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usuario/Desktop/"/>
    </mc:Choice>
  </mc:AlternateContent>
  <xr:revisionPtr revIDLastSave="0" documentId="13_ncr:1_{A6B77886-0E9C-F046-BBA2-D7ACD69F5B70}" xr6:coauthVersionLast="47" xr6:coauthVersionMax="47" xr10:uidLastSave="{00000000-0000-0000-0000-000000000000}"/>
  <bookViews>
    <workbookView xWindow="4320" yWindow="600" windowWidth="24480" windowHeight="17400" activeTab="7" xr2:uid="{00000000-000D-0000-FFFF-FFFF00000000}"/>
  </bookViews>
  <sheets>
    <sheet name="CODORL" sheetId="1" r:id="rId1"/>
    <sheet name="códigosORL" sheetId="2" r:id="rId2"/>
    <sheet name="datos 2026" sheetId="3" r:id="rId3"/>
    <sheet name="ventas 2026" sheetId="4" r:id="rId4"/>
    <sheet name="RESUMENMES26" sheetId="5" r:id="rId5"/>
    <sheet name="facturasemitidas" sheetId="6" r:id="rId6"/>
    <sheet name="2026AUDIF.FUERAGESTIÓN" sheetId="7" r:id="rId7"/>
    <sheet name="facturasemitidas25" sheetId="8" r:id="rId8"/>
    <sheet name="ventas 2025" sheetId="9" r:id="rId9"/>
    <sheet name="RESUMENMES25" sheetId="10" r:id="rId10"/>
    <sheet name="Tabla dinámica 5" sheetId="11" r:id="rId11"/>
    <sheet name="Hoja 22" sheetId="12" r:id="rId12"/>
    <sheet name="DatosSignature" sheetId="13" r:id="rId13"/>
    <sheet name="2025AUDIF.FUERAGESTIÓN25" sheetId="14" r:id="rId14"/>
    <sheet name="ventas_2024" sheetId="15" r:id="rId15"/>
    <sheet name="RESUMES24" sheetId="16" r:id="rId16"/>
  </sheets>
  <definedNames>
    <definedName name="_xlnm._FilterDatabase" localSheetId="6" hidden="1">'2026AUDIF.FUERAGESTIÓN'!$B$1:$B$1003</definedName>
    <definedName name="_xlnm._FilterDatabase" localSheetId="2" hidden="1">'datos 2026'!$A$1:$BA$3223</definedName>
    <definedName name="_xlnm._FilterDatabase" localSheetId="5" hidden="1">facturasemitidas!$B$1:$B$2016</definedName>
    <definedName name="_xlnm._FilterDatabase" localSheetId="7" hidden="1">facturasemitidas25!$G$1:$G$2017</definedName>
    <definedName name="_xlnm._FilterDatabase" localSheetId="3" hidden="1">'ventas 2026'!$O$1:$O$1848</definedName>
  </definedNames>
  <calcPr calcId="191029"/>
  <pivotCaches>
    <pivotCache cacheId="102" r:id="rId17"/>
    <pivotCache cacheId="103" r:id="rId18"/>
    <pivotCache cacheId="104" r:id="rId19"/>
    <pivotCache cacheId="105" r:id="rId2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58" i="15" l="1"/>
  <c r="H1757" i="15"/>
  <c r="H1756" i="15"/>
  <c r="H1755" i="15"/>
  <c r="H1754" i="15"/>
  <c r="H1753" i="15"/>
  <c r="H1752" i="15"/>
  <c r="H1751" i="15"/>
  <c r="H1750" i="15"/>
  <c r="H1749" i="15"/>
  <c r="H1748" i="15"/>
  <c r="H1747" i="15"/>
  <c r="H1746" i="15"/>
  <c r="H1745" i="15"/>
  <c r="H1744" i="15"/>
  <c r="H1743" i="15"/>
  <c r="H1742" i="15"/>
  <c r="H1741" i="15"/>
  <c r="H1740" i="15"/>
  <c r="H1739" i="15"/>
  <c r="H1738" i="15"/>
  <c r="H1737" i="15"/>
  <c r="H1736" i="15"/>
  <c r="H1735" i="15"/>
  <c r="H1734" i="15"/>
  <c r="H1733" i="15"/>
  <c r="H1732" i="15"/>
  <c r="H1731" i="15"/>
  <c r="H1730" i="15"/>
  <c r="H1729" i="15"/>
  <c r="H1728" i="15"/>
  <c r="H1727" i="15"/>
  <c r="H1726" i="15"/>
  <c r="H1725" i="15"/>
  <c r="H1724" i="15"/>
  <c r="H1723" i="15"/>
  <c r="H1722" i="15"/>
  <c r="H1721" i="15"/>
  <c r="H1720" i="15"/>
  <c r="H1719" i="15"/>
  <c r="H1718" i="15"/>
  <c r="H1717" i="15"/>
  <c r="H1716" i="15"/>
  <c r="H1715" i="15"/>
  <c r="H1714" i="15"/>
  <c r="H1713" i="15"/>
  <c r="H1712" i="15"/>
  <c r="H1711" i="15"/>
  <c r="H1710" i="15"/>
  <c r="H1709" i="15"/>
  <c r="H1708" i="15"/>
  <c r="H1707" i="15"/>
  <c r="H1706" i="15"/>
  <c r="H1705" i="15"/>
  <c r="H1704" i="15"/>
  <c r="H1703" i="15"/>
  <c r="H1702" i="15"/>
  <c r="H1701" i="15"/>
  <c r="H1700" i="15"/>
  <c r="H1699" i="15"/>
  <c r="H1698" i="15"/>
  <c r="H1697" i="15"/>
  <c r="H1696" i="15"/>
  <c r="H1695" i="15"/>
  <c r="H1694" i="15"/>
  <c r="H1693" i="15"/>
  <c r="H1692" i="15"/>
  <c r="H1691" i="15"/>
  <c r="H1690" i="15"/>
  <c r="H1689" i="15"/>
  <c r="H1688" i="15"/>
  <c r="H1687" i="15"/>
  <c r="H1686" i="15"/>
  <c r="H1685" i="15"/>
  <c r="H1684" i="15"/>
  <c r="H1683" i="15"/>
  <c r="H1682" i="15"/>
  <c r="H1681" i="15"/>
  <c r="H1680" i="15"/>
  <c r="H1679" i="15"/>
  <c r="H1678" i="15"/>
  <c r="H1677" i="15"/>
  <c r="H1676" i="15"/>
  <c r="H1675" i="15"/>
  <c r="H1674" i="15"/>
  <c r="H1673" i="15"/>
  <c r="H1672" i="15"/>
  <c r="H1671" i="15"/>
  <c r="H1670" i="15"/>
  <c r="H1669" i="15"/>
  <c r="H1668" i="15"/>
  <c r="H1667" i="15"/>
  <c r="H1666" i="15"/>
  <c r="H1665" i="15"/>
  <c r="H1664" i="15"/>
  <c r="H1663" i="15"/>
  <c r="H1662" i="15"/>
  <c r="H1661" i="15"/>
  <c r="H1660" i="15"/>
  <c r="H1659" i="15"/>
  <c r="H1658" i="15"/>
  <c r="H1657" i="15"/>
  <c r="H1656" i="15"/>
  <c r="H1655" i="15"/>
  <c r="H1654" i="15"/>
  <c r="H1653" i="15"/>
  <c r="H1652" i="15"/>
  <c r="H1651" i="15"/>
  <c r="H1650" i="15"/>
  <c r="H1649" i="15"/>
  <c r="H1648" i="15"/>
  <c r="H1647" i="15"/>
  <c r="H1646" i="15"/>
  <c r="H1645" i="15"/>
  <c r="H1644" i="15"/>
  <c r="H1643" i="15"/>
  <c r="H1642" i="15"/>
  <c r="H1641" i="15"/>
  <c r="H1640" i="15"/>
  <c r="H1639" i="15"/>
  <c r="H1638" i="15"/>
  <c r="H1637" i="15"/>
  <c r="H1636" i="15"/>
  <c r="H1635" i="15"/>
  <c r="H1634" i="15"/>
  <c r="H1633" i="15"/>
  <c r="H1632" i="15"/>
  <c r="H1631" i="15"/>
  <c r="H1630" i="15"/>
  <c r="H1629" i="15"/>
  <c r="H1628" i="15"/>
  <c r="H1627" i="15"/>
  <c r="H1626" i="15"/>
  <c r="H1625" i="15"/>
  <c r="H1624" i="15"/>
  <c r="H1623" i="15"/>
  <c r="H1622" i="15"/>
  <c r="H1621" i="15"/>
  <c r="H1620" i="15"/>
  <c r="H1619" i="15"/>
  <c r="H1618" i="15"/>
  <c r="H1617" i="15"/>
  <c r="H1616" i="15"/>
  <c r="H1615" i="15"/>
  <c r="H1614" i="15"/>
  <c r="H1613" i="15"/>
  <c r="H1612" i="15"/>
  <c r="H1611" i="15"/>
  <c r="H1610" i="15"/>
  <c r="H1609" i="15"/>
  <c r="H1608" i="15"/>
  <c r="H1607" i="15"/>
  <c r="H1606" i="15"/>
  <c r="H1605" i="15"/>
  <c r="H1604" i="15"/>
  <c r="H1603" i="15"/>
  <c r="H1602" i="15"/>
  <c r="H1601" i="15"/>
  <c r="H1600" i="15"/>
  <c r="H1599" i="15"/>
  <c r="H1598" i="15"/>
  <c r="H1597" i="15"/>
  <c r="H1596" i="15"/>
  <c r="H1595" i="15"/>
  <c r="H1594" i="15"/>
  <c r="H1593" i="15"/>
  <c r="H1592" i="15"/>
  <c r="H1591" i="15"/>
  <c r="H1590" i="15"/>
  <c r="H1589" i="15"/>
  <c r="H1588" i="15"/>
  <c r="H1587" i="15"/>
  <c r="H1586" i="15"/>
  <c r="H1585" i="15"/>
  <c r="H1584" i="15"/>
  <c r="H1583" i="15"/>
  <c r="H1582" i="15"/>
  <c r="H1581" i="15"/>
  <c r="H1580" i="15"/>
  <c r="H1579" i="15"/>
  <c r="H1578" i="15"/>
  <c r="H1577" i="15"/>
  <c r="H1576" i="15"/>
  <c r="H1575" i="15"/>
  <c r="H1574" i="15"/>
  <c r="H1573" i="15"/>
  <c r="H1572" i="15"/>
  <c r="H1571" i="15"/>
  <c r="H1570" i="15"/>
  <c r="H1569" i="15"/>
  <c r="H1568" i="15"/>
  <c r="H1567" i="15"/>
  <c r="H1566" i="15"/>
  <c r="H1565" i="15"/>
  <c r="H1564" i="15"/>
  <c r="H1563" i="15"/>
  <c r="H1562" i="15"/>
  <c r="H1561" i="15"/>
  <c r="H1560" i="15"/>
  <c r="H1559" i="15"/>
  <c r="H1558" i="15"/>
  <c r="H1557" i="15"/>
  <c r="H1556" i="15"/>
  <c r="H1555" i="15"/>
  <c r="H1554" i="15"/>
  <c r="H1553" i="15"/>
  <c r="H1552" i="15"/>
  <c r="H1551" i="15"/>
  <c r="H1550" i="15"/>
  <c r="H1549" i="15"/>
  <c r="H1548" i="15"/>
  <c r="H1547" i="15"/>
  <c r="H1546" i="15"/>
  <c r="H1545" i="15"/>
  <c r="H1544" i="15"/>
  <c r="H1543" i="15"/>
  <c r="H1542" i="15"/>
  <c r="H1541" i="15"/>
  <c r="H1540" i="15"/>
  <c r="H1539" i="15"/>
  <c r="H1538" i="15"/>
  <c r="H1537" i="15"/>
  <c r="H1536" i="15"/>
  <c r="H1535" i="15"/>
  <c r="H1534" i="15"/>
  <c r="H1533" i="15"/>
  <c r="H1532" i="15"/>
  <c r="H1531" i="15"/>
  <c r="H1530" i="15"/>
  <c r="H1529" i="15"/>
  <c r="H1528" i="15"/>
  <c r="H1527" i="15"/>
  <c r="H1526" i="15"/>
  <c r="H1525" i="15"/>
  <c r="H1524" i="15"/>
  <c r="H1523" i="15"/>
  <c r="H1522" i="15"/>
  <c r="H1521" i="15"/>
  <c r="H1520" i="15"/>
  <c r="H1519" i="15"/>
  <c r="H1518" i="15"/>
  <c r="H1517" i="15"/>
  <c r="H1516" i="15"/>
  <c r="H1515" i="15"/>
  <c r="H1514" i="15"/>
  <c r="H1513" i="15"/>
  <c r="H1512" i="15"/>
  <c r="H1511" i="15"/>
  <c r="H1510" i="15"/>
  <c r="H1509" i="15"/>
  <c r="H1508" i="15"/>
  <c r="H1507" i="15"/>
  <c r="H1506" i="15"/>
  <c r="H1505" i="15"/>
  <c r="H1504" i="15"/>
  <c r="H1503" i="15"/>
  <c r="H1502" i="15"/>
  <c r="H1501" i="15"/>
  <c r="H1500" i="15"/>
  <c r="H1499" i="15"/>
  <c r="H1498" i="15"/>
  <c r="H1497" i="15"/>
  <c r="H1496" i="15"/>
  <c r="H1495" i="15"/>
  <c r="H1494" i="15"/>
  <c r="H1493" i="15"/>
  <c r="H1492" i="15"/>
  <c r="H1491" i="15"/>
  <c r="H1490" i="15"/>
  <c r="H1489" i="15"/>
  <c r="H1488" i="15"/>
  <c r="H1487" i="15"/>
  <c r="H1486" i="15"/>
  <c r="H1485" i="15"/>
  <c r="H1484" i="15"/>
  <c r="H1483" i="15"/>
  <c r="H1482" i="15"/>
  <c r="H1481" i="15"/>
  <c r="H1480" i="15"/>
  <c r="H1479" i="15"/>
  <c r="H1478" i="15"/>
  <c r="H1477" i="15"/>
  <c r="H1476" i="15"/>
  <c r="H1475" i="15"/>
  <c r="H1474" i="15"/>
  <c r="H1473" i="15"/>
  <c r="H1472" i="15"/>
  <c r="H1471" i="15"/>
  <c r="H1470" i="15"/>
  <c r="H1469" i="15"/>
  <c r="H1468" i="15"/>
  <c r="H1467" i="15"/>
  <c r="H1466" i="15"/>
  <c r="H1465" i="15"/>
  <c r="H1464" i="15"/>
  <c r="H1463" i="15"/>
  <c r="H1462" i="15"/>
  <c r="H1461" i="15"/>
  <c r="H1460" i="15"/>
  <c r="H1459" i="15"/>
  <c r="H1458" i="15"/>
  <c r="H1457" i="15"/>
  <c r="H1456" i="15"/>
  <c r="H1455" i="15"/>
  <c r="H1454" i="15"/>
  <c r="H1453" i="15"/>
  <c r="H1452" i="15"/>
  <c r="H1451" i="15"/>
  <c r="H1450" i="15"/>
  <c r="H1449" i="15"/>
  <c r="H1448" i="15"/>
  <c r="H1447" i="15"/>
  <c r="H1446" i="15"/>
  <c r="H1445" i="15"/>
  <c r="H1444" i="15"/>
  <c r="H1443" i="15"/>
  <c r="H1442" i="15"/>
  <c r="H1441" i="15"/>
  <c r="H1440" i="15"/>
  <c r="H1439" i="15"/>
  <c r="H1438" i="15"/>
  <c r="H1437" i="15"/>
  <c r="H1436" i="15"/>
  <c r="H1435" i="15"/>
  <c r="H1434" i="15"/>
  <c r="H1433" i="15"/>
  <c r="H1432" i="15"/>
  <c r="H1431" i="15"/>
  <c r="H1430" i="15"/>
  <c r="H1429" i="15"/>
  <c r="H1428" i="15"/>
  <c r="H1427" i="15"/>
  <c r="H1426" i="15"/>
  <c r="H1425" i="15"/>
  <c r="H1424" i="15"/>
  <c r="H1423" i="15"/>
  <c r="H1422" i="15"/>
  <c r="H1421" i="15"/>
  <c r="H1420" i="15"/>
  <c r="H1419" i="15"/>
  <c r="H1418" i="15"/>
  <c r="H1417" i="15"/>
  <c r="H1416" i="15"/>
  <c r="H1415" i="15"/>
  <c r="H1414" i="15"/>
  <c r="H1413" i="15"/>
  <c r="H1412" i="15"/>
  <c r="H1411" i="15"/>
  <c r="H1410" i="15"/>
  <c r="H1409" i="15"/>
  <c r="H1408" i="15"/>
  <c r="H1407" i="15"/>
  <c r="H1406" i="15"/>
  <c r="H1405" i="15"/>
  <c r="H1404" i="15"/>
  <c r="H1403" i="15"/>
  <c r="H1402" i="15"/>
  <c r="H1401" i="15"/>
  <c r="H1400" i="15"/>
  <c r="H1399" i="15"/>
  <c r="H1398" i="15"/>
  <c r="H1397" i="15"/>
  <c r="H1396" i="15"/>
  <c r="H1395" i="15"/>
  <c r="H1394" i="15"/>
  <c r="H1393" i="15"/>
  <c r="H1392" i="15"/>
  <c r="H1391" i="15"/>
  <c r="H1390" i="15"/>
  <c r="H1389" i="15"/>
  <c r="H1388" i="15"/>
  <c r="H1387" i="15"/>
  <c r="H1386" i="15"/>
  <c r="H1385" i="15"/>
  <c r="H1384" i="15"/>
  <c r="H1383" i="15"/>
  <c r="H1382" i="15"/>
  <c r="H1381" i="15"/>
  <c r="H1380" i="15"/>
  <c r="H1379" i="15"/>
  <c r="H1378" i="15"/>
  <c r="H1377" i="15"/>
  <c r="H1376" i="15"/>
  <c r="H1375" i="15"/>
  <c r="H1374" i="15"/>
  <c r="H1373" i="15"/>
  <c r="H1372" i="15"/>
  <c r="H1371" i="15"/>
  <c r="H1370" i="15"/>
  <c r="H1369" i="15"/>
  <c r="H1368" i="15"/>
  <c r="H1367" i="15"/>
  <c r="H1366" i="15"/>
  <c r="H1365" i="15"/>
  <c r="H1364" i="15"/>
  <c r="H1363" i="15"/>
  <c r="H1362" i="15"/>
  <c r="H1361" i="15"/>
  <c r="H1360" i="15"/>
  <c r="H1359" i="15"/>
  <c r="H1358" i="15"/>
  <c r="H1357" i="15"/>
  <c r="H1356" i="15"/>
  <c r="H1355" i="15"/>
  <c r="H1354" i="15"/>
  <c r="H1353" i="15"/>
  <c r="H1352" i="15"/>
  <c r="H1351" i="15"/>
  <c r="H1350" i="15"/>
  <c r="H1349" i="15"/>
  <c r="H1348" i="15"/>
  <c r="H1347" i="15"/>
  <c r="H1346" i="15"/>
  <c r="H1345" i="15"/>
  <c r="H1344" i="15"/>
  <c r="H1343" i="15"/>
  <c r="H1342" i="15"/>
  <c r="H1341" i="15"/>
  <c r="H1340" i="15"/>
  <c r="H1339" i="15"/>
  <c r="H1338" i="15"/>
  <c r="H1337" i="15"/>
  <c r="H1336" i="15"/>
  <c r="H1335" i="15"/>
  <c r="H1334" i="15"/>
  <c r="H1333" i="15"/>
  <c r="H1332" i="15"/>
  <c r="H1331" i="15"/>
  <c r="H1330" i="15"/>
  <c r="H1329" i="15"/>
  <c r="H1328" i="15"/>
  <c r="H1327" i="15"/>
  <c r="H1326" i="15"/>
  <c r="H1325" i="15"/>
  <c r="H1324" i="15"/>
  <c r="H1323" i="15"/>
  <c r="H1322" i="15"/>
  <c r="H1321" i="15"/>
  <c r="H1320" i="15"/>
  <c r="H1319" i="15"/>
  <c r="H1318" i="15"/>
  <c r="H1317" i="15"/>
  <c r="H1316" i="15"/>
  <c r="H1315" i="15"/>
  <c r="H1314" i="15"/>
  <c r="H1313" i="15"/>
  <c r="H1312" i="15"/>
  <c r="H1311" i="15"/>
  <c r="H1310" i="15"/>
  <c r="H1309" i="15"/>
  <c r="H1308" i="15"/>
  <c r="H1307" i="15"/>
  <c r="H1306" i="15"/>
  <c r="H1305" i="15"/>
  <c r="H1304" i="15"/>
  <c r="H1303" i="15"/>
  <c r="H1302" i="15"/>
  <c r="H1301" i="15"/>
  <c r="H1300" i="15"/>
  <c r="H1299" i="15"/>
  <c r="H1298" i="15"/>
  <c r="H1297" i="15"/>
  <c r="H1296" i="15"/>
  <c r="H1295" i="15"/>
  <c r="H1294" i="15"/>
  <c r="H1293" i="15"/>
  <c r="H1292" i="15"/>
  <c r="H1291" i="15"/>
  <c r="H1290" i="15"/>
  <c r="H1289" i="15"/>
  <c r="H1288" i="15"/>
  <c r="H1287" i="15"/>
  <c r="H1286" i="15"/>
  <c r="H1285" i="15"/>
  <c r="H1284" i="15"/>
  <c r="H1283" i="15"/>
  <c r="H1282" i="15"/>
  <c r="H1281" i="15"/>
  <c r="H1280" i="15"/>
  <c r="H1279" i="15"/>
  <c r="H1278" i="15"/>
  <c r="H1277" i="15"/>
  <c r="H1276" i="15"/>
  <c r="H1275" i="15"/>
  <c r="H1274" i="15"/>
  <c r="H1273" i="15"/>
  <c r="H1272" i="15"/>
  <c r="H1271" i="15"/>
  <c r="H1270" i="15"/>
  <c r="H1269" i="15"/>
  <c r="H1268" i="15"/>
  <c r="H1267" i="15"/>
  <c r="H1266" i="15"/>
  <c r="H1265" i="15"/>
  <c r="H1264" i="15"/>
  <c r="H1263" i="15"/>
  <c r="H1262" i="15"/>
  <c r="H1261" i="15"/>
  <c r="H1260" i="15"/>
  <c r="H1259" i="15"/>
  <c r="H1258" i="15"/>
  <c r="H1257" i="15"/>
  <c r="H1256" i="15"/>
  <c r="H1255" i="15"/>
  <c r="H1254" i="15"/>
  <c r="H1253" i="15"/>
  <c r="H1252" i="15"/>
  <c r="H1251" i="15"/>
  <c r="H1250" i="15"/>
  <c r="H1249" i="15"/>
  <c r="H1248" i="15"/>
  <c r="H1247" i="15"/>
  <c r="H1246" i="15"/>
  <c r="H1245" i="15"/>
  <c r="H1244" i="15"/>
  <c r="H1243" i="15"/>
  <c r="H1242" i="15"/>
  <c r="H1241" i="15"/>
  <c r="H1240" i="15"/>
  <c r="H1239" i="15"/>
  <c r="H1238" i="15"/>
  <c r="H1237" i="15"/>
  <c r="H1236" i="15"/>
  <c r="H1235" i="15"/>
  <c r="H1234" i="15"/>
  <c r="H1233" i="15"/>
  <c r="H1232" i="15"/>
  <c r="H1231" i="15"/>
  <c r="H1230" i="15"/>
  <c r="H1229" i="15"/>
  <c r="H1228" i="15"/>
  <c r="H1227" i="15"/>
  <c r="H1226" i="15"/>
  <c r="H1225" i="15"/>
  <c r="H1224" i="15"/>
  <c r="H1223" i="15"/>
  <c r="H1222" i="15"/>
  <c r="H1221" i="15"/>
  <c r="H1220" i="15"/>
  <c r="H1219" i="15"/>
  <c r="H1218" i="15"/>
  <c r="H1217" i="15"/>
  <c r="H1216" i="15"/>
  <c r="H1215" i="15"/>
  <c r="H1214" i="15"/>
  <c r="H1213" i="15"/>
  <c r="H1212" i="15"/>
  <c r="H1211" i="15"/>
  <c r="H1210" i="15"/>
  <c r="H1209" i="15"/>
  <c r="H1208" i="15"/>
  <c r="H1207" i="15"/>
  <c r="H1206" i="15"/>
  <c r="H1205" i="15"/>
  <c r="H1204" i="15"/>
  <c r="H1203" i="15"/>
  <c r="H1202" i="15"/>
  <c r="H1201" i="15"/>
  <c r="H1200" i="15"/>
  <c r="H1199" i="15"/>
  <c r="H1198" i="15"/>
  <c r="H1197" i="15"/>
  <c r="H1196" i="15"/>
  <c r="H1195" i="15"/>
  <c r="H1194" i="15"/>
  <c r="H1193" i="15"/>
  <c r="H1192" i="15"/>
  <c r="H1191" i="15"/>
  <c r="H1190" i="15"/>
  <c r="H1189" i="15"/>
  <c r="H1188" i="15"/>
  <c r="H1187" i="15"/>
  <c r="H1186" i="15"/>
  <c r="H1185" i="15"/>
  <c r="H1184" i="15"/>
  <c r="H1183" i="15"/>
  <c r="H1182" i="15"/>
  <c r="H1181" i="15"/>
  <c r="H1180" i="15"/>
  <c r="H1179" i="15"/>
  <c r="H1178" i="15"/>
  <c r="H1177" i="15"/>
  <c r="H1176" i="15"/>
  <c r="H1175" i="15"/>
  <c r="H1174" i="15"/>
  <c r="H1173" i="15"/>
  <c r="H1172" i="15"/>
  <c r="H1171" i="15"/>
  <c r="H1170" i="15"/>
  <c r="H1169" i="15"/>
  <c r="H1168" i="15"/>
  <c r="H1167" i="15"/>
  <c r="H1166" i="15"/>
  <c r="H1165" i="15"/>
  <c r="H1164" i="15"/>
  <c r="H1163" i="15"/>
  <c r="H1162" i="15"/>
  <c r="H1161" i="15"/>
  <c r="H1160" i="15"/>
  <c r="H1159" i="15"/>
  <c r="H1158" i="15"/>
  <c r="H1157" i="15"/>
  <c r="H1156" i="15"/>
  <c r="H1155" i="15"/>
  <c r="H1154" i="15"/>
  <c r="H1153" i="15"/>
  <c r="H1152" i="15"/>
  <c r="H1151" i="15"/>
  <c r="H1150" i="15"/>
  <c r="H1149" i="15"/>
  <c r="H1148" i="15"/>
  <c r="H1147" i="15"/>
  <c r="H1146" i="15"/>
  <c r="H1145" i="15"/>
  <c r="H1144" i="15"/>
  <c r="H1143" i="15"/>
  <c r="H1142" i="15"/>
  <c r="H1141" i="15"/>
  <c r="H1140" i="15"/>
  <c r="H1139" i="15"/>
  <c r="H1138" i="15"/>
  <c r="H1137" i="15"/>
  <c r="H1136" i="15"/>
  <c r="H1135" i="15"/>
  <c r="H1134" i="15"/>
  <c r="H1133" i="15"/>
  <c r="H1132" i="15"/>
  <c r="H1131" i="15"/>
  <c r="H1130" i="15"/>
  <c r="H1129" i="15"/>
  <c r="H1128" i="15"/>
  <c r="H1127" i="15"/>
  <c r="H1126" i="15"/>
  <c r="H1125" i="15"/>
  <c r="H1124" i="15"/>
  <c r="H1123" i="15"/>
  <c r="H1122" i="15"/>
  <c r="H1121" i="15"/>
  <c r="H1120" i="15"/>
  <c r="H1119" i="15"/>
  <c r="H1118" i="15"/>
  <c r="H1117" i="15"/>
  <c r="H1116" i="15"/>
  <c r="H1115" i="15"/>
  <c r="H1114" i="15"/>
  <c r="H1113" i="15"/>
  <c r="H1112" i="15"/>
  <c r="H1111" i="15"/>
  <c r="H1110" i="15"/>
  <c r="H1109" i="15"/>
  <c r="H1108" i="15"/>
  <c r="H1107" i="15"/>
  <c r="H1106" i="15"/>
  <c r="H1105" i="15"/>
  <c r="H1104" i="15"/>
  <c r="H1103" i="15"/>
  <c r="H1102" i="15"/>
  <c r="H1101" i="15"/>
  <c r="H1100" i="15"/>
  <c r="H1099" i="15"/>
  <c r="H1098" i="15"/>
  <c r="H1097" i="15"/>
  <c r="H1096" i="15"/>
  <c r="H1095" i="15"/>
  <c r="H1094" i="15"/>
  <c r="H1093" i="15"/>
  <c r="H1092" i="15"/>
  <c r="H1091" i="15"/>
  <c r="H1090" i="15"/>
  <c r="H1089" i="15"/>
  <c r="H1088" i="15"/>
  <c r="H1087" i="15"/>
  <c r="H1086" i="15"/>
  <c r="H1085" i="15"/>
  <c r="H1084" i="15"/>
  <c r="H1083" i="15"/>
  <c r="H1082" i="15"/>
  <c r="H1081" i="15"/>
  <c r="H1080" i="15"/>
  <c r="H1079" i="15"/>
  <c r="H1078" i="15"/>
  <c r="H1077" i="15"/>
  <c r="H1076" i="15"/>
  <c r="H1075" i="15"/>
  <c r="H1074" i="15"/>
  <c r="H1073" i="15"/>
  <c r="H1072" i="15"/>
  <c r="H1071" i="15"/>
  <c r="H1070" i="15"/>
  <c r="H1069" i="15"/>
  <c r="H1068" i="15"/>
  <c r="H1067" i="15"/>
  <c r="H1066" i="15"/>
  <c r="H1065" i="15"/>
  <c r="H1064" i="15"/>
  <c r="H1063" i="15"/>
  <c r="H1062" i="15"/>
  <c r="H1061" i="15"/>
  <c r="H1060" i="15"/>
  <c r="H1059" i="15"/>
  <c r="H1058" i="15"/>
  <c r="H1057" i="15"/>
  <c r="H1056" i="15"/>
  <c r="H1055" i="15"/>
  <c r="H1054" i="15"/>
  <c r="H1053" i="15"/>
  <c r="H1052" i="15"/>
  <c r="H1051" i="15"/>
  <c r="H1050" i="15"/>
  <c r="H1049" i="15"/>
  <c r="H1048" i="15"/>
  <c r="H1047" i="15"/>
  <c r="H1046" i="15"/>
  <c r="H1045" i="15"/>
  <c r="H1044" i="15"/>
  <c r="H1043" i="15"/>
  <c r="H1042" i="15"/>
  <c r="H1041" i="15"/>
  <c r="H1040" i="15"/>
  <c r="H1039" i="15"/>
  <c r="H1038" i="15"/>
  <c r="H1037" i="15"/>
  <c r="H1036" i="15"/>
  <c r="H1035" i="15"/>
  <c r="H1034" i="15"/>
  <c r="H1033" i="15"/>
  <c r="H1032" i="15"/>
  <c r="H1031" i="15"/>
  <c r="H1030" i="15"/>
  <c r="H1029" i="15"/>
  <c r="H1028" i="15"/>
  <c r="H1027" i="15"/>
  <c r="H1026" i="15"/>
  <c r="H1025" i="15"/>
  <c r="H1024" i="15"/>
  <c r="H1023" i="15"/>
  <c r="H1022" i="15"/>
  <c r="H1021" i="15"/>
  <c r="H1020" i="15"/>
  <c r="H1019" i="15"/>
  <c r="H1018" i="15"/>
  <c r="H1017" i="15"/>
  <c r="H1016" i="15"/>
  <c r="H1015" i="15"/>
  <c r="H1014" i="15"/>
  <c r="H1013" i="15"/>
  <c r="H1012" i="15"/>
  <c r="H1011" i="15"/>
  <c r="H1010" i="15"/>
  <c r="H1009" i="15"/>
  <c r="H1008" i="15"/>
  <c r="H1007" i="15"/>
  <c r="H1006" i="15"/>
  <c r="H1005" i="15"/>
  <c r="H1004" i="15"/>
  <c r="H1003" i="15"/>
  <c r="H1002" i="15"/>
  <c r="H1001" i="15"/>
  <c r="H1000" i="15"/>
  <c r="H999" i="15"/>
  <c r="H998" i="15"/>
  <c r="H997" i="15"/>
  <c r="H996" i="15"/>
  <c r="H995" i="15"/>
  <c r="H994" i="15"/>
  <c r="H993" i="15"/>
  <c r="H992" i="15"/>
  <c r="H991" i="15"/>
  <c r="H990" i="15"/>
  <c r="H989" i="15"/>
  <c r="H988" i="15"/>
  <c r="H987" i="15"/>
  <c r="H986" i="15"/>
  <c r="H985" i="15"/>
  <c r="H984" i="15"/>
  <c r="H983" i="15"/>
  <c r="H982" i="15"/>
  <c r="H981" i="15"/>
  <c r="H980" i="15"/>
  <c r="H979" i="15"/>
  <c r="H978" i="15"/>
  <c r="H977" i="15"/>
  <c r="H976" i="15"/>
  <c r="H975" i="15"/>
  <c r="H974" i="15"/>
  <c r="H973" i="15"/>
  <c r="H972" i="15"/>
  <c r="H971" i="15"/>
  <c r="H970" i="15"/>
  <c r="H969" i="15"/>
  <c r="H968" i="15"/>
  <c r="H967" i="15"/>
  <c r="H966" i="15"/>
  <c r="H965" i="15"/>
  <c r="H964" i="15"/>
  <c r="H963" i="15"/>
  <c r="H962" i="15"/>
  <c r="H961" i="15"/>
  <c r="H960" i="15"/>
  <c r="H959" i="15"/>
  <c r="H958" i="15"/>
  <c r="H957" i="15"/>
  <c r="H956" i="15"/>
  <c r="H955" i="15"/>
  <c r="H954" i="15"/>
  <c r="H953" i="15"/>
  <c r="H952" i="15"/>
  <c r="H951" i="15"/>
  <c r="H950" i="15"/>
  <c r="H949" i="15"/>
  <c r="H948" i="15"/>
  <c r="H947" i="15"/>
  <c r="H946" i="15"/>
  <c r="H945" i="15"/>
  <c r="H944" i="15"/>
  <c r="H943" i="15"/>
  <c r="H942" i="15"/>
  <c r="H941" i="15"/>
  <c r="H940" i="15"/>
  <c r="H939" i="15"/>
  <c r="H938" i="15"/>
  <c r="H937" i="15"/>
  <c r="H936" i="15"/>
  <c r="H935" i="15"/>
  <c r="H934" i="15"/>
  <c r="H933" i="15"/>
  <c r="H932" i="15"/>
  <c r="H931" i="15"/>
  <c r="H930" i="15"/>
  <c r="H929" i="15"/>
  <c r="H928" i="15"/>
  <c r="H927" i="15"/>
  <c r="H926" i="15"/>
  <c r="H925" i="15"/>
  <c r="H924" i="15"/>
  <c r="H923" i="15"/>
  <c r="H922" i="15"/>
  <c r="H921" i="15"/>
  <c r="H920" i="15"/>
  <c r="H919" i="15"/>
  <c r="H918" i="15"/>
  <c r="H917" i="15"/>
  <c r="H916" i="15"/>
  <c r="H915" i="15"/>
  <c r="H914" i="15"/>
  <c r="H913" i="15"/>
  <c r="H912" i="15"/>
  <c r="H911" i="15"/>
  <c r="H910" i="15"/>
  <c r="H909" i="15"/>
  <c r="H908" i="15"/>
  <c r="H907" i="15"/>
  <c r="H906" i="15"/>
  <c r="H905" i="15"/>
  <c r="H904" i="15"/>
  <c r="H903" i="15"/>
  <c r="H902" i="15"/>
  <c r="H901" i="15"/>
  <c r="H900" i="15"/>
  <c r="H899" i="15"/>
  <c r="H898" i="15"/>
  <c r="H897" i="15"/>
  <c r="H896" i="15"/>
  <c r="H895" i="15"/>
  <c r="H894" i="15"/>
  <c r="H893" i="15"/>
  <c r="H892" i="15"/>
  <c r="H891" i="15"/>
  <c r="H890" i="15"/>
  <c r="H889" i="15"/>
  <c r="H888" i="15"/>
  <c r="H887" i="15"/>
  <c r="H886" i="15"/>
  <c r="H885" i="15"/>
  <c r="H884" i="15"/>
  <c r="H883" i="15"/>
  <c r="H882" i="15"/>
  <c r="H881" i="15"/>
  <c r="H880" i="15"/>
  <c r="H879" i="15"/>
  <c r="H878" i="15"/>
  <c r="H877" i="15"/>
  <c r="H876" i="15"/>
  <c r="H875" i="15"/>
  <c r="H874" i="15"/>
  <c r="H873" i="15"/>
  <c r="H872" i="15"/>
  <c r="H871" i="15"/>
  <c r="H870" i="15"/>
  <c r="H869" i="15"/>
  <c r="H868" i="15"/>
  <c r="H867" i="15"/>
  <c r="H866" i="15"/>
  <c r="H865" i="15"/>
  <c r="H864" i="15"/>
  <c r="H863" i="15"/>
  <c r="H862" i="15"/>
  <c r="H861" i="15"/>
  <c r="H860" i="15"/>
  <c r="H859" i="15"/>
  <c r="H858" i="15"/>
  <c r="H857" i="15"/>
  <c r="H856" i="15"/>
  <c r="H855" i="15"/>
  <c r="H854" i="15"/>
  <c r="H853" i="15"/>
  <c r="H852" i="15"/>
  <c r="H851" i="15"/>
  <c r="H850" i="15"/>
  <c r="H849" i="15"/>
  <c r="H848" i="15"/>
  <c r="H847" i="15"/>
  <c r="H846" i="15"/>
  <c r="H845" i="15"/>
  <c r="H844" i="15"/>
  <c r="H843" i="15"/>
  <c r="H842" i="15"/>
  <c r="H841" i="15"/>
  <c r="H840" i="15"/>
  <c r="H839" i="15"/>
  <c r="H838" i="15"/>
  <c r="H837" i="15"/>
  <c r="H836" i="15"/>
  <c r="H835" i="15"/>
  <c r="H834" i="15"/>
  <c r="H833" i="15"/>
  <c r="H832" i="15"/>
  <c r="H831" i="15"/>
  <c r="H830" i="15"/>
  <c r="H829" i="15"/>
  <c r="H828" i="15"/>
  <c r="H827" i="15"/>
  <c r="H826" i="15"/>
  <c r="H825" i="15"/>
  <c r="H824" i="15"/>
  <c r="H823" i="15"/>
  <c r="H822" i="15"/>
  <c r="H821" i="15"/>
  <c r="H820" i="15"/>
  <c r="H819" i="15"/>
  <c r="H818" i="15"/>
  <c r="H817" i="15"/>
  <c r="H816" i="15"/>
  <c r="H815" i="15"/>
  <c r="H814" i="15"/>
  <c r="H813" i="15"/>
  <c r="H812" i="15"/>
  <c r="H811" i="15"/>
  <c r="H810" i="15"/>
  <c r="H809" i="15"/>
  <c r="H808" i="15"/>
  <c r="H807" i="15"/>
  <c r="H806" i="15"/>
  <c r="H805" i="15"/>
  <c r="H804" i="15"/>
  <c r="H803" i="15"/>
  <c r="H802" i="15"/>
  <c r="H801" i="15"/>
  <c r="H800" i="15"/>
  <c r="H799" i="15"/>
  <c r="H798" i="15"/>
  <c r="H797" i="15"/>
  <c r="H796" i="15"/>
  <c r="H795" i="15"/>
  <c r="H794" i="15"/>
  <c r="H793" i="15"/>
  <c r="H792" i="15"/>
  <c r="H791" i="15"/>
  <c r="H790" i="15"/>
  <c r="H789" i="15"/>
  <c r="H788" i="15"/>
  <c r="H787" i="15"/>
  <c r="H786" i="15"/>
  <c r="H785" i="15"/>
  <c r="H784" i="15"/>
  <c r="H783" i="15"/>
  <c r="H782" i="15"/>
  <c r="H781" i="15"/>
  <c r="H780" i="15"/>
  <c r="H779" i="15"/>
  <c r="H778" i="15"/>
  <c r="H777" i="15"/>
  <c r="H776" i="15"/>
  <c r="H775" i="15"/>
  <c r="H774" i="15"/>
  <c r="H773" i="15"/>
  <c r="H772" i="15"/>
  <c r="H771" i="15"/>
  <c r="H770" i="15"/>
  <c r="H769" i="15"/>
  <c r="H768" i="15"/>
  <c r="H767" i="15"/>
  <c r="H766" i="15"/>
  <c r="H765" i="15"/>
  <c r="H764" i="15"/>
  <c r="H763" i="15"/>
  <c r="H762" i="15"/>
  <c r="H761" i="15"/>
  <c r="H760" i="15"/>
  <c r="H759" i="15"/>
  <c r="H758" i="15"/>
  <c r="H757" i="15"/>
  <c r="H756" i="15"/>
  <c r="H755" i="15"/>
  <c r="H754" i="15"/>
  <c r="H753" i="15"/>
  <c r="H752" i="15"/>
  <c r="H751" i="15"/>
  <c r="H750" i="15"/>
  <c r="H749" i="15"/>
  <c r="H748" i="15"/>
  <c r="H747" i="15"/>
  <c r="H746" i="15"/>
  <c r="H745" i="15"/>
  <c r="H744" i="15"/>
  <c r="H743" i="15"/>
  <c r="H742" i="15"/>
  <c r="H741" i="15"/>
  <c r="H740" i="15"/>
  <c r="H739" i="15"/>
  <c r="H738" i="15"/>
  <c r="H737" i="15"/>
  <c r="H736" i="15"/>
  <c r="H735" i="15"/>
  <c r="H734" i="15"/>
  <c r="H733" i="15"/>
  <c r="H732" i="15"/>
  <c r="H731" i="15"/>
  <c r="H730" i="15"/>
  <c r="H729" i="15"/>
  <c r="H728" i="15"/>
  <c r="H727" i="15"/>
  <c r="H726" i="15"/>
  <c r="H725" i="15"/>
  <c r="H724" i="15"/>
  <c r="H723" i="15"/>
  <c r="H722" i="15"/>
  <c r="H721" i="15"/>
  <c r="H720" i="15"/>
  <c r="H719" i="15"/>
  <c r="H718" i="15"/>
  <c r="H717" i="15"/>
  <c r="H716" i="15"/>
  <c r="H715" i="15"/>
  <c r="H714" i="15"/>
  <c r="H713" i="15"/>
  <c r="H712" i="15"/>
  <c r="H711" i="15"/>
  <c r="H710" i="15"/>
  <c r="H709" i="15"/>
  <c r="H708" i="15"/>
  <c r="H707" i="15"/>
  <c r="H706" i="15"/>
  <c r="H705" i="15"/>
  <c r="H704" i="15"/>
  <c r="H703" i="15"/>
  <c r="H702" i="15"/>
  <c r="H701" i="15"/>
  <c r="H700" i="15"/>
  <c r="H699" i="15"/>
  <c r="H698" i="15"/>
  <c r="H697" i="15"/>
  <c r="H696" i="15"/>
  <c r="H695" i="15"/>
  <c r="H694" i="15"/>
  <c r="H693" i="15"/>
  <c r="H692" i="15"/>
  <c r="H691" i="15"/>
  <c r="H690" i="15"/>
  <c r="H689" i="15"/>
  <c r="H688" i="15"/>
  <c r="H687" i="15"/>
  <c r="H686" i="15"/>
  <c r="H685" i="15"/>
  <c r="H684" i="15"/>
  <c r="H683" i="15"/>
  <c r="H682" i="15"/>
  <c r="H681" i="15"/>
  <c r="H680" i="15"/>
  <c r="H679" i="15"/>
  <c r="H678" i="15"/>
  <c r="H677" i="15"/>
  <c r="H676" i="15"/>
  <c r="H675" i="15"/>
  <c r="H674" i="15"/>
  <c r="H673" i="15"/>
  <c r="H672" i="15"/>
  <c r="H671" i="15"/>
  <c r="H670" i="15"/>
  <c r="H669" i="15"/>
  <c r="H668" i="15"/>
  <c r="H667" i="15"/>
  <c r="H666" i="15"/>
  <c r="H665" i="15"/>
  <c r="H664" i="15"/>
  <c r="H663" i="15"/>
  <c r="H662" i="15"/>
  <c r="H661" i="15"/>
  <c r="H660" i="15"/>
  <c r="H659" i="15"/>
  <c r="H658" i="15"/>
  <c r="H657" i="15"/>
  <c r="H656" i="15"/>
  <c r="H655" i="15"/>
  <c r="H654" i="15"/>
  <c r="H653" i="15"/>
  <c r="H652" i="15"/>
  <c r="H651" i="15"/>
  <c r="H650" i="15"/>
  <c r="H649" i="15"/>
  <c r="H648" i="15"/>
  <c r="H647" i="15"/>
  <c r="H646" i="15"/>
  <c r="H645" i="15"/>
  <c r="H644" i="15"/>
  <c r="H643" i="15"/>
  <c r="H642" i="15"/>
  <c r="H641" i="15"/>
  <c r="H640" i="15"/>
  <c r="H639" i="15"/>
  <c r="H638" i="15"/>
  <c r="H637" i="15"/>
  <c r="H636" i="15"/>
  <c r="H635" i="15"/>
  <c r="H634" i="15"/>
  <c r="H633" i="15"/>
  <c r="H632" i="15"/>
  <c r="H631" i="15"/>
  <c r="H630" i="15"/>
  <c r="H629" i="15"/>
  <c r="H628" i="15"/>
  <c r="H627" i="15"/>
  <c r="H626" i="15"/>
  <c r="H625" i="15"/>
  <c r="H624" i="15"/>
  <c r="H623" i="15"/>
  <c r="H622" i="15"/>
  <c r="H621" i="15"/>
  <c r="H620" i="15"/>
  <c r="H619" i="15"/>
  <c r="H618" i="15"/>
  <c r="H617" i="15"/>
  <c r="H616" i="15"/>
  <c r="H615" i="15"/>
  <c r="H614" i="15"/>
  <c r="H613" i="15"/>
  <c r="H612" i="15"/>
  <c r="H611" i="15"/>
  <c r="H610" i="15"/>
  <c r="H609" i="15"/>
  <c r="H608" i="15"/>
  <c r="H607" i="15"/>
  <c r="H606" i="15"/>
  <c r="H605" i="15"/>
  <c r="H604" i="15"/>
  <c r="H603" i="15"/>
  <c r="H602" i="15"/>
  <c r="H601" i="15"/>
  <c r="H600" i="15"/>
  <c r="H599" i="15"/>
  <c r="H598" i="15"/>
  <c r="H597" i="15"/>
  <c r="H596" i="15"/>
  <c r="H595" i="15"/>
  <c r="H594" i="15"/>
  <c r="H593" i="15"/>
  <c r="H592" i="15"/>
  <c r="H591" i="15"/>
  <c r="H590" i="15"/>
  <c r="H589" i="15"/>
  <c r="H588" i="15"/>
  <c r="H587" i="15"/>
  <c r="H586" i="15"/>
  <c r="H585" i="15"/>
  <c r="H584" i="15"/>
  <c r="H583" i="15"/>
  <c r="H582" i="15"/>
  <c r="H581" i="15"/>
  <c r="H580" i="15"/>
  <c r="H579" i="15"/>
  <c r="H578" i="15"/>
  <c r="H577" i="15"/>
  <c r="H576" i="15"/>
  <c r="H575" i="15"/>
  <c r="H574" i="15"/>
  <c r="H573" i="15"/>
  <c r="H572" i="15"/>
  <c r="H571" i="15"/>
  <c r="H570" i="15"/>
  <c r="H569" i="15"/>
  <c r="H568" i="15"/>
  <c r="H567" i="15"/>
  <c r="H566" i="15"/>
  <c r="H565" i="15"/>
  <c r="H564" i="15"/>
  <c r="H563" i="15"/>
  <c r="H562" i="15"/>
  <c r="H561" i="15"/>
  <c r="H560" i="15"/>
  <c r="H559" i="15"/>
  <c r="H558" i="15"/>
  <c r="H557" i="15"/>
  <c r="H556" i="15"/>
  <c r="H555" i="15"/>
  <c r="H554" i="15"/>
  <c r="H553" i="15"/>
  <c r="H552" i="15"/>
  <c r="H551" i="15"/>
  <c r="H550" i="15"/>
  <c r="H549" i="15"/>
  <c r="H548" i="15"/>
  <c r="H547" i="15"/>
  <c r="H546" i="15"/>
  <c r="H545" i="15"/>
  <c r="H544" i="15"/>
  <c r="H543" i="15"/>
  <c r="H542" i="15"/>
  <c r="H541" i="15"/>
  <c r="H540" i="15"/>
  <c r="H539" i="15"/>
  <c r="H538" i="15"/>
  <c r="H537" i="15"/>
  <c r="H536" i="15"/>
  <c r="H535" i="15"/>
  <c r="H534" i="15"/>
  <c r="H533" i="15"/>
  <c r="H532" i="15"/>
  <c r="H531" i="15"/>
  <c r="H530" i="15"/>
  <c r="H529" i="15"/>
  <c r="H528" i="15"/>
  <c r="H527" i="15"/>
  <c r="H526" i="15"/>
  <c r="H525" i="15"/>
  <c r="H524" i="15"/>
  <c r="H523" i="15"/>
  <c r="H522" i="15"/>
  <c r="H521" i="15"/>
  <c r="H520" i="15"/>
  <c r="H519" i="15"/>
  <c r="H518" i="15"/>
  <c r="H517" i="15"/>
  <c r="H516" i="15"/>
  <c r="H515" i="15"/>
  <c r="H514" i="15"/>
  <c r="H513" i="15"/>
  <c r="H512" i="15"/>
  <c r="H511" i="15"/>
  <c r="H510" i="15"/>
  <c r="H509" i="15"/>
  <c r="H508" i="15"/>
  <c r="H507" i="15"/>
  <c r="H506" i="15"/>
  <c r="H505" i="15"/>
  <c r="H504" i="15"/>
  <c r="H503" i="15"/>
  <c r="H502" i="15"/>
  <c r="H501" i="15"/>
  <c r="H500" i="15"/>
  <c r="H499" i="15"/>
  <c r="H498" i="15"/>
  <c r="H497" i="15"/>
  <c r="H496" i="15"/>
  <c r="H495" i="15"/>
  <c r="H494" i="15"/>
  <c r="H493" i="15"/>
  <c r="H492" i="15"/>
  <c r="H491" i="15"/>
  <c r="H490" i="15"/>
  <c r="H489" i="15"/>
  <c r="H488" i="15"/>
  <c r="H487" i="15"/>
  <c r="H486" i="15"/>
  <c r="H485" i="15"/>
  <c r="H484" i="15"/>
  <c r="H483" i="15"/>
  <c r="H482" i="15"/>
  <c r="H481" i="15"/>
  <c r="H480" i="15"/>
  <c r="H479" i="15"/>
  <c r="H478" i="15"/>
  <c r="H477" i="15"/>
  <c r="H476" i="15"/>
  <c r="H475" i="15"/>
  <c r="H474" i="15"/>
  <c r="H473" i="15"/>
  <c r="H472" i="15"/>
  <c r="H471" i="15"/>
  <c r="H470" i="15"/>
  <c r="H469" i="15"/>
  <c r="H468" i="15"/>
  <c r="H467" i="15"/>
  <c r="H466" i="15"/>
  <c r="H465" i="15"/>
  <c r="H464" i="15"/>
  <c r="H463" i="15"/>
  <c r="H462" i="15"/>
  <c r="H461" i="15"/>
  <c r="H460" i="15"/>
  <c r="H459" i="15"/>
  <c r="H458" i="15"/>
  <c r="H457" i="15"/>
  <c r="H456" i="15"/>
  <c r="H455" i="15"/>
  <c r="H454" i="15"/>
  <c r="H453" i="15"/>
  <c r="H452" i="15"/>
  <c r="H451" i="15"/>
  <c r="H450" i="15"/>
  <c r="H449" i="15"/>
  <c r="H448" i="15"/>
  <c r="H447" i="15"/>
  <c r="H446" i="15"/>
  <c r="H445" i="15"/>
  <c r="H444" i="15"/>
  <c r="H443" i="15"/>
  <c r="H442" i="15"/>
  <c r="H441" i="15"/>
  <c r="H440" i="15"/>
  <c r="H439" i="15"/>
  <c r="H438" i="15"/>
  <c r="H437" i="15"/>
  <c r="H436" i="15"/>
  <c r="H435" i="15"/>
  <c r="H434" i="15"/>
  <c r="H433" i="15"/>
  <c r="H432" i="15"/>
  <c r="H431" i="15"/>
  <c r="H430" i="15"/>
  <c r="H429" i="15"/>
  <c r="H428" i="15"/>
  <c r="H427" i="15"/>
  <c r="H426" i="15"/>
  <c r="H425" i="15"/>
  <c r="H424" i="15"/>
  <c r="H423" i="15"/>
  <c r="H422" i="15"/>
  <c r="H421" i="15"/>
  <c r="H420" i="15"/>
  <c r="H419" i="15"/>
  <c r="H418" i="15"/>
  <c r="H417" i="15"/>
  <c r="H416" i="15"/>
  <c r="H415" i="15"/>
  <c r="H414" i="15"/>
  <c r="H413" i="15"/>
  <c r="H412" i="15"/>
  <c r="H411" i="15"/>
  <c r="H410" i="15"/>
  <c r="H409" i="15"/>
  <c r="H408" i="15"/>
  <c r="H407" i="15"/>
  <c r="H406" i="15"/>
  <c r="H405" i="15"/>
  <c r="H404" i="15"/>
  <c r="H403" i="15"/>
  <c r="H402" i="15"/>
  <c r="H401" i="15"/>
  <c r="H400" i="15"/>
  <c r="H399" i="15"/>
  <c r="H398" i="15"/>
  <c r="H397" i="15"/>
  <c r="H396" i="15"/>
  <c r="H395" i="15"/>
  <c r="H394" i="15"/>
  <c r="H393" i="15"/>
  <c r="H392" i="15"/>
  <c r="H391" i="15"/>
  <c r="H390" i="15"/>
  <c r="H389" i="15"/>
  <c r="H388" i="15"/>
  <c r="H387" i="15"/>
  <c r="H386" i="15"/>
  <c r="H385" i="15"/>
  <c r="H384" i="15"/>
  <c r="H383" i="15"/>
  <c r="H382" i="15"/>
  <c r="H381" i="15"/>
  <c r="H380" i="15"/>
  <c r="H379" i="15"/>
  <c r="H378" i="15"/>
  <c r="H377" i="15"/>
  <c r="H376" i="15"/>
  <c r="H375" i="15"/>
  <c r="H374" i="15"/>
  <c r="H373" i="15"/>
  <c r="H372" i="15"/>
  <c r="H371" i="15"/>
  <c r="H370" i="15"/>
  <c r="H369" i="15"/>
  <c r="H368" i="15"/>
  <c r="H367" i="15"/>
  <c r="H366" i="15"/>
  <c r="H365" i="15"/>
  <c r="H364" i="15"/>
  <c r="H363" i="15"/>
  <c r="H362" i="15"/>
  <c r="H361" i="15"/>
  <c r="H360" i="15"/>
  <c r="H359" i="15"/>
  <c r="H358" i="15"/>
  <c r="H357" i="15"/>
  <c r="H356" i="15"/>
  <c r="H355" i="15"/>
  <c r="H354" i="15"/>
  <c r="H353" i="15"/>
  <c r="H352" i="15"/>
  <c r="H351" i="15"/>
  <c r="H350" i="15"/>
  <c r="H349" i="15"/>
  <c r="H348" i="15"/>
  <c r="H347" i="15"/>
  <c r="H346" i="15"/>
  <c r="H345" i="15"/>
  <c r="H344" i="15"/>
  <c r="H343" i="15"/>
  <c r="H342" i="15"/>
  <c r="H341" i="15"/>
  <c r="H340" i="15"/>
  <c r="H339" i="15"/>
  <c r="H338" i="15"/>
  <c r="H337" i="15"/>
  <c r="H336" i="15"/>
  <c r="H335" i="15"/>
  <c r="H334" i="15"/>
  <c r="H333" i="15"/>
  <c r="H332" i="15"/>
  <c r="H331" i="15"/>
  <c r="H330" i="15"/>
  <c r="H329" i="15"/>
  <c r="H328" i="15"/>
  <c r="H327" i="15"/>
  <c r="H326" i="15"/>
  <c r="H325" i="15"/>
  <c r="H324" i="15"/>
  <c r="H323" i="15"/>
  <c r="H322" i="15"/>
  <c r="H321" i="15"/>
  <c r="H320" i="15"/>
  <c r="H319" i="15"/>
  <c r="H318" i="15"/>
  <c r="H317" i="15"/>
  <c r="H316" i="15"/>
  <c r="H315" i="15"/>
  <c r="H314" i="15"/>
  <c r="H313" i="15"/>
  <c r="H312" i="15"/>
  <c r="H311" i="15"/>
  <c r="H310" i="15"/>
  <c r="H309" i="15"/>
  <c r="H308" i="15"/>
  <c r="H307" i="15"/>
  <c r="H306" i="15"/>
  <c r="H305" i="15"/>
  <c r="H304" i="15"/>
  <c r="H303" i="15"/>
  <c r="H302" i="15"/>
  <c r="H301" i="15"/>
  <c r="H300" i="15"/>
  <c r="H299" i="15"/>
  <c r="H298" i="15"/>
  <c r="H297" i="15"/>
  <c r="H296" i="15"/>
  <c r="H295" i="15"/>
  <c r="H294" i="15"/>
  <c r="H293" i="15"/>
  <c r="H292" i="15"/>
  <c r="H291" i="15"/>
  <c r="H290" i="15"/>
  <c r="H289" i="15"/>
  <c r="H288" i="15"/>
  <c r="H287" i="15"/>
  <c r="H286" i="15"/>
  <c r="H285" i="15"/>
  <c r="H284" i="15"/>
  <c r="H283" i="15"/>
  <c r="H282" i="15"/>
  <c r="H281" i="15"/>
  <c r="H280" i="15"/>
  <c r="H279" i="15"/>
  <c r="H278" i="15"/>
  <c r="H277" i="15"/>
  <c r="H276" i="15"/>
  <c r="H275" i="15"/>
  <c r="H274" i="15"/>
  <c r="H273" i="15"/>
  <c r="H272" i="15"/>
  <c r="H271" i="15"/>
  <c r="H270" i="15"/>
  <c r="H269" i="15"/>
  <c r="H268" i="15"/>
  <c r="H267" i="15"/>
  <c r="H266" i="15"/>
  <c r="H265" i="15"/>
  <c r="H264" i="15"/>
  <c r="H263" i="15"/>
  <c r="H262" i="15"/>
  <c r="H261" i="15"/>
  <c r="H260" i="15"/>
  <c r="H259" i="15"/>
  <c r="H258" i="15"/>
  <c r="H257" i="15"/>
  <c r="H256" i="15"/>
  <c r="H255" i="15"/>
  <c r="H254" i="15"/>
  <c r="H253" i="15"/>
  <c r="H252" i="15"/>
  <c r="H251" i="15"/>
  <c r="H250" i="15"/>
  <c r="H249" i="15"/>
  <c r="H248" i="15"/>
  <c r="H247" i="15"/>
  <c r="H246" i="15"/>
  <c r="H245" i="15"/>
  <c r="H244" i="15"/>
  <c r="H243" i="15"/>
  <c r="H242" i="15"/>
  <c r="H241" i="15"/>
  <c r="H240" i="15"/>
  <c r="H239" i="15"/>
  <c r="H238" i="15"/>
  <c r="H237" i="15"/>
  <c r="H236" i="15"/>
  <c r="H235" i="15"/>
  <c r="H234" i="15"/>
  <c r="H233" i="15"/>
  <c r="H232" i="15"/>
  <c r="H231" i="15"/>
  <c r="H230" i="15"/>
  <c r="H229" i="15"/>
  <c r="H228" i="15"/>
  <c r="H227" i="15"/>
  <c r="H226" i="15"/>
  <c r="H225" i="15"/>
  <c r="H224" i="15"/>
  <c r="H223" i="15"/>
  <c r="H222" i="15"/>
  <c r="H221" i="15"/>
  <c r="H220" i="15"/>
  <c r="H219" i="15"/>
  <c r="H218" i="15"/>
  <c r="H217" i="15"/>
  <c r="H216" i="15"/>
  <c r="H215" i="15"/>
  <c r="H214" i="15"/>
  <c r="H213" i="15"/>
  <c r="H212" i="15"/>
  <c r="H211" i="15"/>
  <c r="H210" i="15"/>
  <c r="H209" i="15"/>
  <c r="H208" i="15"/>
  <c r="H207" i="15"/>
  <c r="H206" i="15"/>
  <c r="H205" i="15"/>
  <c r="H204" i="15"/>
  <c r="H203" i="15"/>
  <c r="H202" i="15"/>
  <c r="H201" i="15"/>
  <c r="H200" i="15"/>
  <c r="H199" i="15"/>
  <c r="H198" i="15"/>
  <c r="H197" i="15"/>
  <c r="H196" i="15"/>
  <c r="H195" i="15"/>
  <c r="H194" i="15"/>
  <c r="H193" i="15"/>
  <c r="H192" i="15"/>
  <c r="H191" i="15"/>
  <c r="H190" i="15"/>
  <c r="H189" i="15"/>
  <c r="H188" i="15"/>
  <c r="H187" i="15"/>
  <c r="H186" i="15"/>
  <c r="H185" i="15"/>
  <c r="H184" i="15"/>
  <c r="H183" i="15"/>
  <c r="H182" i="15"/>
  <c r="H181" i="15"/>
  <c r="H180" i="15"/>
  <c r="H179" i="15"/>
  <c r="H178" i="15"/>
  <c r="H177" i="15"/>
  <c r="H176" i="15"/>
  <c r="H175" i="15"/>
  <c r="H174" i="15"/>
  <c r="H173" i="15"/>
  <c r="H172" i="15"/>
  <c r="H171" i="15"/>
  <c r="H170" i="15"/>
  <c r="H169" i="15"/>
  <c r="H168" i="15"/>
  <c r="H167" i="15"/>
  <c r="H166" i="15"/>
  <c r="H165" i="15"/>
  <c r="H164" i="15"/>
  <c r="H163" i="15"/>
  <c r="H162" i="15"/>
  <c r="H161" i="15"/>
  <c r="H160" i="15"/>
  <c r="H159" i="15"/>
  <c r="H158" i="15"/>
  <c r="H157" i="15"/>
  <c r="H156" i="15"/>
  <c r="H155" i="15"/>
  <c r="H154" i="15"/>
  <c r="H153" i="15"/>
  <c r="H152" i="15"/>
  <c r="H151" i="15"/>
  <c r="H150" i="15"/>
  <c r="H149" i="15"/>
  <c r="H148" i="15"/>
  <c r="H147" i="15"/>
  <c r="H146" i="15"/>
  <c r="H145" i="15"/>
  <c r="H144" i="15"/>
  <c r="H143" i="15"/>
  <c r="H142" i="15"/>
  <c r="H141" i="15"/>
  <c r="H140" i="15"/>
  <c r="H139" i="15"/>
  <c r="H138" i="15"/>
  <c r="H137" i="15"/>
  <c r="H136" i="15"/>
  <c r="H135" i="15"/>
  <c r="H134" i="15"/>
  <c r="H133" i="15"/>
  <c r="H132" i="15"/>
  <c r="H131" i="15"/>
  <c r="H130" i="15"/>
  <c r="H129" i="15"/>
  <c r="H128" i="15"/>
  <c r="H127" i="15"/>
  <c r="H126" i="15"/>
  <c r="H125" i="15"/>
  <c r="H124" i="15"/>
  <c r="H123" i="15"/>
  <c r="H122" i="15"/>
  <c r="H121" i="15"/>
  <c r="H120" i="15"/>
  <c r="H119" i="15"/>
  <c r="H118" i="15"/>
  <c r="H117" i="15"/>
  <c r="H116" i="15"/>
  <c r="H115" i="15"/>
  <c r="H114" i="15"/>
  <c r="H113" i="15"/>
  <c r="H112" i="15"/>
  <c r="H111" i="15"/>
  <c r="H110" i="15"/>
  <c r="H109" i="15"/>
  <c r="H108" i="15"/>
  <c r="H107" i="15"/>
  <c r="H106" i="15"/>
  <c r="H105" i="15"/>
  <c r="H104" i="15"/>
  <c r="H103" i="15"/>
  <c r="H102" i="15"/>
  <c r="H101" i="15"/>
  <c r="H100" i="15"/>
  <c r="H99" i="15"/>
  <c r="H98" i="15"/>
  <c r="H97" i="15"/>
  <c r="H96" i="15"/>
  <c r="H95" i="15"/>
  <c r="H94" i="15"/>
  <c r="H93" i="15"/>
  <c r="H92" i="15"/>
  <c r="H91" i="15"/>
  <c r="H90" i="15"/>
  <c r="H89" i="15"/>
  <c r="H88" i="15"/>
  <c r="H87" i="15"/>
  <c r="H86" i="15"/>
  <c r="H85" i="15"/>
  <c r="H84" i="15"/>
  <c r="H83" i="15"/>
  <c r="H82" i="15"/>
  <c r="H81" i="15"/>
  <c r="H80" i="15"/>
  <c r="H79" i="15"/>
  <c r="H78" i="15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H4" i="15"/>
  <c r="H3" i="15"/>
  <c r="H2" i="15"/>
  <c r="H1" i="15"/>
  <c r="A982" i="13"/>
  <c r="A981" i="13"/>
  <c r="A980" i="13"/>
  <c r="A979" i="13"/>
  <c r="A978" i="13"/>
  <c r="A977" i="13"/>
  <c r="A976" i="13"/>
  <c r="A975" i="13"/>
  <c r="A974" i="13"/>
  <c r="A973" i="13"/>
  <c r="A972" i="13"/>
  <c r="A971" i="13"/>
  <c r="A970" i="13"/>
  <c r="A969" i="13"/>
  <c r="A968" i="13"/>
  <c r="A967" i="13"/>
  <c r="A966" i="13"/>
  <c r="A965" i="13"/>
  <c r="A964" i="13"/>
  <c r="A963" i="13"/>
  <c r="A962" i="13"/>
  <c r="A961" i="13"/>
  <c r="A960" i="13"/>
  <c r="A959" i="13"/>
  <c r="A958" i="13"/>
  <c r="A957" i="13"/>
  <c r="A956" i="13"/>
  <c r="A955" i="13"/>
  <c r="A954" i="13"/>
  <c r="A953" i="13"/>
  <c r="A952" i="13"/>
  <c r="A951" i="13"/>
  <c r="A950" i="13"/>
  <c r="A949" i="13"/>
  <c r="A948" i="13"/>
  <c r="A947" i="13"/>
  <c r="A946" i="13"/>
  <c r="A945" i="13"/>
  <c r="A944" i="13"/>
  <c r="A943" i="13"/>
  <c r="A942" i="13"/>
  <c r="A941" i="13"/>
  <c r="A940" i="13"/>
  <c r="A939" i="13"/>
  <c r="A938" i="13"/>
  <c r="A937" i="13"/>
  <c r="A936" i="13"/>
  <c r="A935" i="13"/>
  <c r="A934" i="13"/>
  <c r="A933" i="13"/>
  <c r="A932" i="13"/>
  <c r="A931" i="13"/>
  <c r="A930" i="13"/>
  <c r="A929" i="13"/>
  <c r="A928" i="13"/>
  <c r="A927" i="13"/>
  <c r="A926" i="13"/>
  <c r="A925" i="13"/>
  <c r="A924" i="13"/>
  <c r="A923" i="13"/>
  <c r="A922" i="13"/>
  <c r="A921" i="13"/>
  <c r="A920" i="13"/>
  <c r="A919" i="13"/>
  <c r="A918" i="13"/>
  <c r="A917" i="13"/>
  <c r="A916" i="13"/>
  <c r="A915" i="13"/>
  <c r="A914" i="13"/>
  <c r="A913" i="13"/>
  <c r="A912" i="13"/>
  <c r="A911" i="13"/>
  <c r="A910" i="13"/>
  <c r="A909" i="13"/>
  <c r="A908" i="13"/>
  <c r="A907" i="13"/>
  <c r="A906" i="13"/>
  <c r="A905" i="13"/>
  <c r="A904" i="13"/>
  <c r="A903" i="13"/>
  <c r="A902" i="13"/>
  <c r="A901" i="13"/>
  <c r="A900" i="13"/>
  <c r="A899" i="13"/>
  <c r="A898" i="13"/>
  <c r="A897" i="13"/>
  <c r="A896" i="13"/>
  <c r="A895" i="13"/>
  <c r="A894" i="13"/>
  <c r="A893" i="13"/>
  <c r="A892" i="13"/>
  <c r="A891" i="13"/>
  <c r="A890" i="13"/>
  <c r="A889" i="13"/>
  <c r="A888" i="13"/>
  <c r="A887" i="13"/>
  <c r="A886" i="13"/>
  <c r="A885" i="13"/>
  <c r="A884" i="13"/>
  <c r="A883" i="13"/>
  <c r="A882" i="13"/>
  <c r="A881" i="13"/>
  <c r="A880" i="13"/>
  <c r="A879" i="13"/>
  <c r="A878" i="13"/>
  <c r="A877" i="13"/>
  <c r="A876" i="13"/>
  <c r="A875" i="13"/>
  <c r="A874" i="13"/>
  <c r="A873" i="13"/>
  <c r="A872" i="13"/>
  <c r="A871" i="13"/>
  <c r="A870" i="13"/>
  <c r="A869" i="13"/>
  <c r="A868" i="13"/>
  <c r="A867" i="13"/>
  <c r="A866" i="13"/>
  <c r="A865" i="13"/>
  <c r="A864" i="13"/>
  <c r="A863" i="13"/>
  <c r="A862" i="13"/>
  <c r="A861" i="13"/>
  <c r="A860" i="13"/>
  <c r="A859" i="13"/>
  <c r="A858" i="13"/>
  <c r="A857" i="13"/>
  <c r="A856" i="13"/>
  <c r="A855" i="13"/>
  <c r="A854" i="13"/>
  <c r="A853" i="13"/>
  <c r="A852" i="13"/>
  <c r="A851" i="13"/>
  <c r="A850" i="13"/>
  <c r="A849" i="13"/>
  <c r="A848" i="13"/>
  <c r="A847" i="13"/>
  <c r="A846" i="13"/>
  <c r="A845" i="13"/>
  <c r="A844" i="13"/>
  <c r="A843" i="13"/>
  <c r="A842" i="13"/>
  <c r="A841" i="13"/>
  <c r="A840" i="13"/>
  <c r="A839" i="13"/>
  <c r="A838" i="13"/>
  <c r="A837" i="13"/>
  <c r="A836" i="13"/>
  <c r="A835" i="13"/>
  <c r="A834" i="13"/>
  <c r="A833" i="13"/>
  <c r="A832" i="13"/>
  <c r="A831" i="13"/>
  <c r="A830" i="13"/>
  <c r="A829" i="13"/>
  <c r="A828" i="13"/>
  <c r="A827" i="13"/>
  <c r="A826" i="13"/>
  <c r="A825" i="13"/>
  <c r="A824" i="13"/>
  <c r="A823" i="13"/>
  <c r="A822" i="13"/>
  <c r="A821" i="13"/>
  <c r="A820" i="13"/>
  <c r="A819" i="13"/>
  <c r="A818" i="13"/>
  <c r="A817" i="13"/>
  <c r="A816" i="13"/>
  <c r="A815" i="13"/>
  <c r="A814" i="13"/>
  <c r="A813" i="13"/>
  <c r="A812" i="13"/>
  <c r="A811" i="13"/>
  <c r="A810" i="13"/>
  <c r="A809" i="13"/>
  <c r="A808" i="13"/>
  <c r="A807" i="13"/>
  <c r="A806" i="13"/>
  <c r="A805" i="13"/>
  <c r="A804" i="13"/>
  <c r="A803" i="13"/>
  <c r="A802" i="13"/>
  <c r="A801" i="13"/>
  <c r="A800" i="13"/>
  <c r="A799" i="13"/>
  <c r="A798" i="13"/>
  <c r="A797" i="13"/>
  <c r="A796" i="13"/>
  <c r="A795" i="13"/>
  <c r="A794" i="13"/>
  <c r="A793" i="13"/>
  <c r="A792" i="13"/>
  <c r="A791" i="13"/>
  <c r="A790" i="13"/>
  <c r="A789" i="13"/>
  <c r="A788" i="13"/>
  <c r="A787" i="13"/>
  <c r="A786" i="13"/>
  <c r="A785" i="13"/>
  <c r="A784" i="13"/>
  <c r="A783" i="13"/>
  <c r="A782" i="13"/>
  <c r="A781" i="13"/>
  <c r="A780" i="13"/>
  <c r="A779" i="13"/>
  <c r="A778" i="13"/>
  <c r="A777" i="13"/>
  <c r="A776" i="13"/>
  <c r="A775" i="13"/>
  <c r="A774" i="13"/>
  <c r="A773" i="13"/>
  <c r="A772" i="13"/>
  <c r="A771" i="13"/>
  <c r="A770" i="13"/>
  <c r="A769" i="13"/>
  <c r="A768" i="13"/>
  <c r="A767" i="13"/>
  <c r="A766" i="13"/>
  <c r="A765" i="13"/>
  <c r="A764" i="13"/>
  <c r="A763" i="13"/>
  <c r="A762" i="13"/>
  <c r="A761" i="13"/>
  <c r="A760" i="13"/>
  <c r="A759" i="13"/>
  <c r="A758" i="13"/>
  <c r="A757" i="13"/>
  <c r="A756" i="13"/>
  <c r="A755" i="13"/>
  <c r="A754" i="13"/>
  <c r="A753" i="13"/>
  <c r="A752" i="13"/>
  <c r="A751" i="13"/>
  <c r="A750" i="13"/>
  <c r="A749" i="13"/>
  <c r="A748" i="13"/>
  <c r="A747" i="13"/>
  <c r="A746" i="13"/>
  <c r="A745" i="13"/>
  <c r="A744" i="13"/>
  <c r="A743" i="13"/>
  <c r="A742" i="13"/>
  <c r="A741" i="13"/>
  <c r="A740" i="13"/>
  <c r="A739" i="13"/>
  <c r="A738" i="13"/>
  <c r="A737" i="13"/>
  <c r="A736" i="13"/>
  <c r="A735" i="13"/>
  <c r="A734" i="13"/>
  <c r="A733" i="13"/>
  <c r="A732" i="13"/>
  <c r="A731" i="13"/>
  <c r="A730" i="13"/>
  <c r="A729" i="13"/>
  <c r="A728" i="13"/>
  <c r="A727" i="13"/>
  <c r="A726" i="13"/>
  <c r="A725" i="13"/>
  <c r="A724" i="13"/>
  <c r="A723" i="13"/>
  <c r="A722" i="13"/>
  <c r="A721" i="13"/>
  <c r="A720" i="13"/>
  <c r="A719" i="13"/>
  <c r="A718" i="13"/>
  <c r="A717" i="13"/>
  <c r="A716" i="13"/>
  <c r="A715" i="13"/>
  <c r="A714" i="13"/>
  <c r="A713" i="13"/>
  <c r="A712" i="13"/>
  <c r="A711" i="13"/>
  <c r="A710" i="13"/>
  <c r="A709" i="13"/>
  <c r="A708" i="13"/>
  <c r="A707" i="13"/>
  <c r="A706" i="13"/>
  <c r="A705" i="13"/>
  <c r="A704" i="13"/>
  <c r="A703" i="13"/>
  <c r="A702" i="13"/>
  <c r="A701" i="13"/>
  <c r="A700" i="13"/>
  <c r="A699" i="13"/>
  <c r="A698" i="13"/>
  <c r="A697" i="13"/>
  <c r="A696" i="13"/>
  <c r="A695" i="13"/>
  <c r="A694" i="13"/>
  <c r="A693" i="13"/>
  <c r="A692" i="13"/>
  <c r="A691" i="13"/>
  <c r="A690" i="13"/>
  <c r="A689" i="13"/>
  <c r="A688" i="13"/>
  <c r="A687" i="13"/>
  <c r="A686" i="13"/>
  <c r="A685" i="13"/>
  <c r="A684" i="13"/>
  <c r="A683" i="13"/>
  <c r="A682" i="13"/>
  <c r="A681" i="13"/>
  <c r="A680" i="13"/>
  <c r="A679" i="13"/>
  <c r="A678" i="13"/>
  <c r="A677" i="13"/>
  <c r="A676" i="13"/>
  <c r="A675" i="13"/>
  <c r="A674" i="13"/>
  <c r="A673" i="13"/>
  <c r="A672" i="13"/>
  <c r="A671" i="13"/>
  <c r="A670" i="13"/>
  <c r="A669" i="13"/>
  <c r="A668" i="13"/>
  <c r="A667" i="13"/>
  <c r="A666" i="13"/>
  <c r="A665" i="13"/>
  <c r="A664" i="13"/>
  <c r="A663" i="13"/>
  <c r="A662" i="13"/>
  <c r="A661" i="13"/>
  <c r="A660" i="13"/>
  <c r="A659" i="13"/>
  <c r="A658" i="13"/>
  <c r="A657" i="13"/>
  <c r="A656" i="13"/>
  <c r="A655" i="13"/>
  <c r="A654" i="13"/>
  <c r="A653" i="13"/>
  <c r="A652" i="13"/>
  <c r="A651" i="13"/>
  <c r="A650" i="13"/>
  <c r="A649" i="13"/>
  <c r="A648" i="13"/>
  <c r="A647" i="13"/>
  <c r="A646" i="13"/>
  <c r="A645" i="13"/>
  <c r="A644" i="13"/>
  <c r="A643" i="13"/>
  <c r="A642" i="13"/>
  <c r="A641" i="13"/>
  <c r="A640" i="13"/>
  <c r="A639" i="13"/>
  <c r="A638" i="13"/>
  <c r="A637" i="13"/>
  <c r="A636" i="13"/>
  <c r="A635" i="13"/>
  <c r="A634" i="13"/>
  <c r="A633" i="13"/>
  <c r="A632" i="13"/>
  <c r="A631" i="13"/>
  <c r="A630" i="13"/>
  <c r="A629" i="13"/>
  <c r="A628" i="13"/>
  <c r="A627" i="13"/>
  <c r="A626" i="13"/>
  <c r="A625" i="13"/>
  <c r="A624" i="13"/>
  <c r="A623" i="13"/>
  <c r="A622" i="13"/>
  <c r="A621" i="13"/>
  <c r="A620" i="13"/>
  <c r="A619" i="13"/>
  <c r="A618" i="13"/>
  <c r="A617" i="13"/>
  <c r="A616" i="13"/>
  <c r="A615" i="13"/>
  <c r="A614" i="13"/>
  <c r="A613" i="13"/>
  <c r="A612" i="13"/>
  <c r="A611" i="13"/>
  <c r="A610" i="13"/>
  <c r="A609" i="13"/>
  <c r="A608" i="13"/>
  <c r="A607" i="13"/>
  <c r="A606" i="13"/>
  <c r="A605" i="13"/>
  <c r="A604" i="13"/>
  <c r="A603" i="13"/>
  <c r="A602" i="13"/>
  <c r="A601" i="13"/>
  <c r="A600" i="13"/>
  <c r="A599" i="13"/>
  <c r="A598" i="13"/>
  <c r="A597" i="13"/>
  <c r="A596" i="13"/>
  <c r="A595" i="13"/>
  <c r="A594" i="13"/>
  <c r="A593" i="13"/>
  <c r="A592" i="13"/>
  <c r="A591" i="13"/>
  <c r="A590" i="13"/>
  <c r="A589" i="13"/>
  <c r="A588" i="13"/>
  <c r="A587" i="13"/>
  <c r="A586" i="13"/>
  <c r="A585" i="13"/>
  <c r="A584" i="13"/>
  <c r="A583" i="13"/>
  <c r="A582" i="13"/>
  <c r="A581" i="13"/>
  <c r="A580" i="13"/>
  <c r="A579" i="13"/>
  <c r="A578" i="13"/>
  <c r="A577" i="13"/>
  <c r="A576" i="13"/>
  <c r="A575" i="13"/>
  <c r="A574" i="13"/>
  <c r="A573" i="13"/>
  <c r="A572" i="13"/>
  <c r="A571" i="13"/>
  <c r="A570" i="13"/>
  <c r="A569" i="13"/>
  <c r="A568" i="13"/>
  <c r="A567" i="13"/>
  <c r="A566" i="13"/>
  <c r="A565" i="13"/>
  <c r="A564" i="13"/>
  <c r="A563" i="13"/>
  <c r="A562" i="13"/>
  <c r="A561" i="13"/>
  <c r="A560" i="13"/>
  <c r="A559" i="13"/>
  <c r="A558" i="13"/>
  <c r="A557" i="13"/>
  <c r="A556" i="13"/>
  <c r="A555" i="13"/>
  <c r="A554" i="13"/>
  <c r="A553" i="13"/>
  <c r="A552" i="13"/>
  <c r="A551" i="13"/>
  <c r="A550" i="13"/>
  <c r="A549" i="13"/>
  <c r="A548" i="13"/>
  <c r="A547" i="13"/>
  <c r="A546" i="13"/>
  <c r="A545" i="13"/>
  <c r="A544" i="13"/>
  <c r="A543" i="13"/>
  <c r="A542" i="13"/>
  <c r="A541" i="13"/>
  <c r="A540" i="13"/>
  <c r="A539" i="13"/>
  <c r="A538" i="13"/>
  <c r="A537" i="13"/>
  <c r="A536" i="13"/>
  <c r="A535" i="13"/>
  <c r="A534" i="13"/>
  <c r="A533" i="13"/>
  <c r="A532" i="13"/>
  <c r="A531" i="13"/>
  <c r="A530" i="13"/>
  <c r="A529" i="13"/>
  <c r="A528" i="13"/>
  <c r="A527" i="13"/>
  <c r="A526" i="13"/>
  <c r="A525" i="13"/>
  <c r="A524" i="13"/>
  <c r="A523" i="13"/>
  <c r="A522" i="13"/>
  <c r="A521" i="13"/>
  <c r="A520" i="13"/>
  <c r="A519" i="13"/>
  <c r="A518" i="13"/>
  <c r="A517" i="13"/>
  <c r="A516" i="13"/>
  <c r="A515" i="13"/>
  <c r="A514" i="13"/>
  <c r="A513" i="13"/>
  <c r="A512" i="13"/>
  <c r="A511" i="13"/>
  <c r="A510" i="13"/>
  <c r="A509" i="13"/>
  <c r="A508" i="13"/>
  <c r="A507" i="13"/>
  <c r="A506" i="13"/>
  <c r="A505" i="13"/>
  <c r="A504" i="13"/>
  <c r="A503" i="13"/>
  <c r="A502" i="13"/>
  <c r="A501" i="13"/>
  <c r="A500" i="13"/>
  <c r="A499" i="13"/>
  <c r="A498" i="13"/>
  <c r="A497" i="13"/>
  <c r="A496" i="13"/>
  <c r="A495" i="13"/>
  <c r="A494" i="13"/>
  <c r="A493" i="13"/>
  <c r="A492" i="13"/>
  <c r="A491" i="13"/>
  <c r="A490" i="13"/>
  <c r="A489" i="13"/>
  <c r="A488" i="13"/>
  <c r="A487" i="13"/>
  <c r="A486" i="13"/>
  <c r="A485" i="13"/>
  <c r="A484" i="13"/>
  <c r="A483" i="13"/>
  <c r="A482" i="13"/>
  <c r="A481" i="13"/>
  <c r="A480" i="13"/>
  <c r="A479" i="13"/>
  <c r="A478" i="13"/>
  <c r="A477" i="13"/>
  <c r="A476" i="13"/>
  <c r="A475" i="13"/>
  <c r="A474" i="13"/>
  <c r="A473" i="13"/>
  <c r="A472" i="13"/>
  <c r="A471" i="13"/>
  <c r="A470" i="13"/>
  <c r="A469" i="13"/>
  <c r="A468" i="13"/>
  <c r="A467" i="13"/>
  <c r="A466" i="13"/>
  <c r="A465" i="13"/>
  <c r="A464" i="13"/>
  <c r="A463" i="13"/>
  <c r="A462" i="13"/>
  <c r="A461" i="13"/>
  <c r="A460" i="13"/>
  <c r="A459" i="13"/>
  <c r="A458" i="13"/>
  <c r="A457" i="13"/>
  <c r="A456" i="13"/>
  <c r="A455" i="13"/>
  <c r="A454" i="13"/>
  <c r="A453" i="13"/>
  <c r="A452" i="13"/>
  <c r="A451" i="13"/>
  <c r="A450" i="13"/>
  <c r="A449" i="13"/>
  <c r="A448" i="13"/>
  <c r="A447" i="13"/>
  <c r="A446" i="13"/>
  <c r="A445" i="13"/>
  <c r="A444" i="13"/>
  <c r="A443" i="13"/>
  <c r="A442" i="13"/>
  <c r="A441" i="13"/>
  <c r="A440" i="13"/>
  <c r="A439" i="13"/>
  <c r="A438" i="13"/>
  <c r="A437" i="13"/>
  <c r="A436" i="13"/>
  <c r="A435" i="13"/>
  <c r="A434" i="13"/>
  <c r="A433" i="13"/>
  <c r="A432" i="13"/>
  <c r="A431" i="13"/>
  <c r="A430" i="13"/>
  <c r="A429" i="13"/>
  <c r="A428" i="13"/>
  <c r="A427" i="13"/>
  <c r="A426" i="13"/>
  <c r="A425" i="13"/>
  <c r="A424" i="13"/>
  <c r="A423" i="13"/>
  <c r="A422" i="13"/>
  <c r="A421" i="13"/>
  <c r="A420" i="13"/>
  <c r="A419" i="13"/>
  <c r="A418" i="13"/>
  <c r="A417" i="13"/>
  <c r="A416" i="13"/>
  <c r="A415" i="13"/>
  <c r="A414" i="13"/>
  <c r="A413" i="13"/>
  <c r="A412" i="13"/>
  <c r="A411" i="13"/>
  <c r="A410" i="13"/>
  <c r="A409" i="13"/>
  <c r="A408" i="13"/>
  <c r="A407" i="13"/>
  <c r="A406" i="13"/>
  <c r="A405" i="13"/>
  <c r="A404" i="13"/>
  <c r="A403" i="13"/>
  <c r="A402" i="13"/>
  <c r="A401" i="13"/>
  <c r="A400" i="13"/>
  <c r="A399" i="13"/>
  <c r="A398" i="13"/>
  <c r="A397" i="13"/>
  <c r="A396" i="13"/>
  <c r="A395" i="13"/>
  <c r="A394" i="13"/>
  <c r="A393" i="13"/>
  <c r="A392" i="13"/>
  <c r="A391" i="13"/>
  <c r="A390" i="13"/>
  <c r="A389" i="13"/>
  <c r="A388" i="13"/>
  <c r="A387" i="13"/>
  <c r="A386" i="13"/>
  <c r="A385" i="13"/>
  <c r="A384" i="13"/>
  <c r="A383" i="13"/>
  <c r="A382" i="13"/>
  <c r="A381" i="13"/>
  <c r="A380" i="13"/>
  <c r="A379" i="13"/>
  <c r="A378" i="13"/>
  <c r="A377" i="13"/>
  <c r="A376" i="13"/>
  <c r="A375" i="13"/>
  <c r="A374" i="13"/>
  <c r="A373" i="13"/>
  <c r="A372" i="13"/>
  <c r="A371" i="13"/>
  <c r="A370" i="13"/>
  <c r="A369" i="13"/>
  <c r="A368" i="13"/>
  <c r="A367" i="13"/>
  <c r="A366" i="13"/>
  <c r="A365" i="13"/>
  <c r="A364" i="13"/>
  <c r="A363" i="13"/>
  <c r="A362" i="13"/>
  <c r="A361" i="13"/>
  <c r="A360" i="13"/>
  <c r="A359" i="13"/>
  <c r="A358" i="13"/>
  <c r="A357" i="13"/>
  <c r="A356" i="13"/>
  <c r="A355" i="13"/>
  <c r="A354" i="13"/>
  <c r="A353" i="13"/>
  <c r="A352" i="13"/>
  <c r="A351" i="13"/>
  <c r="A350" i="13"/>
  <c r="A349" i="13"/>
  <c r="A348" i="13"/>
  <c r="A347" i="13"/>
  <c r="A346" i="13"/>
  <c r="A345" i="13"/>
  <c r="A344" i="13"/>
  <c r="A343" i="13"/>
  <c r="A342" i="13"/>
  <c r="A341" i="13"/>
  <c r="A340" i="13"/>
  <c r="A339" i="13"/>
  <c r="A338" i="13"/>
  <c r="A337" i="13"/>
  <c r="A336" i="13"/>
  <c r="A335" i="13"/>
  <c r="A334" i="13"/>
  <c r="A333" i="13"/>
  <c r="A332" i="13"/>
  <c r="A331" i="13"/>
  <c r="A330" i="13"/>
  <c r="A329" i="13"/>
  <c r="A328" i="13"/>
  <c r="A327" i="13"/>
  <c r="A326" i="13"/>
  <c r="A325" i="13"/>
  <c r="A324" i="13"/>
  <c r="A323" i="13"/>
  <c r="A322" i="13"/>
  <c r="A321" i="13"/>
  <c r="A320" i="13"/>
  <c r="A319" i="13"/>
  <c r="A318" i="13"/>
  <c r="A317" i="13"/>
  <c r="A316" i="13"/>
  <c r="A315" i="13"/>
  <c r="A314" i="13"/>
  <c r="A313" i="13"/>
  <c r="A312" i="13"/>
  <c r="A311" i="13"/>
  <c r="A310" i="13"/>
  <c r="A309" i="13"/>
  <c r="A308" i="13"/>
  <c r="A307" i="13"/>
  <c r="A306" i="13"/>
  <c r="A305" i="13"/>
  <c r="A304" i="13"/>
  <c r="A303" i="13"/>
  <c r="A302" i="13"/>
  <c r="A301" i="13"/>
  <c r="A300" i="13"/>
  <c r="A299" i="13"/>
  <c r="A298" i="13"/>
  <c r="A297" i="13"/>
  <c r="A296" i="13"/>
  <c r="A295" i="13"/>
  <c r="A294" i="13"/>
  <c r="A293" i="13"/>
  <c r="A292" i="13"/>
  <c r="A291" i="13"/>
  <c r="A290" i="13"/>
  <c r="A289" i="13"/>
  <c r="A288" i="13"/>
  <c r="A287" i="13"/>
  <c r="A286" i="13"/>
  <c r="A285" i="13"/>
  <c r="A284" i="13"/>
  <c r="A283" i="13"/>
  <c r="A282" i="13"/>
  <c r="A281" i="13"/>
  <c r="A280" i="13"/>
  <c r="A279" i="13"/>
  <c r="A278" i="13"/>
  <c r="A277" i="13"/>
  <c r="A276" i="13"/>
  <c r="A275" i="13"/>
  <c r="A274" i="13"/>
  <c r="A273" i="13"/>
  <c r="A272" i="13"/>
  <c r="A271" i="13"/>
  <c r="A270" i="13"/>
  <c r="A269" i="13"/>
  <c r="A268" i="13"/>
  <c r="A267" i="13"/>
  <c r="A266" i="13"/>
  <c r="A265" i="13"/>
  <c r="A264" i="13"/>
  <c r="A263" i="13"/>
  <c r="A262" i="13"/>
  <c r="A261" i="13"/>
  <c r="A260" i="13"/>
  <c r="A259" i="13"/>
  <c r="A258" i="13"/>
  <c r="A257" i="13"/>
  <c r="A256" i="13"/>
  <c r="A255" i="13"/>
  <c r="A254" i="13"/>
  <c r="A253" i="13"/>
  <c r="A252" i="13"/>
  <c r="A251" i="13"/>
  <c r="A250" i="13"/>
  <c r="A249" i="13"/>
  <c r="A248" i="13"/>
  <c r="A247" i="13"/>
  <c r="A246" i="13"/>
  <c r="A245" i="13"/>
  <c r="A244" i="13"/>
  <c r="A243" i="13"/>
  <c r="A242" i="13"/>
  <c r="A241" i="13"/>
  <c r="A240" i="13"/>
  <c r="A239" i="13"/>
  <c r="A238" i="13"/>
  <c r="A237" i="13"/>
  <c r="A236" i="13"/>
  <c r="A235" i="13"/>
  <c r="A234" i="13"/>
  <c r="A233" i="13"/>
  <c r="A232" i="13"/>
  <c r="A231" i="13"/>
  <c r="A230" i="13"/>
  <c r="A229" i="13"/>
  <c r="A228" i="13"/>
  <c r="A227" i="13"/>
  <c r="A226" i="13"/>
  <c r="A225" i="13"/>
  <c r="A224" i="13"/>
  <c r="A223" i="13"/>
  <c r="A222" i="13"/>
  <c r="A221" i="13"/>
  <c r="A220" i="13"/>
  <c r="A219" i="13"/>
  <c r="A218" i="13"/>
  <c r="A217" i="13"/>
  <c r="A216" i="13"/>
  <c r="A215" i="13"/>
  <c r="A214" i="13"/>
  <c r="A213" i="13"/>
  <c r="A212" i="13"/>
  <c r="A211" i="13"/>
  <c r="A210" i="13"/>
  <c r="A209" i="13"/>
  <c r="A208" i="13"/>
  <c r="A207" i="13"/>
  <c r="A206" i="13"/>
  <c r="A205" i="13"/>
  <c r="A204" i="13"/>
  <c r="A203" i="13"/>
  <c r="A202" i="13"/>
  <c r="A201" i="13"/>
  <c r="A200" i="13"/>
  <c r="A199" i="13"/>
  <c r="A198" i="13"/>
  <c r="A197" i="13"/>
  <c r="A196" i="13"/>
  <c r="A195" i="13"/>
  <c r="A194" i="13"/>
  <c r="A193" i="13"/>
  <c r="A192" i="13"/>
  <c r="A191" i="13"/>
  <c r="A190" i="13"/>
  <c r="A189" i="13"/>
  <c r="A188" i="13"/>
  <c r="A187" i="13"/>
  <c r="A186" i="13"/>
  <c r="A185" i="13"/>
  <c r="A184" i="13"/>
  <c r="A183" i="13"/>
  <c r="A182" i="13"/>
  <c r="A181" i="13"/>
  <c r="A180" i="13"/>
  <c r="A179" i="13"/>
  <c r="A178" i="13"/>
  <c r="A177" i="13"/>
  <c r="A176" i="13"/>
  <c r="A175" i="13"/>
  <c r="A174" i="13"/>
  <c r="A173" i="13"/>
  <c r="A172" i="13"/>
  <c r="A171" i="13"/>
  <c r="A170" i="13"/>
  <c r="A169" i="13"/>
  <c r="A168" i="13"/>
  <c r="A167" i="13"/>
  <c r="A166" i="13"/>
  <c r="A165" i="13"/>
  <c r="A164" i="13"/>
  <c r="A163" i="13"/>
  <c r="A162" i="13"/>
  <c r="A161" i="13"/>
  <c r="A160" i="13"/>
  <c r="A159" i="13"/>
  <c r="A158" i="13"/>
  <c r="A157" i="13"/>
  <c r="A156" i="13"/>
  <c r="A155" i="13"/>
  <c r="A154" i="13"/>
  <c r="A153" i="13"/>
  <c r="A152" i="13"/>
  <c r="A151" i="13"/>
  <c r="A150" i="13"/>
  <c r="A149" i="13"/>
  <c r="A148" i="13"/>
  <c r="A147" i="13"/>
  <c r="A146" i="13"/>
  <c r="A145" i="13"/>
  <c r="A144" i="13"/>
  <c r="A143" i="13"/>
  <c r="A142" i="13"/>
  <c r="A141" i="13"/>
  <c r="A140" i="13"/>
  <c r="A139" i="13"/>
  <c r="A138" i="13"/>
  <c r="A137" i="13"/>
  <c r="A136" i="13"/>
  <c r="A135" i="13"/>
  <c r="A134" i="13"/>
  <c r="A133" i="13"/>
  <c r="A132" i="13"/>
  <c r="A131" i="13"/>
  <c r="A130" i="13"/>
  <c r="A129" i="13"/>
  <c r="A128" i="13"/>
  <c r="A127" i="13"/>
  <c r="A126" i="13"/>
  <c r="A125" i="13"/>
  <c r="A124" i="13"/>
  <c r="A123" i="13"/>
  <c r="A122" i="13"/>
  <c r="A121" i="13"/>
  <c r="A120" i="13"/>
  <c r="A119" i="13"/>
  <c r="A118" i="13"/>
  <c r="A117" i="13"/>
  <c r="A116" i="13"/>
  <c r="A115" i="13"/>
  <c r="A114" i="13"/>
  <c r="A113" i="13"/>
  <c r="A112" i="13"/>
  <c r="A111" i="13"/>
  <c r="A110" i="13"/>
  <c r="A109" i="13"/>
  <c r="A108" i="13"/>
  <c r="A107" i="13"/>
  <c r="A106" i="13"/>
  <c r="A105" i="13"/>
  <c r="A104" i="13"/>
  <c r="A103" i="13"/>
  <c r="A102" i="13"/>
  <c r="A101" i="13"/>
  <c r="A100" i="13"/>
  <c r="A99" i="13"/>
  <c r="A98" i="13"/>
  <c r="A97" i="13"/>
  <c r="A96" i="13"/>
  <c r="A95" i="13"/>
  <c r="A94" i="13"/>
  <c r="A93" i="13"/>
  <c r="A92" i="13"/>
  <c r="A91" i="13"/>
  <c r="A90" i="13"/>
  <c r="A89" i="13"/>
  <c r="A88" i="13"/>
  <c r="A87" i="13"/>
  <c r="A86" i="13"/>
  <c r="A85" i="13"/>
  <c r="A84" i="13"/>
  <c r="A83" i="13"/>
  <c r="A82" i="13"/>
  <c r="A81" i="13"/>
  <c r="A80" i="13"/>
  <c r="A79" i="13"/>
  <c r="A78" i="13"/>
  <c r="A77" i="13"/>
  <c r="A76" i="13"/>
  <c r="A75" i="13"/>
  <c r="A74" i="13"/>
  <c r="A73" i="13"/>
  <c r="A72" i="13"/>
  <c r="A71" i="13"/>
  <c r="A70" i="13"/>
  <c r="A69" i="13"/>
  <c r="A68" i="13"/>
  <c r="E66" i="13"/>
  <c r="D66" i="13"/>
  <c r="C66" i="13"/>
  <c r="E65" i="13"/>
  <c r="D65" i="13"/>
  <c r="C65" i="13"/>
  <c r="E64" i="13"/>
  <c r="D64" i="13"/>
  <c r="C64" i="13"/>
  <c r="E63" i="13"/>
  <c r="D63" i="13"/>
  <c r="C63" i="13"/>
  <c r="B63" i="13" s="1"/>
  <c r="E62" i="13"/>
  <c r="D62" i="13"/>
  <c r="C62" i="13"/>
  <c r="B62" i="13"/>
  <c r="E61" i="13"/>
  <c r="D61" i="13"/>
  <c r="C61" i="13"/>
  <c r="E60" i="13"/>
  <c r="D60" i="13"/>
  <c r="C60" i="13"/>
  <c r="B61" i="13" s="1"/>
  <c r="B60" i="13"/>
  <c r="E59" i="13"/>
  <c r="D59" i="13"/>
  <c r="C59" i="13"/>
  <c r="B59" i="13"/>
  <c r="E58" i="13"/>
  <c r="D58" i="13"/>
  <c r="C58" i="13"/>
  <c r="B58" i="13" s="1"/>
  <c r="E57" i="13"/>
  <c r="D57" i="13"/>
  <c r="C57" i="13"/>
  <c r="B57" i="13" s="1"/>
  <c r="E56" i="13"/>
  <c r="D56" i="13"/>
  <c r="C56" i="13"/>
  <c r="B56" i="13" s="1"/>
  <c r="E55" i="13"/>
  <c r="D55" i="13"/>
  <c r="C55" i="13"/>
  <c r="B55" i="13" s="1"/>
  <c r="E54" i="13"/>
  <c r="D54" i="13"/>
  <c r="C54" i="13"/>
  <c r="B54" i="13"/>
  <c r="E53" i="13"/>
  <c r="D53" i="13"/>
  <c r="C53" i="13"/>
  <c r="B53" i="13" s="1"/>
  <c r="E52" i="13"/>
  <c r="D52" i="13"/>
  <c r="C52" i="13"/>
  <c r="B52" i="13" s="1"/>
  <c r="E51" i="13"/>
  <c r="D51" i="13"/>
  <c r="C51" i="13"/>
  <c r="B51" i="13"/>
  <c r="E50" i="13"/>
  <c r="D50" i="13"/>
  <c r="C50" i="13"/>
  <c r="B50" i="13" s="1"/>
  <c r="E49" i="13"/>
  <c r="D49" i="13"/>
  <c r="C49" i="13"/>
  <c r="B49" i="13"/>
  <c r="E48" i="13"/>
  <c r="D48" i="13"/>
  <c r="C48" i="13"/>
  <c r="B48" i="13" s="1"/>
  <c r="E47" i="13"/>
  <c r="D47" i="13"/>
  <c r="C47" i="13"/>
  <c r="B47" i="13" s="1"/>
  <c r="E46" i="13"/>
  <c r="D46" i="13"/>
  <c r="C46" i="13"/>
  <c r="B46" i="13"/>
  <c r="E45" i="13"/>
  <c r="D45" i="13"/>
  <c r="C45" i="13"/>
  <c r="B45" i="13" s="1"/>
  <c r="E44" i="13"/>
  <c r="D44" i="13"/>
  <c r="C44" i="13"/>
  <c r="B44" i="13"/>
  <c r="E43" i="13"/>
  <c r="D43" i="13"/>
  <c r="C43" i="13"/>
  <c r="B43" i="13" s="1"/>
  <c r="E42" i="13"/>
  <c r="D42" i="13"/>
  <c r="C42" i="13"/>
  <c r="B42" i="13" s="1"/>
  <c r="E41" i="13"/>
  <c r="D41" i="13"/>
  <c r="C41" i="13"/>
  <c r="B41" i="13"/>
  <c r="E40" i="13"/>
  <c r="D40" i="13"/>
  <c r="C40" i="13"/>
  <c r="B40" i="13" s="1"/>
  <c r="E39" i="13"/>
  <c r="D39" i="13"/>
  <c r="C39" i="13"/>
  <c r="B39" i="13" s="1"/>
  <c r="E38" i="13"/>
  <c r="D38" i="13"/>
  <c r="C38" i="13"/>
  <c r="B38" i="13"/>
  <c r="E37" i="13"/>
  <c r="D37" i="13"/>
  <c r="C37" i="13"/>
  <c r="B37" i="13" s="1"/>
  <c r="E36" i="13"/>
  <c r="D36" i="13"/>
  <c r="C36" i="13"/>
  <c r="B36" i="13"/>
  <c r="E35" i="13"/>
  <c r="D35" i="13"/>
  <c r="C35" i="13"/>
  <c r="B35" i="13" s="1"/>
  <c r="E34" i="13"/>
  <c r="D34" i="13"/>
  <c r="C34" i="13"/>
  <c r="B34" i="13" s="1"/>
  <c r="E33" i="13"/>
  <c r="D33" i="13"/>
  <c r="C33" i="13"/>
  <c r="B33" i="13"/>
  <c r="E32" i="13"/>
  <c r="D32" i="13"/>
  <c r="C32" i="13"/>
  <c r="B32" i="13" s="1"/>
  <c r="E31" i="13"/>
  <c r="D31" i="13"/>
  <c r="C31" i="13"/>
  <c r="B31" i="13" s="1"/>
  <c r="E30" i="13"/>
  <c r="D30" i="13"/>
  <c r="C30" i="13"/>
  <c r="B30" i="13" s="1"/>
  <c r="E29" i="13"/>
  <c r="D29" i="13"/>
  <c r="C29" i="13"/>
  <c r="B29" i="13" s="1"/>
  <c r="E28" i="13"/>
  <c r="D28" i="13"/>
  <c r="C28" i="13"/>
  <c r="B28" i="13"/>
  <c r="E27" i="13"/>
  <c r="D27" i="13"/>
  <c r="C27" i="13"/>
  <c r="B27" i="13" s="1"/>
  <c r="E26" i="13"/>
  <c r="D26" i="13"/>
  <c r="C26" i="13"/>
  <c r="B26" i="13"/>
  <c r="E25" i="13"/>
  <c r="D25" i="13"/>
  <c r="C25" i="13"/>
  <c r="B25" i="13"/>
  <c r="E24" i="13"/>
  <c r="D24" i="13"/>
  <c r="C24" i="13"/>
  <c r="B24" i="13" s="1"/>
  <c r="E23" i="13"/>
  <c r="D23" i="13"/>
  <c r="C23" i="13"/>
  <c r="B23" i="13" s="1"/>
  <c r="E22" i="13"/>
  <c r="D22" i="13"/>
  <c r="C22" i="13"/>
  <c r="B22" i="13" s="1"/>
  <c r="E21" i="13"/>
  <c r="D21" i="13"/>
  <c r="C21" i="13"/>
  <c r="B21" i="13" s="1"/>
  <c r="E20" i="13"/>
  <c r="D20" i="13"/>
  <c r="C20" i="13"/>
  <c r="B20" i="13"/>
  <c r="E19" i="13"/>
  <c r="D19" i="13"/>
  <c r="C19" i="13"/>
  <c r="B19" i="13" s="1"/>
  <c r="E18" i="13"/>
  <c r="D18" i="13"/>
  <c r="C18" i="13"/>
  <c r="B18" i="13"/>
  <c r="E17" i="13"/>
  <c r="D17" i="13"/>
  <c r="C17" i="13"/>
  <c r="B17" i="13"/>
  <c r="E16" i="13"/>
  <c r="D16" i="13"/>
  <c r="C16" i="13"/>
  <c r="B16" i="13" s="1"/>
  <c r="E15" i="13"/>
  <c r="D15" i="13"/>
  <c r="C15" i="13"/>
  <c r="B15" i="13" s="1"/>
  <c r="E14" i="13"/>
  <c r="D14" i="13"/>
  <c r="C14" i="13"/>
  <c r="B14" i="13" s="1"/>
  <c r="E13" i="13"/>
  <c r="D13" i="13"/>
  <c r="C13" i="13"/>
  <c r="B13" i="13" s="1"/>
  <c r="E12" i="13"/>
  <c r="D12" i="13"/>
  <c r="C12" i="13"/>
  <c r="B12" i="13"/>
  <c r="E11" i="13"/>
  <c r="D11" i="13"/>
  <c r="C11" i="13"/>
  <c r="B11" i="13" s="1"/>
  <c r="E10" i="13"/>
  <c r="D10" i="13"/>
  <c r="C10" i="13"/>
  <c r="B10" i="13"/>
  <c r="E9" i="13"/>
  <c r="D9" i="13"/>
  <c r="C9" i="13"/>
  <c r="B9" i="13"/>
  <c r="C8" i="13"/>
  <c r="B8" i="13"/>
  <c r="A8" i="13"/>
  <c r="E7" i="13"/>
  <c r="D7" i="13"/>
  <c r="C7" i="13"/>
  <c r="B7" i="13"/>
  <c r="E6" i="13"/>
  <c r="D6" i="13"/>
  <c r="C6" i="13"/>
  <c r="B6" i="13" s="1"/>
  <c r="E5" i="13"/>
  <c r="D5" i="13"/>
  <c r="C5" i="13"/>
  <c r="B5" i="13" s="1"/>
  <c r="E4" i="13"/>
  <c r="D4" i="13"/>
  <c r="C4" i="13"/>
  <c r="B4" i="13" s="1"/>
  <c r="E3" i="13"/>
  <c r="D3" i="13"/>
  <c r="C3" i="13"/>
  <c r="B3" i="13" s="1"/>
  <c r="E2" i="13"/>
  <c r="D2" i="13"/>
  <c r="C2" i="13"/>
  <c r="B2" i="13"/>
  <c r="P1749" i="9"/>
  <c r="O1749" i="9"/>
  <c r="N1749" i="9"/>
  <c r="M1749" i="9"/>
  <c r="L1749" i="9"/>
  <c r="K1749" i="9"/>
  <c r="J1749" i="9"/>
  <c r="I1749" i="9"/>
  <c r="H1749" i="9"/>
  <c r="G1749" i="9"/>
  <c r="F1749" i="9"/>
  <c r="E1749" i="9"/>
  <c r="D1749" i="9"/>
  <c r="C1749" i="9"/>
  <c r="B1749" i="9"/>
  <c r="P1748" i="9"/>
  <c r="O1748" i="9"/>
  <c r="N1748" i="9"/>
  <c r="M1748" i="9"/>
  <c r="L1748" i="9"/>
  <c r="K1748" i="9"/>
  <c r="J1748" i="9"/>
  <c r="I1748" i="9"/>
  <c r="H1748" i="9"/>
  <c r="G1748" i="9"/>
  <c r="F1748" i="9"/>
  <c r="E1748" i="9"/>
  <c r="D1748" i="9"/>
  <c r="C1748" i="9"/>
  <c r="B1748" i="9"/>
  <c r="P1747" i="9"/>
  <c r="O1747" i="9"/>
  <c r="N1747" i="9"/>
  <c r="M1747" i="9"/>
  <c r="L1747" i="9"/>
  <c r="K1747" i="9"/>
  <c r="J1747" i="9"/>
  <c r="I1747" i="9"/>
  <c r="H1747" i="9"/>
  <c r="G1747" i="9"/>
  <c r="F1747" i="9"/>
  <c r="E1747" i="9"/>
  <c r="D1747" i="9"/>
  <c r="C1747" i="9"/>
  <c r="B1747" i="9"/>
  <c r="P1746" i="9"/>
  <c r="O1746" i="9"/>
  <c r="N1746" i="9"/>
  <c r="M1746" i="9"/>
  <c r="L1746" i="9"/>
  <c r="K1746" i="9"/>
  <c r="J1746" i="9"/>
  <c r="I1746" i="9"/>
  <c r="H1746" i="9"/>
  <c r="G1746" i="9"/>
  <c r="F1746" i="9"/>
  <c r="E1746" i="9"/>
  <c r="D1746" i="9"/>
  <c r="C1746" i="9"/>
  <c r="B1746" i="9"/>
  <c r="P1745" i="9"/>
  <c r="O1745" i="9"/>
  <c r="N1745" i="9"/>
  <c r="M1745" i="9"/>
  <c r="L1745" i="9"/>
  <c r="K1745" i="9"/>
  <c r="J1745" i="9"/>
  <c r="I1745" i="9"/>
  <c r="H1745" i="9"/>
  <c r="G1745" i="9"/>
  <c r="F1745" i="9"/>
  <c r="E1745" i="9"/>
  <c r="D1745" i="9"/>
  <c r="C1745" i="9"/>
  <c r="B1745" i="9"/>
  <c r="P1744" i="9"/>
  <c r="O1744" i="9"/>
  <c r="N1744" i="9"/>
  <c r="M1744" i="9"/>
  <c r="L1744" i="9"/>
  <c r="K1744" i="9"/>
  <c r="J1744" i="9"/>
  <c r="I1744" i="9"/>
  <c r="H1744" i="9"/>
  <c r="G1744" i="9"/>
  <c r="F1744" i="9"/>
  <c r="E1744" i="9"/>
  <c r="D1744" i="9"/>
  <c r="C1744" i="9"/>
  <c r="B1744" i="9"/>
  <c r="P1743" i="9"/>
  <c r="O1743" i="9"/>
  <c r="N1743" i="9"/>
  <c r="M1743" i="9"/>
  <c r="L1743" i="9"/>
  <c r="K1743" i="9"/>
  <c r="J1743" i="9"/>
  <c r="I1743" i="9"/>
  <c r="H1743" i="9"/>
  <c r="G1743" i="9"/>
  <c r="F1743" i="9"/>
  <c r="E1743" i="9"/>
  <c r="D1743" i="9"/>
  <c r="C1743" i="9"/>
  <c r="B1743" i="9"/>
  <c r="P1742" i="9"/>
  <c r="O1742" i="9"/>
  <c r="N1742" i="9"/>
  <c r="M1742" i="9"/>
  <c r="L1742" i="9"/>
  <c r="K1742" i="9"/>
  <c r="J1742" i="9"/>
  <c r="I1742" i="9"/>
  <c r="H1742" i="9"/>
  <c r="G1742" i="9"/>
  <c r="F1742" i="9"/>
  <c r="E1742" i="9"/>
  <c r="D1742" i="9"/>
  <c r="C1742" i="9"/>
  <c r="B1742" i="9"/>
  <c r="P1741" i="9"/>
  <c r="O1741" i="9"/>
  <c r="N1741" i="9"/>
  <c r="M1741" i="9"/>
  <c r="L1741" i="9"/>
  <c r="K1741" i="9"/>
  <c r="J1741" i="9"/>
  <c r="I1741" i="9"/>
  <c r="H1741" i="9"/>
  <c r="G1741" i="9"/>
  <c r="F1741" i="9"/>
  <c r="E1741" i="9"/>
  <c r="D1741" i="9"/>
  <c r="C1741" i="9"/>
  <c r="B1741" i="9"/>
  <c r="P1740" i="9"/>
  <c r="O1740" i="9"/>
  <c r="N1740" i="9"/>
  <c r="M1740" i="9"/>
  <c r="L1740" i="9"/>
  <c r="K1740" i="9"/>
  <c r="J1740" i="9"/>
  <c r="I1740" i="9"/>
  <c r="H1740" i="9"/>
  <c r="G1740" i="9"/>
  <c r="F1740" i="9"/>
  <c r="E1740" i="9"/>
  <c r="D1740" i="9"/>
  <c r="C1740" i="9"/>
  <c r="B1740" i="9"/>
  <c r="P1739" i="9"/>
  <c r="O1739" i="9"/>
  <c r="N1739" i="9"/>
  <c r="M1739" i="9"/>
  <c r="L1739" i="9"/>
  <c r="K1739" i="9"/>
  <c r="J1739" i="9"/>
  <c r="I1739" i="9"/>
  <c r="H1739" i="9"/>
  <c r="G1739" i="9"/>
  <c r="F1739" i="9"/>
  <c r="E1739" i="9"/>
  <c r="D1739" i="9"/>
  <c r="C1739" i="9"/>
  <c r="B1739" i="9"/>
  <c r="P1738" i="9"/>
  <c r="O1738" i="9"/>
  <c r="N1738" i="9"/>
  <c r="M1738" i="9"/>
  <c r="L1738" i="9"/>
  <c r="K1738" i="9"/>
  <c r="J1738" i="9"/>
  <c r="I1738" i="9"/>
  <c r="H1738" i="9"/>
  <c r="G1738" i="9"/>
  <c r="F1738" i="9"/>
  <c r="E1738" i="9"/>
  <c r="D1738" i="9"/>
  <c r="C1738" i="9"/>
  <c r="B1738" i="9"/>
  <c r="P1737" i="9"/>
  <c r="O1737" i="9"/>
  <c r="N1737" i="9"/>
  <c r="M1737" i="9"/>
  <c r="L1737" i="9"/>
  <c r="K1737" i="9"/>
  <c r="J1737" i="9"/>
  <c r="I1737" i="9"/>
  <c r="H1737" i="9"/>
  <c r="G1737" i="9"/>
  <c r="F1737" i="9"/>
  <c r="E1737" i="9"/>
  <c r="D1737" i="9"/>
  <c r="C1737" i="9"/>
  <c r="B1737" i="9"/>
  <c r="P1736" i="9"/>
  <c r="O1736" i="9"/>
  <c r="N1736" i="9"/>
  <c r="M1736" i="9"/>
  <c r="L1736" i="9"/>
  <c r="K1736" i="9"/>
  <c r="J1736" i="9"/>
  <c r="I1736" i="9"/>
  <c r="H1736" i="9"/>
  <c r="G1736" i="9"/>
  <c r="F1736" i="9"/>
  <c r="E1736" i="9"/>
  <c r="D1736" i="9"/>
  <c r="C1736" i="9"/>
  <c r="B1736" i="9"/>
  <c r="P1735" i="9"/>
  <c r="O1735" i="9"/>
  <c r="N1735" i="9"/>
  <c r="M1735" i="9"/>
  <c r="L1735" i="9"/>
  <c r="K1735" i="9"/>
  <c r="J1735" i="9"/>
  <c r="I1735" i="9"/>
  <c r="H1735" i="9"/>
  <c r="G1735" i="9"/>
  <c r="F1735" i="9"/>
  <c r="E1735" i="9"/>
  <c r="D1735" i="9"/>
  <c r="C1735" i="9"/>
  <c r="B1735" i="9"/>
  <c r="P1734" i="9"/>
  <c r="O1734" i="9"/>
  <c r="N1734" i="9"/>
  <c r="M1734" i="9"/>
  <c r="L1734" i="9"/>
  <c r="K1734" i="9"/>
  <c r="J1734" i="9"/>
  <c r="I1734" i="9"/>
  <c r="H1734" i="9"/>
  <c r="G1734" i="9"/>
  <c r="F1734" i="9"/>
  <c r="E1734" i="9"/>
  <c r="D1734" i="9"/>
  <c r="C1734" i="9"/>
  <c r="B1734" i="9"/>
  <c r="P1733" i="9"/>
  <c r="O1733" i="9"/>
  <c r="N1733" i="9"/>
  <c r="M1733" i="9"/>
  <c r="L1733" i="9"/>
  <c r="K1733" i="9"/>
  <c r="J1733" i="9"/>
  <c r="I1733" i="9"/>
  <c r="H1733" i="9"/>
  <c r="G1733" i="9"/>
  <c r="F1733" i="9"/>
  <c r="E1733" i="9"/>
  <c r="D1733" i="9"/>
  <c r="C1733" i="9"/>
  <c r="B1733" i="9"/>
  <c r="P1732" i="9"/>
  <c r="O1732" i="9"/>
  <c r="N1732" i="9"/>
  <c r="M1732" i="9"/>
  <c r="L1732" i="9"/>
  <c r="K1732" i="9"/>
  <c r="J1732" i="9"/>
  <c r="I1732" i="9"/>
  <c r="H1732" i="9"/>
  <c r="G1732" i="9"/>
  <c r="F1732" i="9"/>
  <c r="E1732" i="9"/>
  <c r="D1732" i="9"/>
  <c r="C1732" i="9"/>
  <c r="B1732" i="9"/>
  <c r="P1731" i="9"/>
  <c r="O1731" i="9"/>
  <c r="N1731" i="9"/>
  <c r="M1731" i="9"/>
  <c r="L1731" i="9"/>
  <c r="K1731" i="9"/>
  <c r="J1731" i="9"/>
  <c r="I1731" i="9"/>
  <c r="H1731" i="9"/>
  <c r="G1731" i="9"/>
  <c r="F1731" i="9"/>
  <c r="E1731" i="9"/>
  <c r="D1731" i="9"/>
  <c r="C1731" i="9"/>
  <c r="B1731" i="9"/>
  <c r="P1730" i="9"/>
  <c r="O1730" i="9"/>
  <c r="N1730" i="9"/>
  <c r="M1730" i="9"/>
  <c r="L1730" i="9"/>
  <c r="K1730" i="9"/>
  <c r="J1730" i="9"/>
  <c r="I1730" i="9"/>
  <c r="H1730" i="9"/>
  <c r="G1730" i="9"/>
  <c r="F1730" i="9"/>
  <c r="E1730" i="9"/>
  <c r="D1730" i="9"/>
  <c r="C1730" i="9"/>
  <c r="B1730" i="9"/>
  <c r="P1729" i="9"/>
  <c r="O1729" i="9"/>
  <c r="N1729" i="9"/>
  <c r="M1729" i="9"/>
  <c r="L1729" i="9"/>
  <c r="K1729" i="9"/>
  <c r="J1729" i="9"/>
  <c r="I1729" i="9"/>
  <c r="H1729" i="9"/>
  <c r="G1729" i="9"/>
  <c r="F1729" i="9"/>
  <c r="E1729" i="9"/>
  <c r="D1729" i="9"/>
  <c r="C1729" i="9"/>
  <c r="B1729" i="9"/>
  <c r="P1728" i="9"/>
  <c r="O1728" i="9"/>
  <c r="N1728" i="9"/>
  <c r="M1728" i="9"/>
  <c r="L1728" i="9"/>
  <c r="K1728" i="9"/>
  <c r="J1728" i="9"/>
  <c r="I1728" i="9"/>
  <c r="H1728" i="9"/>
  <c r="G1728" i="9"/>
  <c r="F1728" i="9"/>
  <c r="E1728" i="9"/>
  <c r="D1728" i="9"/>
  <c r="C1728" i="9"/>
  <c r="B1728" i="9"/>
  <c r="P1727" i="9"/>
  <c r="O1727" i="9"/>
  <c r="N1727" i="9"/>
  <c r="M1727" i="9"/>
  <c r="L1727" i="9"/>
  <c r="K1727" i="9"/>
  <c r="J1727" i="9"/>
  <c r="I1727" i="9"/>
  <c r="H1727" i="9"/>
  <c r="G1727" i="9"/>
  <c r="F1727" i="9"/>
  <c r="E1727" i="9"/>
  <c r="D1727" i="9"/>
  <c r="C1727" i="9"/>
  <c r="B1727" i="9"/>
  <c r="P1726" i="9"/>
  <c r="O1726" i="9"/>
  <c r="N1726" i="9"/>
  <c r="M1726" i="9"/>
  <c r="L1726" i="9"/>
  <c r="K1726" i="9"/>
  <c r="J1726" i="9"/>
  <c r="I1726" i="9"/>
  <c r="H1726" i="9"/>
  <c r="G1726" i="9"/>
  <c r="F1726" i="9"/>
  <c r="E1726" i="9"/>
  <c r="D1726" i="9"/>
  <c r="C1726" i="9"/>
  <c r="B1726" i="9"/>
  <c r="P1725" i="9"/>
  <c r="O1725" i="9"/>
  <c r="N1725" i="9"/>
  <c r="M1725" i="9"/>
  <c r="L1725" i="9"/>
  <c r="K1725" i="9"/>
  <c r="J1725" i="9"/>
  <c r="I1725" i="9"/>
  <c r="H1725" i="9"/>
  <c r="G1725" i="9"/>
  <c r="F1725" i="9"/>
  <c r="E1725" i="9"/>
  <c r="D1725" i="9"/>
  <c r="C1725" i="9"/>
  <c r="B1725" i="9"/>
  <c r="P1724" i="9"/>
  <c r="O1724" i="9"/>
  <c r="N1724" i="9"/>
  <c r="M1724" i="9"/>
  <c r="L1724" i="9"/>
  <c r="K1724" i="9"/>
  <c r="J1724" i="9"/>
  <c r="I1724" i="9"/>
  <c r="H1724" i="9"/>
  <c r="G1724" i="9"/>
  <c r="F1724" i="9"/>
  <c r="E1724" i="9"/>
  <c r="D1724" i="9"/>
  <c r="C1724" i="9"/>
  <c r="B1724" i="9"/>
  <c r="P1723" i="9"/>
  <c r="O1723" i="9"/>
  <c r="N1723" i="9"/>
  <c r="M1723" i="9"/>
  <c r="L1723" i="9"/>
  <c r="K1723" i="9"/>
  <c r="J1723" i="9"/>
  <c r="I1723" i="9"/>
  <c r="H1723" i="9"/>
  <c r="G1723" i="9"/>
  <c r="F1723" i="9"/>
  <c r="E1723" i="9"/>
  <c r="D1723" i="9"/>
  <c r="C1723" i="9"/>
  <c r="B1723" i="9"/>
  <c r="P1722" i="9"/>
  <c r="O1722" i="9"/>
  <c r="N1722" i="9"/>
  <c r="M1722" i="9"/>
  <c r="L1722" i="9"/>
  <c r="K1722" i="9"/>
  <c r="J1722" i="9"/>
  <c r="I1722" i="9"/>
  <c r="H1722" i="9"/>
  <c r="G1722" i="9"/>
  <c r="F1722" i="9"/>
  <c r="E1722" i="9"/>
  <c r="D1722" i="9"/>
  <c r="C1722" i="9"/>
  <c r="B1722" i="9"/>
  <c r="P1721" i="9"/>
  <c r="O1721" i="9"/>
  <c r="N1721" i="9"/>
  <c r="M1721" i="9"/>
  <c r="L1721" i="9"/>
  <c r="K1721" i="9"/>
  <c r="J1721" i="9"/>
  <c r="I1721" i="9"/>
  <c r="H1721" i="9"/>
  <c r="G1721" i="9"/>
  <c r="F1721" i="9"/>
  <c r="E1721" i="9"/>
  <c r="D1721" i="9"/>
  <c r="C1721" i="9"/>
  <c r="B1721" i="9"/>
  <c r="P1720" i="9"/>
  <c r="O1720" i="9"/>
  <c r="N1720" i="9"/>
  <c r="M1720" i="9"/>
  <c r="L1720" i="9"/>
  <c r="K1720" i="9"/>
  <c r="J1720" i="9"/>
  <c r="I1720" i="9"/>
  <c r="H1720" i="9"/>
  <c r="G1720" i="9"/>
  <c r="F1720" i="9"/>
  <c r="E1720" i="9"/>
  <c r="D1720" i="9"/>
  <c r="C1720" i="9"/>
  <c r="B1720" i="9"/>
  <c r="P1719" i="9"/>
  <c r="O1719" i="9"/>
  <c r="N1719" i="9"/>
  <c r="M1719" i="9"/>
  <c r="L1719" i="9"/>
  <c r="K1719" i="9"/>
  <c r="J1719" i="9"/>
  <c r="I1719" i="9"/>
  <c r="H1719" i="9"/>
  <c r="G1719" i="9"/>
  <c r="F1719" i="9"/>
  <c r="E1719" i="9"/>
  <c r="D1719" i="9"/>
  <c r="C1719" i="9"/>
  <c r="B1719" i="9"/>
  <c r="P1718" i="9"/>
  <c r="O1718" i="9"/>
  <c r="N1718" i="9"/>
  <c r="M1718" i="9"/>
  <c r="L1718" i="9"/>
  <c r="K1718" i="9"/>
  <c r="J1718" i="9"/>
  <c r="I1718" i="9"/>
  <c r="H1718" i="9"/>
  <c r="G1718" i="9"/>
  <c r="F1718" i="9"/>
  <c r="E1718" i="9"/>
  <c r="D1718" i="9"/>
  <c r="C1718" i="9"/>
  <c r="B1718" i="9"/>
  <c r="P1717" i="9"/>
  <c r="O1717" i="9"/>
  <c r="N1717" i="9"/>
  <c r="M1717" i="9"/>
  <c r="L1717" i="9"/>
  <c r="K1717" i="9"/>
  <c r="J1717" i="9"/>
  <c r="I1717" i="9"/>
  <c r="H1717" i="9"/>
  <c r="G1717" i="9"/>
  <c r="F1717" i="9"/>
  <c r="E1717" i="9"/>
  <c r="D1717" i="9"/>
  <c r="C1717" i="9"/>
  <c r="B1717" i="9"/>
  <c r="P1716" i="9"/>
  <c r="O1716" i="9"/>
  <c r="N1716" i="9"/>
  <c r="M1716" i="9"/>
  <c r="L1716" i="9"/>
  <c r="K1716" i="9"/>
  <c r="J1716" i="9"/>
  <c r="I1716" i="9"/>
  <c r="H1716" i="9"/>
  <c r="G1716" i="9"/>
  <c r="F1716" i="9"/>
  <c r="E1716" i="9"/>
  <c r="D1716" i="9"/>
  <c r="C1716" i="9"/>
  <c r="B1716" i="9"/>
  <c r="P1715" i="9"/>
  <c r="O1715" i="9"/>
  <c r="N1715" i="9"/>
  <c r="M1715" i="9"/>
  <c r="L1715" i="9"/>
  <c r="K1715" i="9"/>
  <c r="J1715" i="9"/>
  <c r="I1715" i="9"/>
  <c r="H1715" i="9"/>
  <c r="G1715" i="9"/>
  <c r="F1715" i="9"/>
  <c r="E1715" i="9"/>
  <c r="D1715" i="9"/>
  <c r="C1715" i="9"/>
  <c r="B1715" i="9"/>
  <c r="P1714" i="9"/>
  <c r="O1714" i="9"/>
  <c r="N1714" i="9"/>
  <c r="M1714" i="9"/>
  <c r="L1714" i="9"/>
  <c r="K1714" i="9"/>
  <c r="J1714" i="9"/>
  <c r="I1714" i="9"/>
  <c r="H1714" i="9"/>
  <c r="G1714" i="9"/>
  <c r="F1714" i="9"/>
  <c r="E1714" i="9"/>
  <c r="D1714" i="9"/>
  <c r="C1714" i="9"/>
  <c r="B1714" i="9"/>
  <c r="P1713" i="9"/>
  <c r="O1713" i="9"/>
  <c r="N1713" i="9"/>
  <c r="M1713" i="9"/>
  <c r="L1713" i="9"/>
  <c r="K1713" i="9"/>
  <c r="J1713" i="9"/>
  <c r="I1713" i="9"/>
  <c r="H1713" i="9"/>
  <c r="G1713" i="9"/>
  <c r="F1713" i="9"/>
  <c r="E1713" i="9"/>
  <c r="D1713" i="9"/>
  <c r="C1713" i="9"/>
  <c r="B1713" i="9"/>
  <c r="P1712" i="9"/>
  <c r="O1712" i="9"/>
  <c r="N1712" i="9"/>
  <c r="M1712" i="9"/>
  <c r="L1712" i="9"/>
  <c r="K1712" i="9"/>
  <c r="J1712" i="9"/>
  <c r="I1712" i="9"/>
  <c r="H1712" i="9"/>
  <c r="G1712" i="9"/>
  <c r="F1712" i="9"/>
  <c r="E1712" i="9"/>
  <c r="D1712" i="9"/>
  <c r="C1712" i="9"/>
  <c r="B1712" i="9"/>
  <c r="P1711" i="9"/>
  <c r="O1711" i="9"/>
  <c r="N1711" i="9"/>
  <c r="M1711" i="9"/>
  <c r="L1711" i="9"/>
  <c r="K1711" i="9"/>
  <c r="J1711" i="9"/>
  <c r="I1711" i="9"/>
  <c r="H1711" i="9"/>
  <c r="G1711" i="9"/>
  <c r="F1711" i="9"/>
  <c r="E1711" i="9"/>
  <c r="D1711" i="9"/>
  <c r="C1711" i="9"/>
  <c r="B1711" i="9"/>
  <c r="P1710" i="9"/>
  <c r="O1710" i="9"/>
  <c r="N1710" i="9"/>
  <c r="M1710" i="9"/>
  <c r="L1710" i="9"/>
  <c r="K1710" i="9"/>
  <c r="J1710" i="9"/>
  <c r="I1710" i="9"/>
  <c r="H1710" i="9"/>
  <c r="G1710" i="9"/>
  <c r="F1710" i="9"/>
  <c r="E1710" i="9"/>
  <c r="D1710" i="9"/>
  <c r="C1710" i="9"/>
  <c r="B1710" i="9"/>
  <c r="P1709" i="9"/>
  <c r="O1709" i="9"/>
  <c r="N1709" i="9"/>
  <c r="M1709" i="9"/>
  <c r="L1709" i="9"/>
  <c r="K1709" i="9"/>
  <c r="J1709" i="9"/>
  <c r="I1709" i="9"/>
  <c r="H1709" i="9"/>
  <c r="G1709" i="9"/>
  <c r="F1709" i="9"/>
  <c r="E1709" i="9"/>
  <c r="D1709" i="9"/>
  <c r="C1709" i="9"/>
  <c r="B1709" i="9"/>
  <c r="P1708" i="9"/>
  <c r="O1708" i="9"/>
  <c r="N1708" i="9"/>
  <c r="M1708" i="9"/>
  <c r="L1708" i="9"/>
  <c r="K1708" i="9"/>
  <c r="J1708" i="9"/>
  <c r="I1708" i="9"/>
  <c r="H1708" i="9"/>
  <c r="G1708" i="9"/>
  <c r="F1708" i="9"/>
  <c r="E1708" i="9"/>
  <c r="D1708" i="9"/>
  <c r="C1708" i="9"/>
  <c r="B1708" i="9"/>
  <c r="P1707" i="9"/>
  <c r="O1707" i="9"/>
  <c r="N1707" i="9"/>
  <c r="M1707" i="9"/>
  <c r="L1707" i="9"/>
  <c r="K1707" i="9"/>
  <c r="J1707" i="9"/>
  <c r="I1707" i="9"/>
  <c r="H1707" i="9"/>
  <c r="G1707" i="9"/>
  <c r="F1707" i="9"/>
  <c r="E1707" i="9"/>
  <c r="D1707" i="9"/>
  <c r="C1707" i="9"/>
  <c r="B1707" i="9"/>
  <c r="P1706" i="9"/>
  <c r="O1706" i="9"/>
  <c r="N1706" i="9"/>
  <c r="M1706" i="9"/>
  <c r="L1706" i="9"/>
  <c r="K1706" i="9"/>
  <c r="J1706" i="9"/>
  <c r="I1706" i="9"/>
  <c r="H1706" i="9"/>
  <c r="G1706" i="9"/>
  <c r="F1706" i="9"/>
  <c r="E1706" i="9"/>
  <c r="D1706" i="9"/>
  <c r="C1706" i="9"/>
  <c r="B1706" i="9"/>
  <c r="P1705" i="9"/>
  <c r="O1705" i="9"/>
  <c r="N1705" i="9"/>
  <c r="M1705" i="9"/>
  <c r="L1705" i="9"/>
  <c r="K1705" i="9"/>
  <c r="J1705" i="9"/>
  <c r="I1705" i="9"/>
  <c r="H1705" i="9"/>
  <c r="G1705" i="9"/>
  <c r="F1705" i="9"/>
  <c r="E1705" i="9"/>
  <c r="D1705" i="9"/>
  <c r="C1705" i="9"/>
  <c r="B1705" i="9"/>
  <c r="P1704" i="9"/>
  <c r="O1704" i="9"/>
  <c r="N1704" i="9"/>
  <c r="M1704" i="9"/>
  <c r="L1704" i="9"/>
  <c r="K1704" i="9"/>
  <c r="J1704" i="9"/>
  <c r="I1704" i="9"/>
  <c r="H1704" i="9"/>
  <c r="G1704" i="9"/>
  <c r="F1704" i="9"/>
  <c r="E1704" i="9"/>
  <c r="D1704" i="9"/>
  <c r="C1704" i="9"/>
  <c r="B1704" i="9"/>
  <c r="P1703" i="9"/>
  <c r="O1703" i="9"/>
  <c r="N1703" i="9"/>
  <c r="M1703" i="9"/>
  <c r="L1703" i="9"/>
  <c r="K1703" i="9"/>
  <c r="J1703" i="9"/>
  <c r="I1703" i="9"/>
  <c r="H1703" i="9"/>
  <c r="G1703" i="9"/>
  <c r="F1703" i="9"/>
  <c r="E1703" i="9"/>
  <c r="D1703" i="9"/>
  <c r="C1703" i="9"/>
  <c r="B1703" i="9"/>
  <c r="P1702" i="9"/>
  <c r="O1702" i="9"/>
  <c r="N1702" i="9"/>
  <c r="M1702" i="9"/>
  <c r="L1702" i="9"/>
  <c r="K1702" i="9"/>
  <c r="J1702" i="9"/>
  <c r="I1702" i="9"/>
  <c r="H1702" i="9"/>
  <c r="G1702" i="9"/>
  <c r="F1702" i="9"/>
  <c r="E1702" i="9"/>
  <c r="D1702" i="9"/>
  <c r="C1702" i="9"/>
  <c r="B1702" i="9"/>
  <c r="P1701" i="9"/>
  <c r="O1701" i="9"/>
  <c r="N1701" i="9"/>
  <c r="M1701" i="9"/>
  <c r="L1701" i="9"/>
  <c r="K1701" i="9"/>
  <c r="J1701" i="9"/>
  <c r="I1701" i="9"/>
  <c r="H1701" i="9"/>
  <c r="G1701" i="9"/>
  <c r="F1701" i="9"/>
  <c r="E1701" i="9"/>
  <c r="D1701" i="9"/>
  <c r="C1701" i="9"/>
  <c r="B1701" i="9"/>
  <c r="P1700" i="9"/>
  <c r="O1700" i="9"/>
  <c r="N1700" i="9"/>
  <c r="M1700" i="9"/>
  <c r="L1700" i="9"/>
  <c r="K1700" i="9"/>
  <c r="J1700" i="9"/>
  <c r="I1700" i="9"/>
  <c r="H1700" i="9"/>
  <c r="G1700" i="9"/>
  <c r="F1700" i="9"/>
  <c r="E1700" i="9"/>
  <c r="D1700" i="9"/>
  <c r="C1700" i="9"/>
  <c r="B1700" i="9"/>
  <c r="P1699" i="9"/>
  <c r="O1699" i="9"/>
  <c r="N1699" i="9"/>
  <c r="M1699" i="9"/>
  <c r="L1699" i="9"/>
  <c r="K1699" i="9"/>
  <c r="J1699" i="9"/>
  <c r="I1699" i="9"/>
  <c r="H1699" i="9"/>
  <c r="G1699" i="9"/>
  <c r="F1699" i="9"/>
  <c r="E1699" i="9"/>
  <c r="D1699" i="9"/>
  <c r="C1699" i="9"/>
  <c r="B1699" i="9"/>
  <c r="P1698" i="9"/>
  <c r="O1698" i="9"/>
  <c r="N1698" i="9"/>
  <c r="M1698" i="9"/>
  <c r="L1698" i="9"/>
  <c r="K1698" i="9"/>
  <c r="J1698" i="9"/>
  <c r="I1698" i="9"/>
  <c r="H1698" i="9"/>
  <c r="G1698" i="9"/>
  <c r="F1698" i="9"/>
  <c r="E1698" i="9"/>
  <c r="D1698" i="9"/>
  <c r="C1698" i="9"/>
  <c r="B1698" i="9"/>
  <c r="P1697" i="9"/>
  <c r="O1697" i="9"/>
  <c r="N1697" i="9"/>
  <c r="M1697" i="9"/>
  <c r="L1697" i="9"/>
  <c r="K1697" i="9"/>
  <c r="J1697" i="9"/>
  <c r="I1697" i="9"/>
  <c r="H1697" i="9"/>
  <c r="G1697" i="9"/>
  <c r="F1697" i="9"/>
  <c r="E1697" i="9"/>
  <c r="D1697" i="9"/>
  <c r="C1697" i="9"/>
  <c r="B1697" i="9"/>
  <c r="P1696" i="9"/>
  <c r="O1696" i="9"/>
  <c r="N1696" i="9"/>
  <c r="M1696" i="9"/>
  <c r="L1696" i="9"/>
  <c r="K1696" i="9"/>
  <c r="J1696" i="9"/>
  <c r="I1696" i="9"/>
  <c r="H1696" i="9"/>
  <c r="G1696" i="9"/>
  <c r="F1696" i="9"/>
  <c r="E1696" i="9"/>
  <c r="D1696" i="9"/>
  <c r="C1696" i="9"/>
  <c r="B1696" i="9"/>
  <c r="P1695" i="9"/>
  <c r="O1695" i="9"/>
  <c r="N1695" i="9"/>
  <c r="M1695" i="9"/>
  <c r="L1695" i="9"/>
  <c r="K1695" i="9"/>
  <c r="J1695" i="9"/>
  <c r="I1695" i="9"/>
  <c r="H1695" i="9"/>
  <c r="G1695" i="9"/>
  <c r="F1695" i="9"/>
  <c r="E1695" i="9"/>
  <c r="D1695" i="9"/>
  <c r="C1695" i="9"/>
  <c r="B1695" i="9"/>
  <c r="P1694" i="9"/>
  <c r="O1694" i="9"/>
  <c r="N1694" i="9"/>
  <c r="M1694" i="9"/>
  <c r="L1694" i="9"/>
  <c r="K1694" i="9"/>
  <c r="J1694" i="9"/>
  <c r="I1694" i="9"/>
  <c r="H1694" i="9"/>
  <c r="G1694" i="9"/>
  <c r="F1694" i="9"/>
  <c r="E1694" i="9"/>
  <c r="D1694" i="9"/>
  <c r="C1694" i="9"/>
  <c r="B1694" i="9"/>
  <c r="P1693" i="9"/>
  <c r="O1693" i="9"/>
  <c r="N1693" i="9"/>
  <c r="M1693" i="9"/>
  <c r="L1693" i="9"/>
  <c r="K1693" i="9"/>
  <c r="J1693" i="9"/>
  <c r="I1693" i="9"/>
  <c r="H1693" i="9"/>
  <c r="G1693" i="9"/>
  <c r="F1693" i="9"/>
  <c r="E1693" i="9"/>
  <c r="D1693" i="9"/>
  <c r="C1693" i="9"/>
  <c r="B1693" i="9"/>
  <c r="P1692" i="9"/>
  <c r="O1692" i="9"/>
  <c r="N1692" i="9"/>
  <c r="M1692" i="9"/>
  <c r="L1692" i="9"/>
  <c r="K1692" i="9"/>
  <c r="J1692" i="9"/>
  <c r="I1692" i="9"/>
  <c r="H1692" i="9"/>
  <c r="G1692" i="9"/>
  <c r="F1692" i="9"/>
  <c r="E1692" i="9"/>
  <c r="D1692" i="9"/>
  <c r="C1692" i="9"/>
  <c r="B1692" i="9"/>
  <c r="P1691" i="9"/>
  <c r="O1691" i="9"/>
  <c r="N1691" i="9"/>
  <c r="M1691" i="9"/>
  <c r="L1691" i="9"/>
  <c r="K1691" i="9"/>
  <c r="J1691" i="9"/>
  <c r="I1691" i="9"/>
  <c r="H1691" i="9"/>
  <c r="G1691" i="9"/>
  <c r="F1691" i="9"/>
  <c r="E1691" i="9"/>
  <c r="D1691" i="9"/>
  <c r="C1691" i="9"/>
  <c r="B1691" i="9"/>
  <c r="O1690" i="9"/>
  <c r="N1690" i="9"/>
  <c r="M1690" i="9"/>
  <c r="L1690" i="9"/>
  <c r="K1690" i="9"/>
  <c r="J1690" i="9"/>
  <c r="I1690" i="9"/>
  <c r="H1690" i="9"/>
  <c r="G1690" i="9"/>
  <c r="F1690" i="9"/>
  <c r="E1690" i="9"/>
  <c r="D1690" i="9"/>
  <c r="C1690" i="9"/>
  <c r="B1690" i="9"/>
  <c r="P1689" i="9"/>
  <c r="O1689" i="9"/>
  <c r="N1689" i="9"/>
  <c r="M1689" i="9"/>
  <c r="L1689" i="9"/>
  <c r="K1689" i="9"/>
  <c r="J1689" i="9"/>
  <c r="I1689" i="9"/>
  <c r="H1689" i="9"/>
  <c r="G1689" i="9"/>
  <c r="F1689" i="9"/>
  <c r="E1689" i="9"/>
  <c r="D1689" i="9"/>
  <c r="C1689" i="9"/>
  <c r="B1689" i="9"/>
  <c r="P1688" i="9"/>
  <c r="O1688" i="9"/>
  <c r="N1688" i="9"/>
  <c r="M1688" i="9"/>
  <c r="L1688" i="9"/>
  <c r="K1688" i="9"/>
  <c r="J1688" i="9"/>
  <c r="I1688" i="9"/>
  <c r="H1688" i="9"/>
  <c r="G1688" i="9"/>
  <c r="F1688" i="9"/>
  <c r="E1688" i="9"/>
  <c r="D1688" i="9"/>
  <c r="C1688" i="9"/>
  <c r="B1688" i="9"/>
  <c r="P1687" i="9"/>
  <c r="O1687" i="9"/>
  <c r="N1687" i="9"/>
  <c r="M1687" i="9"/>
  <c r="L1687" i="9"/>
  <c r="K1687" i="9"/>
  <c r="J1687" i="9"/>
  <c r="I1687" i="9"/>
  <c r="H1687" i="9"/>
  <c r="G1687" i="9"/>
  <c r="F1687" i="9"/>
  <c r="E1687" i="9"/>
  <c r="D1687" i="9"/>
  <c r="C1687" i="9"/>
  <c r="B1687" i="9"/>
  <c r="P1686" i="9"/>
  <c r="O1686" i="9"/>
  <c r="N1686" i="9"/>
  <c r="M1686" i="9"/>
  <c r="L1686" i="9"/>
  <c r="K1686" i="9"/>
  <c r="J1686" i="9"/>
  <c r="I1686" i="9"/>
  <c r="H1686" i="9"/>
  <c r="G1686" i="9"/>
  <c r="F1686" i="9"/>
  <c r="E1686" i="9"/>
  <c r="D1686" i="9"/>
  <c r="C1686" i="9"/>
  <c r="B1686" i="9"/>
  <c r="P1685" i="9"/>
  <c r="O1685" i="9"/>
  <c r="N1685" i="9"/>
  <c r="M1685" i="9"/>
  <c r="L1685" i="9"/>
  <c r="K1685" i="9"/>
  <c r="J1685" i="9"/>
  <c r="I1685" i="9"/>
  <c r="H1685" i="9"/>
  <c r="G1685" i="9"/>
  <c r="F1685" i="9"/>
  <c r="E1685" i="9"/>
  <c r="D1685" i="9"/>
  <c r="C1685" i="9"/>
  <c r="B1685" i="9"/>
  <c r="P1684" i="9"/>
  <c r="O1684" i="9"/>
  <c r="N1684" i="9"/>
  <c r="M1684" i="9"/>
  <c r="L1684" i="9"/>
  <c r="K1684" i="9"/>
  <c r="J1684" i="9"/>
  <c r="I1684" i="9"/>
  <c r="H1684" i="9"/>
  <c r="G1684" i="9"/>
  <c r="F1684" i="9"/>
  <c r="E1684" i="9"/>
  <c r="D1684" i="9"/>
  <c r="C1684" i="9"/>
  <c r="B1684" i="9"/>
  <c r="P1683" i="9"/>
  <c r="O1683" i="9"/>
  <c r="N1683" i="9"/>
  <c r="M1683" i="9"/>
  <c r="L1683" i="9"/>
  <c r="K1683" i="9"/>
  <c r="J1683" i="9"/>
  <c r="I1683" i="9"/>
  <c r="H1683" i="9"/>
  <c r="G1683" i="9"/>
  <c r="F1683" i="9"/>
  <c r="E1683" i="9"/>
  <c r="D1683" i="9"/>
  <c r="C1683" i="9"/>
  <c r="B1683" i="9"/>
  <c r="P1682" i="9"/>
  <c r="O1682" i="9"/>
  <c r="N1682" i="9"/>
  <c r="M1682" i="9"/>
  <c r="L1682" i="9"/>
  <c r="K1682" i="9"/>
  <c r="J1682" i="9"/>
  <c r="I1682" i="9"/>
  <c r="H1682" i="9"/>
  <c r="G1682" i="9"/>
  <c r="F1682" i="9"/>
  <c r="E1682" i="9"/>
  <c r="D1682" i="9"/>
  <c r="C1682" i="9"/>
  <c r="B1682" i="9"/>
  <c r="P1681" i="9"/>
  <c r="O1681" i="9"/>
  <c r="N1681" i="9"/>
  <c r="M1681" i="9"/>
  <c r="L1681" i="9"/>
  <c r="K1681" i="9"/>
  <c r="J1681" i="9"/>
  <c r="I1681" i="9"/>
  <c r="H1681" i="9"/>
  <c r="G1681" i="9"/>
  <c r="F1681" i="9"/>
  <c r="E1681" i="9"/>
  <c r="D1681" i="9"/>
  <c r="C1681" i="9"/>
  <c r="B1681" i="9"/>
  <c r="P1680" i="9"/>
  <c r="O1680" i="9"/>
  <c r="N1680" i="9"/>
  <c r="M1680" i="9"/>
  <c r="L1680" i="9"/>
  <c r="K1680" i="9"/>
  <c r="J1680" i="9"/>
  <c r="I1680" i="9"/>
  <c r="H1680" i="9"/>
  <c r="G1680" i="9"/>
  <c r="F1680" i="9"/>
  <c r="E1680" i="9"/>
  <c r="D1680" i="9"/>
  <c r="C1680" i="9"/>
  <c r="B1680" i="9"/>
  <c r="P1679" i="9"/>
  <c r="O1679" i="9"/>
  <c r="N1679" i="9"/>
  <c r="M1679" i="9"/>
  <c r="L1679" i="9"/>
  <c r="K1679" i="9"/>
  <c r="J1679" i="9"/>
  <c r="I1679" i="9"/>
  <c r="H1679" i="9"/>
  <c r="G1679" i="9"/>
  <c r="F1679" i="9"/>
  <c r="E1679" i="9"/>
  <c r="D1679" i="9"/>
  <c r="C1679" i="9"/>
  <c r="B1679" i="9"/>
  <c r="P1678" i="9"/>
  <c r="O1678" i="9"/>
  <c r="N1678" i="9"/>
  <c r="M1678" i="9"/>
  <c r="L1678" i="9"/>
  <c r="K1678" i="9"/>
  <c r="J1678" i="9"/>
  <c r="I1678" i="9"/>
  <c r="H1678" i="9"/>
  <c r="G1678" i="9"/>
  <c r="F1678" i="9"/>
  <c r="E1678" i="9"/>
  <c r="D1678" i="9"/>
  <c r="C1678" i="9"/>
  <c r="B1678" i="9"/>
  <c r="P1677" i="9"/>
  <c r="O1677" i="9"/>
  <c r="N1677" i="9"/>
  <c r="M1677" i="9"/>
  <c r="L1677" i="9"/>
  <c r="K1677" i="9"/>
  <c r="J1677" i="9"/>
  <c r="I1677" i="9"/>
  <c r="H1677" i="9"/>
  <c r="G1677" i="9"/>
  <c r="F1677" i="9"/>
  <c r="E1677" i="9"/>
  <c r="D1677" i="9"/>
  <c r="C1677" i="9"/>
  <c r="B1677" i="9"/>
  <c r="O1676" i="9"/>
  <c r="N1676" i="9"/>
  <c r="M1676" i="9"/>
  <c r="L1676" i="9"/>
  <c r="K1676" i="9"/>
  <c r="J1676" i="9"/>
  <c r="I1676" i="9"/>
  <c r="H1676" i="9"/>
  <c r="G1676" i="9"/>
  <c r="F1676" i="9"/>
  <c r="E1676" i="9"/>
  <c r="D1676" i="9"/>
  <c r="C1676" i="9"/>
  <c r="B1676" i="9"/>
  <c r="P1675" i="9"/>
  <c r="O1675" i="9"/>
  <c r="N1675" i="9"/>
  <c r="M1675" i="9"/>
  <c r="L1675" i="9"/>
  <c r="K1675" i="9"/>
  <c r="J1675" i="9"/>
  <c r="I1675" i="9"/>
  <c r="H1675" i="9"/>
  <c r="G1675" i="9"/>
  <c r="F1675" i="9"/>
  <c r="E1675" i="9"/>
  <c r="D1675" i="9"/>
  <c r="C1675" i="9"/>
  <c r="B1675" i="9"/>
  <c r="P1674" i="9"/>
  <c r="O1674" i="9"/>
  <c r="N1674" i="9"/>
  <c r="M1674" i="9"/>
  <c r="L1674" i="9"/>
  <c r="K1674" i="9"/>
  <c r="J1674" i="9"/>
  <c r="I1674" i="9"/>
  <c r="H1674" i="9"/>
  <c r="G1674" i="9"/>
  <c r="F1674" i="9"/>
  <c r="E1674" i="9"/>
  <c r="D1674" i="9"/>
  <c r="C1674" i="9"/>
  <c r="B1674" i="9"/>
  <c r="P1673" i="9"/>
  <c r="O1673" i="9"/>
  <c r="N1673" i="9"/>
  <c r="M1673" i="9"/>
  <c r="L1673" i="9"/>
  <c r="K1673" i="9"/>
  <c r="J1673" i="9"/>
  <c r="I1673" i="9"/>
  <c r="H1673" i="9"/>
  <c r="G1673" i="9"/>
  <c r="F1673" i="9"/>
  <c r="E1673" i="9"/>
  <c r="D1673" i="9"/>
  <c r="C1673" i="9"/>
  <c r="B1673" i="9"/>
  <c r="P1672" i="9"/>
  <c r="O1672" i="9"/>
  <c r="N1672" i="9"/>
  <c r="M1672" i="9"/>
  <c r="L1672" i="9"/>
  <c r="K1672" i="9"/>
  <c r="J1672" i="9"/>
  <c r="I1672" i="9"/>
  <c r="H1672" i="9"/>
  <c r="G1672" i="9"/>
  <c r="F1672" i="9"/>
  <c r="E1672" i="9"/>
  <c r="D1672" i="9"/>
  <c r="C1672" i="9"/>
  <c r="B1672" i="9"/>
  <c r="P1671" i="9"/>
  <c r="O1671" i="9"/>
  <c r="N1671" i="9"/>
  <c r="M1671" i="9"/>
  <c r="L1671" i="9"/>
  <c r="K1671" i="9"/>
  <c r="J1671" i="9"/>
  <c r="I1671" i="9"/>
  <c r="H1671" i="9"/>
  <c r="G1671" i="9"/>
  <c r="F1671" i="9"/>
  <c r="E1671" i="9"/>
  <c r="D1671" i="9"/>
  <c r="C1671" i="9"/>
  <c r="B1671" i="9"/>
  <c r="P1670" i="9"/>
  <c r="O1670" i="9"/>
  <c r="N1670" i="9"/>
  <c r="M1670" i="9"/>
  <c r="L1670" i="9"/>
  <c r="K1670" i="9"/>
  <c r="J1670" i="9"/>
  <c r="I1670" i="9"/>
  <c r="H1670" i="9"/>
  <c r="G1670" i="9"/>
  <c r="F1670" i="9"/>
  <c r="E1670" i="9"/>
  <c r="D1670" i="9"/>
  <c r="C1670" i="9"/>
  <c r="B1670" i="9"/>
  <c r="P1669" i="9"/>
  <c r="O1669" i="9"/>
  <c r="N1669" i="9"/>
  <c r="M1669" i="9"/>
  <c r="L1669" i="9"/>
  <c r="K1669" i="9"/>
  <c r="J1669" i="9"/>
  <c r="I1669" i="9"/>
  <c r="H1669" i="9"/>
  <c r="G1669" i="9"/>
  <c r="F1669" i="9"/>
  <c r="E1669" i="9"/>
  <c r="D1669" i="9"/>
  <c r="C1669" i="9"/>
  <c r="B1669" i="9"/>
  <c r="P1668" i="9"/>
  <c r="O1668" i="9"/>
  <c r="N1668" i="9"/>
  <c r="M1668" i="9"/>
  <c r="L1668" i="9"/>
  <c r="K1668" i="9"/>
  <c r="J1668" i="9"/>
  <c r="I1668" i="9"/>
  <c r="H1668" i="9"/>
  <c r="G1668" i="9"/>
  <c r="F1668" i="9"/>
  <c r="E1668" i="9"/>
  <c r="D1668" i="9"/>
  <c r="C1668" i="9"/>
  <c r="B1668" i="9"/>
  <c r="P1667" i="9"/>
  <c r="O1667" i="9"/>
  <c r="N1667" i="9"/>
  <c r="M1667" i="9"/>
  <c r="L1667" i="9"/>
  <c r="K1667" i="9"/>
  <c r="J1667" i="9"/>
  <c r="I1667" i="9"/>
  <c r="H1667" i="9"/>
  <c r="G1667" i="9"/>
  <c r="F1667" i="9"/>
  <c r="E1667" i="9"/>
  <c r="D1667" i="9"/>
  <c r="C1667" i="9"/>
  <c r="B1667" i="9"/>
  <c r="P1666" i="9"/>
  <c r="O1666" i="9"/>
  <c r="N1666" i="9"/>
  <c r="M1666" i="9"/>
  <c r="L1666" i="9"/>
  <c r="K1666" i="9"/>
  <c r="J1666" i="9"/>
  <c r="I1666" i="9"/>
  <c r="H1666" i="9"/>
  <c r="G1666" i="9"/>
  <c r="F1666" i="9"/>
  <c r="E1666" i="9"/>
  <c r="D1666" i="9"/>
  <c r="C1666" i="9"/>
  <c r="B1666" i="9"/>
  <c r="P1665" i="9"/>
  <c r="O1665" i="9"/>
  <c r="N1665" i="9"/>
  <c r="M1665" i="9"/>
  <c r="L1665" i="9"/>
  <c r="K1665" i="9"/>
  <c r="J1665" i="9"/>
  <c r="I1665" i="9"/>
  <c r="H1665" i="9"/>
  <c r="G1665" i="9"/>
  <c r="F1665" i="9"/>
  <c r="E1665" i="9"/>
  <c r="D1665" i="9"/>
  <c r="C1665" i="9"/>
  <c r="B1665" i="9"/>
  <c r="P1664" i="9"/>
  <c r="O1664" i="9"/>
  <c r="N1664" i="9"/>
  <c r="M1664" i="9"/>
  <c r="L1664" i="9"/>
  <c r="K1664" i="9"/>
  <c r="J1664" i="9"/>
  <c r="I1664" i="9"/>
  <c r="H1664" i="9"/>
  <c r="G1664" i="9"/>
  <c r="F1664" i="9"/>
  <c r="E1664" i="9"/>
  <c r="D1664" i="9"/>
  <c r="C1664" i="9"/>
  <c r="B1664" i="9"/>
  <c r="P1663" i="9"/>
  <c r="O1663" i="9"/>
  <c r="N1663" i="9"/>
  <c r="M1663" i="9"/>
  <c r="L1663" i="9"/>
  <c r="K1663" i="9"/>
  <c r="J1663" i="9"/>
  <c r="I1663" i="9"/>
  <c r="H1663" i="9"/>
  <c r="G1663" i="9"/>
  <c r="F1663" i="9"/>
  <c r="E1663" i="9"/>
  <c r="D1663" i="9"/>
  <c r="C1663" i="9"/>
  <c r="B1663" i="9"/>
  <c r="P1662" i="9"/>
  <c r="O1662" i="9"/>
  <c r="N1662" i="9"/>
  <c r="M1662" i="9"/>
  <c r="L1662" i="9"/>
  <c r="K1662" i="9"/>
  <c r="J1662" i="9"/>
  <c r="I1662" i="9"/>
  <c r="H1662" i="9"/>
  <c r="G1662" i="9"/>
  <c r="F1662" i="9"/>
  <c r="E1662" i="9"/>
  <c r="D1662" i="9"/>
  <c r="C1662" i="9"/>
  <c r="B1662" i="9"/>
  <c r="P1661" i="9"/>
  <c r="O1661" i="9"/>
  <c r="N1661" i="9"/>
  <c r="M1661" i="9"/>
  <c r="L1661" i="9"/>
  <c r="K1661" i="9"/>
  <c r="J1661" i="9"/>
  <c r="I1661" i="9"/>
  <c r="H1661" i="9"/>
  <c r="G1661" i="9"/>
  <c r="F1661" i="9"/>
  <c r="E1661" i="9"/>
  <c r="D1661" i="9"/>
  <c r="C1661" i="9"/>
  <c r="B1661" i="9"/>
  <c r="P1660" i="9"/>
  <c r="O1660" i="9"/>
  <c r="N1660" i="9"/>
  <c r="M1660" i="9"/>
  <c r="L1660" i="9"/>
  <c r="K1660" i="9"/>
  <c r="J1660" i="9"/>
  <c r="I1660" i="9"/>
  <c r="H1660" i="9"/>
  <c r="G1660" i="9"/>
  <c r="F1660" i="9"/>
  <c r="E1660" i="9"/>
  <c r="D1660" i="9"/>
  <c r="C1660" i="9"/>
  <c r="B1660" i="9"/>
  <c r="P1659" i="9"/>
  <c r="O1659" i="9"/>
  <c r="N1659" i="9"/>
  <c r="M1659" i="9"/>
  <c r="L1659" i="9"/>
  <c r="K1659" i="9"/>
  <c r="J1659" i="9"/>
  <c r="I1659" i="9"/>
  <c r="H1659" i="9"/>
  <c r="G1659" i="9"/>
  <c r="F1659" i="9"/>
  <c r="E1659" i="9"/>
  <c r="D1659" i="9"/>
  <c r="C1659" i="9"/>
  <c r="B1659" i="9"/>
  <c r="P1658" i="9"/>
  <c r="O1658" i="9"/>
  <c r="N1658" i="9"/>
  <c r="M1658" i="9"/>
  <c r="L1658" i="9"/>
  <c r="K1658" i="9"/>
  <c r="J1658" i="9"/>
  <c r="I1658" i="9"/>
  <c r="H1658" i="9"/>
  <c r="G1658" i="9"/>
  <c r="F1658" i="9"/>
  <c r="E1658" i="9"/>
  <c r="D1658" i="9"/>
  <c r="C1658" i="9"/>
  <c r="B1658" i="9"/>
  <c r="O1657" i="9"/>
  <c r="N1657" i="9"/>
  <c r="M1657" i="9"/>
  <c r="L1657" i="9"/>
  <c r="K1657" i="9"/>
  <c r="J1657" i="9"/>
  <c r="I1657" i="9"/>
  <c r="H1657" i="9"/>
  <c r="G1657" i="9"/>
  <c r="F1657" i="9"/>
  <c r="E1657" i="9"/>
  <c r="D1657" i="9"/>
  <c r="C1657" i="9"/>
  <c r="B1657" i="9"/>
  <c r="P1656" i="9"/>
  <c r="O1656" i="9"/>
  <c r="N1656" i="9"/>
  <c r="M1656" i="9"/>
  <c r="L1656" i="9"/>
  <c r="K1656" i="9"/>
  <c r="J1656" i="9"/>
  <c r="I1656" i="9"/>
  <c r="H1656" i="9"/>
  <c r="G1656" i="9"/>
  <c r="F1656" i="9"/>
  <c r="E1656" i="9"/>
  <c r="D1656" i="9"/>
  <c r="C1656" i="9"/>
  <c r="B1656" i="9"/>
  <c r="P1655" i="9"/>
  <c r="O1655" i="9"/>
  <c r="N1655" i="9"/>
  <c r="M1655" i="9"/>
  <c r="L1655" i="9"/>
  <c r="K1655" i="9"/>
  <c r="J1655" i="9"/>
  <c r="I1655" i="9"/>
  <c r="H1655" i="9"/>
  <c r="G1655" i="9"/>
  <c r="F1655" i="9"/>
  <c r="E1655" i="9"/>
  <c r="D1655" i="9"/>
  <c r="C1655" i="9"/>
  <c r="B1655" i="9"/>
  <c r="P1654" i="9"/>
  <c r="O1654" i="9"/>
  <c r="N1654" i="9"/>
  <c r="M1654" i="9"/>
  <c r="L1654" i="9"/>
  <c r="K1654" i="9"/>
  <c r="J1654" i="9"/>
  <c r="I1654" i="9"/>
  <c r="H1654" i="9"/>
  <c r="G1654" i="9"/>
  <c r="F1654" i="9"/>
  <c r="E1654" i="9"/>
  <c r="D1654" i="9"/>
  <c r="C1654" i="9"/>
  <c r="B1654" i="9"/>
  <c r="P1653" i="9"/>
  <c r="O1653" i="9"/>
  <c r="N1653" i="9"/>
  <c r="M1653" i="9"/>
  <c r="L1653" i="9"/>
  <c r="K1653" i="9"/>
  <c r="J1653" i="9"/>
  <c r="I1653" i="9"/>
  <c r="H1653" i="9"/>
  <c r="G1653" i="9"/>
  <c r="F1653" i="9"/>
  <c r="E1653" i="9"/>
  <c r="D1653" i="9"/>
  <c r="C1653" i="9"/>
  <c r="B1653" i="9"/>
  <c r="P1652" i="9"/>
  <c r="O1652" i="9"/>
  <c r="N1652" i="9"/>
  <c r="M1652" i="9"/>
  <c r="L1652" i="9"/>
  <c r="K1652" i="9"/>
  <c r="J1652" i="9"/>
  <c r="I1652" i="9"/>
  <c r="H1652" i="9"/>
  <c r="G1652" i="9"/>
  <c r="F1652" i="9"/>
  <c r="E1652" i="9"/>
  <c r="D1652" i="9"/>
  <c r="C1652" i="9"/>
  <c r="B1652" i="9"/>
  <c r="P1651" i="9"/>
  <c r="O1651" i="9"/>
  <c r="N1651" i="9"/>
  <c r="M1651" i="9"/>
  <c r="L1651" i="9"/>
  <c r="K1651" i="9"/>
  <c r="J1651" i="9"/>
  <c r="I1651" i="9"/>
  <c r="H1651" i="9"/>
  <c r="G1651" i="9"/>
  <c r="F1651" i="9"/>
  <c r="E1651" i="9"/>
  <c r="D1651" i="9"/>
  <c r="C1651" i="9"/>
  <c r="B1651" i="9"/>
  <c r="P1650" i="9"/>
  <c r="O1650" i="9"/>
  <c r="N1650" i="9"/>
  <c r="M1650" i="9"/>
  <c r="L1650" i="9"/>
  <c r="K1650" i="9"/>
  <c r="J1650" i="9"/>
  <c r="I1650" i="9"/>
  <c r="H1650" i="9"/>
  <c r="G1650" i="9"/>
  <c r="F1650" i="9"/>
  <c r="E1650" i="9"/>
  <c r="D1650" i="9"/>
  <c r="C1650" i="9"/>
  <c r="B1650" i="9"/>
  <c r="P1649" i="9"/>
  <c r="O1649" i="9"/>
  <c r="N1649" i="9"/>
  <c r="M1649" i="9"/>
  <c r="L1649" i="9"/>
  <c r="K1649" i="9"/>
  <c r="J1649" i="9"/>
  <c r="I1649" i="9"/>
  <c r="H1649" i="9"/>
  <c r="G1649" i="9"/>
  <c r="F1649" i="9"/>
  <c r="E1649" i="9"/>
  <c r="D1649" i="9"/>
  <c r="C1649" i="9"/>
  <c r="B1649" i="9"/>
  <c r="P1648" i="9"/>
  <c r="O1648" i="9"/>
  <c r="N1648" i="9"/>
  <c r="M1648" i="9"/>
  <c r="L1648" i="9"/>
  <c r="K1648" i="9"/>
  <c r="J1648" i="9"/>
  <c r="I1648" i="9"/>
  <c r="H1648" i="9"/>
  <c r="G1648" i="9"/>
  <c r="F1648" i="9"/>
  <c r="E1648" i="9"/>
  <c r="D1648" i="9"/>
  <c r="C1648" i="9"/>
  <c r="B1648" i="9"/>
  <c r="P1647" i="9"/>
  <c r="O1647" i="9"/>
  <c r="N1647" i="9"/>
  <c r="M1647" i="9"/>
  <c r="L1647" i="9"/>
  <c r="K1647" i="9"/>
  <c r="J1647" i="9"/>
  <c r="I1647" i="9"/>
  <c r="H1647" i="9"/>
  <c r="G1647" i="9"/>
  <c r="F1647" i="9"/>
  <c r="E1647" i="9"/>
  <c r="D1647" i="9"/>
  <c r="C1647" i="9"/>
  <c r="B1647" i="9"/>
  <c r="P1646" i="9"/>
  <c r="O1646" i="9"/>
  <c r="N1646" i="9"/>
  <c r="M1646" i="9"/>
  <c r="L1646" i="9"/>
  <c r="K1646" i="9"/>
  <c r="J1646" i="9"/>
  <c r="I1646" i="9"/>
  <c r="H1646" i="9"/>
  <c r="G1646" i="9"/>
  <c r="F1646" i="9"/>
  <c r="E1646" i="9"/>
  <c r="D1646" i="9"/>
  <c r="C1646" i="9"/>
  <c r="B1646" i="9"/>
  <c r="P1645" i="9"/>
  <c r="O1645" i="9"/>
  <c r="N1645" i="9"/>
  <c r="M1645" i="9"/>
  <c r="L1645" i="9"/>
  <c r="K1645" i="9"/>
  <c r="J1645" i="9"/>
  <c r="I1645" i="9"/>
  <c r="H1645" i="9"/>
  <c r="G1645" i="9"/>
  <c r="F1645" i="9"/>
  <c r="E1645" i="9"/>
  <c r="D1645" i="9"/>
  <c r="C1645" i="9"/>
  <c r="B1645" i="9"/>
  <c r="P1644" i="9"/>
  <c r="O1644" i="9"/>
  <c r="N1644" i="9"/>
  <c r="M1644" i="9"/>
  <c r="L1644" i="9"/>
  <c r="K1644" i="9"/>
  <c r="J1644" i="9"/>
  <c r="I1644" i="9"/>
  <c r="H1644" i="9"/>
  <c r="G1644" i="9"/>
  <c r="F1644" i="9"/>
  <c r="E1644" i="9"/>
  <c r="D1644" i="9"/>
  <c r="C1644" i="9"/>
  <c r="B1644" i="9"/>
  <c r="P1643" i="9"/>
  <c r="O1643" i="9"/>
  <c r="N1643" i="9"/>
  <c r="M1643" i="9"/>
  <c r="L1643" i="9"/>
  <c r="K1643" i="9"/>
  <c r="J1643" i="9"/>
  <c r="I1643" i="9"/>
  <c r="H1643" i="9"/>
  <c r="G1643" i="9"/>
  <c r="F1643" i="9"/>
  <c r="E1643" i="9"/>
  <c r="D1643" i="9"/>
  <c r="C1643" i="9"/>
  <c r="B1643" i="9"/>
  <c r="P1642" i="9"/>
  <c r="O1642" i="9"/>
  <c r="N1642" i="9"/>
  <c r="M1642" i="9"/>
  <c r="L1642" i="9"/>
  <c r="K1642" i="9"/>
  <c r="J1642" i="9"/>
  <c r="I1642" i="9"/>
  <c r="H1642" i="9"/>
  <c r="G1642" i="9"/>
  <c r="F1642" i="9"/>
  <c r="E1642" i="9"/>
  <c r="D1642" i="9"/>
  <c r="C1642" i="9"/>
  <c r="B1642" i="9"/>
  <c r="P1641" i="9"/>
  <c r="O1641" i="9"/>
  <c r="N1641" i="9"/>
  <c r="M1641" i="9"/>
  <c r="L1641" i="9"/>
  <c r="K1641" i="9"/>
  <c r="J1641" i="9"/>
  <c r="I1641" i="9"/>
  <c r="H1641" i="9"/>
  <c r="G1641" i="9"/>
  <c r="F1641" i="9"/>
  <c r="E1641" i="9"/>
  <c r="D1641" i="9"/>
  <c r="C1641" i="9"/>
  <c r="B1641" i="9"/>
  <c r="P1640" i="9"/>
  <c r="O1640" i="9"/>
  <c r="N1640" i="9"/>
  <c r="M1640" i="9"/>
  <c r="L1640" i="9"/>
  <c r="K1640" i="9"/>
  <c r="J1640" i="9"/>
  <c r="I1640" i="9"/>
  <c r="H1640" i="9"/>
  <c r="G1640" i="9"/>
  <c r="F1640" i="9"/>
  <c r="E1640" i="9"/>
  <c r="D1640" i="9"/>
  <c r="C1640" i="9"/>
  <c r="B1640" i="9"/>
  <c r="P1639" i="9"/>
  <c r="O1639" i="9"/>
  <c r="N1639" i="9"/>
  <c r="M1639" i="9"/>
  <c r="L1639" i="9"/>
  <c r="K1639" i="9"/>
  <c r="J1639" i="9"/>
  <c r="I1639" i="9"/>
  <c r="H1639" i="9"/>
  <c r="G1639" i="9"/>
  <c r="F1639" i="9"/>
  <c r="E1639" i="9"/>
  <c r="D1639" i="9"/>
  <c r="C1639" i="9"/>
  <c r="B1639" i="9"/>
  <c r="P1638" i="9"/>
  <c r="O1638" i="9"/>
  <c r="N1638" i="9"/>
  <c r="M1638" i="9"/>
  <c r="L1638" i="9"/>
  <c r="K1638" i="9"/>
  <c r="J1638" i="9"/>
  <c r="I1638" i="9"/>
  <c r="H1638" i="9"/>
  <c r="G1638" i="9"/>
  <c r="F1638" i="9"/>
  <c r="E1638" i="9"/>
  <c r="D1638" i="9"/>
  <c r="C1638" i="9"/>
  <c r="B1638" i="9"/>
  <c r="P1637" i="9"/>
  <c r="O1637" i="9"/>
  <c r="N1637" i="9"/>
  <c r="M1637" i="9"/>
  <c r="L1637" i="9"/>
  <c r="K1637" i="9"/>
  <c r="J1637" i="9"/>
  <c r="I1637" i="9"/>
  <c r="H1637" i="9"/>
  <c r="G1637" i="9"/>
  <c r="F1637" i="9"/>
  <c r="E1637" i="9"/>
  <c r="D1637" i="9"/>
  <c r="C1637" i="9"/>
  <c r="B1637" i="9"/>
  <c r="O1636" i="9"/>
  <c r="N1636" i="9"/>
  <c r="M1636" i="9"/>
  <c r="L1636" i="9"/>
  <c r="K1636" i="9"/>
  <c r="J1636" i="9"/>
  <c r="I1636" i="9"/>
  <c r="H1636" i="9"/>
  <c r="G1636" i="9"/>
  <c r="F1636" i="9"/>
  <c r="E1636" i="9"/>
  <c r="D1636" i="9"/>
  <c r="C1636" i="9"/>
  <c r="B1636" i="9"/>
  <c r="P1635" i="9"/>
  <c r="O1635" i="9"/>
  <c r="N1635" i="9"/>
  <c r="M1635" i="9"/>
  <c r="L1635" i="9"/>
  <c r="K1635" i="9"/>
  <c r="J1635" i="9"/>
  <c r="I1635" i="9"/>
  <c r="H1635" i="9"/>
  <c r="G1635" i="9"/>
  <c r="F1635" i="9"/>
  <c r="E1635" i="9"/>
  <c r="D1635" i="9"/>
  <c r="C1635" i="9"/>
  <c r="B1635" i="9"/>
  <c r="P1634" i="9"/>
  <c r="O1634" i="9"/>
  <c r="N1634" i="9"/>
  <c r="M1634" i="9"/>
  <c r="L1634" i="9"/>
  <c r="K1634" i="9"/>
  <c r="J1634" i="9"/>
  <c r="I1634" i="9"/>
  <c r="H1634" i="9"/>
  <c r="G1634" i="9"/>
  <c r="F1634" i="9"/>
  <c r="E1634" i="9"/>
  <c r="D1634" i="9"/>
  <c r="C1634" i="9"/>
  <c r="B1634" i="9"/>
  <c r="P1633" i="9"/>
  <c r="O1633" i="9"/>
  <c r="N1633" i="9"/>
  <c r="M1633" i="9"/>
  <c r="L1633" i="9"/>
  <c r="K1633" i="9"/>
  <c r="J1633" i="9"/>
  <c r="I1633" i="9"/>
  <c r="H1633" i="9"/>
  <c r="G1633" i="9"/>
  <c r="F1633" i="9"/>
  <c r="E1633" i="9"/>
  <c r="D1633" i="9"/>
  <c r="C1633" i="9"/>
  <c r="B1633" i="9"/>
  <c r="P1632" i="9"/>
  <c r="O1632" i="9"/>
  <c r="N1632" i="9"/>
  <c r="M1632" i="9"/>
  <c r="L1632" i="9"/>
  <c r="K1632" i="9"/>
  <c r="J1632" i="9"/>
  <c r="I1632" i="9"/>
  <c r="H1632" i="9"/>
  <c r="G1632" i="9"/>
  <c r="F1632" i="9"/>
  <c r="E1632" i="9"/>
  <c r="D1632" i="9"/>
  <c r="C1632" i="9"/>
  <c r="B1632" i="9"/>
  <c r="P1631" i="9"/>
  <c r="O1631" i="9"/>
  <c r="N1631" i="9"/>
  <c r="M1631" i="9"/>
  <c r="L1631" i="9"/>
  <c r="K1631" i="9"/>
  <c r="J1631" i="9"/>
  <c r="I1631" i="9"/>
  <c r="H1631" i="9"/>
  <c r="G1631" i="9"/>
  <c r="F1631" i="9"/>
  <c r="E1631" i="9"/>
  <c r="D1631" i="9"/>
  <c r="C1631" i="9"/>
  <c r="B1631" i="9"/>
  <c r="P1630" i="9"/>
  <c r="O1630" i="9"/>
  <c r="N1630" i="9"/>
  <c r="M1630" i="9"/>
  <c r="L1630" i="9"/>
  <c r="K1630" i="9"/>
  <c r="J1630" i="9"/>
  <c r="I1630" i="9"/>
  <c r="H1630" i="9"/>
  <c r="G1630" i="9"/>
  <c r="F1630" i="9"/>
  <c r="E1630" i="9"/>
  <c r="D1630" i="9"/>
  <c r="C1630" i="9"/>
  <c r="B1630" i="9"/>
  <c r="P1629" i="9"/>
  <c r="O1629" i="9"/>
  <c r="N1629" i="9"/>
  <c r="M1629" i="9"/>
  <c r="L1629" i="9"/>
  <c r="K1629" i="9"/>
  <c r="J1629" i="9"/>
  <c r="I1629" i="9"/>
  <c r="H1629" i="9"/>
  <c r="G1629" i="9"/>
  <c r="F1629" i="9"/>
  <c r="E1629" i="9"/>
  <c r="D1629" i="9"/>
  <c r="C1629" i="9"/>
  <c r="B1629" i="9"/>
  <c r="P1628" i="9"/>
  <c r="O1628" i="9"/>
  <c r="N1628" i="9"/>
  <c r="M1628" i="9"/>
  <c r="L1628" i="9"/>
  <c r="K1628" i="9"/>
  <c r="J1628" i="9"/>
  <c r="I1628" i="9"/>
  <c r="H1628" i="9"/>
  <c r="G1628" i="9"/>
  <c r="F1628" i="9"/>
  <c r="E1628" i="9"/>
  <c r="D1628" i="9"/>
  <c r="C1628" i="9"/>
  <c r="B1628" i="9"/>
  <c r="P1627" i="9"/>
  <c r="O1627" i="9"/>
  <c r="N1627" i="9"/>
  <c r="M1627" i="9"/>
  <c r="L1627" i="9"/>
  <c r="K1627" i="9"/>
  <c r="J1627" i="9"/>
  <c r="I1627" i="9"/>
  <c r="H1627" i="9"/>
  <c r="G1627" i="9"/>
  <c r="F1627" i="9"/>
  <c r="E1627" i="9"/>
  <c r="D1627" i="9"/>
  <c r="C1627" i="9"/>
  <c r="B1627" i="9"/>
  <c r="P1626" i="9"/>
  <c r="O1626" i="9"/>
  <c r="N1626" i="9"/>
  <c r="M1626" i="9"/>
  <c r="L1626" i="9"/>
  <c r="K1626" i="9"/>
  <c r="J1626" i="9"/>
  <c r="I1626" i="9"/>
  <c r="H1626" i="9"/>
  <c r="G1626" i="9"/>
  <c r="F1626" i="9"/>
  <c r="E1626" i="9"/>
  <c r="D1626" i="9"/>
  <c r="C1626" i="9"/>
  <c r="B1626" i="9"/>
  <c r="P1625" i="9"/>
  <c r="O1625" i="9"/>
  <c r="N1625" i="9"/>
  <c r="M1625" i="9"/>
  <c r="L1625" i="9"/>
  <c r="K1625" i="9"/>
  <c r="J1625" i="9"/>
  <c r="I1625" i="9"/>
  <c r="H1625" i="9"/>
  <c r="G1625" i="9"/>
  <c r="F1625" i="9"/>
  <c r="E1625" i="9"/>
  <c r="D1625" i="9"/>
  <c r="C1625" i="9"/>
  <c r="B1625" i="9"/>
  <c r="P1624" i="9"/>
  <c r="O1624" i="9"/>
  <c r="N1624" i="9"/>
  <c r="M1624" i="9"/>
  <c r="L1624" i="9"/>
  <c r="K1624" i="9"/>
  <c r="J1624" i="9"/>
  <c r="I1624" i="9"/>
  <c r="H1624" i="9"/>
  <c r="G1624" i="9"/>
  <c r="F1624" i="9"/>
  <c r="E1624" i="9"/>
  <c r="D1624" i="9"/>
  <c r="C1624" i="9"/>
  <c r="B1624" i="9"/>
  <c r="P1623" i="9"/>
  <c r="O1623" i="9"/>
  <c r="N1623" i="9"/>
  <c r="M1623" i="9"/>
  <c r="L1623" i="9"/>
  <c r="K1623" i="9"/>
  <c r="J1623" i="9"/>
  <c r="I1623" i="9"/>
  <c r="H1623" i="9"/>
  <c r="G1623" i="9"/>
  <c r="F1623" i="9"/>
  <c r="E1623" i="9"/>
  <c r="D1623" i="9"/>
  <c r="C1623" i="9"/>
  <c r="B1623" i="9"/>
  <c r="P1622" i="9"/>
  <c r="O1622" i="9"/>
  <c r="N1622" i="9"/>
  <c r="M1622" i="9"/>
  <c r="L1622" i="9"/>
  <c r="K1622" i="9"/>
  <c r="J1622" i="9"/>
  <c r="I1622" i="9"/>
  <c r="H1622" i="9"/>
  <c r="G1622" i="9"/>
  <c r="F1622" i="9"/>
  <c r="E1622" i="9"/>
  <c r="D1622" i="9"/>
  <c r="C1622" i="9"/>
  <c r="B1622" i="9"/>
  <c r="P1621" i="9"/>
  <c r="O1621" i="9"/>
  <c r="N1621" i="9"/>
  <c r="M1621" i="9"/>
  <c r="L1621" i="9"/>
  <c r="K1621" i="9"/>
  <c r="J1621" i="9"/>
  <c r="I1621" i="9"/>
  <c r="H1621" i="9"/>
  <c r="G1621" i="9"/>
  <c r="F1621" i="9"/>
  <c r="E1621" i="9"/>
  <c r="D1621" i="9"/>
  <c r="C1621" i="9"/>
  <c r="B1621" i="9"/>
  <c r="P1620" i="9"/>
  <c r="O1620" i="9"/>
  <c r="N1620" i="9"/>
  <c r="M1620" i="9"/>
  <c r="L1620" i="9"/>
  <c r="K1620" i="9"/>
  <c r="J1620" i="9"/>
  <c r="I1620" i="9"/>
  <c r="H1620" i="9"/>
  <c r="G1620" i="9"/>
  <c r="F1620" i="9"/>
  <c r="E1620" i="9"/>
  <c r="D1620" i="9"/>
  <c r="C1620" i="9"/>
  <c r="B1620" i="9"/>
  <c r="P1619" i="9"/>
  <c r="O1619" i="9"/>
  <c r="N1619" i="9"/>
  <c r="M1619" i="9"/>
  <c r="L1619" i="9"/>
  <c r="K1619" i="9"/>
  <c r="J1619" i="9"/>
  <c r="I1619" i="9"/>
  <c r="H1619" i="9"/>
  <c r="G1619" i="9"/>
  <c r="F1619" i="9"/>
  <c r="E1619" i="9"/>
  <c r="D1619" i="9"/>
  <c r="C1619" i="9"/>
  <c r="B1619" i="9"/>
  <c r="P1618" i="9"/>
  <c r="O1618" i="9"/>
  <c r="N1618" i="9"/>
  <c r="M1618" i="9"/>
  <c r="L1618" i="9"/>
  <c r="K1618" i="9"/>
  <c r="J1618" i="9"/>
  <c r="I1618" i="9"/>
  <c r="H1618" i="9"/>
  <c r="G1618" i="9"/>
  <c r="F1618" i="9"/>
  <c r="E1618" i="9"/>
  <c r="D1618" i="9"/>
  <c r="C1618" i="9"/>
  <c r="B1618" i="9"/>
  <c r="P1617" i="9"/>
  <c r="O1617" i="9"/>
  <c r="N1617" i="9"/>
  <c r="M1617" i="9"/>
  <c r="L1617" i="9"/>
  <c r="K1617" i="9"/>
  <c r="J1617" i="9"/>
  <c r="I1617" i="9"/>
  <c r="H1617" i="9"/>
  <c r="G1617" i="9"/>
  <c r="F1617" i="9"/>
  <c r="E1617" i="9"/>
  <c r="D1617" i="9"/>
  <c r="C1617" i="9"/>
  <c r="B1617" i="9"/>
  <c r="P1616" i="9"/>
  <c r="O1616" i="9"/>
  <c r="N1616" i="9"/>
  <c r="M1616" i="9"/>
  <c r="L1616" i="9"/>
  <c r="K1616" i="9"/>
  <c r="J1616" i="9"/>
  <c r="I1616" i="9"/>
  <c r="H1616" i="9"/>
  <c r="G1616" i="9"/>
  <c r="F1616" i="9"/>
  <c r="E1616" i="9"/>
  <c r="D1616" i="9"/>
  <c r="C1616" i="9"/>
  <c r="B1616" i="9"/>
  <c r="P1615" i="9"/>
  <c r="O1615" i="9"/>
  <c r="N1615" i="9"/>
  <c r="M1615" i="9"/>
  <c r="L1615" i="9"/>
  <c r="K1615" i="9"/>
  <c r="J1615" i="9"/>
  <c r="I1615" i="9"/>
  <c r="H1615" i="9"/>
  <c r="G1615" i="9"/>
  <c r="F1615" i="9"/>
  <c r="E1615" i="9"/>
  <c r="D1615" i="9"/>
  <c r="C1615" i="9"/>
  <c r="B1615" i="9"/>
  <c r="P1614" i="9"/>
  <c r="O1614" i="9"/>
  <c r="N1614" i="9"/>
  <c r="M1614" i="9"/>
  <c r="L1614" i="9"/>
  <c r="K1614" i="9"/>
  <c r="J1614" i="9"/>
  <c r="I1614" i="9"/>
  <c r="H1614" i="9"/>
  <c r="G1614" i="9"/>
  <c r="F1614" i="9"/>
  <c r="E1614" i="9"/>
  <c r="D1614" i="9"/>
  <c r="C1614" i="9"/>
  <c r="B1614" i="9"/>
  <c r="P1613" i="9"/>
  <c r="O1613" i="9"/>
  <c r="N1613" i="9"/>
  <c r="M1613" i="9"/>
  <c r="L1613" i="9"/>
  <c r="K1613" i="9"/>
  <c r="J1613" i="9"/>
  <c r="I1613" i="9"/>
  <c r="H1613" i="9"/>
  <c r="G1613" i="9"/>
  <c r="F1613" i="9"/>
  <c r="E1613" i="9"/>
  <c r="D1613" i="9"/>
  <c r="C1613" i="9"/>
  <c r="B1613" i="9"/>
  <c r="P1612" i="9"/>
  <c r="O1612" i="9"/>
  <c r="N1612" i="9"/>
  <c r="M1612" i="9"/>
  <c r="L1612" i="9"/>
  <c r="K1612" i="9"/>
  <c r="J1612" i="9"/>
  <c r="I1612" i="9"/>
  <c r="H1612" i="9"/>
  <c r="G1612" i="9"/>
  <c r="F1612" i="9"/>
  <c r="E1612" i="9"/>
  <c r="D1612" i="9"/>
  <c r="C1612" i="9"/>
  <c r="B1612" i="9"/>
  <c r="P1611" i="9"/>
  <c r="O1611" i="9"/>
  <c r="N1611" i="9"/>
  <c r="M1611" i="9"/>
  <c r="L1611" i="9"/>
  <c r="K1611" i="9"/>
  <c r="J1611" i="9"/>
  <c r="I1611" i="9"/>
  <c r="H1611" i="9"/>
  <c r="G1611" i="9"/>
  <c r="F1611" i="9"/>
  <c r="E1611" i="9"/>
  <c r="D1611" i="9"/>
  <c r="C1611" i="9"/>
  <c r="B1611" i="9"/>
  <c r="P1610" i="9"/>
  <c r="O1610" i="9"/>
  <c r="N1610" i="9"/>
  <c r="M1610" i="9"/>
  <c r="L1610" i="9"/>
  <c r="K1610" i="9"/>
  <c r="J1610" i="9"/>
  <c r="I1610" i="9"/>
  <c r="H1610" i="9"/>
  <c r="G1610" i="9"/>
  <c r="F1610" i="9"/>
  <c r="E1610" i="9"/>
  <c r="D1610" i="9"/>
  <c r="C1610" i="9"/>
  <c r="B1610" i="9"/>
  <c r="P1609" i="9"/>
  <c r="O1609" i="9"/>
  <c r="N1609" i="9"/>
  <c r="M1609" i="9"/>
  <c r="L1609" i="9"/>
  <c r="K1609" i="9"/>
  <c r="J1609" i="9"/>
  <c r="I1609" i="9"/>
  <c r="H1609" i="9"/>
  <c r="G1609" i="9"/>
  <c r="F1609" i="9"/>
  <c r="E1609" i="9"/>
  <c r="D1609" i="9"/>
  <c r="C1609" i="9"/>
  <c r="B1609" i="9"/>
  <c r="P1608" i="9"/>
  <c r="O1608" i="9"/>
  <c r="N1608" i="9"/>
  <c r="M1608" i="9"/>
  <c r="L1608" i="9"/>
  <c r="K1608" i="9"/>
  <c r="J1608" i="9"/>
  <c r="I1608" i="9"/>
  <c r="H1608" i="9"/>
  <c r="G1608" i="9"/>
  <c r="F1608" i="9"/>
  <c r="E1608" i="9"/>
  <c r="D1608" i="9"/>
  <c r="C1608" i="9"/>
  <c r="B1608" i="9"/>
  <c r="P1607" i="9"/>
  <c r="O1607" i="9"/>
  <c r="N1607" i="9"/>
  <c r="M1607" i="9"/>
  <c r="L1607" i="9"/>
  <c r="K1607" i="9"/>
  <c r="J1607" i="9"/>
  <c r="I1607" i="9"/>
  <c r="H1607" i="9"/>
  <c r="G1607" i="9"/>
  <c r="F1607" i="9"/>
  <c r="E1607" i="9"/>
  <c r="D1607" i="9"/>
  <c r="C1607" i="9"/>
  <c r="B1607" i="9"/>
  <c r="P1606" i="9"/>
  <c r="O1606" i="9"/>
  <c r="N1606" i="9"/>
  <c r="M1606" i="9"/>
  <c r="L1606" i="9"/>
  <c r="K1606" i="9"/>
  <c r="J1606" i="9"/>
  <c r="I1606" i="9"/>
  <c r="H1606" i="9"/>
  <c r="G1606" i="9"/>
  <c r="F1606" i="9"/>
  <c r="E1606" i="9"/>
  <c r="D1606" i="9"/>
  <c r="C1606" i="9"/>
  <c r="B1606" i="9"/>
  <c r="P1605" i="9"/>
  <c r="O1605" i="9"/>
  <c r="N1605" i="9"/>
  <c r="M1605" i="9"/>
  <c r="L1605" i="9"/>
  <c r="K1605" i="9"/>
  <c r="J1605" i="9"/>
  <c r="I1605" i="9"/>
  <c r="H1605" i="9"/>
  <c r="G1605" i="9"/>
  <c r="F1605" i="9"/>
  <c r="E1605" i="9"/>
  <c r="D1605" i="9"/>
  <c r="C1605" i="9"/>
  <c r="B1605" i="9"/>
  <c r="P1604" i="9"/>
  <c r="O1604" i="9"/>
  <c r="N1604" i="9"/>
  <c r="M1604" i="9"/>
  <c r="L1604" i="9"/>
  <c r="K1604" i="9"/>
  <c r="J1604" i="9"/>
  <c r="I1604" i="9"/>
  <c r="H1604" i="9"/>
  <c r="G1604" i="9"/>
  <c r="F1604" i="9"/>
  <c r="E1604" i="9"/>
  <c r="D1604" i="9"/>
  <c r="C1604" i="9"/>
  <c r="B1604" i="9"/>
  <c r="P1603" i="9"/>
  <c r="O1603" i="9"/>
  <c r="N1603" i="9"/>
  <c r="M1603" i="9"/>
  <c r="L1603" i="9"/>
  <c r="K1603" i="9"/>
  <c r="J1603" i="9"/>
  <c r="I1603" i="9"/>
  <c r="H1603" i="9"/>
  <c r="G1603" i="9"/>
  <c r="F1603" i="9"/>
  <c r="E1603" i="9"/>
  <c r="D1603" i="9"/>
  <c r="C1603" i="9"/>
  <c r="B1603" i="9"/>
  <c r="P1602" i="9"/>
  <c r="O1602" i="9"/>
  <c r="N1602" i="9"/>
  <c r="M1602" i="9"/>
  <c r="L1602" i="9"/>
  <c r="K1602" i="9"/>
  <c r="J1602" i="9"/>
  <c r="I1602" i="9"/>
  <c r="H1602" i="9"/>
  <c r="G1602" i="9"/>
  <c r="F1602" i="9"/>
  <c r="E1602" i="9"/>
  <c r="D1602" i="9"/>
  <c r="C1602" i="9"/>
  <c r="B1602" i="9"/>
  <c r="P1601" i="9"/>
  <c r="O1601" i="9"/>
  <c r="N1601" i="9"/>
  <c r="M1601" i="9"/>
  <c r="L1601" i="9"/>
  <c r="K1601" i="9"/>
  <c r="J1601" i="9"/>
  <c r="I1601" i="9"/>
  <c r="H1601" i="9"/>
  <c r="G1601" i="9"/>
  <c r="F1601" i="9"/>
  <c r="E1601" i="9"/>
  <c r="D1601" i="9"/>
  <c r="C1601" i="9"/>
  <c r="B1601" i="9"/>
  <c r="P1600" i="9"/>
  <c r="O1600" i="9"/>
  <c r="N1600" i="9"/>
  <c r="M1600" i="9"/>
  <c r="L1600" i="9"/>
  <c r="K1600" i="9"/>
  <c r="J1600" i="9"/>
  <c r="I1600" i="9"/>
  <c r="H1600" i="9"/>
  <c r="G1600" i="9"/>
  <c r="F1600" i="9"/>
  <c r="E1600" i="9"/>
  <c r="D1600" i="9"/>
  <c r="C1600" i="9"/>
  <c r="B1600" i="9"/>
  <c r="P1599" i="9"/>
  <c r="O1599" i="9"/>
  <c r="N1599" i="9"/>
  <c r="M1599" i="9"/>
  <c r="L1599" i="9"/>
  <c r="K1599" i="9"/>
  <c r="J1599" i="9"/>
  <c r="I1599" i="9"/>
  <c r="H1599" i="9"/>
  <c r="G1599" i="9"/>
  <c r="F1599" i="9"/>
  <c r="E1599" i="9"/>
  <c r="D1599" i="9"/>
  <c r="C1599" i="9"/>
  <c r="B1599" i="9"/>
  <c r="P1598" i="9"/>
  <c r="O1598" i="9"/>
  <c r="N1598" i="9"/>
  <c r="M1598" i="9"/>
  <c r="L1598" i="9"/>
  <c r="K1598" i="9"/>
  <c r="J1598" i="9"/>
  <c r="I1598" i="9"/>
  <c r="H1598" i="9"/>
  <c r="G1598" i="9"/>
  <c r="F1598" i="9"/>
  <c r="E1598" i="9"/>
  <c r="D1598" i="9"/>
  <c r="C1598" i="9"/>
  <c r="B1598" i="9"/>
  <c r="P1597" i="9"/>
  <c r="O1597" i="9"/>
  <c r="N1597" i="9"/>
  <c r="M1597" i="9"/>
  <c r="L1597" i="9"/>
  <c r="K1597" i="9"/>
  <c r="J1597" i="9"/>
  <c r="I1597" i="9"/>
  <c r="H1597" i="9"/>
  <c r="G1597" i="9"/>
  <c r="F1597" i="9"/>
  <c r="E1597" i="9"/>
  <c r="D1597" i="9"/>
  <c r="C1597" i="9"/>
  <c r="B1597" i="9"/>
  <c r="P1596" i="9"/>
  <c r="O1596" i="9"/>
  <c r="N1596" i="9"/>
  <c r="M1596" i="9"/>
  <c r="L1596" i="9"/>
  <c r="K1596" i="9"/>
  <c r="J1596" i="9"/>
  <c r="I1596" i="9"/>
  <c r="H1596" i="9"/>
  <c r="G1596" i="9"/>
  <c r="F1596" i="9"/>
  <c r="E1596" i="9"/>
  <c r="D1596" i="9"/>
  <c r="C1596" i="9"/>
  <c r="B1596" i="9"/>
  <c r="P1595" i="9"/>
  <c r="O1595" i="9"/>
  <c r="N1595" i="9"/>
  <c r="M1595" i="9"/>
  <c r="L1595" i="9"/>
  <c r="K1595" i="9"/>
  <c r="J1595" i="9"/>
  <c r="I1595" i="9"/>
  <c r="H1595" i="9"/>
  <c r="G1595" i="9"/>
  <c r="F1595" i="9"/>
  <c r="E1595" i="9"/>
  <c r="D1595" i="9"/>
  <c r="C1595" i="9"/>
  <c r="B1595" i="9"/>
  <c r="P1594" i="9"/>
  <c r="O1594" i="9"/>
  <c r="N1594" i="9"/>
  <c r="M1594" i="9"/>
  <c r="L1594" i="9"/>
  <c r="K1594" i="9"/>
  <c r="J1594" i="9"/>
  <c r="I1594" i="9"/>
  <c r="H1594" i="9"/>
  <c r="G1594" i="9"/>
  <c r="F1594" i="9"/>
  <c r="E1594" i="9"/>
  <c r="D1594" i="9"/>
  <c r="C1594" i="9"/>
  <c r="B1594" i="9"/>
  <c r="P1593" i="9"/>
  <c r="O1593" i="9"/>
  <c r="N1593" i="9"/>
  <c r="M1593" i="9"/>
  <c r="L1593" i="9"/>
  <c r="K1593" i="9"/>
  <c r="J1593" i="9"/>
  <c r="I1593" i="9"/>
  <c r="H1593" i="9"/>
  <c r="G1593" i="9"/>
  <c r="F1593" i="9"/>
  <c r="E1593" i="9"/>
  <c r="D1593" i="9"/>
  <c r="C1593" i="9"/>
  <c r="B1593" i="9"/>
  <c r="O1592" i="9"/>
  <c r="N1592" i="9"/>
  <c r="M1592" i="9"/>
  <c r="L1592" i="9"/>
  <c r="K1592" i="9"/>
  <c r="J1592" i="9"/>
  <c r="I1592" i="9"/>
  <c r="H1592" i="9"/>
  <c r="G1592" i="9"/>
  <c r="F1592" i="9"/>
  <c r="E1592" i="9"/>
  <c r="D1592" i="9"/>
  <c r="C1592" i="9"/>
  <c r="B1592" i="9"/>
  <c r="P1591" i="9"/>
  <c r="O1591" i="9"/>
  <c r="N1591" i="9"/>
  <c r="M1591" i="9"/>
  <c r="L1591" i="9"/>
  <c r="K1591" i="9"/>
  <c r="J1591" i="9"/>
  <c r="I1591" i="9"/>
  <c r="H1591" i="9"/>
  <c r="G1591" i="9"/>
  <c r="F1591" i="9"/>
  <c r="E1591" i="9"/>
  <c r="D1591" i="9"/>
  <c r="C1591" i="9"/>
  <c r="B1591" i="9"/>
  <c r="P1590" i="9"/>
  <c r="O1590" i="9"/>
  <c r="N1590" i="9"/>
  <c r="M1590" i="9"/>
  <c r="L1590" i="9"/>
  <c r="K1590" i="9"/>
  <c r="J1590" i="9"/>
  <c r="I1590" i="9"/>
  <c r="H1590" i="9"/>
  <c r="G1590" i="9"/>
  <c r="F1590" i="9"/>
  <c r="E1590" i="9"/>
  <c r="D1590" i="9"/>
  <c r="C1590" i="9"/>
  <c r="B1590" i="9"/>
  <c r="P1589" i="9"/>
  <c r="O1589" i="9"/>
  <c r="N1589" i="9"/>
  <c r="M1589" i="9"/>
  <c r="L1589" i="9"/>
  <c r="K1589" i="9"/>
  <c r="J1589" i="9"/>
  <c r="I1589" i="9"/>
  <c r="H1589" i="9"/>
  <c r="G1589" i="9"/>
  <c r="F1589" i="9"/>
  <c r="E1589" i="9"/>
  <c r="D1589" i="9"/>
  <c r="C1589" i="9"/>
  <c r="B1589" i="9"/>
  <c r="P1588" i="9"/>
  <c r="O1588" i="9"/>
  <c r="N1588" i="9"/>
  <c r="M1588" i="9"/>
  <c r="L1588" i="9"/>
  <c r="K1588" i="9"/>
  <c r="J1588" i="9"/>
  <c r="I1588" i="9"/>
  <c r="H1588" i="9"/>
  <c r="G1588" i="9"/>
  <c r="F1588" i="9"/>
  <c r="E1588" i="9"/>
  <c r="D1588" i="9"/>
  <c r="C1588" i="9"/>
  <c r="B1588" i="9"/>
  <c r="P1587" i="9"/>
  <c r="O1587" i="9"/>
  <c r="N1587" i="9"/>
  <c r="M1587" i="9"/>
  <c r="L1587" i="9"/>
  <c r="K1587" i="9"/>
  <c r="J1587" i="9"/>
  <c r="I1587" i="9"/>
  <c r="H1587" i="9"/>
  <c r="G1587" i="9"/>
  <c r="F1587" i="9"/>
  <c r="E1587" i="9"/>
  <c r="D1587" i="9"/>
  <c r="C1587" i="9"/>
  <c r="B1587" i="9"/>
  <c r="P1586" i="9"/>
  <c r="O1586" i="9"/>
  <c r="N1586" i="9"/>
  <c r="M1586" i="9"/>
  <c r="L1586" i="9"/>
  <c r="K1586" i="9"/>
  <c r="J1586" i="9"/>
  <c r="I1586" i="9"/>
  <c r="H1586" i="9"/>
  <c r="G1586" i="9"/>
  <c r="F1586" i="9"/>
  <c r="E1586" i="9"/>
  <c r="D1586" i="9"/>
  <c r="C1586" i="9"/>
  <c r="B1586" i="9"/>
  <c r="P1585" i="9"/>
  <c r="O1585" i="9"/>
  <c r="N1585" i="9"/>
  <c r="M1585" i="9"/>
  <c r="L1585" i="9"/>
  <c r="K1585" i="9"/>
  <c r="J1585" i="9"/>
  <c r="I1585" i="9"/>
  <c r="H1585" i="9"/>
  <c r="G1585" i="9"/>
  <c r="F1585" i="9"/>
  <c r="E1585" i="9"/>
  <c r="D1585" i="9"/>
  <c r="C1585" i="9"/>
  <c r="B1585" i="9"/>
  <c r="P1584" i="9"/>
  <c r="O1584" i="9"/>
  <c r="N1584" i="9"/>
  <c r="M1584" i="9"/>
  <c r="L1584" i="9"/>
  <c r="K1584" i="9"/>
  <c r="J1584" i="9"/>
  <c r="I1584" i="9"/>
  <c r="H1584" i="9"/>
  <c r="G1584" i="9"/>
  <c r="F1584" i="9"/>
  <c r="E1584" i="9"/>
  <c r="D1584" i="9"/>
  <c r="C1584" i="9"/>
  <c r="B1584" i="9"/>
  <c r="P1583" i="9"/>
  <c r="O1583" i="9"/>
  <c r="N1583" i="9"/>
  <c r="M1583" i="9"/>
  <c r="L1583" i="9"/>
  <c r="K1583" i="9"/>
  <c r="J1583" i="9"/>
  <c r="I1583" i="9"/>
  <c r="H1583" i="9"/>
  <c r="G1583" i="9"/>
  <c r="F1583" i="9"/>
  <c r="E1583" i="9"/>
  <c r="D1583" i="9"/>
  <c r="C1583" i="9"/>
  <c r="B1583" i="9"/>
  <c r="P1582" i="9"/>
  <c r="O1582" i="9"/>
  <c r="N1582" i="9"/>
  <c r="M1582" i="9"/>
  <c r="L1582" i="9"/>
  <c r="K1582" i="9"/>
  <c r="J1582" i="9"/>
  <c r="I1582" i="9"/>
  <c r="H1582" i="9"/>
  <c r="G1582" i="9"/>
  <c r="F1582" i="9"/>
  <c r="E1582" i="9"/>
  <c r="D1582" i="9"/>
  <c r="C1582" i="9"/>
  <c r="B1582" i="9"/>
  <c r="P1581" i="9"/>
  <c r="O1581" i="9"/>
  <c r="N1581" i="9"/>
  <c r="M1581" i="9"/>
  <c r="L1581" i="9"/>
  <c r="K1581" i="9"/>
  <c r="J1581" i="9"/>
  <c r="I1581" i="9"/>
  <c r="H1581" i="9"/>
  <c r="G1581" i="9"/>
  <c r="F1581" i="9"/>
  <c r="E1581" i="9"/>
  <c r="D1581" i="9"/>
  <c r="C1581" i="9"/>
  <c r="B1581" i="9"/>
  <c r="P1580" i="9"/>
  <c r="O1580" i="9"/>
  <c r="N1580" i="9"/>
  <c r="M1580" i="9"/>
  <c r="L1580" i="9"/>
  <c r="K1580" i="9"/>
  <c r="J1580" i="9"/>
  <c r="I1580" i="9"/>
  <c r="H1580" i="9"/>
  <c r="G1580" i="9"/>
  <c r="F1580" i="9"/>
  <c r="E1580" i="9"/>
  <c r="D1580" i="9"/>
  <c r="C1580" i="9"/>
  <c r="B1580" i="9"/>
  <c r="P1579" i="9"/>
  <c r="O1579" i="9"/>
  <c r="N1579" i="9"/>
  <c r="M1579" i="9"/>
  <c r="L1579" i="9"/>
  <c r="K1579" i="9"/>
  <c r="J1579" i="9"/>
  <c r="I1579" i="9"/>
  <c r="H1579" i="9"/>
  <c r="G1579" i="9"/>
  <c r="F1579" i="9"/>
  <c r="E1579" i="9"/>
  <c r="D1579" i="9"/>
  <c r="C1579" i="9"/>
  <c r="B1579" i="9"/>
  <c r="P1578" i="9"/>
  <c r="O1578" i="9"/>
  <c r="N1578" i="9"/>
  <c r="M1578" i="9"/>
  <c r="L1578" i="9"/>
  <c r="K1578" i="9"/>
  <c r="J1578" i="9"/>
  <c r="I1578" i="9"/>
  <c r="H1578" i="9"/>
  <c r="G1578" i="9"/>
  <c r="F1578" i="9"/>
  <c r="E1578" i="9"/>
  <c r="D1578" i="9"/>
  <c r="C1578" i="9"/>
  <c r="B1578" i="9"/>
  <c r="P1577" i="9"/>
  <c r="O1577" i="9"/>
  <c r="N1577" i="9"/>
  <c r="M1577" i="9"/>
  <c r="L1577" i="9"/>
  <c r="K1577" i="9"/>
  <c r="J1577" i="9"/>
  <c r="I1577" i="9"/>
  <c r="H1577" i="9"/>
  <c r="G1577" i="9"/>
  <c r="F1577" i="9"/>
  <c r="E1577" i="9"/>
  <c r="D1577" i="9"/>
  <c r="C1577" i="9"/>
  <c r="B1577" i="9"/>
  <c r="P1576" i="9"/>
  <c r="O1576" i="9"/>
  <c r="N1576" i="9"/>
  <c r="M1576" i="9"/>
  <c r="L1576" i="9"/>
  <c r="K1576" i="9"/>
  <c r="J1576" i="9"/>
  <c r="I1576" i="9"/>
  <c r="H1576" i="9"/>
  <c r="G1576" i="9"/>
  <c r="F1576" i="9"/>
  <c r="E1576" i="9"/>
  <c r="D1576" i="9"/>
  <c r="C1576" i="9"/>
  <c r="B1576" i="9"/>
  <c r="P1575" i="9"/>
  <c r="O1575" i="9"/>
  <c r="N1575" i="9"/>
  <c r="M1575" i="9"/>
  <c r="L1575" i="9"/>
  <c r="K1575" i="9"/>
  <c r="J1575" i="9"/>
  <c r="I1575" i="9"/>
  <c r="H1575" i="9"/>
  <c r="G1575" i="9"/>
  <c r="F1575" i="9"/>
  <c r="E1575" i="9"/>
  <c r="D1575" i="9"/>
  <c r="C1575" i="9"/>
  <c r="B1575" i="9"/>
  <c r="P1574" i="9"/>
  <c r="O1574" i="9"/>
  <c r="N1574" i="9"/>
  <c r="M1574" i="9"/>
  <c r="L1574" i="9"/>
  <c r="K1574" i="9"/>
  <c r="J1574" i="9"/>
  <c r="I1574" i="9"/>
  <c r="H1574" i="9"/>
  <c r="G1574" i="9"/>
  <c r="F1574" i="9"/>
  <c r="E1574" i="9"/>
  <c r="D1574" i="9"/>
  <c r="C1574" i="9"/>
  <c r="B1574" i="9"/>
  <c r="P1573" i="9"/>
  <c r="O1573" i="9"/>
  <c r="N1573" i="9"/>
  <c r="M1573" i="9"/>
  <c r="L1573" i="9"/>
  <c r="K1573" i="9"/>
  <c r="J1573" i="9"/>
  <c r="I1573" i="9"/>
  <c r="H1573" i="9"/>
  <c r="G1573" i="9"/>
  <c r="F1573" i="9"/>
  <c r="E1573" i="9"/>
  <c r="D1573" i="9"/>
  <c r="C1573" i="9"/>
  <c r="B1573" i="9"/>
  <c r="P1572" i="9"/>
  <c r="O1572" i="9"/>
  <c r="N1572" i="9"/>
  <c r="M1572" i="9"/>
  <c r="L1572" i="9"/>
  <c r="K1572" i="9"/>
  <c r="J1572" i="9"/>
  <c r="I1572" i="9"/>
  <c r="H1572" i="9"/>
  <c r="G1572" i="9"/>
  <c r="F1572" i="9"/>
  <c r="E1572" i="9"/>
  <c r="D1572" i="9"/>
  <c r="C1572" i="9"/>
  <c r="B1572" i="9"/>
  <c r="P1571" i="9"/>
  <c r="O1571" i="9"/>
  <c r="N1571" i="9"/>
  <c r="M1571" i="9"/>
  <c r="L1571" i="9"/>
  <c r="K1571" i="9"/>
  <c r="J1571" i="9"/>
  <c r="I1571" i="9"/>
  <c r="H1571" i="9"/>
  <c r="G1571" i="9"/>
  <c r="F1571" i="9"/>
  <c r="E1571" i="9"/>
  <c r="D1571" i="9"/>
  <c r="C1571" i="9"/>
  <c r="B1571" i="9"/>
  <c r="P1570" i="9"/>
  <c r="O1570" i="9"/>
  <c r="N1570" i="9"/>
  <c r="M1570" i="9"/>
  <c r="L1570" i="9"/>
  <c r="K1570" i="9"/>
  <c r="J1570" i="9"/>
  <c r="I1570" i="9"/>
  <c r="H1570" i="9"/>
  <c r="G1570" i="9"/>
  <c r="F1570" i="9"/>
  <c r="E1570" i="9"/>
  <c r="D1570" i="9"/>
  <c r="C1570" i="9"/>
  <c r="B1570" i="9"/>
  <c r="P1569" i="9"/>
  <c r="O1569" i="9"/>
  <c r="N1569" i="9"/>
  <c r="M1569" i="9"/>
  <c r="L1569" i="9"/>
  <c r="K1569" i="9"/>
  <c r="J1569" i="9"/>
  <c r="I1569" i="9"/>
  <c r="H1569" i="9"/>
  <c r="G1569" i="9"/>
  <c r="F1569" i="9"/>
  <c r="E1569" i="9"/>
  <c r="D1569" i="9"/>
  <c r="C1569" i="9"/>
  <c r="B1569" i="9"/>
  <c r="P1568" i="9"/>
  <c r="O1568" i="9"/>
  <c r="N1568" i="9"/>
  <c r="M1568" i="9"/>
  <c r="L1568" i="9"/>
  <c r="K1568" i="9"/>
  <c r="J1568" i="9"/>
  <c r="I1568" i="9"/>
  <c r="H1568" i="9"/>
  <c r="G1568" i="9"/>
  <c r="F1568" i="9"/>
  <c r="E1568" i="9"/>
  <c r="D1568" i="9"/>
  <c r="C1568" i="9"/>
  <c r="B1568" i="9"/>
  <c r="P1567" i="9"/>
  <c r="O1567" i="9"/>
  <c r="N1567" i="9"/>
  <c r="M1567" i="9"/>
  <c r="L1567" i="9"/>
  <c r="K1567" i="9"/>
  <c r="J1567" i="9"/>
  <c r="I1567" i="9"/>
  <c r="H1567" i="9"/>
  <c r="G1567" i="9"/>
  <c r="F1567" i="9"/>
  <c r="E1567" i="9"/>
  <c r="D1567" i="9"/>
  <c r="C1567" i="9"/>
  <c r="B1567" i="9"/>
  <c r="P1566" i="9"/>
  <c r="O1566" i="9"/>
  <c r="N1566" i="9"/>
  <c r="M1566" i="9"/>
  <c r="L1566" i="9"/>
  <c r="K1566" i="9"/>
  <c r="J1566" i="9"/>
  <c r="I1566" i="9"/>
  <c r="H1566" i="9"/>
  <c r="G1566" i="9"/>
  <c r="F1566" i="9"/>
  <c r="E1566" i="9"/>
  <c r="D1566" i="9"/>
  <c r="C1566" i="9"/>
  <c r="B1566" i="9"/>
  <c r="P1565" i="9"/>
  <c r="O1565" i="9"/>
  <c r="N1565" i="9"/>
  <c r="M1565" i="9"/>
  <c r="L1565" i="9"/>
  <c r="K1565" i="9"/>
  <c r="J1565" i="9"/>
  <c r="I1565" i="9"/>
  <c r="H1565" i="9"/>
  <c r="G1565" i="9"/>
  <c r="F1565" i="9"/>
  <c r="E1565" i="9"/>
  <c r="D1565" i="9"/>
  <c r="C1565" i="9"/>
  <c r="B1565" i="9"/>
  <c r="P1564" i="9"/>
  <c r="O1564" i="9"/>
  <c r="N1564" i="9"/>
  <c r="M1564" i="9"/>
  <c r="L1564" i="9"/>
  <c r="K1564" i="9"/>
  <c r="J1564" i="9"/>
  <c r="I1564" i="9"/>
  <c r="H1564" i="9"/>
  <c r="G1564" i="9"/>
  <c r="F1564" i="9"/>
  <c r="E1564" i="9"/>
  <c r="D1564" i="9"/>
  <c r="C1564" i="9"/>
  <c r="B1564" i="9"/>
  <c r="P1563" i="9"/>
  <c r="O1563" i="9"/>
  <c r="N1563" i="9"/>
  <c r="M1563" i="9"/>
  <c r="L1563" i="9"/>
  <c r="K1563" i="9"/>
  <c r="J1563" i="9"/>
  <c r="I1563" i="9"/>
  <c r="H1563" i="9"/>
  <c r="G1563" i="9"/>
  <c r="F1563" i="9"/>
  <c r="E1563" i="9"/>
  <c r="D1563" i="9"/>
  <c r="C1563" i="9"/>
  <c r="B1563" i="9"/>
  <c r="P1562" i="9"/>
  <c r="O1562" i="9"/>
  <c r="N1562" i="9"/>
  <c r="M1562" i="9"/>
  <c r="L1562" i="9"/>
  <c r="K1562" i="9"/>
  <c r="J1562" i="9"/>
  <c r="I1562" i="9"/>
  <c r="H1562" i="9"/>
  <c r="G1562" i="9"/>
  <c r="F1562" i="9"/>
  <c r="E1562" i="9"/>
  <c r="D1562" i="9"/>
  <c r="C1562" i="9"/>
  <c r="B1562" i="9"/>
  <c r="P1561" i="9"/>
  <c r="O1561" i="9"/>
  <c r="N1561" i="9"/>
  <c r="M1561" i="9"/>
  <c r="L1561" i="9"/>
  <c r="K1561" i="9"/>
  <c r="J1561" i="9"/>
  <c r="I1561" i="9"/>
  <c r="H1561" i="9"/>
  <c r="G1561" i="9"/>
  <c r="F1561" i="9"/>
  <c r="E1561" i="9"/>
  <c r="D1561" i="9"/>
  <c r="C1561" i="9"/>
  <c r="B1561" i="9"/>
  <c r="P1560" i="9"/>
  <c r="O1560" i="9"/>
  <c r="N1560" i="9"/>
  <c r="M1560" i="9"/>
  <c r="L1560" i="9"/>
  <c r="K1560" i="9"/>
  <c r="J1560" i="9"/>
  <c r="I1560" i="9"/>
  <c r="H1560" i="9"/>
  <c r="G1560" i="9"/>
  <c r="F1560" i="9"/>
  <c r="E1560" i="9"/>
  <c r="D1560" i="9"/>
  <c r="C1560" i="9"/>
  <c r="B1560" i="9"/>
  <c r="P1559" i="9"/>
  <c r="O1559" i="9"/>
  <c r="N1559" i="9"/>
  <c r="M1559" i="9"/>
  <c r="L1559" i="9"/>
  <c r="K1559" i="9"/>
  <c r="J1559" i="9"/>
  <c r="I1559" i="9"/>
  <c r="H1559" i="9"/>
  <c r="G1559" i="9"/>
  <c r="F1559" i="9"/>
  <c r="E1559" i="9"/>
  <c r="D1559" i="9"/>
  <c r="C1559" i="9"/>
  <c r="B1559" i="9"/>
  <c r="P1558" i="9"/>
  <c r="O1558" i="9"/>
  <c r="N1558" i="9"/>
  <c r="M1558" i="9"/>
  <c r="L1558" i="9"/>
  <c r="K1558" i="9"/>
  <c r="J1558" i="9"/>
  <c r="I1558" i="9"/>
  <c r="H1558" i="9"/>
  <c r="G1558" i="9"/>
  <c r="F1558" i="9"/>
  <c r="E1558" i="9"/>
  <c r="D1558" i="9"/>
  <c r="C1558" i="9"/>
  <c r="B1558" i="9"/>
  <c r="P1557" i="9"/>
  <c r="O1557" i="9"/>
  <c r="N1557" i="9"/>
  <c r="M1557" i="9"/>
  <c r="L1557" i="9"/>
  <c r="K1557" i="9"/>
  <c r="J1557" i="9"/>
  <c r="I1557" i="9"/>
  <c r="H1557" i="9"/>
  <c r="G1557" i="9"/>
  <c r="F1557" i="9"/>
  <c r="E1557" i="9"/>
  <c r="D1557" i="9"/>
  <c r="C1557" i="9"/>
  <c r="B1557" i="9"/>
  <c r="P1556" i="9"/>
  <c r="O1556" i="9"/>
  <c r="N1556" i="9"/>
  <c r="M1556" i="9"/>
  <c r="L1556" i="9"/>
  <c r="K1556" i="9"/>
  <c r="J1556" i="9"/>
  <c r="I1556" i="9"/>
  <c r="H1556" i="9"/>
  <c r="G1556" i="9"/>
  <c r="F1556" i="9"/>
  <c r="E1556" i="9"/>
  <c r="D1556" i="9"/>
  <c r="C1556" i="9"/>
  <c r="B1556" i="9"/>
  <c r="P1555" i="9"/>
  <c r="O1555" i="9"/>
  <c r="N1555" i="9"/>
  <c r="M1555" i="9"/>
  <c r="L1555" i="9"/>
  <c r="K1555" i="9"/>
  <c r="J1555" i="9"/>
  <c r="I1555" i="9"/>
  <c r="H1555" i="9"/>
  <c r="G1555" i="9"/>
  <c r="F1555" i="9"/>
  <c r="E1555" i="9"/>
  <c r="D1555" i="9"/>
  <c r="C1555" i="9"/>
  <c r="B1555" i="9"/>
  <c r="P1554" i="9"/>
  <c r="O1554" i="9"/>
  <c r="N1554" i="9"/>
  <c r="M1554" i="9"/>
  <c r="L1554" i="9"/>
  <c r="K1554" i="9"/>
  <c r="J1554" i="9"/>
  <c r="I1554" i="9"/>
  <c r="H1554" i="9"/>
  <c r="G1554" i="9"/>
  <c r="F1554" i="9"/>
  <c r="E1554" i="9"/>
  <c r="D1554" i="9"/>
  <c r="C1554" i="9"/>
  <c r="B1554" i="9"/>
  <c r="P1553" i="9"/>
  <c r="O1553" i="9"/>
  <c r="N1553" i="9"/>
  <c r="M1553" i="9"/>
  <c r="L1553" i="9"/>
  <c r="K1553" i="9"/>
  <c r="J1553" i="9"/>
  <c r="I1553" i="9"/>
  <c r="H1553" i="9"/>
  <c r="G1553" i="9"/>
  <c r="F1553" i="9"/>
  <c r="E1553" i="9"/>
  <c r="D1553" i="9"/>
  <c r="C1553" i="9"/>
  <c r="B1553" i="9"/>
  <c r="P1552" i="9"/>
  <c r="O1552" i="9"/>
  <c r="N1552" i="9"/>
  <c r="M1552" i="9"/>
  <c r="L1552" i="9"/>
  <c r="K1552" i="9"/>
  <c r="J1552" i="9"/>
  <c r="I1552" i="9"/>
  <c r="H1552" i="9"/>
  <c r="G1552" i="9"/>
  <c r="F1552" i="9"/>
  <c r="E1552" i="9"/>
  <c r="D1552" i="9"/>
  <c r="C1552" i="9"/>
  <c r="B1552" i="9"/>
  <c r="P1551" i="9"/>
  <c r="O1551" i="9"/>
  <c r="N1551" i="9"/>
  <c r="M1551" i="9"/>
  <c r="L1551" i="9"/>
  <c r="K1551" i="9"/>
  <c r="J1551" i="9"/>
  <c r="I1551" i="9"/>
  <c r="H1551" i="9"/>
  <c r="G1551" i="9"/>
  <c r="F1551" i="9"/>
  <c r="E1551" i="9"/>
  <c r="D1551" i="9"/>
  <c r="C1551" i="9"/>
  <c r="B1551" i="9"/>
  <c r="P1550" i="9"/>
  <c r="O1550" i="9"/>
  <c r="N1550" i="9"/>
  <c r="M1550" i="9"/>
  <c r="L1550" i="9"/>
  <c r="K1550" i="9"/>
  <c r="J1550" i="9"/>
  <c r="I1550" i="9"/>
  <c r="H1550" i="9"/>
  <c r="G1550" i="9"/>
  <c r="F1550" i="9"/>
  <c r="E1550" i="9"/>
  <c r="D1550" i="9"/>
  <c r="C1550" i="9"/>
  <c r="B1550" i="9"/>
  <c r="P1549" i="9"/>
  <c r="O1549" i="9"/>
  <c r="N1549" i="9"/>
  <c r="M1549" i="9"/>
  <c r="L1549" i="9"/>
  <c r="K1549" i="9"/>
  <c r="J1549" i="9"/>
  <c r="I1549" i="9"/>
  <c r="H1549" i="9"/>
  <c r="G1549" i="9"/>
  <c r="F1549" i="9"/>
  <c r="E1549" i="9"/>
  <c r="D1549" i="9"/>
  <c r="C1549" i="9"/>
  <c r="B1549" i="9"/>
  <c r="P1548" i="9"/>
  <c r="O1548" i="9"/>
  <c r="N1548" i="9"/>
  <c r="M1548" i="9"/>
  <c r="L1548" i="9"/>
  <c r="K1548" i="9"/>
  <c r="J1548" i="9"/>
  <c r="I1548" i="9"/>
  <c r="H1548" i="9"/>
  <c r="G1548" i="9"/>
  <c r="F1548" i="9"/>
  <c r="E1548" i="9"/>
  <c r="D1548" i="9"/>
  <c r="C1548" i="9"/>
  <c r="B1548" i="9"/>
  <c r="P1547" i="9"/>
  <c r="O1547" i="9"/>
  <c r="N1547" i="9"/>
  <c r="M1547" i="9"/>
  <c r="L1547" i="9"/>
  <c r="K1547" i="9"/>
  <c r="J1547" i="9"/>
  <c r="I1547" i="9"/>
  <c r="H1547" i="9"/>
  <c r="G1547" i="9"/>
  <c r="F1547" i="9"/>
  <c r="E1547" i="9"/>
  <c r="D1547" i="9"/>
  <c r="C1547" i="9"/>
  <c r="B1547" i="9"/>
  <c r="P1546" i="9"/>
  <c r="O1546" i="9"/>
  <c r="N1546" i="9"/>
  <c r="M1546" i="9"/>
  <c r="L1546" i="9"/>
  <c r="K1546" i="9"/>
  <c r="J1546" i="9"/>
  <c r="I1546" i="9"/>
  <c r="H1546" i="9"/>
  <c r="G1546" i="9"/>
  <c r="F1546" i="9"/>
  <c r="E1546" i="9"/>
  <c r="D1546" i="9"/>
  <c r="C1546" i="9"/>
  <c r="B1546" i="9"/>
  <c r="P1545" i="9"/>
  <c r="O1545" i="9"/>
  <c r="N1545" i="9"/>
  <c r="M1545" i="9"/>
  <c r="L1545" i="9"/>
  <c r="K1545" i="9"/>
  <c r="J1545" i="9"/>
  <c r="I1545" i="9"/>
  <c r="H1545" i="9"/>
  <c r="G1545" i="9"/>
  <c r="F1545" i="9"/>
  <c r="E1545" i="9"/>
  <c r="D1545" i="9"/>
  <c r="C1545" i="9"/>
  <c r="B1545" i="9"/>
  <c r="P1544" i="9"/>
  <c r="O1544" i="9"/>
  <c r="N1544" i="9"/>
  <c r="M1544" i="9"/>
  <c r="L1544" i="9"/>
  <c r="K1544" i="9"/>
  <c r="J1544" i="9"/>
  <c r="I1544" i="9"/>
  <c r="H1544" i="9"/>
  <c r="G1544" i="9"/>
  <c r="F1544" i="9"/>
  <c r="E1544" i="9"/>
  <c r="D1544" i="9"/>
  <c r="C1544" i="9"/>
  <c r="B1544" i="9"/>
  <c r="P1543" i="9"/>
  <c r="O1543" i="9"/>
  <c r="N1543" i="9"/>
  <c r="M1543" i="9"/>
  <c r="L1543" i="9"/>
  <c r="K1543" i="9"/>
  <c r="J1543" i="9"/>
  <c r="I1543" i="9"/>
  <c r="H1543" i="9"/>
  <c r="G1543" i="9"/>
  <c r="F1543" i="9"/>
  <c r="E1543" i="9"/>
  <c r="D1543" i="9"/>
  <c r="C1543" i="9"/>
  <c r="B1543" i="9"/>
  <c r="P1542" i="9"/>
  <c r="O1542" i="9"/>
  <c r="N1542" i="9"/>
  <c r="M1542" i="9"/>
  <c r="L1542" i="9"/>
  <c r="K1542" i="9"/>
  <c r="J1542" i="9"/>
  <c r="I1542" i="9"/>
  <c r="H1542" i="9"/>
  <c r="G1542" i="9"/>
  <c r="F1542" i="9"/>
  <c r="E1542" i="9"/>
  <c r="D1542" i="9"/>
  <c r="C1542" i="9"/>
  <c r="B1542" i="9"/>
  <c r="P1541" i="9"/>
  <c r="O1541" i="9"/>
  <c r="N1541" i="9"/>
  <c r="M1541" i="9"/>
  <c r="L1541" i="9"/>
  <c r="K1541" i="9"/>
  <c r="J1541" i="9"/>
  <c r="I1541" i="9"/>
  <c r="H1541" i="9"/>
  <c r="G1541" i="9"/>
  <c r="F1541" i="9"/>
  <c r="E1541" i="9"/>
  <c r="D1541" i="9"/>
  <c r="C1541" i="9"/>
  <c r="B1541" i="9"/>
  <c r="P1540" i="9"/>
  <c r="O1540" i="9"/>
  <c r="N1540" i="9"/>
  <c r="M1540" i="9"/>
  <c r="L1540" i="9"/>
  <c r="K1540" i="9"/>
  <c r="J1540" i="9"/>
  <c r="I1540" i="9"/>
  <c r="H1540" i="9"/>
  <c r="G1540" i="9"/>
  <c r="F1540" i="9"/>
  <c r="E1540" i="9"/>
  <c r="D1540" i="9"/>
  <c r="C1540" i="9"/>
  <c r="B1540" i="9"/>
  <c r="P1539" i="9"/>
  <c r="O1539" i="9"/>
  <c r="N1539" i="9"/>
  <c r="M1539" i="9"/>
  <c r="L1539" i="9"/>
  <c r="K1539" i="9"/>
  <c r="J1539" i="9"/>
  <c r="I1539" i="9"/>
  <c r="H1539" i="9"/>
  <c r="G1539" i="9"/>
  <c r="F1539" i="9"/>
  <c r="E1539" i="9"/>
  <c r="D1539" i="9"/>
  <c r="C1539" i="9"/>
  <c r="B1539" i="9"/>
  <c r="P1538" i="9"/>
  <c r="O1538" i="9"/>
  <c r="N1538" i="9"/>
  <c r="M1538" i="9"/>
  <c r="L1538" i="9"/>
  <c r="K1538" i="9"/>
  <c r="J1538" i="9"/>
  <c r="I1538" i="9"/>
  <c r="H1538" i="9"/>
  <c r="G1538" i="9"/>
  <c r="F1538" i="9"/>
  <c r="E1538" i="9"/>
  <c r="D1538" i="9"/>
  <c r="C1538" i="9"/>
  <c r="B1538" i="9"/>
  <c r="P1537" i="9"/>
  <c r="O1537" i="9"/>
  <c r="N1537" i="9"/>
  <c r="M1537" i="9"/>
  <c r="L1537" i="9"/>
  <c r="K1537" i="9"/>
  <c r="J1537" i="9"/>
  <c r="I1537" i="9"/>
  <c r="H1537" i="9"/>
  <c r="G1537" i="9"/>
  <c r="F1537" i="9"/>
  <c r="E1537" i="9"/>
  <c r="D1537" i="9"/>
  <c r="C1537" i="9"/>
  <c r="B1537" i="9"/>
  <c r="P1536" i="9"/>
  <c r="O1536" i="9"/>
  <c r="N1536" i="9"/>
  <c r="M1536" i="9"/>
  <c r="L1536" i="9"/>
  <c r="K1536" i="9"/>
  <c r="J1536" i="9"/>
  <c r="I1536" i="9"/>
  <c r="H1536" i="9"/>
  <c r="G1536" i="9"/>
  <c r="F1536" i="9"/>
  <c r="E1536" i="9"/>
  <c r="D1536" i="9"/>
  <c r="C1536" i="9"/>
  <c r="B1536" i="9"/>
  <c r="P1535" i="9"/>
  <c r="O1535" i="9"/>
  <c r="N1535" i="9"/>
  <c r="M1535" i="9"/>
  <c r="L1535" i="9"/>
  <c r="K1535" i="9"/>
  <c r="J1535" i="9"/>
  <c r="I1535" i="9"/>
  <c r="H1535" i="9"/>
  <c r="G1535" i="9"/>
  <c r="F1535" i="9"/>
  <c r="E1535" i="9"/>
  <c r="D1535" i="9"/>
  <c r="C1535" i="9"/>
  <c r="B1535" i="9"/>
  <c r="P1534" i="9"/>
  <c r="O1534" i="9"/>
  <c r="N1534" i="9"/>
  <c r="M1534" i="9"/>
  <c r="L1534" i="9"/>
  <c r="K1534" i="9"/>
  <c r="J1534" i="9"/>
  <c r="I1534" i="9"/>
  <c r="H1534" i="9"/>
  <c r="G1534" i="9"/>
  <c r="F1534" i="9"/>
  <c r="E1534" i="9"/>
  <c r="D1534" i="9"/>
  <c r="C1534" i="9"/>
  <c r="B1534" i="9"/>
  <c r="P1533" i="9"/>
  <c r="O1533" i="9"/>
  <c r="N1533" i="9"/>
  <c r="M1533" i="9"/>
  <c r="L1533" i="9"/>
  <c r="K1533" i="9"/>
  <c r="J1533" i="9"/>
  <c r="I1533" i="9"/>
  <c r="H1533" i="9"/>
  <c r="G1533" i="9"/>
  <c r="F1533" i="9"/>
  <c r="E1533" i="9"/>
  <c r="D1533" i="9"/>
  <c r="C1533" i="9"/>
  <c r="B1533" i="9"/>
  <c r="P1532" i="9"/>
  <c r="O1532" i="9"/>
  <c r="N1532" i="9"/>
  <c r="M1532" i="9"/>
  <c r="L1532" i="9"/>
  <c r="K1532" i="9"/>
  <c r="J1532" i="9"/>
  <c r="I1532" i="9"/>
  <c r="H1532" i="9"/>
  <c r="G1532" i="9"/>
  <c r="F1532" i="9"/>
  <c r="E1532" i="9"/>
  <c r="D1532" i="9"/>
  <c r="C1532" i="9"/>
  <c r="B1532" i="9"/>
  <c r="P1531" i="9"/>
  <c r="O1531" i="9"/>
  <c r="N1531" i="9"/>
  <c r="M1531" i="9"/>
  <c r="L1531" i="9"/>
  <c r="K1531" i="9"/>
  <c r="J1531" i="9"/>
  <c r="I1531" i="9"/>
  <c r="H1531" i="9"/>
  <c r="G1531" i="9"/>
  <c r="F1531" i="9"/>
  <c r="E1531" i="9"/>
  <c r="D1531" i="9"/>
  <c r="C1531" i="9"/>
  <c r="B1531" i="9"/>
  <c r="P1530" i="9"/>
  <c r="O1530" i="9"/>
  <c r="N1530" i="9"/>
  <c r="M1530" i="9"/>
  <c r="L1530" i="9"/>
  <c r="K1530" i="9"/>
  <c r="J1530" i="9"/>
  <c r="I1530" i="9"/>
  <c r="H1530" i="9"/>
  <c r="G1530" i="9"/>
  <c r="F1530" i="9"/>
  <c r="E1530" i="9"/>
  <c r="D1530" i="9"/>
  <c r="C1530" i="9"/>
  <c r="B1530" i="9"/>
  <c r="P1529" i="9"/>
  <c r="O1529" i="9"/>
  <c r="N1529" i="9"/>
  <c r="M1529" i="9"/>
  <c r="L1529" i="9"/>
  <c r="K1529" i="9"/>
  <c r="J1529" i="9"/>
  <c r="I1529" i="9"/>
  <c r="H1529" i="9"/>
  <c r="G1529" i="9"/>
  <c r="F1529" i="9"/>
  <c r="E1529" i="9"/>
  <c r="D1529" i="9"/>
  <c r="C1529" i="9"/>
  <c r="B1529" i="9"/>
  <c r="P1528" i="9"/>
  <c r="O1528" i="9"/>
  <c r="N1528" i="9"/>
  <c r="M1528" i="9"/>
  <c r="L1528" i="9"/>
  <c r="K1528" i="9"/>
  <c r="J1528" i="9"/>
  <c r="I1528" i="9"/>
  <c r="H1528" i="9"/>
  <c r="G1528" i="9"/>
  <c r="F1528" i="9"/>
  <c r="E1528" i="9"/>
  <c r="D1528" i="9"/>
  <c r="C1528" i="9"/>
  <c r="B1528" i="9"/>
  <c r="P1527" i="9"/>
  <c r="O1527" i="9"/>
  <c r="N1527" i="9"/>
  <c r="M1527" i="9"/>
  <c r="L1527" i="9"/>
  <c r="K1527" i="9"/>
  <c r="J1527" i="9"/>
  <c r="I1527" i="9"/>
  <c r="H1527" i="9"/>
  <c r="G1527" i="9"/>
  <c r="F1527" i="9"/>
  <c r="E1527" i="9"/>
  <c r="D1527" i="9"/>
  <c r="C1527" i="9"/>
  <c r="B1527" i="9"/>
  <c r="P1526" i="9"/>
  <c r="O1526" i="9"/>
  <c r="N1526" i="9"/>
  <c r="M1526" i="9"/>
  <c r="L1526" i="9"/>
  <c r="K1526" i="9"/>
  <c r="J1526" i="9"/>
  <c r="I1526" i="9"/>
  <c r="H1526" i="9"/>
  <c r="G1526" i="9"/>
  <c r="F1526" i="9"/>
  <c r="E1526" i="9"/>
  <c r="D1526" i="9"/>
  <c r="C1526" i="9"/>
  <c r="B1526" i="9"/>
  <c r="P1525" i="9"/>
  <c r="O1525" i="9"/>
  <c r="N1525" i="9"/>
  <c r="M1525" i="9"/>
  <c r="L1525" i="9"/>
  <c r="K1525" i="9"/>
  <c r="J1525" i="9"/>
  <c r="I1525" i="9"/>
  <c r="H1525" i="9"/>
  <c r="G1525" i="9"/>
  <c r="F1525" i="9"/>
  <c r="E1525" i="9"/>
  <c r="D1525" i="9"/>
  <c r="C1525" i="9"/>
  <c r="B1525" i="9"/>
  <c r="P1524" i="9"/>
  <c r="O1524" i="9"/>
  <c r="N1524" i="9"/>
  <c r="M1524" i="9"/>
  <c r="L1524" i="9"/>
  <c r="K1524" i="9"/>
  <c r="J1524" i="9"/>
  <c r="I1524" i="9"/>
  <c r="H1524" i="9"/>
  <c r="G1524" i="9"/>
  <c r="F1524" i="9"/>
  <c r="E1524" i="9"/>
  <c r="D1524" i="9"/>
  <c r="C1524" i="9"/>
  <c r="B1524" i="9"/>
  <c r="P1523" i="9"/>
  <c r="O1523" i="9"/>
  <c r="N1523" i="9"/>
  <c r="M1523" i="9"/>
  <c r="L1523" i="9"/>
  <c r="K1523" i="9"/>
  <c r="J1523" i="9"/>
  <c r="I1523" i="9"/>
  <c r="H1523" i="9"/>
  <c r="G1523" i="9"/>
  <c r="F1523" i="9"/>
  <c r="E1523" i="9"/>
  <c r="D1523" i="9"/>
  <c r="C1523" i="9"/>
  <c r="B1523" i="9"/>
  <c r="P1522" i="9"/>
  <c r="O1522" i="9"/>
  <c r="N1522" i="9"/>
  <c r="M1522" i="9"/>
  <c r="L1522" i="9"/>
  <c r="K1522" i="9"/>
  <c r="J1522" i="9"/>
  <c r="I1522" i="9"/>
  <c r="H1522" i="9"/>
  <c r="G1522" i="9"/>
  <c r="F1522" i="9"/>
  <c r="E1522" i="9"/>
  <c r="D1522" i="9"/>
  <c r="C1522" i="9"/>
  <c r="B1522" i="9"/>
  <c r="P1521" i="9"/>
  <c r="O1521" i="9"/>
  <c r="N1521" i="9"/>
  <c r="M1521" i="9"/>
  <c r="L1521" i="9"/>
  <c r="K1521" i="9"/>
  <c r="J1521" i="9"/>
  <c r="I1521" i="9"/>
  <c r="H1521" i="9"/>
  <c r="G1521" i="9"/>
  <c r="F1521" i="9"/>
  <c r="E1521" i="9"/>
  <c r="D1521" i="9"/>
  <c r="C1521" i="9"/>
  <c r="B1521" i="9"/>
  <c r="P1520" i="9"/>
  <c r="O1520" i="9"/>
  <c r="N1520" i="9"/>
  <c r="M1520" i="9"/>
  <c r="L1520" i="9"/>
  <c r="K1520" i="9"/>
  <c r="J1520" i="9"/>
  <c r="I1520" i="9"/>
  <c r="H1520" i="9"/>
  <c r="G1520" i="9"/>
  <c r="F1520" i="9"/>
  <c r="E1520" i="9"/>
  <c r="D1520" i="9"/>
  <c r="C1520" i="9"/>
  <c r="B1520" i="9"/>
  <c r="P1519" i="9"/>
  <c r="O1519" i="9"/>
  <c r="N1519" i="9"/>
  <c r="M1519" i="9"/>
  <c r="L1519" i="9"/>
  <c r="K1519" i="9"/>
  <c r="J1519" i="9"/>
  <c r="I1519" i="9"/>
  <c r="H1519" i="9"/>
  <c r="G1519" i="9"/>
  <c r="F1519" i="9"/>
  <c r="E1519" i="9"/>
  <c r="D1519" i="9"/>
  <c r="C1519" i="9"/>
  <c r="B1519" i="9"/>
  <c r="P1518" i="9"/>
  <c r="O1518" i="9"/>
  <c r="N1518" i="9"/>
  <c r="M1518" i="9"/>
  <c r="L1518" i="9"/>
  <c r="K1518" i="9"/>
  <c r="J1518" i="9"/>
  <c r="I1518" i="9"/>
  <c r="H1518" i="9"/>
  <c r="G1518" i="9"/>
  <c r="F1518" i="9"/>
  <c r="E1518" i="9"/>
  <c r="D1518" i="9"/>
  <c r="C1518" i="9"/>
  <c r="B1518" i="9"/>
  <c r="P1517" i="9"/>
  <c r="O1517" i="9"/>
  <c r="N1517" i="9"/>
  <c r="M1517" i="9"/>
  <c r="L1517" i="9"/>
  <c r="K1517" i="9"/>
  <c r="J1517" i="9"/>
  <c r="I1517" i="9"/>
  <c r="H1517" i="9"/>
  <c r="G1517" i="9"/>
  <c r="F1517" i="9"/>
  <c r="E1517" i="9"/>
  <c r="D1517" i="9"/>
  <c r="C1517" i="9"/>
  <c r="B1517" i="9"/>
  <c r="P1516" i="9"/>
  <c r="O1516" i="9"/>
  <c r="N1516" i="9"/>
  <c r="M1516" i="9"/>
  <c r="L1516" i="9"/>
  <c r="K1516" i="9"/>
  <c r="J1516" i="9"/>
  <c r="I1516" i="9"/>
  <c r="H1516" i="9"/>
  <c r="G1516" i="9"/>
  <c r="F1516" i="9"/>
  <c r="E1516" i="9"/>
  <c r="D1516" i="9"/>
  <c r="C1516" i="9"/>
  <c r="B1516" i="9"/>
  <c r="P1515" i="9"/>
  <c r="O1515" i="9"/>
  <c r="N1515" i="9"/>
  <c r="M1515" i="9"/>
  <c r="L1515" i="9"/>
  <c r="K1515" i="9"/>
  <c r="J1515" i="9"/>
  <c r="I1515" i="9"/>
  <c r="H1515" i="9"/>
  <c r="G1515" i="9"/>
  <c r="F1515" i="9"/>
  <c r="E1515" i="9"/>
  <c r="D1515" i="9"/>
  <c r="C1515" i="9"/>
  <c r="B1515" i="9"/>
  <c r="P1514" i="9"/>
  <c r="O1514" i="9"/>
  <c r="N1514" i="9"/>
  <c r="M1514" i="9"/>
  <c r="L1514" i="9"/>
  <c r="K1514" i="9"/>
  <c r="J1514" i="9"/>
  <c r="I1514" i="9"/>
  <c r="H1514" i="9"/>
  <c r="G1514" i="9"/>
  <c r="F1514" i="9"/>
  <c r="E1514" i="9"/>
  <c r="D1514" i="9"/>
  <c r="C1514" i="9"/>
  <c r="B1514" i="9"/>
  <c r="P1513" i="9"/>
  <c r="O1513" i="9"/>
  <c r="N1513" i="9"/>
  <c r="M1513" i="9"/>
  <c r="L1513" i="9"/>
  <c r="K1513" i="9"/>
  <c r="J1513" i="9"/>
  <c r="I1513" i="9"/>
  <c r="H1513" i="9"/>
  <c r="G1513" i="9"/>
  <c r="F1513" i="9"/>
  <c r="E1513" i="9"/>
  <c r="D1513" i="9"/>
  <c r="C1513" i="9"/>
  <c r="B1513" i="9"/>
  <c r="P1512" i="9"/>
  <c r="O1512" i="9"/>
  <c r="N1512" i="9"/>
  <c r="M1512" i="9"/>
  <c r="L1512" i="9"/>
  <c r="K1512" i="9"/>
  <c r="J1512" i="9"/>
  <c r="I1512" i="9"/>
  <c r="H1512" i="9"/>
  <c r="G1512" i="9"/>
  <c r="F1512" i="9"/>
  <c r="E1512" i="9"/>
  <c r="D1512" i="9"/>
  <c r="C1512" i="9"/>
  <c r="B1512" i="9"/>
  <c r="P1511" i="9"/>
  <c r="O1511" i="9"/>
  <c r="N1511" i="9"/>
  <c r="M1511" i="9"/>
  <c r="L1511" i="9"/>
  <c r="K1511" i="9"/>
  <c r="J1511" i="9"/>
  <c r="I1511" i="9"/>
  <c r="H1511" i="9"/>
  <c r="G1511" i="9"/>
  <c r="F1511" i="9"/>
  <c r="E1511" i="9"/>
  <c r="D1511" i="9"/>
  <c r="C1511" i="9"/>
  <c r="B1511" i="9"/>
  <c r="P1510" i="9"/>
  <c r="O1510" i="9"/>
  <c r="N1510" i="9"/>
  <c r="M1510" i="9"/>
  <c r="L1510" i="9"/>
  <c r="K1510" i="9"/>
  <c r="J1510" i="9"/>
  <c r="I1510" i="9"/>
  <c r="H1510" i="9"/>
  <c r="G1510" i="9"/>
  <c r="F1510" i="9"/>
  <c r="E1510" i="9"/>
  <c r="D1510" i="9"/>
  <c r="C1510" i="9"/>
  <c r="B1510" i="9"/>
  <c r="P1509" i="9"/>
  <c r="O1509" i="9"/>
  <c r="N1509" i="9"/>
  <c r="M1509" i="9"/>
  <c r="L1509" i="9"/>
  <c r="K1509" i="9"/>
  <c r="J1509" i="9"/>
  <c r="I1509" i="9"/>
  <c r="H1509" i="9"/>
  <c r="G1509" i="9"/>
  <c r="F1509" i="9"/>
  <c r="E1509" i="9"/>
  <c r="D1509" i="9"/>
  <c r="C1509" i="9"/>
  <c r="B1509" i="9"/>
  <c r="P1508" i="9"/>
  <c r="O1508" i="9"/>
  <c r="N1508" i="9"/>
  <c r="M1508" i="9"/>
  <c r="L1508" i="9"/>
  <c r="K1508" i="9"/>
  <c r="J1508" i="9"/>
  <c r="I1508" i="9"/>
  <c r="H1508" i="9"/>
  <c r="G1508" i="9"/>
  <c r="F1508" i="9"/>
  <c r="E1508" i="9"/>
  <c r="D1508" i="9"/>
  <c r="C1508" i="9"/>
  <c r="B1508" i="9"/>
  <c r="P1507" i="9"/>
  <c r="O1507" i="9"/>
  <c r="N1507" i="9"/>
  <c r="M1507" i="9"/>
  <c r="L1507" i="9"/>
  <c r="K1507" i="9"/>
  <c r="J1507" i="9"/>
  <c r="I1507" i="9"/>
  <c r="H1507" i="9"/>
  <c r="G1507" i="9"/>
  <c r="F1507" i="9"/>
  <c r="E1507" i="9"/>
  <c r="D1507" i="9"/>
  <c r="C1507" i="9"/>
  <c r="B1507" i="9"/>
  <c r="P1506" i="9"/>
  <c r="O1506" i="9"/>
  <c r="N1506" i="9"/>
  <c r="M1506" i="9"/>
  <c r="L1506" i="9"/>
  <c r="K1506" i="9"/>
  <c r="J1506" i="9"/>
  <c r="I1506" i="9"/>
  <c r="H1506" i="9"/>
  <c r="G1506" i="9"/>
  <c r="F1506" i="9"/>
  <c r="E1506" i="9"/>
  <c r="D1506" i="9"/>
  <c r="C1506" i="9"/>
  <c r="B1506" i="9"/>
  <c r="P1505" i="9"/>
  <c r="O1505" i="9"/>
  <c r="N1505" i="9"/>
  <c r="M1505" i="9"/>
  <c r="L1505" i="9"/>
  <c r="K1505" i="9"/>
  <c r="J1505" i="9"/>
  <c r="I1505" i="9"/>
  <c r="H1505" i="9"/>
  <c r="G1505" i="9"/>
  <c r="F1505" i="9"/>
  <c r="E1505" i="9"/>
  <c r="D1505" i="9"/>
  <c r="C1505" i="9"/>
  <c r="B1505" i="9"/>
  <c r="P1504" i="9"/>
  <c r="O1504" i="9"/>
  <c r="N1504" i="9"/>
  <c r="M1504" i="9"/>
  <c r="L1504" i="9"/>
  <c r="K1504" i="9"/>
  <c r="J1504" i="9"/>
  <c r="I1504" i="9"/>
  <c r="H1504" i="9"/>
  <c r="G1504" i="9"/>
  <c r="F1504" i="9"/>
  <c r="E1504" i="9"/>
  <c r="D1504" i="9"/>
  <c r="C1504" i="9"/>
  <c r="B1504" i="9"/>
  <c r="P1503" i="9"/>
  <c r="O1503" i="9"/>
  <c r="N1503" i="9"/>
  <c r="M1503" i="9"/>
  <c r="L1503" i="9"/>
  <c r="K1503" i="9"/>
  <c r="J1503" i="9"/>
  <c r="I1503" i="9"/>
  <c r="H1503" i="9"/>
  <c r="G1503" i="9"/>
  <c r="F1503" i="9"/>
  <c r="E1503" i="9"/>
  <c r="D1503" i="9"/>
  <c r="C1503" i="9"/>
  <c r="B1503" i="9"/>
  <c r="P1502" i="9"/>
  <c r="O1502" i="9"/>
  <c r="N1502" i="9"/>
  <c r="M1502" i="9"/>
  <c r="L1502" i="9"/>
  <c r="K1502" i="9"/>
  <c r="J1502" i="9"/>
  <c r="I1502" i="9"/>
  <c r="H1502" i="9"/>
  <c r="G1502" i="9"/>
  <c r="F1502" i="9"/>
  <c r="E1502" i="9"/>
  <c r="D1502" i="9"/>
  <c r="C1502" i="9"/>
  <c r="B1502" i="9"/>
  <c r="P1501" i="9"/>
  <c r="O1501" i="9"/>
  <c r="N1501" i="9"/>
  <c r="M1501" i="9"/>
  <c r="L1501" i="9"/>
  <c r="K1501" i="9"/>
  <c r="J1501" i="9"/>
  <c r="I1501" i="9"/>
  <c r="H1501" i="9"/>
  <c r="G1501" i="9"/>
  <c r="F1501" i="9"/>
  <c r="E1501" i="9"/>
  <c r="D1501" i="9"/>
  <c r="C1501" i="9"/>
  <c r="B1501" i="9"/>
  <c r="P1500" i="9"/>
  <c r="O1500" i="9"/>
  <c r="N1500" i="9"/>
  <c r="M1500" i="9"/>
  <c r="L1500" i="9"/>
  <c r="K1500" i="9"/>
  <c r="J1500" i="9"/>
  <c r="I1500" i="9"/>
  <c r="H1500" i="9"/>
  <c r="G1500" i="9"/>
  <c r="F1500" i="9"/>
  <c r="E1500" i="9"/>
  <c r="D1500" i="9"/>
  <c r="C1500" i="9"/>
  <c r="B1500" i="9"/>
  <c r="P1499" i="9"/>
  <c r="O1499" i="9"/>
  <c r="N1499" i="9"/>
  <c r="M1499" i="9"/>
  <c r="L1499" i="9"/>
  <c r="K1499" i="9"/>
  <c r="J1499" i="9"/>
  <c r="I1499" i="9"/>
  <c r="H1499" i="9"/>
  <c r="G1499" i="9"/>
  <c r="F1499" i="9"/>
  <c r="E1499" i="9"/>
  <c r="D1499" i="9"/>
  <c r="C1499" i="9"/>
  <c r="B1499" i="9"/>
  <c r="P1498" i="9"/>
  <c r="O1498" i="9"/>
  <c r="N1498" i="9"/>
  <c r="M1498" i="9"/>
  <c r="L1498" i="9"/>
  <c r="K1498" i="9"/>
  <c r="J1498" i="9"/>
  <c r="I1498" i="9"/>
  <c r="H1498" i="9"/>
  <c r="G1498" i="9"/>
  <c r="F1498" i="9"/>
  <c r="E1498" i="9"/>
  <c r="D1498" i="9"/>
  <c r="C1498" i="9"/>
  <c r="B1498" i="9"/>
  <c r="P1497" i="9"/>
  <c r="O1497" i="9"/>
  <c r="N1497" i="9"/>
  <c r="M1497" i="9"/>
  <c r="L1497" i="9"/>
  <c r="K1497" i="9"/>
  <c r="J1497" i="9"/>
  <c r="I1497" i="9"/>
  <c r="H1497" i="9"/>
  <c r="G1497" i="9"/>
  <c r="F1497" i="9"/>
  <c r="E1497" i="9"/>
  <c r="D1497" i="9"/>
  <c r="C1497" i="9"/>
  <c r="B1497" i="9"/>
  <c r="P1496" i="9"/>
  <c r="O1496" i="9"/>
  <c r="N1496" i="9"/>
  <c r="M1496" i="9"/>
  <c r="L1496" i="9"/>
  <c r="K1496" i="9"/>
  <c r="J1496" i="9"/>
  <c r="I1496" i="9"/>
  <c r="H1496" i="9"/>
  <c r="G1496" i="9"/>
  <c r="F1496" i="9"/>
  <c r="E1496" i="9"/>
  <c r="D1496" i="9"/>
  <c r="C1496" i="9"/>
  <c r="B1496" i="9"/>
  <c r="P1495" i="9"/>
  <c r="O1495" i="9"/>
  <c r="N1495" i="9"/>
  <c r="M1495" i="9"/>
  <c r="L1495" i="9"/>
  <c r="K1495" i="9"/>
  <c r="J1495" i="9"/>
  <c r="I1495" i="9"/>
  <c r="H1495" i="9"/>
  <c r="G1495" i="9"/>
  <c r="F1495" i="9"/>
  <c r="E1495" i="9"/>
  <c r="D1495" i="9"/>
  <c r="C1495" i="9"/>
  <c r="B1495" i="9"/>
  <c r="P1494" i="9"/>
  <c r="O1494" i="9"/>
  <c r="N1494" i="9"/>
  <c r="M1494" i="9"/>
  <c r="L1494" i="9"/>
  <c r="K1494" i="9"/>
  <c r="J1494" i="9"/>
  <c r="I1494" i="9"/>
  <c r="H1494" i="9"/>
  <c r="G1494" i="9"/>
  <c r="F1494" i="9"/>
  <c r="E1494" i="9"/>
  <c r="D1494" i="9"/>
  <c r="C1494" i="9"/>
  <c r="B1494" i="9"/>
  <c r="P1493" i="9"/>
  <c r="O1493" i="9"/>
  <c r="N1493" i="9"/>
  <c r="M1493" i="9"/>
  <c r="L1493" i="9"/>
  <c r="K1493" i="9"/>
  <c r="J1493" i="9"/>
  <c r="I1493" i="9"/>
  <c r="H1493" i="9"/>
  <c r="G1493" i="9"/>
  <c r="F1493" i="9"/>
  <c r="E1493" i="9"/>
  <c r="D1493" i="9"/>
  <c r="C1493" i="9"/>
  <c r="B1493" i="9"/>
  <c r="P1492" i="9"/>
  <c r="O1492" i="9"/>
  <c r="N1492" i="9"/>
  <c r="M1492" i="9"/>
  <c r="L1492" i="9"/>
  <c r="K1492" i="9"/>
  <c r="J1492" i="9"/>
  <c r="I1492" i="9"/>
  <c r="H1492" i="9"/>
  <c r="G1492" i="9"/>
  <c r="F1492" i="9"/>
  <c r="E1492" i="9"/>
  <c r="D1492" i="9"/>
  <c r="C1492" i="9"/>
  <c r="B1492" i="9"/>
  <c r="P1491" i="9"/>
  <c r="O1491" i="9"/>
  <c r="N1491" i="9"/>
  <c r="M1491" i="9"/>
  <c r="L1491" i="9"/>
  <c r="K1491" i="9"/>
  <c r="J1491" i="9"/>
  <c r="I1491" i="9"/>
  <c r="H1491" i="9"/>
  <c r="G1491" i="9"/>
  <c r="F1491" i="9"/>
  <c r="E1491" i="9"/>
  <c r="D1491" i="9"/>
  <c r="C1491" i="9"/>
  <c r="B1491" i="9"/>
  <c r="P1490" i="9"/>
  <c r="O1490" i="9"/>
  <c r="N1490" i="9"/>
  <c r="M1490" i="9"/>
  <c r="L1490" i="9"/>
  <c r="K1490" i="9"/>
  <c r="J1490" i="9"/>
  <c r="I1490" i="9"/>
  <c r="H1490" i="9"/>
  <c r="G1490" i="9"/>
  <c r="F1490" i="9"/>
  <c r="E1490" i="9"/>
  <c r="D1490" i="9"/>
  <c r="C1490" i="9"/>
  <c r="B1490" i="9"/>
  <c r="P1489" i="9"/>
  <c r="O1489" i="9"/>
  <c r="N1489" i="9"/>
  <c r="M1489" i="9"/>
  <c r="L1489" i="9"/>
  <c r="K1489" i="9"/>
  <c r="J1489" i="9"/>
  <c r="I1489" i="9"/>
  <c r="H1489" i="9"/>
  <c r="G1489" i="9"/>
  <c r="F1489" i="9"/>
  <c r="E1489" i="9"/>
  <c r="D1489" i="9"/>
  <c r="C1489" i="9"/>
  <c r="B1489" i="9"/>
  <c r="P1488" i="9"/>
  <c r="O1488" i="9"/>
  <c r="N1488" i="9"/>
  <c r="M1488" i="9"/>
  <c r="L1488" i="9"/>
  <c r="K1488" i="9"/>
  <c r="J1488" i="9"/>
  <c r="I1488" i="9"/>
  <c r="H1488" i="9"/>
  <c r="G1488" i="9"/>
  <c r="F1488" i="9"/>
  <c r="E1488" i="9"/>
  <c r="D1488" i="9"/>
  <c r="C1488" i="9"/>
  <c r="B1488" i="9"/>
  <c r="P1487" i="9"/>
  <c r="O1487" i="9"/>
  <c r="N1487" i="9"/>
  <c r="M1487" i="9"/>
  <c r="L1487" i="9"/>
  <c r="K1487" i="9"/>
  <c r="J1487" i="9"/>
  <c r="I1487" i="9"/>
  <c r="H1487" i="9"/>
  <c r="G1487" i="9"/>
  <c r="F1487" i="9"/>
  <c r="E1487" i="9"/>
  <c r="D1487" i="9"/>
  <c r="C1487" i="9"/>
  <c r="B1487" i="9"/>
  <c r="P1486" i="9"/>
  <c r="O1486" i="9"/>
  <c r="N1486" i="9"/>
  <c r="M1486" i="9"/>
  <c r="L1486" i="9"/>
  <c r="K1486" i="9"/>
  <c r="J1486" i="9"/>
  <c r="I1486" i="9"/>
  <c r="H1486" i="9"/>
  <c r="G1486" i="9"/>
  <c r="F1486" i="9"/>
  <c r="E1486" i="9"/>
  <c r="D1486" i="9"/>
  <c r="C1486" i="9"/>
  <c r="B1486" i="9"/>
  <c r="P1485" i="9"/>
  <c r="O1485" i="9"/>
  <c r="N1485" i="9"/>
  <c r="M1485" i="9"/>
  <c r="L1485" i="9"/>
  <c r="K1485" i="9"/>
  <c r="J1485" i="9"/>
  <c r="I1485" i="9"/>
  <c r="H1485" i="9"/>
  <c r="G1485" i="9"/>
  <c r="F1485" i="9"/>
  <c r="E1485" i="9"/>
  <c r="D1485" i="9"/>
  <c r="C1485" i="9"/>
  <c r="B1485" i="9"/>
  <c r="P1484" i="9"/>
  <c r="O1484" i="9"/>
  <c r="N1484" i="9"/>
  <c r="M1484" i="9"/>
  <c r="L1484" i="9"/>
  <c r="K1484" i="9"/>
  <c r="J1484" i="9"/>
  <c r="I1484" i="9"/>
  <c r="H1484" i="9"/>
  <c r="G1484" i="9"/>
  <c r="F1484" i="9"/>
  <c r="E1484" i="9"/>
  <c r="D1484" i="9"/>
  <c r="C1484" i="9"/>
  <c r="B1484" i="9"/>
  <c r="P1483" i="9"/>
  <c r="O1483" i="9"/>
  <c r="N1483" i="9"/>
  <c r="M1483" i="9"/>
  <c r="L1483" i="9"/>
  <c r="K1483" i="9"/>
  <c r="J1483" i="9"/>
  <c r="I1483" i="9"/>
  <c r="H1483" i="9"/>
  <c r="G1483" i="9"/>
  <c r="F1483" i="9"/>
  <c r="E1483" i="9"/>
  <c r="D1483" i="9"/>
  <c r="C1483" i="9"/>
  <c r="B1483" i="9"/>
  <c r="P1482" i="9"/>
  <c r="O1482" i="9"/>
  <c r="N1482" i="9"/>
  <c r="M1482" i="9"/>
  <c r="L1482" i="9"/>
  <c r="K1482" i="9"/>
  <c r="J1482" i="9"/>
  <c r="I1482" i="9"/>
  <c r="H1482" i="9"/>
  <c r="G1482" i="9"/>
  <c r="F1482" i="9"/>
  <c r="E1482" i="9"/>
  <c r="D1482" i="9"/>
  <c r="C1482" i="9"/>
  <c r="B1482" i="9"/>
  <c r="P1481" i="9"/>
  <c r="O1481" i="9"/>
  <c r="N1481" i="9"/>
  <c r="M1481" i="9"/>
  <c r="L1481" i="9"/>
  <c r="K1481" i="9"/>
  <c r="J1481" i="9"/>
  <c r="I1481" i="9"/>
  <c r="H1481" i="9"/>
  <c r="G1481" i="9"/>
  <c r="F1481" i="9"/>
  <c r="E1481" i="9"/>
  <c r="D1481" i="9"/>
  <c r="C1481" i="9"/>
  <c r="B1481" i="9"/>
  <c r="P1480" i="9"/>
  <c r="O1480" i="9"/>
  <c r="N1480" i="9"/>
  <c r="M1480" i="9"/>
  <c r="L1480" i="9"/>
  <c r="K1480" i="9"/>
  <c r="J1480" i="9"/>
  <c r="I1480" i="9"/>
  <c r="H1480" i="9"/>
  <c r="G1480" i="9"/>
  <c r="F1480" i="9"/>
  <c r="E1480" i="9"/>
  <c r="D1480" i="9"/>
  <c r="C1480" i="9"/>
  <c r="B1480" i="9"/>
  <c r="P1479" i="9"/>
  <c r="O1479" i="9"/>
  <c r="N1479" i="9"/>
  <c r="M1479" i="9"/>
  <c r="L1479" i="9"/>
  <c r="K1479" i="9"/>
  <c r="J1479" i="9"/>
  <c r="I1479" i="9"/>
  <c r="H1479" i="9"/>
  <c r="G1479" i="9"/>
  <c r="F1479" i="9"/>
  <c r="E1479" i="9"/>
  <c r="D1479" i="9"/>
  <c r="C1479" i="9"/>
  <c r="B1479" i="9"/>
  <c r="P1478" i="9"/>
  <c r="O1478" i="9"/>
  <c r="N1478" i="9"/>
  <c r="M1478" i="9"/>
  <c r="L1478" i="9"/>
  <c r="K1478" i="9"/>
  <c r="J1478" i="9"/>
  <c r="I1478" i="9"/>
  <c r="H1478" i="9"/>
  <c r="G1478" i="9"/>
  <c r="F1478" i="9"/>
  <c r="E1478" i="9"/>
  <c r="D1478" i="9"/>
  <c r="C1478" i="9"/>
  <c r="B1478" i="9"/>
  <c r="P1477" i="9"/>
  <c r="O1477" i="9"/>
  <c r="N1477" i="9"/>
  <c r="M1477" i="9"/>
  <c r="L1477" i="9"/>
  <c r="K1477" i="9"/>
  <c r="J1477" i="9"/>
  <c r="I1477" i="9"/>
  <c r="H1477" i="9"/>
  <c r="G1477" i="9"/>
  <c r="F1477" i="9"/>
  <c r="E1477" i="9"/>
  <c r="D1477" i="9"/>
  <c r="C1477" i="9"/>
  <c r="B1477" i="9"/>
  <c r="P1476" i="9"/>
  <c r="O1476" i="9"/>
  <c r="N1476" i="9"/>
  <c r="M1476" i="9"/>
  <c r="L1476" i="9"/>
  <c r="K1476" i="9"/>
  <c r="J1476" i="9"/>
  <c r="I1476" i="9"/>
  <c r="H1476" i="9"/>
  <c r="G1476" i="9"/>
  <c r="F1476" i="9"/>
  <c r="E1476" i="9"/>
  <c r="D1476" i="9"/>
  <c r="C1476" i="9"/>
  <c r="B1476" i="9"/>
  <c r="P1475" i="9"/>
  <c r="O1475" i="9"/>
  <c r="N1475" i="9"/>
  <c r="M1475" i="9"/>
  <c r="L1475" i="9"/>
  <c r="K1475" i="9"/>
  <c r="J1475" i="9"/>
  <c r="I1475" i="9"/>
  <c r="H1475" i="9"/>
  <c r="G1475" i="9"/>
  <c r="F1475" i="9"/>
  <c r="E1475" i="9"/>
  <c r="D1475" i="9"/>
  <c r="C1475" i="9"/>
  <c r="B1475" i="9"/>
  <c r="P1474" i="9"/>
  <c r="O1474" i="9"/>
  <c r="N1474" i="9"/>
  <c r="M1474" i="9"/>
  <c r="L1474" i="9"/>
  <c r="K1474" i="9"/>
  <c r="J1474" i="9"/>
  <c r="I1474" i="9"/>
  <c r="H1474" i="9"/>
  <c r="G1474" i="9"/>
  <c r="F1474" i="9"/>
  <c r="E1474" i="9"/>
  <c r="D1474" i="9"/>
  <c r="C1474" i="9"/>
  <c r="B1474" i="9"/>
  <c r="P1473" i="9"/>
  <c r="O1473" i="9"/>
  <c r="N1473" i="9"/>
  <c r="M1473" i="9"/>
  <c r="L1473" i="9"/>
  <c r="K1473" i="9"/>
  <c r="J1473" i="9"/>
  <c r="I1473" i="9"/>
  <c r="H1473" i="9"/>
  <c r="G1473" i="9"/>
  <c r="F1473" i="9"/>
  <c r="E1473" i="9"/>
  <c r="D1473" i="9"/>
  <c r="C1473" i="9"/>
  <c r="B1473" i="9"/>
  <c r="P1472" i="9"/>
  <c r="O1472" i="9"/>
  <c r="N1472" i="9"/>
  <c r="M1472" i="9"/>
  <c r="L1472" i="9"/>
  <c r="K1472" i="9"/>
  <c r="J1472" i="9"/>
  <c r="I1472" i="9"/>
  <c r="H1472" i="9"/>
  <c r="G1472" i="9"/>
  <c r="F1472" i="9"/>
  <c r="E1472" i="9"/>
  <c r="D1472" i="9"/>
  <c r="C1472" i="9"/>
  <c r="B1472" i="9"/>
  <c r="P1471" i="9"/>
  <c r="O1471" i="9"/>
  <c r="N1471" i="9"/>
  <c r="M1471" i="9"/>
  <c r="L1471" i="9"/>
  <c r="K1471" i="9"/>
  <c r="J1471" i="9"/>
  <c r="I1471" i="9"/>
  <c r="H1471" i="9"/>
  <c r="G1471" i="9"/>
  <c r="F1471" i="9"/>
  <c r="E1471" i="9"/>
  <c r="D1471" i="9"/>
  <c r="C1471" i="9"/>
  <c r="B1471" i="9"/>
  <c r="P1470" i="9"/>
  <c r="O1470" i="9"/>
  <c r="N1470" i="9"/>
  <c r="M1470" i="9"/>
  <c r="L1470" i="9"/>
  <c r="K1470" i="9"/>
  <c r="J1470" i="9"/>
  <c r="I1470" i="9"/>
  <c r="H1470" i="9"/>
  <c r="G1470" i="9"/>
  <c r="F1470" i="9"/>
  <c r="E1470" i="9"/>
  <c r="D1470" i="9"/>
  <c r="C1470" i="9"/>
  <c r="B1470" i="9"/>
  <c r="P1469" i="9"/>
  <c r="O1469" i="9"/>
  <c r="N1469" i="9"/>
  <c r="M1469" i="9"/>
  <c r="L1469" i="9"/>
  <c r="K1469" i="9"/>
  <c r="J1469" i="9"/>
  <c r="I1469" i="9"/>
  <c r="H1469" i="9"/>
  <c r="G1469" i="9"/>
  <c r="F1469" i="9"/>
  <c r="E1469" i="9"/>
  <c r="D1469" i="9"/>
  <c r="C1469" i="9"/>
  <c r="B1469" i="9"/>
  <c r="P1468" i="9"/>
  <c r="O1468" i="9"/>
  <c r="N1468" i="9"/>
  <c r="M1468" i="9"/>
  <c r="L1468" i="9"/>
  <c r="K1468" i="9"/>
  <c r="J1468" i="9"/>
  <c r="I1468" i="9"/>
  <c r="H1468" i="9"/>
  <c r="G1468" i="9"/>
  <c r="F1468" i="9"/>
  <c r="E1468" i="9"/>
  <c r="D1468" i="9"/>
  <c r="C1468" i="9"/>
  <c r="B1468" i="9"/>
  <c r="P1467" i="9"/>
  <c r="O1467" i="9"/>
  <c r="N1467" i="9"/>
  <c r="M1467" i="9"/>
  <c r="L1467" i="9"/>
  <c r="K1467" i="9"/>
  <c r="J1467" i="9"/>
  <c r="I1467" i="9"/>
  <c r="H1467" i="9"/>
  <c r="G1467" i="9"/>
  <c r="F1467" i="9"/>
  <c r="E1467" i="9"/>
  <c r="D1467" i="9"/>
  <c r="C1467" i="9"/>
  <c r="B1467" i="9"/>
  <c r="P1466" i="9"/>
  <c r="O1466" i="9"/>
  <c r="N1466" i="9"/>
  <c r="M1466" i="9"/>
  <c r="L1466" i="9"/>
  <c r="K1466" i="9"/>
  <c r="J1466" i="9"/>
  <c r="I1466" i="9"/>
  <c r="H1466" i="9"/>
  <c r="G1466" i="9"/>
  <c r="F1466" i="9"/>
  <c r="E1466" i="9"/>
  <c r="D1466" i="9"/>
  <c r="C1466" i="9"/>
  <c r="B1466" i="9"/>
  <c r="P1465" i="9"/>
  <c r="O1465" i="9"/>
  <c r="N1465" i="9"/>
  <c r="M1465" i="9"/>
  <c r="L1465" i="9"/>
  <c r="K1465" i="9"/>
  <c r="J1465" i="9"/>
  <c r="I1465" i="9"/>
  <c r="H1465" i="9"/>
  <c r="G1465" i="9"/>
  <c r="F1465" i="9"/>
  <c r="E1465" i="9"/>
  <c r="D1465" i="9"/>
  <c r="C1465" i="9"/>
  <c r="B1465" i="9"/>
  <c r="P1464" i="9"/>
  <c r="O1464" i="9"/>
  <c r="N1464" i="9"/>
  <c r="M1464" i="9"/>
  <c r="L1464" i="9"/>
  <c r="K1464" i="9"/>
  <c r="J1464" i="9"/>
  <c r="I1464" i="9"/>
  <c r="H1464" i="9"/>
  <c r="G1464" i="9"/>
  <c r="F1464" i="9"/>
  <c r="E1464" i="9"/>
  <c r="D1464" i="9"/>
  <c r="C1464" i="9"/>
  <c r="B1464" i="9"/>
  <c r="P1463" i="9"/>
  <c r="O1463" i="9"/>
  <c r="N1463" i="9"/>
  <c r="M1463" i="9"/>
  <c r="L1463" i="9"/>
  <c r="K1463" i="9"/>
  <c r="J1463" i="9"/>
  <c r="I1463" i="9"/>
  <c r="H1463" i="9"/>
  <c r="G1463" i="9"/>
  <c r="F1463" i="9"/>
  <c r="E1463" i="9"/>
  <c r="D1463" i="9"/>
  <c r="C1463" i="9"/>
  <c r="B1463" i="9"/>
  <c r="P1462" i="9"/>
  <c r="O1462" i="9"/>
  <c r="N1462" i="9"/>
  <c r="M1462" i="9"/>
  <c r="L1462" i="9"/>
  <c r="K1462" i="9"/>
  <c r="J1462" i="9"/>
  <c r="I1462" i="9"/>
  <c r="H1462" i="9"/>
  <c r="G1462" i="9"/>
  <c r="F1462" i="9"/>
  <c r="E1462" i="9"/>
  <c r="D1462" i="9"/>
  <c r="C1462" i="9"/>
  <c r="B1462" i="9"/>
  <c r="P1461" i="9"/>
  <c r="O1461" i="9"/>
  <c r="N1461" i="9"/>
  <c r="M1461" i="9"/>
  <c r="L1461" i="9"/>
  <c r="K1461" i="9"/>
  <c r="J1461" i="9"/>
  <c r="I1461" i="9"/>
  <c r="H1461" i="9"/>
  <c r="G1461" i="9"/>
  <c r="F1461" i="9"/>
  <c r="E1461" i="9"/>
  <c r="D1461" i="9"/>
  <c r="C1461" i="9"/>
  <c r="B1461" i="9"/>
  <c r="P1460" i="9"/>
  <c r="O1460" i="9"/>
  <c r="N1460" i="9"/>
  <c r="M1460" i="9"/>
  <c r="L1460" i="9"/>
  <c r="K1460" i="9"/>
  <c r="J1460" i="9"/>
  <c r="I1460" i="9"/>
  <c r="H1460" i="9"/>
  <c r="G1460" i="9"/>
  <c r="F1460" i="9"/>
  <c r="E1460" i="9"/>
  <c r="D1460" i="9"/>
  <c r="C1460" i="9"/>
  <c r="B1460" i="9"/>
  <c r="P1459" i="9"/>
  <c r="O1459" i="9"/>
  <c r="N1459" i="9"/>
  <c r="M1459" i="9"/>
  <c r="L1459" i="9"/>
  <c r="K1459" i="9"/>
  <c r="J1459" i="9"/>
  <c r="I1459" i="9"/>
  <c r="H1459" i="9"/>
  <c r="G1459" i="9"/>
  <c r="F1459" i="9"/>
  <c r="E1459" i="9"/>
  <c r="D1459" i="9"/>
  <c r="C1459" i="9"/>
  <c r="B1459" i="9"/>
  <c r="P1458" i="9"/>
  <c r="O1458" i="9"/>
  <c r="N1458" i="9"/>
  <c r="M1458" i="9"/>
  <c r="L1458" i="9"/>
  <c r="K1458" i="9"/>
  <c r="J1458" i="9"/>
  <c r="I1458" i="9"/>
  <c r="H1458" i="9"/>
  <c r="G1458" i="9"/>
  <c r="F1458" i="9"/>
  <c r="E1458" i="9"/>
  <c r="D1458" i="9"/>
  <c r="C1458" i="9"/>
  <c r="B1458" i="9"/>
  <c r="P1457" i="9"/>
  <c r="O1457" i="9"/>
  <c r="N1457" i="9"/>
  <c r="M1457" i="9"/>
  <c r="L1457" i="9"/>
  <c r="K1457" i="9"/>
  <c r="J1457" i="9"/>
  <c r="I1457" i="9"/>
  <c r="H1457" i="9"/>
  <c r="G1457" i="9"/>
  <c r="F1457" i="9"/>
  <c r="E1457" i="9"/>
  <c r="D1457" i="9"/>
  <c r="C1457" i="9"/>
  <c r="B1457" i="9"/>
  <c r="P1456" i="9"/>
  <c r="O1456" i="9"/>
  <c r="N1456" i="9"/>
  <c r="M1456" i="9"/>
  <c r="L1456" i="9"/>
  <c r="K1456" i="9"/>
  <c r="J1456" i="9"/>
  <c r="I1456" i="9"/>
  <c r="H1456" i="9"/>
  <c r="G1456" i="9"/>
  <c r="F1456" i="9"/>
  <c r="E1456" i="9"/>
  <c r="D1456" i="9"/>
  <c r="C1456" i="9"/>
  <c r="B1456" i="9"/>
  <c r="P1455" i="9"/>
  <c r="O1455" i="9"/>
  <c r="N1455" i="9"/>
  <c r="M1455" i="9"/>
  <c r="L1455" i="9"/>
  <c r="K1455" i="9"/>
  <c r="J1455" i="9"/>
  <c r="I1455" i="9"/>
  <c r="H1455" i="9"/>
  <c r="G1455" i="9"/>
  <c r="F1455" i="9"/>
  <c r="E1455" i="9"/>
  <c r="D1455" i="9"/>
  <c r="C1455" i="9"/>
  <c r="B1455" i="9"/>
  <c r="P1454" i="9"/>
  <c r="O1454" i="9"/>
  <c r="N1454" i="9"/>
  <c r="M1454" i="9"/>
  <c r="L1454" i="9"/>
  <c r="K1454" i="9"/>
  <c r="J1454" i="9"/>
  <c r="I1454" i="9"/>
  <c r="H1454" i="9"/>
  <c r="G1454" i="9"/>
  <c r="F1454" i="9"/>
  <c r="E1454" i="9"/>
  <c r="D1454" i="9"/>
  <c r="C1454" i="9"/>
  <c r="B1454" i="9"/>
  <c r="P1453" i="9"/>
  <c r="O1453" i="9"/>
  <c r="N1453" i="9"/>
  <c r="M1453" i="9"/>
  <c r="L1453" i="9"/>
  <c r="K1453" i="9"/>
  <c r="J1453" i="9"/>
  <c r="I1453" i="9"/>
  <c r="H1453" i="9"/>
  <c r="G1453" i="9"/>
  <c r="F1453" i="9"/>
  <c r="E1453" i="9"/>
  <c r="D1453" i="9"/>
  <c r="C1453" i="9"/>
  <c r="B1453" i="9"/>
  <c r="P1452" i="9"/>
  <c r="O1452" i="9"/>
  <c r="N1452" i="9"/>
  <c r="M1452" i="9"/>
  <c r="L1452" i="9"/>
  <c r="K1452" i="9"/>
  <c r="J1452" i="9"/>
  <c r="I1452" i="9"/>
  <c r="H1452" i="9"/>
  <c r="G1452" i="9"/>
  <c r="F1452" i="9"/>
  <c r="E1452" i="9"/>
  <c r="D1452" i="9"/>
  <c r="C1452" i="9"/>
  <c r="B1452" i="9"/>
  <c r="P1451" i="9"/>
  <c r="O1451" i="9"/>
  <c r="N1451" i="9"/>
  <c r="M1451" i="9"/>
  <c r="L1451" i="9"/>
  <c r="K1451" i="9"/>
  <c r="J1451" i="9"/>
  <c r="I1451" i="9"/>
  <c r="H1451" i="9"/>
  <c r="G1451" i="9"/>
  <c r="F1451" i="9"/>
  <c r="E1451" i="9"/>
  <c r="D1451" i="9"/>
  <c r="C1451" i="9"/>
  <c r="B1451" i="9"/>
  <c r="P1450" i="9"/>
  <c r="O1450" i="9"/>
  <c r="N1450" i="9"/>
  <c r="M1450" i="9"/>
  <c r="L1450" i="9"/>
  <c r="K1450" i="9"/>
  <c r="J1450" i="9"/>
  <c r="I1450" i="9"/>
  <c r="H1450" i="9"/>
  <c r="G1450" i="9"/>
  <c r="F1450" i="9"/>
  <c r="E1450" i="9"/>
  <c r="D1450" i="9"/>
  <c r="C1450" i="9"/>
  <c r="B1450" i="9"/>
  <c r="P1449" i="9"/>
  <c r="O1449" i="9"/>
  <c r="N1449" i="9"/>
  <c r="M1449" i="9"/>
  <c r="L1449" i="9"/>
  <c r="K1449" i="9"/>
  <c r="J1449" i="9"/>
  <c r="I1449" i="9"/>
  <c r="H1449" i="9"/>
  <c r="G1449" i="9"/>
  <c r="F1449" i="9"/>
  <c r="E1449" i="9"/>
  <c r="D1449" i="9"/>
  <c r="C1449" i="9"/>
  <c r="B1449" i="9"/>
  <c r="P1448" i="9"/>
  <c r="O1448" i="9"/>
  <c r="N1448" i="9"/>
  <c r="M1448" i="9"/>
  <c r="L1448" i="9"/>
  <c r="K1448" i="9"/>
  <c r="J1448" i="9"/>
  <c r="I1448" i="9"/>
  <c r="H1448" i="9"/>
  <c r="G1448" i="9"/>
  <c r="F1448" i="9"/>
  <c r="E1448" i="9"/>
  <c r="D1448" i="9"/>
  <c r="C1448" i="9"/>
  <c r="B1448" i="9"/>
  <c r="P1447" i="9"/>
  <c r="O1447" i="9"/>
  <c r="N1447" i="9"/>
  <c r="M1447" i="9"/>
  <c r="L1447" i="9"/>
  <c r="K1447" i="9"/>
  <c r="J1447" i="9"/>
  <c r="I1447" i="9"/>
  <c r="H1447" i="9"/>
  <c r="G1447" i="9"/>
  <c r="F1447" i="9"/>
  <c r="E1447" i="9"/>
  <c r="D1447" i="9"/>
  <c r="C1447" i="9"/>
  <c r="B1447" i="9"/>
  <c r="P1446" i="9"/>
  <c r="O1446" i="9"/>
  <c r="N1446" i="9"/>
  <c r="M1446" i="9"/>
  <c r="L1446" i="9"/>
  <c r="K1446" i="9"/>
  <c r="J1446" i="9"/>
  <c r="I1446" i="9"/>
  <c r="H1446" i="9"/>
  <c r="G1446" i="9"/>
  <c r="F1446" i="9"/>
  <c r="E1446" i="9"/>
  <c r="D1446" i="9"/>
  <c r="C1446" i="9"/>
  <c r="B1446" i="9"/>
  <c r="P1445" i="9"/>
  <c r="O1445" i="9"/>
  <c r="N1445" i="9"/>
  <c r="M1445" i="9"/>
  <c r="L1445" i="9"/>
  <c r="K1445" i="9"/>
  <c r="J1445" i="9"/>
  <c r="I1445" i="9"/>
  <c r="H1445" i="9"/>
  <c r="G1445" i="9"/>
  <c r="F1445" i="9"/>
  <c r="E1445" i="9"/>
  <c r="D1445" i="9"/>
  <c r="C1445" i="9"/>
  <c r="B1445" i="9"/>
  <c r="P1444" i="9"/>
  <c r="O1444" i="9"/>
  <c r="N1444" i="9"/>
  <c r="M1444" i="9"/>
  <c r="L1444" i="9"/>
  <c r="K1444" i="9"/>
  <c r="J1444" i="9"/>
  <c r="I1444" i="9"/>
  <c r="H1444" i="9"/>
  <c r="G1444" i="9"/>
  <c r="F1444" i="9"/>
  <c r="E1444" i="9"/>
  <c r="D1444" i="9"/>
  <c r="C1444" i="9"/>
  <c r="B1444" i="9"/>
  <c r="P1443" i="9"/>
  <c r="O1443" i="9"/>
  <c r="N1443" i="9"/>
  <c r="M1443" i="9"/>
  <c r="L1443" i="9"/>
  <c r="K1443" i="9"/>
  <c r="J1443" i="9"/>
  <c r="I1443" i="9"/>
  <c r="H1443" i="9"/>
  <c r="G1443" i="9"/>
  <c r="F1443" i="9"/>
  <c r="E1443" i="9"/>
  <c r="D1443" i="9"/>
  <c r="C1443" i="9"/>
  <c r="B1443" i="9"/>
  <c r="P1442" i="9"/>
  <c r="O1442" i="9"/>
  <c r="N1442" i="9"/>
  <c r="M1442" i="9"/>
  <c r="L1442" i="9"/>
  <c r="K1442" i="9"/>
  <c r="J1442" i="9"/>
  <c r="I1442" i="9"/>
  <c r="H1442" i="9"/>
  <c r="G1442" i="9"/>
  <c r="F1442" i="9"/>
  <c r="E1442" i="9"/>
  <c r="D1442" i="9"/>
  <c r="C1442" i="9"/>
  <c r="B1442" i="9"/>
  <c r="P1441" i="9"/>
  <c r="O1441" i="9"/>
  <c r="N1441" i="9"/>
  <c r="M1441" i="9"/>
  <c r="L1441" i="9"/>
  <c r="K1441" i="9"/>
  <c r="J1441" i="9"/>
  <c r="I1441" i="9"/>
  <c r="H1441" i="9"/>
  <c r="G1441" i="9"/>
  <c r="F1441" i="9"/>
  <c r="E1441" i="9"/>
  <c r="D1441" i="9"/>
  <c r="C1441" i="9"/>
  <c r="B1441" i="9"/>
  <c r="P1440" i="9"/>
  <c r="O1440" i="9"/>
  <c r="N1440" i="9"/>
  <c r="M1440" i="9"/>
  <c r="L1440" i="9"/>
  <c r="K1440" i="9"/>
  <c r="J1440" i="9"/>
  <c r="I1440" i="9"/>
  <c r="H1440" i="9"/>
  <c r="G1440" i="9"/>
  <c r="F1440" i="9"/>
  <c r="E1440" i="9"/>
  <c r="D1440" i="9"/>
  <c r="C1440" i="9"/>
  <c r="B1440" i="9"/>
  <c r="P1439" i="9"/>
  <c r="O1439" i="9"/>
  <c r="N1439" i="9"/>
  <c r="M1439" i="9"/>
  <c r="L1439" i="9"/>
  <c r="K1439" i="9"/>
  <c r="J1439" i="9"/>
  <c r="I1439" i="9"/>
  <c r="H1439" i="9"/>
  <c r="G1439" i="9"/>
  <c r="F1439" i="9"/>
  <c r="E1439" i="9"/>
  <c r="D1439" i="9"/>
  <c r="C1439" i="9"/>
  <c r="B1439" i="9"/>
  <c r="P1438" i="9"/>
  <c r="O1438" i="9"/>
  <c r="N1438" i="9"/>
  <c r="M1438" i="9"/>
  <c r="L1438" i="9"/>
  <c r="K1438" i="9"/>
  <c r="J1438" i="9"/>
  <c r="I1438" i="9"/>
  <c r="H1438" i="9"/>
  <c r="G1438" i="9"/>
  <c r="F1438" i="9"/>
  <c r="E1438" i="9"/>
  <c r="D1438" i="9"/>
  <c r="C1438" i="9"/>
  <c r="B1438" i="9"/>
  <c r="P1437" i="9"/>
  <c r="O1437" i="9"/>
  <c r="N1437" i="9"/>
  <c r="M1437" i="9"/>
  <c r="L1437" i="9"/>
  <c r="K1437" i="9"/>
  <c r="J1437" i="9"/>
  <c r="I1437" i="9"/>
  <c r="H1437" i="9"/>
  <c r="G1437" i="9"/>
  <c r="F1437" i="9"/>
  <c r="E1437" i="9"/>
  <c r="D1437" i="9"/>
  <c r="C1437" i="9"/>
  <c r="B1437" i="9"/>
  <c r="P1436" i="9"/>
  <c r="O1436" i="9"/>
  <c r="N1436" i="9"/>
  <c r="M1436" i="9"/>
  <c r="L1436" i="9"/>
  <c r="K1436" i="9"/>
  <c r="J1436" i="9"/>
  <c r="I1436" i="9"/>
  <c r="H1436" i="9"/>
  <c r="G1436" i="9"/>
  <c r="F1436" i="9"/>
  <c r="E1436" i="9"/>
  <c r="D1436" i="9"/>
  <c r="C1436" i="9"/>
  <c r="B1436" i="9"/>
  <c r="P1435" i="9"/>
  <c r="O1435" i="9"/>
  <c r="N1435" i="9"/>
  <c r="M1435" i="9"/>
  <c r="L1435" i="9"/>
  <c r="K1435" i="9"/>
  <c r="J1435" i="9"/>
  <c r="I1435" i="9"/>
  <c r="H1435" i="9"/>
  <c r="G1435" i="9"/>
  <c r="F1435" i="9"/>
  <c r="E1435" i="9"/>
  <c r="D1435" i="9"/>
  <c r="C1435" i="9"/>
  <c r="B1435" i="9"/>
  <c r="P1434" i="9"/>
  <c r="O1434" i="9"/>
  <c r="N1434" i="9"/>
  <c r="M1434" i="9"/>
  <c r="L1434" i="9"/>
  <c r="K1434" i="9"/>
  <c r="J1434" i="9"/>
  <c r="I1434" i="9"/>
  <c r="H1434" i="9"/>
  <c r="G1434" i="9"/>
  <c r="F1434" i="9"/>
  <c r="E1434" i="9"/>
  <c r="D1434" i="9"/>
  <c r="C1434" i="9"/>
  <c r="B1434" i="9"/>
  <c r="P1433" i="9"/>
  <c r="O1433" i="9"/>
  <c r="N1433" i="9"/>
  <c r="M1433" i="9"/>
  <c r="L1433" i="9"/>
  <c r="K1433" i="9"/>
  <c r="J1433" i="9"/>
  <c r="I1433" i="9"/>
  <c r="H1433" i="9"/>
  <c r="G1433" i="9"/>
  <c r="F1433" i="9"/>
  <c r="E1433" i="9"/>
  <c r="D1433" i="9"/>
  <c r="C1433" i="9"/>
  <c r="B1433" i="9"/>
  <c r="P1432" i="9"/>
  <c r="O1432" i="9"/>
  <c r="N1432" i="9"/>
  <c r="M1432" i="9"/>
  <c r="L1432" i="9"/>
  <c r="K1432" i="9"/>
  <c r="J1432" i="9"/>
  <c r="I1432" i="9"/>
  <c r="H1432" i="9"/>
  <c r="G1432" i="9"/>
  <c r="F1432" i="9"/>
  <c r="E1432" i="9"/>
  <c r="D1432" i="9"/>
  <c r="C1432" i="9"/>
  <c r="B1432" i="9"/>
  <c r="P1431" i="9"/>
  <c r="O1431" i="9"/>
  <c r="N1431" i="9"/>
  <c r="M1431" i="9"/>
  <c r="L1431" i="9"/>
  <c r="K1431" i="9"/>
  <c r="J1431" i="9"/>
  <c r="I1431" i="9"/>
  <c r="H1431" i="9"/>
  <c r="G1431" i="9"/>
  <c r="F1431" i="9"/>
  <c r="E1431" i="9"/>
  <c r="D1431" i="9"/>
  <c r="C1431" i="9"/>
  <c r="B1431" i="9"/>
  <c r="P1430" i="9"/>
  <c r="O1430" i="9"/>
  <c r="N1430" i="9"/>
  <c r="M1430" i="9"/>
  <c r="L1430" i="9"/>
  <c r="K1430" i="9"/>
  <c r="J1430" i="9"/>
  <c r="I1430" i="9"/>
  <c r="H1430" i="9"/>
  <c r="G1430" i="9"/>
  <c r="F1430" i="9"/>
  <c r="E1430" i="9"/>
  <c r="D1430" i="9"/>
  <c r="C1430" i="9"/>
  <c r="B1430" i="9"/>
  <c r="P1429" i="9"/>
  <c r="O1429" i="9"/>
  <c r="N1429" i="9"/>
  <c r="M1429" i="9"/>
  <c r="L1429" i="9"/>
  <c r="K1429" i="9"/>
  <c r="J1429" i="9"/>
  <c r="I1429" i="9"/>
  <c r="H1429" i="9"/>
  <c r="G1429" i="9"/>
  <c r="F1429" i="9"/>
  <c r="E1429" i="9"/>
  <c r="D1429" i="9"/>
  <c r="C1429" i="9"/>
  <c r="B1429" i="9"/>
  <c r="P1428" i="9"/>
  <c r="O1428" i="9"/>
  <c r="N1428" i="9"/>
  <c r="M1428" i="9"/>
  <c r="L1428" i="9"/>
  <c r="K1428" i="9"/>
  <c r="J1428" i="9"/>
  <c r="I1428" i="9"/>
  <c r="H1428" i="9"/>
  <c r="G1428" i="9"/>
  <c r="F1428" i="9"/>
  <c r="E1428" i="9"/>
  <c r="D1428" i="9"/>
  <c r="C1428" i="9"/>
  <c r="B1428" i="9"/>
  <c r="P1427" i="9"/>
  <c r="O1427" i="9"/>
  <c r="N1427" i="9"/>
  <c r="M1427" i="9"/>
  <c r="L1427" i="9"/>
  <c r="K1427" i="9"/>
  <c r="J1427" i="9"/>
  <c r="I1427" i="9"/>
  <c r="H1427" i="9"/>
  <c r="G1427" i="9"/>
  <c r="F1427" i="9"/>
  <c r="E1427" i="9"/>
  <c r="D1427" i="9"/>
  <c r="C1427" i="9"/>
  <c r="B1427" i="9"/>
  <c r="P1426" i="9"/>
  <c r="O1426" i="9"/>
  <c r="N1426" i="9"/>
  <c r="M1426" i="9"/>
  <c r="L1426" i="9"/>
  <c r="K1426" i="9"/>
  <c r="J1426" i="9"/>
  <c r="I1426" i="9"/>
  <c r="H1426" i="9"/>
  <c r="G1426" i="9"/>
  <c r="F1426" i="9"/>
  <c r="E1426" i="9"/>
  <c r="D1426" i="9"/>
  <c r="C1426" i="9"/>
  <c r="B1426" i="9"/>
  <c r="P1425" i="9"/>
  <c r="O1425" i="9"/>
  <c r="N1425" i="9"/>
  <c r="M1425" i="9"/>
  <c r="L1425" i="9"/>
  <c r="K1425" i="9"/>
  <c r="J1425" i="9"/>
  <c r="I1425" i="9"/>
  <c r="H1425" i="9"/>
  <c r="G1425" i="9"/>
  <c r="F1425" i="9"/>
  <c r="E1425" i="9"/>
  <c r="D1425" i="9"/>
  <c r="C1425" i="9"/>
  <c r="B1425" i="9"/>
  <c r="P1424" i="9"/>
  <c r="O1424" i="9"/>
  <c r="N1424" i="9"/>
  <c r="M1424" i="9"/>
  <c r="L1424" i="9"/>
  <c r="K1424" i="9"/>
  <c r="J1424" i="9"/>
  <c r="I1424" i="9"/>
  <c r="H1424" i="9"/>
  <c r="G1424" i="9"/>
  <c r="F1424" i="9"/>
  <c r="E1424" i="9"/>
  <c r="D1424" i="9"/>
  <c r="C1424" i="9"/>
  <c r="B1424" i="9"/>
  <c r="P1423" i="9"/>
  <c r="O1423" i="9"/>
  <c r="N1423" i="9"/>
  <c r="M1423" i="9"/>
  <c r="L1423" i="9"/>
  <c r="K1423" i="9"/>
  <c r="J1423" i="9"/>
  <c r="I1423" i="9"/>
  <c r="H1423" i="9"/>
  <c r="G1423" i="9"/>
  <c r="F1423" i="9"/>
  <c r="E1423" i="9"/>
  <c r="D1423" i="9"/>
  <c r="C1423" i="9"/>
  <c r="B1423" i="9"/>
  <c r="P1422" i="9"/>
  <c r="O1422" i="9"/>
  <c r="N1422" i="9"/>
  <c r="M1422" i="9"/>
  <c r="L1422" i="9"/>
  <c r="K1422" i="9"/>
  <c r="J1422" i="9"/>
  <c r="I1422" i="9"/>
  <c r="H1422" i="9"/>
  <c r="G1422" i="9"/>
  <c r="F1422" i="9"/>
  <c r="E1422" i="9"/>
  <c r="D1422" i="9"/>
  <c r="C1422" i="9"/>
  <c r="B1422" i="9"/>
  <c r="P1421" i="9"/>
  <c r="O1421" i="9"/>
  <c r="N1421" i="9"/>
  <c r="M1421" i="9"/>
  <c r="L1421" i="9"/>
  <c r="K1421" i="9"/>
  <c r="J1421" i="9"/>
  <c r="I1421" i="9"/>
  <c r="H1421" i="9"/>
  <c r="G1421" i="9"/>
  <c r="F1421" i="9"/>
  <c r="E1421" i="9"/>
  <c r="D1421" i="9"/>
  <c r="C1421" i="9"/>
  <c r="B1421" i="9"/>
  <c r="P1420" i="9"/>
  <c r="O1420" i="9"/>
  <c r="N1420" i="9"/>
  <c r="M1420" i="9"/>
  <c r="L1420" i="9"/>
  <c r="K1420" i="9"/>
  <c r="J1420" i="9"/>
  <c r="I1420" i="9"/>
  <c r="H1420" i="9"/>
  <c r="G1420" i="9"/>
  <c r="F1420" i="9"/>
  <c r="E1420" i="9"/>
  <c r="D1420" i="9"/>
  <c r="C1420" i="9"/>
  <c r="B1420" i="9"/>
  <c r="P1419" i="9"/>
  <c r="O1419" i="9"/>
  <c r="N1419" i="9"/>
  <c r="M1419" i="9"/>
  <c r="L1419" i="9"/>
  <c r="K1419" i="9"/>
  <c r="J1419" i="9"/>
  <c r="I1419" i="9"/>
  <c r="H1419" i="9"/>
  <c r="G1419" i="9"/>
  <c r="F1419" i="9"/>
  <c r="E1419" i="9"/>
  <c r="D1419" i="9"/>
  <c r="C1419" i="9"/>
  <c r="B1419" i="9"/>
  <c r="P1418" i="9"/>
  <c r="O1418" i="9"/>
  <c r="N1418" i="9"/>
  <c r="M1418" i="9"/>
  <c r="L1418" i="9"/>
  <c r="K1418" i="9"/>
  <c r="J1418" i="9"/>
  <c r="I1418" i="9"/>
  <c r="H1418" i="9"/>
  <c r="G1418" i="9"/>
  <c r="F1418" i="9"/>
  <c r="E1418" i="9"/>
  <c r="D1418" i="9"/>
  <c r="C1418" i="9"/>
  <c r="B1418" i="9"/>
  <c r="P1417" i="9"/>
  <c r="O1417" i="9"/>
  <c r="N1417" i="9"/>
  <c r="M1417" i="9"/>
  <c r="L1417" i="9"/>
  <c r="K1417" i="9"/>
  <c r="J1417" i="9"/>
  <c r="I1417" i="9"/>
  <c r="H1417" i="9"/>
  <c r="G1417" i="9"/>
  <c r="F1417" i="9"/>
  <c r="E1417" i="9"/>
  <c r="D1417" i="9"/>
  <c r="C1417" i="9"/>
  <c r="B1417" i="9"/>
  <c r="P1416" i="9"/>
  <c r="O1416" i="9"/>
  <c r="N1416" i="9"/>
  <c r="M1416" i="9"/>
  <c r="L1416" i="9"/>
  <c r="K1416" i="9"/>
  <c r="J1416" i="9"/>
  <c r="I1416" i="9"/>
  <c r="H1416" i="9"/>
  <c r="G1416" i="9"/>
  <c r="F1416" i="9"/>
  <c r="E1416" i="9"/>
  <c r="D1416" i="9"/>
  <c r="C1416" i="9"/>
  <c r="B1416" i="9"/>
  <c r="P1415" i="9"/>
  <c r="O1415" i="9"/>
  <c r="N1415" i="9"/>
  <c r="M1415" i="9"/>
  <c r="L1415" i="9"/>
  <c r="K1415" i="9"/>
  <c r="J1415" i="9"/>
  <c r="I1415" i="9"/>
  <c r="H1415" i="9"/>
  <c r="G1415" i="9"/>
  <c r="F1415" i="9"/>
  <c r="E1415" i="9"/>
  <c r="D1415" i="9"/>
  <c r="C1415" i="9"/>
  <c r="B1415" i="9"/>
  <c r="P1414" i="9"/>
  <c r="O1414" i="9"/>
  <c r="N1414" i="9"/>
  <c r="M1414" i="9"/>
  <c r="L1414" i="9"/>
  <c r="K1414" i="9"/>
  <c r="J1414" i="9"/>
  <c r="I1414" i="9"/>
  <c r="H1414" i="9"/>
  <c r="G1414" i="9"/>
  <c r="F1414" i="9"/>
  <c r="E1414" i="9"/>
  <c r="D1414" i="9"/>
  <c r="C1414" i="9"/>
  <c r="B1414" i="9"/>
  <c r="P1413" i="9"/>
  <c r="O1413" i="9"/>
  <c r="N1413" i="9"/>
  <c r="M1413" i="9"/>
  <c r="L1413" i="9"/>
  <c r="K1413" i="9"/>
  <c r="J1413" i="9"/>
  <c r="I1413" i="9"/>
  <c r="H1413" i="9"/>
  <c r="G1413" i="9"/>
  <c r="F1413" i="9"/>
  <c r="E1413" i="9"/>
  <c r="D1413" i="9"/>
  <c r="C1413" i="9"/>
  <c r="B1413" i="9"/>
  <c r="P1412" i="9"/>
  <c r="O1412" i="9"/>
  <c r="N1412" i="9"/>
  <c r="M1412" i="9"/>
  <c r="L1412" i="9"/>
  <c r="K1412" i="9"/>
  <c r="J1412" i="9"/>
  <c r="I1412" i="9"/>
  <c r="H1412" i="9"/>
  <c r="G1412" i="9"/>
  <c r="F1412" i="9"/>
  <c r="E1412" i="9"/>
  <c r="D1412" i="9"/>
  <c r="C1412" i="9"/>
  <c r="B1412" i="9"/>
  <c r="P1411" i="9"/>
  <c r="O1411" i="9"/>
  <c r="N1411" i="9"/>
  <c r="M1411" i="9"/>
  <c r="L1411" i="9"/>
  <c r="K1411" i="9"/>
  <c r="J1411" i="9"/>
  <c r="I1411" i="9"/>
  <c r="H1411" i="9"/>
  <c r="G1411" i="9"/>
  <c r="F1411" i="9"/>
  <c r="E1411" i="9"/>
  <c r="D1411" i="9"/>
  <c r="C1411" i="9"/>
  <c r="B1411" i="9"/>
  <c r="P1410" i="9"/>
  <c r="O1410" i="9"/>
  <c r="N1410" i="9"/>
  <c r="M1410" i="9"/>
  <c r="L1410" i="9"/>
  <c r="K1410" i="9"/>
  <c r="J1410" i="9"/>
  <c r="I1410" i="9"/>
  <c r="H1410" i="9"/>
  <c r="G1410" i="9"/>
  <c r="F1410" i="9"/>
  <c r="E1410" i="9"/>
  <c r="D1410" i="9"/>
  <c r="C1410" i="9"/>
  <c r="B1410" i="9"/>
  <c r="P1409" i="9"/>
  <c r="O1409" i="9"/>
  <c r="N1409" i="9"/>
  <c r="M1409" i="9"/>
  <c r="L1409" i="9"/>
  <c r="K1409" i="9"/>
  <c r="J1409" i="9"/>
  <c r="I1409" i="9"/>
  <c r="H1409" i="9"/>
  <c r="G1409" i="9"/>
  <c r="F1409" i="9"/>
  <c r="E1409" i="9"/>
  <c r="D1409" i="9"/>
  <c r="C1409" i="9"/>
  <c r="B1409" i="9"/>
  <c r="P1408" i="9"/>
  <c r="O1408" i="9"/>
  <c r="N1408" i="9"/>
  <c r="M1408" i="9"/>
  <c r="L1408" i="9"/>
  <c r="K1408" i="9"/>
  <c r="J1408" i="9"/>
  <c r="I1408" i="9"/>
  <c r="H1408" i="9"/>
  <c r="G1408" i="9"/>
  <c r="F1408" i="9"/>
  <c r="E1408" i="9"/>
  <c r="D1408" i="9"/>
  <c r="C1408" i="9"/>
  <c r="B1408" i="9"/>
  <c r="P1407" i="9"/>
  <c r="O1407" i="9"/>
  <c r="N1407" i="9"/>
  <c r="M1407" i="9"/>
  <c r="L1407" i="9"/>
  <c r="K1407" i="9"/>
  <c r="J1407" i="9"/>
  <c r="I1407" i="9"/>
  <c r="H1407" i="9"/>
  <c r="G1407" i="9"/>
  <c r="F1407" i="9"/>
  <c r="E1407" i="9"/>
  <c r="D1407" i="9"/>
  <c r="C1407" i="9"/>
  <c r="B1407" i="9"/>
  <c r="P1406" i="9"/>
  <c r="O1406" i="9"/>
  <c r="N1406" i="9"/>
  <c r="M1406" i="9"/>
  <c r="L1406" i="9"/>
  <c r="K1406" i="9"/>
  <c r="J1406" i="9"/>
  <c r="I1406" i="9"/>
  <c r="H1406" i="9"/>
  <c r="G1406" i="9"/>
  <c r="F1406" i="9"/>
  <c r="E1406" i="9"/>
  <c r="D1406" i="9"/>
  <c r="C1406" i="9"/>
  <c r="B1406" i="9"/>
  <c r="P1405" i="9"/>
  <c r="O1405" i="9"/>
  <c r="N1405" i="9"/>
  <c r="M1405" i="9"/>
  <c r="L1405" i="9"/>
  <c r="K1405" i="9"/>
  <c r="J1405" i="9"/>
  <c r="I1405" i="9"/>
  <c r="H1405" i="9"/>
  <c r="G1405" i="9"/>
  <c r="F1405" i="9"/>
  <c r="E1405" i="9"/>
  <c r="D1405" i="9"/>
  <c r="C1405" i="9"/>
  <c r="B1405" i="9"/>
  <c r="P1404" i="9"/>
  <c r="O1404" i="9"/>
  <c r="N1404" i="9"/>
  <c r="M1404" i="9"/>
  <c r="L1404" i="9"/>
  <c r="K1404" i="9"/>
  <c r="J1404" i="9"/>
  <c r="I1404" i="9"/>
  <c r="H1404" i="9"/>
  <c r="G1404" i="9"/>
  <c r="F1404" i="9"/>
  <c r="E1404" i="9"/>
  <c r="D1404" i="9"/>
  <c r="C1404" i="9"/>
  <c r="B1404" i="9"/>
  <c r="P1403" i="9"/>
  <c r="O1403" i="9"/>
  <c r="N1403" i="9"/>
  <c r="M1403" i="9"/>
  <c r="L1403" i="9"/>
  <c r="K1403" i="9"/>
  <c r="J1403" i="9"/>
  <c r="I1403" i="9"/>
  <c r="H1403" i="9"/>
  <c r="G1403" i="9"/>
  <c r="F1403" i="9"/>
  <c r="E1403" i="9"/>
  <c r="D1403" i="9"/>
  <c r="C1403" i="9"/>
  <c r="B1403" i="9"/>
  <c r="P1402" i="9"/>
  <c r="O1402" i="9"/>
  <c r="N1402" i="9"/>
  <c r="M1402" i="9"/>
  <c r="L1402" i="9"/>
  <c r="K1402" i="9"/>
  <c r="J1402" i="9"/>
  <c r="I1402" i="9"/>
  <c r="H1402" i="9"/>
  <c r="G1402" i="9"/>
  <c r="F1402" i="9"/>
  <c r="E1402" i="9"/>
  <c r="D1402" i="9"/>
  <c r="C1402" i="9"/>
  <c r="B1402" i="9"/>
  <c r="P1401" i="9"/>
  <c r="O1401" i="9"/>
  <c r="N1401" i="9"/>
  <c r="M1401" i="9"/>
  <c r="L1401" i="9"/>
  <c r="K1401" i="9"/>
  <c r="J1401" i="9"/>
  <c r="I1401" i="9"/>
  <c r="H1401" i="9"/>
  <c r="G1401" i="9"/>
  <c r="F1401" i="9"/>
  <c r="E1401" i="9"/>
  <c r="D1401" i="9"/>
  <c r="C1401" i="9"/>
  <c r="B1401" i="9"/>
  <c r="P1400" i="9"/>
  <c r="O1400" i="9"/>
  <c r="N1400" i="9"/>
  <c r="M1400" i="9"/>
  <c r="L1400" i="9"/>
  <c r="K1400" i="9"/>
  <c r="J1400" i="9"/>
  <c r="I1400" i="9"/>
  <c r="H1400" i="9"/>
  <c r="G1400" i="9"/>
  <c r="F1400" i="9"/>
  <c r="E1400" i="9"/>
  <c r="D1400" i="9"/>
  <c r="C1400" i="9"/>
  <c r="B1400" i="9"/>
  <c r="P1399" i="9"/>
  <c r="O1399" i="9"/>
  <c r="N1399" i="9"/>
  <c r="M1399" i="9"/>
  <c r="L1399" i="9"/>
  <c r="K1399" i="9"/>
  <c r="J1399" i="9"/>
  <c r="I1399" i="9"/>
  <c r="H1399" i="9"/>
  <c r="G1399" i="9"/>
  <c r="F1399" i="9"/>
  <c r="E1399" i="9"/>
  <c r="D1399" i="9"/>
  <c r="C1399" i="9"/>
  <c r="B1399" i="9"/>
  <c r="P1398" i="9"/>
  <c r="O1398" i="9"/>
  <c r="N1398" i="9"/>
  <c r="M1398" i="9"/>
  <c r="L1398" i="9"/>
  <c r="K1398" i="9"/>
  <c r="J1398" i="9"/>
  <c r="I1398" i="9"/>
  <c r="H1398" i="9"/>
  <c r="G1398" i="9"/>
  <c r="F1398" i="9"/>
  <c r="E1398" i="9"/>
  <c r="D1398" i="9"/>
  <c r="C1398" i="9"/>
  <c r="B1398" i="9"/>
  <c r="P1397" i="9"/>
  <c r="O1397" i="9"/>
  <c r="N1397" i="9"/>
  <c r="M1397" i="9"/>
  <c r="L1397" i="9"/>
  <c r="K1397" i="9"/>
  <c r="J1397" i="9"/>
  <c r="I1397" i="9"/>
  <c r="H1397" i="9"/>
  <c r="G1397" i="9"/>
  <c r="F1397" i="9"/>
  <c r="E1397" i="9"/>
  <c r="D1397" i="9"/>
  <c r="C1397" i="9"/>
  <c r="B1397" i="9"/>
  <c r="P1396" i="9"/>
  <c r="O1396" i="9"/>
  <c r="N1396" i="9"/>
  <c r="M1396" i="9"/>
  <c r="L1396" i="9"/>
  <c r="K1396" i="9"/>
  <c r="J1396" i="9"/>
  <c r="I1396" i="9"/>
  <c r="H1396" i="9"/>
  <c r="G1396" i="9"/>
  <c r="F1396" i="9"/>
  <c r="E1396" i="9"/>
  <c r="D1396" i="9"/>
  <c r="C1396" i="9"/>
  <c r="B1396" i="9"/>
  <c r="P1395" i="9"/>
  <c r="O1395" i="9"/>
  <c r="N1395" i="9"/>
  <c r="M1395" i="9"/>
  <c r="L1395" i="9"/>
  <c r="K1395" i="9"/>
  <c r="J1395" i="9"/>
  <c r="I1395" i="9"/>
  <c r="H1395" i="9"/>
  <c r="G1395" i="9"/>
  <c r="F1395" i="9"/>
  <c r="E1395" i="9"/>
  <c r="D1395" i="9"/>
  <c r="C1395" i="9"/>
  <c r="B1395" i="9"/>
  <c r="P1394" i="9"/>
  <c r="O1394" i="9"/>
  <c r="N1394" i="9"/>
  <c r="M1394" i="9"/>
  <c r="L1394" i="9"/>
  <c r="K1394" i="9"/>
  <c r="J1394" i="9"/>
  <c r="I1394" i="9"/>
  <c r="H1394" i="9"/>
  <c r="G1394" i="9"/>
  <c r="F1394" i="9"/>
  <c r="E1394" i="9"/>
  <c r="D1394" i="9"/>
  <c r="C1394" i="9"/>
  <c r="B1394" i="9"/>
  <c r="P1393" i="9"/>
  <c r="O1393" i="9"/>
  <c r="N1393" i="9"/>
  <c r="M1393" i="9"/>
  <c r="L1393" i="9"/>
  <c r="K1393" i="9"/>
  <c r="J1393" i="9"/>
  <c r="I1393" i="9"/>
  <c r="H1393" i="9"/>
  <c r="G1393" i="9"/>
  <c r="F1393" i="9"/>
  <c r="E1393" i="9"/>
  <c r="D1393" i="9"/>
  <c r="C1393" i="9"/>
  <c r="B1393" i="9"/>
  <c r="P1392" i="9"/>
  <c r="O1392" i="9"/>
  <c r="N1392" i="9"/>
  <c r="M1392" i="9"/>
  <c r="L1392" i="9"/>
  <c r="K1392" i="9"/>
  <c r="J1392" i="9"/>
  <c r="I1392" i="9"/>
  <c r="H1392" i="9"/>
  <c r="G1392" i="9"/>
  <c r="F1392" i="9"/>
  <c r="E1392" i="9"/>
  <c r="D1392" i="9"/>
  <c r="C1392" i="9"/>
  <c r="B1392" i="9"/>
  <c r="P1391" i="9"/>
  <c r="O1391" i="9"/>
  <c r="N1391" i="9"/>
  <c r="M1391" i="9"/>
  <c r="L1391" i="9"/>
  <c r="K1391" i="9"/>
  <c r="J1391" i="9"/>
  <c r="I1391" i="9"/>
  <c r="H1391" i="9"/>
  <c r="G1391" i="9"/>
  <c r="F1391" i="9"/>
  <c r="E1391" i="9"/>
  <c r="D1391" i="9"/>
  <c r="C1391" i="9"/>
  <c r="B1391" i="9"/>
  <c r="P1390" i="9"/>
  <c r="O1390" i="9"/>
  <c r="N1390" i="9"/>
  <c r="M1390" i="9"/>
  <c r="L1390" i="9"/>
  <c r="K1390" i="9"/>
  <c r="J1390" i="9"/>
  <c r="I1390" i="9"/>
  <c r="H1390" i="9"/>
  <c r="G1390" i="9"/>
  <c r="F1390" i="9"/>
  <c r="E1390" i="9"/>
  <c r="D1390" i="9"/>
  <c r="C1390" i="9"/>
  <c r="B1390" i="9"/>
  <c r="P1389" i="9"/>
  <c r="O1389" i="9"/>
  <c r="N1389" i="9"/>
  <c r="M1389" i="9"/>
  <c r="L1389" i="9"/>
  <c r="K1389" i="9"/>
  <c r="J1389" i="9"/>
  <c r="I1389" i="9"/>
  <c r="H1389" i="9"/>
  <c r="G1389" i="9"/>
  <c r="F1389" i="9"/>
  <c r="E1389" i="9"/>
  <c r="D1389" i="9"/>
  <c r="C1389" i="9"/>
  <c r="B1389" i="9"/>
  <c r="P1388" i="9"/>
  <c r="O1388" i="9"/>
  <c r="N1388" i="9"/>
  <c r="M1388" i="9"/>
  <c r="L1388" i="9"/>
  <c r="K1388" i="9"/>
  <c r="J1388" i="9"/>
  <c r="I1388" i="9"/>
  <c r="H1388" i="9"/>
  <c r="G1388" i="9"/>
  <c r="F1388" i="9"/>
  <c r="E1388" i="9"/>
  <c r="D1388" i="9"/>
  <c r="C1388" i="9"/>
  <c r="B1388" i="9"/>
  <c r="P1387" i="9"/>
  <c r="O1387" i="9"/>
  <c r="N1387" i="9"/>
  <c r="M1387" i="9"/>
  <c r="L1387" i="9"/>
  <c r="K1387" i="9"/>
  <c r="J1387" i="9"/>
  <c r="I1387" i="9"/>
  <c r="H1387" i="9"/>
  <c r="G1387" i="9"/>
  <c r="F1387" i="9"/>
  <c r="E1387" i="9"/>
  <c r="D1387" i="9"/>
  <c r="C1387" i="9"/>
  <c r="B1387" i="9"/>
  <c r="P1386" i="9"/>
  <c r="O1386" i="9"/>
  <c r="N1386" i="9"/>
  <c r="M1386" i="9"/>
  <c r="L1386" i="9"/>
  <c r="K1386" i="9"/>
  <c r="J1386" i="9"/>
  <c r="I1386" i="9"/>
  <c r="H1386" i="9"/>
  <c r="G1386" i="9"/>
  <c r="F1386" i="9"/>
  <c r="E1386" i="9"/>
  <c r="D1386" i="9"/>
  <c r="C1386" i="9"/>
  <c r="B1386" i="9"/>
  <c r="P1385" i="9"/>
  <c r="O1385" i="9"/>
  <c r="N1385" i="9"/>
  <c r="M1385" i="9"/>
  <c r="L1385" i="9"/>
  <c r="K1385" i="9"/>
  <c r="J1385" i="9"/>
  <c r="I1385" i="9"/>
  <c r="H1385" i="9"/>
  <c r="G1385" i="9"/>
  <c r="F1385" i="9"/>
  <c r="E1385" i="9"/>
  <c r="D1385" i="9"/>
  <c r="C1385" i="9"/>
  <c r="B1385" i="9"/>
  <c r="P1384" i="9"/>
  <c r="O1384" i="9"/>
  <c r="N1384" i="9"/>
  <c r="M1384" i="9"/>
  <c r="L1384" i="9"/>
  <c r="K1384" i="9"/>
  <c r="J1384" i="9"/>
  <c r="I1384" i="9"/>
  <c r="H1384" i="9"/>
  <c r="G1384" i="9"/>
  <c r="F1384" i="9"/>
  <c r="E1384" i="9"/>
  <c r="D1384" i="9"/>
  <c r="C1384" i="9"/>
  <c r="B1384" i="9"/>
  <c r="P1383" i="9"/>
  <c r="O1383" i="9"/>
  <c r="N1383" i="9"/>
  <c r="M1383" i="9"/>
  <c r="L1383" i="9"/>
  <c r="K1383" i="9"/>
  <c r="J1383" i="9"/>
  <c r="I1383" i="9"/>
  <c r="H1383" i="9"/>
  <c r="G1383" i="9"/>
  <c r="F1383" i="9"/>
  <c r="E1383" i="9"/>
  <c r="D1383" i="9"/>
  <c r="C1383" i="9"/>
  <c r="B1383" i="9"/>
  <c r="P1382" i="9"/>
  <c r="O1382" i="9"/>
  <c r="N1382" i="9"/>
  <c r="M1382" i="9"/>
  <c r="L1382" i="9"/>
  <c r="K1382" i="9"/>
  <c r="J1382" i="9"/>
  <c r="I1382" i="9"/>
  <c r="H1382" i="9"/>
  <c r="G1382" i="9"/>
  <c r="F1382" i="9"/>
  <c r="E1382" i="9"/>
  <c r="D1382" i="9"/>
  <c r="C1382" i="9"/>
  <c r="B1382" i="9"/>
  <c r="P1381" i="9"/>
  <c r="O1381" i="9"/>
  <c r="N1381" i="9"/>
  <c r="M1381" i="9"/>
  <c r="L1381" i="9"/>
  <c r="K1381" i="9"/>
  <c r="J1381" i="9"/>
  <c r="I1381" i="9"/>
  <c r="H1381" i="9"/>
  <c r="G1381" i="9"/>
  <c r="F1381" i="9"/>
  <c r="E1381" i="9"/>
  <c r="D1381" i="9"/>
  <c r="C1381" i="9"/>
  <c r="B1381" i="9"/>
  <c r="P1380" i="9"/>
  <c r="O1380" i="9"/>
  <c r="N1380" i="9"/>
  <c r="M1380" i="9"/>
  <c r="L1380" i="9"/>
  <c r="K1380" i="9"/>
  <c r="J1380" i="9"/>
  <c r="I1380" i="9"/>
  <c r="H1380" i="9"/>
  <c r="G1380" i="9"/>
  <c r="F1380" i="9"/>
  <c r="E1380" i="9"/>
  <c r="D1380" i="9"/>
  <c r="C1380" i="9"/>
  <c r="B1380" i="9"/>
  <c r="P1379" i="9"/>
  <c r="O1379" i="9"/>
  <c r="N1379" i="9"/>
  <c r="M1379" i="9"/>
  <c r="L1379" i="9"/>
  <c r="K1379" i="9"/>
  <c r="J1379" i="9"/>
  <c r="I1379" i="9"/>
  <c r="H1379" i="9"/>
  <c r="G1379" i="9"/>
  <c r="F1379" i="9"/>
  <c r="E1379" i="9"/>
  <c r="D1379" i="9"/>
  <c r="C1379" i="9"/>
  <c r="B1379" i="9"/>
  <c r="P1378" i="9"/>
  <c r="O1378" i="9"/>
  <c r="N1378" i="9"/>
  <c r="M1378" i="9"/>
  <c r="L1378" i="9"/>
  <c r="K1378" i="9"/>
  <c r="J1378" i="9"/>
  <c r="I1378" i="9"/>
  <c r="H1378" i="9"/>
  <c r="G1378" i="9"/>
  <c r="F1378" i="9"/>
  <c r="E1378" i="9"/>
  <c r="D1378" i="9"/>
  <c r="C1378" i="9"/>
  <c r="B1378" i="9"/>
  <c r="P1377" i="9"/>
  <c r="O1377" i="9"/>
  <c r="N1377" i="9"/>
  <c r="M1377" i="9"/>
  <c r="L1377" i="9"/>
  <c r="K1377" i="9"/>
  <c r="J1377" i="9"/>
  <c r="I1377" i="9"/>
  <c r="H1377" i="9"/>
  <c r="G1377" i="9"/>
  <c r="F1377" i="9"/>
  <c r="E1377" i="9"/>
  <c r="D1377" i="9"/>
  <c r="C1377" i="9"/>
  <c r="B1377" i="9"/>
  <c r="P1376" i="9"/>
  <c r="O1376" i="9"/>
  <c r="N1376" i="9"/>
  <c r="M1376" i="9"/>
  <c r="L1376" i="9"/>
  <c r="K1376" i="9"/>
  <c r="J1376" i="9"/>
  <c r="I1376" i="9"/>
  <c r="H1376" i="9"/>
  <c r="G1376" i="9"/>
  <c r="F1376" i="9"/>
  <c r="E1376" i="9"/>
  <c r="D1376" i="9"/>
  <c r="C1376" i="9"/>
  <c r="B1376" i="9"/>
  <c r="P1375" i="9"/>
  <c r="O1375" i="9"/>
  <c r="N1375" i="9"/>
  <c r="M1375" i="9"/>
  <c r="L1375" i="9"/>
  <c r="K1375" i="9"/>
  <c r="J1375" i="9"/>
  <c r="I1375" i="9"/>
  <c r="H1375" i="9"/>
  <c r="G1375" i="9"/>
  <c r="F1375" i="9"/>
  <c r="E1375" i="9"/>
  <c r="D1375" i="9"/>
  <c r="C1375" i="9"/>
  <c r="B1375" i="9"/>
  <c r="P1374" i="9"/>
  <c r="O1374" i="9"/>
  <c r="N1374" i="9"/>
  <c r="M1374" i="9"/>
  <c r="L1374" i="9"/>
  <c r="K1374" i="9"/>
  <c r="J1374" i="9"/>
  <c r="I1374" i="9"/>
  <c r="H1374" i="9"/>
  <c r="G1374" i="9"/>
  <c r="F1374" i="9"/>
  <c r="E1374" i="9"/>
  <c r="D1374" i="9"/>
  <c r="C1374" i="9"/>
  <c r="B1374" i="9"/>
  <c r="P1373" i="9"/>
  <c r="O1373" i="9"/>
  <c r="N1373" i="9"/>
  <c r="M1373" i="9"/>
  <c r="L1373" i="9"/>
  <c r="K1373" i="9"/>
  <c r="J1373" i="9"/>
  <c r="I1373" i="9"/>
  <c r="H1373" i="9"/>
  <c r="G1373" i="9"/>
  <c r="F1373" i="9"/>
  <c r="E1373" i="9"/>
  <c r="D1373" i="9"/>
  <c r="C1373" i="9"/>
  <c r="B1373" i="9"/>
  <c r="P1372" i="9"/>
  <c r="O1372" i="9"/>
  <c r="N1372" i="9"/>
  <c r="M1372" i="9"/>
  <c r="L1372" i="9"/>
  <c r="K1372" i="9"/>
  <c r="J1372" i="9"/>
  <c r="I1372" i="9"/>
  <c r="H1372" i="9"/>
  <c r="G1372" i="9"/>
  <c r="F1372" i="9"/>
  <c r="E1372" i="9"/>
  <c r="D1372" i="9"/>
  <c r="C1372" i="9"/>
  <c r="B1372" i="9"/>
  <c r="P1371" i="9"/>
  <c r="O1371" i="9"/>
  <c r="N1371" i="9"/>
  <c r="M1371" i="9"/>
  <c r="L1371" i="9"/>
  <c r="K1371" i="9"/>
  <c r="J1371" i="9"/>
  <c r="I1371" i="9"/>
  <c r="H1371" i="9"/>
  <c r="G1371" i="9"/>
  <c r="F1371" i="9"/>
  <c r="E1371" i="9"/>
  <c r="D1371" i="9"/>
  <c r="C1371" i="9"/>
  <c r="B1371" i="9"/>
  <c r="P1370" i="9"/>
  <c r="O1370" i="9"/>
  <c r="N1370" i="9"/>
  <c r="M1370" i="9"/>
  <c r="L1370" i="9"/>
  <c r="K1370" i="9"/>
  <c r="J1370" i="9"/>
  <c r="I1370" i="9"/>
  <c r="H1370" i="9"/>
  <c r="G1370" i="9"/>
  <c r="F1370" i="9"/>
  <c r="E1370" i="9"/>
  <c r="D1370" i="9"/>
  <c r="C1370" i="9"/>
  <c r="B1370" i="9"/>
  <c r="P1369" i="9"/>
  <c r="O1369" i="9"/>
  <c r="N1369" i="9"/>
  <c r="M1369" i="9"/>
  <c r="L1369" i="9"/>
  <c r="K1369" i="9"/>
  <c r="J1369" i="9"/>
  <c r="I1369" i="9"/>
  <c r="H1369" i="9"/>
  <c r="G1369" i="9"/>
  <c r="F1369" i="9"/>
  <c r="E1369" i="9"/>
  <c r="D1369" i="9"/>
  <c r="C1369" i="9"/>
  <c r="B1369" i="9"/>
  <c r="P1368" i="9"/>
  <c r="O1368" i="9"/>
  <c r="N1368" i="9"/>
  <c r="M1368" i="9"/>
  <c r="L1368" i="9"/>
  <c r="K1368" i="9"/>
  <c r="J1368" i="9"/>
  <c r="I1368" i="9"/>
  <c r="H1368" i="9"/>
  <c r="G1368" i="9"/>
  <c r="F1368" i="9"/>
  <c r="E1368" i="9"/>
  <c r="D1368" i="9"/>
  <c r="C1368" i="9"/>
  <c r="B1368" i="9"/>
  <c r="P1367" i="9"/>
  <c r="O1367" i="9"/>
  <c r="N1367" i="9"/>
  <c r="M1367" i="9"/>
  <c r="L1367" i="9"/>
  <c r="K1367" i="9"/>
  <c r="J1367" i="9"/>
  <c r="I1367" i="9"/>
  <c r="H1367" i="9"/>
  <c r="G1367" i="9"/>
  <c r="F1367" i="9"/>
  <c r="E1367" i="9"/>
  <c r="D1367" i="9"/>
  <c r="C1367" i="9"/>
  <c r="B1367" i="9"/>
  <c r="P1366" i="9"/>
  <c r="O1366" i="9"/>
  <c r="N1366" i="9"/>
  <c r="M1366" i="9"/>
  <c r="L1366" i="9"/>
  <c r="K1366" i="9"/>
  <c r="J1366" i="9"/>
  <c r="I1366" i="9"/>
  <c r="H1366" i="9"/>
  <c r="G1366" i="9"/>
  <c r="F1366" i="9"/>
  <c r="E1366" i="9"/>
  <c r="D1366" i="9"/>
  <c r="C1366" i="9"/>
  <c r="B1366" i="9"/>
  <c r="P1365" i="9"/>
  <c r="O1365" i="9"/>
  <c r="N1365" i="9"/>
  <c r="M1365" i="9"/>
  <c r="L1365" i="9"/>
  <c r="K1365" i="9"/>
  <c r="J1365" i="9"/>
  <c r="I1365" i="9"/>
  <c r="H1365" i="9"/>
  <c r="G1365" i="9"/>
  <c r="F1365" i="9"/>
  <c r="E1365" i="9"/>
  <c r="D1365" i="9"/>
  <c r="C1365" i="9"/>
  <c r="B1365" i="9"/>
  <c r="P1364" i="9"/>
  <c r="O1364" i="9"/>
  <c r="N1364" i="9"/>
  <c r="M1364" i="9"/>
  <c r="L1364" i="9"/>
  <c r="K1364" i="9"/>
  <c r="J1364" i="9"/>
  <c r="I1364" i="9"/>
  <c r="H1364" i="9"/>
  <c r="G1364" i="9"/>
  <c r="F1364" i="9"/>
  <c r="E1364" i="9"/>
  <c r="D1364" i="9"/>
  <c r="C1364" i="9"/>
  <c r="B1364" i="9"/>
  <c r="P1363" i="9"/>
  <c r="O1363" i="9"/>
  <c r="N1363" i="9"/>
  <c r="M1363" i="9"/>
  <c r="L1363" i="9"/>
  <c r="K1363" i="9"/>
  <c r="J1363" i="9"/>
  <c r="I1363" i="9"/>
  <c r="H1363" i="9"/>
  <c r="G1363" i="9"/>
  <c r="F1363" i="9"/>
  <c r="E1363" i="9"/>
  <c r="D1363" i="9"/>
  <c r="C1363" i="9"/>
  <c r="B1363" i="9"/>
  <c r="P1362" i="9"/>
  <c r="O1362" i="9"/>
  <c r="N1362" i="9"/>
  <c r="M1362" i="9"/>
  <c r="L1362" i="9"/>
  <c r="K1362" i="9"/>
  <c r="J1362" i="9"/>
  <c r="I1362" i="9"/>
  <c r="H1362" i="9"/>
  <c r="G1362" i="9"/>
  <c r="F1362" i="9"/>
  <c r="E1362" i="9"/>
  <c r="D1362" i="9"/>
  <c r="C1362" i="9"/>
  <c r="B1362" i="9"/>
  <c r="P1361" i="9"/>
  <c r="O1361" i="9"/>
  <c r="N1361" i="9"/>
  <c r="M1361" i="9"/>
  <c r="L1361" i="9"/>
  <c r="K1361" i="9"/>
  <c r="J1361" i="9"/>
  <c r="I1361" i="9"/>
  <c r="H1361" i="9"/>
  <c r="G1361" i="9"/>
  <c r="F1361" i="9"/>
  <c r="E1361" i="9"/>
  <c r="D1361" i="9"/>
  <c r="C1361" i="9"/>
  <c r="B1361" i="9"/>
  <c r="P1360" i="9"/>
  <c r="O1360" i="9"/>
  <c r="N1360" i="9"/>
  <c r="M1360" i="9"/>
  <c r="L1360" i="9"/>
  <c r="K1360" i="9"/>
  <c r="J1360" i="9"/>
  <c r="I1360" i="9"/>
  <c r="H1360" i="9"/>
  <c r="G1360" i="9"/>
  <c r="F1360" i="9"/>
  <c r="E1360" i="9"/>
  <c r="D1360" i="9"/>
  <c r="C1360" i="9"/>
  <c r="B1360" i="9"/>
  <c r="P1359" i="9"/>
  <c r="O1359" i="9"/>
  <c r="N1359" i="9"/>
  <c r="M1359" i="9"/>
  <c r="L1359" i="9"/>
  <c r="K1359" i="9"/>
  <c r="J1359" i="9"/>
  <c r="I1359" i="9"/>
  <c r="H1359" i="9"/>
  <c r="G1359" i="9"/>
  <c r="F1359" i="9"/>
  <c r="E1359" i="9"/>
  <c r="D1359" i="9"/>
  <c r="C1359" i="9"/>
  <c r="B1359" i="9"/>
  <c r="P1358" i="9"/>
  <c r="O1358" i="9"/>
  <c r="N1358" i="9"/>
  <c r="M1358" i="9"/>
  <c r="L1358" i="9"/>
  <c r="K1358" i="9"/>
  <c r="J1358" i="9"/>
  <c r="I1358" i="9"/>
  <c r="H1358" i="9"/>
  <c r="G1358" i="9"/>
  <c r="F1358" i="9"/>
  <c r="E1358" i="9"/>
  <c r="D1358" i="9"/>
  <c r="C1358" i="9"/>
  <c r="B1358" i="9"/>
  <c r="P1357" i="9"/>
  <c r="O1357" i="9"/>
  <c r="N1357" i="9"/>
  <c r="M1357" i="9"/>
  <c r="L1357" i="9"/>
  <c r="K1357" i="9"/>
  <c r="J1357" i="9"/>
  <c r="I1357" i="9"/>
  <c r="H1357" i="9"/>
  <c r="G1357" i="9"/>
  <c r="F1357" i="9"/>
  <c r="E1357" i="9"/>
  <c r="D1357" i="9"/>
  <c r="C1357" i="9"/>
  <c r="B1357" i="9"/>
  <c r="P1356" i="9"/>
  <c r="O1356" i="9"/>
  <c r="N1356" i="9"/>
  <c r="M1356" i="9"/>
  <c r="L1356" i="9"/>
  <c r="K1356" i="9"/>
  <c r="J1356" i="9"/>
  <c r="I1356" i="9"/>
  <c r="H1356" i="9"/>
  <c r="G1356" i="9"/>
  <c r="F1356" i="9"/>
  <c r="E1356" i="9"/>
  <c r="D1356" i="9"/>
  <c r="C1356" i="9"/>
  <c r="B1356" i="9"/>
  <c r="P1355" i="9"/>
  <c r="O1355" i="9"/>
  <c r="N1355" i="9"/>
  <c r="M1355" i="9"/>
  <c r="L1355" i="9"/>
  <c r="K1355" i="9"/>
  <c r="J1355" i="9"/>
  <c r="I1355" i="9"/>
  <c r="H1355" i="9"/>
  <c r="G1355" i="9"/>
  <c r="F1355" i="9"/>
  <c r="E1355" i="9"/>
  <c r="D1355" i="9"/>
  <c r="C1355" i="9"/>
  <c r="B1355" i="9"/>
  <c r="P1354" i="9"/>
  <c r="O1354" i="9"/>
  <c r="N1354" i="9"/>
  <c r="M1354" i="9"/>
  <c r="L1354" i="9"/>
  <c r="K1354" i="9"/>
  <c r="J1354" i="9"/>
  <c r="I1354" i="9"/>
  <c r="H1354" i="9"/>
  <c r="G1354" i="9"/>
  <c r="F1354" i="9"/>
  <c r="E1354" i="9"/>
  <c r="D1354" i="9"/>
  <c r="C1354" i="9"/>
  <c r="B1354" i="9"/>
  <c r="P1353" i="9"/>
  <c r="O1353" i="9"/>
  <c r="N1353" i="9"/>
  <c r="M1353" i="9"/>
  <c r="L1353" i="9"/>
  <c r="K1353" i="9"/>
  <c r="J1353" i="9"/>
  <c r="I1353" i="9"/>
  <c r="H1353" i="9"/>
  <c r="G1353" i="9"/>
  <c r="F1353" i="9"/>
  <c r="E1353" i="9"/>
  <c r="D1353" i="9"/>
  <c r="C1353" i="9"/>
  <c r="B1353" i="9"/>
  <c r="P1352" i="9"/>
  <c r="O1352" i="9"/>
  <c r="N1352" i="9"/>
  <c r="M1352" i="9"/>
  <c r="L1352" i="9"/>
  <c r="K1352" i="9"/>
  <c r="J1352" i="9"/>
  <c r="I1352" i="9"/>
  <c r="H1352" i="9"/>
  <c r="G1352" i="9"/>
  <c r="F1352" i="9"/>
  <c r="E1352" i="9"/>
  <c r="D1352" i="9"/>
  <c r="C1352" i="9"/>
  <c r="B1352" i="9"/>
  <c r="P1351" i="9"/>
  <c r="O1351" i="9"/>
  <c r="N1351" i="9"/>
  <c r="M1351" i="9"/>
  <c r="L1351" i="9"/>
  <c r="K1351" i="9"/>
  <c r="J1351" i="9"/>
  <c r="I1351" i="9"/>
  <c r="H1351" i="9"/>
  <c r="G1351" i="9"/>
  <c r="F1351" i="9"/>
  <c r="E1351" i="9"/>
  <c r="D1351" i="9"/>
  <c r="C1351" i="9"/>
  <c r="B1351" i="9"/>
  <c r="P1350" i="9"/>
  <c r="O1350" i="9"/>
  <c r="N1350" i="9"/>
  <c r="M1350" i="9"/>
  <c r="L1350" i="9"/>
  <c r="K1350" i="9"/>
  <c r="J1350" i="9"/>
  <c r="I1350" i="9"/>
  <c r="H1350" i="9"/>
  <c r="G1350" i="9"/>
  <c r="F1350" i="9"/>
  <c r="E1350" i="9"/>
  <c r="D1350" i="9"/>
  <c r="C1350" i="9"/>
  <c r="B1350" i="9"/>
  <c r="P1349" i="9"/>
  <c r="O1349" i="9"/>
  <c r="N1349" i="9"/>
  <c r="M1349" i="9"/>
  <c r="L1349" i="9"/>
  <c r="K1349" i="9"/>
  <c r="J1349" i="9"/>
  <c r="I1349" i="9"/>
  <c r="H1349" i="9"/>
  <c r="G1349" i="9"/>
  <c r="F1349" i="9"/>
  <c r="E1349" i="9"/>
  <c r="D1349" i="9"/>
  <c r="C1349" i="9"/>
  <c r="B1349" i="9"/>
  <c r="P1348" i="9"/>
  <c r="O1348" i="9"/>
  <c r="N1348" i="9"/>
  <c r="M1348" i="9"/>
  <c r="L1348" i="9"/>
  <c r="K1348" i="9"/>
  <c r="J1348" i="9"/>
  <c r="I1348" i="9"/>
  <c r="H1348" i="9"/>
  <c r="G1348" i="9"/>
  <c r="F1348" i="9"/>
  <c r="E1348" i="9"/>
  <c r="D1348" i="9"/>
  <c r="C1348" i="9"/>
  <c r="B1348" i="9"/>
  <c r="P1347" i="9"/>
  <c r="O1347" i="9"/>
  <c r="N1347" i="9"/>
  <c r="M1347" i="9"/>
  <c r="L1347" i="9"/>
  <c r="K1347" i="9"/>
  <c r="J1347" i="9"/>
  <c r="I1347" i="9"/>
  <c r="H1347" i="9"/>
  <c r="G1347" i="9"/>
  <c r="F1347" i="9"/>
  <c r="E1347" i="9"/>
  <c r="D1347" i="9"/>
  <c r="C1347" i="9"/>
  <c r="B1347" i="9"/>
  <c r="P1346" i="9"/>
  <c r="O1346" i="9"/>
  <c r="N1346" i="9"/>
  <c r="M1346" i="9"/>
  <c r="L1346" i="9"/>
  <c r="K1346" i="9"/>
  <c r="J1346" i="9"/>
  <c r="I1346" i="9"/>
  <c r="H1346" i="9"/>
  <c r="G1346" i="9"/>
  <c r="F1346" i="9"/>
  <c r="E1346" i="9"/>
  <c r="D1346" i="9"/>
  <c r="C1346" i="9"/>
  <c r="B1346" i="9"/>
  <c r="P1345" i="9"/>
  <c r="O1345" i="9"/>
  <c r="N1345" i="9"/>
  <c r="M1345" i="9"/>
  <c r="L1345" i="9"/>
  <c r="K1345" i="9"/>
  <c r="J1345" i="9"/>
  <c r="I1345" i="9"/>
  <c r="H1345" i="9"/>
  <c r="G1345" i="9"/>
  <c r="F1345" i="9"/>
  <c r="E1345" i="9"/>
  <c r="D1345" i="9"/>
  <c r="C1345" i="9"/>
  <c r="B1345" i="9"/>
  <c r="P1344" i="9"/>
  <c r="O1344" i="9"/>
  <c r="N1344" i="9"/>
  <c r="M1344" i="9"/>
  <c r="L1344" i="9"/>
  <c r="K1344" i="9"/>
  <c r="J1344" i="9"/>
  <c r="I1344" i="9"/>
  <c r="H1344" i="9"/>
  <c r="G1344" i="9"/>
  <c r="F1344" i="9"/>
  <c r="E1344" i="9"/>
  <c r="D1344" i="9"/>
  <c r="C1344" i="9"/>
  <c r="B1344" i="9"/>
  <c r="P1343" i="9"/>
  <c r="O1343" i="9"/>
  <c r="N1343" i="9"/>
  <c r="M1343" i="9"/>
  <c r="L1343" i="9"/>
  <c r="K1343" i="9"/>
  <c r="J1343" i="9"/>
  <c r="I1343" i="9"/>
  <c r="H1343" i="9"/>
  <c r="G1343" i="9"/>
  <c r="F1343" i="9"/>
  <c r="E1343" i="9"/>
  <c r="D1343" i="9"/>
  <c r="C1343" i="9"/>
  <c r="B1343" i="9"/>
  <c r="P1342" i="9"/>
  <c r="O1342" i="9"/>
  <c r="N1342" i="9"/>
  <c r="M1342" i="9"/>
  <c r="L1342" i="9"/>
  <c r="K1342" i="9"/>
  <c r="J1342" i="9"/>
  <c r="I1342" i="9"/>
  <c r="H1342" i="9"/>
  <c r="G1342" i="9"/>
  <c r="F1342" i="9"/>
  <c r="E1342" i="9"/>
  <c r="D1342" i="9"/>
  <c r="C1342" i="9"/>
  <c r="B1342" i="9"/>
  <c r="P1341" i="9"/>
  <c r="O1341" i="9"/>
  <c r="N1341" i="9"/>
  <c r="M1341" i="9"/>
  <c r="L1341" i="9"/>
  <c r="K1341" i="9"/>
  <c r="J1341" i="9"/>
  <c r="I1341" i="9"/>
  <c r="H1341" i="9"/>
  <c r="G1341" i="9"/>
  <c r="F1341" i="9"/>
  <c r="E1341" i="9"/>
  <c r="D1341" i="9"/>
  <c r="C1341" i="9"/>
  <c r="B1341" i="9"/>
  <c r="P1340" i="9"/>
  <c r="O1340" i="9"/>
  <c r="N1340" i="9"/>
  <c r="M1340" i="9"/>
  <c r="L1340" i="9"/>
  <c r="K1340" i="9"/>
  <c r="J1340" i="9"/>
  <c r="I1340" i="9"/>
  <c r="H1340" i="9"/>
  <c r="G1340" i="9"/>
  <c r="F1340" i="9"/>
  <c r="E1340" i="9"/>
  <c r="D1340" i="9"/>
  <c r="C1340" i="9"/>
  <c r="B1340" i="9"/>
  <c r="P1339" i="9"/>
  <c r="O1339" i="9"/>
  <c r="N1339" i="9"/>
  <c r="M1339" i="9"/>
  <c r="L1339" i="9"/>
  <c r="K1339" i="9"/>
  <c r="J1339" i="9"/>
  <c r="I1339" i="9"/>
  <c r="H1339" i="9"/>
  <c r="G1339" i="9"/>
  <c r="F1339" i="9"/>
  <c r="E1339" i="9"/>
  <c r="D1339" i="9"/>
  <c r="C1339" i="9"/>
  <c r="B1339" i="9"/>
  <c r="P1338" i="9"/>
  <c r="O1338" i="9"/>
  <c r="N1338" i="9"/>
  <c r="M1338" i="9"/>
  <c r="L1338" i="9"/>
  <c r="K1338" i="9"/>
  <c r="J1338" i="9"/>
  <c r="I1338" i="9"/>
  <c r="H1338" i="9"/>
  <c r="G1338" i="9"/>
  <c r="F1338" i="9"/>
  <c r="E1338" i="9"/>
  <c r="D1338" i="9"/>
  <c r="C1338" i="9"/>
  <c r="B1338" i="9"/>
  <c r="P1337" i="9"/>
  <c r="O1337" i="9"/>
  <c r="N1337" i="9"/>
  <c r="M1337" i="9"/>
  <c r="L1337" i="9"/>
  <c r="K1337" i="9"/>
  <c r="J1337" i="9"/>
  <c r="I1337" i="9"/>
  <c r="H1337" i="9"/>
  <c r="G1337" i="9"/>
  <c r="F1337" i="9"/>
  <c r="E1337" i="9"/>
  <c r="D1337" i="9"/>
  <c r="C1337" i="9"/>
  <c r="B1337" i="9"/>
  <c r="P1336" i="9"/>
  <c r="O1336" i="9"/>
  <c r="N1336" i="9"/>
  <c r="M1336" i="9"/>
  <c r="L1336" i="9"/>
  <c r="K1336" i="9"/>
  <c r="J1336" i="9"/>
  <c r="I1336" i="9"/>
  <c r="H1336" i="9"/>
  <c r="G1336" i="9"/>
  <c r="F1336" i="9"/>
  <c r="E1336" i="9"/>
  <c r="D1336" i="9"/>
  <c r="C1336" i="9"/>
  <c r="B1336" i="9"/>
  <c r="P1335" i="9"/>
  <c r="O1335" i="9"/>
  <c r="N1335" i="9"/>
  <c r="M1335" i="9"/>
  <c r="L1335" i="9"/>
  <c r="K1335" i="9"/>
  <c r="J1335" i="9"/>
  <c r="I1335" i="9"/>
  <c r="H1335" i="9"/>
  <c r="G1335" i="9"/>
  <c r="F1335" i="9"/>
  <c r="E1335" i="9"/>
  <c r="D1335" i="9"/>
  <c r="C1335" i="9"/>
  <c r="B1335" i="9"/>
  <c r="P1334" i="9"/>
  <c r="O1334" i="9"/>
  <c r="N1334" i="9"/>
  <c r="M1334" i="9"/>
  <c r="L1334" i="9"/>
  <c r="K1334" i="9"/>
  <c r="J1334" i="9"/>
  <c r="I1334" i="9"/>
  <c r="H1334" i="9"/>
  <c r="G1334" i="9"/>
  <c r="F1334" i="9"/>
  <c r="E1334" i="9"/>
  <c r="D1334" i="9"/>
  <c r="C1334" i="9"/>
  <c r="B1334" i="9"/>
  <c r="P1333" i="9"/>
  <c r="O1333" i="9"/>
  <c r="N1333" i="9"/>
  <c r="M1333" i="9"/>
  <c r="L1333" i="9"/>
  <c r="K1333" i="9"/>
  <c r="J1333" i="9"/>
  <c r="I1333" i="9"/>
  <c r="H1333" i="9"/>
  <c r="G1333" i="9"/>
  <c r="F1333" i="9"/>
  <c r="E1333" i="9"/>
  <c r="D1333" i="9"/>
  <c r="C1333" i="9"/>
  <c r="B1333" i="9"/>
  <c r="P1332" i="9"/>
  <c r="O1332" i="9"/>
  <c r="N1332" i="9"/>
  <c r="M1332" i="9"/>
  <c r="L1332" i="9"/>
  <c r="K1332" i="9"/>
  <c r="J1332" i="9"/>
  <c r="I1332" i="9"/>
  <c r="H1332" i="9"/>
  <c r="G1332" i="9"/>
  <c r="F1332" i="9"/>
  <c r="E1332" i="9"/>
  <c r="D1332" i="9"/>
  <c r="C1332" i="9"/>
  <c r="B1332" i="9"/>
  <c r="P1331" i="9"/>
  <c r="O1331" i="9"/>
  <c r="N1331" i="9"/>
  <c r="M1331" i="9"/>
  <c r="L1331" i="9"/>
  <c r="K1331" i="9"/>
  <c r="J1331" i="9"/>
  <c r="I1331" i="9"/>
  <c r="H1331" i="9"/>
  <c r="G1331" i="9"/>
  <c r="F1331" i="9"/>
  <c r="E1331" i="9"/>
  <c r="D1331" i="9"/>
  <c r="C1331" i="9"/>
  <c r="B1331" i="9"/>
  <c r="P1330" i="9"/>
  <c r="O1330" i="9"/>
  <c r="N1330" i="9"/>
  <c r="M1330" i="9"/>
  <c r="L1330" i="9"/>
  <c r="K1330" i="9"/>
  <c r="J1330" i="9"/>
  <c r="I1330" i="9"/>
  <c r="H1330" i="9"/>
  <c r="G1330" i="9"/>
  <c r="F1330" i="9"/>
  <c r="E1330" i="9"/>
  <c r="D1330" i="9"/>
  <c r="C1330" i="9"/>
  <c r="B1330" i="9"/>
  <c r="P1329" i="9"/>
  <c r="O1329" i="9"/>
  <c r="N1329" i="9"/>
  <c r="M1329" i="9"/>
  <c r="L1329" i="9"/>
  <c r="K1329" i="9"/>
  <c r="J1329" i="9"/>
  <c r="I1329" i="9"/>
  <c r="H1329" i="9"/>
  <c r="G1329" i="9"/>
  <c r="F1329" i="9"/>
  <c r="E1329" i="9"/>
  <c r="D1329" i="9"/>
  <c r="C1329" i="9"/>
  <c r="B1329" i="9"/>
  <c r="P1328" i="9"/>
  <c r="O1328" i="9"/>
  <c r="N1328" i="9"/>
  <c r="M1328" i="9"/>
  <c r="L1328" i="9"/>
  <c r="K1328" i="9"/>
  <c r="J1328" i="9"/>
  <c r="I1328" i="9"/>
  <c r="H1328" i="9"/>
  <c r="G1328" i="9"/>
  <c r="F1328" i="9"/>
  <c r="E1328" i="9"/>
  <c r="D1328" i="9"/>
  <c r="C1328" i="9"/>
  <c r="B1328" i="9"/>
  <c r="P1327" i="9"/>
  <c r="O1327" i="9"/>
  <c r="N1327" i="9"/>
  <c r="M1327" i="9"/>
  <c r="L1327" i="9"/>
  <c r="K1327" i="9"/>
  <c r="J1327" i="9"/>
  <c r="I1327" i="9"/>
  <c r="H1327" i="9"/>
  <c r="G1327" i="9"/>
  <c r="F1327" i="9"/>
  <c r="E1327" i="9"/>
  <c r="D1327" i="9"/>
  <c r="C1327" i="9"/>
  <c r="B1327" i="9"/>
  <c r="P1326" i="9"/>
  <c r="O1326" i="9"/>
  <c r="N1326" i="9"/>
  <c r="M1326" i="9"/>
  <c r="L1326" i="9"/>
  <c r="K1326" i="9"/>
  <c r="J1326" i="9"/>
  <c r="I1326" i="9"/>
  <c r="H1326" i="9"/>
  <c r="G1326" i="9"/>
  <c r="F1326" i="9"/>
  <c r="E1326" i="9"/>
  <c r="D1326" i="9"/>
  <c r="C1326" i="9"/>
  <c r="B1326" i="9"/>
  <c r="P1325" i="9"/>
  <c r="O1325" i="9"/>
  <c r="N1325" i="9"/>
  <c r="M1325" i="9"/>
  <c r="L1325" i="9"/>
  <c r="K1325" i="9"/>
  <c r="J1325" i="9"/>
  <c r="I1325" i="9"/>
  <c r="H1325" i="9"/>
  <c r="G1325" i="9"/>
  <c r="F1325" i="9"/>
  <c r="E1325" i="9"/>
  <c r="D1325" i="9"/>
  <c r="C1325" i="9"/>
  <c r="B1325" i="9"/>
  <c r="P1324" i="9"/>
  <c r="O1324" i="9"/>
  <c r="N1324" i="9"/>
  <c r="M1324" i="9"/>
  <c r="L1324" i="9"/>
  <c r="K1324" i="9"/>
  <c r="J1324" i="9"/>
  <c r="I1324" i="9"/>
  <c r="H1324" i="9"/>
  <c r="G1324" i="9"/>
  <c r="F1324" i="9"/>
  <c r="E1324" i="9"/>
  <c r="D1324" i="9"/>
  <c r="C1324" i="9"/>
  <c r="B1324" i="9"/>
  <c r="P1323" i="9"/>
  <c r="O1323" i="9"/>
  <c r="N1323" i="9"/>
  <c r="M1323" i="9"/>
  <c r="L1323" i="9"/>
  <c r="K1323" i="9"/>
  <c r="J1323" i="9"/>
  <c r="I1323" i="9"/>
  <c r="H1323" i="9"/>
  <c r="G1323" i="9"/>
  <c r="F1323" i="9"/>
  <c r="E1323" i="9"/>
  <c r="D1323" i="9"/>
  <c r="C1323" i="9"/>
  <c r="B1323" i="9"/>
  <c r="P1322" i="9"/>
  <c r="O1322" i="9"/>
  <c r="N1322" i="9"/>
  <c r="M1322" i="9"/>
  <c r="L1322" i="9"/>
  <c r="K1322" i="9"/>
  <c r="J1322" i="9"/>
  <c r="I1322" i="9"/>
  <c r="H1322" i="9"/>
  <c r="G1322" i="9"/>
  <c r="F1322" i="9"/>
  <c r="E1322" i="9"/>
  <c r="D1322" i="9"/>
  <c r="C1322" i="9"/>
  <c r="B1322" i="9"/>
  <c r="P1321" i="9"/>
  <c r="O1321" i="9"/>
  <c r="N1321" i="9"/>
  <c r="M1321" i="9"/>
  <c r="L1321" i="9"/>
  <c r="K1321" i="9"/>
  <c r="J1321" i="9"/>
  <c r="I1321" i="9"/>
  <c r="H1321" i="9"/>
  <c r="G1321" i="9"/>
  <c r="F1321" i="9"/>
  <c r="E1321" i="9"/>
  <c r="D1321" i="9"/>
  <c r="C1321" i="9"/>
  <c r="B1321" i="9"/>
  <c r="P1320" i="9"/>
  <c r="O1320" i="9"/>
  <c r="N1320" i="9"/>
  <c r="M1320" i="9"/>
  <c r="L1320" i="9"/>
  <c r="K1320" i="9"/>
  <c r="J1320" i="9"/>
  <c r="I1320" i="9"/>
  <c r="H1320" i="9"/>
  <c r="G1320" i="9"/>
  <c r="F1320" i="9"/>
  <c r="E1320" i="9"/>
  <c r="D1320" i="9"/>
  <c r="C1320" i="9"/>
  <c r="B1320" i="9"/>
  <c r="P1319" i="9"/>
  <c r="O1319" i="9"/>
  <c r="N1319" i="9"/>
  <c r="M1319" i="9"/>
  <c r="L1319" i="9"/>
  <c r="K1319" i="9"/>
  <c r="J1319" i="9"/>
  <c r="I1319" i="9"/>
  <c r="H1319" i="9"/>
  <c r="G1319" i="9"/>
  <c r="F1319" i="9"/>
  <c r="E1319" i="9"/>
  <c r="D1319" i="9"/>
  <c r="C1319" i="9"/>
  <c r="B1319" i="9"/>
  <c r="P1318" i="9"/>
  <c r="O1318" i="9"/>
  <c r="N1318" i="9"/>
  <c r="M1318" i="9"/>
  <c r="L1318" i="9"/>
  <c r="K1318" i="9"/>
  <c r="J1318" i="9"/>
  <c r="I1318" i="9"/>
  <c r="H1318" i="9"/>
  <c r="G1318" i="9"/>
  <c r="F1318" i="9"/>
  <c r="E1318" i="9"/>
  <c r="D1318" i="9"/>
  <c r="C1318" i="9"/>
  <c r="B1318" i="9"/>
  <c r="P1317" i="9"/>
  <c r="O1317" i="9"/>
  <c r="N1317" i="9"/>
  <c r="M1317" i="9"/>
  <c r="L1317" i="9"/>
  <c r="K1317" i="9"/>
  <c r="J1317" i="9"/>
  <c r="I1317" i="9"/>
  <c r="H1317" i="9"/>
  <c r="G1317" i="9"/>
  <c r="F1317" i="9"/>
  <c r="E1317" i="9"/>
  <c r="D1317" i="9"/>
  <c r="C1317" i="9"/>
  <c r="B1317" i="9"/>
  <c r="P1316" i="9"/>
  <c r="O1316" i="9"/>
  <c r="N1316" i="9"/>
  <c r="M1316" i="9"/>
  <c r="L1316" i="9"/>
  <c r="K1316" i="9"/>
  <c r="J1316" i="9"/>
  <c r="I1316" i="9"/>
  <c r="H1316" i="9"/>
  <c r="G1316" i="9"/>
  <c r="F1316" i="9"/>
  <c r="E1316" i="9"/>
  <c r="D1316" i="9"/>
  <c r="C1316" i="9"/>
  <c r="B1316" i="9"/>
  <c r="P1315" i="9"/>
  <c r="O1315" i="9"/>
  <c r="N1315" i="9"/>
  <c r="M1315" i="9"/>
  <c r="L1315" i="9"/>
  <c r="K1315" i="9"/>
  <c r="J1315" i="9"/>
  <c r="I1315" i="9"/>
  <c r="H1315" i="9"/>
  <c r="G1315" i="9"/>
  <c r="F1315" i="9"/>
  <c r="E1315" i="9"/>
  <c r="D1315" i="9"/>
  <c r="C1315" i="9"/>
  <c r="B1315" i="9"/>
  <c r="P1314" i="9"/>
  <c r="O1314" i="9"/>
  <c r="N1314" i="9"/>
  <c r="M1314" i="9"/>
  <c r="L1314" i="9"/>
  <c r="K1314" i="9"/>
  <c r="J1314" i="9"/>
  <c r="I1314" i="9"/>
  <c r="H1314" i="9"/>
  <c r="G1314" i="9"/>
  <c r="F1314" i="9"/>
  <c r="E1314" i="9"/>
  <c r="D1314" i="9"/>
  <c r="C1314" i="9"/>
  <c r="B1314" i="9"/>
  <c r="P1313" i="9"/>
  <c r="O1313" i="9"/>
  <c r="N1313" i="9"/>
  <c r="M1313" i="9"/>
  <c r="L1313" i="9"/>
  <c r="K1313" i="9"/>
  <c r="J1313" i="9"/>
  <c r="I1313" i="9"/>
  <c r="H1313" i="9"/>
  <c r="G1313" i="9"/>
  <c r="F1313" i="9"/>
  <c r="E1313" i="9"/>
  <c r="D1313" i="9"/>
  <c r="C1313" i="9"/>
  <c r="B1313" i="9"/>
  <c r="P1312" i="9"/>
  <c r="O1312" i="9"/>
  <c r="N1312" i="9"/>
  <c r="M1312" i="9"/>
  <c r="L1312" i="9"/>
  <c r="K1312" i="9"/>
  <c r="J1312" i="9"/>
  <c r="I1312" i="9"/>
  <c r="H1312" i="9"/>
  <c r="G1312" i="9"/>
  <c r="F1312" i="9"/>
  <c r="E1312" i="9"/>
  <c r="D1312" i="9"/>
  <c r="C1312" i="9"/>
  <c r="B1312" i="9"/>
  <c r="P1311" i="9"/>
  <c r="O1311" i="9"/>
  <c r="N1311" i="9"/>
  <c r="M1311" i="9"/>
  <c r="L1311" i="9"/>
  <c r="K1311" i="9"/>
  <c r="J1311" i="9"/>
  <c r="I1311" i="9"/>
  <c r="H1311" i="9"/>
  <c r="G1311" i="9"/>
  <c r="F1311" i="9"/>
  <c r="E1311" i="9"/>
  <c r="D1311" i="9"/>
  <c r="C1311" i="9"/>
  <c r="B1311" i="9"/>
  <c r="P1310" i="9"/>
  <c r="O1310" i="9"/>
  <c r="N1310" i="9"/>
  <c r="M1310" i="9"/>
  <c r="L1310" i="9"/>
  <c r="K1310" i="9"/>
  <c r="J1310" i="9"/>
  <c r="I1310" i="9"/>
  <c r="H1310" i="9"/>
  <c r="G1310" i="9"/>
  <c r="F1310" i="9"/>
  <c r="E1310" i="9"/>
  <c r="D1310" i="9"/>
  <c r="C1310" i="9"/>
  <c r="B1310" i="9"/>
  <c r="P1309" i="9"/>
  <c r="O1309" i="9"/>
  <c r="N1309" i="9"/>
  <c r="M1309" i="9"/>
  <c r="L1309" i="9"/>
  <c r="K1309" i="9"/>
  <c r="J1309" i="9"/>
  <c r="I1309" i="9"/>
  <c r="H1309" i="9"/>
  <c r="G1309" i="9"/>
  <c r="F1309" i="9"/>
  <c r="E1309" i="9"/>
  <c r="D1309" i="9"/>
  <c r="C1309" i="9"/>
  <c r="B1309" i="9"/>
  <c r="P1308" i="9"/>
  <c r="O1308" i="9"/>
  <c r="N1308" i="9"/>
  <c r="M1308" i="9"/>
  <c r="L1308" i="9"/>
  <c r="K1308" i="9"/>
  <c r="J1308" i="9"/>
  <c r="I1308" i="9"/>
  <c r="H1308" i="9"/>
  <c r="G1308" i="9"/>
  <c r="F1308" i="9"/>
  <c r="E1308" i="9"/>
  <c r="D1308" i="9"/>
  <c r="C1308" i="9"/>
  <c r="B1308" i="9"/>
  <c r="P1307" i="9"/>
  <c r="O1307" i="9"/>
  <c r="N1307" i="9"/>
  <c r="M1307" i="9"/>
  <c r="L1307" i="9"/>
  <c r="K1307" i="9"/>
  <c r="J1307" i="9"/>
  <c r="I1307" i="9"/>
  <c r="H1307" i="9"/>
  <c r="G1307" i="9"/>
  <c r="F1307" i="9"/>
  <c r="E1307" i="9"/>
  <c r="D1307" i="9"/>
  <c r="C1307" i="9"/>
  <c r="B1307" i="9"/>
  <c r="P1306" i="9"/>
  <c r="O1306" i="9"/>
  <c r="N1306" i="9"/>
  <c r="M1306" i="9"/>
  <c r="L1306" i="9"/>
  <c r="K1306" i="9"/>
  <c r="J1306" i="9"/>
  <c r="I1306" i="9"/>
  <c r="H1306" i="9"/>
  <c r="G1306" i="9"/>
  <c r="F1306" i="9"/>
  <c r="E1306" i="9"/>
  <c r="D1306" i="9"/>
  <c r="C1306" i="9"/>
  <c r="B1306" i="9"/>
  <c r="P1305" i="9"/>
  <c r="O1305" i="9"/>
  <c r="N1305" i="9"/>
  <c r="M1305" i="9"/>
  <c r="L1305" i="9"/>
  <c r="K1305" i="9"/>
  <c r="J1305" i="9"/>
  <c r="I1305" i="9"/>
  <c r="H1305" i="9"/>
  <c r="G1305" i="9"/>
  <c r="F1305" i="9"/>
  <c r="E1305" i="9"/>
  <c r="D1305" i="9"/>
  <c r="C1305" i="9"/>
  <c r="B1305" i="9"/>
  <c r="P1304" i="9"/>
  <c r="O1304" i="9"/>
  <c r="N1304" i="9"/>
  <c r="M1304" i="9"/>
  <c r="L1304" i="9"/>
  <c r="K1304" i="9"/>
  <c r="J1304" i="9"/>
  <c r="I1304" i="9"/>
  <c r="H1304" i="9"/>
  <c r="G1304" i="9"/>
  <c r="F1304" i="9"/>
  <c r="E1304" i="9"/>
  <c r="D1304" i="9"/>
  <c r="C1304" i="9"/>
  <c r="B1304" i="9"/>
  <c r="P1303" i="9"/>
  <c r="O1303" i="9"/>
  <c r="N1303" i="9"/>
  <c r="M1303" i="9"/>
  <c r="L1303" i="9"/>
  <c r="K1303" i="9"/>
  <c r="J1303" i="9"/>
  <c r="I1303" i="9"/>
  <c r="H1303" i="9"/>
  <c r="G1303" i="9"/>
  <c r="F1303" i="9"/>
  <c r="E1303" i="9"/>
  <c r="D1303" i="9"/>
  <c r="C1303" i="9"/>
  <c r="B1303" i="9"/>
  <c r="P1302" i="9"/>
  <c r="O1302" i="9"/>
  <c r="N1302" i="9"/>
  <c r="M1302" i="9"/>
  <c r="L1302" i="9"/>
  <c r="K1302" i="9"/>
  <c r="J1302" i="9"/>
  <c r="I1302" i="9"/>
  <c r="H1302" i="9"/>
  <c r="G1302" i="9"/>
  <c r="F1302" i="9"/>
  <c r="E1302" i="9"/>
  <c r="D1302" i="9"/>
  <c r="C1302" i="9"/>
  <c r="B1302" i="9"/>
  <c r="P1301" i="9"/>
  <c r="O1301" i="9"/>
  <c r="N1301" i="9"/>
  <c r="M1301" i="9"/>
  <c r="L1301" i="9"/>
  <c r="K1301" i="9"/>
  <c r="J1301" i="9"/>
  <c r="I1301" i="9"/>
  <c r="H1301" i="9"/>
  <c r="G1301" i="9"/>
  <c r="F1301" i="9"/>
  <c r="E1301" i="9"/>
  <c r="D1301" i="9"/>
  <c r="C1301" i="9"/>
  <c r="B1301" i="9"/>
  <c r="P1300" i="9"/>
  <c r="O1300" i="9"/>
  <c r="N1300" i="9"/>
  <c r="M1300" i="9"/>
  <c r="L1300" i="9"/>
  <c r="K1300" i="9"/>
  <c r="J1300" i="9"/>
  <c r="I1300" i="9"/>
  <c r="H1300" i="9"/>
  <c r="G1300" i="9"/>
  <c r="F1300" i="9"/>
  <c r="E1300" i="9"/>
  <c r="D1300" i="9"/>
  <c r="C1300" i="9"/>
  <c r="B1300" i="9"/>
  <c r="P1299" i="9"/>
  <c r="O1299" i="9"/>
  <c r="N1299" i="9"/>
  <c r="M1299" i="9"/>
  <c r="L1299" i="9"/>
  <c r="K1299" i="9"/>
  <c r="J1299" i="9"/>
  <c r="I1299" i="9"/>
  <c r="H1299" i="9"/>
  <c r="G1299" i="9"/>
  <c r="F1299" i="9"/>
  <c r="E1299" i="9"/>
  <c r="D1299" i="9"/>
  <c r="C1299" i="9"/>
  <c r="B1299" i="9"/>
  <c r="P1298" i="9"/>
  <c r="O1298" i="9"/>
  <c r="N1298" i="9"/>
  <c r="M1298" i="9"/>
  <c r="L1298" i="9"/>
  <c r="K1298" i="9"/>
  <c r="J1298" i="9"/>
  <c r="I1298" i="9"/>
  <c r="H1298" i="9"/>
  <c r="G1298" i="9"/>
  <c r="F1298" i="9"/>
  <c r="E1298" i="9"/>
  <c r="D1298" i="9"/>
  <c r="C1298" i="9"/>
  <c r="B1298" i="9"/>
  <c r="P1297" i="9"/>
  <c r="O1297" i="9"/>
  <c r="N1297" i="9"/>
  <c r="M1297" i="9"/>
  <c r="L1297" i="9"/>
  <c r="K1297" i="9"/>
  <c r="J1297" i="9"/>
  <c r="I1297" i="9"/>
  <c r="H1297" i="9"/>
  <c r="G1297" i="9"/>
  <c r="F1297" i="9"/>
  <c r="E1297" i="9"/>
  <c r="D1297" i="9"/>
  <c r="C1297" i="9"/>
  <c r="B1297" i="9"/>
  <c r="P1296" i="9"/>
  <c r="O1296" i="9"/>
  <c r="N1296" i="9"/>
  <c r="M1296" i="9"/>
  <c r="L1296" i="9"/>
  <c r="K1296" i="9"/>
  <c r="J1296" i="9"/>
  <c r="I1296" i="9"/>
  <c r="H1296" i="9"/>
  <c r="G1296" i="9"/>
  <c r="F1296" i="9"/>
  <c r="E1296" i="9"/>
  <c r="D1296" i="9"/>
  <c r="C1296" i="9"/>
  <c r="B1296" i="9"/>
  <c r="P1295" i="9"/>
  <c r="O1295" i="9"/>
  <c r="N1295" i="9"/>
  <c r="M1295" i="9"/>
  <c r="L1295" i="9"/>
  <c r="K1295" i="9"/>
  <c r="J1295" i="9"/>
  <c r="I1295" i="9"/>
  <c r="H1295" i="9"/>
  <c r="G1295" i="9"/>
  <c r="F1295" i="9"/>
  <c r="E1295" i="9"/>
  <c r="D1295" i="9"/>
  <c r="C1295" i="9"/>
  <c r="B1295" i="9"/>
  <c r="P1294" i="9"/>
  <c r="O1294" i="9"/>
  <c r="N1294" i="9"/>
  <c r="M1294" i="9"/>
  <c r="L1294" i="9"/>
  <c r="K1294" i="9"/>
  <c r="J1294" i="9"/>
  <c r="I1294" i="9"/>
  <c r="H1294" i="9"/>
  <c r="G1294" i="9"/>
  <c r="F1294" i="9"/>
  <c r="E1294" i="9"/>
  <c r="D1294" i="9"/>
  <c r="C1294" i="9"/>
  <c r="B1294" i="9"/>
  <c r="P1293" i="9"/>
  <c r="O1293" i="9"/>
  <c r="N1293" i="9"/>
  <c r="M1293" i="9"/>
  <c r="L1293" i="9"/>
  <c r="K1293" i="9"/>
  <c r="J1293" i="9"/>
  <c r="I1293" i="9"/>
  <c r="H1293" i="9"/>
  <c r="G1293" i="9"/>
  <c r="F1293" i="9"/>
  <c r="E1293" i="9"/>
  <c r="D1293" i="9"/>
  <c r="C1293" i="9"/>
  <c r="B1293" i="9"/>
  <c r="P1292" i="9"/>
  <c r="O1292" i="9"/>
  <c r="N1292" i="9"/>
  <c r="M1292" i="9"/>
  <c r="L1292" i="9"/>
  <c r="K1292" i="9"/>
  <c r="J1292" i="9"/>
  <c r="I1292" i="9"/>
  <c r="H1292" i="9"/>
  <c r="G1292" i="9"/>
  <c r="F1292" i="9"/>
  <c r="E1292" i="9"/>
  <c r="D1292" i="9"/>
  <c r="C1292" i="9"/>
  <c r="B1292" i="9"/>
  <c r="P1291" i="9"/>
  <c r="O1291" i="9"/>
  <c r="N1291" i="9"/>
  <c r="M1291" i="9"/>
  <c r="L1291" i="9"/>
  <c r="K1291" i="9"/>
  <c r="J1291" i="9"/>
  <c r="I1291" i="9"/>
  <c r="H1291" i="9"/>
  <c r="G1291" i="9"/>
  <c r="F1291" i="9"/>
  <c r="E1291" i="9"/>
  <c r="D1291" i="9"/>
  <c r="C1291" i="9"/>
  <c r="B1291" i="9"/>
  <c r="P1290" i="9"/>
  <c r="O1290" i="9"/>
  <c r="N1290" i="9"/>
  <c r="M1290" i="9"/>
  <c r="L1290" i="9"/>
  <c r="K1290" i="9"/>
  <c r="J1290" i="9"/>
  <c r="I1290" i="9"/>
  <c r="H1290" i="9"/>
  <c r="G1290" i="9"/>
  <c r="F1290" i="9"/>
  <c r="E1290" i="9"/>
  <c r="D1290" i="9"/>
  <c r="C1290" i="9"/>
  <c r="B1290" i="9"/>
  <c r="P1289" i="9"/>
  <c r="O1289" i="9"/>
  <c r="N1289" i="9"/>
  <c r="M1289" i="9"/>
  <c r="L1289" i="9"/>
  <c r="K1289" i="9"/>
  <c r="J1289" i="9"/>
  <c r="I1289" i="9"/>
  <c r="H1289" i="9"/>
  <c r="G1289" i="9"/>
  <c r="F1289" i="9"/>
  <c r="E1289" i="9"/>
  <c r="D1289" i="9"/>
  <c r="C1289" i="9"/>
  <c r="B1289" i="9"/>
  <c r="P1288" i="9"/>
  <c r="O1288" i="9"/>
  <c r="N1288" i="9"/>
  <c r="M1288" i="9"/>
  <c r="L1288" i="9"/>
  <c r="K1288" i="9"/>
  <c r="J1288" i="9"/>
  <c r="I1288" i="9"/>
  <c r="H1288" i="9"/>
  <c r="G1288" i="9"/>
  <c r="F1288" i="9"/>
  <c r="E1288" i="9"/>
  <c r="D1288" i="9"/>
  <c r="C1288" i="9"/>
  <c r="B1288" i="9"/>
  <c r="P1287" i="9"/>
  <c r="O1287" i="9"/>
  <c r="N1287" i="9"/>
  <c r="M1287" i="9"/>
  <c r="L1287" i="9"/>
  <c r="K1287" i="9"/>
  <c r="J1287" i="9"/>
  <c r="I1287" i="9"/>
  <c r="H1287" i="9"/>
  <c r="G1287" i="9"/>
  <c r="F1287" i="9"/>
  <c r="E1287" i="9"/>
  <c r="D1287" i="9"/>
  <c r="C1287" i="9"/>
  <c r="B1287" i="9"/>
  <c r="P1286" i="9"/>
  <c r="O1286" i="9"/>
  <c r="N1286" i="9"/>
  <c r="M1286" i="9"/>
  <c r="L1286" i="9"/>
  <c r="K1286" i="9"/>
  <c r="J1286" i="9"/>
  <c r="I1286" i="9"/>
  <c r="H1286" i="9"/>
  <c r="G1286" i="9"/>
  <c r="F1286" i="9"/>
  <c r="E1286" i="9"/>
  <c r="D1286" i="9"/>
  <c r="C1286" i="9"/>
  <c r="B1286" i="9"/>
  <c r="P1285" i="9"/>
  <c r="O1285" i="9"/>
  <c r="N1285" i="9"/>
  <c r="M1285" i="9"/>
  <c r="L1285" i="9"/>
  <c r="K1285" i="9"/>
  <c r="J1285" i="9"/>
  <c r="I1285" i="9"/>
  <c r="H1285" i="9"/>
  <c r="G1285" i="9"/>
  <c r="F1285" i="9"/>
  <c r="E1285" i="9"/>
  <c r="D1285" i="9"/>
  <c r="C1285" i="9"/>
  <c r="B1285" i="9"/>
  <c r="P1284" i="9"/>
  <c r="O1284" i="9"/>
  <c r="N1284" i="9"/>
  <c r="M1284" i="9"/>
  <c r="L1284" i="9"/>
  <c r="K1284" i="9"/>
  <c r="J1284" i="9"/>
  <c r="I1284" i="9"/>
  <c r="H1284" i="9"/>
  <c r="G1284" i="9"/>
  <c r="F1284" i="9"/>
  <c r="E1284" i="9"/>
  <c r="D1284" i="9"/>
  <c r="C1284" i="9"/>
  <c r="B1284" i="9"/>
  <c r="P1283" i="9"/>
  <c r="O1283" i="9"/>
  <c r="N1283" i="9"/>
  <c r="M1283" i="9"/>
  <c r="L1283" i="9"/>
  <c r="K1283" i="9"/>
  <c r="J1283" i="9"/>
  <c r="I1283" i="9"/>
  <c r="H1283" i="9"/>
  <c r="G1283" i="9"/>
  <c r="F1283" i="9"/>
  <c r="E1283" i="9"/>
  <c r="D1283" i="9"/>
  <c r="C1283" i="9"/>
  <c r="B1283" i="9"/>
  <c r="P1282" i="9"/>
  <c r="O1282" i="9"/>
  <c r="N1282" i="9"/>
  <c r="M1282" i="9"/>
  <c r="L1282" i="9"/>
  <c r="K1282" i="9"/>
  <c r="J1282" i="9"/>
  <c r="I1282" i="9"/>
  <c r="H1282" i="9"/>
  <c r="G1282" i="9"/>
  <c r="F1282" i="9"/>
  <c r="E1282" i="9"/>
  <c r="D1282" i="9"/>
  <c r="C1282" i="9"/>
  <c r="B1282" i="9"/>
  <c r="P1281" i="9"/>
  <c r="O1281" i="9"/>
  <c r="N1281" i="9"/>
  <c r="M1281" i="9"/>
  <c r="L1281" i="9"/>
  <c r="K1281" i="9"/>
  <c r="J1281" i="9"/>
  <c r="I1281" i="9"/>
  <c r="H1281" i="9"/>
  <c r="G1281" i="9"/>
  <c r="F1281" i="9"/>
  <c r="E1281" i="9"/>
  <c r="D1281" i="9"/>
  <c r="C1281" i="9"/>
  <c r="B1281" i="9"/>
  <c r="P1280" i="9"/>
  <c r="O1280" i="9"/>
  <c r="N1280" i="9"/>
  <c r="M1280" i="9"/>
  <c r="L1280" i="9"/>
  <c r="K1280" i="9"/>
  <c r="J1280" i="9"/>
  <c r="I1280" i="9"/>
  <c r="H1280" i="9"/>
  <c r="G1280" i="9"/>
  <c r="F1280" i="9"/>
  <c r="E1280" i="9"/>
  <c r="D1280" i="9"/>
  <c r="C1280" i="9"/>
  <c r="B1280" i="9"/>
  <c r="P1279" i="9"/>
  <c r="O1279" i="9"/>
  <c r="N1279" i="9"/>
  <c r="M1279" i="9"/>
  <c r="L1279" i="9"/>
  <c r="K1279" i="9"/>
  <c r="J1279" i="9"/>
  <c r="I1279" i="9"/>
  <c r="H1279" i="9"/>
  <c r="G1279" i="9"/>
  <c r="F1279" i="9"/>
  <c r="E1279" i="9"/>
  <c r="D1279" i="9"/>
  <c r="C1279" i="9"/>
  <c r="B1279" i="9"/>
  <c r="P1278" i="9"/>
  <c r="O1278" i="9"/>
  <c r="N1278" i="9"/>
  <c r="M1278" i="9"/>
  <c r="L1278" i="9"/>
  <c r="K1278" i="9"/>
  <c r="J1278" i="9"/>
  <c r="I1278" i="9"/>
  <c r="H1278" i="9"/>
  <c r="G1278" i="9"/>
  <c r="F1278" i="9"/>
  <c r="E1278" i="9"/>
  <c r="D1278" i="9"/>
  <c r="C1278" i="9"/>
  <c r="B1278" i="9"/>
  <c r="P1277" i="9"/>
  <c r="O1277" i="9"/>
  <c r="N1277" i="9"/>
  <c r="M1277" i="9"/>
  <c r="L1277" i="9"/>
  <c r="K1277" i="9"/>
  <c r="J1277" i="9"/>
  <c r="I1277" i="9"/>
  <c r="H1277" i="9"/>
  <c r="G1277" i="9"/>
  <c r="F1277" i="9"/>
  <c r="E1277" i="9"/>
  <c r="D1277" i="9"/>
  <c r="C1277" i="9"/>
  <c r="B1277" i="9"/>
  <c r="P1276" i="9"/>
  <c r="O1276" i="9"/>
  <c r="N1276" i="9"/>
  <c r="M1276" i="9"/>
  <c r="L1276" i="9"/>
  <c r="K1276" i="9"/>
  <c r="J1276" i="9"/>
  <c r="I1276" i="9"/>
  <c r="H1276" i="9"/>
  <c r="G1276" i="9"/>
  <c r="F1276" i="9"/>
  <c r="E1276" i="9"/>
  <c r="D1276" i="9"/>
  <c r="C1276" i="9"/>
  <c r="B1276" i="9"/>
  <c r="P1275" i="9"/>
  <c r="O1275" i="9"/>
  <c r="N1275" i="9"/>
  <c r="M1275" i="9"/>
  <c r="L1275" i="9"/>
  <c r="K1275" i="9"/>
  <c r="J1275" i="9"/>
  <c r="I1275" i="9"/>
  <c r="H1275" i="9"/>
  <c r="G1275" i="9"/>
  <c r="F1275" i="9"/>
  <c r="E1275" i="9"/>
  <c r="D1275" i="9"/>
  <c r="C1275" i="9"/>
  <c r="B1275" i="9"/>
  <c r="P1274" i="9"/>
  <c r="O1274" i="9"/>
  <c r="N1274" i="9"/>
  <c r="M1274" i="9"/>
  <c r="L1274" i="9"/>
  <c r="K1274" i="9"/>
  <c r="J1274" i="9"/>
  <c r="I1274" i="9"/>
  <c r="H1274" i="9"/>
  <c r="G1274" i="9"/>
  <c r="F1274" i="9"/>
  <c r="E1274" i="9"/>
  <c r="D1274" i="9"/>
  <c r="C1274" i="9"/>
  <c r="B1274" i="9"/>
  <c r="P1273" i="9"/>
  <c r="O1273" i="9"/>
  <c r="N1273" i="9"/>
  <c r="M1273" i="9"/>
  <c r="L1273" i="9"/>
  <c r="K1273" i="9"/>
  <c r="J1273" i="9"/>
  <c r="I1273" i="9"/>
  <c r="H1273" i="9"/>
  <c r="G1273" i="9"/>
  <c r="F1273" i="9"/>
  <c r="E1273" i="9"/>
  <c r="D1273" i="9"/>
  <c r="C1273" i="9"/>
  <c r="B1273" i="9"/>
  <c r="P1272" i="9"/>
  <c r="O1272" i="9"/>
  <c r="N1272" i="9"/>
  <c r="M1272" i="9"/>
  <c r="L1272" i="9"/>
  <c r="K1272" i="9"/>
  <c r="J1272" i="9"/>
  <c r="I1272" i="9"/>
  <c r="H1272" i="9"/>
  <c r="G1272" i="9"/>
  <c r="F1272" i="9"/>
  <c r="E1272" i="9"/>
  <c r="D1272" i="9"/>
  <c r="C1272" i="9"/>
  <c r="B1272" i="9"/>
  <c r="P1271" i="9"/>
  <c r="O1271" i="9"/>
  <c r="N1271" i="9"/>
  <c r="M1271" i="9"/>
  <c r="L1271" i="9"/>
  <c r="K1271" i="9"/>
  <c r="J1271" i="9"/>
  <c r="I1271" i="9"/>
  <c r="H1271" i="9"/>
  <c r="G1271" i="9"/>
  <c r="F1271" i="9"/>
  <c r="E1271" i="9"/>
  <c r="D1271" i="9"/>
  <c r="C1271" i="9"/>
  <c r="B1271" i="9"/>
  <c r="P1270" i="9"/>
  <c r="O1270" i="9"/>
  <c r="N1270" i="9"/>
  <c r="M1270" i="9"/>
  <c r="L1270" i="9"/>
  <c r="K1270" i="9"/>
  <c r="J1270" i="9"/>
  <c r="I1270" i="9"/>
  <c r="H1270" i="9"/>
  <c r="G1270" i="9"/>
  <c r="F1270" i="9"/>
  <c r="E1270" i="9"/>
  <c r="D1270" i="9"/>
  <c r="C1270" i="9"/>
  <c r="B1270" i="9"/>
  <c r="P1269" i="9"/>
  <c r="O1269" i="9"/>
  <c r="N1269" i="9"/>
  <c r="M1269" i="9"/>
  <c r="L1269" i="9"/>
  <c r="K1269" i="9"/>
  <c r="J1269" i="9"/>
  <c r="I1269" i="9"/>
  <c r="H1269" i="9"/>
  <c r="G1269" i="9"/>
  <c r="F1269" i="9"/>
  <c r="E1269" i="9"/>
  <c r="D1269" i="9"/>
  <c r="C1269" i="9"/>
  <c r="B1269" i="9"/>
  <c r="P1268" i="9"/>
  <c r="O1268" i="9"/>
  <c r="N1268" i="9"/>
  <c r="M1268" i="9"/>
  <c r="L1268" i="9"/>
  <c r="K1268" i="9"/>
  <c r="J1268" i="9"/>
  <c r="I1268" i="9"/>
  <c r="H1268" i="9"/>
  <c r="G1268" i="9"/>
  <c r="F1268" i="9"/>
  <c r="E1268" i="9"/>
  <c r="D1268" i="9"/>
  <c r="C1268" i="9"/>
  <c r="B1268" i="9"/>
  <c r="P1267" i="9"/>
  <c r="O1267" i="9"/>
  <c r="N1267" i="9"/>
  <c r="M1267" i="9"/>
  <c r="L1267" i="9"/>
  <c r="K1267" i="9"/>
  <c r="J1267" i="9"/>
  <c r="I1267" i="9"/>
  <c r="H1267" i="9"/>
  <c r="G1267" i="9"/>
  <c r="F1267" i="9"/>
  <c r="E1267" i="9"/>
  <c r="D1267" i="9"/>
  <c r="C1267" i="9"/>
  <c r="B1267" i="9"/>
  <c r="P1266" i="9"/>
  <c r="O1266" i="9"/>
  <c r="N1266" i="9"/>
  <c r="M1266" i="9"/>
  <c r="L1266" i="9"/>
  <c r="K1266" i="9"/>
  <c r="J1266" i="9"/>
  <c r="I1266" i="9"/>
  <c r="H1266" i="9"/>
  <c r="G1266" i="9"/>
  <c r="F1266" i="9"/>
  <c r="E1266" i="9"/>
  <c r="D1266" i="9"/>
  <c r="C1266" i="9"/>
  <c r="B1266" i="9"/>
  <c r="P1265" i="9"/>
  <c r="O1265" i="9"/>
  <c r="N1265" i="9"/>
  <c r="M1265" i="9"/>
  <c r="L1265" i="9"/>
  <c r="K1265" i="9"/>
  <c r="J1265" i="9"/>
  <c r="I1265" i="9"/>
  <c r="H1265" i="9"/>
  <c r="G1265" i="9"/>
  <c r="F1265" i="9"/>
  <c r="E1265" i="9"/>
  <c r="D1265" i="9"/>
  <c r="C1265" i="9"/>
  <c r="B1265" i="9"/>
  <c r="P1264" i="9"/>
  <c r="O1264" i="9"/>
  <c r="N1264" i="9"/>
  <c r="M1264" i="9"/>
  <c r="L1264" i="9"/>
  <c r="K1264" i="9"/>
  <c r="J1264" i="9"/>
  <c r="I1264" i="9"/>
  <c r="H1264" i="9"/>
  <c r="G1264" i="9"/>
  <c r="F1264" i="9"/>
  <c r="E1264" i="9"/>
  <c r="D1264" i="9"/>
  <c r="C1264" i="9"/>
  <c r="B1264" i="9"/>
  <c r="P1263" i="9"/>
  <c r="O1263" i="9"/>
  <c r="N1263" i="9"/>
  <c r="M1263" i="9"/>
  <c r="L1263" i="9"/>
  <c r="K1263" i="9"/>
  <c r="J1263" i="9"/>
  <c r="I1263" i="9"/>
  <c r="H1263" i="9"/>
  <c r="G1263" i="9"/>
  <c r="F1263" i="9"/>
  <c r="E1263" i="9"/>
  <c r="D1263" i="9"/>
  <c r="C1263" i="9"/>
  <c r="B1263" i="9"/>
  <c r="P1262" i="9"/>
  <c r="O1262" i="9"/>
  <c r="N1262" i="9"/>
  <c r="M1262" i="9"/>
  <c r="L1262" i="9"/>
  <c r="K1262" i="9"/>
  <c r="J1262" i="9"/>
  <c r="I1262" i="9"/>
  <c r="H1262" i="9"/>
  <c r="G1262" i="9"/>
  <c r="F1262" i="9"/>
  <c r="E1262" i="9"/>
  <c r="D1262" i="9"/>
  <c r="C1262" i="9"/>
  <c r="B1262" i="9"/>
  <c r="P1261" i="9"/>
  <c r="O1261" i="9"/>
  <c r="N1261" i="9"/>
  <c r="M1261" i="9"/>
  <c r="L1261" i="9"/>
  <c r="K1261" i="9"/>
  <c r="J1261" i="9"/>
  <c r="I1261" i="9"/>
  <c r="H1261" i="9"/>
  <c r="G1261" i="9"/>
  <c r="F1261" i="9"/>
  <c r="E1261" i="9"/>
  <c r="D1261" i="9"/>
  <c r="C1261" i="9"/>
  <c r="B1261" i="9"/>
  <c r="P1260" i="9"/>
  <c r="O1260" i="9"/>
  <c r="N1260" i="9"/>
  <c r="M1260" i="9"/>
  <c r="L1260" i="9"/>
  <c r="K1260" i="9"/>
  <c r="J1260" i="9"/>
  <c r="I1260" i="9"/>
  <c r="H1260" i="9"/>
  <c r="G1260" i="9"/>
  <c r="F1260" i="9"/>
  <c r="E1260" i="9"/>
  <c r="D1260" i="9"/>
  <c r="C1260" i="9"/>
  <c r="B1260" i="9"/>
  <c r="P1259" i="9"/>
  <c r="O1259" i="9"/>
  <c r="N1259" i="9"/>
  <c r="M1259" i="9"/>
  <c r="L1259" i="9"/>
  <c r="K1259" i="9"/>
  <c r="J1259" i="9"/>
  <c r="I1259" i="9"/>
  <c r="H1259" i="9"/>
  <c r="G1259" i="9"/>
  <c r="F1259" i="9"/>
  <c r="E1259" i="9"/>
  <c r="D1259" i="9"/>
  <c r="C1259" i="9"/>
  <c r="B1259" i="9"/>
  <c r="P1258" i="9"/>
  <c r="O1258" i="9"/>
  <c r="N1258" i="9"/>
  <c r="M1258" i="9"/>
  <c r="L1258" i="9"/>
  <c r="K1258" i="9"/>
  <c r="J1258" i="9"/>
  <c r="I1258" i="9"/>
  <c r="H1258" i="9"/>
  <c r="G1258" i="9"/>
  <c r="F1258" i="9"/>
  <c r="E1258" i="9"/>
  <c r="D1258" i="9"/>
  <c r="C1258" i="9"/>
  <c r="B1258" i="9"/>
  <c r="P1257" i="9"/>
  <c r="O1257" i="9"/>
  <c r="N1257" i="9"/>
  <c r="M1257" i="9"/>
  <c r="L1257" i="9"/>
  <c r="K1257" i="9"/>
  <c r="J1257" i="9"/>
  <c r="I1257" i="9"/>
  <c r="H1257" i="9"/>
  <c r="G1257" i="9"/>
  <c r="F1257" i="9"/>
  <c r="E1257" i="9"/>
  <c r="D1257" i="9"/>
  <c r="C1257" i="9"/>
  <c r="B1257" i="9"/>
  <c r="P1256" i="9"/>
  <c r="O1256" i="9"/>
  <c r="N1256" i="9"/>
  <c r="M1256" i="9"/>
  <c r="L1256" i="9"/>
  <c r="K1256" i="9"/>
  <c r="J1256" i="9"/>
  <c r="I1256" i="9"/>
  <c r="H1256" i="9"/>
  <c r="G1256" i="9"/>
  <c r="F1256" i="9"/>
  <c r="E1256" i="9"/>
  <c r="D1256" i="9"/>
  <c r="C1256" i="9"/>
  <c r="B1256" i="9"/>
  <c r="P1255" i="9"/>
  <c r="O1255" i="9"/>
  <c r="N1255" i="9"/>
  <c r="M1255" i="9"/>
  <c r="L1255" i="9"/>
  <c r="K1255" i="9"/>
  <c r="J1255" i="9"/>
  <c r="I1255" i="9"/>
  <c r="H1255" i="9"/>
  <c r="G1255" i="9"/>
  <c r="F1255" i="9"/>
  <c r="E1255" i="9"/>
  <c r="D1255" i="9"/>
  <c r="C1255" i="9"/>
  <c r="B1255" i="9"/>
  <c r="P1254" i="9"/>
  <c r="O1254" i="9"/>
  <c r="N1254" i="9"/>
  <c r="M1254" i="9"/>
  <c r="L1254" i="9"/>
  <c r="K1254" i="9"/>
  <c r="J1254" i="9"/>
  <c r="I1254" i="9"/>
  <c r="H1254" i="9"/>
  <c r="G1254" i="9"/>
  <c r="F1254" i="9"/>
  <c r="E1254" i="9"/>
  <c r="D1254" i="9"/>
  <c r="C1254" i="9"/>
  <c r="B1254" i="9"/>
  <c r="P1253" i="9"/>
  <c r="O1253" i="9"/>
  <c r="N1253" i="9"/>
  <c r="M1253" i="9"/>
  <c r="L1253" i="9"/>
  <c r="K1253" i="9"/>
  <c r="J1253" i="9"/>
  <c r="I1253" i="9"/>
  <c r="H1253" i="9"/>
  <c r="G1253" i="9"/>
  <c r="F1253" i="9"/>
  <c r="E1253" i="9"/>
  <c r="D1253" i="9"/>
  <c r="C1253" i="9"/>
  <c r="B1253" i="9"/>
  <c r="P1252" i="9"/>
  <c r="O1252" i="9"/>
  <c r="N1252" i="9"/>
  <c r="M1252" i="9"/>
  <c r="L1252" i="9"/>
  <c r="K1252" i="9"/>
  <c r="J1252" i="9"/>
  <c r="I1252" i="9"/>
  <c r="H1252" i="9"/>
  <c r="G1252" i="9"/>
  <c r="F1252" i="9"/>
  <c r="E1252" i="9"/>
  <c r="D1252" i="9"/>
  <c r="C1252" i="9"/>
  <c r="B1252" i="9"/>
  <c r="P1251" i="9"/>
  <c r="O1251" i="9"/>
  <c r="N1251" i="9"/>
  <c r="M1251" i="9"/>
  <c r="L1251" i="9"/>
  <c r="K1251" i="9"/>
  <c r="J1251" i="9"/>
  <c r="I1251" i="9"/>
  <c r="H1251" i="9"/>
  <c r="G1251" i="9"/>
  <c r="F1251" i="9"/>
  <c r="E1251" i="9"/>
  <c r="D1251" i="9"/>
  <c r="C1251" i="9"/>
  <c r="B1251" i="9"/>
  <c r="P1250" i="9"/>
  <c r="O1250" i="9"/>
  <c r="N1250" i="9"/>
  <c r="M1250" i="9"/>
  <c r="L1250" i="9"/>
  <c r="K1250" i="9"/>
  <c r="J1250" i="9"/>
  <c r="I1250" i="9"/>
  <c r="H1250" i="9"/>
  <c r="G1250" i="9"/>
  <c r="F1250" i="9"/>
  <c r="E1250" i="9"/>
  <c r="D1250" i="9"/>
  <c r="C1250" i="9"/>
  <c r="B1250" i="9"/>
  <c r="P1249" i="9"/>
  <c r="O1249" i="9"/>
  <c r="N1249" i="9"/>
  <c r="M1249" i="9"/>
  <c r="L1249" i="9"/>
  <c r="K1249" i="9"/>
  <c r="J1249" i="9"/>
  <c r="I1249" i="9"/>
  <c r="H1249" i="9"/>
  <c r="G1249" i="9"/>
  <c r="F1249" i="9"/>
  <c r="E1249" i="9"/>
  <c r="D1249" i="9"/>
  <c r="C1249" i="9"/>
  <c r="B1249" i="9"/>
  <c r="P1248" i="9"/>
  <c r="O1248" i="9"/>
  <c r="N1248" i="9"/>
  <c r="M1248" i="9"/>
  <c r="L1248" i="9"/>
  <c r="K1248" i="9"/>
  <c r="J1248" i="9"/>
  <c r="I1248" i="9"/>
  <c r="H1248" i="9"/>
  <c r="G1248" i="9"/>
  <c r="F1248" i="9"/>
  <c r="E1248" i="9"/>
  <c r="D1248" i="9"/>
  <c r="C1248" i="9"/>
  <c r="B1248" i="9"/>
  <c r="P1247" i="9"/>
  <c r="O1247" i="9"/>
  <c r="N1247" i="9"/>
  <c r="M1247" i="9"/>
  <c r="L1247" i="9"/>
  <c r="K1247" i="9"/>
  <c r="J1247" i="9"/>
  <c r="I1247" i="9"/>
  <c r="H1247" i="9"/>
  <c r="G1247" i="9"/>
  <c r="F1247" i="9"/>
  <c r="E1247" i="9"/>
  <c r="D1247" i="9"/>
  <c r="C1247" i="9"/>
  <c r="B1247" i="9"/>
  <c r="P1246" i="9"/>
  <c r="O1246" i="9"/>
  <c r="N1246" i="9"/>
  <c r="M1246" i="9"/>
  <c r="L1246" i="9"/>
  <c r="K1246" i="9"/>
  <c r="J1246" i="9"/>
  <c r="I1246" i="9"/>
  <c r="H1246" i="9"/>
  <c r="G1246" i="9"/>
  <c r="F1246" i="9"/>
  <c r="E1246" i="9"/>
  <c r="D1246" i="9"/>
  <c r="C1246" i="9"/>
  <c r="B1246" i="9"/>
  <c r="P1245" i="9"/>
  <c r="O1245" i="9"/>
  <c r="N1245" i="9"/>
  <c r="M1245" i="9"/>
  <c r="L1245" i="9"/>
  <c r="K1245" i="9"/>
  <c r="J1245" i="9"/>
  <c r="I1245" i="9"/>
  <c r="H1245" i="9"/>
  <c r="G1245" i="9"/>
  <c r="F1245" i="9"/>
  <c r="E1245" i="9"/>
  <c r="D1245" i="9"/>
  <c r="C1245" i="9"/>
  <c r="B1245" i="9"/>
  <c r="P1244" i="9"/>
  <c r="O1244" i="9"/>
  <c r="N1244" i="9"/>
  <c r="M1244" i="9"/>
  <c r="L1244" i="9"/>
  <c r="K1244" i="9"/>
  <c r="J1244" i="9"/>
  <c r="I1244" i="9"/>
  <c r="H1244" i="9"/>
  <c r="G1244" i="9"/>
  <c r="F1244" i="9"/>
  <c r="E1244" i="9"/>
  <c r="D1244" i="9"/>
  <c r="C1244" i="9"/>
  <c r="B1244" i="9"/>
  <c r="P1243" i="9"/>
  <c r="O1243" i="9"/>
  <c r="N1243" i="9"/>
  <c r="M1243" i="9"/>
  <c r="L1243" i="9"/>
  <c r="K1243" i="9"/>
  <c r="J1243" i="9"/>
  <c r="I1243" i="9"/>
  <c r="H1243" i="9"/>
  <c r="G1243" i="9"/>
  <c r="F1243" i="9"/>
  <c r="E1243" i="9"/>
  <c r="D1243" i="9"/>
  <c r="C1243" i="9"/>
  <c r="B1243" i="9"/>
  <c r="P1242" i="9"/>
  <c r="O1242" i="9"/>
  <c r="N1242" i="9"/>
  <c r="M1242" i="9"/>
  <c r="L1242" i="9"/>
  <c r="K1242" i="9"/>
  <c r="J1242" i="9"/>
  <c r="I1242" i="9"/>
  <c r="H1242" i="9"/>
  <c r="G1242" i="9"/>
  <c r="F1242" i="9"/>
  <c r="E1242" i="9"/>
  <c r="D1242" i="9"/>
  <c r="C1242" i="9"/>
  <c r="B1242" i="9"/>
  <c r="P1241" i="9"/>
  <c r="O1241" i="9"/>
  <c r="N1241" i="9"/>
  <c r="M1241" i="9"/>
  <c r="L1241" i="9"/>
  <c r="K1241" i="9"/>
  <c r="J1241" i="9"/>
  <c r="I1241" i="9"/>
  <c r="H1241" i="9"/>
  <c r="G1241" i="9"/>
  <c r="F1241" i="9"/>
  <c r="E1241" i="9"/>
  <c r="D1241" i="9"/>
  <c r="C1241" i="9"/>
  <c r="B1241" i="9"/>
  <c r="P1240" i="9"/>
  <c r="O1240" i="9"/>
  <c r="N1240" i="9"/>
  <c r="M1240" i="9"/>
  <c r="L1240" i="9"/>
  <c r="K1240" i="9"/>
  <c r="J1240" i="9"/>
  <c r="I1240" i="9"/>
  <c r="H1240" i="9"/>
  <c r="G1240" i="9"/>
  <c r="F1240" i="9"/>
  <c r="E1240" i="9"/>
  <c r="D1240" i="9"/>
  <c r="C1240" i="9"/>
  <c r="B1240" i="9"/>
  <c r="P1239" i="9"/>
  <c r="O1239" i="9"/>
  <c r="N1239" i="9"/>
  <c r="M1239" i="9"/>
  <c r="L1239" i="9"/>
  <c r="K1239" i="9"/>
  <c r="J1239" i="9"/>
  <c r="I1239" i="9"/>
  <c r="H1239" i="9"/>
  <c r="G1239" i="9"/>
  <c r="F1239" i="9"/>
  <c r="E1239" i="9"/>
  <c r="D1239" i="9"/>
  <c r="C1239" i="9"/>
  <c r="B1239" i="9"/>
  <c r="P1238" i="9"/>
  <c r="O1238" i="9"/>
  <c r="N1238" i="9"/>
  <c r="M1238" i="9"/>
  <c r="L1238" i="9"/>
  <c r="K1238" i="9"/>
  <c r="J1238" i="9"/>
  <c r="I1238" i="9"/>
  <c r="H1238" i="9"/>
  <c r="G1238" i="9"/>
  <c r="F1238" i="9"/>
  <c r="E1238" i="9"/>
  <c r="D1238" i="9"/>
  <c r="C1238" i="9"/>
  <c r="B1238" i="9"/>
  <c r="P1237" i="9"/>
  <c r="O1237" i="9"/>
  <c r="N1237" i="9"/>
  <c r="M1237" i="9"/>
  <c r="L1237" i="9"/>
  <c r="K1237" i="9"/>
  <c r="J1237" i="9"/>
  <c r="I1237" i="9"/>
  <c r="H1237" i="9"/>
  <c r="G1237" i="9"/>
  <c r="F1237" i="9"/>
  <c r="E1237" i="9"/>
  <c r="D1237" i="9"/>
  <c r="C1237" i="9"/>
  <c r="B1237" i="9"/>
  <c r="P1236" i="9"/>
  <c r="O1236" i="9"/>
  <c r="N1236" i="9"/>
  <c r="M1236" i="9"/>
  <c r="L1236" i="9"/>
  <c r="K1236" i="9"/>
  <c r="J1236" i="9"/>
  <c r="I1236" i="9"/>
  <c r="H1236" i="9"/>
  <c r="G1236" i="9"/>
  <c r="F1236" i="9"/>
  <c r="E1236" i="9"/>
  <c r="D1236" i="9"/>
  <c r="C1236" i="9"/>
  <c r="B1236" i="9"/>
  <c r="P1235" i="9"/>
  <c r="O1235" i="9"/>
  <c r="N1235" i="9"/>
  <c r="M1235" i="9"/>
  <c r="L1235" i="9"/>
  <c r="K1235" i="9"/>
  <c r="J1235" i="9"/>
  <c r="I1235" i="9"/>
  <c r="H1235" i="9"/>
  <c r="G1235" i="9"/>
  <c r="F1235" i="9"/>
  <c r="E1235" i="9"/>
  <c r="D1235" i="9"/>
  <c r="C1235" i="9"/>
  <c r="B1235" i="9"/>
  <c r="P1234" i="9"/>
  <c r="O1234" i="9"/>
  <c r="N1234" i="9"/>
  <c r="M1234" i="9"/>
  <c r="L1234" i="9"/>
  <c r="K1234" i="9"/>
  <c r="J1234" i="9"/>
  <c r="I1234" i="9"/>
  <c r="H1234" i="9"/>
  <c r="G1234" i="9"/>
  <c r="F1234" i="9"/>
  <c r="E1234" i="9"/>
  <c r="D1234" i="9"/>
  <c r="C1234" i="9"/>
  <c r="B1234" i="9"/>
  <c r="P1233" i="9"/>
  <c r="O1233" i="9"/>
  <c r="N1233" i="9"/>
  <c r="M1233" i="9"/>
  <c r="L1233" i="9"/>
  <c r="K1233" i="9"/>
  <c r="J1233" i="9"/>
  <c r="I1233" i="9"/>
  <c r="H1233" i="9"/>
  <c r="G1233" i="9"/>
  <c r="F1233" i="9"/>
  <c r="E1233" i="9"/>
  <c r="D1233" i="9"/>
  <c r="C1233" i="9"/>
  <c r="B1233" i="9"/>
  <c r="P1232" i="9"/>
  <c r="O1232" i="9"/>
  <c r="N1232" i="9"/>
  <c r="M1232" i="9"/>
  <c r="L1232" i="9"/>
  <c r="K1232" i="9"/>
  <c r="J1232" i="9"/>
  <c r="I1232" i="9"/>
  <c r="H1232" i="9"/>
  <c r="G1232" i="9"/>
  <c r="F1232" i="9"/>
  <c r="E1232" i="9"/>
  <c r="D1232" i="9"/>
  <c r="C1232" i="9"/>
  <c r="B1232" i="9"/>
  <c r="P1231" i="9"/>
  <c r="O1231" i="9"/>
  <c r="N1231" i="9"/>
  <c r="M1231" i="9"/>
  <c r="L1231" i="9"/>
  <c r="K1231" i="9"/>
  <c r="J1231" i="9"/>
  <c r="I1231" i="9"/>
  <c r="H1231" i="9"/>
  <c r="G1231" i="9"/>
  <c r="F1231" i="9"/>
  <c r="E1231" i="9"/>
  <c r="D1231" i="9"/>
  <c r="C1231" i="9"/>
  <c r="B1231" i="9"/>
  <c r="P1230" i="9"/>
  <c r="O1230" i="9"/>
  <c r="N1230" i="9"/>
  <c r="M1230" i="9"/>
  <c r="L1230" i="9"/>
  <c r="K1230" i="9"/>
  <c r="J1230" i="9"/>
  <c r="I1230" i="9"/>
  <c r="H1230" i="9"/>
  <c r="G1230" i="9"/>
  <c r="F1230" i="9"/>
  <c r="E1230" i="9"/>
  <c r="D1230" i="9"/>
  <c r="C1230" i="9"/>
  <c r="B1230" i="9"/>
  <c r="P1229" i="9"/>
  <c r="O1229" i="9"/>
  <c r="N1229" i="9"/>
  <c r="M1229" i="9"/>
  <c r="L1229" i="9"/>
  <c r="K1229" i="9"/>
  <c r="J1229" i="9"/>
  <c r="I1229" i="9"/>
  <c r="H1229" i="9"/>
  <c r="G1229" i="9"/>
  <c r="F1229" i="9"/>
  <c r="E1229" i="9"/>
  <c r="D1229" i="9"/>
  <c r="C1229" i="9"/>
  <c r="B1229" i="9"/>
  <c r="P1228" i="9"/>
  <c r="O1228" i="9"/>
  <c r="N1228" i="9"/>
  <c r="M1228" i="9"/>
  <c r="L1228" i="9"/>
  <c r="K1228" i="9"/>
  <c r="J1228" i="9"/>
  <c r="I1228" i="9"/>
  <c r="H1228" i="9"/>
  <c r="G1228" i="9"/>
  <c r="F1228" i="9"/>
  <c r="E1228" i="9"/>
  <c r="D1228" i="9"/>
  <c r="C1228" i="9"/>
  <c r="B1228" i="9"/>
  <c r="P1227" i="9"/>
  <c r="O1227" i="9"/>
  <c r="N1227" i="9"/>
  <c r="M1227" i="9"/>
  <c r="L1227" i="9"/>
  <c r="K1227" i="9"/>
  <c r="J1227" i="9"/>
  <c r="I1227" i="9"/>
  <c r="H1227" i="9"/>
  <c r="G1227" i="9"/>
  <c r="F1227" i="9"/>
  <c r="E1227" i="9"/>
  <c r="D1227" i="9"/>
  <c r="C1227" i="9"/>
  <c r="B1227" i="9"/>
  <c r="P1226" i="9"/>
  <c r="O1226" i="9"/>
  <c r="N1226" i="9"/>
  <c r="M1226" i="9"/>
  <c r="L1226" i="9"/>
  <c r="K1226" i="9"/>
  <c r="J1226" i="9"/>
  <c r="I1226" i="9"/>
  <c r="H1226" i="9"/>
  <c r="G1226" i="9"/>
  <c r="F1226" i="9"/>
  <c r="E1226" i="9"/>
  <c r="D1226" i="9"/>
  <c r="C1226" i="9"/>
  <c r="B1226" i="9"/>
  <c r="P1225" i="9"/>
  <c r="O1225" i="9"/>
  <c r="N1225" i="9"/>
  <c r="M1225" i="9"/>
  <c r="L1225" i="9"/>
  <c r="K1225" i="9"/>
  <c r="J1225" i="9"/>
  <c r="I1225" i="9"/>
  <c r="H1225" i="9"/>
  <c r="G1225" i="9"/>
  <c r="F1225" i="9"/>
  <c r="E1225" i="9"/>
  <c r="D1225" i="9"/>
  <c r="C1225" i="9"/>
  <c r="B1225" i="9"/>
  <c r="P1224" i="9"/>
  <c r="O1224" i="9"/>
  <c r="N1224" i="9"/>
  <c r="M1224" i="9"/>
  <c r="L1224" i="9"/>
  <c r="K1224" i="9"/>
  <c r="J1224" i="9"/>
  <c r="I1224" i="9"/>
  <c r="H1224" i="9"/>
  <c r="G1224" i="9"/>
  <c r="F1224" i="9"/>
  <c r="E1224" i="9"/>
  <c r="D1224" i="9"/>
  <c r="C1224" i="9"/>
  <c r="B1224" i="9"/>
  <c r="P1223" i="9"/>
  <c r="O1223" i="9"/>
  <c r="N1223" i="9"/>
  <c r="M1223" i="9"/>
  <c r="L1223" i="9"/>
  <c r="K1223" i="9"/>
  <c r="J1223" i="9"/>
  <c r="I1223" i="9"/>
  <c r="H1223" i="9"/>
  <c r="G1223" i="9"/>
  <c r="F1223" i="9"/>
  <c r="E1223" i="9"/>
  <c r="D1223" i="9"/>
  <c r="C1223" i="9"/>
  <c r="B1223" i="9"/>
  <c r="P1222" i="9"/>
  <c r="O1222" i="9"/>
  <c r="N1222" i="9"/>
  <c r="M1222" i="9"/>
  <c r="L1222" i="9"/>
  <c r="K1222" i="9"/>
  <c r="J1222" i="9"/>
  <c r="I1222" i="9"/>
  <c r="H1222" i="9"/>
  <c r="G1222" i="9"/>
  <c r="F1222" i="9"/>
  <c r="E1222" i="9"/>
  <c r="D1222" i="9"/>
  <c r="C1222" i="9"/>
  <c r="B1222" i="9"/>
  <c r="P1221" i="9"/>
  <c r="O1221" i="9"/>
  <c r="N1221" i="9"/>
  <c r="M1221" i="9"/>
  <c r="L1221" i="9"/>
  <c r="K1221" i="9"/>
  <c r="J1221" i="9"/>
  <c r="I1221" i="9"/>
  <c r="H1221" i="9"/>
  <c r="G1221" i="9"/>
  <c r="F1221" i="9"/>
  <c r="E1221" i="9"/>
  <c r="D1221" i="9"/>
  <c r="C1221" i="9"/>
  <c r="B1221" i="9"/>
  <c r="P1220" i="9"/>
  <c r="O1220" i="9"/>
  <c r="N1220" i="9"/>
  <c r="M1220" i="9"/>
  <c r="L1220" i="9"/>
  <c r="K1220" i="9"/>
  <c r="J1220" i="9"/>
  <c r="I1220" i="9"/>
  <c r="H1220" i="9"/>
  <c r="G1220" i="9"/>
  <c r="F1220" i="9"/>
  <c r="E1220" i="9"/>
  <c r="D1220" i="9"/>
  <c r="C1220" i="9"/>
  <c r="B1220" i="9"/>
  <c r="P1219" i="9"/>
  <c r="O1219" i="9"/>
  <c r="N1219" i="9"/>
  <c r="M1219" i="9"/>
  <c r="L1219" i="9"/>
  <c r="K1219" i="9"/>
  <c r="J1219" i="9"/>
  <c r="I1219" i="9"/>
  <c r="H1219" i="9"/>
  <c r="G1219" i="9"/>
  <c r="F1219" i="9"/>
  <c r="E1219" i="9"/>
  <c r="D1219" i="9"/>
  <c r="C1219" i="9"/>
  <c r="B1219" i="9"/>
  <c r="P1218" i="9"/>
  <c r="O1218" i="9"/>
  <c r="N1218" i="9"/>
  <c r="M1218" i="9"/>
  <c r="L1218" i="9"/>
  <c r="K1218" i="9"/>
  <c r="J1218" i="9"/>
  <c r="I1218" i="9"/>
  <c r="H1218" i="9"/>
  <c r="G1218" i="9"/>
  <c r="F1218" i="9"/>
  <c r="E1218" i="9"/>
  <c r="D1218" i="9"/>
  <c r="C1218" i="9"/>
  <c r="B1218" i="9"/>
  <c r="P1217" i="9"/>
  <c r="O1217" i="9"/>
  <c r="N1217" i="9"/>
  <c r="M1217" i="9"/>
  <c r="L1217" i="9"/>
  <c r="K1217" i="9"/>
  <c r="J1217" i="9"/>
  <c r="I1217" i="9"/>
  <c r="H1217" i="9"/>
  <c r="G1217" i="9"/>
  <c r="F1217" i="9"/>
  <c r="E1217" i="9"/>
  <c r="D1217" i="9"/>
  <c r="C1217" i="9"/>
  <c r="B1217" i="9"/>
  <c r="P1216" i="9"/>
  <c r="O1216" i="9"/>
  <c r="N1216" i="9"/>
  <c r="M1216" i="9"/>
  <c r="L1216" i="9"/>
  <c r="K1216" i="9"/>
  <c r="J1216" i="9"/>
  <c r="I1216" i="9"/>
  <c r="H1216" i="9"/>
  <c r="G1216" i="9"/>
  <c r="F1216" i="9"/>
  <c r="E1216" i="9"/>
  <c r="D1216" i="9"/>
  <c r="C1216" i="9"/>
  <c r="B1216" i="9"/>
  <c r="P1215" i="9"/>
  <c r="O1215" i="9"/>
  <c r="N1215" i="9"/>
  <c r="M1215" i="9"/>
  <c r="L1215" i="9"/>
  <c r="K1215" i="9"/>
  <c r="J1215" i="9"/>
  <c r="I1215" i="9"/>
  <c r="H1215" i="9"/>
  <c r="G1215" i="9"/>
  <c r="F1215" i="9"/>
  <c r="E1215" i="9"/>
  <c r="D1215" i="9"/>
  <c r="C1215" i="9"/>
  <c r="B1215" i="9"/>
  <c r="P1214" i="9"/>
  <c r="O1214" i="9"/>
  <c r="N1214" i="9"/>
  <c r="M1214" i="9"/>
  <c r="L1214" i="9"/>
  <c r="K1214" i="9"/>
  <c r="J1214" i="9"/>
  <c r="I1214" i="9"/>
  <c r="H1214" i="9"/>
  <c r="G1214" i="9"/>
  <c r="F1214" i="9"/>
  <c r="E1214" i="9"/>
  <c r="D1214" i="9"/>
  <c r="C1214" i="9"/>
  <c r="B1214" i="9"/>
  <c r="P1213" i="9"/>
  <c r="O1213" i="9"/>
  <c r="N1213" i="9"/>
  <c r="M1213" i="9"/>
  <c r="L1213" i="9"/>
  <c r="K1213" i="9"/>
  <c r="J1213" i="9"/>
  <c r="I1213" i="9"/>
  <c r="H1213" i="9"/>
  <c r="G1213" i="9"/>
  <c r="F1213" i="9"/>
  <c r="E1213" i="9"/>
  <c r="D1213" i="9"/>
  <c r="C1213" i="9"/>
  <c r="B1213" i="9"/>
  <c r="P1212" i="9"/>
  <c r="O1212" i="9"/>
  <c r="N1212" i="9"/>
  <c r="M1212" i="9"/>
  <c r="L1212" i="9"/>
  <c r="K1212" i="9"/>
  <c r="J1212" i="9"/>
  <c r="I1212" i="9"/>
  <c r="H1212" i="9"/>
  <c r="G1212" i="9"/>
  <c r="F1212" i="9"/>
  <c r="E1212" i="9"/>
  <c r="D1212" i="9"/>
  <c r="C1212" i="9"/>
  <c r="B1212" i="9"/>
  <c r="P1211" i="9"/>
  <c r="O1211" i="9"/>
  <c r="N1211" i="9"/>
  <c r="M1211" i="9"/>
  <c r="L1211" i="9"/>
  <c r="K1211" i="9"/>
  <c r="J1211" i="9"/>
  <c r="I1211" i="9"/>
  <c r="H1211" i="9"/>
  <c r="G1211" i="9"/>
  <c r="F1211" i="9"/>
  <c r="E1211" i="9"/>
  <c r="D1211" i="9"/>
  <c r="C1211" i="9"/>
  <c r="B1211" i="9"/>
  <c r="P1210" i="9"/>
  <c r="O1210" i="9"/>
  <c r="N1210" i="9"/>
  <c r="M1210" i="9"/>
  <c r="L1210" i="9"/>
  <c r="K1210" i="9"/>
  <c r="J1210" i="9"/>
  <c r="I1210" i="9"/>
  <c r="H1210" i="9"/>
  <c r="G1210" i="9"/>
  <c r="F1210" i="9"/>
  <c r="E1210" i="9"/>
  <c r="D1210" i="9"/>
  <c r="C1210" i="9"/>
  <c r="B1210" i="9"/>
  <c r="P1209" i="9"/>
  <c r="O1209" i="9"/>
  <c r="N1209" i="9"/>
  <c r="M1209" i="9"/>
  <c r="L1209" i="9"/>
  <c r="K1209" i="9"/>
  <c r="J1209" i="9"/>
  <c r="I1209" i="9"/>
  <c r="H1209" i="9"/>
  <c r="G1209" i="9"/>
  <c r="F1209" i="9"/>
  <c r="E1209" i="9"/>
  <c r="D1209" i="9"/>
  <c r="C1209" i="9"/>
  <c r="B1209" i="9"/>
  <c r="P1208" i="9"/>
  <c r="O1208" i="9"/>
  <c r="N1208" i="9"/>
  <c r="M1208" i="9"/>
  <c r="L1208" i="9"/>
  <c r="K1208" i="9"/>
  <c r="J1208" i="9"/>
  <c r="I1208" i="9"/>
  <c r="H1208" i="9"/>
  <c r="G1208" i="9"/>
  <c r="F1208" i="9"/>
  <c r="E1208" i="9"/>
  <c r="D1208" i="9"/>
  <c r="C1208" i="9"/>
  <c r="B1208" i="9"/>
  <c r="P1207" i="9"/>
  <c r="O1207" i="9"/>
  <c r="N1207" i="9"/>
  <c r="M1207" i="9"/>
  <c r="L1207" i="9"/>
  <c r="K1207" i="9"/>
  <c r="J1207" i="9"/>
  <c r="I1207" i="9"/>
  <c r="H1207" i="9"/>
  <c r="G1207" i="9"/>
  <c r="F1207" i="9"/>
  <c r="E1207" i="9"/>
  <c r="D1207" i="9"/>
  <c r="C1207" i="9"/>
  <c r="B1207" i="9"/>
  <c r="P1206" i="9"/>
  <c r="O1206" i="9"/>
  <c r="N1206" i="9"/>
  <c r="M1206" i="9"/>
  <c r="L1206" i="9"/>
  <c r="K1206" i="9"/>
  <c r="J1206" i="9"/>
  <c r="I1206" i="9"/>
  <c r="H1206" i="9"/>
  <c r="G1206" i="9"/>
  <c r="F1206" i="9"/>
  <c r="E1206" i="9"/>
  <c r="D1206" i="9"/>
  <c r="C1206" i="9"/>
  <c r="B1206" i="9"/>
  <c r="P1205" i="9"/>
  <c r="O1205" i="9"/>
  <c r="N1205" i="9"/>
  <c r="M1205" i="9"/>
  <c r="L1205" i="9"/>
  <c r="K1205" i="9"/>
  <c r="J1205" i="9"/>
  <c r="I1205" i="9"/>
  <c r="H1205" i="9"/>
  <c r="G1205" i="9"/>
  <c r="F1205" i="9"/>
  <c r="E1205" i="9"/>
  <c r="D1205" i="9"/>
  <c r="C1205" i="9"/>
  <c r="B1205" i="9"/>
  <c r="P1204" i="9"/>
  <c r="O1204" i="9"/>
  <c r="N1204" i="9"/>
  <c r="M1204" i="9"/>
  <c r="L1204" i="9"/>
  <c r="K1204" i="9"/>
  <c r="J1204" i="9"/>
  <c r="I1204" i="9"/>
  <c r="H1204" i="9"/>
  <c r="G1204" i="9"/>
  <c r="F1204" i="9"/>
  <c r="E1204" i="9"/>
  <c r="D1204" i="9"/>
  <c r="C1204" i="9"/>
  <c r="B1204" i="9"/>
  <c r="P1203" i="9"/>
  <c r="O1203" i="9"/>
  <c r="N1203" i="9"/>
  <c r="M1203" i="9"/>
  <c r="L1203" i="9"/>
  <c r="K1203" i="9"/>
  <c r="J1203" i="9"/>
  <c r="I1203" i="9"/>
  <c r="H1203" i="9"/>
  <c r="G1203" i="9"/>
  <c r="F1203" i="9"/>
  <c r="E1203" i="9"/>
  <c r="D1203" i="9"/>
  <c r="C1203" i="9"/>
  <c r="B1203" i="9"/>
  <c r="P1202" i="9"/>
  <c r="O1202" i="9"/>
  <c r="N1202" i="9"/>
  <c r="M1202" i="9"/>
  <c r="L1202" i="9"/>
  <c r="K1202" i="9"/>
  <c r="J1202" i="9"/>
  <c r="I1202" i="9"/>
  <c r="H1202" i="9"/>
  <c r="G1202" i="9"/>
  <c r="F1202" i="9"/>
  <c r="E1202" i="9"/>
  <c r="D1202" i="9"/>
  <c r="C1202" i="9"/>
  <c r="B1202" i="9"/>
  <c r="P1201" i="9"/>
  <c r="O1201" i="9"/>
  <c r="N1201" i="9"/>
  <c r="M1201" i="9"/>
  <c r="L1201" i="9"/>
  <c r="K1201" i="9"/>
  <c r="J1201" i="9"/>
  <c r="I1201" i="9"/>
  <c r="H1201" i="9"/>
  <c r="G1201" i="9"/>
  <c r="F1201" i="9"/>
  <c r="E1201" i="9"/>
  <c r="D1201" i="9"/>
  <c r="C1201" i="9"/>
  <c r="B1201" i="9"/>
  <c r="P1200" i="9"/>
  <c r="O1200" i="9"/>
  <c r="N1200" i="9"/>
  <c r="M1200" i="9"/>
  <c r="L1200" i="9"/>
  <c r="K1200" i="9"/>
  <c r="J1200" i="9"/>
  <c r="I1200" i="9"/>
  <c r="H1200" i="9"/>
  <c r="G1200" i="9"/>
  <c r="F1200" i="9"/>
  <c r="E1200" i="9"/>
  <c r="D1200" i="9"/>
  <c r="C1200" i="9"/>
  <c r="B1200" i="9"/>
  <c r="P1199" i="9"/>
  <c r="O1199" i="9"/>
  <c r="N1199" i="9"/>
  <c r="M1199" i="9"/>
  <c r="L1199" i="9"/>
  <c r="K1199" i="9"/>
  <c r="J1199" i="9"/>
  <c r="I1199" i="9"/>
  <c r="H1199" i="9"/>
  <c r="G1199" i="9"/>
  <c r="F1199" i="9"/>
  <c r="E1199" i="9"/>
  <c r="D1199" i="9"/>
  <c r="C1199" i="9"/>
  <c r="B1199" i="9"/>
  <c r="P1198" i="9"/>
  <c r="O1198" i="9"/>
  <c r="N1198" i="9"/>
  <c r="M1198" i="9"/>
  <c r="L1198" i="9"/>
  <c r="K1198" i="9"/>
  <c r="J1198" i="9"/>
  <c r="I1198" i="9"/>
  <c r="H1198" i="9"/>
  <c r="G1198" i="9"/>
  <c r="F1198" i="9"/>
  <c r="E1198" i="9"/>
  <c r="D1198" i="9"/>
  <c r="C1198" i="9"/>
  <c r="B1198" i="9"/>
  <c r="P1197" i="9"/>
  <c r="O1197" i="9"/>
  <c r="N1197" i="9"/>
  <c r="M1197" i="9"/>
  <c r="L1197" i="9"/>
  <c r="K1197" i="9"/>
  <c r="J1197" i="9"/>
  <c r="I1197" i="9"/>
  <c r="H1197" i="9"/>
  <c r="G1197" i="9"/>
  <c r="F1197" i="9"/>
  <c r="E1197" i="9"/>
  <c r="D1197" i="9"/>
  <c r="C1197" i="9"/>
  <c r="B1197" i="9"/>
  <c r="P1196" i="9"/>
  <c r="O1196" i="9"/>
  <c r="N1196" i="9"/>
  <c r="M1196" i="9"/>
  <c r="L1196" i="9"/>
  <c r="K1196" i="9"/>
  <c r="J1196" i="9"/>
  <c r="I1196" i="9"/>
  <c r="H1196" i="9"/>
  <c r="G1196" i="9"/>
  <c r="F1196" i="9"/>
  <c r="E1196" i="9"/>
  <c r="D1196" i="9"/>
  <c r="C1196" i="9"/>
  <c r="B1196" i="9"/>
  <c r="P1195" i="9"/>
  <c r="O1195" i="9"/>
  <c r="N1195" i="9"/>
  <c r="M1195" i="9"/>
  <c r="L1195" i="9"/>
  <c r="K1195" i="9"/>
  <c r="J1195" i="9"/>
  <c r="I1195" i="9"/>
  <c r="H1195" i="9"/>
  <c r="G1195" i="9"/>
  <c r="F1195" i="9"/>
  <c r="E1195" i="9"/>
  <c r="D1195" i="9"/>
  <c r="C1195" i="9"/>
  <c r="B1195" i="9"/>
  <c r="P1194" i="9"/>
  <c r="O1194" i="9"/>
  <c r="N1194" i="9"/>
  <c r="M1194" i="9"/>
  <c r="L1194" i="9"/>
  <c r="K1194" i="9"/>
  <c r="J1194" i="9"/>
  <c r="I1194" i="9"/>
  <c r="H1194" i="9"/>
  <c r="G1194" i="9"/>
  <c r="F1194" i="9"/>
  <c r="E1194" i="9"/>
  <c r="D1194" i="9"/>
  <c r="C1194" i="9"/>
  <c r="B1194" i="9"/>
  <c r="P1193" i="9"/>
  <c r="O1193" i="9"/>
  <c r="N1193" i="9"/>
  <c r="M1193" i="9"/>
  <c r="L1193" i="9"/>
  <c r="K1193" i="9"/>
  <c r="J1193" i="9"/>
  <c r="I1193" i="9"/>
  <c r="H1193" i="9"/>
  <c r="G1193" i="9"/>
  <c r="F1193" i="9"/>
  <c r="E1193" i="9"/>
  <c r="D1193" i="9"/>
  <c r="C1193" i="9"/>
  <c r="B1193" i="9"/>
  <c r="P1192" i="9"/>
  <c r="O1192" i="9"/>
  <c r="N1192" i="9"/>
  <c r="M1192" i="9"/>
  <c r="L1192" i="9"/>
  <c r="K1192" i="9"/>
  <c r="J1192" i="9"/>
  <c r="I1192" i="9"/>
  <c r="H1192" i="9"/>
  <c r="G1192" i="9"/>
  <c r="F1192" i="9"/>
  <c r="E1192" i="9"/>
  <c r="D1192" i="9"/>
  <c r="C1192" i="9"/>
  <c r="B1192" i="9"/>
  <c r="P1191" i="9"/>
  <c r="O1191" i="9"/>
  <c r="N1191" i="9"/>
  <c r="M1191" i="9"/>
  <c r="L1191" i="9"/>
  <c r="K1191" i="9"/>
  <c r="J1191" i="9"/>
  <c r="I1191" i="9"/>
  <c r="H1191" i="9"/>
  <c r="G1191" i="9"/>
  <c r="F1191" i="9"/>
  <c r="E1191" i="9"/>
  <c r="D1191" i="9"/>
  <c r="C1191" i="9"/>
  <c r="B1191" i="9"/>
  <c r="P1190" i="9"/>
  <c r="O1190" i="9"/>
  <c r="N1190" i="9"/>
  <c r="M1190" i="9"/>
  <c r="L1190" i="9"/>
  <c r="K1190" i="9"/>
  <c r="J1190" i="9"/>
  <c r="I1190" i="9"/>
  <c r="H1190" i="9"/>
  <c r="G1190" i="9"/>
  <c r="F1190" i="9"/>
  <c r="E1190" i="9"/>
  <c r="D1190" i="9"/>
  <c r="C1190" i="9"/>
  <c r="B1190" i="9"/>
  <c r="P1189" i="9"/>
  <c r="O1189" i="9"/>
  <c r="N1189" i="9"/>
  <c r="M1189" i="9"/>
  <c r="L1189" i="9"/>
  <c r="K1189" i="9"/>
  <c r="J1189" i="9"/>
  <c r="I1189" i="9"/>
  <c r="H1189" i="9"/>
  <c r="G1189" i="9"/>
  <c r="F1189" i="9"/>
  <c r="E1189" i="9"/>
  <c r="D1189" i="9"/>
  <c r="C1189" i="9"/>
  <c r="B1189" i="9"/>
  <c r="P1188" i="9"/>
  <c r="O1188" i="9"/>
  <c r="N1188" i="9"/>
  <c r="M1188" i="9"/>
  <c r="L1188" i="9"/>
  <c r="K1188" i="9"/>
  <c r="J1188" i="9"/>
  <c r="I1188" i="9"/>
  <c r="H1188" i="9"/>
  <c r="G1188" i="9"/>
  <c r="F1188" i="9"/>
  <c r="E1188" i="9"/>
  <c r="D1188" i="9"/>
  <c r="C1188" i="9"/>
  <c r="B1188" i="9"/>
  <c r="P1187" i="9"/>
  <c r="O1187" i="9"/>
  <c r="N1187" i="9"/>
  <c r="M1187" i="9"/>
  <c r="L1187" i="9"/>
  <c r="K1187" i="9"/>
  <c r="J1187" i="9"/>
  <c r="I1187" i="9"/>
  <c r="H1187" i="9"/>
  <c r="G1187" i="9"/>
  <c r="F1187" i="9"/>
  <c r="E1187" i="9"/>
  <c r="D1187" i="9"/>
  <c r="C1187" i="9"/>
  <c r="B1187" i="9"/>
  <c r="P1186" i="9"/>
  <c r="O1186" i="9"/>
  <c r="N1186" i="9"/>
  <c r="M1186" i="9"/>
  <c r="L1186" i="9"/>
  <c r="K1186" i="9"/>
  <c r="J1186" i="9"/>
  <c r="I1186" i="9"/>
  <c r="H1186" i="9"/>
  <c r="G1186" i="9"/>
  <c r="F1186" i="9"/>
  <c r="E1186" i="9"/>
  <c r="D1186" i="9"/>
  <c r="C1186" i="9"/>
  <c r="B1186" i="9"/>
  <c r="P1185" i="9"/>
  <c r="O1185" i="9"/>
  <c r="N1185" i="9"/>
  <c r="M1185" i="9"/>
  <c r="L1185" i="9"/>
  <c r="K1185" i="9"/>
  <c r="J1185" i="9"/>
  <c r="I1185" i="9"/>
  <c r="H1185" i="9"/>
  <c r="G1185" i="9"/>
  <c r="F1185" i="9"/>
  <c r="E1185" i="9"/>
  <c r="D1185" i="9"/>
  <c r="C1185" i="9"/>
  <c r="B1185" i="9"/>
  <c r="P1184" i="9"/>
  <c r="O1184" i="9"/>
  <c r="N1184" i="9"/>
  <c r="M1184" i="9"/>
  <c r="L1184" i="9"/>
  <c r="K1184" i="9"/>
  <c r="J1184" i="9"/>
  <c r="I1184" i="9"/>
  <c r="H1184" i="9"/>
  <c r="G1184" i="9"/>
  <c r="F1184" i="9"/>
  <c r="E1184" i="9"/>
  <c r="D1184" i="9"/>
  <c r="C1184" i="9"/>
  <c r="B1184" i="9"/>
  <c r="P1183" i="9"/>
  <c r="O1183" i="9"/>
  <c r="N1183" i="9"/>
  <c r="M1183" i="9"/>
  <c r="L1183" i="9"/>
  <c r="K1183" i="9"/>
  <c r="J1183" i="9"/>
  <c r="I1183" i="9"/>
  <c r="H1183" i="9"/>
  <c r="G1183" i="9"/>
  <c r="F1183" i="9"/>
  <c r="E1183" i="9"/>
  <c r="D1183" i="9"/>
  <c r="C1183" i="9"/>
  <c r="B1183" i="9"/>
  <c r="P1182" i="9"/>
  <c r="O1182" i="9"/>
  <c r="N1182" i="9"/>
  <c r="M1182" i="9"/>
  <c r="L1182" i="9"/>
  <c r="K1182" i="9"/>
  <c r="J1182" i="9"/>
  <c r="I1182" i="9"/>
  <c r="H1182" i="9"/>
  <c r="G1182" i="9"/>
  <c r="F1182" i="9"/>
  <c r="E1182" i="9"/>
  <c r="D1182" i="9"/>
  <c r="C1182" i="9"/>
  <c r="B1182" i="9"/>
  <c r="P1181" i="9"/>
  <c r="O1181" i="9"/>
  <c r="N1181" i="9"/>
  <c r="M1181" i="9"/>
  <c r="L1181" i="9"/>
  <c r="K1181" i="9"/>
  <c r="J1181" i="9"/>
  <c r="I1181" i="9"/>
  <c r="H1181" i="9"/>
  <c r="G1181" i="9"/>
  <c r="F1181" i="9"/>
  <c r="E1181" i="9"/>
  <c r="D1181" i="9"/>
  <c r="C1181" i="9"/>
  <c r="B1181" i="9"/>
  <c r="P1180" i="9"/>
  <c r="O1180" i="9"/>
  <c r="N1180" i="9"/>
  <c r="M1180" i="9"/>
  <c r="L1180" i="9"/>
  <c r="K1180" i="9"/>
  <c r="J1180" i="9"/>
  <c r="I1180" i="9"/>
  <c r="H1180" i="9"/>
  <c r="G1180" i="9"/>
  <c r="F1180" i="9"/>
  <c r="E1180" i="9"/>
  <c r="D1180" i="9"/>
  <c r="C1180" i="9"/>
  <c r="B1180" i="9"/>
  <c r="P1179" i="9"/>
  <c r="O1179" i="9"/>
  <c r="N1179" i="9"/>
  <c r="M1179" i="9"/>
  <c r="L1179" i="9"/>
  <c r="K1179" i="9"/>
  <c r="J1179" i="9"/>
  <c r="I1179" i="9"/>
  <c r="H1179" i="9"/>
  <c r="G1179" i="9"/>
  <c r="F1179" i="9"/>
  <c r="E1179" i="9"/>
  <c r="D1179" i="9"/>
  <c r="C1179" i="9"/>
  <c r="B1179" i="9"/>
  <c r="P1178" i="9"/>
  <c r="O1178" i="9"/>
  <c r="N1178" i="9"/>
  <c r="M1178" i="9"/>
  <c r="L1178" i="9"/>
  <c r="K1178" i="9"/>
  <c r="J1178" i="9"/>
  <c r="I1178" i="9"/>
  <c r="H1178" i="9"/>
  <c r="G1178" i="9"/>
  <c r="F1178" i="9"/>
  <c r="E1178" i="9"/>
  <c r="D1178" i="9"/>
  <c r="C1178" i="9"/>
  <c r="B1178" i="9"/>
  <c r="P1177" i="9"/>
  <c r="O1177" i="9"/>
  <c r="N1177" i="9"/>
  <c r="M1177" i="9"/>
  <c r="L1177" i="9"/>
  <c r="K1177" i="9"/>
  <c r="J1177" i="9"/>
  <c r="I1177" i="9"/>
  <c r="H1177" i="9"/>
  <c r="G1177" i="9"/>
  <c r="F1177" i="9"/>
  <c r="E1177" i="9"/>
  <c r="D1177" i="9"/>
  <c r="C1177" i="9"/>
  <c r="B1177" i="9"/>
  <c r="P1176" i="9"/>
  <c r="O1176" i="9"/>
  <c r="N1176" i="9"/>
  <c r="M1176" i="9"/>
  <c r="L1176" i="9"/>
  <c r="K1176" i="9"/>
  <c r="J1176" i="9"/>
  <c r="I1176" i="9"/>
  <c r="H1176" i="9"/>
  <c r="G1176" i="9"/>
  <c r="F1176" i="9"/>
  <c r="E1176" i="9"/>
  <c r="D1176" i="9"/>
  <c r="C1176" i="9"/>
  <c r="B1176" i="9"/>
  <c r="P1175" i="9"/>
  <c r="O1175" i="9"/>
  <c r="N1175" i="9"/>
  <c r="M1175" i="9"/>
  <c r="L1175" i="9"/>
  <c r="K1175" i="9"/>
  <c r="J1175" i="9"/>
  <c r="I1175" i="9"/>
  <c r="H1175" i="9"/>
  <c r="G1175" i="9"/>
  <c r="F1175" i="9"/>
  <c r="E1175" i="9"/>
  <c r="D1175" i="9"/>
  <c r="C1175" i="9"/>
  <c r="B1175" i="9"/>
  <c r="P1174" i="9"/>
  <c r="O1174" i="9"/>
  <c r="N1174" i="9"/>
  <c r="M1174" i="9"/>
  <c r="L1174" i="9"/>
  <c r="K1174" i="9"/>
  <c r="J1174" i="9"/>
  <c r="I1174" i="9"/>
  <c r="H1174" i="9"/>
  <c r="G1174" i="9"/>
  <c r="F1174" i="9"/>
  <c r="E1174" i="9"/>
  <c r="D1174" i="9"/>
  <c r="C1174" i="9"/>
  <c r="B1174" i="9"/>
  <c r="P1173" i="9"/>
  <c r="O1173" i="9"/>
  <c r="N1173" i="9"/>
  <c r="M1173" i="9"/>
  <c r="L1173" i="9"/>
  <c r="K1173" i="9"/>
  <c r="J1173" i="9"/>
  <c r="I1173" i="9"/>
  <c r="H1173" i="9"/>
  <c r="G1173" i="9"/>
  <c r="F1173" i="9"/>
  <c r="E1173" i="9"/>
  <c r="D1173" i="9"/>
  <c r="C1173" i="9"/>
  <c r="B1173" i="9"/>
  <c r="P1172" i="9"/>
  <c r="O1172" i="9"/>
  <c r="N1172" i="9"/>
  <c r="M1172" i="9"/>
  <c r="L1172" i="9"/>
  <c r="K1172" i="9"/>
  <c r="J1172" i="9"/>
  <c r="I1172" i="9"/>
  <c r="H1172" i="9"/>
  <c r="G1172" i="9"/>
  <c r="F1172" i="9"/>
  <c r="E1172" i="9"/>
  <c r="D1172" i="9"/>
  <c r="C1172" i="9"/>
  <c r="B1172" i="9"/>
  <c r="P1171" i="9"/>
  <c r="O1171" i="9"/>
  <c r="N1171" i="9"/>
  <c r="M1171" i="9"/>
  <c r="L1171" i="9"/>
  <c r="K1171" i="9"/>
  <c r="J1171" i="9"/>
  <c r="I1171" i="9"/>
  <c r="H1171" i="9"/>
  <c r="G1171" i="9"/>
  <c r="F1171" i="9"/>
  <c r="E1171" i="9"/>
  <c r="D1171" i="9"/>
  <c r="C1171" i="9"/>
  <c r="B1171" i="9"/>
  <c r="P1170" i="9"/>
  <c r="O1170" i="9"/>
  <c r="N1170" i="9"/>
  <c r="M1170" i="9"/>
  <c r="L1170" i="9"/>
  <c r="K1170" i="9"/>
  <c r="J1170" i="9"/>
  <c r="I1170" i="9"/>
  <c r="H1170" i="9"/>
  <c r="G1170" i="9"/>
  <c r="F1170" i="9"/>
  <c r="E1170" i="9"/>
  <c r="D1170" i="9"/>
  <c r="C1170" i="9"/>
  <c r="B1170" i="9"/>
  <c r="P1169" i="9"/>
  <c r="O1169" i="9"/>
  <c r="N1169" i="9"/>
  <c r="M1169" i="9"/>
  <c r="L1169" i="9"/>
  <c r="K1169" i="9"/>
  <c r="J1169" i="9"/>
  <c r="I1169" i="9"/>
  <c r="H1169" i="9"/>
  <c r="G1169" i="9"/>
  <c r="F1169" i="9"/>
  <c r="E1169" i="9"/>
  <c r="D1169" i="9"/>
  <c r="C1169" i="9"/>
  <c r="B1169" i="9"/>
  <c r="P1168" i="9"/>
  <c r="O1168" i="9"/>
  <c r="N1168" i="9"/>
  <c r="M1168" i="9"/>
  <c r="L1168" i="9"/>
  <c r="K1168" i="9"/>
  <c r="J1168" i="9"/>
  <c r="I1168" i="9"/>
  <c r="H1168" i="9"/>
  <c r="G1168" i="9"/>
  <c r="F1168" i="9"/>
  <c r="E1168" i="9"/>
  <c r="D1168" i="9"/>
  <c r="C1168" i="9"/>
  <c r="B1168" i="9"/>
  <c r="P1167" i="9"/>
  <c r="O1167" i="9"/>
  <c r="N1167" i="9"/>
  <c r="M1167" i="9"/>
  <c r="L1167" i="9"/>
  <c r="K1167" i="9"/>
  <c r="J1167" i="9"/>
  <c r="I1167" i="9"/>
  <c r="H1167" i="9"/>
  <c r="G1167" i="9"/>
  <c r="F1167" i="9"/>
  <c r="E1167" i="9"/>
  <c r="D1167" i="9"/>
  <c r="C1167" i="9"/>
  <c r="B1167" i="9"/>
  <c r="P1166" i="9"/>
  <c r="O1166" i="9"/>
  <c r="N1166" i="9"/>
  <c r="M1166" i="9"/>
  <c r="L1166" i="9"/>
  <c r="K1166" i="9"/>
  <c r="J1166" i="9"/>
  <c r="I1166" i="9"/>
  <c r="H1166" i="9"/>
  <c r="G1166" i="9"/>
  <c r="F1166" i="9"/>
  <c r="E1166" i="9"/>
  <c r="D1166" i="9"/>
  <c r="C1166" i="9"/>
  <c r="B1166" i="9"/>
  <c r="P1165" i="9"/>
  <c r="O1165" i="9"/>
  <c r="N1165" i="9"/>
  <c r="M1165" i="9"/>
  <c r="L1165" i="9"/>
  <c r="K1165" i="9"/>
  <c r="J1165" i="9"/>
  <c r="I1165" i="9"/>
  <c r="H1165" i="9"/>
  <c r="G1165" i="9"/>
  <c r="F1165" i="9"/>
  <c r="E1165" i="9"/>
  <c r="D1165" i="9"/>
  <c r="C1165" i="9"/>
  <c r="B1165" i="9"/>
  <c r="P1164" i="9"/>
  <c r="O1164" i="9"/>
  <c r="N1164" i="9"/>
  <c r="M1164" i="9"/>
  <c r="L1164" i="9"/>
  <c r="K1164" i="9"/>
  <c r="J1164" i="9"/>
  <c r="I1164" i="9"/>
  <c r="H1164" i="9"/>
  <c r="G1164" i="9"/>
  <c r="F1164" i="9"/>
  <c r="E1164" i="9"/>
  <c r="D1164" i="9"/>
  <c r="C1164" i="9"/>
  <c r="B1164" i="9"/>
  <c r="P1163" i="9"/>
  <c r="O1163" i="9"/>
  <c r="N1163" i="9"/>
  <c r="M1163" i="9"/>
  <c r="L1163" i="9"/>
  <c r="K1163" i="9"/>
  <c r="J1163" i="9"/>
  <c r="I1163" i="9"/>
  <c r="H1163" i="9"/>
  <c r="G1163" i="9"/>
  <c r="F1163" i="9"/>
  <c r="E1163" i="9"/>
  <c r="D1163" i="9"/>
  <c r="C1163" i="9"/>
  <c r="B1163" i="9"/>
  <c r="P1162" i="9"/>
  <c r="O1162" i="9"/>
  <c r="N1162" i="9"/>
  <c r="M1162" i="9"/>
  <c r="L1162" i="9"/>
  <c r="K1162" i="9"/>
  <c r="J1162" i="9"/>
  <c r="I1162" i="9"/>
  <c r="H1162" i="9"/>
  <c r="G1162" i="9"/>
  <c r="F1162" i="9"/>
  <c r="E1162" i="9"/>
  <c r="D1162" i="9"/>
  <c r="C1162" i="9"/>
  <c r="B1162" i="9"/>
  <c r="P1161" i="9"/>
  <c r="O1161" i="9"/>
  <c r="N1161" i="9"/>
  <c r="M1161" i="9"/>
  <c r="L1161" i="9"/>
  <c r="K1161" i="9"/>
  <c r="J1161" i="9"/>
  <c r="I1161" i="9"/>
  <c r="H1161" i="9"/>
  <c r="G1161" i="9"/>
  <c r="F1161" i="9"/>
  <c r="E1161" i="9"/>
  <c r="D1161" i="9"/>
  <c r="C1161" i="9"/>
  <c r="B1161" i="9"/>
  <c r="P1160" i="9"/>
  <c r="O1160" i="9"/>
  <c r="N1160" i="9"/>
  <c r="M1160" i="9"/>
  <c r="L1160" i="9"/>
  <c r="K1160" i="9"/>
  <c r="J1160" i="9"/>
  <c r="I1160" i="9"/>
  <c r="H1160" i="9"/>
  <c r="G1160" i="9"/>
  <c r="F1160" i="9"/>
  <c r="E1160" i="9"/>
  <c r="D1160" i="9"/>
  <c r="C1160" i="9"/>
  <c r="B1160" i="9"/>
  <c r="P1159" i="9"/>
  <c r="O1159" i="9"/>
  <c r="N1159" i="9"/>
  <c r="M1159" i="9"/>
  <c r="L1159" i="9"/>
  <c r="K1159" i="9"/>
  <c r="J1159" i="9"/>
  <c r="I1159" i="9"/>
  <c r="H1159" i="9"/>
  <c r="G1159" i="9"/>
  <c r="F1159" i="9"/>
  <c r="E1159" i="9"/>
  <c r="D1159" i="9"/>
  <c r="C1159" i="9"/>
  <c r="B1159" i="9"/>
  <c r="P1158" i="9"/>
  <c r="O1158" i="9"/>
  <c r="N1158" i="9"/>
  <c r="M1158" i="9"/>
  <c r="L1158" i="9"/>
  <c r="K1158" i="9"/>
  <c r="J1158" i="9"/>
  <c r="I1158" i="9"/>
  <c r="H1158" i="9"/>
  <c r="G1158" i="9"/>
  <c r="F1158" i="9"/>
  <c r="E1158" i="9"/>
  <c r="D1158" i="9"/>
  <c r="C1158" i="9"/>
  <c r="B1158" i="9"/>
  <c r="P1157" i="9"/>
  <c r="O1157" i="9"/>
  <c r="N1157" i="9"/>
  <c r="M1157" i="9"/>
  <c r="L1157" i="9"/>
  <c r="K1157" i="9"/>
  <c r="J1157" i="9"/>
  <c r="I1157" i="9"/>
  <c r="H1157" i="9"/>
  <c r="G1157" i="9"/>
  <c r="F1157" i="9"/>
  <c r="E1157" i="9"/>
  <c r="D1157" i="9"/>
  <c r="C1157" i="9"/>
  <c r="B1157" i="9"/>
  <c r="P1156" i="9"/>
  <c r="O1156" i="9"/>
  <c r="N1156" i="9"/>
  <c r="M1156" i="9"/>
  <c r="L1156" i="9"/>
  <c r="K1156" i="9"/>
  <c r="J1156" i="9"/>
  <c r="I1156" i="9"/>
  <c r="H1156" i="9"/>
  <c r="G1156" i="9"/>
  <c r="F1156" i="9"/>
  <c r="E1156" i="9"/>
  <c r="D1156" i="9"/>
  <c r="C1156" i="9"/>
  <c r="B1156" i="9"/>
  <c r="P1155" i="9"/>
  <c r="O1155" i="9"/>
  <c r="N1155" i="9"/>
  <c r="M1155" i="9"/>
  <c r="L1155" i="9"/>
  <c r="K1155" i="9"/>
  <c r="J1155" i="9"/>
  <c r="I1155" i="9"/>
  <c r="H1155" i="9"/>
  <c r="G1155" i="9"/>
  <c r="F1155" i="9"/>
  <c r="E1155" i="9"/>
  <c r="D1155" i="9"/>
  <c r="C1155" i="9"/>
  <c r="B1155" i="9"/>
  <c r="P1154" i="9"/>
  <c r="O1154" i="9"/>
  <c r="N1154" i="9"/>
  <c r="M1154" i="9"/>
  <c r="L1154" i="9"/>
  <c r="K1154" i="9"/>
  <c r="J1154" i="9"/>
  <c r="I1154" i="9"/>
  <c r="H1154" i="9"/>
  <c r="G1154" i="9"/>
  <c r="F1154" i="9"/>
  <c r="E1154" i="9"/>
  <c r="D1154" i="9"/>
  <c r="C1154" i="9"/>
  <c r="B1154" i="9"/>
  <c r="P1153" i="9"/>
  <c r="O1153" i="9"/>
  <c r="N1153" i="9"/>
  <c r="M1153" i="9"/>
  <c r="L1153" i="9"/>
  <c r="K1153" i="9"/>
  <c r="J1153" i="9"/>
  <c r="I1153" i="9"/>
  <c r="H1153" i="9"/>
  <c r="G1153" i="9"/>
  <c r="F1153" i="9"/>
  <c r="E1153" i="9"/>
  <c r="D1153" i="9"/>
  <c r="C1153" i="9"/>
  <c r="B1153" i="9"/>
  <c r="P1152" i="9"/>
  <c r="O1152" i="9"/>
  <c r="N1152" i="9"/>
  <c r="M1152" i="9"/>
  <c r="L1152" i="9"/>
  <c r="K1152" i="9"/>
  <c r="J1152" i="9"/>
  <c r="I1152" i="9"/>
  <c r="H1152" i="9"/>
  <c r="G1152" i="9"/>
  <c r="F1152" i="9"/>
  <c r="E1152" i="9"/>
  <c r="D1152" i="9"/>
  <c r="C1152" i="9"/>
  <c r="B1152" i="9"/>
  <c r="P1151" i="9"/>
  <c r="O1151" i="9"/>
  <c r="N1151" i="9"/>
  <c r="M1151" i="9"/>
  <c r="L1151" i="9"/>
  <c r="K1151" i="9"/>
  <c r="J1151" i="9"/>
  <c r="I1151" i="9"/>
  <c r="H1151" i="9"/>
  <c r="G1151" i="9"/>
  <c r="F1151" i="9"/>
  <c r="E1151" i="9"/>
  <c r="D1151" i="9"/>
  <c r="C1151" i="9"/>
  <c r="B1151" i="9"/>
  <c r="P1150" i="9"/>
  <c r="O1150" i="9"/>
  <c r="N1150" i="9"/>
  <c r="M1150" i="9"/>
  <c r="L1150" i="9"/>
  <c r="K1150" i="9"/>
  <c r="J1150" i="9"/>
  <c r="I1150" i="9"/>
  <c r="H1150" i="9"/>
  <c r="G1150" i="9"/>
  <c r="F1150" i="9"/>
  <c r="E1150" i="9"/>
  <c r="D1150" i="9"/>
  <c r="C1150" i="9"/>
  <c r="B1150" i="9"/>
  <c r="P1149" i="9"/>
  <c r="O1149" i="9"/>
  <c r="N1149" i="9"/>
  <c r="M1149" i="9"/>
  <c r="L1149" i="9"/>
  <c r="K1149" i="9"/>
  <c r="J1149" i="9"/>
  <c r="I1149" i="9"/>
  <c r="H1149" i="9"/>
  <c r="G1149" i="9"/>
  <c r="F1149" i="9"/>
  <c r="E1149" i="9"/>
  <c r="D1149" i="9"/>
  <c r="C1149" i="9"/>
  <c r="B1149" i="9"/>
  <c r="P1148" i="9"/>
  <c r="O1148" i="9"/>
  <c r="N1148" i="9"/>
  <c r="M1148" i="9"/>
  <c r="L1148" i="9"/>
  <c r="K1148" i="9"/>
  <c r="J1148" i="9"/>
  <c r="I1148" i="9"/>
  <c r="H1148" i="9"/>
  <c r="G1148" i="9"/>
  <c r="F1148" i="9"/>
  <c r="E1148" i="9"/>
  <c r="D1148" i="9"/>
  <c r="C1148" i="9"/>
  <c r="B1148" i="9"/>
  <c r="P1147" i="9"/>
  <c r="O1147" i="9"/>
  <c r="N1147" i="9"/>
  <c r="M1147" i="9"/>
  <c r="L1147" i="9"/>
  <c r="K1147" i="9"/>
  <c r="J1147" i="9"/>
  <c r="I1147" i="9"/>
  <c r="H1147" i="9"/>
  <c r="G1147" i="9"/>
  <c r="F1147" i="9"/>
  <c r="E1147" i="9"/>
  <c r="D1147" i="9"/>
  <c r="C1147" i="9"/>
  <c r="B1147" i="9"/>
  <c r="P1146" i="9"/>
  <c r="O1146" i="9"/>
  <c r="N1146" i="9"/>
  <c r="M1146" i="9"/>
  <c r="L1146" i="9"/>
  <c r="K1146" i="9"/>
  <c r="J1146" i="9"/>
  <c r="I1146" i="9"/>
  <c r="H1146" i="9"/>
  <c r="G1146" i="9"/>
  <c r="F1146" i="9"/>
  <c r="E1146" i="9"/>
  <c r="D1146" i="9"/>
  <c r="C1146" i="9"/>
  <c r="B1146" i="9"/>
  <c r="P1145" i="9"/>
  <c r="O1145" i="9"/>
  <c r="N1145" i="9"/>
  <c r="M1145" i="9"/>
  <c r="L1145" i="9"/>
  <c r="K1145" i="9"/>
  <c r="J1145" i="9"/>
  <c r="I1145" i="9"/>
  <c r="H1145" i="9"/>
  <c r="G1145" i="9"/>
  <c r="F1145" i="9"/>
  <c r="E1145" i="9"/>
  <c r="D1145" i="9"/>
  <c r="C1145" i="9"/>
  <c r="B1145" i="9"/>
  <c r="P1144" i="9"/>
  <c r="O1144" i="9"/>
  <c r="N1144" i="9"/>
  <c r="M1144" i="9"/>
  <c r="L1144" i="9"/>
  <c r="K1144" i="9"/>
  <c r="J1144" i="9"/>
  <c r="I1144" i="9"/>
  <c r="H1144" i="9"/>
  <c r="G1144" i="9"/>
  <c r="F1144" i="9"/>
  <c r="E1144" i="9"/>
  <c r="D1144" i="9"/>
  <c r="C1144" i="9"/>
  <c r="B1144" i="9"/>
  <c r="P1143" i="9"/>
  <c r="O1143" i="9"/>
  <c r="N1143" i="9"/>
  <c r="M1143" i="9"/>
  <c r="L1143" i="9"/>
  <c r="K1143" i="9"/>
  <c r="J1143" i="9"/>
  <c r="I1143" i="9"/>
  <c r="H1143" i="9"/>
  <c r="G1143" i="9"/>
  <c r="F1143" i="9"/>
  <c r="E1143" i="9"/>
  <c r="D1143" i="9"/>
  <c r="C1143" i="9"/>
  <c r="B1143" i="9"/>
  <c r="P1142" i="9"/>
  <c r="O1142" i="9"/>
  <c r="N1142" i="9"/>
  <c r="M1142" i="9"/>
  <c r="L1142" i="9"/>
  <c r="K1142" i="9"/>
  <c r="J1142" i="9"/>
  <c r="I1142" i="9"/>
  <c r="H1142" i="9"/>
  <c r="G1142" i="9"/>
  <c r="F1142" i="9"/>
  <c r="E1142" i="9"/>
  <c r="D1142" i="9"/>
  <c r="C1142" i="9"/>
  <c r="B1142" i="9"/>
  <c r="P1141" i="9"/>
  <c r="O1141" i="9"/>
  <c r="N1141" i="9"/>
  <c r="M1141" i="9"/>
  <c r="L1141" i="9"/>
  <c r="K1141" i="9"/>
  <c r="J1141" i="9"/>
  <c r="I1141" i="9"/>
  <c r="H1141" i="9"/>
  <c r="G1141" i="9"/>
  <c r="F1141" i="9"/>
  <c r="E1141" i="9"/>
  <c r="D1141" i="9"/>
  <c r="C1141" i="9"/>
  <c r="B1141" i="9"/>
  <c r="P1140" i="9"/>
  <c r="O1140" i="9"/>
  <c r="N1140" i="9"/>
  <c r="M1140" i="9"/>
  <c r="L1140" i="9"/>
  <c r="K1140" i="9"/>
  <c r="J1140" i="9"/>
  <c r="I1140" i="9"/>
  <c r="H1140" i="9"/>
  <c r="G1140" i="9"/>
  <c r="F1140" i="9"/>
  <c r="E1140" i="9"/>
  <c r="D1140" i="9"/>
  <c r="C1140" i="9"/>
  <c r="B1140" i="9"/>
  <c r="P1139" i="9"/>
  <c r="O1139" i="9"/>
  <c r="N1139" i="9"/>
  <c r="M1139" i="9"/>
  <c r="L1139" i="9"/>
  <c r="K1139" i="9"/>
  <c r="J1139" i="9"/>
  <c r="I1139" i="9"/>
  <c r="H1139" i="9"/>
  <c r="G1139" i="9"/>
  <c r="F1139" i="9"/>
  <c r="E1139" i="9"/>
  <c r="D1139" i="9"/>
  <c r="C1139" i="9"/>
  <c r="B1139" i="9"/>
  <c r="P1138" i="9"/>
  <c r="O1138" i="9"/>
  <c r="N1138" i="9"/>
  <c r="M1138" i="9"/>
  <c r="L1138" i="9"/>
  <c r="K1138" i="9"/>
  <c r="J1138" i="9"/>
  <c r="I1138" i="9"/>
  <c r="H1138" i="9"/>
  <c r="G1138" i="9"/>
  <c r="F1138" i="9"/>
  <c r="E1138" i="9"/>
  <c r="D1138" i="9"/>
  <c r="C1138" i="9"/>
  <c r="B1138" i="9"/>
  <c r="P1137" i="9"/>
  <c r="O1137" i="9"/>
  <c r="N1137" i="9"/>
  <c r="M1137" i="9"/>
  <c r="L1137" i="9"/>
  <c r="K1137" i="9"/>
  <c r="J1137" i="9"/>
  <c r="I1137" i="9"/>
  <c r="H1137" i="9"/>
  <c r="G1137" i="9"/>
  <c r="F1137" i="9"/>
  <c r="E1137" i="9"/>
  <c r="D1137" i="9"/>
  <c r="C1137" i="9"/>
  <c r="B1137" i="9"/>
  <c r="P1136" i="9"/>
  <c r="O1136" i="9"/>
  <c r="N1136" i="9"/>
  <c r="M1136" i="9"/>
  <c r="L1136" i="9"/>
  <c r="K1136" i="9"/>
  <c r="J1136" i="9"/>
  <c r="I1136" i="9"/>
  <c r="H1136" i="9"/>
  <c r="G1136" i="9"/>
  <c r="F1136" i="9"/>
  <c r="E1136" i="9"/>
  <c r="D1136" i="9"/>
  <c r="C1136" i="9"/>
  <c r="B1136" i="9"/>
  <c r="P1135" i="9"/>
  <c r="O1135" i="9"/>
  <c r="N1135" i="9"/>
  <c r="M1135" i="9"/>
  <c r="L1135" i="9"/>
  <c r="K1135" i="9"/>
  <c r="J1135" i="9"/>
  <c r="I1135" i="9"/>
  <c r="H1135" i="9"/>
  <c r="G1135" i="9"/>
  <c r="F1135" i="9"/>
  <c r="E1135" i="9"/>
  <c r="D1135" i="9"/>
  <c r="C1135" i="9"/>
  <c r="B1135" i="9"/>
  <c r="P1134" i="9"/>
  <c r="O1134" i="9"/>
  <c r="N1134" i="9"/>
  <c r="M1134" i="9"/>
  <c r="L1134" i="9"/>
  <c r="K1134" i="9"/>
  <c r="J1134" i="9"/>
  <c r="I1134" i="9"/>
  <c r="H1134" i="9"/>
  <c r="G1134" i="9"/>
  <c r="F1134" i="9"/>
  <c r="E1134" i="9"/>
  <c r="D1134" i="9"/>
  <c r="C1134" i="9"/>
  <c r="B1134" i="9"/>
  <c r="P1133" i="9"/>
  <c r="O1133" i="9"/>
  <c r="N1133" i="9"/>
  <c r="M1133" i="9"/>
  <c r="L1133" i="9"/>
  <c r="K1133" i="9"/>
  <c r="J1133" i="9"/>
  <c r="I1133" i="9"/>
  <c r="H1133" i="9"/>
  <c r="G1133" i="9"/>
  <c r="F1133" i="9"/>
  <c r="E1133" i="9"/>
  <c r="D1133" i="9"/>
  <c r="C1133" i="9"/>
  <c r="B1133" i="9"/>
  <c r="P1132" i="9"/>
  <c r="O1132" i="9"/>
  <c r="N1132" i="9"/>
  <c r="M1132" i="9"/>
  <c r="L1132" i="9"/>
  <c r="K1132" i="9"/>
  <c r="J1132" i="9"/>
  <c r="I1132" i="9"/>
  <c r="H1132" i="9"/>
  <c r="G1132" i="9"/>
  <c r="F1132" i="9"/>
  <c r="E1132" i="9"/>
  <c r="D1132" i="9"/>
  <c r="C1132" i="9"/>
  <c r="B1132" i="9"/>
  <c r="P1131" i="9"/>
  <c r="O1131" i="9"/>
  <c r="N1131" i="9"/>
  <c r="M1131" i="9"/>
  <c r="L1131" i="9"/>
  <c r="K1131" i="9"/>
  <c r="J1131" i="9"/>
  <c r="I1131" i="9"/>
  <c r="H1131" i="9"/>
  <c r="G1131" i="9"/>
  <c r="F1131" i="9"/>
  <c r="E1131" i="9"/>
  <c r="D1131" i="9"/>
  <c r="C1131" i="9"/>
  <c r="B1131" i="9"/>
  <c r="P1130" i="9"/>
  <c r="O1130" i="9"/>
  <c r="N1130" i="9"/>
  <c r="M1130" i="9"/>
  <c r="L1130" i="9"/>
  <c r="K1130" i="9"/>
  <c r="J1130" i="9"/>
  <c r="I1130" i="9"/>
  <c r="H1130" i="9"/>
  <c r="G1130" i="9"/>
  <c r="F1130" i="9"/>
  <c r="E1130" i="9"/>
  <c r="D1130" i="9"/>
  <c r="C1130" i="9"/>
  <c r="B1130" i="9"/>
  <c r="P1129" i="9"/>
  <c r="O1129" i="9"/>
  <c r="N1129" i="9"/>
  <c r="M1129" i="9"/>
  <c r="L1129" i="9"/>
  <c r="K1129" i="9"/>
  <c r="J1129" i="9"/>
  <c r="I1129" i="9"/>
  <c r="H1129" i="9"/>
  <c r="G1129" i="9"/>
  <c r="F1129" i="9"/>
  <c r="E1129" i="9"/>
  <c r="D1129" i="9"/>
  <c r="C1129" i="9"/>
  <c r="B1129" i="9"/>
  <c r="P1128" i="9"/>
  <c r="O1128" i="9"/>
  <c r="N1128" i="9"/>
  <c r="M1128" i="9"/>
  <c r="L1128" i="9"/>
  <c r="K1128" i="9"/>
  <c r="J1128" i="9"/>
  <c r="I1128" i="9"/>
  <c r="H1128" i="9"/>
  <c r="G1128" i="9"/>
  <c r="F1128" i="9"/>
  <c r="E1128" i="9"/>
  <c r="D1128" i="9"/>
  <c r="C1128" i="9"/>
  <c r="B1128" i="9"/>
  <c r="P1127" i="9"/>
  <c r="O1127" i="9"/>
  <c r="N1127" i="9"/>
  <c r="M1127" i="9"/>
  <c r="L1127" i="9"/>
  <c r="K1127" i="9"/>
  <c r="J1127" i="9"/>
  <c r="I1127" i="9"/>
  <c r="H1127" i="9"/>
  <c r="G1127" i="9"/>
  <c r="F1127" i="9"/>
  <c r="E1127" i="9"/>
  <c r="D1127" i="9"/>
  <c r="C1127" i="9"/>
  <c r="B1127" i="9"/>
  <c r="P1126" i="9"/>
  <c r="O1126" i="9"/>
  <c r="N1126" i="9"/>
  <c r="M1126" i="9"/>
  <c r="L1126" i="9"/>
  <c r="K1126" i="9"/>
  <c r="J1126" i="9"/>
  <c r="I1126" i="9"/>
  <c r="H1126" i="9"/>
  <c r="G1126" i="9"/>
  <c r="F1126" i="9"/>
  <c r="E1126" i="9"/>
  <c r="D1126" i="9"/>
  <c r="C1126" i="9"/>
  <c r="B1126" i="9"/>
  <c r="P1125" i="9"/>
  <c r="O1125" i="9"/>
  <c r="N1125" i="9"/>
  <c r="M1125" i="9"/>
  <c r="L1125" i="9"/>
  <c r="K1125" i="9"/>
  <c r="J1125" i="9"/>
  <c r="I1125" i="9"/>
  <c r="H1125" i="9"/>
  <c r="G1125" i="9"/>
  <c r="F1125" i="9"/>
  <c r="E1125" i="9"/>
  <c r="D1125" i="9"/>
  <c r="C1125" i="9"/>
  <c r="B1125" i="9"/>
  <c r="P1124" i="9"/>
  <c r="O1124" i="9"/>
  <c r="N1124" i="9"/>
  <c r="M1124" i="9"/>
  <c r="L1124" i="9"/>
  <c r="K1124" i="9"/>
  <c r="J1124" i="9"/>
  <c r="I1124" i="9"/>
  <c r="H1124" i="9"/>
  <c r="G1124" i="9"/>
  <c r="F1124" i="9"/>
  <c r="E1124" i="9"/>
  <c r="D1124" i="9"/>
  <c r="C1124" i="9"/>
  <c r="B1124" i="9"/>
  <c r="P1123" i="9"/>
  <c r="O1123" i="9"/>
  <c r="N1123" i="9"/>
  <c r="M1123" i="9"/>
  <c r="L1123" i="9"/>
  <c r="K1123" i="9"/>
  <c r="J1123" i="9"/>
  <c r="I1123" i="9"/>
  <c r="H1123" i="9"/>
  <c r="G1123" i="9"/>
  <c r="F1123" i="9"/>
  <c r="E1123" i="9"/>
  <c r="D1123" i="9"/>
  <c r="C1123" i="9"/>
  <c r="B1123" i="9"/>
  <c r="P1122" i="9"/>
  <c r="O1122" i="9"/>
  <c r="N1122" i="9"/>
  <c r="M1122" i="9"/>
  <c r="L1122" i="9"/>
  <c r="K1122" i="9"/>
  <c r="J1122" i="9"/>
  <c r="I1122" i="9"/>
  <c r="H1122" i="9"/>
  <c r="G1122" i="9"/>
  <c r="F1122" i="9"/>
  <c r="E1122" i="9"/>
  <c r="D1122" i="9"/>
  <c r="C1122" i="9"/>
  <c r="B1122" i="9"/>
  <c r="P1121" i="9"/>
  <c r="O1121" i="9"/>
  <c r="N1121" i="9"/>
  <c r="M1121" i="9"/>
  <c r="L1121" i="9"/>
  <c r="K1121" i="9"/>
  <c r="J1121" i="9"/>
  <c r="I1121" i="9"/>
  <c r="H1121" i="9"/>
  <c r="G1121" i="9"/>
  <c r="F1121" i="9"/>
  <c r="E1121" i="9"/>
  <c r="D1121" i="9"/>
  <c r="C1121" i="9"/>
  <c r="B1121" i="9"/>
  <c r="P1120" i="9"/>
  <c r="O1120" i="9"/>
  <c r="N1120" i="9"/>
  <c r="M1120" i="9"/>
  <c r="L1120" i="9"/>
  <c r="K1120" i="9"/>
  <c r="J1120" i="9"/>
  <c r="I1120" i="9"/>
  <c r="H1120" i="9"/>
  <c r="G1120" i="9"/>
  <c r="F1120" i="9"/>
  <c r="E1120" i="9"/>
  <c r="D1120" i="9"/>
  <c r="C1120" i="9"/>
  <c r="B1120" i="9"/>
  <c r="P1119" i="9"/>
  <c r="O1119" i="9"/>
  <c r="N1119" i="9"/>
  <c r="M1119" i="9"/>
  <c r="L1119" i="9"/>
  <c r="K1119" i="9"/>
  <c r="J1119" i="9"/>
  <c r="I1119" i="9"/>
  <c r="H1119" i="9"/>
  <c r="G1119" i="9"/>
  <c r="F1119" i="9"/>
  <c r="E1119" i="9"/>
  <c r="D1119" i="9"/>
  <c r="C1119" i="9"/>
  <c r="B1119" i="9"/>
  <c r="P1118" i="9"/>
  <c r="O1118" i="9"/>
  <c r="N1118" i="9"/>
  <c r="M1118" i="9"/>
  <c r="L1118" i="9"/>
  <c r="K1118" i="9"/>
  <c r="J1118" i="9"/>
  <c r="H1118" i="9"/>
  <c r="G1118" i="9"/>
  <c r="F1118" i="9"/>
  <c r="E1118" i="9"/>
  <c r="D1118" i="9"/>
  <c r="C1118" i="9"/>
  <c r="B1118" i="9"/>
  <c r="P1117" i="9"/>
  <c r="O1117" i="9"/>
  <c r="N1117" i="9"/>
  <c r="M1117" i="9"/>
  <c r="L1117" i="9"/>
  <c r="K1117" i="9"/>
  <c r="J1117" i="9"/>
  <c r="I1117" i="9"/>
  <c r="H1117" i="9"/>
  <c r="G1117" i="9"/>
  <c r="F1117" i="9"/>
  <c r="E1117" i="9"/>
  <c r="D1117" i="9"/>
  <c r="C1117" i="9"/>
  <c r="B1117" i="9"/>
  <c r="P1116" i="9"/>
  <c r="O1116" i="9"/>
  <c r="N1116" i="9"/>
  <c r="M1116" i="9"/>
  <c r="L1116" i="9"/>
  <c r="K1116" i="9"/>
  <c r="J1116" i="9"/>
  <c r="I1116" i="9"/>
  <c r="H1116" i="9"/>
  <c r="G1116" i="9"/>
  <c r="F1116" i="9"/>
  <c r="E1116" i="9"/>
  <c r="D1116" i="9"/>
  <c r="C1116" i="9"/>
  <c r="B1116" i="9"/>
  <c r="P1115" i="9"/>
  <c r="O1115" i="9"/>
  <c r="N1115" i="9"/>
  <c r="M1115" i="9"/>
  <c r="L1115" i="9"/>
  <c r="K1115" i="9"/>
  <c r="J1115" i="9"/>
  <c r="I1115" i="9"/>
  <c r="H1115" i="9"/>
  <c r="G1115" i="9"/>
  <c r="F1115" i="9"/>
  <c r="E1115" i="9"/>
  <c r="D1115" i="9"/>
  <c r="C1115" i="9"/>
  <c r="B1115" i="9"/>
  <c r="P1114" i="9"/>
  <c r="O1114" i="9"/>
  <c r="N1114" i="9"/>
  <c r="M1114" i="9"/>
  <c r="L1114" i="9"/>
  <c r="K1114" i="9"/>
  <c r="J1114" i="9"/>
  <c r="I1114" i="9"/>
  <c r="H1114" i="9"/>
  <c r="G1114" i="9"/>
  <c r="F1114" i="9"/>
  <c r="E1114" i="9"/>
  <c r="D1114" i="9"/>
  <c r="C1114" i="9"/>
  <c r="B1114" i="9"/>
  <c r="P1113" i="9"/>
  <c r="O1113" i="9"/>
  <c r="N1113" i="9"/>
  <c r="M1113" i="9"/>
  <c r="L1113" i="9"/>
  <c r="K1113" i="9"/>
  <c r="J1113" i="9"/>
  <c r="I1113" i="9"/>
  <c r="H1113" i="9"/>
  <c r="G1113" i="9"/>
  <c r="F1113" i="9"/>
  <c r="E1113" i="9"/>
  <c r="D1113" i="9"/>
  <c r="C1113" i="9"/>
  <c r="B1113" i="9"/>
  <c r="P1112" i="9"/>
  <c r="O1112" i="9"/>
  <c r="N1112" i="9"/>
  <c r="M1112" i="9"/>
  <c r="L1112" i="9"/>
  <c r="K1112" i="9"/>
  <c r="J1112" i="9"/>
  <c r="I1112" i="9"/>
  <c r="H1112" i="9"/>
  <c r="G1112" i="9"/>
  <c r="F1112" i="9"/>
  <c r="E1112" i="9"/>
  <c r="D1112" i="9"/>
  <c r="C1112" i="9"/>
  <c r="B1112" i="9"/>
  <c r="P1111" i="9"/>
  <c r="O1111" i="9"/>
  <c r="N1111" i="9"/>
  <c r="M1111" i="9"/>
  <c r="L1111" i="9"/>
  <c r="K1111" i="9"/>
  <c r="J1111" i="9"/>
  <c r="I1111" i="9"/>
  <c r="H1111" i="9"/>
  <c r="G1111" i="9"/>
  <c r="F1111" i="9"/>
  <c r="E1111" i="9"/>
  <c r="D1111" i="9"/>
  <c r="C1111" i="9"/>
  <c r="B1111" i="9"/>
  <c r="P1110" i="9"/>
  <c r="O1110" i="9"/>
  <c r="N1110" i="9"/>
  <c r="M1110" i="9"/>
  <c r="L1110" i="9"/>
  <c r="K1110" i="9"/>
  <c r="J1110" i="9"/>
  <c r="I1110" i="9"/>
  <c r="H1110" i="9"/>
  <c r="G1110" i="9"/>
  <c r="F1110" i="9"/>
  <c r="E1110" i="9"/>
  <c r="D1110" i="9"/>
  <c r="C1110" i="9"/>
  <c r="B1110" i="9"/>
  <c r="P1109" i="9"/>
  <c r="O1109" i="9"/>
  <c r="N1109" i="9"/>
  <c r="M1109" i="9"/>
  <c r="L1109" i="9"/>
  <c r="K1109" i="9"/>
  <c r="J1109" i="9"/>
  <c r="I1109" i="9"/>
  <c r="H1109" i="9"/>
  <c r="G1109" i="9"/>
  <c r="F1109" i="9"/>
  <c r="E1109" i="9"/>
  <c r="D1109" i="9"/>
  <c r="C1109" i="9"/>
  <c r="B1109" i="9"/>
  <c r="P1108" i="9"/>
  <c r="O1108" i="9"/>
  <c r="N1108" i="9"/>
  <c r="M1108" i="9"/>
  <c r="L1108" i="9"/>
  <c r="K1108" i="9"/>
  <c r="J1108" i="9"/>
  <c r="I1108" i="9"/>
  <c r="H1108" i="9"/>
  <c r="G1108" i="9"/>
  <c r="F1108" i="9"/>
  <c r="E1108" i="9"/>
  <c r="D1108" i="9"/>
  <c r="C1108" i="9"/>
  <c r="B1108" i="9"/>
  <c r="P1107" i="9"/>
  <c r="O1107" i="9"/>
  <c r="N1107" i="9"/>
  <c r="M1107" i="9"/>
  <c r="L1107" i="9"/>
  <c r="K1107" i="9"/>
  <c r="J1107" i="9"/>
  <c r="I1107" i="9"/>
  <c r="H1107" i="9"/>
  <c r="G1107" i="9"/>
  <c r="F1107" i="9"/>
  <c r="E1107" i="9"/>
  <c r="D1107" i="9"/>
  <c r="C1107" i="9"/>
  <c r="B1107" i="9"/>
  <c r="P1106" i="9"/>
  <c r="O1106" i="9"/>
  <c r="N1106" i="9"/>
  <c r="M1106" i="9"/>
  <c r="L1106" i="9"/>
  <c r="K1106" i="9"/>
  <c r="J1106" i="9"/>
  <c r="I1106" i="9"/>
  <c r="H1106" i="9"/>
  <c r="G1106" i="9"/>
  <c r="F1106" i="9"/>
  <c r="E1106" i="9"/>
  <c r="D1106" i="9"/>
  <c r="C1106" i="9"/>
  <c r="B1106" i="9"/>
  <c r="P1105" i="9"/>
  <c r="O1105" i="9"/>
  <c r="N1105" i="9"/>
  <c r="M1105" i="9"/>
  <c r="L1105" i="9"/>
  <c r="K1105" i="9"/>
  <c r="J1105" i="9"/>
  <c r="I1105" i="9"/>
  <c r="H1105" i="9"/>
  <c r="G1105" i="9"/>
  <c r="F1105" i="9"/>
  <c r="E1105" i="9"/>
  <c r="D1105" i="9"/>
  <c r="C1105" i="9"/>
  <c r="B1105" i="9"/>
  <c r="P1104" i="9"/>
  <c r="O1104" i="9"/>
  <c r="N1104" i="9"/>
  <c r="M1104" i="9"/>
  <c r="L1104" i="9"/>
  <c r="K1104" i="9"/>
  <c r="J1104" i="9"/>
  <c r="I1104" i="9"/>
  <c r="H1104" i="9"/>
  <c r="G1104" i="9"/>
  <c r="F1104" i="9"/>
  <c r="E1104" i="9"/>
  <c r="D1104" i="9"/>
  <c r="C1104" i="9"/>
  <c r="B1104" i="9"/>
  <c r="P1103" i="9"/>
  <c r="O1103" i="9"/>
  <c r="N1103" i="9"/>
  <c r="M1103" i="9"/>
  <c r="L1103" i="9"/>
  <c r="K1103" i="9"/>
  <c r="J1103" i="9"/>
  <c r="I1103" i="9"/>
  <c r="H1103" i="9"/>
  <c r="G1103" i="9"/>
  <c r="F1103" i="9"/>
  <c r="E1103" i="9"/>
  <c r="D1103" i="9"/>
  <c r="C1103" i="9"/>
  <c r="B1103" i="9"/>
  <c r="P1102" i="9"/>
  <c r="O1102" i="9"/>
  <c r="N1102" i="9"/>
  <c r="M1102" i="9"/>
  <c r="L1102" i="9"/>
  <c r="K1102" i="9"/>
  <c r="J1102" i="9"/>
  <c r="I1102" i="9"/>
  <c r="H1102" i="9"/>
  <c r="G1102" i="9"/>
  <c r="F1102" i="9"/>
  <c r="E1102" i="9"/>
  <c r="D1102" i="9"/>
  <c r="C1102" i="9"/>
  <c r="B1102" i="9"/>
  <c r="P1101" i="9"/>
  <c r="O1101" i="9"/>
  <c r="N1101" i="9"/>
  <c r="M1101" i="9"/>
  <c r="L1101" i="9"/>
  <c r="K1101" i="9"/>
  <c r="J1101" i="9"/>
  <c r="I1101" i="9"/>
  <c r="H1101" i="9"/>
  <c r="G1101" i="9"/>
  <c r="F1101" i="9"/>
  <c r="E1101" i="9"/>
  <c r="D1101" i="9"/>
  <c r="C1101" i="9"/>
  <c r="B1101" i="9"/>
  <c r="P1100" i="9"/>
  <c r="O1100" i="9"/>
  <c r="N1100" i="9"/>
  <c r="M1100" i="9"/>
  <c r="L1100" i="9"/>
  <c r="K1100" i="9"/>
  <c r="J1100" i="9"/>
  <c r="I1100" i="9"/>
  <c r="H1100" i="9"/>
  <c r="G1100" i="9"/>
  <c r="F1100" i="9"/>
  <c r="E1100" i="9"/>
  <c r="D1100" i="9"/>
  <c r="C1100" i="9"/>
  <c r="B1100" i="9"/>
  <c r="P1099" i="9"/>
  <c r="O1099" i="9"/>
  <c r="N1099" i="9"/>
  <c r="M1099" i="9"/>
  <c r="L1099" i="9"/>
  <c r="K1099" i="9"/>
  <c r="J1099" i="9"/>
  <c r="I1099" i="9"/>
  <c r="H1099" i="9"/>
  <c r="G1099" i="9"/>
  <c r="F1099" i="9"/>
  <c r="E1099" i="9"/>
  <c r="D1099" i="9"/>
  <c r="C1099" i="9"/>
  <c r="B1099" i="9"/>
  <c r="P1098" i="9"/>
  <c r="O1098" i="9"/>
  <c r="N1098" i="9"/>
  <c r="M1098" i="9"/>
  <c r="L1098" i="9"/>
  <c r="K1098" i="9"/>
  <c r="J1098" i="9"/>
  <c r="I1098" i="9"/>
  <c r="H1098" i="9"/>
  <c r="G1098" i="9"/>
  <c r="F1098" i="9"/>
  <c r="E1098" i="9"/>
  <c r="D1098" i="9"/>
  <c r="C1098" i="9"/>
  <c r="B1098" i="9"/>
  <c r="P1097" i="9"/>
  <c r="O1097" i="9"/>
  <c r="N1097" i="9"/>
  <c r="M1097" i="9"/>
  <c r="L1097" i="9"/>
  <c r="K1097" i="9"/>
  <c r="J1097" i="9"/>
  <c r="I1097" i="9"/>
  <c r="H1097" i="9"/>
  <c r="G1097" i="9"/>
  <c r="F1097" i="9"/>
  <c r="E1097" i="9"/>
  <c r="D1097" i="9"/>
  <c r="C1097" i="9"/>
  <c r="B1097" i="9"/>
  <c r="P1096" i="9"/>
  <c r="O1096" i="9"/>
  <c r="N1096" i="9"/>
  <c r="M1096" i="9"/>
  <c r="L1096" i="9"/>
  <c r="K1096" i="9"/>
  <c r="J1096" i="9"/>
  <c r="I1096" i="9"/>
  <c r="H1096" i="9"/>
  <c r="G1096" i="9"/>
  <c r="F1096" i="9"/>
  <c r="E1096" i="9"/>
  <c r="D1096" i="9"/>
  <c r="C1096" i="9"/>
  <c r="B1096" i="9"/>
  <c r="P1095" i="9"/>
  <c r="O1095" i="9"/>
  <c r="N1095" i="9"/>
  <c r="M1095" i="9"/>
  <c r="L1095" i="9"/>
  <c r="K1095" i="9"/>
  <c r="J1095" i="9"/>
  <c r="I1095" i="9"/>
  <c r="H1095" i="9"/>
  <c r="G1095" i="9"/>
  <c r="F1095" i="9"/>
  <c r="E1095" i="9"/>
  <c r="D1095" i="9"/>
  <c r="C1095" i="9"/>
  <c r="B1095" i="9"/>
  <c r="P1094" i="9"/>
  <c r="O1094" i="9"/>
  <c r="N1094" i="9"/>
  <c r="M1094" i="9"/>
  <c r="L1094" i="9"/>
  <c r="K1094" i="9"/>
  <c r="J1094" i="9"/>
  <c r="I1094" i="9"/>
  <c r="H1094" i="9"/>
  <c r="G1094" i="9"/>
  <c r="F1094" i="9"/>
  <c r="E1094" i="9"/>
  <c r="D1094" i="9"/>
  <c r="C1094" i="9"/>
  <c r="B1094" i="9"/>
  <c r="P1093" i="9"/>
  <c r="O1093" i="9"/>
  <c r="N1093" i="9"/>
  <c r="M1093" i="9"/>
  <c r="L1093" i="9"/>
  <c r="K1093" i="9"/>
  <c r="J1093" i="9"/>
  <c r="I1093" i="9"/>
  <c r="H1093" i="9"/>
  <c r="G1093" i="9"/>
  <c r="F1093" i="9"/>
  <c r="E1093" i="9"/>
  <c r="D1093" i="9"/>
  <c r="C1093" i="9"/>
  <c r="B1093" i="9"/>
  <c r="P1092" i="9"/>
  <c r="O1092" i="9"/>
  <c r="N1092" i="9"/>
  <c r="M1092" i="9"/>
  <c r="L1092" i="9"/>
  <c r="K1092" i="9"/>
  <c r="J1092" i="9"/>
  <c r="I1092" i="9"/>
  <c r="H1092" i="9"/>
  <c r="G1092" i="9"/>
  <c r="F1092" i="9"/>
  <c r="E1092" i="9"/>
  <c r="D1092" i="9"/>
  <c r="C1092" i="9"/>
  <c r="B1092" i="9"/>
  <c r="P1091" i="9"/>
  <c r="O1091" i="9"/>
  <c r="N1091" i="9"/>
  <c r="M1091" i="9"/>
  <c r="L1091" i="9"/>
  <c r="K1091" i="9"/>
  <c r="J1091" i="9"/>
  <c r="I1091" i="9"/>
  <c r="H1091" i="9"/>
  <c r="G1091" i="9"/>
  <c r="F1091" i="9"/>
  <c r="E1091" i="9"/>
  <c r="D1091" i="9"/>
  <c r="C1091" i="9"/>
  <c r="B1091" i="9"/>
  <c r="P1090" i="9"/>
  <c r="O1090" i="9"/>
  <c r="N1090" i="9"/>
  <c r="M1090" i="9"/>
  <c r="L1090" i="9"/>
  <c r="K1090" i="9"/>
  <c r="J1090" i="9"/>
  <c r="I1090" i="9"/>
  <c r="H1090" i="9"/>
  <c r="G1090" i="9"/>
  <c r="F1090" i="9"/>
  <c r="E1090" i="9"/>
  <c r="D1090" i="9"/>
  <c r="C1090" i="9"/>
  <c r="B1090" i="9"/>
  <c r="P1089" i="9"/>
  <c r="O1089" i="9"/>
  <c r="N1089" i="9"/>
  <c r="M1089" i="9"/>
  <c r="L1089" i="9"/>
  <c r="K1089" i="9"/>
  <c r="J1089" i="9"/>
  <c r="I1089" i="9"/>
  <c r="H1089" i="9"/>
  <c r="G1089" i="9"/>
  <c r="F1089" i="9"/>
  <c r="E1089" i="9"/>
  <c r="D1089" i="9"/>
  <c r="C1089" i="9"/>
  <c r="B1089" i="9"/>
  <c r="P1088" i="9"/>
  <c r="O1088" i="9"/>
  <c r="N1088" i="9"/>
  <c r="M1088" i="9"/>
  <c r="L1088" i="9"/>
  <c r="K1088" i="9"/>
  <c r="J1088" i="9"/>
  <c r="I1088" i="9"/>
  <c r="H1088" i="9"/>
  <c r="G1088" i="9"/>
  <c r="F1088" i="9"/>
  <c r="E1088" i="9"/>
  <c r="D1088" i="9"/>
  <c r="C1088" i="9"/>
  <c r="B1088" i="9"/>
  <c r="P1087" i="9"/>
  <c r="O1087" i="9"/>
  <c r="N1087" i="9"/>
  <c r="M1087" i="9"/>
  <c r="L1087" i="9"/>
  <c r="K1087" i="9"/>
  <c r="J1087" i="9"/>
  <c r="I1087" i="9"/>
  <c r="H1087" i="9"/>
  <c r="G1087" i="9"/>
  <c r="F1087" i="9"/>
  <c r="E1087" i="9"/>
  <c r="D1087" i="9"/>
  <c r="C1087" i="9"/>
  <c r="B1087" i="9"/>
  <c r="P1086" i="9"/>
  <c r="O1086" i="9"/>
  <c r="N1086" i="9"/>
  <c r="M1086" i="9"/>
  <c r="L1086" i="9"/>
  <c r="K1086" i="9"/>
  <c r="J1086" i="9"/>
  <c r="I1086" i="9"/>
  <c r="H1086" i="9"/>
  <c r="G1086" i="9"/>
  <c r="F1086" i="9"/>
  <c r="E1086" i="9"/>
  <c r="D1086" i="9"/>
  <c r="C1086" i="9"/>
  <c r="B1086" i="9"/>
  <c r="P1085" i="9"/>
  <c r="O1085" i="9"/>
  <c r="N1085" i="9"/>
  <c r="M1085" i="9"/>
  <c r="L1085" i="9"/>
  <c r="K1085" i="9"/>
  <c r="J1085" i="9"/>
  <c r="I1085" i="9"/>
  <c r="H1085" i="9"/>
  <c r="G1085" i="9"/>
  <c r="F1085" i="9"/>
  <c r="E1085" i="9"/>
  <c r="D1085" i="9"/>
  <c r="C1085" i="9"/>
  <c r="B1085" i="9"/>
  <c r="P1084" i="9"/>
  <c r="O1084" i="9"/>
  <c r="N1084" i="9"/>
  <c r="M1084" i="9"/>
  <c r="L1084" i="9"/>
  <c r="K1084" i="9"/>
  <c r="J1084" i="9"/>
  <c r="I1084" i="9"/>
  <c r="H1084" i="9"/>
  <c r="G1084" i="9"/>
  <c r="F1084" i="9"/>
  <c r="E1084" i="9"/>
  <c r="D1084" i="9"/>
  <c r="C1084" i="9"/>
  <c r="B1084" i="9"/>
  <c r="P1083" i="9"/>
  <c r="O1083" i="9"/>
  <c r="N1083" i="9"/>
  <c r="M1083" i="9"/>
  <c r="L1083" i="9"/>
  <c r="K1083" i="9"/>
  <c r="J1083" i="9"/>
  <c r="I1083" i="9"/>
  <c r="H1083" i="9"/>
  <c r="G1083" i="9"/>
  <c r="F1083" i="9"/>
  <c r="E1083" i="9"/>
  <c r="D1083" i="9"/>
  <c r="C1083" i="9"/>
  <c r="B1083" i="9"/>
  <c r="P1082" i="9"/>
  <c r="O1082" i="9"/>
  <c r="N1082" i="9"/>
  <c r="M1082" i="9"/>
  <c r="L1082" i="9"/>
  <c r="K1082" i="9"/>
  <c r="J1082" i="9"/>
  <c r="I1082" i="9"/>
  <c r="H1082" i="9"/>
  <c r="G1082" i="9"/>
  <c r="F1082" i="9"/>
  <c r="E1082" i="9"/>
  <c r="D1082" i="9"/>
  <c r="C1082" i="9"/>
  <c r="B1082" i="9"/>
  <c r="P1081" i="9"/>
  <c r="O1081" i="9"/>
  <c r="N1081" i="9"/>
  <c r="M1081" i="9"/>
  <c r="L1081" i="9"/>
  <c r="K1081" i="9"/>
  <c r="J1081" i="9"/>
  <c r="I1081" i="9"/>
  <c r="H1081" i="9"/>
  <c r="G1081" i="9"/>
  <c r="F1081" i="9"/>
  <c r="E1081" i="9"/>
  <c r="D1081" i="9"/>
  <c r="C1081" i="9"/>
  <c r="B1081" i="9"/>
  <c r="P1080" i="9"/>
  <c r="O1080" i="9"/>
  <c r="N1080" i="9"/>
  <c r="M1080" i="9"/>
  <c r="L1080" i="9"/>
  <c r="K1080" i="9"/>
  <c r="J1080" i="9"/>
  <c r="I1080" i="9"/>
  <c r="H1080" i="9"/>
  <c r="G1080" i="9"/>
  <c r="F1080" i="9"/>
  <c r="E1080" i="9"/>
  <c r="D1080" i="9"/>
  <c r="C1080" i="9"/>
  <c r="B1080" i="9"/>
  <c r="P1079" i="9"/>
  <c r="O1079" i="9"/>
  <c r="N1079" i="9"/>
  <c r="M1079" i="9"/>
  <c r="L1079" i="9"/>
  <c r="K1079" i="9"/>
  <c r="J1079" i="9"/>
  <c r="I1079" i="9"/>
  <c r="H1079" i="9"/>
  <c r="G1079" i="9"/>
  <c r="F1079" i="9"/>
  <c r="E1079" i="9"/>
  <c r="D1079" i="9"/>
  <c r="C1079" i="9"/>
  <c r="B1079" i="9"/>
  <c r="P1078" i="9"/>
  <c r="O1078" i="9"/>
  <c r="N1078" i="9"/>
  <c r="M1078" i="9"/>
  <c r="L1078" i="9"/>
  <c r="K1078" i="9"/>
  <c r="J1078" i="9"/>
  <c r="I1078" i="9"/>
  <c r="H1078" i="9"/>
  <c r="G1078" i="9"/>
  <c r="F1078" i="9"/>
  <c r="E1078" i="9"/>
  <c r="D1078" i="9"/>
  <c r="C1078" i="9"/>
  <c r="B1078" i="9"/>
  <c r="P1077" i="9"/>
  <c r="O1077" i="9"/>
  <c r="N1077" i="9"/>
  <c r="M1077" i="9"/>
  <c r="L1077" i="9"/>
  <c r="K1077" i="9"/>
  <c r="J1077" i="9"/>
  <c r="I1077" i="9"/>
  <c r="H1077" i="9"/>
  <c r="G1077" i="9"/>
  <c r="F1077" i="9"/>
  <c r="E1077" i="9"/>
  <c r="D1077" i="9"/>
  <c r="C1077" i="9"/>
  <c r="B1077" i="9"/>
  <c r="P1076" i="9"/>
  <c r="O1076" i="9"/>
  <c r="N1076" i="9"/>
  <c r="M1076" i="9"/>
  <c r="L1076" i="9"/>
  <c r="K1076" i="9"/>
  <c r="J1076" i="9"/>
  <c r="I1076" i="9"/>
  <c r="H1076" i="9"/>
  <c r="G1076" i="9"/>
  <c r="F1076" i="9"/>
  <c r="E1076" i="9"/>
  <c r="D1076" i="9"/>
  <c r="C1076" i="9"/>
  <c r="B1076" i="9"/>
  <c r="P1075" i="9"/>
  <c r="O1075" i="9"/>
  <c r="N1075" i="9"/>
  <c r="M1075" i="9"/>
  <c r="L1075" i="9"/>
  <c r="K1075" i="9"/>
  <c r="J1075" i="9"/>
  <c r="I1075" i="9"/>
  <c r="H1075" i="9"/>
  <c r="G1075" i="9"/>
  <c r="F1075" i="9"/>
  <c r="E1075" i="9"/>
  <c r="D1075" i="9"/>
  <c r="C1075" i="9"/>
  <c r="B1075" i="9"/>
  <c r="P1074" i="9"/>
  <c r="O1074" i="9"/>
  <c r="N1074" i="9"/>
  <c r="M1074" i="9"/>
  <c r="L1074" i="9"/>
  <c r="K1074" i="9"/>
  <c r="J1074" i="9"/>
  <c r="I1074" i="9"/>
  <c r="H1074" i="9"/>
  <c r="G1074" i="9"/>
  <c r="F1074" i="9"/>
  <c r="E1074" i="9"/>
  <c r="D1074" i="9"/>
  <c r="C1074" i="9"/>
  <c r="B1074" i="9"/>
  <c r="P1073" i="9"/>
  <c r="O1073" i="9"/>
  <c r="N1073" i="9"/>
  <c r="M1073" i="9"/>
  <c r="L1073" i="9"/>
  <c r="K1073" i="9"/>
  <c r="J1073" i="9"/>
  <c r="I1073" i="9"/>
  <c r="H1073" i="9"/>
  <c r="G1073" i="9"/>
  <c r="F1073" i="9"/>
  <c r="E1073" i="9"/>
  <c r="D1073" i="9"/>
  <c r="C1073" i="9"/>
  <c r="B1073" i="9"/>
  <c r="P1072" i="9"/>
  <c r="O1072" i="9"/>
  <c r="N1072" i="9"/>
  <c r="M1072" i="9"/>
  <c r="L1072" i="9"/>
  <c r="K1072" i="9"/>
  <c r="J1072" i="9"/>
  <c r="I1072" i="9"/>
  <c r="H1072" i="9"/>
  <c r="G1072" i="9"/>
  <c r="F1072" i="9"/>
  <c r="E1072" i="9"/>
  <c r="D1072" i="9"/>
  <c r="C1072" i="9"/>
  <c r="B1072" i="9"/>
  <c r="P1071" i="9"/>
  <c r="O1071" i="9"/>
  <c r="N1071" i="9"/>
  <c r="M1071" i="9"/>
  <c r="L1071" i="9"/>
  <c r="K1071" i="9"/>
  <c r="J1071" i="9"/>
  <c r="I1071" i="9"/>
  <c r="H1071" i="9"/>
  <c r="G1071" i="9"/>
  <c r="F1071" i="9"/>
  <c r="E1071" i="9"/>
  <c r="D1071" i="9"/>
  <c r="C1071" i="9"/>
  <c r="B1071" i="9"/>
  <c r="P1070" i="9"/>
  <c r="O1070" i="9"/>
  <c r="N1070" i="9"/>
  <c r="M1070" i="9"/>
  <c r="L1070" i="9"/>
  <c r="K1070" i="9"/>
  <c r="J1070" i="9"/>
  <c r="I1070" i="9"/>
  <c r="H1070" i="9"/>
  <c r="G1070" i="9"/>
  <c r="F1070" i="9"/>
  <c r="E1070" i="9"/>
  <c r="D1070" i="9"/>
  <c r="C1070" i="9"/>
  <c r="B1070" i="9"/>
  <c r="P1069" i="9"/>
  <c r="O1069" i="9"/>
  <c r="N1069" i="9"/>
  <c r="M1069" i="9"/>
  <c r="L1069" i="9"/>
  <c r="K1069" i="9"/>
  <c r="J1069" i="9"/>
  <c r="I1069" i="9"/>
  <c r="H1069" i="9"/>
  <c r="G1069" i="9"/>
  <c r="F1069" i="9"/>
  <c r="E1069" i="9"/>
  <c r="D1069" i="9"/>
  <c r="C1069" i="9"/>
  <c r="B1069" i="9"/>
  <c r="P1068" i="9"/>
  <c r="O1068" i="9"/>
  <c r="N1068" i="9"/>
  <c r="M1068" i="9"/>
  <c r="L1068" i="9"/>
  <c r="K1068" i="9"/>
  <c r="J1068" i="9"/>
  <c r="I1068" i="9"/>
  <c r="H1068" i="9"/>
  <c r="G1068" i="9"/>
  <c r="F1068" i="9"/>
  <c r="E1068" i="9"/>
  <c r="D1068" i="9"/>
  <c r="C1068" i="9"/>
  <c r="B1068" i="9"/>
  <c r="P1067" i="9"/>
  <c r="O1067" i="9"/>
  <c r="N1067" i="9"/>
  <c r="M1067" i="9"/>
  <c r="L1067" i="9"/>
  <c r="K1067" i="9"/>
  <c r="J1067" i="9"/>
  <c r="I1067" i="9"/>
  <c r="H1067" i="9"/>
  <c r="G1067" i="9"/>
  <c r="F1067" i="9"/>
  <c r="E1067" i="9"/>
  <c r="D1067" i="9"/>
  <c r="C1067" i="9"/>
  <c r="B1067" i="9"/>
  <c r="P1066" i="9"/>
  <c r="O1066" i="9"/>
  <c r="N1066" i="9"/>
  <c r="M1066" i="9"/>
  <c r="L1066" i="9"/>
  <c r="K1066" i="9"/>
  <c r="J1066" i="9"/>
  <c r="I1066" i="9"/>
  <c r="H1066" i="9"/>
  <c r="G1066" i="9"/>
  <c r="F1066" i="9"/>
  <c r="E1066" i="9"/>
  <c r="D1066" i="9"/>
  <c r="C1066" i="9"/>
  <c r="B1066" i="9"/>
  <c r="P1065" i="9"/>
  <c r="O1065" i="9"/>
  <c r="N1065" i="9"/>
  <c r="M1065" i="9"/>
  <c r="L1065" i="9"/>
  <c r="K1065" i="9"/>
  <c r="J1065" i="9"/>
  <c r="I1065" i="9"/>
  <c r="H1065" i="9"/>
  <c r="G1065" i="9"/>
  <c r="F1065" i="9"/>
  <c r="E1065" i="9"/>
  <c r="D1065" i="9"/>
  <c r="C1065" i="9"/>
  <c r="B1065" i="9"/>
  <c r="P1064" i="9"/>
  <c r="O1064" i="9"/>
  <c r="N1064" i="9"/>
  <c r="M1064" i="9"/>
  <c r="L1064" i="9"/>
  <c r="K1064" i="9"/>
  <c r="J1064" i="9"/>
  <c r="I1064" i="9"/>
  <c r="H1064" i="9"/>
  <c r="G1064" i="9"/>
  <c r="F1064" i="9"/>
  <c r="E1064" i="9"/>
  <c r="D1064" i="9"/>
  <c r="C1064" i="9"/>
  <c r="B1064" i="9"/>
  <c r="P1063" i="9"/>
  <c r="O1063" i="9"/>
  <c r="N1063" i="9"/>
  <c r="M1063" i="9"/>
  <c r="L1063" i="9"/>
  <c r="K1063" i="9"/>
  <c r="J1063" i="9"/>
  <c r="I1063" i="9"/>
  <c r="H1063" i="9"/>
  <c r="G1063" i="9"/>
  <c r="F1063" i="9"/>
  <c r="E1063" i="9"/>
  <c r="D1063" i="9"/>
  <c r="C1063" i="9"/>
  <c r="B1063" i="9"/>
  <c r="P1062" i="9"/>
  <c r="O1062" i="9"/>
  <c r="N1062" i="9"/>
  <c r="M1062" i="9"/>
  <c r="L1062" i="9"/>
  <c r="K1062" i="9"/>
  <c r="J1062" i="9"/>
  <c r="I1062" i="9"/>
  <c r="H1062" i="9"/>
  <c r="G1062" i="9"/>
  <c r="F1062" i="9"/>
  <c r="E1062" i="9"/>
  <c r="D1062" i="9"/>
  <c r="C1062" i="9"/>
  <c r="B1062" i="9"/>
  <c r="P1061" i="9"/>
  <c r="O1061" i="9"/>
  <c r="N1061" i="9"/>
  <c r="M1061" i="9"/>
  <c r="L1061" i="9"/>
  <c r="K1061" i="9"/>
  <c r="J1061" i="9"/>
  <c r="I1061" i="9"/>
  <c r="H1061" i="9"/>
  <c r="G1061" i="9"/>
  <c r="F1061" i="9"/>
  <c r="E1061" i="9"/>
  <c r="D1061" i="9"/>
  <c r="C1061" i="9"/>
  <c r="B1061" i="9"/>
  <c r="P1060" i="9"/>
  <c r="O1060" i="9"/>
  <c r="N1060" i="9"/>
  <c r="M1060" i="9"/>
  <c r="L1060" i="9"/>
  <c r="K1060" i="9"/>
  <c r="J1060" i="9"/>
  <c r="I1060" i="9"/>
  <c r="H1060" i="9"/>
  <c r="G1060" i="9"/>
  <c r="F1060" i="9"/>
  <c r="E1060" i="9"/>
  <c r="D1060" i="9"/>
  <c r="C1060" i="9"/>
  <c r="B1060" i="9"/>
  <c r="P1059" i="9"/>
  <c r="O1059" i="9"/>
  <c r="N1059" i="9"/>
  <c r="M1059" i="9"/>
  <c r="L1059" i="9"/>
  <c r="K1059" i="9"/>
  <c r="J1059" i="9"/>
  <c r="I1059" i="9"/>
  <c r="H1059" i="9"/>
  <c r="G1059" i="9"/>
  <c r="F1059" i="9"/>
  <c r="E1059" i="9"/>
  <c r="D1059" i="9"/>
  <c r="C1059" i="9"/>
  <c r="B1059" i="9"/>
  <c r="P1058" i="9"/>
  <c r="O1058" i="9"/>
  <c r="N1058" i="9"/>
  <c r="M1058" i="9"/>
  <c r="L1058" i="9"/>
  <c r="K1058" i="9"/>
  <c r="J1058" i="9"/>
  <c r="I1058" i="9"/>
  <c r="H1058" i="9"/>
  <c r="G1058" i="9"/>
  <c r="F1058" i="9"/>
  <c r="E1058" i="9"/>
  <c r="D1058" i="9"/>
  <c r="C1058" i="9"/>
  <c r="B1058" i="9"/>
  <c r="P1057" i="9"/>
  <c r="O1057" i="9"/>
  <c r="N1057" i="9"/>
  <c r="M1057" i="9"/>
  <c r="L1057" i="9"/>
  <c r="K1057" i="9"/>
  <c r="J1057" i="9"/>
  <c r="I1057" i="9"/>
  <c r="H1057" i="9"/>
  <c r="G1057" i="9"/>
  <c r="F1057" i="9"/>
  <c r="E1057" i="9"/>
  <c r="D1057" i="9"/>
  <c r="C1057" i="9"/>
  <c r="B1057" i="9"/>
  <c r="P1056" i="9"/>
  <c r="O1056" i="9"/>
  <c r="N1056" i="9"/>
  <c r="M1056" i="9"/>
  <c r="L1056" i="9"/>
  <c r="K1056" i="9"/>
  <c r="J1056" i="9"/>
  <c r="I1056" i="9"/>
  <c r="H1056" i="9"/>
  <c r="G1056" i="9"/>
  <c r="F1056" i="9"/>
  <c r="E1056" i="9"/>
  <c r="D1056" i="9"/>
  <c r="C1056" i="9"/>
  <c r="B1056" i="9"/>
  <c r="P1055" i="9"/>
  <c r="O1055" i="9"/>
  <c r="N1055" i="9"/>
  <c r="M1055" i="9"/>
  <c r="L1055" i="9"/>
  <c r="K1055" i="9"/>
  <c r="J1055" i="9"/>
  <c r="I1055" i="9"/>
  <c r="H1055" i="9"/>
  <c r="G1055" i="9"/>
  <c r="F1055" i="9"/>
  <c r="E1055" i="9"/>
  <c r="D1055" i="9"/>
  <c r="C1055" i="9"/>
  <c r="B1055" i="9"/>
  <c r="P1054" i="9"/>
  <c r="O1054" i="9"/>
  <c r="N1054" i="9"/>
  <c r="M1054" i="9"/>
  <c r="L1054" i="9"/>
  <c r="K1054" i="9"/>
  <c r="J1054" i="9"/>
  <c r="I1054" i="9"/>
  <c r="H1054" i="9"/>
  <c r="G1054" i="9"/>
  <c r="F1054" i="9"/>
  <c r="E1054" i="9"/>
  <c r="D1054" i="9"/>
  <c r="C1054" i="9"/>
  <c r="B1054" i="9"/>
  <c r="P1053" i="9"/>
  <c r="O1053" i="9"/>
  <c r="N1053" i="9"/>
  <c r="M1053" i="9"/>
  <c r="L1053" i="9"/>
  <c r="K1053" i="9"/>
  <c r="J1053" i="9"/>
  <c r="I1053" i="9"/>
  <c r="H1053" i="9"/>
  <c r="G1053" i="9"/>
  <c r="F1053" i="9"/>
  <c r="E1053" i="9"/>
  <c r="D1053" i="9"/>
  <c r="C1053" i="9"/>
  <c r="B1053" i="9"/>
  <c r="P1052" i="9"/>
  <c r="O1052" i="9"/>
  <c r="N1052" i="9"/>
  <c r="M1052" i="9"/>
  <c r="L1052" i="9"/>
  <c r="K1052" i="9"/>
  <c r="J1052" i="9"/>
  <c r="I1052" i="9"/>
  <c r="H1052" i="9"/>
  <c r="G1052" i="9"/>
  <c r="F1052" i="9"/>
  <c r="E1052" i="9"/>
  <c r="D1052" i="9"/>
  <c r="C1052" i="9"/>
  <c r="B1052" i="9"/>
  <c r="P1051" i="9"/>
  <c r="O1051" i="9"/>
  <c r="N1051" i="9"/>
  <c r="M1051" i="9"/>
  <c r="L1051" i="9"/>
  <c r="K1051" i="9"/>
  <c r="J1051" i="9"/>
  <c r="I1051" i="9"/>
  <c r="H1051" i="9"/>
  <c r="G1051" i="9"/>
  <c r="F1051" i="9"/>
  <c r="E1051" i="9"/>
  <c r="D1051" i="9"/>
  <c r="C1051" i="9"/>
  <c r="B1051" i="9"/>
  <c r="P1050" i="9"/>
  <c r="O1050" i="9"/>
  <c r="N1050" i="9"/>
  <c r="M1050" i="9"/>
  <c r="L1050" i="9"/>
  <c r="K1050" i="9"/>
  <c r="J1050" i="9"/>
  <c r="I1050" i="9"/>
  <c r="H1050" i="9"/>
  <c r="G1050" i="9"/>
  <c r="F1050" i="9"/>
  <c r="E1050" i="9"/>
  <c r="D1050" i="9"/>
  <c r="C1050" i="9"/>
  <c r="B1050" i="9"/>
  <c r="P1049" i="9"/>
  <c r="O1049" i="9"/>
  <c r="N1049" i="9"/>
  <c r="M1049" i="9"/>
  <c r="L1049" i="9"/>
  <c r="K1049" i="9"/>
  <c r="J1049" i="9"/>
  <c r="I1049" i="9"/>
  <c r="H1049" i="9"/>
  <c r="G1049" i="9"/>
  <c r="F1049" i="9"/>
  <c r="E1049" i="9"/>
  <c r="D1049" i="9"/>
  <c r="C1049" i="9"/>
  <c r="B1049" i="9"/>
  <c r="P1048" i="9"/>
  <c r="O1048" i="9"/>
  <c r="N1048" i="9"/>
  <c r="M1048" i="9"/>
  <c r="L1048" i="9"/>
  <c r="K1048" i="9"/>
  <c r="J1048" i="9"/>
  <c r="I1048" i="9"/>
  <c r="H1048" i="9"/>
  <c r="G1048" i="9"/>
  <c r="F1048" i="9"/>
  <c r="E1048" i="9"/>
  <c r="D1048" i="9"/>
  <c r="C1048" i="9"/>
  <c r="B1048" i="9"/>
  <c r="P1047" i="9"/>
  <c r="O1047" i="9"/>
  <c r="N1047" i="9"/>
  <c r="M1047" i="9"/>
  <c r="L1047" i="9"/>
  <c r="K1047" i="9"/>
  <c r="J1047" i="9"/>
  <c r="I1047" i="9"/>
  <c r="H1047" i="9"/>
  <c r="G1047" i="9"/>
  <c r="F1047" i="9"/>
  <c r="E1047" i="9"/>
  <c r="D1047" i="9"/>
  <c r="C1047" i="9"/>
  <c r="B1047" i="9"/>
  <c r="P1046" i="9"/>
  <c r="O1046" i="9"/>
  <c r="N1046" i="9"/>
  <c r="M1046" i="9"/>
  <c r="L1046" i="9"/>
  <c r="K1046" i="9"/>
  <c r="J1046" i="9"/>
  <c r="I1046" i="9"/>
  <c r="H1046" i="9"/>
  <c r="G1046" i="9"/>
  <c r="F1046" i="9"/>
  <c r="E1046" i="9"/>
  <c r="D1046" i="9"/>
  <c r="C1046" i="9"/>
  <c r="B1046" i="9"/>
  <c r="P1045" i="9"/>
  <c r="O1045" i="9"/>
  <c r="N1045" i="9"/>
  <c r="M1045" i="9"/>
  <c r="L1045" i="9"/>
  <c r="K1045" i="9"/>
  <c r="J1045" i="9"/>
  <c r="I1045" i="9"/>
  <c r="H1045" i="9"/>
  <c r="G1045" i="9"/>
  <c r="F1045" i="9"/>
  <c r="E1045" i="9"/>
  <c r="D1045" i="9"/>
  <c r="C1045" i="9"/>
  <c r="B1045" i="9"/>
  <c r="P1044" i="9"/>
  <c r="O1044" i="9"/>
  <c r="N1044" i="9"/>
  <c r="M1044" i="9"/>
  <c r="L1044" i="9"/>
  <c r="K1044" i="9"/>
  <c r="J1044" i="9"/>
  <c r="I1044" i="9"/>
  <c r="H1044" i="9"/>
  <c r="G1044" i="9"/>
  <c r="F1044" i="9"/>
  <c r="E1044" i="9"/>
  <c r="D1044" i="9"/>
  <c r="C1044" i="9"/>
  <c r="B1044" i="9"/>
  <c r="P1043" i="9"/>
  <c r="O1043" i="9"/>
  <c r="N1043" i="9"/>
  <c r="M1043" i="9"/>
  <c r="L1043" i="9"/>
  <c r="K1043" i="9"/>
  <c r="J1043" i="9"/>
  <c r="I1043" i="9"/>
  <c r="H1043" i="9"/>
  <c r="G1043" i="9"/>
  <c r="F1043" i="9"/>
  <c r="E1043" i="9"/>
  <c r="D1043" i="9"/>
  <c r="C1043" i="9"/>
  <c r="B1043" i="9"/>
  <c r="P1042" i="9"/>
  <c r="O1042" i="9"/>
  <c r="N1042" i="9"/>
  <c r="M1042" i="9"/>
  <c r="L1042" i="9"/>
  <c r="K1042" i="9"/>
  <c r="J1042" i="9"/>
  <c r="I1042" i="9"/>
  <c r="H1042" i="9"/>
  <c r="G1042" i="9"/>
  <c r="F1042" i="9"/>
  <c r="E1042" i="9"/>
  <c r="D1042" i="9"/>
  <c r="C1042" i="9"/>
  <c r="B1042" i="9"/>
  <c r="P1041" i="9"/>
  <c r="O1041" i="9"/>
  <c r="N1041" i="9"/>
  <c r="M1041" i="9"/>
  <c r="L1041" i="9"/>
  <c r="K1041" i="9"/>
  <c r="J1041" i="9"/>
  <c r="I1041" i="9"/>
  <c r="H1041" i="9"/>
  <c r="G1041" i="9"/>
  <c r="F1041" i="9"/>
  <c r="E1041" i="9"/>
  <c r="D1041" i="9"/>
  <c r="C1041" i="9"/>
  <c r="B1041" i="9"/>
  <c r="P1040" i="9"/>
  <c r="O1040" i="9"/>
  <c r="N1040" i="9"/>
  <c r="M1040" i="9"/>
  <c r="L1040" i="9"/>
  <c r="K1040" i="9"/>
  <c r="J1040" i="9"/>
  <c r="I1040" i="9"/>
  <c r="H1040" i="9"/>
  <c r="G1040" i="9"/>
  <c r="F1040" i="9"/>
  <c r="E1040" i="9"/>
  <c r="D1040" i="9"/>
  <c r="C1040" i="9"/>
  <c r="B1040" i="9"/>
  <c r="P1039" i="9"/>
  <c r="O1039" i="9"/>
  <c r="N1039" i="9"/>
  <c r="M1039" i="9"/>
  <c r="L1039" i="9"/>
  <c r="K1039" i="9"/>
  <c r="J1039" i="9"/>
  <c r="I1039" i="9"/>
  <c r="H1039" i="9"/>
  <c r="G1039" i="9"/>
  <c r="F1039" i="9"/>
  <c r="E1039" i="9"/>
  <c r="D1039" i="9"/>
  <c r="C1039" i="9"/>
  <c r="B1039" i="9"/>
  <c r="P1038" i="9"/>
  <c r="O1038" i="9"/>
  <c r="N1038" i="9"/>
  <c r="M1038" i="9"/>
  <c r="L1038" i="9"/>
  <c r="K1038" i="9"/>
  <c r="J1038" i="9"/>
  <c r="I1038" i="9"/>
  <c r="H1038" i="9"/>
  <c r="G1038" i="9"/>
  <c r="F1038" i="9"/>
  <c r="E1038" i="9"/>
  <c r="D1038" i="9"/>
  <c r="C1038" i="9"/>
  <c r="B1038" i="9"/>
  <c r="P1037" i="9"/>
  <c r="O1037" i="9"/>
  <c r="N1037" i="9"/>
  <c r="M1037" i="9"/>
  <c r="L1037" i="9"/>
  <c r="K1037" i="9"/>
  <c r="J1037" i="9"/>
  <c r="I1037" i="9"/>
  <c r="H1037" i="9"/>
  <c r="G1037" i="9"/>
  <c r="F1037" i="9"/>
  <c r="E1037" i="9"/>
  <c r="D1037" i="9"/>
  <c r="C1037" i="9"/>
  <c r="B1037" i="9"/>
  <c r="P1036" i="9"/>
  <c r="O1036" i="9"/>
  <c r="N1036" i="9"/>
  <c r="M1036" i="9"/>
  <c r="L1036" i="9"/>
  <c r="K1036" i="9"/>
  <c r="J1036" i="9"/>
  <c r="I1036" i="9"/>
  <c r="H1036" i="9"/>
  <c r="G1036" i="9"/>
  <c r="F1036" i="9"/>
  <c r="E1036" i="9"/>
  <c r="D1036" i="9"/>
  <c r="C1036" i="9"/>
  <c r="B1036" i="9"/>
  <c r="P1035" i="9"/>
  <c r="O1035" i="9"/>
  <c r="N1035" i="9"/>
  <c r="M1035" i="9"/>
  <c r="L1035" i="9"/>
  <c r="K1035" i="9"/>
  <c r="J1035" i="9"/>
  <c r="I1035" i="9"/>
  <c r="H1035" i="9"/>
  <c r="G1035" i="9"/>
  <c r="F1035" i="9"/>
  <c r="E1035" i="9"/>
  <c r="D1035" i="9"/>
  <c r="C1035" i="9"/>
  <c r="B1035" i="9"/>
  <c r="P1034" i="9"/>
  <c r="O1034" i="9"/>
  <c r="N1034" i="9"/>
  <c r="M1034" i="9"/>
  <c r="L1034" i="9"/>
  <c r="K1034" i="9"/>
  <c r="J1034" i="9"/>
  <c r="I1034" i="9"/>
  <c r="H1034" i="9"/>
  <c r="G1034" i="9"/>
  <c r="F1034" i="9"/>
  <c r="E1034" i="9"/>
  <c r="D1034" i="9"/>
  <c r="C1034" i="9"/>
  <c r="B1034" i="9"/>
  <c r="P1033" i="9"/>
  <c r="O1033" i="9"/>
  <c r="N1033" i="9"/>
  <c r="M1033" i="9"/>
  <c r="L1033" i="9"/>
  <c r="K1033" i="9"/>
  <c r="J1033" i="9"/>
  <c r="I1033" i="9"/>
  <c r="H1033" i="9"/>
  <c r="G1033" i="9"/>
  <c r="F1033" i="9"/>
  <c r="E1033" i="9"/>
  <c r="D1033" i="9"/>
  <c r="C1033" i="9"/>
  <c r="B1033" i="9"/>
  <c r="P1032" i="9"/>
  <c r="O1032" i="9"/>
  <c r="N1032" i="9"/>
  <c r="M1032" i="9"/>
  <c r="L1032" i="9"/>
  <c r="K1032" i="9"/>
  <c r="J1032" i="9"/>
  <c r="I1032" i="9"/>
  <c r="H1032" i="9"/>
  <c r="G1032" i="9"/>
  <c r="F1032" i="9"/>
  <c r="E1032" i="9"/>
  <c r="D1032" i="9"/>
  <c r="C1032" i="9"/>
  <c r="B1032" i="9"/>
  <c r="P1031" i="9"/>
  <c r="O1031" i="9"/>
  <c r="N1031" i="9"/>
  <c r="M1031" i="9"/>
  <c r="L1031" i="9"/>
  <c r="K1031" i="9"/>
  <c r="J1031" i="9"/>
  <c r="I1031" i="9"/>
  <c r="H1031" i="9"/>
  <c r="G1031" i="9"/>
  <c r="F1031" i="9"/>
  <c r="E1031" i="9"/>
  <c r="D1031" i="9"/>
  <c r="C1031" i="9"/>
  <c r="B1031" i="9"/>
  <c r="P1030" i="9"/>
  <c r="O1030" i="9"/>
  <c r="N1030" i="9"/>
  <c r="M1030" i="9"/>
  <c r="L1030" i="9"/>
  <c r="K1030" i="9"/>
  <c r="J1030" i="9"/>
  <c r="I1030" i="9"/>
  <c r="H1030" i="9"/>
  <c r="G1030" i="9"/>
  <c r="F1030" i="9"/>
  <c r="E1030" i="9"/>
  <c r="D1030" i="9"/>
  <c r="C1030" i="9"/>
  <c r="B1030" i="9"/>
  <c r="P1029" i="9"/>
  <c r="O1029" i="9"/>
  <c r="N1029" i="9"/>
  <c r="M1029" i="9"/>
  <c r="L1029" i="9"/>
  <c r="K1029" i="9"/>
  <c r="J1029" i="9"/>
  <c r="I1029" i="9"/>
  <c r="H1029" i="9"/>
  <c r="G1029" i="9"/>
  <c r="F1029" i="9"/>
  <c r="E1029" i="9"/>
  <c r="D1029" i="9"/>
  <c r="C1029" i="9"/>
  <c r="B1029" i="9"/>
  <c r="P1028" i="9"/>
  <c r="O1028" i="9"/>
  <c r="N1028" i="9"/>
  <c r="M1028" i="9"/>
  <c r="L1028" i="9"/>
  <c r="K1028" i="9"/>
  <c r="J1028" i="9"/>
  <c r="I1028" i="9"/>
  <c r="H1028" i="9"/>
  <c r="G1028" i="9"/>
  <c r="F1028" i="9"/>
  <c r="E1028" i="9"/>
  <c r="D1028" i="9"/>
  <c r="C1028" i="9"/>
  <c r="B1028" i="9"/>
  <c r="P1027" i="9"/>
  <c r="O1027" i="9"/>
  <c r="N1027" i="9"/>
  <c r="M1027" i="9"/>
  <c r="L1027" i="9"/>
  <c r="K1027" i="9"/>
  <c r="J1027" i="9"/>
  <c r="I1027" i="9"/>
  <c r="H1027" i="9"/>
  <c r="G1027" i="9"/>
  <c r="F1027" i="9"/>
  <c r="E1027" i="9"/>
  <c r="D1027" i="9"/>
  <c r="C1027" i="9"/>
  <c r="B1027" i="9"/>
  <c r="P1026" i="9"/>
  <c r="O1026" i="9"/>
  <c r="N1026" i="9"/>
  <c r="M1026" i="9"/>
  <c r="L1026" i="9"/>
  <c r="K1026" i="9"/>
  <c r="J1026" i="9"/>
  <c r="I1026" i="9"/>
  <c r="H1026" i="9"/>
  <c r="G1026" i="9"/>
  <c r="F1026" i="9"/>
  <c r="E1026" i="9"/>
  <c r="D1026" i="9"/>
  <c r="C1026" i="9"/>
  <c r="B1026" i="9"/>
  <c r="P1025" i="9"/>
  <c r="O1025" i="9"/>
  <c r="N1025" i="9"/>
  <c r="M1025" i="9"/>
  <c r="L1025" i="9"/>
  <c r="K1025" i="9"/>
  <c r="J1025" i="9"/>
  <c r="I1025" i="9"/>
  <c r="H1025" i="9"/>
  <c r="G1025" i="9"/>
  <c r="F1025" i="9"/>
  <c r="E1025" i="9"/>
  <c r="D1025" i="9"/>
  <c r="C1025" i="9"/>
  <c r="B1025" i="9"/>
  <c r="P1024" i="9"/>
  <c r="O1024" i="9"/>
  <c r="N1024" i="9"/>
  <c r="M1024" i="9"/>
  <c r="L1024" i="9"/>
  <c r="K1024" i="9"/>
  <c r="J1024" i="9"/>
  <c r="I1024" i="9"/>
  <c r="H1024" i="9"/>
  <c r="G1024" i="9"/>
  <c r="F1024" i="9"/>
  <c r="E1024" i="9"/>
  <c r="D1024" i="9"/>
  <c r="C1024" i="9"/>
  <c r="B1024" i="9"/>
  <c r="P1023" i="9"/>
  <c r="O1023" i="9"/>
  <c r="N1023" i="9"/>
  <c r="M1023" i="9"/>
  <c r="L1023" i="9"/>
  <c r="K1023" i="9"/>
  <c r="J1023" i="9"/>
  <c r="I1023" i="9"/>
  <c r="H1023" i="9"/>
  <c r="G1023" i="9"/>
  <c r="F1023" i="9"/>
  <c r="E1023" i="9"/>
  <c r="D1023" i="9"/>
  <c r="C1023" i="9"/>
  <c r="B1023" i="9"/>
  <c r="P1022" i="9"/>
  <c r="O1022" i="9"/>
  <c r="N1022" i="9"/>
  <c r="M1022" i="9"/>
  <c r="L1022" i="9"/>
  <c r="K1022" i="9"/>
  <c r="J1022" i="9"/>
  <c r="I1022" i="9"/>
  <c r="H1022" i="9"/>
  <c r="G1022" i="9"/>
  <c r="F1022" i="9"/>
  <c r="E1022" i="9"/>
  <c r="D1022" i="9"/>
  <c r="C1022" i="9"/>
  <c r="B1022" i="9"/>
  <c r="P1021" i="9"/>
  <c r="O1021" i="9"/>
  <c r="N1021" i="9"/>
  <c r="M1021" i="9"/>
  <c r="L1021" i="9"/>
  <c r="K1021" i="9"/>
  <c r="J1021" i="9"/>
  <c r="I1021" i="9"/>
  <c r="H1021" i="9"/>
  <c r="G1021" i="9"/>
  <c r="F1021" i="9"/>
  <c r="E1021" i="9"/>
  <c r="D1021" i="9"/>
  <c r="C1021" i="9"/>
  <c r="B1021" i="9"/>
  <c r="P1020" i="9"/>
  <c r="O1020" i="9"/>
  <c r="N1020" i="9"/>
  <c r="M1020" i="9"/>
  <c r="L1020" i="9"/>
  <c r="K1020" i="9"/>
  <c r="J1020" i="9"/>
  <c r="I1020" i="9"/>
  <c r="H1020" i="9"/>
  <c r="G1020" i="9"/>
  <c r="F1020" i="9"/>
  <c r="E1020" i="9"/>
  <c r="D1020" i="9"/>
  <c r="C1020" i="9"/>
  <c r="B1020" i="9"/>
  <c r="P1019" i="9"/>
  <c r="O1019" i="9"/>
  <c r="N1019" i="9"/>
  <c r="M1019" i="9"/>
  <c r="L1019" i="9"/>
  <c r="K1019" i="9"/>
  <c r="J1019" i="9"/>
  <c r="I1019" i="9"/>
  <c r="H1019" i="9"/>
  <c r="G1019" i="9"/>
  <c r="F1019" i="9"/>
  <c r="E1019" i="9"/>
  <c r="D1019" i="9"/>
  <c r="C1019" i="9"/>
  <c r="B1019" i="9"/>
  <c r="P1018" i="9"/>
  <c r="O1018" i="9"/>
  <c r="N1018" i="9"/>
  <c r="M1018" i="9"/>
  <c r="L1018" i="9"/>
  <c r="K1018" i="9"/>
  <c r="J1018" i="9"/>
  <c r="I1018" i="9"/>
  <c r="H1018" i="9"/>
  <c r="G1018" i="9"/>
  <c r="F1018" i="9"/>
  <c r="E1018" i="9"/>
  <c r="D1018" i="9"/>
  <c r="C1018" i="9"/>
  <c r="B1018" i="9"/>
  <c r="P1017" i="9"/>
  <c r="O1017" i="9"/>
  <c r="N1017" i="9"/>
  <c r="M1017" i="9"/>
  <c r="L1017" i="9"/>
  <c r="K1017" i="9"/>
  <c r="J1017" i="9"/>
  <c r="I1017" i="9"/>
  <c r="H1017" i="9"/>
  <c r="G1017" i="9"/>
  <c r="F1017" i="9"/>
  <c r="E1017" i="9"/>
  <c r="D1017" i="9"/>
  <c r="C1017" i="9"/>
  <c r="B1017" i="9"/>
  <c r="P1016" i="9"/>
  <c r="O1016" i="9"/>
  <c r="N1016" i="9"/>
  <c r="M1016" i="9"/>
  <c r="L1016" i="9"/>
  <c r="K1016" i="9"/>
  <c r="J1016" i="9"/>
  <c r="I1016" i="9"/>
  <c r="H1016" i="9"/>
  <c r="G1016" i="9"/>
  <c r="F1016" i="9"/>
  <c r="E1016" i="9"/>
  <c r="D1016" i="9"/>
  <c r="C1016" i="9"/>
  <c r="B1016" i="9"/>
  <c r="P1015" i="9"/>
  <c r="O1015" i="9"/>
  <c r="N1015" i="9"/>
  <c r="M1015" i="9"/>
  <c r="L1015" i="9"/>
  <c r="K1015" i="9"/>
  <c r="J1015" i="9"/>
  <c r="I1015" i="9"/>
  <c r="H1015" i="9"/>
  <c r="G1015" i="9"/>
  <c r="F1015" i="9"/>
  <c r="E1015" i="9"/>
  <c r="D1015" i="9"/>
  <c r="C1015" i="9"/>
  <c r="B1015" i="9"/>
  <c r="P1014" i="9"/>
  <c r="O1014" i="9"/>
  <c r="N1014" i="9"/>
  <c r="M1014" i="9"/>
  <c r="L1014" i="9"/>
  <c r="K1014" i="9"/>
  <c r="J1014" i="9"/>
  <c r="I1014" i="9"/>
  <c r="H1014" i="9"/>
  <c r="G1014" i="9"/>
  <c r="F1014" i="9"/>
  <c r="E1014" i="9"/>
  <c r="D1014" i="9"/>
  <c r="C1014" i="9"/>
  <c r="B1014" i="9"/>
  <c r="P1013" i="9"/>
  <c r="O1013" i="9"/>
  <c r="N1013" i="9"/>
  <c r="M1013" i="9"/>
  <c r="L1013" i="9"/>
  <c r="K1013" i="9"/>
  <c r="J1013" i="9"/>
  <c r="I1013" i="9"/>
  <c r="H1013" i="9"/>
  <c r="G1013" i="9"/>
  <c r="F1013" i="9"/>
  <c r="E1013" i="9"/>
  <c r="D1013" i="9"/>
  <c r="C1013" i="9"/>
  <c r="B1013" i="9"/>
  <c r="P1012" i="9"/>
  <c r="O1012" i="9"/>
  <c r="N1012" i="9"/>
  <c r="M1012" i="9"/>
  <c r="L1012" i="9"/>
  <c r="K1012" i="9"/>
  <c r="J1012" i="9"/>
  <c r="I1012" i="9"/>
  <c r="H1012" i="9"/>
  <c r="G1012" i="9"/>
  <c r="F1012" i="9"/>
  <c r="E1012" i="9"/>
  <c r="D1012" i="9"/>
  <c r="C1012" i="9"/>
  <c r="B1012" i="9"/>
  <c r="P1011" i="9"/>
  <c r="O1011" i="9"/>
  <c r="N1011" i="9"/>
  <c r="M1011" i="9"/>
  <c r="L1011" i="9"/>
  <c r="K1011" i="9"/>
  <c r="J1011" i="9"/>
  <c r="I1011" i="9"/>
  <c r="H1011" i="9"/>
  <c r="G1011" i="9"/>
  <c r="F1011" i="9"/>
  <c r="E1011" i="9"/>
  <c r="D1011" i="9"/>
  <c r="C1011" i="9"/>
  <c r="B1011" i="9"/>
  <c r="P1010" i="9"/>
  <c r="O1010" i="9"/>
  <c r="N1010" i="9"/>
  <c r="M1010" i="9"/>
  <c r="L1010" i="9"/>
  <c r="K1010" i="9"/>
  <c r="J1010" i="9"/>
  <c r="I1010" i="9"/>
  <c r="H1010" i="9"/>
  <c r="G1010" i="9"/>
  <c r="F1010" i="9"/>
  <c r="E1010" i="9"/>
  <c r="D1010" i="9"/>
  <c r="C1010" i="9"/>
  <c r="B1010" i="9"/>
  <c r="P1009" i="9"/>
  <c r="O1009" i="9"/>
  <c r="N1009" i="9"/>
  <c r="M1009" i="9"/>
  <c r="L1009" i="9"/>
  <c r="K1009" i="9"/>
  <c r="J1009" i="9"/>
  <c r="I1009" i="9"/>
  <c r="H1009" i="9"/>
  <c r="G1009" i="9"/>
  <c r="F1009" i="9"/>
  <c r="E1009" i="9"/>
  <c r="D1009" i="9"/>
  <c r="C1009" i="9"/>
  <c r="B1009" i="9"/>
  <c r="P1008" i="9"/>
  <c r="O1008" i="9"/>
  <c r="N1008" i="9"/>
  <c r="M1008" i="9"/>
  <c r="L1008" i="9"/>
  <c r="K1008" i="9"/>
  <c r="J1008" i="9"/>
  <c r="I1008" i="9"/>
  <c r="H1008" i="9"/>
  <c r="G1008" i="9"/>
  <c r="F1008" i="9"/>
  <c r="E1008" i="9"/>
  <c r="D1008" i="9"/>
  <c r="C1008" i="9"/>
  <c r="B1008" i="9"/>
  <c r="P1007" i="9"/>
  <c r="O1007" i="9"/>
  <c r="N1007" i="9"/>
  <c r="M1007" i="9"/>
  <c r="L1007" i="9"/>
  <c r="K1007" i="9"/>
  <c r="J1007" i="9"/>
  <c r="I1007" i="9"/>
  <c r="H1007" i="9"/>
  <c r="G1007" i="9"/>
  <c r="F1007" i="9"/>
  <c r="E1007" i="9"/>
  <c r="D1007" i="9"/>
  <c r="C1007" i="9"/>
  <c r="B1007" i="9"/>
  <c r="P1006" i="9"/>
  <c r="O1006" i="9"/>
  <c r="N1006" i="9"/>
  <c r="M1006" i="9"/>
  <c r="L1006" i="9"/>
  <c r="K1006" i="9"/>
  <c r="J1006" i="9"/>
  <c r="I1006" i="9"/>
  <c r="H1006" i="9"/>
  <c r="G1006" i="9"/>
  <c r="F1006" i="9"/>
  <c r="E1006" i="9"/>
  <c r="D1006" i="9"/>
  <c r="C1006" i="9"/>
  <c r="B1006" i="9"/>
  <c r="P1005" i="9"/>
  <c r="O1005" i="9"/>
  <c r="N1005" i="9"/>
  <c r="M1005" i="9"/>
  <c r="L1005" i="9"/>
  <c r="K1005" i="9"/>
  <c r="J1005" i="9"/>
  <c r="I1005" i="9"/>
  <c r="H1005" i="9"/>
  <c r="G1005" i="9"/>
  <c r="F1005" i="9"/>
  <c r="E1005" i="9"/>
  <c r="D1005" i="9"/>
  <c r="C1005" i="9"/>
  <c r="B1005" i="9"/>
  <c r="P1004" i="9"/>
  <c r="O1004" i="9"/>
  <c r="N1004" i="9"/>
  <c r="M1004" i="9"/>
  <c r="L1004" i="9"/>
  <c r="K1004" i="9"/>
  <c r="J1004" i="9"/>
  <c r="I1004" i="9"/>
  <c r="H1004" i="9"/>
  <c r="G1004" i="9"/>
  <c r="F1004" i="9"/>
  <c r="E1004" i="9"/>
  <c r="D1004" i="9"/>
  <c r="C1004" i="9"/>
  <c r="B1004" i="9"/>
  <c r="P1003" i="9"/>
  <c r="O1003" i="9"/>
  <c r="N1003" i="9"/>
  <c r="M1003" i="9"/>
  <c r="L1003" i="9"/>
  <c r="K1003" i="9"/>
  <c r="J1003" i="9"/>
  <c r="I1003" i="9"/>
  <c r="H1003" i="9"/>
  <c r="G1003" i="9"/>
  <c r="F1003" i="9"/>
  <c r="E1003" i="9"/>
  <c r="D1003" i="9"/>
  <c r="C1003" i="9"/>
  <c r="B1003" i="9"/>
  <c r="P1002" i="9"/>
  <c r="O1002" i="9"/>
  <c r="N1002" i="9"/>
  <c r="M1002" i="9"/>
  <c r="L1002" i="9"/>
  <c r="K1002" i="9"/>
  <c r="J1002" i="9"/>
  <c r="I1002" i="9"/>
  <c r="H1002" i="9"/>
  <c r="G1002" i="9"/>
  <c r="F1002" i="9"/>
  <c r="E1002" i="9"/>
  <c r="D1002" i="9"/>
  <c r="C1002" i="9"/>
  <c r="B1002" i="9"/>
  <c r="P1001" i="9"/>
  <c r="O1001" i="9"/>
  <c r="N1001" i="9"/>
  <c r="M1001" i="9"/>
  <c r="L1001" i="9"/>
  <c r="K1001" i="9"/>
  <c r="J1001" i="9"/>
  <c r="I1001" i="9"/>
  <c r="H1001" i="9"/>
  <c r="G1001" i="9"/>
  <c r="F1001" i="9"/>
  <c r="E1001" i="9"/>
  <c r="D1001" i="9"/>
  <c r="C1001" i="9"/>
  <c r="B1001" i="9"/>
  <c r="P1000" i="9"/>
  <c r="O1000" i="9"/>
  <c r="N1000" i="9"/>
  <c r="M1000" i="9"/>
  <c r="L1000" i="9"/>
  <c r="K1000" i="9"/>
  <c r="J1000" i="9"/>
  <c r="I1000" i="9"/>
  <c r="H1000" i="9"/>
  <c r="G1000" i="9"/>
  <c r="F1000" i="9"/>
  <c r="E1000" i="9"/>
  <c r="D1000" i="9"/>
  <c r="C1000" i="9"/>
  <c r="B1000" i="9"/>
  <c r="P999" i="9"/>
  <c r="O999" i="9"/>
  <c r="N999" i="9"/>
  <c r="M999" i="9"/>
  <c r="L999" i="9"/>
  <c r="K999" i="9"/>
  <c r="J999" i="9"/>
  <c r="I999" i="9"/>
  <c r="H999" i="9"/>
  <c r="G999" i="9"/>
  <c r="F999" i="9"/>
  <c r="E999" i="9"/>
  <c r="D999" i="9"/>
  <c r="C999" i="9"/>
  <c r="B999" i="9"/>
  <c r="P998" i="9"/>
  <c r="O998" i="9"/>
  <c r="N998" i="9"/>
  <c r="M998" i="9"/>
  <c r="L998" i="9"/>
  <c r="K998" i="9"/>
  <c r="J998" i="9"/>
  <c r="I998" i="9"/>
  <c r="H998" i="9"/>
  <c r="G998" i="9"/>
  <c r="F998" i="9"/>
  <c r="E998" i="9"/>
  <c r="D998" i="9"/>
  <c r="C998" i="9"/>
  <c r="B998" i="9"/>
  <c r="P997" i="9"/>
  <c r="O997" i="9"/>
  <c r="N997" i="9"/>
  <c r="M997" i="9"/>
  <c r="L997" i="9"/>
  <c r="K997" i="9"/>
  <c r="J997" i="9"/>
  <c r="I997" i="9"/>
  <c r="H997" i="9"/>
  <c r="G997" i="9"/>
  <c r="F997" i="9"/>
  <c r="E997" i="9"/>
  <c r="D997" i="9"/>
  <c r="C997" i="9"/>
  <c r="B997" i="9"/>
  <c r="P996" i="9"/>
  <c r="O996" i="9"/>
  <c r="N996" i="9"/>
  <c r="M996" i="9"/>
  <c r="L996" i="9"/>
  <c r="K996" i="9"/>
  <c r="J996" i="9"/>
  <c r="I996" i="9"/>
  <c r="H996" i="9"/>
  <c r="G996" i="9"/>
  <c r="F996" i="9"/>
  <c r="E996" i="9"/>
  <c r="D996" i="9"/>
  <c r="C996" i="9"/>
  <c r="B996" i="9"/>
  <c r="P995" i="9"/>
  <c r="O995" i="9"/>
  <c r="N995" i="9"/>
  <c r="M995" i="9"/>
  <c r="L995" i="9"/>
  <c r="K995" i="9"/>
  <c r="J995" i="9"/>
  <c r="I995" i="9"/>
  <c r="H995" i="9"/>
  <c r="G995" i="9"/>
  <c r="F995" i="9"/>
  <c r="E995" i="9"/>
  <c r="D995" i="9"/>
  <c r="C995" i="9"/>
  <c r="B995" i="9"/>
  <c r="P994" i="9"/>
  <c r="O994" i="9"/>
  <c r="N994" i="9"/>
  <c r="M994" i="9"/>
  <c r="L994" i="9"/>
  <c r="K994" i="9"/>
  <c r="J994" i="9"/>
  <c r="I994" i="9"/>
  <c r="H994" i="9"/>
  <c r="G994" i="9"/>
  <c r="F994" i="9"/>
  <c r="E994" i="9"/>
  <c r="D994" i="9"/>
  <c r="C994" i="9"/>
  <c r="B994" i="9"/>
  <c r="P993" i="9"/>
  <c r="O993" i="9"/>
  <c r="N993" i="9"/>
  <c r="M993" i="9"/>
  <c r="L993" i="9"/>
  <c r="K993" i="9"/>
  <c r="J993" i="9"/>
  <c r="I993" i="9"/>
  <c r="H993" i="9"/>
  <c r="G993" i="9"/>
  <c r="F993" i="9"/>
  <c r="E993" i="9"/>
  <c r="D993" i="9"/>
  <c r="C993" i="9"/>
  <c r="B993" i="9"/>
  <c r="P992" i="9"/>
  <c r="O992" i="9"/>
  <c r="N992" i="9"/>
  <c r="M992" i="9"/>
  <c r="L992" i="9"/>
  <c r="K992" i="9"/>
  <c r="J992" i="9"/>
  <c r="I992" i="9"/>
  <c r="H992" i="9"/>
  <c r="G992" i="9"/>
  <c r="F992" i="9"/>
  <c r="E992" i="9"/>
  <c r="D992" i="9"/>
  <c r="C992" i="9"/>
  <c r="B992" i="9"/>
  <c r="P991" i="9"/>
  <c r="O991" i="9"/>
  <c r="N991" i="9"/>
  <c r="M991" i="9"/>
  <c r="L991" i="9"/>
  <c r="K991" i="9"/>
  <c r="J991" i="9"/>
  <c r="I991" i="9"/>
  <c r="H991" i="9"/>
  <c r="G991" i="9"/>
  <c r="F991" i="9"/>
  <c r="E991" i="9"/>
  <c r="D991" i="9"/>
  <c r="C991" i="9"/>
  <c r="B991" i="9"/>
  <c r="P990" i="9"/>
  <c r="O990" i="9"/>
  <c r="N990" i="9"/>
  <c r="M990" i="9"/>
  <c r="L990" i="9"/>
  <c r="K990" i="9"/>
  <c r="J990" i="9"/>
  <c r="I990" i="9"/>
  <c r="H990" i="9"/>
  <c r="G990" i="9"/>
  <c r="F990" i="9"/>
  <c r="E990" i="9"/>
  <c r="D990" i="9"/>
  <c r="C990" i="9"/>
  <c r="B990" i="9"/>
  <c r="P989" i="9"/>
  <c r="O989" i="9"/>
  <c r="N989" i="9"/>
  <c r="M989" i="9"/>
  <c r="L989" i="9"/>
  <c r="K989" i="9"/>
  <c r="J989" i="9"/>
  <c r="I989" i="9"/>
  <c r="H989" i="9"/>
  <c r="G989" i="9"/>
  <c r="F989" i="9"/>
  <c r="E989" i="9"/>
  <c r="D989" i="9"/>
  <c r="C989" i="9"/>
  <c r="B989" i="9"/>
  <c r="P988" i="9"/>
  <c r="O988" i="9"/>
  <c r="N988" i="9"/>
  <c r="M988" i="9"/>
  <c r="L988" i="9"/>
  <c r="K988" i="9"/>
  <c r="J988" i="9"/>
  <c r="I988" i="9"/>
  <c r="H988" i="9"/>
  <c r="G988" i="9"/>
  <c r="F988" i="9"/>
  <c r="E988" i="9"/>
  <c r="D988" i="9"/>
  <c r="C988" i="9"/>
  <c r="B988" i="9"/>
  <c r="P987" i="9"/>
  <c r="O987" i="9"/>
  <c r="N987" i="9"/>
  <c r="M987" i="9"/>
  <c r="L987" i="9"/>
  <c r="K987" i="9"/>
  <c r="J987" i="9"/>
  <c r="I987" i="9"/>
  <c r="H987" i="9"/>
  <c r="G987" i="9"/>
  <c r="F987" i="9"/>
  <c r="E987" i="9"/>
  <c r="D987" i="9"/>
  <c r="C987" i="9"/>
  <c r="B987" i="9"/>
  <c r="P986" i="9"/>
  <c r="O986" i="9"/>
  <c r="N986" i="9"/>
  <c r="M986" i="9"/>
  <c r="L986" i="9"/>
  <c r="K986" i="9"/>
  <c r="J986" i="9"/>
  <c r="I986" i="9"/>
  <c r="H986" i="9"/>
  <c r="G986" i="9"/>
  <c r="F986" i="9"/>
  <c r="E986" i="9"/>
  <c r="D986" i="9"/>
  <c r="C986" i="9"/>
  <c r="B986" i="9"/>
  <c r="P985" i="9"/>
  <c r="O985" i="9"/>
  <c r="N985" i="9"/>
  <c r="M985" i="9"/>
  <c r="L985" i="9"/>
  <c r="K985" i="9"/>
  <c r="J985" i="9"/>
  <c r="I985" i="9"/>
  <c r="H985" i="9"/>
  <c r="G985" i="9"/>
  <c r="F985" i="9"/>
  <c r="E985" i="9"/>
  <c r="D985" i="9"/>
  <c r="C985" i="9"/>
  <c r="B985" i="9"/>
  <c r="P984" i="9"/>
  <c r="O984" i="9"/>
  <c r="N984" i="9"/>
  <c r="M984" i="9"/>
  <c r="L984" i="9"/>
  <c r="K984" i="9"/>
  <c r="J984" i="9"/>
  <c r="I984" i="9"/>
  <c r="H984" i="9"/>
  <c r="G984" i="9"/>
  <c r="F984" i="9"/>
  <c r="E984" i="9"/>
  <c r="D984" i="9"/>
  <c r="C984" i="9"/>
  <c r="B984" i="9"/>
  <c r="P983" i="9"/>
  <c r="O983" i="9"/>
  <c r="N983" i="9"/>
  <c r="M983" i="9"/>
  <c r="L983" i="9"/>
  <c r="K983" i="9"/>
  <c r="J983" i="9"/>
  <c r="I983" i="9"/>
  <c r="H983" i="9"/>
  <c r="G983" i="9"/>
  <c r="F983" i="9"/>
  <c r="E983" i="9"/>
  <c r="D983" i="9"/>
  <c r="C983" i="9"/>
  <c r="B983" i="9"/>
  <c r="P982" i="9"/>
  <c r="O982" i="9"/>
  <c r="N982" i="9"/>
  <c r="M982" i="9"/>
  <c r="L982" i="9"/>
  <c r="K982" i="9"/>
  <c r="J982" i="9"/>
  <c r="I982" i="9"/>
  <c r="H982" i="9"/>
  <c r="G982" i="9"/>
  <c r="F982" i="9"/>
  <c r="E982" i="9"/>
  <c r="D982" i="9"/>
  <c r="C982" i="9"/>
  <c r="B982" i="9"/>
  <c r="P981" i="9"/>
  <c r="O981" i="9"/>
  <c r="N981" i="9"/>
  <c r="M981" i="9"/>
  <c r="L981" i="9"/>
  <c r="K981" i="9"/>
  <c r="J981" i="9"/>
  <c r="I981" i="9"/>
  <c r="H981" i="9"/>
  <c r="G981" i="9"/>
  <c r="F981" i="9"/>
  <c r="E981" i="9"/>
  <c r="D981" i="9"/>
  <c r="C981" i="9"/>
  <c r="B981" i="9"/>
  <c r="P980" i="9"/>
  <c r="O980" i="9"/>
  <c r="N980" i="9"/>
  <c r="M980" i="9"/>
  <c r="L980" i="9"/>
  <c r="K980" i="9"/>
  <c r="J980" i="9"/>
  <c r="I980" i="9"/>
  <c r="H980" i="9"/>
  <c r="G980" i="9"/>
  <c r="F980" i="9"/>
  <c r="E980" i="9"/>
  <c r="D980" i="9"/>
  <c r="C980" i="9"/>
  <c r="B980" i="9"/>
  <c r="P979" i="9"/>
  <c r="O979" i="9"/>
  <c r="N979" i="9"/>
  <c r="M979" i="9"/>
  <c r="L979" i="9"/>
  <c r="K979" i="9"/>
  <c r="J979" i="9"/>
  <c r="I979" i="9"/>
  <c r="H979" i="9"/>
  <c r="G979" i="9"/>
  <c r="F979" i="9"/>
  <c r="E979" i="9"/>
  <c r="D979" i="9"/>
  <c r="C979" i="9"/>
  <c r="B979" i="9"/>
  <c r="P978" i="9"/>
  <c r="O978" i="9"/>
  <c r="N978" i="9"/>
  <c r="M978" i="9"/>
  <c r="L978" i="9"/>
  <c r="K978" i="9"/>
  <c r="J978" i="9"/>
  <c r="I978" i="9"/>
  <c r="H978" i="9"/>
  <c r="G978" i="9"/>
  <c r="F978" i="9"/>
  <c r="E978" i="9"/>
  <c r="D978" i="9"/>
  <c r="C978" i="9"/>
  <c r="B978" i="9"/>
  <c r="P977" i="9"/>
  <c r="O977" i="9"/>
  <c r="N977" i="9"/>
  <c r="M977" i="9"/>
  <c r="L977" i="9"/>
  <c r="K977" i="9"/>
  <c r="J977" i="9"/>
  <c r="I977" i="9"/>
  <c r="H977" i="9"/>
  <c r="G977" i="9"/>
  <c r="F977" i="9"/>
  <c r="E977" i="9"/>
  <c r="D977" i="9"/>
  <c r="C977" i="9"/>
  <c r="B977" i="9"/>
  <c r="P976" i="9"/>
  <c r="O976" i="9"/>
  <c r="N976" i="9"/>
  <c r="M976" i="9"/>
  <c r="L976" i="9"/>
  <c r="K976" i="9"/>
  <c r="J976" i="9"/>
  <c r="I976" i="9"/>
  <c r="H976" i="9"/>
  <c r="G976" i="9"/>
  <c r="F976" i="9"/>
  <c r="E976" i="9"/>
  <c r="D976" i="9"/>
  <c r="C976" i="9"/>
  <c r="B976" i="9"/>
  <c r="P975" i="9"/>
  <c r="O975" i="9"/>
  <c r="N975" i="9"/>
  <c r="M975" i="9"/>
  <c r="L975" i="9"/>
  <c r="K975" i="9"/>
  <c r="J975" i="9"/>
  <c r="I975" i="9"/>
  <c r="H975" i="9"/>
  <c r="G975" i="9"/>
  <c r="F975" i="9"/>
  <c r="E975" i="9"/>
  <c r="D975" i="9"/>
  <c r="C975" i="9"/>
  <c r="B975" i="9"/>
  <c r="P974" i="9"/>
  <c r="O974" i="9"/>
  <c r="N974" i="9"/>
  <c r="M974" i="9"/>
  <c r="L974" i="9"/>
  <c r="K974" i="9"/>
  <c r="J974" i="9"/>
  <c r="I974" i="9"/>
  <c r="H974" i="9"/>
  <c r="G974" i="9"/>
  <c r="F974" i="9"/>
  <c r="E974" i="9"/>
  <c r="D974" i="9"/>
  <c r="C974" i="9"/>
  <c r="B974" i="9"/>
  <c r="P973" i="9"/>
  <c r="O973" i="9"/>
  <c r="N973" i="9"/>
  <c r="M973" i="9"/>
  <c r="L973" i="9"/>
  <c r="K973" i="9"/>
  <c r="J973" i="9"/>
  <c r="I973" i="9"/>
  <c r="H973" i="9"/>
  <c r="G973" i="9"/>
  <c r="F973" i="9"/>
  <c r="E973" i="9"/>
  <c r="D973" i="9"/>
  <c r="C973" i="9"/>
  <c r="B973" i="9"/>
  <c r="P972" i="9"/>
  <c r="O972" i="9"/>
  <c r="N972" i="9"/>
  <c r="M972" i="9"/>
  <c r="L972" i="9"/>
  <c r="K972" i="9"/>
  <c r="J972" i="9"/>
  <c r="I972" i="9"/>
  <c r="H972" i="9"/>
  <c r="G972" i="9"/>
  <c r="F972" i="9"/>
  <c r="E972" i="9"/>
  <c r="D972" i="9"/>
  <c r="C972" i="9"/>
  <c r="B972" i="9"/>
  <c r="P971" i="9"/>
  <c r="O971" i="9"/>
  <c r="N971" i="9"/>
  <c r="M971" i="9"/>
  <c r="L971" i="9"/>
  <c r="K971" i="9"/>
  <c r="J971" i="9"/>
  <c r="I971" i="9"/>
  <c r="H971" i="9"/>
  <c r="G971" i="9"/>
  <c r="F971" i="9"/>
  <c r="E971" i="9"/>
  <c r="D971" i="9"/>
  <c r="C971" i="9"/>
  <c r="B971" i="9"/>
  <c r="P970" i="9"/>
  <c r="O970" i="9"/>
  <c r="N970" i="9"/>
  <c r="M970" i="9"/>
  <c r="L970" i="9"/>
  <c r="K970" i="9"/>
  <c r="J970" i="9"/>
  <c r="I970" i="9"/>
  <c r="H970" i="9"/>
  <c r="G970" i="9"/>
  <c r="F970" i="9"/>
  <c r="E970" i="9"/>
  <c r="D970" i="9"/>
  <c r="C970" i="9"/>
  <c r="B970" i="9"/>
  <c r="P969" i="9"/>
  <c r="O969" i="9"/>
  <c r="N969" i="9"/>
  <c r="M969" i="9"/>
  <c r="L969" i="9"/>
  <c r="K969" i="9"/>
  <c r="J969" i="9"/>
  <c r="I969" i="9"/>
  <c r="H969" i="9"/>
  <c r="G969" i="9"/>
  <c r="F969" i="9"/>
  <c r="E969" i="9"/>
  <c r="D969" i="9"/>
  <c r="C969" i="9"/>
  <c r="B969" i="9"/>
  <c r="P968" i="9"/>
  <c r="O968" i="9"/>
  <c r="N968" i="9"/>
  <c r="M968" i="9"/>
  <c r="L968" i="9"/>
  <c r="K968" i="9"/>
  <c r="J968" i="9"/>
  <c r="I968" i="9"/>
  <c r="H968" i="9"/>
  <c r="G968" i="9"/>
  <c r="F968" i="9"/>
  <c r="E968" i="9"/>
  <c r="D968" i="9"/>
  <c r="C968" i="9"/>
  <c r="B968" i="9"/>
  <c r="P967" i="9"/>
  <c r="O967" i="9"/>
  <c r="N967" i="9"/>
  <c r="M967" i="9"/>
  <c r="L967" i="9"/>
  <c r="K967" i="9"/>
  <c r="J967" i="9"/>
  <c r="I967" i="9"/>
  <c r="H967" i="9"/>
  <c r="G967" i="9"/>
  <c r="F967" i="9"/>
  <c r="E967" i="9"/>
  <c r="D967" i="9"/>
  <c r="C967" i="9"/>
  <c r="B967" i="9"/>
  <c r="P966" i="9"/>
  <c r="O966" i="9"/>
  <c r="N966" i="9"/>
  <c r="M966" i="9"/>
  <c r="L966" i="9"/>
  <c r="K966" i="9"/>
  <c r="J966" i="9"/>
  <c r="I966" i="9"/>
  <c r="H966" i="9"/>
  <c r="G966" i="9"/>
  <c r="F966" i="9"/>
  <c r="E966" i="9"/>
  <c r="D966" i="9"/>
  <c r="C966" i="9"/>
  <c r="B966" i="9"/>
  <c r="P965" i="9"/>
  <c r="O965" i="9"/>
  <c r="N965" i="9"/>
  <c r="M965" i="9"/>
  <c r="L965" i="9"/>
  <c r="K965" i="9"/>
  <c r="J965" i="9"/>
  <c r="I965" i="9"/>
  <c r="H965" i="9"/>
  <c r="G965" i="9"/>
  <c r="F965" i="9"/>
  <c r="E965" i="9"/>
  <c r="D965" i="9"/>
  <c r="C965" i="9"/>
  <c r="B965" i="9"/>
  <c r="P964" i="9"/>
  <c r="O964" i="9"/>
  <c r="N964" i="9"/>
  <c r="M964" i="9"/>
  <c r="L964" i="9"/>
  <c r="K964" i="9"/>
  <c r="J964" i="9"/>
  <c r="I964" i="9"/>
  <c r="H964" i="9"/>
  <c r="G964" i="9"/>
  <c r="F964" i="9"/>
  <c r="E964" i="9"/>
  <c r="D964" i="9"/>
  <c r="C964" i="9"/>
  <c r="B964" i="9"/>
  <c r="P963" i="9"/>
  <c r="O963" i="9"/>
  <c r="N963" i="9"/>
  <c r="M963" i="9"/>
  <c r="L963" i="9"/>
  <c r="K963" i="9"/>
  <c r="J963" i="9"/>
  <c r="I963" i="9"/>
  <c r="H963" i="9"/>
  <c r="G963" i="9"/>
  <c r="F963" i="9"/>
  <c r="E963" i="9"/>
  <c r="D963" i="9"/>
  <c r="C963" i="9"/>
  <c r="B963" i="9"/>
  <c r="P962" i="9"/>
  <c r="O962" i="9"/>
  <c r="N962" i="9"/>
  <c r="M962" i="9"/>
  <c r="L962" i="9"/>
  <c r="K962" i="9"/>
  <c r="J962" i="9"/>
  <c r="I962" i="9"/>
  <c r="H962" i="9"/>
  <c r="G962" i="9"/>
  <c r="F962" i="9"/>
  <c r="E962" i="9"/>
  <c r="D962" i="9"/>
  <c r="C962" i="9"/>
  <c r="B962" i="9"/>
  <c r="P961" i="9"/>
  <c r="O961" i="9"/>
  <c r="N961" i="9"/>
  <c r="M961" i="9"/>
  <c r="L961" i="9"/>
  <c r="K961" i="9"/>
  <c r="J961" i="9"/>
  <c r="I961" i="9"/>
  <c r="H961" i="9"/>
  <c r="G961" i="9"/>
  <c r="F961" i="9"/>
  <c r="E961" i="9"/>
  <c r="D961" i="9"/>
  <c r="C961" i="9"/>
  <c r="B961" i="9"/>
  <c r="P960" i="9"/>
  <c r="O960" i="9"/>
  <c r="N960" i="9"/>
  <c r="M960" i="9"/>
  <c r="L960" i="9"/>
  <c r="K960" i="9"/>
  <c r="J960" i="9"/>
  <c r="I960" i="9"/>
  <c r="H960" i="9"/>
  <c r="G960" i="9"/>
  <c r="F960" i="9"/>
  <c r="E960" i="9"/>
  <c r="D960" i="9"/>
  <c r="C960" i="9"/>
  <c r="B960" i="9"/>
  <c r="P959" i="9"/>
  <c r="O959" i="9"/>
  <c r="N959" i="9"/>
  <c r="M959" i="9"/>
  <c r="L959" i="9"/>
  <c r="K959" i="9"/>
  <c r="J959" i="9"/>
  <c r="I959" i="9"/>
  <c r="H959" i="9"/>
  <c r="G959" i="9"/>
  <c r="F959" i="9"/>
  <c r="E959" i="9"/>
  <c r="D959" i="9"/>
  <c r="C959" i="9"/>
  <c r="B959" i="9"/>
  <c r="P958" i="9"/>
  <c r="O958" i="9"/>
  <c r="N958" i="9"/>
  <c r="M958" i="9"/>
  <c r="L958" i="9"/>
  <c r="K958" i="9"/>
  <c r="J958" i="9"/>
  <c r="I958" i="9"/>
  <c r="H958" i="9"/>
  <c r="G958" i="9"/>
  <c r="F958" i="9"/>
  <c r="E958" i="9"/>
  <c r="D958" i="9"/>
  <c r="C958" i="9"/>
  <c r="B958" i="9"/>
  <c r="P957" i="9"/>
  <c r="O957" i="9"/>
  <c r="N957" i="9"/>
  <c r="M957" i="9"/>
  <c r="L957" i="9"/>
  <c r="K957" i="9"/>
  <c r="J957" i="9"/>
  <c r="I957" i="9"/>
  <c r="H957" i="9"/>
  <c r="G957" i="9"/>
  <c r="F957" i="9"/>
  <c r="E957" i="9"/>
  <c r="D957" i="9"/>
  <c r="C957" i="9"/>
  <c r="B957" i="9"/>
  <c r="P956" i="9"/>
  <c r="O956" i="9"/>
  <c r="N956" i="9"/>
  <c r="M956" i="9"/>
  <c r="L956" i="9"/>
  <c r="K956" i="9"/>
  <c r="J956" i="9"/>
  <c r="I956" i="9"/>
  <c r="H956" i="9"/>
  <c r="G956" i="9"/>
  <c r="F956" i="9"/>
  <c r="E956" i="9"/>
  <c r="D956" i="9"/>
  <c r="C956" i="9"/>
  <c r="B956" i="9"/>
  <c r="P955" i="9"/>
  <c r="O955" i="9"/>
  <c r="N955" i="9"/>
  <c r="M955" i="9"/>
  <c r="L955" i="9"/>
  <c r="K955" i="9"/>
  <c r="J955" i="9"/>
  <c r="I955" i="9"/>
  <c r="H955" i="9"/>
  <c r="G955" i="9"/>
  <c r="F955" i="9"/>
  <c r="E955" i="9"/>
  <c r="D955" i="9"/>
  <c r="C955" i="9"/>
  <c r="B955" i="9"/>
  <c r="P954" i="9"/>
  <c r="O954" i="9"/>
  <c r="N954" i="9"/>
  <c r="M954" i="9"/>
  <c r="L954" i="9"/>
  <c r="K954" i="9"/>
  <c r="J954" i="9"/>
  <c r="I954" i="9"/>
  <c r="H954" i="9"/>
  <c r="G954" i="9"/>
  <c r="F954" i="9"/>
  <c r="E954" i="9"/>
  <c r="D954" i="9"/>
  <c r="C954" i="9"/>
  <c r="B954" i="9"/>
  <c r="P953" i="9"/>
  <c r="O953" i="9"/>
  <c r="N953" i="9"/>
  <c r="M953" i="9"/>
  <c r="L953" i="9"/>
  <c r="K953" i="9"/>
  <c r="J953" i="9"/>
  <c r="I953" i="9"/>
  <c r="H953" i="9"/>
  <c r="G953" i="9"/>
  <c r="F953" i="9"/>
  <c r="E953" i="9"/>
  <c r="D953" i="9"/>
  <c r="C953" i="9"/>
  <c r="B953" i="9"/>
  <c r="P952" i="9"/>
  <c r="O952" i="9"/>
  <c r="N952" i="9"/>
  <c r="M952" i="9"/>
  <c r="L952" i="9"/>
  <c r="K952" i="9"/>
  <c r="J952" i="9"/>
  <c r="I952" i="9"/>
  <c r="H952" i="9"/>
  <c r="G952" i="9"/>
  <c r="F952" i="9"/>
  <c r="E952" i="9"/>
  <c r="D952" i="9"/>
  <c r="C952" i="9"/>
  <c r="B952" i="9"/>
  <c r="P951" i="9"/>
  <c r="O951" i="9"/>
  <c r="N951" i="9"/>
  <c r="M951" i="9"/>
  <c r="L951" i="9"/>
  <c r="K951" i="9"/>
  <c r="J951" i="9"/>
  <c r="I951" i="9"/>
  <c r="H951" i="9"/>
  <c r="G951" i="9"/>
  <c r="F951" i="9"/>
  <c r="E951" i="9"/>
  <c r="D951" i="9"/>
  <c r="C951" i="9"/>
  <c r="B951" i="9"/>
  <c r="P950" i="9"/>
  <c r="O950" i="9"/>
  <c r="N950" i="9"/>
  <c r="M950" i="9"/>
  <c r="L950" i="9"/>
  <c r="K950" i="9"/>
  <c r="J950" i="9"/>
  <c r="I950" i="9"/>
  <c r="H950" i="9"/>
  <c r="G950" i="9"/>
  <c r="F950" i="9"/>
  <c r="E950" i="9"/>
  <c r="D950" i="9"/>
  <c r="C950" i="9"/>
  <c r="B950" i="9"/>
  <c r="P949" i="9"/>
  <c r="O949" i="9"/>
  <c r="N949" i="9"/>
  <c r="M949" i="9"/>
  <c r="L949" i="9"/>
  <c r="K949" i="9"/>
  <c r="J949" i="9"/>
  <c r="I949" i="9"/>
  <c r="H949" i="9"/>
  <c r="G949" i="9"/>
  <c r="F949" i="9"/>
  <c r="E949" i="9"/>
  <c r="D949" i="9"/>
  <c r="C949" i="9"/>
  <c r="B949" i="9"/>
  <c r="P948" i="9"/>
  <c r="O948" i="9"/>
  <c r="N948" i="9"/>
  <c r="M948" i="9"/>
  <c r="L948" i="9"/>
  <c r="K948" i="9"/>
  <c r="J948" i="9"/>
  <c r="I948" i="9"/>
  <c r="H948" i="9"/>
  <c r="G948" i="9"/>
  <c r="F948" i="9"/>
  <c r="E948" i="9"/>
  <c r="D948" i="9"/>
  <c r="C948" i="9"/>
  <c r="B948" i="9"/>
  <c r="P947" i="9"/>
  <c r="O947" i="9"/>
  <c r="N947" i="9"/>
  <c r="M947" i="9"/>
  <c r="L947" i="9"/>
  <c r="K947" i="9"/>
  <c r="J947" i="9"/>
  <c r="I947" i="9"/>
  <c r="H947" i="9"/>
  <c r="G947" i="9"/>
  <c r="F947" i="9"/>
  <c r="E947" i="9"/>
  <c r="D947" i="9"/>
  <c r="C947" i="9"/>
  <c r="B947" i="9"/>
  <c r="P946" i="9"/>
  <c r="O946" i="9"/>
  <c r="N946" i="9"/>
  <c r="M946" i="9"/>
  <c r="L946" i="9"/>
  <c r="K946" i="9"/>
  <c r="J946" i="9"/>
  <c r="I946" i="9"/>
  <c r="H946" i="9"/>
  <c r="G946" i="9"/>
  <c r="F946" i="9"/>
  <c r="E946" i="9"/>
  <c r="D946" i="9"/>
  <c r="C946" i="9"/>
  <c r="B946" i="9"/>
  <c r="P945" i="9"/>
  <c r="O945" i="9"/>
  <c r="N945" i="9"/>
  <c r="M945" i="9"/>
  <c r="L945" i="9"/>
  <c r="K945" i="9"/>
  <c r="J945" i="9"/>
  <c r="I945" i="9"/>
  <c r="H945" i="9"/>
  <c r="G945" i="9"/>
  <c r="F945" i="9"/>
  <c r="E945" i="9"/>
  <c r="D945" i="9"/>
  <c r="C945" i="9"/>
  <c r="B945" i="9"/>
  <c r="P944" i="9"/>
  <c r="O944" i="9"/>
  <c r="N944" i="9"/>
  <c r="M944" i="9"/>
  <c r="L944" i="9"/>
  <c r="K944" i="9"/>
  <c r="J944" i="9"/>
  <c r="I944" i="9"/>
  <c r="H944" i="9"/>
  <c r="G944" i="9"/>
  <c r="F944" i="9"/>
  <c r="E944" i="9"/>
  <c r="D944" i="9"/>
  <c r="C944" i="9"/>
  <c r="B944" i="9"/>
  <c r="P943" i="9"/>
  <c r="O943" i="9"/>
  <c r="N943" i="9"/>
  <c r="M943" i="9"/>
  <c r="L943" i="9"/>
  <c r="K943" i="9"/>
  <c r="J943" i="9"/>
  <c r="I943" i="9"/>
  <c r="H943" i="9"/>
  <c r="G943" i="9"/>
  <c r="F943" i="9"/>
  <c r="E943" i="9"/>
  <c r="D943" i="9"/>
  <c r="C943" i="9"/>
  <c r="B943" i="9"/>
  <c r="P942" i="9"/>
  <c r="O942" i="9"/>
  <c r="N942" i="9"/>
  <c r="M942" i="9"/>
  <c r="L942" i="9"/>
  <c r="K942" i="9"/>
  <c r="J942" i="9"/>
  <c r="I942" i="9"/>
  <c r="H942" i="9"/>
  <c r="G942" i="9"/>
  <c r="F942" i="9"/>
  <c r="E942" i="9"/>
  <c r="D942" i="9"/>
  <c r="C942" i="9"/>
  <c r="B942" i="9"/>
  <c r="P941" i="9"/>
  <c r="O941" i="9"/>
  <c r="N941" i="9"/>
  <c r="M941" i="9"/>
  <c r="L941" i="9"/>
  <c r="K941" i="9"/>
  <c r="J941" i="9"/>
  <c r="I941" i="9"/>
  <c r="H941" i="9"/>
  <c r="G941" i="9"/>
  <c r="F941" i="9"/>
  <c r="E941" i="9"/>
  <c r="D941" i="9"/>
  <c r="C941" i="9"/>
  <c r="B941" i="9"/>
  <c r="P940" i="9"/>
  <c r="O940" i="9"/>
  <c r="N940" i="9"/>
  <c r="M940" i="9"/>
  <c r="L940" i="9"/>
  <c r="K940" i="9"/>
  <c r="J940" i="9"/>
  <c r="I940" i="9"/>
  <c r="H940" i="9"/>
  <c r="G940" i="9"/>
  <c r="F940" i="9"/>
  <c r="E940" i="9"/>
  <c r="D940" i="9"/>
  <c r="C940" i="9"/>
  <c r="B940" i="9"/>
  <c r="P939" i="9"/>
  <c r="O939" i="9"/>
  <c r="N939" i="9"/>
  <c r="M939" i="9"/>
  <c r="L939" i="9"/>
  <c r="K939" i="9"/>
  <c r="J939" i="9"/>
  <c r="I939" i="9"/>
  <c r="H939" i="9"/>
  <c r="G939" i="9"/>
  <c r="F939" i="9"/>
  <c r="E939" i="9"/>
  <c r="D939" i="9"/>
  <c r="C939" i="9"/>
  <c r="B939" i="9"/>
  <c r="P938" i="9"/>
  <c r="O938" i="9"/>
  <c r="N938" i="9"/>
  <c r="M938" i="9"/>
  <c r="L938" i="9"/>
  <c r="K938" i="9"/>
  <c r="J938" i="9"/>
  <c r="I938" i="9"/>
  <c r="H938" i="9"/>
  <c r="G938" i="9"/>
  <c r="F938" i="9"/>
  <c r="E938" i="9"/>
  <c r="D938" i="9"/>
  <c r="C938" i="9"/>
  <c r="B938" i="9"/>
  <c r="P937" i="9"/>
  <c r="O937" i="9"/>
  <c r="N937" i="9"/>
  <c r="M937" i="9"/>
  <c r="L937" i="9"/>
  <c r="K937" i="9"/>
  <c r="J937" i="9"/>
  <c r="I937" i="9"/>
  <c r="H937" i="9"/>
  <c r="G937" i="9"/>
  <c r="F937" i="9"/>
  <c r="E937" i="9"/>
  <c r="D937" i="9"/>
  <c r="C937" i="9"/>
  <c r="B937" i="9"/>
  <c r="P936" i="9"/>
  <c r="O936" i="9"/>
  <c r="N936" i="9"/>
  <c r="M936" i="9"/>
  <c r="L936" i="9"/>
  <c r="K936" i="9"/>
  <c r="J936" i="9"/>
  <c r="I936" i="9"/>
  <c r="H936" i="9"/>
  <c r="G936" i="9"/>
  <c r="F936" i="9"/>
  <c r="E936" i="9"/>
  <c r="D936" i="9"/>
  <c r="C936" i="9"/>
  <c r="B936" i="9"/>
  <c r="P935" i="9"/>
  <c r="O935" i="9"/>
  <c r="N935" i="9"/>
  <c r="M935" i="9"/>
  <c r="L935" i="9"/>
  <c r="K935" i="9"/>
  <c r="J935" i="9"/>
  <c r="I935" i="9"/>
  <c r="H935" i="9"/>
  <c r="G935" i="9"/>
  <c r="F935" i="9"/>
  <c r="E935" i="9"/>
  <c r="D935" i="9"/>
  <c r="C935" i="9"/>
  <c r="B935" i="9"/>
  <c r="P934" i="9"/>
  <c r="O934" i="9"/>
  <c r="N934" i="9"/>
  <c r="M934" i="9"/>
  <c r="L934" i="9"/>
  <c r="K934" i="9"/>
  <c r="J934" i="9"/>
  <c r="I934" i="9"/>
  <c r="H934" i="9"/>
  <c r="G934" i="9"/>
  <c r="F934" i="9"/>
  <c r="E934" i="9"/>
  <c r="D934" i="9"/>
  <c r="C934" i="9"/>
  <c r="B934" i="9"/>
  <c r="P933" i="9"/>
  <c r="O933" i="9"/>
  <c r="N933" i="9"/>
  <c r="M933" i="9"/>
  <c r="L933" i="9"/>
  <c r="K933" i="9"/>
  <c r="J933" i="9"/>
  <c r="I933" i="9"/>
  <c r="H933" i="9"/>
  <c r="G933" i="9"/>
  <c r="F933" i="9"/>
  <c r="E933" i="9"/>
  <c r="D933" i="9"/>
  <c r="C933" i="9"/>
  <c r="B933" i="9"/>
  <c r="P932" i="9"/>
  <c r="O932" i="9"/>
  <c r="N932" i="9"/>
  <c r="M932" i="9"/>
  <c r="L932" i="9"/>
  <c r="K932" i="9"/>
  <c r="J932" i="9"/>
  <c r="I932" i="9"/>
  <c r="H932" i="9"/>
  <c r="G932" i="9"/>
  <c r="F932" i="9"/>
  <c r="E932" i="9"/>
  <c r="D932" i="9"/>
  <c r="C932" i="9"/>
  <c r="B932" i="9"/>
  <c r="P931" i="9"/>
  <c r="O931" i="9"/>
  <c r="N931" i="9"/>
  <c r="M931" i="9"/>
  <c r="L931" i="9"/>
  <c r="K931" i="9"/>
  <c r="J931" i="9"/>
  <c r="I931" i="9"/>
  <c r="H931" i="9"/>
  <c r="G931" i="9"/>
  <c r="F931" i="9"/>
  <c r="E931" i="9"/>
  <c r="D931" i="9"/>
  <c r="C931" i="9"/>
  <c r="B931" i="9"/>
  <c r="P930" i="9"/>
  <c r="O930" i="9"/>
  <c r="N930" i="9"/>
  <c r="M930" i="9"/>
  <c r="L930" i="9"/>
  <c r="K930" i="9"/>
  <c r="J930" i="9"/>
  <c r="I930" i="9"/>
  <c r="H930" i="9"/>
  <c r="G930" i="9"/>
  <c r="F930" i="9"/>
  <c r="E930" i="9"/>
  <c r="D930" i="9"/>
  <c r="C930" i="9"/>
  <c r="B930" i="9"/>
  <c r="P929" i="9"/>
  <c r="O929" i="9"/>
  <c r="N929" i="9"/>
  <c r="M929" i="9"/>
  <c r="L929" i="9"/>
  <c r="K929" i="9"/>
  <c r="J929" i="9"/>
  <c r="I929" i="9"/>
  <c r="H929" i="9"/>
  <c r="G929" i="9"/>
  <c r="F929" i="9"/>
  <c r="E929" i="9"/>
  <c r="D929" i="9"/>
  <c r="C929" i="9"/>
  <c r="B929" i="9"/>
  <c r="P928" i="9"/>
  <c r="O928" i="9"/>
  <c r="N928" i="9"/>
  <c r="M928" i="9"/>
  <c r="L928" i="9"/>
  <c r="K928" i="9"/>
  <c r="J928" i="9"/>
  <c r="I928" i="9"/>
  <c r="H928" i="9"/>
  <c r="G928" i="9"/>
  <c r="F928" i="9"/>
  <c r="E928" i="9"/>
  <c r="D928" i="9"/>
  <c r="C928" i="9"/>
  <c r="B928" i="9"/>
  <c r="P927" i="9"/>
  <c r="O927" i="9"/>
  <c r="N927" i="9"/>
  <c r="M927" i="9"/>
  <c r="L927" i="9"/>
  <c r="K927" i="9"/>
  <c r="J927" i="9"/>
  <c r="I927" i="9"/>
  <c r="H927" i="9"/>
  <c r="G927" i="9"/>
  <c r="F927" i="9"/>
  <c r="E927" i="9"/>
  <c r="D927" i="9"/>
  <c r="C927" i="9"/>
  <c r="B927" i="9"/>
  <c r="P926" i="9"/>
  <c r="O926" i="9"/>
  <c r="N926" i="9"/>
  <c r="M926" i="9"/>
  <c r="L926" i="9"/>
  <c r="K926" i="9"/>
  <c r="J926" i="9"/>
  <c r="I926" i="9"/>
  <c r="H926" i="9"/>
  <c r="G926" i="9"/>
  <c r="F926" i="9"/>
  <c r="E926" i="9"/>
  <c r="D926" i="9"/>
  <c r="C926" i="9"/>
  <c r="B926" i="9"/>
  <c r="P925" i="9"/>
  <c r="O925" i="9"/>
  <c r="N925" i="9"/>
  <c r="M925" i="9"/>
  <c r="L925" i="9"/>
  <c r="K925" i="9"/>
  <c r="J925" i="9"/>
  <c r="I925" i="9"/>
  <c r="H925" i="9"/>
  <c r="G925" i="9"/>
  <c r="F925" i="9"/>
  <c r="E925" i="9"/>
  <c r="D925" i="9"/>
  <c r="C925" i="9"/>
  <c r="B925" i="9"/>
  <c r="P924" i="9"/>
  <c r="O924" i="9"/>
  <c r="N924" i="9"/>
  <c r="M924" i="9"/>
  <c r="L924" i="9"/>
  <c r="K924" i="9"/>
  <c r="J924" i="9"/>
  <c r="I924" i="9"/>
  <c r="H924" i="9"/>
  <c r="G924" i="9"/>
  <c r="F924" i="9"/>
  <c r="E924" i="9"/>
  <c r="D924" i="9"/>
  <c r="C924" i="9"/>
  <c r="B924" i="9"/>
  <c r="P923" i="9"/>
  <c r="O923" i="9"/>
  <c r="N923" i="9"/>
  <c r="M923" i="9"/>
  <c r="L923" i="9"/>
  <c r="K923" i="9"/>
  <c r="J923" i="9"/>
  <c r="I923" i="9"/>
  <c r="H923" i="9"/>
  <c r="G923" i="9"/>
  <c r="F923" i="9"/>
  <c r="E923" i="9"/>
  <c r="D923" i="9"/>
  <c r="C923" i="9"/>
  <c r="B923" i="9"/>
  <c r="P922" i="9"/>
  <c r="O922" i="9"/>
  <c r="N922" i="9"/>
  <c r="M922" i="9"/>
  <c r="L922" i="9"/>
  <c r="K922" i="9"/>
  <c r="J922" i="9"/>
  <c r="I922" i="9"/>
  <c r="H922" i="9"/>
  <c r="G922" i="9"/>
  <c r="F922" i="9"/>
  <c r="E922" i="9"/>
  <c r="D922" i="9"/>
  <c r="C922" i="9"/>
  <c r="B922" i="9"/>
  <c r="P921" i="9"/>
  <c r="O921" i="9"/>
  <c r="N921" i="9"/>
  <c r="M921" i="9"/>
  <c r="L921" i="9"/>
  <c r="K921" i="9"/>
  <c r="J921" i="9"/>
  <c r="I921" i="9"/>
  <c r="H921" i="9"/>
  <c r="G921" i="9"/>
  <c r="F921" i="9"/>
  <c r="E921" i="9"/>
  <c r="D921" i="9"/>
  <c r="C921" i="9"/>
  <c r="B921" i="9"/>
  <c r="P920" i="9"/>
  <c r="O920" i="9"/>
  <c r="N920" i="9"/>
  <c r="M920" i="9"/>
  <c r="L920" i="9"/>
  <c r="K920" i="9"/>
  <c r="J920" i="9"/>
  <c r="I920" i="9"/>
  <c r="H920" i="9"/>
  <c r="G920" i="9"/>
  <c r="F920" i="9"/>
  <c r="E920" i="9"/>
  <c r="D920" i="9"/>
  <c r="C920" i="9"/>
  <c r="B920" i="9"/>
  <c r="P919" i="9"/>
  <c r="O919" i="9"/>
  <c r="N919" i="9"/>
  <c r="M919" i="9"/>
  <c r="L919" i="9"/>
  <c r="K919" i="9"/>
  <c r="J919" i="9"/>
  <c r="I919" i="9"/>
  <c r="H919" i="9"/>
  <c r="G919" i="9"/>
  <c r="F919" i="9"/>
  <c r="E919" i="9"/>
  <c r="D919" i="9"/>
  <c r="C919" i="9"/>
  <c r="B919" i="9"/>
  <c r="P918" i="9"/>
  <c r="O918" i="9"/>
  <c r="N918" i="9"/>
  <c r="M918" i="9"/>
  <c r="L918" i="9"/>
  <c r="K918" i="9"/>
  <c r="J918" i="9"/>
  <c r="I918" i="9"/>
  <c r="H918" i="9"/>
  <c r="G918" i="9"/>
  <c r="F918" i="9"/>
  <c r="E918" i="9"/>
  <c r="D918" i="9"/>
  <c r="C918" i="9"/>
  <c r="B918" i="9"/>
  <c r="P917" i="9"/>
  <c r="O917" i="9"/>
  <c r="N917" i="9"/>
  <c r="M917" i="9"/>
  <c r="L917" i="9"/>
  <c r="K917" i="9"/>
  <c r="J917" i="9"/>
  <c r="I917" i="9"/>
  <c r="H917" i="9"/>
  <c r="G917" i="9"/>
  <c r="F917" i="9"/>
  <c r="E917" i="9"/>
  <c r="D917" i="9"/>
  <c r="C917" i="9"/>
  <c r="B917" i="9"/>
  <c r="P916" i="9"/>
  <c r="O916" i="9"/>
  <c r="N916" i="9"/>
  <c r="M916" i="9"/>
  <c r="L916" i="9"/>
  <c r="K916" i="9"/>
  <c r="J916" i="9"/>
  <c r="I916" i="9"/>
  <c r="H916" i="9"/>
  <c r="G916" i="9"/>
  <c r="F916" i="9"/>
  <c r="E916" i="9"/>
  <c r="D916" i="9"/>
  <c r="C916" i="9"/>
  <c r="B916" i="9"/>
  <c r="P915" i="9"/>
  <c r="O915" i="9"/>
  <c r="N915" i="9"/>
  <c r="M915" i="9"/>
  <c r="L915" i="9"/>
  <c r="K915" i="9"/>
  <c r="J915" i="9"/>
  <c r="I915" i="9"/>
  <c r="H915" i="9"/>
  <c r="G915" i="9"/>
  <c r="F915" i="9"/>
  <c r="E915" i="9"/>
  <c r="D915" i="9"/>
  <c r="C915" i="9"/>
  <c r="B915" i="9"/>
  <c r="P914" i="9"/>
  <c r="O914" i="9"/>
  <c r="N914" i="9"/>
  <c r="M914" i="9"/>
  <c r="L914" i="9"/>
  <c r="K914" i="9"/>
  <c r="J914" i="9"/>
  <c r="I914" i="9"/>
  <c r="H914" i="9"/>
  <c r="G914" i="9"/>
  <c r="F914" i="9"/>
  <c r="E914" i="9"/>
  <c r="D914" i="9"/>
  <c r="C914" i="9"/>
  <c r="B914" i="9"/>
  <c r="P913" i="9"/>
  <c r="O913" i="9"/>
  <c r="N913" i="9"/>
  <c r="M913" i="9"/>
  <c r="L913" i="9"/>
  <c r="K913" i="9"/>
  <c r="J913" i="9"/>
  <c r="I913" i="9"/>
  <c r="H913" i="9"/>
  <c r="G913" i="9"/>
  <c r="F913" i="9"/>
  <c r="E913" i="9"/>
  <c r="D913" i="9"/>
  <c r="C913" i="9"/>
  <c r="B913" i="9"/>
  <c r="P912" i="9"/>
  <c r="O912" i="9"/>
  <c r="N912" i="9"/>
  <c r="M912" i="9"/>
  <c r="L912" i="9"/>
  <c r="K912" i="9"/>
  <c r="J912" i="9"/>
  <c r="I912" i="9"/>
  <c r="H912" i="9"/>
  <c r="G912" i="9"/>
  <c r="F912" i="9"/>
  <c r="E912" i="9"/>
  <c r="D912" i="9"/>
  <c r="C912" i="9"/>
  <c r="B912" i="9"/>
  <c r="P911" i="9"/>
  <c r="O911" i="9"/>
  <c r="N911" i="9"/>
  <c r="M911" i="9"/>
  <c r="L911" i="9"/>
  <c r="K911" i="9"/>
  <c r="J911" i="9"/>
  <c r="I911" i="9"/>
  <c r="H911" i="9"/>
  <c r="G911" i="9"/>
  <c r="F911" i="9"/>
  <c r="E911" i="9"/>
  <c r="D911" i="9"/>
  <c r="C911" i="9"/>
  <c r="B911" i="9"/>
  <c r="P910" i="9"/>
  <c r="O910" i="9"/>
  <c r="N910" i="9"/>
  <c r="M910" i="9"/>
  <c r="L910" i="9"/>
  <c r="K910" i="9"/>
  <c r="J910" i="9"/>
  <c r="I910" i="9"/>
  <c r="H910" i="9"/>
  <c r="G910" i="9"/>
  <c r="F910" i="9"/>
  <c r="E910" i="9"/>
  <c r="D910" i="9"/>
  <c r="C910" i="9"/>
  <c r="B910" i="9"/>
  <c r="P909" i="9"/>
  <c r="O909" i="9"/>
  <c r="N909" i="9"/>
  <c r="M909" i="9"/>
  <c r="L909" i="9"/>
  <c r="K909" i="9"/>
  <c r="J909" i="9"/>
  <c r="I909" i="9"/>
  <c r="H909" i="9"/>
  <c r="G909" i="9"/>
  <c r="F909" i="9"/>
  <c r="E909" i="9"/>
  <c r="D909" i="9"/>
  <c r="C909" i="9"/>
  <c r="B909" i="9"/>
  <c r="P908" i="9"/>
  <c r="O908" i="9"/>
  <c r="N908" i="9"/>
  <c r="M908" i="9"/>
  <c r="L908" i="9"/>
  <c r="K908" i="9"/>
  <c r="J908" i="9"/>
  <c r="I908" i="9"/>
  <c r="H908" i="9"/>
  <c r="G908" i="9"/>
  <c r="F908" i="9"/>
  <c r="E908" i="9"/>
  <c r="D908" i="9"/>
  <c r="C908" i="9"/>
  <c r="B908" i="9"/>
  <c r="P907" i="9"/>
  <c r="O907" i="9"/>
  <c r="N907" i="9"/>
  <c r="M907" i="9"/>
  <c r="L907" i="9"/>
  <c r="K907" i="9"/>
  <c r="J907" i="9"/>
  <c r="I907" i="9"/>
  <c r="H907" i="9"/>
  <c r="G907" i="9"/>
  <c r="F907" i="9"/>
  <c r="E907" i="9"/>
  <c r="D907" i="9"/>
  <c r="C907" i="9"/>
  <c r="B907" i="9"/>
  <c r="P906" i="9"/>
  <c r="O906" i="9"/>
  <c r="N906" i="9"/>
  <c r="M906" i="9"/>
  <c r="L906" i="9"/>
  <c r="K906" i="9"/>
  <c r="J906" i="9"/>
  <c r="I906" i="9"/>
  <c r="H906" i="9"/>
  <c r="G906" i="9"/>
  <c r="F906" i="9"/>
  <c r="E906" i="9"/>
  <c r="D906" i="9"/>
  <c r="C906" i="9"/>
  <c r="B906" i="9"/>
  <c r="P905" i="9"/>
  <c r="O905" i="9"/>
  <c r="N905" i="9"/>
  <c r="M905" i="9"/>
  <c r="L905" i="9"/>
  <c r="K905" i="9"/>
  <c r="J905" i="9"/>
  <c r="I905" i="9"/>
  <c r="H905" i="9"/>
  <c r="G905" i="9"/>
  <c r="F905" i="9"/>
  <c r="E905" i="9"/>
  <c r="D905" i="9"/>
  <c r="C905" i="9"/>
  <c r="B905" i="9"/>
  <c r="P904" i="9"/>
  <c r="O904" i="9"/>
  <c r="N904" i="9"/>
  <c r="M904" i="9"/>
  <c r="L904" i="9"/>
  <c r="K904" i="9"/>
  <c r="J904" i="9"/>
  <c r="I904" i="9"/>
  <c r="H904" i="9"/>
  <c r="G904" i="9"/>
  <c r="F904" i="9"/>
  <c r="E904" i="9"/>
  <c r="D904" i="9"/>
  <c r="C904" i="9"/>
  <c r="B904" i="9"/>
  <c r="P903" i="9"/>
  <c r="O903" i="9"/>
  <c r="N903" i="9"/>
  <c r="M903" i="9"/>
  <c r="L903" i="9"/>
  <c r="K903" i="9"/>
  <c r="J903" i="9"/>
  <c r="I903" i="9"/>
  <c r="H903" i="9"/>
  <c r="G903" i="9"/>
  <c r="F903" i="9"/>
  <c r="E903" i="9"/>
  <c r="D903" i="9"/>
  <c r="C903" i="9"/>
  <c r="B903" i="9"/>
  <c r="P902" i="9"/>
  <c r="O902" i="9"/>
  <c r="N902" i="9"/>
  <c r="M902" i="9"/>
  <c r="L902" i="9"/>
  <c r="K902" i="9"/>
  <c r="J902" i="9"/>
  <c r="I902" i="9"/>
  <c r="H902" i="9"/>
  <c r="G902" i="9"/>
  <c r="F902" i="9"/>
  <c r="E902" i="9"/>
  <c r="D902" i="9"/>
  <c r="C902" i="9"/>
  <c r="B902" i="9"/>
  <c r="P901" i="9"/>
  <c r="O901" i="9"/>
  <c r="N901" i="9"/>
  <c r="M901" i="9"/>
  <c r="L901" i="9"/>
  <c r="K901" i="9"/>
  <c r="J901" i="9"/>
  <c r="I901" i="9"/>
  <c r="H901" i="9"/>
  <c r="G901" i="9"/>
  <c r="F901" i="9"/>
  <c r="E901" i="9"/>
  <c r="D901" i="9"/>
  <c r="C901" i="9"/>
  <c r="B901" i="9"/>
  <c r="P900" i="9"/>
  <c r="O900" i="9"/>
  <c r="N900" i="9"/>
  <c r="M900" i="9"/>
  <c r="L900" i="9"/>
  <c r="K900" i="9"/>
  <c r="J900" i="9"/>
  <c r="I900" i="9"/>
  <c r="H900" i="9"/>
  <c r="G900" i="9"/>
  <c r="F900" i="9"/>
  <c r="E900" i="9"/>
  <c r="D900" i="9"/>
  <c r="C900" i="9"/>
  <c r="B900" i="9"/>
  <c r="P899" i="9"/>
  <c r="O899" i="9"/>
  <c r="N899" i="9"/>
  <c r="M899" i="9"/>
  <c r="L899" i="9"/>
  <c r="K899" i="9"/>
  <c r="J899" i="9"/>
  <c r="I899" i="9"/>
  <c r="H899" i="9"/>
  <c r="G899" i="9"/>
  <c r="F899" i="9"/>
  <c r="E899" i="9"/>
  <c r="D899" i="9"/>
  <c r="C899" i="9"/>
  <c r="B899" i="9"/>
  <c r="P898" i="9"/>
  <c r="O898" i="9"/>
  <c r="N898" i="9"/>
  <c r="M898" i="9"/>
  <c r="L898" i="9"/>
  <c r="K898" i="9"/>
  <c r="J898" i="9"/>
  <c r="I898" i="9"/>
  <c r="H898" i="9"/>
  <c r="G898" i="9"/>
  <c r="F898" i="9"/>
  <c r="E898" i="9"/>
  <c r="D898" i="9"/>
  <c r="C898" i="9"/>
  <c r="B898" i="9"/>
  <c r="P897" i="9"/>
  <c r="O897" i="9"/>
  <c r="N897" i="9"/>
  <c r="M897" i="9"/>
  <c r="L897" i="9"/>
  <c r="K897" i="9"/>
  <c r="J897" i="9"/>
  <c r="I897" i="9"/>
  <c r="H897" i="9"/>
  <c r="G897" i="9"/>
  <c r="F897" i="9"/>
  <c r="E897" i="9"/>
  <c r="D897" i="9"/>
  <c r="C897" i="9"/>
  <c r="B897" i="9"/>
  <c r="P896" i="9"/>
  <c r="O896" i="9"/>
  <c r="N896" i="9"/>
  <c r="M896" i="9"/>
  <c r="L896" i="9"/>
  <c r="K896" i="9"/>
  <c r="J896" i="9"/>
  <c r="I896" i="9"/>
  <c r="H896" i="9"/>
  <c r="G896" i="9"/>
  <c r="F896" i="9"/>
  <c r="E896" i="9"/>
  <c r="D896" i="9"/>
  <c r="C896" i="9"/>
  <c r="B896" i="9"/>
  <c r="P895" i="9"/>
  <c r="O895" i="9"/>
  <c r="N895" i="9"/>
  <c r="M895" i="9"/>
  <c r="L895" i="9"/>
  <c r="K895" i="9"/>
  <c r="J895" i="9"/>
  <c r="I895" i="9"/>
  <c r="H895" i="9"/>
  <c r="G895" i="9"/>
  <c r="F895" i="9"/>
  <c r="E895" i="9"/>
  <c r="D895" i="9"/>
  <c r="C895" i="9"/>
  <c r="B895" i="9"/>
  <c r="P894" i="9"/>
  <c r="O894" i="9"/>
  <c r="N894" i="9"/>
  <c r="M894" i="9"/>
  <c r="L894" i="9"/>
  <c r="K894" i="9"/>
  <c r="J894" i="9"/>
  <c r="I894" i="9"/>
  <c r="H894" i="9"/>
  <c r="G894" i="9"/>
  <c r="F894" i="9"/>
  <c r="E894" i="9"/>
  <c r="D894" i="9"/>
  <c r="C894" i="9"/>
  <c r="B894" i="9"/>
  <c r="P893" i="9"/>
  <c r="O893" i="9"/>
  <c r="N893" i="9"/>
  <c r="M893" i="9"/>
  <c r="L893" i="9"/>
  <c r="K893" i="9"/>
  <c r="J893" i="9"/>
  <c r="I893" i="9"/>
  <c r="H893" i="9"/>
  <c r="G893" i="9"/>
  <c r="F893" i="9"/>
  <c r="E893" i="9"/>
  <c r="D893" i="9"/>
  <c r="C893" i="9"/>
  <c r="B893" i="9"/>
  <c r="P892" i="9"/>
  <c r="O892" i="9"/>
  <c r="N892" i="9"/>
  <c r="M892" i="9"/>
  <c r="L892" i="9"/>
  <c r="K892" i="9"/>
  <c r="J892" i="9"/>
  <c r="I892" i="9"/>
  <c r="H892" i="9"/>
  <c r="G892" i="9"/>
  <c r="F892" i="9"/>
  <c r="E892" i="9"/>
  <c r="D892" i="9"/>
  <c r="C892" i="9"/>
  <c r="B892" i="9"/>
  <c r="P891" i="9"/>
  <c r="O891" i="9"/>
  <c r="N891" i="9"/>
  <c r="M891" i="9"/>
  <c r="L891" i="9"/>
  <c r="K891" i="9"/>
  <c r="J891" i="9"/>
  <c r="I891" i="9"/>
  <c r="H891" i="9"/>
  <c r="G891" i="9"/>
  <c r="F891" i="9"/>
  <c r="E891" i="9"/>
  <c r="D891" i="9"/>
  <c r="C891" i="9"/>
  <c r="B891" i="9"/>
  <c r="P890" i="9"/>
  <c r="O890" i="9"/>
  <c r="N890" i="9"/>
  <c r="M890" i="9"/>
  <c r="L890" i="9"/>
  <c r="K890" i="9"/>
  <c r="J890" i="9"/>
  <c r="I890" i="9"/>
  <c r="H890" i="9"/>
  <c r="G890" i="9"/>
  <c r="F890" i="9"/>
  <c r="E890" i="9"/>
  <c r="D890" i="9"/>
  <c r="C890" i="9"/>
  <c r="B890" i="9"/>
  <c r="P889" i="9"/>
  <c r="O889" i="9"/>
  <c r="N889" i="9"/>
  <c r="M889" i="9"/>
  <c r="L889" i="9"/>
  <c r="K889" i="9"/>
  <c r="J889" i="9"/>
  <c r="I889" i="9"/>
  <c r="H889" i="9"/>
  <c r="G889" i="9"/>
  <c r="F889" i="9"/>
  <c r="E889" i="9"/>
  <c r="D889" i="9"/>
  <c r="C889" i="9"/>
  <c r="B889" i="9"/>
  <c r="P888" i="9"/>
  <c r="O888" i="9"/>
  <c r="N888" i="9"/>
  <c r="M888" i="9"/>
  <c r="L888" i="9"/>
  <c r="K888" i="9"/>
  <c r="J888" i="9"/>
  <c r="I888" i="9"/>
  <c r="H888" i="9"/>
  <c r="G888" i="9"/>
  <c r="F888" i="9"/>
  <c r="E888" i="9"/>
  <c r="D888" i="9"/>
  <c r="C888" i="9"/>
  <c r="B888" i="9"/>
  <c r="P887" i="9"/>
  <c r="O887" i="9"/>
  <c r="N887" i="9"/>
  <c r="M887" i="9"/>
  <c r="L887" i="9"/>
  <c r="K887" i="9"/>
  <c r="J887" i="9"/>
  <c r="I887" i="9"/>
  <c r="H887" i="9"/>
  <c r="G887" i="9"/>
  <c r="F887" i="9"/>
  <c r="E887" i="9"/>
  <c r="D887" i="9"/>
  <c r="C887" i="9"/>
  <c r="B887" i="9"/>
  <c r="P886" i="9"/>
  <c r="O886" i="9"/>
  <c r="N886" i="9"/>
  <c r="M886" i="9"/>
  <c r="L886" i="9"/>
  <c r="K886" i="9"/>
  <c r="J886" i="9"/>
  <c r="I886" i="9"/>
  <c r="H886" i="9"/>
  <c r="G886" i="9"/>
  <c r="F886" i="9"/>
  <c r="E886" i="9"/>
  <c r="D886" i="9"/>
  <c r="C886" i="9"/>
  <c r="B886" i="9"/>
  <c r="P885" i="9"/>
  <c r="O885" i="9"/>
  <c r="N885" i="9"/>
  <c r="M885" i="9"/>
  <c r="L885" i="9"/>
  <c r="K885" i="9"/>
  <c r="J885" i="9"/>
  <c r="I885" i="9"/>
  <c r="H885" i="9"/>
  <c r="G885" i="9"/>
  <c r="F885" i="9"/>
  <c r="E885" i="9"/>
  <c r="D885" i="9"/>
  <c r="C885" i="9"/>
  <c r="B885" i="9"/>
  <c r="P884" i="9"/>
  <c r="O884" i="9"/>
  <c r="N884" i="9"/>
  <c r="M884" i="9"/>
  <c r="L884" i="9"/>
  <c r="K884" i="9"/>
  <c r="J884" i="9"/>
  <c r="I884" i="9"/>
  <c r="H884" i="9"/>
  <c r="G884" i="9"/>
  <c r="F884" i="9"/>
  <c r="E884" i="9"/>
  <c r="D884" i="9"/>
  <c r="C884" i="9"/>
  <c r="B884" i="9"/>
  <c r="P883" i="9"/>
  <c r="O883" i="9"/>
  <c r="N883" i="9"/>
  <c r="M883" i="9"/>
  <c r="L883" i="9"/>
  <c r="K883" i="9"/>
  <c r="J883" i="9"/>
  <c r="I883" i="9"/>
  <c r="H883" i="9"/>
  <c r="G883" i="9"/>
  <c r="F883" i="9"/>
  <c r="E883" i="9"/>
  <c r="D883" i="9"/>
  <c r="C883" i="9"/>
  <c r="B883" i="9"/>
  <c r="P882" i="9"/>
  <c r="O882" i="9"/>
  <c r="N882" i="9"/>
  <c r="M882" i="9"/>
  <c r="L882" i="9"/>
  <c r="K882" i="9"/>
  <c r="J882" i="9"/>
  <c r="I882" i="9"/>
  <c r="H882" i="9"/>
  <c r="G882" i="9"/>
  <c r="F882" i="9"/>
  <c r="E882" i="9"/>
  <c r="D882" i="9"/>
  <c r="C882" i="9"/>
  <c r="B882" i="9"/>
  <c r="P881" i="9"/>
  <c r="O881" i="9"/>
  <c r="N881" i="9"/>
  <c r="M881" i="9"/>
  <c r="L881" i="9"/>
  <c r="K881" i="9"/>
  <c r="J881" i="9"/>
  <c r="I881" i="9"/>
  <c r="H881" i="9"/>
  <c r="G881" i="9"/>
  <c r="F881" i="9"/>
  <c r="E881" i="9"/>
  <c r="D881" i="9"/>
  <c r="C881" i="9"/>
  <c r="B881" i="9"/>
  <c r="P880" i="9"/>
  <c r="O880" i="9"/>
  <c r="N880" i="9"/>
  <c r="M880" i="9"/>
  <c r="L880" i="9"/>
  <c r="K880" i="9"/>
  <c r="J880" i="9"/>
  <c r="I880" i="9"/>
  <c r="H880" i="9"/>
  <c r="G880" i="9"/>
  <c r="F880" i="9"/>
  <c r="E880" i="9"/>
  <c r="D880" i="9"/>
  <c r="C880" i="9"/>
  <c r="B880" i="9"/>
  <c r="P879" i="9"/>
  <c r="O879" i="9"/>
  <c r="N879" i="9"/>
  <c r="M879" i="9"/>
  <c r="L879" i="9"/>
  <c r="K879" i="9"/>
  <c r="J879" i="9"/>
  <c r="I879" i="9"/>
  <c r="H879" i="9"/>
  <c r="G879" i="9"/>
  <c r="F879" i="9"/>
  <c r="E879" i="9"/>
  <c r="D879" i="9"/>
  <c r="C879" i="9"/>
  <c r="B879" i="9"/>
  <c r="P878" i="9"/>
  <c r="O878" i="9"/>
  <c r="N878" i="9"/>
  <c r="M878" i="9"/>
  <c r="L878" i="9"/>
  <c r="K878" i="9"/>
  <c r="J878" i="9"/>
  <c r="I878" i="9"/>
  <c r="H878" i="9"/>
  <c r="G878" i="9"/>
  <c r="F878" i="9"/>
  <c r="E878" i="9"/>
  <c r="D878" i="9"/>
  <c r="C878" i="9"/>
  <c r="B878" i="9"/>
  <c r="P877" i="9"/>
  <c r="O877" i="9"/>
  <c r="N877" i="9"/>
  <c r="M877" i="9"/>
  <c r="L877" i="9"/>
  <c r="K877" i="9"/>
  <c r="J877" i="9"/>
  <c r="I877" i="9"/>
  <c r="H877" i="9"/>
  <c r="G877" i="9"/>
  <c r="F877" i="9"/>
  <c r="E877" i="9"/>
  <c r="D877" i="9"/>
  <c r="C877" i="9"/>
  <c r="B877" i="9"/>
  <c r="P876" i="9"/>
  <c r="O876" i="9"/>
  <c r="N876" i="9"/>
  <c r="M876" i="9"/>
  <c r="L876" i="9"/>
  <c r="K876" i="9"/>
  <c r="J876" i="9"/>
  <c r="I876" i="9"/>
  <c r="H876" i="9"/>
  <c r="G876" i="9"/>
  <c r="F876" i="9"/>
  <c r="E876" i="9"/>
  <c r="D876" i="9"/>
  <c r="C876" i="9"/>
  <c r="B876" i="9"/>
  <c r="P875" i="9"/>
  <c r="O875" i="9"/>
  <c r="N875" i="9"/>
  <c r="M875" i="9"/>
  <c r="L875" i="9"/>
  <c r="K875" i="9"/>
  <c r="J875" i="9"/>
  <c r="I875" i="9"/>
  <c r="H875" i="9"/>
  <c r="G875" i="9"/>
  <c r="F875" i="9"/>
  <c r="E875" i="9"/>
  <c r="D875" i="9"/>
  <c r="C875" i="9"/>
  <c r="B875" i="9"/>
  <c r="P874" i="9"/>
  <c r="O874" i="9"/>
  <c r="N874" i="9"/>
  <c r="M874" i="9"/>
  <c r="L874" i="9"/>
  <c r="K874" i="9"/>
  <c r="J874" i="9"/>
  <c r="I874" i="9"/>
  <c r="H874" i="9"/>
  <c r="G874" i="9"/>
  <c r="F874" i="9"/>
  <c r="E874" i="9"/>
  <c r="D874" i="9"/>
  <c r="C874" i="9"/>
  <c r="B874" i="9"/>
  <c r="P873" i="9"/>
  <c r="O873" i="9"/>
  <c r="N873" i="9"/>
  <c r="M873" i="9"/>
  <c r="L873" i="9"/>
  <c r="K873" i="9"/>
  <c r="J873" i="9"/>
  <c r="I873" i="9"/>
  <c r="H873" i="9"/>
  <c r="G873" i="9"/>
  <c r="F873" i="9"/>
  <c r="E873" i="9"/>
  <c r="D873" i="9"/>
  <c r="C873" i="9"/>
  <c r="B873" i="9"/>
  <c r="P872" i="9"/>
  <c r="O872" i="9"/>
  <c r="N872" i="9"/>
  <c r="M872" i="9"/>
  <c r="L872" i="9"/>
  <c r="K872" i="9"/>
  <c r="J872" i="9"/>
  <c r="I872" i="9"/>
  <c r="H872" i="9"/>
  <c r="G872" i="9"/>
  <c r="F872" i="9"/>
  <c r="E872" i="9"/>
  <c r="D872" i="9"/>
  <c r="C872" i="9"/>
  <c r="B872" i="9"/>
  <c r="P871" i="9"/>
  <c r="O871" i="9"/>
  <c r="N871" i="9"/>
  <c r="M871" i="9"/>
  <c r="L871" i="9"/>
  <c r="K871" i="9"/>
  <c r="J871" i="9"/>
  <c r="I871" i="9"/>
  <c r="H871" i="9"/>
  <c r="G871" i="9"/>
  <c r="F871" i="9"/>
  <c r="E871" i="9"/>
  <c r="D871" i="9"/>
  <c r="C871" i="9"/>
  <c r="B871" i="9"/>
  <c r="P870" i="9"/>
  <c r="O870" i="9"/>
  <c r="N870" i="9"/>
  <c r="M870" i="9"/>
  <c r="L870" i="9"/>
  <c r="K870" i="9"/>
  <c r="J870" i="9"/>
  <c r="I870" i="9"/>
  <c r="H870" i="9"/>
  <c r="G870" i="9"/>
  <c r="F870" i="9"/>
  <c r="E870" i="9"/>
  <c r="D870" i="9"/>
  <c r="C870" i="9"/>
  <c r="B870" i="9"/>
  <c r="P869" i="9"/>
  <c r="O869" i="9"/>
  <c r="N869" i="9"/>
  <c r="M869" i="9"/>
  <c r="L869" i="9"/>
  <c r="K869" i="9"/>
  <c r="J869" i="9"/>
  <c r="I869" i="9"/>
  <c r="H869" i="9"/>
  <c r="G869" i="9"/>
  <c r="F869" i="9"/>
  <c r="E869" i="9"/>
  <c r="D869" i="9"/>
  <c r="C869" i="9"/>
  <c r="B869" i="9"/>
  <c r="P868" i="9"/>
  <c r="O868" i="9"/>
  <c r="N868" i="9"/>
  <c r="M868" i="9"/>
  <c r="L868" i="9"/>
  <c r="K868" i="9"/>
  <c r="J868" i="9"/>
  <c r="I868" i="9"/>
  <c r="H868" i="9"/>
  <c r="G868" i="9"/>
  <c r="F868" i="9"/>
  <c r="E868" i="9"/>
  <c r="D868" i="9"/>
  <c r="C868" i="9"/>
  <c r="B868" i="9"/>
  <c r="P867" i="9"/>
  <c r="O867" i="9"/>
  <c r="N867" i="9"/>
  <c r="M867" i="9"/>
  <c r="L867" i="9"/>
  <c r="K867" i="9"/>
  <c r="J867" i="9"/>
  <c r="I867" i="9"/>
  <c r="H867" i="9"/>
  <c r="G867" i="9"/>
  <c r="F867" i="9"/>
  <c r="E867" i="9"/>
  <c r="D867" i="9"/>
  <c r="C867" i="9"/>
  <c r="B867" i="9"/>
  <c r="P866" i="9"/>
  <c r="O866" i="9"/>
  <c r="N866" i="9"/>
  <c r="M866" i="9"/>
  <c r="L866" i="9"/>
  <c r="K866" i="9"/>
  <c r="J866" i="9"/>
  <c r="I866" i="9"/>
  <c r="H866" i="9"/>
  <c r="G866" i="9"/>
  <c r="F866" i="9"/>
  <c r="E866" i="9"/>
  <c r="D866" i="9"/>
  <c r="C866" i="9"/>
  <c r="B866" i="9"/>
  <c r="P865" i="9"/>
  <c r="O865" i="9"/>
  <c r="N865" i="9"/>
  <c r="M865" i="9"/>
  <c r="L865" i="9"/>
  <c r="K865" i="9"/>
  <c r="J865" i="9"/>
  <c r="I865" i="9"/>
  <c r="H865" i="9"/>
  <c r="G865" i="9"/>
  <c r="F865" i="9"/>
  <c r="E865" i="9"/>
  <c r="D865" i="9"/>
  <c r="C865" i="9"/>
  <c r="B865" i="9"/>
  <c r="P864" i="9"/>
  <c r="O864" i="9"/>
  <c r="N864" i="9"/>
  <c r="M864" i="9"/>
  <c r="L864" i="9"/>
  <c r="K864" i="9"/>
  <c r="J864" i="9"/>
  <c r="I864" i="9"/>
  <c r="H864" i="9"/>
  <c r="G864" i="9"/>
  <c r="F864" i="9"/>
  <c r="E864" i="9"/>
  <c r="D864" i="9"/>
  <c r="C864" i="9"/>
  <c r="B864" i="9"/>
  <c r="P863" i="9"/>
  <c r="O863" i="9"/>
  <c r="N863" i="9"/>
  <c r="M863" i="9"/>
  <c r="L863" i="9"/>
  <c r="K863" i="9"/>
  <c r="J863" i="9"/>
  <c r="I863" i="9"/>
  <c r="H863" i="9"/>
  <c r="G863" i="9"/>
  <c r="F863" i="9"/>
  <c r="E863" i="9"/>
  <c r="D863" i="9"/>
  <c r="C863" i="9"/>
  <c r="B863" i="9"/>
  <c r="P862" i="9"/>
  <c r="O862" i="9"/>
  <c r="N862" i="9"/>
  <c r="M862" i="9"/>
  <c r="L862" i="9"/>
  <c r="K862" i="9"/>
  <c r="J862" i="9"/>
  <c r="I862" i="9"/>
  <c r="H862" i="9"/>
  <c r="G862" i="9"/>
  <c r="F862" i="9"/>
  <c r="E862" i="9"/>
  <c r="D862" i="9"/>
  <c r="C862" i="9"/>
  <c r="B862" i="9"/>
  <c r="P861" i="9"/>
  <c r="O861" i="9"/>
  <c r="N861" i="9"/>
  <c r="M861" i="9"/>
  <c r="L861" i="9"/>
  <c r="K861" i="9"/>
  <c r="J861" i="9"/>
  <c r="I861" i="9"/>
  <c r="H861" i="9"/>
  <c r="G861" i="9"/>
  <c r="F861" i="9"/>
  <c r="E861" i="9"/>
  <c r="D861" i="9"/>
  <c r="C861" i="9"/>
  <c r="B861" i="9"/>
  <c r="P860" i="9"/>
  <c r="O860" i="9"/>
  <c r="N860" i="9"/>
  <c r="M860" i="9"/>
  <c r="L860" i="9"/>
  <c r="K860" i="9"/>
  <c r="J860" i="9"/>
  <c r="I860" i="9"/>
  <c r="H860" i="9"/>
  <c r="G860" i="9"/>
  <c r="F860" i="9"/>
  <c r="E860" i="9"/>
  <c r="D860" i="9"/>
  <c r="C860" i="9"/>
  <c r="B860" i="9"/>
  <c r="P859" i="9"/>
  <c r="O859" i="9"/>
  <c r="N859" i="9"/>
  <c r="M859" i="9"/>
  <c r="L859" i="9"/>
  <c r="K859" i="9"/>
  <c r="J859" i="9"/>
  <c r="I859" i="9"/>
  <c r="H859" i="9"/>
  <c r="G859" i="9"/>
  <c r="F859" i="9"/>
  <c r="E859" i="9"/>
  <c r="D859" i="9"/>
  <c r="C859" i="9"/>
  <c r="B859" i="9"/>
  <c r="P858" i="9"/>
  <c r="O858" i="9"/>
  <c r="N858" i="9"/>
  <c r="M858" i="9"/>
  <c r="L858" i="9"/>
  <c r="K858" i="9"/>
  <c r="J858" i="9"/>
  <c r="I858" i="9"/>
  <c r="H858" i="9"/>
  <c r="G858" i="9"/>
  <c r="F858" i="9"/>
  <c r="E858" i="9"/>
  <c r="D858" i="9"/>
  <c r="C858" i="9"/>
  <c r="B858" i="9"/>
  <c r="P857" i="9"/>
  <c r="O857" i="9"/>
  <c r="N857" i="9"/>
  <c r="M857" i="9"/>
  <c r="L857" i="9"/>
  <c r="K857" i="9"/>
  <c r="J857" i="9"/>
  <c r="I857" i="9"/>
  <c r="H857" i="9"/>
  <c r="G857" i="9"/>
  <c r="F857" i="9"/>
  <c r="E857" i="9"/>
  <c r="D857" i="9"/>
  <c r="C857" i="9"/>
  <c r="B857" i="9"/>
  <c r="P856" i="9"/>
  <c r="O856" i="9"/>
  <c r="N856" i="9"/>
  <c r="M856" i="9"/>
  <c r="L856" i="9"/>
  <c r="K856" i="9"/>
  <c r="J856" i="9"/>
  <c r="I856" i="9"/>
  <c r="H856" i="9"/>
  <c r="G856" i="9"/>
  <c r="F856" i="9"/>
  <c r="E856" i="9"/>
  <c r="D856" i="9"/>
  <c r="C856" i="9"/>
  <c r="B856" i="9"/>
  <c r="P855" i="9"/>
  <c r="O855" i="9"/>
  <c r="N855" i="9"/>
  <c r="M855" i="9"/>
  <c r="L855" i="9"/>
  <c r="K855" i="9"/>
  <c r="J855" i="9"/>
  <c r="I855" i="9"/>
  <c r="H855" i="9"/>
  <c r="G855" i="9"/>
  <c r="F855" i="9"/>
  <c r="E855" i="9"/>
  <c r="D855" i="9"/>
  <c r="C855" i="9"/>
  <c r="B855" i="9"/>
  <c r="P854" i="9"/>
  <c r="O854" i="9"/>
  <c r="N854" i="9"/>
  <c r="M854" i="9"/>
  <c r="L854" i="9"/>
  <c r="K854" i="9"/>
  <c r="J854" i="9"/>
  <c r="I854" i="9"/>
  <c r="H854" i="9"/>
  <c r="G854" i="9"/>
  <c r="F854" i="9"/>
  <c r="E854" i="9"/>
  <c r="D854" i="9"/>
  <c r="C854" i="9"/>
  <c r="B854" i="9"/>
  <c r="P853" i="9"/>
  <c r="O853" i="9"/>
  <c r="N853" i="9"/>
  <c r="M853" i="9"/>
  <c r="L853" i="9"/>
  <c r="K853" i="9"/>
  <c r="J853" i="9"/>
  <c r="I853" i="9"/>
  <c r="H853" i="9"/>
  <c r="G853" i="9"/>
  <c r="F853" i="9"/>
  <c r="E853" i="9"/>
  <c r="D853" i="9"/>
  <c r="C853" i="9"/>
  <c r="B853" i="9"/>
  <c r="P852" i="9"/>
  <c r="O852" i="9"/>
  <c r="N852" i="9"/>
  <c r="M852" i="9"/>
  <c r="L852" i="9"/>
  <c r="K852" i="9"/>
  <c r="J852" i="9"/>
  <c r="I852" i="9"/>
  <c r="H852" i="9"/>
  <c r="G852" i="9"/>
  <c r="F852" i="9"/>
  <c r="E852" i="9"/>
  <c r="D852" i="9"/>
  <c r="C852" i="9"/>
  <c r="B852" i="9"/>
  <c r="P851" i="9"/>
  <c r="O851" i="9"/>
  <c r="N851" i="9"/>
  <c r="M851" i="9"/>
  <c r="L851" i="9"/>
  <c r="K851" i="9"/>
  <c r="J851" i="9"/>
  <c r="I851" i="9"/>
  <c r="H851" i="9"/>
  <c r="G851" i="9"/>
  <c r="F851" i="9"/>
  <c r="E851" i="9"/>
  <c r="D851" i="9"/>
  <c r="C851" i="9"/>
  <c r="B851" i="9"/>
  <c r="P850" i="9"/>
  <c r="O850" i="9"/>
  <c r="N850" i="9"/>
  <c r="M850" i="9"/>
  <c r="L850" i="9"/>
  <c r="K850" i="9"/>
  <c r="J850" i="9"/>
  <c r="I850" i="9"/>
  <c r="H850" i="9"/>
  <c r="G850" i="9"/>
  <c r="F850" i="9"/>
  <c r="E850" i="9"/>
  <c r="D850" i="9"/>
  <c r="C850" i="9"/>
  <c r="B850" i="9"/>
  <c r="P849" i="9"/>
  <c r="O849" i="9"/>
  <c r="N849" i="9"/>
  <c r="M849" i="9"/>
  <c r="L849" i="9"/>
  <c r="K849" i="9"/>
  <c r="J849" i="9"/>
  <c r="I849" i="9"/>
  <c r="H849" i="9"/>
  <c r="G849" i="9"/>
  <c r="F849" i="9"/>
  <c r="E849" i="9"/>
  <c r="D849" i="9"/>
  <c r="C849" i="9"/>
  <c r="B849" i="9"/>
  <c r="P848" i="9"/>
  <c r="O848" i="9"/>
  <c r="N848" i="9"/>
  <c r="M848" i="9"/>
  <c r="L848" i="9"/>
  <c r="K848" i="9"/>
  <c r="J848" i="9"/>
  <c r="I848" i="9"/>
  <c r="H848" i="9"/>
  <c r="G848" i="9"/>
  <c r="F848" i="9"/>
  <c r="E848" i="9"/>
  <c r="D848" i="9"/>
  <c r="C848" i="9"/>
  <c r="B848" i="9"/>
  <c r="P847" i="9"/>
  <c r="O847" i="9"/>
  <c r="N847" i="9"/>
  <c r="M847" i="9"/>
  <c r="L847" i="9"/>
  <c r="K847" i="9"/>
  <c r="J847" i="9"/>
  <c r="I847" i="9"/>
  <c r="H847" i="9"/>
  <c r="G847" i="9"/>
  <c r="F847" i="9"/>
  <c r="E847" i="9"/>
  <c r="D847" i="9"/>
  <c r="C847" i="9"/>
  <c r="B847" i="9"/>
  <c r="P846" i="9"/>
  <c r="O846" i="9"/>
  <c r="N846" i="9"/>
  <c r="M846" i="9"/>
  <c r="L846" i="9"/>
  <c r="K846" i="9"/>
  <c r="J846" i="9"/>
  <c r="I846" i="9"/>
  <c r="H846" i="9"/>
  <c r="G846" i="9"/>
  <c r="F846" i="9"/>
  <c r="E846" i="9"/>
  <c r="D846" i="9"/>
  <c r="C846" i="9"/>
  <c r="B846" i="9"/>
  <c r="P845" i="9"/>
  <c r="O845" i="9"/>
  <c r="N845" i="9"/>
  <c r="M845" i="9"/>
  <c r="L845" i="9"/>
  <c r="K845" i="9"/>
  <c r="J845" i="9"/>
  <c r="I845" i="9"/>
  <c r="H845" i="9"/>
  <c r="G845" i="9"/>
  <c r="F845" i="9"/>
  <c r="E845" i="9"/>
  <c r="D845" i="9"/>
  <c r="C845" i="9"/>
  <c r="B845" i="9"/>
  <c r="P844" i="9"/>
  <c r="O844" i="9"/>
  <c r="N844" i="9"/>
  <c r="M844" i="9"/>
  <c r="L844" i="9"/>
  <c r="K844" i="9"/>
  <c r="J844" i="9"/>
  <c r="I844" i="9"/>
  <c r="H844" i="9"/>
  <c r="G844" i="9"/>
  <c r="F844" i="9"/>
  <c r="E844" i="9"/>
  <c r="D844" i="9"/>
  <c r="C844" i="9"/>
  <c r="B844" i="9"/>
  <c r="P843" i="9"/>
  <c r="O843" i="9"/>
  <c r="N843" i="9"/>
  <c r="M843" i="9"/>
  <c r="L843" i="9"/>
  <c r="K843" i="9"/>
  <c r="J843" i="9"/>
  <c r="I843" i="9"/>
  <c r="H843" i="9"/>
  <c r="G843" i="9"/>
  <c r="F843" i="9"/>
  <c r="E843" i="9"/>
  <c r="D843" i="9"/>
  <c r="C843" i="9"/>
  <c r="B843" i="9"/>
  <c r="P842" i="9"/>
  <c r="O842" i="9"/>
  <c r="N842" i="9"/>
  <c r="M842" i="9"/>
  <c r="L842" i="9"/>
  <c r="K842" i="9"/>
  <c r="J842" i="9"/>
  <c r="I842" i="9"/>
  <c r="H842" i="9"/>
  <c r="G842" i="9"/>
  <c r="F842" i="9"/>
  <c r="E842" i="9"/>
  <c r="D842" i="9"/>
  <c r="C842" i="9"/>
  <c r="B842" i="9"/>
  <c r="P841" i="9"/>
  <c r="O841" i="9"/>
  <c r="N841" i="9"/>
  <c r="M841" i="9"/>
  <c r="L841" i="9"/>
  <c r="K841" i="9"/>
  <c r="J841" i="9"/>
  <c r="I841" i="9"/>
  <c r="H841" i="9"/>
  <c r="G841" i="9"/>
  <c r="F841" i="9"/>
  <c r="E841" i="9"/>
  <c r="D841" i="9"/>
  <c r="C841" i="9"/>
  <c r="B841" i="9"/>
  <c r="P840" i="9"/>
  <c r="O840" i="9"/>
  <c r="N840" i="9"/>
  <c r="M840" i="9"/>
  <c r="L840" i="9"/>
  <c r="K840" i="9"/>
  <c r="J840" i="9"/>
  <c r="I840" i="9"/>
  <c r="H840" i="9"/>
  <c r="G840" i="9"/>
  <c r="F840" i="9"/>
  <c r="E840" i="9"/>
  <c r="D840" i="9"/>
  <c r="C840" i="9"/>
  <c r="B840" i="9"/>
  <c r="P839" i="9"/>
  <c r="O839" i="9"/>
  <c r="N839" i="9"/>
  <c r="M839" i="9"/>
  <c r="L839" i="9"/>
  <c r="K839" i="9"/>
  <c r="J839" i="9"/>
  <c r="I839" i="9"/>
  <c r="H839" i="9"/>
  <c r="G839" i="9"/>
  <c r="F839" i="9"/>
  <c r="E839" i="9"/>
  <c r="D839" i="9"/>
  <c r="C839" i="9"/>
  <c r="B839" i="9"/>
  <c r="P838" i="9"/>
  <c r="O838" i="9"/>
  <c r="N838" i="9"/>
  <c r="M838" i="9"/>
  <c r="L838" i="9"/>
  <c r="K838" i="9"/>
  <c r="J838" i="9"/>
  <c r="I838" i="9"/>
  <c r="H838" i="9"/>
  <c r="G838" i="9"/>
  <c r="F838" i="9"/>
  <c r="E838" i="9"/>
  <c r="D838" i="9"/>
  <c r="C838" i="9"/>
  <c r="B838" i="9"/>
  <c r="P837" i="9"/>
  <c r="O837" i="9"/>
  <c r="N837" i="9"/>
  <c r="M837" i="9"/>
  <c r="L837" i="9"/>
  <c r="K837" i="9"/>
  <c r="J837" i="9"/>
  <c r="I837" i="9"/>
  <c r="H837" i="9"/>
  <c r="G837" i="9"/>
  <c r="F837" i="9"/>
  <c r="E837" i="9"/>
  <c r="D837" i="9"/>
  <c r="C837" i="9"/>
  <c r="B837" i="9"/>
  <c r="P836" i="9"/>
  <c r="O836" i="9"/>
  <c r="N836" i="9"/>
  <c r="M836" i="9"/>
  <c r="L836" i="9"/>
  <c r="K836" i="9"/>
  <c r="J836" i="9"/>
  <c r="I836" i="9"/>
  <c r="H836" i="9"/>
  <c r="G836" i="9"/>
  <c r="F836" i="9"/>
  <c r="E836" i="9"/>
  <c r="D836" i="9"/>
  <c r="C836" i="9"/>
  <c r="B836" i="9"/>
  <c r="P835" i="9"/>
  <c r="O835" i="9"/>
  <c r="N835" i="9"/>
  <c r="M835" i="9"/>
  <c r="L835" i="9"/>
  <c r="K835" i="9"/>
  <c r="J835" i="9"/>
  <c r="I835" i="9"/>
  <c r="H835" i="9"/>
  <c r="G835" i="9"/>
  <c r="F835" i="9"/>
  <c r="E835" i="9"/>
  <c r="D835" i="9"/>
  <c r="C835" i="9"/>
  <c r="B835" i="9"/>
  <c r="P834" i="9"/>
  <c r="O834" i="9"/>
  <c r="N834" i="9"/>
  <c r="M834" i="9"/>
  <c r="L834" i="9"/>
  <c r="K834" i="9"/>
  <c r="J834" i="9"/>
  <c r="I834" i="9"/>
  <c r="H834" i="9"/>
  <c r="G834" i="9"/>
  <c r="F834" i="9"/>
  <c r="E834" i="9"/>
  <c r="D834" i="9"/>
  <c r="C834" i="9"/>
  <c r="B834" i="9"/>
  <c r="P833" i="9"/>
  <c r="O833" i="9"/>
  <c r="N833" i="9"/>
  <c r="M833" i="9"/>
  <c r="L833" i="9"/>
  <c r="K833" i="9"/>
  <c r="J833" i="9"/>
  <c r="I833" i="9"/>
  <c r="H833" i="9"/>
  <c r="G833" i="9"/>
  <c r="F833" i="9"/>
  <c r="E833" i="9"/>
  <c r="D833" i="9"/>
  <c r="C833" i="9"/>
  <c r="B833" i="9"/>
  <c r="P832" i="9"/>
  <c r="O832" i="9"/>
  <c r="N832" i="9"/>
  <c r="M832" i="9"/>
  <c r="L832" i="9"/>
  <c r="K832" i="9"/>
  <c r="J832" i="9"/>
  <c r="I832" i="9"/>
  <c r="H832" i="9"/>
  <c r="G832" i="9"/>
  <c r="F832" i="9"/>
  <c r="E832" i="9"/>
  <c r="D832" i="9"/>
  <c r="C832" i="9"/>
  <c r="B832" i="9"/>
  <c r="P831" i="9"/>
  <c r="O831" i="9"/>
  <c r="N831" i="9"/>
  <c r="M831" i="9"/>
  <c r="L831" i="9"/>
  <c r="K831" i="9"/>
  <c r="J831" i="9"/>
  <c r="I831" i="9"/>
  <c r="H831" i="9"/>
  <c r="G831" i="9"/>
  <c r="F831" i="9"/>
  <c r="E831" i="9"/>
  <c r="D831" i="9"/>
  <c r="C831" i="9"/>
  <c r="B831" i="9"/>
  <c r="P830" i="9"/>
  <c r="O830" i="9"/>
  <c r="N830" i="9"/>
  <c r="M830" i="9"/>
  <c r="L830" i="9"/>
  <c r="K830" i="9"/>
  <c r="J830" i="9"/>
  <c r="I830" i="9"/>
  <c r="H830" i="9"/>
  <c r="G830" i="9"/>
  <c r="F830" i="9"/>
  <c r="E830" i="9"/>
  <c r="D830" i="9"/>
  <c r="C830" i="9"/>
  <c r="B830" i="9"/>
  <c r="P829" i="9"/>
  <c r="O829" i="9"/>
  <c r="N829" i="9"/>
  <c r="M829" i="9"/>
  <c r="L829" i="9"/>
  <c r="K829" i="9"/>
  <c r="J829" i="9"/>
  <c r="I829" i="9"/>
  <c r="H829" i="9"/>
  <c r="G829" i="9"/>
  <c r="F829" i="9"/>
  <c r="E829" i="9"/>
  <c r="D829" i="9"/>
  <c r="C829" i="9"/>
  <c r="B829" i="9"/>
  <c r="P828" i="9"/>
  <c r="O828" i="9"/>
  <c r="N828" i="9"/>
  <c r="M828" i="9"/>
  <c r="L828" i="9"/>
  <c r="K828" i="9"/>
  <c r="J828" i="9"/>
  <c r="I828" i="9"/>
  <c r="H828" i="9"/>
  <c r="G828" i="9"/>
  <c r="F828" i="9"/>
  <c r="E828" i="9"/>
  <c r="D828" i="9"/>
  <c r="C828" i="9"/>
  <c r="B828" i="9"/>
  <c r="P827" i="9"/>
  <c r="O827" i="9"/>
  <c r="N827" i="9"/>
  <c r="M827" i="9"/>
  <c r="L827" i="9"/>
  <c r="K827" i="9"/>
  <c r="J827" i="9"/>
  <c r="I827" i="9"/>
  <c r="H827" i="9"/>
  <c r="G827" i="9"/>
  <c r="F827" i="9"/>
  <c r="E827" i="9"/>
  <c r="D827" i="9"/>
  <c r="C827" i="9"/>
  <c r="B827" i="9"/>
  <c r="P826" i="9"/>
  <c r="O826" i="9"/>
  <c r="N826" i="9"/>
  <c r="M826" i="9"/>
  <c r="L826" i="9"/>
  <c r="K826" i="9"/>
  <c r="J826" i="9"/>
  <c r="I826" i="9"/>
  <c r="H826" i="9"/>
  <c r="G826" i="9"/>
  <c r="F826" i="9"/>
  <c r="E826" i="9"/>
  <c r="D826" i="9"/>
  <c r="C826" i="9"/>
  <c r="B826" i="9"/>
  <c r="P825" i="9"/>
  <c r="O825" i="9"/>
  <c r="N825" i="9"/>
  <c r="M825" i="9"/>
  <c r="L825" i="9"/>
  <c r="K825" i="9"/>
  <c r="J825" i="9"/>
  <c r="I825" i="9"/>
  <c r="H825" i="9"/>
  <c r="G825" i="9"/>
  <c r="F825" i="9"/>
  <c r="E825" i="9"/>
  <c r="D825" i="9"/>
  <c r="C825" i="9"/>
  <c r="B825" i="9"/>
  <c r="P824" i="9"/>
  <c r="O824" i="9"/>
  <c r="N824" i="9"/>
  <c r="M824" i="9"/>
  <c r="L824" i="9"/>
  <c r="K824" i="9"/>
  <c r="J824" i="9"/>
  <c r="I824" i="9"/>
  <c r="H824" i="9"/>
  <c r="G824" i="9"/>
  <c r="F824" i="9"/>
  <c r="E824" i="9"/>
  <c r="D824" i="9"/>
  <c r="C824" i="9"/>
  <c r="B824" i="9"/>
  <c r="P823" i="9"/>
  <c r="O823" i="9"/>
  <c r="N823" i="9"/>
  <c r="M823" i="9"/>
  <c r="L823" i="9"/>
  <c r="K823" i="9"/>
  <c r="J823" i="9"/>
  <c r="I823" i="9"/>
  <c r="H823" i="9"/>
  <c r="G823" i="9"/>
  <c r="F823" i="9"/>
  <c r="E823" i="9"/>
  <c r="D823" i="9"/>
  <c r="C823" i="9"/>
  <c r="B823" i="9"/>
  <c r="P822" i="9"/>
  <c r="O822" i="9"/>
  <c r="N822" i="9"/>
  <c r="M822" i="9"/>
  <c r="L822" i="9"/>
  <c r="K822" i="9"/>
  <c r="J822" i="9"/>
  <c r="I822" i="9"/>
  <c r="H822" i="9"/>
  <c r="G822" i="9"/>
  <c r="F822" i="9"/>
  <c r="E822" i="9"/>
  <c r="D822" i="9"/>
  <c r="C822" i="9"/>
  <c r="B822" i="9"/>
  <c r="P821" i="9"/>
  <c r="O821" i="9"/>
  <c r="N821" i="9"/>
  <c r="M821" i="9"/>
  <c r="L821" i="9"/>
  <c r="K821" i="9"/>
  <c r="J821" i="9"/>
  <c r="I821" i="9"/>
  <c r="H821" i="9"/>
  <c r="G821" i="9"/>
  <c r="F821" i="9"/>
  <c r="E821" i="9"/>
  <c r="D821" i="9"/>
  <c r="C821" i="9"/>
  <c r="B821" i="9"/>
  <c r="P820" i="9"/>
  <c r="O820" i="9"/>
  <c r="N820" i="9"/>
  <c r="M820" i="9"/>
  <c r="L820" i="9"/>
  <c r="K820" i="9"/>
  <c r="J820" i="9"/>
  <c r="I820" i="9"/>
  <c r="H820" i="9"/>
  <c r="G820" i="9"/>
  <c r="F820" i="9"/>
  <c r="E820" i="9"/>
  <c r="D820" i="9"/>
  <c r="C820" i="9"/>
  <c r="B820" i="9"/>
  <c r="P819" i="9"/>
  <c r="O819" i="9"/>
  <c r="N819" i="9"/>
  <c r="M819" i="9"/>
  <c r="L819" i="9"/>
  <c r="K819" i="9"/>
  <c r="J819" i="9"/>
  <c r="I819" i="9"/>
  <c r="H819" i="9"/>
  <c r="G819" i="9"/>
  <c r="F819" i="9"/>
  <c r="E819" i="9"/>
  <c r="D819" i="9"/>
  <c r="C819" i="9"/>
  <c r="B819" i="9"/>
  <c r="P818" i="9"/>
  <c r="O818" i="9"/>
  <c r="N818" i="9"/>
  <c r="M818" i="9"/>
  <c r="L818" i="9"/>
  <c r="K818" i="9"/>
  <c r="J818" i="9"/>
  <c r="I818" i="9"/>
  <c r="H818" i="9"/>
  <c r="G818" i="9"/>
  <c r="F818" i="9"/>
  <c r="E818" i="9"/>
  <c r="D818" i="9"/>
  <c r="C818" i="9"/>
  <c r="B818" i="9"/>
  <c r="P817" i="9"/>
  <c r="O817" i="9"/>
  <c r="N817" i="9"/>
  <c r="M817" i="9"/>
  <c r="L817" i="9"/>
  <c r="K817" i="9"/>
  <c r="J817" i="9"/>
  <c r="I817" i="9"/>
  <c r="H817" i="9"/>
  <c r="G817" i="9"/>
  <c r="F817" i="9"/>
  <c r="E817" i="9"/>
  <c r="D817" i="9"/>
  <c r="C817" i="9"/>
  <c r="B817" i="9"/>
  <c r="P816" i="9"/>
  <c r="O816" i="9"/>
  <c r="N816" i="9"/>
  <c r="M816" i="9"/>
  <c r="L816" i="9"/>
  <c r="K816" i="9"/>
  <c r="J816" i="9"/>
  <c r="I816" i="9"/>
  <c r="H816" i="9"/>
  <c r="G816" i="9"/>
  <c r="F816" i="9"/>
  <c r="E816" i="9"/>
  <c r="D816" i="9"/>
  <c r="C816" i="9"/>
  <c r="B816" i="9"/>
  <c r="P815" i="9"/>
  <c r="O815" i="9"/>
  <c r="N815" i="9"/>
  <c r="M815" i="9"/>
  <c r="L815" i="9"/>
  <c r="K815" i="9"/>
  <c r="J815" i="9"/>
  <c r="I815" i="9"/>
  <c r="H815" i="9"/>
  <c r="G815" i="9"/>
  <c r="F815" i="9"/>
  <c r="E815" i="9"/>
  <c r="D815" i="9"/>
  <c r="C815" i="9"/>
  <c r="B815" i="9"/>
  <c r="P814" i="9"/>
  <c r="O814" i="9"/>
  <c r="N814" i="9"/>
  <c r="M814" i="9"/>
  <c r="L814" i="9"/>
  <c r="K814" i="9"/>
  <c r="J814" i="9"/>
  <c r="I814" i="9"/>
  <c r="H814" i="9"/>
  <c r="G814" i="9"/>
  <c r="F814" i="9"/>
  <c r="E814" i="9"/>
  <c r="D814" i="9"/>
  <c r="C814" i="9"/>
  <c r="B814" i="9"/>
  <c r="P813" i="9"/>
  <c r="O813" i="9"/>
  <c r="N813" i="9"/>
  <c r="M813" i="9"/>
  <c r="L813" i="9"/>
  <c r="K813" i="9"/>
  <c r="J813" i="9"/>
  <c r="I813" i="9"/>
  <c r="H813" i="9"/>
  <c r="G813" i="9"/>
  <c r="F813" i="9"/>
  <c r="E813" i="9"/>
  <c r="D813" i="9"/>
  <c r="C813" i="9"/>
  <c r="B813" i="9"/>
  <c r="P812" i="9"/>
  <c r="O812" i="9"/>
  <c r="N812" i="9"/>
  <c r="M812" i="9"/>
  <c r="L812" i="9"/>
  <c r="K812" i="9"/>
  <c r="J812" i="9"/>
  <c r="I812" i="9"/>
  <c r="H812" i="9"/>
  <c r="G812" i="9"/>
  <c r="F812" i="9"/>
  <c r="E812" i="9"/>
  <c r="D812" i="9"/>
  <c r="C812" i="9"/>
  <c r="B812" i="9"/>
  <c r="P811" i="9"/>
  <c r="O811" i="9"/>
  <c r="N811" i="9"/>
  <c r="M811" i="9"/>
  <c r="L811" i="9"/>
  <c r="K811" i="9"/>
  <c r="J811" i="9"/>
  <c r="I811" i="9"/>
  <c r="H811" i="9"/>
  <c r="G811" i="9"/>
  <c r="F811" i="9"/>
  <c r="E811" i="9"/>
  <c r="D811" i="9"/>
  <c r="C811" i="9"/>
  <c r="B811" i="9"/>
  <c r="P810" i="9"/>
  <c r="O810" i="9"/>
  <c r="N810" i="9"/>
  <c r="M810" i="9"/>
  <c r="L810" i="9"/>
  <c r="K810" i="9"/>
  <c r="J810" i="9"/>
  <c r="I810" i="9"/>
  <c r="H810" i="9"/>
  <c r="G810" i="9"/>
  <c r="F810" i="9"/>
  <c r="E810" i="9"/>
  <c r="D810" i="9"/>
  <c r="C810" i="9"/>
  <c r="B810" i="9"/>
  <c r="P809" i="9"/>
  <c r="O809" i="9"/>
  <c r="N809" i="9"/>
  <c r="M809" i="9"/>
  <c r="L809" i="9"/>
  <c r="K809" i="9"/>
  <c r="J809" i="9"/>
  <c r="I809" i="9"/>
  <c r="H809" i="9"/>
  <c r="G809" i="9"/>
  <c r="F809" i="9"/>
  <c r="E809" i="9"/>
  <c r="D809" i="9"/>
  <c r="C809" i="9"/>
  <c r="B809" i="9"/>
  <c r="P808" i="9"/>
  <c r="O808" i="9"/>
  <c r="N808" i="9"/>
  <c r="M808" i="9"/>
  <c r="L808" i="9"/>
  <c r="K808" i="9"/>
  <c r="J808" i="9"/>
  <c r="I808" i="9"/>
  <c r="H808" i="9"/>
  <c r="G808" i="9"/>
  <c r="F808" i="9"/>
  <c r="E808" i="9"/>
  <c r="D808" i="9"/>
  <c r="C808" i="9"/>
  <c r="B808" i="9"/>
  <c r="P807" i="9"/>
  <c r="O807" i="9"/>
  <c r="N807" i="9"/>
  <c r="M807" i="9"/>
  <c r="L807" i="9"/>
  <c r="K807" i="9"/>
  <c r="J807" i="9"/>
  <c r="I807" i="9"/>
  <c r="H807" i="9"/>
  <c r="G807" i="9"/>
  <c r="F807" i="9"/>
  <c r="E807" i="9"/>
  <c r="D807" i="9"/>
  <c r="C807" i="9"/>
  <c r="B807" i="9"/>
  <c r="P806" i="9"/>
  <c r="O806" i="9"/>
  <c r="N806" i="9"/>
  <c r="M806" i="9"/>
  <c r="L806" i="9"/>
  <c r="K806" i="9"/>
  <c r="J806" i="9"/>
  <c r="I806" i="9"/>
  <c r="H806" i="9"/>
  <c r="G806" i="9"/>
  <c r="F806" i="9"/>
  <c r="E806" i="9"/>
  <c r="D806" i="9"/>
  <c r="C806" i="9"/>
  <c r="B806" i="9"/>
  <c r="P805" i="9"/>
  <c r="O805" i="9"/>
  <c r="N805" i="9"/>
  <c r="M805" i="9"/>
  <c r="L805" i="9"/>
  <c r="K805" i="9"/>
  <c r="J805" i="9"/>
  <c r="I805" i="9"/>
  <c r="H805" i="9"/>
  <c r="G805" i="9"/>
  <c r="F805" i="9"/>
  <c r="E805" i="9"/>
  <c r="D805" i="9"/>
  <c r="C805" i="9"/>
  <c r="B805" i="9"/>
  <c r="P804" i="9"/>
  <c r="O804" i="9"/>
  <c r="N804" i="9"/>
  <c r="M804" i="9"/>
  <c r="L804" i="9"/>
  <c r="K804" i="9"/>
  <c r="J804" i="9"/>
  <c r="I804" i="9"/>
  <c r="H804" i="9"/>
  <c r="G804" i="9"/>
  <c r="F804" i="9"/>
  <c r="E804" i="9"/>
  <c r="D804" i="9"/>
  <c r="C804" i="9"/>
  <c r="B804" i="9"/>
  <c r="P803" i="9"/>
  <c r="O803" i="9"/>
  <c r="N803" i="9"/>
  <c r="M803" i="9"/>
  <c r="L803" i="9"/>
  <c r="K803" i="9"/>
  <c r="J803" i="9"/>
  <c r="I803" i="9"/>
  <c r="H803" i="9"/>
  <c r="G803" i="9"/>
  <c r="F803" i="9"/>
  <c r="E803" i="9"/>
  <c r="D803" i="9"/>
  <c r="C803" i="9"/>
  <c r="B803" i="9"/>
  <c r="P802" i="9"/>
  <c r="O802" i="9"/>
  <c r="N802" i="9"/>
  <c r="M802" i="9"/>
  <c r="L802" i="9"/>
  <c r="K802" i="9"/>
  <c r="J802" i="9"/>
  <c r="I802" i="9"/>
  <c r="H802" i="9"/>
  <c r="G802" i="9"/>
  <c r="F802" i="9"/>
  <c r="E802" i="9"/>
  <c r="D802" i="9"/>
  <c r="C802" i="9"/>
  <c r="B802" i="9"/>
  <c r="P801" i="9"/>
  <c r="O801" i="9"/>
  <c r="N801" i="9"/>
  <c r="M801" i="9"/>
  <c r="L801" i="9"/>
  <c r="K801" i="9"/>
  <c r="J801" i="9"/>
  <c r="I801" i="9"/>
  <c r="H801" i="9"/>
  <c r="G801" i="9"/>
  <c r="F801" i="9"/>
  <c r="E801" i="9"/>
  <c r="D801" i="9"/>
  <c r="C801" i="9"/>
  <c r="B801" i="9"/>
  <c r="P800" i="9"/>
  <c r="O800" i="9"/>
  <c r="N800" i="9"/>
  <c r="M800" i="9"/>
  <c r="L800" i="9"/>
  <c r="K800" i="9"/>
  <c r="J800" i="9"/>
  <c r="I800" i="9"/>
  <c r="H800" i="9"/>
  <c r="G800" i="9"/>
  <c r="F800" i="9"/>
  <c r="E800" i="9"/>
  <c r="D800" i="9"/>
  <c r="C800" i="9"/>
  <c r="B800" i="9"/>
  <c r="P799" i="9"/>
  <c r="O799" i="9"/>
  <c r="N799" i="9"/>
  <c r="M799" i="9"/>
  <c r="L799" i="9"/>
  <c r="K799" i="9"/>
  <c r="J799" i="9"/>
  <c r="I799" i="9"/>
  <c r="H799" i="9"/>
  <c r="G799" i="9"/>
  <c r="F799" i="9"/>
  <c r="E799" i="9"/>
  <c r="D799" i="9"/>
  <c r="C799" i="9"/>
  <c r="B799" i="9"/>
  <c r="P798" i="9"/>
  <c r="O798" i="9"/>
  <c r="N798" i="9"/>
  <c r="M798" i="9"/>
  <c r="L798" i="9"/>
  <c r="K798" i="9"/>
  <c r="J798" i="9"/>
  <c r="I798" i="9"/>
  <c r="H798" i="9"/>
  <c r="G798" i="9"/>
  <c r="F798" i="9"/>
  <c r="E798" i="9"/>
  <c r="D798" i="9"/>
  <c r="C798" i="9"/>
  <c r="B798" i="9"/>
  <c r="P797" i="9"/>
  <c r="O797" i="9"/>
  <c r="N797" i="9"/>
  <c r="M797" i="9"/>
  <c r="L797" i="9"/>
  <c r="K797" i="9"/>
  <c r="J797" i="9"/>
  <c r="I797" i="9"/>
  <c r="H797" i="9"/>
  <c r="G797" i="9"/>
  <c r="F797" i="9"/>
  <c r="E797" i="9"/>
  <c r="D797" i="9"/>
  <c r="C797" i="9"/>
  <c r="B797" i="9"/>
  <c r="P796" i="9"/>
  <c r="O796" i="9"/>
  <c r="N796" i="9"/>
  <c r="M796" i="9"/>
  <c r="L796" i="9"/>
  <c r="K796" i="9"/>
  <c r="J796" i="9"/>
  <c r="I796" i="9"/>
  <c r="H796" i="9"/>
  <c r="G796" i="9"/>
  <c r="F796" i="9"/>
  <c r="E796" i="9"/>
  <c r="D796" i="9"/>
  <c r="C796" i="9"/>
  <c r="B796" i="9"/>
  <c r="P795" i="9"/>
  <c r="O795" i="9"/>
  <c r="N795" i="9"/>
  <c r="M795" i="9"/>
  <c r="L795" i="9"/>
  <c r="K795" i="9"/>
  <c r="J795" i="9"/>
  <c r="I795" i="9"/>
  <c r="H795" i="9"/>
  <c r="G795" i="9"/>
  <c r="F795" i="9"/>
  <c r="E795" i="9"/>
  <c r="D795" i="9"/>
  <c r="C795" i="9"/>
  <c r="B795" i="9"/>
  <c r="P794" i="9"/>
  <c r="O794" i="9"/>
  <c r="N794" i="9"/>
  <c r="M794" i="9"/>
  <c r="L794" i="9"/>
  <c r="K794" i="9"/>
  <c r="J794" i="9"/>
  <c r="I794" i="9"/>
  <c r="H794" i="9"/>
  <c r="G794" i="9"/>
  <c r="F794" i="9"/>
  <c r="E794" i="9"/>
  <c r="D794" i="9"/>
  <c r="C794" i="9"/>
  <c r="B794" i="9"/>
  <c r="P793" i="9"/>
  <c r="O793" i="9"/>
  <c r="N793" i="9"/>
  <c r="M793" i="9"/>
  <c r="L793" i="9"/>
  <c r="K793" i="9"/>
  <c r="J793" i="9"/>
  <c r="I793" i="9"/>
  <c r="H793" i="9"/>
  <c r="G793" i="9"/>
  <c r="F793" i="9"/>
  <c r="E793" i="9"/>
  <c r="D793" i="9"/>
  <c r="C793" i="9"/>
  <c r="B793" i="9"/>
  <c r="P792" i="9"/>
  <c r="O792" i="9"/>
  <c r="N792" i="9"/>
  <c r="M792" i="9"/>
  <c r="L792" i="9"/>
  <c r="K792" i="9"/>
  <c r="J792" i="9"/>
  <c r="I792" i="9"/>
  <c r="H792" i="9"/>
  <c r="G792" i="9"/>
  <c r="F792" i="9"/>
  <c r="E792" i="9"/>
  <c r="D792" i="9"/>
  <c r="C792" i="9"/>
  <c r="B792" i="9"/>
  <c r="P791" i="9"/>
  <c r="O791" i="9"/>
  <c r="N791" i="9"/>
  <c r="M791" i="9"/>
  <c r="L791" i="9"/>
  <c r="K791" i="9"/>
  <c r="J791" i="9"/>
  <c r="I791" i="9"/>
  <c r="H791" i="9"/>
  <c r="G791" i="9"/>
  <c r="F791" i="9"/>
  <c r="E791" i="9"/>
  <c r="D791" i="9"/>
  <c r="C791" i="9"/>
  <c r="B791" i="9"/>
  <c r="P790" i="9"/>
  <c r="O790" i="9"/>
  <c r="N790" i="9"/>
  <c r="M790" i="9"/>
  <c r="L790" i="9"/>
  <c r="K790" i="9"/>
  <c r="J790" i="9"/>
  <c r="I790" i="9"/>
  <c r="H790" i="9"/>
  <c r="G790" i="9"/>
  <c r="F790" i="9"/>
  <c r="E790" i="9"/>
  <c r="D790" i="9"/>
  <c r="C790" i="9"/>
  <c r="B790" i="9"/>
  <c r="P789" i="9"/>
  <c r="O789" i="9"/>
  <c r="N789" i="9"/>
  <c r="M789" i="9"/>
  <c r="L789" i="9"/>
  <c r="K789" i="9"/>
  <c r="J789" i="9"/>
  <c r="I789" i="9"/>
  <c r="H789" i="9"/>
  <c r="G789" i="9"/>
  <c r="F789" i="9"/>
  <c r="E789" i="9"/>
  <c r="D789" i="9"/>
  <c r="C789" i="9"/>
  <c r="B789" i="9"/>
  <c r="P788" i="9"/>
  <c r="O788" i="9"/>
  <c r="N788" i="9"/>
  <c r="M788" i="9"/>
  <c r="L788" i="9"/>
  <c r="K788" i="9"/>
  <c r="J788" i="9"/>
  <c r="I788" i="9"/>
  <c r="H788" i="9"/>
  <c r="G788" i="9"/>
  <c r="F788" i="9"/>
  <c r="E788" i="9"/>
  <c r="D788" i="9"/>
  <c r="C788" i="9"/>
  <c r="B788" i="9"/>
  <c r="P787" i="9"/>
  <c r="O787" i="9"/>
  <c r="N787" i="9"/>
  <c r="M787" i="9"/>
  <c r="L787" i="9"/>
  <c r="K787" i="9"/>
  <c r="J787" i="9"/>
  <c r="I787" i="9"/>
  <c r="H787" i="9"/>
  <c r="G787" i="9"/>
  <c r="F787" i="9"/>
  <c r="E787" i="9"/>
  <c r="D787" i="9"/>
  <c r="C787" i="9"/>
  <c r="B787" i="9"/>
  <c r="P786" i="9"/>
  <c r="O786" i="9"/>
  <c r="N786" i="9"/>
  <c r="M786" i="9"/>
  <c r="L786" i="9"/>
  <c r="K786" i="9"/>
  <c r="J786" i="9"/>
  <c r="I786" i="9"/>
  <c r="H786" i="9"/>
  <c r="G786" i="9"/>
  <c r="F786" i="9"/>
  <c r="E786" i="9"/>
  <c r="D786" i="9"/>
  <c r="C786" i="9"/>
  <c r="B786" i="9"/>
  <c r="P785" i="9"/>
  <c r="O785" i="9"/>
  <c r="N785" i="9"/>
  <c r="M785" i="9"/>
  <c r="L785" i="9"/>
  <c r="K785" i="9"/>
  <c r="J785" i="9"/>
  <c r="I785" i="9"/>
  <c r="H785" i="9"/>
  <c r="G785" i="9"/>
  <c r="F785" i="9"/>
  <c r="E785" i="9"/>
  <c r="D785" i="9"/>
  <c r="C785" i="9"/>
  <c r="B785" i="9"/>
  <c r="P784" i="9"/>
  <c r="O784" i="9"/>
  <c r="N784" i="9"/>
  <c r="M784" i="9"/>
  <c r="L784" i="9"/>
  <c r="K784" i="9"/>
  <c r="J784" i="9"/>
  <c r="I784" i="9"/>
  <c r="H784" i="9"/>
  <c r="G784" i="9"/>
  <c r="F784" i="9"/>
  <c r="E784" i="9"/>
  <c r="D784" i="9"/>
  <c r="C784" i="9"/>
  <c r="B784" i="9"/>
  <c r="P783" i="9"/>
  <c r="O783" i="9"/>
  <c r="N783" i="9"/>
  <c r="M783" i="9"/>
  <c r="L783" i="9"/>
  <c r="K783" i="9"/>
  <c r="J783" i="9"/>
  <c r="I783" i="9"/>
  <c r="H783" i="9"/>
  <c r="G783" i="9"/>
  <c r="F783" i="9"/>
  <c r="E783" i="9"/>
  <c r="D783" i="9"/>
  <c r="C783" i="9"/>
  <c r="B783" i="9"/>
  <c r="P782" i="9"/>
  <c r="O782" i="9"/>
  <c r="N782" i="9"/>
  <c r="M782" i="9"/>
  <c r="L782" i="9"/>
  <c r="K782" i="9"/>
  <c r="J782" i="9"/>
  <c r="I782" i="9"/>
  <c r="H782" i="9"/>
  <c r="G782" i="9"/>
  <c r="F782" i="9"/>
  <c r="E782" i="9"/>
  <c r="D782" i="9"/>
  <c r="C782" i="9"/>
  <c r="B782" i="9"/>
  <c r="P781" i="9"/>
  <c r="O781" i="9"/>
  <c r="N781" i="9"/>
  <c r="M781" i="9"/>
  <c r="L781" i="9"/>
  <c r="K781" i="9"/>
  <c r="J781" i="9"/>
  <c r="I781" i="9"/>
  <c r="H781" i="9"/>
  <c r="G781" i="9"/>
  <c r="F781" i="9"/>
  <c r="E781" i="9"/>
  <c r="D781" i="9"/>
  <c r="C781" i="9"/>
  <c r="B781" i="9"/>
  <c r="P780" i="9"/>
  <c r="O780" i="9"/>
  <c r="N780" i="9"/>
  <c r="M780" i="9"/>
  <c r="L780" i="9"/>
  <c r="K780" i="9"/>
  <c r="J780" i="9"/>
  <c r="I780" i="9"/>
  <c r="H780" i="9"/>
  <c r="G780" i="9"/>
  <c r="F780" i="9"/>
  <c r="E780" i="9"/>
  <c r="D780" i="9"/>
  <c r="C780" i="9"/>
  <c r="B780" i="9"/>
  <c r="P779" i="9"/>
  <c r="O779" i="9"/>
  <c r="N779" i="9"/>
  <c r="M779" i="9"/>
  <c r="L779" i="9"/>
  <c r="K779" i="9"/>
  <c r="J779" i="9"/>
  <c r="I779" i="9"/>
  <c r="H779" i="9"/>
  <c r="G779" i="9"/>
  <c r="F779" i="9"/>
  <c r="E779" i="9"/>
  <c r="D779" i="9"/>
  <c r="C779" i="9"/>
  <c r="B779" i="9"/>
  <c r="P778" i="9"/>
  <c r="O778" i="9"/>
  <c r="N778" i="9"/>
  <c r="M778" i="9"/>
  <c r="L778" i="9"/>
  <c r="K778" i="9"/>
  <c r="J778" i="9"/>
  <c r="I778" i="9"/>
  <c r="H778" i="9"/>
  <c r="G778" i="9"/>
  <c r="F778" i="9"/>
  <c r="E778" i="9"/>
  <c r="D778" i="9"/>
  <c r="C778" i="9"/>
  <c r="B778" i="9"/>
  <c r="P777" i="9"/>
  <c r="O777" i="9"/>
  <c r="N777" i="9"/>
  <c r="M777" i="9"/>
  <c r="L777" i="9"/>
  <c r="K777" i="9"/>
  <c r="J777" i="9"/>
  <c r="I777" i="9"/>
  <c r="H777" i="9"/>
  <c r="G777" i="9"/>
  <c r="F777" i="9"/>
  <c r="E777" i="9"/>
  <c r="D777" i="9"/>
  <c r="C777" i="9"/>
  <c r="B777" i="9"/>
  <c r="P776" i="9"/>
  <c r="O776" i="9"/>
  <c r="N776" i="9"/>
  <c r="M776" i="9"/>
  <c r="L776" i="9"/>
  <c r="K776" i="9"/>
  <c r="J776" i="9"/>
  <c r="I776" i="9"/>
  <c r="H776" i="9"/>
  <c r="G776" i="9"/>
  <c r="F776" i="9"/>
  <c r="E776" i="9"/>
  <c r="D776" i="9"/>
  <c r="C776" i="9"/>
  <c r="B776" i="9"/>
  <c r="P775" i="9"/>
  <c r="O775" i="9"/>
  <c r="N775" i="9"/>
  <c r="M775" i="9"/>
  <c r="L775" i="9"/>
  <c r="K775" i="9"/>
  <c r="J775" i="9"/>
  <c r="I775" i="9"/>
  <c r="H775" i="9"/>
  <c r="G775" i="9"/>
  <c r="F775" i="9"/>
  <c r="E775" i="9"/>
  <c r="D775" i="9"/>
  <c r="C775" i="9"/>
  <c r="B775" i="9"/>
  <c r="P774" i="9"/>
  <c r="O774" i="9"/>
  <c r="N774" i="9"/>
  <c r="M774" i="9"/>
  <c r="L774" i="9"/>
  <c r="K774" i="9"/>
  <c r="J774" i="9"/>
  <c r="I774" i="9"/>
  <c r="H774" i="9"/>
  <c r="G774" i="9"/>
  <c r="F774" i="9"/>
  <c r="E774" i="9"/>
  <c r="D774" i="9"/>
  <c r="C774" i="9"/>
  <c r="B774" i="9"/>
  <c r="P773" i="9"/>
  <c r="O773" i="9"/>
  <c r="N773" i="9"/>
  <c r="M773" i="9"/>
  <c r="L773" i="9"/>
  <c r="K773" i="9"/>
  <c r="J773" i="9"/>
  <c r="I773" i="9"/>
  <c r="H773" i="9"/>
  <c r="G773" i="9"/>
  <c r="F773" i="9"/>
  <c r="E773" i="9"/>
  <c r="D773" i="9"/>
  <c r="C773" i="9"/>
  <c r="B773" i="9"/>
  <c r="P772" i="9"/>
  <c r="O772" i="9"/>
  <c r="N772" i="9"/>
  <c r="M772" i="9"/>
  <c r="L772" i="9"/>
  <c r="K772" i="9"/>
  <c r="J772" i="9"/>
  <c r="I772" i="9"/>
  <c r="H772" i="9"/>
  <c r="G772" i="9"/>
  <c r="F772" i="9"/>
  <c r="E772" i="9"/>
  <c r="D772" i="9"/>
  <c r="C772" i="9"/>
  <c r="B772" i="9"/>
  <c r="P771" i="9"/>
  <c r="O771" i="9"/>
  <c r="N771" i="9"/>
  <c r="M771" i="9"/>
  <c r="L771" i="9"/>
  <c r="K771" i="9"/>
  <c r="J771" i="9"/>
  <c r="I771" i="9"/>
  <c r="H771" i="9"/>
  <c r="G771" i="9"/>
  <c r="F771" i="9"/>
  <c r="E771" i="9"/>
  <c r="D771" i="9"/>
  <c r="C771" i="9"/>
  <c r="B771" i="9"/>
  <c r="P770" i="9"/>
  <c r="O770" i="9"/>
  <c r="N770" i="9"/>
  <c r="M770" i="9"/>
  <c r="L770" i="9"/>
  <c r="K770" i="9"/>
  <c r="J770" i="9"/>
  <c r="I770" i="9"/>
  <c r="H770" i="9"/>
  <c r="G770" i="9"/>
  <c r="F770" i="9"/>
  <c r="E770" i="9"/>
  <c r="D770" i="9"/>
  <c r="C770" i="9"/>
  <c r="B770" i="9"/>
  <c r="P769" i="9"/>
  <c r="O769" i="9"/>
  <c r="N769" i="9"/>
  <c r="M769" i="9"/>
  <c r="L769" i="9"/>
  <c r="K769" i="9"/>
  <c r="J769" i="9"/>
  <c r="I769" i="9"/>
  <c r="H769" i="9"/>
  <c r="G769" i="9"/>
  <c r="F769" i="9"/>
  <c r="E769" i="9"/>
  <c r="D769" i="9"/>
  <c r="C769" i="9"/>
  <c r="B769" i="9"/>
  <c r="P768" i="9"/>
  <c r="O768" i="9"/>
  <c r="N768" i="9"/>
  <c r="M768" i="9"/>
  <c r="L768" i="9"/>
  <c r="K768" i="9"/>
  <c r="J768" i="9"/>
  <c r="I768" i="9"/>
  <c r="H768" i="9"/>
  <c r="G768" i="9"/>
  <c r="F768" i="9"/>
  <c r="E768" i="9"/>
  <c r="D768" i="9"/>
  <c r="C768" i="9"/>
  <c r="B768" i="9"/>
  <c r="P767" i="9"/>
  <c r="O767" i="9"/>
  <c r="N767" i="9"/>
  <c r="M767" i="9"/>
  <c r="L767" i="9"/>
  <c r="K767" i="9"/>
  <c r="J767" i="9"/>
  <c r="I767" i="9"/>
  <c r="H767" i="9"/>
  <c r="G767" i="9"/>
  <c r="F767" i="9"/>
  <c r="E767" i="9"/>
  <c r="D767" i="9"/>
  <c r="C767" i="9"/>
  <c r="B767" i="9"/>
  <c r="P766" i="9"/>
  <c r="O766" i="9"/>
  <c r="N766" i="9"/>
  <c r="M766" i="9"/>
  <c r="L766" i="9"/>
  <c r="K766" i="9"/>
  <c r="J766" i="9"/>
  <c r="I766" i="9"/>
  <c r="H766" i="9"/>
  <c r="G766" i="9"/>
  <c r="F766" i="9"/>
  <c r="E766" i="9"/>
  <c r="D766" i="9"/>
  <c r="C766" i="9"/>
  <c r="B766" i="9"/>
  <c r="P765" i="9"/>
  <c r="O765" i="9"/>
  <c r="N765" i="9"/>
  <c r="M765" i="9"/>
  <c r="L765" i="9"/>
  <c r="K765" i="9"/>
  <c r="J765" i="9"/>
  <c r="I765" i="9"/>
  <c r="H765" i="9"/>
  <c r="G765" i="9"/>
  <c r="F765" i="9"/>
  <c r="E765" i="9"/>
  <c r="D765" i="9"/>
  <c r="C765" i="9"/>
  <c r="B765" i="9"/>
  <c r="P764" i="9"/>
  <c r="O764" i="9"/>
  <c r="N764" i="9"/>
  <c r="M764" i="9"/>
  <c r="L764" i="9"/>
  <c r="K764" i="9"/>
  <c r="J764" i="9"/>
  <c r="I764" i="9"/>
  <c r="H764" i="9"/>
  <c r="G764" i="9"/>
  <c r="F764" i="9"/>
  <c r="E764" i="9"/>
  <c r="D764" i="9"/>
  <c r="C764" i="9"/>
  <c r="B764" i="9"/>
  <c r="P763" i="9"/>
  <c r="O763" i="9"/>
  <c r="N763" i="9"/>
  <c r="M763" i="9"/>
  <c r="L763" i="9"/>
  <c r="K763" i="9"/>
  <c r="J763" i="9"/>
  <c r="I763" i="9"/>
  <c r="H763" i="9"/>
  <c r="G763" i="9"/>
  <c r="F763" i="9"/>
  <c r="E763" i="9"/>
  <c r="D763" i="9"/>
  <c r="C763" i="9"/>
  <c r="B763" i="9"/>
  <c r="P762" i="9"/>
  <c r="O762" i="9"/>
  <c r="N762" i="9"/>
  <c r="M762" i="9"/>
  <c r="L762" i="9"/>
  <c r="K762" i="9"/>
  <c r="J762" i="9"/>
  <c r="I762" i="9"/>
  <c r="H762" i="9"/>
  <c r="G762" i="9"/>
  <c r="F762" i="9"/>
  <c r="E762" i="9"/>
  <c r="D762" i="9"/>
  <c r="C762" i="9"/>
  <c r="B762" i="9"/>
  <c r="P761" i="9"/>
  <c r="O761" i="9"/>
  <c r="N761" i="9"/>
  <c r="M761" i="9"/>
  <c r="L761" i="9"/>
  <c r="K761" i="9"/>
  <c r="J761" i="9"/>
  <c r="I761" i="9"/>
  <c r="H761" i="9"/>
  <c r="G761" i="9"/>
  <c r="F761" i="9"/>
  <c r="E761" i="9"/>
  <c r="D761" i="9"/>
  <c r="C761" i="9"/>
  <c r="B761" i="9"/>
  <c r="P760" i="9"/>
  <c r="O760" i="9"/>
  <c r="N760" i="9"/>
  <c r="M760" i="9"/>
  <c r="L760" i="9"/>
  <c r="K760" i="9"/>
  <c r="J760" i="9"/>
  <c r="I760" i="9"/>
  <c r="H760" i="9"/>
  <c r="G760" i="9"/>
  <c r="F760" i="9"/>
  <c r="E760" i="9"/>
  <c r="D760" i="9"/>
  <c r="C760" i="9"/>
  <c r="B760" i="9"/>
  <c r="P759" i="9"/>
  <c r="O759" i="9"/>
  <c r="N759" i="9"/>
  <c r="M759" i="9"/>
  <c r="L759" i="9"/>
  <c r="K759" i="9"/>
  <c r="J759" i="9"/>
  <c r="I759" i="9"/>
  <c r="H759" i="9"/>
  <c r="G759" i="9"/>
  <c r="F759" i="9"/>
  <c r="E759" i="9"/>
  <c r="D759" i="9"/>
  <c r="C759" i="9"/>
  <c r="B759" i="9"/>
  <c r="P758" i="9"/>
  <c r="O758" i="9"/>
  <c r="N758" i="9"/>
  <c r="M758" i="9"/>
  <c r="L758" i="9"/>
  <c r="K758" i="9"/>
  <c r="J758" i="9"/>
  <c r="I758" i="9"/>
  <c r="H758" i="9"/>
  <c r="G758" i="9"/>
  <c r="F758" i="9"/>
  <c r="E758" i="9"/>
  <c r="D758" i="9"/>
  <c r="C758" i="9"/>
  <c r="B758" i="9"/>
  <c r="P757" i="9"/>
  <c r="O757" i="9"/>
  <c r="N757" i="9"/>
  <c r="M757" i="9"/>
  <c r="L757" i="9"/>
  <c r="K757" i="9"/>
  <c r="J757" i="9"/>
  <c r="I757" i="9"/>
  <c r="H757" i="9"/>
  <c r="G757" i="9"/>
  <c r="F757" i="9"/>
  <c r="E757" i="9"/>
  <c r="D757" i="9"/>
  <c r="C757" i="9"/>
  <c r="B757" i="9"/>
  <c r="P756" i="9"/>
  <c r="O756" i="9"/>
  <c r="N756" i="9"/>
  <c r="M756" i="9"/>
  <c r="L756" i="9"/>
  <c r="K756" i="9"/>
  <c r="J756" i="9"/>
  <c r="I756" i="9"/>
  <c r="H756" i="9"/>
  <c r="G756" i="9"/>
  <c r="F756" i="9"/>
  <c r="E756" i="9"/>
  <c r="D756" i="9"/>
  <c r="C756" i="9"/>
  <c r="B756" i="9"/>
  <c r="P755" i="9"/>
  <c r="O755" i="9"/>
  <c r="N755" i="9"/>
  <c r="M755" i="9"/>
  <c r="L755" i="9"/>
  <c r="K755" i="9"/>
  <c r="J755" i="9"/>
  <c r="I755" i="9"/>
  <c r="H755" i="9"/>
  <c r="G755" i="9"/>
  <c r="F755" i="9"/>
  <c r="E755" i="9"/>
  <c r="D755" i="9"/>
  <c r="C755" i="9"/>
  <c r="B755" i="9"/>
  <c r="P754" i="9"/>
  <c r="O754" i="9"/>
  <c r="N754" i="9"/>
  <c r="M754" i="9"/>
  <c r="L754" i="9"/>
  <c r="K754" i="9"/>
  <c r="J754" i="9"/>
  <c r="I754" i="9"/>
  <c r="H754" i="9"/>
  <c r="G754" i="9"/>
  <c r="F754" i="9"/>
  <c r="E754" i="9"/>
  <c r="D754" i="9"/>
  <c r="C754" i="9"/>
  <c r="B754" i="9"/>
  <c r="P753" i="9"/>
  <c r="O753" i="9"/>
  <c r="N753" i="9"/>
  <c r="M753" i="9"/>
  <c r="L753" i="9"/>
  <c r="K753" i="9"/>
  <c r="J753" i="9"/>
  <c r="I753" i="9"/>
  <c r="H753" i="9"/>
  <c r="G753" i="9"/>
  <c r="F753" i="9"/>
  <c r="E753" i="9"/>
  <c r="D753" i="9"/>
  <c r="C753" i="9"/>
  <c r="B753" i="9"/>
  <c r="P752" i="9"/>
  <c r="O752" i="9"/>
  <c r="N752" i="9"/>
  <c r="M752" i="9"/>
  <c r="L752" i="9"/>
  <c r="K752" i="9"/>
  <c r="J752" i="9"/>
  <c r="I752" i="9"/>
  <c r="H752" i="9"/>
  <c r="G752" i="9"/>
  <c r="F752" i="9"/>
  <c r="E752" i="9"/>
  <c r="D752" i="9"/>
  <c r="C752" i="9"/>
  <c r="B752" i="9"/>
  <c r="P751" i="9"/>
  <c r="O751" i="9"/>
  <c r="N751" i="9"/>
  <c r="M751" i="9"/>
  <c r="L751" i="9"/>
  <c r="K751" i="9"/>
  <c r="J751" i="9"/>
  <c r="I751" i="9"/>
  <c r="H751" i="9"/>
  <c r="G751" i="9"/>
  <c r="F751" i="9"/>
  <c r="E751" i="9"/>
  <c r="D751" i="9"/>
  <c r="C751" i="9"/>
  <c r="B751" i="9"/>
  <c r="P750" i="9"/>
  <c r="O750" i="9"/>
  <c r="N750" i="9"/>
  <c r="M750" i="9"/>
  <c r="L750" i="9"/>
  <c r="K750" i="9"/>
  <c r="J750" i="9"/>
  <c r="I750" i="9"/>
  <c r="H750" i="9"/>
  <c r="G750" i="9"/>
  <c r="F750" i="9"/>
  <c r="E750" i="9"/>
  <c r="D750" i="9"/>
  <c r="C750" i="9"/>
  <c r="B750" i="9"/>
  <c r="P749" i="9"/>
  <c r="O749" i="9"/>
  <c r="N749" i="9"/>
  <c r="M749" i="9"/>
  <c r="L749" i="9"/>
  <c r="K749" i="9"/>
  <c r="J749" i="9"/>
  <c r="I749" i="9"/>
  <c r="H749" i="9"/>
  <c r="G749" i="9"/>
  <c r="F749" i="9"/>
  <c r="E749" i="9"/>
  <c r="D749" i="9"/>
  <c r="C749" i="9"/>
  <c r="B749" i="9"/>
  <c r="P748" i="9"/>
  <c r="O748" i="9"/>
  <c r="N748" i="9"/>
  <c r="M748" i="9"/>
  <c r="L748" i="9"/>
  <c r="K748" i="9"/>
  <c r="J748" i="9"/>
  <c r="I748" i="9"/>
  <c r="H748" i="9"/>
  <c r="G748" i="9"/>
  <c r="F748" i="9"/>
  <c r="E748" i="9"/>
  <c r="D748" i="9"/>
  <c r="C748" i="9"/>
  <c r="B748" i="9"/>
  <c r="P747" i="9"/>
  <c r="O747" i="9"/>
  <c r="N747" i="9"/>
  <c r="M747" i="9"/>
  <c r="L747" i="9"/>
  <c r="K747" i="9"/>
  <c r="J747" i="9"/>
  <c r="I747" i="9"/>
  <c r="H747" i="9"/>
  <c r="G747" i="9"/>
  <c r="F747" i="9"/>
  <c r="E747" i="9"/>
  <c r="D747" i="9"/>
  <c r="C747" i="9"/>
  <c r="B747" i="9"/>
  <c r="P746" i="9"/>
  <c r="O746" i="9"/>
  <c r="N746" i="9"/>
  <c r="M746" i="9"/>
  <c r="L746" i="9"/>
  <c r="K746" i="9"/>
  <c r="J746" i="9"/>
  <c r="I746" i="9"/>
  <c r="H746" i="9"/>
  <c r="G746" i="9"/>
  <c r="F746" i="9"/>
  <c r="E746" i="9"/>
  <c r="D746" i="9"/>
  <c r="C746" i="9"/>
  <c r="B746" i="9"/>
  <c r="P745" i="9"/>
  <c r="O745" i="9"/>
  <c r="N745" i="9"/>
  <c r="M745" i="9"/>
  <c r="L745" i="9"/>
  <c r="K745" i="9"/>
  <c r="J745" i="9"/>
  <c r="I745" i="9"/>
  <c r="H745" i="9"/>
  <c r="G745" i="9"/>
  <c r="F745" i="9"/>
  <c r="E745" i="9"/>
  <c r="D745" i="9"/>
  <c r="C745" i="9"/>
  <c r="B745" i="9"/>
  <c r="P744" i="9"/>
  <c r="O744" i="9"/>
  <c r="N744" i="9"/>
  <c r="M744" i="9"/>
  <c r="L744" i="9"/>
  <c r="K744" i="9"/>
  <c r="J744" i="9"/>
  <c r="I744" i="9"/>
  <c r="H744" i="9"/>
  <c r="G744" i="9"/>
  <c r="F744" i="9"/>
  <c r="E744" i="9"/>
  <c r="D744" i="9"/>
  <c r="C744" i="9"/>
  <c r="B744" i="9"/>
  <c r="P743" i="9"/>
  <c r="O743" i="9"/>
  <c r="N743" i="9"/>
  <c r="M743" i="9"/>
  <c r="L743" i="9"/>
  <c r="K743" i="9"/>
  <c r="J743" i="9"/>
  <c r="I743" i="9"/>
  <c r="H743" i="9"/>
  <c r="G743" i="9"/>
  <c r="F743" i="9"/>
  <c r="E743" i="9"/>
  <c r="D743" i="9"/>
  <c r="C743" i="9"/>
  <c r="B743" i="9"/>
  <c r="P742" i="9"/>
  <c r="O742" i="9"/>
  <c r="N742" i="9"/>
  <c r="M742" i="9"/>
  <c r="L742" i="9"/>
  <c r="K742" i="9"/>
  <c r="J742" i="9"/>
  <c r="I742" i="9"/>
  <c r="H742" i="9"/>
  <c r="G742" i="9"/>
  <c r="F742" i="9"/>
  <c r="E742" i="9"/>
  <c r="D742" i="9"/>
  <c r="C742" i="9"/>
  <c r="B742" i="9"/>
  <c r="P741" i="9"/>
  <c r="O741" i="9"/>
  <c r="N741" i="9"/>
  <c r="M741" i="9"/>
  <c r="L741" i="9"/>
  <c r="K741" i="9"/>
  <c r="J741" i="9"/>
  <c r="I741" i="9"/>
  <c r="H741" i="9"/>
  <c r="G741" i="9"/>
  <c r="F741" i="9"/>
  <c r="E741" i="9"/>
  <c r="D741" i="9"/>
  <c r="C741" i="9"/>
  <c r="B741" i="9"/>
  <c r="P740" i="9"/>
  <c r="O740" i="9"/>
  <c r="N740" i="9"/>
  <c r="M740" i="9"/>
  <c r="L740" i="9"/>
  <c r="K740" i="9"/>
  <c r="J740" i="9"/>
  <c r="I740" i="9"/>
  <c r="H740" i="9"/>
  <c r="G740" i="9"/>
  <c r="F740" i="9"/>
  <c r="E740" i="9"/>
  <c r="D740" i="9"/>
  <c r="C740" i="9"/>
  <c r="B740" i="9"/>
  <c r="P739" i="9"/>
  <c r="O739" i="9"/>
  <c r="N739" i="9"/>
  <c r="M739" i="9"/>
  <c r="L739" i="9"/>
  <c r="K739" i="9"/>
  <c r="J739" i="9"/>
  <c r="I739" i="9"/>
  <c r="H739" i="9"/>
  <c r="G739" i="9"/>
  <c r="F739" i="9"/>
  <c r="E739" i="9"/>
  <c r="D739" i="9"/>
  <c r="C739" i="9"/>
  <c r="B739" i="9"/>
  <c r="P738" i="9"/>
  <c r="O738" i="9"/>
  <c r="N738" i="9"/>
  <c r="M738" i="9"/>
  <c r="L738" i="9"/>
  <c r="K738" i="9"/>
  <c r="J738" i="9"/>
  <c r="I738" i="9"/>
  <c r="H738" i="9"/>
  <c r="G738" i="9"/>
  <c r="F738" i="9"/>
  <c r="E738" i="9"/>
  <c r="D738" i="9"/>
  <c r="C738" i="9"/>
  <c r="B738" i="9"/>
  <c r="P737" i="9"/>
  <c r="O737" i="9"/>
  <c r="N737" i="9"/>
  <c r="M737" i="9"/>
  <c r="L737" i="9"/>
  <c r="K737" i="9"/>
  <c r="J737" i="9"/>
  <c r="I737" i="9"/>
  <c r="H737" i="9"/>
  <c r="G737" i="9"/>
  <c r="F737" i="9"/>
  <c r="E737" i="9"/>
  <c r="D737" i="9"/>
  <c r="C737" i="9"/>
  <c r="B737" i="9"/>
  <c r="P736" i="9"/>
  <c r="O736" i="9"/>
  <c r="N736" i="9"/>
  <c r="M736" i="9"/>
  <c r="L736" i="9"/>
  <c r="K736" i="9"/>
  <c r="J736" i="9"/>
  <c r="I736" i="9"/>
  <c r="H736" i="9"/>
  <c r="G736" i="9"/>
  <c r="F736" i="9"/>
  <c r="E736" i="9"/>
  <c r="D736" i="9"/>
  <c r="C736" i="9"/>
  <c r="B736" i="9"/>
  <c r="P735" i="9"/>
  <c r="O735" i="9"/>
  <c r="N735" i="9"/>
  <c r="M735" i="9"/>
  <c r="L735" i="9"/>
  <c r="K735" i="9"/>
  <c r="J735" i="9"/>
  <c r="I735" i="9"/>
  <c r="H735" i="9"/>
  <c r="G735" i="9"/>
  <c r="F735" i="9"/>
  <c r="E735" i="9"/>
  <c r="D735" i="9"/>
  <c r="C735" i="9"/>
  <c r="B735" i="9"/>
  <c r="P734" i="9"/>
  <c r="O734" i="9"/>
  <c r="N734" i="9"/>
  <c r="M734" i="9"/>
  <c r="L734" i="9"/>
  <c r="K734" i="9"/>
  <c r="J734" i="9"/>
  <c r="I734" i="9"/>
  <c r="H734" i="9"/>
  <c r="G734" i="9"/>
  <c r="F734" i="9"/>
  <c r="E734" i="9"/>
  <c r="D734" i="9"/>
  <c r="C734" i="9"/>
  <c r="B734" i="9"/>
  <c r="P733" i="9"/>
  <c r="O733" i="9"/>
  <c r="N733" i="9"/>
  <c r="M733" i="9"/>
  <c r="L733" i="9"/>
  <c r="K733" i="9"/>
  <c r="J733" i="9"/>
  <c r="I733" i="9"/>
  <c r="H733" i="9"/>
  <c r="G733" i="9"/>
  <c r="F733" i="9"/>
  <c r="E733" i="9"/>
  <c r="D733" i="9"/>
  <c r="C733" i="9"/>
  <c r="B733" i="9"/>
  <c r="P732" i="9"/>
  <c r="O732" i="9"/>
  <c r="N732" i="9"/>
  <c r="M732" i="9"/>
  <c r="L732" i="9"/>
  <c r="K732" i="9"/>
  <c r="J732" i="9"/>
  <c r="I732" i="9"/>
  <c r="H732" i="9"/>
  <c r="G732" i="9"/>
  <c r="F732" i="9"/>
  <c r="E732" i="9"/>
  <c r="D732" i="9"/>
  <c r="C732" i="9"/>
  <c r="B732" i="9"/>
  <c r="P731" i="9"/>
  <c r="O731" i="9"/>
  <c r="N731" i="9"/>
  <c r="M731" i="9"/>
  <c r="L731" i="9"/>
  <c r="K731" i="9"/>
  <c r="J731" i="9"/>
  <c r="I731" i="9"/>
  <c r="H731" i="9"/>
  <c r="G731" i="9"/>
  <c r="F731" i="9"/>
  <c r="E731" i="9"/>
  <c r="D731" i="9"/>
  <c r="C731" i="9"/>
  <c r="B731" i="9"/>
  <c r="P730" i="9"/>
  <c r="O730" i="9"/>
  <c r="N730" i="9"/>
  <c r="M730" i="9"/>
  <c r="L730" i="9"/>
  <c r="K730" i="9"/>
  <c r="J730" i="9"/>
  <c r="I730" i="9"/>
  <c r="H730" i="9"/>
  <c r="G730" i="9"/>
  <c r="F730" i="9"/>
  <c r="E730" i="9"/>
  <c r="D730" i="9"/>
  <c r="C730" i="9"/>
  <c r="B730" i="9"/>
  <c r="P729" i="9"/>
  <c r="O729" i="9"/>
  <c r="N729" i="9"/>
  <c r="M729" i="9"/>
  <c r="L729" i="9"/>
  <c r="K729" i="9"/>
  <c r="J729" i="9"/>
  <c r="I729" i="9"/>
  <c r="H729" i="9"/>
  <c r="G729" i="9"/>
  <c r="F729" i="9"/>
  <c r="E729" i="9"/>
  <c r="D729" i="9"/>
  <c r="C729" i="9"/>
  <c r="B729" i="9"/>
  <c r="P728" i="9"/>
  <c r="O728" i="9"/>
  <c r="N728" i="9"/>
  <c r="M728" i="9"/>
  <c r="L728" i="9"/>
  <c r="K728" i="9"/>
  <c r="J728" i="9"/>
  <c r="I728" i="9"/>
  <c r="H728" i="9"/>
  <c r="G728" i="9"/>
  <c r="F728" i="9"/>
  <c r="E728" i="9"/>
  <c r="D728" i="9"/>
  <c r="C728" i="9"/>
  <c r="B728" i="9"/>
  <c r="P727" i="9"/>
  <c r="O727" i="9"/>
  <c r="N727" i="9"/>
  <c r="M727" i="9"/>
  <c r="L727" i="9"/>
  <c r="K727" i="9"/>
  <c r="J727" i="9"/>
  <c r="I727" i="9"/>
  <c r="H727" i="9"/>
  <c r="G727" i="9"/>
  <c r="F727" i="9"/>
  <c r="E727" i="9"/>
  <c r="D727" i="9"/>
  <c r="C727" i="9"/>
  <c r="B727" i="9"/>
  <c r="P726" i="9"/>
  <c r="O726" i="9"/>
  <c r="N726" i="9"/>
  <c r="M726" i="9"/>
  <c r="L726" i="9"/>
  <c r="K726" i="9"/>
  <c r="J726" i="9"/>
  <c r="I726" i="9"/>
  <c r="H726" i="9"/>
  <c r="G726" i="9"/>
  <c r="F726" i="9"/>
  <c r="E726" i="9"/>
  <c r="D726" i="9"/>
  <c r="C726" i="9"/>
  <c r="B726" i="9"/>
  <c r="P725" i="9"/>
  <c r="O725" i="9"/>
  <c r="N725" i="9"/>
  <c r="M725" i="9"/>
  <c r="L725" i="9"/>
  <c r="K725" i="9"/>
  <c r="J725" i="9"/>
  <c r="I725" i="9"/>
  <c r="H725" i="9"/>
  <c r="G725" i="9"/>
  <c r="F725" i="9"/>
  <c r="E725" i="9"/>
  <c r="D725" i="9"/>
  <c r="C725" i="9"/>
  <c r="B725" i="9"/>
  <c r="P724" i="9"/>
  <c r="O724" i="9"/>
  <c r="N724" i="9"/>
  <c r="M724" i="9"/>
  <c r="L724" i="9"/>
  <c r="K724" i="9"/>
  <c r="J724" i="9"/>
  <c r="I724" i="9"/>
  <c r="H724" i="9"/>
  <c r="G724" i="9"/>
  <c r="F724" i="9"/>
  <c r="E724" i="9"/>
  <c r="D724" i="9"/>
  <c r="C724" i="9"/>
  <c r="B724" i="9"/>
  <c r="P723" i="9"/>
  <c r="O723" i="9"/>
  <c r="N723" i="9"/>
  <c r="M723" i="9"/>
  <c r="L723" i="9"/>
  <c r="K723" i="9"/>
  <c r="J723" i="9"/>
  <c r="I723" i="9"/>
  <c r="H723" i="9"/>
  <c r="G723" i="9"/>
  <c r="F723" i="9"/>
  <c r="E723" i="9"/>
  <c r="D723" i="9"/>
  <c r="C723" i="9"/>
  <c r="B723" i="9"/>
  <c r="P722" i="9"/>
  <c r="O722" i="9"/>
  <c r="N722" i="9"/>
  <c r="M722" i="9"/>
  <c r="L722" i="9"/>
  <c r="K722" i="9"/>
  <c r="J722" i="9"/>
  <c r="I722" i="9"/>
  <c r="H722" i="9"/>
  <c r="G722" i="9"/>
  <c r="F722" i="9"/>
  <c r="E722" i="9"/>
  <c r="D722" i="9"/>
  <c r="C722" i="9"/>
  <c r="B722" i="9"/>
  <c r="P721" i="9"/>
  <c r="O721" i="9"/>
  <c r="N721" i="9"/>
  <c r="M721" i="9"/>
  <c r="L721" i="9"/>
  <c r="K721" i="9"/>
  <c r="J721" i="9"/>
  <c r="I721" i="9"/>
  <c r="H721" i="9"/>
  <c r="G721" i="9"/>
  <c r="F721" i="9"/>
  <c r="E721" i="9"/>
  <c r="D721" i="9"/>
  <c r="C721" i="9"/>
  <c r="B721" i="9"/>
  <c r="P720" i="9"/>
  <c r="O720" i="9"/>
  <c r="N720" i="9"/>
  <c r="M720" i="9"/>
  <c r="L720" i="9"/>
  <c r="K720" i="9"/>
  <c r="J720" i="9"/>
  <c r="I720" i="9"/>
  <c r="H720" i="9"/>
  <c r="G720" i="9"/>
  <c r="F720" i="9"/>
  <c r="E720" i="9"/>
  <c r="D720" i="9"/>
  <c r="C720" i="9"/>
  <c r="B720" i="9"/>
  <c r="P719" i="9"/>
  <c r="O719" i="9"/>
  <c r="N719" i="9"/>
  <c r="M719" i="9"/>
  <c r="L719" i="9"/>
  <c r="K719" i="9"/>
  <c r="J719" i="9"/>
  <c r="I719" i="9"/>
  <c r="H719" i="9"/>
  <c r="G719" i="9"/>
  <c r="F719" i="9"/>
  <c r="E719" i="9"/>
  <c r="D719" i="9"/>
  <c r="C719" i="9"/>
  <c r="B719" i="9"/>
  <c r="P718" i="9"/>
  <c r="O718" i="9"/>
  <c r="N718" i="9"/>
  <c r="M718" i="9"/>
  <c r="L718" i="9"/>
  <c r="K718" i="9"/>
  <c r="J718" i="9"/>
  <c r="I718" i="9"/>
  <c r="H718" i="9"/>
  <c r="G718" i="9"/>
  <c r="F718" i="9"/>
  <c r="E718" i="9"/>
  <c r="D718" i="9"/>
  <c r="C718" i="9"/>
  <c r="B718" i="9"/>
  <c r="P717" i="9"/>
  <c r="O717" i="9"/>
  <c r="N717" i="9"/>
  <c r="M717" i="9"/>
  <c r="L717" i="9"/>
  <c r="K717" i="9"/>
  <c r="J717" i="9"/>
  <c r="I717" i="9"/>
  <c r="H717" i="9"/>
  <c r="G717" i="9"/>
  <c r="F717" i="9"/>
  <c r="E717" i="9"/>
  <c r="D717" i="9"/>
  <c r="C717" i="9"/>
  <c r="B717" i="9"/>
  <c r="P716" i="9"/>
  <c r="O716" i="9"/>
  <c r="N716" i="9"/>
  <c r="M716" i="9"/>
  <c r="L716" i="9"/>
  <c r="K716" i="9"/>
  <c r="J716" i="9"/>
  <c r="I716" i="9"/>
  <c r="H716" i="9"/>
  <c r="G716" i="9"/>
  <c r="F716" i="9"/>
  <c r="E716" i="9"/>
  <c r="D716" i="9"/>
  <c r="C716" i="9"/>
  <c r="B716" i="9"/>
  <c r="P715" i="9"/>
  <c r="O715" i="9"/>
  <c r="N715" i="9"/>
  <c r="M715" i="9"/>
  <c r="L715" i="9"/>
  <c r="K715" i="9"/>
  <c r="J715" i="9"/>
  <c r="I715" i="9"/>
  <c r="H715" i="9"/>
  <c r="G715" i="9"/>
  <c r="F715" i="9"/>
  <c r="E715" i="9"/>
  <c r="D715" i="9"/>
  <c r="C715" i="9"/>
  <c r="B715" i="9"/>
  <c r="P714" i="9"/>
  <c r="O714" i="9"/>
  <c r="N714" i="9"/>
  <c r="M714" i="9"/>
  <c r="L714" i="9"/>
  <c r="K714" i="9"/>
  <c r="J714" i="9"/>
  <c r="I714" i="9"/>
  <c r="H714" i="9"/>
  <c r="G714" i="9"/>
  <c r="F714" i="9"/>
  <c r="E714" i="9"/>
  <c r="D714" i="9"/>
  <c r="C714" i="9"/>
  <c r="B714" i="9"/>
  <c r="P713" i="9"/>
  <c r="O713" i="9"/>
  <c r="N713" i="9"/>
  <c r="M713" i="9"/>
  <c r="L713" i="9"/>
  <c r="K713" i="9"/>
  <c r="J713" i="9"/>
  <c r="I713" i="9"/>
  <c r="H713" i="9"/>
  <c r="G713" i="9"/>
  <c r="F713" i="9"/>
  <c r="E713" i="9"/>
  <c r="D713" i="9"/>
  <c r="C713" i="9"/>
  <c r="B713" i="9"/>
  <c r="P712" i="9"/>
  <c r="O712" i="9"/>
  <c r="N712" i="9"/>
  <c r="M712" i="9"/>
  <c r="L712" i="9"/>
  <c r="K712" i="9"/>
  <c r="J712" i="9"/>
  <c r="I712" i="9"/>
  <c r="H712" i="9"/>
  <c r="G712" i="9"/>
  <c r="F712" i="9"/>
  <c r="E712" i="9"/>
  <c r="D712" i="9"/>
  <c r="C712" i="9"/>
  <c r="B712" i="9"/>
  <c r="P711" i="9"/>
  <c r="O711" i="9"/>
  <c r="N711" i="9"/>
  <c r="M711" i="9"/>
  <c r="L711" i="9"/>
  <c r="K711" i="9"/>
  <c r="J711" i="9"/>
  <c r="I711" i="9"/>
  <c r="H711" i="9"/>
  <c r="G711" i="9"/>
  <c r="F711" i="9"/>
  <c r="E711" i="9"/>
  <c r="D711" i="9"/>
  <c r="C711" i="9"/>
  <c r="B711" i="9"/>
  <c r="P710" i="9"/>
  <c r="O710" i="9"/>
  <c r="N710" i="9"/>
  <c r="M710" i="9"/>
  <c r="L710" i="9"/>
  <c r="K710" i="9"/>
  <c r="J710" i="9"/>
  <c r="I710" i="9"/>
  <c r="H710" i="9"/>
  <c r="G710" i="9"/>
  <c r="F710" i="9"/>
  <c r="E710" i="9"/>
  <c r="D710" i="9"/>
  <c r="C710" i="9"/>
  <c r="B710" i="9"/>
  <c r="P709" i="9"/>
  <c r="O709" i="9"/>
  <c r="N709" i="9"/>
  <c r="M709" i="9"/>
  <c r="L709" i="9"/>
  <c r="K709" i="9"/>
  <c r="J709" i="9"/>
  <c r="I709" i="9"/>
  <c r="H709" i="9"/>
  <c r="G709" i="9"/>
  <c r="F709" i="9"/>
  <c r="E709" i="9"/>
  <c r="D709" i="9"/>
  <c r="C709" i="9"/>
  <c r="B709" i="9"/>
  <c r="P708" i="9"/>
  <c r="O708" i="9"/>
  <c r="N708" i="9"/>
  <c r="M708" i="9"/>
  <c r="L708" i="9"/>
  <c r="K708" i="9"/>
  <c r="J708" i="9"/>
  <c r="I708" i="9"/>
  <c r="H708" i="9"/>
  <c r="G708" i="9"/>
  <c r="F708" i="9"/>
  <c r="E708" i="9"/>
  <c r="D708" i="9"/>
  <c r="C708" i="9"/>
  <c r="B708" i="9"/>
  <c r="P707" i="9"/>
  <c r="O707" i="9"/>
  <c r="N707" i="9"/>
  <c r="M707" i="9"/>
  <c r="L707" i="9"/>
  <c r="K707" i="9"/>
  <c r="J707" i="9"/>
  <c r="I707" i="9"/>
  <c r="H707" i="9"/>
  <c r="G707" i="9"/>
  <c r="F707" i="9"/>
  <c r="E707" i="9"/>
  <c r="D707" i="9"/>
  <c r="C707" i="9"/>
  <c r="B707" i="9"/>
  <c r="P706" i="9"/>
  <c r="O706" i="9"/>
  <c r="N706" i="9"/>
  <c r="M706" i="9"/>
  <c r="L706" i="9"/>
  <c r="K706" i="9"/>
  <c r="J706" i="9"/>
  <c r="I706" i="9"/>
  <c r="H706" i="9"/>
  <c r="G706" i="9"/>
  <c r="F706" i="9"/>
  <c r="E706" i="9"/>
  <c r="D706" i="9"/>
  <c r="C706" i="9"/>
  <c r="B706" i="9"/>
  <c r="P705" i="9"/>
  <c r="O705" i="9"/>
  <c r="N705" i="9"/>
  <c r="M705" i="9"/>
  <c r="L705" i="9"/>
  <c r="K705" i="9"/>
  <c r="J705" i="9"/>
  <c r="I705" i="9"/>
  <c r="H705" i="9"/>
  <c r="G705" i="9"/>
  <c r="F705" i="9"/>
  <c r="E705" i="9"/>
  <c r="D705" i="9"/>
  <c r="C705" i="9"/>
  <c r="B705" i="9"/>
  <c r="P704" i="9"/>
  <c r="O704" i="9"/>
  <c r="N704" i="9"/>
  <c r="M704" i="9"/>
  <c r="L704" i="9"/>
  <c r="K704" i="9"/>
  <c r="J704" i="9"/>
  <c r="I704" i="9"/>
  <c r="H704" i="9"/>
  <c r="G704" i="9"/>
  <c r="F704" i="9"/>
  <c r="E704" i="9"/>
  <c r="D704" i="9"/>
  <c r="C704" i="9"/>
  <c r="B704" i="9"/>
  <c r="P703" i="9"/>
  <c r="O703" i="9"/>
  <c r="N703" i="9"/>
  <c r="M703" i="9"/>
  <c r="L703" i="9"/>
  <c r="K703" i="9"/>
  <c r="J703" i="9"/>
  <c r="I703" i="9"/>
  <c r="H703" i="9"/>
  <c r="G703" i="9"/>
  <c r="F703" i="9"/>
  <c r="E703" i="9"/>
  <c r="D703" i="9"/>
  <c r="C703" i="9"/>
  <c r="B703" i="9"/>
  <c r="P702" i="9"/>
  <c r="O702" i="9"/>
  <c r="N702" i="9"/>
  <c r="M702" i="9"/>
  <c r="L702" i="9"/>
  <c r="K702" i="9"/>
  <c r="J702" i="9"/>
  <c r="I702" i="9"/>
  <c r="H702" i="9"/>
  <c r="G702" i="9"/>
  <c r="F702" i="9"/>
  <c r="E702" i="9"/>
  <c r="D702" i="9"/>
  <c r="C702" i="9"/>
  <c r="B702" i="9"/>
  <c r="P701" i="9"/>
  <c r="O701" i="9"/>
  <c r="N701" i="9"/>
  <c r="M701" i="9"/>
  <c r="L701" i="9"/>
  <c r="K701" i="9"/>
  <c r="J701" i="9"/>
  <c r="I701" i="9"/>
  <c r="H701" i="9"/>
  <c r="G701" i="9"/>
  <c r="F701" i="9"/>
  <c r="E701" i="9"/>
  <c r="D701" i="9"/>
  <c r="C701" i="9"/>
  <c r="B701" i="9"/>
  <c r="P700" i="9"/>
  <c r="O700" i="9"/>
  <c r="N700" i="9"/>
  <c r="M700" i="9"/>
  <c r="L700" i="9"/>
  <c r="K700" i="9"/>
  <c r="J700" i="9"/>
  <c r="I700" i="9"/>
  <c r="H700" i="9"/>
  <c r="G700" i="9"/>
  <c r="F700" i="9"/>
  <c r="E700" i="9"/>
  <c r="D700" i="9"/>
  <c r="C700" i="9"/>
  <c r="B700" i="9"/>
  <c r="P699" i="9"/>
  <c r="O699" i="9"/>
  <c r="N699" i="9"/>
  <c r="M699" i="9"/>
  <c r="L699" i="9"/>
  <c r="K699" i="9"/>
  <c r="J699" i="9"/>
  <c r="I699" i="9"/>
  <c r="H699" i="9"/>
  <c r="G699" i="9"/>
  <c r="F699" i="9"/>
  <c r="E699" i="9"/>
  <c r="D699" i="9"/>
  <c r="C699" i="9"/>
  <c r="B699" i="9"/>
  <c r="P698" i="9"/>
  <c r="O698" i="9"/>
  <c r="N698" i="9"/>
  <c r="M698" i="9"/>
  <c r="L698" i="9"/>
  <c r="K698" i="9"/>
  <c r="J698" i="9"/>
  <c r="I698" i="9"/>
  <c r="H698" i="9"/>
  <c r="G698" i="9"/>
  <c r="F698" i="9"/>
  <c r="E698" i="9"/>
  <c r="D698" i="9"/>
  <c r="C698" i="9"/>
  <c r="B698" i="9"/>
  <c r="P697" i="9"/>
  <c r="O697" i="9"/>
  <c r="N697" i="9"/>
  <c r="M697" i="9"/>
  <c r="L697" i="9"/>
  <c r="K697" i="9"/>
  <c r="J697" i="9"/>
  <c r="I697" i="9"/>
  <c r="H697" i="9"/>
  <c r="G697" i="9"/>
  <c r="F697" i="9"/>
  <c r="E697" i="9"/>
  <c r="D697" i="9"/>
  <c r="C697" i="9"/>
  <c r="B697" i="9"/>
  <c r="P696" i="9"/>
  <c r="O696" i="9"/>
  <c r="N696" i="9"/>
  <c r="M696" i="9"/>
  <c r="L696" i="9"/>
  <c r="K696" i="9"/>
  <c r="J696" i="9"/>
  <c r="I696" i="9"/>
  <c r="H696" i="9"/>
  <c r="G696" i="9"/>
  <c r="F696" i="9"/>
  <c r="E696" i="9"/>
  <c r="D696" i="9"/>
  <c r="C696" i="9"/>
  <c r="B696" i="9"/>
  <c r="P695" i="9"/>
  <c r="O695" i="9"/>
  <c r="N695" i="9"/>
  <c r="M695" i="9"/>
  <c r="L695" i="9"/>
  <c r="K695" i="9"/>
  <c r="J695" i="9"/>
  <c r="I695" i="9"/>
  <c r="H695" i="9"/>
  <c r="G695" i="9"/>
  <c r="F695" i="9"/>
  <c r="E695" i="9"/>
  <c r="D695" i="9"/>
  <c r="C695" i="9"/>
  <c r="B695" i="9"/>
  <c r="P694" i="9"/>
  <c r="O694" i="9"/>
  <c r="N694" i="9"/>
  <c r="M694" i="9"/>
  <c r="L694" i="9"/>
  <c r="K694" i="9"/>
  <c r="J694" i="9"/>
  <c r="I694" i="9"/>
  <c r="H694" i="9"/>
  <c r="G694" i="9"/>
  <c r="F694" i="9"/>
  <c r="E694" i="9"/>
  <c r="D694" i="9"/>
  <c r="C694" i="9"/>
  <c r="B694" i="9"/>
  <c r="P693" i="9"/>
  <c r="O693" i="9"/>
  <c r="N693" i="9"/>
  <c r="M693" i="9"/>
  <c r="L693" i="9"/>
  <c r="K693" i="9"/>
  <c r="J693" i="9"/>
  <c r="I693" i="9"/>
  <c r="H693" i="9"/>
  <c r="G693" i="9"/>
  <c r="F693" i="9"/>
  <c r="E693" i="9"/>
  <c r="D693" i="9"/>
  <c r="C693" i="9"/>
  <c r="B693" i="9"/>
  <c r="P692" i="9"/>
  <c r="O692" i="9"/>
  <c r="N692" i="9"/>
  <c r="M692" i="9"/>
  <c r="L692" i="9"/>
  <c r="K692" i="9"/>
  <c r="J692" i="9"/>
  <c r="I692" i="9"/>
  <c r="H692" i="9"/>
  <c r="G692" i="9"/>
  <c r="F692" i="9"/>
  <c r="E692" i="9"/>
  <c r="D692" i="9"/>
  <c r="C692" i="9"/>
  <c r="B692" i="9"/>
  <c r="P691" i="9"/>
  <c r="O691" i="9"/>
  <c r="N691" i="9"/>
  <c r="M691" i="9"/>
  <c r="L691" i="9"/>
  <c r="K691" i="9"/>
  <c r="J691" i="9"/>
  <c r="I691" i="9"/>
  <c r="H691" i="9"/>
  <c r="G691" i="9"/>
  <c r="F691" i="9"/>
  <c r="E691" i="9"/>
  <c r="D691" i="9"/>
  <c r="C691" i="9"/>
  <c r="B691" i="9"/>
  <c r="P690" i="9"/>
  <c r="O690" i="9"/>
  <c r="N690" i="9"/>
  <c r="M690" i="9"/>
  <c r="L690" i="9"/>
  <c r="K690" i="9"/>
  <c r="J690" i="9"/>
  <c r="I690" i="9"/>
  <c r="H690" i="9"/>
  <c r="G690" i="9"/>
  <c r="F690" i="9"/>
  <c r="E690" i="9"/>
  <c r="D690" i="9"/>
  <c r="C690" i="9"/>
  <c r="B690" i="9"/>
  <c r="P689" i="9"/>
  <c r="O689" i="9"/>
  <c r="N689" i="9"/>
  <c r="M689" i="9"/>
  <c r="L689" i="9"/>
  <c r="K689" i="9"/>
  <c r="J689" i="9"/>
  <c r="I689" i="9"/>
  <c r="H689" i="9"/>
  <c r="G689" i="9"/>
  <c r="F689" i="9"/>
  <c r="E689" i="9"/>
  <c r="D689" i="9"/>
  <c r="C689" i="9"/>
  <c r="B689" i="9"/>
  <c r="P688" i="9"/>
  <c r="O688" i="9"/>
  <c r="N688" i="9"/>
  <c r="M688" i="9"/>
  <c r="L688" i="9"/>
  <c r="K688" i="9"/>
  <c r="J688" i="9"/>
  <c r="I688" i="9"/>
  <c r="H688" i="9"/>
  <c r="G688" i="9"/>
  <c r="F688" i="9"/>
  <c r="E688" i="9"/>
  <c r="D688" i="9"/>
  <c r="C688" i="9"/>
  <c r="B688" i="9"/>
  <c r="P687" i="9"/>
  <c r="O687" i="9"/>
  <c r="N687" i="9"/>
  <c r="M687" i="9"/>
  <c r="L687" i="9"/>
  <c r="K687" i="9"/>
  <c r="J687" i="9"/>
  <c r="I687" i="9"/>
  <c r="H687" i="9"/>
  <c r="G687" i="9"/>
  <c r="F687" i="9"/>
  <c r="E687" i="9"/>
  <c r="D687" i="9"/>
  <c r="C687" i="9"/>
  <c r="B687" i="9"/>
  <c r="P686" i="9"/>
  <c r="O686" i="9"/>
  <c r="N686" i="9"/>
  <c r="M686" i="9"/>
  <c r="L686" i="9"/>
  <c r="K686" i="9"/>
  <c r="J686" i="9"/>
  <c r="I686" i="9"/>
  <c r="H686" i="9"/>
  <c r="G686" i="9"/>
  <c r="F686" i="9"/>
  <c r="E686" i="9"/>
  <c r="D686" i="9"/>
  <c r="C686" i="9"/>
  <c r="B686" i="9"/>
  <c r="P685" i="9"/>
  <c r="O685" i="9"/>
  <c r="N685" i="9"/>
  <c r="M685" i="9"/>
  <c r="L685" i="9"/>
  <c r="K685" i="9"/>
  <c r="J685" i="9"/>
  <c r="I685" i="9"/>
  <c r="H685" i="9"/>
  <c r="G685" i="9"/>
  <c r="F685" i="9"/>
  <c r="E685" i="9"/>
  <c r="D685" i="9"/>
  <c r="C685" i="9"/>
  <c r="B685" i="9"/>
  <c r="P684" i="9"/>
  <c r="O684" i="9"/>
  <c r="N684" i="9"/>
  <c r="M684" i="9"/>
  <c r="L684" i="9"/>
  <c r="K684" i="9"/>
  <c r="J684" i="9"/>
  <c r="I684" i="9"/>
  <c r="H684" i="9"/>
  <c r="G684" i="9"/>
  <c r="F684" i="9"/>
  <c r="E684" i="9"/>
  <c r="D684" i="9"/>
  <c r="C684" i="9"/>
  <c r="B684" i="9"/>
  <c r="P683" i="9"/>
  <c r="O683" i="9"/>
  <c r="N683" i="9"/>
  <c r="M683" i="9"/>
  <c r="L683" i="9"/>
  <c r="K683" i="9"/>
  <c r="J683" i="9"/>
  <c r="I683" i="9"/>
  <c r="H683" i="9"/>
  <c r="G683" i="9"/>
  <c r="F683" i="9"/>
  <c r="E683" i="9"/>
  <c r="D683" i="9"/>
  <c r="C683" i="9"/>
  <c r="B683" i="9"/>
  <c r="P682" i="9"/>
  <c r="O682" i="9"/>
  <c r="N682" i="9"/>
  <c r="M682" i="9"/>
  <c r="L682" i="9"/>
  <c r="K682" i="9"/>
  <c r="J682" i="9"/>
  <c r="I682" i="9"/>
  <c r="H682" i="9"/>
  <c r="G682" i="9"/>
  <c r="F682" i="9"/>
  <c r="E682" i="9"/>
  <c r="D682" i="9"/>
  <c r="C682" i="9"/>
  <c r="B682" i="9"/>
  <c r="P681" i="9"/>
  <c r="O681" i="9"/>
  <c r="N681" i="9"/>
  <c r="M681" i="9"/>
  <c r="L681" i="9"/>
  <c r="K681" i="9"/>
  <c r="J681" i="9"/>
  <c r="I681" i="9"/>
  <c r="H681" i="9"/>
  <c r="G681" i="9"/>
  <c r="F681" i="9"/>
  <c r="E681" i="9"/>
  <c r="D681" i="9"/>
  <c r="C681" i="9"/>
  <c r="B681" i="9"/>
  <c r="P680" i="9"/>
  <c r="O680" i="9"/>
  <c r="N680" i="9"/>
  <c r="M680" i="9"/>
  <c r="L680" i="9"/>
  <c r="K680" i="9"/>
  <c r="J680" i="9"/>
  <c r="I680" i="9"/>
  <c r="H680" i="9"/>
  <c r="G680" i="9"/>
  <c r="F680" i="9"/>
  <c r="E680" i="9"/>
  <c r="D680" i="9"/>
  <c r="C680" i="9"/>
  <c r="B680" i="9"/>
  <c r="P679" i="9"/>
  <c r="O679" i="9"/>
  <c r="N679" i="9"/>
  <c r="M679" i="9"/>
  <c r="L679" i="9"/>
  <c r="K679" i="9"/>
  <c r="J679" i="9"/>
  <c r="I679" i="9"/>
  <c r="H679" i="9"/>
  <c r="G679" i="9"/>
  <c r="F679" i="9"/>
  <c r="E679" i="9"/>
  <c r="D679" i="9"/>
  <c r="C679" i="9"/>
  <c r="B679" i="9"/>
  <c r="P678" i="9"/>
  <c r="O678" i="9"/>
  <c r="N678" i="9"/>
  <c r="M678" i="9"/>
  <c r="L678" i="9"/>
  <c r="K678" i="9"/>
  <c r="J678" i="9"/>
  <c r="I678" i="9"/>
  <c r="H678" i="9"/>
  <c r="G678" i="9"/>
  <c r="F678" i="9"/>
  <c r="E678" i="9"/>
  <c r="D678" i="9"/>
  <c r="C678" i="9"/>
  <c r="B678" i="9"/>
  <c r="P677" i="9"/>
  <c r="O677" i="9"/>
  <c r="N677" i="9"/>
  <c r="M677" i="9"/>
  <c r="L677" i="9"/>
  <c r="K677" i="9"/>
  <c r="J677" i="9"/>
  <c r="I677" i="9"/>
  <c r="H677" i="9"/>
  <c r="G677" i="9"/>
  <c r="F677" i="9"/>
  <c r="E677" i="9"/>
  <c r="D677" i="9"/>
  <c r="C677" i="9"/>
  <c r="B677" i="9"/>
  <c r="P676" i="9"/>
  <c r="O676" i="9"/>
  <c r="N676" i="9"/>
  <c r="M676" i="9"/>
  <c r="L676" i="9"/>
  <c r="K676" i="9"/>
  <c r="J676" i="9"/>
  <c r="I676" i="9"/>
  <c r="H676" i="9"/>
  <c r="G676" i="9"/>
  <c r="F676" i="9"/>
  <c r="E676" i="9"/>
  <c r="D676" i="9"/>
  <c r="C676" i="9"/>
  <c r="B676" i="9"/>
  <c r="P675" i="9"/>
  <c r="O675" i="9"/>
  <c r="N675" i="9"/>
  <c r="M675" i="9"/>
  <c r="L675" i="9"/>
  <c r="K675" i="9"/>
  <c r="J675" i="9"/>
  <c r="I675" i="9"/>
  <c r="H675" i="9"/>
  <c r="G675" i="9"/>
  <c r="F675" i="9"/>
  <c r="E675" i="9"/>
  <c r="D675" i="9"/>
  <c r="C675" i="9"/>
  <c r="B675" i="9"/>
  <c r="P674" i="9"/>
  <c r="O674" i="9"/>
  <c r="N674" i="9"/>
  <c r="M674" i="9"/>
  <c r="L674" i="9"/>
  <c r="K674" i="9"/>
  <c r="J674" i="9"/>
  <c r="I674" i="9"/>
  <c r="H674" i="9"/>
  <c r="G674" i="9"/>
  <c r="F674" i="9"/>
  <c r="E674" i="9"/>
  <c r="D674" i="9"/>
  <c r="C674" i="9"/>
  <c r="B674" i="9"/>
  <c r="P673" i="9"/>
  <c r="O673" i="9"/>
  <c r="N673" i="9"/>
  <c r="M673" i="9"/>
  <c r="L673" i="9"/>
  <c r="K673" i="9"/>
  <c r="J673" i="9"/>
  <c r="I673" i="9"/>
  <c r="H673" i="9"/>
  <c r="G673" i="9"/>
  <c r="F673" i="9"/>
  <c r="E673" i="9"/>
  <c r="D673" i="9"/>
  <c r="C673" i="9"/>
  <c r="B673" i="9"/>
  <c r="P672" i="9"/>
  <c r="O672" i="9"/>
  <c r="N672" i="9"/>
  <c r="M672" i="9"/>
  <c r="L672" i="9"/>
  <c r="K672" i="9"/>
  <c r="J672" i="9"/>
  <c r="I672" i="9"/>
  <c r="H672" i="9"/>
  <c r="G672" i="9"/>
  <c r="F672" i="9"/>
  <c r="E672" i="9"/>
  <c r="D672" i="9"/>
  <c r="C672" i="9"/>
  <c r="B672" i="9"/>
  <c r="P671" i="9"/>
  <c r="O671" i="9"/>
  <c r="N671" i="9"/>
  <c r="M671" i="9"/>
  <c r="L671" i="9"/>
  <c r="K671" i="9"/>
  <c r="J671" i="9"/>
  <c r="I671" i="9"/>
  <c r="H671" i="9"/>
  <c r="G671" i="9"/>
  <c r="F671" i="9"/>
  <c r="E671" i="9"/>
  <c r="D671" i="9"/>
  <c r="C671" i="9"/>
  <c r="B671" i="9"/>
  <c r="P670" i="9"/>
  <c r="O670" i="9"/>
  <c r="N670" i="9"/>
  <c r="M670" i="9"/>
  <c r="L670" i="9"/>
  <c r="K670" i="9"/>
  <c r="J670" i="9"/>
  <c r="I670" i="9"/>
  <c r="H670" i="9"/>
  <c r="G670" i="9"/>
  <c r="F670" i="9"/>
  <c r="E670" i="9"/>
  <c r="D670" i="9"/>
  <c r="C670" i="9"/>
  <c r="B670" i="9"/>
  <c r="P669" i="9"/>
  <c r="O669" i="9"/>
  <c r="N669" i="9"/>
  <c r="M669" i="9"/>
  <c r="L669" i="9"/>
  <c r="K669" i="9"/>
  <c r="J669" i="9"/>
  <c r="I669" i="9"/>
  <c r="H669" i="9"/>
  <c r="G669" i="9"/>
  <c r="F669" i="9"/>
  <c r="E669" i="9"/>
  <c r="D669" i="9"/>
  <c r="C669" i="9"/>
  <c r="B669" i="9"/>
  <c r="P668" i="9"/>
  <c r="O668" i="9"/>
  <c r="N668" i="9"/>
  <c r="M668" i="9"/>
  <c r="L668" i="9"/>
  <c r="K668" i="9"/>
  <c r="J668" i="9"/>
  <c r="I668" i="9"/>
  <c r="H668" i="9"/>
  <c r="G668" i="9"/>
  <c r="F668" i="9"/>
  <c r="E668" i="9"/>
  <c r="D668" i="9"/>
  <c r="C668" i="9"/>
  <c r="B668" i="9"/>
  <c r="P667" i="9"/>
  <c r="O667" i="9"/>
  <c r="N667" i="9"/>
  <c r="M667" i="9"/>
  <c r="L667" i="9"/>
  <c r="K667" i="9"/>
  <c r="J667" i="9"/>
  <c r="I667" i="9"/>
  <c r="H667" i="9"/>
  <c r="G667" i="9"/>
  <c r="F667" i="9"/>
  <c r="E667" i="9"/>
  <c r="D667" i="9"/>
  <c r="C667" i="9"/>
  <c r="B667" i="9"/>
  <c r="P666" i="9"/>
  <c r="O666" i="9"/>
  <c r="N666" i="9"/>
  <c r="M666" i="9"/>
  <c r="L666" i="9"/>
  <c r="K666" i="9"/>
  <c r="J666" i="9"/>
  <c r="I666" i="9"/>
  <c r="H666" i="9"/>
  <c r="G666" i="9"/>
  <c r="F666" i="9"/>
  <c r="E666" i="9"/>
  <c r="D666" i="9"/>
  <c r="C666" i="9"/>
  <c r="B666" i="9"/>
  <c r="P665" i="9"/>
  <c r="O665" i="9"/>
  <c r="N665" i="9"/>
  <c r="M665" i="9"/>
  <c r="L665" i="9"/>
  <c r="K665" i="9"/>
  <c r="J665" i="9"/>
  <c r="I665" i="9"/>
  <c r="H665" i="9"/>
  <c r="G665" i="9"/>
  <c r="F665" i="9"/>
  <c r="E665" i="9"/>
  <c r="D665" i="9"/>
  <c r="C665" i="9"/>
  <c r="B665" i="9"/>
  <c r="P664" i="9"/>
  <c r="O664" i="9"/>
  <c r="N664" i="9"/>
  <c r="M664" i="9"/>
  <c r="L664" i="9"/>
  <c r="K664" i="9"/>
  <c r="J664" i="9"/>
  <c r="I664" i="9"/>
  <c r="H664" i="9"/>
  <c r="G664" i="9"/>
  <c r="F664" i="9"/>
  <c r="E664" i="9"/>
  <c r="D664" i="9"/>
  <c r="C664" i="9"/>
  <c r="B664" i="9"/>
  <c r="P663" i="9"/>
  <c r="O663" i="9"/>
  <c r="N663" i="9"/>
  <c r="M663" i="9"/>
  <c r="L663" i="9"/>
  <c r="K663" i="9"/>
  <c r="J663" i="9"/>
  <c r="I663" i="9"/>
  <c r="H663" i="9"/>
  <c r="G663" i="9"/>
  <c r="F663" i="9"/>
  <c r="E663" i="9"/>
  <c r="D663" i="9"/>
  <c r="C663" i="9"/>
  <c r="B663" i="9"/>
  <c r="P662" i="9"/>
  <c r="O662" i="9"/>
  <c r="N662" i="9"/>
  <c r="M662" i="9"/>
  <c r="L662" i="9"/>
  <c r="K662" i="9"/>
  <c r="J662" i="9"/>
  <c r="I662" i="9"/>
  <c r="H662" i="9"/>
  <c r="G662" i="9"/>
  <c r="F662" i="9"/>
  <c r="E662" i="9"/>
  <c r="D662" i="9"/>
  <c r="C662" i="9"/>
  <c r="B662" i="9"/>
  <c r="P661" i="9"/>
  <c r="O661" i="9"/>
  <c r="N661" i="9"/>
  <c r="M661" i="9"/>
  <c r="L661" i="9"/>
  <c r="K661" i="9"/>
  <c r="J661" i="9"/>
  <c r="I661" i="9"/>
  <c r="H661" i="9"/>
  <c r="G661" i="9"/>
  <c r="F661" i="9"/>
  <c r="E661" i="9"/>
  <c r="D661" i="9"/>
  <c r="C661" i="9"/>
  <c r="B661" i="9"/>
  <c r="P660" i="9"/>
  <c r="O660" i="9"/>
  <c r="N660" i="9"/>
  <c r="M660" i="9"/>
  <c r="L660" i="9"/>
  <c r="K660" i="9"/>
  <c r="J660" i="9"/>
  <c r="I660" i="9"/>
  <c r="H660" i="9"/>
  <c r="G660" i="9"/>
  <c r="F660" i="9"/>
  <c r="E660" i="9"/>
  <c r="D660" i="9"/>
  <c r="C660" i="9"/>
  <c r="B660" i="9"/>
  <c r="P659" i="9"/>
  <c r="O659" i="9"/>
  <c r="N659" i="9"/>
  <c r="M659" i="9"/>
  <c r="L659" i="9"/>
  <c r="K659" i="9"/>
  <c r="J659" i="9"/>
  <c r="I659" i="9"/>
  <c r="H659" i="9"/>
  <c r="G659" i="9"/>
  <c r="F659" i="9"/>
  <c r="E659" i="9"/>
  <c r="D659" i="9"/>
  <c r="C659" i="9"/>
  <c r="B659" i="9"/>
  <c r="P658" i="9"/>
  <c r="O658" i="9"/>
  <c r="N658" i="9"/>
  <c r="M658" i="9"/>
  <c r="L658" i="9"/>
  <c r="K658" i="9"/>
  <c r="J658" i="9"/>
  <c r="I658" i="9"/>
  <c r="H658" i="9"/>
  <c r="G658" i="9"/>
  <c r="F658" i="9"/>
  <c r="E658" i="9"/>
  <c r="D658" i="9"/>
  <c r="C658" i="9"/>
  <c r="B658" i="9"/>
  <c r="P657" i="9"/>
  <c r="O657" i="9"/>
  <c r="N657" i="9"/>
  <c r="M657" i="9"/>
  <c r="L657" i="9"/>
  <c r="K657" i="9"/>
  <c r="J657" i="9"/>
  <c r="I657" i="9"/>
  <c r="H657" i="9"/>
  <c r="G657" i="9"/>
  <c r="F657" i="9"/>
  <c r="E657" i="9"/>
  <c r="D657" i="9"/>
  <c r="C657" i="9"/>
  <c r="B657" i="9"/>
  <c r="P656" i="9"/>
  <c r="O656" i="9"/>
  <c r="N656" i="9"/>
  <c r="M656" i="9"/>
  <c r="L656" i="9"/>
  <c r="K656" i="9"/>
  <c r="J656" i="9"/>
  <c r="I656" i="9"/>
  <c r="H656" i="9"/>
  <c r="G656" i="9"/>
  <c r="F656" i="9"/>
  <c r="E656" i="9"/>
  <c r="D656" i="9"/>
  <c r="C656" i="9"/>
  <c r="B656" i="9"/>
  <c r="P655" i="9"/>
  <c r="O655" i="9"/>
  <c r="N655" i="9"/>
  <c r="M655" i="9"/>
  <c r="L655" i="9"/>
  <c r="K655" i="9"/>
  <c r="J655" i="9"/>
  <c r="I655" i="9"/>
  <c r="H655" i="9"/>
  <c r="G655" i="9"/>
  <c r="F655" i="9"/>
  <c r="E655" i="9"/>
  <c r="D655" i="9"/>
  <c r="C655" i="9"/>
  <c r="B655" i="9"/>
  <c r="P654" i="9"/>
  <c r="O654" i="9"/>
  <c r="N654" i="9"/>
  <c r="M654" i="9"/>
  <c r="L654" i="9"/>
  <c r="K654" i="9"/>
  <c r="J654" i="9"/>
  <c r="I654" i="9"/>
  <c r="H654" i="9"/>
  <c r="G654" i="9"/>
  <c r="F654" i="9"/>
  <c r="E654" i="9"/>
  <c r="D654" i="9"/>
  <c r="C654" i="9"/>
  <c r="B654" i="9"/>
  <c r="P653" i="9"/>
  <c r="O653" i="9"/>
  <c r="N653" i="9"/>
  <c r="M653" i="9"/>
  <c r="L653" i="9"/>
  <c r="K653" i="9"/>
  <c r="J653" i="9"/>
  <c r="I653" i="9"/>
  <c r="H653" i="9"/>
  <c r="G653" i="9"/>
  <c r="F653" i="9"/>
  <c r="E653" i="9"/>
  <c r="D653" i="9"/>
  <c r="C653" i="9"/>
  <c r="B653" i="9"/>
  <c r="P652" i="9"/>
  <c r="O652" i="9"/>
  <c r="N652" i="9"/>
  <c r="M652" i="9"/>
  <c r="L652" i="9"/>
  <c r="K652" i="9"/>
  <c r="J652" i="9"/>
  <c r="I652" i="9"/>
  <c r="H652" i="9"/>
  <c r="G652" i="9"/>
  <c r="F652" i="9"/>
  <c r="E652" i="9"/>
  <c r="D652" i="9"/>
  <c r="C652" i="9"/>
  <c r="B652" i="9"/>
  <c r="P651" i="9"/>
  <c r="O651" i="9"/>
  <c r="N651" i="9"/>
  <c r="M651" i="9"/>
  <c r="L651" i="9"/>
  <c r="K651" i="9"/>
  <c r="J651" i="9"/>
  <c r="I651" i="9"/>
  <c r="H651" i="9"/>
  <c r="G651" i="9"/>
  <c r="F651" i="9"/>
  <c r="E651" i="9"/>
  <c r="D651" i="9"/>
  <c r="C651" i="9"/>
  <c r="B651" i="9"/>
  <c r="P650" i="9"/>
  <c r="O650" i="9"/>
  <c r="N650" i="9"/>
  <c r="M650" i="9"/>
  <c r="L650" i="9"/>
  <c r="K650" i="9"/>
  <c r="J650" i="9"/>
  <c r="I650" i="9"/>
  <c r="H650" i="9"/>
  <c r="G650" i="9"/>
  <c r="F650" i="9"/>
  <c r="E650" i="9"/>
  <c r="D650" i="9"/>
  <c r="C650" i="9"/>
  <c r="B650" i="9"/>
  <c r="P649" i="9"/>
  <c r="O649" i="9"/>
  <c r="N649" i="9"/>
  <c r="M649" i="9"/>
  <c r="L649" i="9"/>
  <c r="K649" i="9"/>
  <c r="J649" i="9"/>
  <c r="I649" i="9"/>
  <c r="H649" i="9"/>
  <c r="G649" i="9"/>
  <c r="F649" i="9"/>
  <c r="E649" i="9"/>
  <c r="D649" i="9"/>
  <c r="C649" i="9"/>
  <c r="B649" i="9"/>
  <c r="P648" i="9"/>
  <c r="O648" i="9"/>
  <c r="N648" i="9"/>
  <c r="M648" i="9"/>
  <c r="L648" i="9"/>
  <c r="K648" i="9"/>
  <c r="J648" i="9"/>
  <c r="I648" i="9"/>
  <c r="H648" i="9"/>
  <c r="G648" i="9"/>
  <c r="F648" i="9"/>
  <c r="E648" i="9"/>
  <c r="D648" i="9"/>
  <c r="C648" i="9"/>
  <c r="B648" i="9"/>
  <c r="P647" i="9"/>
  <c r="O647" i="9"/>
  <c r="N647" i="9"/>
  <c r="M647" i="9"/>
  <c r="L647" i="9"/>
  <c r="K647" i="9"/>
  <c r="J647" i="9"/>
  <c r="I647" i="9"/>
  <c r="H647" i="9"/>
  <c r="G647" i="9"/>
  <c r="F647" i="9"/>
  <c r="E647" i="9"/>
  <c r="D647" i="9"/>
  <c r="C647" i="9"/>
  <c r="B647" i="9"/>
  <c r="P646" i="9"/>
  <c r="O646" i="9"/>
  <c r="N646" i="9"/>
  <c r="M646" i="9"/>
  <c r="L646" i="9"/>
  <c r="K646" i="9"/>
  <c r="J646" i="9"/>
  <c r="I646" i="9"/>
  <c r="H646" i="9"/>
  <c r="G646" i="9"/>
  <c r="F646" i="9"/>
  <c r="E646" i="9"/>
  <c r="D646" i="9"/>
  <c r="C646" i="9"/>
  <c r="B646" i="9"/>
  <c r="P645" i="9"/>
  <c r="O645" i="9"/>
  <c r="N645" i="9"/>
  <c r="M645" i="9"/>
  <c r="L645" i="9"/>
  <c r="K645" i="9"/>
  <c r="J645" i="9"/>
  <c r="I645" i="9"/>
  <c r="H645" i="9"/>
  <c r="G645" i="9"/>
  <c r="F645" i="9"/>
  <c r="E645" i="9"/>
  <c r="D645" i="9"/>
  <c r="C645" i="9"/>
  <c r="B645" i="9"/>
  <c r="P644" i="9"/>
  <c r="O644" i="9"/>
  <c r="N644" i="9"/>
  <c r="M644" i="9"/>
  <c r="L644" i="9"/>
  <c r="K644" i="9"/>
  <c r="J644" i="9"/>
  <c r="I644" i="9"/>
  <c r="H644" i="9"/>
  <c r="G644" i="9"/>
  <c r="F644" i="9"/>
  <c r="E644" i="9"/>
  <c r="D644" i="9"/>
  <c r="C644" i="9"/>
  <c r="B644" i="9"/>
  <c r="P643" i="9"/>
  <c r="O643" i="9"/>
  <c r="N643" i="9"/>
  <c r="M643" i="9"/>
  <c r="L643" i="9"/>
  <c r="K643" i="9"/>
  <c r="J643" i="9"/>
  <c r="I643" i="9"/>
  <c r="H643" i="9"/>
  <c r="G643" i="9"/>
  <c r="F643" i="9"/>
  <c r="E643" i="9"/>
  <c r="D643" i="9"/>
  <c r="C643" i="9"/>
  <c r="B643" i="9"/>
  <c r="P642" i="9"/>
  <c r="O642" i="9"/>
  <c r="N642" i="9"/>
  <c r="M642" i="9"/>
  <c r="L642" i="9"/>
  <c r="K642" i="9"/>
  <c r="J642" i="9"/>
  <c r="I642" i="9"/>
  <c r="H642" i="9"/>
  <c r="G642" i="9"/>
  <c r="F642" i="9"/>
  <c r="E642" i="9"/>
  <c r="D642" i="9"/>
  <c r="C642" i="9"/>
  <c r="B642" i="9"/>
  <c r="P641" i="9"/>
  <c r="O641" i="9"/>
  <c r="N641" i="9"/>
  <c r="M641" i="9"/>
  <c r="L641" i="9"/>
  <c r="K641" i="9"/>
  <c r="J641" i="9"/>
  <c r="I641" i="9"/>
  <c r="H641" i="9"/>
  <c r="G641" i="9"/>
  <c r="F641" i="9"/>
  <c r="E641" i="9"/>
  <c r="D641" i="9"/>
  <c r="C641" i="9"/>
  <c r="B641" i="9"/>
  <c r="P640" i="9"/>
  <c r="O640" i="9"/>
  <c r="N640" i="9"/>
  <c r="M640" i="9"/>
  <c r="L640" i="9"/>
  <c r="K640" i="9"/>
  <c r="J640" i="9"/>
  <c r="I640" i="9"/>
  <c r="H640" i="9"/>
  <c r="G640" i="9"/>
  <c r="F640" i="9"/>
  <c r="E640" i="9"/>
  <c r="D640" i="9"/>
  <c r="C640" i="9"/>
  <c r="B640" i="9"/>
  <c r="P639" i="9"/>
  <c r="O639" i="9"/>
  <c r="N639" i="9"/>
  <c r="M639" i="9"/>
  <c r="L639" i="9"/>
  <c r="K639" i="9"/>
  <c r="J639" i="9"/>
  <c r="I639" i="9"/>
  <c r="H639" i="9"/>
  <c r="G639" i="9"/>
  <c r="F639" i="9"/>
  <c r="E639" i="9"/>
  <c r="D639" i="9"/>
  <c r="C639" i="9"/>
  <c r="B639" i="9"/>
  <c r="P638" i="9"/>
  <c r="O638" i="9"/>
  <c r="N638" i="9"/>
  <c r="M638" i="9"/>
  <c r="L638" i="9"/>
  <c r="K638" i="9"/>
  <c r="J638" i="9"/>
  <c r="I638" i="9"/>
  <c r="H638" i="9"/>
  <c r="G638" i="9"/>
  <c r="F638" i="9"/>
  <c r="E638" i="9"/>
  <c r="D638" i="9"/>
  <c r="C638" i="9"/>
  <c r="B638" i="9"/>
  <c r="P637" i="9"/>
  <c r="O637" i="9"/>
  <c r="N637" i="9"/>
  <c r="M637" i="9"/>
  <c r="L637" i="9"/>
  <c r="K637" i="9"/>
  <c r="J637" i="9"/>
  <c r="I637" i="9"/>
  <c r="H637" i="9"/>
  <c r="G637" i="9"/>
  <c r="F637" i="9"/>
  <c r="E637" i="9"/>
  <c r="D637" i="9"/>
  <c r="C637" i="9"/>
  <c r="B637" i="9"/>
  <c r="P636" i="9"/>
  <c r="O636" i="9"/>
  <c r="N636" i="9"/>
  <c r="M636" i="9"/>
  <c r="L636" i="9"/>
  <c r="K636" i="9"/>
  <c r="J636" i="9"/>
  <c r="I636" i="9"/>
  <c r="H636" i="9"/>
  <c r="G636" i="9"/>
  <c r="F636" i="9"/>
  <c r="E636" i="9"/>
  <c r="D636" i="9"/>
  <c r="C636" i="9"/>
  <c r="B636" i="9"/>
  <c r="P635" i="9"/>
  <c r="O635" i="9"/>
  <c r="N635" i="9"/>
  <c r="M635" i="9"/>
  <c r="L635" i="9"/>
  <c r="K635" i="9"/>
  <c r="J635" i="9"/>
  <c r="I635" i="9"/>
  <c r="H635" i="9"/>
  <c r="G635" i="9"/>
  <c r="F635" i="9"/>
  <c r="E635" i="9"/>
  <c r="D635" i="9"/>
  <c r="C635" i="9"/>
  <c r="B635" i="9"/>
  <c r="P634" i="9"/>
  <c r="O634" i="9"/>
  <c r="N634" i="9"/>
  <c r="M634" i="9"/>
  <c r="L634" i="9"/>
  <c r="K634" i="9"/>
  <c r="J634" i="9"/>
  <c r="I634" i="9"/>
  <c r="H634" i="9"/>
  <c r="G634" i="9"/>
  <c r="F634" i="9"/>
  <c r="E634" i="9"/>
  <c r="D634" i="9"/>
  <c r="C634" i="9"/>
  <c r="B634" i="9"/>
  <c r="P633" i="9"/>
  <c r="O633" i="9"/>
  <c r="N633" i="9"/>
  <c r="M633" i="9"/>
  <c r="L633" i="9"/>
  <c r="K633" i="9"/>
  <c r="J633" i="9"/>
  <c r="I633" i="9"/>
  <c r="H633" i="9"/>
  <c r="G633" i="9"/>
  <c r="F633" i="9"/>
  <c r="E633" i="9"/>
  <c r="D633" i="9"/>
  <c r="C633" i="9"/>
  <c r="B633" i="9"/>
  <c r="P632" i="9"/>
  <c r="O632" i="9"/>
  <c r="N632" i="9"/>
  <c r="M632" i="9"/>
  <c r="L632" i="9"/>
  <c r="K632" i="9"/>
  <c r="J632" i="9"/>
  <c r="I632" i="9"/>
  <c r="H632" i="9"/>
  <c r="G632" i="9"/>
  <c r="F632" i="9"/>
  <c r="E632" i="9"/>
  <c r="D632" i="9"/>
  <c r="C632" i="9"/>
  <c r="B632" i="9"/>
  <c r="P631" i="9"/>
  <c r="O631" i="9"/>
  <c r="N631" i="9"/>
  <c r="M631" i="9"/>
  <c r="L631" i="9"/>
  <c r="K631" i="9"/>
  <c r="J631" i="9"/>
  <c r="I631" i="9"/>
  <c r="H631" i="9"/>
  <c r="G631" i="9"/>
  <c r="F631" i="9"/>
  <c r="E631" i="9"/>
  <c r="D631" i="9"/>
  <c r="C631" i="9"/>
  <c r="B631" i="9"/>
  <c r="P630" i="9"/>
  <c r="O630" i="9"/>
  <c r="N630" i="9"/>
  <c r="M630" i="9"/>
  <c r="L630" i="9"/>
  <c r="K630" i="9"/>
  <c r="J630" i="9"/>
  <c r="I630" i="9"/>
  <c r="H630" i="9"/>
  <c r="G630" i="9"/>
  <c r="F630" i="9"/>
  <c r="E630" i="9"/>
  <c r="D630" i="9"/>
  <c r="C630" i="9"/>
  <c r="B630" i="9"/>
  <c r="P629" i="9"/>
  <c r="O629" i="9"/>
  <c r="N629" i="9"/>
  <c r="M629" i="9"/>
  <c r="L629" i="9"/>
  <c r="K629" i="9"/>
  <c r="J629" i="9"/>
  <c r="I629" i="9"/>
  <c r="H629" i="9"/>
  <c r="G629" i="9"/>
  <c r="F629" i="9"/>
  <c r="E629" i="9"/>
  <c r="D629" i="9"/>
  <c r="C629" i="9"/>
  <c r="B629" i="9"/>
  <c r="P628" i="9"/>
  <c r="O628" i="9"/>
  <c r="N628" i="9"/>
  <c r="M628" i="9"/>
  <c r="L628" i="9"/>
  <c r="K628" i="9"/>
  <c r="J628" i="9"/>
  <c r="I628" i="9"/>
  <c r="H628" i="9"/>
  <c r="G628" i="9"/>
  <c r="F628" i="9"/>
  <c r="E628" i="9"/>
  <c r="D628" i="9"/>
  <c r="C628" i="9"/>
  <c r="B628" i="9"/>
  <c r="P627" i="9"/>
  <c r="O627" i="9"/>
  <c r="N627" i="9"/>
  <c r="M627" i="9"/>
  <c r="L627" i="9"/>
  <c r="K627" i="9"/>
  <c r="J627" i="9"/>
  <c r="I627" i="9"/>
  <c r="H627" i="9"/>
  <c r="G627" i="9"/>
  <c r="F627" i="9"/>
  <c r="E627" i="9"/>
  <c r="D627" i="9"/>
  <c r="C627" i="9"/>
  <c r="B627" i="9"/>
  <c r="P626" i="9"/>
  <c r="O626" i="9"/>
  <c r="N626" i="9"/>
  <c r="M626" i="9"/>
  <c r="L626" i="9"/>
  <c r="K626" i="9"/>
  <c r="J626" i="9"/>
  <c r="I626" i="9"/>
  <c r="H626" i="9"/>
  <c r="G626" i="9"/>
  <c r="F626" i="9"/>
  <c r="E626" i="9"/>
  <c r="D626" i="9"/>
  <c r="C626" i="9"/>
  <c r="B626" i="9"/>
  <c r="P625" i="9"/>
  <c r="O625" i="9"/>
  <c r="N625" i="9"/>
  <c r="M625" i="9"/>
  <c r="L625" i="9"/>
  <c r="K625" i="9"/>
  <c r="J625" i="9"/>
  <c r="I625" i="9"/>
  <c r="H625" i="9"/>
  <c r="G625" i="9"/>
  <c r="F625" i="9"/>
  <c r="E625" i="9"/>
  <c r="D625" i="9"/>
  <c r="C625" i="9"/>
  <c r="B625" i="9"/>
  <c r="P624" i="9"/>
  <c r="O624" i="9"/>
  <c r="N624" i="9"/>
  <c r="M624" i="9"/>
  <c r="L624" i="9"/>
  <c r="K624" i="9"/>
  <c r="J624" i="9"/>
  <c r="I624" i="9"/>
  <c r="H624" i="9"/>
  <c r="G624" i="9"/>
  <c r="F624" i="9"/>
  <c r="E624" i="9"/>
  <c r="D624" i="9"/>
  <c r="C624" i="9"/>
  <c r="B624" i="9"/>
  <c r="P623" i="9"/>
  <c r="O623" i="9"/>
  <c r="N623" i="9"/>
  <c r="M623" i="9"/>
  <c r="L623" i="9"/>
  <c r="K623" i="9"/>
  <c r="J623" i="9"/>
  <c r="I623" i="9"/>
  <c r="H623" i="9"/>
  <c r="G623" i="9"/>
  <c r="F623" i="9"/>
  <c r="E623" i="9"/>
  <c r="D623" i="9"/>
  <c r="C623" i="9"/>
  <c r="B623" i="9"/>
  <c r="P622" i="9"/>
  <c r="O622" i="9"/>
  <c r="N622" i="9"/>
  <c r="M622" i="9"/>
  <c r="L622" i="9"/>
  <c r="K622" i="9"/>
  <c r="J622" i="9"/>
  <c r="I622" i="9"/>
  <c r="H622" i="9"/>
  <c r="G622" i="9"/>
  <c r="F622" i="9"/>
  <c r="E622" i="9"/>
  <c r="D622" i="9"/>
  <c r="C622" i="9"/>
  <c r="B622" i="9"/>
  <c r="P621" i="9"/>
  <c r="O621" i="9"/>
  <c r="N621" i="9"/>
  <c r="M621" i="9"/>
  <c r="L621" i="9"/>
  <c r="K621" i="9"/>
  <c r="J621" i="9"/>
  <c r="I621" i="9"/>
  <c r="H621" i="9"/>
  <c r="G621" i="9"/>
  <c r="F621" i="9"/>
  <c r="E621" i="9"/>
  <c r="D621" i="9"/>
  <c r="C621" i="9"/>
  <c r="B621" i="9"/>
  <c r="P620" i="9"/>
  <c r="O620" i="9"/>
  <c r="N620" i="9"/>
  <c r="M620" i="9"/>
  <c r="L620" i="9"/>
  <c r="K620" i="9"/>
  <c r="J620" i="9"/>
  <c r="I620" i="9"/>
  <c r="H620" i="9"/>
  <c r="G620" i="9"/>
  <c r="F620" i="9"/>
  <c r="E620" i="9"/>
  <c r="D620" i="9"/>
  <c r="C620" i="9"/>
  <c r="B620" i="9"/>
  <c r="P619" i="9"/>
  <c r="O619" i="9"/>
  <c r="N619" i="9"/>
  <c r="M619" i="9"/>
  <c r="L619" i="9"/>
  <c r="K619" i="9"/>
  <c r="J619" i="9"/>
  <c r="I619" i="9"/>
  <c r="H619" i="9"/>
  <c r="G619" i="9"/>
  <c r="F619" i="9"/>
  <c r="E619" i="9"/>
  <c r="D619" i="9"/>
  <c r="C619" i="9"/>
  <c r="B619" i="9"/>
  <c r="P618" i="9"/>
  <c r="O618" i="9"/>
  <c r="N618" i="9"/>
  <c r="M618" i="9"/>
  <c r="L618" i="9"/>
  <c r="K618" i="9"/>
  <c r="J618" i="9"/>
  <c r="I618" i="9"/>
  <c r="H618" i="9"/>
  <c r="G618" i="9"/>
  <c r="F618" i="9"/>
  <c r="E618" i="9"/>
  <c r="D618" i="9"/>
  <c r="C618" i="9"/>
  <c r="B618" i="9"/>
  <c r="P617" i="9"/>
  <c r="O617" i="9"/>
  <c r="N617" i="9"/>
  <c r="M617" i="9"/>
  <c r="L617" i="9"/>
  <c r="K617" i="9"/>
  <c r="J617" i="9"/>
  <c r="I617" i="9"/>
  <c r="H617" i="9"/>
  <c r="G617" i="9"/>
  <c r="F617" i="9"/>
  <c r="E617" i="9"/>
  <c r="D617" i="9"/>
  <c r="C617" i="9"/>
  <c r="B617" i="9"/>
  <c r="P616" i="9"/>
  <c r="O616" i="9"/>
  <c r="N616" i="9"/>
  <c r="M616" i="9"/>
  <c r="L616" i="9"/>
  <c r="K616" i="9"/>
  <c r="J616" i="9"/>
  <c r="I616" i="9"/>
  <c r="H616" i="9"/>
  <c r="G616" i="9"/>
  <c r="F616" i="9"/>
  <c r="E616" i="9"/>
  <c r="D616" i="9"/>
  <c r="C616" i="9"/>
  <c r="B616" i="9"/>
  <c r="P615" i="9"/>
  <c r="O615" i="9"/>
  <c r="N615" i="9"/>
  <c r="M615" i="9"/>
  <c r="L615" i="9"/>
  <c r="K615" i="9"/>
  <c r="J615" i="9"/>
  <c r="I615" i="9"/>
  <c r="H615" i="9"/>
  <c r="G615" i="9"/>
  <c r="F615" i="9"/>
  <c r="E615" i="9"/>
  <c r="D615" i="9"/>
  <c r="C615" i="9"/>
  <c r="B615" i="9"/>
  <c r="P614" i="9"/>
  <c r="O614" i="9"/>
  <c r="N614" i="9"/>
  <c r="M614" i="9"/>
  <c r="L614" i="9"/>
  <c r="K614" i="9"/>
  <c r="J614" i="9"/>
  <c r="I614" i="9"/>
  <c r="H614" i="9"/>
  <c r="G614" i="9"/>
  <c r="F614" i="9"/>
  <c r="E614" i="9"/>
  <c r="D614" i="9"/>
  <c r="C614" i="9"/>
  <c r="B614" i="9"/>
  <c r="P613" i="9"/>
  <c r="O613" i="9"/>
  <c r="N613" i="9"/>
  <c r="M613" i="9"/>
  <c r="L613" i="9"/>
  <c r="K613" i="9"/>
  <c r="J613" i="9"/>
  <c r="I613" i="9"/>
  <c r="H613" i="9"/>
  <c r="G613" i="9"/>
  <c r="F613" i="9"/>
  <c r="E613" i="9"/>
  <c r="D613" i="9"/>
  <c r="C613" i="9"/>
  <c r="B613" i="9"/>
  <c r="P612" i="9"/>
  <c r="O612" i="9"/>
  <c r="N612" i="9"/>
  <c r="M612" i="9"/>
  <c r="L612" i="9"/>
  <c r="K612" i="9"/>
  <c r="J612" i="9"/>
  <c r="I612" i="9"/>
  <c r="H612" i="9"/>
  <c r="G612" i="9"/>
  <c r="F612" i="9"/>
  <c r="E612" i="9"/>
  <c r="D612" i="9"/>
  <c r="C612" i="9"/>
  <c r="B612" i="9"/>
  <c r="P611" i="9"/>
  <c r="O611" i="9"/>
  <c r="N611" i="9"/>
  <c r="M611" i="9"/>
  <c r="L611" i="9"/>
  <c r="K611" i="9"/>
  <c r="J611" i="9"/>
  <c r="I611" i="9"/>
  <c r="H611" i="9"/>
  <c r="G611" i="9"/>
  <c r="F611" i="9"/>
  <c r="E611" i="9"/>
  <c r="D611" i="9"/>
  <c r="C611" i="9"/>
  <c r="B611" i="9"/>
  <c r="P610" i="9"/>
  <c r="O610" i="9"/>
  <c r="N610" i="9"/>
  <c r="M610" i="9"/>
  <c r="L610" i="9"/>
  <c r="K610" i="9"/>
  <c r="J610" i="9"/>
  <c r="I610" i="9"/>
  <c r="H610" i="9"/>
  <c r="G610" i="9"/>
  <c r="F610" i="9"/>
  <c r="E610" i="9"/>
  <c r="D610" i="9"/>
  <c r="C610" i="9"/>
  <c r="B610" i="9"/>
  <c r="P609" i="9"/>
  <c r="O609" i="9"/>
  <c r="N609" i="9"/>
  <c r="M609" i="9"/>
  <c r="L609" i="9"/>
  <c r="K609" i="9"/>
  <c r="J609" i="9"/>
  <c r="I609" i="9"/>
  <c r="H609" i="9"/>
  <c r="G609" i="9"/>
  <c r="F609" i="9"/>
  <c r="E609" i="9"/>
  <c r="D609" i="9"/>
  <c r="C609" i="9"/>
  <c r="B609" i="9"/>
  <c r="P608" i="9"/>
  <c r="O608" i="9"/>
  <c r="N608" i="9"/>
  <c r="M608" i="9"/>
  <c r="L608" i="9"/>
  <c r="K608" i="9"/>
  <c r="J608" i="9"/>
  <c r="I608" i="9"/>
  <c r="H608" i="9"/>
  <c r="G608" i="9"/>
  <c r="F608" i="9"/>
  <c r="E608" i="9"/>
  <c r="D608" i="9"/>
  <c r="C608" i="9"/>
  <c r="B608" i="9"/>
  <c r="P607" i="9"/>
  <c r="O607" i="9"/>
  <c r="N607" i="9"/>
  <c r="M607" i="9"/>
  <c r="L607" i="9"/>
  <c r="K607" i="9"/>
  <c r="J607" i="9"/>
  <c r="I607" i="9"/>
  <c r="H607" i="9"/>
  <c r="G607" i="9"/>
  <c r="F607" i="9"/>
  <c r="E607" i="9"/>
  <c r="D607" i="9"/>
  <c r="C607" i="9"/>
  <c r="B607" i="9"/>
  <c r="P606" i="9"/>
  <c r="O606" i="9"/>
  <c r="N606" i="9"/>
  <c r="M606" i="9"/>
  <c r="L606" i="9"/>
  <c r="K606" i="9"/>
  <c r="J606" i="9"/>
  <c r="I606" i="9"/>
  <c r="H606" i="9"/>
  <c r="G606" i="9"/>
  <c r="F606" i="9"/>
  <c r="E606" i="9"/>
  <c r="D606" i="9"/>
  <c r="C606" i="9"/>
  <c r="B606" i="9"/>
  <c r="P605" i="9"/>
  <c r="O605" i="9"/>
  <c r="N605" i="9"/>
  <c r="M605" i="9"/>
  <c r="L605" i="9"/>
  <c r="K605" i="9"/>
  <c r="J605" i="9"/>
  <c r="I605" i="9"/>
  <c r="H605" i="9"/>
  <c r="G605" i="9"/>
  <c r="F605" i="9"/>
  <c r="E605" i="9"/>
  <c r="D605" i="9"/>
  <c r="C605" i="9"/>
  <c r="B605" i="9"/>
  <c r="P604" i="9"/>
  <c r="O604" i="9"/>
  <c r="N604" i="9"/>
  <c r="M604" i="9"/>
  <c r="L604" i="9"/>
  <c r="K604" i="9"/>
  <c r="J604" i="9"/>
  <c r="I604" i="9"/>
  <c r="H604" i="9"/>
  <c r="G604" i="9"/>
  <c r="F604" i="9"/>
  <c r="E604" i="9"/>
  <c r="D604" i="9"/>
  <c r="C604" i="9"/>
  <c r="B604" i="9"/>
  <c r="P603" i="9"/>
  <c r="O603" i="9"/>
  <c r="N603" i="9"/>
  <c r="M603" i="9"/>
  <c r="L603" i="9"/>
  <c r="K603" i="9"/>
  <c r="J603" i="9"/>
  <c r="I603" i="9"/>
  <c r="H603" i="9"/>
  <c r="G603" i="9"/>
  <c r="F603" i="9"/>
  <c r="E603" i="9"/>
  <c r="D603" i="9"/>
  <c r="C603" i="9"/>
  <c r="B603" i="9"/>
  <c r="P602" i="9"/>
  <c r="O602" i="9"/>
  <c r="N602" i="9"/>
  <c r="M602" i="9"/>
  <c r="L602" i="9"/>
  <c r="K602" i="9"/>
  <c r="J602" i="9"/>
  <c r="I602" i="9"/>
  <c r="H602" i="9"/>
  <c r="G602" i="9"/>
  <c r="F602" i="9"/>
  <c r="E602" i="9"/>
  <c r="D602" i="9"/>
  <c r="C602" i="9"/>
  <c r="B602" i="9"/>
  <c r="P601" i="9"/>
  <c r="O601" i="9"/>
  <c r="N601" i="9"/>
  <c r="M601" i="9"/>
  <c r="L601" i="9"/>
  <c r="K601" i="9"/>
  <c r="J601" i="9"/>
  <c r="I601" i="9"/>
  <c r="H601" i="9"/>
  <c r="G601" i="9"/>
  <c r="F601" i="9"/>
  <c r="E601" i="9"/>
  <c r="D601" i="9"/>
  <c r="C601" i="9"/>
  <c r="B601" i="9"/>
  <c r="P600" i="9"/>
  <c r="O600" i="9"/>
  <c r="N600" i="9"/>
  <c r="M600" i="9"/>
  <c r="L600" i="9"/>
  <c r="K600" i="9"/>
  <c r="J600" i="9"/>
  <c r="I600" i="9"/>
  <c r="H600" i="9"/>
  <c r="G600" i="9"/>
  <c r="F600" i="9"/>
  <c r="E600" i="9"/>
  <c r="D600" i="9"/>
  <c r="C600" i="9"/>
  <c r="B600" i="9"/>
  <c r="P599" i="9"/>
  <c r="O599" i="9"/>
  <c r="N599" i="9"/>
  <c r="M599" i="9"/>
  <c r="L599" i="9"/>
  <c r="K599" i="9"/>
  <c r="J599" i="9"/>
  <c r="I599" i="9"/>
  <c r="H599" i="9"/>
  <c r="G599" i="9"/>
  <c r="F599" i="9"/>
  <c r="E599" i="9"/>
  <c r="D599" i="9"/>
  <c r="C599" i="9"/>
  <c r="B599" i="9"/>
  <c r="P598" i="9"/>
  <c r="O598" i="9"/>
  <c r="N598" i="9"/>
  <c r="M598" i="9"/>
  <c r="L598" i="9"/>
  <c r="K598" i="9"/>
  <c r="J598" i="9"/>
  <c r="I598" i="9"/>
  <c r="H598" i="9"/>
  <c r="G598" i="9"/>
  <c r="F598" i="9"/>
  <c r="E598" i="9"/>
  <c r="D598" i="9"/>
  <c r="C598" i="9"/>
  <c r="B598" i="9"/>
  <c r="P597" i="9"/>
  <c r="O597" i="9"/>
  <c r="N597" i="9"/>
  <c r="M597" i="9"/>
  <c r="L597" i="9"/>
  <c r="K597" i="9"/>
  <c r="J597" i="9"/>
  <c r="I597" i="9"/>
  <c r="H597" i="9"/>
  <c r="G597" i="9"/>
  <c r="F597" i="9"/>
  <c r="E597" i="9"/>
  <c r="D597" i="9"/>
  <c r="C597" i="9"/>
  <c r="B597" i="9"/>
  <c r="P596" i="9"/>
  <c r="O596" i="9"/>
  <c r="N596" i="9"/>
  <c r="M596" i="9"/>
  <c r="L596" i="9"/>
  <c r="K596" i="9"/>
  <c r="J596" i="9"/>
  <c r="I596" i="9"/>
  <c r="H596" i="9"/>
  <c r="G596" i="9"/>
  <c r="F596" i="9"/>
  <c r="E596" i="9"/>
  <c r="D596" i="9"/>
  <c r="C596" i="9"/>
  <c r="B596" i="9"/>
  <c r="P595" i="9"/>
  <c r="O595" i="9"/>
  <c r="N595" i="9"/>
  <c r="M595" i="9"/>
  <c r="L595" i="9"/>
  <c r="K595" i="9"/>
  <c r="J595" i="9"/>
  <c r="I595" i="9"/>
  <c r="H595" i="9"/>
  <c r="G595" i="9"/>
  <c r="F595" i="9"/>
  <c r="E595" i="9"/>
  <c r="D595" i="9"/>
  <c r="C595" i="9"/>
  <c r="B595" i="9"/>
  <c r="P594" i="9"/>
  <c r="O594" i="9"/>
  <c r="N594" i="9"/>
  <c r="M594" i="9"/>
  <c r="L594" i="9"/>
  <c r="K594" i="9"/>
  <c r="J594" i="9"/>
  <c r="I594" i="9"/>
  <c r="H594" i="9"/>
  <c r="G594" i="9"/>
  <c r="F594" i="9"/>
  <c r="E594" i="9"/>
  <c r="D594" i="9"/>
  <c r="C594" i="9"/>
  <c r="B594" i="9"/>
  <c r="P593" i="9"/>
  <c r="O593" i="9"/>
  <c r="N593" i="9"/>
  <c r="M593" i="9"/>
  <c r="L593" i="9"/>
  <c r="K593" i="9"/>
  <c r="J593" i="9"/>
  <c r="I593" i="9"/>
  <c r="H593" i="9"/>
  <c r="G593" i="9"/>
  <c r="F593" i="9"/>
  <c r="E593" i="9"/>
  <c r="D593" i="9"/>
  <c r="C593" i="9"/>
  <c r="B593" i="9"/>
  <c r="P592" i="9"/>
  <c r="O592" i="9"/>
  <c r="N592" i="9"/>
  <c r="M592" i="9"/>
  <c r="L592" i="9"/>
  <c r="K592" i="9"/>
  <c r="J592" i="9"/>
  <c r="I592" i="9"/>
  <c r="H592" i="9"/>
  <c r="G592" i="9"/>
  <c r="F592" i="9"/>
  <c r="E592" i="9"/>
  <c r="D592" i="9"/>
  <c r="C592" i="9"/>
  <c r="B592" i="9"/>
  <c r="P591" i="9"/>
  <c r="O591" i="9"/>
  <c r="N591" i="9"/>
  <c r="M591" i="9"/>
  <c r="L591" i="9"/>
  <c r="K591" i="9"/>
  <c r="J591" i="9"/>
  <c r="I591" i="9"/>
  <c r="H591" i="9"/>
  <c r="G591" i="9"/>
  <c r="F591" i="9"/>
  <c r="E591" i="9"/>
  <c r="D591" i="9"/>
  <c r="C591" i="9"/>
  <c r="B591" i="9"/>
  <c r="P590" i="9"/>
  <c r="O590" i="9"/>
  <c r="N590" i="9"/>
  <c r="M590" i="9"/>
  <c r="L590" i="9"/>
  <c r="K590" i="9"/>
  <c r="J590" i="9"/>
  <c r="I590" i="9"/>
  <c r="H590" i="9"/>
  <c r="G590" i="9"/>
  <c r="F590" i="9"/>
  <c r="E590" i="9"/>
  <c r="D590" i="9"/>
  <c r="C590" i="9"/>
  <c r="B590" i="9"/>
  <c r="P589" i="9"/>
  <c r="O589" i="9"/>
  <c r="N589" i="9"/>
  <c r="M589" i="9"/>
  <c r="L589" i="9"/>
  <c r="K589" i="9"/>
  <c r="J589" i="9"/>
  <c r="I589" i="9"/>
  <c r="H589" i="9"/>
  <c r="G589" i="9"/>
  <c r="F589" i="9"/>
  <c r="E589" i="9"/>
  <c r="D589" i="9"/>
  <c r="C589" i="9"/>
  <c r="B589" i="9"/>
  <c r="P588" i="9"/>
  <c r="O588" i="9"/>
  <c r="N588" i="9"/>
  <c r="M588" i="9"/>
  <c r="L588" i="9"/>
  <c r="K588" i="9"/>
  <c r="J588" i="9"/>
  <c r="I588" i="9"/>
  <c r="H588" i="9"/>
  <c r="G588" i="9"/>
  <c r="F588" i="9"/>
  <c r="E588" i="9"/>
  <c r="D588" i="9"/>
  <c r="C588" i="9"/>
  <c r="B588" i="9"/>
  <c r="P587" i="9"/>
  <c r="O587" i="9"/>
  <c r="N587" i="9"/>
  <c r="M587" i="9"/>
  <c r="L587" i="9"/>
  <c r="K587" i="9"/>
  <c r="J587" i="9"/>
  <c r="I587" i="9"/>
  <c r="H587" i="9"/>
  <c r="G587" i="9"/>
  <c r="F587" i="9"/>
  <c r="E587" i="9"/>
  <c r="D587" i="9"/>
  <c r="C587" i="9"/>
  <c r="B587" i="9"/>
  <c r="P586" i="9"/>
  <c r="O586" i="9"/>
  <c r="N586" i="9"/>
  <c r="M586" i="9"/>
  <c r="L586" i="9"/>
  <c r="K586" i="9"/>
  <c r="J586" i="9"/>
  <c r="I586" i="9"/>
  <c r="H586" i="9"/>
  <c r="G586" i="9"/>
  <c r="F586" i="9"/>
  <c r="E586" i="9"/>
  <c r="D586" i="9"/>
  <c r="C586" i="9"/>
  <c r="B586" i="9"/>
  <c r="P585" i="9"/>
  <c r="O585" i="9"/>
  <c r="N585" i="9"/>
  <c r="M585" i="9"/>
  <c r="L585" i="9"/>
  <c r="K585" i="9"/>
  <c r="J585" i="9"/>
  <c r="I585" i="9"/>
  <c r="H585" i="9"/>
  <c r="G585" i="9"/>
  <c r="F585" i="9"/>
  <c r="E585" i="9"/>
  <c r="D585" i="9"/>
  <c r="C585" i="9"/>
  <c r="B585" i="9"/>
  <c r="P584" i="9"/>
  <c r="O584" i="9"/>
  <c r="N584" i="9"/>
  <c r="M584" i="9"/>
  <c r="L584" i="9"/>
  <c r="K584" i="9"/>
  <c r="J584" i="9"/>
  <c r="I584" i="9"/>
  <c r="H584" i="9"/>
  <c r="G584" i="9"/>
  <c r="F584" i="9"/>
  <c r="E584" i="9"/>
  <c r="D584" i="9"/>
  <c r="C584" i="9"/>
  <c r="B584" i="9"/>
  <c r="P583" i="9"/>
  <c r="O583" i="9"/>
  <c r="N583" i="9"/>
  <c r="M583" i="9"/>
  <c r="L583" i="9"/>
  <c r="K583" i="9"/>
  <c r="J583" i="9"/>
  <c r="I583" i="9"/>
  <c r="H583" i="9"/>
  <c r="G583" i="9"/>
  <c r="F583" i="9"/>
  <c r="E583" i="9"/>
  <c r="D583" i="9"/>
  <c r="C583" i="9"/>
  <c r="B583" i="9"/>
  <c r="P582" i="9"/>
  <c r="O582" i="9"/>
  <c r="N582" i="9"/>
  <c r="M582" i="9"/>
  <c r="L582" i="9"/>
  <c r="K582" i="9"/>
  <c r="J582" i="9"/>
  <c r="I582" i="9"/>
  <c r="H582" i="9"/>
  <c r="G582" i="9"/>
  <c r="F582" i="9"/>
  <c r="E582" i="9"/>
  <c r="D582" i="9"/>
  <c r="C582" i="9"/>
  <c r="B582" i="9"/>
  <c r="P581" i="9"/>
  <c r="O581" i="9"/>
  <c r="N581" i="9"/>
  <c r="M581" i="9"/>
  <c r="L581" i="9"/>
  <c r="K581" i="9"/>
  <c r="J581" i="9"/>
  <c r="I581" i="9"/>
  <c r="H581" i="9"/>
  <c r="G581" i="9"/>
  <c r="F581" i="9"/>
  <c r="E581" i="9"/>
  <c r="D581" i="9"/>
  <c r="C581" i="9"/>
  <c r="B581" i="9"/>
  <c r="P580" i="9"/>
  <c r="O580" i="9"/>
  <c r="N580" i="9"/>
  <c r="M580" i="9"/>
  <c r="L580" i="9"/>
  <c r="K580" i="9"/>
  <c r="J580" i="9"/>
  <c r="I580" i="9"/>
  <c r="H580" i="9"/>
  <c r="G580" i="9"/>
  <c r="F580" i="9"/>
  <c r="E580" i="9"/>
  <c r="D580" i="9"/>
  <c r="C580" i="9"/>
  <c r="B580" i="9"/>
  <c r="P579" i="9"/>
  <c r="O579" i="9"/>
  <c r="N579" i="9"/>
  <c r="M579" i="9"/>
  <c r="L579" i="9"/>
  <c r="K579" i="9"/>
  <c r="J579" i="9"/>
  <c r="I579" i="9"/>
  <c r="H579" i="9"/>
  <c r="G579" i="9"/>
  <c r="F579" i="9"/>
  <c r="E579" i="9"/>
  <c r="D579" i="9"/>
  <c r="C579" i="9"/>
  <c r="B579" i="9"/>
  <c r="P578" i="9"/>
  <c r="O578" i="9"/>
  <c r="N578" i="9"/>
  <c r="M578" i="9"/>
  <c r="L578" i="9"/>
  <c r="K578" i="9"/>
  <c r="J578" i="9"/>
  <c r="I578" i="9"/>
  <c r="H578" i="9"/>
  <c r="G578" i="9"/>
  <c r="F578" i="9"/>
  <c r="E578" i="9"/>
  <c r="D578" i="9"/>
  <c r="C578" i="9"/>
  <c r="B578" i="9"/>
  <c r="P577" i="9"/>
  <c r="O577" i="9"/>
  <c r="N577" i="9"/>
  <c r="M577" i="9"/>
  <c r="L577" i="9"/>
  <c r="K577" i="9"/>
  <c r="J577" i="9"/>
  <c r="I577" i="9"/>
  <c r="H577" i="9"/>
  <c r="G577" i="9"/>
  <c r="F577" i="9"/>
  <c r="E577" i="9"/>
  <c r="D577" i="9"/>
  <c r="C577" i="9"/>
  <c r="B577" i="9"/>
  <c r="P576" i="9"/>
  <c r="O576" i="9"/>
  <c r="N576" i="9"/>
  <c r="M576" i="9"/>
  <c r="L576" i="9"/>
  <c r="K576" i="9"/>
  <c r="J576" i="9"/>
  <c r="I576" i="9"/>
  <c r="H576" i="9"/>
  <c r="G576" i="9"/>
  <c r="F576" i="9"/>
  <c r="E576" i="9"/>
  <c r="D576" i="9"/>
  <c r="C576" i="9"/>
  <c r="B576" i="9"/>
  <c r="P575" i="9"/>
  <c r="O575" i="9"/>
  <c r="N575" i="9"/>
  <c r="M575" i="9"/>
  <c r="L575" i="9"/>
  <c r="K575" i="9"/>
  <c r="J575" i="9"/>
  <c r="I575" i="9"/>
  <c r="H575" i="9"/>
  <c r="G575" i="9"/>
  <c r="F575" i="9"/>
  <c r="E575" i="9"/>
  <c r="D575" i="9"/>
  <c r="C575" i="9"/>
  <c r="B575" i="9"/>
  <c r="P574" i="9"/>
  <c r="O574" i="9"/>
  <c r="N574" i="9"/>
  <c r="M574" i="9"/>
  <c r="L574" i="9"/>
  <c r="K574" i="9"/>
  <c r="J574" i="9"/>
  <c r="I574" i="9"/>
  <c r="H574" i="9"/>
  <c r="G574" i="9"/>
  <c r="F574" i="9"/>
  <c r="E574" i="9"/>
  <c r="D574" i="9"/>
  <c r="C574" i="9"/>
  <c r="B574" i="9"/>
  <c r="P573" i="9"/>
  <c r="O573" i="9"/>
  <c r="N573" i="9"/>
  <c r="M573" i="9"/>
  <c r="L573" i="9"/>
  <c r="K573" i="9"/>
  <c r="J573" i="9"/>
  <c r="I573" i="9"/>
  <c r="H573" i="9"/>
  <c r="G573" i="9"/>
  <c r="F573" i="9"/>
  <c r="E573" i="9"/>
  <c r="D573" i="9"/>
  <c r="C573" i="9"/>
  <c r="B573" i="9"/>
  <c r="P572" i="9"/>
  <c r="O572" i="9"/>
  <c r="N572" i="9"/>
  <c r="M572" i="9"/>
  <c r="L572" i="9"/>
  <c r="K572" i="9"/>
  <c r="J572" i="9"/>
  <c r="I572" i="9"/>
  <c r="H572" i="9"/>
  <c r="G572" i="9"/>
  <c r="F572" i="9"/>
  <c r="E572" i="9"/>
  <c r="D572" i="9"/>
  <c r="C572" i="9"/>
  <c r="B572" i="9"/>
  <c r="P571" i="9"/>
  <c r="O571" i="9"/>
  <c r="N571" i="9"/>
  <c r="M571" i="9"/>
  <c r="L571" i="9"/>
  <c r="K571" i="9"/>
  <c r="J571" i="9"/>
  <c r="I571" i="9"/>
  <c r="H571" i="9"/>
  <c r="G571" i="9"/>
  <c r="F571" i="9"/>
  <c r="E571" i="9"/>
  <c r="D571" i="9"/>
  <c r="C571" i="9"/>
  <c r="B571" i="9"/>
  <c r="P570" i="9"/>
  <c r="O570" i="9"/>
  <c r="N570" i="9"/>
  <c r="M570" i="9"/>
  <c r="L570" i="9"/>
  <c r="K570" i="9"/>
  <c r="J570" i="9"/>
  <c r="I570" i="9"/>
  <c r="H570" i="9"/>
  <c r="G570" i="9"/>
  <c r="F570" i="9"/>
  <c r="E570" i="9"/>
  <c r="D570" i="9"/>
  <c r="C570" i="9"/>
  <c r="B570" i="9"/>
  <c r="P569" i="9"/>
  <c r="O569" i="9"/>
  <c r="N569" i="9"/>
  <c r="M569" i="9"/>
  <c r="L569" i="9"/>
  <c r="K569" i="9"/>
  <c r="J569" i="9"/>
  <c r="I569" i="9"/>
  <c r="H569" i="9"/>
  <c r="G569" i="9"/>
  <c r="F569" i="9"/>
  <c r="E569" i="9"/>
  <c r="D569" i="9"/>
  <c r="C569" i="9"/>
  <c r="B569" i="9"/>
  <c r="P568" i="9"/>
  <c r="O568" i="9"/>
  <c r="N568" i="9"/>
  <c r="M568" i="9"/>
  <c r="L568" i="9"/>
  <c r="K568" i="9"/>
  <c r="J568" i="9"/>
  <c r="I568" i="9"/>
  <c r="H568" i="9"/>
  <c r="G568" i="9"/>
  <c r="F568" i="9"/>
  <c r="E568" i="9"/>
  <c r="D568" i="9"/>
  <c r="C568" i="9"/>
  <c r="B568" i="9"/>
  <c r="P567" i="9"/>
  <c r="O567" i="9"/>
  <c r="N567" i="9"/>
  <c r="M567" i="9"/>
  <c r="L567" i="9"/>
  <c r="K567" i="9"/>
  <c r="J567" i="9"/>
  <c r="I567" i="9"/>
  <c r="H567" i="9"/>
  <c r="G567" i="9"/>
  <c r="F567" i="9"/>
  <c r="E567" i="9"/>
  <c r="D567" i="9"/>
  <c r="C567" i="9"/>
  <c r="B567" i="9"/>
  <c r="P566" i="9"/>
  <c r="O566" i="9"/>
  <c r="N566" i="9"/>
  <c r="M566" i="9"/>
  <c r="L566" i="9"/>
  <c r="K566" i="9"/>
  <c r="J566" i="9"/>
  <c r="I566" i="9"/>
  <c r="H566" i="9"/>
  <c r="G566" i="9"/>
  <c r="F566" i="9"/>
  <c r="E566" i="9"/>
  <c r="D566" i="9"/>
  <c r="C566" i="9"/>
  <c r="B566" i="9"/>
  <c r="P565" i="9"/>
  <c r="O565" i="9"/>
  <c r="N565" i="9"/>
  <c r="M565" i="9"/>
  <c r="L565" i="9"/>
  <c r="K565" i="9"/>
  <c r="J565" i="9"/>
  <c r="I565" i="9"/>
  <c r="H565" i="9"/>
  <c r="G565" i="9"/>
  <c r="F565" i="9"/>
  <c r="E565" i="9"/>
  <c r="D565" i="9"/>
  <c r="C565" i="9"/>
  <c r="B565" i="9"/>
  <c r="P564" i="9"/>
  <c r="O564" i="9"/>
  <c r="N564" i="9"/>
  <c r="M564" i="9"/>
  <c r="L564" i="9"/>
  <c r="K564" i="9"/>
  <c r="J564" i="9"/>
  <c r="I564" i="9"/>
  <c r="H564" i="9"/>
  <c r="G564" i="9"/>
  <c r="F564" i="9"/>
  <c r="E564" i="9"/>
  <c r="D564" i="9"/>
  <c r="C564" i="9"/>
  <c r="B564" i="9"/>
  <c r="P563" i="9"/>
  <c r="O563" i="9"/>
  <c r="N563" i="9"/>
  <c r="M563" i="9"/>
  <c r="L563" i="9"/>
  <c r="K563" i="9"/>
  <c r="J563" i="9"/>
  <c r="I563" i="9"/>
  <c r="H563" i="9"/>
  <c r="G563" i="9"/>
  <c r="F563" i="9"/>
  <c r="E563" i="9"/>
  <c r="D563" i="9"/>
  <c r="C563" i="9"/>
  <c r="B563" i="9"/>
  <c r="P562" i="9"/>
  <c r="O562" i="9"/>
  <c r="N562" i="9"/>
  <c r="M562" i="9"/>
  <c r="L562" i="9"/>
  <c r="K562" i="9"/>
  <c r="J562" i="9"/>
  <c r="I562" i="9"/>
  <c r="H562" i="9"/>
  <c r="G562" i="9"/>
  <c r="F562" i="9"/>
  <c r="E562" i="9"/>
  <c r="D562" i="9"/>
  <c r="C562" i="9"/>
  <c r="B562" i="9"/>
  <c r="P561" i="9"/>
  <c r="O561" i="9"/>
  <c r="N561" i="9"/>
  <c r="M561" i="9"/>
  <c r="L561" i="9"/>
  <c r="K561" i="9"/>
  <c r="J561" i="9"/>
  <c r="I561" i="9"/>
  <c r="H561" i="9"/>
  <c r="G561" i="9"/>
  <c r="F561" i="9"/>
  <c r="E561" i="9"/>
  <c r="D561" i="9"/>
  <c r="C561" i="9"/>
  <c r="B561" i="9"/>
  <c r="P560" i="9"/>
  <c r="O560" i="9"/>
  <c r="N560" i="9"/>
  <c r="M560" i="9"/>
  <c r="L560" i="9"/>
  <c r="K560" i="9"/>
  <c r="J560" i="9"/>
  <c r="I560" i="9"/>
  <c r="H560" i="9"/>
  <c r="G560" i="9"/>
  <c r="F560" i="9"/>
  <c r="E560" i="9"/>
  <c r="D560" i="9"/>
  <c r="C560" i="9"/>
  <c r="B560" i="9"/>
  <c r="P559" i="9"/>
  <c r="O559" i="9"/>
  <c r="N559" i="9"/>
  <c r="M559" i="9"/>
  <c r="L559" i="9"/>
  <c r="K559" i="9"/>
  <c r="J559" i="9"/>
  <c r="I559" i="9"/>
  <c r="H559" i="9"/>
  <c r="G559" i="9"/>
  <c r="F559" i="9"/>
  <c r="E559" i="9"/>
  <c r="D559" i="9"/>
  <c r="C559" i="9"/>
  <c r="B559" i="9"/>
  <c r="P558" i="9"/>
  <c r="O558" i="9"/>
  <c r="N558" i="9"/>
  <c r="M558" i="9"/>
  <c r="L558" i="9"/>
  <c r="K558" i="9"/>
  <c r="J558" i="9"/>
  <c r="I558" i="9"/>
  <c r="H558" i="9"/>
  <c r="G558" i="9"/>
  <c r="F558" i="9"/>
  <c r="E558" i="9"/>
  <c r="D558" i="9"/>
  <c r="C558" i="9"/>
  <c r="B558" i="9"/>
  <c r="P557" i="9"/>
  <c r="O557" i="9"/>
  <c r="N557" i="9"/>
  <c r="M557" i="9"/>
  <c r="L557" i="9"/>
  <c r="K557" i="9"/>
  <c r="J557" i="9"/>
  <c r="I557" i="9"/>
  <c r="H557" i="9"/>
  <c r="G557" i="9"/>
  <c r="F557" i="9"/>
  <c r="E557" i="9"/>
  <c r="D557" i="9"/>
  <c r="C557" i="9"/>
  <c r="B557" i="9"/>
  <c r="P556" i="9"/>
  <c r="O556" i="9"/>
  <c r="N556" i="9"/>
  <c r="M556" i="9"/>
  <c r="L556" i="9"/>
  <c r="K556" i="9"/>
  <c r="J556" i="9"/>
  <c r="I556" i="9"/>
  <c r="H556" i="9"/>
  <c r="G556" i="9"/>
  <c r="F556" i="9"/>
  <c r="E556" i="9"/>
  <c r="D556" i="9"/>
  <c r="C556" i="9"/>
  <c r="B556" i="9"/>
  <c r="P555" i="9"/>
  <c r="O555" i="9"/>
  <c r="N555" i="9"/>
  <c r="M555" i="9"/>
  <c r="L555" i="9"/>
  <c r="K555" i="9"/>
  <c r="J555" i="9"/>
  <c r="I555" i="9"/>
  <c r="H555" i="9"/>
  <c r="G555" i="9"/>
  <c r="F555" i="9"/>
  <c r="E555" i="9"/>
  <c r="D555" i="9"/>
  <c r="C555" i="9"/>
  <c r="B555" i="9"/>
  <c r="P554" i="9"/>
  <c r="O554" i="9"/>
  <c r="N554" i="9"/>
  <c r="M554" i="9"/>
  <c r="L554" i="9"/>
  <c r="K554" i="9"/>
  <c r="J554" i="9"/>
  <c r="I554" i="9"/>
  <c r="H554" i="9"/>
  <c r="G554" i="9"/>
  <c r="F554" i="9"/>
  <c r="E554" i="9"/>
  <c r="D554" i="9"/>
  <c r="C554" i="9"/>
  <c r="B554" i="9"/>
  <c r="P553" i="9"/>
  <c r="O553" i="9"/>
  <c r="N553" i="9"/>
  <c r="M553" i="9"/>
  <c r="L553" i="9"/>
  <c r="K553" i="9"/>
  <c r="J553" i="9"/>
  <c r="I553" i="9"/>
  <c r="H553" i="9"/>
  <c r="G553" i="9"/>
  <c r="F553" i="9"/>
  <c r="E553" i="9"/>
  <c r="D553" i="9"/>
  <c r="C553" i="9"/>
  <c r="B553" i="9"/>
  <c r="P552" i="9"/>
  <c r="O552" i="9"/>
  <c r="N552" i="9"/>
  <c r="M552" i="9"/>
  <c r="L552" i="9"/>
  <c r="K552" i="9"/>
  <c r="J552" i="9"/>
  <c r="I552" i="9"/>
  <c r="H552" i="9"/>
  <c r="G552" i="9"/>
  <c r="F552" i="9"/>
  <c r="E552" i="9"/>
  <c r="D552" i="9"/>
  <c r="C552" i="9"/>
  <c r="B552" i="9"/>
  <c r="P551" i="9"/>
  <c r="O551" i="9"/>
  <c r="N551" i="9"/>
  <c r="M551" i="9"/>
  <c r="L551" i="9"/>
  <c r="K551" i="9"/>
  <c r="J551" i="9"/>
  <c r="I551" i="9"/>
  <c r="H551" i="9"/>
  <c r="G551" i="9"/>
  <c r="F551" i="9"/>
  <c r="E551" i="9"/>
  <c r="D551" i="9"/>
  <c r="C551" i="9"/>
  <c r="B551" i="9"/>
  <c r="P550" i="9"/>
  <c r="O550" i="9"/>
  <c r="N550" i="9"/>
  <c r="M550" i="9"/>
  <c r="L550" i="9"/>
  <c r="K550" i="9"/>
  <c r="J550" i="9"/>
  <c r="I550" i="9"/>
  <c r="H550" i="9"/>
  <c r="G550" i="9"/>
  <c r="F550" i="9"/>
  <c r="E550" i="9"/>
  <c r="D550" i="9"/>
  <c r="C550" i="9"/>
  <c r="B550" i="9"/>
  <c r="P549" i="9"/>
  <c r="O549" i="9"/>
  <c r="N549" i="9"/>
  <c r="M549" i="9"/>
  <c r="L549" i="9"/>
  <c r="K549" i="9"/>
  <c r="J549" i="9"/>
  <c r="I549" i="9"/>
  <c r="H549" i="9"/>
  <c r="G549" i="9"/>
  <c r="F549" i="9"/>
  <c r="E549" i="9"/>
  <c r="D549" i="9"/>
  <c r="C549" i="9"/>
  <c r="B549" i="9"/>
  <c r="P548" i="9"/>
  <c r="O548" i="9"/>
  <c r="N548" i="9"/>
  <c r="M548" i="9"/>
  <c r="L548" i="9"/>
  <c r="K548" i="9"/>
  <c r="J548" i="9"/>
  <c r="I548" i="9"/>
  <c r="H548" i="9"/>
  <c r="G548" i="9"/>
  <c r="F548" i="9"/>
  <c r="E548" i="9"/>
  <c r="D548" i="9"/>
  <c r="C548" i="9"/>
  <c r="B548" i="9"/>
  <c r="P547" i="9"/>
  <c r="O547" i="9"/>
  <c r="N547" i="9"/>
  <c r="M547" i="9"/>
  <c r="L547" i="9"/>
  <c r="K547" i="9"/>
  <c r="J547" i="9"/>
  <c r="I547" i="9"/>
  <c r="H547" i="9"/>
  <c r="G547" i="9"/>
  <c r="F547" i="9"/>
  <c r="E547" i="9"/>
  <c r="D547" i="9"/>
  <c r="C547" i="9"/>
  <c r="B547" i="9"/>
  <c r="P546" i="9"/>
  <c r="O546" i="9"/>
  <c r="N546" i="9"/>
  <c r="M546" i="9"/>
  <c r="L546" i="9"/>
  <c r="K546" i="9"/>
  <c r="J546" i="9"/>
  <c r="I546" i="9"/>
  <c r="H546" i="9"/>
  <c r="G546" i="9"/>
  <c r="F546" i="9"/>
  <c r="E546" i="9"/>
  <c r="D546" i="9"/>
  <c r="C546" i="9"/>
  <c r="B546" i="9"/>
  <c r="P545" i="9"/>
  <c r="O545" i="9"/>
  <c r="N545" i="9"/>
  <c r="M545" i="9"/>
  <c r="L545" i="9"/>
  <c r="K545" i="9"/>
  <c r="J545" i="9"/>
  <c r="I545" i="9"/>
  <c r="H545" i="9"/>
  <c r="G545" i="9"/>
  <c r="F545" i="9"/>
  <c r="E545" i="9"/>
  <c r="D545" i="9"/>
  <c r="C545" i="9"/>
  <c r="B545" i="9"/>
  <c r="P544" i="9"/>
  <c r="O544" i="9"/>
  <c r="N544" i="9"/>
  <c r="M544" i="9"/>
  <c r="L544" i="9"/>
  <c r="K544" i="9"/>
  <c r="J544" i="9"/>
  <c r="I544" i="9"/>
  <c r="H544" i="9"/>
  <c r="G544" i="9"/>
  <c r="F544" i="9"/>
  <c r="E544" i="9"/>
  <c r="D544" i="9"/>
  <c r="C544" i="9"/>
  <c r="B544" i="9"/>
  <c r="P543" i="9"/>
  <c r="O543" i="9"/>
  <c r="N543" i="9"/>
  <c r="M543" i="9"/>
  <c r="L543" i="9"/>
  <c r="K543" i="9"/>
  <c r="J543" i="9"/>
  <c r="I543" i="9"/>
  <c r="H543" i="9"/>
  <c r="G543" i="9"/>
  <c r="F543" i="9"/>
  <c r="E543" i="9"/>
  <c r="D543" i="9"/>
  <c r="C543" i="9"/>
  <c r="B543" i="9"/>
  <c r="P542" i="9"/>
  <c r="O542" i="9"/>
  <c r="N542" i="9"/>
  <c r="M542" i="9"/>
  <c r="L542" i="9"/>
  <c r="K542" i="9"/>
  <c r="J542" i="9"/>
  <c r="I542" i="9"/>
  <c r="H542" i="9"/>
  <c r="G542" i="9"/>
  <c r="F542" i="9"/>
  <c r="E542" i="9"/>
  <c r="D542" i="9"/>
  <c r="C542" i="9"/>
  <c r="B542" i="9"/>
  <c r="P541" i="9"/>
  <c r="O541" i="9"/>
  <c r="N541" i="9"/>
  <c r="M541" i="9"/>
  <c r="L541" i="9"/>
  <c r="K541" i="9"/>
  <c r="J541" i="9"/>
  <c r="I541" i="9"/>
  <c r="H541" i="9"/>
  <c r="G541" i="9"/>
  <c r="F541" i="9"/>
  <c r="E541" i="9"/>
  <c r="D541" i="9"/>
  <c r="C541" i="9"/>
  <c r="B541" i="9"/>
  <c r="P540" i="9"/>
  <c r="O540" i="9"/>
  <c r="N540" i="9"/>
  <c r="M540" i="9"/>
  <c r="L540" i="9"/>
  <c r="K540" i="9"/>
  <c r="J540" i="9"/>
  <c r="I540" i="9"/>
  <c r="H540" i="9"/>
  <c r="G540" i="9"/>
  <c r="F540" i="9"/>
  <c r="E540" i="9"/>
  <c r="D540" i="9"/>
  <c r="C540" i="9"/>
  <c r="B540" i="9"/>
  <c r="P539" i="9"/>
  <c r="O539" i="9"/>
  <c r="N539" i="9"/>
  <c r="M539" i="9"/>
  <c r="L539" i="9"/>
  <c r="K539" i="9"/>
  <c r="J539" i="9"/>
  <c r="I539" i="9"/>
  <c r="H539" i="9"/>
  <c r="G539" i="9"/>
  <c r="F539" i="9"/>
  <c r="E539" i="9"/>
  <c r="D539" i="9"/>
  <c r="C539" i="9"/>
  <c r="B539" i="9"/>
  <c r="P538" i="9"/>
  <c r="O538" i="9"/>
  <c r="N538" i="9"/>
  <c r="M538" i="9"/>
  <c r="L538" i="9"/>
  <c r="K538" i="9"/>
  <c r="J538" i="9"/>
  <c r="I538" i="9"/>
  <c r="H538" i="9"/>
  <c r="G538" i="9"/>
  <c r="F538" i="9"/>
  <c r="E538" i="9"/>
  <c r="D538" i="9"/>
  <c r="C538" i="9"/>
  <c r="B538" i="9"/>
  <c r="P537" i="9"/>
  <c r="O537" i="9"/>
  <c r="N537" i="9"/>
  <c r="M537" i="9"/>
  <c r="L537" i="9"/>
  <c r="K537" i="9"/>
  <c r="J537" i="9"/>
  <c r="I537" i="9"/>
  <c r="H537" i="9"/>
  <c r="G537" i="9"/>
  <c r="F537" i="9"/>
  <c r="E537" i="9"/>
  <c r="D537" i="9"/>
  <c r="C537" i="9"/>
  <c r="B537" i="9"/>
  <c r="P536" i="9"/>
  <c r="O536" i="9"/>
  <c r="N536" i="9"/>
  <c r="M536" i="9"/>
  <c r="L536" i="9"/>
  <c r="K536" i="9"/>
  <c r="J536" i="9"/>
  <c r="I536" i="9"/>
  <c r="H536" i="9"/>
  <c r="G536" i="9"/>
  <c r="F536" i="9"/>
  <c r="E536" i="9"/>
  <c r="D536" i="9"/>
  <c r="C536" i="9"/>
  <c r="B536" i="9"/>
  <c r="P535" i="9"/>
  <c r="O535" i="9"/>
  <c r="N535" i="9"/>
  <c r="M535" i="9"/>
  <c r="L535" i="9"/>
  <c r="K535" i="9"/>
  <c r="J535" i="9"/>
  <c r="I535" i="9"/>
  <c r="H535" i="9"/>
  <c r="G535" i="9"/>
  <c r="F535" i="9"/>
  <c r="E535" i="9"/>
  <c r="D535" i="9"/>
  <c r="C535" i="9"/>
  <c r="B535" i="9"/>
  <c r="P534" i="9"/>
  <c r="O534" i="9"/>
  <c r="N534" i="9"/>
  <c r="M534" i="9"/>
  <c r="L534" i="9"/>
  <c r="K534" i="9"/>
  <c r="J534" i="9"/>
  <c r="I534" i="9"/>
  <c r="H534" i="9"/>
  <c r="G534" i="9"/>
  <c r="F534" i="9"/>
  <c r="E534" i="9"/>
  <c r="D534" i="9"/>
  <c r="C534" i="9"/>
  <c r="B534" i="9"/>
  <c r="P533" i="9"/>
  <c r="O533" i="9"/>
  <c r="N533" i="9"/>
  <c r="M533" i="9"/>
  <c r="L533" i="9"/>
  <c r="K533" i="9"/>
  <c r="J533" i="9"/>
  <c r="I533" i="9"/>
  <c r="H533" i="9"/>
  <c r="G533" i="9"/>
  <c r="F533" i="9"/>
  <c r="E533" i="9"/>
  <c r="D533" i="9"/>
  <c r="C533" i="9"/>
  <c r="B533" i="9"/>
  <c r="P532" i="9"/>
  <c r="O532" i="9"/>
  <c r="N532" i="9"/>
  <c r="M532" i="9"/>
  <c r="L532" i="9"/>
  <c r="K532" i="9"/>
  <c r="J532" i="9"/>
  <c r="I532" i="9"/>
  <c r="H532" i="9"/>
  <c r="G532" i="9"/>
  <c r="F532" i="9"/>
  <c r="E532" i="9"/>
  <c r="D532" i="9"/>
  <c r="C532" i="9"/>
  <c r="B532" i="9"/>
  <c r="P531" i="9"/>
  <c r="O531" i="9"/>
  <c r="N531" i="9"/>
  <c r="M531" i="9"/>
  <c r="L531" i="9"/>
  <c r="K531" i="9"/>
  <c r="J531" i="9"/>
  <c r="I531" i="9"/>
  <c r="H531" i="9"/>
  <c r="G531" i="9"/>
  <c r="F531" i="9"/>
  <c r="E531" i="9"/>
  <c r="D531" i="9"/>
  <c r="C531" i="9"/>
  <c r="B531" i="9"/>
  <c r="P530" i="9"/>
  <c r="O530" i="9"/>
  <c r="N530" i="9"/>
  <c r="M530" i="9"/>
  <c r="L530" i="9"/>
  <c r="K530" i="9"/>
  <c r="J530" i="9"/>
  <c r="I530" i="9"/>
  <c r="H530" i="9"/>
  <c r="G530" i="9"/>
  <c r="F530" i="9"/>
  <c r="E530" i="9"/>
  <c r="D530" i="9"/>
  <c r="C530" i="9"/>
  <c r="B530" i="9"/>
  <c r="P529" i="9"/>
  <c r="O529" i="9"/>
  <c r="N529" i="9"/>
  <c r="M529" i="9"/>
  <c r="L529" i="9"/>
  <c r="K529" i="9"/>
  <c r="J529" i="9"/>
  <c r="I529" i="9"/>
  <c r="H529" i="9"/>
  <c r="G529" i="9"/>
  <c r="F529" i="9"/>
  <c r="E529" i="9"/>
  <c r="D529" i="9"/>
  <c r="C529" i="9"/>
  <c r="B529" i="9"/>
  <c r="P528" i="9"/>
  <c r="O528" i="9"/>
  <c r="N528" i="9"/>
  <c r="M528" i="9"/>
  <c r="L528" i="9"/>
  <c r="K528" i="9"/>
  <c r="J528" i="9"/>
  <c r="I528" i="9"/>
  <c r="H528" i="9"/>
  <c r="G528" i="9"/>
  <c r="F528" i="9"/>
  <c r="E528" i="9"/>
  <c r="D528" i="9"/>
  <c r="C528" i="9"/>
  <c r="B528" i="9"/>
  <c r="P527" i="9"/>
  <c r="O527" i="9"/>
  <c r="N527" i="9"/>
  <c r="M527" i="9"/>
  <c r="L527" i="9"/>
  <c r="K527" i="9"/>
  <c r="J527" i="9"/>
  <c r="I527" i="9"/>
  <c r="H527" i="9"/>
  <c r="G527" i="9"/>
  <c r="F527" i="9"/>
  <c r="E527" i="9"/>
  <c r="D527" i="9"/>
  <c r="C527" i="9"/>
  <c r="B527" i="9"/>
  <c r="P526" i="9"/>
  <c r="O526" i="9"/>
  <c r="N526" i="9"/>
  <c r="M526" i="9"/>
  <c r="L526" i="9"/>
  <c r="K526" i="9"/>
  <c r="J526" i="9"/>
  <c r="I526" i="9"/>
  <c r="H526" i="9"/>
  <c r="G526" i="9"/>
  <c r="F526" i="9"/>
  <c r="E526" i="9"/>
  <c r="D526" i="9"/>
  <c r="C526" i="9"/>
  <c r="B526" i="9"/>
  <c r="P525" i="9"/>
  <c r="O525" i="9"/>
  <c r="N525" i="9"/>
  <c r="M525" i="9"/>
  <c r="L525" i="9"/>
  <c r="K525" i="9"/>
  <c r="J525" i="9"/>
  <c r="I525" i="9"/>
  <c r="H525" i="9"/>
  <c r="G525" i="9"/>
  <c r="F525" i="9"/>
  <c r="E525" i="9"/>
  <c r="D525" i="9"/>
  <c r="C525" i="9"/>
  <c r="B525" i="9"/>
  <c r="P524" i="9"/>
  <c r="O524" i="9"/>
  <c r="N524" i="9"/>
  <c r="M524" i="9"/>
  <c r="L524" i="9"/>
  <c r="K524" i="9"/>
  <c r="J524" i="9"/>
  <c r="I524" i="9"/>
  <c r="H524" i="9"/>
  <c r="G524" i="9"/>
  <c r="F524" i="9"/>
  <c r="E524" i="9"/>
  <c r="D524" i="9"/>
  <c r="C524" i="9"/>
  <c r="B524" i="9"/>
  <c r="P523" i="9"/>
  <c r="O523" i="9"/>
  <c r="N523" i="9"/>
  <c r="M523" i="9"/>
  <c r="L523" i="9"/>
  <c r="K523" i="9"/>
  <c r="J523" i="9"/>
  <c r="I523" i="9"/>
  <c r="H523" i="9"/>
  <c r="G523" i="9"/>
  <c r="F523" i="9"/>
  <c r="E523" i="9"/>
  <c r="D523" i="9"/>
  <c r="C523" i="9"/>
  <c r="B523" i="9"/>
  <c r="P522" i="9"/>
  <c r="O522" i="9"/>
  <c r="N522" i="9"/>
  <c r="M522" i="9"/>
  <c r="L522" i="9"/>
  <c r="K522" i="9"/>
  <c r="J522" i="9"/>
  <c r="I522" i="9"/>
  <c r="H522" i="9"/>
  <c r="G522" i="9"/>
  <c r="F522" i="9"/>
  <c r="E522" i="9"/>
  <c r="D522" i="9"/>
  <c r="C522" i="9"/>
  <c r="B522" i="9"/>
  <c r="P521" i="9"/>
  <c r="O521" i="9"/>
  <c r="N521" i="9"/>
  <c r="M521" i="9"/>
  <c r="L521" i="9"/>
  <c r="K521" i="9"/>
  <c r="J521" i="9"/>
  <c r="I521" i="9"/>
  <c r="H521" i="9"/>
  <c r="G521" i="9"/>
  <c r="F521" i="9"/>
  <c r="E521" i="9"/>
  <c r="D521" i="9"/>
  <c r="C521" i="9"/>
  <c r="B521" i="9"/>
  <c r="P520" i="9"/>
  <c r="O520" i="9"/>
  <c r="N520" i="9"/>
  <c r="M520" i="9"/>
  <c r="L520" i="9"/>
  <c r="K520" i="9"/>
  <c r="J520" i="9"/>
  <c r="I520" i="9"/>
  <c r="H520" i="9"/>
  <c r="G520" i="9"/>
  <c r="F520" i="9"/>
  <c r="E520" i="9"/>
  <c r="D520" i="9"/>
  <c r="C520" i="9"/>
  <c r="B520" i="9"/>
  <c r="P519" i="9"/>
  <c r="O519" i="9"/>
  <c r="N519" i="9"/>
  <c r="M519" i="9"/>
  <c r="L519" i="9"/>
  <c r="K519" i="9"/>
  <c r="J519" i="9"/>
  <c r="I519" i="9"/>
  <c r="H519" i="9"/>
  <c r="G519" i="9"/>
  <c r="F519" i="9"/>
  <c r="E519" i="9"/>
  <c r="D519" i="9"/>
  <c r="C519" i="9"/>
  <c r="B519" i="9"/>
  <c r="P518" i="9"/>
  <c r="O518" i="9"/>
  <c r="N518" i="9"/>
  <c r="M518" i="9"/>
  <c r="L518" i="9"/>
  <c r="K518" i="9"/>
  <c r="J518" i="9"/>
  <c r="I518" i="9"/>
  <c r="H518" i="9"/>
  <c r="G518" i="9"/>
  <c r="F518" i="9"/>
  <c r="E518" i="9"/>
  <c r="D518" i="9"/>
  <c r="C518" i="9"/>
  <c r="B518" i="9"/>
  <c r="P517" i="9"/>
  <c r="O517" i="9"/>
  <c r="N517" i="9"/>
  <c r="M517" i="9"/>
  <c r="L517" i="9"/>
  <c r="K517" i="9"/>
  <c r="J517" i="9"/>
  <c r="I517" i="9"/>
  <c r="H517" i="9"/>
  <c r="G517" i="9"/>
  <c r="F517" i="9"/>
  <c r="E517" i="9"/>
  <c r="D517" i="9"/>
  <c r="C517" i="9"/>
  <c r="B517" i="9"/>
  <c r="P516" i="9"/>
  <c r="O516" i="9"/>
  <c r="N516" i="9"/>
  <c r="M516" i="9"/>
  <c r="L516" i="9"/>
  <c r="K516" i="9"/>
  <c r="J516" i="9"/>
  <c r="I516" i="9"/>
  <c r="H516" i="9"/>
  <c r="G516" i="9"/>
  <c r="F516" i="9"/>
  <c r="E516" i="9"/>
  <c r="D516" i="9"/>
  <c r="C516" i="9"/>
  <c r="B516" i="9"/>
  <c r="P515" i="9"/>
  <c r="O515" i="9"/>
  <c r="N515" i="9"/>
  <c r="M515" i="9"/>
  <c r="L515" i="9"/>
  <c r="K515" i="9"/>
  <c r="J515" i="9"/>
  <c r="I515" i="9"/>
  <c r="H515" i="9"/>
  <c r="G515" i="9"/>
  <c r="F515" i="9"/>
  <c r="E515" i="9"/>
  <c r="D515" i="9"/>
  <c r="C515" i="9"/>
  <c r="B515" i="9"/>
  <c r="P514" i="9"/>
  <c r="O514" i="9"/>
  <c r="N514" i="9"/>
  <c r="M514" i="9"/>
  <c r="L514" i="9"/>
  <c r="K514" i="9"/>
  <c r="J514" i="9"/>
  <c r="I514" i="9"/>
  <c r="H514" i="9"/>
  <c r="G514" i="9"/>
  <c r="F514" i="9"/>
  <c r="E514" i="9"/>
  <c r="D514" i="9"/>
  <c r="C514" i="9"/>
  <c r="B514" i="9"/>
  <c r="P513" i="9"/>
  <c r="O513" i="9"/>
  <c r="N513" i="9"/>
  <c r="M513" i="9"/>
  <c r="L513" i="9"/>
  <c r="K513" i="9"/>
  <c r="J513" i="9"/>
  <c r="I513" i="9"/>
  <c r="H513" i="9"/>
  <c r="G513" i="9"/>
  <c r="F513" i="9"/>
  <c r="E513" i="9"/>
  <c r="D513" i="9"/>
  <c r="C513" i="9"/>
  <c r="B513" i="9"/>
  <c r="P512" i="9"/>
  <c r="O512" i="9"/>
  <c r="N512" i="9"/>
  <c r="M512" i="9"/>
  <c r="L512" i="9"/>
  <c r="K512" i="9"/>
  <c r="J512" i="9"/>
  <c r="I512" i="9"/>
  <c r="H512" i="9"/>
  <c r="G512" i="9"/>
  <c r="F512" i="9"/>
  <c r="E512" i="9"/>
  <c r="D512" i="9"/>
  <c r="C512" i="9"/>
  <c r="B512" i="9"/>
  <c r="P511" i="9"/>
  <c r="O511" i="9"/>
  <c r="N511" i="9"/>
  <c r="M511" i="9"/>
  <c r="L511" i="9"/>
  <c r="K511" i="9"/>
  <c r="J511" i="9"/>
  <c r="I511" i="9"/>
  <c r="H511" i="9"/>
  <c r="G511" i="9"/>
  <c r="F511" i="9"/>
  <c r="E511" i="9"/>
  <c r="D511" i="9"/>
  <c r="C511" i="9"/>
  <c r="B511" i="9"/>
  <c r="P510" i="9"/>
  <c r="O510" i="9"/>
  <c r="N510" i="9"/>
  <c r="M510" i="9"/>
  <c r="L510" i="9"/>
  <c r="K510" i="9"/>
  <c r="J510" i="9"/>
  <c r="I510" i="9"/>
  <c r="H510" i="9"/>
  <c r="G510" i="9"/>
  <c r="F510" i="9"/>
  <c r="E510" i="9"/>
  <c r="D510" i="9"/>
  <c r="C510" i="9"/>
  <c r="B510" i="9"/>
  <c r="P509" i="9"/>
  <c r="O509" i="9"/>
  <c r="N509" i="9"/>
  <c r="M509" i="9"/>
  <c r="L509" i="9"/>
  <c r="K509" i="9"/>
  <c r="J509" i="9"/>
  <c r="I509" i="9"/>
  <c r="H509" i="9"/>
  <c r="G509" i="9"/>
  <c r="F509" i="9"/>
  <c r="E509" i="9"/>
  <c r="D509" i="9"/>
  <c r="C509" i="9"/>
  <c r="B509" i="9"/>
  <c r="P508" i="9"/>
  <c r="O508" i="9"/>
  <c r="N508" i="9"/>
  <c r="M508" i="9"/>
  <c r="L508" i="9"/>
  <c r="K508" i="9"/>
  <c r="J508" i="9"/>
  <c r="I508" i="9"/>
  <c r="H508" i="9"/>
  <c r="G508" i="9"/>
  <c r="F508" i="9"/>
  <c r="E508" i="9"/>
  <c r="D508" i="9"/>
  <c r="C508" i="9"/>
  <c r="B508" i="9"/>
  <c r="P507" i="9"/>
  <c r="O507" i="9"/>
  <c r="N507" i="9"/>
  <c r="M507" i="9"/>
  <c r="L507" i="9"/>
  <c r="K507" i="9"/>
  <c r="J507" i="9"/>
  <c r="I507" i="9"/>
  <c r="H507" i="9"/>
  <c r="G507" i="9"/>
  <c r="F507" i="9"/>
  <c r="E507" i="9"/>
  <c r="D507" i="9"/>
  <c r="C507" i="9"/>
  <c r="B507" i="9"/>
  <c r="P506" i="9"/>
  <c r="O506" i="9"/>
  <c r="N506" i="9"/>
  <c r="M506" i="9"/>
  <c r="L506" i="9"/>
  <c r="K506" i="9"/>
  <c r="J506" i="9"/>
  <c r="I506" i="9"/>
  <c r="H506" i="9"/>
  <c r="G506" i="9"/>
  <c r="F506" i="9"/>
  <c r="E506" i="9"/>
  <c r="D506" i="9"/>
  <c r="C506" i="9"/>
  <c r="B506" i="9"/>
  <c r="P505" i="9"/>
  <c r="O505" i="9"/>
  <c r="N505" i="9"/>
  <c r="M505" i="9"/>
  <c r="L505" i="9"/>
  <c r="K505" i="9"/>
  <c r="J505" i="9"/>
  <c r="I505" i="9"/>
  <c r="H505" i="9"/>
  <c r="G505" i="9"/>
  <c r="F505" i="9"/>
  <c r="E505" i="9"/>
  <c r="D505" i="9"/>
  <c r="C505" i="9"/>
  <c r="B505" i="9"/>
  <c r="P504" i="9"/>
  <c r="O504" i="9"/>
  <c r="N504" i="9"/>
  <c r="M504" i="9"/>
  <c r="L504" i="9"/>
  <c r="K504" i="9"/>
  <c r="J504" i="9"/>
  <c r="I504" i="9"/>
  <c r="H504" i="9"/>
  <c r="G504" i="9"/>
  <c r="F504" i="9"/>
  <c r="E504" i="9"/>
  <c r="D504" i="9"/>
  <c r="C504" i="9"/>
  <c r="B504" i="9"/>
  <c r="P503" i="9"/>
  <c r="O503" i="9"/>
  <c r="N503" i="9"/>
  <c r="M503" i="9"/>
  <c r="L503" i="9"/>
  <c r="K503" i="9"/>
  <c r="J503" i="9"/>
  <c r="I503" i="9"/>
  <c r="H503" i="9"/>
  <c r="G503" i="9"/>
  <c r="F503" i="9"/>
  <c r="E503" i="9"/>
  <c r="D503" i="9"/>
  <c r="C503" i="9"/>
  <c r="B503" i="9"/>
  <c r="P502" i="9"/>
  <c r="O502" i="9"/>
  <c r="N502" i="9"/>
  <c r="M502" i="9"/>
  <c r="L502" i="9"/>
  <c r="K502" i="9"/>
  <c r="J502" i="9"/>
  <c r="I502" i="9"/>
  <c r="H502" i="9"/>
  <c r="G502" i="9"/>
  <c r="F502" i="9"/>
  <c r="E502" i="9"/>
  <c r="D502" i="9"/>
  <c r="C502" i="9"/>
  <c r="B502" i="9"/>
  <c r="P501" i="9"/>
  <c r="O501" i="9"/>
  <c r="N501" i="9"/>
  <c r="M501" i="9"/>
  <c r="L501" i="9"/>
  <c r="K501" i="9"/>
  <c r="J501" i="9"/>
  <c r="I501" i="9"/>
  <c r="H501" i="9"/>
  <c r="G501" i="9"/>
  <c r="F501" i="9"/>
  <c r="E501" i="9"/>
  <c r="D501" i="9"/>
  <c r="C501" i="9"/>
  <c r="B501" i="9"/>
  <c r="P500" i="9"/>
  <c r="O500" i="9"/>
  <c r="N500" i="9"/>
  <c r="M500" i="9"/>
  <c r="L500" i="9"/>
  <c r="K500" i="9"/>
  <c r="J500" i="9"/>
  <c r="I500" i="9"/>
  <c r="H500" i="9"/>
  <c r="G500" i="9"/>
  <c r="F500" i="9"/>
  <c r="E500" i="9"/>
  <c r="D500" i="9"/>
  <c r="C500" i="9"/>
  <c r="B500" i="9"/>
  <c r="P499" i="9"/>
  <c r="O499" i="9"/>
  <c r="N499" i="9"/>
  <c r="M499" i="9"/>
  <c r="L499" i="9"/>
  <c r="K499" i="9"/>
  <c r="J499" i="9"/>
  <c r="I499" i="9"/>
  <c r="H499" i="9"/>
  <c r="G499" i="9"/>
  <c r="F499" i="9"/>
  <c r="E499" i="9"/>
  <c r="D499" i="9"/>
  <c r="C499" i="9"/>
  <c r="B499" i="9"/>
  <c r="P498" i="9"/>
  <c r="O498" i="9"/>
  <c r="N498" i="9"/>
  <c r="M498" i="9"/>
  <c r="L498" i="9"/>
  <c r="K498" i="9"/>
  <c r="J498" i="9"/>
  <c r="I498" i="9"/>
  <c r="H498" i="9"/>
  <c r="G498" i="9"/>
  <c r="F498" i="9"/>
  <c r="E498" i="9"/>
  <c r="D498" i="9"/>
  <c r="C498" i="9"/>
  <c r="B498" i="9"/>
  <c r="P497" i="9"/>
  <c r="O497" i="9"/>
  <c r="N497" i="9"/>
  <c r="M497" i="9"/>
  <c r="L497" i="9"/>
  <c r="K497" i="9"/>
  <c r="J497" i="9"/>
  <c r="I497" i="9"/>
  <c r="H497" i="9"/>
  <c r="G497" i="9"/>
  <c r="F497" i="9"/>
  <c r="E497" i="9"/>
  <c r="D497" i="9"/>
  <c r="C497" i="9"/>
  <c r="B497" i="9"/>
  <c r="P496" i="9"/>
  <c r="O496" i="9"/>
  <c r="N496" i="9"/>
  <c r="M496" i="9"/>
  <c r="L496" i="9"/>
  <c r="K496" i="9"/>
  <c r="J496" i="9"/>
  <c r="I496" i="9"/>
  <c r="H496" i="9"/>
  <c r="G496" i="9"/>
  <c r="F496" i="9"/>
  <c r="E496" i="9"/>
  <c r="D496" i="9"/>
  <c r="C496" i="9"/>
  <c r="B496" i="9"/>
  <c r="P495" i="9"/>
  <c r="O495" i="9"/>
  <c r="N495" i="9"/>
  <c r="M495" i="9"/>
  <c r="L495" i="9"/>
  <c r="K495" i="9"/>
  <c r="J495" i="9"/>
  <c r="I495" i="9"/>
  <c r="H495" i="9"/>
  <c r="G495" i="9"/>
  <c r="F495" i="9"/>
  <c r="E495" i="9"/>
  <c r="D495" i="9"/>
  <c r="C495" i="9"/>
  <c r="B495" i="9"/>
  <c r="P494" i="9"/>
  <c r="O494" i="9"/>
  <c r="N494" i="9"/>
  <c r="M494" i="9"/>
  <c r="L494" i="9"/>
  <c r="K494" i="9"/>
  <c r="J494" i="9"/>
  <c r="I494" i="9"/>
  <c r="H494" i="9"/>
  <c r="G494" i="9"/>
  <c r="F494" i="9"/>
  <c r="E494" i="9"/>
  <c r="D494" i="9"/>
  <c r="C494" i="9"/>
  <c r="B494" i="9"/>
  <c r="P493" i="9"/>
  <c r="O493" i="9"/>
  <c r="N493" i="9"/>
  <c r="M493" i="9"/>
  <c r="L493" i="9"/>
  <c r="K493" i="9"/>
  <c r="J493" i="9"/>
  <c r="I493" i="9"/>
  <c r="H493" i="9"/>
  <c r="G493" i="9"/>
  <c r="F493" i="9"/>
  <c r="E493" i="9"/>
  <c r="D493" i="9"/>
  <c r="C493" i="9"/>
  <c r="B493" i="9"/>
  <c r="P492" i="9"/>
  <c r="O492" i="9"/>
  <c r="N492" i="9"/>
  <c r="M492" i="9"/>
  <c r="L492" i="9"/>
  <c r="K492" i="9"/>
  <c r="J492" i="9"/>
  <c r="I492" i="9"/>
  <c r="H492" i="9"/>
  <c r="G492" i="9"/>
  <c r="F492" i="9"/>
  <c r="E492" i="9"/>
  <c r="D492" i="9"/>
  <c r="C492" i="9"/>
  <c r="B492" i="9"/>
  <c r="P491" i="9"/>
  <c r="O491" i="9"/>
  <c r="N491" i="9"/>
  <c r="M491" i="9"/>
  <c r="L491" i="9"/>
  <c r="K491" i="9"/>
  <c r="J491" i="9"/>
  <c r="I491" i="9"/>
  <c r="H491" i="9"/>
  <c r="G491" i="9"/>
  <c r="F491" i="9"/>
  <c r="E491" i="9"/>
  <c r="D491" i="9"/>
  <c r="C491" i="9"/>
  <c r="B491" i="9"/>
  <c r="P490" i="9"/>
  <c r="O490" i="9"/>
  <c r="N490" i="9"/>
  <c r="M490" i="9"/>
  <c r="L490" i="9"/>
  <c r="K490" i="9"/>
  <c r="J490" i="9"/>
  <c r="I490" i="9"/>
  <c r="H490" i="9"/>
  <c r="G490" i="9"/>
  <c r="F490" i="9"/>
  <c r="E490" i="9"/>
  <c r="D490" i="9"/>
  <c r="C490" i="9"/>
  <c r="B490" i="9"/>
  <c r="P489" i="9"/>
  <c r="O489" i="9"/>
  <c r="N489" i="9"/>
  <c r="M489" i="9"/>
  <c r="L489" i="9"/>
  <c r="K489" i="9"/>
  <c r="J489" i="9"/>
  <c r="I489" i="9"/>
  <c r="H489" i="9"/>
  <c r="G489" i="9"/>
  <c r="F489" i="9"/>
  <c r="E489" i="9"/>
  <c r="D489" i="9"/>
  <c r="C489" i="9"/>
  <c r="B489" i="9"/>
  <c r="P488" i="9"/>
  <c r="O488" i="9"/>
  <c r="N488" i="9"/>
  <c r="M488" i="9"/>
  <c r="L488" i="9"/>
  <c r="K488" i="9"/>
  <c r="J488" i="9"/>
  <c r="I488" i="9"/>
  <c r="H488" i="9"/>
  <c r="G488" i="9"/>
  <c r="F488" i="9"/>
  <c r="E488" i="9"/>
  <c r="D488" i="9"/>
  <c r="C488" i="9"/>
  <c r="B488" i="9"/>
  <c r="P487" i="9"/>
  <c r="O487" i="9"/>
  <c r="N487" i="9"/>
  <c r="M487" i="9"/>
  <c r="L487" i="9"/>
  <c r="K487" i="9"/>
  <c r="J487" i="9"/>
  <c r="I487" i="9"/>
  <c r="H487" i="9"/>
  <c r="G487" i="9"/>
  <c r="F487" i="9"/>
  <c r="E487" i="9"/>
  <c r="D487" i="9"/>
  <c r="C487" i="9"/>
  <c r="B487" i="9"/>
  <c r="P486" i="9"/>
  <c r="O486" i="9"/>
  <c r="N486" i="9"/>
  <c r="M486" i="9"/>
  <c r="L486" i="9"/>
  <c r="K486" i="9"/>
  <c r="J486" i="9"/>
  <c r="I486" i="9"/>
  <c r="H486" i="9"/>
  <c r="G486" i="9"/>
  <c r="F486" i="9"/>
  <c r="E486" i="9"/>
  <c r="D486" i="9"/>
  <c r="C486" i="9"/>
  <c r="B486" i="9"/>
  <c r="P485" i="9"/>
  <c r="O485" i="9"/>
  <c r="N485" i="9"/>
  <c r="M485" i="9"/>
  <c r="L485" i="9"/>
  <c r="K485" i="9"/>
  <c r="J485" i="9"/>
  <c r="I485" i="9"/>
  <c r="H485" i="9"/>
  <c r="G485" i="9"/>
  <c r="F485" i="9"/>
  <c r="E485" i="9"/>
  <c r="D485" i="9"/>
  <c r="C485" i="9"/>
  <c r="B485" i="9"/>
  <c r="P484" i="9"/>
  <c r="O484" i="9"/>
  <c r="N484" i="9"/>
  <c r="M484" i="9"/>
  <c r="L484" i="9"/>
  <c r="K484" i="9"/>
  <c r="J484" i="9"/>
  <c r="I484" i="9"/>
  <c r="H484" i="9"/>
  <c r="G484" i="9"/>
  <c r="F484" i="9"/>
  <c r="E484" i="9"/>
  <c r="D484" i="9"/>
  <c r="C484" i="9"/>
  <c r="B484" i="9"/>
  <c r="P483" i="9"/>
  <c r="O483" i="9"/>
  <c r="N483" i="9"/>
  <c r="M483" i="9"/>
  <c r="L483" i="9"/>
  <c r="K483" i="9"/>
  <c r="J483" i="9"/>
  <c r="I483" i="9"/>
  <c r="H483" i="9"/>
  <c r="G483" i="9"/>
  <c r="F483" i="9"/>
  <c r="E483" i="9"/>
  <c r="D483" i="9"/>
  <c r="C483" i="9"/>
  <c r="B483" i="9"/>
  <c r="P482" i="9"/>
  <c r="O482" i="9"/>
  <c r="N482" i="9"/>
  <c r="M482" i="9"/>
  <c r="L482" i="9"/>
  <c r="K482" i="9"/>
  <c r="J482" i="9"/>
  <c r="I482" i="9"/>
  <c r="H482" i="9"/>
  <c r="G482" i="9"/>
  <c r="F482" i="9"/>
  <c r="E482" i="9"/>
  <c r="D482" i="9"/>
  <c r="C482" i="9"/>
  <c r="B482" i="9"/>
  <c r="P481" i="9"/>
  <c r="O481" i="9"/>
  <c r="N481" i="9"/>
  <c r="M481" i="9"/>
  <c r="L481" i="9"/>
  <c r="K481" i="9"/>
  <c r="J481" i="9"/>
  <c r="I481" i="9"/>
  <c r="H481" i="9"/>
  <c r="G481" i="9"/>
  <c r="F481" i="9"/>
  <c r="E481" i="9"/>
  <c r="D481" i="9"/>
  <c r="C481" i="9"/>
  <c r="B481" i="9"/>
  <c r="P480" i="9"/>
  <c r="O480" i="9"/>
  <c r="N480" i="9"/>
  <c r="M480" i="9"/>
  <c r="L480" i="9"/>
  <c r="K480" i="9"/>
  <c r="J480" i="9"/>
  <c r="I480" i="9"/>
  <c r="H480" i="9"/>
  <c r="G480" i="9"/>
  <c r="F480" i="9"/>
  <c r="E480" i="9"/>
  <c r="D480" i="9"/>
  <c r="C480" i="9"/>
  <c r="B480" i="9"/>
  <c r="P479" i="9"/>
  <c r="O479" i="9"/>
  <c r="N479" i="9"/>
  <c r="M479" i="9"/>
  <c r="L479" i="9"/>
  <c r="K479" i="9"/>
  <c r="J479" i="9"/>
  <c r="I479" i="9"/>
  <c r="H479" i="9"/>
  <c r="G479" i="9"/>
  <c r="F479" i="9"/>
  <c r="E479" i="9"/>
  <c r="D479" i="9"/>
  <c r="C479" i="9"/>
  <c r="B479" i="9"/>
  <c r="P478" i="9"/>
  <c r="O478" i="9"/>
  <c r="N478" i="9"/>
  <c r="M478" i="9"/>
  <c r="L478" i="9"/>
  <c r="K478" i="9"/>
  <c r="J478" i="9"/>
  <c r="I478" i="9"/>
  <c r="H478" i="9"/>
  <c r="G478" i="9"/>
  <c r="F478" i="9"/>
  <c r="E478" i="9"/>
  <c r="D478" i="9"/>
  <c r="C478" i="9"/>
  <c r="B478" i="9"/>
  <c r="P477" i="9"/>
  <c r="O477" i="9"/>
  <c r="N477" i="9"/>
  <c r="M477" i="9"/>
  <c r="L477" i="9"/>
  <c r="K477" i="9"/>
  <c r="J477" i="9"/>
  <c r="I477" i="9"/>
  <c r="H477" i="9"/>
  <c r="G477" i="9"/>
  <c r="F477" i="9"/>
  <c r="E477" i="9"/>
  <c r="D477" i="9"/>
  <c r="C477" i="9"/>
  <c r="B477" i="9"/>
  <c r="P476" i="9"/>
  <c r="O476" i="9"/>
  <c r="N476" i="9"/>
  <c r="M476" i="9"/>
  <c r="L476" i="9"/>
  <c r="K476" i="9"/>
  <c r="J476" i="9"/>
  <c r="I476" i="9"/>
  <c r="H476" i="9"/>
  <c r="G476" i="9"/>
  <c r="F476" i="9"/>
  <c r="E476" i="9"/>
  <c r="D476" i="9"/>
  <c r="C476" i="9"/>
  <c r="B476" i="9"/>
  <c r="P475" i="9"/>
  <c r="O475" i="9"/>
  <c r="N475" i="9"/>
  <c r="M475" i="9"/>
  <c r="L475" i="9"/>
  <c r="K475" i="9"/>
  <c r="J475" i="9"/>
  <c r="I475" i="9"/>
  <c r="H475" i="9"/>
  <c r="G475" i="9"/>
  <c r="F475" i="9"/>
  <c r="E475" i="9"/>
  <c r="D475" i="9"/>
  <c r="C475" i="9"/>
  <c r="B475" i="9"/>
  <c r="P474" i="9"/>
  <c r="O474" i="9"/>
  <c r="N474" i="9"/>
  <c r="M474" i="9"/>
  <c r="L474" i="9"/>
  <c r="K474" i="9"/>
  <c r="J474" i="9"/>
  <c r="I474" i="9"/>
  <c r="H474" i="9"/>
  <c r="G474" i="9"/>
  <c r="F474" i="9"/>
  <c r="E474" i="9"/>
  <c r="D474" i="9"/>
  <c r="C474" i="9"/>
  <c r="B474" i="9"/>
  <c r="P473" i="9"/>
  <c r="O473" i="9"/>
  <c r="N473" i="9"/>
  <c r="M473" i="9"/>
  <c r="L473" i="9"/>
  <c r="K473" i="9"/>
  <c r="J473" i="9"/>
  <c r="I473" i="9"/>
  <c r="H473" i="9"/>
  <c r="G473" i="9"/>
  <c r="F473" i="9"/>
  <c r="E473" i="9"/>
  <c r="D473" i="9"/>
  <c r="C473" i="9"/>
  <c r="B473" i="9"/>
  <c r="P472" i="9"/>
  <c r="O472" i="9"/>
  <c r="N472" i="9"/>
  <c r="M472" i="9"/>
  <c r="L472" i="9"/>
  <c r="K472" i="9"/>
  <c r="J472" i="9"/>
  <c r="I472" i="9"/>
  <c r="H472" i="9"/>
  <c r="G472" i="9"/>
  <c r="F472" i="9"/>
  <c r="E472" i="9"/>
  <c r="D472" i="9"/>
  <c r="C472" i="9"/>
  <c r="B472" i="9"/>
  <c r="P471" i="9"/>
  <c r="O471" i="9"/>
  <c r="N471" i="9"/>
  <c r="M471" i="9"/>
  <c r="L471" i="9"/>
  <c r="K471" i="9"/>
  <c r="J471" i="9"/>
  <c r="I471" i="9"/>
  <c r="H471" i="9"/>
  <c r="G471" i="9"/>
  <c r="F471" i="9"/>
  <c r="E471" i="9"/>
  <c r="D471" i="9"/>
  <c r="C471" i="9"/>
  <c r="B471" i="9"/>
  <c r="P470" i="9"/>
  <c r="O470" i="9"/>
  <c r="N470" i="9"/>
  <c r="M470" i="9"/>
  <c r="L470" i="9"/>
  <c r="K470" i="9"/>
  <c r="J470" i="9"/>
  <c r="I470" i="9"/>
  <c r="H470" i="9"/>
  <c r="G470" i="9"/>
  <c r="F470" i="9"/>
  <c r="E470" i="9"/>
  <c r="D470" i="9"/>
  <c r="C470" i="9"/>
  <c r="B470" i="9"/>
  <c r="P469" i="9"/>
  <c r="O469" i="9"/>
  <c r="N469" i="9"/>
  <c r="M469" i="9"/>
  <c r="L469" i="9"/>
  <c r="K469" i="9"/>
  <c r="J469" i="9"/>
  <c r="I469" i="9"/>
  <c r="H469" i="9"/>
  <c r="G469" i="9"/>
  <c r="F469" i="9"/>
  <c r="E469" i="9"/>
  <c r="D469" i="9"/>
  <c r="C469" i="9"/>
  <c r="B469" i="9"/>
  <c r="P468" i="9"/>
  <c r="O468" i="9"/>
  <c r="N468" i="9"/>
  <c r="M468" i="9"/>
  <c r="L468" i="9"/>
  <c r="K468" i="9"/>
  <c r="J468" i="9"/>
  <c r="I468" i="9"/>
  <c r="H468" i="9"/>
  <c r="G468" i="9"/>
  <c r="F468" i="9"/>
  <c r="E468" i="9"/>
  <c r="D468" i="9"/>
  <c r="C468" i="9"/>
  <c r="B468" i="9"/>
  <c r="P467" i="9"/>
  <c r="O467" i="9"/>
  <c r="N467" i="9"/>
  <c r="M467" i="9"/>
  <c r="L467" i="9"/>
  <c r="K467" i="9"/>
  <c r="J467" i="9"/>
  <c r="I467" i="9"/>
  <c r="H467" i="9"/>
  <c r="G467" i="9"/>
  <c r="F467" i="9"/>
  <c r="E467" i="9"/>
  <c r="D467" i="9"/>
  <c r="C467" i="9"/>
  <c r="B467" i="9"/>
  <c r="P466" i="9"/>
  <c r="O466" i="9"/>
  <c r="N466" i="9"/>
  <c r="M466" i="9"/>
  <c r="L466" i="9"/>
  <c r="K466" i="9"/>
  <c r="J466" i="9"/>
  <c r="I466" i="9"/>
  <c r="H466" i="9"/>
  <c r="G466" i="9"/>
  <c r="F466" i="9"/>
  <c r="E466" i="9"/>
  <c r="D466" i="9"/>
  <c r="C466" i="9"/>
  <c r="B466" i="9"/>
  <c r="P465" i="9"/>
  <c r="O465" i="9"/>
  <c r="N465" i="9"/>
  <c r="M465" i="9"/>
  <c r="L465" i="9"/>
  <c r="K465" i="9"/>
  <c r="J465" i="9"/>
  <c r="I465" i="9"/>
  <c r="H465" i="9"/>
  <c r="G465" i="9"/>
  <c r="F465" i="9"/>
  <c r="E465" i="9"/>
  <c r="D465" i="9"/>
  <c r="C465" i="9"/>
  <c r="B465" i="9"/>
  <c r="P464" i="9"/>
  <c r="O464" i="9"/>
  <c r="N464" i="9"/>
  <c r="M464" i="9"/>
  <c r="L464" i="9"/>
  <c r="K464" i="9"/>
  <c r="J464" i="9"/>
  <c r="I464" i="9"/>
  <c r="H464" i="9"/>
  <c r="G464" i="9"/>
  <c r="F464" i="9"/>
  <c r="E464" i="9"/>
  <c r="D464" i="9"/>
  <c r="C464" i="9"/>
  <c r="B464" i="9"/>
  <c r="P463" i="9"/>
  <c r="O463" i="9"/>
  <c r="N463" i="9"/>
  <c r="M463" i="9"/>
  <c r="L463" i="9"/>
  <c r="K463" i="9"/>
  <c r="J463" i="9"/>
  <c r="I463" i="9"/>
  <c r="H463" i="9"/>
  <c r="G463" i="9"/>
  <c r="F463" i="9"/>
  <c r="E463" i="9"/>
  <c r="D463" i="9"/>
  <c r="C463" i="9"/>
  <c r="B463" i="9"/>
  <c r="P462" i="9"/>
  <c r="O462" i="9"/>
  <c r="N462" i="9"/>
  <c r="M462" i="9"/>
  <c r="L462" i="9"/>
  <c r="K462" i="9"/>
  <c r="J462" i="9"/>
  <c r="I462" i="9"/>
  <c r="H462" i="9"/>
  <c r="G462" i="9"/>
  <c r="F462" i="9"/>
  <c r="E462" i="9"/>
  <c r="D462" i="9"/>
  <c r="C462" i="9"/>
  <c r="B462" i="9"/>
  <c r="P461" i="9"/>
  <c r="O461" i="9"/>
  <c r="N461" i="9"/>
  <c r="M461" i="9"/>
  <c r="L461" i="9"/>
  <c r="K461" i="9"/>
  <c r="J461" i="9"/>
  <c r="I461" i="9"/>
  <c r="H461" i="9"/>
  <c r="G461" i="9"/>
  <c r="F461" i="9"/>
  <c r="E461" i="9"/>
  <c r="D461" i="9"/>
  <c r="C461" i="9"/>
  <c r="B461" i="9"/>
  <c r="P460" i="9"/>
  <c r="O460" i="9"/>
  <c r="N460" i="9"/>
  <c r="M460" i="9"/>
  <c r="L460" i="9"/>
  <c r="K460" i="9"/>
  <c r="J460" i="9"/>
  <c r="I460" i="9"/>
  <c r="H460" i="9"/>
  <c r="G460" i="9"/>
  <c r="F460" i="9"/>
  <c r="E460" i="9"/>
  <c r="D460" i="9"/>
  <c r="C460" i="9"/>
  <c r="B460" i="9"/>
  <c r="P459" i="9"/>
  <c r="O459" i="9"/>
  <c r="N459" i="9"/>
  <c r="M459" i="9"/>
  <c r="L459" i="9"/>
  <c r="K459" i="9"/>
  <c r="J459" i="9"/>
  <c r="I459" i="9"/>
  <c r="H459" i="9"/>
  <c r="G459" i="9"/>
  <c r="F459" i="9"/>
  <c r="E459" i="9"/>
  <c r="D459" i="9"/>
  <c r="C459" i="9"/>
  <c r="B459" i="9"/>
  <c r="P458" i="9"/>
  <c r="O458" i="9"/>
  <c r="N458" i="9"/>
  <c r="M458" i="9"/>
  <c r="L458" i="9"/>
  <c r="K458" i="9"/>
  <c r="J458" i="9"/>
  <c r="I458" i="9"/>
  <c r="H458" i="9"/>
  <c r="G458" i="9"/>
  <c r="F458" i="9"/>
  <c r="E458" i="9"/>
  <c r="D458" i="9"/>
  <c r="C458" i="9"/>
  <c r="B458" i="9"/>
  <c r="P457" i="9"/>
  <c r="O457" i="9"/>
  <c r="N457" i="9"/>
  <c r="M457" i="9"/>
  <c r="L457" i="9"/>
  <c r="K457" i="9"/>
  <c r="J457" i="9"/>
  <c r="I457" i="9"/>
  <c r="H457" i="9"/>
  <c r="G457" i="9"/>
  <c r="F457" i="9"/>
  <c r="E457" i="9"/>
  <c r="D457" i="9"/>
  <c r="C457" i="9"/>
  <c r="B457" i="9"/>
  <c r="P456" i="9"/>
  <c r="O456" i="9"/>
  <c r="N456" i="9"/>
  <c r="M456" i="9"/>
  <c r="L456" i="9"/>
  <c r="K456" i="9"/>
  <c r="J456" i="9"/>
  <c r="I456" i="9"/>
  <c r="H456" i="9"/>
  <c r="G456" i="9"/>
  <c r="F456" i="9"/>
  <c r="E456" i="9"/>
  <c r="D456" i="9"/>
  <c r="C456" i="9"/>
  <c r="B456" i="9"/>
  <c r="P455" i="9"/>
  <c r="O455" i="9"/>
  <c r="N455" i="9"/>
  <c r="M455" i="9"/>
  <c r="L455" i="9"/>
  <c r="K455" i="9"/>
  <c r="J455" i="9"/>
  <c r="I455" i="9"/>
  <c r="H455" i="9"/>
  <c r="G455" i="9"/>
  <c r="F455" i="9"/>
  <c r="E455" i="9"/>
  <c r="D455" i="9"/>
  <c r="C455" i="9"/>
  <c r="B455" i="9"/>
  <c r="P454" i="9"/>
  <c r="O454" i="9"/>
  <c r="N454" i="9"/>
  <c r="M454" i="9"/>
  <c r="L454" i="9"/>
  <c r="K454" i="9"/>
  <c r="J454" i="9"/>
  <c r="I454" i="9"/>
  <c r="H454" i="9"/>
  <c r="G454" i="9"/>
  <c r="F454" i="9"/>
  <c r="E454" i="9"/>
  <c r="D454" i="9"/>
  <c r="C454" i="9"/>
  <c r="B454" i="9"/>
  <c r="P453" i="9"/>
  <c r="O453" i="9"/>
  <c r="N453" i="9"/>
  <c r="M453" i="9"/>
  <c r="L453" i="9"/>
  <c r="K453" i="9"/>
  <c r="J453" i="9"/>
  <c r="I453" i="9"/>
  <c r="H453" i="9"/>
  <c r="G453" i="9"/>
  <c r="F453" i="9"/>
  <c r="E453" i="9"/>
  <c r="D453" i="9"/>
  <c r="C453" i="9"/>
  <c r="B453" i="9"/>
  <c r="P452" i="9"/>
  <c r="O452" i="9"/>
  <c r="N452" i="9"/>
  <c r="M452" i="9"/>
  <c r="L452" i="9"/>
  <c r="K452" i="9"/>
  <c r="J452" i="9"/>
  <c r="I452" i="9"/>
  <c r="H452" i="9"/>
  <c r="G452" i="9"/>
  <c r="F452" i="9"/>
  <c r="E452" i="9"/>
  <c r="D452" i="9"/>
  <c r="C452" i="9"/>
  <c r="B452" i="9"/>
  <c r="P451" i="9"/>
  <c r="O451" i="9"/>
  <c r="N451" i="9"/>
  <c r="M451" i="9"/>
  <c r="L451" i="9"/>
  <c r="K451" i="9"/>
  <c r="J451" i="9"/>
  <c r="I451" i="9"/>
  <c r="H451" i="9"/>
  <c r="G451" i="9"/>
  <c r="F451" i="9"/>
  <c r="E451" i="9"/>
  <c r="D451" i="9"/>
  <c r="C451" i="9"/>
  <c r="B451" i="9"/>
  <c r="P450" i="9"/>
  <c r="O450" i="9"/>
  <c r="N450" i="9"/>
  <c r="M450" i="9"/>
  <c r="L450" i="9"/>
  <c r="K450" i="9"/>
  <c r="J450" i="9"/>
  <c r="I450" i="9"/>
  <c r="H450" i="9"/>
  <c r="G450" i="9"/>
  <c r="F450" i="9"/>
  <c r="E450" i="9"/>
  <c r="D450" i="9"/>
  <c r="C450" i="9"/>
  <c r="B450" i="9"/>
  <c r="P449" i="9"/>
  <c r="O449" i="9"/>
  <c r="N449" i="9"/>
  <c r="M449" i="9"/>
  <c r="L449" i="9"/>
  <c r="K449" i="9"/>
  <c r="J449" i="9"/>
  <c r="I449" i="9"/>
  <c r="H449" i="9"/>
  <c r="G449" i="9"/>
  <c r="F449" i="9"/>
  <c r="E449" i="9"/>
  <c r="D449" i="9"/>
  <c r="C449" i="9"/>
  <c r="B449" i="9"/>
  <c r="P448" i="9"/>
  <c r="O448" i="9"/>
  <c r="N448" i="9"/>
  <c r="M448" i="9"/>
  <c r="L448" i="9"/>
  <c r="K448" i="9"/>
  <c r="J448" i="9"/>
  <c r="I448" i="9"/>
  <c r="H448" i="9"/>
  <c r="G448" i="9"/>
  <c r="F448" i="9"/>
  <c r="E448" i="9"/>
  <c r="D448" i="9"/>
  <c r="C448" i="9"/>
  <c r="B448" i="9"/>
  <c r="P447" i="9"/>
  <c r="O447" i="9"/>
  <c r="N447" i="9"/>
  <c r="M447" i="9"/>
  <c r="L447" i="9"/>
  <c r="K447" i="9"/>
  <c r="J447" i="9"/>
  <c r="I447" i="9"/>
  <c r="H447" i="9"/>
  <c r="G447" i="9"/>
  <c r="F447" i="9"/>
  <c r="E447" i="9"/>
  <c r="D447" i="9"/>
  <c r="C447" i="9"/>
  <c r="B447" i="9"/>
  <c r="P446" i="9"/>
  <c r="O446" i="9"/>
  <c r="N446" i="9"/>
  <c r="M446" i="9"/>
  <c r="L446" i="9"/>
  <c r="K446" i="9"/>
  <c r="J446" i="9"/>
  <c r="I446" i="9"/>
  <c r="H446" i="9"/>
  <c r="G446" i="9"/>
  <c r="F446" i="9"/>
  <c r="E446" i="9"/>
  <c r="D446" i="9"/>
  <c r="C446" i="9"/>
  <c r="B446" i="9"/>
  <c r="P445" i="9"/>
  <c r="O445" i="9"/>
  <c r="N445" i="9"/>
  <c r="M445" i="9"/>
  <c r="L445" i="9"/>
  <c r="K445" i="9"/>
  <c r="J445" i="9"/>
  <c r="I445" i="9"/>
  <c r="H445" i="9"/>
  <c r="G445" i="9"/>
  <c r="F445" i="9"/>
  <c r="E445" i="9"/>
  <c r="D445" i="9"/>
  <c r="C445" i="9"/>
  <c r="B445" i="9"/>
  <c r="P444" i="9"/>
  <c r="O444" i="9"/>
  <c r="N444" i="9"/>
  <c r="M444" i="9"/>
  <c r="L444" i="9"/>
  <c r="K444" i="9"/>
  <c r="J444" i="9"/>
  <c r="I444" i="9"/>
  <c r="H444" i="9"/>
  <c r="G444" i="9"/>
  <c r="F444" i="9"/>
  <c r="E444" i="9"/>
  <c r="D444" i="9"/>
  <c r="C444" i="9"/>
  <c r="B444" i="9"/>
  <c r="P443" i="9"/>
  <c r="O443" i="9"/>
  <c r="N443" i="9"/>
  <c r="M443" i="9"/>
  <c r="L443" i="9"/>
  <c r="K443" i="9"/>
  <c r="J443" i="9"/>
  <c r="I443" i="9"/>
  <c r="H443" i="9"/>
  <c r="G443" i="9"/>
  <c r="F443" i="9"/>
  <c r="E443" i="9"/>
  <c r="D443" i="9"/>
  <c r="C443" i="9"/>
  <c r="B443" i="9"/>
  <c r="P442" i="9"/>
  <c r="O442" i="9"/>
  <c r="N442" i="9"/>
  <c r="M442" i="9"/>
  <c r="L442" i="9"/>
  <c r="K442" i="9"/>
  <c r="J442" i="9"/>
  <c r="I442" i="9"/>
  <c r="H442" i="9"/>
  <c r="G442" i="9"/>
  <c r="F442" i="9"/>
  <c r="E442" i="9"/>
  <c r="D442" i="9"/>
  <c r="C442" i="9"/>
  <c r="B442" i="9"/>
  <c r="P441" i="9"/>
  <c r="O441" i="9"/>
  <c r="N441" i="9"/>
  <c r="M441" i="9"/>
  <c r="L441" i="9"/>
  <c r="K441" i="9"/>
  <c r="J441" i="9"/>
  <c r="I441" i="9"/>
  <c r="H441" i="9"/>
  <c r="G441" i="9"/>
  <c r="F441" i="9"/>
  <c r="E441" i="9"/>
  <c r="D441" i="9"/>
  <c r="C441" i="9"/>
  <c r="B441" i="9"/>
  <c r="P440" i="9"/>
  <c r="O440" i="9"/>
  <c r="N440" i="9"/>
  <c r="M440" i="9"/>
  <c r="L440" i="9"/>
  <c r="K440" i="9"/>
  <c r="J440" i="9"/>
  <c r="I440" i="9"/>
  <c r="H440" i="9"/>
  <c r="G440" i="9"/>
  <c r="F440" i="9"/>
  <c r="E440" i="9"/>
  <c r="D440" i="9"/>
  <c r="C440" i="9"/>
  <c r="B440" i="9"/>
  <c r="P439" i="9"/>
  <c r="O439" i="9"/>
  <c r="N439" i="9"/>
  <c r="M439" i="9"/>
  <c r="L439" i="9"/>
  <c r="K439" i="9"/>
  <c r="J439" i="9"/>
  <c r="I439" i="9"/>
  <c r="H439" i="9"/>
  <c r="G439" i="9"/>
  <c r="F439" i="9"/>
  <c r="E439" i="9"/>
  <c r="D439" i="9"/>
  <c r="C439" i="9"/>
  <c r="B439" i="9"/>
  <c r="P438" i="9"/>
  <c r="O438" i="9"/>
  <c r="N438" i="9"/>
  <c r="M438" i="9"/>
  <c r="L438" i="9"/>
  <c r="K438" i="9"/>
  <c r="J438" i="9"/>
  <c r="I438" i="9"/>
  <c r="H438" i="9"/>
  <c r="G438" i="9"/>
  <c r="F438" i="9"/>
  <c r="E438" i="9"/>
  <c r="D438" i="9"/>
  <c r="C438" i="9"/>
  <c r="B438" i="9"/>
  <c r="P437" i="9"/>
  <c r="O437" i="9"/>
  <c r="N437" i="9"/>
  <c r="M437" i="9"/>
  <c r="L437" i="9"/>
  <c r="K437" i="9"/>
  <c r="J437" i="9"/>
  <c r="I437" i="9"/>
  <c r="H437" i="9"/>
  <c r="G437" i="9"/>
  <c r="F437" i="9"/>
  <c r="E437" i="9"/>
  <c r="D437" i="9"/>
  <c r="C437" i="9"/>
  <c r="B437" i="9"/>
  <c r="P436" i="9"/>
  <c r="O436" i="9"/>
  <c r="N436" i="9"/>
  <c r="M436" i="9"/>
  <c r="L436" i="9"/>
  <c r="K436" i="9"/>
  <c r="J436" i="9"/>
  <c r="I436" i="9"/>
  <c r="H436" i="9"/>
  <c r="G436" i="9"/>
  <c r="F436" i="9"/>
  <c r="E436" i="9"/>
  <c r="D436" i="9"/>
  <c r="C436" i="9"/>
  <c r="B436" i="9"/>
  <c r="P435" i="9"/>
  <c r="O435" i="9"/>
  <c r="N435" i="9"/>
  <c r="M435" i="9"/>
  <c r="L435" i="9"/>
  <c r="K435" i="9"/>
  <c r="J435" i="9"/>
  <c r="I435" i="9"/>
  <c r="H435" i="9"/>
  <c r="G435" i="9"/>
  <c r="F435" i="9"/>
  <c r="E435" i="9"/>
  <c r="D435" i="9"/>
  <c r="C435" i="9"/>
  <c r="B435" i="9"/>
  <c r="P434" i="9"/>
  <c r="O434" i="9"/>
  <c r="N434" i="9"/>
  <c r="M434" i="9"/>
  <c r="L434" i="9"/>
  <c r="K434" i="9"/>
  <c r="J434" i="9"/>
  <c r="I434" i="9"/>
  <c r="H434" i="9"/>
  <c r="G434" i="9"/>
  <c r="F434" i="9"/>
  <c r="E434" i="9"/>
  <c r="D434" i="9"/>
  <c r="C434" i="9"/>
  <c r="B434" i="9"/>
  <c r="P433" i="9"/>
  <c r="O433" i="9"/>
  <c r="N433" i="9"/>
  <c r="M433" i="9"/>
  <c r="L433" i="9"/>
  <c r="K433" i="9"/>
  <c r="J433" i="9"/>
  <c r="I433" i="9"/>
  <c r="H433" i="9"/>
  <c r="G433" i="9"/>
  <c r="F433" i="9"/>
  <c r="E433" i="9"/>
  <c r="D433" i="9"/>
  <c r="C433" i="9"/>
  <c r="B433" i="9"/>
  <c r="P432" i="9"/>
  <c r="O432" i="9"/>
  <c r="N432" i="9"/>
  <c r="M432" i="9"/>
  <c r="L432" i="9"/>
  <c r="K432" i="9"/>
  <c r="J432" i="9"/>
  <c r="I432" i="9"/>
  <c r="H432" i="9"/>
  <c r="G432" i="9"/>
  <c r="F432" i="9"/>
  <c r="E432" i="9"/>
  <c r="D432" i="9"/>
  <c r="C432" i="9"/>
  <c r="B432" i="9"/>
  <c r="P431" i="9"/>
  <c r="O431" i="9"/>
  <c r="N431" i="9"/>
  <c r="M431" i="9"/>
  <c r="L431" i="9"/>
  <c r="K431" i="9"/>
  <c r="J431" i="9"/>
  <c r="I431" i="9"/>
  <c r="H431" i="9"/>
  <c r="G431" i="9"/>
  <c r="F431" i="9"/>
  <c r="E431" i="9"/>
  <c r="D431" i="9"/>
  <c r="C431" i="9"/>
  <c r="B431" i="9"/>
  <c r="P430" i="9"/>
  <c r="O430" i="9"/>
  <c r="N430" i="9"/>
  <c r="M430" i="9"/>
  <c r="L430" i="9"/>
  <c r="K430" i="9"/>
  <c r="J430" i="9"/>
  <c r="I430" i="9"/>
  <c r="H430" i="9"/>
  <c r="G430" i="9"/>
  <c r="F430" i="9"/>
  <c r="E430" i="9"/>
  <c r="D430" i="9"/>
  <c r="C430" i="9"/>
  <c r="B430" i="9"/>
  <c r="P429" i="9"/>
  <c r="O429" i="9"/>
  <c r="N429" i="9"/>
  <c r="M429" i="9"/>
  <c r="L429" i="9"/>
  <c r="K429" i="9"/>
  <c r="J429" i="9"/>
  <c r="I429" i="9"/>
  <c r="H429" i="9"/>
  <c r="G429" i="9"/>
  <c r="F429" i="9"/>
  <c r="E429" i="9"/>
  <c r="D429" i="9"/>
  <c r="C429" i="9"/>
  <c r="B429" i="9"/>
  <c r="P428" i="9"/>
  <c r="O428" i="9"/>
  <c r="N428" i="9"/>
  <c r="M428" i="9"/>
  <c r="L428" i="9"/>
  <c r="K428" i="9"/>
  <c r="J428" i="9"/>
  <c r="I428" i="9"/>
  <c r="H428" i="9"/>
  <c r="G428" i="9"/>
  <c r="F428" i="9"/>
  <c r="E428" i="9"/>
  <c r="D428" i="9"/>
  <c r="C428" i="9"/>
  <c r="B428" i="9"/>
  <c r="P427" i="9"/>
  <c r="O427" i="9"/>
  <c r="N427" i="9"/>
  <c r="M427" i="9"/>
  <c r="L427" i="9"/>
  <c r="K427" i="9"/>
  <c r="J427" i="9"/>
  <c r="I427" i="9"/>
  <c r="H427" i="9"/>
  <c r="G427" i="9"/>
  <c r="F427" i="9"/>
  <c r="E427" i="9"/>
  <c r="D427" i="9"/>
  <c r="C427" i="9"/>
  <c r="B427" i="9"/>
  <c r="P426" i="9"/>
  <c r="O426" i="9"/>
  <c r="N426" i="9"/>
  <c r="M426" i="9"/>
  <c r="L426" i="9"/>
  <c r="K426" i="9"/>
  <c r="J426" i="9"/>
  <c r="I426" i="9"/>
  <c r="H426" i="9"/>
  <c r="G426" i="9"/>
  <c r="F426" i="9"/>
  <c r="E426" i="9"/>
  <c r="D426" i="9"/>
  <c r="C426" i="9"/>
  <c r="B426" i="9"/>
  <c r="P425" i="9"/>
  <c r="O425" i="9"/>
  <c r="N425" i="9"/>
  <c r="M425" i="9"/>
  <c r="L425" i="9"/>
  <c r="K425" i="9"/>
  <c r="J425" i="9"/>
  <c r="I425" i="9"/>
  <c r="H425" i="9"/>
  <c r="G425" i="9"/>
  <c r="F425" i="9"/>
  <c r="E425" i="9"/>
  <c r="D425" i="9"/>
  <c r="C425" i="9"/>
  <c r="B425" i="9"/>
  <c r="P424" i="9"/>
  <c r="O424" i="9"/>
  <c r="N424" i="9"/>
  <c r="M424" i="9"/>
  <c r="L424" i="9"/>
  <c r="K424" i="9"/>
  <c r="J424" i="9"/>
  <c r="I424" i="9"/>
  <c r="H424" i="9"/>
  <c r="G424" i="9"/>
  <c r="F424" i="9"/>
  <c r="E424" i="9"/>
  <c r="D424" i="9"/>
  <c r="C424" i="9"/>
  <c r="B424" i="9"/>
  <c r="P423" i="9"/>
  <c r="O423" i="9"/>
  <c r="N423" i="9"/>
  <c r="M423" i="9"/>
  <c r="L423" i="9"/>
  <c r="K423" i="9"/>
  <c r="J423" i="9"/>
  <c r="I423" i="9"/>
  <c r="H423" i="9"/>
  <c r="G423" i="9"/>
  <c r="F423" i="9"/>
  <c r="E423" i="9"/>
  <c r="D423" i="9"/>
  <c r="C423" i="9"/>
  <c r="B423" i="9"/>
  <c r="P422" i="9"/>
  <c r="O422" i="9"/>
  <c r="N422" i="9"/>
  <c r="M422" i="9"/>
  <c r="L422" i="9"/>
  <c r="K422" i="9"/>
  <c r="J422" i="9"/>
  <c r="I422" i="9"/>
  <c r="H422" i="9"/>
  <c r="G422" i="9"/>
  <c r="F422" i="9"/>
  <c r="E422" i="9"/>
  <c r="D422" i="9"/>
  <c r="C422" i="9"/>
  <c r="B422" i="9"/>
  <c r="P421" i="9"/>
  <c r="O421" i="9"/>
  <c r="N421" i="9"/>
  <c r="M421" i="9"/>
  <c r="L421" i="9"/>
  <c r="K421" i="9"/>
  <c r="J421" i="9"/>
  <c r="I421" i="9"/>
  <c r="H421" i="9"/>
  <c r="G421" i="9"/>
  <c r="F421" i="9"/>
  <c r="E421" i="9"/>
  <c r="D421" i="9"/>
  <c r="C421" i="9"/>
  <c r="B421" i="9"/>
  <c r="P420" i="9"/>
  <c r="O420" i="9"/>
  <c r="N420" i="9"/>
  <c r="M420" i="9"/>
  <c r="L420" i="9"/>
  <c r="K420" i="9"/>
  <c r="J420" i="9"/>
  <c r="I420" i="9"/>
  <c r="H420" i="9"/>
  <c r="G420" i="9"/>
  <c r="F420" i="9"/>
  <c r="E420" i="9"/>
  <c r="D420" i="9"/>
  <c r="C420" i="9"/>
  <c r="B420" i="9"/>
  <c r="P419" i="9"/>
  <c r="O419" i="9"/>
  <c r="N419" i="9"/>
  <c r="M419" i="9"/>
  <c r="L419" i="9"/>
  <c r="K419" i="9"/>
  <c r="J419" i="9"/>
  <c r="I419" i="9"/>
  <c r="H419" i="9"/>
  <c r="G419" i="9"/>
  <c r="F419" i="9"/>
  <c r="E419" i="9"/>
  <c r="D419" i="9"/>
  <c r="C419" i="9"/>
  <c r="B419" i="9"/>
  <c r="P418" i="9"/>
  <c r="O418" i="9"/>
  <c r="N418" i="9"/>
  <c r="M418" i="9"/>
  <c r="L418" i="9"/>
  <c r="K418" i="9"/>
  <c r="J418" i="9"/>
  <c r="I418" i="9"/>
  <c r="H418" i="9"/>
  <c r="G418" i="9"/>
  <c r="F418" i="9"/>
  <c r="E418" i="9"/>
  <c r="D418" i="9"/>
  <c r="C418" i="9"/>
  <c r="B418" i="9"/>
  <c r="P417" i="9"/>
  <c r="O417" i="9"/>
  <c r="N417" i="9"/>
  <c r="M417" i="9"/>
  <c r="L417" i="9"/>
  <c r="K417" i="9"/>
  <c r="J417" i="9"/>
  <c r="I417" i="9"/>
  <c r="H417" i="9"/>
  <c r="G417" i="9"/>
  <c r="F417" i="9"/>
  <c r="E417" i="9"/>
  <c r="D417" i="9"/>
  <c r="C417" i="9"/>
  <c r="B417" i="9"/>
  <c r="P416" i="9"/>
  <c r="O416" i="9"/>
  <c r="N416" i="9"/>
  <c r="M416" i="9"/>
  <c r="L416" i="9"/>
  <c r="K416" i="9"/>
  <c r="J416" i="9"/>
  <c r="I416" i="9"/>
  <c r="H416" i="9"/>
  <c r="G416" i="9"/>
  <c r="F416" i="9"/>
  <c r="E416" i="9"/>
  <c r="D416" i="9"/>
  <c r="C416" i="9"/>
  <c r="B416" i="9"/>
  <c r="P415" i="9"/>
  <c r="O415" i="9"/>
  <c r="N415" i="9"/>
  <c r="M415" i="9"/>
  <c r="L415" i="9"/>
  <c r="K415" i="9"/>
  <c r="J415" i="9"/>
  <c r="I415" i="9"/>
  <c r="H415" i="9"/>
  <c r="G415" i="9"/>
  <c r="F415" i="9"/>
  <c r="E415" i="9"/>
  <c r="D415" i="9"/>
  <c r="C415" i="9"/>
  <c r="B415" i="9"/>
  <c r="P414" i="9"/>
  <c r="O414" i="9"/>
  <c r="N414" i="9"/>
  <c r="M414" i="9"/>
  <c r="L414" i="9"/>
  <c r="K414" i="9"/>
  <c r="J414" i="9"/>
  <c r="I414" i="9"/>
  <c r="H414" i="9"/>
  <c r="G414" i="9"/>
  <c r="F414" i="9"/>
  <c r="E414" i="9"/>
  <c r="D414" i="9"/>
  <c r="C414" i="9"/>
  <c r="B414" i="9"/>
  <c r="P413" i="9"/>
  <c r="O413" i="9"/>
  <c r="N413" i="9"/>
  <c r="M413" i="9"/>
  <c r="L413" i="9"/>
  <c r="K413" i="9"/>
  <c r="J413" i="9"/>
  <c r="I413" i="9"/>
  <c r="H413" i="9"/>
  <c r="G413" i="9"/>
  <c r="F413" i="9"/>
  <c r="E413" i="9"/>
  <c r="D413" i="9"/>
  <c r="C413" i="9"/>
  <c r="B413" i="9"/>
  <c r="P412" i="9"/>
  <c r="O412" i="9"/>
  <c r="N412" i="9"/>
  <c r="M412" i="9"/>
  <c r="L412" i="9"/>
  <c r="K412" i="9"/>
  <c r="J412" i="9"/>
  <c r="I412" i="9"/>
  <c r="H412" i="9"/>
  <c r="G412" i="9"/>
  <c r="F412" i="9"/>
  <c r="E412" i="9"/>
  <c r="D412" i="9"/>
  <c r="C412" i="9"/>
  <c r="B412" i="9"/>
  <c r="P411" i="9"/>
  <c r="O411" i="9"/>
  <c r="N411" i="9"/>
  <c r="M411" i="9"/>
  <c r="L411" i="9"/>
  <c r="K411" i="9"/>
  <c r="J411" i="9"/>
  <c r="I411" i="9"/>
  <c r="H411" i="9"/>
  <c r="G411" i="9"/>
  <c r="F411" i="9"/>
  <c r="E411" i="9"/>
  <c r="D411" i="9"/>
  <c r="C411" i="9"/>
  <c r="B411" i="9"/>
  <c r="P410" i="9"/>
  <c r="O410" i="9"/>
  <c r="N410" i="9"/>
  <c r="M410" i="9"/>
  <c r="L410" i="9"/>
  <c r="K410" i="9"/>
  <c r="J410" i="9"/>
  <c r="I410" i="9"/>
  <c r="H410" i="9"/>
  <c r="G410" i="9"/>
  <c r="F410" i="9"/>
  <c r="E410" i="9"/>
  <c r="D410" i="9"/>
  <c r="C410" i="9"/>
  <c r="B410" i="9"/>
  <c r="P409" i="9"/>
  <c r="O409" i="9"/>
  <c r="N409" i="9"/>
  <c r="M409" i="9"/>
  <c r="L409" i="9"/>
  <c r="K409" i="9"/>
  <c r="J409" i="9"/>
  <c r="I409" i="9"/>
  <c r="H409" i="9"/>
  <c r="G409" i="9"/>
  <c r="F409" i="9"/>
  <c r="E409" i="9"/>
  <c r="D409" i="9"/>
  <c r="C409" i="9"/>
  <c r="B409" i="9"/>
  <c r="P408" i="9"/>
  <c r="O408" i="9"/>
  <c r="N408" i="9"/>
  <c r="M408" i="9"/>
  <c r="L408" i="9"/>
  <c r="K408" i="9"/>
  <c r="J408" i="9"/>
  <c r="I408" i="9"/>
  <c r="H408" i="9"/>
  <c r="G408" i="9"/>
  <c r="F408" i="9"/>
  <c r="E408" i="9"/>
  <c r="D408" i="9"/>
  <c r="C408" i="9"/>
  <c r="B408" i="9"/>
  <c r="P407" i="9"/>
  <c r="O407" i="9"/>
  <c r="N407" i="9"/>
  <c r="M407" i="9"/>
  <c r="L407" i="9"/>
  <c r="K407" i="9"/>
  <c r="J407" i="9"/>
  <c r="I407" i="9"/>
  <c r="H407" i="9"/>
  <c r="G407" i="9"/>
  <c r="F407" i="9"/>
  <c r="E407" i="9"/>
  <c r="D407" i="9"/>
  <c r="C407" i="9"/>
  <c r="B407" i="9"/>
  <c r="P406" i="9"/>
  <c r="O406" i="9"/>
  <c r="N406" i="9"/>
  <c r="M406" i="9"/>
  <c r="L406" i="9"/>
  <c r="K406" i="9"/>
  <c r="J406" i="9"/>
  <c r="I406" i="9"/>
  <c r="H406" i="9"/>
  <c r="G406" i="9"/>
  <c r="F406" i="9"/>
  <c r="E406" i="9"/>
  <c r="D406" i="9"/>
  <c r="C406" i="9"/>
  <c r="B406" i="9"/>
  <c r="P405" i="9"/>
  <c r="O405" i="9"/>
  <c r="N405" i="9"/>
  <c r="M405" i="9"/>
  <c r="L405" i="9"/>
  <c r="K405" i="9"/>
  <c r="J405" i="9"/>
  <c r="I405" i="9"/>
  <c r="H405" i="9"/>
  <c r="G405" i="9"/>
  <c r="F405" i="9"/>
  <c r="E405" i="9"/>
  <c r="D405" i="9"/>
  <c r="C405" i="9"/>
  <c r="B405" i="9"/>
  <c r="P404" i="9"/>
  <c r="O404" i="9"/>
  <c r="N404" i="9"/>
  <c r="M404" i="9"/>
  <c r="L404" i="9"/>
  <c r="K404" i="9"/>
  <c r="J404" i="9"/>
  <c r="I404" i="9"/>
  <c r="H404" i="9"/>
  <c r="G404" i="9"/>
  <c r="F404" i="9"/>
  <c r="E404" i="9"/>
  <c r="D404" i="9"/>
  <c r="C404" i="9"/>
  <c r="B404" i="9"/>
  <c r="P403" i="9"/>
  <c r="O403" i="9"/>
  <c r="N403" i="9"/>
  <c r="M403" i="9"/>
  <c r="L403" i="9"/>
  <c r="K403" i="9"/>
  <c r="J403" i="9"/>
  <c r="I403" i="9"/>
  <c r="H403" i="9"/>
  <c r="G403" i="9"/>
  <c r="F403" i="9"/>
  <c r="E403" i="9"/>
  <c r="D403" i="9"/>
  <c r="C403" i="9"/>
  <c r="B403" i="9"/>
  <c r="P402" i="9"/>
  <c r="O402" i="9"/>
  <c r="N402" i="9"/>
  <c r="M402" i="9"/>
  <c r="L402" i="9"/>
  <c r="K402" i="9"/>
  <c r="J402" i="9"/>
  <c r="I402" i="9"/>
  <c r="H402" i="9"/>
  <c r="G402" i="9"/>
  <c r="F402" i="9"/>
  <c r="E402" i="9"/>
  <c r="D402" i="9"/>
  <c r="C402" i="9"/>
  <c r="B402" i="9"/>
  <c r="P401" i="9"/>
  <c r="O401" i="9"/>
  <c r="N401" i="9"/>
  <c r="M401" i="9"/>
  <c r="L401" i="9"/>
  <c r="K401" i="9"/>
  <c r="J401" i="9"/>
  <c r="I401" i="9"/>
  <c r="H401" i="9"/>
  <c r="G401" i="9"/>
  <c r="F401" i="9"/>
  <c r="E401" i="9"/>
  <c r="D401" i="9"/>
  <c r="C401" i="9"/>
  <c r="B401" i="9"/>
  <c r="P400" i="9"/>
  <c r="O400" i="9"/>
  <c r="N400" i="9"/>
  <c r="M400" i="9"/>
  <c r="L400" i="9"/>
  <c r="K400" i="9"/>
  <c r="J400" i="9"/>
  <c r="I400" i="9"/>
  <c r="H400" i="9"/>
  <c r="G400" i="9"/>
  <c r="F400" i="9"/>
  <c r="E400" i="9"/>
  <c r="D400" i="9"/>
  <c r="C400" i="9"/>
  <c r="B400" i="9"/>
  <c r="P399" i="9"/>
  <c r="O399" i="9"/>
  <c r="N399" i="9"/>
  <c r="M399" i="9"/>
  <c r="L399" i="9"/>
  <c r="K399" i="9"/>
  <c r="J399" i="9"/>
  <c r="I399" i="9"/>
  <c r="H399" i="9"/>
  <c r="G399" i="9"/>
  <c r="F399" i="9"/>
  <c r="E399" i="9"/>
  <c r="D399" i="9"/>
  <c r="C399" i="9"/>
  <c r="B399" i="9"/>
  <c r="P398" i="9"/>
  <c r="O398" i="9"/>
  <c r="N398" i="9"/>
  <c r="M398" i="9"/>
  <c r="L398" i="9"/>
  <c r="K398" i="9"/>
  <c r="J398" i="9"/>
  <c r="I398" i="9"/>
  <c r="H398" i="9"/>
  <c r="G398" i="9"/>
  <c r="F398" i="9"/>
  <c r="E398" i="9"/>
  <c r="D398" i="9"/>
  <c r="C398" i="9"/>
  <c r="B398" i="9"/>
  <c r="P397" i="9"/>
  <c r="O397" i="9"/>
  <c r="N397" i="9"/>
  <c r="M397" i="9"/>
  <c r="L397" i="9"/>
  <c r="K397" i="9"/>
  <c r="J397" i="9"/>
  <c r="I397" i="9"/>
  <c r="H397" i="9"/>
  <c r="G397" i="9"/>
  <c r="F397" i="9"/>
  <c r="E397" i="9"/>
  <c r="D397" i="9"/>
  <c r="C397" i="9"/>
  <c r="B397" i="9"/>
  <c r="P396" i="9"/>
  <c r="O396" i="9"/>
  <c r="N396" i="9"/>
  <c r="M396" i="9"/>
  <c r="L396" i="9"/>
  <c r="K396" i="9"/>
  <c r="J396" i="9"/>
  <c r="I396" i="9"/>
  <c r="H396" i="9"/>
  <c r="G396" i="9"/>
  <c r="F396" i="9"/>
  <c r="E396" i="9"/>
  <c r="D396" i="9"/>
  <c r="C396" i="9"/>
  <c r="B396" i="9"/>
  <c r="P395" i="9"/>
  <c r="O395" i="9"/>
  <c r="N395" i="9"/>
  <c r="M395" i="9"/>
  <c r="L395" i="9"/>
  <c r="K395" i="9"/>
  <c r="J395" i="9"/>
  <c r="I395" i="9"/>
  <c r="H395" i="9"/>
  <c r="G395" i="9"/>
  <c r="F395" i="9"/>
  <c r="E395" i="9"/>
  <c r="D395" i="9"/>
  <c r="C395" i="9"/>
  <c r="B395" i="9"/>
  <c r="P394" i="9"/>
  <c r="O394" i="9"/>
  <c r="N394" i="9"/>
  <c r="M394" i="9"/>
  <c r="L394" i="9"/>
  <c r="K394" i="9"/>
  <c r="J394" i="9"/>
  <c r="I394" i="9"/>
  <c r="H394" i="9"/>
  <c r="G394" i="9"/>
  <c r="F394" i="9"/>
  <c r="E394" i="9"/>
  <c r="D394" i="9"/>
  <c r="C394" i="9"/>
  <c r="B394" i="9"/>
  <c r="P393" i="9"/>
  <c r="O393" i="9"/>
  <c r="N393" i="9"/>
  <c r="M393" i="9"/>
  <c r="L393" i="9"/>
  <c r="K393" i="9"/>
  <c r="J393" i="9"/>
  <c r="I393" i="9"/>
  <c r="H393" i="9"/>
  <c r="G393" i="9"/>
  <c r="F393" i="9"/>
  <c r="E393" i="9"/>
  <c r="D393" i="9"/>
  <c r="C393" i="9"/>
  <c r="B393" i="9"/>
  <c r="P392" i="9"/>
  <c r="O392" i="9"/>
  <c r="N392" i="9"/>
  <c r="M392" i="9"/>
  <c r="L392" i="9"/>
  <c r="K392" i="9"/>
  <c r="J392" i="9"/>
  <c r="I392" i="9"/>
  <c r="H392" i="9"/>
  <c r="G392" i="9"/>
  <c r="F392" i="9"/>
  <c r="E392" i="9"/>
  <c r="D392" i="9"/>
  <c r="C392" i="9"/>
  <c r="B392" i="9"/>
  <c r="P391" i="9"/>
  <c r="O391" i="9"/>
  <c r="N391" i="9"/>
  <c r="M391" i="9"/>
  <c r="L391" i="9"/>
  <c r="K391" i="9"/>
  <c r="J391" i="9"/>
  <c r="I391" i="9"/>
  <c r="H391" i="9"/>
  <c r="G391" i="9"/>
  <c r="F391" i="9"/>
  <c r="E391" i="9"/>
  <c r="D391" i="9"/>
  <c r="C391" i="9"/>
  <c r="B391" i="9"/>
  <c r="P390" i="9"/>
  <c r="O390" i="9"/>
  <c r="N390" i="9"/>
  <c r="M390" i="9"/>
  <c r="L390" i="9"/>
  <c r="K390" i="9"/>
  <c r="J390" i="9"/>
  <c r="I390" i="9"/>
  <c r="H390" i="9"/>
  <c r="G390" i="9"/>
  <c r="F390" i="9"/>
  <c r="E390" i="9"/>
  <c r="D390" i="9"/>
  <c r="C390" i="9"/>
  <c r="B390" i="9"/>
  <c r="P389" i="9"/>
  <c r="O389" i="9"/>
  <c r="N389" i="9"/>
  <c r="M389" i="9"/>
  <c r="L389" i="9"/>
  <c r="K389" i="9"/>
  <c r="J389" i="9"/>
  <c r="I389" i="9"/>
  <c r="H389" i="9"/>
  <c r="G389" i="9"/>
  <c r="F389" i="9"/>
  <c r="E389" i="9"/>
  <c r="D389" i="9"/>
  <c r="C389" i="9"/>
  <c r="B389" i="9"/>
  <c r="P388" i="9"/>
  <c r="O388" i="9"/>
  <c r="N388" i="9"/>
  <c r="M388" i="9"/>
  <c r="L388" i="9"/>
  <c r="K388" i="9"/>
  <c r="J388" i="9"/>
  <c r="I388" i="9"/>
  <c r="H388" i="9"/>
  <c r="G388" i="9"/>
  <c r="F388" i="9"/>
  <c r="E388" i="9"/>
  <c r="D388" i="9"/>
  <c r="C388" i="9"/>
  <c r="B388" i="9"/>
  <c r="P387" i="9"/>
  <c r="O387" i="9"/>
  <c r="N387" i="9"/>
  <c r="M387" i="9"/>
  <c r="L387" i="9"/>
  <c r="K387" i="9"/>
  <c r="J387" i="9"/>
  <c r="I387" i="9"/>
  <c r="H387" i="9"/>
  <c r="G387" i="9"/>
  <c r="F387" i="9"/>
  <c r="E387" i="9"/>
  <c r="D387" i="9"/>
  <c r="C387" i="9"/>
  <c r="B387" i="9"/>
  <c r="P386" i="9"/>
  <c r="O386" i="9"/>
  <c r="N386" i="9"/>
  <c r="M386" i="9"/>
  <c r="L386" i="9"/>
  <c r="K386" i="9"/>
  <c r="J386" i="9"/>
  <c r="I386" i="9"/>
  <c r="H386" i="9"/>
  <c r="G386" i="9"/>
  <c r="F386" i="9"/>
  <c r="E386" i="9"/>
  <c r="D386" i="9"/>
  <c r="C386" i="9"/>
  <c r="B386" i="9"/>
  <c r="P385" i="9"/>
  <c r="O385" i="9"/>
  <c r="N385" i="9"/>
  <c r="M385" i="9"/>
  <c r="L385" i="9"/>
  <c r="K385" i="9"/>
  <c r="J385" i="9"/>
  <c r="I385" i="9"/>
  <c r="H385" i="9"/>
  <c r="G385" i="9"/>
  <c r="F385" i="9"/>
  <c r="E385" i="9"/>
  <c r="D385" i="9"/>
  <c r="C385" i="9"/>
  <c r="B385" i="9"/>
  <c r="P384" i="9"/>
  <c r="O384" i="9"/>
  <c r="N384" i="9"/>
  <c r="M384" i="9"/>
  <c r="L384" i="9"/>
  <c r="K384" i="9"/>
  <c r="J384" i="9"/>
  <c r="I384" i="9"/>
  <c r="H384" i="9"/>
  <c r="G384" i="9"/>
  <c r="F384" i="9"/>
  <c r="E384" i="9"/>
  <c r="D384" i="9"/>
  <c r="C384" i="9"/>
  <c r="B384" i="9"/>
  <c r="P383" i="9"/>
  <c r="O383" i="9"/>
  <c r="N383" i="9"/>
  <c r="M383" i="9"/>
  <c r="L383" i="9"/>
  <c r="K383" i="9"/>
  <c r="J383" i="9"/>
  <c r="I383" i="9"/>
  <c r="H383" i="9"/>
  <c r="G383" i="9"/>
  <c r="F383" i="9"/>
  <c r="E383" i="9"/>
  <c r="D383" i="9"/>
  <c r="C383" i="9"/>
  <c r="B383" i="9"/>
  <c r="P382" i="9"/>
  <c r="O382" i="9"/>
  <c r="N382" i="9"/>
  <c r="M382" i="9"/>
  <c r="L382" i="9"/>
  <c r="K382" i="9"/>
  <c r="J382" i="9"/>
  <c r="I382" i="9"/>
  <c r="H382" i="9"/>
  <c r="G382" i="9"/>
  <c r="F382" i="9"/>
  <c r="E382" i="9"/>
  <c r="D382" i="9"/>
  <c r="C382" i="9"/>
  <c r="B382" i="9"/>
  <c r="P381" i="9"/>
  <c r="O381" i="9"/>
  <c r="N381" i="9"/>
  <c r="M381" i="9"/>
  <c r="L381" i="9"/>
  <c r="K381" i="9"/>
  <c r="J381" i="9"/>
  <c r="I381" i="9"/>
  <c r="H381" i="9"/>
  <c r="G381" i="9"/>
  <c r="F381" i="9"/>
  <c r="E381" i="9"/>
  <c r="D381" i="9"/>
  <c r="C381" i="9"/>
  <c r="B381" i="9"/>
  <c r="P380" i="9"/>
  <c r="O380" i="9"/>
  <c r="N380" i="9"/>
  <c r="M380" i="9"/>
  <c r="L380" i="9"/>
  <c r="K380" i="9"/>
  <c r="J380" i="9"/>
  <c r="I380" i="9"/>
  <c r="H380" i="9"/>
  <c r="G380" i="9"/>
  <c r="F380" i="9"/>
  <c r="E380" i="9"/>
  <c r="D380" i="9"/>
  <c r="C380" i="9"/>
  <c r="B380" i="9"/>
  <c r="P379" i="9"/>
  <c r="O379" i="9"/>
  <c r="N379" i="9"/>
  <c r="M379" i="9"/>
  <c r="L379" i="9"/>
  <c r="K379" i="9"/>
  <c r="J379" i="9"/>
  <c r="I379" i="9"/>
  <c r="H379" i="9"/>
  <c r="G379" i="9"/>
  <c r="F379" i="9"/>
  <c r="E379" i="9"/>
  <c r="D379" i="9"/>
  <c r="C379" i="9"/>
  <c r="B379" i="9"/>
  <c r="P378" i="9"/>
  <c r="O378" i="9"/>
  <c r="N378" i="9"/>
  <c r="M378" i="9"/>
  <c r="L378" i="9"/>
  <c r="K378" i="9"/>
  <c r="J378" i="9"/>
  <c r="I378" i="9"/>
  <c r="H378" i="9"/>
  <c r="G378" i="9"/>
  <c r="F378" i="9"/>
  <c r="E378" i="9"/>
  <c r="D378" i="9"/>
  <c r="C378" i="9"/>
  <c r="B378" i="9"/>
  <c r="P377" i="9"/>
  <c r="O377" i="9"/>
  <c r="N377" i="9"/>
  <c r="M377" i="9"/>
  <c r="L377" i="9"/>
  <c r="K377" i="9"/>
  <c r="J377" i="9"/>
  <c r="I377" i="9"/>
  <c r="H377" i="9"/>
  <c r="G377" i="9"/>
  <c r="F377" i="9"/>
  <c r="E377" i="9"/>
  <c r="D377" i="9"/>
  <c r="C377" i="9"/>
  <c r="B377" i="9"/>
  <c r="P376" i="9"/>
  <c r="O376" i="9"/>
  <c r="N376" i="9"/>
  <c r="M376" i="9"/>
  <c r="L376" i="9"/>
  <c r="K376" i="9"/>
  <c r="J376" i="9"/>
  <c r="I376" i="9"/>
  <c r="H376" i="9"/>
  <c r="G376" i="9"/>
  <c r="F376" i="9"/>
  <c r="E376" i="9"/>
  <c r="D376" i="9"/>
  <c r="C376" i="9"/>
  <c r="B376" i="9"/>
  <c r="P375" i="9"/>
  <c r="O375" i="9"/>
  <c r="N375" i="9"/>
  <c r="M375" i="9"/>
  <c r="L375" i="9"/>
  <c r="K375" i="9"/>
  <c r="J375" i="9"/>
  <c r="I375" i="9"/>
  <c r="H375" i="9"/>
  <c r="G375" i="9"/>
  <c r="F375" i="9"/>
  <c r="E375" i="9"/>
  <c r="D375" i="9"/>
  <c r="C375" i="9"/>
  <c r="B375" i="9"/>
  <c r="P374" i="9"/>
  <c r="O374" i="9"/>
  <c r="N374" i="9"/>
  <c r="M374" i="9"/>
  <c r="L374" i="9"/>
  <c r="K374" i="9"/>
  <c r="J374" i="9"/>
  <c r="I374" i="9"/>
  <c r="H374" i="9"/>
  <c r="G374" i="9"/>
  <c r="F374" i="9"/>
  <c r="E374" i="9"/>
  <c r="D374" i="9"/>
  <c r="C374" i="9"/>
  <c r="B374" i="9"/>
  <c r="P373" i="9"/>
  <c r="O373" i="9"/>
  <c r="N373" i="9"/>
  <c r="M373" i="9"/>
  <c r="L373" i="9"/>
  <c r="K373" i="9"/>
  <c r="J373" i="9"/>
  <c r="I373" i="9"/>
  <c r="H373" i="9"/>
  <c r="G373" i="9"/>
  <c r="F373" i="9"/>
  <c r="E373" i="9"/>
  <c r="D373" i="9"/>
  <c r="C373" i="9"/>
  <c r="B373" i="9"/>
  <c r="P372" i="9"/>
  <c r="O372" i="9"/>
  <c r="N372" i="9"/>
  <c r="M372" i="9"/>
  <c r="L372" i="9"/>
  <c r="K372" i="9"/>
  <c r="J372" i="9"/>
  <c r="I372" i="9"/>
  <c r="H372" i="9"/>
  <c r="G372" i="9"/>
  <c r="F372" i="9"/>
  <c r="E372" i="9"/>
  <c r="D372" i="9"/>
  <c r="C372" i="9"/>
  <c r="B372" i="9"/>
  <c r="P371" i="9"/>
  <c r="O371" i="9"/>
  <c r="N371" i="9"/>
  <c r="M371" i="9"/>
  <c r="L371" i="9"/>
  <c r="K371" i="9"/>
  <c r="J371" i="9"/>
  <c r="I371" i="9"/>
  <c r="H371" i="9"/>
  <c r="G371" i="9"/>
  <c r="F371" i="9"/>
  <c r="E371" i="9"/>
  <c r="D371" i="9"/>
  <c r="C371" i="9"/>
  <c r="B371" i="9"/>
  <c r="P370" i="9"/>
  <c r="O370" i="9"/>
  <c r="N370" i="9"/>
  <c r="M370" i="9"/>
  <c r="L370" i="9"/>
  <c r="K370" i="9"/>
  <c r="J370" i="9"/>
  <c r="I370" i="9"/>
  <c r="H370" i="9"/>
  <c r="G370" i="9"/>
  <c r="F370" i="9"/>
  <c r="E370" i="9"/>
  <c r="D370" i="9"/>
  <c r="C370" i="9"/>
  <c r="B370" i="9"/>
  <c r="P369" i="9"/>
  <c r="O369" i="9"/>
  <c r="N369" i="9"/>
  <c r="M369" i="9"/>
  <c r="L369" i="9"/>
  <c r="K369" i="9"/>
  <c r="J369" i="9"/>
  <c r="I369" i="9"/>
  <c r="H369" i="9"/>
  <c r="G369" i="9"/>
  <c r="F369" i="9"/>
  <c r="E369" i="9"/>
  <c r="D369" i="9"/>
  <c r="C369" i="9"/>
  <c r="B369" i="9"/>
  <c r="P368" i="9"/>
  <c r="O368" i="9"/>
  <c r="N368" i="9"/>
  <c r="M368" i="9"/>
  <c r="L368" i="9"/>
  <c r="K368" i="9"/>
  <c r="J368" i="9"/>
  <c r="I368" i="9"/>
  <c r="H368" i="9"/>
  <c r="G368" i="9"/>
  <c r="F368" i="9"/>
  <c r="E368" i="9"/>
  <c r="D368" i="9"/>
  <c r="C368" i="9"/>
  <c r="B368" i="9"/>
  <c r="P367" i="9"/>
  <c r="O367" i="9"/>
  <c r="N367" i="9"/>
  <c r="M367" i="9"/>
  <c r="L367" i="9"/>
  <c r="K367" i="9"/>
  <c r="J367" i="9"/>
  <c r="I367" i="9"/>
  <c r="H367" i="9"/>
  <c r="G367" i="9"/>
  <c r="F367" i="9"/>
  <c r="E367" i="9"/>
  <c r="D367" i="9"/>
  <c r="C367" i="9"/>
  <c r="B367" i="9"/>
  <c r="P366" i="9"/>
  <c r="O366" i="9"/>
  <c r="N366" i="9"/>
  <c r="M366" i="9"/>
  <c r="L366" i="9"/>
  <c r="K366" i="9"/>
  <c r="J366" i="9"/>
  <c r="I366" i="9"/>
  <c r="H366" i="9"/>
  <c r="G366" i="9"/>
  <c r="F366" i="9"/>
  <c r="E366" i="9"/>
  <c r="D366" i="9"/>
  <c r="C366" i="9"/>
  <c r="B366" i="9"/>
  <c r="P365" i="9"/>
  <c r="O365" i="9"/>
  <c r="N365" i="9"/>
  <c r="M365" i="9"/>
  <c r="L365" i="9"/>
  <c r="K365" i="9"/>
  <c r="J365" i="9"/>
  <c r="I365" i="9"/>
  <c r="H365" i="9"/>
  <c r="G365" i="9"/>
  <c r="F365" i="9"/>
  <c r="E365" i="9"/>
  <c r="D365" i="9"/>
  <c r="C365" i="9"/>
  <c r="B365" i="9"/>
  <c r="P364" i="9"/>
  <c r="O364" i="9"/>
  <c r="N364" i="9"/>
  <c r="M364" i="9"/>
  <c r="L364" i="9"/>
  <c r="K364" i="9"/>
  <c r="J364" i="9"/>
  <c r="I364" i="9"/>
  <c r="H364" i="9"/>
  <c r="G364" i="9"/>
  <c r="F364" i="9"/>
  <c r="E364" i="9"/>
  <c r="D364" i="9"/>
  <c r="C364" i="9"/>
  <c r="B364" i="9"/>
  <c r="P363" i="9"/>
  <c r="O363" i="9"/>
  <c r="N363" i="9"/>
  <c r="M363" i="9"/>
  <c r="L363" i="9"/>
  <c r="K363" i="9"/>
  <c r="J363" i="9"/>
  <c r="I363" i="9"/>
  <c r="H363" i="9"/>
  <c r="G363" i="9"/>
  <c r="F363" i="9"/>
  <c r="E363" i="9"/>
  <c r="D363" i="9"/>
  <c r="C363" i="9"/>
  <c r="B363" i="9"/>
  <c r="P362" i="9"/>
  <c r="O362" i="9"/>
  <c r="N362" i="9"/>
  <c r="M362" i="9"/>
  <c r="L362" i="9"/>
  <c r="K362" i="9"/>
  <c r="J362" i="9"/>
  <c r="I362" i="9"/>
  <c r="H362" i="9"/>
  <c r="G362" i="9"/>
  <c r="F362" i="9"/>
  <c r="E362" i="9"/>
  <c r="D362" i="9"/>
  <c r="C362" i="9"/>
  <c r="B362" i="9"/>
  <c r="P361" i="9"/>
  <c r="O361" i="9"/>
  <c r="N361" i="9"/>
  <c r="M361" i="9"/>
  <c r="L361" i="9"/>
  <c r="K361" i="9"/>
  <c r="J361" i="9"/>
  <c r="I361" i="9"/>
  <c r="H361" i="9"/>
  <c r="G361" i="9"/>
  <c r="F361" i="9"/>
  <c r="E361" i="9"/>
  <c r="D361" i="9"/>
  <c r="C361" i="9"/>
  <c r="B361" i="9"/>
  <c r="P360" i="9"/>
  <c r="O360" i="9"/>
  <c r="N360" i="9"/>
  <c r="M360" i="9"/>
  <c r="L360" i="9"/>
  <c r="K360" i="9"/>
  <c r="J360" i="9"/>
  <c r="I360" i="9"/>
  <c r="H360" i="9"/>
  <c r="G360" i="9"/>
  <c r="F360" i="9"/>
  <c r="E360" i="9"/>
  <c r="D360" i="9"/>
  <c r="C360" i="9"/>
  <c r="B360" i="9"/>
  <c r="P359" i="9"/>
  <c r="O359" i="9"/>
  <c r="N359" i="9"/>
  <c r="M359" i="9"/>
  <c r="L359" i="9"/>
  <c r="K359" i="9"/>
  <c r="J359" i="9"/>
  <c r="I359" i="9"/>
  <c r="H359" i="9"/>
  <c r="G359" i="9"/>
  <c r="F359" i="9"/>
  <c r="E359" i="9"/>
  <c r="D359" i="9"/>
  <c r="C359" i="9"/>
  <c r="B359" i="9"/>
  <c r="P358" i="9"/>
  <c r="O358" i="9"/>
  <c r="N358" i="9"/>
  <c r="M358" i="9"/>
  <c r="L358" i="9"/>
  <c r="K358" i="9"/>
  <c r="J358" i="9"/>
  <c r="I358" i="9"/>
  <c r="H358" i="9"/>
  <c r="G358" i="9"/>
  <c r="F358" i="9"/>
  <c r="E358" i="9"/>
  <c r="D358" i="9"/>
  <c r="C358" i="9"/>
  <c r="B358" i="9"/>
  <c r="P357" i="9"/>
  <c r="O357" i="9"/>
  <c r="N357" i="9"/>
  <c r="M357" i="9"/>
  <c r="L357" i="9"/>
  <c r="K357" i="9"/>
  <c r="J357" i="9"/>
  <c r="I357" i="9"/>
  <c r="H357" i="9"/>
  <c r="G357" i="9"/>
  <c r="F357" i="9"/>
  <c r="E357" i="9"/>
  <c r="D357" i="9"/>
  <c r="C357" i="9"/>
  <c r="B357" i="9"/>
  <c r="P356" i="9"/>
  <c r="O356" i="9"/>
  <c r="N356" i="9"/>
  <c r="M356" i="9"/>
  <c r="L356" i="9"/>
  <c r="K356" i="9"/>
  <c r="J356" i="9"/>
  <c r="I356" i="9"/>
  <c r="H356" i="9"/>
  <c r="G356" i="9"/>
  <c r="F356" i="9"/>
  <c r="E356" i="9"/>
  <c r="D356" i="9"/>
  <c r="C356" i="9"/>
  <c r="B356" i="9"/>
  <c r="P355" i="9"/>
  <c r="O355" i="9"/>
  <c r="N355" i="9"/>
  <c r="M355" i="9"/>
  <c r="L355" i="9"/>
  <c r="K355" i="9"/>
  <c r="J355" i="9"/>
  <c r="I355" i="9"/>
  <c r="H355" i="9"/>
  <c r="G355" i="9"/>
  <c r="F355" i="9"/>
  <c r="E355" i="9"/>
  <c r="D355" i="9"/>
  <c r="C355" i="9"/>
  <c r="B355" i="9"/>
  <c r="P354" i="9"/>
  <c r="O354" i="9"/>
  <c r="N354" i="9"/>
  <c r="M354" i="9"/>
  <c r="L354" i="9"/>
  <c r="K354" i="9"/>
  <c r="J354" i="9"/>
  <c r="I354" i="9"/>
  <c r="H354" i="9"/>
  <c r="G354" i="9"/>
  <c r="F354" i="9"/>
  <c r="E354" i="9"/>
  <c r="D354" i="9"/>
  <c r="C354" i="9"/>
  <c r="B354" i="9"/>
  <c r="P353" i="9"/>
  <c r="O353" i="9"/>
  <c r="N353" i="9"/>
  <c r="M353" i="9"/>
  <c r="L353" i="9"/>
  <c r="K353" i="9"/>
  <c r="J353" i="9"/>
  <c r="I353" i="9"/>
  <c r="H353" i="9"/>
  <c r="G353" i="9"/>
  <c r="F353" i="9"/>
  <c r="E353" i="9"/>
  <c r="D353" i="9"/>
  <c r="C353" i="9"/>
  <c r="B353" i="9"/>
  <c r="P352" i="9"/>
  <c r="O352" i="9"/>
  <c r="N352" i="9"/>
  <c r="M352" i="9"/>
  <c r="L352" i="9"/>
  <c r="K352" i="9"/>
  <c r="J352" i="9"/>
  <c r="I352" i="9"/>
  <c r="H352" i="9"/>
  <c r="G352" i="9"/>
  <c r="F352" i="9"/>
  <c r="E352" i="9"/>
  <c r="D352" i="9"/>
  <c r="C352" i="9"/>
  <c r="B352" i="9"/>
  <c r="P351" i="9"/>
  <c r="O351" i="9"/>
  <c r="N351" i="9"/>
  <c r="M351" i="9"/>
  <c r="L351" i="9"/>
  <c r="K351" i="9"/>
  <c r="J351" i="9"/>
  <c r="I351" i="9"/>
  <c r="H351" i="9"/>
  <c r="G351" i="9"/>
  <c r="F351" i="9"/>
  <c r="E351" i="9"/>
  <c r="D351" i="9"/>
  <c r="C351" i="9"/>
  <c r="B351" i="9"/>
  <c r="P350" i="9"/>
  <c r="O350" i="9"/>
  <c r="N350" i="9"/>
  <c r="M350" i="9"/>
  <c r="L350" i="9"/>
  <c r="K350" i="9"/>
  <c r="J350" i="9"/>
  <c r="I350" i="9"/>
  <c r="H350" i="9"/>
  <c r="G350" i="9"/>
  <c r="F350" i="9"/>
  <c r="E350" i="9"/>
  <c r="D350" i="9"/>
  <c r="C350" i="9"/>
  <c r="B350" i="9"/>
  <c r="P349" i="9"/>
  <c r="O349" i="9"/>
  <c r="N349" i="9"/>
  <c r="M349" i="9"/>
  <c r="L349" i="9"/>
  <c r="K349" i="9"/>
  <c r="J349" i="9"/>
  <c r="I349" i="9"/>
  <c r="H349" i="9"/>
  <c r="G349" i="9"/>
  <c r="F349" i="9"/>
  <c r="E349" i="9"/>
  <c r="D349" i="9"/>
  <c r="C349" i="9"/>
  <c r="B349" i="9"/>
  <c r="P348" i="9"/>
  <c r="O348" i="9"/>
  <c r="N348" i="9"/>
  <c r="M348" i="9"/>
  <c r="L348" i="9"/>
  <c r="K348" i="9"/>
  <c r="J348" i="9"/>
  <c r="I348" i="9"/>
  <c r="H348" i="9"/>
  <c r="G348" i="9"/>
  <c r="F348" i="9"/>
  <c r="E348" i="9"/>
  <c r="D348" i="9"/>
  <c r="C348" i="9"/>
  <c r="B348" i="9"/>
  <c r="P347" i="9"/>
  <c r="O347" i="9"/>
  <c r="N347" i="9"/>
  <c r="M347" i="9"/>
  <c r="L347" i="9"/>
  <c r="K347" i="9"/>
  <c r="J347" i="9"/>
  <c r="I347" i="9"/>
  <c r="H347" i="9"/>
  <c r="G347" i="9"/>
  <c r="F347" i="9"/>
  <c r="E347" i="9"/>
  <c r="D347" i="9"/>
  <c r="C347" i="9"/>
  <c r="B347" i="9"/>
  <c r="P346" i="9"/>
  <c r="O346" i="9"/>
  <c r="N346" i="9"/>
  <c r="M346" i="9"/>
  <c r="L346" i="9"/>
  <c r="K346" i="9"/>
  <c r="J346" i="9"/>
  <c r="I346" i="9"/>
  <c r="H346" i="9"/>
  <c r="G346" i="9"/>
  <c r="F346" i="9"/>
  <c r="E346" i="9"/>
  <c r="D346" i="9"/>
  <c r="C346" i="9"/>
  <c r="B346" i="9"/>
  <c r="P345" i="9"/>
  <c r="O345" i="9"/>
  <c r="N345" i="9"/>
  <c r="M345" i="9"/>
  <c r="L345" i="9"/>
  <c r="K345" i="9"/>
  <c r="J345" i="9"/>
  <c r="I345" i="9"/>
  <c r="H345" i="9"/>
  <c r="G345" i="9"/>
  <c r="F345" i="9"/>
  <c r="E345" i="9"/>
  <c r="D345" i="9"/>
  <c r="C345" i="9"/>
  <c r="B345" i="9"/>
  <c r="P344" i="9"/>
  <c r="O344" i="9"/>
  <c r="N344" i="9"/>
  <c r="M344" i="9"/>
  <c r="L344" i="9"/>
  <c r="K344" i="9"/>
  <c r="J344" i="9"/>
  <c r="I344" i="9"/>
  <c r="H344" i="9"/>
  <c r="G344" i="9"/>
  <c r="F344" i="9"/>
  <c r="E344" i="9"/>
  <c r="D344" i="9"/>
  <c r="C344" i="9"/>
  <c r="B344" i="9"/>
  <c r="P343" i="9"/>
  <c r="O343" i="9"/>
  <c r="N343" i="9"/>
  <c r="M343" i="9"/>
  <c r="L343" i="9"/>
  <c r="K343" i="9"/>
  <c r="J343" i="9"/>
  <c r="I343" i="9"/>
  <c r="H343" i="9"/>
  <c r="G343" i="9"/>
  <c r="F343" i="9"/>
  <c r="E343" i="9"/>
  <c r="D343" i="9"/>
  <c r="C343" i="9"/>
  <c r="B343" i="9"/>
  <c r="P342" i="9"/>
  <c r="O342" i="9"/>
  <c r="N342" i="9"/>
  <c r="M342" i="9"/>
  <c r="L342" i="9"/>
  <c r="K342" i="9"/>
  <c r="J342" i="9"/>
  <c r="I342" i="9"/>
  <c r="H342" i="9"/>
  <c r="G342" i="9"/>
  <c r="F342" i="9"/>
  <c r="E342" i="9"/>
  <c r="D342" i="9"/>
  <c r="C342" i="9"/>
  <c r="B342" i="9"/>
  <c r="P341" i="9"/>
  <c r="O341" i="9"/>
  <c r="N341" i="9"/>
  <c r="M341" i="9"/>
  <c r="L341" i="9"/>
  <c r="K341" i="9"/>
  <c r="J341" i="9"/>
  <c r="I341" i="9"/>
  <c r="H341" i="9"/>
  <c r="G341" i="9"/>
  <c r="F341" i="9"/>
  <c r="E341" i="9"/>
  <c r="D341" i="9"/>
  <c r="C341" i="9"/>
  <c r="B341" i="9"/>
  <c r="P340" i="9"/>
  <c r="O340" i="9"/>
  <c r="N340" i="9"/>
  <c r="M340" i="9"/>
  <c r="L340" i="9"/>
  <c r="K340" i="9"/>
  <c r="J340" i="9"/>
  <c r="I340" i="9"/>
  <c r="H340" i="9"/>
  <c r="G340" i="9"/>
  <c r="F340" i="9"/>
  <c r="E340" i="9"/>
  <c r="D340" i="9"/>
  <c r="C340" i="9"/>
  <c r="B340" i="9"/>
  <c r="P339" i="9"/>
  <c r="O339" i="9"/>
  <c r="N339" i="9"/>
  <c r="M339" i="9"/>
  <c r="L339" i="9"/>
  <c r="K339" i="9"/>
  <c r="J339" i="9"/>
  <c r="I339" i="9"/>
  <c r="H339" i="9"/>
  <c r="G339" i="9"/>
  <c r="F339" i="9"/>
  <c r="E339" i="9"/>
  <c r="D339" i="9"/>
  <c r="C339" i="9"/>
  <c r="B339" i="9"/>
  <c r="P338" i="9"/>
  <c r="O338" i="9"/>
  <c r="N338" i="9"/>
  <c r="M338" i="9"/>
  <c r="L338" i="9"/>
  <c r="K338" i="9"/>
  <c r="J338" i="9"/>
  <c r="I338" i="9"/>
  <c r="H338" i="9"/>
  <c r="G338" i="9"/>
  <c r="F338" i="9"/>
  <c r="E338" i="9"/>
  <c r="D338" i="9"/>
  <c r="C338" i="9"/>
  <c r="B338" i="9"/>
  <c r="P337" i="9"/>
  <c r="O337" i="9"/>
  <c r="N337" i="9"/>
  <c r="M337" i="9"/>
  <c r="L337" i="9"/>
  <c r="K337" i="9"/>
  <c r="J337" i="9"/>
  <c r="I337" i="9"/>
  <c r="H337" i="9"/>
  <c r="G337" i="9"/>
  <c r="F337" i="9"/>
  <c r="E337" i="9"/>
  <c r="D337" i="9"/>
  <c r="C337" i="9"/>
  <c r="B337" i="9"/>
  <c r="P336" i="9"/>
  <c r="O336" i="9"/>
  <c r="N336" i="9"/>
  <c r="M336" i="9"/>
  <c r="L336" i="9"/>
  <c r="K336" i="9"/>
  <c r="J336" i="9"/>
  <c r="I336" i="9"/>
  <c r="H336" i="9"/>
  <c r="G336" i="9"/>
  <c r="F336" i="9"/>
  <c r="E336" i="9"/>
  <c r="D336" i="9"/>
  <c r="C336" i="9"/>
  <c r="B336" i="9"/>
  <c r="P335" i="9"/>
  <c r="O335" i="9"/>
  <c r="N335" i="9"/>
  <c r="M335" i="9"/>
  <c r="L335" i="9"/>
  <c r="K335" i="9"/>
  <c r="J335" i="9"/>
  <c r="I335" i="9"/>
  <c r="H335" i="9"/>
  <c r="G335" i="9"/>
  <c r="F335" i="9"/>
  <c r="E335" i="9"/>
  <c r="D335" i="9"/>
  <c r="C335" i="9"/>
  <c r="B335" i="9"/>
  <c r="P334" i="9"/>
  <c r="O334" i="9"/>
  <c r="N334" i="9"/>
  <c r="M334" i="9"/>
  <c r="L334" i="9"/>
  <c r="K334" i="9"/>
  <c r="J334" i="9"/>
  <c r="I334" i="9"/>
  <c r="H334" i="9"/>
  <c r="G334" i="9"/>
  <c r="F334" i="9"/>
  <c r="E334" i="9"/>
  <c r="D334" i="9"/>
  <c r="C334" i="9"/>
  <c r="B334" i="9"/>
  <c r="P333" i="9"/>
  <c r="O333" i="9"/>
  <c r="N333" i="9"/>
  <c r="M333" i="9"/>
  <c r="L333" i="9"/>
  <c r="K333" i="9"/>
  <c r="J333" i="9"/>
  <c r="I333" i="9"/>
  <c r="H333" i="9"/>
  <c r="G333" i="9"/>
  <c r="F333" i="9"/>
  <c r="E333" i="9"/>
  <c r="D333" i="9"/>
  <c r="C333" i="9"/>
  <c r="B333" i="9"/>
  <c r="P332" i="9"/>
  <c r="O332" i="9"/>
  <c r="N332" i="9"/>
  <c r="M332" i="9"/>
  <c r="L332" i="9"/>
  <c r="K332" i="9"/>
  <c r="J332" i="9"/>
  <c r="I332" i="9"/>
  <c r="H332" i="9"/>
  <c r="G332" i="9"/>
  <c r="F332" i="9"/>
  <c r="E332" i="9"/>
  <c r="D332" i="9"/>
  <c r="C332" i="9"/>
  <c r="B332" i="9"/>
  <c r="P331" i="9"/>
  <c r="O331" i="9"/>
  <c r="N331" i="9"/>
  <c r="M331" i="9"/>
  <c r="L331" i="9"/>
  <c r="K331" i="9"/>
  <c r="J331" i="9"/>
  <c r="I331" i="9"/>
  <c r="H331" i="9"/>
  <c r="G331" i="9"/>
  <c r="F331" i="9"/>
  <c r="E331" i="9"/>
  <c r="D331" i="9"/>
  <c r="C331" i="9"/>
  <c r="B331" i="9"/>
  <c r="P330" i="9"/>
  <c r="O330" i="9"/>
  <c r="N330" i="9"/>
  <c r="M330" i="9"/>
  <c r="L330" i="9"/>
  <c r="K330" i="9"/>
  <c r="J330" i="9"/>
  <c r="I330" i="9"/>
  <c r="H330" i="9"/>
  <c r="G330" i="9"/>
  <c r="F330" i="9"/>
  <c r="E330" i="9"/>
  <c r="D330" i="9"/>
  <c r="C330" i="9"/>
  <c r="B330" i="9"/>
  <c r="P329" i="9"/>
  <c r="O329" i="9"/>
  <c r="N329" i="9"/>
  <c r="M329" i="9"/>
  <c r="L329" i="9"/>
  <c r="K329" i="9"/>
  <c r="J329" i="9"/>
  <c r="I329" i="9"/>
  <c r="H329" i="9"/>
  <c r="G329" i="9"/>
  <c r="F329" i="9"/>
  <c r="E329" i="9"/>
  <c r="D329" i="9"/>
  <c r="C329" i="9"/>
  <c r="B329" i="9"/>
  <c r="P328" i="9"/>
  <c r="O328" i="9"/>
  <c r="N328" i="9"/>
  <c r="M328" i="9"/>
  <c r="L328" i="9"/>
  <c r="K328" i="9"/>
  <c r="J328" i="9"/>
  <c r="I328" i="9"/>
  <c r="H328" i="9"/>
  <c r="G328" i="9"/>
  <c r="F328" i="9"/>
  <c r="E328" i="9"/>
  <c r="D328" i="9"/>
  <c r="C328" i="9"/>
  <c r="B328" i="9"/>
  <c r="P327" i="9"/>
  <c r="O327" i="9"/>
  <c r="N327" i="9"/>
  <c r="M327" i="9"/>
  <c r="L327" i="9"/>
  <c r="K327" i="9"/>
  <c r="J327" i="9"/>
  <c r="I327" i="9"/>
  <c r="H327" i="9"/>
  <c r="G327" i="9"/>
  <c r="F327" i="9"/>
  <c r="E327" i="9"/>
  <c r="D327" i="9"/>
  <c r="C327" i="9"/>
  <c r="B327" i="9"/>
  <c r="P326" i="9"/>
  <c r="O326" i="9"/>
  <c r="N326" i="9"/>
  <c r="M326" i="9"/>
  <c r="L326" i="9"/>
  <c r="K326" i="9"/>
  <c r="J326" i="9"/>
  <c r="I326" i="9"/>
  <c r="H326" i="9"/>
  <c r="G326" i="9"/>
  <c r="F326" i="9"/>
  <c r="E326" i="9"/>
  <c r="D326" i="9"/>
  <c r="C326" i="9"/>
  <c r="B326" i="9"/>
  <c r="P325" i="9"/>
  <c r="O325" i="9"/>
  <c r="N325" i="9"/>
  <c r="M325" i="9"/>
  <c r="L325" i="9"/>
  <c r="K325" i="9"/>
  <c r="J325" i="9"/>
  <c r="I325" i="9"/>
  <c r="H325" i="9"/>
  <c r="G325" i="9"/>
  <c r="F325" i="9"/>
  <c r="E325" i="9"/>
  <c r="D325" i="9"/>
  <c r="C325" i="9"/>
  <c r="B325" i="9"/>
  <c r="P324" i="9"/>
  <c r="O324" i="9"/>
  <c r="N324" i="9"/>
  <c r="M324" i="9"/>
  <c r="L324" i="9"/>
  <c r="K324" i="9"/>
  <c r="J324" i="9"/>
  <c r="I324" i="9"/>
  <c r="H324" i="9"/>
  <c r="G324" i="9"/>
  <c r="F324" i="9"/>
  <c r="E324" i="9"/>
  <c r="D324" i="9"/>
  <c r="C324" i="9"/>
  <c r="B324" i="9"/>
  <c r="P323" i="9"/>
  <c r="O323" i="9"/>
  <c r="N323" i="9"/>
  <c r="M323" i="9"/>
  <c r="L323" i="9"/>
  <c r="K323" i="9"/>
  <c r="J323" i="9"/>
  <c r="I323" i="9"/>
  <c r="H323" i="9"/>
  <c r="G323" i="9"/>
  <c r="F323" i="9"/>
  <c r="E323" i="9"/>
  <c r="D323" i="9"/>
  <c r="C323" i="9"/>
  <c r="B323" i="9"/>
  <c r="P322" i="9"/>
  <c r="O322" i="9"/>
  <c r="N322" i="9"/>
  <c r="M322" i="9"/>
  <c r="L322" i="9"/>
  <c r="K322" i="9"/>
  <c r="J322" i="9"/>
  <c r="I322" i="9"/>
  <c r="H322" i="9"/>
  <c r="G322" i="9"/>
  <c r="F322" i="9"/>
  <c r="E322" i="9"/>
  <c r="D322" i="9"/>
  <c r="C322" i="9"/>
  <c r="B322" i="9"/>
  <c r="P321" i="9"/>
  <c r="O321" i="9"/>
  <c r="N321" i="9"/>
  <c r="M321" i="9"/>
  <c r="L321" i="9"/>
  <c r="K321" i="9"/>
  <c r="J321" i="9"/>
  <c r="I321" i="9"/>
  <c r="H321" i="9"/>
  <c r="G321" i="9"/>
  <c r="F321" i="9"/>
  <c r="E321" i="9"/>
  <c r="D321" i="9"/>
  <c r="C321" i="9"/>
  <c r="B321" i="9"/>
  <c r="P320" i="9"/>
  <c r="O320" i="9"/>
  <c r="N320" i="9"/>
  <c r="M320" i="9"/>
  <c r="L320" i="9"/>
  <c r="K320" i="9"/>
  <c r="J320" i="9"/>
  <c r="I320" i="9"/>
  <c r="H320" i="9"/>
  <c r="G320" i="9"/>
  <c r="F320" i="9"/>
  <c r="E320" i="9"/>
  <c r="D320" i="9"/>
  <c r="C320" i="9"/>
  <c r="B320" i="9"/>
  <c r="P319" i="9"/>
  <c r="O319" i="9"/>
  <c r="N319" i="9"/>
  <c r="M319" i="9"/>
  <c r="L319" i="9"/>
  <c r="K319" i="9"/>
  <c r="J319" i="9"/>
  <c r="I319" i="9"/>
  <c r="H319" i="9"/>
  <c r="G319" i="9"/>
  <c r="F319" i="9"/>
  <c r="E319" i="9"/>
  <c r="D319" i="9"/>
  <c r="C319" i="9"/>
  <c r="B319" i="9"/>
  <c r="P318" i="9"/>
  <c r="O318" i="9"/>
  <c r="N318" i="9"/>
  <c r="M318" i="9"/>
  <c r="L318" i="9"/>
  <c r="K318" i="9"/>
  <c r="J318" i="9"/>
  <c r="I318" i="9"/>
  <c r="H318" i="9"/>
  <c r="G318" i="9"/>
  <c r="F318" i="9"/>
  <c r="E318" i="9"/>
  <c r="D318" i="9"/>
  <c r="C318" i="9"/>
  <c r="B318" i="9"/>
  <c r="P317" i="9"/>
  <c r="O317" i="9"/>
  <c r="N317" i="9"/>
  <c r="M317" i="9"/>
  <c r="L317" i="9"/>
  <c r="K317" i="9"/>
  <c r="J317" i="9"/>
  <c r="I317" i="9"/>
  <c r="H317" i="9"/>
  <c r="G317" i="9"/>
  <c r="F317" i="9"/>
  <c r="E317" i="9"/>
  <c r="D317" i="9"/>
  <c r="C317" i="9"/>
  <c r="B317" i="9"/>
  <c r="P316" i="9"/>
  <c r="O316" i="9"/>
  <c r="N316" i="9"/>
  <c r="M316" i="9"/>
  <c r="L316" i="9"/>
  <c r="K316" i="9"/>
  <c r="J316" i="9"/>
  <c r="I316" i="9"/>
  <c r="H316" i="9"/>
  <c r="G316" i="9"/>
  <c r="F316" i="9"/>
  <c r="E316" i="9"/>
  <c r="D316" i="9"/>
  <c r="C316" i="9"/>
  <c r="B316" i="9"/>
  <c r="P315" i="9"/>
  <c r="O315" i="9"/>
  <c r="N315" i="9"/>
  <c r="M315" i="9"/>
  <c r="L315" i="9"/>
  <c r="K315" i="9"/>
  <c r="J315" i="9"/>
  <c r="I315" i="9"/>
  <c r="H315" i="9"/>
  <c r="G315" i="9"/>
  <c r="F315" i="9"/>
  <c r="E315" i="9"/>
  <c r="D315" i="9"/>
  <c r="C315" i="9"/>
  <c r="B315" i="9"/>
  <c r="P314" i="9"/>
  <c r="O314" i="9"/>
  <c r="N314" i="9"/>
  <c r="M314" i="9"/>
  <c r="L314" i="9"/>
  <c r="K314" i="9"/>
  <c r="J314" i="9"/>
  <c r="I314" i="9"/>
  <c r="H314" i="9"/>
  <c r="G314" i="9"/>
  <c r="F314" i="9"/>
  <c r="E314" i="9"/>
  <c r="D314" i="9"/>
  <c r="C314" i="9"/>
  <c r="B314" i="9"/>
  <c r="P313" i="9"/>
  <c r="O313" i="9"/>
  <c r="N313" i="9"/>
  <c r="M313" i="9"/>
  <c r="L313" i="9"/>
  <c r="K313" i="9"/>
  <c r="J313" i="9"/>
  <c r="I313" i="9"/>
  <c r="H313" i="9"/>
  <c r="G313" i="9"/>
  <c r="F313" i="9"/>
  <c r="E313" i="9"/>
  <c r="D313" i="9"/>
  <c r="C313" i="9"/>
  <c r="B313" i="9"/>
  <c r="P312" i="9"/>
  <c r="O312" i="9"/>
  <c r="N312" i="9"/>
  <c r="M312" i="9"/>
  <c r="L312" i="9"/>
  <c r="K312" i="9"/>
  <c r="J312" i="9"/>
  <c r="I312" i="9"/>
  <c r="H312" i="9"/>
  <c r="G312" i="9"/>
  <c r="F312" i="9"/>
  <c r="E312" i="9"/>
  <c r="D312" i="9"/>
  <c r="C312" i="9"/>
  <c r="B312" i="9"/>
  <c r="P311" i="9"/>
  <c r="O311" i="9"/>
  <c r="N311" i="9"/>
  <c r="M311" i="9"/>
  <c r="L311" i="9"/>
  <c r="K311" i="9"/>
  <c r="J311" i="9"/>
  <c r="I311" i="9"/>
  <c r="H311" i="9"/>
  <c r="G311" i="9"/>
  <c r="F311" i="9"/>
  <c r="E311" i="9"/>
  <c r="D311" i="9"/>
  <c r="C311" i="9"/>
  <c r="B311" i="9"/>
  <c r="P310" i="9"/>
  <c r="O310" i="9"/>
  <c r="N310" i="9"/>
  <c r="M310" i="9"/>
  <c r="L310" i="9"/>
  <c r="K310" i="9"/>
  <c r="J310" i="9"/>
  <c r="I310" i="9"/>
  <c r="H310" i="9"/>
  <c r="G310" i="9"/>
  <c r="F310" i="9"/>
  <c r="E310" i="9"/>
  <c r="D310" i="9"/>
  <c r="C310" i="9"/>
  <c r="B310" i="9"/>
  <c r="P309" i="9"/>
  <c r="O309" i="9"/>
  <c r="N309" i="9"/>
  <c r="M309" i="9"/>
  <c r="L309" i="9"/>
  <c r="K309" i="9"/>
  <c r="J309" i="9"/>
  <c r="I309" i="9"/>
  <c r="H309" i="9"/>
  <c r="G309" i="9"/>
  <c r="F309" i="9"/>
  <c r="E309" i="9"/>
  <c r="D309" i="9"/>
  <c r="C309" i="9"/>
  <c r="B309" i="9"/>
  <c r="P308" i="9"/>
  <c r="O308" i="9"/>
  <c r="N308" i="9"/>
  <c r="M308" i="9"/>
  <c r="L308" i="9"/>
  <c r="K308" i="9"/>
  <c r="J308" i="9"/>
  <c r="I308" i="9"/>
  <c r="H308" i="9"/>
  <c r="G308" i="9"/>
  <c r="F308" i="9"/>
  <c r="E308" i="9"/>
  <c r="D308" i="9"/>
  <c r="C308" i="9"/>
  <c r="B308" i="9"/>
  <c r="P307" i="9"/>
  <c r="O307" i="9"/>
  <c r="N307" i="9"/>
  <c r="M307" i="9"/>
  <c r="L307" i="9"/>
  <c r="K307" i="9"/>
  <c r="J307" i="9"/>
  <c r="I307" i="9"/>
  <c r="H307" i="9"/>
  <c r="G307" i="9"/>
  <c r="F307" i="9"/>
  <c r="E307" i="9"/>
  <c r="D307" i="9"/>
  <c r="C307" i="9"/>
  <c r="B307" i="9"/>
  <c r="P306" i="9"/>
  <c r="O306" i="9"/>
  <c r="N306" i="9"/>
  <c r="M306" i="9"/>
  <c r="L306" i="9"/>
  <c r="K306" i="9"/>
  <c r="J306" i="9"/>
  <c r="I306" i="9"/>
  <c r="H306" i="9"/>
  <c r="G306" i="9"/>
  <c r="F306" i="9"/>
  <c r="E306" i="9"/>
  <c r="D306" i="9"/>
  <c r="C306" i="9"/>
  <c r="B306" i="9"/>
  <c r="P305" i="9"/>
  <c r="O305" i="9"/>
  <c r="N305" i="9"/>
  <c r="M305" i="9"/>
  <c r="L305" i="9"/>
  <c r="K305" i="9"/>
  <c r="J305" i="9"/>
  <c r="I305" i="9"/>
  <c r="H305" i="9"/>
  <c r="G305" i="9"/>
  <c r="F305" i="9"/>
  <c r="E305" i="9"/>
  <c r="D305" i="9"/>
  <c r="C305" i="9"/>
  <c r="B305" i="9"/>
  <c r="P304" i="9"/>
  <c r="O304" i="9"/>
  <c r="N304" i="9"/>
  <c r="M304" i="9"/>
  <c r="L304" i="9"/>
  <c r="K304" i="9"/>
  <c r="J304" i="9"/>
  <c r="I304" i="9"/>
  <c r="H304" i="9"/>
  <c r="G304" i="9"/>
  <c r="F304" i="9"/>
  <c r="E304" i="9"/>
  <c r="D304" i="9"/>
  <c r="C304" i="9"/>
  <c r="B304" i="9"/>
  <c r="P303" i="9"/>
  <c r="O303" i="9"/>
  <c r="N303" i="9"/>
  <c r="M303" i="9"/>
  <c r="L303" i="9"/>
  <c r="K303" i="9"/>
  <c r="J303" i="9"/>
  <c r="I303" i="9"/>
  <c r="H303" i="9"/>
  <c r="G303" i="9"/>
  <c r="F303" i="9"/>
  <c r="E303" i="9"/>
  <c r="D303" i="9"/>
  <c r="C303" i="9"/>
  <c r="B303" i="9"/>
  <c r="P302" i="9"/>
  <c r="O302" i="9"/>
  <c r="N302" i="9"/>
  <c r="M302" i="9"/>
  <c r="L302" i="9"/>
  <c r="K302" i="9"/>
  <c r="J302" i="9"/>
  <c r="I302" i="9"/>
  <c r="H302" i="9"/>
  <c r="G302" i="9"/>
  <c r="F302" i="9"/>
  <c r="E302" i="9"/>
  <c r="D302" i="9"/>
  <c r="C302" i="9"/>
  <c r="B302" i="9"/>
  <c r="P301" i="9"/>
  <c r="O301" i="9"/>
  <c r="N301" i="9"/>
  <c r="M301" i="9"/>
  <c r="L301" i="9"/>
  <c r="K301" i="9"/>
  <c r="J301" i="9"/>
  <c r="I301" i="9"/>
  <c r="H301" i="9"/>
  <c r="G301" i="9"/>
  <c r="F301" i="9"/>
  <c r="E301" i="9"/>
  <c r="D301" i="9"/>
  <c r="C301" i="9"/>
  <c r="B301" i="9"/>
  <c r="P300" i="9"/>
  <c r="O300" i="9"/>
  <c r="N300" i="9"/>
  <c r="M300" i="9"/>
  <c r="L300" i="9"/>
  <c r="K300" i="9"/>
  <c r="J300" i="9"/>
  <c r="I300" i="9"/>
  <c r="H300" i="9"/>
  <c r="G300" i="9"/>
  <c r="F300" i="9"/>
  <c r="E300" i="9"/>
  <c r="D300" i="9"/>
  <c r="C300" i="9"/>
  <c r="B300" i="9"/>
  <c r="P299" i="9"/>
  <c r="O299" i="9"/>
  <c r="N299" i="9"/>
  <c r="M299" i="9"/>
  <c r="L299" i="9"/>
  <c r="K299" i="9"/>
  <c r="J299" i="9"/>
  <c r="I299" i="9"/>
  <c r="H299" i="9"/>
  <c r="G299" i="9"/>
  <c r="F299" i="9"/>
  <c r="E299" i="9"/>
  <c r="D299" i="9"/>
  <c r="C299" i="9"/>
  <c r="B299" i="9"/>
  <c r="P298" i="9"/>
  <c r="O298" i="9"/>
  <c r="N298" i="9"/>
  <c r="M298" i="9"/>
  <c r="L298" i="9"/>
  <c r="K298" i="9"/>
  <c r="J298" i="9"/>
  <c r="I298" i="9"/>
  <c r="H298" i="9"/>
  <c r="G298" i="9"/>
  <c r="F298" i="9"/>
  <c r="E298" i="9"/>
  <c r="D298" i="9"/>
  <c r="C298" i="9"/>
  <c r="B298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P296" i="9"/>
  <c r="O296" i="9"/>
  <c r="N296" i="9"/>
  <c r="M296" i="9"/>
  <c r="L296" i="9"/>
  <c r="K296" i="9"/>
  <c r="J296" i="9"/>
  <c r="I296" i="9"/>
  <c r="H296" i="9"/>
  <c r="G296" i="9"/>
  <c r="F296" i="9"/>
  <c r="E296" i="9"/>
  <c r="D296" i="9"/>
  <c r="C296" i="9"/>
  <c r="B296" i="9"/>
  <c r="P295" i="9"/>
  <c r="O295" i="9"/>
  <c r="N295" i="9"/>
  <c r="M295" i="9"/>
  <c r="L295" i="9"/>
  <c r="K295" i="9"/>
  <c r="J295" i="9"/>
  <c r="I295" i="9"/>
  <c r="H295" i="9"/>
  <c r="G295" i="9"/>
  <c r="F295" i="9"/>
  <c r="E295" i="9"/>
  <c r="D295" i="9"/>
  <c r="C295" i="9"/>
  <c r="B295" i="9"/>
  <c r="P294" i="9"/>
  <c r="O294" i="9"/>
  <c r="N294" i="9"/>
  <c r="M294" i="9"/>
  <c r="L294" i="9"/>
  <c r="K294" i="9"/>
  <c r="J294" i="9"/>
  <c r="I294" i="9"/>
  <c r="H294" i="9"/>
  <c r="G294" i="9"/>
  <c r="F294" i="9"/>
  <c r="E294" i="9"/>
  <c r="D294" i="9"/>
  <c r="C294" i="9"/>
  <c r="B294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P291" i="9"/>
  <c r="O291" i="9"/>
  <c r="N291" i="9"/>
  <c r="M291" i="9"/>
  <c r="L291" i="9"/>
  <c r="K291" i="9"/>
  <c r="J291" i="9"/>
  <c r="I291" i="9"/>
  <c r="H291" i="9"/>
  <c r="G291" i="9"/>
  <c r="F291" i="9"/>
  <c r="E291" i="9"/>
  <c r="D291" i="9"/>
  <c r="C291" i="9"/>
  <c r="B291" i="9"/>
  <c r="P290" i="9"/>
  <c r="O290" i="9"/>
  <c r="N290" i="9"/>
  <c r="M290" i="9"/>
  <c r="L290" i="9"/>
  <c r="K290" i="9"/>
  <c r="J290" i="9"/>
  <c r="I290" i="9"/>
  <c r="H290" i="9"/>
  <c r="G290" i="9"/>
  <c r="F290" i="9"/>
  <c r="E290" i="9"/>
  <c r="D290" i="9"/>
  <c r="C290" i="9"/>
  <c r="B290" i="9"/>
  <c r="P289" i="9"/>
  <c r="O289" i="9"/>
  <c r="N289" i="9"/>
  <c r="M289" i="9"/>
  <c r="L289" i="9"/>
  <c r="K289" i="9"/>
  <c r="J289" i="9"/>
  <c r="I289" i="9"/>
  <c r="H289" i="9"/>
  <c r="G289" i="9"/>
  <c r="F289" i="9"/>
  <c r="E289" i="9"/>
  <c r="D289" i="9"/>
  <c r="C289" i="9"/>
  <c r="B289" i="9"/>
  <c r="P288" i="9"/>
  <c r="O288" i="9"/>
  <c r="N288" i="9"/>
  <c r="M288" i="9"/>
  <c r="L288" i="9"/>
  <c r="K288" i="9"/>
  <c r="J288" i="9"/>
  <c r="I288" i="9"/>
  <c r="H288" i="9"/>
  <c r="G288" i="9"/>
  <c r="F288" i="9"/>
  <c r="E288" i="9"/>
  <c r="D288" i="9"/>
  <c r="C288" i="9"/>
  <c r="B288" i="9"/>
  <c r="P287" i="9"/>
  <c r="O287" i="9"/>
  <c r="N287" i="9"/>
  <c r="M287" i="9"/>
  <c r="L287" i="9"/>
  <c r="K287" i="9"/>
  <c r="J287" i="9"/>
  <c r="I287" i="9"/>
  <c r="H287" i="9"/>
  <c r="G287" i="9"/>
  <c r="F287" i="9"/>
  <c r="E287" i="9"/>
  <c r="D287" i="9"/>
  <c r="C287" i="9"/>
  <c r="B287" i="9"/>
  <c r="P286" i="9"/>
  <c r="O286" i="9"/>
  <c r="N286" i="9"/>
  <c r="M286" i="9"/>
  <c r="L286" i="9"/>
  <c r="K286" i="9"/>
  <c r="J286" i="9"/>
  <c r="I286" i="9"/>
  <c r="H286" i="9"/>
  <c r="G286" i="9"/>
  <c r="F286" i="9"/>
  <c r="E286" i="9"/>
  <c r="D286" i="9"/>
  <c r="C286" i="9"/>
  <c r="B286" i="9"/>
  <c r="P285" i="9"/>
  <c r="O285" i="9"/>
  <c r="N285" i="9"/>
  <c r="M285" i="9"/>
  <c r="L285" i="9"/>
  <c r="K285" i="9"/>
  <c r="J285" i="9"/>
  <c r="I285" i="9"/>
  <c r="H285" i="9"/>
  <c r="G285" i="9"/>
  <c r="F285" i="9"/>
  <c r="E285" i="9"/>
  <c r="D285" i="9"/>
  <c r="C285" i="9"/>
  <c r="B285" i="9"/>
  <c r="P284" i="9"/>
  <c r="O284" i="9"/>
  <c r="N284" i="9"/>
  <c r="M284" i="9"/>
  <c r="L284" i="9"/>
  <c r="K284" i="9"/>
  <c r="J284" i="9"/>
  <c r="I284" i="9"/>
  <c r="H284" i="9"/>
  <c r="G284" i="9"/>
  <c r="F284" i="9"/>
  <c r="E284" i="9"/>
  <c r="D284" i="9"/>
  <c r="C284" i="9"/>
  <c r="B284" i="9"/>
  <c r="P283" i="9"/>
  <c r="O283" i="9"/>
  <c r="N283" i="9"/>
  <c r="M283" i="9"/>
  <c r="L283" i="9"/>
  <c r="K283" i="9"/>
  <c r="J283" i="9"/>
  <c r="I283" i="9"/>
  <c r="H283" i="9"/>
  <c r="G283" i="9"/>
  <c r="F283" i="9"/>
  <c r="E283" i="9"/>
  <c r="D283" i="9"/>
  <c r="C283" i="9"/>
  <c r="B283" i="9"/>
  <c r="P282" i="9"/>
  <c r="O282" i="9"/>
  <c r="N282" i="9"/>
  <c r="M282" i="9"/>
  <c r="L282" i="9"/>
  <c r="K282" i="9"/>
  <c r="J282" i="9"/>
  <c r="I282" i="9"/>
  <c r="H282" i="9"/>
  <c r="G282" i="9"/>
  <c r="F282" i="9"/>
  <c r="E282" i="9"/>
  <c r="D282" i="9"/>
  <c r="C282" i="9"/>
  <c r="B282" i="9"/>
  <c r="P281" i="9"/>
  <c r="O281" i="9"/>
  <c r="N281" i="9"/>
  <c r="M281" i="9"/>
  <c r="L281" i="9"/>
  <c r="K281" i="9"/>
  <c r="J281" i="9"/>
  <c r="I281" i="9"/>
  <c r="H281" i="9"/>
  <c r="G281" i="9"/>
  <c r="F281" i="9"/>
  <c r="E281" i="9"/>
  <c r="D281" i="9"/>
  <c r="C281" i="9"/>
  <c r="B281" i="9"/>
  <c r="P280" i="9"/>
  <c r="O280" i="9"/>
  <c r="N280" i="9"/>
  <c r="M280" i="9"/>
  <c r="L280" i="9"/>
  <c r="K280" i="9"/>
  <c r="J280" i="9"/>
  <c r="I280" i="9"/>
  <c r="H280" i="9"/>
  <c r="G280" i="9"/>
  <c r="F280" i="9"/>
  <c r="E280" i="9"/>
  <c r="D280" i="9"/>
  <c r="C280" i="9"/>
  <c r="B280" i="9"/>
  <c r="P279" i="9"/>
  <c r="O279" i="9"/>
  <c r="N279" i="9"/>
  <c r="M279" i="9"/>
  <c r="L279" i="9"/>
  <c r="K279" i="9"/>
  <c r="J279" i="9"/>
  <c r="I279" i="9"/>
  <c r="H279" i="9"/>
  <c r="G279" i="9"/>
  <c r="F279" i="9"/>
  <c r="E279" i="9"/>
  <c r="D279" i="9"/>
  <c r="C279" i="9"/>
  <c r="B279" i="9"/>
  <c r="P278" i="9"/>
  <c r="O278" i="9"/>
  <c r="N278" i="9"/>
  <c r="M278" i="9"/>
  <c r="L278" i="9"/>
  <c r="K278" i="9"/>
  <c r="J278" i="9"/>
  <c r="I278" i="9"/>
  <c r="H278" i="9"/>
  <c r="G278" i="9"/>
  <c r="F278" i="9"/>
  <c r="E278" i="9"/>
  <c r="D278" i="9"/>
  <c r="C278" i="9"/>
  <c r="B278" i="9"/>
  <c r="P277" i="9"/>
  <c r="O277" i="9"/>
  <c r="N277" i="9"/>
  <c r="M277" i="9"/>
  <c r="L277" i="9"/>
  <c r="K277" i="9"/>
  <c r="J277" i="9"/>
  <c r="I277" i="9"/>
  <c r="H277" i="9"/>
  <c r="G277" i="9"/>
  <c r="F277" i="9"/>
  <c r="E277" i="9"/>
  <c r="D277" i="9"/>
  <c r="C277" i="9"/>
  <c r="B277" i="9"/>
  <c r="P276" i="9"/>
  <c r="O276" i="9"/>
  <c r="N276" i="9"/>
  <c r="M276" i="9"/>
  <c r="L276" i="9"/>
  <c r="K276" i="9"/>
  <c r="J276" i="9"/>
  <c r="I276" i="9"/>
  <c r="H276" i="9"/>
  <c r="G276" i="9"/>
  <c r="F276" i="9"/>
  <c r="E276" i="9"/>
  <c r="D276" i="9"/>
  <c r="C276" i="9"/>
  <c r="B276" i="9"/>
  <c r="P275" i="9"/>
  <c r="O275" i="9"/>
  <c r="N275" i="9"/>
  <c r="M275" i="9"/>
  <c r="L275" i="9"/>
  <c r="K275" i="9"/>
  <c r="J275" i="9"/>
  <c r="I275" i="9"/>
  <c r="H275" i="9"/>
  <c r="G275" i="9"/>
  <c r="F275" i="9"/>
  <c r="E275" i="9"/>
  <c r="D275" i="9"/>
  <c r="C275" i="9"/>
  <c r="B275" i="9"/>
  <c r="P274" i="9"/>
  <c r="O274" i="9"/>
  <c r="N274" i="9"/>
  <c r="M274" i="9"/>
  <c r="L274" i="9"/>
  <c r="K274" i="9"/>
  <c r="J274" i="9"/>
  <c r="I274" i="9"/>
  <c r="H274" i="9"/>
  <c r="G274" i="9"/>
  <c r="F274" i="9"/>
  <c r="E274" i="9"/>
  <c r="D274" i="9"/>
  <c r="C274" i="9"/>
  <c r="B274" i="9"/>
  <c r="P273" i="9"/>
  <c r="O273" i="9"/>
  <c r="N273" i="9"/>
  <c r="M273" i="9"/>
  <c r="L273" i="9"/>
  <c r="K273" i="9"/>
  <c r="J273" i="9"/>
  <c r="I273" i="9"/>
  <c r="H273" i="9"/>
  <c r="G273" i="9"/>
  <c r="F273" i="9"/>
  <c r="E273" i="9"/>
  <c r="D273" i="9"/>
  <c r="C273" i="9"/>
  <c r="B273" i="9"/>
  <c r="P272" i="9"/>
  <c r="O272" i="9"/>
  <c r="N272" i="9"/>
  <c r="M272" i="9"/>
  <c r="L272" i="9"/>
  <c r="K272" i="9"/>
  <c r="J272" i="9"/>
  <c r="I272" i="9"/>
  <c r="H272" i="9"/>
  <c r="G272" i="9"/>
  <c r="F272" i="9"/>
  <c r="E272" i="9"/>
  <c r="D272" i="9"/>
  <c r="C272" i="9"/>
  <c r="B272" i="9"/>
  <c r="P271" i="9"/>
  <c r="O271" i="9"/>
  <c r="N271" i="9"/>
  <c r="M271" i="9"/>
  <c r="L271" i="9"/>
  <c r="K271" i="9"/>
  <c r="J271" i="9"/>
  <c r="I271" i="9"/>
  <c r="H271" i="9"/>
  <c r="G271" i="9"/>
  <c r="F271" i="9"/>
  <c r="E271" i="9"/>
  <c r="D271" i="9"/>
  <c r="C271" i="9"/>
  <c r="B271" i="9"/>
  <c r="P270" i="9"/>
  <c r="O270" i="9"/>
  <c r="N270" i="9"/>
  <c r="M270" i="9"/>
  <c r="L270" i="9"/>
  <c r="K270" i="9"/>
  <c r="J270" i="9"/>
  <c r="I270" i="9"/>
  <c r="H270" i="9"/>
  <c r="G270" i="9"/>
  <c r="F270" i="9"/>
  <c r="E270" i="9"/>
  <c r="D270" i="9"/>
  <c r="C270" i="9"/>
  <c r="B270" i="9"/>
  <c r="P269" i="9"/>
  <c r="O269" i="9"/>
  <c r="N269" i="9"/>
  <c r="M269" i="9"/>
  <c r="L269" i="9"/>
  <c r="K269" i="9"/>
  <c r="J269" i="9"/>
  <c r="I269" i="9"/>
  <c r="H269" i="9"/>
  <c r="G269" i="9"/>
  <c r="F269" i="9"/>
  <c r="E269" i="9"/>
  <c r="D269" i="9"/>
  <c r="C269" i="9"/>
  <c r="B269" i="9"/>
  <c r="P268" i="9"/>
  <c r="O268" i="9"/>
  <c r="N268" i="9"/>
  <c r="M268" i="9"/>
  <c r="L268" i="9"/>
  <c r="K268" i="9"/>
  <c r="J268" i="9"/>
  <c r="I268" i="9"/>
  <c r="H268" i="9"/>
  <c r="G268" i="9"/>
  <c r="F268" i="9"/>
  <c r="E268" i="9"/>
  <c r="D268" i="9"/>
  <c r="C268" i="9"/>
  <c r="B268" i="9"/>
  <c r="P267" i="9"/>
  <c r="O267" i="9"/>
  <c r="N267" i="9"/>
  <c r="M267" i="9"/>
  <c r="L267" i="9"/>
  <c r="K267" i="9"/>
  <c r="J267" i="9"/>
  <c r="I267" i="9"/>
  <c r="H267" i="9"/>
  <c r="G267" i="9"/>
  <c r="F267" i="9"/>
  <c r="E267" i="9"/>
  <c r="D267" i="9"/>
  <c r="C267" i="9"/>
  <c r="B267" i="9"/>
  <c r="P266" i="9"/>
  <c r="O266" i="9"/>
  <c r="N266" i="9"/>
  <c r="M266" i="9"/>
  <c r="L266" i="9"/>
  <c r="K266" i="9"/>
  <c r="J266" i="9"/>
  <c r="I266" i="9"/>
  <c r="H266" i="9"/>
  <c r="G266" i="9"/>
  <c r="F266" i="9"/>
  <c r="E266" i="9"/>
  <c r="D266" i="9"/>
  <c r="C266" i="9"/>
  <c r="B266" i="9"/>
  <c r="P265" i="9"/>
  <c r="O265" i="9"/>
  <c r="N265" i="9"/>
  <c r="M265" i="9"/>
  <c r="L265" i="9"/>
  <c r="K265" i="9"/>
  <c r="J265" i="9"/>
  <c r="I265" i="9"/>
  <c r="H265" i="9"/>
  <c r="G265" i="9"/>
  <c r="F265" i="9"/>
  <c r="E265" i="9"/>
  <c r="D265" i="9"/>
  <c r="C265" i="9"/>
  <c r="B265" i="9"/>
  <c r="P264" i="9"/>
  <c r="O264" i="9"/>
  <c r="N264" i="9"/>
  <c r="M264" i="9"/>
  <c r="L264" i="9"/>
  <c r="K264" i="9"/>
  <c r="J264" i="9"/>
  <c r="I264" i="9"/>
  <c r="H264" i="9"/>
  <c r="G264" i="9"/>
  <c r="F264" i="9"/>
  <c r="E264" i="9"/>
  <c r="D264" i="9"/>
  <c r="C264" i="9"/>
  <c r="B264" i="9"/>
  <c r="P263" i="9"/>
  <c r="O263" i="9"/>
  <c r="N263" i="9"/>
  <c r="M263" i="9"/>
  <c r="L263" i="9"/>
  <c r="K263" i="9"/>
  <c r="J263" i="9"/>
  <c r="I263" i="9"/>
  <c r="H263" i="9"/>
  <c r="G263" i="9"/>
  <c r="F263" i="9"/>
  <c r="E263" i="9"/>
  <c r="D263" i="9"/>
  <c r="C263" i="9"/>
  <c r="B263" i="9"/>
  <c r="P262" i="9"/>
  <c r="O262" i="9"/>
  <c r="N262" i="9"/>
  <c r="M262" i="9"/>
  <c r="L262" i="9"/>
  <c r="K262" i="9"/>
  <c r="J262" i="9"/>
  <c r="I262" i="9"/>
  <c r="H262" i="9"/>
  <c r="G262" i="9"/>
  <c r="F262" i="9"/>
  <c r="E262" i="9"/>
  <c r="D262" i="9"/>
  <c r="C262" i="9"/>
  <c r="B262" i="9"/>
  <c r="P261" i="9"/>
  <c r="O261" i="9"/>
  <c r="N261" i="9"/>
  <c r="M261" i="9"/>
  <c r="L261" i="9"/>
  <c r="K261" i="9"/>
  <c r="J261" i="9"/>
  <c r="I261" i="9"/>
  <c r="H261" i="9"/>
  <c r="G261" i="9"/>
  <c r="F261" i="9"/>
  <c r="E261" i="9"/>
  <c r="D261" i="9"/>
  <c r="C261" i="9"/>
  <c r="B261" i="9"/>
  <c r="P260" i="9"/>
  <c r="O260" i="9"/>
  <c r="N260" i="9"/>
  <c r="M260" i="9"/>
  <c r="L260" i="9"/>
  <c r="K260" i="9"/>
  <c r="J260" i="9"/>
  <c r="I260" i="9"/>
  <c r="H260" i="9"/>
  <c r="G260" i="9"/>
  <c r="F260" i="9"/>
  <c r="E260" i="9"/>
  <c r="D260" i="9"/>
  <c r="C260" i="9"/>
  <c r="B260" i="9"/>
  <c r="P259" i="9"/>
  <c r="O259" i="9"/>
  <c r="N259" i="9"/>
  <c r="M259" i="9"/>
  <c r="L259" i="9"/>
  <c r="K259" i="9"/>
  <c r="J259" i="9"/>
  <c r="I259" i="9"/>
  <c r="H259" i="9"/>
  <c r="G259" i="9"/>
  <c r="F259" i="9"/>
  <c r="E259" i="9"/>
  <c r="D259" i="9"/>
  <c r="C259" i="9"/>
  <c r="B259" i="9"/>
  <c r="P258" i="9"/>
  <c r="O258" i="9"/>
  <c r="N258" i="9"/>
  <c r="M258" i="9"/>
  <c r="L258" i="9"/>
  <c r="K258" i="9"/>
  <c r="J258" i="9"/>
  <c r="I258" i="9"/>
  <c r="H258" i="9"/>
  <c r="G258" i="9"/>
  <c r="F258" i="9"/>
  <c r="E258" i="9"/>
  <c r="D258" i="9"/>
  <c r="C258" i="9"/>
  <c r="B258" i="9"/>
  <c r="P257" i="9"/>
  <c r="O257" i="9"/>
  <c r="N257" i="9"/>
  <c r="M257" i="9"/>
  <c r="L257" i="9"/>
  <c r="K257" i="9"/>
  <c r="J257" i="9"/>
  <c r="I257" i="9"/>
  <c r="H257" i="9"/>
  <c r="G257" i="9"/>
  <c r="F257" i="9"/>
  <c r="E257" i="9"/>
  <c r="D257" i="9"/>
  <c r="C257" i="9"/>
  <c r="B257" i="9"/>
  <c r="P256" i="9"/>
  <c r="O256" i="9"/>
  <c r="N256" i="9"/>
  <c r="M256" i="9"/>
  <c r="L256" i="9"/>
  <c r="K256" i="9"/>
  <c r="J256" i="9"/>
  <c r="I256" i="9"/>
  <c r="H256" i="9"/>
  <c r="G256" i="9"/>
  <c r="F256" i="9"/>
  <c r="E256" i="9"/>
  <c r="D256" i="9"/>
  <c r="C256" i="9"/>
  <c r="B256" i="9"/>
  <c r="P255" i="9"/>
  <c r="O255" i="9"/>
  <c r="N255" i="9"/>
  <c r="M255" i="9"/>
  <c r="L255" i="9"/>
  <c r="K255" i="9"/>
  <c r="J255" i="9"/>
  <c r="I255" i="9"/>
  <c r="H255" i="9"/>
  <c r="G255" i="9"/>
  <c r="F255" i="9"/>
  <c r="E255" i="9"/>
  <c r="D255" i="9"/>
  <c r="C255" i="9"/>
  <c r="B255" i="9"/>
  <c r="P254" i="9"/>
  <c r="O254" i="9"/>
  <c r="N254" i="9"/>
  <c r="M254" i="9"/>
  <c r="L254" i="9"/>
  <c r="K254" i="9"/>
  <c r="J254" i="9"/>
  <c r="I254" i="9"/>
  <c r="H254" i="9"/>
  <c r="G254" i="9"/>
  <c r="F254" i="9"/>
  <c r="E254" i="9"/>
  <c r="D254" i="9"/>
  <c r="C254" i="9"/>
  <c r="B254" i="9"/>
  <c r="P253" i="9"/>
  <c r="O253" i="9"/>
  <c r="N253" i="9"/>
  <c r="M253" i="9"/>
  <c r="L253" i="9"/>
  <c r="K253" i="9"/>
  <c r="J253" i="9"/>
  <c r="I253" i="9"/>
  <c r="H253" i="9"/>
  <c r="G253" i="9"/>
  <c r="F253" i="9"/>
  <c r="E253" i="9"/>
  <c r="D253" i="9"/>
  <c r="C253" i="9"/>
  <c r="B253" i="9"/>
  <c r="P252" i="9"/>
  <c r="O252" i="9"/>
  <c r="N252" i="9"/>
  <c r="M252" i="9"/>
  <c r="L252" i="9"/>
  <c r="K252" i="9"/>
  <c r="J252" i="9"/>
  <c r="I252" i="9"/>
  <c r="H252" i="9"/>
  <c r="G252" i="9"/>
  <c r="F252" i="9"/>
  <c r="E252" i="9"/>
  <c r="D252" i="9"/>
  <c r="C252" i="9"/>
  <c r="B252" i="9"/>
  <c r="P251" i="9"/>
  <c r="O251" i="9"/>
  <c r="N251" i="9"/>
  <c r="M251" i="9"/>
  <c r="L251" i="9"/>
  <c r="K251" i="9"/>
  <c r="J251" i="9"/>
  <c r="I251" i="9"/>
  <c r="H251" i="9"/>
  <c r="G251" i="9"/>
  <c r="F251" i="9"/>
  <c r="E251" i="9"/>
  <c r="D251" i="9"/>
  <c r="C251" i="9"/>
  <c r="B251" i="9"/>
  <c r="P250" i="9"/>
  <c r="O250" i="9"/>
  <c r="N250" i="9"/>
  <c r="M250" i="9"/>
  <c r="L250" i="9"/>
  <c r="K250" i="9"/>
  <c r="J250" i="9"/>
  <c r="I250" i="9"/>
  <c r="H250" i="9"/>
  <c r="G250" i="9"/>
  <c r="F250" i="9"/>
  <c r="E250" i="9"/>
  <c r="D250" i="9"/>
  <c r="C250" i="9"/>
  <c r="B250" i="9"/>
  <c r="P249" i="9"/>
  <c r="O249" i="9"/>
  <c r="N249" i="9"/>
  <c r="M249" i="9"/>
  <c r="L249" i="9"/>
  <c r="K249" i="9"/>
  <c r="J249" i="9"/>
  <c r="I249" i="9"/>
  <c r="H249" i="9"/>
  <c r="G249" i="9"/>
  <c r="F249" i="9"/>
  <c r="E249" i="9"/>
  <c r="D249" i="9"/>
  <c r="C249" i="9"/>
  <c r="B249" i="9"/>
  <c r="P248" i="9"/>
  <c r="O248" i="9"/>
  <c r="N248" i="9"/>
  <c r="M248" i="9"/>
  <c r="L248" i="9"/>
  <c r="K248" i="9"/>
  <c r="J248" i="9"/>
  <c r="I248" i="9"/>
  <c r="H248" i="9"/>
  <c r="G248" i="9"/>
  <c r="F248" i="9"/>
  <c r="E248" i="9"/>
  <c r="D248" i="9"/>
  <c r="C248" i="9"/>
  <c r="B248" i="9"/>
  <c r="P247" i="9"/>
  <c r="O247" i="9"/>
  <c r="N247" i="9"/>
  <c r="M247" i="9"/>
  <c r="L247" i="9"/>
  <c r="K247" i="9"/>
  <c r="J247" i="9"/>
  <c r="I247" i="9"/>
  <c r="H247" i="9"/>
  <c r="G247" i="9"/>
  <c r="F247" i="9"/>
  <c r="E247" i="9"/>
  <c r="D247" i="9"/>
  <c r="C247" i="9"/>
  <c r="B247" i="9"/>
  <c r="P246" i="9"/>
  <c r="O246" i="9"/>
  <c r="N246" i="9"/>
  <c r="M246" i="9"/>
  <c r="L246" i="9"/>
  <c r="K246" i="9"/>
  <c r="J246" i="9"/>
  <c r="I246" i="9"/>
  <c r="H246" i="9"/>
  <c r="G246" i="9"/>
  <c r="F246" i="9"/>
  <c r="E246" i="9"/>
  <c r="D246" i="9"/>
  <c r="C246" i="9"/>
  <c r="B246" i="9"/>
  <c r="P245" i="9"/>
  <c r="O245" i="9"/>
  <c r="N245" i="9"/>
  <c r="M245" i="9"/>
  <c r="L245" i="9"/>
  <c r="K245" i="9"/>
  <c r="J245" i="9"/>
  <c r="I245" i="9"/>
  <c r="H245" i="9"/>
  <c r="G245" i="9"/>
  <c r="F245" i="9"/>
  <c r="E245" i="9"/>
  <c r="D245" i="9"/>
  <c r="C245" i="9"/>
  <c r="B245" i="9"/>
  <c r="P244" i="9"/>
  <c r="O244" i="9"/>
  <c r="N244" i="9"/>
  <c r="M244" i="9"/>
  <c r="L244" i="9"/>
  <c r="K244" i="9"/>
  <c r="J244" i="9"/>
  <c r="I244" i="9"/>
  <c r="H244" i="9"/>
  <c r="G244" i="9"/>
  <c r="F244" i="9"/>
  <c r="E244" i="9"/>
  <c r="D244" i="9"/>
  <c r="C244" i="9"/>
  <c r="B244" i="9"/>
  <c r="P243" i="9"/>
  <c r="O243" i="9"/>
  <c r="N243" i="9"/>
  <c r="M243" i="9"/>
  <c r="L243" i="9"/>
  <c r="K243" i="9"/>
  <c r="J243" i="9"/>
  <c r="I243" i="9"/>
  <c r="H243" i="9"/>
  <c r="G243" i="9"/>
  <c r="F243" i="9"/>
  <c r="E243" i="9"/>
  <c r="D243" i="9"/>
  <c r="C243" i="9"/>
  <c r="B243" i="9"/>
  <c r="P242" i="9"/>
  <c r="O242" i="9"/>
  <c r="N242" i="9"/>
  <c r="M242" i="9"/>
  <c r="L242" i="9"/>
  <c r="K242" i="9"/>
  <c r="J242" i="9"/>
  <c r="I242" i="9"/>
  <c r="H242" i="9"/>
  <c r="G242" i="9"/>
  <c r="F242" i="9"/>
  <c r="E242" i="9"/>
  <c r="D242" i="9"/>
  <c r="C242" i="9"/>
  <c r="B242" i="9"/>
  <c r="P241" i="9"/>
  <c r="O241" i="9"/>
  <c r="N241" i="9"/>
  <c r="M241" i="9"/>
  <c r="L241" i="9"/>
  <c r="K241" i="9"/>
  <c r="J241" i="9"/>
  <c r="I241" i="9"/>
  <c r="H241" i="9"/>
  <c r="G241" i="9"/>
  <c r="F241" i="9"/>
  <c r="E241" i="9"/>
  <c r="D241" i="9"/>
  <c r="C241" i="9"/>
  <c r="B241" i="9"/>
  <c r="P240" i="9"/>
  <c r="O240" i="9"/>
  <c r="N240" i="9"/>
  <c r="M240" i="9"/>
  <c r="L240" i="9"/>
  <c r="K240" i="9"/>
  <c r="J240" i="9"/>
  <c r="I240" i="9"/>
  <c r="H240" i="9"/>
  <c r="G240" i="9"/>
  <c r="F240" i="9"/>
  <c r="E240" i="9"/>
  <c r="D240" i="9"/>
  <c r="C240" i="9"/>
  <c r="B240" i="9"/>
  <c r="P239" i="9"/>
  <c r="O239" i="9"/>
  <c r="N239" i="9"/>
  <c r="M239" i="9"/>
  <c r="L239" i="9"/>
  <c r="K239" i="9"/>
  <c r="J239" i="9"/>
  <c r="I239" i="9"/>
  <c r="H239" i="9"/>
  <c r="G239" i="9"/>
  <c r="F239" i="9"/>
  <c r="E239" i="9"/>
  <c r="D239" i="9"/>
  <c r="C239" i="9"/>
  <c r="B239" i="9"/>
  <c r="P238" i="9"/>
  <c r="O238" i="9"/>
  <c r="N238" i="9"/>
  <c r="M238" i="9"/>
  <c r="L238" i="9"/>
  <c r="K238" i="9"/>
  <c r="J238" i="9"/>
  <c r="I238" i="9"/>
  <c r="H238" i="9"/>
  <c r="G238" i="9"/>
  <c r="F238" i="9"/>
  <c r="E238" i="9"/>
  <c r="D238" i="9"/>
  <c r="C238" i="9"/>
  <c r="B238" i="9"/>
  <c r="P237" i="9"/>
  <c r="O237" i="9"/>
  <c r="N237" i="9"/>
  <c r="M237" i="9"/>
  <c r="L237" i="9"/>
  <c r="K237" i="9"/>
  <c r="J237" i="9"/>
  <c r="I237" i="9"/>
  <c r="H237" i="9"/>
  <c r="G237" i="9"/>
  <c r="F237" i="9"/>
  <c r="E237" i="9"/>
  <c r="D237" i="9"/>
  <c r="C237" i="9"/>
  <c r="B237" i="9"/>
  <c r="P236" i="9"/>
  <c r="O236" i="9"/>
  <c r="N236" i="9"/>
  <c r="M236" i="9"/>
  <c r="L236" i="9"/>
  <c r="K236" i="9"/>
  <c r="J236" i="9"/>
  <c r="I236" i="9"/>
  <c r="H236" i="9"/>
  <c r="G236" i="9"/>
  <c r="F236" i="9"/>
  <c r="E236" i="9"/>
  <c r="D236" i="9"/>
  <c r="C236" i="9"/>
  <c r="B236" i="9"/>
  <c r="P235" i="9"/>
  <c r="O235" i="9"/>
  <c r="N235" i="9"/>
  <c r="M235" i="9"/>
  <c r="L235" i="9"/>
  <c r="K235" i="9"/>
  <c r="J235" i="9"/>
  <c r="I235" i="9"/>
  <c r="H235" i="9"/>
  <c r="G235" i="9"/>
  <c r="F235" i="9"/>
  <c r="E235" i="9"/>
  <c r="D235" i="9"/>
  <c r="C235" i="9"/>
  <c r="B235" i="9"/>
  <c r="P234" i="9"/>
  <c r="O234" i="9"/>
  <c r="N234" i="9"/>
  <c r="M234" i="9"/>
  <c r="L234" i="9"/>
  <c r="K234" i="9"/>
  <c r="J234" i="9"/>
  <c r="I234" i="9"/>
  <c r="H234" i="9"/>
  <c r="G234" i="9"/>
  <c r="F234" i="9"/>
  <c r="E234" i="9"/>
  <c r="D234" i="9"/>
  <c r="C234" i="9"/>
  <c r="B234" i="9"/>
  <c r="P233" i="9"/>
  <c r="O233" i="9"/>
  <c r="N233" i="9"/>
  <c r="M233" i="9"/>
  <c r="L233" i="9"/>
  <c r="K233" i="9"/>
  <c r="J233" i="9"/>
  <c r="I233" i="9"/>
  <c r="H233" i="9"/>
  <c r="G233" i="9"/>
  <c r="F233" i="9"/>
  <c r="E233" i="9"/>
  <c r="D233" i="9"/>
  <c r="C233" i="9"/>
  <c r="B233" i="9"/>
  <c r="P232" i="9"/>
  <c r="O232" i="9"/>
  <c r="N232" i="9"/>
  <c r="M232" i="9"/>
  <c r="L232" i="9"/>
  <c r="K232" i="9"/>
  <c r="J232" i="9"/>
  <c r="I232" i="9"/>
  <c r="H232" i="9"/>
  <c r="G232" i="9"/>
  <c r="F232" i="9"/>
  <c r="E232" i="9"/>
  <c r="D232" i="9"/>
  <c r="C232" i="9"/>
  <c r="B232" i="9"/>
  <c r="P231" i="9"/>
  <c r="O231" i="9"/>
  <c r="N231" i="9"/>
  <c r="M231" i="9"/>
  <c r="L231" i="9"/>
  <c r="K231" i="9"/>
  <c r="J231" i="9"/>
  <c r="I231" i="9"/>
  <c r="H231" i="9"/>
  <c r="G231" i="9"/>
  <c r="F231" i="9"/>
  <c r="E231" i="9"/>
  <c r="D231" i="9"/>
  <c r="C231" i="9"/>
  <c r="B231" i="9"/>
  <c r="P230" i="9"/>
  <c r="O230" i="9"/>
  <c r="N230" i="9"/>
  <c r="M230" i="9"/>
  <c r="L230" i="9"/>
  <c r="K230" i="9"/>
  <c r="J230" i="9"/>
  <c r="I230" i="9"/>
  <c r="H230" i="9"/>
  <c r="G230" i="9"/>
  <c r="F230" i="9"/>
  <c r="E230" i="9"/>
  <c r="D230" i="9"/>
  <c r="C230" i="9"/>
  <c r="B230" i="9"/>
  <c r="P229" i="9"/>
  <c r="O229" i="9"/>
  <c r="N229" i="9"/>
  <c r="M229" i="9"/>
  <c r="L229" i="9"/>
  <c r="K229" i="9"/>
  <c r="J229" i="9"/>
  <c r="I229" i="9"/>
  <c r="H229" i="9"/>
  <c r="G229" i="9"/>
  <c r="F229" i="9"/>
  <c r="E229" i="9"/>
  <c r="D229" i="9"/>
  <c r="C229" i="9"/>
  <c r="B229" i="9"/>
  <c r="P228" i="9"/>
  <c r="O228" i="9"/>
  <c r="N228" i="9"/>
  <c r="M228" i="9"/>
  <c r="L228" i="9"/>
  <c r="K228" i="9"/>
  <c r="J228" i="9"/>
  <c r="I228" i="9"/>
  <c r="H228" i="9"/>
  <c r="G228" i="9"/>
  <c r="F228" i="9"/>
  <c r="E228" i="9"/>
  <c r="D228" i="9"/>
  <c r="C228" i="9"/>
  <c r="B228" i="9"/>
  <c r="P227" i="9"/>
  <c r="O227" i="9"/>
  <c r="N227" i="9"/>
  <c r="M227" i="9"/>
  <c r="L227" i="9"/>
  <c r="K227" i="9"/>
  <c r="J227" i="9"/>
  <c r="I227" i="9"/>
  <c r="H227" i="9"/>
  <c r="G227" i="9"/>
  <c r="F227" i="9"/>
  <c r="E227" i="9"/>
  <c r="D227" i="9"/>
  <c r="C227" i="9"/>
  <c r="B227" i="9"/>
  <c r="P226" i="9"/>
  <c r="O226" i="9"/>
  <c r="N226" i="9"/>
  <c r="M226" i="9"/>
  <c r="L226" i="9"/>
  <c r="K226" i="9"/>
  <c r="J226" i="9"/>
  <c r="I226" i="9"/>
  <c r="H226" i="9"/>
  <c r="G226" i="9"/>
  <c r="F226" i="9"/>
  <c r="E226" i="9"/>
  <c r="D226" i="9"/>
  <c r="C226" i="9"/>
  <c r="B226" i="9"/>
  <c r="P225" i="9"/>
  <c r="O225" i="9"/>
  <c r="N225" i="9"/>
  <c r="M225" i="9"/>
  <c r="L225" i="9"/>
  <c r="K225" i="9"/>
  <c r="J225" i="9"/>
  <c r="I225" i="9"/>
  <c r="H225" i="9"/>
  <c r="G225" i="9"/>
  <c r="F225" i="9"/>
  <c r="E225" i="9"/>
  <c r="D225" i="9"/>
  <c r="C225" i="9"/>
  <c r="B225" i="9"/>
  <c r="P224" i="9"/>
  <c r="O224" i="9"/>
  <c r="N224" i="9"/>
  <c r="M224" i="9"/>
  <c r="L224" i="9"/>
  <c r="K224" i="9"/>
  <c r="J224" i="9"/>
  <c r="I224" i="9"/>
  <c r="H224" i="9"/>
  <c r="G224" i="9"/>
  <c r="F224" i="9"/>
  <c r="E224" i="9"/>
  <c r="D224" i="9"/>
  <c r="C224" i="9"/>
  <c r="B224" i="9"/>
  <c r="P223" i="9"/>
  <c r="O223" i="9"/>
  <c r="N223" i="9"/>
  <c r="M223" i="9"/>
  <c r="L223" i="9"/>
  <c r="K223" i="9"/>
  <c r="J223" i="9"/>
  <c r="I223" i="9"/>
  <c r="H223" i="9"/>
  <c r="G223" i="9"/>
  <c r="F223" i="9"/>
  <c r="E223" i="9"/>
  <c r="D223" i="9"/>
  <c r="C223" i="9"/>
  <c r="B223" i="9"/>
  <c r="P222" i="9"/>
  <c r="O222" i="9"/>
  <c r="N222" i="9"/>
  <c r="M222" i="9"/>
  <c r="L222" i="9"/>
  <c r="K222" i="9"/>
  <c r="J222" i="9"/>
  <c r="I222" i="9"/>
  <c r="H222" i="9"/>
  <c r="G222" i="9"/>
  <c r="F222" i="9"/>
  <c r="E222" i="9"/>
  <c r="D222" i="9"/>
  <c r="C222" i="9"/>
  <c r="B222" i="9"/>
  <c r="P221" i="9"/>
  <c r="O221" i="9"/>
  <c r="N221" i="9"/>
  <c r="M221" i="9"/>
  <c r="L221" i="9"/>
  <c r="K221" i="9"/>
  <c r="J221" i="9"/>
  <c r="I221" i="9"/>
  <c r="H221" i="9"/>
  <c r="G221" i="9"/>
  <c r="F221" i="9"/>
  <c r="E221" i="9"/>
  <c r="D221" i="9"/>
  <c r="C221" i="9"/>
  <c r="B221" i="9"/>
  <c r="P220" i="9"/>
  <c r="O220" i="9"/>
  <c r="N220" i="9"/>
  <c r="M220" i="9"/>
  <c r="L220" i="9"/>
  <c r="K220" i="9"/>
  <c r="J220" i="9"/>
  <c r="I220" i="9"/>
  <c r="H220" i="9"/>
  <c r="G220" i="9"/>
  <c r="F220" i="9"/>
  <c r="E220" i="9"/>
  <c r="D220" i="9"/>
  <c r="C220" i="9"/>
  <c r="B220" i="9"/>
  <c r="P219" i="9"/>
  <c r="O219" i="9"/>
  <c r="N219" i="9"/>
  <c r="M219" i="9"/>
  <c r="L219" i="9"/>
  <c r="K219" i="9"/>
  <c r="J219" i="9"/>
  <c r="I219" i="9"/>
  <c r="H219" i="9"/>
  <c r="G219" i="9"/>
  <c r="F219" i="9"/>
  <c r="E219" i="9"/>
  <c r="D219" i="9"/>
  <c r="C219" i="9"/>
  <c r="B219" i="9"/>
  <c r="P218" i="9"/>
  <c r="O218" i="9"/>
  <c r="N218" i="9"/>
  <c r="M218" i="9"/>
  <c r="L218" i="9"/>
  <c r="K218" i="9"/>
  <c r="J218" i="9"/>
  <c r="I218" i="9"/>
  <c r="H218" i="9"/>
  <c r="G218" i="9"/>
  <c r="F218" i="9"/>
  <c r="E218" i="9"/>
  <c r="D218" i="9"/>
  <c r="C218" i="9"/>
  <c r="B218" i="9"/>
  <c r="P217" i="9"/>
  <c r="O217" i="9"/>
  <c r="N217" i="9"/>
  <c r="M217" i="9"/>
  <c r="L217" i="9"/>
  <c r="K217" i="9"/>
  <c r="J217" i="9"/>
  <c r="I217" i="9"/>
  <c r="H217" i="9"/>
  <c r="G217" i="9"/>
  <c r="F217" i="9"/>
  <c r="E217" i="9"/>
  <c r="D217" i="9"/>
  <c r="C217" i="9"/>
  <c r="B217" i="9"/>
  <c r="P216" i="9"/>
  <c r="O216" i="9"/>
  <c r="N216" i="9"/>
  <c r="M216" i="9"/>
  <c r="L216" i="9"/>
  <c r="K216" i="9"/>
  <c r="J216" i="9"/>
  <c r="I216" i="9"/>
  <c r="H216" i="9"/>
  <c r="G216" i="9"/>
  <c r="F216" i="9"/>
  <c r="E216" i="9"/>
  <c r="D216" i="9"/>
  <c r="C216" i="9"/>
  <c r="B216" i="9"/>
  <c r="P215" i="9"/>
  <c r="O215" i="9"/>
  <c r="N215" i="9"/>
  <c r="M215" i="9"/>
  <c r="L215" i="9"/>
  <c r="K215" i="9"/>
  <c r="J215" i="9"/>
  <c r="I215" i="9"/>
  <c r="H215" i="9"/>
  <c r="G215" i="9"/>
  <c r="F215" i="9"/>
  <c r="E215" i="9"/>
  <c r="D215" i="9"/>
  <c r="C215" i="9"/>
  <c r="B215" i="9"/>
  <c r="P214" i="9"/>
  <c r="O214" i="9"/>
  <c r="N214" i="9"/>
  <c r="M214" i="9"/>
  <c r="L214" i="9"/>
  <c r="K214" i="9"/>
  <c r="J214" i="9"/>
  <c r="I214" i="9"/>
  <c r="H214" i="9"/>
  <c r="G214" i="9"/>
  <c r="F214" i="9"/>
  <c r="E214" i="9"/>
  <c r="D214" i="9"/>
  <c r="C214" i="9"/>
  <c r="B214" i="9"/>
  <c r="P213" i="9"/>
  <c r="O213" i="9"/>
  <c r="N213" i="9"/>
  <c r="M213" i="9"/>
  <c r="L213" i="9"/>
  <c r="K213" i="9"/>
  <c r="J213" i="9"/>
  <c r="I213" i="9"/>
  <c r="H213" i="9"/>
  <c r="G213" i="9"/>
  <c r="F213" i="9"/>
  <c r="E213" i="9"/>
  <c r="D213" i="9"/>
  <c r="C213" i="9"/>
  <c r="B213" i="9"/>
  <c r="P212" i="9"/>
  <c r="O212" i="9"/>
  <c r="N212" i="9"/>
  <c r="M212" i="9"/>
  <c r="L212" i="9"/>
  <c r="K212" i="9"/>
  <c r="J212" i="9"/>
  <c r="I212" i="9"/>
  <c r="H212" i="9"/>
  <c r="G212" i="9"/>
  <c r="F212" i="9"/>
  <c r="E212" i="9"/>
  <c r="D212" i="9"/>
  <c r="C212" i="9"/>
  <c r="B212" i="9"/>
  <c r="P211" i="9"/>
  <c r="O211" i="9"/>
  <c r="N211" i="9"/>
  <c r="M211" i="9"/>
  <c r="L211" i="9"/>
  <c r="K211" i="9"/>
  <c r="J211" i="9"/>
  <c r="I211" i="9"/>
  <c r="H211" i="9"/>
  <c r="G211" i="9"/>
  <c r="F211" i="9"/>
  <c r="E211" i="9"/>
  <c r="D211" i="9"/>
  <c r="C211" i="9"/>
  <c r="B211" i="9"/>
  <c r="P210" i="9"/>
  <c r="O210" i="9"/>
  <c r="N210" i="9"/>
  <c r="M210" i="9"/>
  <c r="L210" i="9"/>
  <c r="K210" i="9"/>
  <c r="J210" i="9"/>
  <c r="I210" i="9"/>
  <c r="H210" i="9"/>
  <c r="G210" i="9"/>
  <c r="F210" i="9"/>
  <c r="E210" i="9"/>
  <c r="D210" i="9"/>
  <c r="C210" i="9"/>
  <c r="B210" i="9"/>
  <c r="P209" i="9"/>
  <c r="O209" i="9"/>
  <c r="N209" i="9"/>
  <c r="M209" i="9"/>
  <c r="L209" i="9"/>
  <c r="K209" i="9"/>
  <c r="J209" i="9"/>
  <c r="I209" i="9"/>
  <c r="H209" i="9"/>
  <c r="G209" i="9"/>
  <c r="F209" i="9"/>
  <c r="E209" i="9"/>
  <c r="D209" i="9"/>
  <c r="C209" i="9"/>
  <c r="B209" i="9"/>
  <c r="P208" i="9"/>
  <c r="O208" i="9"/>
  <c r="N208" i="9"/>
  <c r="M208" i="9"/>
  <c r="L208" i="9"/>
  <c r="K208" i="9"/>
  <c r="J208" i="9"/>
  <c r="I208" i="9"/>
  <c r="H208" i="9"/>
  <c r="G208" i="9"/>
  <c r="F208" i="9"/>
  <c r="E208" i="9"/>
  <c r="D208" i="9"/>
  <c r="C208" i="9"/>
  <c r="B208" i="9"/>
  <c r="P207" i="9"/>
  <c r="O207" i="9"/>
  <c r="N207" i="9"/>
  <c r="M207" i="9"/>
  <c r="L207" i="9"/>
  <c r="K207" i="9"/>
  <c r="J207" i="9"/>
  <c r="I207" i="9"/>
  <c r="H207" i="9"/>
  <c r="G207" i="9"/>
  <c r="F207" i="9"/>
  <c r="E207" i="9"/>
  <c r="D207" i="9"/>
  <c r="C207" i="9"/>
  <c r="B207" i="9"/>
  <c r="P206" i="9"/>
  <c r="O206" i="9"/>
  <c r="N206" i="9"/>
  <c r="M206" i="9"/>
  <c r="L206" i="9"/>
  <c r="K206" i="9"/>
  <c r="J206" i="9"/>
  <c r="I206" i="9"/>
  <c r="H206" i="9"/>
  <c r="G206" i="9"/>
  <c r="F206" i="9"/>
  <c r="E206" i="9"/>
  <c r="D206" i="9"/>
  <c r="C206" i="9"/>
  <c r="B206" i="9"/>
  <c r="P205" i="9"/>
  <c r="O205" i="9"/>
  <c r="N205" i="9"/>
  <c r="M205" i="9"/>
  <c r="L205" i="9"/>
  <c r="K205" i="9"/>
  <c r="J205" i="9"/>
  <c r="I205" i="9"/>
  <c r="H205" i="9"/>
  <c r="G205" i="9"/>
  <c r="F205" i="9"/>
  <c r="E205" i="9"/>
  <c r="D205" i="9"/>
  <c r="C205" i="9"/>
  <c r="B205" i="9"/>
  <c r="P204" i="9"/>
  <c r="O204" i="9"/>
  <c r="N204" i="9"/>
  <c r="M204" i="9"/>
  <c r="L204" i="9"/>
  <c r="K204" i="9"/>
  <c r="J204" i="9"/>
  <c r="I204" i="9"/>
  <c r="H204" i="9"/>
  <c r="G204" i="9"/>
  <c r="F204" i="9"/>
  <c r="E204" i="9"/>
  <c r="D204" i="9"/>
  <c r="C204" i="9"/>
  <c r="B204" i="9"/>
  <c r="P203" i="9"/>
  <c r="O203" i="9"/>
  <c r="N203" i="9"/>
  <c r="M203" i="9"/>
  <c r="L203" i="9"/>
  <c r="K203" i="9"/>
  <c r="J203" i="9"/>
  <c r="I203" i="9"/>
  <c r="H203" i="9"/>
  <c r="G203" i="9"/>
  <c r="F203" i="9"/>
  <c r="E203" i="9"/>
  <c r="D203" i="9"/>
  <c r="C203" i="9"/>
  <c r="B203" i="9"/>
  <c r="P202" i="9"/>
  <c r="O202" i="9"/>
  <c r="N202" i="9"/>
  <c r="M202" i="9"/>
  <c r="L202" i="9"/>
  <c r="K202" i="9"/>
  <c r="J202" i="9"/>
  <c r="I202" i="9"/>
  <c r="H202" i="9"/>
  <c r="G202" i="9"/>
  <c r="F202" i="9"/>
  <c r="E202" i="9"/>
  <c r="D202" i="9"/>
  <c r="C202" i="9"/>
  <c r="B202" i="9"/>
  <c r="P201" i="9"/>
  <c r="O201" i="9"/>
  <c r="N201" i="9"/>
  <c r="M201" i="9"/>
  <c r="L201" i="9"/>
  <c r="K201" i="9"/>
  <c r="J201" i="9"/>
  <c r="I201" i="9"/>
  <c r="H201" i="9"/>
  <c r="G201" i="9"/>
  <c r="F201" i="9"/>
  <c r="E201" i="9"/>
  <c r="D201" i="9"/>
  <c r="C201" i="9"/>
  <c r="B201" i="9"/>
  <c r="P200" i="9"/>
  <c r="O200" i="9"/>
  <c r="N200" i="9"/>
  <c r="M200" i="9"/>
  <c r="L200" i="9"/>
  <c r="K200" i="9"/>
  <c r="J200" i="9"/>
  <c r="I200" i="9"/>
  <c r="H200" i="9"/>
  <c r="G200" i="9"/>
  <c r="F200" i="9"/>
  <c r="E200" i="9"/>
  <c r="D200" i="9"/>
  <c r="C200" i="9"/>
  <c r="B200" i="9"/>
  <c r="P199" i="9"/>
  <c r="O199" i="9"/>
  <c r="N199" i="9"/>
  <c r="M199" i="9"/>
  <c r="L199" i="9"/>
  <c r="K199" i="9"/>
  <c r="J199" i="9"/>
  <c r="I199" i="9"/>
  <c r="H199" i="9"/>
  <c r="G199" i="9"/>
  <c r="F199" i="9"/>
  <c r="E199" i="9"/>
  <c r="D199" i="9"/>
  <c r="C199" i="9"/>
  <c r="B199" i="9"/>
  <c r="P198" i="9"/>
  <c r="O198" i="9"/>
  <c r="N198" i="9"/>
  <c r="M198" i="9"/>
  <c r="L198" i="9"/>
  <c r="K198" i="9"/>
  <c r="J198" i="9"/>
  <c r="I198" i="9"/>
  <c r="H198" i="9"/>
  <c r="G198" i="9"/>
  <c r="F198" i="9"/>
  <c r="E198" i="9"/>
  <c r="D198" i="9"/>
  <c r="C198" i="9"/>
  <c r="B198" i="9"/>
  <c r="P197" i="9"/>
  <c r="O197" i="9"/>
  <c r="N197" i="9"/>
  <c r="M197" i="9"/>
  <c r="L197" i="9"/>
  <c r="K197" i="9"/>
  <c r="J197" i="9"/>
  <c r="I197" i="9"/>
  <c r="H197" i="9"/>
  <c r="G197" i="9"/>
  <c r="F197" i="9"/>
  <c r="E197" i="9"/>
  <c r="D197" i="9"/>
  <c r="C197" i="9"/>
  <c r="B197" i="9"/>
  <c r="P196" i="9"/>
  <c r="O196" i="9"/>
  <c r="N196" i="9"/>
  <c r="M196" i="9"/>
  <c r="L196" i="9"/>
  <c r="K196" i="9"/>
  <c r="J196" i="9"/>
  <c r="I196" i="9"/>
  <c r="H196" i="9"/>
  <c r="G196" i="9"/>
  <c r="F196" i="9"/>
  <c r="E196" i="9"/>
  <c r="D196" i="9"/>
  <c r="C196" i="9"/>
  <c r="B196" i="9"/>
  <c r="P195" i="9"/>
  <c r="O195" i="9"/>
  <c r="N195" i="9"/>
  <c r="M195" i="9"/>
  <c r="L195" i="9"/>
  <c r="K195" i="9"/>
  <c r="J195" i="9"/>
  <c r="I195" i="9"/>
  <c r="H195" i="9"/>
  <c r="G195" i="9"/>
  <c r="F195" i="9"/>
  <c r="E195" i="9"/>
  <c r="D195" i="9"/>
  <c r="C195" i="9"/>
  <c r="B195" i="9"/>
  <c r="P194" i="9"/>
  <c r="O194" i="9"/>
  <c r="N194" i="9"/>
  <c r="M194" i="9"/>
  <c r="L194" i="9"/>
  <c r="K194" i="9"/>
  <c r="J194" i="9"/>
  <c r="I194" i="9"/>
  <c r="H194" i="9"/>
  <c r="G194" i="9"/>
  <c r="F194" i="9"/>
  <c r="E194" i="9"/>
  <c r="D194" i="9"/>
  <c r="C194" i="9"/>
  <c r="B194" i="9"/>
  <c r="P193" i="9"/>
  <c r="O193" i="9"/>
  <c r="N193" i="9"/>
  <c r="M193" i="9"/>
  <c r="L193" i="9"/>
  <c r="K193" i="9"/>
  <c r="J193" i="9"/>
  <c r="I193" i="9"/>
  <c r="H193" i="9"/>
  <c r="G193" i="9"/>
  <c r="F193" i="9"/>
  <c r="E193" i="9"/>
  <c r="D193" i="9"/>
  <c r="C193" i="9"/>
  <c r="B193" i="9"/>
  <c r="P192" i="9"/>
  <c r="O192" i="9"/>
  <c r="N192" i="9"/>
  <c r="M192" i="9"/>
  <c r="L192" i="9"/>
  <c r="K192" i="9"/>
  <c r="J192" i="9"/>
  <c r="I192" i="9"/>
  <c r="H192" i="9"/>
  <c r="G192" i="9"/>
  <c r="F192" i="9"/>
  <c r="E192" i="9"/>
  <c r="D192" i="9"/>
  <c r="C192" i="9"/>
  <c r="B192" i="9"/>
  <c r="P191" i="9"/>
  <c r="O191" i="9"/>
  <c r="N191" i="9"/>
  <c r="M191" i="9"/>
  <c r="L191" i="9"/>
  <c r="K191" i="9"/>
  <c r="J191" i="9"/>
  <c r="I191" i="9"/>
  <c r="H191" i="9"/>
  <c r="G191" i="9"/>
  <c r="F191" i="9"/>
  <c r="E191" i="9"/>
  <c r="D191" i="9"/>
  <c r="C191" i="9"/>
  <c r="B191" i="9"/>
  <c r="P190" i="9"/>
  <c r="O190" i="9"/>
  <c r="N190" i="9"/>
  <c r="M190" i="9"/>
  <c r="L190" i="9"/>
  <c r="K190" i="9"/>
  <c r="J190" i="9"/>
  <c r="I190" i="9"/>
  <c r="H190" i="9"/>
  <c r="G190" i="9"/>
  <c r="F190" i="9"/>
  <c r="E190" i="9"/>
  <c r="D190" i="9"/>
  <c r="C190" i="9"/>
  <c r="B190" i="9"/>
  <c r="P189" i="9"/>
  <c r="O189" i="9"/>
  <c r="N189" i="9"/>
  <c r="M189" i="9"/>
  <c r="L189" i="9"/>
  <c r="K189" i="9"/>
  <c r="J189" i="9"/>
  <c r="I189" i="9"/>
  <c r="H189" i="9"/>
  <c r="G189" i="9"/>
  <c r="F189" i="9"/>
  <c r="E189" i="9"/>
  <c r="D189" i="9"/>
  <c r="C189" i="9"/>
  <c r="B189" i="9"/>
  <c r="P188" i="9"/>
  <c r="O188" i="9"/>
  <c r="N188" i="9"/>
  <c r="M188" i="9"/>
  <c r="L188" i="9"/>
  <c r="K188" i="9"/>
  <c r="J188" i="9"/>
  <c r="I188" i="9"/>
  <c r="H188" i="9"/>
  <c r="G188" i="9"/>
  <c r="F188" i="9"/>
  <c r="E188" i="9"/>
  <c r="D188" i="9"/>
  <c r="C188" i="9"/>
  <c r="B188" i="9"/>
  <c r="P187" i="9"/>
  <c r="O187" i="9"/>
  <c r="N187" i="9"/>
  <c r="M187" i="9"/>
  <c r="L187" i="9"/>
  <c r="K187" i="9"/>
  <c r="J187" i="9"/>
  <c r="I187" i="9"/>
  <c r="H187" i="9"/>
  <c r="G187" i="9"/>
  <c r="F187" i="9"/>
  <c r="E187" i="9"/>
  <c r="D187" i="9"/>
  <c r="C187" i="9"/>
  <c r="B187" i="9"/>
  <c r="P186" i="9"/>
  <c r="O186" i="9"/>
  <c r="N186" i="9"/>
  <c r="M186" i="9"/>
  <c r="L186" i="9"/>
  <c r="K186" i="9"/>
  <c r="J186" i="9"/>
  <c r="I186" i="9"/>
  <c r="H186" i="9"/>
  <c r="G186" i="9"/>
  <c r="F186" i="9"/>
  <c r="E186" i="9"/>
  <c r="D186" i="9"/>
  <c r="C186" i="9"/>
  <c r="B186" i="9"/>
  <c r="P185" i="9"/>
  <c r="O185" i="9"/>
  <c r="N185" i="9"/>
  <c r="M185" i="9"/>
  <c r="L185" i="9"/>
  <c r="K185" i="9"/>
  <c r="J185" i="9"/>
  <c r="I185" i="9"/>
  <c r="H185" i="9"/>
  <c r="G185" i="9"/>
  <c r="F185" i="9"/>
  <c r="E185" i="9"/>
  <c r="D185" i="9"/>
  <c r="C185" i="9"/>
  <c r="B185" i="9"/>
  <c r="P184" i="9"/>
  <c r="O184" i="9"/>
  <c r="N184" i="9"/>
  <c r="M184" i="9"/>
  <c r="L184" i="9"/>
  <c r="K184" i="9"/>
  <c r="J184" i="9"/>
  <c r="I184" i="9"/>
  <c r="H184" i="9"/>
  <c r="G184" i="9"/>
  <c r="F184" i="9"/>
  <c r="E184" i="9"/>
  <c r="D184" i="9"/>
  <c r="C184" i="9"/>
  <c r="B184" i="9"/>
  <c r="P183" i="9"/>
  <c r="O183" i="9"/>
  <c r="N183" i="9"/>
  <c r="M183" i="9"/>
  <c r="L183" i="9"/>
  <c r="K183" i="9"/>
  <c r="J183" i="9"/>
  <c r="I183" i="9"/>
  <c r="H183" i="9"/>
  <c r="G183" i="9"/>
  <c r="F183" i="9"/>
  <c r="E183" i="9"/>
  <c r="D183" i="9"/>
  <c r="C183" i="9"/>
  <c r="B183" i="9"/>
  <c r="P182" i="9"/>
  <c r="O182" i="9"/>
  <c r="N182" i="9"/>
  <c r="M182" i="9"/>
  <c r="L182" i="9"/>
  <c r="K182" i="9"/>
  <c r="J182" i="9"/>
  <c r="I182" i="9"/>
  <c r="H182" i="9"/>
  <c r="G182" i="9"/>
  <c r="F182" i="9"/>
  <c r="E182" i="9"/>
  <c r="D182" i="9"/>
  <c r="C182" i="9"/>
  <c r="B182" i="9"/>
  <c r="P181" i="9"/>
  <c r="O181" i="9"/>
  <c r="N181" i="9"/>
  <c r="M181" i="9"/>
  <c r="L181" i="9"/>
  <c r="K181" i="9"/>
  <c r="J181" i="9"/>
  <c r="I181" i="9"/>
  <c r="H181" i="9"/>
  <c r="G181" i="9"/>
  <c r="F181" i="9"/>
  <c r="E181" i="9"/>
  <c r="D181" i="9"/>
  <c r="C181" i="9"/>
  <c r="B181" i="9"/>
  <c r="P180" i="9"/>
  <c r="O180" i="9"/>
  <c r="N180" i="9"/>
  <c r="M180" i="9"/>
  <c r="L180" i="9"/>
  <c r="K180" i="9"/>
  <c r="J180" i="9"/>
  <c r="I180" i="9"/>
  <c r="H180" i="9"/>
  <c r="G180" i="9"/>
  <c r="F180" i="9"/>
  <c r="E180" i="9"/>
  <c r="D180" i="9"/>
  <c r="C180" i="9"/>
  <c r="B180" i="9"/>
  <c r="P179" i="9"/>
  <c r="O179" i="9"/>
  <c r="N179" i="9"/>
  <c r="M179" i="9"/>
  <c r="L179" i="9"/>
  <c r="K179" i="9"/>
  <c r="J179" i="9"/>
  <c r="I179" i="9"/>
  <c r="H179" i="9"/>
  <c r="G179" i="9"/>
  <c r="F179" i="9"/>
  <c r="E179" i="9"/>
  <c r="D179" i="9"/>
  <c r="C179" i="9"/>
  <c r="B179" i="9"/>
  <c r="P178" i="9"/>
  <c r="O178" i="9"/>
  <c r="N178" i="9"/>
  <c r="M178" i="9"/>
  <c r="L178" i="9"/>
  <c r="K178" i="9"/>
  <c r="J178" i="9"/>
  <c r="I178" i="9"/>
  <c r="H178" i="9"/>
  <c r="G178" i="9"/>
  <c r="F178" i="9"/>
  <c r="E178" i="9"/>
  <c r="D178" i="9"/>
  <c r="C178" i="9"/>
  <c r="B178" i="9"/>
  <c r="P177" i="9"/>
  <c r="O177" i="9"/>
  <c r="N177" i="9"/>
  <c r="M177" i="9"/>
  <c r="L177" i="9"/>
  <c r="K177" i="9"/>
  <c r="J177" i="9"/>
  <c r="I177" i="9"/>
  <c r="H177" i="9"/>
  <c r="G177" i="9"/>
  <c r="F177" i="9"/>
  <c r="E177" i="9"/>
  <c r="D177" i="9"/>
  <c r="C177" i="9"/>
  <c r="B177" i="9"/>
  <c r="P176" i="9"/>
  <c r="O176" i="9"/>
  <c r="N176" i="9"/>
  <c r="M176" i="9"/>
  <c r="L176" i="9"/>
  <c r="K176" i="9"/>
  <c r="J176" i="9"/>
  <c r="I176" i="9"/>
  <c r="H176" i="9"/>
  <c r="G176" i="9"/>
  <c r="F176" i="9"/>
  <c r="E176" i="9"/>
  <c r="D176" i="9"/>
  <c r="C176" i="9"/>
  <c r="B176" i="9"/>
  <c r="P175" i="9"/>
  <c r="O175" i="9"/>
  <c r="N175" i="9"/>
  <c r="M175" i="9"/>
  <c r="L175" i="9"/>
  <c r="K175" i="9"/>
  <c r="J175" i="9"/>
  <c r="I175" i="9"/>
  <c r="H175" i="9"/>
  <c r="G175" i="9"/>
  <c r="F175" i="9"/>
  <c r="E175" i="9"/>
  <c r="D175" i="9"/>
  <c r="C175" i="9"/>
  <c r="B175" i="9"/>
  <c r="P174" i="9"/>
  <c r="O174" i="9"/>
  <c r="N174" i="9"/>
  <c r="M174" i="9"/>
  <c r="L174" i="9"/>
  <c r="K174" i="9"/>
  <c r="J174" i="9"/>
  <c r="I174" i="9"/>
  <c r="H174" i="9"/>
  <c r="G174" i="9"/>
  <c r="F174" i="9"/>
  <c r="E174" i="9"/>
  <c r="D174" i="9"/>
  <c r="C174" i="9"/>
  <c r="B174" i="9"/>
  <c r="P173" i="9"/>
  <c r="O173" i="9"/>
  <c r="N173" i="9"/>
  <c r="M173" i="9"/>
  <c r="L173" i="9"/>
  <c r="K173" i="9"/>
  <c r="J173" i="9"/>
  <c r="I173" i="9"/>
  <c r="H173" i="9"/>
  <c r="G173" i="9"/>
  <c r="F173" i="9"/>
  <c r="E173" i="9"/>
  <c r="D173" i="9"/>
  <c r="C173" i="9"/>
  <c r="B173" i="9"/>
  <c r="P172" i="9"/>
  <c r="O172" i="9"/>
  <c r="N172" i="9"/>
  <c r="M172" i="9"/>
  <c r="L172" i="9"/>
  <c r="K172" i="9"/>
  <c r="J172" i="9"/>
  <c r="I172" i="9"/>
  <c r="H172" i="9"/>
  <c r="G172" i="9"/>
  <c r="F172" i="9"/>
  <c r="E172" i="9"/>
  <c r="D172" i="9"/>
  <c r="C172" i="9"/>
  <c r="B172" i="9"/>
  <c r="P171" i="9"/>
  <c r="O171" i="9"/>
  <c r="N171" i="9"/>
  <c r="M171" i="9"/>
  <c r="L171" i="9"/>
  <c r="K171" i="9"/>
  <c r="J171" i="9"/>
  <c r="I171" i="9"/>
  <c r="H171" i="9"/>
  <c r="G171" i="9"/>
  <c r="F171" i="9"/>
  <c r="E171" i="9"/>
  <c r="D171" i="9"/>
  <c r="C171" i="9"/>
  <c r="B171" i="9"/>
  <c r="P170" i="9"/>
  <c r="O170" i="9"/>
  <c r="N170" i="9"/>
  <c r="M170" i="9"/>
  <c r="L170" i="9"/>
  <c r="K170" i="9"/>
  <c r="J170" i="9"/>
  <c r="I170" i="9"/>
  <c r="H170" i="9"/>
  <c r="G170" i="9"/>
  <c r="F170" i="9"/>
  <c r="E170" i="9"/>
  <c r="D170" i="9"/>
  <c r="C170" i="9"/>
  <c r="B170" i="9"/>
  <c r="P169" i="9"/>
  <c r="O169" i="9"/>
  <c r="N169" i="9"/>
  <c r="M169" i="9"/>
  <c r="L169" i="9"/>
  <c r="K169" i="9"/>
  <c r="J169" i="9"/>
  <c r="I169" i="9"/>
  <c r="H169" i="9"/>
  <c r="G169" i="9"/>
  <c r="F169" i="9"/>
  <c r="E169" i="9"/>
  <c r="D169" i="9"/>
  <c r="C169" i="9"/>
  <c r="B169" i="9"/>
  <c r="P168" i="9"/>
  <c r="O168" i="9"/>
  <c r="N168" i="9"/>
  <c r="M168" i="9"/>
  <c r="L168" i="9"/>
  <c r="K168" i="9"/>
  <c r="J168" i="9"/>
  <c r="I168" i="9"/>
  <c r="H168" i="9"/>
  <c r="G168" i="9"/>
  <c r="F168" i="9"/>
  <c r="E168" i="9"/>
  <c r="D168" i="9"/>
  <c r="C168" i="9"/>
  <c r="B168" i="9"/>
  <c r="P167" i="9"/>
  <c r="O167" i="9"/>
  <c r="N167" i="9"/>
  <c r="M167" i="9"/>
  <c r="L167" i="9"/>
  <c r="K167" i="9"/>
  <c r="J167" i="9"/>
  <c r="I167" i="9"/>
  <c r="H167" i="9"/>
  <c r="G167" i="9"/>
  <c r="F167" i="9"/>
  <c r="E167" i="9"/>
  <c r="D167" i="9"/>
  <c r="C167" i="9"/>
  <c r="B167" i="9"/>
  <c r="P166" i="9"/>
  <c r="O166" i="9"/>
  <c r="N166" i="9"/>
  <c r="M166" i="9"/>
  <c r="L166" i="9"/>
  <c r="K166" i="9"/>
  <c r="J166" i="9"/>
  <c r="I166" i="9"/>
  <c r="H166" i="9"/>
  <c r="G166" i="9"/>
  <c r="F166" i="9"/>
  <c r="E166" i="9"/>
  <c r="D166" i="9"/>
  <c r="C166" i="9"/>
  <c r="B166" i="9"/>
  <c r="P165" i="9"/>
  <c r="O165" i="9"/>
  <c r="N165" i="9"/>
  <c r="M165" i="9"/>
  <c r="L165" i="9"/>
  <c r="K165" i="9"/>
  <c r="J165" i="9"/>
  <c r="I165" i="9"/>
  <c r="H165" i="9"/>
  <c r="G165" i="9"/>
  <c r="F165" i="9"/>
  <c r="E165" i="9"/>
  <c r="D165" i="9"/>
  <c r="C165" i="9"/>
  <c r="B165" i="9"/>
  <c r="P164" i="9"/>
  <c r="O164" i="9"/>
  <c r="N164" i="9"/>
  <c r="M164" i="9"/>
  <c r="L164" i="9"/>
  <c r="K164" i="9"/>
  <c r="J164" i="9"/>
  <c r="I164" i="9"/>
  <c r="H164" i="9"/>
  <c r="G164" i="9"/>
  <c r="F164" i="9"/>
  <c r="E164" i="9"/>
  <c r="D164" i="9"/>
  <c r="C164" i="9"/>
  <c r="B164" i="9"/>
  <c r="P163" i="9"/>
  <c r="O163" i="9"/>
  <c r="N163" i="9"/>
  <c r="M163" i="9"/>
  <c r="L163" i="9"/>
  <c r="K163" i="9"/>
  <c r="J163" i="9"/>
  <c r="I163" i="9"/>
  <c r="H163" i="9"/>
  <c r="G163" i="9"/>
  <c r="F163" i="9"/>
  <c r="E163" i="9"/>
  <c r="D163" i="9"/>
  <c r="C163" i="9"/>
  <c r="B163" i="9"/>
  <c r="P162" i="9"/>
  <c r="O162" i="9"/>
  <c r="N162" i="9"/>
  <c r="M162" i="9"/>
  <c r="L162" i="9"/>
  <c r="K162" i="9"/>
  <c r="J162" i="9"/>
  <c r="I162" i="9"/>
  <c r="H162" i="9"/>
  <c r="G162" i="9"/>
  <c r="F162" i="9"/>
  <c r="E162" i="9"/>
  <c r="D162" i="9"/>
  <c r="C162" i="9"/>
  <c r="B162" i="9"/>
  <c r="P161" i="9"/>
  <c r="O161" i="9"/>
  <c r="N161" i="9"/>
  <c r="M161" i="9"/>
  <c r="L161" i="9"/>
  <c r="K161" i="9"/>
  <c r="J161" i="9"/>
  <c r="I161" i="9"/>
  <c r="H161" i="9"/>
  <c r="G161" i="9"/>
  <c r="F161" i="9"/>
  <c r="E161" i="9"/>
  <c r="D161" i="9"/>
  <c r="C161" i="9"/>
  <c r="B161" i="9"/>
  <c r="P160" i="9"/>
  <c r="O160" i="9"/>
  <c r="N160" i="9"/>
  <c r="M160" i="9"/>
  <c r="L160" i="9"/>
  <c r="K160" i="9"/>
  <c r="J160" i="9"/>
  <c r="I160" i="9"/>
  <c r="H160" i="9"/>
  <c r="G160" i="9"/>
  <c r="F160" i="9"/>
  <c r="E160" i="9"/>
  <c r="D160" i="9"/>
  <c r="C160" i="9"/>
  <c r="B160" i="9"/>
  <c r="P159" i="9"/>
  <c r="O159" i="9"/>
  <c r="N159" i="9"/>
  <c r="M159" i="9"/>
  <c r="L159" i="9"/>
  <c r="K159" i="9"/>
  <c r="J159" i="9"/>
  <c r="I159" i="9"/>
  <c r="H159" i="9"/>
  <c r="G159" i="9"/>
  <c r="F159" i="9"/>
  <c r="E159" i="9"/>
  <c r="D159" i="9"/>
  <c r="C159" i="9"/>
  <c r="B159" i="9"/>
  <c r="P158" i="9"/>
  <c r="O158" i="9"/>
  <c r="N158" i="9"/>
  <c r="M158" i="9"/>
  <c r="L158" i="9"/>
  <c r="K158" i="9"/>
  <c r="J158" i="9"/>
  <c r="I158" i="9"/>
  <c r="H158" i="9"/>
  <c r="G158" i="9"/>
  <c r="F158" i="9"/>
  <c r="E158" i="9"/>
  <c r="D158" i="9"/>
  <c r="C158" i="9"/>
  <c r="B158" i="9"/>
  <c r="P157" i="9"/>
  <c r="O157" i="9"/>
  <c r="N157" i="9"/>
  <c r="M157" i="9"/>
  <c r="L157" i="9"/>
  <c r="K157" i="9"/>
  <c r="J157" i="9"/>
  <c r="I157" i="9"/>
  <c r="H157" i="9"/>
  <c r="G157" i="9"/>
  <c r="F157" i="9"/>
  <c r="E157" i="9"/>
  <c r="D157" i="9"/>
  <c r="C157" i="9"/>
  <c r="B157" i="9"/>
  <c r="P156" i="9"/>
  <c r="O156" i="9"/>
  <c r="N156" i="9"/>
  <c r="M156" i="9"/>
  <c r="L156" i="9"/>
  <c r="K156" i="9"/>
  <c r="J156" i="9"/>
  <c r="I156" i="9"/>
  <c r="H156" i="9"/>
  <c r="G156" i="9"/>
  <c r="F156" i="9"/>
  <c r="E156" i="9"/>
  <c r="D156" i="9"/>
  <c r="C156" i="9"/>
  <c r="B156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P147" i="9"/>
  <c r="O147" i="9"/>
  <c r="N147" i="9"/>
  <c r="M147" i="9"/>
  <c r="L147" i="9"/>
  <c r="K147" i="9"/>
  <c r="J147" i="9"/>
  <c r="I147" i="9"/>
  <c r="H147" i="9"/>
  <c r="G147" i="9"/>
  <c r="F147" i="9"/>
  <c r="E147" i="9"/>
  <c r="D147" i="9"/>
  <c r="C147" i="9"/>
  <c r="B147" i="9"/>
  <c r="P146" i="9"/>
  <c r="O146" i="9"/>
  <c r="N146" i="9"/>
  <c r="M146" i="9"/>
  <c r="L146" i="9"/>
  <c r="K146" i="9"/>
  <c r="J146" i="9"/>
  <c r="I146" i="9"/>
  <c r="H146" i="9"/>
  <c r="G146" i="9"/>
  <c r="F146" i="9"/>
  <c r="E146" i="9"/>
  <c r="D146" i="9"/>
  <c r="C146" i="9"/>
  <c r="B146" i="9"/>
  <c r="P145" i="9"/>
  <c r="O145" i="9"/>
  <c r="N145" i="9"/>
  <c r="M145" i="9"/>
  <c r="L145" i="9"/>
  <c r="K145" i="9"/>
  <c r="J145" i="9"/>
  <c r="I145" i="9"/>
  <c r="H145" i="9"/>
  <c r="G145" i="9"/>
  <c r="F145" i="9"/>
  <c r="E145" i="9"/>
  <c r="D145" i="9"/>
  <c r="C145" i="9"/>
  <c r="B145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P136" i="9"/>
  <c r="O136" i="9"/>
  <c r="N136" i="9"/>
  <c r="M136" i="9"/>
  <c r="L136" i="9"/>
  <c r="K136" i="9"/>
  <c r="J136" i="9"/>
  <c r="I136" i="9"/>
  <c r="H136" i="9"/>
  <c r="G136" i="9"/>
  <c r="F136" i="9"/>
  <c r="E136" i="9"/>
  <c r="D136" i="9"/>
  <c r="C136" i="9"/>
  <c r="B136" i="9"/>
  <c r="P135" i="9"/>
  <c r="O135" i="9"/>
  <c r="N135" i="9"/>
  <c r="M135" i="9"/>
  <c r="L135" i="9"/>
  <c r="K135" i="9"/>
  <c r="J135" i="9"/>
  <c r="I135" i="9"/>
  <c r="H135" i="9"/>
  <c r="G135" i="9"/>
  <c r="F135" i="9"/>
  <c r="E135" i="9"/>
  <c r="D135" i="9"/>
  <c r="C135" i="9"/>
  <c r="B135" i="9"/>
  <c r="P134" i="9"/>
  <c r="O134" i="9"/>
  <c r="N134" i="9"/>
  <c r="M134" i="9"/>
  <c r="L134" i="9"/>
  <c r="K134" i="9"/>
  <c r="J134" i="9"/>
  <c r="I134" i="9"/>
  <c r="H134" i="9"/>
  <c r="G134" i="9"/>
  <c r="F134" i="9"/>
  <c r="E134" i="9"/>
  <c r="D134" i="9"/>
  <c r="C134" i="9"/>
  <c r="B134" i="9"/>
  <c r="P133" i="9"/>
  <c r="O133" i="9"/>
  <c r="N133" i="9"/>
  <c r="M133" i="9"/>
  <c r="L133" i="9"/>
  <c r="K133" i="9"/>
  <c r="J133" i="9"/>
  <c r="I133" i="9"/>
  <c r="H133" i="9"/>
  <c r="G133" i="9"/>
  <c r="F133" i="9"/>
  <c r="E133" i="9"/>
  <c r="D133" i="9"/>
  <c r="C133" i="9"/>
  <c r="B133" i="9"/>
  <c r="P132" i="9"/>
  <c r="O132" i="9"/>
  <c r="N132" i="9"/>
  <c r="M132" i="9"/>
  <c r="L132" i="9"/>
  <c r="K132" i="9"/>
  <c r="J132" i="9"/>
  <c r="I132" i="9"/>
  <c r="H132" i="9"/>
  <c r="G132" i="9"/>
  <c r="F132" i="9"/>
  <c r="E132" i="9"/>
  <c r="D132" i="9"/>
  <c r="C132" i="9"/>
  <c r="B132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P128" i="9"/>
  <c r="O128" i="9"/>
  <c r="N128" i="9"/>
  <c r="M128" i="9"/>
  <c r="L128" i="9"/>
  <c r="K128" i="9"/>
  <c r="J128" i="9"/>
  <c r="I128" i="9"/>
  <c r="H128" i="9"/>
  <c r="G128" i="9"/>
  <c r="F128" i="9"/>
  <c r="E128" i="9"/>
  <c r="D128" i="9"/>
  <c r="C128" i="9"/>
  <c r="B128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P120" i="9"/>
  <c r="O120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B120" i="9"/>
  <c r="P119" i="9"/>
  <c r="O119" i="9"/>
  <c r="N119" i="9"/>
  <c r="M119" i="9"/>
  <c r="L119" i="9"/>
  <c r="K119" i="9"/>
  <c r="J119" i="9"/>
  <c r="I119" i="9"/>
  <c r="H119" i="9"/>
  <c r="G119" i="9"/>
  <c r="F119" i="9"/>
  <c r="E119" i="9"/>
  <c r="D119" i="9"/>
  <c r="C119" i="9"/>
  <c r="B119" i="9"/>
  <c r="P118" i="9"/>
  <c r="O118" i="9"/>
  <c r="N118" i="9"/>
  <c r="M118" i="9"/>
  <c r="L118" i="9"/>
  <c r="K118" i="9"/>
  <c r="J118" i="9"/>
  <c r="I118" i="9"/>
  <c r="H118" i="9"/>
  <c r="G118" i="9"/>
  <c r="F118" i="9"/>
  <c r="E118" i="9"/>
  <c r="D118" i="9"/>
  <c r="C118" i="9"/>
  <c r="B118" i="9"/>
  <c r="P117" i="9"/>
  <c r="O117" i="9"/>
  <c r="N117" i="9"/>
  <c r="M117" i="9"/>
  <c r="L117" i="9"/>
  <c r="K117" i="9"/>
  <c r="J117" i="9"/>
  <c r="I117" i="9"/>
  <c r="H117" i="9"/>
  <c r="G117" i="9"/>
  <c r="F117" i="9"/>
  <c r="E117" i="9"/>
  <c r="D117" i="9"/>
  <c r="C117" i="9"/>
  <c r="B117" i="9"/>
  <c r="P116" i="9"/>
  <c r="O116" i="9"/>
  <c r="N116" i="9"/>
  <c r="M116" i="9"/>
  <c r="L116" i="9"/>
  <c r="K116" i="9"/>
  <c r="J116" i="9"/>
  <c r="I116" i="9"/>
  <c r="H116" i="9"/>
  <c r="G116" i="9"/>
  <c r="F116" i="9"/>
  <c r="E116" i="9"/>
  <c r="D116" i="9"/>
  <c r="C116" i="9"/>
  <c r="B116" i="9"/>
  <c r="P115" i="9"/>
  <c r="O115" i="9"/>
  <c r="N115" i="9"/>
  <c r="M115" i="9"/>
  <c r="L115" i="9"/>
  <c r="K115" i="9"/>
  <c r="J115" i="9"/>
  <c r="I115" i="9"/>
  <c r="H115" i="9"/>
  <c r="G115" i="9"/>
  <c r="F115" i="9"/>
  <c r="E115" i="9"/>
  <c r="D115" i="9"/>
  <c r="C115" i="9"/>
  <c r="B115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P111" i="9"/>
  <c r="O111" i="9"/>
  <c r="N111" i="9"/>
  <c r="M111" i="9"/>
  <c r="L111" i="9"/>
  <c r="K111" i="9"/>
  <c r="J111" i="9"/>
  <c r="I111" i="9"/>
  <c r="H111" i="9"/>
  <c r="G111" i="9"/>
  <c r="F111" i="9"/>
  <c r="E111" i="9"/>
  <c r="D111" i="9"/>
  <c r="C111" i="9"/>
  <c r="B111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P102" i="9"/>
  <c r="O102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P101" i="9"/>
  <c r="O101" i="9"/>
  <c r="N101" i="9"/>
  <c r="M101" i="9"/>
  <c r="L101" i="9"/>
  <c r="K101" i="9"/>
  <c r="J101" i="9"/>
  <c r="I101" i="9"/>
  <c r="H101" i="9"/>
  <c r="G101" i="9"/>
  <c r="F101" i="9"/>
  <c r="E101" i="9"/>
  <c r="D101" i="9"/>
  <c r="C101" i="9"/>
  <c r="B101" i="9"/>
  <c r="P100" i="9"/>
  <c r="O100" i="9"/>
  <c r="N100" i="9"/>
  <c r="M100" i="9"/>
  <c r="L100" i="9"/>
  <c r="K100" i="9"/>
  <c r="J100" i="9"/>
  <c r="I100" i="9"/>
  <c r="H100" i="9"/>
  <c r="G100" i="9"/>
  <c r="F100" i="9"/>
  <c r="E100" i="9"/>
  <c r="D100" i="9"/>
  <c r="C100" i="9"/>
  <c r="B100" i="9"/>
  <c r="P99" i="9"/>
  <c r="O99" i="9"/>
  <c r="N99" i="9"/>
  <c r="M99" i="9"/>
  <c r="L99" i="9"/>
  <c r="K99" i="9"/>
  <c r="J99" i="9"/>
  <c r="I99" i="9"/>
  <c r="H99" i="9"/>
  <c r="G99" i="9"/>
  <c r="F99" i="9"/>
  <c r="E99" i="9"/>
  <c r="D99" i="9"/>
  <c r="C99" i="9"/>
  <c r="B99" i="9"/>
  <c r="P98" i="9"/>
  <c r="O98" i="9"/>
  <c r="N98" i="9"/>
  <c r="M98" i="9"/>
  <c r="L98" i="9"/>
  <c r="K98" i="9"/>
  <c r="J98" i="9"/>
  <c r="I98" i="9"/>
  <c r="H98" i="9"/>
  <c r="G98" i="9"/>
  <c r="F98" i="9"/>
  <c r="E98" i="9"/>
  <c r="D98" i="9"/>
  <c r="C98" i="9"/>
  <c r="B98" i="9"/>
  <c r="P97" i="9"/>
  <c r="O97" i="9"/>
  <c r="N97" i="9"/>
  <c r="M97" i="9"/>
  <c r="L97" i="9"/>
  <c r="K97" i="9"/>
  <c r="J97" i="9"/>
  <c r="I97" i="9"/>
  <c r="H97" i="9"/>
  <c r="G97" i="9"/>
  <c r="F97" i="9"/>
  <c r="E97" i="9"/>
  <c r="D97" i="9"/>
  <c r="C97" i="9"/>
  <c r="B97" i="9"/>
  <c r="P96" i="9"/>
  <c r="O96" i="9"/>
  <c r="N96" i="9"/>
  <c r="M96" i="9"/>
  <c r="L96" i="9"/>
  <c r="K96" i="9"/>
  <c r="J96" i="9"/>
  <c r="I96" i="9"/>
  <c r="H96" i="9"/>
  <c r="G96" i="9"/>
  <c r="F96" i="9"/>
  <c r="E96" i="9"/>
  <c r="D96" i="9"/>
  <c r="C96" i="9"/>
  <c r="B96" i="9"/>
  <c r="P95" i="9"/>
  <c r="O95" i="9"/>
  <c r="N95" i="9"/>
  <c r="M95" i="9"/>
  <c r="L95" i="9"/>
  <c r="K95" i="9"/>
  <c r="J95" i="9"/>
  <c r="I95" i="9"/>
  <c r="H95" i="9"/>
  <c r="G95" i="9"/>
  <c r="F95" i="9"/>
  <c r="E95" i="9"/>
  <c r="D95" i="9"/>
  <c r="C95" i="9"/>
  <c r="B95" i="9"/>
  <c r="P94" i="9"/>
  <c r="O94" i="9"/>
  <c r="N94" i="9"/>
  <c r="M94" i="9"/>
  <c r="L94" i="9"/>
  <c r="K94" i="9"/>
  <c r="J94" i="9"/>
  <c r="I94" i="9"/>
  <c r="H94" i="9"/>
  <c r="G94" i="9"/>
  <c r="F94" i="9"/>
  <c r="E94" i="9"/>
  <c r="D94" i="9"/>
  <c r="C94" i="9"/>
  <c r="B94" i="9"/>
  <c r="P93" i="9"/>
  <c r="O93" i="9"/>
  <c r="N93" i="9"/>
  <c r="M93" i="9"/>
  <c r="L93" i="9"/>
  <c r="K93" i="9"/>
  <c r="J93" i="9"/>
  <c r="I93" i="9"/>
  <c r="H93" i="9"/>
  <c r="G93" i="9"/>
  <c r="F93" i="9"/>
  <c r="E93" i="9"/>
  <c r="D93" i="9"/>
  <c r="C93" i="9"/>
  <c r="B93" i="9"/>
  <c r="P92" i="9"/>
  <c r="O92" i="9"/>
  <c r="N92" i="9"/>
  <c r="M92" i="9"/>
  <c r="L92" i="9"/>
  <c r="K92" i="9"/>
  <c r="J92" i="9"/>
  <c r="I92" i="9"/>
  <c r="H92" i="9"/>
  <c r="G92" i="9"/>
  <c r="F92" i="9"/>
  <c r="E92" i="9"/>
  <c r="D92" i="9"/>
  <c r="C92" i="9"/>
  <c r="B92" i="9"/>
  <c r="P91" i="9"/>
  <c r="O91" i="9"/>
  <c r="N91" i="9"/>
  <c r="M91" i="9"/>
  <c r="L91" i="9"/>
  <c r="K91" i="9"/>
  <c r="J91" i="9"/>
  <c r="I91" i="9"/>
  <c r="H91" i="9"/>
  <c r="G91" i="9"/>
  <c r="F91" i="9"/>
  <c r="E91" i="9"/>
  <c r="D91" i="9"/>
  <c r="C91" i="9"/>
  <c r="B91" i="9"/>
  <c r="P90" i="9"/>
  <c r="O90" i="9"/>
  <c r="N90" i="9"/>
  <c r="M90" i="9"/>
  <c r="L90" i="9"/>
  <c r="K90" i="9"/>
  <c r="J90" i="9"/>
  <c r="I90" i="9"/>
  <c r="H90" i="9"/>
  <c r="G90" i="9"/>
  <c r="F90" i="9"/>
  <c r="E90" i="9"/>
  <c r="D90" i="9"/>
  <c r="C90" i="9"/>
  <c r="B90" i="9"/>
  <c r="P89" i="9"/>
  <c r="O89" i="9"/>
  <c r="N89" i="9"/>
  <c r="M89" i="9"/>
  <c r="L89" i="9"/>
  <c r="K89" i="9"/>
  <c r="J89" i="9"/>
  <c r="I89" i="9"/>
  <c r="H89" i="9"/>
  <c r="G89" i="9"/>
  <c r="F89" i="9"/>
  <c r="E89" i="9"/>
  <c r="D89" i="9"/>
  <c r="C89" i="9"/>
  <c r="B89" i="9"/>
  <c r="P88" i="9"/>
  <c r="O88" i="9"/>
  <c r="N88" i="9"/>
  <c r="M88" i="9"/>
  <c r="L88" i="9"/>
  <c r="K88" i="9"/>
  <c r="J88" i="9"/>
  <c r="I88" i="9"/>
  <c r="H88" i="9"/>
  <c r="G88" i="9"/>
  <c r="F88" i="9"/>
  <c r="E88" i="9"/>
  <c r="D88" i="9"/>
  <c r="C88" i="9"/>
  <c r="B88" i="9"/>
  <c r="P87" i="9"/>
  <c r="O87" i="9"/>
  <c r="N87" i="9"/>
  <c r="M87" i="9"/>
  <c r="L87" i="9"/>
  <c r="K87" i="9"/>
  <c r="J87" i="9"/>
  <c r="I87" i="9"/>
  <c r="H87" i="9"/>
  <c r="G87" i="9"/>
  <c r="F87" i="9"/>
  <c r="E87" i="9"/>
  <c r="D87" i="9"/>
  <c r="C87" i="9"/>
  <c r="B87" i="9"/>
  <c r="P86" i="9"/>
  <c r="O86" i="9"/>
  <c r="N86" i="9"/>
  <c r="M86" i="9"/>
  <c r="L86" i="9"/>
  <c r="K86" i="9"/>
  <c r="J86" i="9"/>
  <c r="I86" i="9"/>
  <c r="H86" i="9"/>
  <c r="G86" i="9"/>
  <c r="F86" i="9"/>
  <c r="E86" i="9"/>
  <c r="D86" i="9"/>
  <c r="C86" i="9"/>
  <c r="B86" i="9"/>
  <c r="P85" i="9"/>
  <c r="O85" i="9"/>
  <c r="N85" i="9"/>
  <c r="M85" i="9"/>
  <c r="L85" i="9"/>
  <c r="K85" i="9"/>
  <c r="J85" i="9"/>
  <c r="I85" i="9"/>
  <c r="H85" i="9"/>
  <c r="G85" i="9"/>
  <c r="F85" i="9"/>
  <c r="E85" i="9"/>
  <c r="D85" i="9"/>
  <c r="C85" i="9"/>
  <c r="B85" i="9"/>
  <c r="P84" i="9"/>
  <c r="O84" i="9"/>
  <c r="N84" i="9"/>
  <c r="M84" i="9"/>
  <c r="L84" i="9"/>
  <c r="K84" i="9"/>
  <c r="J84" i="9"/>
  <c r="I84" i="9"/>
  <c r="H84" i="9"/>
  <c r="G84" i="9"/>
  <c r="F84" i="9"/>
  <c r="E84" i="9"/>
  <c r="D84" i="9"/>
  <c r="C84" i="9"/>
  <c r="B84" i="9"/>
  <c r="P83" i="9"/>
  <c r="O83" i="9"/>
  <c r="N83" i="9"/>
  <c r="M83" i="9"/>
  <c r="L83" i="9"/>
  <c r="K83" i="9"/>
  <c r="J83" i="9"/>
  <c r="I83" i="9"/>
  <c r="H83" i="9"/>
  <c r="G83" i="9"/>
  <c r="F83" i="9"/>
  <c r="E83" i="9"/>
  <c r="D83" i="9"/>
  <c r="C83" i="9"/>
  <c r="B83" i="9"/>
  <c r="P82" i="9"/>
  <c r="O82" i="9"/>
  <c r="N82" i="9"/>
  <c r="M82" i="9"/>
  <c r="L82" i="9"/>
  <c r="K82" i="9"/>
  <c r="J82" i="9"/>
  <c r="I82" i="9"/>
  <c r="H82" i="9"/>
  <c r="G82" i="9"/>
  <c r="F82" i="9"/>
  <c r="E82" i="9"/>
  <c r="D82" i="9"/>
  <c r="C82" i="9"/>
  <c r="B82" i="9"/>
  <c r="P81" i="9"/>
  <c r="O81" i="9"/>
  <c r="N81" i="9"/>
  <c r="M81" i="9"/>
  <c r="L81" i="9"/>
  <c r="K81" i="9"/>
  <c r="J81" i="9"/>
  <c r="I81" i="9"/>
  <c r="H81" i="9"/>
  <c r="G81" i="9"/>
  <c r="F81" i="9"/>
  <c r="E81" i="9"/>
  <c r="D81" i="9"/>
  <c r="C81" i="9"/>
  <c r="B81" i="9"/>
  <c r="P80" i="9"/>
  <c r="O80" i="9"/>
  <c r="N80" i="9"/>
  <c r="M80" i="9"/>
  <c r="L80" i="9"/>
  <c r="K80" i="9"/>
  <c r="J80" i="9"/>
  <c r="I80" i="9"/>
  <c r="H80" i="9"/>
  <c r="G80" i="9"/>
  <c r="F80" i="9"/>
  <c r="E80" i="9"/>
  <c r="D80" i="9"/>
  <c r="C80" i="9"/>
  <c r="B80" i="9"/>
  <c r="P79" i="9"/>
  <c r="O79" i="9"/>
  <c r="N79" i="9"/>
  <c r="M79" i="9"/>
  <c r="L79" i="9"/>
  <c r="K79" i="9"/>
  <c r="J79" i="9"/>
  <c r="I79" i="9"/>
  <c r="H79" i="9"/>
  <c r="G79" i="9"/>
  <c r="F79" i="9"/>
  <c r="E79" i="9"/>
  <c r="D79" i="9"/>
  <c r="C79" i="9"/>
  <c r="B79" i="9"/>
  <c r="P78" i="9"/>
  <c r="O78" i="9"/>
  <c r="N78" i="9"/>
  <c r="M78" i="9"/>
  <c r="L78" i="9"/>
  <c r="K78" i="9"/>
  <c r="J78" i="9"/>
  <c r="I78" i="9"/>
  <c r="H78" i="9"/>
  <c r="G78" i="9"/>
  <c r="F78" i="9"/>
  <c r="E78" i="9"/>
  <c r="D78" i="9"/>
  <c r="C78" i="9"/>
  <c r="B78" i="9"/>
  <c r="P77" i="9"/>
  <c r="O77" i="9"/>
  <c r="N77" i="9"/>
  <c r="M77" i="9"/>
  <c r="L77" i="9"/>
  <c r="K77" i="9"/>
  <c r="J77" i="9"/>
  <c r="I77" i="9"/>
  <c r="H77" i="9"/>
  <c r="G77" i="9"/>
  <c r="F77" i="9"/>
  <c r="E77" i="9"/>
  <c r="D77" i="9"/>
  <c r="C77" i="9"/>
  <c r="B77" i="9"/>
  <c r="P76" i="9"/>
  <c r="O76" i="9"/>
  <c r="N76" i="9"/>
  <c r="M76" i="9"/>
  <c r="L76" i="9"/>
  <c r="K76" i="9"/>
  <c r="J76" i="9"/>
  <c r="I76" i="9"/>
  <c r="H76" i="9"/>
  <c r="G76" i="9"/>
  <c r="F76" i="9"/>
  <c r="E76" i="9"/>
  <c r="D76" i="9"/>
  <c r="C76" i="9"/>
  <c r="B76" i="9"/>
  <c r="P75" i="9"/>
  <c r="O75" i="9"/>
  <c r="N75" i="9"/>
  <c r="M75" i="9"/>
  <c r="L75" i="9"/>
  <c r="K75" i="9"/>
  <c r="J75" i="9"/>
  <c r="I75" i="9"/>
  <c r="H75" i="9"/>
  <c r="G75" i="9"/>
  <c r="F75" i="9"/>
  <c r="E75" i="9"/>
  <c r="D75" i="9"/>
  <c r="C75" i="9"/>
  <c r="B75" i="9"/>
  <c r="P74" i="9"/>
  <c r="O74" i="9"/>
  <c r="N74" i="9"/>
  <c r="M74" i="9"/>
  <c r="L74" i="9"/>
  <c r="K74" i="9"/>
  <c r="J74" i="9"/>
  <c r="I74" i="9"/>
  <c r="H74" i="9"/>
  <c r="G74" i="9"/>
  <c r="F74" i="9"/>
  <c r="E74" i="9"/>
  <c r="D74" i="9"/>
  <c r="C74" i="9"/>
  <c r="B74" i="9"/>
  <c r="P73" i="9"/>
  <c r="O73" i="9"/>
  <c r="N73" i="9"/>
  <c r="M73" i="9"/>
  <c r="L73" i="9"/>
  <c r="K73" i="9"/>
  <c r="J73" i="9"/>
  <c r="I73" i="9"/>
  <c r="H73" i="9"/>
  <c r="G73" i="9"/>
  <c r="F73" i="9"/>
  <c r="E73" i="9"/>
  <c r="D73" i="9"/>
  <c r="C73" i="9"/>
  <c r="B73" i="9"/>
  <c r="P72" i="9"/>
  <c r="O72" i="9"/>
  <c r="N72" i="9"/>
  <c r="M72" i="9"/>
  <c r="L72" i="9"/>
  <c r="K72" i="9"/>
  <c r="J72" i="9"/>
  <c r="I72" i="9"/>
  <c r="H72" i="9"/>
  <c r="G72" i="9"/>
  <c r="F72" i="9"/>
  <c r="E72" i="9"/>
  <c r="D72" i="9"/>
  <c r="C72" i="9"/>
  <c r="B72" i="9"/>
  <c r="P71" i="9"/>
  <c r="O71" i="9"/>
  <c r="N71" i="9"/>
  <c r="M71" i="9"/>
  <c r="L71" i="9"/>
  <c r="K71" i="9"/>
  <c r="J71" i="9"/>
  <c r="I71" i="9"/>
  <c r="H71" i="9"/>
  <c r="G71" i="9"/>
  <c r="F71" i="9"/>
  <c r="E71" i="9"/>
  <c r="D71" i="9"/>
  <c r="C71" i="9"/>
  <c r="B71" i="9"/>
  <c r="P70" i="9"/>
  <c r="O70" i="9"/>
  <c r="N70" i="9"/>
  <c r="M70" i="9"/>
  <c r="L70" i="9"/>
  <c r="K70" i="9"/>
  <c r="J70" i="9"/>
  <c r="I70" i="9"/>
  <c r="H70" i="9"/>
  <c r="G70" i="9"/>
  <c r="F70" i="9"/>
  <c r="E70" i="9"/>
  <c r="D70" i="9"/>
  <c r="C70" i="9"/>
  <c r="B70" i="9"/>
  <c r="P69" i="9"/>
  <c r="O69" i="9"/>
  <c r="N69" i="9"/>
  <c r="M69" i="9"/>
  <c r="L69" i="9"/>
  <c r="K69" i="9"/>
  <c r="J69" i="9"/>
  <c r="I69" i="9"/>
  <c r="H69" i="9"/>
  <c r="G69" i="9"/>
  <c r="F69" i="9"/>
  <c r="E69" i="9"/>
  <c r="D69" i="9"/>
  <c r="C69" i="9"/>
  <c r="B69" i="9"/>
  <c r="P68" i="9"/>
  <c r="O68" i="9"/>
  <c r="N68" i="9"/>
  <c r="M68" i="9"/>
  <c r="L68" i="9"/>
  <c r="K68" i="9"/>
  <c r="J68" i="9"/>
  <c r="I68" i="9"/>
  <c r="H68" i="9"/>
  <c r="G68" i="9"/>
  <c r="F68" i="9"/>
  <c r="E68" i="9"/>
  <c r="D68" i="9"/>
  <c r="C68" i="9"/>
  <c r="B68" i="9"/>
  <c r="P67" i="9"/>
  <c r="O67" i="9"/>
  <c r="N67" i="9"/>
  <c r="M67" i="9"/>
  <c r="L67" i="9"/>
  <c r="K67" i="9"/>
  <c r="J67" i="9"/>
  <c r="I67" i="9"/>
  <c r="H67" i="9"/>
  <c r="G67" i="9"/>
  <c r="F67" i="9"/>
  <c r="E67" i="9"/>
  <c r="D67" i="9"/>
  <c r="C67" i="9"/>
  <c r="B67" i="9"/>
  <c r="P66" i="9"/>
  <c r="O66" i="9"/>
  <c r="N66" i="9"/>
  <c r="M66" i="9"/>
  <c r="L66" i="9"/>
  <c r="K66" i="9"/>
  <c r="J66" i="9"/>
  <c r="I66" i="9"/>
  <c r="H66" i="9"/>
  <c r="G66" i="9"/>
  <c r="F66" i="9"/>
  <c r="E66" i="9"/>
  <c r="D66" i="9"/>
  <c r="C66" i="9"/>
  <c r="B66" i="9"/>
  <c r="P65" i="9"/>
  <c r="O65" i="9"/>
  <c r="N65" i="9"/>
  <c r="M65" i="9"/>
  <c r="L65" i="9"/>
  <c r="K65" i="9"/>
  <c r="J65" i="9"/>
  <c r="I65" i="9"/>
  <c r="H65" i="9"/>
  <c r="G65" i="9"/>
  <c r="F65" i="9"/>
  <c r="E65" i="9"/>
  <c r="D65" i="9"/>
  <c r="C65" i="9"/>
  <c r="B65" i="9"/>
  <c r="P64" i="9"/>
  <c r="O64" i="9"/>
  <c r="N64" i="9"/>
  <c r="M64" i="9"/>
  <c r="L64" i="9"/>
  <c r="K64" i="9"/>
  <c r="J64" i="9"/>
  <c r="I64" i="9"/>
  <c r="H64" i="9"/>
  <c r="G64" i="9"/>
  <c r="F64" i="9"/>
  <c r="E64" i="9"/>
  <c r="D64" i="9"/>
  <c r="C64" i="9"/>
  <c r="B64" i="9"/>
  <c r="P63" i="9"/>
  <c r="O63" i="9"/>
  <c r="N63" i="9"/>
  <c r="M63" i="9"/>
  <c r="L63" i="9"/>
  <c r="K63" i="9"/>
  <c r="J63" i="9"/>
  <c r="I63" i="9"/>
  <c r="H63" i="9"/>
  <c r="G63" i="9"/>
  <c r="F63" i="9"/>
  <c r="E63" i="9"/>
  <c r="D63" i="9"/>
  <c r="C63" i="9"/>
  <c r="B63" i="9"/>
  <c r="P62" i="9"/>
  <c r="O62" i="9"/>
  <c r="N62" i="9"/>
  <c r="M62" i="9"/>
  <c r="L62" i="9"/>
  <c r="K62" i="9"/>
  <c r="J62" i="9"/>
  <c r="I62" i="9"/>
  <c r="H62" i="9"/>
  <c r="G62" i="9"/>
  <c r="F62" i="9"/>
  <c r="E62" i="9"/>
  <c r="D62" i="9"/>
  <c r="C62" i="9"/>
  <c r="B62" i="9"/>
  <c r="P61" i="9"/>
  <c r="O61" i="9"/>
  <c r="N61" i="9"/>
  <c r="M61" i="9"/>
  <c r="L61" i="9"/>
  <c r="K61" i="9"/>
  <c r="J61" i="9"/>
  <c r="I61" i="9"/>
  <c r="H61" i="9"/>
  <c r="G61" i="9"/>
  <c r="F61" i="9"/>
  <c r="E61" i="9"/>
  <c r="D61" i="9"/>
  <c r="C61" i="9"/>
  <c r="B61" i="9"/>
  <c r="P60" i="9"/>
  <c r="O60" i="9"/>
  <c r="N60" i="9"/>
  <c r="M60" i="9"/>
  <c r="L60" i="9"/>
  <c r="K60" i="9"/>
  <c r="J60" i="9"/>
  <c r="I60" i="9"/>
  <c r="H60" i="9"/>
  <c r="G60" i="9"/>
  <c r="F60" i="9"/>
  <c r="E60" i="9"/>
  <c r="D60" i="9"/>
  <c r="C60" i="9"/>
  <c r="B60" i="9"/>
  <c r="P59" i="9"/>
  <c r="O59" i="9"/>
  <c r="N59" i="9"/>
  <c r="M59" i="9"/>
  <c r="L59" i="9"/>
  <c r="K59" i="9"/>
  <c r="J59" i="9"/>
  <c r="I59" i="9"/>
  <c r="H59" i="9"/>
  <c r="G59" i="9"/>
  <c r="F59" i="9"/>
  <c r="E59" i="9"/>
  <c r="D59" i="9"/>
  <c r="C59" i="9"/>
  <c r="B59" i="9"/>
  <c r="P58" i="9"/>
  <c r="O58" i="9"/>
  <c r="N58" i="9"/>
  <c r="M58" i="9"/>
  <c r="L58" i="9"/>
  <c r="K58" i="9"/>
  <c r="J58" i="9"/>
  <c r="I58" i="9"/>
  <c r="H58" i="9"/>
  <c r="G58" i="9"/>
  <c r="F58" i="9"/>
  <c r="E58" i="9"/>
  <c r="D58" i="9"/>
  <c r="C58" i="9"/>
  <c r="B58" i="9"/>
  <c r="P57" i="9"/>
  <c r="O57" i="9"/>
  <c r="N57" i="9"/>
  <c r="M57" i="9"/>
  <c r="L57" i="9"/>
  <c r="K57" i="9"/>
  <c r="J57" i="9"/>
  <c r="I57" i="9"/>
  <c r="H57" i="9"/>
  <c r="G57" i="9"/>
  <c r="F57" i="9"/>
  <c r="E57" i="9"/>
  <c r="D57" i="9"/>
  <c r="C57" i="9"/>
  <c r="B57" i="9"/>
  <c r="P56" i="9"/>
  <c r="O56" i="9"/>
  <c r="N56" i="9"/>
  <c r="M56" i="9"/>
  <c r="L56" i="9"/>
  <c r="K56" i="9"/>
  <c r="J56" i="9"/>
  <c r="I56" i="9"/>
  <c r="H56" i="9"/>
  <c r="G56" i="9"/>
  <c r="F56" i="9"/>
  <c r="E56" i="9"/>
  <c r="D56" i="9"/>
  <c r="C56" i="9"/>
  <c r="B56" i="9"/>
  <c r="P55" i="9"/>
  <c r="O55" i="9"/>
  <c r="N55" i="9"/>
  <c r="M55" i="9"/>
  <c r="L55" i="9"/>
  <c r="K55" i="9"/>
  <c r="J55" i="9"/>
  <c r="I55" i="9"/>
  <c r="H55" i="9"/>
  <c r="G55" i="9"/>
  <c r="F55" i="9"/>
  <c r="E55" i="9"/>
  <c r="D55" i="9"/>
  <c r="C55" i="9"/>
  <c r="B55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B54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B53" i="9"/>
  <c r="P52" i="9"/>
  <c r="O52" i="9"/>
  <c r="N52" i="9"/>
  <c r="M52" i="9"/>
  <c r="L52" i="9"/>
  <c r="K52" i="9"/>
  <c r="J52" i="9"/>
  <c r="I52" i="9"/>
  <c r="H52" i="9"/>
  <c r="G52" i="9"/>
  <c r="F52" i="9"/>
  <c r="E52" i="9"/>
  <c r="D52" i="9"/>
  <c r="C52" i="9"/>
  <c r="B52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B51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B50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B49" i="9"/>
  <c r="P48" i="9"/>
  <c r="O48" i="9"/>
  <c r="N48" i="9"/>
  <c r="M48" i="9"/>
  <c r="L48" i="9"/>
  <c r="K48" i="9"/>
  <c r="J48" i="9"/>
  <c r="I48" i="9"/>
  <c r="H48" i="9"/>
  <c r="G48" i="9"/>
  <c r="F48" i="9"/>
  <c r="E48" i="9"/>
  <c r="D48" i="9"/>
  <c r="C48" i="9"/>
  <c r="B48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B47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B46" i="9"/>
  <c r="P45" i="9"/>
  <c r="O45" i="9"/>
  <c r="N45" i="9"/>
  <c r="M45" i="9"/>
  <c r="L45" i="9"/>
  <c r="K45" i="9"/>
  <c r="J45" i="9"/>
  <c r="I45" i="9"/>
  <c r="H45" i="9"/>
  <c r="G45" i="9"/>
  <c r="F45" i="9"/>
  <c r="E45" i="9"/>
  <c r="D45" i="9"/>
  <c r="C45" i="9"/>
  <c r="B45" i="9"/>
  <c r="P44" i="9"/>
  <c r="O44" i="9"/>
  <c r="N44" i="9"/>
  <c r="M44" i="9"/>
  <c r="L44" i="9"/>
  <c r="K44" i="9"/>
  <c r="J44" i="9"/>
  <c r="I44" i="9"/>
  <c r="H44" i="9"/>
  <c r="G44" i="9"/>
  <c r="F44" i="9"/>
  <c r="E44" i="9"/>
  <c r="D44" i="9"/>
  <c r="C44" i="9"/>
  <c r="B44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B43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B42" i="9"/>
  <c r="P41" i="9"/>
  <c r="O41" i="9"/>
  <c r="N41" i="9"/>
  <c r="M41" i="9"/>
  <c r="L41" i="9"/>
  <c r="K41" i="9"/>
  <c r="J41" i="9"/>
  <c r="I41" i="9"/>
  <c r="H41" i="9"/>
  <c r="G41" i="9"/>
  <c r="F41" i="9"/>
  <c r="E41" i="9"/>
  <c r="D41" i="9"/>
  <c r="C41" i="9"/>
  <c r="B41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B40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B39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B38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B32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B31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B30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B6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B5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B4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B3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B2" i="9"/>
  <c r="P1" i="9"/>
  <c r="O1" i="9"/>
  <c r="N1" i="9"/>
  <c r="M1" i="9"/>
  <c r="L1" i="9"/>
  <c r="K1" i="9"/>
  <c r="J1" i="9"/>
  <c r="I1" i="9"/>
  <c r="H1" i="9"/>
  <c r="G1" i="9"/>
  <c r="F1" i="9"/>
  <c r="E1" i="9"/>
  <c r="D1" i="9"/>
  <c r="C1" i="9"/>
  <c r="B1" i="9"/>
  <c r="C172" i="8"/>
  <c r="C171" i="8"/>
  <c r="AL170" i="8"/>
  <c r="AK170" i="8"/>
  <c r="Y170" i="8"/>
  <c r="C170" i="8"/>
  <c r="G170" i="8" s="1"/>
  <c r="Y169" i="8"/>
  <c r="C169" i="8"/>
  <c r="G169" i="8" s="1"/>
  <c r="AL168" i="8"/>
  <c r="AK168" i="8"/>
  <c r="Y168" i="8"/>
  <c r="C168" i="8"/>
  <c r="G168" i="8" s="1"/>
  <c r="Y167" i="8"/>
  <c r="C167" i="8"/>
  <c r="G167" i="8" s="1"/>
  <c r="Y166" i="8"/>
  <c r="G166" i="8"/>
  <c r="C166" i="8"/>
  <c r="C165" i="8"/>
  <c r="G165" i="8" s="1"/>
  <c r="Y164" i="8"/>
  <c r="G164" i="8"/>
  <c r="C164" i="8"/>
  <c r="C163" i="8"/>
  <c r="G163" i="8" s="1"/>
  <c r="Y162" i="8"/>
  <c r="C162" i="8"/>
  <c r="G162" i="8" s="1"/>
  <c r="AL161" i="8"/>
  <c r="AK161" i="8"/>
  <c r="Y161" i="8"/>
  <c r="C161" i="8"/>
  <c r="G161" i="8" s="1"/>
  <c r="G160" i="8"/>
  <c r="C160" i="8"/>
  <c r="C159" i="8"/>
  <c r="G159" i="8" s="1"/>
  <c r="AL157" i="8"/>
  <c r="AK157" i="8"/>
  <c r="Y157" i="8"/>
  <c r="G157" i="8"/>
  <c r="C157" i="8"/>
  <c r="G156" i="8"/>
  <c r="G155" i="8"/>
  <c r="AL154" i="8"/>
  <c r="AK154" i="8"/>
  <c r="Y154" i="8"/>
  <c r="G154" i="8"/>
  <c r="C154" i="8"/>
  <c r="C153" i="8"/>
  <c r="AL152" i="8"/>
  <c r="AK152" i="8"/>
  <c r="Y152" i="8"/>
  <c r="G152" i="8"/>
  <c r="C152" i="8"/>
  <c r="G151" i="8"/>
  <c r="C151" i="8"/>
  <c r="AL150" i="8"/>
  <c r="AK150" i="8"/>
  <c r="Y150" i="8"/>
  <c r="C150" i="8"/>
  <c r="G150" i="8" s="1"/>
  <c r="G149" i="8"/>
  <c r="C149" i="8"/>
  <c r="G148" i="8"/>
  <c r="C148" i="8"/>
  <c r="AL147" i="8"/>
  <c r="AK147" i="8"/>
  <c r="Y147" i="8"/>
  <c r="G147" i="8"/>
  <c r="C147" i="8"/>
  <c r="AL146" i="8"/>
  <c r="AK146" i="8"/>
  <c r="Y146" i="8"/>
  <c r="G146" i="8"/>
  <c r="C146" i="8"/>
  <c r="AL145" i="8"/>
  <c r="AK145" i="8"/>
  <c r="Y145" i="8"/>
  <c r="C145" i="8"/>
  <c r="G145" i="8" s="1"/>
  <c r="Y144" i="8"/>
  <c r="G144" i="8"/>
  <c r="C144" i="8"/>
  <c r="C143" i="8"/>
  <c r="G143" i="8" s="1"/>
  <c r="AL142" i="8"/>
  <c r="AK142" i="8"/>
  <c r="Y142" i="8"/>
  <c r="C142" i="8"/>
  <c r="G142" i="8" s="1"/>
  <c r="G141" i="8"/>
  <c r="C141" i="8"/>
  <c r="Y140" i="8"/>
  <c r="G140" i="8"/>
  <c r="Y139" i="8"/>
  <c r="G139" i="8"/>
  <c r="C139" i="8"/>
  <c r="Y138" i="8"/>
  <c r="G138" i="8"/>
  <c r="C138" i="8"/>
  <c r="AL137" i="8"/>
  <c r="AK137" i="8"/>
  <c r="Y137" i="8"/>
  <c r="G137" i="8"/>
  <c r="C137" i="8"/>
  <c r="Y136" i="8"/>
  <c r="G136" i="8"/>
  <c r="C136" i="8"/>
  <c r="C135" i="8"/>
  <c r="G135" i="8" s="1"/>
  <c r="G134" i="8"/>
  <c r="H133" i="8"/>
  <c r="C133" i="8"/>
  <c r="G133" i="8" s="1"/>
  <c r="AL132" i="8"/>
  <c r="AK132" i="8"/>
  <c r="Y132" i="8"/>
  <c r="C132" i="8"/>
  <c r="G132" i="8" s="1"/>
  <c r="AL131" i="8"/>
  <c r="AK131" i="8"/>
  <c r="Y131" i="8"/>
  <c r="G131" i="8"/>
  <c r="C131" i="8"/>
  <c r="Y130" i="8"/>
  <c r="G130" i="8"/>
  <c r="Y129" i="8"/>
  <c r="G129" i="8"/>
  <c r="AL128" i="8"/>
  <c r="AK128" i="8"/>
  <c r="Y128" i="8"/>
  <c r="C128" i="8"/>
  <c r="G128" i="8" s="1"/>
  <c r="C127" i="8"/>
  <c r="G127" i="8" s="1"/>
  <c r="G126" i="8"/>
  <c r="C126" i="8"/>
  <c r="G125" i="8"/>
  <c r="C125" i="8"/>
  <c r="AL124" i="8"/>
  <c r="AK124" i="8"/>
  <c r="Y124" i="8"/>
  <c r="C124" i="8"/>
  <c r="G124" i="8" s="1"/>
  <c r="C123" i="8"/>
  <c r="G123" i="8" s="1"/>
  <c r="G122" i="8"/>
  <c r="C122" i="8"/>
  <c r="G121" i="8"/>
  <c r="C121" i="8"/>
  <c r="C120" i="8"/>
  <c r="G120" i="8" s="1"/>
  <c r="C119" i="8"/>
  <c r="G119" i="8" s="1"/>
  <c r="G118" i="8"/>
  <c r="C118" i="8"/>
  <c r="Y117" i="8"/>
  <c r="G117" i="8"/>
  <c r="C117" i="8"/>
  <c r="Y116" i="8"/>
  <c r="C116" i="8"/>
  <c r="G116" i="8" s="1"/>
  <c r="Y115" i="8"/>
  <c r="C115" i="8"/>
  <c r="G115" i="8" s="1"/>
  <c r="Y114" i="8"/>
  <c r="G114" i="8"/>
  <c r="C114" i="8"/>
  <c r="Y113" i="8"/>
  <c r="G113" i="8"/>
  <c r="C113" i="8"/>
  <c r="Y112" i="8"/>
  <c r="G112" i="8"/>
  <c r="C112" i="8"/>
  <c r="Y111" i="8"/>
  <c r="G111" i="8"/>
  <c r="C111" i="8"/>
  <c r="AL110" i="8"/>
  <c r="AK110" i="8"/>
  <c r="Y110" i="8"/>
  <c r="G110" i="8"/>
  <c r="C110" i="8"/>
  <c r="AL109" i="8"/>
  <c r="AK109" i="8"/>
  <c r="Y109" i="8"/>
  <c r="G109" i="8"/>
  <c r="C109" i="8"/>
  <c r="Y108" i="8"/>
  <c r="G108" i="8"/>
  <c r="C108" i="8"/>
  <c r="Y107" i="8"/>
  <c r="G107" i="8"/>
  <c r="C107" i="8"/>
  <c r="Y106" i="8"/>
  <c r="G106" i="8"/>
  <c r="C106" i="8"/>
  <c r="Y105" i="8"/>
  <c r="G105" i="8"/>
  <c r="C105" i="8"/>
  <c r="Y104" i="8"/>
  <c r="C104" i="8"/>
  <c r="G104" i="8" s="1"/>
  <c r="Y103" i="8"/>
  <c r="C103" i="8"/>
  <c r="G103" i="8" s="1"/>
  <c r="Y102" i="8"/>
  <c r="G102" i="8"/>
  <c r="C102" i="8"/>
  <c r="Y101" i="8"/>
  <c r="G101" i="8"/>
  <c r="C101" i="8"/>
  <c r="Y100" i="8"/>
  <c r="C100" i="8"/>
  <c r="G100" i="8" s="1"/>
  <c r="Y99" i="8"/>
  <c r="G99" i="8"/>
  <c r="C99" i="8"/>
  <c r="Y98" i="8"/>
  <c r="G98" i="8"/>
  <c r="C98" i="8"/>
  <c r="Y97" i="8"/>
  <c r="C97" i="8"/>
  <c r="G97" i="8" s="1"/>
  <c r="Y96" i="8"/>
  <c r="C96" i="8"/>
  <c r="G96" i="8" s="1"/>
  <c r="Y95" i="8"/>
  <c r="C95" i="8"/>
  <c r="G95" i="8" s="1"/>
  <c r="Y94" i="8"/>
  <c r="C94" i="8"/>
  <c r="G94" i="8" s="1"/>
  <c r="Y93" i="8"/>
  <c r="G93" i="8"/>
  <c r="C93" i="8"/>
  <c r="Y92" i="8"/>
  <c r="C92" i="8"/>
  <c r="G92" i="8" s="1"/>
  <c r="Y91" i="8"/>
  <c r="G91" i="8"/>
  <c r="C91" i="8"/>
  <c r="Y90" i="8"/>
  <c r="G90" i="8"/>
  <c r="C90" i="8"/>
  <c r="Y89" i="8"/>
  <c r="G89" i="8"/>
  <c r="C89" i="8"/>
  <c r="Y88" i="8"/>
  <c r="C88" i="8"/>
  <c r="G88" i="8" s="1"/>
  <c r="Y87" i="8"/>
  <c r="C87" i="8"/>
  <c r="G87" i="8" s="1"/>
  <c r="Y86" i="8"/>
  <c r="C86" i="8"/>
  <c r="G86" i="8" s="1"/>
  <c r="Y85" i="8"/>
  <c r="G85" i="8"/>
  <c r="C85" i="8"/>
  <c r="Y84" i="8"/>
  <c r="G84" i="8"/>
  <c r="C84" i="8"/>
  <c r="AL83" i="8"/>
  <c r="AK83" i="8"/>
  <c r="Y83" i="8"/>
  <c r="G83" i="8"/>
  <c r="C83" i="8"/>
  <c r="AL82" i="8"/>
  <c r="AK82" i="8"/>
  <c r="Y82" i="8"/>
  <c r="C82" i="8"/>
  <c r="G82" i="8" s="1"/>
  <c r="AL81" i="8"/>
  <c r="AK81" i="8"/>
  <c r="Y81" i="8"/>
  <c r="C81" i="8"/>
  <c r="G81" i="8" s="1"/>
  <c r="AL80" i="8"/>
  <c r="AK80" i="8"/>
  <c r="Y80" i="8"/>
  <c r="C80" i="8"/>
  <c r="G80" i="8" s="1"/>
  <c r="AL79" i="8"/>
  <c r="AK79" i="8"/>
  <c r="Y79" i="8"/>
  <c r="G79" i="8"/>
  <c r="C79" i="8"/>
  <c r="AL78" i="8"/>
  <c r="AK78" i="8"/>
  <c r="Y78" i="8"/>
  <c r="G78" i="8"/>
  <c r="C78" i="8"/>
  <c r="AL77" i="8"/>
  <c r="AK77" i="8"/>
  <c r="Y77" i="8"/>
  <c r="G77" i="8"/>
  <c r="C77" i="8"/>
  <c r="AL76" i="8"/>
  <c r="AK76" i="8"/>
  <c r="Y76" i="8"/>
  <c r="C76" i="8"/>
  <c r="G76" i="8" s="1"/>
  <c r="AL75" i="8"/>
  <c r="AK75" i="8"/>
  <c r="Y75" i="8"/>
  <c r="G75" i="8"/>
  <c r="C75" i="8"/>
  <c r="AL74" i="8"/>
  <c r="AK74" i="8"/>
  <c r="Y74" i="8"/>
  <c r="G74" i="8"/>
  <c r="C74" i="8"/>
  <c r="AL73" i="8"/>
  <c r="AK73" i="8"/>
  <c r="Y73" i="8"/>
  <c r="C73" i="8"/>
  <c r="G73" i="8" s="1"/>
  <c r="AL72" i="8"/>
  <c r="AK72" i="8"/>
  <c r="Y72" i="8"/>
  <c r="C72" i="8"/>
  <c r="G72" i="8" s="1"/>
  <c r="AL71" i="8"/>
  <c r="AK71" i="8"/>
  <c r="Y71" i="8"/>
  <c r="G71" i="8"/>
  <c r="C71" i="8"/>
  <c r="AL70" i="8"/>
  <c r="AK70" i="8"/>
  <c r="Y70" i="8"/>
  <c r="G70" i="8"/>
  <c r="C70" i="8"/>
  <c r="AL69" i="8"/>
  <c r="AK69" i="8"/>
  <c r="Y69" i="8"/>
  <c r="G69" i="8"/>
  <c r="C69" i="8"/>
  <c r="Y68" i="8"/>
  <c r="G68" i="8"/>
  <c r="C68" i="8"/>
  <c r="AL67" i="8"/>
  <c r="AK67" i="8"/>
  <c r="Y67" i="8"/>
  <c r="G67" i="8"/>
  <c r="C67" i="8"/>
  <c r="AL66" i="8"/>
  <c r="AK66" i="8"/>
  <c r="Y66" i="8"/>
  <c r="C66" i="8"/>
  <c r="G66" i="8" s="1"/>
  <c r="AL65" i="8"/>
  <c r="AK65" i="8"/>
  <c r="Y65" i="8"/>
  <c r="G65" i="8"/>
  <c r="C65" i="8"/>
  <c r="AL64" i="8"/>
  <c r="AK64" i="8"/>
  <c r="Y64" i="8"/>
  <c r="G64" i="8"/>
  <c r="C64" i="8"/>
  <c r="AL63" i="8"/>
  <c r="AK63" i="8"/>
  <c r="Y63" i="8"/>
  <c r="C63" i="8"/>
  <c r="G63" i="8" s="1"/>
  <c r="AL62" i="8"/>
  <c r="AK62" i="8"/>
  <c r="Y62" i="8"/>
  <c r="C62" i="8"/>
  <c r="G62" i="8" s="1"/>
  <c r="AL61" i="8"/>
  <c r="AK61" i="8"/>
  <c r="Y61" i="8"/>
  <c r="G61" i="8"/>
  <c r="C61" i="8"/>
  <c r="AL60" i="8"/>
  <c r="AK60" i="8"/>
  <c r="Y60" i="8"/>
  <c r="G60" i="8"/>
  <c r="C60" i="8"/>
  <c r="AL59" i="8"/>
  <c r="AK59" i="8"/>
  <c r="Y59" i="8"/>
  <c r="G59" i="8"/>
  <c r="C59" i="8"/>
  <c r="AL58" i="8"/>
  <c r="AK58" i="8"/>
  <c r="Y58" i="8"/>
  <c r="C58" i="8"/>
  <c r="G58" i="8" s="1"/>
  <c r="AL57" i="8"/>
  <c r="AK57" i="8"/>
  <c r="Y57" i="8"/>
  <c r="G57" i="8"/>
  <c r="C57" i="8"/>
  <c r="AL56" i="8"/>
  <c r="AK56" i="8"/>
  <c r="Y56" i="8"/>
  <c r="C56" i="8"/>
  <c r="G56" i="8" s="1"/>
  <c r="AL55" i="8"/>
  <c r="AK55" i="8"/>
  <c r="Y55" i="8"/>
  <c r="C55" i="8"/>
  <c r="G55" i="8" s="1"/>
  <c r="AL54" i="8"/>
  <c r="AK54" i="8"/>
  <c r="Y54" i="8"/>
  <c r="C54" i="8"/>
  <c r="G54" i="8" s="1"/>
  <c r="AL53" i="8"/>
  <c r="AK53" i="8"/>
  <c r="Y53" i="8"/>
  <c r="G53" i="8"/>
  <c r="C53" i="8"/>
  <c r="AL52" i="8"/>
  <c r="AK52" i="8"/>
  <c r="Y52" i="8"/>
  <c r="G52" i="8"/>
  <c r="C52" i="8"/>
  <c r="AL51" i="8"/>
  <c r="AK51" i="8"/>
  <c r="Y51" i="8"/>
  <c r="G51" i="8"/>
  <c r="C51" i="8"/>
  <c r="AL50" i="8"/>
  <c r="AK50" i="8"/>
  <c r="Y50" i="8"/>
  <c r="G50" i="8"/>
  <c r="C50" i="8"/>
  <c r="AL49" i="8"/>
  <c r="AK49" i="8"/>
  <c r="Y49" i="8"/>
  <c r="C49" i="8"/>
  <c r="G49" i="8" s="1"/>
  <c r="AL48" i="8"/>
  <c r="AK48" i="8"/>
  <c r="Y48" i="8"/>
  <c r="C48" i="8"/>
  <c r="G48" i="8" s="1"/>
  <c r="AL47" i="8"/>
  <c r="AK47" i="8"/>
  <c r="Y47" i="8"/>
  <c r="C47" i="8"/>
  <c r="G47" i="8" s="1"/>
  <c r="AL46" i="8"/>
  <c r="AK46" i="8"/>
  <c r="Y46" i="8"/>
  <c r="C46" i="8"/>
  <c r="G46" i="8" s="1"/>
  <c r="AL45" i="8"/>
  <c r="AK45" i="8"/>
  <c r="Y45" i="8"/>
  <c r="C45" i="8"/>
  <c r="G45" i="8" s="1"/>
  <c r="AL44" i="8"/>
  <c r="AK44" i="8"/>
  <c r="Y44" i="8"/>
  <c r="G44" i="8"/>
  <c r="C44" i="8"/>
  <c r="AL43" i="8"/>
  <c r="AK43" i="8"/>
  <c r="Y43" i="8"/>
  <c r="G43" i="8"/>
  <c r="C43" i="8"/>
  <c r="AL42" i="8"/>
  <c r="AK42" i="8"/>
  <c r="Y42" i="8"/>
  <c r="C42" i="8"/>
  <c r="G42" i="8" s="1"/>
  <c r="AL41" i="8"/>
  <c r="AK41" i="8"/>
  <c r="Y41" i="8"/>
  <c r="G41" i="8"/>
  <c r="C41" i="8"/>
  <c r="AL40" i="8"/>
  <c r="AK40" i="8"/>
  <c r="Y40" i="8"/>
  <c r="G40" i="8"/>
  <c r="C40" i="8"/>
  <c r="AL39" i="8"/>
  <c r="AK39" i="8"/>
  <c r="Y39" i="8"/>
  <c r="C39" i="8"/>
  <c r="G39" i="8" s="1"/>
  <c r="AL38" i="8"/>
  <c r="AK38" i="8"/>
  <c r="Y38" i="8"/>
  <c r="C38" i="8"/>
  <c r="G38" i="8" s="1"/>
  <c r="AL37" i="8"/>
  <c r="AK37" i="8"/>
  <c r="Y37" i="8"/>
  <c r="C37" i="8"/>
  <c r="G37" i="8" s="1"/>
  <c r="AL36" i="8"/>
  <c r="AK36" i="8"/>
  <c r="Y36" i="8"/>
  <c r="G36" i="8"/>
  <c r="C36" i="8"/>
  <c r="AL35" i="8"/>
  <c r="AK35" i="8"/>
  <c r="Y35" i="8"/>
  <c r="G35" i="8"/>
  <c r="C35" i="8"/>
  <c r="AL34" i="8"/>
  <c r="AK34" i="8"/>
  <c r="Y34" i="8"/>
  <c r="C34" i="8"/>
  <c r="G34" i="8" s="1"/>
  <c r="AL33" i="8"/>
  <c r="AK33" i="8"/>
  <c r="Y33" i="8"/>
  <c r="G33" i="8"/>
  <c r="C33" i="8"/>
  <c r="AL32" i="8"/>
  <c r="AK32" i="8"/>
  <c r="Y32" i="8"/>
  <c r="C32" i="8"/>
  <c r="G32" i="8" s="1"/>
  <c r="AL31" i="8"/>
  <c r="AK31" i="8"/>
  <c r="Y31" i="8"/>
  <c r="C31" i="8"/>
  <c r="G31" i="8" s="1"/>
  <c r="AL30" i="8"/>
  <c r="AK30" i="8"/>
  <c r="Y30" i="8"/>
  <c r="C30" i="8"/>
  <c r="G30" i="8" s="1"/>
  <c r="AL29" i="8"/>
  <c r="AK29" i="8"/>
  <c r="Y29" i="8"/>
  <c r="G29" i="8"/>
  <c r="C29" i="8"/>
  <c r="AL28" i="8"/>
  <c r="AK28" i="8"/>
  <c r="Y28" i="8"/>
  <c r="G28" i="8"/>
  <c r="C28" i="8"/>
  <c r="AL27" i="8"/>
  <c r="AK27" i="8"/>
  <c r="Y27" i="8"/>
  <c r="G27" i="8"/>
  <c r="C27" i="8"/>
  <c r="AL26" i="8"/>
  <c r="AK26" i="8"/>
  <c r="Y26" i="8"/>
  <c r="C26" i="8"/>
  <c r="G26" i="8" s="1"/>
  <c r="AL25" i="8"/>
  <c r="AK25" i="8"/>
  <c r="Y25" i="8"/>
  <c r="C25" i="8"/>
  <c r="G25" i="8" s="1"/>
  <c r="AL24" i="8"/>
  <c r="AK24" i="8"/>
  <c r="Y24" i="8"/>
  <c r="C24" i="8"/>
  <c r="G24" i="8" s="1"/>
  <c r="Y23" i="8"/>
  <c r="G23" i="8"/>
  <c r="C23" i="8"/>
  <c r="AL22" i="8"/>
  <c r="AK22" i="8"/>
  <c r="Y22" i="8"/>
  <c r="C22" i="8"/>
  <c r="G22" i="8" s="1"/>
  <c r="AL21" i="8"/>
  <c r="AK21" i="8"/>
  <c r="Y21" i="8"/>
  <c r="C21" i="8"/>
  <c r="G21" i="8" s="1"/>
  <c r="AL20" i="8"/>
  <c r="AK20" i="8"/>
  <c r="Y20" i="8"/>
  <c r="C20" i="8"/>
  <c r="G20" i="8" s="1"/>
  <c r="AL19" i="8"/>
  <c r="AK19" i="8"/>
  <c r="Y19" i="8"/>
  <c r="G19" i="8"/>
  <c r="C19" i="8"/>
  <c r="AL18" i="8"/>
  <c r="AK18" i="8"/>
  <c r="Y18" i="8"/>
  <c r="G18" i="8"/>
  <c r="C18" i="8"/>
  <c r="AL17" i="8"/>
  <c r="AK17" i="8"/>
  <c r="Y17" i="8"/>
  <c r="G17" i="8"/>
  <c r="C17" i="8"/>
  <c r="AL16" i="8"/>
  <c r="AK16" i="8"/>
  <c r="Y16" i="8"/>
  <c r="G16" i="8"/>
  <c r="C16" i="8"/>
  <c r="AL15" i="8"/>
  <c r="AK15" i="8"/>
  <c r="Y15" i="8"/>
  <c r="C15" i="8"/>
  <c r="G15" i="8" s="1"/>
  <c r="AL14" i="8"/>
  <c r="AK14" i="8"/>
  <c r="Y14" i="8"/>
  <c r="C14" i="8"/>
  <c r="G14" i="8" s="1"/>
  <c r="AL13" i="8"/>
  <c r="AK13" i="8"/>
  <c r="Y13" i="8"/>
  <c r="C13" i="8"/>
  <c r="G13" i="8" s="1"/>
  <c r="AL12" i="8"/>
  <c r="AK12" i="8"/>
  <c r="Y12" i="8"/>
  <c r="C12" i="8"/>
  <c r="G12" i="8" s="1"/>
  <c r="AL11" i="8"/>
  <c r="AK11" i="8"/>
  <c r="Y11" i="8"/>
  <c r="C11" i="8"/>
  <c r="G11" i="8" s="1"/>
  <c r="AL10" i="8"/>
  <c r="AK10" i="8"/>
  <c r="Y10" i="8"/>
  <c r="G10" i="8"/>
  <c r="C10" i="8"/>
  <c r="AL9" i="8"/>
  <c r="AK9" i="8"/>
  <c r="Y9" i="8"/>
  <c r="G9" i="8"/>
  <c r="C9" i="8"/>
  <c r="AL8" i="8"/>
  <c r="AK8" i="8"/>
  <c r="Y8" i="8"/>
  <c r="C8" i="8"/>
  <c r="G8" i="8" s="1"/>
  <c r="AL7" i="8"/>
  <c r="AK7" i="8"/>
  <c r="Y7" i="8"/>
  <c r="G7" i="8"/>
  <c r="C7" i="8"/>
  <c r="AL6" i="8"/>
  <c r="AK6" i="8"/>
  <c r="Y6" i="8"/>
  <c r="G6" i="8"/>
  <c r="C6" i="8"/>
  <c r="AL5" i="8"/>
  <c r="AK5" i="8"/>
  <c r="Y5" i="8"/>
  <c r="C5" i="8"/>
  <c r="G5" i="8" s="1"/>
  <c r="AL4" i="8"/>
  <c r="AK4" i="8"/>
  <c r="Y4" i="8"/>
  <c r="C4" i="8"/>
  <c r="G4" i="8" s="1"/>
  <c r="AL3" i="8"/>
  <c r="AK3" i="8"/>
  <c r="Y3" i="8"/>
  <c r="G3" i="8"/>
  <c r="C3" i="8"/>
  <c r="AL2" i="8"/>
  <c r="AK2" i="8"/>
  <c r="Y2" i="8"/>
  <c r="G2" i="8"/>
  <c r="C2" i="8"/>
  <c r="D37" i="6"/>
  <c r="H37" i="6" s="1"/>
  <c r="H36" i="6"/>
  <c r="D36" i="6"/>
  <c r="D35" i="6"/>
  <c r="H35" i="6" s="1"/>
  <c r="H34" i="6"/>
  <c r="H33" i="6"/>
  <c r="AM32" i="6"/>
  <c r="AL32" i="6"/>
  <c r="Z32" i="6"/>
  <c r="H32" i="6"/>
  <c r="D32" i="6"/>
  <c r="AM31" i="6"/>
  <c r="AL31" i="6"/>
  <c r="Z31" i="6"/>
  <c r="H31" i="6"/>
  <c r="D31" i="6"/>
  <c r="D30" i="6"/>
  <c r="H30" i="6" s="1"/>
  <c r="D29" i="6"/>
  <c r="H29" i="6" s="1"/>
  <c r="D28" i="6"/>
  <c r="H27" i="6"/>
  <c r="AM26" i="6"/>
  <c r="AL26" i="6"/>
  <c r="Z26" i="6"/>
  <c r="H26" i="6"/>
  <c r="D26" i="6"/>
  <c r="AM25" i="6"/>
  <c r="AL25" i="6"/>
  <c r="D25" i="6"/>
  <c r="H25" i="6" s="1"/>
  <c r="H24" i="6"/>
  <c r="Z23" i="6"/>
  <c r="H23" i="6"/>
  <c r="D23" i="6"/>
  <c r="Z22" i="6"/>
  <c r="H22" i="6"/>
  <c r="D22" i="6"/>
  <c r="H21" i="6"/>
  <c r="H20" i="6"/>
  <c r="D20" i="6"/>
  <c r="H19" i="6"/>
  <c r="D19" i="6"/>
  <c r="D18" i="6"/>
  <c r="H18" i="6" s="1"/>
  <c r="H17" i="6"/>
  <c r="D17" i="6"/>
  <c r="AM16" i="6"/>
  <c r="AL16" i="6"/>
  <c r="AA16" i="6"/>
  <c r="Z16" i="6"/>
  <c r="D16" i="6"/>
  <c r="H16" i="6" s="1"/>
  <c r="AM15" i="6"/>
  <c r="AL15" i="6"/>
  <c r="Z15" i="6"/>
  <c r="D15" i="6"/>
  <c r="H15" i="6" s="1"/>
  <c r="AM14" i="6"/>
  <c r="AL14" i="6"/>
  <c r="Z14" i="6"/>
  <c r="H14" i="6"/>
  <c r="D14" i="6"/>
  <c r="AM13" i="6"/>
  <c r="AL13" i="6"/>
  <c r="Z13" i="6"/>
  <c r="H13" i="6"/>
  <c r="D13" i="6"/>
  <c r="H12" i="6"/>
  <c r="D12" i="6"/>
  <c r="D11" i="6"/>
  <c r="H11" i="6" s="1"/>
  <c r="AM10" i="6"/>
  <c r="AL10" i="6"/>
  <c r="D10" i="6"/>
  <c r="AM9" i="6"/>
  <c r="AL9" i="6"/>
  <c r="D9" i="6"/>
  <c r="D8" i="6"/>
  <c r="H8" i="6" s="1"/>
  <c r="Z7" i="6"/>
  <c r="H7" i="6"/>
  <c r="D7" i="6"/>
  <c r="AM6" i="6"/>
  <c r="AL6" i="6"/>
  <c r="Z6" i="6"/>
  <c r="D6" i="6"/>
  <c r="H6" i="6" s="1"/>
  <c r="Z5" i="6"/>
  <c r="H5" i="6"/>
  <c r="D5" i="6"/>
  <c r="AM4" i="6"/>
  <c r="AL4" i="6"/>
  <c r="Z4" i="6"/>
  <c r="D4" i="6"/>
  <c r="H4" i="6" s="1"/>
  <c r="AL3" i="6"/>
  <c r="AA3" i="6"/>
  <c r="D3" i="6"/>
  <c r="H3" i="6" s="1"/>
  <c r="AM2" i="6"/>
  <c r="AL2" i="6"/>
  <c r="AA2" i="6"/>
  <c r="Z2" i="6"/>
  <c r="H2" i="6"/>
  <c r="D2" i="6"/>
  <c r="P507" i="4"/>
  <c r="O507" i="4"/>
  <c r="N507" i="4"/>
  <c r="M507" i="4"/>
  <c r="L507" i="4"/>
  <c r="K507" i="4"/>
  <c r="J507" i="4"/>
  <c r="I507" i="4"/>
  <c r="H507" i="4"/>
  <c r="G507" i="4"/>
  <c r="F507" i="4"/>
  <c r="E507" i="4"/>
  <c r="D507" i="4"/>
  <c r="C507" i="4"/>
  <c r="B507" i="4"/>
  <c r="P506" i="4"/>
  <c r="O506" i="4"/>
  <c r="N506" i="4"/>
  <c r="M506" i="4"/>
  <c r="L506" i="4"/>
  <c r="K506" i="4"/>
  <c r="J506" i="4"/>
  <c r="I506" i="4"/>
  <c r="H506" i="4"/>
  <c r="G506" i="4"/>
  <c r="F506" i="4"/>
  <c r="E506" i="4"/>
  <c r="D506" i="4"/>
  <c r="C506" i="4"/>
  <c r="B506" i="4"/>
  <c r="P505" i="4"/>
  <c r="O505" i="4"/>
  <c r="N505" i="4"/>
  <c r="M505" i="4"/>
  <c r="L505" i="4"/>
  <c r="K505" i="4"/>
  <c r="J505" i="4"/>
  <c r="I505" i="4"/>
  <c r="H505" i="4"/>
  <c r="G505" i="4"/>
  <c r="F505" i="4"/>
  <c r="E505" i="4"/>
  <c r="D505" i="4"/>
  <c r="C505" i="4"/>
  <c r="B505" i="4"/>
  <c r="P504" i="4"/>
  <c r="O504" i="4"/>
  <c r="N504" i="4"/>
  <c r="M504" i="4"/>
  <c r="L504" i="4"/>
  <c r="K504" i="4"/>
  <c r="J504" i="4"/>
  <c r="I504" i="4"/>
  <c r="H504" i="4"/>
  <c r="G504" i="4"/>
  <c r="F504" i="4"/>
  <c r="E504" i="4"/>
  <c r="D504" i="4"/>
  <c r="C504" i="4"/>
  <c r="B504" i="4"/>
  <c r="P503" i="4"/>
  <c r="O503" i="4"/>
  <c r="N503" i="4"/>
  <c r="M503" i="4"/>
  <c r="L503" i="4"/>
  <c r="K503" i="4"/>
  <c r="J503" i="4"/>
  <c r="I503" i="4"/>
  <c r="H503" i="4"/>
  <c r="G503" i="4"/>
  <c r="F503" i="4"/>
  <c r="E503" i="4"/>
  <c r="D503" i="4"/>
  <c r="C503" i="4"/>
  <c r="B503" i="4"/>
  <c r="P502" i="4"/>
  <c r="O502" i="4"/>
  <c r="N502" i="4"/>
  <c r="M502" i="4"/>
  <c r="L502" i="4"/>
  <c r="K502" i="4"/>
  <c r="J502" i="4"/>
  <c r="I502" i="4"/>
  <c r="H502" i="4"/>
  <c r="G502" i="4"/>
  <c r="F502" i="4"/>
  <c r="E502" i="4"/>
  <c r="D502" i="4"/>
  <c r="C502" i="4"/>
  <c r="B502" i="4"/>
  <c r="P501" i="4"/>
  <c r="O501" i="4"/>
  <c r="N501" i="4"/>
  <c r="M501" i="4"/>
  <c r="L501" i="4"/>
  <c r="K501" i="4"/>
  <c r="J501" i="4"/>
  <c r="I501" i="4"/>
  <c r="H501" i="4"/>
  <c r="G501" i="4"/>
  <c r="F501" i="4"/>
  <c r="E501" i="4"/>
  <c r="D501" i="4"/>
  <c r="C501" i="4"/>
  <c r="B501" i="4"/>
  <c r="P500" i="4"/>
  <c r="O500" i="4"/>
  <c r="N500" i="4"/>
  <c r="M500" i="4"/>
  <c r="L500" i="4"/>
  <c r="K500" i="4"/>
  <c r="J500" i="4"/>
  <c r="I500" i="4"/>
  <c r="H500" i="4"/>
  <c r="G500" i="4"/>
  <c r="F500" i="4"/>
  <c r="E500" i="4"/>
  <c r="D500" i="4"/>
  <c r="C500" i="4"/>
  <c r="B500" i="4"/>
  <c r="P499" i="4"/>
  <c r="O499" i="4"/>
  <c r="N499" i="4"/>
  <c r="M499" i="4"/>
  <c r="L499" i="4"/>
  <c r="K499" i="4"/>
  <c r="J499" i="4"/>
  <c r="I499" i="4"/>
  <c r="H499" i="4"/>
  <c r="G499" i="4"/>
  <c r="F499" i="4"/>
  <c r="E499" i="4"/>
  <c r="D499" i="4"/>
  <c r="C499" i="4"/>
  <c r="B499" i="4"/>
  <c r="P498" i="4"/>
  <c r="O498" i="4"/>
  <c r="N498" i="4"/>
  <c r="M498" i="4"/>
  <c r="L498" i="4"/>
  <c r="K498" i="4"/>
  <c r="J498" i="4"/>
  <c r="I498" i="4"/>
  <c r="H498" i="4"/>
  <c r="G498" i="4"/>
  <c r="F498" i="4"/>
  <c r="E498" i="4"/>
  <c r="D498" i="4"/>
  <c r="C498" i="4"/>
  <c r="B498" i="4"/>
  <c r="P497" i="4"/>
  <c r="O497" i="4"/>
  <c r="N497" i="4"/>
  <c r="M497" i="4"/>
  <c r="L497" i="4"/>
  <c r="K497" i="4"/>
  <c r="J497" i="4"/>
  <c r="I497" i="4"/>
  <c r="H497" i="4"/>
  <c r="G497" i="4"/>
  <c r="F497" i="4"/>
  <c r="E497" i="4"/>
  <c r="D497" i="4"/>
  <c r="C497" i="4"/>
  <c r="B497" i="4"/>
  <c r="P496" i="4"/>
  <c r="O496" i="4"/>
  <c r="N496" i="4"/>
  <c r="M496" i="4"/>
  <c r="L496" i="4"/>
  <c r="K496" i="4"/>
  <c r="J496" i="4"/>
  <c r="I496" i="4"/>
  <c r="H496" i="4"/>
  <c r="G496" i="4"/>
  <c r="F496" i="4"/>
  <c r="E496" i="4"/>
  <c r="D496" i="4"/>
  <c r="C496" i="4"/>
  <c r="B496" i="4"/>
  <c r="P495" i="4"/>
  <c r="O495" i="4"/>
  <c r="N495" i="4"/>
  <c r="M495" i="4"/>
  <c r="L495" i="4"/>
  <c r="K495" i="4"/>
  <c r="J495" i="4"/>
  <c r="I495" i="4"/>
  <c r="H495" i="4"/>
  <c r="G495" i="4"/>
  <c r="F495" i="4"/>
  <c r="E495" i="4"/>
  <c r="D495" i="4"/>
  <c r="C495" i="4"/>
  <c r="B495" i="4"/>
  <c r="P494" i="4"/>
  <c r="O494" i="4"/>
  <c r="N494" i="4"/>
  <c r="M494" i="4"/>
  <c r="L494" i="4"/>
  <c r="K494" i="4"/>
  <c r="J494" i="4"/>
  <c r="I494" i="4"/>
  <c r="H494" i="4"/>
  <c r="G494" i="4"/>
  <c r="F494" i="4"/>
  <c r="E494" i="4"/>
  <c r="D494" i="4"/>
  <c r="C494" i="4"/>
  <c r="B494" i="4"/>
  <c r="P493" i="4"/>
  <c r="O493" i="4"/>
  <c r="N493" i="4"/>
  <c r="M493" i="4"/>
  <c r="L493" i="4"/>
  <c r="K493" i="4"/>
  <c r="J493" i="4"/>
  <c r="I493" i="4"/>
  <c r="H493" i="4"/>
  <c r="G493" i="4"/>
  <c r="F493" i="4"/>
  <c r="E493" i="4"/>
  <c r="D493" i="4"/>
  <c r="C493" i="4"/>
  <c r="B493" i="4"/>
  <c r="P492" i="4"/>
  <c r="O492" i="4"/>
  <c r="N492" i="4"/>
  <c r="M492" i="4"/>
  <c r="L492" i="4"/>
  <c r="K492" i="4"/>
  <c r="J492" i="4"/>
  <c r="I492" i="4"/>
  <c r="H492" i="4"/>
  <c r="G492" i="4"/>
  <c r="F492" i="4"/>
  <c r="E492" i="4"/>
  <c r="D492" i="4"/>
  <c r="C492" i="4"/>
  <c r="B492" i="4"/>
  <c r="P491" i="4"/>
  <c r="O491" i="4"/>
  <c r="N491" i="4"/>
  <c r="M491" i="4"/>
  <c r="L491" i="4"/>
  <c r="K491" i="4"/>
  <c r="J491" i="4"/>
  <c r="I491" i="4"/>
  <c r="H491" i="4"/>
  <c r="G491" i="4"/>
  <c r="F491" i="4"/>
  <c r="E491" i="4"/>
  <c r="D491" i="4"/>
  <c r="C491" i="4"/>
  <c r="B491" i="4"/>
  <c r="P490" i="4"/>
  <c r="O490" i="4"/>
  <c r="N490" i="4"/>
  <c r="M490" i="4"/>
  <c r="L490" i="4"/>
  <c r="K490" i="4"/>
  <c r="J490" i="4"/>
  <c r="I490" i="4"/>
  <c r="H490" i="4"/>
  <c r="G490" i="4"/>
  <c r="F490" i="4"/>
  <c r="E490" i="4"/>
  <c r="D490" i="4"/>
  <c r="C490" i="4"/>
  <c r="B490" i="4"/>
  <c r="P489" i="4"/>
  <c r="O489" i="4"/>
  <c r="N489" i="4"/>
  <c r="M489" i="4"/>
  <c r="L489" i="4"/>
  <c r="K489" i="4"/>
  <c r="J489" i="4"/>
  <c r="I489" i="4"/>
  <c r="H489" i="4"/>
  <c r="G489" i="4"/>
  <c r="F489" i="4"/>
  <c r="E489" i="4"/>
  <c r="D489" i="4"/>
  <c r="C489" i="4"/>
  <c r="B489" i="4"/>
  <c r="P488" i="4"/>
  <c r="O488" i="4"/>
  <c r="N488" i="4"/>
  <c r="M488" i="4"/>
  <c r="L488" i="4"/>
  <c r="K488" i="4"/>
  <c r="J488" i="4"/>
  <c r="I488" i="4"/>
  <c r="H488" i="4"/>
  <c r="G488" i="4"/>
  <c r="F488" i="4"/>
  <c r="E488" i="4"/>
  <c r="D488" i="4"/>
  <c r="C488" i="4"/>
  <c r="B488" i="4"/>
  <c r="P487" i="4"/>
  <c r="O487" i="4"/>
  <c r="N487" i="4"/>
  <c r="M487" i="4"/>
  <c r="L487" i="4"/>
  <c r="K487" i="4"/>
  <c r="J487" i="4"/>
  <c r="I487" i="4"/>
  <c r="H487" i="4"/>
  <c r="G487" i="4"/>
  <c r="F487" i="4"/>
  <c r="E487" i="4"/>
  <c r="D487" i="4"/>
  <c r="C487" i="4"/>
  <c r="B487" i="4"/>
  <c r="P486" i="4"/>
  <c r="O486" i="4"/>
  <c r="N486" i="4"/>
  <c r="M486" i="4"/>
  <c r="L486" i="4"/>
  <c r="K486" i="4"/>
  <c r="J486" i="4"/>
  <c r="I486" i="4"/>
  <c r="H486" i="4"/>
  <c r="G486" i="4"/>
  <c r="F486" i="4"/>
  <c r="E486" i="4"/>
  <c r="D486" i="4"/>
  <c r="C486" i="4"/>
  <c r="B486" i="4"/>
  <c r="P485" i="4"/>
  <c r="O485" i="4"/>
  <c r="N485" i="4"/>
  <c r="M485" i="4"/>
  <c r="L485" i="4"/>
  <c r="K485" i="4"/>
  <c r="J485" i="4"/>
  <c r="I485" i="4"/>
  <c r="H485" i="4"/>
  <c r="G485" i="4"/>
  <c r="F485" i="4"/>
  <c r="E485" i="4"/>
  <c r="D485" i="4"/>
  <c r="C485" i="4"/>
  <c r="B485" i="4"/>
  <c r="P484" i="4"/>
  <c r="O484" i="4"/>
  <c r="N484" i="4"/>
  <c r="M484" i="4"/>
  <c r="L484" i="4"/>
  <c r="K484" i="4"/>
  <c r="J484" i="4"/>
  <c r="I484" i="4"/>
  <c r="H484" i="4"/>
  <c r="G484" i="4"/>
  <c r="F484" i="4"/>
  <c r="E484" i="4"/>
  <c r="D484" i="4"/>
  <c r="C484" i="4"/>
  <c r="B484" i="4"/>
  <c r="P483" i="4"/>
  <c r="O483" i="4"/>
  <c r="N483" i="4"/>
  <c r="M483" i="4"/>
  <c r="L483" i="4"/>
  <c r="K483" i="4"/>
  <c r="J483" i="4"/>
  <c r="I483" i="4"/>
  <c r="H483" i="4"/>
  <c r="G483" i="4"/>
  <c r="F483" i="4"/>
  <c r="E483" i="4"/>
  <c r="D483" i="4"/>
  <c r="C483" i="4"/>
  <c r="B483" i="4"/>
  <c r="P482" i="4"/>
  <c r="O482" i="4"/>
  <c r="N482" i="4"/>
  <c r="M482" i="4"/>
  <c r="L482" i="4"/>
  <c r="K482" i="4"/>
  <c r="J482" i="4"/>
  <c r="I482" i="4"/>
  <c r="H482" i="4"/>
  <c r="G482" i="4"/>
  <c r="F482" i="4"/>
  <c r="E482" i="4"/>
  <c r="D482" i="4"/>
  <c r="C482" i="4"/>
  <c r="B482" i="4"/>
  <c r="P481" i="4"/>
  <c r="O481" i="4"/>
  <c r="N481" i="4"/>
  <c r="M481" i="4"/>
  <c r="L481" i="4"/>
  <c r="K481" i="4"/>
  <c r="J481" i="4"/>
  <c r="I481" i="4"/>
  <c r="H481" i="4"/>
  <c r="G481" i="4"/>
  <c r="F481" i="4"/>
  <c r="E481" i="4"/>
  <c r="D481" i="4"/>
  <c r="C481" i="4"/>
  <c r="B481" i="4"/>
  <c r="P480" i="4"/>
  <c r="O480" i="4"/>
  <c r="N480" i="4"/>
  <c r="M480" i="4"/>
  <c r="L480" i="4"/>
  <c r="K480" i="4"/>
  <c r="J480" i="4"/>
  <c r="I480" i="4"/>
  <c r="H480" i="4"/>
  <c r="G480" i="4"/>
  <c r="F480" i="4"/>
  <c r="E480" i="4"/>
  <c r="D480" i="4"/>
  <c r="C480" i="4"/>
  <c r="B480" i="4"/>
  <c r="P479" i="4"/>
  <c r="O479" i="4"/>
  <c r="N479" i="4"/>
  <c r="M479" i="4"/>
  <c r="L479" i="4"/>
  <c r="K479" i="4"/>
  <c r="J479" i="4"/>
  <c r="I479" i="4"/>
  <c r="H479" i="4"/>
  <c r="G479" i="4"/>
  <c r="F479" i="4"/>
  <c r="E479" i="4"/>
  <c r="D479" i="4"/>
  <c r="C479" i="4"/>
  <c r="B479" i="4"/>
  <c r="P478" i="4"/>
  <c r="O478" i="4"/>
  <c r="N478" i="4"/>
  <c r="M478" i="4"/>
  <c r="L478" i="4"/>
  <c r="K478" i="4"/>
  <c r="J478" i="4"/>
  <c r="I478" i="4"/>
  <c r="H478" i="4"/>
  <c r="G478" i="4"/>
  <c r="F478" i="4"/>
  <c r="E478" i="4"/>
  <c r="D478" i="4"/>
  <c r="C478" i="4"/>
  <c r="B478" i="4"/>
  <c r="P477" i="4"/>
  <c r="O477" i="4"/>
  <c r="N477" i="4"/>
  <c r="M477" i="4"/>
  <c r="L477" i="4"/>
  <c r="K477" i="4"/>
  <c r="J477" i="4"/>
  <c r="I477" i="4"/>
  <c r="H477" i="4"/>
  <c r="G477" i="4"/>
  <c r="F477" i="4"/>
  <c r="E477" i="4"/>
  <c r="D477" i="4"/>
  <c r="C477" i="4"/>
  <c r="B477" i="4"/>
  <c r="P476" i="4"/>
  <c r="O476" i="4"/>
  <c r="N476" i="4"/>
  <c r="M476" i="4"/>
  <c r="L476" i="4"/>
  <c r="K476" i="4"/>
  <c r="J476" i="4"/>
  <c r="I476" i="4"/>
  <c r="H476" i="4"/>
  <c r="G476" i="4"/>
  <c r="F476" i="4"/>
  <c r="E476" i="4"/>
  <c r="D476" i="4"/>
  <c r="C476" i="4"/>
  <c r="B476" i="4"/>
  <c r="P475" i="4"/>
  <c r="O475" i="4"/>
  <c r="N475" i="4"/>
  <c r="M475" i="4"/>
  <c r="L475" i="4"/>
  <c r="K475" i="4"/>
  <c r="J475" i="4"/>
  <c r="I475" i="4"/>
  <c r="H475" i="4"/>
  <c r="G475" i="4"/>
  <c r="F475" i="4"/>
  <c r="E475" i="4"/>
  <c r="D475" i="4"/>
  <c r="C475" i="4"/>
  <c r="B475" i="4"/>
  <c r="P474" i="4"/>
  <c r="O474" i="4"/>
  <c r="N474" i="4"/>
  <c r="M474" i="4"/>
  <c r="L474" i="4"/>
  <c r="K474" i="4"/>
  <c r="J474" i="4"/>
  <c r="I474" i="4"/>
  <c r="H474" i="4"/>
  <c r="G474" i="4"/>
  <c r="F474" i="4"/>
  <c r="E474" i="4"/>
  <c r="D474" i="4"/>
  <c r="C474" i="4"/>
  <c r="B474" i="4"/>
  <c r="P473" i="4"/>
  <c r="O473" i="4"/>
  <c r="N473" i="4"/>
  <c r="M473" i="4"/>
  <c r="L473" i="4"/>
  <c r="K473" i="4"/>
  <c r="J473" i="4"/>
  <c r="I473" i="4"/>
  <c r="H473" i="4"/>
  <c r="G473" i="4"/>
  <c r="F473" i="4"/>
  <c r="E473" i="4"/>
  <c r="D473" i="4"/>
  <c r="C473" i="4"/>
  <c r="B473" i="4"/>
  <c r="P472" i="4"/>
  <c r="O472" i="4"/>
  <c r="N472" i="4"/>
  <c r="M472" i="4"/>
  <c r="L472" i="4"/>
  <c r="K472" i="4"/>
  <c r="J472" i="4"/>
  <c r="I472" i="4"/>
  <c r="H472" i="4"/>
  <c r="G472" i="4"/>
  <c r="F472" i="4"/>
  <c r="E472" i="4"/>
  <c r="D472" i="4"/>
  <c r="C472" i="4"/>
  <c r="B472" i="4"/>
  <c r="P471" i="4"/>
  <c r="O471" i="4"/>
  <c r="N471" i="4"/>
  <c r="M471" i="4"/>
  <c r="L471" i="4"/>
  <c r="K471" i="4"/>
  <c r="J471" i="4"/>
  <c r="I471" i="4"/>
  <c r="H471" i="4"/>
  <c r="G471" i="4"/>
  <c r="F471" i="4"/>
  <c r="E471" i="4"/>
  <c r="D471" i="4"/>
  <c r="C471" i="4"/>
  <c r="B471" i="4"/>
  <c r="P470" i="4"/>
  <c r="O470" i="4"/>
  <c r="N470" i="4"/>
  <c r="M470" i="4"/>
  <c r="L470" i="4"/>
  <c r="K470" i="4"/>
  <c r="J470" i="4"/>
  <c r="I470" i="4"/>
  <c r="H470" i="4"/>
  <c r="G470" i="4"/>
  <c r="F470" i="4"/>
  <c r="E470" i="4"/>
  <c r="D470" i="4"/>
  <c r="C470" i="4"/>
  <c r="B470" i="4"/>
  <c r="P469" i="4"/>
  <c r="O469" i="4"/>
  <c r="N469" i="4"/>
  <c r="M469" i="4"/>
  <c r="L469" i="4"/>
  <c r="K469" i="4"/>
  <c r="J469" i="4"/>
  <c r="I469" i="4"/>
  <c r="H469" i="4"/>
  <c r="G469" i="4"/>
  <c r="F469" i="4"/>
  <c r="E469" i="4"/>
  <c r="D469" i="4"/>
  <c r="C469" i="4"/>
  <c r="B469" i="4"/>
  <c r="P468" i="4"/>
  <c r="O468" i="4"/>
  <c r="N468" i="4"/>
  <c r="M468" i="4"/>
  <c r="L468" i="4"/>
  <c r="K468" i="4"/>
  <c r="J468" i="4"/>
  <c r="I468" i="4"/>
  <c r="H468" i="4"/>
  <c r="G468" i="4"/>
  <c r="F468" i="4"/>
  <c r="E468" i="4"/>
  <c r="D468" i="4"/>
  <c r="C468" i="4"/>
  <c r="B468" i="4"/>
  <c r="P467" i="4"/>
  <c r="O467" i="4"/>
  <c r="N467" i="4"/>
  <c r="M467" i="4"/>
  <c r="L467" i="4"/>
  <c r="K467" i="4"/>
  <c r="J467" i="4"/>
  <c r="I467" i="4"/>
  <c r="H467" i="4"/>
  <c r="G467" i="4"/>
  <c r="F467" i="4"/>
  <c r="E467" i="4"/>
  <c r="D467" i="4"/>
  <c r="C467" i="4"/>
  <c r="B467" i="4"/>
  <c r="P466" i="4"/>
  <c r="O466" i="4"/>
  <c r="N466" i="4"/>
  <c r="M466" i="4"/>
  <c r="L466" i="4"/>
  <c r="K466" i="4"/>
  <c r="J466" i="4"/>
  <c r="I466" i="4"/>
  <c r="H466" i="4"/>
  <c r="G466" i="4"/>
  <c r="F466" i="4"/>
  <c r="E466" i="4"/>
  <c r="D466" i="4"/>
  <c r="C466" i="4"/>
  <c r="B466" i="4"/>
  <c r="P465" i="4"/>
  <c r="O465" i="4"/>
  <c r="N465" i="4"/>
  <c r="M465" i="4"/>
  <c r="L465" i="4"/>
  <c r="K465" i="4"/>
  <c r="J465" i="4"/>
  <c r="I465" i="4"/>
  <c r="H465" i="4"/>
  <c r="G465" i="4"/>
  <c r="F465" i="4"/>
  <c r="E465" i="4"/>
  <c r="D465" i="4"/>
  <c r="C465" i="4"/>
  <c r="B465" i="4"/>
  <c r="P464" i="4"/>
  <c r="O464" i="4"/>
  <c r="N464" i="4"/>
  <c r="M464" i="4"/>
  <c r="L464" i="4"/>
  <c r="K464" i="4"/>
  <c r="J464" i="4"/>
  <c r="I464" i="4"/>
  <c r="H464" i="4"/>
  <c r="G464" i="4"/>
  <c r="F464" i="4"/>
  <c r="E464" i="4"/>
  <c r="D464" i="4"/>
  <c r="C464" i="4"/>
  <c r="B464" i="4"/>
  <c r="P463" i="4"/>
  <c r="O463" i="4"/>
  <c r="N463" i="4"/>
  <c r="M463" i="4"/>
  <c r="L463" i="4"/>
  <c r="K463" i="4"/>
  <c r="J463" i="4"/>
  <c r="I463" i="4"/>
  <c r="H463" i="4"/>
  <c r="G463" i="4"/>
  <c r="F463" i="4"/>
  <c r="E463" i="4"/>
  <c r="D463" i="4"/>
  <c r="C463" i="4"/>
  <c r="B463" i="4"/>
  <c r="P462" i="4"/>
  <c r="O462" i="4"/>
  <c r="N462" i="4"/>
  <c r="M462" i="4"/>
  <c r="L462" i="4"/>
  <c r="K462" i="4"/>
  <c r="J462" i="4"/>
  <c r="I462" i="4"/>
  <c r="H462" i="4"/>
  <c r="G462" i="4"/>
  <c r="F462" i="4"/>
  <c r="E462" i="4"/>
  <c r="D462" i="4"/>
  <c r="C462" i="4"/>
  <c r="B462" i="4"/>
  <c r="P461" i="4"/>
  <c r="O461" i="4"/>
  <c r="N461" i="4"/>
  <c r="M461" i="4"/>
  <c r="L461" i="4"/>
  <c r="K461" i="4"/>
  <c r="J461" i="4"/>
  <c r="I461" i="4"/>
  <c r="H461" i="4"/>
  <c r="G461" i="4"/>
  <c r="F461" i="4"/>
  <c r="E461" i="4"/>
  <c r="D461" i="4"/>
  <c r="C461" i="4"/>
  <c r="B461" i="4"/>
  <c r="P460" i="4"/>
  <c r="O460" i="4"/>
  <c r="N460" i="4"/>
  <c r="M460" i="4"/>
  <c r="L460" i="4"/>
  <c r="K460" i="4"/>
  <c r="J460" i="4"/>
  <c r="I460" i="4"/>
  <c r="H460" i="4"/>
  <c r="G460" i="4"/>
  <c r="F460" i="4"/>
  <c r="E460" i="4"/>
  <c r="D460" i="4"/>
  <c r="C460" i="4"/>
  <c r="B460" i="4"/>
  <c r="P459" i="4"/>
  <c r="O459" i="4"/>
  <c r="N459" i="4"/>
  <c r="M459" i="4"/>
  <c r="L459" i="4"/>
  <c r="K459" i="4"/>
  <c r="J459" i="4"/>
  <c r="I459" i="4"/>
  <c r="H459" i="4"/>
  <c r="G459" i="4"/>
  <c r="F459" i="4"/>
  <c r="E459" i="4"/>
  <c r="D459" i="4"/>
  <c r="C459" i="4"/>
  <c r="B459" i="4"/>
  <c r="P458" i="4"/>
  <c r="O458" i="4"/>
  <c r="N458" i="4"/>
  <c r="M458" i="4"/>
  <c r="L458" i="4"/>
  <c r="K458" i="4"/>
  <c r="J458" i="4"/>
  <c r="I458" i="4"/>
  <c r="H458" i="4"/>
  <c r="G458" i="4"/>
  <c r="F458" i="4"/>
  <c r="E458" i="4"/>
  <c r="D458" i="4"/>
  <c r="C458" i="4"/>
  <c r="B458" i="4"/>
  <c r="P457" i="4"/>
  <c r="O457" i="4"/>
  <c r="N457" i="4"/>
  <c r="M457" i="4"/>
  <c r="L457" i="4"/>
  <c r="K457" i="4"/>
  <c r="J457" i="4"/>
  <c r="I457" i="4"/>
  <c r="H457" i="4"/>
  <c r="G457" i="4"/>
  <c r="F457" i="4"/>
  <c r="E457" i="4"/>
  <c r="D457" i="4"/>
  <c r="C457" i="4"/>
  <c r="B457" i="4"/>
  <c r="P456" i="4"/>
  <c r="O456" i="4"/>
  <c r="N456" i="4"/>
  <c r="M456" i="4"/>
  <c r="L456" i="4"/>
  <c r="K456" i="4"/>
  <c r="J456" i="4"/>
  <c r="I456" i="4"/>
  <c r="H456" i="4"/>
  <c r="G456" i="4"/>
  <c r="F456" i="4"/>
  <c r="E456" i="4"/>
  <c r="D456" i="4"/>
  <c r="C456" i="4"/>
  <c r="B456" i="4"/>
  <c r="P455" i="4"/>
  <c r="O455" i="4"/>
  <c r="N455" i="4"/>
  <c r="M455" i="4"/>
  <c r="L455" i="4"/>
  <c r="K455" i="4"/>
  <c r="J455" i="4"/>
  <c r="I455" i="4"/>
  <c r="H455" i="4"/>
  <c r="G455" i="4"/>
  <c r="F455" i="4"/>
  <c r="E455" i="4"/>
  <c r="D455" i="4"/>
  <c r="C455" i="4"/>
  <c r="B455" i="4"/>
  <c r="P454" i="4"/>
  <c r="O454" i="4"/>
  <c r="N454" i="4"/>
  <c r="M454" i="4"/>
  <c r="L454" i="4"/>
  <c r="K454" i="4"/>
  <c r="J454" i="4"/>
  <c r="I454" i="4"/>
  <c r="H454" i="4"/>
  <c r="G454" i="4"/>
  <c r="F454" i="4"/>
  <c r="E454" i="4"/>
  <c r="D454" i="4"/>
  <c r="C454" i="4"/>
  <c r="B454" i="4"/>
  <c r="P453" i="4"/>
  <c r="O453" i="4"/>
  <c r="N453" i="4"/>
  <c r="M453" i="4"/>
  <c r="L453" i="4"/>
  <c r="K453" i="4"/>
  <c r="J453" i="4"/>
  <c r="I453" i="4"/>
  <c r="H453" i="4"/>
  <c r="G453" i="4"/>
  <c r="F453" i="4"/>
  <c r="E453" i="4"/>
  <c r="D453" i="4"/>
  <c r="C453" i="4"/>
  <c r="B453" i="4"/>
  <c r="P452" i="4"/>
  <c r="O452" i="4"/>
  <c r="N452" i="4"/>
  <c r="M452" i="4"/>
  <c r="L452" i="4"/>
  <c r="K452" i="4"/>
  <c r="J452" i="4"/>
  <c r="I452" i="4"/>
  <c r="H452" i="4"/>
  <c r="G452" i="4"/>
  <c r="F452" i="4"/>
  <c r="E452" i="4"/>
  <c r="D452" i="4"/>
  <c r="C452" i="4"/>
  <c r="B452" i="4"/>
  <c r="P451" i="4"/>
  <c r="O451" i="4"/>
  <c r="N451" i="4"/>
  <c r="M451" i="4"/>
  <c r="L451" i="4"/>
  <c r="K451" i="4"/>
  <c r="J451" i="4"/>
  <c r="I451" i="4"/>
  <c r="H451" i="4"/>
  <c r="G451" i="4"/>
  <c r="F451" i="4"/>
  <c r="E451" i="4"/>
  <c r="D451" i="4"/>
  <c r="C451" i="4"/>
  <c r="B451" i="4"/>
  <c r="P450" i="4"/>
  <c r="O450" i="4"/>
  <c r="N450" i="4"/>
  <c r="M450" i="4"/>
  <c r="L450" i="4"/>
  <c r="K450" i="4"/>
  <c r="J450" i="4"/>
  <c r="I450" i="4"/>
  <c r="H450" i="4"/>
  <c r="G450" i="4"/>
  <c r="F450" i="4"/>
  <c r="E450" i="4"/>
  <c r="D450" i="4"/>
  <c r="C450" i="4"/>
  <c r="B450" i="4"/>
  <c r="P449" i="4"/>
  <c r="O449" i="4"/>
  <c r="N449" i="4"/>
  <c r="M449" i="4"/>
  <c r="L449" i="4"/>
  <c r="K449" i="4"/>
  <c r="J449" i="4"/>
  <c r="I449" i="4"/>
  <c r="H449" i="4"/>
  <c r="G449" i="4"/>
  <c r="F449" i="4"/>
  <c r="E449" i="4"/>
  <c r="D449" i="4"/>
  <c r="C449" i="4"/>
  <c r="B449" i="4"/>
  <c r="P448" i="4"/>
  <c r="O448" i="4"/>
  <c r="N448" i="4"/>
  <c r="M448" i="4"/>
  <c r="L448" i="4"/>
  <c r="K448" i="4"/>
  <c r="J448" i="4"/>
  <c r="I448" i="4"/>
  <c r="H448" i="4"/>
  <c r="G448" i="4"/>
  <c r="F448" i="4"/>
  <c r="E448" i="4"/>
  <c r="D448" i="4"/>
  <c r="C448" i="4"/>
  <c r="B448" i="4"/>
  <c r="P447" i="4"/>
  <c r="O447" i="4"/>
  <c r="N447" i="4"/>
  <c r="M447" i="4"/>
  <c r="L447" i="4"/>
  <c r="K447" i="4"/>
  <c r="J447" i="4"/>
  <c r="I447" i="4"/>
  <c r="H447" i="4"/>
  <c r="G447" i="4"/>
  <c r="F447" i="4"/>
  <c r="E447" i="4"/>
  <c r="D447" i="4"/>
  <c r="C447" i="4"/>
  <c r="B447" i="4"/>
  <c r="P446" i="4"/>
  <c r="O446" i="4"/>
  <c r="N446" i="4"/>
  <c r="M446" i="4"/>
  <c r="L446" i="4"/>
  <c r="K446" i="4"/>
  <c r="J446" i="4"/>
  <c r="I446" i="4"/>
  <c r="H446" i="4"/>
  <c r="G446" i="4"/>
  <c r="F446" i="4"/>
  <c r="E446" i="4"/>
  <c r="D446" i="4"/>
  <c r="C446" i="4"/>
  <c r="B446" i="4"/>
  <c r="P445" i="4"/>
  <c r="O445" i="4"/>
  <c r="N445" i="4"/>
  <c r="M445" i="4"/>
  <c r="L445" i="4"/>
  <c r="K445" i="4"/>
  <c r="J445" i="4"/>
  <c r="I445" i="4"/>
  <c r="H445" i="4"/>
  <c r="G445" i="4"/>
  <c r="F445" i="4"/>
  <c r="E445" i="4"/>
  <c r="D445" i="4"/>
  <c r="C445" i="4"/>
  <c r="B445" i="4"/>
  <c r="P444" i="4"/>
  <c r="O444" i="4"/>
  <c r="N444" i="4"/>
  <c r="M444" i="4"/>
  <c r="L444" i="4"/>
  <c r="K444" i="4"/>
  <c r="J444" i="4"/>
  <c r="I444" i="4"/>
  <c r="H444" i="4"/>
  <c r="G444" i="4"/>
  <c r="F444" i="4"/>
  <c r="E444" i="4"/>
  <c r="D444" i="4"/>
  <c r="C444" i="4"/>
  <c r="B444" i="4"/>
  <c r="P443" i="4"/>
  <c r="O443" i="4"/>
  <c r="N443" i="4"/>
  <c r="M443" i="4"/>
  <c r="L443" i="4"/>
  <c r="K443" i="4"/>
  <c r="J443" i="4"/>
  <c r="I443" i="4"/>
  <c r="H443" i="4"/>
  <c r="G443" i="4"/>
  <c r="F443" i="4"/>
  <c r="E443" i="4"/>
  <c r="D443" i="4"/>
  <c r="C443" i="4"/>
  <c r="B443" i="4"/>
  <c r="P442" i="4"/>
  <c r="O442" i="4"/>
  <c r="N442" i="4"/>
  <c r="M442" i="4"/>
  <c r="L442" i="4"/>
  <c r="K442" i="4"/>
  <c r="J442" i="4"/>
  <c r="I442" i="4"/>
  <c r="H442" i="4"/>
  <c r="G442" i="4"/>
  <c r="F442" i="4"/>
  <c r="E442" i="4"/>
  <c r="D442" i="4"/>
  <c r="C442" i="4"/>
  <c r="B442" i="4"/>
  <c r="P441" i="4"/>
  <c r="O441" i="4"/>
  <c r="N441" i="4"/>
  <c r="M441" i="4"/>
  <c r="L441" i="4"/>
  <c r="K441" i="4"/>
  <c r="J441" i="4"/>
  <c r="I441" i="4"/>
  <c r="H441" i="4"/>
  <c r="G441" i="4"/>
  <c r="F441" i="4"/>
  <c r="E441" i="4"/>
  <c r="D441" i="4"/>
  <c r="C441" i="4"/>
  <c r="B441" i="4"/>
  <c r="P440" i="4"/>
  <c r="O440" i="4"/>
  <c r="N440" i="4"/>
  <c r="M440" i="4"/>
  <c r="L440" i="4"/>
  <c r="K440" i="4"/>
  <c r="J440" i="4"/>
  <c r="I440" i="4"/>
  <c r="H440" i="4"/>
  <c r="G440" i="4"/>
  <c r="F440" i="4"/>
  <c r="E440" i="4"/>
  <c r="D440" i="4"/>
  <c r="C440" i="4"/>
  <c r="B440" i="4"/>
  <c r="P439" i="4"/>
  <c r="O439" i="4"/>
  <c r="N439" i="4"/>
  <c r="M439" i="4"/>
  <c r="L439" i="4"/>
  <c r="K439" i="4"/>
  <c r="J439" i="4"/>
  <c r="I439" i="4"/>
  <c r="H439" i="4"/>
  <c r="G439" i="4"/>
  <c r="F439" i="4"/>
  <c r="E439" i="4"/>
  <c r="D439" i="4"/>
  <c r="C439" i="4"/>
  <c r="B439" i="4"/>
  <c r="P438" i="4"/>
  <c r="O438" i="4"/>
  <c r="N438" i="4"/>
  <c r="M438" i="4"/>
  <c r="L438" i="4"/>
  <c r="K438" i="4"/>
  <c r="J438" i="4"/>
  <c r="I438" i="4"/>
  <c r="H438" i="4"/>
  <c r="G438" i="4"/>
  <c r="F438" i="4"/>
  <c r="E438" i="4"/>
  <c r="D438" i="4"/>
  <c r="C438" i="4"/>
  <c r="B438" i="4"/>
  <c r="P437" i="4"/>
  <c r="O437" i="4"/>
  <c r="N437" i="4"/>
  <c r="M437" i="4"/>
  <c r="L437" i="4"/>
  <c r="K437" i="4"/>
  <c r="J437" i="4"/>
  <c r="I437" i="4"/>
  <c r="H437" i="4"/>
  <c r="G437" i="4"/>
  <c r="F437" i="4"/>
  <c r="E437" i="4"/>
  <c r="D437" i="4"/>
  <c r="C437" i="4"/>
  <c r="B437" i="4"/>
  <c r="P436" i="4"/>
  <c r="O436" i="4"/>
  <c r="N436" i="4"/>
  <c r="M436" i="4"/>
  <c r="L436" i="4"/>
  <c r="K436" i="4"/>
  <c r="J436" i="4"/>
  <c r="I436" i="4"/>
  <c r="H436" i="4"/>
  <c r="G436" i="4"/>
  <c r="F436" i="4"/>
  <c r="E436" i="4"/>
  <c r="D436" i="4"/>
  <c r="C436" i="4"/>
  <c r="B436" i="4"/>
  <c r="P435" i="4"/>
  <c r="O435" i="4"/>
  <c r="N435" i="4"/>
  <c r="M435" i="4"/>
  <c r="L435" i="4"/>
  <c r="K435" i="4"/>
  <c r="J435" i="4"/>
  <c r="I435" i="4"/>
  <c r="H435" i="4"/>
  <c r="G435" i="4"/>
  <c r="F435" i="4"/>
  <c r="E435" i="4"/>
  <c r="D435" i="4"/>
  <c r="C435" i="4"/>
  <c r="B435" i="4"/>
  <c r="P434" i="4"/>
  <c r="O434" i="4"/>
  <c r="N434" i="4"/>
  <c r="M434" i="4"/>
  <c r="L434" i="4"/>
  <c r="K434" i="4"/>
  <c r="J434" i="4"/>
  <c r="I434" i="4"/>
  <c r="H434" i="4"/>
  <c r="G434" i="4"/>
  <c r="F434" i="4"/>
  <c r="E434" i="4"/>
  <c r="D434" i="4"/>
  <c r="C434" i="4"/>
  <c r="B434" i="4"/>
  <c r="P433" i="4"/>
  <c r="O433" i="4"/>
  <c r="N433" i="4"/>
  <c r="M433" i="4"/>
  <c r="L433" i="4"/>
  <c r="K433" i="4"/>
  <c r="J433" i="4"/>
  <c r="I433" i="4"/>
  <c r="H433" i="4"/>
  <c r="G433" i="4"/>
  <c r="F433" i="4"/>
  <c r="E433" i="4"/>
  <c r="D433" i="4"/>
  <c r="C433" i="4"/>
  <c r="B433" i="4"/>
  <c r="P432" i="4"/>
  <c r="O432" i="4"/>
  <c r="N432" i="4"/>
  <c r="M432" i="4"/>
  <c r="L432" i="4"/>
  <c r="K432" i="4"/>
  <c r="J432" i="4"/>
  <c r="I432" i="4"/>
  <c r="H432" i="4"/>
  <c r="G432" i="4"/>
  <c r="F432" i="4"/>
  <c r="E432" i="4"/>
  <c r="D432" i="4"/>
  <c r="C432" i="4"/>
  <c r="B432" i="4"/>
  <c r="P431" i="4"/>
  <c r="O431" i="4"/>
  <c r="N431" i="4"/>
  <c r="M431" i="4"/>
  <c r="L431" i="4"/>
  <c r="K431" i="4"/>
  <c r="J431" i="4"/>
  <c r="I431" i="4"/>
  <c r="H431" i="4"/>
  <c r="G431" i="4"/>
  <c r="F431" i="4"/>
  <c r="E431" i="4"/>
  <c r="D431" i="4"/>
  <c r="C431" i="4"/>
  <c r="B431" i="4"/>
  <c r="P430" i="4"/>
  <c r="O430" i="4"/>
  <c r="N430" i="4"/>
  <c r="M430" i="4"/>
  <c r="L430" i="4"/>
  <c r="K430" i="4"/>
  <c r="J430" i="4"/>
  <c r="I430" i="4"/>
  <c r="H430" i="4"/>
  <c r="G430" i="4"/>
  <c r="F430" i="4"/>
  <c r="E430" i="4"/>
  <c r="D430" i="4"/>
  <c r="C430" i="4"/>
  <c r="B430" i="4"/>
  <c r="P429" i="4"/>
  <c r="O429" i="4"/>
  <c r="N429" i="4"/>
  <c r="M429" i="4"/>
  <c r="L429" i="4"/>
  <c r="K429" i="4"/>
  <c r="J429" i="4"/>
  <c r="I429" i="4"/>
  <c r="H429" i="4"/>
  <c r="G429" i="4"/>
  <c r="F429" i="4"/>
  <c r="E429" i="4"/>
  <c r="D429" i="4"/>
  <c r="C429" i="4"/>
  <c r="B429" i="4"/>
  <c r="P428" i="4"/>
  <c r="O428" i="4"/>
  <c r="N428" i="4"/>
  <c r="M428" i="4"/>
  <c r="L428" i="4"/>
  <c r="K428" i="4"/>
  <c r="J428" i="4"/>
  <c r="I428" i="4"/>
  <c r="H428" i="4"/>
  <c r="G428" i="4"/>
  <c r="F428" i="4"/>
  <c r="E428" i="4"/>
  <c r="D428" i="4"/>
  <c r="C428" i="4"/>
  <c r="B428" i="4"/>
  <c r="P427" i="4"/>
  <c r="O427" i="4"/>
  <c r="N427" i="4"/>
  <c r="M427" i="4"/>
  <c r="L427" i="4"/>
  <c r="K427" i="4"/>
  <c r="J427" i="4"/>
  <c r="I427" i="4"/>
  <c r="H427" i="4"/>
  <c r="G427" i="4"/>
  <c r="F427" i="4"/>
  <c r="E427" i="4"/>
  <c r="D427" i="4"/>
  <c r="C427" i="4"/>
  <c r="B427" i="4"/>
  <c r="P426" i="4"/>
  <c r="O426" i="4"/>
  <c r="N426" i="4"/>
  <c r="M426" i="4"/>
  <c r="L426" i="4"/>
  <c r="K426" i="4"/>
  <c r="J426" i="4"/>
  <c r="I426" i="4"/>
  <c r="H426" i="4"/>
  <c r="G426" i="4"/>
  <c r="F426" i="4"/>
  <c r="E426" i="4"/>
  <c r="D426" i="4"/>
  <c r="C426" i="4"/>
  <c r="B426" i="4"/>
  <c r="P425" i="4"/>
  <c r="O425" i="4"/>
  <c r="N425" i="4"/>
  <c r="M425" i="4"/>
  <c r="L425" i="4"/>
  <c r="K425" i="4"/>
  <c r="J425" i="4"/>
  <c r="I425" i="4"/>
  <c r="H425" i="4"/>
  <c r="G425" i="4"/>
  <c r="F425" i="4"/>
  <c r="E425" i="4"/>
  <c r="D425" i="4"/>
  <c r="C425" i="4"/>
  <c r="B425" i="4"/>
  <c r="P424" i="4"/>
  <c r="O424" i="4"/>
  <c r="N424" i="4"/>
  <c r="M424" i="4"/>
  <c r="L424" i="4"/>
  <c r="K424" i="4"/>
  <c r="J424" i="4"/>
  <c r="I424" i="4"/>
  <c r="H424" i="4"/>
  <c r="G424" i="4"/>
  <c r="F424" i="4"/>
  <c r="E424" i="4"/>
  <c r="D424" i="4"/>
  <c r="C424" i="4"/>
  <c r="B424" i="4"/>
  <c r="P423" i="4"/>
  <c r="O423" i="4"/>
  <c r="N423" i="4"/>
  <c r="M423" i="4"/>
  <c r="L423" i="4"/>
  <c r="K423" i="4"/>
  <c r="J423" i="4"/>
  <c r="I423" i="4"/>
  <c r="H423" i="4"/>
  <c r="G423" i="4"/>
  <c r="F423" i="4"/>
  <c r="E423" i="4"/>
  <c r="D423" i="4"/>
  <c r="C423" i="4"/>
  <c r="B423" i="4"/>
  <c r="P422" i="4"/>
  <c r="O422" i="4"/>
  <c r="N422" i="4"/>
  <c r="M422" i="4"/>
  <c r="L422" i="4"/>
  <c r="K422" i="4"/>
  <c r="J422" i="4"/>
  <c r="I422" i="4"/>
  <c r="H422" i="4"/>
  <c r="G422" i="4"/>
  <c r="F422" i="4"/>
  <c r="E422" i="4"/>
  <c r="D422" i="4"/>
  <c r="C422" i="4"/>
  <c r="B422" i="4"/>
  <c r="P421" i="4"/>
  <c r="O421" i="4"/>
  <c r="N421" i="4"/>
  <c r="M421" i="4"/>
  <c r="L421" i="4"/>
  <c r="K421" i="4"/>
  <c r="J421" i="4"/>
  <c r="I421" i="4"/>
  <c r="H421" i="4"/>
  <c r="G421" i="4"/>
  <c r="F421" i="4"/>
  <c r="E421" i="4"/>
  <c r="D421" i="4"/>
  <c r="C421" i="4"/>
  <c r="B421" i="4"/>
  <c r="P420" i="4"/>
  <c r="O420" i="4"/>
  <c r="N420" i="4"/>
  <c r="M420" i="4"/>
  <c r="L420" i="4"/>
  <c r="K420" i="4"/>
  <c r="J420" i="4"/>
  <c r="I420" i="4"/>
  <c r="H420" i="4"/>
  <c r="G420" i="4"/>
  <c r="F420" i="4"/>
  <c r="E420" i="4"/>
  <c r="D420" i="4"/>
  <c r="C420" i="4"/>
  <c r="B420" i="4"/>
  <c r="P419" i="4"/>
  <c r="O419" i="4"/>
  <c r="N419" i="4"/>
  <c r="M419" i="4"/>
  <c r="L419" i="4"/>
  <c r="K419" i="4"/>
  <c r="J419" i="4"/>
  <c r="I419" i="4"/>
  <c r="H419" i="4"/>
  <c r="G419" i="4"/>
  <c r="F419" i="4"/>
  <c r="E419" i="4"/>
  <c r="D419" i="4"/>
  <c r="C419" i="4"/>
  <c r="B419" i="4"/>
  <c r="P418" i="4"/>
  <c r="O418" i="4"/>
  <c r="N418" i="4"/>
  <c r="M418" i="4"/>
  <c r="L418" i="4"/>
  <c r="K418" i="4"/>
  <c r="J418" i="4"/>
  <c r="I418" i="4"/>
  <c r="H418" i="4"/>
  <c r="G418" i="4"/>
  <c r="F418" i="4"/>
  <c r="E418" i="4"/>
  <c r="D418" i="4"/>
  <c r="C418" i="4"/>
  <c r="B418" i="4"/>
  <c r="P417" i="4"/>
  <c r="O417" i="4"/>
  <c r="N417" i="4"/>
  <c r="M417" i="4"/>
  <c r="L417" i="4"/>
  <c r="K417" i="4"/>
  <c r="J417" i="4"/>
  <c r="I417" i="4"/>
  <c r="H417" i="4"/>
  <c r="G417" i="4"/>
  <c r="F417" i="4"/>
  <c r="E417" i="4"/>
  <c r="D417" i="4"/>
  <c r="C417" i="4"/>
  <c r="B417" i="4"/>
  <c r="P416" i="4"/>
  <c r="O416" i="4"/>
  <c r="N416" i="4"/>
  <c r="M416" i="4"/>
  <c r="L416" i="4"/>
  <c r="K416" i="4"/>
  <c r="J416" i="4"/>
  <c r="I416" i="4"/>
  <c r="H416" i="4"/>
  <c r="G416" i="4"/>
  <c r="F416" i="4"/>
  <c r="E416" i="4"/>
  <c r="D416" i="4"/>
  <c r="C416" i="4"/>
  <c r="B416" i="4"/>
  <c r="P415" i="4"/>
  <c r="O415" i="4"/>
  <c r="N415" i="4"/>
  <c r="M415" i="4"/>
  <c r="L415" i="4"/>
  <c r="K415" i="4"/>
  <c r="J415" i="4"/>
  <c r="I415" i="4"/>
  <c r="H415" i="4"/>
  <c r="G415" i="4"/>
  <c r="F415" i="4"/>
  <c r="E415" i="4"/>
  <c r="D415" i="4"/>
  <c r="C415" i="4"/>
  <c r="B415" i="4"/>
  <c r="P414" i="4"/>
  <c r="O414" i="4"/>
  <c r="N414" i="4"/>
  <c r="M414" i="4"/>
  <c r="L414" i="4"/>
  <c r="K414" i="4"/>
  <c r="J414" i="4"/>
  <c r="I414" i="4"/>
  <c r="H414" i="4"/>
  <c r="G414" i="4"/>
  <c r="F414" i="4"/>
  <c r="E414" i="4"/>
  <c r="D414" i="4"/>
  <c r="C414" i="4"/>
  <c r="B414" i="4"/>
  <c r="P413" i="4"/>
  <c r="O413" i="4"/>
  <c r="N413" i="4"/>
  <c r="M413" i="4"/>
  <c r="L413" i="4"/>
  <c r="K413" i="4"/>
  <c r="J413" i="4"/>
  <c r="I413" i="4"/>
  <c r="H413" i="4"/>
  <c r="G413" i="4"/>
  <c r="F413" i="4"/>
  <c r="E413" i="4"/>
  <c r="D413" i="4"/>
  <c r="C413" i="4"/>
  <c r="B413" i="4"/>
  <c r="P412" i="4"/>
  <c r="O412" i="4"/>
  <c r="N412" i="4"/>
  <c r="M412" i="4"/>
  <c r="L412" i="4"/>
  <c r="K412" i="4"/>
  <c r="J412" i="4"/>
  <c r="I412" i="4"/>
  <c r="H412" i="4"/>
  <c r="G412" i="4"/>
  <c r="F412" i="4"/>
  <c r="E412" i="4"/>
  <c r="D412" i="4"/>
  <c r="C412" i="4"/>
  <c r="B412" i="4"/>
  <c r="P411" i="4"/>
  <c r="O411" i="4"/>
  <c r="N411" i="4"/>
  <c r="M411" i="4"/>
  <c r="L411" i="4"/>
  <c r="K411" i="4"/>
  <c r="J411" i="4"/>
  <c r="I411" i="4"/>
  <c r="H411" i="4"/>
  <c r="G411" i="4"/>
  <c r="F411" i="4"/>
  <c r="E411" i="4"/>
  <c r="D411" i="4"/>
  <c r="C411" i="4"/>
  <c r="B411" i="4"/>
  <c r="P410" i="4"/>
  <c r="O410" i="4"/>
  <c r="N410" i="4"/>
  <c r="M410" i="4"/>
  <c r="L410" i="4"/>
  <c r="K410" i="4"/>
  <c r="J410" i="4"/>
  <c r="I410" i="4"/>
  <c r="H410" i="4"/>
  <c r="G410" i="4"/>
  <c r="F410" i="4"/>
  <c r="E410" i="4"/>
  <c r="D410" i="4"/>
  <c r="C410" i="4"/>
  <c r="B410" i="4"/>
  <c r="P409" i="4"/>
  <c r="O409" i="4"/>
  <c r="N409" i="4"/>
  <c r="M409" i="4"/>
  <c r="L409" i="4"/>
  <c r="K409" i="4"/>
  <c r="J409" i="4"/>
  <c r="I409" i="4"/>
  <c r="H409" i="4"/>
  <c r="G409" i="4"/>
  <c r="F409" i="4"/>
  <c r="E409" i="4"/>
  <c r="D409" i="4"/>
  <c r="C409" i="4"/>
  <c r="B409" i="4"/>
  <c r="P408" i="4"/>
  <c r="O408" i="4"/>
  <c r="N408" i="4"/>
  <c r="M408" i="4"/>
  <c r="L408" i="4"/>
  <c r="K408" i="4"/>
  <c r="J408" i="4"/>
  <c r="I408" i="4"/>
  <c r="H408" i="4"/>
  <c r="G408" i="4"/>
  <c r="F408" i="4"/>
  <c r="E408" i="4"/>
  <c r="D408" i="4"/>
  <c r="C408" i="4"/>
  <c r="B408" i="4"/>
  <c r="P407" i="4"/>
  <c r="O407" i="4"/>
  <c r="N407" i="4"/>
  <c r="M407" i="4"/>
  <c r="L407" i="4"/>
  <c r="K407" i="4"/>
  <c r="J407" i="4"/>
  <c r="I407" i="4"/>
  <c r="H407" i="4"/>
  <c r="G407" i="4"/>
  <c r="F407" i="4"/>
  <c r="E407" i="4"/>
  <c r="D407" i="4"/>
  <c r="C407" i="4"/>
  <c r="B407" i="4"/>
  <c r="P406" i="4"/>
  <c r="O406" i="4"/>
  <c r="N406" i="4"/>
  <c r="M406" i="4"/>
  <c r="L406" i="4"/>
  <c r="K406" i="4"/>
  <c r="J406" i="4"/>
  <c r="I406" i="4"/>
  <c r="H406" i="4"/>
  <c r="G406" i="4"/>
  <c r="F406" i="4"/>
  <c r="E406" i="4"/>
  <c r="D406" i="4"/>
  <c r="C406" i="4"/>
  <c r="B406" i="4"/>
  <c r="P405" i="4"/>
  <c r="O405" i="4"/>
  <c r="N405" i="4"/>
  <c r="M405" i="4"/>
  <c r="L405" i="4"/>
  <c r="K405" i="4"/>
  <c r="J405" i="4"/>
  <c r="I405" i="4"/>
  <c r="H405" i="4"/>
  <c r="G405" i="4"/>
  <c r="F405" i="4"/>
  <c r="E405" i="4"/>
  <c r="D405" i="4"/>
  <c r="C405" i="4"/>
  <c r="B405" i="4"/>
  <c r="P404" i="4"/>
  <c r="O404" i="4"/>
  <c r="N404" i="4"/>
  <c r="M404" i="4"/>
  <c r="L404" i="4"/>
  <c r="K404" i="4"/>
  <c r="J404" i="4"/>
  <c r="I404" i="4"/>
  <c r="H404" i="4"/>
  <c r="G404" i="4"/>
  <c r="F404" i="4"/>
  <c r="E404" i="4"/>
  <c r="D404" i="4"/>
  <c r="C404" i="4"/>
  <c r="B404" i="4"/>
  <c r="P403" i="4"/>
  <c r="O403" i="4"/>
  <c r="N403" i="4"/>
  <c r="M403" i="4"/>
  <c r="L403" i="4"/>
  <c r="K403" i="4"/>
  <c r="J403" i="4"/>
  <c r="I403" i="4"/>
  <c r="H403" i="4"/>
  <c r="G403" i="4"/>
  <c r="F403" i="4"/>
  <c r="E403" i="4"/>
  <c r="D403" i="4"/>
  <c r="C403" i="4"/>
  <c r="B403" i="4"/>
  <c r="P402" i="4"/>
  <c r="O402" i="4"/>
  <c r="N402" i="4"/>
  <c r="M402" i="4"/>
  <c r="L402" i="4"/>
  <c r="K402" i="4"/>
  <c r="J402" i="4"/>
  <c r="I402" i="4"/>
  <c r="H402" i="4"/>
  <c r="G402" i="4"/>
  <c r="F402" i="4"/>
  <c r="E402" i="4"/>
  <c r="D402" i="4"/>
  <c r="C402" i="4"/>
  <c r="B402" i="4"/>
  <c r="P401" i="4"/>
  <c r="O401" i="4"/>
  <c r="N401" i="4"/>
  <c r="M401" i="4"/>
  <c r="L401" i="4"/>
  <c r="K401" i="4"/>
  <c r="J401" i="4"/>
  <c r="I401" i="4"/>
  <c r="H401" i="4"/>
  <c r="G401" i="4"/>
  <c r="F401" i="4"/>
  <c r="E401" i="4"/>
  <c r="D401" i="4"/>
  <c r="C401" i="4"/>
  <c r="B401" i="4"/>
  <c r="P400" i="4"/>
  <c r="O400" i="4"/>
  <c r="N400" i="4"/>
  <c r="M400" i="4"/>
  <c r="L400" i="4"/>
  <c r="K400" i="4"/>
  <c r="J400" i="4"/>
  <c r="I400" i="4"/>
  <c r="H400" i="4"/>
  <c r="G400" i="4"/>
  <c r="F400" i="4"/>
  <c r="E400" i="4"/>
  <c r="D400" i="4"/>
  <c r="C400" i="4"/>
  <c r="B400" i="4"/>
  <c r="P399" i="4"/>
  <c r="O399" i="4"/>
  <c r="N399" i="4"/>
  <c r="M399" i="4"/>
  <c r="L399" i="4"/>
  <c r="K399" i="4"/>
  <c r="J399" i="4"/>
  <c r="I399" i="4"/>
  <c r="H399" i="4"/>
  <c r="G399" i="4"/>
  <c r="F399" i="4"/>
  <c r="E399" i="4"/>
  <c r="D399" i="4"/>
  <c r="C399" i="4"/>
  <c r="B399" i="4"/>
  <c r="P398" i="4"/>
  <c r="O398" i="4"/>
  <c r="N398" i="4"/>
  <c r="M398" i="4"/>
  <c r="L398" i="4"/>
  <c r="K398" i="4"/>
  <c r="J398" i="4"/>
  <c r="I398" i="4"/>
  <c r="H398" i="4"/>
  <c r="G398" i="4"/>
  <c r="F398" i="4"/>
  <c r="E398" i="4"/>
  <c r="D398" i="4"/>
  <c r="C398" i="4"/>
  <c r="B398" i="4"/>
  <c r="P397" i="4"/>
  <c r="O397" i="4"/>
  <c r="N397" i="4"/>
  <c r="M397" i="4"/>
  <c r="L397" i="4"/>
  <c r="K397" i="4"/>
  <c r="J397" i="4"/>
  <c r="I397" i="4"/>
  <c r="H397" i="4"/>
  <c r="G397" i="4"/>
  <c r="F397" i="4"/>
  <c r="E397" i="4"/>
  <c r="D397" i="4"/>
  <c r="C397" i="4"/>
  <c r="B397" i="4"/>
  <c r="P396" i="4"/>
  <c r="O396" i="4"/>
  <c r="N396" i="4"/>
  <c r="M396" i="4"/>
  <c r="L396" i="4"/>
  <c r="K396" i="4"/>
  <c r="J396" i="4"/>
  <c r="I396" i="4"/>
  <c r="H396" i="4"/>
  <c r="G396" i="4"/>
  <c r="F396" i="4"/>
  <c r="E396" i="4"/>
  <c r="D396" i="4"/>
  <c r="C396" i="4"/>
  <c r="B396" i="4"/>
  <c r="P395" i="4"/>
  <c r="O395" i="4"/>
  <c r="N395" i="4"/>
  <c r="M395" i="4"/>
  <c r="L395" i="4"/>
  <c r="K395" i="4"/>
  <c r="J395" i="4"/>
  <c r="I395" i="4"/>
  <c r="H395" i="4"/>
  <c r="G395" i="4"/>
  <c r="F395" i="4"/>
  <c r="E395" i="4"/>
  <c r="D395" i="4"/>
  <c r="C395" i="4"/>
  <c r="B395" i="4"/>
  <c r="P394" i="4"/>
  <c r="O394" i="4"/>
  <c r="N394" i="4"/>
  <c r="M394" i="4"/>
  <c r="L394" i="4"/>
  <c r="K394" i="4"/>
  <c r="J394" i="4"/>
  <c r="I394" i="4"/>
  <c r="H394" i="4"/>
  <c r="G394" i="4"/>
  <c r="F394" i="4"/>
  <c r="E394" i="4"/>
  <c r="D394" i="4"/>
  <c r="C394" i="4"/>
  <c r="B394" i="4"/>
  <c r="P393" i="4"/>
  <c r="O393" i="4"/>
  <c r="N393" i="4"/>
  <c r="M393" i="4"/>
  <c r="L393" i="4"/>
  <c r="K393" i="4"/>
  <c r="J393" i="4"/>
  <c r="I393" i="4"/>
  <c r="H393" i="4"/>
  <c r="G393" i="4"/>
  <c r="F393" i="4"/>
  <c r="E393" i="4"/>
  <c r="D393" i="4"/>
  <c r="C393" i="4"/>
  <c r="B393" i="4"/>
  <c r="P392" i="4"/>
  <c r="O392" i="4"/>
  <c r="N392" i="4"/>
  <c r="M392" i="4"/>
  <c r="L392" i="4"/>
  <c r="K392" i="4"/>
  <c r="J392" i="4"/>
  <c r="I392" i="4"/>
  <c r="H392" i="4"/>
  <c r="G392" i="4"/>
  <c r="F392" i="4"/>
  <c r="E392" i="4"/>
  <c r="D392" i="4"/>
  <c r="C392" i="4"/>
  <c r="B392" i="4"/>
  <c r="P391" i="4"/>
  <c r="O391" i="4"/>
  <c r="N391" i="4"/>
  <c r="M391" i="4"/>
  <c r="L391" i="4"/>
  <c r="K391" i="4"/>
  <c r="J391" i="4"/>
  <c r="I391" i="4"/>
  <c r="H391" i="4"/>
  <c r="G391" i="4"/>
  <c r="F391" i="4"/>
  <c r="E391" i="4"/>
  <c r="D391" i="4"/>
  <c r="C391" i="4"/>
  <c r="B391" i="4"/>
  <c r="P390" i="4"/>
  <c r="O390" i="4"/>
  <c r="N390" i="4"/>
  <c r="M390" i="4"/>
  <c r="L390" i="4"/>
  <c r="K390" i="4"/>
  <c r="J390" i="4"/>
  <c r="I390" i="4"/>
  <c r="H390" i="4"/>
  <c r="G390" i="4"/>
  <c r="F390" i="4"/>
  <c r="E390" i="4"/>
  <c r="D390" i="4"/>
  <c r="C390" i="4"/>
  <c r="B390" i="4"/>
  <c r="P389" i="4"/>
  <c r="O389" i="4"/>
  <c r="N389" i="4"/>
  <c r="M389" i="4"/>
  <c r="L389" i="4"/>
  <c r="K389" i="4"/>
  <c r="J389" i="4"/>
  <c r="I389" i="4"/>
  <c r="H389" i="4"/>
  <c r="G389" i="4"/>
  <c r="F389" i="4"/>
  <c r="E389" i="4"/>
  <c r="D389" i="4"/>
  <c r="C389" i="4"/>
  <c r="B389" i="4"/>
  <c r="P388" i="4"/>
  <c r="O388" i="4"/>
  <c r="N388" i="4"/>
  <c r="M388" i="4"/>
  <c r="L388" i="4"/>
  <c r="K388" i="4"/>
  <c r="J388" i="4"/>
  <c r="I388" i="4"/>
  <c r="H388" i="4"/>
  <c r="G388" i="4"/>
  <c r="F388" i="4"/>
  <c r="E388" i="4"/>
  <c r="D388" i="4"/>
  <c r="C388" i="4"/>
  <c r="B388" i="4"/>
  <c r="P387" i="4"/>
  <c r="O387" i="4"/>
  <c r="N387" i="4"/>
  <c r="M387" i="4"/>
  <c r="L387" i="4"/>
  <c r="K387" i="4"/>
  <c r="J387" i="4"/>
  <c r="I387" i="4"/>
  <c r="H387" i="4"/>
  <c r="G387" i="4"/>
  <c r="F387" i="4"/>
  <c r="E387" i="4"/>
  <c r="D387" i="4"/>
  <c r="C387" i="4"/>
  <c r="B387" i="4"/>
  <c r="P386" i="4"/>
  <c r="O386" i="4"/>
  <c r="N386" i="4"/>
  <c r="M386" i="4"/>
  <c r="L386" i="4"/>
  <c r="K386" i="4"/>
  <c r="J386" i="4"/>
  <c r="I386" i="4"/>
  <c r="H386" i="4"/>
  <c r="G386" i="4"/>
  <c r="F386" i="4"/>
  <c r="E386" i="4"/>
  <c r="D386" i="4"/>
  <c r="C386" i="4"/>
  <c r="B386" i="4"/>
  <c r="P385" i="4"/>
  <c r="O385" i="4"/>
  <c r="N385" i="4"/>
  <c r="M385" i="4"/>
  <c r="L385" i="4"/>
  <c r="K385" i="4"/>
  <c r="J385" i="4"/>
  <c r="I385" i="4"/>
  <c r="H385" i="4"/>
  <c r="G385" i="4"/>
  <c r="F385" i="4"/>
  <c r="E385" i="4"/>
  <c r="D385" i="4"/>
  <c r="C385" i="4"/>
  <c r="B385" i="4"/>
  <c r="P384" i="4"/>
  <c r="O384" i="4"/>
  <c r="N384" i="4"/>
  <c r="M384" i="4"/>
  <c r="L384" i="4"/>
  <c r="K384" i="4"/>
  <c r="J384" i="4"/>
  <c r="I384" i="4"/>
  <c r="H384" i="4"/>
  <c r="G384" i="4"/>
  <c r="F384" i="4"/>
  <c r="E384" i="4"/>
  <c r="D384" i="4"/>
  <c r="C384" i="4"/>
  <c r="B384" i="4"/>
  <c r="P383" i="4"/>
  <c r="O383" i="4"/>
  <c r="N383" i="4"/>
  <c r="M383" i="4"/>
  <c r="L383" i="4"/>
  <c r="K383" i="4"/>
  <c r="J383" i="4"/>
  <c r="I383" i="4"/>
  <c r="H383" i="4"/>
  <c r="G383" i="4"/>
  <c r="F383" i="4"/>
  <c r="E383" i="4"/>
  <c r="D383" i="4"/>
  <c r="C383" i="4"/>
  <c r="B383" i="4"/>
  <c r="P382" i="4"/>
  <c r="O382" i="4"/>
  <c r="N382" i="4"/>
  <c r="M382" i="4"/>
  <c r="L382" i="4"/>
  <c r="K382" i="4"/>
  <c r="J382" i="4"/>
  <c r="I382" i="4"/>
  <c r="H382" i="4"/>
  <c r="G382" i="4"/>
  <c r="F382" i="4"/>
  <c r="E382" i="4"/>
  <c r="D382" i="4"/>
  <c r="C382" i="4"/>
  <c r="B382" i="4"/>
  <c r="P381" i="4"/>
  <c r="O381" i="4"/>
  <c r="N381" i="4"/>
  <c r="M381" i="4"/>
  <c r="L381" i="4"/>
  <c r="K381" i="4"/>
  <c r="J381" i="4"/>
  <c r="I381" i="4"/>
  <c r="H381" i="4"/>
  <c r="G381" i="4"/>
  <c r="F381" i="4"/>
  <c r="E381" i="4"/>
  <c r="D381" i="4"/>
  <c r="C381" i="4"/>
  <c r="B381" i="4"/>
  <c r="P380" i="4"/>
  <c r="O380" i="4"/>
  <c r="N380" i="4"/>
  <c r="M380" i="4"/>
  <c r="L380" i="4"/>
  <c r="K380" i="4"/>
  <c r="J380" i="4"/>
  <c r="I380" i="4"/>
  <c r="H380" i="4"/>
  <c r="G380" i="4"/>
  <c r="F380" i="4"/>
  <c r="E380" i="4"/>
  <c r="D380" i="4"/>
  <c r="C380" i="4"/>
  <c r="B380" i="4"/>
  <c r="P379" i="4"/>
  <c r="O379" i="4"/>
  <c r="N379" i="4"/>
  <c r="M379" i="4"/>
  <c r="L379" i="4"/>
  <c r="K379" i="4"/>
  <c r="J379" i="4"/>
  <c r="I379" i="4"/>
  <c r="H379" i="4"/>
  <c r="G379" i="4"/>
  <c r="F379" i="4"/>
  <c r="E379" i="4"/>
  <c r="D379" i="4"/>
  <c r="C379" i="4"/>
  <c r="B379" i="4"/>
  <c r="P378" i="4"/>
  <c r="O378" i="4"/>
  <c r="N378" i="4"/>
  <c r="M378" i="4"/>
  <c r="L378" i="4"/>
  <c r="K378" i="4"/>
  <c r="J378" i="4"/>
  <c r="I378" i="4"/>
  <c r="H378" i="4"/>
  <c r="G378" i="4"/>
  <c r="F378" i="4"/>
  <c r="E378" i="4"/>
  <c r="D378" i="4"/>
  <c r="C378" i="4"/>
  <c r="B378" i="4"/>
  <c r="P377" i="4"/>
  <c r="O377" i="4"/>
  <c r="N377" i="4"/>
  <c r="M377" i="4"/>
  <c r="L377" i="4"/>
  <c r="K377" i="4"/>
  <c r="J377" i="4"/>
  <c r="I377" i="4"/>
  <c r="H377" i="4"/>
  <c r="G377" i="4"/>
  <c r="F377" i="4"/>
  <c r="E377" i="4"/>
  <c r="D377" i="4"/>
  <c r="C377" i="4"/>
  <c r="B377" i="4"/>
  <c r="P376" i="4"/>
  <c r="O376" i="4"/>
  <c r="N376" i="4"/>
  <c r="M376" i="4"/>
  <c r="L376" i="4"/>
  <c r="K376" i="4"/>
  <c r="J376" i="4"/>
  <c r="I376" i="4"/>
  <c r="H376" i="4"/>
  <c r="G376" i="4"/>
  <c r="F376" i="4"/>
  <c r="E376" i="4"/>
  <c r="D376" i="4"/>
  <c r="C376" i="4"/>
  <c r="B376" i="4"/>
  <c r="P375" i="4"/>
  <c r="O375" i="4"/>
  <c r="N375" i="4"/>
  <c r="M375" i="4"/>
  <c r="L375" i="4"/>
  <c r="K375" i="4"/>
  <c r="J375" i="4"/>
  <c r="I375" i="4"/>
  <c r="H375" i="4"/>
  <c r="G375" i="4"/>
  <c r="F375" i="4"/>
  <c r="E375" i="4"/>
  <c r="D375" i="4"/>
  <c r="C375" i="4"/>
  <c r="B375" i="4"/>
  <c r="P374" i="4"/>
  <c r="O374" i="4"/>
  <c r="N374" i="4"/>
  <c r="M374" i="4"/>
  <c r="L374" i="4"/>
  <c r="K374" i="4"/>
  <c r="J374" i="4"/>
  <c r="I374" i="4"/>
  <c r="H374" i="4"/>
  <c r="G374" i="4"/>
  <c r="F374" i="4"/>
  <c r="E374" i="4"/>
  <c r="D374" i="4"/>
  <c r="C374" i="4"/>
  <c r="B374" i="4"/>
  <c r="P373" i="4"/>
  <c r="O373" i="4"/>
  <c r="N373" i="4"/>
  <c r="M373" i="4"/>
  <c r="L373" i="4"/>
  <c r="K373" i="4"/>
  <c r="J373" i="4"/>
  <c r="I373" i="4"/>
  <c r="H373" i="4"/>
  <c r="G373" i="4"/>
  <c r="F373" i="4"/>
  <c r="E373" i="4"/>
  <c r="D373" i="4"/>
  <c r="C373" i="4"/>
  <c r="B373" i="4"/>
  <c r="P372" i="4"/>
  <c r="O372" i="4"/>
  <c r="N372" i="4"/>
  <c r="M372" i="4"/>
  <c r="L372" i="4"/>
  <c r="K372" i="4"/>
  <c r="J372" i="4"/>
  <c r="I372" i="4"/>
  <c r="H372" i="4"/>
  <c r="G372" i="4"/>
  <c r="F372" i="4"/>
  <c r="E372" i="4"/>
  <c r="D372" i="4"/>
  <c r="C372" i="4"/>
  <c r="B372" i="4"/>
  <c r="P371" i="4"/>
  <c r="O371" i="4"/>
  <c r="N371" i="4"/>
  <c r="M371" i="4"/>
  <c r="L371" i="4"/>
  <c r="K371" i="4"/>
  <c r="J371" i="4"/>
  <c r="I371" i="4"/>
  <c r="H371" i="4"/>
  <c r="G371" i="4"/>
  <c r="F371" i="4"/>
  <c r="E371" i="4"/>
  <c r="D371" i="4"/>
  <c r="C371" i="4"/>
  <c r="B371" i="4"/>
  <c r="P370" i="4"/>
  <c r="O370" i="4"/>
  <c r="N370" i="4"/>
  <c r="M370" i="4"/>
  <c r="L370" i="4"/>
  <c r="K370" i="4"/>
  <c r="J370" i="4"/>
  <c r="I370" i="4"/>
  <c r="H370" i="4"/>
  <c r="G370" i="4"/>
  <c r="F370" i="4"/>
  <c r="E370" i="4"/>
  <c r="D370" i="4"/>
  <c r="C370" i="4"/>
  <c r="B370" i="4"/>
  <c r="P369" i="4"/>
  <c r="O369" i="4"/>
  <c r="N369" i="4"/>
  <c r="M369" i="4"/>
  <c r="L369" i="4"/>
  <c r="K369" i="4"/>
  <c r="J369" i="4"/>
  <c r="I369" i="4"/>
  <c r="H369" i="4"/>
  <c r="G369" i="4"/>
  <c r="F369" i="4"/>
  <c r="E369" i="4"/>
  <c r="D369" i="4"/>
  <c r="C369" i="4"/>
  <c r="B369" i="4"/>
  <c r="P368" i="4"/>
  <c r="O368" i="4"/>
  <c r="N368" i="4"/>
  <c r="M368" i="4"/>
  <c r="L368" i="4"/>
  <c r="K368" i="4"/>
  <c r="J368" i="4"/>
  <c r="I368" i="4"/>
  <c r="H368" i="4"/>
  <c r="G368" i="4"/>
  <c r="F368" i="4"/>
  <c r="E368" i="4"/>
  <c r="D368" i="4"/>
  <c r="C368" i="4"/>
  <c r="B368" i="4"/>
  <c r="P367" i="4"/>
  <c r="O367" i="4"/>
  <c r="N367" i="4"/>
  <c r="M367" i="4"/>
  <c r="L367" i="4"/>
  <c r="K367" i="4"/>
  <c r="J367" i="4"/>
  <c r="I367" i="4"/>
  <c r="H367" i="4"/>
  <c r="G367" i="4"/>
  <c r="F367" i="4"/>
  <c r="E367" i="4"/>
  <c r="D367" i="4"/>
  <c r="C367" i="4"/>
  <c r="B367" i="4"/>
  <c r="P366" i="4"/>
  <c r="O366" i="4"/>
  <c r="N366" i="4"/>
  <c r="M366" i="4"/>
  <c r="L366" i="4"/>
  <c r="K366" i="4"/>
  <c r="J366" i="4"/>
  <c r="I366" i="4"/>
  <c r="H366" i="4"/>
  <c r="G366" i="4"/>
  <c r="F366" i="4"/>
  <c r="E366" i="4"/>
  <c r="D366" i="4"/>
  <c r="C366" i="4"/>
  <c r="B366" i="4"/>
  <c r="P365" i="4"/>
  <c r="O365" i="4"/>
  <c r="N365" i="4"/>
  <c r="M365" i="4"/>
  <c r="L365" i="4"/>
  <c r="K365" i="4"/>
  <c r="J365" i="4"/>
  <c r="I365" i="4"/>
  <c r="H365" i="4"/>
  <c r="G365" i="4"/>
  <c r="F365" i="4"/>
  <c r="E365" i="4"/>
  <c r="D365" i="4"/>
  <c r="C365" i="4"/>
  <c r="B365" i="4"/>
  <c r="P364" i="4"/>
  <c r="O364" i="4"/>
  <c r="N364" i="4"/>
  <c r="M364" i="4"/>
  <c r="L364" i="4"/>
  <c r="K364" i="4"/>
  <c r="J364" i="4"/>
  <c r="I364" i="4"/>
  <c r="H364" i="4"/>
  <c r="G364" i="4"/>
  <c r="F364" i="4"/>
  <c r="E364" i="4"/>
  <c r="D364" i="4"/>
  <c r="C364" i="4"/>
  <c r="B364" i="4"/>
  <c r="P363" i="4"/>
  <c r="O363" i="4"/>
  <c r="N363" i="4"/>
  <c r="M363" i="4"/>
  <c r="L363" i="4"/>
  <c r="K363" i="4"/>
  <c r="J363" i="4"/>
  <c r="I363" i="4"/>
  <c r="H363" i="4"/>
  <c r="G363" i="4"/>
  <c r="F363" i="4"/>
  <c r="E363" i="4"/>
  <c r="D363" i="4"/>
  <c r="C363" i="4"/>
  <c r="B363" i="4"/>
  <c r="P362" i="4"/>
  <c r="O362" i="4"/>
  <c r="N362" i="4"/>
  <c r="M362" i="4"/>
  <c r="L362" i="4"/>
  <c r="K362" i="4"/>
  <c r="J362" i="4"/>
  <c r="I362" i="4"/>
  <c r="H362" i="4"/>
  <c r="G362" i="4"/>
  <c r="F362" i="4"/>
  <c r="E362" i="4"/>
  <c r="D362" i="4"/>
  <c r="C362" i="4"/>
  <c r="B362" i="4"/>
  <c r="P361" i="4"/>
  <c r="O361" i="4"/>
  <c r="N361" i="4"/>
  <c r="M361" i="4"/>
  <c r="L361" i="4"/>
  <c r="K361" i="4"/>
  <c r="J361" i="4"/>
  <c r="I361" i="4"/>
  <c r="H361" i="4"/>
  <c r="G361" i="4"/>
  <c r="F361" i="4"/>
  <c r="E361" i="4"/>
  <c r="D361" i="4"/>
  <c r="C361" i="4"/>
  <c r="B361" i="4"/>
  <c r="P360" i="4"/>
  <c r="O360" i="4"/>
  <c r="N360" i="4"/>
  <c r="M360" i="4"/>
  <c r="L360" i="4"/>
  <c r="K360" i="4"/>
  <c r="J360" i="4"/>
  <c r="I360" i="4"/>
  <c r="H360" i="4"/>
  <c r="G360" i="4"/>
  <c r="F360" i="4"/>
  <c r="E360" i="4"/>
  <c r="D360" i="4"/>
  <c r="C360" i="4"/>
  <c r="B360" i="4"/>
  <c r="P359" i="4"/>
  <c r="O359" i="4"/>
  <c r="N359" i="4"/>
  <c r="M359" i="4"/>
  <c r="L359" i="4"/>
  <c r="K359" i="4"/>
  <c r="J359" i="4"/>
  <c r="I359" i="4"/>
  <c r="H359" i="4"/>
  <c r="G359" i="4"/>
  <c r="F359" i="4"/>
  <c r="E359" i="4"/>
  <c r="D359" i="4"/>
  <c r="C359" i="4"/>
  <c r="B359" i="4"/>
  <c r="P358" i="4"/>
  <c r="O358" i="4"/>
  <c r="N358" i="4"/>
  <c r="M358" i="4"/>
  <c r="L358" i="4"/>
  <c r="K358" i="4"/>
  <c r="J358" i="4"/>
  <c r="I358" i="4"/>
  <c r="H358" i="4"/>
  <c r="G358" i="4"/>
  <c r="F358" i="4"/>
  <c r="E358" i="4"/>
  <c r="D358" i="4"/>
  <c r="C358" i="4"/>
  <c r="B358" i="4"/>
  <c r="P357" i="4"/>
  <c r="O357" i="4"/>
  <c r="N357" i="4"/>
  <c r="M357" i="4"/>
  <c r="L357" i="4"/>
  <c r="K357" i="4"/>
  <c r="J357" i="4"/>
  <c r="I357" i="4"/>
  <c r="H357" i="4"/>
  <c r="G357" i="4"/>
  <c r="F357" i="4"/>
  <c r="E357" i="4"/>
  <c r="D357" i="4"/>
  <c r="C357" i="4"/>
  <c r="B357" i="4"/>
  <c r="P356" i="4"/>
  <c r="O356" i="4"/>
  <c r="N356" i="4"/>
  <c r="M356" i="4"/>
  <c r="L356" i="4"/>
  <c r="K356" i="4"/>
  <c r="J356" i="4"/>
  <c r="I356" i="4"/>
  <c r="H356" i="4"/>
  <c r="G356" i="4"/>
  <c r="F356" i="4"/>
  <c r="E356" i="4"/>
  <c r="D356" i="4"/>
  <c r="C356" i="4"/>
  <c r="B356" i="4"/>
  <c r="P355" i="4"/>
  <c r="O355" i="4"/>
  <c r="N355" i="4"/>
  <c r="M355" i="4"/>
  <c r="L355" i="4"/>
  <c r="K355" i="4"/>
  <c r="J355" i="4"/>
  <c r="I355" i="4"/>
  <c r="H355" i="4"/>
  <c r="G355" i="4"/>
  <c r="F355" i="4"/>
  <c r="E355" i="4"/>
  <c r="D355" i="4"/>
  <c r="C355" i="4"/>
  <c r="B355" i="4"/>
  <c r="P354" i="4"/>
  <c r="O354" i="4"/>
  <c r="N354" i="4"/>
  <c r="M354" i="4"/>
  <c r="L354" i="4"/>
  <c r="K354" i="4"/>
  <c r="J354" i="4"/>
  <c r="I354" i="4"/>
  <c r="H354" i="4"/>
  <c r="G354" i="4"/>
  <c r="F354" i="4"/>
  <c r="E354" i="4"/>
  <c r="D354" i="4"/>
  <c r="C354" i="4"/>
  <c r="B354" i="4"/>
  <c r="P353" i="4"/>
  <c r="O353" i="4"/>
  <c r="N353" i="4"/>
  <c r="M353" i="4"/>
  <c r="L353" i="4"/>
  <c r="K353" i="4"/>
  <c r="J353" i="4"/>
  <c r="I353" i="4"/>
  <c r="H353" i="4"/>
  <c r="G353" i="4"/>
  <c r="F353" i="4"/>
  <c r="E353" i="4"/>
  <c r="D353" i="4"/>
  <c r="C353" i="4"/>
  <c r="B353" i="4"/>
  <c r="P352" i="4"/>
  <c r="O352" i="4"/>
  <c r="N352" i="4"/>
  <c r="M352" i="4"/>
  <c r="L352" i="4"/>
  <c r="K352" i="4"/>
  <c r="J352" i="4"/>
  <c r="I352" i="4"/>
  <c r="H352" i="4"/>
  <c r="G352" i="4"/>
  <c r="F352" i="4"/>
  <c r="E352" i="4"/>
  <c r="D352" i="4"/>
  <c r="C352" i="4"/>
  <c r="B352" i="4"/>
  <c r="P351" i="4"/>
  <c r="O351" i="4"/>
  <c r="N351" i="4"/>
  <c r="M351" i="4"/>
  <c r="L351" i="4"/>
  <c r="K351" i="4"/>
  <c r="J351" i="4"/>
  <c r="I351" i="4"/>
  <c r="H351" i="4"/>
  <c r="G351" i="4"/>
  <c r="F351" i="4"/>
  <c r="E351" i="4"/>
  <c r="D351" i="4"/>
  <c r="C351" i="4"/>
  <c r="B351" i="4"/>
  <c r="P350" i="4"/>
  <c r="O350" i="4"/>
  <c r="N350" i="4"/>
  <c r="M350" i="4"/>
  <c r="L350" i="4"/>
  <c r="K350" i="4"/>
  <c r="J350" i="4"/>
  <c r="I350" i="4"/>
  <c r="H350" i="4"/>
  <c r="G350" i="4"/>
  <c r="F350" i="4"/>
  <c r="E350" i="4"/>
  <c r="D350" i="4"/>
  <c r="C350" i="4"/>
  <c r="B350" i="4"/>
  <c r="P349" i="4"/>
  <c r="O349" i="4"/>
  <c r="N349" i="4"/>
  <c r="M349" i="4"/>
  <c r="L349" i="4"/>
  <c r="K349" i="4"/>
  <c r="J349" i="4"/>
  <c r="I349" i="4"/>
  <c r="H349" i="4"/>
  <c r="G349" i="4"/>
  <c r="F349" i="4"/>
  <c r="E349" i="4"/>
  <c r="D349" i="4"/>
  <c r="C349" i="4"/>
  <c r="B349" i="4"/>
  <c r="P348" i="4"/>
  <c r="O348" i="4"/>
  <c r="N348" i="4"/>
  <c r="M348" i="4"/>
  <c r="L348" i="4"/>
  <c r="K348" i="4"/>
  <c r="J348" i="4"/>
  <c r="I348" i="4"/>
  <c r="H348" i="4"/>
  <c r="G348" i="4"/>
  <c r="F348" i="4"/>
  <c r="E348" i="4"/>
  <c r="D348" i="4"/>
  <c r="C348" i="4"/>
  <c r="B348" i="4"/>
  <c r="P347" i="4"/>
  <c r="O347" i="4"/>
  <c r="N347" i="4"/>
  <c r="M347" i="4"/>
  <c r="L347" i="4"/>
  <c r="K347" i="4"/>
  <c r="J347" i="4"/>
  <c r="I347" i="4"/>
  <c r="H347" i="4"/>
  <c r="G347" i="4"/>
  <c r="F347" i="4"/>
  <c r="E347" i="4"/>
  <c r="D347" i="4"/>
  <c r="C347" i="4"/>
  <c r="B347" i="4"/>
  <c r="P346" i="4"/>
  <c r="O346" i="4"/>
  <c r="N346" i="4"/>
  <c r="M346" i="4"/>
  <c r="L346" i="4"/>
  <c r="K346" i="4"/>
  <c r="J346" i="4"/>
  <c r="I346" i="4"/>
  <c r="H346" i="4"/>
  <c r="G346" i="4"/>
  <c r="F346" i="4"/>
  <c r="E346" i="4"/>
  <c r="D346" i="4"/>
  <c r="C346" i="4"/>
  <c r="B346" i="4"/>
  <c r="P345" i="4"/>
  <c r="O345" i="4"/>
  <c r="N345" i="4"/>
  <c r="M345" i="4"/>
  <c r="L345" i="4"/>
  <c r="K345" i="4"/>
  <c r="J345" i="4"/>
  <c r="I345" i="4"/>
  <c r="H345" i="4"/>
  <c r="G345" i="4"/>
  <c r="F345" i="4"/>
  <c r="E345" i="4"/>
  <c r="D345" i="4"/>
  <c r="C345" i="4"/>
  <c r="B345" i="4"/>
  <c r="P344" i="4"/>
  <c r="O344" i="4"/>
  <c r="N344" i="4"/>
  <c r="M344" i="4"/>
  <c r="L344" i="4"/>
  <c r="K344" i="4"/>
  <c r="J344" i="4"/>
  <c r="I344" i="4"/>
  <c r="H344" i="4"/>
  <c r="G344" i="4"/>
  <c r="F344" i="4"/>
  <c r="E344" i="4"/>
  <c r="D344" i="4"/>
  <c r="C344" i="4"/>
  <c r="B344" i="4"/>
  <c r="P343" i="4"/>
  <c r="O343" i="4"/>
  <c r="N343" i="4"/>
  <c r="M343" i="4"/>
  <c r="L343" i="4"/>
  <c r="K343" i="4"/>
  <c r="J343" i="4"/>
  <c r="I343" i="4"/>
  <c r="H343" i="4"/>
  <c r="G343" i="4"/>
  <c r="F343" i="4"/>
  <c r="E343" i="4"/>
  <c r="D343" i="4"/>
  <c r="C343" i="4"/>
  <c r="B343" i="4"/>
  <c r="P342" i="4"/>
  <c r="O342" i="4"/>
  <c r="N342" i="4"/>
  <c r="M342" i="4"/>
  <c r="L342" i="4"/>
  <c r="K342" i="4"/>
  <c r="J342" i="4"/>
  <c r="I342" i="4"/>
  <c r="H342" i="4"/>
  <c r="G342" i="4"/>
  <c r="F342" i="4"/>
  <c r="E342" i="4"/>
  <c r="D342" i="4"/>
  <c r="C342" i="4"/>
  <c r="B342" i="4"/>
  <c r="P341" i="4"/>
  <c r="O341" i="4"/>
  <c r="N341" i="4"/>
  <c r="M341" i="4"/>
  <c r="L341" i="4"/>
  <c r="K341" i="4"/>
  <c r="J341" i="4"/>
  <c r="I341" i="4"/>
  <c r="H341" i="4"/>
  <c r="G341" i="4"/>
  <c r="F341" i="4"/>
  <c r="E341" i="4"/>
  <c r="D341" i="4"/>
  <c r="C341" i="4"/>
  <c r="B341" i="4"/>
  <c r="P340" i="4"/>
  <c r="O340" i="4"/>
  <c r="N340" i="4"/>
  <c r="M340" i="4"/>
  <c r="L340" i="4"/>
  <c r="K340" i="4"/>
  <c r="J340" i="4"/>
  <c r="I340" i="4"/>
  <c r="H340" i="4"/>
  <c r="G340" i="4"/>
  <c r="F340" i="4"/>
  <c r="E340" i="4"/>
  <c r="D340" i="4"/>
  <c r="C340" i="4"/>
  <c r="B340" i="4"/>
  <c r="P339" i="4"/>
  <c r="O339" i="4"/>
  <c r="N339" i="4"/>
  <c r="M339" i="4"/>
  <c r="L339" i="4"/>
  <c r="K339" i="4"/>
  <c r="J339" i="4"/>
  <c r="I339" i="4"/>
  <c r="H339" i="4"/>
  <c r="G339" i="4"/>
  <c r="F339" i="4"/>
  <c r="E339" i="4"/>
  <c r="D339" i="4"/>
  <c r="C339" i="4"/>
  <c r="B339" i="4"/>
  <c r="P338" i="4"/>
  <c r="O338" i="4"/>
  <c r="N338" i="4"/>
  <c r="M338" i="4"/>
  <c r="L338" i="4"/>
  <c r="K338" i="4"/>
  <c r="J338" i="4"/>
  <c r="I338" i="4"/>
  <c r="H338" i="4"/>
  <c r="G338" i="4"/>
  <c r="F338" i="4"/>
  <c r="E338" i="4"/>
  <c r="D338" i="4"/>
  <c r="C338" i="4"/>
  <c r="B338" i="4"/>
  <c r="P337" i="4"/>
  <c r="O337" i="4"/>
  <c r="N337" i="4"/>
  <c r="M337" i="4"/>
  <c r="L337" i="4"/>
  <c r="K337" i="4"/>
  <c r="J337" i="4"/>
  <c r="I337" i="4"/>
  <c r="H337" i="4"/>
  <c r="G337" i="4"/>
  <c r="F337" i="4"/>
  <c r="E337" i="4"/>
  <c r="D337" i="4"/>
  <c r="C337" i="4"/>
  <c r="B337" i="4"/>
  <c r="P336" i="4"/>
  <c r="O336" i="4"/>
  <c r="N336" i="4"/>
  <c r="M336" i="4"/>
  <c r="L336" i="4"/>
  <c r="K336" i="4"/>
  <c r="J336" i="4"/>
  <c r="I336" i="4"/>
  <c r="H336" i="4"/>
  <c r="G336" i="4"/>
  <c r="F336" i="4"/>
  <c r="E336" i="4"/>
  <c r="D336" i="4"/>
  <c r="C336" i="4"/>
  <c r="B336" i="4"/>
  <c r="P335" i="4"/>
  <c r="O335" i="4"/>
  <c r="N335" i="4"/>
  <c r="M335" i="4"/>
  <c r="L335" i="4"/>
  <c r="K335" i="4"/>
  <c r="J335" i="4"/>
  <c r="I335" i="4"/>
  <c r="H335" i="4"/>
  <c r="G335" i="4"/>
  <c r="F335" i="4"/>
  <c r="E335" i="4"/>
  <c r="D335" i="4"/>
  <c r="C335" i="4"/>
  <c r="B335" i="4"/>
  <c r="P334" i="4"/>
  <c r="O334" i="4"/>
  <c r="N334" i="4"/>
  <c r="M334" i="4"/>
  <c r="L334" i="4"/>
  <c r="K334" i="4"/>
  <c r="J334" i="4"/>
  <c r="I334" i="4"/>
  <c r="H334" i="4"/>
  <c r="G334" i="4"/>
  <c r="F334" i="4"/>
  <c r="E334" i="4"/>
  <c r="D334" i="4"/>
  <c r="C334" i="4"/>
  <c r="B334" i="4"/>
  <c r="P333" i="4"/>
  <c r="O333" i="4"/>
  <c r="N333" i="4"/>
  <c r="M333" i="4"/>
  <c r="L333" i="4"/>
  <c r="K333" i="4"/>
  <c r="J333" i="4"/>
  <c r="I333" i="4"/>
  <c r="H333" i="4"/>
  <c r="G333" i="4"/>
  <c r="F333" i="4"/>
  <c r="E333" i="4"/>
  <c r="D333" i="4"/>
  <c r="C333" i="4"/>
  <c r="B333" i="4"/>
  <c r="P332" i="4"/>
  <c r="O332" i="4"/>
  <c r="N332" i="4"/>
  <c r="M332" i="4"/>
  <c r="L332" i="4"/>
  <c r="K332" i="4"/>
  <c r="J332" i="4"/>
  <c r="I332" i="4"/>
  <c r="H332" i="4"/>
  <c r="G332" i="4"/>
  <c r="F332" i="4"/>
  <c r="E332" i="4"/>
  <c r="D332" i="4"/>
  <c r="C332" i="4"/>
  <c r="B332" i="4"/>
  <c r="P331" i="4"/>
  <c r="O331" i="4"/>
  <c r="N331" i="4"/>
  <c r="M331" i="4"/>
  <c r="L331" i="4"/>
  <c r="K331" i="4"/>
  <c r="J331" i="4"/>
  <c r="I331" i="4"/>
  <c r="H331" i="4"/>
  <c r="G331" i="4"/>
  <c r="F331" i="4"/>
  <c r="E331" i="4"/>
  <c r="D331" i="4"/>
  <c r="C331" i="4"/>
  <c r="B331" i="4"/>
  <c r="P330" i="4"/>
  <c r="O330" i="4"/>
  <c r="N330" i="4"/>
  <c r="M330" i="4"/>
  <c r="L330" i="4"/>
  <c r="K330" i="4"/>
  <c r="J330" i="4"/>
  <c r="I330" i="4"/>
  <c r="H330" i="4"/>
  <c r="G330" i="4"/>
  <c r="F330" i="4"/>
  <c r="E330" i="4"/>
  <c r="D330" i="4"/>
  <c r="C330" i="4"/>
  <c r="B330" i="4"/>
  <c r="P329" i="4"/>
  <c r="O329" i="4"/>
  <c r="N329" i="4"/>
  <c r="M329" i="4"/>
  <c r="L329" i="4"/>
  <c r="K329" i="4"/>
  <c r="J329" i="4"/>
  <c r="I329" i="4"/>
  <c r="H329" i="4"/>
  <c r="G329" i="4"/>
  <c r="F329" i="4"/>
  <c r="E329" i="4"/>
  <c r="D329" i="4"/>
  <c r="C329" i="4"/>
  <c r="B329" i="4"/>
  <c r="P328" i="4"/>
  <c r="O328" i="4"/>
  <c r="N328" i="4"/>
  <c r="M328" i="4"/>
  <c r="L328" i="4"/>
  <c r="K328" i="4"/>
  <c r="J328" i="4"/>
  <c r="I328" i="4"/>
  <c r="H328" i="4"/>
  <c r="G328" i="4"/>
  <c r="F328" i="4"/>
  <c r="E328" i="4"/>
  <c r="D328" i="4"/>
  <c r="C328" i="4"/>
  <c r="B328" i="4"/>
  <c r="P327" i="4"/>
  <c r="O327" i="4"/>
  <c r="N327" i="4"/>
  <c r="M327" i="4"/>
  <c r="L327" i="4"/>
  <c r="K327" i="4"/>
  <c r="J327" i="4"/>
  <c r="I327" i="4"/>
  <c r="H327" i="4"/>
  <c r="G327" i="4"/>
  <c r="F327" i="4"/>
  <c r="E327" i="4"/>
  <c r="D327" i="4"/>
  <c r="C327" i="4"/>
  <c r="B327" i="4"/>
  <c r="P326" i="4"/>
  <c r="O326" i="4"/>
  <c r="N326" i="4"/>
  <c r="M326" i="4"/>
  <c r="L326" i="4"/>
  <c r="K326" i="4"/>
  <c r="J326" i="4"/>
  <c r="I326" i="4"/>
  <c r="H326" i="4"/>
  <c r="G326" i="4"/>
  <c r="F326" i="4"/>
  <c r="E326" i="4"/>
  <c r="D326" i="4"/>
  <c r="C326" i="4"/>
  <c r="B326" i="4"/>
  <c r="P325" i="4"/>
  <c r="O325" i="4"/>
  <c r="N325" i="4"/>
  <c r="M325" i="4"/>
  <c r="L325" i="4"/>
  <c r="K325" i="4"/>
  <c r="J325" i="4"/>
  <c r="I325" i="4"/>
  <c r="H325" i="4"/>
  <c r="G325" i="4"/>
  <c r="F325" i="4"/>
  <c r="E325" i="4"/>
  <c r="D325" i="4"/>
  <c r="C325" i="4"/>
  <c r="B325" i="4"/>
  <c r="P324" i="4"/>
  <c r="O324" i="4"/>
  <c r="N324" i="4"/>
  <c r="M324" i="4"/>
  <c r="L324" i="4"/>
  <c r="K324" i="4"/>
  <c r="J324" i="4"/>
  <c r="I324" i="4"/>
  <c r="H324" i="4"/>
  <c r="G324" i="4"/>
  <c r="F324" i="4"/>
  <c r="E324" i="4"/>
  <c r="D324" i="4"/>
  <c r="C324" i="4"/>
  <c r="B324" i="4"/>
  <c r="P323" i="4"/>
  <c r="O323" i="4"/>
  <c r="N323" i="4"/>
  <c r="M323" i="4"/>
  <c r="L323" i="4"/>
  <c r="K323" i="4"/>
  <c r="J323" i="4"/>
  <c r="I323" i="4"/>
  <c r="H323" i="4"/>
  <c r="G323" i="4"/>
  <c r="F323" i="4"/>
  <c r="E323" i="4"/>
  <c r="D323" i="4"/>
  <c r="C323" i="4"/>
  <c r="B323" i="4"/>
  <c r="P322" i="4"/>
  <c r="O322" i="4"/>
  <c r="N322" i="4"/>
  <c r="M322" i="4"/>
  <c r="L322" i="4"/>
  <c r="K322" i="4"/>
  <c r="J322" i="4"/>
  <c r="I322" i="4"/>
  <c r="H322" i="4"/>
  <c r="G322" i="4"/>
  <c r="F322" i="4"/>
  <c r="E322" i="4"/>
  <c r="D322" i="4"/>
  <c r="C322" i="4"/>
  <c r="B322" i="4"/>
  <c r="P321" i="4"/>
  <c r="O321" i="4"/>
  <c r="N321" i="4"/>
  <c r="M321" i="4"/>
  <c r="L321" i="4"/>
  <c r="K321" i="4"/>
  <c r="J321" i="4"/>
  <c r="I321" i="4"/>
  <c r="H321" i="4"/>
  <c r="G321" i="4"/>
  <c r="F321" i="4"/>
  <c r="E321" i="4"/>
  <c r="D321" i="4"/>
  <c r="C321" i="4"/>
  <c r="B321" i="4"/>
  <c r="P320" i="4"/>
  <c r="O320" i="4"/>
  <c r="N320" i="4"/>
  <c r="M320" i="4"/>
  <c r="L320" i="4"/>
  <c r="K320" i="4"/>
  <c r="J320" i="4"/>
  <c r="I320" i="4"/>
  <c r="H320" i="4"/>
  <c r="G320" i="4"/>
  <c r="F320" i="4"/>
  <c r="E320" i="4"/>
  <c r="D320" i="4"/>
  <c r="C320" i="4"/>
  <c r="B320" i="4"/>
  <c r="P319" i="4"/>
  <c r="O319" i="4"/>
  <c r="N319" i="4"/>
  <c r="M319" i="4"/>
  <c r="L319" i="4"/>
  <c r="K319" i="4"/>
  <c r="J319" i="4"/>
  <c r="I319" i="4"/>
  <c r="H319" i="4"/>
  <c r="G319" i="4"/>
  <c r="F319" i="4"/>
  <c r="E319" i="4"/>
  <c r="D319" i="4"/>
  <c r="C319" i="4"/>
  <c r="B319" i="4"/>
  <c r="P318" i="4"/>
  <c r="O318" i="4"/>
  <c r="N318" i="4"/>
  <c r="M318" i="4"/>
  <c r="L318" i="4"/>
  <c r="K318" i="4"/>
  <c r="J318" i="4"/>
  <c r="I318" i="4"/>
  <c r="H318" i="4"/>
  <c r="G318" i="4"/>
  <c r="F318" i="4"/>
  <c r="E318" i="4"/>
  <c r="D318" i="4"/>
  <c r="C318" i="4"/>
  <c r="B318" i="4"/>
  <c r="P317" i="4"/>
  <c r="O317" i="4"/>
  <c r="N317" i="4"/>
  <c r="M317" i="4"/>
  <c r="L317" i="4"/>
  <c r="K317" i="4"/>
  <c r="J317" i="4"/>
  <c r="I317" i="4"/>
  <c r="H317" i="4"/>
  <c r="G317" i="4"/>
  <c r="F317" i="4"/>
  <c r="E317" i="4"/>
  <c r="D317" i="4"/>
  <c r="C317" i="4"/>
  <c r="B317" i="4"/>
  <c r="P316" i="4"/>
  <c r="O316" i="4"/>
  <c r="N316" i="4"/>
  <c r="M316" i="4"/>
  <c r="L316" i="4"/>
  <c r="K316" i="4"/>
  <c r="J316" i="4"/>
  <c r="I316" i="4"/>
  <c r="H316" i="4"/>
  <c r="G316" i="4"/>
  <c r="F316" i="4"/>
  <c r="E316" i="4"/>
  <c r="D316" i="4"/>
  <c r="C316" i="4"/>
  <c r="B316" i="4"/>
  <c r="P315" i="4"/>
  <c r="O315" i="4"/>
  <c r="N315" i="4"/>
  <c r="M315" i="4"/>
  <c r="L315" i="4"/>
  <c r="K315" i="4"/>
  <c r="J315" i="4"/>
  <c r="I315" i="4"/>
  <c r="H315" i="4"/>
  <c r="G315" i="4"/>
  <c r="F315" i="4"/>
  <c r="E315" i="4"/>
  <c r="D315" i="4"/>
  <c r="C315" i="4"/>
  <c r="B315" i="4"/>
  <c r="P314" i="4"/>
  <c r="O314" i="4"/>
  <c r="N314" i="4"/>
  <c r="M314" i="4"/>
  <c r="L314" i="4"/>
  <c r="K314" i="4"/>
  <c r="J314" i="4"/>
  <c r="I314" i="4"/>
  <c r="H314" i="4"/>
  <c r="G314" i="4"/>
  <c r="F314" i="4"/>
  <c r="E314" i="4"/>
  <c r="D314" i="4"/>
  <c r="C314" i="4"/>
  <c r="B314" i="4"/>
  <c r="P313" i="4"/>
  <c r="O313" i="4"/>
  <c r="N313" i="4"/>
  <c r="M313" i="4"/>
  <c r="L313" i="4"/>
  <c r="K313" i="4"/>
  <c r="J313" i="4"/>
  <c r="I313" i="4"/>
  <c r="H313" i="4"/>
  <c r="G313" i="4"/>
  <c r="F313" i="4"/>
  <c r="E313" i="4"/>
  <c r="D313" i="4"/>
  <c r="C313" i="4"/>
  <c r="B313" i="4"/>
  <c r="P312" i="4"/>
  <c r="O312" i="4"/>
  <c r="N312" i="4"/>
  <c r="M312" i="4"/>
  <c r="L312" i="4"/>
  <c r="K312" i="4"/>
  <c r="J312" i="4"/>
  <c r="I312" i="4"/>
  <c r="H312" i="4"/>
  <c r="G312" i="4"/>
  <c r="F312" i="4"/>
  <c r="E312" i="4"/>
  <c r="D312" i="4"/>
  <c r="C312" i="4"/>
  <c r="B312" i="4"/>
  <c r="P311" i="4"/>
  <c r="O311" i="4"/>
  <c r="N311" i="4"/>
  <c r="M311" i="4"/>
  <c r="L311" i="4"/>
  <c r="K311" i="4"/>
  <c r="J311" i="4"/>
  <c r="I311" i="4"/>
  <c r="H311" i="4"/>
  <c r="G311" i="4"/>
  <c r="F311" i="4"/>
  <c r="E311" i="4"/>
  <c r="D311" i="4"/>
  <c r="C311" i="4"/>
  <c r="B311" i="4"/>
  <c r="P310" i="4"/>
  <c r="O310" i="4"/>
  <c r="N310" i="4"/>
  <c r="M310" i="4"/>
  <c r="L310" i="4"/>
  <c r="K310" i="4"/>
  <c r="J310" i="4"/>
  <c r="I310" i="4"/>
  <c r="H310" i="4"/>
  <c r="G310" i="4"/>
  <c r="F310" i="4"/>
  <c r="E310" i="4"/>
  <c r="D310" i="4"/>
  <c r="C310" i="4"/>
  <c r="B310" i="4"/>
  <c r="P309" i="4"/>
  <c r="O309" i="4"/>
  <c r="N309" i="4"/>
  <c r="M309" i="4"/>
  <c r="L309" i="4"/>
  <c r="K309" i="4"/>
  <c r="J309" i="4"/>
  <c r="I309" i="4"/>
  <c r="H309" i="4"/>
  <c r="G309" i="4"/>
  <c r="F309" i="4"/>
  <c r="E309" i="4"/>
  <c r="D309" i="4"/>
  <c r="C309" i="4"/>
  <c r="B309" i="4"/>
  <c r="P308" i="4"/>
  <c r="O308" i="4"/>
  <c r="N308" i="4"/>
  <c r="M308" i="4"/>
  <c r="L308" i="4"/>
  <c r="K308" i="4"/>
  <c r="J308" i="4"/>
  <c r="I308" i="4"/>
  <c r="H308" i="4"/>
  <c r="G308" i="4"/>
  <c r="F308" i="4"/>
  <c r="E308" i="4"/>
  <c r="D308" i="4"/>
  <c r="C308" i="4"/>
  <c r="B308" i="4"/>
  <c r="P307" i="4"/>
  <c r="O307" i="4"/>
  <c r="N307" i="4"/>
  <c r="M307" i="4"/>
  <c r="L307" i="4"/>
  <c r="K307" i="4"/>
  <c r="J307" i="4"/>
  <c r="I307" i="4"/>
  <c r="H307" i="4"/>
  <c r="G307" i="4"/>
  <c r="F307" i="4"/>
  <c r="E307" i="4"/>
  <c r="D307" i="4"/>
  <c r="C307" i="4"/>
  <c r="B307" i="4"/>
  <c r="P306" i="4"/>
  <c r="O306" i="4"/>
  <c r="N306" i="4"/>
  <c r="M306" i="4"/>
  <c r="L306" i="4"/>
  <c r="K306" i="4"/>
  <c r="J306" i="4"/>
  <c r="I306" i="4"/>
  <c r="H306" i="4"/>
  <c r="G306" i="4"/>
  <c r="F306" i="4"/>
  <c r="E306" i="4"/>
  <c r="D306" i="4"/>
  <c r="C306" i="4"/>
  <c r="B306" i="4"/>
  <c r="P305" i="4"/>
  <c r="O305" i="4"/>
  <c r="N305" i="4"/>
  <c r="M305" i="4"/>
  <c r="L305" i="4"/>
  <c r="K305" i="4"/>
  <c r="J305" i="4"/>
  <c r="I305" i="4"/>
  <c r="H305" i="4"/>
  <c r="G305" i="4"/>
  <c r="F305" i="4"/>
  <c r="E305" i="4"/>
  <c r="D305" i="4"/>
  <c r="C305" i="4"/>
  <c r="B305" i="4"/>
  <c r="P304" i="4"/>
  <c r="O304" i="4"/>
  <c r="N304" i="4"/>
  <c r="M304" i="4"/>
  <c r="L304" i="4"/>
  <c r="K304" i="4"/>
  <c r="J304" i="4"/>
  <c r="I304" i="4"/>
  <c r="H304" i="4"/>
  <c r="G304" i="4"/>
  <c r="F304" i="4"/>
  <c r="E304" i="4"/>
  <c r="D304" i="4"/>
  <c r="C304" i="4"/>
  <c r="B304" i="4"/>
  <c r="P303" i="4"/>
  <c r="O303" i="4"/>
  <c r="N303" i="4"/>
  <c r="M303" i="4"/>
  <c r="L303" i="4"/>
  <c r="K303" i="4"/>
  <c r="J303" i="4"/>
  <c r="I303" i="4"/>
  <c r="H303" i="4"/>
  <c r="G303" i="4"/>
  <c r="F303" i="4"/>
  <c r="E303" i="4"/>
  <c r="D303" i="4"/>
  <c r="C303" i="4"/>
  <c r="B303" i="4"/>
  <c r="P302" i="4"/>
  <c r="O302" i="4"/>
  <c r="N302" i="4"/>
  <c r="M302" i="4"/>
  <c r="L302" i="4"/>
  <c r="K302" i="4"/>
  <c r="J302" i="4"/>
  <c r="I302" i="4"/>
  <c r="H302" i="4"/>
  <c r="G302" i="4"/>
  <c r="F302" i="4"/>
  <c r="E302" i="4"/>
  <c r="D302" i="4"/>
  <c r="C302" i="4"/>
  <c r="B302" i="4"/>
  <c r="P301" i="4"/>
  <c r="O301" i="4"/>
  <c r="N301" i="4"/>
  <c r="M301" i="4"/>
  <c r="L301" i="4"/>
  <c r="K301" i="4"/>
  <c r="J301" i="4"/>
  <c r="I301" i="4"/>
  <c r="H301" i="4"/>
  <c r="G301" i="4"/>
  <c r="F301" i="4"/>
  <c r="E301" i="4"/>
  <c r="D301" i="4"/>
  <c r="C301" i="4"/>
  <c r="B301" i="4"/>
  <c r="P300" i="4"/>
  <c r="O300" i="4"/>
  <c r="N300" i="4"/>
  <c r="M300" i="4"/>
  <c r="L300" i="4"/>
  <c r="K300" i="4"/>
  <c r="J300" i="4"/>
  <c r="I300" i="4"/>
  <c r="H300" i="4"/>
  <c r="G300" i="4"/>
  <c r="F300" i="4"/>
  <c r="E300" i="4"/>
  <c r="D300" i="4"/>
  <c r="C300" i="4"/>
  <c r="B300" i="4"/>
  <c r="P299" i="4"/>
  <c r="O299" i="4"/>
  <c r="N299" i="4"/>
  <c r="M299" i="4"/>
  <c r="L299" i="4"/>
  <c r="K299" i="4"/>
  <c r="J299" i="4"/>
  <c r="I299" i="4"/>
  <c r="H299" i="4"/>
  <c r="G299" i="4"/>
  <c r="F299" i="4"/>
  <c r="E299" i="4"/>
  <c r="D299" i="4"/>
  <c r="C299" i="4"/>
  <c r="B299" i="4"/>
  <c r="P298" i="4"/>
  <c r="O298" i="4"/>
  <c r="N298" i="4"/>
  <c r="M298" i="4"/>
  <c r="L298" i="4"/>
  <c r="K298" i="4"/>
  <c r="J298" i="4"/>
  <c r="I298" i="4"/>
  <c r="H298" i="4"/>
  <c r="G298" i="4"/>
  <c r="F298" i="4"/>
  <c r="E298" i="4"/>
  <c r="D298" i="4"/>
  <c r="C298" i="4"/>
  <c r="B298" i="4"/>
  <c r="P297" i="4"/>
  <c r="O297" i="4"/>
  <c r="N297" i="4"/>
  <c r="M297" i="4"/>
  <c r="L297" i="4"/>
  <c r="K297" i="4"/>
  <c r="J297" i="4"/>
  <c r="I297" i="4"/>
  <c r="H297" i="4"/>
  <c r="G297" i="4"/>
  <c r="F297" i="4"/>
  <c r="E297" i="4"/>
  <c r="D297" i="4"/>
  <c r="C297" i="4"/>
  <c r="B297" i="4"/>
  <c r="P296" i="4"/>
  <c r="O296" i="4"/>
  <c r="N296" i="4"/>
  <c r="M296" i="4"/>
  <c r="L296" i="4"/>
  <c r="K296" i="4"/>
  <c r="J296" i="4"/>
  <c r="I296" i="4"/>
  <c r="H296" i="4"/>
  <c r="G296" i="4"/>
  <c r="F296" i="4"/>
  <c r="E296" i="4"/>
  <c r="D296" i="4"/>
  <c r="C296" i="4"/>
  <c r="B296" i="4"/>
  <c r="P295" i="4"/>
  <c r="O295" i="4"/>
  <c r="N295" i="4"/>
  <c r="M295" i="4"/>
  <c r="L295" i="4"/>
  <c r="K295" i="4"/>
  <c r="J295" i="4"/>
  <c r="I295" i="4"/>
  <c r="H295" i="4"/>
  <c r="G295" i="4"/>
  <c r="F295" i="4"/>
  <c r="E295" i="4"/>
  <c r="D295" i="4"/>
  <c r="C295" i="4"/>
  <c r="B295" i="4"/>
  <c r="P294" i="4"/>
  <c r="O294" i="4"/>
  <c r="N294" i="4"/>
  <c r="M294" i="4"/>
  <c r="L294" i="4"/>
  <c r="K294" i="4"/>
  <c r="J294" i="4"/>
  <c r="I294" i="4"/>
  <c r="H294" i="4"/>
  <c r="G294" i="4"/>
  <c r="F294" i="4"/>
  <c r="E294" i="4"/>
  <c r="D294" i="4"/>
  <c r="C294" i="4"/>
  <c r="B294" i="4"/>
  <c r="P293" i="4"/>
  <c r="O293" i="4"/>
  <c r="N293" i="4"/>
  <c r="M293" i="4"/>
  <c r="L293" i="4"/>
  <c r="K293" i="4"/>
  <c r="J293" i="4"/>
  <c r="I293" i="4"/>
  <c r="H293" i="4"/>
  <c r="G293" i="4"/>
  <c r="F293" i="4"/>
  <c r="E293" i="4"/>
  <c r="D293" i="4"/>
  <c r="C293" i="4"/>
  <c r="B293" i="4"/>
  <c r="P292" i="4"/>
  <c r="O292" i="4"/>
  <c r="N292" i="4"/>
  <c r="M292" i="4"/>
  <c r="L292" i="4"/>
  <c r="K292" i="4"/>
  <c r="J292" i="4"/>
  <c r="I292" i="4"/>
  <c r="H292" i="4"/>
  <c r="G292" i="4"/>
  <c r="F292" i="4"/>
  <c r="E292" i="4"/>
  <c r="D292" i="4"/>
  <c r="C292" i="4"/>
  <c r="B292" i="4"/>
  <c r="P291" i="4"/>
  <c r="O291" i="4"/>
  <c r="N291" i="4"/>
  <c r="M291" i="4"/>
  <c r="L291" i="4"/>
  <c r="K291" i="4"/>
  <c r="J291" i="4"/>
  <c r="I291" i="4"/>
  <c r="H291" i="4"/>
  <c r="G291" i="4"/>
  <c r="F291" i="4"/>
  <c r="E291" i="4"/>
  <c r="D291" i="4"/>
  <c r="C291" i="4"/>
  <c r="B291" i="4"/>
  <c r="P290" i="4"/>
  <c r="O290" i="4"/>
  <c r="N290" i="4"/>
  <c r="M290" i="4"/>
  <c r="L290" i="4"/>
  <c r="K290" i="4"/>
  <c r="J290" i="4"/>
  <c r="I290" i="4"/>
  <c r="H290" i="4"/>
  <c r="G290" i="4"/>
  <c r="F290" i="4"/>
  <c r="E290" i="4"/>
  <c r="D290" i="4"/>
  <c r="C290" i="4"/>
  <c r="B290" i="4"/>
  <c r="P289" i="4"/>
  <c r="O289" i="4"/>
  <c r="N289" i="4"/>
  <c r="M289" i="4"/>
  <c r="L289" i="4"/>
  <c r="K289" i="4"/>
  <c r="J289" i="4"/>
  <c r="I289" i="4"/>
  <c r="H289" i="4"/>
  <c r="G289" i="4"/>
  <c r="F289" i="4"/>
  <c r="E289" i="4"/>
  <c r="D289" i="4"/>
  <c r="C289" i="4"/>
  <c r="B289" i="4"/>
  <c r="P288" i="4"/>
  <c r="O288" i="4"/>
  <c r="N288" i="4"/>
  <c r="M288" i="4"/>
  <c r="L288" i="4"/>
  <c r="K288" i="4"/>
  <c r="J288" i="4"/>
  <c r="I288" i="4"/>
  <c r="H288" i="4"/>
  <c r="G288" i="4"/>
  <c r="F288" i="4"/>
  <c r="E288" i="4"/>
  <c r="D288" i="4"/>
  <c r="C288" i="4"/>
  <c r="B288" i="4"/>
  <c r="P287" i="4"/>
  <c r="O287" i="4"/>
  <c r="N287" i="4"/>
  <c r="M287" i="4"/>
  <c r="L287" i="4"/>
  <c r="K287" i="4"/>
  <c r="J287" i="4"/>
  <c r="I287" i="4"/>
  <c r="H287" i="4"/>
  <c r="G287" i="4"/>
  <c r="E287" i="4"/>
  <c r="D287" i="4"/>
  <c r="C287" i="4"/>
  <c r="P286" i="4"/>
  <c r="O286" i="4"/>
  <c r="N286" i="4"/>
  <c r="M286" i="4"/>
  <c r="L286" i="4"/>
  <c r="K286" i="4"/>
  <c r="J286" i="4"/>
  <c r="I286" i="4"/>
  <c r="H286" i="4"/>
  <c r="G286" i="4"/>
  <c r="E286" i="4"/>
  <c r="D286" i="4"/>
  <c r="C286" i="4"/>
  <c r="P285" i="4"/>
  <c r="O285" i="4"/>
  <c r="N285" i="4"/>
  <c r="M285" i="4"/>
  <c r="L285" i="4"/>
  <c r="K285" i="4"/>
  <c r="J285" i="4"/>
  <c r="I285" i="4"/>
  <c r="H285" i="4"/>
  <c r="G285" i="4"/>
  <c r="F285" i="4"/>
  <c r="E285" i="4"/>
  <c r="D285" i="4"/>
  <c r="C285" i="4"/>
  <c r="B285" i="4"/>
  <c r="P284" i="4"/>
  <c r="O284" i="4"/>
  <c r="N284" i="4"/>
  <c r="M284" i="4"/>
  <c r="L284" i="4"/>
  <c r="K284" i="4"/>
  <c r="J284" i="4"/>
  <c r="I284" i="4"/>
  <c r="H284" i="4"/>
  <c r="G284" i="4"/>
  <c r="F284" i="4"/>
  <c r="E284" i="4"/>
  <c r="D284" i="4"/>
  <c r="C284" i="4"/>
  <c r="B284" i="4"/>
  <c r="P283" i="4"/>
  <c r="O283" i="4"/>
  <c r="N283" i="4"/>
  <c r="M283" i="4"/>
  <c r="L283" i="4"/>
  <c r="K283" i="4"/>
  <c r="J283" i="4"/>
  <c r="I283" i="4"/>
  <c r="H283" i="4"/>
  <c r="G283" i="4"/>
  <c r="F283" i="4"/>
  <c r="E283" i="4"/>
  <c r="D283" i="4"/>
  <c r="C283" i="4"/>
  <c r="B283" i="4"/>
  <c r="P282" i="4"/>
  <c r="O282" i="4"/>
  <c r="N282" i="4"/>
  <c r="M282" i="4"/>
  <c r="L282" i="4"/>
  <c r="K282" i="4"/>
  <c r="J282" i="4"/>
  <c r="I282" i="4"/>
  <c r="H282" i="4"/>
  <c r="G282" i="4"/>
  <c r="F282" i="4"/>
  <c r="E282" i="4"/>
  <c r="D282" i="4"/>
  <c r="C282" i="4"/>
  <c r="B282" i="4"/>
  <c r="P281" i="4"/>
  <c r="O281" i="4"/>
  <c r="N281" i="4"/>
  <c r="M281" i="4"/>
  <c r="L281" i="4"/>
  <c r="K281" i="4"/>
  <c r="J281" i="4"/>
  <c r="I281" i="4"/>
  <c r="H281" i="4"/>
  <c r="G281" i="4"/>
  <c r="F281" i="4"/>
  <c r="E281" i="4"/>
  <c r="D281" i="4"/>
  <c r="C281" i="4"/>
  <c r="B281" i="4"/>
  <c r="P280" i="4"/>
  <c r="O280" i="4"/>
  <c r="N280" i="4"/>
  <c r="M280" i="4"/>
  <c r="L280" i="4"/>
  <c r="K280" i="4"/>
  <c r="J280" i="4"/>
  <c r="I280" i="4"/>
  <c r="H280" i="4"/>
  <c r="G280" i="4"/>
  <c r="F280" i="4"/>
  <c r="E280" i="4"/>
  <c r="D280" i="4"/>
  <c r="C280" i="4"/>
  <c r="B280" i="4"/>
  <c r="P279" i="4"/>
  <c r="O279" i="4"/>
  <c r="N279" i="4"/>
  <c r="M279" i="4"/>
  <c r="L279" i="4"/>
  <c r="K279" i="4"/>
  <c r="J279" i="4"/>
  <c r="I279" i="4"/>
  <c r="H279" i="4"/>
  <c r="G279" i="4"/>
  <c r="F279" i="4"/>
  <c r="E279" i="4"/>
  <c r="D279" i="4"/>
  <c r="C279" i="4"/>
  <c r="B279" i="4"/>
  <c r="P278" i="4"/>
  <c r="O278" i="4"/>
  <c r="N278" i="4"/>
  <c r="M278" i="4"/>
  <c r="L278" i="4"/>
  <c r="K278" i="4"/>
  <c r="J278" i="4"/>
  <c r="I278" i="4"/>
  <c r="H278" i="4"/>
  <c r="G278" i="4"/>
  <c r="F278" i="4"/>
  <c r="E278" i="4"/>
  <c r="D278" i="4"/>
  <c r="C278" i="4"/>
  <c r="B278" i="4"/>
  <c r="P277" i="4"/>
  <c r="O277" i="4"/>
  <c r="N277" i="4"/>
  <c r="M277" i="4"/>
  <c r="L277" i="4"/>
  <c r="K277" i="4"/>
  <c r="J277" i="4"/>
  <c r="I277" i="4"/>
  <c r="H277" i="4"/>
  <c r="G277" i="4"/>
  <c r="F277" i="4"/>
  <c r="E277" i="4"/>
  <c r="D277" i="4"/>
  <c r="C277" i="4"/>
  <c r="B277" i="4"/>
  <c r="P276" i="4"/>
  <c r="O276" i="4"/>
  <c r="N276" i="4"/>
  <c r="M276" i="4"/>
  <c r="L276" i="4"/>
  <c r="K276" i="4"/>
  <c r="J276" i="4"/>
  <c r="I276" i="4"/>
  <c r="H276" i="4"/>
  <c r="G276" i="4"/>
  <c r="F276" i="4"/>
  <c r="E276" i="4"/>
  <c r="D276" i="4"/>
  <c r="C276" i="4"/>
  <c r="B276" i="4"/>
  <c r="P275" i="4"/>
  <c r="O275" i="4"/>
  <c r="N275" i="4"/>
  <c r="M275" i="4"/>
  <c r="L275" i="4"/>
  <c r="K275" i="4"/>
  <c r="J275" i="4"/>
  <c r="I275" i="4"/>
  <c r="H275" i="4"/>
  <c r="G275" i="4"/>
  <c r="F275" i="4"/>
  <c r="E275" i="4"/>
  <c r="D275" i="4"/>
  <c r="C275" i="4"/>
  <c r="B275" i="4"/>
  <c r="P274" i="4"/>
  <c r="O274" i="4"/>
  <c r="N274" i="4"/>
  <c r="M274" i="4"/>
  <c r="L274" i="4"/>
  <c r="K274" i="4"/>
  <c r="J274" i="4"/>
  <c r="I274" i="4"/>
  <c r="H274" i="4"/>
  <c r="G274" i="4"/>
  <c r="F274" i="4"/>
  <c r="E274" i="4"/>
  <c r="D274" i="4"/>
  <c r="C274" i="4"/>
  <c r="B274" i="4"/>
  <c r="P273" i="4"/>
  <c r="O273" i="4"/>
  <c r="N273" i="4"/>
  <c r="M273" i="4"/>
  <c r="L273" i="4"/>
  <c r="K273" i="4"/>
  <c r="J273" i="4"/>
  <c r="I273" i="4"/>
  <c r="H273" i="4"/>
  <c r="G273" i="4"/>
  <c r="F273" i="4"/>
  <c r="E273" i="4"/>
  <c r="D273" i="4"/>
  <c r="C273" i="4"/>
  <c r="B273" i="4"/>
  <c r="P272" i="4"/>
  <c r="O272" i="4"/>
  <c r="N272" i="4"/>
  <c r="M272" i="4"/>
  <c r="L272" i="4"/>
  <c r="K272" i="4"/>
  <c r="J272" i="4"/>
  <c r="I272" i="4"/>
  <c r="H272" i="4"/>
  <c r="G272" i="4"/>
  <c r="F272" i="4"/>
  <c r="E272" i="4"/>
  <c r="D272" i="4"/>
  <c r="C272" i="4"/>
  <c r="B272" i="4"/>
  <c r="P271" i="4"/>
  <c r="O271" i="4"/>
  <c r="N271" i="4"/>
  <c r="M271" i="4"/>
  <c r="L271" i="4"/>
  <c r="K271" i="4"/>
  <c r="J271" i="4"/>
  <c r="I271" i="4"/>
  <c r="H271" i="4"/>
  <c r="G271" i="4"/>
  <c r="F271" i="4"/>
  <c r="E271" i="4"/>
  <c r="D271" i="4"/>
  <c r="C271" i="4"/>
  <c r="B271" i="4"/>
  <c r="P270" i="4"/>
  <c r="O270" i="4"/>
  <c r="N270" i="4"/>
  <c r="M270" i="4"/>
  <c r="L270" i="4"/>
  <c r="K270" i="4"/>
  <c r="J270" i="4"/>
  <c r="I270" i="4"/>
  <c r="H270" i="4"/>
  <c r="G270" i="4"/>
  <c r="F270" i="4"/>
  <c r="E270" i="4"/>
  <c r="D270" i="4"/>
  <c r="C270" i="4"/>
  <c r="B270" i="4"/>
  <c r="P269" i="4"/>
  <c r="O269" i="4"/>
  <c r="N269" i="4"/>
  <c r="M269" i="4"/>
  <c r="L269" i="4"/>
  <c r="K269" i="4"/>
  <c r="J269" i="4"/>
  <c r="I269" i="4"/>
  <c r="H269" i="4"/>
  <c r="G269" i="4"/>
  <c r="F269" i="4"/>
  <c r="E269" i="4"/>
  <c r="D269" i="4"/>
  <c r="C269" i="4"/>
  <c r="B269" i="4"/>
  <c r="P268" i="4"/>
  <c r="O268" i="4"/>
  <c r="N268" i="4"/>
  <c r="M268" i="4"/>
  <c r="L268" i="4"/>
  <c r="K268" i="4"/>
  <c r="J268" i="4"/>
  <c r="I268" i="4"/>
  <c r="H268" i="4"/>
  <c r="G268" i="4"/>
  <c r="F268" i="4"/>
  <c r="E268" i="4"/>
  <c r="D268" i="4"/>
  <c r="C268" i="4"/>
  <c r="B268" i="4"/>
  <c r="P267" i="4"/>
  <c r="O267" i="4"/>
  <c r="N267" i="4"/>
  <c r="M267" i="4"/>
  <c r="L267" i="4"/>
  <c r="K267" i="4"/>
  <c r="J267" i="4"/>
  <c r="I267" i="4"/>
  <c r="H267" i="4"/>
  <c r="G267" i="4"/>
  <c r="F267" i="4"/>
  <c r="E267" i="4"/>
  <c r="D267" i="4"/>
  <c r="C267" i="4"/>
  <c r="B267" i="4"/>
  <c r="P266" i="4"/>
  <c r="O266" i="4"/>
  <c r="N266" i="4"/>
  <c r="M266" i="4"/>
  <c r="L266" i="4"/>
  <c r="K266" i="4"/>
  <c r="J266" i="4"/>
  <c r="I266" i="4"/>
  <c r="H266" i="4"/>
  <c r="G266" i="4"/>
  <c r="F266" i="4"/>
  <c r="E266" i="4"/>
  <c r="D266" i="4"/>
  <c r="C266" i="4"/>
  <c r="B266" i="4"/>
  <c r="P265" i="4"/>
  <c r="O265" i="4"/>
  <c r="N265" i="4"/>
  <c r="M265" i="4"/>
  <c r="L265" i="4"/>
  <c r="K265" i="4"/>
  <c r="J265" i="4"/>
  <c r="I265" i="4"/>
  <c r="H265" i="4"/>
  <c r="G265" i="4"/>
  <c r="F265" i="4"/>
  <c r="E265" i="4"/>
  <c r="D265" i="4"/>
  <c r="C265" i="4"/>
  <c r="B265" i="4"/>
  <c r="P264" i="4"/>
  <c r="O264" i="4"/>
  <c r="N264" i="4"/>
  <c r="M264" i="4"/>
  <c r="L264" i="4"/>
  <c r="K264" i="4"/>
  <c r="J264" i="4"/>
  <c r="I264" i="4"/>
  <c r="H264" i="4"/>
  <c r="G264" i="4"/>
  <c r="F264" i="4"/>
  <c r="E264" i="4"/>
  <c r="D264" i="4"/>
  <c r="C264" i="4"/>
  <c r="B264" i="4"/>
  <c r="P263" i="4"/>
  <c r="O263" i="4"/>
  <c r="N263" i="4"/>
  <c r="M263" i="4"/>
  <c r="L263" i="4"/>
  <c r="K263" i="4"/>
  <c r="J263" i="4"/>
  <c r="I263" i="4"/>
  <c r="H263" i="4"/>
  <c r="G263" i="4"/>
  <c r="F263" i="4"/>
  <c r="E263" i="4"/>
  <c r="D263" i="4"/>
  <c r="C263" i="4"/>
  <c r="B263" i="4"/>
  <c r="P262" i="4"/>
  <c r="O262" i="4"/>
  <c r="N262" i="4"/>
  <c r="M262" i="4"/>
  <c r="L262" i="4"/>
  <c r="K262" i="4"/>
  <c r="J262" i="4"/>
  <c r="I262" i="4"/>
  <c r="H262" i="4"/>
  <c r="G262" i="4"/>
  <c r="F262" i="4"/>
  <c r="E262" i="4"/>
  <c r="D262" i="4"/>
  <c r="C262" i="4"/>
  <c r="B262" i="4"/>
  <c r="P261" i="4"/>
  <c r="O261" i="4"/>
  <c r="N261" i="4"/>
  <c r="M261" i="4"/>
  <c r="L261" i="4"/>
  <c r="K261" i="4"/>
  <c r="J261" i="4"/>
  <c r="I261" i="4"/>
  <c r="H261" i="4"/>
  <c r="G261" i="4"/>
  <c r="F261" i="4"/>
  <c r="E261" i="4"/>
  <c r="D261" i="4"/>
  <c r="C261" i="4"/>
  <c r="B261" i="4"/>
  <c r="P260" i="4"/>
  <c r="O260" i="4"/>
  <c r="N260" i="4"/>
  <c r="M260" i="4"/>
  <c r="L260" i="4"/>
  <c r="K260" i="4"/>
  <c r="J260" i="4"/>
  <c r="I260" i="4"/>
  <c r="H260" i="4"/>
  <c r="G260" i="4"/>
  <c r="F260" i="4"/>
  <c r="E260" i="4"/>
  <c r="D260" i="4"/>
  <c r="C260" i="4"/>
  <c r="B260" i="4"/>
  <c r="P259" i="4"/>
  <c r="O259" i="4"/>
  <c r="N259" i="4"/>
  <c r="M259" i="4"/>
  <c r="L259" i="4"/>
  <c r="K259" i="4"/>
  <c r="J259" i="4"/>
  <c r="I259" i="4"/>
  <c r="H259" i="4"/>
  <c r="G259" i="4"/>
  <c r="F259" i="4"/>
  <c r="E259" i="4"/>
  <c r="D259" i="4"/>
  <c r="C259" i="4"/>
  <c r="B259" i="4"/>
  <c r="P258" i="4"/>
  <c r="O258" i="4"/>
  <c r="N258" i="4"/>
  <c r="M258" i="4"/>
  <c r="L258" i="4"/>
  <c r="K258" i="4"/>
  <c r="J258" i="4"/>
  <c r="I258" i="4"/>
  <c r="H258" i="4"/>
  <c r="G258" i="4"/>
  <c r="F258" i="4"/>
  <c r="E258" i="4"/>
  <c r="D258" i="4"/>
  <c r="C258" i="4"/>
  <c r="B258" i="4"/>
  <c r="P257" i="4"/>
  <c r="O257" i="4"/>
  <c r="N257" i="4"/>
  <c r="M257" i="4"/>
  <c r="L257" i="4"/>
  <c r="K257" i="4"/>
  <c r="J257" i="4"/>
  <c r="I257" i="4"/>
  <c r="H257" i="4"/>
  <c r="G257" i="4"/>
  <c r="F257" i="4"/>
  <c r="E257" i="4"/>
  <c r="D257" i="4"/>
  <c r="C257" i="4"/>
  <c r="B257" i="4"/>
  <c r="P256" i="4"/>
  <c r="O256" i="4"/>
  <c r="N256" i="4"/>
  <c r="M256" i="4"/>
  <c r="L256" i="4"/>
  <c r="K256" i="4"/>
  <c r="J256" i="4"/>
  <c r="I256" i="4"/>
  <c r="H256" i="4"/>
  <c r="G256" i="4"/>
  <c r="F256" i="4"/>
  <c r="E256" i="4"/>
  <c r="D256" i="4"/>
  <c r="C256" i="4"/>
  <c r="B256" i="4"/>
  <c r="P255" i="4"/>
  <c r="O255" i="4"/>
  <c r="N255" i="4"/>
  <c r="M255" i="4"/>
  <c r="L255" i="4"/>
  <c r="K255" i="4"/>
  <c r="J255" i="4"/>
  <c r="I255" i="4"/>
  <c r="H255" i="4"/>
  <c r="G255" i="4"/>
  <c r="F255" i="4"/>
  <c r="E255" i="4"/>
  <c r="D255" i="4"/>
  <c r="C255" i="4"/>
  <c r="B255" i="4"/>
  <c r="P254" i="4"/>
  <c r="O254" i="4"/>
  <c r="N254" i="4"/>
  <c r="M254" i="4"/>
  <c r="L254" i="4"/>
  <c r="K254" i="4"/>
  <c r="J254" i="4"/>
  <c r="I254" i="4"/>
  <c r="H254" i="4"/>
  <c r="G254" i="4"/>
  <c r="F254" i="4"/>
  <c r="E254" i="4"/>
  <c r="D254" i="4"/>
  <c r="C254" i="4"/>
  <c r="B254" i="4"/>
  <c r="P253" i="4"/>
  <c r="O253" i="4"/>
  <c r="N253" i="4"/>
  <c r="M253" i="4"/>
  <c r="L253" i="4"/>
  <c r="K253" i="4"/>
  <c r="J253" i="4"/>
  <c r="I253" i="4"/>
  <c r="H253" i="4"/>
  <c r="G253" i="4"/>
  <c r="F253" i="4"/>
  <c r="E253" i="4"/>
  <c r="D253" i="4"/>
  <c r="C253" i="4"/>
  <c r="B253" i="4"/>
  <c r="P252" i="4"/>
  <c r="O252" i="4"/>
  <c r="N252" i="4"/>
  <c r="M252" i="4"/>
  <c r="L252" i="4"/>
  <c r="K252" i="4"/>
  <c r="J252" i="4"/>
  <c r="I252" i="4"/>
  <c r="H252" i="4"/>
  <c r="G252" i="4"/>
  <c r="F252" i="4"/>
  <c r="E252" i="4"/>
  <c r="D252" i="4"/>
  <c r="C252" i="4"/>
  <c r="B252" i="4"/>
  <c r="P251" i="4"/>
  <c r="O251" i="4"/>
  <c r="N251" i="4"/>
  <c r="M251" i="4"/>
  <c r="L251" i="4"/>
  <c r="K251" i="4"/>
  <c r="J251" i="4"/>
  <c r="I251" i="4"/>
  <c r="H251" i="4"/>
  <c r="G251" i="4"/>
  <c r="F251" i="4"/>
  <c r="E251" i="4"/>
  <c r="D251" i="4"/>
  <c r="C251" i="4"/>
  <c r="B251" i="4"/>
  <c r="P250" i="4"/>
  <c r="O250" i="4"/>
  <c r="N250" i="4"/>
  <c r="M250" i="4"/>
  <c r="L250" i="4"/>
  <c r="K250" i="4"/>
  <c r="J250" i="4"/>
  <c r="I250" i="4"/>
  <c r="H250" i="4"/>
  <c r="G250" i="4"/>
  <c r="F250" i="4"/>
  <c r="E250" i="4"/>
  <c r="D250" i="4"/>
  <c r="C250" i="4"/>
  <c r="B250" i="4"/>
  <c r="P249" i="4"/>
  <c r="O249" i="4"/>
  <c r="N249" i="4"/>
  <c r="M249" i="4"/>
  <c r="L249" i="4"/>
  <c r="K249" i="4"/>
  <c r="J249" i="4"/>
  <c r="I249" i="4"/>
  <c r="H249" i="4"/>
  <c r="G249" i="4"/>
  <c r="F249" i="4"/>
  <c r="E249" i="4"/>
  <c r="D249" i="4"/>
  <c r="C249" i="4"/>
  <c r="B249" i="4"/>
  <c r="P248" i="4"/>
  <c r="O248" i="4"/>
  <c r="N248" i="4"/>
  <c r="M248" i="4"/>
  <c r="L248" i="4"/>
  <c r="K248" i="4"/>
  <c r="J248" i="4"/>
  <c r="I248" i="4"/>
  <c r="H248" i="4"/>
  <c r="G248" i="4"/>
  <c r="F248" i="4"/>
  <c r="E248" i="4"/>
  <c r="D248" i="4"/>
  <c r="C248" i="4"/>
  <c r="B248" i="4"/>
  <c r="P247" i="4"/>
  <c r="O247" i="4"/>
  <c r="N247" i="4"/>
  <c r="M247" i="4"/>
  <c r="L247" i="4"/>
  <c r="K247" i="4"/>
  <c r="J247" i="4"/>
  <c r="I247" i="4"/>
  <c r="H247" i="4"/>
  <c r="G247" i="4"/>
  <c r="F247" i="4"/>
  <c r="E247" i="4"/>
  <c r="D247" i="4"/>
  <c r="C247" i="4"/>
  <c r="B247" i="4"/>
  <c r="P246" i="4"/>
  <c r="O246" i="4"/>
  <c r="N246" i="4"/>
  <c r="M246" i="4"/>
  <c r="L246" i="4"/>
  <c r="K246" i="4"/>
  <c r="J246" i="4"/>
  <c r="I246" i="4"/>
  <c r="H246" i="4"/>
  <c r="G246" i="4"/>
  <c r="F246" i="4"/>
  <c r="E246" i="4"/>
  <c r="D246" i="4"/>
  <c r="C246" i="4"/>
  <c r="B246" i="4"/>
  <c r="P245" i="4"/>
  <c r="O245" i="4"/>
  <c r="N245" i="4"/>
  <c r="M245" i="4"/>
  <c r="L245" i="4"/>
  <c r="K245" i="4"/>
  <c r="J245" i="4"/>
  <c r="I245" i="4"/>
  <c r="H245" i="4"/>
  <c r="G245" i="4"/>
  <c r="F245" i="4"/>
  <c r="E245" i="4"/>
  <c r="D245" i="4"/>
  <c r="C245" i="4"/>
  <c r="B245" i="4"/>
  <c r="P244" i="4"/>
  <c r="O244" i="4"/>
  <c r="N244" i="4"/>
  <c r="M244" i="4"/>
  <c r="L244" i="4"/>
  <c r="K244" i="4"/>
  <c r="J244" i="4"/>
  <c r="I244" i="4"/>
  <c r="H244" i="4"/>
  <c r="G244" i="4"/>
  <c r="F244" i="4"/>
  <c r="E244" i="4"/>
  <c r="D244" i="4"/>
  <c r="C244" i="4"/>
  <c r="B244" i="4"/>
  <c r="P243" i="4"/>
  <c r="O243" i="4"/>
  <c r="N243" i="4"/>
  <c r="M243" i="4"/>
  <c r="L243" i="4"/>
  <c r="K243" i="4"/>
  <c r="J243" i="4"/>
  <c r="I243" i="4"/>
  <c r="H243" i="4"/>
  <c r="G243" i="4"/>
  <c r="F243" i="4"/>
  <c r="E243" i="4"/>
  <c r="D243" i="4"/>
  <c r="C243" i="4"/>
  <c r="B243" i="4"/>
  <c r="P242" i="4"/>
  <c r="O242" i="4"/>
  <c r="N242" i="4"/>
  <c r="M242" i="4"/>
  <c r="L242" i="4"/>
  <c r="K242" i="4"/>
  <c r="J242" i="4"/>
  <c r="I242" i="4"/>
  <c r="H242" i="4"/>
  <c r="G242" i="4"/>
  <c r="F242" i="4"/>
  <c r="E242" i="4"/>
  <c r="D242" i="4"/>
  <c r="C242" i="4"/>
  <c r="B242" i="4"/>
  <c r="P241" i="4"/>
  <c r="O241" i="4"/>
  <c r="N241" i="4"/>
  <c r="M241" i="4"/>
  <c r="L241" i="4"/>
  <c r="K241" i="4"/>
  <c r="J241" i="4"/>
  <c r="I241" i="4"/>
  <c r="H241" i="4"/>
  <c r="G241" i="4"/>
  <c r="F241" i="4"/>
  <c r="E241" i="4"/>
  <c r="D241" i="4"/>
  <c r="C241" i="4"/>
  <c r="B241" i="4"/>
  <c r="P240" i="4"/>
  <c r="O240" i="4"/>
  <c r="N240" i="4"/>
  <c r="M240" i="4"/>
  <c r="L240" i="4"/>
  <c r="K240" i="4"/>
  <c r="J240" i="4"/>
  <c r="I240" i="4"/>
  <c r="H240" i="4"/>
  <c r="G240" i="4"/>
  <c r="F240" i="4"/>
  <c r="E240" i="4"/>
  <c r="D240" i="4"/>
  <c r="C240" i="4"/>
  <c r="B240" i="4"/>
  <c r="P239" i="4"/>
  <c r="O239" i="4"/>
  <c r="N239" i="4"/>
  <c r="M239" i="4"/>
  <c r="L239" i="4"/>
  <c r="K239" i="4"/>
  <c r="J239" i="4"/>
  <c r="I239" i="4"/>
  <c r="H239" i="4"/>
  <c r="G239" i="4"/>
  <c r="F239" i="4"/>
  <c r="E239" i="4"/>
  <c r="D239" i="4"/>
  <c r="C239" i="4"/>
  <c r="B239" i="4"/>
  <c r="P238" i="4"/>
  <c r="O238" i="4"/>
  <c r="N238" i="4"/>
  <c r="M238" i="4"/>
  <c r="L238" i="4"/>
  <c r="K238" i="4"/>
  <c r="J238" i="4"/>
  <c r="I238" i="4"/>
  <c r="H238" i="4"/>
  <c r="G238" i="4"/>
  <c r="F238" i="4"/>
  <c r="E238" i="4"/>
  <c r="D238" i="4"/>
  <c r="C238" i="4"/>
  <c r="B238" i="4"/>
  <c r="P237" i="4"/>
  <c r="O237" i="4"/>
  <c r="N237" i="4"/>
  <c r="M237" i="4"/>
  <c r="L237" i="4"/>
  <c r="K237" i="4"/>
  <c r="J237" i="4"/>
  <c r="I237" i="4"/>
  <c r="H237" i="4"/>
  <c r="G237" i="4"/>
  <c r="F237" i="4"/>
  <c r="E237" i="4"/>
  <c r="D237" i="4"/>
  <c r="C237" i="4"/>
  <c r="B237" i="4"/>
  <c r="P236" i="4"/>
  <c r="O236" i="4"/>
  <c r="N236" i="4"/>
  <c r="M236" i="4"/>
  <c r="L236" i="4"/>
  <c r="K236" i="4"/>
  <c r="J236" i="4"/>
  <c r="I236" i="4"/>
  <c r="H236" i="4"/>
  <c r="G236" i="4"/>
  <c r="F236" i="4"/>
  <c r="E236" i="4"/>
  <c r="D236" i="4"/>
  <c r="C236" i="4"/>
  <c r="B236" i="4"/>
  <c r="P235" i="4"/>
  <c r="O235" i="4"/>
  <c r="N235" i="4"/>
  <c r="M235" i="4"/>
  <c r="L235" i="4"/>
  <c r="K235" i="4"/>
  <c r="J235" i="4"/>
  <c r="I235" i="4"/>
  <c r="H235" i="4"/>
  <c r="G235" i="4"/>
  <c r="F235" i="4"/>
  <c r="E235" i="4"/>
  <c r="D235" i="4"/>
  <c r="C235" i="4"/>
  <c r="B235" i="4"/>
  <c r="P234" i="4"/>
  <c r="O234" i="4"/>
  <c r="N234" i="4"/>
  <c r="M234" i="4"/>
  <c r="L234" i="4"/>
  <c r="K234" i="4"/>
  <c r="J234" i="4"/>
  <c r="I234" i="4"/>
  <c r="H234" i="4"/>
  <c r="G234" i="4"/>
  <c r="F234" i="4"/>
  <c r="E234" i="4"/>
  <c r="D234" i="4"/>
  <c r="C234" i="4"/>
  <c r="B234" i="4"/>
  <c r="P233" i="4"/>
  <c r="O233" i="4"/>
  <c r="N233" i="4"/>
  <c r="M233" i="4"/>
  <c r="L233" i="4"/>
  <c r="K233" i="4"/>
  <c r="J233" i="4"/>
  <c r="I233" i="4"/>
  <c r="H233" i="4"/>
  <c r="G233" i="4"/>
  <c r="F233" i="4"/>
  <c r="E233" i="4"/>
  <c r="D233" i="4"/>
  <c r="C233" i="4"/>
  <c r="B233" i="4"/>
  <c r="P232" i="4"/>
  <c r="O232" i="4"/>
  <c r="N232" i="4"/>
  <c r="M232" i="4"/>
  <c r="L232" i="4"/>
  <c r="K232" i="4"/>
  <c r="J232" i="4"/>
  <c r="I232" i="4"/>
  <c r="H232" i="4"/>
  <c r="G232" i="4"/>
  <c r="F232" i="4"/>
  <c r="E232" i="4"/>
  <c r="D232" i="4"/>
  <c r="C232" i="4"/>
  <c r="B232" i="4"/>
  <c r="P231" i="4"/>
  <c r="O231" i="4"/>
  <c r="N231" i="4"/>
  <c r="M231" i="4"/>
  <c r="L231" i="4"/>
  <c r="K231" i="4"/>
  <c r="J231" i="4"/>
  <c r="I231" i="4"/>
  <c r="H231" i="4"/>
  <c r="G231" i="4"/>
  <c r="F231" i="4"/>
  <c r="E231" i="4"/>
  <c r="D231" i="4"/>
  <c r="C231" i="4"/>
  <c r="B231" i="4"/>
  <c r="P230" i="4"/>
  <c r="O230" i="4"/>
  <c r="N230" i="4"/>
  <c r="M230" i="4"/>
  <c r="L230" i="4"/>
  <c r="K230" i="4"/>
  <c r="J230" i="4"/>
  <c r="I230" i="4"/>
  <c r="H230" i="4"/>
  <c r="G230" i="4"/>
  <c r="F230" i="4"/>
  <c r="E230" i="4"/>
  <c r="D230" i="4"/>
  <c r="C230" i="4"/>
  <c r="B230" i="4"/>
  <c r="P229" i="4"/>
  <c r="O229" i="4"/>
  <c r="N229" i="4"/>
  <c r="M229" i="4"/>
  <c r="L229" i="4"/>
  <c r="K229" i="4"/>
  <c r="J229" i="4"/>
  <c r="I229" i="4"/>
  <c r="H229" i="4"/>
  <c r="G229" i="4"/>
  <c r="F229" i="4"/>
  <c r="E229" i="4"/>
  <c r="D229" i="4"/>
  <c r="C229" i="4"/>
  <c r="B229" i="4"/>
  <c r="P228" i="4"/>
  <c r="O228" i="4"/>
  <c r="N228" i="4"/>
  <c r="M228" i="4"/>
  <c r="L228" i="4"/>
  <c r="K228" i="4"/>
  <c r="J228" i="4"/>
  <c r="I228" i="4"/>
  <c r="H228" i="4"/>
  <c r="G228" i="4"/>
  <c r="F228" i="4"/>
  <c r="E228" i="4"/>
  <c r="D228" i="4"/>
  <c r="C228" i="4"/>
  <c r="B228" i="4"/>
  <c r="P227" i="4"/>
  <c r="O227" i="4"/>
  <c r="N227" i="4"/>
  <c r="M227" i="4"/>
  <c r="L227" i="4"/>
  <c r="K227" i="4"/>
  <c r="J227" i="4"/>
  <c r="I227" i="4"/>
  <c r="H227" i="4"/>
  <c r="G227" i="4"/>
  <c r="F227" i="4"/>
  <c r="E227" i="4"/>
  <c r="D227" i="4"/>
  <c r="C227" i="4"/>
  <c r="B227" i="4"/>
  <c r="P226" i="4"/>
  <c r="O226" i="4"/>
  <c r="N226" i="4"/>
  <c r="M226" i="4"/>
  <c r="L226" i="4"/>
  <c r="K226" i="4"/>
  <c r="J226" i="4"/>
  <c r="I226" i="4"/>
  <c r="H226" i="4"/>
  <c r="G226" i="4"/>
  <c r="F226" i="4"/>
  <c r="E226" i="4"/>
  <c r="D226" i="4"/>
  <c r="C226" i="4"/>
  <c r="B226" i="4"/>
  <c r="P225" i="4"/>
  <c r="O225" i="4"/>
  <c r="N225" i="4"/>
  <c r="M225" i="4"/>
  <c r="L225" i="4"/>
  <c r="K225" i="4"/>
  <c r="J225" i="4"/>
  <c r="I225" i="4"/>
  <c r="H225" i="4"/>
  <c r="G225" i="4"/>
  <c r="F225" i="4"/>
  <c r="E225" i="4"/>
  <c r="D225" i="4"/>
  <c r="C225" i="4"/>
  <c r="B225" i="4"/>
  <c r="P224" i="4"/>
  <c r="O224" i="4"/>
  <c r="N224" i="4"/>
  <c r="M224" i="4"/>
  <c r="L224" i="4"/>
  <c r="K224" i="4"/>
  <c r="J224" i="4"/>
  <c r="I224" i="4"/>
  <c r="H224" i="4"/>
  <c r="G224" i="4"/>
  <c r="F224" i="4"/>
  <c r="E224" i="4"/>
  <c r="D224" i="4"/>
  <c r="C224" i="4"/>
  <c r="B224" i="4"/>
  <c r="P223" i="4"/>
  <c r="O223" i="4"/>
  <c r="N223" i="4"/>
  <c r="M223" i="4"/>
  <c r="L223" i="4"/>
  <c r="K223" i="4"/>
  <c r="J223" i="4"/>
  <c r="I223" i="4"/>
  <c r="H223" i="4"/>
  <c r="G223" i="4"/>
  <c r="F223" i="4"/>
  <c r="E223" i="4"/>
  <c r="D223" i="4"/>
  <c r="C223" i="4"/>
  <c r="B223" i="4"/>
  <c r="P222" i="4"/>
  <c r="O222" i="4"/>
  <c r="N222" i="4"/>
  <c r="M222" i="4"/>
  <c r="L222" i="4"/>
  <c r="K222" i="4"/>
  <c r="J222" i="4"/>
  <c r="I222" i="4"/>
  <c r="H222" i="4"/>
  <c r="G222" i="4"/>
  <c r="F222" i="4"/>
  <c r="E222" i="4"/>
  <c r="D222" i="4"/>
  <c r="C222" i="4"/>
  <c r="B222" i="4"/>
  <c r="P221" i="4"/>
  <c r="O221" i="4"/>
  <c r="N221" i="4"/>
  <c r="M221" i="4"/>
  <c r="L221" i="4"/>
  <c r="K221" i="4"/>
  <c r="J221" i="4"/>
  <c r="I221" i="4"/>
  <c r="H221" i="4"/>
  <c r="G221" i="4"/>
  <c r="F221" i="4"/>
  <c r="E221" i="4"/>
  <c r="D221" i="4"/>
  <c r="C221" i="4"/>
  <c r="B221" i="4"/>
  <c r="P220" i="4"/>
  <c r="O220" i="4"/>
  <c r="N220" i="4"/>
  <c r="M220" i="4"/>
  <c r="L220" i="4"/>
  <c r="K220" i="4"/>
  <c r="J220" i="4"/>
  <c r="I220" i="4"/>
  <c r="H220" i="4"/>
  <c r="G220" i="4"/>
  <c r="F220" i="4"/>
  <c r="E220" i="4"/>
  <c r="D220" i="4"/>
  <c r="C220" i="4"/>
  <c r="B220" i="4"/>
  <c r="P219" i="4"/>
  <c r="O219" i="4"/>
  <c r="N219" i="4"/>
  <c r="M219" i="4"/>
  <c r="L219" i="4"/>
  <c r="K219" i="4"/>
  <c r="J219" i="4"/>
  <c r="I219" i="4"/>
  <c r="H219" i="4"/>
  <c r="G219" i="4"/>
  <c r="F219" i="4"/>
  <c r="E219" i="4"/>
  <c r="D219" i="4"/>
  <c r="C219" i="4"/>
  <c r="B219" i="4"/>
  <c r="P218" i="4"/>
  <c r="O218" i="4"/>
  <c r="N218" i="4"/>
  <c r="M218" i="4"/>
  <c r="L218" i="4"/>
  <c r="K218" i="4"/>
  <c r="J218" i="4"/>
  <c r="I218" i="4"/>
  <c r="H218" i="4"/>
  <c r="G218" i="4"/>
  <c r="F218" i="4"/>
  <c r="E218" i="4"/>
  <c r="D218" i="4"/>
  <c r="C218" i="4"/>
  <c r="B218" i="4"/>
  <c r="P217" i="4"/>
  <c r="O217" i="4"/>
  <c r="N217" i="4"/>
  <c r="M217" i="4"/>
  <c r="L217" i="4"/>
  <c r="K217" i="4"/>
  <c r="J217" i="4"/>
  <c r="I217" i="4"/>
  <c r="H217" i="4"/>
  <c r="G217" i="4"/>
  <c r="F217" i="4"/>
  <c r="E217" i="4"/>
  <c r="D217" i="4"/>
  <c r="C217" i="4"/>
  <c r="B217" i="4"/>
  <c r="P216" i="4"/>
  <c r="O216" i="4"/>
  <c r="N216" i="4"/>
  <c r="M216" i="4"/>
  <c r="L216" i="4"/>
  <c r="K216" i="4"/>
  <c r="J216" i="4"/>
  <c r="I216" i="4"/>
  <c r="H216" i="4"/>
  <c r="G216" i="4"/>
  <c r="F216" i="4"/>
  <c r="E216" i="4"/>
  <c r="D216" i="4"/>
  <c r="C216" i="4"/>
  <c r="B216" i="4"/>
  <c r="P215" i="4"/>
  <c r="O215" i="4"/>
  <c r="N215" i="4"/>
  <c r="M215" i="4"/>
  <c r="L215" i="4"/>
  <c r="K215" i="4"/>
  <c r="J215" i="4"/>
  <c r="I215" i="4"/>
  <c r="H215" i="4"/>
  <c r="G215" i="4"/>
  <c r="F215" i="4"/>
  <c r="E215" i="4"/>
  <c r="D215" i="4"/>
  <c r="C215" i="4"/>
  <c r="B215" i="4"/>
  <c r="P214" i="4"/>
  <c r="O214" i="4"/>
  <c r="N214" i="4"/>
  <c r="M214" i="4"/>
  <c r="L214" i="4"/>
  <c r="K214" i="4"/>
  <c r="J214" i="4"/>
  <c r="I214" i="4"/>
  <c r="H214" i="4"/>
  <c r="G214" i="4"/>
  <c r="F214" i="4"/>
  <c r="E214" i="4"/>
  <c r="D214" i="4"/>
  <c r="C214" i="4"/>
  <c r="B214" i="4"/>
  <c r="P213" i="4"/>
  <c r="O213" i="4"/>
  <c r="N213" i="4"/>
  <c r="M213" i="4"/>
  <c r="L213" i="4"/>
  <c r="K213" i="4"/>
  <c r="J213" i="4"/>
  <c r="I213" i="4"/>
  <c r="H213" i="4"/>
  <c r="G213" i="4"/>
  <c r="F213" i="4"/>
  <c r="E213" i="4"/>
  <c r="D213" i="4"/>
  <c r="C213" i="4"/>
  <c r="B213" i="4"/>
  <c r="P212" i="4"/>
  <c r="O212" i="4"/>
  <c r="N212" i="4"/>
  <c r="M212" i="4"/>
  <c r="L212" i="4"/>
  <c r="K212" i="4"/>
  <c r="J212" i="4"/>
  <c r="I212" i="4"/>
  <c r="H212" i="4"/>
  <c r="G212" i="4"/>
  <c r="F212" i="4"/>
  <c r="E212" i="4"/>
  <c r="D212" i="4"/>
  <c r="C212" i="4"/>
  <c r="B212" i="4"/>
  <c r="P211" i="4"/>
  <c r="O211" i="4"/>
  <c r="N211" i="4"/>
  <c r="M211" i="4"/>
  <c r="L211" i="4"/>
  <c r="K211" i="4"/>
  <c r="J211" i="4"/>
  <c r="I211" i="4"/>
  <c r="H211" i="4"/>
  <c r="G211" i="4"/>
  <c r="F211" i="4"/>
  <c r="E211" i="4"/>
  <c r="D211" i="4"/>
  <c r="C211" i="4"/>
  <c r="B211" i="4"/>
  <c r="P210" i="4"/>
  <c r="O210" i="4"/>
  <c r="N210" i="4"/>
  <c r="M210" i="4"/>
  <c r="L210" i="4"/>
  <c r="K210" i="4"/>
  <c r="J210" i="4"/>
  <c r="I210" i="4"/>
  <c r="H210" i="4"/>
  <c r="G210" i="4"/>
  <c r="F210" i="4"/>
  <c r="E210" i="4"/>
  <c r="D210" i="4"/>
  <c r="C210" i="4"/>
  <c r="B210" i="4"/>
  <c r="P209" i="4"/>
  <c r="O209" i="4"/>
  <c r="N209" i="4"/>
  <c r="M209" i="4"/>
  <c r="L209" i="4"/>
  <c r="K209" i="4"/>
  <c r="J209" i="4"/>
  <c r="I209" i="4"/>
  <c r="H209" i="4"/>
  <c r="G209" i="4"/>
  <c r="F209" i="4"/>
  <c r="E209" i="4"/>
  <c r="D209" i="4"/>
  <c r="C209" i="4"/>
  <c r="B209" i="4"/>
  <c r="P208" i="4"/>
  <c r="O208" i="4"/>
  <c r="N208" i="4"/>
  <c r="M208" i="4"/>
  <c r="L208" i="4"/>
  <c r="K208" i="4"/>
  <c r="J208" i="4"/>
  <c r="I208" i="4"/>
  <c r="H208" i="4"/>
  <c r="G208" i="4"/>
  <c r="F208" i="4"/>
  <c r="E208" i="4"/>
  <c r="D208" i="4"/>
  <c r="C208" i="4"/>
  <c r="B208" i="4"/>
  <c r="P207" i="4"/>
  <c r="O207" i="4"/>
  <c r="N207" i="4"/>
  <c r="M207" i="4"/>
  <c r="L207" i="4"/>
  <c r="K207" i="4"/>
  <c r="J207" i="4"/>
  <c r="I207" i="4"/>
  <c r="H207" i="4"/>
  <c r="G207" i="4"/>
  <c r="F207" i="4"/>
  <c r="E207" i="4"/>
  <c r="D207" i="4"/>
  <c r="C207" i="4"/>
  <c r="B207" i="4"/>
  <c r="P206" i="4"/>
  <c r="O206" i="4"/>
  <c r="N206" i="4"/>
  <c r="M206" i="4"/>
  <c r="L206" i="4"/>
  <c r="K206" i="4"/>
  <c r="J206" i="4"/>
  <c r="I206" i="4"/>
  <c r="H206" i="4"/>
  <c r="G206" i="4"/>
  <c r="F206" i="4"/>
  <c r="E206" i="4"/>
  <c r="D206" i="4"/>
  <c r="C206" i="4"/>
  <c r="B206" i="4"/>
  <c r="P205" i="4"/>
  <c r="O205" i="4"/>
  <c r="N205" i="4"/>
  <c r="M205" i="4"/>
  <c r="L205" i="4"/>
  <c r="K205" i="4"/>
  <c r="J205" i="4"/>
  <c r="I205" i="4"/>
  <c r="H205" i="4"/>
  <c r="G205" i="4"/>
  <c r="F205" i="4"/>
  <c r="E205" i="4"/>
  <c r="D205" i="4"/>
  <c r="C205" i="4"/>
  <c r="B205" i="4"/>
  <c r="P204" i="4"/>
  <c r="O204" i="4"/>
  <c r="N204" i="4"/>
  <c r="M204" i="4"/>
  <c r="L204" i="4"/>
  <c r="K204" i="4"/>
  <c r="J204" i="4"/>
  <c r="I204" i="4"/>
  <c r="H204" i="4"/>
  <c r="G204" i="4"/>
  <c r="F204" i="4"/>
  <c r="E204" i="4"/>
  <c r="D204" i="4"/>
  <c r="C204" i="4"/>
  <c r="B204" i="4"/>
  <c r="P203" i="4"/>
  <c r="O203" i="4"/>
  <c r="N203" i="4"/>
  <c r="M203" i="4"/>
  <c r="L203" i="4"/>
  <c r="K203" i="4"/>
  <c r="J203" i="4"/>
  <c r="I203" i="4"/>
  <c r="H203" i="4"/>
  <c r="G203" i="4"/>
  <c r="F203" i="4"/>
  <c r="E203" i="4"/>
  <c r="D203" i="4"/>
  <c r="C203" i="4"/>
  <c r="B203" i="4"/>
  <c r="P202" i="4"/>
  <c r="O202" i="4"/>
  <c r="N202" i="4"/>
  <c r="M202" i="4"/>
  <c r="L202" i="4"/>
  <c r="K202" i="4"/>
  <c r="J202" i="4"/>
  <c r="I202" i="4"/>
  <c r="H202" i="4"/>
  <c r="G202" i="4"/>
  <c r="F202" i="4"/>
  <c r="E202" i="4"/>
  <c r="D202" i="4"/>
  <c r="C202" i="4"/>
  <c r="B202" i="4"/>
  <c r="P201" i="4"/>
  <c r="O201" i="4"/>
  <c r="N201" i="4"/>
  <c r="M201" i="4"/>
  <c r="L201" i="4"/>
  <c r="K201" i="4"/>
  <c r="J201" i="4"/>
  <c r="I201" i="4"/>
  <c r="H201" i="4"/>
  <c r="G201" i="4"/>
  <c r="F201" i="4"/>
  <c r="E201" i="4"/>
  <c r="D201" i="4"/>
  <c r="C201" i="4"/>
  <c r="B201" i="4"/>
  <c r="P200" i="4"/>
  <c r="O200" i="4"/>
  <c r="N200" i="4"/>
  <c r="M200" i="4"/>
  <c r="L200" i="4"/>
  <c r="K200" i="4"/>
  <c r="J200" i="4"/>
  <c r="I200" i="4"/>
  <c r="H200" i="4"/>
  <c r="G200" i="4"/>
  <c r="F200" i="4"/>
  <c r="E200" i="4"/>
  <c r="D200" i="4"/>
  <c r="C200" i="4"/>
  <c r="B200" i="4"/>
  <c r="P199" i="4"/>
  <c r="O199" i="4"/>
  <c r="N199" i="4"/>
  <c r="M199" i="4"/>
  <c r="L199" i="4"/>
  <c r="K199" i="4"/>
  <c r="J199" i="4"/>
  <c r="I199" i="4"/>
  <c r="H199" i="4"/>
  <c r="G199" i="4"/>
  <c r="F199" i="4"/>
  <c r="E199" i="4"/>
  <c r="D199" i="4"/>
  <c r="C199" i="4"/>
  <c r="B199" i="4"/>
  <c r="P198" i="4"/>
  <c r="O198" i="4"/>
  <c r="N198" i="4"/>
  <c r="M198" i="4"/>
  <c r="L198" i="4"/>
  <c r="K198" i="4"/>
  <c r="J198" i="4"/>
  <c r="I198" i="4"/>
  <c r="H198" i="4"/>
  <c r="G198" i="4"/>
  <c r="F198" i="4"/>
  <c r="E198" i="4"/>
  <c r="D198" i="4"/>
  <c r="C198" i="4"/>
  <c r="B198" i="4"/>
  <c r="P197" i="4"/>
  <c r="O197" i="4"/>
  <c r="N197" i="4"/>
  <c r="M197" i="4"/>
  <c r="L197" i="4"/>
  <c r="K197" i="4"/>
  <c r="J197" i="4"/>
  <c r="I197" i="4"/>
  <c r="H197" i="4"/>
  <c r="G197" i="4"/>
  <c r="F197" i="4"/>
  <c r="E197" i="4"/>
  <c r="D197" i="4"/>
  <c r="C197" i="4"/>
  <c r="B197" i="4"/>
  <c r="P196" i="4"/>
  <c r="O196" i="4"/>
  <c r="N196" i="4"/>
  <c r="M196" i="4"/>
  <c r="L196" i="4"/>
  <c r="K196" i="4"/>
  <c r="J196" i="4"/>
  <c r="I196" i="4"/>
  <c r="H196" i="4"/>
  <c r="G196" i="4"/>
  <c r="F196" i="4"/>
  <c r="E196" i="4"/>
  <c r="D196" i="4"/>
  <c r="C196" i="4"/>
  <c r="B196" i="4"/>
  <c r="P195" i="4"/>
  <c r="O195" i="4"/>
  <c r="N195" i="4"/>
  <c r="M195" i="4"/>
  <c r="L195" i="4"/>
  <c r="K195" i="4"/>
  <c r="J195" i="4"/>
  <c r="I195" i="4"/>
  <c r="H195" i="4"/>
  <c r="G195" i="4"/>
  <c r="F195" i="4"/>
  <c r="E195" i="4"/>
  <c r="D195" i="4"/>
  <c r="C195" i="4"/>
  <c r="B195" i="4"/>
  <c r="P194" i="4"/>
  <c r="O194" i="4"/>
  <c r="N194" i="4"/>
  <c r="M194" i="4"/>
  <c r="L194" i="4"/>
  <c r="K194" i="4"/>
  <c r="J194" i="4"/>
  <c r="I194" i="4"/>
  <c r="H194" i="4"/>
  <c r="G194" i="4"/>
  <c r="F194" i="4"/>
  <c r="E194" i="4"/>
  <c r="D194" i="4"/>
  <c r="C194" i="4"/>
  <c r="B194" i="4"/>
  <c r="P193" i="4"/>
  <c r="O193" i="4"/>
  <c r="N193" i="4"/>
  <c r="M193" i="4"/>
  <c r="L193" i="4"/>
  <c r="K193" i="4"/>
  <c r="J193" i="4"/>
  <c r="I193" i="4"/>
  <c r="H193" i="4"/>
  <c r="G193" i="4"/>
  <c r="F193" i="4"/>
  <c r="E193" i="4"/>
  <c r="D193" i="4"/>
  <c r="C193" i="4"/>
  <c r="B193" i="4"/>
  <c r="P192" i="4"/>
  <c r="O192" i="4"/>
  <c r="N192" i="4"/>
  <c r="M192" i="4"/>
  <c r="L192" i="4"/>
  <c r="K192" i="4"/>
  <c r="J192" i="4"/>
  <c r="I192" i="4"/>
  <c r="H192" i="4"/>
  <c r="G192" i="4"/>
  <c r="F192" i="4"/>
  <c r="E192" i="4"/>
  <c r="D192" i="4"/>
  <c r="C192" i="4"/>
  <c r="B192" i="4"/>
  <c r="P191" i="4"/>
  <c r="O191" i="4"/>
  <c r="N191" i="4"/>
  <c r="M191" i="4"/>
  <c r="L191" i="4"/>
  <c r="K191" i="4"/>
  <c r="J191" i="4"/>
  <c r="I191" i="4"/>
  <c r="H191" i="4"/>
  <c r="G191" i="4"/>
  <c r="F191" i="4"/>
  <c r="E191" i="4"/>
  <c r="D191" i="4"/>
  <c r="C191" i="4"/>
  <c r="B191" i="4"/>
  <c r="P190" i="4"/>
  <c r="O190" i="4"/>
  <c r="N190" i="4"/>
  <c r="M190" i="4"/>
  <c r="L190" i="4"/>
  <c r="K190" i="4"/>
  <c r="J190" i="4"/>
  <c r="I190" i="4"/>
  <c r="H190" i="4"/>
  <c r="G190" i="4"/>
  <c r="F190" i="4"/>
  <c r="E190" i="4"/>
  <c r="D190" i="4"/>
  <c r="C190" i="4"/>
  <c r="B190" i="4"/>
  <c r="P189" i="4"/>
  <c r="O189" i="4"/>
  <c r="N189" i="4"/>
  <c r="M189" i="4"/>
  <c r="L189" i="4"/>
  <c r="K189" i="4"/>
  <c r="J189" i="4"/>
  <c r="I189" i="4"/>
  <c r="H189" i="4"/>
  <c r="G189" i="4"/>
  <c r="F189" i="4"/>
  <c r="E189" i="4"/>
  <c r="D189" i="4"/>
  <c r="C189" i="4"/>
  <c r="B189" i="4"/>
  <c r="P188" i="4"/>
  <c r="O188" i="4"/>
  <c r="N188" i="4"/>
  <c r="M188" i="4"/>
  <c r="L188" i="4"/>
  <c r="K188" i="4"/>
  <c r="J188" i="4"/>
  <c r="I188" i="4"/>
  <c r="H188" i="4"/>
  <c r="G188" i="4"/>
  <c r="F188" i="4"/>
  <c r="E188" i="4"/>
  <c r="D188" i="4"/>
  <c r="C188" i="4"/>
  <c r="B188" i="4"/>
  <c r="P187" i="4"/>
  <c r="O187" i="4"/>
  <c r="N187" i="4"/>
  <c r="M187" i="4"/>
  <c r="L187" i="4"/>
  <c r="K187" i="4"/>
  <c r="J187" i="4"/>
  <c r="I187" i="4"/>
  <c r="H187" i="4"/>
  <c r="G187" i="4"/>
  <c r="F187" i="4"/>
  <c r="E187" i="4"/>
  <c r="D187" i="4"/>
  <c r="C187" i="4"/>
  <c r="B187" i="4"/>
  <c r="P186" i="4"/>
  <c r="O186" i="4"/>
  <c r="N186" i="4"/>
  <c r="M186" i="4"/>
  <c r="L186" i="4"/>
  <c r="K186" i="4"/>
  <c r="J186" i="4"/>
  <c r="I186" i="4"/>
  <c r="H186" i="4"/>
  <c r="G186" i="4"/>
  <c r="F186" i="4"/>
  <c r="E186" i="4"/>
  <c r="D186" i="4"/>
  <c r="C186" i="4"/>
  <c r="B186" i="4"/>
  <c r="P185" i="4"/>
  <c r="O185" i="4"/>
  <c r="N185" i="4"/>
  <c r="M185" i="4"/>
  <c r="L185" i="4"/>
  <c r="K185" i="4"/>
  <c r="J185" i="4"/>
  <c r="I185" i="4"/>
  <c r="H185" i="4"/>
  <c r="G185" i="4"/>
  <c r="F185" i="4"/>
  <c r="E185" i="4"/>
  <c r="D185" i="4"/>
  <c r="C185" i="4"/>
  <c r="B185" i="4"/>
  <c r="P184" i="4"/>
  <c r="O184" i="4"/>
  <c r="N184" i="4"/>
  <c r="M184" i="4"/>
  <c r="L184" i="4"/>
  <c r="K184" i="4"/>
  <c r="J184" i="4"/>
  <c r="I184" i="4"/>
  <c r="H184" i="4"/>
  <c r="G184" i="4"/>
  <c r="F184" i="4"/>
  <c r="E184" i="4"/>
  <c r="D184" i="4"/>
  <c r="C184" i="4"/>
  <c r="B184" i="4"/>
  <c r="P183" i="4"/>
  <c r="O183" i="4"/>
  <c r="N183" i="4"/>
  <c r="M183" i="4"/>
  <c r="L183" i="4"/>
  <c r="K183" i="4"/>
  <c r="J183" i="4"/>
  <c r="I183" i="4"/>
  <c r="H183" i="4"/>
  <c r="G183" i="4"/>
  <c r="F183" i="4"/>
  <c r="E183" i="4"/>
  <c r="D183" i="4"/>
  <c r="C183" i="4"/>
  <c r="B183" i="4"/>
  <c r="P182" i="4"/>
  <c r="O182" i="4"/>
  <c r="N182" i="4"/>
  <c r="M182" i="4"/>
  <c r="L182" i="4"/>
  <c r="K182" i="4"/>
  <c r="J182" i="4"/>
  <c r="I182" i="4"/>
  <c r="H182" i="4"/>
  <c r="G182" i="4"/>
  <c r="F182" i="4"/>
  <c r="E182" i="4"/>
  <c r="D182" i="4"/>
  <c r="C182" i="4"/>
  <c r="B182" i="4"/>
  <c r="P181" i="4"/>
  <c r="O181" i="4"/>
  <c r="N181" i="4"/>
  <c r="M181" i="4"/>
  <c r="L181" i="4"/>
  <c r="K181" i="4"/>
  <c r="J181" i="4"/>
  <c r="I181" i="4"/>
  <c r="H181" i="4"/>
  <c r="G181" i="4"/>
  <c r="F181" i="4"/>
  <c r="E181" i="4"/>
  <c r="D181" i="4"/>
  <c r="C181" i="4"/>
  <c r="B181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B180" i="4"/>
  <c r="P179" i="4"/>
  <c r="O179" i="4"/>
  <c r="N179" i="4"/>
  <c r="M179" i="4"/>
  <c r="L179" i="4"/>
  <c r="K179" i="4"/>
  <c r="J179" i="4"/>
  <c r="I179" i="4"/>
  <c r="H179" i="4"/>
  <c r="G179" i="4"/>
  <c r="F179" i="4"/>
  <c r="E179" i="4"/>
  <c r="D179" i="4"/>
  <c r="C179" i="4"/>
  <c r="B179" i="4"/>
  <c r="P178" i="4"/>
  <c r="O178" i="4"/>
  <c r="N178" i="4"/>
  <c r="M178" i="4"/>
  <c r="L178" i="4"/>
  <c r="K178" i="4"/>
  <c r="J178" i="4"/>
  <c r="I178" i="4"/>
  <c r="H178" i="4"/>
  <c r="G178" i="4"/>
  <c r="F178" i="4"/>
  <c r="E178" i="4"/>
  <c r="D178" i="4"/>
  <c r="C178" i="4"/>
  <c r="B178" i="4"/>
  <c r="P177" i="4"/>
  <c r="O177" i="4"/>
  <c r="N177" i="4"/>
  <c r="M177" i="4"/>
  <c r="L177" i="4"/>
  <c r="K177" i="4"/>
  <c r="J177" i="4"/>
  <c r="I177" i="4"/>
  <c r="H177" i="4"/>
  <c r="G177" i="4"/>
  <c r="F177" i="4"/>
  <c r="E177" i="4"/>
  <c r="D177" i="4"/>
  <c r="C177" i="4"/>
  <c r="B177" i="4"/>
  <c r="P176" i="4"/>
  <c r="O176" i="4"/>
  <c r="N176" i="4"/>
  <c r="M176" i="4"/>
  <c r="L176" i="4"/>
  <c r="K176" i="4"/>
  <c r="J176" i="4"/>
  <c r="I176" i="4"/>
  <c r="H176" i="4"/>
  <c r="G176" i="4"/>
  <c r="F176" i="4"/>
  <c r="E176" i="4"/>
  <c r="D176" i="4"/>
  <c r="C176" i="4"/>
  <c r="B176" i="4"/>
  <c r="P175" i="4"/>
  <c r="O175" i="4"/>
  <c r="N175" i="4"/>
  <c r="M175" i="4"/>
  <c r="L175" i="4"/>
  <c r="K175" i="4"/>
  <c r="J175" i="4"/>
  <c r="I175" i="4"/>
  <c r="H175" i="4"/>
  <c r="G175" i="4"/>
  <c r="F175" i="4"/>
  <c r="E175" i="4"/>
  <c r="D175" i="4"/>
  <c r="C175" i="4"/>
  <c r="B175" i="4"/>
  <c r="P174" i="4"/>
  <c r="O174" i="4"/>
  <c r="N174" i="4"/>
  <c r="M174" i="4"/>
  <c r="L174" i="4"/>
  <c r="K174" i="4"/>
  <c r="J174" i="4"/>
  <c r="I174" i="4"/>
  <c r="H174" i="4"/>
  <c r="G174" i="4"/>
  <c r="F174" i="4"/>
  <c r="E174" i="4"/>
  <c r="D174" i="4"/>
  <c r="C174" i="4"/>
  <c r="B174" i="4"/>
  <c r="P173" i="4"/>
  <c r="O173" i="4"/>
  <c r="N173" i="4"/>
  <c r="M173" i="4"/>
  <c r="L173" i="4"/>
  <c r="K173" i="4"/>
  <c r="J173" i="4"/>
  <c r="I173" i="4"/>
  <c r="H173" i="4"/>
  <c r="G173" i="4"/>
  <c r="F173" i="4"/>
  <c r="E173" i="4"/>
  <c r="D173" i="4"/>
  <c r="C173" i="4"/>
  <c r="B173" i="4"/>
  <c r="P172" i="4"/>
  <c r="O172" i="4"/>
  <c r="N172" i="4"/>
  <c r="M172" i="4"/>
  <c r="L172" i="4"/>
  <c r="K172" i="4"/>
  <c r="J172" i="4"/>
  <c r="I172" i="4"/>
  <c r="H172" i="4"/>
  <c r="G172" i="4"/>
  <c r="F172" i="4"/>
  <c r="E172" i="4"/>
  <c r="D172" i="4"/>
  <c r="C172" i="4"/>
  <c r="B172" i="4"/>
  <c r="P171" i="4"/>
  <c r="O171" i="4"/>
  <c r="N171" i="4"/>
  <c r="M171" i="4"/>
  <c r="L171" i="4"/>
  <c r="K171" i="4"/>
  <c r="J171" i="4"/>
  <c r="I171" i="4"/>
  <c r="H171" i="4"/>
  <c r="G171" i="4"/>
  <c r="F171" i="4"/>
  <c r="E171" i="4"/>
  <c r="D171" i="4"/>
  <c r="C171" i="4"/>
  <c r="B171" i="4"/>
  <c r="P170" i="4"/>
  <c r="O170" i="4"/>
  <c r="N170" i="4"/>
  <c r="M170" i="4"/>
  <c r="L170" i="4"/>
  <c r="K170" i="4"/>
  <c r="J170" i="4"/>
  <c r="I170" i="4"/>
  <c r="H170" i="4"/>
  <c r="G170" i="4"/>
  <c r="F170" i="4"/>
  <c r="E170" i="4"/>
  <c r="D170" i="4"/>
  <c r="C170" i="4"/>
  <c r="B170" i="4"/>
  <c r="P169" i="4"/>
  <c r="O169" i="4"/>
  <c r="N169" i="4"/>
  <c r="M169" i="4"/>
  <c r="L169" i="4"/>
  <c r="K169" i="4"/>
  <c r="J169" i="4"/>
  <c r="I169" i="4"/>
  <c r="H169" i="4"/>
  <c r="G169" i="4"/>
  <c r="F169" i="4"/>
  <c r="E169" i="4"/>
  <c r="D169" i="4"/>
  <c r="C169" i="4"/>
  <c r="B169" i="4"/>
  <c r="P168" i="4"/>
  <c r="O168" i="4"/>
  <c r="N168" i="4"/>
  <c r="M168" i="4"/>
  <c r="L168" i="4"/>
  <c r="K168" i="4"/>
  <c r="J168" i="4"/>
  <c r="I168" i="4"/>
  <c r="H168" i="4"/>
  <c r="G168" i="4"/>
  <c r="F168" i="4"/>
  <c r="E168" i="4"/>
  <c r="D168" i="4"/>
  <c r="C168" i="4"/>
  <c r="B168" i="4"/>
  <c r="P167" i="4"/>
  <c r="O167" i="4"/>
  <c r="N167" i="4"/>
  <c r="M167" i="4"/>
  <c r="L167" i="4"/>
  <c r="K167" i="4"/>
  <c r="J167" i="4"/>
  <c r="I167" i="4"/>
  <c r="H167" i="4"/>
  <c r="G167" i="4"/>
  <c r="F167" i="4"/>
  <c r="E167" i="4"/>
  <c r="D167" i="4"/>
  <c r="C167" i="4"/>
  <c r="B167" i="4"/>
  <c r="P166" i="4"/>
  <c r="O166" i="4"/>
  <c r="N166" i="4"/>
  <c r="M166" i="4"/>
  <c r="L166" i="4"/>
  <c r="K166" i="4"/>
  <c r="J166" i="4"/>
  <c r="I166" i="4"/>
  <c r="H166" i="4"/>
  <c r="G166" i="4"/>
  <c r="F166" i="4"/>
  <c r="E166" i="4"/>
  <c r="D166" i="4"/>
  <c r="C166" i="4"/>
  <c r="B166" i="4"/>
  <c r="P165" i="4"/>
  <c r="O165" i="4"/>
  <c r="N165" i="4"/>
  <c r="M165" i="4"/>
  <c r="L165" i="4"/>
  <c r="K165" i="4"/>
  <c r="J165" i="4"/>
  <c r="I165" i="4"/>
  <c r="H165" i="4"/>
  <c r="G165" i="4"/>
  <c r="F165" i="4"/>
  <c r="E165" i="4"/>
  <c r="D165" i="4"/>
  <c r="C165" i="4"/>
  <c r="B165" i="4"/>
  <c r="P164" i="4"/>
  <c r="O164" i="4"/>
  <c r="N164" i="4"/>
  <c r="M164" i="4"/>
  <c r="L164" i="4"/>
  <c r="K164" i="4"/>
  <c r="J164" i="4"/>
  <c r="I164" i="4"/>
  <c r="H164" i="4"/>
  <c r="G164" i="4"/>
  <c r="F164" i="4"/>
  <c r="E164" i="4"/>
  <c r="D164" i="4"/>
  <c r="C164" i="4"/>
  <c r="B164" i="4"/>
  <c r="P163" i="4"/>
  <c r="O163" i="4"/>
  <c r="N163" i="4"/>
  <c r="M163" i="4"/>
  <c r="L163" i="4"/>
  <c r="K163" i="4"/>
  <c r="J163" i="4"/>
  <c r="I163" i="4"/>
  <c r="H163" i="4"/>
  <c r="G163" i="4"/>
  <c r="F163" i="4"/>
  <c r="E163" i="4"/>
  <c r="D163" i="4"/>
  <c r="C163" i="4"/>
  <c r="B163" i="4"/>
  <c r="P162" i="4"/>
  <c r="O162" i="4"/>
  <c r="N162" i="4"/>
  <c r="M162" i="4"/>
  <c r="L162" i="4"/>
  <c r="K162" i="4"/>
  <c r="J162" i="4"/>
  <c r="I162" i="4"/>
  <c r="H162" i="4"/>
  <c r="G162" i="4"/>
  <c r="F162" i="4"/>
  <c r="E162" i="4"/>
  <c r="D162" i="4"/>
  <c r="C162" i="4"/>
  <c r="B162" i="4"/>
  <c r="P161" i="4"/>
  <c r="O161" i="4"/>
  <c r="N161" i="4"/>
  <c r="M161" i="4"/>
  <c r="L161" i="4"/>
  <c r="K161" i="4"/>
  <c r="J161" i="4"/>
  <c r="I161" i="4"/>
  <c r="H161" i="4"/>
  <c r="G161" i="4"/>
  <c r="F161" i="4"/>
  <c r="E161" i="4"/>
  <c r="D161" i="4"/>
  <c r="C161" i="4"/>
  <c r="B161" i="4"/>
  <c r="P160" i="4"/>
  <c r="O160" i="4"/>
  <c r="N160" i="4"/>
  <c r="M160" i="4"/>
  <c r="L160" i="4"/>
  <c r="K160" i="4"/>
  <c r="J160" i="4"/>
  <c r="I160" i="4"/>
  <c r="H160" i="4"/>
  <c r="G160" i="4"/>
  <c r="F160" i="4"/>
  <c r="E160" i="4"/>
  <c r="D160" i="4"/>
  <c r="C160" i="4"/>
  <c r="B160" i="4"/>
  <c r="P159" i="4"/>
  <c r="O159" i="4"/>
  <c r="N159" i="4"/>
  <c r="M159" i="4"/>
  <c r="L159" i="4"/>
  <c r="K159" i="4"/>
  <c r="J159" i="4"/>
  <c r="I159" i="4"/>
  <c r="H159" i="4"/>
  <c r="G159" i="4"/>
  <c r="F159" i="4"/>
  <c r="E159" i="4"/>
  <c r="D159" i="4"/>
  <c r="C159" i="4"/>
  <c r="B159" i="4"/>
  <c r="P158" i="4"/>
  <c r="O158" i="4"/>
  <c r="N158" i="4"/>
  <c r="M158" i="4"/>
  <c r="L158" i="4"/>
  <c r="K158" i="4"/>
  <c r="J158" i="4"/>
  <c r="I158" i="4"/>
  <c r="H158" i="4"/>
  <c r="G158" i="4"/>
  <c r="F158" i="4"/>
  <c r="E158" i="4"/>
  <c r="D158" i="4"/>
  <c r="C158" i="4"/>
  <c r="B158" i="4"/>
  <c r="P157" i="4"/>
  <c r="O157" i="4"/>
  <c r="N157" i="4"/>
  <c r="M157" i="4"/>
  <c r="L157" i="4"/>
  <c r="K157" i="4"/>
  <c r="J157" i="4"/>
  <c r="I157" i="4"/>
  <c r="H157" i="4"/>
  <c r="G157" i="4"/>
  <c r="F157" i="4"/>
  <c r="E157" i="4"/>
  <c r="D157" i="4"/>
  <c r="C157" i="4"/>
  <c r="B157" i="4"/>
  <c r="P156" i="4"/>
  <c r="O156" i="4"/>
  <c r="N156" i="4"/>
  <c r="M156" i="4"/>
  <c r="L156" i="4"/>
  <c r="K156" i="4"/>
  <c r="J156" i="4"/>
  <c r="I156" i="4"/>
  <c r="H156" i="4"/>
  <c r="G156" i="4"/>
  <c r="F156" i="4"/>
  <c r="E156" i="4"/>
  <c r="D156" i="4"/>
  <c r="C156" i="4"/>
  <c r="B156" i="4"/>
  <c r="P155" i="4"/>
  <c r="O155" i="4"/>
  <c r="N155" i="4"/>
  <c r="M155" i="4"/>
  <c r="L155" i="4"/>
  <c r="K155" i="4"/>
  <c r="J155" i="4"/>
  <c r="I155" i="4"/>
  <c r="H155" i="4"/>
  <c r="G155" i="4"/>
  <c r="F155" i="4"/>
  <c r="E155" i="4"/>
  <c r="D155" i="4"/>
  <c r="C155" i="4"/>
  <c r="B155" i="4"/>
  <c r="P154" i="4"/>
  <c r="O154" i="4"/>
  <c r="N154" i="4"/>
  <c r="M154" i="4"/>
  <c r="L154" i="4"/>
  <c r="K154" i="4"/>
  <c r="J154" i="4"/>
  <c r="I154" i="4"/>
  <c r="H154" i="4"/>
  <c r="G154" i="4"/>
  <c r="F154" i="4"/>
  <c r="E154" i="4"/>
  <c r="D154" i="4"/>
  <c r="C154" i="4"/>
  <c r="B154" i="4"/>
  <c r="P153" i="4"/>
  <c r="O153" i="4"/>
  <c r="N153" i="4"/>
  <c r="M153" i="4"/>
  <c r="L153" i="4"/>
  <c r="K153" i="4"/>
  <c r="J153" i="4"/>
  <c r="I153" i="4"/>
  <c r="H153" i="4"/>
  <c r="G153" i="4"/>
  <c r="F153" i="4"/>
  <c r="E153" i="4"/>
  <c r="D153" i="4"/>
  <c r="C153" i="4"/>
  <c r="B153" i="4"/>
  <c r="P152" i="4"/>
  <c r="O152" i="4"/>
  <c r="N152" i="4"/>
  <c r="M152" i="4"/>
  <c r="L152" i="4"/>
  <c r="K152" i="4"/>
  <c r="J152" i="4"/>
  <c r="I152" i="4"/>
  <c r="H152" i="4"/>
  <c r="G152" i="4"/>
  <c r="F152" i="4"/>
  <c r="E152" i="4"/>
  <c r="D152" i="4"/>
  <c r="C152" i="4"/>
  <c r="B152" i="4"/>
  <c r="P151" i="4"/>
  <c r="O151" i="4"/>
  <c r="N151" i="4"/>
  <c r="M151" i="4"/>
  <c r="L151" i="4"/>
  <c r="K151" i="4"/>
  <c r="J151" i="4"/>
  <c r="I151" i="4"/>
  <c r="H151" i="4"/>
  <c r="G151" i="4"/>
  <c r="F151" i="4"/>
  <c r="E151" i="4"/>
  <c r="D151" i="4"/>
  <c r="C151" i="4"/>
  <c r="B151" i="4"/>
  <c r="P150" i="4"/>
  <c r="O150" i="4"/>
  <c r="N150" i="4"/>
  <c r="M150" i="4"/>
  <c r="L150" i="4"/>
  <c r="K150" i="4"/>
  <c r="J150" i="4"/>
  <c r="I150" i="4"/>
  <c r="H150" i="4"/>
  <c r="G150" i="4"/>
  <c r="F150" i="4"/>
  <c r="E150" i="4"/>
  <c r="D150" i="4"/>
  <c r="C150" i="4"/>
  <c r="B150" i="4"/>
  <c r="P149" i="4"/>
  <c r="O149" i="4"/>
  <c r="N149" i="4"/>
  <c r="M149" i="4"/>
  <c r="L149" i="4"/>
  <c r="K149" i="4"/>
  <c r="J149" i="4"/>
  <c r="I149" i="4"/>
  <c r="H149" i="4"/>
  <c r="G149" i="4"/>
  <c r="F149" i="4"/>
  <c r="E149" i="4"/>
  <c r="D149" i="4"/>
  <c r="C149" i="4"/>
  <c r="B149" i="4"/>
  <c r="P148" i="4"/>
  <c r="O148" i="4"/>
  <c r="N148" i="4"/>
  <c r="M148" i="4"/>
  <c r="L148" i="4"/>
  <c r="K148" i="4"/>
  <c r="J148" i="4"/>
  <c r="I148" i="4"/>
  <c r="H148" i="4"/>
  <c r="G148" i="4"/>
  <c r="F148" i="4"/>
  <c r="E148" i="4"/>
  <c r="D148" i="4"/>
  <c r="C148" i="4"/>
  <c r="B148" i="4"/>
  <c r="P147" i="4"/>
  <c r="O147" i="4"/>
  <c r="N147" i="4"/>
  <c r="M147" i="4"/>
  <c r="L147" i="4"/>
  <c r="K147" i="4"/>
  <c r="J147" i="4"/>
  <c r="I147" i="4"/>
  <c r="H147" i="4"/>
  <c r="G147" i="4"/>
  <c r="F147" i="4"/>
  <c r="E147" i="4"/>
  <c r="D147" i="4"/>
  <c r="C147" i="4"/>
  <c r="B147" i="4"/>
  <c r="P146" i="4"/>
  <c r="O146" i="4"/>
  <c r="N146" i="4"/>
  <c r="M146" i="4"/>
  <c r="L146" i="4"/>
  <c r="K146" i="4"/>
  <c r="J146" i="4"/>
  <c r="I146" i="4"/>
  <c r="H146" i="4"/>
  <c r="G146" i="4"/>
  <c r="F146" i="4"/>
  <c r="E146" i="4"/>
  <c r="D146" i="4"/>
  <c r="C146" i="4"/>
  <c r="B146" i="4"/>
  <c r="P145" i="4"/>
  <c r="O145" i="4"/>
  <c r="N145" i="4"/>
  <c r="M145" i="4"/>
  <c r="L145" i="4"/>
  <c r="K145" i="4"/>
  <c r="J145" i="4"/>
  <c r="I145" i="4"/>
  <c r="H145" i="4"/>
  <c r="G145" i="4"/>
  <c r="F145" i="4"/>
  <c r="E145" i="4"/>
  <c r="D145" i="4"/>
  <c r="C145" i="4"/>
  <c r="B145" i="4"/>
  <c r="P144" i="4"/>
  <c r="O144" i="4"/>
  <c r="N144" i="4"/>
  <c r="M144" i="4"/>
  <c r="L144" i="4"/>
  <c r="K144" i="4"/>
  <c r="J144" i="4"/>
  <c r="I144" i="4"/>
  <c r="H144" i="4"/>
  <c r="G144" i="4"/>
  <c r="F144" i="4"/>
  <c r="E144" i="4"/>
  <c r="D144" i="4"/>
  <c r="C144" i="4"/>
  <c r="B144" i="4"/>
  <c r="P143" i="4"/>
  <c r="O143" i="4"/>
  <c r="N143" i="4"/>
  <c r="M143" i="4"/>
  <c r="L143" i="4"/>
  <c r="K143" i="4"/>
  <c r="J143" i="4"/>
  <c r="I143" i="4"/>
  <c r="H143" i="4"/>
  <c r="G143" i="4"/>
  <c r="F143" i="4"/>
  <c r="E143" i="4"/>
  <c r="D143" i="4"/>
  <c r="C143" i="4"/>
  <c r="B143" i="4"/>
  <c r="P142" i="4"/>
  <c r="O142" i="4"/>
  <c r="N142" i="4"/>
  <c r="M142" i="4"/>
  <c r="L142" i="4"/>
  <c r="K142" i="4"/>
  <c r="J142" i="4"/>
  <c r="I142" i="4"/>
  <c r="H142" i="4"/>
  <c r="G142" i="4"/>
  <c r="F142" i="4"/>
  <c r="E142" i="4"/>
  <c r="D142" i="4"/>
  <c r="C142" i="4"/>
  <c r="B142" i="4"/>
  <c r="P141" i="4"/>
  <c r="O141" i="4"/>
  <c r="N141" i="4"/>
  <c r="M141" i="4"/>
  <c r="L141" i="4"/>
  <c r="K141" i="4"/>
  <c r="J141" i="4"/>
  <c r="I141" i="4"/>
  <c r="H141" i="4"/>
  <c r="G141" i="4"/>
  <c r="F141" i="4"/>
  <c r="E141" i="4"/>
  <c r="D141" i="4"/>
  <c r="C141" i="4"/>
  <c r="B141" i="4"/>
  <c r="P140" i="4"/>
  <c r="O140" i="4"/>
  <c r="N140" i="4"/>
  <c r="M140" i="4"/>
  <c r="L140" i="4"/>
  <c r="K140" i="4"/>
  <c r="J140" i="4"/>
  <c r="I140" i="4"/>
  <c r="H140" i="4"/>
  <c r="G140" i="4"/>
  <c r="F140" i="4"/>
  <c r="E140" i="4"/>
  <c r="D140" i="4"/>
  <c r="C140" i="4"/>
  <c r="B140" i="4"/>
  <c r="P139" i="4"/>
  <c r="O139" i="4"/>
  <c r="N139" i="4"/>
  <c r="M139" i="4"/>
  <c r="L139" i="4"/>
  <c r="K139" i="4"/>
  <c r="J139" i="4"/>
  <c r="I139" i="4"/>
  <c r="H139" i="4"/>
  <c r="G139" i="4"/>
  <c r="F139" i="4"/>
  <c r="E139" i="4"/>
  <c r="D139" i="4"/>
  <c r="C139" i="4"/>
  <c r="B139" i="4"/>
  <c r="P138" i="4"/>
  <c r="O138" i="4"/>
  <c r="N138" i="4"/>
  <c r="M138" i="4"/>
  <c r="L138" i="4"/>
  <c r="K138" i="4"/>
  <c r="J138" i="4"/>
  <c r="I138" i="4"/>
  <c r="H138" i="4"/>
  <c r="G138" i="4"/>
  <c r="F138" i="4"/>
  <c r="E138" i="4"/>
  <c r="D138" i="4"/>
  <c r="C138" i="4"/>
  <c r="B138" i="4"/>
  <c r="P137" i="4"/>
  <c r="O137" i="4"/>
  <c r="N137" i="4"/>
  <c r="M137" i="4"/>
  <c r="L137" i="4"/>
  <c r="K137" i="4"/>
  <c r="J137" i="4"/>
  <c r="I137" i="4"/>
  <c r="H137" i="4"/>
  <c r="G137" i="4"/>
  <c r="F137" i="4"/>
  <c r="E137" i="4"/>
  <c r="D137" i="4"/>
  <c r="C137" i="4"/>
  <c r="B137" i="4"/>
  <c r="P136" i="4"/>
  <c r="O136" i="4"/>
  <c r="N136" i="4"/>
  <c r="M136" i="4"/>
  <c r="L136" i="4"/>
  <c r="K136" i="4"/>
  <c r="J136" i="4"/>
  <c r="I136" i="4"/>
  <c r="H136" i="4"/>
  <c r="G136" i="4"/>
  <c r="F136" i="4"/>
  <c r="E136" i="4"/>
  <c r="D136" i="4"/>
  <c r="C136" i="4"/>
  <c r="B136" i="4"/>
  <c r="P135" i="4"/>
  <c r="O135" i="4"/>
  <c r="N135" i="4"/>
  <c r="M135" i="4"/>
  <c r="L135" i="4"/>
  <c r="K135" i="4"/>
  <c r="J135" i="4"/>
  <c r="I135" i="4"/>
  <c r="H135" i="4"/>
  <c r="G135" i="4"/>
  <c r="F135" i="4"/>
  <c r="E135" i="4"/>
  <c r="D135" i="4"/>
  <c r="C135" i="4"/>
  <c r="B135" i="4"/>
  <c r="P134" i="4"/>
  <c r="O134" i="4"/>
  <c r="N134" i="4"/>
  <c r="M134" i="4"/>
  <c r="L134" i="4"/>
  <c r="K134" i="4"/>
  <c r="J134" i="4"/>
  <c r="I134" i="4"/>
  <c r="H134" i="4"/>
  <c r="G134" i="4"/>
  <c r="F134" i="4"/>
  <c r="E134" i="4"/>
  <c r="D134" i="4"/>
  <c r="C134" i="4"/>
  <c r="B134" i="4"/>
  <c r="P133" i="4"/>
  <c r="O133" i="4"/>
  <c r="N133" i="4"/>
  <c r="M133" i="4"/>
  <c r="L133" i="4"/>
  <c r="K133" i="4"/>
  <c r="J133" i="4"/>
  <c r="I133" i="4"/>
  <c r="H133" i="4"/>
  <c r="G133" i="4"/>
  <c r="F133" i="4"/>
  <c r="E133" i="4"/>
  <c r="D133" i="4"/>
  <c r="C133" i="4"/>
  <c r="B133" i="4"/>
  <c r="P132" i="4"/>
  <c r="O132" i="4"/>
  <c r="N132" i="4"/>
  <c r="M132" i="4"/>
  <c r="L132" i="4"/>
  <c r="K132" i="4"/>
  <c r="J132" i="4"/>
  <c r="I132" i="4"/>
  <c r="H132" i="4"/>
  <c r="G132" i="4"/>
  <c r="F132" i="4"/>
  <c r="E132" i="4"/>
  <c r="D132" i="4"/>
  <c r="C132" i="4"/>
  <c r="B132" i="4"/>
  <c r="P131" i="4"/>
  <c r="O131" i="4"/>
  <c r="N131" i="4"/>
  <c r="M131" i="4"/>
  <c r="L131" i="4"/>
  <c r="K131" i="4"/>
  <c r="J131" i="4"/>
  <c r="I131" i="4"/>
  <c r="H131" i="4"/>
  <c r="G131" i="4"/>
  <c r="F131" i="4"/>
  <c r="E131" i="4"/>
  <c r="D131" i="4"/>
  <c r="C131" i="4"/>
  <c r="B131" i="4"/>
  <c r="P130" i="4"/>
  <c r="O130" i="4"/>
  <c r="N130" i="4"/>
  <c r="M130" i="4"/>
  <c r="L130" i="4"/>
  <c r="K130" i="4"/>
  <c r="J130" i="4"/>
  <c r="I130" i="4"/>
  <c r="H130" i="4"/>
  <c r="G130" i="4"/>
  <c r="F130" i="4"/>
  <c r="E130" i="4"/>
  <c r="D130" i="4"/>
  <c r="C130" i="4"/>
  <c r="B130" i="4"/>
  <c r="P129" i="4"/>
  <c r="O129" i="4"/>
  <c r="N129" i="4"/>
  <c r="M129" i="4"/>
  <c r="L129" i="4"/>
  <c r="K129" i="4"/>
  <c r="J129" i="4"/>
  <c r="I129" i="4"/>
  <c r="H129" i="4"/>
  <c r="G129" i="4"/>
  <c r="F129" i="4"/>
  <c r="E129" i="4"/>
  <c r="D129" i="4"/>
  <c r="C129" i="4"/>
  <c r="B129" i="4"/>
  <c r="P128" i="4"/>
  <c r="O128" i="4"/>
  <c r="N128" i="4"/>
  <c r="M128" i="4"/>
  <c r="L128" i="4"/>
  <c r="K128" i="4"/>
  <c r="J128" i="4"/>
  <c r="I128" i="4"/>
  <c r="H128" i="4"/>
  <c r="G128" i="4"/>
  <c r="F128" i="4"/>
  <c r="E128" i="4"/>
  <c r="D128" i="4"/>
  <c r="C128" i="4"/>
  <c r="B128" i="4"/>
  <c r="P127" i="4"/>
  <c r="O127" i="4"/>
  <c r="N127" i="4"/>
  <c r="M127" i="4"/>
  <c r="L127" i="4"/>
  <c r="K127" i="4"/>
  <c r="J127" i="4"/>
  <c r="I127" i="4"/>
  <c r="H127" i="4"/>
  <c r="G127" i="4"/>
  <c r="F127" i="4"/>
  <c r="E127" i="4"/>
  <c r="D127" i="4"/>
  <c r="C127" i="4"/>
  <c r="B127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B123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D122" i="4"/>
  <c r="C122" i="4"/>
  <c r="B122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D121" i="4"/>
  <c r="C121" i="4"/>
  <c r="B121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D120" i="4"/>
  <c r="C120" i="4"/>
  <c r="B120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B119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B118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C117" i="4"/>
  <c r="B117" i="4"/>
  <c r="P116" i="4"/>
  <c r="O116" i="4"/>
  <c r="N116" i="4"/>
  <c r="M116" i="4"/>
  <c r="L116" i="4"/>
  <c r="K116" i="4"/>
  <c r="J116" i="4"/>
  <c r="I116" i="4"/>
  <c r="H116" i="4"/>
  <c r="G116" i="4"/>
  <c r="F116" i="4"/>
  <c r="E116" i="4"/>
  <c r="D116" i="4"/>
  <c r="C116" i="4"/>
  <c r="B116" i="4"/>
  <c r="P115" i="4"/>
  <c r="O115" i="4"/>
  <c r="N115" i="4"/>
  <c r="M115" i="4"/>
  <c r="L115" i="4"/>
  <c r="K115" i="4"/>
  <c r="J115" i="4"/>
  <c r="I115" i="4"/>
  <c r="H115" i="4"/>
  <c r="G115" i="4"/>
  <c r="F115" i="4"/>
  <c r="E115" i="4"/>
  <c r="D115" i="4"/>
  <c r="C115" i="4"/>
  <c r="B115" i="4"/>
  <c r="P114" i="4"/>
  <c r="O114" i="4"/>
  <c r="N114" i="4"/>
  <c r="M114" i="4"/>
  <c r="L114" i="4"/>
  <c r="K114" i="4"/>
  <c r="J114" i="4"/>
  <c r="I114" i="4"/>
  <c r="H114" i="4"/>
  <c r="G114" i="4"/>
  <c r="F114" i="4"/>
  <c r="E114" i="4"/>
  <c r="D114" i="4"/>
  <c r="C114" i="4"/>
  <c r="B114" i="4"/>
  <c r="P113" i="4"/>
  <c r="O113" i="4"/>
  <c r="N113" i="4"/>
  <c r="M113" i="4"/>
  <c r="L113" i="4"/>
  <c r="K113" i="4"/>
  <c r="J113" i="4"/>
  <c r="I113" i="4"/>
  <c r="H113" i="4"/>
  <c r="G113" i="4"/>
  <c r="F113" i="4"/>
  <c r="E113" i="4"/>
  <c r="D113" i="4"/>
  <c r="C113" i="4"/>
  <c r="B113" i="4"/>
  <c r="P112" i="4"/>
  <c r="O112" i="4"/>
  <c r="N112" i="4"/>
  <c r="M112" i="4"/>
  <c r="L112" i="4"/>
  <c r="K112" i="4"/>
  <c r="J112" i="4"/>
  <c r="I112" i="4"/>
  <c r="H112" i="4"/>
  <c r="G112" i="4"/>
  <c r="F112" i="4"/>
  <c r="E112" i="4"/>
  <c r="D112" i="4"/>
  <c r="C112" i="4"/>
  <c r="B112" i="4"/>
  <c r="P111" i="4"/>
  <c r="O111" i="4"/>
  <c r="N111" i="4"/>
  <c r="M111" i="4"/>
  <c r="L111" i="4"/>
  <c r="K111" i="4"/>
  <c r="J111" i="4"/>
  <c r="I111" i="4"/>
  <c r="H111" i="4"/>
  <c r="G111" i="4"/>
  <c r="F111" i="4"/>
  <c r="E111" i="4"/>
  <c r="D111" i="4"/>
  <c r="C111" i="4"/>
  <c r="B111" i="4"/>
  <c r="P110" i="4"/>
  <c r="O110" i="4"/>
  <c r="N110" i="4"/>
  <c r="M110" i="4"/>
  <c r="L110" i="4"/>
  <c r="K110" i="4"/>
  <c r="J110" i="4"/>
  <c r="I110" i="4"/>
  <c r="H110" i="4"/>
  <c r="G110" i="4"/>
  <c r="F110" i="4"/>
  <c r="E110" i="4"/>
  <c r="D110" i="4"/>
  <c r="C110" i="4"/>
  <c r="B110" i="4"/>
  <c r="P109" i="4"/>
  <c r="O109" i="4"/>
  <c r="N109" i="4"/>
  <c r="M109" i="4"/>
  <c r="L109" i="4"/>
  <c r="K109" i="4"/>
  <c r="J109" i="4"/>
  <c r="I109" i="4"/>
  <c r="H109" i="4"/>
  <c r="G109" i="4"/>
  <c r="F109" i="4"/>
  <c r="E109" i="4"/>
  <c r="D109" i="4"/>
  <c r="C109" i="4"/>
  <c r="B109" i="4"/>
  <c r="P108" i="4"/>
  <c r="O108" i="4"/>
  <c r="N108" i="4"/>
  <c r="M108" i="4"/>
  <c r="L108" i="4"/>
  <c r="K108" i="4"/>
  <c r="J108" i="4"/>
  <c r="I108" i="4"/>
  <c r="H108" i="4"/>
  <c r="G108" i="4"/>
  <c r="F108" i="4"/>
  <c r="E108" i="4"/>
  <c r="D108" i="4"/>
  <c r="C108" i="4"/>
  <c r="B108" i="4"/>
  <c r="P107" i="4"/>
  <c r="O107" i="4"/>
  <c r="N107" i="4"/>
  <c r="M107" i="4"/>
  <c r="L107" i="4"/>
  <c r="K107" i="4"/>
  <c r="J107" i="4"/>
  <c r="I107" i="4"/>
  <c r="H107" i="4"/>
  <c r="G107" i="4"/>
  <c r="F107" i="4"/>
  <c r="E107" i="4"/>
  <c r="D107" i="4"/>
  <c r="C107" i="4"/>
  <c r="B107" i="4"/>
  <c r="P106" i="4"/>
  <c r="O106" i="4"/>
  <c r="N106" i="4"/>
  <c r="M106" i="4"/>
  <c r="L106" i="4"/>
  <c r="K106" i="4"/>
  <c r="J106" i="4"/>
  <c r="I106" i="4"/>
  <c r="H106" i="4"/>
  <c r="G106" i="4"/>
  <c r="F106" i="4"/>
  <c r="E106" i="4"/>
  <c r="D106" i="4"/>
  <c r="C106" i="4"/>
  <c r="B106" i="4"/>
  <c r="P105" i="4"/>
  <c r="O105" i="4"/>
  <c r="N105" i="4"/>
  <c r="M105" i="4"/>
  <c r="L105" i="4"/>
  <c r="K105" i="4"/>
  <c r="J105" i="4"/>
  <c r="I105" i="4"/>
  <c r="H105" i="4"/>
  <c r="G105" i="4"/>
  <c r="F105" i="4"/>
  <c r="E105" i="4"/>
  <c r="D105" i="4"/>
  <c r="C105" i="4"/>
  <c r="B105" i="4"/>
  <c r="P104" i="4"/>
  <c r="O104" i="4"/>
  <c r="N104" i="4"/>
  <c r="M104" i="4"/>
  <c r="L104" i="4"/>
  <c r="K104" i="4"/>
  <c r="J104" i="4"/>
  <c r="I104" i="4"/>
  <c r="H104" i="4"/>
  <c r="G104" i="4"/>
  <c r="F104" i="4"/>
  <c r="E104" i="4"/>
  <c r="D104" i="4"/>
  <c r="C104" i="4"/>
  <c r="B104" i="4"/>
  <c r="P103" i="4"/>
  <c r="O103" i="4"/>
  <c r="N103" i="4"/>
  <c r="M103" i="4"/>
  <c r="L103" i="4"/>
  <c r="K103" i="4"/>
  <c r="J103" i="4"/>
  <c r="I103" i="4"/>
  <c r="H103" i="4"/>
  <c r="G103" i="4"/>
  <c r="F103" i="4"/>
  <c r="E103" i="4"/>
  <c r="D103" i="4"/>
  <c r="C103" i="4"/>
  <c r="B103" i="4"/>
  <c r="P102" i="4"/>
  <c r="O102" i="4"/>
  <c r="N102" i="4"/>
  <c r="M102" i="4"/>
  <c r="L102" i="4"/>
  <c r="K102" i="4"/>
  <c r="J102" i="4"/>
  <c r="I102" i="4"/>
  <c r="H102" i="4"/>
  <c r="G102" i="4"/>
  <c r="F102" i="4"/>
  <c r="E102" i="4"/>
  <c r="D102" i="4"/>
  <c r="C102" i="4"/>
  <c r="B102" i="4"/>
  <c r="P101" i="4"/>
  <c r="O101" i="4"/>
  <c r="N101" i="4"/>
  <c r="M101" i="4"/>
  <c r="L101" i="4"/>
  <c r="K101" i="4"/>
  <c r="J101" i="4"/>
  <c r="I101" i="4"/>
  <c r="H101" i="4"/>
  <c r="G101" i="4"/>
  <c r="F101" i="4"/>
  <c r="E101" i="4"/>
  <c r="D101" i="4"/>
  <c r="C101" i="4"/>
  <c r="B101" i="4"/>
  <c r="P100" i="4"/>
  <c r="O100" i="4"/>
  <c r="N100" i="4"/>
  <c r="M100" i="4"/>
  <c r="L100" i="4"/>
  <c r="K100" i="4"/>
  <c r="J100" i="4"/>
  <c r="I100" i="4"/>
  <c r="H100" i="4"/>
  <c r="G100" i="4"/>
  <c r="F100" i="4"/>
  <c r="E100" i="4"/>
  <c r="D100" i="4"/>
  <c r="C100" i="4"/>
  <c r="B100" i="4"/>
  <c r="P99" i="4"/>
  <c r="O99" i="4"/>
  <c r="N99" i="4"/>
  <c r="M99" i="4"/>
  <c r="L99" i="4"/>
  <c r="K99" i="4"/>
  <c r="J99" i="4"/>
  <c r="I99" i="4"/>
  <c r="H99" i="4"/>
  <c r="G99" i="4"/>
  <c r="F99" i="4"/>
  <c r="E99" i="4"/>
  <c r="D99" i="4"/>
  <c r="C99" i="4"/>
  <c r="B99" i="4"/>
  <c r="P98" i="4"/>
  <c r="O98" i="4"/>
  <c r="N98" i="4"/>
  <c r="M98" i="4"/>
  <c r="L98" i="4"/>
  <c r="K98" i="4"/>
  <c r="J98" i="4"/>
  <c r="I98" i="4"/>
  <c r="H98" i="4"/>
  <c r="G98" i="4"/>
  <c r="F98" i="4"/>
  <c r="E98" i="4"/>
  <c r="D98" i="4"/>
  <c r="C98" i="4"/>
  <c r="B98" i="4"/>
  <c r="P97" i="4"/>
  <c r="O97" i="4"/>
  <c r="N97" i="4"/>
  <c r="M97" i="4"/>
  <c r="L97" i="4"/>
  <c r="K97" i="4"/>
  <c r="J97" i="4"/>
  <c r="I97" i="4"/>
  <c r="H97" i="4"/>
  <c r="G97" i="4"/>
  <c r="F97" i="4"/>
  <c r="E97" i="4"/>
  <c r="D97" i="4"/>
  <c r="C97" i="4"/>
  <c r="B97" i="4"/>
  <c r="P96" i="4"/>
  <c r="O96" i="4"/>
  <c r="N96" i="4"/>
  <c r="M96" i="4"/>
  <c r="L96" i="4"/>
  <c r="K96" i="4"/>
  <c r="J96" i="4"/>
  <c r="I96" i="4"/>
  <c r="H96" i="4"/>
  <c r="G96" i="4"/>
  <c r="F96" i="4"/>
  <c r="E96" i="4"/>
  <c r="D96" i="4"/>
  <c r="C96" i="4"/>
  <c r="B96" i="4"/>
  <c r="P95" i="4"/>
  <c r="O95" i="4"/>
  <c r="N95" i="4"/>
  <c r="M95" i="4"/>
  <c r="L95" i="4"/>
  <c r="K95" i="4"/>
  <c r="J95" i="4"/>
  <c r="I95" i="4"/>
  <c r="H95" i="4"/>
  <c r="G95" i="4"/>
  <c r="F95" i="4"/>
  <c r="E95" i="4"/>
  <c r="D95" i="4"/>
  <c r="C95" i="4"/>
  <c r="B95" i="4"/>
  <c r="P94" i="4"/>
  <c r="O94" i="4"/>
  <c r="N94" i="4"/>
  <c r="M94" i="4"/>
  <c r="L94" i="4"/>
  <c r="K94" i="4"/>
  <c r="J94" i="4"/>
  <c r="I94" i="4"/>
  <c r="H94" i="4"/>
  <c r="G94" i="4"/>
  <c r="F94" i="4"/>
  <c r="E94" i="4"/>
  <c r="D94" i="4"/>
  <c r="C94" i="4"/>
  <c r="B94" i="4"/>
  <c r="P93" i="4"/>
  <c r="O93" i="4"/>
  <c r="N93" i="4"/>
  <c r="M93" i="4"/>
  <c r="L93" i="4"/>
  <c r="K93" i="4"/>
  <c r="J93" i="4"/>
  <c r="I93" i="4"/>
  <c r="H93" i="4"/>
  <c r="G93" i="4"/>
  <c r="F93" i="4"/>
  <c r="E93" i="4"/>
  <c r="D93" i="4"/>
  <c r="C93" i="4"/>
  <c r="B93" i="4"/>
  <c r="P92" i="4"/>
  <c r="O92" i="4"/>
  <c r="N92" i="4"/>
  <c r="M92" i="4"/>
  <c r="L92" i="4"/>
  <c r="K92" i="4"/>
  <c r="J92" i="4"/>
  <c r="I92" i="4"/>
  <c r="H92" i="4"/>
  <c r="G92" i="4"/>
  <c r="F92" i="4"/>
  <c r="E92" i="4"/>
  <c r="D92" i="4"/>
  <c r="C92" i="4"/>
  <c r="B92" i="4"/>
  <c r="P91" i="4"/>
  <c r="O91" i="4"/>
  <c r="N91" i="4"/>
  <c r="M91" i="4"/>
  <c r="L91" i="4"/>
  <c r="K91" i="4"/>
  <c r="J91" i="4"/>
  <c r="I91" i="4"/>
  <c r="H91" i="4"/>
  <c r="G91" i="4"/>
  <c r="F91" i="4"/>
  <c r="E91" i="4"/>
  <c r="D91" i="4"/>
  <c r="C91" i="4"/>
  <c r="B91" i="4"/>
  <c r="P90" i="4"/>
  <c r="O90" i="4"/>
  <c r="N90" i="4"/>
  <c r="M90" i="4"/>
  <c r="L90" i="4"/>
  <c r="K90" i="4"/>
  <c r="J90" i="4"/>
  <c r="I90" i="4"/>
  <c r="H90" i="4"/>
  <c r="G90" i="4"/>
  <c r="F90" i="4"/>
  <c r="E90" i="4"/>
  <c r="D90" i="4"/>
  <c r="C90" i="4"/>
  <c r="B90" i="4"/>
  <c r="P89" i="4"/>
  <c r="O89" i="4"/>
  <c r="N89" i="4"/>
  <c r="M89" i="4"/>
  <c r="L89" i="4"/>
  <c r="K89" i="4"/>
  <c r="J89" i="4"/>
  <c r="I89" i="4"/>
  <c r="H89" i="4"/>
  <c r="G89" i="4"/>
  <c r="F89" i="4"/>
  <c r="E89" i="4"/>
  <c r="D89" i="4"/>
  <c r="C89" i="4"/>
  <c r="B89" i="4"/>
  <c r="P88" i="4"/>
  <c r="O88" i="4"/>
  <c r="N88" i="4"/>
  <c r="M88" i="4"/>
  <c r="L88" i="4"/>
  <c r="K88" i="4"/>
  <c r="J88" i="4"/>
  <c r="I88" i="4"/>
  <c r="H88" i="4"/>
  <c r="G88" i="4"/>
  <c r="F88" i="4"/>
  <c r="E88" i="4"/>
  <c r="D88" i="4"/>
  <c r="C88" i="4"/>
  <c r="B88" i="4"/>
  <c r="P87" i="4"/>
  <c r="O87" i="4"/>
  <c r="N87" i="4"/>
  <c r="M87" i="4"/>
  <c r="L87" i="4"/>
  <c r="K87" i="4"/>
  <c r="J87" i="4"/>
  <c r="I87" i="4"/>
  <c r="H87" i="4"/>
  <c r="G87" i="4"/>
  <c r="F87" i="4"/>
  <c r="E87" i="4"/>
  <c r="D87" i="4"/>
  <c r="C87" i="4"/>
  <c r="B87" i="4"/>
  <c r="P86" i="4"/>
  <c r="O86" i="4"/>
  <c r="N86" i="4"/>
  <c r="M86" i="4"/>
  <c r="L86" i="4"/>
  <c r="K86" i="4"/>
  <c r="J86" i="4"/>
  <c r="I86" i="4"/>
  <c r="H86" i="4"/>
  <c r="G86" i="4"/>
  <c r="F86" i="4"/>
  <c r="E86" i="4"/>
  <c r="D86" i="4"/>
  <c r="C86" i="4"/>
  <c r="B86" i="4"/>
  <c r="P85" i="4"/>
  <c r="O85" i="4"/>
  <c r="N85" i="4"/>
  <c r="M85" i="4"/>
  <c r="L85" i="4"/>
  <c r="K85" i="4"/>
  <c r="J85" i="4"/>
  <c r="I85" i="4"/>
  <c r="H85" i="4"/>
  <c r="G85" i="4"/>
  <c r="F85" i="4"/>
  <c r="E85" i="4"/>
  <c r="D85" i="4"/>
  <c r="C85" i="4"/>
  <c r="B85" i="4"/>
  <c r="P84" i="4"/>
  <c r="O84" i="4"/>
  <c r="N84" i="4"/>
  <c r="M84" i="4"/>
  <c r="L84" i="4"/>
  <c r="K84" i="4"/>
  <c r="J84" i="4"/>
  <c r="I84" i="4"/>
  <c r="H84" i="4"/>
  <c r="G84" i="4"/>
  <c r="F84" i="4"/>
  <c r="E84" i="4"/>
  <c r="D84" i="4"/>
  <c r="C84" i="4"/>
  <c r="B84" i="4"/>
  <c r="P83" i="4"/>
  <c r="O83" i="4"/>
  <c r="N83" i="4"/>
  <c r="M83" i="4"/>
  <c r="L83" i="4"/>
  <c r="K83" i="4"/>
  <c r="J83" i="4"/>
  <c r="I83" i="4"/>
  <c r="H83" i="4"/>
  <c r="G83" i="4"/>
  <c r="F83" i="4"/>
  <c r="E83" i="4"/>
  <c r="D83" i="4"/>
  <c r="C83" i="4"/>
  <c r="B83" i="4"/>
  <c r="P82" i="4"/>
  <c r="O82" i="4"/>
  <c r="N82" i="4"/>
  <c r="M82" i="4"/>
  <c r="L82" i="4"/>
  <c r="K82" i="4"/>
  <c r="J82" i="4"/>
  <c r="I82" i="4"/>
  <c r="H82" i="4"/>
  <c r="G82" i="4"/>
  <c r="F82" i="4"/>
  <c r="E82" i="4"/>
  <c r="D82" i="4"/>
  <c r="C82" i="4"/>
  <c r="B82" i="4"/>
  <c r="P81" i="4"/>
  <c r="O81" i="4"/>
  <c r="N81" i="4"/>
  <c r="M81" i="4"/>
  <c r="L81" i="4"/>
  <c r="K81" i="4"/>
  <c r="J81" i="4"/>
  <c r="I81" i="4"/>
  <c r="H81" i="4"/>
  <c r="G81" i="4"/>
  <c r="F81" i="4"/>
  <c r="E81" i="4"/>
  <c r="D81" i="4"/>
  <c r="C81" i="4"/>
  <c r="B81" i="4"/>
  <c r="P80" i="4"/>
  <c r="O80" i="4"/>
  <c r="N80" i="4"/>
  <c r="M80" i="4"/>
  <c r="L80" i="4"/>
  <c r="K80" i="4"/>
  <c r="J80" i="4"/>
  <c r="I80" i="4"/>
  <c r="H80" i="4"/>
  <c r="G80" i="4"/>
  <c r="F80" i="4"/>
  <c r="E80" i="4"/>
  <c r="D80" i="4"/>
  <c r="C80" i="4"/>
  <c r="B80" i="4"/>
  <c r="P79" i="4"/>
  <c r="O79" i="4"/>
  <c r="N79" i="4"/>
  <c r="M79" i="4"/>
  <c r="L79" i="4"/>
  <c r="K79" i="4"/>
  <c r="J79" i="4"/>
  <c r="I79" i="4"/>
  <c r="H79" i="4"/>
  <c r="G79" i="4"/>
  <c r="F79" i="4"/>
  <c r="E79" i="4"/>
  <c r="D79" i="4"/>
  <c r="C79" i="4"/>
  <c r="B79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B76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B75" i="4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C74" i="4"/>
  <c r="B74" i="4"/>
  <c r="P73" i="4"/>
  <c r="O73" i="4"/>
  <c r="N73" i="4"/>
  <c r="M73" i="4"/>
  <c r="L73" i="4"/>
  <c r="K73" i="4"/>
  <c r="J73" i="4"/>
  <c r="I73" i="4"/>
  <c r="H73" i="4"/>
  <c r="G73" i="4"/>
  <c r="F73" i="4"/>
  <c r="E73" i="4"/>
  <c r="D73" i="4"/>
  <c r="C73" i="4"/>
  <c r="B73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B72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B71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C70" i="4"/>
  <c r="B70" i="4"/>
  <c r="P69" i="4"/>
  <c r="O69" i="4"/>
  <c r="N69" i="4"/>
  <c r="M69" i="4"/>
  <c r="L69" i="4"/>
  <c r="K69" i="4"/>
  <c r="J69" i="4"/>
  <c r="I69" i="4"/>
  <c r="H69" i="4"/>
  <c r="G69" i="4"/>
  <c r="F69" i="4"/>
  <c r="E69" i="4"/>
  <c r="D69" i="4"/>
  <c r="C69" i="4"/>
  <c r="B69" i="4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C68" i="4"/>
  <c r="B68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B67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B66" i="4"/>
  <c r="P65" i="4"/>
  <c r="O65" i="4"/>
  <c r="N65" i="4"/>
  <c r="M65" i="4"/>
  <c r="L65" i="4"/>
  <c r="K65" i="4"/>
  <c r="J65" i="4"/>
  <c r="I65" i="4"/>
  <c r="H65" i="4"/>
  <c r="G65" i="4"/>
  <c r="F65" i="4"/>
  <c r="E65" i="4"/>
  <c r="D65" i="4"/>
  <c r="C65" i="4"/>
  <c r="B65" i="4"/>
  <c r="P64" i="4"/>
  <c r="O64" i="4"/>
  <c r="N64" i="4"/>
  <c r="M64" i="4"/>
  <c r="L64" i="4"/>
  <c r="K64" i="4"/>
  <c r="J64" i="4"/>
  <c r="I64" i="4"/>
  <c r="H64" i="4"/>
  <c r="G64" i="4"/>
  <c r="F64" i="4"/>
  <c r="E64" i="4"/>
  <c r="D64" i="4"/>
  <c r="C64" i="4"/>
  <c r="B64" i="4"/>
  <c r="P63" i="4"/>
  <c r="O63" i="4"/>
  <c r="N63" i="4"/>
  <c r="M63" i="4"/>
  <c r="L63" i="4"/>
  <c r="K63" i="4"/>
  <c r="J63" i="4"/>
  <c r="I63" i="4"/>
  <c r="H63" i="4"/>
  <c r="G63" i="4"/>
  <c r="F63" i="4"/>
  <c r="E63" i="4"/>
  <c r="D63" i="4"/>
  <c r="C63" i="4"/>
  <c r="B63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B62" i="4"/>
  <c r="P61" i="4"/>
  <c r="O61" i="4"/>
  <c r="N61" i="4"/>
  <c r="M61" i="4"/>
  <c r="L61" i="4"/>
  <c r="K61" i="4"/>
  <c r="J61" i="4"/>
  <c r="I61" i="4"/>
  <c r="H61" i="4"/>
  <c r="G61" i="4"/>
  <c r="F61" i="4"/>
  <c r="E61" i="4"/>
  <c r="D61" i="4"/>
  <c r="C61" i="4"/>
  <c r="B61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C60" i="4"/>
  <c r="B60" i="4"/>
  <c r="P59" i="4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B59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B58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B57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B56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B55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B54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B53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B52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B51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B4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B3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B2" i="4"/>
  <c r="P1" i="4"/>
  <c r="O1" i="4"/>
  <c r="N1" i="4"/>
  <c r="M1" i="4"/>
  <c r="L1" i="4"/>
  <c r="K1" i="4"/>
  <c r="J1" i="4"/>
  <c r="I1" i="4"/>
  <c r="H1" i="4"/>
  <c r="G1" i="4"/>
  <c r="F1" i="4"/>
  <c r="E1" i="4"/>
  <c r="D1" i="4"/>
  <c r="C1" i="4"/>
  <c r="B1" i="4"/>
  <c r="B3223" i="3"/>
  <c r="B3222" i="3"/>
  <c r="B3221" i="3"/>
  <c r="B3220" i="3"/>
  <c r="B3219" i="3"/>
  <c r="B3218" i="3"/>
  <c r="B3217" i="3"/>
  <c r="B3216" i="3"/>
  <c r="B3215" i="3"/>
  <c r="B3214" i="3"/>
  <c r="B3213" i="3"/>
  <c r="B3212" i="3"/>
  <c r="B3211" i="3"/>
  <c r="B3210" i="3"/>
  <c r="B3209" i="3"/>
  <c r="B3208" i="3"/>
  <c r="B3207" i="3"/>
  <c r="B3206" i="3"/>
  <c r="B3205" i="3"/>
  <c r="B3204" i="3"/>
  <c r="B3203" i="3"/>
  <c r="B3202" i="3"/>
  <c r="B3201" i="3"/>
  <c r="B3200" i="3"/>
  <c r="B3199" i="3"/>
  <c r="B3198" i="3"/>
  <c r="B3197" i="3"/>
  <c r="B3196" i="3"/>
  <c r="B3195" i="3"/>
  <c r="B3194" i="3"/>
  <c r="B3193" i="3"/>
  <c r="B3192" i="3"/>
  <c r="B3191" i="3"/>
  <c r="B3190" i="3"/>
  <c r="B3189" i="3"/>
  <c r="B3188" i="3"/>
  <c r="B3187" i="3"/>
  <c r="B3186" i="3"/>
  <c r="B3185" i="3"/>
  <c r="B3184" i="3"/>
  <c r="B3183" i="3"/>
  <c r="B3182" i="3"/>
  <c r="B3181" i="3"/>
  <c r="B3180" i="3"/>
  <c r="B3179" i="3"/>
  <c r="B3178" i="3"/>
  <c r="B3177" i="3"/>
  <c r="B3176" i="3"/>
  <c r="B3175" i="3"/>
  <c r="B3174" i="3"/>
  <c r="B3173" i="3"/>
  <c r="B3172" i="3"/>
  <c r="B3171" i="3"/>
  <c r="B3170" i="3"/>
  <c r="B3169" i="3"/>
  <c r="B3168" i="3"/>
  <c r="B3167" i="3"/>
  <c r="B3166" i="3"/>
  <c r="B3165" i="3"/>
  <c r="B3164" i="3"/>
  <c r="B3163" i="3"/>
  <c r="B3162" i="3"/>
  <c r="B3161" i="3"/>
  <c r="B3160" i="3"/>
  <c r="B3159" i="3"/>
  <c r="B3158" i="3"/>
  <c r="B3157" i="3"/>
  <c r="B3156" i="3"/>
  <c r="B3155" i="3"/>
  <c r="B3154" i="3"/>
  <c r="B3153" i="3"/>
  <c r="B3152" i="3"/>
  <c r="B3151" i="3"/>
  <c r="B3150" i="3"/>
  <c r="B3149" i="3"/>
  <c r="B3148" i="3"/>
  <c r="B3147" i="3"/>
  <c r="B3146" i="3"/>
  <c r="B3145" i="3"/>
  <c r="B3144" i="3"/>
  <c r="B3143" i="3"/>
  <c r="B3142" i="3"/>
  <c r="B3141" i="3"/>
  <c r="B3140" i="3"/>
  <c r="B3139" i="3"/>
  <c r="B3138" i="3"/>
  <c r="B3137" i="3"/>
  <c r="B3136" i="3"/>
  <c r="B3135" i="3"/>
  <c r="B3134" i="3"/>
  <c r="B3133" i="3"/>
  <c r="B3132" i="3"/>
  <c r="B3131" i="3"/>
  <c r="B3130" i="3"/>
  <c r="B3129" i="3"/>
  <c r="B3128" i="3"/>
  <c r="B3127" i="3"/>
  <c r="B3126" i="3"/>
  <c r="B3125" i="3"/>
  <c r="B3124" i="3"/>
  <c r="B3123" i="3"/>
  <c r="B3122" i="3"/>
  <c r="B3121" i="3"/>
  <c r="B3120" i="3"/>
  <c r="B3119" i="3"/>
  <c r="B3118" i="3"/>
  <c r="B3117" i="3"/>
  <c r="B3116" i="3"/>
  <c r="B3115" i="3"/>
  <c r="B3114" i="3"/>
  <c r="B3113" i="3"/>
  <c r="B3112" i="3"/>
  <c r="B3111" i="3"/>
  <c r="B3110" i="3"/>
  <c r="B3109" i="3"/>
  <c r="B3108" i="3"/>
  <c r="B3107" i="3"/>
  <c r="B3106" i="3"/>
  <c r="B3105" i="3"/>
  <c r="B3104" i="3"/>
  <c r="B3103" i="3"/>
  <c r="B3102" i="3"/>
  <c r="B3101" i="3"/>
  <c r="B3100" i="3"/>
  <c r="B3099" i="3"/>
  <c r="B3098" i="3"/>
  <c r="B3097" i="3"/>
  <c r="B3096" i="3"/>
  <c r="B3095" i="3"/>
  <c r="B3094" i="3"/>
  <c r="B3093" i="3"/>
  <c r="B3092" i="3"/>
  <c r="B3091" i="3"/>
  <c r="B3090" i="3"/>
  <c r="B3089" i="3"/>
  <c r="B3088" i="3"/>
  <c r="B3087" i="3"/>
  <c r="B3086" i="3"/>
  <c r="B3085" i="3"/>
  <c r="B3084" i="3"/>
  <c r="B3083" i="3"/>
  <c r="B3082" i="3"/>
  <c r="B3081" i="3"/>
  <c r="B3080" i="3"/>
  <c r="B3079" i="3"/>
  <c r="B3078" i="3"/>
  <c r="B3077" i="3"/>
  <c r="B3076" i="3"/>
  <c r="B3075" i="3"/>
  <c r="B3074" i="3"/>
  <c r="B3073" i="3"/>
  <c r="B3072" i="3"/>
  <c r="B3071" i="3"/>
  <c r="B3070" i="3"/>
  <c r="B3069" i="3"/>
  <c r="B3068" i="3"/>
  <c r="B3067" i="3"/>
  <c r="B3066" i="3"/>
  <c r="B3065" i="3"/>
  <c r="B3064" i="3"/>
  <c r="B3063" i="3"/>
  <c r="B3062" i="3"/>
  <c r="B3061" i="3"/>
  <c r="B3060" i="3"/>
  <c r="B3059" i="3"/>
  <c r="B3058" i="3"/>
  <c r="B3057" i="3"/>
  <c r="B3056" i="3"/>
  <c r="B3055" i="3"/>
  <c r="B3054" i="3"/>
  <c r="B3053" i="3"/>
  <c r="B3052" i="3"/>
  <c r="B3051" i="3"/>
  <c r="B3050" i="3"/>
  <c r="B3049" i="3"/>
  <c r="B3048" i="3"/>
  <c r="B3047" i="3"/>
  <c r="B3046" i="3"/>
  <c r="B3045" i="3"/>
  <c r="B3044" i="3"/>
  <c r="B3043" i="3"/>
  <c r="B3042" i="3"/>
  <c r="B3041" i="3"/>
  <c r="B3040" i="3"/>
  <c r="B3039" i="3"/>
  <c r="B3038" i="3"/>
  <c r="B3037" i="3"/>
  <c r="B3036" i="3"/>
  <c r="B3035" i="3"/>
  <c r="B3034" i="3"/>
  <c r="B3033" i="3"/>
  <c r="B3032" i="3"/>
  <c r="B3031" i="3"/>
  <c r="B3030" i="3"/>
  <c r="B3029" i="3"/>
  <c r="B3028" i="3"/>
  <c r="B3027" i="3"/>
  <c r="B3026" i="3"/>
  <c r="B3025" i="3"/>
  <c r="B3024" i="3"/>
  <c r="B3023" i="3"/>
  <c r="B3022" i="3"/>
  <c r="B3021" i="3"/>
  <c r="B3020" i="3"/>
  <c r="B3019" i="3"/>
  <c r="B3018" i="3"/>
  <c r="B3017" i="3"/>
  <c r="B3016" i="3"/>
  <c r="B3015" i="3"/>
  <c r="B3014" i="3"/>
  <c r="B3013" i="3"/>
  <c r="B3012" i="3"/>
  <c r="B3011" i="3"/>
  <c r="B3010" i="3"/>
  <c r="B3009" i="3"/>
  <c r="B3008" i="3"/>
  <c r="B3007" i="3"/>
  <c r="B3006" i="3"/>
  <c r="B3005" i="3"/>
  <c r="B3004" i="3"/>
  <c r="B3003" i="3"/>
  <c r="B3002" i="3"/>
  <c r="B3001" i="3"/>
  <c r="B3000" i="3"/>
  <c r="B2999" i="3"/>
  <c r="B2998" i="3"/>
  <c r="B2997" i="3"/>
  <c r="B2996" i="3"/>
  <c r="B2995" i="3"/>
  <c r="B2994" i="3"/>
  <c r="B2993" i="3"/>
  <c r="B2992" i="3"/>
  <c r="B2991" i="3"/>
  <c r="B2990" i="3"/>
  <c r="B2989" i="3"/>
  <c r="B2988" i="3"/>
  <c r="B2987" i="3"/>
  <c r="B2986" i="3"/>
  <c r="B2985" i="3"/>
  <c r="B2984" i="3"/>
  <c r="B2983" i="3"/>
  <c r="B2982" i="3"/>
  <c r="B2981" i="3"/>
  <c r="B2980" i="3"/>
  <c r="B2979" i="3"/>
  <c r="B2978" i="3"/>
  <c r="B2977" i="3"/>
  <c r="B2976" i="3"/>
  <c r="B2975" i="3"/>
  <c r="B2974" i="3"/>
  <c r="B2973" i="3"/>
  <c r="B2972" i="3"/>
  <c r="B2971" i="3"/>
  <c r="B2970" i="3"/>
  <c r="B2969" i="3"/>
  <c r="B2968" i="3"/>
  <c r="B2967" i="3"/>
  <c r="B2966" i="3"/>
  <c r="B2965" i="3"/>
  <c r="B2964" i="3"/>
  <c r="B2963" i="3"/>
  <c r="B2962" i="3"/>
  <c r="B2961" i="3"/>
  <c r="B2960" i="3"/>
  <c r="B2959" i="3"/>
  <c r="B2958" i="3"/>
  <c r="B2957" i="3"/>
  <c r="B2956" i="3"/>
  <c r="B2955" i="3"/>
  <c r="B2954" i="3"/>
  <c r="B2953" i="3"/>
  <c r="B2952" i="3"/>
  <c r="B2951" i="3"/>
  <c r="B2950" i="3"/>
  <c r="B2949" i="3"/>
  <c r="B2948" i="3"/>
  <c r="B2947" i="3"/>
  <c r="B2946" i="3"/>
  <c r="B2945" i="3"/>
  <c r="B2944" i="3"/>
  <c r="B2943" i="3"/>
  <c r="B2942" i="3"/>
  <c r="B2941" i="3"/>
  <c r="B2940" i="3"/>
  <c r="B2939" i="3"/>
  <c r="B2938" i="3"/>
  <c r="B2937" i="3"/>
  <c r="B2936" i="3"/>
  <c r="B2935" i="3"/>
  <c r="B2934" i="3"/>
  <c r="B2933" i="3"/>
  <c r="B2932" i="3"/>
  <c r="B2931" i="3"/>
  <c r="B2930" i="3"/>
  <c r="B2929" i="3"/>
  <c r="B2928" i="3"/>
  <c r="B2927" i="3"/>
  <c r="B2926" i="3"/>
  <c r="B2925" i="3"/>
  <c r="B2924" i="3"/>
  <c r="B2923" i="3"/>
  <c r="B2922" i="3"/>
  <c r="B2921" i="3"/>
  <c r="B2920" i="3"/>
  <c r="B2919" i="3"/>
  <c r="B2918" i="3"/>
  <c r="B2917" i="3"/>
  <c r="B2916" i="3"/>
  <c r="B2915" i="3"/>
  <c r="B2914" i="3"/>
  <c r="B2913" i="3"/>
  <c r="B2912" i="3"/>
  <c r="B2911" i="3"/>
  <c r="B2910" i="3"/>
  <c r="B2909" i="3"/>
  <c r="B2908" i="3"/>
  <c r="B2907" i="3"/>
  <c r="B2906" i="3"/>
  <c r="B2905" i="3"/>
  <c r="B2904" i="3"/>
  <c r="B2903" i="3"/>
  <c r="B2902" i="3"/>
  <c r="B2901" i="3"/>
  <c r="B2900" i="3"/>
  <c r="B2899" i="3"/>
  <c r="B2898" i="3"/>
  <c r="B2897" i="3"/>
  <c r="B2896" i="3"/>
  <c r="B2895" i="3"/>
  <c r="B2894" i="3"/>
  <c r="B2893" i="3"/>
  <c r="B2892" i="3"/>
  <c r="B2891" i="3"/>
  <c r="B2890" i="3"/>
  <c r="B2889" i="3"/>
  <c r="B2888" i="3"/>
  <c r="B2887" i="3"/>
  <c r="B2886" i="3"/>
  <c r="B2885" i="3"/>
  <c r="B2884" i="3"/>
  <c r="B2883" i="3"/>
  <c r="B2882" i="3"/>
  <c r="B2881" i="3"/>
  <c r="B2880" i="3"/>
  <c r="B2879" i="3"/>
  <c r="B2878" i="3"/>
  <c r="B2877" i="3"/>
  <c r="B2876" i="3"/>
  <c r="B2875" i="3"/>
  <c r="B2874" i="3"/>
  <c r="B2873" i="3"/>
  <c r="B2872" i="3"/>
  <c r="B2871" i="3"/>
  <c r="B2870" i="3"/>
  <c r="B2869" i="3"/>
  <c r="B2868" i="3"/>
  <c r="B2867" i="3"/>
  <c r="B2866" i="3"/>
  <c r="B2865" i="3"/>
  <c r="B2864" i="3"/>
  <c r="B2863" i="3"/>
  <c r="B2862" i="3"/>
  <c r="B2861" i="3"/>
  <c r="B2860" i="3"/>
  <c r="B2859" i="3"/>
  <c r="B2858" i="3"/>
  <c r="B2857" i="3"/>
  <c r="B2856" i="3"/>
  <c r="B2855" i="3"/>
  <c r="B2854" i="3"/>
  <c r="B2853" i="3"/>
  <c r="B2852" i="3"/>
  <c r="B2851" i="3"/>
  <c r="B2850" i="3"/>
  <c r="B2849" i="3"/>
  <c r="B2848" i="3"/>
  <c r="B2847" i="3"/>
  <c r="B2846" i="3"/>
  <c r="B2845" i="3"/>
  <c r="B2844" i="3"/>
  <c r="B2843" i="3"/>
  <c r="B2842" i="3"/>
  <c r="B2841" i="3"/>
  <c r="B2840" i="3"/>
  <c r="B2839" i="3"/>
  <c r="B2838" i="3"/>
  <c r="B2837" i="3"/>
  <c r="B2836" i="3"/>
  <c r="B2835" i="3"/>
  <c r="B2834" i="3"/>
  <c r="B2833" i="3"/>
  <c r="B2832" i="3"/>
  <c r="B2831" i="3"/>
  <c r="B2830" i="3"/>
  <c r="B2829" i="3"/>
  <c r="B2828" i="3"/>
  <c r="B2827" i="3"/>
  <c r="B2826" i="3"/>
  <c r="B2825" i="3"/>
  <c r="B2824" i="3"/>
  <c r="B2823" i="3"/>
  <c r="B2822" i="3"/>
  <c r="B2821" i="3"/>
  <c r="B2820" i="3"/>
  <c r="B2819" i="3"/>
  <c r="B2818" i="3"/>
  <c r="B2817" i="3"/>
  <c r="B2816" i="3"/>
  <c r="B2815" i="3"/>
  <c r="B2814" i="3"/>
  <c r="B2813" i="3"/>
  <c r="B2812" i="3"/>
  <c r="B2811" i="3"/>
  <c r="B2810" i="3"/>
  <c r="B2809" i="3"/>
  <c r="B2808" i="3"/>
  <c r="B2807" i="3"/>
  <c r="B2806" i="3"/>
  <c r="B2805" i="3"/>
  <c r="B2804" i="3"/>
  <c r="B2803" i="3"/>
  <c r="B2802" i="3"/>
  <c r="B2801" i="3"/>
  <c r="B2800" i="3"/>
  <c r="B2799" i="3"/>
  <c r="B2798" i="3"/>
  <c r="B2797" i="3"/>
  <c r="B2796" i="3"/>
  <c r="B2795" i="3"/>
  <c r="B2794" i="3"/>
  <c r="B2793" i="3"/>
  <c r="B2792" i="3"/>
  <c r="B2791" i="3"/>
  <c r="B2790" i="3"/>
  <c r="B2789" i="3"/>
  <c r="B2788" i="3"/>
  <c r="B2787" i="3"/>
  <c r="B2786" i="3"/>
  <c r="B2785" i="3"/>
  <c r="B2784" i="3"/>
  <c r="B2783" i="3"/>
  <c r="B2782" i="3"/>
  <c r="B2781" i="3"/>
  <c r="B2780" i="3"/>
  <c r="B2779" i="3"/>
  <c r="B2778" i="3"/>
  <c r="B2777" i="3"/>
  <c r="B2776" i="3"/>
  <c r="B2775" i="3"/>
  <c r="B2774" i="3"/>
  <c r="B2773" i="3"/>
  <c r="B2772" i="3"/>
  <c r="B2771" i="3"/>
  <c r="B2770" i="3"/>
  <c r="B2769" i="3"/>
  <c r="B2768" i="3"/>
  <c r="B2767" i="3"/>
  <c r="B2766" i="3"/>
  <c r="B2765" i="3"/>
  <c r="B2764" i="3"/>
  <c r="B2763" i="3"/>
  <c r="B2762" i="3"/>
  <c r="B2761" i="3"/>
  <c r="B2760" i="3"/>
  <c r="B2759" i="3"/>
  <c r="B2758" i="3"/>
  <c r="B2757" i="3"/>
  <c r="B2756" i="3"/>
  <c r="B2755" i="3"/>
  <c r="B2754" i="3"/>
  <c r="B2753" i="3"/>
  <c r="B2752" i="3"/>
  <c r="B2751" i="3"/>
  <c r="B2750" i="3"/>
  <c r="B2749" i="3"/>
  <c r="B2748" i="3"/>
  <c r="B2747" i="3"/>
  <c r="B2746" i="3"/>
  <c r="B2745" i="3"/>
  <c r="B2744" i="3"/>
  <c r="B2743" i="3"/>
  <c r="B2742" i="3"/>
  <c r="B2741" i="3"/>
  <c r="B2740" i="3"/>
  <c r="B2739" i="3"/>
  <c r="B2738" i="3"/>
  <c r="B2737" i="3"/>
  <c r="B2736" i="3"/>
  <c r="B2735" i="3"/>
  <c r="B2734" i="3"/>
  <c r="B2733" i="3"/>
  <c r="B2732" i="3"/>
  <c r="B2731" i="3"/>
  <c r="B2730" i="3"/>
  <c r="B2729" i="3"/>
  <c r="B2728" i="3"/>
  <c r="B2727" i="3"/>
  <c r="B2726" i="3"/>
  <c r="B2725" i="3"/>
  <c r="B2724" i="3"/>
  <c r="B2723" i="3"/>
  <c r="B2722" i="3"/>
  <c r="B2721" i="3"/>
  <c r="B2720" i="3"/>
  <c r="B2719" i="3"/>
  <c r="B2718" i="3"/>
  <c r="B2717" i="3"/>
  <c r="B2716" i="3"/>
  <c r="B2715" i="3"/>
  <c r="B2714" i="3"/>
  <c r="B2713" i="3"/>
  <c r="B2712" i="3"/>
  <c r="B2711" i="3"/>
  <c r="B2710" i="3"/>
  <c r="B2709" i="3"/>
  <c r="B2708" i="3"/>
  <c r="B2707" i="3"/>
  <c r="B2706" i="3"/>
  <c r="B2705" i="3"/>
  <c r="B2704" i="3"/>
  <c r="B2703" i="3"/>
  <c r="B2702" i="3"/>
  <c r="B2701" i="3"/>
  <c r="B2700" i="3"/>
  <c r="B2699" i="3"/>
  <c r="B2698" i="3"/>
  <c r="B2697" i="3"/>
  <c r="B2696" i="3"/>
  <c r="B2695" i="3"/>
  <c r="B2694" i="3"/>
  <c r="B2693" i="3"/>
  <c r="B2692" i="3"/>
  <c r="B2691" i="3"/>
  <c r="B2690" i="3"/>
  <c r="B2689" i="3"/>
  <c r="B2688" i="3"/>
  <c r="B2687" i="3"/>
  <c r="B2686" i="3"/>
  <c r="B2685" i="3"/>
  <c r="B2684" i="3"/>
  <c r="B2683" i="3"/>
  <c r="B2682" i="3"/>
  <c r="B2681" i="3"/>
  <c r="B2680" i="3"/>
  <c r="B2679" i="3"/>
  <c r="B2678" i="3"/>
  <c r="B2677" i="3"/>
  <c r="B2676" i="3"/>
  <c r="B2675" i="3"/>
  <c r="B2674" i="3"/>
  <c r="B2673" i="3"/>
  <c r="B2672" i="3"/>
  <c r="B2671" i="3"/>
  <c r="B2670" i="3"/>
  <c r="B2669" i="3"/>
  <c r="B2668" i="3"/>
  <c r="B2667" i="3"/>
  <c r="B2666" i="3"/>
  <c r="B2665" i="3"/>
  <c r="B2664" i="3"/>
  <c r="B2663" i="3"/>
  <c r="B2662" i="3"/>
  <c r="B2661" i="3"/>
  <c r="B2660" i="3"/>
  <c r="B2659" i="3"/>
  <c r="B2658" i="3"/>
  <c r="B2657" i="3"/>
  <c r="B2656" i="3"/>
  <c r="B2655" i="3"/>
  <c r="B2654" i="3"/>
  <c r="B2653" i="3"/>
  <c r="B2652" i="3"/>
  <c r="B2651" i="3"/>
  <c r="B2650" i="3"/>
  <c r="B2649" i="3"/>
  <c r="B2648" i="3"/>
  <c r="B2647" i="3"/>
  <c r="B2646" i="3"/>
  <c r="B2645" i="3"/>
  <c r="B2644" i="3"/>
  <c r="B2643" i="3"/>
  <c r="B2642" i="3"/>
  <c r="B2641" i="3"/>
  <c r="B2640" i="3"/>
  <c r="B2639" i="3"/>
  <c r="B2638" i="3"/>
  <c r="B2637" i="3"/>
  <c r="B2636" i="3"/>
  <c r="B2635" i="3"/>
  <c r="B2634" i="3"/>
  <c r="B2633" i="3"/>
  <c r="B2632" i="3"/>
  <c r="B2631" i="3"/>
  <c r="B2630" i="3"/>
  <c r="B2629" i="3"/>
  <c r="B2628" i="3"/>
  <c r="B2627" i="3"/>
  <c r="B2626" i="3"/>
  <c r="B2625" i="3"/>
  <c r="B2624" i="3"/>
  <c r="B2623" i="3"/>
  <c r="B2622" i="3"/>
  <c r="B2621" i="3"/>
  <c r="B2620" i="3"/>
  <c r="B2619" i="3"/>
  <c r="B2618" i="3"/>
  <c r="B2617" i="3"/>
  <c r="B2616" i="3"/>
  <c r="B2615" i="3"/>
  <c r="B2614" i="3"/>
  <c r="B2613" i="3"/>
  <c r="B2612" i="3"/>
  <c r="B2611" i="3"/>
  <c r="B2610" i="3"/>
  <c r="B2609" i="3"/>
  <c r="B2608" i="3"/>
  <c r="B2607" i="3"/>
  <c r="B2606" i="3"/>
  <c r="B2605" i="3"/>
  <c r="B2604" i="3"/>
  <c r="B2603" i="3"/>
  <c r="B2602" i="3"/>
  <c r="B2601" i="3"/>
  <c r="B2600" i="3"/>
  <c r="B2599" i="3"/>
  <c r="B2598" i="3"/>
  <c r="B2597" i="3"/>
  <c r="B2596" i="3"/>
  <c r="B2595" i="3"/>
  <c r="B2594" i="3"/>
  <c r="B2593" i="3"/>
  <c r="B2592" i="3"/>
  <c r="B2591" i="3"/>
  <c r="B2590" i="3"/>
  <c r="B2589" i="3"/>
  <c r="B2588" i="3"/>
  <c r="B2587" i="3"/>
  <c r="B2586" i="3"/>
  <c r="B2585" i="3"/>
  <c r="B2584" i="3"/>
  <c r="B2583" i="3"/>
  <c r="B2582" i="3"/>
  <c r="B2581" i="3"/>
  <c r="B2580" i="3"/>
  <c r="B2579" i="3"/>
  <c r="B2578" i="3"/>
  <c r="B2577" i="3"/>
  <c r="B2576" i="3"/>
  <c r="B2575" i="3"/>
  <c r="B2574" i="3"/>
  <c r="B2573" i="3"/>
  <c r="B2572" i="3"/>
  <c r="B2571" i="3"/>
  <c r="B2570" i="3"/>
  <c r="B2569" i="3"/>
  <c r="B2568" i="3"/>
  <c r="B2567" i="3"/>
  <c r="B2566" i="3"/>
  <c r="B2565" i="3"/>
  <c r="B2564" i="3"/>
  <c r="B2563" i="3"/>
  <c r="B2562" i="3"/>
  <c r="B2561" i="3"/>
  <c r="B2560" i="3"/>
  <c r="B2559" i="3"/>
  <c r="B2558" i="3"/>
  <c r="B2557" i="3"/>
  <c r="B2556" i="3"/>
  <c r="B2555" i="3"/>
  <c r="B2554" i="3"/>
  <c r="B2553" i="3"/>
  <c r="B2552" i="3"/>
  <c r="B2551" i="3"/>
  <c r="B2550" i="3"/>
  <c r="B2549" i="3"/>
  <c r="B2548" i="3"/>
  <c r="B2547" i="3"/>
  <c r="B2546" i="3"/>
  <c r="B2545" i="3"/>
  <c r="B2544" i="3"/>
  <c r="B2543" i="3"/>
  <c r="B2542" i="3"/>
  <c r="B2541" i="3"/>
  <c r="B2540" i="3"/>
  <c r="B2539" i="3"/>
  <c r="B2538" i="3"/>
  <c r="B2537" i="3"/>
  <c r="B2536" i="3"/>
  <c r="B2535" i="3"/>
  <c r="B2534" i="3"/>
  <c r="B2533" i="3"/>
  <c r="B2532" i="3"/>
  <c r="B2531" i="3"/>
  <c r="B2530" i="3"/>
  <c r="B2529" i="3"/>
  <c r="B2528" i="3"/>
  <c r="B2527" i="3"/>
  <c r="B2526" i="3"/>
  <c r="B2525" i="3"/>
  <c r="B2524" i="3"/>
  <c r="B2523" i="3"/>
  <c r="B2522" i="3"/>
  <c r="B2521" i="3"/>
  <c r="B2520" i="3"/>
  <c r="B2519" i="3"/>
  <c r="B2518" i="3"/>
  <c r="B2517" i="3"/>
  <c r="B2516" i="3"/>
  <c r="B2515" i="3"/>
  <c r="B2514" i="3"/>
  <c r="B2513" i="3"/>
  <c r="B2512" i="3"/>
  <c r="B2511" i="3"/>
  <c r="B2510" i="3"/>
  <c r="B2509" i="3"/>
  <c r="B2508" i="3"/>
  <c r="B2507" i="3"/>
  <c r="B2506" i="3"/>
  <c r="B2505" i="3"/>
  <c r="B2504" i="3"/>
  <c r="B2503" i="3"/>
  <c r="B2502" i="3"/>
  <c r="B2501" i="3"/>
  <c r="B2500" i="3"/>
  <c r="B2499" i="3"/>
  <c r="B2498" i="3"/>
  <c r="B2497" i="3"/>
  <c r="B2496" i="3"/>
  <c r="B2495" i="3"/>
  <c r="B2494" i="3"/>
  <c r="B2493" i="3"/>
  <c r="B2492" i="3"/>
  <c r="B2491" i="3"/>
  <c r="B2490" i="3"/>
  <c r="B2489" i="3"/>
  <c r="B2488" i="3"/>
  <c r="B2487" i="3"/>
  <c r="B2486" i="3"/>
  <c r="B2485" i="3"/>
  <c r="B2484" i="3"/>
  <c r="B2483" i="3"/>
  <c r="B2482" i="3"/>
  <c r="B2481" i="3"/>
  <c r="B2480" i="3"/>
  <c r="B2479" i="3"/>
  <c r="B2478" i="3"/>
  <c r="B2477" i="3"/>
  <c r="B2476" i="3"/>
  <c r="B2475" i="3"/>
  <c r="B2474" i="3"/>
  <c r="B2473" i="3"/>
  <c r="B2472" i="3"/>
  <c r="B2471" i="3"/>
  <c r="B2470" i="3"/>
  <c r="B2469" i="3"/>
  <c r="B2468" i="3"/>
  <c r="B2467" i="3"/>
  <c r="B2466" i="3"/>
  <c r="B2465" i="3"/>
  <c r="B2464" i="3"/>
  <c r="B2463" i="3"/>
  <c r="B2462" i="3"/>
  <c r="B2461" i="3"/>
  <c r="B2460" i="3"/>
  <c r="B2459" i="3"/>
  <c r="B2458" i="3"/>
  <c r="B2457" i="3"/>
  <c r="B2456" i="3"/>
  <c r="B2455" i="3"/>
  <c r="B2454" i="3"/>
  <c r="B2453" i="3"/>
  <c r="B2452" i="3"/>
  <c r="B2451" i="3"/>
  <c r="B2450" i="3"/>
  <c r="B2449" i="3"/>
  <c r="B2448" i="3"/>
  <c r="B2447" i="3"/>
  <c r="B2446" i="3"/>
  <c r="B2445" i="3"/>
  <c r="B2444" i="3"/>
  <c r="B2443" i="3"/>
  <c r="B2442" i="3"/>
  <c r="B2441" i="3"/>
  <c r="B2440" i="3"/>
  <c r="B2439" i="3"/>
  <c r="B2438" i="3"/>
  <c r="B2437" i="3"/>
  <c r="B2436" i="3"/>
  <c r="B2435" i="3"/>
  <c r="B2434" i="3"/>
  <c r="B2433" i="3"/>
  <c r="B2432" i="3"/>
  <c r="B2431" i="3"/>
  <c r="B2430" i="3"/>
  <c r="B2429" i="3"/>
  <c r="B2428" i="3"/>
  <c r="B2427" i="3"/>
  <c r="B2426" i="3"/>
  <c r="B2425" i="3"/>
  <c r="B2424" i="3"/>
  <c r="B2423" i="3"/>
  <c r="B2422" i="3"/>
  <c r="B2421" i="3"/>
  <c r="B2420" i="3"/>
  <c r="B2419" i="3"/>
  <c r="B2418" i="3"/>
  <c r="B2417" i="3"/>
  <c r="B2416" i="3"/>
  <c r="B2415" i="3"/>
  <c r="B2414" i="3"/>
  <c r="B2413" i="3"/>
  <c r="B2412" i="3"/>
  <c r="B2411" i="3"/>
  <c r="B2410" i="3"/>
  <c r="B2409" i="3"/>
  <c r="B2408" i="3"/>
  <c r="B2407" i="3"/>
  <c r="B2406" i="3"/>
  <c r="B2405" i="3"/>
  <c r="B2404" i="3"/>
  <c r="B2403" i="3"/>
  <c r="B2402" i="3"/>
  <c r="B2401" i="3"/>
  <c r="B2400" i="3"/>
  <c r="B2399" i="3"/>
  <c r="B2398" i="3"/>
  <c r="B2397" i="3"/>
  <c r="B2396" i="3"/>
  <c r="B2395" i="3"/>
  <c r="B2394" i="3"/>
  <c r="B2393" i="3"/>
  <c r="B2392" i="3"/>
  <c r="B2391" i="3"/>
  <c r="B2390" i="3"/>
  <c r="B2389" i="3"/>
  <c r="B2388" i="3"/>
  <c r="B2387" i="3"/>
  <c r="B2386" i="3"/>
  <c r="B2385" i="3"/>
  <c r="B2384" i="3"/>
  <c r="B2383" i="3"/>
  <c r="B2382" i="3"/>
  <c r="B2381" i="3"/>
  <c r="B2380" i="3"/>
  <c r="B2379" i="3"/>
  <c r="B2378" i="3"/>
  <c r="B2377" i="3"/>
  <c r="B2376" i="3"/>
  <c r="B2375" i="3"/>
  <c r="B2374" i="3"/>
  <c r="B2373" i="3"/>
  <c r="B2372" i="3"/>
  <c r="B2371" i="3"/>
  <c r="B2370" i="3"/>
  <c r="B2369" i="3"/>
  <c r="B2368" i="3"/>
  <c r="B2367" i="3"/>
  <c r="B2366" i="3"/>
  <c r="B2365" i="3"/>
  <c r="B2364" i="3"/>
  <c r="B2363" i="3"/>
  <c r="B2362" i="3"/>
  <c r="B2361" i="3"/>
  <c r="B2360" i="3"/>
  <c r="B2359" i="3"/>
  <c r="B2358" i="3"/>
  <c r="B2357" i="3"/>
  <c r="B2356" i="3"/>
  <c r="B2355" i="3"/>
  <c r="B2354" i="3"/>
  <c r="B2353" i="3"/>
  <c r="B2352" i="3"/>
  <c r="B2351" i="3"/>
  <c r="B2350" i="3"/>
  <c r="B2349" i="3"/>
  <c r="B2348" i="3"/>
  <c r="B2347" i="3"/>
  <c r="B2346" i="3"/>
  <c r="B2345" i="3"/>
  <c r="B2344" i="3"/>
  <c r="B2343" i="3"/>
  <c r="B2342" i="3"/>
  <c r="B2341" i="3"/>
  <c r="B2340" i="3"/>
  <c r="B2339" i="3"/>
  <c r="B2338" i="3"/>
  <c r="B2337" i="3"/>
  <c r="B2336" i="3"/>
  <c r="B2335" i="3"/>
  <c r="B2334" i="3"/>
  <c r="B2333" i="3"/>
  <c r="B2332" i="3"/>
  <c r="B2331" i="3"/>
  <c r="B2330" i="3"/>
  <c r="B2329" i="3"/>
  <c r="B2328" i="3"/>
  <c r="B2327" i="3"/>
  <c r="B2326" i="3"/>
  <c r="B2325" i="3"/>
  <c r="B2324" i="3"/>
  <c r="B2323" i="3"/>
  <c r="B2322" i="3"/>
  <c r="B2321" i="3"/>
  <c r="B2320" i="3"/>
  <c r="B2319" i="3"/>
  <c r="B2318" i="3"/>
  <c r="B2317" i="3"/>
  <c r="B2316" i="3"/>
  <c r="B2315" i="3"/>
  <c r="B2314" i="3"/>
  <c r="B2313" i="3"/>
  <c r="B2312" i="3"/>
  <c r="B2311" i="3"/>
  <c r="B2310" i="3"/>
  <c r="B2309" i="3"/>
  <c r="B2308" i="3"/>
  <c r="B2307" i="3"/>
  <c r="B2306" i="3"/>
  <c r="B2305" i="3"/>
  <c r="B2304" i="3"/>
  <c r="B2303" i="3"/>
  <c r="B2302" i="3"/>
  <c r="B2301" i="3"/>
  <c r="B2300" i="3"/>
  <c r="B2299" i="3"/>
  <c r="B2298" i="3"/>
  <c r="B2297" i="3"/>
  <c r="B2296" i="3"/>
  <c r="B2295" i="3"/>
  <c r="B2294" i="3"/>
  <c r="B2293" i="3"/>
  <c r="B2292" i="3"/>
  <c r="B2291" i="3"/>
  <c r="B2290" i="3"/>
  <c r="B2289" i="3"/>
  <c r="B2288" i="3"/>
  <c r="B2287" i="3"/>
  <c r="B2286" i="3"/>
  <c r="B2285" i="3"/>
  <c r="B2284" i="3"/>
  <c r="B2283" i="3"/>
  <c r="B2282" i="3"/>
  <c r="B2281" i="3"/>
  <c r="B2280" i="3"/>
  <c r="B2279" i="3"/>
  <c r="B2278" i="3"/>
  <c r="B2277" i="3"/>
  <c r="B2276" i="3"/>
  <c r="B2275" i="3"/>
  <c r="B2274" i="3"/>
  <c r="B2273" i="3"/>
  <c r="B2272" i="3"/>
  <c r="B2271" i="3"/>
  <c r="B2270" i="3"/>
  <c r="B2269" i="3"/>
  <c r="B2268" i="3"/>
  <c r="B2267" i="3"/>
  <c r="B2266" i="3"/>
  <c r="B2265" i="3"/>
  <c r="B2264" i="3"/>
  <c r="B2263" i="3"/>
  <c r="B2262" i="3"/>
  <c r="B2261" i="3"/>
  <c r="B2260" i="3"/>
  <c r="B2259" i="3"/>
  <c r="B2258" i="3"/>
  <c r="B2257" i="3"/>
  <c r="B2256" i="3"/>
  <c r="B2255" i="3"/>
  <c r="B2254" i="3"/>
  <c r="B2253" i="3"/>
  <c r="B2252" i="3"/>
  <c r="B2251" i="3"/>
  <c r="B2250" i="3"/>
  <c r="B2249" i="3"/>
  <c r="B2248" i="3"/>
  <c r="B2247" i="3"/>
  <c r="B2246" i="3"/>
  <c r="B2245" i="3"/>
  <c r="B2244" i="3"/>
  <c r="B2243" i="3"/>
  <c r="B2242" i="3"/>
  <c r="B2241" i="3"/>
  <c r="B2240" i="3"/>
  <c r="B2239" i="3"/>
  <c r="B2238" i="3"/>
  <c r="B2237" i="3"/>
  <c r="B2236" i="3"/>
  <c r="B2235" i="3"/>
  <c r="B2234" i="3"/>
  <c r="B2233" i="3"/>
  <c r="B2232" i="3"/>
  <c r="B2231" i="3"/>
  <c r="B2230" i="3"/>
  <c r="B2229" i="3"/>
  <c r="B2228" i="3"/>
  <c r="B2227" i="3"/>
  <c r="B2226" i="3"/>
  <c r="B2225" i="3"/>
  <c r="B2224" i="3"/>
  <c r="B2223" i="3"/>
  <c r="B2222" i="3"/>
  <c r="B2221" i="3"/>
  <c r="B2220" i="3"/>
  <c r="B2219" i="3"/>
  <c r="B2218" i="3"/>
  <c r="B2217" i="3"/>
  <c r="B2216" i="3"/>
  <c r="B2215" i="3"/>
  <c r="B2214" i="3"/>
  <c r="B2213" i="3"/>
  <c r="B2212" i="3"/>
  <c r="B2211" i="3"/>
  <c r="B2210" i="3"/>
  <c r="B2209" i="3"/>
  <c r="B2208" i="3"/>
  <c r="B2207" i="3"/>
  <c r="B2206" i="3"/>
  <c r="B2205" i="3"/>
  <c r="B2204" i="3"/>
  <c r="B2203" i="3"/>
  <c r="B2202" i="3"/>
  <c r="B2201" i="3"/>
  <c r="B2200" i="3"/>
  <c r="B2199" i="3"/>
  <c r="B2198" i="3"/>
  <c r="B2197" i="3"/>
  <c r="B2196" i="3"/>
  <c r="B2195" i="3"/>
  <c r="B2194" i="3"/>
  <c r="B2193" i="3"/>
  <c r="B2192" i="3"/>
  <c r="B2191" i="3"/>
  <c r="B2190" i="3"/>
  <c r="B2189" i="3"/>
  <c r="B2188" i="3"/>
  <c r="B2187" i="3"/>
  <c r="B2186" i="3"/>
  <c r="B2185" i="3"/>
  <c r="B2184" i="3"/>
  <c r="B2183" i="3"/>
  <c r="B2182" i="3"/>
  <c r="B2181" i="3"/>
  <c r="B2180" i="3"/>
  <c r="B2179" i="3"/>
  <c r="B2178" i="3"/>
  <c r="B2177" i="3"/>
  <c r="B2176" i="3"/>
  <c r="B2175" i="3"/>
  <c r="B2174" i="3"/>
  <c r="B2173" i="3"/>
  <c r="B2172" i="3"/>
  <c r="B2171" i="3"/>
  <c r="B2170" i="3"/>
  <c r="B2169" i="3"/>
  <c r="B2168" i="3"/>
  <c r="B2167" i="3"/>
  <c r="B2166" i="3"/>
  <c r="B2165" i="3"/>
  <c r="B2164" i="3"/>
  <c r="B2163" i="3"/>
  <c r="B2162" i="3"/>
  <c r="B2161" i="3"/>
  <c r="B2160" i="3"/>
  <c r="B2159" i="3"/>
  <c r="B2158" i="3"/>
  <c r="B2157" i="3"/>
  <c r="B2156" i="3"/>
  <c r="B2155" i="3"/>
  <c r="B2154" i="3"/>
  <c r="B2153" i="3"/>
  <c r="B2152" i="3"/>
  <c r="B2151" i="3"/>
  <c r="B2150" i="3"/>
  <c r="B2149" i="3"/>
  <c r="B2148" i="3"/>
  <c r="B2147" i="3"/>
  <c r="B2146" i="3"/>
  <c r="B2145" i="3"/>
  <c r="B2144" i="3"/>
  <c r="B2143" i="3"/>
  <c r="B2142" i="3"/>
  <c r="B2141" i="3"/>
  <c r="B2140" i="3"/>
  <c r="B2139" i="3"/>
  <c r="B2138" i="3"/>
  <c r="B2137" i="3"/>
  <c r="B2136" i="3"/>
  <c r="B2135" i="3"/>
  <c r="B2134" i="3"/>
  <c r="B2133" i="3"/>
  <c r="B2132" i="3"/>
  <c r="B2131" i="3"/>
  <c r="B2130" i="3"/>
  <c r="B2129" i="3"/>
  <c r="B2128" i="3"/>
  <c r="B2127" i="3"/>
  <c r="B2126" i="3"/>
  <c r="B2125" i="3"/>
  <c r="B2124" i="3"/>
  <c r="B2123" i="3"/>
  <c r="B2122" i="3"/>
  <c r="B2121" i="3"/>
  <c r="B2120" i="3"/>
  <c r="B2119" i="3"/>
  <c r="B2118" i="3"/>
  <c r="B2117" i="3"/>
  <c r="B2116" i="3"/>
  <c r="B2115" i="3"/>
  <c r="B2114" i="3"/>
  <c r="B2113" i="3"/>
  <c r="B2112" i="3"/>
  <c r="B2111" i="3"/>
  <c r="B2110" i="3"/>
  <c r="B2109" i="3"/>
  <c r="B2108" i="3"/>
  <c r="B2107" i="3"/>
  <c r="B2106" i="3"/>
  <c r="B2105" i="3"/>
  <c r="B2104" i="3"/>
  <c r="B2103" i="3"/>
  <c r="B2102" i="3"/>
  <c r="B2101" i="3"/>
  <c r="B2100" i="3"/>
  <c r="B2099" i="3"/>
  <c r="B2098" i="3"/>
  <c r="B2097" i="3"/>
  <c r="B2096" i="3"/>
  <c r="B2095" i="3"/>
  <c r="B2094" i="3"/>
  <c r="B2093" i="3"/>
  <c r="B2092" i="3"/>
  <c r="B2091" i="3"/>
  <c r="B2090" i="3"/>
  <c r="B2089" i="3"/>
  <c r="B2088" i="3"/>
  <c r="B2087" i="3"/>
  <c r="B2086" i="3"/>
  <c r="B2085" i="3"/>
  <c r="B2084" i="3"/>
  <c r="B2083" i="3"/>
  <c r="B2082" i="3"/>
  <c r="B2081" i="3"/>
  <c r="B2080" i="3"/>
  <c r="B2079" i="3"/>
  <c r="B2078" i="3"/>
  <c r="B2077" i="3"/>
  <c r="B2076" i="3"/>
  <c r="B2075" i="3"/>
  <c r="B2074" i="3"/>
  <c r="B2073" i="3"/>
  <c r="B2072" i="3"/>
  <c r="B2071" i="3"/>
  <c r="B2070" i="3"/>
  <c r="B2069" i="3"/>
  <c r="B2068" i="3"/>
  <c r="B2067" i="3"/>
  <c r="B2066" i="3"/>
  <c r="B2065" i="3"/>
  <c r="B2064" i="3"/>
  <c r="B2063" i="3"/>
  <c r="B2062" i="3"/>
  <c r="B2061" i="3"/>
  <c r="B2060" i="3"/>
  <c r="B2059" i="3"/>
  <c r="B2058" i="3"/>
  <c r="B2057" i="3"/>
  <c r="B2056" i="3"/>
  <c r="B2055" i="3"/>
  <c r="B2054" i="3"/>
  <c r="B2053" i="3"/>
  <c r="B2052" i="3"/>
  <c r="B2051" i="3"/>
  <c r="B2050" i="3"/>
  <c r="B2049" i="3"/>
  <c r="B2048" i="3"/>
  <c r="B2047" i="3"/>
  <c r="B2046" i="3"/>
  <c r="B2045" i="3"/>
  <c r="B2044" i="3"/>
  <c r="B2043" i="3"/>
  <c r="B2042" i="3"/>
  <c r="B2041" i="3"/>
  <c r="B2040" i="3"/>
  <c r="B2039" i="3"/>
  <c r="B2038" i="3"/>
  <c r="B2037" i="3"/>
  <c r="B2036" i="3"/>
  <c r="B2035" i="3"/>
  <c r="B2034" i="3"/>
  <c r="B2033" i="3"/>
  <c r="B2032" i="3"/>
  <c r="B2031" i="3"/>
  <c r="B2030" i="3"/>
  <c r="B2029" i="3"/>
  <c r="B2028" i="3"/>
  <c r="B2027" i="3"/>
  <c r="B2026" i="3"/>
  <c r="B2025" i="3"/>
  <c r="B2024" i="3"/>
  <c r="B2023" i="3"/>
  <c r="B2022" i="3"/>
  <c r="B2021" i="3"/>
  <c r="B2020" i="3"/>
  <c r="B2019" i="3"/>
  <c r="B2018" i="3"/>
  <c r="B2017" i="3"/>
  <c r="B2016" i="3"/>
  <c r="B2015" i="3"/>
  <c r="B2014" i="3"/>
  <c r="B2013" i="3"/>
  <c r="B2012" i="3"/>
  <c r="B2011" i="3"/>
  <c r="B2010" i="3"/>
  <c r="B2009" i="3"/>
  <c r="B2008" i="3"/>
  <c r="B2007" i="3"/>
  <c r="B2006" i="3"/>
  <c r="B2005" i="3"/>
  <c r="B2004" i="3"/>
  <c r="B2003" i="3"/>
  <c r="B2002" i="3"/>
  <c r="B2001" i="3"/>
  <c r="B2000" i="3"/>
  <c r="B1999" i="3"/>
  <c r="B1998" i="3"/>
  <c r="B1997" i="3"/>
  <c r="B1996" i="3"/>
  <c r="B1995" i="3"/>
  <c r="B1994" i="3"/>
  <c r="B1993" i="3"/>
  <c r="B1992" i="3"/>
  <c r="B1991" i="3"/>
  <c r="B1990" i="3"/>
  <c r="B1989" i="3"/>
  <c r="B1988" i="3"/>
  <c r="B1987" i="3"/>
  <c r="B1986" i="3"/>
  <c r="B1985" i="3"/>
  <c r="B1984" i="3"/>
  <c r="B1983" i="3"/>
  <c r="B1982" i="3"/>
  <c r="B1981" i="3"/>
  <c r="B1980" i="3"/>
  <c r="B1979" i="3"/>
  <c r="B1978" i="3"/>
  <c r="B1977" i="3"/>
  <c r="B1976" i="3"/>
  <c r="B1975" i="3"/>
  <c r="B1974" i="3"/>
  <c r="B1973" i="3"/>
  <c r="B1972" i="3"/>
  <c r="B1971" i="3"/>
  <c r="B1970" i="3"/>
  <c r="B1969" i="3"/>
  <c r="B1968" i="3"/>
  <c r="B1967" i="3"/>
  <c r="B1966" i="3"/>
  <c r="B1965" i="3"/>
  <c r="B1964" i="3"/>
  <c r="B1963" i="3"/>
  <c r="B1962" i="3"/>
  <c r="B1961" i="3"/>
  <c r="B1960" i="3"/>
  <c r="B1959" i="3"/>
  <c r="B1958" i="3"/>
  <c r="B1957" i="3"/>
  <c r="B1956" i="3"/>
  <c r="B1955" i="3"/>
  <c r="B1954" i="3"/>
  <c r="B1953" i="3"/>
  <c r="B1952" i="3"/>
  <c r="B1951" i="3"/>
  <c r="B1950" i="3"/>
  <c r="B1949" i="3"/>
  <c r="B1948" i="3"/>
  <c r="B1947" i="3"/>
  <c r="B1946" i="3"/>
  <c r="B1945" i="3"/>
  <c r="B1944" i="3"/>
  <c r="B1943" i="3"/>
  <c r="B1942" i="3"/>
  <c r="B1941" i="3"/>
  <c r="B1940" i="3"/>
  <c r="B1939" i="3"/>
  <c r="B1938" i="3"/>
  <c r="B1937" i="3"/>
  <c r="B1936" i="3"/>
  <c r="B1935" i="3"/>
  <c r="B1934" i="3"/>
  <c r="B1933" i="3"/>
  <c r="B1932" i="3"/>
  <c r="B1931" i="3"/>
  <c r="B1930" i="3"/>
  <c r="B1929" i="3"/>
  <c r="B1928" i="3"/>
  <c r="B1927" i="3"/>
  <c r="B1926" i="3"/>
  <c r="B1925" i="3"/>
  <c r="B1924" i="3"/>
  <c r="B1923" i="3"/>
  <c r="B1922" i="3"/>
  <c r="B1921" i="3"/>
  <c r="B1920" i="3"/>
  <c r="B1919" i="3"/>
  <c r="B1918" i="3"/>
  <c r="B1917" i="3"/>
  <c r="B1916" i="3"/>
  <c r="B1915" i="3"/>
  <c r="B1914" i="3"/>
  <c r="B1913" i="3"/>
  <c r="B1912" i="3"/>
  <c r="B1911" i="3"/>
  <c r="B1910" i="3"/>
  <c r="B1909" i="3"/>
  <c r="B1908" i="3"/>
  <c r="B1907" i="3"/>
  <c r="B1906" i="3"/>
  <c r="B1905" i="3"/>
  <c r="B1904" i="3"/>
  <c r="B1903" i="3"/>
  <c r="B1902" i="3"/>
  <c r="B1901" i="3"/>
  <c r="B1900" i="3"/>
  <c r="B1899" i="3"/>
  <c r="B1898" i="3"/>
  <c r="B1897" i="3"/>
  <c r="B1896" i="3"/>
  <c r="B1895" i="3"/>
  <c r="B1894" i="3"/>
  <c r="B1893" i="3"/>
  <c r="B1892" i="3"/>
  <c r="B1891" i="3"/>
  <c r="B1890" i="3"/>
  <c r="B1889" i="3"/>
  <c r="B1888" i="3"/>
  <c r="B1887" i="3"/>
  <c r="B1886" i="3"/>
  <c r="B1885" i="3"/>
  <c r="B1884" i="3"/>
  <c r="B1883" i="3"/>
  <c r="B1882" i="3"/>
  <c r="B1881" i="3"/>
  <c r="B1880" i="3"/>
  <c r="B1879" i="3"/>
  <c r="B1878" i="3"/>
  <c r="B1877" i="3"/>
  <c r="B1876" i="3"/>
  <c r="B1875" i="3"/>
  <c r="B1874" i="3"/>
  <c r="B1873" i="3"/>
  <c r="B1872" i="3"/>
  <c r="B1871" i="3"/>
  <c r="B1870" i="3"/>
  <c r="B1869" i="3"/>
  <c r="B1868" i="3"/>
  <c r="B1867" i="3"/>
  <c r="B1866" i="3"/>
  <c r="B1865" i="3"/>
  <c r="B1864" i="3"/>
  <c r="B1863" i="3"/>
  <c r="B1862" i="3"/>
  <c r="B1861" i="3"/>
  <c r="B1860" i="3"/>
  <c r="B1859" i="3"/>
  <c r="B1858" i="3"/>
  <c r="B1857" i="3"/>
  <c r="B1856" i="3"/>
  <c r="B1855" i="3"/>
  <c r="B1854" i="3"/>
  <c r="B1853" i="3"/>
  <c r="B1852" i="3"/>
  <c r="B1851" i="3"/>
  <c r="B1850" i="3"/>
  <c r="B1849" i="3"/>
  <c r="B1848" i="3"/>
  <c r="B1847" i="3"/>
  <c r="B1846" i="3"/>
  <c r="B1845" i="3"/>
  <c r="B1844" i="3"/>
  <c r="B1843" i="3"/>
  <c r="B1842" i="3"/>
  <c r="B1841" i="3"/>
  <c r="B1840" i="3"/>
  <c r="B1839" i="3"/>
  <c r="B1838" i="3"/>
  <c r="B1837" i="3"/>
  <c r="B1836" i="3"/>
  <c r="B1835" i="3"/>
  <c r="B1834" i="3"/>
  <c r="B1833" i="3"/>
  <c r="B1832" i="3"/>
  <c r="B1831" i="3"/>
  <c r="B1830" i="3"/>
  <c r="B1829" i="3"/>
  <c r="B1828" i="3"/>
  <c r="B1827" i="3"/>
  <c r="B1826" i="3"/>
  <c r="B1825" i="3"/>
  <c r="B1824" i="3"/>
  <c r="B1823" i="3"/>
  <c r="B1822" i="3"/>
  <c r="B1821" i="3"/>
  <c r="B1820" i="3"/>
  <c r="B1819" i="3"/>
  <c r="B1818" i="3"/>
  <c r="B1817" i="3"/>
  <c r="B1816" i="3"/>
  <c r="B1815" i="3"/>
  <c r="B1814" i="3"/>
  <c r="B1813" i="3"/>
  <c r="B1812" i="3"/>
  <c r="B1811" i="3"/>
  <c r="B1810" i="3"/>
  <c r="B1809" i="3"/>
  <c r="B1808" i="3"/>
  <c r="B1807" i="3"/>
  <c r="B1806" i="3"/>
  <c r="B1805" i="3"/>
  <c r="B1804" i="3"/>
  <c r="B1803" i="3"/>
  <c r="B1802" i="3"/>
  <c r="B1801" i="3"/>
  <c r="B1800" i="3"/>
  <c r="B1799" i="3"/>
  <c r="B1798" i="3"/>
  <c r="B1797" i="3"/>
  <c r="B1796" i="3"/>
  <c r="B1795" i="3"/>
  <c r="B1794" i="3"/>
  <c r="B1793" i="3"/>
  <c r="B1792" i="3"/>
  <c r="B1791" i="3"/>
  <c r="B1790" i="3"/>
  <c r="B1789" i="3"/>
  <c r="B1788" i="3"/>
  <c r="B1787" i="3"/>
  <c r="B1786" i="3"/>
  <c r="B1785" i="3"/>
  <c r="B1784" i="3"/>
  <c r="B1783" i="3"/>
  <c r="B1782" i="3"/>
  <c r="B1781" i="3"/>
  <c r="B1780" i="3"/>
  <c r="B1779" i="3"/>
  <c r="B1778" i="3"/>
  <c r="B1777" i="3"/>
  <c r="B1776" i="3"/>
  <c r="B1775" i="3"/>
  <c r="B1774" i="3"/>
  <c r="B1773" i="3"/>
  <c r="B1772" i="3"/>
  <c r="B1771" i="3"/>
  <c r="B1770" i="3"/>
  <c r="B1769" i="3"/>
  <c r="B1768" i="3"/>
  <c r="B1767" i="3"/>
  <c r="B1766" i="3"/>
  <c r="B1765" i="3"/>
  <c r="B1764" i="3"/>
  <c r="B1763" i="3"/>
  <c r="B1762" i="3"/>
  <c r="B1761" i="3"/>
  <c r="B1760" i="3"/>
  <c r="B1759" i="3"/>
  <c r="B1758" i="3"/>
  <c r="B1757" i="3"/>
  <c r="B1756" i="3"/>
  <c r="B1755" i="3"/>
  <c r="B1754" i="3"/>
  <c r="B1753" i="3"/>
  <c r="B1752" i="3"/>
  <c r="B1751" i="3"/>
  <c r="B1750" i="3"/>
  <c r="B1749" i="3"/>
  <c r="B1748" i="3"/>
  <c r="B1747" i="3"/>
  <c r="B1746" i="3"/>
  <c r="B1745" i="3"/>
  <c r="B1744" i="3"/>
  <c r="B1743" i="3"/>
  <c r="B1742" i="3"/>
  <c r="B1741" i="3"/>
  <c r="B1740" i="3"/>
  <c r="B1739" i="3"/>
  <c r="B1738" i="3"/>
  <c r="B1737" i="3"/>
  <c r="B1736" i="3"/>
  <c r="B1735" i="3"/>
  <c r="B1734" i="3"/>
  <c r="B1733" i="3"/>
  <c r="B1732" i="3"/>
  <c r="B1731" i="3"/>
  <c r="B1730" i="3"/>
  <c r="B1729" i="3"/>
  <c r="B1728" i="3"/>
  <c r="B1727" i="3"/>
  <c r="B1726" i="3"/>
  <c r="B1725" i="3"/>
  <c r="B1724" i="3"/>
  <c r="B1723" i="3"/>
  <c r="B1722" i="3"/>
  <c r="B1721" i="3"/>
  <c r="B1720" i="3"/>
  <c r="B1719" i="3"/>
  <c r="B1718" i="3"/>
  <c r="B1717" i="3"/>
  <c r="B1716" i="3"/>
  <c r="B1715" i="3"/>
  <c r="B1714" i="3"/>
  <c r="B1713" i="3"/>
  <c r="B1712" i="3"/>
  <c r="B1711" i="3"/>
  <c r="B1710" i="3"/>
  <c r="B1709" i="3"/>
  <c r="B1708" i="3"/>
  <c r="B1707" i="3"/>
  <c r="B1706" i="3"/>
  <c r="B1705" i="3"/>
  <c r="B1704" i="3"/>
  <c r="B1703" i="3"/>
  <c r="B1702" i="3"/>
  <c r="B1701" i="3"/>
  <c r="B1700" i="3"/>
  <c r="B1699" i="3"/>
  <c r="B1698" i="3"/>
  <c r="B1697" i="3"/>
  <c r="B1696" i="3"/>
  <c r="B1695" i="3"/>
  <c r="B1694" i="3"/>
  <c r="B1693" i="3"/>
  <c r="B1692" i="3"/>
  <c r="B1691" i="3"/>
  <c r="B1690" i="3"/>
  <c r="B1689" i="3"/>
  <c r="B1688" i="3"/>
  <c r="B1687" i="3"/>
  <c r="B1686" i="3"/>
  <c r="B1685" i="3"/>
  <c r="B1684" i="3"/>
  <c r="B1683" i="3"/>
  <c r="B1682" i="3"/>
  <c r="B1681" i="3"/>
  <c r="B1680" i="3"/>
  <c r="B1679" i="3"/>
  <c r="B1678" i="3"/>
  <c r="B1677" i="3"/>
  <c r="B1676" i="3"/>
  <c r="B1675" i="3"/>
  <c r="B1674" i="3"/>
  <c r="B1673" i="3"/>
  <c r="B1672" i="3"/>
  <c r="B1671" i="3"/>
  <c r="B1670" i="3"/>
  <c r="B1669" i="3"/>
  <c r="B1668" i="3"/>
  <c r="B1667" i="3"/>
  <c r="B1666" i="3"/>
  <c r="B1665" i="3"/>
  <c r="B1664" i="3"/>
  <c r="B1663" i="3"/>
  <c r="B1662" i="3"/>
  <c r="B1661" i="3"/>
  <c r="B1660" i="3"/>
  <c r="B1659" i="3"/>
  <c r="B1658" i="3"/>
  <c r="B1657" i="3"/>
  <c r="B1656" i="3"/>
  <c r="B1655" i="3"/>
  <c r="B1654" i="3"/>
  <c r="B1653" i="3"/>
  <c r="B1652" i="3"/>
  <c r="B1651" i="3"/>
  <c r="B1650" i="3"/>
  <c r="B1649" i="3"/>
  <c r="B1648" i="3"/>
  <c r="B1647" i="3"/>
  <c r="B1646" i="3"/>
  <c r="B1645" i="3"/>
  <c r="B1644" i="3"/>
  <c r="B1643" i="3"/>
  <c r="B1642" i="3"/>
  <c r="B1641" i="3"/>
  <c r="B1640" i="3"/>
  <c r="B1639" i="3"/>
  <c r="B1638" i="3"/>
  <c r="B1637" i="3"/>
  <c r="B1636" i="3"/>
  <c r="B1635" i="3"/>
  <c r="B1634" i="3"/>
  <c r="B1633" i="3"/>
  <c r="B1632" i="3"/>
  <c r="B1631" i="3"/>
  <c r="B1630" i="3"/>
  <c r="B1629" i="3"/>
  <c r="B1628" i="3"/>
  <c r="B1627" i="3"/>
  <c r="B1626" i="3"/>
  <c r="B1625" i="3"/>
  <c r="B1624" i="3"/>
  <c r="B1623" i="3"/>
  <c r="B1622" i="3"/>
  <c r="B1621" i="3"/>
  <c r="B1620" i="3"/>
  <c r="B1619" i="3"/>
  <c r="B1618" i="3"/>
  <c r="B1617" i="3"/>
  <c r="B1616" i="3"/>
  <c r="B1615" i="3"/>
  <c r="B1614" i="3"/>
  <c r="B1613" i="3"/>
  <c r="B1612" i="3"/>
  <c r="B1611" i="3"/>
  <c r="B1610" i="3"/>
  <c r="B1609" i="3"/>
  <c r="B1608" i="3"/>
  <c r="B1607" i="3"/>
  <c r="B1606" i="3"/>
  <c r="B1605" i="3"/>
  <c r="B1604" i="3"/>
  <c r="B1603" i="3"/>
  <c r="B1602" i="3"/>
  <c r="B1601" i="3"/>
  <c r="B1600" i="3"/>
  <c r="B1599" i="3"/>
  <c r="B1598" i="3"/>
  <c r="B1597" i="3"/>
  <c r="B1596" i="3"/>
  <c r="B1595" i="3"/>
  <c r="B1594" i="3"/>
  <c r="B1593" i="3"/>
  <c r="B1592" i="3"/>
  <c r="B1591" i="3"/>
  <c r="B1590" i="3"/>
  <c r="B1589" i="3"/>
  <c r="B1588" i="3"/>
  <c r="B1587" i="3"/>
  <c r="B1586" i="3"/>
  <c r="B1585" i="3"/>
  <c r="B1584" i="3"/>
  <c r="B1583" i="3"/>
  <c r="B1582" i="3"/>
  <c r="B1581" i="3"/>
  <c r="B1580" i="3"/>
  <c r="B1579" i="3"/>
  <c r="B1578" i="3"/>
  <c r="B1577" i="3"/>
  <c r="B1576" i="3"/>
  <c r="B1575" i="3"/>
  <c r="B1574" i="3"/>
  <c r="B1573" i="3"/>
  <c r="B1572" i="3"/>
  <c r="B1571" i="3"/>
  <c r="B1570" i="3"/>
  <c r="B1569" i="3"/>
  <c r="B1568" i="3"/>
  <c r="B1567" i="3"/>
  <c r="B1566" i="3"/>
  <c r="B1565" i="3"/>
  <c r="B1564" i="3"/>
  <c r="B1563" i="3"/>
  <c r="B1562" i="3"/>
  <c r="B1561" i="3"/>
  <c r="B1560" i="3"/>
  <c r="B1559" i="3"/>
  <c r="B1558" i="3"/>
  <c r="B1557" i="3"/>
  <c r="B1556" i="3"/>
  <c r="B1555" i="3"/>
  <c r="B1554" i="3"/>
  <c r="B1553" i="3"/>
  <c r="B1552" i="3"/>
  <c r="B1551" i="3"/>
  <c r="B1550" i="3"/>
  <c r="B1549" i="3"/>
  <c r="B1548" i="3"/>
  <c r="B1547" i="3"/>
  <c r="B1546" i="3"/>
  <c r="B1545" i="3"/>
  <c r="B1544" i="3"/>
  <c r="B1543" i="3"/>
  <c r="B1542" i="3"/>
  <c r="B1541" i="3"/>
  <c r="B1540" i="3"/>
  <c r="B1539" i="3"/>
  <c r="B1538" i="3"/>
  <c r="B1537" i="3"/>
  <c r="B1536" i="3"/>
  <c r="B1535" i="3"/>
  <c r="B1534" i="3"/>
  <c r="B1533" i="3"/>
  <c r="B1532" i="3"/>
  <c r="B1531" i="3"/>
  <c r="B1530" i="3"/>
  <c r="B1529" i="3"/>
  <c r="B1528" i="3"/>
  <c r="B1527" i="3"/>
  <c r="B1526" i="3"/>
  <c r="B1525" i="3"/>
  <c r="B1524" i="3"/>
  <c r="B1523" i="3"/>
  <c r="B1522" i="3"/>
  <c r="B1521" i="3"/>
  <c r="B1520" i="3"/>
  <c r="B1519" i="3"/>
  <c r="B1518" i="3"/>
  <c r="B1517" i="3"/>
  <c r="B1516" i="3"/>
  <c r="B1515" i="3"/>
  <c r="B1514" i="3"/>
  <c r="B1513" i="3"/>
  <c r="B1512" i="3"/>
  <c r="B1511" i="3"/>
  <c r="B1510" i="3"/>
  <c r="B1509" i="3"/>
  <c r="B1508" i="3"/>
  <c r="B1507" i="3"/>
  <c r="B1506" i="3"/>
  <c r="B1505" i="3"/>
  <c r="B1504" i="3"/>
  <c r="B1503" i="3"/>
  <c r="B1502" i="3"/>
  <c r="B1501" i="3"/>
  <c r="B1500" i="3"/>
  <c r="B1499" i="3"/>
  <c r="B1498" i="3"/>
  <c r="B1497" i="3"/>
  <c r="B1496" i="3"/>
  <c r="B1495" i="3"/>
  <c r="B1494" i="3"/>
  <c r="B1493" i="3"/>
  <c r="B1492" i="3"/>
  <c r="B1491" i="3"/>
  <c r="B1490" i="3"/>
  <c r="B1489" i="3"/>
  <c r="B1488" i="3"/>
  <c r="B1487" i="3"/>
  <c r="B1486" i="3"/>
  <c r="B1485" i="3"/>
  <c r="B1484" i="3"/>
  <c r="B1483" i="3"/>
  <c r="B1482" i="3"/>
  <c r="B1481" i="3"/>
  <c r="B1480" i="3"/>
  <c r="B1479" i="3"/>
  <c r="B1478" i="3"/>
  <c r="B1477" i="3"/>
  <c r="B1476" i="3"/>
  <c r="B1475" i="3"/>
  <c r="B1474" i="3"/>
  <c r="B1473" i="3"/>
  <c r="B1472" i="3"/>
  <c r="B1471" i="3"/>
  <c r="B1470" i="3"/>
  <c r="B1469" i="3"/>
  <c r="B1468" i="3"/>
  <c r="B1467" i="3"/>
  <c r="B1466" i="3"/>
  <c r="B1465" i="3"/>
  <c r="B1464" i="3"/>
  <c r="B1463" i="3"/>
  <c r="B1462" i="3"/>
  <c r="B1461" i="3"/>
  <c r="B1460" i="3"/>
  <c r="B1459" i="3"/>
  <c r="B1458" i="3"/>
  <c r="B1457" i="3"/>
  <c r="B1456" i="3"/>
  <c r="B1455" i="3"/>
  <c r="B1454" i="3"/>
  <c r="B1453" i="3"/>
  <c r="B1452" i="3"/>
  <c r="B1451" i="3"/>
  <c r="B1450" i="3"/>
  <c r="B1449" i="3"/>
  <c r="B1448" i="3"/>
  <c r="B1447" i="3"/>
  <c r="B1446" i="3"/>
  <c r="B1445" i="3"/>
  <c r="B1444" i="3"/>
  <c r="B1443" i="3"/>
  <c r="B1442" i="3"/>
  <c r="B1441" i="3"/>
  <c r="B1440" i="3"/>
  <c r="B1439" i="3"/>
  <c r="B1438" i="3"/>
  <c r="B1437" i="3"/>
  <c r="B1436" i="3"/>
  <c r="B1435" i="3"/>
  <c r="B1434" i="3"/>
  <c r="B1433" i="3"/>
  <c r="B1432" i="3"/>
  <c r="B1431" i="3"/>
  <c r="B1430" i="3"/>
  <c r="B1429" i="3"/>
  <c r="B1428" i="3"/>
  <c r="B1427" i="3"/>
  <c r="B1426" i="3"/>
  <c r="B1425" i="3"/>
  <c r="B1424" i="3"/>
  <c r="B1423" i="3"/>
  <c r="B1422" i="3"/>
  <c r="B1421" i="3"/>
  <c r="B1420" i="3"/>
  <c r="B1419" i="3"/>
  <c r="B1418" i="3"/>
  <c r="B1417" i="3"/>
  <c r="B1416" i="3"/>
  <c r="B1415" i="3"/>
  <c r="B1414" i="3"/>
  <c r="B1413" i="3"/>
  <c r="B1412" i="3"/>
  <c r="B1411" i="3"/>
  <c r="B1410" i="3"/>
  <c r="B1409" i="3"/>
  <c r="B1408" i="3"/>
  <c r="B1407" i="3"/>
  <c r="B1406" i="3"/>
  <c r="B1405" i="3"/>
  <c r="B1404" i="3"/>
  <c r="B1403" i="3"/>
  <c r="B1402" i="3"/>
  <c r="B1401" i="3"/>
  <c r="B1400" i="3"/>
  <c r="B1399" i="3"/>
  <c r="B1398" i="3"/>
  <c r="B1397" i="3"/>
  <c r="B1396" i="3"/>
  <c r="B1395" i="3"/>
  <c r="B1394" i="3"/>
  <c r="B1393" i="3"/>
  <c r="B1392" i="3"/>
  <c r="B1391" i="3"/>
  <c r="B1390" i="3"/>
  <c r="B1389" i="3"/>
  <c r="B1388" i="3"/>
  <c r="B1387" i="3"/>
  <c r="B1386" i="3"/>
  <c r="B1385" i="3"/>
  <c r="B1384" i="3"/>
  <c r="B1383" i="3"/>
  <c r="B1382" i="3"/>
  <c r="B1381" i="3"/>
  <c r="B1380" i="3"/>
  <c r="B1379" i="3"/>
  <c r="B1378" i="3"/>
  <c r="B1377" i="3"/>
  <c r="B1376" i="3"/>
  <c r="B1375" i="3"/>
  <c r="B1374" i="3"/>
  <c r="B1373" i="3"/>
  <c r="B1372" i="3"/>
  <c r="B1371" i="3"/>
  <c r="B1370" i="3"/>
  <c r="B1369" i="3"/>
  <c r="B1368" i="3"/>
  <c r="B1367" i="3"/>
  <c r="B1366" i="3"/>
  <c r="B1365" i="3"/>
  <c r="B1364" i="3"/>
  <c r="B1363" i="3"/>
  <c r="B1362" i="3"/>
  <c r="B1361" i="3"/>
  <c r="B1360" i="3"/>
  <c r="B1359" i="3"/>
  <c r="B1358" i="3"/>
  <c r="B1357" i="3"/>
  <c r="B1356" i="3"/>
  <c r="B1355" i="3"/>
  <c r="B1354" i="3"/>
  <c r="B1353" i="3"/>
  <c r="B1352" i="3"/>
  <c r="B1351" i="3"/>
  <c r="B1350" i="3"/>
  <c r="B1349" i="3"/>
  <c r="B1348" i="3"/>
  <c r="B1347" i="3"/>
  <c r="B1346" i="3"/>
  <c r="B1345" i="3"/>
  <c r="B1344" i="3"/>
  <c r="B1343" i="3"/>
  <c r="B1342" i="3"/>
  <c r="B1341" i="3"/>
  <c r="B1340" i="3"/>
  <c r="B1339" i="3"/>
  <c r="B1338" i="3"/>
  <c r="B1337" i="3"/>
  <c r="B1336" i="3"/>
  <c r="B1335" i="3"/>
  <c r="B1334" i="3"/>
  <c r="B1333" i="3"/>
  <c r="B1332" i="3"/>
  <c r="B1331" i="3"/>
  <c r="B1330" i="3"/>
  <c r="B1329" i="3"/>
  <c r="B1328" i="3"/>
  <c r="B1327" i="3"/>
  <c r="B1326" i="3"/>
  <c r="B1325" i="3"/>
  <c r="B1324" i="3"/>
  <c r="B1323" i="3"/>
  <c r="B1322" i="3"/>
  <c r="B1321" i="3"/>
  <c r="B1320" i="3"/>
  <c r="B1319" i="3"/>
  <c r="B1318" i="3"/>
  <c r="B1317" i="3"/>
  <c r="B1316" i="3"/>
  <c r="B1315" i="3"/>
  <c r="B1314" i="3"/>
  <c r="B1313" i="3"/>
  <c r="B1312" i="3"/>
  <c r="B1311" i="3"/>
  <c r="B1310" i="3"/>
  <c r="B1309" i="3"/>
  <c r="B1308" i="3"/>
  <c r="B1307" i="3"/>
  <c r="B1306" i="3"/>
  <c r="B1305" i="3"/>
  <c r="B1304" i="3"/>
  <c r="B1303" i="3"/>
  <c r="B1302" i="3"/>
  <c r="B1301" i="3"/>
  <c r="B1300" i="3"/>
  <c r="B1299" i="3"/>
  <c r="B1298" i="3"/>
  <c r="B1297" i="3"/>
  <c r="B1296" i="3"/>
  <c r="B1295" i="3"/>
  <c r="B1294" i="3"/>
  <c r="B1293" i="3"/>
  <c r="B1292" i="3"/>
  <c r="B1291" i="3"/>
  <c r="B1290" i="3"/>
  <c r="B1289" i="3"/>
  <c r="B1288" i="3"/>
  <c r="B1287" i="3"/>
  <c r="B1286" i="3"/>
  <c r="B1285" i="3"/>
  <c r="B1284" i="3"/>
  <c r="B1283" i="3"/>
  <c r="B1282" i="3"/>
  <c r="B1281" i="3"/>
  <c r="B1280" i="3"/>
  <c r="B1279" i="3"/>
  <c r="B1278" i="3"/>
  <c r="B1277" i="3"/>
  <c r="B1276" i="3"/>
  <c r="B1275" i="3"/>
  <c r="B1274" i="3"/>
  <c r="B1273" i="3"/>
  <c r="B1272" i="3"/>
  <c r="B1271" i="3"/>
  <c r="B1270" i="3"/>
  <c r="B1269" i="3"/>
  <c r="B1268" i="3"/>
  <c r="B1267" i="3"/>
  <c r="B1266" i="3"/>
  <c r="B1265" i="3"/>
  <c r="B1264" i="3"/>
  <c r="B1263" i="3"/>
  <c r="B1262" i="3"/>
  <c r="B1261" i="3"/>
  <c r="B1260" i="3"/>
  <c r="B1259" i="3"/>
  <c r="B1258" i="3"/>
  <c r="B1257" i="3"/>
  <c r="B1256" i="3"/>
  <c r="B1255" i="3"/>
  <c r="B1254" i="3"/>
  <c r="B1253" i="3"/>
  <c r="B1252" i="3"/>
  <c r="B1251" i="3"/>
  <c r="B1250" i="3"/>
  <c r="B1249" i="3"/>
  <c r="B1248" i="3"/>
  <c r="B1247" i="3"/>
  <c r="B1246" i="3"/>
  <c r="B1245" i="3"/>
  <c r="B1244" i="3"/>
  <c r="B1243" i="3"/>
  <c r="B1242" i="3"/>
  <c r="B1241" i="3"/>
  <c r="B1240" i="3"/>
  <c r="B1239" i="3"/>
  <c r="B1238" i="3"/>
  <c r="B1237" i="3"/>
  <c r="B1236" i="3"/>
  <c r="B1235" i="3"/>
  <c r="B1234" i="3"/>
  <c r="B1233" i="3"/>
  <c r="B1232" i="3"/>
  <c r="B1231" i="3"/>
  <c r="B1230" i="3"/>
  <c r="B1229" i="3"/>
  <c r="B1228" i="3"/>
  <c r="B1227" i="3"/>
  <c r="B1226" i="3"/>
  <c r="B1225" i="3"/>
  <c r="B1224" i="3"/>
  <c r="B1223" i="3"/>
  <c r="B1222" i="3"/>
  <c r="B1221" i="3"/>
  <c r="B1220" i="3"/>
  <c r="B1219" i="3"/>
  <c r="B1218" i="3"/>
  <c r="B1217" i="3"/>
  <c r="B1216" i="3"/>
  <c r="B1215" i="3"/>
  <c r="B1214" i="3"/>
  <c r="B1213" i="3"/>
  <c r="B1212" i="3"/>
  <c r="B1211" i="3"/>
  <c r="B1210" i="3"/>
  <c r="B1209" i="3"/>
  <c r="B1208" i="3"/>
  <c r="B1207" i="3"/>
  <c r="B1206" i="3"/>
  <c r="B1205" i="3"/>
  <c r="B1204" i="3"/>
  <c r="B1203" i="3"/>
  <c r="B1202" i="3"/>
  <c r="B1201" i="3"/>
  <c r="B1200" i="3"/>
  <c r="B1199" i="3"/>
  <c r="B1198" i="3"/>
  <c r="B1197" i="3"/>
  <c r="B1196" i="3"/>
  <c r="B1195" i="3"/>
  <c r="B1194" i="3"/>
  <c r="B1193" i="3"/>
  <c r="B1192" i="3"/>
  <c r="B1191" i="3"/>
  <c r="B1190" i="3"/>
  <c r="B1189" i="3"/>
  <c r="B1188" i="3"/>
  <c r="B1187" i="3"/>
  <c r="B1186" i="3"/>
  <c r="B1185" i="3"/>
  <c r="B1184" i="3"/>
  <c r="B1183" i="3"/>
  <c r="B1182" i="3"/>
  <c r="B1181" i="3"/>
  <c r="B1180" i="3"/>
  <c r="B1179" i="3"/>
  <c r="B1178" i="3"/>
  <c r="B1177" i="3"/>
  <c r="B1176" i="3"/>
  <c r="B1175" i="3"/>
  <c r="B1174" i="3"/>
  <c r="B1173" i="3"/>
  <c r="B1172" i="3"/>
  <c r="B1171" i="3"/>
  <c r="B1170" i="3"/>
  <c r="B1169" i="3"/>
  <c r="B1168" i="3"/>
  <c r="B1167" i="3"/>
  <c r="B1166" i="3"/>
  <c r="B1165" i="3"/>
  <c r="B1164" i="3"/>
  <c r="B1163" i="3"/>
  <c r="B1162" i="3"/>
  <c r="B1161" i="3"/>
  <c r="B1160" i="3"/>
  <c r="B1159" i="3"/>
  <c r="B1158" i="3"/>
  <c r="B1157" i="3"/>
  <c r="B1156" i="3"/>
  <c r="B1155" i="3"/>
  <c r="B1154" i="3"/>
  <c r="B1153" i="3"/>
  <c r="B1152" i="3"/>
  <c r="B1151" i="3"/>
  <c r="B1150" i="3"/>
  <c r="B1149" i="3"/>
  <c r="B1148" i="3"/>
  <c r="B1147" i="3"/>
  <c r="B1146" i="3"/>
  <c r="B1145" i="3"/>
  <c r="B1144" i="3"/>
  <c r="B1143" i="3"/>
  <c r="B1142" i="3"/>
  <c r="B1141" i="3"/>
  <c r="B1140" i="3"/>
  <c r="B1139" i="3"/>
  <c r="B1138" i="3"/>
  <c r="B1137" i="3"/>
  <c r="B1136" i="3"/>
  <c r="B1135" i="3"/>
  <c r="B1134" i="3"/>
  <c r="B1133" i="3"/>
  <c r="B1132" i="3"/>
  <c r="B1131" i="3"/>
  <c r="B1130" i="3"/>
  <c r="B1129" i="3"/>
  <c r="B1128" i="3"/>
  <c r="B1127" i="3"/>
  <c r="B1126" i="3"/>
  <c r="B1125" i="3"/>
  <c r="B1124" i="3"/>
  <c r="B1123" i="3"/>
  <c r="B1122" i="3"/>
  <c r="B1121" i="3"/>
  <c r="B1120" i="3"/>
  <c r="B1119" i="3"/>
  <c r="B1118" i="3"/>
  <c r="B1117" i="3"/>
  <c r="B1116" i="3"/>
  <c r="B1115" i="3"/>
  <c r="B1114" i="3"/>
  <c r="B1113" i="3"/>
  <c r="B1112" i="3"/>
  <c r="B1111" i="3"/>
  <c r="B1110" i="3"/>
  <c r="B1109" i="3"/>
  <c r="B1108" i="3"/>
  <c r="B1107" i="3"/>
  <c r="B1106" i="3"/>
  <c r="B1105" i="3"/>
  <c r="B1104" i="3"/>
  <c r="B1103" i="3"/>
  <c r="B1102" i="3"/>
  <c r="B1101" i="3"/>
  <c r="B1100" i="3"/>
  <c r="B1099" i="3"/>
  <c r="B1098" i="3"/>
  <c r="B1097" i="3"/>
  <c r="B1096" i="3"/>
  <c r="B1095" i="3"/>
  <c r="B1094" i="3"/>
  <c r="B1093" i="3"/>
  <c r="B1092" i="3"/>
  <c r="B1091" i="3"/>
  <c r="B1090" i="3"/>
  <c r="B1089" i="3"/>
  <c r="B1088" i="3"/>
  <c r="B1087" i="3"/>
  <c r="B1086" i="3"/>
  <c r="B1085" i="3"/>
  <c r="B1084" i="3"/>
  <c r="B1083" i="3"/>
  <c r="B1082" i="3"/>
  <c r="B1081" i="3"/>
  <c r="B1080" i="3"/>
  <c r="B1079" i="3"/>
  <c r="B1078" i="3"/>
  <c r="B1077" i="3"/>
  <c r="B1076" i="3"/>
  <c r="B1075" i="3"/>
  <c r="B1074" i="3"/>
  <c r="B1073" i="3"/>
  <c r="B1072" i="3"/>
  <c r="B1071" i="3"/>
  <c r="B1070" i="3"/>
  <c r="B1069" i="3"/>
  <c r="B1068" i="3"/>
  <c r="B1067" i="3"/>
  <c r="B1066" i="3"/>
  <c r="B1065" i="3"/>
  <c r="B1064" i="3"/>
  <c r="B1063" i="3"/>
  <c r="B1062" i="3"/>
  <c r="B1061" i="3"/>
  <c r="B1060" i="3"/>
  <c r="B1059" i="3"/>
  <c r="B1058" i="3"/>
  <c r="B1057" i="3"/>
  <c r="B1056" i="3"/>
  <c r="B1055" i="3"/>
  <c r="B1054" i="3"/>
  <c r="B1053" i="3"/>
  <c r="B1052" i="3"/>
  <c r="B1051" i="3"/>
  <c r="B1050" i="3"/>
  <c r="B1049" i="3"/>
  <c r="B1048" i="3"/>
  <c r="B1047" i="3"/>
  <c r="B1046" i="3"/>
  <c r="B1045" i="3"/>
  <c r="B1044" i="3"/>
  <c r="B1043" i="3"/>
  <c r="B1042" i="3"/>
  <c r="B1041" i="3"/>
  <c r="B1040" i="3"/>
  <c r="B1039" i="3"/>
  <c r="B1038" i="3"/>
  <c r="B1037" i="3"/>
  <c r="B1036" i="3"/>
  <c r="B1035" i="3"/>
  <c r="B1034" i="3"/>
  <c r="B1033" i="3"/>
  <c r="B1032" i="3"/>
  <c r="B1031" i="3"/>
  <c r="B1030" i="3"/>
  <c r="B1029" i="3"/>
  <c r="B1028" i="3"/>
  <c r="B1027" i="3"/>
  <c r="B1026" i="3"/>
  <c r="B1025" i="3"/>
  <c r="B1024" i="3"/>
  <c r="B1023" i="3"/>
  <c r="B1022" i="3"/>
  <c r="B1021" i="3"/>
  <c r="B1020" i="3"/>
  <c r="B1019" i="3"/>
  <c r="B1018" i="3"/>
  <c r="B1017" i="3"/>
  <c r="B1016" i="3"/>
  <c r="B1015" i="3"/>
  <c r="B1014" i="3"/>
  <c r="B1013" i="3"/>
  <c r="B1012" i="3"/>
  <c r="B1011" i="3"/>
  <c r="B1010" i="3"/>
  <c r="B1009" i="3"/>
  <c r="B1008" i="3"/>
  <c r="B1007" i="3"/>
  <c r="B1006" i="3"/>
  <c r="B1005" i="3"/>
  <c r="B1004" i="3"/>
  <c r="B1003" i="3"/>
  <c r="B1002" i="3"/>
  <c r="B1001" i="3"/>
  <c r="B1000" i="3"/>
  <c r="B999" i="3"/>
  <c r="B998" i="3"/>
  <c r="B997" i="3"/>
  <c r="B996" i="3"/>
  <c r="B995" i="3"/>
  <c r="B994" i="3"/>
  <c r="B993" i="3"/>
  <c r="B992" i="3"/>
  <c r="B991" i="3"/>
  <c r="B990" i="3"/>
  <c r="B989" i="3"/>
  <c r="B988" i="3"/>
  <c r="B987" i="3"/>
  <c r="B986" i="3"/>
  <c r="B985" i="3"/>
  <c r="B984" i="3"/>
  <c r="B983" i="3"/>
  <c r="B982" i="3"/>
  <c r="B981" i="3"/>
  <c r="B980" i="3"/>
  <c r="B979" i="3"/>
  <c r="B978" i="3"/>
  <c r="B977" i="3"/>
  <c r="B976" i="3"/>
  <c r="B975" i="3"/>
  <c r="B974" i="3"/>
  <c r="B973" i="3"/>
  <c r="B972" i="3"/>
  <c r="B971" i="3"/>
  <c r="B970" i="3"/>
  <c r="B969" i="3"/>
  <c r="B968" i="3"/>
  <c r="B967" i="3"/>
  <c r="B966" i="3"/>
  <c r="B965" i="3"/>
  <c r="B964" i="3"/>
  <c r="B963" i="3"/>
  <c r="B962" i="3"/>
  <c r="B961" i="3"/>
  <c r="B960" i="3"/>
  <c r="B959" i="3"/>
  <c r="B958" i="3"/>
  <c r="B957" i="3"/>
  <c r="B956" i="3"/>
  <c r="B955" i="3"/>
  <c r="B954" i="3"/>
  <c r="B953" i="3"/>
  <c r="B952" i="3"/>
  <c r="B951" i="3"/>
  <c r="B950" i="3"/>
  <c r="B949" i="3"/>
  <c r="B948" i="3"/>
  <c r="B947" i="3"/>
  <c r="B946" i="3"/>
  <c r="B945" i="3"/>
  <c r="B944" i="3"/>
  <c r="B943" i="3"/>
  <c r="B942" i="3"/>
  <c r="B941" i="3"/>
  <c r="B940" i="3"/>
  <c r="B939" i="3"/>
  <c r="B938" i="3"/>
  <c r="B937" i="3"/>
  <c r="B936" i="3"/>
  <c r="T935" i="3"/>
  <c r="S935" i="3"/>
  <c r="R935" i="3"/>
  <c r="Q935" i="3"/>
  <c r="N935" i="3"/>
  <c r="M935" i="3"/>
  <c r="L935" i="3"/>
  <c r="K935" i="3"/>
  <c r="J935" i="3"/>
  <c r="I935" i="3"/>
  <c r="H935" i="3"/>
  <c r="G935" i="3"/>
  <c r="F935" i="3"/>
  <c r="E935" i="3"/>
  <c r="D935" i="3"/>
  <c r="C935" i="3"/>
  <c r="T934" i="3"/>
  <c r="S934" i="3"/>
  <c r="R934" i="3"/>
  <c r="Q934" i="3"/>
  <c r="N934" i="3"/>
  <c r="M934" i="3"/>
  <c r="L934" i="3"/>
  <c r="K934" i="3"/>
  <c r="J934" i="3"/>
  <c r="I934" i="3"/>
  <c r="H934" i="3"/>
  <c r="G934" i="3"/>
  <c r="F934" i="3"/>
  <c r="E934" i="3"/>
  <c r="D934" i="3"/>
  <c r="C934" i="3"/>
  <c r="T933" i="3"/>
  <c r="S933" i="3"/>
  <c r="R933" i="3"/>
  <c r="Q933" i="3"/>
  <c r="N933" i="3"/>
  <c r="M933" i="3"/>
  <c r="L933" i="3"/>
  <c r="K933" i="3"/>
  <c r="J933" i="3"/>
  <c r="I933" i="3"/>
  <c r="H933" i="3"/>
  <c r="G933" i="3"/>
  <c r="F933" i="3"/>
  <c r="E933" i="3"/>
  <c r="D933" i="3"/>
  <c r="C933" i="3"/>
  <c r="T932" i="3"/>
  <c r="S932" i="3"/>
  <c r="R932" i="3"/>
  <c r="Q932" i="3"/>
  <c r="N932" i="3"/>
  <c r="M932" i="3"/>
  <c r="L932" i="3"/>
  <c r="K932" i="3"/>
  <c r="J932" i="3"/>
  <c r="I932" i="3"/>
  <c r="H932" i="3"/>
  <c r="G932" i="3"/>
  <c r="F932" i="3"/>
  <c r="E932" i="3"/>
  <c r="D932" i="3"/>
  <c r="C932" i="3"/>
  <c r="T931" i="3"/>
  <c r="S931" i="3"/>
  <c r="R931" i="3"/>
  <c r="Q931" i="3"/>
  <c r="N931" i="3"/>
  <c r="M931" i="3"/>
  <c r="L931" i="3"/>
  <c r="K931" i="3"/>
  <c r="J931" i="3"/>
  <c r="I931" i="3"/>
  <c r="H931" i="3"/>
  <c r="G931" i="3"/>
  <c r="F931" i="3"/>
  <c r="E931" i="3"/>
  <c r="D931" i="3"/>
  <c r="C931" i="3"/>
  <c r="T930" i="3"/>
  <c r="S930" i="3"/>
  <c r="R930" i="3"/>
  <c r="Q930" i="3"/>
  <c r="N930" i="3"/>
  <c r="M930" i="3"/>
  <c r="L930" i="3"/>
  <c r="K930" i="3"/>
  <c r="J930" i="3"/>
  <c r="I930" i="3"/>
  <c r="H930" i="3"/>
  <c r="G930" i="3"/>
  <c r="F930" i="3"/>
  <c r="E930" i="3"/>
  <c r="D930" i="3"/>
  <c r="C930" i="3"/>
  <c r="T929" i="3"/>
  <c r="S929" i="3"/>
  <c r="R929" i="3"/>
  <c r="Q929" i="3"/>
  <c r="N929" i="3"/>
  <c r="M929" i="3"/>
  <c r="L929" i="3"/>
  <c r="K929" i="3"/>
  <c r="J929" i="3"/>
  <c r="I929" i="3"/>
  <c r="H929" i="3"/>
  <c r="G929" i="3"/>
  <c r="F929" i="3"/>
  <c r="E929" i="3"/>
  <c r="D929" i="3"/>
  <c r="C929" i="3"/>
  <c r="T928" i="3"/>
  <c r="S928" i="3"/>
  <c r="R928" i="3"/>
  <c r="Q928" i="3"/>
  <c r="N928" i="3"/>
  <c r="M928" i="3"/>
  <c r="L928" i="3"/>
  <c r="K928" i="3"/>
  <c r="J928" i="3"/>
  <c r="I928" i="3"/>
  <c r="H928" i="3"/>
  <c r="B928" i="3" s="1"/>
  <c r="G928" i="3"/>
  <c r="F928" i="3"/>
  <c r="E928" i="3"/>
  <c r="D928" i="3"/>
  <c r="T927" i="3"/>
  <c r="S927" i="3"/>
  <c r="R927" i="3"/>
  <c r="Q927" i="3"/>
  <c r="N927" i="3"/>
  <c r="M927" i="3"/>
  <c r="L927" i="3"/>
  <c r="K927" i="3"/>
  <c r="J927" i="3"/>
  <c r="I927" i="3"/>
  <c r="H927" i="3"/>
  <c r="B927" i="3" s="1"/>
  <c r="G927" i="3"/>
  <c r="F927" i="3"/>
  <c r="E927" i="3"/>
  <c r="D927" i="3"/>
  <c r="T926" i="3"/>
  <c r="S926" i="3"/>
  <c r="R926" i="3"/>
  <c r="Q926" i="3"/>
  <c r="N926" i="3"/>
  <c r="M926" i="3"/>
  <c r="L926" i="3"/>
  <c r="K926" i="3"/>
  <c r="J926" i="3"/>
  <c r="I926" i="3"/>
  <c r="H926" i="3"/>
  <c r="G926" i="3"/>
  <c r="F926" i="3"/>
  <c r="E926" i="3"/>
  <c r="D926" i="3"/>
  <c r="C926" i="3"/>
  <c r="T925" i="3"/>
  <c r="S925" i="3"/>
  <c r="R925" i="3"/>
  <c r="Q925" i="3"/>
  <c r="N925" i="3"/>
  <c r="M925" i="3"/>
  <c r="L925" i="3"/>
  <c r="K925" i="3"/>
  <c r="J925" i="3"/>
  <c r="I925" i="3"/>
  <c r="H925" i="3"/>
  <c r="G925" i="3"/>
  <c r="F925" i="3"/>
  <c r="E925" i="3"/>
  <c r="D925" i="3"/>
  <c r="C925" i="3"/>
  <c r="T924" i="3"/>
  <c r="S924" i="3"/>
  <c r="R924" i="3"/>
  <c r="Q924" i="3"/>
  <c r="N924" i="3"/>
  <c r="M924" i="3"/>
  <c r="L924" i="3"/>
  <c r="K924" i="3"/>
  <c r="J924" i="3"/>
  <c r="I924" i="3"/>
  <c r="H924" i="3"/>
  <c r="G924" i="3"/>
  <c r="F924" i="3"/>
  <c r="E924" i="3"/>
  <c r="D924" i="3"/>
  <c r="C924" i="3"/>
  <c r="T923" i="3"/>
  <c r="S923" i="3"/>
  <c r="R923" i="3"/>
  <c r="Q923" i="3"/>
  <c r="P923" i="3"/>
  <c r="O923" i="3"/>
  <c r="N923" i="3"/>
  <c r="M923" i="3"/>
  <c r="L923" i="3"/>
  <c r="K923" i="3"/>
  <c r="J923" i="3"/>
  <c r="I923" i="3"/>
  <c r="H923" i="3"/>
  <c r="G923" i="3"/>
  <c r="F923" i="3"/>
  <c r="E923" i="3"/>
  <c r="D923" i="3"/>
  <c r="C923" i="3"/>
  <c r="T922" i="3"/>
  <c r="S922" i="3"/>
  <c r="R922" i="3"/>
  <c r="Q922" i="3"/>
  <c r="P922" i="3"/>
  <c r="O922" i="3"/>
  <c r="N922" i="3"/>
  <c r="M922" i="3"/>
  <c r="L922" i="3"/>
  <c r="K922" i="3"/>
  <c r="J922" i="3"/>
  <c r="I922" i="3"/>
  <c r="H922" i="3"/>
  <c r="G922" i="3"/>
  <c r="F922" i="3"/>
  <c r="E922" i="3"/>
  <c r="D922" i="3"/>
  <c r="C922" i="3"/>
  <c r="T921" i="3"/>
  <c r="S921" i="3"/>
  <c r="R921" i="3"/>
  <c r="Q921" i="3"/>
  <c r="P921" i="3"/>
  <c r="O921" i="3"/>
  <c r="N921" i="3"/>
  <c r="M921" i="3"/>
  <c r="L921" i="3"/>
  <c r="K921" i="3"/>
  <c r="J921" i="3"/>
  <c r="I921" i="3"/>
  <c r="H921" i="3"/>
  <c r="G921" i="3"/>
  <c r="F921" i="3"/>
  <c r="E921" i="3"/>
  <c r="D921" i="3"/>
  <c r="C921" i="3"/>
  <c r="T920" i="3"/>
  <c r="S920" i="3"/>
  <c r="R920" i="3"/>
  <c r="Q920" i="3"/>
  <c r="P920" i="3"/>
  <c r="O920" i="3"/>
  <c r="N920" i="3"/>
  <c r="M920" i="3"/>
  <c r="L920" i="3"/>
  <c r="K920" i="3"/>
  <c r="J920" i="3"/>
  <c r="I920" i="3"/>
  <c r="H920" i="3"/>
  <c r="G920" i="3"/>
  <c r="F920" i="3"/>
  <c r="E920" i="3"/>
  <c r="D920" i="3"/>
  <c r="C920" i="3"/>
  <c r="T919" i="3"/>
  <c r="S919" i="3"/>
  <c r="R919" i="3"/>
  <c r="Q919" i="3"/>
  <c r="P919" i="3"/>
  <c r="O919" i="3"/>
  <c r="N919" i="3"/>
  <c r="M919" i="3"/>
  <c r="L919" i="3"/>
  <c r="K919" i="3"/>
  <c r="J919" i="3"/>
  <c r="I919" i="3"/>
  <c r="H919" i="3"/>
  <c r="G919" i="3"/>
  <c r="F919" i="3"/>
  <c r="E919" i="3"/>
  <c r="D919" i="3"/>
  <c r="C919" i="3"/>
  <c r="T918" i="3"/>
  <c r="S918" i="3"/>
  <c r="R918" i="3"/>
  <c r="Q918" i="3"/>
  <c r="P918" i="3"/>
  <c r="O918" i="3"/>
  <c r="N918" i="3"/>
  <c r="M918" i="3"/>
  <c r="L918" i="3"/>
  <c r="K918" i="3"/>
  <c r="J918" i="3"/>
  <c r="I918" i="3"/>
  <c r="H918" i="3"/>
  <c r="G918" i="3"/>
  <c r="F918" i="3"/>
  <c r="E918" i="3"/>
  <c r="D918" i="3"/>
  <c r="C918" i="3"/>
  <c r="T917" i="3"/>
  <c r="S917" i="3"/>
  <c r="R917" i="3"/>
  <c r="Q917" i="3"/>
  <c r="N917" i="3"/>
  <c r="M917" i="3"/>
  <c r="L917" i="3"/>
  <c r="K917" i="3"/>
  <c r="J917" i="3"/>
  <c r="I917" i="3"/>
  <c r="H917" i="3"/>
  <c r="B917" i="3" s="1"/>
  <c r="G917" i="3"/>
  <c r="F917" i="3"/>
  <c r="E917" i="3"/>
  <c r="D917" i="3"/>
  <c r="T916" i="3"/>
  <c r="S916" i="3"/>
  <c r="R916" i="3"/>
  <c r="Q916" i="3"/>
  <c r="P916" i="3"/>
  <c r="O916" i="3"/>
  <c r="N916" i="3"/>
  <c r="M916" i="3"/>
  <c r="L916" i="3"/>
  <c r="K916" i="3"/>
  <c r="J916" i="3"/>
  <c r="I916" i="3"/>
  <c r="H916" i="3"/>
  <c r="G916" i="3"/>
  <c r="F916" i="3"/>
  <c r="E916" i="3"/>
  <c r="D916" i="3"/>
  <c r="C916" i="3"/>
  <c r="T915" i="3"/>
  <c r="S915" i="3"/>
  <c r="R915" i="3"/>
  <c r="Q915" i="3"/>
  <c r="N915" i="3"/>
  <c r="M915" i="3"/>
  <c r="L915" i="3"/>
  <c r="K915" i="3"/>
  <c r="J915" i="3"/>
  <c r="I915" i="3"/>
  <c r="H915" i="3"/>
  <c r="G915" i="3"/>
  <c r="F915" i="3"/>
  <c r="E915" i="3"/>
  <c r="D915" i="3"/>
  <c r="C915" i="3"/>
  <c r="T914" i="3"/>
  <c r="S914" i="3"/>
  <c r="R914" i="3"/>
  <c r="Q914" i="3"/>
  <c r="P914" i="3"/>
  <c r="O914" i="3"/>
  <c r="N914" i="3"/>
  <c r="M914" i="3"/>
  <c r="L914" i="3"/>
  <c r="K914" i="3"/>
  <c r="J914" i="3"/>
  <c r="I914" i="3"/>
  <c r="H914" i="3"/>
  <c r="G914" i="3"/>
  <c r="F914" i="3"/>
  <c r="E914" i="3"/>
  <c r="D914" i="3"/>
  <c r="C914" i="3"/>
  <c r="T913" i="3"/>
  <c r="S913" i="3"/>
  <c r="R913" i="3"/>
  <c r="Q913" i="3"/>
  <c r="N913" i="3"/>
  <c r="M913" i="3"/>
  <c r="L913" i="3"/>
  <c r="K913" i="3"/>
  <c r="J913" i="3"/>
  <c r="I913" i="3"/>
  <c r="H913" i="3"/>
  <c r="G913" i="3"/>
  <c r="F913" i="3"/>
  <c r="E913" i="3"/>
  <c r="D913" i="3"/>
  <c r="C913" i="3"/>
  <c r="T912" i="3"/>
  <c r="S912" i="3"/>
  <c r="R912" i="3"/>
  <c r="Q912" i="3"/>
  <c r="P912" i="3"/>
  <c r="O912" i="3"/>
  <c r="N912" i="3"/>
  <c r="M912" i="3"/>
  <c r="L912" i="3"/>
  <c r="K912" i="3"/>
  <c r="J912" i="3"/>
  <c r="I912" i="3"/>
  <c r="H912" i="3"/>
  <c r="G912" i="3"/>
  <c r="F912" i="3"/>
  <c r="E912" i="3"/>
  <c r="D912" i="3"/>
  <c r="C912" i="3"/>
  <c r="T911" i="3"/>
  <c r="S911" i="3"/>
  <c r="R911" i="3"/>
  <c r="Q911" i="3"/>
  <c r="N911" i="3"/>
  <c r="M911" i="3"/>
  <c r="L911" i="3"/>
  <c r="K911" i="3"/>
  <c r="J911" i="3"/>
  <c r="I911" i="3"/>
  <c r="H911" i="3"/>
  <c r="G911" i="3"/>
  <c r="F911" i="3"/>
  <c r="E911" i="3"/>
  <c r="D911" i="3"/>
  <c r="C911" i="3"/>
  <c r="T910" i="3"/>
  <c r="S910" i="3"/>
  <c r="R910" i="3"/>
  <c r="Q910" i="3"/>
  <c r="P910" i="3"/>
  <c r="O910" i="3"/>
  <c r="N910" i="3"/>
  <c r="M910" i="3"/>
  <c r="L910" i="3"/>
  <c r="K910" i="3"/>
  <c r="J910" i="3"/>
  <c r="I910" i="3"/>
  <c r="H910" i="3"/>
  <c r="G910" i="3"/>
  <c r="F910" i="3"/>
  <c r="E910" i="3"/>
  <c r="D910" i="3"/>
  <c r="C910" i="3"/>
  <c r="T909" i="3"/>
  <c r="S909" i="3"/>
  <c r="R909" i="3"/>
  <c r="Q909" i="3"/>
  <c r="P909" i="3"/>
  <c r="O909" i="3"/>
  <c r="N909" i="3"/>
  <c r="M909" i="3"/>
  <c r="L909" i="3"/>
  <c r="K909" i="3"/>
  <c r="J909" i="3"/>
  <c r="I909" i="3"/>
  <c r="H909" i="3"/>
  <c r="G909" i="3"/>
  <c r="F909" i="3"/>
  <c r="E909" i="3"/>
  <c r="D909" i="3"/>
  <c r="C909" i="3"/>
  <c r="T908" i="3"/>
  <c r="S908" i="3"/>
  <c r="R908" i="3"/>
  <c r="Q908" i="3"/>
  <c r="P908" i="3"/>
  <c r="O908" i="3"/>
  <c r="N908" i="3"/>
  <c r="M908" i="3"/>
  <c r="L908" i="3"/>
  <c r="K908" i="3"/>
  <c r="J908" i="3"/>
  <c r="I908" i="3"/>
  <c r="H908" i="3"/>
  <c r="B908" i="3" s="1"/>
  <c r="G908" i="3"/>
  <c r="F908" i="3"/>
  <c r="E908" i="3"/>
  <c r="D908" i="3"/>
  <c r="T907" i="3"/>
  <c r="S907" i="3"/>
  <c r="R907" i="3"/>
  <c r="Q907" i="3"/>
  <c r="P907" i="3"/>
  <c r="O907" i="3"/>
  <c r="N907" i="3"/>
  <c r="M907" i="3"/>
  <c r="L907" i="3"/>
  <c r="K907" i="3"/>
  <c r="J907" i="3"/>
  <c r="I907" i="3"/>
  <c r="H907" i="3"/>
  <c r="G907" i="3"/>
  <c r="F907" i="3"/>
  <c r="E907" i="3"/>
  <c r="D907" i="3"/>
  <c r="C907" i="3"/>
  <c r="T906" i="3"/>
  <c r="S906" i="3"/>
  <c r="R906" i="3"/>
  <c r="Q906" i="3"/>
  <c r="P906" i="3"/>
  <c r="O906" i="3"/>
  <c r="N906" i="3"/>
  <c r="M906" i="3"/>
  <c r="L906" i="3"/>
  <c r="K906" i="3"/>
  <c r="J906" i="3"/>
  <c r="I906" i="3"/>
  <c r="H906" i="3"/>
  <c r="G906" i="3"/>
  <c r="F906" i="3"/>
  <c r="E906" i="3"/>
  <c r="D906" i="3"/>
  <c r="C906" i="3"/>
  <c r="T905" i="3"/>
  <c r="S905" i="3"/>
  <c r="R905" i="3"/>
  <c r="Q905" i="3"/>
  <c r="P905" i="3"/>
  <c r="O905" i="3"/>
  <c r="N905" i="3"/>
  <c r="M905" i="3"/>
  <c r="L905" i="3"/>
  <c r="K905" i="3"/>
  <c r="J905" i="3"/>
  <c r="I905" i="3"/>
  <c r="H905" i="3"/>
  <c r="G905" i="3"/>
  <c r="F905" i="3"/>
  <c r="E905" i="3"/>
  <c r="D905" i="3"/>
  <c r="C905" i="3"/>
  <c r="T904" i="3"/>
  <c r="S904" i="3"/>
  <c r="R904" i="3"/>
  <c r="Q904" i="3"/>
  <c r="P904" i="3"/>
  <c r="O904" i="3"/>
  <c r="N904" i="3"/>
  <c r="M904" i="3"/>
  <c r="L904" i="3"/>
  <c r="K904" i="3"/>
  <c r="J904" i="3"/>
  <c r="I904" i="3"/>
  <c r="H904" i="3"/>
  <c r="G904" i="3"/>
  <c r="F904" i="3"/>
  <c r="E904" i="3"/>
  <c r="D904" i="3"/>
  <c r="C904" i="3"/>
  <c r="T903" i="3"/>
  <c r="S903" i="3"/>
  <c r="R903" i="3"/>
  <c r="Q903" i="3"/>
  <c r="P903" i="3"/>
  <c r="O903" i="3"/>
  <c r="N903" i="3"/>
  <c r="M903" i="3"/>
  <c r="L903" i="3"/>
  <c r="K903" i="3"/>
  <c r="J903" i="3"/>
  <c r="I903" i="3"/>
  <c r="H903" i="3"/>
  <c r="B903" i="3" s="1"/>
  <c r="G903" i="3"/>
  <c r="F903" i="3"/>
  <c r="E903" i="3"/>
  <c r="D903" i="3"/>
  <c r="T902" i="3"/>
  <c r="S902" i="3"/>
  <c r="R902" i="3"/>
  <c r="Q902" i="3"/>
  <c r="P902" i="3"/>
  <c r="O902" i="3"/>
  <c r="N902" i="3"/>
  <c r="M902" i="3"/>
  <c r="L902" i="3"/>
  <c r="K902" i="3"/>
  <c r="J902" i="3"/>
  <c r="I902" i="3"/>
  <c r="H902" i="3"/>
  <c r="G902" i="3"/>
  <c r="F902" i="3"/>
  <c r="E902" i="3"/>
  <c r="D902" i="3"/>
  <c r="C902" i="3"/>
  <c r="T901" i="3"/>
  <c r="S901" i="3"/>
  <c r="R901" i="3"/>
  <c r="Q901" i="3"/>
  <c r="P901" i="3"/>
  <c r="O901" i="3"/>
  <c r="N901" i="3"/>
  <c r="M901" i="3"/>
  <c r="L901" i="3"/>
  <c r="K901" i="3"/>
  <c r="J901" i="3"/>
  <c r="I901" i="3"/>
  <c r="H901" i="3"/>
  <c r="G901" i="3"/>
  <c r="F901" i="3"/>
  <c r="E901" i="3"/>
  <c r="D901" i="3"/>
  <c r="C901" i="3"/>
  <c r="T900" i="3"/>
  <c r="S900" i="3"/>
  <c r="R900" i="3"/>
  <c r="Q900" i="3"/>
  <c r="P900" i="3"/>
  <c r="O900" i="3"/>
  <c r="N900" i="3"/>
  <c r="M900" i="3"/>
  <c r="L900" i="3"/>
  <c r="K900" i="3"/>
  <c r="J900" i="3"/>
  <c r="I900" i="3"/>
  <c r="H900" i="3"/>
  <c r="G900" i="3"/>
  <c r="F900" i="3"/>
  <c r="E900" i="3"/>
  <c r="D900" i="3"/>
  <c r="C900" i="3"/>
  <c r="T899" i="3"/>
  <c r="S899" i="3"/>
  <c r="R899" i="3"/>
  <c r="Q899" i="3"/>
  <c r="P899" i="3"/>
  <c r="O899" i="3"/>
  <c r="N899" i="3"/>
  <c r="M899" i="3"/>
  <c r="L899" i="3"/>
  <c r="K899" i="3"/>
  <c r="J899" i="3"/>
  <c r="I899" i="3"/>
  <c r="H899" i="3"/>
  <c r="G899" i="3"/>
  <c r="F899" i="3"/>
  <c r="E899" i="3"/>
  <c r="D899" i="3"/>
  <c r="C899" i="3"/>
  <c r="T898" i="3"/>
  <c r="S898" i="3"/>
  <c r="R898" i="3"/>
  <c r="Q898" i="3"/>
  <c r="P898" i="3"/>
  <c r="O898" i="3"/>
  <c r="N898" i="3"/>
  <c r="M898" i="3"/>
  <c r="L898" i="3"/>
  <c r="K898" i="3"/>
  <c r="J898" i="3"/>
  <c r="I898" i="3"/>
  <c r="H898" i="3"/>
  <c r="B898" i="3" s="1"/>
  <c r="G898" i="3"/>
  <c r="F898" i="3"/>
  <c r="E898" i="3"/>
  <c r="D898" i="3"/>
  <c r="T897" i="3"/>
  <c r="S897" i="3"/>
  <c r="R897" i="3"/>
  <c r="Q897" i="3"/>
  <c r="P897" i="3"/>
  <c r="O897" i="3"/>
  <c r="N897" i="3"/>
  <c r="M897" i="3"/>
  <c r="L897" i="3"/>
  <c r="K897" i="3"/>
  <c r="J897" i="3"/>
  <c r="I897" i="3"/>
  <c r="H897" i="3"/>
  <c r="G897" i="3"/>
  <c r="F897" i="3"/>
  <c r="E897" i="3"/>
  <c r="D897" i="3"/>
  <c r="C897" i="3"/>
  <c r="T896" i="3"/>
  <c r="S896" i="3"/>
  <c r="R896" i="3"/>
  <c r="Q896" i="3"/>
  <c r="P896" i="3"/>
  <c r="O896" i="3"/>
  <c r="N896" i="3"/>
  <c r="M896" i="3"/>
  <c r="L896" i="3"/>
  <c r="K896" i="3"/>
  <c r="J896" i="3"/>
  <c r="I896" i="3"/>
  <c r="H896" i="3"/>
  <c r="G896" i="3"/>
  <c r="F896" i="3"/>
  <c r="E896" i="3"/>
  <c r="D896" i="3"/>
  <c r="C896" i="3"/>
  <c r="T895" i="3"/>
  <c r="S895" i="3"/>
  <c r="R895" i="3"/>
  <c r="Q895" i="3"/>
  <c r="P895" i="3"/>
  <c r="O895" i="3"/>
  <c r="N895" i="3"/>
  <c r="M895" i="3"/>
  <c r="L895" i="3"/>
  <c r="K895" i="3"/>
  <c r="J895" i="3"/>
  <c r="I895" i="3"/>
  <c r="H895" i="3"/>
  <c r="G895" i="3"/>
  <c r="F895" i="3"/>
  <c r="E895" i="3"/>
  <c r="D895" i="3"/>
  <c r="C895" i="3"/>
  <c r="T894" i="3"/>
  <c r="S894" i="3"/>
  <c r="R894" i="3"/>
  <c r="Q894" i="3"/>
  <c r="P894" i="3"/>
  <c r="O894" i="3"/>
  <c r="N894" i="3"/>
  <c r="M894" i="3"/>
  <c r="L894" i="3"/>
  <c r="K894" i="3"/>
  <c r="J894" i="3"/>
  <c r="I894" i="3"/>
  <c r="H894" i="3"/>
  <c r="B894" i="3" s="1"/>
  <c r="G894" i="3"/>
  <c r="F894" i="3"/>
  <c r="E894" i="3"/>
  <c r="D894" i="3"/>
  <c r="T893" i="3"/>
  <c r="S893" i="3"/>
  <c r="R893" i="3"/>
  <c r="Q893" i="3"/>
  <c r="P893" i="3"/>
  <c r="O893" i="3"/>
  <c r="N893" i="3"/>
  <c r="M893" i="3"/>
  <c r="L893" i="3"/>
  <c r="K893" i="3"/>
  <c r="J893" i="3"/>
  <c r="I893" i="3"/>
  <c r="H893" i="3"/>
  <c r="B893" i="3" s="1"/>
  <c r="G893" i="3"/>
  <c r="F893" i="3"/>
  <c r="E893" i="3"/>
  <c r="D893" i="3"/>
  <c r="T892" i="3"/>
  <c r="S892" i="3"/>
  <c r="R892" i="3"/>
  <c r="Q892" i="3"/>
  <c r="P892" i="3"/>
  <c r="O892" i="3"/>
  <c r="N892" i="3"/>
  <c r="M892" i="3"/>
  <c r="L892" i="3"/>
  <c r="K892" i="3"/>
  <c r="J892" i="3"/>
  <c r="I892" i="3"/>
  <c r="H892" i="3"/>
  <c r="G892" i="3"/>
  <c r="F892" i="3"/>
  <c r="E892" i="3"/>
  <c r="D892" i="3"/>
  <c r="C892" i="3"/>
  <c r="T891" i="3"/>
  <c r="S891" i="3"/>
  <c r="R891" i="3"/>
  <c r="Q891" i="3"/>
  <c r="P891" i="3"/>
  <c r="O891" i="3"/>
  <c r="N891" i="3"/>
  <c r="M891" i="3"/>
  <c r="L891" i="3"/>
  <c r="K891" i="3"/>
  <c r="J891" i="3"/>
  <c r="I891" i="3"/>
  <c r="H891" i="3"/>
  <c r="G891" i="3"/>
  <c r="F891" i="3"/>
  <c r="E891" i="3"/>
  <c r="D891" i="3"/>
  <c r="C891" i="3"/>
  <c r="T890" i="3"/>
  <c r="S890" i="3"/>
  <c r="R890" i="3"/>
  <c r="Q890" i="3"/>
  <c r="P890" i="3"/>
  <c r="O890" i="3"/>
  <c r="N890" i="3"/>
  <c r="M890" i="3"/>
  <c r="L890" i="3"/>
  <c r="K890" i="3"/>
  <c r="J890" i="3"/>
  <c r="I890" i="3"/>
  <c r="H890" i="3"/>
  <c r="G890" i="3"/>
  <c r="F890" i="3"/>
  <c r="E890" i="3"/>
  <c r="D890" i="3"/>
  <c r="C890" i="3"/>
  <c r="T889" i="3"/>
  <c r="S889" i="3"/>
  <c r="R889" i="3"/>
  <c r="Q889" i="3"/>
  <c r="P889" i="3"/>
  <c r="O889" i="3"/>
  <c r="N889" i="3"/>
  <c r="M889" i="3"/>
  <c r="L889" i="3"/>
  <c r="K889" i="3"/>
  <c r="J889" i="3"/>
  <c r="I889" i="3"/>
  <c r="H889" i="3"/>
  <c r="G889" i="3"/>
  <c r="F889" i="3"/>
  <c r="E889" i="3"/>
  <c r="D889" i="3"/>
  <c r="C889" i="3"/>
  <c r="T888" i="3"/>
  <c r="S888" i="3"/>
  <c r="R888" i="3"/>
  <c r="Q888" i="3"/>
  <c r="P888" i="3"/>
  <c r="O888" i="3"/>
  <c r="N888" i="3"/>
  <c r="M888" i="3"/>
  <c r="L888" i="3"/>
  <c r="K888" i="3"/>
  <c r="J888" i="3"/>
  <c r="I888" i="3"/>
  <c r="H888" i="3"/>
  <c r="G888" i="3"/>
  <c r="F888" i="3"/>
  <c r="E888" i="3"/>
  <c r="D888" i="3"/>
  <c r="C888" i="3"/>
  <c r="T887" i="3"/>
  <c r="S887" i="3"/>
  <c r="R887" i="3"/>
  <c r="Q887" i="3"/>
  <c r="P887" i="3"/>
  <c r="O887" i="3"/>
  <c r="N887" i="3"/>
  <c r="M887" i="3"/>
  <c r="L887" i="3"/>
  <c r="K887" i="3"/>
  <c r="J887" i="3"/>
  <c r="I887" i="3"/>
  <c r="H887" i="3"/>
  <c r="G887" i="3"/>
  <c r="F887" i="3"/>
  <c r="E887" i="3"/>
  <c r="D887" i="3"/>
  <c r="C887" i="3"/>
  <c r="T886" i="3"/>
  <c r="S886" i="3"/>
  <c r="R886" i="3"/>
  <c r="Q886" i="3"/>
  <c r="P886" i="3"/>
  <c r="O886" i="3"/>
  <c r="N886" i="3"/>
  <c r="M886" i="3"/>
  <c r="L886" i="3"/>
  <c r="K886" i="3"/>
  <c r="J886" i="3"/>
  <c r="I886" i="3"/>
  <c r="H886" i="3"/>
  <c r="B886" i="3" s="1"/>
  <c r="G886" i="3"/>
  <c r="F886" i="3"/>
  <c r="E886" i="3"/>
  <c r="D886" i="3"/>
  <c r="T885" i="3"/>
  <c r="S885" i="3"/>
  <c r="R885" i="3"/>
  <c r="Q885" i="3"/>
  <c r="P885" i="3"/>
  <c r="O885" i="3"/>
  <c r="N885" i="3"/>
  <c r="M885" i="3"/>
  <c r="L885" i="3"/>
  <c r="K885" i="3"/>
  <c r="J885" i="3"/>
  <c r="I885" i="3"/>
  <c r="H885" i="3"/>
  <c r="G885" i="3"/>
  <c r="F885" i="3"/>
  <c r="E885" i="3"/>
  <c r="D885" i="3"/>
  <c r="C885" i="3"/>
  <c r="T884" i="3"/>
  <c r="S884" i="3"/>
  <c r="R884" i="3"/>
  <c r="Q884" i="3"/>
  <c r="P884" i="3"/>
  <c r="O884" i="3"/>
  <c r="N884" i="3"/>
  <c r="M884" i="3"/>
  <c r="L884" i="3"/>
  <c r="K884" i="3"/>
  <c r="J884" i="3"/>
  <c r="I884" i="3"/>
  <c r="H884" i="3"/>
  <c r="G884" i="3"/>
  <c r="F884" i="3"/>
  <c r="E884" i="3"/>
  <c r="D884" i="3"/>
  <c r="C884" i="3"/>
  <c r="T883" i="3"/>
  <c r="S883" i="3"/>
  <c r="R883" i="3"/>
  <c r="Q883" i="3"/>
  <c r="P883" i="3"/>
  <c r="O883" i="3"/>
  <c r="N883" i="3"/>
  <c r="M883" i="3"/>
  <c r="L883" i="3"/>
  <c r="K883" i="3"/>
  <c r="J883" i="3"/>
  <c r="I883" i="3"/>
  <c r="H883" i="3"/>
  <c r="G883" i="3"/>
  <c r="F883" i="3"/>
  <c r="E883" i="3"/>
  <c r="D883" i="3"/>
  <c r="C883" i="3"/>
  <c r="T882" i="3"/>
  <c r="S882" i="3"/>
  <c r="R882" i="3"/>
  <c r="Q882" i="3"/>
  <c r="P882" i="3"/>
  <c r="O882" i="3"/>
  <c r="N882" i="3"/>
  <c r="M882" i="3"/>
  <c r="L882" i="3"/>
  <c r="K882" i="3"/>
  <c r="J882" i="3"/>
  <c r="I882" i="3"/>
  <c r="H882" i="3"/>
  <c r="G882" i="3"/>
  <c r="F882" i="3"/>
  <c r="E882" i="3"/>
  <c r="D882" i="3"/>
  <c r="C882" i="3"/>
  <c r="T881" i="3"/>
  <c r="S881" i="3"/>
  <c r="R881" i="3"/>
  <c r="Q881" i="3"/>
  <c r="P881" i="3"/>
  <c r="O881" i="3"/>
  <c r="N881" i="3"/>
  <c r="M881" i="3"/>
  <c r="L881" i="3"/>
  <c r="K881" i="3"/>
  <c r="J881" i="3"/>
  <c r="I881" i="3"/>
  <c r="H881" i="3"/>
  <c r="G881" i="3"/>
  <c r="F881" i="3"/>
  <c r="E881" i="3"/>
  <c r="D881" i="3"/>
  <c r="C881" i="3"/>
  <c r="T880" i="3"/>
  <c r="S880" i="3"/>
  <c r="R880" i="3"/>
  <c r="Q880" i="3"/>
  <c r="P880" i="3"/>
  <c r="O880" i="3"/>
  <c r="N880" i="3"/>
  <c r="M880" i="3"/>
  <c r="L880" i="3"/>
  <c r="K880" i="3"/>
  <c r="J880" i="3"/>
  <c r="I880" i="3"/>
  <c r="H880" i="3"/>
  <c r="G880" i="3"/>
  <c r="F880" i="3"/>
  <c r="E880" i="3"/>
  <c r="D880" i="3"/>
  <c r="C880" i="3"/>
  <c r="T879" i="3"/>
  <c r="S879" i="3"/>
  <c r="R879" i="3"/>
  <c r="Q879" i="3"/>
  <c r="P879" i="3"/>
  <c r="O879" i="3"/>
  <c r="N879" i="3"/>
  <c r="M879" i="3"/>
  <c r="L879" i="3"/>
  <c r="K879" i="3"/>
  <c r="J879" i="3"/>
  <c r="I879" i="3"/>
  <c r="H879" i="3"/>
  <c r="G879" i="3"/>
  <c r="F879" i="3"/>
  <c r="E879" i="3"/>
  <c r="D879" i="3"/>
  <c r="C879" i="3"/>
  <c r="T878" i="3"/>
  <c r="S878" i="3"/>
  <c r="R878" i="3"/>
  <c r="Q878" i="3"/>
  <c r="P878" i="3"/>
  <c r="O878" i="3"/>
  <c r="N878" i="3"/>
  <c r="M878" i="3"/>
  <c r="L878" i="3"/>
  <c r="K878" i="3"/>
  <c r="J878" i="3"/>
  <c r="I878" i="3"/>
  <c r="H878" i="3"/>
  <c r="G878" i="3"/>
  <c r="F878" i="3"/>
  <c r="E878" i="3"/>
  <c r="D878" i="3"/>
  <c r="C878" i="3"/>
  <c r="T877" i="3"/>
  <c r="S877" i="3"/>
  <c r="R877" i="3"/>
  <c r="Q877" i="3"/>
  <c r="P877" i="3"/>
  <c r="O877" i="3"/>
  <c r="N877" i="3"/>
  <c r="M877" i="3"/>
  <c r="L877" i="3"/>
  <c r="K877" i="3"/>
  <c r="J877" i="3"/>
  <c r="I877" i="3"/>
  <c r="H877" i="3"/>
  <c r="G877" i="3"/>
  <c r="F877" i="3"/>
  <c r="E877" i="3"/>
  <c r="D877" i="3"/>
  <c r="C877" i="3"/>
  <c r="T876" i="3"/>
  <c r="S876" i="3"/>
  <c r="R876" i="3"/>
  <c r="Q876" i="3"/>
  <c r="P876" i="3"/>
  <c r="O876" i="3"/>
  <c r="N876" i="3"/>
  <c r="M876" i="3"/>
  <c r="L876" i="3"/>
  <c r="K876" i="3"/>
  <c r="J876" i="3"/>
  <c r="I876" i="3"/>
  <c r="H876" i="3"/>
  <c r="G876" i="3"/>
  <c r="F876" i="3"/>
  <c r="E876" i="3"/>
  <c r="D876" i="3"/>
  <c r="C876" i="3"/>
  <c r="T875" i="3"/>
  <c r="S875" i="3"/>
  <c r="R875" i="3"/>
  <c r="Q875" i="3"/>
  <c r="P875" i="3"/>
  <c r="O875" i="3"/>
  <c r="N875" i="3"/>
  <c r="M875" i="3"/>
  <c r="L875" i="3"/>
  <c r="K875" i="3"/>
  <c r="J875" i="3"/>
  <c r="I875" i="3"/>
  <c r="H875" i="3"/>
  <c r="G875" i="3"/>
  <c r="F875" i="3"/>
  <c r="E875" i="3"/>
  <c r="D875" i="3"/>
  <c r="C875" i="3"/>
  <c r="T874" i="3"/>
  <c r="S874" i="3"/>
  <c r="R874" i="3"/>
  <c r="Q874" i="3"/>
  <c r="P874" i="3"/>
  <c r="O874" i="3"/>
  <c r="N874" i="3"/>
  <c r="M874" i="3"/>
  <c r="L874" i="3"/>
  <c r="K874" i="3"/>
  <c r="J874" i="3"/>
  <c r="I874" i="3"/>
  <c r="H874" i="3"/>
  <c r="G874" i="3"/>
  <c r="F874" i="3"/>
  <c r="E874" i="3"/>
  <c r="D874" i="3"/>
  <c r="C874" i="3"/>
  <c r="T873" i="3"/>
  <c r="S873" i="3"/>
  <c r="R873" i="3"/>
  <c r="Q873" i="3"/>
  <c r="P873" i="3"/>
  <c r="O873" i="3"/>
  <c r="N873" i="3"/>
  <c r="M873" i="3"/>
  <c r="L873" i="3"/>
  <c r="K873" i="3"/>
  <c r="J873" i="3"/>
  <c r="I873" i="3"/>
  <c r="H873" i="3"/>
  <c r="G873" i="3"/>
  <c r="F873" i="3"/>
  <c r="E873" i="3"/>
  <c r="D873" i="3"/>
  <c r="C873" i="3"/>
  <c r="T872" i="3"/>
  <c r="S872" i="3"/>
  <c r="R872" i="3"/>
  <c r="Q872" i="3"/>
  <c r="P872" i="3"/>
  <c r="O872" i="3"/>
  <c r="N872" i="3"/>
  <c r="M872" i="3"/>
  <c r="L872" i="3"/>
  <c r="K872" i="3"/>
  <c r="J872" i="3"/>
  <c r="I872" i="3"/>
  <c r="H872" i="3"/>
  <c r="B872" i="3" s="1"/>
  <c r="G872" i="3"/>
  <c r="F872" i="3"/>
  <c r="E872" i="3"/>
  <c r="D872" i="3"/>
  <c r="T871" i="3"/>
  <c r="S871" i="3"/>
  <c r="R871" i="3"/>
  <c r="Q871" i="3"/>
  <c r="P871" i="3"/>
  <c r="O871" i="3"/>
  <c r="N871" i="3"/>
  <c r="M871" i="3"/>
  <c r="L871" i="3"/>
  <c r="K871" i="3"/>
  <c r="J871" i="3"/>
  <c r="I871" i="3"/>
  <c r="H871" i="3"/>
  <c r="G871" i="3"/>
  <c r="F871" i="3"/>
  <c r="E871" i="3"/>
  <c r="D871" i="3"/>
  <c r="C871" i="3"/>
  <c r="T870" i="3"/>
  <c r="S870" i="3"/>
  <c r="R870" i="3"/>
  <c r="Q870" i="3"/>
  <c r="P870" i="3"/>
  <c r="O870" i="3"/>
  <c r="N870" i="3"/>
  <c r="M870" i="3"/>
  <c r="L870" i="3"/>
  <c r="K870" i="3"/>
  <c r="J870" i="3"/>
  <c r="I870" i="3"/>
  <c r="H870" i="3"/>
  <c r="G870" i="3"/>
  <c r="F870" i="3"/>
  <c r="E870" i="3"/>
  <c r="D870" i="3"/>
  <c r="C870" i="3"/>
  <c r="T869" i="3"/>
  <c r="S869" i="3"/>
  <c r="R869" i="3"/>
  <c r="Q869" i="3"/>
  <c r="P869" i="3"/>
  <c r="O869" i="3"/>
  <c r="N869" i="3"/>
  <c r="M869" i="3"/>
  <c r="L869" i="3"/>
  <c r="K869" i="3"/>
  <c r="J869" i="3"/>
  <c r="I869" i="3"/>
  <c r="H869" i="3"/>
  <c r="G869" i="3"/>
  <c r="F869" i="3"/>
  <c r="E869" i="3"/>
  <c r="D869" i="3"/>
  <c r="C869" i="3"/>
  <c r="T868" i="3"/>
  <c r="S868" i="3"/>
  <c r="R868" i="3"/>
  <c r="Q868" i="3"/>
  <c r="P868" i="3"/>
  <c r="O868" i="3"/>
  <c r="N868" i="3"/>
  <c r="M868" i="3"/>
  <c r="L868" i="3"/>
  <c r="K868" i="3"/>
  <c r="J868" i="3"/>
  <c r="I868" i="3"/>
  <c r="H868" i="3"/>
  <c r="G868" i="3"/>
  <c r="F868" i="3"/>
  <c r="E868" i="3"/>
  <c r="D868" i="3"/>
  <c r="C868" i="3"/>
  <c r="T867" i="3"/>
  <c r="S867" i="3"/>
  <c r="R867" i="3"/>
  <c r="Q867" i="3"/>
  <c r="P867" i="3"/>
  <c r="O867" i="3"/>
  <c r="N867" i="3"/>
  <c r="M867" i="3"/>
  <c r="L867" i="3"/>
  <c r="K867" i="3"/>
  <c r="J867" i="3"/>
  <c r="I867" i="3"/>
  <c r="H867" i="3"/>
  <c r="G867" i="3"/>
  <c r="F867" i="3"/>
  <c r="E867" i="3"/>
  <c r="D867" i="3"/>
  <c r="C867" i="3"/>
  <c r="T866" i="3"/>
  <c r="S866" i="3"/>
  <c r="R866" i="3"/>
  <c r="Q866" i="3"/>
  <c r="P866" i="3"/>
  <c r="O866" i="3"/>
  <c r="N866" i="3"/>
  <c r="M866" i="3"/>
  <c r="L866" i="3"/>
  <c r="K866" i="3"/>
  <c r="J866" i="3"/>
  <c r="I866" i="3"/>
  <c r="H866" i="3"/>
  <c r="B866" i="3" s="1"/>
  <c r="G866" i="3"/>
  <c r="F866" i="3"/>
  <c r="E866" i="3"/>
  <c r="D866" i="3"/>
  <c r="T865" i="3"/>
  <c r="S865" i="3"/>
  <c r="R865" i="3"/>
  <c r="Q865" i="3"/>
  <c r="P865" i="3"/>
  <c r="O865" i="3"/>
  <c r="N865" i="3"/>
  <c r="M865" i="3"/>
  <c r="L865" i="3"/>
  <c r="K865" i="3"/>
  <c r="J865" i="3"/>
  <c r="I865" i="3"/>
  <c r="H865" i="3"/>
  <c r="G865" i="3"/>
  <c r="F865" i="3"/>
  <c r="E865" i="3"/>
  <c r="D865" i="3"/>
  <c r="C865" i="3"/>
  <c r="T864" i="3"/>
  <c r="S864" i="3"/>
  <c r="R864" i="3"/>
  <c r="Q864" i="3"/>
  <c r="P864" i="3"/>
  <c r="O864" i="3"/>
  <c r="N864" i="3"/>
  <c r="M864" i="3"/>
  <c r="L864" i="3"/>
  <c r="K864" i="3"/>
  <c r="J864" i="3"/>
  <c r="I864" i="3"/>
  <c r="H864" i="3"/>
  <c r="G864" i="3"/>
  <c r="F864" i="3"/>
  <c r="E864" i="3"/>
  <c r="D864" i="3"/>
  <c r="C864" i="3"/>
  <c r="T863" i="3"/>
  <c r="S863" i="3"/>
  <c r="R863" i="3"/>
  <c r="Q863" i="3"/>
  <c r="P863" i="3"/>
  <c r="O863" i="3"/>
  <c r="N863" i="3"/>
  <c r="M863" i="3"/>
  <c r="L863" i="3"/>
  <c r="K863" i="3"/>
  <c r="J863" i="3"/>
  <c r="I863" i="3"/>
  <c r="H863" i="3"/>
  <c r="G863" i="3"/>
  <c r="F863" i="3"/>
  <c r="E863" i="3"/>
  <c r="D863" i="3"/>
  <c r="C863" i="3"/>
  <c r="T862" i="3"/>
  <c r="S862" i="3"/>
  <c r="R862" i="3"/>
  <c r="Q862" i="3"/>
  <c r="P862" i="3"/>
  <c r="O862" i="3"/>
  <c r="N862" i="3"/>
  <c r="M862" i="3"/>
  <c r="L862" i="3"/>
  <c r="K862" i="3"/>
  <c r="J862" i="3"/>
  <c r="I862" i="3"/>
  <c r="H862" i="3"/>
  <c r="G862" i="3"/>
  <c r="F862" i="3"/>
  <c r="E862" i="3"/>
  <c r="D862" i="3"/>
  <c r="C862" i="3"/>
  <c r="T861" i="3"/>
  <c r="S861" i="3"/>
  <c r="R861" i="3"/>
  <c r="Q861" i="3"/>
  <c r="P861" i="3"/>
  <c r="O861" i="3"/>
  <c r="N861" i="3"/>
  <c r="M861" i="3"/>
  <c r="L861" i="3"/>
  <c r="K861" i="3"/>
  <c r="J861" i="3"/>
  <c r="I861" i="3"/>
  <c r="H861" i="3"/>
  <c r="G861" i="3"/>
  <c r="F861" i="3"/>
  <c r="E861" i="3"/>
  <c r="D861" i="3"/>
  <c r="C861" i="3"/>
  <c r="T860" i="3"/>
  <c r="S860" i="3"/>
  <c r="R860" i="3"/>
  <c r="Q860" i="3"/>
  <c r="P860" i="3"/>
  <c r="O860" i="3"/>
  <c r="N860" i="3"/>
  <c r="M860" i="3"/>
  <c r="L860" i="3"/>
  <c r="K860" i="3"/>
  <c r="J860" i="3"/>
  <c r="I860" i="3"/>
  <c r="H860" i="3"/>
  <c r="B860" i="3" s="1"/>
  <c r="G860" i="3"/>
  <c r="F860" i="3"/>
  <c r="E860" i="3"/>
  <c r="D860" i="3"/>
  <c r="T859" i="3"/>
  <c r="S859" i="3"/>
  <c r="R859" i="3"/>
  <c r="Q859" i="3"/>
  <c r="P859" i="3"/>
  <c r="O859" i="3"/>
  <c r="N859" i="3"/>
  <c r="M859" i="3"/>
  <c r="L859" i="3"/>
  <c r="K859" i="3"/>
  <c r="J859" i="3"/>
  <c r="I859" i="3"/>
  <c r="H859" i="3"/>
  <c r="B859" i="3" s="1"/>
  <c r="G859" i="3"/>
  <c r="F859" i="3"/>
  <c r="E859" i="3"/>
  <c r="D859" i="3"/>
  <c r="T858" i="3"/>
  <c r="S858" i="3"/>
  <c r="R858" i="3"/>
  <c r="Q858" i="3"/>
  <c r="P858" i="3"/>
  <c r="O858" i="3"/>
  <c r="N858" i="3"/>
  <c r="M858" i="3"/>
  <c r="L858" i="3"/>
  <c r="K858" i="3"/>
  <c r="J858" i="3"/>
  <c r="I858" i="3"/>
  <c r="H858" i="3"/>
  <c r="G858" i="3"/>
  <c r="F858" i="3"/>
  <c r="E858" i="3"/>
  <c r="D858" i="3"/>
  <c r="C858" i="3"/>
  <c r="T857" i="3"/>
  <c r="S857" i="3"/>
  <c r="R857" i="3"/>
  <c r="Q857" i="3"/>
  <c r="P857" i="3"/>
  <c r="O857" i="3"/>
  <c r="N857" i="3"/>
  <c r="M857" i="3"/>
  <c r="L857" i="3"/>
  <c r="K857" i="3"/>
  <c r="J857" i="3"/>
  <c r="I857" i="3"/>
  <c r="H857" i="3"/>
  <c r="G857" i="3"/>
  <c r="F857" i="3"/>
  <c r="E857" i="3"/>
  <c r="D857" i="3"/>
  <c r="C857" i="3"/>
  <c r="T856" i="3"/>
  <c r="S856" i="3"/>
  <c r="R856" i="3"/>
  <c r="Q856" i="3"/>
  <c r="P856" i="3"/>
  <c r="O856" i="3"/>
  <c r="N856" i="3"/>
  <c r="M856" i="3"/>
  <c r="L856" i="3"/>
  <c r="K856" i="3"/>
  <c r="J856" i="3"/>
  <c r="I856" i="3"/>
  <c r="H856" i="3"/>
  <c r="G856" i="3"/>
  <c r="F856" i="3"/>
  <c r="E856" i="3"/>
  <c r="D856" i="3"/>
  <c r="C856" i="3"/>
  <c r="T855" i="3"/>
  <c r="S855" i="3"/>
  <c r="R855" i="3"/>
  <c r="Q855" i="3"/>
  <c r="P855" i="3"/>
  <c r="O855" i="3"/>
  <c r="N855" i="3"/>
  <c r="M855" i="3"/>
  <c r="L855" i="3"/>
  <c r="K855" i="3"/>
  <c r="J855" i="3"/>
  <c r="I855" i="3"/>
  <c r="H855" i="3"/>
  <c r="G855" i="3"/>
  <c r="F855" i="3"/>
  <c r="E855" i="3"/>
  <c r="D855" i="3"/>
  <c r="C855" i="3"/>
  <c r="T854" i="3"/>
  <c r="S854" i="3"/>
  <c r="R854" i="3"/>
  <c r="Q854" i="3"/>
  <c r="P854" i="3"/>
  <c r="O854" i="3"/>
  <c r="N854" i="3"/>
  <c r="M854" i="3"/>
  <c r="L854" i="3"/>
  <c r="K854" i="3"/>
  <c r="J854" i="3"/>
  <c r="I854" i="3"/>
  <c r="H854" i="3"/>
  <c r="G854" i="3"/>
  <c r="F854" i="3"/>
  <c r="E854" i="3"/>
  <c r="D854" i="3"/>
  <c r="C854" i="3"/>
  <c r="T853" i="3"/>
  <c r="S853" i="3"/>
  <c r="R853" i="3"/>
  <c r="Q853" i="3"/>
  <c r="P853" i="3"/>
  <c r="O853" i="3"/>
  <c r="N853" i="3"/>
  <c r="M853" i="3"/>
  <c r="L853" i="3"/>
  <c r="K853" i="3"/>
  <c r="J853" i="3"/>
  <c r="I853" i="3"/>
  <c r="H853" i="3"/>
  <c r="G853" i="3"/>
  <c r="F853" i="3"/>
  <c r="E853" i="3"/>
  <c r="D853" i="3"/>
  <c r="C853" i="3"/>
  <c r="T852" i="3"/>
  <c r="S852" i="3"/>
  <c r="R852" i="3"/>
  <c r="Q852" i="3"/>
  <c r="P852" i="3"/>
  <c r="O852" i="3"/>
  <c r="N852" i="3"/>
  <c r="M852" i="3"/>
  <c r="L852" i="3"/>
  <c r="K852" i="3"/>
  <c r="J852" i="3"/>
  <c r="I852" i="3"/>
  <c r="H852" i="3"/>
  <c r="B852" i="3" s="1"/>
  <c r="G852" i="3"/>
  <c r="F852" i="3"/>
  <c r="E852" i="3"/>
  <c r="D852" i="3"/>
  <c r="T851" i="3"/>
  <c r="S851" i="3"/>
  <c r="R851" i="3"/>
  <c r="Q851" i="3"/>
  <c r="P851" i="3"/>
  <c r="O851" i="3"/>
  <c r="N851" i="3"/>
  <c r="M851" i="3"/>
  <c r="L851" i="3"/>
  <c r="K851" i="3"/>
  <c r="J851" i="3"/>
  <c r="I851" i="3"/>
  <c r="H851" i="3"/>
  <c r="G851" i="3"/>
  <c r="F851" i="3"/>
  <c r="E851" i="3"/>
  <c r="D851" i="3"/>
  <c r="C851" i="3"/>
  <c r="T850" i="3"/>
  <c r="S850" i="3"/>
  <c r="R850" i="3"/>
  <c r="Q850" i="3"/>
  <c r="P850" i="3"/>
  <c r="O850" i="3"/>
  <c r="N850" i="3"/>
  <c r="M850" i="3"/>
  <c r="L850" i="3"/>
  <c r="K850" i="3"/>
  <c r="J850" i="3"/>
  <c r="I850" i="3"/>
  <c r="H850" i="3"/>
  <c r="G850" i="3"/>
  <c r="F850" i="3"/>
  <c r="E850" i="3"/>
  <c r="D850" i="3"/>
  <c r="C850" i="3"/>
  <c r="T849" i="3"/>
  <c r="S849" i="3"/>
  <c r="R849" i="3"/>
  <c r="Q849" i="3"/>
  <c r="P849" i="3"/>
  <c r="O849" i="3"/>
  <c r="N849" i="3"/>
  <c r="M849" i="3"/>
  <c r="L849" i="3"/>
  <c r="K849" i="3"/>
  <c r="J849" i="3"/>
  <c r="I849" i="3"/>
  <c r="H849" i="3"/>
  <c r="G849" i="3"/>
  <c r="F849" i="3"/>
  <c r="E849" i="3"/>
  <c r="D849" i="3"/>
  <c r="C849" i="3"/>
  <c r="T848" i="3"/>
  <c r="S848" i="3"/>
  <c r="R848" i="3"/>
  <c r="Q848" i="3"/>
  <c r="P848" i="3"/>
  <c r="O848" i="3"/>
  <c r="N848" i="3"/>
  <c r="M848" i="3"/>
  <c r="L848" i="3"/>
  <c r="K848" i="3"/>
  <c r="J848" i="3"/>
  <c r="I848" i="3"/>
  <c r="H848" i="3"/>
  <c r="G848" i="3"/>
  <c r="F848" i="3"/>
  <c r="E848" i="3"/>
  <c r="D848" i="3"/>
  <c r="C848" i="3"/>
  <c r="T847" i="3"/>
  <c r="S847" i="3"/>
  <c r="R847" i="3"/>
  <c r="Q847" i="3"/>
  <c r="P847" i="3"/>
  <c r="O847" i="3"/>
  <c r="N847" i="3"/>
  <c r="M847" i="3"/>
  <c r="L847" i="3"/>
  <c r="K847" i="3"/>
  <c r="J847" i="3"/>
  <c r="I847" i="3"/>
  <c r="H847" i="3"/>
  <c r="G847" i="3"/>
  <c r="F847" i="3"/>
  <c r="E847" i="3"/>
  <c r="D847" i="3"/>
  <c r="C847" i="3"/>
  <c r="T846" i="3"/>
  <c r="S846" i="3"/>
  <c r="R846" i="3"/>
  <c r="Q846" i="3"/>
  <c r="P846" i="3"/>
  <c r="O846" i="3"/>
  <c r="N846" i="3"/>
  <c r="M846" i="3"/>
  <c r="L846" i="3"/>
  <c r="K846" i="3"/>
  <c r="J846" i="3"/>
  <c r="I846" i="3"/>
  <c r="H846" i="3"/>
  <c r="G846" i="3"/>
  <c r="F846" i="3"/>
  <c r="E846" i="3"/>
  <c r="D846" i="3"/>
  <c r="C846" i="3"/>
  <c r="T845" i="3"/>
  <c r="S845" i="3"/>
  <c r="R845" i="3"/>
  <c r="Q845" i="3"/>
  <c r="P845" i="3"/>
  <c r="O845" i="3"/>
  <c r="N845" i="3"/>
  <c r="M845" i="3"/>
  <c r="L845" i="3"/>
  <c r="K845" i="3"/>
  <c r="J845" i="3"/>
  <c r="I845" i="3"/>
  <c r="H845" i="3"/>
  <c r="B845" i="3" s="1"/>
  <c r="G845" i="3"/>
  <c r="F845" i="3"/>
  <c r="E845" i="3"/>
  <c r="D845" i="3"/>
  <c r="T844" i="3"/>
  <c r="S844" i="3"/>
  <c r="R844" i="3"/>
  <c r="Q844" i="3"/>
  <c r="P844" i="3"/>
  <c r="O844" i="3"/>
  <c r="N844" i="3"/>
  <c r="M844" i="3"/>
  <c r="L844" i="3"/>
  <c r="K844" i="3"/>
  <c r="J844" i="3"/>
  <c r="I844" i="3"/>
  <c r="H844" i="3"/>
  <c r="G844" i="3"/>
  <c r="F844" i="3"/>
  <c r="E844" i="3"/>
  <c r="D844" i="3"/>
  <c r="C844" i="3"/>
  <c r="T843" i="3"/>
  <c r="S843" i="3"/>
  <c r="R843" i="3"/>
  <c r="Q843" i="3"/>
  <c r="P843" i="3"/>
  <c r="O843" i="3"/>
  <c r="N843" i="3"/>
  <c r="M843" i="3"/>
  <c r="L843" i="3"/>
  <c r="K843" i="3"/>
  <c r="J843" i="3"/>
  <c r="I843" i="3"/>
  <c r="H843" i="3"/>
  <c r="B843" i="3" s="1"/>
  <c r="G843" i="3"/>
  <c r="F843" i="3"/>
  <c r="E843" i="3"/>
  <c r="D843" i="3"/>
  <c r="T842" i="3"/>
  <c r="S842" i="3"/>
  <c r="R842" i="3"/>
  <c r="Q842" i="3"/>
  <c r="P842" i="3"/>
  <c r="O842" i="3"/>
  <c r="N842" i="3"/>
  <c r="M842" i="3"/>
  <c r="L842" i="3"/>
  <c r="K842" i="3"/>
  <c r="J842" i="3"/>
  <c r="I842" i="3"/>
  <c r="H842" i="3"/>
  <c r="G842" i="3"/>
  <c r="F842" i="3"/>
  <c r="E842" i="3"/>
  <c r="D842" i="3"/>
  <c r="C842" i="3"/>
  <c r="T841" i="3"/>
  <c r="S841" i="3"/>
  <c r="R841" i="3"/>
  <c r="Q841" i="3"/>
  <c r="P841" i="3"/>
  <c r="O841" i="3"/>
  <c r="N841" i="3"/>
  <c r="M841" i="3"/>
  <c r="L841" i="3"/>
  <c r="K841" i="3"/>
  <c r="J841" i="3"/>
  <c r="I841" i="3"/>
  <c r="H841" i="3"/>
  <c r="G841" i="3"/>
  <c r="F841" i="3"/>
  <c r="E841" i="3"/>
  <c r="D841" i="3"/>
  <c r="C841" i="3"/>
  <c r="T840" i="3"/>
  <c r="S840" i="3"/>
  <c r="R840" i="3"/>
  <c r="Q840" i="3"/>
  <c r="P840" i="3"/>
  <c r="O840" i="3"/>
  <c r="N840" i="3"/>
  <c r="M840" i="3"/>
  <c r="L840" i="3"/>
  <c r="K840" i="3"/>
  <c r="J840" i="3"/>
  <c r="I840" i="3"/>
  <c r="H840" i="3"/>
  <c r="G840" i="3"/>
  <c r="F840" i="3"/>
  <c r="E840" i="3"/>
  <c r="D840" i="3"/>
  <c r="C840" i="3"/>
  <c r="T839" i="3"/>
  <c r="S839" i="3"/>
  <c r="R839" i="3"/>
  <c r="Q839" i="3"/>
  <c r="P839" i="3"/>
  <c r="O839" i="3"/>
  <c r="N839" i="3"/>
  <c r="M839" i="3"/>
  <c r="L839" i="3"/>
  <c r="K839" i="3"/>
  <c r="J839" i="3"/>
  <c r="I839" i="3"/>
  <c r="H839" i="3"/>
  <c r="G839" i="3"/>
  <c r="F839" i="3"/>
  <c r="E839" i="3"/>
  <c r="D839" i="3"/>
  <c r="C839" i="3"/>
  <c r="T838" i="3"/>
  <c r="S838" i="3"/>
  <c r="R838" i="3"/>
  <c r="Q838" i="3"/>
  <c r="P838" i="3"/>
  <c r="O838" i="3"/>
  <c r="N838" i="3"/>
  <c r="M838" i="3"/>
  <c r="L838" i="3"/>
  <c r="K838" i="3"/>
  <c r="J838" i="3"/>
  <c r="I838" i="3"/>
  <c r="H838" i="3"/>
  <c r="G838" i="3"/>
  <c r="F838" i="3"/>
  <c r="E838" i="3"/>
  <c r="D838" i="3"/>
  <c r="C838" i="3"/>
  <c r="T837" i="3"/>
  <c r="S837" i="3"/>
  <c r="R837" i="3"/>
  <c r="Q837" i="3"/>
  <c r="P837" i="3"/>
  <c r="O837" i="3"/>
  <c r="N837" i="3"/>
  <c r="M837" i="3"/>
  <c r="L837" i="3"/>
  <c r="K837" i="3"/>
  <c r="J837" i="3"/>
  <c r="I837" i="3"/>
  <c r="H837" i="3"/>
  <c r="G837" i="3"/>
  <c r="F837" i="3"/>
  <c r="E837" i="3"/>
  <c r="D837" i="3"/>
  <c r="C837" i="3"/>
  <c r="T836" i="3"/>
  <c r="S836" i="3"/>
  <c r="R836" i="3"/>
  <c r="Q836" i="3"/>
  <c r="P836" i="3"/>
  <c r="O836" i="3"/>
  <c r="N836" i="3"/>
  <c r="M836" i="3"/>
  <c r="L836" i="3"/>
  <c r="K836" i="3"/>
  <c r="J836" i="3"/>
  <c r="I836" i="3"/>
  <c r="H836" i="3"/>
  <c r="G836" i="3"/>
  <c r="F836" i="3"/>
  <c r="E836" i="3"/>
  <c r="D836" i="3"/>
  <c r="C836" i="3"/>
  <c r="T835" i="3"/>
  <c r="S835" i="3"/>
  <c r="R835" i="3"/>
  <c r="Q835" i="3"/>
  <c r="P835" i="3"/>
  <c r="O835" i="3"/>
  <c r="N835" i="3"/>
  <c r="M835" i="3"/>
  <c r="L835" i="3"/>
  <c r="K835" i="3"/>
  <c r="J835" i="3"/>
  <c r="I835" i="3"/>
  <c r="H835" i="3"/>
  <c r="G835" i="3"/>
  <c r="F835" i="3"/>
  <c r="E835" i="3"/>
  <c r="D835" i="3"/>
  <c r="C835" i="3"/>
  <c r="T834" i="3"/>
  <c r="S834" i="3"/>
  <c r="R834" i="3"/>
  <c r="Q834" i="3"/>
  <c r="P834" i="3"/>
  <c r="O834" i="3"/>
  <c r="N834" i="3"/>
  <c r="M834" i="3"/>
  <c r="L834" i="3"/>
  <c r="K834" i="3"/>
  <c r="J834" i="3"/>
  <c r="I834" i="3"/>
  <c r="H834" i="3"/>
  <c r="B834" i="3" s="1"/>
  <c r="G834" i="3"/>
  <c r="F834" i="3"/>
  <c r="E834" i="3"/>
  <c r="D834" i="3"/>
  <c r="T833" i="3"/>
  <c r="S833" i="3"/>
  <c r="R833" i="3"/>
  <c r="Q833" i="3"/>
  <c r="P833" i="3"/>
  <c r="O833" i="3"/>
  <c r="N833" i="3"/>
  <c r="M833" i="3"/>
  <c r="L833" i="3"/>
  <c r="K833" i="3"/>
  <c r="J833" i="3"/>
  <c r="I833" i="3"/>
  <c r="H833" i="3"/>
  <c r="G833" i="3"/>
  <c r="F833" i="3"/>
  <c r="E833" i="3"/>
  <c r="D833" i="3"/>
  <c r="C833" i="3"/>
  <c r="T832" i="3"/>
  <c r="S832" i="3"/>
  <c r="R832" i="3"/>
  <c r="Q832" i="3"/>
  <c r="P832" i="3"/>
  <c r="O832" i="3"/>
  <c r="N832" i="3"/>
  <c r="M832" i="3"/>
  <c r="L832" i="3"/>
  <c r="K832" i="3"/>
  <c r="J832" i="3"/>
  <c r="I832" i="3"/>
  <c r="H832" i="3"/>
  <c r="G832" i="3"/>
  <c r="F832" i="3"/>
  <c r="E832" i="3"/>
  <c r="D832" i="3"/>
  <c r="C832" i="3"/>
  <c r="T831" i="3"/>
  <c r="S831" i="3"/>
  <c r="R831" i="3"/>
  <c r="Q831" i="3"/>
  <c r="P831" i="3"/>
  <c r="O831" i="3"/>
  <c r="N831" i="3"/>
  <c r="M831" i="3"/>
  <c r="L831" i="3"/>
  <c r="K831" i="3"/>
  <c r="J831" i="3"/>
  <c r="I831" i="3"/>
  <c r="H831" i="3"/>
  <c r="G831" i="3"/>
  <c r="F831" i="3"/>
  <c r="E831" i="3"/>
  <c r="D831" i="3"/>
  <c r="C831" i="3"/>
  <c r="T830" i="3"/>
  <c r="S830" i="3"/>
  <c r="R830" i="3"/>
  <c r="Q830" i="3"/>
  <c r="P830" i="3"/>
  <c r="O830" i="3"/>
  <c r="N830" i="3"/>
  <c r="M830" i="3"/>
  <c r="L830" i="3"/>
  <c r="K830" i="3"/>
  <c r="J830" i="3"/>
  <c r="I830" i="3"/>
  <c r="H830" i="3"/>
  <c r="G830" i="3"/>
  <c r="F830" i="3"/>
  <c r="E830" i="3"/>
  <c r="D830" i="3"/>
  <c r="C830" i="3"/>
  <c r="T829" i="3"/>
  <c r="S829" i="3"/>
  <c r="R829" i="3"/>
  <c r="Q829" i="3"/>
  <c r="P829" i="3"/>
  <c r="O829" i="3"/>
  <c r="N829" i="3"/>
  <c r="M829" i="3"/>
  <c r="L829" i="3"/>
  <c r="K829" i="3"/>
  <c r="J829" i="3"/>
  <c r="I829" i="3"/>
  <c r="H829" i="3"/>
  <c r="B829" i="3" s="1"/>
  <c r="G829" i="3"/>
  <c r="F829" i="3"/>
  <c r="E829" i="3"/>
  <c r="D829" i="3"/>
  <c r="T828" i="3"/>
  <c r="S828" i="3"/>
  <c r="R828" i="3"/>
  <c r="Q828" i="3"/>
  <c r="P828" i="3"/>
  <c r="O828" i="3"/>
  <c r="N828" i="3"/>
  <c r="M828" i="3"/>
  <c r="L828" i="3"/>
  <c r="K828" i="3"/>
  <c r="J828" i="3"/>
  <c r="I828" i="3"/>
  <c r="H828" i="3"/>
  <c r="G828" i="3"/>
  <c r="F828" i="3"/>
  <c r="E828" i="3"/>
  <c r="D828" i="3"/>
  <c r="C828" i="3"/>
  <c r="T827" i="3"/>
  <c r="S827" i="3"/>
  <c r="R827" i="3"/>
  <c r="Q827" i="3"/>
  <c r="P827" i="3"/>
  <c r="O827" i="3"/>
  <c r="N827" i="3"/>
  <c r="M827" i="3"/>
  <c r="L827" i="3"/>
  <c r="K827" i="3"/>
  <c r="J827" i="3"/>
  <c r="I827" i="3"/>
  <c r="H827" i="3"/>
  <c r="B827" i="3" s="1"/>
  <c r="G827" i="3"/>
  <c r="F827" i="3"/>
  <c r="E827" i="3"/>
  <c r="D827" i="3"/>
  <c r="T826" i="3"/>
  <c r="S826" i="3"/>
  <c r="R826" i="3"/>
  <c r="Q826" i="3"/>
  <c r="N826" i="3"/>
  <c r="M826" i="3"/>
  <c r="L826" i="3"/>
  <c r="K826" i="3"/>
  <c r="J826" i="3"/>
  <c r="I826" i="3"/>
  <c r="H826" i="3"/>
  <c r="G826" i="3"/>
  <c r="F826" i="3"/>
  <c r="E826" i="3"/>
  <c r="D826" i="3"/>
  <c r="C826" i="3"/>
  <c r="T825" i="3"/>
  <c r="S825" i="3"/>
  <c r="R825" i="3"/>
  <c r="Q825" i="3"/>
  <c r="P825" i="3"/>
  <c r="O825" i="3"/>
  <c r="N825" i="3"/>
  <c r="M825" i="3"/>
  <c r="L825" i="3"/>
  <c r="K825" i="3"/>
  <c r="J825" i="3"/>
  <c r="I825" i="3"/>
  <c r="H825" i="3"/>
  <c r="G825" i="3"/>
  <c r="F825" i="3"/>
  <c r="E825" i="3"/>
  <c r="D825" i="3"/>
  <c r="C825" i="3"/>
  <c r="T824" i="3"/>
  <c r="S824" i="3"/>
  <c r="R824" i="3"/>
  <c r="Q824" i="3"/>
  <c r="P824" i="3"/>
  <c r="O824" i="3"/>
  <c r="N824" i="3"/>
  <c r="M824" i="3"/>
  <c r="L824" i="3"/>
  <c r="K824" i="3"/>
  <c r="J824" i="3"/>
  <c r="I824" i="3"/>
  <c r="H824" i="3"/>
  <c r="B824" i="3" s="1"/>
  <c r="G824" i="3"/>
  <c r="F824" i="3"/>
  <c r="E824" i="3"/>
  <c r="D824" i="3"/>
  <c r="T823" i="3"/>
  <c r="S823" i="3"/>
  <c r="R823" i="3"/>
  <c r="Q823" i="3"/>
  <c r="P823" i="3"/>
  <c r="O823" i="3"/>
  <c r="N823" i="3"/>
  <c r="M823" i="3"/>
  <c r="L823" i="3"/>
  <c r="K823" i="3"/>
  <c r="J823" i="3"/>
  <c r="I823" i="3"/>
  <c r="H823" i="3"/>
  <c r="G823" i="3"/>
  <c r="F823" i="3"/>
  <c r="E823" i="3"/>
  <c r="D823" i="3"/>
  <c r="C823" i="3"/>
  <c r="T822" i="3"/>
  <c r="S822" i="3"/>
  <c r="R822" i="3"/>
  <c r="Q822" i="3"/>
  <c r="P822" i="3"/>
  <c r="O822" i="3"/>
  <c r="N822" i="3"/>
  <c r="M822" i="3"/>
  <c r="L822" i="3"/>
  <c r="K822" i="3"/>
  <c r="J822" i="3"/>
  <c r="I822" i="3"/>
  <c r="H822" i="3"/>
  <c r="G822" i="3"/>
  <c r="F822" i="3"/>
  <c r="E822" i="3"/>
  <c r="D822" i="3"/>
  <c r="C822" i="3"/>
  <c r="T821" i="3"/>
  <c r="S821" i="3"/>
  <c r="R821" i="3"/>
  <c r="Q821" i="3"/>
  <c r="P821" i="3"/>
  <c r="O821" i="3"/>
  <c r="N821" i="3"/>
  <c r="M821" i="3"/>
  <c r="L821" i="3"/>
  <c r="K821" i="3"/>
  <c r="J821" i="3"/>
  <c r="I821" i="3"/>
  <c r="H821" i="3"/>
  <c r="G821" i="3"/>
  <c r="F821" i="3"/>
  <c r="E821" i="3"/>
  <c r="D821" i="3"/>
  <c r="C821" i="3"/>
  <c r="T820" i="3"/>
  <c r="S820" i="3"/>
  <c r="R820" i="3"/>
  <c r="Q820" i="3"/>
  <c r="P820" i="3"/>
  <c r="O820" i="3"/>
  <c r="N820" i="3"/>
  <c r="M820" i="3"/>
  <c r="L820" i="3"/>
  <c r="K820" i="3"/>
  <c r="J820" i="3"/>
  <c r="I820" i="3"/>
  <c r="H820" i="3"/>
  <c r="G820" i="3"/>
  <c r="F820" i="3"/>
  <c r="E820" i="3"/>
  <c r="D820" i="3"/>
  <c r="C820" i="3"/>
  <c r="T819" i="3"/>
  <c r="S819" i="3"/>
  <c r="R819" i="3"/>
  <c r="Q819" i="3"/>
  <c r="P819" i="3"/>
  <c r="O819" i="3"/>
  <c r="N819" i="3"/>
  <c r="M819" i="3"/>
  <c r="L819" i="3"/>
  <c r="K819" i="3"/>
  <c r="J819" i="3"/>
  <c r="I819" i="3"/>
  <c r="H819" i="3"/>
  <c r="G819" i="3"/>
  <c r="F819" i="3"/>
  <c r="E819" i="3"/>
  <c r="D819" i="3"/>
  <c r="C819" i="3"/>
  <c r="T818" i="3"/>
  <c r="S818" i="3"/>
  <c r="R818" i="3"/>
  <c r="Q818" i="3"/>
  <c r="P818" i="3"/>
  <c r="O818" i="3"/>
  <c r="N818" i="3"/>
  <c r="M818" i="3"/>
  <c r="L818" i="3"/>
  <c r="K818" i="3"/>
  <c r="J818" i="3"/>
  <c r="I818" i="3"/>
  <c r="H818" i="3"/>
  <c r="G818" i="3"/>
  <c r="F818" i="3"/>
  <c r="E818" i="3"/>
  <c r="D818" i="3"/>
  <c r="C818" i="3"/>
  <c r="T817" i="3"/>
  <c r="S817" i="3"/>
  <c r="R817" i="3"/>
  <c r="Q817" i="3"/>
  <c r="P817" i="3"/>
  <c r="O817" i="3"/>
  <c r="N817" i="3"/>
  <c r="M817" i="3"/>
  <c r="L817" i="3"/>
  <c r="K817" i="3"/>
  <c r="J817" i="3"/>
  <c r="I817" i="3"/>
  <c r="H817" i="3"/>
  <c r="B817" i="3" s="1"/>
  <c r="G817" i="3"/>
  <c r="F817" i="3"/>
  <c r="E817" i="3"/>
  <c r="D817" i="3"/>
  <c r="T816" i="3"/>
  <c r="S816" i="3"/>
  <c r="R816" i="3"/>
  <c r="Q816" i="3"/>
  <c r="P816" i="3"/>
  <c r="O816" i="3"/>
  <c r="N816" i="3"/>
  <c r="M816" i="3"/>
  <c r="L816" i="3"/>
  <c r="K816" i="3"/>
  <c r="J816" i="3"/>
  <c r="I816" i="3"/>
  <c r="H816" i="3"/>
  <c r="G816" i="3"/>
  <c r="F816" i="3"/>
  <c r="E816" i="3"/>
  <c r="D816" i="3"/>
  <c r="C816" i="3"/>
  <c r="T815" i="3"/>
  <c r="S815" i="3"/>
  <c r="R815" i="3"/>
  <c r="Q815" i="3"/>
  <c r="P815" i="3"/>
  <c r="O815" i="3"/>
  <c r="N815" i="3"/>
  <c r="M815" i="3"/>
  <c r="L815" i="3"/>
  <c r="K815" i="3"/>
  <c r="J815" i="3"/>
  <c r="I815" i="3"/>
  <c r="H815" i="3"/>
  <c r="G815" i="3"/>
  <c r="F815" i="3"/>
  <c r="E815" i="3"/>
  <c r="D815" i="3"/>
  <c r="C815" i="3"/>
  <c r="T814" i="3"/>
  <c r="S814" i="3"/>
  <c r="R814" i="3"/>
  <c r="Q814" i="3"/>
  <c r="P814" i="3"/>
  <c r="O814" i="3"/>
  <c r="N814" i="3"/>
  <c r="M814" i="3"/>
  <c r="L814" i="3"/>
  <c r="K814" i="3"/>
  <c r="J814" i="3"/>
  <c r="I814" i="3"/>
  <c r="H814" i="3"/>
  <c r="B814" i="3" s="1"/>
  <c r="G814" i="3"/>
  <c r="F814" i="3"/>
  <c r="E814" i="3"/>
  <c r="D814" i="3"/>
  <c r="T813" i="3"/>
  <c r="S813" i="3"/>
  <c r="R813" i="3"/>
  <c r="Q813" i="3"/>
  <c r="P813" i="3"/>
  <c r="O813" i="3"/>
  <c r="N813" i="3"/>
  <c r="M813" i="3"/>
  <c r="L813" i="3"/>
  <c r="K813" i="3"/>
  <c r="J813" i="3"/>
  <c r="I813" i="3"/>
  <c r="H813" i="3"/>
  <c r="B813" i="3" s="1"/>
  <c r="G813" i="3"/>
  <c r="F813" i="3"/>
  <c r="E813" i="3"/>
  <c r="D813" i="3"/>
  <c r="T812" i="3"/>
  <c r="S812" i="3"/>
  <c r="R812" i="3"/>
  <c r="Q812" i="3"/>
  <c r="P812" i="3"/>
  <c r="O812" i="3"/>
  <c r="N812" i="3"/>
  <c r="M812" i="3"/>
  <c r="L812" i="3"/>
  <c r="K812" i="3"/>
  <c r="J812" i="3"/>
  <c r="I812" i="3"/>
  <c r="H812" i="3"/>
  <c r="B812" i="3" s="1"/>
  <c r="G812" i="3"/>
  <c r="F812" i="3"/>
  <c r="E812" i="3"/>
  <c r="D812" i="3"/>
  <c r="T811" i="3"/>
  <c r="S811" i="3"/>
  <c r="R811" i="3"/>
  <c r="Q811" i="3"/>
  <c r="P811" i="3"/>
  <c r="O811" i="3"/>
  <c r="N811" i="3"/>
  <c r="M811" i="3"/>
  <c r="L811" i="3"/>
  <c r="K811" i="3"/>
  <c r="J811" i="3"/>
  <c r="I811" i="3"/>
  <c r="H811" i="3"/>
  <c r="B811" i="3" s="1"/>
  <c r="G811" i="3"/>
  <c r="F811" i="3"/>
  <c r="E811" i="3"/>
  <c r="D811" i="3"/>
  <c r="T810" i="3"/>
  <c r="S810" i="3"/>
  <c r="R810" i="3"/>
  <c r="Q810" i="3"/>
  <c r="P810" i="3"/>
  <c r="O810" i="3"/>
  <c r="N810" i="3"/>
  <c r="M810" i="3"/>
  <c r="L810" i="3"/>
  <c r="K810" i="3"/>
  <c r="J810" i="3"/>
  <c r="I810" i="3"/>
  <c r="H810" i="3"/>
  <c r="B810" i="3" s="1"/>
  <c r="G810" i="3"/>
  <c r="F810" i="3"/>
  <c r="E810" i="3"/>
  <c r="D810" i="3"/>
  <c r="T809" i="3"/>
  <c r="S809" i="3"/>
  <c r="R809" i="3"/>
  <c r="Q809" i="3"/>
  <c r="P809" i="3"/>
  <c r="O809" i="3"/>
  <c r="N809" i="3"/>
  <c r="M809" i="3"/>
  <c r="L809" i="3"/>
  <c r="K809" i="3"/>
  <c r="J809" i="3"/>
  <c r="I809" i="3"/>
  <c r="H809" i="3"/>
  <c r="B809" i="3" s="1"/>
  <c r="G809" i="3"/>
  <c r="F809" i="3"/>
  <c r="E809" i="3"/>
  <c r="D809" i="3"/>
  <c r="T808" i="3"/>
  <c r="S808" i="3"/>
  <c r="R808" i="3"/>
  <c r="Q808" i="3"/>
  <c r="P808" i="3"/>
  <c r="O808" i="3"/>
  <c r="N808" i="3"/>
  <c r="M808" i="3"/>
  <c r="L808" i="3"/>
  <c r="K808" i="3"/>
  <c r="J808" i="3"/>
  <c r="I808" i="3"/>
  <c r="H808" i="3"/>
  <c r="G808" i="3"/>
  <c r="F808" i="3"/>
  <c r="E808" i="3"/>
  <c r="D808" i="3"/>
  <c r="C808" i="3"/>
  <c r="T807" i="3"/>
  <c r="S807" i="3"/>
  <c r="R807" i="3"/>
  <c r="Q807" i="3"/>
  <c r="P807" i="3"/>
  <c r="O807" i="3"/>
  <c r="N807" i="3"/>
  <c r="M807" i="3"/>
  <c r="L807" i="3"/>
  <c r="K807" i="3"/>
  <c r="J807" i="3"/>
  <c r="I807" i="3"/>
  <c r="H807" i="3"/>
  <c r="G807" i="3"/>
  <c r="F807" i="3"/>
  <c r="E807" i="3"/>
  <c r="D807" i="3"/>
  <c r="C807" i="3"/>
  <c r="T806" i="3"/>
  <c r="S806" i="3"/>
  <c r="R806" i="3"/>
  <c r="Q806" i="3"/>
  <c r="P806" i="3"/>
  <c r="O806" i="3"/>
  <c r="N806" i="3"/>
  <c r="M806" i="3"/>
  <c r="L806" i="3"/>
  <c r="K806" i="3"/>
  <c r="J806" i="3"/>
  <c r="I806" i="3"/>
  <c r="H806" i="3"/>
  <c r="B806" i="3" s="1"/>
  <c r="G806" i="3"/>
  <c r="F806" i="3"/>
  <c r="E806" i="3"/>
  <c r="D806" i="3"/>
  <c r="T805" i="3"/>
  <c r="S805" i="3"/>
  <c r="R805" i="3"/>
  <c r="Q805" i="3"/>
  <c r="P805" i="3"/>
  <c r="O805" i="3"/>
  <c r="N805" i="3"/>
  <c r="M805" i="3"/>
  <c r="L805" i="3"/>
  <c r="K805" i="3"/>
  <c r="J805" i="3"/>
  <c r="I805" i="3"/>
  <c r="H805" i="3"/>
  <c r="G805" i="3"/>
  <c r="F805" i="3"/>
  <c r="E805" i="3"/>
  <c r="D805" i="3"/>
  <c r="C805" i="3"/>
  <c r="T804" i="3"/>
  <c r="S804" i="3"/>
  <c r="R804" i="3"/>
  <c r="Q804" i="3"/>
  <c r="P804" i="3"/>
  <c r="O804" i="3"/>
  <c r="N804" i="3"/>
  <c r="M804" i="3"/>
  <c r="L804" i="3"/>
  <c r="K804" i="3"/>
  <c r="J804" i="3"/>
  <c r="I804" i="3"/>
  <c r="H804" i="3"/>
  <c r="G804" i="3"/>
  <c r="F804" i="3"/>
  <c r="E804" i="3"/>
  <c r="D804" i="3"/>
  <c r="C804" i="3"/>
  <c r="T803" i="3"/>
  <c r="S803" i="3"/>
  <c r="R803" i="3"/>
  <c r="Q803" i="3"/>
  <c r="P803" i="3"/>
  <c r="O803" i="3"/>
  <c r="N803" i="3"/>
  <c r="M803" i="3"/>
  <c r="L803" i="3"/>
  <c r="K803" i="3"/>
  <c r="J803" i="3"/>
  <c r="I803" i="3"/>
  <c r="H803" i="3"/>
  <c r="G803" i="3"/>
  <c r="F803" i="3"/>
  <c r="E803" i="3"/>
  <c r="D803" i="3"/>
  <c r="C803" i="3"/>
  <c r="T802" i="3"/>
  <c r="S802" i="3"/>
  <c r="R802" i="3"/>
  <c r="Q802" i="3"/>
  <c r="P802" i="3"/>
  <c r="O802" i="3"/>
  <c r="N802" i="3"/>
  <c r="M802" i="3"/>
  <c r="L802" i="3"/>
  <c r="K802" i="3"/>
  <c r="J802" i="3"/>
  <c r="I802" i="3"/>
  <c r="H802" i="3"/>
  <c r="G802" i="3"/>
  <c r="F802" i="3"/>
  <c r="E802" i="3"/>
  <c r="D802" i="3"/>
  <c r="C802" i="3"/>
  <c r="T801" i="3"/>
  <c r="S801" i="3"/>
  <c r="R801" i="3"/>
  <c r="Q801" i="3"/>
  <c r="P801" i="3"/>
  <c r="O801" i="3"/>
  <c r="N801" i="3"/>
  <c r="M801" i="3"/>
  <c r="L801" i="3"/>
  <c r="K801" i="3"/>
  <c r="J801" i="3"/>
  <c r="I801" i="3"/>
  <c r="H801" i="3"/>
  <c r="B801" i="3" s="1"/>
  <c r="G801" i="3"/>
  <c r="F801" i="3"/>
  <c r="E801" i="3"/>
  <c r="D801" i="3"/>
  <c r="T800" i="3"/>
  <c r="S800" i="3"/>
  <c r="R800" i="3"/>
  <c r="Q800" i="3"/>
  <c r="P800" i="3"/>
  <c r="O800" i="3"/>
  <c r="N800" i="3"/>
  <c r="M800" i="3"/>
  <c r="L800" i="3"/>
  <c r="K800" i="3"/>
  <c r="J800" i="3"/>
  <c r="I800" i="3"/>
  <c r="H800" i="3"/>
  <c r="G800" i="3"/>
  <c r="F800" i="3"/>
  <c r="E800" i="3"/>
  <c r="D800" i="3"/>
  <c r="C800" i="3"/>
  <c r="T799" i="3"/>
  <c r="S799" i="3"/>
  <c r="R799" i="3"/>
  <c r="Q799" i="3"/>
  <c r="P799" i="3"/>
  <c r="O799" i="3"/>
  <c r="N799" i="3"/>
  <c r="M799" i="3"/>
  <c r="L799" i="3"/>
  <c r="K799" i="3"/>
  <c r="J799" i="3"/>
  <c r="I799" i="3"/>
  <c r="H799" i="3"/>
  <c r="G799" i="3"/>
  <c r="F799" i="3"/>
  <c r="E799" i="3"/>
  <c r="D799" i="3"/>
  <c r="C799" i="3"/>
  <c r="T798" i="3"/>
  <c r="S798" i="3"/>
  <c r="R798" i="3"/>
  <c r="Q798" i="3"/>
  <c r="P798" i="3"/>
  <c r="O798" i="3"/>
  <c r="N798" i="3"/>
  <c r="M798" i="3"/>
  <c r="L798" i="3"/>
  <c r="K798" i="3"/>
  <c r="J798" i="3"/>
  <c r="I798" i="3"/>
  <c r="H798" i="3"/>
  <c r="G798" i="3"/>
  <c r="F798" i="3"/>
  <c r="E798" i="3"/>
  <c r="D798" i="3"/>
  <c r="C798" i="3"/>
  <c r="T797" i="3"/>
  <c r="S797" i="3"/>
  <c r="R797" i="3"/>
  <c r="Q797" i="3"/>
  <c r="P797" i="3"/>
  <c r="O797" i="3"/>
  <c r="N797" i="3"/>
  <c r="M797" i="3"/>
  <c r="L797" i="3"/>
  <c r="K797" i="3"/>
  <c r="J797" i="3"/>
  <c r="I797" i="3"/>
  <c r="H797" i="3"/>
  <c r="B797" i="3" s="1"/>
  <c r="G797" i="3"/>
  <c r="F797" i="3"/>
  <c r="E797" i="3"/>
  <c r="D797" i="3"/>
  <c r="T796" i="3"/>
  <c r="S796" i="3"/>
  <c r="R796" i="3"/>
  <c r="Q796" i="3"/>
  <c r="P796" i="3"/>
  <c r="O796" i="3"/>
  <c r="N796" i="3"/>
  <c r="M796" i="3"/>
  <c r="L796" i="3"/>
  <c r="K796" i="3"/>
  <c r="J796" i="3"/>
  <c r="I796" i="3"/>
  <c r="H796" i="3"/>
  <c r="G796" i="3"/>
  <c r="F796" i="3"/>
  <c r="E796" i="3"/>
  <c r="D796" i="3"/>
  <c r="C796" i="3"/>
  <c r="T795" i="3"/>
  <c r="S795" i="3"/>
  <c r="R795" i="3"/>
  <c r="Q795" i="3"/>
  <c r="P795" i="3"/>
  <c r="O795" i="3"/>
  <c r="N795" i="3"/>
  <c r="M795" i="3"/>
  <c r="L795" i="3"/>
  <c r="K795" i="3"/>
  <c r="J795" i="3"/>
  <c r="I795" i="3"/>
  <c r="H795" i="3"/>
  <c r="G795" i="3"/>
  <c r="F795" i="3"/>
  <c r="E795" i="3"/>
  <c r="D795" i="3"/>
  <c r="C795" i="3"/>
  <c r="T794" i="3"/>
  <c r="S794" i="3"/>
  <c r="R794" i="3"/>
  <c r="Q794" i="3"/>
  <c r="P794" i="3"/>
  <c r="O794" i="3"/>
  <c r="N794" i="3"/>
  <c r="M794" i="3"/>
  <c r="L794" i="3"/>
  <c r="K794" i="3"/>
  <c r="J794" i="3"/>
  <c r="I794" i="3"/>
  <c r="H794" i="3"/>
  <c r="G794" i="3"/>
  <c r="F794" i="3"/>
  <c r="E794" i="3"/>
  <c r="D794" i="3"/>
  <c r="C794" i="3"/>
  <c r="T793" i="3"/>
  <c r="S793" i="3"/>
  <c r="R793" i="3"/>
  <c r="Q793" i="3"/>
  <c r="P793" i="3"/>
  <c r="O793" i="3"/>
  <c r="N793" i="3"/>
  <c r="M793" i="3"/>
  <c r="L793" i="3"/>
  <c r="K793" i="3"/>
  <c r="J793" i="3"/>
  <c r="I793" i="3"/>
  <c r="H793" i="3"/>
  <c r="G793" i="3"/>
  <c r="F793" i="3"/>
  <c r="E793" i="3"/>
  <c r="D793" i="3"/>
  <c r="C793" i="3"/>
  <c r="T792" i="3"/>
  <c r="S792" i="3"/>
  <c r="R792" i="3"/>
  <c r="Q792" i="3"/>
  <c r="P792" i="3"/>
  <c r="O792" i="3"/>
  <c r="N792" i="3"/>
  <c r="M792" i="3"/>
  <c r="L792" i="3"/>
  <c r="K792" i="3"/>
  <c r="J792" i="3"/>
  <c r="I792" i="3"/>
  <c r="H792" i="3"/>
  <c r="G792" i="3"/>
  <c r="F792" i="3"/>
  <c r="E792" i="3"/>
  <c r="D792" i="3"/>
  <c r="C792" i="3"/>
  <c r="T791" i="3"/>
  <c r="S791" i="3"/>
  <c r="R791" i="3"/>
  <c r="Q791" i="3"/>
  <c r="P791" i="3"/>
  <c r="O791" i="3"/>
  <c r="N791" i="3"/>
  <c r="M791" i="3"/>
  <c r="L791" i="3"/>
  <c r="K791" i="3"/>
  <c r="J791" i="3"/>
  <c r="I791" i="3"/>
  <c r="H791" i="3"/>
  <c r="B791" i="3" s="1"/>
  <c r="G791" i="3"/>
  <c r="F791" i="3"/>
  <c r="E791" i="3"/>
  <c r="D791" i="3"/>
  <c r="T790" i="3"/>
  <c r="S790" i="3"/>
  <c r="R790" i="3"/>
  <c r="Q790" i="3"/>
  <c r="P790" i="3"/>
  <c r="O790" i="3"/>
  <c r="N790" i="3"/>
  <c r="M790" i="3"/>
  <c r="L790" i="3"/>
  <c r="K790" i="3"/>
  <c r="J790" i="3"/>
  <c r="I790" i="3"/>
  <c r="H790" i="3"/>
  <c r="G790" i="3"/>
  <c r="F790" i="3"/>
  <c r="E790" i="3"/>
  <c r="D790" i="3"/>
  <c r="C790" i="3"/>
  <c r="T789" i="3"/>
  <c r="S789" i="3"/>
  <c r="R789" i="3"/>
  <c r="Q789" i="3"/>
  <c r="P789" i="3"/>
  <c r="O789" i="3"/>
  <c r="N789" i="3"/>
  <c r="M789" i="3"/>
  <c r="L789" i="3"/>
  <c r="K789" i="3"/>
  <c r="J789" i="3"/>
  <c r="I789" i="3"/>
  <c r="H789" i="3"/>
  <c r="B789" i="3" s="1"/>
  <c r="G789" i="3"/>
  <c r="F789" i="3"/>
  <c r="E789" i="3"/>
  <c r="D789" i="3"/>
  <c r="T788" i="3"/>
  <c r="S788" i="3"/>
  <c r="R788" i="3"/>
  <c r="Q788" i="3"/>
  <c r="P788" i="3"/>
  <c r="O788" i="3"/>
  <c r="N788" i="3"/>
  <c r="M788" i="3"/>
  <c r="L788" i="3"/>
  <c r="K788" i="3"/>
  <c r="J788" i="3"/>
  <c r="I788" i="3"/>
  <c r="H788" i="3"/>
  <c r="B788" i="3" s="1"/>
  <c r="G788" i="3"/>
  <c r="F788" i="3"/>
  <c r="E788" i="3"/>
  <c r="D788" i="3"/>
  <c r="T787" i="3"/>
  <c r="S787" i="3"/>
  <c r="R787" i="3"/>
  <c r="Q787" i="3"/>
  <c r="P787" i="3"/>
  <c r="O787" i="3"/>
  <c r="N787" i="3"/>
  <c r="M787" i="3"/>
  <c r="L787" i="3"/>
  <c r="K787" i="3"/>
  <c r="J787" i="3"/>
  <c r="I787" i="3"/>
  <c r="H787" i="3"/>
  <c r="G787" i="3"/>
  <c r="F787" i="3"/>
  <c r="E787" i="3"/>
  <c r="D787" i="3"/>
  <c r="C787" i="3"/>
  <c r="T786" i="3"/>
  <c r="S786" i="3"/>
  <c r="R786" i="3"/>
  <c r="Q786" i="3"/>
  <c r="P786" i="3"/>
  <c r="O786" i="3"/>
  <c r="N786" i="3"/>
  <c r="M786" i="3"/>
  <c r="L786" i="3"/>
  <c r="K786" i="3"/>
  <c r="J786" i="3"/>
  <c r="I786" i="3"/>
  <c r="H786" i="3"/>
  <c r="G786" i="3"/>
  <c r="F786" i="3"/>
  <c r="E786" i="3"/>
  <c r="D786" i="3"/>
  <c r="C786" i="3"/>
  <c r="T785" i="3"/>
  <c r="S785" i="3"/>
  <c r="R785" i="3"/>
  <c r="Q785" i="3"/>
  <c r="P785" i="3"/>
  <c r="O785" i="3"/>
  <c r="N785" i="3"/>
  <c r="M785" i="3"/>
  <c r="L785" i="3"/>
  <c r="K785" i="3"/>
  <c r="J785" i="3"/>
  <c r="I785" i="3"/>
  <c r="H785" i="3"/>
  <c r="G785" i="3"/>
  <c r="F785" i="3"/>
  <c r="E785" i="3"/>
  <c r="D785" i="3"/>
  <c r="C785" i="3"/>
  <c r="T784" i="3"/>
  <c r="S784" i="3"/>
  <c r="R784" i="3"/>
  <c r="Q784" i="3"/>
  <c r="P784" i="3"/>
  <c r="O784" i="3"/>
  <c r="N784" i="3"/>
  <c r="M784" i="3"/>
  <c r="L784" i="3"/>
  <c r="K784" i="3"/>
  <c r="J784" i="3"/>
  <c r="I784" i="3"/>
  <c r="H784" i="3"/>
  <c r="G784" i="3"/>
  <c r="F784" i="3"/>
  <c r="E784" i="3"/>
  <c r="D784" i="3"/>
  <c r="C784" i="3"/>
  <c r="T783" i="3"/>
  <c r="S783" i="3"/>
  <c r="R783" i="3"/>
  <c r="Q783" i="3"/>
  <c r="P783" i="3"/>
  <c r="O783" i="3"/>
  <c r="N783" i="3"/>
  <c r="M783" i="3"/>
  <c r="L783" i="3"/>
  <c r="K783" i="3"/>
  <c r="J783" i="3"/>
  <c r="I783" i="3"/>
  <c r="H783" i="3"/>
  <c r="G783" i="3"/>
  <c r="F783" i="3"/>
  <c r="E783" i="3"/>
  <c r="D783" i="3"/>
  <c r="C783" i="3"/>
  <c r="T782" i="3"/>
  <c r="S782" i="3"/>
  <c r="R782" i="3"/>
  <c r="Q782" i="3"/>
  <c r="P782" i="3"/>
  <c r="O782" i="3"/>
  <c r="N782" i="3"/>
  <c r="M782" i="3"/>
  <c r="L782" i="3"/>
  <c r="K782" i="3"/>
  <c r="J782" i="3"/>
  <c r="I782" i="3"/>
  <c r="H782" i="3"/>
  <c r="G782" i="3"/>
  <c r="F782" i="3"/>
  <c r="E782" i="3"/>
  <c r="D782" i="3"/>
  <c r="C782" i="3"/>
  <c r="T781" i="3"/>
  <c r="S781" i="3"/>
  <c r="R781" i="3"/>
  <c r="Q781" i="3"/>
  <c r="P781" i="3"/>
  <c r="O781" i="3"/>
  <c r="N781" i="3"/>
  <c r="M781" i="3"/>
  <c r="L781" i="3"/>
  <c r="K781" i="3"/>
  <c r="J781" i="3"/>
  <c r="I781" i="3"/>
  <c r="H781" i="3"/>
  <c r="G781" i="3"/>
  <c r="F781" i="3"/>
  <c r="E781" i="3"/>
  <c r="D781" i="3"/>
  <c r="C781" i="3"/>
  <c r="T780" i="3"/>
  <c r="S780" i="3"/>
  <c r="R780" i="3"/>
  <c r="Q780" i="3"/>
  <c r="P780" i="3"/>
  <c r="O780" i="3"/>
  <c r="N780" i="3"/>
  <c r="M780" i="3"/>
  <c r="L780" i="3"/>
  <c r="K780" i="3"/>
  <c r="J780" i="3"/>
  <c r="I780" i="3"/>
  <c r="H780" i="3"/>
  <c r="G780" i="3"/>
  <c r="F780" i="3"/>
  <c r="E780" i="3"/>
  <c r="D780" i="3"/>
  <c r="C780" i="3"/>
  <c r="T779" i="3"/>
  <c r="S779" i="3"/>
  <c r="R779" i="3"/>
  <c r="Q779" i="3"/>
  <c r="P779" i="3"/>
  <c r="O779" i="3"/>
  <c r="N779" i="3"/>
  <c r="M779" i="3"/>
  <c r="L779" i="3"/>
  <c r="K779" i="3"/>
  <c r="J779" i="3"/>
  <c r="I779" i="3"/>
  <c r="H779" i="3"/>
  <c r="G779" i="3"/>
  <c r="F779" i="3"/>
  <c r="E779" i="3"/>
  <c r="D779" i="3"/>
  <c r="C779" i="3"/>
  <c r="T778" i="3"/>
  <c r="S778" i="3"/>
  <c r="R778" i="3"/>
  <c r="Q778" i="3"/>
  <c r="P778" i="3"/>
  <c r="O778" i="3"/>
  <c r="N778" i="3"/>
  <c r="M778" i="3"/>
  <c r="L778" i="3"/>
  <c r="K778" i="3"/>
  <c r="J778" i="3"/>
  <c r="I778" i="3"/>
  <c r="H778" i="3"/>
  <c r="G778" i="3"/>
  <c r="F778" i="3"/>
  <c r="E778" i="3"/>
  <c r="D778" i="3"/>
  <c r="C778" i="3"/>
  <c r="T777" i="3"/>
  <c r="S777" i="3"/>
  <c r="R777" i="3"/>
  <c r="Q777" i="3"/>
  <c r="P777" i="3"/>
  <c r="O777" i="3"/>
  <c r="N777" i="3"/>
  <c r="M777" i="3"/>
  <c r="L777" i="3"/>
  <c r="K777" i="3"/>
  <c r="J777" i="3"/>
  <c r="I777" i="3"/>
  <c r="H777" i="3"/>
  <c r="G777" i="3"/>
  <c r="F777" i="3"/>
  <c r="E777" i="3"/>
  <c r="D777" i="3"/>
  <c r="C777" i="3"/>
  <c r="T776" i="3"/>
  <c r="S776" i="3"/>
  <c r="R776" i="3"/>
  <c r="Q776" i="3"/>
  <c r="P776" i="3"/>
  <c r="O776" i="3"/>
  <c r="N776" i="3"/>
  <c r="M776" i="3"/>
  <c r="L776" i="3"/>
  <c r="K776" i="3"/>
  <c r="J776" i="3"/>
  <c r="I776" i="3"/>
  <c r="H776" i="3"/>
  <c r="G776" i="3"/>
  <c r="F776" i="3"/>
  <c r="E776" i="3"/>
  <c r="D776" i="3"/>
  <c r="C776" i="3"/>
  <c r="T775" i="3"/>
  <c r="S775" i="3"/>
  <c r="R775" i="3"/>
  <c r="Q775" i="3"/>
  <c r="P775" i="3"/>
  <c r="O775" i="3"/>
  <c r="N775" i="3"/>
  <c r="M775" i="3"/>
  <c r="L775" i="3"/>
  <c r="K775" i="3"/>
  <c r="J775" i="3"/>
  <c r="I775" i="3"/>
  <c r="H775" i="3"/>
  <c r="B775" i="3" s="1"/>
  <c r="G775" i="3"/>
  <c r="F775" i="3"/>
  <c r="E775" i="3"/>
  <c r="D775" i="3"/>
  <c r="T774" i="3"/>
  <c r="S774" i="3"/>
  <c r="R774" i="3"/>
  <c r="Q774" i="3"/>
  <c r="P774" i="3"/>
  <c r="O774" i="3"/>
  <c r="N774" i="3"/>
  <c r="M774" i="3"/>
  <c r="L774" i="3"/>
  <c r="K774" i="3"/>
  <c r="J774" i="3"/>
  <c r="I774" i="3"/>
  <c r="H774" i="3"/>
  <c r="G774" i="3"/>
  <c r="F774" i="3"/>
  <c r="E774" i="3"/>
  <c r="D774" i="3"/>
  <c r="C774" i="3"/>
  <c r="T773" i="3"/>
  <c r="S773" i="3"/>
  <c r="R773" i="3"/>
  <c r="Q773" i="3"/>
  <c r="P773" i="3"/>
  <c r="O773" i="3"/>
  <c r="N773" i="3"/>
  <c r="M773" i="3"/>
  <c r="L773" i="3"/>
  <c r="K773" i="3"/>
  <c r="J773" i="3"/>
  <c r="I773" i="3"/>
  <c r="H773" i="3"/>
  <c r="B773" i="3" s="1"/>
  <c r="G773" i="3"/>
  <c r="F773" i="3"/>
  <c r="E773" i="3"/>
  <c r="D773" i="3"/>
  <c r="T772" i="3"/>
  <c r="S772" i="3"/>
  <c r="R772" i="3"/>
  <c r="Q772" i="3"/>
  <c r="P772" i="3"/>
  <c r="O772" i="3"/>
  <c r="N772" i="3"/>
  <c r="M772" i="3"/>
  <c r="L772" i="3"/>
  <c r="K772" i="3"/>
  <c r="J772" i="3"/>
  <c r="I772" i="3"/>
  <c r="H772" i="3"/>
  <c r="G772" i="3"/>
  <c r="F772" i="3"/>
  <c r="E772" i="3"/>
  <c r="D772" i="3"/>
  <c r="C772" i="3"/>
  <c r="T771" i="3"/>
  <c r="S771" i="3"/>
  <c r="R771" i="3"/>
  <c r="Q771" i="3"/>
  <c r="P771" i="3"/>
  <c r="O771" i="3"/>
  <c r="N771" i="3"/>
  <c r="M771" i="3"/>
  <c r="L771" i="3"/>
  <c r="K771" i="3"/>
  <c r="J771" i="3"/>
  <c r="I771" i="3"/>
  <c r="H771" i="3"/>
  <c r="G771" i="3"/>
  <c r="F771" i="3"/>
  <c r="E771" i="3"/>
  <c r="D771" i="3"/>
  <c r="C771" i="3"/>
  <c r="T770" i="3"/>
  <c r="S770" i="3"/>
  <c r="R770" i="3"/>
  <c r="Q770" i="3"/>
  <c r="P770" i="3"/>
  <c r="O770" i="3"/>
  <c r="N770" i="3"/>
  <c r="M770" i="3"/>
  <c r="L770" i="3"/>
  <c r="K770" i="3"/>
  <c r="J770" i="3"/>
  <c r="I770" i="3"/>
  <c r="H770" i="3"/>
  <c r="G770" i="3"/>
  <c r="F770" i="3"/>
  <c r="E770" i="3"/>
  <c r="D770" i="3"/>
  <c r="C770" i="3"/>
  <c r="T769" i="3"/>
  <c r="S769" i="3"/>
  <c r="R769" i="3"/>
  <c r="Q769" i="3"/>
  <c r="P769" i="3"/>
  <c r="O769" i="3"/>
  <c r="N769" i="3"/>
  <c r="M769" i="3"/>
  <c r="L769" i="3"/>
  <c r="K769" i="3"/>
  <c r="J769" i="3"/>
  <c r="I769" i="3"/>
  <c r="H769" i="3"/>
  <c r="G769" i="3"/>
  <c r="F769" i="3"/>
  <c r="E769" i="3"/>
  <c r="D769" i="3"/>
  <c r="C769" i="3"/>
  <c r="T768" i="3"/>
  <c r="S768" i="3"/>
  <c r="R768" i="3"/>
  <c r="Q768" i="3"/>
  <c r="P768" i="3"/>
  <c r="O768" i="3"/>
  <c r="N768" i="3"/>
  <c r="M768" i="3"/>
  <c r="L768" i="3"/>
  <c r="K768" i="3"/>
  <c r="J768" i="3"/>
  <c r="I768" i="3"/>
  <c r="H768" i="3"/>
  <c r="G768" i="3"/>
  <c r="F768" i="3"/>
  <c r="E768" i="3"/>
  <c r="D768" i="3"/>
  <c r="C768" i="3"/>
  <c r="T767" i="3"/>
  <c r="S767" i="3"/>
  <c r="R767" i="3"/>
  <c r="Q767" i="3"/>
  <c r="P767" i="3"/>
  <c r="O767" i="3"/>
  <c r="N767" i="3"/>
  <c r="M767" i="3"/>
  <c r="L767" i="3"/>
  <c r="K767" i="3"/>
  <c r="J767" i="3"/>
  <c r="I767" i="3"/>
  <c r="H767" i="3"/>
  <c r="G767" i="3"/>
  <c r="F767" i="3"/>
  <c r="E767" i="3"/>
  <c r="D767" i="3"/>
  <c r="C767" i="3"/>
  <c r="T766" i="3"/>
  <c r="S766" i="3"/>
  <c r="R766" i="3"/>
  <c r="Q766" i="3"/>
  <c r="P766" i="3"/>
  <c r="O766" i="3"/>
  <c r="N766" i="3"/>
  <c r="M766" i="3"/>
  <c r="L766" i="3"/>
  <c r="K766" i="3"/>
  <c r="J766" i="3"/>
  <c r="I766" i="3"/>
  <c r="H766" i="3"/>
  <c r="G766" i="3"/>
  <c r="F766" i="3"/>
  <c r="E766" i="3"/>
  <c r="D766" i="3"/>
  <c r="C766" i="3"/>
  <c r="T765" i="3"/>
  <c r="S765" i="3"/>
  <c r="R765" i="3"/>
  <c r="Q765" i="3"/>
  <c r="P765" i="3"/>
  <c r="O765" i="3"/>
  <c r="N765" i="3"/>
  <c r="M765" i="3"/>
  <c r="L765" i="3"/>
  <c r="K765" i="3"/>
  <c r="J765" i="3"/>
  <c r="I765" i="3"/>
  <c r="H765" i="3"/>
  <c r="G765" i="3"/>
  <c r="F765" i="3"/>
  <c r="E765" i="3"/>
  <c r="D765" i="3"/>
  <c r="C765" i="3"/>
  <c r="T764" i="3"/>
  <c r="S764" i="3"/>
  <c r="R764" i="3"/>
  <c r="Q764" i="3"/>
  <c r="P764" i="3"/>
  <c r="O764" i="3"/>
  <c r="N764" i="3"/>
  <c r="M764" i="3"/>
  <c r="L764" i="3"/>
  <c r="K764" i="3"/>
  <c r="J764" i="3"/>
  <c r="I764" i="3"/>
  <c r="H764" i="3"/>
  <c r="G764" i="3"/>
  <c r="F764" i="3"/>
  <c r="E764" i="3"/>
  <c r="D764" i="3"/>
  <c r="C764" i="3"/>
  <c r="T763" i="3"/>
  <c r="S763" i="3"/>
  <c r="R763" i="3"/>
  <c r="Q763" i="3"/>
  <c r="P763" i="3"/>
  <c r="O763" i="3"/>
  <c r="N763" i="3"/>
  <c r="M763" i="3"/>
  <c r="L763" i="3"/>
  <c r="K763" i="3"/>
  <c r="J763" i="3"/>
  <c r="I763" i="3"/>
  <c r="H763" i="3"/>
  <c r="B763" i="3" s="1"/>
  <c r="G763" i="3"/>
  <c r="F763" i="3"/>
  <c r="E763" i="3"/>
  <c r="D763" i="3"/>
  <c r="T762" i="3"/>
  <c r="S762" i="3"/>
  <c r="R762" i="3"/>
  <c r="Q762" i="3"/>
  <c r="P762" i="3"/>
  <c r="O762" i="3"/>
  <c r="N762" i="3"/>
  <c r="M762" i="3"/>
  <c r="L762" i="3"/>
  <c r="K762" i="3"/>
  <c r="J762" i="3"/>
  <c r="I762" i="3"/>
  <c r="H762" i="3"/>
  <c r="G762" i="3"/>
  <c r="F762" i="3"/>
  <c r="E762" i="3"/>
  <c r="D762" i="3"/>
  <c r="C762" i="3"/>
  <c r="T761" i="3"/>
  <c r="S761" i="3"/>
  <c r="R761" i="3"/>
  <c r="Q761" i="3"/>
  <c r="P761" i="3"/>
  <c r="O761" i="3"/>
  <c r="N761" i="3"/>
  <c r="M761" i="3"/>
  <c r="L761" i="3"/>
  <c r="K761" i="3"/>
  <c r="J761" i="3"/>
  <c r="I761" i="3"/>
  <c r="H761" i="3"/>
  <c r="G761" i="3"/>
  <c r="F761" i="3"/>
  <c r="E761" i="3"/>
  <c r="D761" i="3"/>
  <c r="C761" i="3"/>
  <c r="T760" i="3"/>
  <c r="S760" i="3"/>
  <c r="R760" i="3"/>
  <c r="Q760" i="3"/>
  <c r="P760" i="3"/>
  <c r="O760" i="3"/>
  <c r="N760" i="3"/>
  <c r="M760" i="3"/>
  <c r="L760" i="3"/>
  <c r="K760" i="3"/>
  <c r="J760" i="3"/>
  <c r="I760" i="3"/>
  <c r="H760" i="3"/>
  <c r="G760" i="3"/>
  <c r="F760" i="3"/>
  <c r="E760" i="3"/>
  <c r="D760" i="3"/>
  <c r="C760" i="3"/>
  <c r="T759" i="3"/>
  <c r="S759" i="3"/>
  <c r="R759" i="3"/>
  <c r="Q759" i="3"/>
  <c r="P759" i="3"/>
  <c r="O759" i="3"/>
  <c r="N759" i="3"/>
  <c r="M759" i="3"/>
  <c r="L759" i="3"/>
  <c r="K759" i="3"/>
  <c r="J759" i="3"/>
  <c r="I759" i="3"/>
  <c r="H759" i="3"/>
  <c r="G759" i="3"/>
  <c r="F759" i="3"/>
  <c r="E759" i="3"/>
  <c r="D759" i="3"/>
  <c r="C759" i="3"/>
  <c r="T758" i="3"/>
  <c r="S758" i="3"/>
  <c r="R758" i="3"/>
  <c r="Q758" i="3"/>
  <c r="P758" i="3"/>
  <c r="O758" i="3"/>
  <c r="N758" i="3"/>
  <c r="M758" i="3"/>
  <c r="L758" i="3"/>
  <c r="K758" i="3"/>
  <c r="J758" i="3"/>
  <c r="I758" i="3"/>
  <c r="H758" i="3"/>
  <c r="G758" i="3"/>
  <c r="F758" i="3"/>
  <c r="E758" i="3"/>
  <c r="D758" i="3"/>
  <c r="C758" i="3"/>
  <c r="T757" i="3"/>
  <c r="S757" i="3"/>
  <c r="R757" i="3"/>
  <c r="Q757" i="3"/>
  <c r="P757" i="3"/>
  <c r="O757" i="3"/>
  <c r="N757" i="3"/>
  <c r="M757" i="3"/>
  <c r="L757" i="3"/>
  <c r="K757" i="3"/>
  <c r="J757" i="3"/>
  <c r="I757" i="3"/>
  <c r="H757" i="3"/>
  <c r="G757" i="3"/>
  <c r="F757" i="3"/>
  <c r="E757" i="3"/>
  <c r="D757" i="3"/>
  <c r="C757" i="3"/>
  <c r="T756" i="3"/>
  <c r="S756" i="3"/>
  <c r="R756" i="3"/>
  <c r="Q756" i="3"/>
  <c r="P756" i="3"/>
  <c r="O756" i="3"/>
  <c r="N756" i="3"/>
  <c r="M756" i="3"/>
  <c r="L756" i="3"/>
  <c r="K756" i="3"/>
  <c r="J756" i="3"/>
  <c r="I756" i="3"/>
  <c r="H756" i="3"/>
  <c r="G756" i="3"/>
  <c r="F756" i="3"/>
  <c r="E756" i="3"/>
  <c r="D756" i="3"/>
  <c r="C756" i="3"/>
  <c r="T755" i="3"/>
  <c r="S755" i="3"/>
  <c r="R755" i="3"/>
  <c r="Q755" i="3"/>
  <c r="P755" i="3"/>
  <c r="O755" i="3"/>
  <c r="N755" i="3"/>
  <c r="M755" i="3"/>
  <c r="L755" i="3"/>
  <c r="K755" i="3"/>
  <c r="J755" i="3"/>
  <c r="I755" i="3"/>
  <c r="H755" i="3"/>
  <c r="G755" i="3"/>
  <c r="F755" i="3"/>
  <c r="E755" i="3"/>
  <c r="D755" i="3"/>
  <c r="C755" i="3"/>
  <c r="T754" i="3"/>
  <c r="S754" i="3"/>
  <c r="R754" i="3"/>
  <c r="Q754" i="3"/>
  <c r="P754" i="3"/>
  <c r="O754" i="3"/>
  <c r="N754" i="3"/>
  <c r="M754" i="3"/>
  <c r="L754" i="3"/>
  <c r="K754" i="3"/>
  <c r="J754" i="3"/>
  <c r="I754" i="3"/>
  <c r="H754" i="3"/>
  <c r="G754" i="3"/>
  <c r="F754" i="3"/>
  <c r="E754" i="3"/>
  <c r="D754" i="3"/>
  <c r="C754" i="3"/>
  <c r="T753" i="3"/>
  <c r="S753" i="3"/>
  <c r="R753" i="3"/>
  <c r="Q753" i="3"/>
  <c r="P753" i="3"/>
  <c r="O753" i="3"/>
  <c r="N753" i="3"/>
  <c r="M753" i="3"/>
  <c r="L753" i="3"/>
  <c r="K753" i="3"/>
  <c r="J753" i="3"/>
  <c r="I753" i="3"/>
  <c r="H753" i="3"/>
  <c r="G753" i="3"/>
  <c r="F753" i="3"/>
  <c r="E753" i="3"/>
  <c r="D753" i="3"/>
  <c r="C753" i="3"/>
  <c r="T752" i="3"/>
  <c r="S752" i="3"/>
  <c r="R752" i="3"/>
  <c r="Q752" i="3"/>
  <c r="P752" i="3"/>
  <c r="O752" i="3"/>
  <c r="N752" i="3"/>
  <c r="M752" i="3"/>
  <c r="L752" i="3"/>
  <c r="K752" i="3"/>
  <c r="J752" i="3"/>
  <c r="I752" i="3"/>
  <c r="H752" i="3"/>
  <c r="B752" i="3" s="1"/>
  <c r="G752" i="3"/>
  <c r="F752" i="3"/>
  <c r="E752" i="3"/>
  <c r="D752" i="3"/>
  <c r="T751" i="3"/>
  <c r="S751" i="3"/>
  <c r="R751" i="3"/>
  <c r="Q751" i="3"/>
  <c r="P751" i="3"/>
  <c r="O751" i="3"/>
  <c r="N751" i="3"/>
  <c r="M751" i="3"/>
  <c r="L751" i="3"/>
  <c r="K751" i="3"/>
  <c r="J751" i="3"/>
  <c r="I751" i="3"/>
  <c r="H751" i="3"/>
  <c r="G751" i="3"/>
  <c r="F751" i="3"/>
  <c r="E751" i="3"/>
  <c r="D751" i="3"/>
  <c r="C751" i="3"/>
  <c r="T750" i="3"/>
  <c r="S750" i="3"/>
  <c r="R750" i="3"/>
  <c r="Q750" i="3"/>
  <c r="P750" i="3"/>
  <c r="O750" i="3"/>
  <c r="N750" i="3"/>
  <c r="M750" i="3"/>
  <c r="L750" i="3"/>
  <c r="K750" i="3"/>
  <c r="J750" i="3"/>
  <c r="I750" i="3"/>
  <c r="H750" i="3"/>
  <c r="G750" i="3"/>
  <c r="F750" i="3"/>
  <c r="E750" i="3"/>
  <c r="D750" i="3"/>
  <c r="C750" i="3"/>
  <c r="T749" i="3"/>
  <c r="S749" i="3"/>
  <c r="R749" i="3"/>
  <c r="Q749" i="3"/>
  <c r="P749" i="3"/>
  <c r="O749" i="3"/>
  <c r="N749" i="3"/>
  <c r="M749" i="3"/>
  <c r="L749" i="3"/>
  <c r="K749" i="3"/>
  <c r="J749" i="3"/>
  <c r="I749" i="3"/>
  <c r="H749" i="3"/>
  <c r="G749" i="3"/>
  <c r="F749" i="3"/>
  <c r="E749" i="3"/>
  <c r="D749" i="3"/>
  <c r="C749" i="3"/>
  <c r="T748" i="3"/>
  <c r="S748" i="3"/>
  <c r="R748" i="3"/>
  <c r="Q748" i="3"/>
  <c r="P748" i="3"/>
  <c r="O748" i="3"/>
  <c r="N748" i="3"/>
  <c r="M748" i="3"/>
  <c r="L748" i="3"/>
  <c r="K748" i="3"/>
  <c r="J748" i="3"/>
  <c r="I748" i="3"/>
  <c r="H748" i="3"/>
  <c r="G748" i="3"/>
  <c r="F748" i="3"/>
  <c r="E748" i="3"/>
  <c r="D748" i="3"/>
  <c r="C748" i="3"/>
  <c r="T747" i="3"/>
  <c r="S747" i="3"/>
  <c r="R747" i="3"/>
  <c r="Q747" i="3"/>
  <c r="P747" i="3"/>
  <c r="O747" i="3"/>
  <c r="N747" i="3"/>
  <c r="M747" i="3"/>
  <c r="L747" i="3"/>
  <c r="K747" i="3"/>
  <c r="J747" i="3"/>
  <c r="I747" i="3"/>
  <c r="H747" i="3"/>
  <c r="G747" i="3"/>
  <c r="F747" i="3"/>
  <c r="E747" i="3"/>
  <c r="D747" i="3"/>
  <c r="C747" i="3"/>
  <c r="T746" i="3"/>
  <c r="S746" i="3"/>
  <c r="R746" i="3"/>
  <c r="Q746" i="3"/>
  <c r="P746" i="3"/>
  <c r="O746" i="3"/>
  <c r="N746" i="3"/>
  <c r="M746" i="3"/>
  <c r="L746" i="3"/>
  <c r="K746" i="3"/>
  <c r="J746" i="3"/>
  <c r="I746" i="3"/>
  <c r="H746" i="3"/>
  <c r="G746" i="3"/>
  <c r="F746" i="3"/>
  <c r="E746" i="3"/>
  <c r="D746" i="3"/>
  <c r="C746" i="3"/>
  <c r="T745" i="3"/>
  <c r="S745" i="3"/>
  <c r="R745" i="3"/>
  <c r="Q745" i="3"/>
  <c r="P745" i="3"/>
  <c r="O745" i="3"/>
  <c r="N745" i="3"/>
  <c r="M745" i="3"/>
  <c r="L745" i="3"/>
  <c r="K745" i="3"/>
  <c r="J745" i="3"/>
  <c r="I745" i="3"/>
  <c r="H745" i="3"/>
  <c r="G745" i="3"/>
  <c r="F745" i="3"/>
  <c r="E745" i="3"/>
  <c r="D745" i="3"/>
  <c r="C745" i="3"/>
  <c r="T744" i="3"/>
  <c r="S744" i="3"/>
  <c r="R744" i="3"/>
  <c r="Q744" i="3"/>
  <c r="P744" i="3"/>
  <c r="O744" i="3"/>
  <c r="N744" i="3"/>
  <c r="M744" i="3"/>
  <c r="L744" i="3"/>
  <c r="K744" i="3"/>
  <c r="J744" i="3"/>
  <c r="I744" i="3"/>
  <c r="H744" i="3"/>
  <c r="G744" i="3"/>
  <c r="F744" i="3"/>
  <c r="E744" i="3"/>
  <c r="D744" i="3"/>
  <c r="C744" i="3"/>
  <c r="T743" i="3"/>
  <c r="S743" i="3"/>
  <c r="R743" i="3"/>
  <c r="Q743" i="3"/>
  <c r="P743" i="3"/>
  <c r="O743" i="3"/>
  <c r="N743" i="3"/>
  <c r="M743" i="3"/>
  <c r="L743" i="3"/>
  <c r="K743" i="3"/>
  <c r="J743" i="3"/>
  <c r="I743" i="3"/>
  <c r="H743" i="3"/>
  <c r="G743" i="3"/>
  <c r="F743" i="3"/>
  <c r="E743" i="3"/>
  <c r="D743" i="3"/>
  <c r="C743" i="3"/>
  <c r="T742" i="3"/>
  <c r="S742" i="3"/>
  <c r="R742" i="3"/>
  <c r="Q742" i="3"/>
  <c r="P742" i="3"/>
  <c r="O742" i="3"/>
  <c r="N742" i="3"/>
  <c r="M742" i="3"/>
  <c r="L742" i="3"/>
  <c r="K742" i="3"/>
  <c r="J742" i="3"/>
  <c r="I742" i="3"/>
  <c r="H742" i="3"/>
  <c r="G742" i="3"/>
  <c r="F742" i="3"/>
  <c r="E742" i="3"/>
  <c r="D742" i="3"/>
  <c r="C742" i="3"/>
  <c r="T741" i="3"/>
  <c r="S741" i="3"/>
  <c r="R741" i="3"/>
  <c r="Q741" i="3"/>
  <c r="P741" i="3"/>
  <c r="O741" i="3"/>
  <c r="N741" i="3"/>
  <c r="M741" i="3"/>
  <c r="L741" i="3"/>
  <c r="K741" i="3"/>
  <c r="J741" i="3"/>
  <c r="I741" i="3"/>
  <c r="H741" i="3"/>
  <c r="G741" i="3"/>
  <c r="F741" i="3"/>
  <c r="E741" i="3"/>
  <c r="D741" i="3"/>
  <c r="C741" i="3"/>
  <c r="T740" i="3"/>
  <c r="S740" i="3"/>
  <c r="R740" i="3"/>
  <c r="Q740" i="3"/>
  <c r="P740" i="3"/>
  <c r="O740" i="3"/>
  <c r="N740" i="3"/>
  <c r="M740" i="3"/>
  <c r="L740" i="3"/>
  <c r="K740" i="3"/>
  <c r="J740" i="3"/>
  <c r="I740" i="3"/>
  <c r="H740" i="3"/>
  <c r="G740" i="3"/>
  <c r="F740" i="3"/>
  <c r="E740" i="3"/>
  <c r="D740" i="3"/>
  <c r="C740" i="3"/>
  <c r="T739" i="3"/>
  <c r="S739" i="3"/>
  <c r="R739" i="3"/>
  <c r="Q739" i="3"/>
  <c r="P739" i="3"/>
  <c r="O739" i="3"/>
  <c r="N739" i="3"/>
  <c r="M739" i="3"/>
  <c r="L739" i="3"/>
  <c r="K739" i="3"/>
  <c r="J739" i="3"/>
  <c r="I739" i="3"/>
  <c r="H739" i="3"/>
  <c r="G739" i="3"/>
  <c r="F739" i="3"/>
  <c r="E739" i="3"/>
  <c r="D739" i="3"/>
  <c r="C739" i="3"/>
  <c r="T738" i="3"/>
  <c r="S738" i="3"/>
  <c r="R738" i="3"/>
  <c r="Q738" i="3"/>
  <c r="P738" i="3"/>
  <c r="O738" i="3"/>
  <c r="N738" i="3"/>
  <c r="M738" i="3"/>
  <c r="L738" i="3"/>
  <c r="K738" i="3"/>
  <c r="J738" i="3"/>
  <c r="I738" i="3"/>
  <c r="H738" i="3"/>
  <c r="G738" i="3"/>
  <c r="F738" i="3"/>
  <c r="E738" i="3"/>
  <c r="D738" i="3"/>
  <c r="C738" i="3"/>
  <c r="T737" i="3"/>
  <c r="S737" i="3"/>
  <c r="R737" i="3"/>
  <c r="Q737" i="3"/>
  <c r="P737" i="3"/>
  <c r="O737" i="3"/>
  <c r="N737" i="3"/>
  <c r="M737" i="3"/>
  <c r="L737" i="3"/>
  <c r="K737" i="3"/>
  <c r="J737" i="3"/>
  <c r="I737" i="3"/>
  <c r="H737" i="3"/>
  <c r="G737" i="3"/>
  <c r="F737" i="3"/>
  <c r="E737" i="3"/>
  <c r="D737" i="3"/>
  <c r="C737" i="3"/>
  <c r="T736" i="3"/>
  <c r="S736" i="3"/>
  <c r="R736" i="3"/>
  <c r="Q736" i="3"/>
  <c r="P736" i="3"/>
  <c r="O736" i="3"/>
  <c r="N736" i="3"/>
  <c r="M736" i="3"/>
  <c r="L736" i="3"/>
  <c r="K736" i="3"/>
  <c r="J736" i="3"/>
  <c r="I736" i="3"/>
  <c r="H736" i="3"/>
  <c r="G736" i="3"/>
  <c r="F736" i="3"/>
  <c r="E736" i="3"/>
  <c r="D736" i="3"/>
  <c r="C736" i="3"/>
  <c r="T735" i="3"/>
  <c r="S735" i="3"/>
  <c r="R735" i="3"/>
  <c r="Q735" i="3"/>
  <c r="P735" i="3"/>
  <c r="O735" i="3"/>
  <c r="N735" i="3"/>
  <c r="M735" i="3"/>
  <c r="L735" i="3"/>
  <c r="K735" i="3"/>
  <c r="J735" i="3"/>
  <c r="I735" i="3"/>
  <c r="H735" i="3"/>
  <c r="G735" i="3"/>
  <c r="F735" i="3"/>
  <c r="E735" i="3"/>
  <c r="D735" i="3"/>
  <c r="C735" i="3"/>
  <c r="T734" i="3"/>
  <c r="S734" i="3"/>
  <c r="R734" i="3"/>
  <c r="Q734" i="3"/>
  <c r="P734" i="3"/>
  <c r="O734" i="3"/>
  <c r="N734" i="3"/>
  <c r="M734" i="3"/>
  <c r="L734" i="3"/>
  <c r="K734" i="3"/>
  <c r="J734" i="3"/>
  <c r="I734" i="3"/>
  <c r="H734" i="3"/>
  <c r="B734" i="3" s="1"/>
  <c r="G734" i="3"/>
  <c r="F734" i="3"/>
  <c r="E734" i="3"/>
  <c r="D734" i="3"/>
  <c r="T733" i="3"/>
  <c r="S733" i="3"/>
  <c r="R733" i="3"/>
  <c r="Q733" i="3"/>
  <c r="P733" i="3"/>
  <c r="O733" i="3"/>
  <c r="N733" i="3"/>
  <c r="M733" i="3"/>
  <c r="L733" i="3"/>
  <c r="K733" i="3"/>
  <c r="J733" i="3"/>
  <c r="I733" i="3"/>
  <c r="H733" i="3"/>
  <c r="G733" i="3"/>
  <c r="F733" i="3"/>
  <c r="E733" i="3"/>
  <c r="D733" i="3"/>
  <c r="C733" i="3"/>
  <c r="T732" i="3"/>
  <c r="S732" i="3"/>
  <c r="R732" i="3"/>
  <c r="Q732" i="3"/>
  <c r="P732" i="3"/>
  <c r="O732" i="3"/>
  <c r="N732" i="3"/>
  <c r="M732" i="3"/>
  <c r="L732" i="3"/>
  <c r="K732" i="3"/>
  <c r="J732" i="3"/>
  <c r="I732" i="3"/>
  <c r="H732" i="3"/>
  <c r="G732" i="3"/>
  <c r="F732" i="3"/>
  <c r="E732" i="3"/>
  <c r="D732" i="3"/>
  <c r="C732" i="3"/>
  <c r="T731" i="3"/>
  <c r="S731" i="3"/>
  <c r="R731" i="3"/>
  <c r="Q731" i="3"/>
  <c r="P731" i="3"/>
  <c r="O731" i="3"/>
  <c r="N731" i="3"/>
  <c r="M731" i="3"/>
  <c r="L731" i="3"/>
  <c r="K731" i="3"/>
  <c r="J731" i="3"/>
  <c r="I731" i="3"/>
  <c r="H731" i="3"/>
  <c r="B731" i="3" s="1"/>
  <c r="G731" i="3"/>
  <c r="F731" i="3"/>
  <c r="E731" i="3"/>
  <c r="D731" i="3"/>
  <c r="T730" i="3"/>
  <c r="S730" i="3"/>
  <c r="R730" i="3"/>
  <c r="Q730" i="3"/>
  <c r="P730" i="3"/>
  <c r="O730" i="3"/>
  <c r="N730" i="3"/>
  <c r="M730" i="3"/>
  <c r="L730" i="3"/>
  <c r="K730" i="3"/>
  <c r="J730" i="3"/>
  <c r="I730" i="3"/>
  <c r="H730" i="3"/>
  <c r="G730" i="3"/>
  <c r="F730" i="3"/>
  <c r="E730" i="3"/>
  <c r="D730" i="3"/>
  <c r="C730" i="3"/>
  <c r="T729" i="3"/>
  <c r="S729" i="3"/>
  <c r="R729" i="3"/>
  <c r="Q729" i="3"/>
  <c r="P729" i="3"/>
  <c r="O729" i="3"/>
  <c r="N729" i="3"/>
  <c r="M729" i="3"/>
  <c r="L729" i="3"/>
  <c r="K729" i="3"/>
  <c r="J729" i="3"/>
  <c r="I729" i="3"/>
  <c r="H729" i="3"/>
  <c r="G729" i="3"/>
  <c r="F729" i="3"/>
  <c r="E729" i="3"/>
  <c r="D729" i="3"/>
  <c r="C729" i="3"/>
  <c r="T728" i="3"/>
  <c r="S728" i="3"/>
  <c r="R728" i="3"/>
  <c r="Q728" i="3"/>
  <c r="P728" i="3"/>
  <c r="O728" i="3"/>
  <c r="N728" i="3"/>
  <c r="M728" i="3"/>
  <c r="L728" i="3"/>
  <c r="K728" i="3"/>
  <c r="J728" i="3"/>
  <c r="I728" i="3"/>
  <c r="H728" i="3"/>
  <c r="G728" i="3"/>
  <c r="F728" i="3"/>
  <c r="E728" i="3"/>
  <c r="D728" i="3"/>
  <c r="C728" i="3"/>
  <c r="T727" i="3"/>
  <c r="S727" i="3"/>
  <c r="R727" i="3"/>
  <c r="Q727" i="3"/>
  <c r="P727" i="3"/>
  <c r="O727" i="3"/>
  <c r="N727" i="3"/>
  <c r="M727" i="3"/>
  <c r="L727" i="3"/>
  <c r="K727" i="3"/>
  <c r="J727" i="3"/>
  <c r="I727" i="3"/>
  <c r="H727" i="3"/>
  <c r="B727" i="3" s="1"/>
  <c r="G727" i="3"/>
  <c r="F727" i="3"/>
  <c r="E727" i="3"/>
  <c r="D727" i="3"/>
  <c r="T726" i="3"/>
  <c r="S726" i="3"/>
  <c r="R726" i="3"/>
  <c r="Q726" i="3"/>
  <c r="P726" i="3"/>
  <c r="O726" i="3"/>
  <c r="N726" i="3"/>
  <c r="M726" i="3"/>
  <c r="L726" i="3"/>
  <c r="K726" i="3"/>
  <c r="J726" i="3"/>
  <c r="I726" i="3"/>
  <c r="H726" i="3"/>
  <c r="G726" i="3"/>
  <c r="F726" i="3"/>
  <c r="E726" i="3"/>
  <c r="D726" i="3"/>
  <c r="C726" i="3"/>
  <c r="T725" i="3"/>
  <c r="S725" i="3"/>
  <c r="R725" i="3"/>
  <c r="Q725" i="3"/>
  <c r="P725" i="3"/>
  <c r="O725" i="3"/>
  <c r="N725" i="3"/>
  <c r="M725" i="3"/>
  <c r="L725" i="3"/>
  <c r="K725" i="3"/>
  <c r="J725" i="3"/>
  <c r="I725" i="3"/>
  <c r="H725" i="3"/>
  <c r="G725" i="3"/>
  <c r="F725" i="3"/>
  <c r="E725" i="3"/>
  <c r="D725" i="3"/>
  <c r="C725" i="3"/>
  <c r="T724" i="3"/>
  <c r="S724" i="3"/>
  <c r="R724" i="3"/>
  <c r="Q724" i="3"/>
  <c r="P724" i="3"/>
  <c r="O724" i="3"/>
  <c r="N724" i="3"/>
  <c r="M724" i="3"/>
  <c r="L724" i="3"/>
  <c r="K724" i="3"/>
  <c r="J724" i="3"/>
  <c r="I724" i="3"/>
  <c r="H724" i="3"/>
  <c r="G724" i="3"/>
  <c r="F724" i="3"/>
  <c r="E724" i="3"/>
  <c r="D724" i="3"/>
  <c r="C724" i="3"/>
  <c r="T723" i="3"/>
  <c r="S723" i="3"/>
  <c r="R723" i="3"/>
  <c r="Q723" i="3"/>
  <c r="P723" i="3"/>
  <c r="O723" i="3"/>
  <c r="N723" i="3"/>
  <c r="M723" i="3"/>
  <c r="L723" i="3"/>
  <c r="K723" i="3"/>
  <c r="J723" i="3"/>
  <c r="I723" i="3"/>
  <c r="H723" i="3"/>
  <c r="G723" i="3"/>
  <c r="F723" i="3"/>
  <c r="E723" i="3"/>
  <c r="D723" i="3"/>
  <c r="C723" i="3"/>
  <c r="T722" i="3"/>
  <c r="S722" i="3"/>
  <c r="R722" i="3"/>
  <c r="Q722" i="3"/>
  <c r="P722" i="3"/>
  <c r="O722" i="3"/>
  <c r="N722" i="3"/>
  <c r="M722" i="3"/>
  <c r="L722" i="3"/>
  <c r="K722" i="3"/>
  <c r="J722" i="3"/>
  <c r="I722" i="3"/>
  <c r="H722" i="3"/>
  <c r="G722" i="3"/>
  <c r="F722" i="3"/>
  <c r="E722" i="3"/>
  <c r="D722" i="3"/>
  <c r="C722" i="3"/>
  <c r="T721" i="3"/>
  <c r="S721" i="3"/>
  <c r="R721" i="3"/>
  <c r="Q721" i="3"/>
  <c r="P721" i="3"/>
  <c r="O721" i="3"/>
  <c r="N721" i="3"/>
  <c r="M721" i="3"/>
  <c r="L721" i="3"/>
  <c r="K721" i="3"/>
  <c r="J721" i="3"/>
  <c r="I721" i="3"/>
  <c r="H721" i="3"/>
  <c r="G721" i="3"/>
  <c r="F721" i="3"/>
  <c r="E721" i="3"/>
  <c r="D721" i="3"/>
  <c r="C721" i="3"/>
  <c r="T720" i="3"/>
  <c r="S720" i="3"/>
  <c r="R720" i="3"/>
  <c r="Q720" i="3"/>
  <c r="P720" i="3"/>
  <c r="O720" i="3"/>
  <c r="N720" i="3"/>
  <c r="M720" i="3"/>
  <c r="L720" i="3"/>
  <c r="K720" i="3"/>
  <c r="J720" i="3"/>
  <c r="I720" i="3"/>
  <c r="H720" i="3"/>
  <c r="G720" i="3"/>
  <c r="F720" i="3"/>
  <c r="E720" i="3"/>
  <c r="D720" i="3"/>
  <c r="C720" i="3"/>
  <c r="T719" i="3"/>
  <c r="S719" i="3"/>
  <c r="R719" i="3"/>
  <c r="Q719" i="3"/>
  <c r="P719" i="3"/>
  <c r="O719" i="3"/>
  <c r="N719" i="3"/>
  <c r="M719" i="3"/>
  <c r="L719" i="3"/>
  <c r="K719" i="3"/>
  <c r="J719" i="3"/>
  <c r="I719" i="3"/>
  <c r="H719" i="3"/>
  <c r="G719" i="3"/>
  <c r="F719" i="3"/>
  <c r="E719" i="3"/>
  <c r="D719" i="3"/>
  <c r="C719" i="3"/>
  <c r="T718" i="3"/>
  <c r="S718" i="3"/>
  <c r="R718" i="3"/>
  <c r="Q718" i="3"/>
  <c r="P718" i="3"/>
  <c r="O718" i="3"/>
  <c r="N718" i="3"/>
  <c r="M718" i="3"/>
  <c r="L718" i="3"/>
  <c r="K718" i="3"/>
  <c r="J718" i="3"/>
  <c r="I718" i="3"/>
  <c r="H718" i="3"/>
  <c r="G718" i="3"/>
  <c r="F718" i="3"/>
  <c r="E718" i="3"/>
  <c r="D718" i="3"/>
  <c r="C718" i="3"/>
  <c r="T717" i="3"/>
  <c r="S717" i="3"/>
  <c r="R717" i="3"/>
  <c r="Q717" i="3"/>
  <c r="P717" i="3"/>
  <c r="O717" i="3"/>
  <c r="N717" i="3"/>
  <c r="M717" i="3"/>
  <c r="L717" i="3"/>
  <c r="K717" i="3"/>
  <c r="J717" i="3"/>
  <c r="I717" i="3"/>
  <c r="H717" i="3"/>
  <c r="G717" i="3"/>
  <c r="F717" i="3"/>
  <c r="E717" i="3"/>
  <c r="D717" i="3"/>
  <c r="C717" i="3"/>
  <c r="T716" i="3"/>
  <c r="S716" i="3"/>
  <c r="R716" i="3"/>
  <c r="Q716" i="3"/>
  <c r="P716" i="3"/>
  <c r="O716" i="3"/>
  <c r="N716" i="3"/>
  <c r="M716" i="3"/>
  <c r="L716" i="3"/>
  <c r="K716" i="3"/>
  <c r="J716" i="3"/>
  <c r="I716" i="3"/>
  <c r="H716" i="3"/>
  <c r="G716" i="3"/>
  <c r="F716" i="3"/>
  <c r="E716" i="3"/>
  <c r="D716" i="3"/>
  <c r="C716" i="3"/>
  <c r="T715" i="3"/>
  <c r="S715" i="3"/>
  <c r="R715" i="3"/>
  <c r="Q715" i="3"/>
  <c r="P715" i="3"/>
  <c r="O715" i="3"/>
  <c r="N715" i="3"/>
  <c r="M715" i="3"/>
  <c r="L715" i="3"/>
  <c r="K715" i="3"/>
  <c r="J715" i="3"/>
  <c r="I715" i="3"/>
  <c r="H715" i="3"/>
  <c r="G715" i="3"/>
  <c r="F715" i="3"/>
  <c r="E715" i="3"/>
  <c r="D715" i="3"/>
  <c r="C715" i="3"/>
  <c r="T714" i="3"/>
  <c r="S714" i="3"/>
  <c r="R714" i="3"/>
  <c r="Q714" i="3"/>
  <c r="P714" i="3"/>
  <c r="O714" i="3"/>
  <c r="N714" i="3"/>
  <c r="M714" i="3"/>
  <c r="L714" i="3"/>
  <c r="K714" i="3"/>
  <c r="J714" i="3"/>
  <c r="I714" i="3"/>
  <c r="H714" i="3"/>
  <c r="G714" i="3"/>
  <c r="F714" i="3"/>
  <c r="E714" i="3"/>
  <c r="D714" i="3"/>
  <c r="C714" i="3"/>
  <c r="T713" i="3"/>
  <c r="S713" i="3"/>
  <c r="R713" i="3"/>
  <c r="Q713" i="3"/>
  <c r="P713" i="3"/>
  <c r="O713" i="3"/>
  <c r="N713" i="3"/>
  <c r="M713" i="3"/>
  <c r="L713" i="3"/>
  <c r="K713" i="3"/>
  <c r="J713" i="3"/>
  <c r="I713" i="3"/>
  <c r="H713" i="3"/>
  <c r="G713" i="3"/>
  <c r="F713" i="3"/>
  <c r="E713" i="3"/>
  <c r="D713" i="3"/>
  <c r="C713" i="3"/>
  <c r="T712" i="3"/>
  <c r="S712" i="3"/>
  <c r="R712" i="3"/>
  <c r="Q712" i="3"/>
  <c r="P712" i="3"/>
  <c r="O712" i="3"/>
  <c r="N712" i="3"/>
  <c r="M712" i="3"/>
  <c r="L712" i="3"/>
  <c r="K712" i="3"/>
  <c r="J712" i="3"/>
  <c r="I712" i="3"/>
  <c r="H712" i="3"/>
  <c r="G712" i="3"/>
  <c r="F712" i="3"/>
  <c r="E712" i="3"/>
  <c r="D712" i="3"/>
  <c r="C712" i="3"/>
  <c r="T711" i="3"/>
  <c r="S711" i="3"/>
  <c r="R711" i="3"/>
  <c r="Q711" i="3"/>
  <c r="P711" i="3"/>
  <c r="O711" i="3"/>
  <c r="N711" i="3"/>
  <c r="M711" i="3"/>
  <c r="L711" i="3"/>
  <c r="K711" i="3"/>
  <c r="J711" i="3"/>
  <c r="I711" i="3"/>
  <c r="H711" i="3"/>
  <c r="G711" i="3"/>
  <c r="F711" i="3"/>
  <c r="E711" i="3"/>
  <c r="D711" i="3"/>
  <c r="C711" i="3"/>
  <c r="T710" i="3"/>
  <c r="S710" i="3"/>
  <c r="R710" i="3"/>
  <c r="Q710" i="3"/>
  <c r="P710" i="3"/>
  <c r="O710" i="3"/>
  <c r="N710" i="3"/>
  <c r="M710" i="3"/>
  <c r="L710" i="3"/>
  <c r="K710" i="3"/>
  <c r="J710" i="3"/>
  <c r="I710" i="3"/>
  <c r="H710" i="3"/>
  <c r="G710" i="3"/>
  <c r="F710" i="3"/>
  <c r="E710" i="3"/>
  <c r="D710" i="3"/>
  <c r="C710" i="3"/>
  <c r="T709" i="3"/>
  <c r="S709" i="3"/>
  <c r="R709" i="3"/>
  <c r="Q709" i="3"/>
  <c r="P709" i="3"/>
  <c r="O709" i="3"/>
  <c r="N709" i="3"/>
  <c r="M709" i="3"/>
  <c r="L709" i="3"/>
  <c r="K709" i="3"/>
  <c r="J709" i="3"/>
  <c r="I709" i="3"/>
  <c r="H709" i="3"/>
  <c r="G709" i="3"/>
  <c r="F709" i="3"/>
  <c r="E709" i="3"/>
  <c r="D709" i="3"/>
  <c r="C709" i="3"/>
  <c r="T708" i="3"/>
  <c r="S708" i="3"/>
  <c r="R708" i="3"/>
  <c r="Q708" i="3"/>
  <c r="P708" i="3"/>
  <c r="O708" i="3"/>
  <c r="N708" i="3"/>
  <c r="M708" i="3"/>
  <c r="L708" i="3"/>
  <c r="K708" i="3"/>
  <c r="J708" i="3"/>
  <c r="I708" i="3"/>
  <c r="H708" i="3"/>
  <c r="G708" i="3"/>
  <c r="F708" i="3"/>
  <c r="E708" i="3"/>
  <c r="D708" i="3"/>
  <c r="C708" i="3"/>
  <c r="T707" i="3"/>
  <c r="S707" i="3"/>
  <c r="R707" i="3"/>
  <c r="Q707" i="3"/>
  <c r="P707" i="3"/>
  <c r="O707" i="3"/>
  <c r="N707" i="3"/>
  <c r="M707" i="3"/>
  <c r="L707" i="3"/>
  <c r="K707" i="3"/>
  <c r="J707" i="3"/>
  <c r="I707" i="3"/>
  <c r="H707" i="3"/>
  <c r="G707" i="3"/>
  <c r="F707" i="3"/>
  <c r="E707" i="3"/>
  <c r="D707" i="3"/>
  <c r="C707" i="3"/>
  <c r="T706" i="3"/>
  <c r="S706" i="3"/>
  <c r="R706" i="3"/>
  <c r="Q706" i="3"/>
  <c r="P706" i="3"/>
  <c r="O706" i="3"/>
  <c r="N706" i="3"/>
  <c r="M706" i="3"/>
  <c r="L706" i="3"/>
  <c r="K706" i="3"/>
  <c r="J706" i="3"/>
  <c r="I706" i="3"/>
  <c r="H706" i="3"/>
  <c r="B706" i="3" s="1"/>
  <c r="G706" i="3"/>
  <c r="F706" i="3"/>
  <c r="E706" i="3"/>
  <c r="D706" i="3"/>
  <c r="T705" i="3"/>
  <c r="S705" i="3"/>
  <c r="R705" i="3"/>
  <c r="Q705" i="3"/>
  <c r="P705" i="3"/>
  <c r="O705" i="3"/>
  <c r="N705" i="3"/>
  <c r="M705" i="3"/>
  <c r="L705" i="3"/>
  <c r="K705" i="3"/>
  <c r="J705" i="3"/>
  <c r="I705" i="3"/>
  <c r="H705" i="3"/>
  <c r="G705" i="3"/>
  <c r="F705" i="3"/>
  <c r="E705" i="3"/>
  <c r="D705" i="3"/>
  <c r="C705" i="3"/>
  <c r="T704" i="3"/>
  <c r="S704" i="3"/>
  <c r="R704" i="3"/>
  <c r="Q704" i="3"/>
  <c r="P704" i="3"/>
  <c r="O704" i="3"/>
  <c r="N704" i="3"/>
  <c r="M704" i="3"/>
  <c r="L704" i="3"/>
  <c r="K704" i="3"/>
  <c r="J704" i="3"/>
  <c r="I704" i="3"/>
  <c r="H704" i="3"/>
  <c r="G704" i="3"/>
  <c r="F704" i="3"/>
  <c r="E704" i="3"/>
  <c r="D704" i="3"/>
  <c r="C704" i="3"/>
  <c r="T703" i="3"/>
  <c r="S703" i="3"/>
  <c r="R703" i="3"/>
  <c r="Q703" i="3"/>
  <c r="P703" i="3"/>
  <c r="O703" i="3"/>
  <c r="N703" i="3"/>
  <c r="M703" i="3"/>
  <c r="L703" i="3"/>
  <c r="K703" i="3"/>
  <c r="J703" i="3"/>
  <c r="I703" i="3"/>
  <c r="H703" i="3"/>
  <c r="G703" i="3"/>
  <c r="F703" i="3"/>
  <c r="E703" i="3"/>
  <c r="D703" i="3"/>
  <c r="C703" i="3"/>
  <c r="T702" i="3"/>
  <c r="S702" i="3"/>
  <c r="R702" i="3"/>
  <c r="Q702" i="3"/>
  <c r="P702" i="3"/>
  <c r="O702" i="3"/>
  <c r="N702" i="3"/>
  <c r="M702" i="3"/>
  <c r="L702" i="3"/>
  <c r="K702" i="3"/>
  <c r="J702" i="3"/>
  <c r="I702" i="3"/>
  <c r="H702" i="3"/>
  <c r="G702" i="3"/>
  <c r="F702" i="3"/>
  <c r="E702" i="3"/>
  <c r="D702" i="3"/>
  <c r="C702" i="3"/>
  <c r="T701" i="3"/>
  <c r="S701" i="3"/>
  <c r="R701" i="3"/>
  <c r="Q701" i="3"/>
  <c r="P701" i="3"/>
  <c r="O701" i="3"/>
  <c r="N701" i="3"/>
  <c r="M701" i="3"/>
  <c r="L701" i="3"/>
  <c r="K701" i="3"/>
  <c r="J701" i="3"/>
  <c r="I701" i="3"/>
  <c r="H701" i="3"/>
  <c r="B701" i="3" s="1"/>
  <c r="G701" i="3"/>
  <c r="F701" i="3"/>
  <c r="E701" i="3"/>
  <c r="D701" i="3"/>
  <c r="T700" i="3"/>
  <c r="S700" i="3"/>
  <c r="R700" i="3"/>
  <c r="Q700" i="3"/>
  <c r="P700" i="3"/>
  <c r="O700" i="3"/>
  <c r="N700" i="3"/>
  <c r="M700" i="3"/>
  <c r="L700" i="3"/>
  <c r="K700" i="3"/>
  <c r="J700" i="3"/>
  <c r="I700" i="3"/>
  <c r="H700" i="3"/>
  <c r="G700" i="3"/>
  <c r="F700" i="3"/>
  <c r="E700" i="3"/>
  <c r="D700" i="3"/>
  <c r="C700" i="3"/>
  <c r="T699" i="3"/>
  <c r="S699" i="3"/>
  <c r="R699" i="3"/>
  <c r="Q699" i="3"/>
  <c r="P699" i="3"/>
  <c r="O699" i="3"/>
  <c r="N699" i="3"/>
  <c r="M699" i="3"/>
  <c r="L699" i="3"/>
  <c r="K699" i="3"/>
  <c r="J699" i="3"/>
  <c r="I699" i="3"/>
  <c r="H699" i="3"/>
  <c r="G699" i="3"/>
  <c r="F699" i="3"/>
  <c r="E699" i="3"/>
  <c r="D699" i="3"/>
  <c r="C699" i="3"/>
  <c r="T698" i="3"/>
  <c r="S698" i="3"/>
  <c r="R698" i="3"/>
  <c r="Q698" i="3"/>
  <c r="P698" i="3"/>
  <c r="O698" i="3"/>
  <c r="N698" i="3"/>
  <c r="M698" i="3"/>
  <c r="L698" i="3"/>
  <c r="K698" i="3"/>
  <c r="J698" i="3"/>
  <c r="I698" i="3"/>
  <c r="H698" i="3"/>
  <c r="G698" i="3"/>
  <c r="F698" i="3"/>
  <c r="E698" i="3"/>
  <c r="D698" i="3"/>
  <c r="C698" i="3"/>
  <c r="T697" i="3"/>
  <c r="S697" i="3"/>
  <c r="R697" i="3"/>
  <c r="Q697" i="3"/>
  <c r="P697" i="3"/>
  <c r="O697" i="3"/>
  <c r="N697" i="3"/>
  <c r="M697" i="3"/>
  <c r="L697" i="3"/>
  <c r="K697" i="3"/>
  <c r="J697" i="3"/>
  <c r="I697" i="3"/>
  <c r="H697" i="3"/>
  <c r="G697" i="3"/>
  <c r="F697" i="3"/>
  <c r="E697" i="3"/>
  <c r="D697" i="3"/>
  <c r="C697" i="3"/>
  <c r="T696" i="3"/>
  <c r="S696" i="3"/>
  <c r="R696" i="3"/>
  <c r="Q696" i="3"/>
  <c r="P696" i="3"/>
  <c r="O696" i="3"/>
  <c r="N696" i="3"/>
  <c r="M696" i="3"/>
  <c r="L696" i="3"/>
  <c r="K696" i="3"/>
  <c r="J696" i="3"/>
  <c r="I696" i="3"/>
  <c r="H696" i="3"/>
  <c r="G696" i="3"/>
  <c r="F696" i="3"/>
  <c r="E696" i="3"/>
  <c r="D696" i="3"/>
  <c r="C696" i="3"/>
  <c r="T695" i="3"/>
  <c r="S695" i="3"/>
  <c r="R695" i="3"/>
  <c r="Q695" i="3"/>
  <c r="P695" i="3"/>
  <c r="O695" i="3"/>
  <c r="N695" i="3"/>
  <c r="M695" i="3"/>
  <c r="L695" i="3"/>
  <c r="K695" i="3"/>
  <c r="J695" i="3"/>
  <c r="I695" i="3"/>
  <c r="H695" i="3"/>
  <c r="G695" i="3"/>
  <c r="F695" i="3"/>
  <c r="E695" i="3"/>
  <c r="D695" i="3"/>
  <c r="C695" i="3"/>
  <c r="T694" i="3"/>
  <c r="S694" i="3"/>
  <c r="R694" i="3"/>
  <c r="Q694" i="3"/>
  <c r="P694" i="3"/>
  <c r="O694" i="3"/>
  <c r="N694" i="3"/>
  <c r="M694" i="3"/>
  <c r="L694" i="3"/>
  <c r="K694" i="3"/>
  <c r="J694" i="3"/>
  <c r="I694" i="3"/>
  <c r="H694" i="3"/>
  <c r="B694" i="3" s="1"/>
  <c r="G694" i="3"/>
  <c r="F694" i="3"/>
  <c r="E694" i="3"/>
  <c r="D694" i="3"/>
  <c r="T693" i="3"/>
  <c r="S693" i="3"/>
  <c r="R693" i="3"/>
  <c r="Q693" i="3"/>
  <c r="P693" i="3"/>
  <c r="O693" i="3"/>
  <c r="N693" i="3"/>
  <c r="M693" i="3"/>
  <c r="L693" i="3"/>
  <c r="K693" i="3"/>
  <c r="J693" i="3"/>
  <c r="I693" i="3"/>
  <c r="H693" i="3"/>
  <c r="G693" i="3"/>
  <c r="F693" i="3"/>
  <c r="E693" i="3"/>
  <c r="D693" i="3"/>
  <c r="C693" i="3"/>
  <c r="T692" i="3"/>
  <c r="S692" i="3"/>
  <c r="R692" i="3"/>
  <c r="Q692" i="3"/>
  <c r="P692" i="3"/>
  <c r="O692" i="3"/>
  <c r="N692" i="3"/>
  <c r="M692" i="3"/>
  <c r="L692" i="3"/>
  <c r="K692" i="3"/>
  <c r="J692" i="3"/>
  <c r="I692" i="3"/>
  <c r="H692" i="3"/>
  <c r="G692" i="3"/>
  <c r="F692" i="3"/>
  <c r="E692" i="3"/>
  <c r="D692" i="3"/>
  <c r="C692" i="3"/>
  <c r="T691" i="3"/>
  <c r="S691" i="3"/>
  <c r="R691" i="3"/>
  <c r="Q691" i="3"/>
  <c r="P691" i="3"/>
  <c r="O691" i="3"/>
  <c r="N691" i="3"/>
  <c r="M691" i="3"/>
  <c r="L691" i="3"/>
  <c r="K691" i="3"/>
  <c r="J691" i="3"/>
  <c r="I691" i="3"/>
  <c r="H691" i="3"/>
  <c r="G691" i="3"/>
  <c r="F691" i="3"/>
  <c r="E691" i="3"/>
  <c r="D691" i="3"/>
  <c r="C691" i="3"/>
  <c r="T690" i="3"/>
  <c r="S690" i="3"/>
  <c r="R690" i="3"/>
  <c r="Q690" i="3"/>
  <c r="P690" i="3"/>
  <c r="O690" i="3"/>
  <c r="N690" i="3"/>
  <c r="M690" i="3"/>
  <c r="L690" i="3"/>
  <c r="K690" i="3"/>
  <c r="J690" i="3"/>
  <c r="I690" i="3"/>
  <c r="H690" i="3"/>
  <c r="G690" i="3"/>
  <c r="F690" i="3"/>
  <c r="E690" i="3"/>
  <c r="D690" i="3"/>
  <c r="C690" i="3"/>
  <c r="T689" i="3"/>
  <c r="S689" i="3"/>
  <c r="R689" i="3"/>
  <c r="Q689" i="3"/>
  <c r="P689" i="3"/>
  <c r="O689" i="3"/>
  <c r="N689" i="3"/>
  <c r="M689" i="3"/>
  <c r="L689" i="3"/>
  <c r="K689" i="3"/>
  <c r="J689" i="3"/>
  <c r="I689" i="3"/>
  <c r="H689" i="3"/>
  <c r="G689" i="3"/>
  <c r="F689" i="3"/>
  <c r="E689" i="3"/>
  <c r="D689" i="3"/>
  <c r="C689" i="3"/>
  <c r="T688" i="3"/>
  <c r="S688" i="3"/>
  <c r="R688" i="3"/>
  <c r="Q688" i="3"/>
  <c r="P688" i="3"/>
  <c r="O688" i="3"/>
  <c r="N688" i="3"/>
  <c r="M688" i="3"/>
  <c r="L688" i="3"/>
  <c r="K688" i="3"/>
  <c r="J688" i="3"/>
  <c r="I688" i="3"/>
  <c r="H688" i="3"/>
  <c r="G688" i="3"/>
  <c r="F688" i="3"/>
  <c r="E688" i="3"/>
  <c r="D688" i="3"/>
  <c r="C688" i="3"/>
  <c r="T687" i="3"/>
  <c r="S687" i="3"/>
  <c r="R687" i="3"/>
  <c r="Q687" i="3"/>
  <c r="P687" i="3"/>
  <c r="O687" i="3"/>
  <c r="N687" i="3"/>
  <c r="M687" i="3"/>
  <c r="L687" i="3"/>
  <c r="K687" i="3"/>
  <c r="J687" i="3"/>
  <c r="I687" i="3"/>
  <c r="H687" i="3"/>
  <c r="G687" i="3"/>
  <c r="F687" i="3"/>
  <c r="E687" i="3"/>
  <c r="D687" i="3"/>
  <c r="C687" i="3"/>
  <c r="T686" i="3"/>
  <c r="S686" i="3"/>
  <c r="R686" i="3"/>
  <c r="Q686" i="3"/>
  <c r="P686" i="3"/>
  <c r="O686" i="3"/>
  <c r="N686" i="3"/>
  <c r="M686" i="3"/>
  <c r="L686" i="3"/>
  <c r="K686" i="3"/>
  <c r="J686" i="3"/>
  <c r="I686" i="3"/>
  <c r="H686" i="3"/>
  <c r="G686" i="3"/>
  <c r="F686" i="3"/>
  <c r="E686" i="3"/>
  <c r="D686" i="3"/>
  <c r="C686" i="3"/>
  <c r="T685" i="3"/>
  <c r="S685" i="3"/>
  <c r="R685" i="3"/>
  <c r="Q685" i="3"/>
  <c r="P685" i="3"/>
  <c r="O685" i="3"/>
  <c r="N685" i="3"/>
  <c r="M685" i="3"/>
  <c r="L685" i="3"/>
  <c r="K685" i="3"/>
  <c r="J685" i="3"/>
  <c r="I685" i="3"/>
  <c r="H685" i="3"/>
  <c r="G685" i="3"/>
  <c r="F685" i="3"/>
  <c r="E685" i="3"/>
  <c r="D685" i="3"/>
  <c r="C685" i="3"/>
  <c r="T684" i="3"/>
  <c r="S684" i="3"/>
  <c r="R684" i="3"/>
  <c r="Q684" i="3"/>
  <c r="P684" i="3"/>
  <c r="O684" i="3"/>
  <c r="N684" i="3"/>
  <c r="M684" i="3"/>
  <c r="L684" i="3"/>
  <c r="K684" i="3"/>
  <c r="J684" i="3"/>
  <c r="I684" i="3"/>
  <c r="H684" i="3"/>
  <c r="G684" i="3"/>
  <c r="F684" i="3"/>
  <c r="E684" i="3"/>
  <c r="D684" i="3"/>
  <c r="C684" i="3"/>
  <c r="T683" i="3"/>
  <c r="S683" i="3"/>
  <c r="R683" i="3"/>
  <c r="Q683" i="3"/>
  <c r="P683" i="3"/>
  <c r="O683" i="3"/>
  <c r="N683" i="3"/>
  <c r="M683" i="3"/>
  <c r="L683" i="3"/>
  <c r="K683" i="3"/>
  <c r="J683" i="3"/>
  <c r="I683" i="3"/>
  <c r="H683" i="3"/>
  <c r="G683" i="3"/>
  <c r="F683" i="3"/>
  <c r="E683" i="3"/>
  <c r="D683" i="3"/>
  <c r="C683" i="3"/>
  <c r="T682" i="3"/>
  <c r="S682" i="3"/>
  <c r="R682" i="3"/>
  <c r="Q682" i="3"/>
  <c r="P682" i="3"/>
  <c r="O682" i="3"/>
  <c r="N682" i="3"/>
  <c r="M682" i="3"/>
  <c r="L682" i="3"/>
  <c r="K682" i="3"/>
  <c r="J682" i="3"/>
  <c r="I682" i="3"/>
  <c r="H682" i="3"/>
  <c r="G682" i="3"/>
  <c r="F682" i="3"/>
  <c r="E682" i="3"/>
  <c r="D682" i="3"/>
  <c r="C682" i="3"/>
  <c r="T681" i="3"/>
  <c r="S681" i="3"/>
  <c r="R681" i="3"/>
  <c r="Q681" i="3"/>
  <c r="P681" i="3"/>
  <c r="O681" i="3"/>
  <c r="N681" i="3"/>
  <c r="M681" i="3"/>
  <c r="L681" i="3"/>
  <c r="K681" i="3"/>
  <c r="J681" i="3"/>
  <c r="I681" i="3"/>
  <c r="H681" i="3"/>
  <c r="G681" i="3"/>
  <c r="F681" i="3"/>
  <c r="E681" i="3"/>
  <c r="D681" i="3"/>
  <c r="C681" i="3"/>
  <c r="T680" i="3"/>
  <c r="S680" i="3"/>
  <c r="R680" i="3"/>
  <c r="Q680" i="3"/>
  <c r="P680" i="3"/>
  <c r="O680" i="3"/>
  <c r="N680" i="3"/>
  <c r="M680" i="3"/>
  <c r="L680" i="3"/>
  <c r="K680" i="3"/>
  <c r="J680" i="3"/>
  <c r="I680" i="3"/>
  <c r="H680" i="3"/>
  <c r="G680" i="3"/>
  <c r="F680" i="3"/>
  <c r="E680" i="3"/>
  <c r="D680" i="3"/>
  <c r="C680" i="3"/>
  <c r="T679" i="3"/>
  <c r="S679" i="3"/>
  <c r="R679" i="3"/>
  <c r="Q679" i="3"/>
  <c r="P679" i="3"/>
  <c r="O679" i="3"/>
  <c r="N679" i="3"/>
  <c r="M679" i="3"/>
  <c r="L679" i="3"/>
  <c r="K679" i="3"/>
  <c r="J679" i="3"/>
  <c r="I679" i="3"/>
  <c r="H679" i="3"/>
  <c r="G679" i="3"/>
  <c r="F679" i="3"/>
  <c r="E679" i="3"/>
  <c r="D679" i="3"/>
  <c r="C679" i="3"/>
  <c r="T678" i="3"/>
  <c r="S678" i="3"/>
  <c r="R678" i="3"/>
  <c r="Q678" i="3"/>
  <c r="P678" i="3"/>
  <c r="O678" i="3"/>
  <c r="N678" i="3"/>
  <c r="M678" i="3"/>
  <c r="L678" i="3"/>
  <c r="K678" i="3"/>
  <c r="J678" i="3"/>
  <c r="I678" i="3"/>
  <c r="H678" i="3"/>
  <c r="G678" i="3"/>
  <c r="F678" i="3"/>
  <c r="E678" i="3"/>
  <c r="D678" i="3"/>
  <c r="C678" i="3"/>
  <c r="T677" i="3"/>
  <c r="S677" i="3"/>
  <c r="R677" i="3"/>
  <c r="Q677" i="3"/>
  <c r="P677" i="3"/>
  <c r="O677" i="3"/>
  <c r="N677" i="3"/>
  <c r="M677" i="3"/>
  <c r="L677" i="3"/>
  <c r="K677" i="3"/>
  <c r="J677" i="3"/>
  <c r="I677" i="3"/>
  <c r="H677" i="3"/>
  <c r="G677" i="3"/>
  <c r="F677" i="3"/>
  <c r="E677" i="3"/>
  <c r="D677" i="3"/>
  <c r="C677" i="3"/>
  <c r="T676" i="3"/>
  <c r="S676" i="3"/>
  <c r="R676" i="3"/>
  <c r="Q676" i="3"/>
  <c r="P676" i="3"/>
  <c r="O676" i="3"/>
  <c r="N676" i="3"/>
  <c r="M676" i="3"/>
  <c r="L676" i="3"/>
  <c r="K676" i="3"/>
  <c r="J676" i="3"/>
  <c r="I676" i="3"/>
  <c r="H676" i="3"/>
  <c r="G676" i="3"/>
  <c r="F676" i="3"/>
  <c r="E676" i="3"/>
  <c r="D676" i="3"/>
  <c r="C676" i="3"/>
  <c r="T675" i="3"/>
  <c r="S675" i="3"/>
  <c r="R675" i="3"/>
  <c r="Q675" i="3"/>
  <c r="P675" i="3"/>
  <c r="O675" i="3"/>
  <c r="N675" i="3"/>
  <c r="M675" i="3"/>
  <c r="L675" i="3"/>
  <c r="K675" i="3"/>
  <c r="J675" i="3"/>
  <c r="I675" i="3"/>
  <c r="H675" i="3"/>
  <c r="B675" i="3" s="1"/>
  <c r="G675" i="3"/>
  <c r="F675" i="3"/>
  <c r="E675" i="3"/>
  <c r="D675" i="3"/>
  <c r="T674" i="3"/>
  <c r="S674" i="3"/>
  <c r="R674" i="3"/>
  <c r="Q674" i="3"/>
  <c r="P674" i="3"/>
  <c r="O674" i="3"/>
  <c r="N674" i="3"/>
  <c r="M674" i="3"/>
  <c r="L674" i="3"/>
  <c r="K674" i="3"/>
  <c r="J674" i="3"/>
  <c r="I674" i="3"/>
  <c r="H674" i="3"/>
  <c r="G674" i="3"/>
  <c r="F674" i="3"/>
  <c r="E674" i="3"/>
  <c r="D674" i="3"/>
  <c r="C674" i="3"/>
  <c r="T673" i="3"/>
  <c r="S673" i="3"/>
  <c r="R673" i="3"/>
  <c r="Q673" i="3"/>
  <c r="P673" i="3"/>
  <c r="O673" i="3"/>
  <c r="N673" i="3"/>
  <c r="M673" i="3"/>
  <c r="L673" i="3"/>
  <c r="K673" i="3"/>
  <c r="J673" i="3"/>
  <c r="I673" i="3"/>
  <c r="H673" i="3"/>
  <c r="G673" i="3"/>
  <c r="F673" i="3"/>
  <c r="E673" i="3"/>
  <c r="D673" i="3"/>
  <c r="C673" i="3"/>
  <c r="T672" i="3"/>
  <c r="S672" i="3"/>
  <c r="R672" i="3"/>
  <c r="Q672" i="3"/>
  <c r="P672" i="3"/>
  <c r="O672" i="3"/>
  <c r="N672" i="3"/>
  <c r="M672" i="3"/>
  <c r="L672" i="3"/>
  <c r="K672" i="3"/>
  <c r="J672" i="3"/>
  <c r="I672" i="3"/>
  <c r="H672" i="3"/>
  <c r="G672" i="3"/>
  <c r="F672" i="3"/>
  <c r="E672" i="3"/>
  <c r="D672" i="3"/>
  <c r="C672" i="3"/>
  <c r="T671" i="3"/>
  <c r="S671" i="3"/>
  <c r="R671" i="3"/>
  <c r="Q671" i="3"/>
  <c r="P671" i="3"/>
  <c r="O671" i="3"/>
  <c r="N671" i="3"/>
  <c r="M671" i="3"/>
  <c r="L671" i="3"/>
  <c r="K671" i="3"/>
  <c r="J671" i="3"/>
  <c r="I671" i="3"/>
  <c r="H671" i="3"/>
  <c r="G671" i="3"/>
  <c r="F671" i="3"/>
  <c r="E671" i="3"/>
  <c r="D671" i="3"/>
  <c r="C671" i="3"/>
  <c r="T670" i="3"/>
  <c r="S670" i="3"/>
  <c r="R670" i="3"/>
  <c r="Q670" i="3"/>
  <c r="P670" i="3"/>
  <c r="O670" i="3"/>
  <c r="N670" i="3"/>
  <c r="M670" i="3"/>
  <c r="L670" i="3"/>
  <c r="K670" i="3"/>
  <c r="J670" i="3"/>
  <c r="I670" i="3"/>
  <c r="H670" i="3"/>
  <c r="B670" i="3" s="1"/>
  <c r="G670" i="3"/>
  <c r="F670" i="3"/>
  <c r="E670" i="3"/>
  <c r="D670" i="3"/>
  <c r="T669" i="3"/>
  <c r="S669" i="3"/>
  <c r="R669" i="3"/>
  <c r="Q669" i="3"/>
  <c r="P669" i="3"/>
  <c r="O669" i="3"/>
  <c r="N669" i="3"/>
  <c r="M669" i="3"/>
  <c r="L669" i="3"/>
  <c r="K669" i="3"/>
  <c r="J669" i="3"/>
  <c r="I669" i="3"/>
  <c r="H669" i="3"/>
  <c r="B669" i="3" s="1"/>
  <c r="G669" i="3"/>
  <c r="F669" i="3"/>
  <c r="E669" i="3"/>
  <c r="D669" i="3"/>
  <c r="T668" i="3"/>
  <c r="S668" i="3"/>
  <c r="R668" i="3"/>
  <c r="Q668" i="3"/>
  <c r="P668" i="3"/>
  <c r="O668" i="3"/>
  <c r="N668" i="3"/>
  <c r="M668" i="3"/>
  <c r="L668" i="3"/>
  <c r="K668" i="3"/>
  <c r="J668" i="3"/>
  <c r="I668" i="3"/>
  <c r="H668" i="3"/>
  <c r="G668" i="3"/>
  <c r="F668" i="3"/>
  <c r="E668" i="3"/>
  <c r="D668" i="3"/>
  <c r="C668" i="3"/>
  <c r="T667" i="3"/>
  <c r="S667" i="3"/>
  <c r="R667" i="3"/>
  <c r="Q667" i="3"/>
  <c r="P667" i="3"/>
  <c r="O667" i="3"/>
  <c r="N667" i="3"/>
  <c r="M667" i="3"/>
  <c r="L667" i="3"/>
  <c r="K667" i="3"/>
  <c r="J667" i="3"/>
  <c r="I667" i="3"/>
  <c r="H667" i="3"/>
  <c r="G667" i="3"/>
  <c r="F667" i="3"/>
  <c r="E667" i="3"/>
  <c r="D667" i="3"/>
  <c r="C667" i="3"/>
  <c r="T666" i="3"/>
  <c r="S666" i="3"/>
  <c r="R666" i="3"/>
  <c r="Q666" i="3"/>
  <c r="P666" i="3"/>
  <c r="O666" i="3"/>
  <c r="N666" i="3"/>
  <c r="M666" i="3"/>
  <c r="L666" i="3"/>
  <c r="K666" i="3"/>
  <c r="J666" i="3"/>
  <c r="I666" i="3"/>
  <c r="H666" i="3"/>
  <c r="B666" i="3" s="1"/>
  <c r="G666" i="3"/>
  <c r="F666" i="3"/>
  <c r="E666" i="3"/>
  <c r="D666" i="3"/>
  <c r="T665" i="3"/>
  <c r="S665" i="3"/>
  <c r="R665" i="3"/>
  <c r="Q665" i="3"/>
  <c r="P665" i="3"/>
  <c r="O665" i="3"/>
  <c r="N665" i="3"/>
  <c r="M665" i="3"/>
  <c r="L665" i="3"/>
  <c r="K665" i="3"/>
  <c r="J665" i="3"/>
  <c r="I665" i="3"/>
  <c r="H665" i="3"/>
  <c r="B665" i="3" s="1"/>
  <c r="G665" i="3"/>
  <c r="F665" i="3"/>
  <c r="E665" i="3"/>
  <c r="D665" i="3"/>
  <c r="T664" i="3"/>
  <c r="S664" i="3"/>
  <c r="R664" i="3"/>
  <c r="Q664" i="3"/>
  <c r="P664" i="3"/>
  <c r="O664" i="3"/>
  <c r="N664" i="3"/>
  <c r="M664" i="3"/>
  <c r="L664" i="3"/>
  <c r="K664" i="3"/>
  <c r="J664" i="3"/>
  <c r="I664" i="3"/>
  <c r="H664" i="3"/>
  <c r="B664" i="3" s="1"/>
  <c r="G664" i="3"/>
  <c r="F664" i="3"/>
  <c r="E664" i="3"/>
  <c r="D664" i="3"/>
  <c r="T663" i="3"/>
  <c r="S663" i="3"/>
  <c r="R663" i="3"/>
  <c r="Q663" i="3"/>
  <c r="P663" i="3"/>
  <c r="O663" i="3"/>
  <c r="N663" i="3"/>
  <c r="M663" i="3"/>
  <c r="L663" i="3"/>
  <c r="K663" i="3"/>
  <c r="J663" i="3"/>
  <c r="I663" i="3"/>
  <c r="H663" i="3"/>
  <c r="B663" i="3" s="1"/>
  <c r="G663" i="3"/>
  <c r="F663" i="3"/>
  <c r="E663" i="3"/>
  <c r="D663" i="3"/>
  <c r="T662" i="3"/>
  <c r="S662" i="3"/>
  <c r="R662" i="3"/>
  <c r="Q662" i="3"/>
  <c r="P662" i="3"/>
  <c r="O662" i="3"/>
  <c r="N662" i="3"/>
  <c r="M662" i="3"/>
  <c r="L662" i="3"/>
  <c r="K662" i="3"/>
  <c r="J662" i="3"/>
  <c r="I662" i="3"/>
  <c r="H662" i="3"/>
  <c r="G662" i="3"/>
  <c r="F662" i="3"/>
  <c r="E662" i="3"/>
  <c r="D662" i="3"/>
  <c r="C662" i="3"/>
  <c r="T661" i="3"/>
  <c r="S661" i="3"/>
  <c r="R661" i="3"/>
  <c r="Q661" i="3"/>
  <c r="P661" i="3"/>
  <c r="O661" i="3"/>
  <c r="N661" i="3"/>
  <c r="M661" i="3"/>
  <c r="L661" i="3"/>
  <c r="K661" i="3"/>
  <c r="J661" i="3"/>
  <c r="I661" i="3"/>
  <c r="H661" i="3"/>
  <c r="B661" i="3" s="1"/>
  <c r="G661" i="3"/>
  <c r="F661" i="3"/>
  <c r="E661" i="3"/>
  <c r="D661" i="3"/>
  <c r="T660" i="3"/>
  <c r="S660" i="3"/>
  <c r="R660" i="3"/>
  <c r="Q660" i="3"/>
  <c r="P660" i="3"/>
  <c r="O660" i="3"/>
  <c r="N660" i="3"/>
  <c r="M660" i="3"/>
  <c r="L660" i="3"/>
  <c r="K660" i="3"/>
  <c r="J660" i="3"/>
  <c r="I660" i="3"/>
  <c r="H660" i="3"/>
  <c r="G660" i="3"/>
  <c r="F660" i="3"/>
  <c r="E660" i="3"/>
  <c r="D660" i="3"/>
  <c r="C660" i="3"/>
  <c r="T659" i="3"/>
  <c r="S659" i="3"/>
  <c r="R659" i="3"/>
  <c r="Q659" i="3"/>
  <c r="P659" i="3"/>
  <c r="O659" i="3"/>
  <c r="N659" i="3"/>
  <c r="M659" i="3"/>
  <c r="L659" i="3"/>
  <c r="K659" i="3"/>
  <c r="J659" i="3"/>
  <c r="I659" i="3"/>
  <c r="H659" i="3"/>
  <c r="B659" i="3" s="1"/>
  <c r="G659" i="3"/>
  <c r="F659" i="3"/>
  <c r="E659" i="3"/>
  <c r="D659" i="3"/>
  <c r="T658" i="3"/>
  <c r="S658" i="3"/>
  <c r="R658" i="3"/>
  <c r="Q658" i="3"/>
  <c r="P658" i="3"/>
  <c r="O658" i="3"/>
  <c r="N658" i="3"/>
  <c r="M658" i="3"/>
  <c r="L658" i="3"/>
  <c r="K658" i="3"/>
  <c r="J658" i="3"/>
  <c r="I658" i="3"/>
  <c r="H658" i="3"/>
  <c r="B658" i="3" s="1"/>
  <c r="G658" i="3"/>
  <c r="F658" i="3"/>
  <c r="E658" i="3"/>
  <c r="D658" i="3"/>
  <c r="T657" i="3"/>
  <c r="S657" i="3"/>
  <c r="R657" i="3"/>
  <c r="Q657" i="3"/>
  <c r="P657" i="3"/>
  <c r="O657" i="3"/>
  <c r="N657" i="3"/>
  <c r="M657" i="3"/>
  <c r="L657" i="3"/>
  <c r="K657" i="3"/>
  <c r="J657" i="3"/>
  <c r="I657" i="3"/>
  <c r="H657" i="3"/>
  <c r="G657" i="3"/>
  <c r="F657" i="3"/>
  <c r="E657" i="3"/>
  <c r="D657" i="3"/>
  <c r="C657" i="3"/>
  <c r="T656" i="3"/>
  <c r="S656" i="3"/>
  <c r="R656" i="3"/>
  <c r="Q656" i="3"/>
  <c r="P656" i="3"/>
  <c r="O656" i="3"/>
  <c r="N656" i="3"/>
  <c r="M656" i="3"/>
  <c r="L656" i="3"/>
  <c r="K656" i="3"/>
  <c r="J656" i="3"/>
  <c r="I656" i="3"/>
  <c r="H656" i="3"/>
  <c r="G656" i="3"/>
  <c r="F656" i="3"/>
  <c r="E656" i="3"/>
  <c r="D656" i="3"/>
  <c r="C656" i="3"/>
  <c r="T655" i="3"/>
  <c r="S655" i="3"/>
  <c r="R655" i="3"/>
  <c r="Q655" i="3"/>
  <c r="P655" i="3"/>
  <c r="O655" i="3"/>
  <c r="N655" i="3"/>
  <c r="M655" i="3"/>
  <c r="L655" i="3"/>
  <c r="K655" i="3"/>
  <c r="J655" i="3"/>
  <c r="I655" i="3"/>
  <c r="H655" i="3"/>
  <c r="G655" i="3"/>
  <c r="F655" i="3"/>
  <c r="E655" i="3"/>
  <c r="D655" i="3"/>
  <c r="C655" i="3"/>
  <c r="T654" i="3"/>
  <c r="S654" i="3"/>
  <c r="R654" i="3"/>
  <c r="Q654" i="3"/>
  <c r="P654" i="3"/>
  <c r="O654" i="3"/>
  <c r="N654" i="3"/>
  <c r="M654" i="3"/>
  <c r="L654" i="3"/>
  <c r="K654" i="3"/>
  <c r="J654" i="3"/>
  <c r="I654" i="3"/>
  <c r="H654" i="3"/>
  <c r="G654" i="3"/>
  <c r="F654" i="3"/>
  <c r="E654" i="3"/>
  <c r="D654" i="3"/>
  <c r="C654" i="3"/>
  <c r="T653" i="3"/>
  <c r="S653" i="3"/>
  <c r="R653" i="3"/>
  <c r="Q653" i="3"/>
  <c r="N653" i="3"/>
  <c r="M653" i="3"/>
  <c r="L653" i="3"/>
  <c r="K653" i="3"/>
  <c r="J653" i="3"/>
  <c r="I653" i="3"/>
  <c r="H653" i="3"/>
  <c r="G653" i="3"/>
  <c r="F653" i="3"/>
  <c r="E653" i="3"/>
  <c r="D653" i="3"/>
  <c r="C653" i="3"/>
  <c r="T652" i="3"/>
  <c r="S652" i="3"/>
  <c r="R652" i="3"/>
  <c r="Q652" i="3"/>
  <c r="P652" i="3"/>
  <c r="O652" i="3"/>
  <c r="N652" i="3"/>
  <c r="M652" i="3"/>
  <c r="L652" i="3"/>
  <c r="K652" i="3"/>
  <c r="J652" i="3"/>
  <c r="I652" i="3"/>
  <c r="H652" i="3"/>
  <c r="G652" i="3"/>
  <c r="F652" i="3"/>
  <c r="E652" i="3"/>
  <c r="D652" i="3"/>
  <c r="C652" i="3"/>
  <c r="T651" i="3"/>
  <c r="S651" i="3"/>
  <c r="R651" i="3"/>
  <c r="Q651" i="3"/>
  <c r="P651" i="3"/>
  <c r="O651" i="3"/>
  <c r="N651" i="3"/>
  <c r="M651" i="3"/>
  <c r="L651" i="3"/>
  <c r="K651" i="3"/>
  <c r="J651" i="3"/>
  <c r="I651" i="3"/>
  <c r="H651" i="3"/>
  <c r="G651" i="3"/>
  <c r="F651" i="3"/>
  <c r="E651" i="3"/>
  <c r="D651" i="3"/>
  <c r="C651" i="3"/>
  <c r="T650" i="3"/>
  <c r="S650" i="3"/>
  <c r="R650" i="3"/>
  <c r="Q650" i="3"/>
  <c r="P650" i="3"/>
  <c r="O650" i="3"/>
  <c r="N650" i="3"/>
  <c r="M650" i="3"/>
  <c r="L650" i="3"/>
  <c r="K650" i="3"/>
  <c r="J650" i="3"/>
  <c r="I650" i="3"/>
  <c r="H650" i="3"/>
  <c r="B650" i="3" s="1"/>
  <c r="G650" i="3"/>
  <c r="F650" i="3"/>
  <c r="E650" i="3"/>
  <c r="D650" i="3"/>
  <c r="T649" i="3"/>
  <c r="S649" i="3"/>
  <c r="R649" i="3"/>
  <c r="Q649" i="3"/>
  <c r="P649" i="3"/>
  <c r="O649" i="3"/>
  <c r="N649" i="3"/>
  <c r="M649" i="3"/>
  <c r="L649" i="3"/>
  <c r="K649" i="3"/>
  <c r="J649" i="3"/>
  <c r="I649" i="3"/>
  <c r="H649" i="3"/>
  <c r="G649" i="3"/>
  <c r="F649" i="3"/>
  <c r="E649" i="3"/>
  <c r="D649" i="3"/>
  <c r="C649" i="3"/>
  <c r="T648" i="3"/>
  <c r="S648" i="3"/>
  <c r="R648" i="3"/>
  <c r="Q648" i="3"/>
  <c r="P648" i="3"/>
  <c r="O648" i="3"/>
  <c r="N648" i="3"/>
  <c r="M648" i="3"/>
  <c r="L648" i="3"/>
  <c r="K648" i="3"/>
  <c r="J648" i="3"/>
  <c r="I648" i="3"/>
  <c r="H648" i="3"/>
  <c r="G648" i="3"/>
  <c r="F648" i="3"/>
  <c r="E648" i="3"/>
  <c r="D648" i="3"/>
  <c r="C648" i="3"/>
  <c r="T647" i="3"/>
  <c r="S647" i="3"/>
  <c r="R647" i="3"/>
  <c r="Q647" i="3"/>
  <c r="P647" i="3"/>
  <c r="O647" i="3"/>
  <c r="N647" i="3"/>
  <c r="M647" i="3"/>
  <c r="L647" i="3"/>
  <c r="K647" i="3"/>
  <c r="J647" i="3"/>
  <c r="I647" i="3"/>
  <c r="H647" i="3"/>
  <c r="G647" i="3"/>
  <c r="F647" i="3"/>
  <c r="E647" i="3"/>
  <c r="D647" i="3"/>
  <c r="C647" i="3"/>
  <c r="T646" i="3"/>
  <c r="S646" i="3"/>
  <c r="R646" i="3"/>
  <c r="Q646" i="3"/>
  <c r="P646" i="3"/>
  <c r="O646" i="3"/>
  <c r="N646" i="3"/>
  <c r="M646" i="3"/>
  <c r="L646" i="3"/>
  <c r="K646" i="3"/>
  <c r="J646" i="3"/>
  <c r="I646" i="3"/>
  <c r="H646" i="3"/>
  <c r="G646" i="3"/>
  <c r="F646" i="3"/>
  <c r="E646" i="3"/>
  <c r="D646" i="3"/>
  <c r="C646" i="3"/>
  <c r="T645" i="3"/>
  <c r="S645" i="3"/>
  <c r="R645" i="3"/>
  <c r="Q645" i="3"/>
  <c r="P645" i="3"/>
  <c r="O645" i="3"/>
  <c r="N645" i="3"/>
  <c r="M645" i="3"/>
  <c r="L645" i="3"/>
  <c r="K645" i="3"/>
  <c r="J645" i="3"/>
  <c r="I645" i="3"/>
  <c r="H645" i="3"/>
  <c r="G645" i="3"/>
  <c r="F645" i="3"/>
  <c r="E645" i="3"/>
  <c r="D645" i="3"/>
  <c r="C645" i="3"/>
  <c r="T644" i="3"/>
  <c r="S644" i="3"/>
  <c r="R644" i="3"/>
  <c r="Q644" i="3"/>
  <c r="P644" i="3"/>
  <c r="O644" i="3"/>
  <c r="N644" i="3"/>
  <c r="M644" i="3"/>
  <c r="L644" i="3"/>
  <c r="K644" i="3"/>
  <c r="J644" i="3"/>
  <c r="I644" i="3"/>
  <c r="H644" i="3"/>
  <c r="G644" i="3"/>
  <c r="F644" i="3"/>
  <c r="E644" i="3"/>
  <c r="D644" i="3"/>
  <c r="C644" i="3"/>
  <c r="T643" i="3"/>
  <c r="S643" i="3"/>
  <c r="R643" i="3"/>
  <c r="Q643" i="3"/>
  <c r="P643" i="3"/>
  <c r="O643" i="3"/>
  <c r="N643" i="3"/>
  <c r="M643" i="3"/>
  <c r="L643" i="3"/>
  <c r="K643" i="3"/>
  <c r="J643" i="3"/>
  <c r="I643" i="3"/>
  <c r="H643" i="3"/>
  <c r="G643" i="3"/>
  <c r="F643" i="3"/>
  <c r="E643" i="3"/>
  <c r="D643" i="3"/>
  <c r="C643" i="3"/>
  <c r="T642" i="3"/>
  <c r="S642" i="3"/>
  <c r="R642" i="3"/>
  <c r="Q642" i="3"/>
  <c r="P642" i="3"/>
  <c r="O642" i="3"/>
  <c r="N642" i="3"/>
  <c r="M642" i="3"/>
  <c r="L642" i="3"/>
  <c r="K642" i="3"/>
  <c r="J642" i="3"/>
  <c r="I642" i="3"/>
  <c r="H642" i="3"/>
  <c r="G642" i="3"/>
  <c r="F642" i="3"/>
  <c r="E642" i="3"/>
  <c r="D642" i="3"/>
  <c r="C642" i="3"/>
  <c r="T641" i="3"/>
  <c r="S641" i="3"/>
  <c r="R641" i="3"/>
  <c r="Q641" i="3"/>
  <c r="P641" i="3"/>
  <c r="O641" i="3"/>
  <c r="N641" i="3"/>
  <c r="M641" i="3"/>
  <c r="L641" i="3"/>
  <c r="K641" i="3"/>
  <c r="J641" i="3"/>
  <c r="I641" i="3"/>
  <c r="H641" i="3"/>
  <c r="G641" i="3"/>
  <c r="F641" i="3"/>
  <c r="E641" i="3"/>
  <c r="D641" i="3"/>
  <c r="C641" i="3"/>
  <c r="T640" i="3"/>
  <c r="S640" i="3"/>
  <c r="R640" i="3"/>
  <c r="Q640" i="3"/>
  <c r="P640" i="3"/>
  <c r="O640" i="3"/>
  <c r="N640" i="3"/>
  <c r="M640" i="3"/>
  <c r="L640" i="3"/>
  <c r="K640" i="3"/>
  <c r="J640" i="3"/>
  <c r="I640" i="3"/>
  <c r="H640" i="3"/>
  <c r="G640" i="3"/>
  <c r="F640" i="3"/>
  <c r="E640" i="3"/>
  <c r="D640" i="3"/>
  <c r="C640" i="3"/>
  <c r="T639" i="3"/>
  <c r="S639" i="3"/>
  <c r="R639" i="3"/>
  <c r="Q639" i="3"/>
  <c r="P639" i="3"/>
  <c r="O639" i="3"/>
  <c r="N639" i="3"/>
  <c r="M639" i="3"/>
  <c r="L639" i="3"/>
  <c r="K639" i="3"/>
  <c r="J639" i="3"/>
  <c r="I639" i="3"/>
  <c r="H639" i="3"/>
  <c r="G639" i="3"/>
  <c r="F639" i="3"/>
  <c r="E639" i="3"/>
  <c r="D639" i="3"/>
  <c r="C639" i="3"/>
  <c r="T638" i="3"/>
  <c r="S638" i="3"/>
  <c r="R638" i="3"/>
  <c r="Q638" i="3"/>
  <c r="P638" i="3"/>
  <c r="O638" i="3"/>
  <c r="N638" i="3"/>
  <c r="M638" i="3"/>
  <c r="L638" i="3"/>
  <c r="K638" i="3"/>
  <c r="J638" i="3"/>
  <c r="I638" i="3"/>
  <c r="H638" i="3"/>
  <c r="B638" i="3" s="1"/>
  <c r="G638" i="3"/>
  <c r="F638" i="3"/>
  <c r="E638" i="3"/>
  <c r="D638" i="3"/>
  <c r="T637" i="3"/>
  <c r="S637" i="3"/>
  <c r="R637" i="3"/>
  <c r="Q637" i="3"/>
  <c r="P637" i="3"/>
  <c r="O637" i="3"/>
  <c r="N637" i="3"/>
  <c r="M637" i="3"/>
  <c r="L637" i="3"/>
  <c r="K637" i="3"/>
  <c r="J637" i="3"/>
  <c r="I637" i="3"/>
  <c r="H637" i="3"/>
  <c r="G637" i="3"/>
  <c r="F637" i="3"/>
  <c r="E637" i="3"/>
  <c r="D637" i="3"/>
  <c r="C637" i="3"/>
  <c r="T636" i="3"/>
  <c r="S636" i="3"/>
  <c r="R636" i="3"/>
  <c r="Q636" i="3"/>
  <c r="P636" i="3"/>
  <c r="O636" i="3"/>
  <c r="N636" i="3"/>
  <c r="M636" i="3"/>
  <c r="L636" i="3"/>
  <c r="K636" i="3"/>
  <c r="J636" i="3"/>
  <c r="I636" i="3"/>
  <c r="H636" i="3"/>
  <c r="G636" i="3"/>
  <c r="F636" i="3"/>
  <c r="E636" i="3"/>
  <c r="D636" i="3"/>
  <c r="C636" i="3"/>
  <c r="T635" i="3"/>
  <c r="S635" i="3"/>
  <c r="R635" i="3"/>
  <c r="Q635" i="3"/>
  <c r="P635" i="3"/>
  <c r="O635" i="3"/>
  <c r="N635" i="3"/>
  <c r="M635" i="3"/>
  <c r="L635" i="3"/>
  <c r="K635" i="3"/>
  <c r="J635" i="3"/>
  <c r="I635" i="3"/>
  <c r="H635" i="3"/>
  <c r="B635" i="3" s="1"/>
  <c r="G635" i="3"/>
  <c r="F635" i="3"/>
  <c r="E635" i="3"/>
  <c r="D635" i="3"/>
  <c r="T634" i="3"/>
  <c r="S634" i="3"/>
  <c r="R634" i="3"/>
  <c r="Q634" i="3"/>
  <c r="P634" i="3"/>
  <c r="O634" i="3"/>
  <c r="N634" i="3"/>
  <c r="M634" i="3"/>
  <c r="L634" i="3"/>
  <c r="K634" i="3"/>
  <c r="J634" i="3"/>
  <c r="I634" i="3"/>
  <c r="H634" i="3"/>
  <c r="G634" i="3"/>
  <c r="F634" i="3"/>
  <c r="E634" i="3"/>
  <c r="D634" i="3"/>
  <c r="C634" i="3"/>
  <c r="T633" i="3"/>
  <c r="S633" i="3"/>
  <c r="R633" i="3"/>
  <c r="Q633" i="3"/>
  <c r="P633" i="3"/>
  <c r="O633" i="3"/>
  <c r="N633" i="3"/>
  <c r="M633" i="3"/>
  <c r="L633" i="3"/>
  <c r="K633" i="3"/>
  <c r="J633" i="3"/>
  <c r="I633" i="3"/>
  <c r="H633" i="3"/>
  <c r="G633" i="3"/>
  <c r="F633" i="3"/>
  <c r="E633" i="3"/>
  <c r="D633" i="3"/>
  <c r="C633" i="3"/>
  <c r="T632" i="3"/>
  <c r="S632" i="3"/>
  <c r="R632" i="3"/>
  <c r="Q632" i="3"/>
  <c r="P632" i="3"/>
  <c r="O632" i="3"/>
  <c r="N632" i="3"/>
  <c r="M632" i="3"/>
  <c r="L632" i="3"/>
  <c r="K632" i="3"/>
  <c r="J632" i="3"/>
  <c r="I632" i="3"/>
  <c r="H632" i="3"/>
  <c r="G632" i="3"/>
  <c r="F632" i="3"/>
  <c r="E632" i="3"/>
  <c r="D632" i="3"/>
  <c r="C632" i="3"/>
  <c r="T631" i="3"/>
  <c r="S631" i="3"/>
  <c r="R631" i="3"/>
  <c r="Q631" i="3"/>
  <c r="P631" i="3"/>
  <c r="O631" i="3"/>
  <c r="N631" i="3"/>
  <c r="M631" i="3"/>
  <c r="L631" i="3"/>
  <c r="K631" i="3"/>
  <c r="J631" i="3"/>
  <c r="I631" i="3"/>
  <c r="H631" i="3"/>
  <c r="G631" i="3"/>
  <c r="F631" i="3"/>
  <c r="E631" i="3"/>
  <c r="D631" i="3"/>
  <c r="C631" i="3"/>
  <c r="T630" i="3"/>
  <c r="S630" i="3"/>
  <c r="R630" i="3"/>
  <c r="Q630" i="3"/>
  <c r="P630" i="3"/>
  <c r="O630" i="3"/>
  <c r="N630" i="3"/>
  <c r="M630" i="3"/>
  <c r="L630" i="3"/>
  <c r="K630" i="3"/>
  <c r="J630" i="3"/>
  <c r="I630" i="3"/>
  <c r="H630" i="3"/>
  <c r="G630" i="3"/>
  <c r="F630" i="3"/>
  <c r="E630" i="3"/>
  <c r="D630" i="3"/>
  <c r="C630" i="3"/>
  <c r="T629" i="3"/>
  <c r="S629" i="3"/>
  <c r="R629" i="3"/>
  <c r="Q629" i="3"/>
  <c r="P629" i="3"/>
  <c r="O629" i="3"/>
  <c r="N629" i="3"/>
  <c r="M629" i="3"/>
  <c r="L629" i="3"/>
  <c r="K629" i="3"/>
  <c r="J629" i="3"/>
  <c r="I629" i="3"/>
  <c r="H629" i="3"/>
  <c r="G629" i="3"/>
  <c r="F629" i="3"/>
  <c r="E629" i="3"/>
  <c r="D629" i="3"/>
  <c r="C629" i="3"/>
  <c r="T628" i="3"/>
  <c r="S628" i="3"/>
  <c r="R628" i="3"/>
  <c r="Q628" i="3"/>
  <c r="P628" i="3"/>
  <c r="O628" i="3"/>
  <c r="N628" i="3"/>
  <c r="M628" i="3"/>
  <c r="L628" i="3"/>
  <c r="K628" i="3"/>
  <c r="J628" i="3"/>
  <c r="I628" i="3"/>
  <c r="H628" i="3"/>
  <c r="B628" i="3" s="1"/>
  <c r="G628" i="3"/>
  <c r="F628" i="3"/>
  <c r="E628" i="3"/>
  <c r="D628" i="3"/>
  <c r="T627" i="3"/>
  <c r="S627" i="3"/>
  <c r="R627" i="3"/>
  <c r="Q627" i="3"/>
  <c r="P627" i="3"/>
  <c r="O627" i="3"/>
  <c r="N627" i="3"/>
  <c r="M627" i="3"/>
  <c r="L627" i="3"/>
  <c r="K627" i="3"/>
  <c r="J627" i="3"/>
  <c r="I627" i="3"/>
  <c r="H627" i="3"/>
  <c r="G627" i="3"/>
  <c r="F627" i="3"/>
  <c r="E627" i="3"/>
  <c r="D627" i="3"/>
  <c r="C627" i="3"/>
  <c r="T626" i="3"/>
  <c r="S626" i="3"/>
  <c r="R626" i="3"/>
  <c r="Q626" i="3"/>
  <c r="P626" i="3"/>
  <c r="O626" i="3"/>
  <c r="N626" i="3"/>
  <c r="M626" i="3"/>
  <c r="L626" i="3"/>
  <c r="K626" i="3"/>
  <c r="J626" i="3"/>
  <c r="I626" i="3"/>
  <c r="H626" i="3"/>
  <c r="G626" i="3"/>
  <c r="F626" i="3"/>
  <c r="E626" i="3"/>
  <c r="D626" i="3"/>
  <c r="C626" i="3"/>
  <c r="T625" i="3"/>
  <c r="S625" i="3"/>
  <c r="R625" i="3"/>
  <c r="Q625" i="3"/>
  <c r="P625" i="3"/>
  <c r="O625" i="3"/>
  <c r="N625" i="3"/>
  <c r="M625" i="3"/>
  <c r="L625" i="3"/>
  <c r="K625" i="3"/>
  <c r="J625" i="3"/>
  <c r="I625" i="3"/>
  <c r="H625" i="3"/>
  <c r="G625" i="3"/>
  <c r="F625" i="3"/>
  <c r="E625" i="3"/>
  <c r="D625" i="3"/>
  <c r="C625" i="3"/>
  <c r="T624" i="3"/>
  <c r="S624" i="3"/>
  <c r="R624" i="3"/>
  <c r="Q624" i="3"/>
  <c r="P624" i="3"/>
  <c r="O624" i="3"/>
  <c r="N624" i="3"/>
  <c r="M624" i="3"/>
  <c r="L624" i="3"/>
  <c r="K624" i="3"/>
  <c r="J624" i="3"/>
  <c r="I624" i="3"/>
  <c r="H624" i="3"/>
  <c r="G624" i="3"/>
  <c r="F624" i="3"/>
  <c r="E624" i="3"/>
  <c r="D624" i="3"/>
  <c r="C624" i="3"/>
  <c r="T623" i="3"/>
  <c r="S623" i="3"/>
  <c r="R623" i="3"/>
  <c r="Q623" i="3"/>
  <c r="P623" i="3"/>
  <c r="O623" i="3"/>
  <c r="N623" i="3"/>
  <c r="M623" i="3"/>
  <c r="L623" i="3"/>
  <c r="K623" i="3"/>
  <c r="J623" i="3"/>
  <c r="I623" i="3"/>
  <c r="H623" i="3"/>
  <c r="G623" i="3"/>
  <c r="F623" i="3"/>
  <c r="E623" i="3"/>
  <c r="D623" i="3"/>
  <c r="C623" i="3"/>
  <c r="T622" i="3"/>
  <c r="S622" i="3"/>
  <c r="R622" i="3"/>
  <c r="Q622" i="3"/>
  <c r="P622" i="3"/>
  <c r="O622" i="3"/>
  <c r="N622" i="3"/>
  <c r="M622" i="3"/>
  <c r="L622" i="3"/>
  <c r="K622" i="3"/>
  <c r="J622" i="3"/>
  <c r="I622" i="3"/>
  <c r="H622" i="3"/>
  <c r="G622" i="3"/>
  <c r="F622" i="3"/>
  <c r="E622" i="3"/>
  <c r="D622" i="3"/>
  <c r="C622" i="3"/>
  <c r="T621" i="3"/>
  <c r="S621" i="3"/>
  <c r="R621" i="3"/>
  <c r="Q621" i="3"/>
  <c r="P621" i="3"/>
  <c r="O621" i="3"/>
  <c r="N621" i="3"/>
  <c r="M621" i="3"/>
  <c r="L621" i="3"/>
  <c r="K621" i="3"/>
  <c r="J621" i="3"/>
  <c r="I621" i="3"/>
  <c r="H621" i="3"/>
  <c r="G621" i="3"/>
  <c r="F621" i="3"/>
  <c r="E621" i="3"/>
  <c r="D621" i="3"/>
  <c r="C621" i="3"/>
  <c r="T620" i="3"/>
  <c r="S620" i="3"/>
  <c r="R620" i="3"/>
  <c r="Q620" i="3"/>
  <c r="P620" i="3"/>
  <c r="O620" i="3"/>
  <c r="N620" i="3"/>
  <c r="M620" i="3"/>
  <c r="L620" i="3"/>
  <c r="K620" i="3"/>
  <c r="J620" i="3"/>
  <c r="I620" i="3"/>
  <c r="H620" i="3"/>
  <c r="G620" i="3"/>
  <c r="F620" i="3"/>
  <c r="E620" i="3"/>
  <c r="D620" i="3"/>
  <c r="C620" i="3"/>
  <c r="T619" i="3"/>
  <c r="S619" i="3"/>
  <c r="R619" i="3"/>
  <c r="Q619" i="3"/>
  <c r="P619" i="3"/>
  <c r="O619" i="3"/>
  <c r="N619" i="3"/>
  <c r="M619" i="3"/>
  <c r="L619" i="3"/>
  <c r="K619" i="3"/>
  <c r="J619" i="3"/>
  <c r="I619" i="3"/>
  <c r="H619" i="3"/>
  <c r="G619" i="3"/>
  <c r="F619" i="3"/>
  <c r="E619" i="3"/>
  <c r="D619" i="3"/>
  <c r="C619" i="3"/>
  <c r="T618" i="3"/>
  <c r="S618" i="3"/>
  <c r="R618" i="3"/>
  <c r="Q618" i="3"/>
  <c r="P618" i="3"/>
  <c r="O618" i="3"/>
  <c r="N618" i="3"/>
  <c r="M618" i="3"/>
  <c r="L618" i="3"/>
  <c r="K618" i="3"/>
  <c r="J618" i="3"/>
  <c r="I618" i="3"/>
  <c r="H618" i="3"/>
  <c r="B618" i="3" s="1"/>
  <c r="G618" i="3"/>
  <c r="F618" i="3"/>
  <c r="E618" i="3"/>
  <c r="D618" i="3"/>
  <c r="T617" i="3"/>
  <c r="S617" i="3"/>
  <c r="R617" i="3"/>
  <c r="Q617" i="3"/>
  <c r="P617" i="3"/>
  <c r="O617" i="3"/>
  <c r="N617" i="3"/>
  <c r="M617" i="3"/>
  <c r="L617" i="3"/>
  <c r="K617" i="3"/>
  <c r="J617" i="3"/>
  <c r="I617" i="3"/>
  <c r="H617" i="3"/>
  <c r="B617" i="3" s="1"/>
  <c r="G617" i="3"/>
  <c r="F617" i="3"/>
  <c r="E617" i="3"/>
  <c r="D617" i="3"/>
  <c r="T616" i="3"/>
  <c r="S616" i="3"/>
  <c r="R616" i="3"/>
  <c r="Q616" i="3"/>
  <c r="P616" i="3"/>
  <c r="O616" i="3"/>
  <c r="N616" i="3"/>
  <c r="M616" i="3"/>
  <c r="L616" i="3"/>
  <c r="K616" i="3"/>
  <c r="J616" i="3"/>
  <c r="I616" i="3"/>
  <c r="H616" i="3"/>
  <c r="G616" i="3"/>
  <c r="F616" i="3"/>
  <c r="E616" i="3"/>
  <c r="D616" i="3"/>
  <c r="C616" i="3"/>
  <c r="T615" i="3"/>
  <c r="S615" i="3"/>
  <c r="R615" i="3"/>
  <c r="Q615" i="3"/>
  <c r="P615" i="3"/>
  <c r="O615" i="3"/>
  <c r="N615" i="3"/>
  <c r="M615" i="3"/>
  <c r="L615" i="3"/>
  <c r="K615" i="3"/>
  <c r="J615" i="3"/>
  <c r="I615" i="3"/>
  <c r="H615" i="3"/>
  <c r="G615" i="3"/>
  <c r="F615" i="3"/>
  <c r="E615" i="3"/>
  <c r="D615" i="3"/>
  <c r="C615" i="3"/>
  <c r="T614" i="3"/>
  <c r="S614" i="3"/>
  <c r="R614" i="3"/>
  <c r="Q614" i="3"/>
  <c r="P614" i="3"/>
  <c r="O614" i="3"/>
  <c r="N614" i="3"/>
  <c r="M614" i="3"/>
  <c r="L614" i="3"/>
  <c r="K614" i="3"/>
  <c r="J614" i="3"/>
  <c r="I614" i="3"/>
  <c r="H614" i="3"/>
  <c r="G614" i="3"/>
  <c r="F614" i="3"/>
  <c r="E614" i="3"/>
  <c r="D614" i="3"/>
  <c r="C614" i="3"/>
  <c r="T613" i="3"/>
  <c r="S613" i="3"/>
  <c r="R613" i="3"/>
  <c r="Q613" i="3"/>
  <c r="P613" i="3"/>
  <c r="O613" i="3"/>
  <c r="N613" i="3"/>
  <c r="M613" i="3"/>
  <c r="L613" i="3"/>
  <c r="K613" i="3"/>
  <c r="J613" i="3"/>
  <c r="I613" i="3"/>
  <c r="H613" i="3"/>
  <c r="G613" i="3"/>
  <c r="F613" i="3"/>
  <c r="E613" i="3"/>
  <c r="D613" i="3"/>
  <c r="C613" i="3"/>
  <c r="T612" i="3"/>
  <c r="S612" i="3"/>
  <c r="R612" i="3"/>
  <c r="Q612" i="3"/>
  <c r="P612" i="3"/>
  <c r="O612" i="3"/>
  <c r="N612" i="3"/>
  <c r="M612" i="3"/>
  <c r="L612" i="3"/>
  <c r="K612" i="3"/>
  <c r="J612" i="3"/>
  <c r="I612" i="3"/>
  <c r="H612" i="3"/>
  <c r="G612" i="3"/>
  <c r="F612" i="3"/>
  <c r="E612" i="3"/>
  <c r="D612" i="3"/>
  <c r="C612" i="3"/>
  <c r="T611" i="3"/>
  <c r="S611" i="3"/>
  <c r="R611" i="3"/>
  <c r="Q611" i="3"/>
  <c r="P611" i="3"/>
  <c r="O611" i="3"/>
  <c r="N611" i="3"/>
  <c r="M611" i="3"/>
  <c r="L611" i="3"/>
  <c r="K611" i="3"/>
  <c r="J611" i="3"/>
  <c r="I611" i="3"/>
  <c r="H611" i="3"/>
  <c r="G611" i="3"/>
  <c r="F611" i="3"/>
  <c r="E611" i="3"/>
  <c r="D611" i="3"/>
  <c r="C611" i="3"/>
  <c r="T610" i="3"/>
  <c r="S610" i="3"/>
  <c r="R610" i="3"/>
  <c r="Q610" i="3"/>
  <c r="P610" i="3"/>
  <c r="O610" i="3"/>
  <c r="N610" i="3"/>
  <c r="M610" i="3"/>
  <c r="L610" i="3"/>
  <c r="K610" i="3"/>
  <c r="J610" i="3"/>
  <c r="I610" i="3"/>
  <c r="H610" i="3"/>
  <c r="G610" i="3"/>
  <c r="F610" i="3"/>
  <c r="E610" i="3"/>
  <c r="D610" i="3"/>
  <c r="C610" i="3"/>
  <c r="T609" i="3"/>
  <c r="S609" i="3"/>
  <c r="R609" i="3"/>
  <c r="Q609" i="3"/>
  <c r="P609" i="3"/>
  <c r="O609" i="3"/>
  <c r="N609" i="3"/>
  <c r="M609" i="3"/>
  <c r="L609" i="3"/>
  <c r="K609" i="3"/>
  <c r="J609" i="3"/>
  <c r="I609" i="3"/>
  <c r="H609" i="3"/>
  <c r="G609" i="3"/>
  <c r="F609" i="3"/>
  <c r="E609" i="3"/>
  <c r="D609" i="3"/>
  <c r="C609" i="3"/>
  <c r="T608" i="3"/>
  <c r="S608" i="3"/>
  <c r="R608" i="3"/>
  <c r="Q608" i="3"/>
  <c r="P608" i="3"/>
  <c r="O608" i="3"/>
  <c r="N608" i="3"/>
  <c r="M608" i="3"/>
  <c r="L608" i="3"/>
  <c r="K608" i="3"/>
  <c r="J608" i="3"/>
  <c r="I608" i="3"/>
  <c r="H608" i="3"/>
  <c r="G608" i="3"/>
  <c r="F608" i="3"/>
  <c r="E608" i="3"/>
  <c r="D608" i="3"/>
  <c r="C608" i="3"/>
  <c r="T607" i="3"/>
  <c r="S607" i="3"/>
  <c r="R607" i="3"/>
  <c r="Q607" i="3"/>
  <c r="P607" i="3"/>
  <c r="O607" i="3"/>
  <c r="N607" i="3"/>
  <c r="M607" i="3"/>
  <c r="L607" i="3"/>
  <c r="K607" i="3"/>
  <c r="J607" i="3"/>
  <c r="I607" i="3"/>
  <c r="H607" i="3"/>
  <c r="B607" i="3" s="1"/>
  <c r="G607" i="3"/>
  <c r="F607" i="3"/>
  <c r="E607" i="3"/>
  <c r="D607" i="3"/>
  <c r="T606" i="3"/>
  <c r="S606" i="3"/>
  <c r="R606" i="3"/>
  <c r="Q606" i="3"/>
  <c r="P606" i="3"/>
  <c r="O606" i="3"/>
  <c r="N606" i="3"/>
  <c r="M606" i="3"/>
  <c r="L606" i="3"/>
  <c r="K606" i="3"/>
  <c r="J606" i="3"/>
  <c r="I606" i="3"/>
  <c r="H606" i="3"/>
  <c r="G606" i="3"/>
  <c r="F606" i="3"/>
  <c r="E606" i="3"/>
  <c r="D606" i="3"/>
  <c r="C606" i="3"/>
  <c r="T605" i="3"/>
  <c r="S605" i="3"/>
  <c r="R605" i="3"/>
  <c r="Q605" i="3"/>
  <c r="P605" i="3"/>
  <c r="O605" i="3"/>
  <c r="N605" i="3"/>
  <c r="M605" i="3"/>
  <c r="L605" i="3"/>
  <c r="K605" i="3"/>
  <c r="J605" i="3"/>
  <c r="I605" i="3"/>
  <c r="H605" i="3"/>
  <c r="B605" i="3" s="1"/>
  <c r="G605" i="3"/>
  <c r="F605" i="3"/>
  <c r="E605" i="3"/>
  <c r="D605" i="3"/>
  <c r="T604" i="3"/>
  <c r="S604" i="3"/>
  <c r="R604" i="3"/>
  <c r="Q604" i="3"/>
  <c r="P604" i="3"/>
  <c r="O604" i="3"/>
  <c r="N604" i="3"/>
  <c r="M604" i="3"/>
  <c r="L604" i="3"/>
  <c r="K604" i="3"/>
  <c r="J604" i="3"/>
  <c r="I604" i="3"/>
  <c r="H604" i="3"/>
  <c r="G604" i="3"/>
  <c r="F604" i="3"/>
  <c r="E604" i="3"/>
  <c r="D604" i="3"/>
  <c r="C604" i="3"/>
  <c r="T603" i="3"/>
  <c r="S603" i="3"/>
  <c r="R603" i="3"/>
  <c r="Q603" i="3"/>
  <c r="P603" i="3"/>
  <c r="O603" i="3"/>
  <c r="N603" i="3"/>
  <c r="M603" i="3"/>
  <c r="L603" i="3"/>
  <c r="K603" i="3"/>
  <c r="J603" i="3"/>
  <c r="I603" i="3"/>
  <c r="H603" i="3"/>
  <c r="G603" i="3"/>
  <c r="F603" i="3"/>
  <c r="E603" i="3"/>
  <c r="D603" i="3"/>
  <c r="C603" i="3"/>
  <c r="T602" i="3"/>
  <c r="S602" i="3"/>
  <c r="R602" i="3"/>
  <c r="Q602" i="3"/>
  <c r="P602" i="3"/>
  <c r="O602" i="3"/>
  <c r="N602" i="3"/>
  <c r="M602" i="3"/>
  <c r="L602" i="3"/>
  <c r="K602" i="3"/>
  <c r="J602" i="3"/>
  <c r="I602" i="3"/>
  <c r="H602" i="3"/>
  <c r="B602" i="3" s="1"/>
  <c r="G602" i="3"/>
  <c r="F602" i="3"/>
  <c r="E602" i="3"/>
  <c r="D602" i="3"/>
  <c r="T601" i="3"/>
  <c r="S601" i="3"/>
  <c r="R601" i="3"/>
  <c r="Q601" i="3"/>
  <c r="P601" i="3"/>
  <c r="O601" i="3"/>
  <c r="N601" i="3"/>
  <c r="M601" i="3"/>
  <c r="L601" i="3"/>
  <c r="K601" i="3"/>
  <c r="J601" i="3"/>
  <c r="I601" i="3"/>
  <c r="H601" i="3"/>
  <c r="B601" i="3" s="1"/>
  <c r="G601" i="3"/>
  <c r="F601" i="3"/>
  <c r="E601" i="3"/>
  <c r="D601" i="3"/>
  <c r="T600" i="3"/>
  <c r="S600" i="3"/>
  <c r="R600" i="3"/>
  <c r="Q600" i="3"/>
  <c r="P600" i="3"/>
  <c r="O600" i="3"/>
  <c r="N600" i="3"/>
  <c r="M600" i="3"/>
  <c r="L600" i="3"/>
  <c r="K600" i="3"/>
  <c r="J600" i="3"/>
  <c r="I600" i="3"/>
  <c r="H600" i="3"/>
  <c r="G600" i="3"/>
  <c r="F600" i="3"/>
  <c r="E600" i="3"/>
  <c r="D600" i="3"/>
  <c r="C600" i="3"/>
  <c r="T599" i="3"/>
  <c r="S599" i="3"/>
  <c r="R599" i="3"/>
  <c r="Q599" i="3"/>
  <c r="P599" i="3"/>
  <c r="O599" i="3"/>
  <c r="N599" i="3"/>
  <c r="M599" i="3"/>
  <c r="L599" i="3"/>
  <c r="K599" i="3"/>
  <c r="J599" i="3"/>
  <c r="I599" i="3"/>
  <c r="H599" i="3"/>
  <c r="G599" i="3"/>
  <c r="F599" i="3"/>
  <c r="E599" i="3"/>
  <c r="D599" i="3"/>
  <c r="C599" i="3"/>
  <c r="T598" i="3"/>
  <c r="S598" i="3"/>
  <c r="R598" i="3"/>
  <c r="Q598" i="3"/>
  <c r="P598" i="3"/>
  <c r="O598" i="3"/>
  <c r="N598" i="3"/>
  <c r="M598" i="3"/>
  <c r="L598" i="3"/>
  <c r="K598" i="3"/>
  <c r="J598" i="3"/>
  <c r="I598" i="3"/>
  <c r="H598" i="3"/>
  <c r="G598" i="3"/>
  <c r="F598" i="3"/>
  <c r="E598" i="3"/>
  <c r="D598" i="3"/>
  <c r="C598" i="3"/>
  <c r="T597" i="3"/>
  <c r="S597" i="3"/>
  <c r="R597" i="3"/>
  <c r="Q597" i="3"/>
  <c r="P597" i="3"/>
  <c r="O597" i="3"/>
  <c r="N597" i="3"/>
  <c r="M597" i="3"/>
  <c r="L597" i="3"/>
  <c r="K597" i="3"/>
  <c r="J597" i="3"/>
  <c r="I597" i="3"/>
  <c r="H597" i="3"/>
  <c r="G597" i="3"/>
  <c r="F597" i="3"/>
  <c r="E597" i="3"/>
  <c r="D597" i="3"/>
  <c r="C597" i="3"/>
  <c r="T596" i="3"/>
  <c r="S596" i="3"/>
  <c r="R596" i="3"/>
  <c r="Q596" i="3"/>
  <c r="P596" i="3"/>
  <c r="O596" i="3"/>
  <c r="N596" i="3"/>
  <c r="M596" i="3"/>
  <c r="L596" i="3"/>
  <c r="K596" i="3"/>
  <c r="J596" i="3"/>
  <c r="I596" i="3"/>
  <c r="H596" i="3"/>
  <c r="G596" i="3"/>
  <c r="F596" i="3"/>
  <c r="E596" i="3"/>
  <c r="D596" i="3"/>
  <c r="C596" i="3"/>
  <c r="T595" i="3"/>
  <c r="S595" i="3"/>
  <c r="R595" i="3"/>
  <c r="Q595" i="3"/>
  <c r="P595" i="3"/>
  <c r="O595" i="3"/>
  <c r="N595" i="3"/>
  <c r="M595" i="3"/>
  <c r="L595" i="3"/>
  <c r="K595" i="3"/>
  <c r="J595" i="3"/>
  <c r="I595" i="3"/>
  <c r="H595" i="3"/>
  <c r="G595" i="3"/>
  <c r="F595" i="3"/>
  <c r="E595" i="3"/>
  <c r="D595" i="3"/>
  <c r="C595" i="3"/>
  <c r="T594" i="3"/>
  <c r="S594" i="3"/>
  <c r="R594" i="3"/>
  <c r="Q594" i="3"/>
  <c r="P594" i="3"/>
  <c r="O594" i="3"/>
  <c r="N594" i="3"/>
  <c r="M594" i="3"/>
  <c r="L594" i="3"/>
  <c r="K594" i="3"/>
  <c r="J594" i="3"/>
  <c r="I594" i="3"/>
  <c r="H594" i="3"/>
  <c r="G594" i="3"/>
  <c r="F594" i="3"/>
  <c r="E594" i="3"/>
  <c r="D594" i="3"/>
  <c r="C594" i="3"/>
  <c r="T593" i="3"/>
  <c r="S593" i="3"/>
  <c r="R593" i="3"/>
  <c r="Q593" i="3"/>
  <c r="P593" i="3"/>
  <c r="O593" i="3"/>
  <c r="N593" i="3"/>
  <c r="M593" i="3"/>
  <c r="L593" i="3"/>
  <c r="K593" i="3"/>
  <c r="J593" i="3"/>
  <c r="I593" i="3"/>
  <c r="H593" i="3"/>
  <c r="G593" i="3"/>
  <c r="F593" i="3"/>
  <c r="E593" i="3"/>
  <c r="D593" i="3"/>
  <c r="C593" i="3"/>
  <c r="T592" i="3"/>
  <c r="S592" i="3"/>
  <c r="R592" i="3"/>
  <c r="Q592" i="3"/>
  <c r="P592" i="3"/>
  <c r="O592" i="3"/>
  <c r="N592" i="3"/>
  <c r="M592" i="3"/>
  <c r="L592" i="3"/>
  <c r="K592" i="3"/>
  <c r="J592" i="3"/>
  <c r="I592" i="3"/>
  <c r="H592" i="3"/>
  <c r="G592" i="3"/>
  <c r="F592" i="3"/>
  <c r="E592" i="3"/>
  <c r="D592" i="3"/>
  <c r="C592" i="3"/>
  <c r="T591" i="3"/>
  <c r="S591" i="3"/>
  <c r="R591" i="3"/>
  <c r="Q591" i="3"/>
  <c r="P591" i="3"/>
  <c r="O591" i="3"/>
  <c r="N591" i="3"/>
  <c r="M591" i="3"/>
  <c r="L591" i="3"/>
  <c r="K591" i="3"/>
  <c r="J591" i="3"/>
  <c r="I591" i="3"/>
  <c r="H591" i="3"/>
  <c r="G591" i="3"/>
  <c r="F591" i="3"/>
  <c r="E591" i="3"/>
  <c r="D591" i="3"/>
  <c r="C591" i="3"/>
  <c r="T590" i="3"/>
  <c r="S590" i="3"/>
  <c r="R590" i="3"/>
  <c r="Q590" i="3"/>
  <c r="P590" i="3"/>
  <c r="O590" i="3"/>
  <c r="N590" i="3"/>
  <c r="M590" i="3"/>
  <c r="L590" i="3"/>
  <c r="K590" i="3"/>
  <c r="J590" i="3"/>
  <c r="I590" i="3"/>
  <c r="H590" i="3"/>
  <c r="B590" i="3" s="1"/>
  <c r="G590" i="3"/>
  <c r="F590" i="3"/>
  <c r="E590" i="3"/>
  <c r="D590" i="3"/>
  <c r="T589" i="3"/>
  <c r="S589" i="3"/>
  <c r="R589" i="3"/>
  <c r="Q589" i="3"/>
  <c r="P589" i="3"/>
  <c r="O589" i="3"/>
  <c r="N589" i="3"/>
  <c r="M589" i="3"/>
  <c r="L589" i="3"/>
  <c r="K589" i="3"/>
  <c r="J589" i="3"/>
  <c r="I589" i="3"/>
  <c r="H589" i="3"/>
  <c r="B589" i="3" s="1"/>
  <c r="G589" i="3"/>
  <c r="F589" i="3"/>
  <c r="E589" i="3"/>
  <c r="D589" i="3"/>
  <c r="T588" i="3"/>
  <c r="S588" i="3"/>
  <c r="R588" i="3"/>
  <c r="Q588" i="3"/>
  <c r="P588" i="3"/>
  <c r="O588" i="3"/>
  <c r="N588" i="3"/>
  <c r="M588" i="3"/>
  <c r="L588" i="3"/>
  <c r="K588" i="3"/>
  <c r="J588" i="3"/>
  <c r="I588" i="3"/>
  <c r="H588" i="3"/>
  <c r="G588" i="3"/>
  <c r="F588" i="3"/>
  <c r="E588" i="3"/>
  <c r="D588" i="3"/>
  <c r="C588" i="3"/>
  <c r="T587" i="3"/>
  <c r="S587" i="3"/>
  <c r="R587" i="3"/>
  <c r="Q587" i="3"/>
  <c r="P587" i="3"/>
  <c r="O587" i="3"/>
  <c r="N587" i="3"/>
  <c r="M587" i="3"/>
  <c r="L587" i="3"/>
  <c r="K587" i="3"/>
  <c r="J587" i="3"/>
  <c r="I587" i="3"/>
  <c r="H587" i="3"/>
  <c r="G587" i="3"/>
  <c r="F587" i="3"/>
  <c r="E587" i="3"/>
  <c r="D587" i="3"/>
  <c r="C587" i="3"/>
  <c r="T586" i="3"/>
  <c r="S586" i="3"/>
  <c r="R586" i="3"/>
  <c r="Q586" i="3"/>
  <c r="P586" i="3"/>
  <c r="O586" i="3"/>
  <c r="N586" i="3"/>
  <c r="M586" i="3"/>
  <c r="L586" i="3"/>
  <c r="K586" i="3"/>
  <c r="J586" i="3"/>
  <c r="I586" i="3"/>
  <c r="H586" i="3"/>
  <c r="G586" i="3"/>
  <c r="F586" i="3"/>
  <c r="E586" i="3"/>
  <c r="D586" i="3"/>
  <c r="C586" i="3"/>
  <c r="T585" i="3"/>
  <c r="S585" i="3"/>
  <c r="R585" i="3"/>
  <c r="Q585" i="3"/>
  <c r="P585" i="3"/>
  <c r="O585" i="3"/>
  <c r="N585" i="3"/>
  <c r="M585" i="3"/>
  <c r="L585" i="3"/>
  <c r="K585" i="3"/>
  <c r="J585" i="3"/>
  <c r="I585" i="3"/>
  <c r="H585" i="3"/>
  <c r="G585" i="3"/>
  <c r="F585" i="3"/>
  <c r="E585" i="3"/>
  <c r="D585" i="3"/>
  <c r="C585" i="3"/>
  <c r="T584" i="3"/>
  <c r="S584" i="3"/>
  <c r="R584" i="3"/>
  <c r="Q584" i="3"/>
  <c r="P584" i="3"/>
  <c r="O584" i="3"/>
  <c r="N584" i="3"/>
  <c r="M584" i="3"/>
  <c r="L584" i="3"/>
  <c r="K584" i="3"/>
  <c r="J584" i="3"/>
  <c r="I584" i="3"/>
  <c r="H584" i="3"/>
  <c r="G584" i="3"/>
  <c r="F584" i="3"/>
  <c r="E584" i="3"/>
  <c r="D584" i="3"/>
  <c r="C584" i="3"/>
  <c r="T583" i="3"/>
  <c r="S583" i="3"/>
  <c r="R583" i="3"/>
  <c r="Q583" i="3"/>
  <c r="P583" i="3"/>
  <c r="O583" i="3"/>
  <c r="N583" i="3"/>
  <c r="M583" i="3"/>
  <c r="L583" i="3"/>
  <c r="K583" i="3"/>
  <c r="J583" i="3"/>
  <c r="I583" i="3"/>
  <c r="H583" i="3"/>
  <c r="G583" i="3"/>
  <c r="F583" i="3"/>
  <c r="E583" i="3"/>
  <c r="D583" i="3"/>
  <c r="C583" i="3"/>
  <c r="T582" i="3"/>
  <c r="S582" i="3"/>
  <c r="R582" i="3"/>
  <c r="Q582" i="3"/>
  <c r="P582" i="3"/>
  <c r="O582" i="3"/>
  <c r="N582" i="3"/>
  <c r="M582" i="3"/>
  <c r="L582" i="3"/>
  <c r="K582" i="3"/>
  <c r="J582" i="3"/>
  <c r="I582" i="3"/>
  <c r="H582" i="3"/>
  <c r="G582" i="3"/>
  <c r="F582" i="3"/>
  <c r="E582" i="3"/>
  <c r="D582" i="3"/>
  <c r="C582" i="3"/>
  <c r="T581" i="3"/>
  <c r="S581" i="3"/>
  <c r="R581" i="3"/>
  <c r="Q581" i="3"/>
  <c r="P581" i="3"/>
  <c r="O581" i="3"/>
  <c r="N581" i="3"/>
  <c r="M581" i="3"/>
  <c r="L581" i="3"/>
  <c r="K581" i="3"/>
  <c r="J581" i="3"/>
  <c r="I581" i="3"/>
  <c r="H581" i="3"/>
  <c r="G581" i="3"/>
  <c r="F581" i="3"/>
  <c r="E581" i="3"/>
  <c r="D581" i="3"/>
  <c r="C581" i="3"/>
  <c r="T580" i="3"/>
  <c r="S580" i="3"/>
  <c r="R580" i="3"/>
  <c r="Q580" i="3"/>
  <c r="P580" i="3"/>
  <c r="O580" i="3"/>
  <c r="N580" i="3"/>
  <c r="M580" i="3"/>
  <c r="L580" i="3"/>
  <c r="K580" i="3"/>
  <c r="J580" i="3"/>
  <c r="I580" i="3"/>
  <c r="H580" i="3"/>
  <c r="G580" i="3"/>
  <c r="F580" i="3"/>
  <c r="E580" i="3"/>
  <c r="D580" i="3"/>
  <c r="C580" i="3"/>
  <c r="T579" i="3"/>
  <c r="S579" i="3"/>
  <c r="R579" i="3"/>
  <c r="Q579" i="3"/>
  <c r="P579" i="3"/>
  <c r="O579" i="3"/>
  <c r="N579" i="3"/>
  <c r="M579" i="3"/>
  <c r="L579" i="3"/>
  <c r="K579" i="3"/>
  <c r="J579" i="3"/>
  <c r="I579" i="3"/>
  <c r="H579" i="3"/>
  <c r="G579" i="3"/>
  <c r="F579" i="3"/>
  <c r="E579" i="3"/>
  <c r="D579" i="3"/>
  <c r="C579" i="3"/>
  <c r="T578" i="3"/>
  <c r="S578" i="3"/>
  <c r="R578" i="3"/>
  <c r="Q578" i="3"/>
  <c r="P578" i="3"/>
  <c r="O578" i="3"/>
  <c r="N578" i="3"/>
  <c r="M578" i="3"/>
  <c r="L578" i="3"/>
  <c r="K578" i="3"/>
  <c r="J578" i="3"/>
  <c r="I578" i="3"/>
  <c r="H578" i="3"/>
  <c r="G578" i="3"/>
  <c r="F578" i="3"/>
  <c r="E578" i="3"/>
  <c r="D578" i="3"/>
  <c r="C578" i="3"/>
  <c r="T577" i="3"/>
  <c r="S577" i="3"/>
  <c r="R577" i="3"/>
  <c r="Q577" i="3"/>
  <c r="P577" i="3"/>
  <c r="O577" i="3"/>
  <c r="N577" i="3"/>
  <c r="M577" i="3"/>
  <c r="L577" i="3"/>
  <c r="K577" i="3"/>
  <c r="J577" i="3"/>
  <c r="I577" i="3"/>
  <c r="H577" i="3"/>
  <c r="G577" i="3"/>
  <c r="F577" i="3"/>
  <c r="E577" i="3"/>
  <c r="D577" i="3"/>
  <c r="C577" i="3"/>
  <c r="T576" i="3"/>
  <c r="S576" i="3"/>
  <c r="R576" i="3"/>
  <c r="Q576" i="3"/>
  <c r="P576" i="3"/>
  <c r="O576" i="3"/>
  <c r="N576" i="3"/>
  <c r="M576" i="3"/>
  <c r="L576" i="3"/>
  <c r="K576" i="3"/>
  <c r="J576" i="3"/>
  <c r="I576" i="3"/>
  <c r="H576" i="3"/>
  <c r="G576" i="3"/>
  <c r="F576" i="3"/>
  <c r="E576" i="3"/>
  <c r="D576" i="3"/>
  <c r="C576" i="3"/>
  <c r="T575" i="3"/>
  <c r="S575" i="3"/>
  <c r="R575" i="3"/>
  <c r="Q575" i="3"/>
  <c r="P575" i="3"/>
  <c r="O575" i="3"/>
  <c r="N575" i="3"/>
  <c r="M575" i="3"/>
  <c r="L575" i="3"/>
  <c r="K575" i="3"/>
  <c r="J575" i="3"/>
  <c r="I575" i="3"/>
  <c r="H575" i="3"/>
  <c r="G575" i="3"/>
  <c r="F575" i="3"/>
  <c r="E575" i="3"/>
  <c r="D575" i="3"/>
  <c r="C575" i="3"/>
  <c r="T574" i="3"/>
  <c r="S574" i="3"/>
  <c r="R574" i="3"/>
  <c r="Q574" i="3"/>
  <c r="P574" i="3"/>
  <c r="O574" i="3"/>
  <c r="N574" i="3"/>
  <c r="M574" i="3"/>
  <c r="L574" i="3"/>
  <c r="K574" i="3"/>
  <c r="J574" i="3"/>
  <c r="I574" i="3"/>
  <c r="H574" i="3"/>
  <c r="G574" i="3"/>
  <c r="F574" i="3"/>
  <c r="E574" i="3"/>
  <c r="D574" i="3"/>
  <c r="C574" i="3"/>
  <c r="T573" i="3"/>
  <c r="S573" i="3"/>
  <c r="R573" i="3"/>
  <c r="Q573" i="3"/>
  <c r="P573" i="3"/>
  <c r="O573" i="3"/>
  <c r="N573" i="3"/>
  <c r="M573" i="3"/>
  <c r="L573" i="3"/>
  <c r="K573" i="3"/>
  <c r="J573" i="3"/>
  <c r="I573" i="3"/>
  <c r="H573" i="3"/>
  <c r="G573" i="3"/>
  <c r="F573" i="3"/>
  <c r="E573" i="3"/>
  <c r="D573" i="3"/>
  <c r="C573" i="3"/>
  <c r="T572" i="3"/>
  <c r="S572" i="3"/>
  <c r="R572" i="3"/>
  <c r="Q572" i="3"/>
  <c r="P572" i="3"/>
  <c r="O572" i="3"/>
  <c r="N572" i="3"/>
  <c r="M572" i="3"/>
  <c r="L572" i="3"/>
  <c r="K572" i="3"/>
  <c r="J572" i="3"/>
  <c r="I572" i="3"/>
  <c r="H572" i="3"/>
  <c r="G572" i="3"/>
  <c r="F572" i="3"/>
  <c r="E572" i="3"/>
  <c r="D572" i="3"/>
  <c r="C572" i="3"/>
  <c r="T571" i="3"/>
  <c r="S571" i="3"/>
  <c r="R571" i="3"/>
  <c r="Q571" i="3"/>
  <c r="P571" i="3"/>
  <c r="O571" i="3"/>
  <c r="N571" i="3"/>
  <c r="M571" i="3"/>
  <c r="L571" i="3"/>
  <c r="K571" i="3"/>
  <c r="J571" i="3"/>
  <c r="I571" i="3"/>
  <c r="H571" i="3"/>
  <c r="G571" i="3"/>
  <c r="F571" i="3"/>
  <c r="E571" i="3"/>
  <c r="D571" i="3"/>
  <c r="C571" i="3"/>
  <c r="T570" i="3"/>
  <c r="S570" i="3"/>
  <c r="R570" i="3"/>
  <c r="Q570" i="3"/>
  <c r="P570" i="3"/>
  <c r="O570" i="3"/>
  <c r="N570" i="3"/>
  <c r="M570" i="3"/>
  <c r="L570" i="3"/>
  <c r="K570" i="3"/>
  <c r="J570" i="3"/>
  <c r="I570" i="3"/>
  <c r="H570" i="3"/>
  <c r="G570" i="3"/>
  <c r="F570" i="3"/>
  <c r="E570" i="3"/>
  <c r="D570" i="3"/>
  <c r="C570" i="3"/>
  <c r="T569" i="3"/>
  <c r="S569" i="3"/>
  <c r="R569" i="3"/>
  <c r="Q569" i="3"/>
  <c r="P569" i="3"/>
  <c r="O569" i="3"/>
  <c r="N569" i="3"/>
  <c r="M569" i="3"/>
  <c r="L569" i="3"/>
  <c r="K569" i="3"/>
  <c r="J569" i="3"/>
  <c r="I569" i="3"/>
  <c r="H569" i="3"/>
  <c r="G569" i="3"/>
  <c r="F569" i="3"/>
  <c r="E569" i="3"/>
  <c r="D569" i="3"/>
  <c r="C569" i="3"/>
  <c r="T568" i="3"/>
  <c r="S568" i="3"/>
  <c r="R568" i="3"/>
  <c r="Q568" i="3"/>
  <c r="P568" i="3"/>
  <c r="O568" i="3"/>
  <c r="N568" i="3"/>
  <c r="M568" i="3"/>
  <c r="L568" i="3"/>
  <c r="K568" i="3"/>
  <c r="J568" i="3"/>
  <c r="I568" i="3"/>
  <c r="H568" i="3"/>
  <c r="G568" i="3"/>
  <c r="F568" i="3"/>
  <c r="E568" i="3"/>
  <c r="D568" i="3"/>
  <c r="C568" i="3"/>
  <c r="T567" i="3"/>
  <c r="S567" i="3"/>
  <c r="R567" i="3"/>
  <c r="Q567" i="3"/>
  <c r="P567" i="3"/>
  <c r="O567" i="3"/>
  <c r="N567" i="3"/>
  <c r="M567" i="3"/>
  <c r="L567" i="3"/>
  <c r="K567" i="3"/>
  <c r="J567" i="3"/>
  <c r="I567" i="3"/>
  <c r="H567" i="3"/>
  <c r="G567" i="3"/>
  <c r="F567" i="3"/>
  <c r="E567" i="3"/>
  <c r="D567" i="3"/>
  <c r="C567" i="3"/>
  <c r="T566" i="3"/>
  <c r="S566" i="3"/>
  <c r="R566" i="3"/>
  <c r="Q566" i="3"/>
  <c r="P566" i="3"/>
  <c r="O566" i="3"/>
  <c r="N566" i="3"/>
  <c r="M566" i="3"/>
  <c r="L566" i="3"/>
  <c r="K566" i="3"/>
  <c r="J566" i="3"/>
  <c r="I566" i="3"/>
  <c r="H566" i="3"/>
  <c r="G566" i="3"/>
  <c r="F566" i="3"/>
  <c r="E566" i="3"/>
  <c r="D566" i="3"/>
  <c r="C566" i="3"/>
  <c r="T565" i="3"/>
  <c r="S565" i="3"/>
  <c r="R565" i="3"/>
  <c r="Q565" i="3"/>
  <c r="P565" i="3"/>
  <c r="O565" i="3"/>
  <c r="N565" i="3"/>
  <c r="M565" i="3"/>
  <c r="L565" i="3"/>
  <c r="K565" i="3"/>
  <c r="J565" i="3"/>
  <c r="I565" i="3"/>
  <c r="H565" i="3"/>
  <c r="G565" i="3"/>
  <c r="F565" i="3"/>
  <c r="E565" i="3"/>
  <c r="D565" i="3"/>
  <c r="C565" i="3"/>
  <c r="T564" i="3"/>
  <c r="S564" i="3"/>
  <c r="R564" i="3"/>
  <c r="Q564" i="3"/>
  <c r="P564" i="3"/>
  <c r="O564" i="3"/>
  <c r="N564" i="3"/>
  <c r="M564" i="3"/>
  <c r="L564" i="3"/>
  <c r="K564" i="3"/>
  <c r="J564" i="3"/>
  <c r="I564" i="3"/>
  <c r="H564" i="3"/>
  <c r="G564" i="3"/>
  <c r="F564" i="3"/>
  <c r="E564" i="3"/>
  <c r="D564" i="3"/>
  <c r="C564" i="3"/>
  <c r="T563" i="3"/>
  <c r="S563" i="3"/>
  <c r="R563" i="3"/>
  <c r="Q563" i="3"/>
  <c r="P563" i="3"/>
  <c r="O563" i="3"/>
  <c r="N563" i="3"/>
  <c r="M563" i="3"/>
  <c r="L563" i="3"/>
  <c r="K563" i="3"/>
  <c r="J563" i="3"/>
  <c r="I563" i="3"/>
  <c r="H563" i="3"/>
  <c r="G563" i="3"/>
  <c r="F563" i="3"/>
  <c r="E563" i="3"/>
  <c r="D563" i="3"/>
  <c r="C563" i="3"/>
  <c r="T562" i="3"/>
  <c r="S562" i="3"/>
  <c r="R562" i="3"/>
  <c r="Q562" i="3"/>
  <c r="P562" i="3"/>
  <c r="O562" i="3"/>
  <c r="N562" i="3"/>
  <c r="M562" i="3"/>
  <c r="L562" i="3"/>
  <c r="K562" i="3"/>
  <c r="J562" i="3"/>
  <c r="I562" i="3"/>
  <c r="H562" i="3"/>
  <c r="G562" i="3"/>
  <c r="F562" i="3"/>
  <c r="E562" i="3"/>
  <c r="D562" i="3"/>
  <c r="C562" i="3"/>
  <c r="T561" i="3"/>
  <c r="S561" i="3"/>
  <c r="R561" i="3"/>
  <c r="Q561" i="3"/>
  <c r="P561" i="3"/>
  <c r="O561" i="3"/>
  <c r="N561" i="3"/>
  <c r="M561" i="3"/>
  <c r="L561" i="3"/>
  <c r="K561" i="3"/>
  <c r="J561" i="3"/>
  <c r="I561" i="3"/>
  <c r="H561" i="3"/>
  <c r="G561" i="3"/>
  <c r="F561" i="3"/>
  <c r="E561" i="3"/>
  <c r="D561" i="3"/>
  <c r="C561" i="3"/>
  <c r="T560" i="3"/>
  <c r="S560" i="3"/>
  <c r="R560" i="3"/>
  <c r="Q560" i="3"/>
  <c r="P560" i="3"/>
  <c r="O560" i="3"/>
  <c r="N560" i="3"/>
  <c r="M560" i="3"/>
  <c r="L560" i="3"/>
  <c r="K560" i="3"/>
  <c r="J560" i="3"/>
  <c r="I560" i="3"/>
  <c r="H560" i="3"/>
  <c r="G560" i="3"/>
  <c r="F560" i="3"/>
  <c r="E560" i="3"/>
  <c r="D560" i="3"/>
  <c r="C560" i="3"/>
  <c r="T559" i="3"/>
  <c r="S559" i="3"/>
  <c r="R559" i="3"/>
  <c r="Q559" i="3"/>
  <c r="P559" i="3"/>
  <c r="O559" i="3"/>
  <c r="N559" i="3"/>
  <c r="M559" i="3"/>
  <c r="L559" i="3"/>
  <c r="K559" i="3"/>
  <c r="J559" i="3"/>
  <c r="I559" i="3"/>
  <c r="H559" i="3"/>
  <c r="G559" i="3"/>
  <c r="F559" i="3"/>
  <c r="E559" i="3"/>
  <c r="D559" i="3"/>
  <c r="C559" i="3"/>
  <c r="T558" i="3"/>
  <c r="S558" i="3"/>
  <c r="R558" i="3"/>
  <c r="Q558" i="3"/>
  <c r="P558" i="3"/>
  <c r="O558" i="3"/>
  <c r="N558" i="3"/>
  <c r="M558" i="3"/>
  <c r="L558" i="3"/>
  <c r="K558" i="3"/>
  <c r="J558" i="3"/>
  <c r="I558" i="3"/>
  <c r="H558" i="3"/>
  <c r="B558" i="3" s="1"/>
  <c r="G558" i="3"/>
  <c r="F558" i="3"/>
  <c r="E558" i="3"/>
  <c r="D558" i="3"/>
  <c r="T557" i="3"/>
  <c r="S557" i="3"/>
  <c r="R557" i="3"/>
  <c r="Q557" i="3"/>
  <c r="P557" i="3"/>
  <c r="O557" i="3"/>
  <c r="N557" i="3"/>
  <c r="M557" i="3"/>
  <c r="L557" i="3"/>
  <c r="K557" i="3"/>
  <c r="J557" i="3"/>
  <c r="I557" i="3"/>
  <c r="H557" i="3"/>
  <c r="G557" i="3"/>
  <c r="F557" i="3"/>
  <c r="E557" i="3"/>
  <c r="D557" i="3"/>
  <c r="C557" i="3"/>
  <c r="T556" i="3"/>
  <c r="S556" i="3"/>
  <c r="R556" i="3"/>
  <c r="Q556" i="3"/>
  <c r="P556" i="3"/>
  <c r="O556" i="3"/>
  <c r="N556" i="3"/>
  <c r="M556" i="3"/>
  <c r="L556" i="3"/>
  <c r="K556" i="3"/>
  <c r="J556" i="3"/>
  <c r="I556" i="3"/>
  <c r="H556" i="3"/>
  <c r="G556" i="3"/>
  <c r="F556" i="3"/>
  <c r="E556" i="3"/>
  <c r="D556" i="3"/>
  <c r="C556" i="3"/>
  <c r="T555" i="3"/>
  <c r="S555" i="3"/>
  <c r="R555" i="3"/>
  <c r="Q555" i="3"/>
  <c r="P555" i="3"/>
  <c r="O555" i="3"/>
  <c r="N555" i="3"/>
  <c r="M555" i="3"/>
  <c r="L555" i="3"/>
  <c r="K555" i="3"/>
  <c r="J555" i="3"/>
  <c r="I555" i="3"/>
  <c r="H555" i="3"/>
  <c r="B555" i="3" s="1"/>
  <c r="G555" i="3"/>
  <c r="F555" i="3"/>
  <c r="E555" i="3"/>
  <c r="D555" i="3"/>
  <c r="T554" i="3"/>
  <c r="S554" i="3"/>
  <c r="R554" i="3"/>
  <c r="Q554" i="3"/>
  <c r="P554" i="3"/>
  <c r="O554" i="3"/>
  <c r="N554" i="3"/>
  <c r="M554" i="3"/>
  <c r="L554" i="3"/>
  <c r="K554" i="3"/>
  <c r="J554" i="3"/>
  <c r="I554" i="3"/>
  <c r="H554" i="3"/>
  <c r="B554" i="3" s="1"/>
  <c r="G554" i="3"/>
  <c r="F554" i="3"/>
  <c r="E554" i="3"/>
  <c r="D554" i="3"/>
  <c r="T553" i="3"/>
  <c r="S553" i="3"/>
  <c r="R553" i="3"/>
  <c r="Q553" i="3"/>
  <c r="P553" i="3"/>
  <c r="O553" i="3"/>
  <c r="N553" i="3"/>
  <c r="M553" i="3"/>
  <c r="L553" i="3"/>
  <c r="K553" i="3"/>
  <c r="J553" i="3"/>
  <c r="I553" i="3"/>
  <c r="H553" i="3"/>
  <c r="G553" i="3"/>
  <c r="F553" i="3"/>
  <c r="E553" i="3"/>
  <c r="D553" i="3"/>
  <c r="C553" i="3"/>
  <c r="T552" i="3"/>
  <c r="S552" i="3"/>
  <c r="R552" i="3"/>
  <c r="Q552" i="3"/>
  <c r="P552" i="3"/>
  <c r="O552" i="3"/>
  <c r="N552" i="3"/>
  <c r="M552" i="3"/>
  <c r="L552" i="3"/>
  <c r="K552" i="3"/>
  <c r="J552" i="3"/>
  <c r="I552" i="3"/>
  <c r="H552" i="3"/>
  <c r="G552" i="3"/>
  <c r="F552" i="3"/>
  <c r="E552" i="3"/>
  <c r="D552" i="3"/>
  <c r="C552" i="3"/>
  <c r="T551" i="3"/>
  <c r="S551" i="3"/>
  <c r="R551" i="3"/>
  <c r="Q551" i="3"/>
  <c r="P551" i="3"/>
  <c r="O551" i="3"/>
  <c r="N551" i="3"/>
  <c r="M551" i="3"/>
  <c r="L551" i="3"/>
  <c r="K551" i="3"/>
  <c r="J551" i="3"/>
  <c r="I551" i="3"/>
  <c r="H551" i="3"/>
  <c r="B551" i="3" s="1"/>
  <c r="G551" i="3"/>
  <c r="F551" i="3"/>
  <c r="E551" i="3"/>
  <c r="D551" i="3"/>
  <c r="T550" i="3"/>
  <c r="S550" i="3"/>
  <c r="R550" i="3"/>
  <c r="Q550" i="3"/>
  <c r="P550" i="3"/>
  <c r="O550" i="3"/>
  <c r="N550" i="3"/>
  <c r="M550" i="3"/>
  <c r="L550" i="3"/>
  <c r="K550" i="3"/>
  <c r="J550" i="3"/>
  <c r="I550" i="3"/>
  <c r="H550" i="3"/>
  <c r="G550" i="3"/>
  <c r="F550" i="3"/>
  <c r="E550" i="3"/>
  <c r="D550" i="3"/>
  <c r="C550" i="3"/>
  <c r="T549" i="3"/>
  <c r="S549" i="3"/>
  <c r="R549" i="3"/>
  <c r="Q549" i="3"/>
  <c r="P549" i="3"/>
  <c r="O549" i="3"/>
  <c r="N549" i="3"/>
  <c r="M549" i="3"/>
  <c r="L549" i="3"/>
  <c r="K549" i="3"/>
  <c r="J549" i="3"/>
  <c r="I549" i="3"/>
  <c r="H549" i="3"/>
  <c r="G549" i="3"/>
  <c r="F549" i="3"/>
  <c r="E549" i="3"/>
  <c r="D549" i="3"/>
  <c r="C549" i="3"/>
  <c r="T548" i="3"/>
  <c r="S548" i="3"/>
  <c r="R548" i="3"/>
  <c r="Q548" i="3"/>
  <c r="P548" i="3"/>
  <c r="O548" i="3"/>
  <c r="N548" i="3"/>
  <c r="M548" i="3"/>
  <c r="L548" i="3"/>
  <c r="K548" i="3"/>
  <c r="J548" i="3"/>
  <c r="I548" i="3"/>
  <c r="H548" i="3"/>
  <c r="G548" i="3"/>
  <c r="F548" i="3"/>
  <c r="E548" i="3"/>
  <c r="D548" i="3"/>
  <c r="C548" i="3"/>
  <c r="T547" i="3"/>
  <c r="S547" i="3"/>
  <c r="R547" i="3"/>
  <c r="Q547" i="3"/>
  <c r="P547" i="3"/>
  <c r="O547" i="3"/>
  <c r="N547" i="3"/>
  <c r="M547" i="3"/>
  <c r="L547" i="3"/>
  <c r="K547" i="3"/>
  <c r="J547" i="3"/>
  <c r="I547" i="3"/>
  <c r="H547" i="3"/>
  <c r="G547" i="3"/>
  <c r="F547" i="3"/>
  <c r="E547" i="3"/>
  <c r="D547" i="3"/>
  <c r="C547" i="3"/>
  <c r="T546" i="3"/>
  <c r="S546" i="3"/>
  <c r="R546" i="3"/>
  <c r="Q546" i="3"/>
  <c r="P546" i="3"/>
  <c r="O546" i="3"/>
  <c r="N546" i="3"/>
  <c r="M546" i="3"/>
  <c r="L546" i="3"/>
  <c r="K546" i="3"/>
  <c r="J546" i="3"/>
  <c r="I546" i="3"/>
  <c r="H546" i="3"/>
  <c r="G546" i="3"/>
  <c r="F546" i="3"/>
  <c r="E546" i="3"/>
  <c r="D546" i="3"/>
  <c r="C546" i="3"/>
  <c r="T545" i="3"/>
  <c r="S545" i="3"/>
  <c r="R545" i="3"/>
  <c r="Q545" i="3"/>
  <c r="P545" i="3"/>
  <c r="O545" i="3"/>
  <c r="N545" i="3"/>
  <c r="M545" i="3"/>
  <c r="L545" i="3"/>
  <c r="K545" i="3"/>
  <c r="J545" i="3"/>
  <c r="I545" i="3"/>
  <c r="H545" i="3"/>
  <c r="G545" i="3"/>
  <c r="F545" i="3"/>
  <c r="E545" i="3"/>
  <c r="D545" i="3"/>
  <c r="C545" i="3"/>
  <c r="T544" i="3"/>
  <c r="S544" i="3"/>
  <c r="R544" i="3"/>
  <c r="Q544" i="3"/>
  <c r="P544" i="3"/>
  <c r="O544" i="3"/>
  <c r="N544" i="3"/>
  <c r="M544" i="3"/>
  <c r="L544" i="3"/>
  <c r="K544" i="3"/>
  <c r="J544" i="3"/>
  <c r="I544" i="3"/>
  <c r="H544" i="3"/>
  <c r="G544" i="3"/>
  <c r="F544" i="3"/>
  <c r="E544" i="3"/>
  <c r="D544" i="3"/>
  <c r="C544" i="3"/>
  <c r="T543" i="3"/>
  <c r="S543" i="3"/>
  <c r="R543" i="3"/>
  <c r="Q543" i="3"/>
  <c r="P543" i="3"/>
  <c r="O543" i="3"/>
  <c r="N543" i="3"/>
  <c r="M543" i="3"/>
  <c r="L543" i="3"/>
  <c r="K543" i="3"/>
  <c r="J543" i="3"/>
  <c r="I543" i="3"/>
  <c r="H543" i="3"/>
  <c r="G543" i="3"/>
  <c r="F543" i="3"/>
  <c r="E543" i="3"/>
  <c r="D543" i="3"/>
  <c r="C543" i="3"/>
  <c r="T542" i="3"/>
  <c r="S542" i="3"/>
  <c r="R542" i="3"/>
  <c r="Q542" i="3"/>
  <c r="P542" i="3"/>
  <c r="O542" i="3"/>
  <c r="N542" i="3"/>
  <c r="M542" i="3"/>
  <c r="L542" i="3"/>
  <c r="K542" i="3"/>
  <c r="J542" i="3"/>
  <c r="I542" i="3"/>
  <c r="H542" i="3"/>
  <c r="G542" i="3"/>
  <c r="F542" i="3"/>
  <c r="E542" i="3"/>
  <c r="D542" i="3"/>
  <c r="C542" i="3"/>
  <c r="T541" i="3"/>
  <c r="S541" i="3"/>
  <c r="R541" i="3"/>
  <c r="Q541" i="3"/>
  <c r="P541" i="3"/>
  <c r="O541" i="3"/>
  <c r="N541" i="3"/>
  <c r="M541" i="3"/>
  <c r="L541" i="3"/>
  <c r="K541" i="3"/>
  <c r="J541" i="3"/>
  <c r="I541" i="3"/>
  <c r="H541" i="3"/>
  <c r="G541" i="3"/>
  <c r="F541" i="3"/>
  <c r="E541" i="3"/>
  <c r="D541" i="3"/>
  <c r="C541" i="3"/>
  <c r="T540" i="3"/>
  <c r="S540" i="3"/>
  <c r="R540" i="3"/>
  <c r="Q540" i="3"/>
  <c r="P540" i="3"/>
  <c r="O540" i="3"/>
  <c r="N540" i="3"/>
  <c r="M540" i="3"/>
  <c r="L540" i="3"/>
  <c r="K540" i="3"/>
  <c r="J540" i="3"/>
  <c r="I540" i="3"/>
  <c r="H540" i="3"/>
  <c r="G540" i="3"/>
  <c r="F540" i="3"/>
  <c r="E540" i="3"/>
  <c r="D540" i="3"/>
  <c r="C540" i="3"/>
  <c r="T539" i="3"/>
  <c r="S539" i="3"/>
  <c r="R539" i="3"/>
  <c r="Q539" i="3"/>
  <c r="P539" i="3"/>
  <c r="O539" i="3"/>
  <c r="N539" i="3"/>
  <c r="M539" i="3"/>
  <c r="L539" i="3"/>
  <c r="K539" i="3"/>
  <c r="J539" i="3"/>
  <c r="I539" i="3"/>
  <c r="H539" i="3"/>
  <c r="G539" i="3"/>
  <c r="F539" i="3"/>
  <c r="E539" i="3"/>
  <c r="D539" i="3"/>
  <c r="C539" i="3"/>
  <c r="T538" i="3"/>
  <c r="S538" i="3"/>
  <c r="R538" i="3"/>
  <c r="Q538" i="3"/>
  <c r="P538" i="3"/>
  <c r="O538" i="3"/>
  <c r="N538" i="3"/>
  <c r="M538" i="3"/>
  <c r="L538" i="3"/>
  <c r="K538" i="3"/>
  <c r="J538" i="3"/>
  <c r="I538" i="3"/>
  <c r="H538" i="3"/>
  <c r="G538" i="3"/>
  <c r="F538" i="3"/>
  <c r="E538" i="3"/>
  <c r="D538" i="3"/>
  <c r="C538" i="3"/>
  <c r="T537" i="3"/>
  <c r="S537" i="3"/>
  <c r="R537" i="3"/>
  <c r="Q537" i="3"/>
  <c r="P537" i="3"/>
  <c r="O537" i="3"/>
  <c r="N537" i="3"/>
  <c r="M537" i="3"/>
  <c r="L537" i="3"/>
  <c r="K537" i="3"/>
  <c r="J537" i="3"/>
  <c r="I537" i="3"/>
  <c r="H537" i="3"/>
  <c r="G537" i="3"/>
  <c r="F537" i="3"/>
  <c r="E537" i="3"/>
  <c r="D537" i="3"/>
  <c r="C537" i="3"/>
  <c r="T536" i="3"/>
  <c r="S536" i="3"/>
  <c r="R536" i="3"/>
  <c r="Q536" i="3"/>
  <c r="P536" i="3"/>
  <c r="O536" i="3"/>
  <c r="N536" i="3"/>
  <c r="M536" i="3"/>
  <c r="L536" i="3"/>
  <c r="K536" i="3"/>
  <c r="J536" i="3"/>
  <c r="I536" i="3"/>
  <c r="H536" i="3"/>
  <c r="G536" i="3"/>
  <c r="F536" i="3"/>
  <c r="E536" i="3"/>
  <c r="D536" i="3"/>
  <c r="C536" i="3"/>
  <c r="B536" i="3" s="1"/>
  <c r="T535" i="3"/>
  <c r="S535" i="3"/>
  <c r="R535" i="3"/>
  <c r="Q535" i="3"/>
  <c r="P535" i="3"/>
  <c r="O535" i="3"/>
  <c r="N535" i="3"/>
  <c r="M535" i="3"/>
  <c r="L535" i="3"/>
  <c r="K535" i="3"/>
  <c r="J535" i="3"/>
  <c r="I535" i="3"/>
  <c r="H535" i="3"/>
  <c r="G535" i="3"/>
  <c r="F535" i="3"/>
  <c r="E535" i="3"/>
  <c r="D535" i="3"/>
  <c r="C535" i="3"/>
  <c r="B535" i="3" s="1"/>
  <c r="T534" i="3"/>
  <c r="S534" i="3"/>
  <c r="R534" i="3"/>
  <c r="Q534" i="3"/>
  <c r="P534" i="3"/>
  <c r="O534" i="3"/>
  <c r="N534" i="3"/>
  <c r="M534" i="3"/>
  <c r="L534" i="3"/>
  <c r="K534" i="3"/>
  <c r="J534" i="3"/>
  <c r="I534" i="3"/>
  <c r="H534" i="3"/>
  <c r="G534" i="3"/>
  <c r="F534" i="3"/>
  <c r="E534" i="3"/>
  <c r="D534" i="3"/>
  <c r="C534" i="3"/>
  <c r="B534" i="3" s="1"/>
  <c r="T533" i="3"/>
  <c r="S533" i="3"/>
  <c r="R533" i="3"/>
  <c r="Q533" i="3"/>
  <c r="P533" i="3"/>
  <c r="O533" i="3"/>
  <c r="N533" i="3"/>
  <c r="M533" i="3"/>
  <c r="L533" i="3"/>
  <c r="K533" i="3"/>
  <c r="J533" i="3"/>
  <c r="I533" i="3"/>
  <c r="H533" i="3"/>
  <c r="G533" i="3"/>
  <c r="F533" i="3"/>
  <c r="E533" i="3"/>
  <c r="D533" i="3"/>
  <c r="C533" i="3"/>
  <c r="B533" i="3" s="1"/>
  <c r="T532" i="3"/>
  <c r="S532" i="3"/>
  <c r="R532" i="3"/>
  <c r="Q532" i="3"/>
  <c r="P532" i="3"/>
  <c r="O532" i="3"/>
  <c r="N532" i="3"/>
  <c r="M532" i="3"/>
  <c r="L532" i="3"/>
  <c r="K532" i="3"/>
  <c r="J532" i="3"/>
  <c r="I532" i="3"/>
  <c r="H532" i="3"/>
  <c r="G532" i="3"/>
  <c r="F532" i="3"/>
  <c r="E532" i="3"/>
  <c r="D532" i="3"/>
  <c r="C532" i="3"/>
  <c r="B532" i="3" s="1"/>
  <c r="T531" i="3"/>
  <c r="S531" i="3"/>
  <c r="R531" i="3"/>
  <c r="Q531" i="3"/>
  <c r="P531" i="3"/>
  <c r="O531" i="3"/>
  <c r="N531" i="3"/>
  <c r="M531" i="3"/>
  <c r="L531" i="3"/>
  <c r="K531" i="3"/>
  <c r="J531" i="3"/>
  <c r="I531" i="3"/>
  <c r="H531" i="3"/>
  <c r="G531" i="3"/>
  <c r="F531" i="3"/>
  <c r="E531" i="3"/>
  <c r="D531" i="3"/>
  <c r="C531" i="3"/>
  <c r="B531" i="3" s="1"/>
  <c r="T530" i="3"/>
  <c r="S530" i="3"/>
  <c r="R530" i="3"/>
  <c r="Q530" i="3"/>
  <c r="P530" i="3"/>
  <c r="O530" i="3"/>
  <c r="N530" i="3"/>
  <c r="M530" i="3"/>
  <c r="L530" i="3"/>
  <c r="K530" i="3"/>
  <c r="J530" i="3"/>
  <c r="I530" i="3"/>
  <c r="H530" i="3"/>
  <c r="G530" i="3"/>
  <c r="F530" i="3"/>
  <c r="E530" i="3"/>
  <c r="D530" i="3"/>
  <c r="C530" i="3"/>
  <c r="B530" i="3" s="1"/>
  <c r="T529" i="3"/>
  <c r="S529" i="3"/>
  <c r="R529" i="3"/>
  <c r="Q529" i="3"/>
  <c r="P529" i="3"/>
  <c r="O529" i="3"/>
  <c r="N529" i="3"/>
  <c r="M529" i="3"/>
  <c r="L529" i="3"/>
  <c r="K529" i="3"/>
  <c r="J529" i="3"/>
  <c r="I529" i="3"/>
  <c r="H529" i="3"/>
  <c r="G529" i="3"/>
  <c r="F529" i="3"/>
  <c r="E529" i="3"/>
  <c r="D529" i="3"/>
  <c r="C529" i="3"/>
  <c r="B529" i="3" s="1"/>
  <c r="T528" i="3"/>
  <c r="S528" i="3"/>
  <c r="R528" i="3"/>
  <c r="Q528" i="3"/>
  <c r="P528" i="3"/>
  <c r="O528" i="3"/>
  <c r="N528" i="3"/>
  <c r="M528" i="3"/>
  <c r="L528" i="3"/>
  <c r="K528" i="3"/>
  <c r="J528" i="3"/>
  <c r="I528" i="3"/>
  <c r="H528" i="3"/>
  <c r="G528" i="3"/>
  <c r="F528" i="3"/>
  <c r="E528" i="3"/>
  <c r="D528" i="3"/>
  <c r="C528" i="3"/>
  <c r="B528" i="3" s="1"/>
  <c r="T527" i="3"/>
  <c r="S527" i="3"/>
  <c r="R527" i="3"/>
  <c r="Q527" i="3"/>
  <c r="P527" i="3"/>
  <c r="O527" i="3"/>
  <c r="N527" i="3"/>
  <c r="M527" i="3"/>
  <c r="L527" i="3"/>
  <c r="K527" i="3"/>
  <c r="J527" i="3"/>
  <c r="I527" i="3"/>
  <c r="H527" i="3"/>
  <c r="G527" i="3"/>
  <c r="F527" i="3"/>
  <c r="E527" i="3"/>
  <c r="D527" i="3"/>
  <c r="C527" i="3"/>
  <c r="B527" i="3" s="1"/>
  <c r="T526" i="3"/>
  <c r="S526" i="3"/>
  <c r="R526" i="3"/>
  <c r="Q526" i="3"/>
  <c r="P526" i="3"/>
  <c r="O526" i="3"/>
  <c r="N526" i="3"/>
  <c r="M526" i="3"/>
  <c r="L526" i="3"/>
  <c r="K526" i="3"/>
  <c r="J526" i="3"/>
  <c r="I526" i="3"/>
  <c r="H526" i="3"/>
  <c r="G526" i="3"/>
  <c r="F526" i="3"/>
  <c r="E526" i="3"/>
  <c r="D526" i="3"/>
  <c r="C526" i="3"/>
  <c r="B526" i="3" s="1"/>
  <c r="T525" i="3"/>
  <c r="S525" i="3"/>
  <c r="R525" i="3"/>
  <c r="Q525" i="3"/>
  <c r="P525" i="3"/>
  <c r="O525" i="3"/>
  <c r="N525" i="3"/>
  <c r="M525" i="3"/>
  <c r="L525" i="3"/>
  <c r="K525" i="3"/>
  <c r="J525" i="3"/>
  <c r="I525" i="3"/>
  <c r="H525" i="3"/>
  <c r="G525" i="3"/>
  <c r="F525" i="3"/>
  <c r="E525" i="3"/>
  <c r="D525" i="3"/>
  <c r="C525" i="3"/>
  <c r="B525" i="3" s="1"/>
  <c r="T524" i="3"/>
  <c r="S524" i="3"/>
  <c r="R524" i="3"/>
  <c r="Q524" i="3"/>
  <c r="P524" i="3"/>
  <c r="O524" i="3"/>
  <c r="N524" i="3"/>
  <c r="M524" i="3"/>
  <c r="L524" i="3"/>
  <c r="K524" i="3"/>
  <c r="J524" i="3"/>
  <c r="I524" i="3"/>
  <c r="H524" i="3"/>
  <c r="G524" i="3"/>
  <c r="F524" i="3"/>
  <c r="E524" i="3"/>
  <c r="D524" i="3"/>
  <c r="C524" i="3"/>
  <c r="B524" i="3" s="1"/>
  <c r="T523" i="3"/>
  <c r="S523" i="3"/>
  <c r="R523" i="3"/>
  <c r="Q523" i="3"/>
  <c r="P523" i="3"/>
  <c r="O523" i="3"/>
  <c r="N523" i="3"/>
  <c r="M523" i="3"/>
  <c r="L523" i="3"/>
  <c r="K523" i="3"/>
  <c r="J523" i="3"/>
  <c r="I523" i="3"/>
  <c r="H523" i="3"/>
  <c r="G523" i="3"/>
  <c r="F523" i="3"/>
  <c r="E523" i="3"/>
  <c r="D523" i="3"/>
  <c r="C523" i="3"/>
  <c r="B523" i="3" s="1"/>
  <c r="T522" i="3"/>
  <c r="S522" i="3"/>
  <c r="R522" i="3"/>
  <c r="Q522" i="3"/>
  <c r="P522" i="3"/>
  <c r="O522" i="3"/>
  <c r="N522" i="3"/>
  <c r="M522" i="3"/>
  <c r="L522" i="3"/>
  <c r="K522" i="3"/>
  <c r="J522" i="3"/>
  <c r="I522" i="3"/>
  <c r="H522" i="3"/>
  <c r="G522" i="3"/>
  <c r="F522" i="3"/>
  <c r="E522" i="3"/>
  <c r="D522" i="3"/>
  <c r="C522" i="3"/>
  <c r="B522" i="3" s="1"/>
  <c r="T521" i="3"/>
  <c r="S521" i="3"/>
  <c r="R521" i="3"/>
  <c r="Q521" i="3"/>
  <c r="P521" i="3"/>
  <c r="O521" i="3"/>
  <c r="N521" i="3"/>
  <c r="M521" i="3"/>
  <c r="L521" i="3"/>
  <c r="K521" i="3"/>
  <c r="J521" i="3"/>
  <c r="I521" i="3"/>
  <c r="H521" i="3"/>
  <c r="G521" i="3"/>
  <c r="F521" i="3"/>
  <c r="E521" i="3"/>
  <c r="D521" i="3"/>
  <c r="C521" i="3"/>
  <c r="B521" i="3" s="1"/>
  <c r="T520" i="3"/>
  <c r="S520" i="3"/>
  <c r="R520" i="3"/>
  <c r="Q520" i="3"/>
  <c r="P520" i="3"/>
  <c r="O520" i="3"/>
  <c r="N520" i="3"/>
  <c r="M520" i="3"/>
  <c r="L520" i="3"/>
  <c r="K520" i="3"/>
  <c r="J520" i="3"/>
  <c r="I520" i="3"/>
  <c r="H520" i="3"/>
  <c r="G520" i="3"/>
  <c r="F520" i="3"/>
  <c r="E520" i="3"/>
  <c r="D520" i="3"/>
  <c r="C520" i="3"/>
  <c r="B520" i="3" s="1"/>
  <c r="T519" i="3"/>
  <c r="S519" i="3"/>
  <c r="R519" i="3"/>
  <c r="Q519" i="3"/>
  <c r="P519" i="3"/>
  <c r="O519" i="3"/>
  <c r="N519" i="3"/>
  <c r="M519" i="3"/>
  <c r="L519" i="3"/>
  <c r="K519" i="3"/>
  <c r="J519" i="3"/>
  <c r="I519" i="3"/>
  <c r="H519" i="3"/>
  <c r="G519" i="3"/>
  <c r="F519" i="3"/>
  <c r="E519" i="3"/>
  <c r="D519" i="3"/>
  <c r="C519" i="3"/>
  <c r="B519" i="3" s="1"/>
  <c r="T518" i="3"/>
  <c r="S518" i="3"/>
  <c r="R518" i="3"/>
  <c r="Q518" i="3"/>
  <c r="P518" i="3"/>
  <c r="O518" i="3"/>
  <c r="N518" i="3"/>
  <c r="M518" i="3"/>
  <c r="L518" i="3"/>
  <c r="K518" i="3"/>
  <c r="J518" i="3"/>
  <c r="I518" i="3"/>
  <c r="H518" i="3"/>
  <c r="G518" i="3"/>
  <c r="F518" i="3"/>
  <c r="E518" i="3"/>
  <c r="D518" i="3"/>
  <c r="C518" i="3"/>
  <c r="B518" i="3" s="1"/>
  <c r="T517" i="3"/>
  <c r="S517" i="3"/>
  <c r="R517" i="3"/>
  <c r="Q517" i="3"/>
  <c r="P517" i="3"/>
  <c r="O517" i="3"/>
  <c r="N517" i="3"/>
  <c r="M517" i="3"/>
  <c r="L517" i="3"/>
  <c r="K517" i="3"/>
  <c r="J517" i="3"/>
  <c r="I517" i="3"/>
  <c r="H517" i="3"/>
  <c r="G517" i="3"/>
  <c r="F517" i="3"/>
  <c r="E517" i="3"/>
  <c r="D517" i="3"/>
  <c r="C517" i="3"/>
  <c r="B517" i="3" s="1"/>
  <c r="T516" i="3"/>
  <c r="S516" i="3"/>
  <c r="R516" i="3"/>
  <c r="Q516" i="3"/>
  <c r="P516" i="3"/>
  <c r="O516" i="3"/>
  <c r="N516" i="3"/>
  <c r="M516" i="3"/>
  <c r="L516" i="3"/>
  <c r="K516" i="3"/>
  <c r="J516" i="3"/>
  <c r="I516" i="3"/>
  <c r="H516" i="3"/>
  <c r="G516" i="3"/>
  <c r="F516" i="3"/>
  <c r="E516" i="3"/>
  <c r="D516" i="3"/>
  <c r="B516" i="3"/>
  <c r="T515" i="3"/>
  <c r="S515" i="3"/>
  <c r="R515" i="3"/>
  <c r="Q515" i="3"/>
  <c r="P515" i="3"/>
  <c r="O515" i="3"/>
  <c r="N515" i="3"/>
  <c r="M515" i="3"/>
  <c r="L515" i="3"/>
  <c r="K515" i="3"/>
  <c r="J515" i="3"/>
  <c r="I515" i="3"/>
  <c r="H515" i="3"/>
  <c r="G515" i="3"/>
  <c r="F515" i="3"/>
  <c r="E515" i="3"/>
  <c r="D515" i="3"/>
  <c r="C515" i="3"/>
  <c r="B515" i="3" s="1"/>
  <c r="T514" i="3"/>
  <c r="S514" i="3"/>
  <c r="R514" i="3"/>
  <c r="Q514" i="3"/>
  <c r="P514" i="3"/>
  <c r="O514" i="3"/>
  <c r="N514" i="3"/>
  <c r="M514" i="3"/>
  <c r="L514" i="3"/>
  <c r="K514" i="3"/>
  <c r="J514" i="3"/>
  <c r="I514" i="3"/>
  <c r="H514" i="3"/>
  <c r="G514" i="3"/>
  <c r="F514" i="3"/>
  <c r="E514" i="3"/>
  <c r="D514" i="3"/>
  <c r="C514" i="3"/>
  <c r="B514" i="3" s="1"/>
  <c r="T513" i="3"/>
  <c r="S513" i="3"/>
  <c r="R513" i="3"/>
  <c r="Q513" i="3"/>
  <c r="P513" i="3"/>
  <c r="O513" i="3"/>
  <c r="N513" i="3"/>
  <c r="M513" i="3"/>
  <c r="L513" i="3"/>
  <c r="K513" i="3"/>
  <c r="J513" i="3"/>
  <c r="I513" i="3"/>
  <c r="H513" i="3"/>
  <c r="G513" i="3"/>
  <c r="F513" i="3"/>
  <c r="E513" i="3"/>
  <c r="D513" i="3"/>
  <c r="C513" i="3"/>
  <c r="B513" i="3" s="1"/>
  <c r="T512" i="3"/>
  <c r="S512" i="3"/>
  <c r="R512" i="3"/>
  <c r="Q512" i="3"/>
  <c r="P512" i="3"/>
  <c r="O512" i="3"/>
  <c r="N512" i="3"/>
  <c r="M512" i="3"/>
  <c r="L512" i="3"/>
  <c r="K512" i="3"/>
  <c r="J512" i="3"/>
  <c r="I512" i="3"/>
  <c r="H512" i="3"/>
  <c r="G512" i="3"/>
  <c r="F512" i="3"/>
  <c r="E512" i="3"/>
  <c r="D512" i="3"/>
  <c r="C512" i="3"/>
  <c r="B512" i="3" s="1"/>
  <c r="T511" i="3"/>
  <c r="S511" i="3"/>
  <c r="R511" i="3"/>
  <c r="Q511" i="3"/>
  <c r="P511" i="3"/>
  <c r="O511" i="3"/>
  <c r="N511" i="3"/>
  <c r="M511" i="3"/>
  <c r="L511" i="3"/>
  <c r="K511" i="3"/>
  <c r="J511" i="3"/>
  <c r="I511" i="3"/>
  <c r="H511" i="3"/>
  <c r="G511" i="3"/>
  <c r="F511" i="3"/>
  <c r="E511" i="3"/>
  <c r="D511" i="3"/>
  <c r="C511" i="3"/>
  <c r="B511" i="3" s="1"/>
  <c r="T510" i="3"/>
  <c r="S510" i="3"/>
  <c r="R510" i="3"/>
  <c r="Q510" i="3"/>
  <c r="P510" i="3"/>
  <c r="O510" i="3"/>
  <c r="N510" i="3"/>
  <c r="M510" i="3"/>
  <c r="L510" i="3"/>
  <c r="K510" i="3"/>
  <c r="J510" i="3"/>
  <c r="I510" i="3"/>
  <c r="H510" i="3"/>
  <c r="G510" i="3"/>
  <c r="F510" i="3"/>
  <c r="E510" i="3"/>
  <c r="D510" i="3"/>
  <c r="C510" i="3"/>
  <c r="B510" i="3" s="1"/>
  <c r="T509" i="3"/>
  <c r="S509" i="3"/>
  <c r="R509" i="3"/>
  <c r="Q509" i="3"/>
  <c r="P509" i="3"/>
  <c r="O509" i="3"/>
  <c r="N509" i="3"/>
  <c r="M509" i="3"/>
  <c r="L509" i="3"/>
  <c r="K509" i="3"/>
  <c r="J509" i="3"/>
  <c r="I509" i="3"/>
  <c r="H509" i="3"/>
  <c r="G509" i="3"/>
  <c r="F509" i="3"/>
  <c r="E509" i="3"/>
  <c r="D509" i="3"/>
  <c r="C509" i="3"/>
  <c r="B509" i="3" s="1"/>
  <c r="T508" i="3"/>
  <c r="S508" i="3"/>
  <c r="R508" i="3"/>
  <c r="Q508" i="3"/>
  <c r="P508" i="3"/>
  <c r="O508" i="3"/>
  <c r="N508" i="3"/>
  <c r="M508" i="3"/>
  <c r="L508" i="3"/>
  <c r="K508" i="3"/>
  <c r="J508" i="3"/>
  <c r="I508" i="3"/>
  <c r="H508" i="3"/>
  <c r="G508" i="3"/>
  <c r="F508" i="3"/>
  <c r="E508" i="3"/>
  <c r="D508" i="3"/>
  <c r="C508" i="3"/>
  <c r="B508" i="3" s="1"/>
  <c r="T507" i="3"/>
  <c r="S507" i="3"/>
  <c r="R507" i="3"/>
  <c r="Q507" i="3"/>
  <c r="P507" i="3"/>
  <c r="O507" i="3"/>
  <c r="N507" i="3"/>
  <c r="M507" i="3"/>
  <c r="L507" i="3"/>
  <c r="K507" i="3"/>
  <c r="J507" i="3"/>
  <c r="I507" i="3"/>
  <c r="H507" i="3"/>
  <c r="G507" i="3"/>
  <c r="F507" i="3"/>
  <c r="E507" i="3"/>
  <c r="D507" i="3"/>
  <c r="C507" i="3"/>
  <c r="B507" i="3" s="1"/>
  <c r="T506" i="3"/>
  <c r="S506" i="3"/>
  <c r="R506" i="3"/>
  <c r="Q506" i="3"/>
  <c r="P506" i="3"/>
  <c r="O506" i="3"/>
  <c r="N506" i="3"/>
  <c r="M506" i="3"/>
  <c r="L506" i="3"/>
  <c r="K506" i="3"/>
  <c r="J506" i="3"/>
  <c r="I506" i="3"/>
  <c r="H506" i="3"/>
  <c r="G506" i="3"/>
  <c r="F506" i="3"/>
  <c r="E506" i="3"/>
  <c r="D506" i="3"/>
  <c r="C506" i="3"/>
  <c r="B506" i="3" s="1"/>
  <c r="T505" i="3"/>
  <c r="S505" i="3"/>
  <c r="R505" i="3"/>
  <c r="Q505" i="3"/>
  <c r="P505" i="3"/>
  <c r="O505" i="3"/>
  <c r="N505" i="3"/>
  <c r="M505" i="3"/>
  <c r="L505" i="3"/>
  <c r="K505" i="3"/>
  <c r="J505" i="3"/>
  <c r="I505" i="3"/>
  <c r="H505" i="3"/>
  <c r="G505" i="3"/>
  <c r="F505" i="3"/>
  <c r="E505" i="3"/>
  <c r="D505" i="3"/>
  <c r="B505" i="3"/>
  <c r="T504" i="3"/>
  <c r="S504" i="3"/>
  <c r="R504" i="3"/>
  <c r="Q504" i="3"/>
  <c r="P504" i="3"/>
  <c r="O504" i="3"/>
  <c r="N504" i="3"/>
  <c r="M504" i="3"/>
  <c r="L504" i="3"/>
  <c r="K504" i="3"/>
  <c r="J504" i="3"/>
  <c r="I504" i="3"/>
  <c r="H504" i="3"/>
  <c r="G504" i="3"/>
  <c r="F504" i="3"/>
  <c r="E504" i="3"/>
  <c r="D504" i="3"/>
  <c r="C504" i="3"/>
  <c r="B504" i="3" s="1"/>
  <c r="T503" i="3"/>
  <c r="S503" i="3"/>
  <c r="R503" i="3"/>
  <c r="Q503" i="3"/>
  <c r="P503" i="3"/>
  <c r="O503" i="3"/>
  <c r="N503" i="3"/>
  <c r="M503" i="3"/>
  <c r="L503" i="3"/>
  <c r="K503" i="3"/>
  <c r="J503" i="3"/>
  <c r="I503" i="3"/>
  <c r="H503" i="3"/>
  <c r="G503" i="3"/>
  <c r="F503" i="3"/>
  <c r="E503" i="3"/>
  <c r="D503" i="3"/>
  <c r="C503" i="3"/>
  <c r="B503" i="3" s="1"/>
  <c r="T502" i="3"/>
  <c r="S502" i="3"/>
  <c r="R502" i="3"/>
  <c r="Q502" i="3"/>
  <c r="P502" i="3"/>
  <c r="O502" i="3"/>
  <c r="N502" i="3"/>
  <c r="M502" i="3"/>
  <c r="L502" i="3"/>
  <c r="K502" i="3"/>
  <c r="J502" i="3"/>
  <c r="I502" i="3"/>
  <c r="H502" i="3"/>
  <c r="G502" i="3"/>
  <c r="F502" i="3"/>
  <c r="E502" i="3"/>
  <c r="D502" i="3"/>
  <c r="C502" i="3"/>
  <c r="B502" i="3" s="1"/>
  <c r="T501" i="3"/>
  <c r="S501" i="3"/>
  <c r="R501" i="3"/>
  <c r="Q501" i="3"/>
  <c r="P501" i="3"/>
  <c r="O501" i="3"/>
  <c r="N501" i="3"/>
  <c r="M501" i="3"/>
  <c r="L501" i="3"/>
  <c r="K501" i="3"/>
  <c r="J501" i="3"/>
  <c r="I501" i="3"/>
  <c r="H501" i="3"/>
  <c r="G501" i="3"/>
  <c r="F501" i="3"/>
  <c r="E501" i="3"/>
  <c r="D501" i="3"/>
  <c r="C501" i="3"/>
  <c r="B501" i="3" s="1"/>
  <c r="T500" i="3"/>
  <c r="S500" i="3"/>
  <c r="R500" i="3"/>
  <c r="Q500" i="3"/>
  <c r="P500" i="3"/>
  <c r="O500" i="3"/>
  <c r="N500" i="3"/>
  <c r="M500" i="3"/>
  <c r="L500" i="3"/>
  <c r="K500" i="3"/>
  <c r="J500" i="3"/>
  <c r="I500" i="3"/>
  <c r="H500" i="3"/>
  <c r="G500" i="3"/>
  <c r="F500" i="3"/>
  <c r="E500" i="3"/>
  <c r="D500" i="3"/>
  <c r="C500" i="3"/>
  <c r="B500" i="3" s="1"/>
  <c r="T499" i="3"/>
  <c r="S499" i="3"/>
  <c r="R499" i="3"/>
  <c r="Q499" i="3"/>
  <c r="P499" i="3"/>
  <c r="O499" i="3"/>
  <c r="N499" i="3"/>
  <c r="M499" i="3"/>
  <c r="L499" i="3"/>
  <c r="K499" i="3"/>
  <c r="J499" i="3"/>
  <c r="I499" i="3"/>
  <c r="H499" i="3"/>
  <c r="G499" i="3"/>
  <c r="F499" i="3"/>
  <c r="E499" i="3"/>
  <c r="D499" i="3"/>
  <c r="C499" i="3"/>
  <c r="B499" i="3" s="1"/>
  <c r="T498" i="3"/>
  <c r="S498" i="3"/>
  <c r="R498" i="3"/>
  <c r="Q498" i="3"/>
  <c r="P498" i="3"/>
  <c r="O498" i="3"/>
  <c r="N498" i="3"/>
  <c r="M498" i="3"/>
  <c r="L498" i="3"/>
  <c r="K498" i="3"/>
  <c r="J498" i="3"/>
  <c r="I498" i="3"/>
  <c r="H498" i="3"/>
  <c r="G498" i="3"/>
  <c r="F498" i="3"/>
  <c r="E498" i="3"/>
  <c r="D498" i="3"/>
  <c r="C498" i="3"/>
  <c r="B498" i="3" s="1"/>
  <c r="T497" i="3"/>
  <c r="S497" i="3"/>
  <c r="R497" i="3"/>
  <c r="Q497" i="3"/>
  <c r="P497" i="3"/>
  <c r="O497" i="3"/>
  <c r="N497" i="3"/>
  <c r="M497" i="3"/>
  <c r="L497" i="3"/>
  <c r="K497" i="3"/>
  <c r="J497" i="3"/>
  <c r="I497" i="3"/>
  <c r="H497" i="3"/>
  <c r="G497" i="3"/>
  <c r="F497" i="3"/>
  <c r="E497" i="3"/>
  <c r="D497" i="3"/>
  <c r="C497" i="3"/>
  <c r="B497" i="3" s="1"/>
  <c r="T496" i="3"/>
  <c r="S496" i="3"/>
  <c r="R496" i="3"/>
  <c r="Q496" i="3"/>
  <c r="P496" i="3"/>
  <c r="O496" i="3"/>
  <c r="N496" i="3"/>
  <c r="M496" i="3"/>
  <c r="L496" i="3"/>
  <c r="K496" i="3"/>
  <c r="J496" i="3"/>
  <c r="I496" i="3"/>
  <c r="H496" i="3"/>
  <c r="G496" i="3"/>
  <c r="F496" i="3"/>
  <c r="E496" i="3"/>
  <c r="D496" i="3"/>
  <c r="C496" i="3"/>
  <c r="B496" i="3" s="1"/>
  <c r="T495" i="3"/>
  <c r="S495" i="3"/>
  <c r="R495" i="3"/>
  <c r="Q495" i="3"/>
  <c r="P495" i="3"/>
  <c r="O495" i="3"/>
  <c r="N495" i="3"/>
  <c r="M495" i="3"/>
  <c r="L495" i="3"/>
  <c r="K495" i="3"/>
  <c r="J495" i="3"/>
  <c r="I495" i="3"/>
  <c r="H495" i="3"/>
  <c r="G495" i="3"/>
  <c r="F495" i="3"/>
  <c r="E495" i="3"/>
  <c r="D495" i="3"/>
  <c r="C495" i="3"/>
  <c r="B495" i="3" s="1"/>
  <c r="T494" i="3"/>
  <c r="S494" i="3"/>
  <c r="R494" i="3"/>
  <c r="Q494" i="3"/>
  <c r="P494" i="3"/>
  <c r="O494" i="3"/>
  <c r="N494" i="3"/>
  <c r="M494" i="3"/>
  <c r="L494" i="3"/>
  <c r="K494" i="3"/>
  <c r="J494" i="3"/>
  <c r="I494" i="3"/>
  <c r="H494" i="3"/>
  <c r="G494" i="3"/>
  <c r="F494" i="3"/>
  <c r="E494" i="3"/>
  <c r="D494" i="3"/>
  <c r="C494" i="3"/>
  <c r="B494" i="3" s="1"/>
  <c r="T493" i="3"/>
  <c r="S493" i="3"/>
  <c r="R493" i="3"/>
  <c r="Q493" i="3"/>
  <c r="P493" i="3"/>
  <c r="O493" i="3"/>
  <c r="N493" i="3"/>
  <c r="M493" i="3"/>
  <c r="L493" i="3"/>
  <c r="K493" i="3"/>
  <c r="J493" i="3"/>
  <c r="I493" i="3"/>
  <c r="H493" i="3"/>
  <c r="G493" i="3"/>
  <c r="F493" i="3"/>
  <c r="E493" i="3"/>
  <c r="D493" i="3"/>
  <c r="B493" i="3"/>
  <c r="T492" i="3"/>
  <c r="S492" i="3"/>
  <c r="R492" i="3"/>
  <c r="Q492" i="3"/>
  <c r="P492" i="3"/>
  <c r="O492" i="3"/>
  <c r="N492" i="3"/>
  <c r="M492" i="3"/>
  <c r="L492" i="3"/>
  <c r="K492" i="3"/>
  <c r="J492" i="3"/>
  <c r="I492" i="3"/>
  <c r="H492" i="3"/>
  <c r="G492" i="3"/>
  <c r="F492" i="3"/>
  <c r="E492" i="3"/>
  <c r="D492" i="3"/>
  <c r="B492" i="3"/>
  <c r="T491" i="3"/>
  <c r="S491" i="3"/>
  <c r="R491" i="3"/>
  <c r="Q491" i="3"/>
  <c r="P491" i="3"/>
  <c r="O491" i="3"/>
  <c r="N491" i="3"/>
  <c r="M491" i="3"/>
  <c r="L491" i="3"/>
  <c r="K491" i="3"/>
  <c r="J491" i="3"/>
  <c r="I491" i="3"/>
  <c r="H491" i="3"/>
  <c r="G491" i="3"/>
  <c r="F491" i="3"/>
  <c r="E491" i="3"/>
  <c r="D491" i="3"/>
  <c r="C491" i="3"/>
  <c r="B491" i="3" s="1"/>
  <c r="T490" i="3"/>
  <c r="S490" i="3"/>
  <c r="R490" i="3"/>
  <c r="Q490" i="3"/>
  <c r="P490" i="3"/>
  <c r="O490" i="3"/>
  <c r="N490" i="3"/>
  <c r="M490" i="3"/>
  <c r="L490" i="3"/>
  <c r="K490" i="3"/>
  <c r="J490" i="3"/>
  <c r="I490" i="3"/>
  <c r="H490" i="3"/>
  <c r="G490" i="3"/>
  <c r="F490" i="3"/>
  <c r="E490" i="3"/>
  <c r="D490" i="3"/>
  <c r="C490" i="3"/>
  <c r="B490" i="3" s="1"/>
  <c r="T489" i="3"/>
  <c r="S489" i="3"/>
  <c r="R489" i="3"/>
  <c r="Q489" i="3"/>
  <c r="P489" i="3"/>
  <c r="O489" i="3"/>
  <c r="N489" i="3"/>
  <c r="M489" i="3"/>
  <c r="L489" i="3"/>
  <c r="K489" i="3"/>
  <c r="J489" i="3"/>
  <c r="I489" i="3"/>
  <c r="H489" i="3"/>
  <c r="G489" i="3"/>
  <c r="F489" i="3"/>
  <c r="E489" i="3"/>
  <c r="D489" i="3"/>
  <c r="C489" i="3"/>
  <c r="B489" i="3" s="1"/>
  <c r="T488" i="3"/>
  <c r="S488" i="3"/>
  <c r="R488" i="3"/>
  <c r="Q488" i="3"/>
  <c r="P488" i="3"/>
  <c r="O488" i="3"/>
  <c r="N488" i="3"/>
  <c r="M488" i="3"/>
  <c r="L488" i="3"/>
  <c r="K488" i="3"/>
  <c r="J488" i="3"/>
  <c r="I488" i="3"/>
  <c r="H488" i="3"/>
  <c r="G488" i="3"/>
  <c r="F488" i="3"/>
  <c r="E488" i="3"/>
  <c r="D488" i="3"/>
  <c r="B488" i="3"/>
  <c r="T487" i="3"/>
  <c r="S487" i="3"/>
  <c r="R487" i="3"/>
  <c r="Q487" i="3"/>
  <c r="P487" i="3"/>
  <c r="O487" i="3"/>
  <c r="N487" i="3"/>
  <c r="M487" i="3"/>
  <c r="L487" i="3"/>
  <c r="K487" i="3"/>
  <c r="J487" i="3"/>
  <c r="I487" i="3"/>
  <c r="H487" i="3"/>
  <c r="G487" i="3"/>
  <c r="F487" i="3"/>
  <c r="E487" i="3"/>
  <c r="D487" i="3"/>
  <c r="C487" i="3"/>
  <c r="B487" i="3" s="1"/>
  <c r="T486" i="3"/>
  <c r="S486" i="3"/>
  <c r="R486" i="3"/>
  <c r="Q486" i="3"/>
  <c r="P486" i="3"/>
  <c r="O486" i="3"/>
  <c r="N486" i="3"/>
  <c r="M486" i="3"/>
  <c r="L486" i="3"/>
  <c r="K486" i="3"/>
  <c r="J486" i="3"/>
  <c r="I486" i="3"/>
  <c r="H486" i="3"/>
  <c r="G486" i="3"/>
  <c r="F486" i="3"/>
  <c r="E486" i="3"/>
  <c r="D486" i="3"/>
  <c r="C486" i="3"/>
  <c r="B486" i="3" s="1"/>
  <c r="T485" i="3"/>
  <c r="S485" i="3"/>
  <c r="R485" i="3"/>
  <c r="Q485" i="3"/>
  <c r="P485" i="3"/>
  <c r="O485" i="3"/>
  <c r="N485" i="3"/>
  <c r="M485" i="3"/>
  <c r="L485" i="3"/>
  <c r="K485" i="3"/>
  <c r="J485" i="3"/>
  <c r="I485" i="3"/>
  <c r="H485" i="3"/>
  <c r="G485" i="3"/>
  <c r="F485" i="3"/>
  <c r="E485" i="3"/>
  <c r="D485" i="3"/>
  <c r="C485" i="3"/>
  <c r="B485" i="3" s="1"/>
  <c r="T484" i="3"/>
  <c r="S484" i="3"/>
  <c r="R484" i="3"/>
  <c r="Q484" i="3"/>
  <c r="P484" i="3"/>
  <c r="O484" i="3"/>
  <c r="N484" i="3"/>
  <c r="M484" i="3"/>
  <c r="L484" i="3"/>
  <c r="K484" i="3"/>
  <c r="J484" i="3"/>
  <c r="I484" i="3"/>
  <c r="H484" i="3"/>
  <c r="G484" i="3"/>
  <c r="F484" i="3"/>
  <c r="E484" i="3"/>
  <c r="D484" i="3"/>
  <c r="C484" i="3"/>
  <c r="B484" i="3" s="1"/>
  <c r="T483" i="3"/>
  <c r="S483" i="3"/>
  <c r="R483" i="3"/>
  <c r="Q483" i="3"/>
  <c r="P483" i="3"/>
  <c r="O483" i="3"/>
  <c r="N483" i="3"/>
  <c r="M483" i="3"/>
  <c r="L483" i="3"/>
  <c r="K483" i="3"/>
  <c r="J483" i="3"/>
  <c r="I483" i="3"/>
  <c r="H483" i="3"/>
  <c r="G483" i="3"/>
  <c r="F483" i="3"/>
  <c r="E483" i="3"/>
  <c r="D483" i="3"/>
  <c r="C483" i="3"/>
  <c r="B483" i="3" s="1"/>
  <c r="T482" i="3"/>
  <c r="S482" i="3"/>
  <c r="R482" i="3"/>
  <c r="Q482" i="3"/>
  <c r="P482" i="3"/>
  <c r="O482" i="3"/>
  <c r="N482" i="3"/>
  <c r="M482" i="3"/>
  <c r="L482" i="3"/>
  <c r="K482" i="3"/>
  <c r="J482" i="3"/>
  <c r="I482" i="3"/>
  <c r="H482" i="3"/>
  <c r="G482" i="3"/>
  <c r="F482" i="3"/>
  <c r="E482" i="3"/>
  <c r="D482" i="3"/>
  <c r="C482" i="3"/>
  <c r="B482" i="3" s="1"/>
  <c r="T481" i="3"/>
  <c r="S481" i="3"/>
  <c r="R481" i="3"/>
  <c r="Q481" i="3"/>
  <c r="P481" i="3"/>
  <c r="O481" i="3"/>
  <c r="N481" i="3"/>
  <c r="M481" i="3"/>
  <c r="L481" i="3"/>
  <c r="K481" i="3"/>
  <c r="J481" i="3"/>
  <c r="I481" i="3"/>
  <c r="H481" i="3"/>
  <c r="G481" i="3"/>
  <c r="F481" i="3"/>
  <c r="E481" i="3"/>
  <c r="D481" i="3"/>
  <c r="C481" i="3"/>
  <c r="B481" i="3" s="1"/>
  <c r="T480" i="3"/>
  <c r="S480" i="3"/>
  <c r="R480" i="3"/>
  <c r="Q480" i="3"/>
  <c r="P480" i="3"/>
  <c r="O480" i="3"/>
  <c r="N480" i="3"/>
  <c r="M480" i="3"/>
  <c r="L480" i="3"/>
  <c r="K480" i="3"/>
  <c r="J480" i="3"/>
  <c r="I480" i="3"/>
  <c r="H480" i="3"/>
  <c r="G480" i="3"/>
  <c r="F480" i="3"/>
  <c r="E480" i="3"/>
  <c r="D480" i="3"/>
  <c r="C480" i="3"/>
  <c r="B480" i="3" s="1"/>
  <c r="T479" i="3"/>
  <c r="S479" i="3"/>
  <c r="R479" i="3"/>
  <c r="Q479" i="3"/>
  <c r="P479" i="3"/>
  <c r="O479" i="3"/>
  <c r="N479" i="3"/>
  <c r="M479" i="3"/>
  <c r="L479" i="3"/>
  <c r="K479" i="3"/>
  <c r="J479" i="3"/>
  <c r="I479" i="3"/>
  <c r="H479" i="3"/>
  <c r="G479" i="3"/>
  <c r="F479" i="3"/>
  <c r="E479" i="3"/>
  <c r="D479" i="3"/>
  <c r="B479" i="3"/>
  <c r="T478" i="3"/>
  <c r="S478" i="3"/>
  <c r="R478" i="3"/>
  <c r="Q478" i="3"/>
  <c r="P478" i="3"/>
  <c r="O478" i="3"/>
  <c r="N478" i="3"/>
  <c r="M478" i="3"/>
  <c r="L478" i="3"/>
  <c r="K478" i="3"/>
  <c r="J478" i="3"/>
  <c r="I478" i="3"/>
  <c r="H478" i="3"/>
  <c r="G478" i="3"/>
  <c r="F478" i="3"/>
  <c r="E478" i="3"/>
  <c r="D478" i="3"/>
  <c r="C478" i="3"/>
  <c r="B478" i="3" s="1"/>
  <c r="T477" i="3"/>
  <c r="S477" i="3"/>
  <c r="R477" i="3"/>
  <c r="Q477" i="3"/>
  <c r="P477" i="3"/>
  <c r="O477" i="3"/>
  <c r="N477" i="3"/>
  <c r="M477" i="3"/>
  <c r="L477" i="3"/>
  <c r="K477" i="3"/>
  <c r="J477" i="3"/>
  <c r="I477" i="3"/>
  <c r="H477" i="3"/>
  <c r="G477" i="3"/>
  <c r="F477" i="3"/>
  <c r="E477" i="3"/>
  <c r="D477" i="3"/>
  <c r="B477" i="3"/>
  <c r="T476" i="3"/>
  <c r="S476" i="3"/>
  <c r="R476" i="3"/>
  <c r="Q476" i="3"/>
  <c r="P476" i="3"/>
  <c r="O476" i="3"/>
  <c r="N476" i="3"/>
  <c r="M476" i="3"/>
  <c r="L476" i="3"/>
  <c r="K476" i="3"/>
  <c r="J476" i="3"/>
  <c r="I476" i="3"/>
  <c r="H476" i="3"/>
  <c r="G476" i="3"/>
  <c r="F476" i="3"/>
  <c r="E476" i="3"/>
  <c r="D476" i="3"/>
  <c r="C476" i="3"/>
  <c r="B476" i="3" s="1"/>
  <c r="T475" i="3"/>
  <c r="S475" i="3"/>
  <c r="R475" i="3"/>
  <c r="Q475" i="3"/>
  <c r="P475" i="3"/>
  <c r="O475" i="3"/>
  <c r="N475" i="3"/>
  <c r="M475" i="3"/>
  <c r="L475" i="3"/>
  <c r="K475" i="3"/>
  <c r="J475" i="3"/>
  <c r="I475" i="3"/>
  <c r="H475" i="3"/>
  <c r="G475" i="3"/>
  <c r="F475" i="3"/>
  <c r="E475" i="3"/>
  <c r="D475" i="3"/>
  <c r="C475" i="3"/>
  <c r="B475" i="3" s="1"/>
  <c r="T474" i="3"/>
  <c r="S474" i="3"/>
  <c r="R474" i="3"/>
  <c r="Q474" i="3"/>
  <c r="P474" i="3"/>
  <c r="O474" i="3"/>
  <c r="N474" i="3"/>
  <c r="M474" i="3"/>
  <c r="L474" i="3"/>
  <c r="K474" i="3"/>
  <c r="J474" i="3"/>
  <c r="I474" i="3"/>
  <c r="H474" i="3"/>
  <c r="G474" i="3"/>
  <c r="F474" i="3"/>
  <c r="E474" i="3"/>
  <c r="D474" i="3"/>
  <c r="C474" i="3"/>
  <c r="B474" i="3" s="1"/>
  <c r="T473" i="3"/>
  <c r="S473" i="3"/>
  <c r="R473" i="3"/>
  <c r="Q473" i="3"/>
  <c r="P473" i="3"/>
  <c r="O473" i="3"/>
  <c r="N473" i="3"/>
  <c r="M473" i="3"/>
  <c r="L473" i="3"/>
  <c r="K473" i="3"/>
  <c r="J473" i="3"/>
  <c r="I473" i="3"/>
  <c r="H473" i="3"/>
  <c r="G473" i="3"/>
  <c r="F473" i="3"/>
  <c r="E473" i="3"/>
  <c r="D473" i="3"/>
  <c r="C473" i="3"/>
  <c r="B473" i="3" s="1"/>
  <c r="T472" i="3"/>
  <c r="S472" i="3"/>
  <c r="R472" i="3"/>
  <c r="Q472" i="3"/>
  <c r="P472" i="3"/>
  <c r="O472" i="3"/>
  <c r="N472" i="3"/>
  <c r="M472" i="3"/>
  <c r="L472" i="3"/>
  <c r="K472" i="3"/>
  <c r="J472" i="3"/>
  <c r="I472" i="3"/>
  <c r="H472" i="3"/>
  <c r="G472" i="3"/>
  <c r="F472" i="3"/>
  <c r="E472" i="3"/>
  <c r="D472" i="3"/>
  <c r="C472" i="3"/>
  <c r="B472" i="3" s="1"/>
  <c r="T471" i="3"/>
  <c r="S471" i="3"/>
  <c r="R471" i="3"/>
  <c r="Q471" i="3"/>
  <c r="P471" i="3"/>
  <c r="O471" i="3"/>
  <c r="N471" i="3"/>
  <c r="M471" i="3"/>
  <c r="L471" i="3"/>
  <c r="K471" i="3"/>
  <c r="J471" i="3"/>
  <c r="I471" i="3"/>
  <c r="H471" i="3"/>
  <c r="G471" i="3"/>
  <c r="F471" i="3"/>
  <c r="E471" i="3"/>
  <c r="D471" i="3"/>
  <c r="C471" i="3"/>
  <c r="B471" i="3" s="1"/>
  <c r="T470" i="3"/>
  <c r="S470" i="3"/>
  <c r="R470" i="3"/>
  <c r="Q470" i="3"/>
  <c r="P470" i="3"/>
  <c r="O470" i="3"/>
  <c r="N470" i="3"/>
  <c r="M470" i="3"/>
  <c r="L470" i="3"/>
  <c r="K470" i="3"/>
  <c r="J470" i="3"/>
  <c r="I470" i="3"/>
  <c r="H470" i="3"/>
  <c r="G470" i="3"/>
  <c r="F470" i="3"/>
  <c r="E470" i="3"/>
  <c r="D470" i="3"/>
  <c r="C470" i="3"/>
  <c r="B470" i="3" s="1"/>
  <c r="T469" i="3"/>
  <c r="S469" i="3"/>
  <c r="R469" i="3"/>
  <c r="Q469" i="3"/>
  <c r="P469" i="3"/>
  <c r="O469" i="3"/>
  <c r="N469" i="3"/>
  <c r="M469" i="3"/>
  <c r="L469" i="3"/>
  <c r="K469" i="3"/>
  <c r="J469" i="3"/>
  <c r="I469" i="3"/>
  <c r="H469" i="3"/>
  <c r="G469" i="3"/>
  <c r="F469" i="3"/>
  <c r="E469" i="3"/>
  <c r="D469" i="3"/>
  <c r="C469" i="3"/>
  <c r="B469" i="3" s="1"/>
  <c r="T468" i="3"/>
  <c r="S468" i="3"/>
  <c r="R468" i="3"/>
  <c r="Q468" i="3"/>
  <c r="P468" i="3"/>
  <c r="O468" i="3"/>
  <c r="N468" i="3"/>
  <c r="M468" i="3"/>
  <c r="L468" i="3"/>
  <c r="K468" i="3"/>
  <c r="J468" i="3"/>
  <c r="I468" i="3"/>
  <c r="H468" i="3"/>
  <c r="G468" i="3"/>
  <c r="F468" i="3"/>
  <c r="E468" i="3"/>
  <c r="D468" i="3"/>
  <c r="C468" i="3"/>
  <c r="B468" i="3" s="1"/>
  <c r="T467" i="3"/>
  <c r="S467" i="3"/>
  <c r="R467" i="3"/>
  <c r="Q467" i="3"/>
  <c r="P467" i="3"/>
  <c r="O467" i="3"/>
  <c r="N467" i="3"/>
  <c r="M467" i="3"/>
  <c r="L467" i="3"/>
  <c r="K467" i="3"/>
  <c r="J467" i="3"/>
  <c r="I467" i="3"/>
  <c r="H467" i="3"/>
  <c r="G467" i="3"/>
  <c r="F467" i="3"/>
  <c r="E467" i="3"/>
  <c r="D467" i="3"/>
  <c r="C467" i="3"/>
  <c r="B467" i="3" s="1"/>
  <c r="T466" i="3"/>
  <c r="S466" i="3"/>
  <c r="R466" i="3"/>
  <c r="Q466" i="3"/>
  <c r="P466" i="3"/>
  <c r="O466" i="3"/>
  <c r="N466" i="3"/>
  <c r="M466" i="3"/>
  <c r="L466" i="3"/>
  <c r="K466" i="3"/>
  <c r="J466" i="3"/>
  <c r="I466" i="3"/>
  <c r="H466" i="3"/>
  <c r="G466" i="3"/>
  <c r="F466" i="3"/>
  <c r="E466" i="3"/>
  <c r="D466" i="3"/>
  <c r="B466" i="3"/>
  <c r="T465" i="3"/>
  <c r="S465" i="3"/>
  <c r="R465" i="3"/>
  <c r="Q465" i="3"/>
  <c r="P465" i="3"/>
  <c r="O465" i="3"/>
  <c r="N465" i="3"/>
  <c r="M465" i="3"/>
  <c r="L465" i="3"/>
  <c r="K465" i="3"/>
  <c r="J465" i="3"/>
  <c r="I465" i="3"/>
  <c r="H465" i="3"/>
  <c r="G465" i="3"/>
  <c r="F465" i="3"/>
  <c r="E465" i="3"/>
  <c r="D465" i="3"/>
  <c r="C465" i="3"/>
  <c r="B465" i="3" s="1"/>
  <c r="T464" i="3"/>
  <c r="S464" i="3"/>
  <c r="R464" i="3"/>
  <c r="Q464" i="3"/>
  <c r="P464" i="3"/>
  <c r="O464" i="3"/>
  <c r="N464" i="3"/>
  <c r="M464" i="3"/>
  <c r="L464" i="3"/>
  <c r="K464" i="3"/>
  <c r="J464" i="3"/>
  <c r="I464" i="3"/>
  <c r="H464" i="3"/>
  <c r="G464" i="3"/>
  <c r="F464" i="3"/>
  <c r="E464" i="3"/>
  <c r="D464" i="3"/>
  <c r="C464" i="3"/>
  <c r="B464" i="3" s="1"/>
  <c r="T463" i="3"/>
  <c r="S463" i="3"/>
  <c r="R463" i="3"/>
  <c r="Q463" i="3"/>
  <c r="P463" i="3"/>
  <c r="O463" i="3"/>
  <c r="N463" i="3"/>
  <c r="M463" i="3"/>
  <c r="L463" i="3"/>
  <c r="K463" i="3"/>
  <c r="J463" i="3"/>
  <c r="I463" i="3"/>
  <c r="H463" i="3"/>
  <c r="G463" i="3"/>
  <c r="F463" i="3"/>
  <c r="E463" i="3"/>
  <c r="D463" i="3"/>
  <c r="B463" i="3"/>
  <c r="T462" i="3"/>
  <c r="S462" i="3"/>
  <c r="R462" i="3"/>
  <c r="Q462" i="3"/>
  <c r="P462" i="3"/>
  <c r="O462" i="3"/>
  <c r="N462" i="3"/>
  <c r="M462" i="3"/>
  <c r="L462" i="3"/>
  <c r="K462" i="3"/>
  <c r="J462" i="3"/>
  <c r="I462" i="3"/>
  <c r="H462" i="3"/>
  <c r="G462" i="3"/>
  <c r="F462" i="3"/>
  <c r="E462" i="3"/>
  <c r="D462" i="3"/>
  <c r="C462" i="3"/>
  <c r="B462" i="3" s="1"/>
  <c r="T461" i="3"/>
  <c r="S461" i="3"/>
  <c r="R461" i="3"/>
  <c r="Q461" i="3"/>
  <c r="P461" i="3"/>
  <c r="O461" i="3"/>
  <c r="N461" i="3"/>
  <c r="M461" i="3"/>
  <c r="L461" i="3"/>
  <c r="K461" i="3"/>
  <c r="J461" i="3"/>
  <c r="I461" i="3"/>
  <c r="H461" i="3"/>
  <c r="G461" i="3"/>
  <c r="F461" i="3"/>
  <c r="E461" i="3"/>
  <c r="D461" i="3"/>
  <c r="C461" i="3"/>
  <c r="B461" i="3" s="1"/>
  <c r="T460" i="3"/>
  <c r="S460" i="3"/>
  <c r="R460" i="3"/>
  <c r="Q460" i="3"/>
  <c r="P460" i="3"/>
  <c r="O460" i="3"/>
  <c r="N460" i="3"/>
  <c r="M460" i="3"/>
  <c r="L460" i="3"/>
  <c r="K460" i="3"/>
  <c r="J460" i="3"/>
  <c r="I460" i="3"/>
  <c r="H460" i="3"/>
  <c r="G460" i="3"/>
  <c r="F460" i="3"/>
  <c r="E460" i="3"/>
  <c r="D460" i="3"/>
  <c r="C460" i="3"/>
  <c r="B460" i="3" s="1"/>
  <c r="T459" i="3"/>
  <c r="S459" i="3"/>
  <c r="R459" i="3"/>
  <c r="Q459" i="3"/>
  <c r="P459" i="3"/>
  <c r="O459" i="3"/>
  <c r="N459" i="3"/>
  <c r="M459" i="3"/>
  <c r="L459" i="3"/>
  <c r="K459" i="3"/>
  <c r="J459" i="3"/>
  <c r="I459" i="3"/>
  <c r="H459" i="3"/>
  <c r="G459" i="3"/>
  <c r="F459" i="3"/>
  <c r="E459" i="3"/>
  <c r="D459" i="3"/>
  <c r="C459" i="3"/>
  <c r="B459" i="3" s="1"/>
  <c r="T458" i="3"/>
  <c r="S458" i="3"/>
  <c r="R458" i="3"/>
  <c r="Q458" i="3"/>
  <c r="P458" i="3"/>
  <c r="O458" i="3"/>
  <c r="N458" i="3"/>
  <c r="M458" i="3"/>
  <c r="L458" i="3"/>
  <c r="K458" i="3"/>
  <c r="J458" i="3"/>
  <c r="I458" i="3"/>
  <c r="H458" i="3"/>
  <c r="G458" i="3"/>
  <c r="F458" i="3"/>
  <c r="E458" i="3"/>
  <c r="D458" i="3"/>
  <c r="C458" i="3"/>
  <c r="B458" i="3" s="1"/>
  <c r="T457" i="3"/>
  <c r="S457" i="3"/>
  <c r="R457" i="3"/>
  <c r="Q457" i="3"/>
  <c r="P457" i="3"/>
  <c r="O457" i="3"/>
  <c r="N457" i="3"/>
  <c r="M457" i="3"/>
  <c r="L457" i="3"/>
  <c r="K457" i="3"/>
  <c r="J457" i="3"/>
  <c r="I457" i="3"/>
  <c r="H457" i="3"/>
  <c r="G457" i="3"/>
  <c r="F457" i="3"/>
  <c r="E457" i="3"/>
  <c r="D457" i="3"/>
  <c r="C457" i="3"/>
  <c r="B457" i="3" s="1"/>
  <c r="T456" i="3"/>
  <c r="S456" i="3"/>
  <c r="R456" i="3"/>
  <c r="Q456" i="3"/>
  <c r="P456" i="3"/>
  <c r="O456" i="3"/>
  <c r="N456" i="3"/>
  <c r="M456" i="3"/>
  <c r="L456" i="3"/>
  <c r="K456" i="3"/>
  <c r="J456" i="3"/>
  <c r="I456" i="3"/>
  <c r="H456" i="3"/>
  <c r="G456" i="3"/>
  <c r="F456" i="3"/>
  <c r="E456" i="3"/>
  <c r="D456" i="3"/>
  <c r="C456" i="3"/>
  <c r="B456" i="3" s="1"/>
  <c r="T455" i="3"/>
  <c r="S455" i="3"/>
  <c r="R455" i="3"/>
  <c r="Q455" i="3"/>
  <c r="P455" i="3"/>
  <c r="O455" i="3"/>
  <c r="N455" i="3"/>
  <c r="M455" i="3"/>
  <c r="L455" i="3"/>
  <c r="K455" i="3"/>
  <c r="J455" i="3"/>
  <c r="I455" i="3"/>
  <c r="H455" i="3"/>
  <c r="G455" i="3"/>
  <c r="F455" i="3"/>
  <c r="E455" i="3"/>
  <c r="D455" i="3"/>
  <c r="C455" i="3"/>
  <c r="B455" i="3" s="1"/>
  <c r="T454" i="3"/>
  <c r="S454" i="3"/>
  <c r="R454" i="3"/>
  <c r="Q454" i="3"/>
  <c r="P454" i="3"/>
  <c r="O454" i="3"/>
  <c r="N454" i="3"/>
  <c r="M454" i="3"/>
  <c r="L454" i="3"/>
  <c r="K454" i="3"/>
  <c r="J454" i="3"/>
  <c r="I454" i="3"/>
  <c r="H454" i="3"/>
  <c r="G454" i="3"/>
  <c r="F454" i="3"/>
  <c r="E454" i="3"/>
  <c r="D454" i="3"/>
  <c r="C454" i="3"/>
  <c r="B454" i="3" s="1"/>
  <c r="T453" i="3"/>
  <c r="S453" i="3"/>
  <c r="R453" i="3"/>
  <c r="Q453" i="3"/>
  <c r="P453" i="3"/>
  <c r="O453" i="3"/>
  <c r="N453" i="3"/>
  <c r="M453" i="3"/>
  <c r="L453" i="3"/>
  <c r="K453" i="3"/>
  <c r="J453" i="3"/>
  <c r="I453" i="3"/>
  <c r="H453" i="3"/>
  <c r="G453" i="3"/>
  <c r="F453" i="3"/>
  <c r="E453" i="3"/>
  <c r="D453" i="3"/>
  <c r="C453" i="3"/>
  <c r="B453" i="3" s="1"/>
  <c r="T452" i="3"/>
  <c r="S452" i="3"/>
  <c r="R452" i="3"/>
  <c r="Q452" i="3"/>
  <c r="P452" i="3"/>
  <c r="O452" i="3"/>
  <c r="N452" i="3"/>
  <c r="M452" i="3"/>
  <c r="L452" i="3"/>
  <c r="K452" i="3"/>
  <c r="J452" i="3"/>
  <c r="I452" i="3"/>
  <c r="H452" i="3"/>
  <c r="G452" i="3"/>
  <c r="F452" i="3"/>
  <c r="E452" i="3"/>
  <c r="D452" i="3"/>
  <c r="C452" i="3"/>
  <c r="B452" i="3" s="1"/>
  <c r="T451" i="3"/>
  <c r="S451" i="3"/>
  <c r="R451" i="3"/>
  <c r="Q451" i="3"/>
  <c r="P451" i="3"/>
  <c r="O451" i="3"/>
  <c r="N451" i="3"/>
  <c r="M451" i="3"/>
  <c r="L451" i="3"/>
  <c r="K451" i="3"/>
  <c r="J451" i="3"/>
  <c r="I451" i="3"/>
  <c r="H451" i="3"/>
  <c r="G451" i="3"/>
  <c r="F451" i="3"/>
  <c r="E451" i="3"/>
  <c r="D451" i="3"/>
  <c r="C451" i="3"/>
  <c r="B451" i="3" s="1"/>
  <c r="T450" i="3"/>
  <c r="S450" i="3"/>
  <c r="R450" i="3"/>
  <c r="Q450" i="3"/>
  <c r="P450" i="3"/>
  <c r="O450" i="3"/>
  <c r="N450" i="3"/>
  <c r="M450" i="3"/>
  <c r="L450" i="3"/>
  <c r="K450" i="3"/>
  <c r="J450" i="3"/>
  <c r="I450" i="3"/>
  <c r="H450" i="3"/>
  <c r="G450" i="3"/>
  <c r="F450" i="3"/>
  <c r="E450" i="3"/>
  <c r="D450" i="3"/>
  <c r="C450" i="3"/>
  <c r="B450" i="3" s="1"/>
  <c r="T449" i="3"/>
  <c r="S449" i="3"/>
  <c r="R449" i="3"/>
  <c r="Q449" i="3"/>
  <c r="P449" i="3"/>
  <c r="O449" i="3"/>
  <c r="N449" i="3"/>
  <c r="M449" i="3"/>
  <c r="L449" i="3"/>
  <c r="K449" i="3"/>
  <c r="J449" i="3"/>
  <c r="I449" i="3"/>
  <c r="H449" i="3"/>
  <c r="G449" i="3"/>
  <c r="F449" i="3"/>
  <c r="E449" i="3"/>
  <c r="D449" i="3"/>
  <c r="C449" i="3"/>
  <c r="B449" i="3" s="1"/>
  <c r="T448" i="3"/>
  <c r="S448" i="3"/>
  <c r="R448" i="3"/>
  <c r="Q448" i="3"/>
  <c r="P448" i="3"/>
  <c r="O448" i="3"/>
  <c r="N448" i="3"/>
  <c r="M448" i="3"/>
  <c r="L448" i="3"/>
  <c r="K448" i="3"/>
  <c r="J448" i="3"/>
  <c r="I448" i="3"/>
  <c r="H448" i="3"/>
  <c r="G448" i="3"/>
  <c r="F448" i="3"/>
  <c r="E448" i="3"/>
  <c r="D448" i="3"/>
  <c r="C448" i="3"/>
  <c r="B448" i="3" s="1"/>
  <c r="T447" i="3"/>
  <c r="S447" i="3"/>
  <c r="R447" i="3"/>
  <c r="Q447" i="3"/>
  <c r="P447" i="3"/>
  <c r="O447" i="3"/>
  <c r="N447" i="3"/>
  <c r="M447" i="3"/>
  <c r="L447" i="3"/>
  <c r="K447" i="3"/>
  <c r="J447" i="3"/>
  <c r="I447" i="3"/>
  <c r="H447" i="3"/>
  <c r="G447" i="3"/>
  <c r="F447" i="3"/>
  <c r="E447" i="3"/>
  <c r="D447" i="3"/>
  <c r="C447" i="3"/>
  <c r="B447" i="3" s="1"/>
  <c r="T446" i="3"/>
  <c r="S446" i="3"/>
  <c r="R446" i="3"/>
  <c r="Q446" i="3"/>
  <c r="P446" i="3"/>
  <c r="O446" i="3"/>
  <c r="N446" i="3"/>
  <c r="M446" i="3"/>
  <c r="L446" i="3"/>
  <c r="K446" i="3"/>
  <c r="J446" i="3"/>
  <c r="I446" i="3"/>
  <c r="H446" i="3"/>
  <c r="G446" i="3"/>
  <c r="F446" i="3"/>
  <c r="E446" i="3"/>
  <c r="D446" i="3"/>
  <c r="C446" i="3"/>
  <c r="B446" i="3" s="1"/>
  <c r="T445" i="3"/>
  <c r="S445" i="3"/>
  <c r="R445" i="3"/>
  <c r="Q445" i="3"/>
  <c r="P445" i="3"/>
  <c r="O445" i="3"/>
  <c r="N445" i="3"/>
  <c r="M445" i="3"/>
  <c r="L445" i="3"/>
  <c r="K445" i="3"/>
  <c r="J445" i="3"/>
  <c r="I445" i="3"/>
  <c r="H445" i="3"/>
  <c r="G445" i="3"/>
  <c r="F445" i="3"/>
  <c r="E445" i="3"/>
  <c r="D445" i="3"/>
  <c r="C445" i="3"/>
  <c r="B445" i="3" s="1"/>
  <c r="T444" i="3"/>
  <c r="S444" i="3"/>
  <c r="R444" i="3"/>
  <c r="Q444" i="3"/>
  <c r="P444" i="3"/>
  <c r="O444" i="3"/>
  <c r="N444" i="3"/>
  <c r="M444" i="3"/>
  <c r="L444" i="3"/>
  <c r="K444" i="3"/>
  <c r="J444" i="3"/>
  <c r="I444" i="3"/>
  <c r="H444" i="3"/>
  <c r="G444" i="3"/>
  <c r="F444" i="3"/>
  <c r="E444" i="3"/>
  <c r="D444" i="3"/>
  <c r="B444" i="3"/>
  <c r="T443" i="3"/>
  <c r="S443" i="3"/>
  <c r="R443" i="3"/>
  <c r="Q443" i="3"/>
  <c r="P443" i="3"/>
  <c r="O443" i="3"/>
  <c r="N443" i="3"/>
  <c r="M443" i="3"/>
  <c r="L443" i="3"/>
  <c r="K443" i="3"/>
  <c r="J443" i="3"/>
  <c r="I443" i="3"/>
  <c r="H443" i="3"/>
  <c r="G443" i="3"/>
  <c r="F443" i="3"/>
  <c r="E443" i="3"/>
  <c r="D443" i="3"/>
  <c r="C443" i="3"/>
  <c r="B443" i="3" s="1"/>
  <c r="T442" i="3"/>
  <c r="S442" i="3"/>
  <c r="R442" i="3"/>
  <c r="Q442" i="3"/>
  <c r="P442" i="3"/>
  <c r="O442" i="3"/>
  <c r="N442" i="3"/>
  <c r="M442" i="3"/>
  <c r="L442" i="3"/>
  <c r="K442" i="3"/>
  <c r="J442" i="3"/>
  <c r="I442" i="3"/>
  <c r="H442" i="3"/>
  <c r="G442" i="3"/>
  <c r="F442" i="3"/>
  <c r="E442" i="3"/>
  <c r="D442" i="3"/>
  <c r="C442" i="3"/>
  <c r="B442" i="3" s="1"/>
  <c r="T441" i="3"/>
  <c r="S441" i="3"/>
  <c r="R441" i="3"/>
  <c r="Q441" i="3"/>
  <c r="P441" i="3"/>
  <c r="O441" i="3"/>
  <c r="N441" i="3"/>
  <c r="M441" i="3"/>
  <c r="L441" i="3"/>
  <c r="K441" i="3"/>
  <c r="J441" i="3"/>
  <c r="I441" i="3"/>
  <c r="H441" i="3"/>
  <c r="G441" i="3"/>
  <c r="F441" i="3"/>
  <c r="E441" i="3"/>
  <c r="D441" i="3"/>
  <c r="B441" i="3"/>
  <c r="T440" i="3"/>
  <c r="S440" i="3"/>
  <c r="R440" i="3"/>
  <c r="Q440" i="3"/>
  <c r="P440" i="3"/>
  <c r="O440" i="3"/>
  <c r="N440" i="3"/>
  <c r="M440" i="3"/>
  <c r="L440" i="3"/>
  <c r="K440" i="3"/>
  <c r="J440" i="3"/>
  <c r="I440" i="3"/>
  <c r="H440" i="3"/>
  <c r="G440" i="3"/>
  <c r="F440" i="3"/>
  <c r="E440" i="3"/>
  <c r="D440" i="3"/>
  <c r="B440" i="3"/>
  <c r="T439" i="3"/>
  <c r="S439" i="3"/>
  <c r="R439" i="3"/>
  <c r="Q439" i="3"/>
  <c r="P439" i="3"/>
  <c r="O439" i="3"/>
  <c r="N439" i="3"/>
  <c r="M439" i="3"/>
  <c r="L439" i="3"/>
  <c r="K439" i="3"/>
  <c r="J439" i="3"/>
  <c r="I439" i="3"/>
  <c r="H439" i="3"/>
  <c r="G439" i="3"/>
  <c r="F439" i="3"/>
  <c r="E439" i="3"/>
  <c r="D439" i="3"/>
  <c r="C439" i="3"/>
  <c r="B439" i="3" s="1"/>
  <c r="T438" i="3"/>
  <c r="S438" i="3"/>
  <c r="R438" i="3"/>
  <c r="Q438" i="3"/>
  <c r="P438" i="3"/>
  <c r="O438" i="3"/>
  <c r="N438" i="3"/>
  <c r="M438" i="3"/>
  <c r="L438" i="3"/>
  <c r="K438" i="3"/>
  <c r="J438" i="3"/>
  <c r="I438" i="3"/>
  <c r="H438" i="3"/>
  <c r="G438" i="3"/>
  <c r="F438" i="3"/>
  <c r="E438" i="3"/>
  <c r="D438" i="3"/>
  <c r="C438" i="3"/>
  <c r="B438" i="3" s="1"/>
  <c r="T437" i="3"/>
  <c r="S437" i="3"/>
  <c r="R437" i="3"/>
  <c r="Q437" i="3"/>
  <c r="P437" i="3"/>
  <c r="O437" i="3"/>
  <c r="N437" i="3"/>
  <c r="M437" i="3"/>
  <c r="L437" i="3"/>
  <c r="K437" i="3"/>
  <c r="J437" i="3"/>
  <c r="I437" i="3"/>
  <c r="H437" i="3"/>
  <c r="G437" i="3"/>
  <c r="F437" i="3"/>
  <c r="E437" i="3"/>
  <c r="D437" i="3"/>
  <c r="C437" i="3"/>
  <c r="B437" i="3" s="1"/>
  <c r="T436" i="3"/>
  <c r="S436" i="3"/>
  <c r="R436" i="3"/>
  <c r="Q436" i="3"/>
  <c r="P436" i="3"/>
  <c r="O436" i="3"/>
  <c r="N436" i="3"/>
  <c r="M436" i="3"/>
  <c r="L436" i="3"/>
  <c r="K436" i="3"/>
  <c r="J436" i="3"/>
  <c r="I436" i="3"/>
  <c r="H436" i="3"/>
  <c r="G436" i="3"/>
  <c r="F436" i="3"/>
  <c r="E436" i="3"/>
  <c r="D436" i="3"/>
  <c r="C436" i="3"/>
  <c r="B436" i="3" s="1"/>
  <c r="T435" i="3"/>
  <c r="S435" i="3"/>
  <c r="R435" i="3"/>
  <c r="Q435" i="3"/>
  <c r="P435" i="3"/>
  <c r="O435" i="3"/>
  <c r="N435" i="3"/>
  <c r="M435" i="3"/>
  <c r="L435" i="3"/>
  <c r="K435" i="3"/>
  <c r="J435" i="3"/>
  <c r="I435" i="3"/>
  <c r="H435" i="3"/>
  <c r="G435" i="3"/>
  <c r="F435" i="3"/>
  <c r="E435" i="3"/>
  <c r="D435" i="3"/>
  <c r="C435" i="3"/>
  <c r="B435" i="3" s="1"/>
  <c r="T434" i="3"/>
  <c r="S434" i="3"/>
  <c r="R434" i="3"/>
  <c r="Q434" i="3"/>
  <c r="P434" i="3"/>
  <c r="O434" i="3"/>
  <c r="N434" i="3"/>
  <c r="M434" i="3"/>
  <c r="L434" i="3"/>
  <c r="K434" i="3"/>
  <c r="J434" i="3"/>
  <c r="I434" i="3"/>
  <c r="H434" i="3"/>
  <c r="G434" i="3"/>
  <c r="F434" i="3"/>
  <c r="E434" i="3"/>
  <c r="D434" i="3"/>
  <c r="C434" i="3"/>
  <c r="B434" i="3" s="1"/>
  <c r="T433" i="3"/>
  <c r="S433" i="3"/>
  <c r="R433" i="3"/>
  <c r="Q433" i="3"/>
  <c r="P433" i="3"/>
  <c r="O433" i="3"/>
  <c r="N433" i="3"/>
  <c r="M433" i="3"/>
  <c r="L433" i="3"/>
  <c r="K433" i="3"/>
  <c r="J433" i="3"/>
  <c r="I433" i="3"/>
  <c r="H433" i="3"/>
  <c r="G433" i="3"/>
  <c r="F433" i="3"/>
  <c r="E433" i="3"/>
  <c r="D433" i="3"/>
  <c r="C433" i="3"/>
  <c r="B433" i="3" s="1"/>
  <c r="T432" i="3"/>
  <c r="S432" i="3"/>
  <c r="R432" i="3"/>
  <c r="Q432" i="3"/>
  <c r="P432" i="3"/>
  <c r="O432" i="3"/>
  <c r="N432" i="3"/>
  <c r="M432" i="3"/>
  <c r="L432" i="3"/>
  <c r="K432" i="3"/>
  <c r="J432" i="3"/>
  <c r="I432" i="3"/>
  <c r="H432" i="3"/>
  <c r="G432" i="3"/>
  <c r="F432" i="3"/>
  <c r="E432" i="3"/>
  <c r="D432" i="3"/>
  <c r="C432" i="3"/>
  <c r="B432" i="3" s="1"/>
  <c r="T431" i="3"/>
  <c r="S431" i="3"/>
  <c r="R431" i="3"/>
  <c r="Q431" i="3"/>
  <c r="P431" i="3"/>
  <c r="O431" i="3"/>
  <c r="N431" i="3"/>
  <c r="M431" i="3"/>
  <c r="L431" i="3"/>
  <c r="K431" i="3"/>
  <c r="J431" i="3"/>
  <c r="I431" i="3"/>
  <c r="H431" i="3"/>
  <c r="G431" i="3"/>
  <c r="F431" i="3"/>
  <c r="E431" i="3"/>
  <c r="D431" i="3"/>
  <c r="B431" i="3"/>
  <c r="T430" i="3"/>
  <c r="S430" i="3"/>
  <c r="R430" i="3"/>
  <c r="Q430" i="3"/>
  <c r="P430" i="3"/>
  <c r="O430" i="3"/>
  <c r="N430" i="3"/>
  <c r="M430" i="3"/>
  <c r="L430" i="3"/>
  <c r="K430" i="3"/>
  <c r="J430" i="3"/>
  <c r="I430" i="3"/>
  <c r="H430" i="3"/>
  <c r="G430" i="3"/>
  <c r="F430" i="3"/>
  <c r="E430" i="3"/>
  <c r="D430" i="3"/>
  <c r="C430" i="3"/>
  <c r="B430" i="3" s="1"/>
  <c r="T429" i="3"/>
  <c r="S429" i="3"/>
  <c r="R429" i="3"/>
  <c r="Q429" i="3"/>
  <c r="P429" i="3"/>
  <c r="O429" i="3"/>
  <c r="N429" i="3"/>
  <c r="M429" i="3"/>
  <c r="L429" i="3"/>
  <c r="K429" i="3"/>
  <c r="J429" i="3"/>
  <c r="I429" i="3"/>
  <c r="H429" i="3"/>
  <c r="G429" i="3"/>
  <c r="F429" i="3"/>
  <c r="E429" i="3"/>
  <c r="D429" i="3"/>
  <c r="C429" i="3"/>
  <c r="B429" i="3" s="1"/>
  <c r="T428" i="3"/>
  <c r="S428" i="3"/>
  <c r="R428" i="3"/>
  <c r="Q428" i="3"/>
  <c r="P428" i="3"/>
  <c r="O428" i="3"/>
  <c r="N428" i="3"/>
  <c r="M428" i="3"/>
  <c r="L428" i="3"/>
  <c r="K428" i="3"/>
  <c r="J428" i="3"/>
  <c r="I428" i="3"/>
  <c r="H428" i="3"/>
  <c r="G428" i="3"/>
  <c r="F428" i="3"/>
  <c r="E428" i="3"/>
  <c r="D428" i="3"/>
  <c r="C428" i="3"/>
  <c r="B428" i="3" s="1"/>
  <c r="T427" i="3"/>
  <c r="S427" i="3"/>
  <c r="R427" i="3"/>
  <c r="Q427" i="3"/>
  <c r="P427" i="3"/>
  <c r="O427" i="3"/>
  <c r="N427" i="3"/>
  <c r="M427" i="3"/>
  <c r="L427" i="3"/>
  <c r="K427" i="3"/>
  <c r="J427" i="3"/>
  <c r="I427" i="3"/>
  <c r="H427" i="3"/>
  <c r="G427" i="3"/>
  <c r="F427" i="3"/>
  <c r="E427" i="3"/>
  <c r="D427" i="3"/>
  <c r="C427" i="3"/>
  <c r="B427" i="3" s="1"/>
  <c r="T426" i="3"/>
  <c r="S426" i="3"/>
  <c r="R426" i="3"/>
  <c r="Q426" i="3"/>
  <c r="P426" i="3"/>
  <c r="O426" i="3"/>
  <c r="N426" i="3"/>
  <c r="M426" i="3"/>
  <c r="L426" i="3"/>
  <c r="K426" i="3"/>
  <c r="J426" i="3"/>
  <c r="I426" i="3"/>
  <c r="H426" i="3"/>
  <c r="G426" i="3"/>
  <c r="F426" i="3"/>
  <c r="E426" i="3"/>
  <c r="D426" i="3"/>
  <c r="C426" i="3"/>
  <c r="B426" i="3" s="1"/>
  <c r="T425" i="3"/>
  <c r="S425" i="3"/>
  <c r="R425" i="3"/>
  <c r="Q425" i="3"/>
  <c r="P425" i="3"/>
  <c r="O425" i="3"/>
  <c r="N425" i="3"/>
  <c r="M425" i="3"/>
  <c r="L425" i="3"/>
  <c r="K425" i="3"/>
  <c r="J425" i="3"/>
  <c r="I425" i="3"/>
  <c r="H425" i="3"/>
  <c r="G425" i="3"/>
  <c r="F425" i="3"/>
  <c r="E425" i="3"/>
  <c r="D425" i="3"/>
  <c r="C425" i="3"/>
  <c r="B425" i="3" s="1"/>
  <c r="T424" i="3"/>
  <c r="S424" i="3"/>
  <c r="R424" i="3"/>
  <c r="Q424" i="3"/>
  <c r="P424" i="3"/>
  <c r="O424" i="3"/>
  <c r="N424" i="3"/>
  <c r="M424" i="3"/>
  <c r="L424" i="3"/>
  <c r="K424" i="3"/>
  <c r="J424" i="3"/>
  <c r="I424" i="3"/>
  <c r="H424" i="3"/>
  <c r="G424" i="3"/>
  <c r="F424" i="3"/>
  <c r="E424" i="3"/>
  <c r="D424" i="3"/>
  <c r="C424" i="3"/>
  <c r="B424" i="3" s="1"/>
  <c r="T423" i="3"/>
  <c r="S423" i="3"/>
  <c r="R423" i="3"/>
  <c r="Q423" i="3"/>
  <c r="P423" i="3"/>
  <c r="O423" i="3"/>
  <c r="N423" i="3"/>
  <c r="M423" i="3"/>
  <c r="L423" i="3"/>
  <c r="K423" i="3"/>
  <c r="J423" i="3"/>
  <c r="I423" i="3"/>
  <c r="H423" i="3"/>
  <c r="G423" i="3"/>
  <c r="F423" i="3"/>
  <c r="E423" i="3"/>
  <c r="D423" i="3"/>
  <c r="C423" i="3"/>
  <c r="B423" i="3" s="1"/>
  <c r="T422" i="3"/>
  <c r="S422" i="3"/>
  <c r="R422" i="3"/>
  <c r="Q422" i="3"/>
  <c r="P422" i="3"/>
  <c r="O422" i="3"/>
  <c r="N422" i="3"/>
  <c r="M422" i="3"/>
  <c r="L422" i="3"/>
  <c r="K422" i="3"/>
  <c r="J422" i="3"/>
  <c r="I422" i="3"/>
  <c r="H422" i="3"/>
  <c r="G422" i="3"/>
  <c r="F422" i="3"/>
  <c r="E422" i="3"/>
  <c r="D422" i="3"/>
  <c r="C422" i="3"/>
  <c r="B422" i="3" s="1"/>
  <c r="T421" i="3"/>
  <c r="S421" i="3"/>
  <c r="R421" i="3"/>
  <c r="Q421" i="3"/>
  <c r="P421" i="3"/>
  <c r="O421" i="3"/>
  <c r="N421" i="3"/>
  <c r="M421" i="3"/>
  <c r="L421" i="3"/>
  <c r="K421" i="3"/>
  <c r="J421" i="3"/>
  <c r="I421" i="3"/>
  <c r="H421" i="3"/>
  <c r="G421" i="3"/>
  <c r="F421" i="3"/>
  <c r="E421" i="3"/>
  <c r="D421" i="3"/>
  <c r="C421" i="3"/>
  <c r="B421" i="3" s="1"/>
  <c r="T420" i="3"/>
  <c r="S420" i="3"/>
  <c r="R420" i="3"/>
  <c r="Q420" i="3"/>
  <c r="P420" i="3"/>
  <c r="O420" i="3"/>
  <c r="N420" i="3"/>
  <c r="M420" i="3"/>
  <c r="L420" i="3"/>
  <c r="K420" i="3"/>
  <c r="J420" i="3"/>
  <c r="I420" i="3"/>
  <c r="H420" i="3"/>
  <c r="G420" i="3"/>
  <c r="F420" i="3"/>
  <c r="E420" i="3"/>
  <c r="D420" i="3"/>
  <c r="B420" i="3"/>
  <c r="T419" i="3"/>
  <c r="S419" i="3"/>
  <c r="R419" i="3"/>
  <c r="Q419" i="3"/>
  <c r="P419" i="3"/>
  <c r="O419" i="3"/>
  <c r="N419" i="3"/>
  <c r="M419" i="3"/>
  <c r="L419" i="3"/>
  <c r="K419" i="3"/>
  <c r="J419" i="3"/>
  <c r="I419" i="3"/>
  <c r="H419" i="3"/>
  <c r="G419" i="3"/>
  <c r="F419" i="3"/>
  <c r="E419" i="3"/>
  <c r="D419" i="3"/>
  <c r="B419" i="3"/>
  <c r="T418" i="3"/>
  <c r="S418" i="3"/>
  <c r="R418" i="3"/>
  <c r="Q418" i="3"/>
  <c r="P418" i="3"/>
  <c r="O418" i="3"/>
  <c r="N418" i="3"/>
  <c r="M418" i="3"/>
  <c r="L418" i="3"/>
  <c r="K418" i="3"/>
  <c r="J418" i="3"/>
  <c r="I418" i="3"/>
  <c r="H418" i="3"/>
  <c r="G418" i="3"/>
  <c r="F418" i="3"/>
  <c r="E418" i="3"/>
  <c r="D418" i="3"/>
  <c r="C418" i="3"/>
  <c r="B418" i="3" s="1"/>
  <c r="T417" i="3"/>
  <c r="S417" i="3"/>
  <c r="R417" i="3"/>
  <c r="Q417" i="3"/>
  <c r="P417" i="3"/>
  <c r="O417" i="3"/>
  <c r="N417" i="3"/>
  <c r="M417" i="3"/>
  <c r="L417" i="3"/>
  <c r="K417" i="3"/>
  <c r="J417" i="3"/>
  <c r="I417" i="3"/>
  <c r="H417" i="3"/>
  <c r="G417" i="3"/>
  <c r="F417" i="3"/>
  <c r="E417" i="3"/>
  <c r="D417" i="3"/>
  <c r="C417" i="3"/>
  <c r="B417" i="3" s="1"/>
  <c r="T416" i="3"/>
  <c r="S416" i="3"/>
  <c r="R416" i="3"/>
  <c r="Q416" i="3"/>
  <c r="P416" i="3"/>
  <c r="O416" i="3"/>
  <c r="N416" i="3"/>
  <c r="M416" i="3"/>
  <c r="L416" i="3"/>
  <c r="K416" i="3"/>
  <c r="J416" i="3"/>
  <c r="I416" i="3"/>
  <c r="H416" i="3"/>
  <c r="G416" i="3"/>
  <c r="F416" i="3"/>
  <c r="E416" i="3"/>
  <c r="D416" i="3"/>
  <c r="C416" i="3"/>
  <c r="B416" i="3" s="1"/>
  <c r="T415" i="3"/>
  <c r="S415" i="3"/>
  <c r="R415" i="3"/>
  <c r="Q415" i="3"/>
  <c r="P415" i="3"/>
  <c r="O415" i="3"/>
  <c r="N415" i="3"/>
  <c r="M415" i="3"/>
  <c r="L415" i="3"/>
  <c r="K415" i="3"/>
  <c r="J415" i="3"/>
  <c r="I415" i="3"/>
  <c r="H415" i="3"/>
  <c r="G415" i="3"/>
  <c r="F415" i="3"/>
  <c r="E415" i="3"/>
  <c r="D415" i="3"/>
  <c r="C415" i="3"/>
  <c r="B415" i="3" s="1"/>
  <c r="T414" i="3"/>
  <c r="S414" i="3"/>
  <c r="R414" i="3"/>
  <c r="Q414" i="3"/>
  <c r="P414" i="3"/>
  <c r="O414" i="3"/>
  <c r="N414" i="3"/>
  <c r="M414" i="3"/>
  <c r="L414" i="3"/>
  <c r="K414" i="3"/>
  <c r="J414" i="3"/>
  <c r="I414" i="3"/>
  <c r="H414" i="3"/>
  <c r="G414" i="3"/>
  <c r="F414" i="3"/>
  <c r="E414" i="3"/>
  <c r="D414" i="3"/>
  <c r="C414" i="3"/>
  <c r="B414" i="3" s="1"/>
  <c r="T413" i="3"/>
  <c r="S413" i="3"/>
  <c r="R413" i="3"/>
  <c r="Q413" i="3"/>
  <c r="P413" i="3"/>
  <c r="O413" i="3"/>
  <c r="N413" i="3"/>
  <c r="M413" i="3"/>
  <c r="L413" i="3"/>
  <c r="K413" i="3"/>
  <c r="J413" i="3"/>
  <c r="I413" i="3"/>
  <c r="H413" i="3"/>
  <c r="G413" i="3"/>
  <c r="F413" i="3"/>
  <c r="E413" i="3"/>
  <c r="D413" i="3"/>
  <c r="C413" i="3"/>
  <c r="B413" i="3" s="1"/>
  <c r="T412" i="3"/>
  <c r="S412" i="3"/>
  <c r="R412" i="3"/>
  <c r="Q412" i="3"/>
  <c r="P412" i="3"/>
  <c r="O412" i="3"/>
  <c r="N412" i="3"/>
  <c r="M412" i="3"/>
  <c r="L412" i="3"/>
  <c r="K412" i="3"/>
  <c r="J412" i="3"/>
  <c r="I412" i="3"/>
  <c r="H412" i="3"/>
  <c r="G412" i="3"/>
  <c r="F412" i="3"/>
  <c r="E412" i="3"/>
  <c r="D412" i="3"/>
  <c r="C412" i="3"/>
  <c r="B412" i="3" s="1"/>
  <c r="T411" i="3"/>
  <c r="S411" i="3"/>
  <c r="R411" i="3"/>
  <c r="Q411" i="3"/>
  <c r="P411" i="3"/>
  <c r="O411" i="3"/>
  <c r="N411" i="3"/>
  <c r="M411" i="3"/>
  <c r="L411" i="3"/>
  <c r="K411" i="3"/>
  <c r="J411" i="3"/>
  <c r="I411" i="3"/>
  <c r="H411" i="3"/>
  <c r="G411" i="3"/>
  <c r="F411" i="3"/>
  <c r="E411" i="3"/>
  <c r="D411" i="3"/>
  <c r="C411" i="3"/>
  <c r="B411" i="3" s="1"/>
  <c r="T410" i="3"/>
  <c r="S410" i="3"/>
  <c r="R410" i="3"/>
  <c r="Q410" i="3"/>
  <c r="P410" i="3"/>
  <c r="O410" i="3"/>
  <c r="N410" i="3"/>
  <c r="M410" i="3"/>
  <c r="L410" i="3"/>
  <c r="K410" i="3"/>
  <c r="J410" i="3"/>
  <c r="I410" i="3"/>
  <c r="H410" i="3"/>
  <c r="G410" i="3"/>
  <c r="F410" i="3"/>
  <c r="E410" i="3"/>
  <c r="D410" i="3"/>
  <c r="C410" i="3"/>
  <c r="B410" i="3" s="1"/>
  <c r="T409" i="3"/>
  <c r="S409" i="3"/>
  <c r="R409" i="3"/>
  <c r="Q409" i="3"/>
  <c r="P409" i="3"/>
  <c r="O409" i="3"/>
  <c r="N409" i="3"/>
  <c r="M409" i="3"/>
  <c r="L409" i="3"/>
  <c r="K409" i="3"/>
  <c r="J409" i="3"/>
  <c r="I409" i="3"/>
  <c r="H409" i="3"/>
  <c r="G409" i="3"/>
  <c r="F409" i="3"/>
  <c r="E409" i="3"/>
  <c r="D409" i="3"/>
  <c r="C409" i="3"/>
  <c r="B409" i="3" s="1"/>
  <c r="T408" i="3"/>
  <c r="S408" i="3"/>
  <c r="R408" i="3"/>
  <c r="Q408" i="3"/>
  <c r="P408" i="3"/>
  <c r="O408" i="3"/>
  <c r="N408" i="3"/>
  <c r="M408" i="3"/>
  <c r="L408" i="3"/>
  <c r="K408" i="3"/>
  <c r="J408" i="3"/>
  <c r="I408" i="3"/>
  <c r="H408" i="3"/>
  <c r="G408" i="3"/>
  <c r="F408" i="3"/>
  <c r="E408" i="3"/>
  <c r="D408" i="3"/>
  <c r="C408" i="3"/>
  <c r="B408" i="3" s="1"/>
  <c r="T407" i="3"/>
  <c r="S407" i="3"/>
  <c r="R407" i="3"/>
  <c r="Q407" i="3"/>
  <c r="P407" i="3"/>
  <c r="O407" i="3"/>
  <c r="N407" i="3"/>
  <c r="M407" i="3"/>
  <c r="L407" i="3"/>
  <c r="K407" i="3"/>
  <c r="J407" i="3"/>
  <c r="I407" i="3"/>
  <c r="H407" i="3"/>
  <c r="G407" i="3"/>
  <c r="F407" i="3"/>
  <c r="E407" i="3"/>
  <c r="D407" i="3"/>
  <c r="B407" i="3"/>
  <c r="T406" i="3"/>
  <c r="S406" i="3"/>
  <c r="R406" i="3"/>
  <c r="Q406" i="3"/>
  <c r="P406" i="3"/>
  <c r="O406" i="3"/>
  <c r="N406" i="3"/>
  <c r="M406" i="3"/>
  <c r="L406" i="3"/>
  <c r="K406" i="3"/>
  <c r="J406" i="3"/>
  <c r="I406" i="3"/>
  <c r="H406" i="3"/>
  <c r="G406" i="3"/>
  <c r="F406" i="3"/>
  <c r="E406" i="3"/>
  <c r="D406" i="3"/>
  <c r="C406" i="3"/>
  <c r="B406" i="3" s="1"/>
  <c r="T405" i="3"/>
  <c r="S405" i="3"/>
  <c r="R405" i="3"/>
  <c r="Q405" i="3"/>
  <c r="P405" i="3"/>
  <c r="O405" i="3"/>
  <c r="N405" i="3"/>
  <c r="M405" i="3"/>
  <c r="L405" i="3"/>
  <c r="K405" i="3"/>
  <c r="J405" i="3"/>
  <c r="I405" i="3"/>
  <c r="H405" i="3"/>
  <c r="G405" i="3"/>
  <c r="F405" i="3"/>
  <c r="E405" i="3"/>
  <c r="D405" i="3"/>
  <c r="C405" i="3"/>
  <c r="B405" i="3" s="1"/>
  <c r="T404" i="3"/>
  <c r="S404" i="3"/>
  <c r="R404" i="3"/>
  <c r="Q404" i="3"/>
  <c r="P404" i="3"/>
  <c r="O404" i="3"/>
  <c r="N404" i="3"/>
  <c r="M404" i="3"/>
  <c r="L404" i="3"/>
  <c r="K404" i="3"/>
  <c r="J404" i="3"/>
  <c r="I404" i="3"/>
  <c r="H404" i="3"/>
  <c r="G404" i="3"/>
  <c r="F404" i="3"/>
  <c r="E404" i="3"/>
  <c r="D404" i="3"/>
  <c r="C404" i="3"/>
  <c r="B404" i="3" s="1"/>
  <c r="T403" i="3"/>
  <c r="S403" i="3"/>
  <c r="R403" i="3"/>
  <c r="Q403" i="3"/>
  <c r="P403" i="3"/>
  <c r="O403" i="3"/>
  <c r="N403" i="3"/>
  <c r="M403" i="3"/>
  <c r="L403" i="3"/>
  <c r="K403" i="3"/>
  <c r="J403" i="3"/>
  <c r="I403" i="3"/>
  <c r="H403" i="3"/>
  <c r="G403" i="3"/>
  <c r="F403" i="3"/>
  <c r="E403" i="3"/>
  <c r="D403" i="3"/>
  <c r="C403" i="3"/>
  <c r="B403" i="3" s="1"/>
  <c r="T402" i="3"/>
  <c r="S402" i="3"/>
  <c r="R402" i="3"/>
  <c r="Q402" i="3"/>
  <c r="P402" i="3"/>
  <c r="O402" i="3"/>
  <c r="N402" i="3"/>
  <c r="M402" i="3"/>
  <c r="L402" i="3"/>
  <c r="K402" i="3"/>
  <c r="J402" i="3"/>
  <c r="I402" i="3"/>
  <c r="H402" i="3"/>
  <c r="G402" i="3"/>
  <c r="F402" i="3"/>
  <c r="E402" i="3"/>
  <c r="D402" i="3"/>
  <c r="B402" i="3"/>
  <c r="T401" i="3"/>
  <c r="S401" i="3"/>
  <c r="R401" i="3"/>
  <c r="Q401" i="3"/>
  <c r="P401" i="3"/>
  <c r="O401" i="3"/>
  <c r="N401" i="3"/>
  <c r="M401" i="3"/>
  <c r="L401" i="3"/>
  <c r="K401" i="3"/>
  <c r="J401" i="3"/>
  <c r="I401" i="3"/>
  <c r="H401" i="3"/>
  <c r="G401" i="3"/>
  <c r="F401" i="3"/>
  <c r="E401" i="3"/>
  <c r="D401" i="3"/>
  <c r="C401" i="3"/>
  <c r="B401" i="3" s="1"/>
  <c r="T400" i="3"/>
  <c r="S400" i="3"/>
  <c r="R400" i="3"/>
  <c r="Q400" i="3"/>
  <c r="P400" i="3"/>
  <c r="O400" i="3"/>
  <c r="N400" i="3"/>
  <c r="M400" i="3"/>
  <c r="L400" i="3"/>
  <c r="K400" i="3"/>
  <c r="J400" i="3"/>
  <c r="I400" i="3"/>
  <c r="H400" i="3"/>
  <c r="G400" i="3"/>
  <c r="F400" i="3"/>
  <c r="E400" i="3"/>
  <c r="D400" i="3"/>
  <c r="C400" i="3"/>
  <c r="B400" i="3" s="1"/>
  <c r="T399" i="3"/>
  <c r="S399" i="3"/>
  <c r="R399" i="3"/>
  <c r="Q399" i="3"/>
  <c r="P399" i="3"/>
  <c r="O399" i="3"/>
  <c r="N399" i="3"/>
  <c r="M399" i="3"/>
  <c r="L399" i="3"/>
  <c r="K399" i="3"/>
  <c r="J399" i="3"/>
  <c r="I399" i="3"/>
  <c r="H399" i="3"/>
  <c r="G399" i="3"/>
  <c r="F399" i="3"/>
  <c r="E399" i="3"/>
  <c r="D399" i="3"/>
  <c r="B399" i="3"/>
  <c r="T398" i="3"/>
  <c r="S398" i="3"/>
  <c r="R398" i="3"/>
  <c r="Q398" i="3"/>
  <c r="P398" i="3"/>
  <c r="O398" i="3"/>
  <c r="N398" i="3"/>
  <c r="M398" i="3"/>
  <c r="L398" i="3"/>
  <c r="K398" i="3"/>
  <c r="J398" i="3"/>
  <c r="I398" i="3"/>
  <c r="H398" i="3"/>
  <c r="G398" i="3"/>
  <c r="F398" i="3"/>
  <c r="E398" i="3"/>
  <c r="D398" i="3"/>
  <c r="C398" i="3"/>
  <c r="B398" i="3" s="1"/>
  <c r="T397" i="3"/>
  <c r="S397" i="3"/>
  <c r="R397" i="3"/>
  <c r="Q397" i="3"/>
  <c r="P397" i="3"/>
  <c r="O397" i="3"/>
  <c r="N397" i="3"/>
  <c r="M397" i="3"/>
  <c r="L397" i="3"/>
  <c r="K397" i="3"/>
  <c r="J397" i="3"/>
  <c r="I397" i="3"/>
  <c r="H397" i="3"/>
  <c r="G397" i="3"/>
  <c r="F397" i="3"/>
  <c r="E397" i="3"/>
  <c r="D397" i="3"/>
  <c r="C397" i="3"/>
  <c r="B397" i="3" s="1"/>
  <c r="T396" i="3"/>
  <c r="S396" i="3"/>
  <c r="R396" i="3"/>
  <c r="Q396" i="3"/>
  <c r="P396" i="3"/>
  <c r="O396" i="3"/>
  <c r="N396" i="3"/>
  <c r="M396" i="3"/>
  <c r="L396" i="3"/>
  <c r="K396" i="3"/>
  <c r="J396" i="3"/>
  <c r="I396" i="3"/>
  <c r="H396" i="3"/>
  <c r="G396" i="3"/>
  <c r="F396" i="3"/>
  <c r="E396" i="3"/>
  <c r="D396" i="3"/>
  <c r="C396" i="3"/>
  <c r="B396" i="3" s="1"/>
  <c r="T395" i="3"/>
  <c r="S395" i="3"/>
  <c r="R395" i="3"/>
  <c r="Q395" i="3"/>
  <c r="P395" i="3"/>
  <c r="O395" i="3"/>
  <c r="N395" i="3"/>
  <c r="M395" i="3"/>
  <c r="L395" i="3"/>
  <c r="K395" i="3"/>
  <c r="J395" i="3"/>
  <c r="I395" i="3"/>
  <c r="H395" i="3"/>
  <c r="G395" i="3"/>
  <c r="F395" i="3"/>
  <c r="E395" i="3"/>
  <c r="D395" i="3"/>
  <c r="C395" i="3"/>
  <c r="B395" i="3" s="1"/>
  <c r="T394" i="3"/>
  <c r="S394" i="3"/>
  <c r="R394" i="3"/>
  <c r="Q394" i="3"/>
  <c r="P394" i="3"/>
  <c r="O394" i="3"/>
  <c r="N394" i="3"/>
  <c r="M394" i="3"/>
  <c r="L394" i="3"/>
  <c r="K394" i="3"/>
  <c r="J394" i="3"/>
  <c r="I394" i="3"/>
  <c r="H394" i="3"/>
  <c r="G394" i="3"/>
  <c r="F394" i="3"/>
  <c r="E394" i="3"/>
  <c r="D394" i="3"/>
  <c r="C394" i="3"/>
  <c r="B394" i="3" s="1"/>
  <c r="T393" i="3"/>
  <c r="S393" i="3"/>
  <c r="R393" i="3"/>
  <c r="Q393" i="3"/>
  <c r="P393" i="3"/>
  <c r="O393" i="3"/>
  <c r="N393" i="3"/>
  <c r="M393" i="3"/>
  <c r="L393" i="3"/>
  <c r="K393" i="3"/>
  <c r="J393" i="3"/>
  <c r="I393" i="3"/>
  <c r="H393" i="3"/>
  <c r="G393" i="3"/>
  <c r="F393" i="3"/>
  <c r="E393" i="3"/>
  <c r="D393" i="3"/>
  <c r="C393" i="3"/>
  <c r="B393" i="3" s="1"/>
  <c r="T392" i="3"/>
  <c r="S392" i="3"/>
  <c r="R392" i="3"/>
  <c r="Q392" i="3"/>
  <c r="P392" i="3"/>
  <c r="O392" i="3"/>
  <c r="N392" i="3"/>
  <c r="M392" i="3"/>
  <c r="L392" i="3"/>
  <c r="K392" i="3"/>
  <c r="J392" i="3"/>
  <c r="I392" i="3"/>
  <c r="H392" i="3"/>
  <c r="G392" i="3"/>
  <c r="F392" i="3"/>
  <c r="E392" i="3"/>
  <c r="D392" i="3"/>
  <c r="C392" i="3"/>
  <c r="B392" i="3" s="1"/>
  <c r="T391" i="3"/>
  <c r="S391" i="3"/>
  <c r="R391" i="3"/>
  <c r="Q391" i="3"/>
  <c r="P391" i="3"/>
  <c r="O391" i="3"/>
  <c r="N391" i="3"/>
  <c r="M391" i="3"/>
  <c r="L391" i="3"/>
  <c r="K391" i="3"/>
  <c r="J391" i="3"/>
  <c r="I391" i="3"/>
  <c r="H391" i="3"/>
  <c r="G391" i="3"/>
  <c r="F391" i="3"/>
  <c r="E391" i="3"/>
  <c r="D391" i="3"/>
  <c r="B391" i="3"/>
  <c r="T390" i="3"/>
  <c r="S390" i="3"/>
  <c r="R390" i="3"/>
  <c r="Q390" i="3"/>
  <c r="P390" i="3"/>
  <c r="O390" i="3"/>
  <c r="N390" i="3"/>
  <c r="M390" i="3"/>
  <c r="L390" i="3"/>
  <c r="K390" i="3"/>
  <c r="J390" i="3"/>
  <c r="I390" i="3"/>
  <c r="H390" i="3"/>
  <c r="G390" i="3"/>
  <c r="F390" i="3"/>
  <c r="E390" i="3"/>
  <c r="D390" i="3"/>
  <c r="C390" i="3"/>
  <c r="B390" i="3" s="1"/>
  <c r="T389" i="3"/>
  <c r="S389" i="3"/>
  <c r="R389" i="3"/>
  <c r="Q389" i="3"/>
  <c r="P389" i="3"/>
  <c r="O389" i="3"/>
  <c r="N389" i="3"/>
  <c r="M389" i="3"/>
  <c r="L389" i="3"/>
  <c r="K389" i="3"/>
  <c r="J389" i="3"/>
  <c r="I389" i="3"/>
  <c r="H389" i="3"/>
  <c r="G389" i="3"/>
  <c r="F389" i="3"/>
  <c r="E389" i="3"/>
  <c r="D389" i="3"/>
  <c r="C389" i="3"/>
  <c r="B389" i="3" s="1"/>
  <c r="T388" i="3"/>
  <c r="S388" i="3"/>
  <c r="R388" i="3"/>
  <c r="Q388" i="3"/>
  <c r="P388" i="3"/>
  <c r="O388" i="3"/>
  <c r="N388" i="3"/>
  <c r="M388" i="3"/>
  <c r="L388" i="3"/>
  <c r="K388" i="3"/>
  <c r="J388" i="3"/>
  <c r="I388" i="3"/>
  <c r="H388" i="3"/>
  <c r="G388" i="3"/>
  <c r="F388" i="3"/>
  <c r="E388" i="3"/>
  <c r="D388" i="3"/>
  <c r="C388" i="3"/>
  <c r="B388" i="3" s="1"/>
  <c r="T387" i="3"/>
  <c r="S387" i="3"/>
  <c r="R387" i="3"/>
  <c r="Q387" i="3"/>
  <c r="P387" i="3"/>
  <c r="O387" i="3"/>
  <c r="N387" i="3"/>
  <c r="M387" i="3"/>
  <c r="L387" i="3"/>
  <c r="K387" i="3"/>
  <c r="J387" i="3"/>
  <c r="I387" i="3"/>
  <c r="H387" i="3"/>
  <c r="G387" i="3"/>
  <c r="F387" i="3"/>
  <c r="E387" i="3"/>
  <c r="D387" i="3"/>
  <c r="B387" i="3"/>
  <c r="T386" i="3"/>
  <c r="S386" i="3"/>
  <c r="R386" i="3"/>
  <c r="Q386" i="3"/>
  <c r="P386" i="3"/>
  <c r="O386" i="3"/>
  <c r="N386" i="3"/>
  <c r="M386" i="3"/>
  <c r="L386" i="3"/>
  <c r="K386" i="3"/>
  <c r="J386" i="3"/>
  <c r="I386" i="3"/>
  <c r="H386" i="3"/>
  <c r="G386" i="3"/>
  <c r="F386" i="3"/>
  <c r="E386" i="3"/>
  <c r="D386" i="3"/>
  <c r="C386" i="3"/>
  <c r="B386" i="3" s="1"/>
  <c r="T385" i="3"/>
  <c r="S385" i="3"/>
  <c r="R385" i="3"/>
  <c r="Q385" i="3"/>
  <c r="P385" i="3"/>
  <c r="O385" i="3"/>
  <c r="N385" i="3"/>
  <c r="M385" i="3"/>
  <c r="L385" i="3"/>
  <c r="K385" i="3"/>
  <c r="J385" i="3"/>
  <c r="I385" i="3"/>
  <c r="H385" i="3"/>
  <c r="G385" i="3"/>
  <c r="F385" i="3"/>
  <c r="E385" i="3"/>
  <c r="D385" i="3"/>
  <c r="C385" i="3"/>
  <c r="B385" i="3" s="1"/>
  <c r="T384" i="3"/>
  <c r="S384" i="3"/>
  <c r="R384" i="3"/>
  <c r="Q384" i="3"/>
  <c r="P384" i="3"/>
  <c r="O384" i="3"/>
  <c r="N384" i="3"/>
  <c r="M384" i="3"/>
  <c r="L384" i="3"/>
  <c r="K384" i="3"/>
  <c r="J384" i="3"/>
  <c r="I384" i="3"/>
  <c r="H384" i="3"/>
  <c r="G384" i="3"/>
  <c r="F384" i="3"/>
  <c r="E384" i="3"/>
  <c r="D384" i="3"/>
  <c r="B384" i="3"/>
  <c r="T383" i="3"/>
  <c r="S383" i="3"/>
  <c r="R383" i="3"/>
  <c r="Q383" i="3"/>
  <c r="P383" i="3"/>
  <c r="O383" i="3"/>
  <c r="N383" i="3"/>
  <c r="M383" i="3"/>
  <c r="L383" i="3"/>
  <c r="K383" i="3"/>
  <c r="J383" i="3"/>
  <c r="I383" i="3"/>
  <c r="H383" i="3"/>
  <c r="G383" i="3"/>
  <c r="F383" i="3"/>
  <c r="E383" i="3"/>
  <c r="D383" i="3"/>
  <c r="C383" i="3"/>
  <c r="B383" i="3" s="1"/>
  <c r="T382" i="3"/>
  <c r="S382" i="3"/>
  <c r="R382" i="3"/>
  <c r="Q382" i="3"/>
  <c r="P382" i="3"/>
  <c r="O382" i="3"/>
  <c r="N382" i="3"/>
  <c r="M382" i="3"/>
  <c r="L382" i="3"/>
  <c r="K382" i="3"/>
  <c r="J382" i="3"/>
  <c r="I382" i="3"/>
  <c r="H382" i="3"/>
  <c r="G382" i="3"/>
  <c r="F382" i="3"/>
  <c r="E382" i="3"/>
  <c r="D382" i="3"/>
  <c r="C382" i="3"/>
  <c r="B382" i="3" s="1"/>
  <c r="T381" i="3"/>
  <c r="S381" i="3"/>
  <c r="R381" i="3"/>
  <c r="Q381" i="3"/>
  <c r="P381" i="3"/>
  <c r="O381" i="3"/>
  <c r="N381" i="3"/>
  <c r="M381" i="3"/>
  <c r="L381" i="3"/>
  <c r="K381" i="3"/>
  <c r="J381" i="3"/>
  <c r="I381" i="3"/>
  <c r="H381" i="3"/>
  <c r="G381" i="3"/>
  <c r="F381" i="3"/>
  <c r="E381" i="3"/>
  <c r="D381" i="3"/>
  <c r="C381" i="3"/>
  <c r="B381" i="3" s="1"/>
  <c r="T380" i="3"/>
  <c r="S380" i="3"/>
  <c r="R380" i="3"/>
  <c r="Q380" i="3"/>
  <c r="P380" i="3"/>
  <c r="O380" i="3"/>
  <c r="N380" i="3"/>
  <c r="M380" i="3"/>
  <c r="L380" i="3"/>
  <c r="K380" i="3"/>
  <c r="J380" i="3"/>
  <c r="I380" i="3"/>
  <c r="H380" i="3"/>
  <c r="G380" i="3"/>
  <c r="F380" i="3"/>
  <c r="E380" i="3"/>
  <c r="D380" i="3"/>
  <c r="C380" i="3"/>
  <c r="B380" i="3" s="1"/>
  <c r="T379" i="3"/>
  <c r="S379" i="3"/>
  <c r="R379" i="3"/>
  <c r="Q379" i="3"/>
  <c r="P379" i="3"/>
  <c r="O379" i="3"/>
  <c r="N379" i="3"/>
  <c r="M379" i="3"/>
  <c r="L379" i="3"/>
  <c r="K379" i="3"/>
  <c r="J379" i="3"/>
  <c r="I379" i="3"/>
  <c r="H379" i="3"/>
  <c r="G379" i="3"/>
  <c r="F379" i="3"/>
  <c r="E379" i="3"/>
  <c r="D379" i="3"/>
  <c r="C379" i="3"/>
  <c r="B379" i="3" s="1"/>
  <c r="T378" i="3"/>
  <c r="S378" i="3"/>
  <c r="R378" i="3"/>
  <c r="Q378" i="3"/>
  <c r="P378" i="3"/>
  <c r="O378" i="3"/>
  <c r="N378" i="3"/>
  <c r="M378" i="3"/>
  <c r="L378" i="3"/>
  <c r="K378" i="3"/>
  <c r="J378" i="3"/>
  <c r="I378" i="3"/>
  <c r="H378" i="3"/>
  <c r="G378" i="3"/>
  <c r="F378" i="3"/>
  <c r="E378" i="3"/>
  <c r="D378" i="3"/>
  <c r="C378" i="3"/>
  <c r="B378" i="3" s="1"/>
  <c r="T377" i="3"/>
  <c r="S377" i="3"/>
  <c r="R377" i="3"/>
  <c r="Q377" i="3"/>
  <c r="P377" i="3"/>
  <c r="O377" i="3"/>
  <c r="N377" i="3"/>
  <c r="M377" i="3"/>
  <c r="L377" i="3"/>
  <c r="K377" i="3"/>
  <c r="J377" i="3"/>
  <c r="I377" i="3"/>
  <c r="H377" i="3"/>
  <c r="G377" i="3"/>
  <c r="F377" i="3"/>
  <c r="E377" i="3"/>
  <c r="D377" i="3"/>
  <c r="B377" i="3"/>
  <c r="T376" i="3"/>
  <c r="S376" i="3"/>
  <c r="R376" i="3"/>
  <c r="Q376" i="3"/>
  <c r="P376" i="3"/>
  <c r="O376" i="3"/>
  <c r="N376" i="3"/>
  <c r="M376" i="3"/>
  <c r="L376" i="3"/>
  <c r="K376" i="3"/>
  <c r="J376" i="3"/>
  <c r="I376" i="3"/>
  <c r="H376" i="3"/>
  <c r="G376" i="3"/>
  <c r="F376" i="3"/>
  <c r="E376" i="3"/>
  <c r="D376" i="3"/>
  <c r="C376" i="3"/>
  <c r="B376" i="3" s="1"/>
  <c r="T375" i="3"/>
  <c r="S375" i="3"/>
  <c r="R375" i="3"/>
  <c r="Q375" i="3"/>
  <c r="P375" i="3"/>
  <c r="O375" i="3"/>
  <c r="N375" i="3"/>
  <c r="M375" i="3"/>
  <c r="L375" i="3"/>
  <c r="K375" i="3"/>
  <c r="J375" i="3"/>
  <c r="I375" i="3"/>
  <c r="H375" i="3"/>
  <c r="G375" i="3"/>
  <c r="F375" i="3"/>
  <c r="E375" i="3"/>
  <c r="D375" i="3"/>
  <c r="C375" i="3"/>
  <c r="B375" i="3" s="1"/>
  <c r="T374" i="3"/>
  <c r="S374" i="3"/>
  <c r="R374" i="3"/>
  <c r="Q374" i="3"/>
  <c r="P374" i="3"/>
  <c r="O374" i="3"/>
  <c r="N374" i="3"/>
  <c r="M374" i="3"/>
  <c r="L374" i="3"/>
  <c r="K374" i="3"/>
  <c r="J374" i="3"/>
  <c r="I374" i="3"/>
  <c r="H374" i="3"/>
  <c r="G374" i="3"/>
  <c r="F374" i="3"/>
  <c r="E374" i="3"/>
  <c r="D374" i="3"/>
  <c r="C374" i="3"/>
  <c r="B374" i="3" s="1"/>
  <c r="T373" i="3"/>
  <c r="S373" i="3"/>
  <c r="R373" i="3"/>
  <c r="Q373" i="3"/>
  <c r="P373" i="3"/>
  <c r="O373" i="3"/>
  <c r="N373" i="3"/>
  <c r="M373" i="3"/>
  <c r="L373" i="3"/>
  <c r="K373" i="3"/>
  <c r="J373" i="3"/>
  <c r="I373" i="3"/>
  <c r="H373" i="3"/>
  <c r="G373" i="3"/>
  <c r="F373" i="3"/>
  <c r="E373" i="3"/>
  <c r="D373" i="3"/>
  <c r="C373" i="3"/>
  <c r="B373" i="3" s="1"/>
  <c r="T372" i="3"/>
  <c r="S372" i="3"/>
  <c r="R372" i="3"/>
  <c r="Q372" i="3"/>
  <c r="P372" i="3"/>
  <c r="O372" i="3"/>
  <c r="N372" i="3"/>
  <c r="M372" i="3"/>
  <c r="L372" i="3"/>
  <c r="K372" i="3"/>
  <c r="J372" i="3"/>
  <c r="I372" i="3"/>
  <c r="H372" i="3"/>
  <c r="G372" i="3"/>
  <c r="F372" i="3"/>
  <c r="E372" i="3"/>
  <c r="D372" i="3"/>
  <c r="C372" i="3"/>
  <c r="B372" i="3" s="1"/>
  <c r="T371" i="3"/>
  <c r="S371" i="3"/>
  <c r="R371" i="3"/>
  <c r="Q371" i="3"/>
  <c r="P371" i="3"/>
  <c r="O371" i="3"/>
  <c r="N371" i="3"/>
  <c r="M371" i="3"/>
  <c r="L371" i="3"/>
  <c r="K371" i="3"/>
  <c r="J371" i="3"/>
  <c r="I371" i="3"/>
  <c r="H371" i="3"/>
  <c r="G371" i="3"/>
  <c r="F371" i="3"/>
  <c r="E371" i="3"/>
  <c r="D371" i="3"/>
  <c r="C371" i="3"/>
  <c r="B371" i="3" s="1"/>
  <c r="T370" i="3"/>
  <c r="S370" i="3"/>
  <c r="R370" i="3"/>
  <c r="Q370" i="3"/>
  <c r="P370" i="3"/>
  <c r="O370" i="3"/>
  <c r="N370" i="3"/>
  <c r="M370" i="3"/>
  <c r="L370" i="3"/>
  <c r="K370" i="3"/>
  <c r="J370" i="3"/>
  <c r="I370" i="3"/>
  <c r="H370" i="3"/>
  <c r="G370" i="3"/>
  <c r="F370" i="3"/>
  <c r="E370" i="3"/>
  <c r="D370" i="3"/>
  <c r="C370" i="3"/>
  <c r="B370" i="3" s="1"/>
  <c r="T369" i="3"/>
  <c r="S369" i="3"/>
  <c r="R369" i="3"/>
  <c r="Q369" i="3"/>
  <c r="P369" i="3"/>
  <c r="O369" i="3"/>
  <c r="N369" i="3"/>
  <c r="M369" i="3"/>
  <c r="L369" i="3"/>
  <c r="K369" i="3"/>
  <c r="J369" i="3"/>
  <c r="I369" i="3"/>
  <c r="H369" i="3"/>
  <c r="G369" i="3"/>
  <c r="F369" i="3"/>
  <c r="E369" i="3"/>
  <c r="D369" i="3"/>
  <c r="C369" i="3"/>
  <c r="B369" i="3" s="1"/>
  <c r="T368" i="3"/>
  <c r="S368" i="3"/>
  <c r="R368" i="3"/>
  <c r="Q368" i="3"/>
  <c r="P368" i="3"/>
  <c r="O368" i="3"/>
  <c r="N368" i="3"/>
  <c r="M368" i="3"/>
  <c r="L368" i="3"/>
  <c r="K368" i="3"/>
  <c r="J368" i="3"/>
  <c r="I368" i="3"/>
  <c r="H368" i="3"/>
  <c r="G368" i="3"/>
  <c r="F368" i="3"/>
  <c r="E368" i="3"/>
  <c r="D368" i="3"/>
  <c r="C368" i="3"/>
  <c r="B368" i="3" s="1"/>
  <c r="T367" i="3"/>
  <c r="S367" i="3"/>
  <c r="R367" i="3"/>
  <c r="Q367" i="3"/>
  <c r="P367" i="3"/>
  <c r="O367" i="3"/>
  <c r="N367" i="3"/>
  <c r="M367" i="3"/>
  <c r="L367" i="3"/>
  <c r="K367" i="3"/>
  <c r="J367" i="3"/>
  <c r="I367" i="3"/>
  <c r="H367" i="3"/>
  <c r="G367" i="3"/>
  <c r="F367" i="3"/>
  <c r="E367" i="3"/>
  <c r="D367" i="3"/>
  <c r="C367" i="3"/>
  <c r="B367" i="3" s="1"/>
  <c r="T366" i="3"/>
  <c r="S366" i="3"/>
  <c r="R366" i="3"/>
  <c r="Q366" i="3"/>
  <c r="P366" i="3"/>
  <c r="O366" i="3"/>
  <c r="N366" i="3"/>
  <c r="M366" i="3"/>
  <c r="L366" i="3"/>
  <c r="K366" i="3"/>
  <c r="J366" i="3"/>
  <c r="I366" i="3"/>
  <c r="H366" i="3"/>
  <c r="G366" i="3"/>
  <c r="F366" i="3"/>
  <c r="E366" i="3"/>
  <c r="D366" i="3"/>
  <c r="C366" i="3"/>
  <c r="B366" i="3" s="1"/>
  <c r="T365" i="3"/>
  <c r="S365" i="3"/>
  <c r="R365" i="3"/>
  <c r="Q365" i="3"/>
  <c r="P365" i="3"/>
  <c r="O365" i="3"/>
  <c r="N365" i="3"/>
  <c r="M365" i="3"/>
  <c r="L365" i="3"/>
  <c r="K365" i="3"/>
  <c r="J365" i="3"/>
  <c r="I365" i="3"/>
  <c r="H365" i="3"/>
  <c r="G365" i="3"/>
  <c r="F365" i="3"/>
  <c r="E365" i="3"/>
  <c r="D365" i="3"/>
  <c r="C365" i="3"/>
  <c r="B365" i="3" s="1"/>
  <c r="T364" i="3"/>
  <c r="S364" i="3"/>
  <c r="R364" i="3"/>
  <c r="Q364" i="3"/>
  <c r="P364" i="3"/>
  <c r="O364" i="3"/>
  <c r="N364" i="3"/>
  <c r="M364" i="3"/>
  <c r="L364" i="3"/>
  <c r="K364" i="3"/>
  <c r="J364" i="3"/>
  <c r="I364" i="3"/>
  <c r="H364" i="3"/>
  <c r="G364" i="3"/>
  <c r="F364" i="3"/>
  <c r="E364" i="3"/>
  <c r="D364" i="3"/>
  <c r="C364" i="3"/>
  <c r="B364" i="3" s="1"/>
  <c r="T363" i="3"/>
  <c r="S363" i="3"/>
  <c r="R363" i="3"/>
  <c r="Q363" i="3"/>
  <c r="P363" i="3"/>
  <c r="O363" i="3"/>
  <c r="N363" i="3"/>
  <c r="M363" i="3"/>
  <c r="L363" i="3"/>
  <c r="K363" i="3"/>
  <c r="J363" i="3"/>
  <c r="I363" i="3"/>
  <c r="H363" i="3"/>
  <c r="G363" i="3"/>
  <c r="F363" i="3"/>
  <c r="E363" i="3"/>
  <c r="D363" i="3"/>
  <c r="C363" i="3"/>
  <c r="B363" i="3" s="1"/>
  <c r="T362" i="3"/>
  <c r="S362" i="3"/>
  <c r="R362" i="3"/>
  <c r="Q362" i="3"/>
  <c r="P362" i="3"/>
  <c r="O362" i="3"/>
  <c r="N362" i="3"/>
  <c r="M362" i="3"/>
  <c r="L362" i="3"/>
  <c r="K362" i="3"/>
  <c r="J362" i="3"/>
  <c r="I362" i="3"/>
  <c r="H362" i="3"/>
  <c r="G362" i="3"/>
  <c r="F362" i="3"/>
  <c r="E362" i="3"/>
  <c r="D362" i="3"/>
  <c r="C362" i="3"/>
  <c r="B362" i="3" s="1"/>
  <c r="T361" i="3"/>
  <c r="S361" i="3"/>
  <c r="R361" i="3"/>
  <c r="Q361" i="3"/>
  <c r="P361" i="3"/>
  <c r="O361" i="3"/>
  <c r="N361" i="3"/>
  <c r="M361" i="3"/>
  <c r="L361" i="3"/>
  <c r="K361" i="3"/>
  <c r="J361" i="3"/>
  <c r="I361" i="3"/>
  <c r="H361" i="3"/>
  <c r="G361" i="3"/>
  <c r="F361" i="3"/>
  <c r="E361" i="3"/>
  <c r="D361" i="3"/>
  <c r="C361" i="3"/>
  <c r="B361" i="3" s="1"/>
  <c r="T360" i="3"/>
  <c r="S360" i="3"/>
  <c r="R360" i="3"/>
  <c r="Q360" i="3"/>
  <c r="P360" i="3"/>
  <c r="O360" i="3"/>
  <c r="N360" i="3"/>
  <c r="M360" i="3"/>
  <c r="L360" i="3"/>
  <c r="K360" i="3"/>
  <c r="J360" i="3"/>
  <c r="I360" i="3"/>
  <c r="H360" i="3"/>
  <c r="G360" i="3"/>
  <c r="F360" i="3"/>
  <c r="E360" i="3"/>
  <c r="D360" i="3"/>
  <c r="C360" i="3"/>
  <c r="B360" i="3" s="1"/>
  <c r="T359" i="3"/>
  <c r="S359" i="3"/>
  <c r="R359" i="3"/>
  <c r="Q359" i="3"/>
  <c r="P359" i="3"/>
  <c r="O359" i="3"/>
  <c r="N359" i="3"/>
  <c r="M359" i="3"/>
  <c r="L359" i="3"/>
  <c r="K359" i="3"/>
  <c r="J359" i="3"/>
  <c r="I359" i="3"/>
  <c r="H359" i="3"/>
  <c r="G359" i="3"/>
  <c r="F359" i="3"/>
  <c r="E359" i="3"/>
  <c r="D359" i="3"/>
  <c r="C359" i="3"/>
  <c r="B359" i="3" s="1"/>
  <c r="T358" i="3"/>
  <c r="S358" i="3"/>
  <c r="R358" i="3"/>
  <c r="Q358" i="3"/>
  <c r="P358" i="3"/>
  <c r="O358" i="3"/>
  <c r="N358" i="3"/>
  <c r="M358" i="3"/>
  <c r="L358" i="3"/>
  <c r="K358" i="3"/>
  <c r="J358" i="3"/>
  <c r="I358" i="3"/>
  <c r="H358" i="3"/>
  <c r="G358" i="3"/>
  <c r="F358" i="3"/>
  <c r="E358" i="3"/>
  <c r="D358" i="3"/>
  <c r="C358" i="3"/>
  <c r="B358" i="3" s="1"/>
  <c r="T357" i="3"/>
  <c r="S357" i="3"/>
  <c r="R357" i="3"/>
  <c r="Q357" i="3"/>
  <c r="P357" i="3"/>
  <c r="O357" i="3"/>
  <c r="N357" i="3"/>
  <c r="M357" i="3"/>
  <c r="L357" i="3"/>
  <c r="K357" i="3"/>
  <c r="J357" i="3"/>
  <c r="I357" i="3"/>
  <c r="H357" i="3"/>
  <c r="G357" i="3"/>
  <c r="F357" i="3"/>
  <c r="E357" i="3"/>
  <c r="D357" i="3"/>
  <c r="C357" i="3"/>
  <c r="B357" i="3" s="1"/>
  <c r="T356" i="3"/>
  <c r="S356" i="3"/>
  <c r="R356" i="3"/>
  <c r="Q356" i="3"/>
  <c r="P356" i="3"/>
  <c r="O356" i="3"/>
  <c r="N356" i="3"/>
  <c r="M356" i="3"/>
  <c r="L356" i="3"/>
  <c r="K356" i="3"/>
  <c r="J356" i="3"/>
  <c r="I356" i="3"/>
  <c r="H356" i="3"/>
  <c r="G356" i="3"/>
  <c r="F356" i="3"/>
  <c r="E356" i="3"/>
  <c r="D356" i="3"/>
  <c r="C356" i="3"/>
  <c r="B356" i="3" s="1"/>
  <c r="T355" i="3"/>
  <c r="S355" i="3"/>
  <c r="R355" i="3"/>
  <c r="Q355" i="3"/>
  <c r="P355" i="3"/>
  <c r="O355" i="3"/>
  <c r="N355" i="3"/>
  <c r="M355" i="3"/>
  <c r="L355" i="3"/>
  <c r="K355" i="3"/>
  <c r="J355" i="3"/>
  <c r="I355" i="3"/>
  <c r="H355" i="3"/>
  <c r="G355" i="3"/>
  <c r="F355" i="3"/>
  <c r="E355" i="3"/>
  <c r="D355" i="3"/>
  <c r="C355" i="3"/>
  <c r="B355" i="3" s="1"/>
  <c r="T354" i="3"/>
  <c r="S354" i="3"/>
  <c r="R354" i="3"/>
  <c r="Q354" i="3"/>
  <c r="P354" i="3"/>
  <c r="O354" i="3"/>
  <c r="N354" i="3"/>
  <c r="M354" i="3"/>
  <c r="L354" i="3"/>
  <c r="K354" i="3"/>
  <c r="J354" i="3"/>
  <c r="I354" i="3"/>
  <c r="H354" i="3"/>
  <c r="G354" i="3"/>
  <c r="F354" i="3"/>
  <c r="E354" i="3"/>
  <c r="D354" i="3"/>
  <c r="C354" i="3"/>
  <c r="B354" i="3" s="1"/>
  <c r="T353" i="3"/>
  <c r="S353" i="3"/>
  <c r="R353" i="3"/>
  <c r="Q353" i="3"/>
  <c r="P353" i="3"/>
  <c r="O353" i="3"/>
  <c r="N353" i="3"/>
  <c r="M353" i="3"/>
  <c r="L353" i="3"/>
  <c r="K353" i="3"/>
  <c r="J353" i="3"/>
  <c r="I353" i="3"/>
  <c r="H353" i="3"/>
  <c r="G353" i="3"/>
  <c r="F353" i="3"/>
  <c r="E353" i="3"/>
  <c r="D353" i="3"/>
  <c r="B353" i="3"/>
  <c r="T352" i="3"/>
  <c r="S352" i="3"/>
  <c r="R352" i="3"/>
  <c r="Q352" i="3"/>
  <c r="P352" i="3"/>
  <c r="O352" i="3"/>
  <c r="N352" i="3"/>
  <c r="M352" i="3"/>
  <c r="L352" i="3"/>
  <c r="K352" i="3"/>
  <c r="J352" i="3"/>
  <c r="I352" i="3"/>
  <c r="H352" i="3"/>
  <c r="G352" i="3"/>
  <c r="F352" i="3"/>
  <c r="E352" i="3"/>
  <c r="D352" i="3"/>
  <c r="C352" i="3"/>
  <c r="B352" i="3" s="1"/>
  <c r="T351" i="3"/>
  <c r="S351" i="3"/>
  <c r="R351" i="3"/>
  <c r="Q351" i="3"/>
  <c r="P351" i="3"/>
  <c r="O351" i="3"/>
  <c r="N351" i="3"/>
  <c r="M351" i="3"/>
  <c r="L351" i="3"/>
  <c r="K351" i="3"/>
  <c r="J351" i="3"/>
  <c r="I351" i="3"/>
  <c r="H351" i="3"/>
  <c r="G351" i="3"/>
  <c r="F351" i="3"/>
  <c r="E351" i="3"/>
  <c r="D351" i="3"/>
  <c r="C351" i="3"/>
  <c r="B351" i="3" s="1"/>
  <c r="T350" i="3"/>
  <c r="S350" i="3"/>
  <c r="R350" i="3"/>
  <c r="Q350" i="3"/>
  <c r="P350" i="3"/>
  <c r="O350" i="3"/>
  <c r="N350" i="3"/>
  <c r="M350" i="3"/>
  <c r="L350" i="3"/>
  <c r="K350" i="3"/>
  <c r="J350" i="3"/>
  <c r="I350" i="3"/>
  <c r="H350" i="3"/>
  <c r="G350" i="3"/>
  <c r="F350" i="3"/>
  <c r="E350" i="3"/>
  <c r="D350" i="3"/>
  <c r="C350" i="3"/>
  <c r="B350" i="3" s="1"/>
  <c r="T349" i="3"/>
  <c r="S349" i="3"/>
  <c r="R349" i="3"/>
  <c r="Q349" i="3"/>
  <c r="P349" i="3"/>
  <c r="O349" i="3"/>
  <c r="N349" i="3"/>
  <c r="M349" i="3"/>
  <c r="L349" i="3"/>
  <c r="K349" i="3"/>
  <c r="J349" i="3"/>
  <c r="I349" i="3"/>
  <c r="H349" i="3"/>
  <c r="G349" i="3"/>
  <c r="F349" i="3"/>
  <c r="E349" i="3"/>
  <c r="D349" i="3"/>
  <c r="C349" i="3"/>
  <c r="B349" i="3" s="1"/>
  <c r="T348" i="3"/>
  <c r="S348" i="3"/>
  <c r="R348" i="3"/>
  <c r="Q348" i="3"/>
  <c r="P348" i="3"/>
  <c r="O348" i="3"/>
  <c r="N348" i="3"/>
  <c r="M348" i="3"/>
  <c r="L348" i="3"/>
  <c r="K348" i="3"/>
  <c r="J348" i="3"/>
  <c r="I348" i="3"/>
  <c r="H348" i="3"/>
  <c r="G348" i="3"/>
  <c r="F348" i="3"/>
  <c r="E348" i="3"/>
  <c r="D348" i="3"/>
  <c r="C348" i="3"/>
  <c r="B348" i="3" s="1"/>
  <c r="T347" i="3"/>
  <c r="S347" i="3"/>
  <c r="R347" i="3"/>
  <c r="Q347" i="3"/>
  <c r="P347" i="3"/>
  <c r="O347" i="3"/>
  <c r="N347" i="3"/>
  <c r="M347" i="3"/>
  <c r="L347" i="3"/>
  <c r="K347" i="3"/>
  <c r="J347" i="3"/>
  <c r="I347" i="3"/>
  <c r="H347" i="3"/>
  <c r="G347" i="3"/>
  <c r="F347" i="3"/>
  <c r="E347" i="3"/>
  <c r="D347" i="3"/>
  <c r="C347" i="3"/>
  <c r="B347" i="3" s="1"/>
  <c r="T346" i="3"/>
  <c r="S346" i="3"/>
  <c r="R346" i="3"/>
  <c r="Q346" i="3"/>
  <c r="P346" i="3"/>
  <c r="O346" i="3"/>
  <c r="N346" i="3"/>
  <c r="M346" i="3"/>
  <c r="L346" i="3"/>
  <c r="K346" i="3"/>
  <c r="J346" i="3"/>
  <c r="I346" i="3"/>
  <c r="H346" i="3"/>
  <c r="G346" i="3"/>
  <c r="F346" i="3"/>
  <c r="E346" i="3"/>
  <c r="D346" i="3"/>
  <c r="C346" i="3"/>
  <c r="B346" i="3" s="1"/>
  <c r="T345" i="3"/>
  <c r="S345" i="3"/>
  <c r="R345" i="3"/>
  <c r="Q345" i="3"/>
  <c r="P345" i="3"/>
  <c r="O345" i="3"/>
  <c r="N345" i="3"/>
  <c r="M345" i="3"/>
  <c r="L345" i="3"/>
  <c r="K345" i="3"/>
  <c r="J345" i="3"/>
  <c r="I345" i="3"/>
  <c r="H345" i="3"/>
  <c r="G345" i="3"/>
  <c r="F345" i="3"/>
  <c r="E345" i="3"/>
  <c r="D345" i="3"/>
  <c r="C345" i="3"/>
  <c r="B345" i="3" s="1"/>
  <c r="T344" i="3"/>
  <c r="S344" i="3"/>
  <c r="R344" i="3"/>
  <c r="Q344" i="3"/>
  <c r="P344" i="3"/>
  <c r="O344" i="3"/>
  <c r="N344" i="3"/>
  <c r="M344" i="3"/>
  <c r="L344" i="3"/>
  <c r="K344" i="3"/>
  <c r="J344" i="3"/>
  <c r="I344" i="3"/>
  <c r="H344" i="3"/>
  <c r="G344" i="3"/>
  <c r="F344" i="3"/>
  <c r="E344" i="3"/>
  <c r="D344" i="3"/>
  <c r="B344" i="3"/>
  <c r="T343" i="3"/>
  <c r="S343" i="3"/>
  <c r="R343" i="3"/>
  <c r="Q343" i="3"/>
  <c r="P343" i="3"/>
  <c r="O343" i="3"/>
  <c r="N343" i="3"/>
  <c r="M343" i="3"/>
  <c r="L343" i="3"/>
  <c r="K343" i="3"/>
  <c r="J343" i="3"/>
  <c r="I343" i="3"/>
  <c r="H343" i="3"/>
  <c r="G343" i="3"/>
  <c r="F343" i="3"/>
  <c r="E343" i="3"/>
  <c r="D343" i="3"/>
  <c r="C343" i="3"/>
  <c r="B343" i="3" s="1"/>
  <c r="T342" i="3"/>
  <c r="S342" i="3"/>
  <c r="R342" i="3"/>
  <c r="Q342" i="3"/>
  <c r="P342" i="3"/>
  <c r="O342" i="3"/>
  <c r="N342" i="3"/>
  <c r="M342" i="3"/>
  <c r="L342" i="3"/>
  <c r="K342" i="3"/>
  <c r="J342" i="3"/>
  <c r="I342" i="3"/>
  <c r="H342" i="3"/>
  <c r="G342" i="3"/>
  <c r="F342" i="3"/>
  <c r="E342" i="3"/>
  <c r="D342" i="3"/>
  <c r="B342" i="3"/>
  <c r="T341" i="3"/>
  <c r="S341" i="3"/>
  <c r="R341" i="3"/>
  <c r="Q341" i="3"/>
  <c r="P341" i="3"/>
  <c r="O341" i="3"/>
  <c r="N341" i="3"/>
  <c r="M341" i="3"/>
  <c r="L341" i="3"/>
  <c r="K341" i="3"/>
  <c r="J341" i="3"/>
  <c r="I341" i="3"/>
  <c r="H341" i="3"/>
  <c r="G341" i="3"/>
  <c r="F341" i="3"/>
  <c r="E341" i="3"/>
  <c r="D341" i="3"/>
  <c r="C341" i="3"/>
  <c r="B341" i="3" s="1"/>
  <c r="T340" i="3"/>
  <c r="S340" i="3"/>
  <c r="R340" i="3"/>
  <c r="Q340" i="3"/>
  <c r="P340" i="3"/>
  <c r="O340" i="3"/>
  <c r="N340" i="3"/>
  <c r="M340" i="3"/>
  <c r="L340" i="3"/>
  <c r="K340" i="3"/>
  <c r="J340" i="3"/>
  <c r="I340" i="3"/>
  <c r="H340" i="3"/>
  <c r="G340" i="3"/>
  <c r="F340" i="3"/>
  <c r="E340" i="3"/>
  <c r="D340" i="3"/>
  <c r="C340" i="3"/>
  <c r="B340" i="3" s="1"/>
  <c r="T339" i="3"/>
  <c r="S339" i="3"/>
  <c r="R339" i="3"/>
  <c r="Q339" i="3"/>
  <c r="P339" i="3"/>
  <c r="O339" i="3"/>
  <c r="N339" i="3"/>
  <c r="M339" i="3"/>
  <c r="L339" i="3"/>
  <c r="K339" i="3"/>
  <c r="J339" i="3"/>
  <c r="I339" i="3"/>
  <c r="H339" i="3"/>
  <c r="G339" i="3"/>
  <c r="F339" i="3"/>
  <c r="E339" i="3"/>
  <c r="D339" i="3"/>
  <c r="C339" i="3"/>
  <c r="B339" i="3" s="1"/>
  <c r="T338" i="3"/>
  <c r="S338" i="3"/>
  <c r="R338" i="3"/>
  <c r="Q338" i="3"/>
  <c r="P338" i="3"/>
  <c r="O338" i="3"/>
  <c r="N338" i="3"/>
  <c r="M338" i="3"/>
  <c r="L338" i="3"/>
  <c r="K338" i="3"/>
  <c r="J338" i="3"/>
  <c r="I338" i="3"/>
  <c r="H338" i="3"/>
  <c r="G338" i="3"/>
  <c r="F338" i="3"/>
  <c r="E338" i="3"/>
  <c r="D338" i="3"/>
  <c r="B338" i="3"/>
  <c r="T337" i="3"/>
  <c r="S337" i="3"/>
  <c r="R337" i="3"/>
  <c r="Q337" i="3"/>
  <c r="P337" i="3"/>
  <c r="O337" i="3"/>
  <c r="N337" i="3"/>
  <c r="M337" i="3"/>
  <c r="L337" i="3"/>
  <c r="K337" i="3"/>
  <c r="J337" i="3"/>
  <c r="I337" i="3"/>
  <c r="H337" i="3"/>
  <c r="G337" i="3"/>
  <c r="F337" i="3"/>
  <c r="E337" i="3"/>
  <c r="D337" i="3"/>
  <c r="C337" i="3"/>
  <c r="B337" i="3" s="1"/>
  <c r="T336" i="3"/>
  <c r="S336" i="3"/>
  <c r="R336" i="3"/>
  <c r="Q336" i="3"/>
  <c r="P336" i="3"/>
  <c r="O336" i="3"/>
  <c r="N336" i="3"/>
  <c r="M336" i="3"/>
  <c r="L336" i="3"/>
  <c r="K336" i="3"/>
  <c r="J336" i="3"/>
  <c r="I336" i="3"/>
  <c r="H336" i="3"/>
  <c r="G336" i="3"/>
  <c r="F336" i="3"/>
  <c r="E336" i="3"/>
  <c r="D336" i="3"/>
  <c r="C336" i="3"/>
  <c r="B336" i="3" s="1"/>
  <c r="T335" i="3"/>
  <c r="S335" i="3"/>
  <c r="R335" i="3"/>
  <c r="Q335" i="3"/>
  <c r="P335" i="3"/>
  <c r="O335" i="3"/>
  <c r="N335" i="3"/>
  <c r="M335" i="3"/>
  <c r="L335" i="3"/>
  <c r="K335" i="3"/>
  <c r="J335" i="3"/>
  <c r="I335" i="3"/>
  <c r="H335" i="3"/>
  <c r="G335" i="3"/>
  <c r="F335" i="3"/>
  <c r="E335" i="3"/>
  <c r="D335" i="3"/>
  <c r="C335" i="3"/>
  <c r="B335" i="3" s="1"/>
  <c r="T334" i="3"/>
  <c r="S334" i="3"/>
  <c r="R334" i="3"/>
  <c r="Q334" i="3"/>
  <c r="P334" i="3"/>
  <c r="O334" i="3"/>
  <c r="N334" i="3"/>
  <c r="M334" i="3"/>
  <c r="L334" i="3"/>
  <c r="K334" i="3"/>
  <c r="J334" i="3"/>
  <c r="I334" i="3"/>
  <c r="H334" i="3"/>
  <c r="G334" i="3"/>
  <c r="F334" i="3"/>
  <c r="E334" i="3"/>
  <c r="D334" i="3"/>
  <c r="C334" i="3"/>
  <c r="B334" i="3" s="1"/>
  <c r="T333" i="3"/>
  <c r="S333" i="3"/>
  <c r="R333" i="3"/>
  <c r="Q333" i="3"/>
  <c r="P333" i="3"/>
  <c r="O333" i="3"/>
  <c r="N333" i="3"/>
  <c r="M333" i="3"/>
  <c r="L333" i="3"/>
  <c r="K333" i="3"/>
  <c r="J333" i="3"/>
  <c r="I333" i="3"/>
  <c r="H333" i="3"/>
  <c r="G333" i="3"/>
  <c r="F333" i="3"/>
  <c r="E333" i="3"/>
  <c r="D333" i="3"/>
  <c r="B333" i="3"/>
  <c r="T332" i="3"/>
  <c r="S332" i="3"/>
  <c r="R332" i="3"/>
  <c r="Q332" i="3"/>
  <c r="P332" i="3"/>
  <c r="O332" i="3"/>
  <c r="N332" i="3"/>
  <c r="M332" i="3"/>
  <c r="L332" i="3"/>
  <c r="K332" i="3"/>
  <c r="J332" i="3"/>
  <c r="I332" i="3"/>
  <c r="H332" i="3"/>
  <c r="G332" i="3"/>
  <c r="F332" i="3"/>
  <c r="E332" i="3"/>
  <c r="D332" i="3"/>
  <c r="B332" i="3"/>
  <c r="T331" i="3"/>
  <c r="S331" i="3"/>
  <c r="R331" i="3"/>
  <c r="Q331" i="3"/>
  <c r="P331" i="3"/>
  <c r="O331" i="3"/>
  <c r="N331" i="3"/>
  <c r="M331" i="3"/>
  <c r="L331" i="3"/>
  <c r="K331" i="3"/>
  <c r="J331" i="3"/>
  <c r="I331" i="3"/>
  <c r="H331" i="3"/>
  <c r="G331" i="3"/>
  <c r="F331" i="3"/>
  <c r="E331" i="3"/>
  <c r="D331" i="3"/>
  <c r="C331" i="3"/>
  <c r="B331" i="3" s="1"/>
  <c r="T330" i="3"/>
  <c r="S330" i="3"/>
  <c r="R330" i="3"/>
  <c r="Q330" i="3"/>
  <c r="P330" i="3"/>
  <c r="O330" i="3"/>
  <c r="N330" i="3"/>
  <c r="M330" i="3"/>
  <c r="L330" i="3"/>
  <c r="K330" i="3"/>
  <c r="J330" i="3"/>
  <c r="I330" i="3"/>
  <c r="H330" i="3"/>
  <c r="G330" i="3"/>
  <c r="F330" i="3"/>
  <c r="E330" i="3"/>
  <c r="D330" i="3"/>
  <c r="B330" i="3"/>
  <c r="T329" i="3"/>
  <c r="S329" i="3"/>
  <c r="R329" i="3"/>
  <c r="Q329" i="3"/>
  <c r="P329" i="3"/>
  <c r="O329" i="3"/>
  <c r="N329" i="3"/>
  <c r="M329" i="3"/>
  <c r="L329" i="3"/>
  <c r="K329" i="3"/>
  <c r="J329" i="3"/>
  <c r="I329" i="3"/>
  <c r="H329" i="3"/>
  <c r="G329" i="3"/>
  <c r="F329" i="3"/>
  <c r="E329" i="3"/>
  <c r="D329" i="3"/>
  <c r="B329" i="3"/>
  <c r="T328" i="3"/>
  <c r="S328" i="3"/>
  <c r="R328" i="3"/>
  <c r="Q328" i="3"/>
  <c r="P328" i="3"/>
  <c r="O328" i="3"/>
  <c r="N328" i="3"/>
  <c r="M328" i="3"/>
  <c r="L328" i="3"/>
  <c r="K328" i="3"/>
  <c r="J328" i="3"/>
  <c r="I328" i="3"/>
  <c r="H328" i="3"/>
  <c r="G328" i="3"/>
  <c r="F328" i="3"/>
  <c r="E328" i="3"/>
  <c r="D328" i="3"/>
  <c r="C328" i="3"/>
  <c r="B328" i="3" s="1"/>
  <c r="T327" i="3"/>
  <c r="S327" i="3"/>
  <c r="R327" i="3"/>
  <c r="Q327" i="3"/>
  <c r="P327" i="3"/>
  <c r="O327" i="3"/>
  <c r="N327" i="3"/>
  <c r="M327" i="3"/>
  <c r="L327" i="3"/>
  <c r="K327" i="3"/>
  <c r="J327" i="3"/>
  <c r="I327" i="3"/>
  <c r="H327" i="3"/>
  <c r="G327" i="3"/>
  <c r="F327" i="3"/>
  <c r="E327" i="3"/>
  <c r="D327" i="3"/>
  <c r="C327" i="3"/>
  <c r="B327" i="3" s="1"/>
  <c r="T326" i="3"/>
  <c r="S326" i="3"/>
  <c r="R326" i="3"/>
  <c r="Q326" i="3"/>
  <c r="P326" i="3"/>
  <c r="O326" i="3"/>
  <c r="N326" i="3"/>
  <c r="M326" i="3"/>
  <c r="L326" i="3"/>
  <c r="K326" i="3"/>
  <c r="J326" i="3"/>
  <c r="I326" i="3"/>
  <c r="H326" i="3"/>
  <c r="G326" i="3"/>
  <c r="F326" i="3"/>
  <c r="E326" i="3"/>
  <c r="D326" i="3"/>
  <c r="C326" i="3"/>
  <c r="B326" i="3" s="1"/>
  <c r="T325" i="3"/>
  <c r="S325" i="3"/>
  <c r="R325" i="3"/>
  <c r="Q325" i="3"/>
  <c r="P325" i="3"/>
  <c r="O325" i="3"/>
  <c r="N325" i="3"/>
  <c r="M325" i="3"/>
  <c r="L325" i="3"/>
  <c r="K325" i="3"/>
  <c r="J325" i="3"/>
  <c r="I325" i="3"/>
  <c r="H325" i="3"/>
  <c r="G325" i="3"/>
  <c r="F325" i="3"/>
  <c r="E325" i="3"/>
  <c r="D325" i="3"/>
  <c r="C325" i="3"/>
  <c r="B325" i="3" s="1"/>
  <c r="T324" i="3"/>
  <c r="S324" i="3"/>
  <c r="R324" i="3"/>
  <c r="Q324" i="3"/>
  <c r="P324" i="3"/>
  <c r="O324" i="3"/>
  <c r="N324" i="3"/>
  <c r="M324" i="3"/>
  <c r="L324" i="3"/>
  <c r="K324" i="3"/>
  <c r="J324" i="3"/>
  <c r="I324" i="3"/>
  <c r="H324" i="3"/>
  <c r="G324" i="3"/>
  <c r="F324" i="3"/>
  <c r="E324" i="3"/>
  <c r="D324" i="3"/>
  <c r="C324" i="3"/>
  <c r="B324" i="3" s="1"/>
  <c r="T323" i="3"/>
  <c r="S323" i="3"/>
  <c r="R323" i="3"/>
  <c r="Q323" i="3"/>
  <c r="P323" i="3"/>
  <c r="O323" i="3"/>
  <c r="N323" i="3"/>
  <c r="M323" i="3"/>
  <c r="L323" i="3"/>
  <c r="K323" i="3"/>
  <c r="J323" i="3"/>
  <c r="I323" i="3"/>
  <c r="H323" i="3"/>
  <c r="G323" i="3"/>
  <c r="F323" i="3"/>
  <c r="E323" i="3"/>
  <c r="D323" i="3"/>
  <c r="C323" i="3"/>
  <c r="B323" i="3" s="1"/>
  <c r="T322" i="3"/>
  <c r="S322" i="3"/>
  <c r="R322" i="3"/>
  <c r="Q322" i="3"/>
  <c r="P322" i="3"/>
  <c r="O322" i="3"/>
  <c r="N322" i="3"/>
  <c r="M322" i="3"/>
  <c r="L322" i="3"/>
  <c r="K322" i="3"/>
  <c r="J322" i="3"/>
  <c r="I322" i="3"/>
  <c r="H322" i="3"/>
  <c r="G322" i="3"/>
  <c r="F322" i="3"/>
  <c r="E322" i="3"/>
  <c r="D322" i="3"/>
  <c r="C322" i="3"/>
  <c r="B322" i="3" s="1"/>
  <c r="T321" i="3"/>
  <c r="S321" i="3"/>
  <c r="R321" i="3"/>
  <c r="Q321" i="3"/>
  <c r="P321" i="3"/>
  <c r="O321" i="3"/>
  <c r="N321" i="3"/>
  <c r="M321" i="3"/>
  <c r="L321" i="3"/>
  <c r="K321" i="3"/>
  <c r="J321" i="3"/>
  <c r="I321" i="3"/>
  <c r="H321" i="3"/>
  <c r="G321" i="3"/>
  <c r="F321" i="3"/>
  <c r="E321" i="3"/>
  <c r="D321" i="3"/>
  <c r="C321" i="3"/>
  <c r="B321" i="3" s="1"/>
  <c r="T320" i="3"/>
  <c r="S320" i="3"/>
  <c r="R320" i="3"/>
  <c r="Q320" i="3"/>
  <c r="P320" i="3"/>
  <c r="O320" i="3"/>
  <c r="N320" i="3"/>
  <c r="M320" i="3"/>
  <c r="L320" i="3"/>
  <c r="K320" i="3"/>
  <c r="J320" i="3"/>
  <c r="I320" i="3"/>
  <c r="H320" i="3"/>
  <c r="G320" i="3"/>
  <c r="F320" i="3"/>
  <c r="E320" i="3"/>
  <c r="D320" i="3"/>
  <c r="B320" i="3"/>
  <c r="T319" i="3"/>
  <c r="S319" i="3"/>
  <c r="R319" i="3"/>
  <c r="Q319" i="3"/>
  <c r="P319" i="3"/>
  <c r="O319" i="3"/>
  <c r="N319" i="3"/>
  <c r="M319" i="3"/>
  <c r="L319" i="3"/>
  <c r="K319" i="3"/>
  <c r="J319" i="3"/>
  <c r="I319" i="3"/>
  <c r="H319" i="3"/>
  <c r="G319" i="3"/>
  <c r="F319" i="3"/>
  <c r="E319" i="3"/>
  <c r="D319" i="3"/>
  <c r="C319" i="3"/>
  <c r="B319" i="3" s="1"/>
  <c r="T318" i="3"/>
  <c r="S318" i="3"/>
  <c r="R318" i="3"/>
  <c r="Q318" i="3"/>
  <c r="P318" i="3"/>
  <c r="O318" i="3"/>
  <c r="N318" i="3"/>
  <c r="M318" i="3"/>
  <c r="L318" i="3"/>
  <c r="K318" i="3"/>
  <c r="J318" i="3"/>
  <c r="I318" i="3"/>
  <c r="H318" i="3"/>
  <c r="G318" i="3"/>
  <c r="F318" i="3"/>
  <c r="E318" i="3"/>
  <c r="D318" i="3"/>
  <c r="C318" i="3"/>
  <c r="B318" i="3" s="1"/>
  <c r="T317" i="3"/>
  <c r="S317" i="3"/>
  <c r="R317" i="3"/>
  <c r="Q317" i="3"/>
  <c r="P317" i="3"/>
  <c r="O317" i="3"/>
  <c r="N317" i="3"/>
  <c r="M317" i="3"/>
  <c r="L317" i="3"/>
  <c r="K317" i="3"/>
  <c r="J317" i="3"/>
  <c r="I317" i="3"/>
  <c r="H317" i="3"/>
  <c r="G317" i="3"/>
  <c r="F317" i="3"/>
  <c r="E317" i="3"/>
  <c r="D317" i="3"/>
  <c r="C317" i="3"/>
  <c r="B317" i="3" s="1"/>
  <c r="T316" i="3"/>
  <c r="S316" i="3"/>
  <c r="R316" i="3"/>
  <c r="Q316" i="3"/>
  <c r="P316" i="3"/>
  <c r="O316" i="3"/>
  <c r="N316" i="3"/>
  <c r="M316" i="3"/>
  <c r="L316" i="3"/>
  <c r="K316" i="3"/>
  <c r="J316" i="3"/>
  <c r="I316" i="3"/>
  <c r="H316" i="3"/>
  <c r="G316" i="3"/>
  <c r="F316" i="3"/>
  <c r="E316" i="3"/>
  <c r="D316" i="3"/>
  <c r="C316" i="3"/>
  <c r="B316" i="3" s="1"/>
  <c r="T315" i="3"/>
  <c r="S315" i="3"/>
  <c r="R315" i="3"/>
  <c r="Q315" i="3"/>
  <c r="P315" i="3"/>
  <c r="O315" i="3"/>
  <c r="N315" i="3"/>
  <c r="M315" i="3"/>
  <c r="L315" i="3"/>
  <c r="K315" i="3"/>
  <c r="J315" i="3"/>
  <c r="I315" i="3"/>
  <c r="H315" i="3"/>
  <c r="G315" i="3"/>
  <c r="F315" i="3"/>
  <c r="E315" i="3"/>
  <c r="D315" i="3"/>
  <c r="C315" i="3"/>
  <c r="B315" i="3" s="1"/>
  <c r="T314" i="3"/>
  <c r="S314" i="3"/>
  <c r="R314" i="3"/>
  <c r="Q314" i="3"/>
  <c r="P314" i="3"/>
  <c r="O314" i="3"/>
  <c r="N314" i="3"/>
  <c r="M314" i="3"/>
  <c r="L314" i="3"/>
  <c r="K314" i="3"/>
  <c r="J314" i="3"/>
  <c r="I314" i="3"/>
  <c r="H314" i="3"/>
  <c r="G314" i="3"/>
  <c r="F314" i="3"/>
  <c r="E314" i="3"/>
  <c r="D314" i="3"/>
  <c r="C314" i="3"/>
  <c r="B314" i="3" s="1"/>
  <c r="T313" i="3"/>
  <c r="S313" i="3"/>
  <c r="R313" i="3"/>
  <c r="Q313" i="3"/>
  <c r="P313" i="3"/>
  <c r="O313" i="3"/>
  <c r="N313" i="3"/>
  <c r="M313" i="3"/>
  <c r="L313" i="3"/>
  <c r="K313" i="3"/>
  <c r="J313" i="3"/>
  <c r="I313" i="3"/>
  <c r="H313" i="3"/>
  <c r="G313" i="3"/>
  <c r="F313" i="3"/>
  <c r="E313" i="3"/>
  <c r="D313" i="3"/>
  <c r="C313" i="3"/>
  <c r="B313" i="3" s="1"/>
  <c r="T312" i="3"/>
  <c r="S312" i="3"/>
  <c r="R312" i="3"/>
  <c r="Q312" i="3"/>
  <c r="P312" i="3"/>
  <c r="O312" i="3"/>
  <c r="N312" i="3"/>
  <c r="M312" i="3"/>
  <c r="L312" i="3"/>
  <c r="K312" i="3"/>
  <c r="J312" i="3"/>
  <c r="I312" i="3"/>
  <c r="H312" i="3"/>
  <c r="G312" i="3"/>
  <c r="F312" i="3"/>
  <c r="E312" i="3"/>
  <c r="D312" i="3"/>
  <c r="C312" i="3"/>
  <c r="B312" i="3" s="1"/>
  <c r="T311" i="3"/>
  <c r="S311" i="3"/>
  <c r="R311" i="3"/>
  <c r="Q311" i="3"/>
  <c r="P311" i="3"/>
  <c r="O311" i="3"/>
  <c r="N311" i="3"/>
  <c r="M311" i="3"/>
  <c r="L311" i="3"/>
  <c r="K311" i="3"/>
  <c r="J311" i="3"/>
  <c r="I311" i="3"/>
  <c r="H311" i="3"/>
  <c r="G311" i="3"/>
  <c r="F311" i="3"/>
  <c r="E311" i="3"/>
  <c r="D311" i="3"/>
  <c r="C311" i="3"/>
  <c r="B311" i="3" s="1"/>
  <c r="T310" i="3"/>
  <c r="S310" i="3"/>
  <c r="R310" i="3"/>
  <c r="Q310" i="3"/>
  <c r="P310" i="3"/>
  <c r="O310" i="3"/>
  <c r="N310" i="3"/>
  <c r="M310" i="3"/>
  <c r="L310" i="3"/>
  <c r="K310" i="3"/>
  <c r="J310" i="3"/>
  <c r="I310" i="3"/>
  <c r="H310" i="3"/>
  <c r="G310" i="3"/>
  <c r="F310" i="3"/>
  <c r="E310" i="3"/>
  <c r="D310" i="3"/>
  <c r="C310" i="3"/>
  <c r="B310" i="3" s="1"/>
  <c r="T309" i="3"/>
  <c r="S309" i="3"/>
  <c r="R309" i="3"/>
  <c r="Q309" i="3"/>
  <c r="P309" i="3"/>
  <c r="O309" i="3"/>
  <c r="N309" i="3"/>
  <c r="M309" i="3"/>
  <c r="L309" i="3"/>
  <c r="K309" i="3"/>
  <c r="J309" i="3"/>
  <c r="I309" i="3"/>
  <c r="H309" i="3"/>
  <c r="G309" i="3"/>
  <c r="F309" i="3"/>
  <c r="E309" i="3"/>
  <c r="D309" i="3"/>
  <c r="C309" i="3"/>
  <c r="B309" i="3" s="1"/>
  <c r="T308" i="3"/>
  <c r="S308" i="3"/>
  <c r="R308" i="3"/>
  <c r="Q308" i="3"/>
  <c r="P308" i="3"/>
  <c r="O308" i="3"/>
  <c r="N308" i="3"/>
  <c r="M308" i="3"/>
  <c r="L308" i="3"/>
  <c r="K308" i="3"/>
  <c r="J308" i="3"/>
  <c r="I308" i="3"/>
  <c r="H308" i="3"/>
  <c r="G308" i="3"/>
  <c r="F308" i="3"/>
  <c r="E308" i="3"/>
  <c r="D308" i="3"/>
  <c r="C308" i="3"/>
  <c r="B308" i="3" s="1"/>
  <c r="T307" i="3"/>
  <c r="S307" i="3"/>
  <c r="R307" i="3"/>
  <c r="Q307" i="3"/>
  <c r="P307" i="3"/>
  <c r="O307" i="3"/>
  <c r="N307" i="3"/>
  <c r="M307" i="3"/>
  <c r="L307" i="3"/>
  <c r="K307" i="3"/>
  <c r="J307" i="3"/>
  <c r="I307" i="3"/>
  <c r="H307" i="3"/>
  <c r="G307" i="3"/>
  <c r="F307" i="3"/>
  <c r="E307" i="3"/>
  <c r="D307" i="3"/>
  <c r="C307" i="3"/>
  <c r="B307" i="3" s="1"/>
  <c r="T306" i="3"/>
  <c r="S306" i="3"/>
  <c r="R306" i="3"/>
  <c r="Q306" i="3"/>
  <c r="P306" i="3"/>
  <c r="O306" i="3"/>
  <c r="N306" i="3"/>
  <c r="M306" i="3"/>
  <c r="L306" i="3"/>
  <c r="K306" i="3"/>
  <c r="J306" i="3"/>
  <c r="I306" i="3"/>
  <c r="H306" i="3"/>
  <c r="G306" i="3"/>
  <c r="F306" i="3"/>
  <c r="E306" i="3"/>
  <c r="D306" i="3"/>
  <c r="C306" i="3"/>
  <c r="B306" i="3" s="1"/>
  <c r="T305" i="3"/>
  <c r="S305" i="3"/>
  <c r="R305" i="3"/>
  <c r="Q305" i="3"/>
  <c r="P305" i="3"/>
  <c r="O305" i="3"/>
  <c r="N305" i="3"/>
  <c r="M305" i="3"/>
  <c r="L305" i="3"/>
  <c r="K305" i="3"/>
  <c r="J305" i="3"/>
  <c r="I305" i="3"/>
  <c r="H305" i="3"/>
  <c r="G305" i="3"/>
  <c r="F305" i="3"/>
  <c r="E305" i="3"/>
  <c r="D305" i="3"/>
  <c r="C305" i="3"/>
  <c r="B305" i="3" s="1"/>
  <c r="T304" i="3"/>
  <c r="S304" i="3"/>
  <c r="R304" i="3"/>
  <c r="Q304" i="3"/>
  <c r="P304" i="3"/>
  <c r="O304" i="3"/>
  <c r="N304" i="3"/>
  <c r="M304" i="3"/>
  <c r="L304" i="3"/>
  <c r="K304" i="3"/>
  <c r="J304" i="3"/>
  <c r="I304" i="3"/>
  <c r="H304" i="3"/>
  <c r="G304" i="3"/>
  <c r="F304" i="3"/>
  <c r="E304" i="3"/>
  <c r="D304" i="3"/>
  <c r="C304" i="3"/>
  <c r="B304" i="3" s="1"/>
  <c r="T303" i="3"/>
  <c r="S303" i="3"/>
  <c r="R303" i="3"/>
  <c r="Q303" i="3"/>
  <c r="P303" i="3"/>
  <c r="O303" i="3"/>
  <c r="N303" i="3"/>
  <c r="M303" i="3"/>
  <c r="L303" i="3"/>
  <c r="K303" i="3"/>
  <c r="J303" i="3"/>
  <c r="I303" i="3"/>
  <c r="H303" i="3"/>
  <c r="G303" i="3"/>
  <c r="F303" i="3"/>
  <c r="E303" i="3"/>
  <c r="D303" i="3"/>
  <c r="C303" i="3"/>
  <c r="B303" i="3" s="1"/>
  <c r="T302" i="3"/>
  <c r="S302" i="3"/>
  <c r="R302" i="3"/>
  <c r="Q302" i="3"/>
  <c r="P302" i="3"/>
  <c r="O302" i="3"/>
  <c r="N302" i="3"/>
  <c r="M302" i="3"/>
  <c r="L302" i="3"/>
  <c r="K302" i="3"/>
  <c r="J302" i="3"/>
  <c r="I302" i="3"/>
  <c r="H302" i="3"/>
  <c r="G302" i="3"/>
  <c r="F302" i="3"/>
  <c r="E302" i="3"/>
  <c r="D302" i="3"/>
  <c r="C302" i="3"/>
  <c r="B302" i="3" s="1"/>
  <c r="T301" i="3"/>
  <c r="S301" i="3"/>
  <c r="R301" i="3"/>
  <c r="Q301" i="3"/>
  <c r="P301" i="3"/>
  <c r="O301" i="3"/>
  <c r="N301" i="3"/>
  <c r="M301" i="3"/>
  <c r="L301" i="3"/>
  <c r="K301" i="3"/>
  <c r="J301" i="3"/>
  <c r="I301" i="3"/>
  <c r="H301" i="3"/>
  <c r="G301" i="3"/>
  <c r="F301" i="3"/>
  <c r="E301" i="3"/>
  <c r="D301" i="3"/>
  <c r="C301" i="3"/>
  <c r="B301" i="3" s="1"/>
  <c r="T300" i="3"/>
  <c r="S300" i="3"/>
  <c r="R300" i="3"/>
  <c r="Q300" i="3"/>
  <c r="P300" i="3"/>
  <c r="O300" i="3"/>
  <c r="N300" i="3"/>
  <c r="M300" i="3"/>
  <c r="L300" i="3"/>
  <c r="K300" i="3"/>
  <c r="J300" i="3"/>
  <c r="I300" i="3"/>
  <c r="H300" i="3"/>
  <c r="G300" i="3"/>
  <c r="F300" i="3"/>
  <c r="E300" i="3"/>
  <c r="D300" i="3"/>
  <c r="C300" i="3"/>
  <c r="B300" i="3" s="1"/>
  <c r="T299" i="3"/>
  <c r="S299" i="3"/>
  <c r="R299" i="3"/>
  <c r="Q299" i="3"/>
  <c r="P299" i="3"/>
  <c r="O299" i="3"/>
  <c r="N299" i="3"/>
  <c r="M299" i="3"/>
  <c r="L299" i="3"/>
  <c r="K299" i="3"/>
  <c r="J299" i="3"/>
  <c r="I299" i="3"/>
  <c r="H299" i="3"/>
  <c r="G299" i="3"/>
  <c r="F299" i="3"/>
  <c r="E299" i="3"/>
  <c r="D299" i="3"/>
  <c r="C299" i="3"/>
  <c r="B299" i="3" s="1"/>
  <c r="T298" i="3"/>
  <c r="S298" i="3"/>
  <c r="R298" i="3"/>
  <c r="Q298" i="3"/>
  <c r="P298" i="3"/>
  <c r="O298" i="3"/>
  <c r="N298" i="3"/>
  <c r="M298" i="3"/>
  <c r="L298" i="3"/>
  <c r="K298" i="3"/>
  <c r="J298" i="3"/>
  <c r="I298" i="3"/>
  <c r="H298" i="3"/>
  <c r="G298" i="3"/>
  <c r="F298" i="3"/>
  <c r="E298" i="3"/>
  <c r="D298" i="3"/>
  <c r="B298" i="3"/>
  <c r="T297" i="3"/>
  <c r="S297" i="3"/>
  <c r="R297" i="3"/>
  <c r="Q297" i="3"/>
  <c r="P297" i="3"/>
  <c r="O297" i="3"/>
  <c r="N297" i="3"/>
  <c r="M297" i="3"/>
  <c r="L297" i="3"/>
  <c r="K297" i="3"/>
  <c r="J297" i="3"/>
  <c r="I297" i="3"/>
  <c r="H297" i="3"/>
  <c r="G297" i="3"/>
  <c r="F297" i="3"/>
  <c r="E297" i="3"/>
  <c r="D297" i="3"/>
  <c r="C297" i="3"/>
  <c r="B297" i="3" s="1"/>
  <c r="T296" i="3"/>
  <c r="S296" i="3"/>
  <c r="R296" i="3"/>
  <c r="Q296" i="3"/>
  <c r="P296" i="3"/>
  <c r="O296" i="3"/>
  <c r="N296" i="3"/>
  <c r="M296" i="3"/>
  <c r="L296" i="3"/>
  <c r="K296" i="3"/>
  <c r="J296" i="3"/>
  <c r="I296" i="3"/>
  <c r="H296" i="3"/>
  <c r="G296" i="3"/>
  <c r="F296" i="3"/>
  <c r="E296" i="3"/>
  <c r="D296" i="3"/>
  <c r="C296" i="3"/>
  <c r="B296" i="3" s="1"/>
  <c r="T295" i="3"/>
  <c r="S295" i="3"/>
  <c r="R295" i="3"/>
  <c r="Q295" i="3"/>
  <c r="P295" i="3"/>
  <c r="O295" i="3"/>
  <c r="N295" i="3"/>
  <c r="M295" i="3"/>
  <c r="L295" i="3"/>
  <c r="K295" i="3"/>
  <c r="J295" i="3"/>
  <c r="I295" i="3"/>
  <c r="H295" i="3"/>
  <c r="G295" i="3"/>
  <c r="F295" i="3"/>
  <c r="E295" i="3"/>
  <c r="D295" i="3"/>
  <c r="C295" i="3"/>
  <c r="B295" i="3" s="1"/>
  <c r="T294" i="3"/>
  <c r="S294" i="3"/>
  <c r="R294" i="3"/>
  <c r="Q294" i="3"/>
  <c r="P294" i="3"/>
  <c r="O294" i="3"/>
  <c r="N294" i="3"/>
  <c r="M294" i="3"/>
  <c r="L294" i="3"/>
  <c r="K294" i="3"/>
  <c r="J294" i="3"/>
  <c r="I294" i="3"/>
  <c r="H294" i="3"/>
  <c r="G294" i="3"/>
  <c r="F294" i="3"/>
  <c r="E294" i="3"/>
  <c r="D294" i="3"/>
  <c r="C294" i="3"/>
  <c r="B294" i="3" s="1"/>
  <c r="T293" i="3"/>
  <c r="S293" i="3"/>
  <c r="R293" i="3"/>
  <c r="Q293" i="3"/>
  <c r="P293" i="3"/>
  <c r="O293" i="3"/>
  <c r="N293" i="3"/>
  <c r="M293" i="3"/>
  <c r="L293" i="3"/>
  <c r="K293" i="3"/>
  <c r="J293" i="3"/>
  <c r="I293" i="3"/>
  <c r="H293" i="3"/>
  <c r="G293" i="3"/>
  <c r="F293" i="3"/>
  <c r="E293" i="3"/>
  <c r="D293" i="3"/>
  <c r="C293" i="3"/>
  <c r="B293" i="3" s="1"/>
  <c r="T292" i="3"/>
  <c r="S292" i="3"/>
  <c r="R292" i="3"/>
  <c r="Q292" i="3"/>
  <c r="P292" i="3"/>
  <c r="O292" i="3"/>
  <c r="N292" i="3"/>
  <c r="M292" i="3"/>
  <c r="L292" i="3"/>
  <c r="K292" i="3"/>
  <c r="J292" i="3"/>
  <c r="I292" i="3"/>
  <c r="H292" i="3"/>
  <c r="G292" i="3"/>
  <c r="F292" i="3"/>
  <c r="E292" i="3"/>
  <c r="D292" i="3"/>
  <c r="B292" i="3"/>
  <c r="T291" i="3"/>
  <c r="S291" i="3"/>
  <c r="R291" i="3"/>
  <c r="Q291" i="3"/>
  <c r="P291" i="3"/>
  <c r="O291" i="3"/>
  <c r="N291" i="3"/>
  <c r="M291" i="3"/>
  <c r="L291" i="3"/>
  <c r="K291" i="3"/>
  <c r="J291" i="3"/>
  <c r="I291" i="3"/>
  <c r="H291" i="3"/>
  <c r="G291" i="3"/>
  <c r="F291" i="3"/>
  <c r="E291" i="3"/>
  <c r="D291" i="3"/>
  <c r="C291" i="3"/>
  <c r="B291" i="3" s="1"/>
  <c r="T290" i="3"/>
  <c r="S290" i="3"/>
  <c r="R290" i="3"/>
  <c r="Q290" i="3"/>
  <c r="P290" i="3"/>
  <c r="O290" i="3"/>
  <c r="N290" i="3"/>
  <c r="M290" i="3"/>
  <c r="L290" i="3"/>
  <c r="K290" i="3"/>
  <c r="J290" i="3"/>
  <c r="I290" i="3"/>
  <c r="H290" i="3"/>
  <c r="G290" i="3"/>
  <c r="F290" i="3"/>
  <c r="E290" i="3"/>
  <c r="D290" i="3"/>
  <c r="C290" i="3"/>
  <c r="B290" i="3" s="1"/>
  <c r="T289" i="3"/>
  <c r="S289" i="3"/>
  <c r="R289" i="3"/>
  <c r="Q289" i="3"/>
  <c r="P289" i="3"/>
  <c r="O289" i="3"/>
  <c r="N289" i="3"/>
  <c r="M289" i="3"/>
  <c r="L289" i="3"/>
  <c r="K289" i="3"/>
  <c r="J289" i="3"/>
  <c r="I289" i="3"/>
  <c r="H289" i="3"/>
  <c r="G289" i="3"/>
  <c r="F289" i="3"/>
  <c r="E289" i="3"/>
  <c r="D289" i="3"/>
  <c r="C289" i="3"/>
  <c r="B289" i="3" s="1"/>
  <c r="T288" i="3"/>
  <c r="S288" i="3"/>
  <c r="R288" i="3"/>
  <c r="Q288" i="3"/>
  <c r="P288" i="3"/>
  <c r="O288" i="3"/>
  <c r="N288" i="3"/>
  <c r="M288" i="3"/>
  <c r="L288" i="3"/>
  <c r="K288" i="3"/>
  <c r="J288" i="3"/>
  <c r="I288" i="3"/>
  <c r="H288" i="3"/>
  <c r="G288" i="3"/>
  <c r="F288" i="3"/>
  <c r="E288" i="3"/>
  <c r="D288" i="3"/>
  <c r="C288" i="3"/>
  <c r="B288" i="3" s="1"/>
  <c r="T287" i="3"/>
  <c r="S287" i="3"/>
  <c r="R287" i="3"/>
  <c r="Q287" i="3"/>
  <c r="P287" i="3"/>
  <c r="O287" i="3"/>
  <c r="N287" i="3"/>
  <c r="M287" i="3"/>
  <c r="L287" i="3"/>
  <c r="K287" i="3"/>
  <c r="J287" i="3"/>
  <c r="I287" i="3"/>
  <c r="H287" i="3"/>
  <c r="G287" i="3"/>
  <c r="F287" i="3"/>
  <c r="E287" i="3"/>
  <c r="D287" i="3"/>
  <c r="C287" i="3"/>
  <c r="B287" i="3" s="1"/>
  <c r="T286" i="3"/>
  <c r="S286" i="3"/>
  <c r="R286" i="3"/>
  <c r="Q286" i="3"/>
  <c r="P286" i="3"/>
  <c r="O286" i="3"/>
  <c r="N286" i="3"/>
  <c r="M286" i="3"/>
  <c r="L286" i="3"/>
  <c r="K286" i="3"/>
  <c r="J286" i="3"/>
  <c r="I286" i="3"/>
  <c r="H286" i="3"/>
  <c r="G286" i="3"/>
  <c r="F286" i="3"/>
  <c r="E286" i="3"/>
  <c r="D286" i="3"/>
  <c r="C286" i="3"/>
  <c r="B286" i="3" s="1"/>
  <c r="T285" i="3"/>
  <c r="S285" i="3"/>
  <c r="R285" i="3"/>
  <c r="Q285" i="3"/>
  <c r="P285" i="3"/>
  <c r="O285" i="3"/>
  <c r="N285" i="3"/>
  <c r="M285" i="3"/>
  <c r="L285" i="3"/>
  <c r="K285" i="3"/>
  <c r="J285" i="3"/>
  <c r="I285" i="3"/>
  <c r="H285" i="3"/>
  <c r="G285" i="3"/>
  <c r="F285" i="3"/>
  <c r="E285" i="3"/>
  <c r="D285" i="3"/>
  <c r="C285" i="3"/>
  <c r="B285" i="3" s="1"/>
  <c r="T284" i="3"/>
  <c r="S284" i="3"/>
  <c r="R284" i="3"/>
  <c r="Q284" i="3"/>
  <c r="P284" i="3"/>
  <c r="O284" i="3"/>
  <c r="N284" i="3"/>
  <c r="M284" i="3"/>
  <c r="L284" i="3"/>
  <c r="K284" i="3"/>
  <c r="J284" i="3"/>
  <c r="I284" i="3"/>
  <c r="H284" i="3"/>
  <c r="G284" i="3"/>
  <c r="F284" i="3"/>
  <c r="E284" i="3"/>
  <c r="D284" i="3"/>
  <c r="B284" i="3"/>
  <c r="T283" i="3"/>
  <c r="S283" i="3"/>
  <c r="R283" i="3"/>
  <c r="Q283" i="3"/>
  <c r="P283" i="3"/>
  <c r="O283" i="3"/>
  <c r="N283" i="3"/>
  <c r="M283" i="3"/>
  <c r="L283" i="3"/>
  <c r="K283" i="3"/>
  <c r="J283" i="3"/>
  <c r="I283" i="3"/>
  <c r="H283" i="3"/>
  <c r="G283" i="3"/>
  <c r="F283" i="3"/>
  <c r="E283" i="3"/>
  <c r="D283" i="3"/>
  <c r="C283" i="3"/>
  <c r="B283" i="3" s="1"/>
  <c r="T282" i="3"/>
  <c r="S282" i="3"/>
  <c r="R282" i="3"/>
  <c r="Q282" i="3"/>
  <c r="P282" i="3"/>
  <c r="O282" i="3"/>
  <c r="N282" i="3"/>
  <c r="M282" i="3"/>
  <c r="L282" i="3"/>
  <c r="K282" i="3"/>
  <c r="J282" i="3"/>
  <c r="I282" i="3"/>
  <c r="H282" i="3"/>
  <c r="G282" i="3"/>
  <c r="F282" i="3"/>
  <c r="E282" i="3"/>
  <c r="D282" i="3"/>
  <c r="C282" i="3"/>
  <c r="B282" i="3" s="1"/>
  <c r="T281" i="3"/>
  <c r="S281" i="3"/>
  <c r="R281" i="3"/>
  <c r="Q281" i="3"/>
  <c r="P281" i="3"/>
  <c r="O281" i="3"/>
  <c r="N281" i="3"/>
  <c r="M281" i="3"/>
  <c r="L281" i="3"/>
  <c r="K281" i="3"/>
  <c r="J281" i="3"/>
  <c r="I281" i="3"/>
  <c r="H281" i="3"/>
  <c r="G281" i="3"/>
  <c r="F281" i="3"/>
  <c r="E281" i="3"/>
  <c r="D281" i="3"/>
  <c r="C281" i="3"/>
  <c r="B281" i="3" s="1"/>
  <c r="T280" i="3"/>
  <c r="S280" i="3"/>
  <c r="R280" i="3"/>
  <c r="Q280" i="3"/>
  <c r="P280" i="3"/>
  <c r="O280" i="3"/>
  <c r="N280" i="3"/>
  <c r="M280" i="3"/>
  <c r="L280" i="3"/>
  <c r="K280" i="3"/>
  <c r="J280" i="3"/>
  <c r="I280" i="3"/>
  <c r="H280" i="3"/>
  <c r="G280" i="3"/>
  <c r="F280" i="3"/>
  <c r="E280" i="3"/>
  <c r="D280" i="3"/>
  <c r="C280" i="3"/>
  <c r="B280" i="3" s="1"/>
  <c r="T279" i="3"/>
  <c r="S279" i="3"/>
  <c r="R279" i="3"/>
  <c r="Q279" i="3"/>
  <c r="P279" i="3"/>
  <c r="O279" i="3"/>
  <c r="N279" i="3"/>
  <c r="M279" i="3"/>
  <c r="L279" i="3"/>
  <c r="K279" i="3"/>
  <c r="J279" i="3"/>
  <c r="I279" i="3"/>
  <c r="H279" i="3"/>
  <c r="G279" i="3"/>
  <c r="F279" i="3"/>
  <c r="E279" i="3"/>
  <c r="D279" i="3"/>
  <c r="C279" i="3"/>
  <c r="B279" i="3" s="1"/>
  <c r="T278" i="3"/>
  <c r="S278" i="3"/>
  <c r="R278" i="3"/>
  <c r="Q278" i="3"/>
  <c r="P278" i="3"/>
  <c r="O278" i="3"/>
  <c r="N278" i="3"/>
  <c r="M278" i="3"/>
  <c r="L278" i="3"/>
  <c r="K278" i="3"/>
  <c r="J278" i="3"/>
  <c r="I278" i="3"/>
  <c r="H278" i="3"/>
  <c r="G278" i="3"/>
  <c r="F278" i="3"/>
  <c r="E278" i="3"/>
  <c r="D278" i="3"/>
  <c r="C278" i="3"/>
  <c r="B278" i="3" s="1"/>
  <c r="T277" i="3"/>
  <c r="S277" i="3"/>
  <c r="R277" i="3"/>
  <c r="Q277" i="3"/>
  <c r="P277" i="3"/>
  <c r="O277" i="3"/>
  <c r="N277" i="3"/>
  <c r="M277" i="3"/>
  <c r="L277" i="3"/>
  <c r="K277" i="3"/>
  <c r="J277" i="3"/>
  <c r="I277" i="3"/>
  <c r="H277" i="3"/>
  <c r="G277" i="3"/>
  <c r="F277" i="3"/>
  <c r="E277" i="3"/>
  <c r="D277" i="3"/>
  <c r="C277" i="3"/>
  <c r="B277" i="3" s="1"/>
  <c r="T276" i="3"/>
  <c r="S276" i="3"/>
  <c r="R276" i="3"/>
  <c r="Q276" i="3"/>
  <c r="P276" i="3"/>
  <c r="O276" i="3"/>
  <c r="N276" i="3"/>
  <c r="M276" i="3"/>
  <c r="L276" i="3"/>
  <c r="K276" i="3"/>
  <c r="J276" i="3"/>
  <c r="I276" i="3"/>
  <c r="H276" i="3"/>
  <c r="G276" i="3"/>
  <c r="F276" i="3"/>
  <c r="E276" i="3"/>
  <c r="D276" i="3"/>
  <c r="C276" i="3"/>
  <c r="B276" i="3" s="1"/>
  <c r="T275" i="3"/>
  <c r="S275" i="3"/>
  <c r="R275" i="3"/>
  <c r="Q275" i="3"/>
  <c r="P275" i="3"/>
  <c r="O275" i="3"/>
  <c r="N275" i="3"/>
  <c r="M275" i="3"/>
  <c r="L275" i="3"/>
  <c r="K275" i="3"/>
  <c r="J275" i="3"/>
  <c r="I275" i="3"/>
  <c r="H275" i="3"/>
  <c r="G275" i="3"/>
  <c r="F275" i="3"/>
  <c r="E275" i="3"/>
  <c r="D275" i="3"/>
  <c r="C275" i="3"/>
  <c r="B275" i="3" s="1"/>
  <c r="T274" i="3"/>
  <c r="S274" i="3"/>
  <c r="R274" i="3"/>
  <c r="Q274" i="3"/>
  <c r="P274" i="3"/>
  <c r="O274" i="3"/>
  <c r="N274" i="3"/>
  <c r="M274" i="3"/>
  <c r="L274" i="3"/>
  <c r="K274" i="3"/>
  <c r="J274" i="3"/>
  <c r="I274" i="3"/>
  <c r="H274" i="3"/>
  <c r="G274" i="3"/>
  <c r="F274" i="3"/>
  <c r="E274" i="3"/>
  <c r="D274" i="3"/>
  <c r="B274" i="3"/>
  <c r="T273" i="3"/>
  <c r="S273" i="3"/>
  <c r="R273" i="3"/>
  <c r="Q273" i="3"/>
  <c r="P273" i="3"/>
  <c r="O273" i="3"/>
  <c r="N273" i="3"/>
  <c r="M273" i="3"/>
  <c r="L273" i="3"/>
  <c r="K273" i="3"/>
  <c r="J273" i="3"/>
  <c r="I273" i="3"/>
  <c r="H273" i="3"/>
  <c r="G273" i="3"/>
  <c r="F273" i="3"/>
  <c r="E273" i="3"/>
  <c r="D273" i="3"/>
  <c r="C273" i="3"/>
  <c r="B273" i="3" s="1"/>
  <c r="T272" i="3"/>
  <c r="S272" i="3"/>
  <c r="R272" i="3"/>
  <c r="Q272" i="3"/>
  <c r="P272" i="3"/>
  <c r="O272" i="3"/>
  <c r="N272" i="3"/>
  <c r="M272" i="3"/>
  <c r="L272" i="3"/>
  <c r="K272" i="3"/>
  <c r="J272" i="3"/>
  <c r="I272" i="3"/>
  <c r="H272" i="3"/>
  <c r="G272" i="3"/>
  <c r="F272" i="3"/>
  <c r="E272" i="3"/>
  <c r="D272" i="3"/>
  <c r="C272" i="3"/>
  <c r="B272" i="3" s="1"/>
  <c r="T271" i="3"/>
  <c r="S271" i="3"/>
  <c r="R271" i="3"/>
  <c r="Q271" i="3"/>
  <c r="P271" i="3"/>
  <c r="O271" i="3"/>
  <c r="N271" i="3"/>
  <c r="M271" i="3"/>
  <c r="L271" i="3"/>
  <c r="K271" i="3"/>
  <c r="J271" i="3"/>
  <c r="I271" i="3"/>
  <c r="H271" i="3"/>
  <c r="G271" i="3"/>
  <c r="F271" i="3"/>
  <c r="E271" i="3"/>
  <c r="D271" i="3"/>
  <c r="C271" i="3"/>
  <c r="B271" i="3" s="1"/>
  <c r="T270" i="3"/>
  <c r="S270" i="3"/>
  <c r="R270" i="3"/>
  <c r="Q270" i="3"/>
  <c r="P270" i="3"/>
  <c r="O270" i="3"/>
  <c r="N270" i="3"/>
  <c r="M270" i="3"/>
  <c r="L270" i="3"/>
  <c r="K270" i="3"/>
  <c r="J270" i="3"/>
  <c r="I270" i="3"/>
  <c r="H270" i="3"/>
  <c r="G270" i="3"/>
  <c r="F270" i="3"/>
  <c r="E270" i="3"/>
  <c r="D270" i="3"/>
  <c r="C270" i="3"/>
  <c r="B270" i="3" s="1"/>
  <c r="T269" i="3"/>
  <c r="S269" i="3"/>
  <c r="R269" i="3"/>
  <c r="Q269" i="3"/>
  <c r="P269" i="3"/>
  <c r="O269" i="3"/>
  <c r="N269" i="3"/>
  <c r="M269" i="3"/>
  <c r="L269" i="3"/>
  <c r="K269" i="3"/>
  <c r="J269" i="3"/>
  <c r="I269" i="3"/>
  <c r="H269" i="3"/>
  <c r="G269" i="3"/>
  <c r="F269" i="3"/>
  <c r="E269" i="3"/>
  <c r="D269" i="3"/>
  <c r="C269" i="3"/>
  <c r="B269" i="3" s="1"/>
  <c r="T268" i="3"/>
  <c r="S268" i="3"/>
  <c r="R268" i="3"/>
  <c r="Q268" i="3"/>
  <c r="P268" i="3"/>
  <c r="O268" i="3"/>
  <c r="N268" i="3"/>
  <c r="M268" i="3"/>
  <c r="L268" i="3"/>
  <c r="K268" i="3"/>
  <c r="J268" i="3"/>
  <c r="I268" i="3"/>
  <c r="H268" i="3"/>
  <c r="G268" i="3"/>
  <c r="F268" i="3"/>
  <c r="E268" i="3"/>
  <c r="D268" i="3"/>
  <c r="C268" i="3"/>
  <c r="B268" i="3" s="1"/>
  <c r="T267" i="3"/>
  <c r="S267" i="3"/>
  <c r="R267" i="3"/>
  <c r="Q267" i="3"/>
  <c r="P267" i="3"/>
  <c r="O267" i="3"/>
  <c r="N267" i="3"/>
  <c r="M267" i="3"/>
  <c r="L267" i="3"/>
  <c r="K267" i="3"/>
  <c r="J267" i="3"/>
  <c r="I267" i="3"/>
  <c r="H267" i="3"/>
  <c r="G267" i="3"/>
  <c r="F267" i="3"/>
  <c r="E267" i="3"/>
  <c r="D267" i="3"/>
  <c r="C267" i="3"/>
  <c r="B267" i="3" s="1"/>
  <c r="T266" i="3"/>
  <c r="S266" i="3"/>
  <c r="R266" i="3"/>
  <c r="Q266" i="3"/>
  <c r="P266" i="3"/>
  <c r="O266" i="3"/>
  <c r="N266" i="3"/>
  <c r="M266" i="3"/>
  <c r="L266" i="3"/>
  <c r="K266" i="3"/>
  <c r="J266" i="3"/>
  <c r="I266" i="3"/>
  <c r="H266" i="3"/>
  <c r="G266" i="3"/>
  <c r="F266" i="3"/>
  <c r="E266" i="3"/>
  <c r="D266" i="3"/>
  <c r="C266" i="3"/>
  <c r="B266" i="3" s="1"/>
  <c r="T265" i="3"/>
  <c r="S265" i="3"/>
  <c r="R265" i="3"/>
  <c r="Q265" i="3"/>
  <c r="P265" i="3"/>
  <c r="O265" i="3"/>
  <c r="N265" i="3"/>
  <c r="M265" i="3"/>
  <c r="L265" i="3"/>
  <c r="K265" i="3"/>
  <c r="J265" i="3"/>
  <c r="I265" i="3"/>
  <c r="H265" i="3"/>
  <c r="G265" i="3"/>
  <c r="F265" i="3"/>
  <c r="E265" i="3"/>
  <c r="D265" i="3"/>
  <c r="C265" i="3"/>
  <c r="B265" i="3" s="1"/>
  <c r="T264" i="3"/>
  <c r="S264" i="3"/>
  <c r="R264" i="3"/>
  <c r="Q264" i="3"/>
  <c r="P264" i="3"/>
  <c r="O264" i="3"/>
  <c r="N264" i="3"/>
  <c r="M264" i="3"/>
  <c r="L264" i="3"/>
  <c r="K264" i="3"/>
  <c r="J264" i="3"/>
  <c r="I264" i="3"/>
  <c r="H264" i="3"/>
  <c r="G264" i="3"/>
  <c r="F264" i="3"/>
  <c r="E264" i="3"/>
  <c r="D264" i="3"/>
  <c r="C264" i="3"/>
  <c r="B264" i="3" s="1"/>
  <c r="T263" i="3"/>
  <c r="S263" i="3"/>
  <c r="R263" i="3"/>
  <c r="Q263" i="3"/>
  <c r="P263" i="3"/>
  <c r="O263" i="3"/>
  <c r="N263" i="3"/>
  <c r="M263" i="3"/>
  <c r="L263" i="3"/>
  <c r="K263" i="3"/>
  <c r="J263" i="3"/>
  <c r="I263" i="3"/>
  <c r="H263" i="3"/>
  <c r="G263" i="3"/>
  <c r="F263" i="3"/>
  <c r="E263" i="3"/>
  <c r="D263" i="3"/>
  <c r="C263" i="3"/>
  <c r="B263" i="3" s="1"/>
  <c r="T262" i="3"/>
  <c r="S262" i="3"/>
  <c r="R262" i="3"/>
  <c r="Q262" i="3"/>
  <c r="P262" i="3"/>
  <c r="O262" i="3"/>
  <c r="N262" i="3"/>
  <c r="M262" i="3"/>
  <c r="L262" i="3"/>
  <c r="K262" i="3"/>
  <c r="J262" i="3"/>
  <c r="I262" i="3"/>
  <c r="H262" i="3"/>
  <c r="G262" i="3"/>
  <c r="F262" i="3"/>
  <c r="E262" i="3"/>
  <c r="D262" i="3"/>
  <c r="C262" i="3"/>
  <c r="B262" i="3" s="1"/>
  <c r="T261" i="3"/>
  <c r="S261" i="3"/>
  <c r="R261" i="3"/>
  <c r="Q261" i="3"/>
  <c r="P261" i="3"/>
  <c r="O261" i="3"/>
  <c r="N261" i="3"/>
  <c r="M261" i="3"/>
  <c r="L261" i="3"/>
  <c r="K261" i="3"/>
  <c r="J261" i="3"/>
  <c r="I261" i="3"/>
  <c r="H261" i="3"/>
  <c r="G261" i="3"/>
  <c r="F261" i="3"/>
  <c r="E261" i="3"/>
  <c r="D261" i="3"/>
  <c r="C261" i="3"/>
  <c r="B261" i="3" s="1"/>
  <c r="T260" i="3"/>
  <c r="S260" i="3"/>
  <c r="R260" i="3"/>
  <c r="Q260" i="3"/>
  <c r="P260" i="3"/>
  <c r="O260" i="3"/>
  <c r="N260" i="3"/>
  <c r="M260" i="3"/>
  <c r="L260" i="3"/>
  <c r="K260" i="3"/>
  <c r="J260" i="3"/>
  <c r="I260" i="3"/>
  <c r="H260" i="3"/>
  <c r="G260" i="3"/>
  <c r="F260" i="3"/>
  <c r="E260" i="3"/>
  <c r="D260" i="3"/>
  <c r="C260" i="3"/>
  <c r="B260" i="3" s="1"/>
  <c r="T259" i="3"/>
  <c r="S259" i="3"/>
  <c r="R259" i="3"/>
  <c r="Q259" i="3"/>
  <c r="P259" i="3"/>
  <c r="O259" i="3"/>
  <c r="N259" i="3"/>
  <c r="M259" i="3"/>
  <c r="L259" i="3"/>
  <c r="K259" i="3"/>
  <c r="J259" i="3"/>
  <c r="I259" i="3"/>
  <c r="H259" i="3"/>
  <c r="G259" i="3"/>
  <c r="F259" i="3"/>
  <c r="E259" i="3"/>
  <c r="D259" i="3"/>
  <c r="C259" i="3"/>
  <c r="B259" i="3" s="1"/>
  <c r="T258" i="3"/>
  <c r="S258" i="3"/>
  <c r="R258" i="3"/>
  <c r="Q258" i="3"/>
  <c r="P258" i="3"/>
  <c r="O258" i="3"/>
  <c r="N258" i="3"/>
  <c r="M258" i="3"/>
  <c r="L258" i="3"/>
  <c r="K258" i="3"/>
  <c r="J258" i="3"/>
  <c r="I258" i="3"/>
  <c r="H258" i="3"/>
  <c r="G258" i="3"/>
  <c r="F258" i="3"/>
  <c r="E258" i="3"/>
  <c r="D258" i="3"/>
  <c r="C258" i="3"/>
  <c r="B258" i="3" s="1"/>
  <c r="T257" i="3"/>
  <c r="S257" i="3"/>
  <c r="R257" i="3"/>
  <c r="Q257" i="3"/>
  <c r="P257" i="3"/>
  <c r="O257" i="3"/>
  <c r="N257" i="3"/>
  <c r="M257" i="3"/>
  <c r="L257" i="3"/>
  <c r="K257" i="3"/>
  <c r="J257" i="3"/>
  <c r="I257" i="3"/>
  <c r="H257" i="3"/>
  <c r="G257" i="3"/>
  <c r="F257" i="3"/>
  <c r="E257" i="3"/>
  <c r="D257" i="3"/>
  <c r="C257" i="3"/>
  <c r="B257" i="3" s="1"/>
  <c r="T256" i="3"/>
  <c r="S256" i="3"/>
  <c r="R256" i="3"/>
  <c r="Q256" i="3"/>
  <c r="P256" i="3"/>
  <c r="O256" i="3"/>
  <c r="N256" i="3"/>
  <c r="M256" i="3"/>
  <c r="L256" i="3"/>
  <c r="K256" i="3"/>
  <c r="J256" i="3"/>
  <c r="I256" i="3"/>
  <c r="H256" i="3"/>
  <c r="G256" i="3"/>
  <c r="F256" i="3"/>
  <c r="E256" i="3"/>
  <c r="D256" i="3"/>
  <c r="C256" i="3"/>
  <c r="B256" i="3" s="1"/>
  <c r="T255" i="3"/>
  <c r="S255" i="3"/>
  <c r="R255" i="3"/>
  <c r="Q255" i="3"/>
  <c r="P255" i="3"/>
  <c r="O255" i="3"/>
  <c r="N255" i="3"/>
  <c r="M255" i="3"/>
  <c r="L255" i="3"/>
  <c r="K255" i="3"/>
  <c r="J255" i="3"/>
  <c r="I255" i="3"/>
  <c r="H255" i="3"/>
  <c r="G255" i="3"/>
  <c r="F255" i="3"/>
  <c r="E255" i="3"/>
  <c r="D255" i="3"/>
  <c r="C255" i="3"/>
  <c r="B255" i="3" s="1"/>
  <c r="T254" i="3"/>
  <c r="S254" i="3"/>
  <c r="R254" i="3"/>
  <c r="Q254" i="3"/>
  <c r="P254" i="3"/>
  <c r="O254" i="3"/>
  <c r="N254" i="3"/>
  <c r="M254" i="3"/>
  <c r="L254" i="3"/>
  <c r="K254" i="3"/>
  <c r="J254" i="3"/>
  <c r="I254" i="3"/>
  <c r="H254" i="3"/>
  <c r="G254" i="3"/>
  <c r="F254" i="3"/>
  <c r="E254" i="3"/>
  <c r="D254" i="3"/>
  <c r="C254" i="3"/>
  <c r="B254" i="3" s="1"/>
  <c r="T253" i="3"/>
  <c r="S253" i="3"/>
  <c r="R253" i="3"/>
  <c r="Q253" i="3"/>
  <c r="P253" i="3"/>
  <c r="O253" i="3"/>
  <c r="N253" i="3"/>
  <c r="M253" i="3"/>
  <c r="L253" i="3"/>
  <c r="K253" i="3"/>
  <c r="J253" i="3"/>
  <c r="I253" i="3"/>
  <c r="H253" i="3"/>
  <c r="G253" i="3"/>
  <c r="F253" i="3"/>
  <c r="E253" i="3"/>
  <c r="D253" i="3"/>
  <c r="C253" i="3"/>
  <c r="B253" i="3" s="1"/>
  <c r="T252" i="3"/>
  <c r="S252" i="3"/>
  <c r="R252" i="3"/>
  <c r="Q252" i="3"/>
  <c r="P252" i="3"/>
  <c r="O252" i="3"/>
  <c r="N252" i="3"/>
  <c r="M252" i="3"/>
  <c r="L252" i="3"/>
  <c r="K252" i="3"/>
  <c r="J252" i="3"/>
  <c r="I252" i="3"/>
  <c r="H252" i="3"/>
  <c r="G252" i="3"/>
  <c r="F252" i="3"/>
  <c r="E252" i="3"/>
  <c r="D252" i="3"/>
  <c r="C252" i="3"/>
  <c r="B252" i="3" s="1"/>
  <c r="T251" i="3"/>
  <c r="S251" i="3"/>
  <c r="R251" i="3"/>
  <c r="Q251" i="3"/>
  <c r="P251" i="3"/>
  <c r="O251" i="3"/>
  <c r="N251" i="3"/>
  <c r="M251" i="3"/>
  <c r="L251" i="3"/>
  <c r="K251" i="3"/>
  <c r="J251" i="3"/>
  <c r="I251" i="3"/>
  <c r="H251" i="3"/>
  <c r="G251" i="3"/>
  <c r="F251" i="3"/>
  <c r="E251" i="3"/>
  <c r="D251" i="3"/>
  <c r="C251" i="3"/>
  <c r="B251" i="3" s="1"/>
  <c r="T250" i="3"/>
  <c r="S250" i="3"/>
  <c r="R250" i="3"/>
  <c r="Q250" i="3"/>
  <c r="P250" i="3"/>
  <c r="O250" i="3"/>
  <c r="N250" i="3"/>
  <c r="M250" i="3"/>
  <c r="L250" i="3"/>
  <c r="K250" i="3"/>
  <c r="J250" i="3"/>
  <c r="I250" i="3"/>
  <c r="H250" i="3"/>
  <c r="G250" i="3"/>
  <c r="F250" i="3"/>
  <c r="E250" i="3"/>
  <c r="D250" i="3"/>
  <c r="C250" i="3"/>
  <c r="B250" i="3" s="1"/>
  <c r="T249" i="3"/>
  <c r="S249" i="3"/>
  <c r="R249" i="3"/>
  <c r="Q249" i="3"/>
  <c r="P249" i="3"/>
  <c r="O249" i="3"/>
  <c r="N249" i="3"/>
  <c r="M249" i="3"/>
  <c r="L249" i="3"/>
  <c r="K249" i="3"/>
  <c r="J249" i="3"/>
  <c r="I249" i="3"/>
  <c r="H249" i="3"/>
  <c r="G249" i="3"/>
  <c r="F249" i="3"/>
  <c r="E249" i="3"/>
  <c r="D249" i="3"/>
  <c r="C249" i="3"/>
  <c r="B249" i="3" s="1"/>
  <c r="T248" i="3"/>
  <c r="S248" i="3"/>
  <c r="R248" i="3"/>
  <c r="Q248" i="3"/>
  <c r="P248" i="3"/>
  <c r="O248" i="3"/>
  <c r="N248" i="3"/>
  <c r="M248" i="3"/>
  <c r="L248" i="3"/>
  <c r="K248" i="3"/>
  <c r="J248" i="3"/>
  <c r="I248" i="3"/>
  <c r="H248" i="3"/>
  <c r="G248" i="3"/>
  <c r="F248" i="3"/>
  <c r="E248" i="3"/>
  <c r="D248" i="3"/>
  <c r="C248" i="3"/>
  <c r="B248" i="3" s="1"/>
  <c r="T247" i="3"/>
  <c r="S247" i="3"/>
  <c r="R247" i="3"/>
  <c r="Q247" i="3"/>
  <c r="P247" i="3"/>
  <c r="O247" i="3"/>
  <c r="N247" i="3"/>
  <c r="M247" i="3"/>
  <c r="L247" i="3"/>
  <c r="K247" i="3"/>
  <c r="J247" i="3"/>
  <c r="I247" i="3"/>
  <c r="H247" i="3"/>
  <c r="G247" i="3"/>
  <c r="F247" i="3"/>
  <c r="E247" i="3"/>
  <c r="D247" i="3"/>
  <c r="C247" i="3"/>
  <c r="B247" i="3" s="1"/>
  <c r="T246" i="3"/>
  <c r="S246" i="3"/>
  <c r="R246" i="3"/>
  <c r="Q246" i="3"/>
  <c r="P246" i="3"/>
  <c r="O246" i="3"/>
  <c r="N246" i="3"/>
  <c r="M246" i="3"/>
  <c r="L246" i="3"/>
  <c r="K246" i="3"/>
  <c r="J246" i="3"/>
  <c r="I246" i="3"/>
  <c r="H246" i="3"/>
  <c r="G246" i="3"/>
  <c r="F246" i="3"/>
  <c r="E246" i="3"/>
  <c r="D246" i="3"/>
  <c r="C246" i="3"/>
  <c r="B246" i="3" s="1"/>
  <c r="T245" i="3"/>
  <c r="S245" i="3"/>
  <c r="R245" i="3"/>
  <c r="Q245" i="3"/>
  <c r="P245" i="3"/>
  <c r="O245" i="3"/>
  <c r="N245" i="3"/>
  <c r="M245" i="3"/>
  <c r="L245" i="3"/>
  <c r="K245" i="3"/>
  <c r="J245" i="3"/>
  <c r="I245" i="3"/>
  <c r="H245" i="3"/>
  <c r="G245" i="3"/>
  <c r="F245" i="3"/>
  <c r="E245" i="3"/>
  <c r="D245" i="3"/>
  <c r="C245" i="3"/>
  <c r="B245" i="3" s="1"/>
  <c r="T244" i="3"/>
  <c r="S244" i="3"/>
  <c r="R244" i="3"/>
  <c r="Q244" i="3"/>
  <c r="P244" i="3"/>
  <c r="O244" i="3"/>
  <c r="N244" i="3"/>
  <c r="M244" i="3"/>
  <c r="L244" i="3"/>
  <c r="K244" i="3"/>
  <c r="J244" i="3"/>
  <c r="I244" i="3"/>
  <c r="H244" i="3"/>
  <c r="G244" i="3"/>
  <c r="F244" i="3"/>
  <c r="E244" i="3"/>
  <c r="D244" i="3"/>
  <c r="C244" i="3"/>
  <c r="B244" i="3" s="1"/>
  <c r="T243" i="3"/>
  <c r="S243" i="3"/>
  <c r="R243" i="3"/>
  <c r="Q243" i="3"/>
  <c r="P243" i="3"/>
  <c r="O243" i="3"/>
  <c r="N243" i="3"/>
  <c r="M243" i="3"/>
  <c r="L243" i="3"/>
  <c r="K243" i="3"/>
  <c r="J243" i="3"/>
  <c r="I243" i="3"/>
  <c r="H243" i="3"/>
  <c r="G243" i="3"/>
  <c r="F243" i="3"/>
  <c r="E243" i="3"/>
  <c r="D243" i="3"/>
  <c r="B243" i="3"/>
  <c r="T242" i="3"/>
  <c r="S242" i="3"/>
  <c r="R242" i="3"/>
  <c r="Q242" i="3"/>
  <c r="P242" i="3"/>
  <c r="O242" i="3"/>
  <c r="N242" i="3"/>
  <c r="M242" i="3"/>
  <c r="L242" i="3"/>
  <c r="K242" i="3"/>
  <c r="J242" i="3"/>
  <c r="I242" i="3"/>
  <c r="H242" i="3"/>
  <c r="G242" i="3"/>
  <c r="F242" i="3"/>
  <c r="E242" i="3"/>
  <c r="D242" i="3"/>
  <c r="C242" i="3"/>
  <c r="B242" i="3" s="1"/>
  <c r="T241" i="3"/>
  <c r="S241" i="3"/>
  <c r="R241" i="3"/>
  <c r="Q241" i="3"/>
  <c r="P241" i="3"/>
  <c r="O241" i="3"/>
  <c r="N241" i="3"/>
  <c r="M241" i="3"/>
  <c r="L241" i="3"/>
  <c r="K241" i="3"/>
  <c r="J241" i="3"/>
  <c r="I241" i="3"/>
  <c r="H241" i="3"/>
  <c r="G241" i="3"/>
  <c r="F241" i="3"/>
  <c r="E241" i="3"/>
  <c r="D241" i="3"/>
  <c r="C241" i="3"/>
  <c r="B241" i="3" s="1"/>
  <c r="T240" i="3"/>
  <c r="S240" i="3"/>
  <c r="R240" i="3"/>
  <c r="Q240" i="3"/>
  <c r="P240" i="3"/>
  <c r="O240" i="3"/>
  <c r="N240" i="3"/>
  <c r="M240" i="3"/>
  <c r="L240" i="3"/>
  <c r="K240" i="3"/>
  <c r="J240" i="3"/>
  <c r="I240" i="3"/>
  <c r="H240" i="3"/>
  <c r="G240" i="3"/>
  <c r="F240" i="3"/>
  <c r="E240" i="3"/>
  <c r="D240" i="3"/>
  <c r="C240" i="3"/>
  <c r="B240" i="3" s="1"/>
  <c r="T239" i="3"/>
  <c r="S239" i="3"/>
  <c r="R239" i="3"/>
  <c r="Q239" i="3"/>
  <c r="P239" i="3"/>
  <c r="O239" i="3"/>
  <c r="N239" i="3"/>
  <c r="M239" i="3"/>
  <c r="L239" i="3"/>
  <c r="K239" i="3"/>
  <c r="J239" i="3"/>
  <c r="I239" i="3"/>
  <c r="H239" i="3"/>
  <c r="G239" i="3"/>
  <c r="F239" i="3"/>
  <c r="E239" i="3"/>
  <c r="D239" i="3"/>
  <c r="C239" i="3"/>
  <c r="B239" i="3" s="1"/>
  <c r="T238" i="3"/>
  <c r="S238" i="3"/>
  <c r="R238" i="3"/>
  <c r="Q238" i="3"/>
  <c r="P238" i="3"/>
  <c r="O238" i="3"/>
  <c r="N238" i="3"/>
  <c r="M238" i="3"/>
  <c r="L238" i="3"/>
  <c r="K238" i="3"/>
  <c r="J238" i="3"/>
  <c r="I238" i="3"/>
  <c r="H238" i="3"/>
  <c r="G238" i="3"/>
  <c r="F238" i="3"/>
  <c r="E238" i="3"/>
  <c r="D238" i="3"/>
  <c r="C238" i="3"/>
  <c r="B238" i="3" s="1"/>
  <c r="T237" i="3"/>
  <c r="S237" i="3"/>
  <c r="R237" i="3"/>
  <c r="Q237" i="3"/>
  <c r="P237" i="3"/>
  <c r="O237" i="3"/>
  <c r="N237" i="3"/>
  <c r="M237" i="3"/>
  <c r="L237" i="3"/>
  <c r="K237" i="3"/>
  <c r="J237" i="3"/>
  <c r="I237" i="3"/>
  <c r="H237" i="3"/>
  <c r="G237" i="3"/>
  <c r="F237" i="3"/>
  <c r="E237" i="3"/>
  <c r="D237" i="3"/>
  <c r="C237" i="3"/>
  <c r="B237" i="3" s="1"/>
  <c r="T236" i="3"/>
  <c r="S236" i="3"/>
  <c r="R236" i="3"/>
  <c r="Q236" i="3"/>
  <c r="P236" i="3"/>
  <c r="O236" i="3"/>
  <c r="N236" i="3"/>
  <c r="M236" i="3"/>
  <c r="L236" i="3"/>
  <c r="K236" i="3"/>
  <c r="J236" i="3"/>
  <c r="I236" i="3"/>
  <c r="H236" i="3"/>
  <c r="G236" i="3"/>
  <c r="F236" i="3"/>
  <c r="E236" i="3"/>
  <c r="D236" i="3"/>
  <c r="C236" i="3"/>
  <c r="B236" i="3" s="1"/>
  <c r="T235" i="3"/>
  <c r="S235" i="3"/>
  <c r="R235" i="3"/>
  <c r="Q235" i="3"/>
  <c r="P235" i="3"/>
  <c r="O235" i="3"/>
  <c r="N235" i="3"/>
  <c r="M235" i="3"/>
  <c r="L235" i="3"/>
  <c r="K235" i="3"/>
  <c r="J235" i="3"/>
  <c r="I235" i="3"/>
  <c r="H235" i="3"/>
  <c r="G235" i="3"/>
  <c r="F235" i="3"/>
  <c r="E235" i="3"/>
  <c r="D235" i="3"/>
  <c r="C235" i="3"/>
  <c r="B235" i="3" s="1"/>
  <c r="T234" i="3"/>
  <c r="S234" i="3"/>
  <c r="R234" i="3"/>
  <c r="Q234" i="3"/>
  <c r="P234" i="3"/>
  <c r="O234" i="3"/>
  <c r="N234" i="3"/>
  <c r="M234" i="3"/>
  <c r="L234" i="3"/>
  <c r="K234" i="3"/>
  <c r="J234" i="3"/>
  <c r="I234" i="3"/>
  <c r="H234" i="3"/>
  <c r="G234" i="3"/>
  <c r="F234" i="3"/>
  <c r="E234" i="3"/>
  <c r="D234" i="3"/>
  <c r="C234" i="3"/>
  <c r="B234" i="3" s="1"/>
  <c r="T233" i="3"/>
  <c r="S233" i="3"/>
  <c r="R233" i="3"/>
  <c r="Q233" i="3"/>
  <c r="P233" i="3"/>
  <c r="O233" i="3"/>
  <c r="N233" i="3"/>
  <c r="M233" i="3"/>
  <c r="L233" i="3"/>
  <c r="K233" i="3"/>
  <c r="J233" i="3"/>
  <c r="I233" i="3"/>
  <c r="H233" i="3"/>
  <c r="G233" i="3"/>
  <c r="F233" i="3"/>
  <c r="E233" i="3"/>
  <c r="D233" i="3"/>
  <c r="C233" i="3"/>
  <c r="B233" i="3" s="1"/>
  <c r="T232" i="3"/>
  <c r="S232" i="3"/>
  <c r="R232" i="3"/>
  <c r="Q232" i="3"/>
  <c r="P232" i="3"/>
  <c r="O232" i="3"/>
  <c r="N232" i="3"/>
  <c r="M232" i="3"/>
  <c r="L232" i="3"/>
  <c r="K232" i="3"/>
  <c r="J232" i="3"/>
  <c r="I232" i="3"/>
  <c r="H232" i="3"/>
  <c r="G232" i="3"/>
  <c r="F232" i="3"/>
  <c r="E232" i="3"/>
  <c r="D232" i="3"/>
  <c r="C232" i="3"/>
  <c r="B232" i="3" s="1"/>
  <c r="T231" i="3"/>
  <c r="S231" i="3"/>
  <c r="R231" i="3"/>
  <c r="Q231" i="3"/>
  <c r="P231" i="3"/>
  <c r="O231" i="3"/>
  <c r="N231" i="3"/>
  <c r="M231" i="3"/>
  <c r="L231" i="3"/>
  <c r="K231" i="3"/>
  <c r="J231" i="3"/>
  <c r="I231" i="3"/>
  <c r="H231" i="3"/>
  <c r="G231" i="3"/>
  <c r="F231" i="3"/>
  <c r="E231" i="3"/>
  <c r="D231" i="3"/>
  <c r="C231" i="3"/>
  <c r="B231" i="3" s="1"/>
  <c r="T230" i="3"/>
  <c r="S230" i="3"/>
  <c r="R230" i="3"/>
  <c r="Q230" i="3"/>
  <c r="P230" i="3"/>
  <c r="O230" i="3"/>
  <c r="N230" i="3"/>
  <c r="M230" i="3"/>
  <c r="L230" i="3"/>
  <c r="K230" i="3"/>
  <c r="J230" i="3"/>
  <c r="I230" i="3"/>
  <c r="H230" i="3"/>
  <c r="G230" i="3"/>
  <c r="F230" i="3"/>
  <c r="E230" i="3"/>
  <c r="D230" i="3"/>
  <c r="C230" i="3"/>
  <c r="B230" i="3" s="1"/>
  <c r="T229" i="3"/>
  <c r="S229" i="3"/>
  <c r="R229" i="3"/>
  <c r="Q229" i="3"/>
  <c r="P229" i="3"/>
  <c r="O229" i="3"/>
  <c r="N229" i="3"/>
  <c r="M229" i="3"/>
  <c r="L229" i="3"/>
  <c r="K229" i="3"/>
  <c r="J229" i="3"/>
  <c r="I229" i="3"/>
  <c r="H229" i="3"/>
  <c r="G229" i="3"/>
  <c r="F229" i="3"/>
  <c r="E229" i="3"/>
  <c r="D229" i="3"/>
  <c r="C229" i="3"/>
  <c r="B229" i="3" s="1"/>
  <c r="T228" i="3"/>
  <c r="S228" i="3"/>
  <c r="R228" i="3"/>
  <c r="Q228" i="3"/>
  <c r="P228" i="3"/>
  <c r="O228" i="3"/>
  <c r="N228" i="3"/>
  <c r="M228" i="3"/>
  <c r="L228" i="3"/>
  <c r="K228" i="3"/>
  <c r="J228" i="3"/>
  <c r="I228" i="3"/>
  <c r="H228" i="3"/>
  <c r="G228" i="3"/>
  <c r="F228" i="3"/>
  <c r="E228" i="3"/>
  <c r="D228" i="3"/>
  <c r="C228" i="3"/>
  <c r="B228" i="3" s="1"/>
  <c r="T227" i="3"/>
  <c r="S227" i="3"/>
  <c r="R227" i="3"/>
  <c r="Q227" i="3"/>
  <c r="P227" i="3"/>
  <c r="O227" i="3"/>
  <c r="N227" i="3"/>
  <c r="M227" i="3"/>
  <c r="L227" i="3"/>
  <c r="K227" i="3"/>
  <c r="J227" i="3"/>
  <c r="I227" i="3"/>
  <c r="H227" i="3"/>
  <c r="G227" i="3"/>
  <c r="F227" i="3"/>
  <c r="E227" i="3"/>
  <c r="D227" i="3"/>
  <c r="C227" i="3"/>
  <c r="B227" i="3" s="1"/>
  <c r="T226" i="3"/>
  <c r="S226" i="3"/>
  <c r="R226" i="3"/>
  <c r="Q226" i="3"/>
  <c r="P226" i="3"/>
  <c r="O226" i="3"/>
  <c r="N226" i="3"/>
  <c r="M226" i="3"/>
  <c r="L226" i="3"/>
  <c r="K226" i="3"/>
  <c r="J226" i="3"/>
  <c r="I226" i="3"/>
  <c r="H226" i="3"/>
  <c r="G226" i="3"/>
  <c r="F226" i="3"/>
  <c r="E226" i="3"/>
  <c r="D226" i="3"/>
  <c r="C226" i="3"/>
  <c r="B226" i="3" s="1"/>
  <c r="T225" i="3"/>
  <c r="S225" i="3"/>
  <c r="R225" i="3"/>
  <c r="Q225" i="3"/>
  <c r="P225" i="3"/>
  <c r="O225" i="3"/>
  <c r="N225" i="3"/>
  <c r="M225" i="3"/>
  <c r="L225" i="3"/>
  <c r="K225" i="3"/>
  <c r="J225" i="3"/>
  <c r="I225" i="3"/>
  <c r="H225" i="3"/>
  <c r="G225" i="3"/>
  <c r="F225" i="3"/>
  <c r="E225" i="3"/>
  <c r="D225" i="3"/>
  <c r="C225" i="3"/>
  <c r="B225" i="3" s="1"/>
  <c r="T224" i="3"/>
  <c r="S224" i="3"/>
  <c r="R224" i="3"/>
  <c r="Q224" i="3"/>
  <c r="P224" i="3"/>
  <c r="O224" i="3"/>
  <c r="N224" i="3"/>
  <c r="M224" i="3"/>
  <c r="L224" i="3"/>
  <c r="K224" i="3"/>
  <c r="J224" i="3"/>
  <c r="I224" i="3"/>
  <c r="H224" i="3"/>
  <c r="G224" i="3"/>
  <c r="F224" i="3"/>
  <c r="E224" i="3"/>
  <c r="D224" i="3"/>
  <c r="B224" i="3"/>
  <c r="T223" i="3"/>
  <c r="S223" i="3"/>
  <c r="R223" i="3"/>
  <c r="Q223" i="3"/>
  <c r="P223" i="3"/>
  <c r="O223" i="3"/>
  <c r="N223" i="3"/>
  <c r="M223" i="3"/>
  <c r="L223" i="3"/>
  <c r="K223" i="3"/>
  <c r="J223" i="3"/>
  <c r="I223" i="3"/>
  <c r="H223" i="3"/>
  <c r="G223" i="3"/>
  <c r="F223" i="3"/>
  <c r="E223" i="3"/>
  <c r="D223" i="3"/>
  <c r="C223" i="3"/>
  <c r="B223" i="3" s="1"/>
  <c r="T222" i="3"/>
  <c r="S222" i="3"/>
  <c r="R222" i="3"/>
  <c r="Q222" i="3"/>
  <c r="P222" i="3"/>
  <c r="O222" i="3"/>
  <c r="N222" i="3"/>
  <c r="M222" i="3"/>
  <c r="L222" i="3"/>
  <c r="K222" i="3"/>
  <c r="J222" i="3"/>
  <c r="I222" i="3"/>
  <c r="H222" i="3"/>
  <c r="G222" i="3"/>
  <c r="F222" i="3"/>
  <c r="E222" i="3"/>
  <c r="D222" i="3"/>
  <c r="C222" i="3"/>
  <c r="B222" i="3" s="1"/>
  <c r="T221" i="3"/>
  <c r="S221" i="3"/>
  <c r="R221" i="3"/>
  <c r="Q221" i="3"/>
  <c r="P221" i="3"/>
  <c r="O221" i="3"/>
  <c r="N221" i="3"/>
  <c r="M221" i="3"/>
  <c r="L221" i="3"/>
  <c r="K221" i="3"/>
  <c r="J221" i="3"/>
  <c r="I221" i="3"/>
  <c r="H221" i="3"/>
  <c r="G221" i="3"/>
  <c r="F221" i="3"/>
  <c r="E221" i="3"/>
  <c r="D221" i="3"/>
  <c r="C221" i="3"/>
  <c r="B221" i="3" s="1"/>
  <c r="T220" i="3"/>
  <c r="S220" i="3"/>
  <c r="R220" i="3"/>
  <c r="Q220" i="3"/>
  <c r="P220" i="3"/>
  <c r="O220" i="3"/>
  <c r="N220" i="3"/>
  <c r="M220" i="3"/>
  <c r="L220" i="3"/>
  <c r="K220" i="3"/>
  <c r="J220" i="3"/>
  <c r="I220" i="3"/>
  <c r="H220" i="3"/>
  <c r="G220" i="3"/>
  <c r="F220" i="3"/>
  <c r="E220" i="3"/>
  <c r="D220" i="3"/>
  <c r="C220" i="3"/>
  <c r="B220" i="3" s="1"/>
  <c r="T219" i="3"/>
  <c r="S219" i="3"/>
  <c r="R219" i="3"/>
  <c r="Q219" i="3"/>
  <c r="P219" i="3"/>
  <c r="O219" i="3"/>
  <c r="N219" i="3"/>
  <c r="M219" i="3"/>
  <c r="L219" i="3"/>
  <c r="K219" i="3"/>
  <c r="J219" i="3"/>
  <c r="I219" i="3"/>
  <c r="H219" i="3"/>
  <c r="G219" i="3"/>
  <c r="F219" i="3"/>
  <c r="E219" i="3"/>
  <c r="D219" i="3"/>
  <c r="C219" i="3"/>
  <c r="B219" i="3" s="1"/>
  <c r="T218" i="3"/>
  <c r="S218" i="3"/>
  <c r="R218" i="3"/>
  <c r="Q218" i="3"/>
  <c r="P218" i="3"/>
  <c r="O218" i="3"/>
  <c r="N218" i="3"/>
  <c r="M218" i="3"/>
  <c r="L218" i="3"/>
  <c r="K218" i="3"/>
  <c r="J218" i="3"/>
  <c r="I218" i="3"/>
  <c r="H218" i="3"/>
  <c r="G218" i="3"/>
  <c r="F218" i="3"/>
  <c r="E218" i="3"/>
  <c r="D218" i="3"/>
  <c r="C218" i="3"/>
  <c r="B218" i="3" s="1"/>
  <c r="T217" i="3"/>
  <c r="S217" i="3"/>
  <c r="R217" i="3"/>
  <c r="Q217" i="3"/>
  <c r="P217" i="3"/>
  <c r="O217" i="3"/>
  <c r="N217" i="3"/>
  <c r="M217" i="3"/>
  <c r="L217" i="3"/>
  <c r="K217" i="3"/>
  <c r="J217" i="3"/>
  <c r="I217" i="3"/>
  <c r="H217" i="3"/>
  <c r="G217" i="3"/>
  <c r="F217" i="3"/>
  <c r="E217" i="3"/>
  <c r="D217" i="3"/>
  <c r="C217" i="3"/>
  <c r="B217" i="3" s="1"/>
  <c r="T216" i="3"/>
  <c r="S216" i="3"/>
  <c r="R216" i="3"/>
  <c r="Q216" i="3"/>
  <c r="P216" i="3"/>
  <c r="O216" i="3"/>
  <c r="N216" i="3"/>
  <c r="M216" i="3"/>
  <c r="L216" i="3"/>
  <c r="K216" i="3"/>
  <c r="J216" i="3"/>
  <c r="I216" i="3"/>
  <c r="H216" i="3"/>
  <c r="G216" i="3"/>
  <c r="F216" i="3"/>
  <c r="E216" i="3"/>
  <c r="D216" i="3"/>
  <c r="C216" i="3"/>
  <c r="B216" i="3" s="1"/>
  <c r="T215" i="3"/>
  <c r="S215" i="3"/>
  <c r="R215" i="3"/>
  <c r="Q215" i="3"/>
  <c r="P215" i="3"/>
  <c r="O215" i="3"/>
  <c r="N215" i="3"/>
  <c r="M215" i="3"/>
  <c r="L215" i="3"/>
  <c r="K215" i="3"/>
  <c r="J215" i="3"/>
  <c r="I215" i="3"/>
  <c r="H215" i="3"/>
  <c r="G215" i="3"/>
  <c r="F215" i="3"/>
  <c r="E215" i="3"/>
  <c r="D215" i="3"/>
  <c r="C215" i="3"/>
  <c r="B215" i="3" s="1"/>
  <c r="T214" i="3"/>
  <c r="S214" i="3"/>
  <c r="R214" i="3"/>
  <c r="Q214" i="3"/>
  <c r="P214" i="3"/>
  <c r="O214" i="3"/>
  <c r="N214" i="3"/>
  <c r="M214" i="3"/>
  <c r="L214" i="3"/>
  <c r="K214" i="3"/>
  <c r="J214" i="3"/>
  <c r="I214" i="3"/>
  <c r="H214" i="3"/>
  <c r="G214" i="3"/>
  <c r="F214" i="3"/>
  <c r="E214" i="3"/>
  <c r="D214" i="3"/>
  <c r="C214" i="3"/>
  <c r="B214" i="3" s="1"/>
  <c r="T213" i="3"/>
  <c r="S213" i="3"/>
  <c r="R213" i="3"/>
  <c r="Q213" i="3"/>
  <c r="P213" i="3"/>
  <c r="O213" i="3"/>
  <c r="N213" i="3"/>
  <c r="M213" i="3"/>
  <c r="L213" i="3"/>
  <c r="K213" i="3"/>
  <c r="J213" i="3"/>
  <c r="I213" i="3"/>
  <c r="H213" i="3"/>
  <c r="G213" i="3"/>
  <c r="F213" i="3"/>
  <c r="E213" i="3"/>
  <c r="D213" i="3"/>
  <c r="C213" i="3"/>
  <c r="B213" i="3" s="1"/>
  <c r="T212" i="3"/>
  <c r="S212" i="3"/>
  <c r="R212" i="3"/>
  <c r="Q212" i="3"/>
  <c r="P212" i="3"/>
  <c r="O212" i="3"/>
  <c r="N212" i="3"/>
  <c r="M212" i="3"/>
  <c r="L212" i="3"/>
  <c r="K212" i="3"/>
  <c r="J212" i="3"/>
  <c r="I212" i="3"/>
  <c r="H212" i="3"/>
  <c r="G212" i="3"/>
  <c r="F212" i="3"/>
  <c r="E212" i="3"/>
  <c r="D212" i="3"/>
  <c r="C212" i="3"/>
  <c r="B212" i="3" s="1"/>
  <c r="T211" i="3"/>
  <c r="S211" i="3"/>
  <c r="R211" i="3"/>
  <c r="Q211" i="3"/>
  <c r="P211" i="3"/>
  <c r="O211" i="3"/>
  <c r="N211" i="3"/>
  <c r="M211" i="3"/>
  <c r="L211" i="3"/>
  <c r="K211" i="3"/>
  <c r="J211" i="3"/>
  <c r="I211" i="3"/>
  <c r="H211" i="3"/>
  <c r="G211" i="3"/>
  <c r="F211" i="3"/>
  <c r="E211" i="3"/>
  <c r="D211" i="3"/>
  <c r="C211" i="3"/>
  <c r="B211" i="3" s="1"/>
  <c r="T210" i="3"/>
  <c r="S210" i="3"/>
  <c r="R210" i="3"/>
  <c r="Q210" i="3"/>
  <c r="P210" i="3"/>
  <c r="O210" i="3"/>
  <c r="N210" i="3"/>
  <c r="M210" i="3"/>
  <c r="L210" i="3"/>
  <c r="K210" i="3"/>
  <c r="J210" i="3"/>
  <c r="I210" i="3"/>
  <c r="H210" i="3"/>
  <c r="G210" i="3"/>
  <c r="F210" i="3"/>
  <c r="E210" i="3"/>
  <c r="D210" i="3"/>
  <c r="C210" i="3"/>
  <c r="B210" i="3" s="1"/>
  <c r="T209" i="3"/>
  <c r="S209" i="3"/>
  <c r="R209" i="3"/>
  <c r="Q209" i="3"/>
  <c r="P209" i="3"/>
  <c r="O209" i="3"/>
  <c r="N209" i="3"/>
  <c r="M209" i="3"/>
  <c r="L209" i="3"/>
  <c r="K209" i="3"/>
  <c r="J209" i="3"/>
  <c r="I209" i="3"/>
  <c r="H209" i="3"/>
  <c r="G209" i="3"/>
  <c r="F209" i="3"/>
  <c r="E209" i="3"/>
  <c r="D209" i="3"/>
  <c r="C209" i="3"/>
  <c r="B209" i="3" s="1"/>
  <c r="T208" i="3"/>
  <c r="S208" i="3"/>
  <c r="R208" i="3"/>
  <c r="Q208" i="3"/>
  <c r="P208" i="3"/>
  <c r="O208" i="3"/>
  <c r="N208" i="3"/>
  <c r="M208" i="3"/>
  <c r="L208" i="3"/>
  <c r="K208" i="3"/>
  <c r="J208" i="3"/>
  <c r="I208" i="3"/>
  <c r="H208" i="3"/>
  <c r="G208" i="3"/>
  <c r="F208" i="3"/>
  <c r="E208" i="3"/>
  <c r="D208" i="3"/>
  <c r="C208" i="3"/>
  <c r="B208" i="3" s="1"/>
  <c r="T207" i="3"/>
  <c r="S207" i="3"/>
  <c r="R207" i="3"/>
  <c r="Q207" i="3"/>
  <c r="P207" i="3"/>
  <c r="O207" i="3"/>
  <c r="N207" i="3"/>
  <c r="M207" i="3"/>
  <c r="L207" i="3"/>
  <c r="K207" i="3"/>
  <c r="J207" i="3"/>
  <c r="I207" i="3"/>
  <c r="H207" i="3"/>
  <c r="G207" i="3"/>
  <c r="F207" i="3"/>
  <c r="E207" i="3"/>
  <c r="D207" i="3"/>
  <c r="C207" i="3"/>
  <c r="B207" i="3" s="1"/>
  <c r="T206" i="3"/>
  <c r="S206" i="3"/>
  <c r="R206" i="3"/>
  <c r="Q206" i="3"/>
  <c r="P206" i="3"/>
  <c r="O206" i="3"/>
  <c r="N206" i="3"/>
  <c r="M206" i="3"/>
  <c r="L206" i="3"/>
  <c r="K206" i="3"/>
  <c r="J206" i="3"/>
  <c r="I206" i="3"/>
  <c r="H206" i="3"/>
  <c r="G206" i="3"/>
  <c r="F206" i="3"/>
  <c r="E206" i="3"/>
  <c r="D206" i="3"/>
  <c r="C206" i="3"/>
  <c r="B206" i="3" s="1"/>
  <c r="T205" i="3"/>
  <c r="S205" i="3"/>
  <c r="R205" i="3"/>
  <c r="Q205" i="3"/>
  <c r="P205" i="3"/>
  <c r="O205" i="3"/>
  <c r="N205" i="3"/>
  <c r="M205" i="3"/>
  <c r="L205" i="3"/>
  <c r="K205" i="3"/>
  <c r="J205" i="3"/>
  <c r="I205" i="3"/>
  <c r="H205" i="3"/>
  <c r="G205" i="3"/>
  <c r="F205" i="3"/>
  <c r="E205" i="3"/>
  <c r="D205" i="3"/>
  <c r="C205" i="3"/>
  <c r="B205" i="3" s="1"/>
  <c r="T204" i="3"/>
  <c r="S204" i="3"/>
  <c r="R204" i="3"/>
  <c r="Q204" i="3"/>
  <c r="P204" i="3"/>
  <c r="O204" i="3"/>
  <c r="N204" i="3"/>
  <c r="M204" i="3"/>
  <c r="L204" i="3"/>
  <c r="K204" i="3"/>
  <c r="J204" i="3"/>
  <c r="I204" i="3"/>
  <c r="H204" i="3"/>
  <c r="G204" i="3"/>
  <c r="F204" i="3"/>
  <c r="E204" i="3"/>
  <c r="D204" i="3"/>
  <c r="C204" i="3"/>
  <c r="B204" i="3" s="1"/>
  <c r="T203" i="3"/>
  <c r="S203" i="3"/>
  <c r="R203" i="3"/>
  <c r="Q203" i="3"/>
  <c r="P203" i="3"/>
  <c r="O203" i="3"/>
  <c r="N203" i="3"/>
  <c r="M203" i="3"/>
  <c r="L203" i="3"/>
  <c r="K203" i="3"/>
  <c r="J203" i="3"/>
  <c r="I203" i="3"/>
  <c r="H203" i="3"/>
  <c r="G203" i="3"/>
  <c r="F203" i="3"/>
  <c r="E203" i="3"/>
  <c r="D203" i="3"/>
  <c r="C203" i="3"/>
  <c r="B203" i="3" s="1"/>
  <c r="T202" i="3"/>
  <c r="S202" i="3"/>
  <c r="R202" i="3"/>
  <c r="Q202" i="3"/>
  <c r="P202" i="3"/>
  <c r="O202" i="3"/>
  <c r="N202" i="3"/>
  <c r="M202" i="3"/>
  <c r="L202" i="3"/>
  <c r="K202" i="3"/>
  <c r="J202" i="3"/>
  <c r="I202" i="3"/>
  <c r="H202" i="3"/>
  <c r="G202" i="3"/>
  <c r="F202" i="3"/>
  <c r="E202" i="3"/>
  <c r="D202" i="3"/>
  <c r="C202" i="3"/>
  <c r="B202" i="3" s="1"/>
  <c r="T201" i="3"/>
  <c r="S201" i="3"/>
  <c r="R201" i="3"/>
  <c r="Q201" i="3"/>
  <c r="P201" i="3"/>
  <c r="O201" i="3"/>
  <c r="N201" i="3"/>
  <c r="M201" i="3"/>
  <c r="L201" i="3"/>
  <c r="K201" i="3"/>
  <c r="J201" i="3"/>
  <c r="I201" i="3"/>
  <c r="H201" i="3"/>
  <c r="G201" i="3"/>
  <c r="F201" i="3"/>
  <c r="E201" i="3"/>
  <c r="D201" i="3"/>
  <c r="C201" i="3"/>
  <c r="B201" i="3" s="1"/>
  <c r="T200" i="3"/>
  <c r="S200" i="3"/>
  <c r="R200" i="3"/>
  <c r="Q200" i="3"/>
  <c r="P200" i="3"/>
  <c r="O200" i="3"/>
  <c r="N200" i="3"/>
  <c r="M200" i="3"/>
  <c r="L200" i="3"/>
  <c r="K200" i="3"/>
  <c r="J200" i="3"/>
  <c r="I200" i="3"/>
  <c r="H200" i="3"/>
  <c r="G200" i="3"/>
  <c r="F200" i="3"/>
  <c r="E200" i="3"/>
  <c r="D200" i="3"/>
  <c r="C200" i="3"/>
  <c r="B200" i="3" s="1"/>
  <c r="T199" i="3"/>
  <c r="S199" i="3"/>
  <c r="R199" i="3"/>
  <c r="Q199" i="3"/>
  <c r="P199" i="3"/>
  <c r="O199" i="3"/>
  <c r="N199" i="3"/>
  <c r="M199" i="3"/>
  <c r="L199" i="3"/>
  <c r="K199" i="3"/>
  <c r="J199" i="3"/>
  <c r="I199" i="3"/>
  <c r="H199" i="3"/>
  <c r="G199" i="3"/>
  <c r="F199" i="3"/>
  <c r="E199" i="3"/>
  <c r="D199" i="3"/>
  <c r="C199" i="3"/>
  <c r="B199" i="3" s="1"/>
  <c r="T198" i="3"/>
  <c r="S198" i="3"/>
  <c r="R198" i="3"/>
  <c r="Q198" i="3"/>
  <c r="P198" i="3"/>
  <c r="O198" i="3"/>
  <c r="N198" i="3"/>
  <c r="M198" i="3"/>
  <c r="L198" i="3"/>
  <c r="K198" i="3"/>
  <c r="J198" i="3"/>
  <c r="I198" i="3"/>
  <c r="H198" i="3"/>
  <c r="G198" i="3"/>
  <c r="F198" i="3"/>
  <c r="E198" i="3"/>
  <c r="D198" i="3"/>
  <c r="C198" i="3"/>
  <c r="B198" i="3" s="1"/>
  <c r="T197" i="3"/>
  <c r="S197" i="3"/>
  <c r="R197" i="3"/>
  <c r="Q197" i="3"/>
  <c r="P197" i="3"/>
  <c r="O197" i="3"/>
  <c r="N197" i="3"/>
  <c r="M197" i="3"/>
  <c r="L197" i="3"/>
  <c r="K197" i="3"/>
  <c r="J197" i="3"/>
  <c r="I197" i="3"/>
  <c r="H197" i="3"/>
  <c r="G197" i="3"/>
  <c r="F197" i="3"/>
  <c r="E197" i="3"/>
  <c r="D197" i="3"/>
  <c r="C197" i="3"/>
  <c r="B197" i="3" s="1"/>
  <c r="T196" i="3"/>
  <c r="S196" i="3"/>
  <c r="R196" i="3"/>
  <c r="Q196" i="3"/>
  <c r="P196" i="3"/>
  <c r="O196" i="3"/>
  <c r="N196" i="3"/>
  <c r="M196" i="3"/>
  <c r="L196" i="3"/>
  <c r="K196" i="3"/>
  <c r="J196" i="3"/>
  <c r="I196" i="3"/>
  <c r="H196" i="3"/>
  <c r="G196" i="3"/>
  <c r="F196" i="3"/>
  <c r="E196" i="3"/>
  <c r="D196" i="3"/>
  <c r="B196" i="3"/>
  <c r="T195" i="3"/>
  <c r="S195" i="3"/>
  <c r="R195" i="3"/>
  <c r="Q195" i="3"/>
  <c r="P195" i="3"/>
  <c r="O195" i="3"/>
  <c r="N195" i="3"/>
  <c r="M195" i="3"/>
  <c r="L195" i="3"/>
  <c r="K195" i="3"/>
  <c r="J195" i="3"/>
  <c r="I195" i="3"/>
  <c r="H195" i="3"/>
  <c r="G195" i="3"/>
  <c r="F195" i="3"/>
  <c r="E195" i="3"/>
  <c r="D195" i="3"/>
  <c r="C195" i="3"/>
  <c r="B195" i="3" s="1"/>
  <c r="T194" i="3"/>
  <c r="S194" i="3"/>
  <c r="R194" i="3"/>
  <c r="Q194" i="3"/>
  <c r="P194" i="3"/>
  <c r="O194" i="3"/>
  <c r="N194" i="3"/>
  <c r="M194" i="3"/>
  <c r="L194" i="3"/>
  <c r="K194" i="3"/>
  <c r="J194" i="3"/>
  <c r="I194" i="3"/>
  <c r="H194" i="3"/>
  <c r="G194" i="3"/>
  <c r="F194" i="3"/>
  <c r="E194" i="3"/>
  <c r="D194" i="3"/>
  <c r="C194" i="3"/>
  <c r="B194" i="3" s="1"/>
  <c r="T193" i="3"/>
  <c r="S193" i="3"/>
  <c r="R193" i="3"/>
  <c r="Q193" i="3"/>
  <c r="P193" i="3"/>
  <c r="O193" i="3"/>
  <c r="N193" i="3"/>
  <c r="M193" i="3"/>
  <c r="L193" i="3"/>
  <c r="K193" i="3"/>
  <c r="J193" i="3"/>
  <c r="I193" i="3"/>
  <c r="H193" i="3"/>
  <c r="G193" i="3"/>
  <c r="F193" i="3"/>
  <c r="E193" i="3"/>
  <c r="D193" i="3"/>
  <c r="B193" i="3"/>
  <c r="T192" i="3"/>
  <c r="S192" i="3"/>
  <c r="R192" i="3"/>
  <c r="Q192" i="3"/>
  <c r="P192" i="3"/>
  <c r="O192" i="3"/>
  <c r="N192" i="3"/>
  <c r="M192" i="3"/>
  <c r="L192" i="3"/>
  <c r="K192" i="3"/>
  <c r="J192" i="3"/>
  <c r="I192" i="3"/>
  <c r="H192" i="3"/>
  <c r="G192" i="3"/>
  <c r="F192" i="3"/>
  <c r="E192" i="3"/>
  <c r="D192" i="3"/>
  <c r="C192" i="3"/>
  <c r="B192" i="3" s="1"/>
  <c r="T191" i="3"/>
  <c r="S191" i="3"/>
  <c r="R191" i="3"/>
  <c r="Q191" i="3"/>
  <c r="P191" i="3"/>
  <c r="O191" i="3"/>
  <c r="N191" i="3"/>
  <c r="M191" i="3"/>
  <c r="L191" i="3"/>
  <c r="K191" i="3"/>
  <c r="J191" i="3"/>
  <c r="I191" i="3"/>
  <c r="H191" i="3"/>
  <c r="G191" i="3"/>
  <c r="F191" i="3"/>
  <c r="E191" i="3"/>
  <c r="D191" i="3"/>
  <c r="C191" i="3"/>
  <c r="B191" i="3" s="1"/>
  <c r="T190" i="3"/>
  <c r="S190" i="3"/>
  <c r="R190" i="3"/>
  <c r="Q190" i="3"/>
  <c r="P190" i="3"/>
  <c r="O190" i="3"/>
  <c r="N190" i="3"/>
  <c r="M190" i="3"/>
  <c r="L190" i="3"/>
  <c r="K190" i="3"/>
  <c r="J190" i="3"/>
  <c r="I190" i="3"/>
  <c r="H190" i="3"/>
  <c r="G190" i="3"/>
  <c r="F190" i="3"/>
  <c r="E190" i="3"/>
  <c r="D190" i="3"/>
  <c r="C190" i="3"/>
  <c r="B190" i="3" s="1"/>
  <c r="T189" i="3"/>
  <c r="S189" i="3"/>
  <c r="R189" i="3"/>
  <c r="Q189" i="3"/>
  <c r="P189" i="3"/>
  <c r="O189" i="3"/>
  <c r="N189" i="3"/>
  <c r="M189" i="3"/>
  <c r="L189" i="3"/>
  <c r="K189" i="3"/>
  <c r="J189" i="3"/>
  <c r="I189" i="3"/>
  <c r="H189" i="3"/>
  <c r="G189" i="3"/>
  <c r="F189" i="3"/>
  <c r="E189" i="3"/>
  <c r="D189" i="3"/>
  <c r="C189" i="3"/>
  <c r="B189" i="3" s="1"/>
  <c r="T188" i="3"/>
  <c r="S188" i="3"/>
  <c r="R188" i="3"/>
  <c r="Q188" i="3"/>
  <c r="P188" i="3"/>
  <c r="O188" i="3"/>
  <c r="N188" i="3"/>
  <c r="M188" i="3"/>
  <c r="L188" i="3"/>
  <c r="K188" i="3"/>
  <c r="J188" i="3"/>
  <c r="I188" i="3"/>
  <c r="H188" i="3"/>
  <c r="G188" i="3"/>
  <c r="F188" i="3"/>
  <c r="E188" i="3"/>
  <c r="D188" i="3"/>
  <c r="C188" i="3"/>
  <c r="B188" i="3" s="1"/>
  <c r="T187" i="3"/>
  <c r="S187" i="3"/>
  <c r="R187" i="3"/>
  <c r="Q187" i="3"/>
  <c r="P187" i="3"/>
  <c r="O187" i="3"/>
  <c r="N187" i="3"/>
  <c r="M187" i="3"/>
  <c r="L187" i="3"/>
  <c r="K187" i="3"/>
  <c r="J187" i="3"/>
  <c r="I187" i="3"/>
  <c r="H187" i="3"/>
  <c r="G187" i="3"/>
  <c r="F187" i="3"/>
  <c r="E187" i="3"/>
  <c r="D187" i="3"/>
  <c r="C187" i="3"/>
  <c r="B187" i="3" s="1"/>
  <c r="T186" i="3"/>
  <c r="S186" i="3"/>
  <c r="R186" i="3"/>
  <c r="Q186" i="3"/>
  <c r="P186" i="3"/>
  <c r="O186" i="3"/>
  <c r="N186" i="3"/>
  <c r="M186" i="3"/>
  <c r="L186" i="3"/>
  <c r="K186" i="3"/>
  <c r="J186" i="3"/>
  <c r="I186" i="3"/>
  <c r="H186" i="3"/>
  <c r="G186" i="3"/>
  <c r="F186" i="3"/>
  <c r="E186" i="3"/>
  <c r="D186" i="3"/>
  <c r="C186" i="3"/>
  <c r="B186" i="3" s="1"/>
  <c r="T185" i="3"/>
  <c r="S185" i="3"/>
  <c r="R185" i="3"/>
  <c r="Q185" i="3"/>
  <c r="P185" i="3"/>
  <c r="O185" i="3"/>
  <c r="N185" i="3"/>
  <c r="M185" i="3"/>
  <c r="L185" i="3"/>
  <c r="K185" i="3"/>
  <c r="J185" i="3"/>
  <c r="I185" i="3"/>
  <c r="H185" i="3"/>
  <c r="G185" i="3"/>
  <c r="F185" i="3"/>
  <c r="E185" i="3"/>
  <c r="D185" i="3"/>
  <c r="C185" i="3"/>
  <c r="B185" i="3" s="1"/>
  <c r="T184" i="3"/>
  <c r="S184" i="3"/>
  <c r="R184" i="3"/>
  <c r="Q184" i="3"/>
  <c r="P184" i="3"/>
  <c r="O184" i="3"/>
  <c r="N184" i="3"/>
  <c r="M184" i="3"/>
  <c r="L184" i="3"/>
  <c r="K184" i="3"/>
  <c r="J184" i="3"/>
  <c r="I184" i="3"/>
  <c r="H184" i="3"/>
  <c r="G184" i="3"/>
  <c r="F184" i="3"/>
  <c r="E184" i="3"/>
  <c r="D184" i="3"/>
  <c r="C184" i="3"/>
  <c r="B184" i="3" s="1"/>
  <c r="T183" i="3"/>
  <c r="S183" i="3"/>
  <c r="R183" i="3"/>
  <c r="Q183" i="3"/>
  <c r="P183" i="3"/>
  <c r="O183" i="3"/>
  <c r="N183" i="3"/>
  <c r="M183" i="3"/>
  <c r="L183" i="3"/>
  <c r="K183" i="3"/>
  <c r="J183" i="3"/>
  <c r="I183" i="3"/>
  <c r="H183" i="3"/>
  <c r="G183" i="3"/>
  <c r="F183" i="3"/>
  <c r="E183" i="3"/>
  <c r="D183" i="3"/>
  <c r="C183" i="3"/>
  <c r="B183" i="3" s="1"/>
  <c r="T182" i="3"/>
  <c r="S182" i="3"/>
  <c r="R182" i="3"/>
  <c r="Q182" i="3"/>
  <c r="P182" i="3"/>
  <c r="O182" i="3"/>
  <c r="N182" i="3"/>
  <c r="M182" i="3"/>
  <c r="L182" i="3"/>
  <c r="K182" i="3"/>
  <c r="J182" i="3"/>
  <c r="I182" i="3"/>
  <c r="H182" i="3"/>
  <c r="G182" i="3"/>
  <c r="F182" i="3"/>
  <c r="E182" i="3"/>
  <c r="D182" i="3"/>
  <c r="C182" i="3"/>
  <c r="B182" i="3" s="1"/>
  <c r="T181" i="3"/>
  <c r="S181" i="3"/>
  <c r="R181" i="3"/>
  <c r="Q181" i="3"/>
  <c r="P181" i="3"/>
  <c r="O181" i="3"/>
  <c r="N181" i="3"/>
  <c r="M181" i="3"/>
  <c r="L181" i="3"/>
  <c r="K181" i="3"/>
  <c r="J181" i="3"/>
  <c r="I181" i="3"/>
  <c r="H181" i="3"/>
  <c r="G181" i="3"/>
  <c r="F181" i="3"/>
  <c r="E181" i="3"/>
  <c r="D181" i="3"/>
  <c r="C181" i="3"/>
  <c r="B181" i="3" s="1"/>
  <c r="T180" i="3"/>
  <c r="S180" i="3"/>
  <c r="R180" i="3"/>
  <c r="Q180" i="3"/>
  <c r="P180" i="3"/>
  <c r="O180" i="3"/>
  <c r="N180" i="3"/>
  <c r="M180" i="3"/>
  <c r="L180" i="3"/>
  <c r="K180" i="3"/>
  <c r="J180" i="3"/>
  <c r="I180" i="3"/>
  <c r="H180" i="3"/>
  <c r="G180" i="3"/>
  <c r="F180" i="3"/>
  <c r="E180" i="3"/>
  <c r="D180" i="3"/>
  <c r="C180" i="3"/>
  <c r="B180" i="3" s="1"/>
  <c r="T179" i="3"/>
  <c r="S179" i="3"/>
  <c r="R179" i="3"/>
  <c r="Q179" i="3"/>
  <c r="P179" i="3"/>
  <c r="O179" i="3"/>
  <c r="N179" i="3"/>
  <c r="M179" i="3"/>
  <c r="L179" i="3"/>
  <c r="K179" i="3"/>
  <c r="J179" i="3"/>
  <c r="I179" i="3"/>
  <c r="H179" i="3"/>
  <c r="G179" i="3"/>
  <c r="F179" i="3"/>
  <c r="E179" i="3"/>
  <c r="D179" i="3"/>
  <c r="B179" i="3"/>
  <c r="T178" i="3"/>
  <c r="S178" i="3"/>
  <c r="R178" i="3"/>
  <c r="Q178" i="3"/>
  <c r="P178" i="3"/>
  <c r="O178" i="3"/>
  <c r="N178" i="3"/>
  <c r="M178" i="3"/>
  <c r="L178" i="3"/>
  <c r="K178" i="3"/>
  <c r="J178" i="3"/>
  <c r="I178" i="3"/>
  <c r="H178" i="3"/>
  <c r="G178" i="3"/>
  <c r="F178" i="3"/>
  <c r="E178" i="3"/>
  <c r="D178" i="3"/>
  <c r="C178" i="3"/>
  <c r="B178" i="3" s="1"/>
  <c r="T177" i="3"/>
  <c r="S177" i="3"/>
  <c r="R177" i="3"/>
  <c r="Q177" i="3"/>
  <c r="P177" i="3"/>
  <c r="O177" i="3"/>
  <c r="N177" i="3"/>
  <c r="M177" i="3"/>
  <c r="L177" i="3"/>
  <c r="K177" i="3"/>
  <c r="J177" i="3"/>
  <c r="I177" i="3"/>
  <c r="H177" i="3"/>
  <c r="G177" i="3"/>
  <c r="F177" i="3"/>
  <c r="E177" i="3"/>
  <c r="D177" i="3"/>
  <c r="C177" i="3"/>
  <c r="B177" i="3" s="1"/>
  <c r="T176" i="3"/>
  <c r="S176" i="3"/>
  <c r="R176" i="3"/>
  <c r="Q176" i="3"/>
  <c r="P176" i="3"/>
  <c r="O176" i="3"/>
  <c r="N176" i="3"/>
  <c r="M176" i="3"/>
  <c r="L176" i="3"/>
  <c r="K176" i="3"/>
  <c r="J176" i="3"/>
  <c r="I176" i="3"/>
  <c r="H176" i="3"/>
  <c r="G176" i="3"/>
  <c r="F176" i="3"/>
  <c r="E176" i="3"/>
  <c r="D176" i="3"/>
  <c r="C176" i="3"/>
  <c r="B176" i="3" s="1"/>
  <c r="T175" i="3"/>
  <c r="S175" i="3"/>
  <c r="R175" i="3"/>
  <c r="Q175" i="3"/>
  <c r="P175" i="3"/>
  <c r="O175" i="3"/>
  <c r="N175" i="3"/>
  <c r="M175" i="3"/>
  <c r="L175" i="3"/>
  <c r="K175" i="3"/>
  <c r="J175" i="3"/>
  <c r="I175" i="3"/>
  <c r="H175" i="3"/>
  <c r="G175" i="3"/>
  <c r="F175" i="3"/>
  <c r="E175" i="3"/>
  <c r="D175" i="3"/>
  <c r="C175" i="3"/>
  <c r="B175" i="3" s="1"/>
  <c r="T174" i="3"/>
  <c r="S174" i="3"/>
  <c r="R174" i="3"/>
  <c r="Q174" i="3"/>
  <c r="P174" i="3"/>
  <c r="O174" i="3"/>
  <c r="N174" i="3"/>
  <c r="M174" i="3"/>
  <c r="L174" i="3"/>
  <c r="K174" i="3"/>
  <c r="J174" i="3"/>
  <c r="I174" i="3"/>
  <c r="H174" i="3"/>
  <c r="G174" i="3"/>
  <c r="F174" i="3"/>
  <c r="E174" i="3"/>
  <c r="D174" i="3"/>
  <c r="C174" i="3"/>
  <c r="B174" i="3" s="1"/>
  <c r="T173" i="3"/>
  <c r="S173" i="3"/>
  <c r="R173" i="3"/>
  <c r="Q173" i="3"/>
  <c r="P173" i="3"/>
  <c r="O173" i="3"/>
  <c r="N173" i="3"/>
  <c r="M173" i="3"/>
  <c r="L173" i="3"/>
  <c r="K173" i="3"/>
  <c r="J173" i="3"/>
  <c r="I173" i="3"/>
  <c r="H173" i="3"/>
  <c r="G173" i="3"/>
  <c r="F173" i="3"/>
  <c r="E173" i="3"/>
  <c r="D173" i="3"/>
  <c r="C173" i="3"/>
  <c r="B173" i="3" s="1"/>
  <c r="T172" i="3"/>
  <c r="S172" i="3"/>
  <c r="R172" i="3"/>
  <c r="Q172" i="3"/>
  <c r="P172" i="3"/>
  <c r="O172" i="3"/>
  <c r="N172" i="3"/>
  <c r="M172" i="3"/>
  <c r="L172" i="3"/>
  <c r="K172" i="3"/>
  <c r="J172" i="3"/>
  <c r="I172" i="3"/>
  <c r="H172" i="3"/>
  <c r="G172" i="3"/>
  <c r="F172" i="3"/>
  <c r="E172" i="3"/>
  <c r="D172" i="3"/>
  <c r="C172" i="3"/>
  <c r="B172" i="3" s="1"/>
  <c r="T171" i="3"/>
  <c r="S171" i="3"/>
  <c r="R171" i="3"/>
  <c r="Q171" i="3"/>
  <c r="P171" i="3"/>
  <c r="O171" i="3"/>
  <c r="N171" i="3"/>
  <c r="M171" i="3"/>
  <c r="L171" i="3"/>
  <c r="K171" i="3"/>
  <c r="J171" i="3"/>
  <c r="I171" i="3"/>
  <c r="H171" i="3"/>
  <c r="G171" i="3"/>
  <c r="F171" i="3"/>
  <c r="E171" i="3"/>
  <c r="D171" i="3"/>
  <c r="C171" i="3"/>
  <c r="B171" i="3" s="1"/>
  <c r="T170" i="3"/>
  <c r="S170" i="3"/>
  <c r="R170" i="3"/>
  <c r="Q170" i="3"/>
  <c r="P170" i="3"/>
  <c r="O170" i="3"/>
  <c r="N170" i="3"/>
  <c r="M170" i="3"/>
  <c r="L170" i="3"/>
  <c r="K170" i="3"/>
  <c r="J170" i="3"/>
  <c r="I170" i="3"/>
  <c r="H170" i="3"/>
  <c r="G170" i="3"/>
  <c r="F170" i="3"/>
  <c r="E170" i="3"/>
  <c r="D170" i="3"/>
  <c r="C170" i="3"/>
  <c r="B170" i="3" s="1"/>
  <c r="T169" i="3"/>
  <c r="S169" i="3"/>
  <c r="R169" i="3"/>
  <c r="Q169" i="3"/>
  <c r="P169" i="3"/>
  <c r="O169" i="3"/>
  <c r="N169" i="3"/>
  <c r="M169" i="3"/>
  <c r="L169" i="3"/>
  <c r="K169" i="3"/>
  <c r="J169" i="3"/>
  <c r="I169" i="3"/>
  <c r="H169" i="3"/>
  <c r="G169" i="3"/>
  <c r="F169" i="3"/>
  <c r="E169" i="3"/>
  <c r="D169" i="3"/>
  <c r="C169" i="3"/>
  <c r="B169" i="3" s="1"/>
  <c r="T168" i="3"/>
  <c r="S168" i="3"/>
  <c r="R168" i="3"/>
  <c r="Q168" i="3"/>
  <c r="P168" i="3"/>
  <c r="O168" i="3"/>
  <c r="N168" i="3"/>
  <c r="M168" i="3"/>
  <c r="L168" i="3"/>
  <c r="K168" i="3"/>
  <c r="J168" i="3"/>
  <c r="I168" i="3"/>
  <c r="H168" i="3"/>
  <c r="G168" i="3"/>
  <c r="F168" i="3"/>
  <c r="E168" i="3"/>
  <c r="D168" i="3"/>
  <c r="C168" i="3"/>
  <c r="B168" i="3" s="1"/>
  <c r="T167" i="3"/>
  <c r="S167" i="3"/>
  <c r="R167" i="3"/>
  <c r="Q167" i="3"/>
  <c r="P167" i="3"/>
  <c r="O167" i="3"/>
  <c r="N167" i="3"/>
  <c r="M167" i="3"/>
  <c r="L167" i="3"/>
  <c r="K167" i="3"/>
  <c r="J167" i="3"/>
  <c r="I167" i="3"/>
  <c r="H167" i="3"/>
  <c r="G167" i="3"/>
  <c r="F167" i="3"/>
  <c r="E167" i="3"/>
  <c r="D167" i="3"/>
  <c r="C167" i="3"/>
  <c r="B167" i="3" s="1"/>
  <c r="T166" i="3"/>
  <c r="S166" i="3"/>
  <c r="R166" i="3"/>
  <c r="Q166" i="3"/>
  <c r="P166" i="3"/>
  <c r="O166" i="3"/>
  <c r="N166" i="3"/>
  <c r="M166" i="3"/>
  <c r="L166" i="3"/>
  <c r="K166" i="3"/>
  <c r="J166" i="3"/>
  <c r="I166" i="3"/>
  <c r="H166" i="3"/>
  <c r="G166" i="3"/>
  <c r="F166" i="3"/>
  <c r="E166" i="3"/>
  <c r="D166" i="3"/>
  <c r="C166" i="3"/>
  <c r="B166" i="3" s="1"/>
  <c r="T165" i="3"/>
  <c r="S165" i="3"/>
  <c r="R165" i="3"/>
  <c r="Q165" i="3"/>
  <c r="P165" i="3"/>
  <c r="O165" i="3"/>
  <c r="N165" i="3"/>
  <c r="M165" i="3"/>
  <c r="L165" i="3"/>
  <c r="K165" i="3"/>
  <c r="J165" i="3"/>
  <c r="I165" i="3"/>
  <c r="H165" i="3"/>
  <c r="G165" i="3"/>
  <c r="F165" i="3"/>
  <c r="E165" i="3"/>
  <c r="D165" i="3"/>
  <c r="C165" i="3"/>
  <c r="B165" i="3" s="1"/>
  <c r="T164" i="3"/>
  <c r="S164" i="3"/>
  <c r="R164" i="3"/>
  <c r="Q164" i="3"/>
  <c r="P164" i="3"/>
  <c r="O164" i="3"/>
  <c r="N164" i="3"/>
  <c r="M164" i="3"/>
  <c r="L164" i="3"/>
  <c r="K164" i="3"/>
  <c r="J164" i="3"/>
  <c r="I164" i="3"/>
  <c r="H164" i="3"/>
  <c r="G164" i="3"/>
  <c r="F164" i="3"/>
  <c r="E164" i="3"/>
  <c r="D164" i="3"/>
  <c r="C164" i="3"/>
  <c r="B164" i="3" s="1"/>
  <c r="T163" i="3"/>
  <c r="S163" i="3"/>
  <c r="R163" i="3"/>
  <c r="Q163" i="3"/>
  <c r="P163" i="3"/>
  <c r="O163" i="3"/>
  <c r="N163" i="3"/>
  <c r="M163" i="3"/>
  <c r="L163" i="3"/>
  <c r="K163" i="3"/>
  <c r="J163" i="3"/>
  <c r="I163" i="3"/>
  <c r="H163" i="3"/>
  <c r="G163" i="3"/>
  <c r="F163" i="3"/>
  <c r="E163" i="3"/>
  <c r="D163" i="3"/>
  <c r="C163" i="3"/>
  <c r="B163" i="3" s="1"/>
  <c r="T162" i="3"/>
  <c r="S162" i="3"/>
  <c r="R162" i="3"/>
  <c r="Q162" i="3"/>
  <c r="P162" i="3"/>
  <c r="O162" i="3"/>
  <c r="N162" i="3"/>
  <c r="M162" i="3"/>
  <c r="L162" i="3"/>
  <c r="K162" i="3"/>
  <c r="J162" i="3"/>
  <c r="I162" i="3"/>
  <c r="H162" i="3"/>
  <c r="G162" i="3"/>
  <c r="F162" i="3"/>
  <c r="E162" i="3"/>
  <c r="D162" i="3"/>
  <c r="C162" i="3"/>
  <c r="B162" i="3" s="1"/>
  <c r="T161" i="3"/>
  <c r="S161" i="3"/>
  <c r="R161" i="3"/>
  <c r="Q161" i="3"/>
  <c r="P161" i="3"/>
  <c r="O161" i="3"/>
  <c r="N161" i="3"/>
  <c r="M161" i="3"/>
  <c r="L161" i="3"/>
  <c r="K161" i="3"/>
  <c r="J161" i="3"/>
  <c r="I161" i="3"/>
  <c r="H161" i="3"/>
  <c r="G161" i="3"/>
  <c r="F161" i="3"/>
  <c r="E161" i="3"/>
  <c r="D161" i="3"/>
  <c r="C161" i="3"/>
  <c r="B161" i="3" s="1"/>
  <c r="T160" i="3"/>
  <c r="S160" i="3"/>
  <c r="R160" i="3"/>
  <c r="Q160" i="3"/>
  <c r="P160" i="3"/>
  <c r="O160" i="3"/>
  <c r="N160" i="3"/>
  <c r="M160" i="3"/>
  <c r="L160" i="3"/>
  <c r="K160" i="3"/>
  <c r="J160" i="3"/>
  <c r="I160" i="3"/>
  <c r="H160" i="3"/>
  <c r="G160" i="3"/>
  <c r="F160" i="3"/>
  <c r="E160" i="3"/>
  <c r="D160" i="3"/>
  <c r="C160" i="3"/>
  <c r="B160" i="3" s="1"/>
  <c r="T159" i="3"/>
  <c r="S159" i="3"/>
  <c r="R159" i="3"/>
  <c r="Q159" i="3"/>
  <c r="P159" i="3"/>
  <c r="O159" i="3"/>
  <c r="N159" i="3"/>
  <c r="M159" i="3"/>
  <c r="L159" i="3"/>
  <c r="K159" i="3"/>
  <c r="J159" i="3"/>
  <c r="I159" i="3"/>
  <c r="H159" i="3"/>
  <c r="G159" i="3"/>
  <c r="F159" i="3"/>
  <c r="E159" i="3"/>
  <c r="D159" i="3"/>
  <c r="C159" i="3"/>
  <c r="B159" i="3" s="1"/>
  <c r="T158" i="3"/>
  <c r="S158" i="3"/>
  <c r="R158" i="3"/>
  <c r="Q158" i="3"/>
  <c r="P158" i="3"/>
  <c r="O158" i="3"/>
  <c r="N158" i="3"/>
  <c r="M158" i="3"/>
  <c r="L158" i="3"/>
  <c r="K158" i="3"/>
  <c r="J158" i="3"/>
  <c r="I158" i="3"/>
  <c r="H158" i="3"/>
  <c r="G158" i="3"/>
  <c r="F158" i="3"/>
  <c r="E158" i="3"/>
  <c r="D158" i="3"/>
  <c r="C158" i="3"/>
  <c r="B158" i="3" s="1"/>
  <c r="T157" i="3"/>
  <c r="S157" i="3"/>
  <c r="R157" i="3"/>
  <c r="Q157" i="3"/>
  <c r="P157" i="3"/>
  <c r="O157" i="3"/>
  <c r="N157" i="3"/>
  <c r="M157" i="3"/>
  <c r="L157" i="3"/>
  <c r="K157" i="3"/>
  <c r="J157" i="3"/>
  <c r="I157" i="3"/>
  <c r="H157" i="3"/>
  <c r="G157" i="3"/>
  <c r="F157" i="3"/>
  <c r="E157" i="3"/>
  <c r="D157" i="3"/>
  <c r="C157" i="3"/>
  <c r="B157" i="3" s="1"/>
  <c r="T156" i="3"/>
  <c r="S156" i="3"/>
  <c r="R156" i="3"/>
  <c r="Q156" i="3"/>
  <c r="P156" i="3"/>
  <c r="O156" i="3"/>
  <c r="N156" i="3"/>
  <c r="M156" i="3"/>
  <c r="L156" i="3"/>
  <c r="K156" i="3"/>
  <c r="J156" i="3"/>
  <c r="I156" i="3"/>
  <c r="H156" i="3"/>
  <c r="G156" i="3"/>
  <c r="F156" i="3"/>
  <c r="E156" i="3"/>
  <c r="D156" i="3"/>
  <c r="C156" i="3"/>
  <c r="B156" i="3" s="1"/>
  <c r="T155" i="3"/>
  <c r="S155" i="3"/>
  <c r="R155" i="3"/>
  <c r="Q155" i="3"/>
  <c r="P155" i="3"/>
  <c r="O155" i="3"/>
  <c r="N155" i="3"/>
  <c r="M155" i="3"/>
  <c r="L155" i="3"/>
  <c r="K155" i="3"/>
  <c r="J155" i="3"/>
  <c r="I155" i="3"/>
  <c r="H155" i="3"/>
  <c r="G155" i="3"/>
  <c r="F155" i="3"/>
  <c r="E155" i="3"/>
  <c r="D155" i="3"/>
  <c r="C155" i="3"/>
  <c r="B155" i="3" s="1"/>
  <c r="T154" i="3"/>
  <c r="S154" i="3"/>
  <c r="R154" i="3"/>
  <c r="Q154" i="3"/>
  <c r="P154" i="3"/>
  <c r="O154" i="3"/>
  <c r="N154" i="3"/>
  <c r="M154" i="3"/>
  <c r="L154" i="3"/>
  <c r="K154" i="3"/>
  <c r="J154" i="3"/>
  <c r="I154" i="3"/>
  <c r="H154" i="3"/>
  <c r="G154" i="3"/>
  <c r="F154" i="3"/>
  <c r="E154" i="3"/>
  <c r="D154" i="3"/>
  <c r="C154" i="3"/>
  <c r="B154" i="3" s="1"/>
  <c r="T153" i="3"/>
  <c r="S153" i="3"/>
  <c r="R153" i="3"/>
  <c r="Q153" i="3"/>
  <c r="P153" i="3"/>
  <c r="O153" i="3"/>
  <c r="N153" i="3"/>
  <c r="M153" i="3"/>
  <c r="L153" i="3"/>
  <c r="K153" i="3"/>
  <c r="J153" i="3"/>
  <c r="I153" i="3"/>
  <c r="H153" i="3"/>
  <c r="G153" i="3"/>
  <c r="F153" i="3"/>
  <c r="E153" i="3"/>
  <c r="D153" i="3"/>
  <c r="C153" i="3"/>
  <c r="B153" i="3" s="1"/>
  <c r="T152" i="3"/>
  <c r="S152" i="3"/>
  <c r="R152" i="3"/>
  <c r="Q152" i="3"/>
  <c r="P152" i="3"/>
  <c r="O152" i="3"/>
  <c r="N152" i="3"/>
  <c r="M152" i="3"/>
  <c r="L152" i="3"/>
  <c r="K152" i="3"/>
  <c r="J152" i="3"/>
  <c r="I152" i="3"/>
  <c r="H152" i="3"/>
  <c r="G152" i="3"/>
  <c r="F152" i="3"/>
  <c r="E152" i="3"/>
  <c r="D152" i="3"/>
  <c r="C152" i="3"/>
  <c r="B152" i="3" s="1"/>
  <c r="T151" i="3"/>
  <c r="S151" i="3"/>
  <c r="R151" i="3"/>
  <c r="Q151" i="3"/>
  <c r="P151" i="3"/>
  <c r="O151" i="3"/>
  <c r="N151" i="3"/>
  <c r="M151" i="3"/>
  <c r="L151" i="3"/>
  <c r="K151" i="3"/>
  <c r="J151" i="3"/>
  <c r="I151" i="3"/>
  <c r="H151" i="3"/>
  <c r="G151" i="3"/>
  <c r="F151" i="3"/>
  <c r="E151" i="3"/>
  <c r="D151" i="3"/>
  <c r="C151" i="3"/>
  <c r="B151" i="3" s="1"/>
  <c r="T150" i="3"/>
  <c r="S150" i="3"/>
  <c r="R150" i="3"/>
  <c r="Q150" i="3"/>
  <c r="P150" i="3"/>
  <c r="O150" i="3"/>
  <c r="N150" i="3"/>
  <c r="M150" i="3"/>
  <c r="L150" i="3"/>
  <c r="K150" i="3"/>
  <c r="J150" i="3"/>
  <c r="I150" i="3"/>
  <c r="H150" i="3"/>
  <c r="G150" i="3"/>
  <c r="F150" i="3"/>
  <c r="E150" i="3"/>
  <c r="D150" i="3"/>
  <c r="C150" i="3"/>
  <c r="B150" i="3" s="1"/>
  <c r="T149" i="3"/>
  <c r="S149" i="3"/>
  <c r="R149" i="3"/>
  <c r="Q149" i="3"/>
  <c r="P149" i="3"/>
  <c r="O149" i="3"/>
  <c r="N149" i="3"/>
  <c r="M149" i="3"/>
  <c r="L149" i="3"/>
  <c r="K149" i="3"/>
  <c r="J149" i="3"/>
  <c r="I149" i="3"/>
  <c r="H149" i="3"/>
  <c r="G149" i="3"/>
  <c r="F149" i="3"/>
  <c r="E149" i="3"/>
  <c r="D149" i="3"/>
  <c r="C149" i="3"/>
  <c r="B149" i="3" s="1"/>
  <c r="T148" i="3"/>
  <c r="S148" i="3"/>
  <c r="R148" i="3"/>
  <c r="Q148" i="3"/>
  <c r="P148" i="3"/>
  <c r="O148" i="3"/>
  <c r="N148" i="3"/>
  <c r="M148" i="3"/>
  <c r="L148" i="3"/>
  <c r="K148" i="3"/>
  <c r="J148" i="3"/>
  <c r="I148" i="3"/>
  <c r="H148" i="3"/>
  <c r="G148" i="3"/>
  <c r="F148" i="3"/>
  <c r="E148" i="3"/>
  <c r="D148" i="3"/>
  <c r="C148" i="3"/>
  <c r="B148" i="3" s="1"/>
  <c r="T147" i="3"/>
  <c r="S147" i="3"/>
  <c r="R147" i="3"/>
  <c r="Q147" i="3"/>
  <c r="P147" i="3"/>
  <c r="O147" i="3"/>
  <c r="N147" i="3"/>
  <c r="M147" i="3"/>
  <c r="L147" i="3"/>
  <c r="K147" i="3"/>
  <c r="J147" i="3"/>
  <c r="I147" i="3"/>
  <c r="H147" i="3"/>
  <c r="G147" i="3"/>
  <c r="F147" i="3"/>
  <c r="E147" i="3"/>
  <c r="D147" i="3"/>
  <c r="C147" i="3"/>
  <c r="B147" i="3" s="1"/>
  <c r="T146" i="3"/>
  <c r="S146" i="3"/>
  <c r="R146" i="3"/>
  <c r="Q146" i="3"/>
  <c r="P146" i="3"/>
  <c r="O146" i="3"/>
  <c r="N146" i="3"/>
  <c r="M146" i="3"/>
  <c r="L146" i="3"/>
  <c r="K146" i="3"/>
  <c r="J146" i="3"/>
  <c r="I146" i="3"/>
  <c r="H146" i="3"/>
  <c r="G146" i="3"/>
  <c r="F146" i="3"/>
  <c r="E146" i="3"/>
  <c r="D146" i="3"/>
  <c r="C146" i="3"/>
  <c r="B146" i="3" s="1"/>
  <c r="T145" i="3"/>
  <c r="S145" i="3"/>
  <c r="R145" i="3"/>
  <c r="Q145" i="3"/>
  <c r="P145" i="3"/>
  <c r="O145" i="3"/>
  <c r="N145" i="3"/>
  <c r="M145" i="3"/>
  <c r="L145" i="3"/>
  <c r="K145" i="3"/>
  <c r="J145" i="3"/>
  <c r="I145" i="3"/>
  <c r="H145" i="3"/>
  <c r="G145" i="3"/>
  <c r="F145" i="3"/>
  <c r="E145" i="3"/>
  <c r="D145" i="3"/>
  <c r="C145" i="3"/>
  <c r="B145" i="3" s="1"/>
  <c r="T144" i="3"/>
  <c r="S144" i="3"/>
  <c r="R144" i="3"/>
  <c r="Q144" i="3"/>
  <c r="P144" i="3"/>
  <c r="O144" i="3"/>
  <c r="N144" i="3"/>
  <c r="M144" i="3"/>
  <c r="L144" i="3"/>
  <c r="K144" i="3"/>
  <c r="J144" i="3"/>
  <c r="I144" i="3"/>
  <c r="H144" i="3"/>
  <c r="G144" i="3"/>
  <c r="F144" i="3"/>
  <c r="E144" i="3"/>
  <c r="D144" i="3"/>
  <c r="C144" i="3"/>
  <c r="B144" i="3" s="1"/>
  <c r="T143" i="3"/>
  <c r="S143" i="3"/>
  <c r="R143" i="3"/>
  <c r="Q143" i="3"/>
  <c r="P143" i="3"/>
  <c r="O143" i="3"/>
  <c r="N143" i="3"/>
  <c r="M143" i="3"/>
  <c r="L143" i="3"/>
  <c r="K143" i="3"/>
  <c r="J143" i="3"/>
  <c r="I143" i="3"/>
  <c r="H143" i="3"/>
  <c r="G143" i="3"/>
  <c r="F143" i="3"/>
  <c r="E143" i="3"/>
  <c r="D143" i="3"/>
  <c r="C143" i="3"/>
  <c r="B143" i="3" s="1"/>
  <c r="T142" i="3"/>
  <c r="S142" i="3"/>
  <c r="R142" i="3"/>
  <c r="Q142" i="3"/>
  <c r="P142" i="3"/>
  <c r="O142" i="3"/>
  <c r="N142" i="3"/>
  <c r="M142" i="3"/>
  <c r="L142" i="3"/>
  <c r="K142" i="3"/>
  <c r="J142" i="3"/>
  <c r="I142" i="3"/>
  <c r="H142" i="3"/>
  <c r="G142" i="3"/>
  <c r="F142" i="3"/>
  <c r="E142" i="3"/>
  <c r="D142" i="3"/>
  <c r="C142" i="3"/>
  <c r="B142" i="3" s="1"/>
  <c r="T141" i="3"/>
  <c r="S141" i="3"/>
  <c r="R141" i="3"/>
  <c r="Q141" i="3"/>
  <c r="P141" i="3"/>
  <c r="O141" i="3"/>
  <c r="N141" i="3"/>
  <c r="M141" i="3"/>
  <c r="L141" i="3"/>
  <c r="K141" i="3"/>
  <c r="J141" i="3"/>
  <c r="I141" i="3"/>
  <c r="H141" i="3"/>
  <c r="G141" i="3"/>
  <c r="F141" i="3"/>
  <c r="E141" i="3"/>
  <c r="D141" i="3"/>
  <c r="C141" i="3"/>
  <c r="B141" i="3" s="1"/>
  <c r="T140" i="3"/>
  <c r="S140" i="3"/>
  <c r="R140" i="3"/>
  <c r="Q140" i="3"/>
  <c r="P140" i="3"/>
  <c r="O140" i="3"/>
  <c r="N140" i="3"/>
  <c r="M140" i="3"/>
  <c r="L140" i="3"/>
  <c r="K140" i="3"/>
  <c r="J140" i="3"/>
  <c r="I140" i="3"/>
  <c r="H140" i="3"/>
  <c r="G140" i="3"/>
  <c r="F140" i="3"/>
  <c r="E140" i="3"/>
  <c r="D140" i="3"/>
  <c r="C140" i="3"/>
  <c r="B140" i="3" s="1"/>
  <c r="T139" i="3"/>
  <c r="S139" i="3"/>
  <c r="R139" i="3"/>
  <c r="Q139" i="3"/>
  <c r="P139" i="3"/>
  <c r="O139" i="3"/>
  <c r="N139" i="3"/>
  <c r="M139" i="3"/>
  <c r="L139" i="3"/>
  <c r="K139" i="3"/>
  <c r="J139" i="3"/>
  <c r="I139" i="3"/>
  <c r="H139" i="3"/>
  <c r="G139" i="3"/>
  <c r="F139" i="3"/>
  <c r="E139" i="3"/>
  <c r="D139" i="3"/>
  <c r="C139" i="3"/>
  <c r="B139" i="3" s="1"/>
  <c r="T138" i="3"/>
  <c r="S138" i="3"/>
  <c r="R138" i="3"/>
  <c r="Q138" i="3"/>
  <c r="P138" i="3"/>
  <c r="O138" i="3"/>
  <c r="N138" i="3"/>
  <c r="M138" i="3"/>
  <c r="L138" i="3"/>
  <c r="K138" i="3"/>
  <c r="J138" i="3"/>
  <c r="I138" i="3"/>
  <c r="H138" i="3"/>
  <c r="G138" i="3"/>
  <c r="F138" i="3"/>
  <c r="E138" i="3"/>
  <c r="D138" i="3"/>
  <c r="C138" i="3"/>
  <c r="B138" i="3" s="1"/>
  <c r="T137" i="3"/>
  <c r="S137" i="3"/>
  <c r="R137" i="3"/>
  <c r="Q137" i="3"/>
  <c r="P137" i="3"/>
  <c r="O137" i="3"/>
  <c r="N137" i="3"/>
  <c r="M137" i="3"/>
  <c r="L137" i="3"/>
  <c r="K137" i="3"/>
  <c r="J137" i="3"/>
  <c r="I137" i="3"/>
  <c r="H137" i="3"/>
  <c r="G137" i="3"/>
  <c r="F137" i="3"/>
  <c r="E137" i="3"/>
  <c r="D137" i="3"/>
  <c r="B137" i="3"/>
  <c r="T136" i="3"/>
  <c r="S136" i="3"/>
  <c r="R136" i="3"/>
  <c r="Q136" i="3"/>
  <c r="P136" i="3"/>
  <c r="O136" i="3"/>
  <c r="N136" i="3"/>
  <c r="M136" i="3"/>
  <c r="L136" i="3"/>
  <c r="K136" i="3"/>
  <c r="J136" i="3"/>
  <c r="I136" i="3"/>
  <c r="H136" i="3"/>
  <c r="G136" i="3"/>
  <c r="F136" i="3"/>
  <c r="E136" i="3"/>
  <c r="D136" i="3"/>
  <c r="C136" i="3"/>
  <c r="B136" i="3" s="1"/>
  <c r="T135" i="3"/>
  <c r="S135" i="3"/>
  <c r="R135" i="3"/>
  <c r="Q135" i="3"/>
  <c r="P135" i="3"/>
  <c r="O135" i="3"/>
  <c r="N135" i="3"/>
  <c r="M135" i="3"/>
  <c r="L135" i="3"/>
  <c r="K135" i="3"/>
  <c r="J135" i="3"/>
  <c r="I135" i="3"/>
  <c r="H135" i="3"/>
  <c r="G135" i="3"/>
  <c r="F135" i="3"/>
  <c r="E135" i="3"/>
  <c r="D135" i="3"/>
  <c r="C135" i="3"/>
  <c r="B135" i="3" s="1"/>
  <c r="T134" i="3"/>
  <c r="S134" i="3"/>
  <c r="R134" i="3"/>
  <c r="Q134" i="3"/>
  <c r="P134" i="3"/>
  <c r="O134" i="3"/>
  <c r="N134" i="3"/>
  <c r="M134" i="3"/>
  <c r="L134" i="3"/>
  <c r="K134" i="3"/>
  <c r="J134" i="3"/>
  <c r="I134" i="3"/>
  <c r="H134" i="3"/>
  <c r="G134" i="3"/>
  <c r="F134" i="3"/>
  <c r="E134" i="3"/>
  <c r="D134" i="3"/>
  <c r="C134" i="3"/>
  <c r="B134" i="3" s="1"/>
  <c r="T133" i="3"/>
  <c r="S133" i="3"/>
  <c r="R133" i="3"/>
  <c r="Q133" i="3"/>
  <c r="P133" i="3"/>
  <c r="O133" i="3"/>
  <c r="N133" i="3"/>
  <c r="M133" i="3"/>
  <c r="L133" i="3"/>
  <c r="K133" i="3"/>
  <c r="J133" i="3"/>
  <c r="I133" i="3"/>
  <c r="H133" i="3"/>
  <c r="G133" i="3"/>
  <c r="F133" i="3"/>
  <c r="E133" i="3"/>
  <c r="D133" i="3"/>
  <c r="C133" i="3"/>
  <c r="B133" i="3" s="1"/>
  <c r="T132" i="3"/>
  <c r="S132" i="3"/>
  <c r="R132" i="3"/>
  <c r="Q132" i="3"/>
  <c r="P132" i="3"/>
  <c r="O132" i="3"/>
  <c r="N132" i="3"/>
  <c r="M132" i="3"/>
  <c r="L132" i="3"/>
  <c r="K132" i="3"/>
  <c r="J132" i="3"/>
  <c r="I132" i="3"/>
  <c r="H132" i="3"/>
  <c r="G132" i="3"/>
  <c r="F132" i="3"/>
  <c r="E132" i="3"/>
  <c r="D132" i="3"/>
  <c r="C132" i="3"/>
  <c r="B132" i="3" s="1"/>
  <c r="T131" i="3"/>
  <c r="S131" i="3"/>
  <c r="R131" i="3"/>
  <c r="Q131" i="3"/>
  <c r="P131" i="3"/>
  <c r="O131" i="3"/>
  <c r="N131" i="3"/>
  <c r="M131" i="3"/>
  <c r="L131" i="3"/>
  <c r="K131" i="3"/>
  <c r="J131" i="3"/>
  <c r="I131" i="3"/>
  <c r="H131" i="3"/>
  <c r="G131" i="3"/>
  <c r="F131" i="3"/>
  <c r="E131" i="3"/>
  <c r="D131" i="3"/>
  <c r="C131" i="3"/>
  <c r="B131" i="3" s="1"/>
  <c r="T130" i="3"/>
  <c r="S130" i="3"/>
  <c r="R130" i="3"/>
  <c r="Q130" i="3"/>
  <c r="P130" i="3"/>
  <c r="O130" i="3"/>
  <c r="N130" i="3"/>
  <c r="M130" i="3"/>
  <c r="L130" i="3"/>
  <c r="K130" i="3"/>
  <c r="J130" i="3"/>
  <c r="I130" i="3"/>
  <c r="H130" i="3"/>
  <c r="G130" i="3"/>
  <c r="F130" i="3"/>
  <c r="E130" i="3"/>
  <c r="D130" i="3"/>
  <c r="C130" i="3"/>
  <c r="B130" i="3" s="1"/>
  <c r="T129" i="3"/>
  <c r="S129" i="3"/>
  <c r="R129" i="3"/>
  <c r="Q129" i="3"/>
  <c r="P129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C129" i="3"/>
  <c r="B129" i="3" s="1"/>
  <c r="T128" i="3"/>
  <c r="S128" i="3"/>
  <c r="R128" i="3"/>
  <c r="Q128" i="3"/>
  <c r="P128" i="3"/>
  <c r="O128" i="3"/>
  <c r="N128" i="3"/>
  <c r="M128" i="3"/>
  <c r="L128" i="3"/>
  <c r="K128" i="3"/>
  <c r="J128" i="3"/>
  <c r="I128" i="3"/>
  <c r="H128" i="3"/>
  <c r="G128" i="3"/>
  <c r="F128" i="3"/>
  <c r="E128" i="3"/>
  <c r="D128" i="3"/>
  <c r="C128" i="3"/>
  <c r="B128" i="3" s="1"/>
  <c r="T127" i="3"/>
  <c r="S127" i="3"/>
  <c r="R127" i="3"/>
  <c r="Q127" i="3"/>
  <c r="P127" i="3"/>
  <c r="O127" i="3"/>
  <c r="N127" i="3"/>
  <c r="M127" i="3"/>
  <c r="L127" i="3"/>
  <c r="K127" i="3"/>
  <c r="J127" i="3"/>
  <c r="I127" i="3"/>
  <c r="H127" i="3"/>
  <c r="G127" i="3"/>
  <c r="F127" i="3"/>
  <c r="E127" i="3"/>
  <c r="D127" i="3"/>
  <c r="C127" i="3"/>
  <c r="B127" i="3" s="1"/>
  <c r="T126" i="3"/>
  <c r="S126" i="3"/>
  <c r="R126" i="3"/>
  <c r="Q126" i="3"/>
  <c r="P126" i="3"/>
  <c r="O126" i="3"/>
  <c r="N126" i="3"/>
  <c r="M126" i="3"/>
  <c r="L126" i="3"/>
  <c r="K126" i="3"/>
  <c r="J126" i="3"/>
  <c r="I126" i="3"/>
  <c r="H126" i="3"/>
  <c r="G126" i="3"/>
  <c r="F126" i="3"/>
  <c r="E126" i="3"/>
  <c r="D126" i="3"/>
  <c r="C126" i="3"/>
  <c r="B126" i="3" s="1"/>
  <c r="T125" i="3"/>
  <c r="S125" i="3"/>
  <c r="R125" i="3"/>
  <c r="Q125" i="3"/>
  <c r="P125" i="3"/>
  <c r="O125" i="3"/>
  <c r="N125" i="3"/>
  <c r="M125" i="3"/>
  <c r="L125" i="3"/>
  <c r="K125" i="3"/>
  <c r="J125" i="3"/>
  <c r="I125" i="3"/>
  <c r="H125" i="3"/>
  <c r="G125" i="3"/>
  <c r="F125" i="3"/>
  <c r="E125" i="3"/>
  <c r="D125" i="3"/>
  <c r="C125" i="3"/>
  <c r="B125" i="3" s="1"/>
  <c r="T124" i="3"/>
  <c r="S124" i="3"/>
  <c r="R124" i="3"/>
  <c r="Q124" i="3"/>
  <c r="P124" i="3"/>
  <c r="O124" i="3"/>
  <c r="N124" i="3"/>
  <c r="M124" i="3"/>
  <c r="L124" i="3"/>
  <c r="K124" i="3"/>
  <c r="J124" i="3"/>
  <c r="I124" i="3"/>
  <c r="H124" i="3"/>
  <c r="G124" i="3"/>
  <c r="F124" i="3"/>
  <c r="E124" i="3"/>
  <c r="D124" i="3"/>
  <c r="C124" i="3"/>
  <c r="B124" i="3" s="1"/>
  <c r="T123" i="3"/>
  <c r="S123" i="3"/>
  <c r="R123" i="3"/>
  <c r="Q123" i="3"/>
  <c r="P123" i="3"/>
  <c r="O123" i="3"/>
  <c r="N123" i="3"/>
  <c r="M123" i="3"/>
  <c r="L123" i="3"/>
  <c r="K123" i="3"/>
  <c r="J123" i="3"/>
  <c r="I123" i="3"/>
  <c r="H123" i="3"/>
  <c r="G123" i="3"/>
  <c r="F123" i="3"/>
  <c r="E123" i="3"/>
  <c r="D123" i="3"/>
  <c r="C123" i="3"/>
  <c r="B123" i="3" s="1"/>
  <c r="T122" i="3"/>
  <c r="S122" i="3"/>
  <c r="R122" i="3"/>
  <c r="Q122" i="3"/>
  <c r="P122" i="3"/>
  <c r="O122" i="3"/>
  <c r="N122" i="3"/>
  <c r="M122" i="3"/>
  <c r="L122" i="3"/>
  <c r="K122" i="3"/>
  <c r="J122" i="3"/>
  <c r="I122" i="3"/>
  <c r="H122" i="3"/>
  <c r="G122" i="3"/>
  <c r="F122" i="3"/>
  <c r="E122" i="3"/>
  <c r="D122" i="3"/>
  <c r="C122" i="3"/>
  <c r="B122" i="3" s="1"/>
  <c r="T121" i="3"/>
  <c r="S121" i="3"/>
  <c r="R121" i="3"/>
  <c r="Q121" i="3"/>
  <c r="P121" i="3"/>
  <c r="O121" i="3"/>
  <c r="N121" i="3"/>
  <c r="M121" i="3"/>
  <c r="L121" i="3"/>
  <c r="K121" i="3"/>
  <c r="J121" i="3"/>
  <c r="I121" i="3"/>
  <c r="H121" i="3"/>
  <c r="G121" i="3"/>
  <c r="F121" i="3"/>
  <c r="E121" i="3"/>
  <c r="D121" i="3"/>
  <c r="C121" i="3"/>
  <c r="B121" i="3" s="1"/>
  <c r="T120" i="3"/>
  <c r="S120" i="3"/>
  <c r="R120" i="3"/>
  <c r="Q120" i="3"/>
  <c r="P120" i="3"/>
  <c r="O120" i="3"/>
  <c r="N120" i="3"/>
  <c r="M120" i="3"/>
  <c r="L120" i="3"/>
  <c r="K120" i="3"/>
  <c r="J120" i="3"/>
  <c r="I120" i="3"/>
  <c r="H120" i="3"/>
  <c r="G120" i="3"/>
  <c r="F120" i="3"/>
  <c r="E120" i="3"/>
  <c r="D120" i="3"/>
  <c r="C120" i="3"/>
  <c r="B120" i="3" s="1"/>
  <c r="T119" i="3"/>
  <c r="S119" i="3"/>
  <c r="R119" i="3"/>
  <c r="Q119" i="3"/>
  <c r="P119" i="3"/>
  <c r="O119" i="3"/>
  <c r="N119" i="3"/>
  <c r="M119" i="3"/>
  <c r="L119" i="3"/>
  <c r="K119" i="3"/>
  <c r="J119" i="3"/>
  <c r="I119" i="3"/>
  <c r="H119" i="3"/>
  <c r="G119" i="3"/>
  <c r="F119" i="3"/>
  <c r="E119" i="3"/>
  <c r="D119" i="3"/>
  <c r="C119" i="3"/>
  <c r="B119" i="3" s="1"/>
  <c r="T118" i="3"/>
  <c r="S118" i="3"/>
  <c r="R118" i="3"/>
  <c r="Q118" i="3"/>
  <c r="P118" i="3"/>
  <c r="O118" i="3"/>
  <c r="N118" i="3"/>
  <c r="M118" i="3"/>
  <c r="L118" i="3"/>
  <c r="K118" i="3"/>
  <c r="J118" i="3"/>
  <c r="I118" i="3"/>
  <c r="H118" i="3"/>
  <c r="G118" i="3"/>
  <c r="F118" i="3"/>
  <c r="E118" i="3"/>
  <c r="D118" i="3"/>
  <c r="C118" i="3"/>
  <c r="B118" i="3" s="1"/>
  <c r="T117" i="3"/>
  <c r="S117" i="3"/>
  <c r="R117" i="3"/>
  <c r="Q117" i="3"/>
  <c r="P117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C117" i="3"/>
  <c r="B117" i="3" s="1"/>
  <c r="T116" i="3"/>
  <c r="S116" i="3"/>
  <c r="R116" i="3"/>
  <c r="Q116" i="3"/>
  <c r="P116" i="3"/>
  <c r="O116" i="3"/>
  <c r="N116" i="3"/>
  <c r="M116" i="3"/>
  <c r="L116" i="3"/>
  <c r="K116" i="3"/>
  <c r="J116" i="3"/>
  <c r="I116" i="3"/>
  <c r="H116" i="3"/>
  <c r="G116" i="3"/>
  <c r="F116" i="3"/>
  <c r="E116" i="3"/>
  <c r="D116" i="3"/>
  <c r="C116" i="3"/>
  <c r="B116" i="3" s="1"/>
  <c r="T115" i="3"/>
  <c r="S115" i="3"/>
  <c r="R115" i="3"/>
  <c r="Q115" i="3"/>
  <c r="P115" i="3"/>
  <c r="O115" i="3"/>
  <c r="N115" i="3"/>
  <c r="M115" i="3"/>
  <c r="L115" i="3"/>
  <c r="K115" i="3"/>
  <c r="J115" i="3"/>
  <c r="I115" i="3"/>
  <c r="H115" i="3"/>
  <c r="G115" i="3"/>
  <c r="F115" i="3"/>
  <c r="E115" i="3"/>
  <c r="D115" i="3"/>
  <c r="B115" i="3"/>
  <c r="T114" i="3"/>
  <c r="S114" i="3"/>
  <c r="R114" i="3"/>
  <c r="Q114" i="3"/>
  <c r="P114" i="3"/>
  <c r="O114" i="3"/>
  <c r="N114" i="3"/>
  <c r="M114" i="3"/>
  <c r="L114" i="3"/>
  <c r="K114" i="3"/>
  <c r="J114" i="3"/>
  <c r="I114" i="3"/>
  <c r="H114" i="3"/>
  <c r="G114" i="3"/>
  <c r="F114" i="3"/>
  <c r="E114" i="3"/>
  <c r="D114" i="3"/>
  <c r="C114" i="3"/>
  <c r="B114" i="3" s="1"/>
  <c r="T113" i="3"/>
  <c r="S113" i="3"/>
  <c r="R113" i="3"/>
  <c r="Q113" i="3"/>
  <c r="P113" i="3"/>
  <c r="O113" i="3"/>
  <c r="N113" i="3"/>
  <c r="M113" i="3"/>
  <c r="L113" i="3"/>
  <c r="K113" i="3"/>
  <c r="J113" i="3"/>
  <c r="I113" i="3"/>
  <c r="H113" i="3"/>
  <c r="G113" i="3"/>
  <c r="F113" i="3"/>
  <c r="E113" i="3"/>
  <c r="D113" i="3"/>
  <c r="C113" i="3"/>
  <c r="B113" i="3" s="1"/>
  <c r="T112" i="3"/>
  <c r="S112" i="3"/>
  <c r="R112" i="3"/>
  <c r="Q112" i="3"/>
  <c r="P112" i="3"/>
  <c r="O112" i="3"/>
  <c r="N112" i="3"/>
  <c r="M112" i="3"/>
  <c r="L112" i="3"/>
  <c r="K112" i="3"/>
  <c r="J112" i="3"/>
  <c r="I112" i="3"/>
  <c r="H112" i="3"/>
  <c r="G112" i="3"/>
  <c r="F112" i="3"/>
  <c r="E112" i="3"/>
  <c r="D112" i="3"/>
  <c r="C112" i="3"/>
  <c r="B112" i="3" s="1"/>
  <c r="T111" i="3"/>
  <c r="S111" i="3"/>
  <c r="R111" i="3"/>
  <c r="Q111" i="3"/>
  <c r="P111" i="3"/>
  <c r="O111" i="3"/>
  <c r="N111" i="3"/>
  <c r="M111" i="3"/>
  <c r="L111" i="3"/>
  <c r="K111" i="3"/>
  <c r="J111" i="3"/>
  <c r="I111" i="3"/>
  <c r="H111" i="3"/>
  <c r="G111" i="3"/>
  <c r="F111" i="3"/>
  <c r="E111" i="3"/>
  <c r="D111" i="3"/>
  <c r="B111" i="3"/>
  <c r="T110" i="3"/>
  <c r="S110" i="3"/>
  <c r="R110" i="3"/>
  <c r="Q110" i="3"/>
  <c r="P110" i="3"/>
  <c r="O110" i="3"/>
  <c r="N110" i="3"/>
  <c r="M110" i="3"/>
  <c r="L110" i="3"/>
  <c r="K110" i="3"/>
  <c r="J110" i="3"/>
  <c r="I110" i="3"/>
  <c r="H110" i="3"/>
  <c r="G110" i="3"/>
  <c r="F110" i="3"/>
  <c r="E110" i="3"/>
  <c r="D110" i="3"/>
  <c r="C110" i="3"/>
  <c r="B110" i="3" s="1"/>
  <c r="T109" i="3"/>
  <c r="S109" i="3"/>
  <c r="R109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B109" i="3" s="1"/>
  <c r="T108" i="3"/>
  <c r="S108" i="3"/>
  <c r="R108" i="3"/>
  <c r="Q108" i="3"/>
  <c r="P108" i="3"/>
  <c r="O108" i="3"/>
  <c r="N108" i="3"/>
  <c r="M108" i="3"/>
  <c r="L108" i="3"/>
  <c r="K108" i="3"/>
  <c r="J108" i="3"/>
  <c r="I108" i="3"/>
  <c r="H108" i="3"/>
  <c r="G108" i="3"/>
  <c r="F108" i="3"/>
  <c r="E108" i="3"/>
  <c r="D108" i="3"/>
  <c r="C108" i="3"/>
  <c r="B108" i="3" s="1"/>
  <c r="T107" i="3"/>
  <c r="S107" i="3"/>
  <c r="R107" i="3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B107" i="3" s="1"/>
  <c r="T106" i="3"/>
  <c r="S106" i="3"/>
  <c r="R106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B106" i="3" s="1"/>
  <c r="T105" i="3"/>
  <c r="S105" i="3"/>
  <c r="R105" i="3"/>
  <c r="Q105" i="3"/>
  <c r="P105" i="3"/>
  <c r="O105" i="3"/>
  <c r="N105" i="3"/>
  <c r="M105" i="3"/>
  <c r="L105" i="3"/>
  <c r="K105" i="3"/>
  <c r="J105" i="3"/>
  <c r="I105" i="3"/>
  <c r="H105" i="3"/>
  <c r="G105" i="3"/>
  <c r="F105" i="3"/>
  <c r="E105" i="3"/>
  <c r="D105" i="3"/>
  <c r="C105" i="3"/>
  <c r="B105" i="3" s="1"/>
  <c r="T104" i="3"/>
  <c r="S104" i="3"/>
  <c r="R104" i="3"/>
  <c r="Q104" i="3"/>
  <c r="P104" i="3"/>
  <c r="O104" i="3"/>
  <c r="N104" i="3"/>
  <c r="M104" i="3"/>
  <c r="L104" i="3"/>
  <c r="K104" i="3"/>
  <c r="J104" i="3"/>
  <c r="I104" i="3"/>
  <c r="H104" i="3"/>
  <c r="G104" i="3"/>
  <c r="F104" i="3"/>
  <c r="E104" i="3"/>
  <c r="D104" i="3"/>
  <c r="C104" i="3"/>
  <c r="B104" i="3" s="1"/>
  <c r="T103" i="3"/>
  <c r="S103" i="3"/>
  <c r="R103" i="3"/>
  <c r="Q103" i="3"/>
  <c r="P103" i="3"/>
  <c r="O103" i="3"/>
  <c r="N103" i="3"/>
  <c r="M103" i="3"/>
  <c r="L103" i="3"/>
  <c r="K103" i="3"/>
  <c r="J103" i="3"/>
  <c r="I103" i="3"/>
  <c r="H103" i="3"/>
  <c r="G103" i="3"/>
  <c r="F103" i="3"/>
  <c r="E103" i="3"/>
  <c r="D103" i="3"/>
  <c r="B103" i="3"/>
  <c r="T102" i="3"/>
  <c r="S102" i="3"/>
  <c r="R102" i="3"/>
  <c r="Q102" i="3"/>
  <c r="P102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B102" i="3" s="1"/>
  <c r="T101" i="3"/>
  <c r="S101" i="3"/>
  <c r="R101" i="3"/>
  <c r="Q101" i="3"/>
  <c r="P101" i="3"/>
  <c r="O101" i="3"/>
  <c r="N101" i="3"/>
  <c r="M101" i="3"/>
  <c r="L101" i="3"/>
  <c r="K101" i="3"/>
  <c r="J101" i="3"/>
  <c r="I101" i="3"/>
  <c r="H101" i="3"/>
  <c r="G101" i="3"/>
  <c r="F101" i="3"/>
  <c r="E101" i="3"/>
  <c r="D101" i="3"/>
  <c r="C101" i="3"/>
  <c r="B101" i="3" s="1"/>
  <c r="T100" i="3"/>
  <c r="S100" i="3"/>
  <c r="R100" i="3"/>
  <c r="Q100" i="3"/>
  <c r="P100" i="3"/>
  <c r="O100" i="3"/>
  <c r="N100" i="3"/>
  <c r="M100" i="3"/>
  <c r="L100" i="3"/>
  <c r="K100" i="3"/>
  <c r="J100" i="3"/>
  <c r="I100" i="3"/>
  <c r="H100" i="3"/>
  <c r="G100" i="3"/>
  <c r="F100" i="3"/>
  <c r="E100" i="3"/>
  <c r="D100" i="3"/>
  <c r="C100" i="3"/>
  <c r="B100" i="3" s="1"/>
  <c r="T99" i="3"/>
  <c r="S99" i="3"/>
  <c r="R99" i="3"/>
  <c r="Q99" i="3"/>
  <c r="P99" i="3"/>
  <c r="O99" i="3"/>
  <c r="N99" i="3"/>
  <c r="M99" i="3"/>
  <c r="L99" i="3"/>
  <c r="K99" i="3"/>
  <c r="J99" i="3"/>
  <c r="I99" i="3"/>
  <c r="H99" i="3"/>
  <c r="G99" i="3"/>
  <c r="F99" i="3"/>
  <c r="E99" i="3"/>
  <c r="D99" i="3"/>
  <c r="C99" i="3"/>
  <c r="B99" i="3" s="1"/>
  <c r="T98" i="3"/>
  <c r="S98" i="3"/>
  <c r="R98" i="3"/>
  <c r="Q98" i="3"/>
  <c r="P98" i="3"/>
  <c r="O98" i="3"/>
  <c r="N98" i="3"/>
  <c r="M98" i="3"/>
  <c r="L98" i="3"/>
  <c r="K98" i="3"/>
  <c r="J98" i="3"/>
  <c r="I98" i="3"/>
  <c r="H98" i="3"/>
  <c r="G98" i="3"/>
  <c r="F98" i="3"/>
  <c r="E98" i="3"/>
  <c r="D98" i="3"/>
  <c r="C98" i="3"/>
  <c r="B98" i="3" s="1"/>
  <c r="T97" i="3"/>
  <c r="S97" i="3"/>
  <c r="R97" i="3"/>
  <c r="Q97" i="3"/>
  <c r="P97" i="3"/>
  <c r="O97" i="3"/>
  <c r="N97" i="3"/>
  <c r="M97" i="3"/>
  <c r="L97" i="3"/>
  <c r="K97" i="3"/>
  <c r="J97" i="3"/>
  <c r="I97" i="3"/>
  <c r="H97" i="3"/>
  <c r="G97" i="3"/>
  <c r="F97" i="3"/>
  <c r="E97" i="3"/>
  <c r="D97" i="3"/>
  <c r="C97" i="3"/>
  <c r="B97" i="3" s="1"/>
  <c r="T96" i="3"/>
  <c r="S96" i="3"/>
  <c r="R96" i="3"/>
  <c r="Q96" i="3"/>
  <c r="P96" i="3"/>
  <c r="O96" i="3"/>
  <c r="N96" i="3"/>
  <c r="M96" i="3"/>
  <c r="L96" i="3"/>
  <c r="K96" i="3"/>
  <c r="J96" i="3"/>
  <c r="I96" i="3"/>
  <c r="H96" i="3"/>
  <c r="G96" i="3"/>
  <c r="F96" i="3"/>
  <c r="E96" i="3"/>
  <c r="D96" i="3"/>
  <c r="C96" i="3"/>
  <c r="B96" i="3" s="1"/>
  <c r="T95" i="3"/>
  <c r="S95" i="3"/>
  <c r="R95" i="3"/>
  <c r="Q95" i="3"/>
  <c r="P95" i="3"/>
  <c r="O95" i="3"/>
  <c r="N95" i="3"/>
  <c r="M95" i="3"/>
  <c r="L95" i="3"/>
  <c r="K95" i="3"/>
  <c r="J95" i="3"/>
  <c r="I95" i="3"/>
  <c r="H95" i="3"/>
  <c r="G95" i="3"/>
  <c r="F95" i="3"/>
  <c r="E95" i="3"/>
  <c r="D95" i="3"/>
  <c r="C95" i="3"/>
  <c r="B95" i="3" s="1"/>
  <c r="T94" i="3"/>
  <c r="S94" i="3"/>
  <c r="R94" i="3"/>
  <c r="Q94" i="3"/>
  <c r="P94" i="3"/>
  <c r="O94" i="3"/>
  <c r="N94" i="3"/>
  <c r="M94" i="3"/>
  <c r="L94" i="3"/>
  <c r="K94" i="3"/>
  <c r="J94" i="3"/>
  <c r="I94" i="3"/>
  <c r="H94" i="3"/>
  <c r="G94" i="3"/>
  <c r="F94" i="3"/>
  <c r="E94" i="3"/>
  <c r="D94" i="3"/>
  <c r="C94" i="3"/>
  <c r="B94" i="3" s="1"/>
  <c r="T93" i="3"/>
  <c r="S93" i="3"/>
  <c r="R93" i="3"/>
  <c r="Q93" i="3"/>
  <c r="P93" i="3"/>
  <c r="O93" i="3"/>
  <c r="N93" i="3"/>
  <c r="M93" i="3"/>
  <c r="L93" i="3"/>
  <c r="K93" i="3"/>
  <c r="J93" i="3"/>
  <c r="I93" i="3"/>
  <c r="H93" i="3"/>
  <c r="G93" i="3"/>
  <c r="F93" i="3"/>
  <c r="E93" i="3"/>
  <c r="D93" i="3"/>
  <c r="C93" i="3"/>
  <c r="B93" i="3" s="1"/>
  <c r="T92" i="3"/>
  <c r="S92" i="3"/>
  <c r="R92" i="3"/>
  <c r="Q92" i="3"/>
  <c r="P92" i="3"/>
  <c r="O92" i="3"/>
  <c r="N92" i="3"/>
  <c r="M92" i="3"/>
  <c r="L92" i="3"/>
  <c r="K92" i="3"/>
  <c r="J92" i="3"/>
  <c r="I92" i="3"/>
  <c r="H92" i="3"/>
  <c r="G92" i="3"/>
  <c r="F92" i="3"/>
  <c r="E92" i="3"/>
  <c r="D92" i="3"/>
  <c r="C92" i="3"/>
  <c r="B92" i="3" s="1"/>
  <c r="T91" i="3"/>
  <c r="S91" i="3"/>
  <c r="R91" i="3"/>
  <c r="Q91" i="3"/>
  <c r="P91" i="3"/>
  <c r="O91" i="3"/>
  <c r="N91" i="3"/>
  <c r="M91" i="3"/>
  <c r="L91" i="3"/>
  <c r="K91" i="3"/>
  <c r="J91" i="3"/>
  <c r="I91" i="3"/>
  <c r="H91" i="3"/>
  <c r="G91" i="3"/>
  <c r="F91" i="3"/>
  <c r="E91" i="3"/>
  <c r="D91" i="3"/>
  <c r="C91" i="3"/>
  <c r="B91" i="3" s="1"/>
  <c r="T90" i="3"/>
  <c r="S90" i="3"/>
  <c r="R90" i="3"/>
  <c r="Q90" i="3"/>
  <c r="P90" i="3"/>
  <c r="O90" i="3"/>
  <c r="N90" i="3"/>
  <c r="M90" i="3"/>
  <c r="L90" i="3"/>
  <c r="K90" i="3"/>
  <c r="J90" i="3"/>
  <c r="I90" i="3"/>
  <c r="H90" i="3"/>
  <c r="G90" i="3"/>
  <c r="F90" i="3"/>
  <c r="E90" i="3"/>
  <c r="D90" i="3"/>
  <c r="C90" i="3"/>
  <c r="B90" i="3" s="1"/>
  <c r="T89" i="3"/>
  <c r="S89" i="3"/>
  <c r="R89" i="3"/>
  <c r="Q89" i="3"/>
  <c r="P89" i="3"/>
  <c r="O89" i="3"/>
  <c r="N89" i="3"/>
  <c r="M89" i="3"/>
  <c r="L89" i="3"/>
  <c r="K89" i="3"/>
  <c r="J89" i="3"/>
  <c r="I89" i="3"/>
  <c r="H89" i="3"/>
  <c r="G89" i="3"/>
  <c r="F89" i="3"/>
  <c r="E89" i="3"/>
  <c r="D89" i="3"/>
  <c r="C89" i="3"/>
  <c r="B89" i="3" s="1"/>
  <c r="T88" i="3"/>
  <c r="S88" i="3"/>
  <c r="R88" i="3"/>
  <c r="Q88" i="3"/>
  <c r="P88" i="3"/>
  <c r="O88" i="3"/>
  <c r="N88" i="3"/>
  <c r="M88" i="3"/>
  <c r="L88" i="3"/>
  <c r="K88" i="3"/>
  <c r="J88" i="3"/>
  <c r="I88" i="3"/>
  <c r="H88" i="3"/>
  <c r="G88" i="3"/>
  <c r="F88" i="3"/>
  <c r="E88" i="3"/>
  <c r="D88" i="3"/>
  <c r="C88" i="3"/>
  <c r="B88" i="3" s="1"/>
  <c r="T87" i="3"/>
  <c r="S87" i="3"/>
  <c r="R87" i="3"/>
  <c r="Q87" i="3"/>
  <c r="P87" i="3"/>
  <c r="O87" i="3"/>
  <c r="N87" i="3"/>
  <c r="M87" i="3"/>
  <c r="L87" i="3"/>
  <c r="K87" i="3"/>
  <c r="J87" i="3"/>
  <c r="I87" i="3"/>
  <c r="H87" i="3"/>
  <c r="G87" i="3"/>
  <c r="F87" i="3"/>
  <c r="E87" i="3"/>
  <c r="D87" i="3"/>
  <c r="C87" i="3"/>
  <c r="B87" i="3" s="1"/>
  <c r="T86" i="3"/>
  <c r="S86" i="3"/>
  <c r="R86" i="3"/>
  <c r="Q86" i="3"/>
  <c r="P86" i="3"/>
  <c r="O86" i="3"/>
  <c r="N86" i="3"/>
  <c r="M86" i="3"/>
  <c r="L86" i="3"/>
  <c r="K86" i="3"/>
  <c r="J86" i="3"/>
  <c r="I86" i="3"/>
  <c r="H86" i="3"/>
  <c r="G86" i="3"/>
  <c r="F86" i="3"/>
  <c r="E86" i="3"/>
  <c r="D86" i="3"/>
  <c r="C86" i="3"/>
  <c r="B86" i="3" s="1"/>
  <c r="T85" i="3"/>
  <c r="S85" i="3"/>
  <c r="R85" i="3"/>
  <c r="Q85" i="3"/>
  <c r="P85" i="3"/>
  <c r="O85" i="3"/>
  <c r="N85" i="3"/>
  <c r="M85" i="3"/>
  <c r="L85" i="3"/>
  <c r="K85" i="3"/>
  <c r="J85" i="3"/>
  <c r="I85" i="3"/>
  <c r="H85" i="3"/>
  <c r="G85" i="3"/>
  <c r="F85" i="3"/>
  <c r="E85" i="3"/>
  <c r="D85" i="3"/>
  <c r="C85" i="3"/>
  <c r="B85" i="3" s="1"/>
  <c r="T84" i="3"/>
  <c r="S84" i="3"/>
  <c r="R84" i="3"/>
  <c r="Q84" i="3"/>
  <c r="P84" i="3"/>
  <c r="O84" i="3"/>
  <c r="N84" i="3"/>
  <c r="M84" i="3"/>
  <c r="L84" i="3"/>
  <c r="K84" i="3"/>
  <c r="J84" i="3"/>
  <c r="I84" i="3"/>
  <c r="H84" i="3"/>
  <c r="G84" i="3"/>
  <c r="F84" i="3"/>
  <c r="E84" i="3"/>
  <c r="D84" i="3"/>
  <c r="C84" i="3"/>
  <c r="B84" i="3" s="1"/>
  <c r="T83" i="3"/>
  <c r="S83" i="3"/>
  <c r="R83" i="3"/>
  <c r="Q83" i="3"/>
  <c r="P83" i="3"/>
  <c r="O83" i="3"/>
  <c r="N83" i="3"/>
  <c r="M83" i="3"/>
  <c r="L83" i="3"/>
  <c r="K83" i="3"/>
  <c r="J83" i="3"/>
  <c r="I83" i="3"/>
  <c r="H83" i="3"/>
  <c r="G83" i="3"/>
  <c r="F83" i="3"/>
  <c r="E83" i="3"/>
  <c r="D83" i="3"/>
  <c r="C83" i="3"/>
  <c r="B83" i="3" s="1"/>
  <c r="T82" i="3"/>
  <c r="S82" i="3"/>
  <c r="R82" i="3"/>
  <c r="Q82" i="3"/>
  <c r="P82" i="3"/>
  <c r="O82" i="3"/>
  <c r="N82" i="3"/>
  <c r="M82" i="3"/>
  <c r="L82" i="3"/>
  <c r="K82" i="3"/>
  <c r="J82" i="3"/>
  <c r="I82" i="3"/>
  <c r="H82" i="3"/>
  <c r="G82" i="3"/>
  <c r="F82" i="3"/>
  <c r="E82" i="3"/>
  <c r="D82" i="3"/>
  <c r="C82" i="3"/>
  <c r="B82" i="3" s="1"/>
  <c r="T81" i="3"/>
  <c r="S81" i="3"/>
  <c r="R81" i="3"/>
  <c r="Q81" i="3"/>
  <c r="P81" i="3"/>
  <c r="O81" i="3"/>
  <c r="N81" i="3"/>
  <c r="M81" i="3"/>
  <c r="L81" i="3"/>
  <c r="K81" i="3"/>
  <c r="J81" i="3"/>
  <c r="I81" i="3"/>
  <c r="H81" i="3"/>
  <c r="G81" i="3"/>
  <c r="F81" i="3"/>
  <c r="E81" i="3"/>
  <c r="D81" i="3"/>
  <c r="C81" i="3"/>
  <c r="B81" i="3" s="1"/>
  <c r="T80" i="3"/>
  <c r="S80" i="3"/>
  <c r="R80" i="3"/>
  <c r="Q80" i="3"/>
  <c r="P80" i="3"/>
  <c r="O80" i="3"/>
  <c r="N80" i="3"/>
  <c r="M80" i="3"/>
  <c r="L80" i="3"/>
  <c r="K80" i="3"/>
  <c r="J80" i="3"/>
  <c r="I80" i="3"/>
  <c r="H80" i="3"/>
  <c r="G80" i="3"/>
  <c r="F80" i="3"/>
  <c r="E80" i="3"/>
  <c r="D80" i="3"/>
  <c r="C80" i="3"/>
  <c r="B80" i="3" s="1"/>
  <c r="T79" i="3"/>
  <c r="S79" i="3"/>
  <c r="R79" i="3"/>
  <c r="Q79" i="3"/>
  <c r="P79" i="3"/>
  <c r="O79" i="3"/>
  <c r="N79" i="3"/>
  <c r="M79" i="3"/>
  <c r="L79" i="3"/>
  <c r="K79" i="3"/>
  <c r="J79" i="3"/>
  <c r="I79" i="3"/>
  <c r="H79" i="3"/>
  <c r="G79" i="3"/>
  <c r="F79" i="3"/>
  <c r="E79" i="3"/>
  <c r="D79" i="3"/>
  <c r="C79" i="3"/>
  <c r="B79" i="3" s="1"/>
  <c r="T78" i="3"/>
  <c r="S78" i="3"/>
  <c r="R78" i="3"/>
  <c r="Q78" i="3"/>
  <c r="P78" i="3"/>
  <c r="O78" i="3"/>
  <c r="N78" i="3"/>
  <c r="M78" i="3"/>
  <c r="L78" i="3"/>
  <c r="K78" i="3"/>
  <c r="J78" i="3"/>
  <c r="I78" i="3"/>
  <c r="H78" i="3"/>
  <c r="G78" i="3"/>
  <c r="F78" i="3"/>
  <c r="E78" i="3"/>
  <c r="D78" i="3"/>
  <c r="C78" i="3"/>
  <c r="B78" i="3" s="1"/>
  <c r="T77" i="3"/>
  <c r="S77" i="3"/>
  <c r="R77" i="3"/>
  <c r="Q77" i="3"/>
  <c r="P77" i="3"/>
  <c r="O77" i="3"/>
  <c r="N77" i="3"/>
  <c r="M77" i="3"/>
  <c r="L77" i="3"/>
  <c r="K77" i="3"/>
  <c r="J77" i="3"/>
  <c r="I77" i="3"/>
  <c r="H77" i="3"/>
  <c r="G77" i="3"/>
  <c r="F77" i="3"/>
  <c r="E77" i="3"/>
  <c r="D77" i="3"/>
  <c r="C77" i="3"/>
  <c r="B77" i="3" s="1"/>
  <c r="T76" i="3"/>
  <c r="S76" i="3"/>
  <c r="R76" i="3"/>
  <c r="Q76" i="3"/>
  <c r="P76" i="3"/>
  <c r="O76" i="3"/>
  <c r="N76" i="3"/>
  <c r="M76" i="3"/>
  <c r="L76" i="3"/>
  <c r="K76" i="3"/>
  <c r="J76" i="3"/>
  <c r="I76" i="3"/>
  <c r="H76" i="3"/>
  <c r="G76" i="3"/>
  <c r="F76" i="3"/>
  <c r="E76" i="3"/>
  <c r="D76" i="3"/>
  <c r="C76" i="3"/>
  <c r="B76" i="3" s="1"/>
  <c r="T75" i="3"/>
  <c r="S75" i="3"/>
  <c r="R75" i="3"/>
  <c r="Q75" i="3"/>
  <c r="P75" i="3"/>
  <c r="O75" i="3"/>
  <c r="N75" i="3"/>
  <c r="M75" i="3"/>
  <c r="L75" i="3"/>
  <c r="K75" i="3"/>
  <c r="J75" i="3"/>
  <c r="I75" i="3"/>
  <c r="H75" i="3"/>
  <c r="G75" i="3"/>
  <c r="F75" i="3"/>
  <c r="E75" i="3"/>
  <c r="D75" i="3"/>
  <c r="C75" i="3"/>
  <c r="B75" i="3" s="1"/>
  <c r="T74" i="3"/>
  <c r="S74" i="3"/>
  <c r="R74" i="3"/>
  <c r="Q74" i="3"/>
  <c r="P74" i="3"/>
  <c r="O74" i="3"/>
  <c r="N74" i="3"/>
  <c r="M74" i="3"/>
  <c r="L74" i="3"/>
  <c r="K74" i="3"/>
  <c r="J74" i="3"/>
  <c r="I74" i="3"/>
  <c r="H74" i="3"/>
  <c r="G74" i="3"/>
  <c r="F74" i="3"/>
  <c r="E74" i="3"/>
  <c r="D74" i="3"/>
  <c r="C74" i="3"/>
  <c r="B74" i="3" s="1"/>
  <c r="T73" i="3"/>
  <c r="S73" i="3"/>
  <c r="R73" i="3"/>
  <c r="Q73" i="3"/>
  <c r="P73" i="3"/>
  <c r="O73" i="3"/>
  <c r="N73" i="3"/>
  <c r="M73" i="3"/>
  <c r="L73" i="3"/>
  <c r="K73" i="3"/>
  <c r="J73" i="3"/>
  <c r="I73" i="3"/>
  <c r="H73" i="3"/>
  <c r="G73" i="3"/>
  <c r="F73" i="3"/>
  <c r="E73" i="3"/>
  <c r="D73" i="3"/>
  <c r="C73" i="3"/>
  <c r="B73" i="3" s="1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B72" i="3" s="1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B71" i="3" s="1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C70" i="3"/>
  <c r="B70" i="3" s="1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B69" i="3" s="1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C68" i="3"/>
  <c r="B68" i="3" s="1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B67" i="3" s="1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 s="1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 s="1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 s="1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C63" i="3"/>
  <c r="B63" i="3" s="1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 s="1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 s="1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B60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 s="1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 s="1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 s="1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 s="1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 s="1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 s="1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 s="1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 s="1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 s="1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B50" i="3" s="1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B49" i="3" s="1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B48" i="3" s="1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B47" i="3" s="1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B46" i="3" s="1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B45" i="3" s="1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B44" i="3" s="1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 s="1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 s="1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B41" i="3" s="1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 s="1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 s="1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B38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B37" i="3" s="1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 s="1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 s="1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 s="1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 s="1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 s="1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 s="1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 s="1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 s="1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 s="1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 s="1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 s="1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B25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 s="1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 s="1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 s="1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 s="1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 s="1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 s="1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 s="1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 s="1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 s="1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 s="1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 s="1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 s="1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 s="1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 s="1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 s="1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 s="1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B8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 s="1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 s="1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 s="1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C4" i="3"/>
  <c r="B4" i="3" s="1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B3" i="3" s="1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 s="1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J1004" i="2"/>
  <c r="I1004" i="2"/>
  <c r="H1004" i="2"/>
  <c r="G1004" i="2"/>
  <c r="F1004" i="2"/>
  <c r="J1003" i="2"/>
  <c r="I1003" i="2"/>
  <c r="H1003" i="2"/>
  <c r="G1003" i="2"/>
  <c r="F1003" i="2"/>
  <c r="J1002" i="2"/>
  <c r="I1002" i="2"/>
  <c r="H1002" i="2"/>
  <c r="L1002" i="2" s="1"/>
  <c r="G1002" i="2"/>
  <c r="F1002" i="2"/>
  <c r="J1001" i="2"/>
  <c r="I1001" i="2"/>
  <c r="H1001" i="2"/>
  <c r="L1001" i="2" s="1"/>
  <c r="G1001" i="2"/>
  <c r="F1001" i="2"/>
  <c r="J1000" i="2"/>
  <c r="I1000" i="2"/>
  <c r="H1000" i="2"/>
  <c r="L1000" i="2" s="1"/>
  <c r="G1000" i="2"/>
  <c r="F1000" i="2"/>
  <c r="J999" i="2"/>
  <c r="I999" i="2"/>
  <c r="H999" i="2"/>
  <c r="L999" i="2" s="1"/>
  <c r="G999" i="2"/>
  <c r="F999" i="2"/>
  <c r="J998" i="2"/>
  <c r="I998" i="2"/>
  <c r="H998" i="2"/>
  <c r="L998" i="2" s="1"/>
  <c r="G998" i="2"/>
  <c r="F998" i="2"/>
  <c r="J997" i="2"/>
  <c r="I997" i="2"/>
  <c r="H997" i="2"/>
  <c r="L997" i="2" s="1"/>
  <c r="G997" i="2"/>
  <c r="F997" i="2"/>
  <c r="J996" i="2"/>
  <c r="I996" i="2"/>
  <c r="H996" i="2"/>
  <c r="L996" i="2" s="1"/>
  <c r="G996" i="2"/>
  <c r="F996" i="2"/>
  <c r="J995" i="2"/>
  <c r="I995" i="2"/>
  <c r="H995" i="2"/>
  <c r="L995" i="2" s="1"/>
  <c r="G995" i="2"/>
  <c r="F995" i="2"/>
  <c r="J994" i="2"/>
  <c r="I994" i="2"/>
  <c r="H994" i="2"/>
  <c r="L994" i="2" s="1"/>
  <c r="G994" i="2"/>
  <c r="F994" i="2"/>
  <c r="J993" i="2"/>
  <c r="I993" i="2"/>
  <c r="H993" i="2"/>
  <c r="L993" i="2" s="1"/>
  <c r="G993" i="2"/>
  <c r="F993" i="2"/>
  <c r="J992" i="2"/>
  <c r="I992" i="2"/>
  <c r="H992" i="2"/>
  <c r="L992" i="2" s="1"/>
  <c r="G992" i="2"/>
  <c r="F992" i="2"/>
  <c r="J991" i="2"/>
  <c r="I991" i="2"/>
  <c r="H991" i="2"/>
  <c r="L991" i="2" s="1"/>
  <c r="G991" i="2"/>
  <c r="F991" i="2"/>
  <c r="J990" i="2"/>
  <c r="I990" i="2"/>
  <c r="H990" i="2"/>
  <c r="L990" i="2" s="1"/>
  <c r="G990" i="2"/>
  <c r="F990" i="2"/>
  <c r="J989" i="2"/>
  <c r="I989" i="2"/>
  <c r="H989" i="2"/>
  <c r="L989" i="2" s="1"/>
  <c r="G989" i="2"/>
  <c r="F989" i="2"/>
  <c r="J988" i="2"/>
  <c r="I988" i="2"/>
  <c r="H988" i="2"/>
  <c r="L988" i="2" s="1"/>
  <c r="G988" i="2"/>
  <c r="F988" i="2"/>
  <c r="J987" i="2"/>
  <c r="I987" i="2"/>
  <c r="H987" i="2"/>
  <c r="L987" i="2" s="1"/>
  <c r="G987" i="2"/>
  <c r="F987" i="2"/>
  <c r="J986" i="2"/>
  <c r="I986" i="2"/>
  <c r="H986" i="2"/>
  <c r="L986" i="2" s="1"/>
  <c r="G986" i="2"/>
  <c r="F986" i="2"/>
  <c r="J985" i="2"/>
  <c r="I985" i="2"/>
  <c r="H985" i="2"/>
  <c r="L985" i="2" s="1"/>
  <c r="G985" i="2"/>
  <c r="F985" i="2"/>
  <c r="J984" i="2"/>
  <c r="I984" i="2"/>
  <c r="H984" i="2"/>
  <c r="L984" i="2" s="1"/>
  <c r="G984" i="2"/>
  <c r="F984" i="2"/>
  <c r="J983" i="2"/>
  <c r="I983" i="2"/>
  <c r="H983" i="2"/>
  <c r="L983" i="2" s="1"/>
  <c r="G983" i="2"/>
  <c r="F983" i="2"/>
  <c r="J982" i="2"/>
  <c r="I982" i="2"/>
  <c r="H982" i="2"/>
  <c r="L982" i="2" s="1"/>
  <c r="G982" i="2"/>
  <c r="F982" i="2"/>
  <c r="J981" i="2"/>
  <c r="I981" i="2"/>
  <c r="H981" i="2"/>
  <c r="L981" i="2" s="1"/>
  <c r="G981" i="2"/>
  <c r="F981" i="2"/>
  <c r="J980" i="2"/>
  <c r="I980" i="2"/>
  <c r="H980" i="2"/>
  <c r="L980" i="2" s="1"/>
  <c r="G980" i="2"/>
  <c r="F980" i="2"/>
  <c r="J979" i="2"/>
  <c r="I979" i="2"/>
  <c r="H979" i="2"/>
  <c r="L979" i="2" s="1"/>
  <c r="G979" i="2"/>
  <c r="F979" i="2"/>
  <c r="J978" i="2"/>
  <c r="I978" i="2"/>
  <c r="H978" i="2"/>
  <c r="L978" i="2" s="1"/>
  <c r="G978" i="2"/>
  <c r="F978" i="2"/>
  <c r="J977" i="2"/>
  <c r="I977" i="2"/>
  <c r="H977" i="2"/>
  <c r="L977" i="2" s="1"/>
  <c r="G977" i="2"/>
  <c r="M977" i="2" s="1"/>
  <c r="F977" i="2"/>
  <c r="J976" i="2"/>
  <c r="I976" i="2"/>
  <c r="H976" i="2"/>
  <c r="L976" i="2" s="1"/>
  <c r="G976" i="2"/>
  <c r="M976" i="2" s="1"/>
  <c r="F976" i="2"/>
  <c r="J975" i="2"/>
  <c r="I975" i="2"/>
  <c r="H975" i="2"/>
  <c r="L975" i="2" s="1"/>
  <c r="G975" i="2"/>
  <c r="M975" i="2" s="1"/>
  <c r="F975" i="2"/>
  <c r="J974" i="2"/>
  <c r="I974" i="2"/>
  <c r="H974" i="2"/>
  <c r="L974" i="2" s="1"/>
  <c r="G974" i="2"/>
  <c r="M974" i="2" s="1"/>
  <c r="F974" i="2"/>
  <c r="J973" i="2"/>
  <c r="I973" i="2"/>
  <c r="H973" i="2"/>
  <c r="L973" i="2" s="1"/>
  <c r="G973" i="2"/>
  <c r="M973" i="2" s="1"/>
  <c r="F973" i="2"/>
  <c r="J972" i="2"/>
  <c r="I972" i="2"/>
  <c r="H972" i="2"/>
  <c r="L972" i="2" s="1"/>
  <c r="G972" i="2"/>
  <c r="M972" i="2" s="1"/>
  <c r="F972" i="2"/>
  <c r="J971" i="2"/>
  <c r="I971" i="2"/>
  <c r="H971" i="2"/>
  <c r="L971" i="2" s="1"/>
  <c r="G971" i="2"/>
  <c r="M971" i="2" s="1"/>
  <c r="F971" i="2"/>
  <c r="J970" i="2"/>
  <c r="I970" i="2"/>
  <c r="H970" i="2"/>
  <c r="L970" i="2" s="1"/>
  <c r="G970" i="2"/>
  <c r="M970" i="2" s="1"/>
  <c r="F970" i="2"/>
  <c r="J969" i="2"/>
  <c r="I969" i="2"/>
  <c r="H969" i="2"/>
  <c r="L969" i="2" s="1"/>
  <c r="G969" i="2"/>
  <c r="M969" i="2" s="1"/>
  <c r="F969" i="2"/>
  <c r="J968" i="2"/>
  <c r="I968" i="2"/>
  <c r="H968" i="2"/>
  <c r="L968" i="2" s="1"/>
  <c r="G968" i="2"/>
  <c r="M968" i="2" s="1"/>
  <c r="F968" i="2"/>
  <c r="J967" i="2"/>
  <c r="I967" i="2"/>
  <c r="H967" i="2"/>
  <c r="L967" i="2" s="1"/>
  <c r="G967" i="2"/>
  <c r="M967" i="2" s="1"/>
  <c r="F967" i="2"/>
  <c r="J966" i="2"/>
  <c r="I966" i="2"/>
  <c r="H966" i="2"/>
  <c r="L966" i="2" s="1"/>
  <c r="G966" i="2"/>
  <c r="M966" i="2" s="1"/>
  <c r="F966" i="2"/>
  <c r="J965" i="2"/>
  <c r="I965" i="2"/>
  <c r="H965" i="2"/>
  <c r="L965" i="2" s="1"/>
  <c r="G965" i="2"/>
  <c r="M965" i="2" s="1"/>
  <c r="F965" i="2"/>
  <c r="J964" i="2"/>
  <c r="I964" i="2"/>
  <c r="H964" i="2"/>
  <c r="L964" i="2" s="1"/>
  <c r="G964" i="2"/>
  <c r="M964" i="2" s="1"/>
  <c r="F964" i="2"/>
  <c r="J963" i="2"/>
  <c r="I963" i="2"/>
  <c r="H963" i="2"/>
  <c r="L963" i="2" s="1"/>
  <c r="G963" i="2"/>
  <c r="M963" i="2" s="1"/>
  <c r="F963" i="2"/>
  <c r="J962" i="2"/>
  <c r="I962" i="2"/>
  <c r="H962" i="2"/>
  <c r="L962" i="2" s="1"/>
  <c r="G962" i="2"/>
  <c r="M962" i="2" s="1"/>
  <c r="F962" i="2"/>
  <c r="J961" i="2"/>
  <c r="I961" i="2"/>
  <c r="H961" i="2"/>
  <c r="L961" i="2" s="1"/>
  <c r="G961" i="2"/>
  <c r="M961" i="2" s="1"/>
  <c r="F961" i="2"/>
  <c r="J960" i="2"/>
  <c r="I960" i="2"/>
  <c r="H960" i="2"/>
  <c r="L960" i="2" s="1"/>
  <c r="G960" i="2"/>
  <c r="M960" i="2" s="1"/>
  <c r="F960" i="2"/>
  <c r="J959" i="2"/>
  <c r="I959" i="2"/>
  <c r="H959" i="2"/>
  <c r="L959" i="2" s="1"/>
  <c r="G959" i="2"/>
  <c r="M959" i="2" s="1"/>
  <c r="F959" i="2"/>
  <c r="J958" i="2"/>
  <c r="I958" i="2"/>
  <c r="H958" i="2"/>
  <c r="L958" i="2" s="1"/>
  <c r="G958" i="2"/>
  <c r="M958" i="2" s="1"/>
  <c r="F958" i="2"/>
  <c r="J957" i="2"/>
  <c r="I957" i="2"/>
  <c r="H957" i="2"/>
  <c r="L957" i="2" s="1"/>
  <c r="G957" i="2"/>
  <c r="M957" i="2" s="1"/>
  <c r="F957" i="2"/>
  <c r="J956" i="2"/>
  <c r="I956" i="2"/>
  <c r="H956" i="2"/>
  <c r="L956" i="2" s="1"/>
  <c r="G956" i="2"/>
  <c r="M956" i="2" s="1"/>
  <c r="F956" i="2"/>
  <c r="J955" i="2"/>
  <c r="I955" i="2"/>
  <c r="H955" i="2"/>
  <c r="L955" i="2" s="1"/>
  <c r="G955" i="2"/>
  <c r="M955" i="2" s="1"/>
  <c r="F955" i="2"/>
  <c r="J954" i="2"/>
  <c r="I954" i="2"/>
  <c r="H954" i="2"/>
  <c r="L954" i="2" s="1"/>
  <c r="G954" i="2"/>
  <c r="M954" i="2" s="1"/>
  <c r="F954" i="2"/>
  <c r="J953" i="2"/>
  <c r="I953" i="2"/>
  <c r="H953" i="2"/>
  <c r="L953" i="2" s="1"/>
  <c r="G953" i="2"/>
  <c r="M953" i="2" s="1"/>
  <c r="F953" i="2"/>
  <c r="J952" i="2"/>
  <c r="I952" i="2"/>
  <c r="H952" i="2"/>
  <c r="L952" i="2" s="1"/>
  <c r="G952" i="2"/>
  <c r="M952" i="2" s="1"/>
  <c r="F952" i="2"/>
  <c r="J951" i="2"/>
  <c r="I951" i="2"/>
  <c r="H951" i="2"/>
  <c r="L951" i="2" s="1"/>
  <c r="G951" i="2"/>
  <c r="M951" i="2" s="1"/>
  <c r="F951" i="2"/>
  <c r="J950" i="2"/>
  <c r="I950" i="2"/>
  <c r="H950" i="2"/>
  <c r="L950" i="2" s="1"/>
  <c r="G950" i="2"/>
  <c r="M950" i="2" s="1"/>
  <c r="F950" i="2"/>
  <c r="J949" i="2"/>
  <c r="I949" i="2"/>
  <c r="H949" i="2"/>
  <c r="L949" i="2" s="1"/>
  <c r="G949" i="2"/>
  <c r="M949" i="2" s="1"/>
  <c r="F949" i="2"/>
  <c r="J948" i="2"/>
  <c r="I948" i="2"/>
  <c r="H948" i="2"/>
  <c r="L948" i="2" s="1"/>
  <c r="G948" i="2"/>
  <c r="M948" i="2" s="1"/>
  <c r="F948" i="2"/>
  <c r="J947" i="2"/>
  <c r="I947" i="2"/>
  <c r="H947" i="2"/>
  <c r="L947" i="2" s="1"/>
  <c r="G947" i="2"/>
  <c r="M947" i="2" s="1"/>
  <c r="F947" i="2"/>
  <c r="J946" i="2"/>
  <c r="I946" i="2"/>
  <c r="H946" i="2"/>
  <c r="L946" i="2" s="1"/>
  <c r="G946" i="2"/>
  <c r="M946" i="2" s="1"/>
  <c r="F946" i="2"/>
  <c r="J945" i="2"/>
  <c r="I945" i="2"/>
  <c r="H945" i="2"/>
  <c r="L945" i="2" s="1"/>
  <c r="G945" i="2"/>
  <c r="M945" i="2" s="1"/>
  <c r="F945" i="2"/>
  <c r="J944" i="2"/>
  <c r="I944" i="2"/>
  <c r="H944" i="2"/>
  <c r="L944" i="2" s="1"/>
  <c r="G944" i="2"/>
  <c r="M944" i="2" s="1"/>
  <c r="F944" i="2"/>
  <c r="J943" i="2"/>
  <c r="I943" i="2"/>
  <c r="H943" i="2"/>
  <c r="L943" i="2" s="1"/>
  <c r="G943" i="2"/>
  <c r="M943" i="2" s="1"/>
  <c r="F943" i="2"/>
  <c r="J942" i="2"/>
  <c r="I942" i="2"/>
  <c r="H942" i="2"/>
  <c r="L942" i="2" s="1"/>
  <c r="G942" i="2"/>
  <c r="M942" i="2" s="1"/>
  <c r="F942" i="2"/>
  <c r="J941" i="2"/>
  <c r="I941" i="2"/>
  <c r="H941" i="2"/>
  <c r="L941" i="2" s="1"/>
  <c r="G941" i="2"/>
  <c r="M941" i="2" s="1"/>
  <c r="F941" i="2"/>
  <c r="J940" i="2"/>
  <c r="I940" i="2"/>
  <c r="H940" i="2"/>
  <c r="L940" i="2" s="1"/>
  <c r="G940" i="2"/>
  <c r="M940" i="2" s="1"/>
  <c r="F940" i="2"/>
  <c r="J939" i="2"/>
  <c r="I939" i="2"/>
  <c r="H939" i="2"/>
  <c r="L939" i="2" s="1"/>
  <c r="G939" i="2"/>
  <c r="M939" i="2" s="1"/>
  <c r="F939" i="2"/>
  <c r="J938" i="2"/>
  <c r="I938" i="2"/>
  <c r="H938" i="2"/>
  <c r="L938" i="2" s="1"/>
  <c r="G938" i="2"/>
  <c r="M938" i="2" s="1"/>
  <c r="F938" i="2"/>
  <c r="J937" i="2"/>
  <c r="I937" i="2"/>
  <c r="H937" i="2"/>
  <c r="L937" i="2" s="1"/>
  <c r="G937" i="2"/>
  <c r="M937" i="2" s="1"/>
  <c r="F937" i="2"/>
  <c r="J936" i="2"/>
  <c r="I936" i="2"/>
  <c r="H936" i="2"/>
  <c r="L936" i="2" s="1"/>
  <c r="G936" i="2"/>
  <c r="M936" i="2" s="1"/>
  <c r="F936" i="2"/>
  <c r="J935" i="2"/>
  <c r="I935" i="2"/>
  <c r="H935" i="2"/>
  <c r="L935" i="2" s="1"/>
  <c r="G935" i="2"/>
  <c r="M935" i="2" s="1"/>
  <c r="F935" i="2"/>
  <c r="J934" i="2"/>
  <c r="I934" i="2"/>
  <c r="H934" i="2"/>
  <c r="L934" i="2" s="1"/>
  <c r="G934" i="2"/>
  <c r="M934" i="2" s="1"/>
  <c r="F934" i="2"/>
  <c r="J933" i="2"/>
  <c r="I933" i="2"/>
  <c r="H933" i="2"/>
  <c r="L933" i="2" s="1"/>
  <c r="G933" i="2"/>
  <c r="M933" i="2" s="1"/>
  <c r="F933" i="2"/>
  <c r="J932" i="2"/>
  <c r="I932" i="2"/>
  <c r="H932" i="2"/>
  <c r="L932" i="2" s="1"/>
  <c r="G932" i="2"/>
  <c r="M932" i="2" s="1"/>
  <c r="F932" i="2"/>
  <c r="J931" i="2"/>
  <c r="I931" i="2"/>
  <c r="H931" i="2"/>
  <c r="L931" i="2" s="1"/>
  <c r="G931" i="2"/>
  <c r="M931" i="2" s="1"/>
  <c r="F931" i="2"/>
  <c r="J930" i="2"/>
  <c r="I930" i="2"/>
  <c r="H930" i="2"/>
  <c r="L930" i="2" s="1"/>
  <c r="G930" i="2"/>
  <c r="M930" i="2" s="1"/>
  <c r="F930" i="2"/>
  <c r="J929" i="2"/>
  <c r="I929" i="2"/>
  <c r="H929" i="2"/>
  <c r="L929" i="2" s="1"/>
  <c r="G929" i="2"/>
  <c r="M929" i="2" s="1"/>
  <c r="F929" i="2"/>
  <c r="J928" i="2"/>
  <c r="I928" i="2"/>
  <c r="H928" i="2"/>
  <c r="L928" i="2" s="1"/>
  <c r="G928" i="2"/>
  <c r="M928" i="2" s="1"/>
  <c r="F928" i="2"/>
  <c r="J927" i="2"/>
  <c r="I927" i="2"/>
  <c r="H927" i="2"/>
  <c r="L927" i="2" s="1"/>
  <c r="G927" i="2"/>
  <c r="M927" i="2" s="1"/>
  <c r="F927" i="2"/>
  <c r="J926" i="2"/>
  <c r="I926" i="2"/>
  <c r="H926" i="2"/>
  <c r="L926" i="2" s="1"/>
  <c r="G926" i="2"/>
  <c r="M926" i="2" s="1"/>
  <c r="F926" i="2"/>
  <c r="J925" i="2"/>
  <c r="I925" i="2"/>
  <c r="H925" i="2"/>
  <c r="L925" i="2" s="1"/>
  <c r="G925" i="2"/>
  <c r="M925" i="2" s="1"/>
  <c r="F925" i="2"/>
  <c r="J924" i="2"/>
  <c r="I924" i="2"/>
  <c r="H924" i="2"/>
  <c r="L924" i="2" s="1"/>
  <c r="G924" i="2"/>
  <c r="M924" i="2" s="1"/>
  <c r="F924" i="2"/>
  <c r="J923" i="2"/>
  <c r="I923" i="2"/>
  <c r="H923" i="2"/>
  <c r="L923" i="2" s="1"/>
  <c r="G923" i="2"/>
  <c r="M923" i="2" s="1"/>
  <c r="F923" i="2"/>
  <c r="J922" i="2"/>
  <c r="I922" i="2"/>
  <c r="H922" i="2"/>
  <c r="L922" i="2" s="1"/>
  <c r="G922" i="2"/>
  <c r="M922" i="2" s="1"/>
  <c r="F922" i="2"/>
  <c r="J921" i="2"/>
  <c r="I921" i="2"/>
  <c r="H921" i="2"/>
  <c r="L921" i="2" s="1"/>
  <c r="G921" i="2"/>
  <c r="M921" i="2" s="1"/>
  <c r="F921" i="2"/>
  <c r="J920" i="2"/>
  <c r="I920" i="2"/>
  <c r="H920" i="2"/>
  <c r="L920" i="2" s="1"/>
  <c r="G920" i="2"/>
  <c r="M920" i="2" s="1"/>
  <c r="F920" i="2"/>
  <c r="J919" i="2"/>
  <c r="I919" i="2"/>
  <c r="H919" i="2"/>
  <c r="L919" i="2" s="1"/>
  <c r="G919" i="2"/>
  <c r="M919" i="2" s="1"/>
  <c r="F919" i="2"/>
  <c r="J918" i="2"/>
  <c r="I918" i="2"/>
  <c r="H918" i="2"/>
  <c r="L918" i="2" s="1"/>
  <c r="G918" i="2"/>
  <c r="M918" i="2" s="1"/>
  <c r="F918" i="2"/>
  <c r="J917" i="2"/>
  <c r="I917" i="2"/>
  <c r="H917" i="2"/>
  <c r="L917" i="2" s="1"/>
  <c r="G917" i="2"/>
  <c r="M917" i="2" s="1"/>
  <c r="F917" i="2"/>
  <c r="J916" i="2"/>
  <c r="I916" i="2"/>
  <c r="H916" i="2"/>
  <c r="L916" i="2" s="1"/>
  <c r="G916" i="2"/>
  <c r="M916" i="2" s="1"/>
  <c r="F916" i="2"/>
  <c r="J915" i="2"/>
  <c r="I915" i="2"/>
  <c r="H915" i="2"/>
  <c r="L915" i="2" s="1"/>
  <c r="G915" i="2"/>
  <c r="M915" i="2" s="1"/>
  <c r="F915" i="2"/>
  <c r="J914" i="2"/>
  <c r="I914" i="2"/>
  <c r="H914" i="2"/>
  <c r="L914" i="2" s="1"/>
  <c r="G914" i="2"/>
  <c r="M914" i="2" s="1"/>
  <c r="F914" i="2"/>
  <c r="J913" i="2"/>
  <c r="I913" i="2"/>
  <c r="H913" i="2"/>
  <c r="L913" i="2" s="1"/>
  <c r="G913" i="2"/>
  <c r="M913" i="2" s="1"/>
  <c r="F913" i="2"/>
  <c r="J912" i="2"/>
  <c r="I912" i="2"/>
  <c r="H912" i="2"/>
  <c r="L912" i="2" s="1"/>
  <c r="G912" i="2"/>
  <c r="M912" i="2" s="1"/>
  <c r="F912" i="2"/>
  <c r="J911" i="2"/>
  <c r="I911" i="2"/>
  <c r="H911" i="2"/>
  <c r="L911" i="2" s="1"/>
  <c r="G911" i="2"/>
  <c r="M911" i="2" s="1"/>
  <c r="F911" i="2"/>
  <c r="J910" i="2"/>
  <c r="I910" i="2"/>
  <c r="H910" i="2"/>
  <c r="L910" i="2" s="1"/>
  <c r="G910" i="2"/>
  <c r="M910" i="2" s="1"/>
  <c r="F910" i="2"/>
  <c r="J909" i="2"/>
  <c r="I909" i="2"/>
  <c r="H909" i="2"/>
  <c r="L909" i="2" s="1"/>
  <c r="G909" i="2"/>
  <c r="M909" i="2" s="1"/>
  <c r="F909" i="2"/>
  <c r="J908" i="2"/>
  <c r="I908" i="2"/>
  <c r="H908" i="2"/>
  <c r="L908" i="2" s="1"/>
  <c r="G908" i="2"/>
  <c r="M908" i="2" s="1"/>
  <c r="F908" i="2"/>
  <c r="J907" i="2"/>
  <c r="I907" i="2"/>
  <c r="H907" i="2"/>
  <c r="L907" i="2" s="1"/>
  <c r="G907" i="2"/>
  <c r="M907" i="2" s="1"/>
  <c r="F907" i="2"/>
  <c r="J906" i="2"/>
  <c r="I906" i="2"/>
  <c r="H906" i="2"/>
  <c r="L906" i="2" s="1"/>
  <c r="G906" i="2"/>
  <c r="M906" i="2" s="1"/>
  <c r="F906" i="2"/>
  <c r="J905" i="2"/>
  <c r="I905" i="2"/>
  <c r="H905" i="2"/>
  <c r="L905" i="2" s="1"/>
  <c r="G905" i="2"/>
  <c r="M905" i="2" s="1"/>
  <c r="F905" i="2"/>
  <c r="J904" i="2"/>
  <c r="I904" i="2"/>
  <c r="H904" i="2"/>
  <c r="L904" i="2" s="1"/>
  <c r="G904" i="2"/>
  <c r="M904" i="2" s="1"/>
  <c r="F904" i="2"/>
  <c r="J903" i="2"/>
  <c r="I903" i="2"/>
  <c r="H903" i="2"/>
  <c r="L903" i="2" s="1"/>
  <c r="G903" i="2"/>
  <c r="M903" i="2" s="1"/>
  <c r="F903" i="2"/>
  <c r="J902" i="2"/>
  <c r="I902" i="2"/>
  <c r="H902" i="2"/>
  <c r="L902" i="2" s="1"/>
  <c r="G902" i="2"/>
  <c r="M902" i="2" s="1"/>
  <c r="F902" i="2"/>
  <c r="J901" i="2"/>
  <c r="I901" i="2"/>
  <c r="H901" i="2"/>
  <c r="L901" i="2" s="1"/>
  <c r="G901" i="2"/>
  <c r="M901" i="2" s="1"/>
  <c r="F901" i="2"/>
  <c r="J900" i="2"/>
  <c r="I900" i="2"/>
  <c r="H900" i="2"/>
  <c r="L900" i="2" s="1"/>
  <c r="G900" i="2"/>
  <c r="M900" i="2" s="1"/>
  <c r="F900" i="2"/>
  <c r="J899" i="2"/>
  <c r="I899" i="2"/>
  <c r="H899" i="2"/>
  <c r="L899" i="2" s="1"/>
  <c r="G899" i="2"/>
  <c r="M899" i="2" s="1"/>
  <c r="F899" i="2"/>
  <c r="J898" i="2"/>
  <c r="I898" i="2"/>
  <c r="H898" i="2"/>
  <c r="L898" i="2" s="1"/>
  <c r="G898" i="2"/>
  <c r="M898" i="2" s="1"/>
  <c r="F898" i="2"/>
  <c r="J897" i="2"/>
  <c r="I897" i="2"/>
  <c r="H897" i="2"/>
  <c r="L897" i="2" s="1"/>
  <c r="G897" i="2"/>
  <c r="M897" i="2" s="1"/>
  <c r="F897" i="2"/>
  <c r="J896" i="2"/>
  <c r="I896" i="2"/>
  <c r="H896" i="2"/>
  <c r="L896" i="2" s="1"/>
  <c r="G896" i="2"/>
  <c r="M896" i="2" s="1"/>
  <c r="F896" i="2"/>
  <c r="J895" i="2"/>
  <c r="I895" i="2"/>
  <c r="H895" i="2"/>
  <c r="L895" i="2" s="1"/>
  <c r="G895" i="2"/>
  <c r="M895" i="2" s="1"/>
  <c r="F895" i="2"/>
  <c r="J894" i="2"/>
  <c r="I894" i="2"/>
  <c r="H894" i="2"/>
  <c r="L894" i="2" s="1"/>
  <c r="G894" i="2"/>
  <c r="M894" i="2" s="1"/>
  <c r="F894" i="2"/>
  <c r="J893" i="2"/>
  <c r="I893" i="2"/>
  <c r="H893" i="2"/>
  <c r="L893" i="2" s="1"/>
  <c r="G893" i="2"/>
  <c r="M893" i="2" s="1"/>
  <c r="F893" i="2"/>
  <c r="J892" i="2"/>
  <c r="I892" i="2"/>
  <c r="H892" i="2"/>
  <c r="L892" i="2" s="1"/>
  <c r="G892" i="2"/>
  <c r="M892" i="2" s="1"/>
  <c r="F892" i="2"/>
  <c r="J891" i="2"/>
  <c r="I891" i="2"/>
  <c r="H891" i="2"/>
  <c r="L891" i="2" s="1"/>
  <c r="G891" i="2"/>
  <c r="M891" i="2" s="1"/>
  <c r="F891" i="2"/>
  <c r="J890" i="2"/>
  <c r="I890" i="2"/>
  <c r="H890" i="2"/>
  <c r="L890" i="2" s="1"/>
  <c r="G890" i="2"/>
  <c r="M890" i="2" s="1"/>
  <c r="F890" i="2"/>
  <c r="J889" i="2"/>
  <c r="I889" i="2"/>
  <c r="H889" i="2"/>
  <c r="L889" i="2" s="1"/>
  <c r="G889" i="2"/>
  <c r="M889" i="2" s="1"/>
  <c r="F889" i="2"/>
  <c r="J888" i="2"/>
  <c r="I888" i="2"/>
  <c r="H888" i="2"/>
  <c r="L888" i="2" s="1"/>
  <c r="G888" i="2"/>
  <c r="M888" i="2" s="1"/>
  <c r="F888" i="2"/>
  <c r="J887" i="2"/>
  <c r="I887" i="2"/>
  <c r="H887" i="2"/>
  <c r="L887" i="2" s="1"/>
  <c r="G887" i="2"/>
  <c r="M887" i="2" s="1"/>
  <c r="F887" i="2"/>
  <c r="J886" i="2"/>
  <c r="I886" i="2"/>
  <c r="H886" i="2"/>
  <c r="L886" i="2" s="1"/>
  <c r="G886" i="2"/>
  <c r="M886" i="2" s="1"/>
  <c r="F886" i="2"/>
  <c r="J885" i="2"/>
  <c r="I885" i="2"/>
  <c r="H885" i="2"/>
  <c r="L885" i="2" s="1"/>
  <c r="G885" i="2"/>
  <c r="M885" i="2" s="1"/>
  <c r="F885" i="2"/>
  <c r="J884" i="2"/>
  <c r="I884" i="2"/>
  <c r="H884" i="2"/>
  <c r="L884" i="2" s="1"/>
  <c r="G884" i="2"/>
  <c r="M884" i="2" s="1"/>
  <c r="F884" i="2"/>
  <c r="J883" i="2"/>
  <c r="I883" i="2"/>
  <c r="H883" i="2"/>
  <c r="L883" i="2" s="1"/>
  <c r="G883" i="2"/>
  <c r="M883" i="2" s="1"/>
  <c r="F883" i="2"/>
  <c r="J882" i="2"/>
  <c r="I882" i="2"/>
  <c r="H882" i="2"/>
  <c r="L882" i="2" s="1"/>
  <c r="G882" i="2"/>
  <c r="M882" i="2" s="1"/>
  <c r="F882" i="2"/>
  <c r="J881" i="2"/>
  <c r="I881" i="2"/>
  <c r="H881" i="2"/>
  <c r="L881" i="2" s="1"/>
  <c r="G881" i="2"/>
  <c r="M881" i="2" s="1"/>
  <c r="F881" i="2"/>
  <c r="J880" i="2"/>
  <c r="I880" i="2"/>
  <c r="H880" i="2"/>
  <c r="L880" i="2" s="1"/>
  <c r="G880" i="2"/>
  <c r="M880" i="2" s="1"/>
  <c r="F880" i="2"/>
  <c r="J879" i="2"/>
  <c r="I879" i="2"/>
  <c r="H879" i="2"/>
  <c r="L879" i="2" s="1"/>
  <c r="G879" i="2"/>
  <c r="M879" i="2" s="1"/>
  <c r="F879" i="2"/>
  <c r="J878" i="2"/>
  <c r="I878" i="2"/>
  <c r="H878" i="2"/>
  <c r="L878" i="2" s="1"/>
  <c r="G878" i="2"/>
  <c r="M878" i="2" s="1"/>
  <c r="F878" i="2"/>
  <c r="J877" i="2"/>
  <c r="I877" i="2"/>
  <c r="H877" i="2"/>
  <c r="L877" i="2" s="1"/>
  <c r="G877" i="2"/>
  <c r="M877" i="2" s="1"/>
  <c r="F877" i="2"/>
  <c r="J876" i="2"/>
  <c r="I876" i="2"/>
  <c r="H876" i="2"/>
  <c r="L876" i="2" s="1"/>
  <c r="G876" i="2"/>
  <c r="M876" i="2" s="1"/>
  <c r="F876" i="2"/>
  <c r="J875" i="2"/>
  <c r="I875" i="2"/>
  <c r="H875" i="2"/>
  <c r="L875" i="2" s="1"/>
  <c r="G875" i="2"/>
  <c r="M875" i="2" s="1"/>
  <c r="F875" i="2"/>
  <c r="J874" i="2"/>
  <c r="I874" i="2"/>
  <c r="H874" i="2"/>
  <c r="L874" i="2" s="1"/>
  <c r="G874" i="2"/>
  <c r="M874" i="2" s="1"/>
  <c r="F874" i="2"/>
  <c r="J873" i="2"/>
  <c r="I873" i="2"/>
  <c r="H873" i="2"/>
  <c r="L873" i="2" s="1"/>
  <c r="G873" i="2"/>
  <c r="M873" i="2" s="1"/>
  <c r="F873" i="2"/>
  <c r="J872" i="2"/>
  <c r="I872" i="2"/>
  <c r="H872" i="2"/>
  <c r="L872" i="2" s="1"/>
  <c r="G872" i="2"/>
  <c r="M872" i="2" s="1"/>
  <c r="F872" i="2"/>
  <c r="J871" i="2"/>
  <c r="I871" i="2"/>
  <c r="H871" i="2"/>
  <c r="L871" i="2" s="1"/>
  <c r="G871" i="2"/>
  <c r="M871" i="2" s="1"/>
  <c r="F871" i="2"/>
  <c r="J870" i="2"/>
  <c r="I870" i="2"/>
  <c r="H870" i="2"/>
  <c r="L870" i="2" s="1"/>
  <c r="G870" i="2"/>
  <c r="M870" i="2" s="1"/>
  <c r="F870" i="2"/>
  <c r="J869" i="2"/>
  <c r="I869" i="2"/>
  <c r="H869" i="2"/>
  <c r="L869" i="2" s="1"/>
  <c r="G869" i="2"/>
  <c r="M869" i="2" s="1"/>
  <c r="F869" i="2"/>
  <c r="J868" i="2"/>
  <c r="I868" i="2"/>
  <c r="H868" i="2"/>
  <c r="L868" i="2" s="1"/>
  <c r="G868" i="2"/>
  <c r="M868" i="2" s="1"/>
  <c r="F868" i="2"/>
  <c r="J867" i="2"/>
  <c r="I867" i="2"/>
  <c r="H867" i="2"/>
  <c r="L867" i="2" s="1"/>
  <c r="G867" i="2"/>
  <c r="M867" i="2" s="1"/>
  <c r="F867" i="2"/>
  <c r="J866" i="2"/>
  <c r="I866" i="2"/>
  <c r="H866" i="2"/>
  <c r="L866" i="2" s="1"/>
  <c r="G866" i="2"/>
  <c r="M866" i="2" s="1"/>
  <c r="F866" i="2"/>
  <c r="J865" i="2"/>
  <c r="I865" i="2"/>
  <c r="H865" i="2"/>
  <c r="L865" i="2" s="1"/>
  <c r="G865" i="2"/>
  <c r="M865" i="2" s="1"/>
  <c r="F865" i="2"/>
  <c r="J864" i="2"/>
  <c r="I864" i="2"/>
  <c r="H864" i="2"/>
  <c r="L864" i="2" s="1"/>
  <c r="G864" i="2"/>
  <c r="M864" i="2" s="1"/>
  <c r="F864" i="2"/>
  <c r="J863" i="2"/>
  <c r="I863" i="2"/>
  <c r="H863" i="2"/>
  <c r="L863" i="2" s="1"/>
  <c r="G863" i="2"/>
  <c r="M863" i="2" s="1"/>
  <c r="F863" i="2"/>
  <c r="J862" i="2"/>
  <c r="I862" i="2"/>
  <c r="H862" i="2"/>
  <c r="L862" i="2" s="1"/>
  <c r="G862" i="2"/>
  <c r="M862" i="2" s="1"/>
  <c r="F862" i="2"/>
  <c r="J861" i="2"/>
  <c r="I861" i="2"/>
  <c r="H861" i="2"/>
  <c r="L861" i="2" s="1"/>
  <c r="G861" i="2"/>
  <c r="M861" i="2" s="1"/>
  <c r="F861" i="2"/>
  <c r="J860" i="2"/>
  <c r="I860" i="2"/>
  <c r="H860" i="2"/>
  <c r="L860" i="2" s="1"/>
  <c r="G860" i="2"/>
  <c r="M860" i="2" s="1"/>
  <c r="F860" i="2"/>
  <c r="J859" i="2"/>
  <c r="I859" i="2"/>
  <c r="H859" i="2"/>
  <c r="L859" i="2" s="1"/>
  <c r="G859" i="2"/>
  <c r="M859" i="2" s="1"/>
  <c r="F859" i="2"/>
  <c r="J858" i="2"/>
  <c r="I858" i="2"/>
  <c r="H858" i="2"/>
  <c r="L858" i="2" s="1"/>
  <c r="G858" i="2"/>
  <c r="M858" i="2" s="1"/>
  <c r="F858" i="2"/>
  <c r="J857" i="2"/>
  <c r="I857" i="2"/>
  <c r="H857" i="2"/>
  <c r="L857" i="2" s="1"/>
  <c r="G857" i="2"/>
  <c r="M857" i="2" s="1"/>
  <c r="F857" i="2"/>
  <c r="J856" i="2"/>
  <c r="I856" i="2"/>
  <c r="H856" i="2"/>
  <c r="L856" i="2" s="1"/>
  <c r="G856" i="2"/>
  <c r="M856" i="2" s="1"/>
  <c r="F856" i="2"/>
  <c r="J855" i="2"/>
  <c r="I855" i="2"/>
  <c r="H855" i="2"/>
  <c r="L855" i="2" s="1"/>
  <c r="G855" i="2"/>
  <c r="M855" i="2" s="1"/>
  <c r="F855" i="2"/>
  <c r="J854" i="2"/>
  <c r="I854" i="2"/>
  <c r="H854" i="2"/>
  <c r="L854" i="2" s="1"/>
  <c r="G854" i="2"/>
  <c r="M854" i="2" s="1"/>
  <c r="F854" i="2"/>
  <c r="J853" i="2"/>
  <c r="I853" i="2"/>
  <c r="H853" i="2"/>
  <c r="L853" i="2" s="1"/>
  <c r="G853" i="2"/>
  <c r="M853" i="2" s="1"/>
  <c r="F853" i="2"/>
  <c r="J852" i="2"/>
  <c r="I852" i="2"/>
  <c r="H852" i="2"/>
  <c r="L852" i="2" s="1"/>
  <c r="G852" i="2"/>
  <c r="M852" i="2" s="1"/>
  <c r="F852" i="2"/>
  <c r="J851" i="2"/>
  <c r="I851" i="2"/>
  <c r="H851" i="2"/>
  <c r="L851" i="2" s="1"/>
  <c r="G851" i="2"/>
  <c r="M851" i="2" s="1"/>
  <c r="F851" i="2"/>
  <c r="J850" i="2"/>
  <c r="I850" i="2"/>
  <c r="H850" i="2"/>
  <c r="L850" i="2" s="1"/>
  <c r="G850" i="2"/>
  <c r="M850" i="2" s="1"/>
  <c r="F850" i="2"/>
  <c r="J849" i="2"/>
  <c r="I849" i="2"/>
  <c r="H849" i="2"/>
  <c r="L849" i="2" s="1"/>
  <c r="G849" i="2"/>
  <c r="M849" i="2" s="1"/>
  <c r="F849" i="2"/>
  <c r="J848" i="2"/>
  <c r="I848" i="2"/>
  <c r="H848" i="2"/>
  <c r="L848" i="2" s="1"/>
  <c r="G848" i="2"/>
  <c r="M848" i="2" s="1"/>
  <c r="F848" i="2"/>
  <c r="J847" i="2"/>
  <c r="I847" i="2"/>
  <c r="H847" i="2"/>
  <c r="L847" i="2" s="1"/>
  <c r="G847" i="2"/>
  <c r="M847" i="2" s="1"/>
  <c r="F847" i="2"/>
  <c r="J846" i="2"/>
  <c r="I846" i="2"/>
  <c r="H846" i="2"/>
  <c r="L846" i="2" s="1"/>
  <c r="G846" i="2"/>
  <c r="M846" i="2" s="1"/>
  <c r="F846" i="2"/>
  <c r="J845" i="2"/>
  <c r="I845" i="2"/>
  <c r="H845" i="2"/>
  <c r="L845" i="2" s="1"/>
  <c r="G845" i="2"/>
  <c r="M845" i="2" s="1"/>
  <c r="F845" i="2"/>
  <c r="J844" i="2"/>
  <c r="I844" i="2"/>
  <c r="H844" i="2"/>
  <c r="L844" i="2" s="1"/>
  <c r="G844" i="2"/>
  <c r="M844" i="2" s="1"/>
  <c r="F844" i="2"/>
  <c r="J843" i="2"/>
  <c r="I843" i="2"/>
  <c r="H843" i="2"/>
  <c r="L843" i="2" s="1"/>
  <c r="G843" i="2"/>
  <c r="M843" i="2" s="1"/>
  <c r="F843" i="2"/>
  <c r="J842" i="2"/>
  <c r="I842" i="2"/>
  <c r="H842" i="2"/>
  <c r="L842" i="2" s="1"/>
  <c r="G842" i="2"/>
  <c r="M842" i="2" s="1"/>
  <c r="F842" i="2"/>
  <c r="J841" i="2"/>
  <c r="I841" i="2"/>
  <c r="H841" i="2"/>
  <c r="L841" i="2" s="1"/>
  <c r="G841" i="2"/>
  <c r="M841" i="2" s="1"/>
  <c r="F841" i="2"/>
  <c r="J840" i="2"/>
  <c r="I840" i="2"/>
  <c r="H840" i="2"/>
  <c r="L840" i="2" s="1"/>
  <c r="G840" i="2"/>
  <c r="M840" i="2" s="1"/>
  <c r="F840" i="2"/>
  <c r="J839" i="2"/>
  <c r="I839" i="2"/>
  <c r="H839" i="2"/>
  <c r="L839" i="2" s="1"/>
  <c r="G839" i="2"/>
  <c r="M839" i="2" s="1"/>
  <c r="F839" i="2"/>
  <c r="J838" i="2"/>
  <c r="I838" i="2"/>
  <c r="H838" i="2"/>
  <c r="L838" i="2" s="1"/>
  <c r="G838" i="2"/>
  <c r="M838" i="2" s="1"/>
  <c r="F838" i="2"/>
  <c r="J837" i="2"/>
  <c r="I837" i="2"/>
  <c r="H837" i="2"/>
  <c r="L837" i="2" s="1"/>
  <c r="G837" i="2"/>
  <c r="M837" i="2" s="1"/>
  <c r="F837" i="2"/>
  <c r="J836" i="2"/>
  <c r="I836" i="2"/>
  <c r="H836" i="2"/>
  <c r="L836" i="2" s="1"/>
  <c r="G836" i="2"/>
  <c r="M836" i="2" s="1"/>
  <c r="F836" i="2"/>
  <c r="J835" i="2"/>
  <c r="I835" i="2"/>
  <c r="H835" i="2"/>
  <c r="L835" i="2" s="1"/>
  <c r="G835" i="2"/>
  <c r="M835" i="2" s="1"/>
  <c r="F835" i="2"/>
  <c r="J834" i="2"/>
  <c r="I834" i="2"/>
  <c r="H834" i="2"/>
  <c r="L834" i="2" s="1"/>
  <c r="G834" i="2"/>
  <c r="M834" i="2" s="1"/>
  <c r="F834" i="2"/>
  <c r="J833" i="2"/>
  <c r="I833" i="2"/>
  <c r="H833" i="2"/>
  <c r="L833" i="2" s="1"/>
  <c r="G833" i="2"/>
  <c r="M833" i="2" s="1"/>
  <c r="F833" i="2"/>
  <c r="J832" i="2"/>
  <c r="I832" i="2"/>
  <c r="H832" i="2"/>
  <c r="L832" i="2" s="1"/>
  <c r="G832" i="2"/>
  <c r="M832" i="2" s="1"/>
  <c r="F832" i="2"/>
  <c r="J831" i="2"/>
  <c r="I831" i="2"/>
  <c r="H831" i="2"/>
  <c r="L831" i="2" s="1"/>
  <c r="G831" i="2"/>
  <c r="M831" i="2" s="1"/>
  <c r="F831" i="2"/>
  <c r="J830" i="2"/>
  <c r="I830" i="2"/>
  <c r="H830" i="2"/>
  <c r="L830" i="2" s="1"/>
  <c r="G830" i="2"/>
  <c r="M830" i="2" s="1"/>
  <c r="F830" i="2"/>
  <c r="J829" i="2"/>
  <c r="I829" i="2"/>
  <c r="H829" i="2"/>
  <c r="L829" i="2" s="1"/>
  <c r="G829" i="2"/>
  <c r="M829" i="2" s="1"/>
  <c r="F829" i="2"/>
  <c r="J828" i="2"/>
  <c r="I828" i="2"/>
  <c r="H828" i="2"/>
  <c r="L828" i="2" s="1"/>
  <c r="G828" i="2"/>
  <c r="M828" i="2" s="1"/>
  <c r="F828" i="2"/>
  <c r="J827" i="2"/>
  <c r="I827" i="2"/>
  <c r="H827" i="2"/>
  <c r="L827" i="2" s="1"/>
  <c r="G827" i="2"/>
  <c r="M827" i="2" s="1"/>
  <c r="F827" i="2"/>
  <c r="J826" i="2"/>
  <c r="I826" i="2"/>
  <c r="H826" i="2"/>
  <c r="L826" i="2" s="1"/>
  <c r="G826" i="2"/>
  <c r="M826" i="2" s="1"/>
  <c r="F826" i="2"/>
  <c r="J825" i="2"/>
  <c r="I825" i="2"/>
  <c r="H825" i="2"/>
  <c r="L825" i="2" s="1"/>
  <c r="G825" i="2"/>
  <c r="M825" i="2" s="1"/>
  <c r="F825" i="2"/>
  <c r="J824" i="2"/>
  <c r="I824" i="2"/>
  <c r="H824" i="2"/>
  <c r="L824" i="2" s="1"/>
  <c r="G824" i="2"/>
  <c r="M824" i="2" s="1"/>
  <c r="F824" i="2"/>
  <c r="J823" i="2"/>
  <c r="I823" i="2"/>
  <c r="H823" i="2"/>
  <c r="L823" i="2" s="1"/>
  <c r="G823" i="2"/>
  <c r="M823" i="2" s="1"/>
  <c r="F823" i="2"/>
  <c r="J822" i="2"/>
  <c r="I822" i="2"/>
  <c r="H822" i="2"/>
  <c r="L822" i="2" s="1"/>
  <c r="G822" i="2"/>
  <c r="M822" i="2" s="1"/>
  <c r="F822" i="2"/>
  <c r="J821" i="2"/>
  <c r="I821" i="2"/>
  <c r="H821" i="2"/>
  <c r="L821" i="2" s="1"/>
  <c r="G821" i="2"/>
  <c r="M821" i="2" s="1"/>
  <c r="F821" i="2"/>
  <c r="J820" i="2"/>
  <c r="I820" i="2"/>
  <c r="H820" i="2"/>
  <c r="L820" i="2" s="1"/>
  <c r="G820" i="2"/>
  <c r="M820" i="2" s="1"/>
  <c r="F820" i="2"/>
  <c r="J819" i="2"/>
  <c r="I819" i="2"/>
  <c r="H819" i="2"/>
  <c r="L819" i="2" s="1"/>
  <c r="G819" i="2"/>
  <c r="M819" i="2" s="1"/>
  <c r="F819" i="2"/>
  <c r="J818" i="2"/>
  <c r="I818" i="2"/>
  <c r="H818" i="2"/>
  <c r="L818" i="2" s="1"/>
  <c r="G818" i="2"/>
  <c r="M818" i="2" s="1"/>
  <c r="F818" i="2"/>
  <c r="J817" i="2"/>
  <c r="I817" i="2"/>
  <c r="H817" i="2"/>
  <c r="L817" i="2" s="1"/>
  <c r="G817" i="2"/>
  <c r="M817" i="2" s="1"/>
  <c r="F817" i="2"/>
  <c r="J816" i="2"/>
  <c r="I816" i="2"/>
  <c r="H816" i="2"/>
  <c r="L816" i="2" s="1"/>
  <c r="G816" i="2"/>
  <c r="M816" i="2" s="1"/>
  <c r="F816" i="2"/>
  <c r="J815" i="2"/>
  <c r="I815" i="2"/>
  <c r="H815" i="2"/>
  <c r="L815" i="2" s="1"/>
  <c r="G815" i="2"/>
  <c r="M815" i="2" s="1"/>
  <c r="F815" i="2"/>
  <c r="J814" i="2"/>
  <c r="I814" i="2"/>
  <c r="H814" i="2"/>
  <c r="L814" i="2" s="1"/>
  <c r="G814" i="2"/>
  <c r="M814" i="2" s="1"/>
  <c r="F814" i="2"/>
  <c r="J813" i="2"/>
  <c r="I813" i="2"/>
  <c r="H813" i="2"/>
  <c r="L813" i="2" s="1"/>
  <c r="G813" i="2"/>
  <c r="M813" i="2" s="1"/>
  <c r="F813" i="2"/>
  <c r="J812" i="2"/>
  <c r="I812" i="2"/>
  <c r="H812" i="2"/>
  <c r="L812" i="2" s="1"/>
  <c r="G812" i="2"/>
  <c r="M812" i="2" s="1"/>
  <c r="F812" i="2"/>
  <c r="J811" i="2"/>
  <c r="I811" i="2"/>
  <c r="H811" i="2"/>
  <c r="L811" i="2" s="1"/>
  <c r="G811" i="2"/>
  <c r="M811" i="2" s="1"/>
  <c r="F811" i="2"/>
  <c r="J810" i="2"/>
  <c r="I810" i="2"/>
  <c r="H810" i="2"/>
  <c r="L810" i="2" s="1"/>
  <c r="G810" i="2"/>
  <c r="M810" i="2" s="1"/>
  <c r="F810" i="2"/>
  <c r="J809" i="2"/>
  <c r="I809" i="2"/>
  <c r="H809" i="2"/>
  <c r="L809" i="2" s="1"/>
  <c r="G809" i="2"/>
  <c r="M809" i="2" s="1"/>
  <c r="F809" i="2"/>
  <c r="J808" i="2"/>
  <c r="I808" i="2"/>
  <c r="H808" i="2"/>
  <c r="L808" i="2" s="1"/>
  <c r="G808" i="2"/>
  <c r="M808" i="2" s="1"/>
  <c r="F808" i="2"/>
  <c r="J807" i="2"/>
  <c r="I807" i="2"/>
  <c r="H807" i="2"/>
  <c r="L807" i="2" s="1"/>
  <c r="G807" i="2"/>
  <c r="M807" i="2" s="1"/>
  <c r="F807" i="2"/>
  <c r="J806" i="2"/>
  <c r="I806" i="2"/>
  <c r="H806" i="2"/>
  <c r="L806" i="2" s="1"/>
  <c r="G806" i="2"/>
  <c r="M806" i="2" s="1"/>
  <c r="F806" i="2"/>
  <c r="J805" i="2"/>
  <c r="I805" i="2"/>
  <c r="H805" i="2"/>
  <c r="L805" i="2" s="1"/>
  <c r="G805" i="2"/>
  <c r="M805" i="2" s="1"/>
  <c r="F805" i="2"/>
  <c r="J804" i="2"/>
  <c r="I804" i="2"/>
  <c r="H804" i="2"/>
  <c r="L804" i="2" s="1"/>
  <c r="G804" i="2"/>
  <c r="M804" i="2" s="1"/>
  <c r="F804" i="2"/>
  <c r="J803" i="2"/>
  <c r="I803" i="2"/>
  <c r="H803" i="2"/>
  <c r="L803" i="2" s="1"/>
  <c r="G803" i="2"/>
  <c r="M803" i="2" s="1"/>
  <c r="F803" i="2"/>
  <c r="J802" i="2"/>
  <c r="I802" i="2"/>
  <c r="H802" i="2"/>
  <c r="L802" i="2" s="1"/>
  <c r="G802" i="2"/>
  <c r="M802" i="2" s="1"/>
  <c r="F802" i="2"/>
  <c r="J801" i="2"/>
  <c r="I801" i="2"/>
  <c r="H801" i="2"/>
  <c r="L801" i="2" s="1"/>
  <c r="G801" i="2"/>
  <c r="M801" i="2" s="1"/>
  <c r="F801" i="2"/>
  <c r="J800" i="2"/>
  <c r="I800" i="2"/>
  <c r="H800" i="2"/>
  <c r="L800" i="2" s="1"/>
  <c r="G800" i="2"/>
  <c r="M800" i="2" s="1"/>
  <c r="F800" i="2"/>
  <c r="J799" i="2"/>
  <c r="I799" i="2"/>
  <c r="H799" i="2"/>
  <c r="L799" i="2" s="1"/>
  <c r="G799" i="2"/>
  <c r="M799" i="2" s="1"/>
  <c r="F799" i="2"/>
  <c r="J798" i="2"/>
  <c r="I798" i="2"/>
  <c r="H798" i="2"/>
  <c r="L798" i="2" s="1"/>
  <c r="G798" i="2"/>
  <c r="M798" i="2" s="1"/>
  <c r="F798" i="2"/>
  <c r="J797" i="2"/>
  <c r="I797" i="2"/>
  <c r="H797" i="2"/>
  <c r="L797" i="2" s="1"/>
  <c r="G797" i="2"/>
  <c r="M797" i="2" s="1"/>
  <c r="F797" i="2"/>
  <c r="J796" i="2"/>
  <c r="I796" i="2"/>
  <c r="H796" i="2"/>
  <c r="L796" i="2" s="1"/>
  <c r="G796" i="2"/>
  <c r="M796" i="2" s="1"/>
  <c r="F796" i="2"/>
  <c r="J795" i="2"/>
  <c r="I795" i="2"/>
  <c r="H795" i="2"/>
  <c r="L795" i="2" s="1"/>
  <c r="G795" i="2"/>
  <c r="M795" i="2" s="1"/>
  <c r="F795" i="2"/>
  <c r="J794" i="2"/>
  <c r="I794" i="2"/>
  <c r="H794" i="2"/>
  <c r="L794" i="2" s="1"/>
  <c r="G794" i="2"/>
  <c r="M794" i="2" s="1"/>
  <c r="F794" i="2"/>
  <c r="J793" i="2"/>
  <c r="I793" i="2"/>
  <c r="H793" i="2"/>
  <c r="L793" i="2" s="1"/>
  <c r="G793" i="2"/>
  <c r="M793" i="2" s="1"/>
  <c r="F793" i="2"/>
  <c r="J792" i="2"/>
  <c r="I792" i="2"/>
  <c r="H792" i="2"/>
  <c r="L792" i="2" s="1"/>
  <c r="G792" i="2"/>
  <c r="M792" i="2" s="1"/>
  <c r="F792" i="2"/>
  <c r="J791" i="2"/>
  <c r="I791" i="2"/>
  <c r="H791" i="2"/>
  <c r="L791" i="2" s="1"/>
  <c r="G791" i="2"/>
  <c r="M791" i="2" s="1"/>
  <c r="F791" i="2"/>
  <c r="J790" i="2"/>
  <c r="I790" i="2"/>
  <c r="H790" i="2"/>
  <c r="L790" i="2" s="1"/>
  <c r="G790" i="2"/>
  <c r="M790" i="2" s="1"/>
  <c r="F790" i="2"/>
  <c r="J789" i="2"/>
  <c r="I789" i="2"/>
  <c r="H789" i="2"/>
  <c r="L789" i="2" s="1"/>
  <c r="G789" i="2"/>
  <c r="M789" i="2" s="1"/>
  <c r="F789" i="2"/>
  <c r="J788" i="2"/>
  <c r="I788" i="2"/>
  <c r="H788" i="2"/>
  <c r="L788" i="2" s="1"/>
  <c r="G788" i="2"/>
  <c r="M788" i="2" s="1"/>
  <c r="F788" i="2"/>
  <c r="J787" i="2"/>
  <c r="I787" i="2"/>
  <c r="H787" i="2"/>
  <c r="L787" i="2" s="1"/>
  <c r="G787" i="2"/>
  <c r="M787" i="2" s="1"/>
  <c r="F787" i="2"/>
  <c r="J786" i="2"/>
  <c r="I786" i="2"/>
  <c r="H786" i="2"/>
  <c r="L786" i="2" s="1"/>
  <c r="G786" i="2"/>
  <c r="M786" i="2" s="1"/>
  <c r="F786" i="2"/>
  <c r="J785" i="2"/>
  <c r="I785" i="2"/>
  <c r="H785" i="2"/>
  <c r="L785" i="2" s="1"/>
  <c r="G785" i="2"/>
  <c r="M785" i="2" s="1"/>
  <c r="F785" i="2"/>
  <c r="J784" i="2"/>
  <c r="I784" i="2"/>
  <c r="H784" i="2"/>
  <c r="L784" i="2" s="1"/>
  <c r="G784" i="2"/>
  <c r="M784" i="2" s="1"/>
  <c r="F784" i="2"/>
  <c r="J783" i="2"/>
  <c r="I783" i="2"/>
  <c r="H783" i="2"/>
  <c r="L783" i="2" s="1"/>
  <c r="G783" i="2"/>
  <c r="M783" i="2" s="1"/>
  <c r="F783" i="2"/>
  <c r="J782" i="2"/>
  <c r="I782" i="2"/>
  <c r="H782" i="2"/>
  <c r="L782" i="2" s="1"/>
  <c r="G782" i="2"/>
  <c r="M782" i="2" s="1"/>
  <c r="F782" i="2"/>
  <c r="J781" i="2"/>
  <c r="I781" i="2"/>
  <c r="H781" i="2"/>
  <c r="L781" i="2" s="1"/>
  <c r="G781" i="2"/>
  <c r="M781" i="2" s="1"/>
  <c r="F781" i="2"/>
  <c r="J780" i="2"/>
  <c r="I780" i="2"/>
  <c r="H780" i="2"/>
  <c r="L780" i="2" s="1"/>
  <c r="G780" i="2"/>
  <c r="M780" i="2" s="1"/>
  <c r="F780" i="2"/>
  <c r="J779" i="2"/>
  <c r="I779" i="2"/>
  <c r="H779" i="2"/>
  <c r="L779" i="2" s="1"/>
  <c r="G779" i="2"/>
  <c r="M779" i="2" s="1"/>
  <c r="F779" i="2"/>
  <c r="J778" i="2"/>
  <c r="I778" i="2"/>
  <c r="H778" i="2"/>
  <c r="L778" i="2" s="1"/>
  <c r="G778" i="2"/>
  <c r="M778" i="2" s="1"/>
  <c r="F778" i="2"/>
  <c r="J777" i="2"/>
  <c r="I777" i="2"/>
  <c r="H777" i="2"/>
  <c r="L777" i="2" s="1"/>
  <c r="G777" i="2"/>
  <c r="M777" i="2" s="1"/>
  <c r="F777" i="2"/>
  <c r="J776" i="2"/>
  <c r="I776" i="2"/>
  <c r="H776" i="2"/>
  <c r="L776" i="2" s="1"/>
  <c r="G776" i="2"/>
  <c r="M776" i="2" s="1"/>
  <c r="F776" i="2"/>
  <c r="J775" i="2"/>
  <c r="I775" i="2"/>
  <c r="H775" i="2"/>
  <c r="L775" i="2" s="1"/>
  <c r="G775" i="2"/>
  <c r="M775" i="2" s="1"/>
  <c r="F775" i="2"/>
  <c r="J774" i="2"/>
  <c r="I774" i="2"/>
  <c r="H774" i="2"/>
  <c r="L774" i="2" s="1"/>
  <c r="G774" i="2"/>
  <c r="M774" i="2" s="1"/>
  <c r="F774" i="2"/>
  <c r="J773" i="2"/>
  <c r="I773" i="2"/>
  <c r="H773" i="2"/>
  <c r="L773" i="2" s="1"/>
  <c r="G773" i="2"/>
  <c r="M773" i="2" s="1"/>
  <c r="F773" i="2"/>
  <c r="J772" i="2"/>
  <c r="I772" i="2"/>
  <c r="H772" i="2"/>
  <c r="L772" i="2" s="1"/>
  <c r="G772" i="2"/>
  <c r="M772" i="2" s="1"/>
  <c r="F772" i="2"/>
  <c r="J771" i="2"/>
  <c r="I771" i="2"/>
  <c r="H771" i="2"/>
  <c r="L771" i="2" s="1"/>
  <c r="G771" i="2"/>
  <c r="M771" i="2" s="1"/>
  <c r="F771" i="2"/>
  <c r="J770" i="2"/>
  <c r="I770" i="2"/>
  <c r="H770" i="2"/>
  <c r="L770" i="2" s="1"/>
  <c r="G770" i="2"/>
  <c r="M770" i="2" s="1"/>
  <c r="F770" i="2"/>
  <c r="J769" i="2"/>
  <c r="I769" i="2"/>
  <c r="H769" i="2"/>
  <c r="L769" i="2" s="1"/>
  <c r="G769" i="2"/>
  <c r="M769" i="2" s="1"/>
  <c r="F769" i="2"/>
  <c r="J768" i="2"/>
  <c r="I768" i="2"/>
  <c r="H768" i="2"/>
  <c r="L768" i="2" s="1"/>
  <c r="G768" i="2"/>
  <c r="M768" i="2" s="1"/>
  <c r="F768" i="2"/>
  <c r="J767" i="2"/>
  <c r="I767" i="2"/>
  <c r="H767" i="2"/>
  <c r="L767" i="2" s="1"/>
  <c r="G767" i="2"/>
  <c r="M767" i="2" s="1"/>
  <c r="F767" i="2"/>
  <c r="J766" i="2"/>
  <c r="I766" i="2"/>
  <c r="H766" i="2"/>
  <c r="L766" i="2" s="1"/>
  <c r="G766" i="2"/>
  <c r="M766" i="2" s="1"/>
  <c r="F766" i="2"/>
  <c r="J765" i="2"/>
  <c r="I765" i="2"/>
  <c r="H765" i="2"/>
  <c r="L765" i="2" s="1"/>
  <c r="G765" i="2"/>
  <c r="M765" i="2" s="1"/>
  <c r="F765" i="2"/>
  <c r="J764" i="2"/>
  <c r="I764" i="2"/>
  <c r="H764" i="2"/>
  <c r="L764" i="2" s="1"/>
  <c r="G764" i="2"/>
  <c r="M764" i="2" s="1"/>
  <c r="F764" i="2"/>
  <c r="J763" i="2"/>
  <c r="I763" i="2"/>
  <c r="H763" i="2"/>
  <c r="L763" i="2" s="1"/>
  <c r="G763" i="2"/>
  <c r="M763" i="2" s="1"/>
  <c r="F763" i="2"/>
  <c r="J762" i="2"/>
  <c r="I762" i="2"/>
  <c r="H762" i="2"/>
  <c r="L762" i="2" s="1"/>
  <c r="G762" i="2"/>
  <c r="M762" i="2" s="1"/>
  <c r="F762" i="2"/>
  <c r="J761" i="2"/>
  <c r="I761" i="2"/>
  <c r="H761" i="2"/>
  <c r="L761" i="2" s="1"/>
  <c r="G761" i="2"/>
  <c r="M761" i="2" s="1"/>
  <c r="F761" i="2"/>
  <c r="J760" i="2"/>
  <c r="I760" i="2"/>
  <c r="H760" i="2"/>
  <c r="L760" i="2" s="1"/>
  <c r="G760" i="2"/>
  <c r="M760" i="2" s="1"/>
  <c r="F760" i="2"/>
  <c r="J759" i="2"/>
  <c r="I759" i="2"/>
  <c r="H759" i="2"/>
  <c r="L759" i="2" s="1"/>
  <c r="G759" i="2"/>
  <c r="M759" i="2" s="1"/>
  <c r="F759" i="2"/>
  <c r="J758" i="2"/>
  <c r="I758" i="2"/>
  <c r="H758" i="2"/>
  <c r="L758" i="2" s="1"/>
  <c r="G758" i="2"/>
  <c r="M758" i="2" s="1"/>
  <c r="F758" i="2"/>
  <c r="J757" i="2"/>
  <c r="I757" i="2"/>
  <c r="H757" i="2"/>
  <c r="L757" i="2" s="1"/>
  <c r="G757" i="2"/>
  <c r="M757" i="2" s="1"/>
  <c r="F757" i="2"/>
  <c r="J756" i="2"/>
  <c r="I756" i="2"/>
  <c r="H756" i="2"/>
  <c r="L756" i="2" s="1"/>
  <c r="G756" i="2"/>
  <c r="M756" i="2" s="1"/>
  <c r="F756" i="2"/>
  <c r="J755" i="2"/>
  <c r="I755" i="2"/>
  <c r="H755" i="2"/>
  <c r="L755" i="2" s="1"/>
  <c r="G755" i="2"/>
  <c r="M755" i="2" s="1"/>
  <c r="F755" i="2"/>
  <c r="J754" i="2"/>
  <c r="I754" i="2"/>
  <c r="H754" i="2"/>
  <c r="L754" i="2" s="1"/>
  <c r="G754" i="2"/>
  <c r="M754" i="2" s="1"/>
  <c r="F754" i="2"/>
  <c r="J753" i="2"/>
  <c r="I753" i="2"/>
  <c r="H753" i="2"/>
  <c r="L753" i="2" s="1"/>
  <c r="G753" i="2"/>
  <c r="M753" i="2" s="1"/>
  <c r="F753" i="2"/>
  <c r="J752" i="2"/>
  <c r="I752" i="2"/>
  <c r="H752" i="2"/>
  <c r="L752" i="2" s="1"/>
  <c r="G752" i="2"/>
  <c r="M752" i="2" s="1"/>
  <c r="F752" i="2"/>
  <c r="J751" i="2"/>
  <c r="I751" i="2"/>
  <c r="H751" i="2"/>
  <c r="L751" i="2" s="1"/>
  <c r="G751" i="2"/>
  <c r="M751" i="2" s="1"/>
  <c r="F751" i="2"/>
  <c r="J750" i="2"/>
  <c r="I750" i="2"/>
  <c r="H750" i="2"/>
  <c r="L750" i="2" s="1"/>
  <c r="G750" i="2"/>
  <c r="M750" i="2" s="1"/>
  <c r="F750" i="2"/>
  <c r="J749" i="2"/>
  <c r="I749" i="2"/>
  <c r="H749" i="2"/>
  <c r="L749" i="2" s="1"/>
  <c r="G749" i="2"/>
  <c r="M749" i="2" s="1"/>
  <c r="F749" i="2"/>
  <c r="J748" i="2"/>
  <c r="I748" i="2"/>
  <c r="H748" i="2"/>
  <c r="L748" i="2" s="1"/>
  <c r="G748" i="2"/>
  <c r="M748" i="2" s="1"/>
  <c r="F748" i="2"/>
  <c r="J747" i="2"/>
  <c r="I747" i="2"/>
  <c r="H747" i="2"/>
  <c r="L747" i="2" s="1"/>
  <c r="G747" i="2"/>
  <c r="M747" i="2" s="1"/>
  <c r="F747" i="2"/>
  <c r="J746" i="2"/>
  <c r="I746" i="2"/>
  <c r="H746" i="2"/>
  <c r="L746" i="2" s="1"/>
  <c r="G746" i="2"/>
  <c r="M746" i="2" s="1"/>
  <c r="F746" i="2"/>
  <c r="J745" i="2"/>
  <c r="I745" i="2"/>
  <c r="H745" i="2"/>
  <c r="L745" i="2" s="1"/>
  <c r="G745" i="2"/>
  <c r="M745" i="2" s="1"/>
  <c r="F745" i="2"/>
  <c r="J744" i="2"/>
  <c r="I744" i="2"/>
  <c r="H744" i="2"/>
  <c r="L744" i="2" s="1"/>
  <c r="G744" i="2"/>
  <c r="M744" i="2" s="1"/>
  <c r="F744" i="2"/>
  <c r="J743" i="2"/>
  <c r="I743" i="2"/>
  <c r="H743" i="2"/>
  <c r="L743" i="2" s="1"/>
  <c r="G743" i="2"/>
  <c r="M743" i="2" s="1"/>
  <c r="F743" i="2"/>
  <c r="J742" i="2"/>
  <c r="I742" i="2"/>
  <c r="H742" i="2"/>
  <c r="L742" i="2" s="1"/>
  <c r="G742" i="2"/>
  <c r="M742" i="2" s="1"/>
  <c r="F742" i="2"/>
  <c r="J741" i="2"/>
  <c r="I741" i="2"/>
  <c r="H741" i="2"/>
  <c r="L741" i="2" s="1"/>
  <c r="G741" i="2"/>
  <c r="M741" i="2" s="1"/>
  <c r="F741" i="2"/>
  <c r="J740" i="2"/>
  <c r="I740" i="2"/>
  <c r="H740" i="2"/>
  <c r="L740" i="2" s="1"/>
  <c r="G740" i="2"/>
  <c r="M740" i="2" s="1"/>
  <c r="F740" i="2"/>
  <c r="J739" i="2"/>
  <c r="I739" i="2"/>
  <c r="H739" i="2"/>
  <c r="L739" i="2" s="1"/>
  <c r="G739" i="2"/>
  <c r="M739" i="2" s="1"/>
  <c r="F739" i="2"/>
  <c r="J738" i="2"/>
  <c r="I738" i="2"/>
  <c r="H738" i="2"/>
  <c r="L738" i="2" s="1"/>
  <c r="G738" i="2"/>
  <c r="M738" i="2" s="1"/>
  <c r="F738" i="2"/>
  <c r="J737" i="2"/>
  <c r="I737" i="2"/>
  <c r="H737" i="2"/>
  <c r="L737" i="2" s="1"/>
  <c r="G737" i="2"/>
  <c r="M737" i="2" s="1"/>
  <c r="F737" i="2"/>
  <c r="J736" i="2"/>
  <c r="I736" i="2"/>
  <c r="H736" i="2"/>
  <c r="L736" i="2" s="1"/>
  <c r="G736" i="2"/>
  <c r="M736" i="2" s="1"/>
  <c r="F736" i="2"/>
  <c r="J735" i="2"/>
  <c r="I735" i="2"/>
  <c r="H735" i="2"/>
  <c r="L735" i="2" s="1"/>
  <c r="G735" i="2"/>
  <c r="M735" i="2" s="1"/>
  <c r="F735" i="2"/>
  <c r="J734" i="2"/>
  <c r="I734" i="2"/>
  <c r="H734" i="2"/>
  <c r="L734" i="2" s="1"/>
  <c r="G734" i="2"/>
  <c r="M734" i="2" s="1"/>
  <c r="F734" i="2"/>
  <c r="J733" i="2"/>
  <c r="I733" i="2"/>
  <c r="H733" i="2"/>
  <c r="L733" i="2" s="1"/>
  <c r="G733" i="2"/>
  <c r="M733" i="2" s="1"/>
  <c r="F733" i="2"/>
  <c r="J732" i="2"/>
  <c r="I732" i="2"/>
  <c r="H732" i="2"/>
  <c r="L732" i="2" s="1"/>
  <c r="G732" i="2"/>
  <c r="M732" i="2" s="1"/>
  <c r="F732" i="2"/>
  <c r="J731" i="2"/>
  <c r="I731" i="2"/>
  <c r="H731" i="2"/>
  <c r="L731" i="2" s="1"/>
  <c r="G731" i="2"/>
  <c r="M731" i="2" s="1"/>
  <c r="F731" i="2"/>
  <c r="J730" i="2"/>
  <c r="I730" i="2"/>
  <c r="H730" i="2"/>
  <c r="L730" i="2" s="1"/>
  <c r="G730" i="2"/>
  <c r="M730" i="2" s="1"/>
  <c r="F730" i="2"/>
  <c r="J729" i="2"/>
  <c r="I729" i="2"/>
  <c r="H729" i="2"/>
  <c r="L729" i="2" s="1"/>
  <c r="G729" i="2"/>
  <c r="M729" i="2" s="1"/>
  <c r="F729" i="2"/>
  <c r="J728" i="2"/>
  <c r="I728" i="2"/>
  <c r="H728" i="2"/>
  <c r="L728" i="2" s="1"/>
  <c r="G728" i="2"/>
  <c r="M728" i="2" s="1"/>
  <c r="F728" i="2"/>
  <c r="J727" i="2"/>
  <c r="I727" i="2"/>
  <c r="H727" i="2"/>
  <c r="L727" i="2" s="1"/>
  <c r="G727" i="2"/>
  <c r="M727" i="2" s="1"/>
  <c r="F727" i="2"/>
  <c r="J726" i="2"/>
  <c r="I726" i="2"/>
  <c r="H726" i="2"/>
  <c r="L726" i="2" s="1"/>
  <c r="G726" i="2"/>
  <c r="M726" i="2" s="1"/>
  <c r="F726" i="2"/>
  <c r="J725" i="2"/>
  <c r="I725" i="2"/>
  <c r="H725" i="2"/>
  <c r="L725" i="2" s="1"/>
  <c r="G725" i="2"/>
  <c r="M725" i="2" s="1"/>
  <c r="F725" i="2"/>
  <c r="J724" i="2"/>
  <c r="I724" i="2"/>
  <c r="H724" i="2"/>
  <c r="L724" i="2" s="1"/>
  <c r="G724" i="2"/>
  <c r="M724" i="2" s="1"/>
  <c r="F724" i="2"/>
  <c r="J723" i="2"/>
  <c r="I723" i="2"/>
  <c r="H723" i="2"/>
  <c r="L723" i="2" s="1"/>
  <c r="G723" i="2"/>
  <c r="M723" i="2" s="1"/>
  <c r="F723" i="2"/>
  <c r="J722" i="2"/>
  <c r="I722" i="2"/>
  <c r="H722" i="2"/>
  <c r="L722" i="2" s="1"/>
  <c r="G722" i="2"/>
  <c r="M722" i="2" s="1"/>
  <c r="F722" i="2"/>
  <c r="J721" i="2"/>
  <c r="I721" i="2"/>
  <c r="H721" i="2"/>
  <c r="L721" i="2" s="1"/>
  <c r="G721" i="2"/>
  <c r="M721" i="2" s="1"/>
  <c r="F721" i="2"/>
  <c r="J720" i="2"/>
  <c r="I720" i="2"/>
  <c r="H720" i="2"/>
  <c r="L720" i="2" s="1"/>
  <c r="G720" i="2"/>
  <c r="M720" i="2" s="1"/>
  <c r="F720" i="2"/>
  <c r="J719" i="2"/>
  <c r="I719" i="2"/>
  <c r="H719" i="2"/>
  <c r="L719" i="2" s="1"/>
  <c r="G719" i="2"/>
  <c r="M719" i="2" s="1"/>
  <c r="F719" i="2"/>
  <c r="J718" i="2"/>
  <c r="I718" i="2"/>
  <c r="H718" i="2"/>
  <c r="L718" i="2" s="1"/>
  <c r="G718" i="2"/>
  <c r="M718" i="2" s="1"/>
  <c r="F718" i="2"/>
  <c r="J717" i="2"/>
  <c r="I717" i="2"/>
  <c r="H717" i="2"/>
  <c r="L717" i="2" s="1"/>
  <c r="G717" i="2"/>
  <c r="M717" i="2" s="1"/>
  <c r="F717" i="2"/>
  <c r="J716" i="2"/>
  <c r="I716" i="2"/>
  <c r="H716" i="2"/>
  <c r="L716" i="2" s="1"/>
  <c r="G716" i="2"/>
  <c r="M716" i="2" s="1"/>
  <c r="F716" i="2"/>
  <c r="J715" i="2"/>
  <c r="I715" i="2"/>
  <c r="H715" i="2"/>
  <c r="L715" i="2" s="1"/>
  <c r="G715" i="2"/>
  <c r="M715" i="2" s="1"/>
  <c r="F715" i="2"/>
  <c r="J714" i="2"/>
  <c r="I714" i="2"/>
  <c r="H714" i="2"/>
  <c r="L714" i="2" s="1"/>
  <c r="G714" i="2"/>
  <c r="M714" i="2" s="1"/>
  <c r="F714" i="2"/>
  <c r="J713" i="2"/>
  <c r="I713" i="2"/>
  <c r="H713" i="2"/>
  <c r="L713" i="2" s="1"/>
  <c r="G713" i="2"/>
  <c r="M713" i="2" s="1"/>
  <c r="F713" i="2"/>
  <c r="J712" i="2"/>
  <c r="I712" i="2"/>
  <c r="H712" i="2"/>
  <c r="L712" i="2" s="1"/>
  <c r="G712" i="2"/>
  <c r="M712" i="2" s="1"/>
  <c r="F712" i="2"/>
  <c r="J711" i="2"/>
  <c r="I711" i="2"/>
  <c r="H711" i="2"/>
  <c r="L711" i="2" s="1"/>
  <c r="G711" i="2"/>
  <c r="M711" i="2" s="1"/>
  <c r="F711" i="2"/>
  <c r="J710" i="2"/>
  <c r="I710" i="2"/>
  <c r="H710" i="2"/>
  <c r="L710" i="2" s="1"/>
  <c r="G710" i="2"/>
  <c r="M710" i="2" s="1"/>
  <c r="F710" i="2"/>
  <c r="J709" i="2"/>
  <c r="I709" i="2"/>
  <c r="H709" i="2"/>
  <c r="L709" i="2" s="1"/>
  <c r="G709" i="2"/>
  <c r="M709" i="2" s="1"/>
  <c r="F709" i="2"/>
  <c r="J708" i="2"/>
  <c r="I708" i="2"/>
  <c r="H708" i="2"/>
  <c r="L708" i="2" s="1"/>
  <c r="G708" i="2"/>
  <c r="M708" i="2" s="1"/>
  <c r="F708" i="2"/>
  <c r="J707" i="2"/>
  <c r="I707" i="2"/>
  <c r="H707" i="2"/>
  <c r="L707" i="2" s="1"/>
  <c r="G707" i="2"/>
  <c r="M707" i="2" s="1"/>
  <c r="F707" i="2"/>
  <c r="J706" i="2"/>
  <c r="I706" i="2"/>
  <c r="H706" i="2"/>
  <c r="L706" i="2" s="1"/>
  <c r="G706" i="2"/>
  <c r="M706" i="2" s="1"/>
  <c r="F706" i="2"/>
  <c r="J705" i="2"/>
  <c r="I705" i="2"/>
  <c r="H705" i="2"/>
  <c r="L705" i="2" s="1"/>
  <c r="G705" i="2"/>
  <c r="M705" i="2" s="1"/>
  <c r="F705" i="2"/>
  <c r="J704" i="2"/>
  <c r="I704" i="2"/>
  <c r="H704" i="2"/>
  <c r="L704" i="2" s="1"/>
  <c r="G704" i="2"/>
  <c r="M704" i="2" s="1"/>
  <c r="F704" i="2"/>
  <c r="J703" i="2"/>
  <c r="I703" i="2"/>
  <c r="H703" i="2"/>
  <c r="L703" i="2" s="1"/>
  <c r="G703" i="2"/>
  <c r="M703" i="2" s="1"/>
  <c r="F703" i="2"/>
  <c r="J702" i="2"/>
  <c r="I702" i="2"/>
  <c r="H702" i="2"/>
  <c r="L702" i="2" s="1"/>
  <c r="G702" i="2"/>
  <c r="M702" i="2" s="1"/>
  <c r="F702" i="2"/>
  <c r="J701" i="2"/>
  <c r="I701" i="2"/>
  <c r="H701" i="2"/>
  <c r="L701" i="2" s="1"/>
  <c r="G701" i="2"/>
  <c r="M701" i="2" s="1"/>
  <c r="F701" i="2"/>
  <c r="J700" i="2"/>
  <c r="I700" i="2"/>
  <c r="H700" i="2"/>
  <c r="L700" i="2" s="1"/>
  <c r="G700" i="2"/>
  <c r="M700" i="2" s="1"/>
  <c r="F700" i="2"/>
  <c r="J699" i="2"/>
  <c r="I699" i="2"/>
  <c r="H699" i="2"/>
  <c r="L699" i="2" s="1"/>
  <c r="G699" i="2"/>
  <c r="M699" i="2" s="1"/>
  <c r="F699" i="2"/>
  <c r="J698" i="2"/>
  <c r="I698" i="2"/>
  <c r="H698" i="2"/>
  <c r="L698" i="2" s="1"/>
  <c r="G698" i="2"/>
  <c r="M698" i="2" s="1"/>
  <c r="F698" i="2"/>
  <c r="J697" i="2"/>
  <c r="I697" i="2"/>
  <c r="H697" i="2"/>
  <c r="L697" i="2" s="1"/>
  <c r="G697" i="2"/>
  <c r="M697" i="2" s="1"/>
  <c r="F697" i="2"/>
  <c r="J696" i="2"/>
  <c r="I696" i="2"/>
  <c r="H696" i="2"/>
  <c r="L696" i="2" s="1"/>
  <c r="G696" i="2"/>
  <c r="M696" i="2" s="1"/>
  <c r="F696" i="2"/>
  <c r="J695" i="2"/>
  <c r="I695" i="2"/>
  <c r="H695" i="2"/>
  <c r="L695" i="2" s="1"/>
  <c r="G695" i="2"/>
  <c r="M695" i="2" s="1"/>
  <c r="F695" i="2"/>
  <c r="J694" i="2"/>
  <c r="I694" i="2"/>
  <c r="H694" i="2"/>
  <c r="L694" i="2" s="1"/>
  <c r="G694" i="2"/>
  <c r="M694" i="2" s="1"/>
  <c r="F694" i="2"/>
  <c r="J693" i="2"/>
  <c r="I693" i="2"/>
  <c r="H693" i="2"/>
  <c r="L693" i="2" s="1"/>
  <c r="G693" i="2"/>
  <c r="M693" i="2" s="1"/>
  <c r="F693" i="2"/>
  <c r="J692" i="2"/>
  <c r="I692" i="2"/>
  <c r="H692" i="2"/>
  <c r="L692" i="2" s="1"/>
  <c r="G692" i="2"/>
  <c r="M692" i="2" s="1"/>
  <c r="F692" i="2"/>
  <c r="J691" i="2"/>
  <c r="I691" i="2"/>
  <c r="H691" i="2"/>
  <c r="L691" i="2" s="1"/>
  <c r="G691" i="2"/>
  <c r="M691" i="2" s="1"/>
  <c r="F691" i="2"/>
  <c r="J690" i="2"/>
  <c r="I690" i="2"/>
  <c r="H690" i="2"/>
  <c r="L690" i="2" s="1"/>
  <c r="G690" i="2"/>
  <c r="M690" i="2" s="1"/>
  <c r="F690" i="2"/>
  <c r="J689" i="2"/>
  <c r="I689" i="2"/>
  <c r="H689" i="2"/>
  <c r="L689" i="2" s="1"/>
  <c r="G689" i="2"/>
  <c r="M689" i="2" s="1"/>
  <c r="F689" i="2"/>
  <c r="J688" i="2"/>
  <c r="I688" i="2"/>
  <c r="H688" i="2"/>
  <c r="L688" i="2" s="1"/>
  <c r="G688" i="2"/>
  <c r="M688" i="2" s="1"/>
  <c r="F688" i="2"/>
  <c r="J687" i="2"/>
  <c r="I687" i="2"/>
  <c r="H687" i="2"/>
  <c r="L687" i="2" s="1"/>
  <c r="G687" i="2"/>
  <c r="M687" i="2" s="1"/>
  <c r="F687" i="2"/>
  <c r="J686" i="2"/>
  <c r="I686" i="2"/>
  <c r="H686" i="2"/>
  <c r="L686" i="2" s="1"/>
  <c r="G686" i="2"/>
  <c r="M686" i="2" s="1"/>
  <c r="F686" i="2"/>
  <c r="J685" i="2"/>
  <c r="I685" i="2"/>
  <c r="H685" i="2"/>
  <c r="L685" i="2" s="1"/>
  <c r="G685" i="2"/>
  <c r="M685" i="2" s="1"/>
  <c r="F685" i="2"/>
  <c r="J684" i="2"/>
  <c r="I684" i="2"/>
  <c r="H684" i="2"/>
  <c r="L684" i="2" s="1"/>
  <c r="G684" i="2"/>
  <c r="M684" i="2" s="1"/>
  <c r="F684" i="2"/>
  <c r="J683" i="2"/>
  <c r="I683" i="2"/>
  <c r="H683" i="2"/>
  <c r="L683" i="2" s="1"/>
  <c r="G683" i="2"/>
  <c r="M683" i="2" s="1"/>
  <c r="F683" i="2"/>
  <c r="J682" i="2"/>
  <c r="I682" i="2"/>
  <c r="H682" i="2"/>
  <c r="L682" i="2" s="1"/>
  <c r="G682" i="2"/>
  <c r="M682" i="2" s="1"/>
  <c r="F682" i="2"/>
  <c r="J681" i="2"/>
  <c r="I681" i="2"/>
  <c r="H681" i="2"/>
  <c r="L681" i="2" s="1"/>
  <c r="G681" i="2"/>
  <c r="M681" i="2" s="1"/>
  <c r="F681" i="2"/>
  <c r="J680" i="2"/>
  <c r="I680" i="2"/>
  <c r="H680" i="2"/>
  <c r="L680" i="2" s="1"/>
  <c r="G680" i="2"/>
  <c r="M680" i="2" s="1"/>
  <c r="F680" i="2"/>
  <c r="J679" i="2"/>
  <c r="I679" i="2"/>
  <c r="H679" i="2"/>
  <c r="L679" i="2" s="1"/>
  <c r="G679" i="2"/>
  <c r="M679" i="2" s="1"/>
  <c r="F679" i="2"/>
  <c r="J678" i="2"/>
  <c r="I678" i="2"/>
  <c r="H678" i="2"/>
  <c r="L678" i="2" s="1"/>
  <c r="G678" i="2"/>
  <c r="M678" i="2" s="1"/>
  <c r="F678" i="2"/>
  <c r="J677" i="2"/>
  <c r="I677" i="2"/>
  <c r="H677" i="2"/>
  <c r="L677" i="2" s="1"/>
  <c r="G677" i="2"/>
  <c r="M677" i="2" s="1"/>
  <c r="F677" i="2"/>
  <c r="J676" i="2"/>
  <c r="I676" i="2"/>
  <c r="H676" i="2"/>
  <c r="L676" i="2" s="1"/>
  <c r="G676" i="2"/>
  <c r="M676" i="2" s="1"/>
  <c r="F676" i="2"/>
  <c r="J675" i="2"/>
  <c r="I675" i="2"/>
  <c r="H675" i="2"/>
  <c r="L675" i="2" s="1"/>
  <c r="G675" i="2"/>
  <c r="M675" i="2" s="1"/>
  <c r="F675" i="2"/>
  <c r="J674" i="2"/>
  <c r="I674" i="2"/>
  <c r="H674" i="2"/>
  <c r="L674" i="2" s="1"/>
  <c r="G674" i="2"/>
  <c r="M674" i="2" s="1"/>
  <c r="F674" i="2"/>
  <c r="J673" i="2"/>
  <c r="I673" i="2"/>
  <c r="H673" i="2"/>
  <c r="L673" i="2" s="1"/>
  <c r="G673" i="2"/>
  <c r="M673" i="2" s="1"/>
  <c r="F673" i="2"/>
  <c r="J672" i="2"/>
  <c r="I672" i="2"/>
  <c r="H672" i="2"/>
  <c r="L672" i="2" s="1"/>
  <c r="G672" i="2"/>
  <c r="M672" i="2" s="1"/>
  <c r="F672" i="2"/>
  <c r="J671" i="2"/>
  <c r="I671" i="2"/>
  <c r="H671" i="2"/>
  <c r="L671" i="2" s="1"/>
  <c r="G671" i="2"/>
  <c r="M671" i="2" s="1"/>
  <c r="F671" i="2"/>
  <c r="J670" i="2"/>
  <c r="I670" i="2"/>
  <c r="H670" i="2"/>
  <c r="L670" i="2" s="1"/>
  <c r="G670" i="2"/>
  <c r="M670" i="2" s="1"/>
  <c r="F670" i="2"/>
  <c r="J669" i="2"/>
  <c r="I669" i="2"/>
  <c r="H669" i="2"/>
  <c r="L669" i="2" s="1"/>
  <c r="G669" i="2"/>
  <c r="M669" i="2" s="1"/>
  <c r="F669" i="2"/>
  <c r="J668" i="2"/>
  <c r="I668" i="2"/>
  <c r="H668" i="2"/>
  <c r="L668" i="2" s="1"/>
  <c r="G668" i="2"/>
  <c r="M668" i="2" s="1"/>
  <c r="F668" i="2"/>
  <c r="J667" i="2"/>
  <c r="I667" i="2"/>
  <c r="H667" i="2"/>
  <c r="L667" i="2" s="1"/>
  <c r="G667" i="2"/>
  <c r="M667" i="2" s="1"/>
  <c r="F667" i="2"/>
  <c r="J666" i="2"/>
  <c r="I666" i="2"/>
  <c r="H666" i="2"/>
  <c r="L666" i="2" s="1"/>
  <c r="G666" i="2"/>
  <c r="M666" i="2" s="1"/>
  <c r="F666" i="2"/>
  <c r="J665" i="2"/>
  <c r="I665" i="2"/>
  <c r="H665" i="2"/>
  <c r="L665" i="2" s="1"/>
  <c r="G665" i="2"/>
  <c r="M665" i="2" s="1"/>
  <c r="F665" i="2"/>
  <c r="J664" i="2"/>
  <c r="I664" i="2"/>
  <c r="H664" i="2"/>
  <c r="L664" i="2" s="1"/>
  <c r="G664" i="2"/>
  <c r="M664" i="2" s="1"/>
  <c r="F664" i="2"/>
  <c r="J663" i="2"/>
  <c r="I663" i="2"/>
  <c r="H663" i="2"/>
  <c r="L663" i="2" s="1"/>
  <c r="G663" i="2"/>
  <c r="M663" i="2" s="1"/>
  <c r="F663" i="2"/>
  <c r="J662" i="2"/>
  <c r="I662" i="2"/>
  <c r="H662" i="2"/>
  <c r="L662" i="2" s="1"/>
  <c r="G662" i="2"/>
  <c r="M662" i="2" s="1"/>
  <c r="F662" i="2"/>
  <c r="J661" i="2"/>
  <c r="I661" i="2"/>
  <c r="H661" i="2"/>
  <c r="L661" i="2" s="1"/>
  <c r="G661" i="2"/>
  <c r="M661" i="2" s="1"/>
  <c r="F661" i="2"/>
  <c r="J660" i="2"/>
  <c r="I660" i="2"/>
  <c r="H660" i="2"/>
  <c r="L660" i="2" s="1"/>
  <c r="G660" i="2"/>
  <c r="M660" i="2" s="1"/>
  <c r="F660" i="2"/>
  <c r="J659" i="2"/>
  <c r="I659" i="2"/>
  <c r="H659" i="2"/>
  <c r="L659" i="2" s="1"/>
  <c r="G659" i="2"/>
  <c r="M659" i="2" s="1"/>
  <c r="F659" i="2"/>
  <c r="J658" i="2"/>
  <c r="I658" i="2"/>
  <c r="H658" i="2"/>
  <c r="L658" i="2" s="1"/>
  <c r="G658" i="2"/>
  <c r="M658" i="2" s="1"/>
  <c r="F658" i="2"/>
  <c r="J657" i="2"/>
  <c r="I657" i="2"/>
  <c r="H657" i="2"/>
  <c r="L657" i="2" s="1"/>
  <c r="G657" i="2"/>
  <c r="M657" i="2" s="1"/>
  <c r="F657" i="2"/>
  <c r="J656" i="2"/>
  <c r="I656" i="2"/>
  <c r="H656" i="2"/>
  <c r="L656" i="2" s="1"/>
  <c r="G656" i="2"/>
  <c r="M656" i="2" s="1"/>
  <c r="F656" i="2"/>
  <c r="J655" i="2"/>
  <c r="I655" i="2"/>
  <c r="H655" i="2"/>
  <c r="L655" i="2" s="1"/>
  <c r="G655" i="2"/>
  <c r="M655" i="2" s="1"/>
  <c r="F655" i="2"/>
  <c r="J654" i="2"/>
  <c r="I654" i="2"/>
  <c r="H654" i="2"/>
  <c r="L654" i="2" s="1"/>
  <c r="G654" i="2"/>
  <c r="M654" i="2" s="1"/>
  <c r="F654" i="2"/>
  <c r="J653" i="2"/>
  <c r="I653" i="2"/>
  <c r="H653" i="2"/>
  <c r="L653" i="2" s="1"/>
  <c r="G653" i="2"/>
  <c r="M653" i="2" s="1"/>
  <c r="F653" i="2"/>
  <c r="J652" i="2"/>
  <c r="I652" i="2"/>
  <c r="H652" i="2"/>
  <c r="L652" i="2" s="1"/>
  <c r="G652" i="2"/>
  <c r="M652" i="2" s="1"/>
  <c r="F652" i="2"/>
  <c r="J651" i="2"/>
  <c r="I651" i="2"/>
  <c r="H651" i="2"/>
  <c r="L651" i="2" s="1"/>
  <c r="G651" i="2"/>
  <c r="M651" i="2" s="1"/>
  <c r="F651" i="2"/>
  <c r="J650" i="2"/>
  <c r="I650" i="2"/>
  <c r="H650" i="2"/>
  <c r="L650" i="2" s="1"/>
  <c r="G650" i="2"/>
  <c r="M650" i="2" s="1"/>
  <c r="F650" i="2"/>
  <c r="J649" i="2"/>
  <c r="I649" i="2"/>
  <c r="H649" i="2"/>
  <c r="L649" i="2" s="1"/>
  <c r="G649" i="2"/>
  <c r="M649" i="2" s="1"/>
  <c r="F649" i="2"/>
  <c r="J648" i="2"/>
  <c r="I648" i="2"/>
  <c r="H648" i="2"/>
  <c r="L648" i="2" s="1"/>
  <c r="G648" i="2"/>
  <c r="M648" i="2" s="1"/>
  <c r="F648" i="2"/>
  <c r="J647" i="2"/>
  <c r="I647" i="2"/>
  <c r="H647" i="2"/>
  <c r="L647" i="2" s="1"/>
  <c r="G647" i="2"/>
  <c r="M647" i="2" s="1"/>
  <c r="F647" i="2"/>
  <c r="J646" i="2"/>
  <c r="I646" i="2"/>
  <c r="H646" i="2"/>
  <c r="L646" i="2" s="1"/>
  <c r="G646" i="2"/>
  <c r="M646" i="2" s="1"/>
  <c r="F646" i="2"/>
  <c r="J645" i="2"/>
  <c r="I645" i="2"/>
  <c r="H645" i="2"/>
  <c r="L645" i="2" s="1"/>
  <c r="G645" i="2"/>
  <c r="M645" i="2" s="1"/>
  <c r="F645" i="2"/>
  <c r="J644" i="2"/>
  <c r="I644" i="2"/>
  <c r="H644" i="2"/>
  <c r="L644" i="2" s="1"/>
  <c r="G644" i="2"/>
  <c r="M644" i="2" s="1"/>
  <c r="F644" i="2"/>
  <c r="J643" i="2"/>
  <c r="I643" i="2"/>
  <c r="H643" i="2"/>
  <c r="L643" i="2" s="1"/>
  <c r="G643" i="2"/>
  <c r="M643" i="2" s="1"/>
  <c r="F643" i="2"/>
  <c r="J642" i="2"/>
  <c r="I642" i="2"/>
  <c r="H642" i="2"/>
  <c r="L642" i="2" s="1"/>
  <c r="G642" i="2"/>
  <c r="M642" i="2" s="1"/>
  <c r="F642" i="2"/>
  <c r="J641" i="2"/>
  <c r="I641" i="2"/>
  <c r="H641" i="2"/>
  <c r="L641" i="2" s="1"/>
  <c r="G641" i="2"/>
  <c r="M641" i="2" s="1"/>
  <c r="F641" i="2"/>
  <c r="J640" i="2"/>
  <c r="I640" i="2"/>
  <c r="H640" i="2"/>
  <c r="L640" i="2" s="1"/>
  <c r="G640" i="2"/>
  <c r="M640" i="2" s="1"/>
  <c r="F640" i="2"/>
  <c r="J639" i="2"/>
  <c r="I639" i="2"/>
  <c r="H639" i="2"/>
  <c r="L639" i="2" s="1"/>
  <c r="G639" i="2"/>
  <c r="M639" i="2" s="1"/>
  <c r="F639" i="2"/>
  <c r="J638" i="2"/>
  <c r="I638" i="2"/>
  <c r="H638" i="2"/>
  <c r="L638" i="2" s="1"/>
  <c r="G638" i="2"/>
  <c r="M638" i="2" s="1"/>
  <c r="F638" i="2"/>
  <c r="J637" i="2"/>
  <c r="I637" i="2"/>
  <c r="H637" i="2"/>
  <c r="L637" i="2" s="1"/>
  <c r="G637" i="2"/>
  <c r="M637" i="2" s="1"/>
  <c r="F637" i="2"/>
  <c r="J636" i="2"/>
  <c r="I636" i="2"/>
  <c r="H636" i="2"/>
  <c r="L636" i="2" s="1"/>
  <c r="G636" i="2"/>
  <c r="M636" i="2" s="1"/>
  <c r="F636" i="2"/>
  <c r="J635" i="2"/>
  <c r="I635" i="2"/>
  <c r="H635" i="2"/>
  <c r="L635" i="2" s="1"/>
  <c r="G635" i="2"/>
  <c r="M635" i="2" s="1"/>
  <c r="F635" i="2"/>
  <c r="J634" i="2"/>
  <c r="I634" i="2"/>
  <c r="H634" i="2"/>
  <c r="L634" i="2" s="1"/>
  <c r="G634" i="2"/>
  <c r="M634" i="2" s="1"/>
  <c r="F634" i="2"/>
  <c r="J633" i="2"/>
  <c r="I633" i="2"/>
  <c r="H633" i="2"/>
  <c r="L633" i="2" s="1"/>
  <c r="G633" i="2"/>
  <c r="M633" i="2" s="1"/>
  <c r="F633" i="2"/>
  <c r="J632" i="2"/>
  <c r="I632" i="2"/>
  <c r="H632" i="2"/>
  <c r="L632" i="2" s="1"/>
  <c r="G632" i="2"/>
  <c r="M632" i="2" s="1"/>
  <c r="F632" i="2"/>
  <c r="J631" i="2"/>
  <c r="I631" i="2"/>
  <c r="H631" i="2"/>
  <c r="L631" i="2" s="1"/>
  <c r="G631" i="2"/>
  <c r="M631" i="2" s="1"/>
  <c r="F631" i="2"/>
  <c r="J630" i="2"/>
  <c r="I630" i="2"/>
  <c r="H630" i="2"/>
  <c r="L630" i="2" s="1"/>
  <c r="G630" i="2"/>
  <c r="M630" i="2" s="1"/>
  <c r="F630" i="2"/>
  <c r="J629" i="2"/>
  <c r="I629" i="2"/>
  <c r="H629" i="2"/>
  <c r="L629" i="2" s="1"/>
  <c r="G629" i="2"/>
  <c r="M629" i="2" s="1"/>
  <c r="F629" i="2"/>
  <c r="J628" i="2"/>
  <c r="I628" i="2"/>
  <c r="H628" i="2"/>
  <c r="L628" i="2" s="1"/>
  <c r="G628" i="2"/>
  <c r="M628" i="2" s="1"/>
  <c r="F628" i="2"/>
  <c r="J627" i="2"/>
  <c r="I627" i="2"/>
  <c r="H627" i="2"/>
  <c r="L627" i="2" s="1"/>
  <c r="G627" i="2"/>
  <c r="M627" i="2" s="1"/>
  <c r="F627" i="2"/>
  <c r="J626" i="2"/>
  <c r="I626" i="2"/>
  <c r="H626" i="2"/>
  <c r="L626" i="2" s="1"/>
  <c r="G626" i="2"/>
  <c r="M626" i="2" s="1"/>
  <c r="F626" i="2"/>
  <c r="J625" i="2"/>
  <c r="I625" i="2"/>
  <c r="H625" i="2"/>
  <c r="L625" i="2" s="1"/>
  <c r="G625" i="2"/>
  <c r="M625" i="2" s="1"/>
  <c r="F625" i="2"/>
  <c r="J624" i="2"/>
  <c r="I624" i="2"/>
  <c r="H624" i="2"/>
  <c r="L624" i="2" s="1"/>
  <c r="G624" i="2"/>
  <c r="M624" i="2" s="1"/>
  <c r="F624" i="2"/>
  <c r="J623" i="2"/>
  <c r="I623" i="2"/>
  <c r="H623" i="2"/>
  <c r="L623" i="2" s="1"/>
  <c r="G623" i="2"/>
  <c r="M623" i="2" s="1"/>
  <c r="F623" i="2"/>
  <c r="J622" i="2"/>
  <c r="I622" i="2"/>
  <c r="H622" i="2"/>
  <c r="L622" i="2" s="1"/>
  <c r="G622" i="2"/>
  <c r="M622" i="2" s="1"/>
  <c r="F622" i="2"/>
  <c r="J621" i="2"/>
  <c r="I621" i="2"/>
  <c r="H621" i="2"/>
  <c r="L621" i="2" s="1"/>
  <c r="G621" i="2"/>
  <c r="M621" i="2" s="1"/>
  <c r="F621" i="2"/>
  <c r="J620" i="2"/>
  <c r="I620" i="2"/>
  <c r="H620" i="2"/>
  <c r="L620" i="2" s="1"/>
  <c r="G620" i="2"/>
  <c r="M620" i="2" s="1"/>
  <c r="F620" i="2"/>
  <c r="J619" i="2"/>
  <c r="I619" i="2"/>
  <c r="H619" i="2"/>
  <c r="L619" i="2" s="1"/>
  <c r="G619" i="2"/>
  <c r="M619" i="2" s="1"/>
  <c r="F619" i="2"/>
  <c r="J618" i="2"/>
  <c r="I618" i="2"/>
  <c r="H618" i="2"/>
  <c r="L618" i="2" s="1"/>
  <c r="G618" i="2"/>
  <c r="M618" i="2" s="1"/>
  <c r="F618" i="2"/>
  <c r="J617" i="2"/>
  <c r="I617" i="2"/>
  <c r="H617" i="2"/>
  <c r="L617" i="2" s="1"/>
  <c r="G617" i="2"/>
  <c r="M617" i="2" s="1"/>
  <c r="F617" i="2"/>
  <c r="J616" i="2"/>
  <c r="I616" i="2"/>
  <c r="H616" i="2"/>
  <c r="L616" i="2" s="1"/>
  <c r="G616" i="2"/>
  <c r="M616" i="2" s="1"/>
  <c r="F616" i="2"/>
  <c r="J615" i="2"/>
  <c r="I615" i="2"/>
  <c r="H615" i="2"/>
  <c r="L615" i="2" s="1"/>
  <c r="G615" i="2"/>
  <c r="M615" i="2" s="1"/>
  <c r="F615" i="2"/>
  <c r="J614" i="2"/>
  <c r="I614" i="2"/>
  <c r="H614" i="2"/>
  <c r="L614" i="2" s="1"/>
  <c r="G614" i="2"/>
  <c r="M614" i="2" s="1"/>
  <c r="F614" i="2"/>
  <c r="J613" i="2"/>
  <c r="I613" i="2"/>
  <c r="H613" i="2"/>
  <c r="L613" i="2" s="1"/>
  <c r="G613" i="2"/>
  <c r="M613" i="2" s="1"/>
  <c r="F613" i="2"/>
  <c r="J612" i="2"/>
  <c r="I612" i="2"/>
  <c r="H612" i="2"/>
  <c r="L612" i="2" s="1"/>
  <c r="G612" i="2"/>
  <c r="M612" i="2" s="1"/>
  <c r="F612" i="2"/>
  <c r="J611" i="2"/>
  <c r="I611" i="2"/>
  <c r="H611" i="2"/>
  <c r="L611" i="2" s="1"/>
  <c r="G611" i="2"/>
  <c r="M611" i="2" s="1"/>
  <c r="F611" i="2"/>
  <c r="J610" i="2"/>
  <c r="I610" i="2"/>
  <c r="H610" i="2"/>
  <c r="L610" i="2" s="1"/>
  <c r="G610" i="2"/>
  <c r="M610" i="2" s="1"/>
  <c r="F610" i="2"/>
  <c r="J609" i="2"/>
  <c r="I609" i="2"/>
  <c r="H609" i="2"/>
  <c r="L609" i="2" s="1"/>
  <c r="G609" i="2"/>
  <c r="M609" i="2" s="1"/>
  <c r="F609" i="2"/>
  <c r="J608" i="2"/>
  <c r="I608" i="2"/>
  <c r="H608" i="2"/>
  <c r="L608" i="2" s="1"/>
  <c r="G608" i="2"/>
  <c r="M608" i="2" s="1"/>
  <c r="F608" i="2"/>
  <c r="J607" i="2"/>
  <c r="I607" i="2"/>
  <c r="H607" i="2"/>
  <c r="L607" i="2" s="1"/>
  <c r="G607" i="2"/>
  <c r="M607" i="2" s="1"/>
  <c r="F607" i="2"/>
  <c r="J606" i="2"/>
  <c r="I606" i="2"/>
  <c r="H606" i="2"/>
  <c r="L606" i="2" s="1"/>
  <c r="G606" i="2"/>
  <c r="M606" i="2" s="1"/>
  <c r="F606" i="2"/>
  <c r="J605" i="2"/>
  <c r="I605" i="2"/>
  <c r="H605" i="2"/>
  <c r="L605" i="2" s="1"/>
  <c r="G605" i="2"/>
  <c r="M605" i="2" s="1"/>
  <c r="F605" i="2"/>
  <c r="J604" i="2"/>
  <c r="I604" i="2"/>
  <c r="H604" i="2"/>
  <c r="L604" i="2" s="1"/>
  <c r="G604" i="2"/>
  <c r="M604" i="2" s="1"/>
  <c r="F604" i="2"/>
  <c r="J603" i="2"/>
  <c r="I603" i="2"/>
  <c r="H603" i="2"/>
  <c r="L603" i="2" s="1"/>
  <c r="G603" i="2"/>
  <c r="M603" i="2" s="1"/>
  <c r="F603" i="2"/>
  <c r="J602" i="2"/>
  <c r="I602" i="2"/>
  <c r="H602" i="2"/>
  <c r="L602" i="2" s="1"/>
  <c r="G602" i="2"/>
  <c r="M602" i="2" s="1"/>
  <c r="F602" i="2"/>
  <c r="J601" i="2"/>
  <c r="I601" i="2"/>
  <c r="H601" i="2"/>
  <c r="L601" i="2" s="1"/>
  <c r="G601" i="2"/>
  <c r="M601" i="2" s="1"/>
  <c r="F601" i="2"/>
  <c r="J600" i="2"/>
  <c r="I600" i="2"/>
  <c r="H600" i="2"/>
  <c r="L600" i="2" s="1"/>
  <c r="G600" i="2"/>
  <c r="M600" i="2" s="1"/>
  <c r="F600" i="2"/>
  <c r="J599" i="2"/>
  <c r="I599" i="2"/>
  <c r="H599" i="2"/>
  <c r="L599" i="2" s="1"/>
  <c r="G599" i="2"/>
  <c r="M599" i="2" s="1"/>
  <c r="F599" i="2"/>
  <c r="J598" i="2"/>
  <c r="I598" i="2"/>
  <c r="H598" i="2"/>
  <c r="L598" i="2" s="1"/>
  <c r="G598" i="2"/>
  <c r="M598" i="2" s="1"/>
  <c r="F598" i="2"/>
  <c r="J597" i="2"/>
  <c r="I597" i="2"/>
  <c r="H597" i="2"/>
  <c r="L597" i="2" s="1"/>
  <c r="G597" i="2"/>
  <c r="M597" i="2" s="1"/>
  <c r="F597" i="2"/>
  <c r="J596" i="2"/>
  <c r="I596" i="2"/>
  <c r="H596" i="2"/>
  <c r="L596" i="2" s="1"/>
  <c r="G596" i="2"/>
  <c r="M596" i="2" s="1"/>
  <c r="F596" i="2"/>
  <c r="J595" i="2"/>
  <c r="I595" i="2"/>
  <c r="H595" i="2"/>
  <c r="L595" i="2" s="1"/>
  <c r="G595" i="2"/>
  <c r="M595" i="2" s="1"/>
  <c r="F595" i="2"/>
  <c r="J594" i="2"/>
  <c r="I594" i="2"/>
  <c r="H594" i="2"/>
  <c r="L594" i="2" s="1"/>
  <c r="G594" i="2"/>
  <c r="M594" i="2" s="1"/>
  <c r="F594" i="2"/>
  <c r="J593" i="2"/>
  <c r="I593" i="2"/>
  <c r="H593" i="2"/>
  <c r="L593" i="2" s="1"/>
  <c r="G593" i="2"/>
  <c r="M593" i="2" s="1"/>
  <c r="F593" i="2"/>
  <c r="J592" i="2"/>
  <c r="I592" i="2"/>
  <c r="H592" i="2"/>
  <c r="L592" i="2" s="1"/>
  <c r="G592" i="2"/>
  <c r="M592" i="2" s="1"/>
  <c r="F592" i="2"/>
  <c r="J591" i="2"/>
  <c r="I591" i="2"/>
  <c r="H591" i="2"/>
  <c r="L591" i="2" s="1"/>
  <c r="G591" i="2"/>
  <c r="M591" i="2" s="1"/>
  <c r="F591" i="2"/>
  <c r="J590" i="2"/>
  <c r="I590" i="2"/>
  <c r="H590" i="2"/>
  <c r="L590" i="2" s="1"/>
  <c r="G590" i="2"/>
  <c r="M590" i="2" s="1"/>
  <c r="F590" i="2"/>
  <c r="J589" i="2"/>
  <c r="I589" i="2"/>
  <c r="H589" i="2"/>
  <c r="L589" i="2" s="1"/>
  <c r="G589" i="2"/>
  <c r="M589" i="2" s="1"/>
  <c r="F589" i="2"/>
  <c r="J588" i="2"/>
  <c r="I588" i="2"/>
  <c r="H588" i="2"/>
  <c r="L588" i="2" s="1"/>
  <c r="G588" i="2"/>
  <c r="M588" i="2" s="1"/>
  <c r="F588" i="2"/>
  <c r="J587" i="2"/>
  <c r="I587" i="2"/>
  <c r="H587" i="2"/>
  <c r="L587" i="2" s="1"/>
  <c r="G587" i="2"/>
  <c r="M587" i="2" s="1"/>
  <c r="F587" i="2"/>
  <c r="J586" i="2"/>
  <c r="I586" i="2"/>
  <c r="H586" i="2"/>
  <c r="L586" i="2" s="1"/>
  <c r="G586" i="2"/>
  <c r="M586" i="2" s="1"/>
  <c r="F586" i="2"/>
  <c r="J585" i="2"/>
  <c r="I585" i="2"/>
  <c r="H585" i="2"/>
  <c r="L585" i="2" s="1"/>
  <c r="G585" i="2"/>
  <c r="M585" i="2" s="1"/>
  <c r="F585" i="2"/>
  <c r="J584" i="2"/>
  <c r="I584" i="2"/>
  <c r="H584" i="2"/>
  <c r="L584" i="2" s="1"/>
  <c r="G584" i="2"/>
  <c r="M584" i="2" s="1"/>
  <c r="F584" i="2"/>
  <c r="J583" i="2"/>
  <c r="I583" i="2"/>
  <c r="H583" i="2"/>
  <c r="L583" i="2" s="1"/>
  <c r="G583" i="2"/>
  <c r="M583" i="2" s="1"/>
  <c r="F583" i="2"/>
  <c r="J582" i="2"/>
  <c r="I582" i="2"/>
  <c r="H582" i="2"/>
  <c r="L582" i="2" s="1"/>
  <c r="G582" i="2"/>
  <c r="M582" i="2" s="1"/>
  <c r="F582" i="2"/>
  <c r="J581" i="2"/>
  <c r="I581" i="2"/>
  <c r="H581" i="2"/>
  <c r="L581" i="2" s="1"/>
  <c r="G581" i="2"/>
  <c r="M581" i="2" s="1"/>
  <c r="F581" i="2"/>
  <c r="J580" i="2"/>
  <c r="I580" i="2"/>
  <c r="H580" i="2"/>
  <c r="L580" i="2" s="1"/>
  <c r="G580" i="2"/>
  <c r="M580" i="2" s="1"/>
  <c r="F580" i="2"/>
  <c r="J579" i="2"/>
  <c r="I579" i="2"/>
  <c r="H579" i="2"/>
  <c r="L579" i="2" s="1"/>
  <c r="G579" i="2"/>
  <c r="M579" i="2" s="1"/>
  <c r="F579" i="2"/>
  <c r="J578" i="2"/>
  <c r="I578" i="2"/>
  <c r="H578" i="2"/>
  <c r="L578" i="2" s="1"/>
  <c r="G578" i="2"/>
  <c r="M578" i="2" s="1"/>
  <c r="F578" i="2"/>
  <c r="J577" i="2"/>
  <c r="I577" i="2"/>
  <c r="H577" i="2"/>
  <c r="L577" i="2" s="1"/>
  <c r="G577" i="2"/>
  <c r="M577" i="2" s="1"/>
  <c r="F577" i="2"/>
  <c r="J576" i="2"/>
  <c r="I576" i="2"/>
  <c r="H576" i="2"/>
  <c r="L576" i="2" s="1"/>
  <c r="G576" i="2"/>
  <c r="M576" i="2" s="1"/>
  <c r="F576" i="2"/>
  <c r="J575" i="2"/>
  <c r="I575" i="2"/>
  <c r="H575" i="2"/>
  <c r="L575" i="2" s="1"/>
  <c r="G575" i="2"/>
  <c r="M575" i="2" s="1"/>
  <c r="F575" i="2"/>
  <c r="J574" i="2"/>
  <c r="I574" i="2"/>
  <c r="H574" i="2"/>
  <c r="L574" i="2" s="1"/>
  <c r="G574" i="2"/>
  <c r="M574" i="2" s="1"/>
  <c r="F574" i="2"/>
  <c r="J573" i="2"/>
  <c r="I573" i="2"/>
  <c r="H573" i="2"/>
  <c r="L573" i="2" s="1"/>
  <c r="G573" i="2"/>
  <c r="M573" i="2" s="1"/>
  <c r="F573" i="2"/>
  <c r="J572" i="2"/>
  <c r="I572" i="2"/>
  <c r="H572" i="2"/>
  <c r="L572" i="2" s="1"/>
  <c r="G572" i="2"/>
  <c r="M572" i="2" s="1"/>
  <c r="F572" i="2"/>
  <c r="J571" i="2"/>
  <c r="I571" i="2"/>
  <c r="H571" i="2"/>
  <c r="L571" i="2" s="1"/>
  <c r="G571" i="2"/>
  <c r="M571" i="2" s="1"/>
  <c r="F571" i="2"/>
  <c r="J570" i="2"/>
  <c r="I570" i="2"/>
  <c r="H570" i="2"/>
  <c r="L570" i="2" s="1"/>
  <c r="G570" i="2"/>
  <c r="M570" i="2" s="1"/>
  <c r="F570" i="2"/>
  <c r="J569" i="2"/>
  <c r="I569" i="2"/>
  <c r="H569" i="2"/>
  <c r="L569" i="2" s="1"/>
  <c r="G569" i="2"/>
  <c r="M569" i="2" s="1"/>
  <c r="F569" i="2"/>
  <c r="J568" i="2"/>
  <c r="I568" i="2"/>
  <c r="H568" i="2"/>
  <c r="L568" i="2" s="1"/>
  <c r="G568" i="2"/>
  <c r="M568" i="2" s="1"/>
  <c r="F568" i="2"/>
  <c r="J567" i="2"/>
  <c r="I567" i="2"/>
  <c r="H567" i="2"/>
  <c r="L567" i="2" s="1"/>
  <c r="G567" i="2"/>
  <c r="M567" i="2" s="1"/>
  <c r="F567" i="2"/>
  <c r="J566" i="2"/>
  <c r="I566" i="2"/>
  <c r="H566" i="2"/>
  <c r="L566" i="2" s="1"/>
  <c r="G566" i="2"/>
  <c r="M566" i="2" s="1"/>
  <c r="F566" i="2"/>
  <c r="J565" i="2"/>
  <c r="I565" i="2"/>
  <c r="H565" i="2"/>
  <c r="L565" i="2" s="1"/>
  <c r="G565" i="2"/>
  <c r="M565" i="2" s="1"/>
  <c r="F565" i="2"/>
  <c r="J564" i="2"/>
  <c r="I564" i="2"/>
  <c r="H564" i="2"/>
  <c r="L564" i="2" s="1"/>
  <c r="G564" i="2"/>
  <c r="M564" i="2" s="1"/>
  <c r="F564" i="2"/>
  <c r="J563" i="2"/>
  <c r="I563" i="2"/>
  <c r="H563" i="2"/>
  <c r="L563" i="2" s="1"/>
  <c r="G563" i="2"/>
  <c r="M563" i="2" s="1"/>
  <c r="F563" i="2"/>
  <c r="J562" i="2"/>
  <c r="I562" i="2"/>
  <c r="H562" i="2"/>
  <c r="L562" i="2" s="1"/>
  <c r="G562" i="2"/>
  <c r="M562" i="2" s="1"/>
  <c r="F562" i="2"/>
  <c r="J561" i="2"/>
  <c r="I561" i="2"/>
  <c r="H561" i="2"/>
  <c r="L561" i="2" s="1"/>
  <c r="G561" i="2"/>
  <c r="M561" i="2" s="1"/>
  <c r="F561" i="2"/>
  <c r="J560" i="2"/>
  <c r="I560" i="2"/>
  <c r="H560" i="2"/>
  <c r="L560" i="2" s="1"/>
  <c r="G560" i="2"/>
  <c r="M560" i="2" s="1"/>
  <c r="F560" i="2"/>
  <c r="J559" i="2"/>
  <c r="I559" i="2"/>
  <c r="H559" i="2"/>
  <c r="L559" i="2" s="1"/>
  <c r="G559" i="2"/>
  <c r="M559" i="2" s="1"/>
  <c r="F559" i="2"/>
  <c r="J558" i="2"/>
  <c r="I558" i="2"/>
  <c r="H558" i="2"/>
  <c r="L558" i="2" s="1"/>
  <c r="G558" i="2"/>
  <c r="M558" i="2" s="1"/>
  <c r="F558" i="2"/>
  <c r="J557" i="2"/>
  <c r="I557" i="2"/>
  <c r="H557" i="2"/>
  <c r="L557" i="2" s="1"/>
  <c r="G557" i="2"/>
  <c r="M557" i="2" s="1"/>
  <c r="F557" i="2"/>
  <c r="J556" i="2"/>
  <c r="I556" i="2"/>
  <c r="H556" i="2"/>
  <c r="L556" i="2" s="1"/>
  <c r="G556" i="2"/>
  <c r="M556" i="2" s="1"/>
  <c r="F556" i="2"/>
  <c r="J555" i="2"/>
  <c r="I555" i="2"/>
  <c r="H555" i="2"/>
  <c r="L555" i="2" s="1"/>
  <c r="G555" i="2"/>
  <c r="M555" i="2" s="1"/>
  <c r="F555" i="2"/>
  <c r="J554" i="2"/>
  <c r="I554" i="2"/>
  <c r="H554" i="2"/>
  <c r="L554" i="2" s="1"/>
  <c r="G554" i="2"/>
  <c r="M554" i="2" s="1"/>
  <c r="F554" i="2"/>
  <c r="J553" i="2"/>
  <c r="I553" i="2"/>
  <c r="H553" i="2"/>
  <c r="L553" i="2" s="1"/>
  <c r="G553" i="2"/>
  <c r="M553" i="2" s="1"/>
  <c r="F553" i="2"/>
  <c r="J552" i="2"/>
  <c r="I552" i="2"/>
  <c r="H552" i="2"/>
  <c r="L552" i="2" s="1"/>
  <c r="G552" i="2"/>
  <c r="M552" i="2" s="1"/>
  <c r="F552" i="2"/>
  <c r="J551" i="2"/>
  <c r="I551" i="2"/>
  <c r="H551" i="2"/>
  <c r="L551" i="2" s="1"/>
  <c r="G551" i="2"/>
  <c r="M551" i="2" s="1"/>
  <c r="F551" i="2"/>
  <c r="J550" i="2"/>
  <c r="I550" i="2"/>
  <c r="H550" i="2"/>
  <c r="L550" i="2" s="1"/>
  <c r="G550" i="2"/>
  <c r="M550" i="2" s="1"/>
  <c r="F550" i="2"/>
  <c r="J549" i="2"/>
  <c r="I549" i="2"/>
  <c r="H549" i="2"/>
  <c r="L549" i="2" s="1"/>
  <c r="G549" i="2"/>
  <c r="M549" i="2" s="1"/>
  <c r="F549" i="2"/>
  <c r="J548" i="2"/>
  <c r="I548" i="2"/>
  <c r="H548" i="2"/>
  <c r="L548" i="2" s="1"/>
  <c r="G548" i="2"/>
  <c r="M548" i="2" s="1"/>
  <c r="F548" i="2"/>
  <c r="J547" i="2"/>
  <c r="I547" i="2"/>
  <c r="H547" i="2"/>
  <c r="L547" i="2" s="1"/>
  <c r="G547" i="2"/>
  <c r="M547" i="2" s="1"/>
  <c r="F547" i="2"/>
  <c r="J546" i="2"/>
  <c r="I546" i="2"/>
  <c r="H546" i="2"/>
  <c r="L546" i="2" s="1"/>
  <c r="G546" i="2"/>
  <c r="M546" i="2" s="1"/>
  <c r="F546" i="2"/>
  <c r="J545" i="2"/>
  <c r="I545" i="2"/>
  <c r="H545" i="2"/>
  <c r="L545" i="2" s="1"/>
  <c r="G545" i="2"/>
  <c r="M545" i="2" s="1"/>
  <c r="F545" i="2"/>
  <c r="J544" i="2"/>
  <c r="I544" i="2"/>
  <c r="H544" i="2"/>
  <c r="L544" i="2" s="1"/>
  <c r="G544" i="2"/>
  <c r="M544" i="2" s="1"/>
  <c r="F544" i="2"/>
  <c r="J543" i="2"/>
  <c r="I543" i="2"/>
  <c r="H543" i="2"/>
  <c r="L543" i="2" s="1"/>
  <c r="G543" i="2"/>
  <c r="M543" i="2" s="1"/>
  <c r="F543" i="2"/>
  <c r="J542" i="2"/>
  <c r="I542" i="2"/>
  <c r="H542" i="2"/>
  <c r="L542" i="2" s="1"/>
  <c r="G542" i="2"/>
  <c r="M542" i="2" s="1"/>
  <c r="F542" i="2"/>
  <c r="J541" i="2"/>
  <c r="I541" i="2"/>
  <c r="H541" i="2"/>
  <c r="L541" i="2" s="1"/>
  <c r="G541" i="2"/>
  <c r="M541" i="2" s="1"/>
  <c r="F541" i="2"/>
  <c r="J540" i="2"/>
  <c r="I540" i="2"/>
  <c r="H540" i="2"/>
  <c r="L540" i="2" s="1"/>
  <c r="G540" i="2"/>
  <c r="M540" i="2" s="1"/>
  <c r="F540" i="2"/>
  <c r="J539" i="2"/>
  <c r="I539" i="2"/>
  <c r="H539" i="2"/>
  <c r="L539" i="2" s="1"/>
  <c r="G539" i="2"/>
  <c r="M539" i="2" s="1"/>
  <c r="F539" i="2"/>
  <c r="J538" i="2"/>
  <c r="I538" i="2"/>
  <c r="H538" i="2"/>
  <c r="L538" i="2" s="1"/>
  <c r="G538" i="2"/>
  <c r="M538" i="2" s="1"/>
  <c r="F538" i="2"/>
  <c r="J537" i="2"/>
  <c r="I537" i="2"/>
  <c r="H537" i="2"/>
  <c r="L537" i="2" s="1"/>
  <c r="G537" i="2"/>
  <c r="M537" i="2" s="1"/>
  <c r="F537" i="2"/>
  <c r="J536" i="2"/>
  <c r="I536" i="2"/>
  <c r="H536" i="2"/>
  <c r="L536" i="2" s="1"/>
  <c r="G536" i="2"/>
  <c r="M536" i="2" s="1"/>
  <c r="F536" i="2"/>
  <c r="J535" i="2"/>
  <c r="I535" i="2"/>
  <c r="H535" i="2"/>
  <c r="L535" i="2" s="1"/>
  <c r="G535" i="2"/>
  <c r="M535" i="2" s="1"/>
  <c r="F535" i="2"/>
  <c r="J534" i="2"/>
  <c r="I534" i="2"/>
  <c r="H534" i="2"/>
  <c r="L534" i="2" s="1"/>
  <c r="G534" i="2"/>
  <c r="M534" i="2" s="1"/>
  <c r="F534" i="2"/>
  <c r="J533" i="2"/>
  <c r="I533" i="2"/>
  <c r="H533" i="2"/>
  <c r="L533" i="2" s="1"/>
  <c r="G533" i="2"/>
  <c r="M533" i="2" s="1"/>
  <c r="F533" i="2"/>
  <c r="J532" i="2"/>
  <c r="I532" i="2"/>
  <c r="H532" i="2"/>
  <c r="L532" i="2" s="1"/>
  <c r="G532" i="2"/>
  <c r="M532" i="2" s="1"/>
  <c r="F532" i="2"/>
  <c r="J531" i="2"/>
  <c r="I531" i="2"/>
  <c r="H531" i="2"/>
  <c r="L531" i="2" s="1"/>
  <c r="G531" i="2"/>
  <c r="M531" i="2" s="1"/>
  <c r="F531" i="2"/>
  <c r="J530" i="2"/>
  <c r="I530" i="2"/>
  <c r="H530" i="2"/>
  <c r="L530" i="2" s="1"/>
  <c r="G530" i="2"/>
  <c r="M530" i="2" s="1"/>
  <c r="F530" i="2"/>
  <c r="J529" i="2"/>
  <c r="I529" i="2"/>
  <c r="H529" i="2"/>
  <c r="L529" i="2" s="1"/>
  <c r="G529" i="2"/>
  <c r="M529" i="2" s="1"/>
  <c r="F529" i="2"/>
  <c r="J528" i="2"/>
  <c r="I528" i="2"/>
  <c r="H528" i="2"/>
  <c r="L528" i="2" s="1"/>
  <c r="G528" i="2"/>
  <c r="M528" i="2" s="1"/>
  <c r="F528" i="2"/>
  <c r="J527" i="2"/>
  <c r="I527" i="2"/>
  <c r="H527" i="2"/>
  <c r="L527" i="2" s="1"/>
  <c r="G527" i="2"/>
  <c r="M527" i="2" s="1"/>
  <c r="F527" i="2"/>
  <c r="J526" i="2"/>
  <c r="I526" i="2"/>
  <c r="H526" i="2"/>
  <c r="L526" i="2" s="1"/>
  <c r="G526" i="2"/>
  <c r="M526" i="2" s="1"/>
  <c r="F526" i="2"/>
  <c r="J525" i="2"/>
  <c r="I525" i="2"/>
  <c r="H525" i="2"/>
  <c r="L525" i="2" s="1"/>
  <c r="G525" i="2"/>
  <c r="M525" i="2" s="1"/>
  <c r="F525" i="2"/>
  <c r="J524" i="2"/>
  <c r="I524" i="2"/>
  <c r="H524" i="2"/>
  <c r="L524" i="2" s="1"/>
  <c r="G524" i="2"/>
  <c r="M524" i="2" s="1"/>
  <c r="F524" i="2"/>
  <c r="J523" i="2"/>
  <c r="I523" i="2"/>
  <c r="H523" i="2"/>
  <c r="L523" i="2" s="1"/>
  <c r="G523" i="2"/>
  <c r="M523" i="2" s="1"/>
  <c r="F523" i="2"/>
  <c r="J522" i="2"/>
  <c r="I522" i="2"/>
  <c r="H522" i="2"/>
  <c r="L522" i="2" s="1"/>
  <c r="G522" i="2"/>
  <c r="M522" i="2" s="1"/>
  <c r="F522" i="2"/>
  <c r="J521" i="2"/>
  <c r="I521" i="2"/>
  <c r="H521" i="2"/>
  <c r="L521" i="2" s="1"/>
  <c r="G521" i="2"/>
  <c r="M521" i="2" s="1"/>
  <c r="F521" i="2"/>
  <c r="J520" i="2"/>
  <c r="I520" i="2"/>
  <c r="H520" i="2"/>
  <c r="L520" i="2" s="1"/>
  <c r="G520" i="2"/>
  <c r="M520" i="2" s="1"/>
  <c r="F520" i="2"/>
  <c r="J519" i="2"/>
  <c r="I519" i="2"/>
  <c r="H519" i="2"/>
  <c r="L519" i="2" s="1"/>
  <c r="G519" i="2"/>
  <c r="M519" i="2" s="1"/>
  <c r="F519" i="2"/>
  <c r="J518" i="2"/>
  <c r="I518" i="2"/>
  <c r="H518" i="2"/>
  <c r="L518" i="2" s="1"/>
  <c r="G518" i="2"/>
  <c r="M518" i="2" s="1"/>
  <c r="F518" i="2"/>
  <c r="J517" i="2"/>
  <c r="I517" i="2"/>
  <c r="H517" i="2"/>
  <c r="L517" i="2" s="1"/>
  <c r="G517" i="2"/>
  <c r="M517" i="2" s="1"/>
  <c r="F517" i="2"/>
  <c r="J516" i="2"/>
  <c r="I516" i="2"/>
  <c r="H516" i="2"/>
  <c r="L516" i="2" s="1"/>
  <c r="G516" i="2"/>
  <c r="M516" i="2" s="1"/>
  <c r="F516" i="2"/>
  <c r="J515" i="2"/>
  <c r="I515" i="2"/>
  <c r="H515" i="2"/>
  <c r="L515" i="2" s="1"/>
  <c r="G515" i="2"/>
  <c r="M515" i="2" s="1"/>
  <c r="F515" i="2"/>
  <c r="J514" i="2"/>
  <c r="I514" i="2"/>
  <c r="H514" i="2"/>
  <c r="L514" i="2" s="1"/>
  <c r="G514" i="2"/>
  <c r="M514" i="2" s="1"/>
  <c r="F514" i="2"/>
  <c r="J513" i="2"/>
  <c r="I513" i="2"/>
  <c r="H513" i="2"/>
  <c r="L513" i="2" s="1"/>
  <c r="G513" i="2"/>
  <c r="M513" i="2" s="1"/>
  <c r="F513" i="2"/>
  <c r="J512" i="2"/>
  <c r="I512" i="2"/>
  <c r="H512" i="2"/>
  <c r="L512" i="2" s="1"/>
  <c r="G512" i="2"/>
  <c r="M512" i="2" s="1"/>
  <c r="F512" i="2"/>
  <c r="J511" i="2"/>
  <c r="I511" i="2"/>
  <c r="H511" i="2"/>
  <c r="L511" i="2" s="1"/>
  <c r="G511" i="2"/>
  <c r="M511" i="2" s="1"/>
  <c r="F511" i="2"/>
  <c r="J510" i="2"/>
  <c r="I510" i="2"/>
  <c r="H510" i="2"/>
  <c r="L510" i="2" s="1"/>
  <c r="G510" i="2"/>
  <c r="M510" i="2" s="1"/>
  <c r="F510" i="2"/>
  <c r="J509" i="2"/>
  <c r="I509" i="2"/>
  <c r="H509" i="2"/>
  <c r="L509" i="2" s="1"/>
  <c r="G509" i="2"/>
  <c r="M509" i="2" s="1"/>
  <c r="F509" i="2"/>
  <c r="J508" i="2"/>
  <c r="I508" i="2"/>
  <c r="H508" i="2"/>
  <c r="L508" i="2" s="1"/>
  <c r="G508" i="2"/>
  <c r="M508" i="2" s="1"/>
  <c r="F508" i="2"/>
  <c r="J507" i="2"/>
  <c r="I507" i="2"/>
  <c r="H507" i="2"/>
  <c r="L507" i="2" s="1"/>
  <c r="G507" i="2"/>
  <c r="M507" i="2" s="1"/>
  <c r="F507" i="2"/>
  <c r="J506" i="2"/>
  <c r="I506" i="2"/>
  <c r="H506" i="2"/>
  <c r="L506" i="2" s="1"/>
  <c r="G506" i="2"/>
  <c r="M506" i="2" s="1"/>
  <c r="F506" i="2"/>
  <c r="J505" i="2"/>
  <c r="I505" i="2"/>
  <c r="H505" i="2"/>
  <c r="L505" i="2" s="1"/>
  <c r="G505" i="2"/>
  <c r="M505" i="2" s="1"/>
  <c r="F505" i="2"/>
  <c r="J504" i="2"/>
  <c r="I504" i="2"/>
  <c r="H504" i="2"/>
  <c r="L504" i="2" s="1"/>
  <c r="G504" i="2"/>
  <c r="M504" i="2" s="1"/>
  <c r="F504" i="2"/>
  <c r="J503" i="2"/>
  <c r="I503" i="2"/>
  <c r="H503" i="2"/>
  <c r="L503" i="2" s="1"/>
  <c r="G503" i="2"/>
  <c r="M503" i="2" s="1"/>
  <c r="F503" i="2"/>
  <c r="J502" i="2"/>
  <c r="I502" i="2"/>
  <c r="H502" i="2"/>
  <c r="L502" i="2" s="1"/>
  <c r="G502" i="2"/>
  <c r="M502" i="2" s="1"/>
  <c r="F502" i="2"/>
  <c r="J501" i="2"/>
  <c r="I501" i="2"/>
  <c r="H501" i="2"/>
  <c r="L501" i="2" s="1"/>
  <c r="G501" i="2"/>
  <c r="M501" i="2" s="1"/>
  <c r="F501" i="2"/>
  <c r="J500" i="2"/>
  <c r="I500" i="2"/>
  <c r="H500" i="2"/>
  <c r="L500" i="2" s="1"/>
  <c r="G500" i="2"/>
  <c r="M500" i="2" s="1"/>
  <c r="F500" i="2"/>
  <c r="J499" i="2"/>
  <c r="I499" i="2"/>
  <c r="H499" i="2"/>
  <c r="L499" i="2" s="1"/>
  <c r="G499" i="2"/>
  <c r="M499" i="2" s="1"/>
  <c r="F499" i="2"/>
  <c r="J498" i="2"/>
  <c r="I498" i="2"/>
  <c r="H498" i="2"/>
  <c r="L498" i="2" s="1"/>
  <c r="G498" i="2"/>
  <c r="M498" i="2" s="1"/>
  <c r="F498" i="2"/>
  <c r="J497" i="2"/>
  <c r="I497" i="2"/>
  <c r="H497" i="2"/>
  <c r="L497" i="2" s="1"/>
  <c r="G497" i="2"/>
  <c r="M497" i="2" s="1"/>
  <c r="F497" i="2"/>
  <c r="J496" i="2"/>
  <c r="I496" i="2"/>
  <c r="H496" i="2"/>
  <c r="L496" i="2" s="1"/>
  <c r="G496" i="2"/>
  <c r="M496" i="2" s="1"/>
  <c r="F496" i="2"/>
  <c r="J495" i="2"/>
  <c r="I495" i="2"/>
  <c r="H495" i="2"/>
  <c r="L495" i="2" s="1"/>
  <c r="G495" i="2"/>
  <c r="M495" i="2" s="1"/>
  <c r="F495" i="2"/>
  <c r="J494" i="2"/>
  <c r="I494" i="2"/>
  <c r="H494" i="2"/>
  <c r="L494" i="2" s="1"/>
  <c r="G494" i="2"/>
  <c r="M494" i="2" s="1"/>
  <c r="F494" i="2"/>
  <c r="J493" i="2"/>
  <c r="I493" i="2"/>
  <c r="H493" i="2"/>
  <c r="L493" i="2" s="1"/>
  <c r="G493" i="2"/>
  <c r="M493" i="2" s="1"/>
  <c r="F493" i="2"/>
  <c r="J492" i="2"/>
  <c r="I492" i="2"/>
  <c r="H492" i="2"/>
  <c r="L492" i="2" s="1"/>
  <c r="G492" i="2"/>
  <c r="M492" i="2" s="1"/>
  <c r="F492" i="2"/>
  <c r="J491" i="2"/>
  <c r="I491" i="2"/>
  <c r="H491" i="2"/>
  <c r="L491" i="2" s="1"/>
  <c r="G491" i="2"/>
  <c r="M491" i="2" s="1"/>
  <c r="F491" i="2"/>
  <c r="J490" i="2"/>
  <c r="I490" i="2"/>
  <c r="H490" i="2"/>
  <c r="L490" i="2" s="1"/>
  <c r="G490" i="2"/>
  <c r="M490" i="2" s="1"/>
  <c r="F490" i="2"/>
  <c r="J489" i="2"/>
  <c r="I489" i="2"/>
  <c r="H489" i="2"/>
  <c r="L489" i="2" s="1"/>
  <c r="G489" i="2"/>
  <c r="M489" i="2" s="1"/>
  <c r="F489" i="2"/>
  <c r="J488" i="2"/>
  <c r="I488" i="2"/>
  <c r="H488" i="2"/>
  <c r="L488" i="2" s="1"/>
  <c r="G488" i="2"/>
  <c r="M488" i="2" s="1"/>
  <c r="F488" i="2"/>
  <c r="J487" i="2"/>
  <c r="I487" i="2"/>
  <c r="H487" i="2"/>
  <c r="L487" i="2" s="1"/>
  <c r="G487" i="2"/>
  <c r="M487" i="2" s="1"/>
  <c r="F487" i="2"/>
  <c r="J486" i="2"/>
  <c r="I486" i="2"/>
  <c r="H486" i="2"/>
  <c r="L486" i="2" s="1"/>
  <c r="G486" i="2"/>
  <c r="M486" i="2" s="1"/>
  <c r="F486" i="2"/>
  <c r="J485" i="2"/>
  <c r="I485" i="2"/>
  <c r="H485" i="2"/>
  <c r="L485" i="2" s="1"/>
  <c r="G485" i="2"/>
  <c r="M485" i="2" s="1"/>
  <c r="F485" i="2"/>
  <c r="J484" i="2"/>
  <c r="I484" i="2"/>
  <c r="H484" i="2"/>
  <c r="L484" i="2" s="1"/>
  <c r="G484" i="2"/>
  <c r="M484" i="2" s="1"/>
  <c r="F484" i="2"/>
  <c r="J483" i="2"/>
  <c r="I483" i="2"/>
  <c r="H483" i="2"/>
  <c r="L483" i="2" s="1"/>
  <c r="G483" i="2"/>
  <c r="M483" i="2" s="1"/>
  <c r="F483" i="2"/>
  <c r="J482" i="2"/>
  <c r="I482" i="2"/>
  <c r="H482" i="2"/>
  <c r="L482" i="2" s="1"/>
  <c r="G482" i="2"/>
  <c r="M482" i="2" s="1"/>
  <c r="F482" i="2"/>
  <c r="J481" i="2"/>
  <c r="I481" i="2"/>
  <c r="H481" i="2"/>
  <c r="L481" i="2" s="1"/>
  <c r="G481" i="2"/>
  <c r="M481" i="2" s="1"/>
  <c r="F481" i="2"/>
  <c r="J480" i="2"/>
  <c r="I480" i="2"/>
  <c r="H480" i="2"/>
  <c r="L480" i="2" s="1"/>
  <c r="G480" i="2"/>
  <c r="M480" i="2" s="1"/>
  <c r="F480" i="2"/>
  <c r="J479" i="2"/>
  <c r="I479" i="2"/>
  <c r="H479" i="2"/>
  <c r="L479" i="2" s="1"/>
  <c r="G479" i="2"/>
  <c r="M479" i="2" s="1"/>
  <c r="F479" i="2"/>
  <c r="J478" i="2"/>
  <c r="I478" i="2"/>
  <c r="H478" i="2"/>
  <c r="L478" i="2" s="1"/>
  <c r="G478" i="2"/>
  <c r="M478" i="2" s="1"/>
  <c r="F478" i="2"/>
  <c r="J477" i="2"/>
  <c r="I477" i="2"/>
  <c r="H477" i="2"/>
  <c r="L477" i="2" s="1"/>
  <c r="G477" i="2"/>
  <c r="M477" i="2" s="1"/>
  <c r="F477" i="2"/>
  <c r="J476" i="2"/>
  <c r="I476" i="2"/>
  <c r="H476" i="2"/>
  <c r="L476" i="2" s="1"/>
  <c r="G476" i="2"/>
  <c r="M476" i="2" s="1"/>
  <c r="F476" i="2"/>
  <c r="J475" i="2"/>
  <c r="I475" i="2"/>
  <c r="H475" i="2"/>
  <c r="L475" i="2" s="1"/>
  <c r="G475" i="2"/>
  <c r="M475" i="2" s="1"/>
  <c r="F475" i="2"/>
  <c r="J474" i="2"/>
  <c r="I474" i="2"/>
  <c r="H474" i="2"/>
  <c r="L474" i="2" s="1"/>
  <c r="G474" i="2"/>
  <c r="M474" i="2" s="1"/>
  <c r="F474" i="2"/>
  <c r="J473" i="2"/>
  <c r="I473" i="2"/>
  <c r="H473" i="2"/>
  <c r="L473" i="2" s="1"/>
  <c r="G473" i="2"/>
  <c r="M473" i="2" s="1"/>
  <c r="F473" i="2"/>
  <c r="J472" i="2"/>
  <c r="I472" i="2"/>
  <c r="H472" i="2"/>
  <c r="L472" i="2" s="1"/>
  <c r="G472" i="2"/>
  <c r="M472" i="2" s="1"/>
  <c r="F472" i="2"/>
  <c r="J471" i="2"/>
  <c r="I471" i="2"/>
  <c r="H471" i="2"/>
  <c r="L471" i="2" s="1"/>
  <c r="G471" i="2"/>
  <c r="M471" i="2" s="1"/>
  <c r="F471" i="2"/>
  <c r="J470" i="2"/>
  <c r="I470" i="2"/>
  <c r="H470" i="2"/>
  <c r="L470" i="2" s="1"/>
  <c r="G470" i="2"/>
  <c r="M470" i="2" s="1"/>
  <c r="F470" i="2"/>
  <c r="J469" i="2"/>
  <c r="I469" i="2"/>
  <c r="H469" i="2"/>
  <c r="L469" i="2" s="1"/>
  <c r="G469" i="2"/>
  <c r="M469" i="2" s="1"/>
  <c r="F469" i="2"/>
  <c r="J468" i="2"/>
  <c r="I468" i="2"/>
  <c r="H468" i="2"/>
  <c r="L468" i="2" s="1"/>
  <c r="G468" i="2"/>
  <c r="M468" i="2" s="1"/>
  <c r="F468" i="2"/>
  <c r="J467" i="2"/>
  <c r="I467" i="2"/>
  <c r="H467" i="2"/>
  <c r="L467" i="2" s="1"/>
  <c r="G467" i="2"/>
  <c r="M467" i="2" s="1"/>
  <c r="F467" i="2"/>
  <c r="J466" i="2"/>
  <c r="I466" i="2"/>
  <c r="H466" i="2"/>
  <c r="L466" i="2" s="1"/>
  <c r="G466" i="2"/>
  <c r="M466" i="2" s="1"/>
  <c r="F466" i="2"/>
  <c r="J465" i="2"/>
  <c r="I465" i="2"/>
  <c r="H465" i="2"/>
  <c r="L465" i="2" s="1"/>
  <c r="G465" i="2"/>
  <c r="M465" i="2" s="1"/>
  <c r="F465" i="2"/>
  <c r="J464" i="2"/>
  <c r="I464" i="2"/>
  <c r="H464" i="2"/>
  <c r="L464" i="2" s="1"/>
  <c r="G464" i="2"/>
  <c r="M464" i="2" s="1"/>
  <c r="F464" i="2"/>
  <c r="J463" i="2"/>
  <c r="I463" i="2"/>
  <c r="H463" i="2"/>
  <c r="L463" i="2" s="1"/>
  <c r="G463" i="2"/>
  <c r="M463" i="2" s="1"/>
  <c r="F463" i="2"/>
  <c r="J462" i="2"/>
  <c r="I462" i="2"/>
  <c r="H462" i="2"/>
  <c r="L462" i="2" s="1"/>
  <c r="G462" i="2"/>
  <c r="M462" i="2" s="1"/>
  <c r="F462" i="2"/>
  <c r="J461" i="2"/>
  <c r="I461" i="2"/>
  <c r="H461" i="2"/>
  <c r="L461" i="2" s="1"/>
  <c r="G461" i="2"/>
  <c r="M461" i="2" s="1"/>
  <c r="F461" i="2"/>
  <c r="J460" i="2"/>
  <c r="I460" i="2"/>
  <c r="H460" i="2"/>
  <c r="L460" i="2" s="1"/>
  <c r="G460" i="2"/>
  <c r="M460" i="2" s="1"/>
  <c r="F460" i="2"/>
  <c r="J459" i="2"/>
  <c r="I459" i="2"/>
  <c r="H459" i="2"/>
  <c r="L459" i="2" s="1"/>
  <c r="G459" i="2"/>
  <c r="M459" i="2" s="1"/>
  <c r="F459" i="2"/>
  <c r="J458" i="2"/>
  <c r="I458" i="2"/>
  <c r="H458" i="2"/>
  <c r="L458" i="2" s="1"/>
  <c r="G458" i="2"/>
  <c r="M458" i="2" s="1"/>
  <c r="F458" i="2"/>
  <c r="J457" i="2"/>
  <c r="I457" i="2"/>
  <c r="H457" i="2"/>
  <c r="L457" i="2" s="1"/>
  <c r="G457" i="2"/>
  <c r="M457" i="2" s="1"/>
  <c r="F457" i="2"/>
  <c r="J456" i="2"/>
  <c r="I456" i="2"/>
  <c r="H456" i="2"/>
  <c r="L456" i="2" s="1"/>
  <c r="G456" i="2"/>
  <c r="M456" i="2" s="1"/>
  <c r="F456" i="2"/>
  <c r="J455" i="2"/>
  <c r="I455" i="2"/>
  <c r="H455" i="2"/>
  <c r="L455" i="2" s="1"/>
  <c r="G455" i="2"/>
  <c r="M455" i="2" s="1"/>
  <c r="F455" i="2"/>
  <c r="J454" i="2"/>
  <c r="I454" i="2"/>
  <c r="H454" i="2"/>
  <c r="L454" i="2" s="1"/>
  <c r="G454" i="2"/>
  <c r="M454" i="2" s="1"/>
  <c r="F454" i="2"/>
  <c r="J453" i="2"/>
  <c r="I453" i="2"/>
  <c r="H453" i="2"/>
  <c r="L453" i="2" s="1"/>
  <c r="G453" i="2"/>
  <c r="M453" i="2" s="1"/>
  <c r="F453" i="2"/>
  <c r="J452" i="2"/>
  <c r="I452" i="2"/>
  <c r="H452" i="2"/>
  <c r="L452" i="2" s="1"/>
  <c r="G452" i="2"/>
  <c r="M452" i="2" s="1"/>
  <c r="F452" i="2"/>
  <c r="J451" i="2"/>
  <c r="I451" i="2"/>
  <c r="H451" i="2"/>
  <c r="L451" i="2" s="1"/>
  <c r="G451" i="2"/>
  <c r="M451" i="2" s="1"/>
  <c r="F451" i="2"/>
  <c r="J450" i="2"/>
  <c r="I450" i="2"/>
  <c r="H450" i="2"/>
  <c r="L450" i="2" s="1"/>
  <c r="G450" i="2"/>
  <c r="M450" i="2" s="1"/>
  <c r="F450" i="2"/>
  <c r="J449" i="2"/>
  <c r="I449" i="2"/>
  <c r="H449" i="2"/>
  <c r="L449" i="2" s="1"/>
  <c r="G449" i="2"/>
  <c r="M449" i="2" s="1"/>
  <c r="F449" i="2"/>
  <c r="J448" i="2"/>
  <c r="I448" i="2"/>
  <c r="H448" i="2"/>
  <c r="L448" i="2" s="1"/>
  <c r="G448" i="2"/>
  <c r="M448" i="2" s="1"/>
  <c r="F448" i="2"/>
  <c r="J447" i="2"/>
  <c r="I447" i="2"/>
  <c r="H447" i="2"/>
  <c r="L447" i="2" s="1"/>
  <c r="G447" i="2"/>
  <c r="M447" i="2" s="1"/>
  <c r="F447" i="2"/>
  <c r="J446" i="2"/>
  <c r="I446" i="2"/>
  <c r="H446" i="2"/>
  <c r="L446" i="2" s="1"/>
  <c r="G446" i="2"/>
  <c r="M446" i="2" s="1"/>
  <c r="F446" i="2"/>
  <c r="J445" i="2"/>
  <c r="I445" i="2"/>
  <c r="H445" i="2"/>
  <c r="L445" i="2" s="1"/>
  <c r="G445" i="2"/>
  <c r="M445" i="2" s="1"/>
  <c r="F445" i="2"/>
  <c r="J444" i="2"/>
  <c r="I444" i="2"/>
  <c r="H444" i="2"/>
  <c r="L444" i="2" s="1"/>
  <c r="G444" i="2"/>
  <c r="M444" i="2" s="1"/>
  <c r="F444" i="2"/>
  <c r="J443" i="2"/>
  <c r="I443" i="2"/>
  <c r="H443" i="2"/>
  <c r="L443" i="2" s="1"/>
  <c r="G443" i="2"/>
  <c r="M443" i="2" s="1"/>
  <c r="F443" i="2"/>
  <c r="J442" i="2"/>
  <c r="I442" i="2"/>
  <c r="H442" i="2"/>
  <c r="L442" i="2" s="1"/>
  <c r="G442" i="2"/>
  <c r="M442" i="2" s="1"/>
  <c r="F442" i="2"/>
  <c r="J441" i="2"/>
  <c r="I441" i="2"/>
  <c r="H441" i="2"/>
  <c r="L441" i="2" s="1"/>
  <c r="G441" i="2"/>
  <c r="M441" i="2" s="1"/>
  <c r="F441" i="2"/>
  <c r="J440" i="2"/>
  <c r="I440" i="2"/>
  <c r="H440" i="2"/>
  <c r="L440" i="2" s="1"/>
  <c r="G440" i="2"/>
  <c r="M440" i="2" s="1"/>
  <c r="F440" i="2"/>
  <c r="J439" i="2"/>
  <c r="I439" i="2"/>
  <c r="H439" i="2"/>
  <c r="L439" i="2" s="1"/>
  <c r="G439" i="2"/>
  <c r="M439" i="2" s="1"/>
  <c r="F439" i="2"/>
  <c r="J438" i="2"/>
  <c r="I438" i="2"/>
  <c r="H438" i="2"/>
  <c r="L438" i="2" s="1"/>
  <c r="G438" i="2"/>
  <c r="M438" i="2" s="1"/>
  <c r="F438" i="2"/>
  <c r="J437" i="2"/>
  <c r="I437" i="2"/>
  <c r="H437" i="2"/>
  <c r="L437" i="2" s="1"/>
  <c r="G437" i="2"/>
  <c r="M437" i="2" s="1"/>
  <c r="F437" i="2"/>
  <c r="J436" i="2"/>
  <c r="I436" i="2"/>
  <c r="H436" i="2"/>
  <c r="L436" i="2" s="1"/>
  <c r="G436" i="2"/>
  <c r="M436" i="2" s="1"/>
  <c r="F436" i="2"/>
  <c r="J435" i="2"/>
  <c r="I435" i="2"/>
  <c r="H435" i="2"/>
  <c r="L435" i="2" s="1"/>
  <c r="G435" i="2"/>
  <c r="M435" i="2" s="1"/>
  <c r="F435" i="2"/>
  <c r="J434" i="2"/>
  <c r="I434" i="2"/>
  <c r="H434" i="2"/>
  <c r="L434" i="2" s="1"/>
  <c r="G434" i="2"/>
  <c r="M434" i="2" s="1"/>
  <c r="F434" i="2"/>
  <c r="J433" i="2"/>
  <c r="I433" i="2"/>
  <c r="H433" i="2"/>
  <c r="L433" i="2" s="1"/>
  <c r="G433" i="2"/>
  <c r="M433" i="2" s="1"/>
  <c r="F433" i="2"/>
  <c r="J432" i="2"/>
  <c r="I432" i="2"/>
  <c r="H432" i="2"/>
  <c r="L432" i="2" s="1"/>
  <c r="G432" i="2"/>
  <c r="M432" i="2" s="1"/>
  <c r="F432" i="2"/>
  <c r="J431" i="2"/>
  <c r="I431" i="2"/>
  <c r="H431" i="2"/>
  <c r="L431" i="2" s="1"/>
  <c r="G431" i="2"/>
  <c r="M431" i="2" s="1"/>
  <c r="F431" i="2"/>
  <c r="J430" i="2"/>
  <c r="I430" i="2"/>
  <c r="H430" i="2"/>
  <c r="L430" i="2" s="1"/>
  <c r="G430" i="2"/>
  <c r="M430" i="2" s="1"/>
  <c r="F430" i="2"/>
  <c r="J429" i="2"/>
  <c r="I429" i="2"/>
  <c r="H429" i="2"/>
  <c r="L429" i="2" s="1"/>
  <c r="G429" i="2"/>
  <c r="M429" i="2" s="1"/>
  <c r="F429" i="2"/>
  <c r="J428" i="2"/>
  <c r="I428" i="2"/>
  <c r="H428" i="2"/>
  <c r="L428" i="2" s="1"/>
  <c r="G428" i="2"/>
  <c r="M428" i="2" s="1"/>
  <c r="F428" i="2"/>
  <c r="J427" i="2"/>
  <c r="I427" i="2"/>
  <c r="H427" i="2"/>
  <c r="L427" i="2" s="1"/>
  <c r="G427" i="2"/>
  <c r="M427" i="2" s="1"/>
  <c r="F427" i="2"/>
  <c r="J426" i="2"/>
  <c r="I426" i="2"/>
  <c r="H426" i="2"/>
  <c r="L426" i="2" s="1"/>
  <c r="G426" i="2"/>
  <c r="M426" i="2" s="1"/>
  <c r="F426" i="2"/>
  <c r="J425" i="2"/>
  <c r="I425" i="2"/>
  <c r="H425" i="2"/>
  <c r="L425" i="2" s="1"/>
  <c r="G425" i="2"/>
  <c r="M425" i="2" s="1"/>
  <c r="F425" i="2"/>
  <c r="J424" i="2"/>
  <c r="I424" i="2"/>
  <c r="H424" i="2"/>
  <c r="L424" i="2" s="1"/>
  <c r="G424" i="2"/>
  <c r="M424" i="2" s="1"/>
  <c r="F424" i="2"/>
  <c r="J423" i="2"/>
  <c r="I423" i="2"/>
  <c r="H423" i="2"/>
  <c r="L423" i="2" s="1"/>
  <c r="G423" i="2"/>
  <c r="M423" i="2" s="1"/>
  <c r="F423" i="2"/>
  <c r="J422" i="2"/>
  <c r="I422" i="2"/>
  <c r="H422" i="2"/>
  <c r="L422" i="2" s="1"/>
  <c r="G422" i="2"/>
  <c r="M422" i="2" s="1"/>
  <c r="F422" i="2"/>
  <c r="J421" i="2"/>
  <c r="I421" i="2"/>
  <c r="H421" i="2"/>
  <c r="L421" i="2" s="1"/>
  <c r="G421" i="2"/>
  <c r="M421" i="2" s="1"/>
  <c r="F421" i="2"/>
  <c r="J420" i="2"/>
  <c r="I420" i="2"/>
  <c r="H420" i="2"/>
  <c r="L420" i="2" s="1"/>
  <c r="G420" i="2"/>
  <c r="M420" i="2" s="1"/>
  <c r="F420" i="2"/>
  <c r="J419" i="2"/>
  <c r="I419" i="2"/>
  <c r="H419" i="2"/>
  <c r="L419" i="2" s="1"/>
  <c r="G419" i="2"/>
  <c r="M419" i="2" s="1"/>
  <c r="F419" i="2"/>
  <c r="J418" i="2"/>
  <c r="I418" i="2"/>
  <c r="H418" i="2"/>
  <c r="L418" i="2" s="1"/>
  <c r="G418" i="2"/>
  <c r="M418" i="2" s="1"/>
  <c r="F418" i="2"/>
  <c r="J417" i="2"/>
  <c r="I417" i="2"/>
  <c r="H417" i="2"/>
  <c r="L417" i="2" s="1"/>
  <c r="G417" i="2"/>
  <c r="M417" i="2" s="1"/>
  <c r="F417" i="2"/>
  <c r="J416" i="2"/>
  <c r="I416" i="2"/>
  <c r="H416" i="2"/>
  <c r="L416" i="2" s="1"/>
  <c r="G416" i="2"/>
  <c r="M416" i="2" s="1"/>
  <c r="F416" i="2"/>
  <c r="J415" i="2"/>
  <c r="I415" i="2"/>
  <c r="H415" i="2"/>
  <c r="L415" i="2" s="1"/>
  <c r="G415" i="2"/>
  <c r="M415" i="2" s="1"/>
  <c r="F415" i="2"/>
  <c r="J414" i="2"/>
  <c r="I414" i="2"/>
  <c r="H414" i="2"/>
  <c r="L414" i="2" s="1"/>
  <c r="G414" i="2"/>
  <c r="M414" i="2" s="1"/>
  <c r="F414" i="2"/>
  <c r="J413" i="2"/>
  <c r="I413" i="2"/>
  <c r="H413" i="2"/>
  <c r="L413" i="2" s="1"/>
  <c r="G413" i="2"/>
  <c r="M413" i="2" s="1"/>
  <c r="F413" i="2"/>
  <c r="J412" i="2"/>
  <c r="I412" i="2"/>
  <c r="H412" i="2"/>
  <c r="L412" i="2" s="1"/>
  <c r="G412" i="2"/>
  <c r="M412" i="2" s="1"/>
  <c r="F412" i="2"/>
  <c r="J411" i="2"/>
  <c r="I411" i="2"/>
  <c r="H411" i="2"/>
  <c r="L411" i="2" s="1"/>
  <c r="G411" i="2"/>
  <c r="M411" i="2" s="1"/>
  <c r="F411" i="2"/>
  <c r="J410" i="2"/>
  <c r="I410" i="2"/>
  <c r="H410" i="2"/>
  <c r="L410" i="2" s="1"/>
  <c r="G410" i="2"/>
  <c r="M410" i="2" s="1"/>
  <c r="F410" i="2"/>
  <c r="J409" i="2"/>
  <c r="I409" i="2"/>
  <c r="H409" i="2"/>
  <c r="L409" i="2" s="1"/>
  <c r="G409" i="2"/>
  <c r="M409" i="2" s="1"/>
  <c r="F409" i="2"/>
  <c r="J408" i="2"/>
  <c r="I408" i="2"/>
  <c r="H408" i="2"/>
  <c r="L408" i="2" s="1"/>
  <c r="G408" i="2"/>
  <c r="M408" i="2" s="1"/>
  <c r="F408" i="2"/>
  <c r="J407" i="2"/>
  <c r="I407" i="2"/>
  <c r="H407" i="2"/>
  <c r="L407" i="2" s="1"/>
  <c r="G407" i="2"/>
  <c r="M407" i="2" s="1"/>
  <c r="F407" i="2"/>
  <c r="J406" i="2"/>
  <c r="I406" i="2"/>
  <c r="H406" i="2"/>
  <c r="L406" i="2" s="1"/>
  <c r="G406" i="2"/>
  <c r="M406" i="2" s="1"/>
  <c r="F406" i="2"/>
  <c r="J405" i="2"/>
  <c r="I405" i="2"/>
  <c r="H405" i="2"/>
  <c r="L405" i="2" s="1"/>
  <c r="G405" i="2"/>
  <c r="M405" i="2" s="1"/>
  <c r="F405" i="2"/>
  <c r="J404" i="2"/>
  <c r="I404" i="2"/>
  <c r="H404" i="2"/>
  <c r="L404" i="2" s="1"/>
  <c r="G404" i="2"/>
  <c r="M404" i="2" s="1"/>
  <c r="F404" i="2"/>
  <c r="J403" i="2"/>
  <c r="I403" i="2"/>
  <c r="H403" i="2"/>
  <c r="L403" i="2" s="1"/>
  <c r="G403" i="2"/>
  <c r="M403" i="2" s="1"/>
  <c r="F403" i="2"/>
  <c r="J402" i="2"/>
  <c r="I402" i="2"/>
  <c r="H402" i="2"/>
  <c r="L402" i="2" s="1"/>
  <c r="G402" i="2"/>
  <c r="M402" i="2" s="1"/>
  <c r="F402" i="2"/>
  <c r="J401" i="2"/>
  <c r="I401" i="2"/>
  <c r="H401" i="2"/>
  <c r="L401" i="2" s="1"/>
  <c r="G401" i="2"/>
  <c r="M401" i="2" s="1"/>
  <c r="F401" i="2"/>
  <c r="J400" i="2"/>
  <c r="I400" i="2"/>
  <c r="H400" i="2"/>
  <c r="L400" i="2" s="1"/>
  <c r="G400" i="2"/>
  <c r="M400" i="2" s="1"/>
  <c r="F400" i="2"/>
  <c r="J399" i="2"/>
  <c r="I399" i="2"/>
  <c r="H399" i="2"/>
  <c r="L399" i="2" s="1"/>
  <c r="G399" i="2"/>
  <c r="M399" i="2" s="1"/>
  <c r="F399" i="2"/>
  <c r="J398" i="2"/>
  <c r="I398" i="2"/>
  <c r="H398" i="2"/>
  <c r="L398" i="2" s="1"/>
  <c r="G398" i="2"/>
  <c r="M398" i="2" s="1"/>
  <c r="F398" i="2"/>
  <c r="J397" i="2"/>
  <c r="I397" i="2"/>
  <c r="H397" i="2"/>
  <c r="L397" i="2" s="1"/>
  <c r="G397" i="2"/>
  <c r="M397" i="2" s="1"/>
  <c r="F397" i="2"/>
  <c r="J396" i="2"/>
  <c r="I396" i="2"/>
  <c r="H396" i="2"/>
  <c r="L396" i="2" s="1"/>
  <c r="G396" i="2"/>
  <c r="M396" i="2" s="1"/>
  <c r="F396" i="2"/>
  <c r="J395" i="2"/>
  <c r="I395" i="2"/>
  <c r="H395" i="2"/>
  <c r="L395" i="2" s="1"/>
  <c r="G395" i="2"/>
  <c r="M395" i="2" s="1"/>
  <c r="F395" i="2"/>
  <c r="J394" i="2"/>
  <c r="I394" i="2"/>
  <c r="H394" i="2"/>
  <c r="L394" i="2" s="1"/>
  <c r="G394" i="2"/>
  <c r="M394" i="2" s="1"/>
  <c r="F394" i="2"/>
  <c r="J393" i="2"/>
  <c r="I393" i="2"/>
  <c r="H393" i="2"/>
  <c r="L393" i="2" s="1"/>
  <c r="G393" i="2"/>
  <c r="M393" i="2" s="1"/>
  <c r="F393" i="2"/>
  <c r="J392" i="2"/>
  <c r="I392" i="2"/>
  <c r="H392" i="2"/>
  <c r="L392" i="2" s="1"/>
  <c r="G392" i="2"/>
  <c r="M392" i="2" s="1"/>
  <c r="F392" i="2"/>
  <c r="J391" i="2"/>
  <c r="I391" i="2"/>
  <c r="H391" i="2"/>
  <c r="L391" i="2" s="1"/>
  <c r="G391" i="2"/>
  <c r="M391" i="2" s="1"/>
  <c r="F391" i="2"/>
  <c r="J390" i="2"/>
  <c r="I390" i="2"/>
  <c r="H390" i="2"/>
  <c r="L390" i="2" s="1"/>
  <c r="G390" i="2"/>
  <c r="M390" i="2" s="1"/>
  <c r="F390" i="2"/>
  <c r="J389" i="2"/>
  <c r="I389" i="2"/>
  <c r="H389" i="2"/>
  <c r="L389" i="2" s="1"/>
  <c r="G389" i="2"/>
  <c r="M389" i="2" s="1"/>
  <c r="F389" i="2"/>
  <c r="J388" i="2"/>
  <c r="I388" i="2"/>
  <c r="H388" i="2"/>
  <c r="L388" i="2" s="1"/>
  <c r="G388" i="2"/>
  <c r="M388" i="2" s="1"/>
  <c r="F388" i="2"/>
  <c r="J387" i="2"/>
  <c r="I387" i="2"/>
  <c r="H387" i="2"/>
  <c r="L387" i="2" s="1"/>
  <c r="G387" i="2"/>
  <c r="M387" i="2" s="1"/>
  <c r="F387" i="2"/>
  <c r="J386" i="2"/>
  <c r="I386" i="2"/>
  <c r="H386" i="2"/>
  <c r="L386" i="2" s="1"/>
  <c r="G386" i="2"/>
  <c r="M386" i="2" s="1"/>
  <c r="F386" i="2"/>
  <c r="J385" i="2"/>
  <c r="I385" i="2"/>
  <c r="H385" i="2"/>
  <c r="L385" i="2" s="1"/>
  <c r="G385" i="2"/>
  <c r="M385" i="2" s="1"/>
  <c r="F385" i="2"/>
  <c r="J384" i="2"/>
  <c r="I384" i="2"/>
  <c r="H384" i="2"/>
  <c r="L384" i="2" s="1"/>
  <c r="G384" i="2"/>
  <c r="M384" i="2" s="1"/>
  <c r="F384" i="2"/>
  <c r="J383" i="2"/>
  <c r="I383" i="2"/>
  <c r="H383" i="2"/>
  <c r="L383" i="2" s="1"/>
  <c r="G383" i="2"/>
  <c r="M383" i="2" s="1"/>
  <c r="F383" i="2"/>
  <c r="J382" i="2"/>
  <c r="I382" i="2"/>
  <c r="H382" i="2"/>
  <c r="L382" i="2" s="1"/>
  <c r="G382" i="2"/>
  <c r="M382" i="2" s="1"/>
  <c r="F382" i="2"/>
  <c r="J381" i="2"/>
  <c r="I381" i="2"/>
  <c r="H381" i="2"/>
  <c r="L381" i="2" s="1"/>
  <c r="G381" i="2"/>
  <c r="M381" i="2" s="1"/>
  <c r="F381" i="2"/>
  <c r="J380" i="2"/>
  <c r="I380" i="2"/>
  <c r="H380" i="2"/>
  <c r="L380" i="2" s="1"/>
  <c r="G380" i="2"/>
  <c r="M380" i="2" s="1"/>
  <c r="F380" i="2"/>
  <c r="J379" i="2"/>
  <c r="I379" i="2"/>
  <c r="H379" i="2"/>
  <c r="L379" i="2" s="1"/>
  <c r="G379" i="2"/>
  <c r="M379" i="2" s="1"/>
  <c r="F379" i="2"/>
  <c r="J378" i="2"/>
  <c r="I378" i="2"/>
  <c r="H378" i="2"/>
  <c r="L378" i="2" s="1"/>
  <c r="G378" i="2"/>
  <c r="M378" i="2" s="1"/>
  <c r="F378" i="2"/>
  <c r="J377" i="2"/>
  <c r="I377" i="2"/>
  <c r="H377" i="2"/>
  <c r="L377" i="2" s="1"/>
  <c r="G377" i="2"/>
  <c r="M377" i="2" s="1"/>
  <c r="F377" i="2"/>
  <c r="J376" i="2"/>
  <c r="I376" i="2"/>
  <c r="H376" i="2"/>
  <c r="L376" i="2" s="1"/>
  <c r="G376" i="2"/>
  <c r="M376" i="2" s="1"/>
  <c r="F376" i="2"/>
  <c r="J375" i="2"/>
  <c r="I375" i="2"/>
  <c r="H375" i="2"/>
  <c r="L375" i="2" s="1"/>
  <c r="G375" i="2"/>
  <c r="M375" i="2" s="1"/>
  <c r="F375" i="2"/>
  <c r="J374" i="2"/>
  <c r="I374" i="2"/>
  <c r="H374" i="2"/>
  <c r="L374" i="2" s="1"/>
  <c r="G374" i="2"/>
  <c r="M374" i="2" s="1"/>
  <c r="F374" i="2"/>
  <c r="J373" i="2"/>
  <c r="I373" i="2"/>
  <c r="H373" i="2"/>
  <c r="L373" i="2" s="1"/>
  <c r="G373" i="2"/>
  <c r="M373" i="2" s="1"/>
  <c r="F373" i="2"/>
  <c r="J372" i="2"/>
  <c r="I372" i="2"/>
  <c r="H372" i="2"/>
  <c r="L372" i="2" s="1"/>
  <c r="G372" i="2"/>
  <c r="M372" i="2" s="1"/>
  <c r="F372" i="2"/>
  <c r="J371" i="2"/>
  <c r="I371" i="2"/>
  <c r="H371" i="2"/>
  <c r="L371" i="2" s="1"/>
  <c r="G371" i="2"/>
  <c r="M371" i="2" s="1"/>
  <c r="F371" i="2"/>
  <c r="J370" i="2"/>
  <c r="I370" i="2"/>
  <c r="H370" i="2"/>
  <c r="L370" i="2" s="1"/>
  <c r="G370" i="2"/>
  <c r="M370" i="2" s="1"/>
  <c r="F370" i="2"/>
  <c r="J369" i="2"/>
  <c r="I369" i="2"/>
  <c r="H369" i="2"/>
  <c r="L369" i="2" s="1"/>
  <c r="G369" i="2"/>
  <c r="M369" i="2" s="1"/>
  <c r="F369" i="2"/>
  <c r="J368" i="2"/>
  <c r="I368" i="2"/>
  <c r="H368" i="2"/>
  <c r="L368" i="2" s="1"/>
  <c r="G368" i="2"/>
  <c r="M368" i="2" s="1"/>
  <c r="F368" i="2"/>
  <c r="J367" i="2"/>
  <c r="I367" i="2"/>
  <c r="H367" i="2"/>
  <c r="L367" i="2" s="1"/>
  <c r="G367" i="2"/>
  <c r="M367" i="2" s="1"/>
  <c r="F367" i="2"/>
  <c r="J366" i="2"/>
  <c r="I366" i="2"/>
  <c r="H366" i="2"/>
  <c r="L366" i="2" s="1"/>
  <c r="G366" i="2"/>
  <c r="M366" i="2" s="1"/>
  <c r="F366" i="2"/>
  <c r="J365" i="2"/>
  <c r="I365" i="2"/>
  <c r="H365" i="2"/>
  <c r="L365" i="2" s="1"/>
  <c r="G365" i="2"/>
  <c r="M365" i="2" s="1"/>
  <c r="F365" i="2"/>
  <c r="J364" i="2"/>
  <c r="I364" i="2"/>
  <c r="H364" i="2"/>
  <c r="L364" i="2" s="1"/>
  <c r="G364" i="2"/>
  <c r="M364" i="2" s="1"/>
  <c r="F364" i="2"/>
  <c r="J363" i="2"/>
  <c r="I363" i="2"/>
  <c r="H363" i="2"/>
  <c r="L363" i="2" s="1"/>
  <c r="G363" i="2"/>
  <c r="M363" i="2" s="1"/>
  <c r="F363" i="2"/>
  <c r="J362" i="2"/>
  <c r="I362" i="2"/>
  <c r="H362" i="2"/>
  <c r="L362" i="2" s="1"/>
  <c r="G362" i="2"/>
  <c r="M362" i="2" s="1"/>
  <c r="F362" i="2"/>
  <c r="J361" i="2"/>
  <c r="I361" i="2"/>
  <c r="H361" i="2"/>
  <c r="L361" i="2" s="1"/>
  <c r="G361" i="2"/>
  <c r="M361" i="2" s="1"/>
  <c r="F361" i="2"/>
  <c r="J360" i="2"/>
  <c r="I360" i="2"/>
  <c r="H360" i="2"/>
  <c r="L360" i="2" s="1"/>
  <c r="G360" i="2"/>
  <c r="M360" i="2" s="1"/>
  <c r="F360" i="2"/>
  <c r="J359" i="2"/>
  <c r="I359" i="2"/>
  <c r="H359" i="2"/>
  <c r="L359" i="2" s="1"/>
  <c r="G359" i="2"/>
  <c r="M359" i="2" s="1"/>
  <c r="F359" i="2"/>
  <c r="J358" i="2"/>
  <c r="I358" i="2"/>
  <c r="H358" i="2"/>
  <c r="L358" i="2" s="1"/>
  <c r="G358" i="2"/>
  <c r="M358" i="2" s="1"/>
  <c r="F358" i="2"/>
  <c r="J357" i="2"/>
  <c r="I357" i="2"/>
  <c r="H357" i="2"/>
  <c r="L357" i="2" s="1"/>
  <c r="G357" i="2"/>
  <c r="M357" i="2" s="1"/>
  <c r="F357" i="2"/>
  <c r="J356" i="2"/>
  <c r="I356" i="2"/>
  <c r="H356" i="2"/>
  <c r="L356" i="2" s="1"/>
  <c r="G356" i="2"/>
  <c r="M356" i="2" s="1"/>
  <c r="F356" i="2"/>
  <c r="J355" i="2"/>
  <c r="I355" i="2"/>
  <c r="H355" i="2"/>
  <c r="L355" i="2" s="1"/>
  <c r="G355" i="2"/>
  <c r="M355" i="2" s="1"/>
  <c r="F355" i="2"/>
  <c r="J354" i="2"/>
  <c r="I354" i="2"/>
  <c r="H354" i="2"/>
  <c r="L354" i="2" s="1"/>
  <c r="G354" i="2"/>
  <c r="M354" i="2" s="1"/>
  <c r="F354" i="2"/>
  <c r="J353" i="2"/>
  <c r="I353" i="2"/>
  <c r="H353" i="2"/>
  <c r="L353" i="2" s="1"/>
  <c r="G353" i="2"/>
  <c r="M353" i="2" s="1"/>
  <c r="F353" i="2"/>
  <c r="J352" i="2"/>
  <c r="I352" i="2"/>
  <c r="H352" i="2"/>
  <c r="L352" i="2" s="1"/>
  <c r="G352" i="2"/>
  <c r="M352" i="2" s="1"/>
  <c r="F352" i="2"/>
  <c r="J351" i="2"/>
  <c r="I351" i="2"/>
  <c r="H351" i="2"/>
  <c r="L351" i="2" s="1"/>
  <c r="G351" i="2"/>
  <c r="M351" i="2" s="1"/>
  <c r="F351" i="2"/>
  <c r="J350" i="2"/>
  <c r="I350" i="2"/>
  <c r="H350" i="2"/>
  <c r="L350" i="2" s="1"/>
  <c r="G350" i="2"/>
  <c r="M350" i="2" s="1"/>
  <c r="F350" i="2"/>
  <c r="J349" i="2"/>
  <c r="I349" i="2"/>
  <c r="H349" i="2"/>
  <c r="L349" i="2" s="1"/>
  <c r="G349" i="2"/>
  <c r="M349" i="2" s="1"/>
  <c r="F349" i="2"/>
  <c r="J348" i="2"/>
  <c r="I348" i="2"/>
  <c r="H348" i="2"/>
  <c r="L348" i="2" s="1"/>
  <c r="G348" i="2"/>
  <c r="M348" i="2" s="1"/>
  <c r="F348" i="2"/>
  <c r="J347" i="2"/>
  <c r="I347" i="2"/>
  <c r="H347" i="2"/>
  <c r="L347" i="2" s="1"/>
  <c r="G347" i="2"/>
  <c r="M347" i="2" s="1"/>
  <c r="F347" i="2"/>
  <c r="J346" i="2"/>
  <c r="I346" i="2"/>
  <c r="H346" i="2"/>
  <c r="L346" i="2" s="1"/>
  <c r="G346" i="2"/>
  <c r="M346" i="2" s="1"/>
  <c r="F346" i="2"/>
  <c r="J345" i="2"/>
  <c r="I345" i="2"/>
  <c r="H345" i="2"/>
  <c r="L345" i="2" s="1"/>
  <c r="G345" i="2"/>
  <c r="M345" i="2" s="1"/>
  <c r="F345" i="2"/>
  <c r="J344" i="2"/>
  <c r="I344" i="2"/>
  <c r="H344" i="2"/>
  <c r="L344" i="2" s="1"/>
  <c r="G344" i="2"/>
  <c r="M344" i="2" s="1"/>
  <c r="F344" i="2"/>
  <c r="J343" i="2"/>
  <c r="I343" i="2"/>
  <c r="H343" i="2"/>
  <c r="L343" i="2" s="1"/>
  <c r="G343" i="2"/>
  <c r="M343" i="2" s="1"/>
  <c r="F343" i="2"/>
  <c r="J342" i="2"/>
  <c r="I342" i="2"/>
  <c r="H342" i="2"/>
  <c r="L342" i="2" s="1"/>
  <c r="G342" i="2"/>
  <c r="M342" i="2" s="1"/>
  <c r="F342" i="2"/>
  <c r="J341" i="2"/>
  <c r="I341" i="2"/>
  <c r="H341" i="2"/>
  <c r="L341" i="2" s="1"/>
  <c r="G341" i="2"/>
  <c r="M341" i="2" s="1"/>
  <c r="F341" i="2"/>
  <c r="J340" i="2"/>
  <c r="I340" i="2"/>
  <c r="H340" i="2"/>
  <c r="L340" i="2" s="1"/>
  <c r="G340" i="2"/>
  <c r="M340" i="2" s="1"/>
  <c r="F340" i="2"/>
  <c r="J339" i="2"/>
  <c r="I339" i="2"/>
  <c r="H339" i="2"/>
  <c r="L339" i="2" s="1"/>
  <c r="G339" i="2"/>
  <c r="M339" i="2" s="1"/>
  <c r="F339" i="2"/>
  <c r="J338" i="2"/>
  <c r="I338" i="2"/>
  <c r="H338" i="2"/>
  <c r="L338" i="2" s="1"/>
  <c r="G338" i="2"/>
  <c r="M338" i="2" s="1"/>
  <c r="F338" i="2"/>
  <c r="J337" i="2"/>
  <c r="I337" i="2"/>
  <c r="H337" i="2"/>
  <c r="L337" i="2" s="1"/>
  <c r="G337" i="2"/>
  <c r="M337" i="2" s="1"/>
  <c r="F337" i="2"/>
  <c r="J336" i="2"/>
  <c r="I336" i="2"/>
  <c r="H336" i="2"/>
  <c r="L336" i="2" s="1"/>
  <c r="G336" i="2"/>
  <c r="M336" i="2" s="1"/>
  <c r="F336" i="2"/>
  <c r="J335" i="2"/>
  <c r="I335" i="2"/>
  <c r="H335" i="2"/>
  <c r="L335" i="2" s="1"/>
  <c r="G335" i="2"/>
  <c r="M335" i="2" s="1"/>
  <c r="F335" i="2"/>
  <c r="J334" i="2"/>
  <c r="I334" i="2"/>
  <c r="H334" i="2"/>
  <c r="L334" i="2" s="1"/>
  <c r="G334" i="2"/>
  <c r="M334" i="2" s="1"/>
  <c r="F334" i="2"/>
  <c r="J333" i="2"/>
  <c r="I333" i="2"/>
  <c r="H333" i="2"/>
  <c r="L333" i="2" s="1"/>
  <c r="G333" i="2"/>
  <c r="M333" i="2" s="1"/>
  <c r="F333" i="2"/>
  <c r="J332" i="2"/>
  <c r="I332" i="2"/>
  <c r="H332" i="2"/>
  <c r="L332" i="2" s="1"/>
  <c r="G332" i="2"/>
  <c r="M332" i="2" s="1"/>
  <c r="F332" i="2"/>
  <c r="J331" i="2"/>
  <c r="I331" i="2"/>
  <c r="H331" i="2"/>
  <c r="L331" i="2" s="1"/>
  <c r="G331" i="2"/>
  <c r="M331" i="2" s="1"/>
  <c r="F331" i="2"/>
  <c r="J330" i="2"/>
  <c r="I330" i="2"/>
  <c r="H330" i="2"/>
  <c r="L330" i="2" s="1"/>
  <c r="G330" i="2"/>
  <c r="M330" i="2" s="1"/>
  <c r="F330" i="2"/>
  <c r="J329" i="2"/>
  <c r="I329" i="2"/>
  <c r="H329" i="2"/>
  <c r="L329" i="2" s="1"/>
  <c r="G329" i="2"/>
  <c r="M329" i="2" s="1"/>
  <c r="F329" i="2"/>
  <c r="J328" i="2"/>
  <c r="I328" i="2"/>
  <c r="H328" i="2"/>
  <c r="L328" i="2" s="1"/>
  <c r="G328" i="2"/>
  <c r="M328" i="2" s="1"/>
  <c r="F328" i="2"/>
  <c r="J327" i="2"/>
  <c r="I327" i="2"/>
  <c r="H327" i="2"/>
  <c r="L327" i="2" s="1"/>
  <c r="G327" i="2"/>
  <c r="M327" i="2" s="1"/>
  <c r="F327" i="2"/>
  <c r="J326" i="2"/>
  <c r="I326" i="2"/>
  <c r="H326" i="2"/>
  <c r="L326" i="2" s="1"/>
  <c r="G326" i="2"/>
  <c r="M326" i="2" s="1"/>
  <c r="F326" i="2"/>
  <c r="J325" i="2"/>
  <c r="I325" i="2"/>
  <c r="H325" i="2"/>
  <c r="L325" i="2" s="1"/>
  <c r="G325" i="2"/>
  <c r="M325" i="2" s="1"/>
  <c r="F325" i="2"/>
  <c r="J324" i="2"/>
  <c r="I324" i="2"/>
  <c r="H324" i="2"/>
  <c r="L324" i="2" s="1"/>
  <c r="G324" i="2"/>
  <c r="M324" i="2" s="1"/>
  <c r="F324" i="2"/>
  <c r="J323" i="2"/>
  <c r="I323" i="2"/>
  <c r="H323" i="2"/>
  <c r="L323" i="2" s="1"/>
  <c r="G323" i="2"/>
  <c r="M323" i="2" s="1"/>
  <c r="F323" i="2"/>
  <c r="J322" i="2"/>
  <c r="I322" i="2"/>
  <c r="H322" i="2"/>
  <c r="L322" i="2" s="1"/>
  <c r="G322" i="2"/>
  <c r="M322" i="2" s="1"/>
  <c r="F322" i="2"/>
  <c r="J321" i="2"/>
  <c r="I321" i="2"/>
  <c r="H321" i="2"/>
  <c r="L321" i="2" s="1"/>
  <c r="G321" i="2"/>
  <c r="M321" i="2" s="1"/>
  <c r="F321" i="2"/>
  <c r="J320" i="2"/>
  <c r="I320" i="2"/>
  <c r="H320" i="2"/>
  <c r="L320" i="2" s="1"/>
  <c r="G320" i="2"/>
  <c r="M320" i="2" s="1"/>
  <c r="F320" i="2"/>
  <c r="J319" i="2"/>
  <c r="I319" i="2"/>
  <c r="H319" i="2"/>
  <c r="L319" i="2" s="1"/>
  <c r="G319" i="2"/>
  <c r="M319" i="2" s="1"/>
  <c r="F319" i="2"/>
  <c r="J318" i="2"/>
  <c r="I318" i="2"/>
  <c r="H318" i="2"/>
  <c r="L318" i="2" s="1"/>
  <c r="G318" i="2"/>
  <c r="M318" i="2" s="1"/>
  <c r="F318" i="2"/>
  <c r="J317" i="2"/>
  <c r="I317" i="2"/>
  <c r="H317" i="2"/>
  <c r="L317" i="2" s="1"/>
  <c r="G317" i="2"/>
  <c r="M317" i="2" s="1"/>
  <c r="F317" i="2"/>
  <c r="J316" i="2"/>
  <c r="I316" i="2"/>
  <c r="H316" i="2"/>
  <c r="L316" i="2" s="1"/>
  <c r="G316" i="2"/>
  <c r="M316" i="2" s="1"/>
  <c r="F316" i="2"/>
  <c r="J315" i="2"/>
  <c r="I315" i="2"/>
  <c r="H315" i="2"/>
  <c r="L315" i="2" s="1"/>
  <c r="G315" i="2"/>
  <c r="M315" i="2" s="1"/>
  <c r="F315" i="2"/>
  <c r="J314" i="2"/>
  <c r="I314" i="2"/>
  <c r="H314" i="2"/>
  <c r="L314" i="2" s="1"/>
  <c r="G314" i="2"/>
  <c r="M314" i="2" s="1"/>
  <c r="F314" i="2"/>
  <c r="J313" i="2"/>
  <c r="I313" i="2"/>
  <c r="H313" i="2"/>
  <c r="L313" i="2" s="1"/>
  <c r="G313" i="2"/>
  <c r="M313" i="2" s="1"/>
  <c r="F313" i="2"/>
  <c r="J312" i="2"/>
  <c r="I312" i="2"/>
  <c r="H312" i="2"/>
  <c r="L312" i="2" s="1"/>
  <c r="G312" i="2"/>
  <c r="M312" i="2" s="1"/>
  <c r="F312" i="2"/>
  <c r="J311" i="2"/>
  <c r="I311" i="2"/>
  <c r="H311" i="2"/>
  <c r="L311" i="2" s="1"/>
  <c r="G311" i="2"/>
  <c r="M311" i="2" s="1"/>
  <c r="F311" i="2"/>
  <c r="J310" i="2"/>
  <c r="I310" i="2"/>
  <c r="H310" i="2"/>
  <c r="L310" i="2" s="1"/>
  <c r="G310" i="2"/>
  <c r="M310" i="2" s="1"/>
  <c r="F310" i="2"/>
  <c r="J309" i="2"/>
  <c r="I309" i="2"/>
  <c r="H309" i="2"/>
  <c r="L309" i="2" s="1"/>
  <c r="G309" i="2"/>
  <c r="M309" i="2" s="1"/>
  <c r="F309" i="2"/>
  <c r="J308" i="2"/>
  <c r="I308" i="2"/>
  <c r="H308" i="2"/>
  <c r="L308" i="2" s="1"/>
  <c r="G308" i="2"/>
  <c r="M308" i="2" s="1"/>
  <c r="F308" i="2"/>
  <c r="J307" i="2"/>
  <c r="I307" i="2"/>
  <c r="H307" i="2"/>
  <c r="L307" i="2" s="1"/>
  <c r="G307" i="2"/>
  <c r="M307" i="2" s="1"/>
  <c r="F307" i="2"/>
  <c r="J306" i="2"/>
  <c r="I306" i="2"/>
  <c r="H306" i="2"/>
  <c r="L306" i="2" s="1"/>
  <c r="G306" i="2"/>
  <c r="M306" i="2" s="1"/>
  <c r="F306" i="2"/>
  <c r="J305" i="2"/>
  <c r="I305" i="2"/>
  <c r="H305" i="2"/>
  <c r="L305" i="2" s="1"/>
  <c r="G305" i="2"/>
  <c r="M305" i="2" s="1"/>
  <c r="F305" i="2"/>
  <c r="J304" i="2"/>
  <c r="I304" i="2"/>
  <c r="H304" i="2"/>
  <c r="L304" i="2" s="1"/>
  <c r="G304" i="2"/>
  <c r="M304" i="2" s="1"/>
  <c r="F304" i="2"/>
  <c r="J303" i="2"/>
  <c r="I303" i="2"/>
  <c r="H303" i="2"/>
  <c r="L303" i="2" s="1"/>
  <c r="G303" i="2"/>
  <c r="M303" i="2" s="1"/>
  <c r="F303" i="2"/>
  <c r="J302" i="2"/>
  <c r="I302" i="2"/>
  <c r="H302" i="2"/>
  <c r="L302" i="2" s="1"/>
  <c r="G302" i="2"/>
  <c r="M302" i="2" s="1"/>
  <c r="F302" i="2"/>
  <c r="J301" i="2"/>
  <c r="I301" i="2"/>
  <c r="H301" i="2"/>
  <c r="L301" i="2" s="1"/>
  <c r="G301" i="2"/>
  <c r="M301" i="2" s="1"/>
  <c r="F301" i="2"/>
  <c r="J300" i="2"/>
  <c r="I300" i="2"/>
  <c r="H300" i="2"/>
  <c r="L300" i="2" s="1"/>
  <c r="G300" i="2"/>
  <c r="M300" i="2" s="1"/>
  <c r="F300" i="2"/>
  <c r="J299" i="2"/>
  <c r="I299" i="2"/>
  <c r="H299" i="2"/>
  <c r="L299" i="2" s="1"/>
  <c r="G299" i="2"/>
  <c r="M299" i="2" s="1"/>
  <c r="F299" i="2"/>
  <c r="J298" i="2"/>
  <c r="I298" i="2"/>
  <c r="H298" i="2"/>
  <c r="L298" i="2" s="1"/>
  <c r="G298" i="2"/>
  <c r="M298" i="2" s="1"/>
  <c r="F298" i="2"/>
  <c r="J297" i="2"/>
  <c r="I297" i="2"/>
  <c r="H297" i="2"/>
  <c r="L297" i="2" s="1"/>
  <c r="G297" i="2"/>
  <c r="M297" i="2" s="1"/>
  <c r="F297" i="2"/>
  <c r="J296" i="2"/>
  <c r="I296" i="2"/>
  <c r="H296" i="2"/>
  <c r="L296" i="2" s="1"/>
  <c r="G296" i="2"/>
  <c r="M296" i="2" s="1"/>
  <c r="F296" i="2"/>
  <c r="J295" i="2"/>
  <c r="I295" i="2"/>
  <c r="H295" i="2"/>
  <c r="L295" i="2" s="1"/>
  <c r="G295" i="2"/>
  <c r="M295" i="2" s="1"/>
  <c r="F295" i="2"/>
  <c r="J294" i="2"/>
  <c r="I294" i="2"/>
  <c r="H294" i="2"/>
  <c r="L294" i="2" s="1"/>
  <c r="G294" i="2"/>
  <c r="M294" i="2" s="1"/>
  <c r="F294" i="2"/>
  <c r="J293" i="2"/>
  <c r="I293" i="2"/>
  <c r="H293" i="2"/>
  <c r="L293" i="2" s="1"/>
  <c r="G293" i="2"/>
  <c r="M293" i="2" s="1"/>
  <c r="F293" i="2"/>
  <c r="J292" i="2"/>
  <c r="I292" i="2"/>
  <c r="H292" i="2"/>
  <c r="L292" i="2" s="1"/>
  <c r="G292" i="2"/>
  <c r="M292" i="2" s="1"/>
  <c r="F292" i="2"/>
  <c r="J291" i="2"/>
  <c r="I291" i="2"/>
  <c r="H291" i="2"/>
  <c r="L291" i="2" s="1"/>
  <c r="G291" i="2"/>
  <c r="M291" i="2" s="1"/>
  <c r="F291" i="2"/>
  <c r="J290" i="2"/>
  <c r="I290" i="2"/>
  <c r="H290" i="2"/>
  <c r="L290" i="2" s="1"/>
  <c r="G290" i="2"/>
  <c r="M290" i="2" s="1"/>
  <c r="F290" i="2"/>
  <c r="J289" i="2"/>
  <c r="I289" i="2"/>
  <c r="H289" i="2"/>
  <c r="L289" i="2" s="1"/>
  <c r="G289" i="2"/>
  <c r="M289" i="2" s="1"/>
  <c r="F289" i="2"/>
  <c r="J288" i="2"/>
  <c r="I288" i="2"/>
  <c r="H288" i="2"/>
  <c r="L288" i="2" s="1"/>
  <c r="G288" i="2"/>
  <c r="M288" i="2" s="1"/>
  <c r="F288" i="2"/>
  <c r="J287" i="2"/>
  <c r="I287" i="2"/>
  <c r="H287" i="2"/>
  <c r="L287" i="2" s="1"/>
  <c r="G287" i="2"/>
  <c r="M287" i="2" s="1"/>
  <c r="F287" i="2"/>
  <c r="J286" i="2"/>
  <c r="I286" i="2"/>
  <c r="H286" i="2"/>
  <c r="L286" i="2" s="1"/>
  <c r="G286" i="2"/>
  <c r="M286" i="2" s="1"/>
  <c r="F286" i="2"/>
  <c r="J285" i="2"/>
  <c r="I285" i="2"/>
  <c r="H285" i="2"/>
  <c r="L285" i="2" s="1"/>
  <c r="G285" i="2"/>
  <c r="M285" i="2" s="1"/>
  <c r="F285" i="2"/>
  <c r="J284" i="2"/>
  <c r="I284" i="2"/>
  <c r="H284" i="2"/>
  <c r="L284" i="2" s="1"/>
  <c r="G284" i="2"/>
  <c r="M284" i="2" s="1"/>
  <c r="F284" i="2"/>
  <c r="J283" i="2"/>
  <c r="I283" i="2"/>
  <c r="H283" i="2"/>
  <c r="L283" i="2" s="1"/>
  <c r="G283" i="2"/>
  <c r="M283" i="2" s="1"/>
  <c r="F283" i="2"/>
  <c r="J282" i="2"/>
  <c r="I282" i="2"/>
  <c r="H282" i="2"/>
  <c r="L282" i="2" s="1"/>
  <c r="G282" i="2"/>
  <c r="M282" i="2" s="1"/>
  <c r="F282" i="2"/>
  <c r="J281" i="2"/>
  <c r="I281" i="2"/>
  <c r="H281" i="2"/>
  <c r="L281" i="2" s="1"/>
  <c r="G281" i="2"/>
  <c r="M281" i="2" s="1"/>
  <c r="F281" i="2"/>
  <c r="J280" i="2"/>
  <c r="I280" i="2"/>
  <c r="H280" i="2"/>
  <c r="L280" i="2" s="1"/>
  <c r="G280" i="2"/>
  <c r="M280" i="2" s="1"/>
  <c r="F280" i="2"/>
  <c r="J279" i="2"/>
  <c r="I279" i="2"/>
  <c r="H279" i="2"/>
  <c r="L279" i="2" s="1"/>
  <c r="G279" i="2"/>
  <c r="M279" i="2" s="1"/>
  <c r="F279" i="2"/>
  <c r="J278" i="2"/>
  <c r="I278" i="2"/>
  <c r="H278" i="2"/>
  <c r="L278" i="2" s="1"/>
  <c r="G278" i="2"/>
  <c r="M278" i="2" s="1"/>
  <c r="F278" i="2"/>
  <c r="J277" i="2"/>
  <c r="I277" i="2"/>
  <c r="H277" i="2"/>
  <c r="L277" i="2" s="1"/>
  <c r="G277" i="2"/>
  <c r="M277" i="2" s="1"/>
  <c r="F277" i="2"/>
  <c r="J276" i="2"/>
  <c r="I276" i="2"/>
  <c r="H276" i="2"/>
  <c r="L276" i="2" s="1"/>
  <c r="G276" i="2"/>
  <c r="M276" i="2" s="1"/>
  <c r="F276" i="2"/>
  <c r="J275" i="2"/>
  <c r="I275" i="2"/>
  <c r="H275" i="2"/>
  <c r="L275" i="2" s="1"/>
  <c r="G275" i="2"/>
  <c r="M275" i="2" s="1"/>
  <c r="F275" i="2"/>
  <c r="J274" i="2"/>
  <c r="I274" i="2"/>
  <c r="H274" i="2"/>
  <c r="L274" i="2" s="1"/>
  <c r="G274" i="2"/>
  <c r="M274" i="2" s="1"/>
  <c r="F274" i="2"/>
  <c r="J273" i="2"/>
  <c r="I273" i="2"/>
  <c r="H273" i="2"/>
  <c r="L273" i="2" s="1"/>
  <c r="G273" i="2"/>
  <c r="M273" i="2" s="1"/>
  <c r="F273" i="2"/>
  <c r="J272" i="2"/>
  <c r="I272" i="2"/>
  <c r="H272" i="2"/>
  <c r="L272" i="2" s="1"/>
  <c r="G272" i="2"/>
  <c r="M272" i="2" s="1"/>
  <c r="F272" i="2"/>
  <c r="J271" i="2"/>
  <c r="I271" i="2"/>
  <c r="H271" i="2"/>
  <c r="L271" i="2" s="1"/>
  <c r="G271" i="2"/>
  <c r="M271" i="2" s="1"/>
  <c r="F271" i="2"/>
  <c r="J270" i="2"/>
  <c r="I270" i="2"/>
  <c r="H270" i="2"/>
  <c r="L270" i="2" s="1"/>
  <c r="G270" i="2"/>
  <c r="M270" i="2" s="1"/>
  <c r="F270" i="2"/>
  <c r="J269" i="2"/>
  <c r="I269" i="2"/>
  <c r="H269" i="2"/>
  <c r="L269" i="2" s="1"/>
  <c r="G269" i="2"/>
  <c r="M269" i="2" s="1"/>
  <c r="F269" i="2"/>
  <c r="J268" i="2"/>
  <c r="I268" i="2"/>
  <c r="H268" i="2"/>
  <c r="L268" i="2" s="1"/>
  <c r="G268" i="2"/>
  <c r="M268" i="2" s="1"/>
  <c r="F268" i="2"/>
  <c r="J267" i="2"/>
  <c r="I267" i="2"/>
  <c r="H267" i="2"/>
  <c r="L267" i="2" s="1"/>
  <c r="G267" i="2"/>
  <c r="M267" i="2" s="1"/>
  <c r="F267" i="2"/>
  <c r="J266" i="2"/>
  <c r="I266" i="2"/>
  <c r="H266" i="2"/>
  <c r="L266" i="2" s="1"/>
  <c r="G266" i="2"/>
  <c r="M266" i="2" s="1"/>
  <c r="F266" i="2"/>
  <c r="J265" i="2"/>
  <c r="I265" i="2"/>
  <c r="H265" i="2"/>
  <c r="L265" i="2" s="1"/>
  <c r="G265" i="2"/>
  <c r="M265" i="2" s="1"/>
  <c r="F265" i="2"/>
  <c r="J264" i="2"/>
  <c r="I264" i="2"/>
  <c r="H264" i="2"/>
  <c r="L264" i="2" s="1"/>
  <c r="G264" i="2"/>
  <c r="M264" i="2" s="1"/>
  <c r="F264" i="2"/>
  <c r="J263" i="2"/>
  <c r="I263" i="2"/>
  <c r="H263" i="2"/>
  <c r="L263" i="2" s="1"/>
  <c r="G263" i="2"/>
  <c r="M263" i="2" s="1"/>
  <c r="F263" i="2"/>
  <c r="J262" i="2"/>
  <c r="I262" i="2"/>
  <c r="H262" i="2"/>
  <c r="L262" i="2" s="1"/>
  <c r="G262" i="2"/>
  <c r="M262" i="2" s="1"/>
  <c r="F262" i="2"/>
  <c r="J261" i="2"/>
  <c r="I261" i="2"/>
  <c r="H261" i="2"/>
  <c r="L261" i="2" s="1"/>
  <c r="G261" i="2"/>
  <c r="M261" i="2" s="1"/>
  <c r="F261" i="2"/>
  <c r="J260" i="2"/>
  <c r="I260" i="2"/>
  <c r="H260" i="2"/>
  <c r="L260" i="2" s="1"/>
  <c r="G260" i="2"/>
  <c r="M260" i="2" s="1"/>
  <c r="F260" i="2"/>
  <c r="J259" i="2"/>
  <c r="I259" i="2"/>
  <c r="H259" i="2"/>
  <c r="L259" i="2" s="1"/>
  <c r="G259" i="2"/>
  <c r="M259" i="2" s="1"/>
  <c r="F259" i="2"/>
  <c r="J258" i="2"/>
  <c r="I258" i="2"/>
  <c r="H258" i="2"/>
  <c r="L258" i="2" s="1"/>
  <c r="G258" i="2"/>
  <c r="M258" i="2" s="1"/>
  <c r="F258" i="2"/>
  <c r="J257" i="2"/>
  <c r="I257" i="2"/>
  <c r="H257" i="2"/>
  <c r="L257" i="2" s="1"/>
  <c r="G257" i="2"/>
  <c r="M257" i="2" s="1"/>
  <c r="F257" i="2"/>
  <c r="J256" i="2"/>
  <c r="I256" i="2"/>
  <c r="H256" i="2"/>
  <c r="L256" i="2" s="1"/>
  <c r="G256" i="2"/>
  <c r="M256" i="2" s="1"/>
  <c r="F256" i="2"/>
  <c r="J255" i="2"/>
  <c r="I255" i="2"/>
  <c r="H255" i="2"/>
  <c r="L255" i="2" s="1"/>
  <c r="G255" i="2"/>
  <c r="M255" i="2" s="1"/>
  <c r="F255" i="2"/>
  <c r="J254" i="2"/>
  <c r="I254" i="2"/>
  <c r="H254" i="2"/>
  <c r="L254" i="2" s="1"/>
  <c r="G254" i="2"/>
  <c r="M254" i="2" s="1"/>
  <c r="F254" i="2"/>
  <c r="J253" i="2"/>
  <c r="I253" i="2"/>
  <c r="H253" i="2"/>
  <c r="L253" i="2" s="1"/>
  <c r="G253" i="2"/>
  <c r="M253" i="2" s="1"/>
  <c r="F253" i="2"/>
  <c r="J252" i="2"/>
  <c r="I252" i="2"/>
  <c r="H252" i="2"/>
  <c r="L252" i="2" s="1"/>
  <c r="G252" i="2"/>
  <c r="M252" i="2" s="1"/>
  <c r="F252" i="2"/>
  <c r="J251" i="2"/>
  <c r="I251" i="2"/>
  <c r="H251" i="2"/>
  <c r="L251" i="2" s="1"/>
  <c r="G251" i="2"/>
  <c r="M251" i="2" s="1"/>
  <c r="F251" i="2"/>
  <c r="J250" i="2"/>
  <c r="I250" i="2"/>
  <c r="H250" i="2"/>
  <c r="L250" i="2" s="1"/>
  <c r="G250" i="2"/>
  <c r="M250" i="2" s="1"/>
  <c r="F250" i="2"/>
  <c r="J249" i="2"/>
  <c r="I249" i="2"/>
  <c r="H249" i="2"/>
  <c r="L249" i="2" s="1"/>
  <c r="G249" i="2"/>
  <c r="M249" i="2" s="1"/>
  <c r="F249" i="2"/>
  <c r="J248" i="2"/>
  <c r="I248" i="2"/>
  <c r="H248" i="2"/>
  <c r="L248" i="2" s="1"/>
  <c r="G248" i="2"/>
  <c r="M248" i="2" s="1"/>
  <c r="F248" i="2"/>
  <c r="J247" i="2"/>
  <c r="I247" i="2"/>
  <c r="H247" i="2"/>
  <c r="L247" i="2" s="1"/>
  <c r="G247" i="2"/>
  <c r="M247" i="2" s="1"/>
  <c r="F247" i="2"/>
  <c r="J246" i="2"/>
  <c r="I246" i="2"/>
  <c r="H246" i="2"/>
  <c r="L246" i="2" s="1"/>
  <c r="G246" i="2"/>
  <c r="M246" i="2" s="1"/>
  <c r="F246" i="2"/>
  <c r="J245" i="2"/>
  <c r="I245" i="2"/>
  <c r="H245" i="2"/>
  <c r="L245" i="2" s="1"/>
  <c r="G245" i="2"/>
  <c r="M245" i="2" s="1"/>
  <c r="F245" i="2"/>
  <c r="J244" i="2"/>
  <c r="I244" i="2"/>
  <c r="H244" i="2"/>
  <c r="L244" i="2" s="1"/>
  <c r="G244" i="2"/>
  <c r="M244" i="2" s="1"/>
  <c r="F244" i="2"/>
  <c r="J243" i="2"/>
  <c r="I243" i="2"/>
  <c r="H243" i="2"/>
  <c r="L243" i="2" s="1"/>
  <c r="G243" i="2"/>
  <c r="M243" i="2" s="1"/>
  <c r="F243" i="2"/>
  <c r="J242" i="2"/>
  <c r="I242" i="2"/>
  <c r="H242" i="2"/>
  <c r="L242" i="2" s="1"/>
  <c r="G242" i="2"/>
  <c r="M242" i="2" s="1"/>
  <c r="F242" i="2"/>
  <c r="J241" i="2"/>
  <c r="I241" i="2"/>
  <c r="H241" i="2"/>
  <c r="L241" i="2" s="1"/>
  <c r="G241" i="2"/>
  <c r="M241" i="2" s="1"/>
  <c r="F241" i="2"/>
  <c r="J240" i="2"/>
  <c r="I240" i="2"/>
  <c r="H240" i="2"/>
  <c r="L240" i="2" s="1"/>
  <c r="G240" i="2"/>
  <c r="M240" i="2" s="1"/>
  <c r="F240" i="2"/>
  <c r="J239" i="2"/>
  <c r="I239" i="2"/>
  <c r="H239" i="2"/>
  <c r="L239" i="2" s="1"/>
  <c r="G239" i="2"/>
  <c r="M239" i="2" s="1"/>
  <c r="F239" i="2"/>
  <c r="J238" i="2"/>
  <c r="I238" i="2"/>
  <c r="H238" i="2"/>
  <c r="L238" i="2" s="1"/>
  <c r="G238" i="2"/>
  <c r="M238" i="2" s="1"/>
  <c r="F238" i="2"/>
  <c r="J237" i="2"/>
  <c r="I237" i="2"/>
  <c r="H237" i="2"/>
  <c r="L237" i="2" s="1"/>
  <c r="G237" i="2"/>
  <c r="M237" i="2" s="1"/>
  <c r="F237" i="2"/>
  <c r="J236" i="2"/>
  <c r="I236" i="2"/>
  <c r="H236" i="2"/>
  <c r="L236" i="2" s="1"/>
  <c r="G236" i="2"/>
  <c r="M236" i="2" s="1"/>
  <c r="F236" i="2"/>
  <c r="J235" i="2"/>
  <c r="I235" i="2"/>
  <c r="H235" i="2"/>
  <c r="L235" i="2" s="1"/>
  <c r="G235" i="2"/>
  <c r="M235" i="2" s="1"/>
  <c r="F235" i="2"/>
  <c r="J234" i="2"/>
  <c r="I234" i="2"/>
  <c r="H234" i="2"/>
  <c r="L234" i="2" s="1"/>
  <c r="G234" i="2"/>
  <c r="M234" i="2" s="1"/>
  <c r="F234" i="2"/>
  <c r="J233" i="2"/>
  <c r="I233" i="2"/>
  <c r="H233" i="2"/>
  <c r="L233" i="2" s="1"/>
  <c r="G233" i="2"/>
  <c r="M233" i="2" s="1"/>
  <c r="F233" i="2"/>
  <c r="J232" i="2"/>
  <c r="I232" i="2"/>
  <c r="H232" i="2"/>
  <c r="L232" i="2" s="1"/>
  <c r="G232" i="2"/>
  <c r="M232" i="2" s="1"/>
  <c r="F232" i="2"/>
  <c r="J231" i="2"/>
  <c r="I231" i="2"/>
  <c r="H231" i="2"/>
  <c r="L231" i="2" s="1"/>
  <c r="G231" i="2"/>
  <c r="M231" i="2" s="1"/>
  <c r="F231" i="2"/>
  <c r="J230" i="2"/>
  <c r="I230" i="2"/>
  <c r="H230" i="2"/>
  <c r="L230" i="2" s="1"/>
  <c r="G230" i="2"/>
  <c r="M230" i="2" s="1"/>
  <c r="F230" i="2"/>
  <c r="J229" i="2"/>
  <c r="I229" i="2"/>
  <c r="H229" i="2"/>
  <c r="L229" i="2" s="1"/>
  <c r="G229" i="2"/>
  <c r="M229" i="2" s="1"/>
  <c r="F229" i="2"/>
  <c r="J228" i="2"/>
  <c r="I228" i="2"/>
  <c r="H228" i="2"/>
  <c r="L228" i="2" s="1"/>
  <c r="G228" i="2"/>
  <c r="M228" i="2" s="1"/>
  <c r="F228" i="2"/>
  <c r="J227" i="2"/>
  <c r="I227" i="2"/>
  <c r="H227" i="2"/>
  <c r="L227" i="2" s="1"/>
  <c r="G227" i="2"/>
  <c r="M227" i="2" s="1"/>
  <c r="F227" i="2"/>
  <c r="J226" i="2"/>
  <c r="I226" i="2"/>
  <c r="H226" i="2"/>
  <c r="L226" i="2" s="1"/>
  <c r="G226" i="2"/>
  <c r="M226" i="2" s="1"/>
  <c r="F226" i="2"/>
  <c r="J225" i="2"/>
  <c r="I225" i="2"/>
  <c r="H225" i="2"/>
  <c r="L225" i="2" s="1"/>
  <c r="G225" i="2"/>
  <c r="M225" i="2" s="1"/>
  <c r="F225" i="2"/>
  <c r="J224" i="2"/>
  <c r="I224" i="2"/>
  <c r="H224" i="2"/>
  <c r="L224" i="2" s="1"/>
  <c r="G224" i="2"/>
  <c r="M224" i="2" s="1"/>
  <c r="F224" i="2"/>
  <c r="J223" i="2"/>
  <c r="I223" i="2"/>
  <c r="H223" i="2"/>
  <c r="L223" i="2" s="1"/>
  <c r="G223" i="2"/>
  <c r="M223" i="2" s="1"/>
  <c r="F223" i="2"/>
  <c r="J222" i="2"/>
  <c r="I222" i="2"/>
  <c r="H222" i="2"/>
  <c r="L222" i="2" s="1"/>
  <c r="G222" i="2"/>
  <c r="M222" i="2" s="1"/>
  <c r="F222" i="2"/>
  <c r="J221" i="2"/>
  <c r="I221" i="2"/>
  <c r="H221" i="2"/>
  <c r="L221" i="2" s="1"/>
  <c r="G221" i="2"/>
  <c r="M221" i="2" s="1"/>
  <c r="F221" i="2"/>
  <c r="J220" i="2"/>
  <c r="I220" i="2"/>
  <c r="H220" i="2"/>
  <c r="L220" i="2" s="1"/>
  <c r="G220" i="2"/>
  <c r="M220" i="2" s="1"/>
  <c r="F220" i="2"/>
  <c r="J219" i="2"/>
  <c r="I219" i="2"/>
  <c r="H219" i="2"/>
  <c r="L219" i="2" s="1"/>
  <c r="G219" i="2"/>
  <c r="M219" i="2" s="1"/>
  <c r="F219" i="2"/>
  <c r="J218" i="2"/>
  <c r="I218" i="2"/>
  <c r="H218" i="2"/>
  <c r="L218" i="2" s="1"/>
  <c r="G218" i="2"/>
  <c r="M218" i="2" s="1"/>
  <c r="F218" i="2"/>
  <c r="J217" i="2"/>
  <c r="I217" i="2"/>
  <c r="H217" i="2"/>
  <c r="L217" i="2" s="1"/>
  <c r="G217" i="2"/>
  <c r="M217" i="2" s="1"/>
  <c r="F217" i="2"/>
  <c r="J216" i="2"/>
  <c r="I216" i="2"/>
  <c r="H216" i="2"/>
  <c r="L216" i="2" s="1"/>
  <c r="G216" i="2"/>
  <c r="M216" i="2" s="1"/>
  <c r="F216" i="2"/>
  <c r="J215" i="2"/>
  <c r="I215" i="2"/>
  <c r="H215" i="2"/>
  <c r="L215" i="2" s="1"/>
  <c r="G215" i="2"/>
  <c r="M215" i="2" s="1"/>
  <c r="F215" i="2"/>
  <c r="J214" i="2"/>
  <c r="I214" i="2"/>
  <c r="H214" i="2"/>
  <c r="L214" i="2" s="1"/>
  <c r="G214" i="2"/>
  <c r="M214" i="2" s="1"/>
  <c r="F214" i="2"/>
  <c r="J213" i="2"/>
  <c r="I213" i="2"/>
  <c r="H213" i="2"/>
  <c r="L213" i="2" s="1"/>
  <c r="G213" i="2"/>
  <c r="M213" i="2" s="1"/>
  <c r="F213" i="2"/>
  <c r="J212" i="2"/>
  <c r="I212" i="2"/>
  <c r="H212" i="2"/>
  <c r="L212" i="2" s="1"/>
  <c r="G212" i="2"/>
  <c r="M212" i="2" s="1"/>
  <c r="F212" i="2"/>
  <c r="J211" i="2"/>
  <c r="I211" i="2"/>
  <c r="H211" i="2"/>
  <c r="L211" i="2" s="1"/>
  <c r="G211" i="2"/>
  <c r="M211" i="2" s="1"/>
  <c r="F211" i="2"/>
  <c r="J210" i="2"/>
  <c r="I210" i="2"/>
  <c r="H210" i="2"/>
  <c r="L210" i="2" s="1"/>
  <c r="G210" i="2"/>
  <c r="M210" i="2" s="1"/>
  <c r="F210" i="2"/>
  <c r="J209" i="2"/>
  <c r="I209" i="2"/>
  <c r="H209" i="2"/>
  <c r="L209" i="2" s="1"/>
  <c r="G209" i="2"/>
  <c r="M209" i="2" s="1"/>
  <c r="F209" i="2"/>
  <c r="J208" i="2"/>
  <c r="I208" i="2"/>
  <c r="H208" i="2"/>
  <c r="L208" i="2" s="1"/>
  <c r="G208" i="2"/>
  <c r="M208" i="2" s="1"/>
  <c r="F208" i="2"/>
  <c r="J207" i="2"/>
  <c r="I207" i="2"/>
  <c r="H207" i="2"/>
  <c r="L207" i="2" s="1"/>
  <c r="G207" i="2"/>
  <c r="M207" i="2" s="1"/>
  <c r="F207" i="2"/>
  <c r="J206" i="2"/>
  <c r="I206" i="2"/>
  <c r="H206" i="2"/>
  <c r="L206" i="2" s="1"/>
  <c r="G206" i="2"/>
  <c r="M206" i="2" s="1"/>
  <c r="F206" i="2"/>
  <c r="J205" i="2"/>
  <c r="I205" i="2"/>
  <c r="H205" i="2"/>
  <c r="L205" i="2" s="1"/>
  <c r="G205" i="2"/>
  <c r="M205" i="2" s="1"/>
  <c r="F205" i="2"/>
  <c r="J204" i="2"/>
  <c r="I204" i="2"/>
  <c r="H204" i="2"/>
  <c r="L204" i="2" s="1"/>
  <c r="G204" i="2"/>
  <c r="M204" i="2" s="1"/>
  <c r="F204" i="2"/>
  <c r="J203" i="2"/>
  <c r="I203" i="2"/>
  <c r="H203" i="2"/>
  <c r="L203" i="2" s="1"/>
  <c r="G203" i="2"/>
  <c r="M203" i="2" s="1"/>
  <c r="F203" i="2"/>
  <c r="J202" i="2"/>
  <c r="I202" i="2"/>
  <c r="H202" i="2"/>
  <c r="L202" i="2" s="1"/>
  <c r="G202" i="2"/>
  <c r="M202" i="2" s="1"/>
  <c r="F202" i="2"/>
  <c r="J201" i="2"/>
  <c r="I201" i="2"/>
  <c r="H201" i="2"/>
  <c r="L201" i="2" s="1"/>
  <c r="G201" i="2"/>
  <c r="M201" i="2" s="1"/>
  <c r="F201" i="2"/>
  <c r="J200" i="2"/>
  <c r="I200" i="2"/>
  <c r="H200" i="2"/>
  <c r="L200" i="2" s="1"/>
  <c r="G200" i="2"/>
  <c r="M200" i="2" s="1"/>
  <c r="F200" i="2"/>
  <c r="J199" i="2"/>
  <c r="I199" i="2"/>
  <c r="H199" i="2"/>
  <c r="L199" i="2" s="1"/>
  <c r="G199" i="2"/>
  <c r="M199" i="2" s="1"/>
  <c r="F199" i="2"/>
  <c r="J198" i="2"/>
  <c r="I198" i="2"/>
  <c r="H198" i="2"/>
  <c r="L198" i="2" s="1"/>
  <c r="G198" i="2"/>
  <c r="M198" i="2" s="1"/>
  <c r="F198" i="2"/>
  <c r="J197" i="2"/>
  <c r="I197" i="2"/>
  <c r="H197" i="2"/>
  <c r="L197" i="2" s="1"/>
  <c r="G197" i="2"/>
  <c r="M197" i="2" s="1"/>
  <c r="F197" i="2"/>
  <c r="J196" i="2"/>
  <c r="I196" i="2"/>
  <c r="H196" i="2"/>
  <c r="L196" i="2" s="1"/>
  <c r="G196" i="2"/>
  <c r="M196" i="2" s="1"/>
  <c r="F196" i="2"/>
  <c r="J195" i="2"/>
  <c r="I195" i="2"/>
  <c r="H195" i="2"/>
  <c r="L195" i="2" s="1"/>
  <c r="G195" i="2"/>
  <c r="M195" i="2" s="1"/>
  <c r="F195" i="2"/>
  <c r="J194" i="2"/>
  <c r="I194" i="2"/>
  <c r="H194" i="2"/>
  <c r="L194" i="2" s="1"/>
  <c r="G194" i="2"/>
  <c r="M194" i="2" s="1"/>
  <c r="F194" i="2"/>
  <c r="J193" i="2"/>
  <c r="I193" i="2"/>
  <c r="H193" i="2"/>
  <c r="L193" i="2" s="1"/>
  <c r="G193" i="2"/>
  <c r="M193" i="2" s="1"/>
  <c r="F193" i="2"/>
  <c r="J192" i="2"/>
  <c r="I192" i="2"/>
  <c r="H192" i="2"/>
  <c r="L192" i="2" s="1"/>
  <c r="G192" i="2"/>
  <c r="M192" i="2" s="1"/>
  <c r="F192" i="2"/>
  <c r="J191" i="2"/>
  <c r="I191" i="2"/>
  <c r="H191" i="2"/>
  <c r="L191" i="2" s="1"/>
  <c r="G191" i="2"/>
  <c r="M191" i="2" s="1"/>
  <c r="F191" i="2"/>
  <c r="J190" i="2"/>
  <c r="I190" i="2"/>
  <c r="H190" i="2"/>
  <c r="L190" i="2" s="1"/>
  <c r="G190" i="2"/>
  <c r="M190" i="2" s="1"/>
  <c r="F190" i="2"/>
  <c r="J189" i="2"/>
  <c r="I189" i="2"/>
  <c r="H189" i="2"/>
  <c r="L189" i="2" s="1"/>
  <c r="G189" i="2"/>
  <c r="M189" i="2" s="1"/>
  <c r="F189" i="2"/>
  <c r="J188" i="2"/>
  <c r="I188" i="2"/>
  <c r="H188" i="2"/>
  <c r="L188" i="2" s="1"/>
  <c r="G188" i="2"/>
  <c r="M188" i="2" s="1"/>
  <c r="F188" i="2"/>
  <c r="J187" i="2"/>
  <c r="I187" i="2"/>
  <c r="H187" i="2"/>
  <c r="L187" i="2" s="1"/>
  <c r="G187" i="2"/>
  <c r="M187" i="2" s="1"/>
  <c r="F187" i="2"/>
  <c r="J186" i="2"/>
  <c r="I186" i="2"/>
  <c r="H186" i="2"/>
  <c r="L186" i="2" s="1"/>
  <c r="G186" i="2"/>
  <c r="M186" i="2" s="1"/>
  <c r="F186" i="2"/>
  <c r="J185" i="2"/>
  <c r="I185" i="2"/>
  <c r="H185" i="2"/>
  <c r="L185" i="2" s="1"/>
  <c r="G185" i="2"/>
  <c r="M185" i="2" s="1"/>
  <c r="F185" i="2"/>
  <c r="J184" i="2"/>
  <c r="I184" i="2"/>
  <c r="H184" i="2"/>
  <c r="L184" i="2" s="1"/>
  <c r="G184" i="2"/>
  <c r="M184" i="2" s="1"/>
  <c r="F184" i="2"/>
  <c r="J183" i="2"/>
  <c r="I183" i="2"/>
  <c r="H183" i="2"/>
  <c r="L183" i="2" s="1"/>
  <c r="G183" i="2"/>
  <c r="M183" i="2" s="1"/>
  <c r="F183" i="2"/>
  <c r="J182" i="2"/>
  <c r="I182" i="2"/>
  <c r="H182" i="2"/>
  <c r="L182" i="2" s="1"/>
  <c r="G182" i="2"/>
  <c r="M182" i="2" s="1"/>
  <c r="F182" i="2"/>
  <c r="J181" i="2"/>
  <c r="I181" i="2"/>
  <c r="H181" i="2"/>
  <c r="L181" i="2" s="1"/>
  <c r="G181" i="2"/>
  <c r="M181" i="2" s="1"/>
  <c r="F181" i="2"/>
  <c r="J180" i="2"/>
  <c r="I180" i="2"/>
  <c r="H180" i="2"/>
  <c r="L180" i="2" s="1"/>
  <c r="G180" i="2"/>
  <c r="M180" i="2" s="1"/>
  <c r="F180" i="2"/>
  <c r="J179" i="2"/>
  <c r="I179" i="2"/>
  <c r="H179" i="2"/>
  <c r="L179" i="2" s="1"/>
  <c r="G179" i="2"/>
  <c r="M179" i="2" s="1"/>
  <c r="F179" i="2"/>
  <c r="J178" i="2"/>
  <c r="I178" i="2"/>
  <c r="H178" i="2"/>
  <c r="L178" i="2" s="1"/>
  <c r="G178" i="2"/>
  <c r="M178" i="2" s="1"/>
  <c r="F178" i="2"/>
  <c r="J177" i="2"/>
  <c r="I177" i="2"/>
  <c r="H177" i="2"/>
  <c r="L177" i="2" s="1"/>
  <c r="G177" i="2"/>
  <c r="M177" i="2" s="1"/>
  <c r="F177" i="2"/>
  <c r="J176" i="2"/>
  <c r="I176" i="2"/>
  <c r="H176" i="2"/>
  <c r="L176" i="2" s="1"/>
  <c r="G176" i="2"/>
  <c r="M176" i="2" s="1"/>
  <c r="F176" i="2"/>
  <c r="J175" i="2"/>
  <c r="I175" i="2"/>
  <c r="H175" i="2"/>
  <c r="L175" i="2" s="1"/>
  <c r="G175" i="2"/>
  <c r="M175" i="2" s="1"/>
  <c r="F175" i="2"/>
  <c r="J174" i="2"/>
  <c r="I174" i="2"/>
  <c r="H174" i="2"/>
  <c r="L174" i="2" s="1"/>
  <c r="G174" i="2"/>
  <c r="M174" i="2" s="1"/>
  <c r="F174" i="2"/>
  <c r="J173" i="2"/>
  <c r="I173" i="2"/>
  <c r="H173" i="2"/>
  <c r="L173" i="2" s="1"/>
  <c r="G173" i="2"/>
  <c r="M173" i="2" s="1"/>
  <c r="F173" i="2"/>
  <c r="J172" i="2"/>
  <c r="I172" i="2"/>
  <c r="H172" i="2"/>
  <c r="L172" i="2" s="1"/>
  <c r="G172" i="2"/>
  <c r="M172" i="2" s="1"/>
  <c r="F172" i="2"/>
  <c r="J171" i="2"/>
  <c r="I171" i="2"/>
  <c r="H171" i="2"/>
  <c r="L171" i="2" s="1"/>
  <c r="G171" i="2"/>
  <c r="M171" i="2" s="1"/>
  <c r="F171" i="2"/>
  <c r="J170" i="2"/>
  <c r="I170" i="2"/>
  <c r="H170" i="2"/>
  <c r="L170" i="2" s="1"/>
  <c r="G170" i="2"/>
  <c r="M170" i="2" s="1"/>
  <c r="F170" i="2"/>
  <c r="J169" i="2"/>
  <c r="I169" i="2"/>
  <c r="H169" i="2"/>
  <c r="L169" i="2" s="1"/>
  <c r="G169" i="2"/>
  <c r="M169" i="2" s="1"/>
  <c r="F169" i="2"/>
  <c r="J168" i="2"/>
  <c r="I168" i="2"/>
  <c r="H168" i="2"/>
  <c r="L168" i="2" s="1"/>
  <c r="G168" i="2"/>
  <c r="M168" i="2" s="1"/>
  <c r="F168" i="2"/>
  <c r="J167" i="2"/>
  <c r="I167" i="2"/>
  <c r="H167" i="2"/>
  <c r="L167" i="2" s="1"/>
  <c r="G167" i="2"/>
  <c r="M167" i="2" s="1"/>
  <c r="F167" i="2"/>
  <c r="J166" i="2"/>
  <c r="I166" i="2"/>
  <c r="H166" i="2"/>
  <c r="L166" i="2" s="1"/>
  <c r="G166" i="2"/>
  <c r="M166" i="2" s="1"/>
  <c r="F166" i="2"/>
  <c r="J165" i="2"/>
  <c r="I165" i="2"/>
  <c r="H165" i="2"/>
  <c r="L165" i="2" s="1"/>
  <c r="G165" i="2"/>
  <c r="M165" i="2" s="1"/>
  <c r="F165" i="2"/>
  <c r="J164" i="2"/>
  <c r="I164" i="2"/>
  <c r="H164" i="2"/>
  <c r="L164" i="2" s="1"/>
  <c r="G164" i="2"/>
  <c r="M164" i="2" s="1"/>
  <c r="F164" i="2"/>
  <c r="J163" i="2"/>
  <c r="I163" i="2"/>
  <c r="H163" i="2"/>
  <c r="L163" i="2" s="1"/>
  <c r="G163" i="2"/>
  <c r="M163" i="2" s="1"/>
  <c r="F163" i="2"/>
  <c r="J162" i="2"/>
  <c r="I162" i="2"/>
  <c r="H162" i="2"/>
  <c r="L162" i="2" s="1"/>
  <c r="G162" i="2"/>
  <c r="M162" i="2" s="1"/>
  <c r="F162" i="2"/>
  <c r="J161" i="2"/>
  <c r="I161" i="2"/>
  <c r="H161" i="2"/>
  <c r="L161" i="2" s="1"/>
  <c r="G161" i="2"/>
  <c r="M161" i="2" s="1"/>
  <c r="F161" i="2"/>
  <c r="J160" i="2"/>
  <c r="I160" i="2"/>
  <c r="H160" i="2"/>
  <c r="L160" i="2" s="1"/>
  <c r="G160" i="2"/>
  <c r="M160" i="2" s="1"/>
  <c r="F160" i="2"/>
  <c r="J159" i="2"/>
  <c r="I159" i="2"/>
  <c r="H159" i="2"/>
  <c r="L159" i="2" s="1"/>
  <c r="G159" i="2"/>
  <c r="M159" i="2" s="1"/>
  <c r="F159" i="2"/>
  <c r="J158" i="2"/>
  <c r="I158" i="2"/>
  <c r="H158" i="2"/>
  <c r="L158" i="2" s="1"/>
  <c r="G158" i="2"/>
  <c r="M158" i="2" s="1"/>
  <c r="F158" i="2"/>
  <c r="J157" i="2"/>
  <c r="I157" i="2"/>
  <c r="H157" i="2"/>
  <c r="L157" i="2" s="1"/>
  <c r="G157" i="2"/>
  <c r="M157" i="2" s="1"/>
  <c r="F157" i="2"/>
  <c r="J156" i="2"/>
  <c r="I156" i="2"/>
  <c r="H156" i="2"/>
  <c r="L156" i="2" s="1"/>
  <c r="G156" i="2"/>
  <c r="M156" i="2" s="1"/>
  <c r="F156" i="2"/>
  <c r="J155" i="2"/>
  <c r="I155" i="2"/>
  <c r="H155" i="2"/>
  <c r="L155" i="2" s="1"/>
  <c r="G155" i="2"/>
  <c r="M155" i="2" s="1"/>
  <c r="F155" i="2"/>
  <c r="J154" i="2"/>
  <c r="I154" i="2"/>
  <c r="H154" i="2"/>
  <c r="L154" i="2" s="1"/>
  <c r="G154" i="2"/>
  <c r="M154" i="2" s="1"/>
  <c r="F154" i="2"/>
  <c r="J153" i="2"/>
  <c r="I153" i="2"/>
  <c r="H153" i="2"/>
  <c r="L153" i="2" s="1"/>
  <c r="G153" i="2"/>
  <c r="M153" i="2" s="1"/>
  <c r="F153" i="2"/>
  <c r="J152" i="2"/>
  <c r="I152" i="2"/>
  <c r="H152" i="2"/>
  <c r="L152" i="2" s="1"/>
  <c r="G152" i="2"/>
  <c r="M152" i="2" s="1"/>
  <c r="F152" i="2"/>
  <c r="J151" i="2"/>
  <c r="I151" i="2"/>
  <c r="H151" i="2"/>
  <c r="L151" i="2" s="1"/>
  <c r="G151" i="2"/>
  <c r="M151" i="2" s="1"/>
  <c r="F151" i="2"/>
  <c r="J150" i="2"/>
  <c r="I150" i="2"/>
  <c r="H150" i="2"/>
  <c r="L150" i="2" s="1"/>
  <c r="G150" i="2"/>
  <c r="M150" i="2" s="1"/>
  <c r="F150" i="2"/>
  <c r="J149" i="2"/>
  <c r="I149" i="2"/>
  <c r="H149" i="2"/>
  <c r="L149" i="2" s="1"/>
  <c r="G149" i="2"/>
  <c r="M149" i="2" s="1"/>
  <c r="F149" i="2"/>
  <c r="J148" i="2"/>
  <c r="I148" i="2"/>
  <c r="H148" i="2"/>
  <c r="L148" i="2" s="1"/>
  <c r="G148" i="2"/>
  <c r="M148" i="2" s="1"/>
  <c r="F148" i="2"/>
  <c r="J147" i="2"/>
  <c r="I147" i="2"/>
  <c r="H147" i="2"/>
  <c r="L147" i="2" s="1"/>
  <c r="G147" i="2"/>
  <c r="M147" i="2" s="1"/>
  <c r="F147" i="2"/>
  <c r="J146" i="2"/>
  <c r="I146" i="2"/>
  <c r="H146" i="2"/>
  <c r="L146" i="2" s="1"/>
  <c r="G146" i="2"/>
  <c r="M146" i="2" s="1"/>
  <c r="F146" i="2"/>
  <c r="J145" i="2"/>
  <c r="I145" i="2"/>
  <c r="H145" i="2"/>
  <c r="L145" i="2" s="1"/>
  <c r="G145" i="2"/>
  <c r="M145" i="2" s="1"/>
  <c r="F145" i="2"/>
  <c r="J144" i="2"/>
  <c r="I144" i="2"/>
  <c r="H144" i="2"/>
  <c r="L144" i="2" s="1"/>
  <c r="G144" i="2"/>
  <c r="M144" i="2" s="1"/>
  <c r="F144" i="2"/>
  <c r="J143" i="2"/>
  <c r="I143" i="2"/>
  <c r="H143" i="2"/>
  <c r="L143" i="2" s="1"/>
  <c r="G143" i="2"/>
  <c r="M143" i="2" s="1"/>
  <c r="F143" i="2"/>
  <c r="J142" i="2"/>
  <c r="I142" i="2"/>
  <c r="H142" i="2"/>
  <c r="L142" i="2" s="1"/>
  <c r="G142" i="2"/>
  <c r="M142" i="2" s="1"/>
  <c r="F142" i="2"/>
  <c r="J141" i="2"/>
  <c r="I141" i="2"/>
  <c r="H141" i="2"/>
  <c r="L141" i="2" s="1"/>
  <c r="G141" i="2"/>
  <c r="M141" i="2" s="1"/>
  <c r="F141" i="2"/>
  <c r="J140" i="2"/>
  <c r="I140" i="2"/>
  <c r="H140" i="2"/>
  <c r="L140" i="2" s="1"/>
  <c r="G140" i="2"/>
  <c r="M140" i="2" s="1"/>
  <c r="F140" i="2"/>
  <c r="J139" i="2"/>
  <c r="I139" i="2"/>
  <c r="H139" i="2"/>
  <c r="L139" i="2" s="1"/>
  <c r="G139" i="2"/>
  <c r="M139" i="2" s="1"/>
  <c r="F139" i="2"/>
  <c r="J138" i="2"/>
  <c r="I138" i="2"/>
  <c r="H138" i="2"/>
  <c r="L138" i="2" s="1"/>
  <c r="G138" i="2"/>
  <c r="M138" i="2" s="1"/>
  <c r="F138" i="2"/>
  <c r="J137" i="2"/>
  <c r="I137" i="2"/>
  <c r="H137" i="2"/>
  <c r="L137" i="2" s="1"/>
  <c r="G137" i="2"/>
  <c r="M137" i="2" s="1"/>
  <c r="F137" i="2"/>
  <c r="J136" i="2"/>
  <c r="I136" i="2"/>
  <c r="H136" i="2"/>
  <c r="L136" i="2" s="1"/>
  <c r="G136" i="2"/>
  <c r="M136" i="2" s="1"/>
  <c r="F136" i="2"/>
  <c r="J135" i="2"/>
  <c r="I135" i="2"/>
  <c r="H135" i="2"/>
  <c r="L135" i="2" s="1"/>
  <c r="G135" i="2"/>
  <c r="M135" i="2" s="1"/>
  <c r="F135" i="2"/>
  <c r="J134" i="2"/>
  <c r="I134" i="2"/>
  <c r="H134" i="2"/>
  <c r="L134" i="2" s="1"/>
  <c r="G134" i="2"/>
  <c r="M134" i="2" s="1"/>
  <c r="F134" i="2"/>
  <c r="J133" i="2"/>
  <c r="I133" i="2"/>
  <c r="H133" i="2"/>
  <c r="L133" i="2" s="1"/>
  <c r="G133" i="2"/>
  <c r="M133" i="2" s="1"/>
  <c r="F133" i="2"/>
  <c r="J132" i="2"/>
  <c r="I132" i="2"/>
  <c r="H132" i="2"/>
  <c r="L132" i="2" s="1"/>
  <c r="G132" i="2"/>
  <c r="M132" i="2" s="1"/>
  <c r="F132" i="2"/>
  <c r="J131" i="2"/>
  <c r="I131" i="2"/>
  <c r="H131" i="2"/>
  <c r="L131" i="2" s="1"/>
  <c r="G131" i="2"/>
  <c r="M131" i="2" s="1"/>
  <c r="F131" i="2"/>
  <c r="J130" i="2"/>
  <c r="I130" i="2"/>
  <c r="H130" i="2"/>
  <c r="L130" i="2" s="1"/>
  <c r="G130" i="2"/>
  <c r="M130" i="2" s="1"/>
  <c r="F130" i="2"/>
  <c r="J129" i="2"/>
  <c r="I129" i="2"/>
  <c r="H129" i="2"/>
  <c r="L129" i="2" s="1"/>
  <c r="G129" i="2"/>
  <c r="M129" i="2" s="1"/>
  <c r="F129" i="2"/>
  <c r="J128" i="2"/>
  <c r="I128" i="2"/>
  <c r="H128" i="2"/>
  <c r="L128" i="2" s="1"/>
  <c r="G128" i="2"/>
  <c r="M128" i="2" s="1"/>
  <c r="F128" i="2"/>
  <c r="J127" i="2"/>
  <c r="I127" i="2"/>
  <c r="H127" i="2"/>
  <c r="L127" i="2" s="1"/>
  <c r="G127" i="2"/>
  <c r="M127" i="2" s="1"/>
  <c r="F127" i="2"/>
  <c r="J126" i="2"/>
  <c r="I126" i="2"/>
  <c r="H126" i="2"/>
  <c r="L126" i="2" s="1"/>
  <c r="G126" i="2"/>
  <c r="M126" i="2" s="1"/>
  <c r="F126" i="2"/>
  <c r="J125" i="2"/>
  <c r="I125" i="2"/>
  <c r="H125" i="2"/>
  <c r="L125" i="2" s="1"/>
  <c r="G125" i="2"/>
  <c r="M125" i="2" s="1"/>
  <c r="F125" i="2"/>
  <c r="J124" i="2"/>
  <c r="I124" i="2"/>
  <c r="H124" i="2"/>
  <c r="L124" i="2" s="1"/>
  <c r="G124" i="2"/>
  <c r="M124" i="2" s="1"/>
  <c r="F124" i="2"/>
  <c r="J123" i="2"/>
  <c r="I123" i="2"/>
  <c r="H123" i="2"/>
  <c r="L123" i="2" s="1"/>
  <c r="G123" i="2"/>
  <c r="M123" i="2" s="1"/>
  <c r="F123" i="2"/>
  <c r="J122" i="2"/>
  <c r="I122" i="2"/>
  <c r="H122" i="2"/>
  <c r="L122" i="2" s="1"/>
  <c r="G122" i="2"/>
  <c r="M122" i="2" s="1"/>
  <c r="F122" i="2"/>
  <c r="J121" i="2"/>
  <c r="I121" i="2"/>
  <c r="H121" i="2"/>
  <c r="L121" i="2" s="1"/>
  <c r="G121" i="2"/>
  <c r="M121" i="2" s="1"/>
  <c r="F121" i="2"/>
  <c r="J120" i="2"/>
  <c r="I120" i="2"/>
  <c r="H120" i="2"/>
  <c r="L120" i="2" s="1"/>
  <c r="G120" i="2"/>
  <c r="M120" i="2" s="1"/>
  <c r="F120" i="2"/>
  <c r="J119" i="2"/>
  <c r="I119" i="2"/>
  <c r="H119" i="2"/>
  <c r="L119" i="2" s="1"/>
  <c r="G119" i="2"/>
  <c r="M119" i="2" s="1"/>
  <c r="F119" i="2"/>
  <c r="J118" i="2"/>
  <c r="I118" i="2"/>
  <c r="H118" i="2"/>
  <c r="L118" i="2" s="1"/>
  <c r="G118" i="2"/>
  <c r="M118" i="2" s="1"/>
  <c r="F118" i="2"/>
  <c r="J117" i="2"/>
  <c r="I117" i="2"/>
  <c r="H117" i="2"/>
  <c r="L117" i="2" s="1"/>
  <c r="G117" i="2"/>
  <c r="M117" i="2" s="1"/>
  <c r="F117" i="2"/>
  <c r="J116" i="2"/>
  <c r="I116" i="2"/>
  <c r="H116" i="2"/>
  <c r="L116" i="2" s="1"/>
  <c r="G116" i="2"/>
  <c r="M116" i="2" s="1"/>
  <c r="F116" i="2"/>
  <c r="J115" i="2"/>
  <c r="I115" i="2"/>
  <c r="H115" i="2"/>
  <c r="L115" i="2" s="1"/>
  <c r="G115" i="2"/>
  <c r="M115" i="2" s="1"/>
  <c r="F115" i="2"/>
  <c r="J114" i="2"/>
  <c r="I114" i="2"/>
  <c r="H114" i="2"/>
  <c r="L114" i="2" s="1"/>
  <c r="G114" i="2"/>
  <c r="M114" i="2" s="1"/>
  <c r="F114" i="2"/>
  <c r="J113" i="2"/>
  <c r="I113" i="2"/>
  <c r="H113" i="2"/>
  <c r="L113" i="2" s="1"/>
  <c r="G113" i="2"/>
  <c r="M113" i="2" s="1"/>
  <c r="F113" i="2"/>
  <c r="J112" i="2"/>
  <c r="I112" i="2"/>
  <c r="H112" i="2"/>
  <c r="L112" i="2" s="1"/>
  <c r="G112" i="2"/>
  <c r="M112" i="2" s="1"/>
  <c r="F112" i="2"/>
  <c r="J111" i="2"/>
  <c r="I111" i="2"/>
  <c r="H111" i="2"/>
  <c r="L111" i="2" s="1"/>
  <c r="G111" i="2"/>
  <c r="M111" i="2" s="1"/>
  <c r="F111" i="2"/>
  <c r="J110" i="2"/>
  <c r="I110" i="2"/>
  <c r="H110" i="2"/>
  <c r="L110" i="2" s="1"/>
  <c r="G110" i="2"/>
  <c r="M110" i="2" s="1"/>
  <c r="F110" i="2"/>
  <c r="J109" i="2"/>
  <c r="I109" i="2"/>
  <c r="H109" i="2"/>
  <c r="L109" i="2" s="1"/>
  <c r="G109" i="2"/>
  <c r="M109" i="2" s="1"/>
  <c r="F109" i="2"/>
  <c r="J108" i="2"/>
  <c r="I108" i="2"/>
  <c r="H108" i="2"/>
  <c r="L108" i="2" s="1"/>
  <c r="G108" i="2"/>
  <c r="M108" i="2" s="1"/>
  <c r="F108" i="2"/>
  <c r="J107" i="2"/>
  <c r="I107" i="2"/>
  <c r="H107" i="2"/>
  <c r="L107" i="2" s="1"/>
  <c r="G107" i="2"/>
  <c r="M107" i="2" s="1"/>
  <c r="F107" i="2"/>
  <c r="J106" i="2"/>
  <c r="I106" i="2"/>
  <c r="H106" i="2"/>
  <c r="L106" i="2" s="1"/>
  <c r="G106" i="2"/>
  <c r="M106" i="2" s="1"/>
  <c r="F106" i="2"/>
  <c r="J105" i="2"/>
  <c r="I105" i="2"/>
  <c r="H105" i="2"/>
  <c r="L105" i="2" s="1"/>
  <c r="G105" i="2"/>
  <c r="M105" i="2" s="1"/>
  <c r="F105" i="2"/>
  <c r="J104" i="2"/>
  <c r="I104" i="2"/>
  <c r="H104" i="2"/>
  <c r="L104" i="2" s="1"/>
  <c r="G104" i="2"/>
  <c r="M104" i="2" s="1"/>
  <c r="F104" i="2"/>
  <c r="J103" i="2"/>
  <c r="I103" i="2"/>
  <c r="H103" i="2"/>
  <c r="L103" i="2" s="1"/>
  <c r="G103" i="2"/>
  <c r="M103" i="2" s="1"/>
  <c r="F103" i="2"/>
  <c r="J102" i="2"/>
  <c r="I102" i="2"/>
  <c r="H102" i="2"/>
  <c r="L102" i="2" s="1"/>
  <c r="G102" i="2"/>
  <c r="M102" i="2" s="1"/>
  <c r="F102" i="2"/>
  <c r="J101" i="2"/>
  <c r="I101" i="2"/>
  <c r="H101" i="2"/>
  <c r="L101" i="2" s="1"/>
  <c r="G101" i="2"/>
  <c r="M101" i="2" s="1"/>
  <c r="F101" i="2"/>
  <c r="J100" i="2"/>
  <c r="I100" i="2"/>
  <c r="H100" i="2"/>
  <c r="L100" i="2" s="1"/>
  <c r="G100" i="2"/>
  <c r="M100" i="2" s="1"/>
  <c r="F100" i="2"/>
  <c r="J99" i="2"/>
  <c r="I99" i="2"/>
  <c r="H99" i="2"/>
  <c r="L99" i="2" s="1"/>
  <c r="G99" i="2"/>
  <c r="M99" i="2" s="1"/>
  <c r="F99" i="2"/>
  <c r="J98" i="2"/>
  <c r="I98" i="2"/>
  <c r="H98" i="2"/>
  <c r="L98" i="2" s="1"/>
  <c r="G98" i="2"/>
  <c r="M98" i="2" s="1"/>
  <c r="F98" i="2"/>
  <c r="J97" i="2"/>
  <c r="I97" i="2"/>
  <c r="H97" i="2"/>
  <c r="L97" i="2" s="1"/>
  <c r="G97" i="2"/>
  <c r="M97" i="2" s="1"/>
  <c r="F97" i="2"/>
  <c r="J96" i="2"/>
  <c r="I96" i="2"/>
  <c r="H96" i="2"/>
  <c r="L96" i="2" s="1"/>
  <c r="G96" i="2"/>
  <c r="M96" i="2" s="1"/>
  <c r="F96" i="2"/>
  <c r="J95" i="2"/>
  <c r="I95" i="2"/>
  <c r="H95" i="2"/>
  <c r="L95" i="2" s="1"/>
  <c r="G95" i="2"/>
  <c r="M95" i="2" s="1"/>
  <c r="F95" i="2"/>
  <c r="J94" i="2"/>
  <c r="I94" i="2"/>
  <c r="H94" i="2"/>
  <c r="L94" i="2" s="1"/>
  <c r="G94" i="2"/>
  <c r="M94" i="2" s="1"/>
  <c r="F94" i="2"/>
  <c r="J93" i="2"/>
  <c r="I93" i="2"/>
  <c r="H93" i="2"/>
  <c r="L93" i="2" s="1"/>
  <c r="G93" i="2"/>
  <c r="M93" i="2" s="1"/>
  <c r="F93" i="2"/>
  <c r="J92" i="2"/>
  <c r="I92" i="2"/>
  <c r="H92" i="2"/>
  <c r="L92" i="2" s="1"/>
  <c r="G92" i="2"/>
  <c r="M92" i="2" s="1"/>
  <c r="F92" i="2"/>
  <c r="J91" i="2"/>
  <c r="I91" i="2"/>
  <c r="H91" i="2"/>
  <c r="L91" i="2" s="1"/>
  <c r="G91" i="2"/>
  <c r="M91" i="2" s="1"/>
  <c r="F91" i="2"/>
  <c r="J90" i="2"/>
  <c r="I90" i="2"/>
  <c r="H90" i="2"/>
  <c r="L90" i="2" s="1"/>
  <c r="G90" i="2"/>
  <c r="M90" i="2" s="1"/>
  <c r="F90" i="2"/>
  <c r="J89" i="2"/>
  <c r="I89" i="2"/>
  <c r="H89" i="2"/>
  <c r="L89" i="2" s="1"/>
  <c r="G89" i="2"/>
  <c r="M89" i="2" s="1"/>
  <c r="F89" i="2"/>
  <c r="J88" i="2"/>
  <c r="I88" i="2"/>
  <c r="H88" i="2"/>
  <c r="L88" i="2" s="1"/>
  <c r="G88" i="2"/>
  <c r="M88" i="2" s="1"/>
  <c r="F88" i="2"/>
  <c r="J87" i="2"/>
  <c r="I87" i="2"/>
  <c r="H87" i="2"/>
  <c r="L87" i="2" s="1"/>
  <c r="G87" i="2"/>
  <c r="M87" i="2" s="1"/>
  <c r="F87" i="2"/>
  <c r="J86" i="2"/>
  <c r="I86" i="2"/>
  <c r="H86" i="2"/>
  <c r="L86" i="2" s="1"/>
  <c r="G86" i="2"/>
  <c r="M86" i="2" s="1"/>
  <c r="F86" i="2"/>
  <c r="J85" i="2"/>
  <c r="I85" i="2"/>
  <c r="H85" i="2"/>
  <c r="L85" i="2" s="1"/>
  <c r="G85" i="2"/>
  <c r="M85" i="2" s="1"/>
  <c r="F85" i="2"/>
  <c r="J84" i="2"/>
  <c r="I84" i="2"/>
  <c r="H84" i="2"/>
  <c r="L84" i="2" s="1"/>
  <c r="G84" i="2"/>
  <c r="M84" i="2" s="1"/>
  <c r="F84" i="2"/>
  <c r="J83" i="2"/>
  <c r="I83" i="2"/>
  <c r="H83" i="2"/>
  <c r="L83" i="2" s="1"/>
  <c r="G83" i="2"/>
  <c r="M83" i="2" s="1"/>
  <c r="F83" i="2"/>
  <c r="J82" i="2"/>
  <c r="I82" i="2"/>
  <c r="H82" i="2"/>
  <c r="L82" i="2" s="1"/>
  <c r="G82" i="2"/>
  <c r="M82" i="2" s="1"/>
  <c r="F82" i="2"/>
  <c r="J81" i="2"/>
  <c r="I81" i="2"/>
  <c r="H81" i="2"/>
  <c r="L81" i="2" s="1"/>
  <c r="G81" i="2"/>
  <c r="M81" i="2" s="1"/>
  <c r="F81" i="2"/>
  <c r="J80" i="2"/>
  <c r="I80" i="2"/>
  <c r="H80" i="2"/>
  <c r="L80" i="2" s="1"/>
  <c r="G80" i="2"/>
  <c r="M80" i="2" s="1"/>
  <c r="F80" i="2"/>
  <c r="J79" i="2"/>
  <c r="I79" i="2"/>
  <c r="H79" i="2"/>
  <c r="L79" i="2" s="1"/>
  <c r="G79" i="2"/>
  <c r="M79" i="2" s="1"/>
  <c r="F79" i="2"/>
  <c r="J78" i="2"/>
  <c r="I78" i="2"/>
  <c r="H78" i="2"/>
  <c r="L78" i="2" s="1"/>
  <c r="G78" i="2"/>
  <c r="M78" i="2" s="1"/>
  <c r="F78" i="2"/>
  <c r="J77" i="2"/>
  <c r="I77" i="2"/>
  <c r="H77" i="2"/>
  <c r="L77" i="2" s="1"/>
  <c r="G77" i="2"/>
  <c r="M77" i="2" s="1"/>
  <c r="F77" i="2"/>
  <c r="J76" i="2"/>
  <c r="I76" i="2"/>
  <c r="H76" i="2"/>
  <c r="L76" i="2" s="1"/>
  <c r="G76" i="2"/>
  <c r="M76" i="2" s="1"/>
  <c r="F76" i="2"/>
  <c r="J75" i="2"/>
  <c r="I75" i="2"/>
  <c r="H75" i="2"/>
  <c r="L75" i="2" s="1"/>
  <c r="G75" i="2"/>
  <c r="M75" i="2" s="1"/>
  <c r="F75" i="2"/>
  <c r="J74" i="2"/>
  <c r="I74" i="2"/>
  <c r="H74" i="2"/>
  <c r="L74" i="2" s="1"/>
  <c r="G74" i="2"/>
  <c r="M74" i="2" s="1"/>
  <c r="F74" i="2"/>
  <c r="J73" i="2"/>
  <c r="I73" i="2"/>
  <c r="H73" i="2"/>
  <c r="L73" i="2" s="1"/>
  <c r="G73" i="2"/>
  <c r="M73" i="2" s="1"/>
  <c r="F73" i="2"/>
  <c r="J72" i="2"/>
  <c r="I72" i="2"/>
  <c r="H72" i="2"/>
  <c r="L72" i="2" s="1"/>
  <c r="G72" i="2"/>
  <c r="M72" i="2" s="1"/>
  <c r="F72" i="2"/>
  <c r="J71" i="2"/>
  <c r="I71" i="2"/>
  <c r="H71" i="2"/>
  <c r="L71" i="2" s="1"/>
  <c r="G71" i="2"/>
  <c r="M71" i="2" s="1"/>
  <c r="F71" i="2"/>
  <c r="J70" i="2"/>
  <c r="I70" i="2"/>
  <c r="H70" i="2"/>
  <c r="L70" i="2" s="1"/>
  <c r="G70" i="2"/>
  <c r="M70" i="2" s="1"/>
  <c r="F70" i="2"/>
  <c r="J69" i="2"/>
  <c r="I69" i="2"/>
  <c r="H69" i="2"/>
  <c r="L69" i="2" s="1"/>
  <c r="G69" i="2"/>
  <c r="M69" i="2" s="1"/>
  <c r="F69" i="2"/>
  <c r="J68" i="2"/>
  <c r="I68" i="2"/>
  <c r="H68" i="2"/>
  <c r="L68" i="2" s="1"/>
  <c r="G68" i="2"/>
  <c r="M68" i="2" s="1"/>
  <c r="F68" i="2"/>
  <c r="J67" i="2"/>
  <c r="I67" i="2"/>
  <c r="H67" i="2"/>
  <c r="L67" i="2" s="1"/>
  <c r="G67" i="2"/>
  <c r="M67" i="2" s="1"/>
  <c r="F67" i="2"/>
  <c r="J66" i="2"/>
  <c r="I66" i="2"/>
  <c r="H66" i="2"/>
  <c r="L66" i="2" s="1"/>
  <c r="G66" i="2"/>
  <c r="M66" i="2" s="1"/>
  <c r="F66" i="2"/>
  <c r="J65" i="2"/>
  <c r="I65" i="2"/>
  <c r="H65" i="2"/>
  <c r="L65" i="2" s="1"/>
  <c r="G65" i="2"/>
  <c r="M65" i="2" s="1"/>
  <c r="F65" i="2"/>
  <c r="J64" i="2"/>
  <c r="I64" i="2"/>
  <c r="H64" i="2"/>
  <c r="L64" i="2" s="1"/>
  <c r="G64" i="2"/>
  <c r="M64" i="2" s="1"/>
  <c r="F64" i="2"/>
  <c r="J63" i="2"/>
  <c r="I63" i="2"/>
  <c r="H63" i="2"/>
  <c r="L63" i="2" s="1"/>
  <c r="G63" i="2"/>
  <c r="M63" i="2" s="1"/>
  <c r="F63" i="2"/>
  <c r="J62" i="2"/>
  <c r="I62" i="2"/>
  <c r="H62" i="2"/>
  <c r="L62" i="2" s="1"/>
  <c r="G62" i="2"/>
  <c r="M62" i="2" s="1"/>
  <c r="F62" i="2"/>
  <c r="J61" i="2"/>
  <c r="I61" i="2"/>
  <c r="H61" i="2"/>
  <c r="L61" i="2" s="1"/>
  <c r="G61" i="2"/>
  <c r="M61" i="2" s="1"/>
  <c r="F61" i="2"/>
  <c r="J60" i="2"/>
  <c r="I60" i="2"/>
  <c r="H60" i="2"/>
  <c r="L60" i="2" s="1"/>
  <c r="G60" i="2"/>
  <c r="M60" i="2" s="1"/>
  <c r="F60" i="2"/>
  <c r="J59" i="2"/>
  <c r="I59" i="2"/>
  <c r="H59" i="2"/>
  <c r="L59" i="2" s="1"/>
  <c r="G59" i="2"/>
  <c r="M59" i="2" s="1"/>
  <c r="F59" i="2"/>
  <c r="J58" i="2"/>
  <c r="I58" i="2"/>
  <c r="H58" i="2"/>
  <c r="L58" i="2" s="1"/>
  <c r="G58" i="2"/>
  <c r="M58" i="2" s="1"/>
  <c r="F58" i="2"/>
  <c r="J57" i="2"/>
  <c r="I57" i="2"/>
  <c r="H57" i="2"/>
  <c r="L57" i="2" s="1"/>
  <c r="G57" i="2"/>
  <c r="M57" i="2" s="1"/>
  <c r="F57" i="2"/>
  <c r="J56" i="2"/>
  <c r="I56" i="2"/>
  <c r="H56" i="2"/>
  <c r="L56" i="2" s="1"/>
  <c r="G56" i="2"/>
  <c r="M56" i="2" s="1"/>
  <c r="F56" i="2"/>
  <c r="J55" i="2"/>
  <c r="I55" i="2"/>
  <c r="H55" i="2"/>
  <c r="L55" i="2" s="1"/>
  <c r="G55" i="2"/>
  <c r="M55" i="2" s="1"/>
  <c r="F55" i="2"/>
  <c r="J54" i="2"/>
  <c r="I54" i="2"/>
  <c r="H54" i="2"/>
  <c r="L54" i="2" s="1"/>
  <c r="G54" i="2"/>
  <c r="M54" i="2" s="1"/>
  <c r="F54" i="2"/>
  <c r="J53" i="2"/>
  <c r="I53" i="2"/>
  <c r="H53" i="2"/>
  <c r="L53" i="2" s="1"/>
  <c r="G53" i="2"/>
  <c r="M53" i="2" s="1"/>
  <c r="F53" i="2"/>
  <c r="J52" i="2"/>
  <c r="I52" i="2"/>
  <c r="H52" i="2"/>
  <c r="L52" i="2" s="1"/>
  <c r="G52" i="2"/>
  <c r="M52" i="2" s="1"/>
  <c r="F52" i="2"/>
  <c r="J51" i="2"/>
  <c r="I51" i="2"/>
  <c r="H51" i="2"/>
  <c r="L51" i="2" s="1"/>
  <c r="G51" i="2"/>
  <c r="M51" i="2" s="1"/>
  <c r="F51" i="2"/>
  <c r="J50" i="2"/>
  <c r="I50" i="2"/>
  <c r="H50" i="2"/>
  <c r="L50" i="2" s="1"/>
  <c r="G50" i="2"/>
  <c r="M50" i="2" s="1"/>
  <c r="F50" i="2"/>
  <c r="J49" i="2"/>
  <c r="I49" i="2"/>
  <c r="H49" i="2"/>
  <c r="L49" i="2" s="1"/>
  <c r="G49" i="2"/>
  <c r="M49" i="2" s="1"/>
  <c r="F49" i="2"/>
  <c r="J48" i="2"/>
  <c r="I48" i="2"/>
  <c r="H48" i="2"/>
  <c r="L48" i="2" s="1"/>
  <c r="G48" i="2"/>
  <c r="M48" i="2" s="1"/>
  <c r="F48" i="2"/>
  <c r="J47" i="2"/>
  <c r="I47" i="2"/>
  <c r="H47" i="2"/>
  <c r="L47" i="2" s="1"/>
  <c r="G47" i="2"/>
  <c r="M47" i="2" s="1"/>
  <c r="F47" i="2"/>
  <c r="J46" i="2"/>
  <c r="I46" i="2"/>
  <c r="H46" i="2"/>
  <c r="L46" i="2" s="1"/>
  <c r="G46" i="2"/>
  <c r="M46" i="2" s="1"/>
  <c r="F46" i="2"/>
  <c r="J45" i="2"/>
  <c r="I45" i="2"/>
  <c r="H45" i="2"/>
  <c r="L45" i="2" s="1"/>
  <c r="G45" i="2"/>
  <c r="M45" i="2" s="1"/>
  <c r="F45" i="2"/>
  <c r="J44" i="2"/>
  <c r="I44" i="2"/>
  <c r="H44" i="2"/>
  <c r="L44" i="2" s="1"/>
  <c r="G44" i="2"/>
  <c r="M44" i="2" s="1"/>
  <c r="F44" i="2"/>
  <c r="J43" i="2"/>
  <c r="I43" i="2"/>
  <c r="H43" i="2"/>
  <c r="L43" i="2" s="1"/>
  <c r="G43" i="2"/>
  <c r="M43" i="2" s="1"/>
  <c r="F43" i="2"/>
  <c r="J42" i="2"/>
  <c r="I42" i="2"/>
  <c r="H42" i="2"/>
  <c r="L42" i="2" s="1"/>
  <c r="G42" i="2"/>
  <c r="M42" i="2" s="1"/>
  <c r="F42" i="2"/>
  <c r="J41" i="2"/>
  <c r="I41" i="2"/>
  <c r="H41" i="2"/>
  <c r="L41" i="2" s="1"/>
  <c r="G41" i="2"/>
  <c r="M41" i="2" s="1"/>
  <c r="F41" i="2"/>
  <c r="J40" i="2"/>
  <c r="I40" i="2"/>
  <c r="H40" i="2"/>
  <c r="L40" i="2" s="1"/>
  <c r="G40" i="2"/>
  <c r="M40" i="2" s="1"/>
  <c r="F40" i="2"/>
  <c r="J39" i="2"/>
  <c r="I39" i="2"/>
  <c r="H39" i="2"/>
  <c r="L39" i="2" s="1"/>
  <c r="G39" i="2"/>
  <c r="M39" i="2" s="1"/>
  <c r="F39" i="2"/>
  <c r="J38" i="2"/>
  <c r="I38" i="2"/>
  <c r="H38" i="2"/>
  <c r="L38" i="2" s="1"/>
  <c r="G38" i="2"/>
  <c r="M38" i="2" s="1"/>
  <c r="F38" i="2"/>
  <c r="J37" i="2"/>
  <c r="I37" i="2"/>
  <c r="H37" i="2"/>
  <c r="L37" i="2" s="1"/>
  <c r="G37" i="2"/>
  <c r="M37" i="2" s="1"/>
  <c r="F37" i="2"/>
  <c r="J36" i="2"/>
  <c r="I36" i="2"/>
  <c r="H36" i="2"/>
  <c r="L36" i="2" s="1"/>
  <c r="G36" i="2"/>
  <c r="M36" i="2" s="1"/>
  <c r="F36" i="2"/>
  <c r="J35" i="2"/>
  <c r="I35" i="2"/>
  <c r="H35" i="2"/>
  <c r="L35" i="2" s="1"/>
  <c r="G35" i="2"/>
  <c r="M35" i="2" s="1"/>
  <c r="F35" i="2"/>
  <c r="J34" i="2"/>
  <c r="I34" i="2"/>
  <c r="H34" i="2"/>
  <c r="L34" i="2" s="1"/>
  <c r="G34" i="2"/>
  <c r="M34" i="2" s="1"/>
  <c r="F34" i="2"/>
  <c r="J33" i="2"/>
  <c r="I33" i="2"/>
  <c r="H33" i="2"/>
  <c r="L33" i="2" s="1"/>
  <c r="G33" i="2"/>
  <c r="M33" i="2" s="1"/>
  <c r="F33" i="2"/>
  <c r="J32" i="2"/>
  <c r="I32" i="2"/>
  <c r="H32" i="2"/>
  <c r="L32" i="2" s="1"/>
  <c r="G32" i="2"/>
  <c r="M32" i="2" s="1"/>
  <c r="F32" i="2"/>
  <c r="J31" i="2"/>
  <c r="I31" i="2"/>
  <c r="H31" i="2"/>
  <c r="L31" i="2" s="1"/>
  <c r="G31" i="2"/>
  <c r="M31" i="2" s="1"/>
  <c r="F31" i="2"/>
  <c r="J30" i="2"/>
  <c r="I30" i="2"/>
  <c r="H30" i="2"/>
  <c r="L30" i="2" s="1"/>
  <c r="G30" i="2"/>
  <c r="M30" i="2" s="1"/>
  <c r="F30" i="2"/>
  <c r="J29" i="2"/>
  <c r="I29" i="2"/>
  <c r="H29" i="2"/>
  <c r="L29" i="2" s="1"/>
  <c r="G29" i="2"/>
  <c r="M29" i="2" s="1"/>
  <c r="F29" i="2"/>
  <c r="J28" i="2"/>
  <c r="I28" i="2"/>
  <c r="H28" i="2"/>
  <c r="L28" i="2" s="1"/>
  <c r="G28" i="2"/>
  <c r="M28" i="2" s="1"/>
  <c r="F28" i="2"/>
  <c r="J27" i="2"/>
  <c r="I27" i="2"/>
  <c r="H27" i="2"/>
  <c r="L27" i="2" s="1"/>
  <c r="G27" i="2"/>
  <c r="M27" i="2" s="1"/>
  <c r="F27" i="2"/>
  <c r="J26" i="2"/>
  <c r="I26" i="2"/>
  <c r="H26" i="2"/>
  <c r="L26" i="2" s="1"/>
  <c r="G26" i="2"/>
  <c r="M26" i="2" s="1"/>
  <c r="F26" i="2"/>
  <c r="J25" i="2"/>
  <c r="I25" i="2"/>
  <c r="H25" i="2"/>
  <c r="L25" i="2" s="1"/>
  <c r="G25" i="2"/>
  <c r="M25" i="2" s="1"/>
  <c r="F25" i="2"/>
  <c r="J24" i="2"/>
  <c r="I24" i="2"/>
  <c r="H24" i="2"/>
  <c r="L24" i="2" s="1"/>
  <c r="G24" i="2"/>
  <c r="M24" i="2" s="1"/>
  <c r="F24" i="2"/>
  <c r="J23" i="2"/>
  <c r="I23" i="2"/>
  <c r="H23" i="2"/>
  <c r="L23" i="2" s="1"/>
  <c r="G23" i="2"/>
  <c r="M23" i="2" s="1"/>
  <c r="F23" i="2"/>
  <c r="J22" i="2"/>
  <c r="I22" i="2"/>
  <c r="H22" i="2"/>
  <c r="L22" i="2" s="1"/>
  <c r="G22" i="2"/>
  <c r="M22" i="2" s="1"/>
  <c r="F22" i="2"/>
  <c r="J21" i="2"/>
  <c r="I21" i="2"/>
  <c r="H21" i="2"/>
  <c r="L21" i="2" s="1"/>
  <c r="G21" i="2"/>
  <c r="M21" i="2" s="1"/>
  <c r="F21" i="2"/>
  <c r="J20" i="2"/>
  <c r="I20" i="2"/>
  <c r="H20" i="2"/>
  <c r="L20" i="2" s="1"/>
  <c r="G20" i="2"/>
  <c r="M20" i="2" s="1"/>
  <c r="F20" i="2"/>
  <c r="J19" i="2"/>
  <c r="I19" i="2"/>
  <c r="H19" i="2"/>
  <c r="L19" i="2" s="1"/>
  <c r="G19" i="2"/>
  <c r="M19" i="2" s="1"/>
  <c r="F19" i="2"/>
  <c r="J18" i="2"/>
  <c r="I18" i="2"/>
  <c r="H18" i="2"/>
  <c r="L18" i="2" s="1"/>
  <c r="G18" i="2"/>
  <c r="M18" i="2" s="1"/>
  <c r="F18" i="2"/>
  <c r="J17" i="2"/>
  <c r="I17" i="2"/>
  <c r="H17" i="2"/>
  <c r="L17" i="2" s="1"/>
  <c r="G17" i="2"/>
  <c r="M17" i="2" s="1"/>
  <c r="F17" i="2"/>
  <c r="J16" i="2"/>
  <c r="I16" i="2"/>
  <c r="H16" i="2"/>
  <c r="L16" i="2" s="1"/>
  <c r="G16" i="2"/>
  <c r="M16" i="2" s="1"/>
  <c r="F16" i="2"/>
  <c r="J15" i="2"/>
  <c r="I15" i="2"/>
  <c r="H15" i="2"/>
  <c r="L15" i="2" s="1"/>
  <c r="G15" i="2"/>
  <c r="M15" i="2" s="1"/>
  <c r="F15" i="2"/>
  <c r="J14" i="2"/>
  <c r="I14" i="2"/>
  <c r="H14" i="2"/>
  <c r="L14" i="2" s="1"/>
  <c r="G14" i="2"/>
  <c r="M14" i="2" s="1"/>
  <c r="F14" i="2"/>
  <c r="J13" i="2"/>
  <c r="I13" i="2"/>
  <c r="H13" i="2"/>
  <c r="L13" i="2" s="1"/>
  <c r="G13" i="2"/>
  <c r="M13" i="2" s="1"/>
  <c r="F13" i="2"/>
  <c r="J12" i="2"/>
  <c r="I12" i="2"/>
  <c r="H12" i="2"/>
  <c r="L12" i="2" s="1"/>
  <c r="G12" i="2"/>
  <c r="M12" i="2" s="1"/>
  <c r="F12" i="2"/>
  <c r="J11" i="2"/>
  <c r="I11" i="2"/>
  <c r="H11" i="2"/>
  <c r="L11" i="2" s="1"/>
  <c r="G11" i="2"/>
  <c r="M11" i="2" s="1"/>
  <c r="F11" i="2"/>
  <c r="J10" i="2"/>
  <c r="I10" i="2"/>
  <c r="H10" i="2"/>
  <c r="L10" i="2" s="1"/>
  <c r="G10" i="2"/>
  <c r="M10" i="2" s="1"/>
  <c r="F10" i="2"/>
  <c r="J9" i="2"/>
  <c r="I9" i="2"/>
  <c r="H9" i="2"/>
  <c r="L9" i="2" s="1"/>
  <c r="G9" i="2"/>
  <c r="M9" i="2" s="1"/>
  <c r="F9" i="2"/>
  <c r="J8" i="2"/>
  <c r="I8" i="2"/>
  <c r="H8" i="2"/>
  <c r="L8" i="2" s="1"/>
  <c r="G8" i="2"/>
  <c r="M8" i="2" s="1"/>
  <c r="F8" i="2"/>
  <c r="J7" i="2"/>
  <c r="I7" i="2"/>
  <c r="H7" i="2"/>
  <c r="L7" i="2" s="1"/>
  <c r="G7" i="2"/>
  <c r="M7" i="2" s="1"/>
  <c r="F7" i="2"/>
  <c r="K5" i="2"/>
  <c r="J5" i="2"/>
  <c r="I5" i="2"/>
  <c r="H5" i="2"/>
  <c r="G5" i="2"/>
  <c r="F5" i="2"/>
  <c r="U932" i="1"/>
  <c r="B926" i="3" l="1"/>
  <c r="B539" i="3"/>
  <c r="B547" i="3"/>
  <c r="B630" i="3"/>
  <c r="B634" i="3"/>
  <c r="B643" i="3"/>
  <c r="B546" i="3"/>
  <c r="B567" i="3"/>
  <c r="B579" i="3"/>
  <c r="B819" i="3"/>
  <c r="B711" i="3"/>
  <c r="B750" i="3"/>
  <c r="B767" i="3"/>
  <c r="B776" i="3"/>
  <c r="B864" i="3"/>
  <c r="B873" i="3"/>
  <c r="B667" i="3"/>
  <c r="B835" i="3"/>
  <c r="B839" i="3"/>
  <c r="B848" i="3"/>
  <c r="B614" i="3"/>
  <c r="B619" i="3"/>
  <c r="B627" i="3"/>
  <c r="B633" i="3"/>
  <c r="B676" i="3"/>
  <c r="B688" i="3"/>
  <c r="B724" i="3"/>
  <c r="B566" i="3"/>
  <c r="B570" i="3"/>
  <c r="B582" i="3"/>
  <c r="B622" i="3"/>
  <c r="B626" i="3"/>
  <c r="B603" i="3"/>
  <c r="B608" i="3"/>
  <c r="B869" i="3"/>
  <c r="B683" i="3"/>
  <c r="B854" i="3"/>
  <c r="B923" i="3"/>
  <c r="B739" i="3"/>
  <c r="B768" i="3"/>
  <c r="B772" i="3"/>
  <c r="B774" i="3"/>
  <c r="B785" i="3"/>
  <c r="B830" i="3"/>
  <c r="B909" i="3"/>
  <c r="B741" i="3"/>
  <c r="B766" i="3"/>
  <c r="B770" i="3"/>
  <c r="B826" i="3"/>
  <c r="B879" i="3"/>
  <c r="B887" i="3"/>
  <c r="B891" i="3"/>
  <c r="B568" i="3"/>
  <c r="B631" i="3"/>
  <c r="B716" i="3"/>
  <c r="B736" i="3"/>
  <c r="B865" i="3"/>
  <c r="B878" i="3"/>
  <c r="B569" i="3"/>
  <c r="B573" i="3"/>
  <c r="B598" i="3"/>
  <c r="B625" i="3"/>
  <c r="B733" i="3"/>
  <c r="B576" i="3"/>
  <c r="B624" i="3"/>
  <c r="B703" i="3"/>
  <c r="B719" i="3"/>
  <c r="B761" i="3"/>
  <c r="B820" i="3"/>
  <c r="B877" i="3"/>
  <c r="B929" i="3"/>
  <c r="B931" i="3"/>
  <c r="B933" i="3"/>
  <c r="B934" i="3"/>
  <c r="B565" i="3"/>
  <c r="B924" i="3"/>
  <c r="B563" i="3"/>
  <c r="B730" i="3"/>
  <c r="B846" i="3"/>
  <c r="B905" i="3"/>
  <c r="B575" i="3"/>
  <c r="B600" i="3"/>
  <c r="B623" i="3"/>
  <c r="B668" i="3"/>
  <c r="B677" i="3"/>
  <c r="B693" i="3"/>
  <c r="B790" i="3"/>
  <c r="B799" i="3"/>
  <c r="B863" i="3"/>
  <c r="B876" i="3"/>
  <c r="B888" i="3"/>
  <c r="B897" i="3"/>
  <c r="B900" i="3"/>
  <c r="B841" i="3"/>
  <c r="B901" i="3"/>
  <c r="B922" i="3"/>
  <c r="B560" i="3"/>
  <c r="B595" i="3"/>
  <c r="B613" i="3"/>
  <c r="B641" i="3"/>
  <c r="B645" i="3"/>
  <c r="B649" i="3"/>
  <c r="B744" i="3"/>
  <c r="B769" i="3"/>
  <c r="B780" i="3"/>
  <c r="B784" i="3"/>
  <c r="B828" i="3"/>
  <c r="B857" i="3"/>
  <c r="B849" i="3"/>
  <c r="B588" i="3"/>
  <c r="B597" i="3"/>
  <c r="B709" i="3"/>
  <c r="B538" i="3"/>
  <c r="B542" i="3"/>
  <c r="B637" i="3"/>
  <c r="B916" i="3"/>
  <c r="B545" i="3"/>
  <c r="B556" i="3"/>
  <c r="B564" i="3"/>
  <c r="B571" i="3"/>
  <c r="B612" i="3"/>
  <c r="B616" i="3"/>
  <c r="B678" i="3"/>
  <c r="B704" i="3"/>
  <c r="B723" i="3"/>
  <c r="B740" i="3"/>
  <c r="B742" i="3"/>
  <c r="B746" i="3"/>
  <c r="B756" i="3"/>
  <c r="B771" i="3"/>
  <c r="B800" i="3"/>
  <c r="B802" i="3"/>
  <c r="B858" i="3"/>
  <c r="B904" i="3"/>
  <c r="B906" i="3"/>
  <c r="B578" i="3"/>
  <c r="B610" i="3"/>
  <c r="B653" i="3"/>
  <c r="B689" i="3"/>
  <c r="B700" i="3"/>
  <c r="B702" i="3"/>
  <c r="B725" i="3"/>
  <c r="B728" i="3"/>
  <c r="B738" i="3"/>
  <c r="B754" i="3"/>
  <c r="B758" i="3"/>
  <c r="B762" i="3"/>
  <c r="B777" i="3"/>
  <c r="B786" i="3"/>
  <c r="B795" i="3"/>
  <c r="B807" i="3"/>
  <c r="B856" i="3"/>
  <c r="B871" i="3"/>
  <c r="B896" i="3"/>
  <c r="B902" i="3"/>
  <c r="B544" i="3"/>
  <c r="B574" i="3"/>
  <c r="B606" i="3"/>
  <c r="B690" i="3"/>
  <c r="B715" i="3"/>
  <c r="B717" i="3"/>
  <c r="B722" i="3"/>
  <c r="B745" i="3"/>
  <c r="B749" i="3"/>
  <c r="B759" i="3"/>
  <c r="B778" i="3"/>
  <c r="B783" i="3"/>
  <c r="B792" i="3"/>
  <c r="B823" i="3"/>
  <c r="B853" i="3"/>
  <c r="B868" i="3"/>
  <c r="B880" i="3"/>
  <c r="B899" i="3"/>
  <c r="B911" i="3"/>
  <c r="B912" i="3"/>
  <c r="B537" i="3"/>
  <c r="B587" i="3"/>
  <c r="B652" i="3"/>
  <c r="B679" i="3"/>
  <c r="B695" i="3"/>
  <c r="B699" i="3"/>
  <c r="B747" i="3"/>
  <c r="B842" i="3"/>
  <c r="B890" i="3"/>
  <c r="B895" i="3"/>
  <c r="B594" i="3"/>
  <c r="B640" i="3"/>
  <c r="B672" i="3"/>
  <c r="B660" i="3"/>
  <c r="B712" i="3"/>
  <c r="B794" i="3"/>
  <c r="B838" i="3"/>
  <c r="B883" i="3"/>
  <c r="B656" i="3"/>
  <c r="B682" i="3"/>
  <c r="B737" i="3"/>
  <c r="B831" i="3"/>
  <c r="B581" i="3"/>
  <c r="B583" i="3"/>
  <c r="B593" i="3"/>
  <c r="B629" i="3"/>
  <c r="B632" i="3"/>
  <c r="B636" i="3"/>
  <c r="B655" i="3"/>
  <c r="B662" i="3"/>
  <c r="B691" i="3"/>
  <c r="B718" i="3"/>
  <c r="B720" i="3"/>
  <c r="B732" i="3"/>
  <c r="B760" i="3"/>
  <c r="B779" i="3"/>
  <c r="B781" i="3"/>
  <c r="B803" i="3"/>
  <c r="B808" i="3"/>
  <c r="B818" i="3"/>
  <c r="B821" i="3"/>
  <c r="B851" i="3"/>
  <c r="B882" i="3"/>
  <c r="B907" i="3"/>
  <c r="B918" i="3"/>
  <c r="B935" i="3"/>
  <c r="B548" i="3"/>
  <c r="B552" i="3"/>
  <c r="B559" i="3"/>
  <c r="B572" i="3"/>
  <c r="B615" i="3"/>
  <c r="B647" i="3"/>
  <c r="B657" i="3"/>
  <c r="B697" i="3"/>
  <c r="B708" i="3"/>
  <c r="B748" i="3"/>
  <c r="B816" i="3"/>
  <c r="B832" i="3"/>
  <c r="B855" i="3"/>
  <c r="B867" i="3"/>
  <c r="B870" i="3"/>
  <c r="B884" i="3"/>
  <c r="B913" i="3"/>
  <c r="B553" i="3"/>
  <c r="B557" i="3"/>
  <c r="B561" i="3"/>
  <c r="B577" i="3"/>
  <c r="B586" i="3"/>
  <c r="B592" i="3"/>
  <c r="B596" i="3"/>
  <c r="B599" i="3"/>
  <c r="B609" i="3"/>
  <c r="B644" i="3"/>
  <c r="B654" i="3"/>
  <c r="B684" i="3"/>
  <c r="B705" i="3"/>
  <c r="B710" i="3"/>
  <c r="B714" i="3"/>
  <c r="B755" i="3"/>
  <c r="B847" i="3"/>
  <c r="B850" i="3"/>
  <c r="B861" i="3"/>
  <c r="B921" i="3"/>
  <c r="B543" i="3"/>
  <c r="B639" i="3"/>
  <c r="B642" i="3"/>
  <c r="B671" i="3"/>
  <c r="B673" i="3"/>
  <c r="B681" i="3"/>
  <c r="B692" i="3"/>
  <c r="B707" i="3"/>
  <c r="B721" i="3"/>
  <c r="B753" i="3"/>
  <c r="B793" i="3"/>
  <c r="B796" i="3"/>
  <c r="B804" i="3"/>
  <c r="B837" i="3"/>
  <c r="B840" i="3"/>
  <c r="B844" i="3"/>
  <c r="B889" i="3"/>
  <c r="B910" i="3"/>
  <c r="A46" i="13"/>
  <c r="A38" i="13"/>
  <c r="A30" i="13"/>
  <c r="A22" i="13"/>
  <c r="A14" i="13"/>
  <c r="A4" i="13"/>
  <c r="A66" i="13"/>
  <c r="A59" i="13"/>
  <c r="A54" i="13"/>
  <c r="A49" i="13"/>
  <c r="A41" i="13"/>
  <c r="A33" i="13"/>
  <c r="A25" i="13"/>
  <c r="A17" i="13"/>
  <c r="A9" i="13"/>
  <c r="A7" i="13"/>
  <c r="A62" i="13"/>
  <c r="A44" i="13"/>
  <c r="A36" i="13"/>
  <c r="A28" i="13"/>
  <c r="A20" i="13"/>
  <c r="A12" i="13"/>
  <c r="A2" i="13"/>
  <c r="A57" i="13"/>
  <c r="A52" i="13"/>
  <c r="A47" i="13"/>
  <c r="A23" i="13"/>
  <c r="A15" i="13"/>
  <c r="A5" i="13"/>
  <c r="B915" i="3"/>
  <c r="B648" i="3"/>
  <c r="B836" i="3"/>
  <c r="B562" i="3"/>
  <c r="B580" i="3"/>
  <c r="B604" i="3"/>
  <c r="B680" i="3"/>
  <c r="B930" i="3"/>
  <c r="B798" i="3"/>
  <c r="B584" i="3"/>
  <c r="B698" i="3"/>
  <c r="B764" i="3"/>
  <c r="B540" i="3"/>
  <c r="B550" i="3"/>
  <c r="B611" i="3"/>
  <c r="B651" i="3"/>
  <c r="B674" i="3"/>
  <c r="B743" i="3"/>
  <c r="B925" i="3"/>
  <c r="H28" i="6"/>
  <c r="I28" i="6"/>
  <c r="B620" i="3"/>
  <c r="B686" i="3"/>
  <c r="B713" i="3"/>
  <c r="B729" i="3"/>
  <c r="B782" i="3"/>
  <c r="B875" i="3"/>
  <c r="B892" i="3"/>
  <c r="B920" i="3"/>
  <c r="Z3" i="6"/>
  <c r="AM3" i="6"/>
  <c r="B687" i="3"/>
  <c r="B696" i="3"/>
  <c r="B765" i="3"/>
  <c r="B805" i="3"/>
  <c r="B885" i="3"/>
  <c r="B549" i="3"/>
  <c r="B591" i="3"/>
  <c r="B726" i="3"/>
  <c r="B757" i="3"/>
  <c r="B815" i="3"/>
  <c r="B825" i="3"/>
  <c r="B874" i="3"/>
  <c r="B919" i="3"/>
  <c r="B541" i="3"/>
  <c r="B585" i="3"/>
  <c r="B646" i="3"/>
  <c r="B751" i="3"/>
  <c r="B822" i="3"/>
  <c r="B862" i="3"/>
  <c r="B914" i="3"/>
  <c r="A19" i="13"/>
  <c r="A24" i="13"/>
  <c r="A26" i="13"/>
  <c r="A31" i="13"/>
  <c r="A43" i="13"/>
  <c r="A50" i="13"/>
  <c r="B881" i="3"/>
  <c r="B932" i="3"/>
  <c r="A48" i="13"/>
  <c r="A55" i="13"/>
  <c r="A3" i="13"/>
  <c r="A10" i="13"/>
  <c r="A29" i="13"/>
  <c r="A34" i="13"/>
  <c r="A53" i="13"/>
  <c r="A58" i="13"/>
  <c r="A60" i="13"/>
  <c r="A65" i="13"/>
  <c r="A6" i="13"/>
  <c r="A27" i="13"/>
  <c r="A32" i="13"/>
  <c r="A39" i="13"/>
  <c r="A13" i="13"/>
  <c r="A37" i="13"/>
  <c r="A63" i="13"/>
  <c r="A11" i="13"/>
  <c r="A16" i="13"/>
  <c r="A18" i="13"/>
  <c r="A35" i="13"/>
  <c r="A42" i="13"/>
  <c r="A61" i="13"/>
  <c r="A40" i="13"/>
  <c r="B621" i="3"/>
  <c r="B685" i="3"/>
  <c r="B735" i="3"/>
  <c r="B787" i="3"/>
  <c r="B833" i="3"/>
  <c r="A21" i="13"/>
  <c r="A45" i="13"/>
</calcChain>
</file>

<file path=xl/sharedStrings.xml><?xml version="1.0" encoding="utf-8"?>
<sst xmlns="http://schemas.openxmlformats.org/spreadsheetml/2006/main" count="26496" uniqueCount="7007">
  <si>
    <t>códigos ok</t>
  </si>
  <si>
    <t>VISITADOR</t>
  </si>
  <si>
    <t>INICIALES</t>
  </si>
  <si>
    <t>CODORL</t>
  </si>
  <si>
    <t>TIPO</t>
  </si>
  <si>
    <t>NOMBRE ORL</t>
  </si>
  <si>
    <t>Nombre</t>
  </si>
  <si>
    <t>CONTROLVENTAS</t>
  </si>
  <si>
    <t>Maika Blázquez (Madrid)</t>
  </si>
  <si>
    <t>MBM</t>
  </si>
  <si>
    <t>MBM187</t>
  </si>
  <si>
    <t>A</t>
  </si>
  <si>
    <t>Dr, Abel Bogoya Castaño</t>
  </si>
  <si>
    <t>Abel Bogoya Castaño</t>
  </si>
  <si>
    <t>Ramon Ferrando(Valencia)</t>
  </si>
  <si>
    <t>RFV</t>
  </si>
  <si>
    <t>RFV08</t>
  </si>
  <si>
    <t>B</t>
  </si>
  <si>
    <t>Dr, Abel Guzmán Calvete</t>
  </si>
  <si>
    <t>Abel Guzmán Calvete</t>
  </si>
  <si>
    <t>MBM86</t>
  </si>
  <si>
    <t>Dra, Adela Cordero Devesa</t>
  </si>
  <si>
    <t>Adela Cordero Devesa</t>
  </si>
  <si>
    <t>Roberto Pereira (Galicia)</t>
  </si>
  <si>
    <t>RPG</t>
  </si>
  <si>
    <t>RPG33</t>
  </si>
  <si>
    <t>Dra, Adela Pérez-Caro Ríos</t>
  </si>
  <si>
    <t>Adela Pérez-Caro Ríos</t>
  </si>
  <si>
    <t>Lisandro Russian (Madrid,Cáceres, Toledo, Talavera y Logroño)</t>
  </si>
  <si>
    <t>LRM</t>
  </si>
  <si>
    <t>LRM01</t>
  </si>
  <si>
    <t>Dr, Adolfo Carlos Hinojar Gutierrez</t>
  </si>
  <si>
    <t>Adolfo Carlos Hinojar Gutierrez</t>
  </si>
  <si>
    <t>Alberto Moreno</t>
  </si>
  <si>
    <t>AMM</t>
  </si>
  <si>
    <t>AMM01</t>
  </si>
  <si>
    <t>Dr, Adolfo del Valle Zapico</t>
  </si>
  <si>
    <t>Adolfo del Valle Zapico</t>
  </si>
  <si>
    <t>MBM01</t>
  </si>
  <si>
    <t>Dr, Adolfo Toledano Muñoz</t>
  </si>
  <si>
    <t>Adolfo Toledano Muñoz</t>
  </si>
  <si>
    <t>LRM123</t>
  </si>
  <si>
    <t>Dra, Adriana Pardo Maza</t>
  </si>
  <si>
    <t>Adriana Pardo Maza</t>
  </si>
  <si>
    <t>MBM87</t>
  </si>
  <si>
    <t>Dra, Adriana Pérez García</t>
  </si>
  <si>
    <t>Adriana Pérez García</t>
  </si>
  <si>
    <t>Iván Sánchez (Levante y Albacete)</t>
  </si>
  <si>
    <t>ISL</t>
  </si>
  <si>
    <t>ISL82</t>
  </si>
  <si>
    <t>Dra, Africa Jiménez de la Rosa</t>
  </si>
  <si>
    <t>Africa Jiménez de la Rosa</t>
  </si>
  <si>
    <t>RFV09</t>
  </si>
  <si>
    <t>Dr, Agustín Campos Catalá</t>
  </si>
  <si>
    <t>Agustín Campos Catalá</t>
  </si>
  <si>
    <t>ISL83</t>
  </si>
  <si>
    <t>Dra, Aida Aviñoa Arias</t>
  </si>
  <si>
    <t>Aida Aviñoa Arias</t>
  </si>
  <si>
    <t>Mercè Cabrera (Cataluña y Baleares)</t>
  </si>
  <si>
    <t>MCC</t>
  </si>
  <si>
    <t>MCC35</t>
  </si>
  <si>
    <t>Dra, Aina Brunet García</t>
  </si>
  <si>
    <t>Aina Brunet García</t>
  </si>
  <si>
    <t>LRM124</t>
  </si>
  <si>
    <t>Dra, Ainhoa Beato Martínez</t>
  </si>
  <si>
    <t>Ainhoa Beato Martínez</t>
  </si>
  <si>
    <t>RFV26</t>
  </si>
  <si>
    <t>Dra, Ainhoa García-Lliberos de Miguel</t>
  </si>
  <si>
    <t>Ainhoa García-Lliberos de Miguel</t>
  </si>
  <si>
    <t>LRM125</t>
  </si>
  <si>
    <t>Dra, Ainhoa Moreno Bravo</t>
  </si>
  <si>
    <t>Ainhoa Moreno Bravo</t>
  </si>
  <si>
    <t>RPG34</t>
  </si>
  <si>
    <t>Dra, Alba Carrero González</t>
  </si>
  <si>
    <t>Alba Carrero González</t>
  </si>
  <si>
    <t>MBM88</t>
  </si>
  <si>
    <t>Dra, Alba Dominguez Palos</t>
  </si>
  <si>
    <t>Alba Dominguez Palos</t>
  </si>
  <si>
    <t>ISL84</t>
  </si>
  <si>
    <t>Dra, Alba Molina Moreno</t>
  </si>
  <si>
    <t>Alba Molina Moreno</t>
  </si>
  <si>
    <t>MCC01</t>
  </si>
  <si>
    <t>Dr, Albert Llansana Ríos</t>
  </si>
  <si>
    <t>Albert Llansana Ríos</t>
  </si>
  <si>
    <t>LRM02</t>
  </si>
  <si>
    <t>Dr, Alberto García Guzmán</t>
  </si>
  <si>
    <t>Alberto García Guzmán</t>
  </si>
  <si>
    <t>ISL01</t>
  </si>
  <si>
    <t>Dr, Alberto Raposo Jiménez</t>
  </si>
  <si>
    <t>Alberto Raposo Jiménez</t>
  </si>
  <si>
    <t>MBM02</t>
  </si>
  <si>
    <t>Dr, Alberto Tauste Gómez</t>
  </si>
  <si>
    <t>Alberto Tauste Gómez</t>
  </si>
  <si>
    <t>LRM126</t>
  </si>
  <si>
    <t>Dra, Alejandra Aguirre Figueroa</t>
  </si>
  <si>
    <t>Alejandra Aguirre Figueroa</t>
  </si>
  <si>
    <t>MBM89</t>
  </si>
  <si>
    <t>Dra, Alejandra Carrasco Gómez</t>
  </si>
  <si>
    <t>Alejandra Carrasco Gómez</t>
  </si>
  <si>
    <t>ISL91</t>
  </si>
  <si>
    <t>Dra, Alejandra Jara Maquilón</t>
  </si>
  <si>
    <t>Alejandra Jara Maquilón</t>
  </si>
  <si>
    <t>ISL86</t>
  </si>
  <si>
    <t>Dra, Alejandra Pérez Ferrando</t>
  </si>
  <si>
    <t>Alejandra Pérez Ferrando</t>
  </si>
  <si>
    <t>RPG01</t>
  </si>
  <si>
    <t>Dr, Alejandro Díaz Uña</t>
  </si>
  <si>
    <t>Alejandro Díaz Uña</t>
  </si>
  <si>
    <t>MBM03</t>
  </si>
  <si>
    <t>Dr, Alejandro Harguindey Antoli-Candela</t>
  </si>
  <si>
    <t>Alejandro Harguindey Antoli-Candela</t>
  </si>
  <si>
    <t>LRM03</t>
  </si>
  <si>
    <t>Dr, Alejandro Martínez Morán</t>
  </si>
  <si>
    <t>Alejandro Martínez Morán</t>
  </si>
  <si>
    <t>LRM04</t>
  </si>
  <si>
    <t>Dr, Alejandro Tejero-Garcés Monclús</t>
  </si>
  <si>
    <t>Alejandro Tejero-Garcés Monclús</t>
  </si>
  <si>
    <t>MCC02</t>
  </si>
  <si>
    <t>Dr, Alex Portillo Medina</t>
  </si>
  <si>
    <t>Alex Portillo Medina</t>
  </si>
  <si>
    <t>MBM04</t>
  </si>
  <si>
    <t>Dr, Àlex Ramírez Rosa</t>
  </si>
  <si>
    <t>Àlex Ramírez Rosa</t>
  </si>
  <si>
    <t>ISL02</t>
  </si>
  <si>
    <t>Dr, Alfonso Aracil Montesinos</t>
  </si>
  <si>
    <t>Alfonso Aracil Montesinos</t>
  </si>
  <si>
    <t>LRM05</t>
  </si>
  <si>
    <t>Dr, Alfonso Campos González</t>
  </si>
  <si>
    <t>Alfonso Campos González</t>
  </si>
  <si>
    <t>ISL03</t>
  </si>
  <si>
    <t>Dr, Alfonso Capitan Guarnizo</t>
  </si>
  <si>
    <t>Alfonso Capitan Guarnizo</t>
  </si>
  <si>
    <t>ISL04</t>
  </si>
  <si>
    <t>Dr, Alfonso García Piñero</t>
  </si>
  <si>
    <t>Alfonso García Piñero</t>
  </si>
  <si>
    <t>ISL05</t>
  </si>
  <si>
    <t>Dr, Alfonso Marco Garrido</t>
  </si>
  <si>
    <t>Alfonso Marco Garrido</t>
  </si>
  <si>
    <t>LRM06</t>
  </si>
  <si>
    <t>Dr, Alfonso Plaza López</t>
  </si>
  <si>
    <t>Alfonso Plaza López</t>
  </si>
  <si>
    <t>MBM05</t>
  </si>
  <si>
    <t>Dr, Alfonso Santamaría Gadea</t>
  </si>
  <si>
    <t>Alfonso Santamaría Gadea</t>
  </si>
  <si>
    <t>LRM255</t>
  </si>
  <si>
    <t>Dra, Alicia Gómez cabezas</t>
  </si>
  <si>
    <t>Alicia Gómez cabezas</t>
  </si>
  <si>
    <t>MCC36</t>
  </si>
  <si>
    <t>Dra, Alicia González Moreno</t>
  </si>
  <si>
    <t>Alicia González Moreno</t>
  </si>
  <si>
    <t>ISL87</t>
  </si>
  <si>
    <t>Dra, Alicia Mateo Espinosa</t>
  </si>
  <si>
    <t>Alicia Mateo Espinosa</t>
  </si>
  <si>
    <t>LRM127</t>
  </si>
  <si>
    <t>Dra, Alicia Suárez Calvo</t>
  </si>
  <si>
    <t>Alicia Suárez Calvo</t>
  </si>
  <si>
    <t>MBM06</t>
  </si>
  <si>
    <t>Dr, Álvaro Carrillo Sotos</t>
  </si>
  <si>
    <t>Álvaro Carrillo Sotos</t>
  </si>
  <si>
    <t>RFV10</t>
  </si>
  <si>
    <t>Dr, Álvaro Pérez Llinares</t>
  </si>
  <si>
    <t>Álvaro Pérez Llinares</t>
  </si>
  <si>
    <t>LRM07</t>
  </si>
  <si>
    <t>Dr, Álvaro Sánchez Álvarez</t>
  </si>
  <si>
    <t>Álvaro Sánchez Álvarez</t>
  </si>
  <si>
    <t>MBM198</t>
  </si>
  <si>
    <t>Dr, Álvaro Sánchez Álvarez,</t>
  </si>
  <si>
    <t>Álvaro Sánchez Álvarez,</t>
  </si>
  <si>
    <t>LRM08</t>
  </si>
  <si>
    <t>Dr, Álvaro Sánchez Barrueco</t>
  </si>
  <si>
    <t>Álvaro Sánchez Barrueco</t>
  </si>
  <si>
    <t>LRM09</t>
  </si>
  <si>
    <t>Dr, Álvaro Sánchez de Arriba</t>
  </si>
  <si>
    <t>Álvaro Sánchez de Arriba</t>
  </si>
  <si>
    <t>MCC37</t>
  </si>
  <si>
    <t>Dra, Amaya Lázaro Sánchez</t>
  </si>
  <si>
    <t>Amaya Lázaro Sánchez</t>
  </si>
  <si>
    <t>RPG64</t>
  </si>
  <si>
    <t>Dr, Amer Souki Chmeitt</t>
  </si>
  <si>
    <t>Amer Souki Chmeitt</t>
  </si>
  <si>
    <t>LRM128</t>
  </si>
  <si>
    <t>Dra, Amparo Castellote Armero</t>
  </si>
  <si>
    <t>Amparo Castellote Armero</t>
  </si>
  <si>
    <t>ISL88</t>
  </si>
  <si>
    <t>Dra, Amparo Roca Martínez</t>
  </si>
  <si>
    <t>Amparo Roca Martínez</t>
  </si>
  <si>
    <t>LRM129</t>
  </si>
  <si>
    <t>Dra, Ana Belén Herrero Egea</t>
  </si>
  <si>
    <t>Ana Belén Herrero Egea</t>
  </si>
  <si>
    <t>LRM130</t>
  </si>
  <si>
    <t>Dra, Ana Belén Rodríguez Vences</t>
  </si>
  <si>
    <t>Ana Belén Rodríguez Vences</t>
  </si>
  <si>
    <t>RPG35</t>
  </si>
  <si>
    <t>Dra, Ana Faraldo García</t>
  </si>
  <si>
    <t>Ana Faraldo García</t>
  </si>
  <si>
    <t>Patricia Solache (Castilla y León)</t>
  </si>
  <si>
    <t>PSC</t>
  </si>
  <si>
    <t>PSC31</t>
  </si>
  <si>
    <t>Dra, Ana Fernández Rodríguez</t>
  </si>
  <si>
    <t>Ana Fernández Rodríguez</t>
  </si>
  <si>
    <t>ISL89</t>
  </si>
  <si>
    <t>Dra, Ana Gabriela Jover Espla</t>
  </si>
  <si>
    <t>Ana Gabriela Jover Espla</t>
  </si>
  <si>
    <t>ISL90</t>
  </si>
  <si>
    <t>Dra, Ana Giribet Fernández-Pacheco</t>
  </si>
  <si>
    <t>Ana Giribet Fernández-Pacheco</t>
  </si>
  <si>
    <t>LRM131</t>
  </si>
  <si>
    <t>Dra, Ana Herrero Egea</t>
  </si>
  <si>
    <t>Ana Herrero Egea</t>
  </si>
  <si>
    <t>RPG36</t>
  </si>
  <si>
    <t>Dra, Ana Isabel Lorenzo Lorenzo</t>
  </si>
  <si>
    <t>Ana Isabel Lorenzo Lorenzo</t>
  </si>
  <si>
    <t>LRM132</t>
  </si>
  <si>
    <t>Dra, Ana María Sánchez-Prieto Fernández</t>
  </si>
  <si>
    <t>Ana María Sánchez-Prieto Fernández</t>
  </si>
  <si>
    <t>MCC38</t>
  </si>
  <si>
    <t>Dra, Ana Moreno Valor</t>
  </si>
  <si>
    <t>Ana Moreno Valor</t>
  </si>
  <si>
    <t>LRM133</t>
  </si>
  <si>
    <t>Dra, Ana Pérez del Notario</t>
  </si>
  <si>
    <t>Ana Pérez del Notario</t>
  </si>
  <si>
    <t>RPG37</t>
  </si>
  <si>
    <t>Dra, Ana Quintana Sanjuan</t>
  </si>
  <si>
    <t>Ana Quintana Sanjuan</t>
  </si>
  <si>
    <t>MCC62</t>
  </si>
  <si>
    <t>Dra, Ana Rodríguez Rodríguez</t>
  </si>
  <si>
    <t>Ana Rodríguez Rodríguez</t>
  </si>
  <si>
    <t>MBM90</t>
  </si>
  <si>
    <t>Dra, Ana Ruiz Fornells Noreña</t>
  </si>
  <si>
    <t>Ana Ruiz Fornells Noreña</t>
  </si>
  <si>
    <t>MBM195</t>
  </si>
  <si>
    <t>Dra, Anastasiya Audiyuk Martynyuk</t>
  </si>
  <si>
    <t>Anastasiya Audiyuk Martynyuk</t>
  </si>
  <si>
    <t>LRM134</t>
  </si>
  <si>
    <t>Dra, Andrea Cifuentes Navas</t>
  </si>
  <si>
    <t>Andrea Cifuentes Navas</t>
  </si>
  <si>
    <t>LRM135</t>
  </si>
  <si>
    <t>Dra, Andrea Escribano Peñalva</t>
  </si>
  <si>
    <t>Andrea Escribano Peñalva</t>
  </si>
  <si>
    <t>MBM91</t>
  </si>
  <si>
    <t>Dra, Andrea López Salcedo</t>
  </si>
  <si>
    <t>Andrea López Salcedo</t>
  </si>
  <si>
    <t>MBM07</t>
  </si>
  <si>
    <t>Dr, Andreas Schilling Borghesi</t>
  </si>
  <si>
    <t>Andreas Schilling Borghesi</t>
  </si>
  <si>
    <t>ISL06</t>
  </si>
  <si>
    <t>Dr, Andrés Barrios Recio</t>
  </si>
  <si>
    <t>Andrés Barrios Recio</t>
  </si>
  <si>
    <t>LRM240</t>
  </si>
  <si>
    <t>Dr, Andrés Paulino Herrera</t>
  </si>
  <si>
    <t>Andrés Paulino Herrera</t>
  </si>
  <si>
    <t>Luis Alberto Rodríguez (Andalucía y Badajoz)</t>
  </si>
  <si>
    <t>LAA</t>
  </si>
  <si>
    <t>LAA01</t>
  </si>
  <si>
    <t>C</t>
  </si>
  <si>
    <t>Dr, Andrés Ruiz Moreno</t>
  </si>
  <si>
    <t>Andrés Ruiz Moreno</t>
  </si>
  <si>
    <t>RPG02</t>
  </si>
  <si>
    <t>Dr, Andrés Soto Varela</t>
  </si>
  <si>
    <t>Andrés Soto Varela</t>
  </si>
  <si>
    <t>PSC01</t>
  </si>
  <si>
    <t>Dr, Ángel Batuecas Caletrío</t>
  </si>
  <si>
    <t>Ángel Batuecas Caletrío</t>
  </si>
  <si>
    <t>AMM02</t>
  </si>
  <si>
    <t>Dr, Ángel de Juan</t>
  </si>
  <si>
    <t>Ángel de Juan</t>
  </si>
  <si>
    <t>LRM10</t>
  </si>
  <si>
    <t>Dr, Angel Fernando Rodriguez Paramás</t>
  </si>
  <si>
    <t>Angel Fernando Rodriguez Paramás</t>
  </si>
  <si>
    <t>LRM11</t>
  </si>
  <si>
    <t>Dr, Ángel Miguel Urpegui García</t>
  </si>
  <si>
    <t>Ángel Miguel Urpegui García</t>
  </si>
  <si>
    <t>PSC02</t>
  </si>
  <si>
    <t>Dr, Ángel Muñoz Herrera</t>
  </si>
  <si>
    <t>Ángel Muñoz Herrera</t>
  </si>
  <si>
    <t>LRM12</t>
  </si>
  <si>
    <t>Dr, Ángel Rodríguez Paramás</t>
  </si>
  <si>
    <t>Ángel Rodríguez Paramás</t>
  </si>
  <si>
    <t>RPG38</t>
  </si>
  <si>
    <t>Dra, Angela Castro Millos</t>
  </si>
  <si>
    <t>Angela Castro Millos</t>
  </si>
  <si>
    <t>PSC32</t>
  </si>
  <si>
    <t>Dra, Angela Enterría González</t>
  </si>
  <si>
    <t>Angela Enterría González</t>
  </si>
  <si>
    <t>MBM92</t>
  </si>
  <si>
    <t>Dra, Ángeles Díaz Díaz</t>
  </si>
  <si>
    <t>Ángeles Díaz Díaz</t>
  </si>
  <si>
    <t>MCC66</t>
  </si>
  <si>
    <t>Dra, Anna Mateo Montfort</t>
  </si>
  <si>
    <t>Anna Mateo Montfort</t>
  </si>
  <si>
    <t>MCC39</t>
  </si>
  <si>
    <t>Dra, Anna Penella Prat</t>
  </si>
  <si>
    <t>Anna Penella Prat</t>
  </si>
  <si>
    <t>MCC40</t>
  </si>
  <si>
    <t>Dra, Anna Sumarroca Trouboul</t>
  </si>
  <si>
    <t>Anna Sumarroca Trouboul</t>
  </si>
  <si>
    <t>RPG03</t>
  </si>
  <si>
    <t>Dr, Anselmo Padín Seara</t>
  </si>
  <si>
    <t>Anselmo Padín Seara</t>
  </si>
  <si>
    <t>PSC33</t>
  </si>
  <si>
    <t>Dra, Antonia Carranza Calleja</t>
  </si>
  <si>
    <t>Antonia Carranza Calleja</t>
  </si>
  <si>
    <t>ISL07</t>
  </si>
  <si>
    <t>Dr, Antonio Almodovar Iñesta</t>
  </si>
  <si>
    <t>Antonio Almodovar Iñesta</t>
  </si>
  <si>
    <t>MBM08</t>
  </si>
  <si>
    <t>Dr, Antonio Alonso Seco</t>
  </si>
  <si>
    <t>Antonio Alonso Seco</t>
  </si>
  <si>
    <t>ISL08</t>
  </si>
  <si>
    <t>Dr, Antonio Belinchón de Diego</t>
  </si>
  <si>
    <t>Antonio Belinchón de Diego</t>
  </si>
  <si>
    <t>LRM13</t>
  </si>
  <si>
    <t>Dr, Antonio Bueno Ríos</t>
  </si>
  <si>
    <t>Antonio Bueno Ríos</t>
  </si>
  <si>
    <t>ISL09</t>
  </si>
  <si>
    <t>Dr, Antonio Burgos Sánchez</t>
  </si>
  <si>
    <t>Antonio Burgos Sánchez</t>
  </si>
  <si>
    <t>MBM09</t>
  </si>
  <si>
    <t>Dr, Antonio Escalante Meilan</t>
  </si>
  <si>
    <t>Antonio Escalante Meilan</t>
  </si>
  <si>
    <t>MBM10</t>
  </si>
  <si>
    <t>Dr, Antonio Fraile Azpeitia</t>
  </si>
  <si>
    <t>Antonio Fraile Azpeitia</t>
  </si>
  <si>
    <t>ISL10</t>
  </si>
  <si>
    <t>Dr, Antonio Galindo Fernández</t>
  </si>
  <si>
    <t>Antonio Galindo Fernández</t>
  </si>
  <si>
    <t>LAA02</t>
  </si>
  <si>
    <t>Dr, Antonio Gandúl Merchán</t>
  </si>
  <si>
    <t>Antonio Gandúl Merchán</t>
  </si>
  <si>
    <t>AMM19</t>
  </si>
  <si>
    <t>Dr, Antonio García Díez</t>
  </si>
  <si>
    <t>Antonio García Díez</t>
  </si>
  <si>
    <t>LAA03</t>
  </si>
  <si>
    <t>Dr, Antonio Gómez Torres</t>
  </si>
  <si>
    <t>Antonio Gómez Torres</t>
  </si>
  <si>
    <t>RPG04</t>
  </si>
  <si>
    <t>Dr, Antonio González Prado</t>
  </si>
  <si>
    <t>Antonio González Prado</t>
  </si>
  <si>
    <t>RPG05</t>
  </si>
  <si>
    <t>Dr, Antonio Gustavo Lirola Delgado</t>
  </si>
  <si>
    <t>Antonio Gustavo Lirola Delgado</t>
  </si>
  <si>
    <t>RFV01</t>
  </si>
  <si>
    <t>Dr, Antonio José Fernández Pérez</t>
  </si>
  <si>
    <t>Antonio José Fernández Pérez</t>
  </si>
  <si>
    <t>LRM14</t>
  </si>
  <si>
    <t>Dr, Antonio José Lara Peinado</t>
  </si>
  <si>
    <t>Antonio José Lara Peinado</t>
  </si>
  <si>
    <t>PSC03</t>
  </si>
  <si>
    <t>Dr, Antonio Lozano Sánchez</t>
  </si>
  <si>
    <t>Antonio Lozano Sánchez</t>
  </si>
  <si>
    <t>ISL11</t>
  </si>
  <si>
    <t>Dr, Antonio Morant Ventura</t>
  </si>
  <si>
    <t>Antonio Morant Ventura</t>
  </si>
  <si>
    <t>LRM15</t>
  </si>
  <si>
    <t>Dr, Antonio Perez Sanchez</t>
  </si>
  <si>
    <t>Antonio Perez Sanchez</t>
  </si>
  <si>
    <t>MBM11</t>
  </si>
  <si>
    <t>Dr, Antonio Rodríguez Rivero</t>
  </si>
  <si>
    <t>Antonio Rodríguez Rivero</t>
  </si>
  <si>
    <t>LRM16</t>
  </si>
  <si>
    <t>Dr, Antonio Sánchez del Hoyo</t>
  </si>
  <si>
    <t>Antonio Sánchez del Hoyo</t>
  </si>
  <si>
    <t>LRM17</t>
  </si>
  <si>
    <t>Dr, Aquileo Baena Arévalo</t>
  </si>
  <si>
    <t>Aquileo Baena Arévalo</t>
  </si>
  <si>
    <t>ISL92</t>
  </si>
  <si>
    <t>Dra, Araceli González Delgado</t>
  </si>
  <si>
    <t>Araceli González Delgado</t>
  </si>
  <si>
    <t>LRM18</t>
  </si>
  <si>
    <t>Dr, Asier Blanco Goñi</t>
  </si>
  <si>
    <t>Asier Blanco Goñi</t>
  </si>
  <si>
    <t>ISL93</t>
  </si>
  <si>
    <t>Dra, Aurora López Llames</t>
  </si>
  <si>
    <t>Aurora López Llames</t>
  </si>
  <si>
    <t>LRM136</t>
  </si>
  <si>
    <t>Dra, Aurora Rivas Laguarta</t>
  </si>
  <si>
    <t>Aurora Rivas Laguarta</t>
  </si>
  <si>
    <t>MBM93</t>
  </si>
  <si>
    <t>Dra, Azucena Lloris Romero</t>
  </si>
  <si>
    <t>Azucena Lloris Romero</t>
  </si>
  <si>
    <t>MBM94</t>
  </si>
  <si>
    <t>Dra, Bárbara Castillo Ávila</t>
  </si>
  <si>
    <t>Bárbara Castillo Ávila</t>
  </si>
  <si>
    <t>LRM137</t>
  </si>
  <si>
    <t>Dra, Beatríz Agreda Moreno</t>
  </si>
  <si>
    <t>Beatríz Agreda Moreno</t>
  </si>
  <si>
    <t>MBM95</t>
  </si>
  <si>
    <t>Dra, Beatriz Arana Fernández</t>
  </si>
  <si>
    <t>Beatriz Arana Fernández</t>
  </si>
  <si>
    <t>LRM138</t>
  </si>
  <si>
    <t>Dra, Beatriz Molina Montes</t>
  </si>
  <si>
    <t>Beatriz Molina Montes</t>
  </si>
  <si>
    <t>ISL94</t>
  </si>
  <si>
    <t>Dra, Beatriz Rodríguez González Herrero</t>
  </si>
  <si>
    <t>Beatriz Rodríguez González Herrero</t>
  </si>
  <si>
    <t>MBM96</t>
  </si>
  <si>
    <t>Dra, Beatriz Santos Duque</t>
  </si>
  <si>
    <t>Beatriz Santos Duque</t>
  </si>
  <si>
    <t>LRM139</t>
  </si>
  <si>
    <t>Dra, Belén Clemente Cuartero</t>
  </si>
  <si>
    <t>Belén Clemente Cuartero</t>
  </si>
  <si>
    <t>LRM140</t>
  </si>
  <si>
    <t>Dra, Belén Vielba del Campo</t>
  </si>
  <si>
    <t>Belén Vielba del Campo</t>
  </si>
  <si>
    <t>MCC41</t>
  </si>
  <si>
    <t>Dra, Berta Alegre Edo</t>
  </si>
  <si>
    <t>Berta Alegre Edo</t>
  </si>
  <si>
    <t>RPG39</t>
  </si>
  <si>
    <t>Dra, Berta Patiño Castiñeira</t>
  </si>
  <si>
    <t>Berta Patiño Castiñeira</t>
  </si>
  <si>
    <t>LRM245</t>
  </si>
  <si>
    <t>Dra, Blanca De La Fuente Garcia-Peytavi</t>
  </si>
  <si>
    <t>Blanca De La Fuente Garcia-Peytavi</t>
  </si>
  <si>
    <t>MCC42</t>
  </si>
  <si>
    <t>Dra, Blanca de Sitjar de Togores</t>
  </si>
  <si>
    <t>Blanca de Sitjar de Togores</t>
  </si>
  <si>
    <t>ISL95</t>
  </si>
  <si>
    <t>Dra, Blanca Maria Martinez Duro</t>
  </si>
  <si>
    <t>Blanca Maria Martinez Duro</t>
  </si>
  <si>
    <t>LRM141</t>
  </si>
  <si>
    <t>Dra, Blanca Mateos Serrano</t>
  </si>
  <si>
    <t>Blanca Mateos Serrano</t>
  </si>
  <si>
    <t>MBM12</t>
  </si>
  <si>
    <t>Dr, Borja Andrés Bazán Inostroza</t>
  </si>
  <si>
    <t>Borja Andrés Bazán Inostroza</t>
  </si>
  <si>
    <t>RPG06</t>
  </si>
  <si>
    <t>Dr, Borja Boronat Catalá</t>
  </si>
  <si>
    <t>Borja Boronat Catalá</t>
  </si>
  <si>
    <t>MBM97</t>
  </si>
  <si>
    <t>Dra, Candida Betsabeth Cabrales</t>
  </si>
  <si>
    <t>Candida Betsabeth Cabrales</t>
  </si>
  <si>
    <t>MBM194</t>
  </si>
  <si>
    <t>Dr, Carles Heredia Llinás</t>
  </si>
  <si>
    <t>Carles Heredia Llinás</t>
  </si>
  <si>
    <t>LRM19</t>
  </si>
  <si>
    <t>Dr, Carlos Armiño Megido</t>
  </si>
  <si>
    <t>Carlos Armiño Megido</t>
  </si>
  <si>
    <t>LRM239</t>
  </si>
  <si>
    <t>Dr, Carlos Barajas del Rosal</t>
  </si>
  <si>
    <t>Carlos Barajas del Rosal</t>
  </si>
  <si>
    <t>ISL12</t>
  </si>
  <si>
    <t>Dr, Carlos Barrera Blázquez</t>
  </si>
  <si>
    <t>Carlos Barrera Blázquez</t>
  </si>
  <si>
    <t>ISL13</t>
  </si>
  <si>
    <t>Dr, Carlos de la Fuente Jambrina</t>
  </si>
  <si>
    <t>Carlos de la Fuente Jambrina</t>
  </si>
  <si>
    <t>RFV39</t>
  </si>
  <si>
    <t>Dr, Carlos de Paula Vernetta</t>
  </si>
  <si>
    <t>Carlos de Paula Vernetta</t>
  </si>
  <si>
    <t>PSC04</t>
  </si>
  <si>
    <t>Dr, Carlos Durán Díez</t>
  </si>
  <si>
    <t>Carlos Durán Díez</t>
  </si>
  <si>
    <t>LRM20</t>
  </si>
  <si>
    <t>Dr, Carlos Félix Asensio Nieto</t>
  </si>
  <si>
    <t>Carlos Félix Asensio Nieto</t>
  </si>
  <si>
    <t>LAA04</t>
  </si>
  <si>
    <t>Dr, Carlos Fernández Vélez</t>
  </si>
  <si>
    <t>Carlos Fernández Vélez</t>
  </si>
  <si>
    <t>RPG07</t>
  </si>
  <si>
    <t>Dr, Carlos Frade González</t>
  </si>
  <si>
    <t>Carlos Frade González</t>
  </si>
  <si>
    <t>LAA05</t>
  </si>
  <si>
    <t>Dr, Carlos García Herrera</t>
  </si>
  <si>
    <t>Carlos García Herrera</t>
  </si>
  <si>
    <t>MBM13</t>
  </si>
  <si>
    <t>Dr, Carlos García Recio</t>
  </si>
  <si>
    <t>Carlos García Recio</t>
  </si>
  <si>
    <t>PSC05</t>
  </si>
  <si>
    <t>Dr, Carlos López Azanza</t>
  </si>
  <si>
    <t>Carlos López Azanza</t>
  </si>
  <si>
    <t>RPG08</t>
  </si>
  <si>
    <t>Dr, Carlos Martín Martín</t>
  </si>
  <si>
    <t>Carlos Martín Martín</t>
  </si>
  <si>
    <t>MBM14</t>
  </si>
  <si>
    <t>Dr, Carlos Martín Oviedo</t>
  </si>
  <si>
    <t>Carlos Martín Oviedo</t>
  </si>
  <si>
    <t>LRM21</t>
  </si>
  <si>
    <t>Dr, Carlos Martínez-Arrarás Pérez</t>
  </si>
  <si>
    <t>Carlos Martínez-Arrarás Pérez</t>
  </si>
  <si>
    <t>LRM22</t>
  </si>
  <si>
    <t>Dr, Carlos Mercadal Tallada</t>
  </si>
  <si>
    <t>Carlos Mercadal Tallada</t>
  </si>
  <si>
    <t>PSC06</t>
  </si>
  <si>
    <t>Dr, Carlos Miguel Salvador Martínez</t>
  </si>
  <si>
    <t>Carlos Miguel Salvador Martínez</t>
  </si>
  <si>
    <t>ISL14</t>
  </si>
  <si>
    <t>Dr, Carlos Velásquez Fermín</t>
  </si>
  <si>
    <t>Carlos Velásquez Fermín</t>
  </si>
  <si>
    <t>RPG09</t>
  </si>
  <si>
    <t>Dr, Carlos Vidal Redondo</t>
  </si>
  <si>
    <t>Carlos Vidal Redondo</t>
  </si>
  <si>
    <t>LRM23</t>
  </si>
  <si>
    <t>Dr, Carlos Villacampa</t>
  </si>
  <si>
    <t>Carlos Villacampa</t>
  </si>
  <si>
    <t>MBM98</t>
  </si>
  <si>
    <t>Dra, Carlota Sevil Serrano</t>
  </si>
  <si>
    <t>Carlota Sevil Serrano</t>
  </si>
  <si>
    <t>ISL143</t>
  </si>
  <si>
    <t>Dra, Carmen Aránzazu Pérez Fernández</t>
  </si>
  <si>
    <t>Carmen Aránzazu Pérez Fernández</t>
  </si>
  <si>
    <t>PSC34</t>
  </si>
  <si>
    <t>Dra, Carmen Becares Martinez</t>
  </si>
  <si>
    <t>Carmen Becares Martinez</t>
  </si>
  <si>
    <t>RFV27</t>
  </si>
  <si>
    <t>Dra, Carmen Comeche Cerverón</t>
  </si>
  <si>
    <t>Carmen Comeche Cerverón</t>
  </si>
  <si>
    <t>PSC35</t>
  </si>
  <si>
    <t>Dra, Carmen Fernández-Cedrón Bermejo</t>
  </si>
  <si>
    <t>Carmen Fernández-Cedrón Bermejo</t>
  </si>
  <si>
    <t>LAA69</t>
  </si>
  <si>
    <t>Dra, Carmen Hernández Torres</t>
  </si>
  <si>
    <t>Carmen Hernández Torres</t>
  </si>
  <si>
    <t>MBM99</t>
  </si>
  <si>
    <t>Dra, Carmen Juan Ivars</t>
  </si>
  <si>
    <t>Carmen Juan Ivars</t>
  </si>
  <si>
    <t>LRM142</t>
  </si>
  <si>
    <t>Dra, Carmen Martín Marcos</t>
  </si>
  <si>
    <t>Carmen Martín Marcos</t>
  </si>
  <si>
    <t>LRM143</t>
  </si>
  <si>
    <t>Dra, Carmen Muñoz Calahorro</t>
  </si>
  <si>
    <t>Carmen Muñoz Calahorro</t>
  </si>
  <si>
    <t>LRM144</t>
  </si>
  <si>
    <t>Dra, Carmen Ruiz Garcia</t>
  </si>
  <si>
    <t>Carmen Ruiz Garcia</t>
  </si>
  <si>
    <t>LRM145</t>
  </si>
  <si>
    <t>Dra, Carmen Salazar Cabrera</t>
  </si>
  <si>
    <t>Carmen Salazar Cabrera</t>
  </si>
  <si>
    <t>PSC36</t>
  </si>
  <si>
    <t>Dra, Carmen Vallés Rodríguez</t>
  </si>
  <si>
    <t>Carmen Vallés Rodríguez</t>
  </si>
  <si>
    <t>LRM146</t>
  </si>
  <si>
    <t>Dra, Carmen Viñolas González</t>
  </si>
  <si>
    <t>Carmen Viñolas González</t>
  </si>
  <si>
    <t>LRM147</t>
  </si>
  <si>
    <t>Dra, Carolina Vidal Martínez</t>
  </si>
  <si>
    <t>Carolina Vidal Martínez</t>
  </si>
  <si>
    <t>LAA44</t>
  </si>
  <si>
    <t>Dra, Cayetana López Ladrón García De La Borbolla</t>
  </si>
  <si>
    <t>Cayetana López Ladrón García De La Borbolla</t>
  </si>
  <si>
    <t>MBM100</t>
  </si>
  <si>
    <t>Dra, Cecilia Pérez Martínez</t>
  </si>
  <si>
    <t>Cecilia Pérez Martínez</t>
  </si>
  <si>
    <t>RPG40</t>
  </si>
  <si>
    <t>Dra, Celia Lendorio Otero</t>
  </si>
  <si>
    <t>Celia Lendorio Otero</t>
  </si>
  <si>
    <t>RFV28</t>
  </si>
  <si>
    <t>Dra, Celia López Molla</t>
  </si>
  <si>
    <t>Celia López Molla</t>
  </si>
  <si>
    <t>MBM15</t>
  </si>
  <si>
    <t>Dr, César Charles Martínez</t>
  </si>
  <si>
    <t>César Charles Martínez</t>
  </si>
  <si>
    <t>LRM148</t>
  </si>
  <si>
    <t>Dra, Charo de Saa Alvarez</t>
  </si>
  <si>
    <t>Charo de Saa Alvarez</t>
  </si>
  <si>
    <t>RPG10</t>
  </si>
  <si>
    <t>Dr, Christian Ezequiel Calvo Henríquez</t>
  </si>
  <si>
    <t>Christian Ezequiel Calvo Henríquez</t>
  </si>
  <si>
    <t>MBM101</t>
  </si>
  <si>
    <t>Dra, Clara Beltrán Yturriaga</t>
  </si>
  <si>
    <t>Clara Beltrán Yturriaga</t>
  </si>
  <si>
    <t>MCC03</t>
  </si>
  <si>
    <t>Dr, Clara Espina González</t>
  </si>
  <si>
    <t>Clara Espina González</t>
  </si>
  <si>
    <t>RPG41</t>
  </si>
  <si>
    <t>Dra, Clara García Bastida</t>
  </si>
  <si>
    <t>Clara García Bastida</t>
  </si>
  <si>
    <t>MBM102</t>
  </si>
  <si>
    <t>Dra, Claudia Buendía Pajares</t>
  </si>
  <si>
    <t>Claudia Buendía Pajares</t>
  </si>
  <si>
    <t>RPG42</t>
  </si>
  <si>
    <t>Dra, Claudia Martínez Paris</t>
  </si>
  <si>
    <t>Claudia Martínez Paris</t>
  </si>
  <si>
    <t>LRM24</t>
  </si>
  <si>
    <t>Dr, Claudio Fragola Arnau</t>
  </si>
  <si>
    <t>Claudio Fragola Arnau</t>
  </si>
  <si>
    <t>LRM256</t>
  </si>
  <si>
    <t>Dr, Coloma Grau Van Laak</t>
  </si>
  <si>
    <t>Coloma Grau Van Laak</t>
  </si>
  <si>
    <t>ISL97</t>
  </si>
  <si>
    <t>Dra, Concepción Crespo Marco</t>
  </si>
  <si>
    <t>Concepción Crespo Marco</t>
  </si>
  <si>
    <t>MBM103</t>
  </si>
  <si>
    <t>Dra, Concepción Pescador Mesonero</t>
  </si>
  <si>
    <t>Concepción Pescador Mesonero</t>
  </si>
  <si>
    <t>MBM104</t>
  </si>
  <si>
    <t>Dra, Concepcion Rodríguez Izquierdo</t>
  </si>
  <si>
    <t>Concepcion Rodríguez Izquierdo</t>
  </si>
  <si>
    <t>LAA06</t>
  </si>
  <si>
    <t>Dr, Cristina Alonso González</t>
  </si>
  <si>
    <t>Cristina Alonso González</t>
  </si>
  <si>
    <t>MBM105</t>
  </si>
  <si>
    <t>Dra, Cristina Alonso Martínez</t>
  </si>
  <si>
    <t>Cristina Alonso Martínez</t>
  </si>
  <si>
    <t>ISL98</t>
  </si>
  <si>
    <t>Dra, Cristina Esther Torregrosa Carrasquer</t>
  </si>
  <si>
    <t>Cristina Esther Torregrosa Carrasquer</t>
  </si>
  <si>
    <t>MBM106</t>
  </si>
  <si>
    <t>Dra, Cristina Fernández García</t>
  </si>
  <si>
    <t>Cristina Fernández García</t>
  </si>
  <si>
    <t>LRM150</t>
  </si>
  <si>
    <t>Dra, Cristina Fernández Jañez</t>
  </si>
  <si>
    <t>Cristina Fernández Jañez</t>
  </si>
  <si>
    <t>MBM190</t>
  </si>
  <si>
    <t>Dra, Cristina García García</t>
  </si>
  <si>
    <t>Cristina García García</t>
  </si>
  <si>
    <t>LRM151</t>
  </si>
  <si>
    <t>Dra, Cristina Ibañez Muñoz</t>
  </si>
  <si>
    <t>Cristina Ibañez Muñoz</t>
  </si>
  <si>
    <t>MCC67</t>
  </si>
  <si>
    <t>Dra, Cristina Marín Garrido</t>
  </si>
  <si>
    <t>Cristina Marín Garrido</t>
  </si>
  <si>
    <t>LRM152</t>
  </si>
  <si>
    <t>Dra, Cristina Martín González</t>
  </si>
  <si>
    <t>Cristina Martín González</t>
  </si>
  <si>
    <t>MCC43</t>
  </si>
  <si>
    <t>Dra, Cristina Molina Martínez</t>
  </si>
  <si>
    <t>Cristina Molina Martínez</t>
  </si>
  <si>
    <t>ISL99</t>
  </si>
  <si>
    <t>Dra, Cristina Muñoz Pinto</t>
  </si>
  <si>
    <t>Cristina Muñoz Pinto</t>
  </si>
  <si>
    <t>MBM107</t>
  </si>
  <si>
    <t>Dra, Cristina Povedano Fernández</t>
  </si>
  <si>
    <t>Cristina Povedano Fernández</t>
  </si>
  <si>
    <t>MBM108</t>
  </si>
  <si>
    <t>Dra, Cristina Vaduva</t>
  </si>
  <si>
    <t>Cristina Vaduva</t>
  </si>
  <si>
    <t>LRM25</t>
  </si>
  <si>
    <t>Dr, Cristobal López-Cortijo</t>
  </si>
  <si>
    <t>Cristobal López-Cortijo</t>
  </si>
  <si>
    <t>LRM249</t>
  </si>
  <si>
    <t>Dr, Daniel Briones Crespo</t>
  </si>
  <si>
    <t>Daniel Briones Crespo</t>
  </si>
  <si>
    <t>LAA07</t>
  </si>
  <si>
    <t>Dr, Daniel Iván Martín Jiménez</t>
  </si>
  <si>
    <t>Daniel Iván Martín Jiménez</t>
  </si>
  <si>
    <t>MBM16</t>
  </si>
  <si>
    <t>Dr, Daniel Moreno Jimenez</t>
  </si>
  <si>
    <t>Daniel Moreno Jimenez</t>
  </si>
  <si>
    <t>RFV44</t>
  </si>
  <si>
    <t>Dr, Daniel Unigarro Londoño</t>
  </si>
  <si>
    <t>Daniel Unigarro Londoño</t>
  </si>
  <si>
    <t>LRM153</t>
  </si>
  <si>
    <t>Dra, Daniela Carolina Laguado Bulgheroni</t>
  </si>
  <si>
    <t>Daniela Carolina Laguado Bulgheroni</t>
  </si>
  <si>
    <t>LAA45</t>
  </si>
  <si>
    <t>Dra, Daniela Terán Guamán</t>
  </si>
  <si>
    <t>Daniela Terán Guamán</t>
  </si>
  <si>
    <t>RPG43</t>
  </si>
  <si>
    <t>Dra, Dará Sánchez Ruiz</t>
  </si>
  <si>
    <t>Dará Sánchez Ruiz</t>
  </si>
  <si>
    <t>MCC04</t>
  </si>
  <si>
    <t>Dr, Darío Agudelo García</t>
  </si>
  <si>
    <t>Darío Agudelo García</t>
  </si>
  <si>
    <t>LAA08</t>
  </si>
  <si>
    <t>Dr, David Castro Gutiérrez de Agüero</t>
  </si>
  <si>
    <t>David Castro Gutiérrez de Agüero</t>
  </si>
  <si>
    <t>ISL15</t>
  </si>
  <si>
    <t>Dr, David López Bru</t>
  </si>
  <si>
    <t>David López Bru</t>
  </si>
  <si>
    <t>LRM26</t>
  </si>
  <si>
    <t>Dr, David Rubén Pérez Pérez</t>
  </si>
  <si>
    <t>David Rubén Pérez Pérez</t>
  </si>
  <si>
    <t>MBM197</t>
  </si>
  <si>
    <t>Dra, Desireé Méndez Brenderbache</t>
  </si>
  <si>
    <t>Desireé Méndez Brenderbache</t>
  </si>
  <si>
    <t>MBM109</t>
  </si>
  <si>
    <t>Dra, Desirée Méndez Brenderbache</t>
  </si>
  <si>
    <t>Desirée Méndez Brenderbache</t>
  </si>
  <si>
    <t>MBM110</t>
  </si>
  <si>
    <t>Dra, Diana Hernán Pérez</t>
  </si>
  <si>
    <t>Diana Hernán Pérez</t>
  </si>
  <si>
    <t>Patricia Solache (Castilla Y León)</t>
  </si>
  <si>
    <t>PSC59</t>
  </si>
  <si>
    <t>Dra, Diana Lisbeth</t>
  </si>
  <si>
    <t>Diana Lisbeth</t>
  </si>
  <si>
    <t>PSC37</t>
  </si>
  <si>
    <t>Dra, Diana Lysbeth Lourido Piedrahita</t>
  </si>
  <si>
    <t>Diana Lysbeth Lourido Piedrahita</t>
  </si>
  <si>
    <t>LRM27</t>
  </si>
  <si>
    <t>Dr, Diego Armando Escobar</t>
  </si>
  <si>
    <t>Diego Armando Escobar</t>
  </si>
  <si>
    <t>ISL16</t>
  </si>
  <si>
    <t>Dr, Diego Collado Martín</t>
  </si>
  <si>
    <t>Diego Collado Martín</t>
  </si>
  <si>
    <t>ISL17</t>
  </si>
  <si>
    <t>Dr, Diego Espuch Nuñez</t>
  </si>
  <si>
    <t>Diego Espuch Nuñez</t>
  </si>
  <si>
    <t>ISL18</t>
  </si>
  <si>
    <t>Dr, Diego Hellín Meseguer</t>
  </si>
  <si>
    <t>Diego Hellín Meseguer</t>
  </si>
  <si>
    <t>ISL19</t>
  </si>
  <si>
    <t>Dr, Dinis Antunes Silva</t>
  </si>
  <si>
    <t>Dinis Antunes Silva</t>
  </si>
  <si>
    <t>MCC44</t>
  </si>
  <si>
    <t>Dra, Dolores Romero Panadero</t>
  </si>
  <si>
    <t>Dolores Romero Panadero</t>
  </si>
  <si>
    <t>RPG11</t>
  </si>
  <si>
    <t>Dr, Eduardo Cabanas Rodríguez</t>
  </si>
  <si>
    <t>Eduardo Cabanas Rodríguez</t>
  </si>
  <si>
    <t>LRM28</t>
  </si>
  <si>
    <t>Dr, Eduardo del Castillo Serrano</t>
  </si>
  <si>
    <t>Eduardo del Castillo Serrano</t>
  </si>
  <si>
    <t>LRM29</t>
  </si>
  <si>
    <t>Dr, Eduardo Delgado Bobadilla</t>
  </si>
  <si>
    <t>Eduardo Delgado Bobadilla</t>
  </si>
  <si>
    <t>MCC05</t>
  </si>
  <si>
    <t>Dr, Eduardo Lehrer Coriat</t>
  </si>
  <si>
    <t>Eduardo Lehrer Coriat</t>
  </si>
  <si>
    <t>MBM17</t>
  </si>
  <si>
    <t>Dr, Eduardo Martín Sanz</t>
  </si>
  <si>
    <t>Eduardo Martín Sanz</t>
  </si>
  <si>
    <t>MCC06</t>
  </si>
  <si>
    <t>Dr, Eladio Sicilia Maluenda</t>
  </si>
  <si>
    <t>Eladio Sicilia Maluenda</t>
  </si>
  <si>
    <t>LRM154</t>
  </si>
  <si>
    <t>Dra, Elena Aznar Facerías</t>
  </si>
  <si>
    <t>Elena Aznar Facerías</t>
  </si>
  <si>
    <t>MCC45</t>
  </si>
  <si>
    <t>Dra, Elena De Dios Oran</t>
  </si>
  <si>
    <t>Elena De Dios Oran</t>
  </si>
  <si>
    <t>MBM191</t>
  </si>
  <si>
    <t>Dra, Elena Martín Bejerano</t>
  </si>
  <si>
    <t>Elena Martín Bejerano</t>
  </si>
  <si>
    <t>LAA46</t>
  </si>
  <si>
    <t>Dra, Elena Molina Fernández</t>
  </si>
  <si>
    <t>Elena Molina Fernández</t>
  </si>
  <si>
    <t>RPG44</t>
  </si>
  <si>
    <t>Dra, Elena San Román Rodríguez</t>
  </si>
  <si>
    <t>Elena San Román Rodríguez</t>
  </si>
  <si>
    <t>ISL145</t>
  </si>
  <si>
    <t>Dra, Elena Sevilla Heras</t>
  </si>
  <si>
    <t>Elena Sevilla Heras</t>
  </si>
  <si>
    <t>LRM155</t>
  </si>
  <si>
    <t>Dra, Elham Asgharpour Talat</t>
  </si>
  <si>
    <t>Elham Asgharpour Talat</t>
  </si>
  <si>
    <t>MBM111</t>
  </si>
  <si>
    <t>Dra, Elisabeth Amarillo Espitia</t>
  </si>
  <si>
    <t>Elisabeth Amarillo Espitia</t>
  </si>
  <si>
    <t>ISL20</t>
  </si>
  <si>
    <t>Dr, Eloy Infante Matarredona</t>
  </si>
  <si>
    <t>Eloy Infante Matarredona</t>
  </si>
  <si>
    <t>ISL100</t>
  </si>
  <si>
    <t>Dra, Elvira Mencheta Benet</t>
  </si>
  <si>
    <t>Elvira Mencheta Benet</t>
  </si>
  <si>
    <t>MBM112</t>
  </si>
  <si>
    <t>Dra, Elvylins Vargas Yglesia</t>
  </si>
  <si>
    <t>Elvylins Vargas Yglesia</t>
  </si>
  <si>
    <t>ISL21</t>
  </si>
  <si>
    <t>Dr, Emilio Saura Sánchez-Parra</t>
  </si>
  <si>
    <t>Emilio Saura Sánchez-Parra</t>
  </si>
  <si>
    <t>MCC07</t>
  </si>
  <si>
    <t>Dr, Enric Cisa Lluis</t>
  </si>
  <si>
    <t>Enric Cisa Lluis</t>
  </si>
  <si>
    <t>MCC08</t>
  </si>
  <si>
    <t>Dr, Enric Ferran Benstrom</t>
  </si>
  <si>
    <t>Enric Ferran Benstrom</t>
  </si>
  <si>
    <t>ISL22</t>
  </si>
  <si>
    <t>Dr, Enrique Fernández Julián</t>
  </si>
  <si>
    <t>Enrique Fernández Julián</t>
  </si>
  <si>
    <t>ISL23</t>
  </si>
  <si>
    <t>Dr, Enrique García Zamora</t>
  </si>
  <si>
    <t>Enrique García Zamora</t>
  </si>
  <si>
    <t>LAA09</t>
  </si>
  <si>
    <t>Dr, Enrique Gómez Aldaz</t>
  </si>
  <si>
    <t>Enrique Gómez Aldaz</t>
  </si>
  <si>
    <t>ISL24</t>
  </si>
  <si>
    <t>Dr, Enrique López Meseguer</t>
  </si>
  <si>
    <t>Enrique López Meseguer</t>
  </si>
  <si>
    <t>LRM30</t>
  </si>
  <si>
    <t>Dr, Enrique Melcom Díez</t>
  </si>
  <si>
    <t>Enrique Melcom Díez</t>
  </si>
  <si>
    <t>MCC09</t>
  </si>
  <si>
    <t>Dr, Enrique Perelló Scherdel</t>
  </si>
  <si>
    <t>Enrique Perelló Scherdel</t>
  </si>
  <si>
    <t>MCC10</t>
  </si>
  <si>
    <t>Dr, Enrique Romero Van Abeleen</t>
  </si>
  <si>
    <t>Enrique Romero Van Abeleen</t>
  </si>
  <si>
    <t>LAA61</t>
  </si>
  <si>
    <t>Dr, Enrique Ruiz Veguilla</t>
  </si>
  <si>
    <t>Enrique Ruiz Veguilla</t>
  </si>
  <si>
    <t>ISL25</t>
  </si>
  <si>
    <t>Dr, Enrique Viviente Rodríguez</t>
  </si>
  <si>
    <t>Enrique Viviente Rodríguez</t>
  </si>
  <si>
    <t>LRM31</t>
  </si>
  <si>
    <t>Dr, Ernesto Sánchez Llanos</t>
  </si>
  <si>
    <t>Ernesto Sánchez Llanos</t>
  </si>
  <si>
    <t>RPG12</t>
  </si>
  <si>
    <t>Dr, Ernesto Varela Martínez</t>
  </si>
  <si>
    <t>Ernesto Varela Martínez</t>
  </si>
  <si>
    <t>MBM18</t>
  </si>
  <si>
    <t>Dr, Esteban Scola Pliego</t>
  </si>
  <si>
    <t>Esteban Scola Pliego</t>
  </si>
  <si>
    <t>LAA47</t>
  </si>
  <si>
    <t>Dra, Estefanía Berrocal Postigo</t>
  </si>
  <si>
    <t>Estefanía Berrocal Postigo</t>
  </si>
  <si>
    <t>LAA48</t>
  </si>
  <si>
    <t>Dra, Estefanía Lozano Reina</t>
  </si>
  <si>
    <t>Estefanía Lozano Reina</t>
  </si>
  <si>
    <t>MBM113</t>
  </si>
  <si>
    <t>Dra, Estefania Miranda Sánchez</t>
  </si>
  <si>
    <t>Estefania Miranda Sánchez</t>
  </si>
  <si>
    <t>LRM156</t>
  </si>
  <si>
    <t>Dra, Esther De la O Corrochano</t>
  </si>
  <si>
    <t>Esther De la O Corrochano</t>
  </si>
  <si>
    <t>MBM114</t>
  </si>
  <si>
    <t>Dra, Esther García López</t>
  </si>
  <si>
    <t>Esther García López</t>
  </si>
  <si>
    <t>MBM115</t>
  </si>
  <si>
    <t>Dra, Esther Macon Liquete</t>
  </si>
  <si>
    <t>Esther Macon Liquete</t>
  </si>
  <si>
    <t>LRM157</t>
  </si>
  <si>
    <t>Dra, Esther Montiel Diez</t>
  </si>
  <si>
    <t>Esther Montiel Diez</t>
  </si>
  <si>
    <t>LRM158</t>
  </si>
  <si>
    <t>Dra, Estrella Gómez Tomé</t>
  </si>
  <si>
    <t>Estrella Gómez Tomé</t>
  </si>
  <si>
    <t>RPG45</t>
  </si>
  <si>
    <t>Dra, Estrella Pallas Pallas</t>
  </si>
  <si>
    <t>Estrella Pallas Pallas</t>
  </si>
  <si>
    <t>LRM32</t>
  </si>
  <si>
    <t>Dr, Eugenio Andrés Vicente González</t>
  </si>
  <si>
    <t>Eugenio Andrés Vicente González</t>
  </si>
  <si>
    <t>MBM19</t>
  </si>
  <si>
    <t>Dr, Eusebio Bullido Gómez-Heras</t>
  </si>
  <si>
    <t>Eusebio Bullido Gómez-Heras</t>
  </si>
  <si>
    <t>LRM159</t>
  </si>
  <si>
    <t>Dra, Eva MaríaLlorente Arenas</t>
  </si>
  <si>
    <t>Eva MaríaLlorente Arenas</t>
  </si>
  <si>
    <t>LRM33</t>
  </si>
  <si>
    <t>Dr, Eva Ruiz de Fauna Martín</t>
  </si>
  <si>
    <t>Eva Ruiz de Fauna Martín</t>
  </si>
  <si>
    <t>LRM160</t>
  </si>
  <si>
    <t>Dra, Eva Ruiz de Gauna</t>
  </si>
  <si>
    <t>Eva Ruiz de Gauna</t>
  </si>
  <si>
    <t>ISL26</t>
  </si>
  <si>
    <t>Dr, Evaristo Perelló Senent</t>
  </si>
  <si>
    <t>Evaristo Perelló Senent</t>
  </si>
  <si>
    <t>MCC11</t>
  </si>
  <si>
    <t>Dr, Evians Gómez de la Rosa</t>
  </si>
  <si>
    <t>Evians Gómez de la Rosa</t>
  </si>
  <si>
    <t>MBM20</t>
  </si>
  <si>
    <t>Dr, Eviatar Friedlander</t>
  </si>
  <si>
    <t>Eviatar Friedlander</t>
  </si>
  <si>
    <t>MBM116</t>
  </si>
  <si>
    <t>Dra, Fátima Sánchez Viudo</t>
  </si>
  <si>
    <t>Fátima Sánchez Viudo</t>
  </si>
  <si>
    <t>RFV29</t>
  </si>
  <si>
    <t>Dra, Fe Rubio Escolano</t>
  </si>
  <si>
    <t>Fe Rubio Escolano</t>
  </si>
  <si>
    <t>AMM03</t>
  </si>
  <si>
    <t>Dr, Federico Arrutia diez</t>
  </si>
  <si>
    <t>Federico Arrutia diez</t>
  </si>
  <si>
    <t>ISL27</t>
  </si>
  <si>
    <t>Dr, Federico Mangada Martínez</t>
  </si>
  <si>
    <t>Federico Mangada Martínez</t>
  </si>
  <si>
    <t>LRM34</t>
  </si>
  <si>
    <t>Dr, Felipe Ahumada Alarcón</t>
  </si>
  <si>
    <t>Felipe Ahumada Alarcón</t>
  </si>
  <si>
    <t>RFV12</t>
  </si>
  <si>
    <t>Dr, Felipe Ferrer Baixauli</t>
  </si>
  <si>
    <t>Felipe Ferrer Baixauli</t>
  </si>
  <si>
    <t>MCC12</t>
  </si>
  <si>
    <t>Dr, Felipe López Hernández</t>
  </si>
  <si>
    <t>Felipe López Hernández</t>
  </si>
  <si>
    <t>LRM35</t>
  </si>
  <si>
    <t>Dr, Félix de Miguel García</t>
  </si>
  <si>
    <t>Félix de Miguel García</t>
  </si>
  <si>
    <t>PSC07</t>
  </si>
  <si>
    <t>Dr, Félix García García</t>
  </si>
  <si>
    <t>Félix García García</t>
  </si>
  <si>
    <t>ISL28</t>
  </si>
  <si>
    <t>Dr, Félix Pascual García Ortega</t>
  </si>
  <si>
    <t>Félix Pascual García Ortega</t>
  </si>
  <si>
    <t>MBM21</t>
  </si>
  <si>
    <t>Dr, Félix Rodríguez Paz</t>
  </si>
  <si>
    <t>Félix Rodríguez Paz</t>
  </si>
  <si>
    <t>Iván Sánchez (Levante Y Albacete)</t>
  </si>
  <si>
    <t>ISL137</t>
  </si>
  <si>
    <t>Dr, Félix Ruiz De La Cuesta Juste</t>
  </si>
  <si>
    <t>Félix Ruiz De La Cuesta Juste</t>
  </si>
  <si>
    <t>ISL29</t>
  </si>
  <si>
    <t>Dr, Félix Ruíz de la Cuesta Juste</t>
  </si>
  <si>
    <t>Félix Ruíz de la Cuesta Juste</t>
  </si>
  <si>
    <t>LRM36</t>
  </si>
  <si>
    <t>Dr, Fernando Aguador Ayneto</t>
  </si>
  <si>
    <t>Fernando Aguador Ayneto</t>
  </si>
  <si>
    <t>MBM22</t>
  </si>
  <si>
    <t>Dr, Fernando Cristóbal</t>
  </si>
  <si>
    <t>Fernando Cristóbal</t>
  </si>
  <si>
    <t>MBM23</t>
  </si>
  <si>
    <t>Dr, Fernando de la Cierva Benito</t>
  </si>
  <si>
    <t>Fernando de la Cierva Benito</t>
  </si>
  <si>
    <t>PSC08</t>
  </si>
  <si>
    <t>Dr, Fernando Franco Calvo</t>
  </si>
  <si>
    <t>Fernando Franco Calvo</t>
  </si>
  <si>
    <t>MBM24</t>
  </si>
  <si>
    <t>Dr, Fernando García Alcántara</t>
  </si>
  <si>
    <t>Fernando García Alcántara</t>
  </si>
  <si>
    <t>LRM37</t>
  </si>
  <si>
    <t>Dr, Fernando Jiménez Gosa</t>
  </si>
  <si>
    <t>Fernando Jiménez Gosa</t>
  </si>
  <si>
    <t>LRM38</t>
  </si>
  <si>
    <t>Dr, Fernando Moliner Peiró</t>
  </si>
  <si>
    <t>Fernando Moliner Peiró</t>
  </si>
  <si>
    <t>LRM39</t>
  </si>
  <si>
    <t>Dr, Fernando Salazar Barcelona</t>
  </si>
  <si>
    <t>Fernando Salazar Barcelona</t>
  </si>
  <si>
    <t>LRM40</t>
  </si>
  <si>
    <t>Dr, Fernando Vizmanos Sevilla</t>
  </si>
  <si>
    <t>Fernando Vizmanos Sevilla</t>
  </si>
  <si>
    <t>MCC13</t>
  </si>
  <si>
    <t>Dr, Ferran Ballesteros Alonso</t>
  </si>
  <si>
    <t>Ferran Ballesteros Alonso</t>
  </si>
  <si>
    <t>ISL30</t>
  </si>
  <si>
    <t>Dr, Fiorella Marcino Moreira</t>
  </si>
  <si>
    <t>Fiorella Marcino Moreira</t>
  </si>
  <si>
    <t>MCC14</t>
  </si>
  <si>
    <t>Dr, Francesc Larrosa Díaz</t>
  </si>
  <si>
    <t>Francesc Larrosa Díaz</t>
  </si>
  <si>
    <t>AMM04</t>
  </si>
  <si>
    <t>Dr, Francesc Xavier Pujolas Graboleda</t>
  </si>
  <si>
    <t>Francesc Xavier Pujolas Graboleda</t>
  </si>
  <si>
    <t>LAA10</t>
  </si>
  <si>
    <t>Dr, Francisco Alés Conejo</t>
  </si>
  <si>
    <t>Francisco Alés Conejo</t>
  </si>
  <si>
    <t>LRM41</t>
  </si>
  <si>
    <t>Dr, Francisco Álvaro Rodríguez Rodríguez</t>
  </si>
  <si>
    <t>Francisco Álvaro Rodríguez Rodríguez</t>
  </si>
  <si>
    <t>LAA11</t>
  </si>
  <si>
    <t>Dr, Francisco Antonio Pérez Fernández</t>
  </si>
  <si>
    <t>Francisco Antonio Pérez Fernández</t>
  </si>
  <si>
    <t>ISL31</t>
  </si>
  <si>
    <t>Dr, Francisco Argudo Marco</t>
  </si>
  <si>
    <t>Francisco Argudo Marco</t>
  </si>
  <si>
    <t>LAA12</t>
  </si>
  <si>
    <t>Dr, Francisco Delgado Álvarez</t>
  </si>
  <si>
    <t>Francisco Delgado Álvarez</t>
  </si>
  <si>
    <t>ISL32</t>
  </si>
  <si>
    <t>Dr, Francisco García Purriños</t>
  </si>
  <si>
    <t>Francisco García Purriños</t>
  </si>
  <si>
    <t>LAA13</t>
  </si>
  <si>
    <t>Dr, Francisco Javier Aguilar Vera</t>
  </si>
  <si>
    <t>Francisco Javier Aguilar Vera</t>
  </si>
  <si>
    <t>ISL33</t>
  </si>
  <si>
    <t>Dr, Francisco Javier Cerdán Baeza</t>
  </si>
  <si>
    <t>Francisco Javier Cerdán Baeza</t>
  </si>
  <si>
    <t>LRM42</t>
  </si>
  <si>
    <t>Dr, Francisco Javier Guerra Blanco</t>
  </si>
  <si>
    <t>Francisco Javier Guerra Blanco</t>
  </si>
  <si>
    <t>RPG13</t>
  </si>
  <si>
    <t>Dr, Francisco Javier Lage Fernández</t>
  </si>
  <si>
    <t>Francisco Javier Lage Fernández</t>
  </si>
  <si>
    <t>LRM43</t>
  </si>
  <si>
    <t>Dr, Francisco Javier Molla Rudiez</t>
  </si>
  <si>
    <t>Francisco Javier Molla Rudiez</t>
  </si>
  <si>
    <t>LRM44</t>
  </si>
  <si>
    <t>Dr, Francisco Javier Redondo del Barco</t>
  </si>
  <si>
    <t>Francisco Javier Redondo del Barco</t>
  </si>
  <si>
    <t>LAA14</t>
  </si>
  <si>
    <t>Dr, Francisco José Aguado Martínez</t>
  </si>
  <si>
    <t>Francisco José Aguado Martínez</t>
  </si>
  <si>
    <t>LAA15</t>
  </si>
  <si>
    <t>Dr, Francisco José Estrada Molina</t>
  </si>
  <si>
    <t>Francisco José Estrada Molina</t>
  </si>
  <si>
    <t>LAA16</t>
  </si>
  <si>
    <t>Dr, Francisco López Navas</t>
  </si>
  <si>
    <t>Francisco López Navas</t>
  </si>
  <si>
    <t>LRM45</t>
  </si>
  <si>
    <t>Dr, Francisco Lorenzo Molina</t>
  </si>
  <si>
    <t>Francisco Lorenzo Molina</t>
  </si>
  <si>
    <t>ISL34</t>
  </si>
  <si>
    <t>Dr, Francisco Pastor Beviá</t>
  </si>
  <si>
    <t>Francisco Pastor Beviá</t>
  </si>
  <si>
    <t>ISL35</t>
  </si>
  <si>
    <t>Dr, Francisco Pons Rocher</t>
  </si>
  <si>
    <t>Francisco Pons Rocher</t>
  </si>
  <si>
    <t>LRM46</t>
  </si>
  <si>
    <t>Dr, Francisco Ramos Puerto</t>
  </si>
  <si>
    <t>Francisco Ramos Puerto</t>
  </si>
  <si>
    <t>LAA17</t>
  </si>
  <si>
    <t>Dr, Francisco Ropero Romero</t>
  </si>
  <si>
    <t>Francisco Ropero Romero</t>
  </si>
  <si>
    <t>LRM216</t>
  </si>
  <si>
    <t>Dra, Franklin Meriño Sánchez</t>
  </si>
  <si>
    <t>Franklin Meriño Sánchez</t>
  </si>
  <si>
    <t>MBM25</t>
  </si>
  <si>
    <t>Dr, Franklin S, Mariño Sánchez</t>
  </si>
  <si>
    <t>Franklin S, Mariño Sánchez</t>
  </si>
  <si>
    <t>LRM47</t>
  </si>
  <si>
    <t>Dr, Gabriel Álvarez Curro</t>
  </si>
  <si>
    <t>Gabriel Álvarez Curro</t>
  </si>
  <si>
    <t>RPG14</t>
  </si>
  <si>
    <t>Dr, Gabriel Martínez Capoccini</t>
  </si>
  <si>
    <t>Gabriel Martínez Capoccini</t>
  </si>
  <si>
    <t>MCC15</t>
  </si>
  <si>
    <t>Dr, Gabriel Pedemonte Sarrias</t>
  </si>
  <si>
    <t>Gabriel Pedemonte Sarrias</t>
  </si>
  <si>
    <t>LAA18</t>
  </si>
  <si>
    <t>Dr, Gabriel Trinidad Ruiz</t>
  </si>
  <si>
    <t>Gabriel Trinidad Ruiz</t>
  </si>
  <si>
    <t>MCC46</t>
  </si>
  <si>
    <t>Dra, Gabriela Simonetti</t>
  </si>
  <si>
    <t>Gabriela Simonetti</t>
  </si>
  <si>
    <t>ISL36</t>
  </si>
  <si>
    <t>Dr, Gaby Nicolás Núñez Pichardo</t>
  </si>
  <si>
    <t>Gaby Nicolás Núñez Pichardo</t>
  </si>
  <si>
    <t>MBM189</t>
  </si>
  <si>
    <t>Dra,Esther García González</t>
  </si>
  <si>
    <t>García González</t>
  </si>
  <si>
    <t>LRM48</t>
  </si>
  <si>
    <t>Dr, Garikoitz Calzada Uriondo</t>
  </si>
  <si>
    <t>Garikoitz Calzada Uriondo</t>
  </si>
  <si>
    <t>PSC09</t>
  </si>
  <si>
    <t>Dr, Gerardo Martin Siguenza</t>
  </si>
  <si>
    <t>Gerardo Martin Siguenza</t>
  </si>
  <si>
    <t>MBM26</t>
  </si>
  <si>
    <t>Dr, Gerardo Monedero Rodrigo</t>
  </si>
  <si>
    <t>Gerardo Monedero Rodrigo</t>
  </si>
  <si>
    <t>MBM27</t>
  </si>
  <si>
    <t>Dr, Germán González del Tánago Durán</t>
  </si>
  <si>
    <t>Germán González del Tánago Durán</t>
  </si>
  <si>
    <t>MBM28</t>
  </si>
  <si>
    <t>Dr, Gianmarco Narciso Martínez</t>
  </si>
  <si>
    <t>Gianmarco Narciso Martínez</t>
  </si>
  <si>
    <t>LRM161</t>
  </si>
  <si>
    <t>Dra, Glendis Reyes de la Cruz</t>
  </si>
  <si>
    <t>Glendis Reyes de la Cruz</t>
  </si>
  <si>
    <t>LRM49</t>
  </si>
  <si>
    <t>Dr, Gonzalo Díaz Tapia</t>
  </si>
  <si>
    <t>Gonzalo Díaz Tapia</t>
  </si>
  <si>
    <t>RPG59</t>
  </si>
  <si>
    <t>Dr, Gonzalo Dorado Gutiérrez</t>
  </si>
  <si>
    <t>Gonzalo Dorado Gutiérrez</t>
  </si>
  <si>
    <t>AMM13</t>
  </si>
  <si>
    <t>Dra, Guadalupe Fernández de Pinedo</t>
  </si>
  <si>
    <t>Guadalupe Fernández de Pinedo</t>
  </si>
  <si>
    <t>RPG46</t>
  </si>
  <si>
    <t>Dra, Guadalupe Sequeiros Santiago</t>
  </si>
  <si>
    <t>Guadalupe Sequeiros Santiago</t>
  </si>
  <si>
    <t>LRM50</t>
  </si>
  <si>
    <t>Dr, Guillermo Acosta Díaz</t>
  </si>
  <si>
    <t>Guillermo Acosta Díaz</t>
  </si>
  <si>
    <t>MBM29</t>
  </si>
  <si>
    <t>Dr, Guillermo Plaza Mayor</t>
  </si>
  <si>
    <t>Guillermo Plaza Mayor</t>
  </si>
  <si>
    <t>MBM30</t>
  </si>
  <si>
    <t>Dr, Guillermo San Juan de la Moreta</t>
  </si>
  <si>
    <t>Guillermo San Juan de la Moreta</t>
  </si>
  <si>
    <t>ISL138</t>
  </si>
  <si>
    <t>Dr, Guillermo Severa Ferrandiz</t>
  </si>
  <si>
    <t>Guillermo Severa Ferrandiz</t>
  </si>
  <si>
    <t>ISL37</t>
  </si>
  <si>
    <t>Dr, Guillermo Severá Ferrandiz</t>
  </si>
  <si>
    <t>Guillermo Severá Ferrandiz</t>
  </si>
  <si>
    <t>LAA70</t>
  </si>
  <si>
    <t>Dr, Guillermo Sierra Galera</t>
  </si>
  <si>
    <t>Guillermo Sierra Galera</t>
  </si>
  <si>
    <t>LAA76</t>
  </si>
  <si>
    <t>Dr, Gumersindo Jesús Pérez Ortega</t>
  </si>
  <si>
    <t>Gumersindo Jesús Pérez Ortega</t>
  </si>
  <si>
    <t>LAA19</t>
  </si>
  <si>
    <t>Dr, Gustavo Benavente Bermudo</t>
  </si>
  <si>
    <t>Gustavo Benavente Bermudo</t>
  </si>
  <si>
    <t>MBM31</t>
  </si>
  <si>
    <t>Dr, Gustavo Córdova Ramos</t>
  </si>
  <si>
    <t>Gustavo Córdova Ramos</t>
  </si>
  <si>
    <t>MBM32</t>
  </si>
  <si>
    <t>Dr, Gustavo Eisenberg Plaza</t>
  </si>
  <si>
    <t>Gustavo Eisenberg Plaza</t>
  </si>
  <si>
    <t>LRM51</t>
  </si>
  <si>
    <t>Dr, Hatim Abubaid Abubaid</t>
  </si>
  <si>
    <t>Hatim Abubaid Abubaid</t>
  </si>
  <si>
    <t>ISL38</t>
  </si>
  <si>
    <t>Dr, Héctor Guiral Torner</t>
  </si>
  <si>
    <t>Héctor Guiral Torner</t>
  </si>
  <si>
    <t>LRM241</t>
  </si>
  <si>
    <t>Dr, Hector Valles Varela</t>
  </si>
  <si>
    <t>Hector Valles Varela</t>
  </si>
  <si>
    <t>LRM52</t>
  </si>
  <si>
    <t>Dr, Héctor Vallés Varela</t>
  </si>
  <si>
    <t>Héctor Vallés Varela</t>
  </si>
  <si>
    <t>MBM117</t>
  </si>
  <si>
    <t>Dra, Helena Moreno Pardo</t>
  </si>
  <si>
    <t>Helena Moreno Pardo</t>
  </si>
  <si>
    <t>MBM33</t>
  </si>
  <si>
    <t>Dr, Hugo Eduardo Ballivian Yañez</t>
  </si>
  <si>
    <t>Hugo Eduardo Ballivian Yañez</t>
  </si>
  <si>
    <t>PSC10</t>
  </si>
  <si>
    <t>Dr, Hugo Lara Sánchez</t>
  </si>
  <si>
    <t>Hugo Lara Sánchez</t>
  </si>
  <si>
    <t>ISL39</t>
  </si>
  <si>
    <t>Dr, Ignacio Albaladejo Devis</t>
  </si>
  <si>
    <t>Ignacio Albaladejo Devis</t>
  </si>
  <si>
    <t>PSC11</t>
  </si>
  <si>
    <t>Dr, Ignacio Álvarez Álvarez</t>
  </si>
  <si>
    <t>Ignacio Álvarez Álvarez</t>
  </si>
  <si>
    <t>MBM34</t>
  </si>
  <si>
    <t>Dr, Ignacio Aristegui Torrano</t>
  </si>
  <si>
    <t>Ignacio Aristegui Torrano</t>
  </si>
  <si>
    <t>MCC16</t>
  </si>
  <si>
    <t>Dr, Ignacio Clemente Agodino</t>
  </si>
  <si>
    <t>Ignacio Clemente Agodino</t>
  </si>
  <si>
    <t>LRM251</t>
  </si>
  <si>
    <t>Dr, Ignacio Erdozáin Rodríguez</t>
  </si>
  <si>
    <t>Ignacio Erdozáin Rodríguez</t>
  </si>
  <si>
    <t>LRM53</t>
  </si>
  <si>
    <t>Dr, Ignacio Gómez Campdera</t>
  </si>
  <si>
    <t>Ignacio Gómez Campdera</t>
  </si>
  <si>
    <t>RFV13</t>
  </si>
  <si>
    <t>Dr, Ignacio Llopez Carratalá</t>
  </si>
  <si>
    <t>Ignacio Llopez Carratalá</t>
  </si>
  <si>
    <t>RFV14</t>
  </si>
  <si>
    <t>Dr, Ignacio Pla Gil</t>
  </si>
  <si>
    <t>Ignacio Pla Gil</t>
  </si>
  <si>
    <t>LRM54</t>
  </si>
  <si>
    <t>Dr, Ignacio Sierra Arbide</t>
  </si>
  <si>
    <t>Ignacio Sierra Arbide</t>
  </si>
  <si>
    <t>MCC47</t>
  </si>
  <si>
    <t>Dra, Inés Llano Espinosa</t>
  </si>
  <si>
    <t>Inés Llano Espinosa</t>
  </si>
  <si>
    <t>LRM162</t>
  </si>
  <si>
    <t>Dra, Inés Pastor Basterra</t>
  </si>
  <si>
    <t>Inés Pastor Basterra</t>
  </si>
  <si>
    <t>LRM163</t>
  </si>
  <si>
    <t>Dra, Inés Redondo Santos</t>
  </si>
  <si>
    <t>Inés Redondo Santos</t>
  </si>
  <si>
    <t>MBM118</t>
  </si>
  <si>
    <t>Dra, Inmaculada Giraldo Mata</t>
  </si>
  <si>
    <t>Inmaculada Giraldo Mata</t>
  </si>
  <si>
    <t>ISL101</t>
  </si>
  <si>
    <t>Dra, Inmaculada Puíg González</t>
  </si>
  <si>
    <t>Inmaculada Puíg González</t>
  </si>
  <si>
    <t>MBM119</t>
  </si>
  <si>
    <t>Dra, Inmaculada Sancho Martín</t>
  </si>
  <si>
    <t>Inmaculada Sancho Martín</t>
  </si>
  <si>
    <t>AMM05</t>
  </si>
  <si>
    <t>Dr, Iñigo Ucelay Vicinay</t>
  </si>
  <si>
    <t>Iñigo Ucelay Vicinay</t>
  </si>
  <si>
    <t>MBM120</t>
  </si>
  <si>
    <t>Dra, Irene Mármol Szmobathy</t>
  </si>
  <si>
    <t>Irene Mármol Szmobathy</t>
  </si>
  <si>
    <t>ISL102</t>
  </si>
  <si>
    <t>Dra, Irene Monjas Canovas</t>
  </si>
  <si>
    <t>Irene Monjas Canovas</t>
  </si>
  <si>
    <t>MBM121</t>
  </si>
  <si>
    <t>Dra, Irene Rivero Fernández</t>
  </si>
  <si>
    <t>Irene Rivero Fernández</t>
  </si>
  <si>
    <t>MBM122</t>
  </si>
  <si>
    <t>Dra, Iris Quero Campos</t>
  </si>
  <si>
    <t>Iris Quero Campos</t>
  </si>
  <si>
    <t>LRM164</t>
  </si>
  <si>
    <t>Dra, Isabel Eugenia Lasso García</t>
  </si>
  <si>
    <t>Isabel Eugenia Lasso García</t>
  </si>
  <si>
    <t>PSC56</t>
  </si>
  <si>
    <t>Dra, Isabel González Diez</t>
  </si>
  <si>
    <t>Isabel González Diez</t>
  </si>
  <si>
    <t>RPG47</t>
  </si>
  <si>
    <t>Dra, Isabel González Guijarro</t>
  </si>
  <si>
    <t>Isabel González Guijarro</t>
  </si>
  <si>
    <t>ISL103</t>
  </si>
  <si>
    <t>Dra, Isabel Menaches Guardiola</t>
  </si>
  <si>
    <t>Isabel Menaches Guardiola</t>
  </si>
  <si>
    <t>RPG58</t>
  </si>
  <si>
    <t>Dra, Isabel Miranda García</t>
  </si>
  <si>
    <t>Isabel Miranda García</t>
  </si>
  <si>
    <t>RPG48</t>
  </si>
  <si>
    <t>Dra, Isabel Pensado Banet</t>
  </si>
  <si>
    <t>Isabel Pensado Banet</t>
  </si>
  <si>
    <t>ISL104</t>
  </si>
  <si>
    <t>Dra, Isabel Polo Tomás</t>
  </si>
  <si>
    <t>Isabel Polo Tomás</t>
  </si>
  <si>
    <t>LRM165</t>
  </si>
  <si>
    <t>Dra, Isabel Sánchez Cuadrado</t>
  </si>
  <si>
    <t>Isabel Sánchez Cuadrado</t>
  </si>
  <si>
    <t>RPG49</t>
  </si>
  <si>
    <t>Dra, Isabel Vaamonde Sanchez Andrade</t>
  </si>
  <si>
    <t>Isabel Vaamonde Sanchez Andrade</t>
  </si>
  <si>
    <t>MBM123</t>
  </si>
  <si>
    <t>Dra, Isabel Victoria Fernandez</t>
  </si>
  <si>
    <t>Isabel Victoria Fernandez</t>
  </si>
  <si>
    <t>LAA20</t>
  </si>
  <si>
    <t>Dr, Isidoro Rubio Correa</t>
  </si>
  <si>
    <t>Isidoro Rubio Correa</t>
  </si>
  <si>
    <t>MBM124</t>
  </si>
  <si>
    <t>Dra, Ithzel Maria Villarreal Patiño</t>
  </si>
  <si>
    <t>Ithzel Maria Villarreal Patiño</t>
  </si>
  <si>
    <t>MBM125</t>
  </si>
  <si>
    <t>Dra, Itziar Álvarez Palacios</t>
  </si>
  <si>
    <t>Itziar Álvarez Palacios</t>
  </si>
  <si>
    <t>MBM35</t>
  </si>
  <si>
    <t>Dr, Ivan Mendez- Benegassi Silva</t>
  </si>
  <si>
    <t>Ivan Mendez- Benegassi Silva</t>
  </si>
  <si>
    <t>LRM55</t>
  </si>
  <si>
    <t>Dr, Iván Muerte Moreno</t>
  </si>
  <si>
    <t>Iván Muerte Moreno</t>
  </si>
  <si>
    <t>LAA21</t>
  </si>
  <si>
    <t>Dr, Jaime Alonso Ochoa Ríos</t>
  </si>
  <si>
    <t>Jaime Alonso Ochoa Ríos</t>
  </si>
  <si>
    <t>ISL40</t>
  </si>
  <si>
    <t>Dr, Jaime Ferrán Bernal</t>
  </si>
  <si>
    <t>Jaime Ferrán Bernal</t>
  </si>
  <si>
    <t>LRM56</t>
  </si>
  <si>
    <t>Dr, Jaime Leache Pueyo</t>
  </si>
  <si>
    <t>Jaime Leache Pueyo</t>
  </si>
  <si>
    <t>RFV41</t>
  </si>
  <si>
    <t>Dr, Jaime Marco Algarra</t>
  </si>
  <si>
    <t>Jaime Marco Algarra</t>
  </si>
  <si>
    <t>MBM36</t>
  </si>
  <si>
    <t>Dr, Jaime Martín Carranza</t>
  </si>
  <si>
    <t>Jaime Martín Carranza</t>
  </si>
  <si>
    <t>LRM57</t>
  </si>
  <si>
    <t>Dr, Jaime Sanabria Brassart</t>
  </si>
  <si>
    <t>Jaime Sanabria Brassart</t>
  </si>
  <si>
    <t>AMM06</t>
  </si>
  <si>
    <t>Dr, Jaime Tisaire Calle</t>
  </si>
  <si>
    <t>Jaime Tisaire Calle</t>
  </si>
  <si>
    <t>MBM37</t>
  </si>
  <si>
    <t>Dr, Javier Alonso Ortega</t>
  </si>
  <si>
    <t>Javier Alonso Ortega</t>
  </si>
  <si>
    <t>MBM38</t>
  </si>
  <si>
    <t>Dr, Javier Gamboa Mutuberria</t>
  </si>
  <si>
    <t>Javier Gamboa Mutuberria</t>
  </si>
  <si>
    <t>MBM39</t>
  </si>
  <si>
    <t>Dr, Javier García Domínguez</t>
  </si>
  <si>
    <t>Javier García Domínguez</t>
  </si>
  <si>
    <t>LRM58</t>
  </si>
  <si>
    <t>Dr, Javier García Gómez</t>
  </si>
  <si>
    <t>Javier García Gómez</t>
  </si>
  <si>
    <t>ISL41</t>
  </si>
  <si>
    <t>Dr, Javier García-Dueñas González</t>
  </si>
  <si>
    <t>Javier García-Dueñas González</t>
  </si>
  <si>
    <t>LRM59</t>
  </si>
  <si>
    <t>Dr, Javier Gavilán Bouzas</t>
  </si>
  <si>
    <t>Javier Gavilán Bouzas</t>
  </si>
  <si>
    <t>MBM40</t>
  </si>
  <si>
    <t>Dr, Javier Gavilanes Plasencia</t>
  </si>
  <si>
    <t>Javier Gavilanes Plasencia</t>
  </si>
  <si>
    <t>PSC12</t>
  </si>
  <si>
    <t>Dr, Javier Herrero Agustín</t>
  </si>
  <si>
    <t>Javier Herrero Agustín</t>
  </si>
  <si>
    <t>LAA22</t>
  </si>
  <si>
    <t>Dr, Javier Jaramillo Pérez</t>
  </si>
  <si>
    <t>Javier Jaramillo Pérez</t>
  </si>
  <si>
    <t>ISL42</t>
  </si>
  <si>
    <t>Dr, Javier Lafarga Vázquez</t>
  </si>
  <si>
    <t>Javier Lafarga Vázquez</t>
  </si>
  <si>
    <t>LAA23</t>
  </si>
  <si>
    <t>Dr, Javier Macias Vázquez</t>
  </si>
  <si>
    <t>Javier Macias Vázquez</t>
  </si>
  <si>
    <t>RPG15</t>
  </si>
  <si>
    <t>Dr, Javier Martín Aguirre</t>
  </si>
  <si>
    <t>Javier Martín Aguirre</t>
  </si>
  <si>
    <t>MBM41</t>
  </si>
  <si>
    <t>Dr, Javier Olarieta Soto</t>
  </si>
  <si>
    <t>Javier Olarieta Soto</t>
  </si>
  <si>
    <t>ISL43</t>
  </si>
  <si>
    <t>Dr, Javier Padilla Caballero</t>
  </si>
  <si>
    <t>Javier Padilla Caballero</t>
  </si>
  <si>
    <t>RFV40</t>
  </si>
  <si>
    <t>Dr, Javier Padilla Cabello</t>
  </si>
  <si>
    <t>Javier Padilla Cabello</t>
  </si>
  <si>
    <t>RFV15</t>
  </si>
  <si>
    <t>Dr, Jean Franco Intraprendente Martini</t>
  </si>
  <si>
    <t>Jean Franco Intraprendente Martini</t>
  </si>
  <si>
    <t>LRM60</t>
  </si>
  <si>
    <t>Dr, Jehan Lym Lanz Luna</t>
  </si>
  <si>
    <t>Jehan Lym Lanz Luna</t>
  </si>
  <si>
    <t>LAA49</t>
  </si>
  <si>
    <t>Dra, Jeremy Flores Trujillo</t>
  </si>
  <si>
    <t>Jeremy Flores Trujillo</t>
  </si>
  <si>
    <t>LRM166</t>
  </si>
  <si>
    <t>Dra, Jessica Horna Castiñeiras</t>
  </si>
  <si>
    <t>Jessica Horna Castiñeiras</t>
  </si>
  <si>
    <t>LRM167</t>
  </si>
  <si>
    <t>Dra, Jessica Santillán Coello</t>
  </si>
  <si>
    <t>Jessica Santillán Coello</t>
  </si>
  <si>
    <t>ISL44</t>
  </si>
  <si>
    <t>Dr, Jesús Aarón Martínez Alonso</t>
  </si>
  <si>
    <t>Jesús Aarón Martínez Alonso</t>
  </si>
  <si>
    <t>MBM42</t>
  </si>
  <si>
    <t>Dr, Jesús Atalaya Díaz</t>
  </si>
  <si>
    <t>Jesús Atalaya Díaz</t>
  </si>
  <si>
    <t>LAA24</t>
  </si>
  <si>
    <t>Dr, Jesús Crovato Rojas</t>
  </si>
  <si>
    <t>Jesús Crovato Rojas</t>
  </si>
  <si>
    <t>PSC13</t>
  </si>
  <si>
    <t>Dr, Jesús Eduardo Ramírez Salas</t>
  </si>
  <si>
    <t>Jesús Eduardo Ramírez Salas</t>
  </si>
  <si>
    <t>LRM61</t>
  </si>
  <si>
    <t>Dr, Jesús Esteban Rebollo</t>
  </si>
  <si>
    <t>Jesús Esteban Rebollo</t>
  </si>
  <si>
    <t>LRM62</t>
  </si>
  <si>
    <t>Dr, Jesús García Ahijado</t>
  </si>
  <si>
    <t>Jesús García Ahijado</t>
  </si>
  <si>
    <t>Dr, Jesús García Ruiz</t>
  </si>
  <si>
    <t>Jesús García Ruiz</t>
  </si>
  <si>
    <t>LRM63</t>
  </si>
  <si>
    <t>Dr, Jesus Gimeno Hernández</t>
  </si>
  <si>
    <t>Jesus Gimeno Hernández</t>
  </si>
  <si>
    <t>RPG16</t>
  </si>
  <si>
    <t>Dr, Jesús Herranz González-Botas</t>
  </si>
  <si>
    <t>Jesús Herranz González-Botas</t>
  </si>
  <si>
    <t>RPG17</t>
  </si>
  <si>
    <t>Dr, Jesús Herranz Larrañeta</t>
  </si>
  <si>
    <t>Jesús Herranz Larrañeta</t>
  </si>
  <si>
    <t>LRM64</t>
  </si>
  <si>
    <t>Dr, Jesús José Fraile Rodrigo</t>
  </si>
  <si>
    <t>Jesús José Fraile Rodrigo</t>
  </si>
  <si>
    <t>LAA62</t>
  </si>
  <si>
    <t>Dr, Jesús López Palomo</t>
  </si>
  <si>
    <t>Jesús López Palomo</t>
  </si>
  <si>
    <t>LRM65</t>
  </si>
  <si>
    <t>Dr, Jesús María Martín Tabernero</t>
  </si>
  <si>
    <t>Jesús María Martín Tabernero</t>
  </si>
  <si>
    <t>LAA25</t>
  </si>
  <si>
    <t>Dr, Jesús María Moreno Bernal</t>
  </si>
  <si>
    <t>Jesús María Moreno Bernal</t>
  </si>
  <si>
    <t>ISL45</t>
  </si>
  <si>
    <t>Dr, Jesús Miguel Iniesta Turpín</t>
  </si>
  <si>
    <t>Jesús Miguel Iniesta Turpín</t>
  </si>
  <si>
    <t>MCC17</t>
  </si>
  <si>
    <t>Dr, Jesús Monzón Doldan</t>
  </si>
  <si>
    <t>Jesús Monzón Doldan</t>
  </si>
  <si>
    <t>MBM43</t>
  </si>
  <si>
    <t>Dr, Jesús Ramos Fernández</t>
  </si>
  <si>
    <t>Jesús Ramos Fernández</t>
  </si>
  <si>
    <t>PSC14</t>
  </si>
  <si>
    <t>Dr, Jesús San Román Carbajo</t>
  </si>
  <si>
    <t>Jesús San Román Carbajo</t>
  </si>
  <si>
    <t>MBM44</t>
  </si>
  <si>
    <t>Dr, Jesús Tomás Onrubia Parra</t>
  </si>
  <si>
    <t>Jesús Tomás Onrubia Parra</t>
  </si>
  <si>
    <t>MCC18</t>
  </si>
  <si>
    <t>Dr, Jesus-Maria Grasa Pérez</t>
  </si>
  <si>
    <t>Jesus-Maria Grasa Pérez</t>
  </si>
  <si>
    <t>MCC19</t>
  </si>
  <si>
    <t>Dr, Joaquim Broto Sumalla</t>
  </si>
  <si>
    <t>Joaquim Broto Sumalla</t>
  </si>
  <si>
    <t>MBM45</t>
  </si>
  <si>
    <t>Dr, Joaquín Alacio Casero</t>
  </si>
  <si>
    <t>Joaquín Alacio Casero</t>
  </si>
  <si>
    <t>RPG18</t>
  </si>
  <si>
    <t>Dr, Joaquín Guerra Gómez</t>
  </si>
  <si>
    <t>Joaquín Guerra Gómez</t>
  </si>
  <si>
    <t>LRM66</t>
  </si>
  <si>
    <t>Dr, Joaquín Palacios Latasa</t>
  </si>
  <si>
    <t>Joaquín Palacios Latasa</t>
  </si>
  <si>
    <t>RFV02</t>
  </si>
  <si>
    <t>Dr, Joaquín Pérez Rull</t>
  </si>
  <si>
    <t>Joaquín Pérez Rull</t>
  </si>
  <si>
    <t>RPG19</t>
  </si>
  <si>
    <t>Dr, Joaquín Pérez Villar</t>
  </si>
  <si>
    <t>Joaquín Pérez Villar</t>
  </si>
  <si>
    <t>MBM46</t>
  </si>
  <si>
    <t>Dr, Jonathan Esteban Sánchez</t>
  </si>
  <si>
    <t>Jonathan Esteban Sánchez</t>
  </si>
  <si>
    <t>ISL46</t>
  </si>
  <si>
    <t>Dr, Jordi Calvo Gómez</t>
  </si>
  <si>
    <t>Jordi Calvo Gómez</t>
  </si>
  <si>
    <t>MCC20</t>
  </si>
  <si>
    <t>Dr, Jordi Lluansi Panella</t>
  </si>
  <si>
    <t>Jordi Lluansi Panella</t>
  </si>
  <si>
    <t>LRM67</t>
  </si>
  <si>
    <t>Dr, Jorge Alberto Jiménez Antolín</t>
  </si>
  <si>
    <t>Jorge Alberto Jiménez Antolín</t>
  </si>
  <si>
    <t>LRM68</t>
  </si>
  <si>
    <t>Dr, Jorge Alfaro García</t>
  </si>
  <si>
    <t>Jorge Alfaro García</t>
  </si>
  <si>
    <t>LAA26</t>
  </si>
  <si>
    <t>Dr, Jorge Benito Jiménez</t>
  </si>
  <si>
    <t>Jorge Benito Jiménez</t>
  </si>
  <si>
    <t>ISL47</t>
  </si>
  <si>
    <t>Dr, Jorge Cantavella Ventura</t>
  </si>
  <si>
    <t>Jorge Cantavella Ventura</t>
  </si>
  <si>
    <t>LRM247</t>
  </si>
  <si>
    <t>Dr, Jorge Damborenea Tajada</t>
  </si>
  <si>
    <t>Jorge Damborenea Tajada</t>
  </si>
  <si>
    <t>PSC15</t>
  </si>
  <si>
    <t>Dr, Jorge Freijanes Otero</t>
  </si>
  <si>
    <t>Jorge Freijanes Otero</t>
  </si>
  <si>
    <t>MBM47</t>
  </si>
  <si>
    <t>Dr, Jorge Prada Pendolero</t>
  </si>
  <si>
    <t>Jorge Prada Pendolero</t>
  </si>
  <si>
    <t>LRM69</t>
  </si>
  <si>
    <t>Dr, Jorge Sevil Navarro</t>
  </si>
  <si>
    <t>Jorge Sevil Navarro</t>
  </si>
  <si>
    <t>MCC21</t>
  </si>
  <si>
    <t>Dr, José Altagracia Almonte Marte</t>
  </si>
  <si>
    <t>José Altagracia Almonte Marte</t>
  </si>
  <si>
    <t>LRM70</t>
  </si>
  <si>
    <t>Dr, José Ángel Garzón Calles</t>
  </si>
  <si>
    <t>José Ángel Garzón Calles</t>
  </si>
  <si>
    <t>ISL48</t>
  </si>
  <si>
    <t>Dr, José Antonio Álvarez Martín</t>
  </si>
  <si>
    <t>José Antonio Álvarez Martín</t>
  </si>
  <si>
    <t>AMM07</t>
  </si>
  <si>
    <t>Dr, Jose Antonio Anta Escudero</t>
  </si>
  <si>
    <t>Jose Antonio Anta Escudero</t>
  </si>
  <si>
    <t>MBM48</t>
  </si>
  <si>
    <t>Dr, José Antonio Castro Cuerpo</t>
  </si>
  <si>
    <t>José Antonio Castro Cuerpo</t>
  </si>
  <si>
    <t>ISL144</t>
  </si>
  <si>
    <t>Dr, José Antonio Díaz Manzano</t>
  </si>
  <si>
    <t>José Antonio Díaz Manzano</t>
  </si>
  <si>
    <t>LRM71</t>
  </si>
  <si>
    <t>Dr, José Antonio Maltrana García</t>
  </si>
  <si>
    <t>José Antonio Maltrana García</t>
  </si>
  <si>
    <t>PSC16</t>
  </si>
  <si>
    <t>Dr, Jose Antonio Sancipriano Hernández</t>
  </si>
  <si>
    <t>Jose Antonio Sancipriano Hernández</t>
  </si>
  <si>
    <t>RPG20</t>
  </si>
  <si>
    <t>Dr, Jose Antonio Torre Eiriz</t>
  </si>
  <si>
    <t>Jose Antonio Torre Eiriz</t>
  </si>
  <si>
    <t>MBM49</t>
  </si>
  <si>
    <t>Dr, José Carlos Casqueiro Sánchez</t>
  </si>
  <si>
    <t>José Carlos Casqueiro Sánchez</t>
  </si>
  <si>
    <t>LRM72</t>
  </si>
  <si>
    <t>Dr, José Enrique De Francisco Garcés</t>
  </si>
  <si>
    <t>José Enrique De Francisco Garcés</t>
  </si>
  <si>
    <t>RPG21</t>
  </si>
  <si>
    <t>Dr, José Eugenio Estrada Gromaz</t>
  </si>
  <si>
    <t>José Eugenio Estrada Gromaz</t>
  </si>
  <si>
    <t>ISL50</t>
  </si>
  <si>
    <t>Dr, José García Morillas</t>
  </si>
  <si>
    <t>José García Morillas</t>
  </si>
  <si>
    <t>MBM50</t>
  </si>
  <si>
    <t>Dr, José Gustavo Barroso Braojos</t>
  </si>
  <si>
    <t>José Gustavo Barroso Braojos</t>
  </si>
  <si>
    <t>LRM73</t>
  </si>
  <si>
    <t>Dr, José Ignacio Alfonso Collado</t>
  </si>
  <si>
    <t>José Ignacio Alfonso Collado</t>
  </si>
  <si>
    <t>MBM51</t>
  </si>
  <si>
    <t>Dr, José Ignacio Tato Gómez</t>
  </si>
  <si>
    <t>José Ignacio Tato Gómez</t>
  </si>
  <si>
    <t>LRM74</t>
  </si>
  <si>
    <t>Dr, José Javier Martínez Subías</t>
  </si>
  <si>
    <t>José Javier Martínez Subías</t>
  </si>
  <si>
    <t>AMM08</t>
  </si>
  <si>
    <t>Dr, José Javier Rivarés Estebán</t>
  </si>
  <si>
    <t>José Javier Rivarés Estebán</t>
  </si>
  <si>
    <t>MBM52</t>
  </si>
  <si>
    <t>Dr, Jose Joaquín Gutiérrez Barquín</t>
  </si>
  <si>
    <t>Jose Joaquín Gutiérrez Barquín</t>
  </si>
  <si>
    <t>MBM53</t>
  </si>
  <si>
    <t>Dr, Jose Joaquín Lora Díaz</t>
  </si>
  <si>
    <t>Jose Joaquín Lora Díaz</t>
  </si>
  <si>
    <t>LRM75</t>
  </si>
  <si>
    <t>Dr, José Jordán Castillo Hernández</t>
  </si>
  <si>
    <t>José Jordán Castillo Hernández</t>
  </si>
  <si>
    <t>ISL53</t>
  </si>
  <si>
    <t>Dr, José Luis Batlles Medina</t>
  </si>
  <si>
    <t>José Luis Batlles Medina</t>
  </si>
  <si>
    <t>RPG22</t>
  </si>
  <si>
    <t>Dr, José Luis Herrero Laso</t>
  </si>
  <si>
    <t>José Luis Herrero Laso</t>
  </si>
  <si>
    <t>ISL51</t>
  </si>
  <si>
    <t>Dr, José Luis Lafuente de Entrambasaguas</t>
  </si>
  <si>
    <t>José Luis Lafuente de Entrambasaguas</t>
  </si>
  <si>
    <t>LRM76</t>
  </si>
  <si>
    <t>Dr, José Manuel Abenia Ingalaturre</t>
  </si>
  <si>
    <t>José Manuel Abenia Ingalaturre</t>
  </si>
  <si>
    <t>LRM77</t>
  </si>
  <si>
    <t>Dr, Jose Manuel Bruzon Delgado</t>
  </si>
  <si>
    <t>Jose Manuel Bruzon Delgado</t>
  </si>
  <si>
    <t>LRM78</t>
  </si>
  <si>
    <t>Dr, José Manuel García Solans-Esteras</t>
  </si>
  <si>
    <t>José Manuel García Solans-Esteras</t>
  </si>
  <si>
    <t>ISL52</t>
  </si>
  <si>
    <t>Dr, José Manuel Mondéjar</t>
  </si>
  <si>
    <t>José Manuel Mondéjar</t>
  </si>
  <si>
    <t>LRM79</t>
  </si>
  <si>
    <t>Dr, José Manuel Morales Puebla</t>
  </si>
  <si>
    <t>José Manuel Morales Puebla</t>
  </si>
  <si>
    <t>RFV16</t>
  </si>
  <si>
    <t>Dr, José Manuel Tamarit Conejeros</t>
  </si>
  <si>
    <t>José Manuel Tamarit Conejeros</t>
  </si>
  <si>
    <t>ISL96</t>
  </si>
  <si>
    <t>Dr, José Manuel Zaragosí Castelló</t>
  </si>
  <si>
    <t>José Manuel Zaragosí Castelló</t>
  </si>
  <si>
    <t>LRM80</t>
  </si>
  <si>
    <t>Dr, José María Abad Royo</t>
  </si>
  <si>
    <t>José María Abad Royo</t>
  </si>
  <si>
    <t>AMM09</t>
  </si>
  <si>
    <t>Dr, José María Anda Fernández</t>
  </si>
  <si>
    <t>José María Anda Fernández</t>
  </si>
  <si>
    <t>LAA27</t>
  </si>
  <si>
    <t>Dr, José María Hernández Hernández</t>
  </si>
  <si>
    <t>José María Hernández Hernández</t>
  </si>
  <si>
    <t>ISL54</t>
  </si>
  <si>
    <t>Dr, José María Laborda Margolles</t>
  </si>
  <si>
    <t>José María Laborda Margolles</t>
  </si>
  <si>
    <t>LAA28</t>
  </si>
  <si>
    <t>Dr, José María Palacios García</t>
  </si>
  <si>
    <t>José María Palacios García</t>
  </si>
  <si>
    <t>LRM81</t>
  </si>
  <si>
    <t>Dr, Jose María Porquet Bueno</t>
  </si>
  <si>
    <t>Jose María Porquet Bueno</t>
  </si>
  <si>
    <t>MBM54</t>
  </si>
  <si>
    <t>Dr, José María Relanzón López</t>
  </si>
  <si>
    <t>José María Relanzón López</t>
  </si>
  <si>
    <t>ISL55</t>
  </si>
  <si>
    <t>Dr, José Mauri Barberá</t>
  </si>
  <si>
    <t>José Mauri Barberá</t>
  </si>
  <si>
    <t>LRM82</t>
  </si>
  <si>
    <t>Dr, José Miguel Aparicio Fernández</t>
  </si>
  <si>
    <t>José Miguel Aparicio Fernández</t>
  </si>
  <si>
    <t>RPG23</t>
  </si>
  <si>
    <t>Dr, José Miguel Costa González</t>
  </si>
  <si>
    <t>José Miguel Costa González</t>
  </si>
  <si>
    <t>ISL56</t>
  </si>
  <si>
    <t>Dr, José Miguel Osete Albaladejo</t>
  </si>
  <si>
    <t>José Miguel Osete Albaladejo</t>
  </si>
  <si>
    <t>LRM83</t>
  </si>
  <si>
    <t>Dr, José Miguel Sebastián Cortés</t>
  </si>
  <si>
    <t>José Miguel Sebastián Cortés</t>
  </si>
  <si>
    <t>LRM84</t>
  </si>
  <si>
    <t>Dr, José Miguel Tejada Bautista</t>
  </si>
  <si>
    <t>José Miguel Tejada Bautista</t>
  </si>
  <si>
    <t>LRM85</t>
  </si>
  <si>
    <t>Dr, José Millán Guevara</t>
  </si>
  <si>
    <t>José Millán Guevara</t>
  </si>
  <si>
    <t>RFV17</t>
  </si>
  <si>
    <t>Dr, José Montalt Marco</t>
  </si>
  <si>
    <t>José Montalt Marco</t>
  </si>
  <si>
    <t>MBM55</t>
  </si>
  <si>
    <t>Dr, José Montojo Woodeson</t>
  </si>
  <si>
    <t>José Montojo Woodeson</t>
  </si>
  <si>
    <t>RFV11</t>
  </si>
  <si>
    <t>Dr, José Ramiro de León Lima</t>
  </si>
  <si>
    <t>José Ramiro de León Lima</t>
  </si>
  <si>
    <t>RFV04</t>
  </si>
  <si>
    <t>Dr, José Ruiz Coello Moratalla</t>
  </si>
  <si>
    <t>José Ruiz Coello Moratalla</t>
  </si>
  <si>
    <t>MCC22</t>
  </si>
  <si>
    <t>Dr, José Salazar Clavijo</t>
  </si>
  <si>
    <t>José Salazar Clavijo</t>
  </si>
  <si>
    <t>LRM86</t>
  </si>
  <si>
    <t>Dr, José Sebastián Cortés</t>
  </si>
  <si>
    <t>José Sebastián Cortés</t>
  </si>
  <si>
    <t>LRM87</t>
  </si>
  <si>
    <t>Dr, Jose Suazo Díaz-Recio</t>
  </si>
  <si>
    <t>Jose Suazo Díaz-Recio</t>
  </si>
  <si>
    <t>LRM88</t>
  </si>
  <si>
    <t>Dr, José Víctor Tisner Nieto</t>
  </si>
  <si>
    <t>José Víctor Tisner Nieto</t>
  </si>
  <si>
    <t>LRM168</t>
  </si>
  <si>
    <t>Dra, Josefa Alonso Sánchez</t>
  </si>
  <si>
    <t>Josefa Alonso Sánchez</t>
  </si>
  <si>
    <t>LAA50</t>
  </si>
  <si>
    <t>Dra, Josefa Olmedo Martínez</t>
  </si>
  <si>
    <t>Josefa Olmedo Martínez</t>
  </si>
  <si>
    <t>MCC23</t>
  </si>
  <si>
    <t>Dr, Josep Maria Orrit Arenas</t>
  </si>
  <si>
    <t>Josep Maria Orrit Arenas</t>
  </si>
  <si>
    <t>MBM56</t>
  </si>
  <si>
    <t>Dr, Juan Antonio Pasamontes Pingarrón</t>
  </si>
  <si>
    <t>Juan Antonio Pasamontes Pingarrón</t>
  </si>
  <si>
    <t>PSC17</t>
  </si>
  <si>
    <t>Dr, Juan Carlos del Pozo de Dios</t>
  </si>
  <si>
    <t>Juan Carlos del Pozo de Dios</t>
  </si>
  <si>
    <t>AMM10</t>
  </si>
  <si>
    <t>Dr, Juan Carlos Ruiz Galarreta</t>
  </si>
  <si>
    <t>Juan Carlos Ruiz Galarreta</t>
  </si>
  <si>
    <t>ISL57</t>
  </si>
  <si>
    <t>Dr, Juan David Lara Lozano</t>
  </si>
  <si>
    <t>Juan David Lara Lozano</t>
  </si>
  <si>
    <t>MBM57</t>
  </si>
  <si>
    <t>Dr, Juan de Dios de la Calzada</t>
  </si>
  <si>
    <t>Juan de Dios de la Calzada</t>
  </si>
  <si>
    <t>MCC24</t>
  </si>
  <si>
    <t>Dr, Juan Fernando Fuentes Cabrera</t>
  </si>
  <si>
    <t>Juan Fernando Fuentes Cabrera</t>
  </si>
  <si>
    <t>MCC25</t>
  </si>
  <si>
    <t>Dr, Juan Fernando Fuentes Rolao</t>
  </si>
  <si>
    <t>Juan Fernando Fuentes Rolao</t>
  </si>
  <si>
    <t>MBM58</t>
  </si>
  <si>
    <t>Dr, Juan Gómez Ullate</t>
  </si>
  <si>
    <t>Juan Gómez Ullate</t>
  </si>
  <si>
    <t>MBM60</t>
  </si>
  <si>
    <t>Dr, juan Ignacio Riestra Ayora</t>
  </si>
  <si>
    <t>juan Ignacio Riestra Ayora</t>
  </si>
  <si>
    <t>ISL58</t>
  </si>
  <si>
    <t>Dr, Juan Javier Álvarez López</t>
  </si>
  <si>
    <t>Juan Javier Álvarez López</t>
  </si>
  <si>
    <t>MBM59</t>
  </si>
  <si>
    <t>Dr, Juan José Campo Biosca</t>
  </si>
  <si>
    <t>Juan José Campo Biosca</t>
  </si>
  <si>
    <t>MCC26</t>
  </si>
  <si>
    <t>Dr, Juan José Sanz González</t>
  </si>
  <si>
    <t>Juan José Sanz González</t>
  </si>
  <si>
    <t>PSC18</t>
  </si>
  <si>
    <t>Dr, Juan Jose Tavarez Rodríguez</t>
  </si>
  <si>
    <t>Juan Jose Tavarez Rodríguez</t>
  </si>
  <si>
    <t>PSC60</t>
  </si>
  <si>
    <t>Dr, Juan José Tavarez Rodríguez</t>
  </si>
  <si>
    <t>Juan José Tavarez Rodríguez</t>
  </si>
  <si>
    <t>RPG24</t>
  </si>
  <si>
    <t>Dr, Juan Latorre López</t>
  </si>
  <si>
    <t>Juan Latorre López</t>
  </si>
  <si>
    <t>PSC19</t>
  </si>
  <si>
    <t>Dr, Juan Losada Campa</t>
  </si>
  <si>
    <t>Juan Losada Campa</t>
  </si>
  <si>
    <t>LAA64</t>
  </si>
  <si>
    <t>Dr, Juan Manuel Maza Solano</t>
  </si>
  <si>
    <t>Juan Manuel Maza Solano</t>
  </si>
  <si>
    <t>LAA65</t>
  </si>
  <si>
    <t>Dr, Juan Maza Solano</t>
  </si>
  <si>
    <t>Juan Maza Solano</t>
  </si>
  <si>
    <t>LAA29</t>
  </si>
  <si>
    <t>Dr, Juan Miguel jiménez Morales</t>
  </si>
  <si>
    <t>Juan Miguel jiménez Morales</t>
  </si>
  <si>
    <t>ISL59</t>
  </si>
  <si>
    <t>Dr, Juan Pablo Pelegrín Hernández</t>
  </si>
  <si>
    <t>Juan Pablo Pelegrín Hernández</t>
  </si>
  <si>
    <t>PSC20</t>
  </si>
  <si>
    <t>Dr, Juan Pablo Rodrigo Tapia</t>
  </si>
  <si>
    <t>Juan Pablo Rodrigo Tapia</t>
  </si>
  <si>
    <t>LAA30</t>
  </si>
  <si>
    <t>Dr, Juan Pedro Benaixa</t>
  </si>
  <si>
    <t>Juan Pedro Benaixa</t>
  </si>
  <si>
    <t>RPG25</t>
  </si>
  <si>
    <t>Dr, Juan Pedro Rubio Rodríguez</t>
  </si>
  <si>
    <t>Juan Pedro Rubio Rodríguez</t>
  </si>
  <si>
    <t>ISL60</t>
  </si>
  <si>
    <t>Dr, Juan Ramón Paredes Osado</t>
  </si>
  <si>
    <t>Juan Ramón Paredes Osado</t>
  </si>
  <si>
    <t>LRM89</t>
  </si>
  <si>
    <t>Dr, Juan Royo López</t>
  </si>
  <si>
    <t>Juan Royo López</t>
  </si>
  <si>
    <t>ISL61</t>
  </si>
  <si>
    <t>Dr, Juan Vera Luna</t>
  </si>
  <si>
    <t>Juan Vera Luna</t>
  </si>
  <si>
    <t>MBM126</t>
  </si>
  <si>
    <t>Dra, Julia Arteaga Puente</t>
  </si>
  <si>
    <t>Julia Arteaga Puente</t>
  </si>
  <si>
    <t>MBM127</t>
  </si>
  <si>
    <t>Dra, Julia María Da Costa Belisario</t>
  </si>
  <si>
    <t>Julia María Da Costa Belisario</t>
  </si>
  <si>
    <t>RPG62</t>
  </si>
  <si>
    <t>Dra, Julia María Rouco Pérez</t>
  </si>
  <si>
    <t>Julia María Rouco Pérez</t>
  </si>
  <si>
    <t>AMM11</t>
  </si>
  <si>
    <t>Dr, Julián Preciado López</t>
  </si>
  <si>
    <t>Julián Preciado López</t>
  </si>
  <si>
    <t>MBM61</t>
  </si>
  <si>
    <t>Dr, Julie Múñoz Freitez</t>
  </si>
  <si>
    <t>Julie Múñoz Freitez</t>
  </si>
  <si>
    <t>MBM62</t>
  </si>
  <si>
    <t>Dr, Julio Joaquin López Moya</t>
  </si>
  <si>
    <t>Julio Joaquin López Moya</t>
  </si>
  <si>
    <t>LRM90</t>
  </si>
  <si>
    <t>Dr, Julio Knaster del Olmo</t>
  </si>
  <si>
    <t>Julio Knaster del Olmo</t>
  </si>
  <si>
    <t>LAA63</t>
  </si>
  <si>
    <t>Dr, Julio López Moya</t>
  </si>
  <si>
    <t>Julio López Moya</t>
  </si>
  <si>
    <t>MCC60</t>
  </si>
  <si>
    <t>Dr, Julio Nogués Orpí</t>
  </si>
  <si>
    <t>Julio Nogués Orpí</t>
  </si>
  <si>
    <t>LRM91</t>
  </si>
  <si>
    <t>Dr, Julio Peñarrocha Teres</t>
  </si>
  <si>
    <t>Julio Peñarrocha Teres</t>
  </si>
  <si>
    <t>MCC64</t>
  </si>
  <si>
    <t>Dra, Julissa Vizcarra</t>
  </si>
  <si>
    <t>Julissa Vizcarra</t>
  </si>
  <si>
    <t>LRM169</t>
  </si>
  <si>
    <t>Dra, Karen Helena Vasquez Pinochet</t>
  </si>
  <si>
    <t>Karen Helena Vasquez Pinochet</t>
  </si>
  <si>
    <t>ISL105</t>
  </si>
  <si>
    <t>Dra, Karen Rojas Crespo</t>
  </si>
  <si>
    <t>Karen Rojas Crespo</t>
  </si>
  <si>
    <t>LRM170</t>
  </si>
  <si>
    <t>Dra, Karen Wejbe Munoz</t>
  </si>
  <si>
    <t>Karen Wejbe Munoz</t>
  </si>
  <si>
    <t>LRM92</t>
  </si>
  <si>
    <t>Dr, Karim Al Youn Aldabbagh</t>
  </si>
  <si>
    <t>Karim Al Youn Aldabbagh</t>
  </si>
  <si>
    <t>MBM128</t>
  </si>
  <si>
    <t>Dra, Karla Natali Montaño Rueda</t>
  </si>
  <si>
    <t>Karla Natali Montaño Rueda</t>
  </si>
  <si>
    <t>ISL106</t>
  </si>
  <si>
    <t>Dra, Laura Arias Gómez</t>
  </si>
  <si>
    <t>Laura Arias Gómez</t>
  </si>
  <si>
    <t>ISL107</t>
  </si>
  <si>
    <t>Dra, Laura Cavallé Garrido</t>
  </si>
  <si>
    <t>Laura Cavallé Garrido</t>
  </si>
  <si>
    <t>PSC38</t>
  </si>
  <si>
    <t>Dra, Laura Curieses Becerril</t>
  </si>
  <si>
    <t>Laura Curieses Becerril</t>
  </si>
  <si>
    <t>MBM129</t>
  </si>
  <si>
    <t>Dra, Laura del Toro Gil</t>
  </si>
  <si>
    <t>Laura del Toro Gil</t>
  </si>
  <si>
    <t>MBM130</t>
  </si>
  <si>
    <t>Dra, Laura Galvez Gajo</t>
  </si>
  <si>
    <t>Laura Galvez Gajo</t>
  </si>
  <si>
    <t>MBM196</t>
  </si>
  <si>
    <t>Dra, Laura Gálvez Gazo</t>
  </si>
  <si>
    <t>Laura Gálvez Gazo</t>
  </si>
  <si>
    <t>ISL108</t>
  </si>
  <si>
    <t>Dra, Laura Gañán Albuisech</t>
  </si>
  <si>
    <t>Laura Gañán Albuisech</t>
  </si>
  <si>
    <t>LRM171</t>
  </si>
  <si>
    <t>Dra, Laura García Pérez</t>
  </si>
  <si>
    <t>Laura García Pérez</t>
  </si>
  <si>
    <t>MBM131</t>
  </si>
  <si>
    <t>Dra, Laura Garrido García</t>
  </si>
  <si>
    <t>Laura Garrido García</t>
  </si>
  <si>
    <t>MCC65</t>
  </si>
  <si>
    <t>Dra, Laura Grau de Diego</t>
  </si>
  <si>
    <t>Laura Grau de Diego</t>
  </si>
  <si>
    <t>ISL109</t>
  </si>
  <si>
    <t>Dra, Laura Guillamon Vivancos</t>
  </si>
  <si>
    <t>Laura Guillamon Vivancos</t>
  </si>
  <si>
    <t>LRM172</t>
  </si>
  <si>
    <t>Dra, Laura Koren Fernández</t>
  </si>
  <si>
    <t>Laura Koren Fernández</t>
  </si>
  <si>
    <t>LRM173</t>
  </si>
  <si>
    <t>Dra, Laura Pérez Delgado</t>
  </si>
  <si>
    <t>Laura Pérez Delgado</t>
  </si>
  <si>
    <t>LRM174</t>
  </si>
  <si>
    <t>Dra, Laura Rodrigañez Riesco</t>
  </si>
  <si>
    <t>Laura Rodrigañez Riesco</t>
  </si>
  <si>
    <t>MBM132</t>
  </si>
  <si>
    <t>Dra, Laura Ruano De Pablo</t>
  </si>
  <si>
    <t>Laura Ruano De Pablo</t>
  </si>
  <si>
    <t>MBM133</t>
  </si>
  <si>
    <t>Dra, Laura Yeguas Ramírez</t>
  </si>
  <si>
    <t>Laura Yeguas Ramírez</t>
  </si>
  <si>
    <t>RPG26</t>
  </si>
  <si>
    <t>Dr, León Fernández Cameselle</t>
  </si>
  <si>
    <t>León Fernández Cameselle</t>
  </si>
  <si>
    <t>LRM175</t>
  </si>
  <si>
    <t>Dra, Leonor Calatayud Lallana</t>
  </si>
  <si>
    <t>Leonor Calatayud Lallana</t>
  </si>
  <si>
    <t>MBM134</t>
  </si>
  <si>
    <t>Dra, Leonor María Camargo</t>
  </si>
  <si>
    <t>Leonor María Camargo</t>
  </si>
  <si>
    <t>ISL110</t>
  </si>
  <si>
    <t>Dra, Lidia Vizcaino Cuesta</t>
  </si>
  <si>
    <t>Lidia Vizcaino Cuesta</t>
  </si>
  <si>
    <t>PSC39</t>
  </si>
  <si>
    <t>Dra, Liliana Filipa Invencio Da Costa</t>
  </si>
  <si>
    <t>Liliana Filipa Invencio Da Costa</t>
  </si>
  <si>
    <t>ISL111</t>
  </si>
  <si>
    <t>Dra, Lina Rosique López</t>
  </si>
  <si>
    <t>Lina Rosique López</t>
  </si>
  <si>
    <t>ISL62</t>
  </si>
  <si>
    <t>Dr, Lino Enguidanos Hernandorena</t>
  </si>
  <si>
    <t>Lino Enguidanos Hernandorena</t>
  </si>
  <si>
    <t>ISL112</t>
  </si>
  <si>
    <t>Dra, Lorena Galindo Íñiguez</t>
  </si>
  <si>
    <t>Lorena Galindo Íñiguez</t>
  </si>
  <si>
    <t>MBM135</t>
  </si>
  <si>
    <t>Dra, Lorena Pérez López</t>
  </si>
  <si>
    <t>Lorena Pérez López</t>
  </si>
  <si>
    <t>MBM136</t>
  </si>
  <si>
    <t>Dra, Lorena Sanz López</t>
  </si>
  <si>
    <t>Lorena Sanz López</t>
  </si>
  <si>
    <t>AMM14</t>
  </si>
  <si>
    <t>Dra, Lourdes Alonso Alonso</t>
  </si>
  <si>
    <t>Lourdes Alonso Alonso</t>
  </si>
  <si>
    <t>MBM137</t>
  </si>
  <si>
    <t>Dra, Lourdes Montes-Jovellar González</t>
  </si>
  <si>
    <t>Lourdes Montes-Jovellar González</t>
  </si>
  <si>
    <t>MBM63</t>
  </si>
  <si>
    <t>Dr, Lucas Cueto-Felgueroso</t>
  </si>
  <si>
    <t>Lucas Cueto-Felgueroso</t>
  </si>
  <si>
    <t>LAA51</t>
  </si>
  <si>
    <t>Dra, Lucia Prieto Sánchez de la Puerta</t>
  </si>
  <si>
    <t>Lucia Prieto Sánchez de la Puerta</t>
  </si>
  <si>
    <t>ISL63</t>
  </si>
  <si>
    <t>Dr, Luis Ferrán de la Cierva</t>
  </si>
  <si>
    <t>Luis Ferrán de la Cierva</t>
  </si>
  <si>
    <t>LAA31</t>
  </si>
  <si>
    <t>Dr, Luis Fidel Nieto</t>
  </si>
  <si>
    <t>Luis Fidel Nieto</t>
  </si>
  <si>
    <t>LAA32</t>
  </si>
  <si>
    <t>Dr, Luis Florencio Alba</t>
  </si>
  <si>
    <t>Luis Florencio Alba</t>
  </si>
  <si>
    <t>LRM93</t>
  </si>
  <si>
    <t>Dr, Luís Francisco Aznar Bartolomé</t>
  </si>
  <si>
    <t>Luís Francisco Aznar Bartolomé</t>
  </si>
  <si>
    <t>MBM64</t>
  </si>
  <si>
    <t>Dr, Luis Guillermo Trevissón Maza</t>
  </si>
  <si>
    <t>Luis Guillermo Trevissón Maza</t>
  </si>
  <si>
    <t>LRM94</t>
  </si>
  <si>
    <t>Dr, Luis Jiménez Ferreres</t>
  </si>
  <si>
    <t>Luis Jiménez Ferreres</t>
  </si>
  <si>
    <t>PSC21</t>
  </si>
  <si>
    <t>Dr, Luis José Domínguez Ugidos</t>
  </si>
  <si>
    <t>Luis José Domínguez Ugidos</t>
  </si>
  <si>
    <t>RFV19</t>
  </si>
  <si>
    <t>Dr, Luís Martínez Bernabeu</t>
  </si>
  <si>
    <t>Luís Martínez Bernabeu</t>
  </si>
  <si>
    <t>RFV05</t>
  </si>
  <si>
    <t>Dr, Luis Megías Gámiz</t>
  </si>
  <si>
    <t>Luis Megías Gámiz</t>
  </si>
  <si>
    <t>LRM95</t>
  </si>
  <si>
    <t>Dr, Luis Miguel Carmen Sampériz</t>
  </si>
  <si>
    <t>Luis Miguel Carmen Sampériz</t>
  </si>
  <si>
    <t>LRM96</t>
  </si>
  <si>
    <t>Dr, Luis Miguel Menéndez Colino</t>
  </si>
  <si>
    <t>Luis Miguel Menéndez Colino</t>
  </si>
  <si>
    <t>PSC22</t>
  </si>
  <si>
    <t>Dr, Luis Miguel Rincón Esteban</t>
  </si>
  <si>
    <t>Luis Miguel Rincón Esteban</t>
  </si>
  <si>
    <t>LRM97</t>
  </si>
  <si>
    <t>Dr, Luis MiguelMenéndez Colino</t>
  </si>
  <si>
    <t>Luis MiguelMenéndez Colino</t>
  </si>
  <si>
    <t>RFV20</t>
  </si>
  <si>
    <t>Dr, Luís Mompó Romero</t>
  </si>
  <si>
    <t>Luís Mompó Romero</t>
  </si>
  <si>
    <t>ISL113</t>
  </si>
  <si>
    <t>Dra, Luisa Payá Pérez</t>
  </si>
  <si>
    <t>Luisa Payá Pérez</t>
  </si>
  <si>
    <t>ISL114</t>
  </si>
  <si>
    <t>Dra, Luz Barona Lleo</t>
  </si>
  <si>
    <t>Luz Barona Lleo</t>
  </si>
  <si>
    <t>LRM176</t>
  </si>
  <si>
    <t>Dra, Macarena Falcon</t>
  </si>
  <si>
    <t>Macarena Falcon</t>
  </si>
  <si>
    <t>ISL64</t>
  </si>
  <si>
    <t>Dr, Manuel Acebal Lucía</t>
  </si>
  <si>
    <t>Manuel Acebal Lucía</t>
  </si>
  <si>
    <t>PSC23</t>
  </si>
  <si>
    <t>Dr, Manuel Acuña García</t>
  </si>
  <si>
    <t>Manuel Acuña García</t>
  </si>
  <si>
    <t>LRM98</t>
  </si>
  <si>
    <t>Dr, Manuel Cañete Domínguez</t>
  </si>
  <si>
    <t>Manuel Cañete Domínguez</t>
  </si>
  <si>
    <t>RPG27</t>
  </si>
  <si>
    <t>Dr, Manuel Estevez García</t>
  </si>
  <si>
    <t>Manuel Estevez García</t>
  </si>
  <si>
    <t>LRM99</t>
  </si>
  <si>
    <t>Dr, Manuel García Cantos</t>
  </si>
  <si>
    <t>Manuel García Cantos</t>
  </si>
  <si>
    <t>ISL65</t>
  </si>
  <si>
    <t>Dr, Manuel García López</t>
  </si>
  <si>
    <t>Manuel García López</t>
  </si>
  <si>
    <t>RFV06</t>
  </si>
  <si>
    <t>Dr, Manuel Gómez Fiñana</t>
  </si>
  <si>
    <t>Manuel Gómez Fiñana</t>
  </si>
  <si>
    <t>LRM100</t>
  </si>
  <si>
    <t>Dr, Manuel Gomez Serrano</t>
  </si>
  <si>
    <t>Manuel Gomez Serrano</t>
  </si>
  <si>
    <t>LRM238</t>
  </si>
  <si>
    <t>Dr, Manuel González Juliano</t>
  </si>
  <si>
    <t>Manuel González Juliano</t>
  </si>
  <si>
    <t>MBM65</t>
  </si>
  <si>
    <t>Dr, Manuel González Juliao</t>
  </si>
  <si>
    <t>Manuel González Juliao</t>
  </si>
  <si>
    <t>MBM66</t>
  </si>
  <si>
    <t>Dr, Manuel Gutiérrez Triguero</t>
  </si>
  <si>
    <t>Manuel Gutiérrez Triguero</t>
  </si>
  <si>
    <t>LRM101</t>
  </si>
  <si>
    <t>Dr, Manuel Martí Peña</t>
  </si>
  <si>
    <t>Manuel Martí Peña</t>
  </si>
  <si>
    <t>RFV21</t>
  </si>
  <si>
    <t>Dr, Manuel Mateos Fernández</t>
  </si>
  <si>
    <t>Manuel Mateos Fernández</t>
  </si>
  <si>
    <t>ISL66</t>
  </si>
  <si>
    <t>Dr, Manuel Miranda Ostos</t>
  </si>
  <si>
    <t>Manuel Miranda Ostos</t>
  </si>
  <si>
    <t>AMM12</t>
  </si>
  <si>
    <t>Dr, Manuel Moro Melón</t>
  </si>
  <si>
    <t>Manuel Moro Melón</t>
  </si>
  <si>
    <t>LRM102</t>
  </si>
  <si>
    <t>Dr, Manuel Padilla Parrado</t>
  </si>
  <si>
    <t>Manuel Padilla Parrado</t>
  </si>
  <si>
    <t>LAA33</t>
  </si>
  <si>
    <t>Dr, Manuel Segundo Gómez Fiñana</t>
  </si>
  <si>
    <t>Manuel Segundo Gómez Fiñana</t>
  </si>
  <si>
    <t>MBM138</t>
  </si>
  <si>
    <t>Dra, Manuela Calderón Sánchez</t>
  </si>
  <si>
    <t>Manuela Calderón Sánchez</t>
  </si>
  <si>
    <t>LRM177</t>
  </si>
  <si>
    <t>Dra, Manuela Gil Calero</t>
  </si>
  <si>
    <t>Manuela Gil Calero</t>
  </si>
  <si>
    <t>ISL115</t>
  </si>
  <si>
    <t>Dra, Mar Grau Jiménez</t>
  </si>
  <si>
    <t>Mar Grau Jiménez</t>
  </si>
  <si>
    <t>MBM139</t>
  </si>
  <si>
    <t>Dra, Mar Lasso de la Vega</t>
  </si>
  <si>
    <t>Mar Lasso de la Vega</t>
  </si>
  <si>
    <t>MBM192</t>
  </si>
  <si>
    <t>Dra, Mar Lasso de la Vega Zamora</t>
  </si>
  <si>
    <t>Mar Lasso de la Vega Zamora</t>
  </si>
  <si>
    <t>LRM103</t>
  </si>
  <si>
    <t>Dr, Marcial Sánchez Potenciado</t>
  </si>
  <si>
    <t>Marcial Sánchez Potenciado</t>
  </si>
  <si>
    <t>LRM178</t>
  </si>
  <si>
    <t>Dra, Margarita Nieves Rodríguez</t>
  </si>
  <si>
    <t>Margarita Nieves Rodríguez</t>
  </si>
  <si>
    <t>RPG50</t>
  </si>
  <si>
    <t>Dra, Margarita Reyes Díaz</t>
  </si>
  <si>
    <t>Margarita Reyes Díaz</t>
  </si>
  <si>
    <t>ISL122</t>
  </si>
  <si>
    <t>Dra, María Agustina Sevilla García</t>
  </si>
  <si>
    <t>María Agustina Sevilla García</t>
  </si>
  <si>
    <t>LAA52</t>
  </si>
  <si>
    <t>Dra, María Amparo Álvarez De Toledo Jeute</t>
  </si>
  <si>
    <t>María Amparo Álvarez De Toledo Jeute</t>
  </si>
  <si>
    <t>AMM15</t>
  </si>
  <si>
    <t>Dra, María Amparo Castellote Arnero</t>
  </si>
  <si>
    <t>María Amparo Castellote Arnero</t>
  </si>
  <si>
    <t>LRM242</t>
  </si>
  <si>
    <t>Dra, María Ángeles Herreros Sánchez</t>
  </si>
  <si>
    <t>María Ángeles Herreros Sánchez</t>
  </si>
  <si>
    <t>LRM179</t>
  </si>
  <si>
    <t>Dra, Maria Ángeles Mate Bayon</t>
  </si>
  <si>
    <t>Maria Ángeles Mate Bayon</t>
  </si>
  <si>
    <t>MCC48</t>
  </si>
  <si>
    <t>Dra, María Antonia Claveria Puig</t>
  </si>
  <si>
    <t>María Antonia Claveria Puig</t>
  </si>
  <si>
    <t>MBM140</t>
  </si>
  <si>
    <t>Dra, María Antonia Rodríguez Castejón</t>
  </si>
  <si>
    <t>María Antonia Rodríguez Castejón</t>
  </si>
  <si>
    <t>Dra, María Begoña Capella Soriano,</t>
  </si>
  <si>
    <t>María Begoña Capella Soriano,</t>
  </si>
  <si>
    <t>LRM180</t>
  </si>
  <si>
    <t>Dra, María Benavides Gabernet</t>
  </si>
  <si>
    <t>María Benavides Gabernet</t>
  </si>
  <si>
    <t>MBM142</t>
  </si>
  <si>
    <t>Dra, María Carmen Reyes Marín</t>
  </si>
  <si>
    <t>María Carmen Reyes Marín</t>
  </si>
  <si>
    <t>PSC40</t>
  </si>
  <si>
    <t>Dra, María Consolación Martín Pascual</t>
  </si>
  <si>
    <t>María Consolación Martín Pascual</t>
  </si>
  <si>
    <t>PSC41</t>
  </si>
  <si>
    <t>Dra, Maria Costales Marcos</t>
  </si>
  <si>
    <t>Maria Costales Marcos</t>
  </si>
  <si>
    <t>LRM181</t>
  </si>
  <si>
    <t>Dra, María Covadonga Gómez Díaz</t>
  </si>
  <si>
    <t>María Covadonga Gómez Díaz</t>
  </si>
  <si>
    <t>LRM182</t>
  </si>
  <si>
    <t>Dra, María Cristina Navas Molinero</t>
  </si>
  <si>
    <t>María Cristina Navas Molinero</t>
  </si>
  <si>
    <t>LRM183</t>
  </si>
  <si>
    <t>Dra, María Cruz Iglesias Moreno</t>
  </si>
  <si>
    <t>María Cruz Iglesias Moreno</t>
  </si>
  <si>
    <t>MBM143</t>
  </si>
  <si>
    <t>Dra, María Dablanco Blanco</t>
  </si>
  <si>
    <t>María Dablanco Blanco</t>
  </si>
  <si>
    <t>LRM149</t>
  </si>
  <si>
    <t>Dra, María de la Paz Coloma Grau</t>
  </si>
  <si>
    <t>María de la Paz Coloma Grau</t>
  </si>
  <si>
    <t>MBM144</t>
  </si>
  <si>
    <t>Dra, María del Mar Bodoque Cano</t>
  </si>
  <si>
    <t>María del Mar Bodoque Cano</t>
  </si>
  <si>
    <t>MBM145</t>
  </si>
  <si>
    <t>Dra, María del Mar Martínez Ruiz-coello</t>
  </si>
  <si>
    <t>María del Mar Martínez Ruiz-coello</t>
  </si>
  <si>
    <t>MBM146</t>
  </si>
  <si>
    <t>Dra, María del Mar Medina González</t>
  </si>
  <si>
    <t>María del Mar Medina González</t>
  </si>
  <si>
    <t>LRM184</t>
  </si>
  <si>
    <t>Dra, Maria del mar Munuera jurado</t>
  </si>
  <si>
    <t>Maria del mar Munuera jurado</t>
  </si>
  <si>
    <t>LRM246</t>
  </si>
  <si>
    <t>Dra, Maria Del Rocío Lobato Pérez</t>
  </si>
  <si>
    <t>Maria Del Rocío Lobato Pérez</t>
  </si>
  <si>
    <t>ISL117</t>
  </si>
  <si>
    <t>Dra, María del Rosario Gómez González</t>
  </si>
  <si>
    <t>María del Rosario Gómez González</t>
  </si>
  <si>
    <t>RFV38</t>
  </si>
  <si>
    <t>Dra, María Emilia García Ruiz</t>
  </si>
  <si>
    <t>María Emilia García Ruiz</t>
  </si>
  <si>
    <t>ISL118</t>
  </si>
  <si>
    <t>Dra, María Emilia García Ruíz</t>
  </si>
  <si>
    <t>María Emilia García Ruíz</t>
  </si>
  <si>
    <t>MBM147</t>
  </si>
  <si>
    <t>Dra, María Estefanía Hernández García</t>
  </si>
  <si>
    <t>María Estefanía Hernández García</t>
  </si>
  <si>
    <t>LRM185</t>
  </si>
  <si>
    <t>Dra, María Estrella Gomez Tomé</t>
  </si>
  <si>
    <t>María Estrella Gomez Tomé</t>
  </si>
  <si>
    <t>LRM186</t>
  </si>
  <si>
    <t>Dra, María Fernanda Escala Pedreros</t>
  </si>
  <si>
    <t>María Fernanda Escala Pedreros</t>
  </si>
  <si>
    <t>LRM187</t>
  </si>
  <si>
    <t>Dra, María Fernanda Pedrero Escalas</t>
  </si>
  <si>
    <t>María Fernanda Pedrero Escalas</t>
  </si>
  <si>
    <t>MBM148</t>
  </si>
  <si>
    <t>Dra, María Gabriela Bosco Morales</t>
  </si>
  <si>
    <t>María Gabriela Bosco Morales</t>
  </si>
  <si>
    <t>MBM149</t>
  </si>
  <si>
    <t>Dra, María Garrote Garrote</t>
  </si>
  <si>
    <t>María Garrote Garrote</t>
  </si>
  <si>
    <t>PSC42</t>
  </si>
  <si>
    <t>Dra, María Gil Melcón</t>
  </si>
  <si>
    <t>María Gil Melcón</t>
  </si>
  <si>
    <t>LRM188</t>
  </si>
  <si>
    <t>Dra, María González Menendez</t>
  </si>
  <si>
    <t>María González Menendez</t>
  </si>
  <si>
    <t>MBM150</t>
  </si>
  <si>
    <t>Dra, María González Menéndez</t>
  </si>
  <si>
    <t>María González Menéndez</t>
  </si>
  <si>
    <t>LRM189</t>
  </si>
  <si>
    <t>Dra, María Guallar Larpa</t>
  </si>
  <si>
    <t>María Guallar Larpa</t>
  </si>
  <si>
    <t>LRM190</t>
  </si>
  <si>
    <t>Dra, María Isabel Adiego Leza</t>
  </si>
  <si>
    <t>María Isabel Adiego Leza</t>
  </si>
  <si>
    <t>LRM191</t>
  </si>
  <si>
    <t>Dra, María Isabel Castro Canelada</t>
  </si>
  <si>
    <t>María Isabel Castro Canelada</t>
  </si>
  <si>
    <t>LRM192</t>
  </si>
  <si>
    <t>Dra, María Isabel Lorenzo Prieto</t>
  </si>
  <si>
    <t>María Isabel Lorenzo Prieto</t>
  </si>
  <si>
    <t>MCC34</t>
  </si>
  <si>
    <t>Dra María Isabel Rodríguez Francos</t>
  </si>
  <si>
    <t>María Isabel Rodríguez Francos</t>
  </si>
  <si>
    <t>PSC24</t>
  </si>
  <si>
    <t>Dr, María Jesús Cornejo Domínguez</t>
  </si>
  <si>
    <t>María Jesús Cornejo Domínguez</t>
  </si>
  <si>
    <t>RPG60</t>
  </si>
  <si>
    <t>Dra, María Jesús González Cortes</t>
  </si>
  <si>
    <t>María Jesús González Cortes</t>
  </si>
  <si>
    <t>MBM151</t>
  </si>
  <si>
    <t>Dra, María Jesús Pascual Marcos</t>
  </si>
  <si>
    <t>María Jesús Pascual Marcos</t>
  </si>
  <si>
    <t>LRM193</t>
  </si>
  <si>
    <t>Dra, María José Gaitero del Hoyo</t>
  </si>
  <si>
    <t>María José Gaitero del Hoyo</t>
  </si>
  <si>
    <t>RFV07</t>
  </si>
  <si>
    <t>Dra, María José Gámiz Maroto</t>
  </si>
  <si>
    <t>María José Gámiz Maroto</t>
  </si>
  <si>
    <t>LRM194</t>
  </si>
  <si>
    <t>Dra, María José González Gimeno</t>
  </si>
  <si>
    <t>María José González Gimeno</t>
  </si>
  <si>
    <t>LRM195</t>
  </si>
  <si>
    <t>Dra, María José Lavilla Martín De Valmaseda</t>
  </si>
  <si>
    <t>María José Lavilla Martín De Valmaseda</t>
  </si>
  <si>
    <t>ISL119</t>
  </si>
  <si>
    <t>Dra, María José Lesmas Navarro</t>
  </si>
  <si>
    <t>María José Lesmas Navarro</t>
  </si>
  <si>
    <t>LRM196</t>
  </si>
  <si>
    <t>Dra, María José Naya Gálvez</t>
  </si>
  <si>
    <t>María José Naya Gálvez</t>
  </si>
  <si>
    <t>LAA53</t>
  </si>
  <si>
    <t>Dra, María Josefa Hervás Núñez</t>
  </si>
  <si>
    <t>María Josefa Hervás Núñez</t>
  </si>
  <si>
    <t>MCC49</t>
  </si>
  <si>
    <t>Dra, María K Llano Espinosa</t>
  </si>
  <si>
    <t>María K Llano Espinosa</t>
  </si>
  <si>
    <t>ISL120</t>
  </si>
  <si>
    <t>Dra, María López Robles</t>
  </si>
  <si>
    <t>María López Robles</t>
  </si>
  <si>
    <t>LRM197</t>
  </si>
  <si>
    <t>Dra, María Lourdes Alonso Alonso</t>
  </si>
  <si>
    <t>María Lourdes Alonso Alonso</t>
  </si>
  <si>
    <t>PSC43</t>
  </si>
  <si>
    <t>Dra, María Lourdes Hernández de los Santos</t>
  </si>
  <si>
    <t>María Lourdes Hernández de los Santos</t>
  </si>
  <si>
    <t>LAA54</t>
  </si>
  <si>
    <t>Dra, María Luisa Calero Ramos</t>
  </si>
  <si>
    <t>María Luisa Calero Ramos</t>
  </si>
  <si>
    <t>LRM198</t>
  </si>
  <si>
    <t>Dra, María Luisa De Benavides Gabernet</t>
  </si>
  <si>
    <t>María Luisa De Benavides Gabernet</t>
  </si>
  <si>
    <t>LRM248</t>
  </si>
  <si>
    <t>Dra, María Magdalena Pérez Ortín </t>
  </si>
  <si>
    <t>María Magdalena Pérez Ortín </t>
  </si>
  <si>
    <t>LRM199</t>
  </si>
  <si>
    <t>Dra, María Mendiguchía Simón</t>
  </si>
  <si>
    <t>María Mendiguchía Simón</t>
  </si>
  <si>
    <t>ISL121</t>
  </si>
  <si>
    <t>Dra, María Nieves Sánchez Martínez</t>
  </si>
  <si>
    <t>María Nieves Sánchez Martínez</t>
  </si>
  <si>
    <t>MBM152</t>
  </si>
  <si>
    <t>Dra, María Pérez Sepúlveda</t>
  </si>
  <si>
    <t>María Pérez Sepúlveda</t>
  </si>
  <si>
    <t>LRM200</t>
  </si>
  <si>
    <t>Dra, María Pilar Barreira Fernández</t>
  </si>
  <si>
    <t>María Pilar Barreira Fernández</t>
  </si>
  <si>
    <t>LRM201</t>
  </si>
  <si>
    <t>Dra, María Pilar Lisbona Alquézar</t>
  </si>
  <si>
    <t>María Pilar Lisbona Alquézar</t>
  </si>
  <si>
    <t>RPG51</t>
  </si>
  <si>
    <t>Dra, María Rey Marcos</t>
  </si>
  <si>
    <t>María Rey Marcos</t>
  </si>
  <si>
    <t>LRM202</t>
  </si>
  <si>
    <t>Dra, María Romero Marchante</t>
  </si>
  <si>
    <t>María Romero Marchante</t>
  </si>
  <si>
    <t>ISL116</t>
  </si>
  <si>
    <t>Dra, Maria Rosario Ferrandiz García</t>
  </si>
  <si>
    <t>Maria Rosario Ferrandiz García</t>
  </si>
  <si>
    <t>LRM203</t>
  </si>
  <si>
    <t>Dra, María Sánchez Cantón</t>
  </si>
  <si>
    <t>María Sánchez Cantón</t>
  </si>
  <si>
    <t>LRM204</t>
  </si>
  <si>
    <t>Dra, María Sánchez Herrero</t>
  </si>
  <si>
    <t>María Sánchez Herrero</t>
  </si>
  <si>
    <t>MBM141</t>
  </si>
  <si>
    <t>Dra, María Santillán</t>
  </si>
  <si>
    <t>María Santillán</t>
  </si>
  <si>
    <t>MBM153</t>
  </si>
  <si>
    <t>Dra, María Santillán Sánchez</t>
  </si>
  <si>
    <t>María Santillán Sánchez</t>
  </si>
  <si>
    <t>MBM154</t>
  </si>
  <si>
    <t>Dra, María Scola Torres</t>
  </si>
  <si>
    <t>María Scola Torres</t>
  </si>
  <si>
    <t>RFV25</t>
  </si>
  <si>
    <t>Dra, María Soledad Frías Moya-Angeler</t>
  </si>
  <si>
    <t>María Soledad Frías Moya-Angeler</t>
  </si>
  <si>
    <t>ISL123</t>
  </si>
  <si>
    <t>Dra, María Teresa Almela Rojo</t>
  </si>
  <si>
    <t>María Teresa Almela Rojo</t>
  </si>
  <si>
    <t>LAA71</t>
  </si>
  <si>
    <t>Dr, Maria Teresa Cervilla Martín</t>
  </si>
  <si>
    <t>Maria Teresa Cervilla Martín</t>
  </si>
  <si>
    <t>RFV30</t>
  </si>
  <si>
    <t>Dra, María Teresa Cuesta González</t>
  </si>
  <si>
    <t>María Teresa Cuesta González</t>
  </si>
  <si>
    <t>LAA55</t>
  </si>
  <si>
    <t>Dra, María Teresa García Iriarte</t>
  </si>
  <si>
    <t>María Teresa García Iriarte</t>
  </si>
  <si>
    <t>MBM155</t>
  </si>
  <si>
    <t>Dra, María Teresa Herrera Mera</t>
  </si>
  <si>
    <t>María Teresa Herrera Mera</t>
  </si>
  <si>
    <t>LRM205</t>
  </si>
  <si>
    <t>Dra, María Victoria Calvo Medina</t>
  </si>
  <si>
    <t>María Victoria Calvo Medina</t>
  </si>
  <si>
    <t>LRM206</t>
  </si>
  <si>
    <t>Dra, Marian Mate Bayón</t>
  </si>
  <si>
    <t>Marian Mate Bayón</t>
  </si>
  <si>
    <t>ISL67</t>
  </si>
  <si>
    <t>Dr, Mariano Rosique Arias</t>
  </si>
  <si>
    <t>Mariano Rosique Arias</t>
  </si>
  <si>
    <t>ISL124</t>
  </si>
  <si>
    <t>Dra, Mariella Anaya Sifuentes</t>
  </si>
  <si>
    <t>Mariella Anaya Sifuentes</t>
  </si>
  <si>
    <t>ISL125</t>
  </si>
  <si>
    <t>Dra, Marina Caceda Chumbiauca</t>
  </si>
  <si>
    <t>Marina Caceda Chumbiauca</t>
  </si>
  <si>
    <t>RFV31</t>
  </si>
  <si>
    <t>Dra, Marina Carrasco Llatas</t>
  </si>
  <si>
    <t>Marina Carrasco Llatas</t>
  </si>
  <si>
    <t>LRM207</t>
  </si>
  <si>
    <t>Dra, Marina Godás Núñez</t>
  </si>
  <si>
    <t>Marina Godás Núñez</t>
  </si>
  <si>
    <t>PSC44</t>
  </si>
  <si>
    <t>Dra, Marina Madrigal Revuelta</t>
  </si>
  <si>
    <t>Marina Madrigal Revuelta</t>
  </si>
  <si>
    <t>ISL142</t>
  </si>
  <si>
    <t>Dra, Marina Pérez Grau</t>
  </si>
  <si>
    <t>Marina Pérez Grau</t>
  </si>
  <si>
    <t>PSC25</t>
  </si>
  <si>
    <t>Dr, Mario Cuetos Azcona</t>
  </si>
  <si>
    <t>Mario Cuetos Azcona</t>
  </si>
  <si>
    <t>ISL68</t>
  </si>
  <si>
    <t>Dr, Mario Higuera Rapa</t>
  </si>
  <si>
    <t>Mario Higuera Rapa</t>
  </si>
  <si>
    <t>PSC26</t>
  </si>
  <si>
    <t>Dr, Mario Santos de Almeida Branco</t>
  </si>
  <si>
    <t>Mario Santos de Almeida Branco</t>
  </si>
  <si>
    <t>MBM186</t>
  </si>
  <si>
    <t>Dra, Marta Abad Pascual</t>
  </si>
  <si>
    <t>Marta Abad Pascual</t>
  </si>
  <si>
    <t>LRM208</t>
  </si>
  <si>
    <t>Dra, Marta Alcaraz Fuentes</t>
  </si>
  <si>
    <t>Marta Alcaraz Fuentes</t>
  </si>
  <si>
    <t>AMM16</t>
  </si>
  <si>
    <t>Dra, Marta Bascones García</t>
  </si>
  <si>
    <t>Marta Bascones García</t>
  </si>
  <si>
    <t>PSC45</t>
  </si>
  <si>
    <t>Dra, Marta Calvo Pérez</t>
  </si>
  <si>
    <t>Marta Calvo Pérez</t>
  </si>
  <si>
    <t>MBM200</t>
  </si>
  <si>
    <t>Dra, Marta Chaurre Cordero</t>
  </si>
  <si>
    <t>Marta Chaurre Cordero</t>
  </si>
  <si>
    <t>MBM156</t>
  </si>
  <si>
    <t>Dra, Marta Colmenero Ruiz</t>
  </si>
  <si>
    <t>Marta Colmenero Ruiz</t>
  </si>
  <si>
    <t>LRM209</t>
  </si>
  <si>
    <t>Dra, Marta del Nido</t>
  </si>
  <si>
    <t>Marta del Nido</t>
  </si>
  <si>
    <t>AMM21</t>
  </si>
  <si>
    <t>Dra, Marta Fernández Míguez</t>
  </si>
  <si>
    <t>Marta Fernández Miguez</t>
  </si>
  <si>
    <t>LRM210</t>
  </si>
  <si>
    <t>Dra, Marta Garcia Jimenez</t>
  </si>
  <si>
    <t>Marta Garcia Jimenez</t>
  </si>
  <si>
    <t>LRM253</t>
  </si>
  <si>
    <t>Dra, Marta García Jiménez</t>
  </si>
  <si>
    <t>Marta García Jiménez</t>
  </si>
  <si>
    <t>LRM211</t>
  </si>
  <si>
    <t>Dra, Marta García Pila</t>
  </si>
  <si>
    <t>Marta García Pila</t>
  </si>
  <si>
    <t>LRM212</t>
  </si>
  <si>
    <t>Dra, Marta Lasierra Fondevilla</t>
  </si>
  <si>
    <t>Marta Lasierra Fondevilla</t>
  </si>
  <si>
    <t>LRM213</t>
  </si>
  <si>
    <t>Dra, Marta Maroto de Pablo</t>
  </si>
  <si>
    <t>Marta Maroto de Pablo</t>
  </si>
  <si>
    <t>MCC50</t>
  </si>
  <si>
    <t>Dra, Marta Mesalles Ruiz</t>
  </si>
  <si>
    <t>Marta Mesalles Ruiz</t>
  </si>
  <si>
    <t>MBM158</t>
  </si>
  <si>
    <t>Dra, Marta Morato Galán</t>
  </si>
  <si>
    <t>Marta Morato Galán</t>
  </si>
  <si>
    <t>RPG61</t>
  </si>
  <si>
    <t>Dra, Marta Paulos Novoa</t>
  </si>
  <si>
    <t>Marta Paulos Novoa</t>
  </si>
  <si>
    <t>MCC51</t>
  </si>
  <si>
    <t>Dra, Marta Sandoval Puig</t>
  </si>
  <si>
    <t>Marta Sandoval Puig</t>
  </si>
  <si>
    <t>MCC52</t>
  </si>
  <si>
    <t>Dra, Marta Sanz Rodríguez</t>
  </si>
  <si>
    <t>Marta Sanz Rodríguez</t>
  </si>
  <si>
    <t>AMM17</t>
  </si>
  <si>
    <t>Dra, Marta Zabaleta López</t>
  </si>
  <si>
    <t>Marta Zabaleta López</t>
  </si>
  <si>
    <t>RFV22</t>
  </si>
  <si>
    <t>Dr, Martín Eduardo Marcano Acuña</t>
  </si>
  <si>
    <t>Martín Eduardo Marcano Acuña</t>
  </si>
  <si>
    <t>ISL69</t>
  </si>
  <si>
    <t>Dr, Martín Zelada Trigoso</t>
  </si>
  <si>
    <t>Martín Zelada Trigoso</t>
  </si>
  <si>
    <t>ISL70</t>
  </si>
  <si>
    <t>Dr, Mateo Jáñez Moral</t>
  </si>
  <si>
    <t>Mateo Jáñez Moral</t>
  </si>
  <si>
    <t>ISL71</t>
  </si>
  <si>
    <t>Dr, Máximo Rafael García Rodríguez</t>
  </si>
  <si>
    <t>Máximo Rafael García Rodríguez</t>
  </si>
  <si>
    <t>LRM214</t>
  </si>
  <si>
    <t>Dra, Mayte Pinilla Urraca</t>
  </si>
  <si>
    <t>Mayte Pinilla Urraca</t>
  </si>
  <si>
    <t>RPG52</t>
  </si>
  <si>
    <t>Dra, Mercedes Álvarez-Buylla Blanco</t>
  </si>
  <si>
    <t>Mercedes Álvarez-Buylla Blanco</t>
  </si>
  <si>
    <t>LAA77</t>
  </si>
  <si>
    <t>Dra, Mercedes Ceballos Cauto</t>
  </si>
  <si>
    <t>Mercedes Ceballos Cauto</t>
  </si>
  <si>
    <t>LRM215</t>
  </si>
  <si>
    <t>Dra, Mercedes Menayo Antunez</t>
  </si>
  <si>
    <t>Mercedes Menayo Antunez</t>
  </si>
  <si>
    <t>LRM104</t>
  </si>
  <si>
    <t>Dr, Michal Kochan</t>
  </si>
  <si>
    <t>Michal Kochan</t>
  </si>
  <si>
    <t>LAA34</t>
  </si>
  <si>
    <t>Dr, Miguel Alberto Rodríguez Pérez</t>
  </si>
  <si>
    <t>Miguel Alberto Rodríguez Pérez</t>
  </si>
  <si>
    <t>LRM105</t>
  </si>
  <si>
    <t>Dr, Miguel Ángel Escobar Martínez</t>
  </si>
  <si>
    <t>Miguel Ángel Escobar Martínez</t>
  </si>
  <si>
    <t>LRM106</t>
  </si>
  <si>
    <t>Dr, Miguel Angel García Bonet</t>
  </si>
  <si>
    <t>Miguel Angel García Bonet</t>
  </si>
  <si>
    <t>LRM107</t>
  </si>
  <si>
    <t>Dr, Miguel Ángel Gracia Nogueras</t>
  </si>
  <si>
    <t>Miguel Ángel Gracia Nogueras</t>
  </si>
  <si>
    <t>LAA35</t>
  </si>
  <si>
    <t>Dr, Miguel Antonio Shepherd González</t>
  </si>
  <si>
    <t>Miguel Antonio Shepherd González</t>
  </si>
  <si>
    <t>ISL72</t>
  </si>
  <si>
    <t>Dr, Miguel Esparcía Navarro</t>
  </si>
  <si>
    <t>Miguel Esparcía Navarro</t>
  </si>
  <si>
    <t>MCC61</t>
  </si>
  <si>
    <t>Dr, Miguel F, Garcia Wagner</t>
  </si>
  <si>
    <t>Miguel F, Garcia Wagner</t>
  </si>
  <si>
    <t>RPG28</t>
  </si>
  <si>
    <t>Dr, Miguel Mayo Yáñez</t>
  </si>
  <si>
    <t>Miguel Mayo Yáñez</t>
  </si>
  <si>
    <t>LAA36</t>
  </si>
  <si>
    <t>Dr, Miguel Olivencia Pérez</t>
  </si>
  <si>
    <t>Miguel Olivencia Pérez</t>
  </si>
  <si>
    <t>ISL73</t>
  </si>
  <si>
    <t>Dr, Miguel Orts Alborch</t>
  </si>
  <si>
    <t>Miguel Orts Alborch</t>
  </si>
  <si>
    <t>LAA37</t>
  </si>
  <si>
    <t>Dr, Miguel Rodriguez Pérez</t>
  </si>
  <si>
    <t>Miguel Rodriguez Pérez</t>
  </si>
  <si>
    <t>MBM67</t>
  </si>
  <si>
    <t>Dr, Miguel Vaca Encinas</t>
  </si>
  <si>
    <t>Miguel Vaca Encinas</t>
  </si>
  <si>
    <t>MBM68</t>
  </si>
  <si>
    <t>Dr, Miguel Vaca González</t>
  </si>
  <si>
    <t>Miguel Vaca González</t>
  </si>
  <si>
    <t>PSC46</t>
  </si>
  <si>
    <t>Dra, Milagros Marcos Ordoñez</t>
  </si>
  <si>
    <t>Milagros Marcos Ordoñez</t>
  </si>
  <si>
    <t>MCC27</t>
  </si>
  <si>
    <t>Dr, Miquel Guirao Cano</t>
  </si>
  <si>
    <t>Miquel Guirao Cano</t>
  </si>
  <si>
    <t>LRM217</t>
  </si>
  <si>
    <t>Dra, Mireia Bonet loscertales</t>
  </si>
  <si>
    <t>Mireia Bonet loscertales</t>
  </si>
  <si>
    <t>MCC53</t>
  </si>
  <si>
    <t>Dra, Mireia Golet Fors</t>
  </si>
  <si>
    <t>Mireia Golet Fors</t>
  </si>
  <si>
    <t>LRM218</t>
  </si>
  <si>
    <t>Dra, Mireya Bonet Loscertales</t>
  </si>
  <si>
    <t>Mireya Bonet Loscertales</t>
  </si>
  <si>
    <t>LRM219</t>
  </si>
  <si>
    <t>Dra, Miriam García Lerma</t>
  </si>
  <si>
    <t>Miriam García Lerma</t>
  </si>
  <si>
    <t>MCC68</t>
  </si>
  <si>
    <t>Dra, Miriam Hamdham</t>
  </si>
  <si>
    <t>Miriam Hamdham</t>
  </si>
  <si>
    <t>MCC69</t>
  </si>
  <si>
    <t>Dra, Miriam Ileana Hamdan Zavarce</t>
  </si>
  <si>
    <t>Miriam Ileana Hamdan Zavarce</t>
  </si>
  <si>
    <t>RFV32</t>
  </si>
  <si>
    <t>Dra, Miriam Natsuki Oishi</t>
  </si>
  <si>
    <t>Miriam Natsuki Oishi</t>
  </si>
  <si>
    <t>RPG29</t>
  </si>
  <si>
    <t>Dr, Mohamed Al Rifal Al Masti</t>
  </si>
  <si>
    <t>Mohamed Al Rifal Al Masti</t>
  </si>
  <si>
    <t>PSC47</t>
  </si>
  <si>
    <t>Dra, Mónica Granda Rosales</t>
  </si>
  <si>
    <t>Mónica Granda Rosales</t>
  </si>
  <si>
    <t>MBM159</t>
  </si>
  <si>
    <t>Dra, Mónica Hernando Cuñado</t>
  </si>
  <si>
    <t>Mónica Hernando Cuñado</t>
  </si>
  <si>
    <t>ISL126</t>
  </si>
  <si>
    <t>Dra, Mónica Rodríguez Briceño</t>
  </si>
  <si>
    <t>Mónica Rodríguez Briceño</t>
  </si>
  <si>
    <t>ISL141</t>
  </si>
  <si>
    <t>Dra, Mónica Rodríguez Valero</t>
  </si>
  <si>
    <t>Mónica Rodríguez Valero</t>
  </si>
  <si>
    <t>MBM160</t>
  </si>
  <si>
    <t>Dra, Montserrat Portell Soriano</t>
  </si>
  <si>
    <t>Montserrat Portell Soriano</t>
  </si>
  <si>
    <t>MCC28</t>
  </si>
  <si>
    <t>Dr, Mustafá Kadiri</t>
  </si>
  <si>
    <t>Mustafá Kadiri</t>
  </si>
  <si>
    <t>LRM220</t>
  </si>
  <si>
    <t>Dra, Natalia Gisseth Pulido Fonseca</t>
  </si>
  <si>
    <t>Natalia Gisseth Pulido Fonseca</t>
  </si>
  <si>
    <t>MBM161</t>
  </si>
  <si>
    <t>Dra, Nataly Montaño Rueda</t>
  </si>
  <si>
    <t>Nataly Montaño Rueda</t>
  </si>
  <si>
    <t>MBM162</t>
  </si>
  <si>
    <t>Dra, Natasha Pérez Marrero</t>
  </si>
  <si>
    <t>Natasha Pérez Marrero</t>
  </si>
  <si>
    <t>ISL127</t>
  </si>
  <si>
    <t>Dra, Nathalie Fages Cárceles</t>
  </si>
  <si>
    <t>Nathalie Fages Cárceles</t>
  </si>
  <si>
    <t>MCC70</t>
  </si>
  <si>
    <t>Dra, Nesly IIlely Gonzalez Sanchez</t>
  </si>
  <si>
    <t>Nesly IIlely Gonzalez Sanchez</t>
  </si>
  <si>
    <t>LRM221</t>
  </si>
  <si>
    <t>Dra, Ninfa Alejandra Álvarez Morales</t>
  </si>
  <si>
    <t>Ninfa Alejandra Álvarez Morales</t>
  </si>
  <si>
    <t>Luis Alberto Rodríguez (Andalucía Y Badajoz)</t>
  </si>
  <si>
    <t>LAA67</t>
  </si>
  <si>
    <t>Dra, Noelia García García</t>
  </si>
  <si>
    <t>Noelia García García</t>
  </si>
  <si>
    <t>LRM222</t>
  </si>
  <si>
    <t>Dra, Nuria Arnaiz Canora</t>
  </si>
  <si>
    <t>Nuria Arnaiz Canora</t>
  </si>
  <si>
    <t>PSC48</t>
  </si>
  <si>
    <t>Dra, Nuria Mesuro Domínguez</t>
  </si>
  <si>
    <t>Nuria Mesuro Domínguez</t>
  </si>
  <si>
    <t>MBM163</t>
  </si>
  <si>
    <t>Dra, Nuria Pérez Martín</t>
  </si>
  <si>
    <t>Nuria Pérez Martín</t>
  </si>
  <si>
    <t>ISL128</t>
  </si>
  <si>
    <t>Dra, Nuria Salas Barrio</t>
  </si>
  <si>
    <t>Nuria Salas Barrio</t>
  </si>
  <si>
    <t>RFV23</t>
  </si>
  <si>
    <t>Dr, Oishi Konari</t>
  </si>
  <si>
    <t>Oishi Konari</t>
  </si>
  <si>
    <t>ISL129</t>
  </si>
  <si>
    <t>Dra, Oksana Guts MelnYk</t>
  </si>
  <si>
    <t>Oksana Guts MelnYk</t>
  </si>
  <si>
    <t>LRM223</t>
  </si>
  <si>
    <t>Dra, Olaia Herrera del Val</t>
  </si>
  <si>
    <t>Olaia Herrera del Val</t>
  </si>
  <si>
    <t>RPG53</t>
  </si>
  <si>
    <t>Dra, Olalla Castro Macia</t>
  </si>
  <si>
    <t>Olalla Castro Macia</t>
  </si>
  <si>
    <t>LRM224</t>
  </si>
  <si>
    <t>Dra, Olga Aldecoa Jiménez</t>
  </si>
  <si>
    <t>Olga Aldecoa Jiménez</t>
  </si>
  <si>
    <t>MCC54</t>
  </si>
  <si>
    <t>Dra, Olga Ferrer Andino</t>
  </si>
  <si>
    <t>Olga Ferrer Andino</t>
  </si>
  <si>
    <t>ISL136</t>
  </si>
  <si>
    <t>Dra, Oreana Carolina Camacaro González</t>
  </si>
  <si>
    <t>Oreana Carolina Camacaro González</t>
  </si>
  <si>
    <t>MBM69</t>
  </si>
  <si>
    <t>Dr, Oscar A, Sánchez Valenzuela</t>
  </si>
  <si>
    <t>Oscar A, Sánchez Valenzuela</t>
  </si>
  <si>
    <t>ISL74</t>
  </si>
  <si>
    <t>Dr, Oscar Alemán López</t>
  </si>
  <si>
    <t>Oscar Alemán López</t>
  </si>
  <si>
    <t>MBM70</t>
  </si>
  <si>
    <t>Dr, Óscar Alfonso Arenas Britez</t>
  </si>
  <si>
    <t>Óscar Alfonso Arenas Britez</t>
  </si>
  <si>
    <t>LAA38</t>
  </si>
  <si>
    <t>Dr, Pablo Alejandro Rojas Rodríguez</t>
  </si>
  <si>
    <t>Pablo Alejandro Rojas Rodríguez</t>
  </si>
  <si>
    <t>MBM71</t>
  </si>
  <si>
    <t>Dr, Pablo García González</t>
  </si>
  <si>
    <t>Pablo García González</t>
  </si>
  <si>
    <t>LRM250</t>
  </si>
  <si>
    <t>Dr, Pablo Sarrio Solera</t>
  </si>
  <si>
    <t>Pablo Sarrio Solera</t>
  </si>
  <si>
    <t>LRM108</t>
  </si>
  <si>
    <t>Dr, Pablo Sarrió Solera</t>
  </si>
  <si>
    <t>Pablo Sarrió Solera</t>
  </si>
  <si>
    <t>MCC29</t>
  </si>
  <si>
    <t>Dr, Pablo Vergés Fort</t>
  </si>
  <si>
    <t>Pablo Vergés Fort</t>
  </si>
  <si>
    <t>LRM225</t>
  </si>
  <si>
    <t>Dra, Paloma Alvarez hernandez</t>
  </si>
  <si>
    <t>Paloma Alvarez hernandez</t>
  </si>
  <si>
    <t>LRM226</t>
  </si>
  <si>
    <t>Dra, Paloma Álvarez Hernandez</t>
  </si>
  <si>
    <t>Paloma Álvarez Hernandez</t>
  </si>
  <si>
    <t>MBM164</t>
  </si>
  <si>
    <t>Dra, Paloma Martín- Aragón Martín</t>
  </si>
  <si>
    <t>Paloma Martín- Aragón Martín</t>
  </si>
  <si>
    <t>LAA73</t>
  </si>
  <si>
    <t>Dra, Paloma Martín Díaz</t>
  </si>
  <si>
    <t>Paloma Martín Díaz</t>
  </si>
  <si>
    <t>MBM165</t>
  </si>
  <si>
    <t>Dra, Paloma Pinacho Martínez</t>
  </si>
  <si>
    <t>Paloma Pinacho Martínez</t>
  </si>
  <si>
    <t>LRM227</t>
  </si>
  <si>
    <t>Dra, Patricia Ezcurra Hernández</t>
  </si>
  <si>
    <t>Patricia Ezcurra Hernández</t>
  </si>
  <si>
    <t>MBM166</t>
  </si>
  <si>
    <t>Dra, Patricia García Vicente</t>
  </si>
  <si>
    <t>Patricia García Vicente</t>
  </si>
  <si>
    <t>PSC49</t>
  </si>
  <si>
    <t>Dra, Patricia Viveros Diez</t>
  </si>
  <si>
    <t>Patricia Viveros Diez</t>
  </si>
  <si>
    <t>MBM167</t>
  </si>
  <si>
    <t>Dra, Paula Aragón Ramos</t>
  </si>
  <si>
    <t>Paula Aragón Ramos</t>
  </si>
  <si>
    <t>MBM168</t>
  </si>
  <si>
    <t>Dra, Paula Aviles Mañoso</t>
  </si>
  <si>
    <t>Paula Aviles Mañoso</t>
  </si>
  <si>
    <t>MBM169</t>
  </si>
  <si>
    <t>Dra, Paula del Valle Gómez</t>
  </si>
  <si>
    <t>Paula del Valle Gómez</t>
  </si>
  <si>
    <t>ISL146</t>
  </si>
  <si>
    <t>Dra, Paula Hernández Ruiz</t>
  </si>
  <si>
    <t>Paula Hernández Ruiz</t>
  </si>
  <si>
    <t>ISL130</t>
  </si>
  <si>
    <t>Dra, Paula Hernández Ruíz</t>
  </si>
  <si>
    <t>Paula Hernández Ruíz</t>
  </si>
  <si>
    <t>MCC55</t>
  </si>
  <si>
    <t>Dra, Paula López Mesa</t>
  </si>
  <si>
    <t>Paula López Mesa</t>
  </si>
  <si>
    <t>MBM170</t>
  </si>
  <si>
    <t>Dra, Paula Martinez Pascual</t>
  </si>
  <si>
    <t>Paula Martinez Pascual</t>
  </si>
  <si>
    <t>MBM171</t>
  </si>
  <si>
    <t>Dra, Paula Martínez Pascual</t>
  </si>
  <si>
    <t>Paula Martínez Pascual</t>
  </si>
  <si>
    <t>RFV33</t>
  </si>
  <si>
    <t>Dra, Paula Martínez-Ruiz De Apocada</t>
  </si>
  <si>
    <t>Paula Martínez-Ruiz De Apocada</t>
  </si>
  <si>
    <t>PSC50</t>
  </si>
  <si>
    <t>Dra, Paula Sánchez Fernández</t>
  </si>
  <si>
    <t>Paula Sánchez Fernández</t>
  </si>
  <si>
    <t>RFV34</t>
  </si>
  <si>
    <t>Dra, Paz Martínez Beneyto</t>
  </si>
  <si>
    <t>Paz Martínez Beneyto</t>
  </si>
  <si>
    <t>LRM109</t>
  </si>
  <si>
    <t>Dr, Pedro Amaro Merino</t>
  </si>
  <si>
    <t>Pedro Amaro Merino</t>
  </si>
  <si>
    <t>AMM20</t>
  </si>
  <si>
    <t>Dr, Pedro Barthe García</t>
  </si>
  <si>
    <t>Pedro Barthe García</t>
  </si>
  <si>
    <t>PSC27</t>
  </si>
  <si>
    <t>Dr, Pedro Blanco Pérez,</t>
  </si>
  <si>
    <t>Pedro Blanco Pérez,</t>
  </si>
  <si>
    <t>LRM110</t>
  </si>
  <si>
    <t>Dr, Pedro Cabrera Morín</t>
  </si>
  <si>
    <t>Pedro Cabrera Morín</t>
  </si>
  <si>
    <t>LAA68</t>
  </si>
  <si>
    <t>Dr, Pedro Francisco Martínez Guisado</t>
  </si>
  <si>
    <t>Pedro Francisco Martínez Guisado</t>
  </si>
  <si>
    <t>MCC30</t>
  </si>
  <si>
    <t>Dr, Pedro Gil Paraíso</t>
  </si>
  <si>
    <t>Pedro Gil Paraíso</t>
  </si>
  <si>
    <t>PSC28</t>
  </si>
  <si>
    <t>Dr, Pedro Hueso Gutierrez</t>
  </si>
  <si>
    <t>Pedro Hueso Gutierrez</t>
  </si>
  <si>
    <t>LRM111</t>
  </si>
  <si>
    <t>Dr, Pedro José Gil Paraiso</t>
  </si>
  <si>
    <t>Pedro José Gil Paraiso</t>
  </si>
  <si>
    <t>RPG30</t>
  </si>
  <si>
    <t>Dr, Pedro Juiz López</t>
  </si>
  <si>
    <t>Pedro Juiz López</t>
  </si>
  <si>
    <t>ISL75</t>
  </si>
  <si>
    <t>Dr, Pedro Masegosa Zapata</t>
  </si>
  <si>
    <t>Pedro Masegosa Zapata</t>
  </si>
  <si>
    <t>ISL76</t>
  </si>
  <si>
    <t>Dr, Pedro Seguí Moya</t>
  </si>
  <si>
    <t>Pedro Seguí Moya</t>
  </si>
  <si>
    <t>ISL131</t>
  </si>
  <si>
    <t>Dra, Pilar Beladiez Romero</t>
  </si>
  <si>
    <t>Pilar Beladiez Romero</t>
  </si>
  <si>
    <t>RPG54</t>
  </si>
  <si>
    <t>Dra, Pilar Castro Ruiz</t>
  </si>
  <si>
    <t>Pilar Castro Ruiz</t>
  </si>
  <si>
    <t>LRM112</t>
  </si>
  <si>
    <t>Dr, Pilar Hernandez Weigand</t>
  </si>
  <si>
    <t>Pilar Hernandez Weigand</t>
  </si>
  <si>
    <t>RPG55</t>
  </si>
  <si>
    <t>Dra, Pilar Pomar Blanco</t>
  </si>
  <si>
    <t>Pilar Pomar Blanco</t>
  </si>
  <si>
    <t>LRM228</t>
  </si>
  <si>
    <t>Dra, Pilar Serna Peinado</t>
  </si>
  <si>
    <t>Pilar Serna Peinado</t>
  </si>
  <si>
    <t>LRM113</t>
  </si>
  <si>
    <t>Dr, Raed Maqued El Maqued</t>
  </si>
  <si>
    <t>Raed Maqued El Maqued</t>
  </si>
  <si>
    <t>RPG31</t>
  </si>
  <si>
    <t>Dr, Rafael Alfonso Hurtado Ruzza</t>
  </si>
  <si>
    <t>Rafael Alfonso Hurtado Ruzza</t>
  </si>
  <si>
    <t>MBM72</t>
  </si>
  <si>
    <t>Dr, Rafael Aliaga Montilla</t>
  </si>
  <si>
    <t>Rafael Aliaga Montilla</t>
  </si>
  <si>
    <t>PSC29</t>
  </si>
  <si>
    <t>Dr, Rafael Álvarez Otero</t>
  </si>
  <si>
    <t>Rafael Álvarez Otero</t>
  </si>
  <si>
    <t>MBM73</t>
  </si>
  <si>
    <t>Dr, Rafael Barberá Durban</t>
  </si>
  <si>
    <t>Rafael Barberá Durban</t>
  </si>
  <si>
    <t>ISL77</t>
  </si>
  <si>
    <t>Dr, Rafael Barona Guzmán</t>
  </si>
  <si>
    <t>Rafael Barona Guzmán</t>
  </si>
  <si>
    <t>LRM114</t>
  </si>
  <si>
    <t>Dr, Rafael Fernández Liesa</t>
  </si>
  <si>
    <t>Rafael Fernández Liesa</t>
  </si>
  <si>
    <t>ISL78</t>
  </si>
  <si>
    <t>Dr, Rafael Martínez Garceran</t>
  </si>
  <si>
    <t>Rafael Martínez Garceran</t>
  </si>
  <si>
    <t>ISL79</t>
  </si>
  <si>
    <t>Dr, Rafael Pérez Aguilera</t>
  </si>
  <si>
    <t>Rafael Pérez Aguilera</t>
  </si>
  <si>
    <t>PSC30</t>
  </si>
  <si>
    <t>Dr, Rafael Pérez González</t>
  </si>
  <si>
    <t>Rafael Pérez González</t>
  </si>
  <si>
    <t>LAA39</t>
  </si>
  <si>
    <t>Dr, Rafael Ramírez Ponferrada</t>
  </si>
  <si>
    <t>Rafael Ramírez Ponferrada</t>
  </si>
  <si>
    <t>LAA40</t>
  </si>
  <si>
    <t>Dr, Rafael Ruiz Fito</t>
  </si>
  <si>
    <t>Rafael Ruiz Fito</t>
  </si>
  <si>
    <t>LRM115</t>
  </si>
  <si>
    <t>Dr, Rafael Sanz Trenado</t>
  </si>
  <si>
    <t>Rafael Sanz Trenado</t>
  </si>
  <si>
    <t>MCC31</t>
  </si>
  <si>
    <t>Dr, Rafael Vera Llao</t>
  </si>
  <si>
    <t>Rafael Vera Llao</t>
  </si>
  <si>
    <t>RFV24</t>
  </si>
  <si>
    <t>Dr, Raimon García Chillerón</t>
  </si>
  <si>
    <t>Raimon García Chillerón</t>
  </si>
  <si>
    <t>MBM74</t>
  </si>
  <si>
    <t>Dr, Raimundo Andres Navarro Mediano</t>
  </si>
  <si>
    <t>Raimundo Andres Navarro Mediano</t>
  </si>
  <si>
    <t>MBM75</t>
  </si>
  <si>
    <t>Dr, Raimundo Gómez-Blasi</t>
  </si>
  <si>
    <t>Raimundo Gómez-Blasi</t>
  </si>
  <si>
    <t>MBM76</t>
  </si>
  <si>
    <t>Dr, Ramón González Herranz</t>
  </si>
  <si>
    <t>Ramón González Herranz</t>
  </si>
  <si>
    <t>LRM116</t>
  </si>
  <si>
    <t>Dr, Ramón Luis Escuaín Escanilla</t>
  </si>
  <si>
    <t>Ramón Luis Escuaín Escanilla</t>
  </si>
  <si>
    <t>LRM117</t>
  </si>
  <si>
    <t>Dr, Ramón Martínez Carranza</t>
  </si>
  <si>
    <t>Ramón Martínez Carranza</t>
  </si>
  <si>
    <t>LRM118</t>
  </si>
  <si>
    <t>Dr, Ramón Martínez-Berganza Asensio</t>
  </si>
  <si>
    <t>Ramón Martínez-Berganza Asensio</t>
  </si>
  <si>
    <t>LRM229</t>
  </si>
  <si>
    <t>Dra, Raquel Artal Sánchez</t>
  </si>
  <si>
    <t>Raquel Artal Sánchez</t>
  </si>
  <si>
    <t>LAA57</t>
  </si>
  <si>
    <t>Dra, Raquel Solis Vazquez</t>
  </si>
  <si>
    <t>Raquel Solis Vazquez</t>
  </si>
  <si>
    <t>MBM77</t>
  </si>
  <si>
    <t>Dr, Raúl Del Castillo López</t>
  </si>
  <si>
    <t>Raúl Del Castillo López</t>
  </si>
  <si>
    <t>MBM78</t>
  </si>
  <si>
    <t>Dr, Raúl Rubio Yangüas</t>
  </si>
  <si>
    <t>Raúl Rubio Yangüas</t>
  </si>
  <si>
    <t>LRM230</t>
  </si>
  <si>
    <t>Dra, Rebeca Barrios Gonzalo</t>
  </si>
  <si>
    <t>Rebeca Barrios Gonzalo</t>
  </si>
  <si>
    <t>MCC56</t>
  </si>
  <si>
    <t>Dra, Renata Jiménez Martínez</t>
  </si>
  <si>
    <t>Renata Jiménez Martínez</t>
  </si>
  <si>
    <t>MBM79</t>
  </si>
  <si>
    <t>Dr, Ricardo González-Orus</t>
  </si>
  <si>
    <t>Ricardo González-Orus</t>
  </si>
  <si>
    <t>ISL132</t>
  </si>
  <si>
    <t>Dra, Rocío Arce Martínez</t>
  </si>
  <si>
    <t>Rocío Arce Martínez</t>
  </si>
  <si>
    <t>LAA58</t>
  </si>
  <si>
    <t>Dra, Rocío Corrales Martín</t>
  </si>
  <si>
    <t>Rocío Corrales Martín</t>
  </si>
  <si>
    <t>LAA75</t>
  </si>
  <si>
    <t>Dra, Rocío Corrales Millán</t>
  </si>
  <si>
    <t>Rocío Corrales Millán</t>
  </si>
  <si>
    <t>LRM231</t>
  </si>
  <si>
    <t>Dra, Rocío García Fernández</t>
  </si>
  <si>
    <t>Rocío García Fernández</t>
  </si>
  <si>
    <t>MBM172</t>
  </si>
  <si>
    <t>Dra, Rocío González Márquez</t>
  </si>
  <si>
    <t>Rocío González Márquez</t>
  </si>
  <si>
    <t>LRM119</t>
  </si>
  <si>
    <t>Dr, Roi Rodríguez Frois</t>
  </si>
  <si>
    <t>Roi Rodríguez Frois</t>
  </si>
  <si>
    <t>LAA41</t>
  </si>
  <si>
    <t>Dr, Rolando Hernández Rodríguez</t>
  </si>
  <si>
    <t>Rolando Hernández Rodríguez</t>
  </si>
  <si>
    <t>MBM173</t>
  </si>
  <si>
    <t>Dra, Rosana Cobiella Carnicer</t>
  </si>
  <si>
    <t>Rosana Cobiella Carnicer</t>
  </si>
  <si>
    <t>LRM232</t>
  </si>
  <si>
    <t>Dra, Rosario Garcia Monescillo</t>
  </si>
  <si>
    <t>Rosario Garcia Monescillo</t>
  </si>
  <si>
    <t>ISL139</t>
  </si>
  <si>
    <t>Dr, Rubén Moreno Arrones</t>
  </si>
  <si>
    <t>Rubén Moreno Arrones</t>
  </si>
  <si>
    <t>MBM80</t>
  </si>
  <si>
    <t>Dr, Rubén Polo López</t>
  </si>
  <si>
    <t>Rubén Polo López</t>
  </si>
  <si>
    <t>RFV42</t>
  </si>
  <si>
    <t>Dr, Salwa Laraqui Hossini</t>
  </si>
  <si>
    <t>Salwa Laraqui Hossini</t>
  </si>
  <si>
    <t>MBM174</t>
  </si>
  <si>
    <t>Dra, Sandra Dominguez Carames</t>
  </si>
  <si>
    <t>Sandra Dominguez Carames</t>
  </si>
  <si>
    <t>ISL80</t>
  </si>
  <si>
    <t>Dr, Santiago Moreno Paredes</t>
  </si>
  <si>
    <t>Santiago Moreno Paredes</t>
  </si>
  <si>
    <t>PSC51</t>
  </si>
  <si>
    <t>Dra, Sara Fernandez Cascón</t>
  </si>
  <si>
    <t>Sara Fernandez Cascón</t>
  </si>
  <si>
    <t>MBM175</t>
  </si>
  <si>
    <t>Dra, Sara Reda del Barrio</t>
  </si>
  <si>
    <t>Sara Reda del Barrio</t>
  </si>
  <si>
    <t>LRM233</t>
  </si>
  <si>
    <t>Dra, Sara Rodriguez Sanz</t>
  </si>
  <si>
    <t>Sara Rodriguez Sanz</t>
  </si>
  <si>
    <t>MBM176</t>
  </si>
  <si>
    <t>Dra, Sara Tanboura López</t>
  </si>
  <si>
    <t>Sara Tanboura López</t>
  </si>
  <si>
    <t>LRM120</t>
  </si>
  <si>
    <t>Dr, Sebastián Contin Pellicer</t>
  </si>
  <si>
    <t>Sebastián Contin Pellicer</t>
  </si>
  <si>
    <t>RPG32</t>
  </si>
  <si>
    <t>Dr, Sergio Codina Alonso</t>
  </si>
  <si>
    <t>Sergio Codina Alonso</t>
  </si>
  <si>
    <t>MBM81</t>
  </si>
  <si>
    <t>Dr, Sergio Zaragoza Guijo</t>
  </si>
  <si>
    <t>Sergio Zaragoza Guijo</t>
  </si>
  <si>
    <t>MBM177</t>
  </si>
  <si>
    <t>Dra, Silvia Domínguez Ovejas</t>
  </si>
  <si>
    <t>Silvia Domínguez Ovejas</t>
  </si>
  <si>
    <t>MBM178</t>
  </si>
  <si>
    <t>Dra, Silvia Herrera Tolosana</t>
  </si>
  <si>
    <t>Silvia Herrera Tolosana</t>
  </si>
  <si>
    <t>RPG56</t>
  </si>
  <si>
    <t>Dra, Socorro Tedín García</t>
  </si>
  <si>
    <t>Socorro Tedín García</t>
  </si>
  <si>
    <t>MBM179</t>
  </si>
  <si>
    <t>Dra, Sofía Ferreiras Cendón</t>
  </si>
  <si>
    <t>Sofía Ferreiras Cendón</t>
  </si>
  <si>
    <t>MBM180</t>
  </si>
  <si>
    <t>Dra, Stephany Rodríguez Mata</t>
  </si>
  <si>
    <t>Stephany Rodríguez Mata</t>
  </si>
  <si>
    <t>MCC57</t>
  </si>
  <si>
    <t>Dra, Susana Lareo Copa</t>
  </si>
  <si>
    <t>Susana Lareo Copa</t>
  </si>
  <si>
    <t>LRM234</t>
  </si>
  <si>
    <t>Dra, Susana Márquez Martínez</t>
  </si>
  <si>
    <t>Susana Márquez Martínez</t>
  </si>
  <si>
    <t>LRM257</t>
  </si>
  <si>
    <t>Dra, Teresa Cervilla Martín</t>
  </si>
  <si>
    <t>Teresa Cervilla Martín</t>
  </si>
  <si>
    <t>LRM235</t>
  </si>
  <si>
    <t>Dra, Teresa Conde Menor</t>
  </si>
  <si>
    <t>Teresa Conde Menor</t>
  </si>
  <si>
    <t>PSC52</t>
  </si>
  <si>
    <t>Dra, Teresa Langeber Gavilán</t>
  </si>
  <si>
    <t>Teresa Langeber Gavilán</t>
  </si>
  <si>
    <t>LRM236</t>
  </si>
  <si>
    <t>Dra, Teresa Laviana Muslera</t>
  </si>
  <si>
    <t>Teresa Laviana Muslera</t>
  </si>
  <si>
    <t>MBM181</t>
  </si>
  <si>
    <t>Dra, Teresa Mato Patino</t>
  </si>
  <si>
    <t>Teresa Mato Patino</t>
  </si>
  <si>
    <t>MBM182</t>
  </si>
  <si>
    <t>Dra, Teresa Millas Gómez</t>
  </si>
  <si>
    <t>Teresa Millas Gómez</t>
  </si>
  <si>
    <t>LRM237</t>
  </si>
  <si>
    <t>Dra, Teresa Rivera Schmitz</t>
  </si>
  <si>
    <t>Teresa Rivera Schmitz</t>
  </si>
  <si>
    <t>LRM121</t>
  </si>
  <si>
    <t>Dr, Tomás García Fernández de Sevilla</t>
  </si>
  <si>
    <t>Tomás García Fernández de Sevilla</t>
  </si>
  <si>
    <t>LAA60</t>
  </si>
  <si>
    <t>Dr, Tomas Mogollon Cano Cortes</t>
  </si>
  <si>
    <t>Tomas Mogollon Cano Cortes</t>
  </si>
  <si>
    <t>LAA42</t>
  </si>
  <si>
    <t>Dr, Tomás Mogollón Cano-Cortés</t>
  </si>
  <si>
    <t>Tomás Mogollón Cano-Cortés</t>
  </si>
  <si>
    <t>LAA43</t>
  </si>
  <si>
    <t>Dr, Ulises Bidón Gómez</t>
  </si>
  <si>
    <t>Ulises Bidón Gómez</t>
  </si>
  <si>
    <t>RFV35</t>
  </si>
  <si>
    <t>Dra, Vanesa Pérez Guillén</t>
  </si>
  <si>
    <t>Vanesa Pérez Guillén</t>
  </si>
  <si>
    <t>AMM18</t>
  </si>
  <si>
    <t>Dra, Vanesa Suárez Fente</t>
  </si>
  <si>
    <t>Vanesa Suárez Fente</t>
  </si>
  <si>
    <t>ISL134</t>
  </si>
  <si>
    <t>Dra, Vania Novoa Juiz</t>
  </si>
  <si>
    <t>Vania Novoa Juiz</t>
  </si>
  <si>
    <t>MBM82</t>
  </si>
  <si>
    <t>Dr, Ventura Anciones Rodríguez</t>
  </si>
  <si>
    <t>Ventura Anciones Rodríguez</t>
  </si>
  <si>
    <t>ISL135</t>
  </si>
  <si>
    <t>Dra, Verónica Pellicer Zoghbi</t>
  </si>
  <si>
    <t>Verónica Pellicer Zoghbi</t>
  </si>
  <si>
    <t>MBM83</t>
  </si>
  <si>
    <t>Dr, Vicente Jiménez López</t>
  </si>
  <si>
    <t>Vicente Jiménez López</t>
  </si>
  <si>
    <t>MBM84</t>
  </si>
  <si>
    <t>Dr, Vicente Martínez Santos</t>
  </si>
  <si>
    <t>Vicente Martínez Santos</t>
  </si>
  <si>
    <t>LAA72</t>
  </si>
  <si>
    <t>Dr, Vicente Mira Escartí</t>
  </si>
  <si>
    <t>Vicente Mira Escartí</t>
  </si>
  <si>
    <t>RFV36</t>
  </si>
  <si>
    <t>Dra, Vicky Galstyan Minasosa</t>
  </si>
  <si>
    <t>Vicky Galstyan Minasosa</t>
  </si>
  <si>
    <t>MBM85</t>
  </si>
  <si>
    <t>Dr, Víctor José González Arias</t>
  </si>
  <si>
    <t>Víctor José González Arias</t>
  </si>
  <si>
    <t>PSC53</t>
  </si>
  <si>
    <t>Dra, Victoria Duque Holguera</t>
  </si>
  <si>
    <t>Victoria Duque Holguera</t>
  </si>
  <si>
    <t>MBM183</t>
  </si>
  <si>
    <t>Dra, Victoria García León</t>
  </si>
  <si>
    <t>Victoria García León</t>
  </si>
  <si>
    <t>MBM184</t>
  </si>
  <si>
    <t>Dra, Victoria García Peces</t>
  </si>
  <si>
    <t>Victoria García Peces</t>
  </si>
  <si>
    <t>MCC58</t>
  </si>
  <si>
    <t>Dra, Victoria Rivero de Jesús</t>
  </si>
  <si>
    <t>Victoria Rivero de Jesús</t>
  </si>
  <si>
    <t>PSC54</t>
  </si>
  <si>
    <t>Dra, Vilma Sandoval Pacheco</t>
  </si>
  <si>
    <t>Vilma Sandoval Pacheco</t>
  </si>
  <si>
    <t>MBM185</t>
  </si>
  <si>
    <t>Dra, Virginia Díaz Guerrero</t>
  </si>
  <si>
    <t>Virginia Díaz Guerrero</t>
  </si>
  <si>
    <t>RPG57</t>
  </si>
  <si>
    <t>Dra, Virginia Martínez Villasmil</t>
  </si>
  <si>
    <t>Virginia Martínez Villasmil</t>
  </si>
  <si>
    <t>LRM122</t>
  </si>
  <si>
    <t>Dr, William Aragonés Sanzen-Baker</t>
  </si>
  <si>
    <t>William Aragonés Sanzen-Baker</t>
  </si>
  <si>
    <t>MCC63</t>
  </si>
  <si>
    <t>Dr, Xavier Gonzalez Compa</t>
  </si>
  <si>
    <t>Xavier Gonzalez Compa</t>
  </si>
  <si>
    <t>MCC32</t>
  </si>
  <si>
    <t>Dr, Xavier González Compta</t>
  </si>
  <si>
    <t>Xavier González Compta</t>
  </si>
  <si>
    <t>MCC33</t>
  </si>
  <si>
    <t>Dr, Xavier Urraca Contreras</t>
  </si>
  <si>
    <t>Xavier Urraca Contreras</t>
  </si>
  <si>
    <t>PSC55</t>
  </si>
  <si>
    <t>Dra, Xenia Mota Rojas</t>
  </si>
  <si>
    <t>Xenia Mota Rojas</t>
  </si>
  <si>
    <t>MCC59</t>
  </si>
  <si>
    <t>Dra, Zenaida Piñeiro Aguín</t>
  </si>
  <si>
    <t>Zenaida Piñeiro Aguín</t>
  </si>
  <si>
    <t>LAA59</t>
  </si>
  <si>
    <t>Dra, Zoila Peña Rodríguez</t>
  </si>
  <si>
    <t>Zoila Peña Rodríguez</t>
  </si>
  <si>
    <t>Lisandro Russian (Madrid, Cáceres, Toledo, Talavera Y Logroño)</t>
  </si>
  <si>
    <t>LRM258</t>
  </si>
  <si>
    <t>MCC73</t>
  </si>
  <si>
    <t>Dra, Sara Jubés Monforte</t>
  </si>
  <si>
    <t>Sara Jubés Monforte</t>
  </si>
  <si>
    <t>MBM204</t>
  </si>
  <si>
    <t>Dra, Paloma Martín-Aragón Martín</t>
  </si>
  <si>
    <t>Paloma Martín-Aragón Martín</t>
  </si>
  <si>
    <t>Lisandro Russian (Madrid, Cáceres, Toledo, Talavera y Logroño)</t>
  </si>
  <si>
    <t>Dra, María Del Rocío Lobato Pérez</t>
  </si>
  <si>
    <t>María Del Rocío Lobato Pérez</t>
  </si>
  <si>
    <t>LAA78</t>
  </si>
  <si>
    <t>Dra, Maria Del Carmen Salom Coveñas</t>
  </si>
  <si>
    <t>Maria Del Carmen Salom Coveñas</t>
  </si>
  <si>
    <t>MBM202</t>
  </si>
  <si>
    <t>Dr, Ignacio Jiménez Huerta</t>
  </si>
  <si>
    <t>Ignacio Jiménez Huerta</t>
  </si>
  <si>
    <t>MBM201</t>
  </si>
  <si>
    <t>Dra, María Cecilia Scola Torres</t>
  </si>
  <si>
    <t>María Cecilia Scola Torres</t>
  </si>
  <si>
    <t>MCC72</t>
  </si>
  <si>
    <t>Dr, Miguel F, García Wagner</t>
  </si>
  <si>
    <t>Miguel F, García Wagner</t>
  </si>
  <si>
    <t>MCC71</t>
  </si>
  <si>
    <t>Dr, Joan Remacha Sardà</t>
  </si>
  <si>
    <t>Joan Remacha Sardà</t>
  </si>
  <si>
    <t>RPG65</t>
  </si>
  <si>
    <t>Dra, Blanca Marly de Alós</t>
  </si>
  <si>
    <t>Blanca Marly de Alós</t>
  </si>
  <si>
    <t>RFV45</t>
  </si>
  <si>
    <t>Dr, Ángel Ángel de Miguel</t>
  </si>
  <si>
    <t>Ángel Ángel de Miguel</t>
  </si>
  <si>
    <t>LRM259</t>
  </si>
  <si>
    <t>Dr, Carlos Montero García</t>
  </si>
  <si>
    <t>Carlos Montero García</t>
  </si>
  <si>
    <t>Códigos actualizados</t>
  </si>
  <si>
    <t xml:space="preserve">ACTUALIZACIÓN A  </t>
  </si>
  <si>
    <t>código visitador</t>
  </si>
  <si>
    <t>ACTUALIZADO A</t>
  </si>
  <si>
    <t>MES</t>
  </si>
  <si>
    <t>PR</t>
  </si>
  <si>
    <t>Visitador</t>
  </si>
  <si>
    <t>mes</t>
  </si>
  <si>
    <t>CÓD</t>
  </si>
  <si>
    <t>N Factura</t>
  </si>
  <si>
    <t>FECHA</t>
  </si>
  <si>
    <t>Centro</t>
  </si>
  <si>
    <t>ORL</t>
  </si>
  <si>
    <t>DNI/CIF</t>
  </si>
  <si>
    <t>Dirección</t>
  </si>
  <si>
    <t>Número de Cuenta</t>
  </si>
  <si>
    <t>Importe Factura</t>
  </si>
  <si>
    <t>MONEDERO</t>
  </si>
  <si>
    <t>Paciente 1</t>
  </si>
  <si>
    <t>Paciente 2</t>
  </si>
  <si>
    <t>Paciente 3</t>
  </si>
  <si>
    <t>Paciente 4</t>
  </si>
  <si>
    <t>Paciente 5</t>
  </si>
  <si>
    <t>Paciente 6</t>
  </si>
  <si>
    <t>Paciente 7</t>
  </si>
  <si>
    <t>Paciente 8</t>
  </si>
  <si>
    <t>Paciente 9</t>
  </si>
  <si>
    <t>Paciente 10</t>
  </si>
  <si>
    <t>Paciente 11</t>
  </si>
  <si>
    <t>Codigo pac 1</t>
  </si>
  <si>
    <t>Codigo pac 2</t>
  </si>
  <si>
    <t>Codigo pac 3</t>
  </si>
  <si>
    <t>Codigo pac 4</t>
  </si>
  <si>
    <t>Codigo pac 5</t>
  </si>
  <si>
    <t>Codigo pac 6</t>
  </si>
  <si>
    <t>Codigo pac 7</t>
  </si>
  <si>
    <t>Codigo pac 8</t>
  </si>
  <si>
    <t>Codigo pac 9</t>
  </si>
  <si>
    <t>Codigo pac 10</t>
  </si>
  <si>
    <t>Codigo pac 11</t>
  </si>
  <si>
    <t>Codigo pac 12</t>
  </si>
  <si>
    <t>SALDO</t>
  </si>
  <si>
    <t>AA</t>
  </si>
  <si>
    <t>ISL91/202601</t>
  </si>
  <si>
    <t>Albacete</t>
  </si>
  <si>
    <t>48738329-H</t>
  </si>
  <si>
    <t>C/ San Carlos, 13, 2ºC. Murcia Murcia 30003</t>
  </si>
  <si>
    <t>ES32 0182 0159 1802 0159 0822</t>
  </si>
  <si>
    <t>JOSE JUAN AROCA PEREZ 2</t>
  </si>
  <si>
    <t>ISL91/202602</t>
  </si>
  <si>
    <t>Murcia</t>
  </si>
  <si>
    <t>JESUS MORENO LOPEZ 2</t>
  </si>
  <si>
    <t>RAMON  ANDREU ANDREU 2</t>
  </si>
  <si>
    <t>ISL136/202601</t>
  </si>
  <si>
    <t>Orihuela</t>
  </si>
  <si>
    <t>Oreana Carolina Camacaro González</t>
  </si>
  <si>
    <t>Z1176020-N</t>
  </si>
  <si>
    <t>Av Alegría Elche 3194</t>
  </si>
  <si>
    <t>ES85 0182 5334 9102 0244 2847</t>
  </si>
  <si>
    <t>CHRISTOPHER HUGH IBBETSON 2</t>
  </si>
  <si>
    <t>MBM11/202601</t>
  </si>
  <si>
    <t>Getafe</t>
  </si>
  <si>
    <t>50423783D</t>
  </si>
  <si>
    <t>Calle Antonio Toledano 17 Madrid 28028</t>
  </si>
  <si>
    <t>ES57 1465 0170 1617 1665 5224</t>
  </si>
  <si>
    <t>PILAR GIMENEZ HERNANDEZ 1</t>
  </si>
  <si>
    <t>MBM186/202601</t>
  </si>
  <si>
    <t>Torrejón de Ardoz</t>
  </si>
  <si>
    <t>Ana Marta Abad Pascual</t>
  </si>
  <si>
    <t>02621409F</t>
  </si>
  <si>
    <t>C/ Blas Cabrera,1-13 Boadilla del Monte 28660 Madrid</t>
  </si>
  <si>
    <t>ES03 2100 6171 6913 0055 3458</t>
  </si>
  <si>
    <t>FELICIDAD MORENA GONZALEZ 2</t>
  </si>
  <si>
    <t>MBM109/202601</t>
  </si>
  <si>
    <t>Leganés</t>
  </si>
  <si>
    <t>08016820D</t>
  </si>
  <si>
    <t>Calle Eduardo Haro Tecglen 9, 3C Madrid 28055 Madrid</t>
  </si>
  <si>
    <t>ES30 0049 1995 3226 1000 8664</t>
  </si>
  <si>
    <t>ALMUDENA ARROGANTE AHIJADO 1</t>
  </si>
  <si>
    <t>Kiko Ortega (Galicia)</t>
  </si>
  <si>
    <t>RPG51/202601</t>
  </si>
  <si>
    <t>Ourense</t>
  </si>
  <si>
    <t>34984373Q</t>
  </si>
  <si>
    <t>C/ Hernan Cortés, 49 bajo, Orense 32005</t>
  </si>
  <si>
    <t>ES78 1465 0100 9117 0725 4110</t>
  </si>
  <si>
    <t>MARCELINO QUINTAS SUAREZ 1</t>
  </si>
  <si>
    <t xml:space="preserve">
VICENTE RODRIGUEZ BLANCO 1</t>
  </si>
  <si>
    <t>C2025519115544494</t>
  </si>
  <si>
    <t>Mercé Cabrera</t>
  </si>
  <si>
    <t>MCC75/202601</t>
  </si>
  <si>
    <t>Barcelona- Córcega</t>
  </si>
  <si>
    <t>Camilo Rodríguez van Strahle</t>
  </si>
  <si>
    <t>60193846V</t>
  </si>
  <si>
    <t>C/ Villarroel 164. 4-1 Barcelona 08036</t>
  </si>
  <si>
    <t>ES63 1583 0001 1490 7361 6983</t>
  </si>
  <si>
    <t>JOSEFINA  MILANES LOPEZ 1</t>
  </si>
  <si>
    <t>MCC75/202602</t>
  </si>
  <si>
    <t>Hospitalet de Llobregat</t>
  </si>
  <si>
    <t>JOSE COSTAL 2</t>
  </si>
  <si>
    <t>MARIA ELENA BLESA 2</t>
  </si>
  <si>
    <t>Ramón Ferrando</t>
  </si>
  <si>
    <t>RFV33/202601</t>
  </si>
  <si>
    <t>Valencia- Cádiz</t>
  </si>
  <si>
    <t>72758187X</t>
  </si>
  <si>
    <t>Avda. José Roca Coll 1, bloque B, 7ºC Valencia 46014</t>
  </si>
  <si>
    <t>ES54 0186 5001 6605 1022 5542</t>
  </si>
  <si>
    <t>PILAR TORTAJADA BELTRAN 2</t>
  </si>
  <si>
    <t>MARIA DEL CARMEN VILLANUEVA PEREZ 2</t>
  </si>
  <si>
    <t>MND 1</t>
  </si>
  <si>
    <t>MBM128/202601</t>
  </si>
  <si>
    <t>Madrid- Juan Bravo</t>
  </si>
  <si>
    <t>03542635Z</t>
  </si>
  <si>
    <t>Calle de Santa Virgilia, 7 Madrid 28033</t>
  </si>
  <si>
    <t>ES48 0081 5229 7400 0134 6243</t>
  </si>
  <si>
    <t>JUAN CARLOS DEL VALLE AGUSTIN 2</t>
  </si>
  <si>
    <t>MBM114/202601</t>
  </si>
  <si>
    <t>Madrid- Monforte de Lemos</t>
  </si>
  <si>
    <t>Esther Garcia López</t>
  </si>
  <si>
    <t>47281242G</t>
  </si>
  <si>
    <t>Modesto Lafuente 56 3 centro derecha madrid madrid 28003</t>
  </si>
  <si>
    <t>ES55 0073 0100 5608 5784 6807</t>
  </si>
  <si>
    <t>MARIA ISABEL GONZALEZ GONZALEZ 2</t>
  </si>
  <si>
    <t>MBM03/202601</t>
  </si>
  <si>
    <t>Alejandro Harguindey Antolí-Candela</t>
  </si>
  <si>
    <t>05204071 E </t>
  </si>
  <si>
    <t>C/Norte 35, Urb. Sto.Domingo  Algete Madrid 28120</t>
  </si>
  <si>
    <t>ES40 0049 6038 1725 1612 1753</t>
  </si>
  <si>
    <t>MARGARITA CABALLERO CALVO 1</t>
  </si>
  <si>
    <t>MBM186/202602</t>
  </si>
  <si>
    <t>CARMEN GONZALEZ RODRIGUEZ-CARRETERO 2</t>
  </si>
  <si>
    <t>ISL91/202603</t>
  </si>
  <si>
    <t>CARLOS ENRIQUE POZUELO SOLER 2</t>
  </si>
  <si>
    <t>ISL122/202601</t>
  </si>
  <si>
    <t>HONESTITAS SALUD, SLP</t>
  </si>
  <si>
    <t>B72501026</t>
  </si>
  <si>
    <t>Calle Baldomero Ferrer 1 Murcia Murcia 30009</t>
  </si>
  <si>
    <t>ES78 0049 7187 7121 1002 4017</t>
  </si>
  <si>
    <t>JUAN ANTONIO PUIG TRULLEN 2</t>
  </si>
  <si>
    <t>JULIA LOPEZ LOPEZ 2</t>
  </si>
  <si>
    <t>ISL122/202602</t>
  </si>
  <si>
    <t>HANS PETER DECKER 2</t>
  </si>
  <si>
    <t>ISL122/202603</t>
  </si>
  <si>
    <t>San Javier</t>
  </si>
  <si>
    <t>GARETH JOHN PETER SOCKETT 2</t>
  </si>
  <si>
    <t>RPG51/202602</t>
  </si>
  <si>
    <t>DOLORES FERNANDEZ SUAREZ 1</t>
  </si>
  <si>
    <t>FRANCISCO JAVIER REGUEIRO CACHEIRO 2</t>
  </si>
  <si>
    <t>ISL75/202601</t>
  </si>
  <si>
    <t>05693024H</t>
  </si>
  <si>
    <t>C/Zumaque, 4 Albacete 2008 Albacete</t>
  </si>
  <si>
    <t>ES88 0049 5548 3129 9503 4673</t>
  </si>
  <si>
    <t>ANTONIO GABALDON CANTERO 1</t>
  </si>
  <si>
    <t>LRM125/202601</t>
  </si>
  <si>
    <t>Talavera</t>
  </si>
  <si>
    <t>28969286G</t>
  </si>
  <si>
    <t>Calle Medruelo Número 1 TRUJILLO 10290</t>
  </si>
  <si>
    <t>ES65 2103 7686 9400 3000 5071</t>
  </si>
  <si>
    <t>CAROLINA CORONADO ROPERO 2</t>
  </si>
  <si>
    <t>RFV22/202601</t>
  </si>
  <si>
    <t>23916664E</t>
  </si>
  <si>
    <t>Avenida cortes valencianas 28, 11A Valencia 46015</t>
  </si>
  <si>
    <t>ES72 0182 6081 2502 0157 3601</t>
  </si>
  <si>
    <t>FRANCISCO JESÚS DE FRÍAS LUJÁN 1</t>
  </si>
  <si>
    <t>CARMEN LORENTE MUÑOZ 2</t>
  </si>
  <si>
    <t>ISL119/202601</t>
  </si>
  <si>
    <t>Valencia- Parra</t>
  </si>
  <si>
    <t>33474586H</t>
  </si>
  <si>
    <t>Calle Bilbao, 40 46009 Valencia Valencia</t>
  </si>
  <si>
    <t>ES87 0186 0091 2305 0825 7560</t>
  </si>
  <si>
    <t>MONTSERRAT  ORIOL GIMENEZ 2</t>
  </si>
  <si>
    <t>MBM11/202602</t>
  </si>
  <si>
    <t>Antonio Rodriguez Rivero</t>
  </si>
  <si>
    <t>JESUS CARLOS BRIZ PINDAO 2</t>
  </si>
  <si>
    <t>MGE-78,MGE-280,MGE-257,MGE-259,MGE-92,MGE-37,MGE-248,C202492618534356,C20241017112117100,MGE-61</t>
  </si>
  <si>
    <t>MGE-280</t>
  </si>
  <si>
    <t>MGE-257</t>
  </si>
  <si>
    <t>MGE-259</t>
  </si>
  <si>
    <t>MGE-92</t>
  </si>
  <si>
    <t>MGE-37</t>
  </si>
  <si>
    <t>MGE-248</t>
  </si>
  <si>
    <t>C202492618534356</t>
  </si>
  <si>
    <t>C20241017112117100</t>
  </si>
  <si>
    <t>MGE-61</t>
  </si>
  <si>
    <t>MBM186/202603</t>
  </si>
  <si>
    <t>MARIA ISABEL BURGOS GUERRERO 1</t>
  </si>
  <si>
    <t>LAA72/202601</t>
  </si>
  <si>
    <t>Jerez de la Frontera</t>
  </si>
  <si>
    <t>31245309Q</t>
  </si>
  <si>
    <t>C/ VIRGEN DE LA ESTRELLA Nº 1 3A JEREZ DE LA FRONTERA CÁDIZ 11405</t>
  </si>
  <si>
    <t>ES64 0049 4563 3226 1002 5443</t>
  </si>
  <si>
    <t>FRANCISCO JAVIER FERNANDEZ ORTEGA 1</t>
  </si>
  <si>
    <t>LAA77/202601</t>
  </si>
  <si>
    <t>Sevilla- Montoto</t>
  </si>
  <si>
    <t>48904508 E</t>
  </si>
  <si>
    <t>Calle Brasil n°12 2 a Sevilla 41013 Sevilla</t>
  </si>
  <si>
    <t>ES63 0128 0705 1201 0004 9801</t>
  </si>
  <si>
    <t>MARIA PAULA ROSALES SALAMANCA 2</t>
  </si>
  <si>
    <t>ISL122/202604</t>
  </si>
  <si>
    <t>MARIA  RUIZ JIMENEZ 1</t>
  </si>
  <si>
    <t>FRANCISCO MARTINEZ MADRID 2</t>
  </si>
  <si>
    <t>JOSE ALMAGRO MARMOL 1</t>
  </si>
  <si>
    <t>MANUEL FERNANDEZ GALLEGO 2</t>
  </si>
  <si>
    <t>RFV24/202601</t>
  </si>
  <si>
    <t>53606685X</t>
  </si>
  <si>
    <t>Carrer d'Azcàrraga 37, 1era València 46008 Valencia</t>
  </si>
  <si>
    <t>ES04 0182 4383 9002 0163 7140</t>
  </si>
  <si>
    <t>RAUL SORIA PINEL 2</t>
  </si>
  <si>
    <t>RFV15/202601</t>
  </si>
  <si>
    <t>Jean Franco Intrapendente Martini</t>
  </si>
  <si>
    <t>Y2299471Z</t>
  </si>
  <si>
    <t>C/ Vicente Chuliá Campos 1. B 6 C, Valencia 46026 Valencia</t>
  </si>
  <si>
    <t>SE07 9780 0000 0978 3836 0058</t>
  </si>
  <si>
    <t>IDALINA MUNNO 1</t>
  </si>
  <si>
    <t>ANTONIA HERNANDEZ GUERRERO 2</t>
  </si>
  <si>
    <t>GRACIELA CERON CORTAZAR 1</t>
  </si>
  <si>
    <t>C202541112259462</t>
  </si>
  <si>
    <t>MBM03/202602</t>
  </si>
  <si>
    <t>PILAR SANCHO HERNANDEZ 1</t>
  </si>
  <si>
    <t>LAA27/202601</t>
  </si>
  <si>
    <t>30249172D</t>
  </si>
  <si>
    <t>C/ Milano perlado nº 34 Sevilla 41020</t>
  </si>
  <si>
    <t>ES65 2100 3916 9001 0006 0143</t>
  </si>
  <si>
    <t>CONCEPCION QUINTERO MORENO 2</t>
  </si>
  <si>
    <t>LAA27/202602</t>
  </si>
  <si>
    <t>Madrid- Costa Rica</t>
  </si>
  <si>
    <t>ANTONIO HUALDE MIGUEL 2</t>
  </si>
  <si>
    <t>LRM246/202601</t>
  </si>
  <si>
    <t>María del Rocío Lobato</t>
  </si>
  <si>
    <t>45106044P</t>
  </si>
  <si>
    <t>CALLE SOL, DEL 1 TALAVERA DE LA REINA 45600</t>
  </si>
  <si>
    <t>ES05 2100 4264 2322 0022 3885</t>
  </si>
  <si>
    <t>JULIA ROBLEDO MARTIN 2</t>
  </si>
  <si>
    <t>RFV28/202601</t>
  </si>
  <si>
    <t>Celia Lopez Molla</t>
  </si>
  <si>
    <t>24367883G</t>
  </si>
  <si>
    <t>Calle Buen orden 7, 46008 Valencia</t>
  </si>
  <si>
    <t>ES16 2100 2764 7701 0006 0189</t>
  </si>
  <si>
    <t>SIEGFRIED JERATHE 2</t>
  </si>
  <si>
    <t>RFV28/202602</t>
  </si>
  <si>
    <t>MARIA ANGELES MONTESISNOS SANTOS 2</t>
  </si>
  <si>
    <t>CENTRO</t>
  </si>
  <si>
    <t>CodORL</t>
  </si>
  <si>
    <t>nombre medico</t>
  </si>
  <si>
    <t>Cod Paciente</t>
  </si>
  <si>
    <t>n de audifonos</t>
  </si>
  <si>
    <t>pvp</t>
  </si>
  <si>
    <t>Maika</t>
  </si>
  <si>
    <t>Audioplan</t>
  </si>
  <si>
    <t>Esteban Scola</t>
  </si>
  <si>
    <t>Antonia Flores Arranz</t>
  </si>
  <si>
    <t>pte</t>
  </si>
  <si>
    <t>Dionisio Fernandez Suarez</t>
  </si>
  <si>
    <t>Alicia Arrieta Juarez</t>
  </si>
  <si>
    <t>Elena Leon Suarez</t>
  </si>
  <si>
    <t>Carmen Olmo</t>
  </si>
  <si>
    <t>Guillermo Sanjuan De La Moreta</t>
  </si>
  <si>
    <t>Jose Luis Sanchez Sanchez</t>
  </si>
  <si>
    <t>Alejandro Zuazua</t>
  </si>
  <si>
    <t>Francisco de la Fuente Fuertes</t>
  </si>
  <si>
    <t>Entregado a Alejandro</t>
  </si>
  <si>
    <t>Ferrocarril</t>
  </si>
  <si>
    <t>Esther Garcia</t>
  </si>
  <si>
    <t>Carlos Haro Haro</t>
  </si>
  <si>
    <t>entregado a ester</t>
  </si>
  <si>
    <t>Joaquin Alacio</t>
  </si>
  <si>
    <t>Maria Azucena Zazo Hernandez</t>
  </si>
  <si>
    <t>entregado a J A</t>
  </si>
  <si>
    <t>Mes</t>
  </si>
  <si>
    <t>Mercè Cabrera (Cataluña Y Baleares)</t>
  </si>
  <si>
    <t>MCC43/202501</t>
  </si>
  <si>
    <t>Barcelona- Vilanova y Barcelona- Corcega</t>
  </si>
  <si>
    <t>44421845J</t>
  </si>
  <si>
    <t>Avenida 301 núm 32 1-1 Castelldefels Barcelona 8860</t>
  </si>
  <si>
    <t>ES69 2100 0276 1902 0076 9366</t>
  </si>
  <si>
    <t>JOSE ANGEL OLIVA BAZAN 2</t>
  </si>
  <si>
    <t>JOSEP MELLADO MAIQUEZ 2</t>
  </si>
  <si>
    <t>BVI-350</t>
  </si>
  <si>
    <t>BVI-310</t>
  </si>
  <si>
    <t>MCC07/202501</t>
  </si>
  <si>
    <t>Enric Cisa Lluis</t>
  </si>
  <si>
    <t>37321928N</t>
  </si>
  <si>
    <t>C/ Balmes 402-404  2 º 4 ª Barcelona Barcelona 8022</t>
  </si>
  <si>
    <t>ES95 2100 3363 1822 0006 6770</t>
  </si>
  <si>
    <t>ENCARNACIO MEZQUITA ANDRES 2</t>
  </si>
  <si>
    <t>HSP-183</t>
  </si>
  <si>
    <t>ISL91/202501</t>
  </si>
  <si>
    <t>PEDRO GARIJO MTNEZ 1</t>
  </si>
  <si>
    <t>ALB-963</t>
  </si>
  <si>
    <t>ISL122/202502</t>
  </si>
  <si>
    <t>JUAN FERNANDEZ ANDREU 2</t>
  </si>
  <si>
    <t>MARIA JESUS BARCELO CLEMARES 2</t>
  </si>
  <si>
    <t>MIGUEL ANGEL ROMERA MARIN 2</t>
  </si>
  <si>
    <t>MONICA ALEXANDRA SALAZAR SANCHEZ 2</t>
  </si>
  <si>
    <t>GERARDO KEVIN CHARLES 2</t>
  </si>
  <si>
    <t>PEDRO ROSELL BROCAL 2</t>
  </si>
  <si>
    <t>MARIA MUÑOZ LOZANO 2</t>
  </si>
  <si>
    <t>SANTOS RODRIGUEZ LOPEZ 2</t>
  </si>
  <si>
    <t>C2024121911307467,C202412210579993,C2024121918401162,C2025115113929824,MUR-838,MUR-1241,MUR-1840,MUR-1809,,</t>
  </si>
  <si>
    <t>C202412210579993</t>
  </si>
  <si>
    <t>C2024121918401162</t>
  </si>
  <si>
    <t>C2025115113929824</t>
  </si>
  <si>
    <t>MUR-838</t>
  </si>
  <si>
    <t>MUR-1241</t>
  </si>
  <si>
    <t>MUR-1840</t>
  </si>
  <si>
    <t>MUR-1809</t>
  </si>
  <si>
    <t>LAA31/202501</t>
  </si>
  <si>
    <t>Luis Fidel Nieto Hernandez</t>
  </si>
  <si>
    <t>28750004g</t>
  </si>
  <si>
    <t>Ramón y Cajal 54 Sevilla Sevilla 41005</t>
  </si>
  <si>
    <t>ES36 1465 0100 9117 0025 0690</t>
  </si>
  <si>
    <t>AURELIA VEGA CONEJERO 2</t>
  </si>
  <si>
    <t>C20241028183729336</t>
  </si>
  <si>
    <t>LAA09/202501</t>
  </si>
  <si>
    <t>Enrique Gómez Aldaz </t>
  </si>
  <si>
    <t>52542005t</t>
  </si>
  <si>
    <t>Avenida de la buhaira 30 portal 3 5 B Sevilla  Sevilla  41018</t>
  </si>
  <si>
    <t>ES20 0049 6192 1120 1612 9371</t>
  </si>
  <si>
    <t>FRANCISCO RODRIGUEZ RODRIGUEZ 2</t>
  </si>
  <si>
    <t>MANUEL SERVERA RODRIGUEZ 2</t>
  </si>
  <si>
    <t>FRANCISCO LOPEZ ROSILLO 2</t>
  </si>
  <si>
    <t>C202522016543251,C202547155653185,C202411269446308</t>
  </si>
  <si>
    <t>C202547155653185</t>
  </si>
  <si>
    <t>C202411269446308</t>
  </si>
  <si>
    <t>RPG51/202501</t>
  </si>
  <si>
    <t>C/ Hernan Cortés, 49 bajo Orense Orense 32005</t>
  </si>
  <si>
    <t>DANIEL CARID GONZALEZ 2</t>
  </si>
  <si>
    <t>MARIA GARCIA FERNANDEZ 2</t>
  </si>
  <si>
    <t>FRANCISCO CID QUIROGA 2</t>
  </si>
  <si>
    <t>JOSE ANTONIO SANTOS CASTRO 2</t>
  </si>
  <si>
    <t>CARMEN FERNANDEZ DORADO 2</t>
  </si>
  <si>
    <t>DEBORA RODRIGUEZ FERNANDEZ 2</t>
  </si>
  <si>
    <t>ALBERTO IGLESIAS PEREZ 2</t>
  </si>
  <si>
    <t>DELMIRO FERNANDEZ GONZALEZ 2</t>
  </si>
  <si>
    <t>MARIA FELISA GONZALEZ FREIR 2</t>
  </si>
  <si>
    <t>RAMON FERNANDEZ FERNANDEZ 2</t>
  </si>
  <si>
    <t>ANTONIO ALVAREZ ESTEVEZ 1</t>
  </si>
  <si>
    <t>ORS-286,ORS-289,ORS-297,ORS-309,ORS-348,ORS-356,ORS-367,ORS-363,ORS-340,ORS-398</t>
  </si>
  <si>
    <t>ORS-289</t>
  </si>
  <si>
    <t>ORS-297</t>
  </si>
  <si>
    <t>ORS-309</t>
  </si>
  <si>
    <t>ORS-348</t>
  </si>
  <si>
    <t>ORS-356</t>
  </si>
  <si>
    <t>ORS-367</t>
  </si>
  <si>
    <t>ORS-363</t>
  </si>
  <si>
    <t>ORS-340</t>
  </si>
  <si>
    <t>ORS-398</t>
  </si>
  <si>
    <t>RFV11/202501</t>
  </si>
  <si>
    <t>Valencia-Cádiz</t>
  </si>
  <si>
    <t>José Ramiro De León Lima </t>
  </si>
  <si>
    <t>Y5991797N</t>
  </si>
  <si>
    <t>Calle literato azorin 4,2,3 Valencia Valencia 45006</t>
  </si>
  <si>
    <t>ES18 0049 2307 7121 1492 8201</t>
  </si>
  <si>
    <t>ALICIA CORDERO BARBERO 2</t>
  </si>
  <si>
    <t>ISABEL BARBERO HIGUERA 1</t>
  </si>
  <si>
    <t>C2024917112351882,C2024107104222946</t>
  </si>
  <si>
    <t>C2024107104222946</t>
  </si>
  <si>
    <t>ISL53/202501</t>
  </si>
  <si>
    <t>Almeria</t>
  </si>
  <si>
    <t>Jose Luis Batlles Medina</t>
  </si>
  <si>
    <t>27236585P</t>
  </si>
  <si>
    <t>Paseo de Almeria, 11 Almería Almería 4001</t>
  </si>
  <si>
    <t>ES17 3058 0086 1527 2001 2653</t>
  </si>
  <si>
    <t>Manuel Escanez Garcia 2</t>
  </si>
  <si>
    <t>C2024911181519498</t>
  </si>
  <si>
    <t>MBM03/202502</t>
  </si>
  <si>
    <t>MARIA TERESA ORDOÑEZ DE CELIS 2</t>
  </si>
  <si>
    <t>C20241218143319166</t>
  </si>
  <si>
    <t>MBM114/202501</t>
  </si>
  <si>
    <t>Alcorcón</t>
  </si>
  <si>
    <t>modesto lafuente 56 3 centro derecha madrid madrid 28003</t>
  </si>
  <si>
    <t>ES65 1465 0100 9317 0895 4947</t>
  </si>
  <si>
    <t>JESUS CASTRO SEGUí 1</t>
  </si>
  <si>
    <t>MAL-752</t>
  </si>
  <si>
    <t>MBM153/202501</t>
  </si>
  <si>
    <t>Madrid- La Oca</t>
  </si>
  <si>
    <t>Maria Santillan</t>
  </si>
  <si>
    <t>51996570X</t>
  </si>
  <si>
    <t>Calle Játiva 4 portal I piso 4 A Madrid Madrid 28007</t>
  </si>
  <si>
    <t>ES41 2100 3444 3913 0015 1953</t>
  </si>
  <si>
    <t>FRANCISCO RUIZ VENTURA 2</t>
  </si>
  <si>
    <t>JUANA MANSILLA SANZ 2</t>
  </si>
  <si>
    <t>OCA-1501,OCA-1501</t>
  </si>
  <si>
    <t>OCA-1501</t>
  </si>
  <si>
    <t>MCC32/202501</t>
  </si>
  <si>
    <t>Barcelona- Vilanova</t>
  </si>
  <si>
    <t>Xavier Gonzalez Compta</t>
  </si>
  <si>
    <t>Pedrell 39 Barcelona Barcelona 8032</t>
  </si>
  <si>
    <t>ES12 0182 4383 9702 0155 7404</t>
  </si>
  <si>
    <t>MARGARIDA PARELLADA GARCIA 2</t>
  </si>
  <si>
    <t>GUILLERMINA SANZ SANZ 2</t>
  </si>
  <si>
    <t>BVI-299,BVI-250</t>
  </si>
  <si>
    <t>BVI-250</t>
  </si>
  <si>
    <t>LAA64/202501</t>
  </si>
  <si>
    <t>25595289S</t>
  </si>
  <si>
    <t>C/ Pasaje Mallol 11. Casa 6 Sevilla Sevilla 41003</t>
  </si>
  <si>
    <t>ES49 0075 3045 0307 0081 1040</t>
  </si>
  <si>
    <t>LUIS GONZALEZ TAMARIT 2</t>
  </si>
  <si>
    <t>C2024111818228440,</t>
  </si>
  <si>
    <t>MCC38/202501</t>
  </si>
  <si>
    <t>Barcelona- Fabra i Puig</t>
  </si>
  <si>
    <t>53579391V</t>
  </si>
  <si>
    <t>Paseo Valle Hebron, 58 Barcelona Barcelona 8023</t>
  </si>
  <si>
    <t>ES20 0182 7269 3002 0171 7040</t>
  </si>
  <si>
    <t>MARIA DEL CARMEN JUAN ESCRICH 1</t>
  </si>
  <si>
    <t>SIMONA BLANCO SANCHEZ 2</t>
  </si>
  <si>
    <t>BFA-62,BFA-20</t>
  </si>
  <si>
    <t>BFA-20</t>
  </si>
  <si>
    <t>RFV33/202501</t>
  </si>
  <si>
    <t>Paula Martínez Ruiz de Apodaca</t>
  </si>
  <si>
    <t>Avda. José Roca Coll 1, bloque B, 7ºC Valencia Valencia 46014</t>
  </si>
  <si>
    <t>VICENTE HERRERO GARCIA 1</t>
  </si>
  <si>
    <t>JOSE MONTESINOS SAEZ 2</t>
  </si>
  <si>
    <t>C2024121992818633,C20241128112759711</t>
  </si>
  <si>
    <t>C20241128112759711</t>
  </si>
  <si>
    <t>MBM20/202501</t>
  </si>
  <si>
    <t>X5138470V</t>
  </si>
  <si>
    <t>Vandergoten, 8, 6A MADRIDMadrid 28014</t>
  </si>
  <si>
    <t>ES46 0081 0664 9200 0154 4256</t>
  </si>
  <si>
    <t>MARCELINO ESCALONA JUAREZ 2</t>
  </si>
  <si>
    <t>MERCEDES RODRIGUEZ DE CASTRO 2</t>
  </si>
  <si>
    <t>RAFAELA VECINO MAYOR 2</t>
  </si>
  <si>
    <t>VISITACION MARTINEZ ANDRES 2</t>
  </si>
  <si>
    <t>ANGELA LUIS NIEVA 2</t>
  </si>
  <si>
    <t>EUSEBIO MORENO VICARIO 2</t>
  </si>
  <si>
    <t>ISABEL MARTIN GOMEZ 1</t>
  </si>
  <si>
    <t>MARTIN LOPEZ SOTO 2</t>
  </si>
  <si>
    <t>OCA-745,OCA-1194,OCA-712,OCA-763,C2024927132146546,OCA-1487,OCA-1436,C2024917124045108</t>
  </si>
  <si>
    <t>OCA-1194</t>
  </si>
  <si>
    <t>OCA-712</t>
  </si>
  <si>
    <t>OCA-763</t>
  </si>
  <si>
    <t>C2024927132146546</t>
  </si>
  <si>
    <t>OCA-1487</t>
  </si>
  <si>
    <t>OCA-1436</t>
  </si>
  <si>
    <t>C2024917124045108</t>
  </si>
  <si>
    <t>MBM60/202501</t>
  </si>
  <si>
    <t>Juan Ignacio Riestra Ayora</t>
  </si>
  <si>
    <t>71653152X</t>
  </si>
  <si>
    <t>calle de Maldonado 71 3A MadridMadrid 28006</t>
  </si>
  <si>
    <t>ES16 2103 7003 5300 3004 6283</t>
  </si>
  <si>
    <t>JACINTO CRUZ RUS 1</t>
  </si>
  <si>
    <t>AURORA SERRANO MORALES 2</t>
  </si>
  <si>
    <t>JUAN MANUEL HIDALGO VAZQUEZ 2</t>
  </si>
  <si>
    <t>CONSTANTINO RUIZ MOYA 2</t>
  </si>
  <si>
    <t>C20249411957492,MGE-197,MGE-149,C2024122121322358</t>
  </si>
  <si>
    <t>MGE-197</t>
  </si>
  <si>
    <t>MGE-149</t>
  </si>
  <si>
    <t>C2024122121322358</t>
  </si>
  <si>
    <t>MBM109/202501</t>
  </si>
  <si>
    <t>Calle Eduardo Haro Tecglen 9, 3C MadridMadrid 28055</t>
  </si>
  <si>
    <t>MARIA ANGELES FERNANDEZ VILLANUEVA 1</t>
  </si>
  <si>
    <t>C20241031162736884</t>
  </si>
  <si>
    <t>ISL104/202501</t>
  </si>
  <si>
    <t>El Albir (Benidorm)</t>
  </si>
  <si>
    <t>25123764J</t>
  </si>
  <si>
    <t>Avenida Cortes Valencianas Número 6 Bloque B Altea Alicante 3590</t>
  </si>
  <si>
    <t>ES38 0030 3034 2503 2200 0273</t>
  </si>
  <si>
    <t>DOMINGO  GALLEGO GARCIA 2</t>
  </si>
  <si>
    <t>C20241224102857904</t>
  </si>
  <si>
    <t>MCC12/202501</t>
  </si>
  <si>
    <t>31914154K</t>
  </si>
  <si>
    <t>Carrer Josep Estivill, 75. 1-3 Barcelona Barcelona 8027</t>
  </si>
  <si>
    <t>ES54 0182 4383 9202 0161 2280</t>
  </si>
  <si>
    <t>MARIA MOYANO ORDOÑEZ 2</t>
  </si>
  <si>
    <t>HSP-130</t>
  </si>
  <si>
    <t>MBM131/202501</t>
  </si>
  <si>
    <t>Vaguada</t>
  </si>
  <si>
    <t>75265831X</t>
  </si>
  <si>
    <t>CALLE SAN BERNARDO 124 1 IZQUIERDA MADRIDMadrid 28015</t>
  </si>
  <si>
    <t>ES97 0128 5259 5701 0002 5312</t>
  </si>
  <si>
    <t>FRANCISCO PEDRAZ ANDRES 2</t>
  </si>
  <si>
    <t>ISIDORO JIMENEZ BLAZQUEZ 2</t>
  </si>
  <si>
    <t>VAG-5397</t>
  </si>
  <si>
    <t>C20241217182425568</t>
  </si>
  <si>
    <t>RFV15/202501</t>
  </si>
  <si>
    <t>C/ Vicente Chuliá Campos 1. B 6 C, ValenciaValencia 46026</t>
  </si>
  <si>
    <t>ES42 2100 1264 7802 0032 4905</t>
  </si>
  <si>
    <t>JESUS VILLAR ALVAREZ 2</t>
  </si>
  <si>
    <t>C20251241223661</t>
  </si>
  <si>
    <t>MBM03/202503</t>
  </si>
  <si>
    <t>Madrid- Costa Rica y Madrid- Madrid- Monforte de Lemos de Lemos</t>
  </si>
  <si>
    <t>05204071 E</t>
  </si>
  <si>
    <t>C/Norte 35, Urb. Sto.Domingo AlgeteMadrid 28120</t>
  </si>
  <si>
    <t>CARMEN GALAN MIGUEL 2</t>
  </si>
  <si>
    <t>LUIS MARIA BENITO DE SANZ 2</t>
  </si>
  <si>
    <t>C202512795336841,C2025115113626365</t>
  </si>
  <si>
    <t>C2025115113626365</t>
  </si>
  <si>
    <t>LAA09/202502</t>
  </si>
  <si>
    <t>Avenida de la buhaira 30 portal 3 5 B Sevilla Sevilla 41018</t>
  </si>
  <si>
    <t>MARIANO GALAN LUENGO 2</t>
  </si>
  <si>
    <t>MARIA ROSARIO BARCOS RIPOLLÉS 1</t>
  </si>
  <si>
    <t>C202522016543251,C202412510526166</t>
  </si>
  <si>
    <t>C202412510526166</t>
  </si>
  <si>
    <t>ISL122/202503</t>
  </si>
  <si>
    <t>MARIA ANGELES SALINAS VELAZQUEZ 2</t>
  </si>
  <si>
    <t>ANDREA VENTURA RUIZ 2</t>
  </si>
  <si>
    <t>C202412261718823,MUR-1837</t>
  </si>
  <si>
    <t>MUR-1837</t>
  </si>
  <si>
    <t>MBM187/202501</t>
  </si>
  <si>
    <t>Y6140100B</t>
  </si>
  <si>
    <t>Paseo de pontones 43, 3C Madrid 28005</t>
  </si>
  <si>
    <t>ES67 0049 2662 9123 1433 3702</t>
  </si>
  <si>
    <t>CESAR DEL ALAMO BARRAS 2</t>
  </si>
  <si>
    <t>JOSE RAFAEL LABRADOR RECIO 2</t>
  </si>
  <si>
    <t>C202524192528978,C2024112710520472</t>
  </si>
  <si>
    <t>C2024112710520472</t>
  </si>
  <si>
    <t>LRM125/202501</t>
  </si>
  <si>
    <t>ISABEL VALVERDE CALE 2</t>
  </si>
  <si>
    <t>MIRTA ASUSENA AGUIRRE 2</t>
  </si>
  <si>
    <t>MIGUEL MORALEDA SOLANO 2</t>
  </si>
  <si>
    <t>PURIFICACION CALVO GUTIERREZ 2</t>
  </si>
  <si>
    <t>MARIO MORENO GONZALEZ 2</t>
  </si>
  <si>
    <t>JAVIER GARCIA CUESTA 2</t>
  </si>
  <si>
    <t>LUIS MORENO OTERO 2</t>
  </si>
  <si>
    <t>TAL-10,TAL-55,TAL-74,TAL-63,TAL-84,TAL-129,TAL-120,</t>
  </si>
  <si>
    <t>TAL-55</t>
  </si>
  <si>
    <t>TAL-74</t>
  </si>
  <si>
    <t>TAL-63</t>
  </si>
  <si>
    <t>TAL-84</t>
  </si>
  <si>
    <t>TAL-129</t>
  </si>
  <si>
    <t>TAL-120</t>
  </si>
  <si>
    <t>ISL91/202502</t>
  </si>
  <si>
    <t>C/ San Carlos, 13, 2ºC.30003 Murcia</t>
  </si>
  <si>
    <t>JOSÉ AGUSTIN CLEMENTE MARTÍNEZ 1</t>
  </si>
  <si>
    <t>C202531216280481</t>
  </si>
  <si>
    <t>MBM03/202504</t>
  </si>
  <si>
    <t>C/Norte 35, Urb. Sto. Domingo Algete Madrid 28120</t>
  </si>
  <si>
    <t>FRANCISCO CANO HUELVES 1</t>
  </si>
  <si>
    <t>C202522415322175</t>
  </si>
  <si>
    <t>MBM186/202501</t>
  </si>
  <si>
    <t>C/ Blas Cabrera,1-13 Boadilla del Monte 28660</t>
  </si>
  <si>
    <t>FELIX GABRIEL PALACIOS GUERRERO 2</t>
  </si>
  <si>
    <t>JESUS ORTEGA NIETO 2</t>
  </si>
  <si>
    <t>C2024111418454683,C2025313181155435</t>
  </si>
  <si>
    <t>C2025313181155435</t>
  </si>
  <si>
    <t>MBM11/202501</t>
  </si>
  <si>
    <t>Getafe, Madrid- Monforte de Lemos de Lemos, Madrid- Moratalaz  y Madrid- Juan Bravo</t>
  </si>
  <si>
    <t>ANGEL ALBERTOS AGUILAR 1</t>
  </si>
  <si>
    <t>BLANCA GARCIA CRIADO 2</t>
  </si>
  <si>
    <t>ELEAZAR HERVAS OLIVARES 1</t>
  </si>
  <si>
    <t>FELICIANA HERVAS GILO 2</t>
  </si>
  <si>
    <t>FLORENCIO JOSE TEJERO GARCIA 2</t>
  </si>
  <si>
    <t>INMACULADA TASCON GONZALEZ 2</t>
  </si>
  <si>
    <t>JOSE HERRERO DIEZ 1</t>
  </si>
  <si>
    <t>MARIA CRUZ RODRIGUEZ DIEZ 2</t>
  </si>
  <si>
    <t>MARIA ELOISA DEL ROSARIO MINGUEZ ALARCON 1</t>
  </si>
  <si>
    <t>MARIA MILAGROS OLGA GONZALEZ LAHERA 1</t>
  </si>
  <si>
    <t>RAQUEL JIMENEZ BOLIVAR 1</t>
  </si>
  <si>
    <t>ISL95/202501</t>
  </si>
  <si>
    <t>Blanca María Martínez Duro</t>
  </si>
  <si>
    <t>47085120A</t>
  </si>
  <si>
    <t>C/Joaquin Quijada 51 2004 Albacete</t>
  </si>
  <si>
    <t>ES07 3190 0090 7446 3477 2828</t>
  </si>
  <si>
    <t>TERESA PASTOR PLAZA 1</t>
  </si>
  <si>
    <t>C20252392436772</t>
  </si>
  <si>
    <t>MBM24/202501</t>
  </si>
  <si>
    <t>Fernando García Alcantara</t>
  </si>
  <si>
    <t>52861359E</t>
  </si>
  <si>
    <t>C/ Arcaute 25, 1º D Madrid 28022</t>
  </si>
  <si>
    <t>ES38 2100 3067 7013 0009 5133</t>
  </si>
  <si>
    <t>CARMEN SANTOS DEL RIO 1</t>
  </si>
  <si>
    <t>Margarita Villar 2</t>
  </si>
  <si>
    <t>ALVARA SANCHEZ SANDOVAL 2</t>
  </si>
  <si>
    <t>VAG-5013,MTJ-229,MTJ-135MTJ-229,MTJ-135</t>
  </si>
  <si>
    <t>MTJ-229</t>
  </si>
  <si>
    <t>MTJ-135</t>
  </si>
  <si>
    <t>ISL104/202502</t>
  </si>
  <si>
    <t>Avenida Cortes Valencianas Número 6 Bloque B Altea 3590 Alicante</t>
  </si>
  <si>
    <t>SABRINA ORTS MESTRE 1</t>
  </si>
  <si>
    <t>VICENTE ANTONIO LLORET LLINARES 2</t>
  </si>
  <si>
    <t>C202533161053724,C20252261641078</t>
  </si>
  <si>
    <t>C20252261641078</t>
  </si>
  <si>
    <t>MBM40/202501</t>
  </si>
  <si>
    <t>00822277G</t>
  </si>
  <si>
    <t>C/ comunidad valenciana 53 28691 Madrid</t>
  </si>
  <si>
    <t>ES47 0182 5322 2902 0398 2873</t>
  </si>
  <si>
    <t>ANGELES VALERO ATANZE 2</t>
  </si>
  <si>
    <t>MANUEL MONDEJAR SALCEDO 2</t>
  </si>
  <si>
    <t>OCA-1138,OCA-1389</t>
  </si>
  <si>
    <t>OCA-1389</t>
  </si>
  <si>
    <t>RFV15/202502</t>
  </si>
  <si>
    <t>C/ Vicente Chuliá Campos 1. B 6 C, Valencia 46026</t>
  </si>
  <si>
    <t>JIANQING WANG 1</t>
  </si>
  <si>
    <t>MARIA PEREZ SANCHEZ 2</t>
  </si>
  <si>
    <t>EMILIA BENEYTO MELIA 1</t>
  </si>
  <si>
    <t>C2024122411582318,C202412912145720,C202531712235115</t>
  </si>
  <si>
    <t>C202412912145720</t>
  </si>
  <si>
    <t>C202531712235115</t>
  </si>
  <si>
    <t>LAA64/202502</t>
  </si>
  <si>
    <t>C/ Pasaje Mallol 11. Casa 6 Sevilla 41003 Sevilla</t>
  </si>
  <si>
    <t>ISABEL NIETO ALEGRE 2</t>
  </si>
  <si>
    <t>ISABEL MIRANDA CANO 2</t>
  </si>
  <si>
    <t>ROSARIO MATEOS ACOSTA 2</t>
  </si>
  <si>
    <t>C2025226122555530,C202537113048231,SMO-92</t>
  </si>
  <si>
    <t>C202537113048231</t>
  </si>
  <si>
    <t>SMO-92</t>
  </si>
  <si>
    <t>LRM246/202501</t>
  </si>
  <si>
    <t>Elias Urdiales Redondo 2</t>
  </si>
  <si>
    <t>C20241114112059902</t>
  </si>
  <si>
    <t>RPG51/202502</t>
  </si>
  <si>
    <t>VICENTE FAILDE FERNANDEZ 1</t>
  </si>
  <si>
    <t>MANUEL SALGUEIROS ALVAREZ 1</t>
  </si>
  <si>
    <t>C202512212136169,C202531116110349</t>
  </si>
  <si>
    <t>C202531116110349</t>
  </si>
  <si>
    <t>MCC50/202501</t>
  </si>
  <si>
    <t>Hospitalet</t>
  </si>
  <si>
    <t>47272346D</t>
  </si>
  <si>
    <t>C/ Sant Lluc 4 Premià de Mar 8330</t>
  </si>
  <si>
    <t>ES54 0182 4383 9502 0184 0762</t>
  </si>
  <si>
    <t>MARI LUZ GARCIA PUYO 2</t>
  </si>
  <si>
    <t>C20247319048537</t>
  </si>
  <si>
    <t>RPG31/202501</t>
  </si>
  <si>
    <t>Rafael Hurtado</t>
  </si>
  <si>
    <t>54672836L</t>
  </si>
  <si>
    <t>Calle progreso 99. 3A. 32003 Orense</t>
  </si>
  <si>
    <t>ES38 0049 5230 9627 1733 5445</t>
  </si>
  <si>
    <t>MIGUEL ANGEL LOPEZ MAURICIO 2</t>
  </si>
  <si>
    <t>VIG-540</t>
  </si>
  <si>
    <t>MBM75/202501</t>
  </si>
  <si>
    <t>Raimundo Gómez-Blasi Camacho</t>
  </si>
  <si>
    <t>48693787G</t>
  </si>
  <si>
    <t>Juan Bautista Monegro 10 28850 Torrejon de Ardoz Madrid</t>
  </si>
  <si>
    <t>ES75 0239 0806 7800 5506 5122</t>
  </si>
  <si>
    <t>Josefa Menendez 2</t>
  </si>
  <si>
    <t>MARIA LUISA RAMIREZ GARCÍA 2</t>
  </si>
  <si>
    <t>C2024101175847739,C2025319111757105</t>
  </si>
  <si>
    <t>C2025319111757105</t>
  </si>
  <si>
    <t>ISL91/202503</t>
  </si>
  <si>
    <t>LOURDES PINAR CUARTERO 1</t>
  </si>
  <si>
    <t>C202537164450420</t>
  </si>
  <si>
    <t>RPG51/202503</t>
  </si>
  <si>
    <t>Soledad Luguero 2</t>
  </si>
  <si>
    <t>CARMEN PEREZ TOUBES 2</t>
  </si>
  <si>
    <t>JOSEFA REINOSO CANGADO 2</t>
  </si>
  <si>
    <t>DIGNA GOMEZ GRANDE 2</t>
  </si>
  <si>
    <t>EMILIO NUÑEZ MARTINEZ 2</t>
  </si>
  <si>
    <t>JOSEFA BRETAÑA PROL 1</t>
  </si>
  <si>
    <t>Jose Feijoo Iglesias 2</t>
  </si>
  <si>
    <t>consuelo Alvarez Vazquez 1</t>
  </si>
  <si>
    <t>C20241227105840801,C202541101629813,C2025310131050525,C202532111406504,C202532616048587,C202537125118614,C202532416722666,C202531111363421</t>
  </si>
  <si>
    <t>C202541101629813</t>
  </si>
  <si>
    <t>C2025310131050525</t>
  </si>
  <si>
    <t>C202532111406504</t>
  </si>
  <si>
    <t>C202532616048587</t>
  </si>
  <si>
    <t>C202537125118614</t>
  </si>
  <si>
    <t>C202532416722666</t>
  </si>
  <si>
    <t>C202531111363421</t>
  </si>
  <si>
    <t>MBM109/202502</t>
  </si>
  <si>
    <t>MARIA CARMEN MOLINERO RUPEREZ 2</t>
  </si>
  <si>
    <t>C202525165212977</t>
  </si>
  <si>
    <t>MBM41/202501</t>
  </si>
  <si>
    <t>Madrid- Juan Bravo, Madrid-Costa Rica</t>
  </si>
  <si>
    <t>00832600T</t>
  </si>
  <si>
    <t>Don Ramón de la Cruz 20 5 I Madrid 28001</t>
  </si>
  <si>
    <t>ES18 0030 8112 1900 0000 6272</t>
  </si>
  <si>
    <t>YOLANDA DIAZ MARTIN 1 cr</t>
  </si>
  <si>
    <t>PETRA CABELLOS MARTINEZ 2 Md Jb</t>
  </si>
  <si>
    <t>BERNARDO MORENO CARRILLO 2 Md Jb</t>
  </si>
  <si>
    <t>PIO-11304,JBR-1686,C202525105521192</t>
  </si>
  <si>
    <t>JBR-1686</t>
  </si>
  <si>
    <t>C202525105521192</t>
  </si>
  <si>
    <t>MBM125/202501</t>
  </si>
  <si>
    <t>Fuenlabrada</t>
  </si>
  <si>
    <t>Itziar Alvarez Palacios</t>
  </si>
  <si>
    <t>48444820N</t>
  </si>
  <si>
    <t>C/ Jorge Juan 139, 1D 28028 Madrid</t>
  </si>
  <si>
    <t>ES33 0182 4001 0602 0156 6520</t>
  </si>
  <si>
    <t>MARIA ASUNCION BERNAT FERNANDEZ 2 fl</t>
  </si>
  <si>
    <t>TEODORA ALCAIDE GONZALEZ 2 mst</t>
  </si>
  <si>
    <t>SASHO IVANOV 1</t>
  </si>
  <si>
    <t>C202525103535787,C202531310656790,C20251139655355</t>
  </si>
  <si>
    <t>C202531310656790</t>
  </si>
  <si>
    <t>C20251139655355</t>
  </si>
  <si>
    <t>LRM220/202501</t>
  </si>
  <si>
    <t>13339545M</t>
  </si>
  <si>
    <t>Calle Varsovia, 19 Talavera dela Reina Toledo 45600</t>
  </si>
  <si>
    <t>ES16 0049 2178 5224 1400 7182</t>
  </si>
  <si>
    <t>MARIA LUZ LAGARTERA GOMEZ 1</t>
  </si>
  <si>
    <t>ENRIQUE SANCHEZ MUÑOZ 1</t>
  </si>
  <si>
    <t>SALVADOR AGUILAR GARCIA DE LAS HIJAS 2</t>
  </si>
  <si>
    <t>C2025117104426138,TAL-116,C20254785434864</t>
  </si>
  <si>
    <t>TAL-116</t>
  </si>
  <si>
    <t>C20254785434864</t>
  </si>
  <si>
    <t>MCC06/202501</t>
  </si>
  <si>
    <t>38483643C</t>
  </si>
  <si>
    <t>C/ Calabria 106 Barcelona  08015</t>
  </si>
  <si>
    <t>ES48 0182 4383 9302 0800 0468</t>
  </si>
  <si>
    <t>MIGUEL PRATS ESTEVE 2</t>
  </si>
  <si>
    <t>BCOR-106</t>
  </si>
  <si>
    <t>MBM75/202502</t>
  </si>
  <si>
    <t>JOSEFA TENA VALDIVIA 2</t>
  </si>
  <si>
    <t>C202531310345895</t>
  </si>
  <si>
    <t>MBM11/202502</t>
  </si>
  <si>
    <t>MARIA CONCEPCION CABRERA AGUDO 2</t>
  </si>
  <si>
    <t>C202532511356291</t>
  </si>
  <si>
    <t>MBM03/202505</t>
  </si>
  <si>
    <t>Madrid- Juan Bravo, Madrid- Monforte de Lemos</t>
  </si>
  <si>
    <t>CONSUELO ZARATE GALLEGO M JB 2</t>
  </si>
  <si>
    <t>MARIA ANGELES SANCHEZ SEGOVIA 2 Mf</t>
  </si>
  <si>
    <t>VENANCIA GONZALEZ RODRIGUEZ 2 Gal</t>
  </si>
  <si>
    <t>C20253281052260,C202523152357478,C202541182722744</t>
  </si>
  <si>
    <t>C202523152357478</t>
  </si>
  <si>
    <t>C202541182722744</t>
  </si>
  <si>
    <t>MBM40/202502</t>
  </si>
  <si>
    <t>MARIA DOLORES CESPEDES RUBIO 1</t>
  </si>
  <si>
    <t>C202542112951685</t>
  </si>
  <si>
    <t>RFV15/202503</t>
  </si>
  <si>
    <t>LRM246/202502</t>
  </si>
  <si>
    <t>MARIA JESUS VAZQUEZ JIMENEZ 1</t>
  </si>
  <si>
    <t>C2025411226184</t>
  </si>
  <si>
    <t>LAA09/202503</t>
  </si>
  <si>
    <t>Sevilla- Ciencias</t>
  </si>
  <si>
    <t>Avenida de la buhaira 30 portal 3 5 B Sevilla 41018</t>
  </si>
  <si>
    <t>JOSE MARIA AGUADO MARTINEZ 2</t>
  </si>
  <si>
    <t>SEVE-385</t>
  </si>
  <si>
    <t>MBM114/202502</t>
  </si>
  <si>
    <t>modesto lafuente 56 3 centro derecha Madrid 28003</t>
  </si>
  <si>
    <t>LONGINA MORENO GARZON 2</t>
  </si>
  <si>
    <t>C2025312121831214</t>
  </si>
  <si>
    <t>MCC07/202502</t>
  </si>
  <si>
    <t>Hospitalet de Llobregat, Barcelona- Corcega</t>
  </si>
  <si>
    <t>C/ Balmes 402-404 2 º 4 ª Barcelona 08022</t>
  </si>
  <si>
    <t>ES95 2100 3363 1822 0006 6770</t>
  </si>
  <si>
    <t>MIGUEL FUERTES ESCRICHE Ht</t>
  </si>
  <si>
    <t>ANA MARIA ROIG MARI Cg 2</t>
  </si>
  <si>
    <t>C20252189810642,C202532612250205</t>
  </si>
  <si>
    <t>C202532612250205</t>
  </si>
  <si>
    <t>MBM20/202502</t>
  </si>
  <si>
    <t>Vandergoten, 8, 6A Madrid 28014</t>
  </si>
  <si>
    <t>JUAN ABANADES BENITO 1</t>
  </si>
  <si>
    <t>C202535104543545</t>
  </si>
  <si>
    <t>RFV33/202502</t>
  </si>
  <si>
    <t>ROSARIO SALCEDO ORTEGA 1</t>
  </si>
  <si>
    <t>C2025320162550143</t>
  </si>
  <si>
    <t>MBM60/202502</t>
  </si>
  <si>
    <t>calle de Maldonado 71 3A Madrid 28006</t>
  </si>
  <si>
    <t>MARIA MARCO PEINADO 2</t>
  </si>
  <si>
    <t>C202533193254143</t>
  </si>
  <si>
    <t>RFV11/202502</t>
  </si>
  <si>
    <t>José Ramiro De León Lima</t>
  </si>
  <si>
    <t>Calle literato azorin 4,2,3 Valencia 45006</t>
  </si>
  <si>
    <t>EMPAR DE LANUZA HURTADO 2</t>
  </si>
  <si>
    <t>JOSE SANCHIS TROBAT 2</t>
  </si>
  <si>
    <t>MIGUEL GARCIA RUIZ 1</t>
  </si>
  <si>
    <t>C20254715111937,C2025325122735477,C202518103353476</t>
  </si>
  <si>
    <t>C2025325122735477</t>
  </si>
  <si>
    <t>C202518103353476</t>
  </si>
  <si>
    <t>MCC27/202501</t>
  </si>
  <si>
    <t>Bercelona- Vilanova</t>
  </si>
  <si>
    <t>46535783K</t>
  </si>
  <si>
    <t>ILDEFONS CERDÀ, 58-60 3º 3ª San Pere de Ribes Barcelona 08810</t>
  </si>
  <si>
    <t>ES51 0182 2815 1202 0150 5407</t>
  </si>
  <si>
    <t>SEBASTIA CASES MILLAN 2</t>
  </si>
  <si>
    <t>BVI-371</t>
  </si>
  <si>
    <t>ISL14/202501</t>
  </si>
  <si>
    <t>Carlos velasquez fermin</t>
  </si>
  <si>
    <t>60348807G</t>
  </si>
  <si>
    <t>Avenida Jose Jornet Navarro,01 Esc 13 Piso 2 Dere Alicante 3005</t>
  </si>
  <si>
    <t>ES33 0049 4240 4423 1425 8590</t>
  </si>
  <si>
    <t>MARGARET LUCY CLACHER 2</t>
  </si>
  <si>
    <t>FRANCISCO SANCHEZ FERNANDEZ 2</t>
  </si>
  <si>
    <t>JUAN TERRONES INBERNOM 1</t>
  </si>
  <si>
    <t>C202522016428508</t>
  </si>
  <si>
    <t>BNI-222</t>
  </si>
  <si>
    <t>C2024724105524682</t>
  </si>
  <si>
    <t>ISL136/202501</t>
  </si>
  <si>
    <t>Z1176020N</t>
  </si>
  <si>
    <t>JACQUELINE MELVILLE 2</t>
  </si>
  <si>
    <t>ANTONIO VILAR ALVAREZ 2</t>
  </si>
  <si>
    <t>C20241230104550278</t>
  </si>
  <si>
    <t>C20241021145759644</t>
  </si>
  <si>
    <t>ISL14/202502</t>
  </si>
  <si>
    <t>Avenida Jose Jornet Navarro,01 Esc 13 Piso 2 Dere Alicante 3006</t>
  </si>
  <si>
    <t>ES33 0049 4240 4423 1425 8591</t>
  </si>
  <si>
    <t>RAMON MNL PLCS 2</t>
  </si>
  <si>
    <t>LRM125/202502</t>
  </si>
  <si>
    <t>MARÍA DEL PRADO JIMENEZ BLANCO 1</t>
  </si>
  <si>
    <t>PEDRO SANCHEZ MARTIN 2</t>
  </si>
  <si>
    <t>C2025559032454</t>
  </si>
  <si>
    <t>C2025513111916844</t>
  </si>
  <si>
    <t>MBM03/202506</t>
  </si>
  <si>
    <t>MARIA DEL CARMEN MARTINEZ BRELL 2</t>
  </si>
  <si>
    <t>C20255512337333</t>
  </si>
  <si>
    <t>MBM186/202502</t>
  </si>
  <si>
    <t>DAVID FLORES BARRIGA 2</t>
  </si>
  <si>
    <t>C2025430171017606</t>
  </si>
  <si>
    <t>MBM11/202503</t>
  </si>
  <si>
    <t>Madrid- Moratalaz</t>
  </si>
  <si>
    <t>CARMEN GARCIA TOLOBA 2</t>
  </si>
  <si>
    <t>C202551312215598</t>
  </si>
  <si>
    <t>ISL95/202502</t>
  </si>
  <si>
    <t>ES07 3190 0090 74463477 2828</t>
  </si>
  <si>
    <t>FRANCISCO MOLLA BAÑON 1</t>
  </si>
  <si>
    <t>C2025122105841733</t>
  </si>
  <si>
    <t>MBM109/202503</t>
  </si>
  <si>
    <t>VISITACION SANCHEZ VALLADARES PEDRAZA 2</t>
  </si>
  <si>
    <t>ISIDORA ESCRIBANO MARTINEZ 2</t>
  </si>
  <si>
    <t>C202544111746204,C202542416422541</t>
  </si>
  <si>
    <t>C202542416422541</t>
  </si>
  <si>
    <t>MBM20/202503</t>
  </si>
  <si>
    <t>JOSEFA HERNANDEZ SANCHEZ 2</t>
  </si>
  <si>
    <t>FRANCISCA FERNANDEZ CASTELLANOS 2</t>
  </si>
  <si>
    <t>ANA MARIA LINDEZ MARTINEZ 2</t>
  </si>
  <si>
    <t>C20254316290829,C202543115411107,C20241120161651439</t>
  </si>
  <si>
    <t>C202543115411107</t>
  </si>
  <si>
    <t>C20241120161651439</t>
  </si>
  <si>
    <t>ISL122/202504</t>
  </si>
  <si>
    <t>SONIA MARTINEZ MARTINEZ 2</t>
  </si>
  <si>
    <t>JOSEFA ROS BELTRAN 2</t>
  </si>
  <si>
    <t>JUAN CARAVACA BOTÍAS 1</t>
  </si>
  <si>
    <t>C202532516432291,C202557183244726,MUR-1968</t>
  </si>
  <si>
    <t>C202557183244726</t>
  </si>
  <si>
    <t>MUR-1968</t>
  </si>
  <si>
    <t>MBM40/202503</t>
  </si>
  <si>
    <t>Madrid- Madrid- Monforte de Lemos de Lemos</t>
  </si>
  <si>
    <t>VICTORINO OLLOQUI GARCIA 2</t>
  </si>
  <si>
    <t>C202558162243855</t>
  </si>
  <si>
    <t>RFV15/202504</t>
  </si>
  <si>
    <t>FRANCISCO TARREGA GONZALEZ 2</t>
  </si>
  <si>
    <t>VICENTE FERRER PILES 1</t>
  </si>
  <si>
    <t>C20254149410566,C202541182926561</t>
  </si>
  <si>
    <t>C202541182926561</t>
  </si>
  <si>
    <t>RFV11/202503</t>
  </si>
  <si>
    <t>José Ramiro de León Lima </t>
  </si>
  <si>
    <t>FELIPE PEREZ NOVELLA 2</t>
  </si>
  <si>
    <t>C202542310580896</t>
  </si>
  <si>
    <t>MBM60/202503</t>
  </si>
  <si>
    <t>LONASIN SL [MARIA MARCO PEINADO] 2</t>
  </si>
  <si>
    <t>RPG51/202504</t>
  </si>
  <si>
    <t>TERESA ROMERO VASQUEZ 2</t>
  </si>
  <si>
    <t>CARMEN PIÑIERO CONDE 2</t>
  </si>
  <si>
    <t>FERNANDO BLANCO GONZALEZ 2</t>
  </si>
  <si>
    <t>CONSUELO SUAREZ VAZQUEZ 1</t>
  </si>
  <si>
    <t>C20253141012518,C202543016459972,C2025591271264,C202531111363421</t>
  </si>
  <si>
    <t>C202543016459972</t>
  </si>
  <si>
    <t>C2025591271264</t>
  </si>
  <si>
    <t>ISL136/202502</t>
  </si>
  <si>
    <t>ELSA IRENE SANDBERG 1</t>
  </si>
  <si>
    <t>C202541015594666</t>
  </si>
  <si>
    <t>ISL75/202501</t>
  </si>
  <si>
    <t>JUAN GOMEZ TOLOSA 2</t>
  </si>
  <si>
    <t>DAMIAN MUÑOZ CANTÓ 1</t>
  </si>
  <si>
    <t>C2025317152319499,ALB-621</t>
  </si>
  <si>
    <t>ALB-621</t>
  </si>
  <si>
    <t>MBM20/202504</t>
  </si>
  <si>
    <t>AMPARO MARTIN GONZALEZ 2</t>
  </si>
  <si>
    <t>MBM11/202504</t>
  </si>
  <si>
    <t>MARIA CARMEN RODRIGUEZ FRIAS 2</t>
  </si>
  <si>
    <t>MARIA DEL CARMEN RUEDA OLIVA 1</t>
  </si>
  <si>
    <t>MARIA PIEDAD GOMEZ NUÑEZ 1</t>
  </si>
  <si>
    <t>ISL122/202505</t>
  </si>
  <si>
    <t>CARMEN CAYUELA MAIQUEZ 2</t>
  </si>
  <si>
    <t>FRANCISCO MENDEZ APARICIO 2</t>
  </si>
  <si>
    <t>ANTONIA ESTEBAN SANCHEZ 2</t>
  </si>
  <si>
    <t>LUISA MARIA GRECH MONTORO 2</t>
  </si>
  <si>
    <t>TERESA NOGUERA SANCHEZ 1</t>
  </si>
  <si>
    <t>RPG51/202505</t>
  </si>
  <si>
    <t>CLAUDINA CARBALLO IGLESIAS 2</t>
  </si>
  <si>
    <t>PABLO MANZANO IGLESIAS 2</t>
  </si>
  <si>
    <t>MARIA INES RODRIGUEZ GARCIA 2</t>
  </si>
  <si>
    <t>MANUEL NIETO FORMOSO 2</t>
  </si>
  <si>
    <t>RPG31/202502</t>
  </si>
  <si>
    <t>JUAN GONZALEZ GONZALEZ 2</t>
  </si>
  <si>
    <t>MARIA DEL CARMEN NOBOA BLANCO 2</t>
  </si>
  <si>
    <t>RFV28/202501</t>
  </si>
  <si>
    <t>FERNANDO MIGUEL LEAL FERNANDEZ 1</t>
  </si>
  <si>
    <t>RICARDO ASENSIO NADAL 2</t>
  </si>
  <si>
    <t>MCC67/202501</t>
  </si>
  <si>
    <t>18030696F</t>
  </si>
  <si>
    <t>Rosa Luxemburgo 8 4 C, Sant Just Desvern, 08960 Barcelona</t>
  </si>
  <si>
    <t>ES48 0182 2819 1002 0158 6451</t>
  </si>
  <si>
    <t>Maria Dolores Edo Torner 2</t>
  </si>
  <si>
    <t>MBM03/202507</t>
  </si>
  <si>
    <t>MARTA ARAGON FERNANDEZ 1</t>
  </si>
  <si>
    <t>MBM41/202502</t>
  </si>
  <si>
    <t>DAVID GALLEGO DE LA SACRISTANA 1</t>
  </si>
  <si>
    <t>MCC68/202501</t>
  </si>
  <si>
    <t>26911593Y</t>
  </si>
  <si>
    <t>TORRENT DE LES ROSES 54, Barcelona 08034 Barcelona</t>
  </si>
  <si>
    <t>ES06 0049 1984 1120 1000 1461</t>
  </si>
  <si>
    <t>Joan Masana Argeric 2</t>
  </si>
  <si>
    <t>MBM145/202501</t>
  </si>
  <si>
    <t>Alcorcón/Madrid- Galileo</t>
  </si>
  <si>
    <t>04861209K</t>
  </si>
  <si>
    <t>Calle Angel Beato, 5 Madrod 28035Madrid</t>
  </si>
  <si>
    <t>ES69 0049 0570 1527 9073 8859</t>
  </si>
  <si>
    <t>LORENZO CORRAL BENITEZ 2</t>
  </si>
  <si>
    <t>MARIA MERCEDES DE SANTOS SANCHEZ 2</t>
  </si>
  <si>
    <t>MARIA MARTA ESCRIBANO SAN GERMAN 2</t>
  </si>
  <si>
    <t>MARIA JUANA MOHEDANO TERRON 2</t>
  </si>
  <si>
    <t>ISL136/202503</t>
  </si>
  <si>
    <t>MARTHA GLORIA HOLT 2</t>
  </si>
  <si>
    <t>LRM125/202503</t>
  </si>
  <si>
    <t>GERMAN VEGA FERNANDEZ 2</t>
  </si>
  <si>
    <t>MBM11/202505</t>
  </si>
  <si>
    <t>ANTONIA TORRES GUINDEL 2</t>
  </si>
  <si>
    <t>MARIA PIEDAD GOMEZ NUÑEZ 2</t>
  </si>
  <si>
    <t>C20253191222199</t>
  </si>
  <si>
    <t>ISL14/202503</t>
  </si>
  <si>
    <t>KARIM AHLMINE 1</t>
  </si>
  <si>
    <t>MCC04/202501</t>
  </si>
  <si>
    <t>47839716S</t>
  </si>
  <si>
    <t>CARRER DE LA DALIA, 5 Barcelona</t>
  </si>
  <si>
    <t>ES91 2100 3087 1922 0030 7185</t>
  </si>
  <si>
    <t>MARIA DEL CARMEN VILAMAJO NOLLA 2</t>
  </si>
  <si>
    <t>ISL122/202506</t>
  </si>
  <si>
    <t>JUAN ANTONIO RAMIREZ RAMIREZ 2</t>
  </si>
  <si>
    <t>MBM125/202502</t>
  </si>
  <si>
    <t>NARCISO GONZALEZ FERRERO 2</t>
  </si>
  <si>
    <t>MBM36/202501</t>
  </si>
  <si>
    <t>Jaime Martin Carranza</t>
  </si>
  <si>
    <t>72318932D</t>
  </si>
  <si>
    <t>Calle Arroyo del Médico 28939 Arroyomolinos (Madrid)</t>
  </si>
  <si>
    <t>ES11 0128 7820 8201 0080 3662</t>
  </si>
  <si>
    <t>AGUSTIN ORTEGA SANCHEZ 2</t>
  </si>
  <si>
    <t>PATROCINIO BARBERO MARIA 2</t>
  </si>
  <si>
    <t>ANTONIO RUIZ ESTRADA 2</t>
  </si>
  <si>
    <t>TOMAS SIERRA LOSADA 2</t>
  </si>
  <si>
    <t>ANA BELEN ESCUDERO ALONSO 1</t>
  </si>
  <si>
    <t>luis Alberto Rodríguez (Andalucía y Badajoz)</t>
  </si>
  <si>
    <t>LAA64/202503</t>
  </si>
  <si>
    <t>lucia CARRASCO ROMAN 2</t>
  </si>
  <si>
    <t>MBM131/202502</t>
  </si>
  <si>
    <t>MARIA JOSE GUTIERREZ GUTIERREZ 2</t>
  </si>
  <si>
    <t>RPG51/202506</t>
  </si>
  <si>
    <t>MATILDE EMILIA GARCIA LOSADA 2</t>
  </si>
  <si>
    <t>Monedero 1</t>
  </si>
  <si>
    <t>LRM220/202502</t>
  </si>
  <si>
    <t>JUAN ANTONIO GARCIA DEL OLMO 1</t>
  </si>
  <si>
    <t>RFV22/202501</t>
  </si>
  <si>
    <t>FRANCISCO DE PEDRO MERINO 2</t>
  </si>
  <si>
    <t>JOSEFA TOLOSA GARCIA 2</t>
  </si>
  <si>
    <t>ISL14/202504</t>
  </si>
  <si>
    <t>ALEXANDRA STOTTOR 2</t>
  </si>
  <si>
    <t>RFV15/202505</t>
  </si>
  <si>
    <t>JAIME MATEO GARCIA 2</t>
  </si>
  <si>
    <t>JACINTO GOROSABEL 1</t>
  </si>
  <si>
    <t>LRM246/202503</t>
  </si>
  <si>
    <t>MILAGROS RUIZ REQUENA 2</t>
  </si>
  <si>
    <t>MBM03/202508</t>
  </si>
  <si>
    <t>Móstoles</t>
  </si>
  <si>
    <t>MARGARITA TORO GALIANA 1</t>
  </si>
  <si>
    <t>RPG51/202507</t>
  </si>
  <si>
    <t>GENARO ALVAREZ SALGADO 2</t>
  </si>
  <si>
    <t>ANTONIA BORRAJO OTERO 2</t>
  </si>
  <si>
    <t>NATALIA GOMEZ RODRIGUEZ 1</t>
  </si>
  <si>
    <t>C202561113133217</t>
  </si>
  <si>
    <t>C20254816522192</t>
  </si>
  <si>
    <t>ISL122/202507</t>
  </si>
  <si>
    <t>ELENA MARTINEZ FERNANDEZ 1</t>
  </si>
  <si>
    <t>MBM20/202505</t>
  </si>
  <si>
    <t>JUAN ANTONIO DEL RIO JIMENEZ 2</t>
  </si>
  <si>
    <t>MBM109/202504</t>
  </si>
  <si>
    <t>VICTORINA GOMEZ NEIRA 1</t>
  </si>
  <si>
    <t>RFV21/202501</t>
  </si>
  <si>
    <t>Manuel Lucas Mateos Fernández</t>
  </si>
  <si>
    <t>27524312M</t>
  </si>
  <si>
    <t>Calle Marina Baixa 5 . Escalera 11 .1° . Puerta 6 Valencia 46015</t>
  </si>
  <si>
    <t>ES66 0182 1294 1102 0464 2556</t>
  </si>
  <si>
    <t>ROCIO DOMINGUEZ DOMINGUEZ 2</t>
  </si>
  <si>
    <t>MIGUEL ALBARRACIN DOMINGUEZ 2</t>
  </si>
  <si>
    <t>LEOPOLDO IBAÑEZ MONTORO 2</t>
  </si>
  <si>
    <t>MARIA LUISA RAMOS GARCIA 2</t>
  </si>
  <si>
    <t>ANTONIO RIOS MAIRENA 2</t>
  </si>
  <si>
    <t>SALVADOR BAUTISTA ZORNOZA 2</t>
  </si>
  <si>
    <t>LAA71/202501</t>
  </si>
  <si>
    <t>Huelva</t>
  </si>
  <si>
    <t>29496275V</t>
  </si>
  <si>
    <t>Eduardo dato 8 bajo Sevilla 41018</t>
  </si>
  <si>
    <t>ES12 2100 8436 4501 0002 0244</t>
  </si>
  <si>
    <t>ASCENSION MORA DUQUE 2</t>
  </si>
  <si>
    <t>LAA71/202502</t>
  </si>
  <si>
    <t>MANUEL CARCELA GARCIA 2</t>
  </si>
  <si>
    <t>RPG51/202508</t>
  </si>
  <si>
    <t>DORINDA SALGADO VILA 2</t>
  </si>
  <si>
    <t>RFV24/202501</t>
  </si>
  <si>
    <t>Monica Mira Domeneq 2</t>
  </si>
  <si>
    <t>Antonio Ruiz Roldan 2</t>
  </si>
  <si>
    <t>Tania López Muñoz 2</t>
  </si>
  <si>
    <t>MCC40/202501</t>
  </si>
  <si>
    <t>46750055W</t>
  </si>
  <si>
    <t>C/ dos de maig 252 3-1 08013 Barcelona</t>
  </si>
  <si>
    <t>ES10 2100 3085 2021 0086 5846</t>
  </si>
  <si>
    <t>Jose Vazquez Diaz 2</t>
  </si>
  <si>
    <t>ISL122/202508</t>
  </si>
  <si>
    <t>ALFONSO ANTONIO CAJA LOPEZ 2</t>
  </si>
  <si>
    <t>MARIA BELEN FUERTES VIVANCOS 2</t>
  </si>
  <si>
    <t>ISABEL GOMEZ MARTINEZ 2</t>
  </si>
  <si>
    <t>FRANCISCO MIGUEL SANCHEZ FERRER 2</t>
  </si>
  <si>
    <t>FRANCISCO JOSE GUTIERREZ ANGUITA 2</t>
  </si>
  <si>
    <t>LETICIA RIVERA CASTILLA 2</t>
  </si>
  <si>
    <t>MND 2</t>
  </si>
  <si>
    <t>LAA09/202504</t>
  </si>
  <si>
    <t>ANA MARIA MERINO PLAZA 2</t>
  </si>
  <si>
    <t>MBM11/202506</t>
  </si>
  <si>
    <t>ROSALIA GARCIA MARIA 2</t>
  </si>
  <si>
    <t>C2025519115544492</t>
  </si>
  <si>
    <t>RFV21/202502</t>
  </si>
  <si>
    <t>Ana Maria Centelles Barrera 1</t>
  </si>
  <si>
    <t>C2025519115544493</t>
  </si>
  <si>
    <t>RPG51/202509</t>
  </si>
  <si>
    <t>Maria Aurora Camba Lopez 2</t>
  </si>
  <si>
    <t>OLGA FERNANDEZ MARTINEZ 2</t>
  </si>
  <si>
    <t>MBM186/202503</t>
  </si>
  <si>
    <t>CRISTINA BORREGO MARCOS 2</t>
  </si>
  <si>
    <t>LRM06/202501</t>
  </si>
  <si>
    <t>José Alfonso Plaza López</t>
  </si>
  <si>
    <t>05365769F</t>
  </si>
  <si>
    <t>C/ Velero 12 3º C Majadahonda 28220 Madrid</t>
  </si>
  <si>
    <t>ES38 0049 6250 5422 1605 4717</t>
  </si>
  <si>
    <t>FRANCISCA VAQUERIZA VAQUERIZA 2</t>
  </si>
  <si>
    <t>RFV10/202501</t>
  </si>
  <si>
    <t>29022729H</t>
  </si>
  <si>
    <t>Calle xiprers,42 46015 Valencia</t>
  </si>
  <si>
    <t>ES28 2095 5538 2091 0767 3012</t>
  </si>
  <si>
    <t>JOSE ESPERT SILVESTRE 2</t>
  </si>
  <si>
    <t>MARIA DESAMPARADOS SANCHIS PERALES 2</t>
  </si>
  <si>
    <t>VALENTIN SANCHEZ DIAZ 2</t>
  </si>
  <si>
    <t>AMPARO LLORENS GORRIZ 1</t>
  </si>
  <si>
    <t>JORGE ARTURO ALONSO BERZOSA 1</t>
  </si>
  <si>
    <t>LRM246/202504</t>
  </si>
  <si>
    <t>Calle del Sol, 1 Talavera de la Reina 45600 Toledo</t>
  </si>
  <si>
    <t>MARIA CARMEN RAMOS RAMOS 2</t>
  </si>
  <si>
    <t>MBM24/202502</t>
  </si>
  <si>
    <t>C/ Arcaute 25, 1º D Madrid 28022 Madrid</t>
  </si>
  <si>
    <t>JOSE MANUEL IZQUIERDO GRANERO 2</t>
  </si>
  <si>
    <t>LAA77/202501</t>
  </si>
  <si>
    <t>ISABEL NIETO GARCIA 2</t>
  </si>
  <si>
    <t>ISABEL VARGAS CASTRO 1</t>
  </si>
  <si>
    <t>LAA72/202501</t>
  </si>
  <si>
    <t>FRANCISCA MATEOS MONTES DE OCA 1</t>
  </si>
  <si>
    <t>YOLANDA  CRUZ JIMENEZ 1</t>
  </si>
  <si>
    <t>CAROLINA LOZANO IÑIGO 2</t>
  </si>
  <si>
    <t>MARIA ARIAS TENA 2</t>
  </si>
  <si>
    <t>ANGEL MADROÑAL FERNANDEZ 2</t>
  </si>
  <si>
    <t>ISL122/202509</t>
  </si>
  <si>
    <t>FRANCISCO HERNANDEZ RUIZ 1</t>
  </si>
  <si>
    <t>JUAN GARCIA SALMERON 2</t>
  </si>
  <si>
    <t>ISL136/202504</t>
  </si>
  <si>
    <t>ANTONIO RUIZ SUSARTE 2</t>
  </si>
  <si>
    <t>LAA09/202505</t>
  </si>
  <si>
    <t>MARIA ELOISA RODRIGUEZ VICENTE 1</t>
  </si>
  <si>
    <t>MBM03/202509</t>
  </si>
  <si>
    <t>Madrid- Canillas</t>
  </si>
  <si>
    <t>PILAR SEGURA ESTEBAN 2</t>
  </si>
  <si>
    <t>MBM03/202510</t>
  </si>
  <si>
    <t>ROSA ALONSO GALLARDO 2</t>
  </si>
  <si>
    <t>LRM06/202502</t>
  </si>
  <si>
    <t>BEGOÑA GOMEZ-HIDALGO MATEO 2</t>
  </si>
  <si>
    <t>MBM11/202507</t>
  </si>
  <si>
    <t>LUISA  BOUSO MILLÁN 2</t>
  </si>
  <si>
    <t>MBM60/202504</t>
  </si>
  <si>
    <t>ENRIQUE MARTINEZ PASTOR 2</t>
  </si>
  <si>
    <t>MBM128/202501</t>
  </si>
  <si>
    <t>CARIDAD ALCALA BERLANGA 2</t>
  </si>
  <si>
    <t>MCC04/202502</t>
  </si>
  <si>
    <t>SEBASTIA VIVES MAS 2</t>
  </si>
  <si>
    <t>MBM75/202503</t>
  </si>
  <si>
    <t>MARIA CARMEN MARTINEZ GONZALEZ 2</t>
  </si>
  <si>
    <t>MBM186/202504</t>
  </si>
  <si>
    <t>JOSE MANUEL IBAÑEZ FERRER 2</t>
  </si>
  <si>
    <t>RFV11/202504</t>
  </si>
  <si>
    <t>ANTONIO MARIN SIBAJAS 1</t>
  </si>
  <si>
    <t>CARMEN RUIZ SANCHEZ 1</t>
  </si>
  <si>
    <t>RFV24/202502</t>
  </si>
  <si>
    <t>JULIAN GARCIA BERNAT 2</t>
  </si>
  <si>
    <t>RFV24/202503</t>
  </si>
  <si>
    <t>RAFAEL DE VICENTE CONTRERAS 2</t>
  </si>
  <si>
    <t>RFV33/202503</t>
  </si>
  <si>
    <t>JUAN FRANCISCO ALAVA GUILLEM 1</t>
  </si>
  <si>
    <t>RPG51/2025010</t>
  </si>
  <si>
    <t>JS PDRN TBD 2</t>
  </si>
  <si>
    <t>NR GRC VZ 2</t>
  </si>
  <si>
    <t>SF MR PRZ 1</t>
  </si>
  <si>
    <t>ISL91/202504</t>
  </si>
  <si>
    <t>FRNND LZN CRRS 2</t>
  </si>
  <si>
    <t>LRM266/202501</t>
  </si>
  <si>
    <t>Noelia Sanchez Cano</t>
  </si>
  <si>
    <t>4199859J</t>
  </si>
  <si>
    <t>Calle Santa Teresa de Jesus 62 n 4 C Talavera de la Reina Toledo</t>
  </si>
  <si>
    <t>ES49 0182 2563 8002 0164 8959</t>
  </si>
  <si>
    <t>PRP CNG 2</t>
  </si>
  <si>
    <t>SMP MT NR 2</t>
  </si>
  <si>
    <t>LRM246/202505</t>
  </si>
  <si>
    <t>MLGRS PMNTL HRRR 1</t>
  </si>
  <si>
    <t>ISL119/202501</t>
  </si>
  <si>
    <t>VCNT MRTN CLV 2</t>
  </si>
  <si>
    <t>ISL75/202502</t>
  </si>
  <si>
    <t>PEDRO LUIS TORNERO CANO 2</t>
  </si>
  <si>
    <t>MBM187/202502</t>
  </si>
  <si>
    <t>FRANCISCA HURTADO IGLESIAS 2</t>
  </si>
  <si>
    <t>JOSE MIGUEL HERGUETA ABERTURAS 2</t>
  </si>
  <si>
    <t>JSF SNCH TN 2</t>
  </si>
  <si>
    <t>ISL91/202505</t>
  </si>
  <si>
    <t>TR CDRD GM 1</t>
  </si>
  <si>
    <t>NTN PRT BRND 2</t>
  </si>
  <si>
    <t>C202537164450420,,,,,,,,,</t>
  </si>
  <si>
    <t>MBM11/202508</t>
  </si>
  <si>
    <t>PTR PR VQUR 2</t>
  </si>
  <si>
    <t>MBM11/202509</t>
  </si>
  <si>
    <t xml:space="preserve">Madrid- Costa Rica  </t>
  </si>
  <si>
    <t>FRNCSC FLGNC BND GM 2</t>
  </si>
  <si>
    <t>MBM186/202505</t>
  </si>
  <si>
    <t>CRLS TM FBN 2</t>
  </si>
  <si>
    <t>MCC04/202503</t>
  </si>
  <si>
    <t>NVS CRTR RDRG 2</t>
  </si>
  <si>
    <t>RPG51/2025011</t>
  </si>
  <si>
    <t>CRMN VLL TR 1</t>
  </si>
  <si>
    <t>LDFNS SBRN VL 1</t>
  </si>
  <si>
    <t>JS LS GRC LVR 1</t>
  </si>
  <si>
    <t>MNL NRNJ PR 2</t>
  </si>
  <si>
    <t xml:space="preserve">MR LD FRNND RDRG 1 </t>
  </si>
  <si>
    <t>MR LS GRRD PRT 2</t>
  </si>
  <si>
    <t>MBM109/202505</t>
  </si>
  <si>
    <t>CRSTBL GRC LNRS 2</t>
  </si>
  <si>
    <t>FRNCSC MJRR SNCH 2</t>
  </si>
  <si>
    <t>MBM128/202502</t>
  </si>
  <si>
    <t>PLR  DZ RMS 1</t>
  </si>
  <si>
    <t>MBM03/202511</t>
  </si>
  <si>
    <t>JSF HRR RTGS 1</t>
  </si>
  <si>
    <t>MBM03/202512</t>
  </si>
  <si>
    <t>JS MR JMN HRNND 2</t>
  </si>
  <si>
    <t>RFV11/202505</t>
  </si>
  <si>
    <t>NTN MRN SBJS 1</t>
  </si>
  <si>
    <t>RFV28/202502</t>
  </si>
  <si>
    <t>NCRNCN GM SC 1</t>
  </si>
  <si>
    <t>RFV33/202504</t>
  </si>
  <si>
    <t>GSTN CN RZ 2</t>
  </si>
  <si>
    <t>ISL122/202510</t>
  </si>
  <si>
    <t>DLN CNDL MRTNZ 2</t>
  </si>
  <si>
    <t>SCNSN LS RDRGZ 2</t>
  </si>
  <si>
    <t>JS NTN BNZ PSTR 2</t>
  </si>
  <si>
    <t>FRNCSC HRNND RZ 1</t>
  </si>
  <si>
    <t>MCC75</t>
  </si>
  <si>
    <t xml:space="preserve"> </t>
  </si>
  <si>
    <t>comprobación</t>
  </si>
  <si>
    <t>FACTURAR A:</t>
  </si>
  <si>
    <t>signature id</t>
  </si>
  <si>
    <t>signature name</t>
  </si>
  <si>
    <t>type</t>
  </si>
  <si>
    <t>document id</t>
  </si>
  <si>
    <t>document name</t>
  </si>
  <si>
    <t>recipient email</t>
  </si>
  <si>
    <t>recipient name</t>
  </si>
  <si>
    <t>recipient phone</t>
  </si>
  <si>
    <t>status</t>
  </si>
  <si>
    <t>created at</t>
  </si>
  <si>
    <t>completed at</t>
  </si>
  <si>
    <t>batch id</t>
  </si>
  <si>
    <t>batch name</t>
  </si>
  <si>
    <t>rejection reason</t>
  </si>
  <si>
    <t>cancel reason</t>
  </si>
  <si>
    <t>account name</t>
  </si>
  <si>
    <t>original sender email</t>
  </si>
  <si>
    <t>last event</t>
  </si>
  <si>
    <t>textfield_11</t>
  </si>
  <si>
    <t>textfield_3</t>
  </si>
  <si>
    <t>textfield_8</t>
  </si>
  <si>
    <t>textfield_0</t>
  </si>
  <si>
    <t>textfield_5</t>
  </si>
  <si>
    <t>textfield_2</t>
  </si>
  <si>
    <t>textfield_9</t>
  </si>
  <si>
    <t>textfield_6</t>
  </si>
  <si>
    <t>textfield_4</t>
  </si>
  <si>
    <t>textfield_1</t>
  </si>
  <si>
    <t>textfield_10</t>
  </si>
  <si>
    <t>textfield_7</t>
  </si>
  <si>
    <t>12253c63-b78b-4a16-a20f-288f1fa11721</t>
  </si>
  <si>
    <t>advanced</t>
  </si>
  <si>
    <t>b9454b39-da20-4231-9950-c547377fa18b</t>
  </si>
  <si>
    <t>CONTRATO_CLIC-MED_v10.pdf</t>
  </si>
  <si>
    <r>
      <rPr>
        <u/>
        <sz val="11"/>
        <color rgb="FF1155CC"/>
        <rFont val="Cambria"/>
        <family val="1"/>
      </rPr>
      <t>crismol2000@hotmail.com</t>
    </r>
  </si>
  <si>
    <t>completed</t>
  </si>
  <si>
    <t>2025-01-31T08:59:29+00:00</t>
  </si>
  <si>
    <t>2025-02-03T12:10:26+00:00</t>
  </si>
  <si>
    <t>-</t>
  </si>
  <si>
    <t>Clic Audicost</t>
  </si>
  <si>
    <r>
      <rPr>
        <u/>
        <sz val="11"/>
        <color rgb="FF1155CC"/>
        <rFont val="Cambria"/>
        <family val="1"/>
      </rPr>
      <t>contrato.medclic@gmail.com</t>
    </r>
  </si>
  <si>
    <t>processed</t>
  </si>
  <si>
    <t>Avenida 301 núm 32 1-1</t>
  </si>
  <si>
    <t>Cristina Molina</t>
  </si>
  <si>
    <t>Castelldefels</t>
  </si>
  <si>
    <t>Cristina Molina Martinez</t>
  </si>
  <si>
    <t>Barcelona</t>
  </si>
  <si>
    <t>3650e92a-c53c-46d3-a6b9-a1acdbca1e03</t>
  </si>
  <si>
    <t>e25ac98f-5b1f-4055-a67e-616545130203</t>
  </si>
  <si>
    <t>4.-_LUIS_MARTINEZ_BERNABEU_CONTRATO_ORL_CLIC_DEF_IBAN.pdf</t>
  </si>
  <si>
    <r>
      <rPr>
        <u/>
        <sz val="11"/>
        <color rgb="FF1155CC"/>
        <rFont val="Cambria"/>
        <family val="1"/>
      </rPr>
      <t>luismarber@gmail.com</t>
    </r>
  </si>
  <si>
    <t>Luis Martínez Bernabeu</t>
  </si>
  <si>
    <t>2025-01-10T18:10:16+00:00</t>
  </si>
  <si>
    <t>2025-01-15T08:46:18+00:00</t>
  </si>
  <si>
    <r>
      <rPr>
        <u/>
        <sz val="11"/>
        <color rgb="FF1155CC"/>
        <rFont val="Cambria"/>
        <family val="1"/>
      </rPr>
      <t>contrato.medclic@gmail.com</t>
    </r>
  </si>
  <si>
    <t>7c33e734-ea9d-4eed-9506-b08ea61188ab</t>
  </si>
  <si>
    <t>b9aff472-08c0-4901-a34b-f7951a593a5e</t>
  </si>
  <si>
    <r>
      <rPr>
        <u/>
        <sz val="11"/>
        <color rgb="FF1155CC"/>
        <rFont val="Cambria"/>
        <family val="1"/>
      </rPr>
      <t>donluisfi@gmail.com</t>
    </r>
  </si>
  <si>
    <t>Luis Fidel Nieto Hernández</t>
  </si>
  <si>
    <t>2025-01-30T11:27:46+00:00</t>
  </si>
  <si>
    <t>2025-01-30T17:05:42+00:00</t>
  </si>
  <si>
    <r>
      <rPr>
        <u/>
        <sz val="11"/>
        <color rgb="FF1155CC"/>
        <rFont val="Cambria"/>
        <family val="1"/>
      </rPr>
      <t>contrato.medclic@gmail.com</t>
    </r>
  </si>
  <si>
    <t>ES36 1465 0100 91 1700250690</t>
  </si>
  <si>
    <t>C/ Ramón y Cajal 54</t>
  </si>
  <si>
    <t>Sevilla</t>
  </si>
  <si>
    <t>8b47d5e2-e13b-42b3-807a-addb10d8c0e6</t>
  </si>
  <si>
    <t>3a76a2ad-d3c9-43c7-b748-da868c259e1d</t>
  </si>
  <si>
    <t>CONTRATO_CLIC-MED.pdf</t>
  </si>
  <si>
    <r>
      <rPr>
        <u/>
        <sz val="11"/>
        <color rgb="FF1155CC"/>
        <rFont val="Cambria"/>
        <family val="1"/>
      </rPr>
      <t>manuelgonzalezorl@gmail.com</t>
    </r>
  </si>
  <si>
    <t>2025-01-20T08:07:18+00:00</t>
  </si>
  <si>
    <t>2025-01-21T19:29:51+00:00</t>
  </si>
  <si>
    <r>
      <rPr>
        <u/>
        <sz val="11"/>
        <color rgb="FF1155CC"/>
        <rFont val="Cambria"/>
        <family val="1"/>
      </rPr>
      <t>contrato.medclic@gmail.com</t>
    </r>
  </si>
  <si>
    <t>ES90 2100 5080 3822 0026 9866</t>
  </si>
  <si>
    <t>C/ Santa Engracia 165</t>
  </si>
  <si>
    <t>Manuel González</t>
  </si>
  <si>
    <t>02411020E</t>
  </si>
  <si>
    <t>Madrid</t>
  </si>
  <si>
    <t>966e72ff-a323-4e5a-81d6-ee250cae78ac</t>
  </si>
  <si>
    <t>4cac8e9a-5419-4894-9e10-a4ef75f41cb7</t>
  </si>
  <si>
    <t>5.-_Alejandra_Jara_Maquilón_CONTRATO_ORL_CLIC_DEF_IBAN.pdf</t>
  </si>
  <si>
    <t>alexandera.jm23@gmail.com</t>
  </si>
  <si>
    <t>Alejandra Jara Maquilon</t>
  </si>
  <si>
    <t>2025-01-10T18:58:30+00:00</t>
  </si>
  <si>
    <t>2025-01-11T08:31:13+00:00</t>
  </si>
  <si>
    <r>
      <rPr>
        <u/>
        <sz val="11"/>
        <color rgb="FF1155CC"/>
        <rFont val="Cambria"/>
        <family val="1"/>
      </rPr>
      <t>contrato.medclic@gmail.com</t>
    </r>
  </si>
  <si>
    <t>C/ San Carlos, 13, 2ºC</t>
  </si>
  <si>
    <t>48738329H</t>
  </si>
  <si>
    <t>9ad029e9-aad3-41c1-8c8b-574c937f65ef</t>
  </si>
  <si>
    <t>d357d284-1343-425e-b983-fe3b8166ae7b</t>
  </si>
  <si>
    <t>egaldaz@gmail.com</t>
  </si>
  <si>
    <t>2025-01-15T17:06:52+00:00</t>
  </si>
  <si>
    <t>2025-01-15T18:24:12+00:00</t>
  </si>
  <si>
    <r>
      <rPr>
        <u/>
        <sz val="11"/>
        <color rgb="FF1155CC"/>
        <rFont val="Cambria"/>
        <family val="1"/>
      </rPr>
      <t>contrato.medclic@gmail.com</t>
    </r>
  </si>
  <si>
    <t>Avenida de la buhaira 30 portal 3 5 B</t>
  </si>
  <si>
    <t>52542005T</t>
  </si>
  <si>
    <t>b1f0c0ed-afb6-4f78-a99a-04ae982a2219</t>
  </si>
  <si>
    <t>Prueba</t>
  </si>
  <si>
    <t>b212976f-686b-4568-a538-f0aa768de734</t>
  </si>
  <si>
    <r>
      <rPr>
        <u/>
        <sz val="11"/>
        <color rgb="FFFF0000"/>
        <rFont val="Cambria"/>
        <family val="1"/>
      </rPr>
      <t>albertomoreno@audicostaudifonos.com</t>
    </r>
  </si>
  <si>
    <t>2025-01-08T15:11:56+00:00</t>
  </si>
  <si>
    <r>
      <rPr>
        <u/>
        <sz val="11"/>
        <color rgb="FFFF0000"/>
        <rFont val="Cambria"/>
        <family val="1"/>
      </rPr>
      <t>contrato.medclic@gmail.com</t>
    </r>
  </si>
  <si>
    <t>wtwetw</t>
  </si>
  <si>
    <t>rwtwt</t>
  </si>
  <si>
    <t>rtyert</t>
  </si>
  <si>
    <t>rtyertydrt</t>
  </si>
  <si>
    <t>ertwr</t>
  </si>
  <si>
    <t>rgstrwst</t>
  </si>
  <si>
    <t>wrtwr</t>
  </si>
  <si>
    <t>cab25c71-c556-48d9-9bf5-c40d9b1b215f</t>
  </si>
  <si>
    <t>bbe8777d-ad74-4c3c-88a3-c39927524f69</t>
  </si>
  <si>
    <t>CONTRATO_MARIA_REY_CLIC_DEF_IBAN.pdf</t>
  </si>
  <si>
    <r>
      <rPr>
        <u/>
        <sz val="11"/>
        <color rgb="FF1155CC"/>
        <rFont val="Cambria"/>
        <family val="1"/>
      </rPr>
      <t>faragullar@hotmail.com</t>
    </r>
  </si>
  <si>
    <t>2025-01-16T16:20:25+00:00</t>
  </si>
  <si>
    <t>2025-01-16T17:13:36+00:00</t>
  </si>
  <si>
    <r>
      <rPr>
        <u/>
        <sz val="11"/>
        <color rgb="FF1155CC"/>
        <rFont val="Cambria"/>
        <family val="1"/>
      </rPr>
      <t>contrato.medclic@gmail.com</t>
    </r>
  </si>
  <si>
    <t>C/ Hernan Cortés, 49, Bº</t>
  </si>
  <si>
    <t>Orense</t>
  </si>
  <si>
    <t>cfb43452-c330-4e03-9153-531fed154a27</t>
  </si>
  <si>
    <t>b5caa26f-dccd-4316-ac55-77922634f8cc</t>
  </si>
  <si>
    <t>dag29230@hotmail.com</t>
  </si>
  <si>
    <t>2025-01-23T13:10:44+00:00</t>
  </si>
  <si>
    <t>2025-01-25T09:45:12+00:00</t>
  </si>
  <si>
    <r>
      <rPr>
        <u/>
        <sz val="11"/>
        <color rgb="FF1155CC"/>
        <rFont val="Cambria"/>
        <family val="1"/>
      </rPr>
      <t>contrato.medclic@gmail.com</t>
    </r>
  </si>
  <si>
    <t>ES9121003087192200307185</t>
  </si>
  <si>
    <t>CARRER DE LA DALIA, 5</t>
  </si>
  <si>
    <t>DARIO AGUDELO GARCIA</t>
  </si>
  <si>
    <t>08-29230</t>
  </si>
  <si>
    <t>BARCELONA</t>
  </si>
  <si>
    <t>Barceloma</t>
  </si>
  <si>
    <t>d5941c08-1b6e-419f-b425-2b48a3bb0c3b</t>
  </si>
  <si>
    <t>90ef9b63-4458-4d79-8a8f-646ad338d46b</t>
  </si>
  <si>
    <t>1_ORL_M_AGUSTINA_SEVILLA_CONTRATO_ORL_CLIC_DEF_IBAN_.pdf</t>
  </si>
  <si>
    <t>maritina.sevilla@gmail.com</t>
  </si>
  <si>
    <t>2025-01-09T10:23:33+00:00</t>
  </si>
  <si>
    <t>2025-01-09T14:43:19+00:00</t>
  </si>
  <si>
    <r>
      <rPr>
        <u/>
        <sz val="11"/>
        <color rgb="FF1155CC"/>
        <rFont val="Cambria"/>
        <family val="1"/>
      </rPr>
      <t>contrato.medclic@gmail.com</t>
    </r>
  </si>
  <si>
    <t>Calle Baldomero Ferrer 1</t>
  </si>
  <si>
    <t>f3b6a6f1-417e-49fa-b13f-175129100db3</t>
  </si>
  <si>
    <t>785d9bca-8e68-4620-81b9-f432dd39cf1e</t>
  </si>
  <si>
    <t>jrdeleonl@ufm.edu</t>
  </si>
  <si>
    <t>2025-01-23T13:03:42+00:00</t>
  </si>
  <si>
    <t>2025-01-23T14:02:47+00:00</t>
  </si>
  <si>
    <r>
      <rPr>
        <u/>
        <sz val="11"/>
        <color rgb="FF1155CC"/>
        <rFont val="Cambria"/>
        <family val="1"/>
      </rPr>
      <t>contrato.medclic@gmail.com</t>
    </r>
  </si>
  <si>
    <t>C/ literato azorin 4,2,3</t>
  </si>
  <si>
    <t>Valencia</t>
  </si>
  <si>
    <t>fac2a0bf-4bf0-4d8f-974d-1d3ef9a6c706</t>
  </si>
  <si>
    <t>3d5d2dcc-2405-4c01-8dbc-f7f605cf37f2</t>
  </si>
  <si>
    <r>
      <rPr>
        <u/>
        <sz val="11"/>
        <color rgb="FF1155CC"/>
        <rFont val="Cambria"/>
        <family val="1"/>
      </rPr>
      <t>24047ecl@gmail.com</t>
    </r>
  </si>
  <si>
    <t>2025-01-20T16:05:11+00:00</t>
  </si>
  <si>
    <t>2025-01-20T19:15:04+00:00</t>
  </si>
  <si>
    <r>
      <rPr>
        <u/>
        <sz val="11"/>
        <color rgb="FF1155CC"/>
        <rFont val="Cambria"/>
        <family val="1"/>
      </rPr>
      <t>contrato.medclic@gmail.com</t>
    </r>
  </si>
  <si>
    <t>C/ bALMES 402-404 2 º 4 ª  08022 BCN</t>
  </si>
  <si>
    <t>ENRIC CISA LLUIS</t>
  </si>
  <si>
    <t>204f6637-f29b-48f6-9c75-abd953547f53</t>
  </si>
  <si>
    <t>816ed7c4-217c-4fd5-94ca-7ad7a8916d2b</t>
  </si>
  <si>
    <r>
      <rPr>
        <u/>
        <sz val="11"/>
        <color rgb="FF1155CC"/>
        <rFont val="Cambria"/>
        <family val="1"/>
      </rPr>
      <t>lauragarridogarcia@gmail.com</t>
    </r>
  </si>
  <si>
    <t>2025-02-24T17:02:55+00:00</t>
  </si>
  <si>
    <t>2025-02-24T17:33:22+00:00</t>
  </si>
  <si>
    <r>
      <rPr>
        <u/>
        <sz val="11"/>
        <color rgb="FF1155CC"/>
        <rFont val="Cambria"/>
        <family val="1"/>
      </rPr>
      <t>contrato.medclic@gmail.com</t>
    </r>
  </si>
  <si>
    <t>C/ SAN BERNARDO 124 1 IZQUIERDA</t>
  </si>
  <si>
    <t>LAURA GARRIDO GARCIA</t>
  </si>
  <si>
    <t>MADRID</t>
  </si>
  <si>
    <t>25b859d2-9360-4b5f-b047-6df0a4f3d377</t>
  </si>
  <si>
    <t>92b4be8d-aba5-4a79-86ad-30071bd466ef</t>
  </si>
  <si>
    <r>
      <rPr>
        <u/>
        <sz val="11"/>
        <color rgb="FF1155CC"/>
        <rFont val="Cambria"/>
        <family val="1"/>
      </rPr>
      <t>pmruizdeapodaca@gmail.com</t>
    </r>
  </si>
  <si>
    <t>2025-02-13T11:03:28+00:00</t>
  </si>
  <si>
    <t>2025-02-14T11:11:08+00:00</t>
  </si>
  <si>
    <r>
      <rPr>
        <u/>
        <sz val="11"/>
        <color rgb="FF1155CC"/>
        <rFont val="Cambria"/>
        <family val="1"/>
      </rPr>
      <t>contrato.medclic@gmail.com</t>
    </r>
  </si>
  <si>
    <t>ES5401865001660510225542</t>
  </si>
  <si>
    <t>Avda. José Roca Coll 1, bloque B, 7ºC</t>
  </si>
  <si>
    <t>Paula Martinez Ruiz de Apodac</t>
  </si>
  <si>
    <t>2d92b539-3a2b-478c-8eff-3af4f979d808</t>
  </si>
  <si>
    <t>c987c9f1-43f8-44b8-bcbf-591f8bbb4629</t>
  </si>
  <si>
    <r>
      <rPr>
        <u/>
        <sz val="11"/>
        <color rgb="FF1155CC"/>
        <rFont val="Cambria"/>
        <family val="1"/>
      </rPr>
      <t>Esther.garcia.gonz@gmail.com</t>
    </r>
  </si>
  <si>
    <t>2025-02-05T17:40:42+00:00</t>
  </si>
  <si>
    <t>2025-02-05T17:57:15+00:00</t>
  </si>
  <si>
    <r>
      <rPr>
        <u/>
        <sz val="11"/>
        <color rgb="FF1155CC"/>
        <rFont val="Cambria"/>
        <family val="1"/>
      </rPr>
      <t>contrato.medclic@gmail.com</t>
    </r>
  </si>
  <si>
    <t>ES6514650100931708954947</t>
  </si>
  <si>
    <t>C/ modesto lafuente 56 3 centro derecha</t>
  </si>
  <si>
    <t>esther garcia gonzalez</t>
  </si>
  <si>
    <t>ESTHER GARCIA GONZALEZ</t>
  </si>
  <si>
    <t>madrid</t>
  </si>
  <si>
    <t>4b3c0e0d-d167-43e8-9deb-df5d2f0131a0</t>
  </si>
  <si>
    <t>92af11d1-6fda-4063-966b-b6a36f8a928b</t>
  </si>
  <si>
    <r>
      <rPr>
        <u/>
        <sz val="11"/>
        <color rgb="FF1155CC"/>
        <rFont val="Cambria"/>
        <family val="1"/>
      </rPr>
      <t>Desi_mendez@hotmail.com</t>
    </r>
  </si>
  <si>
    <t>2025-02-20T08:42:02+00:00</t>
  </si>
  <si>
    <t>2025-02-22T09:22:02+00:00</t>
  </si>
  <si>
    <r>
      <rPr>
        <u/>
        <sz val="11"/>
        <color rgb="FF1155CC"/>
        <rFont val="Cambria"/>
        <family val="1"/>
      </rPr>
      <t>contrato.medclic@gmail.com</t>
    </r>
  </si>
  <si>
    <t>C/ Eduardo Haro Tecglen 9, 3C</t>
  </si>
  <si>
    <t>Desiree Méndez Brenderbache</t>
  </si>
  <si>
    <t>Desiree Méndez B.</t>
  </si>
  <si>
    <t>5a692a93-285d-4678-bf34-41ce9c263a60</t>
  </si>
  <si>
    <t>0a066724-1dda-4d83-ac05-5c08b65bcfd1</t>
  </si>
  <si>
    <r>
      <rPr>
        <u/>
        <sz val="11"/>
        <color rgb="FF1155CC"/>
        <rFont val="Cambria"/>
        <family val="1"/>
      </rPr>
      <t>juan.maza.solano@gmail.com</t>
    </r>
  </si>
  <si>
    <t>2025-02-10T18:56:28+00:00</t>
  </si>
  <si>
    <t>2025-02-12T16:27:46+00:00</t>
  </si>
  <si>
    <r>
      <rPr>
        <u/>
        <sz val="11"/>
        <color rgb="FF1155CC"/>
        <rFont val="Cambria"/>
        <family val="1"/>
      </rPr>
      <t>contrato.medclic@gmail.com</t>
    </r>
  </si>
  <si>
    <t>C/ Pasaje Mallol 11. Casa 6</t>
  </si>
  <si>
    <t>7d716cca-d7e2-4625-987f-acafa8d0c29f</t>
  </si>
  <si>
    <t>06fc189f-545c-45ae-b29a-b3c0fe56d01c</t>
  </si>
  <si>
    <r>
      <rPr>
        <u/>
        <sz val="11"/>
        <color rgb="FF1155CC"/>
        <rFont val="Cambria"/>
        <family val="1"/>
      </rPr>
      <t>felipelhz@gmail.com</t>
    </r>
  </si>
  <si>
    <t>2025-02-24T17:01:16+00:00</t>
  </si>
  <si>
    <t>2025-02-24T21:20:08+00:00</t>
  </si>
  <si>
    <r>
      <rPr>
        <u/>
        <sz val="11"/>
        <color rgb="FF1155CC"/>
        <rFont val="Cambria"/>
        <family val="1"/>
      </rPr>
      <t>contrato.medclic@gmail.com</t>
    </r>
  </si>
  <si>
    <t>Carrer Josep Estivill, 75. 1-3</t>
  </si>
  <si>
    <t>O.M de Lleida</t>
  </si>
  <si>
    <t>8d6f715d-496e-43c1-a534-0d5764a27181</t>
  </si>
  <si>
    <t>8d818f7b-6151-4dbd-9db9-be9f8521a9c8</t>
  </si>
  <si>
    <r>
      <rPr>
        <u/>
        <sz val="11"/>
        <color rgb="FF1155CC"/>
        <rFont val="Cambria"/>
        <family val="1"/>
      </rPr>
      <t>Juan.riestra@hotmail.com</t>
    </r>
  </si>
  <si>
    <t>2025-02-17T15:51:55+00:00</t>
  </si>
  <si>
    <t>2025-02-18T11:33:36+00:00</t>
  </si>
  <si>
    <r>
      <rPr>
        <u/>
        <sz val="11"/>
        <color rgb="FF1155CC"/>
        <rFont val="Cambria"/>
        <family val="1"/>
      </rPr>
      <t>contrato.medclic@gmail.com</t>
    </r>
  </si>
  <si>
    <t>ES1621037003530030046283</t>
  </si>
  <si>
    <t>C/ de Maldonado 71 3A</t>
  </si>
  <si>
    <t>28/2864339</t>
  </si>
  <si>
    <t>93524075-0bf0-4a34-b748-1035ee410aba</t>
  </si>
  <si>
    <t>e366002f-0b17-40af-a43a-313e8fb51468</t>
  </si>
  <si>
    <r>
      <rPr>
        <u/>
        <sz val="11"/>
        <color rgb="FF1155CC"/>
        <rFont val="Cambria"/>
        <family val="1"/>
      </rPr>
      <t>27955xgc@gmail.com</t>
    </r>
  </si>
  <si>
    <t>2025-02-13T10:23:02+00:00</t>
  </si>
  <si>
    <t>2025-02-13T10:45:45+00:00</t>
  </si>
  <si>
    <r>
      <rPr>
        <u/>
        <sz val="11"/>
        <color rgb="FF1155CC"/>
        <rFont val="Cambria"/>
        <family val="1"/>
      </rPr>
      <t>contrato.medclic@gmail.com</t>
    </r>
  </si>
  <si>
    <t>C/ Pedrell 39</t>
  </si>
  <si>
    <t>43671201c</t>
  </si>
  <si>
    <t>Gonzalez-Compta</t>
  </si>
  <si>
    <t>aff82bda-cd03-403e-9cab-1c82af831e05</t>
  </si>
  <si>
    <t>6f9b228a-4cd6-4049-8f7f-b9c79bc33857</t>
  </si>
  <si>
    <r>
      <rPr>
        <u/>
        <sz val="11"/>
        <color rgb="FF1155CC"/>
        <rFont val="Cambria"/>
        <family val="1"/>
      </rPr>
      <t>Dr_rafa5@hotmail.com</t>
    </r>
  </si>
  <si>
    <t>2025-02-08T19:07:38+00:00</t>
  </si>
  <si>
    <t>2025-02-09T07:47:34+00:00</t>
  </si>
  <si>
    <r>
      <rPr>
        <u/>
        <sz val="11"/>
        <color rgb="FF1155CC"/>
        <rFont val="Cambria"/>
        <family val="1"/>
      </rPr>
      <t>contrato.medclic@gmail.com</t>
    </r>
  </si>
  <si>
    <t>C/ progreso 99. 3A.</t>
  </si>
  <si>
    <t>Rafael Hurtado Ruzza</t>
  </si>
  <si>
    <t>b337011b-f9ac-4ce4-898d-74cb40f8fff7</t>
  </si>
  <si>
    <t>0bf5e0f9-8c95-4f04-81e6-553d676c621b</t>
  </si>
  <si>
    <r>
      <rPr>
        <u/>
        <sz val="11"/>
        <color rgb="FF1155CC"/>
        <rFont val="Cambria"/>
        <family val="1"/>
      </rPr>
      <t>isabelpolotomas.ip@gmail.com</t>
    </r>
  </si>
  <si>
    <t>2025-02-20T08:51:41+00:00</t>
  </si>
  <si>
    <t>2025-02-20T15:02:04+00:00</t>
  </si>
  <si>
    <r>
      <rPr>
        <u/>
        <sz val="11"/>
        <color rgb="FF1155CC"/>
        <rFont val="Cambria"/>
        <family val="1"/>
      </rPr>
      <t>contrato.medclic@gmail.com</t>
    </r>
  </si>
  <si>
    <t>Avenida Cortes Valencianas Número 6 Bloque B</t>
  </si>
  <si>
    <t>Alicante</t>
  </si>
  <si>
    <t>Altea</t>
  </si>
  <si>
    <t>b6d2159f-d3ac-4a92-934f-f118f79b3b5c</t>
  </si>
  <si>
    <t>5fa7ef1a-7632-493b-965a-08692b91b2cd</t>
  </si>
  <si>
    <r>
      <rPr>
        <u/>
        <sz val="11"/>
        <color rgb="FF1155CC"/>
        <rFont val="Cambria"/>
        <family val="1"/>
      </rPr>
      <t>batlles.orl@gmail.com</t>
    </r>
  </si>
  <si>
    <t>2025-02-05T07:03:18+00:00</t>
  </si>
  <si>
    <t>2025-02-06T11:24:12+00:00</t>
  </si>
  <si>
    <r>
      <rPr>
        <u/>
        <sz val="11"/>
        <color rgb="FF1155CC"/>
        <rFont val="Cambria"/>
        <family val="1"/>
      </rPr>
      <t>contrato.medclic@gmail.com</t>
    </r>
  </si>
  <si>
    <t>Paseo de Almeria, 11</t>
  </si>
  <si>
    <t>Almería</t>
  </si>
  <si>
    <t>d97bc142-ea7d-4f19-9726-0d74a1b6e74f</t>
  </si>
  <si>
    <t>5b3dd908-2f7b-4379-ac76-d19337f4a8c3</t>
  </si>
  <si>
    <r>
      <rPr>
        <u/>
        <sz val="11"/>
        <color rgb="FF1155CC"/>
        <rFont val="Cambria"/>
        <family val="1"/>
      </rPr>
      <t>Eviatarf@gmail.com</t>
    </r>
  </si>
  <si>
    <t>2025-02-13T11:04:52+00:00</t>
  </si>
  <si>
    <t>2025-02-13T13:50:19+00:00</t>
  </si>
  <si>
    <r>
      <rPr>
        <u/>
        <sz val="11"/>
        <color rgb="FF1155CC"/>
        <rFont val="Cambria"/>
        <family val="1"/>
      </rPr>
      <t>contrato.medclic@gmail.com</t>
    </r>
  </si>
  <si>
    <t>C/ Vandergoten, 8, 6A</t>
  </si>
  <si>
    <t>Eviatar Israel, Friedlander</t>
  </si>
  <si>
    <t>f6b848de-a94d-4390-9d6c-1ee2f8a8dadb</t>
  </si>
  <si>
    <t>461de703-ff45-499a-a4fa-d121fcdffbfe</t>
  </si>
  <si>
    <r>
      <rPr>
        <u/>
        <sz val="11"/>
        <color rgb="FF1155CC"/>
        <rFont val="Cambria"/>
        <family val="1"/>
      </rPr>
      <t>santillan2@hotmail.com</t>
    </r>
  </si>
  <si>
    <t>2025-02-08T19:09:24+00:00</t>
  </si>
  <si>
    <t>2025-02-08T19:40:41+00:00</t>
  </si>
  <si>
    <r>
      <rPr>
        <u/>
        <sz val="11"/>
        <color rgb="FF1155CC"/>
        <rFont val="Cambria"/>
        <family val="1"/>
      </rPr>
      <t>contrato.medclic@gmail.com</t>
    </r>
  </si>
  <si>
    <t>C/ Játiva 4 portal I piso 4 A</t>
  </si>
  <si>
    <t>fd2783f9-116e-43a2-b383-de247e90844c</t>
  </si>
  <si>
    <t>94c5171e-1581-4fd6-b43e-68832b967633</t>
  </si>
  <si>
    <r>
      <rPr>
        <u/>
        <sz val="11"/>
        <color rgb="FF1155CC"/>
        <rFont val="Cambria"/>
        <family val="1"/>
      </rPr>
      <t>anamvalor@gmail.com</t>
    </r>
  </si>
  <si>
    <t>2025-02-13T10:21:35+00:00</t>
  </si>
  <si>
    <t>2025-02-13T12:46:07+00:00</t>
  </si>
  <si>
    <r>
      <rPr>
        <u/>
        <sz val="11"/>
        <color rgb="FF1155CC"/>
        <rFont val="Cambria"/>
        <family val="1"/>
      </rPr>
      <t>contrato.medclic@gmail.com</t>
    </r>
  </si>
  <si>
    <t>Paseo Valle Hebron, 58</t>
  </si>
  <si>
    <t>3d13b400-771c-4a59-b0a3-5bd54c6d147f</t>
  </si>
  <si>
    <t>3eb86619-f863-4bac-a3bc-fdb81b5b3a3d</t>
  </si>
  <si>
    <t>mabadpascual@gmail.com</t>
  </si>
  <si>
    <t>2025-03-03T17:21:17+00:00</t>
  </si>
  <si>
    <t>2025-03-04T20:44:42+00:00</t>
  </si>
  <si>
    <r>
      <rPr>
        <u/>
        <sz val="11"/>
        <color rgb="FF1155CC"/>
        <rFont val="Cambria"/>
        <family val="1"/>
      </rPr>
      <t>contrato.medclic@gmail.com</t>
    </r>
  </si>
  <si>
    <t>ES0321006171691300553458</t>
  </si>
  <si>
    <t>C/ Blas Cabrera,1-13</t>
  </si>
  <si>
    <t>Boadilla del Monte</t>
  </si>
  <si>
    <t>4d69d1f8-e947-4797-9906-73aff4fa1f1f</t>
  </si>
  <si>
    <t>3e6ed01a-c370-4fc6-9c95-522732478f4b</t>
  </si>
  <si>
    <t>CONTRATO_CLIC-MED_DEF_25.pdf</t>
  </si>
  <si>
    <r>
      <rPr>
        <u/>
        <sz val="11"/>
        <color rgb="FF1155CC"/>
        <rFont val="Cambria"/>
        <family val="1"/>
      </rPr>
      <t>martamesalles@gmail.com</t>
    </r>
  </si>
  <si>
    <t>2025-03-11T17:00:03+00:00</t>
  </si>
  <si>
    <t>2025-03-17T10:01:25+00:00</t>
  </si>
  <si>
    <r>
      <rPr>
        <u/>
        <sz val="11"/>
        <color rgb="FF1155CC"/>
        <rFont val="Cambria"/>
        <family val="1"/>
      </rPr>
      <t>contrato.medclic@gmail.com</t>
    </r>
  </si>
  <si>
    <t>C/ Sant Lluc 4</t>
  </si>
  <si>
    <t>Premià de Mar</t>
  </si>
  <si>
    <r>
      <rPr>
        <u/>
        <sz val="11"/>
        <color rgb="FF1155CC"/>
        <rFont val="Cambria"/>
        <family val="1"/>
      </rPr>
      <t>martamesalles@gmail.com</t>
    </r>
  </si>
  <si>
    <t>4d8a1826-620c-4a45-b6aa-c7babc328785</t>
  </si>
  <si>
    <t>b5f26226-db98-4124-ac59-22fd65f870ae</t>
  </si>
  <si>
    <r>
      <rPr>
        <u/>
        <sz val="11"/>
        <color rgb="FF1155CC"/>
        <rFont val="Cambria"/>
        <family val="1"/>
      </rPr>
      <t>abel311@gmail.com</t>
    </r>
  </si>
  <si>
    <t>2025-03-19T12:42:13+00:00</t>
  </si>
  <si>
    <t>2025-03-19T18:43:40+00:00</t>
  </si>
  <si>
    <r>
      <rPr>
        <u/>
        <sz val="11"/>
        <color rgb="FF1155CC"/>
        <rFont val="Cambria"/>
        <family val="1"/>
      </rPr>
      <t>contrato.medclic@gmail.com</t>
    </r>
  </si>
  <si>
    <t>Paseo de pontones 43, 3C</t>
  </si>
  <si>
    <r>
      <rPr>
        <u/>
        <sz val="11"/>
        <color rgb="FF1155CC"/>
        <rFont val="Cambria"/>
        <family val="1"/>
      </rPr>
      <t>Abel311@gmail.com</t>
    </r>
  </si>
  <si>
    <t>9aca6ee5-2872-4c30-a827-45054769af1d</t>
  </si>
  <si>
    <t>91045394-7b9a-4e22-8d85-6ee73faeb338</t>
  </si>
  <si>
    <r>
      <rPr>
        <u/>
        <sz val="11"/>
        <color rgb="FF1155CC"/>
        <rFont val="Cambria"/>
        <family val="1"/>
      </rPr>
      <t>lauragdie@gmail.com</t>
    </r>
  </si>
  <si>
    <t>2025-03-13T08:35:13+00:00</t>
  </si>
  <si>
    <t>2025-03-14T09:07:55+00:00</t>
  </si>
  <si>
    <r>
      <rPr>
        <u/>
        <sz val="11"/>
        <color rgb="FF1155CC"/>
        <rFont val="Cambria"/>
        <family val="1"/>
      </rPr>
      <t>contrato.medclic@gmail.com</t>
    </r>
  </si>
  <si>
    <t>ES49 0182 8606 2302 0000 6831</t>
  </si>
  <si>
    <t>C/ valencia 505</t>
  </si>
  <si>
    <t>Laura Grau</t>
  </si>
  <si>
    <t>47967725Y</t>
  </si>
  <si>
    <r>
      <rPr>
        <u/>
        <sz val="11"/>
        <color rgb="FF1155CC"/>
        <rFont val="Cambria"/>
        <family val="1"/>
      </rPr>
      <t>Lauragrau9@gmail.com</t>
    </r>
  </si>
  <si>
    <t>a1221425-fefa-4a72-a40a-0c510495bc26</t>
  </si>
  <si>
    <t>a12ed245-929c-47b7-806d-600d22f49662</t>
  </si>
  <si>
    <r>
      <rPr>
        <u/>
        <sz val="11"/>
        <color rgb="FF000000"/>
        <rFont val="Cambria"/>
        <family val="1"/>
      </rPr>
      <t>raimundo.gomezbc@gmail.com</t>
    </r>
  </si>
  <si>
    <t>2025-03-26T15:08:12+00:00</t>
  </si>
  <si>
    <t>2025-03-27T07:43:14+00:00</t>
  </si>
  <si>
    <r>
      <rPr>
        <u/>
        <sz val="11"/>
        <color rgb="FF000000"/>
        <rFont val="Cambria"/>
        <family val="1"/>
      </rPr>
      <t>contrato.medclic@gmail.com</t>
    </r>
  </si>
  <si>
    <t>ES7502390806780055065122</t>
  </si>
  <si>
    <t>C/ Juan Bautista Monegro 10</t>
  </si>
  <si>
    <t>Torrejon de Ardoz</t>
  </si>
  <si>
    <r>
      <rPr>
        <u/>
        <sz val="11"/>
        <color rgb="FF000000"/>
        <rFont val="Cambria"/>
        <family val="1"/>
      </rPr>
      <t>raimundo.gomezbc@gmail.com</t>
    </r>
  </si>
  <si>
    <t>a668d344-a004-450d-916e-060b3c0a730d</t>
  </si>
  <si>
    <t>3f3c4599-61fc-4ba6-98bf-fb875a7b0bf4</t>
  </si>
  <si>
    <r>
      <rPr>
        <u/>
        <sz val="11"/>
        <color rgb="FF1155CC"/>
        <rFont val="Cambria"/>
        <family val="1"/>
      </rPr>
      <t>Fgalcantara@hotmail.com</t>
    </r>
  </si>
  <si>
    <t>2025-03-11T17:02:28+00:00</t>
  </si>
  <si>
    <t>2025-03-12T07:22:33+00:00</t>
  </si>
  <si>
    <r>
      <rPr>
        <u/>
        <sz val="11"/>
        <color rgb="FF1155CC"/>
        <rFont val="Cambria"/>
        <family val="1"/>
      </rPr>
      <t>contrato.medclic@gmail.com</t>
    </r>
  </si>
  <si>
    <t>C/ Arcaute 25, 1º D</t>
  </si>
  <si>
    <r>
      <rPr>
        <u/>
        <sz val="11"/>
        <color rgb="FF1155CC"/>
        <rFont val="Cambria"/>
        <family val="1"/>
      </rPr>
      <t>fgalcantara@hotmail.com</t>
    </r>
  </si>
  <si>
    <t>e150bf9b-226c-495f-a1f8-7d21922ff422</t>
  </si>
  <si>
    <t>60cdc599-65bb-41e3-8226-8b7fd7148e70</t>
  </si>
  <si>
    <r>
      <rPr>
        <u/>
        <sz val="11"/>
        <color rgb="FF1155CC"/>
        <rFont val="Cambria"/>
        <family val="1"/>
      </rPr>
      <t>clinica.odonnell.orl@gmail.com</t>
    </r>
  </si>
  <si>
    <t>2025-03-14T08:11:00+00:00</t>
  </si>
  <si>
    <t>2025-03-14T09:07:53+00:00</t>
  </si>
  <si>
    <r>
      <rPr>
        <u/>
        <sz val="11"/>
        <color rgb="FF1155CC"/>
        <rFont val="Cambria"/>
        <family val="1"/>
      </rPr>
      <t>contrato.medclic@gmail.com</t>
    </r>
  </si>
  <si>
    <t>ES57 1465 0170 16 1716655224</t>
  </si>
  <si>
    <t>C/ Antonio Toledano 17</t>
  </si>
  <si>
    <t>7541f858-e3c1-4513-b1ac-cd7a190f3747</t>
  </si>
  <si>
    <t>ae73d46e-858b-4487-96d6-5622ffcb0b6f</t>
  </si>
  <si>
    <r>
      <rPr>
        <u/>
        <sz val="11"/>
        <color rgb="FF1155CC"/>
        <rFont val="Cambria"/>
        <family val="1"/>
      </rPr>
      <t>blancam_martinezduro@yahoo.es</t>
    </r>
  </si>
  <si>
    <t>2025-03-28T16:25:32+00:00</t>
  </si>
  <si>
    <t>2025-03-28T16:55:48+00:00</t>
  </si>
  <si>
    <r>
      <rPr>
        <u/>
        <sz val="11"/>
        <color rgb="FF1155CC"/>
        <rFont val="Cambria"/>
        <family val="1"/>
      </rPr>
      <t>contrato.medclic@gmail.com</t>
    </r>
  </si>
  <si>
    <t>C/Joaquin Quijada 51</t>
  </si>
  <si>
    <t>Blanca Martínez Duro</t>
  </si>
  <si>
    <t>Blanca María Martinez Duro</t>
  </si>
  <si>
    <r>
      <rPr>
        <u/>
        <sz val="11"/>
        <color rgb="FF1155CC"/>
        <rFont val="Cambria"/>
        <family val="1"/>
      </rPr>
      <t>blancam_martinezduro@yahoo.es</t>
    </r>
  </si>
  <si>
    <t>b0e0839e-7f8e-45ae-9ca2-c50b7874f252</t>
  </si>
  <si>
    <t>bbf0b170-820b-412a-83ee-255ac5a0a1ad</t>
  </si>
  <si>
    <r>
      <rPr>
        <u/>
        <sz val="11"/>
        <color rgb="FF1155CC"/>
        <rFont val="Cambria"/>
        <family val="1"/>
      </rPr>
      <t>Javier.gavilanes@gmail.com</t>
    </r>
  </si>
  <si>
    <t>2025-03-25T10:12:38+00:00</t>
  </si>
  <si>
    <t>2025-03-27T12:19:18+00:00</t>
  </si>
  <si>
    <r>
      <rPr>
        <u/>
        <sz val="11"/>
        <color rgb="FF1155CC"/>
        <rFont val="Cambria"/>
        <family val="1"/>
      </rPr>
      <t>contrato.medclic@gmail.com</t>
    </r>
  </si>
  <si>
    <t>ES4701825322290203982873</t>
  </si>
  <si>
    <t>C/ comunidad valenciana 53</t>
  </si>
  <si>
    <r>
      <rPr>
        <u/>
        <sz val="11"/>
        <color rgb="FF1155CC"/>
        <rFont val="Cambria"/>
        <family val="1"/>
      </rPr>
      <t>javier.gavilanes@gmail.com</t>
    </r>
  </si>
  <si>
    <t>ed267f00-ed6a-4cb1-b399-e9db834d17b8</t>
  </si>
  <si>
    <t>62b3bf49-0230-44b8-b807-ca804cc36729</t>
  </si>
  <si>
    <r>
      <rPr>
        <u/>
        <sz val="11"/>
        <color rgb="FF1155CC"/>
        <rFont val="Cambria"/>
        <family val="1"/>
      </rPr>
      <t>mdelrociolobato@gmail.com</t>
    </r>
  </si>
  <si>
    <t>María Rocío Lobato Pérez</t>
  </si>
  <si>
    <t>2025-03-31T12:49:48+00:00</t>
  </si>
  <si>
    <t>2025-03-31T13:39:44+00:00</t>
  </si>
  <si>
    <r>
      <rPr>
        <u/>
        <sz val="11"/>
        <color rgb="FF1155CC"/>
        <rFont val="Cambria"/>
        <family val="1"/>
      </rPr>
      <t>contrato.medclic@gmail.com</t>
    </r>
  </si>
  <si>
    <t>C/ SOL, DEL 1</t>
  </si>
  <si>
    <t>María del Rocío Lobato Pérez</t>
  </si>
  <si>
    <t>Toledo</t>
  </si>
  <si>
    <t>TALAVERA DE LA REINA</t>
  </si>
  <si>
    <r>
      <rPr>
        <u/>
        <sz val="11"/>
        <color rgb="FF1155CC"/>
        <rFont val="Cambria"/>
        <family val="1"/>
      </rPr>
      <t>mdelrociolobato@gmail.com</t>
    </r>
  </si>
  <si>
    <t>712ee6dd-ac49-4e65-b0e7-a385f6a7cce1</t>
  </si>
  <si>
    <t>b944dfc4-1f40-47c9-a8f6-b789902d3227</t>
  </si>
  <si>
    <r>
      <rPr>
        <u/>
        <sz val="11"/>
        <color rgb="FF1155CC"/>
        <rFont val="Cambria"/>
        <family val="1"/>
      </rPr>
      <t>amb-huertas@hotmail.com</t>
    </r>
  </si>
  <si>
    <t>2025-03-26T15:02:39+00:00</t>
  </si>
  <si>
    <t>2025-03-31T15:29:32+00:00</t>
  </si>
  <si>
    <r>
      <rPr>
        <u/>
        <sz val="11"/>
        <color rgb="FF1155CC"/>
        <rFont val="Cambria"/>
        <family val="1"/>
      </rPr>
      <t>contrato.medclic@gmail.com</t>
    </r>
  </si>
  <si>
    <t>ES6521037686940030005071</t>
  </si>
  <si>
    <t>C/ Medruelo Número 1</t>
  </si>
  <si>
    <t>TRUJILLO</t>
  </si>
  <si>
    <t>Calle Medruelo Número 1</t>
  </si>
  <si>
    <r>
      <rPr>
        <u/>
        <sz val="11"/>
        <color rgb="FF1155CC"/>
        <rFont val="Cambria"/>
        <family val="1"/>
      </rPr>
      <t>amb-huertas@hotmail.com</t>
    </r>
  </si>
  <si>
    <t>5f1f0526-e790-443d-af54-e01cb1fc03ea</t>
  </si>
  <si>
    <t>911c01b0-910b-4196-b767-8b3328a2478d</t>
  </si>
  <si>
    <r>
      <rPr>
        <u/>
        <sz val="11"/>
        <color rgb="FF1155CC"/>
        <rFont val="Cambria"/>
        <family val="1"/>
      </rPr>
      <t>miquelguirao@gmail.com</t>
    </r>
  </si>
  <si>
    <t>2025-04-24T11:50:21+00:00</t>
  </si>
  <si>
    <t>2025-04-26T12:27:26+00:00</t>
  </si>
  <si>
    <r>
      <rPr>
        <u/>
        <sz val="11"/>
        <color rgb="FF1155CC"/>
        <rFont val="Cambria"/>
        <family val="1"/>
      </rPr>
      <t>contrato.medclic@gmail.com</t>
    </r>
  </si>
  <si>
    <t>ES5101822815120201505407</t>
  </si>
  <si>
    <t>ILDEFONS CERDÀ, 58-60 3º 3ª</t>
  </si>
  <si>
    <t>MIQUEL GUIRAO CANO</t>
  </si>
  <si>
    <r>
      <rPr>
        <u/>
        <sz val="11"/>
        <color rgb="FF1155CC"/>
        <rFont val="Cambria"/>
        <family val="1"/>
      </rPr>
      <t>miquelguirao@gmail.com</t>
    </r>
  </si>
  <si>
    <t>6505ac50-818a-42bf-8732-f8aaba9a485b</t>
  </si>
  <si>
    <t>1e06ba6a-0894-420d-bd2d-2ec4bd8d916a</t>
  </si>
  <si>
    <r>
      <rPr>
        <u/>
        <sz val="11"/>
        <color rgb="FF1155CC"/>
        <rFont val="Cambria"/>
        <family val="1"/>
      </rPr>
      <t>jolarietaorl@telefonica.net</t>
    </r>
  </si>
  <si>
    <t>2025-04-02T11:57:58+00:00</t>
  </si>
  <si>
    <t>2025-04-02T20:50:45+00:00</t>
  </si>
  <si>
    <r>
      <rPr>
        <u/>
        <sz val="11"/>
        <color rgb="FF1155CC"/>
        <rFont val="Cambria"/>
        <family val="1"/>
      </rPr>
      <t>contrato.medclic@gmail.com</t>
    </r>
  </si>
  <si>
    <t>C/ Don Ramón de la Cruz 20 5 I</t>
  </si>
  <si>
    <t>Fco javier olarieta soto</t>
  </si>
  <si>
    <t>Fco Javier Olarieta Soto</t>
  </si>
  <si>
    <r>
      <rPr>
        <u/>
        <sz val="11"/>
        <color rgb="FF1155CC"/>
        <rFont val="Cambria"/>
        <family val="1"/>
      </rPr>
      <t>jolarietaorl@telefonica.net</t>
    </r>
  </si>
  <si>
    <t>7f93bad3-c4fd-4af6-bc39-146f17a844d2</t>
  </si>
  <si>
    <t>32fb258e-c341-42c6-8ad0-1088dc56e4f7</t>
  </si>
  <si>
    <r>
      <rPr>
        <u/>
        <sz val="11"/>
        <color rgb="FF1155CC"/>
        <rFont val="Cambria"/>
        <family val="1"/>
      </rPr>
      <t>nata.pf@gmail.com</t>
    </r>
  </si>
  <si>
    <t>2025-04-15T08:24:56+00:00</t>
  </si>
  <si>
    <t>2025-04-15T14:30:56+00:00</t>
  </si>
  <si>
    <r>
      <rPr>
        <u/>
        <sz val="11"/>
        <color rgb="FF1155CC"/>
        <rFont val="Cambria"/>
        <family val="1"/>
      </rPr>
      <t>contrato.medclic@gmail.com</t>
    </r>
  </si>
  <si>
    <t>ES1600492178522414007182</t>
  </si>
  <si>
    <t>C/ Varsovia, 19</t>
  </si>
  <si>
    <t>Calle Varsovia, 19</t>
  </si>
  <si>
    <t>Talavera De La Reina</t>
  </si>
  <si>
    <r>
      <rPr>
        <u/>
        <sz val="11"/>
        <color rgb="FF1155CC"/>
        <rFont val="Cambria"/>
        <family val="1"/>
      </rPr>
      <t>nata.pf@gmail.com</t>
    </r>
  </si>
  <si>
    <t>8515bd67-cf0b-4c67-ae17-7157d548225f</t>
  </si>
  <si>
    <t>1c873452-b0ea-498d-be7e-e25000afe1ef</t>
  </si>
  <si>
    <r>
      <rPr>
        <u/>
        <sz val="11"/>
        <color rgb="FF1155CC"/>
        <rFont val="Cambria"/>
        <family val="1"/>
      </rPr>
      <t>Carlosvelasquez113@gmail.com</t>
    </r>
  </si>
  <si>
    <t>2025-04-30T07:40:36+00:00</t>
  </si>
  <si>
    <t>2025-04-30T13:53:07+00:00</t>
  </si>
  <si>
    <r>
      <rPr>
        <u/>
        <sz val="11"/>
        <color rgb="FF1155CC"/>
        <rFont val="Cambria"/>
        <family val="1"/>
      </rPr>
      <t>contrato.medclic@gmail.com</t>
    </r>
  </si>
  <si>
    <t>Avenida Jose Jornet Navarro,01 Esc 13 Piso 2 Dere</t>
  </si>
  <si>
    <t>Carlos velasquez</t>
  </si>
  <si>
    <r>
      <rPr>
        <u/>
        <sz val="11"/>
        <color rgb="FF1155CC"/>
        <rFont val="Cambria"/>
        <family val="1"/>
      </rPr>
      <t>carlosvelasquez113@gmail.com</t>
    </r>
  </si>
  <si>
    <t>85f83c40-7a52-48fb-ad7e-9c514d7eb4a9</t>
  </si>
  <si>
    <t>f439b652-8903-4b38-a71c-03f976f4b2d1</t>
  </si>
  <si>
    <r>
      <rPr>
        <u/>
        <sz val="11"/>
        <color rgb="FF1155CC"/>
        <rFont val="Cambria"/>
        <family val="1"/>
      </rPr>
      <t>itziar.alvarez.palacios@gmail.com</t>
    </r>
  </si>
  <si>
    <t>2025-04-08T16:57:31+00:00</t>
  </si>
  <si>
    <t>2025-04-08T17:15:54+00:00</t>
  </si>
  <si>
    <r>
      <rPr>
        <u/>
        <sz val="11"/>
        <color rgb="FF1155CC"/>
        <rFont val="Cambria"/>
        <family val="1"/>
      </rPr>
      <t>contrato.medclic@gmail.com</t>
    </r>
  </si>
  <si>
    <t>C/ jorge Juan 139, 1D</t>
  </si>
  <si>
    <r>
      <rPr>
        <u/>
        <sz val="11"/>
        <color rgb="FF1155CC"/>
        <rFont val="Cambria"/>
        <family val="1"/>
      </rPr>
      <t>itziar.alvarez.palacios@gmail.com</t>
    </r>
  </si>
  <si>
    <t>947ec403-59fb-4b88-9320-71829763d90d</t>
  </si>
  <si>
    <t>227b18ac-fe36-4ba1-9c90-b9e3ef364c8a</t>
  </si>
  <si>
    <r>
      <rPr>
        <u/>
        <sz val="11"/>
        <color rgb="FF1155CC"/>
        <rFont val="Cambria"/>
        <family val="1"/>
      </rPr>
      <t>Camacaroreana@gmail.com</t>
    </r>
  </si>
  <si>
    <t>2025-04-23T06:53:33+00:00</t>
  </si>
  <si>
    <t>2025-04-23T14:24:37+00:00</t>
  </si>
  <si>
    <r>
      <rPr>
        <u/>
        <sz val="11"/>
        <color rgb="FF1155CC"/>
        <rFont val="Cambria"/>
        <family val="1"/>
      </rPr>
      <t>contrato.medclic@gmail.com</t>
    </r>
  </si>
  <si>
    <t>Av Alegría</t>
  </si>
  <si>
    <t>Oreana Camacaro</t>
  </si>
  <si>
    <t>Elche</t>
  </si>
  <si>
    <r>
      <rPr>
        <u/>
        <sz val="11"/>
        <color rgb="FF1155CC"/>
        <rFont val="Cambria"/>
        <family val="1"/>
      </rPr>
      <t>Camacaroreana@gmail.com</t>
    </r>
  </si>
  <si>
    <t>a8514c79-f642-4d88-8e1f-700d7f648efb</t>
  </si>
  <si>
    <t>22024912-c6f3-4f42-9d06-3fcdeac5b481</t>
  </si>
  <si>
    <r>
      <rPr>
        <u/>
        <sz val="11"/>
        <color rgb="FF1155CC"/>
        <rFont val="Cambria"/>
        <family val="1"/>
      </rPr>
      <t>julissa.v.m@gmail.com</t>
    </r>
  </si>
  <si>
    <t>2025-04-15T08:23:34+00:00</t>
  </si>
  <si>
    <t>2025-04-21T10:27:09+00:00</t>
  </si>
  <si>
    <r>
      <rPr>
        <u/>
        <sz val="11"/>
        <color rgb="FF1155CC"/>
        <rFont val="Cambria"/>
        <family val="1"/>
      </rPr>
      <t>contrato.medclic@gmail.com</t>
    </r>
  </si>
  <si>
    <t>C/ travessera de gracia 45 6to 1ero</t>
  </si>
  <si>
    <t>Julissa Vizcarra Melgar</t>
  </si>
  <si>
    <t>y7580536a</t>
  </si>
  <si>
    <t>Julissa vizcarra melgar</t>
  </si>
  <si>
    <t>barcelona</t>
  </si>
  <si>
    <t>julissa vizcarra MELGAR</t>
  </si>
  <si>
    <r>
      <rPr>
        <u/>
        <sz val="11"/>
        <color rgb="FF1155CC"/>
        <rFont val="Cambria"/>
        <family val="1"/>
      </rPr>
      <t>julissa.v.m@gmail.com</t>
    </r>
  </si>
  <si>
    <t>0e6582dc-a692-4642-bda4-6c50be35ccf2</t>
  </si>
  <si>
    <t>db9df705-3557-4d78-8396-5deba76613df</t>
  </si>
  <si>
    <r>
      <rPr>
        <u/>
        <sz val="11"/>
        <color rgb="FF1155CC"/>
        <rFont val="Cambria"/>
        <family val="1"/>
      </rPr>
      <t>masegosa_cr@hotmail.com</t>
    </r>
  </si>
  <si>
    <t>2025-05-16T08:56:52+00:00</t>
  </si>
  <si>
    <t>2025-05-18T08:13:36+00:00</t>
  </si>
  <si>
    <r>
      <rPr>
        <u/>
        <sz val="11"/>
        <color rgb="FF1155CC"/>
        <rFont val="Cambria"/>
        <family val="1"/>
      </rPr>
      <t>contrato.medclic@gmail.com</t>
    </r>
  </si>
  <si>
    <t>C/Zumaque, 4</t>
  </si>
  <si>
    <t>PEDRO MASEGOSA ZAPATA</t>
  </si>
  <si>
    <r>
      <rPr>
        <u/>
        <sz val="11"/>
        <color rgb="FF1155CC"/>
        <rFont val="Cambria"/>
        <family val="1"/>
      </rPr>
      <t>masegosa_cr@hotmail.com</t>
    </r>
  </si>
  <si>
    <t>e6d06cb4-0673-4f88-a91c-892514a657f1</t>
  </si>
  <si>
    <t>6df98add-8905-4143-9eed-56e3b9b40596</t>
  </si>
  <si>
    <r>
      <rPr>
        <u/>
        <sz val="11"/>
        <color rgb="FF1155CC"/>
        <rFont val="Cambria"/>
        <family val="1"/>
      </rPr>
      <t>pezcurra_es@yahoo.es</t>
    </r>
  </si>
  <si>
    <t>2025-05-22T12:20:03+00:00</t>
  </si>
  <si>
    <t>2025-05-24T08:15:59+00:00</t>
  </si>
  <si>
    <r>
      <rPr>
        <u/>
        <sz val="11"/>
        <color rgb="FF1155CC"/>
        <rFont val="Cambria"/>
        <family val="1"/>
      </rPr>
      <t>contrato.medclic@gmail.com</t>
    </r>
  </si>
  <si>
    <t>ES2920858221280330272136</t>
  </si>
  <si>
    <t>Marisa esteban 15h P1 5B</t>
  </si>
  <si>
    <t>46346652L</t>
  </si>
  <si>
    <t>Talavera de la reina</t>
  </si>
  <si>
    <r>
      <rPr>
        <u/>
        <sz val="11"/>
        <color rgb="FF1155CC"/>
        <rFont val="Cambria"/>
        <family val="1"/>
      </rPr>
      <t>pezcurra_es@yahoo.es</t>
    </r>
  </si>
  <si>
    <t>94242bbb-74c0-4f43-9da0-fdf95b2335d0</t>
  </si>
  <si>
    <t>47528fa7-3813-4826-a95a-c2ebd29c0203</t>
  </si>
  <si>
    <t>crismaring@yahoo.com</t>
  </si>
  <si>
    <t>2025-06-18T10:08:18+00:00</t>
  </si>
  <si>
    <t>2025-06-18T11:43:12+00:00</t>
  </si>
  <si>
    <t>contrato.medclic@gmail.com</t>
  </si>
  <si>
    <t>Rosa Luxemburgo 8 4 C</t>
  </si>
  <si>
    <t>Sant Just Desvern</t>
  </si>
  <si>
    <t>c8a5a705-8d26-40c4-8bd9-51c06c96bd14</t>
  </si>
  <si>
    <t>4e9e8d10-4cba-4c3d-9d4c-15f7f16e6b04</t>
  </si>
  <si>
    <t>celia.lopez.molla@gmail.com</t>
  </si>
  <si>
    <t>2025-06-02T15:38:22+00:00</t>
  </si>
  <si>
    <t>2025-06-02T16:44:50+00:00</t>
  </si>
  <si>
    <t>Calle Buen orden 7</t>
  </si>
  <si>
    <t>Celia López molla</t>
  </si>
  <si>
    <t>9abb67c2-fd29-4387-b5cd-34db93c2248b</t>
  </si>
  <si>
    <t>b5668689-c9af-4137-a5fe-f918aac2186b</t>
  </si>
  <si>
    <t>dramiriamhamdan@gmail.com</t>
  </si>
  <si>
    <t>MIRIAM ILEANA HAMDAN ZAVARCE</t>
  </si>
  <si>
    <t>2025-06-25T10:17:05+00:00</t>
  </si>
  <si>
    <t>2025-06-25T21:26:28+00:00</t>
  </si>
  <si>
    <r>
      <rPr>
        <u/>
        <sz val="11"/>
        <color rgb="FF1155CC"/>
        <rFont val="Cambria"/>
        <family val="1"/>
      </rPr>
      <t>contrato.medclic@gmail.com</t>
    </r>
  </si>
  <si>
    <t>TORRENT DE LES ROSES 54</t>
  </si>
  <si>
    <r>
      <rPr>
        <u/>
        <sz val="11"/>
        <color rgb="FF1155CC"/>
        <rFont val="Cambria"/>
        <family val="1"/>
      </rPr>
      <t>DRAMIRIAMHAMDAN@GMAIL.COM</t>
    </r>
  </si>
  <si>
    <t>pmruizdeapodaca@gmail.com</t>
  </si>
  <si>
    <t>a9e00205-f0a4-468c-939f-6cf760d7995b</t>
  </si>
  <si>
    <t>79beb4c1-c728-4c5d-9bd7-8963077ce3e5</t>
  </si>
  <si>
    <r>
      <rPr>
        <u/>
        <sz val="11"/>
        <color rgb="FF1155CC"/>
        <rFont val="Cambria"/>
        <family val="1"/>
      </rPr>
      <t>marmruizcoello@hotmail.com</t>
    </r>
  </si>
  <si>
    <t>MARIA DEL MAR MARTÍNEZ RUIZ-COELLO</t>
  </si>
  <si>
    <t>2025-06-25T07:10:40+00:00</t>
  </si>
  <si>
    <t>2025-06-26T15:07:17+00:00</t>
  </si>
  <si>
    <r>
      <rPr>
        <u/>
        <sz val="11"/>
        <color rgb="FF1155CC"/>
        <rFont val="Cambria"/>
        <family val="1"/>
      </rPr>
      <t>contrato.medclic@gmail.com</t>
    </r>
  </si>
  <si>
    <t>Calle Angel Beato, 5</t>
  </si>
  <si>
    <t>MARIA DEL MAR MARTÍNEZRUIZ-COELLO</t>
  </si>
  <si>
    <r>
      <rPr>
        <u/>
        <sz val="11"/>
        <color rgb="FF1155CC"/>
        <rFont val="Cambria"/>
        <family val="1"/>
      </rPr>
      <t>marmruizcoello@hotmail.com</t>
    </r>
  </si>
  <si>
    <t>d68a4d76-9cf6-43e7-b000-9d56b373b847</t>
  </si>
  <si>
    <t>Jaime3651@gmail.com</t>
  </si>
  <si>
    <t>2025-07-21T15:37:42+00:00</t>
  </si>
  <si>
    <t>2025-07-22T18:34:44+00:00</t>
  </si>
  <si>
    <t>Arroyo del médico 62</t>
  </si>
  <si>
    <t>3becbc08-a826-406e-a671-2cbad37ea7a8</t>
  </si>
  <si>
    <t>martin.marcano87@gmail.com</t>
  </si>
  <si>
    <t>2025-07-21T15:42:35+00:00</t>
  </si>
  <si>
    <t>2025-07-21T15:48:53+00:00</t>
  </si>
  <si>
    <t>Avenida cortes valencianas 28, 11A</t>
  </si>
  <si>
    <t>Martín Marcano Acuña</t>
  </si>
  <si>
    <t>35ac5a99-2a65-43bc-9dcd-4cd683bc84b9</t>
  </si>
  <si>
    <t>2c8af71e-e597-4180-892f-f2eea433d2a1</t>
  </si>
  <si>
    <r>
      <rPr>
        <u/>
        <sz val="11"/>
        <color rgb="FF1155CC"/>
        <rFont val="Cambria"/>
        <family val="1"/>
      </rPr>
      <t>Maitecervilla@gmail.com</t>
    </r>
  </si>
  <si>
    <t>María Teresa Cervilla Martín</t>
  </si>
  <si>
    <t>2025-09-12T07:52:29+00:00</t>
  </si>
  <si>
    <t>2025-09-12T09:06:29+00:00</t>
  </si>
  <si>
    <r>
      <rPr>
        <u/>
        <sz val="11"/>
        <color rgb="FF1155CC"/>
        <rFont val="Cambria"/>
        <family val="1"/>
      </rPr>
      <t>contrato.medclic@gmail.com</t>
    </r>
  </si>
  <si>
    <t>Eduardo dato 8 bajo</t>
  </si>
  <si>
    <t>Mari Teresa Cervilla Martin</t>
  </si>
  <si>
    <t>María Teresa Cervilla Martin</t>
  </si>
  <si>
    <r>
      <rPr>
        <u/>
        <sz val="11"/>
        <color rgb="FF1155CC"/>
        <rFont val="Cambria"/>
        <family val="1"/>
      </rPr>
      <t>Maitecervilla@gmail.com</t>
    </r>
  </si>
  <si>
    <t>76e533be-eb8d-43ee-a2ee-d9bfe3f13362</t>
  </si>
  <si>
    <t>0842bef3-1b05-4802-b681-dfb9829d95ae</t>
  </si>
  <si>
    <t>mmateos96@hotmail.com</t>
  </si>
  <si>
    <t>Manuel Mateo Fernández</t>
  </si>
  <si>
    <t>2025-09-26T12:20:51+00:00</t>
  </si>
  <si>
    <t>2025-09-27T07:50:02+00:00</t>
  </si>
  <si>
    <r>
      <rPr>
        <u/>
        <sz val="11"/>
        <color rgb="FF1155CC"/>
        <rFont val="Cambria"/>
        <family val="1"/>
      </rPr>
      <t>contrato.medclic@gmail.com</t>
    </r>
  </si>
  <si>
    <t>ES6601821294110204642556</t>
  </si>
  <si>
    <t>Calle Marina Baixa 5 . Escalera 11 .1° . Puerta 6</t>
  </si>
  <si>
    <r>
      <rPr>
        <u/>
        <sz val="11"/>
        <color rgb="FF1155CC"/>
        <rFont val="Cambria"/>
        <family val="1"/>
      </rPr>
      <t>mmateos96@hotmail.com</t>
    </r>
  </si>
  <si>
    <t>Kmontano.rueda@gmail.com</t>
  </si>
  <si>
    <t>bc70f575-7ae5-42f3-861b-bc53d77f466f</t>
  </si>
  <si>
    <t>a292503b-cb5c-44bc-b405-8dfd68efa619</t>
  </si>
  <si>
    <r>
      <rPr>
        <u/>
        <sz val="11"/>
        <color rgb="FF1155CC"/>
        <rFont val="Cambria"/>
        <family val="1"/>
      </rPr>
      <t>Kmontano.rueda@gmail.com</t>
    </r>
  </si>
  <si>
    <t>2025-09-25T14:46:01+00:00</t>
  </si>
  <si>
    <t>2025-09-25T17:55:24+00:00</t>
  </si>
  <si>
    <r>
      <rPr>
        <u/>
        <sz val="11"/>
        <color rgb="FF1155CC"/>
        <rFont val="Cambria"/>
        <family val="1"/>
      </rPr>
      <t>contrato.medclic@gmail.com</t>
    </r>
  </si>
  <si>
    <t>ES4800815229740001346243</t>
  </si>
  <si>
    <t>Calle de Santa Virgilia, 7</t>
  </si>
  <si>
    <t>Karla Montaño Rueda</t>
  </si>
  <si>
    <r>
      <rPr>
        <u/>
        <sz val="11"/>
        <color rgb="FF1155CC"/>
        <rFont val="Cambria"/>
        <family val="1"/>
      </rPr>
      <t>Kmontano.rueda@gmail.com</t>
    </r>
  </si>
  <si>
    <t>4d8fa7fe-f49b-45d3-ad84-7bb5ebd7ecc6</t>
  </si>
  <si>
    <t>MCC74</t>
  </si>
  <si>
    <t>47f12ade-2993-48a3-873b-512ba6b35b2b</t>
  </si>
  <si>
    <r>
      <rPr>
        <u/>
        <sz val="11"/>
        <color rgb="FF1155CC"/>
        <rFont val="Cambria"/>
        <family val="1"/>
      </rPr>
      <t>jessag1390@gmail.com</t>
    </r>
  </si>
  <si>
    <t>Jessica Aguilera</t>
  </si>
  <si>
    <t>2025-09-25T14:44:01+00:00</t>
  </si>
  <si>
    <t>2025-10-01T14:39:36+00:00</t>
  </si>
  <si>
    <r>
      <rPr>
        <u/>
        <sz val="11"/>
        <color rgb="FF1155CC"/>
        <rFont val="Cambria"/>
        <family val="1"/>
      </rPr>
      <t>contrato.medclic@gmail.com</t>
    </r>
  </si>
  <si>
    <t>ES1501824383950201930607</t>
  </si>
  <si>
    <t>avinguda primavera 72 esc C 1-1</t>
  </si>
  <si>
    <t>Jessica Aguilera Garcia</t>
  </si>
  <si>
    <t>47235178d</t>
  </si>
  <si>
    <t>Cerdanyola del Valles</t>
  </si>
  <si>
    <r>
      <rPr>
        <u/>
        <sz val="11"/>
        <color rgb="FF1155CC"/>
        <rFont val="Cambria"/>
        <family val="1"/>
      </rPr>
      <t>jessag1390@gmail.com</t>
    </r>
  </si>
  <si>
    <t>c51edb37-954f-46ce-b59c-beed103f850d</t>
  </si>
  <si>
    <t>04706865-4a6d-4423-9fc0-0af60351937e</t>
  </si>
  <si>
    <r>
      <rPr>
        <u/>
        <sz val="11"/>
        <color rgb="FF1155CC"/>
        <rFont val="Cambria"/>
        <family val="1"/>
      </rPr>
      <t>raimongarciachilleron@gmail.com</t>
    </r>
  </si>
  <si>
    <t>Raimon García</t>
  </si>
  <si>
    <t>2025-10-13T07:49:07+00:00</t>
  </si>
  <si>
    <t>2025-10-13T09:43:42+00:00</t>
  </si>
  <si>
    <r>
      <rPr>
        <u/>
        <sz val="11"/>
        <color rgb="FF1155CC"/>
        <rFont val="Cambria"/>
        <family val="1"/>
      </rPr>
      <t>contrato.medclic@gmail.com</t>
    </r>
  </si>
  <si>
    <t>ES0401824383900201637140</t>
  </si>
  <si>
    <t>Carrer d'Azcàrraga 37, 1era</t>
  </si>
  <si>
    <t>RAIMON GARCIA CHILLERON</t>
  </si>
  <si>
    <t>Raimon Garcia Chilleron</t>
  </si>
  <si>
    <t>València</t>
  </si>
  <si>
    <r>
      <rPr>
        <u/>
        <sz val="11"/>
        <color rgb="FF1155CC"/>
        <rFont val="Cambria"/>
        <family val="1"/>
      </rPr>
      <t>RAIARSALUT@GMAIL.COM</t>
    </r>
  </si>
  <si>
    <t>38de9de3-68a0-4ef8-a77c-def2fe22161c</t>
  </si>
  <si>
    <t>721a870e-e03d-4b29-a725-1d8d066729a6</t>
  </si>
  <si>
    <t>annasumarroca@gmail.com</t>
  </si>
  <si>
    <t>Anna Sumarroca</t>
  </si>
  <si>
    <t>2025-10-13T07:35:25+00:00</t>
  </si>
  <si>
    <t>2025-10-13T10:47:23+00:00</t>
  </si>
  <si>
    <r>
      <rPr>
        <u/>
        <sz val="11"/>
        <color rgb="FF1155CC"/>
        <rFont val="Cambria"/>
        <family val="1"/>
      </rPr>
      <t>contrato.medclic@gmail.com</t>
    </r>
  </si>
  <si>
    <t>C/ dos de maig 252 3-1</t>
  </si>
  <si>
    <t>Annasumarroca@gmail.com</t>
  </si>
  <si>
    <t>7bed9cf9-0e0d-416b-bd08-14e028fa8360</t>
  </si>
  <si>
    <t>4fd49a1f-b601-48d3-965d-1bdf0aa1801d</t>
  </si>
  <si>
    <r>
      <rPr>
        <u/>
        <sz val="11"/>
        <color rgb="FF1155CC"/>
        <rFont val="Cambria"/>
        <family val="1"/>
      </rPr>
      <t>Alfplazalopez@gmail.com</t>
    </r>
  </si>
  <si>
    <t>2025-10-14T15:29:22+00:00</t>
  </si>
  <si>
    <t>2025-10-15T07:09:44+00:00</t>
  </si>
  <si>
    <r>
      <rPr>
        <u/>
        <sz val="11"/>
        <color rgb="FF1155CC"/>
        <rFont val="Cambria"/>
        <family val="1"/>
      </rPr>
      <t>contrato.medclic@gmail.com</t>
    </r>
  </si>
  <si>
    <t>C/ Velero 12 3º C</t>
  </si>
  <si>
    <t>JOSE ALFONSO PLAZA LOPEZ</t>
  </si>
  <si>
    <t>MAJADAHONDA</t>
  </si>
  <si>
    <t>Alfplazalopez@gmail.com</t>
  </si>
  <si>
    <t>47efc76a-f07a-4a92-8438-8a011f1217c3</t>
  </si>
  <si>
    <t>b0cb0bda-e92f-4948-a68d-a34b1a052af6</t>
  </si>
  <si>
    <r>
      <rPr>
        <u/>
        <sz val="11"/>
        <color rgb="FF1155CC"/>
        <rFont val="Cambria"/>
        <family val="1"/>
      </rPr>
      <t>alo_orl@yahoo.es</t>
    </r>
  </si>
  <si>
    <t>2025-10-15T16:02:06+00:00</t>
  </si>
  <si>
    <t>2025-10-19T16:16:39+00:00</t>
  </si>
  <si>
    <r>
      <rPr>
        <u/>
        <sz val="11"/>
        <color rgb="FF1155CC"/>
        <rFont val="Cambria"/>
        <family val="1"/>
      </rPr>
      <t>contrato.medclic@gmail.com</t>
    </r>
  </si>
  <si>
    <t>Calle xiprers,42</t>
  </si>
  <si>
    <r>
      <rPr>
        <u/>
        <sz val="11"/>
        <color rgb="FF1155CC"/>
        <rFont val="Cambria"/>
        <family val="1"/>
      </rPr>
      <t>alo_orl@yahoo.es</t>
    </r>
  </si>
  <si>
    <t>14ed2a7e-5e2a-43a6-8326-65ccc38acde9</t>
  </si>
  <si>
    <t>a5471467-4157-40fe-b673-0b462315e6db</t>
  </si>
  <si>
    <t>cebacauto@gmail.com</t>
  </si>
  <si>
    <t>Mercedes Ceballo</t>
  </si>
  <si>
    <t>2025-11-06T11:02:25+00:00</t>
  </si>
  <si>
    <t>2025-11-08T12:53:28+00:00</t>
  </si>
  <si>
    <r>
      <rPr>
        <u/>
        <sz val="11"/>
        <color rgb="FF1155CC"/>
        <rFont val="Cambria"/>
        <family val="1"/>
      </rPr>
      <t>contrato.medclic@gmail.com</t>
    </r>
  </si>
  <si>
    <t>Calle Brasil n°12,2a</t>
  </si>
  <si>
    <t>41/4116589</t>
  </si>
  <si>
    <r>
      <rPr>
        <u/>
        <sz val="11"/>
        <color rgb="FF1155CC"/>
        <rFont val="Cambria"/>
        <family val="1"/>
      </rPr>
      <t>cebacauto@gmail.com</t>
    </r>
  </si>
  <si>
    <t>324af1f1-843a-453b-b9a4-5a4fd2194f61</t>
  </si>
  <si>
    <t>b2b3babde58c2aa65d8ad8847068496e</t>
  </si>
  <si>
    <t>miraescarti.vicente@gmail.com</t>
  </si>
  <si>
    <t>Vicente Mira Escarti</t>
  </si>
  <si>
    <t>21/11/2025 18:02:22 (1763748142UTCC)</t>
  </si>
  <si>
    <r>
      <rPr>
        <u/>
        <sz val="11"/>
        <color rgb="FF1155CC"/>
        <rFont val="Cambria"/>
        <family val="1"/>
      </rPr>
      <t>contrato.medclic@gmail.com</t>
    </r>
  </si>
  <si>
    <t>CALLE VIRGEN DE LA ESTRELLA NUMERO 1 3A JEREZ DE LA FRONTERA CÁDIZ
11405</t>
  </si>
  <si>
    <t>Cádiz</t>
  </si>
  <si>
    <t>35ac5a99-2a65-43bc-9dcd-4cd683bc84b8</t>
  </si>
  <si>
    <t>LRM266</t>
  </si>
  <si>
    <t>00f2bdf2-f3c2-436e-b98c-230a0725bebd</t>
  </si>
  <si>
    <t>sanchez.cano.noelia@gmail.com</t>
  </si>
  <si>
    <r>
      <rPr>
        <u/>
        <sz val="11"/>
        <color rgb="FF1155CC"/>
        <rFont val="Cambria"/>
        <family val="1"/>
      </rPr>
      <t>contrato.medclic@gmail.com</t>
    </r>
  </si>
  <si>
    <t>Calle Santa Teresa de Jesus 62 n 4 C</t>
  </si>
  <si>
    <t>5cba6f0d-1f99-44c2-9f5d-66a92de930f6</t>
  </si>
  <si>
    <r>
      <rPr>
        <u/>
        <sz val="11"/>
        <color rgb="FF1155CC"/>
        <rFont val="Cambria"/>
        <family val="1"/>
      </rPr>
      <t>mariahoo@hotmail.com</t>
    </r>
  </si>
  <si>
    <r>
      <rPr>
        <u/>
        <sz val="11"/>
        <color rgb="FF1155CC"/>
        <rFont val="Cambria"/>
        <family val="1"/>
      </rPr>
      <t>contrato.medclic@gmail.com</t>
    </r>
  </si>
  <si>
    <t>Calle Bilbao, 40</t>
  </si>
  <si>
    <t>Maria Jose Lesmas Navarro</t>
  </si>
  <si>
    <r>
      <rPr>
        <u/>
        <sz val="11"/>
        <color rgb="FF1155CC"/>
        <rFont val="Cambria"/>
        <family val="1"/>
      </rPr>
      <t>mjlesmas@gmail.com</t>
    </r>
  </si>
  <si>
    <t>be4deabf-6347-4f2e-9b06-e3b74f956e44</t>
  </si>
  <si>
    <t>6060b31e-3f53-420c-b301-2f6f62a456e9</t>
  </si>
  <si>
    <t>josemarihh92@gmail.com</t>
  </si>
  <si>
    <t>José María Hernandez Hernández</t>
  </si>
  <si>
    <t>2026-03-26T15:31:42+00:00</t>
  </si>
  <si>
    <t>2026-03-26T17:49:23+00:00</t>
  </si>
  <si>
    <t>ES6521003916900100060143</t>
  </si>
  <si>
    <t>Calle milano perlado n34</t>
  </si>
  <si>
    <t>josemarihh92@hmail.com</t>
  </si>
  <si>
    <t>FERROCARRIL</t>
  </si>
  <si>
    <t xml:space="preserve">Alejandra Carrasco </t>
  </si>
  <si>
    <t>J V Martin Aldea</t>
  </si>
  <si>
    <t>Carmen Muñoz Chamorro</t>
  </si>
  <si>
    <t>Elisardo Dobarrio</t>
  </si>
  <si>
    <t>Fernando José Suarez</t>
  </si>
  <si>
    <t>Rosa Amador</t>
  </si>
  <si>
    <t>Antonio Fraile Azpieta</t>
  </si>
  <si>
    <t>Gloria Bernal</t>
  </si>
  <si>
    <t>Enrique Cabrero</t>
  </si>
  <si>
    <t>AUDIOPLAN</t>
  </si>
  <si>
    <t>M Albarranz</t>
  </si>
  <si>
    <t>F Moreno</t>
  </si>
  <si>
    <t>Iván Muerte</t>
  </si>
  <si>
    <t>P Prieto</t>
  </si>
  <si>
    <t>Daniela Pérez</t>
  </si>
  <si>
    <t>E Delgado</t>
  </si>
  <si>
    <t>Gema Gundin</t>
  </si>
  <si>
    <t>P Morales</t>
  </si>
  <si>
    <t>Mercè Cabrera (Cataluña)</t>
  </si>
  <si>
    <t>Sant Boi</t>
  </si>
  <si>
    <t>Guillermo Fernández</t>
  </si>
  <si>
    <t>Josep Soriano</t>
  </si>
  <si>
    <t>Candido Roca</t>
  </si>
  <si>
    <t>Andrea Sánchez</t>
  </si>
  <si>
    <t>María Carmen Benito</t>
  </si>
  <si>
    <t>PARLA</t>
  </si>
  <si>
    <t>Ramón Martinez Carranza</t>
  </si>
  <si>
    <t xml:space="preserve">Tomasa García Ruiz </t>
  </si>
  <si>
    <t>Jonathan Esteban</t>
  </si>
  <si>
    <t>Jose Luis Arcones</t>
  </si>
  <si>
    <t>Alejandra Carrasco</t>
  </si>
  <si>
    <t>Sagrario Oviedo Sánchez</t>
  </si>
  <si>
    <t>Concepcion Martin Gª</t>
  </si>
  <si>
    <t>Justo Martinez Garcia</t>
  </si>
  <si>
    <t>Cristina Povedano</t>
  </si>
  <si>
    <t>Jose Luis Mingote Calderón</t>
  </si>
  <si>
    <t>M Carmen Gómez Caliz</t>
  </si>
  <si>
    <t>José Calvo Sánchez</t>
  </si>
  <si>
    <t>Rafael Vera</t>
  </si>
  <si>
    <t>Monserrat Pallares</t>
  </si>
  <si>
    <t>Isabel Granada</t>
  </si>
  <si>
    <t>Catalina Pulpillo</t>
  </si>
  <si>
    <t>Esther Montiel</t>
  </si>
  <si>
    <t>Cándido Barbosa Rodríguez</t>
  </si>
  <si>
    <t>Ramón Martínez Carranza.</t>
  </si>
  <si>
    <t>Paulina González González</t>
  </si>
  <si>
    <t>Purificación Hermoso Ortega</t>
  </si>
  <si>
    <t>Angeles Ruiz</t>
  </si>
  <si>
    <t>Alejandro Zazua</t>
  </si>
  <si>
    <t>Concepcion Sanchez Garcia</t>
  </si>
  <si>
    <t>Julia Gimenez</t>
  </si>
  <si>
    <t>Aurora Baena</t>
  </si>
  <si>
    <t>Teresa Salazar Rincón</t>
  </si>
  <si>
    <t>MANUEL NAVARRO</t>
  </si>
  <si>
    <t>Klaus Recher</t>
  </si>
  <si>
    <t>CONCEPCIÓN VIBALDA</t>
  </si>
  <si>
    <t>MERCEDES CASPE</t>
  </si>
  <si>
    <t>JOSE ANTONIO RODRIGUEZ</t>
  </si>
  <si>
    <t>PERE ESTIVILL</t>
  </si>
  <si>
    <t>Carlos Gonzalez Perez</t>
  </si>
  <si>
    <t>MBM193</t>
  </si>
  <si>
    <t>Rafael Escobar Manzano</t>
  </si>
  <si>
    <t>OLGA MALAGA</t>
  </si>
  <si>
    <t>MERCEDES SANTIAGO</t>
  </si>
  <si>
    <t>Guadalupe Coello</t>
  </si>
  <si>
    <t>Luis Caamaño Jimenez</t>
  </si>
  <si>
    <t>Manuel Gutierrez Trigueros</t>
  </si>
  <si>
    <t>Luis López jimenez</t>
  </si>
  <si>
    <t>Entregado</t>
  </si>
  <si>
    <t>Antonio Fernéndez Quesada</t>
  </si>
  <si>
    <t>Pasan a Tanzania</t>
  </si>
  <si>
    <t>Dinero por asignar</t>
  </si>
  <si>
    <t>Maria Carmen Caro</t>
  </si>
  <si>
    <t>Victoria Panadero Lanchas</t>
  </si>
  <si>
    <t>Pasa a su saldo</t>
  </si>
  <si>
    <t>Isabel Camarena Cano</t>
  </si>
  <si>
    <t>Falta recoger el informe</t>
  </si>
  <si>
    <t>Alvaro Carrillo</t>
  </si>
  <si>
    <t>Inmaculada Córdoba Ruiz de Gúzman</t>
  </si>
  <si>
    <t xml:space="preserve">Guillermo SanJuan </t>
  </si>
  <si>
    <t>Natividad Ordás</t>
  </si>
  <si>
    <t>Mar Martínez</t>
  </si>
  <si>
    <t>Enedina Marcos</t>
  </si>
  <si>
    <t xml:space="preserve">Teodoro Ríos </t>
  </si>
  <si>
    <t>Antonio Martínez</t>
  </si>
  <si>
    <t>Angelica León</t>
  </si>
  <si>
    <t>Emilio Pere López</t>
  </si>
  <si>
    <t>Patrick Kullen</t>
  </si>
  <si>
    <t>Teodora Monje</t>
  </si>
  <si>
    <t>Manuela Calderón</t>
  </si>
  <si>
    <t>Juan Miguel Fernández</t>
  </si>
  <si>
    <t xml:space="preserve">Esther Montiel </t>
  </si>
  <si>
    <t>Adela Rodriguez</t>
  </si>
  <si>
    <t>Almudena de Fuentes</t>
  </si>
  <si>
    <t>Ángles Sierra Ortega</t>
  </si>
  <si>
    <t>Alejandro Harguindey</t>
  </si>
  <si>
    <t>Cecilio de Pedro</t>
  </si>
  <si>
    <t>Casimiro Muñoz Fontan</t>
  </si>
  <si>
    <t>Maite Castro Nevado</t>
  </si>
  <si>
    <t>Gema Gundin Rivas</t>
  </si>
  <si>
    <t>Angeles Albertos Fernandez</t>
  </si>
  <si>
    <t>Francisca Burgos Garrido</t>
  </si>
  <si>
    <t>Gladis Margarita Quijada</t>
  </si>
  <si>
    <t>Valentin Prieto</t>
  </si>
  <si>
    <t>Pedro Antonio Mogollón Cruz</t>
  </si>
  <si>
    <t>Mes nombre</t>
  </si>
  <si>
    <t>FECHA DE ALTA</t>
  </si>
  <si>
    <t>RECOMPRAVACIÓN</t>
  </si>
  <si>
    <t>Captación</t>
  </si>
  <si>
    <t>Captación 2</t>
  </si>
  <si>
    <t>Orl</t>
  </si>
  <si>
    <t>PACIENTE</t>
  </si>
  <si>
    <t>Fecha Compra</t>
  </si>
  <si>
    <t>Diagnóstico</t>
  </si>
  <si>
    <t>Nº de Audífonos</t>
  </si>
  <si>
    <t>Detalle</t>
  </si>
  <si>
    <t>PVP</t>
  </si>
  <si>
    <t>ALTA</t>
  </si>
  <si>
    <t>ENERO</t>
  </si>
  <si>
    <t>COMPRA</t>
  </si>
  <si>
    <t>03 ORL</t>
  </si>
  <si>
    <t>06 ORL</t>
  </si>
  <si>
    <t>DR. ANTONIO RODRÍGUEZ RIVERO</t>
  </si>
  <si>
    <t>MAIKA BLÁZQUEZ (MADRID)</t>
  </si>
  <si>
    <t>ANTONIA RAMOS SORIANO</t>
  </si>
  <si>
    <t>CONFORT</t>
  </si>
  <si>
    <t>DRA. MARÍA GARROTE GARROTE</t>
  </si>
  <si>
    <t>JUANA GONZALEZ MARTIN</t>
  </si>
  <si>
    <t>QUIET</t>
  </si>
  <si>
    <t>01 MARKETING ON LINE</t>
  </si>
  <si>
    <t>04 AUDIFONO,ES</t>
  </si>
  <si>
    <t>DRA. ELVYLINS VARGAS YGLESIA</t>
  </si>
  <si>
    <t>ROCIO GARCIA ARANDA</t>
  </si>
  <si>
    <t>DR. JORGE BENITO JIMÉNEZ</t>
  </si>
  <si>
    <t>LUIS ALBERTO RODRÍGUEZ (ANDALUCÍA Y BADAJOZ)</t>
  </si>
  <si>
    <t>ANTONIO RAMOS JIMENEZ</t>
  </si>
  <si>
    <t>DRA. LUCIA PRIETO SÁNCHEZ DE LA PUERTA</t>
  </si>
  <si>
    <t>CARMEN PALACIO CASAUS</t>
  </si>
  <si>
    <t>ISIDORA POSADA DE LA FUENTE</t>
  </si>
  <si>
    <t>Alfaz del Pi</t>
  </si>
  <si>
    <t>DR. LINO ENGUIDANOS HERNANDORENA</t>
  </si>
  <si>
    <t>IVÁN SÁNCHEZ (LEVANTE Y ALBACETE)</t>
  </si>
  <si>
    <t>MANUEL RODRIGUEZ BUGALLO</t>
  </si>
  <si>
    <t>DR. FRANCISCO PASTOR BEVIÁ</t>
  </si>
  <si>
    <t>CARMEN OROVAY BARBER</t>
  </si>
  <si>
    <t>AVANCED</t>
  </si>
  <si>
    <t>DRA. ELISABETH AMARILLO ESPITIA</t>
  </si>
  <si>
    <t>MARIA DE LA GRANADA CAMPOS MARTIN</t>
  </si>
  <si>
    <t>NO REUERDA ORL</t>
  </si>
  <si>
    <t>MANUELA ALVAREZ FEITO</t>
  </si>
  <si>
    <t>Palencia</t>
  </si>
  <si>
    <t>DR. MANUEL ACUÑA GARCÍA</t>
  </si>
  <si>
    <t>PATRICIA SOLACHE (CASTILLA Y LEÓN)</t>
  </si>
  <si>
    <t>LUCIANA GARCIA BLANCO</t>
  </si>
  <si>
    <t>Ponferrada</t>
  </si>
  <si>
    <t>DRA. MÓNICA GRANDA ROSALES</t>
  </si>
  <si>
    <t>SANTIAGO GARCÍA DE LAMO (FINALIZÓ 1-01-24)</t>
  </si>
  <si>
    <t>MONTSERRAT RODRIGUEZ VAZQUEZ</t>
  </si>
  <si>
    <t>DR. JAIME SANABRIA BRASSART</t>
  </si>
  <si>
    <t>MARIA SOLEDAD LUENGO GONZALEZ</t>
  </si>
  <si>
    <t>DR. IGNACIO ALBALADEJO DEVIS</t>
  </si>
  <si>
    <t>JOSEFA LOPEZ LOPEZ</t>
  </si>
  <si>
    <t>DR. LUÍS MARTÍNEZ BERNABEU</t>
  </si>
  <si>
    <t>JOSE LUIS TORRES RUIZ</t>
  </si>
  <si>
    <t>Valladolid</t>
  </si>
  <si>
    <t>DRA. PATRICIA VIVEROS DIEZ</t>
  </si>
  <si>
    <t>BEATRIZ GOMEZ DE LA FUENTA</t>
  </si>
  <si>
    <t>DRA. VICTORIA GARCÍA PECES</t>
  </si>
  <si>
    <t>INDALECIO QUIROS NIETO</t>
  </si>
  <si>
    <t>ROSARIO SANABRIA QUINTANA</t>
  </si>
  <si>
    <t>DRA. ITHZEL MARIA VILLARREAL PATIÑO</t>
  </si>
  <si>
    <t>MELCHOR ALVAREZ ALVAREZ</t>
  </si>
  <si>
    <t>DRA. MARÍA SANTILLÁN SÁNCHEZ</t>
  </si>
  <si>
    <t>MILAGROS COGOLLUDO REMON</t>
  </si>
  <si>
    <t>DR. CÉSAR CHARLES MARTÍNEZ</t>
  </si>
  <si>
    <t>PRESENTACION GOMEZ LAVELA</t>
  </si>
  <si>
    <t>DR. OSCAR ALEMÁN LÓPEZ</t>
  </si>
  <si>
    <t>ANTONIO GARCIA DIAZ</t>
  </si>
  <si>
    <t>DRA. CRISTINA VADUVA</t>
  </si>
  <si>
    <t>PILAR SOBRINO SEGOVIA</t>
  </si>
  <si>
    <t>Logroño</t>
  </si>
  <si>
    <t>DR. FERNANDO SALAZAR BARCELONA</t>
  </si>
  <si>
    <t>MARCOS BURGOS ADAN</t>
  </si>
  <si>
    <t>DR. JULIO LÓPEZ MOYA</t>
  </si>
  <si>
    <t>RAMON EIROA CANALES</t>
  </si>
  <si>
    <t>Salamanca</t>
  </si>
  <si>
    <t>DR. MARÍA JESÚS CORNEJO DOMÍNGUEZ</t>
  </si>
  <si>
    <t>MARIA LUISA ROMERO PRIETO</t>
  </si>
  <si>
    <t>DR. MIGUEL ALBERTO RODRÍGUEZ PÉREZ</t>
  </si>
  <si>
    <t>IGNACIO MANUEL BAREA CABEZAS</t>
  </si>
  <si>
    <t>DRA. ANTONIA CARRANZA CALLEJA</t>
  </si>
  <si>
    <t>MARIA PILAR COCA MARTINEZ</t>
  </si>
  <si>
    <t>PRO</t>
  </si>
  <si>
    <t>Boiro</t>
  </si>
  <si>
    <t>DR. ERNESTO VARELA MARTÍNEZ</t>
  </si>
  <si>
    <t>ROBERTO PEREIRA (GALICIA)</t>
  </si>
  <si>
    <t>JOAQUIN ROMERO LORENZO</t>
  </si>
  <si>
    <t>SOCIAL</t>
  </si>
  <si>
    <t>DR. ANTONIO BUENO RÍOS</t>
  </si>
  <si>
    <t>MARIANO ECHEVARRIA CABALLERO</t>
  </si>
  <si>
    <t>DR. EMILIO SAURA SÁNCHEZ-PARRA</t>
  </si>
  <si>
    <t>JOSE SOLER SANCHEZ</t>
  </si>
  <si>
    <t>DR. HUGO LARA SÁNCHEZ</t>
  </si>
  <si>
    <t>ANTONIO JIMENEZ ARROYO</t>
  </si>
  <si>
    <t>Vigo</t>
  </si>
  <si>
    <t>DRA. PILAR CASTRO RUIZ</t>
  </si>
  <si>
    <t>PEDRO IGLESIAS CONDE</t>
  </si>
  <si>
    <t>DR. Alejandro Harguindey Antoli-Candela</t>
  </si>
  <si>
    <t>MARIA TERESA DEL POZO SOBRINO</t>
  </si>
  <si>
    <t>Terrassa</t>
  </si>
  <si>
    <t>DR. JOAQUIM BROTO SUMALLA</t>
  </si>
  <si>
    <t>ORIOL LLORENS (CATALUÑA Y BALEARES)</t>
  </si>
  <si>
    <t>RICARDO PEREZ ABELLA</t>
  </si>
  <si>
    <t>DRA. LORENA SANZ LÓPEZ</t>
  </si>
  <si>
    <t>SANTIAGO LLORENTE GONZALEZ</t>
  </si>
  <si>
    <t>DR. DARÍO AGUDELO GARCÍA</t>
  </si>
  <si>
    <t>MANEL PEIDRO VIDAL</t>
  </si>
  <si>
    <t>MARÍA AGUSTINA SEVILLA GARCÍA</t>
  </si>
  <si>
    <t>JOSE LUIS CABRERA PEREZ</t>
  </si>
  <si>
    <t>DR. LUIS FLORENCIO ALBA</t>
  </si>
  <si>
    <t>MANUEL DE LA FUENTE DIAZ</t>
  </si>
  <si>
    <t>DR. FRANCISCO ANTONIO PÉREZ FERNÁNDEZ</t>
  </si>
  <si>
    <t>RAFAELA QUIROS MARMOL</t>
  </si>
  <si>
    <t>DR. EDUARDO LEHRER CORIAT</t>
  </si>
  <si>
    <t>JAVIER TALISA</t>
  </si>
  <si>
    <t>Cáceres</t>
  </si>
  <si>
    <t>DR. RAED MAQUED EL MAQUED</t>
  </si>
  <si>
    <t>LISANDRO RUSSIAN (MADRID,CÁCERES, TOLEDO, TALAVERA Y LOGROÑO)</t>
  </si>
  <si>
    <t>NARCISO CORDERO DELGADO</t>
  </si>
  <si>
    <t>DRA. MARINA MADRIGAL REVUELTA</t>
  </si>
  <si>
    <t>JEZABEL GONZALEZ DIEZ</t>
  </si>
  <si>
    <t>RAUL GALLEGO PRIETO</t>
  </si>
  <si>
    <t>A Estrada</t>
  </si>
  <si>
    <t>DR. CARLOS VIDAL REDONDO</t>
  </si>
  <si>
    <t>JOSE SOUTO UZAL</t>
  </si>
  <si>
    <t>DR. ADOLFO TOLEDANO MUÑOZ</t>
  </si>
  <si>
    <t>MARIA ASUNCION SANCHEZ DE LA TORRE</t>
  </si>
  <si>
    <t>DR. VICENTE MARTÍNEZ SANTOS</t>
  </si>
  <si>
    <t>CARMEN VICENTE BADAS</t>
  </si>
  <si>
    <t>DR. JOSÉ GUSTAVO BARROSO BRAOJOS</t>
  </si>
  <si>
    <t>PALOMA GUERRERO GOMEZ</t>
  </si>
  <si>
    <t>FRANCISCO PEREZ DE CAMINO</t>
  </si>
  <si>
    <t>Madrid- Galileo</t>
  </si>
  <si>
    <t>DRA. MARÍA TERESA HERRERA MERA</t>
  </si>
  <si>
    <t>MARIA CRISTINA GARCIA COMAS</t>
  </si>
  <si>
    <t>JESUS PASCUAL OLIVA</t>
  </si>
  <si>
    <t>DRA. VANIA NOVOA JUIZ</t>
  </si>
  <si>
    <t>JOSE VICENTE VALERA</t>
  </si>
  <si>
    <t>MANUEL MARTINEZ ODERO</t>
  </si>
  <si>
    <t>RAMONA LOPEZ HERNANDEZ</t>
  </si>
  <si>
    <t>Zaragoza</t>
  </si>
  <si>
    <t>DR. JESÚS JOSÉ FRAILE RODRIGO</t>
  </si>
  <si>
    <t>LAURA GUTIERREZ LOPEZ</t>
  </si>
  <si>
    <t>DRA. ALICIA MATEO ESPINOSA</t>
  </si>
  <si>
    <t>BARTOLOME LARA CALERO</t>
  </si>
  <si>
    <t>NOEMI ESTRELLA BABASASA</t>
  </si>
  <si>
    <t>OTILIA MESURO FELIZ</t>
  </si>
  <si>
    <t>DANIEL ALPUENTE MILLANES</t>
  </si>
  <si>
    <t>DRA. PALOMA PINACHO MARTÍNEZ</t>
  </si>
  <si>
    <t>BARTOLOMEO FABIO MARRA</t>
  </si>
  <si>
    <t>JOSE ALBERTO LOPEZ MONTERO</t>
  </si>
  <si>
    <t>A Coruña</t>
  </si>
  <si>
    <t>7 ORL</t>
  </si>
  <si>
    <t>DRA. MERCEDES ÁLVAREZ-BUYLLA BLANCO</t>
  </si>
  <si>
    <t>MARIA DE LOS ANGELES MARIA CARRIL</t>
  </si>
  <si>
    <t>AO</t>
  </si>
  <si>
    <t>OMNIA HI,RU560-DRWC,RIE,CHMPN</t>
  </si>
  <si>
    <t>DR. GARCÍA DOMÍNGUEZ</t>
  </si>
  <si>
    <t>MERCEDES BLAZQUEZ RODILLA</t>
  </si>
  <si>
    <t>MARIA ANGELES ESPEJO SILVA</t>
  </si>
  <si>
    <t>DR. JESUS-MARIA GRASA PÉREZ</t>
  </si>
  <si>
    <t>MARIA SOLER PADILLA</t>
  </si>
  <si>
    <t>ANTONIO PORRES DIAZ</t>
  </si>
  <si>
    <t>DR. JESÚS MIGUEL INIESTA TURPÍN</t>
  </si>
  <si>
    <t>KAMILIA BOUFAIDA</t>
  </si>
  <si>
    <t>TOMAS LOPEZ GARCIA</t>
  </si>
  <si>
    <t>ESTEBAN MOLINA MARTINEZ</t>
  </si>
  <si>
    <t>ELISEA VELASCO HERREROS</t>
  </si>
  <si>
    <t>DR. JOSÉ MANUEL GARCÍA SOLANS-ESTERAS</t>
  </si>
  <si>
    <t>VICTORIANO CABRERA GONZALEZ</t>
  </si>
  <si>
    <t>Carballo</t>
  </si>
  <si>
    <t>DR. JOSÉ EUGENIO ESTRADA GROMAZ</t>
  </si>
  <si>
    <t>MAGDALENA FERREÑO MARTINEZ</t>
  </si>
  <si>
    <t>Lalín</t>
  </si>
  <si>
    <t>DR. EDUARDO CABANAS RODRÍGUEZ</t>
  </si>
  <si>
    <t>JOSE LUIS GUTIERREZ VICTOR</t>
  </si>
  <si>
    <t>DR. JAVIER GARCÍA DOMÍNGUEZ</t>
  </si>
  <si>
    <t>LUIS ALVAREZ MARTIN</t>
  </si>
  <si>
    <t>TERESA ERMOCIDA LONGO</t>
  </si>
  <si>
    <t>DR. FRANCISCO GARCÍA PURRIÑOS</t>
  </si>
  <si>
    <t>JUAN GARCIA PEREZ</t>
  </si>
  <si>
    <t>CRISTINA GERBOLES FREIXAS</t>
  </si>
  <si>
    <t>DR. GERARDO MONEDERO RODRIGO</t>
  </si>
  <si>
    <t>ANGEL VEGA RUBIO</t>
  </si>
  <si>
    <t>Mª JESUS ALARCON MENCHEN</t>
  </si>
  <si>
    <t>DR. Eviatar Friedlander</t>
  </si>
  <si>
    <t>ISABEL MARTIN GOMEZ</t>
  </si>
  <si>
    <t>Madrid- Monforte De Lemos</t>
  </si>
  <si>
    <t>DR. FERNANDO CRISTÓBAL</t>
  </si>
  <si>
    <t>MARIA VISITACION RIOJA SANCHEZ</t>
  </si>
  <si>
    <t>DRA. PAULA HERNÁNDEZ RUÍZ</t>
  </si>
  <si>
    <t>IRVIN DOAK</t>
  </si>
  <si>
    <t>DR. PEDRO BLANCO PÉREZ,</t>
  </si>
  <si>
    <t>GLORIA GARCIA MARCOS</t>
  </si>
  <si>
    <t>GASPAR FLAVIA NOTARIO</t>
  </si>
  <si>
    <t>CONCHA AYALA ALONSO</t>
  </si>
  <si>
    <t>JOSE MARTINEZ FAGOAGA</t>
  </si>
  <si>
    <t>DR. ENRIQUE MELCOM DIEZ</t>
  </si>
  <si>
    <t>ALBERTO CUESTA TARRIO</t>
  </si>
  <si>
    <t>DR. JUAN PABLO PELEGRÍN HERNÁNDEZ</t>
  </si>
  <si>
    <t>ENCARNACION MARTINEZ CONESA</t>
  </si>
  <si>
    <t>SHEILA MARGARET BROOKES</t>
  </si>
  <si>
    <t>DR. CARLOS MIGUEL SALVADOR MARTÍNEZ</t>
  </si>
  <si>
    <t>AGUSTIN DE LA HERA VILLEGAS</t>
  </si>
  <si>
    <t>DR. IGNACIO LLOPEZ CARRATALÁ</t>
  </si>
  <si>
    <t>RAMON FERRANDO(VALENCIA)</t>
  </si>
  <si>
    <t>FERNANDO CUERVO ARGUDIN</t>
  </si>
  <si>
    <t>DRA. ISABEL POLO TOMÁS</t>
  </si>
  <si>
    <t>JUAN CORTES Zaragoza</t>
  </si>
  <si>
    <t>DRA. Mª ISABEL CASTRO CANELADA</t>
  </si>
  <si>
    <t>RAUL FRESNEDA SANTILLANA</t>
  </si>
  <si>
    <t>ISABEL MARTIN JARDIN</t>
  </si>
  <si>
    <t>DRA. PALOMA MARTÍN- ARAGÓN MARTIÍ</t>
  </si>
  <si>
    <t>JOSE MIGUEL RUBIO ALVAREZ</t>
  </si>
  <si>
    <t>SANTIAGO FERNANDEZ SANCHEZ</t>
  </si>
  <si>
    <t>TEODORA LARGO BARBANCHO</t>
  </si>
  <si>
    <t>DRA. ROSARIO GARCIA MONESCILLO</t>
  </si>
  <si>
    <t>BRYAN LONDOÑO PEREZ</t>
  </si>
  <si>
    <t>DR. JESÚS RAMOS FERNÁNDEZ</t>
  </si>
  <si>
    <t>CONSTANZA GARCIA PEDROSO</t>
  </si>
  <si>
    <t>DR. JOAQUÍN ALACIO CASERO</t>
  </si>
  <si>
    <t>JOSEFINA PRADO ALCANTARA</t>
  </si>
  <si>
    <t>CONCEPCION BAYONA AYALA</t>
  </si>
  <si>
    <t>DR. IGNACIO PLA GIL</t>
  </si>
  <si>
    <t>JOSE GIL ALCAINA</t>
  </si>
  <si>
    <t>DR. FÉLIX RUÍZ DE LA CUESTA JUSTE</t>
  </si>
  <si>
    <t>MAXIMO FRENCH CAVALLI</t>
  </si>
  <si>
    <t>DR. DANIEL MORENO JIMENEZ</t>
  </si>
  <si>
    <t>JOSE GARROSA MARTIN</t>
  </si>
  <si>
    <t>DR. CARLOS BARAJAS DEL ROSAL</t>
  </si>
  <si>
    <t>KAPI</t>
  </si>
  <si>
    <t>AURELIO ROSALES NOGUERA</t>
  </si>
  <si>
    <t>MARIA RAMONA PERONA CEBRIAN</t>
  </si>
  <si>
    <t>DR. JUAN JAVIER ÁLVAREZ LÓPEZ</t>
  </si>
  <si>
    <t>MANUEL LOPEZ LOPEZ</t>
  </si>
  <si>
    <t>DR. ÁNGEL MUÑOZ HERRERA</t>
  </si>
  <si>
    <t>ASUNCION ALONSO FERNANDEZ</t>
  </si>
  <si>
    <t>VICTOR MONTERREAL BLAZQUEZ</t>
  </si>
  <si>
    <t>DRA. MONTSERRAT PORTELL SORIANO</t>
  </si>
  <si>
    <t>GUADALUPE PEREZ GOMEZ</t>
  </si>
  <si>
    <t>Lugo</t>
  </si>
  <si>
    <t>DR. PEDRO JUIZ LÓPEZ</t>
  </si>
  <si>
    <t>MARIA DOLORES CASTRO SANCHEZ</t>
  </si>
  <si>
    <t>MARIA GENOVEVA MOREIRA CARRO</t>
  </si>
  <si>
    <t>MARIA ARANTZAZU SANZ ERICE</t>
  </si>
  <si>
    <t>DRA. BÁRBARA CASTILLO ÁVILA</t>
  </si>
  <si>
    <t>MANUEL GARCIA CORDERO</t>
  </si>
  <si>
    <t>DRA. MARÍA REY MARCOS</t>
  </si>
  <si>
    <t>FRANCISCO CID QUIROGA</t>
  </si>
  <si>
    <t>MARIA JOSE PEREZ FERRER</t>
  </si>
  <si>
    <t>DRA. DIANA LISBETH</t>
  </si>
  <si>
    <t>GERMAN ALVAREZ VEGA</t>
  </si>
  <si>
    <t>DRA. PATRICIA EZCURRA HERNÁNDEZ</t>
  </si>
  <si>
    <t>SOLEDAD MAQUEDA GARCIA</t>
  </si>
  <si>
    <t>MARIA TERESA LOPEZ URIEL</t>
  </si>
  <si>
    <t>NURIA ROGEL RODRIGUEZ</t>
  </si>
  <si>
    <t>DR. JOSÉ ANTONIO DÍAZ MANZANO</t>
  </si>
  <si>
    <t>ANTONIO ZAMBUDIO BURILLO</t>
  </si>
  <si>
    <t>CATALINA ROMERO HUESCAR</t>
  </si>
  <si>
    <t>MARIA JOSEFA ALBERO JAEN</t>
  </si>
  <si>
    <t>MIGUEL ANGEL SANTOS RUIZ</t>
  </si>
  <si>
    <t>DR. MIGUEL MAYO YÁÑEZ</t>
  </si>
  <si>
    <t>JOSE MANUEL CAL VALE</t>
  </si>
  <si>
    <t>RS NEXIA NX560S-DRWC,BRNZ,RS NEXIA NX560S-DRWC,BRNZ</t>
  </si>
  <si>
    <t>FEBRERO</t>
  </si>
  <si>
    <t>MARIA REYES MUÑOZ RAMOS</t>
  </si>
  <si>
    <t>ESPERANZA CARRION PALOMO</t>
  </si>
  <si>
    <t>JOSE ANTONIO SANTOS CASTRO</t>
  </si>
  <si>
    <t>ROSA ALBALADEJO</t>
  </si>
  <si>
    <t>BARBARA BLANCO SUAREZ</t>
  </si>
  <si>
    <t>DR. JORGE PRADA PENDOLERO</t>
  </si>
  <si>
    <t>MARIA DEL CARMEN BLAZQUEZ SANCHEZ</t>
  </si>
  <si>
    <t>ANTONIO ELIAS BELTRAN RINCON</t>
  </si>
  <si>
    <t>DRA. SALWA LARAQUI HOSSINI</t>
  </si>
  <si>
    <t>ISABEL SANTANA PRADAS</t>
  </si>
  <si>
    <t>MARIA DOLORES IVORRA BROTONS</t>
  </si>
  <si>
    <t>Cuenca</t>
  </si>
  <si>
    <t>DR. RAFAEL MARTÍNEZ GARCERAN</t>
  </si>
  <si>
    <t>PEDRO JOSE MARTINEZ HERREROS</t>
  </si>
  <si>
    <t>VICTORIA MAVRU</t>
  </si>
  <si>
    <t>SANTIAGO RODRIGUEZ PRIETO</t>
  </si>
  <si>
    <t>DRA. CAYETANA LÓPEZ LADRÓN GARCÍA DE LA BORBOLLA</t>
  </si>
  <si>
    <t>ANGELA MARTINEZ MARIN</t>
  </si>
  <si>
    <t>DR. JOAQUÍN GUERRA GÓMEZ</t>
  </si>
  <si>
    <t>FIDEL CALVELO CANCELA</t>
  </si>
  <si>
    <t>DR. JOSE JOAQUÍN GUTIÉRREZ BARQUÍN</t>
  </si>
  <si>
    <t>LOTARIO ARROYO DE LAS HERAS</t>
  </si>
  <si>
    <t>MILAGROS GALLARDO CRUZ</t>
  </si>
  <si>
    <t>JOSE LUIS BURGO LOPEZ</t>
  </si>
  <si>
    <t>TEODORO VALBUENA CABEZUDO</t>
  </si>
  <si>
    <t>DR. JAVIER LAFARGA VÁZQUEZ</t>
  </si>
  <si>
    <t>MANUELA REBOLLO ESPINOSA</t>
  </si>
  <si>
    <t>DR. FRANCISCO J, REDONDO DEL BARCO</t>
  </si>
  <si>
    <t>MARIA DEL MAR GALLARDO DELGADO</t>
  </si>
  <si>
    <t>FLORENCIO MUÑOZ HERNANDEZ</t>
  </si>
  <si>
    <t>DRA. NATHALIE FAGES CÁRCELES</t>
  </si>
  <si>
    <t>PEDRO ROSELL BROCAL</t>
  </si>
  <si>
    <t>ANTONIO GARCIA MUÑOZ</t>
  </si>
  <si>
    <t>DR. GABRIEL ÁLVAREZ CURRO</t>
  </si>
  <si>
    <t>SOFIA LEON QUISPE</t>
  </si>
  <si>
    <t>CARMEN GARCIA LOPEZ</t>
  </si>
  <si>
    <t>CAROLINA VEGA TEJERO</t>
  </si>
  <si>
    <t>MARIANO LOPEZ LOSAÑEZ</t>
  </si>
  <si>
    <t>DRA. ITZIAR ÁLVAREZ PALACIOS</t>
  </si>
  <si>
    <t>PILAR RODRIGUEZ CHICHARRO</t>
  </si>
  <si>
    <t>DR. ESTEBAN SCOLA PLIEGO</t>
  </si>
  <si>
    <t>ENRIQUE GARCIAMOCHALES DEL OLMO</t>
  </si>
  <si>
    <t>JOSE CARAVACA ESPEJO</t>
  </si>
  <si>
    <t>DR. FIORELLA MARCINO MOREIRA</t>
  </si>
  <si>
    <t>DAVID ESCRIBANO ROS</t>
  </si>
  <si>
    <t>DRA. AINHOA MORENO BRAVO</t>
  </si>
  <si>
    <t>MIGUEL MORALEDA SOLANO</t>
  </si>
  <si>
    <t>DR. ANTONIO GUSTAVO LIROLA DELGADO</t>
  </si>
  <si>
    <t>DOLORES PEREIRA FERREIRO</t>
  </si>
  <si>
    <t>DR. LUIS MEGÍAS GÁMIZ</t>
  </si>
  <si>
    <t>ANGEL LUIS GARCIMARTIN GUSTIN</t>
  </si>
  <si>
    <t>JUAN SIMON GONZALO ARRIBA</t>
  </si>
  <si>
    <t>MARIA TRINIDAD MONZON REJON</t>
  </si>
  <si>
    <t>DR. ADOLFO CARLOS HINOJAR GUTIERREZ</t>
  </si>
  <si>
    <t>JUAN AVEZUELA CHAPINAL</t>
  </si>
  <si>
    <t>MERCEDES RAIMIL GONZALEZ</t>
  </si>
  <si>
    <t>ISABEL BERMEJO VELASCO</t>
  </si>
  <si>
    <t>DRA. MARÍA PÉREZ SEPÚLVEDA</t>
  </si>
  <si>
    <t>JOSE CARLOS REGO FERNANDEZ</t>
  </si>
  <si>
    <t>MARIA DEL MAR HERNANDEZ BELTRAN</t>
  </si>
  <si>
    <t>DR. JAVIER ALONSO ORTEGA</t>
  </si>
  <si>
    <t>JACINTO CENTENO DELGADO</t>
  </si>
  <si>
    <t>JUDITH NANSY HAANSTAD</t>
  </si>
  <si>
    <t>RAFAEL GARCIA BELCHI</t>
  </si>
  <si>
    <t>DR. JORGE ALFARO GARCÍA</t>
  </si>
  <si>
    <t>PILAR JUDEZ MUÑOZ</t>
  </si>
  <si>
    <t>JUAN ANTONIO SIRVENT SANTAMARIA</t>
  </si>
  <si>
    <t>MANUEL CRISTIANO ROMERO</t>
  </si>
  <si>
    <t>AURORA PERNAUTE ALVAREZ</t>
  </si>
  <si>
    <t>MARIA ANGELES GARCIA TORRES</t>
  </si>
  <si>
    <t>MANUEL MARTINEZ GUTIERREZ</t>
  </si>
  <si>
    <t>CARMEN MARTINEZ PUJANTE</t>
  </si>
  <si>
    <t>DR. Rafael Alfonso Hurtado Ruzza</t>
  </si>
  <si>
    <t>BERNARDINO RIVAS RIVAS</t>
  </si>
  <si>
    <t>DR. ANTONIO GANDÚL MERCHÁN</t>
  </si>
  <si>
    <t>ANGEL ARGENTA BRAOJOS</t>
  </si>
  <si>
    <t>DR. MIGUEL ANTONIO SHEPHERD GONZÁLEZ</t>
  </si>
  <si>
    <t>VIOLETA DEL CARMEN RUIZ DE MARTINEZ</t>
  </si>
  <si>
    <t>FELICIDAD MIGALLON MIGALLON</t>
  </si>
  <si>
    <t>DR. MANUEL GONZÁLEZ JULIAO</t>
  </si>
  <si>
    <t>CASILDA RODRIGUEZ PEREZ</t>
  </si>
  <si>
    <t>DRA. MARÍA GIL MELCÓN</t>
  </si>
  <si>
    <t>ANGEL ROSADO SANCHEZ</t>
  </si>
  <si>
    <t>DR. PEDRO SEGUÍ MOYA</t>
  </si>
  <si>
    <t>CORTES GARCIA MORENO</t>
  </si>
  <si>
    <t>DRA. MARTA SANDOVAL PUIG</t>
  </si>
  <si>
    <t>RENALDO ALBERTO VELAZQUEZ CHACON</t>
  </si>
  <si>
    <t>MAGDALENA PEÑA RODRIGUEZ</t>
  </si>
  <si>
    <t>EDELMIRA ANTON RODRIGUEZ</t>
  </si>
  <si>
    <t>DOLORES CARBALLEDO FERNANDEZ</t>
  </si>
  <si>
    <t>DR. LAURA YEGUAS RAMÍREZ</t>
  </si>
  <si>
    <t>MANUEL HERNANDEZ JODRA</t>
  </si>
  <si>
    <t>Oviedo</t>
  </si>
  <si>
    <t>DR. FEDERICO ARRUTIA DIEZ</t>
  </si>
  <si>
    <t>ANGELES MARTINEZ (OVIEDO Y GIJÓN)</t>
  </si>
  <si>
    <t>ANSELMO FUENTES FERNANDEZ</t>
  </si>
  <si>
    <t>ORLANDO DOS ANJOS LEITES ALVES</t>
  </si>
  <si>
    <t>JOSE MANUEL ALCAZAR MONFORT</t>
  </si>
  <si>
    <t>DR. EVIANS GÓMEZ DE LA ROSA</t>
  </si>
  <si>
    <t>CARMEN BALLESTE PANTIN</t>
  </si>
  <si>
    <t>JACINTO RODRIGUEZ CAMISON</t>
  </si>
  <si>
    <t>DRA. PAULA AVILES MAÑOSO</t>
  </si>
  <si>
    <t>CARMEN GUTIERREZ FERNANDEZ</t>
  </si>
  <si>
    <t>DR. JESÚS ATALAYA DÍAZ</t>
  </si>
  <si>
    <t>JESUS RODRIGUEZ LASTRA</t>
  </si>
  <si>
    <t>AVELINO AGUIRRE DURANA</t>
  </si>
  <si>
    <t>MARIA DEL OLMO COBEÑA</t>
  </si>
  <si>
    <t>MARIA DEL CARMEN MINGUILLON HERNANDEZ</t>
  </si>
  <si>
    <t>DRA. Mª FERNANDA ESCALA PEDREROS</t>
  </si>
  <si>
    <t>EDUARDO GARCIA GARCIMARTIN</t>
  </si>
  <si>
    <t>ALVARO RUIZ GARCIA</t>
  </si>
  <si>
    <t>DR. ANDRÉS BARRIOS RECIO</t>
  </si>
  <si>
    <t>MARIE CLAUDE JACQUEMIN</t>
  </si>
  <si>
    <t>DRA. Mª LUISA CALERO RAMOS</t>
  </si>
  <si>
    <t>JOSE ANTONIO PACHECO CAPA</t>
  </si>
  <si>
    <t>MAITE NORIEGA SANCHIS</t>
  </si>
  <si>
    <t>DRA. MARTA MORATO</t>
  </si>
  <si>
    <t>LUIS BALLESTEROS MENENDEZ</t>
  </si>
  <si>
    <t>DR. ISABEL VAAMONDE SANCHEZ ANDRADE</t>
  </si>
  <si>
    <t>JULIA RODRIGUEZ VAZQUEZ</t>
  </si>
  <si>
    <t>DRA. CONCEPCIÓN PESCADOR MESONERO</t>
  </si>
  <si>
    <t>BENITO FERNANDEZ ALONSO</t>
  </si>
  <si>
    <t>DR. FÉLIX RODRÍGUEZ PAZ</t>
  </si>
  <si>
    <t>MARIA CARMEN PRIMOLA MARTINEZ</t>
  </si>
  <si>
    <t>ANTONIA TORNEL MARTINEZ</t>
  </si>
  <si>
    <t>DR. JAVIER HERRERO AGUSTÍN</t>
  </si>
  <si>
    <t>ANTONIA PEREZ OLIVA</t>
  </si>
  <si>
    <t>DR. JULIO KNASTER DEL OLMO</t>
  </si>
  <si>
    <t>FELIX BLANCO GARZA</t>
  </si>
  <si>
    <t>APOLONIA FERNANDEZ CAÑADAS MORENO PALANCAS</t>
  </si>
  <si>
    <t>DR. GUILLERMO SAN JUAN DE LA MORETA</t>
  </si>
  <si>
    <t>JAVIER LARRU CABRERO</t>
  </si>
  <si>
    <t>JESUS ANGEL ARROYO VILLEGAS</t>
  </si>
  <si>
    <t>DR. CARLOS FRADE GONZÁLEZ</t>
  </si>
  <si>
    <t>JOSE REY IGLESIAS</t>
  </si>
  <si>
    <t>DR. CARLOS VELÁSQUEZ FERMÍN</t>
  </si>
  <si>
    <t>EMILIO SANCHEZ FERNANDEZ</t>
  </si>
  <si>
    <t>FELICIDAD JIMENEZ LOPEZ</t>
  </si>
  <si>
    <t>DRA. MARÍA ESTEFANÍA HERNÁNDEZ GARCÍA</t>
  </si>
  <si>
    <t>MARIA GOMEZ ALMENAR</t>
  </si>
  <si>
    <t>DRA. ANA RUIZ FORNELLS NOREÑA</t>
  </si>
  <si>
    <t>JULIAN RODRIGUEZ VERA</t>
  </si>
  <si>
    <t>DRA. CRISTINA IBAÑEZ MUÑOZ</t>
  </si>
  <si>
    <t>LUIS FERNANDO RODRIGUEZ IMAZ</t>
  </si>
  <si>
    <t>SALVADORA BEJAR BLANCO</t>
  </si>
  <si>
    <t>FRANCISCO UCLES MORENO</t>
  </si>
  <si>
    <t>MANUEL VAZQUEZ ALVAREZ</t>
  </si>
  <si>
    <t>PEDRO BLASCO MARIN</t>
  </si>
  <si>
    <t>DR. ENRIQUE VIVIENTE RODRÍGUEZ</t>
  </si>
  <si>
    <t>ANGELES PEREZ SOLER</t>
  </si>
  <si>
    <t>DRA. MARÍA LÓPEZ ROBLES</t>
  </si>
  <si>
    <t>LIDIA SOLER GARCIA</t>
  </si>
  <si>
    <t>ROGELIO FRADE BELLO</t>
  </si>
  <si>
    <t>JOSE LUIS BENITO BERNAL ANDRES</t>
  </si>
  <si>
    <t>PAUL ALAN CANFIELD</t>
  </si>
  <si>
    <t>DRA. MARINA CARRASCO LLATAS</t>
  </si>
  <si>
    <t>MARIA ISABEL RUIZ RUEDA</t>
  </si>
  <si>
    <t>JUAN ARIAS FERNANDEZ</t>
  </si>
  <si>
    <t>CARMEN DEVESA SANCHEZ</t>
  </si>
  <si>
    <t>JOSE GOMEZ RISUEÑO</t>
  </si>
  <si>
    <t>León</t>
  </si>
  <si>
    <t>DR. IGNACIO ÁLVAREZ ÁLVAREZ</t>
  </si>
  <si>
    <t>ANTONIO FERRERAS CID</t>
  </si>
  <si>
    <t>DR. CARLOS ARMIÑO MEGIDO</t>
  </si>
  <si>
    <t>MARIA GUADALUPE CASTELO CHAPA</t>
  </si>
  <si>
    <t>ANGEL GIL HERRANZ</t>
  </si>
  <si>
    <t>JOHN SHARP</t>
  </si>
  <si>
    <t>ISABEL LOPEZ MIGUEL</t>
  </si>
  <si>
    <t>DR. MIGUEL RODRIGUEZ PÉREZ</t>
  </si>
  <si>
    <t>MARIA DE LAS NIEVES ESPINOSA PEREZ</t>
  </si>
  <si>
    <t>JUAN ANTONIO BURGUILLO SANCHEZ</t>
  </si>
  <si>
    <t>DR. CARLOS LÓPEZ AZANZA</t>
  </si>
  <si>
    <t>MARIA DEL CARMEN JUAN CANTON</t>
  </si>
  <si>
    <t>MARINA BELLAS LAMELA</t>
  </si>
  <si>
    <t>HORTENSIA BAÑOS MONTERO</t>
  </si>
  <si>
    <t>LUIS QUILES VALVERDE</t>
  </si>
  <si>
    <t>ANTONIO CAROL ESTELA</t>
  </si>
  <si>
    <t>FERNANDO REY NOYA</t>
  </si>
  <si>
    <t>BARTOLOME PUIG CORREAS</t>
  </si>
  <si>
    <t>JUANA LOPEZ VAZQUEZ</t>
  </si>
  <si>
    <t>GLORIA PEREZ TUEROS</t>
  </si>
  <si>
    <t>DR. RAÚL RUBIO YANGÜAS</t>
  </si>
  <si>
    <t>ENRIQUE MARTIN VAZQUEZ</t>
  </si>
  <si>
    <t>JULIA GUTIERREZ BARROSO</t>
  </si>
  <si>
    <t>JULIAN MEDINA RUIZ</t>
  </si>
  <si>
    <t>DR. JAVIER OLARIETA SOTO</t>
  </si>
  <si>
    <t>ROSA MARIA DE LA PEÑA POLO</t>
  </si>
  <si>
    <t>CARLOS ALONSO DEL OLMO</t>
  </si>
  <si>
    <t>JAVIER ACEVEDO GARCIA</t>
  </si>
  <si>
    <t>PILAR DIAZ RODRIGUEZ</t>
  </si>
  <si>
    <t>ANGEL RUBIO MORENO</t>
  </si>
  <si>
    <t>TERESA REY VELASCO</t>
  </si>
  <si>
    <t>DR. IGNACIO SIERRA ARBIDE</t>
  </si>
  <si>
    <t>ANGEL RODRIGUEZ APARICIO</t>
  </si>
  <si>
    <t>MARIA ISABEL SANTOS SANCHEZ</t>
  </si>
  <si>
    <t>FRANCISCA CASTRO RICO</t>
  </si>
  <si>
    <t>DR. ANTONIO GALINDO FERNÁNDEZ</t>
  </si>
  <si>
    <t>JACQUELINE SUTHERLAND</t>
  </si>
  <si>
    <t>JOSE TUDELA CRUZ</t>
  </si>
  <si>
    <t>DRA. ADELA PÉREZ-CARO RÍOS</t>
  </si>
  <si>
    <t>MARIA IGLESIAS CAMPO</t>
  </si>
  <si>
    <t>DRA. MÓNICA RODRÍGUEZ</t>
  </si>
  <si>
    <t>CONCEPCION LAFUENTE ANDREU</t>
  </si>
  <si>
    <t>DRA. CRISTINA MUÑOZ PINTO</t>
  </si>
  <si>
    <t>EDUARDO FERNANDEZ RODRIGUEZ</t>
  </si>
  <si>
    <t>PERFECTA CABANILLAS CORONADO</t>
  </si>
  <si>
    <t>DR. JONATHAN ESTEBAN SÁNCHEZ</t>
  </si>
  <si>
    <t>DOMINGO VICENTE SAHAGUN</t>
  </si>
  <si>
    <t>ENRIQUE RICO DEL ALAMO</t>
  </si>
  <si>
    <t>SATURNINA CABRERA MATEOS</t>
  </si>
  <si>
    <t>DR. SERGIO Zaragoza GUIJO</t>
  </si>
  <si>
    <t>ANTONIO MORENO SANCHEZ</t>
  </si>
  <si>
    <t>ISIDRO MADRID MATEO</t>
  </si>
  <si>
    <t>DRA. MAR LASSO DE LA VEGA ZAMORA</t>
  </si>
  <si>
    <t>Mª DEL PILAR MOLINA LOPEZ</t>
  </si>
  <si>
    <t>JUAN JOSE JUSDADO RUIZ CAPILLAS</t>
  </si>
  <si>
    <t>IVAN AGUILAR PEREZ</t>
  </si>
  <si>
    <t>DR. MARIO HIGUERA RAPA</t>
  </si>
  <si>
    <t>JOAQUINA SANCHEZ COZAR</t>
  </si>
  <si>
    <t>ANUNCIACION CORRAL PRADA</t>
  </si>
  <si>
    <t>DR. GUILLERMO SEVERÁ FERRANDIZ</t>
  </si>
  <si>
    <t>ANA ISABEL TEROL TEROL</t>
  </si>
  <si>
    <t>JUAN DE LA CRUZ JEREZ</t>
  </si>
  <si>
    <t>MARIA DEL CARMEN OTERO FERNANDEZ</t>
  </si>
  <si>
    <t>DR. ANTONIO FRAILE AZPEITIA</t>
  </si>
  <si>
    <t>MARIA CRISTINA CURT TOMAS</t>
  </si>
  <si>
    <t>DRA. LAURA GARRIDO GARCÍA</t>
  </si>
  <si>
    <t>CECILIA RIBAO GARCIAVERDUGO</t>
  </si>
  <si>
    <t>LUCIA LOPEZ PADRON</t>
  </si>
  <si>
    <t>DRA. ANA QUINTANA SANJUAN</t>
  </si>
  <si>
    <t>JOSE FERNANDEZ TESOURO</t>
  </si>
  <si>
    <t>DRA. ESTEFANÍA BERROCAL POSTIGO</t>
  </si>
  <si>
    <t>DOLORES BLANCO RUIZ</t>
  </si>
  <si>
    <t>EULOGIO DELGADO MENGUIANO</t>
  </si>
  <si>
    <t>Vilanova</t>
  </si>
  <si>
    <t>DRA. CRISTINA MOLINA MARTÍNEZ</t>
  </si>
  <si>
    <t>ELOISA ALONSO TERRADOS</t>
  </si>
  <si>
    <t>MARZO</t>
  </si>
  <si>
    <t>CONCEPCION PALLAS LOPEZ</t>
  </si>
  <si>
    <t>MARIA PILAR MESANZA DUARTE</t>
  </si>
  <si>
    <t>DRA. BEATRIZ ARANA FERNÁNDEZ</t>
  </si>
  <si>
    <t>ROSELA DEOCAREZA DIOLATA</t>
  </si>
  <si>
    <t>DRA. CRISTINA ESTHER TORREGROSA CARRASQUER</t>
  </si>
  <si>
    <t>MARIA CESPEDES MADRID</t>
  </si>
  <si>
    <t>BENJAMIN DEL REY DEL REY</t>
  </si>
  <si>
    <t>ESTHER GARCIA PINTO</t>
  </si>
  <si>
    <t>FIDEL HARO GUERRA</t>
  </si>
  <si>
    <t>DR. RAIMON GARCÍA CHILLERÓN</t>
  </si>
  <si>
    <t>MONICA MIRA DOMENECH</t>
  </si>
  <si>
    <t>SALUD QUILIS VIGRANA</t>
  </si>
  <si>
    <t>DR. JAVIER GARCÍA GÓMEZ</t>
  </si>
  <si>
    <t>MARIA RAFAEL BLANCO</t>
  </si>
  <si>
    <t>EUSEBIO MORENO VICARIO</t>
  </si>
  <si>
    <t>DRA. CELIA LENDORIO OTERO</t>
  </si>
  <si>
    <t>MANUEL GARRIDO GARRIDO</t>
  </si>
  <si>
    <t>Santiago De Compostela</t>
  </si>
  <si>
    <t>JOSE NOVO SALGADO</t>
  </si>
  <si>
    <t>EDUARDO TERAN LERIDA</t>
  </si>
  <si>
    <t>DR. JOSEP MARIA ORRIT ARENAS</t>
  </si>
  <si>
    <t>MANUELA MUÑINO GARCIA</t>
  </si>
  <si>
    <t>CANDIDO FATELA DOMINGUEZ</t>
  </si>
  <si>
    <t>TERESA MENDEZ MENDEZ</t>
  </si>
  <si>
    <t>DR. JESÚS GARCÍA AHIJADO</t>
  </si>
  <si>
    <t>FLORENTINO LLORENTE SANCHEZ</t>
  </si>
  <si>
    <t>DRA. ELENA DE DIOS ORAN</t>
  </si>
  <si>
    <t>RAFAEL ARCAS SANTIAGO</t>
  </si>
  <si>
    <t>MARIA MAGDALENA BUFORN LLORET</t>
  </si>
  <si>
    <t>MARIA FUERTES AGUNDEZ</t>
  </si>
  <si>
    <t>LETICIA VILLAR UZQUIZA</t>
  </si>
  <si>
    <t>MARIA MUÑOZ LOZANO</t>
  </si>
  <si>
    <t>DRA. SOCORRO TEDÍN GARCÍA</t>
  </si>
  <si>
    <t>JOSE SOTO GONZALEZ</t>
  </si>
  <si>
    <t>DR. SANTIAGO MORENO PAREDES</t>
  </si>
  <si>
    <t>JUAN MIRANDA GARFELLA</t>
  </si>
  <si>
    <t>DRA. JOSEFA OLMEDO MARTÍNEZ</t>
  </si>
  <si>
    <t>MARIA CRUZ RUIZ MARTIN</t>
  </si>
  <si>
    <t>DR. ÁLVARO SÁNCHEZ ÁLVAREZ</t>
  </si>
  <si>
    <t>MARIA JESUS SANGRADOR BALLESTEROS</t>
  </si>
  <si>
    <t>MARIA PROVIDENCIA DELGADO DURAN</t>
  </si>
  <si>
    <t>DR. JOSÉ GARCÍA MORILLAS</t>
  </si>
  <si>
    <t>KRIJN JOHAN VAN BALEN</t>
  </si>
  <si>
    <t>DR. JESÚS CROVATO ROJAS</t>
  </si>
  <si>
    <t>MANUEL RUPERTO FERNANDEZ FERNANDEZ</t>
  </si>
  <si>
    <t>ANGELA JIMENEZ TAVIRA</t>
  </si>
  <si>
    <t>DR. ÓSCAR ALFONSO ARENAS BRITEZ</t>
  </si>
  <si>
    <t>PASCUAL DIAZ GONZALEZ</t>
  </si>
  <si>
    <t>MARIA DEL MAR MORALES CELDRAN</t>
  </si>
  <si>
    <t>AYA ZOUHAIR</t>
  </si>
  <si>
    <t>BEGOÑA GAÑETE IGLESIAS</t>
  </si>
  <si>
    <t>ISABEL FRACES FRACES</t>
  </si>
  <si>
    <t>DRA. KAREN ROJAS CRESPO</t>
  </si>
  <si>
    <t>FRANCISCO ALEMAÑY ARMENGOL</t>
  </si>
  <si>
    <t>DRA. DOLORES ROMERO PANADRRO</t>
  </si>
  <si>
    <t>ANTONIO DELGADO CACERES</t>
  </si>
  <si>
    <t>MARIA DE LA LUZ MARIN MARIN</t>
  </si>
  <si>
    <t>ENRIQUE BULLEJOS PLEITE</t>
  </si>
  <si>
    <t>PEDRO JOSE RAMOS QUIROS</t>
  </si>
  <si>
    <t>ELISA MARTINEZ VELASCO</t>
  </si>
  <si>
    <t>SANTOS RODRIGUEZ LOPEZ</t>
  </si>
  <si>
    <t>DR. MOHAMED AL RIFAL AL MASTI</t>
  </si>
  <si>
    <t>JOSE FERNANDEZ FERNANDEZ</t>
  </si>
  <si>
    <t>DR. FRANCISCO ALÉS CONEJO</t>
  </si>
  <si>
    <t>CARMEN FERNANDEZ RODRIGUEZ</t>
  </si>
  <si>
    <t>DRA. ESTRELLA PALLAS PALLAS</t>
  </si>
  <si>
    <t>ENRIQUE LOIS EROSA</t>
  </si>
  <si>
    <t>DR. FRANCISCO JAVIER CERDÁN BAEZA</t>
  </si>
  <si>
    <t>FERMIN RODRIGUEZ SANCHEZ</t>
  </si>
  <si>
    <t>MARIA DEL CARMEN CABALEIRO VAZQUEZ</t>
  </si>
  <si>
    <t>DRA. INMACULADA SANCHO MARTÍN</t>
  </si>
  <si>
    <t>SAGRARIO MORA MORA</t>
  </si>
  <si>
    <t>CARMEN PEREZ GONZALEZ</t>
  </si>
  <si>
    <t>DRA. JEREMY FLORES TRUJILLO</t>
  </si>
  <si>
    <t>MARCOS MEDINA COLLADO</t>
  </si>
  <si>
    <t>MARIA DEL PILAR LARA VALERO</t>
  </si>
  <si>
    <t>JUDITH EAKIN</t>
  </si>
  <si>
    <t>ISABEL BELLO MEIJIDO</t>
  </si>
  <si>
    <t>JOSE MARIA HERRERA PEREZ</t>
  </si>
  <si>
    <t>JUAN CARLOS RAMOS LUQUE</t>
  </si>
  <si>
    <t>DRA. Mª JOSÉ GÁMIZ MAROTO</t>
  </si>
  <si>
    <t>FRANCISCO PEREZ HERNANDEZ</t>
  </si>
  <si>
    <t>MICAELA SORIANO MARTINEZ</t>
  </si>
  <si>
    <t>ISABEL TORRES RODRIGUEZ</t>
  </si>
  <si>
    <t>MARIA CRISTINA GARCIA SOMOZA</t>
  </si>
  <si>
    <t>DRA. NURIA SALAS BARRIO</t>
  </si>
  <si>
    <t>CARMEN RAMOS FERNANDEZ</t>
  </si>
  <si>
    <t>FULGENCIO FERNANDEZ FERNANDEZ</t>
  </si>
  <si>
    <t>JAIME BELCHI MOLINA</t>
  </si>
  <si>
    <t>MANUEL CANO BERNAL</t>
  </si>
  <si>
    <t>DRA. AIDA AVIÑOA ARIAS</t>
  </si>
  <si>
    <t>VICENTE HERNANDEZ MARMOL</t>
  </si>
  <si>
    <t>LUCIA ARCEGA CRUZ</t>
  </si>
  <si>
    <t>DR. JOSÉ CARLOS CASQUEIRO SÁNCHEZ</t>
  </si>
  <si>
    <t>CARLOS SIERRA CALATRAVA</t>
  </si>
  <si>
    <t>EMILIO DE LA TORRE MARHUENDA</t>
  </si>
  <si>
    <t>JOSE FERNANDEZ GARCIA</t>
  </si>
  <si>
    <t>JOSE MARIA SANDOVAL GARCIA</t>
  </si>
  <si>
    <t>EDUARDO MARTIN CASTIÑEIRA</t>
  </si>
  <si>
    <t>DR. LUIS MIGUEL RINCÓN ESTEBAN</t>
  </si>
  <si>
    <t>MANUEL GARCIA SANCHEZ</t>
  </si>
  <si>
    <t>DR. PEDRO HUESO GUTIERREZ</t>
  </si>
  <si>
    <t>FERNANDO PASCUA MARTIN</t>
  </si>
  <si>
    <t>DRA. MARÍA EMILIA GARCÍA RUÍZ</t>
  </si>
  <si>
    <t>JENNIFER SANCHEZ HERNANDEZ</t>
  </si>
  <si>
    <t>PEDRO LLORET LLORET</t>
  </si>
  <si>
    <t>RAFAELA AVILA TENZA</t>
  </si>
  <si>
    <t>ELENA ALCARAZ PASTOR</t>
  </si>
  <si>
    <t>JULIAN DE REY BOTELLA</t>
  </si>
  <si>
    <t>MARINA BAUTISTA CARRASCO</t>
  </si>
  <si>
    <t>Badajoz</t>
  </si>
  <si>
    <t>DR. TOMAS MOGOLLON CANO CORTES</t>
  </si>
  <si>
    <t>ROSALYN LEAY</t>
  </si>
  <si>
    <t>Girona</t>
  </si>
  <si>
    <t>DR. JORDI LLUANSI PANELLA</t>
  </si>
  <si>
    <t>MARIA CARME ROVIRA ALZINA</t>
  </si>
  <si>
    <t>DRA. CARMEN JUAN IVARS</t>
  </si>
  <si>
    <t>MARIA BEGOÑA GOMEZ MARTIN</t>
  </si>
  <si>
    <t>RUFINO HUERTAS HUERTAS</t>
  </si>
  <si>
    <t>LUPICINIO MARTINEZ ARROYO</t>
  </si>
  <si>
    <t>DR. GUSTAVO CÓRDOVA RAMOS</t>
  </si>
  <si>
    <t>MARIA DEL CARMEN CUESTA CATALAN</t>
  </si>
  <si>
    <t>DR. ENRIQUE LÓPEZ MESEGUER</t>
  </si>
  <si>
    <t>MARIA AMPARO ORTE JIMENEZ</t>
  </si>
  <si>
    <t>DR. GABRIEL MARTÍNEZ CAPOCCINI</t>
  </si>
  <si>
    <t>ALFONSO CARRIL GUERRA</t>
  </si>
  <si>
    <t>MARIA VICTORIA RIVADULLA GARCIA</t>
  </si>
  <si>
    <t>PERE CARRERES MARTI</t>
  </si>
  <si>
    <t>DRA. STEPHANY RODRÍGUEZ MATA</t>
  </si>
  <si>
    <t>PEDRO ADAN GONZALEZ</t>
  </si>
  <si>
    <t>DR. HECTOR VALLES VARELA</t>
  </si>
  <si>
    <t>ROSA SEBASTIAN TREMPS</t>
  </si>
  <si>
    <t>DR. PEDRO MASEGOSA ZAPATA</t>
  </si>
  <si>
    <t>JAVIER PINZA GARCIA</t>
  </si>
  <si>
    <t>EDUARDO FELIPE MURO ALONSO</t>
  </si>
  <si>
    <t>DR. FELIPE LÓPEZ HERNÁNDEZ</t>
  </si>
  <si>
    <t>MARIA MOYANO ORDOÑEZ</t>
  </si>
  <si>
    <t>MARIA DIONISIA DIEZ DE LA MATA</t>
  </si>
  <si>
    <t>MARIA ARLENE GUTIERREZ RODRIGUEZ</t>
  </si>
  <si>
    <t>ELISA DIAZ SANZ</t>
  </si>
  <si>
    <t>DR. MANUEL GUTIERREZ TRIGUERO</t>
  </si>
  <si>
    <t>ISABEL MORRO BARRIGA</t>
  </si>
  <si>
    <t>ROSA FRANCISCA POSADA RODRIGUEZ</t>
  </si>
  <si>
    <t>DRA. XENIA MOTA ROJAS</t>
  </si>
  <si>
    <t>BEGOÑA PACIOS SOBRIN</t>
  </si>
  <si>
    <t>ANTONIO GARCIA CORRALES</t>
  </si>
  <si>
    <t>RICARDO RAMON GARCIA SIMON</t>
  </si>
  <si>
    <t>ANTONIO PAJUELO PAREDES</t>
  </si>
  <si>
    <t>JOSE LUIS JUZGADO MARTIN</t>
  </si>
  <si>
    <t>GLADIS FRIAS LIRIA</t>
  </si>
  <si>
    <t>FRANCISCO JOSE CLARES SANCHEZ</t>
  </si>
  <si>
    <t>MARIA DOLORES LOPEZ SERRABONA</t>
  </si>
  <si>
    <t>FRANCISCO MUÑOZ TIRADO</t>
  </si>
  <si>
    <t>DRA. MARÍA SCOLA TORRES</t>
  </si>
  <si>
    <t>PATRICK GRIFFIN</t>
  </si>
  <si>
    <t>PORFIRIO CARCHENILLA JIMENEZ</t>
  </si>
  <si>
    <t>CATALINA RINCON ALONSO</t>
  </si>
  <si>
    <t>DRA. ROCÍO GONZÁLEZ MÁRQUEZ</t>
  </si>
  <si>
    <t>JUAN PEDRO TRENADO DIAZ</t>
  </si>
  <si>
    <t>MARCELO YUSTE GARCIA</t>
  </si>
  <si>
    <t>JUANA GUTIERREZ GONZALEZ</t>
  </si>
  <si>
    <t>DR. RAIMUNDO GÓMEZ-BLASI</t>
  </si>
  <si>
    <t>RICARDO AGREDA</t>
  </si>
  <si>
    <t>DR. CARLOS FÉLIX ASENSIO NIETO</t>
  </si>
  <si>
    <t>ANTONIO DIAZ MUÑOZ</t>
  </si>
  <si>
    <t>GLORIA BERGARA SAN MARTIN</t>
  </si>
  <si>
    <t>DRA. MARIA ROSARIO FERRANDIZ GARCÍA</t>
  </si>
  <si>
    <t>JUAN GONZALEZ COSTELA</t>
  </si>
  <si>
    <t>JUAN JOSE POMARES PEREZ</t>
  </si>
  <si>
    <t>MARIA LUZ SANCHEZ SANTANA</t>
  </si>
  <si>
    <t>DR. JESÚS HERRANZ GONZÁLEZ-BOTAS</t>
  </si>
  <si>
    <t>JOSE MANUEL MARTINEZ COLLAZO</t>
  </si>
  <si>
    <t>HORTENSIA SERRANO BLAZCO</t>
  </si>
  <si>
    <t>MANUEL JIMENEZ MUÑOZ</t>
  </si>
  <si>
    <t>DRA. ESTHER MONTIEL DIEZ</t>
  </si>
  <si>
    <t>JOSE INOCENTE GUILLEN ESCRIBANO</t>
  </si>
  <si>
    <t>EPIFANIO PEDRAZA HERRANZ</t>
  </si>
  <si>
    <t>ADOLFO ARAGONES CABRERIZO</t>
  </si>
  <si>
    <t>MANUEL MAIRE RODRIGUEZ</t>
  </si>
  <si>
    <t>JOSE JUAN OJEDA QUINTANA</t>
  </si>
  <si>
    <t>ISABEL FREIRE RIVEIRO</t>
  </si>
  <si>
    <t>ANA SERRANO TORRES</t>
  </si>
  <si>
    <t>MARIA BEGOÑA MARTINEZ SANTIAGO</t>
  </si>
  <si>
    <t>PILAR QUIROS PINEL</t>
  </si>
  <si>
    <t>MARIA ANTONIA GOMEZ ESPEJO</t>
  </si>
  <si>
    <t>NATALIA GISSETH PULIDO FONSECA</t>
  </si>
  <si>
    <t>ENRIQUE SANCHEZ MUÑOZ</t>
  </si>
  <si>
    <t>HERMINIO SUAREZ GOMARIZ</t>
  </si>
  <si>
    <t>DR. JAVIER GARCÍA-DUEÑAS GONZÁLEZ</t>
  </si>
  <si>
    <t>JUANA MORENO NARRO</t>
  </si>
  <si>
    <t>CECILIA ORTIZ MOCHALES</t>
  </si>
  <si>
    <t>MANUELA GONZALEZ GOMEZ</t>
  </si>
  <si>
    <t>DR. RAIMUNDO ANDRES NAVARRO MEDIANO</t>
  </si>
  <si>
    <t>ROSA MARIA CHAVES MESEGAR</t>
  </si>
  <si>
    <t>ROSALIA CHOZAS MARTIN</t>
  </si>
  <si>
    <t>DRA. MARÍA JESÚS GIL PÉREZ</t>
  </si>
  <si>
    <t>FRANCISCO JAVIER PEÑA PEÑA</t>
  </si>
  <si>
    <t>JOSE MARTINEZ VICEN</t>
  </si>
  <si>
    <t>LUCILA PEDROCHE OLIVARES</t>
  </si>
  <si>
    <t>ARANZAZU GONZALEZ GOMEZ</t>
  </si>
  <si>
    <t>ARGIMIRO CABO DEVESA</t>
  </si>
  <si>
    <t>DRA. VILMA SANDOVAL PACHECO</t>
  </si>
  <si>
    <t>NOELIA BELTRAN ALONSO</t>
  </si>
  <si>
    <t>DRA. Mª TERESA ALMELA ROJO</t>
  </si>
  <si>
    <t>JOSE MARIA MARMOL MARTINEZ</t>
  </si>
  <si>
    <t>MARIA JOSEFA RODRIGUEZ LEAL</t>
  </si>
  <si>
    <t>DR. FERNANDO GARCÍA ALCÁNTARA</t>
  </si>
  <si>
    <t>JOSE VIZCAINO RUBIO</t>
  </si>
  <si>
    <t>DRA. MILAGROS MARCOS ORDOÑEZ</t>
  </si>
  <si>
    <t>DOROTEA MARTINEZ SASTRE</t>
  </si>
  <si>
    <t>JOSE LUIS VICENTE-ARCHE COLOMA</t>
  </si>
  <si>
    <t>PILAR HERNANDEZ DEL CASTILLO</t>
  </si>
  <si>
    <t>MARIA MONTAÑA MONTES MAESTRE</t>
  </si>
  <si>
    <t>ABRIL</t>
  </si>
  <si>
    <t>FRANCISCO ANTONIO RODRIGUEZ GEY</t>
  </si>
  <si>
    <t>DR. LUIS JOSÉ DOMÍNGUEZ UGIDOS</t>
  </si>
  <si>
    <t>LISANDRO JOSE MARIA IBAN IBAN</t>
  </si>
  <si>
    <t>JOSE LUIS ROMERO SANCHEZ</t>
  </si>
  <si>
    <t>DRA. MARÍA TERESA GARCÍA IRIARTE</t>
  </si>
  <si>
    <t>JESUS GUTIERREZ MOSCOSO</t>
  </si>
  <si>
    <t>JUAN FERNANDO RAMOS TELLO</t>
  </si>
  <si>
    <t>DR. FRANCISCO JOSÉ AGUADO MARTÍNEZ</t>
  </si>
  <si>
    <t>MANUELA PONCE ALFONSO</t>
  </si>
  <si>
    <t>JOSE MARIA RUA RODRIGUEZ</t>
  </si>
  <si>
    <t>PILAR GARCIA-MORATO PARDO</t>
  </si>
  <si>
    <t>DR. JUAN RIESTRA AYORA</t>
  </si>
  <si>
    <t>AURORA SERRANO MORALES</t>
  </si>
  <si>
    <t>SANTOS GARCIA GARCIA</t>
  </si>
  <si>
    <t>TERESA UBACH BALLBE</t>
  </si>
  <si>
    <t>REGINE GOOSSENS IMMERS</t>
  </si>
  <si>
    <t>JUAN JOSE DE LA CONCHA</t>
  </si>
  <si>
    <t>MARIANO BENITO MARTIN</t>
  </si>
  <si>
    <t>ELENA ESTELLA IZQUIERDO</t>
  </si>
  <si>
    <t>MANUEL REQUEIJO PORTO</t>
  </si>
  <si>
    <t>DR. ANDRÉS SOTO VARELA</t>
  </si>
  <si>
    <t>JOSEFINA FERNANDEZ FERRADANS</t>
  </si>
  <si>
    <t>DRA. ANA PÉREZ DEL NOTARIO</t>
  </si>
  <si>
    <t>LUIS GARCIA PEREZ</t>
  </si>
  <si>
    <t>DR. FRANKLIN S, MARIÑO SÁNCHEZ</t>
  </si>
  <si>
    <t>JOSE LUIS PIZARROSO ZARCO</t>
  </si>
  <si>
    <t>DRA. CARLOTA SEVIL SERRANO</t>
  </si>
  <si>
    <t>ISABEL TORRES GUTIERREZ</t>
  </si>
  <si>
    <t>VICTORIA VERGEL FERNANDEZ</t>
  </si>
  <si>
    <t>DR. FRANCISCO JOSÉ ESTRADA MOLINA</t>
  </si>
  <si>
    <t>ANTONIA GAMERO CAMACHO</t>
  </si>
  <si>
    <t>DRA. ISABEL GONZÁLEZ GUIJARRO</t>
  </si>
  <si>
    <t>FRANCISCO BLANCO BLANCO</t>
  </si>
  <si>
    <t>CRISTIAN VALERO MUÑOZ</t>
  </si>
  <si>
    <t>JORGE RACERO GUISADO</t>
  </si>
  <si>
    <t>DR. JESÚS AARÓN MARTÍNEZ ALONSO</t>
  </si>
  <si>
    <t>CONCEPCION GONZALEZ ALFAGEME</t>
  </si>
  <si>
    <t>ENCARNACION LUJAN RODENAS</t>
  </si>
  <si>
    <t>ENRIQUE FERREIRA VILLAR</t>
  </si>
  <si>
    <t>OLGA SANTALICES CID</t>
  </si>
  <si>
    <t>FRANCISCO TORNERO FERNANDEZ</t>
  </si>
  <si>
    <t>DR. FRANCISCO RAMOS PUERTO</t>
  </si>
  <si>
    <t>ANTONIA GOMEZ NOYA</t>
  </si>
  <si>
    <t>EVANGELINA GALEGO GARCIA</t>
  </si>
  <si>
    <t>ANGELES POLO CHACON</t>
  </si>
  <si>
    <t>SONIA GARCIA ALVAREZ</t>
  </si>
  <si>
    <t>ROSA MARIA SANCHEZ MARTIN</t>
  </si>
  <si>
    <t>DOLORES CASADO FERNANDEZ</t>
  </si>
  <si>
    <t>MANUEL ROJAS MORENO</t>
  </si>
  <si>
    <t>DAFROSINA GONZALEZ SANCHEZ</t>
  </si>
  <si>
    <t>ALFREDO PRADOS GARCIA</t>
  </si>
  <si>
    <t>JUAN SOLIS CAMBA</t>
  </si>
  <si>
    <t>DRA. LAURA RUANO DE PABLO</t>
  </si>
  <si>
    <t>ANA DE LA CASA GIL</t>
  </si>
  <si>
    <t>MARIA LUISA CARRILLO MARTIN</t>
  </si>
  <si>
    <t>CARMEN GOMEZ GOMEZ</t>
  </si>
  <si>
    <t>EDNA PATRICIA BAKER</t>
  </si>
  <si>
    <t>JOSE MANUEL ARIAS ALONSO</t>
  </si>
  <si>
    <t>CIPRIANO ESTEBAN CAÑADA</t>
  </si>
  <si>
    <t>LUIS ANGEL MARTIN FRAILE</t>
  </si>
  <si>
    <t>VALQUIRIA GONZALO BRAGA</t>
  </si>
  <si>
    <t>DRA. ANNA SUMARROCA TROUBOUL</t>
  </si>
  <si>
    <t>JOSE VAZQUEZ DIAZ</t>
  </si>
  <si>
    <t>BERNARDINO HERNANDEZ FRAILE</t>
  </si>
  <si>
    <t>FELICIDAD GONZALEZ CASADO</t>
  </si>
  <si>
    <t>CESAR MARTINEZ HERRADA</t>
  </si>
  <si>
    <t>DR. ÁLVARO PÉREZ LLINARES</t>
  </si>
  <si>
    <t>JOSE ESPERT SILVESTRE</t>
  </si>
  <si>
    <t>MARIA DEL CARMEN DE LA CALLE MORATINOS</t>
  </si>
  <si>
    <t>MANUELA GONZALEZ JIMENO</t>
  </si>
  <si>
    <t>JANICE EILEEN HALE</t>
  </si>
  <si>
    <t>DR. JULIE MÚÑOZ FREITEZ</t>
  </si>
  <si>
    <t>RAMON BRUNO PARDO</t>
  </si>
  <si>
    <t>DELFINA COSTAS VELAZQUEZ</t>
  </si>
  <si>
    <t>CARMEN AMALIA SANCHEZ TOSAL</t>
  </si>
  <si>
    <t>MILAGROS JIMENEZ LERIA</t>
  </si>
  <si>
    <t>MARIA CONSOLACION VALVERDE FUENTES</t>
  </si>
  <si>
    <t>TOMAS MARTIN CORRAL</t>
  </si>
  <si>
    <t>DR. ALFONSO MARCO GARRIDO</t>
  </si>
  <si>
    <t>CATALINA LACARCEL ROS</t>
  </si>
  <si>
    <t>GENEROSA MIRANDA PEREZ</t>
  </si>
  <si>
    <t>FRANCISCA SIMON CIRIACO</t>
  </si>
  <si>
    <t>ALEJANDRO SEGURA SALGADO</t>
  </si>
  <si>
    <t>MARIA JESUS SERRANO BENITO</t>
  </si>
  <si>
    <t>ADELA FRIGOLS</t>
  </si>
  <si>
    <t>MANUEL SANCHEZ GALLEGO</t>
  </si>
  <si>
    <t>SANTIAGO FULGENCIO SAEZ MESEGUER</t>
  </si>
  <si>
    <t>ANTONIO ACEBES PARRA</t>
  </si>
  <si>
    <t>CARLOS SAN MIGUEL SANCHEZ</t>
  </si>
  <si>
    <t>DRA. ANA FERNÁNDEZ RODRÍGUEZ</t>
  </si>
  <si>
    <t>MARIA BEGOÑA GARCIA MARTIN</t>
  </si>
  <si>
    <t>LUIS LAGOS ALONSO</t>
  </si>
  <si>
    <t>ISABEL MUNERA DAVIA</t>
  </si>
  <si>
    <t>JUANA FRANCISCA GALBAN FRANCO</t>
  </si>
  <si>
    <t>JULIO RAMON FERNADEZ SAN ANDRES</t>
  </si>
  <si>
    <t>ANNA CARRERAS JORDI</t>
  </si>
  <si>
    <t>DRA. MARÍA K LLANO ESPINOSA</t>
  </si>
  <si>
    <t>HUGUETTE DOULMET</t>
  </si>
  <si>
    <t>DR. GARIKOITZ CALZADA URIONDO</t>
  </si>
  <si>
    <t>MIRIAN MANGADO ETAYO</t>
  </si>
  <si>
    <t>MANUEL LOPEZ DIAZ</t>
  </si>
  <si>
    <t>JOSE MANUEL ANTONIO VILLALAIN ARAUZ</t>
  </si>
  <si>
    <t>DR. JAVIER GAVILANES PLASENCIA</t>
  </si>
  <si>
    <t>MANUEL MONDEJAR SALCEDO</t>
  </si>
  <si>
    <t>VICENTE MONBLANCH MONZO</t>
  </si>
  <si>
    <t>MARIA CONCEPCION RODRIGO ALBARRAN</t>
  </si>
  <si>
    <t>DRA. ISABEL MENACHES GUARDIOLA</t>
  </si>
  <si>
    <t>MARIA DOLORES GARRIGOS VILA</t>
  </si>
  <si>
    <t>FOIX CERVERA ESTEVE</t>
  </si>
  <si>
    <t>ANGEL LUIS ALVAREZ MORAIS</t>
  </si>
  <si>
    <t>ILDEFONSO PALACIOS GARNICA</t>
  </si>
  <si>
    <t>MANUELA GONZALEZ VALERA LOPEZ</t>
  </si>
  <si>
    <t>LUISA GUTIERREZ RILLO</t>
  </si>
  <si>
    <t>THOMAS HENRY SPERRING</t>
  </si>
  <si>
    <t>ELVIRA SILVAN DEL CAMPO</t>
  </si>
  <si>
    <t>DR. FRANCISCO JAVIER MOLLA RUDIEZ</t>
  </si>
  <si>
    <t>MANUEL GOMEZ FERRERAS</t>
  </si>
  <si>
    <t>BEATRIZ FERNANDEZ-CRUZ CIFUENTES</t>
  </si>
  <si>
    <t>DR. RICARDO GONZÁLEZ-ORUS</t>
  </si>
  <si>
    <t>BLAS RODRIGUEZ GOMEZ</t>
  </si>
  <si>
    <t>DR. JESÚS SAN ROMÁN CARBAJO</t>
  </si>
  <si>
    <t>JOSE CARLOS RODRIGUEZ DOMINGUEZ</t>
  </si>
  <si>
    <t>MONTSERRAT GONZALEZ RODRIGUEZ</t>
  </si>
  <si>
    <t>DR. JEAN FRANCO INTRAPRENDENTE MARTINI</t>
  </si>
  <si>
    <t>CESAR ALBERTO GOMEZ GILBERT</t>
  </si>
  <si>
    <t>DR. ENRIQUE ROMERO VAN ABELEEN</t>
  </si>
  <si>
    <t>JORDI COLS TORRENTS</t>
  </si>
  <si>
    <t>ROSARIO SERRANO ANDRES</t>
  </si>
  <si>
    <t>PEDRO MENGUAL BLANQUER</t>
  </si>
  <si>
    <t>DR. GABRIEL PEDRMONTE SARRIAS</t>
  </si>
  <si>
    <t>JOSEFINA LOPEZ CARNE</t>
  </si>
  <si>
    <t>MARIA DOLORES GONZALEZ VILAR</t>
  </si>
  <si>
    <t>LOLA VELAZQUEZ MARTIN</t>
  </si>
  <si>
    <t>DRA. ALICIA SUÁREZ CALVO</t>
  </si>
  <si>
    <t>PILAR CARUANA UVEDA</t>
  </si>
  <si>
    <t>MARIA DEL CARMEN MENARGUEZ ALCARAZ</t>
  </si>
  <si>
    <t>LUIS MORENO OTERO</t>
  </si>
  <si>
    <t>MARIA LUISA PARDO NOGALES</t>
  </si>
  <si>
    <t>PILAR MARTINEZ MORCILLO</t>
  </si>
  <si>
    <t>DRA. ADRIANA PARDO MAZA</t>
  </si>
  <si>
    <t>ENRIQUE MARTINEZ TABASCO</t>
  </si>
  <si>
    <t>LICINIO MARTIN BURGOS</t>
  </si>
  <si>
    <t>MARIA DEL CARMEN SANCHEZ-BUENO MUÑOZ</t>
  </si>
  <si>
    <t>ANGELES MARTIN CASAL</t>
  </si>
  <si>
    <t>JUAN ANTONIO JUBERIAS BARRIO</t>
  </si>
  <si>
    <t>DR. IGNACIO ARISTEGUI TORRANO</t>
  </si>
  <si>
    <t>MAGDALENA DE VEGA HERRERO</t>
  </si>
  <si>
    <t>GONZALO FERRANDEZ MORALES</t>
  </si>
  <si>
    <t>PABLO ALVAREZ ALVAREZ</t>
  </si>
  <si>
    <t>VICTORIANO VILA GALEANO</t>
  </si>
  <si>
    <t>DR. JOSÉ MARÍA LABORDA MARGOLLES</t>
  </si>
  <si>
    <t>JUAN RODRIGUEZ SORIA</t>
  </si>
  <si>
    <t>CARMEN CASTRO ACEVEDO</t>
  </si>
  <si>
    <t>MARIA DEL CARMEN SIRVENT CORREA</t>
  </si>
  <si>
    <t>MARIA JESUS GARCIA-POZUELO ALHAMBRA</t>
  </si>
  <si>
    <t>MARIA DEL MAR CHOCANO REVILLA</t>
  </si>
  <si>
    <t>JUDIT DANIELA JACOME GALVAN</t>
  </si>
  <si>
    <t>NICOLAS SANCHEZ SOTO</t>
  </si>
  <si>
    <t>DR. LUIS MIGUEL MENÉNDRZ COLINO</t>
  </si>
  <si>
    <t>ELENA CARRASCO RODRIGUEZ</t>
  </si>
  <si>
    <t>CUSTODIA GALINDO MARTINEZ</t>
  </si>
  <si>
    <t>MARIA CARMEN PEREZ PASTOR MUÑOZ</t>
  </si>
  <si>
    <t>CARLOS ALONSO GARRE</t>
  </si>
  <si>
    <t>DOLORES TORO BENITEZ</t>
  </si>
  <si>
    <t>ALEJANDRO SANCHEZ ORO APARICIO</t>
  </si>
  <si>
    <t>PAULA ANTA SEN</t>
  </si>
  <si>
    <t>DRA. MARTA ALCARAZ FUENTES</t>
  </si>
  <si>
    <t>HILDA FUENMAYOR TORO</t>
  </si>
  <si>
    <t>VICTORIA Ourense FERNANDEZ</t>
  </si>
  <si>
    <t>MARIA LUZ AMARO GARCIA</t>
  </si>
  <si>
    <t>JOSE LUIS RAMIREZ ALFARO</t>
  </si>
  <si>
    <t>ENCARNACION NAVARRO GARCIA</t>
  </si>
  <si>
    <t>MARIA EUGENIA SOAGE VILLANUEVA</t>
  </si>
  <si>
    <t>MARIA JIMENEZ GUILLEN</t>
  </si>
  <si>
    <t>DR. ANSELMO PADÍN SEARA</t>
  </si>
  <si>
    <t>RAMONA MARIA REYNOSO SALDIVAR</t>
  </si>
  <si>
    <t>MARIA DE LAS MERCEDES HARO FERNANDEZ</t>
  </si>
  <si>
    <t>FRANCISCO JOSE QUESADA MIRALLES</t>
  </si>
  <si>
    <t>ISABEL HERNANDEZ ORELLANA</t>
  </si>
  <si>
    <t>LUIS FERNANDO JIMENEZ</t>
  </si>
  <si>
    <t>MERCEDES SECO FERNANDEZ</t>
  </si>
  <si>
    <t>DRA. SARA TANBOURA LÓPEZ</t>
  </si>
  <si>
    <t>ANGELA JIMENEZ HERNANDEZ</t>
  </si>
  <si>
    <t>ROSARIO VICENTE RODENAS</t>
  </si>
  <si>
    <t>GRETHE MUNCH IBSEN</t>
  </si>
  <si>
    <t>PEDRO CORNEJO CORRELLA</t>
  </si>
  <si>
    <t>MARIA PILAR AYLLON HEREDERO</t>
  </si>
  <si>
    <t>JAIME BLASCO RODRIGUEZ</t>
  </si>
  <si>
    <t>JOSE ANGEL OLIVA BAZAN</t>
  </si>
  <si>
    <t>DR. JOSÉ ANTONIO CASTRO CUERPO</t>
  </si>
  <si>
    <t>MARIA CONSOLACION ANTON GREGORIO</t>
  </si>
  <si>
    <t>JESUS VELAY CASTRO</t>
  </si>
  <si>
    <t>DRA. DANIELA CAROLINA LAGUADO BULGHERONI</t>
  </si>
  <si>
    <t>JESUS DOMINGUEZ SERRANO</t>
  </si>
  <si>
    <t>MARIA JESUS TATAY MANZANARES</t>
  </si>
  <si>
    <t>ENCARNACION GOMEZ SANCHEZ</t>
  </si>
  <si>
    <t>ISABEL TORREJON SANCHEZ</t>
  </si>
  <si>
    <t>DRA. HELENA MORENO PARDO</t>
  </si>
  <si>
    <t>VIRGINIA POMBO GARCIA</t>
  </si>
  <si>
    <t>DR. MIGUEL VACA GONZÁLEZ</t>
  </si>
  <si>
    <t>ANICETA GARCIA PEREZ</t>
  </si>
  <si>
    <t>MARIA DE LOS SANTOS DEL RIO ARROYO</t>
  </si>
  <si>
    <t>AMPARO BELLES MENENDEZ</t>
  </si>
  <si>
    <t>PEDRO GALVEZ AGUILAR</t>
  </si>
  <si>
    <t>MARIA ROSARIO GARCIA REVUELTA</t>
  </si>
  <si>
    <t>JOSE ZAPATA LOPEZ</t>
  </si>
  <si>
    <t>MAYO</t>
  </si>
  <si>
    <t>MARIA OBDULIA REDONDO ANDRES</t>
  </si>
  <si>
    <t>DR. JOSÉ TISNER NIETO</t>
  </si>
  <si>
    <t>ELVIRA ANDRADE VEIGA</t>
  </si>
  <si>
    <t>CARMEN SIADA RODRIGUEZ</t>
  </si>
  <si>
    <t>DR. ALEJANDRO HARGUINDéY ANTOLI-CANDéLA</t>
  </si>
  <si>
    <t>MARIA DEL ROCIO TIO ALONSO</t>
  </si>
  <si>
    <t>PEDRO JIMENEZ HERNANDEZ</t>
  </si>
  <si>
    <t>DIEGO MARQUINA TRASOBARES</t>
  </si>
  <si>
    <t>MARGARITA VIDAL VALLS</t>
  </si>
  <si>
    <t>PURIFICACION BERENGUER PEREZ</t>
  </si>
  <si>
    <t>MARIA ANTONIA RAMIREZ MURO</t>
  </si>
  <si>
    <t>SANTOS GABRIEL ARENAS RUIZ</t>
  </si>
  <si>
    <t>FEIJOO SANCHEZ PIO</t>
  </si>
  <si>
    <t>JOSE SANCHEZ HERNANDEZ</t>
  </si>
  <si>
    <t>DR. OSCAR A, SÁNCHEZ VALENZUELA</t>
  </si>
  <si>
    <t>ARSENIO NUÑEZ NUÑEZ</t>
  </si>
  <si>
    <t>JUANA MANSILLA SANZ</t>
  </si>
  <si>
    <t>MARIA ROSA CANDELA ALBEROLA</t>
  </si>
  <si>
    <t>ISABEL VAAMONDE SANCHEZ ANDRADE</t>
  </si>
  <si>
    <t>RAMONA LEONOR SEGADE SOUTO</t>
  </si>
  <si>
    <t>PASCUAL LERIN CABREJAS</t>
  </si>
  <si>
    <t>MARIA ANGELES ANDRES REY</t>
  </si>
  <si>
    <t>DRA. DANIELA TERÁN GUAMÁN</t>
  </si>
  <si>
    <t>MANUELA MORANO MORON</t>
  </si>
  <si>
    <t>HAKOB MALAKYAN</t>
  </si>
  <si>
    <t>DR. MANUEL CAÑETE DOMÍNGUEZ</t>
  </si>
  <si>
    <t>JOSE MARIA GALAN REBOLLO</t>
  </si>
  <si>
    <t>DR. GERARDO MARTIN SIGUENZA</t>
  </si>
  <si>
    <t>MANUELA GALVAN GARCIA</t>
  </si>
  <si>
    <t>MANUEL ALONSO ORTIZ</t>
  </si>
  <si>
    <t>CARMEN CABACA VAQUERO</t>
  </si>
  <si>
    <t>JAMES PAUL ILLIDGE</t>
  </si>
  <si>
    <t>DRA. CARMEN VALLÉS RODRÍGUEZ</t>
  </si>
  <si>
    <t>MARI CRUZ PEREZ SERRANO</t>
  </si>
  <si>
    <t>ENRIQUETA ESCOBAR FERNANDEZ</t>
  </si>
  <si>
    <t>VICTOR ALVAREZ GARCIA</t>
  </si>
  <si>
    <t>BASILIA MATEOS GONZALEZ</t>
  </si>
  <si>
    <t>DRA. REBECA BARRIOS GONZALO</t>
  </si>
  <si>
    <t>SANTIAGO MONZON FLORIDO</t>
  </si>
  <si>
    <t>DRA. DIANA HERNÁN PÉREZ</t>
  </si>
  <si>
    <t>CONSUELO GARCIAPARDO AGUIRRE</t>
  </si>
  <si>
    <t>FLORENTINA PAZ PAZ</t>
  </si>
  <si>
    <t>LUIS ALFONSO GALINDO MURILLO</t>
  </si>
  <si>
    <t>DRA. BEATRIZ RODRÍGUEZ GONZÁLEZ HERRERO</t>
  </si>
  <si>
    <t>JOHN DALTON MCCABE</t>
  </si>
  <si>
    <t>JESUS RODRIGUEZ CALATRAVA</t>
  </si>
  <si>
    <t>ANA MARIA DELGADO MOLINA</t>
  </si>
  <si>
    <t>MERCEDES MEDRANO BLANCO</t>
  </si>
  <si>
    <t>RAMON PASCUAL GARRIDO</t>
  </si>
  <si>
    <t>YOLANDA RODRIGUEZ SOBRIN</t>
  </si>
  <si>
    <t>AURORA RUIZ RUIZ</t>
  </si>
  <si>
    <t>DRA. ROCÍO CORRALES MILLÁN</t>
  </si>
  <si>
    <t>VICENTE DASI FUSTER</t>
  </si>
  <si>
    <t>DANIEL MORENO RODENAS</t>
  </si>
  <si>
    <t>DR. MANUEL ESTEVEZ GARCÍA</t>
  </si>
  <si>
    <t>ALBINA GOMEZ CASTRO</t>
  </si>
  <si>
    <t>MARIA GOMEZ RUBIO</t>
  </si>
  <si>
    <t>SANTIAGO HERNANDEZ GARCIA</t>
  </si>
  <si>
    <t>DR. RAFAEL PÉREZ GONZÁLEZ</t>
  </si>
  <si>
    <t>ERNESTINA FERNANDEZ GARCIA</t>
  </si>
  <si>
    <t>EUFEMIA PANIAGUA CABALLERO</t>
  </si>
  <si>
    <t>EUGENIO BLANCO HERAS</t>
  </si>
  <si>
    <t>CARMEN SOTO BERENGUER</t>
  </si>
  <si>
    <t>CARMEN FERNANDEZ DORADO</t>
  </si>
  <si>
    <t>ILDEFONSA MELLADO GONZALEZ</t>
  </si>
  <si>
    <t>ROSALIA GIL AMARO</t>
  </si>
  <si>
    <t>JOSEP BENET ROSELL</t>
  </si>
  <si>
    <t>ANGEL MELLADO CERRO</t>
  </si>
  <si>
    <t>ISABEL RODRIGUEZ VAZQUEZ</t>
  </si>
  <si>
    <t>MARIA JOSE PASTOR GUIJARRO</t>
  </si>
  <si>
    <t>JOSEFA SANDOVAL MOLINA</t>
  </si>
  <si>
    <t>MANUELA VAZQUEZ BLANCO</t>
  </si>
  <si>
    <t>MARIA TERESA APARICIO MARCOS</t>
  </si>
  <si>
    <t>DR. MIGUEL OLIVENCIA PÉREZ</t>
  </si>
  <si>
    <t>MARIA BRAULIA MORALES MOLINA</t>
  </si>
  <si>
    <t>RAFAEL PEREZ SANCHEZ</t>
  </si>
  <si>
    <t>DRA. MARÍA JOSÉ NAYA GÁLVEZ</t>
  </si>
  <si>
    <t>MERCEDES JIMENEZ AGUARON</t>
  </si>
  <si>
    <t>DR. JOAQUÍN PÉREZ RULL</t>
  </si>
  <si>
    <t>ARACELI MARTOS MARTINEZ</t>
  </si>
  <si>
    <t>JUAN ANTONIO CANO ALMOHALLA</t>
  </si>
  <si>
    <t>JOSE MANUEL SERRANO PICON</t>
  </si>
  <si>
    <t>MARIA DEL PILAR GARCIA DE PERALTA</t>
  </si>
  <si>
    <t>JOSE LUIS TONDA MARTINEZ</t>
  </si>
  <si>
    <t>BEATRIZ CORTES LOPEZ</t>
  </si>
  <si>
    <t>CELIA ARRIBAS SANZ</t>
  </si>
  <si>
    <t>CONSUELO ALONSO PEREZ</t>
  </si>
  <si>
    <t>MARIA DOLORES MOLINA RUBIO</t>
  </si>
  <si>
    <t>DR. ISABEL VAAMONDE SANCHEZ ANDRADR</t>
  </si>
  <si>
    <t>MARIA FERNANDEZ LESTON</t>
  </si>
  <si>
    <t>MERCEDES CASTILLO VERA</t>
  </si>
  <si>
    <t>DRA. ISABEL PENSADO BANET</t>
  </si>
  <si>
    <t>MANUELA CALO MARTINEZ</t>
  </si>
  <si>
    <t>Gijón</t>
  </si>
  <si>
    <t>RAQUEL DE LA HUERTA ALONSO</t>
  </si>
  <si>
    <t>ISABEL PEREZ RUBIO</t>
  </si>
  <si>
    <t>DOMINGO GONZALEZ INIESTA</t>
  </si>
  <si>
    <t>MANUEL SABUCEDO FREIJOS</t>
  </si>
  <si>
    <t>ASUNCION ALVAREZ VEGA</t>
  </si>
  <si>
    <t>ANTONIA SANMARTIN GARCIA</t>
  </si>
  <si>
    <t>DR. FRANCISCO ROPERO ROMERO</t>
  </si>
  <si>
    <t>CARMEN ESCAMILLA GARCIA</t>
  </si>
  <si>
    <t>FRANCISCO JAVIER SANZ SANZ</t>
  </si>
  <si>
    <t>DRA. SARA REDA DEL BARRIO</t>
  </si>
  <si>
    <t>MARIA BERMEJO DOLERA</t>
  </si>
  <si>
    <t>MANUEL ROMERO PALO</t>
  </si>
  <si>
    <t>Culleredo</t>
  </si>
  <si>
    <t>MARIA DE LOS ANGELES MALLO FRAGA</t>
  </si>
  <si>
    <t>CARMEN UREÑA MONTERO</t>
  </si>
  <si>
    <t>DRA. IRIS QUERO CAMPOS</t>
  </si>
  <si>
    <t>ESPERANZA LOPEZ SIERRA</t>
  </si>
  <si>
    <t>DANIEL ASOREY RIAL</t>
  </si>
  <si>
    <t>CARMEN DIAZ GARCIA</t>
  </si>
  <si>
    <t>ANGEL RAMOS RUIZ</t>
  </si>
  <si>
    <t>FELIPE ALONSO CUBILLO</t>
  </si>
  <si>
    <t>DRA. VICTORIA RIVERO DE JESÚS</t>
  </si>
  <si>
    <t>MARIA TERESA MATILLA GARCIA</t>
  </si>
  <si>
    <t>DR. ENRIC CISA LLUIS</t>
  </si>
  <si>
    <t>ENCARNACIO MEZQUITA ANDRES</t>
  </si>
  <si>
    <t>ISABEL FERNANDEZ DOMINGUEZ</t>
  </si>
  <si>
    <t>MARIA ISABEL VELASCO DEL REY</t>
  </si>
  <si>
    <t>MANUELA MERINO JAEN</t>
  </si>
  <si>
    <t>JOSE MARCHENA GALLEGO</t>
  </si>
  <si>
    <t>ABIDA BIBI</t>
  </si>
  <si>
    <t>HERMINIA SERRANO GAMIZ</t>
  </si>
  <si>
    <t>DRA. NURIA PÉREZ MARTÍN</t>
  </si>
  <si>
    <t>ESTHER GARCIA TRIJUEQUE</t>
  </si>
  <si>
    <t>DR. XAVIER URRACA CONTRERAS</t>
  </si>
  <si>
    <t>BARTOMEU ESPUNYA COROMINA</t>
  </si>
  <si>
    <t>CARMEN PINO GUZMAN</t>
  </si>
  <si>
    <t>PLACIDO VAZQUEZ DIEGUEZ</t>
  </si>
  <si>
    <t>DOLORES VIDAL HURTADO</t>
  </si>
  <si>
    <t>ROBERT DAVID HAYNES</t>
  </si>
  <si>
    <t>ANGELIQUE EMMANUELLE ROCHER</t>
  </si>
  <si>
    <t>GHISLAINE BERTHE GIRODO CHIKITOU</t>
  </si>
  <si>
    <t>JOSE ANGEL GARCIA MARQUES</t>
  </si>
  <si>
    <t>NIEVES GONZALEZ DIAZ</t>
  </si>
  <si>
    <t>DRA. ESTEFANÍA LOZANO REINA</t>
  </si>
  <si>
    <t>MARIA DOLORES ALONSO HERRERO</t>
  </si>
  <si>
    <t>DR. MANUEL GARCÍA LÓPEZ</t>
  </si>
  <si>
    <t>JESUS MARIANO ARROYO DE LA TORRE</t>
  </si>
  <si>
    <t>MARIA PILAR GOMEZ FERNANDEZ</t>
  </si>
  <si>
    <t>MATILDE BURUNAT GARCIA</t>
  </si>
  <si>
    <t>DRA. IRENE MONJAS CANOVAS</t>
  </si>
  <si>
    <t>VICENTE SASTRE SISCAR</t>
  </si>
  <si>
    <t>LUIS ALMONACID ALMENDROS</t>
  </si>
  <si>
    <t>ENRIQUE RODRIGUEZ RODRIGUEZ</t>
  </si>
  <si>
    <t>JOSE JAVIER MATEO ZARZA</t>
  </si>
  <si>
    <t>ANDREA GARCIA BERNAL</t>
  </si>
  <si>
    <t>EUSEBIO ESTEBAN SOLANO</t>
  </si>
  <si>
    <t>LUIS VIRGILIO FERNANDEZ GARNES</t>
  </si>
  <si>
    <t>MARI CARMEN MARTINEZ CONTRERAS</t>
  </si>
  <si>
    <t>MANUEL SERAFIN RODRIGUEZ RIVERA</t>
  </si>
  <si>
    <t>EUSEBIO FERNANDEZ CASASOLA</t>
  </si>
  <si>
    <t>RAMON TENA CENTELLES</t>
  </si>
  <si>
    <t>ENRIQUE PEREZ VILAS</t>
  </si>
  <si>
    <t>MANUEL FERNANDEZ GONZALEZ</t>
  </si>
  <si>
    <t>REYES MARTIN DE PRADO</t>
  </si>
  <si>
    <t>TEODORA OLMOS OLMOS</t>
  </si>
  <si>
    <t>DRA. MARÍA DEL MAR MEDINA GONZÁLEZ</t>
  </si>
  <si>
    <t>JOSE MARIA RANSANZ BERMEJO</t>
  </si>
  <si>
    <t>JORGE TAMARIT RODRIGUEZ</t>
  </si>
  <si>
    <t>FRANCISCA FERNANDEZ CABRERA</t>
  </si>
  <si>
    <t>MONICA CHECA MARTINEZ</t>
  </si>
  <si>
    <t>MERCEDES PARRADO SEOANE</t>
  </si>
  <si>
    <t>DRA. PAULA MARTÍNEZ-RUIZ DE APOCADA</t>
  </si>
  <si>
    <t>ISIDRO QUINTANILLA ALEGRIA</t>
  </si>
  <si>
    <t>NATIVIDAD ALONSO ELVIRA</t>
  </si>
  <si>
    <t>DR. RAFAEL SANZ TRENADO</t>
  </si>
  <si>
    <t>JUAN JOSE GARCIA MARTIN</t>
  </si>
  <si>
    <t>DRA. BERTA ALEGRE EDO</t>
  </si>
  <si>
    <t>VICTOR EWALD DRESBACH ARGENTI</t>
  </si>
  <si>
    <t>MARIA DIOLINDA OTERO MERA</t>
  </si>
  <si>
    <t>MARIA ANGELES UGARTE MARTINEZ</t>
  </si>
  <si>
    <t>MARIA TERESA OLIVAN GONZALEZ</t>
  </si>
  <si>
    <t>BRUNO AGUILAR URQUIJO</t>
  </si>
  <si>
    <t>CAROLINA ARRANZ JIMENEZ</t>
  </si>
  <si>
    <t>DR. JOSÉ RUIZ COELLO MORATALLA</t>
  </si>
  <si>
    <t>ISABEL PEREZ PADILLA</t>
  </si>
  <si>
    <t>ROSA LOPEZ CUADRADO</t>
  </si>
  <si>
    <t>DR. CARLOS DURÁN DÍEZ</t>
  </si>
  <si>
    <t>DAVID ALONSO GARCIA</t>
  </si>
  <si>
    <t>ANA MARIA HERNANDEZ ENRILE</t>
  </si>
  <si>
    <t>DRA. MARÍA DEL MAR MARTÍNEZ RUIZ-COELLO</t>
  </si>
  <si>
    <t>MARIA MERCEDES DE SANTOS SANCHEZ</t>
  </si>
  <si>
    <t>ADVANCED</t>
  </si>
  <si>
    <t>DRA. MARÍA DABLANCO BLANCO</t>
  </si>
  <si>
    <t>SONSOLES MUÑOZ MANCEBO</t>
  </si>
  <si>
    <t>JUAN CARAVACA BOTIAS</t>
  </si>
  <si>
    <t>ROGELIO FANEGA FERNANDEZ</t>
  </si>
  <si>
    <t>JESUS MARIA HERNANDEZ MESONERO</t>
  </si>
  <si>
    <t>ANTONIO RUIZ SOLDAN</t>
  </si>
  <si>
    <t>ALVARO GONZALEZ RODRIGUEZ</t>
  </si>
  <si>
    <t>NURIA MARTINEZ VIDAL</t>
  </si>
  <si>
    <t>DRA. PALOMA MARTIN ARAGON</t>
  </si>
  <si>
    <t>AGUSTIN GARCIA BERMEJO</t>
  </si>
  <si>
    <t>ALICIA MUÑOZ FARALDOS</t>
  </si>
  <si>
    <t>CARIDAD FERNANDEZ NAVARRO</t>
  </si>
  <si>
    <t>ELDA GOMEZ PALMEIRO</t>
  </si>
  <si>
    <t>MARIA JESUS GUTIERREZ DIEZ</t>
  </si>
  <si>
    <t>ANDRES BALLESTER SANCHEZ</t>
  </si>
  <si>
    <t>ISABEL ARTERO BENITEZ</t>
  </si>
  <si>
    <t>TRINIDAD JULIANA GALAN MARTIN</t>
  </si>
  <si>
    <t>ELISA BLANCO VERGARA</t>
  </si>
  <si>
    <t>MIGUEL ANGEL VILORIA MORAN</t>
  </si>
  <si>
    <t>DR. JESÚS EDUARDO RAMÍREZ SALAS</t>
  </si>
  <si>
    <t>PAULA OLMEDO VAQUERO</t>
  </si>
  <si>
    <t>JUNIO</t>
  </si>
  <si>
    <t>JOSE MANUEL MARTOS CAÑETE</t>
  </si>
  <si>
    <t>ELVIRA MARTINEZ SAENZ</t>
  </si>
  <si>
    <t>DRA. LAURA DEL TORO GIL</t>
  </si>
  <si>
    <t>MARIA ISABEL GALAN QUINTANA</t>
  </si>
  <si>
    <t>FUENSANTA VIUDES PUJANTE</t>
  </si>
  <si>
    <t>JUAN IGNACIO MARTINEZ FRANCO</t>
  </si>
  <si>
    <t>CONCHITA SENRA GARCIA</t>
  </si>
  <si>
    <t>JAVIER GILABERT BAUSA</t>
  </si>
  <si>
    <t>JUAN MARIA LOPEZ NAVARRO</t>
  </si>
  <si>
    <t>JUAN VICENTE SANCHEZ RUANO</t>
  </si>
  <si>
    <t>MARIA DOLORES CAAMAÑO FUENTES</t>
  </si>
  <si>
    <t>ANGELES INIESTA SANCHEZ</t>
  </si>
  <si>
    <t>FRANCISCO DE PAULA GARCIA MOLINA</t>
  </si>
  <si>
    <t>DRA. RAQUEL SOLIS VAZQUEZ</t>
  </si>
  <si>
    <t>SOFIA NORIEGA URQUIJO</t>
  </si>
  <si>
    <t>PEDRO SANSEGUNDO DIAZ</t>
  </si>
  <si>
    <t>DR. JUAN RAMÓN PAREDES OSADO</t>
  </si>
  <si>
    <t>RAFAEL SERRANO HEREDIA</t>
  </si>
  <si>
    <t>JULIO ALCOLEA CASTAÑO</t>
  </si>
  <si>
    <t>GINES RODRIGUEZ YAÑEZ</t>
  </si>
  <si>
    <t>MARIA DEL CARMEN MARTIN BALDO</t>
  </si>
  <si>
    <t>ANTONIA ESPINOSA DIAZ</t>
  </si>
  <si>
    <t>DRA. OLGA FERRER ANDINO</t>
  </si>
  <si>
    <t>MARIA DOLORS TOMAS SANTAEULARIA</t>
  </si>
  <si>
    <t>FRANCISCO FELIPE RODRIGUEZ</t>
  </si>
  <si>
    <t>SOLEDAD VILLAYANDRE FRESNO</t>
  </si>
  <si>
    <t>RAFAEL DELGADO HERNANDEZ</t>
  </si>
  <si>
    <t>MARI CARMEN BARBA SANCHEZ</t>
  </si>
  <si>
    <t>PILAR OJESTO BARAJAS</t>
  </si>
  <si>
    <t>CARMEN GOMEZ SERRANO</t>
  </si>
  <si>
    <t>TERESA BARCO SANTOS</t>
  </si>
  <si>
    <t>DR. CARLOS DE PAULA VERNETTA</t>
  </si>
  <si>
    <t>JUAN DE DIOS CAÑETE PEREZ</t>
  </si>
  <si>
    <t>DR. JOSÉ Mª RELANZÓN LOPEZ</t>
  </si>
  <si>
    <t>CARIDAD ARACELI GARCIA BRICEÑO</t>
  </si>
  <si>
    <t>MARIA DEL CARMEN YEPES RODRIGUEZ</t>
  </si>
  <si>
    <t>Vilagarcía De Arousa</t>
  </si>
  <si>
    <t>CONCEPCION TARRIO VAZQUEZ</t>
  </si>
  <si>
    <t>DR. ALBERTO TAUSTE GÓMEZ</t>
  </si>
  <si>
    <t>Mª LUZ SOLIVA LUCAS</t>
  </si>
  <si>
    <t>ANA ROSA SIERRA VALLADARES</t>
  </si>
  <si>
    <t>DR. MIQUEL GUIRAO CANO</t>
  </si>
  <si>
    <t>SEBASTIA CASES MILLAN</t>
  </si>
  <si>
    <t>MARIA RUIZ PLAZA</t>
  </si>
  <si>
    <t>JOSE FELIX MATEO BAÑO</t>
  </si>
  <si>
    <t>DR. MANUEL MATEOS FERNÁNDEZ</t>
  </si>
  <si>
    <t>CONRAD PUJOL MARCO</t>
  </si>
  <si>
    <t>DRA. IRENE MÁRMOL SZMOBATHY</t>
  </si>
  <si>
    <t>MARIA TRINIDAD RECIO GOMEZ</t>
  </si>
  <si>
    <t>FRANCISCA MARTIN RAMOS</t>
  </si>
  <si>
    <t>JOSEFA LOPEZ MARTIN</t>
  </si>
  <si>
    <t>NURIA SEGURA MONTIEL</t>
  </si>
  <si>
    <t>ADRIAN ACEBES SENIN</t>
  </si>
  <si>
    <t>DIGNA FERRERAS IZQUIERDO</t>
  </si>
  <si>
    <t>FERNANDO DE MIGUEL GALLEGO</t>
  </si>
  <si>
    <t>MARIA MARTA ESCRIBANO SAN GERMAN</t>
  </si>
  <si>
    <t>DRA. MARTA MORATO GALÁN</t>
  </si>
  <si>
    <t>ANA MARIA MUNTEANU</t>
  </si>
  <si>
    <t>MARIA PILAR COBO LAVIN</t>
  </si>
  <si>
    <t>ESPERANZA GOMEZ PINA</t>
  </si>
  <si>
    <t>SANTOS ALVAREZ GARCIA</t>
  </si>
  <si>
    <t>DEBORA RODRIGUEZ FERNANDEZ</t>
  </si>
  <si>
    <t>DR. MANUEL GÓMEZ FIÑANA</t>
  </si>
  <si>
    <t>BLAS CORTES GONZALEZ</t>
  </si>
  <si>
    <t>MARIA CARRICONDO RAMOS</t>
  </si>
  <si>
    <t>TEODORA GARCIA RIVERA</t>
  </si>
  <si>
    <t>RAQUEL JIMENEZ BOLIVAR</t>
  </si>
  <si>
    <t>DRA. ESTRELLA GÓMEZ TOMÉ</t>
  </si>
  <si>
    <t>JULIO ORDEN MARIN</t>
  </si>
  <si>
    <t>EMILIO GALLEGO SANTOS</t>
  </si>
  <si>
    <t>FRANCISCO PEDRAZ ANDRES</t>
  </si>
  <si>
    <t>VERONA CHRISTINA BURNETT</t>
  </si>
  <si>
    <t>Plasencia</t>
  </si>
  <si>
    <t>ESTHER GUTIERREZ CAÑADA</t>
  </si>
  <si>
    <t>RAMON BARREIRO BOTANA</t>
  </si>
  <si>
    <t>DRA. DARÁ SÁNCHEZ RUIZ</t>
  </si>
  <si>
    <t>CANDIDA GARRIDO LAGO</t>
  </si>
  <si>
    <t>FELIX COUÑAGO MIGUEZ</t>
  </si>
  <si>
    <t>JOSE VICENTE RAMOS MANZANEQUE</t>
  </si>
  <si>
    <t>FELICIANA HERVAS GILO</t>
  </si>
  <si>
    <t>MARIA JESUS HERRERA RODRIGUEZ</t>
  </si>
  <si>
    <t>ANA BENITEZ GARCIA</t>
  </si>
  <si>
    <t>BERNARDINO SANCHEZ ROMERO</t>
  </si>
  <si>
    <t>BLAS JOSE BRUNETE SOMOLINOS</t>
  </si>
  <si>
    <t>FRANCISCO GIL DIEGO</t>
  </si>
  <si>
    <t>MAGDALENA CRUZ JIMENEZ</t>
  </si>
  <si>
    <t>ROSENDO GALLEGO SANCHEZ</t>
  </si>
  <si>
    <t>MARIA DOLORES GONZALEZ PUJANTE</t>
  </si>
  <si>
    <t>MARIA PAZ GARDON PEREZ</t>
  </si>
  <si>
    <t>DR. JUAN LOSADA CAMPA</t>
  </si>
  <si>
    <t>MARIANO MARCOS CASTROMONTE</t>
  </si>
  <si>
    <t>DRA. GUADALUPE SEQUEIROS SANTIAGO</t>
  </si>
  <si>
    <t>MARIA DEL CARMEN LOPEZ CORREA</t>
  </si>
  <si>
    <t>MARIA ANDINO GONZALO</t>
  </si>
  <si>
    <t>CELEDONIA BEJARANO DELGADO</t>
  </si>
  <si>
    <t>DOMINGO ESPINOSA SAENZ</t>
  </si>
  <si>
    <t>GUADALUPE HOLGADO POLO</t>
  </si>
  <si>
    <t>AGUSTIN ORTIZ MELGUIZO</t>
  </si>
  <si>
    <t>JOSEFA MARIN MORENO</t>
  </si>
  <si>
    <t>JOSE CARLOS HERNANDEZ CASTELL</t>
  </si>
  <si>
    <t>MARIA ISABEL VALLE MORENO OLIVER</t>
  </si>
  <si>
    <t>JUAN MANUEL VARELA LAMAS</t>
  </si>
  <si>
    <t>PILAR PATON SIMON</t>
  </si>
  <si>
    <t>FELISA ANGELA RAFAELE</t>
  </si>
  <si>
    <t>JOSE ANTONIO GARCIA SANZ</t>
  </si>
  <si>
    <t>DR. CRISTINA ALONSO GONZÁLEZ</t>
  </si>
  <si>
    <t>LAURA SOLIS TORO</t>
  </si>
  <si>
    <t>DRA. VICTORIA DUQUE HOLGUERA</t>
  </si>
  <si>
    <t>FELIX GARCIA GARCIA</t>
  </si>
  <si>
    <t>Cambados</t>
  </si>
  <si>
    <t>CARMEN SEÑORANS PAZ</t>
  </si>
  <si>
    <t>VICTORIA BLAZQUEZ</t>
  </si>
  <si>
    <t>ELEAZAR HERVAS OLIVARES</t>
  </si>
  <si>
    <t>JOSE HERRERO DIEZ</t>
  </si>
  <si>
    <t>MARIA CRUZ RODRIGUEZ DIEZ</t>
  </si>
  <si>
    <t>MARIA ESPERANZA BRAVO MARIN</t>
  </si>
  <si>
    <t>PILAR IZQUIERDO MORILLO</t>
  </si>
  <si>
    <t>DR. JOAQUIN GUTIERREZ BARQUIN</t>
  </si>
  <si>
    <t>FELIPE RODRIGUEZ COCA</t>
  </si>
  <si>
    <t>DR. ENRIQUE GÓMEZ ALDAZ</t>
  </si>
  <si>
    <t>FRANCISCO RODRIGUEZ RODRIGUEZ</t>
  </si>
  <si>
    <t>BONIFACIA SANCHEZ SOSA</t>
  </si>
  <si>
    <t>ASUNCION CHECA MAYORDOMO</t>
  </si>
  <si>
    <t>FRANCESC RAMON JUAN RICO</t>
  </si>
  <si>
    <t>DELFINA CONCEPCION GARCIA RAMOS</t>
  </si>
  <si>
    <t>MARIA PUY LUCIA OCHOA ECHAVARRI</t>
  </si>
  <si>
    <t>ALICIA CARLON ORTIZ</t>
  </si>
  <si>
    <t>MARIA LUISA ARGUMANEZ LEO</t>
  </si>
  <si>
    <t>MERCEDES OLIVAR ORGAZ</t>
  </si>
  <si>
    <t>SAMUEL RODELGO CALVO</t>
  </si>
  <si>
    <t>DR. LUIS JIMÉNEZ FERRERES</t>
  </si>
  <si>
    <t>JOSE TABOADA LOBIT</t>
  </si>
  <si>
    <t>JUAN ORCAJADA BARQUEROS</t>
  </si>
  <si>
    <t>MARTA SANCHEZ ROBLES</t>
  </si>
  <si>
    <t>JOHN HOUGHTON WALTON</t>
  </si>
  <si>
    <t>MARIA ISABEL GARCIA MUÑEZ</t>
  </si>
  <si>
    <t>MARIA ROSA MARTIN RODRIGUEZ</t>
  </si>
  <si>
    <t>NARCISA HERNANDEZ HERNANDEZ</t>
  </si>
  <si>
    <t>RAMON MELCHOR MARTIN</t>
  </si>
  <si>
    <t>JUAN RAMON SEGALES PATSI</t>
  </si>
  <si>
    <t>SEVILLA- MONTOTO</t>
  </si>
  <si>
    <t>ANA GARCIA CARDOSO</t>
  </si>
  <si>
    <t>KEY 4 RECARGABLES</t>
  </si>
  <si>
    <t>JOSE DEL VALLE LINDES</t>
  </si>
  <si>
    <t>FLORENCIO MARUGAN JIMENEZ</t>
  </si>
  <si>
    <t>MARIA DOLORES GARCIA AVILA</t>
  </si>
  <si>
    <t>JOSEFA GONZALEZ CASTRO</t>
  </si>
  <si>
    <t>ANGEL ALCALDE LASANTA</t>
  </si>
  <si>
    <t>REMEDIOS FELPETO PRIETO</t>
  </si>
  <si>
    <t>ANA MARIA BIOSCA GARCIA</t>
  </si>
  <si>
    <t>JUAN JOSE MORENO RODRIGUEZ</t>
  </si>
  <si>
    <t>ANTONIO ALVAREZ GARCIA</t>
  </si>
  <si>
    <t>MARIA VICTORIA ALCAZAR FERNANDEZ</t>
  </si>
  <si>
    <t>HALIMA MAIZI</t>
  </si>
  <si>
    <t>MICHAEL BOSWELL</t>
  </si>
  <si>
    <t>CHAFIA BOUHAL</t>
  </si>
  <si>
    <t>LAUREANO MERCADER ALCALAZ</t>
  </si>
  <si>
    <t>VICENTE CABRERA MOYANO</t>
  </si>
  <si>
    <t>DR. GUSTAVO BENAVENTE BERMUDO</t>
  </si>
  <si>
    <t>ARIADNA VALCARCEL ROMERO</t>
  </si>
  <si>
    <t>CARMEN MARIA SOLIS TRIGOS</t>
  </si>
  <si>
    <t>FRANCISCO JAVIER MARTINEZ CANA</t>
  </si>
  <si>
    <t>ANTONIO TARDIO CUELLAR</t>
  </si>
  <si>
    <t>DRA. CELIA LÓPEZ MOLLA</t>
  </si>
  <si>
    <t>MARGOT VELEZ RIVAS</t>
  </si>
  <si>
    <t>DR. JOAQUÍN PÉREZ VILLAR</t>
  </si>
  <si>
    <t>CARMEN PEDREIRA VAZQUEZ</t>
  </si>
  <si>
    <t>RAMON ROCA AUVI</t>
  </si>
  <si>
    <t>AMPARO ANDUJAR RUIZ</t>
  </si>
  <si>
    <t>DR. MANUEL MARTÍ PEÑA</t>
  </si>
  <si>
    <t>CATALINA SOLANO GASPAR</t>
  </si>
  <si>
    <t>MARTA PAULETE PISTON</t>
  </si>
  <si>
    <t>MARIA DOLORES BEARAN POLLAN</t>
  </si>
  <si>
    <t>CRISTINA PIZARRO LOPEZ</t>
  </si>
  <si>
    <t>JOSE ANTONO SANCHEZ PEREZ</t>
  </si>
  <si>
    <t>FRANCISCO ARRABAL PEREGRINA</t>
  </si>
  <si>
    <t>DRA. TERESA RIVERA SCHMITZ</t>
  </si>
  <si>
    <t>ENCARNACION ADRIAN ESPINA</t>
  </si>
  <si>
    <t>ABDELLAH SERGHINI</t>
  </si>
  <si>
    <t>ANGEL PEREZ HIDALGO</t>
  </si>
  <si>
    <t>AMELIA MARTINEZ ALOS</t>
  </si>
  <si>
    <t>DRA. MARGARITA REYES DÍAZ</t>
  </si>
  <si>
    <t>MARILUZ RODRIGUEZ CARRIL</t>
  </si>
  <si>
    <t>ANTONIO GONZALEZ RUIZ</t>
  </si>
  <si>
    <t>MADRID- CANILLAS</t>
  </si>
  <si>
    <t>MARTIN PRIETO ROMAN</t>
  </si>
  <si>
    <t>NEXIA 5 DRWC BLACK</t>
  </si>
  <si>
    <t>YOLANDA DIAZ MARTIN</t>
  </si>
  <si>
    <t>CARMEN CERROLAZA APARICIO</t>
  </si>
  <si>
    <t>MARIONA MERCADE CAMPABADAL</t>
  </si>
  <si>
    <t>JOSE ALVAREZ MARTINEZ</t>
  </si>
  <si>
    <t>DR. ÁNGEL BATUECAS CALETRÍO</t>
  </si>
  <si>
    <t>MARIA JOSE GARCIA BEJARANO</t>
  </si>
  <si>
    <t>MARIA MONTERO CORTES</t>
  </si>
  <si>
    <t>TERESA AVILA ALONSO</t>
  </si>
  <si>
    <t>ANA MARIA ESQUE PEÑARANDA</t>
  </si>
  <si>
    <t>ADELINA MARTINEZ SAMPRON</t>
  </si>
  <si>
    <t>JULIO</t>
  </si>
  <si>
    <t>MARIA LUISA REBOREDO GONZALEZ</t>
  </si>
  <si>
    <t>JOSEFA COSTA FENOR</t>
  </si>
  <si>
    <t>SALAMANCA</t>
  </si>
  <si>
    <t>DRA. MARTA CALVO PÉREZ</t>
  </si>
  <si>
    <t>MARIA DEL CARMEN GARCIA GONZALEZ</t>
  </si>
  <si>
    <t>SEVILLA- CIENCIAS</t>
  </si>
  <si>
    <t>ENCARNI MEMBRIVE CASTILLA</t>
  </si>
  <si>
    <t>DR. JUAN LATORRE LÓPEZ</t>
  </si>
  <si>
    <t>ELISA LOUREIRO PENA</t>
  </si>
  <si>
    <t>EUFEMIA ALBA HERRERO</t>
  </si>
  <si>
    <t>MARINA PENEDO RODRIGUEZ</t>
  </si>
  <si>
    <t>DRA. LAURA GAÑÁN ALBUISECH</t>
  </si>
  <si>
    <t>PEDRO MORALES DELGADO</t>
  </si>
  <si>
    <t>ELISABETH ROMAN BORREGA</t>
  </si>
  <si>
    <t>RICARDO ASENSIO NADAL</t>
  </si>
  <si>
    <t>ANTONIO GONZALVEZ LLORENTE</t>
  </si>
  <si>
    <t>PILAR RIVERA CORIA</t>
  </si>
  <si>
    <t>MARIA DOLORES FERNANDEZ GARCIA</t>
  </si>
  <si>
    <t>REMEDIOS GONZALEZ VAZQUEZ</t>
  </si>
  <si>
    <t>JAVIER GARCIA CUESTA</t>
  </si>
  <si>
    <t>JOAN ESTEBAN BONCOMPTE SAZ</t>
  </si>
  <si>
    <t>BADAJOZ</t>
  </si>
  <si>
    <t>DR. ISIDORO RUBIO CORREA</t>
  </si>
  <si>
    <t>FATIMA GARCIA NUÑEZ</t>
  </si>
  <si>
    <t>ENCARNACION FERNANDEZ ARIAS</t>
  </si>
  <si>
    <t>ERIC JAMES ALLWORTHY</t>
  </si>
  <si>
    <t>MIGUEL ANGEL SARDINA HERNANDEZ</t>
  </si>
  <si>
    <t>ESTEBAN LEIVAS ZAQUER</t>
  </si>
  <si>
    <t>DR. ELADIO SICILIA MALUENDA</t>
  </si>
  <si>
    <t>MIGUEL PRATS ESTEVE</t>
  </si>
  <si>
    <t>GLORIA JIMENEZ SILVAN</t>
  </si>
  <si>
    <t>Manuel Magan Riveira</t>
  </si>
  <si>
    <t>DR. JOSE ANTONIO TORRE EIRIZ</t>
  </si>
  <si>
    <t>NIEVES OTERO SAMPAYO</t>
  </si>
  <si>
    <t>SANTIAGO GONZALEZ ARAGON</t>
  </si>
  <si>
    <t>JUAN SALMERON TORRES</t>
  </si>
  <si>
    <t>ELVIRA LLORET ARACIL</t>
  </si>
  <si>
    <t>SANTOS MANUEL PROTOMARTIR VAQUERO</t>
  </si>
  <si>
    <t>DRA. MARÍA CECILIA SCOLA TORRES</t>
  </si>
  <si>
    <t>CONSTANTINA GARCIA FERNANDEZ</t>
  </si>
  <si>
    <t>BARBARA ANNE ELLIS</t>
  </si>
  <si>
    <t>DAVID ESQUILA MARTIN</t>
  </si>
  <si>
    <t>CARMEN VIRGINIA VERA CABRERA</t>
  </si>
  <si>
    <t>DIVINA FERNANDEZ VIDAL</t>
  </si>
  <si>
    <t>ANA ISABEL COPETE PEREZ</t>
  </si>
  <si>
    <t>ALFREDO VERGARA MONZON</t>
  </si>
  <si>
    <t>DRA. CRISTINA POVEDANO FERNÁNDEZ</t>
  </si>
  <si>
    <t>ELVIRA PEREZ SERRANO</t>
  </si>
  <si>
    <t>LLANOS YANINI LOPEZ</t>
  </si>
  <si>
    <t>TANIA LOPEZ MUÑOZ</t>
  </si>
  <si>
    <t>JUSTO FERNANDEZ TRAPA</t>
  </si>
  <si>
    <t>MARIA DEL CARMEN SANCHEZ HERNANDEZ</t>
  </si>
  <si>
    <t>GUILLERMO JOSE CRUZ GARCIA</t>
  </si>
  <si>
    <t>ASSUMPTA BOIX VILARO</t>
  </si>
  <si>
    <t>CÁCERES</t>
  </si>
  <si>
    <t>MARIA JESUS VELA ANDRADA</t>
  </si>
  <si>
    <t>LOGROÑO</t>
  </si>
  <si>
    <t>LUIS MARIA SAENZ RUIZ</t>
  </si>
  <si>
    <t>MARIA ANGELES CORREDOIRA CORREDOIRA</t>
  </si>
  <si>
    <t>PEDRO GUTIERREZ GONZALEZ</t>
  </si>
  <si>
    <t>DELMIRO FERNANDEZ GONZALEZ</t>
  </si>
  <si>
    <t>MARIA FELISA GONZALEZ FREIR</t>
  </si>
  <si>
    <t>FLORENTINA BLANCO HERNANDEZ</t>
  </si>
  <si>
    <t>DR. AGUSTÍN CAMPOS CATALÁ</t>
  </si>
  <si>
    <t>CARMEN HERVAS MARTINEZ</t>
  </si>
  <si>
    <t>MARIA JOSEFA BLANCO BLANCO</t>
  </si>
  <si>
    <t>EMILIA GARCIA BARRAJON</t>
  </si>
  <si>
    <t>ANTONIO GUTIERREZ FERNADEZ-VELILLA</t>
  </si>
  <si>
    <t>PILAR TORRES MOYA</t>
  </si>
  <si>
    <t>MARIA JOSE REINOSO GARCIA</t>
  </si>
  <si>
    <t>FRANCISCO DE PEDRO MERINO</t>
  </si>
  <si>
    <t>DR. JAIME LEACHE PUEYO</t>
  </si>
  <si>
    <t>CARMELO PUYUELO ARLEGUI</t>
  </si>
  <si>
    <t>JOSEFA GARCIA LLORET</t>
  </si>
  <si>
    <t>JESUS VALENTIN IGLESIAS TEIJEIRO</t>
  </si>
  <si>
    <t>TEOFILO SASTRE HERNANDEZ</t>
  </si>
  <si>
    <t>ANGEL DIAZ FERREIROS</t>
  </si>
  <si>
    <t>ANTONIO TORRENTE VELA</t>
  </si>
  <si>
    <t>SALVADOR GIL MUÑOZ</t>
  </si>
  <si>
    <t>DR. ALBERTO RAPOSO JIMÉNEZ</t>
  </si>
  <si>
    <t>ANDRES JOSE MATEO FRUCTUOSO</t>
  </si>
  <si>
    <t>JOAQUIN JIMENEZ GALAN</t>
  </si>
  <si>
    <t>MARIA FLAVIA FREITAS COELHO</t>
  </si>
  <si>
    <t>DRA. BEATRIZ SANTOS DUQUE</t>
  </si>
  <si>
    <t>ISABEL DUQUE LOPEZ</t>
  </si>
  <si>
    <t>JOSE IGNACIO HURTADO ECHEVARRIA</t>
  </si>
  <si>
    <t>RAMON GARCIA ALMELA</t>
  </si>
  <si>
    <t>MARIA DEL PRADO ARROGANTE PEREZ</t>
  </si>
  <si>
    <t>DRA. VANESA PÉREZ GUILLÉN</t>
  </si>
  <si>
    <t>OTILIA SORIA GOMEZ</t>
  </si>
  <si>
    <t>EDUARDO FERNANDEZ LOPEZ</t>
  </si>
  <si>
    <t>MARIA VICTORIA DE FRUTOS HERNANDEZ</t>
  </si>
  <si>
    <t>CONCEPCION MONTERO GARCIA</t>
  </si>
  <si>
    <t>MARIA ROUCO CUTRIN</t>
  </si>
  <si>
    <t>PASTORA RODRIGUEZ BELLO</t>
  </si>
  <si>
    <t>ANTONIO MONTERO BENJUMEA</t>
  </si>
  <si>
    <t>MERCEDES BRAVO MORENO</t>
  </si>
  <si>
    <t>DR. JOSÉ MONTALT MARCO</t>
  </si>
  <si>
    <t>CARMEN BAVIERA BARTUAL</t>
  </si>
  <si>
    <t>DRA. FE RUBIO ESCOLANO</t>
  </si>
  <si>
    <t>JAIME CABALLERO VELAZQUEZ</t>
  </si>
  <si>
    <t>VALLADOLID</t>
  </si>
  <si>
    <t>TERESITA ALONSO DE LOS RIOS</t>
  </si>
  <si>
    <t>FRANCISCA MUÑOZ GOMEZ</t>
  </si>
  <si>
    <t>DRA. Ana Gabriela Jover Espla</t>
  </si>
  <si>
    <t>CARMEN SORIA BENITO</t>
  </si>
  <si>
    <t>EUGENIO ALEN SANCHEZ</t>
  </si>
  <si>
    <t>POURNAMI DORADO GALVAN</t>
  </si>
  <si>
    <t>DRA. CONCEPCION RODRÍGUEZ IZQUIERDO</t>
  </si>
  <si>
    <t>FERMINA SERRANO FOURNIER</t>
  </si>
  <si>
    <t>ALICIA COLLADO SANCHEZ</t>
  </si>
  <si>
    <t>TEODORA ALCAIDE GONZALEZ</t>
  </si>
  <si>
    <t>JOSE GUILLEN PARDO</t>
  </si>
  <si>
    <t>ALBERTO IGLESIAS PEREZ</t>
  </si>
  <si>
    <t>VIDAL RUFO BRAVO</t>
  </si>
  <si>
    <t>DRA. ANA GIRIBET FERNANDEZ-PACHECO</t>
  </si>
  <si>
    <t>ANDRES MARTINEZ MORENO</t>
  </si>
  <si>
    <t>MANUEL SERVERA RODRIGUEZ</t>
  </si>
  <si>
    <t>CARMEN BUENO FERNANDEZ</t>
  </si>
  <si>
    <t>MARIA SOFIA GOMEZ RODRIGUEZ</t>
  </si>
  <si>
    <t>DR. JOSÉ LUIS BATLLES MEDINA</t>
  </si>
  <si>
    <t>ISABEL RUIZ LOPEZ</t>
  </si>
  <si>
    <t>MARIA DOLORES CADILLO RIVAS</t>
  </si>
  <si>
    <t>BLANCA GARCIA CRIADO</t>
  </si>
  <si>
    <t>JUANA SOBRINO TAPIADOR</t>
  </si>
  <si>
    <t>VICTOR EMILIO FERNANDEZ NAVARRO</t>
  </si>
  <si>
    <t>ETELVINA FERNANDEZ PEREZ</t>
  </si>
  <si>
    <t>VICENTE DIAZ LEDESMA</t>
  </si>
  <si>
    <t>JUANA FRANCO SERRANO</t>
  </si>
  <si>
    <t>ROSALIND LINDA SUTER</t>
  </si>
  <si>
    <t>FRANCISCO GUTIERREZ MARTIN</t>
  </si>
  <si>
    <t>MARIA DOLORES PEREZ GASCON</t>
  </si>
  <si>
    <t>DR. JORGE FREIJANES OTERO</t>
  </si>
  <si>
    <t>YOLANDA LUENGO CASCO</t>
  </si>
  <si>
    <t>JOAQUIN VAZQUEZ OTERO</t>
  </si>
  <si>
    <t>GINES SANCHEZ MARTINEZ</t>
  </si>
  <si>
    <t>INES ROSALIA SANCHEZ MUÑOZ</t>
  </si>
  <si>
    <t>RAFAEL GONZALEZ-FRIAS MARTINEZ</t>
  </si>
  <si>
    <t>CELIA MAYORDOMO VAQUERO</t>
  </si>
  <si>
    <t>ALFIE STUART JASON BROTHERTON</t>
  </si>
  <si>
    <t>DRA. MARÍA LOURDES HERNÁNDEZ DE LOS SANTOS</t>
  </si>
  <si>
    <t>MARIA ANGELES BOMBIN HORTELANO</t>
  </si>
  <si>
    <t>MERCEDES SANCHEZ SERRA</t>
  </si>
  <si>
    <t>RAMON QUEROL MURLA</t>
  </si>
  <si>
    <t>LEÓN</t>
  </si>
  <si>
    <t>JESUS VALDERREY PRIETO</t>
  </si>
  <si>
    <t>TERESA MONTOYA PARRAGA</t>
  </si>
  <si>
    <t>DR. JUAN CARLOS DEL POZO DE DIOS</t>
  </si>
  <si>
    <t>MARIA JOSEFA DEL POZO SANTOS</t>
  </si>
  <si>
    <t>LUCIANO LINDO JIMENEZ</t>
  </si>
  <si>
    <t>JOSE ANTONIO SANTOS ERDOZAIN</t>
  </si>
  <si>
    <t>DIONISIO ROMERO GONZALEZ</t>
  </si>
  <si>
    <t>JESUS MARIA MONTOYA PEÑA</t>
  </si>
  <si>
    <t>JUAN CASARUBIOS GAMO</t>
  </si>
  <si>
    <t>LAURA USEROS BUENO</t>
  </si>
  <si>
    <t>CARLOS HUERTAS NUÑEZ</t>
  </si>
  <si>
    <t>DOLORES SERRANO DIEZ</t>
  </si>
  <si>
    <t>MARIA DEL CARMEN LEON COBOS</t>
  </si>
  <si>
    <t>NATIVIDAD LOPEZ PAUL</t>
  </si>
  <si>
    <t>JUAN GONZALEZ GALLARDO</t>
  </si>
  <si>
    <t>JOSE MARIA TRONCOSO PERERA</t>
  </si>
  <si>
    <t>MANUEL FERNANDEZ ALONSO</t>
  </si>
  <si>
    <t>AURORA CIGUELA GRAELLS</t>
  </si>
  <si>
    <t>FEDERICO FERNANDO SORIANO CHARLO</t>
  </si>
  <si>
    <t>MARIA ASCENSION BLANCO SANCHEZ</t>
  </si>
  <si>
    <t>JUAN CARLOS PEREZ GANGOSO</t>
  </si>
  <si>
    <t>JOSE VICENTE MARTINEZ AMOROS</t>
  </si>
  <si>
    <t>ALFREDO CUADRA GARCIA</t>
  </si>
  <si>
    <t>MANUELA RUA BLANCO</t>
  </si>
  <si>
    <t>DRA. NATALY MONTAÑO RUEDA</t>
  </si>
  <si>
    <t>JOSE JOAQUIN CANTOS FRONTELA</t>
  </si>
  <si>
    <t>PEDRO GARCIA NAVARRO</t>
  </si>
  <si>
    <t>ANTONIO SERRANO CAÑETE</t>
  </si>
  <si>
    <t>VICENTA REY BRIGIDANO</t>
  </si>
  <si>
    <t>SOLEDAD MORRONDO SANZ</t>
  </si>
  <si>
    <t>ORLANDO MONTIEL MORALES</t>
  </si>
  <si>
    <t>VICTORIA HERRANZ LLORENTE</t>
  </si>
  <si>
    <t>AITANA GARCIA CALERO</t>
  </si>
  <si>
    <t>JOSEFA HERRAIZ BLANCO</t>
  </si>
  <si>
    <t>LUIS FLAVIANO SANTOS GIL</t>
  </si>
  <si>
    <t>CONCEPCION BUENO IGLESIAS</t>
  </si>
  <si>
    <t>AGOSTO</t>
  </si>
  <si>
    <t>VICENTE DURAN GUERRA</t>
  </si>
  <si>
    <t>MIGUEL ANGEL LOZA URIZAR</t>
  </si>
  <si>
    <t>JESUS GABRIEL ESCOBAR PIRELA</t>
  </si>
  <si>
    <t>FIDELA BUENO SALINERO</t>
  </si>
  <si>
    <t>JULIANA PALENZUELA FERRADAS</t>
  </si>
  <si>
    <t>DR. MARIO CUETOS AZCONA</t>
  </si>
  <si>
    <t>MARIA EVA DEL POZO PARDO</t>
  </si>
  <si>
    <t>ALBERTO MORENO</t>
  </si>
  <si>
    <t>ELVIRA GARCIA GONZALEZ DE LENA</t>
  </si>
  <si>
    <t>GREGORIO LUCAS ORTEGA</t>
  </si>
  <si>
    <t>AGUSTIN VAÑO LAHOZ</t>
  </si>
  <si>
    <t>CARMEN SEVILLANO BACHILLER</t>
  </si>
  <si>
    <t>JUANA MENDEZ CRUZ</t>
  </si>
  <si>
    <t>JOSE ANTONIO PEREZ LOZANO</t>
  </si>
  <si>
    <t>JULIA SUAREZ GARCIA</t>
  </si>
  <si>
    <t>ANTONIO MURIEL NUÑEZ</t>
  </si>
  <si>
    <t>MOHAMED BOUJAKHROUT</t>
  </si>
  <si>
    <t>DRA. CIFUENTES NAVAS</t>
  </si>
  <si>
    <t>MARIA EUGENIA GIL PIZARRO</t>
  </si>
  <si>
    <t>MARIA ISABEL SENDRA MOLINA</t>
  </si>
  <si>
    <t>DRA. SARA FERNANDRZ CASCÓN</t>
  </si>
  <si>
    <t>LUIS ANDRES MARTINEZ</t>
  </si>
  <si>
    <t>JOSE PAVON CORTES</t>
  </si>
  <si>
    <t>FELISA CUENCA CUADRADO</t>
  </si>
  <si>
    <t>DR. FERRAN BALLESTEROS ALONSO</t>
  </si>
  <si>
    <t>FRANCISCO JAVIER SANCHEZ SIGUENZA</t>
  </si>
  <si>
    <t>ANTONIO CAMPI MENDEZ</t>
  </si>
  <si>
    <t>DR. SERGIO CODINA ALONSO</t>
  </si>
  <si>
    <t>JOSE PUMAR RODRIGUEZ</t>
  </si>
  <si>
    <t>DRA. MARÍA AMPARO ÁLVAREZ DE TOLEDO JEUTE</t>
  </si>
  <si>
    <t>JOSEFA MARIN RAMIREZ</t>
  </si>
  <si>
    <t>DR. JUAN PEDRO RUBIO RODRÍGUEZ</t>
  </si>
  <si>
    <t>ANTONIO GERONIMO LOPEZ LOPEZ</t>
  </si>
  <si>
    <t>ANGEL ROBERTO SANCHEZ PUERTO</t>
  </si>
  <si>
    <t>JOSEFA VILARIÑO GARCIA</t>
  </si>
  <si>
    <t>DRA. AURORA LÓPEZ LLAMES</t>
  </si>
  <si>
    <t>TREVOR JOHN CLAY</t>
  </si>
  <si>
    <t>MARIA DEL CARMEN TORREIRO ARES</t>
  </si>
  <si>
    <t>JAIME MARTINEZ CARIDAD</t>
  </si>
  <si>
    <t>JANINA SECZOWEKA</t>
  </si>
  <si>
    <t>DR. JOSÉ MIGUEL COSTA GONZÁLEZ</t>
  </si>
  <si>
    <t>FRANCISCA VERDAGUER MERINO</t>
  </si>
  <si>
    <t>MALIKA MALIKA BEDJA</t>
  </si>
  <si>
    <t>FRANCISCO JAVIER SANCHEZ GUIRAO</t>
  </si>
  <si>
    <t>DRA. BLANCA MARIA MARTINEZ DURO</t>
  </si>
  <si>
    <t>VIRGINIA GOMEZ PEREZ</t>
  </si>
  <si>
    <t>MARIA LUISA MAGAÑA NARRO</t>
  </si>
  <si>
    <t>GUMERSINDO NICOLAS MOSCARDO</t>
  </si>
  <si>
    <t>PERFECTO RODRIGUEZ BARJA</t>
  </si>
  <si>
    <t>FRANCISCO JAVIER TORRES GONZALEZ</t>
  </si>
  <si>
    <t>Mª CARMEN PEREZ VAZQUEZ</t>
  </si>
  <si>
    <t>BLANCA GARCIA SAMPEDRO</t>
  </si>
  <si>
    <t>GERARDO LORENZO CANCIO</t>
  </si>
  <si>
    <t>BENITA DOMINGUEZ MARTIN</t>
  </si>
  <si>
    <t>CARMEN SALAS GUTIERREZ</t>
  </si>
  <si>
    <t>CARMEN GAGO CABRERA</t>
  </si>
  <si>
    <t>DRA. AINA BRUNET</t>
  </si>
  <si>
    <t>INES QUILEZ ABELLANEDA</t>
  </si>
  <si>
    <t>LORENZO ZURDO PEREZ</t>
  </si>
  <si>
    <t>FELIX RODIL ALVAREZ</t>
  </si>
  <si>
    <t>FRANCISCA MATURANA OLLER</t>
  </si>
  <si>
    <t>DRA. MARÍA JOSEFA HERVÁS NÚÑEZ</t>
  </si>
  <si>
    <t>CONCEPCION RODRIGUEZ HERNANDEZ</t>
  </si>
  <si>
    <t>ADORACION MARTINEZ PEINADO</t>
  </si>
  <si>
    <t>DRA. MARTA MESALLES RUIZ</t>
  </si>
  <si>
    <t>MARI LUZ GARCIA PUYO</t>
  </si>
  <si>
    <t>JOAQUIN PARRA MARTINEZ</t>
  </si>
  <si>
    <t>DRA. VIRGINIA DÍAZ GUERRERO</t>
  </si>
  <si>
    <t>EDUARDO OLIVA GOMEZ</t>
  </si>
  <si>
    <t>ANTONIO GASCON RODRIGUEZ</t>
  </si>
  <si>
    <t>DR. VÍCTOR JOSÉ GONZÁLEZ ARIAS</t>
  </si>
  <si>
    <t>MANUEL MARTINEZ MARTINEZ</t>
  </si>
  <si>
    <t>DR. JOSE ANTONIO SANCIPRIANO HERNÁNDEZ</t>
  </si>
  <si>
    <t>ANDRES ESCUDERO GARCIA</t>
  </si>
  <si>
    <t>CARLOS LUIS ENJOLRAS HERNAEZ</t>
  </si>
  <si>
    <t>MARIA ROSARIO GALLEGO FERNANDEZ</t>
  </si>
  <si>
    <t>Joaquim Chaler Vilaseca</t>
  </si>
  <si>
    <t>CANDELA FRESNEDA MAESTRE</t>
  </si>
  <si>
    <t>JOSE ALBERTO FERNANDEZ RUIZ</t>
  </si>
  <si>
    <t>JUAN TERRONES INBERNOM</t>
  </si>
  <si>
    <t>SEPTIEMBRE</t>
  </si>
  <si>
    <t>ANTONIO MANZANOS ALVAREZ</t>
  </si>
  <si>
    <t>MARIA LUISA ALVAREZ MARTINEZ</t>
  </si>
  <si>
    <t>ELVIRA FERNANDEZ RODRIGUEZ</t>
  </si>
  <si>
    <t>TERESA NISTAL GARCIA</t>
  </si>
  <si>
    <t>MIGUEL ANGEL MORANTE GOMEZ</t>
  </si>
  <si>
    <t>JUAN MANUEL VELEZ ZAMORA</t>
  </si>
  <si>
    <t>AURORA LOZANO ALFARA</t>
  </si>
  <si>
    <t>ROSARIO QUINDOS FERNANDEZ</t>
  </si>
  <si>
    <t>O Barco</t>
  </si>
  <si>
    <t>ENCINA FIDALGO TATO</t>
  </si>
  <si>
    <t>DAVID GONZALEZ ARAUJO</t>
  </si>
  <si>
    <t>orl</t>
  </si>
  <si>
    <t>MARIA DE LA CABEZA MENOR CAYUELA</t>
  </si>
  <si>
    <t>ELENA JIMENEZ PEREZ</t>
  </si>
  <si>
    <t>FRANCISCO VINAGRE FEMIA</t>
  </si>
  <si>
    <t>ISIDRO GONZALEZ SANCHEZ</t>
  </si>
  <si>
    <t>DR. MARTÍN EDUARDO MARCANO ACUÑA</t>
  </si>
  <si>
    <t>JOSEFA TOLOSA GARCIA</t>
  </si>
  <si>
    <t>ANTONIO SALINAS PARRAGA</t>
  </si>
  <si>
    <t>SANTIAGA RODRIGUEZ GONZALO</t>
  </si>
  <si>
    <t>JUAN CERDA MONTES</t>
  </si>
  <si>
    <t>WILSON ESPINOZA OROZCO</t>
  </si>
  <si>
    <t>RAMON FARRE PELEGRI</t>
  </si>
  <si>
    <t>JOSE ANTONIO GARCIA GARCIA</t>
  </si>
  <si>
    <t>MILAGROS GARCIA MARTINEZ</t>
  </si>
  <si>
    <t>4 ORL</t>
  </si>
  <si>
    <t>CONCHA GIL PASCUAL</t>
  </si>
  <si>
    <t>RAFAEL MACIA CASTILLO</t>
  </si>
  <si>
    <t>MARINA GOMEZ DE DIEGO</t>
  </si>
  <si>
    <t>MARIA FELICIDAD OLEA MARTINEZ</t>
  </si>
  <si>
    <t>MARIANO CORREIRA CASCON</t>
  </si>
  <si>
    <t>CAROLINA GARCIA VILLAMAÑAN</t>
  </si>
  <si>
    <t>RAFAEL TORRES AMO</t>
  </si>
  <si>
    <t>AgustIn Aranda Hidalgo</t>
  </si>
  <si>
    <t>Lola Lopez GalAn</t>
  </si>
  <si>
    <t>OLGA MARTINEZ DE LA FUENTE</t>
  </si>
  <si>
    <t>ALBERTO JARABO VILLARROEL</t>
  </si>
  <si>
    <t>ANGELES JIMENEZ SANZ</t>
  </si>
  <si>
    <t>22 AUDIOMETRIA CLINICA</t>
  </si>
  <si>
    <t>GREGORIO GOMEZ MORENO</t>
  </si>
  <si>
    <t>DR. XAVIER GONZÁLEZ COMPTA</t>
  </si>
  <si>
    <t>GUILLERMINA SANZ SANZ</t>
  </si>
  <si>
    <t>SOLEDAD FERNANDEZ JURADO</t>
  </si>
  <si>
    <t>JAVIER LACUEVA GOMEZ</t>
  </si>
  <si>
    <t>DR. JAIME MARTÍN CARRANZA</t>
  </si>
  <si>
    <t>PATROCINIO BARBERO MARIA</t>
  </si>
  <si>
    <t>Filomena Velarde Soto</t>
  </si>
  <si>
    <t>JUAN ENRIQUE PEREZ GONZALEZ</t>
  </si>
  <si>
    <t>JOSE BLANCO PEREZ</t>
  </si>
  <si>
    <t>DRA. BELÉN GARCÍA CARREIRA</t>
  </si>
  <si>
    <t>ENRIQUE DIAZ QUINTELA</t>
  </si>
  <si>
    <t>AGUSTIN ORTEGA SANCHEZ</t>
  </si>
  <si>
    <t>ANGELES TORRES RIVERA</t>
  </si>
  <si>
    <t>BLANCA LIDIA VARGAS Lugo</t>
  </si>
  <si>
    <t>DR. ALEJANDRO DÍAZ UÑA</t>
  </si>
  <si>
    <t>EULALIA ESTEVEZ OZORES</t>
  </si>
  <si>
    <t>MICHAEL JOHN MEYRICK</t>
  </si>
  <si>
    <t>RAFAEL PACHON CAPITAN</t>
  </si>
  <si>
    <t>FELIX SANCHEZ CANO</t>
  </si>
  <si>
    <t>PEDRO JESUS MUÑOZ RINCON</t>
  </si>
  <si>
    <t>CONCEPCION PAZ ABANQUEIRO</t>
  </si>
  <si>
    <t>MARIA DE LAS NIEVES BARRERA MORENO</t>
  </si>
  <si>
    <t>JACINTA GUERRERO HERMOSO</t>
  </si>
  <si>
    <t>TERESINHA LOURENÇO DA SILVA</t>
  </si>
  <si>
    <t>MANUELA PILAR ESTEVEZ HERNANDEZ</t>
  </si>
  <si>
    <t>JESUS PEREZ AMOEDO</t>
  </si>
  <si>
    <t>MARIA AMALIA RODRIGUEZ VALCARCEL</t>
  </si>
  <si>
    <t>DR. ANTONIO JOSÉ FERNÁNDEZ PÉREZ</t>
  </si>
  <si>
    <t>PEDRO JOSE ZAMORA FLORES</t>
  </si>
  <si>
    <t>MARIA JOSEFA PUJANTE PASCUAL</t>
  </si>
  <si>
    <t>ANSELMA CUADRADO BAEZA</t>
  </si>
  <si>
    <t>JOSE RODRIGUEZ ARES</t>
  </si>
  <si>
    <t>MARIA TERESA SORIANO FORNIELES</t>
  </si>
  <si>
    <t>ELISEO SENDON SENDON</t>
  </si>
  <si>
    <t>MARIA CARRASCO ASENSIO</t>
  </si>
  <si>
    <t>ANTONIA HERRERA MARTINEZ</t>
  </si>
  <si>
    <t>MARIA DEL CARMEN GARCIA MORA</t>
  </si>
  <si>
    <t>FERMINA APARICIO CEREZO</t>
  </si>
  <si>
    <t>MARGARITA MELON NESTARES</t>
  </si>
  <si>
    <t>MARIA DEL CARMEN PEREZ PINILLAS</t>
  </si>
  <si>
    <t>GABRIEL JIMENEZ MATILLA</t>
  </si>
  <si>
    <t>DR. DINIS ANTUNES SILVA</t>
  </si>
  <si>
    <t>ANGEL PUENTE OCHOA</t>
  </si>
  <si>
    <t>DR. ABEL GUZMÁN CALVETE</t>
  </si>
  <si>
    <t>SIXTO SANTAMARIA GUILLEN</t>
  </si>
  <si>
    <t>DRA. MARTA SANZ RODRÍGUEZ</t>
  </si>
  <si>
    <t>JOSE LUIS FERNANDEZ SANTORIO</t>
  </si>
  <si>
    <t>ESTEBAN CABANILLAS CIUDAD</t>
  </si>
  <si>
    <t>ESPERANZA PEREZ PEÑA</t>
  </si>
  <si>
    <t>JOSE MARIA PIZARRO MACERA</t>
  </si>
  <si>
    <t>FRANCISCO GARCIA MENGUAL</t>
  </si>
  <si>
    <t>MARIA AZOR SALVADOR</t>
  </si>
  <si>
    <t>DR. DANIEL IVÁN MARTÍN JIMÉNEZ</t>
  </si>
  <si>
    <t>MANUEL DELGADO REINA</t>
  </si>
  <si>
    <t>MARIA FELISA PASCUAL MERINO</t>
  </si>
  <si>
    <t>DR. PEDRO GIL PARAÍSO</t>
  </si>
  <si>
    <t>FELIX MARTINEZ BARRANCO</t>
  </si>
  <si>
    <t>ANGELA FERNANDEZ MONTECINO</t>
  </si>
  <si>
    <t>ANGEL ESCUREDO ESCUREDO</t>
  </si>
  <si>
    <t>JOSE GROBAS FUENTES</t>
  </si>
  <si>
    <t>FRANCISCO LOPEZ CORTES</t>
  </si>
  <si>
    <t>JOSE SERRANO GUERRERO</t>
  </si>
  <si>
    <t>JUAN BLANCO SEVILLA</t>
  </si>
  <si>
    <t>DELFINA MALTENLLAN MARTIN</t>
  </si>
  <si>
    <t>ELEUTERIA CAÑIZARES ALCAÑIZ</t>
  </si>
  <si>
    <t>JESUS FERNANDEZ ESPADA</t>
  </si>
  <si>
    <t>NATIVIDAD DUEÑAS ALVAREZ</t>
  </si>
  <si>
    <t>MARIA LUISA GONZALEZ GONZALEZ</t>
  </si>
  <si>
    <t>JULIA GARCIA ATIENZA</t>
  </si>
  <si>
    <t>SANTIAGO CAMINERO GOMEZ</t>
  </si>
  <si>
    <t>CARMEN SEVILLA BAÑOS</t>
  </si>
  <si>
    <t>Ilza Krasimirova Stefanov ilieva</t>
  </si>
  <si>
    <t>JOSEFA ROCAMORA LAJARA</t>
  </si>
  <si>
    <t>MARIA DE LA PAZ FERNANDEZ GARRIDO</t>
  </si>
  <si>
    <t>OCTUBRE</t>
  </si>
  <si>
    <t>JUANA DURAN FERNANDEZ</t>
  </si>
  <si>
    <t>MARIA ESPERANZA SERRANO SANCHEZ</t>
  </si>
  <si>
    <t>JOSEFINA GONZALEZ ORTE</t>
  </si>
  <si>
    <t>LUIS JOSE OLIVAS POLAN</t>
  </si>
  <si>
    <t>ELKE WALDHEIM</t>
  </si>
  <si>
    <t>CLEMENTE CAMARA SAEZ</t>
  </si>
  <si>
    <t>JOSE MORELLO JIMENEZ</t>
  </si>
  <si>
    <t>DRA. ARACELI GONZÁLEZ DELGADO</t>
  </si>
  <si>
    <t>BLANCA NIEVES OLMOS ESCRIBANO</t>
  </si>
  <si>
    <t>DRA. MIRIAM NATSUKI</t>
  </si>
  <si>
    <t>JOSE FOLGADO ROIG</t>
  </si>
  <si>
    <t>ANGELA MENDEZ PEREZ</t>
  </si>
  <si>
    <t>BELEN ARANGUREN LOPEZ</t>
  </si>
  <si>
    <t>ROSARIO SOTO LOPEZ</t>
  </si>
  <si>
    <t>LUIS POVEDANO RUIZ</t>
  </si>
  <si>
    <t>DR. RODRIGUEZ</t>
  </si>
  <si>
    <t>DOLORES LOPEZ ALBIN</t>
  </si>
  <si>
    <t>FEDERICO FRITZSCH INGLES</t>
  </si>
  <si>
    <t>ALBERTO GIRONES MATA</t>
  </si>
  <si>
    <t>JUANA MARIA DOMINGUEZ MARTINEZ</t>
  </si>
  <si>
    <t>RAFAEL PASTOR VIVERO</t>
  </si>
  <si>
    <t>COREENA SHERRATT</t>
  </si>
  <si>
    <t>DR. JOSÉ RAMIRO DE LEÓN LIMA</t>
  </si>
  <si>
    <t>ALICIA CORDERO BARBERO</t>
  </si>
  <si>
    <t>FRANCISCO SANCHEZ FERNANDEZ</t>
  </si>
  <si>
    <t>JOAQUIN JULIA REAL</t>
  </si>
  <si>
    <t>MANUEL ESCANEZ GARCIA</t>
  </si>
  <si>
    <t>DRA. ESTHER DE LA O CORROCHANO</t>
  </si>
  <si>
    <t>SOFIA LOZANO RUIZ</t>
  </si>
  <si>
    <t>JOSE MANUEL PEREZ PIÑO</t>
  </si>
  <si>
    <t>MARIA PIEDAD FRANCO GONZALEZ</t>
  </si>
  <si>
    <t>LUCILA SANCHEZ MARTINEZ</t>
  </si>
  <si>
    <t>TEODORA GAMBOA GARCIA</t>
  </si>
  <si>
    <t>DR. JOSÉ MIGUEL TEJADA BAUTISTA</t>
  </si>
  <si>
    <t>MANUELA YEBRA SANTOS</t>
  </si>
  <si>
    <t>JULIAN SANCHEZ CASADO</t>
  </si>
  <si>
    <t>ACACIA MOLINA IJALBA</t>
  </si>
  <si>
    <t>EUGENIA PEREZ GILETE</t>
  </si>
  <si>
    <t>DR. GONZALO RUIZ MORALES</t>
  </si>
  <si>
    <t>ISABEL RODRIGUEZ RAMIREZ</t>
  </si>
  <si>
    <t>DR. ANDRÉS PAULINO HERRERA</t>
  </si>
  <si>
    <t>ANGEL MARIA MARTINEZ RODRIGUEZ</t>
  </si>
  <si>
    <t>PALMIRA FIZ MARTIN</t>
  </si>
  <si>
    <t>MANUEL PEREZ SANCHEZ</t>
  </si>
  <si>
    <t>LILIANA URIBE FONSECA</t>
  </si>
  <si>
    <t>MARIA ANTONIA GARCIA GOMEZ</t>
  </si>
  <si>
    <t>DRA. ELENA MOLINA FERNÁNDEZ</t>
  </si>
  <si>
    <t>MANUEL CUBERO CASCAJOSA</t>
  </si>
  <si>
    <t>ISAAC SANCHEZ LOZANO</t>
  </si>
  <si>
    <t>GUILLERMO ROJAS FERNANDEZ</t>
  </si>
  <si>
    <t>MANUEL CURRAS PARDO</t>
  </si>
  <si>
    <t>CONCEPCION BAEZA CHILLIDA</t>
  </si>
  <si>
    <t>ROSA BLANCA DEL CANTO FERNANDEZ</t>
  </si>
  <si>
    <t>DR. Jean Franco Intraprendente Martini</t>
  </si>
  <si>
    <t>HERMINIO GONZALEZ GONZALEZ</t>
  </si>
  <si>
    <t>AZUCENA ANDRES RUESTA</t>
  </si>
  <si>
    <t>MILAGROS LOPEZ DEL AMO</t>
  </si>
  <si>
    <t>AVELINO MACHIN PERDICES</t>
  </si>
  <si>
    <t>MATILDE ARIZA SANTOS</t>
  </si>
  <si>
    <t>ENCARNACION ROA GARCIA</t>
  </si>
  <si>
    <t>FRANCISCO JORGE MARTIN</t>
  </si>
  <si>
    <t>DR. SANTIAGO ESTÉVEZ ALONSO</t>
  </si>
  <si>
    <t>ANTONIO MARTIN HERNANDEZ</t>
  </si>
  <si>
    <t>MANUEL NIEVAS PINO</t>
  </si>
  <si>
    <t>DR. PABLO VERGÉS FORT</t>
  </si>
  <si>
    <t>JOSE LIÑAN RUIZ</t>
  </si>
  <si>
    <t>DRA. Mª SOLEDAD FRÍAS MOYA-ANGELER</t>
  </si>
  <si>
    <t>REMEDIOS PEYRO GREGORI</t>
  </si>
  <si>
    <t>EMILIO VALLES MARTINEZ</t>
  </si>
  <si>
    <t>ATILANO IZQUIERDO MARTIN</t>
  </si>
  <si>
    <t>JOSE ANGEL MUÑOZ GOMEZ</t>
  </si>
  <si>
    <t>ANTONIO MARTIN LABRADOR</t>
  </si>
  <si>
    <t>JUAN JOSE AROZARENA POVES</t>
  </si>
  <si>
    <t>MARTIN LOPEZ SOTO</t>
  </si>
  <si>
    <t>RAMON FERNANDEZ FERNANDEZ</t>
  </si>
  <si>
    <t>CARMEN INMACULADA MARTINEZ BOTIAS</t>
  </si>
  <si>
    <t>JOSEFA CORTES VAZQUEZ</t>
  </si>
  <si>
    <t>NICASIO BERNAL CRUZ</t>
  </si>
  <si>
    <t>JESUS GOMEZ GOMEZ</t>
  </si>
  <si>
    <t>MANUEL ANGEL FERNANDEZ GONZALEZ</t>
  </si>
  <si>
    <t>BENITA RIVERA CIPRIAN</t>
  </si>
  <si>
    <t>JUAN ROMERO VILLAFRANCA</t>
  </si>
  <si>
    <t>MARCUS KUSTER</t>
  </si>
  <si>
    <t>ANTONIO ALVAREZ ESTEVEZ</t>
  </si>
  <si>
    <t>JOSE LUIS CARO FRANCO</t>
  </si>
  <si>
    <t>DR. GIANMARCO NARCISO MARTÍNEZ</t>
  </si>
  <si>
    <t>MANUEL ARRIETA LOPEZ-DE LA VIEJA</t>
  </si>
  <si>
    <t>MARIA ANGELES HURTADO PAREJO</t>
  </si>
  <si>
    <t>LUIS HOYOS ORTIZ</t>
  </si>
  <si>
    <t>ISABEL CAMPOS SANCHEZ</t>
  </si>
  <si>
    <t>JOSEFA SANCHEZ SALDAÑA</t>
  </si>
  <si>
    <t>JOSEFA GUTIERREZ PORCUNA</t>
  </si>
  <si>
    <t>ANGEL FERNANDEZ MEDINA</t>
  </si>
  <si>
    <t>LUCIA CABEZAS TORIL</t>
  </si>
  <si>
    <t>LUIS ALFONSO GONZALEZ TEJO</t>
  </si>
  <si>
    <t>ANTONIA ARCE MIRALLES</t>
  </si>
  <si>
    <t>AURORA ZAMORA BERNAL</t>
  </si>
  <si>
    <t>ANDERS STENSTROM</t>
  </si>
  <si>
    <t>RUT ORTEGA IGLESIAS</t>
  </si>
  <si>
    <t>JAVIER FONDEVILA BLANCO</t>
  </si>
  <si>
    <t>MARIA DEL CARMEN NOVOA SALGADO</t>
  </si>
  <si>
    <t>MARCELINO RAMOS ALIA</t>
  </si>
  <si>
    <t>ANTONIO RUIZ ESTRADA</t>
  </si>
  <si>
    <t>FRANCISCO PLAZA GALAN</t>
  </si>
  <si>
    <t>MARIA DEL PILAR PEREA GOMEZ</t>
  </si>
  <si>
    <t>DR. ÁLVARO CARRILLO SOTOS</t>
  </si>
  <si>
    <t>PABLO RUBIO RUBIO</t>
  </si>
  <si>
    <t>MARIA LUZ CAROLINA PEREZ NIETO</t>
  </si>
  <si>
    <t>NELIDA RODRIGUEZ GONZALEZ</t>
  </si>
  <si>
    <t>DOLORES RIBERA NAYA</t>
  </si>
  <si>
    <t>EDUARDO BOSCA SANCHIS</t>
  </si>
  <si>
    <t>MANUEL GARCIA PASCUAL</t>
  </si>
  <si>
    <t>JOSE LUIS MARTINEZ DE LA CUEVA</t>
  </si>
  <si>
    <t>FOUNE DIABY</t>
  </si>
  <si>
    <t>MARIA LUZ PUERTAS ALVAREZ</t>
  </si>
  <si>
    <t>ENCARNACION BARROSO CALLES</t>
  </si>
  <si>
    <t>DRA. MARÍA GABRIELA BOSCO MORALES</t>
  </si>
  <si>
    <t>FELIX SAIZ UTANDA</t>
  </si>
  <si>
    <t>ANTONIA SANCHEZ LARA</t>
  </si>
  <si>
    <t>JESUS MARIA GONZALEZ BENGOECHEA</t>
  </si>
  <si>
    <t>RAQUEL SAENZ BLANCO</t>
  </si>
  <si>
    <t>BENITA RUIZ LOPEZ</t>
  </si>
  <si>
    <t>JOSE GABRIEL LOZANO CARBONELL</t>
  </si>
  <si>
    <t>CRISTINA COSTAS SOTELINO</t>
  </si>
  <si>
    <t>DRA. OLALLA CASTRO MACIA</t>
  </si>
  <si>
    <t>ROSA FRANCISCO DURAN</t>
  </si>
  <si>
    <t>MARGARITA GUIRADO VALERA</t>
  </si>
  <si>
    <t>Mª ANGELES HERNANDEZ GARCIA</t>
  </si>
  <si>
    <t>DR. GUILLERMO PLAZA MAYOR</t>
  </si>
  <si>
    <t>CONSTANTINO RIOS GALLEGO</t>
  </si>
  <si>
    <t>MARIA JOSEFA BLAZQUEZ RODRIGUEZ</t>
  </si>
  <si>
    <t>ANGELA LUIS NIEVA</t>
  </si>
  <si>
    <t>AVELINA MARTA TORRES RODRIGUEZ</t>
  </si>
  <si>
    <t>ENRIQUE RODRIGUEZ RUIZ</t>
  </si>
  <si>
    <t>DR. MIGUEL LUCAS HERRERA</t>
  </si>
  <si>
    <t>JOSE PALAZON MUÑOZ</t>
  </si>
  <si>
    <t>JOAQUIN DAMIAN GARCIA-SOLDADO</t>
  </si>
  <si>
    <t>JOSE ANTONIO GARCIA ARENAS</t>
  </si>
  <si>
    <t>DRA. PALOMA ÁLVAREZ HERNANDRZ</t>
  </si>
  <si>
    <t>ROSARIO MARTIN COLLADO</t>
  </si>
  <si>
    <t>CARMEN CARRION MARIN</t>
  </si>
  <si>
    <t>JOSE JIMENEZ TOVAR</t>
  </si>
  <si>
    <t>DR. FRANCISCO JAVIER AGUILAR VERA</t>
  </si>
  <si>
    <t>ENRIQUE GALLARDO GONZALEZ</t>
  </si>
  <si>
    <t>PABLO LEON VAZQUEZ</t>
  </si>
  <si>
    <t>JULIAN CARRETERO FERNANDEZ</t>
  </si>
  <si>
    <t>JESUS PALLAS ROS</t>
  </si>
  <si>
    <t>DRA. MIREIA GOLET FORS</t>
  </si>
  <si>
    <t>ANA MARIA ARRUEBO CASAJUS</t>
  </si>
  <si>
    <t>Antonia Zuhero Rodriguez</t>
  </si>
  <si>
    <t>JOAN SEGURA ROVIRALTA</t>
  </si>
  <si>
    <t>ANGELES BALLESTEROS RODRIGUEZ</t>
  </si>
  <si>
    <t>CRISTINA GARCIA LOYGORRI</t>
  </si>
  <si>
    <t>MARIA JOSEFA ESTEBAN LOPEZ</t>
  </si>
  <si>
    <t>MARIA SANCHEZ SALINAS</t>
  </si>
  <si>
    <t>FRANCISCO LOPEZ SEGURA</t>
  </si>
  <si>
    <t>SATURNINO SUSMOZAS SANCHEZ CAMACHO</t>
  </si>
  <si>
    <t>JUAN MIGUEL NICOLAS CUARTERO</t>
  </si>
  <si>
    <t>MARIA LUZ CALERO MARCOS</t>
  </si>
  <si>
    <t>CARLOS SANZ ALONSO</t>
  </si>
  <si>
    <t>PEPA LOPEZ PORTERO</t>
  </si>
  <si>
    <t>ANGEL PEREZ REYES</t>
  </si>
  <si>
    <t>DRA. ALEJANDRA JARA MAQUILON</t>
  </si>
  <si>
    <t>PEDRO GARIJO MARTINEZ</t>
  </si>
  <si>
    <t>FRANCISCO PERAL RIBELLES</t>
  </si>
  <si>
    <t>JOSE VICENTE DOMENECH GARCIA</t>
  </si>
  <si>
    <t>GUADALUPE SANCHEZ CINTERO</t>
  </si>
  <si>
    <t>Esther Carbajo Balsa</t>
  </si>
  <si>
    <t>CONCEPCION MARTIN ROSADO</t>
  </si>
  <si>
    <t>JOSE RAMON MORENO RODRIGUEZ</t>
  </si>
  <si>
    <t>MARIA DOLORES ABIA</t>
  </si>
  <si>
    <t>JESUS ZAMORANO DONOSO</t>
  </si>
  <si>
    <t>MARIA ELENA GAVIRIA PARADA</t>
  </si>
  <si>
    <t>ANTONIO SANCHEZ GOMEZ</t>
  </si>
  <si>
    <t>DRA. MARÍA AGUSTINA SEVILLA GARCÍA</t>
  </si>
  <si>
    <t>MARIA ANGELES PASCUAL SANCHEZ</t>
  </si>
  <si>
    <t>MIRIAM CAÑAVERAS MARTINEZ</t>
  </si>
  <si>
    <t>JOSE ANTONIO RIOS TOBAJAS</t>
  </si>
  <si>
    <t>MANUELA PEREZ RUIZ</t>
  </si>
  <si>
    <t>EMILIANO PRIETO PEREZ</t>
  </si>
  <si>
    <t>ELISA MOLINA EDO</t>
  </si>
  <si>
    <t>JOSEFA MENENDEZ PEREZ</t>
  </si>
  <si>
    <t>HENEDINA RIVAS GARCIA</t>
  </si>
  <si>
    <t>CONCHA SANCHEZ PINA</t>
  </si>
  <si>
    <t>ANTONIO MUÑOZ Carballo</t>
  </si>
  <si>
    <t>MERCEDES FERNANDEZ PEREZ</t>
  </si>
  <si>
    <t>MARIA JOSEFA MARTINEZ BARCELO</t>
  </si>
  <si>
    <t>BENIGNO IGLESIAS BLANCO</t>
  </si>
  <si>
    <t>LUZ LOPEZ RODRIGUEZ</t>
  </si>
  <si>
    <t>SANTIAGO DE FRUTOS LOPEZ</t>
  </si>
  <si>
    <t>Noviembre</t>
  </si>
  <si>
    <t>DR. JOAQUIN ALACIO CASERO</t>
  </si>
  <si>
    <t>ROBERTO LOPEZ GONZALEZ</t>
  </si>
  <si>
    <t>SATURNINO GARCIA ALONSO</t>
  </si>
  <si>
    <t>MARIA ANGELES PALACIOS BOZAL</t>
  </si>
  <si>
    <t>PIO RODRIGUEZ GIRON</t>
  </si>
  <si>
    <t>RAMONA MARTIN VIVAS</t>
  </si>
  <si>
    <t>DRA. MIRIAM GONZÁLEZ GARCÍA</t>
  </si>
  <si>
    <t>FRANCISCA CAMPOS ROLDAN</t>
  </si>
  <si>
    <t>Badajoz Europa</t>
  </si>
  <si>
    <t>DR. PEDRO FRANCISCO MARTÍNEZ GUISADO</t>
  </si>
  <si>
    <t>MARIA JESUS NUÑEZ ROMAN</t>
  </si>
  <si>
    <t>DR. ÁLVARO SÁNCHEZ DE ARRIBA</t>
  </si>
  <si>
    <t>RAMON JIMENEZ LOZANO</t>
  </si>
  <si>
    <t>DANIEL CHARLES FRANCOIS</t>
  </si>
  <si>
    <t>ESTRELLA LOPEZ PRIETO</t>
  </si>
  <si>
    <t>EMILIANA SIERRA GONZALEZ</t>
  </si>
  <si>
    <t>MANUEL SALVADO VAZQUEZ</t>
  </si>
  <si>
    <t>DR. JAVIER PADILLA CABALLERO</t>
  </si>
  <si>
    <t>ANGELES RODRIGUEZ ALVAREZ</t>
  </si>
  <si>
    <t>PORFIRIA DIAZ PEREZ</t>
  </si>
  <si>
    <t>JOSE FLORES GALISTEO</t>
  </si>
  <si>
    <t>JUAN ANTONIO GARCIA SANZ</t>
  </si>
  <si>
    <t>MARIA FERNANDEZ ARREDONDO</t>
  </si>
  <si>
    <t>DRA. LILIANA FILIPA INVENCIO DA COSTA</t>
  </si>
  <si>
    <t>IRENE SANCHEZ CAMARGO</t>
  </si>
  <si>
    <t>EMILIANO SANCHEZ JIMENEZ</t>
  </si>
  <si>
    <t>04 AUDIFONO.ES</t>
  </si>
  <si>
    <t>BENIGNA SANCHEZ GARCIA</t>
  </si>
  <si>
    <t>ELISA FERNANDEZ NUEZ</t>
  </si>
  <si>
    <t>DRA. ESTHER MACON LIQUETE</t>
  </si>
  <si>
    <t>MARISA ROBLEDO CREGO</t>
  </si>
  <si>
    <t>DR. MERCEDES CEBALLOS CAUTO</t>
  </si>
  <si>
    <t>PEDRO MARQUEZ ESCUDERO</t>
  </si>
  <si>
    <t>EMERITA OUVIAÑO LLANO</t>
  </si>
  <si>
    <t>CARLOS JESUS DELGADO JUAN</t>
  </si>
  <si>
    <t>ANTONIA DEL POZO DIAZ</t>
  </si>
  <si>
    <t>JOSE MARTINEZ CABALLERO</t>
  </si>
  <si>
    <t>MIGUEL SANCHEZ BENITEZ</t>
  </si>
  <si>
    <t>FRANCISCO PEREZ BAQUERO</t>
  </si>
  <si>
    <t>JULIO ANDONEGUI SARASOLA</t>
  </si>
  <si>
    <t>AIDIFONO.ES</t>
  </si>
  <si>
    <t>MARCOS MOREIRA GEIJO</t>
  </si>
  <si>
    <t>ANTONIA PEREA DE LAS HERAS</t>
  </si>
  <si>
    <t>ARTURO SIERRA GOMEZ</t>
  </si>
  <si>
    <t>JOSE RUIZ ROS</t>
  </si>
  <si>
    <t>MARIA DEL CARMEN TOBAJAS GALLEGO</t>
  </si>
  <si>
    <t>JOSEFINA ESPAÑA VILCHES</t>
  </si>
  <si>
    <t>CARMEN ROMERO-HOMBREBUENO PLAZA</t>
  </si>
  <si>
    <t>DRA. DESIREÉ MÉNDEZ BRENDERBACHE</t>
  </si>
  <si>
    <t>JESUS GONZÁLEZ PEREZ</t>
  </si>
  <si>
    <t>ANA BASTARRECHE SAGUES</t>
  </si>
  <si>
    <t>ROSA GARZON CAYETANO</t>
  </si>
  <si>
    <t>CEFERINO RODRIGUEZ PEREZ</t>
  </si>
  <si>
    <t>JUAN MANUEL RODRIGUEZ IGLESIAS</t>
  </si>
  <si>
    <t>ROSALIA GASCON MARTIN</t>
  </si>
  <si>
    <t>CARLOS MIGUEL DIAZ PAREJO</t>
  </si>
  <si>
    <t>JESUS REDOMERO COSTERO</t>
  </si>
  <si>
    <t>FRANCISCO CANDIL DEL OLMO</t>
  </si>
  <si>
    <t>DR. JUAN DE DIOS DE LA CALZADA</t>
  </si>
  <si>
    <t>SABINO MOÑIVAS MENDEZ</t>
  </si>
  <si>
    <t>MARIA LUZ NAVAIS GAMERO</t>
  </si>
  <si>
    <t>DRA. CECILIA PÉREZ MARTÍNEZ</t>
  </si>
  <si>
    <t>FRANCISCO POYATO ROMERO</t>
  </si>
  <si>
    <t>MARIA PILAR DIAZ CIDONCHA</t>
  </si>
  <si>
    <t>CONCEPCION MARTINEZ MAYOR</t>
  </si>
  <si>
    <t>DR. PABLO GARCÍA GONZÁLEZ</t>
  </si>
  <si>
    <t>PILAR ULLOA VELAZQUEZ</t>
  </si>
  <si>
    <t>JOSEFA RAMOS PEREZ</t>
  </si>
  <si>
    <t>MARIA ELISA VALENTIN SANCHEZ</t>
  </si>
  <si>
    <t>JOSEFA GARCIA RUIZ</t>
  </si>
  <si>
    <t>DR. PABLO TORRICO ROMÁN</t>
  </si>
  <si>
    <t>JULIANA VIVAS BARRERA</t>
  </si>
  <si>
    <t>MARIA FUENSANTA ESPINOSA MOLINA</t>
  </si>
  <si>
    <t>DRA. ESTEFANIA MIRANDA SÁNCHEZ</t>
  </si>
  <si>
    <t>TOMAS MIRASIERRA LEANDRO</t>
  </si>
  <si>
    <t>MARTIN VIA GASA</t>
  </si>
  <si>
    <t>JOSE MARIA RODRIGUEZ GARCIA</t>
  </si>
  <si>
    <t>MANUEL JUAN LOSADA CRESPO</t>
  </si>
  <si>
    <t>MIGUEL ANGEL VAZQUEZ ANAYA</t>
  </si>
  <si>
    <t>MATILDE PERONA PEREZ</t>
  </si>
  <si>
    <t>VERONICA MORALES LOPEZ</t>
  </si>
  <si>
    <t>PILAR FERNANDEZ DE HEREDIA GARCES</t>
  </si>
  <si>
    <t>MARTHA LILIA CAYOTOPA ESPINOZA</t>
  </si>
  <si>
    <t>DRA. MARTA COLMENERO RUIZ</t>
  </si>
  <si>
    <t>CONCEPCION RUIZ TOLEDO</t>
  </si>
  <si>
    <t>MARIA DEL CARMEN LOPEZ BERLANAS</t>
  </si>
  <si>
    <t>ANTONIA LOPEZ SANCHEZ</t>
  </si>
  <si>
    <t>ANA ROSALES BLANCO</t>
  </si>
  <si>
    <t>ERINO RUSCA</t>
  </si>
  <si>
    <t>MARIA TERESA BERNA MARÍ</t>
  </si>
  <si>
    <t>JUAN CARMELO HERRAEZ CASANOVA</t>
  </si>
  <si>
    <t>MARÍA DEL ROSARIO GONZÁLEZ SEBASTIÁN</t>
  </si>
  <si>
    <t>MARIA DEL PILAR GARCIA RIVAS</t>
  </si>
  <si>
    <t>DR. JOSÉ MARÍA RELANZÓN LÓPEZ</t>
  </si>
  <si>
    <t>MARIA SOLEDAD RELANZON LOPEZ</t>
  </si>
  <si>
    <t>ANA BATANERO DIAZ</t>
  </si>
  <si>
    <t>ANA MARIA BALMORI AISA</t>
  </si>
  <si>
    <t>MANUEL ARLANDIS PALAU</t>
  </si>
  <si>
    <t>RICARDO BACIGALUPE RUBIN</t>
  </si>
  <si>
    <t>DOLORES QUEVEDO ANDRADE</t>
  </si>
  <si>
    <t>ANTONIO FERNANDEZ DEL RIO</t>
  </si>
  <si>
    <t>MARIA DEL CARMEN FERNANDEZ DEL RIO</t>
  </si>
  <si>
    <t>JACINTO CRUZ RUS</t>
  </si>
  <si>
    <t>JAIME REMON HIGUERA</t>
  </si>
  <si>
    <t>ELENA BARON MOLINA</t>
  </si>
  <si>
    <t>FRANCISCO RUIZ VENTURA</t>
  </si>
  <si>
    <t>VALENTIN GARRIDO FERNANDEZ</t>
  </si>
  <si>
    <t>LUIS FERNANDO JUANES MARTIN</t>
  </si>
  <si>
    <t>ISABEL GRANADO FERRERA</t>
  </si>
  <si>
    <t>CONCEPCION QUINTAS SOBRADO</t>
  </si>
  <si>
    <t>JULIA FERNANDEZ SOUTO</t>
  </si>
  <si>
    <t>ESPERANZA MOLINA</t>
  </si>
  <si>
    <t>PEPA CANO JOVER</t>
  </si>
  <si>
    <t>ANGEL FRANCISCO FERNANDEZ SALINAS</t>
  </si>
  <si>
    <t>FRANCISCA ORTEGA GONZALO</t>
  </si>
  <si>
    <t>DR. ALEJANDRO HARGUINDEY ANTOLI-CANDELA</t>
  </si>
  <si>
    <t>NATIVIDAD DOMINGO HERRANZ</t>
  </si>
  <si>
    <t>IMRANE ZEROUAL DAANIN</t>
  </si>
  <si>
    <t>CARMEN MERAYO GALBAN</t>
  </si>
  <si>
    <t>MIGUEL ANGEL RAMOS RODRIGUEZ</t>
  </si>
  <si>
    <t>CONCHA MORENO CRUZ</t>
  </si>
  <si>
    <t>DRA. OLGA ALDECOA JIMÉNEZ</t>
  </si>
  <si>
    <t>JOSE JIMENO SANTOS</t>
  </si>
  <si>
    <t>SOUAD AKABOUR</t>
  </si>
  <si>
    <t>ISABEL COCA VALDERAS</t>
  </si>
  <si>
    <t>FRANCISCO BASTIDA RUIZ</t>
  </si>
  <si>
    <t>DRA. ESTHER SEBASTIÁN GIL</t>
  </si>
  <si>
    <t>JOSE LUIS ALONSO RODRIGUEZ</t>
  </si>
  <si>
    <t>MARIA PAZ ENRIQUEZ RODRIGUEZ</t>
  </si>
  <si>
    <t>JUAN CARLOS BLANCO DOALLO</t>
  </si>
  <si>
    <t>JOSE ANTONIO SANTOS ROMÁN</t>
  </si>
  <si>
    <t>Francisco Cerro Mellado</t>
  </si>
  <si>
    <t>ISABEL MILLAN MORGADO</t>
  </si>
  <si>
    <t>JOSE MARIA HERNANDEZ HERNANDEZ</t>
  </si>
  <si>
    <t>CECILIO DIAZ RAMIREZ</t>
  </si>
  <si>
    <t>MARIA ASCENSION PEREZ ROMERO</t>
  </si>
  <si>
    <t>DR. CARLOS FELIX ASENSIO NIETO</t>
  </si>
  <si>
    <t>JOSE JAVIER GARCIA CABAÑAS</t>
  </si>
  <si>
    <t>PURIFICACION CALLE PLAZA</t>
  </si>
  <si>
    <t>MARIA DE LA CRUZ PAZ TUBIO</t>
  </si>
  <si>
    <t>MARIA MILAGROS OLGA GONZALEZ LAHERA</t>
  </si>
  <si>
    <t>ANA MARIA OQUILLAS PINEDA</t>
  </si>
  <si>
    <t>ANTHONY DAVISON</t>
  </si>
  <si>
    <t>JACINTO PARDO RODRIGUEZ</t>
  </si>
  <si>
    <t>JOSE MARIA ESPINOSA BALAGUER</t>
  </si>
  <si>
    <t>MARIA DEL SAGRARIO BENITO LOZANO</t>
  </si>
  <si>
    <t>TANIA RODRIGUEZ NOGUEIRAS</t>
  </si>
  <si>
    <t>DR. ANTONIO SÁNCHEZ DEL HOYO</t>
  </si>
  <si>
    <t>ARMANDO EZQUERRO MARRODAN</t>
  </si>
  <si>
    <t>CARMEN PEREZ BARRIENTOS</t>
  </si>
  <si>
    <t>DOSINDA MEIJIDE SANCHEZ</t>
  </si>
  <si>
    <t>MARIA LOPEZ NIETO</t>
  </si>
  <si>
    <t>MARIA ELOISA DEL ROSARIO MINGUEZ ALARCON</t>
  </si>
  <si>
    <t>MARIA DE LA ENCARNACIÓN ALÍA GARCIA</t>
  </si>
  <si>
    <t>ELISA BOMBIN OCHOA</t>
  </si>
  <si>
    <t>EMILIA MENDEZ DE LA MUELA</t>
  </si>
  <si>
    <t>LUIS FERNANDO COSTA ALVES [NICOLASA ROJAS ROMERO]</t>
  </si>
  <si>
    <t>JOSE CARLOS BLASCO MAÑAS</t>
  </si>
  <si>
    <t>ARACELI REVUELTA DE PRADO</t>
  </si>
  <si>
    <t>RAFAELA CONTRERAS MUÑOZ</t>
  </si>
  <si>
    <t>DR. RAFAEL RUIZ FITO</t>
  </si>
  <si>
    <t>AARON LARA PEREZ</t>
  </si>
  <si>
    <t>DR. LUIS FIDEL NIETO</t>
  </si>
  <si>
    <t>AURELIA VEGA CONEJERO</t>
  </si>
  <si>
    <t>DRA. Mª TERESA CUESTA GONZÁLEZ</t>
  </si>
  <si>
    <t>JOSE VICENTE MINGUET RODRIGO</t>
  </si>
  <si>
    <t>EDWIN PATRICIO ARIAS AREVALO</t>
  </si>
  <si>
    <t>INOCENCIO CISNEROS MARQUINA</t>
  </si>
  <si>
    <t>OSCAR TORRES VAZQUEZ</t>
  </si>
  <si>
    <t>DRA. CARMEN MIRANDA JORGE</t>
  </si>
  <si>
    <t>DINA PEREZ LADO</t>
  </si>
  <si>
    <t>MARIA JOSEFA ROJAS MORENO</t>
  </si>
  <si>
    <t>LUIS MIGUEL DEL RIO MORENO</t>
  </si>
  <si>
    <t>DRA. MAR LASSO</t>
  </si>
  <si>
    <t>PALOMA JIMENEZ LOPEZ</t>
  </si>
  <si>
    <t>FRANCISCA MANRRIQUE ORTIZ</t>
  </si>
  <si>
    <t>CRESCENCIO MARTIN GOMEZ</t>
  </si>
  <si>
    <t>ISABEL BARBERO HIGUERA</t>
  </si>
  <si>
    <t>JAVIER FREIRIA PEREIRA</t>
  </si>
  <si>
    <t>DR. JUAN JOSÉ SANZ GONZÁLEZ</t>
  </si>
  <si>
    <t>JOAN ESTRUCH GIBERT</t>
  </si>
  <si>
    <t>VICENTE CRESPO RAMIREZ</t>
  </si>
  <si>
    <t>ANA MARIA LAGO RAMON</t>
  </si>
  <si>
    <t>MARIAN QUERALT SOLLOA</t>
  </si>
  <si>
    <t>Mª CARMEN MONTERO MARTINEZ</t>
  </si>
  <si>
    <t>BERTA ARAUJO CERRADELO</t>
  </si>
  <si>
    <t>MARIA ANGELES FERNANDEZ RODRIGUEZ</t>
  </si>
  <si>
    <t>RAQUEL ELISA CARBONI</t>
  </si>
  <si>
    <t>DRA. CRISTINA GARCÍA GARCÍA</t>
  </si>
  <si>
    <t>CLARA SUEÑOS BARAJAS</t>
  </si>
  <si>
    <t>LUCIO RODRIGUEZ MAESTRO</t>
  </si>
  <si>
    <t>ANTONIA CIRUJEDA BOLAÑOS</t>
  </si>
  <si>
    <t>MARIA ISABEL GOMEZ GARCIA</t>
  </si>
  <si>
    <t>SALVADOR CARRILLO SILVENTE</t>
  </si>
  <si>
    <t>DRA. OREANA CAROLINA CAMACARO GONZÁLEZ</t>
  </si>
  <si>
    <t>DAVID STEPHAN LIGHTBOUND</t>
  </si>
  <si>
    <t>VICENTE JAVIER CASES MONSERRAT</t>
  </si>
  <si>
    <t>RAFAELA FUENTES DIAZ</t>
  </si>
  <si>
    <t>ASCENSION MARTIN RAMIREZ</t>
  </si>
  <si>
    <t>MARIA DESAMPARADOS SANCHIS PERALES</t>
  </si>
  <si>
    <t>VENERANDA FERNANDEZ POTES</t>
  </si>
  <si>
    <t>DR. MÁXIMO RAFAEL GARCÍA RODRÍGUEZ</t>
  </si>
  <si>
    <t>FLORENTINO PASTOR INIESTA</t>
  </si>
  <si>
    <t>ROSARIO GAGO PEREZ</t>
  </si>
  <si>
    <t>MIGUEL ANGEL ESCUDERO MARTINEZ</t>
  </si>
  <si>
    <t>RITA PALOMINO MATEOS</t>
  </si>
  <si>
    <t>ANTONIO ACERO DIAZ</t>
  </si>
  <si>
    <t>OBDULIA SANCHEZ SANCHEZ</t>
  </si>
  <si>
    <t>Diciembre</t>
  </si>
  <si>
    <t>MARIA TERESA CLEMENTE MAGAN</t>
  </si>
  <si>
    <t>RAFAEL MELLINAS BOTELLA</t>
  </si>
  <si>
    <t>CRISTINA PADILLA RUIZ</t>
  </si>
  <si>
    <t>PEDRO GUERRA PULIDO</t>
  </si>
  <si>
    <t>MARGARITA VALLEJO APARICIO</t>
  </si>
  <si>
    <t>DRA. MARIA ÁNGELES MATE BAYON</t>
  </si>
  <si>
    <t>ADRIAN ESTEVEZ MONETRO</t>
  </si>
  <si>
    <t>JUAN JOSE FERRER FERRER</t>
  </si>
  <si>
    <t>JUAN REINA VELEZ</t>
  </si>
  <si>
    <t>DRA. LUISA PAYÁ PÉREZ</t>
  </si>
  <si>
    <t>Mª DEL CARMEN CARRILLO PEREZ</t>
  </si>
  <si>
    <t>JUAN FRANCISCO NAVARRO SEVILLA</t>
  </si>
  <si>
    <t>MARIA DEL ROSARIO SAEZ GRAU</t>
  </si>
  <si>
    <t>MARIA DEL ROSARIO RODRIGO DOMINGUEZ</t>
  </si>
  <si>
    <t>DR. GUILLERMO SEVERA FERRANDIZ</t>
  </si>
  <si>
    <t>MARIA PILAR ORTIZ ELGUEZABAL</t>
  </si>
  <si>
    <t>CARMEN FRANCES BODI</t>
  </si>
  <si>
    <t>FUENSANTA MARTINEZ JARA</t>
  </si>
  <si>
    <t>Mª ENCARNACION CLIMENT GINER</t>
  </si>
  <si>
    <t>ALICIA DE ANA DE LA MUÑOZA</t>
  </si>
  <si>
    <t>ANDRES PACHECO PEREIRA</t>
  </si>
  <si>
    <t>MARIA DE NAZARET DE SILVA FERREIRA</t>
  </si>
  <si>
    <t>DRA. PATRICIA GARCÍA VICENTE</t>
  </si>
  <si>
    <t>TERESA PEREZ MATAMOROS</t>
  </si>
  <si>
    <t>MANUEL RODRIGUEZ CUEVAS</t>
  </si>
  <si>
    <t>FRANCISCA JAEN FLORES</t>
  </si>
  <si>
    <t>ELISABETH POVEDANO MACIAS</t>
  </si>
  <si>
    <t>RENOVACIÓN</t>
  </si>
  <si>
    <t>CONSTANCIA LOPEZ LOPEZ</t>
  </si>
  <si>
    <t>CONSTANTINO RUIZ MOYA</t>
  </si>
  <si>
    <t>ISIDRO LOPEZ NAVARRO</t>
  </si>
  <si>
    <t>DRA. PAULA MORALES CHACCHI</t>
  </si>
  <si>
    <t>FRANCISCO FERNANDEZ BLANCA</t>
  </si>
  <si>
    <t>MANUEL SPITZER LUENGO</t>
  </si>
  <si>
    <t>JOSE MARIA CAMACHO GARCIA</t>
  </si>
  <si>
    <t>MARIA DEL PILAR CASARES BULLIDO</t>
  </si>
  <si>
    <t>ESTRELLA GARCIA DIAZ</t>
  </si>
  <si>
    <t>MARIA ANGELES FERNANDEZ VILLANUEVA</t>
  </si>
  <si>
    <t>LUCIA OLMOS ROBREDO</t>
  </si>
  <si>
    <t>JUSTINO LÓPEZ DAVALOS RUESGA</t>
  </si>
  <si>
    <t>MARÍA DEL CARMEN IGLESIAS GONZÁLEZ</t>
  </si>
  <si>
    <t>JOSE ANTONIO SOMALO GARCÍA</t>
  </si>
  <si>
    <t>DR. FRANCISCO J. REDONDO DEL BARCO</t>
  </si>
  <si>
    <t>PILAR VILLASANTE FERNÁNDEZ-MONTES</t>
  </si>
  <si>
    <t>ROSARIO HERNÁNDEZ CENTENO</t>
  </si>
  <si>
    <t>JOSE GUZMÁN ROJAS</t>
  </si>
  <si>
    <t>ENCARNACION GARCIA JIMENEZ</t>
  </si>
  <si>
    <t>DR. IVAN MENDEZ- BENEGASSI SILVA</t>
  </si>
  <si>
    <t>JUAN CARLOS GARCIA VALENCIA</t>
  </si>
  <si>
    <t>FERNANDO PEREZ ALONSO</t>
  </si>
  <si>
    <t>NURIA DEL PESO RUIZ</t>
  </si>
  <si>
    <t>ALBERTO CALVO MEIJIDE</t>
  </si>
  <si>
    <t>PALOMA MONTOTO SIMÓN</t>
  </si>
  <si>
    <t>MARIA JUANA MOHEDANO TERRON</t>
  </si>
  <si>
    <t>PEDRO TREVILLA VARA DE REY</t>
  </si>
  <si>
    <t>ANGELA SANCHEZ GOMEZ</t>
  </si>
  <si>
    <t>JOSE LUIS NIETO LOMA</t>
  </si>
  <si>
    <t>NICOLE CAMPAGNE BOUDET</t>
  </si>
  <si>
    <t>Obras Gladstone SL [JOSE LUIS REDONDO LOPEZ]</t>
  </si>
  <si>
    <t>DR. JAVIER GARCÍA DOMINGUEZ</t>
  </si>
  <si>
    <t>FRANCISCO VICENTE VALLE</t>
  </si>
  <si>
    <t>JOSE LUIS LOPEZ MEJUTO</t>
  </si>
  <si>
    <t>SILVIA LAGARDE DE LA IGLESIA-CARUNCHO</t>
  </si>
  <si>
    <t>JOAQUIN SANTISTEBAN GIMENO</t>
  </si>
  <si>
    <t>SERGIO REGULES DIAZ</t>
  </si>
  <si>
    <t>DIEGO SANCHEZ MECA</t>
  </si>
  <si>
    <t>CARMEN GARCIA HARO</t>
  </si>
  <si>
    <t>PALOMA RATES FERNANDEZ</t>
  </si>
  <si>
    <t>LIBRADA MARTINEZ VIDAL</t>
  </si>
  <si>
    <t>ANDRES DE SANTIAGO HERNANDEZ</t>
  </si>
  <si>
    <t>MARIO RAMIREZ DE HARO</t>
  </si>
  <si>
    <t>TRINITARIO MONTERO MONTERO</t>
  </si>
  <si>
    <t>DR. IVÁN MUERTE MORENO</t>
  </si>
  <si>
    <t>JOSE LUIS BRAVO RODRIGUEZ</t>
  </si>
  <si>
    <t>EMILIO RHODES DE DIEGO</t>
  </si>
  <si>
    <t>DR. COLOMA GRAU VAN LAAK</t>
  </si>
  <si>
    <t>JOSE ANTONIO ASTORGA PLAZA</t>
  </si>
  <si>
    <t>FRANCISCO GARCIA ALMAZAN</t>
  </si>
  <si>
    <t>MILAGROS RODRIGUEZ MARZO</t>
  </si>
  <si>
    <t>DR. OSCAR A. SÁNCHEZ VALENZUELA</t>
  </si>
  <si>
    <t>JOSE GAYO MORAN</t>
  </si>
  <si>
    <t>DR. ALFONSO SANTAMARÍA GADEA</t>
  </si>
  <si>
    <t>NIEVES IBARRA FERNANDEZ</t>
  </si>
  <si>
    <t>FRANCISCO JAVIER DIAZ ASPE</t>
  </si>
  <si>
    <t>ARGENTINA HONORATO SANTOS</t>
  </si>
  <si>
    <t>IGNACIO MANUEL BONILLA MOYA</t>
  </si>
  <si>
    <t>MARIA CONCEPCION LOPEZ MARTIN</t>
  </si>
  <si>
    <t>JOSE BLANCO FERNANDEZ</t>
  </si>
  <si>
    <t>MARIA TERESA NAVARRO DELGADO</t>
  </si>
  <si>
    <t>MARIANO ALVAREZ OLIVA</t>
  </si>
  <si>
    <t>MIHAELA DIANDRA ASAFTEI</t>
  </si>
  <si>
    <t>DRA Mª AGUSTINA SEVILLA GARCÍA</t>
  </si>
  <si>
    <t>NEREA ALZOLA ALVAREZ</t>
  </si>
  <si>
    <t>JUANA VIRTUDES CANDEL TURPIN</t>
  </si>
  <si>
    <t>ELVIRA SANTA CRUZ QUIROZ</t>
  </si>
  <si>
    <t>ISABEL SANCHEZ ALMAGRO</t>
  </si>
  <si>
    <t>JESUS RUIZ FRUTOS</t>
  </si>
  <si>
    <t>ANA ALICIA GUADALUPE MARTINEZ ESCRIBANO</t>
  </si>
  <si>
    <t>BERNARDINO MARTINEZ CRESPO</t>
  </si>
  <si>
    <t>SANTA CRUZ PUCHE GARCIA</t>
  </si>
  <si>
    <t>KONSTANTINOS GKRITZELIS</t>
  </si>
  <si>
    <t>CHRISTOPHER ANTHONY STANLEY</t>
  </si>
  <si>
    <t>CARMEN REQUEJO RODRIGUEZ</t>
  </si>
  <si>
    <t>DR. GONZALO DORADO GUTIÉRREZ</t>
  </si>
  <si>
    <t>CONCEPCION RODRIGUEZ QUINTAS</t>
  </si>
  <si>
    <t>MANUEL FEIJOO RODRIGUEZ</t>
  </si>
  <si>
    <t>DRA. CANDELAS ÁLVAREZ NUÑO</t>
  </si>
  <si>
    <t>MARÍA PAOLA BARRIUSO CALDERON</t>
  </si>
  <si>
    <t>JOSE ANGEL CONESA OTON</t>
  </si>
  <si>
    <t>ANA MARIA FRUCTUOSO MARTINEZ</t>
  </si>
  <si>
    <t>DR. FRANCISCO JAVIER LAGE FERNÁNDEZ</t>
  </si>
  <si>
    <t>MARIA DE LOS ANGELES LOPEZ PENA</t>
  </si>
  <si>
    <t>DR. ULISES BIDÓN GÓMEZ</t>
  </si>
  <si>
    <t>ISABEL PEREZ SANCHEZ</t>
  </si>
  <si>
    <t>JUAN MANUEL SANCHEZ FERNANDEZ</t>
  </si>
  <si>
    <t>JUAN GOMEZ FLORES</t>
  </si>
  <si>
    <t>DR. JUAN MAZA SOLANO</t>
  </si>
  <si>
    <t>LUIS GONZALEZ TAMARIT</t>
  </si>
  <si>
    <t>FRANCISCO LOPEZ ROSILLO</t>
  </si>
  <si>
    <t>DRA. MARIA DEL ROCIO LOBATO PEREZ</t>
  </si>
  <si>
    <t>ELIAS URDIALES GONZALEZ</t>
  </si>
  <si>
    <t>ANA MARIA VEGA BERMUDEZ</t>
  </si>
  <si>
    <t>JUAN JOSE PEREZ BALLESTEROS</t>
  </si>
  <si>
    <t>DRA. MARTA ABAD PASCUAL</t>
  </si>
  <si>
    <t>FELIX GABRIEL PALACIOS GUERRERO</t>
  </si>
  <si>
    <t>LUIS BURGOS LOPEZ</t>
  </si>
  <si>
    <t>JOSE MONTESINOS SAEZ</t>
  </si>
  <si>
    <t>VALENTIN SANCHEZ DIAZ</t>
  </si>
  <si>
    <t>ISABEL FENOLLOSA LOPEZ</t>
  </si>
  <si>
    <t>JOSÉ ALÓS FERNÁNDEZ</t>
  </si>
  <si>
    <t>MARIA BLANCA RODRIGUEZ RODRIGUEZ</t>
  </si>
  <si>
    <t>TEODORA IRENE TERAN MARTIN</t>
  </si>
  <si>
    <t>DRA. MARÍA CONSOLACIÓN MARTÍN PASCUAL</t>
  </si>
  <si>
    <t>JULIAN HERRERO ALVAREZ</t>
  </si>
  <si>
    <t>MARIA DOLORES GARCIA ACUÑA</t>
  </si>
  <si>
    <t>ALFREDO CARMONA MIGUEL</t>
  </si>
  <si>
    <t>CARMEN VALENCIA POZAS</t>
  </si>
  <si>
    <t>MARIA SOLEDAD RUIZ POZUELO</t>
  </si>
  <si>
    <t>AGUSTIN MORENO NIEVES</t>
  </si>
  <si>
    <t>JUAN CARLOS MONTES MERINO</t>
  </si>
  <si>
    <t>DR. ANTONIO MEDINILLA VALLEJO</t>
  </si>
  <si>
    <t>ANA BARRANTE CLARO</t>
  </si>
  <si>
    <t>DRA. ELISA PARDO SALGADO</t>
  </si>
  <si>
    <t>CELIA PAZO GARCIA</t>
  </si>
  <si>
    <t>FRANCISCO JAVIER COSCOLLUELA FERRER</t>
  </si>
  <si>
    <t>LAURA VIZCAINO CARBAJOSA</t>
  </si>
  <si>
    <t>FELISA RODRIGUEZ FERNANDEZ</t>
  </si>
  <si>
    <t>VICTORIANO SANTOS MORO</t>
  </si>
  <si>
    <t>JOSE LANDETE ORTIZ</t>
  </si>
  <si>
    <t>CARLOS PACHON VEIRA</t>
  </si>
  <si>
    <t>DORITA CRESPO CRESPO</t>
  </si>
  <si>
    <t>HOLANDINA GARCIA GARCIA</t>
  </si>
  <si>
    <t>BERNARDO GONZALEZ SANTOS</t>
  </si>
  <si>
    <t>ISABEL SOLANILLA LUEZA</t>
  </si>
  <si>
    <t>FERNANDA MARTINEZ ALFAYA</t>
  </si>
  <si>
    <t>GUADALUPE RUBIO ROS</t>
  </si>
  <si>
    <t>MARIA DEL CARMEN VAZQUEZ BASCOY</t>
  </si>
  <si>
    <t>JOSE LUIS LAMELA BANEIRA</t>
  </si>
  <si>
    <t>JOSE ANTONIO MORAN GARCIA</t>
  </si>
  <si>
    <t>JUAN VEGA RODRIGUEZ</t>
  </si>
  <si>
    <t>VICTOR SALAS ROMERO</t>
  </si>
  <si>
    <t>CIPRIANA REVILLA SANCHEZ</t>
  </si>
  <si>
    <t>EVA MARIA PEREZ MOREIRA</t>
  </si>
  <si>
    <t>MARIA LUISA OLIVENZA PIÑERO</t>
  </si>
  <si>
    <t>SOLEDAD SOLIS JIMENEZ</t>
  </si>
  <si>
    <t>EDUARDO CAMPOS MONTAÑEZ</t>
  </si>
  <si>
    <t>CARMEN VALLE BARBERO</t>
  </si>
  <si>
    <t>MARIA DE LA PAZ RIVERO RODRIGUEZ</t>
  </si>
  <si>
    <t>CARMELO CASTROVIEJO MARTINEZ</t>
  </si>
  <si>
    <t>DR. LEÓN FERNÁNDEZ CAMESELLE</t>
  </si>
  <si>
    <t>SARA PEREZ DOMINGUEZ</t>
  </si>
  <si>
    <t>ANTONIA DURAN MEDINA</t>
  </si>
  <si>
    <t>FRANCISCO JAVIER BARRIOBERO FELIPE</t>
  </si>
  <si>
    <t>ALBERTO FERNANDEZ GONZALEZ</t>
  </si>
  <si>
    <t>ASUNCION JIMENO BARRANCO</t>
  </si>
  <si>
    <t>PEDRO ANTONIO ALONSO MARTIN</t>
  </si>
  <si>
    <t>ANA NIETO-GUERRERO LOZANO</t>
  </si>
  <si>
    <t>LOURDES BERROGAIN RINCON</t>
  </si>
  <si>
    <t>JOSEFA GORDILLO JIMENEZ</t>
  </si>
  <si>
    <t>ROSA CASA BARROSO</t>
  </si>
  <si>
    <t>AVELINO HOLGADO JIMENEZ</t>
  </si>
  <si>
    <t>JOSE ANTONIO CALVO LOPEZ</t>
  </si>
  <si>
    <t>REMEDIOS CARRASCO CASTRO</t>
  </si>
  <si>
    <t>LIDIA ABELLA BALADO</t>
  </si>
  <si>
    <t>04 TIENDA</t>
  </si>
  <si>
    <t>07 BOCA/BOCA</t>
  </si>
  <si>
    <t>SEBASTIAN DIONIS VERGEL</t>
  </si>
  <si>
    <t>MANUEL GRANERO BOTELLA</t>
  </si>
  <si>
    <t>SATURNINO GALAN DIAZ</t>
  </si>
  <si>
    <t>DR. JULIO PEÑARROCHA</t>
  </si>
  <si>
    <t>VIRGILIA REBOLLO VILLALOBOS</t>
  </si>
  <si>
    <t>ISABEL NOGUERA CARRILLO</t>
  </si>
  <si>
    <t>GERMAN MELLADO GARRIDO</t>
  </si>
  <si>
    <t>ANTONIO VILAR ALVAREZ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</si>
</sst>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dd\-mm\-yyyy"/>
    <numFmt numFmtId="165" formatCode="d/mm/yyyy"/>
    <numFmt numFmtId="166" formatCode="d/m/yyyy"/>
    <numFmt numFmtId="167" formatCode="d/m/yyyy\ h:mm"/>
    <numFmt numFmtId="168" formatCode="dd/mm/yyyy\ h:mm"/>
    <numFmt numFmtId="169" formatCode="#,##0.00&quot;€&quot;"/>
    <numFmt numFmtId="170" formatCode="dd/mm/yyyy"/>
    <numFmt numFmtId="171" formatCode="0;0;;@"/>
    <numFmt numFmtId="172" formatCode="#,##0.00\ [$€-1]"/>
    <numFmt numFmtId="173" formatCode="d&quot; de &quot;m"/>
    <numFmt numFmtId="174" formatCode="_-* #,##0.00\ [$€-1]_-;\-* #,##0.00\ [$€-1]_-;_-* &quot;-&quot;??\ [$€-1]_-;_-@"/>
    <numFmt numFmtId="175" formatCode="yyyy\-m"/>
  </numFmts>
  <fonts count="74">
    <font>
      <sz val="11"/>
      <color theme="1"/>
      <name val="Aptos Narrow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rgb="FFFF00FF"/>
      <name val="Arial"/>
      <family val="2"/>
    </font>
    <font>
      <sz val="12"/>
      <color theme="1"/>
      <name val="Calibri"/>
      <family val="2"/>
    </font>
    <font>
      <sz val="11"/>
      <color rgb="FF0000FF"/>
      <name val="Arial"/>
      <family val="2"/>
    </font>
    <font>
      <sz val="11"/>
      <color rgb="FF0000FF"/>
      <name val="Aptos Narrow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sz val="11"/>
      <color rgb="FF222222"/>
      <name val="Arial"/>
      <family val="2"/>
    </font>
    <font>
      <sz val="10"/>
      <color theme="1"/>
      <name val="Arial"/>
      <family val="2"/>
    </font>
    <font>
      <sz val="11"/>
      <color rgb="FF0000FF"/>
      <name val="Arial"/>
      <family val="2"/>
    </font>
    <font>
      <sz val="11"/>
      <color theme="1"/>
      <name val="Helvetica Neue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rgb="FF000000"/>
      <name val="Aptos Narrow"/>
      <scheme val="minor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b/>
      <sz val="11"/>
      <color theme="1"/>
      <name val="Aptos Narrow"/>
    </font>
    <font>
      <sz val="11"/>
      <color theme="1"/>
      <name val="Aptos Narrow"/>
    </font>
    <font>
      <sz val="11"/>
      <color rgb="FFFF0000"/>
      <name val="Aptos Narrow"/>
    </font>
    <font>
      <sz val="11"/>
      <color rgb="FFFF00FF"/>
      <name val="Aptos Narrow"/>
    </font>
    <font>
      <b/>
      <sz val="11"/>
      <color rgb="FFFF00FF"/>
      <name val="Aptos Narrow"/>
    </font>
    <font>
      <b/>
      <sz val="11"/>
      <color rgb="FFFF00FF"/>
      <name val="Arial"/>
      <family val="2"/>
    </font>
    <font>
      <sz val="12"/>
      <color theme="1"/>
      <name val="Cambria"/>
      <family val="1"/>
    </font>
    <font>
      <sz val="11"/>
      <color theme="1"/>
      <name val="Helvetica Neue"/>
      <family val="2"/>
    </font>
    <font>
      <b/>
      <sz val="11"/>
      <color theme="1"/>
      <name val="Calibri"/>
      <family val="2"/>
    </font>
    <font>
      <b/>
      <sz val="9"/>
      <color rgb="FFFF0000"/>
      <name val="Arial"/>
      <family val="2"/>
    </font>
    <font>
      <b/>
      <sz val="12"/>
      <color theme="1"/>
      <name val="Cambria"/>
      <family val="1"/>
    </font>
    <font>
      <b/>
      <sz val="12"/>
      <color rgb="FF000000"/>
      <name val="Cambria"/>
      <family val="1"/>
    </font>
    <font>
      <sz val="12"/>
      <color rgb="FF000000"/>
      <name val="Cambria"/>
      <family val="1"/>
    </font>
    <font>
      <b/>
      <sz val="12"/>
      <color rgb="FFFF0000"/>
      <name val="Cambria"/>
      <family val="1"/>
    </font>
    <font>
      <sz val="12"/>
      <color rgb="FF1F1F1F"/>
      <name val="Cambria"/>
      <family val="1"/>
    </font>
    <font>
      <sz val="11"/>
      <color rgb="FF000000"/>
      <name val="Cambria"/>
      <family val="1"/>
    </font>
    <font>
      <sz val="11"/>
      <color theme="1"/>
      <name val="Cambria"/>
      <family val="1"/>
    </font>
    <font>
      <u/>
      <sz val="12"/>
      <color theme="1"/>
      <name val="Cambria"/>
      <family val="1"/>
    </font>
    <font>
      <sz val="12"/>
      <color rgb="FF3C4043"/>
      <name val="Cambria"/>
      <family val="1"/>
    </font>
    <font>
      <sz val="12"/>
      <color rgb="FF5F6368"/>
      <name val="Cambria"/>
      <family val="1"/>
    </font>
    <font>
      <b/>
      <sz val="11"/>
      <color rgb="FF000000"/>
      <name val="Arial"/>
      <family val="2"/>
    </font>
    <font>
      <sz val="12"/>
      <color theme="1"/>
      <name val="Arial"/>
      <family val="2"/>
    </font>
    <font>
      <sz val="12"/>
      <color theme="1"/>
      <name val="Aptos Narrow"/>
    </font>
    <font>
      <sz val="11"/>
      <color rgb="FF000000"/>
      <name val="Arial"/>
      <family val="2"/>
    </font>
    <font>
      <sz val="12"/>
      <color rgb="FF313131"/>
      <name val="-apple-system"/>
    </font>
    <font>
      <sz val="12"/>
      <color rgb="FF313131"/>
      <name val="Arial"/>
      <family val="2"/>
    </font>
    <font>
      <sz val="11"/>
      <color rgb="FF000000"/>
      <name val="&quot;Aptos Narrow&quot;"/>
    </font>
    <font>
      <sz val="12"/>
      <color rgb="FF000000"/>
      <name val="Arial"/>
      <family val="2"/>
    </font>
    <font>
      <sz val="12"/>
      <color rgb="FF000000"/>
      <name val="&quot;Aptos Narrow&quot;"/>
    </font>
    <font>
      <u/>
      <sz val="12"/>
      <color theme="1"/>
      <name val="Cambria"/>
      <family val="1"/>
    </font>
    <font>
      <b/>
      <sz val="11"/>
      <color rgb="FF000000"/>
      <name val="Cambria"/>
      <family val="1"/>
    </font>
    <font>
      <u/>
      <sz val="11"/>
      <color rgb="FF0000FF"/>
      <name val="Cambria"/>
      <family val="1"/>
    </font>
    <font>
      <u/>
      <sz val="11"/>
      <color rgb="FF0000FF"/>
      <name val="Cambria"/>
      <family val="1"/>
    </font>
    <font>
      <u/>
      <sz val="11"/>
      <color rgb="FF467886"/>
      <name val="Cambria"/>
      <family val="1"/>
    </font>
    <font>
      <b/>
      <sz val="11"/>
      <color rgb="FFFF0000"/>
      <name val="Cambria"/>
      <family val="1"/>
    </font>
    <font>
      <sz val="11"/>
      <color rgb="FFFF0000"/>
      <name val="Cambria"/>
      <family val="1"/>
    </font>
    <font>
      <u/>
      <sz val="11"/>
      <color rgb="FFFF0000"/>
      <name val="Cambria"/>
      <family val="1"/>
    </font>
    <font>
      <u/>
      <sz val="11"/>
      <color rgb="FF000000"/>
      <name val="Cambria"/>
      <family val="1"/>
    </font>
    <font>
      <b/>
      <sz val="11"/>
      <color theme="1"/>
      <name val="Cambria"/>
      <family val="1"/>
    </font>
    <font>
      <b/>
      <u/>
      <sz val="11"/>
      <color rgb="FF0000FF"/>
      <name val="Cambria"/>
      <family val="1"/>
    </font>
    <font>
      <u/>
      <sz val="11"/>
      <color rgb="FF1155CC"/>
      <name val="Cambria"/>
      <family val="1"/>
    </font>
    <font>
      <u/>
      <sz val="11"/>
      <color rgb="FF0000FF"/>
      <name val="Cambria"/>
      <family val="1"/>
    </font>
    <font>
      <u/>
      <sz val="11"/>
      <color rgb="FF0000FF"/>
      <name val="Cambria"/>
      <family val="1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rgb="FF008000"/>
      <name val="Arial"/>
      <family val="2"/>
    </font>
    <font>
      <sz val="10"/>
      <color rgb="FF0B3040"/>
      <name val="Arial"/>
      <family val="2"/>
    </font>
    <font>
      <sz val="10"/>
      <color rgb="FF777777"/>
      <name val="Arial"/>
      <family val="2"/>
    </font>
    <font>
      <sz val="10"/>
      <color rgb="FF1F1F1F"/>
      <name val="Arial"/>
      <family val="2"/>
    </font>
    <font>
      <b/>
      <sz val="10"/>
      <color theme="1"/>
      <name val="Arial"/>
      <family val="2"/>
    </font>
    <font>
      <u/>
      <sz val="10"/>
      <color rgb="FF00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B0B3B2"/>
        <bgColor rgb="FFB0B3B2"/>
      </patternFill>
    </fill>
    <fill>
      <patternFill patternType="solid">
        <fgColor rgb="FFF1C232"/>
        <bgColor rgb="FFF1C232"/>
      </patternFill>
    </fill>
    <fill>
      <patternFill patternType="solid">
        <fgColor rgb="FFD4D4D4"/>
        <bgColor rgb="FFD4D4D4"/>
      </patternFill>
    </fill>
    <fill>
      <patternFill patternType="solid">
        <fgColor rgb="FFFF0000"/>
        <bgColor rgb="FFFF0000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9900"/>
        <bgColor rgb="FFFF9900"/>
      </patternFill>
    </fill>
    <fill>
      <patternFill patternType="solid">
        <fgColor rgb="FFD0E0E3"/>
        <bgColor rgb="FFD0E0E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4" fillId="2" borderId="0" xfId="0" applyFont="1" applyFill="1"/>
    <xf numFmtId="0" fontId="5" fillId="0" borderId="1" xfId="0" applyFont="1" applyBorder="1"/>
    <xf numFmtId="0" fontId="2" fillId="0" borderId="1" xfId="0" applyFont="1" applyBorder="1"/>
    <xf numFmtId="0" fontId="6" fillId="0" borderId="1" xfId="0" applyFont="1" applyBorder="1"/>
    <xf numFmtId="0" fontId="1" fillId="2" borderId="0" xfId="0" applyFont="1" applyFill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10" fillId="0" borderId="1" xfId="0" applyFont="1" applyBorder="1" applyAlignment="1">
      <alignment horizontal="right"/>
    </xf>
    <xf numFmtId="0" fontId="11" fillId="3" borderId="1" xfId="0" applyFont="1" applyFill="1" applyBorder="1"/>
    <xf numFmtId="0" fontId="12" fillId="0" borderId="1" xfId="0" applyFont="1" applyBorder="1"/>
    <xf numFmtId="0" fontId="13" fillId="0" borderId="1" xfId="0" applyFont="1" applyBorder="1"/>
    <xf numFmtId="0" fontId="2" fillId="0" borderId="1" xfId="0" applyFont="1" applyBorder="1" applyAlignment="1">
      <alignment horizontal="right"/>
    </xf>
    <xf numFmtId="0" fontId="14" fillId="0" borderId="1" xfId="0" applyFont="1" applyBorder="1"/>
    <xf numFmtId="0" fontId="15" fillId="0" borderId="1" xfId="0" applyFont="1" applyBorder="1"/>
    <xf numFmtId="0" fontId="16" fillId="0" borderId="0" xfId="0" applyFont="1"/>
    <xf numFmtId="0" fontId="16" fillId="0" borderId="1" xfId="0" applyFont="1" applyBorder="1"/>
    <xf numFmtId="0" fontId="16" fillId="0" borderId="1" xfId="0" applyFont="1" applyBorder="1" applyAlignment="1">
      <alignment horizontal="right"/>
    </xf>
    <xf numFmtId="0" fontId="7" fillId="0" borderId="0" xfId="0" applyFont="1"/>
    <xf numFmtId="0" fontId="1" fillId="0" borderId="0" xfId="0" applyFont="1" applyAlignment="1">
      <alignment horizontal="right"/>
    </xf>
    <xf numFmtId="0" fontId="8" fillId="0" borderId="0" xfId="0" applyFont="1"/>
    <xf numFmtId="0" fontId="2" fillId="0" borderId="0" xfId="0" applyFont="1"/>
    <xf numFmtId="0" fontId="17" fillId="0" borderId="0" xfId="0" applyFont="1"/>
    <xf numFmtId="0" fontId="10" fillId="0" borderId="0" xfId="0" applyFont="1"/>
    <xf numFmtId="0" fontId="18" fillId="0" borderId="0" xfId="0" applyFont="1"/>
    <xf numFmtId="0" fontId="4" fillId="0" borderId="0" xfId="0" applyFont="1"/>
    <xf numFmtId="0" fontId="19" fillId="3" borderId="0" xfId="0" applyFont="1" applyFill="1"/>
    <xf numFmtId="0" fontId="15" fillId="3" borderId="0" xfId="0" applyFont="1" applyFill="1"/>
    <xf numFmtId="0" fontId="19" fillId="0" borderId="0" xfId="0" applyFont="1"/>
    <xf numFmtId="0" fontId="20" fillId="0" borderId="0" xfId="0" applyFont="1"/>
    <xf numFmtId="0" fontId="15" fillId="0" borderId="0" xfId="0" applyFont="1"/>
    <xf numFmtId="0" fontId="21" fillId="3" borderId="0" xfId="0" applyFont="1" applyFill="1"/>
    <xf numFmtId="0" fontId="22" fillId="0" borderId="0" xfId="0" applyFont="1"/>
    <xf numFmtId="0" fontId="21" fillId="0" borderId="0" xfId="0" applyFont="1"/>
    <xf numFmtId="0" fontId="3" fillId="4" borderId="1" xfId="0" applyFont="1" applyFill="1" applyBorder="1" applyAlignment="1">
      <alignment wrapText="1"/>
    </xf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3" borderId="0" xfId="0" applyFont="1" applyFill="1"/>
    <xf numFmtId="0" fontId="16" fillId="3" borderId="0" xfId="0" applyFont="1" applyFill="1"/>
    <xf numFmtId="0" fontId="16" fillId="0" borderId="2" xfId="0" applyFont="1" applyBorder="1"/>
    <xf numFmtId="0" fontId="28" fillId="3" borderId="0" xfId="0" applyFont="1" applyFill="1"/>
    <xf numFmtId="0" fontId="29" fillId="0" borderId="0" xfId="0" applyFont="1"/>
    <xf numFmtId="0" fontId="30" fillId="0" borderId="0" xfId="0" applyFont="1"/>
    <xf numFmtId="0" fontId="2" fillId="4" borderId="0" xfId="0" applyFont="1" applyFill="1" applyAlignment="1">
      <alignment wrapText="1"/>
    </xf>
    <xf numFmtId="164" fontId="1" fillId="0" borderId="0" xfId="0" applyNumberFormat="1" applyFont="1"/>
    <xf numFmtId="0" fontId="3" fillId="5" borderId="0" xfId="0" applyFont="1" applyFill="1" applyAlignment="1">
      <alignment wrapText="1"/>
    </xf>
    <xf numFmtId="3" fontId="4" fillId="0" borderId="0" xfId="0" applyNumberFormat="1" applyFont="1"/>
    <xf numFmtId="165" fontId="4" fillId="0" borderId="0" xfId="0" applyNumberFormat="1" applyFont="1"/>
    <xf numFmtId="166" fontId="4" fillId="0" borderId="0" xfId="0" applyNumberFormat="1" applyFont="1"/>
    <xf numFmtId="167" fontId="4" fillId="0" borderId="0" xfId="0" applyNumberFormat="1" applyFont="1"/>
    <xf numFmtId="168" fontId="4" fillId="0" borderId="0" xfId="0" applyNumberFormat="1" applyFont="1"/>
    <xf numFmtId="169" fontId="4" fillId="0" borderId="0" xfId="0" applyNumberFormat="1" applyFont="1"/>
    <xf numFmtId="4" fontId="4" fillId="0" borderId="0" xfId="0" applyNumberFormat="1" applyFont="1"/>
    <xf numFmtId="170" fontId="1" fillId="0" borderId="0" xfId="0" applyNumberFormat="1" applyFont="1"/>
    <xf numFmtId="170" fontId="4" fillId="0" borderId="0" xfId="0" applyNumberFormat="1" applyFont="1"/>
    <xf numFmtId="3" fontId="1" fillId="0" borderId="0" xfId="0" applyNumberFormat="1" applyFont="1"/>
    <xf numFmtId="165" fontId="1" fillId="0" borderId="0" xfId="0" applyNumberFormat="1" applyFont="1"/>
    <xf numFmtId="0" fontId="3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3" fillId="4" borderId="0" xfId="0" applyFont="1" applyFill="1"/>
    <xf numFmtId="0" fontId="3" fillId="4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4" fillId="0" borderId="0" xfId="0" applyFont="1" applyAlignment="1">
      <alignment wrapText="1"/>
    </xf>
    <xf numFmtId="170" fontId="2" fillId="0" borderId="0" xfId="0" applyNumberFormat="1" applyFont="1"/>
    <xf numFmtId="171" fontId="4" fillId="0" borderId="0" xfId="0" applyNumberFormat="1" applyFont="1"/>
    <xf numFmtId="171" fontId="1" fillId="0" borderId="0" xfId="0" applyNumberFormat="1" applyFont="1"/>
    <xf numFmtId="172" fontId="4" fillId="0" borderId="0" xfId="0" applyNumberFormat="1" applyFont="1"/>
    <xf numFmtId="0" fontId="31" fillId="2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left" vertical="center"/>
    </xf>
    <xf numFmtId="0" fontId="31" fillId="3" borderId="0" xfId="0" applyFont="1" applyFill="1" applyAlignment="1">
      <alignment horizontal="left" vertical="center"/>
    </xf>
    <xf numFmtId="0" fontId="32" fillId="3" borderId="0" xfId="0" applyFont="1" applyFill="1" applyAlignment="1">
      <alignment horizontal="left" vertical="center"/>
    </xf>
    <xf numFmtId="0" fontId="31" fillId="6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 vertical="center"/>
    </xf>
    <xf numFmtId="0" fontId="27" fillId="5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170" fontId="27" fillId="3" borderId="0" xfId="0" applyNumberFormat="1" applyFont="1" applyFill="1" applyAlignment="1">
      <alignment horizontal="left" vertical="center"/>
    </xf>
    <xf numFmtId="0" fontId="27" fillId="6" borderId="0" xfId="0" applyFont="1" applyFill="1" applyAlignment="1">
      <alignment vertical="center"/>
    </xf>
    <xf numFmtId="0" fontId="27" fillId="6" borderId="0" xfId="0" applyFont="1" applyFill="1" applyAlignment="1">
      <alignment horizontal="left" vertical="center"/>
    </xf>
    <xf numFmtId="0" fontId="1" fillId="0" borderId="0" xfId="0" applyFont="1" applyAlignment="1">
      <alignment vertical="center"/>
    </xf>
    <xf numFmtId="0" fontId="33" fillId="3" borderId="0" xfId="0" applyFont="1" applyFill="1" applyAlignment="1">
      <alignment horizontal="left" vertical="center"/>
    </xf>
    <xf numFmtId="0" fontId="4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7" fillId="2" borderId="0" xfId="0" applyFont="1" applyFill="1" applyAlignment="1">
      <alignment vertical="center"/>
    </xf>
    <xf numFmtId="0" fontId="27" fillId="3" borderId="0" xfId="0" applyFont="1" applyFill="1" applyAlignment="1">
      <alignment vertical="center"/>
    </xf>
    <xf numFmtId="0" fontId="22" fillId="3" borderId="0" xfId="0" applyFont="1" applyFill="1" applyAlignment="1">
      <alignment vertical="center"/>
    </xf>
    <xf numFmtId="0" fontId="22" fillId="6" borderId="0" xfId="0" applyFont="1" applyFill="1" applyAlignment="1">
      <alignment vertical="center"/>
    </xf>
    <xf numFmtId="0" fontId="31" fillId="6" borderId="0" xfId="0" applyFont="1" applyFill="1" applyAlignment="1">
      <alignment vertical="center"/>
    </xf>
    <xf numFmtId="0" fontId="1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34" fillId="6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/>
    </xf>
    <xf numFmtId="166" fontId="27" fillId="3" borderId="0" xfId="0" applyNumberFormat="1" applyFont="1" applyFill="1" applyAlignment="1">
      <alignment horizontal="left"/>
    </xf>
    <xf numFmtId="0" fontId="33" fillId="3" borderId="0" xfId="0" applyFont="1" applyFill="1" applyAlignment="1">
      <alignment horizontal="left"/>
    </xf>
    <xf numFmtId="0" fontId="27" fillId="2" borderId="0" xfId="0" applyFont="1" applyFill="1"/>
    <xf numFmtId="0" fontId="27" fillId="5" borderId="0" xfId="0" applyFont="1" applyFill="1"/>
    <xf numFmtId="0" fontId="27" fillId="0" borderId="0" xfId="0" applyFont="1"/>
    <xf numFmtId="0" fontId="27" fillId="3" borderId="0" xfId="0" applyFont="1" applyFill="1" applyAlignment="1">
      <alignment vertical="top"/>
    </xf>
    <xf numFmtId="0" fontId="27" fillId="0" borderId="0" xfId="0" applyFont="1" applyAlignment="1">
      <alignment vertical="top"/>
    </xf>
    <xf numFmtId="0" fontId="22" fillId="3" borderId="0" xfId="0" applyFont="1" applyFill="1"/>
    <xf numFmtId="0" fontId="22" fillId="6" borderId="0" xfId="0" applyFont="1" applyFill="1"/>
    <xf numFmtId="0" fontId="27" fillId="2" borderId="0" xfId="0" applyFont="1" applyFill="1" applyAlignment="1">
      <alignment horizontal="left"/>
    </xf>
    <xf numFmtId="0" fontId="27" fillId="5" borderId="0" xfId="0" applyFont="1" applyFill="1" applyAlignment="1">
      <alignment horizontal="left"/>
    </xf>
    <xf numFmtId="0" fontId="27" fillId="0" borderId="0" xfId="0" applyFont="1" applyAlignment="1">
      <alignment horizontal="left"/>
    </xf>
    <xf numFmtId="0" fontId="27" fillId="6" borderId="0" xfId="0" applyFont="1" applyFill="1" applyAlignment="1">
      <alignment horizontal="left"/>
    </xf>
    <xf numFmtId="0" fontId="31" fillId="6" borderId="0" xfId="0" applyFont="1" applyFill="1" applyAlignment="1">
      <alignment horizontal="left"/>
    </xf>
    <xf numFmtId="0" fontId="27" fillId="7" borderId="0" xfId="0" applyFont="1" applyFill="1" applyAlignment="1">
      <alignment horizontal="left"/>
    </xf>
    <xf numFmtId="165" fontId="27" fillId="3" borderId="0" xfId="0" applyNumberFormat="1" applyFont="1" applyFill="1" applyAlignment="1">
      <alignment horizontal="left"/>
    </xf>
    <xf numFmtId="0" fontId="35" fillId="3" borderId="0" xfId="0" applyFont="1" applyFill="1"/>
    <xf numFmtId="0" fontId="31" fillId="3" borderId="0" xfId="0" applyFont="1" applyFill="1" applyAlignment="1">
      <alignment horizontal="left"/>
    </xf>
    <xf numFmtId="0" fontId="33" fillId="3" borderId="0" xfId="0" applyFont="1" applyFill="1" applyAlignment="1">
      <alignment vertical="top"/>
    </xf>
    <xf numFmtId="0" fontId="1" fillId="3" borderId="0" xfId="0" applyFont="1" applyFill="1"/>
    <xf numFmtId="0" fontId="27" fillId="3" borderId="0" xfId="0" applyFont="1" applyFill="1" applyAlignment="1">
      <alignment horizontal="left" vertical="top"/>
    </xf>
    <xf numFmtId="0" fontId="34" fillId="3" borderId="0" xfId="0" applyFont="1" applyFill="1" applyAlignment="1">
      <alignment horizontal="left"/>
    </xf>
    <xf numFmtId="0" fontId="31" fillId="3" borderId="0" xfId="0" applyFont="1" applyFill="1" applyAlignment="1">
      <alignment vertical="center"/>
    </xf>
    <xf numFmtId="0" fontId="35" fillId="3" borderId="0" xfId="0" applyFont="1" applyFill="1" applyAlignment="1">
      <alignment horizontal="left" vertical="center" wrapText="1"/>
    </xf>
    <xf numFmtId="0" fontId="31" fillId="3" borderId="0" xfId="0" applyFont="1" applyFill="1"/>
    <xf numFmtId="0" fontId="34" fillId="3" borderId="0" xfId="0" applyFont="1" applyFill="1" applyAlignment="1">
      <alignment horizontal="left" vertical="center"/>
    </xf>
    <xf numFmtId="0" fontId="36" fillId="2" borderId="0" xfId="0" applyFont="1" applyFill="1" applyAlignment="1">
      <alignment vertical="top"/>
    </xf>
    <xf numFmtId="0" fontId="36" fillId="2" borderId="0" xfId="0" applyFont="1" applyFill="1" applyAlignment="1">
      <alignment horizontal="left" vertical="top"/>
    </xf>
    <xf numFmtId="0" fontId="36" fillId="5" borderId="0" xfId="0" applyFont="1" applyFill="1" applyAlignment="1">
      <alignment vertical="top"/>
    </xf>
    <xf numFmtId="0" fontId="37" fillId="3" borderId="0" xfId="0" applyFont="1" applyFill="1"/>
    <xf numFmtId="0" fontId="37" fillId="3" borderId="0" xfId="0" applyFont="1" applyFill="1" applyAlignment="1">
      <alignment horizontal="left"/>
    </xf>
    <xf numFmtId="0" fontId="36" fillId="3" borderId="0" xfId="0" applyFont="1" applyFill="1" applyAlignment="1">
      <alignment vertical="top"/>
    </xf>
    <xf numFmtId="0" fontId="4" fillId="3" borderId="0" xfId="0" applyFont="1" applyFill="1"/>
    <xf numFmtId="0" fontId="37" fillId="5" borderId="0" xfId="0" applyFont="1" applyFill="1" applyAlignment="1">
      <alignment horizontal="left"/>
    </xf>
    <xf numFmtId="0" fontId="38" fillId="3" borderId="0" xfId="0" applyFont="1" applyFill="1" applyAlignment="1">
      <alignment horizontal="left" vertical="center"/>
    </xf>
    <xf numFmtId="0" fontId="33" fillId="6" borderId="0" xfId="0" applyFont="1" applyFill="1" applyAlignment="1">
      <alignment horizontal="left" vertical="center"/>
    </xf>
    <xf numFmtId="165" fontId="27" fillId="3" borderId="0" xfId="0" applyNumberFormat="1" applyFont="1" applyFill="1" applyAlignment="1">
      <alignment horizontal="left" vertical="center"/>
    </xf>
    <xf numFmtId="0" fontId="33" fillId="0" borderId="0" xfId="0" applyFont="1" applyAlignment="1">
      <alignment horizontal="left" vertical="center"/>
    </xf>
    <xf numFmtId="166" fontId="27" fillId="3" borderId="0" xfId="0" applyNumberFormat="1" applyFont="1" applyFill="1" applyAlignment="1">
      <alignment horizontal="left" vertical="center"/>
    </xf>
    <xf numFmtId="172" fontId="27" fillId="3" borderId="0" xfId="0" applyNumberFormat="1" applyFont="1" applyFill="1" applyAlignment="1">
      <alignment horizontal="left" vertical="center"/>
    </xf>
    <xf numFmtId="0" fontId="39" fillId="3" borderId="0" xfId="0" applyFont="1" applyFill="1" applyAlignment="1">
      <alignment vertical="center"/>
    </xf>
    <xf numFmtId="173" fontId="40" fillId="3" borderId="0" xfId="0" applyNumberFormat="1" applyFont="1" applyFill="1" applyAlignment="1">
      <alignment horizontal="right" vertical="center"/>
    </xf>
    <xf numFmtId="0" fontId="27" fillId="0" borderId="0" xfId="0" applyFont="1" applyAlignment="1">
      <alignment horizontal="center" vertical="center"/>
    </xf>
    <xf numFmtId="0" fontId="33" fillId="3" borderId="0" xfId="0" applyFont="1" applyFill="1" applyAlignment="1">
      <alignment vertical="center"/>
    </xf>
    <xf numFmtId="0" fontId="33" fillId="0" borderId="0" xfId="0" applyFont="1" applyAlignment="1">
      <alignment vertical="center"/>
    </xf>
    <xf numFmtId="0" fontId="27" fillId="8" borderId="0" xfId="0" applyFont="1" applyFill="1" applyAlignment="1">
      <alignment horizontal="left" vertical="center"/>
    </xf>
    <xf numFmtId="166" fontId="27" fillId="8" borderId="0" xfId="0" applyNumberFormat="1" applyFont="1" applyFill="1" applyAlignment="1">
      <alignment horizontal="left" vertical="center"/>
    </xf>
    <xf numFmtId="0" fontId="27" fillId="5" borderId="0" xfId="0" applyFont="1" applyFill="1" applyAlignment="1">
      <alignment vertical="center"/>
    </xf>
    <xf numFmtId="170" fontId="27" fillId="8" borderId="0" xfId="0" applyNumberFormat="1" applyFont="1" applyFill="1" applyAlignment="1">
      <alignment horizontal="left" vertical="center"/>
    </xf>
    <xf numFmtId="165" fontId="27" fillId="8" borderId="0" xfId="0" applyNumberFormat="1" applyFont="1" applyFill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0" fontId="41" fillId="2" borderId="3" xfId="0" applyFont="1" applyFill="1" applyBorder="1"/>
    <xf numFmtId="0" fontId="2" fillId="2" borderId="0" xfId="0" applyFont="1" applyFill="1"/>
    <xf numFmtId="0" fontId="1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/>
    </xf>
    <xf numFmtId="0" fontId="42" fillId="0" borderId="0" xfId="0" applyFont="1"/>
    <xf numFmtId="49" fontId="42" fillId="0" borderId="0" xfId="0" applyNumberFormat="1" applyFont="1"/>
    <xf numFmtId="0" fontId="43" fillId="0" borderId="0" xfId="0" applyFont="1"/>
    <xf numFmtId="0" fontId="42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49" fontId="1" fillId="0" borderId="0" xfId="0" applyNumberFormat="1" applyFont="1"/>
    <xf numFmtId="0" fontId="42" fillId="0" borderId="0" xfId="0" applyFont="1" applyAlignment="1">
      <alignment horizontal="left"/>
    </xf>
    <xf numFmtId="0" fontId="42" fillId="0" borderId="0" xfId="0" applyFont="1" applyAlignment="1">
      <alignment horizontal="right"/>
    </xf>
    <xf numFmtId="49" fontId="43" fillId="0" borderId="0" xfId="0" applyNumberFormat="1" applyFont="1"/>
    <xf numFmtId="0" fontId="43" fillId="0" borderId="0" xfId="0" applyFont="1" applyAlignment="1">
      <alignment horizontal="left"/>
    </xf>
    <xf numFmtId="0" fontId="43" fillId="0" borderId="0" xfId="0" applyFont="1" applyAlignment="1">
      <alignment horizontal="right"/>
    </xf>
    <xf numFmtId="0" fontId="44" fillId="0" borderId="0" xfId="0" applyFont="1"/>
    <xf numFmtId="0" fontId="45" fillId="0" borderId="0" xfId="0" applyFont="1"/>
    <xf numFmtId="0" fontId="46" fillId="0" borderId="0" xfId="0" applyFont="1" applyAlignment="1">
      <alignment horizontal="left" vertical="top"/>
    </xf>
    <xf numFmtId="49" fontId="4" fillId="0" borderId="0" xfId="0" applyNumberFormat="1" applyFont="1"/>
    <xf numFmtId="0" fontId="4" fillId="0" borderId="0" xfId="0" applyFont="1" applyAlignment="1">
      <alignment horizontal="left"/>
    </xf>
    <xf numFmtId="49" fontId="47" fillId="3" borderId="0" xfId="0" applyNumberFormat="1" applyFont="1" applyFill="1"/>
    <xf numFmtId="0" fontId="45" fillId="0" borderId="0" xfId="0" applyFont="1" applyAlignment="1">
      <alignment horizontal="left"/>
    </xf>
    <xf numFmtId="0" fontId="1" fillId="3" borderId="0" xfId="0" applyFont="1" applyFill="1" applyAlignment="1">
      <alignment horizontal="left" vertical="top"/>
    </xf>
    <xf numFmtId="0" fontId="4" fillId="0" borderId="0" xfId="0" applyFont="1" applyAlignment="1">
      <alignment horizontal="left" vertical="top"/>
    </xf>
    <xf numFmtId="0" fontId="48" fillId="0" borderId="0" xfId="0" applyFont="1"/>
    <xf numFmtId="0" fontId="49" fillId="0" borderId="0" xfId="0" applyFont="1"/>
    <xf numFmtId="1" fontId="1" fillId="0" borderId="0" xfId="0" applyNumberFormat="1" applyFont="1"/>
    <xf numFmtId="0" fontId="31" fillId="2" borderId="0" xfId="0" applyFont="1" applyFill="1" applyAlignment="1">
      <alignment horizontal="left"/>
    </xf>
    <xf numFmtId="0" fontId="31" fillId="5" borderId="0" xfId="0" applyFont="1" applyFill="1" applyAlignment="1">
      <alignment horizontal="left"/>
    </xf>
    <xf numFmtId="0" fontId="32" fillId="3" borderId="0" xfId="0" applyFont="1" applyFill="1" applyAlignment="1">
      <alignment horizontal="left"/>
    </xf>
    <xf numFmtId="170" fontId="27" fillId="3" borderId="0" xfId="0" applyNumberFormat="1" applyFont="1" applyFill="1" applyAlignment="1">
      <alignment horizontal="left"/>
    </xf>
    <xf numFmtId="0" fontId="33" fillId="3" borderId="0" xfId="0" applyFont="1" applyFill="1" applyAlignment="1">
      <alignment horizontal="left" vertical="top"/>
    </xf>
    <xf numFmtId="0" fontId="34" fillId="6" borderId="0" xfId="0" applyFont="1" applyFill="1" applyAlignment="1">
      <alignment horizontal="left"/>
    </xf>
    <xf numFmtId="0" fontId="34" fillId="2" borderId="0" xfId="0" applyFont="1" applyFill="1" applyAlignment="1">
      <alignment horizontal="left"/>
    </xf>
    <xf numFmtId="0" fontId="34" fillId="5" borderId="0" xfId="0" applyFont="1" applyFill="1" applyAlignment="1">
      <alignment horizontal="left"/>
    </xf>
    <xf numFmtId="0" fontId="50" fillId="3" borderId="0" xfId="0" applyFont="1" applyFill="1" applyAlignment="1">
      <alignment horizontal="left"/>
    </xf>
    <xf numFmtId="0" fontId="33" fillId="6" borderId="0" xfId="0" applyFont="1" applyFill="1" applyAlignment="1">
      <alignment horizontal="left"/>
    </xf>
    <xf numFmtId="0" fontId="33" fillId="0" borderId="0" xfId="0" applyFont="1" applyAlignment="1">
      <alignment horizontal="left"/>
    </xf>
    <xf numFmtId="172" fontId="27" fillId="3" borderId="0" xfId="0" applyNumberFormat="1" applyFont="1" applyFill="1" applyAlignment="1">
      <alignment horizontal="left"/>
    </xf>
    <xf numFmtId="0" fontId="33" fillId="0" borderId="0" xfId="0" applyFont="1" applyAlignment="1">
      <alignment horizontal="left" vertical="top"/>
    </xf>
    <xf numFmtId="0" fontId="39" fillId="3" borderId="0" xfId="0" applyFont="1" applyFill="1"/>
    <xf numFmtId="173" fontId="40" fillId="3" borderId="0" xfId="0" applyNumberFormat="1" applyFont="1" applyFill="1" applyAlignment="1">
      <alignment horizontal="right"/>
    </xf>
    <xf numFmtId="0" fontId="35" fillId="3" borderId="0" xfId="0" applyFont="1" applyFill="1" applyAlignment="1">
      <alignment horizontal="left" wrapText="1"/>
    </xf>
    <xf numFmtId="0" fontId="27" fillId="0" borderId="0" xfId="0" applyFont="1" applyAlignment="1">
      <alignment horizontal="center"/>
    </xf>
    <xf numFmtId="0" fontId="33" fillId="0" borderId="0" xfId="0" applyFont="1" applyAlignment="1">
      <alignment vertical="top"/>
    </xf>
    <xf numFmtId="166" fontId="27" fillId="8" borderId="0" xfId="0" applyNumberFormat="1" applyFont="1" applyFill="1" applyAlignment="1">
      <alignment horizontal="left"/>
    </xf>
    <xf numFmtId="170" fontId="27" fillId="8" borderId="0" xfId="0" applyNumberFormat="1" applyFont="1" applyFill="1" applyAlignment="1">
      <alignment horizontal="left"/>
    </xf>
    <xf numFmtId="0" fontId="16" fillId="3" borderId="0" xfId="0" applyFont="1" applyFill="1" applyAlignment="1">
      <alignment horizontal="left"/>
    </xf>
    <xf numFmtId="165" fontId="27" fillId="8" borderId="0" xfId="0" applyNumberFormat="1" applyFont="1" applyFill="1" applyAlignment="1">
      <alignment horizontal="left"/>
    </xf>
    <xf numFmtId="2" fontId="4" fillId="0" borderId="0" xfId="0" applyNumberFormat="1" applyFont="1"/>
    <xf numFmtId="0" fontId="4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174" fontId="4" fillId="0" borderId="0" xfId="0" applyNumberFormat="1" applyFont="1" applyAlignment="1">
      <alignment horizontal="right"/>
    </xf>
    <xf numFmtId="1" fontId="4" fillId="0" borderId="0" xfId="0" applyNumberFormat="1" applyFont="1"/>
    <xf numFmtId="0" fontId="4" fillId="0" borderId="1" xfId="0" applyFont="1" applyBorder="1"/>
    <xf numFmtId="0" fontId="51" fillId="9" borderId="0" xfId="0" applyFont="1" applyFill="1" applyAlignment="1">
      <alignment vertical="top"/>
    </xf>
    <xf numFmtId="165" fontId="51" fillId="9" borderId="0" xfId="0" applyNumberFormat="1" applyFont="1" applyFill="1" applyAlignment="1">
      <alignment vertical="top"/>
    </xf>
    <xf numFmtId="0" fontId="51" fillId="3" borderId="0" xfId="0" applyFont="1" applyFill="1" applyAlignment="1">
      <alignment vertical="top"/>
    </xf>
    <xf numFmtId="0" fontId="36" fillId="9" borderId="0" xfId="0" applyFont="1" applyFill="1" applyAlignment="1">
      <alignment vertical="top"/>
    </xf>
    <xf numFmtId="0" fontId="51" fillId="2" borderId="0" xfId="0" applyFont="1" applyFill="1" applyAlignment="1">
      <alignment vertical="top"/>
    </xf>
    <xf numFmtId="0" fontId="51" fillId="10" borderId="0" xfId="0" applyFont="1" applyFill="1" applyAlignment="1">
      <alignment vertical="top"/>
    </xf>
    <xf numFmtId="0" fontId="51" fillId="5" borderId="0" xfId="0" applyFont="1" applyFill="1" applyAlignment="1">
      <alignment vertical="top"/>
    </xf>
    <xf numFmtId="0" fontId="51" fillId="11" borderId="0" xfId="0" applyFont="1" applyFill="1" applyAlignment="1">
      <alignment vertical="top"/>
    </xf>
    <xf numFmtId="165" fontId="51" fillId="11" borderId="0" xfId="0" applyNumberFormat="1" applyFont="1" applyFill="1" applyAlignment="1">
      <alignment vertical="top"/>
    </xf>
    <xf numFmtId="0" fontId="36" fillId="0" borderId="0" xfId="0" applyFont="1" applyAlignment="1">
      <alignment vertical="top"/>
    </xf>
    <xf numFmtId="0" fontId="52" fillId="0" borderId="0" xfId="0" applyFont="1" applyAlignment="1">
      <alignment vertical="top"/>
    </xf>
    <xf numFmtId="0" fontId="37" fillId="0" borderId="0" xfId="0" applyFont="1" applyAlignment="1">
      <alignment vertical="top"/>
    </xf>
    <xf numFmtId="0" fontId="36" fillId="10" borderId="0" xfId="0" applyFont="1" applyFill="1" applyAlignment="1">
      <alignment vertical="top"/>
    </xf>
    <xf numFmtId="0" fontId="37" fillId="12" borderId="0" xfId="0" applyFont="1" applyFill="1" applyAlignment="1">
      <alignment vertical="top"/>
    </xf>
    <xf numFmtId="0" fontId="37" fillId="10" borderId="0" xfId="0" applyFont="1" applyFill="1" applyAlignment="1">
      <alignment vertical="top"/>
    </xf>
    <xf numFmtId="0" fontId="37" fillId="3" borderId="0" xfId="0" applyFont="1" applyFill="1" applyAlignment="1">
      <alignment vertical="top"/>
    </xf>
    <xf numFmtId="0" fontId="37" fillId="2" borderId="0" xfId="0" applyFont="1" applyFill="1" applyAlignment="1">
      <alignment vertical="top"/>
    </xf>
    <xf numFmtId="0" fontId="53" fillId="0" borderId="0" xfId="0" applyFont="1" applyAlignment="1">
      <alignment vertical="top"/>
    </xf>
    <xf numFmtId="0" fontId="54" fillId="0" borderId="0" xfId="0" applyFont="1" applyAlignment="1">
      <alignment vertical="top"/>
    </xf>
    <xf numFmtId="0" fontId="55" fillId="11" borderId="0" xfId="0" applyFont="1" applyFill="1" applyAlignment="1">
      <alignment vertical="top"/>
    </xf>
    <xf numFmtId="165" fontId="55" fillId="11" borderId="0" xfId="0" applyNumberFormat="1" applyFont="1" applyFill="1" applyAlignment="1">
      <alignment vertical="top"/>
    </xf>
    <xf numFmtId="0" fontId="55" fillId="3" borderId="0" xfId="0" applyFont="1" applyFill="1" applyAlignment="1">
      <alignment vertical="top"/>
    </xf>
    <xf numFmtId="0" fontId="56" fillId="0" borderId="0" xfId="0" applyFont="1" applyAlignment="1">
      <alignment vertical="top"/>
    </xf>
    <xf numFmtId="0" fontId="57" fillId="0" borderId="0" xfId="0" applyFont="1" applyAlignment="1">
      <alignment vertical="top"/>
    </xf>
    <xf numFmtId="0" fontId="56" fillId="2" borderId="0" xfId="0" applyFont="1" applyFill="1" applyAlignment="1">
      <alignment vertical="top"/>
    </xf>
    <xf numFmtId="0" fontId="56" fillId="10" borderId="0" xfId="0" applyFont="1" applyFill="1" applyAlignment="1">
      <alignment vertical="top"/>
    </xf>
    <xf numFmtId="0" fontId="56" fillId="5" borderId="0" xfId="0" applyFont="1" applyFill="1" applyAlignment="1">
      <alignment vertical="top"/>
    </xf>
    <xf numFmtId="0" fontId="56" fillId="3" borderId="0" xfId="0" applyFont="1" applyFill="1" applyAlignment="1">
      <alignment vertical="top"/>
    </xf>
    <xf numFmtId="0" fontId="37" fillId="5" borderId="0" xfId="0" applyFont="1" applyFill="1" applyAlignment="1">
      <alignment vertical="top"/>
    </xf>
    <xf numFmtId="3" fontId="36" fillId="5" borderId="0" xfId="0" applyNumberFormat="1" applyFont="1" applyFill="1" applyAlignment="1">
      <alignment vertical="top"/>
    </xf>
    <xf numFmtId="3" fontId="36" fillId="0" borderId="0" xfId="0" applyNumberFormat="1" applyFont="1" applyAlignment="1">
      <alignment vertical="top"/>
    </xf>
    <xf numFmtId="175" fontId="36" fillId="0" borderId="0" xfId="0" applyNumberFormat="1" applyFont="1" applyAlignment="1">
      <alignment vertical="top"/>
    </xf>
    <xf numFmtId="0" fontId="58" fillId="0" borderId="0" xfId="0" applyFont="1" applyAlignment="1">
      <alignment vertical="top"/>
    </xf>
    <xf numFmtId="0" fontId="36" fillId="3" borderId="0" xfId="0" applyFont="1" applyFill="1"/>
    <xf numFmtId="0" fontId="37" fillId="0" borderId="0" xfId="0" applyFont="1"/>
    <xf numFmtId="0" fontId="37" fillId="2" borderId="0" xfId="0" applyFont="1" applyFill="1"/>
    <xf numFmtId="0" fontId="37" fillId="10" borderId="0" xfId="0" applyFont="1" applyFill="1"/>
    <xf numFmtId="0" fontId="37" fillId="5" borderId="0" xfId="0" applyFont="1" applyFill="1"/>
    <xf numFmtId="0" fontId="59" fillId="3" borderId="0" xfId="0" applyFont="1" applyFill="1"/>
    <xf numFmtId="0" fontId="60" fillId="11" borderId="0" xfId="0" applyFont="1" applyFill="1" applyAlignment="1">
      <alignment vertical="top"/>
    </xf>
    <xf numFmtId="0" fontId="59" fillId="3" borderId="0" xfId="0" applyFont="1" applyFill="1" applyAlignment="1">
      <alignment vertical="top"/>
    </xf>
    <xf numFmtId="0" fontId="61" fillId="0" borderId="0" xfId="0" applyFont="1" applyAlignment="1">
      <alignment vertical="top"/>
    </xf>
    <xf numFmtId="0" fontId="37" fillId="0" borderId="0" xfId="0" applyFont="1" applyAlignment="1">
      <alignment horizontal="right" vertical="top"/>
    </xf>
    <xf numFmtId="0" fontId="37" fillId="5" borderId="0" xfId="0" applyFont="1" applyFill="1" applyAlignment="1">
      <alignment horizontal="right" vertical="top"/>
    </xf>
    <xf numFmtId="0" fontId="59" fillId="2" borderId="0" xfId="0" applyFont="1" applyFill="1" applyAlignment="1">
      <alignment horizontal="left"/>
    </xf>
    <xf numFmtId="0" fontId="62" fillId="0" borderId="0" xfId="0" applyFont="1"/>
    <xf numFmtId="0" fontId="51" fillId="2" borderId="0" xfId="0" applyFont="1" applyFill="1" applyAlignment="1">
      <alignment horizontal="left" vertical="top"/>
    </xf>
    <xf numFmtId="0" fontId="63" fillId="0" borderId="0" xfId="0" applyFont="1"/>
    <xf numFmtId="0" fontId="49" fillId="0" borderId="1" xfId="0" applyFont="1" applyBorder="1"/>
    <xf numFmtId="165" fontId="37" fillId="3" borderId="0" xfId="0" applyNumberFormat="1" applyFont="1" applyFill="1"/>
    <xf numFmtId="165" fontId="37" fillId="0" borderId="0" xfId="0" applyNumberFormat="1" applyFont="1"/>
    <xf numFmtId="0" fontId="41" fillId="2" borderId="1" xfId="0" applyFont="1" applyFill="1" applyBorder="1"/>
    <xf numFmtId="0" fontId="44" fillId="0" borderId="1" xfId="0" applyFont="1" applyBorder="1"/>
    <xf numFmtId="49" fontId="47" fillId="3" borderId="1" xfId="0" applyNumberFormat="1" applyFont="1" applyFill="1" applyBorder="1"/>
    <xf numFmtId="4" fontId="64" fillId="13" borderId="0" xfId="0" applyNumberFormat="1" applyFont="1" applyFill="1" applyAlignment="1">
      <alignment horizontal="left"/>
    </xf>
    <xf numFmtId="4" fontId="65" fillId="13" borderId="0" xfId="0" applyNumberFormat="1" applyFont="1" applyFill="1" applyAlignment="1">
      <alignment horizontal="left"/>
    </xf>
    <xf numFmtId="0" fontId="65" fillId="13" borderId="0" xfId="0" applyFont="1" applyFill="1" applyAlignment="1">
      <alignment horizontal="left"/>
    </xf>
    <xf numFmtId="4" fontId="65" fillId="14" borderId="0" xfId="0" applyNumberFormat="1" applyFont="1" applyFill="1" applyAlignment="1">
      <alignment horizontal="left"/>
    </xf>
    <xf numFmtId="4" fontId="65" fillId="0" borderId="1" xfId="0" applyNumberFormat="1" applyFont="1" applyBorder="1" applyAlignment="1">
      <alignment horizontal="left"/>
    </xf>
    <xf numFmtId="0" fontId="64" fillId="0" borderId="0" xfId="0" applyFont="1"/>
    <xf numFmtId="4" fontId="64" fillId="15" borderId="4" xfId="0" applyNumberFormat="1" applyFont="1" applyFill="1" applyBorder="1" applyAlignment="1">
      <alignment horizontal="left"/>
    </xf>
    <xf numFmtId="3" fontId="65" fillId="0" borderId="1" xfId="0" applyNumberFormat="1" applyFont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12" fillId="0" borderId="0" xfId="0" applyFont="1"/>
    <xf numFmtId="3" fontId="64" fillId="13" borderId="0" xfId="0" applyNumberFormat="1" applyFont="1" applyFill="1" applyAlignment="1">
      <alignment horizontal="right"/>
    </xf>
    <xf numFmtId="4" fontId="64" fillId="13" borderId="0" xfId="0" applyNumberFormat="1" applyFont="1" applyFill="1"/>
    <xf numFmtId="165" fontId="64" fillId="13" borderId="0" xfId="0" applyNumberFormat="1" applyFont="1" applyFill="1" applyAlignment="1">
      <alignment horizontal="right"/>
    </xf>
    <xf numFmtId="170" fontId="64" fillId="0" borderId="0" xfId="0" applyNumberFormat="1" applyFont="1" applyAlignment="1">
      <alignment horizontal="right"/>
    </xf>
    <xf numFmtId="3" fontId="64" fillId="0" borderId="0" xfId="0" applyNumberFormat="1" applyFont="1"/>
    <xf numFmtId="0" fontId="64" fillId="0" borderId="0" xfId="0" applyFont="1" applyAlignment="1">
      <alignment horizontal="right"/>
    </xf>
    <xf numFmtId="4" fontId="64" fillId="0" borderId="0" xfId="0" applyNumberFormat="1" applyFont="1"/>
    <xf numFmtId="4" fontId="64" fillId="0" borderId="0" xfId="0" applyNumberFormat="1" applyFont="1" applyAlignment="1">
      <alignment horizontal="right"/>
    </xf>
    <xf numFmtId="165" fontId="64" fillId="16" borderId="0" xfId="0" applyNumberFormat="1" applyFont="1" applyFill="1" applyAlignment="1">
      <alignment horizontal="right"/>
    </xf>
    <xf numFmtId="3" fontId="64" fillId="0" borderId="0" xfId="0" applyNumberFormat="1" applyFont="1" applyAlignment="1">
      <alignment horizontal="right"/>
    </xf>
    <xf numFmtId="3" fontId="12" fillId="0" borderId="0" xfId="0" applyNumberFormat="1" applyFont="1"/>
    <xf numFmtId="49" fontId="64" fillId="0" borderId="0" xfId="0" applyNumberFormat="1" applyFont="1"/>
    <xf numFmtId="4" fontId="64" fillId="14" borderId="0" xfId="0" applyNumberFormat="1" applyFont="1" applyFill="1"/>
    <xf numFmtId="0" fontId="65" fillId="0" borderId="0" xfId="0" applyFont="1"/>
    <xf numFmtId="165" fontId="64" fillId="0" borderId="0" xfId="0" applyNumberFormat="1" applyFont="1" applyAlignment="1">
      <alignment horizontal="right"/>
    </xf>
    <xf numFmtId="2" fontId="64" fillId="0" borderId="0" xfId="0" applyNumberFormat="1" applyFont="1" applyAlignment="1">
      <alignment horizontal="right"/>
    </xf>
    <xf numFmtId="165" fontId="64" fillId="17" borderId="0" xfId="0" applyNumberFormat="1" applyFont="1" applyFill="1" applyAlignment="1">
      <alignment horizontal="right"/>
    </xf>
    <xf numFmtId="170" fontId="65" fillId="0" borderId="0" xfId="0" applyNumberFormat="1" applyFont="1" applyAlignment="1">
      <alignment horizontal="right"/>
    </xf>
    <xf numFmtId="3" fontId="65" fillId="0" borderId="0" xfId="0" applyNumberFormat="1" applyFont="1"/>
    <xf numFmtId="3" fontId="65" fillId="0" borderId="0" xfId="0" applyNumberFormat="1" applyFont="1" applyAlignment="1">
      <alignment horizontal="right"/>
    </xf>
    <xf numFmtId="49" fontId="65" fillId="0" borderId="0" xfId="0" applyNumberFormat="1" applyFont="1"/>
    <xf numFmtId="4" fontId="65" fillId="0" borderId="0" xfId="0" applyNumberFormat="1" applyFont="1" applyAlignment="1">
      <alignment horizontal="right"/>
    </xf>
    <xf numFmtId="0" fontId="66" fillId="0" borderId="0" xfId="0" applyFont="1"/>
    <xf numFmtId="0" fontId="67" fillId="0" borderId="0" xfId="0" applyFont="1"/>
    <xf numFmtId="170" fontId="67" fillId="0" borderId="0" xfId="0" applyNumberFormat="1" applyFont="1" applyAlignment="1">
      <alignment horizontal="right"/>
    </xf>
    <xf numFmtId="3" fontId="67" fillId="0" borderId="0" xfId="0" applyNumberFormat="1" applyFont="1"/>
    <xf numFmtId="3" fontId="66" fillId="0" borderId="0" xfId="0" applyNumberFormat="1" applyFont="1" applyAlignment="1">
      <alignment horizontal="right"/>
    </xf>
    <xf numFmtId="49" fontId="66" fillId="0" borderId="0" xfId="0" applyNumberFormat="1" applyFont="1"/>
    <xf numFmtId="4" fontId="66" fillId="0" borderId="0" xfId="0" applyNumberFormat="1" applyFont="1" applyAlignment="1">
      <alignment horizontal="right"/>
    </xf>
    <xf numFmtId="166" fontId="64" fillId="0" borderId="0" xfId="0" applyNumberFormat="1" applyFont="1" applyAlignment="1">
      <alignment horizontal="right"/>
    </xf>
    <xf numFmtId="170" fontId="64" fillId="17" borderId="0" xfId="0" applyNumberFormat="1" applyFont="1" applyFill="1" applyAlignment="1">
      <alignment horizontal="right"/>
    </xf>
    <xf numFmtId="166" fontId="64" fillId="17" borderId="0" xfId="0" applyNumberFormat="1" applyFont="1" applyFill="1" applyAlignment="1">
      <alignment horizontal="right"/>
    </xf>
    <xf numFmtId="165" fontId="65" fillId="17" borderId="0" xfId="0" applyNumberFormat="1" applyFont="1" applyFill="1" applyAlignment="1">
      <alignment horizontal="right"/>
    </xf>
    <xf numFmtId="0" fontId="68" fillId="3" borderId="0" xfId="0" applyFont="1" applyFill="1"/>
    <xf numFmtId="0" fontId="65" fillId="0" borderId="0" xfId="0" applyFont="1" applyAlignment="1">
      <alignment horizontal="right"/>
    </xf>
    <xf numFmtId="170" fontId="64" fillId="16" borderId="0" xfId="0" applyNumberFormat="1" applyFont="1" applyFill="1" applyAlignment="1">
      <alignment horizontal="right"/>
    </xf>
    <xf numFmtId="0" fontId="69" fillId="0" borderId="0" xfId="0" applyFont="1"/>
    <xf numFmtId="166" fontId="64" fillId="16" borderId="0" xfId="0" applyNumberFormat="1" applyFont="1" applyFill="1" applyAlignment="1">
      <alignment horizontal="right"/>
    </xf>
    <xf numFmtId="49" fontId="70" fillId="0" borderId="0" xfId="0" applyNumberFormat="1" applyFont="1"/>
    <xf numFmtId="0" fontId="64" fillId="0" borderId="0" xfId="0" applyFont="1" applyAlignment="1">
      <alignment horizontal="left"/>
    </xf>
    <xf numFmtId="49" fontId="64" fillId="0" borderId="1" xfId="0" applyNumberFormat="1" applyFont="1" applyBorder="1"/>
    <xf numFmtId="165" fontId="12" fillId="13" borderId="0" xfId="0" applyNumberFormat="1" applyFont="1" applyFill="1"/>
    <xf numFmtId="165" fontId="12" fillId="0" borderId="0" xfId="0" applyNumberFormat="1" applyFont="1"/>
    <xf numFmtId="170" fontId="12" fillId="13" borderId="0" xfId="0" applyNumberFormat="1" applyFont="1" applyFill="1"/>
    <xf numFmtId="170" fontId="12" fillId="0" borderId="0" xfId="0" applyNumberFormat="1" applyFont="1"/>
    <xf numFmtId="0" fontId="71" fillId="3" borderId="0" xfId="0" applyFont="1" applyFill="1"/>
    <xf numFmtId="3" fontId="65" fillId="13" borderId="0" xfId="0" applyNumberFormat="1" applyFont="1" applyFill="1" applyAlignment="1">
      <alignment horizontal="right"/>
    </xf>
    <xf numFmtId="4" fontId="65" fillId="13" borderId="0" xfId="0" applyNumberFormat="1" applyFont="1" applyFill="1"/>
    <xf numFmtId="165" fontId="72" fillId="13" borderId="0" xfId="0" applyNumberFormat="1" applyFont="1" applyFill="1"/>
    <xf numFmtId="0" fontId="72" fillId="0" borderId="0" xfId="0" applyFont="1"/>
    <xf numFmtId="165" fontId="65" fillId="0" borderId="0" xfId="0" applyNumberFormat="1" applyFont="1" applyAlignment="1">
      <alignment horizontal="right"/>
    </xf>
    <xf numFmtId="3" fontId="72" fillId="0" borderId="0" xfId="0" applyNumberFormat="1" applyFont="1"/>
    <xf numFmtId="165" fontId="72" fillId="0" borderId="0" xfId="0" applyNumberFormat="1" applyFont="1"/>
    <xf numFmtId="3" fontId="64" fillId="18" borderId="0" xfId="0" applyNumberFormat="1" applyFont="1" applyFill="1" applyAlignment="1">
      <alignment horizontal="right"/>
    </xf>
    <xf numFmtId="4" fontId="64" fillId="18" borderId="0" xfId="0" applyNumberFormat="1" applyFont="1" applyFill="1"/>
    <xf numFmtId="165" fontId="64" fillId="18" borderId="0" xfId="0" applyNumberFormat="1" applyFont="1" applyFill="1" applyAlignment="1">
      <alignment horizontal="right"/>
    </xf>
    <xf numFmtId="4" fontId="12" fillId="18" borderId="0" xfId="0" applyNumberFormat="1" applyFont="1" applyFill="1"/>
    <xf numFmtId="165" fontId="12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right"/>
    </xf>
    <xf numFmtId="49" fontId="12" fillId="0" borderId="0" xfId="0" applyNumberFormat="1" applyFont="1"/>
    <xf numFmtId="4" fontId="12" fillId="0" borderId="0" xfId="0" applyNumberFormat="1" applyFont="1" applyAlignment="1">
      <alignment horizontal="right"/>
    </xf>
    <xf numFmtId="170" fontId="12" fillId="0" borderId="0" xfId="0" applyNumberFormat="1" applyFont="1" applyAlignment="1">
      <alignment horizontal="right"/>
    </xf>
    <xf numFmtId="165" fontId="12" fillId="18" borderId="0" xfId="0" applyNumberFormat="1" applyFont="1" applyFill="1"/>
    <xf numFmtId="166" fontId="12" fillId="0" borderId="0" xfId="0" applyNumberFormat="1" applyFont="1" applyAlignment="1">
      <alignment horizontal="right"/>
    </xf>
    <xf numFmtId="4" fontId="12" fillId="14" borderId="0" xfId="0" applyNumberFormat="1" applyFont="1" applyFill="1"/>
    <xf numFmtId="3" fontId="64" fillId="19" borderId="0" xfId="0" applyNumberFormat="1" applyFont="1" applyFill="1" applyAlignment="1">
      <alignment horizontal="right"/>
    </xf>
    <xf numFmtId="4" fontId="64" fillId="19" borderId="0" xfId="0" applyNumberFormat="1" applyFont="1" applyFill="1"/>
    <xf numFmtId="165" fontId="64" fillId="19" borderId="0" xfId="0" applyNumberFormat="1" applyFont="1" applyFill="1" applyAlignment="1">
      <alignment horizontal="right"/>
    </xf>
    <xf numFmtId="0" fontId="73" fillId="0" borderId="0" xfId="0" applyFont="1"/>
    <xf numFmtId="165" fontId="64" fillId="19" borderId="0" xfId="0" applyNumberFormat="1" applyFont="1" applyFill="1"/>
    <xf numFmtId="165" fontId="64" fillId="0" borderId="0" xfId="0" applyNumberFormat="1" applyFont="1"/>
    <xf numFmtId="0" fontId="27" fillId="3" borderId="0" xfId="0" applyFont="1" applyFill="1" applyAlignment="1">
      <alignment horizontal="left" vertical="center"/>
    </xf>
    <xf numFmtId="0" fontId="0" fillId="0" borderId="0" xfId="0"/>
    <xf numFmtId="0" fontId="27" fillId="3" borderId="0" xfId="0" applyFont="1" applyFill="1" applyAlignment="1">
      <alignment horizontal="left"/>
    </xf>
    <xf numFmtId="0" fontId="33" fillId="3" borderId="0" xfId="0" applyFont="1" applyFill="1" applyAlignment="1">
      <alignment horizontal="left" vertical="center"/>
    </xf>
    <xf numFmtId="0" fontId="33" fillId="3" borderId="0" xfId="0" applyFont="1" applyFill="1" applyAlignment="1">
      <alignment horizontal="left"/>
    </xf>
    <xf numFmtId="0" fontId="27" fillId="3" borderId="0" xfId="0" applyFont="1" applyFill="1" applyAlignment="1">
      <alignment horizontal="left" vertical="top"/>
    </xf>
  </cellXfs>
  <cellStyles count="1">
    <cellStyle name="Normal" xfId="0" builtinId="0"/>
  </cellStyles>
  <dxfs count="6">
    <dxf>
      <fill>
        <patternFill patternType="solid">
          <fgColor rgb="FF00FF00"/>
          <bgColor rgb="FF00FF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OnLoad="1" refreshedDate="0" recordCount="0" xr:uid="{00000000-000A-0000-FFFF-FFFF00000000}">
  <cacheSource type="worksheet">
    <worksheetSource ref="A1:P1000" sheet="ventas 2026"/>
  </cacheSource>
  <cacheFields count="16">
    <cacheField name="ACTUALIZADO A" numFmtId="170">
      <sharedItems containsDate="1" containsString="0" containsBlank="1" count="2">
        <d v="2026-04-07T00:00:00"/>
        <m/>
      </sharedItems>
    </cacheField>
    <cacheField name="AÑO" numFmtId="171">
      <sharedItems containsString="0" containsBlank="1" containsNumber="1" containsInteger="1" count="3">
        <n v="2026"/>
        <n v="68"/>
        <m/>
      </sharedItems>
    </cacheField>
    <cacheField name="MES" numFmtId="3">
      <sharedItems containsString="0" containsBlank="1" containsNumber="1" containsInteger="1" count="5">
        <n v="1"/>
        <n v="2"/>
        <n v="3"/>
        <n v="4"/>
        <m/>
      </sharedItems>
    </cacheField>
    <cacheField name="RECOMPRA" numFmtId="0">
      <sharedItems containsBlank="1" count="3">
        <s v="NO"/>
        <s v="SI"/>
        <m/>
      </sharedItems>
    </cacheField>
    <cacheField name="SUCURSAL" numFmtId="0">
      <sharedItems containsBlank="1" count="44">
        <s v="Valencia- Parra"/>
        <s v="Cáceres"/>
        <s v="Valladolid"/>
        <s v="Getafe"/>
        <s v="Madrid- La Oca"/>
        <s v="Sevilla- Ciencias"/>
        <s v="Madrid- Juan Bravo"/>
        <s v="Zaragoza- León XIII"/>
        <s v="Fuenlabrada"/>
        <s v="Sevilla- Montoto"/>
        <s v="Alicante"/>
        <s v="Murcia"/>
        <s v="Toledo"/>
        <s v="Ourense"/>
        <s v="Lugo"/>
        <s v="Madrid- Canillas"/>
        <s v="Leganés"/>
        <s v="Alcorcón"/>
        <s v="Logroño"/>
        <s v="Barcelona- Córcega"/>
        <s v="Orihuela"/>
        <s v="Madrid- Moratalaz"/>
        <s v="Albacete"/>
        <s v="Badajoz"/>
        <s v="Almería"/>
        <s v="Madrid- Monforte de Lemos"/>
        <s v="El Albir (Benidorm)"/>
        <s v="San Javier"/>
        <s v="Hospitalet de Llobregat"/>
        <s v="Madrid- Costa Rica"/>
        <s v="Jerez de la Frontera"/>
        <s v="Torrejón de Ardoz"/>
        <s v="Ponferrada"/>
        <s v="Vilanova"/>
        <s v="León"/>
        <s v="Talavera"/>
        <s v="Salamanca"/>
        <s v="Valencia- Cádiz"/>
        <s v="Móstoles"/>
        <s v="Zaragoza- Santander"/>
        <s v="Vitoria"/>
        <s v="Santiago de Compostela"/>
        <s v="Madrid- Galileo"/>
        <m/>
      </sharedItems>
    </cacheField>
    <cacheField name="FECHA DE VENTA" numFmtId="165">
      <sharedItems containsDate="1" containsString="0" containsBlank="1" count="68">
        <d v="2026-01-02T00:00:00"/>
        <d v="2026-01-05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19T00:00:00"/>
        <d v="2026-01-20T00:00:00"/>
        <d v="2026-01-21T00:00:00"/>
        <d v="2026-01-22T00:00:00"/>
        <d v="2026-01-23T00:00:00"/>
        <d v="2026-01-24T00:00:00"/>
        <d v="2026-01-26T00:00:00"/>
        <d v="2026-01-27T00:00:00"/>
        <d v="2026-01-28T00:00:00"/>
        <d v="2026-01-29T00:00:00"/>
        <d v="2026-01-30T00:00:00"/>
        <d v="2026-01-31T00:00:00"/>
        <d v="2026-02-02T00:00:00"/>
        <d v="2026-02-03T00:00:00"/>
        <d v="2026-02-05T00:00:00"/>
        <d v="2026-02-06T00:00:00"/>
        <d v="2026-02-09T00:00:00"/>
        <d v="2026-02-10T00:00:00"/>
        <d v="2026-02-11T00:00:00"/>
        <d v="2026-02-12T00:00:00"/>
        <d v="2026-02-13T00:00:00"/>
        <d v="2026-02-16T00:00:00"/>
        <d v="2026-02-17T00:00:00"/>
        <d v="2026-02-18T00:00:00"/>
        <d v="2026-02-19T00:00:00"/>
        <d v="2026-02-20T00:00:00"/>
        <d v="2026-02-23T00:00:00"/>
        <d v="2026-02-24T00:00:00"/>
        <d v="2026-02-25T00:00:00"/>
        <d v="2026-02-26T00:00:00"/>
        <d v="2026-02-27T00:00:00"/>
        <m/>
        <d v="2026-03-02T00:00:00"/>
        <d v="2026-03-03T00:00:00"/>
        <d v="2026-03-04T00:00:00"/>
        <d v="2026-03-05T00:00:00"/>
        <d v="2026-03-06T00:00:00"/>
        <d v="2026-03-09T00:00:00"/>
        <d v="2026-03-10T00:00:00"/>
        <d v="2026-03-11T00:00:00"/>
        <d v="2026-03-12T00:00:00"/>
        <d v="2026-03-13T00:00:00"/>
        <d v="2026-03-16T00:00:00"/>
        <d v="2026-03-17T00:00:00"/>
        <d v="2026-03-18T00:00:00"/>
        <d v="2026-03-19T00:00:00"/>
        <d v="2026-03-20T00:00:00"/>
        <d v="2026-03-23T00:00:00"/>
        <d v="2026-03-24T00:00:00"/>
        <d v="2026-03-25T00:00:00"/>
        <d v="2026-03-26T00:00:00"/>
        <d v="2026-03-27T00:00:00"/>
        <d v="2026-03-30T00:00:00"/>
        <d v="2026-03-31T00:00:00"/>
        <d v="2026-04-01T00:00:00"/>
        <d v="2026-04-02T00:00:00"/>
        <d v="2026-04-06T00:00:00"/>
        <d v="2026-04-07T00:00:00"/>
      </sharedItems>
    </cacheField>
    <cacheField name="FECHA DE ALTA DE CLIENTE" numFmtId="165">
      <sharedItems containsDate="1" containsString="0" containsBlank="1" count="136">
        <d v="2025-11-05T00:00:00"/>
        <d v="2025-12-01T00:00:00"/>
        <d v="2025-11-03T00:00:00"/>
        <d v="2025-11-14T00:00:00"/>
        <d v="2025-11-17T00:00:00"/>
        <d v="2025-12-09T00:00:00"/>
        <d v="2025-11-20T00:00:00"/>
        <d v="2025-11-27T00:00:00"/>
        <d v="2023-05-12T00:00:00"/>
        <d v="2025-11-24T00:00:00"/>
        <d v="2025-10-02T00:00:00"/>
        <d v="2025-12-15T00:00:00"/>
        <d v="2024-11-27T00:00:00"/>
        <d v="2025-12-05T00:00:00"/>
        <d v="2025-12-17T00:00:00"/>
        <d v="2025-12-12T00:00:00"/>
        <d v="2025-12-11T00:00:00"/>
        <d v="2025-12-23T00:00:00"/>
        <d v="2025-12-18T00:00:00"/>
        <d v="2025-12-03T00:00:00"/>
        <d v="2025-12-19T00:00:00"/>
        <d v="2025-12-16T00:00:00"/>
        <d v="2025-11-25T00:00:00"/>
        <d v="2025-09-29T00:00:00"/>
        <d v="2025-11-18T00:00:00"/>
        <d v="2025-06-06T00:00:00"/>
        <d v="2025-09-01T00:00:00"/>
        <d v="2025-12-10T00:00:00"/>
        <d v="2023-02-03T00:00:00"/>
        <d v="2025-12-04T00:00:00"/>
        <d v="2025-10-31T00:00:00"/>
        <d v="2025-12-26T00:00:00"/>
        <d v="2025-11-12T00:00:00"/>
        <d v="2025-10-13T00:00:00"/>
        <d v="2025-12-22T00:00:00"/>
        <d v="2025-10-20T00:00:00"/>
        <d v="2025-11-26T00:00:00"/>
        <d v="2026-01-07T00:00:00"/>
        <d v="2026-01-02T00:00:00"/>
        <d v="2026-01-05T00:00:00"/>
        <d v="2025-11-04T00:00:00"/>
        <d v="2025-04-10T00:00:00"/>
        <d v="2025-11-19T00:00:00"/>
        <d v="2025-11-28T00:00:00"/>
        <d v="2025-02-26T00:00:00"/>
        <d v="2026-01-15T00:00:00"/>
        <d v="2025-08-20T00:00:00"/>
        <d v="2025-09-08T00:00:00"/>
        <d v="2025-12-29T00:00:00"/>
        <d v="2026-01-12T00:00:00"/>
        <d v="2026-01-20T00:00:00"/>
        <d v="2025-11-11T00:00:00"/>
        <d v="2025-07-24T00:00:00"/>
        <d v="2024-10-14T00:00:00"/>
        <d v="2026-01-14T00:00:00"/>
        <d v="2022-10-28T00:00:00"/>
        <d v="2026-01-08T00:00:00"/>
        <d v="2021-05-20T00:00:00"/>
        <d v="2025-01-14T00:00:00"/>
        <d v="2026-01-09T00:00:00"/>
        <d v="2026-01-13T00:00:00"/>
        <d v="2026-01-23T00:00:00"/>
        <d v="2025-01-27T00:00:00"/>
        <d v="2026-01-29T00:00:00"/>
        <d v="2026-01-27T00:00:00"/>
        <d v="2026-01-22T00:00:00"/>
        <d v="2025-05-23T00:00:00"/>
        <d v="2025-12-31T00:00:00"/>
        <d v="2026-01-26T00:00:00"/>
        <d v="2025-12-24T00:00:00"/>
        <d v="2026-02-04T00:00:00"/>
        <d v="2026-01-21T00:00:00"/>
        <d v="2025-04-01T00:00:00"/>
        <d v="2026-01-16T00:00:00"/>
        <d v="2024-01-30T00:00:00"/>
        <d v="2026-01-28T00:00:00"/>
        <d v="2026-02-06T00:00:00"/>
        <d v="2026-01-30T00:00:00"/>
        <d v="2022-12-14T00:00:00"/>
        <d v="2023-12-20T00:00:00"/>
        <d v="2026-02-10T00:00:00"/>
        <d v="2026-01-19T00:00:00"/>
        <d v="2026-02-16T00:00:00"/>
        <d v="2025-10-21T00:00:00"/>
        <d v="2020-07-01T00:00:00"/>
        <d v="2026-02-13T00:00:00"/>
        <d v="2026-02-20T00:00:00"/>
        <d v="2024-02-26T00:00:00"/>
        <d v="2026-02-03T00:00:00"/>
        <d v="2026-02-02T00:00:00"/>
        <d v="2023-01-31T00:00:00"/>
        <d v="2024-06-24T00:00:00"/>
        <d v="2023-10-10T00:00:00"/>
        <d v="2026-02-18T00:00:00"/>
        <d v="2026-03-31T00:00:00"/>
        <d v="2025-11-10T00:00:00"/>
        <d v="2025-12-30T00:00:00"/>
        <d v="2025-11-06T00:00:00"/>
        <d v="2026-02-09T00:00:00"/>
        <d v="2026-02-11T00:00:00"/>
        <d v="2025-06-18T00:00:00"/>
        <d v="2026-02-17T00:00:00"/>
        <d v="2025-09-10T00:00:00"/>
        <d v="2026-03-02T00:00:00"/>
        <d v="2026-03-09T00:00:00"/>
        <d v="2026-02-24T00:00:00"/>
        <d v="2026-02-05T00:00:00"/>
        <d v="2019-05-20T00:00:00"/>
        <d v="2026-02-26T00:00:00"/>
        <d v="2025-12-02T00:00:00"/>
        <d v="2025-01-10T00:00:00"/>
        <d v="2026-02-25T00:00:00"/>
        <d v="2026-03-17T00:00:00"/>
        <d v="2023-09-11T00:00:00"/>
        <d v="2025-03-13T00:00:00"/>
        <d v="2026-02-23T00:00:00"/>
        <d v="2024-11-06T00:00:00"/>
        <d v="2026-03-12T00:00:00"/>
        <d v="2026-03-04T00:00:00"/>
        <d v="2026-03-05T00:00:00"/>
        <d v="2025-04-04T00:00:00"/>
        <d v="2026-03-03T00:00:00"/>
        <d v="2026-02-19T00:00:00"/>
        <d v="2026-03-10T00:00:00"/>
        <d v="2026-03-13T00:00:00"/>
        <d v="2025-05-14T00:00:00"/>
        <d v="2026-03-23T00:00:00"/>
        <d v="2026-03-16T00:00:00"/>
        <d v="2025-06-30T00:00:00"/>
        <d v="2026-02-12T00:00:00"/>
        <d v="2024-01-17T00:00:00"/>
        <d v="2025-06-11T00:00:00"/>
        <d v="2026-03-06T00:00:00"/>
        <d v="2026-03-11T00:00:00"/>
        <d v="2023-06-22T00:00:00"/>
        <m/>
      </sharedItems>
    </cacheField>
    <cacheField name="Clínica" numFmtId="0">
      <sharedItems containsBlank="1" count="44">
        <s v="Valencia- Parra"/>
        <s v="Cáceres"/>
        <s v="Valladolid"/>
        <s v="Getafe"/>
        <s v="La Oca"/>
        <s v="Sevilla Este"/>
        <s v="Juan Bravo"/>
        <s v="Zaragoza"/>
        <s v="Fuenlabrada"/>
        <s v="Montoto"/>
        <s v="Alicante"/>
        <s v="Murcia"/>
        <s v="Toledo"/>
        <s v="Orense"/>
        <s v="Lugo"/>
        <s v="Canillas"/>
        <s v="Leganés"/>
        <s v="Alcorcón"/>
        <s v="Logroño"/>
        <s v="Córcega"/>
        <s v="La Zenia"/>
        <s v="Moratalaz"/>
        <s v="Albacete"/>
        <s v="Badajoz"/>
        <s v="Almería"/>
        <s v="La Vaguada"/>
        <s v="El Albir (Benidorm)"/>
        <s v="San Javier"/>
        <s v="Hospitalet"/>
        <s v="Costa Rica"/>
        <s v="Jerez"/>
        <s v="Torrejón"/>
        <s v="Ponferrada"/>
        <s v="Vilanova"/>
        <s v="León"/>
        <s v="Talavera"/>
        <s v="Salamanca"/>
        <s v="Valencia- Cádiz"/>
        <s v="Móstoles"/>
        <s v="Zaragoza- Santander"/>
        <s v="Vitoria"/>
        <s v="Santiago"/>
        <s v="Moncloa"/>
        <m/>
      </sharedItems>
    </cacheField>
    <cacheField name="CÓDIGO DE CLIENTE" numFmtId="0">
      <sharedItems containsBlank="1" count="506">
        <s v="C202511592157270489"/>
        <s v="C202512110551976531"/>
        <s v="VLL-474"/>
        <s v="C202511141135536493"/>
        <s v="C202511171016459133"/>
        <s v="C202512911304031492"/>
        <s v="C202511201556282288"/>
        <s v="C202511271003718318"/>
        <s v="JBR-1800"/>
        <s v="C202511241158254265"/>
        <s v="C202510711221228"/>
        <s v="C202512151217324826"/>
        <s v="C2024112910652762"/>
        <s v="C202512158433763329"/>
        <s v="C202511594452200485"/>
        <s v="C202512594841242568"/>
        <s v="C202512179181772442"/>
        <s v="C202512121136583127"/>
        <s v="C202511241120341965"/>
        <s v="C202512111114179041"/>
        <s v="C202512231029369451"/>
        <s v="C202512911118838876"/>
        <s v="C202512181052238972"/>
        <s v="C202511241525371421"/>
        <s v="C202512171612178703"/>
        <s v="C202512318124615792"/>
        <s v="C202511201642289976"/>
        <s v="C202511271715586820"/>
        <s v="C202512191021357942"/>
        <s v="C202512161810167638"/>
        <s v="C202512112053437517"/>
        <s v="C202512183458643917"/>
        <s v="C202511251148389618"/>
        <s v="C202511201717376391"/>
        <s v="C202510110530975"/>
        <s v="C202511181813490985"/>
        <s v="C202512191110453673"/>
        <s v="C202561217436304"/>
        <s v="C202512151041598226"/>
        <s v="C202594115953981"/>
        <s v="C202512101420127206"/>
        <s v="MUR-1258"/>
        <s v="C202512161155416397"/>
        <s v="C202511171120372888"/>
        <s v="C202512161238444364"/>
        <s v="C202512129125747718"/>
        <s v="C202512511444323836"/>
        <s v="C202511271216474526"/>
        <s v="C202512418122957997"/>
        <s v="C202512910126436073"/>
        <s v="C202512121711459148"/>
        <s v="C202510311713966723"/>
        <s v="C202512311581610869"/>
        <s v="C202512595841880689"/>
        <s v="C202512169525324632"/>
        <s v="C202512268393761744"/>
        <s v="C202512392737668984"/>
        <s v="C20251210112255528"/>
        <s v="BJZE-2540"/>
        <s v="C202512161837483546"/>
        <s v="C202512151640123719"/>
        <s v="C202510131556115741"/>
        <s v="C202512111353317097"/>
        <s v="C202511201113975005"/>
        <s v="C202512159363301430"/>
        <s v="C202512221119249267"/>
        <s v="C202511271222372314"/>
        <s v="C202512183015487201"/>
        <s v="C202511251235490541"/>
        <s v="C202510201139577779"/>
        <s v="C202512231713186578"/>
        <s v="C202512121148341527"/>
        <s v="C202511261218486321"/>
        <s v="C202512171228417197"/>
        <s v="C202512410121341481"/>
        <s v="C202512121026113021"/>
        <s v="C202511269485787430"/>
        <s v="C202617113410376988"/>
        <s v="C202511121127351007"/>
        <s v="C202512261157304222"/>
        <s v="C202512121025258882"/>
        <s v="C202511181545320772"/>
        <s v="C20261292625074298"/>
        <s v="C202511279152147211"/>
        <s v="C202512158202709477"/>
        <s v="C202615112933324246"/>
        <s v="C20261785351356795"/>
        <s v="C202512191124560708"/>
        <s v="C202511141556043637"/>
        <s v="C202511315038757150"/>
        <s v="C202512512211094875"/>
        <s v="C202512111122089926"/>
        <s v="C202615105031143656"/>
        <s v="C202617145953074840"/>
        <s v="C202512261052210691"/>
        <s v="C202511411503852607"/>
        <s v="C202512101036657690"/>
        <s v="C202512101653481730"/>
        <s v="C2025410161942769"/>
        <s v="C202511251257139691"/>
        <s v="C202512171551118835"/>
        <s v="C202512151727496906"/>
        <s v="C202512151018164852"/>
        <s v="C202511191019522290"/>
        <s v="C202612113440763265"/>
        <s v="C202512221022206009"/>
        <s v="C202512910445271491"/>
        <s v="C202512161325384872"/>
        <s v="C202511289525253331"/>
        <s v="PON-886"/>
        <s v="C202611511544719"/>
        <s v="C2025916183327966"/>
        <s v="C2025915112151818"/>
        <s v="VLL-486"/>
        <s v="C202512109641544986"/>
        <s v="C202612113045186230"/>
        <s v="C202512298441794190"/>
        <s v="C202617112022918814"/>
        <s v="C202512101635128085"/>
        <s v="C202611210542515387"/>
        <s v="C202511179197088208"/>
        <s v="C202612010574003793"/>
        <s v="C202611210322038706"/>
        <s v="C202617104647911770"/>
        <s v="C202511111644133841"/>
        <s v="C202512261643590551"/>
        <s v="C202611216253638956"/>
        <s v="PON-952"/>
        <s v="C202512191195736605"/>
        <s v="C202410189243369"/>
        <s v="C202512912351409581"/>
        <s v="C202611413142736675"/>
        <s v="C202512411361286426"/>
        <s v="C202511583355498218"/>
        <s v="LOG-985"/>
        <s v="C20261814759602992"/>
        <s v="PON-168"/>
        <s v="PON-860"/>
        <s v="C202619111440167855"/>
        <s v="C202611217114067532"/>
        <s v="C202611511232378449"/>
        <s v="C202512261118280164"/>
        <s v="C202611510395603360"/>
        <s v="C20261818914658342"/>
        <s v="C202611317321362954"/>
        <s v="C202612382329680169"/>
        <s v="C202611495935635852"/>
        <s v="C202611594434141073"/>
        <s v="C2026116117442"/>
        <s v="C202512116211113918"/>
        <s v="C202612912171931207"/>
        <s v="C202512171723206010"/>
        <s v="C20261810363892932"/>
        <s v="C202512171774713468"/>
        <s v="C202512178505738777"/>
        <s v="C202510311214327514"/>
        <s v="C202612791443808408"/>
        <s v="C20261711017941690"/>
        <s v="C20261221054127267"/>
        <s v="C202612312344833330"/>
        <s v="C202612210645622394"/>
        <s v="C202512171752132637"/>
        <s v="C202552693132758"/>
        <s v="C202512311031454328"/>
        <s v="C202612216365615147"/>
        <s v="C202512291616562251"/>
        <s v="C202612618154308409"/>
        <s v="C20261710421168634"/>
        <s v="C202612317185580520"/>
        <s v="C202611516415571807"/>
        <s v="C202512249291842480"/>
        <s v="C20262485022588916"/>
        <s v="C202611417553390982"/>
        <s v="C202512109102071586"/>
        <s v="C202611211324742365"/>
        <s v="C202611316565194107"/>
        <s v="C20261131866025031"/>
        <s v="C202611495954073474"/>
        <s v="C202612015135615894"/>
        <s v="C202611411820969634"/>
        <s v="C202612312273722386"/>
        <s v="C202611410111286111"/>
        <s v="C202512119361746759"/>
        <s v="C20261218466529707"/>
        <s v="C202511281040236575"/>
        <s v="C202612610453306531"/>
        <s v="C202511241232424683"/>
        <s v="C20251216172816711"/>
        <s v="C202611611441608457"/>
        <s v="C20261141762719795"/>
        <s v="C202611316359736174"/>
        <s v="C202511251623151961"/>
        <s v="C20261279438014227"/>
        <s v="FNL-3357"/>
        <s v="C20261792847389075"/>
        <s v="C202512231741419868"/>
        <s v="C202612811201547926"/>
        <s v="C202611515322507357"/>
        <s v="C202611513242917232"/>
        <s v="C202612010113803169"/>
        <s v="C202612312201081452"/>
        <s v="C202611417462554800"/>
        <s v="C20262695038079529"/>
        <s v="C202612911221958756"/>
        <s v="C20261985450557701"/>
        <s v="C202512101755565346"/>
        <s v="C202611495230842894"/>
        <s v="C202512161237501240"/>
        <s v="C202611612232415334"/>
        <s v="C202611214373858803"/>
        <s v="C202613011203270810"/>
        <s v="C202611610349790438"/>
        <s v="C20261141044350634"/>
        <s v="C202612817343055326"/>
        <s v="C202512181349346605"/>
        <s v="C202611413754509934"/>
        <s v="ALB-517"/>
        <s v="C202613012740821037"/>
        <s v="C202512291515125355"/>
        <s v="TOL-579"/>
        <s v="C202512291733414502"/>
        <s v="C202611210232134460"/>
        <s v="C202512159325964174"/>
        <s v="C202612792335023888"/>
        <s v="C202612111181255673"/>
        <s v="C20262109335839729"/>
        <s v="C202611283024414467"/>
        <s v="C202512101113257912"/>
        <s v="C202619101846200563"/>
        <s v="C202512121543130386"/>
        <s v="C202611917564591568"/>
        <s v="C202612217385910574"/>
        <s v="C202612716305911990"/>
        <s v="C202612812373235514"/>
        <s v="C202612015347354164"/>
        <s v="C202612215343637378"/>
        <s v="C2026249239923062"/>
        <s v="C202612885730510878"/>
        <s v="C202621612475543331"/>
        <s v="C202510211025173009"/>
        <s v="C202511181118436565"/>
        <s v="C202612118321337950"/>
        <s v="C202612717262205434"/>
        <s v="PQL-1344"/>
        <s v="C202612216648697539"/>
        <s v="C202613082451127538"/>
        <s v="C202612917304004894"/>
        <s v="C202612613472119982"/>
        <s v="C202611510254323676"/>
        <s v="C202612617528309365"/>
        <s v="C202612694221558027"/>
        <s v="C202612215332992198"/>
        <s v="C202621391629035747"/>
        <s v="C202622085534244744"/>
        <s v="ALC-3827"/>
        <s v="C202512191013203444"/>
        <s v="C202615125517101826"/>
        <s v="C202612111484650878"/>
        <s v="C202612912325824973"/>
        <s v="C20262391419663611"/>
        <s v="C202622143610588879"/>
        <s v="C2026239206560406"/>
        <s v="C20261169422835459"/>
        <s v="C20262411338089577"/>
        <s v="C202612610443744715"/>
        <s v="C202512101139559327"/>
        <s v="C202612611462701422"/>
        <s v="C202612010227949902"/>
        <s v="LZN-450000442"/>
        <s v="C202612716322865727"/>
        <s v="MAL-867"/>
        <s v="C202612112119316206"/>
        <s v="C202612092032571289"/>
        <s v="C202612812503320736"/>
        <s v="C202612912135937734"/>
        <s v="C202612612247030125"/>
        <s v="MUR-1648"/>
        <s v="C202612312493748894"/>
        <s v="C202511271747274571"/>
        <s v="C202621816453016654"/>
        <s v="C202612094313079021"/>
        <s v="C202618174141196214"/>
        <s v="C202612010474530470"/>
        <s v="C202611910505946252"/>
        <s v="C202622115532416084"/>
        <s v="C2026221849556447"/>
        <s v="C202612611314553565"/>
        <s v="C20262293320029948"/>
        <s v="C202618105216372686"/>
        <s v="C202611916431516801"/>
        <s v="PON-1022"/>
        <s v="C20262311251509611"/>
        <s v="C202512308404010215"/>
        <s v="PON-1019"/>
        <s v="C202612912533959944"/>
        <s v="C202612713251872039"/>
        <s v="C202621016226994416"/>
        <s v="C202612682640857253"/>
        <s v="C202622164933142863"/>
        <s v="C20262910536173084"/>
        <s v="C202612710482835479"/>
        <s v="C202621017151617842"/>
        <s v="C20262316552057584"/>
        <s v="C202621110313220358"/>
        <s v="C202571175228315"/>
        <s v="C20262694053947352"/>
        <s v="C20261991035083818"/>
        <s v="C202621718165514877"/>
        <s v="C20261261114890876"/>
        <s v="C202612611454602570"/>
        <s v="C202612194212888765"/>
        <s v="C202621010559256864"/>
        <s v="C202612217611917668"/>
        <s v="C202622121114157053"/>
        <s v="C202611593737313090"/>
        <s v="C2025912124743909"/>
        <s v="C202611317543889810"/>
        <s v="C202612102311216182"/>
        <s v="C202632125733295959"/>
        <s v="C202639113431676201"/>
        <s v="C202611517324913825"/>
        <s v="C202622410524405030"/>
        <s v="C202621313435342663"/>
        <s v="C202612710171441691"/>
        <s v="C202625111314903698"/>
        <s v="C202626161811777206"/>
        <s v="C202632184716530211"/>
        <s v="C202621716540384597"/>
        <s v="C202624152054679765"/>
        <s v="C202612315311030212"/>
        <s v="C202629115751490744"/>
        <s v="C202612817105071565"/>
        <s v="C202621010453855460"/>
        <s v="C202512221454137699"/>
        <s v="ALC-1920"/>
        <s v="C202622611224941360"/>
        <s v="C202612812525992196"/>
        <s v="C202611512533720770"/>
        <s v="C20262316461416241"/>
        <s v="C202622164039316792"/>
        <s v="C202621016352397078"/>
        <s v="C20262161005416181"/>
        <s v="C202612394246602895"/>
        <s v="C202512292241175146"/>
        <s v="C202612711165063565"/>
        <s v="C202621015561480898"/>
        <s v="C202621011101747504"/>
        <s v="C202622011432399380"/>
        <s v="C20261995748626997"/>
        <s v="C202621017524846584"/>
        <s v="C202621111234619933"/>
        <s v="C202624102735834323"/>
        <s v="C2025128164031616"/>
        <s v="C202621011441871135"/>
        <s v="C20261308590460009"/>
        <s v="C202621016145893070"/>
        <s v="C202612993357512770"/>
        <s v="C202622510583014355"/>
        <s v="C20262916846685199"/>
        <s v="C202625115344189237"/>
        <s v="C20262281716801642"/>
        <s v="C202621812563506"/>
        <s v="C202621616274682965"/>
        <s v="C202612114575178474"/>
        <s v="C202621718623559730"/>
        <s v="C202621893610185506"/>
        <s v="C202621710526973724"/>
        <s v="C202621893749939587"/>
        <s v="C2026317132549990"/>
        <s v="C20262213438613479"/>
        <s v="C202622594953676825"/>
        <s v="C202622092248328206"/>
        <s v="C202612092442830153"/>
        <s v="VLL-61"/>
        <s v="C20262261201663579"/>
        <s v="C202613011434597541"/>
        <s v="C202622595331963569"/>
        <s v="C202611410423796600"/>
        <s v="C202621610292016314"/>
        <s v="C202621615224716087"/>
        <s v="C20262101044647935"/>
        <s v="C202512191234333691"/>
        <s v="C202511121113594439"/>
        <s v="C202621118050393364"/>
        <s v="C202624192054929412"/>
        <s v="C202612993442906741"/>
        <s v="C202611516129372"/>
        <s v="C202621716393454417"/>
        <s v="C202621117354786888"/>
        <s v="C202622382858055948"/>
        <s v="C202625181340624"/>
        <s v="VIT-737"/>
        <s v="C20262382716053575"/>
        <s v="C202411616195766"/>
        <s v="C202625124123012239"/>
        <s v="C202621317332705391"/>
        <s v="C202621711017242970"/>
        <s v="C20263910389459500"/>
        <s v="C202631217351288577"/>
        <s v="C202634164844964727"/>
        <s v="C20261591023671225"/>
        <s v="C202621612391370804"/>
        <s v="C202623123339316530"/>
        <s v="C202622418504788966"/>
        <s v="C202621011591130907"/>
        <s v="C202617182211952993"/>
        <s v="C202618111858546960"/>
        <s v="C202613010311166949"/>
        <s v="C202622383152566603"/>
        <s v="C202622417564128522"/>
        <s v="C202621016017740583"/>
        <s v="C202625152152410682"/>
        <s v="C202631215153684101"/>
        <s v="C202622011312932276"/>
        <s v="C202622412142688311"/>
        <s v="C202621794150905684"/>
        <s v="C202631792213452520"/>
        <s v="C202621094742102979"/>
        <s v="C202634162939043899"/>
        <s v="C20263511656958322"/>
        <s v="C2025411105516909"/>
        <s v="C202621115633636141"/>
        <s v="C202622016312913031"/>
        <s v="C202622511557773529"/>
        <s v="C20262616184191590"/>
        <s v="C202512171782383625"/>
        <s v="C202635164147856493"/>
        <s v="C20263510319025766"/>
        <s v="C202612111562968731"/>
        <s v="C20263391426799994"/>
        <s v="C202622311526574591"/>
        <s v="C202618113411407364"/>
        <s v="C202622411404039012"/>
        <s v="C202631217145355254"/>
        <s v="C202621885342242482"/>
        <s v="C20262269452713570"/>
        <s v="C202621012291805056"/>
        <s v="C202621912583028008"/>
        <s v="C202631014553821814"/>
        <s v="C20263985829847689"/>
        <s v="C20262209496240831"/>
        <s v="C202622510242287354"/>
        <s v="C202631310381793043"/>
        <s v="C202551611222412"/>
        <s v="C20263393127841723"/>
        <s v="C202621917412256555"/>
        <s v="C20263410838508549"/>
        <s v="C202632393140116305"/>
        <s v="C2026331215182231"/>
        <s v="C202622592914979233"/>
        <s v="C20263285511881800"/>
        <s v="C202612310284907484"/>
        <s v="C202618165718382638"/>
        <s v="C202639162646500411"/>
        <s v="C202622611395939003"/>
        <s v="C202621717342062690"/>
        <s v="C20263210129072148"/>
        <s v="C202631610495728359"/>
        <s v="C202571171834930"/>
        <s v="C202622510202918352"/>
        <s v="C202622617103051096"/>
        <s v="C202631312144876755"/>
        <s v="C202621612332097208"/>
        <s v="C202622610047193666"/>
        <s v="C202621692621997748"/>
        <s v="C202621216935172983"/>
        <s v="C202621816286922226"/>
        <s v="C202511121256727364"/>
        <s v="C202622415411463016"/>
        <s v="MUR-1812"/>
        <s v="C202622510205223542"/>
        <s v="C202621718264768381"/>
        <s v="C202623101617395124"/>
        <s v="C202621812193368454"/>
        <s v="C2026399930726458"/>
        <s v="C2026291005304025"/>
        <s v="C202625165834361107"/>
        <s v="C20251223192557630"/>
        <s v="C202612211164410529"/>
        <s v="C202621193144091134"/>
        <s v="PON-937"/>
        <s v="C202632103422747350"/>
        <s v="C202611915584584535"/>
        <s v="C202626122055211056"/>
        <s v="C202621611135700546"/>
        <s v="C202621611442285195"/>
        <s v="C202629111220648003"/>
        <s v="C20261791325929513"/>
        <s v="C20262238388559171"/>
        <s v="C202636185441845124"/>
        <s v="C202631114123342675"/>
        <s v="C202633153225937666"/>
        <s v="C202612616416828504"/>
        <s v="C202634105857508816"/>
        <s v="C202621616484989719"/>
        <s v="C202634122611315393"/>
        <s v="ALC-3494"/>
        <s v="C202633183320857874"/>
        <s v="C202622616103451654"/>
        <s v="C202622612343624663"/>
        <s v="C202621617193508468"/>
        <s v="C202617113119363215"/>
        <s v="C202635124418697047"/>
        <s v="C202631111595485356"/>
        <s v="C202631611591040356"/>
        <m/>
      </sharedItems>
    </cacheField>
    <cacheField name="CLIENTE" numFmtId="0">
      <sharedItems containsBlank="1" count="506">
        <s v="HEINZ WIEST"/>
        <s v="JUAN MANUEL CORCHERO HIGUERO"/>
        <s v="GAUDENCIO GARCIA REGUERO"/>
        <s v="ANTONIO CALVETE OLIVA"/>
        <s v="AMELIA DIAZ VAZQUEZ"/>
        <s v="REMEDIOS  VECINO PRIETO"/>
        <s v="CONCEPCION  ORTIZ SANTIAGO"/>
        <s v="MARIA ROSA ALONSO GONZÁLEZ"/>
        <s v="JOSE LUIS RODRIGUEZ SIERRA"/>
        <s v="MARIA DEL CARMEN GARCIA ROYO"/>
        <s v="MIGUEL ÁNGEL GASCA SANCHO"/>
        <s v="Mª CARMEN DELGADO ANTON"/>
        <s v="SONIA SUAREZ FERNANDEZ"/>
        <s v="TERESA VENTURA RODRIGUEZ"/>
        <s v="JUAN JESÚS MAYA TORREJÓN"/>
        <s v="MARIA ISABEL GUERRERO CASTRO"/>
        <s v="CARMEN DIOS CAAMAÑO"/>
        <s v="JESUS MORENO LOPEZ"/>
        <s v="MIGUEL FONTANILLA RABANEDA"/>
        <s v="PEDRO DOMINGO NAVARRO DIAZ"/>
        <s v="Dolores  Sanz Contreras"/>
        <s v="MARIA JOSEFA DE MELCHOR DIEZ"/>
        <s v="CONCEPCION FERNANDEZ LOPEZ"/>
        <s v="ESTHER CAMINO BLANCO"/>
        <s v="EMILIO CAMACHO BALLERO"/>
        <s v="ANDRES BARREIRO LOIS"/>
        <s v="MANUELA LLAMAS DE PAZ"/>
        <s v="ROSA DE LA FLOR GONZÁLEZ"/>
        <s v="LUCAS ROMERO MILLAN"/>
        <s v="PEDRO BARROSO PEREZ"/>
        <s v="MANUEL MANJON CABELLO"/>
        <s v="VANESA SACRISTAN  HERNÁNDEZ"/>
        <s v="VISITACION RODRIGUEZ PEÑARANDA"/>
        <s v="ESPERANZA ÁLVAREZ MUÑOZ"/>
        <s v="SEVERIANA MARIN GOMEZ"/>
        <s v="SUSANA PERUCHO  MARTINEZ"/>
        <s v="JOSE ANTONIO SANCHEZ TORRECILLA"/>
        <s v="CATALINA RAMOS MARIN"/>
        <s v="CLAUDIA MORENO CEBRIAN"/>
        <s v="FRANCISCA HERNANDEZ LORENTE"/>
        <s v="CHRISTOPHER HUGH IBBETSON"/>
        <s v="JULIA LOPEZ LOPEZ"/>
        <s v="MARIA DE LOS ANGELES CABAL NUÑEZ DE HOYO"/>
        <s v="PILAR TORREJÓN ALONSO"/>
        <s v="FERMINA ISABEL PIZARRO VALLE"/>
        <s v="TOMÁS JAVIER MARTÍNEZ MORENO"/>
        <s v="ANTONIA MUÑOZ DURAN"/>
        <s v="JAVIER ALGABA GIL"/>
        <s v="Maria Isabel  Espinosa Martinez"/>
        <s v="JERONIMO MACIA MAS"/>
        <s v="JOSE JUAN AROCA PEREZ"/>
        <s v="MANUEL LOZANO PADILLA"/>
        <s v="JOSÉ EDUARDO DE LA FUENTE FERNANDEZ"/>
        <s v="MARIA ROSA FELIU CASADO"/>
        <s v="MAURIZIO CENCIARELLI"/>
        <s v="DAVID SOCORRO FERRER"/>
        <s v="PABLO GOMEZ SEOANE"/>
        <s v="EMILIO RUIZ-ROSO CASTAÑO"/>
        <s v="MARIA INMACULADA BENAVENTE POZO"/>
        <s v="DIEGO LOPEZ CAYUELA"/>
        <s v="MARIA DOLORES PIMIENTA ROJAS"/>
        <s v="AMADOR  FRIAS GONZALEZ"/>
        <s v="CARMEN MANCHA MACIAS"/>
        <s v="KAREN GHANDALYAN"/>
        <s v="MARIA SAGRARIO  TARANCON DE DIEGO"/>
        <s v="ANTONIA LOPEZ NIETO"/>
        <s v="JOSE PLAZA BLAZQUEZ"/>
        <s v="BERNABE  SANCHIS SANZ"/>
        <s v="CRISTOBAL SOBREVELA LOPEZ"/>
        <s v="MARCOS JUSTO ROMAGUERA"/>
        <s v="DAMIAN DIAZ DOMINGUEZ"/>
        <s v="MARIA MERCEDES LÓPEZ CANTOS"/>
        <s v="Maria Pilar Sanchez Sanchez"/>
        <s v="EVA VARELA TOJO"/>
        <s v="JULIA MARIA ARQUEROS AMAT"/>
        <s v="FRANCISCA MATA PEREZ"/>
        <s v="Primitivo Garcia Ruiz"/>
        <s v="Ana Maria Cano Rafael"/>
        <s v="MARIA LUISA GRANADOS MAGUILLA"/>
        <s v="PEDRO ESPINOSA SAN NICOLAS"/>
        <s v="TERESA CASTILLO GARCIA"/>
        <s v="PAULA RUIZ ORTEGA"/>
        <s v="JOSEFA GOMEZ DE ENTERRIA SANCHEZ"/>
        <s v="MARGARITA CORTAZAR VIANCO"/>
        <s v="JOSE LUIS MARQUINEZ IBAÑEZ"/>
        <s v="GREGORIO ANDRES MURILLO BARTOLOME"/>
        <s v="FRANCISCO  DOMINGUEZ DONADO"/>
        <s v="RAMON  ANDREU ANDREU"/>
        <s v="MANEL ALCAIDE VILLANUEVA"/>
        <s v="NIEVES  ORDAS FIDALGO"/>
        <s v="MICHELE CUNY"/>
        <s v="MARCELINO QUINTAS SUAREZ"/>
        <s v="MARIA ANGELES HERNANDEZ VAZQUEZ"/>
        <s v="herminia CORDERO RODRIGUEZ"/>
        <s v="JOSE LUIS MESA RAMIREZ"/>
        <s v="Pilar Rojas Sánchez"/>
        <s v="EMILIA MARTINEZ MARTINEZ"/>
        <s v="ALMUDENA ARROGANTE AHIJADO"/>
        <s v="ISABEL YAÑEZ YAÑEZ"/>
        <s v="ROSA MARIA BELINCHON PARIS"/>
        <s v="MARIA GEMA MARTIN JIMENEZ"/>
        <s v="JESICA DE LOS SANTOS MARTINEZ"/>
        <s v="LAURA JARA GONZALEZ"/>
        <s v="FELICIDAD MORENA GONZALEZ"/>
        <s v="MAGDALENA MENDIETA ESTUDILLO"/>
        <s v="PATRICIA ESTEVEZ"/>
        <s v="VICENTE RODRIGUEZ BLANCO"/>
        <s v="FERNANDO MARTINEZ  LUQUE"/>
        <s v="ESTRELLA BURGOS IBAÑEZ"/>
        <s v="JOSE PUERTO MARQUES"/>
        <s v="EMILIA DEL CARMEN IGLESIAS FERNANDEZ"/>
        <s v="JULIAN MARTINEZ ALMENDARIZ"/>
        <s v="PILAR GIMENEZ HERNANDEZ"/>
        <s v="FELISA RODRIGUEZ DE CASTRO"/>
        <s v="Vicente Camacho Gonzalez"/>
        <s v="ELOY JAVIER GONZALEZ PALOMINO"/>
        <s v="PURIFICACION HOLGADO RODRIGUEZ"/>
        <s v="ADELAIDA ALVAREZ GONZALEZ"/>
        <s v="ELEUTERIO FERNANDEZ DE PRADO"/>
        <s v="JOSE LOPEZ PEREZ"/>
        <s v="SUCESO MORENO LOPEZ"/>
        <s v="ANTONIO MARTINEZ FERNANDEZ"/>
        <s v="VICTORINA PÉREZ GÓMEZ"/>
        <s v="TOMAS PICAZO TABERNA"/>
        <s v="CRESCENCIA MORETA MORALEDA"/>
        <s v="INES RAQUEL MADRID ROSA"/>
        <s v="MARIA ANGELES GONZALEZ SAMALEA"/>
        <s v="LEONOR PEREIRA LOPEZ"/>
        <s v="ISABEL MAISO SAENZ"/>
        <s v="Benito Martínez Rodríguez"/>
        <s v="MARIA LUISA MERCEDES HERNANDEZ NOTARIO"/>
        <s v="ANDRES MONTERO MALDONADO"/>
        <s v="JESUS ORTEGA SOLIS"/>
        <s v="MARÍA DOLORES GUERRA GONZALEZ"/>
        <s v="FELIX ÁNGEL GÓMEZ MORENO"/>
        <s v="LEONILDE DO ESPIRITU SANTO"/>
        <s v="CATALINA EXPOSITO ALVES"/>
        <s v="MARCELO PEREZ PANIZO"/>
        <s v="FRANCISCO CARBAJO FERNÁNDEZ"/>
        <s v="MARIA TERESA CASTRO RODRIGUEZ"/>
        <s v="OREN ALMENDRO NEVADO"/>
        <s v="MARÍA PILAR GONZÁLEZ LÓPEZ"/>
        <s v="CARMEN FERNANDEZ HEREDIA"/>
        <s v="ARACELI HEREDIA SANCHEZ"/>
        <s v="Ana Llamazares Gonzalez"/>
        <s v="PEDRO JOSE MEDINA GARCIA"/>
        <s v="MERCEDES GARCIA MARTINEZ"/>
        <s v="FRANCISCO LOPEZ ZAMBUDIO"/>
        <s v="DAVID GALVEZ BERMUDO"/>
        <s v="FERNANDO DIAZ ROLDAN"/>
        <s v="GARETH JOHN PETER SOCKETT"/>
        <s v="MARIA JOSEFA CARRO VALDES-HEVIA"/>
        <s v="PABLO GARCÍA PÉREZ"/>
        <s v="MONICA JIMENEZ ANGULO"/>
        <s v="CASIMIRA MORENO SANDEZ"/>
        <s v="MARGARITA CABALLERO CALVO"/>
        <s v="ANTONIO MOYA GARRIDO"/>
        <s v="CECILIA PINA DE YLLANA"/>
        <s v="ENRIQUE JIMENEZ TELO"/>
        <s v="BORJA GONZALEZ DE RABAGO"/>
        <s v="MARIA JESUS FERNANDEZ EGUÍLUZ"/>
        <s v="CAROLINA CORONADO ROPERO"/>
        <s v="JOSE ANTONIO QUINTANA LOPEZ"/>
        <s v="ANGEL MUÑOZ JIMENEZ"/>
        <s v="ANTONIO MARTINEZ BENAVIDES"/>
        <s v="DOLORES FERNANDEZ SUAREZ"/>
        <s v="MARIA DEL CARMEN MORENO DIAZ"/>
        <s v="BEATRIZ MORENO TALAVERA"/>
        <s v="MANUELA GOMEZ FERNANDEZ"/>
        <s v="MARIA DEL CARMEN MANZANO GOMEZ"/>
        <s v="ABDESSLEM TAHROUCHT EDDEAIF"/>
        <s v="MARIA SANTOS ZORZANO AROSTEGUI"/>
        <s v="RAFAEL DIEZ GARCÍA"/>
        <s v="CLAUDIA ATENEA PEREZ PACHECO"/>
        <s v="ANA MARIA  HERRERO MARTIN"/>
        <s v="FRANCISCO JAVIER  FREIJIDO BREA"/>
        <s v="ISABEL PALACIN LEAL"/>
        <s v="ALFONSO GONZALEZ-NICOLAS JUNCOS"/>
        <s v="CARMEN SANCHEZ HERNANDEZ"/>
        <s v="ALEXANDRA CALLEJA CHAMORRO"/>
        <s v="FRANCISCO VINUESA LIMA"/>
        <s v="SUSANA ASENSI GARCIA"/>
        <s v="VICTOR HUGO BOTHELO CAPUCHO SIMOES"/>
        <s v="MICHAEL BASSEM NWELATTI"/>
        <s v="ADELARDO  MORTE CARRILLO"/>
        <s v="FRANCISCA CORRALES MORENO"/>
        <s v="BASILIO MARTINEZ ANDRADE"/>
        <s v="CIRIACO  JABATO AMADO"/>
        <s v="JOSEFA PEREZ PEREZ"/>
        <s v="MARIA PILAR MORENO ORTEGA"/>
        <s v="ASUNCION SOLER ORTS"/>
        <s v="MARIFE SANCHEZ FOUZ"/>
        <s v="VICTORIA GOMEZ CORTES"/>
        <s v="JOSE ANTONIO MARTINEZ ANDRES"/>
        <s v="MARIA INMACULADA  GOMEZ MARTIN"/>
        <s v="JOSE MANUEL ROMERO ALVAREZ"/>
        <s v="HANS PETER DECKER"/>
        <s v="JESUSA BARREIRO MARTINEZ"/>
        <s v="MANUEL ZAMORA CASTRO"/>
        <s v="MARIA ENCARNACION GONZALEZ GALLEGO ESPINOSA"/>
        <s v="ANTONIO GABALDON CANTERO"/>
        <s v="MARGARITA GONZALEZ MARTIN"/>
        <s v="Erundina Herrero Calvo"/>
        <s v="SOFIA MARTINEZ PONCE"/>
        <s v="FRANCISCO JAVIER TRILLA MOCHALES"/>
        <s v="Maria del Carmen Delhom Costa"/>
        <s v="JUAN FIDEL SOTO MARTINEZ"/>
        <s v="MARIA CONCEPCION GONZALEZ SUAREZ"/>
        <s v="TOMAS  DIAZ DE LA CAMPA GARCIA"/>
        <s v="JOSE FRANCISCO GALVEZ INIESTA"/>
        <s v="MARINA VARGAS SERRANO"/>
        <s v="JUAN CARLOS  DEL VALLE AGUSTIN"/>
        <s v="TEOFILO CAPELLAN ALONSO"/>
        <s v="JAVIER GARCIA VILLALON"/>
        <s v="Angeles Llorens Fantova"/>
        <s v="MARIA ELISA CEBREIRO FERNANDEZ"/>
        <s v="CARLOS ENRIQUE POZUELO SOLER"/>
        <s v="Eduardo Segura Paez"/>
        <s v="HORST HERMANN KUDERA"/>
        <s v="ELENA CARRASCO RODRÍGUEZ"/>
        <s v="MARIA ANGELES NEGRO VALLECILLO"/>
        <s v="ANTONIO MARTINEZ NAVARRO"/>
        <s v="ENCARNA GOMEZ LORENTE"/>
        <s v="JOSE ANTONIO SERRA AGULLO"/>
        <s v="EUSEBIO DURAN POLAINO"/>
        <s v="JOSE ANTONIO SANCHEZ LORCA"/>
        <s v="MANUELA  PERTIERRA ALVAREZ"/>
        <s v="IVAN  DE LA OSSA RODRIGUEZ"/>
        <s v="JUAN ANTONIO PUIG TRULLEN"/>
        <s v="FRANCISCO JAVIER PÉREZ PÉREZ"/>
        <s v="MANUEL MARTINEZ MARTINEZ"/>
        <s v="MARIA ISABEL GONZALEZ GONZALEZ"/>
        <s v="MARIA DEL MAR MARIN BIELSA"/>
        <s v="CARMEN MAYOR PIQUERAS"/>
        <s v="RAFAEL PEREZ-OLLEROS RODRÍGUEZ"/>
        <s v="JOSE LUIS PEREZ MOLINA"/>
        <s v="CESAREO SANCHEZ MARTIN"/>
        <s v="HEINZ OTTO NEESER"/>
        <s v="ANA ASCENSION GARCIA RUIZ"/>
        <s v="ADOLFO JESUS CARVAJAL RAMOS"/>
        <s v="CARMEN GONZALEZ RODRIGUEZ-CARRETERO"/>
        <s v="Fernando  Gregorio-Lastra Moreda"/>
        <s v="MARIA DEL PRADO BARRANTES BORRELLA"/>
        <s v="JOSE LUIS ABARCA PONCE"/>
        <s v="MARIA DOLORES JIMENEZ DE LA POZA"/>
        <s v="PURIFICACIÓN GOMEZ GARCIA"/>
        <s v="MARIA DEL PILAR CHOZAS SERRANO"/>
        <s v="SONIA ARACIL BOIX"/>
        <s v="ANTONIO AGUILAR LAUSÍN"/>
        <s v="LUIS REDONDO NARGANES"/>
        <s v="MARTIN AGUADO BLAZQUEZ"/>
        <s v="FRANCISCA GARCIA LOPEZ"/>
        <s v="MARIA PILAR MARTINEZ GARCERAN"/>
        <s v="MARIA  MATEO HERNANDEZ"/>
        <s v="RICARDO MARTINEZ CABAÑAS ESPAÑOL"/>
        <s v="RUTH ESTEVE MARTINEZ"/>
        <s v="MARIA PILAR DIAZ LOPEZ"/>
        <s v="MARIA CARMEN PINA DE YLLANA"/>
        <s v="FRANCISCO LAZARO NICOLAS"/>
        <s v="MARIA TERESA ORBAÑANOS LARROUY"/>
        <s v="JOSE LUIS DOMINGUEZ ALONSO"/>
        <s v="JANET RICHARDSON"/>
        <s v="FRANCISCO JAVIER REGUEIRO CACHEIRO"/>
        <s v="JUANA COSMEN ALBELDA"/>
        <s v="ASCENSION GALERA CAMPOS"/>
        <s v="Maria Sagrario Velez Segura"/>
        <s v="MARIA GLORIA LANGARICA LOZANO"/>
        <s v="MARÍA CARMEN LUJAN MOLINA"/>
        <s v="MICHAEL ALBERT CUNNINGHAM"/>
        <s v="DAVID GARCIA DIAZ"/>
        <s v="BENITA GARCIA RUIZ"/>
        <s v="EVA  FONT ROMA"/>
        <s v="TOMASA LOPEZ BLANCO"/>
        <s v="PILAR  GARCIA VALDE-CASAS VALVERDE"/>
        <s v="MARIA LUISA GARCIA GARCIA"/>
        <s v="ANA MARIA  RAMIRO LANCHAS"/>
        <s v="CLAUDIA MARIA ARAUJO DE OLIVEIRA"/>
        <s v="PAQUI ALPRESA GAMEZ"/>
        <s v="MARIA ANGELES HERNANDO GONZALEZ"/>
        <s v="GERMANIA AMERICA VEGA QUINDE"/>
        <s v="JUAN GOMEZ CAPUZ"/>
        <s v="RAUL PASTOR MIRALLES"/>
        <s v="RAFAEL CORTINA UREÑA"/>
        <s v="Maria Milagros Sanchez Maestre"/>
        <s v="Carmen Flores Atanet"/>
        <s v="Carmen Quiros Cachero"/>
        <s v="MARIA GUADALUPE MORA PEÑA"/>
        <s v="FELIPE MENDOZA PIZARRO"/>
        <s v="FREDY HERNANDEZ PAQUIRACHI"/>
        <s v="JOSE MARIA DIEGO CASTELAO ALBELA"/>
        <s v="MARIA PILAR RODRIGUEZ FERNANDEZ"/>
        <s v="FELIX DE LA FUENTE SANTERO"/>
        <s v="ROSARIO DORADO JIMENEZ"/>
        <s v="RICARDO PARRADO SANTOS"/>
        <s v="CARMEN ROLO PEREZ"/>
        <s v="LUIS CARABOT ALVAREZ"/>
        <s v="CARLOS DURO MELERO"/>
        <s v="JOSE GALLEGO ALBURQUERQUE"/>
        <s v="CARMEN PEREZ ORTEGA"/>
        <s v="MANUEL MEILAN TEIJEIRO"/>
        <s v="MARIA JOSE  GALVIN CAÑERO"/>
        <s v="HILARIO VICENTE DAZA"/>
        <s v="BRAULIA GOMEZ BERMEJO"/>
        <s v="BERNARDINA  FERNANDEZ POSADA"/>
        <s v="CARMEN LORENTE MUÑOZ"/>
        <s v="JULIO HARO SANCHEZ"/>
        <s v="ROSA MARIA CABALLERO GARCIA"/>
        <s v="MARIA PAULA ROSALES SALAMANCA"/>
        <s v="JOSE ROYANO MORUJO"/>
        <s v="GLORIA PILAR GOMEZ MARIN"/>
        <s v="JESUS CARLOS BRIZ PINDAO"/>
        <s v="ARMANDO VIDAL VILLMARÍN"/>
        <s v="MARIA JESÚS MANJÓN CABIDA"/>
        <s v="JOSE MARIA RUIZ VEGA"/>
        <s v="JOSEFA PUERTAS FENOLLAR"/>
        <s v="MARIA CONCEPCION GARROTE HERNANDEZ"/>
        <s v="MARIA DEL CARMEN DE CASTRO MOLINERO"/>
        <s v="MARCELINA RODRIGUEZ CASARES"/>
        <s v="RUFINO JOSE EZQUERRO JULVE"/>
        <s v="JOSE MANUEL RODERA PEREZ [CARLA RODERA MARTINEZ]"/>
        <s v="MARIA  RUIZ JIMENEZ"/>
        <s v="JOAQUIN CARRASCO TAGLE"/>
        <s v="FRANCISCO JAVIER FERNANDEZ ORTEGA"/>
        <s v="MONTSERRAT  ORIOL GIMENEZ"/>
        <s v="JESUS CAÑAS MURILLO"/>
        <s v="NOEMI LEON BOLIVAR"/>
        <s v="Juan Simon Alija"/>
        <s v="Adrián Quesada Sáenz de Jubera"/>
        <s v="MARIA LUZ FERNANDEZ DE ORO"/>
        <s v="MARIA LUISA GARVÍN MARTÍN"/>
        <s v="MARIA ISABEL GARCIA TRABAS"/>
        <s v="MARIA LUISA ARROYO HERNÁNDEZ"/>
        <s v="ISABEL PULIDO COLLADO"/>
        <s v="JESUS SANCHEZ SANCHEZ"/>
        <s v="JOAN PEREZ LLEDO"/>
        <s v="ANTONIA GONZALEZ HERNANDEZ"/>
        <s v="BELEN VAZQUEZ FALCON"/>
        <s v="IVAN CVETANOV CVETANOV"/>
        <s v="JESUS  LOPEZ ROMOJARO"/>
        <s v="ROSARIO SUAREZ LLAMAS"/>
        <s v="EUSTAQUIO MARTIN RODRIGUEZ"/>
        <s v="JOSEFA SANCHEZ LILLO"/>
        <s v="MANUEL ARIAS FERNANDEZ"/>
        <s v="MARIA ISABEL BURGOS GUERRERO"/>
        <s v="RAMIRO SANDONIS ZORITA"/>
        <s v="JOSÉ GARCÍA AMORÓS"/>
        <s v="VICTORIANA GOMEZ DIAZ"/>
        <s v="FRANCISCA MENA BERMEJO"/>
        <s v="ALFREDO  ANGUERA TEJEDOR"/>
        <s v="AGUSTINA  ROAS PLATA"/>
        <s v="TREVOR HOWARD BYLES"/>
        <s v="JACINTO AJENJO BARBADO"/>
        <s v="YANA BRUNEEL"/>
        <s v="NIDIA ROSA MUÑOZ BEDOLLA"/>
        <s v="VICENTE REAL BENLLOCH"/>
        <s v="ALEXANDER RINCON OCAMPO"/>
        <s v="CARMEN FERNANDEZ GURRICHARRI"/>
        <s v="Elina Encarnación Carro Alvarez"/>
        <s v="MERCEDES ROS LOPEZ"/>
        <s v="Roberto Alonso Fernandez"/>
        <s v="BENITA CONDE SUAREZ"/>
        <s v="EVELIA ARIAS MORENO"/>
        <s v="SUSANA ROPERO SANCHEZ"/>
        <s v="MABEL HERRERA DONOSO"/>
        <s v="RAFAEL RODRIGO CÁMARA"/>
        <s v="CARMEN DIEZ MIGUEL"/>
        <s v="GERMAN  ENCINAS SANCHEZ"/>
        <s v="JOSE FARO BARREIROS"/>
        <s v="JORGE ENRIQUE ESPINOSA DIAZ"/>
        <s v="JUAN GARCIA SANTAMARIA"/>
        <s v="SOLEDAD ESPINOSA CASTELLANO"/>
        <s v="FRANCISCO POLICARPO VERAS"/>
        <s v="ALVARO LADRON DE GUEVARA CUESTA"/>
        <s v="TOMAS DEL CAMPO LOPEZ"/>
        <s v="CARMEN ESTEBAN MARTÍNEZ"/>
        <s v="PORFILIO ALBA PONCELAS"/>
        <s v="ALMUDENA HAURIE MENA"/>
        <s v="PILAR SANCHO HERNANDEZ"/>
        <s v="FRANCISCO MOTOS VELEZ"/>
        <s v="LUIS RAMON MATAIX"/>
        <s v="MANUEL COBOS SANCHEZ"/>
        <s v="ANA CRISTINA   MENDEZ ARIAS"/>
        <s v="SILVIA REVUELTO GONZALEZ"/>
        <s v="Mª MAR MENDOZA MARTINEZ"/>
        <s v="ROMUALDO GRAJERA GUERRA"/>
        <s v="VICENT  FERRANDIS MAS"/>
        <s v="REMEDIOS LUZ MENDOZA MARTINEZ"/>
        <s v="RAUL PENA ALPIN"/>
        <s v="MARIA JESUS ZAPATA QUIRANT"/>
        <s v="LUIS MANUEL SEGURA DE LA VALLINA"/>
        <s v="Benito Angel  Valero Conejo"/>
        <s v="CARMEN CAÑO PADILLA"/>
        <s v="AZUCENA BUJEDO MARTINEZ"/>
        <s v="MANUELA ROCES GARCIA"/>
        <s v="JAVIER CASADO LEON"/>
        <s v="JOSEFA GARCIA MARTINEZ"/>
        <s v="CARLOS CORNA BUSTOS"/>
        <s v="PRUDENCIO ACEVEDO MARTINEZ"/>
        <s v="CELESTINA FERNANDEZ FERNANDEZ"/>
        <s v="BELEN DE LA CUADRA GUERRERO"/>
        <s v="MATILDE MARTINEZ LOPEZ"/>
        <s v="MARIA DEL PILAR ALEMAN VERA"/>
        <s v="IDALINA MUNNO"/>
        <s v="JUAN JOSE RICO BORREGUERO"/>
        <s v="VICTOR PUENTES FENOLLOSA"/>
        <s v="LUCIA RUIZ HORCHE"/>
        <s v="ANDREA ROSA BOZADA"/>
        <s v="ADRIANA  SAILEMA SAILEMA"/>
        <s v="MARIANO GARCIA MAESO"/>
        <s v="MERCEDES    DE JUAN GINES"/>
        <s v="SOCORRO JIMENEZ LLORENTE"/>
        <s v="ENCARNACION CAMPILLO SOTO"/>
        <s v="VICTORIA CAMPOS SANTOS"/>
        <s v="VICTORIA LOPEZ DE LA FRANCA GONZALEZ"/>
        <s v="JOSE LUIS ESCOBAR ARROYO"/>
        <s v="IVAN MARTINEZ MILLAN"/>
        <s v="JOAQUIN MUÑOZ COUTO"/>
        <s v="Juan Andrés Armesto Fernandez"/>
        <s v="TERESA GONZALEZ PRECIADO"/>
        <s v="ENCARNACIÓN GONZALEZ HERNANDEZ"/>
        <s v="JULIA ROBLEDO MARTIN"/>
        <s v="CLARA CORTES LAVIÓS"/>
        <s v="FERNANDO  CAMUÑAS LAZARO"/>
        <s v="CARMEN  CUESTA GARCIA"/>
        <s v="ANTONIO MUÑOZ VIVANCOS"/>
        <s v="MARIA ANGELES ROMEO MALO"/>
        <s v="JOAQUIN MARTIN ALMECIJA"/>
        <s v="MARI CARMEN GARCIA GERPE"/>
        <s v="ANTONIO ANTON PEINADO"/>
        <s v="MARIA ELENA RODRIGUEZ ALULEMA"/>
        <s v="MAGDALENA  LOPEZ MORENA"/>
        <s v="FRANCISCO JESÚS DE FRÍAS LUJÁN"/>
        <s v="JESUS ANGEL ORTIZ GONZALEZ"/>
        <s v="ANTONIO PULDAIN BENEYTEZ"/>
        <s v="JUANA CHICA PECHARROMAN"/>
        <s v="ASUNCION PASTOR TORREGROSA"/>
        <s v="ANGEL VICTORIANO GOMEZ"/>
        <s v="JERONIMA MARISCAL RAMIREZ"/>
        <s v="MARIA CONCEPCION  CASARIEGO CARBALLÉS"/>
        <s v="JOSE CAMIÑA FERNANDEZ"/>
        <s v="FRANCISCO MARTINEZ MADRID"/>
        <s v="MARGARITA SANCHEZ DE SANDE"/>
        <s v="JUAN  RUIZ PEREZ"/>
        <s v="María Josefa  Calvo Aguado"/>
        <s v="ISABEL  HERNANDEZ PEREZ"/>
        <s v="JOSE MATIAS ALONSO CASTILLO"/>
        <s v="MARÍA LÓPEZ SACRISTÁN"/>
        <s v="AVELINO GONZÁLEZ MARTÍNEZ"/>
        <s v="ANA MARÍA  MUNARRIZ PÉREZ"/>
        <s v="RUTH VIVAS FERMIN"/>
        <s v="MIGUEL ANGEL  CASTILLEJO LOPEZ"/>
        <s v="RAUL SORIA PINEL"/>
        <s v="ENCARNA  DIAZ HORTELANO"/>
        <s v="MAONNG LI"/>
        <s v="JUAN  DUARTE CARAVACA"/>
        <s v="MARIA ROSA SÁNCHEZ-MONGE LAGUNA DE RINS"/>
        <s v="LUIS IBAÑEZ GALLEGO"/>
        <s v="INMACULADA RIVES PIC"/>
        <s v="SOLANGE LAMIN"/>
        <s v="LIBOR  SECKA"/>
        <s v="JOSE ALMAGRO MARMOL"/>
        <s v="MARIA CARMONA AVILES"/>
        <s v="ELENA  GONZALEZ GONZALEZ"/>
        <s v="JOSEFA ISABEL MARIN GARCIA"/>
        <s v="TERESA LERIA RUBIO"/>
        <s v="Natividad Martinez Torre"/>
        <s v="JOELLE MANTELET"/>
        <s v="PEDRO  SAEZ GARCIA"/>
        <s v="PALMIRA MUELA AZORIN"/>
        <s v="MARIA PILAR FERNANDEZ-PACHECO PEREZ"/>
        <s v="ESPERANZA IZQUIERDO LUIS"/>
        <s v="TERESA CHAMORRO LÓPEZ"/>
        <s v="MANUEL FERNANDEZ GALLEGO"/>
        <s v="Carmen Guinarte Perez"/>
        <s v="FRANCISCO SERRANO RODRIGUEZ DE GUZMAN"/>
        <s v="MARIA LOURDES  FRIAS VITORES"/>
        <s v="MARIA DEL CARMEN GARCIA RUA"/>
        <s v="JULIA CASTELLANOS ZALDIBAR"/>
        <s v="MARGARITA MARIN YECORA"/>
        <s v="ANTONIO HUALDE MIGUEL"/>
        <s v="ANGUSTIAS RODRIGUEZ DIEZ"/>
        <s v="DEMETRIO GOMEZ DE LOS RIOS"/>
        <s v="HARRISON AVENDAÑO CORREAL"/>
        <s v="MARIA ISABEL GONZALEZ PEREZ"/>
        <s v="JUANA SANCHEZ BARRERO"/>
        <s v="JOSEFA GARCIA TORRES"/>
        <s v="JOAQUIN MAURO FERNANDES"/>
        <s v="NEELAM MAHESH SAMTANI"/>
        <s v="JOSE PORTILLO CAMPOS"/>
        <s v="FRANCISCA CANTERO GONZALEZ"/>
        <s v="MARIA DEL PILAR FERNANDEZ MARTINEZ"/>
        <s v="FILOMENA MARIA TRINIDAD GARCIA GARCIA"/>
        <s v="MARIA ANGELES MONTESINOS SANTOS"/>
        <s v="ALEX BOIX DEL OLMO"/>
        <s v="SALVADOR DONIS CORTINA"/>
        <s v="MARIA PEREZ PELLICER"/>
        <s v="RICHARD JOHNSTON"/>
        <s v="TERESA FRUTOS PINTADO"/>
        <s v="JONH ALFRED SABATINI"/>
        <s v="FLORA FERNANDEZ RIVAS"/>
        <s v="JUAN JOSE MARTIN GONZALO"/>
        <s v="MARIA ANTONIA VILLEGAS MARQUEZ"/>
        <s v="ROSA FERNANDEZ MORGADE"/>
        <s v="SERAFIN ARANDA GAMEZ"/>
        <s v="MARIA PILAR BAUTISTA ESQUIVEL"/>
        <m/>
      </sharedItems>
    </cacheField>
    <cacheField name="NUM AUDIFONOS" numFmtId="3">
      <sharedItems containsString="0" containsBlank="1" containsNumber="1" containsInteger="1" count="4">
        <n v="2"/>
        <n v="1"/>
        <n v="-1"/>
        <m/>
      </sharedItems>
    </cacheField>
    <cacheField name="TOTAL AUDIFONOS SIN IVA" numFmtId="4">
      <sharedItems containsString="0" containsBlank="1" containsNumber="1" count="126">
        <n v="4536.3599999999997"/>
        <n v="3636.36"/>
        <n v="3522.73"/>
        <n v="2180.91"/>
        <n v="2718.18"/>
        <n v="4120"/>
        <n v="4136.3599999999997"/>
        <n v="1543.52"/>
        <n v="3631.82"/>
        <n v="3424.55"/>
        <n v="2072.73"/>
        <n v="2481.8200000000002"/>
        <n v="2745"/>
        <n v="2580.77"/>
        <n v="2581.8200000000002"/>
        <n v="1550.23"/>
        <n v="3929.55"/>
        <n v="3929.09"/>
        <n v="3583.64"/>
        <n v="1631.73"/>
        <n v="3604.55"/>
        <n v="2718.19"/>
        <n v="1631.82"/>
        <n v="4500"/>
        <n v="2268.14"/>
        <n v="3377.6"/>
        <n v="4990.91"/>
        <n v="3618.27"/>
        <n v="3630.77"/>
        <n v="3631.73"/>
        <n v="2445.4499999999998"/>
        <n v="3163.64"/>
        <n v="2545.4499999999998"/>
        <n v="3263.64"/>
        <n v="4227.2700000000004"/>
        <n v="2357.73"/>
        <n v="2372.73"/>
        <n v="2162.73"/>
        <n v="3365.38"/>
        <n v="3631.83"/>
        <n v="2722.73"/>
        <n v="2582.27"/>
        <n v="3631.81"/>
        <n v="4536.37"/>
        <n v="3424.32"/>
        <n v="2071.8200000000002"/>
        <n v="3730"/>
        <n v="3313.64"/>
        <n v="3450.23"/>
        <n v="3545.45"/>
        <n v="1839.09"/>
        <n v="2294.3200000000002"/>
        <n v="3450"/>
        <n v="2234.85"/>
        <n v="1590.91"/>
        <n v="2454.5500000000002"/>
        <n v="709.09"/>
        <n v="3930"/>
        <n v="2045.45"/>
        <n v="3888.64"/>
        <n v="3722.73"/>
        <n v="2180.77"/>
        <n v="3940.91"/>
        <n v="3554.55"/>
        <n v="3635.45"/>
        <n v="3643.64"/>
        <n v="2101.8200000000002"/>
        <n v="4090.91"/>
        <n v="4309.55"/>
        <n v="2307.27"/>
        <n v="4011.82"/>
        <n v="1446.59"/>
        <n v="4431.82"/>
        <n v="4400"/>
        <n v="3977.27"/>
        <n v="3454.55"/>
        <n v="2936.78"/>
        <n v="2071.86"/>
        <n v="4134.62"/>
        <n v="2918.18"/>
        <n v="2709.09"/>
        <n v="2263.64"/>
        <n v="3632"/>
        <n v="3668.18"/>
        <n v="3909.09"/>
        <n v="2174.5500000000002"/>
        <n v="4818.18"/>
        <n v="2974.55"/>
        <n v="4000"/>
        <n v="1240.9100000000001"/>
        <n v="1909.09"/>
        <n v="1634.62"/>
        <n v="3409.09"/>
        <n v="3181.82"/>
        <n v="4112.5"/>
        <n v="3627.27"/>
        <n v="3345.45"/>
        <n v="2909.09"/>
        <n v="5363.64"/>
        <n v="3846.15"/>
        <n v="1636.36"/>
        <n v="2717.31"/>
        <n v="2528.1799999999998"/>
        <n v="2090.91"/>
        <n v="1454.55"/>
        <n v="3450.24"/>
        <n v="4181.82"/>
        <n v="2446.91"/>
        <n v="1784.55"/>
        <n v="3450.22"/>
        <n v="3678.18"/>
        <n v="3945.95"/>
        <n v="2181.73"/>
        <n v="1545.45"/>
        <n v="2772.27"/>
        <n v="3136.36"/>
        <n v="2080"/>
        <n v="4154.22"/>
        <n v="3743.18"/>
        <n v="-1631.82"/>
        <n v="2818.18"/>
        <n v="2482.69"/>
        <n v="1772.73"/>
        <n v="-2180.91"/>
        <n v="3087.04"/>
        <m/>
      </sharedItems>
    </cacheField>
    <cacheField name="CANAL" numFmtId="0">
      <sharedItems containsBlank="1" count="5">
        <s v="03 ORL"/>
        <s v="04 TIENDA"/>
        <s v="01 MARKETING ON LINE"/>
        <s v="02 MARKETING OFF LINE"/>
        <m/>
      </sharedItems>
    </cacheField>
    <cacheField name="SUBCANAL" numFmtId="0">
      <sharedItems containsBlank="1" count="11">
        <s v="06 ORL"/>
        <s v="10 REVISIÓN POST-VENTA"/>
        <s v="04 AUDIFONO,ES"/>
        <s v="22 AUDIOMETRIA CLINICA"/>
        <s v="02 GOOGLE"/>
        <s v="19 CLIENTE RECOMPRA ESPONTANEA"/>
        <s v="01 WEB AUDICOST"/>
        <s v="07 BOCA/BOCA"/>
        <s v="36 CENTRO AUDÍFONOS"/>
        <s v="18 ESCAPARATE"/>
        <m/>
      </sharedItems>
    </cacheField>
    <cacheField name="NOMBRE ORL/CAMPAÑA" numFmtId="0">
      <sharedItems containsBlank="1" count="231">
        <s v="Dra, Fe Rubio Escolano"/>
        <s v="Dr, Andrés Paulino Herrera"/>
        <s v="Dr, Carlos Miguel Salvador Martínez"/>
        <s v="Dra, Marta Colmenero Ruiz"/>
        <s v="Dr, Andreas Schilling Borghesi"/>
        <s v="Dr, José Joaquín Gutiérrez Barquín"/>
        <s v="No recuerda ORL"/>
        <s v="Dr, Joaquín Alacio Casero"/>
        <s v="Dr, Jaime Leache Pueyo"/>
        <s v="Dra, Estefania Miranda Sánchez"/>
        <s v="Dra, María Luisa Calero Ramos"/>
        <s v="Dra, Cristina Muñoz Pinto"/>
        <s v="Dra, Paula Morales Chacchi"/>
        <s v="Dra, Marta García Jiménez"/>
        <s v="Dra, Concepcion Rodríguez Izquierdo"/>
        <s v="Dra, Alejandra Jara Maquilón"/>
        <s v="Dr, Francisco Javier Aguilar Vera"/>
        <s v="Dra, Diana Hernán Pérez"/>
        <s v="Dra, Alejandra Alvarado Namen"/>
        <s v="Dr, Carlos Barajas del Rosal"/>
        <s v="Dra, Ithzel Maria Villarreal Patiño"/>
        <s v="Dr, Pedro Juiz López"/>
        <s v="Dr, Félix Rodríguez Paz"/>
        <s v="Dr, José Gustavo Barroso Braojos"/>
        <s v="Dr, Javier García Domínguez"/>
        <s v="Dr, Raed Maqued El Maqued"/>
        <s v="Dra, Patricia García Vicente"/>
        <s v="Dra, Laura del Toro Gil"/>
        <s v="Dr, Jesús Miguel Iniesta Turpín"/>
        <s v="Dra, Cristina Ibañez Muñoz"/>
        <s v="Dra, María del Mar Martínez Ruiz-coello"/>
        <s v="Dr, Javier García Gómez"/>
        <s v="Dr, Jesus-Maria Grasa Pérez"/>
        <s v="Dra, Oreana Carolina Camacaro González"/>
        <s v="Dra, María Agustina Sevilla García"/>
        <s v="Dra, María Garrote Garrote"/>
        <s v="Dra, Daniela Carolina Laguado Bulgheroni"/>
        <s v="Dr, Pedro Gil Paraíso"/>
        <s v="Dr, Ignacio Aristegui Torrano"/>
        <s v="Dra, Estefanía Berrocal Postigo"/>
        <s v="Dr, Guillermo Severá Ferrándiz"/>
        <s v="Dr, Juan Javier Álvarez López"/>
        <s v="Dr, Carlos Velásquez Fermín"/>
        <s v="Dra, Ana Quintana Sanjuan"/>
        <s v="Dra, Esther Macon Liquete"/>
        <s v="Dra, Elisheba Haro Hernández"/>
        <s v="Dr, Álvaro Sánchez Álvarez"/>
        <s v="Dr, Francisco López Navas"/>
        <s v="Dra, Victoria García Peces"/>
        <s v="Dra, Luisa Payá Pérez"/>
        <s v="Dr, Manuel García López"/>
        <s v="Dra, María Emilia García Ruiz"/>
        <s v="Dr, Vladimir Rubio Segarra"/>
        <s v="Dr, Carlos de Paula Vernetta"/>
        <s v="Dr, Rafael Fernández Liesa"/>
        <s v="Dr, Andrés Barrios Recio"/>
        <s v="Dra, Beatriz Rodríguez González Herrero"/>
        <s v="Dr, Lino Enguidanos Hernandorena"/>
        <s v="Dra, Nesly Illely González Sánchez"/>
        <s v="Dr, Jesús Crovato Rojas"/>
        <s v="Dra, Karen Rojas Crespo"/>
        <s v="Dra, Anastasiya Audiyuk Martynyuk"/>
        <s v="Dr, Albert Pla Esperanzi"/>
        <s v="Dr, Raimundo Andres Navarro Mediano"/>
        <s v="Dr, Fernando Salazar Barcelona"/>
        <s v="Dr, Garikoitz Calzada Uriondo"/>
        <s v="Dra, Isabel Polo Tomás"/>
        <s v="Dr, Enrique Romero Van Abeleen"/>
        <s v="Dra, Laura Ruano De Pablo"/>
        <s v="Dr, Antonio Bueno Ríos"/>
        <s v="Dra, María Rey Marcos"/>
        <s v="Dra, Maria Del Carmen Salom Coveñas"/>
        <s v="Dra, Mónica Rueda Vega"/>
        <s v="Dr, Antonio José Fernández Pérez"/>
        <s v="Dra, Desirée Méndez Brenderbache"/>
        <s v="Dr. Jonathan Esteban Sánchez"/>
        <s v="Dra, Nuria Arnaiz Canora"/>
        <s v="Dra, Marta Abad Pascual"/>
        <s v="Dr, Adolfo Toledano Muñoz"/>
        <s v="Dr, Daniel Briones Crespo"/>
        <s v="Dr, Antonio Rodríguez Rivero"/>
        <s v="Dra, Bárbara Serrano Calleja"/>
        <s v="Dr, Manuel Tucciarone"/>
        <s v="Dra, María Sol Marcos Salazar"/>
        <s v="Dr, Enrique López Meseguer"/>
        <s v="Dr, Jesús Ramos Fernández"/>
        <s v="Dr, Juan Pablo Pelegrín Hernández"/>
        <s v="Dra, Blanca Mateos Serrano"/>
        <s v="Dra, Xenia Mota Rojas"/>
        <s v="Dr, Pablo Luis Vega Gajón"/>
        <s v="Dra, Marta Álvarez Cendrero"/>
        <s v="Dr, Tomas Mogollon Cano Cortes"/>
        <s v="Dra, María Eva Ruiz de Gauna Martín"/>
        <s v="Dra, Rebeca Barrios Gonzalo"/>
        <s v="Dra, Diana Lysbeth Lourido Piedrahita"/>
        <s v="Dra, Mónica Granda Rosales"/>
        <s v="Dr, Jonathan Esteban Sánchez"/>
        <s v="Dr, Javier Padilla Cabello"/>
        <s v="Dr, Rafael Pérez González"/>
        <s v="Dr, Dinis Antunes Silva"/>
        <s v="Dra, Laura Guillamon Vivancos"/>
        <s v="Dra, María del Mar Medina González"/>
        <s v="Dr, Carlos Félix Asensio Nieto"/>
        <s v="Dr, Isidoro Rubio Correa"/>
        <s v="Dr, Alejandro Harguindey Antoli-Candela"/>
        <s v="Dra, Aida Aviñoa Arias"/>
        <s v="Dr, Pedro Seguí Moya"/>
        <s v="Dr, Julio López Moya"/>
        <s v="Dra, Ainhoa Moreno Bravo"/>
        <s v="Dra, Patricia Ezcurra Hernández"/>
        <s v="Dr, Gustavo Benavente Bermudo"/>
        <s v="Dra, Andrea Cifuentes Navas"/>
        <s v="Dra, María Teresa Almela Rojo"/>
        <s v="Dr, Fabio Fernández Mateos"/>
        <s v="Dr, Antonio Medinilla Vallejo"/>
        <s v="Dra, Alba Molina Moreno"/>
        <s v="Dra, Paula Hernández Ruíz"/>
        <s v="Dr, José María Palacios García"/>
        <s v="Dra, Laura Isabel del Amo Martínez"/>
        <s v="Dr, Sonia García Díaz"/>
        <s v="Dra, Noelia García García"/>
        <s v="Dr, Luis Jiménez Ferreres"/>
        <s v="Dr, Alberto Raposo Jiménez"/>
        <s v="Dr, Alfonso María Pérez Sánchez"/>
        <s v="Dr, Pedro Masegosa Zapata"/>
        <s v="Dr, Carlos Durán Díez"/>
        <s v="Dra, Cristina Peña Cifuentes"/>
        <s v="Dr, Abel Guzmán Calvete"/>
        <s v="Dra, Ana Ruiz Fornells Noreña"/>
        <s v="Dra, Elvylins Vargas Yglesia"/>
        <s v="Dra, Karla Natali Montaño Rueda"/>
        <s v="Dr, Luis Miguel Menéndez Colino"/>
        <s v="Dra, Ana Fernández Rodríguez"/>
        <s v="Dra, Ainhoa García-Lliberos de Miguel"/>
        <s v="Dr, Francisco Pastor Beviá"/>
        <s v="Dr, José María Laborda Margolles"/>
        <s v="Dra, Helena Moreno Pardo"/>
        <s v="Dra, Marina Madrigal Revuelta"/>
        <s v="Dr, Alfonso Plaza López"/>
        <s v="Dra, Esther García González"/>
        <s v="Dra, María Teresa Herrera Mera"/>
        <s v="Dr, José García Morillas"/>
        <s v="Dra, María José Gámiz Maroto"/>
        <s v="Dr, David Castro Gutiérrez de Agüero"/>
        <s v="Dr, Rafael Sanz Trenado"/>
        <s v="Dr, Héctor Vallés Varela"/>
        <s v="Dra, Ana Giribet Fernández-Pacheco"/>
        <s v="Dr, Ángel Onofre Pérez Coll"/>
        <s v="Dr, Esteban Scola Pliego"/>
        <s v="Dra, María López Robles"/>
        <s v="Dr, Enrique Viviente Rodríguez"/>
        <s v="Dra, Paloma Pinacho Martínez"/>
        <s v="Dr, Javier García-Dueñas González"/>
        <s v="Dr, Máximo Rafael García Rodríguez"/>
        <s v="Dr, Alfonso Capitan Guarnizo"/>
        <s v="Dra, María Montserrat Asensi Díaz"/>
        <s v="Dr, Enrique García Zamora"/>
        <s v="Dr, Vicente Mira Escartí"/>
        <s v="Dr, Juan Pedro Benaixa"/>
        <s v="Dr. María Del Pilar Gómez Tapiador"/>
        <s v="Dr, Manuel Martí Peña"/>
        <s v="Dr, Francisco Ropero Romero"/>
        <s v="Dr, Julio César Ariza Lizcano"/>
        <s v="Dr, Luis Miguel Rincón Esteban"/>
        <s v="Dra, María Cecilia Scola Torres"/>
        <s v="Dr, Martín Eduardo Marcano Acuña"/>
        <s v="Dr, César Charles Martínez"/>
        <s v="Dra, Mar Lasso de la Vega Zamora"/>
        <s v="Dr, Mercedes Ceballos Cauto"/>
        <s v="Dra, Raquel Solís Vázquez"/>
        <s v="Dr, Guillermo Plaza Mayor"/>
        <s v="Dr, Guillermo San Juan de la Moreta"/>
        <s v="Dr, Tomas Jesús Hunrubia Parra"/>
        <s v="Dra, María José Lesmas Navarro"/>
        <s v="Dr, Richard Chávez León"/>
        <s v="Dra. Isabel Bustillo García"/>
        <s v="Dra. Falening Melissa de la Rosa Astacio"/>
        <s v="Dra, Pilar Beladiez Romero"/>
        <s v="Dra, Inmaculada Sancho Martín"/>
        <s v="Dra, Elisabeth Amarillo Espitia"/>
        <s v="Dra, Paloma Martín-Aragón Martín"/>
        <s v="Dr. Isidoro Rubio Correa"/>
        <s v="Dra, Isabel Menaches Guardiola"/>
        <s v="Dr, Víctor José González Arias"/>
        <s v="Dr, Antonio Galindo Fernández"/>
        <s v="Dra, Angela Gastañaga Echevarría"/>
        <s v="Dr, Iván Muerte Moreno"/>
        <s v="Dr, Guillermo Sierra Galera"/>
        <s v="Dra, Cristina García García"/>
        <s v="Dra, Patricia Viveros Diez"/>
        <s v="Dra, Nuria Salas Barrio"/>
        <s v="Dr, Oscar Alemán López"/>
        <s v="Dr, Ramón Martínez Carranza"/>
        <s v="Dra, Esther De La O Corrochano"/>
        <s v="Dr, Miguel Lucas Herrera"/>
        <s v="Dr, Eduardo Martín Sanz"/>
        <s v="Dr, José María Anda Fernández"/>
        <s v="Dr, Luis Martínez Bernabeu"/>
        <s v="Dr, Ángel Muñoz Herrera"/>
        <s v="Dra, Laura Yeguas Ramírez"/>
        <s v="Dr, Miguel García Teno"/>
        <s v="Dr, Jean Franco Intraprendente Martini"/>
        <s v="Dr, José Manuel Tamarit Conejeros"/>
        <s v="Dra, Catalina Riera Sala"/>
        <s v="Dr, Juanjo Góngora Lencina"/>
        <s v="Dr, Álvaro Sánchez de Arriba"/>
        <s v="Dra, María Del Rocío Lobato Pérez"/>
        <s v="Dr, Daniel Alberto Finol Toro"/>
        <s v="Dr, Gabriel Martínez Capoccini"/>
        <s v="Dra, Cristina Herrero Fernández"/>
        <s v="Dr, Jesús Atalaya Díaz"/>
        <s v="Dra, Sara Zaldivar Saiz Maza"/>
        <s v="Dra, Maria Rosario Ferrandiz García"/>
        <s v="Dr, Miguel Ángel Fernández Andrade"/>
        <s v="Dr, Raimon García Chillerón"/>
        <s v="Dra, Salwa Laraqui Hossini"/>
        <s v="Dr, José Manuel García Solans-Esteras"/>
        <s v="Dr. Luis Jiménez Ferreres"/>
        <s v="Dra, Ana Giribet Fernandez-Pacheco"/>
        <s v="Dra, Elena Martín Bejerano"/>
        <s v="Dr, Jose Maria Hernandez Hernandez"/>
        <s v="Dra, Isabel Bustillo García"/>
        <s v="Marta Valenzuela Gras"/>
        <s v="Dra, Carmen Comeche Cerverón"/>
        <s v="Dr, Manuel Cañete Domínguez"/>
        <s v="Dra, Celia López Molla"/>
        <s v="Dr, Manuel Mateos Fernández"/>
        <s v="Dra, Cristina Esther Torregrosa Carrasquer"/>
        <s v="Dr, Jose Antonio Sancipriano Hernández"/>
        <s v="Dr, Antonio Gandúl Merchán"/>
        <m/>
      </sharedItems>
    </cacheField>
    <cacheField name="NOMBRE VISITADOR" numFmtId="0">
      <sharedItems containsBlank="1" count="11">
        <s v="Ramon Ferrando(Valencia)"/>
        <s v="Lisandro Russian (Madrid, Cáceres, Toledo, Talavera y Logroño)"/>
        <s v="Alberto Moreno (Madrid)"/>
        <s v="Maika Blázquez (Madrid)"/>
        <s v="Luis Alberto Rodríguez (Andalucía y Badajoz)"/>
        <s v="Mercè Cabrera (Cataluña y Baleares)"/>
        <s v="Iván Sánchez (Levante y Albacete)"/>
        <s v="Ignacio Berdejo (Zaragoza)"/>
        <s v="Kiko Ortega (Galicia)"/>
        <s v="Álvaro Mollá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OnLoad="1" refreshedDate="0" recordCount="0" xr:uid="{00000000-000A-0000-FFFF-FFFF01000000}">
  <cacheSource type="worksheet">
    <worksheetSource ref="B1:S3848" sheet="ventas 2025"/>
  </cacheSource>
  <cacheFields count="18">
    <cacheField name="AÑO" numFmtId="0">
      <sharedItems containsString="0" containsBlank="1" containsNumber="1" containsInteger="1" count="2">
        <n v="2025"/>
        <m/>
      </sharedItems>
    </cacheField>
    <cacheField name="MES" numFmtId="0">
      <sharedItems containsString="0" containsBlank="1" containsNumber="1" containsInteger="1" count="13">
        <n v="1"/>
        <n v="2"/>
        <n v="3"/>
        <n v="4"/>
        <n v="5"/>
        <n v="6"/>
        <n v="7"/>
        <n v="8"/>
        <n v="9"/>
        <n v="10"/>
        <n v="11"/>
        <n v="12"/>
        <m/>
      </sharedItems>
    </cacheField>
    <cacheField name="RECOMPRA" numFmtId="0">
      <sharedItems containsBlank="1" count="3">
        <s v="NO"/>
        <s v="SI"/>
        <m/>
      </sharedItems>
    </cacheField>
    <cacheField name="SUCURSAL" numFmtId="0">
      <sharedItems containsBlank="1" count="56">
        <s v="Getafe"/>
        <s v="Albacete"/>
        <s v="Alcorcón"/>
        <s v="El Albir (Benidorm)"/>
        <s v="Alicante"/>
        <s v="Barcelona- Fabra i Puig"/>
        <s v="Fuenlabrada"/>
        <s v="Girona"/>
        <s v="Hospitalet de Llobregat"/>
        <s v="Leganés"/>
        <s v="Logroño"/>
        <s v="Lugo"/>
        <s v="Madrid- Canillas"/>
        <s v="Madrid- Juan Bravo"/>
        <s v="Madrid- La Oca"/>
        <s v="Madrid- Monforte de Lemos"/>
        <s v="Madrid- Moratalaz"/>
        <s v="Móstoles"/>
        <s v="Murcia"/>
        <s v="Orihuela"/>
        <s v="Ourense"/>
        <s v="San Javier"/>
        <s v="Santiago de Compostela"/>
        <s v="Sevilla- Montoto"/>
        <s v="Talavera"/>
        <s v="Torrejón de Ardoz"/>
        <s v="Valencia- Cádiz"/>
        <s v="Valencia- Parra"/>
        <s v="Vilanova"/>
        <s v="Ponferrada"/>
        <s v="Cáceres"/>
        <s v="Salamanca"/>
        <s v="Vigo"/>
        <s v="Valladolid"/>
        <s v="Zaragoza- León XIII"/>
        <s v="León"/>
        <s v="Badajoz"/>
        <s v="Boiro"/>
        <s v="Sevilla- Ciencias"/>
        <s v="Lalín"/>
        <s v="Oviedo"/>
        <s v="Almería"/>
        <s v="Barcelona- Córcega"/>
        <s v="Madrid- Costa Rica"/>
        <s v="Madrid- Galileo"/>
        <s v="Culleredo"/>
        <s v="O Barco"/>
        <s v="Zaragoza- Santander"/>
        <s v="Toledo"/>
        <s v="Carballo"/>
        <s v="Vilagacía De Arousa"/>
        <s v="Terrassa"/>
        <s v="Jerez de la Frontera"/>
        <s v="Huelva"/>
        <s v="Palencia"/>
        <m/>
      </sharedItems>
    </cacheField>
    <cacheField name="FECHA DE VENTA" numFmtId="165">
      <sharedItems containsDate="1" containsString="0" containsBlank="1" count="254">
        <d v="2025-01-30T00:00:00"/>
        <d v="2025-01-24T00:00:00"/>
        <d v="2025-01-28T00:00:00"/>
        <d v="2025-01-31T00:00:00"/>
        <d v="2025-01-29T00:00:00"/>
        <d v="2025-01-15T00:00:00"/>
        <d v="2025-01-20T00:00:00"/>
        <d v="2025-01-27T00:00:00"/>
        <d v="2025-01-03T00:00:00"/>
        <d v="2025-01-07T00:00:00"/>
        <d v="2025-01-22T00:00:00"/>
        <d v="2025-01-14T00:00:00"/>
        <d v="2025-01-17T00:00:00"/>
        <d v="2025-01-09T00:00:00"/>
        <d v="2025-01-16T00:00:00"/>
        <d v="2025-01-13T00:00:00"/>
        <d v="2025-01-23T00:00:00"/>
        <d v="2025-01-10T00:00:00"/>
        <d v="2025-01-08T00:00:00"/>
        <d v="2025-01-21T00:00:00"/>
        <d v="2025-01-25T00:00:00"/>
        <d v="2025-02-03T00:00:00"/>
        <d v="2025-02-04T00:00:00"/>
        <d v="2025-02-05T00:00:00"/>
        <d v="2025-02-06T00:00:00"/>
        <d v="2025-02-07T00:00:00"/>
        <d v="2025-02-10T00:00:00"/>
        <d v="2025-02-11T00:00:00"/>
        <d v="2025-02-12T00:00:00"/>
        <d v="2025-02-13T00:00:00"/>
        <d v="2025-02-14T00:00:00"/>
        <d v="2025-02-17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7T00:00:00"/>
        <d v="2025-02-28T00:00:00"/>
        <d v="2025-03-03T00:00:00"/>
        <d v="2025-03-04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7T00:00:00"/>
        <d v="2025-03-28T00:00:00"/>
        <d v="2025-03-31T00:00:00"/>
        <d v="2025-03-22T00:00:00"/>
        <d v="2025-04-01T00:00:00"/>
        <d v="2025-04-02T00:00:00"/>
        <d v="2025-04-03T00:00:00"/>
        <d v="2025-04-04T00:00:00"/>
        <d v="2025-04-07T00:00:00"/>
        <d v="2025-04-08T00:00:00"/>
        <d v="2025-04-09T00:00:00"/>
        <d v="2025-04-10T00:00:00"/>
        <d v="2025-04-11T00:00:00"/>
        <d v="2025-04-14T00:00:00"/>
        <d v="2025-04-15T00:00:00"/>
        <d v="2025-04-16T00:00:00"/>
        <d v="2025-04-17T00:00:00"/>
        <d v="2025-04-21T00:00:00"/>
        <d v="2025-04-22T00:00:00"/>
        <d v="2025-04-23T00:00:00"/>
        <d v="2025-04-24T00:00:00"/>
        <d v="2025-04-25T00:00:00"/>
        <d v="2025-04-28T00:00:00"/>
        <d v="2025-04-29T00:00:00"/>
        <d v="2025-04-30T00:00:00"/>
        <d v="2025-05-16T00:00:00"/>
        <d v="2025-05-13T00:00:00"/>
        <d v="2025-05-28T00:00:00"/>
        <d v="2025-05-30T00:00:00"/>
        <d v="2025-05-23T00:00:00"/>
        <d v="2025-05-14T00:00:00"/>
        <d v="2025-05-26T00:00:00"/>
        <d v="2025-05-29T00:00:00"/>
        <d v="2025-05-02T00:00:00"/>
        <d v="2025-05-05T00:00:00"/>
        <d v="2025-05-12T00:00:00"/>
        <d v="2025-05-27T00:00:00"/>
        <d v="2025-05-19T00:00:00"/>
        <d v="2025-05-09T00:00:00"/>
        <d v="2025-05-21T00:00:00"/>
        <d v="2025-05-08T00:00:00"/>
        <d v="2025-05-15T00:00:00"/>
        <d v="2025-05-07T00:00:00"/>
        <d v="2025-05-22T00:00:00"/>
        <d v="2025-05-20T00:00:00"/>
        <d v="2025-05-03T00:00:00"/>
        <d v="2025-05-06T00:00:00"/>
        <d v="2025-06-16T00:00:00"/>
        <d v="2025-06-25T00:00:00"/>
        <d v="2025-06-10T00:00:00"/>
        <d v="2025-06-18T00:00:00"/>
        <d v="2025-06-04T00:00:00"/>
        <d v="2025-06-02T00:00:00"/>
        <d v="2025-06-09T00:00:00"/>
        <d v="2025-06-30T00:00:00"/>
        <d v="2025-06-19T00:00:00"/>
        <d v="2025-06-26T00:00:00"/>
        <d v="2025-06-27T00:00:00"/>
        <d v="2025-06-17T00:00:00"/>
        <d v="2025-06-23T00:00:00"/>
        <d v="2025-06-12T00:00:00"/>
        <d v="2025-06-13T00:00:00"/>
        <d v="2025-06-06T00:00:00"/>
        <d v="2025-06-05T00:00:00"/>
        <d v="2025-06-11T00:00:00"/>
        <d v="2025-06-24T00:00:00"/>
        <d v="2025-06-20T00:00:00"/>
        <d v="2025-06-03T00:00:00"/>
        <d v="2025-07-01T00:00:00"/>
        <d v="2025-07-14T00:00:00"/>
        <d v="2025-07-22T00:00:00"/>
        <d v="2025-07-21T00:00:00"/>
        <d v="2025-07-11T00:00:00"/>
        <d v="2025-07-16T00:00:00"/>
        <d v="2025-07-18T00:00:00"/>
        <d v="2025-07-24T00:00:00"/>
        <d v="2025-07-15T00:00:00"/>
        <d v="2025-07-10T00:00:00"/>
        <d v="2025-07-17T00:00:00"/>
        <d v="2025-07-25T00:00:00"/>
        <d v="2025-07-04T00:00:00"/>
        <d v="2025-07-02T00:00:00"/>
        <d v="2025-07-23T00:00:00"/>
        <d v="2025-07-08T00:00:00"/>
        <d v="2025-07-07T00:00:00"/>
        <d v="2025-07-03T00:00:00"/>
        <d v="2025-07-09T00:00:00"/>
        <d v="2025-07-20T00:00:00"/>
        <d v="2025-07-26T00:00:00"/>
        <d v="2025-07-28T00:00:00"/>
        <d v="2025-07-29T00:00:00"/>
        <d v="2025-07-31T00:00:00"/>
        <d v="2025-07-30T00:00:00"/>
        <d v="2025-08-07T00:00:00"/>
        <d v="2025-08-29T00:00:00"/>
        <d v="2025-08-20T00:00:00"/>
        <d v="2025-08-25T00:00:00"/>
        <d v="2025-08-18T00:00:00"/>
        <d v="2025-08-27T00:00:00"/>
        <d v="2025-08-05T00:00:00"/>
        <d v="2025-08-22T00:00:00"/>
        <d v="2025-08-28T00:00:00"/>
        <d v="2025-08-21T00:00:00"/>
        <d v="2025-08-19T00:00:00"/>
        <d v="2025-08-06T00:00:00"/>
        <d v="2025-08-08T00:00:00"/>
        <d v="2025-08-26T00:00:00"/>
        <d v="2025-08-31T00:00:00"/>
        <d v="2025-09-18T00:00:00"/>
        <d v="2025-09-24T00:00:00"/>
        <d v="2025-09-11T00:00:00"/>
        <d v="2025-09-26T00:00:00"/>
        <d v="2025-09-29T00:00:00"/>
        <d v="2025-09-25T00:00:00"/>
        <d v="2025-09-23T00:00:00"/>
        <d v="2025-09-30T00:00:00"/>
        <d v="2025-09-17T00:00:00"/>
        <d v="2025-09-10T00:00:00"/>
        <d v="2025-09-16T00:00:00"/>
        <d v="2025-09-15T00:00:00"/>
        <d v="2025-09-22T00:00:00"/>
        <d v="2025-09-19T00:00:00"/>
        <d v="2025-09-08T00:00:00"/>
        <d v="2025-09-09T00:00:00"/>
        <d v="2025-09-01T00:00:00"/>
        <d v="2025-09-02T00:00:00"/>
        <d v="2025-09-04T00:00:00"/>
        <d v="2025-09-05T00:00:00"/>
        <d v="2025-09-03T00:00:00"/>
        <d v="2025-10-01T00:00:00"/>
        <d v="2025-10-02T00:00:00"/>
        <d v="2025-10-03T00:00:00"/>
        <d v="2025-10-06T00:00:00"/>
        <d v="2025-10-07T00:00:00"/>
        <d v="2025-10-08T00:00:00"/>
        <d v="2025-10-09T00:00:00"/>
        <d v="2025-10-10T00:00:00"/>
        <d v="2025-10-13T00:00:00"/>
        <d v="2025-10-14T00:00:00"/>
        <d v="2025-10-15T00:00:00"/>
        <d v="2025-10-16T00:00:00"/>
        <d v="2025-10-17T00:00:00"/>
        <d v="2025-10-20T00:00:00"/>
        <d v="2025-10-21T00:00:00"/>
        <d v="2025-10-22T00:00:00"/>
        <d v="2025-10-23T00:00:00"/>
        <d v="2025-10-24T00:00:00"/>
        <d v="2025-10-27T00:00:00"/>
        <d v="2025-10-28T00:00:00"/>
        <d v="2025-10-29T00:00:00"/>
        <d v="2025-10-30T00:00:00"/>
        <d v="2025-10-31T00:00:00"/>
        <d v="2025-11-03T00:00:00"/>
        <d v="2025-11-04T00:00:00"/>
        <d v="2025-11-05T00:00:00"/>
        <d v="2025-11-06T00:00:00"/>
        <d v="2025-11-07T00:00:00"/>
        <d v="2025-11-10T00:00:00"/>
        <d v="2025-11-11T00:00:00"/>
        <d v="2025-11-12T00:00:00"/>
        <d v="2025-11-13T00:00:00"/>
        <d v="2025-11-14T00:00:00"/>
        <d v="2025-11-17T00:00:00"/>
        <d v="2025-11-18T00:00:00"/>
        <d v="2025-11-19T00:00:00"/>
        <d v="2025-11-20T00:00:00"/>
        <d v="2025-11-21T00:00:00"/>
        <d v="2025-11-24T00:00:00"/>
        <d v="2025-11-25T00:00:00"/>
        <d v="2025-11-26T00:00:00"/>
        <d v="2025-11-27T00:00:00"/>
        <d v="2025-11-28T00:00:00"/>
        <d v="2025-12-01T00:00:00"/>
        <d v="2025-12-02T00:00:00"/>
        <d v="2025-12-03T00:00:00"/>
        <d v="2025-12-04T00:00:00"/>
        <d v="2025-12-05T00:00:00"/>
        <d v="2025-12-09T00:00:00"/>
        <d v="2025-12-10T00:00:00"/>
        <d v="2025-12-11T00:00:00"/>
        <d v="2025-12-12T00:00:00"/>
        <d v="2025-12-14T00:00:00"/>
        <d v="2025-12-15T00:00:00"/>
        <d v="2025-12-16T00:00:00"/>
        <d v="2025-12-17T00:00:00"/>
        <d v="2025-12-18T00:00:00"/>
        <d v="2025-12-19T00:00:00"/>
        <d v="2025-12-22T00:00:00"/>
        <d v="2025-12-23T00:00:00"/>
        <d v="2025-12-24T00:00:00"/>
        <d v="2025-12-26T00:00:00"/>
        <d v="2025-12-29T00:00:00"/>
        <d v="2025-12-30T00:00:00"/>
        <d v="2025-12-31T00:00:00"/>
        <m/>
      </sharedItems>
    </cacheField>
    <cacheField name="FECHA DE ALTA DE CLIENTE" numFmtId="165">
      <sharedItems containsDate="1" containsString="0" containsBlank="1" count="359">
        <d v="2024-09-03T00:00:00"/>
        <d v="2024-07-16T00:00:00"/>
        <d v="2024-12-26T00:00:00"/>
        <d v="2025-01-08T00:00:00"/>
        <d v="2024-12-13T00:00:00"/>
        <d v="2024-12-12T00:00:00"/>
        <d v="2024-12-23T00:00:00"/>
        <d v="2024-02-28T00:00:00"/>
        <d v="2024-12-10T00:00:00"/>
        <d v="2025-01-03T00:00:00"/>
        <d v="2024-11-27T00:00:00"/>
        <d v="2024-08-13T00:00:00"/>
        <d v="2025-01-15T00:00:00"/>
        <d v="2024-12-18T00:00:00"/>
        <d v="2024-10-07T00:00:00"/>
        <d v="2024-11-08T00:00:00"/>
        <d v="2024-01-17T00:00:00"/>
        <d v="2024-12-27T00:00:00"/>
        <d v="2023-07-05T00:00:00"/>
        <d v="2024-12-20T00:00:00"/>
        <d v="2025-01-09T00:00:00"/>
        <d v="2024-12-11T00:00:00"/>
        <d v="2017-11-23T00:00:00"/>
        <d v="2025-01-13T00:00:00"/>
        <d v="2024-04-11T00:00:00"/>
        <d v="2024-05-27T00:00:00"/>
        <d v="2025-01-07T00:00:00"/>
        <d v="2024-12-09T00:00:00"/>
        <d v="2024-11-12T00:00:00"/>
        <d v="2024-11-18T00:00:00"/>
        <d v="2024-11-21T00:00:00"/>
        <d v="2024-11-10T00:00:00"/>
        <d v="2025-01-10T00:00:00"/>
        <d v="2025-01-02T00:00:00"/>
        <d v="2024-11-22T00:00:00"/>
        <d v="2024-12-19T00:00:00"/>
        <d v="2024-12-31T00:00:00"/>
        <d v="2024-11-11T00:00:00"/>
        <d v="2025-01-16T00:00:00"/>
        <d v="2024-11-13T00:00:00"/>
        <d v="2023-01-25T00:00:00"/>
        <d v="2024-12-02T00:00:00"/>
        <d v="2024-11-15T00:00:00"/>
        <d v="2024-10-08T00:00:00"/>
        <d v="2024-11-29T00:00:00"/>
        <d v="2024-11-14T00:00:00"/>
        <d v="2024-10-14T00:00:00"/>
        <d v="2024-12-04T00:00:00"/>
        <d v="2024-11-26T00:00:00"/>
        <d v="2024-12-05T00:00:00"/>
        <d v="2024-12-17T00:00:00"/>
        <d v="2024-11-28T00:00:00"/>
        <d v="2024-12-16T00:00:00"/>
        <d v="2024-11-05T00:00:00"/>
        <d v="2024-12-30T00:00:00"/>
        <d v="2024-10-30T00:00:00"/>
        <d v="2024-11-20T00:00:00"/>
        <d v="2024-06-05T00:00:00"/>
        <d v="2025-01-20T00:00:00"/>
        <d v="2024-12-03T00:00:00"/>
        <d v="2024-10-25T00:00:00"/>
        <d v="2023-10-18T00:00:00"/>
        <d v="2024-10-22T00:00:00"/>
        <d v="2024-12-24T00:00:00"/>
        <d v="2024-10-21T00:00:00"/>
        <d v="2024-06-14T00:00:00"/>
        <d v="2024-07-10T00:00:00"/>
        <d v="2024-11-04T00:00:00"/>
        <d v="2023-05-17T00:00:00"/>
        <d v="2024-11-25T00:00:00"/>
        <d v="2024-01-24T00:00:00"/>
        <d v="2023-12-19T00:00:00"/>
        <d v="2025-01-14T00:00:00"/>
        <d v="2024-08-30T00:00:00"/>
        <d v="2024-11-30T00:00:00"/>
        <d v="2024-10-17T00:00:00"/>
        <d v="2024-05-23T00:00:00"/>
        <d v="2024-01-22T00:00:00"/>
        <d v="2024-09-05T00:00:00"/>
        <d v="2024-11-19T00:00:00"/>
        <d v="2025-01-22T00:00:00"/>
        <d v="2025-01-24T00:00:00"/>
        <d v="2025-01-17T00:00:00"/>
        <d v="2025-01-21T00:00:00"/>
        <d v="2025-02-11T00:00:00"/>
        <d v="2025-01-30T00:00:00"/>
        <d v="2025-01-27T00:00:00"/>
        <d v="2024-03-11T00:00:00"/>
        <d v="2025-01-23T00:00:00"/>
        <d v="2025-02-04T00:00:00"/>
        <d v="2024-01-30T00:00:00"/>
        <d v="2025-02-18T00:00:00"/>
        <d v="2025-02-07T00:00:00"/>
        <d v="2024-07-01T00:00:00"/>
        <d v="2025-01-29T00:00:00"/>
        <d v="2025-02-03T00:00:00"/>
        <d v="2025-01-28T00:00:00"/>
        <d v="2025-02-06T00:00:00"/>
        <d v="2023-02-23T00:00:00"/>
        <d v="2024-10-23T00:00:00"/>
        <d v="2024-09-12T00:00:00"/>
        <d v="2025-01-31T00:00:00"/>
        <d v="2025-02-05T00:00:00"/>
        <d v="2025-02-27T00:00:00"/>
        <d v="2025-02-13T00:00:00"/>
        <d v="2024-07-23T00:00:00"/>
        <d v="2025-02-10T00:00:00"/>
        <d v="2025-02-17T00:00:00"/>
        <d v="2025-02-14T00:00:00"/>
        <d v="2025-02-21T00:00:00"/>
        <d v="2025-02-25T00:00:00"/>
        <d v="2024-05-22T00:00:00"/>
        <d v="2025-03-10T00:00:00"/>
        <d v="2025-02-20T00:00:00"/>
        <d v="2025-02-26T00:00:00"/>
        <d v="2025-02-19T00:00:00"/>
        <d v="2025-03-04T00:00:00"/>
        <d v="2024-03-21T00:00:00"/>
        <d v="2025-02-12T00:00:00"/>
        <d v="2025-03-11T00:00:00"/>
        <d v="2025-03-13T00:00:00"/>
        <d v="2025-03-03T00:00:00"/>
        <d v="2025-02-24T00:00:00"/>
        <d v="2025-03-05T00:00:00"/>
        <d v="2025-03-12T00:00:00"/>
        <d v="2024-04-05T00:00:00"/>
        <d v="2025-03-06T00:00:00"/>
        <d v="2025-03-14T00:00:00"/>
        <d v="2023-04-27T00:00:00"/>
        <d v="2025-03-07T00:00:00"/>
        <d v="2025-03-18T00:00:00"/>
        <d v="2024-08-14T00:00:00"/>
        <d v="2023-06-20T00:00:00"/>
        <d v="2024-06-07T00:00:00"/>
        <d v="2025-02-28T00:00:00"/>
        <d v="2025-03-17T00:00:00"/>
        <d v="2024-05-15T00:00:00"/>
        <d v="2025-03-24T00:00:00"/>
        <d v="2025-03-26T00:00:00"/>
        <d v="2025-03-27T00:00:00"/>
        <d v="2020-12-03T00:00:00"/>
        <d v="2025-03-25T00:00:00"/>
        <d v="2024-05-17T00:00:00"/>
        <d v="2025-03-21T00:00:00"/>
        <d v="2025-03-20T00:00:00"/>
        <d v="2025-03-28T00:00:00"/>
        <d v="2025-04-02T00:00:00"/>
        <d v="2025-03-31T00:00:00"/>
        <d v="2025-04-04T00:00:00"/>
        <d v="2025-04-01T00:00:00"/>
        <d v="2020-10-16T00:00:00"/>
        <d v="2025-04-08T00:00:00"/>
        <d v="2025-04-09T00:00:00"/>
        <d v="2025-04-11T00:00:00"/>
        <d v="2025-04-10T00:00:00"/>
        <d v="2025-04-03T00:00:00"/>
        <d v="2025-03-19T00:00:00"/>
        <d v="2025-04-22T00:00:00"/>
        <d v="2025-04-07T00:00:00"/>
        <d v="2025-04-28T00:00:00"/>
        <d v="2025-04-16T00:00:00"/>
        <d v="2023-11-27T00:00:00"/>
        <d v="2025-05-16T00:00:00"/>
        <d v="2025-05-02T00:00:00"/>
        <d v="2023-09-12T00:00:00"/>
        <d v="2023-04-26T00:00:00"/>
        <d v="2025-04-24T00:00:00"/>
        <d v="2025-04-21T00:00:00"/>
        <d v="2023-08-27T00:00:00"/>
        <d v="2025-04-15T00:00:00"/>
        <d v="2025-05-06T00:00:00"/>
        <d v="2025-04-30T00:00:00"/>
        <d v="2025-04-29T00:00:00"/>
        <d v="2023-05-10T00:00:00"/>
        <d v="2024-02-29T00:00:00"/>
        <d v="2025-05-05T00:00:00"/>
        <d v="2025-05-08T00:00:00"/>
        <d v="2022-03-29T00:00:00"/>
        <d v="2025-04-25T00:00:00"/>
        <d v="2025-04-23T00:00:00"/>
        <d v="2025-05-12T00:00:00"/>
        <d v="2025-05-09T00:00:00"/>
        <d v="2025-05-13T00:00:00"/>
        <d v="2025-04-14T00:00:00"/>
        <d v="2023-11-10T00:00:00"/>
        <d v="2024-03-25T00:00:00"/>
        <d v="2020-12-15T00:00:00"/>
        <d v="2025-05-23T00:00:00"/>
        <d v="2025-05-29T00:00:00"/>
        <d v="2025-05-27T00:00:00"/>
        <d v="2025-05-14T00:00:00"/>
        <d v="2025-06-12T00:00:00"/>
        <d v="2025-05-21T00:00:00"/>
        <d v="2023-06-28T00:00:00"/>
        <d v="2025-06-16T00:00:00"/>
        <d v="2025-05-22T00:00:00"/>
        <d v="2025-05-19T00:00:00"/>
        <d v="2025-06-04T00:00:00"/>
        <d v="2025-05-26T00:00:00"/>
        <d v="2025-05-20T00:00:00"/>
        <d v="2025-06-03T00:00:00"/>
        <d v="2025-06-02T00:00:00"/>
        <d v="2025-05-07T00:00:00"/>
        <d v="2025-06-13T00:00:00"/>
        <d v="2025-05-28T00:00:00"/>
        <d v="2022-03-30T00:00:00"/>
        <d v="2023-02-08T00:00:00"/>
        <d v="2025-05-15T00:00:00"/>
        <d v="2025-05-30T00:00:00"/>
        <d v="2023-07-31T00:00:00"/>
        <d v="2025-06-18T00:00:00"/>
        <d v="2024-11-07T00:00:00"/>
        <d v="2025-06-09T00:00:00"/>
        <d v="2024-05-20T00:00:00"/>
        <d v="2025-07-02T00:00:00"/>
        <d v="2025-06-24T00:00:00"/>
        <d v="2025-06-11T00:00:00"/>
        <d v="2025-07-07T00:00:00"/>
        <d v="2025-07-09T00:00:00"/>
        <d v="2025-07-08T00:00:00"/>
        <d v="2025-07-03T00:00:00"/>
        <d v="2025-06-20T00:00:00"/>
        <d v="2025-06-06T00:00:00"/>
        <d v="2025-06-19T00:00:00"/>
        <d v="2025-06-30T00:00:00"/>
        <d v="2025-06-23T00:00:00"/>
        <d v="2025-06-10T00:00:00"/>
        <d v="2025-06-27T00:00:00"/>
        <d v="2024-02-19T00:00:00"/>
        <d v="2025-06-25T00:00:00"/>
        <d v="2025-06-26T00:00:00"/>
        <d v="2025-07-04T00:00:00"/>
        <d v="2025-07-11T00:00:00"/>
        <d v="2025-07-14T00:00:00"/>
        <d v="2025-07-01T00:00:00"/>
        <d v="2025-07-10T00:00:00"/>
        <d v="2025-06-17T00:00:00"/>
        <d v="2025-07-30T00:00:00"/>
        <d v="2025-07-16T00:00:00"/>
        <d v="2025-07-17T00:00:00"/>
        <d v="2025-07-15T00:00:00"/>
        <d v="2025-07-23T00:00:00"/>
        <d v="2024-04-30T00:00:00"/>
        <d v="2025-07-29T00:00:00"/>
        <d v="2025-07-28T00:00:00"/>
        <d v="2025-07-18T00:00:00"/>
        <d v="2025-08-19T00:00:00"/>
        <d v="2025-08-07T00:00:00"/>
        <d v="2025-07-21T00:00:00"/>
        <d v="2025-07-24T00:00:00"/>
        <d v="2025-07-31T00:00:00"/>
        <d v="2025-08-18T00:00:00"/>
        <d v="2025-08-04T00:00:00"/>
        <d v="2025-08-28T00:00:00"/>
        <d v="2025-09-02T00:00:00"/>
        <d v="2025-08-26T00:00:00"/>
        <d v="2025-07-22T00:00:00"/>
        <d v="2025-09-09T00:00:00"/>
        <d v="2025-09-03T00:00:00"/>
        <d v="2018-02-03T00:00:00"/>
        <d v="2025-09-08T00:00:00"/>
        <d v="2025-08-01T00:00:00"/>
        <d v="2025-08-22T00:00:00"/>
        <d v="2025-09-12T00:00:00"/>
        <d v="2025-09-01T00:00:00"/>
        <d v="2025-09-10T00:00:00"/>
        <d v="2025-09-05T00:00:00"/>
        <d v="2025-08-20T00:00:00"/>
        <d v="2025-08-05T00:00:00"/>
        <d v="2025-08-06T00:00:00"/>
        <d v="2025-08-25T00:00:00"/>
        <d v="2025-09-11T00:00:00"/>
        <d v="2021-09-01T00:00:00"/>
        <d v="2025-08-21T00:00:00"/>
        <d v="2024-03-06T00:00:00"/>
        <d v="2025-08-08T00:00:00"/>
        <d v="2025-08-11T00:00:00"/>
        <d v="2025-09-23T00:00:00"/>
        <d v="2025-09-04T00:00:00"/>
        <d v="2025-08-29T00:00:00"/>
        <d v="2025-09-17T00:00:00"/>
        <d v="2025-09-16T00:00:00"/>
        <d v="2025-04-12T00:00:00"/>
        <d v="2025-09-15T00:00:00"/>
        <d v="2025-09-22T00:00:00"/>
        <d v="2022-03-14T00:00:00"/>
        <d v="2022-03-21T00:00:00"/>
        <d v="2024-05-28T00:00:00"/>
        <d v="2025-10-02T00:00:00"/>
        <d v="2025-09-30T00:00:00"/>
        <d v="2025-09-24T00:00:00"/>
        <d v="2023-12-20T00:00:00"/>
        <d v="2025-10-04T00:00:00"/>
        <d v="2024-09-02T00:00:00"/>
        <d v="2025-09-18T00:00:00"/>
        <d v="2025-09-26T00:00:00"/>
        <d v="2023-03-29T00:00:00"/>
        <d v="2025-10-03T00:00:00"/>
        <d v="2025-10-09T00:00:00"/>
        <d v="2025-09-25T00:00:00"/>
        <d v="2025-10-06T00:00:00"/>
        <d v="2025-10-07T00:00:00"/>
        <d v="2025-10-01T00:00:00"/>
        <d v="2025-08-27T00:00:00"/>
        <d v="2025-10-08T00:00:00"/>
        <d v="2025-09-29T00:00:00"/>
        <d v="2025-10-21T00:00:00"/>
        <d v="2025-10-15T00:00:00"/>
        <d v="2025-10-14T00:00:00"/>
        <d v="2025-09-19T00:00:00"/>
        <d v="2024-09-09T00:00:00"/>
        <d v="2025-10-13T00:00:00"/>
        <d v="2025-10-23T00:00:00"/>
        <d v="2023-03-02T00:00:00"/>
        <d v="2025-10-31T00:00:00"/>
        <d v="2025-10-20T00:00:00"/>
        <d v="2025-10-10T00:00:00"/>
        <d v="2025-10-17T00:00:00"/>
        <d v="2025-10-29T00:00:00"/>
        <d v="2025-10-16T00:00:00"/>
        <d v="2025-10-22T00:00:00"/>
        <d v="2025-11-03T00:00:00"/>
        <d v="2023-04-24T00:00:00"/>
        <d v="2025-11-07T00:00:00"/>
        <d v="2025-11-11T00:00:00"/>
        <d v="2025-10-24T00:00:00"/>
        <d v="2025-10-30T00:00:00"/>
        <d v="2025-11-17T00:00:00"/>
        <d v="2016-02-23T00:00:00"/>
        <d v="2025-11-04T00:00:00"/>
        <d v="2025-10-28T00:00:00"/>
        <d v="2025-10-27T00:00:00"/>
        <d v="2025-11-21T00:00:00"/>
        <d v="2019-08-06T00:00:00"/>
        <d v="2025-11-12T00:00:00"/>
        <d v="2025-11-10T00:00:00"/>
        <d v="2025-11-06T00:00:00"/>
        <d v="2025-11-14T00:00:00"/>
        <d v="2025-11-28T00:00:00"/>
        <d v="2025-11-05T00:00:00"/>
        <d v="2024-04-26T00:00:00"/>
        <d v="2025-11-19T00:00:00"/>
        <d v="2025-11-25T00:00:00"/>
        <d v="2025-11-27T00:00:00"/>
        <d v="2025-11-20T00:00:00"/>
        <d v="2025-11-13T00:00:00"/>
        <d v="2024-09-10T00:00:00"/>
        <d v="2025-12-02T00:00:00"/>
        <d v="2025-11-24T00:00:00"/>
        <d v="2025-12-12T00:00:00"/>
        <d v="2025-11-26T00:00:00"/>
        <d v="2025-12-05T00:00:00"/>
        <d v="2025-12-23T00:00:00"/>
        <d v="2025-12-01T00:00:00"/>
        <d v="2025-11-18T00:00:00"/>
        <d v="2025-12-03T00:00:00"/>
        <d v="2025-12-11T00:00:00"/>
        <d v="2025-12-04T00:00:00"/>
        <m/>
      </sharedItems>
    </cacheField>
    <cacheField name="Clínica" numFmtId="0">
      <sharedItems containsBlank="1" count="56">
        <s v="Getafe"/>
        <s v="Albacete"/>
        <s v="Alcorcón"/>
        <s v="El Albir (Benidorm)"/>
        <s v="Alicante"/>
        <s v="Fabra"/>
        <s v="Fuenlabrada"/>
        <s v="Girona"/>
        <s v="Hospitalet"/>
        <s v="Leganés"/>
        <s v="Logroño"/>
        <s v="Lugo"/>
        <s v="Canillas"/>
        <s v="Juan Bravo"/>
        <s v="La Oca"/>
        <s v="La Vaguada"/>
        <s v="Moratalaz"/>
        <s v="Móstoles"/>
        <s v="Murcia"/>
        <s v="La Zenia"/>
        <s v="Orense"/>
        <s v="San Javier"/>
        <s v="Santiago"/>
        <s v="Montoto"/>
        <s v="Talavera"/>
        <s v="Torrejón"/>
        <s v="Valencia- Cádiz"/>
        <s v="Valencia- Parra"/>
        <s v="Vilanova"/>
        <s v="Ponferrada"/>
        <s v="Cáceres"/>
        <s v="Salamanca"/>
        <s v="Vigo"/>
        <s v="Valladolid"/>
        <s v="Zaragoza"/>
        <s v="León"/>
        <s v="Badajoz"/>
        <s v="Boiro"/>
        <s v="Sevilla Este"/>
        <s v="Lalín"/>
        <s v="Oviedo"/>
        <s v="Almería"/>
        <s v="Córcega"/>
        <s v="Costa Rica"/>
        <s v="Moncloa"/>
        <s v="Culleredo"/>
        <s v="O Barco"/>
        <s v="Zaragoza- Santander"/>
        <s v="Toledo"/>
        <s v="Carballo"/>
        <s v="Vilagarcía"/>
        <s v="Terrassa"/>
        <s v="Jerez"/>
        <s v="Huelva"/>
        <s v="Palencia"/>
        <m/>
      </sharedItems>
    </cacheField>
    <cacheField name="CÓDIGO DE CLIENTE" numFmtId="0">
      <sharedItems containsBlank="1" count="1727">
        <s v="C2024911171942450"/>
        <s v="ALB-914"/>
        <s v="C20241226115634963"/>
        <s v="C202511593537440"/>
        <s v="C20241223113035124"/>
        <s v="C20241212162435193"/>
        <s v="C20241224102857904"/>
        <s v="BNI-149"/>
        <s v="C202412171800505"/>
        <s v="C2024122392712129"/>
        <s v="C20251911456805"/>
        <s v="C20241129151443198"/>
        <s v="C20251918555876"/>
        <s v="C202511618016871"/>
        <s v="C202517113610311"/>
        <s v="C2024101618522907"/>
        <s v="C20241111114353920"/>
        <s v="FNL-3341"/>
        <s v="C202517103416305"/>
        <s v="FNL-3178"/>
        <s v="C20241213923058"/>
        <s v="C202517121059405"/>
        <s v="C202511014591530"/>
        <s v="C2024121811513950"/>
        <s v="FNL-1336"/>
        <s v="C2025115169110"/>
        <s v="GER-92"/>
        <s v="HSP-215"/>
        <s v="C2025114155854748"/>
        <s v="C2024122011507991"/>
        <s v="C2024121217139306"/>
        <s v="C20241120181420308"/>
        <s v="LOG-1439"/>
        <s v="LOG-1442"/>
        <s v="LOG-1432"/>
        <s v="C202511410352396"/>
        <s v="C202519112040208"/>
        <s v="C202511410415761"/>
        <s v="C202412201233494"/>
        <s v="C2024112712183693"/>
        <s v="C20241218174838482"/>
        <s v="C202412311206101"/>
        <s v="C20251151155656"/>
        <s v="C2024111416514352"/>
        <s v="C2025121112454757"/>
        <s v="C20241129155616137"/>
        <s v="C20251817508449"/>
        <s v="C2024111917659894"/>
        <s v="JBR-1709"/>
        <s v="C20241217123741115"/>
        <s v="C20251911101907"/>
        <s v="C20241216104748"/>
        <s v="C20241212173616605"/>
        <s v="C2024122011142323"/>
        <s v="C2024121017551960"/>
        <s v="C20251816254155"/>
        <s v="C20241211122841761"/>
        <s v="C2025110105021185"/>
        <s v="C20241023151912680"/>
        <s v="C20241218143319166"/>
        <s v="C2024121716742393"/>
        <s v="C202412212373942"/>
        <s v="C20251218548546"/>
        <s v="C20241210122640262"/>
        <s v="C2024122792916323"/>
        <s v="C2024123104533901"/>
        <s v="C202412214555630"/>
        <s v="C2025114121343867"/>
        <s v="C202517101013906"/>
        <s v="C20241217181149289"/>
        <s v="C2024121911307467"/>
        <s v="C2024121812922488"/>
        <s v="C202412210579993"/>
        <s v="C2024121918401162"/>
        <s v="C2025115113929824"/>
        <s v="C202511010343731"/>
        <s v="C2024121611423262"/>
        <s v="C20241230104550278"/>
        <s v="C20241223104210636"/>
        <s v="C202512014953350"/>
        <s v="ORS-426"/>
        <s v="C2024121914382837"/>
        <s v="MSJ-496"/>
        <s v="C202519173217948"/>
        <s v="MSJ-488"/>
        <s v="C2024122016012975"/>
        <s v="MSJ-473"/>
        <s v="C20241218124537586"/>
        <s v="C2024112711446121"/>
        <s v="C2024124122940422"/>
        <s v="SMO-2372"/>
        <s v="C2025115185051122"/>
        <s v="C2024122012461758"/>
        <s v="C2025120103913709"/>
        <s v="C2024122010741645"/>
        <s v="C2025121104927368"/>
        <s v="C2024121911391112"/>
        <s v="C20241220152450812"/>
        <s v="C20241241882975"/>
        <s v="C2024121116506679"/>
        <s v="C20241220164048645"/>
        <s v="C20241213164517918"/>
        <s v="C2024121992818633"/>
        <s v="C20241218113521816"/>
        <s v="C2024112617208611"/>
        <s v="C2024121210529466"/>
        <s v="C20241112122050286"/>
        <s v="BVI-310"/>
        <s v="PON-813"/>
        <s v="CAC-216"/>
        <s v="PON-811"/>
        <s v="SLM-402"/>
        <s v="VIG-459"/>
        <s v="SLM-416"/>
        <s v="VLL-297"/>
        <s v="VIG-468"/>
        <s v="CAC-190"/>
        <s v="SLM-395"/>
        <s v="ZRG-79"/>
        <s v="ZRG-504"/>
        <s v="CAC-208"/>
        <s v="LEO-368"/>
        <s v="SLM-407"/>
        <s v="VIG-526"/>
        <s v="CAC-213"/>
        <s v="ZRG-532"/>
        <s v="VIG-520"/>
        <s v="CAC-186"/>
        <s v="SLM-415"/>
        <s v="SLM-418"/>
        <s v="SLM-202"/>
        <s v="CAC-3"/>
        <s v="BJZE-2448"/>
        <s v="BOI-922"/>
        <s v="SEVE-328"/>
        <s v="SEVE-340"/>
        <s v="VLL-301"/>
        <s v="ZRG-549"/>
        <s v="PON-830"/>
        <s v="VLL-290"/>
        <s v="LEO-398"/>
        <s v="SLM-351"/>
        <s v="LAL-118"/>
        <s v="SLM-424"/>
        <s v="ZRG-551"/>
        <s v="VLL-303"/>
        <s v="SEVE-326"/>
        <s v="C2025120105631596"/>
        <s v="C2025120965649"/>
        <s v="C202518112918935"/>
        <s v="C20241213123222368"/>
        <s v="HOR-2220"/>
        <s v="ALC-3764"/>
        <s v="C2025114105110182"/>
        <s v="C2024122612488864"/>
        <s v="C2025114182939239"/>
        <s v="C202491212122424"/>
        <s v="C20241127151146637"/>
        <s v="C202518163012145"/>
        <s v="C2025116111817261"/>
        <s v="C20241114181152293"/>
        <s v="C2025121103340611"/>
        <s v="C202511510254443"/>
        <s v="C2025116164241362"/>
        <s v="C2025116164835760"/>
        <s v="C20241218161921203"/>
        <s v="C202512311610793"/>
        <s v="C2024112818223257"/>
        <s v="C20241220163520267"/>
        <s v="C202512712334642"/>
        <s v="C2025129171628286"/>
        <s v="C2025114181113564"/>
        <s v="C202511418737208"/>
        <s v="C2025123111345494"/>
        <s v="C2025114163838863"/>
        <s v="C202512416465378"/>
        <s v="C2025124115141405"/>
        <s v="C2025127152347878"/>
        <s v="C20251291168434"/>
        <s v="C20241218181811576"/>
        <s v="C2025117104426138"/>
        <s v="C202521113312813"/>
        <s v="C2025113123026532"/>
        <s v="C2025129111635277"/>
        <s v="C202512117395583"/>
        <s v="C20252711149997"/>
        <s v="MSJ-00442"/>
        <s v="C202412261718823"/>
        <s v="C2025128105048281"/>
        <s v="VAG-5301"/>
        <s v="C2025124152314357"/>
        <s v="C2025130164650836"/>
        <s v="C2025122115441159"/>
        <s v="C2025121114025142"/>
        <s v="C2025116172116357"/>
        <s v="C202512795336841"/>
        <s v="C20252412446666"/>
        <s v="C202524192528978"/>
        <s v="ORS-435"/>
        <s v="C2024112111716344"/>
        <s v="C2025115165722258"/>
        <s v="MUR-1837"/>
        <s v="C202513010579392"/>
        <s v="C2025220182814744"/>
        <s v="C202512910319767"/>
        <s v="C20252711345593"/>
        <s v="C202519125534361"/>
        <s v="C20241230165138796"/>
        <s v="C202512111579152"/>
        <s v="C202485103210192"/>
        <s v="C2025114122147489"/>
        <s v="C2025121183522208"/>
        <s v="C202525105521192"/>
        <s v="C202512415446234"/>
        <s v="C2025130182728223"/>
        <s v="C202521016309103"/>
        <s v="C2025120111229197"/>
        <s v="C2025115113626365"/>
        <s v="C202521817582713"/>
        <s v="C202526112944128"/>
        <s v="C2025122124357865"/>
        <s v="C202513111448686"/>
        <s v="C20252617251623"/>
        <s v="C20251241223661"/>
        <s v="C20252616125252"/>
        <s v="C202512710843940"/>
        <s v="C20252312397959"/>
        <s v="C20252316216614"/>
        <s v="C20252311520480"/>
        <s v="C202511617243631"/>
        <s v="C2025241653871"/>
        <s v="C202526184934908"/>
        <s v="C2025212162612372"/>
        <s v="C20252616128199"/>
        <s v="C2025130185486"/>
        <s v="LOG-1059"/>
        <s v="C2024121211315995"/>
        <s v="C202525103535787"/>
        <s v="C20251141735539"/>
        <s v="C20241028105133742"/>
        <s v="C2024924182958416"/>
        <s v="C202511715156935"/>
        <s v="C202526164926367"/>
        <s v="C2025128104957395"/>
        <s v="C2025123155834439"/>
        <s v="C20252616452209"/>
        <s v="C202511711515664"/>
        <s v="C2025121162217384"/>
        <s v="C202522016543251"/>
        <s v="C2025211182037420"/>
        <s v="C202526183311473"/>
        <s v="C20241217182425568"/>
        <s v="C202522719141244"/>
        <s v="C202512716334143"/>
        <s v="C2025123103424739"/>
        <s v="C202511517950582"/>
        <s v="C2025128115357750"/>
        <s v="C20241227105840801"/>
        <s v="C202521412254134"/>
        <s v="C2025116173758738"/>
        <s v="C2025120122611220"/>
        <s v="CAC-218"/>
        <s v="CULL-150"/>
        <s v="CAC-222"/>
        <s v="SLM-426"/>
        <s v="PON-735"/>
        <s v="SLM-352"/>
        <s v="VIG-523"/>
        <s v="VLL-310"/>
        <s v="SLM-406"/>
        <s v="VLL-300"/>
        <s v="OBR-43"/>
        <s v="SLM-421"/>
        <s v="CAC-211"/>
        <s v="CAC-220"/>
        <s v="BOI-929"/>
        <s v="BOI-932"/>
        <s v="SLM-433"/>
        <s v="VLL-294"/>
        <s v="VIG-529"/>
        <s v="SEVE-354"/>
        <s v="ZRZS-94"/>
        <s v="ZRZS-97"/>
        <s v="ZRG-573"/>
        <s v="BJZE-2455"/>
        <s v="CAC-228"/>
        <s v="CULL-163"/>
        <s v="SEVE-337"/>
        <s v="CAC-214"/>
        <s v="SLM-437"/>
        <s v="BJZE-2450"/>
        <s v="CULL-141"/>
        <s v="C202525165642897"/>
        <s v="C202521310132286"/>
        <s v="C20252712266751"/>
        <s v="C2025121112454270"/>
        <s v="C2025217175323860"/>
        <s v="C202524105039184"/>
        <s v="C2025128111112737"/>
        <s v="C20252411952720"/>
        <s v="C20252693337518"/>
        <s v="C2025212163045986"/>
        <s v="C2025127121545790"/>
        <s v="C202526162851990"/>
        <s v="C202522016428508"/>
        <s v="C20253515576860"/>
        <s v="C20252211280151"/>
        <s v="C2025217145632196"/>
        <s v="C2025217111439791"/>
        <s v="C2025211162321299"/>
        <s v="C202511316058815"/>
        <s v="C202522415322175"/>
        <s v="C202512212136169"/>
        <s v="C2025218103231649"/>
        <s v="C202522511335430"/>
        <s v="C202521718922830"/>
        <s v="C202521911535298"/>
        <s v="C2025213175435372"/>
        <s v="C20252618244944"/>
        <s v="C2024112118247319"/>
        <s v="C2025214104450298"/>
        <s v="C2025228155857266"/>
        <s v="C20251139655355"/>
        <s v="C2025221102758226"/>
        <s v="C2025224163428453"/>
        <s v="ALB-870"/>
        <s v="C2025130115338482"/>
        <s v="C2025221122545747"/>
        <s v="C2025313115240241"/>
        <s v="C202521912025538"/>
        <s v="C202522416111119"/>
        <s v="C2025225113329150"/>
        <s v="C2025226122555530"/>
        <s v="C20253518810305"/>
        <s v="C2025220113413712"/>
        <s v="C20252201623955"/>
        <s v="C202522885927652"/>
        <s v="C202522811145130"/>
        <s v="C2025224162622294"/>
        <s v="C2025225195051364"/>
        <s v="C2025217102813410"/>
        <s v="C2025218171613886"/>
        <s v="C2025227164725763"/>
        <s v="C2025121115954697"/>
        <s v="C2025218102641492"/>
        <s v="C2025212182754332"/>
        <s v="C20252261623451"/>
        <s v="C202534121423378"/>
        <s v="MUR-1937"/>
        <s v="C2025226172134755"/>
        <s v="C20253793728445"/>
        <s v="C20252392436772"/>
        <s v="C202522518651761"/>
        <s v="C202522016332736"/>
        <s v="C202522494917766"/>
        <s v="C202536174857586"/>
        <s v="C202522618133462"/>
        <s v="C20252181745889"/>
        <s v="C202521911313963"/>
        <s v="C2025217114422441"/>
        <s v="C2024122411582318"/>
        <s v="C202535104847967"/>
        <s v="C2025127155414181"/>
        <s v="C20252201150617"/>
        <s v="C202525165212977"/>
        <s v="C20252141128208"/>
        <s v="C202521418433328"/>
        <s v="C2025212103511394"/>
        <s v="C2024112710520472"/>
        <s v="C2025226163257801"/>
        <s v="C202533161053724"/>
        <s v="C202522716558316"/>
        <s v="C2025211105222263"/>
        <s v="C20253141102068"/>
        <s v="C2025127184635572"/>
        <s v="C202522618133163"/>
        <s v="C2025224111314619"/>
        <s v="C20252251610741"/>
        <s v="C202511618324793"/>
        <s v="C202531810231047"/>
        <s v="C2025313181155435"/>
        <s v="C202533114656766"/>
        <s v="C202412912145720"/>
        <s v="C202522810454255"/>
        <s v="C20253595632106"/>
        <s v="C202522592424829"/>
        <s v="C2025318103013118"/>
        <s v="C2025314153258297"/>
        <s v="C202534165840170"/>
        <s v="C2025219184955413"/>
        <s v="C202521411357772"/>
        <s v="C2025311162945511"/>
        <s v="C202521910501796"/>
        <s v="JBR-2059"/>
        <s v="C202512916392534"/>
        <s v="C202522710501423"/>
        <s v="C202531011838233"/>
        <s v="C2025312125925707"/>
        <s v="C20252261641078"/>
        <s v="C2025310124538784"/>
        <s v="C202521816271541"/>
        <s v="C2025227107125"/>
        <s v="C2025339451710"/>
        <s v="C202531116110349"/>
        <s v="C2025217182721340"/>
        <s v="C202513012919180"/>
        <s v="C202532110322517"/>
        <s v="C202537113048231"/>
        <s v="C2025317105344353"/>
        <s v="C202531216280481"/>
        <s v="C202521910040865"/>
        <s v="HOR-825"/>
        <s v="C202522892553921"/>
        <s v="C202531416348319"/>
        <s v="C20253111124487"/>
        <s v="C2025319111757105"/>
        <s v="C2025320161148605"/>
        <s v="CAC-233"/>
        <s v="SLM-436"/>
        <s v="VIG-521"/>
        <s v="CRB-93"/>
        <s v="CAC-225"/>
        <s v="SLM-442"/>
        <s v="SLM-446"/>
        <s v="SLM-451"/>
        <s v="SEVE-335"/>
        <s v="ZRG-593"/>
        <s v="CAC-236"/>
        <s v="VLL-329"/>
        <s v="VLL-333"/>
        <s v="PON-510"/>
        <s v="VLG-103"/>
        <s v="VLL-330"/>
        <s v="PON-832"/>
        <s v="CAC-235"/>
        <s v="VLL-120"/>
        <s v="BOI-845"/>
        <s v="CULL-159"/>
        <s v="VIG-537"/>
        <s v="TRR-343"/>
        <s v="PON-850"/>
        <s v="VLL-342"/>
        <s v="CAC-198"/>
        <s v="SLM-461"/>
        <s v="VLL-345"/>
        <s v="VLL-327"/>
        <s v="BJZE-2462"/>
        <s v="SLM-478"/>
        <s v="CAC-242"/>
        <s v="VIG-543"/>
        <s v="VLL-324"/>
        <s v="BOI-937"/>
        <s v="SEVE-368"/>
        <s v="VLL-341"/>
        <s v="BOI-928"/>
        <s v="LAL-132"/>
        <s v="VIG-540"/>
        <s v="C2025311165935809"/>
        <s v="C20252612428274"/>
        <s v="C2025128171141767"/>
        <s v="C202523152357478"/>
        <s v="C2025219153340484"/>
        <s v="C2025310131050525"/>
        <s v="C202536171039178"/>
        <s v="C2025212171955657"/>
        <s v="C202522018321748"/>
        <s v="C202535104543545"/>
        <s v="C202532111406504"/>
        <s v="C202537125118614"/>
        <s v="C20253716456828"/>
        <s v="C2025219164347732"/>
        <s v="SLM-276"/>
        <s v="PON-810"/>
        <s v="ZRG-604"/>
        <s v="C20252189810642"/>
        <s v="C202521995942417"/>
        <s v="C202543181230397"/>
        <s v="C2025321112440758"/>
        <s v="VLL-335"/>
        <s v="SEVE-366"/>
        <s v="C202536181632710"/>
        <s v="C2025341832191"/>
        <s v="C20253181161291"/>
        <s v="C2025320162550143"/>
        <s v="ZRG-586"/>
        <s v="C2025317155945276"/>
        <s v="C2025312121831214"/>
        <s v="C2025331105510737"/>
        <s v="C2025228123828977"/>
        <s v="C202537151032392"/>
        <s v="SMO-903"/>
        <s v="C2025319162537642"/>
        <s v="CAC-246"/>
        <s v="VIG-547"/>
        <s v="CAC-244"/>
        <s v="C202531310345895"/>
        <s v="C202531417392770"/>
        <s v="C202532412205490"/>
        <s v="C2025328111754408"/>
        <s v="C202533111411655"/>
        <s v="SMO-2353"/>
        <s v="C2025321102846529"/>
        <s v="C2025320195845983"/>
        <s v="C202532415443267"/>
        <s v="C2025324114745357"/>
        <s v="C202531410236625"/>
        <s v="C202532610552632"/>
        <s v="C2025324103528236"/>
        <s v="C2025311175822328"/>
        <s v="C202543123057516"/>
        <s v="C202544112950303"/>
        <s v="CAC-248"/>
        <s v="BJZE-2474"/>
        <s v="SEVE-385"/>
        <s v="C2025324102811501"/>
        <s v="C2025312124649839"/>
        <s v="SEVE-372"/>
        <s v="C202532116296904"/>
        <s v="C20252710341649"/>
        <s v="C202531918054191"/>
        <s v="C202527163711862"/>
        <s v="C202531712235115"/>
        <s v="CAC-253"/>
        <s v="ZRG-603"/>
        <s v="C202532511356291"/>
        <s v="C2025327161344767"/>
        <s v="C202543105545980"/>
        <s v="C20254785434864"/>
        <s v="SLM-495"/>
        <s v="BJZE-2472"/>
        <s v="CULL-179"/>
        <s v="BOI-951"/>
        <s v="C202532510337339"/>
        <s v="C2025325174736492"/>
        <s v="C20254117159459"/>
        <s v="C202541101629813"/>
        <s v="C20253261902442"/>
        <s v="VIG-535"/>
        <s v="C20254117216134"/>
        <s v="C202532618344868"/>
        <s v="C202522517525934"/>
        <s v="C2025421121012490"/>
        <s v="C202542175457452"/>
        <s v="C20253281052260"/>
        <s v="C202532616048587"/>
        <s v="C2025210123414403"/>
        <s v="C202531918228189"/>
        <s v="C202549185238238"/>
        <s v="C2025220122158238"/>
        <s v="BOI-953"/>
        <s v="C20254295315630"/>
        <s v="C2025324113459116"/>
        <s v="C202521716105838"/>
        <s v="C202532612250205"/>
        <s v="C202525175430985"/>
        <s v="C202532695742387"/>
        <s v="C202542112951685"/>
        <s v="MUR-491"/>
        <s v="C2025320185344533"/>
        <s v="C202532811343568"/>
        <s v="C202533193254143"/>
        <s v="C202541182722744"/>
        <s v="C202541173241430"/>
        <s v="C2025325103040346"/>
        <s v="C2025326164016894"/>
        <s v="CAC-245"/>
        <s v="CAC-255"/>
        <s v="SEVE-386"/>
        <s v="C2025326163318613"/>
        <s v="C202544115921187"/>
        <s v="C2025326155957325"/>
        <s v="C2025217111723386"/>
        <s v="C20254995138678"/>
        <s v="C2025317152319499"/>
        <s v="C2025311175742850"/>
        <s v="C2025110115758397"/>
        <s v="C20254111629612"/>
        <s v="C20253591552134"/>
        <s v="C202543102131316"/>
        <s v="C2025411104246800"/>
        <s v="C202533111812303"/>
        <s v="C202547115817370"/>
        <s v="C20254149273123"/>
        <s v="C20254818156921"/>
        <s v="BOI-955"/>
        <s v="LAL-138"/>
        <s v="LEO-452"/>
        <s v="VLL-362"/>
        <s v="VIG-557"/>
        <s v="C202537164450420"/>
        <s v="C20254119527381"/>
        <s v="C2025325161319461"/>
        <s v="C2025327175818490"/>
        <s v="C20254818255245"/>
        <s v="C2025325182646127"/>
        <s v="C202532115547611"/>
        <s v="C202549124323417"/>
        <s v="C202541510443625"/>
        <s v="C20254910758482"/>
        <s v="C2025411226184"/>
        <s v="C2025320102248794"/>
        <s v="C20254715111937"/>
        <s v="C2025325122735477"/>
        <s v="C2025325174726641"/>
        <s v="CULL-182"/>
        <s v="SLM-485"/>
        <s v="SEVE-387"/>
        <s v="C2025122105841733"/>
        <s v="C2025425185618539"/>
        <s v="C20253416827806"/>
        <s v="C2025411113311291"/>
        <s v="C2025326163444120"/>
        <s v="C2025411161616351"/>
        <s v="C20254151145219"/>
        <s v="C20254301129362"/>
        <s v="C202547155653185"/>
        <s v="C202541411623984"/>
        <s v="C2025425105237710"/>
        <s v="C2025430174328526"/>
        <s v="ALM-1214"/>
        <s v="C20253251623281"/>
        <s v="C2025313122834934"/>
        <s v="C20254711323072"/>
        <s v="C2025519121555494"/>
        <s v="C20255716515308"/>
        <s v="BNI-75"/>
        <s v="BNI-37"/>
        <s v="C20253121743464"/>
        <s v="C202542512464297"/>
        <s v="C202543182525468"/>
        <s v="C202555113157822"/>
        <s v="C2025415163948454"/>
        <s v="C202557123237267"/>
        <s v="C2025326165431860"/>
        <s v="C2025425104049157"/>
        <s v="C2025429173418611"/>
        <s v="C20254111366973"/>
        <s v="C20253241851025"/>
        <s v="C2025227104849928"/>
        <s v="C202542416422541"/>
        <s v="C20254217223331"/>
        <s v="C202541111010838"/>
        <s v="C202544111746204"/>
        <s v="C202541411934790"/>
        <s v="C2025324175738963"/>
        <s v="LOG-1169"/>
        <s v="C2025415171827123"/>
        <s v="C202542895155415"/>
        <s v="C20255810946643"/>
        <s v="C202559104028128"/>
        <s v="C202556113422987"/>
        <s v="C202541115234926"/>
        <s v="C202556104840639"/>
        <s v="C2025416104956953"/>
        <s v="JBR-2038"/>
        <s v="C2025414161941271"/>
        <s v="C202542810135933"/>
        <s v="JBR-1797"/>
        <s v="C20255512337333"/>
        <s v="JBR-2039"/>
        <s v="C20241120161651439"/>
        <s v="C20254251351436"/>
        <s v="C2025424172910131"/>
        <s v="C202543115411107"/>
        <s v="C20254316290829"/>
        <s v="C202542411245691"/>
        <s v="C2025491715052"/>
        <s v="C2025327162552848"/>
        <s v="C202549113558772"/>
        <s v="C202557162154624"/>
        <s v="C2025430131738688"/>
        <s v="C202542316221658"/>
        <s v="C202547125519540"/>
        <s v="C202558162243855"/>
        <s v="C202551312215598"/>
        <s v="MOR-1921"/>
        <s v="C202551215548461"/>
        <s v="C202532617178208"/>
        <s v="C20254231623403"/>
        <s v="C202542912365278"/>
        <s v="C202557183244726"/>
        <s v="C202532610155344"/>
        <s v="C202532516432291"/>
        <s v="C202541015594666"/>
        <s v="C202543016459972"/>
        <s v="C20254810541824"/>
        <s v="C2025591271264"/>
        <s v="C20254715511355"/>
        <s v="C20253141012518"/>
        <s v="C2025410112041214"/>
        <s v="C202551411855147"/>
        <s v="C20255811275847"/>
        <s v="C2025514104716583"/>
        <s v="C202542511209299"/>
        <s v="C202552105912604"/>
        <s v="C2025430182246180"/>
        <s v="C202542310410398"/>
        <s v="C2025515155746506"/>
        <s v="C2025515104529526"/>
        <s v="C2025559032454"/>
        <s v="C2025513111916844"/>
        <s v="C2025430171017606"/>
        <s v="C2025512115146618"/>
        <s v="C20255910354791"/>
        <s v="C20254149410566"/>
        <s v="C202542310580896"/>
        <s v="C202552152756729"/>
        <s v="C202542217536584"/>
        <s v="C2025481791514"/>
        <s v="C202552115756922"/>
        <s v="C202541410493447"/>
        <s v="C202549184519787"/>
        <s v="C2025411238823"/>
        <s v="C2025327175754453"/>
        <s v="C202541182926561"/>
        <s v="C20254911245719"/>
        <s v="C202542210295671"/>
        <s v="CAC-265"/>
        <s v="CAC-264"/>
        <s v="SLM-498"/>
        <s v="BOI-954"/>
        <s v="BOI-956"/>
        <s v="SEVE-393"/>
        <s v="BJZE-2245"/>
        <s v="VLL-366"/>
        <s v="CAC-259"/>
        <s v="CAC-262"/>
        <s v="SLM-473"/>
        <s v="TRR-364"/>
        <s v="SEVE-376"/>
        <s v="SLM-519"/>
        <s v="CAC-261"/>
        <s v="SLM-515"/>
        <s v="VLL-338"/>
        <s v="PON-834"/>
        <s v="SEVE-392"/>
        <s v="VLL-364"/>
        <s v="LEO-465"/>
        <s v="CULL-172"/>
        <s v="CAC-285"/>
        <s v="VLG-6"/>
        <s v="LAL-144"/>
        <s v="PON-860"/>
        <s v="VIG-561"/>
        <s v="BOI-375"/>
        <s v="CAC-270"/>
        <s v="LEO-476"/>
        <s v="VLL-376"/>
        <s v="LAL-142"/>
        <s v="SEVE-396"/>
        <s v="SLM-542"/>
        <s v="C20256292840124"/>
        <s v="C20256411852211"/>
        <s v="C2025571066589"/>
        <s v="C2025521172557687"/>
        <s v="C202558114050748"/>
        <s v="C2025516115638434"/>
        <s v="C2025591166835"/>
        <s v="C2025620155324114"/>
        <s v="C202531311344735"/>
        <s v="C202561116143616"/>
        <s v="C2025424123654631"/>
        <s v="FNL-3171"/>
        <s v="C2025514175459441"/>
        <s v="C202561711218402"/>
        <s v="C202552612136360"/>
        <s v="C202531310656790"/>
        <s v="C20255612220296"/>
        <s v="C202552218131945"/>
        <s v="C2025520161112726"/>
        <s v="C202558165756957"/>
        <s v="C2025520124410221"/>
        <s v="C2025513171231847"/>
        <s v="C20255215394549"/>
        <s v="C202556113040362"/>
        <s v="C202565111232860"/>
        <s v="C20256416042237"/>
        <s v="C2025530115028691"/>
        <s v="C2025527182119769"/>
        <s v="C2025514183611308"/>
        <s v="C20255309543921"/>
        <s v="C2025512102714178"/>
        <s v="C202552116482763"/>
        <s v="C202563171625513"/>
        <s v="C2025425103918524"/>
        <s v="C202565105045199"/>
        <s v="C2025513123816281"/>
        <s v="C2025514171337654"/>
        <s v="C2025522111034369"/>
        <s v="C2025581883068"/>
        <s v="C2025523122424343"/>
        <s v="C202552116452833"/>
        <s v="C202564181440169"/>
        <s v="C202558134413505"/>
        <s v="C202551310566282"/>
        <s v="C202551316619674"/>
        <s v="C202563103728804"/>
        <s v="C2025520122652900"/>
        <s v="C20255221010110"/>
        <s v="C202562123823770"/>
        <s v="C202559121458851"/>
        <s v="C2025521172440486"/>
        <s v="C2025523111220757"/>
        <s v="C2025516113440280"/>
        <s v="C2025516152429719"/>
        <s v="C2025618122949350"/>
        <s v="C20255281831426"/>
        <s v="C202559162443906"/>
        <s v="C2025527124017492"/>
        <s v="C202566102438543"/>
        <s v="C2025512163534533"/>
        <s v="C20253191222199"/>
        <s v="C202551916913205"/>
        <s v="C202562154812329"/>
        <s v="C2025512124135561"/>
        <s v="C202541171241496"/>
        <s v="C202549182140578"/>
        <s v="C202565123634694"/>
        <s v="C20256516463877"/>
        <s v="MUR-1266"/>
        <s v="C2025641034615"/>
        <s v="C2025430171330478"/>
        <s v="C2025521105035320"/>
        <s v="C2025527104597"/>
        <s v="MUR-1817"/>
        <s v="C2025610125137693"/>
        <s v="C202552117331316"/>
        <s v="C20256511404517"/>
        <s v="C2025523114011999"/>
        <s v="C20255281835178"/>
        <s v="C20255191662772"/>
        <s v="C2025514162150957"/>
        <s v="C202558163459180"/>
        <s v="C2025317153220721"/>
        <s v="C202564101055591"/>
        <s v="C2025522111648984"/>
        <s v="C20256416321511"/>
        <s v="C2025513111831996"/>
        <s v="C2025313112814960"/>
        <s v="C202551912153276"/>
        <s v="C202552017127770"/>
        <s v="C202552117127402"/>
        <s v="C202562122621942"/>
        <s v="C202565114616402"/>
        <s v="C2025523122829551"/>
        <s v="C2025516162113314"/>
        <s v="CST-19"/>
        <s v="C20255199505320"/>
        <s v="C202559155953814"/>
        <s v="C202552011110207"/>
        <s v="C2025326123140893"/>
        <s v="C202566123740183"/>
        <s v="C202552317527514"/>
        <s v="C202551218245574"/>
        <s v="C2025481833388"/>
        <s v="C202566154340153"/>
        <s v="C202561812556820"/>
        <s v="C202566952474"/>
        <s v="C202553010033693"/>
        <s v="C202551313645522"/>
        <s v="C202555153621469"/>
        <s v="C20256915635107"/>
        <s v="C202564102333572"/>
        <s v="C20255169420550"/>
        <s v="C2025416122247658"/>
        <s v="C202557174134493"/>
        <s v="C202552012258174"/>
        <s v="C202552817370358"/>
        <s v="C20255618428496"/>
        <s v="C202541116390272"/>
        <s v="LEO-460"/>
        <s v="CAC-263"/>
        <s v="VLL-375"/>
        <s v="VLL-350"/>
        <s v="VLL-385"/>
        <s v="BJZE-2485"/>
        <s v="CAC-284"/>
        <s v="LAL-151"/>
        <s v="SLM-404"/>
        <s v="SLM-528"/>
        <s v="VIG-563"/>
        <s v="ZRG-610"/>
        <s v="VIG-572"/>
        <s v="CAC-288"/>
        <s v="OBR-59"/>
        <s v="VIG-571"/>
        <s v="ZRG-635"/>
        <s v="LEO-489"/>
        <s v="CAC-306"/>
        <s v="BOI-952"/>
        <s v="ZRG-629"/>
        <s v="ZRG-639"/>
        <s v="TRR-273"/>
        <s v="SEVE-405"/>
        <s v="ZRG-630"/>
        <s v="VIG-575"/>
        <s v="BOI-964"/>
        <s v="VLL-390"/>
        <s v="CAC-313"/>
        <s v="BJZE-2483"/>
        <s v="C20255291151016"/>
        <s v="C202561911450348"/>
        <s v="C20256915520135"/>
        <s v="C2025519115544492"/>
        <s v="C2025749526307"/>
        <s v="C2025527163413871"/>
        <s v="C202561312435457"/>
        <s v="C2025630111437719"/>
        <s v="C2025616155039349"/>
        <s v="C202579115653676"/>
        <s v="C202571017474465"/>
        <s v="C202558114952858"/>
        <s v="C202578161110845"/>
        <s v="C2025710164457112"/>
        <s v="C2025610173752293"/>
        <s v="C2025616163118924"/>
        <s v="C2025716162629152"/>
        <s v="C202569172952184"/>
        <s v="C2025613153815131"/>
        <s v="C202552711150180"/>
        <s v="C20256616449783"/>
        <s v="C202573103659476"/>
        <s v="C202562693658351"/>
        <s v="C202561118242430"/>
        <s v="C202562015519620"/>
        <s v="C202571184852573"/>
        <s v="C202543173952676"/>
        <s v="C202579164940333"/>
        <s v="C202565103355633"/>
        <s v="C2025616163711349"/>
        <s v="C2025626105110809"/>
        <s v="C2025618111733236"/>
        <s v="C202561718121172"/>
        <s v="C2025625173212480"/>
        <s v="C2025520175834441"/>
        <s v="C2025617102646668"/>
        <s v="C20256161601295"/>
        <s v="C20255289530517"/>
        <s v="C2025618122941714"/>
        <s v="C202552013056449"/>
        <s v="C2025522122441620"/>
        <s v="C20256412532234"/>
        <s v="C202561611824885"/>
        <s v="C2025522173322301"/>
        <s v="C2025617172822294"/>
        <s v="C20256911372588"/>
        <s v="C2025529173113900"/>
        <s v="C202566163216826"/>
        <s v="C2025715101924623"/>
        <s v="C202571112926269"/>
        <s v="C2025512104845211"/>
        <s v="C20256294131115"/>
        <s v="C202561211128538"/>
        <s v="C202551412512587"/>
        <s v="C202563121418400"/>
        <s v="C2025618173042757"/>
        <s v="C2025625101015336"/>
        <s v="C20256615416855"/>
        <s v="C202555112845907"/>
        <s v="C202562316308221"/>
        <s v="C2025624175733862"/>
        <s v="C2025613161928178"/>
        <s v="C20256121001954"/>
        <s v="C2025522182025982"/>
        <s v="C202571103959440"/>
        <s v="C2025616162712892"/>
        <s v="C2025527175824796"/>
        <s v="C202573103548278"/>
        <s v="PIO-11249"/>
        <s v="C202574151733611"/>
        <s v="C202552216137601"/>
        <s v="C20255271836301"/>
        <s v="C2025620114121344"/>
        <s v="C202562395341662"/>
        <s v="C202561116342025"/>
        <s v="C202562091942491"/>
        <s v="C20257116932728"/>
        <s v="C2025618182738668"/>
        <s v="VIG-578"/>
        <s v="ZRG-645"/>
        <s v="CULL-207"/>
        <s v="LEO-479"/>
        <s v="VIG-565"/>
        <s v="BJZE-2491"/>
        <s v="ZRG-647"/>
        <s v="SEVE-413"/>
        <s v="CAC-321"/>
        <s v="CAC-330"/>
        <s v="LAL-146"/>
        <s v="BOI-973"/>
        <s v="CAC-312"/>
        <s v="CAC-298"/>
        <s v="PON-926"/>
        <s v="CAC-194"/>
        <s v="CAC-341"/>
        <s v="CAC-332"/>
        <s v="CAC-326"/>
        <s v="OBR-60"/>
        <s v="C2025410165637982"/>
        <s v="C202561718053736"/>
        <s v="C20257910250606"/>
        <s v="C2025716165443328"/>
        <s v="C202571112129849"/>
        <s v="C2025711105511596"/>
        <s v="C2025716173733301"/>
        <s v="C2025710105432565"/>
        <s v="C2025514161716900"/>
        <s v="C2025711165028289"/>
        <s v="C202563095130210"/>
        <s v="C20257711599915"/>
        <s v="C202573122916902"/>
        <s v="C202561817471468"/>
        <s v="C202561918355912"/>
        <s v="C202572171727696"/>
        <s v="C2025710104044176"/>
        <s v="C2025716172143986"/>
        <s v="C20257911532263"/>
        <s v="C20257219284198"/>
        <s v="C2025618104417651"/>
        <s v="C2025711204388"/>
        <s v="C2025710174318408"/>
        <s v="C2025610114053735"/>
        <s v="C202551612054133"/>
        <s v="C202565174717215"/>
        <s v="C2025516115425615"/>
        <s v="C20256301214587"/>
        <s v="C2025613123911482"/>
        <s v="C2025627163913242"/>
        <s v="CAC-334"/>
        <s v="SLM-561"/>
        <s v="SEVE-433"/>
        <s v="VIG-585"/>
        <s v="CAC-317"/>
        <s v="VLL-415"/>
        <s v="CULL-202"/>
        <s v="ZRG-655"/>
        <s v="C202587123548790"/>
        <s v="C2025731103413485"/>
        <s v="C202561113133217"/>
        <s v="C2025717115851930"/>
        <s v="C20257231092199"/>
        <s v="C202572418359947"/>
        <s v="C2025723124347297"/>
        <s v="C202572122032603"/>
        <s v="C2025612101314389"/>
        <s v="C2025721155827451"/>
        <s v="VAG-5367"/>
        <s v="C2025731103513675"/>
        <s v="C20255910648971"/>
        <s v="C2025717173352454"/>
        <s v="C202572912251122"/>
        <s v="C202573017349274"/>
        <s v="C202587124256978"/>
        <s v="C202572171020276"/>
        <s v="C202563114633778"/>
        <s v="C2025721163159413"/>
        <s v="C20257179330428"/>
        <s v="C2025711124459405"/>
        <s v="C2025722155358807"/>
        <s v="C202411141803749"/>
        <s v="C2025724181189"/>
        <s v="C202571101131108"/>
        <s v="C2025716175810999"/>
        <s v="C202582111928956"/>
        <s v="C202581992053548"/>
        <s v="C2025721113545272"/>
        <s v="C202571610581643"/>
        <s v="C202578163140695"/>
        <s v="C202571693436582"/>
        <s v="C20257221881716"/>
        <s v="C2025728112816267"/>
        <s v="C202571710351430"/>
        <s v="C20257161864666"/>
        <s v="C202562411302998"/>
        <s v="C2025721101518733"/>
        <s v="C2025711115559983"/>
        <s v="CULL-221"/>
        <s v="CAC-336"/>
        <s v="CAC-338"/>
        <s v="CAC-344"/>
        <s v="CAC-345"/>
        <s v="CAC-353"/>
        <s v="CAC-359"/>
        <s v="CAC-365"/>
        <s v="LEO-498"/>
        <s v="PON-846"/>
        <s v="PON-950"/>
        <s v="SLM-595"/>
        <s v="VLL-419"/>
        <s v="VIG-592"/>
        <s v="VIG-597"/>
        <s v="C202581995853579"/>
        <s v="C202581121019301"/>
        <s v="C2025822121047405"/>
        <s v="C20258251058283"/>
        <s v="C20259216555344"/>
        <s v="C20259416449826"/>
        <s v="C202593104026561"/>
        <s v="C2025729112114817"/>
        <s v="C2025912124422319"/>
        <s v="C2025821123847841"/>
        <s v="C202591592845120"/>
        <s v="C202591011421837"/>
        <s v="C20258229546440"/>
        <s v="FNL-1469"/>
        <m/>
        <s v="C2025951159016"/>
        <s v="C2025822104014712"/>
        <s v="C20259101779829"/>
        <s v="C20258511036334"/>
        <s v="C2025710102423971"/>
        <s v="C20258510293183"/>
        <s v="C20259891120370"/>
        <s v="C20259810525083"/>
        <s v="C202582710334353"/>
        <s v="C20258191118319"/>
        <s v="C2025724165737532"/>
        <s v="C2025924102353135"/>
        <s v="C202594115643608"/>
        <s v="C20257812052998"/>
        <s v="C2025724123618478"/>
        <s v="C202573117223984"/>
        <s v="C202598101940599"/>
        <s v="C202591012357715"/>
        <s v="C2025919153150313"/>
        <s v="C202592105656843"/>
        <s v="C2025910173529359"/>
        <s v="C202571710114916"/>
        <s v="C2025951648821"/>
        <s v="C2025415102713525"/>
        <s v="C2025723101654681"/>
        <s v="C2025722172149692"/>
        <s v="C20256239281927"/>
        <s v="C2025626181732616"/>
        <s v="C202562617310290"/>
        <s v="C202591712235127"/>
        <s v="C202581111258719"/>
        <s v="C202582293418119"/>
        <s v="C202581114846277"/>
        <s v="C202591116191616"/>
        <s v="C20258885832459"/>
        <s v="C202572815224502"/>
        <s v="C202587113137242"/>
        <s v="C202572912645144"/>
        <s v="C20257149364853"/>
        <s v="C202588114736810"/>
        <s v="C202572416303646"/>
        <s v="C2025916123433783"/>
        <s v="C20259510647702"/>
        <s v="C2025730112237206"/>
        <s v="C2025624155632351"/>
        <s v="C202572910510409"/>
        <s v="C202584121523354"/>
        <s v="C20259210293860"/>
        <s v="C20257181540467"/>
        <s v="C20258289454924"/>
        <s v="C202585947250"/>
        <s v="C20259210529996"/>
        <s v="C202572310248292"/>
        <s v="C202591117352797"/>
        <s v="C202587105344388"/>
        <s v="C202572165922418"/>
        <s v="C202599102631456"/>
        <s v="VLC-547"/>
        <s v="C202572122416550"/>
        <s v="C2025821151130392"/>
        <s v="C202582511573899"/>
        <s v="ZRZS-142"/>
        <s v="C2025911105951791"/>
        <s v="BJZE-2506"/>
        <s v="VIG-599"/>
        <s v="LAL-162"/>
        <s v="SLM-584"/>
        <s v="VIG-400"/>
        <s v="BJZE-2498"/>
        <s v="BJZE-2502"/>
        <s v="BOI-988"/>
        <s v="PON-919"/>
        <s v="BJZE-2499"/>
        <s v="CAC-354"/>
        <s v="LAL-168"/>
        <s v="OBR-72"/>
        <s v="CAC-372"/>
        <s v="LEO-523"/>
        <s v="VLL-424"/>
        <s v="SEVE-442"/>
        <s v="CAC-366"/>
        <s v="CAC-380"/>
        <s v="SLM-597"/>
        <s v="SLM-603"/>
        <s v="PON-944"/>
        <s v="CAC-378"/>
        <s v="VLL-417"/>
        <s v="VIG-613"/>
        <s v="BJZE-2507"/>
        <s v="PON-856"/>
        <s v="VIG-604"/>
        <s v="BOI-989"/>
        <s v="C202598165521270"/>
        <s v="C2025916155645827"/>
        <s v="C2025911103935364"/>
        <s v="C202581111719363"/>
        <s v="C202582995946616"/>
        <s v="C2024122616017104"/>
        <s v="C2025915122921595"/>
        <s v="C202582910625215"/>
        <s v="C202582910419307"/>
        <s v="BOI-991"/>
        <s v="C202569173634919"/>
        <s v="C202582110315643"/>
        <s v="C2025918163651776"/>
        <s v="SLM-607"/>
        <s v="C202591164623707"/>
        <s v="C202592211274419"/>
        <s v="C20259810350604"/>
        <s v="C20259161278401"/>
        <s v="C202595164945328"/>
        <s v="LOG-1420"/>
        <s v="C202592153017796"/>
        <s v="CAC-383"/>
        <s v="SLM-568"/>
        <s v="SLM-594"/>
        <s v="C202591716337772"/>
        <s v="C2025917173259990"/>
        <s v="C20259515548421"/>
        <s v="C2025915172115210"/>
        <s v="C2025721112918292"/>
        <s v="PON-920"/>
        <s v="PON-907"/>
        <s v="PON-933"/>
        <s v="SEVE-452"/>
        <s v="C20258219556483"/>
        <s v="C202591116392710"/>
        <s v="C202591518017464"/>
        <s v="C202591212628201"/>
        <s v="C202591212423650"/>
        <s v="C20258112333433"/>
        <s v="CAC-385"/>
        <s v="C2025911111455715"/>
        <s v="C2025630165839246"/>
        <s v="C2025728162656800"/>
        <s v="C202510610250535"/>
        <s v="C202591817559957"/>
        <s v="VIG-611"/>
        <s v="C202591811928283"/>
        <s v="C2025919152854375"/>
        <s v="C2025910194422149"/>
        <s v="C202591510302812"/>
        <s v="C202594171646705"/>
        <s v="C202592510263486"/>
        <s v="MSJ-24"/>
        <s v="PON-269"/>
        <s v="SLM-608"/>
        <s v="C2025918105043295"/>
        <s v="C202594113750263"/>
        <s v="HOR-2217"/>
        <s v="C202591617956595"/>
        <s v="LEO-546"/>
        <s v="LEO-533"/>
        <s v="C2025917181115675"/>
        <s v="C2025912124743909"/>
        <s v="C20251039749235"/>
        <s v="C2025619103136969"/>
        <s v="C202582810465083"/>
        <s v="C2025919105522488"/>
        <s v="C202592916913786"/>
        <s v="MGE-162"/>
        <s v="BOI-999"/>
        <s v="LAL-171"/>
        <s v="SLM-612"/>
        <s v="C202592691723568"/>
        <s v="C202572212207979"/>
        <s v="C202591105249542"/>
        <s v="C202582910512653"/>
        <s v="C20259812458661"/>
        <s v="C202592311224670"/>
        <s v="CAC-376"/>
        <s v="C2025910182514884"/>
        <s v="C20259241242675"/>
        <s v="C20259121612700"/>
        <s v="C202592216530238"/>
        <s v="C2025912134940910"/>
        <s v="C202592112646291"/>
        <s v="ZRG-451"/>
        <s v="C2025925102936960"/>
        <s v="C202510117552199"/>
        <s v="MGE-49"/>
        <s v="C2025911182457339"/>
        <s v="C20257112515230"/>
        <s v="C2025922163459800"/>
        <s v="C2025925162621627"/>
        <s v="C2025916183119542"/>
        <s v="C202592512249786"/>
        <s v="C2025917173328714"/>
        <s v="C2025929151911264"/>
        <s v="C202591116504933"/>
        <s v="C202591917455784"/>
        <s v="CAC-389"/>
        <s v="LEO-547"/>
        <s v="C20259210010546"/>
        <s v="C202591018414159"/>
        <s v="C202592316319853"/>
        <s v="C202591718138788"/>
        <s v="C2025881363715"/>
        <s v="C202592493128600"/>
        <s v="VGA-13185"/>
        <s v="C202591214835324"/>
        <s v="C2025925181819564"/>
        <s v="C202591816163459"/>
        <s v="C202510317027550"/>
        <s v="C2025915103439346"/>
        <s v="C2025101013615270"/>
        <s v="C2025929105149920"/>
        <s v="C2025930175639710"/>
        <s v="C202510816030138"/>
        <s v="C2025924162717423"/>
        <s v="C20251071845263"/>
        <s v="C2025108114926102"/>
        <s v="C20251021105244267"/>
        <s v="C202591993714591"/>
        <s v="CAC-393"/>
        <s v="C20259259564667"/>
        <s v="C2025917171514931"/>
        <s v="C202510710262263"/>
        <s v="C20257159434173"/>
        <s v="C2025102114545394"/>
        <s v="C2025918172023374"/>
        <s v="C202591914955411"/>
        <s v="C20259161630766"/>
        <s v="C20258221006806"/>
        <s v="CAC-395"/>
        <s v="VIG-622"/>
        <s v="C2025925175046499"/>
        <s v="C2025923163058224"/>
        <s v="C202591110728521"/>
        <s v="C2025101018148692"/>
        <s v="BOI-1003"/>
        <s v="CAC-399"/>
        <s v="CAC-401"/>
        <s v="LEO-551"/>
        <s v="C2025923172918699"/>
        <s v="C2025106155740814"/>
        <s v="C202563162936488"/>
        <s v="ZRG-649"/>
        <s v="C202510218947419"/>
        <s v="C202510616458945"/>
        <s v="C20254410337582"/>
        <s v="C202510218472605070"/>
        <s v="C202510311292191"/>
        <s v="C2025717121059278"/>
        <s v="C2025925164752459"/>
        <s v="C20259211932215"/>
        <s v="C202599183419957"/>
        <s v="C202510151038291262"/>
        <s v="C20251015104339905"/>
        <s v="C2025103112349194"/>
        <s v="C2025108175142863"/>
        <s v="C202591213249279"/>
        <s v="C2025107114733713"/>
        <s v="C202592115921573"/>
        <s v="C202510141410168949"/>
        <s v="C202510217111554"/>
        <s v="PON-911"/>
        <s v="C2025930175643116"/>
        <s v="C2025106124831899"/>
        <s v="C202510149101284255"/>
        <s v="C20259301395798"/>
        <s v="C2025102105317309"/>
        <s v="C2025624182020941"/>
        <s v="C2025924135530812"/>
        <s v="C202592911277510"/>
        <s v="C202510716931656"/>
        <s v="C2025107115520153"/>
        <s v="C2025101518319286"/>
        <s v="C2025102172122903"/>
        <s v="C202592518556702"/>
        <s v="C202592694846329"/>
        <s v="BJZE-2401"/>
        <s v="BJZE-2529"/>
        <s v="LEO-553"/>
        <s v="C2025731172833667"/>
        <s v="C2025930155910191"/>
        <s v="C20251010155528467"/>
        <s v="C202510131540317444"/>
        <s v="C202510141014400608"/>
        <s v="C20251017103253713"/>
        <s v="C202510295134679"/>
        <s v="CAC-403"/>
        <s v="SLM-622"/>
        <s v="VLG-159"/>
        <s v="C2025918182451403"/>
        <s v="C2025101517118286"/>
        <s v="C202592612243182"/>
        <s v="C20258810652376"/>
        <s v="PON-942"/>
        <s v="C202510110121273"/>
        <s v="C2025925112445880"/>
        <s v="C20251014123042219"/>
        <s v="C20258812352613"/>
        <s v="C202510217364940013"/>
        <s v="C2025102104823441"/>
        <s v="C20251016122337200"/>
        <s v="C202510231017253878"/>
        <s v="CAC-405"/>
        <s v="C202510148479597999"/>
        <s v="C2025929113117679"/>
        <s v="C202510151756131283"/>
        <s v="BOI-715"/>
        <s v="CAC-436"/>
        <s v="C202579125431219"/>
        <s v="C2025102012109252"/>
        <s v="C202510209125258710"/>
        <s v="C2025103124219231"/>
        <s v="C202564122949333"/>
        <s v="C202510201028554839"/>
        <s v="C20251015155830172"/>
        <s v="CAC-407"/>
        <s v="C202510101237434996"/>
        <s v="C20257810516852"/>
        <s v="C202510101150611649"/>
        <s v="C202592616346179"/>
        <s v="CAC-410"/>
        <s v="C2025917115836615"/>
        <s v="C2025922152058569"/>
        <s v="C202510139173038944"/>
        <s v="C2025930165440612"/>
        <s v="C202593018018131"/>
        <s v="C20251010121825"/>
        <s v="C2025520162413995"/>
        <s v="BOI-1002"/>
        <s v="C202593011223980"/>
        <s v="C2025102116047305"/>
        <s v="C202510179114967503"/>
        <s v="C202592105921739"/>
        <s v="C20251017111157143"/>
        <s v="C202510131341468155"/>
        <s v="C202510299541533762"/>
        <s v="C202510815458888"/>
        <s v="C202510139202353346"/>
        <s v="C202510201153258429"/>
        <s v="C2025101112319145"/>
        <s v="VLL-449"/>
        <s v="0"/>
        <s v="C20251014182719552"/>
        <s v="C20251015121459187"/>
        <s v="C202510141637584157"/>
        <s v="C20251014112824268"/>
        <s v="C2025923133639568"/>
        <s v="C202510168584740708"/>
        <s v="C2025102210513984"/>
        <s v="C20259251643237"/>
        <s v="C202592995047780"/>
        <s v="C202510161518573227"/>
        <s v="C202510211450159810"/>
        <s v="VIG-632"/>
        <s v="C2025106163520117"/>
        <s v="C202510149553783"/>
        <s v="C20251015101126750"/>
        <s v="ALB-589"/>
        <s v="C202510141114428962"/>
        <s v="C202511716403437887"/>
        <s v="C202510211354136208"/>
        <s v="C202510239535946869"/>
        <s v="C202510171515509044"/>
        <s v="SEVE-466"/>
        <s v="C202511119134290355"/>
        <s v="C202510311036310045"/>
        <s v="C202510207111397193"/>
        <s v="C2025111212324260"/>
        <s v="C202510218473447693"/>
        <s v="C202510299453887216"/>
        <s v="C202510161416401885"/>
        <s v="C202510148501534195"/>
        <s v="C2025102395418894"/>
        <s v="C202510161036578585"/>
        <s v="C20251023172032268"/>
        <s v="C202510171318218122"/>
        <s v="C202510161031892841"/>
        <s v="C202510247424176078"/>
        <s v="C202510301034650824"/>
        <s v="C20251117131527594"/>
        <s v="C202510301551142429"/>
        <s v="C202510208275688105"/>
        <s v="C202510208264929306"/>
        <s v="C202510231145455540"/>
        <s v="CULL-270"/>
        <s v="CAC-412"/>
        <s v="CAC-425"/>
        <s v="MOR-346"/>
        <s v="C202510211014295809"/>
        <s v="C2025917125458420"/>
        <s v="C202510291055923627"/>
        <s v="C20251017102530696"/>
        <s v="C2025612122632395"/>
        <s v="C202510219402818543"/>
        <s v="C202510201554338128"/>
        <s v="VIG-633"/>
        <s v="C202510917924811"/>
        <s v="C2025109175853796"/>
        <s v="C202510109518266"/>
        <s v="C202510281515144128"/>
        <s v="C202510248477106650"/>
        <s v="C202511312491034431"/>
        <s v="C202510211029150996"/>
        <s v="C202510161049288765"/>
        <s v="C202510301727515534"/>
        <s v="C202510281023758297"/>
        <s v="C20251079254489"/>
        <s v="C202510168172062578"/>
        <s v="C202510291057383718"/>
        <s v="C202510291164427881"/>
        <s v="C20251020961258"/>
        <s v="C202510271139536296"/>
        <s v="C20251139222488247"/>
        <s v="C202510281047412510"/>
        <s v="C2025930143152986"/>
        <s v="C202511393536538842"/>
        <s v="C202510151431264919"/>
        <s v="C202510151426572668"/>
        <s v="C202511416103631777"/>
        <s v="C202510910503721"/>
        <s v="PON-990"/>
        <s v="PON-992"/>
        <s v="C202510167425234141"/>
        <s v="C202510281139976833"/>
        <s v="C202510171019439504"/>
        <s v="C202511417266401601"/>
        <s v="C2025912104549439"/>
        <s v="C202510211604656834"/>
        <s v="C202511412285989779"/>
        <s v="C202510141120174733"/>
        <s v="C202510271053598510"/>
        <s v="C202511211412391741"/>
        <s v="C202510201554428447"/>
        <s v="C202510211028552232"/>
        <s v="C202510311112769486"/>
        <s v="C202510137551555299"/>
        <s v="C202510139244288259"/>
        <s v="C202510211021449756"/>
        <s v="PQL-1102"/>
        <s v="C202510291941602898"/>
        <s v="C202511121631512555"/>
        <s v="C202511713534908581"/>
        <s v="C202510301117255144"/>
        <s v="C20251010162115245"/>
        <s v="C202510201040595061"/>
        <s v="C202511109493561732"/>
        <s v="C202511612131520872"/>
        <s v="C202510281043398642"/>
        <s v="C2025101015021970"/>
        <s v="C2025108122025262"/>
        <s v="C202510211157545912"/>
        <s v="C20251016181036612"/>
        <s v="C20251016163113121"/>
        <s v="C202510271034807187"/>
        <s v="C202510291714461541"/>
        <s v="C20251016163259557"/>
        <s v="C202511149595126941"/>
        <s v="C202510281030204697"/>
        <s v="C202510291035179025"/>
        <s v="C202511610342706123"/>
        <s v="C202510201117383532"/>
        <s v="C202510211525313764"/>
        <s v="C202510231014551898"/>
        <s v="C202510301614594047"/>
        <s v="C202510301833155892"/>
        <s v="C202510211141200456"/>
        <s v="C20251128174543327"/>
        <s v="C202510221655496103"/>
        <s v="C202510301057200122"/>
        <s v="C202511510161949782"/>
        <s v="LEO-566"/>
        <s v="MSJ-363"/>
        <s v="CAC-422"/>
        <s v="C202510291623250008"/>
        <s v="VLL-466"/>
        <s v="C202510211642317790"/>
        <s v="C202510311213219541"/>
        <s v="C202510299444788378"/>
        <s v="C202510141115167942"/>
        <s v="C202510151714476751"/>
        <s v="C202511111013678445"/>
        <s v="CULL-260"/>
        <s v="VLL-462"/>
        <s v="C202511611529364302"/>
        <s v="PON-976"/>
        <s v="C202511101132331111"/>
        <s v="C202510291228995143"/>
        <s v="C202511119590519307"/>
        <s v="C202511191035455379"/>
        <s v="C202510141139851465"/>
        <s v="C202511517111135123"/>
        <s v="LEO-483"/>
        <s v="C2025106123231664"/>
        <s v="C202510151420103828"/>
        <s v="C202511101140825794"/>
        <s v="BJZE-2536"/>
        <s v="C202511311355108852"/>
        <s v="C202510231749396501"/>
        <s v="LEO-593"/>
        <s v="C202511510201532322"/>
        <s v="C202511695723748573"/>
        <s v="C202510221040289161"/>
        <s v="C202511710421791714"/>
        <s v="C202511119134190486"/>
        <s v="C202511149364663635"/>
        <s v="SLM-567"/>
        <s v="CULL-267"/>
        <s v="CULL-268"/>
        <s v="C202510311043803817"/>
        <s v="C202511109184084367"/>
        <s v="C20251114988334669"/>
        <s v="C202512111368504"/>
        <s v="C2025102211549387"/>
        <s v="CAC-440"/>
        <s v="C20251010114613393"/>
        <s v="C202510301234496065"/>
        <s v="C202511279252138653"/>
        <s v="C202511171548726809"/>
        <s v="PON-848"/>
        <s v="CAC-419"/>
        <s v="SLM-645"/>
        <s v="C202511201039178797"/>
        <s v="C202511131155509733"/>
        <s v="C202511138462062631"/>
        <s v="CAC-448"/>
        <s v="C202510271458189840"/>
        <s v="C202511121026471742"/>
        <s v="CAC-444"/>
        <s v="C202511611284381178"/>
        <s v="SLM-641"/>
        <s v="C202511416444006779"/>
        <s v="C202511416431155956"/>
        <s v="C202511111039390240"/>
        <s v="C202593016013322"/>
        <s v="CAC-442"/>
        <s v="C202511251115338477"/>
        <s v="C202511785735734534"/>
        <s v="C202510301719400985"/>
        <s v="C2025919155123890"/>
        <s v="C202511111839297239"/>
        <s v="C202511111620244882"/>
        <s v="C202511211559502036"/>
        <s v="C202511201228174337"/>
        <s v="C202511111749393786"/>
        <s v="C20256318282684"/>
        <s v="C202511785520923292"/>
        <s v="C2025926102152562"/>
        <s v="C202511119184318475"/>
        <s v="SEVE-292"/>
        <s v="C202511201641232702"/>
        <s v="C202512210375407030"/>
        <s v="C202511249411289262"/>
        <s v="C202512121230235851"/>
        <s v="C202511261112103448"/>
        <s v="C202511131422066053"/>
        <s v="C202511121646140757"/>
        <s v="C202511211119163932"/>
        <s v="C202511201734355763"/>
        <s v="C202512514574325442"/>
        <s v="SLM-652"/>
        <s v="C202510281634456406"/>
        <s v="C202511118254330379"/>
        <s v="VLL-472"/>
        <s v="C202511191014344161"/>
        <s v="C202511171184946055"/>
        <s v="C202511241521418500"/>
        <s v="C202510211018174929"/>
        <s v="C202511517254180811"/>
        <s v="SLM-659"/>
        <s v="LEO-597"/>
        <s v="C202512116342917389"/>
        <s v="C202511181130106575"/>
        <s v="PON-962"/>
        <s v="C202512111279187347"/>
        <s v="C202511191128215519"/>
        <s v="C202511171085228584"/>
        <s v="PON-978"/>
        <s v="C202510178333038599"/>
        <s v="C202511241134157908"/>
        <s v="C202511251025534008"/>
        <s v="C202511149312336389"/>
        <s v="CULL-122"/>
        <s v="C202512110554407508"/>
        <s v="VLL-481"/>
        <s v="C202511241735025505"/>
        <s v="C202511251212495621"/>
        <s v="C202511148554597075"/>
        <s v="C202511269295490696"/>
        <s v="C202510131053415806"/>
        <s v="C202511201240300206"/>
        <s v="C202511191611779531"/>
        <s v="C202511171044490999"/>
        <s v="C202511418582072340"/>
        <s v="C202511593338529474"/>
        <s v="C202511251126246042"/>
        <s v="C202511251046053377"/>
        <s v="C202511261758146117"/>
        <s v="C202511251446166226"/>
        <s v="C202511261511281165"/>
        <s v="C202511121263086318"/>
        <s v="C202511121537579266"/>
        <s v="C202511111117495526"/>
        <s v="C202512212557837550"/>
        <s v="C202512193859345294"/>
        <s v="C202510271625891811"/>
        <s v="C202511121752841356"/>
        <s v="C202512116345827671"/>
        <s v="C202511281155475652"/>
        <s v="C202512317323185359"/>
        <s v="C202511211112637430"/>
        <s v="C202512310464231022"/>
        <s v="C202511179265857428"/>
        <s v="C202511211413372148"/>
        <s v="C202510211735269943"/>
        <s v="C202511171133555602"/>
        <s v="C20251131118208418"/>
        <s v="C202510161191942907"/>
        <s v="C202511251231359232"/>
        <s v="C202511492022679732"/>
        <s v="C202510281722132524"/>
        <s v="C202512111233575181"/>
        <s v="C202512121059282488"/>
        <s v="SLM-655"/>
        <s v="C202512493338206635"/>
        <s v="C202511715351412"/>
        <s v="C202510161727576979"/>
      </sharedItems>
    </cacheField>
    <cacheField name="CLIENTE" numFmtId="0">
      <sharedItems containsBlank="1" count="1732">
        <s v="MARIA CARRASCAL GARROTE"/>
        <s v="FRANCISCA ROSA RODENAS"/>
        <s v="NATIVIDAD CABALLERO PEREZ"/>
        <s v="RAFAEL  REQUENA BURGOS"/>
        <s v="AMADOR  VALENCIA ARIAS"/>
        <s v="ANTONIO JOSE RODRIGUEZ MANZANO"/>
        <s v="DOMINGO  GALLEGO GARCIA"/>
        <s v="PEDRO LLORET LLORET"/>
        <s v="PURIFICACION BOTELLA RONDA"/>
        <s v="BEATRIZ  RODRIGUEZ JARABO"/>
        <s v="EDUARDO PASTOR PLANELLES"/>
        <s v="ELIZABETH GAFFNEY"/>
        <s v="JOSE FRANCISCO RICO PERTUSA"/>
        <s v="LUIS GONZÁLEZ GÓMEZ"/>
        <s v="MARIA MARTINEZ VACA"/>
        <s v="CARMEN LOPEZ MARTINEZ"/>
        <s v="BERNARDINO MACHUCA GARRIDO"/>
        <s v="CARLA MANZANARES GALLEGO"/>
        <s v="CONSOLACION  TORRONTERAS SANJULIAN"/>
        <s v="ESTHER GONZALEZ SANCHEZ"/>
        <s v="Mª ANTONIA  MOLINERO MORENO"/>
        <s v="MARIA DEL PILAR ANGULO SALAZAR"/>
        <s v="MAURINO SEVERIANO GUERRA"/>
        <s v="PETRA QUINTANA SANZ"/>
        <s v="REGINO RECUERO CANALEJAS"/>
        <s v="MARGARITA HIGUERAS AZORIT"/>
        <s v="IBRAHIMA BALEDEH"/>
        <s v="NIEVES ALVES VEGA"/>
        <s v="ANTONIA DIAZ-PARREÑO QUINTANAR"/>
        <s v="APARICIO CASTELLANO ORTIZ-VILLAJO"/>
        <s v="MARIA ALONSO CASTRO"/>
        <s v="MARIA GUADALUPE BLANCO RENTERO"/>
        <s v="ANGELINES BURUAGA MEDEL"/>
        <s v="GLORIA CLAVIJO ÍÑIGUEZ"/>
        <s v="MARIA JESUS RANEDO PALACIOS"/>
        <s v="ROSA MARIA  RUÍZ FERNÁNDEZ"/>
        <s v="JOSE DANIEL LUGILDE RIVAS"/>
        <s v="ÁNGELES RODRÍGUEZ CASTILLO"/>
        <s v="ARACELI BARRIOS MONTENEGRO"/>
        <s v="ENCARNACIÓN MARTOS GUALDA"/>
        <s v="LUCAS CALZA FERNANDEZ"/>
        <s v="TOÑI LOMAS CULEBRAS"/>
        <s v="ANTONIO PALOMINO GUIJARRO"/>
        <s v="ELENA ESTHER MONZON TARDON"/>
        <s v="FRANCISCO JAVIER DE LA MORENA  DE VEGA"/>
        <s v="IMNACULADA CANET ALCAMI"/>
        <s v="JESUS LLORENTE MARTINEZ"/>
        <s v="JUAN LEOVEL FALCON HURI"/>
        <s v="MARIA ASUNCION GARCIA DEL CAMPO FALCO"/>
        <s v="BASILIA LOPEZ DOMINGUEZ"/>
        <s v="BENJAMINA MARGARITA PEREZ GIL"/>
        <s v="HORTENSIA TRUJILLO LUMBRERAS"/>
        <s v="LEONCIO GARCIA SANTOS"/>
        <s v="MANUEL RUIZ SOTO"/>
        <s v="MARIA DEL CARMEN ORTEGA SUAREZ"/>
        <s v="MIGUEL ANGEL CRESPO DENCHE"/>
        <s v="ROBERTO RODRIGUEZ MARTIN"/>
        <s v="SOFIA BLANCO MENDEZ"/>
        <s v="ENRIQUE ALMEIDA PUJADAS"/>
        <s v="MARIA TERESA ORDOÑEZ DE CELIS"/>
        <s v="ADELA MARTIN MATA"/>
        <s v="JOSE ANGEL CALVO RAMOS"/>
        <s v="JULIO ANTON CABEZAS"/>
        <s v="ESPERANZA  GOMEZ LIÑARES"/>
        <s v="FRANCISCO REYERO RODRIGUEZ"/>
        <s v="MARI LUZ TELLO AYLLON"/>
        <s v="PILAR MARTIN PEDROSA"/>
        <s v="CONCEPCION MARIN SANCHEZ"/>
        <s v="JOSE ANTONIO ANTOLINOS SALINAS"/>
        <s v="JOSE ANTONIO LOPEZ GARRE"/>
        <s v="JUAN FERNANDEZ ANDREU"/>
        <s v="MANUEL VIDAL SANZ"/>
        <s v="MARIA JESUS BARCELO CLEMARES"/>
        <s v="MIGUEL ANGEL ROMERA MARIN"/>
        <s v="MONICA ALEXANDRA SALAZAR SANCHEZ"/>
        <s v="PEDRO MARTINEZ ROMERO"/>
        <s v="SALVADOR LOPEZ ESCAR"/>
        <s v="JACQUELINE MELVILLE"/>
        <s v="MIGUEL DIEZ ESTRADA"/>
        <s v="UNA MAGOURTY"/>
        <s v="MARIA GONZALEZ GOMEZ"/>
        <s v="MARÍA LUISA MEIRA LABO"/>
        <s v="EUSEBIO CASTEJON ROS"/>
        <s v="JOSE MARIA ROCA MARTINEZ"/>
        <s v="JUAN GARCIA GARCIA"/>
        <s v="LUISA ANDREU MARTINEZ"/>
        <s v="SUSAN ELISABETH RUTHERFORD"/>
        <s v="PILAR VAZQUEZ MEJUTO"/>
        <s v="FRANCISCA MORA DEL PINO"/>
        <s v="GUILLERMO POLO HERVÁS"/>
        <s v="JUSBERLY SMERALDA MENDOZA TERAN"/>
        <s v="FELICITA GONZALEZ GUTIERREZ"/>
        <s v="ANTONIO LOPEZ MORA"/>
        <s v="FERMINA ARRIBAS PARIS"/>
        <s v="FRANCISCA  HERNANDEZ CARRALERO"/>
        <s v="JOSE ANTONIO JIMENEZ ORTEGA"/>
        <s v="NATIVIDAD CAMARA NADADOR"/>
        <s v="FRANCISCA FONTESTAD PLANES"/>
        <s v="MARCOS MARTINEZ PEIRO"/>
        <s v="MARIA ISABEL PEÑALVER MOLLA"/>
        <s v="RAFAEL VIDAL BONAFE"/>
        <s v="SALVADOR VILA ESTEVE"/>
        <s v="VICENTE HERRERO GARCIA"/>
        <s v="CARMEN VALERO POLO"/>
        <s v="LEOPOLDO IBAÑEZ MONTORO"/>
        <s v="MARIA LUISA RAMOS GARCIA"/>
        <s v="NARCIS DINARES PEÑALVER"/>
        <s v="JOSEP MELLADO MAIQUEZ"/>
        <s v="MARIA DEL CARMEN DIÑEIRO ESCUREDO"/>
        <s v="JORGE MACIAS CID"/>
        <s v="LORENZO TOMAS GARCIA FABA"/>
        <s v="BENITA OLLOQUI MARCOS"/>
        <s v="JAVIER FREIRIA PEREIRA"/>
        <s v="MELCHOR GARCIA SANCHEZ"/>
        <s v="MARIA DEL CARMEN GONZALEZ GONZALEZ"/>
        <s v="MARIA PILAR CASTILLO CUBO"/>
        <s v="LUCIANA PUERTO MARTIN"/>
        <s v="EUFEMIA SANCHEZ RAMOS"/>
        <s v="MONTSERRAT MORANCHO SAUMENCH"/>
        <s v="MOHAMAD HUSSEIN ZOHBI"/>
        <s v="JUANA CORTES MEDINA"/>
        <s v="FRANCISCA GARCIA CUENLLAS"/>
        <s v="MARIA IGNACIA GARCIA LOPEZ"/>
        <s v="XOXE ANXO LORES LAGO"/>
        <s v="LORENZO GARRIDO GUTIERREZ"/>
        <s v="RAQUEL MARTINEZ RUIZ"/>
        <s v="NURIA SANCHEZ EIJO"/>
        <s v="GUADALUPE RUBIO ROS"/>
        <s v="FERNANDO SANCHEZ SANCHEZ"/>
        <s v="ELISA OLIVA MATEOS"/>
        <s v="ESPERANZA GALVIS RODRIGUEZ"/>
        <s v="JOSE MARIA GALAN REBOLLO"/>
        <s v="ANTONIO CORDON ESCUDERO"/>
        <s v="OLGA SIEIRA VILAR"/>
        <s v="JOSEFA CAMPOS MELENCHON"/>
        <s v="JUAN ALEJO MANSO CORREA"/>
        <s v="MARIA DEL CONSUELO MERINO GONZALEZ"/>
        <s v="AUREA MINGUEZA MAQUEDA"/>
        <s v="MANUEL DIOGO DOS SANTOS DOS SANTOS"/>
        <s v="FERNANDO DE FRANCISCO VEGA"/>
        <s v="PABLO GARCIA DOMINGUEZ"/>
        <s v="VICENTE VILAS MONTERO"/>
        <s v="REMEDIOS GOMEZ GOMEZ"/>
        <s v="MARCELINA VELASCO GARCIA"/>
        <s v="JAVIER LOSCOS MORATO"/>
        <s v="JESUS VALLES PRIETO"/>
        <s v="FELIPE HERNANDEZ GARCIA"/>
        <s v="MARIA MERCEDES RUBIO GONZALEZ"/>
        <s v="JAVIER PELLIN CATALA"/>
        <s v="ELVIRA LOPEZ RODRIGUEZ"/>
        <s v="MARIA DEL PILAR PORRAS BAENA"/>
        <s v="JANINE EMMANUELLE ANGE OMONT"/>
        <s v="CESAR MARTIN RUBIO"/>
        <s v="RAFAELA ALARCON SANCHEZ"/>
        <s v="TRINIDAD CHICOTE FERNANDEZ"/>
        <s v="JUAN ANTONIO RODRIGUEZ GARCIA"/>
        <s v="ENCARNACION GARCIA JIMENEZ"/>
        <s v="MANUEL JESUS PEREZ SANCHEZ"/>
        <s v="CONCEPCION GOMEZ FERNANDEZ"/>
        <s v="JOSEFA LOPEZ GARCIA"/>
        <s v="MARIA JESÚS CARDO GARCÍA"/>
        <s v="ÁNGEL SEGOVIA CORREAL"/>
        <s v="ROSARIO CARMONA LLANO"/>
        <s v="FELIPE GALAN GARCIA"/>
        <s v="MARIA REMEDIOS PULIDO CORBACHO"/>
        <s v="MARCA LORENZO DIAZ"/>
        <s v="ALBA GARCÍA ALBARRACIN"/>
        <s v="ROSA MARIA SANZ LOPEZ"/>
        <s v="ANA MARIA ROMERO BOLIVAR"/>
        <s v="ANTONIA MARIA SANCHEZ GUISADO"/>
        <s v="HERMINIA DEL CARMEN ZAPATA"/>
        <s v="FRANCISCA JORDAN IBAÑEZ"/>
        <s v="MANUEL GONZALEZ VINUESA"/>
        <s v="MARIA GRACIA CALDERON REYES"/>
        <s v="MIGUEL ALBARRACIN DOMINGUEZ"/>
        <s v="JESUS LUIS FREIRE ANIDO"/>
        <s v="JOSE MARIA DEL RIO DEL RIO"/>
        <s v="JUAN FRANCISCO FUENTES BORDAS"/>
        <s v="JUAN MANUEL MONTAHUD ESPI"/>
        <s v="LOURDES GUTIERREZ RAMOS"/>
        <s v="MARIA LUZ LAGARTERA GOMEZ"/>
        <s v="RAMON RODRIGUEZ SIMANCAS"/>
        <s v="FRANCISCO CONTRERAS LORENZO"/>
        <s v="FRANCISCA JIMENEZ PEREZ"/>
        <s v="MARÍA VEGA GONZÁLEZ IZQUIERDO"/>
        <s v="ALICIA EXPÓSITO NOGALES"/>
        <s v="STEPHEN BEACH"/>
        <s v="MARIA ANGELES SALINAS VELAZQUEZ"/>
        <s v="DOLORES CEBALLOS BALLESTEROS"/>
        <s v="ANICETA GARCIA PEREZ"/>
        <s v="JOSE JUAN GORMAZ"/>
        <s v="IGNACIA JIMENEZ CURIEL"/>
        <s v="JACOB ABECASIS HACHUEL"/>
        <s v="AMPARO LLORENS GORRIZ"/>
        <s v="TEOFILO MARTINEZ ROMERA"/>
        <s v="CARMEN GALAN MIGUEL"/>
        <s v="ELVIRA ENGUIDANOS PINO"/>
        <s v="CESAR DEL ALAMO BARRAS"/>
        <s v="JUAN PEREZ FEIJOO"/>
        <s v="CONCHA LLACER PEREZ"/>
        <s v="ANGELA CUESTA CUESTA"/>
        <s v="ANDREA VENTURA RUIZ"/>
        <s v="FELIPE SANTIAGO JOSE RIVERO DE AGUILAR SOBRINO"/>
        <s v="JUANA MOROTE ARANOS [RUBEN GONZALEZ MOROTE]"/>
        <s v="ANGELES BROTONS BEIVELL"/>
        <s v="LUIS REFOLIO REFOLIO"/>
        <s v="MARINA DOMINGUEZ GONZALEZ"/>
        <s v="MOHAMMED BOURHAHA"/>
        <s v="SIMÓN PÉREZ FERNÁNDEZ"/>
        <s v="MARICARMEN CHINARRO BLAZQUEZ"/>
        <s v="MIGUEL ANGEL RUIZ HARO"/>
        <s v="MARIA PAZ MUÑOZ SANCHEZ"/>
        <s v="BERNARDO MORENO CARRILLO"/>
        <s v="JESUS FERNANDEZ GONZALEZ"/>
        <s v="AMALIA DOMINGO PALACIOS"/>
        <s v="TRINIDAD RODRIGUEZ ALAMEDA"/>
        <s v="SANTIAGA ZAMORA CAÑADILLA"/>
        <s v="LUIS MARIA BENITO DE SANZ"/>
        <s v="SANTIAGO REGIDOR GUERRERO"/>
        <s v="ISABEL GARCIA ABELLAN"/>
        <s v="CESAR CUTILLAS DOMENECH"/>
        <s v="ISMAEL RICARDO LOPEZ OLLERO"/>
        <s v="ANTONIO MUÑOZ TAMARAL"/>
        <s v="JESUS VILLAR ALVAREZ"/>
        <s v="MARIA JARNE GAN"/>
        <s v="GUSTAVO OLARIAGA RODRÍGUEZ"/>
        <s v="VICTORIA GRAU PEREZ"/>
        <s v="FELICISIMA GARCIA PINTO"/>
        <s v="JOHN ROLAND LAWRENCE BATHE"/>
        <s v="MARGIT PANCZEL"/>
        <s v="JOSE RINCON MORENO"/>
        <s v="MARIA ISABEL GUILLEN GARRIDO"/>
        <s v="ISABEL SANCHEZ FERNANDEZ"/>
        <s v="ANA DE LOS ANGELES HERNANDEZ CARRILLO"/>
        <s v="JUANA GRANIZO HENCHE"/>
        <s v="JULIO PASCUAL FERNÁNDEZ"/>
        <s v="MIGUEL PIZARRO LORO"/>
        <s v="MARIA ASUNCION BERNAT FERNANDEZ"/>
        <s v="FERNANDO CABADO ROCA"/>
        <s v="JOSEFA GOMEZ RUBIO"/>
        <s v="NIEVES LLORENTE PEREZ"/>
        <s v="ESPERANZA CUBAS PINTADO"/>
        <s v="MANUEL GOMEZ VERA"/>
        <s v="ANABEL GUILLEN MARTINEZ"/>
        <s v="SARA CID BELMONTE"/>
        <s v="JUAN FRANCISCO SEQUERO RAMIREZ"/>
        <s v="JOSEFA ORTEGA RABAL"/>
        <s v="MERCEDES RODRIGUEZ REGO"/>
        <s v="MARIANO GALAN LUENGO"/>
        <s v="MARIA JOSE VALENZUELA MARTINEZ"/>
        <s v="ANDREA NAVARRO GARRIDO"/>
        <s v="ISIDORO JIMENEZ BLAZQUEZ"/>
        <s v="FAMORCA TRES S,L [JOSE MARIA VARA IZQUIERDO]"/>
        <s v="MANUEL PROL GARRIDO"/>
        <s v="AGUSTIN PINO BARRIGA"/>
        <s v="SUSANA ESTEBAN ARRIAZÚ"/>
        <s v="MARIA ANGELES PEREZ GOMEZ"/>
        <s v="MARIA SOLEDAD LUDGERO PINTO"/>
        <s v="FELICIANO GARCIA ARNANZ"/>
        <s v="JOSE FUSTER BURGOS"/>
        <s v="ROSA MARÍA CAMPORRO FERNÁNDEZ"/>
        <s v="FRANCISCO ROSA VIDARTE"/>
        <s v="PAZ VAZQUEZ CORTON"/>
        <s v="FELISA ROMERO REY"/>
        <s v="MARIA DE LAS MERCEDES CASTAÑO SANCHEZ"/>
        <s v="ANGELINA DEL CANO SALAN"/>
        <s v="CESAR RUBIO PRIETO"/>
        <s v="FLORENCIO GONALEZ GONZALEZ"/>
        <s v="ISIDRO HERNANZ LOZOYA"/>
        <s v="PILAR GOMEZ-MALAGA SANCHEZ"/>
        <s v="JULIA ARROYO GONZALEZ"/>
        <s v="DOMINGA FERREIRO FERREIRO"/>
        <s v="SERAFINA BENITO PUENTES"/>
        <s v="VICENTE CORCHADO FLORIANO"/>
        <s v="MARTIN ARROYO MOLANO"/>
        <s v="ROSA MARIA REGO HERMO"/>
        <s v="MANUELA MANEIRO RODRIGUEZ"/>
        <s v="ANTONIO CORRAL VALLE"/>
        <s v="AURORA ARCONADA GARCIA"/>
        <s v="APOLINARIA MARTINEZ MARQUEZ"/>
        <s v="INMACULADA GARCIA PALOMO"/>
        <s v="EMMA CANALS LIZANO"/>
        <s v="DANIEL LOPEZ DE ARMENTIA JIMENEZ"/>
        <s v="NATIVIDAD HUGUET SERRANO"/>
        <s v="EUGENIO CADENAS GUERRERO"/>
        <s v="MERCEDES SIMON SUSAÑO"/>
        <s v="MARIA SANCHEZ IGLESIAS"/>
        <s v="JUANA PEREJON MOLIN"/>
        <s v="ANGELITA SANTOS CORCHADO"/>
        <s v="MARIA ALSIRA RODRIGUEZ GARCIA"/>
        <s v="GUSTAVO ARROYO IZARRA"/>
        <s v="VERONICA SUAREZ HERNANDEZ"/>
        <s v="MERCEDES LLANES PANALES"/>
        <s v="MIGUEL GOMEZ CLARAMUNT"/>
        <s v="JOSEFINA GARCIA CANDELA"/>
        <s v="TERESA GARCIA GONZALEZ"/>
        <s v="CONSUELO GARCIA PANADERO"/>
        <s v="JOSE MANUEL MONTOYA SUBERVIOLA"/>
        <s v="ELISA BLAZQUEZ LOZANO"/>
        <s v="RAMIRO PESCADOR LAGUNILLA"/>
        <s v="DAVID IGUAL LUIS"/>
        <s v="MARIA DEL CARMEN  GARCIA FERNANDEZ"/>
        <s v="VICTORIA  MARTINEZ CASADO"/>
        <s v="ANA BELEN ESCUDERO ALONSO"/>
        <s v="MARGARET LUCY CLACHER"/>
        <s v="LUIS DEL AMO RIAZOR"/>
        <s v="ANDRES FERREIRO CARREÑO"/>
        <s v="AMANDA JANE CARTER"/>
        <s v="MARIA DEL CARMEN  SIERRA GOMEZ"/>
        <s v="MARIA ROSARIO  CHUECA AGUADO"/>
        <s v="MARIA PIEDAD AYUELA LOBATO"/>
        <s v="FRANCISCO CANO HUELVES"/>
        <s v="VICENTE FAILDE FERNANDEZ"/>
        <s v="JOSE  GORDILLO DURAN"/>
        <s v="JOAQUIN HERNANDEZ MANZANERA"/>
        <s v="DOLORES BECERRA GONZALEZ"/>
        <s v="JOAQUIN GUIRAO ULLASTRES"/>
        <s v="CARLOS  ALONSO ALONSO"/>
        <s v="PILAR CARRANZA GÜELL"/>
        <s v="SALVADOR BAUTISTA ZORNOZA"/>
        <s v="DIONISIO VILLABA CORRAL"/>
        <s v="PILAR REGIDOR DOÑORO"/>
        <s v="Sasho Ivanov"/>
        <s v="LUIS  PEREZ COELLO"/>
        <s v="ANTONIO CARRILLO ALCALA"/>
        <s v="SEGUNDO BELMONTE ROMERO"/>
        <s v="DERRICK JAMES COOPER"/>
        <s v="FELICIDAD MERCHAN SANTOS"/>
        <s v="SATURNINO GARCÍA ARNANZ"/>
        <s v="FRANCISCO ANTONIO GARCIA RODRIGUEZ"/>
        <s v="FRANCISCA MEROÑO SANCHEZ"/>
        <s v="MARCELINO GARCIA SALINERO"/>
        <s v="ISABEL NIETO ALEGRE"/>
        <s v="MARIA TERESA IGLESIAS LARRIBA"/>
        <s v="ENCARNACIÓN MUÑOZ RAMÍREZ"/>
        <s v="JOSEFINA GONZALEZ SANTANA"/>
        <s v="MARIA DEL CARMEN  FRANCO SUAREZ"/>
        <s v="ANA MARIA REINO MARTINEZ"/>
        <s v="PURIFICACION CARBALLEDO GOMEZ"/>
        <s v="MANUELA NAVARRO RODAS"/>
        <s v="MARIA JESUS SANCHEZ PONGA"/>
        <s v="MARIA LUISA MUÑOZ GARCIA"/>
        <s v="MOISES  MARTIN ANAYA"/>
        <s v="MARIA DEL CARMEN CARRICAJO GARRIDO"/>
        <s v="VICENTE SANZ SANZ"/>
        <s v="ISABEL GARCIA MARTIN"/>
        <s v="MARIA DEL CARMEN GIL MESA"/>
        <s v="MARIA ISABEL PARRA ORTEGA"/>
        <s v="ANTONIO HERNANDEZ GOMEZ"/>
        <s v="DAMASO GARCIA CLEMENTE"/>
        <s v="EVARISTO BLAZQUEZ RAMIRO"/>
        <s v="TERESA PASTOR PLAZA"/>
        <s v="VICENTE MORANT SUSPEDRA"/>
        <s v="LIOUDMILA MAMMERI"/>
        <s v="MARGARITA WIC COLLADO"/>
        <s v="CARLOS BAJO REVENGA"/>
        <s v="MARIA LUISA ALVAREZ ABEILHE"/>
        <s v="ANTONIO LUQUE CARRIQUE"/>
        <s v="JESUS MARTINEZ BENAVIDES"/>
        <s v="MARIA TERESA RICO NAVARRO"/>
        <s v="JIANQING WANG"/>
        <s v="MARIA DEL CARMEN LOPEZ NOGALES"/>
        <s v="MARIA CARMEN GALERA UROZ"/>
        <s v="TERESA VERA ARCONADA"/>
        <s v="MARIA CARMEN MOLINERO RUPEREZ"/>
        <s v="MARIA VICTORIA PAOLA REMIRO"/>
        <s v="MANUEL GONZALEZ GRANADOS"/>
        <s v="EMILIA MARTI ESTRICH"/>
        <s v="JOSE RAFAEL LABRADOR RECIO"/>
        <s v="MARIA ANGELES COZAR GARCIA"/>
        <s v="SABRINA ORTS MESTRE"/>
        <s v="DOLORES CARRILLO RUBIO"/>
        <s v="MANUEL BAÑOS SAURA"/>
        <s v="SABINO MUÑOZ PULIDO"/>
        <s v="ESTEBAN LUIS  BERMEJO BLAS"/>
        <s v="FRANCISCA SEGURA LOZANO"/>
        <s v="TERESA OVEJERO SANCHEZ"/>
        <s v="MIGUEL GARCIA VAZ-ROMERO"/>
        <s v="ELVIRA FERRO FUENTES"/>
        <s v="LORENZO CORRAL BENITEZ"/>
        <s v="JESUS ORTEGA NIETO"/>
        <s v="ANTONIO MONTERO LAGUNA"/>
        <s v="MARIA PEREZ SANCHEZ"/>
        <s v="ROSA MARIA MARTINEZ MARTINEZ-AEDO"/>
        <s v="JOSE DANIEL GARZON GARZON"/>
        <s v="MARIA DEL CARMEN SALAMANCA DE LA FUENTE"/>
        <s v="MARIA DEL CARMEN  ARROYO CASTRO"/>
        <s v="PABLO MARIN ALCALDE"/>
        <s v="EUGENIO GARCIA DE LA FUENTE"/>
        <s v="ANTONIO MARIA SERRANO SANCHEZ VILLACAÑAS"/>
        <s v="ANA CANCELO LARIOS"/>
        <s v="ANTONIO MORAL VILA"/>
        <s v="SEGUNDO IGLESIAS MACIAS"/>
        <s v="JUAN SUEIRO BAL"/>
        <s v="JOSE MATUD BONEL"/>
        <s v="ANA MARIA GOMEZ CARRION"/>
        <s v="MARIA DE LOS ANGELES PEREZ GARRIDO"/>
        <s v="MILAGROS ESTEVEZ ALVAREZ"/>
        <s v="VICENTE ANTONIO LLORET LLINARES"/>
        <s v="MARI PAZ FERNANDEZ ZAFRA"/>
        <s v="JESSICA GARCIA LOPEZ"/>
        <s v="MARIA DEL PRADO  GARCIA MUÑOZ"/>
        <s v="ROSA MARIA MONTERO CAMPOS"/>
        <s v="MANUEL SALGUEIROS ALVAREZ"/>
        <s v="JESUS NOMBELA PEREZ"/>
        <s v="JULIAN PINEL MORON"/>
        <s v="ROSARIO  SANCHEZ-CAMBRONERO GONZÁLEZ-CARRATO"/>
        <s v="ISABEL MIRANDA CANO"/>
        <s v="ENRIQUE VEGA PASCUAL"/>
        <s v="JOSÉ AGUSTIN CLEMENTE MARTÍNEZ"/>
        <s v="MARIA FUENTES ZAMORA"/>
        <s v="CATALINA CASTILLO RUBIO"/>
        <s v="JUAN LUIS RAMIL MORENO"/>
        <s v="MARGARITA MARTIN FERNANDEZ"/>
        <s v="JUAN CARLOS MARTÍN BARRENO"/>
        <s v="MARIA LUISA RAMIREZ GARCÍA"/>
        <s v="LILIANA ADRIANA LA ROSA CASTRO"/>
        <s v="ISABEL BLAS BERROCAL"/>
        <s v="AMABLE FRAILE MARCOS"/>
        <s v="CELIA PARADA BARREIRO"/>
        <s v="JAVIER RIO RODRIGUEZ"/>
        <s v="MARIA ISABEL OLLERO VIVAS"/>
        <s v="JOSE AMBROSIO RUANO MULAS"/>
        <s v="ANGEL MOSQUERA MAYOR"/>
        <s v="MARIA JOAQUINA BORREGO LASO"/>
        <s v="VICTORIA GARCIA BLANCO"/>
        <s v="MERCEDES ARRIBAS VAL"/>
        <s v="CASEMIRO CAMBERO MUÑOZ"/>
        <s v="MARIA PILAR GUTIERREZ PELAEZ"/>
        <s v="MARIA DEL CARMEN ASENSIO FERRERO"/>
        <s v="ELIDIA MANCEÑIDO LOPEZ"/>
        <s v="MERCEDES PEREZ FERNANDEZ"/>
        <s v="SHEILA FERNANDEZ HERRERO"/>
        <s v="EMILIO ALVAREZ RAMON"/>
        <s v="MARIA CARMEN CASERO ARIAS"/>
        <s v="MIGUEL ANGEL GARCIA HERRERO"/>
        <s v="MARIA JOSEFA BLANCO BLANCO"/>
        <s v="MARIA FILOMENA SUAREZ GARCIA"/>
        <s v="FERNANDEZ MARTINEZ CARMEN"/>
        <s v="NATALIA CEREZO SOLA"/>
        <s v="ANICETO ARIAS GONZALEZ"/>
        <s v="ROSARIO ZAMORANO CABO"/>
        <s v="JOSE ANTONIO DE TORRES GRADO"/>
        <s v="HORTENSIA SANCHEZ MORETA"/>
        <s v="MARIA JESUS ARRIBAS ABRIL"/>
        <s v="MARIA GARCIA SINDE"/>
        <s v="JUANA MARIA ESTEBAN FLECHA"/>
        <s v="CARMEN DEL ROSARIO MORENO GARCIA"/>
        <s v="DIEGO FELIX CAMPOS"/>
        <s v="EVA MARIA HERNANDEZ RODRIGUEZ"/>
        <s v="MARIA VICTORIA GIRALDA PEREZ"/>
        <s v="MANUEL OTERO REY"/>
        <s v="JUAN MARIA ANTEQUERA SABORIDO"/>
        <s v="PEDRO SANZ GARCIA"/>
        <s v="MANUEL VIDAL RODRIGUEZ"/>
        <s v="MARIA DIVINA CLARO PAZOS"/>
        <s v="MIGUEL ANGEL LOPEZ MAURICIO"/>
        <s v="EUSEBIO SANTAMERA GUIJARRO"/>
        <s v="FRANCISCO DIAZ SANCHEZ"/>
        <s v="IRENE CALVO SANCHEZ"/>
        <s v="MARIA ANGELES SANCHEZ SEGOVIA"/>
        <s v="TATIANA RIBERO MENDOZA"/>
        <s v="JOSEFA REINOSO CANGADO"/>
        <s v="JULIA ACEITUNO ACEITUNO"/>
        <s v="MARÍA DOLORES GARCÍA TUDELILLA"/>
        <s v="JOSE PRIETO CUESTA"/>
        <s v="JUAN ABANADES BENITO"/>
        <s v="DIGNA GOMEZ GRANDE"/>
        <s v="JOSEFA BRETAÑA PROL"/>
        <s v="DAVID ROS MELLADO"/>
        <s v="JUAN CARLOS SEVILLA VICEDO"/>
        <s v="MARIA DEL CARMEN GARCIA NIETO"/>
        <s v="PALMIRA DE LA FUENTE ALONSO"/>
        <s v="JOSE FROILAN SOLANS SERRANO"/>
        <s v="MIGUEL FUERTES ESCRICHE"/>
        <s v="JOSE HERNANDEZ QUERO"/>
        <s v="CONCEPCIÓN DIAZ TORRES"/>
        <s v="BORIS BURMAKIN"/>
        <s v="MARIA ROSARIO ORDAX MENDEZ"/>
        <s v="LUIS PASTOR SUAREZ"/>
        <s v="JOSE MARIA PALOMINO GOMEZ"/>
        <s v="VICENTE NOVOA MARTINEZ"/>
        <s v="MARIA ISABEL GIL GAMERO"/>
        <s v="ROSARIO SALCEDO ORTEGA"/>
        <s v="Mª ISABEL ANDRES CUADRADO"/>
        <s v="SANTIAGO GARCIA HERRANZ"/>
        <s v="LONGINA MORENO GARZON"/>
        <s v="JACINTO MATEOS MATEOS"/>
        <s v="MARÍA LUZ JUNCO DAVILA"/>
        <s v="MARIANO GARCÍA GRANADO"/>
        <s v="FERNANDO GAYOSO RODRIGUEZ"/>
        <s v="ROMEO ISIDRO ALARIN"/>
        <s v="EMILIA CASTELLANOS SERRANO"/>
        <s v="ENRIQUE VILARIÑO OURO"/>
        <s v="JOAQUINA SANCHEZ CHAPARRO"/>
        <s v="JOSEFA TENA VALDIVIA"/>
        <s v="GLORIA TRIGO BRICIOS"/>
        <s v="ESPERANZA BAUTISTA FRANCO"/>
        <s v="ROSWITHA ZOCH"/>
        <s v="CARMEN RICO CABEZUELO"/>
        <s v="MARIA DEL CARMEN LEON COBOS"/>
        <s v="ANDRES PEREZ SOLIER"/>
        <s v="RAQUEL TABUENCA IZQUIERDO"/>
        <s v="JOSEFINA APARICI PUCHE"/>
        <s v="CARMEN CASTELO CEIDE"/>
        <s v="MARIA ANGELES COLLANTE PORTILLO"/>
        <s v="SAGRARIO DIAZ MARTIN"/>
        <s v="MANUEL BERISO GARCIA"/>
        <s v="TRINIDAD RUFINO CHARLO"/>
        <s v="ENCARNA MUÑOZ BAREA"/>
        <s v="VICENTE VILLA ROMERO"/>
        <s v="INES MUÑOZ BORRELLA"/>
        <s v="MARI SOL MORGADO GONZALEZ"/>
        <s v="JOSE MARIA AGUADO MARTINEZ"/>
        <s v="ANGELES LOBO SANCHA"/>
        <s v="ALICE PATRICIA SPILLARS"/>
        <s v="MIGUEL ESPINOSA HIDALGO"/>
        <s v="RAFAEL CUBERO DIAZ"/>
        <s v="MARIA CRISTINA SENOSIAIN JIMENO"/>
        <s v="AURORA GARCIA PIÑERA"/>
        <s v="JUANA MARIA OLMOS HENAREJOS"/>
        <s v="EMILIA BENEYTO MELIA"/>
        <s v="SAMUEL OLIVERA BARRUECO"/>
        <s v="Mª ANGELES MORENO MEDINA"/>
        <s v="MARIA CONCEPCION CABRERA AGUDO"/>
        <s v="MARIA DEL CARMEN ANTON RODRIGUEZ"/>
        <s v="ESTEBAN GUTIERREZ DIAZ"/>
        <s v="SALVADOR AGUILAR GARCIA DE LAS HIJAS"/>
        <s v="ELENA GONZALEZ PRIETO"/>
        <s v="JUANA VAZQUEZ SALGUERO"/>
        <s v="MANUEL AMADO VAZQUEZ"/>
        <s v="RAMONA ALCALDE BLANCO"/>
        <s v="ISABEL MARTINEZ GRANIZO"/>
        <s v="MERCEDES MORENO LEAL"/>
        <s v="EMILIA GIRONDO ESPIN"/>
        <s v="CARMEN PEREZ TOUBES"/>
        <s v="MARIA JOSEFA ROMERO MARTIN"/>
        <s v="ROGELIO MOLARES LAGO"/>
        <s v="FRANCISCA BAYARRI GRESA"/>
        <s v="VINCENT PAUL REID"/>
        <s v="JUAN ANTONIO FERNANDEZ SANCHEZ"/>
        <s v="ANGELA DE LA CRUZ"/>
        <s v="PILAR LAZARO PRIETO"/>
        <s v="CONSUELO ZARATE GALLEGO"/>
        <s v="EMILIO NUÑEZ MARTINEZ"/>
        <s v="ELENA CUEVAS GOMEZ"/>
        <s v="MARIA DOLORES GIL SANCHEZ"/>
        <s v="PRISCILIANO DE LUCAS SAN FELIPE"/>
        <s v="ELISA FAZ MARTINEZ"/>
        <s v="MANUEL ALLO QUINTANS"/>
        <s v="JUAN MIGUEL SARGANELLA CASTELLO"/>
        <s v="MANUEL ADOLFO FERNANDEZ FERNANDEZ"/>
        <s v="SORIA MEHANNEK"/>
        <s v="ANA MARIA ROIG MARI"/>
        <s v="ETELVINA FERNANDEZ RODRIGUEZ"/>
        <s v="EUSEBIO ROSAS GONZALEZ"/>
        <s v="MARIA DOLORES CESPEDES RUBIO"/>
        <s v="ENCARNACION GARCIA BALIBREA"/>
        <s v="MARIA VICTORIA LOPEZ PIREZ"/>
        <s v="MARIA TERESA MARTI MARTI"/>
        <s v="MARIA MARCO PEINADO"/>
        <s v="VENANCIA GONZALEZ RODRIGUEZ"/>
        <s v="MARIA JOSEFA DEL POZO GIBAJA"/>
        <s v="JOSE BENITO BLANCO RAMOS"/>
        <s v="VERONICA GOMEZ SANCHEZ"/>
        <s v="MONTAÑA MENDOZA IGLESIAS"/>
        <s v="PLACIDA DURAN GARCIA"/>
        <s v="PEDRO SAAVEDRA RODRIGUEZ"/>
        <s v="MARIA DEL PILAR MORALES BUENO"/>
        <s v="CARMEN GARCIA-CAMBA DE LA MUELA"/>
        <s v="BLANCA RUIZ ADANERO"/>
        <s v="ANGEL ALARCON ESCUDERO"/>
        <s v="MARIA MILAGROS DEL CAMPO DEL CAMPO"/>
        <s v="JUAN GOMEZ TOLOSA"/>
        <s v="JUAN ZARAGOCI IBORRA"/>
        <s v="MARIA GARRIDO SANCHA"/>
        <s v="MARIA PAZ SAEZ MEDIERO"/>
        <s v="EMILIO GONZALEZ LOPEZ"/>
        <s v="MAGDALENA RECASENS FALOMIR"/>
        <s v="MARIA LUISA TARDAGUILA CEPERO"/>
        <s v="EDUARDO PALOMINO RIOS"/>
        <s v="AUREA MANUELA PALACIOS RODRIGUEZ"/>
        <s v="ANTONIA PRO DELGADO"/>
        <s v="ASCENSION VIDAL MATEO"/>
        <s v="REBECA MARIÑO ALONSO"/>
        <s v="JOSE TABOADA BERNANDEZ"/>
        <s v="ANTONIA RODRIGUEZ CANTON"/>
        <s v="PIO PAJARES GARRAPUCHO"/>
        <s v="JESUS IBAÑEZ RUAN"/>
        <s v="LOURDES PINAR CUARTERO"/>
        <s v="BENITO PEREZ PEDRAZA"/>
        <s v="ASCENSION MORA DUQUE"/>
        <s v="CONSOLACIÓN BARROSO TRIGUERO"/>
        <s v="JACINTA CRISOSTOMO MARTIN"/>
        <s v="MARIA SAGRARIO CALVO GUTIERREZ"/>
        <s v="LUISA PASCUA CORBATON"/>
        <s v="MARIA JESUS SANCHEZ ESPINOSA"/>
        <s v="MARGARET ROSE WORMINGTON"/>
        <s v="JESUS GUERRA LESMES"/>
        <s v="MARIA JESUS VAZQUEZ JIMENEZ"/>
        <s v="PILAR NOGALES LARA"/>
        <s v="EMPAR DE LANUZA HURTADO"/>
        <s v="JOSE SANCHIS TROBAT"/>
        <s v="MARIA CARMEN GOMEZ IBAÑEZ"/>
        <s v="JOSE FERREIRO DAPIA"/>
        <s v="MARIA DOLORES MESANAT MARTIN"/>
        <s v="VALLE GARCIA RIVERA"/>
        <s v="FRANCISCO MOLLA BAÑON"/>
        <s v="José Maria García Garrido"/>
        <s v="MANUEL GARCÍA SÁNCHEZ"/>
        <s v="MARIA GONZÁLEZ MURCIA"/>
        <s v="MARIA ALVAREZ CARPEÑO"/>
        <s v="MATIAS MONTOYA URBANO"/>
        <s v="BRUNO FRANCES GIMENEZ"/>
        <s v="JUANA ALICIA CASTAÑERA REINHART"/>
        <s v="MANUEL SEVERA FERRANDIS"/>
        <s v="REMEDIOS MEDINA ALENDA"/>
        <s v="ROSA VILA GRANCHA"/>
        <s v="TRINIDAD GARCIA CAPPA"/>
        <s v="VIRTUDES RUBI LOPEZ"/>
        <s v="EDUARDO MANUEL MATEOS FRIAS"/>
        <s v="AGUSTIN ZURERA RUBIO"/>
        <s v="JESUS ÁNGEL UBEDA MARTINEZ"/>
        <s v="MARIA DEL CARMEN ALSINA SANTAEUGENIA"/>
        <s v="ANTONIO BECERRIL LEON"/>
        <s v="MIGUEL ANGEL BOLAÑOS LOSADA"/>
        <s v="SUSAN MANNION"/>
        <s v="CRISTINA MORENO GOMEZ"/>
        <s v="ANGELICA  PORTELA GIRON"/>
        <s v="JOSE VICENTE LARA VILLENA"/>
        <s v="JUAN  PINTOR MOGENA"/>
        <s v="LAUREANO VIDAL LOPEZ"/>
        <s v="LUIS FERNANDEZ ALEGRIA"/>
        <s v="JACINTA CORISCO BENITO"/>
        <s v="JULIA VAQUERO GARCIA"/>
        <s v="MARIA INMACULADA  GALLARDO GINES"/>
        <s v="ORENCIO HERNANDEZ GALINDO"/>
        <s v="FRANCISCA MATEOS MONTES DE OCA"/>
        <s v="ANTONIA MORENO RODRIGO"/>
        <s v="ISIDORA ESCRIBANO MARTINEZ"/>
        <s v="MATEA NIEVA VALIENTE"/>
        <s v="RAFAEL MADERO ESCUDERO"/>
        <s v="VISITACION  SANCHEZ VALLADARES PEDRAZA"/>
        <s v="FEDERICO ESCUSOL PUIGGENE"/>
        <s v="LOURDES LARA BLANCO"/>
        <s v="MARIA PILAR NANCLARES PEREZ"/>
        <s v="PETRA VILLASCORNA PASCUAL"/>
        <s v="MARIA LUISA SOBRADO GAY"/>
        <s v="EMILIANA NIETO HORNERO"/>
        <s v="HELIODORA MUÑOZ IRIEPAR"/>
        <s v="JOSE LUIS GOMEZ DE SEGURA"/>
        <s v="MARIA ROSA VEGA OTERO"/>
        <s v="ANTONIO  MARTÍNEZ ARMENTEROS"/>
        <s v="ALEJANDRO  GOMEZ PRETOLINO"/>
        <s v="ALVARO ESPINOSA DE LOS MONTEROS BANEGAS"/>
        <s v="CARMEN MARTIN ROJO"/>
        <s v="LUIS SOLANCE MARTINEZ"/>
        <s v="MARCELO STERNBERG"/>
        <s v="MARIA DEL CARMEN MARTINEZ BRELL"/>
        <s v="MARIA JESUS SOLORZANO BARGA"/>
        <s v="ANA MARIA LINDEZ MARTINEZ"/>
        <s v="ANTONIO FRANCISCO AQUINO HERRERA"/>
        <s v="DOLORES AURELIA  LOPEZ SANCHEZ"/>
        <s v="FRANCISCA FERNANDEZ CASTELLANOS"/>
        <s v="JOSEFA HERNANDEZ SANCHEZ"/>
        <s v="MARIA CONCEPCION OVEJA SANCHEZ"/>
        <s v="MARIA CRISTINA GARCIA RODRIGO"/>
        <s v="RAFAEL MENA MORENO"/>
        <s v="TERESA GALINDO SERRANO"/>
        <s v="DOMINGO DOS SANTOS FERREIRA"/>
        <s v="JOSE FELIX JIMENEZ MORENO"/>
        <s v="MARIA JESUS ESCOBEDO SAIZ"/>
        <s v="ROCIO LOPEZ PRIETO"/>
        <s v="VICTORINO OLLOQUI GARCIA"/>
        <s v="CARMEN  GARCIA TOLOBA"/>
        <s v="KENIA MERCEDES MERCEDES"/>
        <s v="PILAR QUEJIGO TORRES"/>
        <s v="CARIDAD GONZALEZ PELLICER"/>
        <s v="ISABEL PACHECO COBARRO"/>
        <s v="JOSEFA BEATRIZ MARIN EGEA"/>
        <s v="JOSEFA ROS BELTRAN"/>
        <s v="JUAN TEODORO BAÑO FRANCO"/>
        <s v="SONIA MARTINEZ MARTINEZ"/>
        <s v="ELSA IRENE SANDBERG"/>
        <s v="CARMEN PIÑIERO CONDE"/>
        <s v="DELMIRO CABIDO LEDO"/>
        <s v="FERNANDO BLANCO GONZALEZ"/>
        <s v="JULIO FERNANDEZ RAPELA"/>
        <s v="TERESA ROMERO VASQUEZ"/>
        <s v="EMILIANA RAYACES CURIEL"/>
        <s v="ANTONIA MARIA TARRAGA HERNANDEZ"/>
        <s v="MARIA ANGELES SOTO GALINDO"/>
        <s v="XOSÉ SIGNIORINI PEREZ"/>
        <s v="CARMEN PECE HERNANDEZ"/>
        <s v="MANUEL CARCELA GARCIA"/>
        <s v="MANUELA CAMPOS DEL CAMPO"/>
        <s v="MARCOS PASTOR PINILLOS"/>
        <s v="MARIA ISABEL VALIENTE FABERO"/>
        <s v="MERCEDES CAMPOS MORON"/>
        <s v="MARÍA DEL PRADO JIMENEZ BLANCO"/>
        <s v="PEDRO SANCHEZ MARTIN"/>
        <s v="DAVID FLORES BARRIGA"/>
        <s v="GEMA ATIENZA PARRADO"/>
        <s v="NARCISO ROMERO BAONZA"/>
        <s v="FRANCISCO  TARREGA GONZALEZ"/>
        <s v="FELIPE PEREZ NOVELLA"/>
        <s v="FERNANDO MIGUEL LEAL FERNANDEZ"/>
        <s v="FRANCISCO GARCIA MORATA"/>
        <s v="MIGUEL CERVERA SANZ"/>
        <s v="SALVADOR MARIN GARCIA"/>
        <s v="VIRGINIA DEL PINO GRACIA"/>
        <s v="CARMEN CORCOLES MARCOS"/>
        <s v="JOSE LAFONT MARTINEZ"/>
        <s v="ROCIO DOMINGUEZ DOMINGUEZ"/>
        <s v="VICENTE FERRER PILES"/>
        <s v="DIEGO LOPEZ GARCIA"/>
        <s v="MANUELA PAJUELO VALSERA"/>
        <s v="JUANA SAAVEDRA TODON"/>
        <s v="AGUSTIN RODRIGUEZ FLORES"/>
        <s v="TERESA DOSUNA SANCHEZ"/>
        <s v="JOSEFA GONZALEZ  SANTAMARIA"/>
        <s v="CONSTANTINA ARCOS REY"/>
        <s v="FELIX NAVARRO PECELLIN"/>
        <s v="MARIUA MAGDALENA FRAGOSO MONGE"/>
        <s v="AGUSTINA QUEVEDO LOPEZ"/>
        <s v="MARIA DE LOS ANGELES GALAN SERRANO"/>
        <s v="MARIA ISABEL ANTON MARTIN"/>
        <s v="JULIA SABRINA BENAVENTE SANCHEZ"/>
        <s v="ANTONIA GARCIA SORIA"/>
        <s v="ANTONIA GONZALEZ AGUILAR"/>
        <s v="MARIA JOSEFA LOPEZ CASADO"/>
        <s v="DOLORES AVILA SOLIS"/>
        <s v="LUIS DIEZ HERNANDEZ"/>
        <s v="MARIA DEL CARMEN GARCIA ESPINILLA"/>
        <s v="PIEDAD FERNANDEZ ALFONSO"/>
        <s v="JOSEFA CABRA LUQUE"/>
        <s v="EUTIMIO MARTIN MARTIN"/>
        <s v="SARA GARCIA BRIZUELA"/>
        <s v="CARMEN CORZO SIERRA"/>
        <s v="MARIA LUISA VILLARROEL DURAN"/>
        <s v="CONCEPCION TARRIO VAZQUEZ"/>
        <s v="MANUEL GAITEIRO FERNANDEZ"/>
        <s v="MARCELO PEREZ PANIZO"/>
        <s v="ALBERTO LOPEZ NIETO"/>
        <s v="JOSE ANGEL LAIÑO ROMERO"/>
        <s v="SERAFIN SIERRA CARRIL"/>
        <s v="ARGENTINA LOPEZ LAZARO"/>
        <s v="FELIX MOLPECERES TOLEDO"/>
        <s v="MARIA TERESA FAILDE GARCIA"/>
        <s v="ISMAEL SANCHEZ BRIZ"/>
        <s v="MARIA DE LOS ANGELES LANZAROTE SASTRE"/>
        <s v="CESAR AUGUSTO CRUZ MANZANERO"/>
        <s v="CRUZ MARIN TORAL"/>
        <s v="ANA ORTS MAS"/>
        <s v="DIEGO CRUZ GILBERT"/>
        <s v="ELVIRA GALINDO CARRETERO"/>
        <s v="MARIA DEL CARMEN LORENZO MANGAS"/>
        <s v="VICENTE VARO BUTRON"/>
        <s v="LAURA CRUZ FERNANDEZ"/>
        <s v="INMACULADA MARCOS MANTECA"/>
        <s v="JOSE CINCUNEGUI ABASCAL"/>
        <s v="BEATRIZ FERNANDEZ MONTERO"/>
        <s v="GILMA CARDONA ECHEVERRY"/>
        <s v="HERMINIA TEJERO OVEJERO"/>
        <s v="LUIS AUNION CARRETEROS"/>
        <s v="MERCEDES  JIMENEZ FUENTES"/>
        <s v="TEODORA GARCIA GARCIA"/>
        <s v="TERESA RUIZ SANTOS"/>
        <s v="ALICIA RODRIGUEZ MARTIN"/>
        <s v="ANTONIO GUTIERREZ FERNANDEZ"/>
        <s v="JOSE MARIA REDONDO GARCIA"/>
        <s v="MARIA JOSE LOPEZ MONZON"/>
        <s v="Joan Masana Argeric"/>
        <s v="Maria Dolores Edo Torner"/>
        <s v="Maria José Durán Marín"/>
        <s v="ANGELES ROBLE RIQUELME"/>
        <s v="ANGEL RODRIGUEZ FINEZ"/>
        <s v="MARIA BELINCHON FERNANDEZ"/>
        <s v="ALEJANDRA LOPEZ-LASO"/>
        <s v="CRISTINA GONZALEZ LOPEZ"/>
        <s v="MANUEL CORNES CASAL"/>
        <s v="TERESA FERNANDEZ VITERI"/>
        <s v="CARLOS  ARIAS DE LA TORRE"/>
        <s v="JOSEFA  GINZO FERNANDEZ"/>
        <s v="ALICIA HALPERIN CHERVIN"/>
        <s v="ANTONIA GONZALEZ GONZALEZ"/>
        <s v="GLORIA ROLDAN MACHON"/>
        <s v="ROSARIO JUANINO BARRIO"/>
        <s v="FERNANDO PRECIADO SANTAMARIA"/>
        <s v="ISABEL RODRIGUEZ MORA"/>
        <s v="MÓNICA DE LA MORA"/>
        <s v="SANTIAGO  GOMEZ RAMOS"/>
        <s v="ANTONIO VILLODAS SANCHEZ"/>
        <s v="GIUSEPPE LA ROSA NATIVO"/>
        <s v="MARIA DEL CARMEN RUEDA OLIVA"/>
        <s v="MARIAN ELISABET MACCOLL SPROULE"/>
        <s v="ANGEL LUIS MARTINEZ SANCHEZ"/>
        <s v="ANTONIO JESUS VALENZUELA VERA"/>
        <s v="BEGOÑA  SERRANO MAÑUECO"/>
        <s v="CAYETANO DIAZ PEREZ"/>
        <s v="JOSE LUIS  GUERRERO ESTEBANEZ"/>
        <s v="JUAN MANUEL LOPEZ MOMPEÁN"/>
        <s v="AMPARO MARTIN GONZALEZ"/>
        <s v="CATALINA BALLESTEROS DE ANA"/>
        <s v="JUAN ANTONIO GUTIERREZ LOPEZ"/>
        <s v="MONSERRAT LOPEZ CARRASCOSA"/>
        <s v="NATIVIDAD SANCHO MALMIERCA"/>
        <s v="SANTOS MORENO BLAZQUEZ"/>
        <s v="TERESA PAJE CORREDOR"/>
        <s v="MARIA ANGELA ESPERALTA GUTIERREZ"/>
        <s v="MARIA JESUS RODRIGUEZ-BOBADA ROJAS"/>
        <s v="MARIA PIEDAD GOMEZ NUÑEZ"/>
        <s v="NELA ROSA FERNANDEZ BLOISE"/>
        <s v="PILAR JIMENEZ MARTIN"/>
        <s v="JOSE MARIA MOLINA GARCIA"/>
        <s v="MARIA CARMEN RODRIGUEZ FRIAS"/>
        <s v="AURORA VELASCO OJALVO"/>
        <s v="JOSE JAVIER  CAMPOS SIERRA"/>
        <s v="ANGELICA MARINA MERCHAN CARMONA"/>
        <s v="ANTONIA ESTEBAN SANCHEZ"/>
        <s v="CARMEN CAYUELA MAIQUEZ"/>
        <s v="CARMEN LOPEZ MEDINA"/>
        <s v="FRANCISCO MENDEZ APARICIO"/>
        <s v="ISABEL FERNANDEZ DE MAYA"/>
        <s v="LUISA MARIA GRECH MONTORO"/>
        <s v="TERESA NOGUERA SANCHEZ"/>
        <s v="ALEXANDRA PHILLIPS"/>
        <s v="ANTONIO FERNANDEZ GONZALEZ"/>
        <s v="MARIA GUTIERREZ BIOSCA"/>
        <s v="MARTHA GLORIA HOLT"/>
        <s v="PETER STANLEY BURROUGH"/>
        <s v="STEPHEN FRASER"/>
        <s v="CLAUDINA CARBALLO IGLESIAS"/>
        <s v="JUAN GONZALEZ GONZALEZ"/>
        <s v="MANUEL NIETO FORMOSO"/>
        <s v="MARIA DEL CARMEN NOBOA BLANCO"/>
        <s v="MARIA INES RODRIGUEZ GARCIA"/>
        <s v="PABLO MANZANO IGLESIAS"/>
        <s v="PILAR FEIJOO GONZALEZ"/>
        <s v="FRANCISCA MARTINEZ PEREZ"/>
        <s v="ISABEL GARCIA BALSALOBRE"/>
        <s v="JOSE ANTONIO ABAD MARTINEZ"/>
        <s v="JUANA PEREZ ROMERO"/>
        <s v="PILAR SANCHEZ ZAPLANA"/>
        <s v="ROSARIO RAMOS PARDO"/>
        <s v="TERESA BAILO RECH"/>
        <s v="ELISEO POMBO OTERO"/>
        <s v="JESUS TURNES MANSILLA"/>
        <s v="LUZ DIVINA NUÑEZ FERNANDEZ"/>
        <s v="PALOMA CASTRO REY"/>
        <s v="ADRIAN MARTINEZ MORENO"/>
        <s v="CARMEN RAMIREZ MASERA"/>
        <s v="FIDEL GAYOSO GOMEZ"/>
        <s v="JUAN JOSE PEREZ LAGARES"/>
        <s v="JUTTA HUMKE RODER"/>
        <s v="LUISA RUBIO TORO"/>
        <s v="MARIA DEL CARMEN MUÑOZ BRUÑ"/>
        <s v="FRANCISCA BLANCO SIERRA"/>
        <s v="MARIA LUISA GARCIA VAZQUEZ"/>
        <s v="ANGELES DEL CASAR SERRANO"/>
        <s v="MARIA CRUZ LOPEZ LOPEZ"/>
        <s v="DAVID GALLEGO DE LA SACRISTANA"/>
        <s v="ELIECER DIMAS DE MIGUEL"/>
        <s v="Francisco Gual Nadal"/>
        <s v="Leunus   Straub"/>
        <s v="RICARDO SALVADOR CERVERA MARTINEZ"/>
        <s v="ANTONIO RIOS MAIRENA"/>
        <s v="CARMEN CABEDO GISBERT"/>
        <s v="DOLORES ARANDA TORRES"/>
        <s v="MARTA ARAGON FERNANDEZ"/>
        <s v="MARIA CONCEPCION (CONCHI) MENDEZ FERNANDEZ"/>
        <s v="SERGIO BLAZQUEZ CALDERON"/>
        <s v="VICENTE AVILA REPISO"/>
        <s v="JUAN JOSE CAMPELO SUAREZ"/>
        <s v="MARIA DOLORES GOMEZ PALLETE RIVAS"/>
        <s v="CARMELO MENA ARRANZ"/>
        <s v="LUCAS GARCIA MICHARET"/>
        <s v="MARIA SOLEDAD SAENZ CHACON"/>
        <s v="ELENA ELISEI"/>
        <s v="GABRIEL MARQUEZ MENDEZ"/>
        <s v="FRANCISCO LUCAS PEÑA"/>
        <s v="MARINA GLORIA BARREIRO RODRIGUEZ"/>
        <s v="PAULINO SANGUINO RAMOS"/>
        <s v="CARLOS AYMERICH GONZALEZ"/>
        <s v="MARIA PILAR SANCHEZ JIMENEZ"/>
        <s v="OFELIA RODRIGUEZ FERNANDEZ"/>
        <s v="JOSEFA FREAZA LAGO"/>
        <s v="HERADIO MEDINA ROJAS"/>
        <s v="AMANDIO ANJOS PEREIRA MESQUITA"/>
        <s v="JOSE MARIA BRAVO PEÑA"/>
        <s v="ANDRES SUAREZ PEREZ"/>
        <s v="CARMEN MARIN PEREZ"/>
        <s v="FLORENTINO SALO CUCALON"/>
        <s v="JOAN ESTEBAN BONCOMPTE SAZ"/>
        <s v="ANGELES CORPA GUZMAN"/>
        <s v="ANTONIO RAMOS SANCHEZ"/>
        <s v="MARIA EUGENIA FRANCISCO GUEDELLA"/>
        <s v="MARIA DEL CARMEN SIEIRA QUINTANS"/>
        <s v="MARIA TERESA RODRIGUEZ MARTINEZ"/>
        <s v="MARIA MONTAÑA REMEDIOS ALBURQUERQUE"/>
        <s v="PALMIRA PRIETO PRIETO"/>
        <s v="ELEASAR OSES NIÑO"/>
        <s v="ALEXANDRA STOTTOR"/>
        <s v="ALVARO MARTIN ANDRES"/>
        <s v="ANTONIA TORRES GUINDEL"/>
        <s v="CARMEN GALLARDO FERNÁNDEZ"/>
        <s v="CARMEN GRANDE RODRIGUEZ"/>
        <s v="CECILIA  PEDRON PASCUAL"/>
        <s v="DIEGO DE INGUNZA DE SANTALUCIA"/>
        <s v="EMILIO JOSE DIAZ-VILA GONZALEZ"/>
        <s v="ENCARNACIÓN  FLORES ALFONSO"/>
        <s v="EUGENIO MERINO MARTIN"/>
        <s v="FELISA PILAR GARCIA BRAVO"/>
        <s v="FRANCISCA MACARENA SEGURA QUESADA"/>
        <s v="FRANCISCA MARTIN MARTIN"/>
        <s v="FRANCISCA VAQUERIZA VAQUERIZA"/>
        <s v="FRANCISCO JAVIER BARRIOS RODRIGUEZ"/>
        <s v="FRANCISCO LORITE CABALLERO"/>
        <s v="FRANCISCO PEREZ BARBERAN"/>
        <s v="FULGENCIO GRANIZO REBOLLO"/>
        <s v="GERMAN VEGA FERNANDEZ"/>
        <s v="INES BESCOS CALVO"/>
        <s v="INES OUBEL SOUTO"/>
        <s v="ISABEL NIETO GARCIA"/>
        <s v="ISIDRO BARBA GALLEGO"/>
        <s v="JACQUELINE DENISE PRIOR"/>
        <s v="JESUS HILARIO GARCIA SANCHEZ"/>
        <s v="JORGE ARTURO ALONSO BERZOSA"/>
        <s v="JOSE ANTONIO MERENCIANO LOPEZ"/>
        <s v="Jose Antonio Polanco Mora"/>
        <s v="JOSE MARIA DE MORETA GARCIA"/>
        <s v="JOSE MARIA MARCELINO SOTILLO TORIJA"/>
        <s v="JOSE RAMON GIL NOVOA"/>
        <s v="JOSEFA ISASIS JUAREZ"/>
        <s v="JOSEFA MARTINEZ SAURA"/>
        <s v="JOSEFA MERINERO BORREGO"/>
        <s v="JOSEFA PEREZ VAYA"/>
        <s v="JOSEFA TORRÓ CAÑIZARES"/>
        <s v="JUAN  REVILLA GOMEZ"/>
        <s v="JUAN ANTONIO GARCIA DEL OLMO"/>
        <s v="JUAN ANTONIO RAMIREZ RAMIREZ"/>
        <s v="JUAN CARLOS PAYA MOLTO"/>
        <s v="JUAN FRANCISCO MUÑOZ RODRIGUEZ"/>
        <s v="JUAN LORENZO SANCHEZ PINO"/>
        <s v="JUAN RAMON PELLICER GARRIDO"/>
        <s v="KARIM AHLMINE"/>
        <s v="LODEWIJK REINIER VAN ROSSUM"/>
        <s v="lucia  CARRASCO ROMAN"/>
        <s v="LUIS BERNAL BERNAL"/>
        <s v="LUISA  GONZALEZ RUEDA"/>
        <s v="MAGDALENA GOMEZ REBOLLO"/>
        <s v="MANUEL FLORES COLLAZOS"/>
        <s v="MARIA DEL CARMEN  VILAMAJO NOLLA"/>
        <s v="MARIA DEL CARMEN FERNANDEZ PATO"/>
        <s v="MARIA DEL CARMEN SUAREZ BONILLA"/>
        <s v="MARIA DEL CASTAÑAR SAAVEDRA CORTES"/>
        <s v="MARIA DEL PILAR DOMINGUEZ SANTISO"/>
        <s v="MARIA JESUS VILLAREAL VILLAREAL"/>
        <s v="MARIA JOSE  GUTIERREZ GUTIERREZ"/>
        <s v="MARIA JOSEFA MARTINEZ SANDÁ"/>
        <s v="MARIA MONTSERRAT GOMEZ CALVO"/>
        <s v="MARINA  MIGUEL DE LA CRUZ"/>
        <s v="MIGUEL DOMINGUEZ CALDERON"/>
        <s v="MIGUEL MARTINEZ BOLIVAR"/>
        <s v="NARCISO GONZALEZ FERRERO"/>
        <s v="OLIMPIA GOMEZ SANCHEZ"/>
        <s v="PEDRO LUIS VALVERDE LOPEZ"/>
        <s v="RAFAEL SEPULVEDA SALIDO"/>
        <s v="REGINE ELISE GORI"/>
        <s v="RICARDO AGREDA"/>
        <s v="RONALDO VARGAS CASTILLO"/>
        <s v="ROSA HERMELINDA AVILA PEREZ"/>
        <s v="SABINA FRESNILLO CUESTA"/>
        <s v="SONSOLES URRUTIA SAUTO"/>
        <s v="TEODORA JIMENEZ RAMOS"/>
        <s v="TERESA CANO MARQUES"/>
        <s v="URBANO JESUS ALEJANDRO JIMENEZ TORRECILLA"/>
        <s v="VICENTE FERNANDEZ FERNANDEZ"/>
        <s v="VITALY VALERKO"/>
        <s v="Mª DEL MAR REBOREDO OTERO"/>
        <s v="MARIA DE LOS ANGELES ALADREN GIL"/>
        <s v="ANGEL RAMON PONTE ROSTRO"/>
        <s v="MARIA FELIX IGLESIAS GONZALEZ"/>
        <s v="IRIA RODRIGUEZ FERNANDEZ"/>
        <s v="JUAN GOMEZ NAVEDO"/>
        <s v="JOSE LUIS ANDREU PUYOL"/>
        <s v="ANGELES MEDINA SANCHEZ"/>
        <s v="JOSE GONZALEZ MARTIN"/>
        <s v="MARIA LUISA GUERRAS HERRAEZ"/>
        <s v="MANUEL CALZADA GIL"/>
        <s v="MARTA VAZQUEZ BLANCO"/>
        <s v="AMALIA TORRADO HERMO"/>
        <s v="CANDIDO HOYAS CAMPOS"/>
        <s v="JUANA MARQUEZ GARCIA"/>
        <s v="BENI CASTELLANOS CESPEDES"/>
        <s v="MARIA DEL PILAR CARCEDO CASARES"/>
        <s v="MATEO MERINO CAMPOS"/>
        <s v="ESPERANZA CRIADO DIAZ"/>
        <s v="CANSINO ANTENOR AYLAS HINOSTROZA"/>
        <s v="MARIA BEGOÑA FERRER DELGADO"/>
        <s v="BEATRIZ JIMENEZ JIMENEZ"/>
        <s v="SALVADOR SANCHEZ CASTILLO"/>
        <s v="MIGUEL ANGEL JIMENEZ DE NICOLAS"/>
        <s v="CICERON CARMELO MORENO ULLOA"/>
        <s v="JORGE MEDRANO WHITE"/>
        <s v="JOSE ANTONIO GONZALEZ CARMONA"/>
        <s v="ANTONIO PALACIO ALLUE"/>
        <s v="CECILIA PEDRON PASCUAL"/>
        <s v="LUISA PEDRAZA CASTEJON"/>
        <s v="JOSE ANTONIO AGUDO TIRADO"/>
        <s v="ISIDORO EGIDIO FERNANDEZ"/>
        <s v="virginia HERAS IGLESIAS"/>
        <s v="ELISA SUAREZ SARDINA"/>
        <s v="FILOMENA DE LA FUENTE BERGON"/>
        <s v="JUAN JOSE RODRIGUEZ GAYO"/>
        <s v="VICTORIA RUBIO BARBA"/>
        <s v="JOSE ANTONIO DE MIGUEL AGUILAR"/>
        <s v="OLGA AMPUERO GALVEZ"/>
        <s v="ANTONIA GARCIA MARTINEZ"/>
        <s v="ANTONIO MIGUEL HERNANDEZ QUEVEDO"/>
        <s v="PAUL TERENCE VICKERS"/>
        <s v="JOSE ALVAREZ SALGADO"/>
        <s v="CHRISTINE CLARK"/>
        <s v="LAURA GÓMEZ ROO"/>
        <s v="ALEJANDRO MONTES BELLIDO"/>
        <s v="JUAN JOSE CAIRE"/>
        <s v="DELIA GARCIA MARTINEZ"/>
        <s v="GLORIA ZULPA"/>
        <s v="JENNY MORALES PEREZ"/>
        <s v="JUAN CARLOS PEÑALVER LLORENS"/>
        <s v="AMPARO GRANCHA MONTOLIO"/>
        <s v="GABRIELA LEO CHAVES"/>
        <s v="ENRIQUE JESUS PEREZ ROMO"/>
        <s v="BENILDE HERNANDEZ MARTIN"/>
        <s v="HERMINIA GARCIA CANEDA"/>
        <s v="CONCEPCION ANTONIA IBAÑEZ MONTERO"/>
        <s v="CARLOS HERRERO DEL CASTILLO"/>
        <s v="ESTHER BLAS RODRIGUEZ"/>
        <s v="SOLEDAD IRUN IRUN"/>
        <s v="Agatona Dimaano"/>
        <s v="ANDRES  IVARS PASTOR"/>
        <s v="ANTONIA BORRAJO OTERO"/>
        <s v="ANTONIO ENRIQUE LAZARO SORIANO"/>
        <s v="AVELINO GARRALOCES BARAHONA"/>
        <s v="CARMEN ALICIA GARCES MORENO"/>
        <s v="CARMEN GOMEZ FERNANDEZ"/>
        <s v="DIONISIA PATON SIMON"/>
        <s v="EDUARDO QUIÑONES ASUERO"/>
        <s v="ELENA MARTINEZ FERNANDEZ"/>
        <s v="ENCARNACION MARTINEZ VILARIÑO"/>
        <s v="FRANCISCO HERNANDEZ BARBERAN"/>
        <s v="GENARO ALVAREZ SALGADO"/>
        <s v="JAIME MATEO GARCIA"/>
        <s v="JESUS HERNANDEZ BAUTISTA"/>
        <s v="JESUS RUA RAMUDO"/>
        <s v="JOSE ANTONIO  MACIAS FALCON"/>
        <s v="JOSEFA BURGOS LAZARO"/>
        <s v="JUDITH VALLILENGUA NOVOA"/>
        <s v="LORENZO BARREDO DIEZ"/>
        <s v="MANUEL  ALVAREZ BURGUE"/>
        <s v="MANUEL GONZALEZ GARCIA"/>
        <s v="MARC JEREMY LAWRENCE"/>
        <s v="MARGARITA TORO GALIANA"/>
        <s v="MARIA DOBLADO RODRIGUEZ"/>
        <s v="MARIA EUGENIA ARBOLEA ARAGONCILLO"/>
        <s v="MARIA RUIZ LETRADO"/>
        <s v="MARITZA ARENAS MUÑOZ"/>
        <s v="MATIAS BELMONTE CARRIQUE"/>
        <s v="MILAGROS RUIZ REQUENA"/>
        <s v="OTILIO DOMINGUEZ FERNANDEZ"/>
        <s v="PIEDAD CARRION SANCHEZ"/>
        <s v="RAMON BUJ BOU"/>
        <s v="RICARDO NICOLAS BERNALES MEZA"/>
        <s v="ROSA OKUYAMA YAMADA"/>
        <s v="ROSA ORTEGA ASINS"/>
        <s v="ROSARIO GONZALEZ SANCHEZ"/>
        <s v="ROSARIO RUIZ MARTIN"/>
        <s v="YOLANDA  CRUZ JIMENEZ"/>
        <s v="YOLANDA DEL HIERRO VELASCO"/>
        <s v="LUCINDA CERDEIRO SUAREZ"/>
        <s v="ANGEL MENDOZA JAMBRINA"/>
        <s v="MANUEL DONAIRE OBREGON"/>
        <s v="CARMEN SANCHEZ LUQUE"/>
        <s v="LUIS MIGUEL CERRO GONZALEZ"/>
        <s v="MARIA ARANZAZU PEREZ GOMEZ"/>
        <s v="JOSE RAMOS FERNANDEZ"/>
        <s v="SANTIAGO CAMARA FLORES"/>
        <s v="ARGIMIRO ALVAREZ ALVAREZ"/>
        <s v="MARI PAZ RODRIGUEZ QUIJADA"/>
        <s v="FELISINDA RAMON ALVAREZ"/>
        <s v="GABRIEL LUIS ARRIBAS MADRID"/>
        <s v="ABELINO DE FRUTOS MATEO"/>
        <s v="JOSE ANTONIO GARCIA VALENCIANO"/>
        <s v="JOSE ANTONIO FERNANDEZ RODRIGUEZ"/>
        <s v="EMILIANO CERRILLO JAREÑO"/>
        <s v="JUANA CATALAN AGUILAR"/>
        <s v="ANTONIO  DURAN GARCIA"/>
        <s v="MARIA LUZ PEREZ SANCHEZ"/>
        <s v="MARIA MERCEDES JIMENEZ SANCHEZ"/>
        <s v="CIARAN BRENDAN BRACKEN"/>
        <s v="YOLANDA BURILLO ADROVER"/>
        <s v="JOSEFINA  MILANES LOPEZ"/>
        <s v="PURIFICACIÓN SANTAMARTA GARCÍA"/>
        <s v="JOSE MOLINA ANGEL"/>
        <s v="GEOFFREY HEATHCOTE"/>
        <s v="JOSE MANUEL  SANZ FAILDE"/>
        <s v="ROSA PONT PASCUAL"/>
        <s v="JOSE LUIS BOIX LOPEZ"/>
        <s v="MARÍA DEL CARMEN GONZALEZ SORIANO"/>
        <s v="PAULA ADELAIDA MARTIN ZAZO"/>
        <s v="BERNARDA GONZALEZ GALARZA"/>
        <s v="MARIA NARVAEZ PUERTO"/>
        <s v="VICENTE MANZANO ZAMORA"/>
        <s v="CARMEN SANCHEZ GARCIA"/>
        <s v="CAROLINA LOZANO IÑIGO"/>
        <s v="TERESA VERA JIMENEZ"/>
        <s v="VICTORINA GOMEZ NEIRA"/>
        <s v="VALENTINA ORTE GONZALEZ"/>
        <s v="CONSTANTINO BURGUE PALMEIRO"/>
        <s v="JULIÁN JUÁREZ RODRÍGUEZ"/>
        <s v="MANUEL TALAVERA MARIN"/>
        <s v="TOMÁS FELGUERAS GARCÍA"/>
        <s v="JULIA FRAILE CORTES"/>
        <s v="MARIA PIEDAD NUÑEZ ORTEGA"/>
        <s v="PILAR RUIZ VECINO"/>
        <s v="ROSA MARIA ALONSO VARELA"/>
        <s v="ROSA MARIA MARTINEZ GUISASOLA"/>
        <s v="DANIEL ANGEL GAMBOA TORRECILLA"/>
        <s v="JUAN ANTONIO DEL RIO JIMENEZ"/>
        <s v="MARIA SOLEDAD GARCIA RUIZ [JOSE CAZORLA DUQUE]"/>
        <s v="PILAR ALONSO VAZQUEZ"/>
        <s v="SANDRA CALVAY MEDINA"/>
        <s v="TOMAS SANTIAGO MONTES"/>
        <s v="CELIA VELLISCO AMODIA"/>
        <s v="MIGUEL MARTINEZ CHIRON"/>
        <s v="BARTOLOME DE JESUS SILVA MACHADO"/>
        <s v="DANIEL VALLADARES PEREZ"/>
        <s v="MARIA DE LAS HUERTAS NAVARRO PEREZ"/>
        <s v="GINES MARIN SANCHEZ"/>
        <s v="JESUS RUIZ MOLINA"/>
        <s v="JOSEFA MARTINEZ GUILLEN"/>
        <s v="BERNARDA FÉLIX CUEVAS"/>
        <s v="CARMELO BERZOZA MONTIEL"/>
        <s v="GUURT GERARDA VERMER KENSELAAR"/>
        <s v="PARVIN HOSSEIN ZADEH"/>
        <s v="DORINDA SALGADO VILA"/>
        <s v="JOSEFA CELESTE GONZALEZ VISPO"/>
        <s v="JUAN CUMBRADO GRANDE"/>
        <s v="ANA MESEGUER HERNANDEZ"/>
        <s v="GONZALO CORRAL BEAS"/>
        <s v="JOSEFA MARTINEZ OSETE"/>
        <s v="CARLOS MOSTEIRO SANCHEZ"/>
        <s v="MARIA DOLORES  COUCEIRO GONZALEZ"/>
        <s v="ALEXIS SALAS GALINDO"/>
        <s v="ELVIRA SANCHEZ MAQUEDA"/>
        <s v="JESUS MEDINA ALADRO"/>
        <s v="JOSE TORO MARISCAL"/>
        <s v="MARIUXI LUCIA TOALA LEON"/>
        <s v="VICENTE SANCHIS BELMONTE"/>
        <s v="MANUEL BENITO RODRIGUEZ"/>
        <s v="PURIFICACION  PASCUAL MORENO"/>
        <s v="ROSA CERQUEDA FONT"/>
        <s v="SOCORRO PRIETO PEREZ"/>
        <s v="AMPARO BRAVO SANCHEZ"/>
        <s v="Angel Martinez de la Casa"/>
        <s v="JUAN LUIS CRUZADO SÁNCHEZ"/>
        <s v="JUAN JOSE SAEZ ALCARRIA"/>
        <s v="PILAR TORTAJADA BELTRAN"/>
        <s v="ROSA MARIA MONZÓ HERRÁN"/>
        <s v="Vicente Martínez Calvo"/>
        <s v="JOSE LUIS LASHERAS MARCO"/>
        <s v="JUAN RAMON SOLER SANTALIESTRA"/>
        <s v="CLOTILDE BALLESTER LAGUNA"/>
        <s v="ANTONIO COELLO ALVAREZ"/>
        <s v="JOSE ANTONIO VILARIÑO ASOREY"/>
        <s v="MARIA DEL PILAR ROBLES LOPEZ"/>
        <s v="DELFINA COSTAS VELAZQUEZ"/>
        <s v="VICTORIA HERNANDEZ RUBIALES"/>
        <s v="INMACULADA FUENTES GUTIERREZ"/>
        <s v="MATILDE DA PALMA SANCHEZ"/>
        <s v="ROMAN VENCE JULIAN"/>
        <s v="PABLO MORALES MARQUEZ"/>
        <s v="MARIA DEL CARMEN DIONISIO ACEDO"/>
        <s v="ROSA MARIA SOTO SIMON"/>
        <s v="JOSE LUIS RODRIGUEZ OVIEDO"/>
        <s v="RAFAEL VERDIGUIER CERON"/>
        <s v="ROSARIO VERDURAS LLAMAZARES"/>
        <s v="ANGELA MARTIN MARBAN"/>
        <s v="MARIA ROSARIO GODINO RODRIGUEZ"/>
        <s v="MANUEL RODRIGUEZ ESCUDERO"/>
        <s v="MARIA JESUS PANIAGUA GARCIA"/>
        <s v="FERNANDO GARCIA HIDALGO"/>
        <s v="UBALDO LAUDINO DE PEDRO SASTRE"/>
        <s v="TOMAS VICTORINO BECARES POSADA"/>
        <s v="ALFONSO MORGADO CORTES"/>
        <s v="MARIA DEL MAR LEIVA CENTENO"/>
        <s v="GLORIA RIESCO PRIETO"/>
        <s v="MARIA LUISA PINILLA VACA"/>
        <s v="FRANCISCO MUÑOZ MERINO"/>
        <s v="PILAR JIMENEZ COSTA"/>
        <s v="CARMEN DUYOS RIVERA"/>
        <s v="CARMEN PORTA TOVAR"/>
        <s v="MARIA DE LOS REMEDIOS CASTRO MUINELO"/>
        <s v="MARIA AURORA CAMBA LOPEZ"/>
        <s v="JUANA VICTORIA GAMARRA RICARDO"/>
        <s v="Felicisima Sanchez Sanchez"/>
        <s v="MARIA ISABEL URCELAY DEL POZO"/>
        <s v="DOLORES MARTINEZ GOMEZ"/>
        <s v="DOLORES MARTÍN MARTÍN"/>
        <s v="MARIA RIANSARES GONZALEZ MARTINEZ"/>
        <s v="MATILDE PREGO CORES"/>
        <s v="ANA MARIA CENTELLES BARRERA"/>
        <s v="JOSE ENRIQUE MUÑOZ MARTINEZ"/>
        <s v="ENCARNACIÓN GUTIERREZ ALBANDOZ"/>
        <s v="JUAN MAJADAS GOMEZ"/>
        <s v="ALGENIA GUTIERREZ"/>
        <s v="EMILIA GARCIA PENIDO"/>
        <s v="CARMEN BRUNET COMAS"/>
        <s v="CARMEN PÉREZ VILA"/>
        <s v="Juan Fernando López Carrillo"/>
        <s v="EDUARDO ARISTE AISA"/>
        <s v="MIGUEL DEL MAZO SALGADO"/>
        <s v="FRANCISCO JAVIER GONZALEZ GUTIERREZ"/>
        <s v="ALBERTO HERNANDEZ SANCHEZ"/>
        <s v="LUISA GONZALEZ GOMEZ"/>
        <s v="DOLORES NAVARRO MONTIJANO"/>
        <s v="VICTOR LAHUTIN"/>
        <s v="CARMEN MARTOS HIDALGO"/>
        <s v="ROSARIO SEGURA LORCA"/>
        <s v="ANTONIA GUTIERREZ GOMEZ"/>
        <s v="FRANCISCO NUÑEZ NUÑEZ"/>
        <s v="HERIBERTO MOURIZ MOURIZ"/>
        <s v="SILVANA HERNANDEZ DE PABLO"/>
        <s v="ANA MARIA MERINO PLAZA"/>
        <s v="FRANCISCO AGUILERA SANCHEZ"/>
        <s v="ROSARIO ROS CEGARRA"/>
        <s v="ROSA MARIA ISABEL PALOMERO GARCIA"/>
        <s v="MARIA BELEN FUERTES VIVANCOS"/>
        <s v="ALFONSO ANTONIO CAJA LOPEZ"/>
        <s v="ROSALIA GARCIA MARIA"/>
        <s v="MANUELA GUTIERREZ AGUDO"/>
        <s v="FRANCISCA HURTADO IGLESIAS"/>
        <s v="GLORIA CABEDO GISBERT"/>
        <s v="LETICIA RIVERA CASTILLA"/>
        <s v="José Costal"/>
        <s v="ANTONIO SILVA DE LA CRUZ"/>
        <s v="PILAR CONDE HERRERO"/>
        <s v="PILAR MOSQUERA CALDELAS"/>
        <s v="CRISTINA DIAZ PORTELA"/>
        <s v="Alberto Cascales Burrull"/>
        <s v="ALFONSO NIETO MARTINEZ"/>
        <s v="ESTEBAN MARTINEZ RODRIGUEZ"/>
        <s v="ALICIA RANZ CALDERÓN"/>
        <s v="DOLORES JIMENEZ GARCIA"/>
        <s v="ADELA APARICIO TASCON"/>
        <s v="ANGELA DE LUIS BARBA"/>
        <s v="MARIA PILAR RODRIGUEZ PACHECO"/>
        <s v="MARIA JOSE ROSAS SANCHEZ"/>
        <s v="GUADALUPE HOLGADO POLO"/>
        <s v="RAFAELA DELIA SEGURA MARTINEZ"/>
        <s v="JAVIER ALEJANDRO CIVERA SANCHEZ"/>
        <s v="MARIA AMPARO CHICO PRESA"/>
        <s v="CIRIACO SANZ NAVIO"/>
        <s v="MARIA CONCEPCION GARROTE HERNANDEZ"/>
        <s v="JOSEFA BELANDO GOMEZ"/>
        <s v="ISABEL GOMEZ MARTINEZ"/>
        <s v="MARIA ISABEL ALMENDRO CRESPO"/>
        <s v="FRANCO ALBARES MEDRANO"/>
        <s v="FRANCISCO MIGUEL SANCHEZ FERRER"/>
        <s v="JOSE GARROSA MARTIN"/>
        <s v="MARIA ROSA VAZQUEZ PARDAVILA"/>
        <s v="MANUEL BARROS ROZAS"/>
        <s v="FERNANDO JESUS PEREZ CORNEJO"/>
        <s v="NIEVES QUIROGA SOBRADO"/>
        <s v="LUCÍA RODRÍGUEZ ANDÚJAR"/>
        <s v="TERESA FERNANDEZ RODRIGUEZ"/>
        <s v="JUAN PABLO CORCHERO SANZ"/>
        <s v="ENCARNACION GORDO ALMANSA"/>
        <s v="FRANCISCO JOSE GUTIERREZ ANGUITA"/>
        <s v="JUANA GUZMAN CARRASCO"/>
        <s v="ASUNCION SALVE PARDO"/>
        <s v="PEDRO ANTON GONZALO"/>
        <s v="ANGELIKA ARMELIA TSCHUDIN"/>
        <s v="MANUEL FLORES GARCÍA CUEVAS"/>
        <s v="JAVIER POOL MAZAS"/>
        <s v="MANUELA PASTOR GIL"/>
        <s v="MARIA NAVALLAS USÓN"/>
        <s v="INMACULADA GONZALEZ DE QUEVEDO GONZALEZ DE QUEVEDO"/>
        <s v="LUISA COLMENERO GARRIDO"/>
        <s v="MARIANA ROMERO MAYORGA"/>
        <s v="JOSE MANUEL IZQUIERDO GRANERO"/>
        <s v="CRISTINA BORREGO MARCOS"/>
        <s v="PABLO BENAVENTE RODRIGUEZ"/>
        <s v="JOSE BENITEZ POLO"/>
        <s v="VICENTE QUIRALTE CASTAÑEDA"/>
        <s v="CONCEPCION MUROS CORONEL"/>
        <s v="FRANCISCA RODRIGUEZ CALVO"/>
        <s v="FIDEL CUBEL CUBEL"/>
        <s v="PILAR RIESCO HERNANDEZ"/>
        <s v="JOSE ANTONIO ALASCIO RUIZ"/>
        <s v="JUANA SOBRADO MARTIN"/>
        <s v="ALEJANDRO MAYORAL FERNANDEZ"/>
        <s v="JOSE LUIS HERNANDEZ ALONSO"/>
        <s v="PEDRO DEL CASTILLO FERNANDEZ"/>
        <s v="ISABEL FLORES MARTINEZ"/>
        <s v="CASILDA RUIZ BARCINA"/>
        <s v="LAUDELINA GONZALEZ RODRÍGUEZ"/>
        <s v="MARIA JOSE GARCIA AGRAMUNT"/>
        <s v="AURORA FIGUERAS MUÑOZ"/>
        <s v="CONCEPCION QUINTERO MORENO"/>
        <s v="DOLORES GONZALEZ DURO"/>
        <s v="OLGA FERNANDEZ MARTINEZ"/>
        <s v="JOSEFA MARIA ALVAREZ GARCIA"/>
        <s v="CATALINA GARCIA CANTOS"/>
        <s v="ANGEL BOIXADOS RUIZ"/>
        <s v="MARIA ANGELES GARCIA DIAZ"/>
        <s v="JUAN ANTONIO MARTIN GARCIA"/>
        <s v="MARÍA DEL CARMEN MUÑOZ ROMERO"/>
        <s v="JOSE NAVARRETE GIL"/>
        <s v="MARIA LUZ TORNERO MARTÍNEZ"/>
        <s v="PEDRO CALLEJA DE LA SEDA"/>
        <s v="JOSE MARÍA PELÁEZ SASTRE"/>
        <s v="JOSE LUIS CUELLAR MUÑOZ"/>
        <s v="ANTONIO DURAN GARCIA"/>
        <s v="FLORENTINO VELAZ DOMINGUEZ"/>
        <s v="JUAN DIEGO PINO RUBIO"/>
        <s v="ANTONIA HERNANDEZ GUERRERO"/>
        <s v="JOSEFA MARTINEZ HERNANDEZ"/>
        <s v="MARIA JOSE PEIDRO TORRES"/>
        <s v="JOSEFA SILVA ESTEBAN"/>
        <s v="GRACIELA CERON CORTAZAR"/>
        <s v="ROBERT CHARLES MELROSE"/>
        <s v="MIREILLE CORNETTE"/>
        <s v="JOSE LUIS QUINTANO MENESES"/>
        <s v="ISAIAS GONZALO REMEDIOS"/>
        <s v="ALICIA MOREIRA MIRAS"/>
        <s v="OSCAR LARA REMON"/>
        <s v="FRANCISCO MARTINEZ RAMIREZ"/>
        <s v="MARIA DEL CARMEN PENSADO LEIS"/>
        <s v="ISABEL VARGAS CASTRO"/>
        <s v="JUAN RAMON FERNANDEZ SUAREZ"/>
        <s v="ANTONIO ROSA GOMEZ"/>
        <s v="JULIA ESPADA REY"/>
        <s v="JOSE LUIS FERNANDEZ PEREZ"/>
        <s v="ELIA MORENO MORENO"/>
        <s v="ROSAMUND REGINA MONICA CHESHIRE"/>
        <s v="ROSA MARIA VICO DIAZ-PARREÑO"/>
        <s v="AURORA MAÑEZ BAQUERO"/>
        <s v="EMILIO PULPEIRO FERNANDEZ"/>
        <s v="VALENTINA CALLEJA DE LAS HERAS [MARIA TERESA LOZANO CALLEJA]"/>
        <s v="MARIA CARMEN RAMOS RAMOS"/>
        <s v="ANA MARIA REBOLLO HEREDIA"/>
        <s v="FERNANDO CATALAN NAVARRO"/>
        <s v="KAS BOUCHRA"/>
        <s v="ASCENSION JIMENEZ RECUERO"/>
        <s v="JAVIER GARCIA FERNANDEZ"/>
        <s v="ALEJANDRO SAINZ ALCALA"/>
        <s v="ENRIQUE IBAÑEZ MORA"/>
        <s v="MARIA DEL CARMEN VILLANUEVA PEREZ"/>
        <s v="MARIA ARIAS TENA"/>
        <s v="JOHAN FREDERIK KLARIS"/>
        <s v="MARIA MORIANA GUERRERO"/>
        <s v="JESUS ANGEL VARELA PENA"/>
        <s v="ANGEL MADROÑAL FERNANDEZ"/>
        <s v="MARTHA OSPINA JIMÉNEZ"/>
        <s v="NIEVES MONEO NIETO"/>
        <s v="JOSEFA GUTIERREZ SANCHEZ"/>
        <s v="MERCEDES HERNANDEZ BARROSO"/>
        <s v="MARIA JOSE BLANCO BLANCO"/>
        <s v="JACINTO JIMENEZ GOMEZ"/>
        <s v="Secundino Álvaro Moreno"/>
        <s v="ASUNTA DE LOS ANGELES REINA PEREZ"/>
        <s v="JOSE PELAEZ CABEZAS"/>
        <s v="MARIA DOLORS CAPDEVILA CULLELL"/>
        <s v="MARIA CARMEN MARTIN PRECIADOS"/>
        <s v="JOSE DOMINGO MARTINEZ RUIZ"/>
        <s v="CARMEN GARCIA CASELAS [JESUS SAINZ GARCIA ]"/>
        <s v="LELIA RAMONA VELEA"/>
        <s v="ISABEL SANCHEZ PALOMINO"/>
        <s v="ANA MARIA SANTIAGO FERNANDEZ"/>
        <s v="ILDEFONSO PALENCIA ABELLAN"/>
        <s v="JOSE CORCHADO DOMINGUEZ"/>
        <s v="ANA FERNANDEZ NAHARRO"/>
        <s v="VICENTA FRESNO ALVAREZ"/>
        <s v="Sebastia Vives Mas"/>
        <s v="CARIDAD ALCALA BERLANGA"/>
        <s v="ANTONIA ALVAREZ MATUTE"/>
        <s v="RICARDO UDAQUIOLA FITTIPALDI"/>
        <s v="FRANCISCA MARTIN VICENTE"/>
        <s v="EVA PATRICIA BUENO HERAS"/>
        <s v="ALFREDO GUIJARRO OLIVARES"/>
        <s v="CONCEPCION CORTES GONZALEZ"/>
        <s v="ANA MARIA SANCHEZ RIVERO"/>
        <s v="MARIA JOSE PAZ PAZ"/>
        <s v="ILDEFONSO VAZQUEZ CAGIDE"/>
        <s v="FELISA GONZALEZ BLANCO"/>
        <s v="JUAN GARCIA SALMERON"/>
        <s v="MARIA ELOISA RODRIGUEZ VICENTE"/>
        <s v="JOSE BARREDO ALVAREZ"/>
        <s v="MIGUEL LA TORRE SANCHEZ"/>
        <s v="GRISEL PEREZ CABEZA"/>
        <s v="PEDRO SORIANO MOLL"/>
        <s v="GERTRUDIS LUNA ESTEVEZ"/>
        <s v="VALENTÍN GARCIA PORTELA"/>
        <s v="ANGELA PEREZ MATEOS"/>
        <s v="FRANCISCO VILLENA DIAZ"/>
        <s v="PILAR LASAGABASTER LASAGABASTER"/>
        <s v="MARIA VIRGINIA ALCANTARA VILA"/>
        <s v="MERCEDES TAPIA TORRECUADRADA"/>
        <s v="MARGARITA MARTIN PRECIADO"/>
        <s v="ANGELES CALVO BARAHONA"/>
        <s v="MANUEL JOAO GONCALVES SALGADO"/>
        <s v="MARIA FRANCISCA MANCEBO BECERRO"/>
        <s v="MARIA JESUS VALLEJO GALVEZ"/>
        <s v="MATILDE ALAMAR ORTIZ"/>
        <s v="ERNESTA MARTINEZ MEROÑO"/>
        <s v="AUGUSTO REGIDOR MARTÍN"/>
        <s v="JULIAN GARCIA BERNAT"/>
        <s v="AMELIA PEREZ GOMEZ"/>
        <s v="ARMANDO CAMPOS MATAIX"/>
        <s v="RUFINA NAVAS FARIÑA"/>
        <s v="ANTONIO RAFAEL RUBIO-IGLESIAS TELLEZ"/>
        <s v="ALICIA FERNANDEZ FERNANDEZ"/>
        <s v="JUAN CARLOS ANILLO RIOS"/>
        <s v="ANTONIO MARIN SIBAJAS"/>
        <s v="JOSE CARRERO ROMAN"/>
        <s v="LUCINIO MORATE LASO"/>
        <s v="VALENTIN  SIMON GONZALEZ"/>
        <s v="ANNE CHRISTINE MILLS"/>
        <s v="CAROLINA HEREDIA ROMERO"/>
        <s v="ANTONIO RUIZ SUSARTE"/>
        <s v="NEREA GARCIA VAZ"/>
        <s v="FERNANDO MILLAN ECHEVARRIA"/>
        <s v="GERMAN MUÑIZ SIEIRA"/>
        <s v="LUISA NOVO VIVERO"/>
        <s v="BARBARA ROLLETT"/>
        <s v="CONCEPCIÓN  ABAD GARCIA"/>
        <s v="JUAN DELGADO OLMO"/>
        <s v="FUENSANTA LOPEZ ORTIZ"/>
        <s v="AUREA BUACHO SALOMON"/>
        <s v="ISABEL SANCHEZ LOPEZ"/>
        <s v="MARIA PALOMA BLAZQUEZ MORALES"/>
        <s v="GABINO SANCHEZ SANCHEZ"/>
        <s v="BEGOÑA GOMEZ-HIDALGO MATEO"/>
        <s v="SHEILA ANN MCGEOWN"/>
        <s v="AMADOR MARTIN ALONSO"/>
        <s v="SANTIAGO DURAN SOTO"/>
        <s v="IRENE LLOBELL LLOBELL"/>
        <s v="LUISA  BOUSO MILLAN"/>
        <s v="LOLA LEIVA LOPEZ"/>
        <s v="JUAN FRANCISCO ALAVA GUILLEM"/>
        <s v="JESUS MIGUEL CEPEDA GARZON"/>
        <s v="ÁNGEL ESTEBAN BÉJAR"/>
        <s v="ASTRID ANTUÑA LLORENS"/>
        <s v="MARIA DOLORES GRIÑAN SALAS"/>
        <s v="JOSE MIGUEL HERGUETA ABERTURAS"/>
        <s v="LIUDMILA TOLPEGINA"/>
        <s v="ISIDORO CABRERA CRESPO"/>
        <s v="ALEJANDRO RIBAS NOGUERA"/>
        <s v="IRENE PEREZ FEIJOO"/>
        <s v="MARIA ANTONIA DE LA TORRE SANZ"/>
        <s v="JUAN SABATER CARBONELL"/>
        <s v="JUAN ANTONIO SANCHEZ NUÑEZ"/>
        <s v="MIGUEL ANGEL MORENO FERNANDEZ"/>
        <s v="VALENTIN DIAZ CALDERON"/>
        <s v="JOSEFA MENCHON RIOS"/>
        <s v="FRANCISCO DONAIRE AGUDO"/>
        <s v="EUSEBIO FERNANDEZ PEREZ"/>
        <s v="MANUEL MORALES CEPEDA"/>
        <s v="JESUS GIMENO QUERO"/>
        <s v="ENGRACIA MBAMUALA MUATETEMA"/>
        <s v="JOSE ROMERO GARCIA"/>
        <s v="TOMASA DELFINA GARCIA CAPELLA"/>
        <s v="FRANCISCO HERNANDEZ RUIZ"/>
        <s v="JOSE PADRON TABOADA"/>
        <s v="ELENA ARNAIZ PALMA"/>
        <s v="RAFAEL DE VICENTE CONTRERAS"/>
        <s v="Maricarmen Estrada Gallego"/>
        <s v="VIRTUDES ANTONIA MARTINEZ NAVARRO"/>
        <s v="ROSA ALONSO GALLARDO"/>
        <s v="ENRIQUE MARTINEZ PASTOR"/>
        <s v="PURIFICACION PRIEGO BLANCO"/>
        <s v="GUILLERMO LEMOS NAVEIRO"/>
        <s v="MILAGROS PIMENTEL HERRERO"/>
        <s v="ASEPEYO MCcSS Nº 151 [ALBERTO MOHEDANO GOMEZ]"/>
        <s v="IAN FULLER"/>
        <s v="ANTONIO ABIA GARCIA"/>
        <s v="MARIANO DIAZ CARDOSO"/>
        <s v="VICTORIA RABOSO MARTIN"/>
        <s v="ANTONIO POSE VARELA"/>
        <s v="PURIFICACION COBO SANCHEZ"/>
        <s v="BENIGNO SANTIBAÑEZ RAMAJO"/>
        <s v="MATILDE SANCHEZ MADRID"/>
        <s v="MARIANO GARCIA GARCIA"/>
        <s v="MARIA DEL PILAR NACHER RAMON"/>
        <s v="PILAR LOPEZ PIZARROSO"/>
        <s v="VISITACION LAGUNAS PEREZ"/>
        <s v="ANTONIO OLLE DORCA"/>
        <s v="Abraham García Rodríguez"/>
        <s v="CRISTINA MARTINEZ BLANCO"/>
        <s v="JOSE PEREZ GOMEZ"/>
        <s v="DAVID LOPEZ RUIZ"/>
        <s v="MARIA CARMEN MARTINEZ GONZALEZ"/>
        <s v="CARLOS GARCÍA PÉREZ"/>
        <s v="ALFONSO BALLESTEROS GIL"/>
        <s v="JOSE LEO BERROCAL"/>
        <s v="CHRISTIAN JEAN CLEMENT"/>
        <s v="SONSOLES GARCIA SANCHEZ"/>
        <s v="GLORIA NANCY VESPA"/>
        <s v="EVA MARIA RODRIGUEZ REBELLA"/>
        <s v="JOSE MANUEL CARRACEDO BERMEJO"/>
        <s v="ALBA PANAL GARCIA"/>
        <s v="JAVIER GAMUNDI BERENGUER"/>
        <s v="CARMEN MIRETE RIQUELME"/>
        <s v="FRANCISCA JIMENEZ GARCIA"/>
        <s v="REMEDIOS PALAZON GIMENEZ"/>
        <s v="MARIA SOL BENAVENTE GOMEZ"/>
        <s v="SANTIAGO VILANOVA NAVARRO"/>
        <s v="MARIA TERESA JADA LOYES"/>
        <s v="JULIA OLGA MARTINEZ POMAREDA"/>
        <s v="LETICIA FUENTES SANCHEZ"/>
        <s v="TOMASA PICATOSTE TEJADO"/>
        <s v="MARIA LUISA GUTIERREZ ROMAN"/>
        <s v="PEDRO LUIS TORNERO CANO"/>
        <s v="MANUEL SANCHEZ CARBONERO"/>
        <s v="DOLORES LOPEZ CADAHIA"/>
        <s v="ANTONIO RODRIGUEZ BLANCO"/>
        <s v="DOLORES LIEBANA GARCIA"/>
        <s v="MARIA ASUNCIÓN FORMIGO MONTERO"/>
        <s v="JOSE FUERTES GARCIA"/>
        <s v="JULIA VILLEGAS COBEÑO"/>
        <s v="RAFAEL REYES PALACIO"/>
        <s v="FERNANDO LOZANO CORREOSO"/>
        <s v="MARIA DOLORES BARBERO BURON"/>
        <s v="WILLIAM CHARLES HENRY LEAVES"/>
        <s v="MIGUEL ANGEL LANGA ALVAREZ"/>
        <s v="MARIA TERESA LIGERO BERRIO"/>
        <s v="JOSE JURADO SANTOS"/>
        <s v="SIEGFRIED JERATHE"/>
        <s v="MANUELA COLLANTES NARBONA"/>
        <s v="ROSA DEL MAR NUÑEZ RODRIGUEZ"/>
        <s v="AMPARO DIAZ GARRIDO"/>
        <s v="JOSE NICOLAS SERRANO"/>
        <s v="JUAN FRANCISCO ALONSO PÉREZ"/>
        <s v="ASBJORN SVERRE KROGTOFT"/>
        <s v="RUTGERA VAN KRETSCHMAR VAN VEEN"/>
        <s v="JAMES WILLIAM NOEL SCOTT"/>
        <s v="MARIA ANGELES RIPOLL MONTALVO"/>
        <s v="MARIA ANTONIA CALERO JIMENEZ"/>
        <s v="CARMEN VILLAESCUSA JIMENEZ"/>
        <s v="MARIA CARMEN RABADAN PARDO"/>
        <s v="JUAN IGLESIAS SALAS"/>
        <s v="CARMELO PEREZ HERNANDEZ"/>
        <s v="NEUS GARRIDO MARTINEZ"/>
        <s v="MANUEL DE CABO PASCUAL"/>
        <s v="JOSE MANUEL IBAÑEZ FERRER"/>
        <s v="MARIA ESMERALDA GARCIA MARTINEZ"/>
        <s v="BLANCA LAGE RUIZ"/>
        <s v="SEGUNDO FRANCISCO CLEMENTE LONZANO"/>
        <s v="SOLEDAD ALARCON TORRALBA"/>
        <s v="CARMEN RUIZ SANCHEZ"/>
        <s v="LORENZO LEON CARMONA"/>
        <s v="BRÍGIDA ALMIÑANA GUTIERREZ"/>
        <s v="SOFIA MOURE PEREZ"/>
        <s v="JEAN CLAUDE"/>
        <s v="ADORACION MIGUEL GOMEZ"/>
        <s v="MIGUEL VALLE LAÓ"/>
        <s v="BEGOÑA MENDEZ LOPEZ"/>
        <s v="ANTONIO LOPEZ CABANES"/>
        <s v="PILAR SEGURA ESTEBAN"/>
        <s v="JOSE AMAT NAVARRO"/>
        <s v="COMERCIAL VIMARGA 2014,S,L [VICENTE MIGUEL MARTÍNEZ SERRADOR]"/>
        <s v="Maria Elena Blesa"/>
        <s v="BERNARDO ORAMAS VERA"/>
        <s v="JOSE FERNANDEZ ENRIQUEZ"/>
        <s v="MARIA ISABEL PEREZ SIMON"/>
        <s v="MARIA DOLORES PEREZ BOLAÑOS"/>
        <s v="SIXTO IGLESIAS LUENGO"/>
        <s v="ADELINA CANDELA MARTINEZ"/>
        <s v="RAQUEL URRACA PEREZ"/>
        <s v="CARLOS TOME FABIAN"/>
        <s v="MARIA SOLEDAD GOMEZ RODRIGUEZ"/>
        <s v="GLORIA GARCIA BERNARDO"/>
        <s v="MANUEL NARANJO PEREZ"/>
        <s v="ENCARNACIÓN GOMEZ SECO"/>
        <s v="JOSEFA SAEZ MARTINEZ"/>
        <s v="SALVADOR GONZALEZ RODRIGUEZ"/>
        <s v="JOSE ANGEL CASADO GOMEZ"/>
        <s v="CIRO RAFAEL PEREZ RAMIREZ"/>
        <s v="LUIS ALVAREZ MOURE"/>
        <s v="ESPERANZA CAÑIZARES GUTIERREZ"/>
        <s v="GUADALUPE MARTINEZ MARTIN"/>
        <s v="MARGARITA BELCHI CARRASCO"/>
        <s v="MARIA LIDIA FERNANDEZ RODRIGUEZ"/>
        <s v="PILAR SÁNZ ÁLVAREZ"/>
        <s v="JOSE ANTONIO ABENZA PASTOR"/>
        <s v="MARIA ELENA GONZALEZ DEL CANTO"/>
        <s v="RAMON ALAPONT PLANELLS"/>
        <s v="PILAR  DIEZ RAMOS"/>
        <s v="STUART WILLIAM HORROCKS"/>
        <s v="GREGORIA DOMINGUEZ PEREZ"/>
        <s v="RAFAEL GARCIA CASANOVA"/>
        <s v="FELICIANO MARTÍNEZ MEGÍAS"/>
        <s v="ALFREDO GONZALEZ FERNANDEZ"/>
        <s v="MARIA TERESA MEDINA SANTILLANA"/>
        <s v="CRISTOBAL GARCIA LINARES"/>
        <s v="LUISA BORNES BLANCO"/>
        <s v="PAULA BLAZQUEZ GONZALEZ"/>
        <s v="MARIA HILDA SALGADO ALVAREZ"/>
        <s v="MARIA ANTONIA VIDARTE GUERRERO"/>
        <s v="JUAN FRANCISCO ALBURQUERQUE VICENTE"/>
        <s v="ALFONSO HERNANDEZ BORJA"/>
        <s v="MANUEL LOPEZ LOSADA"/>
        <s v="FRANCISCO RAMON PUERTO OLTRA"/>
        <s v="JONATHAN STIVEN RAMIREZ RAMIREZ"/>
        <s v="CARMEN SANCHEZ AYUSO"/>
        <s v="DARWIN  MERCHAN ZANBRANO"/>
        <s v="MIGUEL ANTONIO CHIRIVELLA PERIS"/>
        <s v="MARINA CANTERO CORCHERO"/>
        <s v="MILAGROS  DE LA VEGA BAÑOS"/>
        <s v="VIRGINIA RIPOLL PEREZ DE LOS COBOS"/>
        <s v="LUBNA ALQUDSI"/>
        <s v="JUAN RUIZ NEUPAVER"/>
        <s v="CARLA RODERA MARTINEZ"/>
        <s v="CONSUELO RUBIO MARTIN"/>
        <s v="ISABEL SANCHEZ MORAN"/>
        <s v="MARIA CARAVACA GIL"/>
        <s v="SALVADOR SELVATICO SANCHEZ"/>
        <s v="JOSE LUIS GARCIA OLIVEIRA"/>
        <s v="MARIA LUISA BOCADULCE LOZANO"/>
        <s v="Concepción Gil Sánchez"/>
        <s v="LUCRECIA SORIA GÓMEZ"/>
        <s v="EMILIA MARISCAL CASTRO"/>
        <s v="GEMMA MONTOYA PORTILLO"/>
        <s v="MARIA ROSA IGLESIAS SANCHEZ"/>
        <s v="ILDEFONSO SOBRINO VILA"/>
        <s v="CARMEN VILLE OTERO"/>
        <s v="SOLEDAD SANCHEZ DURÁ"/>
        <s v="REBECA BERNAL DE LA MATA"/>
        <s v="FRANCISCO LUENGO PIZARRO"/>
        <s v="RICARDO  DE LA POZA RODRIGUEZ"/>
        <s v="CONSUELO  SANTAMARIA SANZ"/>
        <s v="NIEVES CARRETERO RODRIGUEZ"/>
        <s v="CONCEPCION RINCON VALVERDE"/>
        <s v="CECILIO  MARIN LAREQUI"/>
        <s v="ANTONIO  ALFONSO RUBIO"/>
        <s v="ANTONIO RAMIREZ GARCÍA"/>
        <s v="JOSE MARIA CARNERO CALDERON"/>
        <s v="MARIA DOLORES CARRASCO BELMONTE"/>
        <s v="ROSALIA SANCHEZ PERONA"/>
        <s v="MARIA TERESA VELAZQUEZ MADRUGA"/>
        <s v="FRANCISCO ERNESTO RUIZ"/>
        <s v="CARMEN LAFUENTE ROMERO"/>
        <s v="MANUEL CUBERO CASCAJOSA"/>
        <s v="BENITO ANTOLIN SERRANO"/>
        <s v="RAMIRO ANTÓN MARÍA"/>
        <s v="ÁNGELES ELSA MORO GAFO"/>
        <s v="PEDRO CUMMINGS DONADIO"/>
        <s v="BRAHIM KIROUANE"/>
        <s v="AGUSTIN GONZALEZ ELIAS"/>
        <s v="JOSE MARIA  JIMENEZ HERNANDEZ"/>
        <s v="MARIA ROSARIO ALVAREZ GONZALEZ"/>
        <s v="JOSEFA SANCHEZ TENA"/>
        <s v="ENCARNACION  DE PABLO RODRIGUEZ"/>
        <s v="JOAQUINA GUTIERREZ SANCHEZ"/>
        <s v="CONCEPCION CATALAN SERRANO"/>
        <s v="FRANCISCA MARIA JESUS GONZALEZ MUÑOZ"/>
        <s v="MIGUEL LOPEZ ROBLES"/>
        <s v="DEBORA PINTEÑO ORTEGA"/>
        <s v="MARIA LUISA GARRIDO PRIETO"/>
        <s v="EMILIO GARCIA SABOSIL"/>
        <s v="ENRIQUE OYAGA SERRANO"/>
        <s v="JOSEFA HERRERO ORTIGOSA"/>
        <s v="MARIA DE LOS ANGELES AMIGO ROMERO"/>
        <s v="JOSEFA GORGOJO BORBUJO"/>
        <s v="JUAN MIGUEL  MORALES FRANCO"/>
        <s v="YAIR RODRIGUEZ YANCI"/>
        <s v="ELENA BELLO RAMOS"/>
        <s v="CARLOS HUMBERTO CALDERON JAVE"/>
        <s v="ANTONIO PUERTA BERNAD"/>
        <s v="ANGELA VAL AUSEJO"/>
        <s v="JUAN NORBERTO REIMONDEZ DIAZ QUIJANO"/>
        <s v="PETRA PÉREZ VAQUERO"/>
        <s v="JUAN JOSE SANCHEZ MENARGUEZ"/>
        <s v="GERMAN JURADO CONDE"/>
        <s v="FRANCISCO FULGENCIO BUENDIA GOMEZ"/>
        <s v="TANIA SEIJAS SOUTO"/>
        <s v="MARTIN DELGADO IZQUIERDO"/>
        <s v="MARIA JESUS MIGUEL CASTRILLO"/>
        <s v="CARMEN ALONSO MANZANO"/>
        <s v="JOSE MANUEL FERNANDEZ SANCHEZ"/>
        <s v="LUISA DORREGO TAPIA"/>
        <s v="ADELA DE LA MATA FERNÁNDEZ"/>
        <s v="JOSE MARTINEZ GARCERAN"/>
        <s v="FATIMA LAZARO LOPEZ"/>
        <s v="MARIA JOSE  DELGADO PICAZO"/>
        <s v="FRANCISCA MIJARRA SANCHEZ"/>
        <s v="MARI CARMEN SALAZAR PEREZ"/>
        <s v="CARLOS ALBERTO MADRID MARCHISIO"/>
        <s v="JOSEFA RECIO FERNANDEZ"/>
        <s v="ELENA POLO MARTIN"/>
        <s v="DOLORES DIAZ HERRERA"/>
        <s v="AGUSTÍN ORTUETA ROCA"/>
        <s v="CAROLINA CUENCA CASAIS"/>
        <s v="AITOR CUADRADO GÓMEZ"/>
        <s v="MANUELA CAMACHO CANDELA"/>
        <s v="JESUS GARRIDO CASTRO"/>
        <s v="ANGEL SANDIN MORA"/>
        <s v="REMEDIOS  MARTIN ORDIALES"/>
        <s v="JOSEFA SOLIS MENA"/>
        <s v="JUAN IGNACIO GRAU DICENTA"/>
        <s v="ISIDORO MARBAN PABON"/>
        <s v="MARIA DEL CARMEN ORTIZ GARCIA"/>
        <s v="JOSE VICENTE MARTINEZ JARABO"/>
        <s v="ASCENSION LOSA RODRIGUEZ"/>
        <s v="OMAIRA ANDREA HIDALGO SANCHEZ"/>
        <s v="AGUSTINA CANO RUIZ"/>
        <s v="ASUNCION GONZALEZ IBAÑEZ"/>
        <s v="CARMEN CHACON JIMENEZ"/>
        <s v="MARIA NIEVES GARCIA DE LAS PEÑAS"/>
        <s v="ANGEL ALEJANDRO ESTRADA CHIRINOS"/>
        <s v="MARIA DEL CARMEN LAPAZ BARBA"/>
        <s v="JOSE MIGUEL RODILLA SANCHEZ"/>
        <s v="MIGUEL MOLINA HEREDIA"/>
        <s v="FRANCISCO LORA ZAMORA"/>
        <s v="DIMITRANKA PETKOVA TODOROVA"/>
        <s v="TOMAS COBO OLVERA"/>
        <s v="JOSE RAMON SERRANO PIEDECASAS"/>
        <s v="ANA OROSIA JIMENEZ JIMENEZ"/>
        <s v="MIGUEL ANGEL GOMEZ OREJANA"/>
        <s v="ISABEL CASTILLO ALMENDROTE"/>
        <m/>
      </sharedItems>
    </cacheField>
    <cacheField name="NUM AUDIFONOS" numFmtId="0">
      <sharedItems containsString="0" containsBlank="1" containsNumber="1" containsInteger="1" count="6">
        <n v="2"/>
        <n v="1"/>
        <n v="-2"/>
        <n v="-1"/>
        <n v="3"/>
        <m/>
      </sharedItems>
    </cacheField>
    <cacheField name="TOTAL AUDIFONOS SIN IVA" numFmtId="2">
      <sharedItems containsString="0" containsBlank="1" containsNumber="1" count="353">
        <n v="0"/>
        <n v="2400"/>
        <n v="4000"/>
        <n v="2888.18"/>
        <n v="1636.36"/>
        <n v="2216.36"/>
        <n v="3710"/>
        <n v="4180"/>
        <n v="3095.45"/>
        <n v="2280"/>
        <n v="2640"/>
        <n v="2967.27"/>
        <n v="4400"/>
        <n v="2576.92"/>
        <n v="2722.73"/>
        <n v="3954.55"/>
        <n v="3454.55"/>
        <n v="3800"/>
        <n v="2129.09"/>
        <n v="3929.55"/>
        <n v="3654.05"/>
        <n v="3306.36"/>
        <n v="2226.36"/>
        <n v="2884.62"/>
        <n v="4136.3599999999997"/>
        <n v="3846.36"/>
        <n v="3222.24"/>
        <n v="3524.51"/>
        <n v="2743.64"/>
        <n v="2579.09"/>
        <n v="1732.73"/>
        <n v="1982.73"/>
        <n v="3281.09"/>
        <n v="3524.49"/>
        <n v="3523.64"/>
        <n v="2067.27"/>
        <n v="1809.09"/>
        <n v="2090.91"/>
        <n v="3545.45"/>
        <n v="3604.55"/>
        <n v="1772.73"/>
        <n v="3977.27"/>
        <n v="3334.55"/>
        <n v="1818.18"/>
        <n v="1646.36"/>
        <n v="3861.82"/>
        <n v="4090.91"/>
        <n v="3424.55"/>
        <n v="1186.3599999999999"/>
        <n v="2162.73"/>
        <n v="2545.4499999999998"/>
        <n v="1359.55"/>
        <n v="1627.27"/>
        <n v="3809.55"/>
        <n v="2080"/>
        <n v="3704.55"/>
        <n v="1954.55"/>
        <n v="4191.3500000000004"/>
        <n v="3245.35"/>
        <n v="2627.27"/>
        <n v="3627.27"/>
        <n v="3522.73"/>
        <n v="3524.55"/>
        <n v="-3800"/>
        <n v="1170"/>
        <n v="2509.09"/>
        <n v="2508"/>
        <n v="1444.55"/>
        <n v="2081.8200000000002"/>
        <n v="2450.13"/>
        <n v="3998.18"/>
        <n v="2780.91"/>
        <n v="3909.09"/>
        <n v="2888.19"/>
        <n v="3356.36"/>
        <n v="1113.18"/>
        <n v="2563.64"/>
        <n v="2677.27"/>
        <n v="3524.5"/>
        <n v="1645.45"/>
        <n v="1500"/>
        <n v="1634.62"/>
        <n v="3391.82"/>
        <n v="2953.64"/>
        <n v="3618.18"/>
        <n v="3809.09"/>
        <n v="3881.31"/>
        <n v="1988.64"/>
        <n v="3970.91"/>
        <n v="3090.91"/>
        <n v="2909.09"/>
        <n v="904.55"/>
        <n v="3000"/>
        <n v="3709.09"/>
        <n v="3636.36"/>
        <n v="1390.91"/>
        <n v="4000.13"/>
        <n v="3181.82"/>
        <n v="2430.27"/>
        <n v="2115.0500000000002"/>
        <n v="2225.96"/>
        <n v="2743.77"/>
        <n v="2540.91"/>
        <n v="3945.45"/>
        <n v="3173.18"/>
        <n v="3603.85"/>
        <n v="1983.64"/>
        <n v="3681.82"/>
        <n v="2372.73"/>
        <n v="1727.27"/>
        <n v="3185.45"/>
        <n v="3604.46"/>
        <n v="3802.88"/>
        <n v="3886.36"/>
        <n v="2307.27"/>
        <n v="2727.27"/>
        <n v="4431.82"/>
        <n v="3647.73"/>
        <n v="3429.09"/>
        <n v="409.09"/>
        <n v="3818.18"/>
        <n v="3515.91"/>
        <n v="2986.36"/>
        <n v="2818.18"/>
        <n v="4068.18"/>
        <n v="2900"/>
        <n v="2587.27"/>
        <n v="2115.09"/>
        <n v="3763.64"/>
        <n v="2936.36"/>
        <n v="2586.36"/>
        <n v="3129.55"/>
        <n v="4118.18"/>
        <n v="3454.69"/>
        <n v="3045.45"/>
        <n v="4295.45"/>
        <n v="2181.8200000000002"/>
        <n v="1927.27"/>
        <n v="3545.46"/>
        <n v="3390.91"/>
        <n v="3304.95"/>
        <n v="3863.64"/>
        <n v="3358.18"/>
        <n v="2636.36"/>
        <n v="1816.36"/>
        <n v="3372.73"/>
        <n v="1980.77"/>
        <n v="2963.64"/>
        <n v="2744.09"/>
        <n v="3740"/>
        <n v="1386.18"/>
        <n v="2578.85"/>
        <n v="-2576.92"/>
        <n v="1936.36"/>
        <n v="2068.1799999999998"/>
        <n v="3400"/>
        <n v="-2888.18"/>
        <n v="4531.82"/>
        <n v="1962.02"/>
        <n v="1727.88"/>
        <n v="4077.27"/>
        <n v="-2400"/>
        <n v="1646.09"/>
        <n v="3474.55"/>
        <n v="2709.09"/>
        <n v="1363.64"/>
        <n v="2119.09"/>
        <n v="2626.5"/>
        <n v="3383.64"/>
        <n v="1850"/>
        <n v="4255.33"/>
        <n v="1436.4"/>
        <n v="4238.18"/>
        <n v="900"/>
        <n v="3272.73"/>
        <n v="2437.27"/>
        <n v="2034.55"/>
        <n v="2312.3200000000002"/>
        <n v="2000"/>
        <n v="4569.32"/>
        <n v="-1962.02"/>
        <n v="2272.73"/>
        <n v="1732.69"/>
        <n v="2974.55"/>
        <n v="2261.8200000000002"/>
        <n v="1550"/>
        <n v="2599.36"/>
        <n v="5431.82"/>
        <n v="3888.18"/>
        <n v="4255.45"/>
        <n v="1418.18"/>
        <n v="2420"/>
        <n v="3363.64"/>
        <n v="1923.08"/>
        <n v="2713.5"/>
        <n v="1877.27"/>
        <n v="3454.5"/>
        <n v="1985.45"/>
        <n v="4120"/>
        <n v="2292.73"/>
        <n v="3730"/>
        <n v="2887.5"/>
        <n v="2718.18"/>
        <n v="2582.73"/>
        <n v="2586.59"/>
        <n v="3574.55"/>
        <n v="620.36"/>
        <n v="1633.64"/>
        <n v="1695.32"/>
        <n v="4304.8100000000004"/>
        <n v="3914"/>
        <n v="2363.64"/>
        <n v="1631.82"/>
        <n v="4304.55"/>
        <n v="1730"/>
        <n v="2180.91"/>
        <n v="2127.27"/>
        <n v="2577.29"/>
        <n v="1590.91"/>
        <n v="3441.59"/>
        <n v="4518.18"/>
        <n v="4378.18"/>
        <n v="1536.36"/>
        <n v="2990.91"/>
        <n v="1909.09"/>
        <n v="1876.36"/>
        <n v="2585"/>
        <n v="3752.73"/>
        <n v="2829.09"/>
        <n v="3436.36"/>
        <n v="-3710"/>
        <n v="3631.82"/>
        <n v="2481.8200000000002"/>
        <n v="1568.18"/>
        <n v="4120.1899999999996"/>
        <n v="4545.45"/>
        <n v="3474.54"/>
        <n v="1784.55"/>
        <n v="2820"/>
        <n v="1727.35"/>
        <n v="3536.36"/>
        <n v="3971.82"/>
        <n v="2582.27"/>
        <n v="2244.09"/>
        <n v="2581.8200000000002"/>
        <n v="2495.4499999999998"/>
        <n v="1200"/>
        <n v="3450"/>
        <n v="3631.81"/>
        <n v="3927.27"/>
        <n v="3424.32"/>
        <n v="3085.45"/>
        <n v="2731.25"/>
        <n v="3182.73"/>
        <n v="4990.91"/>
        <n v="4045.45"/>
        <n v="5386.36"/>
        <n v="4536.3599999999997"/>
        <n v="3450.23"/>
        <n v="2357.73"/>
        <n v="2718.19"/>
        <n v="3268.64"/>
        <n v="2045.45"/>
        <n v="4309.55"/>
        <n v="2594.23"/>
        <n v="2486.36"/>
        <n v="2556.44"/>
        <n v="4081.82"/>
        <n v="2310.4499999999998"/>
        <n v="3313.64"/>
        <n v="3050.96"/>
        <n v="2471.8200000000002"/>
        <n v="4038.46"/>
        <n v="3081.82"/>
        <n v="3461.54"/>
        <n v="2163.46"/>
        <n v="3940.9"/>
        <n v="627.27"/>
        <n v="1908.65"/>
        <n v="4727.2700000000004"/>
        <n v="4500"/>
        <n v="1990.91"/>
        <n v="2044.55"/>
        <n v="2701.92"/>
        <n v="3722.73"/>
        <n v="2454.5500000000002"/>
        <n v="4203.6400000000003"/>
        <n v="2233.64"/>
        <n v="872.73"/>
        <n v="1545.45"/>
        <n v="-3709.62"/>
        <n v="3450.22"/>
        <n v="1223.8699999999999"/>
        <n v="2136.36"/>
        <n v="4536.37"/>
        <n v="4045.46"/>
        <n v="500"/>
        <n v="3450.24"/>
        <n v="4309.54"/>
        <n v="5000"/>
        <n v="2692.31"/>
        <n v="-1631.82"/>
        <n v="4272.7299999999996"/>
        <n v="2271.8200000000002"/>
        <n v="3136.36"/>
        <n v="3590.91"/>
        <n v="-2162.73"/>
        <n v="3172.73"/>
        <n v="2250"/>
        <n v="2450"/>
        <n v="2932.69"/>
        <n v="2582.2800000000002"/>
        <n v="-3631.81"/>
        <n v="2718.27"/>
        <n v="4318.18"/>
        <n v="3086.82"/>
        <n v="2071.86"/>
        <n v="2211.54"/>
        <n v="2586.54"/>
        <n v="4741.3599999999997"/>
        <n v="863.64"/>
        <n v="3583.64"/>
        <n v="4134.62"/>
        <n v="2717.31"/>
        <n v="2090"/>
        <n v="-2718.18"/>
        <n v="2263.64"/>
        <n v="1631.73"/>
        <n v="3817.27"/>
        <n v="3940.91"/>
        <n v="1540.91"/>
        <n v="3631.73"/>
        <n v="3516.36"/>
        <n v="3318.18"/>
        <n v="2357.27"/>
        <n v="2617.27"/>
        <n v="3612.97"/>
        <n v="872.36"/>
        <n v="3263.64"/>
        <n v="1090.9100000000001"/>
        <n v="4718.18"/>
        <n v="2481.73"/>
        <n v="2180.77"/>
        <n v="2446.36"/>
        <n v="4000.91"/>
        <n v="3440"/>
        <n v="1036.3599999999999"/>
        <n v="3678.18"/>
        <n v="3640.91"/>
        <n v="2463.64"/>
        <n v="1881.82"/>
        <n v="1359.09"/>
        <m/>
      </sharedItems>
    </cacheField>
    <cacheField name="CANAL" numFmtId="0">
      <sharedItems containsBlank="1" count="5">
        <s v="03 ORL"/>
        <s v="02 MARKETING OFF LINE"/>
        <s v="04 TIENDA"/>
        <s v="01 MARKETING ON LINE"/>
        <m/>
      </sharedItems>
    </cacheField>
    <cacheField name="SUBCANAL" numFmtId="0">
      <sharedItems containsBlank="1" count="11">
        <s v="06 ORL"/>
        <s v="18 ESCAPARATE"/>
        <s v="07 BOCA/BOCA"/>
        <s v="01 WEB AUDICOST"/>
        <s v="04 AUDIFONO,ES"/>
        <s v="22 AUDIOMETRIA CLINICA"/>
        <s v="19 CLIENTE RECOMPRA ESPONTANEA"/>
        <s v="02 GOOGLE"/>
        <s v="10 REVISIÓN POST-VENTA"/>
        <s v="08 TELEMARKETING LISTADO EXTERNO"/>
        <m/>
      </sharedItems>
    </cacheField>
    <cacheField name="NOMBRE ORL/CAMPAÑA" numFmtId="0">
      <sharedItems containsBlank="1" count="431">
        <s v="Dra, María Garrote Garrote"/>
        <s v="Dr, Máximo Rafael García Rodríguez"/>
        <s v="Dr, Javier García-Dueñas González"/>
        <s v="Dr, Álvaro Sánchez Álvarez"/>
        <s v="Dra, Isabel Polo Tomás"/>
        <s v="Dra, Maria Rosario Ferrandiz García"/>
        <s v="Dra, Irene Monjas Canovas"/>
        <s v="Dr, Evians Gómez De La Rosa"/>
        <s v="Dr, Adolfo Toledano Muñoz"/>
        <s v="Dra, Victoria García Peces"/>
        <s v="Dra, Estefania Miranda Sánchez"/>
        <s v="Dra, Laura Del Toro Gil"/>
        <s v="Dra, María Teresa Herrera Mera"/>
        <s v="Dr, Raimundo Andres Navarro Mediano"/>
        <s v="Dr, José Montojo Woodeson"/>
        <s v="Dra, Cristina Vaduva"/>
        <s v="Dr, Enric Ferran Benstrom"/>
        <s v="Dr, Jesus-Maria Grasa Pérez"/>
        <s v="Dra, Carmen Juan Ivars"/>
        <s v="Dr, Julio López Moya"/>
        <s v="Dra, Paula Aviles Mañoso"/>
        <s v="Dr, Jesús Ramos Fernández"/>
        <s v="Dr, Fernando Salazar Barcelona"/>
        <s v="Dra, Cristina Ibañez Muñoz"/>
        <s v="Dr, Pedro Juiz López"/>
        <s v="Dr, José Gustavo Barroso Braojos"/>
        <s v="Dra, Helena Moreno Pardo"/>
        <s v="Dr, Javier García Domínguez"/>
        <s v="Dr, Esteban Scola Pliego"/>
        <s v="Dr, Francisco Javier Redondo Del Barco"/>
        <s v="Dr, Carlos Barajas Del Rosal"/>
        <s v="Dr, Antonio Bueno Ríos"/>
        <s v="Dr, José Joaquín Gutiérrez Barquín"/>
        <s v="Dr, Andreas Schilling Borghesi"/>
        <s v="Dra, Bárbara Castillo Ávila"/>
        <s v="Dr, Joaquín Alacio Casero"/>
        <s v="Dr, Adolfo Carlos Hinojar Gutierrez"/>
        <s v="Dra, Alicia Suárez Calvo"/>
        <s v="Dr, Alejandro Harguindey Antoli-Candela"/>
        <s v="Dra, Sara Reda Del Barrio"/>
        <s v="Dr, Víctor José González Arias"/>
        <s v="Dr, Gustavo Córdova Ramos"/>
        <s v="Dr, Ignacio Albaladejo Devis"/>
        <s v="Dra, Cristina Esther Torregrosa Carrasquer"/>
        <s v="Dr, Jesús Miguel Iniesta Turpín"/>
        <s v="Dra, María Agustina Sevilla García"/>
        <s v="Dr, José Miguel Osete Albaladejo"/>
        <s v="Dr, Juan Pablo Pelegrín Hernández"/>
        <s v="Dra, Oreana Carolina Camacaro González"/>
        <s v="Dra, Marina Pérez Grau"/>
        <s v="Dr, Santiago Moreno Paredes"/>
        <s v="Dra, María Rey Marcos"/>
        <s v="Dra, Ana Quintana Sanjuan"/>
        <s v="Dra, Ana Giribet Fernández-Pacheco"/>
        <s v="Dr, Dinis Antunes Silva"/>
        <s v="Dr, Alberto Raposo Jiménez"/>
        <s v="Dr, Francisco García Purriños"/>
        <s v="Dra, Nathalie Fages Cárceles"/>
        <s v="Dr, Carlos Vidal Redondo"/>
        <s v="Dr, Antonio Gandúl Merchán"/>
        <s v="Dr, Jaime Alonso Ochoa Ríos"/>
        <s v="Dr, Jesús Crovato Rojas"/>
        <s v="Dr, Carlos Félix Asensio Nieto"/>
        <s v="Dr, Jose Joaquín Lora Díaz"/>
        <s v="Dra, Stephany Rodríguez Mata"/>
        <s v="Dra, Lorena Sanz López"/>
        <s v="Dr, Agustín Campos Catalá"/>
        <s v="Dr, Jean Franco Intraprendente Martini"/>
        <s v="Dr, Luís Martínez Bernabeu"/>
        <s v="Dr, Manuel Mateos Fernández"/>
        <s v="Dra, Paula Martínez-Ruiz De Apocada"/>
        <s v="Dra, Vicky Galstyan Minasosa"/>
        <s v="Dr, Ignacio Llopez Carratalá"/>
        <s v="Dra, Cristina Molina Martínez"/>
        <s v="Dra, Mónica Granda Rosales"/>
        <s v="Dr, Andrés Paulino Herrera"/>
        <s v="Dr, María Jesús Cornejo Domínguez"/>
        <s v="Dra, Pilar Castro Ruiz"/>
        <s v="Dra, María Consolación Martín Pascual"/>
        <s v="Dr, Anselmo Padín Seara"/>
        <s v="Dr, Raed Maqued El Maqued"/>
        <s v="Dr, Héctor Vallés Varela"/>
        <s v="Dr, Pedro Gil Paraíso"/>
        <s v="Dr, Manuel Cañete Domínguez"/>
        <s v="Dr, Rafael Pérez González"/>
        <s v="Dr, Ángel Muñoz Herrera"/>
        <s v="Dra, Adela Pérez-Caro Ríos"/>
        <s v="Dr, Javier García Gómez"/>
        <s v="Dr, José Manuel García Solans-Esteras"/>
        <s v="Dra, Isabel Miranda García"/>
        <s v="Dra, Daniela Carolina Laguado Bulgheroni"/>
        <s v="Dr, Jose Antonio Sancipriano Hernández"/>
        <s v="Dr, Tomas Mogollon Cano Cortes"/>
        <s v="Dra, Isabel Pensado Banet"/>
        <s v="Dr, Enrique Gómez Aldaz"/>
        <s v="Dr, Francisco López Navas"/>
        <s v="Dr, Manuel Acuña García"/>
        <s v="Dra, Xenia Mota Rojas"/>
        <s v="Dra, Ana Fernández Rodríguez"/>
        <s v="Dr, Luis Miguel Rincón Esteban"/>
        <s v="Dr, Gabriel Martínez Capoccini"/>
        <s v="Dr, Enrique Ruiz Veguilla"/>
        <s v="Dr, Jonathan Esteban Sánchez"/>
        <s v="Dr, Francisco Javier Cerdán Baeza"/>
        <s v="Dr, Jesús Tomás Onrubia Parra"/>
        <s v="Dr, Francisco Pastor Beviá"/>
        <s v="Dr, Pedro Seguí Moya"/>
        <s v="Dr, Alfonso Santamaría Gadea"/>
        <s v="Dr, Francisco Ropero Romero"/>
        <s v="Dr, Mohamed Al Rifal Al Masti"/>
        <s v="Dra, Aida Aviñoa Arias"/>
        <s v="Dr, Pedro Barthe García"/>
        <s v="Dra, Isabel Menaches Guardiola"/>
        <s v="Dr, Antonio José Fernández Pérez"/>
        <s v="Dr, José Manuel Tamarit Conejeros"/>
        <s v="Dra, Estefanía Berrocal Postigo"/>
        <s v="Dra, Mónica Rodríguez Valero"/>
        <s v="Dr, Ricardo González-Orus"/>
        <s v="Dra, Natalia Gisseth Pulido Fonseca"/>
        <s v="No Recuerda Orl"/>
        <s v="Dr, David Castro Gutiérrez De Agüero"/>
        <s v="Dr, Miguel Vaca González"/>
        <s v="Dr, Álvaro Pérez Llinares"/>
        <s v="Dra, María Gabriela Bosco Morales"/>
        <s v="Dr, Abel Bogoya Castaño"/>
        <s v="Dr, Gonzalo Dorado Gutiérrez"/>
        <s v="Dra, Cristina Povedano Fernández"/>
        <s v="Dr, Joaquín Guerra Gómez"/>
        <s v="Dra, María Pérez Sepúlveda"/>
        <s v="Dr, Garikoitz Calzada Uriondo"/>
        <s v="Dr, Javier Olarieta Soto"/>
        <s v="Dra, Cristina García García"/>
        <s v="Dr, Guillermo Severá Ferrándiz"/>
        <s v="Dr, Félix Ruíz de la Cuesta Juste"/>
        <s v="Dra, Elisabeth Amarillo Espitia"/>
        <s v="Dra, Ana Gabriela Jover Espla"/>
        <s v="Dr, Fiorella Marcino Moreira"/>
        <s v="Dr, Ramón González Herranz"/>
        <s v="Dra, Rebeca Barrios Gonzalo"/>
        <s v="Dr, Àlex Ramírez Rosa"/>
        <s v="Dra, Itziar Álvarez Palacios"/>
        <s v="Dra, Beatriz Arana Fernández"/>
        <s v="Dra, Alicia Mateo Espinosa"/>
        <s v="Dra, Ana Ruiz Fornells Noreña"/>
        <s v="Dra, Beatriz Santos Duque"/>
        <s v="Dra, Laura Garrido García"/>
        <s v="Dr, Jesús Atalaya Díaz"/>
        <s v="Dr, Miguel Mayo Yáñez"/>
        <s v="Dr, Jesús Eduardo Ramírez Salas"/>
        <s v="Dra, Marina Madrigal Revuelta"/>
        <s v="Dra, Diana Lysbeth Lourido Piedrahita"/>
        <s v="Dr, Ernesto Varela Martínez"/>
        <s v="Dr, Pedro Blanco Pérez,"/>
        <s v="Dra, Nuria Mesuro Domínguez"/>
        <s v="Dra, María Jesús González Cortes"/>
        <s v="Dra, Mercedes Ceballos Cauto"/>
        <s v="Dr, Jorge Damborenea Tajada"/>
        <s v="Dra, Noelia García García"/>
        <s v="Dr, Isidoro Rubio Correa"/>
        <s v="Dra, Mercedes Álvarez-Buylla Blanco"/>
        <s v="Dr, José Eugenio Estrada Gromaz"/>
        <s v="Dr, Guillermo San Juan De La Moreta"/>
        <s v="Dr, Jaime Martín Carranza"/>
        <s v="Dr, Carlos Velásquez Fermín"/>
        <s v="Dr, Rubén Moreno Arrones"/>
        <s v="Dra, María Magdalena Pérez Ortín "/>
        <s v="Dr, Enrique López Meseguer"/>
        <s v="Dr, Manuel Gutiérrez Triguero"/>
        <s v="Dr, Miguel Antonio Shepherd González"/>
        <s v="Dra, María Emilia García Ruiz"/>
        <s v="Dra, Araceli González Delgado"/>
        <s v="Dr, Manuel Acebal Lucía"/>
        <s v="Dr, Juan Javier Álvarez López"/>
        <s v="Dra, María Teresa Almela Rojo"/>
        <s v="Dra, Mar Lasso De La Vega Zamora"/>
        <s v="Dr, Juan Maza Solano"/>
        <s v="Dra, María Del Mar Medina González"/>
        <s v="Dr, Óscar Alfonso Arenas Britez"/>
        <s v="Dra, Marta Paulos Novoa"/>
        <s v="Dra, María Antonia Rodríguez Castejón"/>
        <s v="Dr, Oscar A, Sánchez Valenzuela"/>
        <s v="Dra, Elena Martín Bejerano"/>
        <s v="Dra, Vania Novoa Juiz"/>
        <s v="Dra, Concepcion Rodríguez Izquierdo"/>
        <s v="Dra, Blanca Maria Martinez Duro"/>
        <s v="Dr, Javier Padilla Cabello"/>
        <s v="Dr, César Charles Martínez"/>
        <s v="Dra, Irene Mármol Szmobathy"/>
        <s v="Dr, Carlos De Paula Vernetta"/>
        <s v="Dr, Enrique Viviente Rodríguez"/>
        <s v="Dr, Antonio Rodríguez Rivero"/>
        <s v="Dr, Juan De Dios De La Calzada"/>
        <s v="Dra, María Del Mar Martínez Ruiz-Coello"/>
        <s v="Dra, Marta Abad Pascual"/>
        <s v="Dr, Joaquín Pérez Rull"/>
        <s v="Dr, Andrés Barrios Recio"/>
        <s v="Dr, Jose Antonio Torre Eiriz"/>
        <s v="Dr, Jaime Marco Algarra"/>
        <s v="Dra, Laura Yeguas Ramírez"/>
        <s v="Dra, Alejandra Jara Maquilón"/>
        <s v="Dr, Raúl Del Castillo López"/>
        <s v="Dr, Raimundo Gómez-Blasi"/>
        <s v="Dra, Esther De La O Corrochano"/>
        <s v="Dr, Ulises Bidón Gómez"/>
        <s v="Dr, Julio Knaster Del Olmo"/>
        <s v="Dr, Rafael Sanz Trenado"/>
        <s v="Dra, Angela Enterría González"/>
        <s v="Dra, Antonia Carranza Calleja"/>
        <s v="Dr, Joaquín Pérez Villar"/>
        <s v="Dr, José Miguel Tejada Bautista"/>
        <s v="Dra, Patricia Viveros Diez"/>
        <s v="Dr, Manuel Estevez García"/>
        <s v="Dr, Joaquim Broto Sumalla"/>
        <s v="Dr, Carlos Miguel Salvador Martínez"/>
        <s v="Dra, María Ángeles Herreros Sánchez"/>
        <s v="Dra, Cayetana López Ladrón García De La Borbolla"/>
        <s v="Dr, Rafael Alfonso Hurtado Ruzza"/>
        <s v="Dr, Félix Rodríguez Paz"/>
        <s v="Dr, Eviatar Friedlander"/>
        <s v="Dra, Elena Sevilla Heras"/>
        <s v="Dr, Enric Cisa Lluis"/>
        <s v="Dr, Javier Herrero Agustín"/>
        <s v="Dr, Miguel Rodriguez Pérez"/>
        <s v="Dr, José Víctor Tisner Nieto"/>
        <s v="Dra, Maria Ángeles Mate Bayon"/>
        <s v="Dra, Esther García López"/>
        <s v="Dra, Estrella Pallas Pallas"/>
        <s v="Dr, Carles Heredia Llinás"/>
        <s v="Dr, Miguel Alberto Rodríguez Pérez"/>
        <s v="Dra, Lucia Prieto Sánchez De La Puerta"/>
        <s v="Dra, Julia María Rouco Pérez"/>
        <s v="Dr, Francisco Javier Aguilar Vera"/>
        <s v="Dr, Pablo García González"/>
        <s v="Dr, Pedro Francisco Martínez Guisado"/>
        <s v="Dra, Anna Mateo Montfort"/>
        <s v="Dr, Luis Jiménez Ferreres"/>
        <s v="Dra, Carmen Hernández Torres"/>
        <s v="Dra, María José Naya Gálvez"/>
        <s v="Dr, Guillermo Sierra Galera"/>
        <s v="Dr, Pablo Sarrió Solera"/>
        <s v="Dra, María José Gámiz Maroto"/>
        <s v="Dr, Daniel Briones Crespo"/>
        <s v="Dr, Iván Muerte Moreno"/>
        <s v="Dr, Cristina Alonso González"/>
        <s v="Dra, Cristina Muñoz Pinto"/>
        <s v="Dr, Oscar Alemán López"/>
        <s v="Dr, Javier Gavilanes Plasencia"/>
        <s v="Dr, Juan Ignacio Riestra Ayora"/>
        <s v="Dra, Nuria Salas Barrio"/>
        <s v="Dra, Ana María Sánchez-Prieto Fernández"/>
        <s v="Dr, Pedro Masegosa Zapata"/>
        <s v="Dr, Juan Pedro Rubio Rodríguez"/>
        <s v="Dra, María Teresa Cervilla Martín"/>
        <s v="Dra, Montserrat Portell Soriano"/>
        <s v="Dra, Maria Del Rocío Lobato Pérez"/>
        <s v="Dra, Eva Ruiz De Gauna"/>
        <s v="Dr, José Ramiro De León Lima"/>
        <s v="Dr, Raimon García Chillerón"/>
        <s v="Dr, Gustavo Benavente Bermudo"/>
        <s v="Dr, Javier Lafarga Vázquez"/>
        <s v="Dr, Javier Padilla Caballero"/>
        <s v="Dra, Marta Sandoval Puig"/>
        <s v="Dr, Pablo Vergés Fort"/>
        <s v="Dra, Salwa Laraqui Hossini"/>
        <s v="Dra, Anastasiya Audiyuk Martynyuk"/>
        <s v="Dr, Vicente Mira Escartí"/>
        <s v="Dra, Desirée Méndez Brenderbache"/>
        <s v="Dra, Paloma Pinacho Martínez"/>
        <s v="Dra, Laura Ruano De Pablo"/>
        <s v="Dr, Álvaro Sánchez de Arriba"/>
        <s v="Dra, Laura Gálvez Gazo"/>
        <s v="Dra, María Fernanda Escala Pedreros"/>
        <s v="Dra, Socorro Tedín García"/>
        <s v="Dra, Paloma Martín Díaz"/>
        <s v="Dra, Rocío Corrales Millán"/>
        <s v="Dr, Juan Pedro Benaixa"/>
        <s v="Dr, Francisco Alés Conejo"/>
        <s v="Dra, Ainhoa Moreno Bravo"/>
        <s v="Dra, Celia López Molla"/>
        <s v="Dr, Martín Eduardo Marcano Acuña"/>
        <s v="Dr, José Montalt Marco"/>
        <s v="Dra, Ainhoa García-Lliberos de Miguel"/>
        <s v="Dra, Mariella Anaya Sifuentes"/>
        <s v="Dra, María Begoña Capella Soriano"/>
        <s v="Dr, Enrique Romero Van Abeleen"/>
        <s v="Dra, Raquel Solis Vazquez"/>
        <s v="Dr, Manuel Martí Peña"/>
        <s v="Dr, Josep Maria Orrit Arenas"/>
        <s v="Dra, Marta Calvo Pérez"/>
        <s v="Dr, Juan José Tavarez Rodríguez"/>
        <s v="Dr, Eduardo Cabanas Rodríguez"/>
        <s v="Dra, Isabel Vaamonde Sanchez Andrade"/>
        <s v="Dra, Luisa Payá Pérez"/>
        <s v="Dra, Paula Hernández Ruíz"/>
        <s v="Dra, Ithzel Maria Villarreal Patiño"/>
        <s v="Dra, Miriam Hamdham"/>
        <s v="Dra, Cristina Marín Garrido"/>
        <s v="Dr, Gumersindo Jesús Pérez Ortega"/>
        <s v="Dr, Ignacio Erdozáin Rodríguez"/>
        <s v="Dr, Franklin S, Mariño Sánchez"/>
        <s v="Dr, Carlos Armiño Megido"/>
        <s v="Dra, Alicia Gómez cabezas"/>
        <s v="Dr, Ivan Mendez- Benegassi Silva"/>
        <s v="Dra, Marta Chaurre Cordero"/>
        <s v="Dra, Inmaculada Sancho Martín"/>
        <s v="Dra, Aurora López Llames"/>
        <s v="Dr, Jorge Alberto Jiménez Antolín"/>
        <s v="Dra, María Soledad Frías Moya-Angeler"/>
        <s v="Dr, Abel Guzmán Calvete"/>
        <s v="Dr, Carlos Frade González"/>
        <s v="Dra, Marta Fernández Míguez"/>
        <s v="Dr, Amer Souki Chmeitt"/>
        <s v="Dra, Marta García Jiménez"/>
        <s v="Dr, Jaime Leache Pueyo"/>
        <s v="Dr, Daniel Unigarro Londoño"/>
        <s v="Dr, Coloma Grau Van Laak"/>
        <s v="Dr, Alfonso Plaza López"/>
        <s v="Dra, Patricia García Vicente"/>
        <s v="Dr, José García Morillas"/>
        <s v="Dra, Inés Pastor Basterra"/>
        <s v="Dr, Darío Agudelo García"/>
        <s v="Dra, Rocío Corrales Martín"/>
        <s v="Dr, Daniel Moreno Jimenez"/>
        <s v="Dra, Beatriz Rodríguez González Herrero"/>
        <s v="Dr, Gerardo Monedero Rodrigo"/>
        <s v="Dra, Paula del Valle Gómez"/>
        <s v="Dr, Francisco Ramos Puerto"/>
        <s v="Dra, Blanca Marly de Alós"/>
        <s v="Dr, Ángel Ángel de Miguel"/>
        <s v="Dra, Vanesa Pérez Guillén"/>
        <s v="Dr, Juan Carlos Del Pozo De Dios"/>
        <s v="Dra, Zoila Peña Rodríguez"/>
        <s v="Dr, Joan Remacha Sardà"/>
        <s v="Dr, Miguel F, García Wagner"/>
        <s v="Dra, Daniela Terán Guamán"/>
        <s v="Dra, María Cecilia Scola Torres"/>
        <s v="Dr, Ignacio Jiménez Huerta"/>
        <s v="Dra, Maria Del Carmen Salom Coveñas"/>
        <s v="Dr, Alfonso Marco Garrido"/>
        <s v="Dra, María Del Rocío Lobato Pérez"/>
        <s v="Dra, Paloma Martín-Aragón Martín"/>
        <s v="Dra, Sara Jubés Monforte"/>
        <s v="Dra, Andrea Cifuentes Navas"/>
        <s v="Dra, Sara Fernandez Cascón"/>
        <s v="Dra, María Sol Marcos Salazar"/>
        <s v="Dra, Mónica Rodríguez Briceño"/>
        <s v="Dr, Camilo Rodríguez Van Strahle"/>
        <s v="Dra, Paula López Mesa"/>
        <s v="Dr, Lino Enguidanos Hernandorena"/>
        <s v="Dr, Salwa Laraqui Hossini"/>
        <s v="Dra, Marta Colmenero Ruiz"/>
        <s v="Dr, Manuel Tucciarone"/>
        <s v="Dr, Ignacio Aristegui Torrano"/>
        <s v="Dra, Clara Beltrán Yturriaga"/>
        <s v="Dr, Juan David Lara Lozano"/>
        <s v="Dra, María Elena García García"/>
        <s v="Dr, javier Gamboa Mutuberria"/>
        <s v="Dra, Paula Martinez Pascual"/>
        <s v="Dra, Mª José Lesmas Navarro"/>
        <s v="Dr, Antonio Gustavo Lirola Delgado"/>
        <s v="Dr, Carlos Montero García"/>
        <s v="Dr, Isabel Vaamonde Sanchez Andrade"/>
        <s v="Dr, Francisco Esteban Ortega"/>
        <s v="Dra, Mónica Rueda Vega"/>
        <s v="Dr, Rafael Ruiz Fito"/>
        <s v="Dra, Alba Domínguez Palos"/>
        <s v="Dra, Laura Espinosa Fernández"/>
        <s v="Dra, Maria Teresa Cervilla Martín"/>
        <s v="Dra, Dolores Romero Panadero"/>
        <s v="Dr, Manuel Segundo Gómez Fiñana"/>
        <s v="Dr, Atonio Burgos Sánchez"/>
        <s v="Dr, Fernando García Alcántara"/>
        <s v="Dra, Belén Clemente Cuartero"/>
        <s v="Dr, José María Hernández Hernández"/>
        <s v="Dra Mª Soledad Frías Moya-Angeler"/>
        <s v="Dra, Paula Morales Chacchi"/>
        <s v="Dr, Ignacio Pla Gil"/>
        <s v="Dra, María Del Rosario De Saa Álvarez"/>
        <s v="Dra, Virginia Barrios Crispi"/>
        <s v="Dr, Mercedes Ceballos Cauto"/>
        <s v="Dra, Paula Rodríguez Rivas"/>
        <s v="Dr, Fernando Martín Peña"/>
        <s v="Dr, José Manuel Morales Puebla"/>
        <s v="Dra, Manuela Calderón Sánchez"/>
        <s v="Dra, Carmen Fernández-Cedrón Bermejo"/>
        <s v="Dra, Karla Natali Montaño Rueda"/>
        <s v="Dra, Inmaculada Giraldo Mata"/>
        <s v="Dr, Enrique González Sánchez"/>
        <s v="Dr, Alfonso Rodríguez Fabio"/>
        <s v="Dra, Diana Hernán Pérez"/>
        <s v="Dra, María Rosario Ruiz Gómez"/>
        <s v="Dra, Viviana Andrea"/>
        <s v="Dr, Alfonso Aracil Montesinos"/>
        <s v="Dr, Antonio Galindo Fernández"/>
        <s v="Dra, Elvylins Vargas Yglesia"/>
        <s v="Dra, Mª Luisa Calero Ramos"/>
        <s v="Dr, Francisco Delgado Álvarez"/>
        <s v="Dr, Guillermo Severá Ferrandiz"/>
        <s v="Dr, Miguel Lucas Herrera"/>
        <s v="Dra, Marta Sanz Rodríguez"/>
        <s v="Dr, Carlos Calvo Navarro"/>
        <s v="Dr,Manuel Padilla Parrado"/>
        <s v="Dr, Miguel Ángel Fernández Andrade"/>
        <s v="Dr, Jose María Cordoncillo Prieto"/>
        <s v="Dra, Esther Macon Liquete"/>
        <s v="Dra, Laura Guillamon Vivancos"/>
        <s v="Dr, Manuel González Juliao"/>
        <s v="Dra, Sara Tanboura López"/>
        <s v="Dra, Anna Ferrer Guiu_x000a_"/>
        <s v="Dr. Carlos Barajas Del Rosal"/>
        <s v="RAQUEL GARCÍA MENCHERO"/>
        <s v="Dr. Manuel Acuña García"/>
        <s v="Dr. Miguel Mayo Yáñez"/>
        <s v="Dr. Jesús Eduardo Ramírez Salas"/>
        <s v="Dr, Ignacio Sierra Arbide"/>
        <s v="Dr. Rafael Pérez González"/>
        <s v="Dr, Alfonso García Piñero"/>
        <s v="Dra. Mónica Granda Rosales"/>
        <s v="Dr, Francisco José Estrada Molina"/>
        <s v="Dra, Esther De La O Corochano"/>
        <s v="Dr, José Miguel Aparicio Fernández"/>
        <s v="Dra, Elena Molina Fernández"/>
        <s v="WEB RAQUEL GARCÍA"/>
        <s v="Dr, Fabio Fernández Mateos"/>
        <s v="Dra, María López Robles"/>
        <s v="Dra, María Romero Marchante"/>
        <s v="Dr, Antonio Cortés Lladó"/>
        <s v="Dra, Inmaculada Puíg González"/>
        <s v="Dra, Isabel Bustillo García"/>
        <s v="Dra, Alba Molina Moreno"/>
        <m/>
      </sharedItems>
    </cacheField>
    <cacheField name="NOMBRE VISITADOR" numFmtId="0">
      <sharedItems containsBlank="1" count="12">
        <s v="Maika Blázquez (Madrid)"/>
        <s v="Iván Sánchez (Levante Y Albacete)"/>
        <s v="Lisandro Russian (Madrid, Cáceres, Toledo, Talavera Y Logroño)"/>
        <s v="Ramon Ferrando(Valencia)"/>
        <s v="Mercè Cabrera (Cataluña Y Baleares)"/>
        <s v="Roberto Pereira (Galicia)"/>
        <s v="Luis Alberto Rodríguez (Andalucía Y Badajoz)"/>
        <s v="Patricia Solache (Castilla Y León)"/>
        <s v="Alberto Moreno"/>
        <s v="Alberto Moreno (Madrid)"/>
        <s v="Ignacio Berdejo (Zaragoza)"/>
        <m/>
      </sharedItems>
    </cacheField>
    <cacheField name=" " numFmtId="0">
      <sharedItems containsString="0" containsBlank="1" count="1">
        <m/>
      </sharedItems>
    </cacheField>
    <cacheField name=" 2" numFmtId="0">
      <sharedItems containsString="0" containsBlank="1" count="1">
        <m/>
      </sharedItems>
    </cacheField>
    <cacheField name=" 3" numFmtId="0">
      <sharedItems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OnLoad="1" refreshedDate="0" recordCount="0" xr:uid="{00000000-000A-0000-FFFF-FFFF02000000}">
  <cacheSource type="worksheet">
    <worksheetSource ref="A1:AA1848" sheet="ventas 2025"/>
  </cacheSource>
  <cacheFields count="27">
    <cacheField name="ACTUALIZADO A" numFmtId="170">
      <sharedItems containsDate="1" containsString="0" containsBlank="1" count="2">
        <d v="2026-01-02T00:00:00"/>
        <m/>
      </sharedItems>
    </cacheField>
    <cacheField name="AÑO" numFmtId="0">
      <sharedItems containsString="0" containsBlank="1" containsNumber="1" containsInteger="1" count="2">
        <n v="2025"/>
        <m/>
      </sharedItems>
    </cacheField>
    <cacheField name="MES" numFmtId="0">
      <sharedItems containsString="0" containsBlank="1" containsNumber="1" containsInteger="1" count="13">
        <n v="1"/>
        <n v="2"/>
        <n v="3"/>
        <n v="4"/>
        <n v="5"/>
        <n v="6"/>
        <n v="7"/>
        <n v="8"/>
        <n v="9"/>
        <n v="10"/>
        <n v="11"/>
        <n v="12"/>
        <m/>
      </sharedItems>
    </cacheField>
    <cacheField name="RECOMPRA" numFmtId="0">
      <sharedItems containsBlank="1" count="3">
        <s v="NO"/>
        <s v="SI"/>
        <m/>
      </sharedItems>
    </cacheField>
    <cacheField name="SUCURSAL" numFmtId="0">
      <sharedItems containsBlank="1" count="56">
        <s v="Getafe"/>
        <s v="Albacete"/>
        <s v="Alcorcón"/>
        <s v="El Albir (Benidorm)"/>
        <s v="Alicante"/>
        <s v="Barcelona- Fabra i Puig"/>
        <s v="Fuenlabrada"/>
        <s v="Girona"/>
        <s v="Hospitalet de Llobregat"/>
        <s v="Leganés"/>
        <s v="Logroño"/>
        <s v="Lugo"/>
        <s v="Madrid- Canillas"/>
        <s v="Madrid- Juan Bravo"/>
        <s v="Madrid- La Oca"/>
        <s v="Madrid- Monforte de Lemos"/>
        <s v="Madrid- Moratalaz"/>
        <s v="Móstoles"/>
        <s v="Murcia"/>
        <s v="Orihuela"/>
        <s v="Ourense"/>
        <s v="San Javier"/>
        <s v="Santiago de Compostela"/>
        <s v="Sevilla- Montoto"/>
        <s v="Talavera"/>
        <s v="Torrejón de Ardoz"/>
        <s v="Valencia- Cádiz"/>
        <s v="Valencia- Parra"/>
        <s v="Vilanova"/>
        <s v="Ponferrada"/>
        <s v="Cáceres"/>
        <s v="Salamanca"/>
        <s v="Vigo"/>
        <s v="Valladolid"/>
        <s v="Zaragoza- León XIII"/>
        <s v="León"/>
        <s v="Badajoz"/>
        <s v="Boiro"/>
        <s v="Sevilla- Ciencias"/>
        <s v="Lalín"/>
        <s v="Oviedo"/>
        <s v="Almería"/>
        <s v="Barcelona- Córcega"/>
        <s v="Madrid- Costa Rica"/>
        <s v="Madrid- Galileo"/>
        <s v="Culleredo"/>
        <s v="O Barco"/>
        <s v="Zaragoza- Santander"/>
        <s v="Toledo"/>
        <s v="Carballo"/>
        <s v="Vilagacía De Arousa"/>
        <s v="Terrassa"/>
        <s v="Jerez de la Frontera"/>
        <s v="Huelva"/>
        <s v="Palencia"/>
        <m/>
      </sharedItems>
    </cacheField>
    <cacheField name="FECHA DE VENTA" numFmtId="165">
      <sharedItems containsDate="1" containsString="0" containsBlank="1" count="254">
        <d v="2025-01-30T00:00:00"/>
        <d v="2025-01-24T00:00:00"/>
        <d v="2025-01-28T00:00:00"/>
        <d v="2025-01-31T00:00:00"/>
        <d v="2025-01-29T00:00:00"/>
        <d v="2025-01-15T00:00:00"/>
        <d v="2025-01-20T00:00:00"/>
        <d v="2025-01-27T00:00:00"/>
        <d v="2025-01-03T00:00:00"/>
        <d v="2025-01-07T00:00:00"/>
        <d v="2025-01-22T00:00:00"/>
        <d v="2025-01-14T00:00:00"/>
        <d v="2025-01-17T00:00:00"/>
        <d v="2025-01-09T00:00:00"/>
        <d v="2025-01-16T00:00:00"/>
        <d v="2025-01-13T00:00:00"/>
        <d v="2025-01-23T00:00:00"/>
        <d v="2025-01-10T00:00:00"/>
        <d v="2025-01-08T00:00:00"/>
        <d v="2025-01-21T00:00:00"/>
        <d v="2025-01-25T00:00:00"/>
        <d v="2025-02-03T00:00:00"/>
        <d v="2025-02-04T00:00:00"/>
        <d v="2025-02-05T00:00:00"/>
        <d v="2025-02-06T00:00:00"/>
        <d v="2025-02-07T00:00:00"/>
        <d v="2025-02-10T00:00:00"/>
        <d v="2025-02-11T00:00:00"/>
        <d v="2025-02-12T00:00:00"/>
        <d v="2025-02-13T00:00:00"/>
        <d v="2025-02-14T00:00:00"/>
        <d v="2025-02-17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7T00:00:00"/>
        <d v="2025-02-28T00:00:00"/>
        <d v="2025-03-03T00:00:00"/>
        <d v="2025-03-04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7T00:00:00"/>
        <d v="2025-03-28T00:00:00"/>
        <d v="2025-03-31T00:00:00"/>
        <d v="2025-03-22T00:00:00"/>
        <d v="2025-04-01T00:00:00"/>
        <d v="2025-04-02T00:00:00"/>
        <d v="2025-04-03T00:00:00"/>
        <d v="2025-04-04T00:00:00"/>
        <d v="2025-04-07T00:00:00"/>
        <d v="2025-04-08T00:00:00"/>
        <d v="2025-04-09T00:00:00"/>
        <d v="2025-04-10T00:00:00"/>
        <d v="2025-04-11T00:00:00"/>
        <d v="2025-04-14T00:00:00"/>
        <d v="2025-04-15T00:00:00"/>
        <d v="2025-04-16T00:00:00"/>
        <d v="2025-04-17T00:00:00"/>
        <d v="2025-04-21T00:00:00"/>
        <d v="2025-04-22T00:00:00"/>
        <d v="2025-04-23T00:00:00"/>
        <d v="2025-04-24T00:00:00"/>
        <d v="2025-04-25T00:00:00"/>
        <d v="2025-04-28T00:00:00"/>
        <d v="2025-04-29T00:00:00"/>
        <d v="2025-04-30T00:00:00"/>
        <d v="2025-05-16T00:00:00"/>
        <d v="2025-05-13T00:00:00"/>
        <d v="2025-05-28T00:00:00"/>
        <d v="2025-05-30T00:00:00"/>
        <d v="2025-05-23T00:00:00"/>
        <d v="2025-05-14T00:00:00"/>
        <d v="2025-05-26T00:00:00"/>
        <d v="2025-05-29T00:00:00"/>
        <d v="2025-05-02T00:00:00"/>
        <d v="2025-05-05T00:00:00"/>
        <d v="2025-05-12T00:00:00"/>
        <d v="2025-05-27T00:00:00"/>
        <d v="2025-05-19T00:00:00"/>
        <d v="2025-05-09T00:00:00"/>
        <d v="2025-05-21T00:00:00"/>
        <d v="2025-05-08T00:00:00"/>
        <d v="2025-05-15T00:00:00"/>
        <d v="2025-05-07T00:00:00"/>
        <d v="2025-05-22T00:00:00"/>
        <d v="2025-05-20T00:00:00"/>
        <d v="2025-05-03T00:00:00"/>
        <d v="2025-05-06T00:00:00"/>
        <d v="2025-06-16T00:00:00"/>
        <d v="2025-06-25T00:00:00"/>
        <d v="2025-06-10T00:00:00"/>
        <d v="2025-06-18T00:00:00"/>
        <d v="2025-06-04T00:00:00"/>
        <d v="2025-06-02T00:00:00"/>
        <d v="2025-06-09T00:00:00"/>
        <d v="2025-06-30T00:00:00"/>
        <d v="2025-06-19T00:00:00"/>
        <d v="2025-06-26T00:00:00"/>
        <d v="2025-06-27T00:00:00"/>
        <d v="2025-06-17T00:00:00"/>
        <d v="2025-06-23T00:00:00"/>
        <d v="2025-06-12T00:00:00"/>
        <d v="2025-06-13T00:00:00"/>
        <d v="2025-06-06T00:00:00"/>
        <d v="2025-06-05T00:00:00"/>
        <d v="2025-06-11T00:00:00"/>
        <d v="2025-06-24T00:00:00"/>
        <d v="2025-06-20T00:00:00"/>
        <d v="2025-06-03T00:00:00"/>
        <d v="2025-07-01T00:00:00"/>
        <d v="2025-07-14T00:00:00"/>
        <d v="2025-07-22T00:00:00"/>
        <d v="2025-07-21T00:00:00"/>
        <d v="2025-07-11T00:00:00"/>
        <d v="2025-07-16T00:00:00"/>
        <d v="2025-07-18T00:00:00"/>
        <d v="2025-07-24T00:00:00"/>
        <d v="2025-07-15T00:00:00"/>
        <d v="2025-07-10T00:00:00"/>
        <d v="2025-07-17T00:00:00"/>
        <d v="2025-07-25T00:00:00"/>
        <d v="2025-07-04T00:00:00"/>
        <d v="2025-07-02T00:00:00"/>
        <d v="2025-07-23T00:00:00"/>
        <d v="2025-07-08T00:00:00"/>
        <d v="2025-07-07T00:00:00"/>
        <d v="2025-07-03T00:00:00"/>
        <d v="2025-07-09T00:00:00"/>
        <d v="2025-07-20T00:00:00"/>
        <d v="2025-07-26T00:00:00"/>
        <d v="2025-07-28T00:00:00"/>
        <d v="2025-07-29T00:00:00"/>
        <d v="2025-07-31T00:00:00"/>
        <d v="2025-07-30T00:00:00"/>
        <d v="2025-08-07T00:00:00"/>
        <d v="2025-08-29T00:00:00"/>
        <d v="2025-08-20T00:00:00"/>
        <d v="2025-08-25T00:00:00"/>
        <d v="2025-08-18T00:00:00"/>
        <d v="2025-08-27T00:00:00"/>
        <d v="2025-08-05T00:00:00"/>
        <d v="2025-08-22T00:00:00"/>
        <d v="2025-08-28T00:00:00"/>
        <d v="2025-08-21T00:00:00"/>
        <d v="2025-08-19T00:00:00"/>
        <d v="2025-08-06T00:00:00"/>
        <d v="2025-08-08T00:00:00"/>
        <d v="2025-08-26T00:00:00"/>
        <d v="2025-08-31T00:00:00"/>
        <d v="2025-09-18T00:00:00"/>
        <d v="2025-09-24T00:00:00"/>
        <d v="2025-09-11T00:00:00"/>
        <d v="2025-09-26T00:00:00"/>
        <d v="2025-09-29T00:00:00"/>
        <d v="2025-09-25T00:00:00"/>
        <d v="2025-09-23T00:00:00"/>
        <d v="2025-09-30T00:00:00"/>
        <d v="2025-09-17T00:00:00"/>
        <d v="2025-09-10T00:00:00"/>
        <d v="2025-09-16T00:00:00"/>
        <d v="2025-09-15T00:00:00"/>
        <d v="2025-09-22T00:00:00"/>
        <d v="2025-09-19T00:00:00"/>
        <d v="2025-09-08T00:00:00"/>
        <d v="2025-09-09T00:00:00"/>
        <d v="2025-09-01T00:00:00"/>
        <d v="2025-09-02T00:00:00"/>
        <d v="2025-09-04T00:00:00"/>
        <d v="2025-09-05T00:00:00"/>
        <d v="2025-09-03T00:00:00"/>
        <d v="2025-10-01T00:00:00"/>
        <d v="2025-10-02T00:00:00"/>
        <d v="2025-10-03T00:00:00"/>
        <d v="2025-10-06T00:00:00"/>
        <d v="2025-10-07T00:00:00"/>
        <d v="2025-10-08T00:00:00"/>
        <d v="2025-10-09T00:00:00"/>
        <d v="2025-10-10T00:00:00"/>
        <d v="2025-10-13T00:00:00"/>
        <d v="2025-10-14T00:00:00"/>
        <d v="2025-10-15T00:00:00"/>
        <d v="2025-10-16T00:00:00"/>
        <d v="2025-10-17T00:00:00"/>
        <d v="2025-10-20T00:00:00"/>
        <d v="2025-10-21T00:00:00"/>
        <d v="2025-10-22T00:00:00"/>
        <d v="2025-10-23T00:00:00"/>
        <d v="2025-10-24T00:00:00"/>
        <d v="2025-10-27T00:00:00"/>
        <d v="2025-10-28T00:00:00"/>
        <d v="2025-10-29T00:00:00"/>
        <d v="2025-10-30T00:00:00"/>
        <d v="2025-10-31T00:00:00"/>
        <d v="2025-11-03T00:00:00"/>
        <d v="2025-11-04T00:00:00"/>
        <d v="2025-11-05T00:00:00"/>
        <d v="2025-11-06T00:00:00"/>
        <d v="2025-11-07T00:00:00"/>
        <d v="2025-11-10T00:00:00"/>
        <d v="2025-11-11T00:00:00"/>
        <d v="2025-11-12T00:00:00"/>
        <d v="2025-11-13T00:00:00"/>
        <d v="2025-11-14T00:00:00"/>
        <d v="2025-11-17T00:00:00"/>
        <d v="2025-11-18T00:00:00"/>
        <d v="2025-11-19T00:00:00"/>
        <d v="2025-11-20T00:00:00"/>
        <d v="2025-11-21T00:00:00"/>
        <d v="2025-11-24T00:00:00"/>
        <d v="2025-11-25T00:00:00"/>
        <d v="2025-11-26T00:00:00"/>
        <d v="2025-11-27T00:00:00"/>
        <d v="2025-11-28T00:00:00"/>
        <d v="2025-12-01T00:00:00"/>
        <d v="2025-12-02T00:00:00"/>
        <d v="2025-12-03T00:00:00"/>
        <d v="2025-12-04T00:00:00"/>
        <d v="2025-12-05T00:00:00"/>
        <d v="2025-12-09T00:00:00"/>
        <d v="2025-12-10T00:00:00"/>
        <d v="2025-12-11T00:00:00"/>
        <d v="2025-12-12T00:00:00"/>
        <d v="2025-12-14T00:00:00"/>
        <d v="2025-12-15T00:00:00"/>
        <d v="2025-12-16T00:00:00"/>
        <d v="2025-12-17T00:00:00"/>
        <d v="2025-12-18T00:00:00"/>
        <d v="2025-12-19T00:00:00"/>
        <d v="2025-12-22T00:00:00"/>
        <d v="2025-12-23T00:00:00"/>
        <d v="2025-12-24T00:00:00"/>
        <d v="2025-12-26T00:00:00"/>
        <d v="2025-12-29T00:00:00"/>
        <d v="2025-12-30T00:00:00"/>
        <d v="2025-12-31T00:00:00"/>
        <m/>
      </sharedItems>
    </cacheField>
    <cacheField name="FECHA DE ALTA DE CLIENTE" numFmtId="165">
      <sharedItems containsDate="1" containsString="0" containsBlank="1" count="359">
        <d v="2024-09-03T00:00:00"/>
        <d v="2024-07-16T00:00:00"/>
        <d v="2024-12-26T00:00:00"/>
        <d v="2025-01-08T00:00:00"/>
        <d v="2024-12-13T00:00:00"/>
        <d v="2024-12-12T00:00:00"/>
        <d v="2024-12-23T00:00:00"/>
        <d v="2024-02-28T00:00:00"/>
        <d v="2024-12-10T00:00:00"/>
        <d v="2025-01-03T00:00:00"/>
        <d v="2024-11-27T00:00:00"/>
        <d v="2024-08-13T00:00:00"/>
        <d v="2025-01-15T00:00:00"/>
        <d v="2024-12-18T00:00:00"/>
        <d v="2024-10-07T00:00:00"/>
        <d v="2024-11-08T00:00:00"/>
        <d v="2024-01-17T00:00:00"/>
        <d v="2024-12-27T00:00:00"/>
        <d v="2023-07-05T00:00:00"/>
        <d v="2024-12-20T00:00:00"/>
        <d v="2025-01-09T00:00:00"/>
        <d v="2024-12-11T00:00:00"/>
        <d v="2017-11-23T00:00:00"/>
        <d v="2025-01-13T00:00:00"/>
        <d v="2024-04-11T00:00:00"/>
        <d v="2024-05-27T00:00:00"/>
        <d v="2025-01-07T00:00:00"/>
        <d v="2024-12-09T00:00:00"/>
        <d v="2024-11-12T00:00:00"/>
        <d v="2024-11-18T00:00:00"/>
        <d v="2024-11-21T00:00:00"/>
        <d v="2024-11-10T00:00:00"/>
        <d v="2025-01-10T00:00:00"/>
        <d v="2025-01-02T00:00:00"/>
        <d v="2024-11-22T00:00:00"/>
        <d v="2024-12-19T00:00:00"/>
        <d v="2024-12-31T00:00:00"/>
        <d v="2024-11-11T00:00:00"/>
        <d v="2025-01-16T00:00:00"/>
        <d v="2024-11-13T00:00:00"/>
        <d v="2023-01-25T00:00:00"/>
        <d v="2024-12-02T00:00:00"/>
        <d v="2024-11-15T00:00:00"/>
        <d v="2024-10-08T00:00:00"/>
        <d v="2024-11-29T00:00:00"/>
        <d v="2024-11-14T00:00:00"/>
        <d v="2024-10-14T00:00:00"/>
        <d v="2024-12-04T00:00:00"/>
        <d v="2024-11-26T00:00:00"/>
        <d v="2024-12-05T00:00:00"/>
        <d v="2024-12-17T00:00:00"/>
        <d v="2024-11-28T00:00:00"/>
        <d v="2024-12-16T00:00:00"/>
        <d v="2024-11-05T00:00:00"/>
        <d v="2024-12-30T00:00:00"/>
        <d v="2024-10-30T00:00:00"/>
        <d v="2024-11-20T00:00:00"/>
        <d v="2024-06-05T00:00:00"/>
        <d v="2025-01-20T00:00:00"/>
        <d v="2024-12-03T00:00:00"/>
        <d v="2024-10-25T00:00:00"/>
        <d v="2023-10-18T00:00:00"/>
        <d v="2024-10-22T00:00:00"/>
        <d v="2024-12-24T00:00:00"/>
        <d v="2024-10-21T00:00:00"/>
        <d v="2024-06-14T00:00:00"/>
        <d v="2024-07-10T00:00:00"/>
        <d v="2024-11-04T00:00:00"/>
        <d v="2023-05-17T00:00:00"/>
        <d v="2024-11-25T00:00:00"/>
        <d v="2024-01-24T00:00:00"/>
        <d v="2023-12-19T00:00:00"/>
        <d v="2025-01-14T00:00:00"/>
        <d v="2024-08-30T00:00:00"/>
        <d v="2024-11-30T00:00:00"/>
        <d v="2024-10-17T00:00:00"/>
        <d v="2024-05-23T00:00:00"/>
        <d v="2024-01-22T00:00:00"/>
        <d v="2024-09-05T00:00:00"/>
        <d v="2024-11-19T00:00:00"/>
        <d v="2025-01-22T00:00:00"/>
        <d v="2025-01-24T00:00:00"/>
        <d v="2025-01-17T00:00:00"/>
        <d v="2025-01-21T00:00:00"/>
        <d v="2025-02-11T00:00:00"/>
        <d v="2025-01-30T00:00:00"/>
        <d v="2025-01-27T00:00:00"/>
        <d v="2024-03-11T00:00:00"/>
        <d v="2025-01-23T00:00:00"/>
        <d v="2025-02-04T00:00:00"/>
        <d v="2024-01-30T00:00:00"/>
        <d v="2025-02-18T00:00:00"/>
        <d v="2025-02-07T00:00:00"/>
        <d v="2024-07-01T00:00:00"/>
        <d v="2025-01-29T00:00:00"/>
        <d v="2025-02-03T00:00:00"/>
        <d v="2025-01-28T00:00:00"/>
        <d v="2025-02-06T00:00:00"/>
        <d v="2023-02-23T00:00:00"/>
        <d v="2024-10-23T00:00:00"/>
        <d v="2024-09-12T00:00:00"/>
        <d v="2025-01-31T00:00:00"/>
        <d v="2025-02-05T00:00:00"/>
        <d v="2025-02-27T00:00:00"/>
        <d v="2025-02-13T00:00:00"/>
        <d v="2024-07-23T00:00:00"/>
        <d v="2025-02-10T00:00:00"/>
        <d v="2025-02-17T00:00:00"/>
        <d v="2025-02-14T00:00:00"/>
        <d v="2025-02-21T00:00:00"/>
        <d v="2025-02-25T00:00:00"/>
        <d v="2024-05-22T00:00:00"/>
        <d v="2025-03-10T00:00:00"/>
        <d v="2025-02-20T00:00:00"/>
        <d v="2025-02-26T00:00:00"/>
        <d v="2025-02-19T00:00:00"/>
        <d v="2025-03-04T00:00:00"/>
        <d v="2024-03-21T00:00:00"/>
        <d v="2025-02-12T00:00:00"/>
        <d v="2025-03-11T00:00:00"/>
        <d v="2025-03-13T00:00:00"/>
        <d v="2025-03-03T00:00:00"/>
        <d v="2025-02-24T00:00:00"/>
        <d v="2025-03-05T00:00:00"/>
        <d v="2025-03-12T00:00:00"/>
        <d v="2024-04-05T00:00:00"/>
        <d v="2025-03-06T00:00:00"/>
        <d v="2025-03-14T00:00:00"/>
        <d v="2023-04-27T00:00:00"/>
        <d v="2025-03-07T00:00:00"/>
        <d v="2025-03-18T00:00:00"/>
        <d v="2024-08-14T00:00:00"/>
        <d v="2023-06-20T00:00:00"/>
        <d v="2024-06-07T00:00:00"/>
        <d v="2025-02-28T00:00:00"/>
        <d v="2025-03-17T00:00:00"/>
        <d v="2024-05-15T00:00:00"/>
        <d v="2025-03-24T00:00:00"/>
        <d v="2025-03-26T00:00:00"/>
        <d v="2025-03-27T00:00:00"/>
        <d v="2020-12-03T00:00:00"/>
        <d v="2025-03-25T00:00:00"/>
        <d v="2024-05-17T00:00:00"/>
        <d v="2025-03-21T00:00:00"/>
        <d v="2025-03-20T00:00:00"/>
        <d v="2025-03-28T00:00:00"/>
        <d v="2025-04-02T00:00:00"/>
        <d v="2025-03-31T00:00:00"/>
        <d v="2025-04-04T00:00:00"/>
        <d v="2025-04-01T00:00:00"/>
        <d v="2020-10-16T00:00:00"/>
        <d v="2025-04-08T00:00:00"/>
        <d v="2025-04-09T00:00:00"/>
        <d v="2025-04-11T00:00:00"/>
        <d v="2025-04-10T00:00:00"/>
        <d v="2025-04-03T00:00:00"/>
        <d v="2025-03-19T00:00:00"/>
        <d v="2025-04-22T00:00:00"/>
        <d v="2025-04-07T00:00:00"/>
        <d v="2025-04-28T00:00:00"/>
        <d v="2025-04-16T00:00:00"/>
        <d v="2023-11-27T00:00:00"/>
        <d v="2025-05-16T00:00:00"/>
        <d v="2025-05-02T00:00:00"/>
        <d v="2023-09-12T00:00:00"/>
        <d v="2023-04-26T00:00:00"/>
        <d v="2025-04-24T00:00:00"/>
        <d v="2025-04-21T00:00:00"/>
        <d v="2023-08-27T00:00:00"/>
        <d v="2025-04-15T00:00:00"/>
        <d v="2025-05-06T00:00:00"/>
        <d v="2025-04-30T00:00:00"/>
        <d v="2025-04-29T00:00:00"/>
        <d v="2023-05-10T00:00:00"/>
        <d v="2024-02-29T00:00:00"/>
        <d v="2025-05-05T00:00:00"/>
        <d v="2025-05-08T00:00:00"/>
        <d v="2022-03-29T00:00:00"/>
        <d v="2025-04-25T00:00:00"/>
        <d v="2025-04-23T00:00:00"/>
        <d v="2025-05-12T00:00:00"/>
        <d v="2025-05-09T00:00:00"/>
        <d v="2025-05-13T00:00:00"/>
        <d v="2025-04-14T00:00:00"/>
        <d v="2023-11-10T00:00:00"/>
        <d v="2024-03-25T00:00:00"/>
        <d v="2020-12-15T00:00:00"/>
        <d v="2025-05-23T00:00:00"/>
        <d v="2025-05-29T00:00:00"/>
        <d v="2025-05-27T00:00:00"/>
        <d v="2025-05-14T00:00:00"/>
        <d v="2025-06-12T00:00:00"/>
        <d v="2025-05-21T00:00:00"/>
        <d v="2023-06-28T00:00:00"/>
        <d v="2025-06-16T00:00:00"/>
        <d v="2025-05-22T00:00:00"/>
        <d v="2025-05-19T00:00:00"/>
        <d v="2025-06-04T00:00:00"/>
        <d v="2025-05-26T00:00:00"/>
        <d v="2025-05-20T00:00:00"/>
        <d v="2025-06-03T00:00:00"/>
        <d v="2025-06-02T00:00:00"/>
        <d v="2025-05-07T00:00:00"/>
        <d v="2025-06-13T00:00:00"/>
        <d v="2025-05-28T00:00:00"/>
        <d v="2022-03-30T00:00:00"/>
        <d v="2023-02-08T00:00:00"/>
        <d v="2025-05-15T00:00:00"/>
        <d v="2025-05-30T00:00:00"/>
        <d v="2023-07-31T00:00:00"/>
        <d v="2025-06-18T00:00:00"/>
        <d v="2024-11-07T00:00:00"/>
        <d v="2025-06-09T00:00:00"/>
        <d v="2024-05-20T00:00:00"/>
        <d v="2025-07-02T00:00:00"/>
        <d v="2025-06-24T00:00:00"/>
        <d v="2025-06-11T00:00:00"/>
        <d v="2025-07-07T00:00:00"/>
        <d v="2025-07-09T00:00:00"/>
        <d v="2025-07-08T00:00:00"/>
        <d v="2025-07-03T00:00:00"/>
        <d v="2025-06-20T00:00:00"/>
        <d v="2025-06-06T00:00:00"/>
        <d v="2025-06-19T00:00:00"/>
        <d v="2025-06-30T00:00:00"/>
        <d v="2025-06-23T00:00:00"/>
        <d v="2025-06-10T00:00:00"/>
        <d v="2025-06-27T00:00:00"/>
        <d v="2024-02-19T00:00:00"/>
        <d v="2025-06-25T00:00:00"/>
        <d v="2025-06-26T00:00:00"/>
        <d v="2025-07-04T00:00:00"/>
        <d v="2025-07-11T00:00:00"/>
        <d v="2025-07-14T00:00:00"/>
        <d v="2025-07-01T00:00:00"/>
        <d v="2025-07-10T00:00:00"/>
        <d v="2025-06-17T00:00:00"/>
        <d v="2025-07-30T00:00:00"/>
        <d v="2025-07-16T00:00:00"/>
        <d v="2025-07-17T00:00:00"/>
        <d v="2025-07-15T00:00:00"/>
        <d v="2025-07-23T00:00:00"/>
        <d v="2024-04-30T00:00:00"/>
        <d v="2025-07-29T00:00:00"/>
        <d v="2025-07-28T00:00:00"/>
        <d v="2025-07-18T00:00:00"/>
        <d v="2025-08-19T00:00:00"/>
        <d v="2025-08-07T00:00:00"/>
        <d v="2025-07-21T00:00:00"/>
        <d v="2025-07-24T00:00:00"/>
        <d v="2025-07-31T00:00:00"/>
        <d v="2025-08-18T00:00:00"/>
        <d v="2025-08-04T00:00:00"/>
        <d v="2025-08-28T00:00:00"/>
        <d v="2025-09-02T00:00:00"/>
        <d v="2025-08-26T00:00:00"/>
        <d v="2025-07-22T00:00:00"/>
        <d v="2025-09-09T00:00:00"/>
        <d v="2025-09-03T00:00:00"/>
        <d v="2018-02-03T00:00:00"/>
        <d v="2025-09-08T00:00:00"/>
        <d v="2025-08-01T00:00:00"/>
        <d v="2025-08-22T00:00:00"/>
        <d v="2025-09-12T00:00:00"/>
        <d v="2025-09-01T00:00:00"/>
        <d v="2025-09-10T00:00:00"/>
        <d v="2025-09-05T00:00:00"/>
        <d v="2025-08-20T00:00:00"/>
        <d v="2025-08-05T00:00:00"/>
        <d v="2025-08-06T00:00:00"/>
        <d v="2025-08-25T00:00:00"/>
        <d v="2025-09-11T00:00:00"/>
        <d v="2021-09-01T00:00:00"/>
        <d v="2025-08-21T00:00:00"/>
        <d v="2024-03-06T00:00:00"/>
        <d v="2025-08-08T00:00:00"/>
        <d v="2025-08-11T00:00:00"/>
        <d v="2025-09-23T00:00:00"/>
        <d v="2025-09-04T00:00:00"/>
        <d v="2025-08-29T00:00:00"/>
        <d v="2025-09-17T00:00:00"/>
        <d v="2025-09-16T00:00:00"/>
        <d v="2025-04-12T00:00:00"/>
        <d v="2025-09-15T00:00:00"/>
        <d v="2025-09-22T00:00:00"/>
        <d v="2022-03-14T00:00:00"/>
        <d v="2022-03-21T00:00:00"/>
        <d v="2024-05-28T00:00:00"/>
        <d v="2025-10-02T00:00:00"/>
        <d v="2025-09-30T00:00:00"/>
        <d v="2025-09-24T00:00:00"/>
        <d v="2023-12-20T00:00:00"/>
        <d v="2025-10-04T00:00:00"/>
        <d v="2024-09-02T00:00:00"/>
        <d v="2025-09-18T00:00:00"/>
        <d v="2025-09-26T00:00:00"/>
        <d v="2023-03-29T00:00:00"/>
        <d v="2025-10-03T00:00:00"/>
        <d v="2025-10-09T00:00:00"/>
        <d v="2025-09-25T00:00:00"/>
        <d v="2025-10-06T00:00:00"/>
        <d v="2025-10-07T00:00:00"/>
        <d v="2025-10-01T00:00:00"/>
        <d v="2025-08-27T00:00:00"/>
        <d v="2025-10-08T00:00:00"/>
        <d v="2025-09-29T00:00:00"/>
        <d v="2025-10-21T00:00:00"/>
        <d v="2025-10-15T00:00:00"/>
        <d v="2025-10-14T00:00:00"/>
        <d v="2025-09-19T00:00:00"/>
        <d v="2024-09-09T00:00:00"/>
        <d v="2025-10-13T00:00:00"/>
        <d v="2025-10-23T00:00:00"/>
        <d v="2023-03-02T00:00:00"/>
        <d v="2025-10-31T00:00:00"/>
        <d v="2025-10-20T00:00:00"/>
        <d v="2025-10-10T00:00:00"/>
        <d v="2025-10-17T00:00:00"/>
        <d v="2025-10-29T00:00:00"/>
        <d v="2025-10-16T00:00:00"/>
        <d v="2025-10-22T00:00:00"/>
        <d v="2025-11-03T00:00:00"/>
        <d v="2023-04-24T00:00:00"/>
        <d v="2025-11-07T00:00:00"/>
        <d v="2025-11-11T00:00:00"/>
        <d v="2025-10-24T00:00:00"/>
        <d v="2025-10-30T00:00:00"/>
        <d v="2025-11-17T00:00:00"/>
        <d v="2016-02-23T00:00:00"/>
        <d v="2025-11-04T00:00:00"/>
        <d v="2025-10-28T00:00:00"/>
        <d v="2025-10-27T00:00:00"/>
        <d v="2025-11-21T00:00:00"/>
        <d v="2019-08-06T00:00:00"/>
        <d v="2025-11-12T00:00:00"/>
        <d v="2025-11-10T00:00:00"/>
        <d v="2025-11-06T00:00:00"/>
        <d v="2025-11-14T00:00:00"/>
        <d v="2025-11-28T00:00:00"/>
        <d v="2025-11-05T00:00:00"/>
        <d v="2024-04-26T00:00:00"/>
        <d v="2025-11-19T00:00:00"/>
        <d v="2025-11-25T00:00:00"/>
        <d v="2025-11-27T00:00:00"/>
        <d v="2025-11-20T00:00:00"/>
        <d v="2025-11-13T00:00:00"/>
        <d v="2024-09-10T00:00:00"/>
        <d v="2025-12-02T00:00:00"/>
        <d v="2025-11-24T00:00:00"/>
        <d v="2025-12-12T00:00:00"/>
        <d v="2025-11-26T00:00:00"/>
        <d v="2025-12-05T00:00:00"/>
        <d v="2025-12-23T00:00:00"/>
        <d v="2025-12-01T00:00:00"/>
        <d v="2025-11-18T00:00:00"/>
        <d v="2025-12-03T00:00:00"/>
        <d v="2025-12-11T00:00:00"/>
        <d v="2025-12-04T00:00:00"/>
        <m/>
      </sharedItems>
    </cacheField>
    <cacheField name="Clínica" numFmtId="0">
      <sharedItems containsBlank="1" count="56">
        <s v="Getafe"/>
        <s v="Albacete"/>
        <s v="Alcorcón"/>
        <s v="El Albir (Benidorm)"/>
        <s v="Alicante"/>
        <s v="Fabra"/>
        <s v="Fuenlabrada"/>
        <s v="Girona"/>
        <s v="Hospitalet"/>
        <s v="Leganés"/>
        <s v="Logroño"/>
        <s v="Lugo"/>
        <s v="Canillas"/>
        <s v="Juan Bravo"/>
        <s v="La Oca"/>
        <s v="La Vaguada"/>
        <s v="Moratalaz"/>
        <s v="Móstoles"/>
        <s v="Murcia"/>
        <s v="La Zenia"/>
        <s v="Orense"/>
        <s v="San Javier"/>
        <s v="Santiago"/>
        <s v="Montoto"/>
        <s v="Talavera"/>
        <s v="Torrejón"/>
        <s v="Valencia- Cádiz"/>
        <s v="Valencia- Parra"/>
        <s v="Vilanova"/>
        <s v="Ponferrada"/>
        <s v="Cáceres"/>
        <s v="Salamanca"/>
        <s v="Vigo"/>
        <s v="Valladolid"/>
        <s v="Zaragoza"/>
        <s v="León"/>
        <s v="Badajoz"/>
        <s v="Boiro"/>
        <s v="Sevilla Este"/>
        <s v="Lalín"/>
        <s v="Oviedo"/>
        <s v="Almería"/>
        <s v="Córcega"/>
        <s v="Costa Rica"/>
        <s v="Moncloa"/>
        <s v="Culleredo"/>
        <s v="O Barco"/>
        <s v="Zaragoza- Santander"/>
        <s v="Toledo"/>
        <s v="Carballo"/>
        <s v="Vilagarcía"/>
        <s v="Terrassa"/>
        <s v="Jerez"/>
        <s v="Huelva"/>
        <s v="Palencia"/>
        <m/>
      </sharedItems>
    </cacheField>
    <cacheField name="CÓDIGO DE CLIENTE" numFmtId="0">
      <sharedItems containsBlank="1" count="1727">
        <s v="C2024911171942450"/>
        <s v="ALB-914"/>
        <s v="C20241226115634963"/>
        <s v="C202511593537440"/>
        <s v="C20241223113035124"/>
        <s v="C20241212162435193"/>
        <s v="C20241224102857904"/>
        <s v="BNI-149"/>
        <s v="C202412171800505"/>
        <s v="C2024122392712129"/>
        <s v="C20251911456805"/>
        <s v="C20241129151443198"/>
        <s v="C20251918555876"/>
        <s v="C202511618016871"/>
        <s v="C202517113610311"/>
        <s v="C2024101618522907"/>
        <s v="C20241111114353920"/>
        <s v="FNL-3341"/>
        <s v="C202517103416305"/>
        <s v="FNL-3178"/>
        <s v="C20241213923058"/>
        <s v="C202517121059405"/>
        <s v="C202511014591530"/>
        <s v="C2024121811513950"/>
        <s v="FNL-1336"/>
        <s v="C2025115169110"/>
        <s v="GER-92"/>
        <s v="HSP-215"/>
        <s v="C2025114155854748"/>
        <s v="C2024122011507991"/>
        <s v="C2024121217139306"/>
        <s v="C20241120181420308"/>
        <s v="LOG-1439"/>
        <s v="LOG-1442"/>
        <s v="LOG-1432"/>
        <s v="C202511410352396"/>
        <s v="C202519112040208"/>
        <s v="C202511410415761"/>
        <s v="C202412201233494"/>
        <s v="C2024112712183693"/>
        <s v="C20241218174838482"/>
        <s v="C202412311206101"/>
        <s v="C20251151155656"/>
        <s v="C2024111416514352"/>
        <s v="C2025121112454757"/>
        <s v="C20241129155616137"/>
        <s v="C20251817508449"/>
        <s v="C2024111917659894"/>
        <s v="JBR-1709"/>
        <s v="C20241217123741115"/>
        <s v="C20251911101907"/>
        <s v="C20241216104748"/>
        <s v="C20241212173616605"/>
        <s v="C2024122011142323"/>
        <s v="C2024121017551960"/>
        <s v="C20251816254155"/>
        <s v="C20241211122841761"/>
        <s v="C2025110105021185"/>
        <s v="C20241023151912680"/>
        <s v="C20241218143319166"/>
        <s v="C2024121716742393"/>
        <s v="C202412212373942"/>
        <s v="C20251218548546"/>
        <s v="C20241210122640262"/>
        <s v="C2024122792916323"/>
        <s v="C2024123104533901"/>
        <s v="C202412214555630"/>
        <s v="C2025114121343867"/>
        <s v="C202517101013906"/>
        <s v="C20241217181149289"/>
        <s v="C2024121911307467"/>
        <s v="C2024121812922488"/>
        <s v="C202412210579993"/>
        <s v="C2024121918401162"/>
        <s v="C2025115113929824"/>
        <s v="C202511010343731"/>
        <s v="C2024121611423262"/>
        <s v="C20241230104550278"/>
        <s v="C20241223104210636"/>
        <s v="C202512014953350"/>
        <s v="ORS-426"/>
        <s v="C2024121914382837"/>
        <s v="MSJ-496"/>
        <s v="C202519173217948"/>
        <s v="MSJ-488"/>
        <s v="C2024122016012975"/>
        <s v="MSJ-473"/>
        <s v="C20241218124537586"/>
        <s v="C2024112711446121"/>
        <s v="C2024124122940422"/>
        <s v="SMO-2372"/>
        <s v="C2025115185051122"/>
        <s v="C2024122012461758"/>
        <s v="C2025120103913709"/>
        <s v="C2024122010741645"/>
        <s v="C2025121104927368"/>
        <s v="C2024121911391112"/>
        <s v="C20241220152450812"/>
        <s v="C20241241882975"/>
        <s v="C2024121116506679"/>
        <s v="C20241220164048645"/>
        <s v="C20241213164517918"/>
        <s v="C2024121992818633"/>
        <s v="C20241218113521816"/>
        <s v="C2024112617208611"/>
        <s v="C2024121210529466"/>
        <s v="C20241112122050286"/>
        <s v="BVI-310"/>
        <s v="PON-813"/>
        <s v="CAC-216"/>
        <s v="PON-811"/>
        <s v="SLM-402"/>
        <s v="VIG-459"/>
        <s v="SLM-416"/>
        <s v="VLL-297"/>
        <s v="VIG-468"/>
        <s v="CAC-190"/>
        <s v="SLM-395"/>
        <s v="ZRG-79"/>
        <s v="ZRG-504"/>
        <s v="CAC-208"/>
        <s v="LEO-368"/>
        <s v="SLM-407"/>
        <s v="VIG-526"/>
        <s v="CAC-213"/>
        <s v="ZRG-532"/>
        <s v="VIG-520"/>
        <s v="CAC-186"/>
        <s v="SLM-415"/>
        <s v="SLM-418"/>
        <s v="SLM-202"/>
        <s v="CAC-3"/>
        <s v="BJZE-2448"/>
        <s v="BOI-922"/>
        <s v="SEVE-328"/>
        <s v="SEVE-340"/>
        <s v="VLL-301"/>
        <s v="ZRG-549"/>
        <s v="PON-830"/>
        <s v="VLL-290"/>
        <s v="LEO-398"/>
        <s v="SLM-351"/>
        <s v="LAL-118"/>
        <s v="SLM-424"/>
        <s v="ZRG-551"/>
        <s v="VLL-303"/>
        <s v="SEVE-326"/>
        <s v="C2025120105631596"/>
        <s v="C2025120965649"/>
        <s v="C202518112918935"/>
        <s v="C20241213123222368"/>
        <s v="HOR-2220"/>
        <s v="ALC-3764"/>
        <s v="C2025114105110182"/>
        <s v="C2024122612488864"/>
        <s v="C2025114182939239"/>
        <s v="C202491212122424"/>
        <s v="C20241127151146637"/>
        <s v="C202518163012145"/>
        <s v="C2025116111817261"/>
        <s v="C20241114181152293"/>
        <s v="C2025121103340611"/>
        <s v="C202511510254443"/>
        <s v="C2025116164241362"/>
        <s v="C2025116164835760"/>
        <s v="C20241218161921203"/>
        <s v="C202512311610793"/>
        <s v="C2024112818223257"/>
        <s v="C20241220163520267"/>
        <s v="C202512712334642"/>
        <s v="C2025129171628286"/>
        <s v="C2025114181113564"/>
        <s v="C202511418737208"/>
        <s v="C2025123111345494"/>
        <s v="C2025114163838863"/>
        <s v="C202512416465378"/>
        <s v="C2025124115141405"/>
        <s v="C2025127152347878"/>
        <s v="C20251291168434"/>
        <s v="C20241218181811576"/>
        <s v="C2025117104426138"/>
        <s v="C202521113312813"/>
        <s v="C2025113123026532"/>
        <s v="C2025129111635277"/>
        <s v="C202512117395583"/>
        <s v="C20252711149997"/>
        <s v="MSJ-00442"/>
        <s v="C202412261718823"/>
        <s v="C2025128105048281"/>
        <s v="VAG-5301"/>
        <s v="C2025124152314357"/>
        <s v="C2025130164650836"/>
        <s v="C2025122115441159"/>
        <s v="C2025121114025142"/>
        <s v="C2025116172116357"/>
        <s v="C202512795336841"/>
        <s v="C20252412446666"/>
        <s v="C202524192528978"/>
        <s v="ORS-435"/>
        <s v="C2024112111716344"/>
        <s v="C2025115165722258"/>
        <s v="MUR-1837"/>
        <s v="C202513010579392"/>
        <s v="C2025220182814744"/>
        <s v="C202512910319767"/>
        <s v="C20252711345593"/>
        <s v="C202519125534361"/>
        <s v="C20241230165138796"/>
        <s v="C202512111579152"/>
        <s v="C202485103210192"/>
        <s v="C2025114122147489"/>
        <s v="C2025121183522208"/>
        <s v="C202525105521192"/>
        <s v="C202512415446234"/>
        <s v="C2025130182728223"/>
        <s v="C202521016309103"/>
        <s v="C2025120111229197"/>
        <s v="C2025115113626365"/>
        <s v="C202521817582713"/>
        <s v="C202526112944128"/>
        <s v="C2025122124357865"/>
        <s v="C202513111448686"/>
        <s v="C20252617251623"/>
        <s v="C20251241223661"/>
        <s v="C20252616125252"/>
        <s v="C202512710843940"/>
        <s v="C20252312397959"/>
        <s v="C20252316216614"/>
        <s v="C20252311520480"/>
        <s v="C202511617243631"/>
        <s v="C2025241653871"/>
        <s v="C202526184934908"/>
        <s v="C2025212162612372"/>
        <s v="C20252616128199"/>
        <s v="C2025130185486"/>
        <s v="LOG-1059"/>
        <s v="C2024121211315995"/>
        <s v="C202525103535787"/>
        <s v="C20251141735539"/>
        <s v="C20241028105133742"/>
        <s v="C2024924182958416"/>
        <s v="C202511715156935"/>
        <s v="C202526164926367"/>
        <s v="C2025128104957395"/>
        <s v="C2025123155834439"/>
        <s v="C20252616452209"/>
        <s v="C202511711515664"/>
        <s v="C2025121162217384"/>
        <s v="C202522016543251"/>
        <s v="C2025211182037420"/>
        <s v="C202526183311473"/>
        <s v="C20241217182425568"/>
        <s v="C202522719141244"/>
        <s v="C202512716334143"/>
        <s v="C2025123103424739"/>
        <s v="C202511517950582"/>
        <s v="C2025128115357750"/>
        <s v="C20241227105840801"/>
        <s v="C202521412254134"/>
        <s v="C2025116173758738"/>
        <s v="C2025120122611220"/>
        <s v="CAC-218"/>
        <s v="CULL-150"/>
        <s v="CAC-222"/>
        <s v="SLM-426"/>
        <s v="PON-735"/>
        <s v="SLM-352"/>
        <s v="VIG-523"/>
        <s v="VLL-310"/>
        <s v="SLM-406"/>
        <s v="VLL-300"/>
        <s v="OBR-43"/>
        <s v="SLM-421"/>
        <s v="CAC-211"/>
        <s v="CAC-220"/>
        <s v="BOI-929"/>
        <s v="BOI-932"/>
        <s v="SLM-433"/>
        <s v="VLL-294"/>
        <s v="VIG-529"/>
        <s v="SEVE-354"/>
        <s v="ZRZS-94"/>
        <s v="ZRZS-97"/>
        <s v="ZRG-573"/>
        <s v="BJZE-2455"/>
        <s v="CAC-228"/>
        <s v="CULL-163"/>
        <s v="SEVE-337"/>
        <s v="CAC-214"/>
        <s v="SLM-437"/>
        <s v="BJZE-2450"/>
        <s v="CULL-141"/>
        <s v="C202525165642897"/>
        <s v="C202521310132286"/>
        <s v="C20252712266751"/>
        <s v="C2025121112454270"/>
        <s v="C2025217175323860"/>
        <s v="C202524105039184"/>
        <s v="C2025128111112737"/>
        <s v="C20252411952720"/>
        <s v="C20252693337518"/>
        <s v="C2025212163045986"/>
        <s v="C2025127121545790"/>
        <s v="C202526162851990"/>
        <s v="C202522016428508"/>
        <s v="C20253515576860"/>
        <s v="C20252211280151"/>
        <s v="C2025217145632196"/>
        <s v="C2025217111439791"/>
        <s v="C2025211162321299"/>
        <s v="C202511316058815"/>
        <s v="C202522415322175"/>
        <s v="C202512212136169"/>
        <s v="C2025218103231649"/>
        <s v="C202522511335430"/>
        <s v="C202521718922830"/>
        <s v="C202521911535298"/>
        <s v="C2025213175435372"/>
        <s v="C20252618244944"/>
        <s v="C2024112118247319"/>
        <s v="C2025214104450298"/>
        <s v="C2025228155857266"/>
        <s v="C20251139655355"/>
        <s v="C2025221102758226"/>
        <s v="C2025224163428453"/>
        <s v="ALB-870"/>
        <s v="C2025130115338482"/>
        <s v="C2025221122545747"/>
        <s v="C2025313115240241"/>
        <s v="C202521912025538"/>
        <s v="C202522416111119"/>
        <s v="C2025225113329150"/>
        <s v="C2025226122555530"/>
        <s v="C20253518810305"/>
        <s v="C2025220113413712"/>
        <s v="C20252201623955"/>
        <s v="C202522885927652"/>
        <s v="C202522811145130"/>
        <s v="C2025224162622294"/>
        <s v="C2025225195051364"/>
        <s v="C2025217102813410"/>
        <s v="C2025218171613886"/>
        <s v="C2025227164725763"/>
        <s v="C2025121115954697"/>
        <s v="C2025218102641492"/>
        <s v="C2025212182754332"/>
        <s v="C20252261623451"/>
        <s v="C202534121423378"/>
        <s v="MUR-1937"/>
        <s v="C2025226172134755"/>
        <s v="C20253793728445"/>
        <s v="C20252392436772"/>
        <s v="C202522518651761"/>
        <s v="C202522016332736"/>
        <s v="C202522494917766"/>
        <s v="C202536174857586"/>
        <s v="C202522618133462"/>
        <s v="C20252181745889"/>
        <s v="C202521911313963"/>
        <s v="C2025217114422441"/>
        <s v="C2024122411582318"/>
        <s v="C202535104847967"/>
        <s v="C2025127155414181"/>
        <s v="C20252201150617"/>
        <s v="C202525165212977"/>
        <s v="C20252141128208"/>
        <s v="C202521418433328"/>
        <s v="C2025212103511394"/>
        <s v="C2024112710520472"/>
        <s v="C2025226163257801"/>
        <s v="C202533161053724"/>
        <s v="C202522716558316"/>
        <s v="C2025211105222263"/>
        <s v="C20253141102068"/>
        <s v="C2025127184635572"/>
        <s v="C202522618133163"/>
        <s v="C2025224111314619"/>
        <s v="C20252251610741"/>
        <s v="C202511618324793"/>
        <s v="C202531810231047"/>
        <s v="C2025313181155435"/>
        <s v="C202533114656766"/>
        <s v="C202412912145720"/>
        <s v="C202522810454255"/>
        <s v="C20253595632106"/>
        <s v="C202522592424829"/>
        <s v="C2025318103013118"/>
        <s v="C2025314153258297"/>
        <s v="C202534165840170"/>
        <s v="C2025219184955413"/>
        <s v="C202521411357772"/>
        <s v="C2025311162945511"/>
        <s v="C202521910501796"/>
        <s v="JBR-2059"/>
        <s v="C202512916392534"/>
        <s v="C202522710501423"/>
        <s v="C202531011838233"/>
        <s v="C2025312125925707"/>
        <s v="C20252261641078"/>
        <s v="C2025310124538784"/>
        <s v="C202521816271541"/>
        <s v="C2025227107125"/>
        <s v="C2025339451710"/>
        <s v="C202531116110349"/>
        <s v="C2025217182721340"/>
        <s v="C202513012919180"/>
        <s v="C202532110322517"/>
        <s v="C202537113048231"/>
        <s v="C2025317105344353"/>
        <s v="C202531216280481"/>
        <s v="C202521910040865"/>
        <s v="HOR-825"/>
        <s v="C202522892553921"/>
        <s v="C202531416348319"/>
        <s v="C20253111124487"/>
        <s v="C2025319111757105"/>
        <s v="C2025320161148605"/>
        <s v="CAC-233"/>
        <s v="SLM-436"/>
        <s v="VIG-521"/>
        <s v="CRB-93"/>
        <s v="CAC-225"/>
        <s v="SLM-442"/>
        <s v="SLM-446"/>
        <s v="SLM-451"/>
        <s v="SEVE-335"/>
        <s v="ZRG-593"/>
        <s v="CAC-236"/>
        <s v="VLL-329"/>
        <s v="VLL-333"/>
        <s v="PON-510"/>
        <s v="VLG-103"/>
        <s v="VLL-330"/>
        <s v="PON-832"/>
        <s v="CAC-235"/>
        <s v="VLL-120"/>
        <s v="BOI-845"/>
        <s v="CULL-159"/>
        <s v="VIG-537"/>
        <s v="TRR-343"/>
        <s v="PON-850"/>
        <s v="VLL-342"/>
        <s v="CAC-198"/>
        <s v="SLM-461"/>
        <s v="VLL-345"/>
        <s v="VLL-327"/>
        <s v="BJZE-2462"/>
        <s v="SLM-478"/>
        <s v="CAC-242"/>
        <s v="VIG-543"/>
        <s v="VLL-324"/>
        <s v="BOI-937"/>
        <s v="SEVE-368"/>
        <s v="VLL-341"/>
        <s v="BOI-928"/>
        <s v="LAL-132"/>
        <s v="VIG-540"/>
        <s v="C2025311165935809"/>
        <s v="C20252612428274"/>
        <s v="C2025128171141767"/>
        <s v="C202523152357478"/>
        <s v="C2025219153340484"/>
        <s v="C2025310131050525"/>
        <s v="C202536171039178"/>
        <s v="C2025212171955657"/>
        <s v="C202522018321748"/>
        <s v="C202535104543545"/>
        <s v="C202532111406504"/>
        <s v="C202537125118614"/>
        <s v="C20253716456828"/>
        <s v="C2025219164347732"/>
        <s v="SLM-276"/>
        <s v="PON-810"/>
        <s v="ZRG-604"/>
        <s v="C20252189810642"/>
        <s v="C202521995942417"/>
        <s v="C202543181230397"/>
        <s v="C2025321112440758"/>
        <s v="VLL-335"/>
        <s v="SEVE-366"/>
        <s v="C202536181632710"/>
        <s v="C2025341832191"/>
        <s v="C20253181161291"/>
        <s v="C2025320162550143"/>
        <s v="ZRG-586"/>
        <s v="C2025317155945276"/>
        <s v="C2025312121831214"/>
        <s v="C2025331105510737"/>
        <s v="C2025228123828977"/>
        <s v="C202537151032392"/>
        <s v="SMO-903"/>
        <s v="C2025319162537642"/>
        <s v="CAC-246"/>
        <s v="VIG-547"/>
        <s v="CAC-244"/>
        <s v="C202531310345895"/>
        <s v="C202531417392770"/>
        <s v="C202532412205490"/>
        <s v="C2025328111754408"/>
        <s v="C202533111411655"/>
        <s v="SMO-2353"/>
        <s v="C2025321102846529"/>
        <s v="C2025320195845983"/>
        <s v="C202532415443267"/>
        <s v="C2025324114745357"/>
        <s v="C202531410236625"/>
        <s v="C202532610552632"/>
        <s v="C2025324103528236"/>
        <s v="C2025311175822328"/>
        <s v="C202543123057516"/>
        <s v="C202544112950303"/>
        <s v="CAC-248"/>
        <s v="BJZE-2474"/>
        <s v="SEVE-385"/>
        <s v="C2025324102811501"/>
        <s v="C2025312124649839"/>
        <s v="SEVE-372"/>
        <s v="C202532116296904"/>
        <s v="C20252710341649"/>
        <s v="C202531918054191"/>
        <s v="C202527163711862"/>
        <s v="C202531712235115"/>
        <s v="CAC-253"/>
        <s v="ZRG-603"/>
        <s v="C202532511356291"/>
        <s v="C2025327161344767"/>
        <s v="C202543105545980"/>
        <s v="C20254785434864"/>
        <s v="SLM-495"/>
        <s v="BJZE-2472"/>
        <s v="CULL-179"/>
        <s v="BOI-951"/>
        <s v="C202532510337339"/>
        <s v="C2025325174736492"/>
        <s v="C20254117159459"/>
        <s v="C202541101629813"/>
        <s v="C20253261902442"/>
        <s v="VIG-535"/>
        <s v="C20254117216134"/>
        <s v="C202532618344868"/>
        <s v="C202522517525934"/>
        <s v="C2025421121012490"/>
        <s v="C202542175457452"/>
        <s v="C20253281052260"/>
        <s v="C202532616048587"/>
        <s v="C2025210123414403"/>
        <s v="C202531918228189"/>
        <s v="C202549185238238"/>
        <s v="C2025220122158238"/>
        <s v="BOI-953"/>
        <s v="C20254295315630"/>
        <s v="C2025324113459116"/>
        <s v="C202521716105838"/>
        <s v="C202532612250205"/>
        <s v="C202525175430985"/>
        <s v="C202532695742387"/>
        <s v="C202542112951685"/>
        <s v="MUR-491"/>
        <s v="C2025320185344533"/>
        <s v="C202532811343568"/>
        <s v="C202533193254143"/>
        <s v="C202541182722744"/>
        <s v="C202541173241430"/>
        <s v="C2025325103040346"/>
        <s v="C2025326164016894"/>
        <s v="CAC-245"/>
        <s v="CAC-255"/>
        <s v="SEVE-386"/>
        <s v="C2025326163318613"/>
        <s v="C202544115921187"/>
        <s v="C2025326155957325"/>
        <s v="C2025217111723386"/>
        <s v="C20254995138678"/>
        <s v="C2025317152319499"/>
        <s v="C2025311175742850"/>
        <s v="C2025110115758397"/>
        <s v="C20254111629612"/>
        <s v="C20253591552134"/>
        <s v="C202543102131316"/>
        <s v="C2025411104246800"/>
        <s v="C202533111812303"/>
        <s v="C202547115817370"/>
        <s v="C20254149273123"/>
        <s v="C20254818156921"/>
        <s v="BOI-955"/>
        <s v="LAL-138"/>
        <s v="LEO-452"/>
        <s v="VLL-362"/>
        <s v="VIG-557"/>
        <s v="C202537164450420"/>
        <s v="C20254119527381"/>
        <s v="C2025325161319461"/>
        <s v="C2025327175818490"/>
        <s v="C20254818255245"/>
        <s v="C2025325182646127"/>
        <s v="C202532115547611"/>
        <s v="C202549124323417"/>
        <s v="C202541510443625"/>
        <s v="C20254910758482"/>
        <s v="C2025411226184"/>
        <s v="C2025320102248794"/>
        <s v="C20254715111937"/>
        <s v="C2025325122735477"/>
        <s v="C2025325174726641"/>
        <s v="CULL-182"/>
        <s v="SLM-485"/>
        <s v="SEVE-387"/>
        <s v="C2025122105841733"/>
        <s v="C2025425185618539"/>
        <s v="C20253416827806"/>
        <s v="C2025411113311291"/>
        <s v="C2025326163444120"/>
        <s v="C2025411161616351"/>
        <s v="C20254151145219"/>
        <s v="C20254301129362"/>
        <s v="C202547155653185"/>
        <s v="C202541411623984"/>
        <s v="C2025425105237710"/>
        <s v="C2025430174328526"/>
        <s v="ALM-1214"/>
        <s v="C20253251623281"/>
        <s v="C2025313122834934"/>
        <s v="C20254711323072"/>
        <s v="C2025519121555494"/>
        <s v="C20255716515308"/>
        <s v="BNI-75"/>
        <s v="BNI-37"/>
        <s v="C20253121743464"/>
        <s v="C202542512464297"/>
        <s v="C202543182525468"/>
        <s v="C202555113157822"/>
        <s v="C2025415163948454"/>
        <s v="C202557123237267"/>
        <s v="C2025326165431860"/>
        <s v="C2025425104049157"/>
        <s v="C2025429173418611"/>
        <s v="C20254111366973"/>
        <s v="C20253241851025"/>
        <s v="C2025227104849928"/>
        <s v="C202542416422541"/>
        <s v="C20254217223331"/>
        <s v="C202541111010838"/>
        <s v="C202544111746204"/>
        <s v="C202541411934790"/>
        <s v="C2025324175738963"/>
        <s v="LOG-1169"/>
        <s v="C2025415171827123"/>
        <s v="C202542895155415"/>
        <s v="C20255810946643"/>
        <s v="C202559104028128"/>
        <s v="C202556113422987"/>
        <s v="C202541115234926"/>
        <s v="C202556104840639"/>
        <s v="C2025416104956953"/>
        <s v="JBR-2038"/>
        <s v="C2025414161941271"/>
        <s v="C202542810135933"/>
        <s v="JBR-1797"/>
        <s v="C20255512337333"/>
        <s v="JBR-2039"/>
        <s v="C20241120161651439"/>
        <s v="C20254251351436"/>
        <s v="C2025424172910131"/>
        <s v="C202543115411107"/>
        <s v="C20254316290829"/>
        <s v="C202542411245691"/>
        <s v="C2025491715052"/>
        <s v="C2025327162552848"/>
        <s v="C202549113558772"/>
        <s v="C202557162154624"/>
        <s v="C2025430131738688"/>
        <s v="C202542316221658"/>
        <s v="C202547125519540"/>
        <s v="C202558162243855"/>
        <s v="C202551312215598"/>
        <s v="MOR-1921"/>
        <s v="C202551215548461"/>
        <s v="C202532617178208"/>
        <s v="C20254231623403"/>
        <s v="C202542912365278"/>
        <s v="C202557183244726"/>
        <s v="C202532610155344"/>
        <s v="C202532516432291"/>
        <s v="C202541015594666"/>
        <s v="C202543016459972"/>
        <s v="C20254810541824"/>
        <s v="C2025591271264"/>
        <s v="C20254715511355"/>
        <s v="C20253141012518"/>
        <s v="C2025410112041214"/>
        <s v="C202551411855147"/>
        <s v="C20255811275847"/>
        <s v="C2025514104716583"/>
        <s v="C202542511209299"/>
        <s v="C202552105912604"/>
        <s v="C2025430182246180"/>
        <s v="C202542310410398"/>
        <s v="C2025515155746506"/>
        <s v="C2025515104529526"/>
        <s v="C2025559032454"/>
        <s v="C2025513111916844"/>
        <s v="C2025430171017606"/>
        <s v="C2025512115146618"/>
        <s v="C20255910354791"/>
        <s v="C20254149410566"/>
        <s v="C202542310580896"/>
        <s v="C202552152756729"/>
        <s v="C202542217536584"/>
        <s v="C2025481791514"/>
        <s v="C202552115756922"/>
        <s v="C202541410493447"/>
        <s v="C202549184519787"/>
        <s v="C2025411238823"/>
        <s v="C2025327175754453"/>
        <s v="C202541182926561"/>
        <s v="C20254911245719"/>
        <s v="C202542210295671"/>
        <s v="CAC-265"/>
        <s v="CAC-264"/>
        <s v="SLM-498"/>
        <s v="BOI-954"/>
        <s v="BOI-956"/>
        <s v="SEVE-393"/>
        <s v="BJZE-2245"/>
        <s v="VLL-366"/>
        <s v="CAC-259"/>
        <s v="CAC-262"/>
        <s v="SLM-473"/>
        <s v="TRR-364"/>
        <s v="SEVE-376"/>
        <s v="SLM-519"/>
        <s v="CAC-261"/>
        <s v="SLM-515"/>
        <s v="VLL-338"/>
        <s v="PON-834"/>
        <s v="SEVE-392"/>
        <s v="VLL-364"/>
        <s v="LEO-465"/>
        <s v="CULL-172"/>
        <s v="CAC-285"/>
        <s v="VLG-6"/>
        <s v="LAL-144"/>
        <s v="PON-860"/>
        <s v="VIG-561"/>
        <s v="BOI-375"/>
        <s v="CAC-270"/>
        <s v="LEO-476"/>
        <s v="VLL-376"/>
        <s v="LAL-142"/>
        <s v="SEVE-396"/>
        <s v="SLM-542"/>
        <s v="C20256292840124"/>
        <s v="C20256411852211"/>
        <s v="C2025571066589"/>
        <s v="C2025521172557687"/>
        <s v="C202558114050748"/>
        <s v="C2025516115638434"/>
        <s v="C2025591166835"/>
        <s v="C2025620155324114"/>
        <s v="C202531311344735"/>
        <s v="C202561116143616"/>
        <s v="C2025424123654631"/>
        <s v="FNL-3171"/>
        <s v="C2025514175459441"/>
        <s v="C202561711218402"/>
        <s v="C202552612136360"/>
        <s v="C202531310656790"/>
        <s v="C20255612220296"/>
        <s v="C202552218131945"/>
        <s v="C2025520161112726"/>
        <s v="C202558165756957"/>
        <s v="C2025520124410221"/>
        <s v="C2025513171231847"/>
        <s v="C20255215394549"/>
        <s v="C202556113040362"/>
        <s v="C202565111232860"/>
        <s v="C20256416042237"/>
        <s v="C2025530115028691"/>
        <s v="C2025527182119769"/>
        <s v="C2025514183611308"/>
        <s v="C20255309543921"/>
        <s v="C2025512102714178"/>
        <s v="C202552116482763"/>
        <s v="C202563171625513"/>
        <s v="C2025425103918524"/>
        <s v="C202565105045199"/>
        <s v="C2025513123816281"/>
        <s v="C2025514171337654"/>
        <s v="C2025522111034369"/>
        <s v="C2025581883068"/>
        <s v="C2025523122424343"/>
        <s v="C202552116452833"/>
        <s v="C202564181440169"/>
        <s v="C202558134413505"/>
        <s v="C202551310566282"/>
        <s v="C202551316619674"/>
        <s v="C202563103728804"/>
        <s v="C2025520122652900"/>
        <s v="C20255221010110"/>
        <s v="C202562123823770"/>
        <s v="C202559121458851"/>
        <s v="C2025521172440486"/>
        <s v="C2025523111220757"/>
        <s v="C2025516113440280"/>
        <s v="C2025516152429719"/>
        <s v="C2025618122949350"/>
        <s v="C20255281831426"/>
        <s v="C202559162443906"/>
        <s v="C2025527124017492"/>
        <s v="C202566102438543"/>
        <s v="C2025512163534533"/>
        <s v="C20253191222199"/>
        <s v="C202551916913205"/>
        <s v="C202562154812329"/>
        <s v="C2025512124135561"/>
        <s v="C202541171241496"/>
        <s v="C202549182140578"/>
        <s v="C202565123634694"/>
        <s v="C20256516463877"/>
        <s v="MUR-1266"/>
        <s v="C2025641034615"/>
        <s v="C2025430171330478"/>
        <s v="C2025521105035320"/>
        <s v="C2025527104597"/>
        <s v="MUR-1817"/>
        <s v="C2025610125137693"/>
        <s v="C202552117331316"/>
        <s v="C20256511404517"/>
        <s v="C2025523114011999"/>
        <s v="C20255281835178"/>
        <s v="C20255191662772"/>
        <s v="C2025514162150957"/>
        <s v="C202558163459180"/>
        <s v="C2025317153220721"/>
        <s v="C202564101055591"/>
        <s v="C2025522111648984"/>
        <s v="C20256416321511"/>
        <s v="C2025513111831996"/>
        <s v="C2025313112814960"/>
        <s v="C202551912153276"/>
        <s v="C202552017127770"/>
        <s v="C202552117127402"/>
        <s v="C202562122621942"/>
        <s v="C202565114616402"/>
        <s v="C2025523122829551"/>
        <s v="C2025516162113314"/>
        <s v="CST-19"/>
        <s v="C20255199505320"/>
        <s v="C202559155953814"/>
        <s v="C202552011110207"/>
        <s v="C2025326123140893"/>
        <s v="C202566123740183"/>
        <s v="C202552317527514"/>
        <s v="C202551218245574"/>
        <s v="C2025481833388"/>
        <s v="C202566154340153"/>
        <s v="C202561812556820"/>
        <s v="C202566952474"/>
        <s v="C202553010033693"/>
        <s v="C202551313645522"/>
        <s v="C202555153621469"/>
        <s v="C20256915635107"/>
        <s v="C202564102333572"/>
        <s v="C20255169420550"/>
        <s v="C2025416122247658"/>
        <s v="C202557174134493"/>
        <s v="C202552012258174"/>
        <s v="C202552817370358"/>
        <s v="C20255618428496"/>
        <s v="C202541116390272"/>
        <s v="LEO-460"/>
        <s v="CAC-263"/>
        <s v="VLL-375"/>
        <s v="VLL-350"/>
        <s v="VLL-385"/>
        <s v="BJZE-2485"/>
        <s v="CAC-284"/>
        <s v="LAL-151"/>
        <s v="SLM-404"/>
        <s v="SLM-528"/>
        <s v="VIG-563"/>
        <s v="ZRG-610"/>
        <s v="VIG-572"/>
        <s v="CAC-288"/>
        <s v="OBR-59"/>
        <s v="VIG-571"/>
        <s v="ZRG-635"/>
        <s v="LEO-489"/>
        <s v="CAC-306"/>
        <s v="BOI-952"/>
        <s v="ZRG-629"/>
        <s v="ZRG-639"/>
        <s v="TRR-273"/>
        <s v="SEVE-405"/>
        <s v="ZRG-630"/>
        <s v="VIG-575"/>
        <s v="BOI-964"/>
        <s v="VLL-390"/>
        <s v="CAC-313"/>
        <s v="BJZE-2483"/>
        <s v="C20255291151016"/>
        <s v="C202561911450348"/>
        <s v="C20256915520135"/>
        <s v="C2025519115544492"/>
        <s v="C2025749526307"/>
        <s v="C2025527163413871"/>
        <s v="C202561312435457"/>
        <s v="C2025630111437719"/>
        <s v="C2025616155039349"/>
        <s v="C202579115653676"/>
        <s v="C202571017474465"/>
        <s v="C202558114952858"/>
        <s v="C202578161110845"/>
        <s v="C2025710164457112"/>
        <s v="C2025610173752293"/>
        <s v="C2025616163118924"/>
        <s v="C2025716162629152"/>
        <s v="C202569172952184"/>
        <s v="C2025613153815131"/>
        <s v="C202552711150180"/>
        <s v="C20256616449783"/>
        <s v="C202573103659476"/>
        <s v="C202562693658351"/>
        <s v="C202561118242430"/>
        <s v="C202562015519620"/>
        <s v="C202571184852573"/>
        <s v="C202543173952676"/>
        <s v="C202579164940333"/>
        <s v="C202565103355633"/>
        <s v="C2025616163711349"/>
        <s v="C2025626105110809"/>
        <s v="C2025618111733236"/>
        <s v="C202561718121172"/>
        <s v="C2025625173212480"/>
        <s v="C2025520175834441"/>
        <s v="C2025617102646668"/>
        <s v="C20256161601295"/>
        <s v="C20255289530517"/>
        <s v="C2025618122941714"/>
        <s v="C202552013056449"/>
        <s v="C2025522122441620"/>
        <s v="C20256412532234"/>
        <s v="C202561611824885"/>
        <s v="C2025522173322301"/>
        <s v="C2025617172822294"/>
        <s v="C20256911372588"/>
        <s v="C2025529173113900"/>
        <s v="C202566163216826"/>
        <s v="C2025715101924623"/>
        <s v="C202571112926269"/>
        <s v="C2025512104845211"/>
        <s v="C20256294131115"/>
        <s v="C202561211128538"/>
        <s v="C202551412512587"/>
        <s v="C202563121418400"/>
        <s v="C2025618173042757"/>
        <s v="C2025625101015336"/>
        <s v="C20256615416855"/>
        <s v="C202555112845907"/>
        <s v="C202562316308221"/>
        <s v="C2025624175733862"/>
        <s v="C2025613161928178"/>
        <s v="C20256121001954"/>
        <s v="C2025522182025982"/>
        <s v="C202571103959440"/>
        <s v="C2025616162712892"/>
        <s v="C2025527175824796"/>
        <s v="C202573103548278"/>
        <s v="PIO-11249"/>
        <s v="C202574151733611"/>
        <s v="C202552216137601"/>
        <s v="C20255271836301"/>
        <s v="C2025620114121344"/>
        <s v="C202562395341662"/>
        <s v="C202561116342025"/>
        <s v="C202562091942491"/>
        <s v="C20257116932728"/>
        <s v="C2025618182738668"/>
        <s v="VIG-578"/>
        <s v="ZRG-645"/>
        <s v="CULL-207"/>
        <s v="LEO-479"/>
        <s v="VIG-565"/>
        <s v="BJZE-2491"/>
        <s v="ZRG-647"/>
        <s v="SEVE-413"/>
        <s v="CAC-321"/>
        <s v="CAC-330"/>
        <s v="LAL-146"/>
        <s v="BOI-973"/>
        <s v="CAC-312"/>
        <s v="CAC-298"/>
        <s v="PON-926"/>
        <s v="CAC-194"/>
        <s v="CAC-341"/>
        <s v="CAC-332"/>
        <s v="CAC-326"/>
        <s v="OBR-60"/>
        <s v="C2025410165637982"/>
        <s v="C202561718053736"/>
        <s v="C20257910250606"/>
        <s v="C2025716165443328"/>
        <s v="C202571112129849"/>
        <s v="C2025711105511596"/>
        <s v="C2025716173733301"/>
        <s v="C2025710105432565"/>
        <s v="C2025514161716900"/>
        <s v="C2025711165028289"/>
        <s v="C202563095130210"/>
        <s v="C20257711599915"/>
        <s v="C202573122916902"/>
        <s v="C202561817471468"/>
        <s v="C202561918355912"/>
        <s v="C202572171727696"/>
        <s v="C2025710104044176"/>
        <s v="C2025716172143986"/>
        <s v="C20257911532263"/>
        <s v="C20257219284198"/>
        <s v="C2025618104417651"/>
        <s v="C2025711204388"/>
        <s v="C2025710174318408"/>
        <s v="C2025610114053735"/>
        <s v="C202551612054133"/>
        <s v="C202565174717215"/>
        <s v="C2025516115425615"/>
        <s v="C20256301214587"/>
        <s v="C2025613123911482"/>
        <s v="C2025627163913242"/>
        <s v="CAC-334"/>
        <s v="SLM-561"/>
        <s v="SEVE-433"/>
        <s v="VIG-585"/>
        <s v="CAC-317"/>
        <s v="VLL-415"/>
        <s v="CULL-202"/>
        <s v="ZRG-655"/>
        <s v="C202587123548790"/>
        <s v="C2025731103413485"/>
        <s v="C202561113133217"/>
        <s v="C2025717115851930"/>
        <s v="C20257231092199"/>
        <s v="C202572418359947"/>
        <s v="C2025723124347297"/>
        <s v="C202572122032603"/>
        <s v="C2025612101314389"/>
        <s v="C2025721155827451"/>
        <s v="VAG-5367"/>
        <s v="C2025731103513675"/>
        <s v="C20255910648971"/>
        <s v="C2025717173352454"/>
        <s v="C202572912251122"/>
        <s v="C202573017349274"/>
        <s v="C202587124256978"/>
        <s v="C202572171020276"/>
        <s v="C202563114633778"/>
        <s v="C2025721163159413"/>
        <s v="C20257179330428"/>
        <s v="C2025711124459405"/>
        <s v="C2025722155358807"/>
        <s v="C202411141803749"/>
        <s v="C2025724181189"/>
        <s v="C202571101131108"/>
        <s v="C2025716175810999"/>
        <s v="C202582111928956"/>
        <s v="C202581992053548"/>
        <s v="C2025721113545272"/>
        <s v="C202571610581643"/>
        <s v="C202578163140695"/>
        <s v="C202571693436582"/>
        <s v="C20257221881716"/>
        <s v="C2025728112816267"/>
        <s v="C202571710351430"/>
        <s v="C20257161864666"/>
        <s v="C202562411302998"/>
        <s v="C2025721101518733"/>
        <s v="C2025711115559983"/>
        <s v="CULL-221"/>
        <s v="CAC-336"/>
        <s v="CAC-338"/>
        <s v="CAC-344"/>
        <s v="CAC-345"/>
        <s v="CAC-353"/>
        <s v="CAC-359"/>
        <s v="CAC-365"/>
        <s v="LEO-498"/>
        <s v="PON-846"/>
        <s v="PON-950"/>
        <s v="SLM-595"/>
        <s v="VLL-419"/>
        <s v="VIG-592"/>
        <s v="VIG-597"/>
        <s v="C202581995853579"/>
        <s v="C202581121019301"/>
        <s v="C2025822121047405"/>
        <s v="C20258251058283"/>
        <s v="C20259216555344"/>
        <s v="C20259416449826"/>
        <s v="C202593104026561"/>
        <s v="C2025729112114817"/>
        <s v="C2025912124422319"/>
        <s v="C2025821123847841"/>
        <s v="C202591592845120"/>
        <s v="C202591011421837"/>
        <s v="C20258229546440"/>
        <s v="FNL-1469"/>
        <m/>
        <s v="C2025951159016"/>
        <s v="C2025822104014712"/>
        <s v="C20259101779829"/>
        <s v="C20258511036334"/>
        <s v="C2025710102423971"/>
        <s v="C20258510293183"/>
        <s v="C20259891120370"/>
        <s v="C20259810525083"/>
        <s v="C202582710334353"/>
        <s v="C20258191118319"/>
        <s v="C2025724165737532"/>
        <s v="C2025924102353135"/>
        <s v="C202594115643608"/>
        <s v="C20257812052998"/>
        <s v="C2025724123618478"/>
        <s v="C202573117223984"/>
        <s v="C202598101940599"/>
        <s v="C202591012357715"/>
        <s v="C2025919153150313"/>
        <s v="C202592105656843"/>
        <s v="C2025910173529359"/>
        <s v="C202571710114916"/>
        <s v="C2025951648821"/>
        <s v="C2025415102713525"/>
        <s v="C2025723101654681"/>
        <s v="C2025722172149692"/>
        <s v="C20256239281927"/>
        <s v="C2025626181732616"/>
        <s v="C202562617310290"/>
        <s v="C202591712235127"/>
        <s v="C202581111258719"/>
        <s v="C202582293418119"/>
        <s v="C202581114846277"/>
        <s v="C202591116191616"/>
        <s v="C20258885832459"/>
        <s v="C202572815224502"/>
        <s v="C202587113137242"/>
        <s v="C202572912645144"/>
        <s v="C20257149364853"/>
        <s v="C202588114736810"/>
        <s v="C202572416303646"/>
        <s v="C2025916123433783"/>
        <s v="C20259510647702"/>
        <s v="C2025730112237206"/>
        <s v="C2025624155632351"/>
        <s v="C202572910510409"/>
        <s v="C202584121523354"/>
        <s v="C20259210293860"/>
        <s v="C20257181540467"/>
        <s v="C20258289454924"/>
        <s v="C202585947250"/>
        <s v="C20259210529996"/>
        <s v="C202572310248292"/>
        <s v="C202591117352797"/>
        <s v="C202587105344388"/>
        <s v="C202572165922418"/>
        <s v="C202599102631456"/>
        <s v="VLC-547"/>
        <s v="C202572122416550"/>
        <s v="C2025821151130392"/>
        <s v="C202582511573899"/>
        <s v="ZRZS-142"/>
        <s v="C2025911105951791"/>
        <s v="BJZE-2506"/>
        <s v="VIG-599"/>
        <s v="LAL-162"/>
        <s v="SLM-584"/>
        <s v="VIG-400"/>
        <s v="BJZE-2498"/>
        <s v="BJZE-2502"/>
        <s v="BOI-988"/>
        <s v="PON-919"/>
        <s v="BJZE-2499"/>
        <s v="CAC-354"/>
        <s v="LAL-168"/>
        <s v="OBR-72"/>
        <s v="CAC-372"/>
        <s v="LEO-523"/>
        <s v="VLL-424"/>
        <s v="SEVE-442"/>
        <s v="CAC-366"/>
        <s v="CAC-380"/>
        <s v="SLM-597"/>
        <s v="SLM-603"/>
        <s v="PON-944"/>
        <s v="CAC-378"/>
        <s v="VLL-417"/>
        <s v="VIG-613"/>
        <s v="BJZE-2507"/>
        <s v="PON-856"/>
        <s v="VIG-604"/>
        <s v="BOI-989"/>
        <s v="C202598165521270"/>
        <s v="C2025916155645827"/>
        <s v="C2025911103935364"/>
        <s v="C202581111719363"/>
        <s v="C202582995946616"/>
        <s v="C2024122616017104"/>
        <s v="C2025915122921595"/>
        <s v="C202582910625215"/>
        <s v="C202582910419307"/>
        <s v="BOI-991"/>
        <s v="C202569173634919"/>
        <s v="C202582110315643"/>
        <s v="C2025918163651776"/>
        <s v="SLM-607"/>
        <s v="C202591164623707"/>
        <s v="C202592211274419"/>
        <s v="C20259810350604"/>
        <s v="C20259161278401"/>
        <s v="C202595164945328"/>
        <s v="LOG-1420"/>
        <s v="C202592153017796"/>
        <s v="CAC-383"/>
        <s v="SLM-568"/>
        <s v="SLM-594"/>
        <s v="C202591716337772"/>
        <s v="C2025917173259990"/>
        <s v="C20259515548421"/>
        <s v="C2025915172115210"/>
        <s v="C2025721112918292"/>
        <s v="PON-920"/>
        <s v="PON-907"/>
        <s v="PON-933"/>
        <s v="SEVE-452"/>
        <s v="C20258219556483"/>
        <s v="C202591116392710"/>
        <s v="C202591518017464"/>
        <s v="C202591212628201"/>
        <s v="C202591212423650"/>
        <s v="C20258112333433"/>
        <s v="CAC-385"/>
        <s v="C2025911111455715"/>
        <s v="C2025630165839246"/>
        <s v="C2025728162656800"/>
        <s v="C202510610250535"/>
        <s v="C202591817559957"/>
        <s v="VIG-611"/>
        <s v="C202591811928283"/>
        <s v="C2025919152854375"/>
        <s v="C2025910194422149"/>
        <s v="C202591510302812"/>
        <s v="C202594171646705"/>
        <s v="C202592510263486"/>
        <s v="MSJ-24"/>
        <s v="PON-269"/>
        <s v="SLM-608"/>
        <s v="C2025918105043295"/>
        <s v="C202594113750263"/>
        <s v="HOR-2217"/>
        <s v="C202591617956595"/>
        <s v="LEO-546"/>
        <s v="LEO-533"/>
        <s v="C2025917181115675"/>
        <s v="C2025912124743909"/>
        <s v="C20251039749235"/>
        <s v="C2025619103136969"/>
        <s v="C202582810465083"/>
        <s v="C2025919105522488"/>
        <s v="C202592916913786"/>
        <s v="MGE-162"/>
        <s v="BOI-999"/>
        <s v="LAL-171"/>
        <s v="SLM-612"/>
        <s v="C202592691723568"/>
        <s v="C202572212207979"/>
        <s v="C202591105249542"/>
        <s v="C202582910512653"/>
        <s v="C20259812458661"/>
        <s v="C202592311224670"/>
        <s v="CAC-376"/>
        <s v="C2025910182514884"/>
        <s v="C20259241242675"/>
        <s v="C20259121612700"/>
        <s v="C202592216530238"/>
        <s v="C2025912134940910"/>
        <s v="C202592112646291"/>
        <s v="ZRG-451"/>
        <s v="C2025925102936960"/>
        <s v="C202510117552199"/>
        <s v="MGE-49"/>
        <s v="C2025911182457339"/>
        <s v="C20257112515230"/>
        <s v="C2025922163459800"/>
        <s v="C2025925162621627"/>
        <s v="C2025916183119542"/>
        <s v="C202592512249786"/>
        <s v="C2025917173328714"/>
        <s v="C2025929151911264"/>
        <s v="C202591116504933"/>
        <s v="C202591917455784"/>
        <s v="CAC-389"/>
        <s v="LEO-547"/>
        <s v="C20259210010546"/>
        <s v="C202591018414159"/>
        <s v="C202592316319853"/>
        <s v="C202591718138788"/>
        <s v="C2025881363715"/>
        <s v="C202592493128600"/>
        <s v="VGA-13185"/>
        <s v="C202591214835324"/>
        <s v="C2025925181819564"/>
        <s v="C202591816163459"/>
        <s v="C202510317027550"/>
        <s v="C2025915103439346"/>
        <s v="C2025101013615270"/>
        <s v="C2025929105149920"/>
        <s v="C2025930175639710"/>
        <s v="C202510816030138"/>
        <s v="C2025924162717423"/>
        <s v="C20251071845263"/>
        <s v="C2025108114926102"/>
        <s v="C20251021105244267"/>
        <s v="C202591993714591"/>
        <s v="CAC-393"/>
        <s v="C20259259564667"/>
        <s v="C2025917171514931"/>
        <s v="C202510710262263"/>
        <s v="C20257159434173"/>
        <s v="C2025102114545394"/>
        <s v="C2025918172023374"/>
        <s v="C202591914955411"/>
        <s v="C20259161630766"/>
        <s v="C20258221006806"/>
        <s v="CAC-395"/>
        <s v="VIG-622"/>
        <s v="C2025925175046499"/>
        <s v="C2025923163058224"/>
        <s v="C202591110728521"/>
        <s v="C2025101018148692"/>
        <s v="BOI-1003"/>
        <s v="CAC-399"/>
        <s v="CAC-401"/>
        <s v="LEO-551"/>
        <s v="C2025923172918699"/>
        <s v="C2025106155740814"/>
        <s v="C202563162936488"/>
        <s v="ZRG-649"/>
        <s v="C202510218947419"/>
        <s v="C202510616458945"/>
        <s v="C20254410337582"/>
        <s v="C202510218472605070"/>
        <s v="C202510311292191"/>
        <s v="C2025717121059278"/>
        <s v="C2025925164752459"/>
        <s v="C20259211932215"/>
        <s v="C202599183419957"/>
        <s v="C202510151038291262"/>
        <s v="C20251015104339905"/>
        <s v="C2025103112349194"/>
        <s v="C2025108175142863"/>
        <s v="C202591213249279"/>
        <s v="C2025107114733713"/>
        <s v="C202592115921573"/>
        <s v="C202510141410168949"/>
        <s v="C202510217111554"/>
        <s v="PON-911"/>
        <s v="C2025930175643116"/>
        <s v="C2025106124831899"/>
        <s v="C202510149101284255"/>
        <s v="C20259301395798"/>
        <s v="C2025102105317309"/>
        <s v="C2025624182020941"/>
        <s v="C2025924135530812"/>
        <s v="C202592911277510"/>
        <s v="C202510716931656"/>
        <s v="C2025107115520153"/>
        <s v="C2025101518319286"/>
        <s v="C2025102172122903"/>
        <s v="C202592518556702"/>
        <s v="C202592694846329"/>
        <s v="BJZE-2401"/>
        <s v="BJZE-2529"/>
        <s v="LEO-553"/>
        <s v="C2025731172833667"/>
        <s v="C2025930155910191"/>
        <s v="C20251010155528467"/>
        <s v="C202510131540317444"/>
        <s v="C202510141014400608"/>
        <s v="C20251017103253713"/>
        <s v="C202510295134679"/>
        <s v="CAC-403"/>
        <s v="SLM-622"/>
        <s v="VLG-159"/>
        <s v="C2025918182451403"/>
        <s v="C2025101517118286"/>
        <s v="C202592612243182"/>
        <s v="C20258810652376"/>
        <s v="PON-942"/>
        <s v="C202510110121273"/>
        <s v="C2025925112445880"/>
        <s v="C20251014123042219"/>
        <s v="C20258812352613"/>
        <s v="C202510217364940013"/>
        <s v="C2025102104823441"/>
        <s v="C20251016122337200"/>
        <s v="C202510231017253878"/>
        <s v="CAC-405"/>
        <s v="C202510148479597999"/>
        <s v="C2025929113117679"/>
        <s v="C202510151756131283"/>
        <s v="BOI-715"/>
        <s v="CAC-436"/>
        <s v="C202579125431219"/>
        <s v="C2025102012109252"/>
        <s v="C202510209125258710"/>
        <s v="C2025103124219231"/>
        <s v="C202564122949333"/>
        <s v="C202510201028554839"/>
        <s v="C20251015155830172"/>
        <s v="CAC-407"/>
        <s v="C202510101237434996"/>
        <s v="C20257810516852"/>
        <s v="C202510101150611649"/>
        <s v="C202592616346179"/>
        <s v="CAC-410"/>
        <s v="C2025917115836615"/>
        <s v="C2025922152058569"/>
        <s v="C202510139173038944"/>
        <s v="C2025930165440612"/>
        <s v="C202593018018131"/>
        <s v="C20251010121825"/>
        <s v="C2025520162413995"/>
        <s v="BOI-1002"/>
        <s v="C202593011223980"/>
        <s v="C2025102116047305"/>
        <s v="C202510179114967503"/>
        <s v="C202592105921739"/>
        <s v="C20251017111157143"/>
        <s v="C202510131341468155"/>
        <s v="C202510299541533762"/>
        <s v="C202510815458888"/>
        <s v="C202510139202353346"/>
        <s v="C202510201153258429"/>
        <s v="C2025101112319145"/>
        <s v="VLL-449"/>
        <s v="0"/>
        <s v="C20251014182719552"/>
        <s v="C20251015121459187"/>
        <s v="C202510141637584157"/>
        <s v="C20251014112824268"/>
        <s v="C2025923133639568"/>
        <s v="C202510168584740708"/>
        <s v="C2025102210513984"/>
        <s v="C20259251643237"/>
        <s v="C202592995047780"/>
        <s v="C202510161518573227"/>
        <s v="C202510211450159810"/>
        <s v="VIG-632"/>
        <s v="C2025106163520117"/>
        <s v="C202510149553783"/>
        <s v="C20251015101126750"/>
        <s v="ALB-589"/>
        <s v="C202510141114428962"/>
        <s v="C202511716403437887"/>
        <s v="C202510211354136208"/>
        <s v="C202510239535946869"/>
        <s v="C202510171515509044"/>
        <s v="SEVE-466"/>
        <s v="C202511119134290355"/>
        <s v="C202510311036310045"/>
        <s v="C202510207111397193"/>
        <s v="C2025111212324260"/>
        <s v="C202510218473447693"/>
        <s v="C202510299453887216"/>
        <s v="C202510161416401885"/>
        <s v="C202510148501534195"/>
        <s v="C2025102395418894"/>
        <s v="C202510161036578585"/>
        <s v="C20251023172032268"/>
        <s v="C202510171318218122"/>
        <s v="C202510161031892841"/>
        <s v="C202510247424176078"/>
        <s v="C202510301034650824"/>
        <s v="C20251117131527594"/>
        <s v="C202510301551142429"/>
        <s v="C202510208275688105"/>
        <s v="C202510208264929306"/>
        <s v="C202510231145455540"/>
        <s v="CULL-270"/>
        <s v="CAC-412"/>
        <s v="CAC-425"/>
        <s v="MOR-346"/>
        <s v="C202510211014295809"/>
        <s v="C2025917125458420"/>
        <s v="C202510291055923627"/>
        <s v="C20251017102530696"/>
        <s v="C2025612122632395"/>
        <s v="C202510219402818543"/>
        <s v="C202510201554338128"/>
        <s v="VIG-633"/>
        <s v="C202510917924811"/>
        <s v="C2025109175853796"/>
        <s v="C202510109518266"/>
        <s v="C202510281515144128"/>
        <s v="C202510248477106650"/>
        <s v="C202511312491034431"/>
        <s v="C202510211029150996"/>
        <s v="C202510161049288765"/>
        <s v="C202510301727515534"/>
        <s v="C202510281023758297"/>
        <s v="C20251079254489"/>
        <s v="C202510168172062578"/>
        <s v="C202510291057383718"/>
        <s v="C202510291164427881"/>
        <s v="C20251020961258"/>
        <s v="C202510271139536296"/>
        <s v="C20251139222488247"/>
        <s v="C202510281047412510"/>
        <s v="C2025930143152986"/>
        <s v="C202511393536538842"/>
        <s v="C202510151431264919"/>
        <s v="C202510151426572668"/>
        <s v="C202511416103631777"/>
        <s v="C202510910503721"/>
        <s v="PON-990"/>
        <s v="PON-992"/>
        <s v="C202510167425234141"/>
        <s v="C202510281139976833"/>
        <s v="C202510171019439504"/>
        <s v="C202511417266401601"/>
        <s v="C2025912104549439"/>
        <s v="C202510211604656834"/>
        <s v="C202511412285989779"/>
        <s v="C202510141120174733"/>
        <s v="C202510271053598510"/>
        <s v="C202511211412391741"/>
        <s v="C202510201554428447"/>
        <s v="C202510211028552232"/>
        <s v="C202510311112769486"/>
        <s v="C202510137551555299"/>
        <s v="C202510139244288259"/>
        <s v="C202510211021449756"/>
        <s v="PQL-1102"/>
        <s v="C202510291941602898"/>
        <s v="C202511121631512555"/>
        <s v="C202511713534908581"/>
        <s v="C202510301117255144"/>
        <s v="C20251010162115245"/>
        <s v="C202510201040595061"/>
        <s v="C202511109493561732"/>
        <s v="C202511612131520872"/>
        <s v="C202510281043398642"/>
        <s v="C2025101015021970"/>
        <s v="C2025108122025262"/>
        <s v="C202510211157545912"/>
        <s v="C20251016181036612"/>
        <s v="C20251016163113121"/>
        <s v="C202510271034807187"/>
        <s v="C202510291714461541"/>
        <s v="C20251016163259557"/>
        <s v="C202511149595126941"/>
        <s v="C202510281030204697"/>
        <s v="C202510291035179025"/>
        <s v="C202511610342706123"/>
        <s v="C202510201117383532"/>
        <s v="C202510211525313764"/>
        <s v="C202510231014551898"/>
        <s v="C202510301614594047"/>
        <s v="C202510301833155892"/>
        <s v="C202510211141200456"/>
        <s v="C20251128174543327"/>
        <s v="C202510221655496103"/>
        <s v="C202510301057200122"/>
        <s v="C202511510161949782"/>
        <s v="LEO-566"/>
        <s v="MSJ-363"/>
        <s v="CAC-422"/>
        <s v="C202510291623250008"/>
        <s v="VLL-466"/>
        <s v="C202510211642317790"/>
        <s v="C202510311213219541"/>
        <s v="C202510299444788378"/>
        <s v="C202510141115167942"/>
        <s v="C202510151714476751"/>
        <s v="C202511111013678445"/>
        <s v="CULL-260"/>
        <s v="VLL-462"/>
        <s v="C202511611529364302"/>
        <s v="PON-976"/>
        <s v="C202511101132331111"/>
        <s v="C202510291228995143"/>
        <s v="C202511119590519307"/>
        <s v="C202511191035455379"/>
        <s v="C202510141139851465"/>
        <s v="C202511517111135123"/>
        <s v="LEO-483"/>
        <s v="C2025106123231664"/>
        <s v="C202510151420103828"/>
        <s v="C202511101140825794"/>
        <s v="BJZE-2536"/>
        <s v="C202511311355108852"/>
        <s v="C202510231749396501"/>
        <s v="LEO-593"/>
        <s v="C202511510201532322"/>
        <s v="C202511695723748573"/>
        <s v="C202510221040289161"/>
        <s v="C202511710421791714"/>
        <s v="C202511119134190486"/>
        <s v="C202511149364663635"/>
        <s v="SLM-567"/>
        <s v="CULL-267"/>
        <s v="CULL-268"/>
        <s v="C202510311043803817"/>
        <s v="C202511109184084367"/>
        <s v="C20251114988334669"/>
        <s v="C202512111368504"/>
        <s v="C2025102211549387"/>
        <s v="CAC-440"/>
        <s v="C20251010114613393"/>
        <s v="C202510301234496065"/>
        <s v="C202511279252138653"/>
        <s v="C202511171548726809"/>
        <s v="PON-848"/>
        <s v="CAC-419"/>
        <s v="SLM-645"/>
        <s v="C202511201039178797"/>
        <s v="C202511131155509733"/>
        <s v="C202511138462062631"/>
        <s v="CAC-448"/>
        <s v="C202510271458189840"/>
        <s v="C202511121026471742"/>
        <s v="CAC-444"/>
        <s v="C202511611284381178"/>
        <s v="SLM-641"/>
        <s v="C202511416444006779"/>
        <s v="C202511416431155956"/>
        <s v="C202511111039390240"/>
        <s v="C202593016013322"/>
        <s v="CAC-442"/>
        <s v="C202511251115338477"/>
        <s v="C202511785735734534"/>
        <s v="C202510301719400985"/>
        <s v="C2025919155123890"/>
        <s v="C202511111839297239"/>
        <s v="C202511111620244882"/>
        <s v="C202511211559502036"/>
        <s v="C202511201228174337"/>
        <s v="C202511111749393786"/>
        <s v="C20256318282684"/>
        <s v="C202511785520923292"/>
        <s v="C2025926102152562"/>
        <s v="C202511119184318475"/>
        <s v="SEVE-292"/>
        <s v="C202511201641232702"/>
        <s v="C202512210375407030"/>
        <s v="C202511249411289262"/>
        <s v="C202512121230235851"/>
        <s v="C202511261112103448"/>
        <s v="C202511131422066053"/>
        <s v="C202511121646140757"/>
        <s v="C202511211119163932"/>
        <s v="C202511201734355763"/>
        <s v="C202512514574325442"/>
        <s v="SLM-652"/>
        <s v="C202510281634456406"/>
        <s v="C202511118254330379"/>
        <s v="VLL-472"/>
        <s v="C202511191014344161"/>
        <s v="C202511171184946055"/>
        <s v="C202511241521418500"/>
        <s v="C202510211018174929"/>
        <s v="C202511517254180811"/>
        <s v="SLM-659"/>
        <s v="LEO-597"/>
        <s v="C202512116342917389"/>
        <s v="C202511181130106575"/>
        <s v="PON-962"/>
        <s v="C202512111279187347"/>
        <s v="C202511191128215519"/>
        <s v="C202511171085228584"/>
        <s v="PON-978"/>
        <s v="C202510178333038599"/>
        <s v="C202511241134157908"/>
        <s v="C202511251025534008"/>
        <s v="C202511149312336389"/>
        <s v="CULL-122"/>
        <s v="C202512110554407508"/>
        <s v="VLL-481"/>
        <s v="C202511241735025505"/>
        <s v="C202511251212495621"/>
        <s v="C202511148554597075"/>
        <s v="C202511269295490696"/>
        <s v="C202510131053415806"/>
        <s v="C202511201240300206"/>
        <s v="C202511191611779531"/>
        <s v="C202511171044490999"/>
        <s v="C202511418582072340"/>
        <s v="C202511593338529474"/>
        <s v="C202511251126246042"/>
        <s v="C202511251046053377"/>
        <s v="C202511261758146117"/>
        <s v="C202511251446166226"/>
        <s v="C202511261511281165"/>
        <s v="C202511121263086318"/>
        <s v="C202511121537579266"/>
        <s v="C202511111117495526"/>
        <s v="C202512212557837550"/>
        <s v="C202512193859345294"/>
        <s v="C202510271625891811"/>
        <s v="C202511121752841356"/>
        <s v="C202512116345827671"/>
        <s v="C202511281155475652"/>
        <s v="C202512317323185359"/>
        <s v="C202511211112637430"/>
        <s v="C202512310464231022"/>
        <s v="C202511179265857428"/>
        <s v="C202511211413372148"/>
        <s v="C202510211735269943"/>
        <s v="C202511171133555602"/>
        <s v="C20251131118208418"/>
        <s v="C202510161191942907"/>
        <s v="C202511251231359232"/>
        <s v="C202511492022679732"/>
        <s v="C202510281722132524"/>
        <s v="C202512111233575181"/>
        <s v="C202512121059282488"/>
        <s v="SLM-655"/>
        <s v="C202512493338206635"/>
        <s v="C202511715351412"/>
        <s v="C202510161727576979"/>
      </sharedItems>
    </cacheField>
    <cacheField name="CLIENTE" numFmtId="0">
      <sharedItems containsBlank="1" count="1732">
        <s v="MARIA CARRASCAL GARROTE"/>
        <s v="FRANCISCA ROSA RODENAS"/>
        <s v="NATIVIDAD CABALLERO PEREZ"/>
        <s v="RAFAEL  REQUENA BURGOS"/>
        <s v="AMADOR  VALENCIA ARIAS"/>
        <s v="ANTONIO JOSE RODRIGUEZ MANZANO"/>
        <s v="DOMINGO  GALLEGO GARCIA"/>
        <s v="PEDRO LLORET LLORET"/>
        <s v="PURIFICACION BOTELLA RONDA"/>
        <s v="BEATRIZ  RODRIGUEZ JARABO"/>
        <s v="EDUARDO PASTOR PLANELLES"/>
        <s v="ELIZABETH GAFFNEY"/>
        <s v="JOSE FRANCISCO RICO PERTUSA"/>
        <s v="LUIS GONZÁLEZ GÓMEZ"/>
        <s v="MARIA MARTINEZ VACA"/>
        <s v="CARMEN LOPEZ MARTINEZ"/>
        <s v="BERNARDINO MACHUCA GARRIDO"/>
        <s v="CARLA MANZANARES GALLEGO"/>
        <s v="CONSOLACION  TORRONTERAS SANJULIAN"/>
        <s v="ESTHER GONZALEZ SANCHEZ"/>
        <s v="Mª ANTONIA  MOLINERO MORENO"/>
        <s v="MARIA DEL PILAR ANGULO SALAZAR"/>
        <s v="MAURINO SEVERIANO GUERRA"/>
        <s v="PETRA QUINTANA SANZ"/>
        <s v="REGINO RECUERO CANALEJAS"/>
        <s v="MARGARITA HIGUERAS AZORIT"/>
        <s v="IBRAHIMA BALEDEH"/>
        <s v="NIEVES ALVES VEGA"/>
        <s v="ANTONIA DIAZ-PARREÑO QUINTANAR"/>
        <s v="APARICIO CASTELLANO ORTIZ-VILLAJO"/>
        <s v="MARIA ALONSO CASTRO"/>
        <s v="MARIA GUADALUPE BLANCO RENTERO"/>
        <s v="ANGELINES BURUAGA MEDEL"/>
        <s v="GLORIA CLAVIJO ÍÑIGUEZ"/>
        <s v="MARIA JESUS RANEDO PALACIOS"/>
        <s v="ROSA MARIA  RUÍZ FERNÁNDEZ"/>
        <s v="JOSE DANIEL LUGILDE RIVAS"/>
        <s v="ÁNGELES RODRÍGUEZ CASTILLO"/>
        <s v="ARACELI BARRIOS MONTENEGRO"/>
        <s v="ENCARNACIÓN MARTOS GUALDA"/>
        <s v="LUCAS CALZA FERNANDEZ"/>
        <s v="TOÑI LOMAS CULEBRAS"/>
        <s v="ANTONIO PALOMINO GUIJARRO"/>
        <s v="ELENA ESTHER MONZON TARDON"/>
        <s v="FRANCISCO JAVIER DE LA MORENA  DE VEGA"/>
        <s v="IMNACULADA CANET ALCAMI"/>
        <s v="JESUS LLORENTE MARTINEZ"/>
        <s v="JUAN LEOVEL FALCON HURI"/>
        <s v="MARIA ASUNCION GARCIA DEL CAMPO FALCO"/>
        <s v="BASILIA LOPEZ DOMINGUEZ"/>
        <s v="BENJAMINA MARGARITA PEREZ GIL"/>
        <s v="HORTENSIA TRUJILLO LUMBRERAS"/>
        <s v="LEONCIO GARCIA SANTOS"/>
        <s v="MANUEL RUIZ SOTO"/>
        <s v="MARIA DEL CARMEN ORTEGA SUAREZ"/>
        <s v="MIGUEL ANGEL CRESPO DENCHE"/>
        <s v="ROBERTO RODRIGUEZ MARTIN"/>
        <s v="SOFIA BLANCO MENDEZ"/>
        <s v="ENRIQUE ALMEIDA PUJADAS"/>
        <s v="MARIA TERESA ORDOÑEZ DE CELIS"/>
        <s v="ADELA MARTIN MATA"/>
        <s v="JOSE ANGEL CALVO RAMOS"/>
        <s v="JULIO ANTON CABEZAS"/>
        <s v="ESPERANZA  GOMEZ LIÑARES"/>
        <s v="FRANCISCO REYERO RODRIGUEZ"/>
        <s v="MARI LUZ TELLO AYLLON"/>
        <s v="PILAR MARTIN PEDROSA"/>
        <s v="CONCEPCION MARIN SANCHEZ"/>
        <s v="JOSE ANTONIO ANTOLINOS SALINAS"/>
        <s v="JOSE ANTONIO LOPEZ GARRE"/>
        <s v="JUAN FERNANDEZ ANDREU"/>
        <s v="MANUEL VIDAL SANZ"/>
        <s v="MARIA JESUS BARCELO CLEMARES"/>
        <s v="MIGUEL ANGEL ROMERA MARIN"/>
        <s v="MONICA ALEXANDRA SALAZAR SANCHEZ"/>
        <s v="PEDRO MARTINEZ ROMERO"/>
        <s v="SALVADOR LOPEZ ESCAR"/>
        <s v="JACQUELINE MELVILLE"/>
        <s v="MIGUEL DIEZ ESTRADA"/>
        <s v="UNA MAGOURTY"/>
        <s v="MARIA GONZALEZ GOMEZ"/>
        <s v="MARÍA LUISA MEIRA LABO"/>
        <s v="EUSEBIO CASTEJON ROS"/>
        <s v="JOSE MARIA ROCA MARTINEZ"/>
        <s v="JUAN GARCIA GARCIA"/>
        <s v="LUISA ANDREU MARTINEZ"/>
        <s v="SUSAN ELISABETH RUTHERFORD"/>
        <s v="PILAR VAZQUEZ MEJUTO"/>
        <s v="FRANCISCA MORA DEL PINO"/>
        <s v="GUILLERMO POLO HERVÁS"/>
        <s v="JUSBERLY SMERALDA MENDOZA TERAN"/>
        <s v="FELICITA GONZALEZ GUTIERREZ"/>
        <s v="ANTONIO LOPEZ MORA"/>
        <s v="FERMINA ARRIBAS PARIS"/>
        <s v="FRANCISCA  HERNANDEZ CARRALERO"/>
        <s v="JOSE ANTONIO JIMENEZ ORTEGA"/>
        <s v="NATIVIDAD CAMARA NADADOR"/>
        <s v="FRANCISCA FONTESTAD PLANES"/>
        <s v="MARCOS MARTINEZ PEIRO"/>
        <s v="MARIA ISABEL PEÑALVER MOLLA"/>
        <s v="RAFAEL VIDAL BONAFE"/>
        <s v="SALVADOR VILA ESTEVE"/>
        <s v="VICENTE HERRERO GARCIA"/>
        <s v="CARMEN VALERO POLO"/>
        <s v="LEOPOLDO IBAÑEZ MONTORO"/>
        <s v="MARIA LUISA RAMOS GARCIA"/>
        <s v="NARCIS DINARES PEÑALVER"/>
        <s v="JOSEP MELLADO MAIQUEZ"/>
        <s v="MARIA DEL CARMEN DIÑEIRO ESCUREDO"/>
        <s v="JORGE MACIAS CID"/>
        <s v="LORENZO TOMAS GARCIA FABA"/>
        <s v="BENITA OLLOQUI MARCOS"/>
        <s v="JAVIER FREIRIA PEREIRA"/>
        <s v="MELCHOR GARCIA SANCHEZ"/>
        <s v="MARIA DEL CARMEN GONZALEZ GONZALEZ"/>
        <s v="MARIA PILAR CASTILLO CUBO"/>
        <s v="LUCIANA PUERTO MARTIN"/>
        <s v="EUFEMIA SANCHEZ RAMOS"/>
        <s v="MONTSERRAT MORANCHO SAUMENCH"/>
        <s v="MOHAMAD HUSSEIN ZOHBI"/>
        <s v="JUANA CORTES MEDINA"/>
        <s v="FRANCISCA GARCIA CUENLLAS"/>
        <s v="MARIA IGNACIA GARCIA LOPEZ"/>
        <s v="XOXE ANXO LORES LAGO"/>
        <s v="LORENZO GARRIDO GUTIERREZ"/>
        <s v="RAQUEL MARTINEZ RUIZ"/>
        <s v="NURIA SANCHEZ EIJO"/>
        <s v="GUADALUPE RUBIO ROS"/>
        <s v="FERNANDO SANCHEZ SANCHEZ"/>
        <s v="ELISA OLIVA MATEOS"/>
        <s v="ESPERANZA GALVIS RODRIGUEZ"/>
        <s v="JOSE MARIA GALAN REBOLLO"/>
        <s v="ANTONIO CORDON ESCUDERO"/>
        <s v="OLGA SIEIRA VILAR"/>
        <s v="JOSEFA CAMPOS MELENCHON"/>
        <s v="JUAN ALEJO MANSO CORREA"/>
        <s v="MARIA DEL CONSUELO MERINO GONZALEZ"/>
        <s v="AUREA MINGUEZA MAQUEDA"/>
        <s v="MANUEL DIOGO DOS SANTOS DOS SANTOS"/>
        <s v="FERNANDO DE FRANCISCO VEGA"/>
        <s v="PABLO GARCIA DOMINGUEZ"/>
        <s v="VICENTE VILAS MONTERO"/>
        <s v="REMEDIOS GOMEZ GOMEZ"/>
        <s v="MARCELINA VELASCO GARCIA"/>
        <s v="JAVIER LOSCOS MORATO"/>
        <s v="JESUS VALLES PRIETO"/>
        <s v="FELIPE HERNANDEZ GARCIA"/>
        <s v="MARIA MERCEDES RUBIO GONZALEZ"/>
        <s v="JAVIER PELLIN CATALA"/>
        <s v="ELVIRA LOPEZ RODRIGUEZ"/>
        <s v="MARIA DEL PILAR PORRAS BAENA"/>
        <s v="JANINE EMMANUELLE ANGE OMONT"/>
        <s v="CESAR MARTIN RUBIO"/>
        <s v="RAFAELA ALARCON SANCHEZ"/>
        <s v="TRINIDAD CHICOTE FERNANDEZ"/>
        <s v="JUAN ANTONIO RODRIGUEZ GARCIA"/>
        <s v="ENCARNACION GARCIA JIMENEZ"/>
        <s v="MANUEL JESUS PEREZ SANCHEZ"/>
        <s v="CONCEPCION GOMEZ FERNANDEZ"/>
        <s v="JOSEFA LOPEZ GARCIA"/>
        <s v="MARIA JESÚS CARDO GARCÍA"/>
        <s v="ÁNGEL SEGOVIA CORREAL"/>
        <s v="ROSARIO CARMONA LLANO"/>
        <s v="FELIPE GALAN GARCIA"/>
        <s v="MARIA REMEDIOS PULIDO CORBACHO"/>
        <s v="MARCA LORENZO DIAZ"/>
        <s v="ALBA GARCÍA ALBARRACIN"/>
        <s v="ROSA MARIA SANZ LOPEZ"/>
        <s v="ANA MARIA ROMERO BOLIVAR"/>
        <s v="ANTONIA MARIA SANCHEZ GUISADO"/>
        <s v="HERMINIA DEL CARMEN ZAPATA"/>
        <s v="FRANCISCA JORDAN IBAÑEZ"/>
        <s v="MANUEL GONZALEZ VINUESA"/>
        <s v="MARIA GRACIA CALDERON REYES"/>
        <s v="MIGUEL ALBARRACIN DOMINGUEZ"/>
        <s v="JESUS LUIS FREIRE ANIDO"/>
        <s v="JOSE MARIA DEL RIO DEL RIO"/>
        <s v="JUAN FRANCISCO FUENTES BORDAS"/>
        <s v="JUAN MANUEL MONTAHUD ESPI"/>
        <s v="LOURDES GUTIERREZ RAMOS"/>
        <s v="MARIA LUZ LAGARTERA GOMEZ"/>
        <s v="RAMON RODRIGUEZ SIMANCAS"/>
        <s v="FRANCISCO CONTRERAS LORENZO"/>
        <s v="FRANCISCA JIMENEZ PEREZ"/>
        <s v="MARÍA VEGA GONZÁLEZ IZQUIERDO"/>
        <s v="ALICIA EXPÓSITO NOGALES"/>
        <s v="STEPHEN BEACH"/>
        <s v="MARIA ANGELES SALINAS VELAZQUEZ"/>
        <s v="DOLORES CEBALLOS BALLESTEROS"/>
        <s v="ANICETA GARCIA PEREZ"/>
        <s v="JOSE JUAN GORMAZ"/>
        <s v="IGNACIA JIMENEZ CURIEL"/>
        <s v="JACOB ABECASIS HACHUEL"/>
        <s v="AMPARO LLORENS GORRIZ"/>
        <s v="TEOFILO MARTINEZ ROMERA"/>
        <s v="CARMEN GALAN MIGUEL"/>
        <s v="ELVIRA ENGUIDANOS PINO"/>
        <s v="CESAR DEL ALAMO BARRAS"/>
        <s v="JUAN PEREZ FEIJOO"/>
        <s v="CONCHA LLACER PEREZ"/>
        <s v="ANGELA CUESTA CUESTA"/>
        <s v="ANDREA VENTURA RUIZ"/>
        <s v="FELIPE SANTIAGO JOSE RIVERO DE AGUILAR SOBRINO"/>
        <s v="JUANA MOROTE ARANOS [RUBEN GONZALEZ MOROTE]"/>
        <s v="ANGELES BROTONS BEIVELL"/>
        <s v="LUIS REFOLIO REFOLIO"/>
        <s v="MARINA DOMINGUEZ GONZALEZ"/>
        <s v="MOHAMMED BOURHAHA"/>
        <s v="SIMÓN PÉREZ FERNÁNDEZ"/>
        <s v="MARICARMEN CHINARRO BLAZQUEZ"/>
        <s v="MIGUEL ANGEL RUIZ HARO"/>
        <s v="MARIA PAZ MUÑOZ SANCHEZ"/>
        <s v="BERNARDO MORENO CARRILLO"/>
        <s v="JESUS FERNANDEZ GONZALEZ"/>
        <s v="AMALIA DOMINGO PALACIOS"/>
        <s v="TRINIDAD RODRIGUEZ ALAMEDA"/>
        <s v="SANTIAGA ZAMORA CAÑADILLA"/>
        <s v="LUIS MARIA BENITO DE SANZ"/>
        <s v="SANTIAGO REGIDOR GUERRERO"/>
        <s v="ISABEL GARCIA ABELLAN"/>
        <s v="CESAR CUTILLAS DOMENECH"/>
        <s v="ISMAEL RICARDO LOPEZ OLLERO"/>
        <s v="ANTONIO MUÑOZ TAMARAL"/>
        <s v="JESUS VILLAR ALVAREZ"/>
        <s v="MARIA JARNE GAN"/>
        <s v="GUSTAVO OLARIAGA RODRÍGUEZ"/>
        <s v="VICTORIA GRAU PEREZ"/>
        <s v="FELICISIMA GARCIA PINTO"/>
        <s v="JOHN ROLAND LAWRENCE BATHE"/>
        <s v="MARGIT PANCZEL"/>
        <s v="JOSE RINCON MORENO"/>
        <s v="MARIA ISABEL GUILLEN GARRIDO"/>
        <s v="ISABEL SANCHEZ FERNANDEZ"/>
        <s v="ANA DE LOS ANGELES HERNANDEZ CARRILLO"/>
        <s v="JUANA GRANIZO HENCHE"/>
        <s v="JULIO PASCUAL FERNÁNDEZ"/>
        <s v="MIGUEL PIZARRO LORO"/>
        <s v="MARIA ASUNCION BERNAT FERNANDEZ"/>
        <s v="FERNANDO CABADO ROCA"/>
        <s v="JOSEFA GOMEZ RUBIO"/>
        <s v="NIEVES LLORENTE PEREZ"/>
        <s v="ESPERANZA CUBAS PINTADO"/>
        <s v="MANUEL GOMEZ VERA"/>
        <s v="ANABEL GUILLEN MARTINEZ"/>
        <s v="SARA CID BELMONTE"/>
        <s v="JUAN FRANCISCO SEQUERO RAMIREZ"/>
        <s v="JOSEFA ORTEGA RABAL"/>
        <s v="MERCEDES RODRIGUEZ REGO"/>
        <s v="MARIANO GALAN LUENGO"/>
        <s v="MARIA JOSE VALENZUELA MARTINEZ"/>
        <s v="ANDREA NAVARRO GARRIDO"/>
        <s v="ISIDORO JIMENEZ BLAZQUEZ"/>
        <s v="FAMORCA TRES S,L [JOSE MARIA VARA IZQUIERDO]"/>
        <s v="MANUEL PROL GARRIDO"/>
        <s v="AGUSTIN PINO BARRIGA"/>
        <s v="SUSANA ESTEBAN ARRIAZÚ"/>
        <s v="MARIA ANGELES PEREZ GOMEZ"/>
        <s v="MARIA SOLEDAD LUDGERO PINTO"/>
        <s v="FELICIANO GARCIA ARNANZ"/>
        <s v="JOSE FUSTER BURGOS"/>
        <s v="ROSA MARÍA CAMPORRO FERNÁNDEZ"/>
        <s v="FRANCISCO ROSA VIDARTE"/>
        <s v="PAZ VAZQUEZ CORTON"/>
        <s v="FELISA ROMERO REY"/>
        <s v="MARIA DE LAS MERCEDES CASTAÑO SANCHEZ"/>
        <s v="ANGELINA DEL CANO SALAN"/>
        <s v="CESAR RUBIO PRIETO"/>
        <s v="FLORENCIO GONALEZ GONZALEZ"/>
        <s v="ISIDRO HERNANZ LOZOYA"/>
        <s v="PILAR GOMEZ-MALAGA SANCHEZ"/>
        <s v="JULIA ARROYO GONZALEZ"/>
        <s v="DOMINGA FERREIRO FERREIRO"/>
        <s v="SERAFINA BENITO PUENTES"/>
        <s v="VICENTE CORCHADO FLORIANO"/>
        <s v="MARTIN ARROYO MOLANO"/>
        <s v="ROSA MARIA REGO HERMO"/>
        <s v="MANUELA MANEIRO RODRIGUEZ"/>
        <s v="ANTONIO CORRAL VALLE"/>
        <s v="AURORA ARCONADA GARCIA"/>
        <s v="APOLINARIA MARTINEZ MARQUEZ"/>
        <s v="INMACULADA GARCIA PALOMO"/>
        <s v="EMMA CANALS LIZANO"/>
        <s v="DANIEL LOPEZ DE ARMENTIA JIMENEZ"/>
        <s v="NATIVIDAD HUGUET SERRANO"/>
        <s v="EUGENIO CADENAS GUERRERO"/>
        <s v="MERCEDES SIMON SUSAÑO"/>
        <s v="MARIA SANCHEZ IGLESIAS"/>
        <s v="JUANA PEREJON MOLIN"/>
        <s v="ANGELITA SANTOS CORCHADO"/>
        <s v="MARIA ALSIRA RODRIGUEZ GARCIA"/>
        <s v="GUSTAVO ARROYO IZARRA"/>
        <s v="VERONICA SUAREZ HERNANDEZ"/>
        <s v="MERCEDES LLANES PANALES"/>
        <s v="MIGUEL GOMEZ CLARAMUNT"/>
        <s v="JOSEFINA GARCIA CANDELA"/>
        <s v="TERESA GARCIA GONZALEZ"/>
        <s v="CONSUELO GARCIA PANADERO"/>
        <s v="JOSE MANUEL MONTOYA SUBERVIOLA"/>
        <s v="ELISA BLAZQUEZ LOZANO"/>
        <s v="RAMIRO PESCADOR LAGUNILLA"/>
        <s v="DAVID IGUAL LUIS"/>
        <s v="MARIA DEL CARMEN  GARCIA FERNANDEZ"/>
        <s v="VICTORIA  MARTINEZ CASADO"/>
        <s v="ANA BELEN ESCUDERO ALONSO"/>
        <s v="MARGARET LUCY CLACHER"/>
        <s v="LUIS DEL AMO RIAZOR"/>
        <s v="ANDRES FERREIRO CARREÑO"/>
        <s v="AMANDA JANE CARTER"/>
        <s v="MARIA DEL CARMEN  SIERRA GOMEZ"/>
        <s v="MARIA ROSARIO  CHUECA AGUADO"/>
        <s v="MARIA PIEDAD AYUELA LOBATO"/>
        <s v="FRANCISCO CANO HUELVES"/>
        <s v="VICENTE FAILDE FERNANDEZ"/>
        <s v="JOSE  GORDILLO DURAN"/>
        <s v="JOAQUIN HERNANDEZ MANZANERA"/>
        <s v="DOLORES BECERRA GONZALEZ"/>
        <s v="JOAQUIN GUIRAO ULLASTRES"/>
        <s v="CARLOS  ALONSO ALONSO"/>
        <s v="PILAR CARRANZA GÜELL"/>
        <s v="SALVADOR BAUTISTA ZORNOZA"/>
        <s v="DIONISIO VILLABA CORRAL"/>
        <s v="PILAR REGIDOR DOÑORO"/>
        <s v="Sasho Ivanov"/>
        <s v="LUIS  PEREZ COELLO"/>
        <s v="ANTONIO CARRILLO ALCALA"/>
        <s v="SEGUNDO BELMONTE ROMERO"/>
        <s v="DERRICK JAMES COOPER"/>
        <s v="FELICIDAD MERCHAN SANTOS"/>
        <s v="SATURNINO GARCÍA ARNANZ"/>
        <s v="FRANCISCO ANTONIO GARCIA RODRIGUEZ"/>
        <s v="FRANCISCA MEROÑO SANCHEZ"/>
        <s v="MARCELINO GARCIA SALINERO"/>
        <s v="ISABEL NIETO ALEGRE"/>
        <s v="MARIA TERESA IGLESIAS LARRIBA"/>
        <s v="ENCARNACIÓN MUÑOZ RAMÍREZ"/>
        <s v="JOSEFINA GONZALEZ SANTANA"/>
        <s v="MARIA DEL CARMEN  FRANCO SUAREZ"/>
        <s v="ANA MARIA REINO MARTINEZ"/>
        <s v="PURIFICACION CARBALLEDO GOMEZ"/>
        <s v="MANUELA NAVARRO RODAS"/>
        <s v="MARIA JESUS SANCHEZ PONGA"/>
        <s v="MARIA LUISA MUÑOZ GARCIA"/>
        <s v="MOISES  MARTIN ANAYA"/>
        <s v="MARIA DEL CARMEN CARRICAJO GARRIDO"/>
        <s v="VICENTE SANZ SANZ"/>
        <s v="ISABEL GARCIA MARTIN"/>
        <s v="MARIA DEL CARMEN GIL MESA"/>
        <s v="MARIA ISABEL PARRA ORTEGA"/>
        <s v="ANTONIO HERNANDEZ GOMEZ"/>
        <s v="DAMASO GARCIA CLEMENTE"/>
        <s v="EVARISTO BLAZQUEZ RAMIRO"/>
        <s v="TERESA PASTOR PLAZA"/>
        <s v="VICENTE MORANT SUSPEDRA"/>
        <s v="LIOUDMILA MAMMERI"/>
        <s v="MARGARITA WIC COLLADO"/>
        <s v="CARLOS BAJO REVENGA"/>
        <s v="MARIA LUISA ALVAREZ ABEILHE"/>
        <s v="ANTONIO LUQUE CARRIQUE"/>
        <s v="JESUS MARTINEZ BENAVIDES"/>
        <s v="MARIA TERESA RICO NAVARRO"/>
        <s v="JIANQING WANG"/>
        <s v="MARIA DEL CARMEN LOPEZ NOGALES"/>
        <s v="MARIA CARMEN GALERA UROZ"/>
        <s v="TERESA VERA ARCONADA"/>
        <s v="MARIA CARMEN MOLINERO RUPEREZ"/>
        <s v="MARIA VICTORIA PAOLA REMIRO"/>
        <s v="MANUEL GONZALEZ GRANADOS"/>
        <s v="EMILIA MARTI ESTRICH"/>
        <s v="JOSE RAFAEL LABRADOR RECIO"/>
        <s v="MARIA ANGELES COZAR GARCIA"/>
        <s v="SABRINA ORTS MESTRE"/>
        <s v="DOLORES CARRILLO RUBIO"/>
        <s v="MANUEL BAÑOS SAURA"/>
        <s v="SABINO MUÑOZ PULIDO"/>
        <s v="ESTEBAN LUIS  BERMEJO BLAS"/>
        <s v="FRANCISCA SEGURA LOZANO"/>
        <s v="TERESA OVEJERO SANCHEZ"/>
        <s v="MIGUEL GARCIA VAZ-ROMERO"/>
        <s v="ELVIRA FERRO FUENTES"/>
        <s v="LORENZO CORRAL BENITEZ"/>
        <s v="JESUS ORTEGA NIETO"/>
        <s v="ANTONIO MONTERO LAGUNA"/>
        <s v="MARIA PEREZ SANCHEZ"/>
        <s v="ROSA MARIA MARTINEZ MARTINEZ-AEDO"/>
        <s v="JOSE DANIEL GARZON GARZON"/>
        <s v="MARIA DEL CARMEN SALAMANCA DE LA FUENTE"/>
        <s v="MARIA DEL CARMEN  ARROYO CASTRO"/>
        <s v="PABLO MARIN ALCALDE"/>
        <s v="EUGENIO GARCIA DE LA FUENTE"/>
        <s v="ANTONIO MARIA SERRANO SANCHEZ VILLACAÑAS"/>
        <s v="ANA CANCELO LARIOS"/>
        <s v="ANTONIO MORAL VILA"/>
        <s v="SEGUNDO IGLESIAS MACIAS"/>
        <s v="JUAN SUEIRO BAL"/>
        <s v="JOSE MATUD BONEL"/>
        <s v="ANA MARIA GOMEZ CARRION"/>
        <s v="MARIA DE LOS ANGELES PEREZ GARRIDO"/>
        <s v="MILAGROS ESTEVEZ ALVAREZ"/>
        <s v="VICENTE ANTONIO LLORET LLINARES"/>
        <s v="MARI PAZ FERNANDEZ ZAFRA"/>
        <s v="JESSICA GARCIA LOPEZ"/>
        <s v="MARIA DEL PRADO  GARCIA MUÑOZ"/>
        <s v="ROSA MARIA MONTERO CAMPOS"/>
        <s v="MANUEL SALGUEIROS ALVAREZ"/>
        <s v="JESUS NOMBELA PEREZ"/>
        <s v="JULIAN PINEL MORON"/>
        <s v="ROSARIO  SANCHEZ-CAMBRONERO GONZÁLEZ-CARRATO"/>
        <s v="ISABEL MIRANDA CANO"/>
        <s v="ENRIQUE VEGA PASCUAL"/>
        <s v="JOSÉ AGUSTIN CLEMENTE MARTÍNEZ"/>
        <s v="MARIA FUENTES ZAMORA"/>
        <s v="CATALINA CASTILLO RUBIO"/>
        <s v="JUAN LUIS RAMIL MORENO"/>
        <s v="MARGARITA MARTIN FERNANDEZ"/>
        <s v="JUAN CARLOS MARTÍN BARRENO"/>
        <s v="MARIA LUISA RAMIREZ GARCÍA"/>
        <s v="LILIANA ADRIANA LA ROSA CASTRO"/>
        <s v="ISABEL BLAS BERROCAL"/>
        <s v="AMABLE FRAILE MARCOS"/>
        <s v="CELIA PARADA BARREIRO"/>
        <s v="JAVIER RIO RODRIGUEZ"/>
        <s v="MARIA ISABEL OLLERO VIVAS"/>
        <s v="JOSE AMBROSIO RUANO MULAS"/>
        <s v="ANGEL MOSQUERA MAYOR"/>
        <s v="MARIA JOAQUINA BORREGO LASO"/>
        <s v="VICTORIA GARCIA BLANCO"/>
        <s v="MERCEDES ARRIBAS VAL"/>
        <s v="CASEMIRO CAMBERO MUÑOZ"/>
        <s v="MARIA PILAR GUTIERREZ PELAEZ"/>
        <s v="MARIA DEL CARMEN ASENSIO FERRERO"/>
        <s v="ELIDIA MANCEÑIDO LOPEZ"/>
        <s v="MERCEDES PEREZ FERNANDEZ"/>
        <s v="SHEILA FERNANDEZ HERRERO"/>
        <s v="EMILIO ALVAREZ RAMON"/>
        <s v="MARIA CARMEN CASERO ARIAS"/>
        <s v="MIGUEL ANGEL GARCIA HERRERO"/>
        <s v="MARIA JOSEFA BLANCO BLANCO"/>
        <s v="MARIA FILOMENA SUAREZ GARCIA"/>
        <s v="FERNANDEZ MARTINEZ CARMEN"/>
        <s v="NATALIA CEREZO SOLA"/>
        <s v="ANICETO ARIAS GONZALEZ"/>
        <s v="ROSARIO ZAMORANO CABO"/>
        <s v="JOSE ANTONIO DE TORRES GRADO"/>
        <s v="HORTENSIA SANCHEZ MORETA"/>
        <s v="MARIA JESUS ARRIBAS ABRIL"/>
        <s v="MARIA GARCIA SINDE"/>
        <s v="JUANA MARIA ESTEBAN FLECHA"/>
        <s v="CARMEN DEL ROSARIO MORENO GARCIA"/>
        <s v="DIEGO FELIX CAMPOS"/>
        <s v="EVA MARIA HERNANDEZ RODRIGUEZ"/>
        <s v="MARIA VICTORIA GIRALDA PEREZ"/>
        <s v="MANUEL OTERO REY"/>
        <s v="JUAN MARIA ANTEQUERA SABORIDO"/>
        <s v="PEDRO SANZ GARCIA"/>
        <s v="MANUEL VIDAL RODRIGUEZ"/>
        <s v="MARIA DIVINA CLARO PAZOS"/>
        <s v="MIGUEL ANGEL LOPEZ MAURICIO"/>
        <s v="EUSEBIO SANTAMERA GUIJARRO"/>
        <s v="FRANCISCO DIAZ SANCHEZ"/>
        <s v="IRENE CALVO SANCHEZ"/>
        <s v="MARIA ANGELES SANCHEZ SEGOVIA"/>
        <s v="TATIANA RIBERO MENDOZA"/>
        <s v="JOSEFA REINOSO CANGADO"/>
        <s v="JULIA ACEITUNO ACEITUNO"/>
        <s v="MARÍA DOLORES GARCÍA TUDELILLA"/>
        <s v="JOSE PRIETO CUESTA"/>
        <s v="JUAN ABANADES BENITO"/>
        <s v="DIGNA GOMEZ GRANDE"/>
        <s v="JOSEFA BRETAÑA PROL"/>
        <s v="DAVID ROS MELLADO"/>
        <s v="JUAN CARLOS SEVILLA VICEDO"/>
        <s v="MARIA DEL CARMEN GARCIA NIETO"/>
        <s v="PALMIRA DE LA FUENTE ALONSO"/>
        <s v="JOSE FROILAN SOLANS SERRANO"/>
        <s v="MIGUEL FUERTES ESCRICHE"/>
        <s v="JOSE HERNANDEZ QUERO"/>
        <s v="CONCEPCIÓN DIAZ TORRES"/>
        <s v="BORIS BURMAKIN"/>
        <s v="MARIA ROSARIO ORDAX MENDEZ"/>
        <s v="LUIS PASTOR SUAREZ"/>
        <s v="JOSE MARIA PALOMINO GOMEZ"/>
        <s v="VICENTE NOVOA MARTINEZ"/>
        <s v="MARIA ISABEL GIL GAMERO"/>
        <s v="ROSARIO SALCEDO ORTEGA"/>
        <s v="Mª ISABEL ANDRES CUADRADO"/>
        <s v="SANTIAGO GARCIA HERRANZ"/>
        <s v="LONGINA MORENO GARZON"/>
        <s v="JACINTO MATEOS MATEOS"/>
        <s v="MARÍA LUZ JUNCO DAVILA"/>
        <s v="MARIANO GARCÍA GRANADO"/>
        <s v="FERNANDO GAYOSO RODRIGUEZ"/>
        <s v="ROMEO ISIDRO ALARIN"/>
        <s v="EMILIA CASTELLANOS SERRANO"/>
        <s v="ENRIQUE VILARIÑO OURO"/>
        <s v="JOAQUINA SANCHEZ CHAPARRO"/>
        <s v="JOSEFA TENA VALDIVIA"/>
        <s v="GLORIA TRIGO BRICIOS"/>
        <s v="ESPERANZA BAUTISTA FRANCO"/>
        <s v="ROSWITHA ZOCH"/>
        <s v="CARMEN RICO CABEZUELO"/>
        <s v="MARIA DEL CARMEN LEON COBOS"/>
        <s v="ANDRES PEREZ SOLIER"/>
        <s v="RAQUEL TABUENCA IZQUIERDO"/>
        <s v="JOSEFINA APARICI PUCHE"/>
        <s v="CARMEN CASTELO CEIDE"/>
        <s v="MARIA ANGELES COLLANTE PORTILLO"/>
        <s v="SAGRARIO DIAZ MARTIN"/>
        <s v="MANUEL BERISO GARCIA"/>
        <s v="TRINIDAD RUFINO CHARLO"/>
        <s v="ENCARNA MUÑOZ BAREA"/>
        <s v="VICENTE VILLA ROMERO"/>
        <s v="INES MUÑOZ BORRELLA"/>
        <s v="MARI SOL MORGADO GONZALEZ"/>
        <s v="JOSE MARIA AGUADO MARTINEZ"/>
        <s v="ANGELES LOBO SANCHA"/>
        <s v="ALICE PATRICIA SPILLARS"/>
        <s v="MIGUEL ESPINOSA HIDALGO"/>
        <s v="RAFAEL CUBERO DIAZ"/>
        <s v="MARIA CRISTINA SENOSIAIN JIMENO"/>
        <s v="AURORA GARCIA PIÑERA"/>
        <s v="JUANA MARIA OLMOS HENAREJOS"/>
        <s v="EMILIA BENEYTO MELIA"/>
        <s v="SAMUEL OLIVERA BARRUECO"/>
        <s v="Mª ANGELES MORENO MEDINA"/>
        <s v="MARIA CONCEPCION CABRERA AGUDO"/>
        <s v="MARIA DEL CARMEN ANTON RODRIGUEZ"/>
        <s v="ESTEBAN GUTIERREZ DIAZ"/>
        <s v="SALVADOR AGUILAR GARCIA DE LAS HIJAS"/>
        <s v="ELENA GONZALEZ PRIETO"/>
        <s v="JUANA VAZQUEZ SALGUERO"/>
        <s v="MANUEL AMADO VAZQUEZ"/>
        <s v="RAMONA ALCALDE BLANCO"/>
        <s v="ISABEL MARTINEZ GRANIZO"/>
        <s v="MERCEDES MORENO LEAL"/>
        <s v="EMILIA GIRONDO ESPIN"/>
        <s v="CARMEN PEREZ TOUBES"/>
        <s v="MARIA JOSEFA ROMERO MARTIN"/>
        <s v="ROGELIO MOLARES LAGO"/>
        <s v="FRANCISCA BAYARRI GRESA"/>
        <s v="VINCENT PAUL REID"/>
        <s v="JUAN ANTONIO FERNANDEZ SANCHEZ"/>
        <s v="ANGELA DE LA CRUZ"/>
        <s v="PILAR LAZARO PRIETO"/>
        <s v="CONSUELO ZARATE GALLEGO"/>
        <s v="EMILIO NUÑEZ MARTINEZ"/>
        <s v="ELENA CUEVAS GOMEZ"/>
        <s v="MARIA DOLORES GIL SANCHEZ"/>
        <s v="PRISCILIANO DE LUCAS SAN FELIPE"/>
        <s v="ELISA FAZ MARTINEZ"/>
        <s v="MANUEL ALLO QUINTANS"/>
        <s v="JUAN MIGUEL SARGANELLA CASTELLO"/>
        <s v="MANUEL ADOLFO FERNANDEZ FERNANDEZ"/>
        <s v="SORIA MEHANNEK"/>
        <s v="ANA MARIA ROIG MARI"/>
        <s v="ETELVINA FERNANDEZ RODRIGUEZ"/>
        <s v="EUSEBIO ROSAS GONZALEZ"/>
        <s v="MARIA DOLORES CESPEDES RUBIO"/>
        <s v="ENCARNACION GARCIA BALIBREA"/>
        <s v="MARIA VICTORIA LOPEZ PIREZ"/>
        <s v="MARIA TERESA MARTI MARTI"/>
        <s v="MARIA MARCO PEINADO"/>
        <s v="VENANCIA GONZALEZ RODRIGUEZ"/>
        <s v="MARIA JOSEFA DEL POZO GIBAJA"/>
        <s v="JOSE BENITO BLANCO RAMOS"/>
        <s v="VERONICA GOMEZ SANCHEZ"/>
        <s v="MONTAÑA MENDOZA IGLESIAS"/>
        <s v="PLACIDA DURAN GARCIA"/>
        <s v="PEDRO SAAVEDRA RODRIGUEZ"/>
        <s v="MARIA DEL PILAR MORALES BUENO"/>
        <s v="CARMEN GARCIA-CAMBA DE LA MUELA"/>
        <s v="BLANCA RUIZ ADANERO"/>
        <s v="ANGEL ALARCON ESCUDERO"/>
        <s v="MARIA MILAGROS DEL CAMPO DEL CAMPO"/>
        <s v="JUAN GOMEZ TOLOSA"/>
        <s v="JUAN ZARAGOCI IBORRA"/>
        <s v="MARIA GARRIDO SANCHA"/>
        <s v="MARIA PAZ SAEZ MEDIERO"/>
        <s v="EMILIO GONZALEZ LOPEZ"/>
        <s v="MAGDALENA RECASENS FALOMIR"/>
        <s v="MARIA LUISA TARDAGUILA CEPERO"/>
        <s v="EDUARDO PALOMINO RIOS"/>
        <s v="AUREA MANUELA PALACIOS RODRIGUEZ"/>
        <s v="ANTONIA PRO DELGADO"/>
        <s v="ASCENSION VIDAL MATEO"/>
        <s v="REBECA MARIÑO ALONSO"/>
        <s v="JOSE TABOADA BERNANDEZ"/>
        <s v="ANTONIA RODRIGUEZ CANTON"/>
        <s v="PIO PAJARES GARRAPUCHO"/>
        <s v="JESUS IBAÑEZ RUAN"/>
        <s v="LOURDES PINAR CUARTERO"/>
        <s v="BENITO PEREZ PEDRAZA"/>
        <s v="ASCENSION MORA DUQUE"/>
        <s v="CONSOLACIÓN BARROSO TRIGUERO"/>
        <s v="JACINTA CRISOSTOMO MARTIN"/>
        <s v="MARIA SAGRARIO CALVO GUTIERREZ"/>
        <s v="LUISA PASCUA CORBATON"/>
        <s v="MARIA JESUS SANCHEZ ESPINOSA"/>
        <s v="MARGARET ROSE WORMINGTON"/>
        <s v="JESUS GUERRA LESMES"/>
        <s v="MARIA JESUS VAZQUEZ JIMENEZ"/>
        <s v="PILAR NOGALES LARA"/>
        <s v="EMPAR DE LANUZA HURTADO"/>
        <s v="JOSE SANCHIS TROBAT"/>
        <s v="MARIA CARMEN GOMEZ IBAÑEZ"/>
        <s v="JOSE FERREIRO DAPIA"/>
        <s v="MARIA DOLORES MESANAT MARTIN"/>
        <s v="VALLE GARCIA RIVERA"/>
        <s v="FRANCISCO MOLLA BAÑON"/>
        <s v="José Maria García Garrido"/>
        <s v="MANUEL GARCÍA SÁNCHEZ"/>
        <s v="MARIA GONZÁLEZ MURCIA"/>
        <s v="MARIA ALVAREZ CARPEÑO"/>
        <s v="MATIAS MONTOYA URBANO"/>
        <s v="BRUNO FRANCES GIMENEZ"/>
        <s v="JUANA ALICIA CASTAÑERA REINHART"/>
        <s v="MANUEL SEVERA FERRANDIS"/>
        <s v="REMEDIOS MEDINA ALENDA"/>
        <s v="ROSA VILA GRANCHA"/>
        <s v="TRINIDAD GARCIA CAPPA"/>
        <s v="VIRTUDES RUBI LOPEZ"/>
        <s v="EDUARDO MANUEL MATEOS FRIAS"/>
        <s v="AGUSTIN ZURERA RUBIO"/>
        <s v="JESUS ÁNGEL UBEDA MARTINEZ"/>
        <s v="MARIA DEL CARMEN ALSINA SANTAEUGENIA"/>
        <s v="ANTONIO BECERRIL LEON"/>
        <s v="MIGUEL ANGEL BOLAÑOS LOSADA"/>
        <s v="SUSAN MANNION"/>
        <s v="CRISTINA MORENO GOMEZ"/>
        <s v="ANGELICA  PORTELA GIRON"/>
        <s v="JOSE VICENTE LARA VILLENA"/>
        <s v="JUAN  PINTOR MOGENA"/>
        <s v="LAUREANO VIDAL LOPEZ"/>
        <s v="LUIS FERNANDEZ ALEGRIA"/>
        <s v="JACINTA CORISCO BENITO"/>
        <s v="JULIA VAQUERO GARCIA"/>
        <s v="MARIA INMACULADA  GALLARDO GINES"/>
        <s v="ORENCIO HERNANDEZ GALINDO"/>
        <s v="FRANCISCA MATEOS MONTES DE OCA"/>
        <s v="ANTONIA MORENO RODRIGO"/>
        <s v="ISIDORA ESCRIBANO MARTINEZ"/>
        <s v="MATEA NIEVA VALIENTE"/>
        <s v="RAFAEL MADERO ESCUDERO"/>
        <s v="VISITACION  SANCHEZ VALLADARES PEDRAZA"/>
        <s v="FEDERICO ESCUSOL PUIGGENE"/>
        <s v="LOURDES LARA BLANCO"/>
        <s v="MARIA PILAR NANCLARES PEREZ"/>
        <s v="PETRA VILLASCORNA PASCUAL"/>
        <s v="MARIA LUISA SOBRADO GAY"/>
        <s v="EMILIANA NIETO HORNERO"/>
        <s v="HELIODORA MUÑOZ IRIEPAR"/>
        <s v="JOSE LUIS GOMEZ DE SEGURA"/>
        <s v="MARIA ROSA VEGA OTERO"/>
        <s v="ANTONIO  MARTÍNEZ ARMENTEROS"/>
        <s v="ALEJANDRO  GOMEZ PRETOLINO"/>
        <s v="ALVARO ESPINOSA DE LOS MONTEROS BANEGAS"/>
        <s v="CARMEN MARTIN ROJO"/>
        <s v="LUIS SOLANCE MARTINEZ"/>
        <s v="MARCELO STERNBERG"/>
        <s v="MARIA DEL CARMEN MARTINEZ BRELL"/>
        <s v="MARIA JESUS SOLORZANO BARGA"/>
        <s v="ANA MARIA LINDEZ MARTINEZ"/>
        <s v="ANTONIO FRANCISCO AQUINO HERRERA"/>
        <s v="DOLORES AURELIA  LOPEZ SANCHEZ"/>
        <s v="FRANCISCA FERNANDEZ CASTELLANOS"/>
        <s v="JOSEFA HERNANDEZ SANCHEZ"/>
        <s v="MARIA CONCEPCION OVEJA SANCHEZ"/>
        <s v="MARIA CRISTINA GARCIA RODRIGO"/>
        <s v="RAFAEL MENA MORENO"/>
        <s v="TERESA GALINDO SERRANO"/>
        <s v="DOMINGO DOS SANTOS FERREIRA"/>
        <s v="JOSE FELIX JIMENEZ MORENO"/>
        <s v="MARIA JESUS ESCOBEDO SAIZ"/>
        <s v="ROCIO LOPEZ PRIETO"/>
        <s v="VICTORINO OLLOQUI GARCIA"/>
        <s v="CARMEN  GARCIA TOLOBA"/>
        <s v="KENIA MERCEDES MERCEDES"/>
        <s v="PILAR QUEJIGO TORRES"/>
        <s v="CARIDAD GONZALEZ PELLICER"/>
        <s v="ISABEL PACHECO COBARRO"/>
        <s v="JOSEFA BEATRIZ MARIN EGEA"/>
        <s v="JOSEFA ROS BELTRAN"/>
        <s v="JUAN TEODORO BAÑO FRANCO"/>
        <s v="SONIA MARTINEZ MARTINEZ"/>
        <s v="ELSA IRENE SANDBERG"/>
        <s v="CARMEN PIÑIERO CONDE"/>
        <s v="DELMIRO CABIDO LEDO"/>
        <s v="FERNANDO BLANCO GONZALEZ"/>
        <s v="JULIO FERNANDEZ RAPELA"/>
        <s v="TERESA ROMERO VASQUEZ"/>
        <s v="EMILIANA RAYACES CURIEL"/>
        <s v="ANTONIA MARIA TARRAGA HERNANDEZ"/>
        <s v="MARIA ANGELES SOTO GALINDO"/>
        <s v="XOSÉ SIGNIORINI PEREZ"/>
        <s v="CARMEN PECE HERNANDEZ"/>
        <s v="MANUEL CARCELA GARCIA"/>
        <s v="MANUELA CAMPOS DEL CAMPO"/>
        <s v="MARCOS PASTOR PINILLOS"/>
        <s v="MARIA ISABEL VALIENTE FABERO"/>
        <s v="MERCEDES CAMPOS MORON"/>
        <s v="MARÍA DEL PRADO JIMENEZ BLANCO"/>
        <s v="PEDRO SANCHEZ MARTIN"/>
        <s v="DAVID FLORES BARRIGA"/>
        <s v="GEMA ATIENZA PARRADO"/>
        <s v="NARCISO ROMERO BAONZA"/>
        <s v="FRANCISCO  TARREGA GONZALEZ"/>
        <s v="FELIPE PEREZ NOVELLA"/>
        <s v="FERNANDO MIGUEL LEAL FERNANDEZ"/>
        <s v="FRANCISCO GARCIA MORATA"/>
        <s v="MIGUEL CERVERA SANZ"/>
        <s v="SALVADOR MARIN GARCIA"/>
        <s v="VIRGINIA DEL PINO GRACIA"/>
        <s v="CARMEN CORCOLES MARCOS"/>
        <s v="JOSE LAFONT MARTINEZ"/>
        <s v="ROCIO DOMINGUEZ DOMINGUEZ"/>
        <s v="VICENTE FERRER PILES"/>
        <s v="DIEGO LOPEZ GARCIA"/>
        <s v="MANUELA PAJUELO VALSERA"/>
        <s v="JUANA SAAVEDRA TODON"/>
        <s v="AGUSTIN RODRIGUEZ FLORES"/>
        <s v="TERESA DOSUNA SANCHEZ"/>
        <s v="JOSEFA GONZALEZ  SANTAMARIA"/>
        <s v="CONSTANTINA ARCOS REY"/>
        <s v="FELIX NAVARRO PECELLIN"/>
        <s v="MARIUA MAGDALENA FRAGOSO MONGE"/>
        <s v="AGUSTINA QUEVEDO LOPEZ"/>
        <s v="MARIA DE LOS ANGELES GALAN SERRANO"/>
        <s v="MARIA ISABEL ANTON MARTIN"/>
        <s v="JULIA SABRINA BENAVENTE SANCHEZ"/>
        <s v="ANTONIA GARCIA SORIA"/>
        <s v="ANTONIA GONZALEZ AGUILAR"/>
        <s v="MARIA JOSEFA LOPEZ CASADO"/>
        <s v="DOLORES AVILA SOLIS"/>
        <s v="LUIS DIEZ HERNANDEZ"/>
        <s v="MARIA DEL CARMEN GARCIA ESPINILLA"/>
        <s v="PIEDAD FERNANDEZ ALFONSO"/>
        <s v="JOSEFA CABRA LUQUE"/>
        <s v="EUTIMIO MARTIN MARTIN"/>
        <s v="SARA GARCIA BRIZUELA"/>
        <s v="CARMEN CORZO SIERRA"/>
        <s v="MARIA LUISA VILLARROEL DURAN"/>
        <s v="CONCEPCION TARRIO VAZQUEZ"/>
        <s v="MANUEL GAITEIRO FERNANDEZ"/>
        <s v="MARCELO PEREZ PANIZO"/>
        <s v="ALBERTO LOPEZ NIETO"/>
        <s v="JOSE ANGEL LAIÑO ROMERO"/>
        <s v="SERAFIN SIERRA CARRIL"/>
        <s v="ARGENTINA LOPEZ LAZARO"/>
        <s v="FELIX MOLPECERES TOLEDO"/>
        <s v="MARIA TERESA FAILDE GARCIA"/>
        <s v="ISMAEL SANCHEZ BRIZ"/>
        <s v="MARIA DE LOS ANGELES LANZAROTE SASTRE"/>
        <s v="CESAR AUGUSTO CRUZ MANZANERO"/>
        <s v="CRUZ MARIN TORAL"/>
        <s v="ANA ORTS MAS"/>
        <s v="DIEGO CRUZ GILBERT"/>
        <s v="ELVIRA GALINDO CARRETERO"/>
        <s v="MARIA DEL CARMEN LORENZO MANGAS"/>
        <s v="VICENTE VARO BUTRON"/>
        <s v="LAURA CRUZ FERNANDEZ"/>
        <s v="INMACULADA MARCOS MANTECA"/>
        <s v="JOSE CINCUNEGUI ABASCAL"/>
        <s v="BEATRIZ FERNANDEZ MONTERO"/>
        <s v="GILMA CARDONA ECHEVERRY"/>
        <s v="HERMINIA TEJERO OVEJERO"/>
        <s v="LUIS AUNION CARRETEROS"/>
        <s v="MERCEDES  JIMENEZ FUENTES"/>
        <s v="TEODORA GARCIA GARCIA"/>
        <s v="TERESA RUIZ SANTOS"/>
        <s v="ALICIA RODRIGUEZ MARTIN"/>
        <s v="ANTONIO GUTIERREZ FERNANDEZ"/>
        <s v="JOSE MARIA REDONDO GARCIA"/>
        <s v="MARIA JOSE LOPEZ MONZON"/>
        <s v="Joan Masana Argeric"/>
        <s v="Maria Dolores Edo Torner"/>
        <s v="Maria José Durán Marín"/>
        <s v="ANGELES ROBLE RIQUELME"/>
        <s v="ANGEL RODRIGUEZ FINEZ"/>
        <s v="MARIA BELINCHON FERNANDEZ"/>
        <s v="ALEJANDRA LOPEZ-LASO"/>
        <s v="CRISTINA GONZALEZ LOPEZ"/>
        <s v="MANUEL CORNES CASAL"/>
        <s v="TERESA FERNANDEZ VITERI"/>
        <s v="CARLOS  ARIAS DE LA TORRE"/>
        <s v="JOSEFA  GINZO FERNANDEZ"/>
        <s v="ALICIA HALPERIN CHERVIN"/>
        <s v="ANTONIA GONZALEZ GONZALEZ"/>
        <s v="GLORIA ROLDAN MACHON"/>
        <s v="ROSARIO JUANINO BARRIO"/>
        <s v="FERNANDO PRECIADO SANTAMARIA"/>
        <s v="ISABEL RODRIGUEZ MORA"/>
        <s v="MÓNICA DE LA MORA"/>
        <s v="SANTIAGO  GOMEZ RAMOS"/>
        <s v="ANTONIO VILLODAS SANCHEZ"/>
        <s v="GIUSEPPE LA ROSA NATIVO"/>
        <s v="MARIA DEL CARMEN RUEDA OLIVA"/>
        <s v="MARIAN ELISABET MACCOLL SPROULE"/>
        <s v="ANGEL LUIS MARTINEZ SANCHEZ"/>
        <s v="ANTONIO JESUS VALENZUELA VERA"/>
        <s v="BEGOÑA  SERRANO MAÑUECO"/>
        <s v="CAYETANO DIAZ PEREZ"/>
        <s v="JOSE LUIS  GUERRERO ESTEBANEZ"/>
        <s v="JUAN MANUEL LOPEZ MOMPEÁN"/>
        <s v="AMPARO MARTIN GONZALEZ"/>
        <s v="CATALINA BALLESTEROS DE ANA"/>
        <s v="JUAN ANTONIO GUTIERREZ LOPEZ"/>
        <s v="MONSERRAT LOPEZ CARRASCOSA"/>
        <s v="NATIVIDAD SANCHO MALMIERCA"/>
        <s v="SANTOS MORENO BLAZQUEZ"/>
        <s v="TERESA PAJE CORREDOR"/>
        <s v="MARIA ANGELA ESPERALTA GUTIERREZ"/>
        <s v="MARIA JESUS RODRIGUEZ-BOBADA ROJAS"/>
        <s v="MARIA PIEDAD GOMEZ NUÑEZ"/>
        <s v="NELA ROSA FERNANDEZ BLOISE"/>
        <s v="PILAR JIMENEZ MARTIN"/>
        <s v="JOSE MARIA MOLINA GARCIA"/>
        <s v="MARIA CARMEN RODRIGUEZ FRIAS"/>
        <s v="AURORA VELASCO OJALVO"/>
        <s v="JOSE JAVIER  CAMPOS SIERRA"/>
        <s v="ANGELICA MARINA MERCHAN CARMONA"/>
        <s v="ANTONIA ESTEBAN SANCHEZ"/>
        <s v="CARMEN CAYUELA MAIQUEZ"/>
        <s v="CARMEN LOPEZ MEDINA"/>
        <s v="FRANCISCO MENDEZ APARICIO"/>
        <s v="ISABEL FERNANDEZ DE MAYA"/>
        <s v="LUISA MARIA GRECH MONTORO"/>
        <s v="TERESA NOGUERA SANCHEZ"/>
        <s v="ALEXANDRA PHILLIPS"/>
        <s v="ANTONIO FERNANDEZ GONZALEZ"/>
        <s v="MARIA GUTIERREZ BIOSCA"/>
        <s v="MARTHA GLORIA HOLT"/>
        <s v="PETER STANLEY BURROUGH"/>
        <s v="STEPHEN FRASER"/>
        <s v="CLAUDINA CARBALLO IGLESIAS"/>
        <s v="JUAN GONZALEZ GONZALEZ"/>
        <s v="MANUEL NIETO FORMOSO"/>
        <s v="MARIA DEL CARMEN NOBOA BLANCO"/>
        <s v="MARIA INES RODRIGUEZ GARCIA"/>
        <s v="PABLO MANZANO IGLESIAS"/>
        <s v="PILAR FEIJOO GONZALEZ"/>
        <s v="FRANCISCA MARTINEZ PEREZ"/>
        <s v="ISABEL GARCIA BALSALOBRE"/>
        <s v="JOSE ANTONIO ABAD MARTINEZ"/>
        <s v="JUANA PEREZ ROMERO"/>
        <s v="PILAR SANCHEZ ZAPLANA"/>
        <s v="ROSARIO RAMOS PARDO"/>
        <s v="TERESA BAILO RECH"/>
        <s v="ELISEO POMBO OTERO"/>
        <s v="JESUS TURNES MANSILLA"/>
        <s v="LUZ DIVINA NUÑEZ FERNANDEZ"/>
        <s v="PALOMA CASTRO REY"/>
        <s v="ADRIAN MARTINEZ MORENO"/>
        <s v="CARMEN RAMIREZ MASERA"/>
        <s v="FIDEL GAYOSO GOMEZ"/>
        <s v="JUAN JOSE PEREZ LAGARES"/>
        <s v="JUTTA HUMKE RODER"/>
        <s v="LUISA RUBIO TORO"/>
        <s v="MARIA DEL CARMEN MUÑOZ BRUÑ"/>
        <s v="FRANCISCA BLANCO SIERRA"/>
        <s v="MARIA LUISA GARCIA VAZQUEZ"/>
        <s v="ANGELES DEL CASAR SERRANO"/>
        <s v="MARIA CRUZ LOPEZ LOPEZ"/>
        <s v="DAVID GALLEGO DE LA SACRISTANA"/>
        <s v="ELIECER DIMAS DE MIGUEL"/>
        <s v="Francisco Gual Nadal"/>
        <s v="Leunus   Straub"/>
        <s v="RICARDO SALVADOR CERVERA MARTINEZ"/>
        <s v="ANTONIO RIOS MAIRENA"/>
        <s v="CARMEN CABEDO GISBERT"/>
        <s v="DOLORES ARANDA TORRES"/>
        <s v="MARTA ARAGON FERNANDEZ"/>
        <s v="MARIA CONCEPCION (CONCHI) MENDEZ FERNANDEZ"/>
        <s v="SERGIO BLAZQUEZ CALDERON"/>
        <s v="VICENTE AVILA REPISO"/>
        <s v="JUAN JOSE CAMPELO SUAREZ"/>
        <s v="MARIA DOLORES GOMEZ PALLETE RIVAS"/>
        <s v="CARMELO MENA ARRANZ"/>
        <s v="LUCAS GARCIA MICHARET"/>
        <s v="MARIA SOLEDAD SAENZ CHACON"/>
        <s v="ELENA ELISEI"/>
        <s v="GABRIEL MARQUEZ MENDEZ"/>
        <s v="FRANCISCO LUCAS PEÑA"/>
        <s v="MARINA GLORIA BARREIRO RODRIGUEZ"/>
        <s v="PAULINO SANGUINO RAMOS"/>
        <s v="CARLOS AYMERICH GONZALEZ"/>
        <s v="MARIA PILAR SANCHEZ JIMENEZ"/>
        <s v="OFELIA RODRIGUEZ FERNANDEZ"/>
        <s v="JOSEFA FREAZA LAGO"/>
        <s v="HERADIO MEDINA ROJAS"/>
        <s v="AMANDIO ANJOS PEREIRA MESQUITA"/>
        <s v="JOSE MARIA BRAVO PEÑA"/>
        <s v="ANDRES SUAREZ PEREZ"/>
        <s v="CARMEN MARIN PEREZ"/>
        <s v="FLORENTINO SALO CUCALON"/>
        <s v="JOAN ESTEBAN BONCOMPTE SAZ"/>
        <s v="ANGELES CORPA GUZMAN"/>
        <s v="ANTONIO RAMOS SANCHEZ"/>
        <s v="MARIA EUGENIA FRANCISCO GUEDELLA"/>
        <s v="MARIA DEL CARMEN SIEIRA QUINTANS"/>
        <s v="MARIA TERESA RODRIGUEZ MARTINEZ"/>
        <s v="MARIA MONTAÑA REMEDIOS ALBURQUERQUE"/>
        <s v="PALMIRA PRIETO PRIETO"/>
        <s v="ELEASAR OSES NIÑO"/>
        <s v="ALEXANDRA STOTTOR"/>
        <s v="ALVARO MARTIN ANDRES"/>
        <s v="ANTONIA TORRES GUINDEL"/>
        <s v="CARMEN GALLARDO FERNÁNDEZ"/>
        <s v="CARMEN GRANDE RODRIGUEZ"/>
        <s v="CECILIA  PEDRON PASCUAL"/>
        <s v="DIEGO DE INGUNZA DE SANTALUCIA"/>
        <s v="EMILIO JOSE DIAZ-VILA GONZALEZ"/>
        <s v="ENCARNACIÓN  FLORES ALFONSO"/>
        <s v="EUGENIO MERINO MARTIN"/>
        <s v="FELISA PILAR GARCIA BRAVO"/>
        <s v="FRANCISCA MACARENA SEGURA QUESADA"/>
        <s v="FRANCISCA MARTIN MARTIN"/>
        <s v="FRANCISCA VAQUERIZA VAQUERIZA"/>
        <s v="FRANCISCO JAVIER BARRIOS RODRIGUEZ"/>
        <s v="FRANCISCO LORITE CABALLERO"/>
        <s v="FRANCISCO PEREZ BARBERAN"/>
        <s v="FULGENCIO GRANIZO REBOLLO"/>
        <s v="GERMAN VEGA FERNANDEZ"/>
        <s v="INES BESCOS CALVO"/>
        <s v="INES OUBEL SOUTO"/>
        <s v="ISABEL NIETO GARCIA"/>
        <s v="ISIDRO BARBA GALLEGO"/>
        <s v="JACQUELINE DENISE PRIOR"/>
        <s v="JESUS HILARIO GARCIA SANCHEZ"/>
        <s v="JORGE ARTURO ALONSO BERZOSA"/>
        <s v="JOSE ANTONIO MERENCIANO LOPEZ"/>
        <s v="Jose Antonio Polanco Mora"/>
        <s v="JOSE MARIA DE MORETA GARCIA"/>
        <s v="JOSE MARIA MARCELINO SOTILLO TORIJA"/>
        <s v="JOSE RAMON GIL NOVOA"/>
        <s v="JOSEFA ISASIS JUAREZ"/>
        <s v="JOSEFA MARTINEZ SAURA"/>
        <s v="JOSEFA MERINERO BORREGO"/>
        <s v="JOSEFA PEREZ VAYA"/>
        <s v="JOSEFA TORRÓ CAÑIZARES"/>
        <s v="JUAN  REVILLA GOMEZ"/>
        <s v="JUAN ANTONIO GARCIA DEL OLMO"/>
        <s v="JUAN ANTONIO RAMIREZ RAMIREZ"/>
        <s v="JUAN CARLOS PAYA MOLTO"/>
        <s v="JUAN FRANCISCO MUÑOZ RODRIGUEZ"/>
        <s v="JUAN LORENZO SANCHEZ PINO"/>
        <s v="JUAN RAMON PELLICER GARRIDO"/>
        <s v="KARIM AHLMINE"/>
        <s v="LODEWIJK REINIER VAN ROSSUM"/>
        <s v="lucia  CARRASCO ROMAN"/>
        <s v="LUIS BERNAL BERNAL"/>
        <s v="LUISA  GONZALEZ RUEDA"/>
        <s v="MAGDALENA GOMEZ REBOLLO"/>
        <s v="MANUEL FLORES COLLAZOS"/>
        <s v="MARIA DEL CARMEN  VILAMAJO NOLLA"/>
        <s v="MARIA DEL CARMEN FERNANDEZ PATO"/>
        <s v="MARIA DEL CARMEN SUAREZ BONILLA"/>
        <s v="MARIA DEL CASTAÑAR SAAVEDRA CORTES"/>
        <s v="MARIA DEL PILAR DOMINGUEZ SANTISO"/>
        <s v="MARIA JESUS VILLAREAL VILLAREAL"/>
        <s v="MARIA JOSE  GUTIERREZ GUTIERREZ"/>
        <s v="MARIA JOSEFA MARTINEZ SANDÁ"/>
        <s v="MARIA MONTSERRAT GOMEZ CALVO"/>
        <s v="MARINA  MIGUEL DE LA CRUZ"/>
        <s v="MIGUEL DOMINGUEZ CALDERON"/>
        <s v="MIGUEL MARTINEZ BOLIVAR"/>
        <s v="NARCISO GONZALEZ FERRERO"/>
        <s v="OLIMPIA GOMEZ SANCHEZ"/>
        <s v="PEDRO LUIS VALVERDE LOPEZ"/>
        <s v="RAFAEL SEPULVEDA SALIDO"/>
        <s v="REGINE ELISE GORI"/>
        <s v="RICARDO AGREDA"/>
        <s v="RONALDO VARGAS CASTILLO"/>
        <s v="ROSA HERMELINDA AVILA PEREZ"/>
        <s v="SABINA FRESNILLO CUESTA"/>
        <s v="SONSOLES URRUTIA SAUTO"/>
        <s v="TEODORA JIMENEZ RAMOS"/>
        <s v="TERESA CANO MARQUES"/>
        <s v="URBANO JESUS ALEJANDRO JIMENEZ TORRECILLA"/>
        <s v="VICENTE FERNANDEZ FERNANDEZ"/>
        <s v="VITALY VALERKO"/>
        <s v="Mª DEL MAR REBOREDO OTERO"/>
        <s v="MARIA DE LOS ANGELES ALADREN GIL"/>
        <s v="ANGEL RAMON PONTE ROSTRO"/>
        <s v="MARIA FELIX IGLESIAS GONZALEZ"/>
        <s v="IRIA RODRIGUEZ FERNANDEZ"/>
        <s v="JUAN GOMEZ NAVEDO"/>
        <s v="JOSE LUIS ANDREU PUYOL"/>
        <s v="ANGELES MEDINA SANCHEZ"/>
        <s v="JOSE GONZALEZ MARTIN"/>
        <s v="MARIA LUISA GUERRAS HERRAEZ"/>
        <s v="MANUEL CALZADA GIL"/>
        <s v="MARTA VAZQUEZ BLANCO"/>
        <s v="AMALIA TORRADO HERMO"/>
        <s v="CANDIDO HOYAS CAMPOS"/>
        <s v="JUANA MARQUEZ GARCIA"/>
        <s v="BENI CASTELLANOS CESPEDES"/>
        <s v="MARIA DEL PILAR CARCEDO CASARES"/>
        <s v="MATEO MERINO CAMPOS"/>
        <s v="ESPERANZA CRIADO DIAZ"/>
        <s v="CANSINO ANTENOR AYLAS HINOSTROZA"/>
        <s v="MARIA BEGOÑA FERRER DELGADO"/>
        <s v="BEATRIZ JIMENEZ JIMENEZ"/>
        <s v="SALVADOR SANCHEZ CASTILLO"/>
        <s v="MIGUEL ANGEL JIMENEZ DE NICOLAS"/>
        <s v="CICERON CARMELO MORENO ULLOA"/>
        <s v="JORGE MEDRANO WHITE"/>
        <s v="JOSE ANTONIO GONZALEZ CARMONA"/>
        <s v="ANTONIO PALACIO ALLUE"/>
        <s v="CECILIA PEDRON PASCUAL"/>
        <s v="LUISA PEDRAZA CASTEJON"/>
        <s v="JOSE ANTONIO AGUDO TIRADO"/>
        <s v="ISIDORO EGIDIO FERNANDEZ"/>
        <s v="virginia HERAS IGLESIAS"/>
        <s v="ELISA SUAREZ SARDINA"/>
        <s v="FILOMENA DE LA FUENTE BERGON"/>
        <s v="JUAN JOSE RODRIGUEZ GAYO"/>
        <s v="VICTORIA RUBIO BARBA"/>
        <s v="JOSE ANTONIO DE MIGUEL AGUILAR"/>
        <s v="OLGA AMPUERO GALVEZ"/>
        <s v="ANTONIA GARCIA MARTINEZ"/>
        <s v="ANTONIO MIGUEL HERNANDEZ QUEVEDO"/>
        <s v="PAUL TERENCE VICKERS"/>
        <s v="JOSE ALVAREZ SALGADO"/>
        <s v="CHRISTINE CLARK"/>
        <s v="LAURA GÓMEZ ROO"/>
        <s v="ALEJANDRO MONTES BELLIDO"/>
        <s v="JUAN JOSE CAIRE"/>
        <s v="DELIA GARCIA MARTINEZ"/>
        <s v="GLORIA ZULPA"/>
        <s v="JENNY MORALES PEREZ"/>
        <s v="JUAN CARLOS PEÑALVER LLORENS"/>
        <s v="AMPARO GRANCHA MONTOLIO"/>
        <s v="GABRIELA LEO CHAVES"/>
        <s v="ENRIQUE JESUS PEREZ ROMO"/>
        <s v="BENILDE HERNANDEZ MARTIN"/>
        <s v="HERMINIA GARCIA CANEDA"/>
        <s v="CONCEPCION ANTONIA IBAÑEZ MONTERO"/>
        <s v="CARLOS HERRERO DEL CASTILLO"/>
        <s v="ESTHER BLAS RODRIGUEZ"/>
        <s v="SOLEDAD IRUN IRUN"/>
        <s v="Agatona Dimaano"/>
        <s v="ANDRES  IVARS PASTOR"/>
        <s v="ANTONIA BORRAJO OTERO"/>
        <s v="ANTONIO ENRIQUE LAZARO SORIANO"/>
        <s v="AVELINO GARRALOCES BARAHONA"/>
        <s v="CARMEN ALICIA GARCES MORENO"/>
        <s v="CARMEN GOMEZ FERNANDEZ"/>
        <s v="DIONISIA PATON SIMON"/>
        <s v="EDUARDO QUIÑONES ASUERO"/>
        <s v="ELENA MARTINEZ FERNANDEZ"/>
        <s v="ENCARNACION MARTINEZ VILARIÑO"/>
        <s v="FRANCISCO HERNANDEZ BARBERAN"/>
        <s v="GENARO ALVAREZ SALGADO"/>
        <s v="JAIME MATEO GARCIA"/>
        <s v="JESUS HERNANDEZ BAUTISTA"/>
        <s v="JESUS RUA RAMUDO"/>
        <s v="JOSE ANTONIO  MACIAS FALCON"/>
        <s v="JOSEFA BURGOS LAZARO"/>
        <s v="JUDITH VALLILENGUA NOVOA"/>
        <s v="LORENZO BARREDO DIEZ"/>
        <s v="MANUEL  ALVAREZ BURGUE"/>
        <s v="MANUEL GONZALEZ GARCIA"/>
        <s v="MARC JEREMY LAWRENCE"/>
        <s v="MARGARITA TORO GALIANA"/>
        <s v="MARIA DOBLADO RODRIGUEZ"/>
        <s v="MARIA EUGENIA ARBOLEA ARAGONCILLO"/>
        <s v="MARIA RUIZ LETRADO"/>
        <s v="MARITZA ARENAS MUÑOZ"/>
        <s v="MATIAS BELMONTE CARRIQUE"/>
        <s v="MILAGROS RUIZ REQUENA"/>
        <s v="OTILIO DOMINGUEZ FERNANDEZ"/>
        <s v="PIEDAD CARRION SANCHEZ"/>
        <s v="RAMON BUJ BOU"/>
        <s v="RICARDO NICOLAS BERNALES MEZA"/>
        <s v="ROSA OKUYAMA YAMADA"/>
        <s v="ROSA ORTEGA ASINS"/>
        <s v="ROSARIO GONZALEZ SANCHEZ"/>
        <s v="ROSARIO RUIZ MARTIN"/>
        <s v="YOLANDA  CRUZ JIMENEZ"/>
        <s v="YOLANDA DEL HIERRO VELASCO"/>
        <s v="LUCINDA CERDEIRO SUAREZ"/>
        <s v="ANGEL MENDOZA JAMBRINA"/>
        <s v="MANUEL DONAIRE OBREGON"/>
        <s v="CARMEN SANCHEZ LUQUE"/>
        <s v="LUIS MIGUEL CERRO GONZALEZ"/>
        <s v="MARIA ARANZAZU PEREZ GOMEZ"/>
        <s v="JOSE RAMOS FERNANDEZ"/>
        <s v="SANTIAGO CAMARA FLORES"/>
        <s v="ARGIMIRO ALVAREZ ALVAREZ"/>
        <s v="MARI PAZ RODRIGUEZ QUIJADA"/>
        <s v="FELISINDA RAMON ALVAREZ"/>
        <s v="GABRIEL LUIS ARRIBAS MADRID"/>
        <s v="ABELINO DE FRUTOS MATEO"/>
        <s v="JOSE ANTONIO GARCIA VALENCIANO"/>
        <s v="JOSE ANTONIO FERNANDEZ RODRIGUEZ"/>
        <s v="EMILIANO CERRILLO JAREÑO"/>
        <s v="JUANA CATALAN AGUILAR"/>
        <s v="ANTONIO  DURAN GARCIA"/>
        <s v="MARIA LUZ PEREZ SANCHEZ"/>
        <s v="MARIA MERCEDES JIMENEZ SANCHEZ"/>
        <s v="CIARAN BRENDAN BRACKEN"/>
        <s v="YOLANDA BURILLO ADROVER"/>
        <s v="JOSEFINA  MILANES LOPEZ"/>
        <s v="PURIFICACIÓN SANTAMARTA GARCÍA"/>
        <s v="JOSE MOLINA ANGEL"/>
        <s v="GEOFFREY HEATHCOTE"/>
        <s v="JOSE MANUEL  SANZ FAILDE"/>
        <s v="ROSA PONT PASCUAL"/>
        <s v="JOSE LUIS BOIX LOPEZ"/>
        <s v="MARÍA DEL CARMEN GONZALEZ SORIANO"/>
        <s v="PAULA ADELAIDA MARTIN ZAZO"/>
        <s v="BERNARDA GONZALEZ GALARZA"/>
        <s v="MARIA NARVAEZ PUERTO"/>
        <s v="VICENTE MANZANO ZAMORA"/>
        <s v="CARMEN SANCHEZ GARCIA"/>
        <s v="CAROLINA LOZANO IÑIGO"/>
        <s v="TERESA VERA JIMENEZ"/>
        <s v="VICTORINA GOMEZ NEIRA"/>
        <s v="VALENTINA ORTE GONZALEZ"/>
        <s v="CONSTANTINO BURGUE PALMEIRO"/>
        <s v="JULIÁN JUÁREZ RODRÍGUEZ"/>
        <s v="MANUEL TALAVERA MARIN"/>
        <s v="TOMÁS FELGUERAS GARCÍA"/>
        <s v="JULIA FRAILE CORTES"/>
        <s v="MARIA PIEDAD NUÑEZ ORTEGA"/>
        <s v="PILAR RUIZ VECINO"/>
        <s v="ROSA MARIA ALONSO VARELA"/>
        <s v="ROSA MARIA MARTINEZ GUISASOLA"/>
        <s v="DANIEL ANGEL GAMBOA TORRECILLA"/>
        <s v="JUAN ANTONIO DEL RIO JIMENEZ"/>
        <s v="MARIA SOLEDAD GARCIA RUIZ [JOSE CAZORLA DUQUE]"/>
        <s v="PILAR ALONSO VAZQUEZ"/>
        <s v="SANDRA CALVAY MEDINA"/>
        <s v="TOMAS SANTIAGO MONTES"/>
        <s v="CELIA VELLISCO AMODIA"/>
        <s v="MIGUEL MARTINEZ CHIRON"/>
        <s v="BARTOLOME DE JESUS SILVA MACHADO"/>
        <s v="DANIEL VALLADARES PEREZ"/>
        <s v="MARIA DE LAS HUERTAS NAVARRO PEREZ"/>
        <s v="GINES MARIN SANCHEZ"/>
        <s v="JESUS RUIZ MOLINA"/>
        <s v="JOSEFA MARTINEZ GUILLEN"/>
        <s v="BERNARDA FÉLIX CUEVAS"/>
        <s v="CARMELO BERZOZA MONTIEL"/>
        <s v="GUURT GERARDA VERMER KENSELAAR"/>
        <s v="PARVIN HOSSEIN ZADEH"/>
        <s v="DORINDA SALGADO VILA"/>
        <s v="JOSEFA CELESTE GONZALEZ VISPO"/>
        <s v="JUAN CUMBRADO GRANDE"/>
        <s v="ANA MESEGUER HERNANDEZ"/>
        <s v="GONZALO CORRAL BEAS"/>
        <s v="JOSEFA MARTINEZ OSETE"/>
        <s v="CARLOS MOSTEIRO SANCHEZ"/>
        <s v="MARIA DOLORES  COUCEIRO GONZALEZ"/>
        <s v="ALEXIS SALAS GALINDO"/>
        <s v="ELVIRA SANCHEZ MAQUEDA"/>
        <s v="JESUS MEDINA ALADRO"/>
        <s v="JOSE TORO MARISCAL"/>
        <s v="MARIUXI LUCIA TOALA LEON"/>
        <s v="VICENTE SANCHIS BELMONTE"/>
        <s v="MANUEL BENITO RODRIGUEZ"/>
        <s v="PURIFICACION  PASCUAL MORENO"/>
        <s v="ROSA CERQUEDA FONT"/>
        <s v="SOCORRO PRIETO PEREZ"/>
        <s v="AMPARO BRAVO SANCHEZ"/>
        <s v="Angel Martinez de la Casa"/>
        <s v="JUAN LUIS CRUZADO SÁNCHEZ"/>
        <s v="JUAN JOSE SAEZ ALCARRIA"/>
        <s v="PILAR TORTAJADA BELTRAN"/>
        <s v="ROSA MARIA MONZÓ HERRÁN"/>
        <s v="Vicente Martínez Calvo"/>
        <s v="JOSE LUIS LASHERAS MARCO"/>
        <s v="JUAN RAMON SOLER SANTALIESTRA"/>
        <s v="CLOTILDE BALLESTER LAGUNA"/>
        <s v="ANTONIO COELLO ALVAREZ"/>
        <s v="JOSE ANTONIO VILARIÑO ASOREY"/>
        <s v="MARIA DEL PILAR ROBLES LOPEZ"/>
        <s v="DELFINA COSTAS VELAZQUEZ"/>
        <s v="VICTORIA HERNANDEZ RUBIALES"/>
        <s v="INMACULADA FUENTES GUTIERREZ"/>
        <s v="MATILDE DA PALMA SANCHEZ"/>
        <s v="ROMAN VENCE JULIAN"/>
        <s v="PABLO MORALES MARQUEZ"/>
        <s v="MARIA DEL CARMEN DIONISIO ACEDO"/>
        <s v="ROSA MARIA SOTO SIMON"/>
        <s v="JOSE LUIS RODRIGUEZ OVIEDO"/>
        <s v="RAFAEL VERDIGUIER CERON"/>
        <s v="ROSARIO VERDURAS LLAMAZARES"/>
        <s v="ANGELA MARTIN MARBAN"/>
        <s v="MARIA ROSARIO GODINO RODRIGUEZ"/>
        <s v="MANUEL RODRIGUEZ ESCUDERO"/>
        <s v="MARIA JESUS PANIAGUA GARCIA"/>
        <s v="FERNANDO GARCIA HIDALGO"/>
        <s v="UBALDO LAUDINO DE PEDRO SASTRE"/>
        <s v="TOMAS VICTORINO BECARES POSADA"/>
        <s v="ALFONSO MORGADO CORTES"/>
        <s v="MARIA DEL MAR LEIVA CENTENO"/>
        <s v="GLORIA RIESCO PRIETO"/>
        <s v="MARIA LUISA PINILLA VACA"/>
        <s v="FRANCISCO MUÑOZ MERINO"/>
        <s v="PILAR JIMENEZ COSTA"/>
        <s v="CARMEN DUYOS RIVERA"/>
        <s v="CARMEN PORTA TOVAR"/>
        <s v="MARIA DE LOS REMEDIOS CASTRO MUINELO"/>
        <s v="MARIA AURORA CAMBA LOPEZ"/>
        <s v="JUANA VICTORIA GAMARRA RICARDO"/>
        <s v="Felicisima Sanchez Sanchez"/>
        <s v="MARIA ISABEL URCELAY DEL POZO"/>
        <s v="DOLORES MARTINEZ GOMEZ"/>
        <s v="DOLORES MARTÍN MARTÍN"/>
        <s v="MARIA RIANSARES GONZALEZ MARTINEZ"/>
        <s v="MATILDE PREGO CORES"/>
        <s v="ANA MARIA CENTELLES BARRERA"/>
        <s v="JOSE ENRIQUE MUÑOZ MARTINEZ"/>
        <s v="ENCARNACIÓN GUTIERREZ ALBANDOZ"/>
        <s v="JUAN MAJADAS GOMEZ"/>
        <s v="ALGENIA GUTIERREZ"/>
        <s v="EMILIA GARCIA PENIDO"/>
        <s v="CARMEN BRUNET COMAS"/>
        <s v="CARMEN PÉREZ VILA"/>
        <s v="Juan Fernando López Carrillo"/>
        <s v="EDUARDO ARISTE AISA"/>
        <s v="MIGUEL DEL MAZO SALGADO"/>
        <s v="FRANCISCO JAVIER GONZALEZ GUTIERREZ"/>
        <s v="ALBERTO HERNANDEZ SANCHEZ"/>
        <s v="LUISA GONZALEZ GOMEZ"/>
        <s v="DOLORES NAVARRO MONTIJANO"/>
        <s v="VICTOR LAHUTIN"/>
        <s v="CARMEN MARTOS HIDALGO"/>
        <s v="ROSARIO SEGURA LORCA"/>
        <s v="ANTONIA GUTIERREZ GOMEZ"/>
        <s v="FRANCISCO NUÑEZ NUÑEZ"/>
        <s v="HERIBERTO MOURIZ MOURIZ"/>
        <s v="SILVANA HERNANDEZ DE PABLO"/>
        <s v="ANA MARIA MERINO PLAZA"/>
        <s v="FRANCISCO AGUILERA SANCHEZ"/>
        <s v="ROSARIO ROS CEGARRA"/>
        <s v="ROSA MARIA ISABEL PALOMERO GARCIA"/>
        <s v="MARIA BELEN FUERTES VIVANCOS"/>
        <s v="ALFONSO ANTONIO CAJA LOPEZ"/>
        <s v="ROSALIA GARCIA MARIA"/>
        <s v="MANUELA GUTIERREZ AGUDO"/>
        <s v="FRANCISCA HURTADO IGLESIAS"/>
        <s v="GLORIA CABEDO GISBERT"/>
        <s v="LETICIA RIVERA CASTILLA"/>
        <s v="José Costal"/>
        <s v="ANTONIO SILVA DE LA CRUZ"/>
        <s v="PILAR CONDE HERRERO"/>
        <s v="PILAR MOSQUERA CALDELAS"/>
        <s v="CRISTINA DIAZ PORTELA"/>
        <s v="Alberto Cascales Burrull"/>
        <s v="ALFONSO NIETO MARTINEZ"/>
        <s v="ESTEBAN MARTINEZ RODRIGUEZ"/>
        <s v="ALICIA RANZ CALDERÓN"/>
        <s v="DOLORES JIMENEZ GARCIA"/>
        <s v="ADELA APARICIO TASCON"/>
        <s v="ANGELA DE LUIS BARBA"/>
        <s v="MARIA PILAR RODRIGUEZ PACHECO"/>
        <s v="MARIA JOSE ROSAS SANCHEZ"/>
        <s v="GUADALUPE HOLGADO POLO"/>
        <s v="RAFAELA DELIA SEGURA MARTINEZ"/>
        <s v="JAVIER ALEJANDRO CIVERA SANCHEZ"/>
        <s v="MARIA AMPARO CHICO PRESA"/>
        <s v="CIRIACO SANZ NAVIO"/>
        <s v="MARIA CONCEPCION GARROTE HERNANDEZ"/>
        <s v="JOSEFA BELANDO GOMEZ"/>
        <s v="ISABEL GOMEZ MARTINEZ"/>
        <s v="MARIA ISABEL ALMENDRO CRESPO"/>
        <s v="FRANCO ALBARES MEDRANO"/>
        <s v="FRANCISCO MIGUEL SANCHEZ FERRER"/>
        <s v="JOSE GARROSA MARTIN"/>
        <s v="MARIA ROSA VAZQUEZ PARDAVILA"/>
        <s v="MANUEL BARROS ROZAS"/>
        <s v="FERNANDO JESUS PEREZ CORNEJO"/>
        <s v="NIEVES QUIROGA SOBRADO"/>
        <s v="LUCÍA RODRÍGUEZ ANDÚJAR"/>
        <s v="TERESA FERNANDEZ RODRIGUEZ"/>
        <s v="JUAN PABLO CORCHERO SANZ"/>
        <s v="ENCARNACION GORDO ALMANSA"/>
        <s v="FRANCISCO JOSE GUTIERREZ ANGUITA"/>
        <s v="JUANA GUZMAN CARRASCO"/>
        <s v="ASUNCION SALVE PARDO"/>
        <s v="PEDRO ANTON GONZALO"/>
        <s v="ANGELIKA ARMELIA TSCHUDIN"/>
        <s v="MANUEL FLORES GARCÍA CUEVAS"/>
        <s v="JAVIER POOL MAZAS"/>
        <s v="MANUELA PASTOR GIL"/>
        <s v="MARIA NAVALLAS USÓN"/>
        <s v="INMACULADA GONZALEZ DE QUEVEDO GONZALEZ DE QUEVEDO"/>
        <s v="LUISA COLMENERO GARRIDO"/>
        <s v="MARIANA ROMERO MAYORGA"/>
        <s v="JOSE MANUEL IZQUIERDO GRANERO"/>
        <s v="CRISTINA BORREGO MARCOS"/>
        <s v="PABLO BENAVENTE RODRIGUEZ"/>
        <s v="JOSE BENITEZ POLO"/>
        <s v="VICENTE QUIRALTE CASTAÑEDA"/>
        <s v="CONCEPCION MUROS CORONEL"/>
        <s v="FRANCISCA RODRIGUEZ CALVO"/>
        <s v="FIDEL CUBEL CUBEL"/>
        <s v="PILAR RIESCO HERNANDEZ"/>
        <s v="JOSE ANTONIO ALASCIO RUIZ"/>
        <s v="JUANA SOBRADO MARTIN"/>
        <s v="ALEJANDRO MAYORAL FERNANDEZ"/>
        <s v="JOSE LUIS HERNANDEZ ALONSO"/>
        <s v="PEDRO DEL CASTILLO FERNANDEZ"/>
        <s v="ISABEL FLORES MARTINEZ"/>
        <s v="CASILDA RUIZ BARCINA"/>
        <s v="LAUDELINA GONZALEZ RODRÍGUEZ"/>
        <s v="MARIA JOSE GARCIA AGRAMUNT"/>
        <s v="AURORA FIGUERAS MUÑOZ"/>
        <s v="CONCEPCION QUINTERO MORENO"/>
        <s v="DOLORES GONZALEZ DURO"/>
        <s v="OLGA FERNANDEZ MARTINEZ"/>
        <s v="JOSEFA MARIA ALVAREZ GARCIA"/>
        <s v="CATALINA GARCIA CANTOS"/>
        <s v="ANGEL BOIXADOS RUIZ"/>
        <s v="MARIA ANGELES GARCIA DIAZ"/>
        <s v="JUAN ANTONIO MARTIN GARCIA"/>
        <s v="MARÍA DEL CARMEN MUÑOZ ROMERO"/>
        <s v="JOSE NAVARRETE GIL"/>
        <s v="MARIA LUZ TORNERO MARTÍNEZ"/>
        <s v="PEDRO CALLEJA DE LA SEDA"/>
        <s v="JOSE MARÍA PELÁEZ SASTRE"/>
        <s v="JOSE LUIS CUELLAR MUÑOZ"/>
        <s v="ANTONIO DURAN GARCIA"/>
        <s v="FLORENTINO VELAZ DOMINGUEZ"/>
        <s v="JUAN DIEGO PINO RUBIO"/>
        <s v="ANTONIA HERNANDEZ GUERRERO"/>
        <s v="JOSEFA MARTINEZ HERNANDEZ"/>
        <s v="MARIA JOSE PEIDRO TORRES"/>
        <s v="JOSEFA SILVA ESTEBAN"/>
        <s v="GRACIELA CERON CORTAZAR"/>
        <s v="ROBERT CHARLES MELROSE"/>
        <s v="MIREILLE CORNETTE"/>
        <s v="JOSE LUIS QUINTANO MENESES"/>
        <s v="ISAIAS GONZALO REMEDIOS"/>
        <s v="ALICIA MOREIRA MIRAS"/>
        <s v="OSCAR LARA REMON"/>
        <s v="FRANCISCO MARTINEZ RAMIREZ"/>
        <s v="MARIA DEL CARMEN PENSADO LEIS"/>
        <s v="ISABEL VARGAS CASTRO"/>
        <s v="JUAN RAMON FERNANDEZ SUAREZ"/>
        <s v="ANTONIO ROSA GOMEZ"/>
        <s v="JULIA ESPADA REY"/>
        <s v="JOSE LUIS FERNANDEZ PEREZ"/>
        <s v="ELIA MORENO MORENO"/>
        <s v="ROSAMUND REGINA MONICA CHESHIRE"/>
        <s v="ROSA MARIA VICO DIAZ-PARREÑO"/>
        <s v="AURORA MAÑEZ BAQUERO"/>
        <s v="EMILIO PULPEIRO FERNANDEZ"/>
        <s v="VALENTINA CALLEJA DE LAS HERAS [MARIA TERESA LOZANO CALLEJA]"/>
        <s v="MARIA CARMEN RAMOS RAMOS"/>
        <s v="ANA MARIA REBOLLO HEREDIA"/>
        <s v="FERNANDO CATALAN NAVARRO"/>
        <s v="KAS BOUCHRA"/>
        <s v="ASCENSION JIMENEZ RECUERO"/>
        <s v="JAVIER GARCIA FERNANDEZ"/>
        <s v="ALEJANDRO SAINZ ALCALA"/>
        <s v="ENRIQUE IBAÑEZ MORA"/>
        <s v="MARIA DEL CARMEN VILLANUEVA PEREZ"/>
        <s v="MARIA ARIAS TENA"/>
        <s v="JOHAN FREDERIK KLARIS"/>
        <s v="MARIA MORIANA GUERRERO"/>
        <s v="JESUS ANGEL VARELA PENA"/>
        <s v="ANGEL MADROÑAL FERNANDEZ"/>
        <s v="MARTHA OSPINA JIMÉNEZ"/>
        <s v="NIEVES MONEO NIETO"/>
        <s v="JOSEFA GUTIERREZ SANCHEZ"/>
        <s v="MERCEDES HERNANDEZ BARROSO"/>
        <s v="MARIA JOSE BLANCO BLANCO"/>
        <s v="JACINTO JIMENEZ GOMEZ"/>
        <s v="Secundino Álvaro Moreno"/>
        <s v="ASUNTA DE LOS ANGELES REINA PEREZ"/>
        <s v="JOSE PELAEZ CABEZAS"/>
        <s v="MARIA DOLORS CAPDEVILA CULLELL"/>
        <s v="MARIA CARMEN MARTIN PRECIADOS"/>
        <s v="JOSE DOMINGO MARTINEZ RUIZ"/>
        <s v="CARMEN GARCIA CASELAS [JESUS SAINZ GARCIA ]"/>
        <s v="LELIA RAMONA VELEA"/>
        <s v="ISABEL SANCHEZ PALOMINO"/>
        <s v="ANA MARIA SANTIAGO FERNANDEZ"/>
        <s v="ILDEFONSO PALENCIA ABELLAN"/>
        <s v="JOSE CORCHADO DOMINGUEZ"/>
        <s v="ANA FERNANDEZ NAHARRO"/>
        <s v="VICENTA FRESNO ALVAREZ"/>
        <s v="Sebastia Vives Mas"/>
        <s v="CARIDAD ALCALA BERLANGA"/>
        <s v="ANTONIA ALVAREZ MATUTE"/>
        <s v="RICARDO UDAQUIOLA FITTIPALDI"/>
        <s v="FRANCISCA MARTIN VICENTE"/>
        <s v="EVA PATRICIA BUENO HERAS"/>
        <s v="ALFREDO GUIJARRO OLIVARES"/>
        <s v="CONCEPCION CORTES GONZALEZ"/>
        <s v="ANA MARIA SANCHEZ RIVERO"/>
        <s v="MARIA JOSE PAZ PAZ"/>
        <s v="ILDEFONSO VAZQUEZ CAGIDE"/>
        <s v="FELISA GONZALEZ BLANCO"/>
        <s v="JUAN GARCIA SALMERON"/>
        <s v="MARIA ELOISA RODRIGUEZ VICENTE"/>
        <s v="JOSE BARREDO ALVAREZ"/>
        <s v="MIGUEL LA TORRE SANCHEZ"/>
        <s v="GRISEL PEREZ CABEZA"/>
        <s v="PEDRO SORIANO MOLL"/>
        <s v="GERTRUDIS LUNA ESTEVEZ"/>
        <s v="VALENTÍN GARCIA PORTELA"/>
        <s v="ANGELA PEREZ MATEOS"/>
        <s v="FRANCISCO VILLENA DIAZ"/>
        <s v="PILAR LASAGABASTER LASAGABASTER"/>
        <s v="MARIA VIRGINIA ALCANTARA VILA"/>
        <s v="MERCEDES TAPIA TORRECUADRADA"/>
        <s v="MARGARITA MARTIN PRECIADO"/>
        <s v="ANGELES CALVO BARAHONA"/>
        <s v="MANUEL JOAO GONCALVES SALGADO"/>
        <s v="MARIA FRANCISCA MANCEBO BECERRO"/>
        <s v="MARIA JESUS VALLEJO GALVEZ"/>
        <s v="MATILDE ALAMAR ORTIZ"/>
        <s v="ERNESTA MARTINEZ MEROÑO"/>
        <s v="AUGUSTO REGIDOR MARTÍN"/>
        <s v="JULIAN GARCIA BERNAT"/>
        <s v="AMELIA PEREZ GOMEZ"/>
        <s v="ARMANDO CAMPOS MATAIX"/>
        <s v="RUFINA NAVAS FARIÑA"/>
        <s v="ANTONIO RAFAEL RUBIO-IGLESIAS TELLEZ"/>
        <s v="ALICIA FERNANDEZ FERNANDEZ"/>
        <s v="JUAN CARLOS ANILLO RIOS"/>
        <s v="ANTONIO MARIN SIBAJAS"/>
        <s v="JOSE CARRERO ROMAN"/>
        <s v="LUCINIO MORATE LASO"/>
        <s v="VALENTIN  SIMON GONZALEZ"/>
        <s v="ANNE CHRISTINE MILLS"/>
        <s v="CAROLINA HEREDIA ROMERO"/>
        <s v="ANTONIO RUIZ SUSARTE"/>
        <s v="NEREA GARCIA VAZ"/>
        <s v="FERNANDO MILLAN ECHEVARRIA"/>
        <s v="GERMAN MUÑIZ SIEIRA"/>
        <s v="LUISA NOVO VIVERO"/>
        <s v="BARBARA ROLLETT"/>
        <s v="CONCEPCIÓN  ABAD GARCIA"/>
        <s v="JUAN DELGADO OLMO"/>
        <s v="FUENSANTA LOPEZ ORTIZ"/>
        <s v="AUREA BUACHO SALOMON"/>
        <s v="ISABEL SANCHEZ LOPEZ"/>
        <s v="MARIA PALOMA BLAZQUEZ MORALES"/>
        <s v="GABINO SANCHEZ SANCHEZ"/>
        <s v="BEGOÑA GOMEZ-HIDALGO MATEO"/>
        <s v="SHEILA ANN MCGEOWN"/>
        <s v="AMADOR MARTIN ALONSO"/>
        <s v="SANTIAGO DURAN SOTO"/>
        <s v="IRENE LLOBELL LLOBELL"/>
        <s v="LUISA  BOUSO MILLAN"/>
        <s v="LOLA LEIVA LOPEZ"/>
        <s v="JUAN FRANCISCO ALAVA GUILLEM"/>
        <s v="JESUS MIGUEL CEPEDA GARZON"/>
        <s v="ÁNGEL ESTEBAN BÉJAR"/>
        <s v="ASTRID ANTUÑA LLORENS"/>
        <s v="MARIA DOLORES GRIÑAN SALAS"/>
        <s v="JOSE MIGUEL HERGUETA ABERTURAS"/>
        <s v="LIUDMILA TOLPEGINA"/>
        <s v="ISIDORO CABRERA CRESPO"/>
        <s v="ALEJANDRO RIBAS NOGUERA"/>
        <s v="IRENE PEREZ FEIJOO"/>
        <s v="MARIA ANTONIA DE LA TORRE SANZ"/>
        <s v="JUAN SABATER CARBONELL"/>
        <s v="JUAN ANTONIO SANCHEZ NUÑEZ"/>
        <s v="MIGUEL ANGEL MORENO FERNANDEZ"/>
        <s v="VALENTIN DIAZ CALDERON"/>
        <s v="JOSEFA MENCHON RIOS"/>
        <s v="FRANCISCO DONAIRE AGUDO"/>
        <s v="EUSEBIO FERNANDEZ PEREZ"/>
        <s v="MANUEL MORALES CEPEDA"/>
        <s v="JESUS GIMENO QUERO"/>
        <s v="ENGRACIA MBAMUALA MUATETEMA"/>
        <s v="JOSE ROMERO GARCIA"/>
        <s v="TOMASA DELFINA GARCIA CAPELLA"/>
        <s v="FRANCISCO HERNANDEZ RUIZ"/>
        <s v="JOSE PADRON TABOADA"/>
        <s v="ELENA ARNAIZ PALMA"/>
        <s v="RAFAEL DE VICENTE CONTRERAS"/>
        <s v="Maricarmen Estrada Gallego"/>
        <s v="VIRTUDES ANTONIA MARTINEZ NAVARRO"/>
        <s v="ROSA ALONSO GALLARDO"/>
        <s v="ENRIQUE MARTINEZ PASTOR"/>
        <s v="PURIFICACION PRIEGO BLANCO"/>
        <s v="GUILLERMO LEMOS NAVEIRO"/>
        <s v="MILAGROS PIMENTEL HERRERO"/>
        <s v="ASEPEYO MCcSS Nº 151 [ALBERTO MOHEDANO GOMEZ]"/>
        <s v="IAN FULLER"/>
        <s v="ANTONIO ABIA GARCIA"/>
        <s v="MARIANO DIAZ CARDOSO"/>
        <s v="VICTORIA RABOSO MARTIN"/>
        <s v="ANTONIO POSE VARELA"/>
        <s v="PURIFICACION COBO SANCHEZ"/>
        <s v="BENIGNO SANTIBAÑEZ RAMAJO"/>
        <s v="MATILDE SANCHEZ MADRID"/>
        <s v="MARIANO GARCIA GARCIA"/>
        <s v="MARIA DEL PILAR NACHER RAMON"/>
        <s v="PILAR LOPEZ PIZARROSO"/>
        <s v="VISITACION LAGUNAS PEREZ"/>
        <s v="ANTONIO OLLE DORCA"/>
        <s v="Abraham García Rodríguez"/>
        <s v="CRISTINA MARTINEZ BLANCO"/>
        <s v="JOSE PEREZ GOMEZ"/>
        <s v="DAVID LOPEZ RUIZ"/>
        <s v="MARIA CARMEN MARTINEZ GONZALEZ"/>
        <s v="CARLOS GARCÍA PÉREZ"/>
        <s v="ALFONSO BALLESTEROS GIL"/>
        <s v="JOSE LEO BERROCAL"/>
        <s v="CHRISTIAN JEAN CLEMENT"/>
        <s v="SONSOLES GARCIA SANCHEZ"/>
        <s v="GLORIA NANCY VESPA"/>
        <s v="EVA MARIA RODRIGUEZ REBELLA"/>
        <s v="JOSE MANUEL CARRACEDO BERMEJO"/>
        <s v="ALBA PANAL GARCIA"/>
        <s v="JAVIER GAMUNDI BERENGUER"/>
        <s v="CARMEN MIRETE RIQUELME"/>
        <s v="FRANCISCA JIMENEZ GARCIA"/>
        <s v="REMEDIOS PALAZON GIMENEZ"/>
        <s v="MARIA SOL BENAVENTE GOMEZ"/>
        <s v="SANTIAGO VILANOVA NAVARRO"/>
        <s v="MARIA TERESA JADA LOYES"/>
        <s v="JULIA OLGA MARTINEZ POMAREDA"/>
        <s v="LETICIA FUENTES SANCHEZ"/>
        <s v="TOMASA PICATOSTE TEJADO"/>
        <s v="MARIA LUISA GUTIERREZ ROMAN"/>
        <s v="PEDRO LUIS TORNERO CANO"/>
        <s v="MANUEL SANCHEZ CARBONERO"/>
        <s v="DOLORES LOPEZ CADAHIA"/>
        <s v="ANTONIO RODRIGUEZ BLANCO"/>
        <s v="DOLORES LIEBANA GARCIA"/>
        <s v="MARIA ASUNCIÓN FORMIGO MONTERO"/>
        <s v="JOSE FUERTES GARCIA"/>
        <s v="JULIA VILLEGAS COBEÑO"/>
        <s v="RAFAEL REYES PALACIO"/>
        <s v="FERNANDO LOZANO CORREOSO"/>
        <s v="MARIA DOLORES BARBERO BURON"/>
        <s v="WILLIAM CHARLES HENRY LEAVES"/>
        <s v="MIGUEL ANGEL LANGA ALVAREZ"/>
        <s v="MARIA TERESA LIGERO BERRIO"/>
        <s v="JOSE JURADO SANTOS"/>
        <s v="SIEGFRIED JERATHE"/>
        <s v="MANUELA COLLANTES NARBONA"/>
        <s v="ROSA DEL MAR NUÑEZ RODRIGUEZ"/>
        <s v="AMPARO DIAZ GARRIDO"/>
        <s v="JOSE NICOLAS SERRANO"/>
        <s v="JUAN FRANCISCO ALONSO PÉREZ"/>
        <s v="ASBJORN SVERRE KROGTOFT"/>
        <s v="RUTGERA VAN KRETSCHMAR VAN VEEN"/>
        <s v="JAMES WILLIAM NOEL SCOTT"/>
        <s v="MARIA ANGELES RIPOLL MONTALVO"/>
        <s v="MARIA ANTONIA CALERO JIMENEZ"/>
        <s v="CARMEN VILLAESCUSA JIMENEZ"/>
        <s v="MARIA CARMEN RABADAN PARDO"/>
        <s v="JUAN IGLESIAS SALAS"/>
        <s v="CARMELO PEREZ HERNANDEZ"/>
        <s v="NEUS GARRIDO MARTINEZ"/>
        <s v="MANUEL DE CABO PASCUAL"/>
        <s v="JOSE MANUEL IBAÑEZ FERRER"/>
        <s v="MARIA ESMERALDA GARCIA MARTINEZ"/>
        <s v="BLANCA LAGE RUIZ"/>
        <s v="SEGUNDO FRANCISCO CLEMENTE LONZANO"/>
        <s v="SOLEDAD ALARCON TORRALBA"/>
        <s v="CARMEN RUIZ SANCHEZ"/>
        <s v="LORENZO LEON CARMONA"/>
        <s v="BRÍGIDA ALMIÑANA GUTIERREZ"/>
        <s v="SOFIA MOURE PEREZ"/>
        <s v="JEAN CLAUDE"/>
        <s v="ADORACION MIGUEL GOMEZ"/>
        <s v="MIGUEL VALLE LAÓ"/>
        <s v="BEGOÑA MENDEZ LOPEZ"/>
        <s v="ANTONIO LOPEZ CABANES"/>
        <s v="PILAR SEGURA ESTEBAN"/>
        <s v="JOSE AMAT NAVARRO"/>
        <s v="COMERCIAL VIMARGA 2014,S,L [VICENTE MIGUEL MARTÍNEZ SERRADOR]"/>
        <s v="Maria Elena Blesa"/>
        <s v="BERNARDO ORAMAS VERA"/>
        <s v="JOSE FERNANDEZ ENRIQUEZ"/>
        <s v="MARIA ISABEL PEREZ SIMON"/>
        <s v="MARIA DOLORES PEREZ BOLAÑOS"/>
        <s v="SIXTO IGLESIAS LUENGO"/>
        <s v="ADELINA CANDELA MARTINEZ"/>
        <s v="RAQUEL URRACA PEREZ"/>
        <s v="CARLOS TOME FABIAN"/>
        <s v="MARIA SOLEDAD GOMEZ RODRIGUEZ"/>
        <s v="GLORIA GARCIA BERNARDO"/>
        <s v="MANUEL NARANJO PEREZ"/>
        <s v="ENCARNACIÓN GOMEZ SECO"/>
        <s v="JOSEFA SAEZ MARTINEZ"/>
        <s v="SALVADOR GONZALEZ RODRIGUEZ"/>
        <s v="JOSE ANGEL CASADO GOMEZ"/>
        <s v="CIRO RAFAEL PEREZ RAMIREZ"/>
        <s v="LUIS ALVAREZ MOURE"/>
        <s v="ESPERANZA CAÑIZARES GUTIERREZ"/>
        <s v="GUADALUPE MARTINEZ MARTIN"/>
        <s v="MARGARITA BELCHI CARRASCO"/>
        <s v="MARIA LIDIA FERNANDEZ RODRIGUEZ"/>
        <s v="PILAR SÁNZ ÁLVAREZ"/>
        <s v="JOSE ANTONIO ABENZA PASTOR"/>
        <s v="MARIA ELENA GONZALEZ DEL CANTO"/>
        <s v="RAMON ALAPONT PLANELLS"/>
        <s v="PILAR  DIEZ RAMOS"/>
        <s v="STUART WILLIAM HORROCKS"/>
        <s v="GREGORIA DOMINGUEZ PEREZ"/>
        <s v="RAFAEL GARCIA CASANOVA"/>
        <s v="FELICIANO MARTÍNEZ MEGÍAS"/>
        <s v="ALFREDO GONZALEZ FERNANDEZ"/>
        <s v="MARIA TERESA MEDINA SANTILLANA"/>
        <s v="CRISTOBAL GARCIA LINARES"/>
        <s v="LUISA BORNES BLANCO"/>
        <s v="PAULA BLAZQUEZ GONZALEZ"/>
        <s v="MARIA HILDA SALGADO ALVAREZ"/>
        <s v="MARIA ANTONIA VIDARTE GUERRERO"/>
        <s v="JUAN FRANCISCO ALBURQUERQUE VICENTE"/>
        <s v="ALFONSO HERNANDEZ BORJA"/>
        <s v="MANUEL LOPEZ LOSADA"/>
        <s v="FRANCISCO RAMON PUERTO OLTRA"/>
        <s v="JONATHAN STIVEN RAMIREZ RAMIREZ"/>
        <s v="CARMEN SANCHEZ AYUSO"/>
        <s v="DARWIN  MERCHAN ZANBRANO"/>
        <s v="MIGUEL ANTONIO CHIRIVELLA PERIS"/>
        <s v="MARINA CANTERO CORCHERO"/>
        <s v="MILAGROS  DE LA VEGA BAÑOS"/>
        <s v="VIRGINIA RIPOLL PEREZ DE LOS COBOS"/>
        <s v="LUBNA ALQUDSI"/>
        <s v="JUAN RUIZ NEUPAVER"/>
        <s v="CARLA RODERA MARTINEZ"/>
        <s v="CONSUELO RUBIO MARTIN"/>
        <s v="ISABEL SANCHEZ MORAN"/>
        <s v="MARIA CARAVACA GIL"/>
        <s v="SALVADOR SELVATICO SANCHEZ"/>
        <s v="JOSE LUIS GARCIA OLIVEIRA"/>
        <s v="MARIA LUISA BOCADULCE LOZANO"/>
        <s v="Concepción Gil Sánchez"/>
        <s v="LUCRECIA SORIA GÓMEZ"/>
        <s v="EMILIA MARISCAL CASTRO"/>
        <s v="GEMMA MONTOYA PORTILLO"/>
        <s v="MARIA ROSA IGLESIAS SANCHEZ"/>
        <s v="ILDEFONSO SOBRINO VILA"/>
        <s v="CARMEN VILLE OTERO"/>
        <s v="SOLEDAD SANCHEZ DURÁ"/>
        <s v="REBECA BERNAL DE LA MATA"/>
        <s v="FRANCISCO LUENGO PIZARRO"/>
        <s v="RICARDO  DE LA POZA RODRIGUEZ"/>
        <s v="CONSUELO  SANTAMARIA SANZ"/>
        <s v="NIEVES CARRETERO RODRIGUEZ"/>
        <s v="CONCEPCION RINCON VALVERDE"/>
        <s v="CECILIO  MARIN LAREQUI"/>
        <s v="ANTONIO  ALFONSO RUBIO"/>
        <s v="ANTONIO RAMIREZ GARCÍA"/>
        <s v="JOSE MARIA CARNERO CALDERON"/>
        <s v="MARIA DOLORES CARRASCO BELMONTE"/>
        <s v="ROSALIA SANCHEZ PERONA"/>
        <s v="MARIA TERESA VELAZQUEZ MADRUGA"/>
        <s v="FRANCISCO ERNESTO RUIZ"/>
        <s v="CARMEN LAFUENTE ROMERO"/>
        <s v="MANUEL CUBERO CASCAJOSA"/>
        <s v="BENITO ANTOLIN SERRANO"/>
        <s v="RAMIRO ANTÓN MARÍA"/>
        <s v="ÁNGELES ELSA MORO GAFO"/>
        <s v="PEDRO CUMMINGS DONADIO"/>
        <s v="BRAHIM KIROUANE"/>
        <s v="AGUSTIN GONZALEZ ELIAS"/>
        <s v="JOSE MARIA  JIMENEZ HERNANDEZ"/>
        <s v="MARIA ROSARIO ALVAREZ GONZALEZ"/>
        <s v="JOSEFA SANCHEZ TENA"/>
        <s v="ENCARNACION  DE PABLO RODRIGUEZ"/>
        <s v="JOAQUINA GUTIERREZ SANCHEZ"/>
        <s v="CONCEPCION CATALAN SERRANO"/>
        <s v="FRANCISCA MARIA JESUS GONZALEZ MUÑOZ"/>
        <s v="MIGUEL LOPEZ ROBLES"/>
        <s v="DEBORA PINTEÑO ORTEGA"/>
        <s v="MARIA LUISA GARRIDO PRIETO"/>
        <s v="EMILIO GARCIA SABOSIL"/>
        <s v="ENRIQUE OYAGA SERRANO"/>
        <s v="JOSEFA HERRERO ORTIGOSA"/>
        <s v="MARIA DE LOS ANGELES AMIGO ROMERO"/>
        <s v="JOSEFA GORGOJO BORBUJO"/>
        <s v="JUAN MIGUEL  MORALES FRANCO"/>
        <s v="YAIR RODRIGUEZ YANCI"/>
        <s v="ELENA BELLO RAMOS"/>
        <s v="CARLOS HUMBERTO CALDERON JAVE"/>
        <s v="ANTONIO PUERTA BERNAD"/>
        <s v="ANGELA VAL AUSEJO"/>
        <s v="JUAN NORBERTO REIMONDEZ DIAZ QUIJANO"/>
        <s v="PETRA PÉREZ VAQUERO"/>
        <s v="JUAN JOSE SANCHEZ MENARGUEZ"/>
        <s v="GERMAN JURADO CONDE"/>
        <s v="FRANCISCO FULGENCIO BUENDIA GOMEZ"/>
        <s v="TANIA SEIJAS SOUTO"/>
        <s v="MARTIN DELGADO IZQUIERDO"/>
        <s v="MARIA JESUS MIGUEL CASTRILLO"/>
        <s v="CARMEN ALONSO MANZANO"/>
        <s v="JOSE MANUEL FERNANDEZ SANCHEZ"/>
        <s v="LUISA DORREGO TAPIA"/>
        <s v="ADELA DE LA MATA FERNÁNDEZ"/>
        <s v="JOSE MARTINEZ GARCERAN"/>
        <s v="FATIMA LAZARO LOPEZ"/>
        <s v="MARIA JOSE  DELGADO PICAZO"/>
        <s v="FRANCISCA MIJARRA SANCHEZ"/>
        <s v="MARI CARMEN SALAZAR PEREZ"/>
        <s v="CARLOS ALBERTO MADRID MARCHISIO"/>
        <s v="JOSEFA RECIO FERNANDEZ"/>
        <s v="ELENA POLO MARTIN"/>
        <s v="DOLORES DIAZ HERRERA"/>
        <s v="AGUSTÍN ORTUETA ROCA"/>
        <s v="CAROLINA CUENCA CASAIS"/>
        <s v="AITOR CUADRADO GÓMEZ"/>
        <s v="MANUELA CAMACHO CANDELA"/>
        <s v="JESUS GARRIDO CASTRO"/>
        <s v="ANGEL SANDIN MORA"/>
        <s v="REMEDIOS  MARTIN ORDIALES"/>
        <s v="JOSEFA SOLIS MENA"/>
        <s v="JUAN IGNACIO GRAU DICENTA"/>
        <s v="ISIDORO MARBAN PABON"/>
        <s v="MARIA DEL CARMEN ORTIZ GARCIA"/>
        <s v="JOSE VICENTE MARTINEZ JARABO"/>
        <s v="ASCENSION LOSA RODRIGUEZ"/>
        <s v="OMAIRA ANDREA HIDALGO SANCHEZ"/>
        <s v="AGUSTINA CANO RUIZ"/>
        <s v="ASUNCION GONZALEZ IBAÑEZ"/>
        <s v="CARMEN CHACON JIMENEZ"/>
        <s v="MARIA NIEVES GARCIA DE LAS PEÑAS"/>
        <s v="ANGEL ALEJANDRO ESTRADA CHIRINOS"/>
        <s v="MARIA DEL CARMEN LAPAZ BARBA"/>
        <s v="JOSE MIGUEL RODILLA SANCHEZ"/>
        <s v="MIGUEL MOLINA HEREDIA"/>
        <s v="FRANCISCO LORA ZAMORA"/>
        <s v="DIMITRANKA PETKOVA TODOROVA"/>
        <s v="TOMAS COBO OLVERA"/>
        <s v="JOSE RAMON SERRANO PIEDECASAS"/>
        <s v="ANA OROSIA JIMENEZ JIMENEZ"/>
        <s v="MIGUEL ANGEL GOMEZ OREJANA"/>
        <s v="ISABEL CASTILLO ALMENDROTE"/>
        <m/>
      </sharedItems>
    </cacheField>
    <cacheField name="NUM AUDIFONOS" numFmtId="0">
      <sharedItems containsString="0" containsBlank="1" containsNumber="1" containsInteger="1" count="6">
        <n v="2"/>
        <n v="1"/>
        <n v="-2"/>
        <n v="-1"/>
        <n v="3"/>
        <m/>
      </sharedItems>
    </cacheField>
    <cacheField name="TOTAL AUDIFONOS SIN IVA" numFmtId="2">
      <sharedItems containsString="0" containsBlank="1" containsNumber="1" count="353">
        <n v="0"/>
        <n v="2400"/>
        <n v="4000"/>
        <n v="2888.18"/>
        <n v="1636.36"/>
        <n v="2216.36"/>
        <n v="3710"/>
        <n v="4180"/>
        <n v="3095.45"/>
        <n v="2280"/>
        <n v="2640"/>
        <n v="2967.27"/>
        <n v="4400"/>
        <n v="2576.92"/>
        <n v="2722.73"/>
        <n v="3954.55"/>
        <n v="3454.55"/>
        <n v="3800"/>
        <n v="2129.09"/>
        <n v="3929.55"/>
        <n v="3654.05"/>
        <n v="3306.36"/>
        <n v="2226.36"/>
        <n v="2884.62"/>
        <n v="4136.3599999999997"/>
        <n v="3846.36"/>
        <n v="3222.24"/>
        <n v="3524.51"/>
        <n v="2743.64"/>
        <n v="2579.09"/>
        <n v="1732.73"/>
        <n v="1982.73"/>
        <n v="3281.09"/>
        <n v="3524.49"/>
        <n v="3523.64"/>
        <n v="2067.27"/>
        <n v="1809.09"/>
        <n v="2090.91"/>
        <n v="3545.45"/>
        <n v="3604.55"/>
        <n v="1772.73"/>
        <n v="3977.27"/>
        <n v="3334.55"/>
        <n v="1818.18"/>
        <n v="1646.36"/>
        <n v="3861.82"/>
        <n v="4090.91"/>
        <n v="3424.55"/>
        <n v="1186.3599999999999"/>
        <n v="2162.73"/>
        <n v="2545.4499999999998"/>
        <n v="1359.55"/>
        <n v="1627.27"/>
        <n v="3809.55"/>
        <n v="2080"/>
        <n v="3704.55"/>
        <n v="1954.55"/>
        <n v="4191.3500000000004"/>
        <n v="3245.35"/>
        <n v="2627.27"/>
        <n v="3627.27"/>
        <n v="3522.73"/>
        <n v="3524.55"/>
        <n v="-3800"/>
        <n v="1170"/>
        <n v="2509.09"/>
        <n v="2508"/>
        <n v="1444.55"/>
        <n v="2081.8200000000002"/>
        <n v="2450.13"/>
        <n v="3998.18"/>
        <n v="2780.91"/>
        <n v="3909.09"/>
        <n v="2888.19"/>
        <n v="3356.36"/>
        <n v="1113.18"/>
        <n v="2563.64"/>
        <n v="2677.27"/>
        <n v="3524.5"/>
        <n v="1645.45"/>
        <n v="1500"/>
        <n v="1634.62"/>
        <n v="3391.82"/>
        <n v="2953.64"/>
        <n v="3618.18"/>
        <n v="3809.09"/>
        <n v="3881.31"/>
        <n v="1988.64"/>
        <n v="3970.91"/>
        <n v="3090.91"/>
        <n v="2909.09"/>
        <n v="904.55"/>
        <n v="3000"/>
        <n v="3709.09"/>
        <n v="3636.36"/>
        <n v="1390.91"/>
        <n v="4000.13"/>
        <n v="3181.82"/>
        <n v="2430.27"/>
        <n v="2115.0500000000002"/>
        <n v="2225.96"/>
        <n v="2743.77"/>
        <n v="2540.91"/>
        <n v="3945.45"/>
        <n v="3173.18"/>
        <n v="3603.85"/>
        <n v="1983.64"/>
        <n v="3681.82"/>
        <n v="2372.73"/>
        <n v="1727.27"/>
        <n v="3185.45"/>
        <n v="3604.46"/>
        <n v="3802.88"/>
        <n v="3886.36"/>
        <n v="2307.27"/>
        <n v="2727.27"/>
        <n v="4431.82"/>
        <n v="3647.73"/>
        <n v="3429.09"/>
        <n v="409.09"/>
        <n v="3818.18"/>
        <n v="3515.91"/>
        <n v="2986.36"/>
        <n v="2818.18"/>
        <n v="4068.18"/>
        <n v="2900"/>
        <n v="2587.27"/>
        <n v="2115.09"/>
        <n v="3763.64"/>
        <n v="2936.36"/>
        <n v="2586.36"/>
        <n v="3129.55"/>
        <n v="4118.18"/>
        <n v="3454.69"/>
        <n v="3045.45"/>
        <n v="4295.45"/>
        <n v="2181.8200000000002"/>
        <n v="1927.27"/>
        <n v="3545.46"/>
        <n v="3390.91"/>
        <n v="3304.95"/>
        <n v="3863.64"/>
        <n v="3358.18"/>
        <n v="2636.36"/>
        <n v="1816.36"/>
        <n v="3372.73"/>
        <n v="1980.77"/>
        <n v="2963.64"/>
        <n v="2744.09"/>
        <n v="3740"/>
        <n v="1386.18"/>
        <n v="2578.85"/>
        <n v="-2576.92"/>
        <n v="1936.36"/>
        <n v="2068.1799999999998"/>
        <n v="3400"/>
        <n v="-2888.18"/>
        <n v="4531.82"/>
        <n v="1962.02"/>
        <n v="1727.88"/>
        <n v="4077.27"/>
        <n v="-2400"/>
        <n v="1646.09"/>
        <n v="3474.55"/>
        <n v="2709.09"/>
        <n v="1363.64"/>
        <n v="2119.09"/>
        <n v="2626.5"/>
        <n v="3383.64"/>
        <n v="1850"/>
        <n v="4255.33"/>
        <n v="1436.4"/>
        <n v="4238.18"/>
        <n v="900"/>
        <n v="3272.73"/>
        <n v="2437.27"/>
        <n v="2034.55"/>
        <n v="2312.3200000000002"/>
        <n v="2000"/>
        <n v="4569.32"/>
        <n v="-1962.02"/>
        <n v="2272.73"/>
        <n v="1732.69"/>
        <n v="2974.55"/>
        <n v="2261.8200000000002"/>
        <n v="1550"/>
        <n v="2599.36"/>
        <n v="5431.82"/>
        <n v="3888.18"/>
        <n v="4255.45"/>
        <n v="1418.18"/>
        <n v="2420"/>
        <n v="3363.64"/>
        <n v="1923.08"/>
        <n v="2713.5"/>
        <n v="1877.27"/>
        <n v="3454.5"/>
        <n v="1985.45"/>
        <n v="4120"/>
        <n v="2292.73"/>
        <n v="3730"/>
        <n v="2887.5"/>
        <n v="2718.18"/>
        <n v="2582.73"/>
        <n v="2586.59"/>
        <n v="3574.55"/>
        <n v="620.36"/>
        <n v="1633.64"/>
        <n v="1695.32"/>
        <n v="4304.8100000000004"/>
        <n v="3914"/>
        <n v="2363.64"/>
        <n v="1631.82"/>
        <n v="4304.55"/>
        <n v="1730"/>
        <n v="2180.91"/>
        <n v="2127.27"/>
        <n v="2577.29"/>
        <n v="1590.91"/>
        <n v="3441.59"/>
        <n v="4518.18"/>
        <n v="4378.18"/>
        <n v="1536.36"/>
        <n v="2990.91"/>
        <n v="1909.09"/>
        <n v="1876.36"/>
        <n v="2585"/>
        <n v="3752.73"/>
        <n v="2829.09"/>
        <n v="3436.36"/>
        <n v="-3710"/>
        <n v="3631.82"/>
        <n v="2481.8200000000002"/>
        <n v="1568.18"/>
        <n v="4120.1899999999996"/>
        <n v="4545.45"/>
        <n v="3474.54"/>
        <n v="1784.55"/>
        <n v="2820"/>
        <n v="1727.35"/>
        <n v="3536.36"/>
        <n v="3971.82"/>
        <n v="2582.27"/>
        <n v="2244.09"/>
        <n v="2581.8200000000002"/>
        <n v="2495.4499999999998"/>
        <n v="1200"/>
        <n v="3450"/>
        <n v="3631.81"/>
        <n v="3927.27"/>
        <n v="3424.32"/>
        <n v="3085.45"/>
        <n v="2731.25"/>
        <n v="3182.73"/>
        <n v="4990.91"/>
        <n v="4045.45"/>
        <n v="5386.36"/>
        <n v="4536.3599999999997"/>
        <n v="3450.23"/>
        <n v="2357.73"/>
        <n v="2718.19"/>
        <n v="3268.64"/>
        <n v="2045.45"/>
        <n v="4309.55"/>
        <n v="2594.23"/>
        <n v="2486.36"/>
        <n v="2556.44"/>
        <n v="4081.82"/>
        <n v="2310.4499999999998"/>
        <n v="3313.64"/>
        <n v="3050.96"/>
        <n v="2471.8200000000002"/>
        <n v="4038.46"/>
        <n v="3081.82"/>
        <n v="3461.54"/>
        <n v="2163.46"/>
        <n v="3940.9"/>
        <n v="627.27"/>
        <n v="1908.65"/>
        <n v="4727.2700000000004"/>
        <n v="4500"/>
        <n v="1990.91"/>
        <n v="2044.55"/>
        <n v="2701.92"/>
        <n v="3722.73"/>
        <n v="2454.5500000000002"/>
        <n v="4203.6400000000003"/>
        <n v="2233.64"/>
        <n v="872.73"/>
        <n v="1545.45"/>
        <n v="-3709.62"/>
        <n v="3450.22"/>
        <n v="1223.8699999999999"/>
        <n v="2136.36"/>
        <n v="4536.37"/>
        <n v="4045.46"/>
        <n v="500"/>
        <n v="3450.24"/>
        <n v="4309.54"/>
        <n v="5000"/>
        <n v="2692.31"/>
        <n v="-1631.82"/>
        <n v="4272.7299999999996"/>
        <n v="2271.8200000000002"/>
        <n v="3136.36"/>
        <n v="3590.91"/>
        <n v="-2162.73"/>
        <n v="3172.73"/>
        <n v="2250"/>
        <n v="2450"/>
        <n v="2932.69"/>
        <n v="2582.2800000000002"/>
        <n v="-3631.81"/>
        <n v="2718.27"/>
        <n v="4318.18"/>
        <n v="3086.82"/>
        <n v="2071.86"/>
        <n v="2211.54"/>
        <n v="2586.54"/>
        <n v="4741.3599999999997"/>
        <n v="863.64"/>
        <n v="3583.64"/>
        <n v="4134.62"/>
        <n v="2717.31"/>
        <n v="2090"/>
        <n v="-2718.18"/>
        <n v="2263.64"/>
        <n v="1631.73"/>
        <n v="3817.27"/>
        <n v="3940.91"/>
        <n v="1540.91"/>
        <n v="3631.73"/>
        <n v="3516.36"/>
        <n v="3318.18"/>
        <n v="2357.27"/>
        <n v="2617.27"/>
        <n v="3612.97"/>
        <n v="872.36"/>
        <n v="3263.64"/>
        <n v="1090.9100000000001"/>
        <n v="4718.18"/>
        <n v="2481.73"/>
        <n v="2180.77"/>
        <n v="2446.36"/>
        <n v="4000.91"/>
        <n v="3440"/>
        <n v="1036.3599999999999"/>
        <n v="3678.18"/>
        <n v="3640.91"/>
        <n v="2463.64"/>
        <n v="1881.82"/>
        <n v="1359.09"/>
        <m/>
      </sharedItems>
    </cacheField>
    <cacheField name="CANAL" numFmtId="0">
      <sharedItems containsBlank="1" count="5">
        <s v="03 ORL"/>
        <s v="02 MARKETING OFF LINE"/>
        <s v="04 TIENDA"/>
        <s v="01 MARKETING ON LINE"/>
        <m/>
      </sharedItems>
    </cacheField>
    <cacheField name="SUBCANAL" numFmtId="0">
      <sharedItems containsBlank="1" count="11">
        <s v="06 ORL"/>
        <s v="18 ESCAPARATE"/>
        <s v="07 BOCA/BOCA"/>
        <s v="01 WEB AUDICOST"/>
        <s v="04 AUDIFONO,ES"/>
        <s v="22 AUDIOMETRIA CLINICA"/>
        <s v="19 CLIENTE RECOMPRA ESPONTANEA"/>
        <s v="02 GOOGLE"/>
        <s v="10 REVISIÓN POST-VENTA"/>
        <s v="08 TELEMARKETING LISTADO EXTERNO"/>
        <m/>
      </sharedItems>
    </cacheField>
    <cacheField name="NOMBRE ORL/CAMPAÑA" numFmtId="0">
      <sharedItems containsBlank="1" count="431">
        <s v="Dra, María Garrote Garrote"/>
        <s v="Dr, Máximo Rafael García Rodríguez"/>
        <s v="Dr, Javier García-Dueñas González"/>
        <s v="Dr, Álvaro Sánchez Álvarez"/>
        <s v="Dra, Isabel Polo Tomás"/>
        <s v="Dra, Maria Rosario Ferrandiz García"/>
        <s v="Dra, Irene Monjas Canovas"/>
        <s v="Dr, Evians Gómez De La Rosa"/>
        <s v="Dr, Adolfo Toledano Muñoz"/>
        <s v="Dra, Victoria García Peces"/>
        <s v="Dra, Estefania Miranda Sánchez"/>
        <s v="Dra, Laura Del Toro Gil"/>
        <s v="Dra, María Teresa Herrera Mera"/>
        <s v="Dr, Raimundo Andres Navarro Mediano"/>
        <s v="Dr, José Montojo Woodeson"/>
        <s v="Dra, Cristina Vaduva"/>
        <s v="Dr, Enric Ferran Benstrom"/>
        <s v="Dr, Jesus-Maria Grasa Pérez"/>
        <s v="Dra, Carmen Juan Ivars"/>
        <s v="Dr, Julio López Moya"/>
        <s v="Dra, Paula Aviles Mañoso"/>
        <s v="Dr, Jesús Ramos Fernández"/>
        <s v="Dr, Fernando Salazar Barcelona"/>
        <s v="Dra, Cristina Ibañez Muñoz"/>
        <s v="Dr, Pedro Juiz López"/>
        <s v="Dr, José Gustavo Barroso Braojos"/>
        <s v="Dra, Helena Moreno Pardo"/>
        <s v="Dr, Javier García Domínguez"/>
        <s v="Dr, Esteban Scola Pliego"/>
        <s v="Dr, Francisco Javier Redondo Del Barco"/>
        <s v="Dr, Carlos Barajas Del Rosal"/>
        <s v="Dr, Antonio Bueno Ríos"/>
        <s v="Dr, José Joaquín Gutiérrez Barquín"/>
        <s v="Dr, Andreas Schilling Borghesi"/>
        <s v="Dra, Bárbara Castillo Ávila"/>
        <s v="Dr, Joaquín Alacio Casero"/>
        <s v="Dr, Adolfo Carlos Hinojar Gutierrez"/>
        <s v="Dra, Alicia Suárez Calvo"/>
        <s v="Dr, Alejandro Harguindey Antoli-Candela"/>
        <s v="Dra, Sara Reda Del Barrio"/>
        <s v="Dr, Víctor José González Arias"/>
        <s v="Dr, Gustavo Córdova Ramos"/>
        <s v="Dr, Ignacio Albaladejo Devis"/>
        <s v="Dra, Cristina Esther Torregrosa Carrasquer"/>
        <s v="Dr, Jesús Miguel Iniesta Turpín"/>
        <s v="Dra, María Agustina Sevilla García"/>
        <s v="Dr, José Miguel Osete Albaladejo"/>
        <s v="Dr, Juan Pablo Pelegrín Hernández"/>
        <s v="Dra, Oreana Carolina Camacaro González"/>
        <s v="Dra, Marina Pérez Grau"/>
        <s v="Dr, Santiago Moreno Paredes"/>
        <s v="Dra, María Rey Marcos"/>
        <s v="Dra, Ana Quintana Sanjuan"/>
        <s v="Dra, Ana Giribet Fernández-Pacheco"/>
        <s v="Dr, Dinis Antunes Silva"/>
        <s v="Dr, Alberto Raposo Jiménez"/>
        <s v="Dr, Francisco García Purriños"/>
        <s v="Dra, Nathalie Fages Cárceles"/>
        <s v="Dr, Carlos Vidal Redondo"/>
        <s v="Dr, Antonio Gandúl Merchán"/>
        <s v="Dr, Jaime Alonso Ochoa Ríos"/>
        <s v="Dr, Jesús Crovato Rojas"/>
        <s v="Dr, Carlos Félix Asensio Nieto"/>
        <s v="Dr, Jose Joaquín Lora Díaz"/>
        <s v="Dra, Stephany Rodríguez Mata"/>
        <s v="Dra, Lorena Sanz López"/>
        <s v="Dr, Agustín Campos Catalá"/>
        <s v="Dr, Jean Franco Intraprendente Martini"/>
        <s v="Dr, Luís Martínez Bernabeu"/>
        <s v="Dr, Manuel Mateos Fernández"/>
        <s v="Dra, Paula Martínez-Ruiz De Apocada"/>
        <s v="Dra, Vicky Galstyan Minasosa"/>
        <s v="Dr, Ignacio Llopez Carratalá"/>
        <s v="Dra, Cristina Molina Martínez"/>
        <s v="Dra, Mónica Granda Rosales"/>
        <s v="Dr, Andrés Paulino Herrera"/>
        <s v="Dr, María Jesús Cornejo Domínguez"/>
        <s v="Dra, Pilar Castro Ruiz"/>
        <s v="Dra, María Consolación Martín Pascual"/>
        <s v="Dr, Anselmo Padín Seara"/>
        <s v="Dr, Raed Maqued El Maqued"/>
        <s v="Dr, Héctor Vallés Varela"/>
        <s v="Dr, Pedro Gil Paraíso"/>
        <s v="Dr, Manuel Cañete Domínguez"/>
        <s v="Dr, Rafael Pérez González"/>
        <s v="Dr, Ángel Muñoz Herrera"/>
        <s v="Dra, Adela Pérez-Caro Ríos"/>
        <s v="Dr, Javier García Gómez"/>
        <s v="Dr, José Manuel García Solans-Esteras"/>
        <s v="Dra, Isabel Miranda García"/>
        <s v="Dra, Daniela Carolina Laguado Bulgheroni"/>
        <s v="Dr, Jose Antonio Sancipriano Hernández"/>
        <s v="Dr, Tomas Mogollon Cano Cortes"/>
        <s v="Dra, Isabel Pensado Banet"/>
        <s v="Dr, Enrique Gómez Aldaz"/>
        <s v="Dr, Francisco López Navas"/>
        <s v="Dr, Manuel Acuña García"/>
        <s v="Dra, Xenia Mota Rojas"/>
        <s v="Dra, Ana Fernández Rodríguez"/>
        <s v="Dr, Luis Miguel Rincón Esteban"/>
        <s v="Dr, Gabriel Martínez Capoccini"/>
        <s v="Dr, Enrique Ruiz Veguilla"/>
        <s v="Dr, Jonathan Esteban Sánchez"/>
        <s v="Dr, Francisco Javier Cerdán Baeza"/>
        <s v="Dr, Jesús Tomás Onrubia Parra"/>
        <s v="Dr, Francisco Pastor Beviá"/>
        <s v="Dr, Pedro Seguí Moya"/>
        <s v="Dr, Alfonso Santamaría Gadea"/>
        <s v="Dr, Francisco Ropero Romero"/>
        <s v="Dr, Mohamed Al Rifal Al Masti"/>
        <s v="Dra, Aida Aviñoa Arias"/>
        <s v="Dr, Pedro Barthe García"/>
        <s v="Dra, Isabel Menaches Guardiola"/>
        <s v="Dr, Antonio José Fernández Pérez"/>
        <s v="Dr, José Manuel Tamarit Conejeros"/>
        <s v="Dra, Estefanía Berrocal Postigo"/>
        <s v="Dra, Mónica Rodríguez Valero"/>
        <s v="Dr, Ricardo González-Orus"/>
        <s v="Dra, Natalia Gisseth Pulido Fonseca"/>
        <s v="No Recuerda Orl"/>
        <s v="Dr, David Castro Gutiérrez De Agüero"/>
        <s v="Dr, Miguel Vaca González"/>
        <s v="Dr, Álvaro Pérez Llinares"/>
        <s v="Dra, María Gabriela Bosco Morales"/>
        <s v="Dr, Abel Bogoya Castaño"/>
        <s v="Dr, Gonzalo Dorado Gutiérrez"/>
        <s v="Dra, Cristina Povedano Fernández"/>
        <s v="Dr, Joaquín Guerra Gómez"/>
        <s v="Dra, María Pérez Sepúlveda"/>
        <s v="Dr, Garikoitz Calzada Uriondo"/>
        <s v="Dr, Javier Olarieta Soto"/>
        <s v="Dra, Cristina García García"/>
        <s v="Dr, Guillermo Severá Ferrándiz"/>
        <s v="Dr, Félix Ruíz de la Cuesta Juste"/>
        <s v="Dra, Elisabeth Amarillo Espitia"/>
        <s v="Dra, Ana Gabriela Jover Espla"/>
        <s v="Dr, Fiorella Marcino Moreira"/>
        <s v="Dr, Ramón González Herranz"/>
        <s v="Dra, Rebeca Barrios Gonzalo"/>
        <s v="Dr, Àlex Ramírez Rosa"/>
        <s v="Dra, Itziar Álvarez Palacios"/>
        <s v="Dra, Beatriz Arana Fernández"/>
        <s v="Dra, Alicia Mateo Espinosa"/>
        <s v="Dra, Ana Ruiz Fornells Noreña"/>
        <s v="Dra, Beatriz Santos Duque"/>
        <s v="Dra, Laura Garrido García"/>
        <s v="Dr, Jesús Atalaya Díaz"/>
        <s v="Dr, Miguel Mayo Yáñez"/>
        <s v="Dr, Jesús Eduardo Ramírez Salas"/>
        <s v="Dra, Marina Madrigal Revuelta"/>
        <s v="Dra, Diana Lysbeth Lourido Piedrahita"/>
        <s v="Dr, Ernesto Varela Martínez"/>
        <s v="Dr, Pedro Blanco Pérez,"/>
        <s v="Dra, Nuria Mesuro Domínguez"/>
        <s v="Dra, María Jesús González Cortes"/>
        <s v="Dra, Mercedes Ceballos Cauto"/>
        <s v="Dr, Jorge Damborenea Tajada"/>
        <s v="Dra, Noelia García García"/>
        <s v="Dr, Isidoro Rubio Correa"/>
        <s v="Dra, Mercedes Álvarez-Buylla Blanco"/>
        <s v="Dr, José Eugenio Estrada Gromaz"/>
        <s v="Dr, Guillermo San Juan De La Moreta"/>
        <s v="Dr, Jaime Martín Carranza"/>
        <s v="Dr, Carlos Velásquez Fermín"/>
        <s v="Dr, Rubén Moreno Arrones"/>
        <s v="Dra, María Magdalena Pérez Ortín "/>
        <s v="Dr, Enrique López Meseguer"/>
        <s v="Dr, Manuel Gutiérrez Triguero"/>
        <s v="Dr, Miguel Antonio Shepherd González"/>
        <s v="Dra, María Emilia García Ruiz"/>
        <s v="Dra, Araceli González Delgado"/>
        <s v="Dr, Manuel Acebal Lucía"/>
        <s v="Dr, Juan Javier Álvarez López"/>
        <s v="Dra, María Teresa Almela Rojo"/>
        <s v="Dra, Mar Lasso De La Vega Zamora"/>
        <s v="Dr, Juan Maza Solano"/>
        <s v="Dra, María Del Mar Medina González"/>
        <s v="Dr, Óscar Alfonso Arenas Britez"/>
        <s v="Dra, Marta Paulos Novoa"/>
        <s v="Dra, María Antonia Rodríguez Castejón"/>
        <s v="Dr, Oscar A, Sánchez Valenzuela"/>
        <s v="Dra, Elena Martín Bejerano"/>
        <s v="Dra, Vania Novoa Juiz"/>
        <s v="Dra, Concepcion Rodríguez Izquierdo"/>
        <s v="Dra, Blanca Maria Martinez Duro"/>
        <s v="Dr, Javier Padilla Cabello"/>
        <s v="Dr, César Charles Martínez"/>
        <s v="Dra, Irene Mármol Szmobathy"/>
        <s v="Dr, Carlos De Paula Vernetta"/>
        <s v="Dr, Enrique Viviente Rodríguez"/>
        <s v="Dr, Antonio Rodríguez Rivero"/>
        <s v="Dr, Juan De Dios De La Calzada"/>
        <s v="Dra, María Del Mar Martínez Ruiz-Coello"/>
        <s v="Dra, Marta Abad Pascual"/>
        <s v="Dr, Joaquín Pérez Rull"/>
        <s v="Dr, Andrés Barrios Recio"/>
        <s v="Dr, Jose Antonio Torre Eiriz"/>
        <s v="Dr, Jaime Marco Algarra"/>
        <s v="Dra, Laura Yeguas Ramírez"/>
        <s v="Dra, Alejandra Jara Maquilón"/>
        <s v="Dr, Raúl Del Castillo López"/>
        <s v="Dr, Raimundo Gómez-Blasi"/>
        <s v="Dra, Esther De La O Corrochano"/>
        <s v="Dr, Ulises Bidón Gómez"/>
        <s v="Dr, Julio Knaster Del Olmo"/>
        <s v="Dr, Rafael Sanz Trenado"/>
        <s v="Dra, Angela Enterría González"/>
        <s v="Dra, Antonia Carranza Calleja"/>
        <s v="Dr, Joaquín Pérez Villar"/>
        <s v="Dr, José Miguel Tejada Bautista"/>
        <s v="Dra, Patricia Viveros Diez"/>
        <s v="Dr, Manuel Estevez García"/>
        <s v="Dr, Joaquim Broto Sumalla"/>
        <s v="Dr, Carlos Miguel Salvador Martínez"/>
        <s v="Dra, María Ángeles Herreros Sánchez"/>
        <s v="Dra, Cayetana López Ladrón García De La Borbolla"/>
        <s v="Dr, Rafael Alfonso Hurtado Ruzza"/>
        <s v="Dr, Félix Rodríguez Paz"/>
        <s v="Dr, Eviatar Friedlander"/>
        <s v="Dra, Elena Sevilla Heras"/>
        <s v="Dr, Enric Cisa Lluis"/>
        <s v="Dr, Javier Herrero Agustín"/>
        <s v="Dr, Miguel Rodriguez Pérez"/>
        <s v="Dr, José Víctor Tisner Nieto"/>
        <s v="Dra, Maria Ángeles Mate Bayon"/>
        <s v="Dra, Esther García López"/>
        <s v="Dra, Estrella Pallas Pallas"/>
        <s v="Dr, Carles Heredia Llinás"/>
        <s v="Dr, Miguel Alberto Rodríguez Pérez"/>
        <s v="Dra, Lucia Prieto Sánchez De La Puerta"/>
        <s v="Dra, Julia María Rouco Pérez"/>
        <s v="Dr, Francisco Javier Aguilar Vera"/>
        <s v="Dr, Pablo García González"/>
        <s v="Dr, Pedro Francisco Martínez Guisado"/>
        <s v="Dra, Anna Mateo Montfort"/>
        <s v="Dr, Luis Jiménez Ferreres"/>
        <s v="Dra, Carmen Hernández Torres"/>
        <s v="Dra, María José Naya Gálvez"/>
        <s v="Dr, Guillermo Sierra Galera"/>
        <s v="Dr, Pablo Sarrió Solera"/>
        <s v="Dra, María José Gámiz Maroto"/>
        <s v="Dr, Daniel Briones Crespo"/>
        <s v="Dr, Iván Muerte Moreno"/>
        <s v="Dr, Cristina Alonso González"/>
        <s v="Dra, Cristina Muñoz Pinto"/>
        <s v="Dr, Oscar Alemán López"/>
        <s v="Dr, Javier Gavilanes Plasencia"/>
        <s v="Dr, Juan Ignacio Riestra Ayora"/>
        <s v="Dra, Nuria Salas Barrio"/>
        <s v="Dra, Ana María Sánchez-Prieto Fernández"/>
        <s v="Dr, Pedro Masegosa Zapata"/>
        <s v="Dr, Juan Pedro Rubio Rodríguez"/>
        <s v="Dra, María Teresa Cervilla Martín"/>
        <s v="Dra, Montserrat Portell Soriano"/>
        <s v="Dra, Maria Del Rocío Lobato Pérez"/>
        <s v="Dra, Eva Ruiz De Gauna"/>
        <s v="Dr, José Ramiro De León Lima"/>
        <s v="Dr, Raimon García Chillerón"/>
        <s v="Dr, Gustavo Benavente Bermudo"/>
        <s v="Dr, Javier Lafarga Vázquez"/>
        <s v="Dr, Javier Padilla Caballero"/>
        <s v="Dra, Marta Sandoval Puig"/>
        <s v="Dr, Pablo Vergés Fort"/>
        <s v="Dra, Salwa Laraqui Hossini"/>
        <s v="Dra, Anastasiya Audiyuk Martynyuk"/>
        <s v="Dr, Vicente Mira Escartí"/>
        <s v="Dra, Desirée Méndez Brenderbache"/>
        <s v="Dra, Paloma Pinacho Martínez"/>
        <s v="Dra, Laura Ruano De Pablo"/>
        <s v="Dr, Álvaro Sánchez de Arriba"/>
        <s v="Dra, Laura Gálvez Gazo"/>
        <s v="Dra, María Fernanda Escala Pedreros"/>
        <s v="Dra, Socorro Tedín García"/>
        <s v="Dra, Paloma Martín Díaz"/>
        <s v="Dra, Rocío Corrales Millán"/>
        <s v="Dr, Juan Pedro Benaixa"/>
        <s v="Dr, Francisco Alés Conejo"/>
        <s v="Dra, Ainhoa Moreno Bravo"/>
        <s v="Dra, Celia López Molla"/>
        <s v="Dr, Martín Eduardo Marcano Acuña"/>
        <s v="Dr, José Montalt Marco"/>
        <s v="Dra, Ainhoa García-Lliberos de Miguel"/>
        <s v="Dra, Mariella Anaya Sifuentes"/>
        <s v="Dra, María Begoña Capella Soriano"/>
        <s v="Dr, Enrique Romero Van Abeleen"/>
        <s v="Dra, Raquel Solis Vazquez"/>
        <s v="Dr, Manuel Martí Peña"/>
        <s v="Dr, Josep Maria Orrit Arenas"/>
        <s v="Dra, Marta Calvo Pérez"/>
        <s v="Dr, Juan José Tavarez Rodríguez"/>
        <s v="Dr, Eduardo Cabanas Rodríguez"/>
        <s v="Dra, Isabel Vaamonde Sanchez Andrade"/>
        <s v="Dra, Luisa Payá Pérez"/>
        <s v="Dra, Paula Hernández Ruíz"/>
        <s v="Dra, Ithzel Maria Villarreal Patiño"/>
        <s v="Dra, Miriam Hamdham"/>
        <s v="Dra, Cristina Marín Garrido"/>
        <s v="Dr, Gumersindo Jesús Pérez Ortega"/>
        <s v="Dr, Ignacio Erdozáin Rodríguez"/>
        <s v="Dr, Franklin S, Mariño Sánchez"/>
        <s v="Dr, Carlos Armiño Megido"/>
        <s v="Dra, Alicia Gómez cabezas"/>
        <s v="Dr, Ivan Mendez- Benegassi Silva"/>
        <s v="Dra, Marta Chaurre Cordero"/>
        <s v="Dra, Inmaculada Sancho Martín"/>
        <s v="Dra, Aurora López Llames"/>
        <s v="Dr, Jorge Alberto Jiménez Antolín"/>
        <s v="Dra, María Soledad Frías Moya-Angeler"/>
        <s v="Dr, Abel Guzmán Calvete"/>
        <s v="Dr, Carlos Frade González"/>
        <s v="Dra, Marta Fernández Míguez"/>
        <s v="Dr, Amer Souki Chmeitt"/>
        <s v="Dra, Marta García Jiménez"/>
        <s v="Dr, Jaime Leache Pueyo"/>
        <s v="Dr, Daniel Unigarro Londoño"/>
        <s v="Dr, Coloma Grau Van Laak"/>
        <s v="Dr, Alfonso Plaza López"/>
        <s v="Dra, Patricia García Vicente"/>
        <s v="Dr, José García Morillas"/>
        <s v="Dra, Inés Pastor Basterra"/>
        <s v="Dr, Darío Agudelo García"/>
        <s v="Dra, Rocío Corrales Martín"/>
        <s v="Dr, Daniel Moreno Jimenez"/>
        <s v="Dra, Beatriz Rodríguez González Herrero"/>
        <s v="Dr, Gerardo Monedero Rodrigo"/>
        <s v="Dra, Paula del Valle Gómez"/>
        <s v="Dr, Francisco Ramos Puerto"/>
        <s v="Dra, Blanca Marly de Alós"/>
        <s v="Dr, Ángel Ángel de Miguel"/>
        <s v="Dra, Vanesa Pérez Guillén"/>
        <s v="Dr, Juan Carlos Del Pozo De Dios"/>
        <s v="Dra, Zoila Peña Rodríguez"/>
        <s v="Dr, Joan Remacha Sardà"/>
        <s v="Dr, Miguel F, García Wagner"/>
        <s v="Dra, Daniela Terán Guamán"/>
        <s v="Dra, María Cecilia Scola Torres"/>
        <s v="Dr, Ignacio Jiménez Huerta"/>
        <s v="Dra, Maria Del Carmen Salom Coveñas"/>
        <s v="Dr, Alfonso Marco Garrido"/>
        <s v="Dra, María Del Rocío Lobato Pérez"/>
        <s v="Dra, Paloma Martín-Aragón Martín"/>
        <s v="Dra, Sara Jubés Monforte"/>
        <s v="Dra, Andrea Cifuentes Navas"/>
        <s v="Dra, Sara Fernandez Cascón"/>
        <s v="Dra, María Sol Marcos Salazar"/>
        <s v="Dra, Mónica Rodríguez Briceño"/>
        <s v="Dr, Camilo Rodríguez Van Strahle"/>
        <s v="Dra, Paula López Mesa"/>
        <s v="Dr, Lino Enguidanos Hernandorena"/>
        <s v="Dr, Salwa Laraqui Hossini"/>
        <s v="Dra, Marta Colmenero Ruiz"/>
        <s v="Dr, Manuel Tucciarone"/>
        <s v="Dr, Ignacio Aristegui Torrano"/>
        <s v="Dra, Clara Beltrán Yturriaga"/>
        <s v="Dr, Juan David Lara Lozano"/>
        <s v="Dra, María Elena García García"/>
        <s v="Dr, javier Gamboa Mutuberria"/>
        <s v="Dra, Paula Martinez Pascual"/>
        <s v="Dra, Mª José Lesmas Navarro"/>
        <s v="Dr, Antonio Gustavo Lirola Delgado"/>
        <s v="Dr, Carlos Montero García"/>
        <s v="Dr, Isabel Vaamonde Sanchez Andrade"/>
        <s v="Dr, Francisco Esteban Ortega"/>
        <s v="Dra, Mónica Rueda Vega"/>
        <s v="Dr, Rafael Ruiz Fito"/>
        <s v="Dra, Alba Domínguez Palos"/>
        <s v="Dra, Laura Espinosa Fernández"/>
        <s v="Dra, Maria Teresa Cervilla Martín"/>
        <s v="Dra, Dolores Romero Panadero"/>
        <s v="Dr, Manuel Segundo Gómez Fiñana"/>
        <s v="Dr, Atonio Burgos Sánchez"/>
        <s v="Dr, Fernando García Alcántara"/>
        <s v="Dra, Belén Clemente Cuartero"/>
        <s v="Dr, José María Hernández Hernández"/>
        <s v="Dra Mª Soledad Frías Moya-Angeler"/>
        <s v="Dra, Paula Morales Chacchi"/>
        <s v="Dr, Ignacio Pla Gil"/>
        <s v="Dra, María Del Rosario De Saa Álvarez"/>
        <s v="Dra, Virginia Barrios Crispi"/>
        <s v="Dr, Mercedes Ceballos Cauto"/>
        <s v="Dra, Paula Rodríguez Rivas"/>
        <s v="Dr, Fernando Martín Peña"/>
        <s v="Dr, José Manuel Morales Puebla"/>
        <s v="Dra, Manuela Calderón Sánchez"/>
        <s v="Dra, Carmen Fernández-Cedrón Bermejo"/>
        <s v="Dra, Karla Natali Montaño Rueda"/>
        <s v="Dra, Inmaculada Giraldo Mata"/>
        <s v="Dr, Enrique González Sánchez"/>
        <s v="Dr, Alfonso Rodríguez Fabio"/>
        <s v="Dra, Diana Hernán Pérez"/>
        <s v="Dra, María Rosario Ruiz Gómez"/>
        <s v="Dra, Viviana Andrea"/>
        <s v="Dr, Alfonso Aracil Montesinos"/>
        <s v="Dr, Antonio Galindo Fernández"/>
        <s v="Dra, Elvylins Vargas Yglesia"/>
        <s v="Dra, Mª Luisa Calero Ramos"/>
        <s v="Dr, Francisco Delgado Álvarez"/>
        <s v="Dr, Guillermo Severá Ferrandiz"/>
        <s v="Dr, Miguel Lucas Herrera"/>
        <s v="Dra, Marta Sanz Rodríguez"/>
        <s v="Dr, Carlos Calvo Navarro"/>
        <s v="Dr,Manuel Padilla Parrado"/>
        <s v="Dr, Miguel Ángel Fernández Andrade"/>
        <s v="Dr, Jose María Cordoncillo Prieto"/>
        <s v="Dra, Esther Macon Liquete"/>
        <s v="Dra, Laura Guillamon Vivancos"/>
        <s v="Dr, Manuel González Juliao"/>
        <s v="Dra, Sara Tanboura López"/>
        <s v="Dra, Anna Ferrer Guiu_x000a_"/>
        <s v="Dr. Carlos Barajas Del Rosal"/>
        <s v="RAQUEL GARCÍA MENCHERO"/>
        <s v="Dr. Manuel Acuña García"/>
        <s v="Dr. Miguel Mayo Yáñez"/>
        <s v="Dr. Jesús Eduardo Ramírez Salas"/>
        <s v="Dr, Ignacio Sierra Arbide"/>
        <s v="Dr. Rafael Pérez González"/>
        <s v="Dr, Alfonso García Piñero"/>
        <s v="Dra. Mónica Granda Rosales"/>
        <s v="Dr, Francisco José Estrada Molina"/>
        <s v="Dra, Esther De La O Corochano"/>
        <s v="Dr, José Miguel Aparicio Fernández"/>
        <s v="Dra, Elena Molina Fernández"/>
        <s v="WEB RAQUEL GARCÍA"/>
        <s v="Dr, Fabio Fernández Mateos"/>
        <s v="Dra, María López Robles"/>
        <s v="Dra, María Romero Marchante"/>
        <s v="Dr, Antonio Cortés Lladó"/>
        <s v="Dra, Inmaculada Puíg González"/>
        <s v="Dra, Isabel Bustillo García"/>
        <s v="Dra, Alba Molina Moreno"/>
        <m/>
      </sharedItems>
    </cacheField>
    <cacheField name="NOMBRE VISITADOR" numFmtId="0">
      <sharedItems containsBlank="1" count="12">
        <s v="Maika Blázquez (Madrid)"/>
        <s v="Iván Sánchez (Levante Y Albacete)"/>
        <s v="Lisandro Russian (Madrid, Cáceres, Toledo, Talavera Y Logroño)"/>
        <s v="Ramon Ferrando(Valencia)"/>
        <s v="Mercè Cabrera (Cataluña Y Baleares)"/>
        <s v="Roberto Pereira (Galicia)"/>
        <s v="Luis Alberto Rodríguez (Andalucía Y Badajoz)"/>
        <s v="Patricia Solache (Castilla Y León)"/>
        <s v="Alberto Moreno"/>
        <s v="Alberto Moreno (Madrid)"/>
        <s v="Ignacio Berdejo (Zaragoza)"/>
        <m/>
      </sharedItems>
    </cacheField>
    <cacheField name=" " numFmtId="0">
      <sharedItems containsString="0" containsBlank="1" count="1">
        <m/>
      </sharedItems>
    </cacheField>
    <cacheField name=" 2" numFmtId="0">
      <sharedItems containsString="0" containsBlank="1" count="1">
        <m/>
      </sharedItems>
    </cacheField>
    <cacheField name=" 3" numFmtId="0">
      <sharedItems containsString="0" containsBlank="1" count="1">
        <m/>
      </sharedItems>
    </cacheField>
    <cacheField name=" 4" numFmtId="0">
      <sharedItems containsString="0" containsBlank="1" count="1">
        <m/>
      </sharedItems>
    </cacheField>
    <cacheField name=" 5" numFmtId="0">
      <sharedItems containsString="0" containsBlank="1" count="1">
        <m/>
      </sharedItems>
    </cacheField>
    <cacheField name=" 6" numFmtId="0">
      <sharedItems containsString="0" containsBlank="1" count="1">
        <m/>
      </sharedItems>
    </cacheField>
    <cacheField name=" 7" numFmtId="0">
      <sharedItems containsString="0" containsBlank="1" count="1">
        <m/>
      </sharedItems>
    </cacheField>
    <cacheField name=" 8" numFmtId="0">
      <sharedItems containsString="0" containsBlank="1" count="1">
        <m/>
      </sharedItems>
    </cacheField>
    <cacheField name=" 9" numFmtId="0">
      <sharedItems containsString="0" containsBlank="1" count="1">
        <m/>
      </sharedItems>
    </cacheField>
    <cacheField name=" 10" numFmtId="0">
      <sharedItems containsString="0" containsBlank="1" count="1">
        <m/>
      </sharedItems>
    </cacheField>
    <cacheField name=" 11" numFmtId="0">
      <sharedItems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OnLoad="1" refreshedDate="0" recordCount="0" xr:uid="{00000000-000A-0000-FFFF-FFFF03000000}">
  <cacheSource type="worksheet">
    <worksheetSource ref="A1:AA2061" sheet="ventas_2024"/>
  </cacheSource>
  <cacheFields count="27">
    <cacheField name="Mes" numFmtId="3">
      <sharedItems containsString="0" containsBlank="1" containsNumber="1" containsInteger="1" count="13">
        <n v="1"/>
        <n v="2"/>
        <n v="3"/>
        <n v="4"/>
        <n v="5"/>
        <n v="6"/>
        <n v="7"/>
        <n v="8"/>
        <n v="9"/>
        <n v="10"/>
        <n v="11"/>
        <n v="12"/>
        <m/>
      </sharedItems>
    </cacheField>
    <cacheField name="Mes nombre" numFmtId="4">
      <sharedItems containsBlank="1" count="13">
        <s v="ENERO"/>
        <s v="FEBRERO"/>
        <s v="MARZO"/>
        <s v="ABRIL"/>
        <s v="MAYO"/>
        <s v="JUNIO"/>
        <s v="JULIO"/>
        <s v="AGOSTO"/>
        <s v="SEPTIEMBRE"/>
        <s v="OCTUBRE"/>
        <s v="Noviembre"/>
        <s v="Diciembre"/>
        <m/>
      </sharedItems>
    </cacheField>
    <cacheField name="FECHA DE ALTA" numFmtId="165">
      <sharedItems containsDate="1" containsString="0" containsBlank="1" count="347">
        <d v="2023-12-12T00:00:00"/>
        <d v="2023-12-13T00:00:00"/>
        <d v="2023-11-15T00:00:00"/>
        <d v="2023-11-10T00:00:00"/>
        <d v="2023-12-05T00:00:00"/>
        <d v="2023-11-22T00:00:00"/>
        <d v="2023-11-20T00:00:00"/>
        <d v="2023-11-29T00:00:00"/>
        <d v="2023-06-13T00:00:00"/>
        <d v="2023-11-27T00:00:00"/>
        <d v="2023-11-21T00:00:00"/>
        <d v="2023-11-28T00:00:00"/>
        <d v="2023-11-13T00:00:00"/>
        <d v="2023-02-27T00:00:00"/>
        <d v="2023-12-21T00:00:00"/>
        <d v="2023-09-28T00:00:00"/>
        <d v="2023-12-01T00:00:00"/>
        <d v="2023-12-19T00:00:00"/>
        <d v="2023-11-06T00:00:00"/>
        <d v="2023-07-25T00:00:00"/>
        <d v="2020-12-02T00:00:00"/>
        <d v="2023-12-04T00:00:00"/>
        <d v="2023-12-15T00:00:00"/>
        <d v="2023-11-24T00:00:00"/>
        <d v="2023-12-26T00:00:00"/>
        <d v="2023-11-17T00:00:00"/>
        <d v="2023-12-28T00:00:00"/>
        <d v="2023-11-30T00:00:00"/>
        <d v="2023-11-23T00:00:00"/>
        <d v="2023-10-17T00:00:00"/>
        <d v="2023-10-20T00:00:00"/>
        <d v="2023-12-07T00:00:00"/>
        <d v="2023-12-11T00:00:00"/>
        <d v="2023-11-09T00:00:00"/>
        <d v="2023-12-20T00:00:00"/>
        <d v="2022-12-12T00:00:00"/>
        <d v="2023-10-16T00:00:00"/>
        <d v="2023-05-22T00:00:00"/>
        <d v="2023-11-16T00:00:00"/>
        <d v="2023-12-22T00:00:00"/>
        <d v="2023-12-29T00:00:00"/>
        <d v="2024-01-04T00:00:00"/>
        <d v="2024-01-16T00:00:00"/>
        <d v="2022-10-14T00:00:00"/>
        <d v="2023-12-14T00:00:00"/>
        <d v="2024-01-09T00:00:00"/>
        <d v="2023-05-10T00:00:00"/>
        <d v="2024-01-11T00:00:00"/>
        <d v="2024-01-10T00:00:00"/>
        <d v="2024-01-03T00:00:00"/>
        <d v="2024-01-08T00:00:00"/>
        <d v="2022-09-26T00:00:00"/>
        <d v="2023-01-30T00:00:00"/>
        <d v="2024-01-05T00:00:00"/>
        <d v="2022-08-26T00:00:00"/>
        <d v="2023-11-14T00:00:00"/>
        <d v="2024-02-17T00:00:00"/>
        <d v="2024-01-02T00:00:00"/>
        <d v="2023-12-27T00:00:00"/>
        <d v="2024-01-23T00:00:00"/>
        <d v="2023-11-03T00:00:00"/>
        <d v="2024-01-18T00:00:00"/>
        <d v="2024-01-24T00:00:00"/>
        <d v="2023-10-30T00:00:00"/>
        <d v="2023-12-18T00:00:00"/>
        <d v="2023-05-24T00:00:00"/>
        <d v="2024-01-30T00:00:00"/>
        <d v="2024-02-05T00:00:00"/>
        <d v="2024-01-22T00:00:00"/>
        <d v="2024-01-17T00:00:00"/>
        <d v="2024-01-15T00:00:00"/>
        <d v="2023-10-05T00:00:00"/>
        <d v="2024-01-26T00:00:00"/>
        <d v="2024-01-12T00:00:00"/>
        <d v="2023-04-19T00:00:00"/>
        <d v="2024-01-29T00:00:00"/>
        <d v="2024-01-25T00:00:00"/>
        <d v="2023-11-02T00:00:00"/>
        <d v="2023-10-13T00:00:00"/>
        <d v="2024-01-19T00:00:00"/>
        <d v="2023-01-19T00:00:00"/>
        <d v="2024-02-07T00:00:00"/>
        <d v="2023-09-19T00:00:00"/>
        <d v="2023-08-17T00:00:00"/>
        <d v="2024-01-31T00:00:00"/>
        <d v="2024-02-19T00:00:00"/>
        <d v="2024-02-02T00:00:00"/>
        <d v="2024-02-12T00:00:00"/>
        <d v="2024-02-16T00:00:00"/>
        <d v="2024-02-08T00:00:00"/>
        <d v="2024-02-01T00:00:00"/>
        <d v="2024-02-06T00:00:00"/>
        <d v="2023-10-04T00:00:00"/>
        <d v="2024-02-15T00:00:00"/>
        <d v="2024-02-09T00:00:00"/>
        <d v="2024-03-04T00:00:00"/>
        <d v="2024-02-14T00:00:00"/>
        <d v="2024-02-13T00:00:00"/>
        <d v="2023-07-17T00:00:00"/>
        <d v="2024-02-21T00:00:00"/>
        <d v="2023-06-21T00:00:00"/>
        <d v="2023-05-17T00:00:00"/>
        <d v="2024-02-27T00:00:00"/>
        <d v="2024-02-20T00:00:00"/>
        <d v="2023-10-02T00:00:00"/>
        <d v="2024-02-28T00:00:00"/>
        <d v="2024-02-26T00:00:00"/>
        <d v="2021-05-03T00:00:00"/>
        <d v="2024-03-07T00:00:00"/>
        <d v="2022-06-06T00:00:00"/>
        <d v="2021-09-30T00:00:00"/>
        <d v="2024-03-05T00:00:00"/>
        <d v="2021-10-19T00:00:00"/>
        <d v="2024-02-23T00:00:00"/>
        <d v="2024-03-01T00:00:00"/>
        <d v="2024-03-08T00:00:00"/>
        <d v="2023-03-02T00:00:00"/>
        <d v="2024-02-22T00:00:00"/>
        <d v="2024-03-06T00:00:00"/>
        <d v="2024-02-29T00:00:00"/>
        <d v="2024-03-27T00:00:00"/>
        <d v="2023-05-03T00:00:00"/>
        <d v="2018-01-03T00:00:00"/>
        <d v="2024-03-19T00:00:00"/>
        <d v="2024-03-11T00:00:00"/>
        <d v="2024-03-14T00:00:00"/>
        <d v="2024-03-13T00:00:00"/>
        <d v="2024-03-21T00:00:00"/>
        <d v="2024-04-08T00:00:00"/>
        <d v="2024-03-25T00:00:00"/>
        <d v="2024-03-20T00:00:00"/>
        <d v="2024-03-15T00:00:00"/>
        <d v="2024-03-18T00:00:00"/>
        <d v="2024-04-04T00:00:00"/>
        <d v="2023-10-19T00:00:00"/>
        <d v="2024-04-01T00:00:00"/>
        <d v="2024-04-02T00:00:00"/>
        <d v="2024-04-05T00:00:00"/>
        <d v="2024-03-22T00:00:00"/>
        <d v="2021-11-25T00:00:00"/>
        <d v="2024-04-09T00:00:00"/>
        <d v="2023-08-04T00:00:00"/>
        <d v="2024-03-26T00:00:00"/>
        <d v="2022-11-28T00:00:00"/>
        <d v="2024-04-16T00:00:00"/>
        <d v="2023-03-22T00:00:00"/>
        <d v="2024-04-03T00:00:00"/>
        <d v="2024-04-10T00:00:00"/>
        <d v="2022-06-27T00:00:00"/>
        <d v="2024-03-12T00:00:00"/>
        <d v="2024-04-15T00:00:00"/>
        <d v="2023-06-26T00:00:00"/>
        <d v="2024-04-19T00:00:00"/>
        <d v="2024-04-12T00:00:00"/>
        <d v="2024-04-26T00:00:00"/>
        <d v="2024-04-11T00:00:00"/>
        <d v="2024-04-17T00:00:00"/>
        <d v="2024-04-18T00:00:00"/>
        <d v="2024-04-24T00:00:00"/>
        <d v="2024-04-25T00:00:00"/>
        <d v="2024-04-22T00:00:00"/>
        <d v="2024-04-23T00:00:00"/>
        <d v="2024-03-23T00:00:00"/>
        <d v="2023-10-31T00:00:00"/>
        <d v="2023-04-12T00:00:00"/>
        <d v="2024-05-06T00:00:00"/>
        <d v="2024-04-29T00:00:00"/>
        <d v="2024-05-03T00:00:00"/>
        <d v="2023-09-14T00:00:00"/>
        <d v="2024-05-02T00:00:00"/>
        <d v="2024-05-13T00:00:00"/>
        <d v="2024-05-07T00:00:00"/>
        <d v="2024-05-15T00:00:00"/>
        <m/>
        <d v="2024-04-30T00:00:00"/>
        <d v="2024-05-14T00:00:00"/>
        <d v="2024-05-09T00:00:00"/>
        <d v="2024-05-20T00:00:00"/>
        <d v="2022-10-10T00:00:00"/>
        <d v="2024-05-10T00:00:00"/>
        <d v="2024-05-28T00:00:00"/>
        <d v="2024-05-21T00:00:00"/>
        <d v="2024-05-08T00:00:00"/>
        <d v="2024-05-27T00:00:00"/>
        <d v="2024-05-17T00:00:00"/>
        <d v="2024-05-29T00:00:00"/>
        <d v="2023-07-06T00:00:00"/>
        <d v="2024-06-07T00:00:00"/>
        <d v="2024-06-11T00:00:00"/>
        <d v="2023-04-28T00:00:00"/>
        <d v="2024-05-31T00:00:00"/>
        <d v="2024-05-23T00:00:00"/>
        <d v="2024-05-24T00:00:00"/>
        <d v="2024-06-05T00:00:00"/>
        <d v="2024-06-03T00:00:00"/>
        <d v="2024-06-12T00:00:00"/>
        <d v="2023-02-23T00:00:00"/>
        <d v="2024-05-22T00:00:00"/>
        <d v="2024-05-30T00:00:00"/>
        <d v="2024-06-04T00:00:00"/>
        <d v="2024-05-16T00:00:00"/>
        <d v="2024-06-25T00:00:00"/>
        <d v="2024-06-13T00:00:00"/>
        <d v="2024-06-10T00:00:00"/>
        <d v="2024-06-20T00:00:00"/>
        <d v="2024-06-14T00:00:00"/>
        <d v="2024-06-28T00:00:00"/>
        <d v="2024-07-05T00:00:00"/>
        <d v="2024-06-19T00:00:00"/>
        <d v="2024-06-06T00:00:00"/>
        <d v="2024-06-18T00:00:00"/>
        <d v="2024-06-26T00:00:00"/>
        <d v="2024-06-24T00:00:00"/>
        <d v="2024-07-03T00:00:00"/>
        <d v="2024-07-01T00:00:00"/>
        <d v="2024-06-21T00:00:00"/>
        <d v="2023-05-25T00:00:00"/>
        <d v="2024-06-27T00:00:00"/>
        <d v="2024-07-02T00:00:00"/>
        <d v="2024-07-04T00:00:00"/>
        <d v="2024-07-08T00:00:00"/>
        <d v="2024-06-16T00:00:00"/>
        <d v="2024-07-23T00:00:00"/>
        <d v="2024-03-03T00:00:00"/>
        <d v="2024-06-09T00:00:00"/>
        <d v="2024-07-10T00:00:00"/>
        <d v="2024-07-09T00:00:00"/>
        <d v="2024-07-22T00:00:00"/>
        <d v="2023-09-18T00:00:00"/>
        <d v="2024-06-23T00:00:00"/>
        <d v="2024-07-15T00:00:00"/>
        <d v="2024-07-24T00:00:00"/>
        <d v="2024-07-11T00:00:00"/>
        <d v="2024-06-17T00:00:00"/>
        <d v="2023-05-09T00:00:00"/>
        <d v="2024-08-20T00:00:00"/>
        <d v="2024-07-17T00:00:00"/>
        <d v="2024-07-30T00:00:00"/>
        <d v="2024-07-16T00:00:00"/>
        <d v="2024-08-05T00:00:00"/>
        <d v="2024-08-26T00:00:00"/>
        <d v="2024-07-31T00:00:00"/>
        <d v="2024-07-12T00:00:00"/>
        <d v="2024-07-29T00:00:00"/>
        <d v="2024-08-06T00:00:00"/>
        <d v="2024-08-14T00:00:00"/>
        <d v="2024-08-09T00:00:00"/>
        <d v="2024-08-12T00:00:00"/>
        <d v="2024-08-02T00:00:00"/>
        <d v="2024-08-07T00:00:00"/>
        <d v="2024-08-16T00:00:00"/>
        <d v="2023-02-26T00:00:00"/>
        <d v="2024-09-03T00:00:00"/>
        <d v="2024-09-02T00:00:00"/>
        <d v="2024-08-22T00:00:00"/>
        <d v="2024-08-01T00:00:00"/>
        <d v="2023-04-18T00:00:00"/>
        <d v="2024-08-29T00:00:00"/>
        <d v="2024-08-19T00:00:00"/>
        <d v="2024-07-18T00:00:00"/>
        <d v="2024-08-27T00:00:00"/>
        <d v="2014-10-29T00:00:00"/>
        <d v="2024-08-21T00:00:00"/>
        <d v="2024-09-12T00:00:00"/>
        <d v="2024-09-09T00:00:00"/>
        <d v="2024-09-04T00:00:00"/>
        <d v="2024-09-05T00:00:00"/>
        <d v="2024-09-11T00:00:00"/>
        <d v="2024-08-30T00:00:00"/>
        <d v="2024-09-16T00:00:00"/>
        <d v="2024-07-26T00:00:00"/>
        <d v="2024-09-19T00:00:00"/>
        <d v="2024-09-10T00:00:00"/>
        <d v="2024-08-08T00:00:00"/>
        <d v="2024-08-13T00:00:00"/>
        <d v="2024-08-28T00:00:00"/>
        <d v="2018-11-21T00:00:00"/>
        <d v="2024-09-13T00:00:00"/>
        <d v="2024-09-24T00:00:00"/>
        <d v="2024-09-20T00:00:00"/>
        <d v="2024-09-17T00:00:00"/>
        <d v="2024-09-23T00:00:00"/>
        <d v="2024-09-27T00:00:00"/>
        <d v="2024-09-25T00:00:00"/>
        <d v="2024-10-04T00:00:00"/>
        <d v="2024-10-01T00:00:00"/>
        <d v="2024-09-26T00:00:00"/>
        <d v="2024-10-07T00:00:00"/>
        <d v="2024-09-30T00:00:00"/>
        <d v="2023-06-06T00:00:00"/>
        <d v="2024-10-03T00:00:00"/>
        <d v="2024-09-18T00:00:00"/>
        <d v="2024-07-25T00:00:00"/>
        <d v="2024-10-11T00:00:00"/>
        <d v="2024-10-16T00:00:00"/>
        <d v="2024-10-02T00:00:00"/>
        <d v="2024-10-08T00:00:00"/>
        <d v="2024-10-09T00:00:00"/>
        <d v="2024-10-10T00:00:00"/>
        <d v="2024-10-17T00:00:00"/>
        <d v="2024-10-14T00:00:00"/>
        <d v="2024-10-15T00:00:00"/>
        <d v="2024-11-06T00:00:00"/>
        <d v="2023-06-18T00:00:00"/>
        <d v="2024-10-23T00:00:00"/>
        <d v="2024-10-21T00:00:00"/>
        <d v="2024-10-18T00:00:00"/>
        <d v="2024-11-04T00:00:00"/>
        <d v="2024-11-08T00:00:00"/>
        <d v="2024-11-05T00:00:00"/>
        <d v="2023-04-11T00:00:00"/>
        <d v="2024-10-28T00:00:00"/>
        <d v="2024-10-24T00:00:00"/>
        <d v="2024-10-31T00:00:00"/>
        <d v="2024-10-29T00:00:00"/>
        <d v="2024-10-22T00:00:00"/>
        <d v="2024-11-11T00:00:00"/>
        <d v="2024-10-30T00:00:00"/>
        <d v="2024-11-25T00:00:00"/>
        <d v="2024-11-15T00:00:00"/>
        <d v="2024-11-20T00:00:00"/>
        <d v="2024-11-13T00:00:00"/>
        <d v="2024-12-03T00:00:00"/>
        <d v="2024-11-07T00:00:00"/>
        <d v="2024-12-10T00:00:00"/>
        <d v="2024-11-12T00:00:00"/>
        <d v="2024-11-26T00:00:00"/>
        <d v="2024-08-23T00:00:00"/>
        <d v="2024-12-09T00:00:00"/>
        <d v="2024-12-11T00:00:00"/>
        <d v="2024-11-22T00:00:00"/>
        <d v="2024-11-27T00:00:00"/>
        <d v="2024-11-19T00:00:00"/>
        <d v="2024-12-02T00:00:00"/>
        <d v="2024-11-21T00:00:00"/>
        <d v="2024-11-14T00:00:00"/>
        <d v="2024-11-10T00:00:00"/>
        <d v="2016-11-16T00:00:00"/>
        <d v="2024-11-29T00:00:00"/>
        <d v="2024-12-04T00:00:00"/>
        <d v="2024-12-27T00:00:00"/>
        <d v="2024-11-28T00:00:00"/>
        <d v="2024-11-18T00:00:00"/>
        <d v="2019-11-09T00:00:00"/>
        <d v="2022-06-23T00:00:00"/>
        <d v="2024-10-25T00:00:00"/>
        <d v="2024-12-19T00:00:00"/>
      </sharedItems>
    </cacheField>
    <cacheField name="RECOMPRAVACIÓN" numFmtId="4">
      <sharedItems containsBlank="1" count="3">
        <s v="COMPRA"/>
        <s v="RENOVACIÓN"/>
        <m/>
      </sharedItems>
    </cacheField>
    <cacheField name="Centro" numFmtId="0">
      <sharedItems containsBlank="1" count="60">
        <s v="Getafe"/>
        <s v="Móstoles"/>
        <s v="Sevilla- Ciencias"/>
        <s v="Sevilla- Montoto"/>
        <s v="Alfaz del Pi"/>
        <s v="Alicante"/>
        <s v="Fuenlabrada"/>
        <s v="Madrid- Moratalaz"/>
        <s v="Palencia"/>
        <s v="Ponferrada"/>
        <s v="Madrid- Costa Rica"/>
        <s v="Murcia"/>
        <s v="Valencia- Cádiz"/>
        <s v="Valladolid"/>
        <s v="Madrid- La Oca"/>
        <s v="Logroño"/>
        <s v="Salamanca"/>
        <s v="Boiro"/>
        <s v="Vigo"/>
        <s v="Terrassa"/>
        <s v="Torrejón de Ardoz"/>
        <s v="Barcelona- Córcega"/>
        <s v="Cáceres"/>
        <s v="A Estrada"/>
        <s v="Leganés"/>
        <s v="Madrid- Canillas"/>
        <s v="Madrid- Galileo"/>
        <s v="Zaragoza"/>
        <s v="A Coruña"/>
        <s v="Madrid- Juan Bravo"/>
        <s v="Hospitalet de Llobregat"/>
        <s v="Carballo"/>
        <s v="Lalín"/>
        <s v="San Javier"/>
        <s v="Barcelona- Fabra i Puig"/>
        <s v="Madrid- Monforte De Lemos"/>
        <s v="Orihuela"/>
        <s v="Lugo"/>
        <s v="Ourense"/>
        <s v="Talavera"/>
        <s v="Cuenca"/>
        <s v="Alcorcón"/>
        <s v="Almería"/>
        <s v="Albacete"/>
        <s v="Oviedo"/>
        <s v="León"/>
        <s v="Vilanova"/>
        <s v="Santiago De Compostela"/>
        <s v="Badajoz"/>
        <s v="Girona"/>
        <s v="Toledo"/>
        <s v="Gijón"/>
        <s v="Culleredo"/>
        <s v="Vilagarcía De Arousa"/>
        <s v="Plasencia"/>
        <s v="Cambados"/>
        <s v="O Barco"/>
        <s v="Valencia- Parra"/>
        <s v="Badajoz Europa"/>
        <m/>
      </sharedItems>
    </cacheField>
    <cacheField name="Captación" numFmtId="0">
      <sharedItems containsBlank="1" count="6">
        <s v="03 ORL"/>
        <s v="01 MARKETING ON LINE"/>
        <s v="ORL"/>
        <s v="4 ORL"/>
        <s v="04 TIENDA"/>
        <m/>
      </sharedItems>
    </cacheField>
    <cacheField name="Captación 2" numFmtId="0">
      <sharedItems containsBlank="1" count="10">
        <s v="06 ORL"/>
        <s v="04 AUDIFONO,ES"/>
        <s v="7 ORL"/>
        <s v="03 ORL"/>
        <m/>
        <s v="orl"/>
        <s v="22 AUDIOMETRIA CLINICA"/>
        <s v="04 AUDIFONO.ES"/>
        <s v="AIDIFONO.ES"/>
        <s v="07 BOCA/BOCA"/>
      </sharedItems>
    </cacheField>
    <cacheField name="Orl" numFmtId="0">
      <sharedItems containsBlank="1" count="450">
        <s v="ANTONIO RODRÍGUEZ RIVERO"/>
        <s v="MARÍA GARROTE GARROTE"/>
        <s v="ELVYLINS VARGAS YGLESIA"/>
        <s v="JORGE BENITO JIMÉNEZ"/>
        <s v="LUCIA PRIETO SÁNCHEZ DE LA PUERTA"/>
        <s v="LINO ENGUIDANOS HERNANDORENA"/>
        <s v="FRANCISCO PASTOR BEVIÁ"/>
        <s v="ELISABETH AMARILLO ESPITIA"/>
        <s v="NO REUERDA ORL"/>
        <s v="MANUEL ACUÑA GARCÍA"/>
        <s v="MÓNICA GRANDA ROSALES"/>
        <s v="JAIME SANABRIA BRASSART"/>
        <s v="IGNACIO ALBALADEJO DEVIS"/>
        <s v="LUÍS MARTÍNEZ BERNABEU"/>
        <s v="PATRICIA VIVEROS DIEZ"/>
        <s v="VICTORIA GARCÍA PECES"/>
        <s v="ITHZEL MARIA VILLARREAL PATIÑO"/>
        <s v="MARÍA SANTILLÁN SÁNCHEZ"/>
        <s v="CÉSAR CHARLES MARTÍNEZ"/>
        <s v="OSCAR ALEMÁN LÓPEZ"/>
        <s v="CRISTINA VADUVA"/>
        <s v="FERNANDO SALAZAR BARCELONA"/>
        <s v="JULIO LÓPEZ MOYA"/>
        <s v="MARÍA JESÚS CORNEJO DOMÍNGUEZ"/>
        <s v="MIGUEL ALBERTO RODRÍGUEZ PÉREZ"/>
        <s v="ANTONIA CARRANZA CALLEJA"/>
        <s v="ERNESTO VARELA MARTÍNEZ"/>
        <s v="ANTONIO BUENO RÍOS"/>
        <s v="EMILIO SAURA SÁNCHEZ-PARRA"/>
        <s v="HUGO LARA SÁNCHEZ"/>
        <s v="PILAR CASTRO RUIZ"/>
        <s v="Alejandro Harguindey Antoli-Candela"/>
        <s v="JOAQUIM BROTO SUMALLA"/>
        <s v="LORENA SANZ LÓPEZ"/>
        <s v="DARÍO AGUDELO GARCÍA"/>
        <s v="MARÍA AGUSTINA SEVILLA GARCÍA"/>
        <s v="LUIS FLORENCIO ALBA"/>
        <s v="FRANCISCO ANTONIO PÉREZ FERNÁNDEZ"/>
        <s v="EDUARDO LEHRER CORIAT"/>
        <s v="RAED MAQUED EL MAQUED"/>
        <s v="MARINA MADRIGAL REVUELTA"/>
        <s v="CARLOS VIDAL REDONDO"/>
        <s v="ADOLFO TOLEDANO MUÑOZ"/>
        <s v="VICENTE MARTÍNEZ SANTOS"/>
        <s v="JOSÉ GUSTAVO BARROSO BRAOJOS"/>
        <s v="MARÍA TERESA HERRERA MERA"/>
        <s v="VANIA NOVOA JUIZ"/>
        <s v="JESÚS JOSÉ FRAILE RODRIGO"/>
        <s v="ALICIA MATEO ESPINOSA"/>
        <s v="PALOMA PINACHO MARTÍNEZ"/>
        <s v="MERCEDES ÁLVAREZ-BUYLLA BLANCO"/>
        <s v="GARCÍA DOMÍNGUEZ"/>
        <s v="JESUS-MARIA GRASA PÉREZ"/>
        <s v="JESÚS MIGUEL INIESTA TURPÍN"/>
        <s v="JOSÉ MANUEL GARCÍA SOLANS-ESTERAS"/>
        <s v="JOSÉ EUGENIO ESTRADA GROMAZ"/>
        <s v="EDUARDO CABANAS RODRÍGUEZ"/>
        <s v="JAVIER GARCÍA DOMÍNGUEZ"/>
        <s v="FRANCISCO GARCÍA PURRIÑOS"/>
        <s v="GERARDO MONEDERO RODRIGO"/>
        <s v="Eviatar Friedlander"/>
        <s v="FERNANDO CRISTÓBAL"/>
        <s v="PAULA HERNÁNDEZ RUÍZ"/>
        <s v="PEDRO BLANCO PÉREZ,"/>
        <s v="ENRIQUE MELCOM DIEZ"/>
        <s v="JUAN PABLO PELEGRÍN HERNÁNDEZ"/>
        <s v="CARLOS MIGUEL SALVADOR MARTÍNEZ"/>
        <s v="IGNACIO LLOPEZ CARRATALÁ"/>
        <s v="ISABEL POLO TOMÁS"/>
        <s v="Mª ISABEL CASTRO CANELADA"/>
        <s v="PALOMA MARTÍN- ARAGÓN MARTIÍ"/>
        <s v="ROSARIO GARCIA MONESCILLO"/>
        <s v="JESÚS RAMOS FERNÁNDEZ"/>
        <s v="JOAQUÍN ALACIO CASERO"/>
        <s v="IGNACIO PLA GIL"/>
        <s v="FÉLIX RUÍZ DE LA CUESTA JUSTE"/>
        <s v="DANIEL MORENO JIMENEZ"/>
        <s v="CARLOS BARAJAS DEL ROSAL"/>
        <s v="JUAN JAVIER ÁLVAREZ LÓPEZ"/>
        <s v="ÁNGEL MUÑOZ HERRERA"/>
        <s v="MONTSERRAT PORTELL SORIANO"/>
        <s v="PEDRO JUIZ LÓPEZ"/>
        <s v="BÁRBARA CASTILLO ÁVILA"/>
        <s v="MARÍA REY MARCOS"/>
        <s v="DIANA LISBETH"/>
        <s v="PATRICIA EZCURRA HERNÁNDEZ"/>
        <s v="JOSÉ ANTONIO DÍAZ MANZANO"/>
        <s v="MIGUEL MAYO YÁÑEZ"/>
        <s v="JORGE PRADA PENDOLERO"/>
        <s v="SALWA LARAQUI HOSSINI"/>
        <s v="RAFAEL MARTÍNEZ GARCERAN"/>
        <s v="CAYETANA LÓPEZ LADRÓN GARCÍA DE LA BORBOLLA"/>
        <s v="JOAQUÍN GUERRA GÓMEZ"/>
        <s v="JOSE JOAQUÍN GUTIÉRREZ BARQUÍN"/>
        <s v="JAVIER LAFARGA VÁZQUEZ"/>
        <s v="FRANCISCO J, REDONDO DEL BARCO"/>
        <s v="NATHALIE FAGES CÁRCELES"/>
        <s v="GABRIEL ÁLVAREZ CURRO"/>
        <s v="ITZIAR ÁLVAREZ PALACIOS"/>
        <s v="ESTEBAN SCOLA PLIEGO"/>
        <s v="FIORELLA MARCINO MOREIRA"/>
        <s v="AINHOA MORENO BRAVO"/>
        <s v="ANTONIO GUSTAVO LIROLA DELGADO"/>
        <s v="LUIS MEGÍAS GÁMIZ"/>
        <s v="ADOLFO CARLOS HINOJAR GUTIERREZ"/>
        <s v="MARÍA PÉREZ SEPÚLVEDA"/>
        <s v="JAVIER ALONSO ORTEGA"/>
        <s v="JORGE ALFARO GARCÍA"/>
        <s v="Rafael Alfonso Hurtado Ruzza"/>
        <s v="ANTONIO GANDÚL MERCHÁN"/>
        <s v="MIGUEL ANTONIO SHEPHERD GONZÁLEZ"/>
        <s v="MANUEL GONZÁLEZ JULIAO"/>
        <s v="MARÍA GIL MELCÓN"/>
        <s v="PEDRO SEGUÍ MOYA"/>
        <s v="MARTA SANDOVAL PUIG"/>
        <s v="LAURA YEGUAS RAMÍREZ"/>
        <s v="FEDERICO ARRUTIA DIEZ"/>
        <s v="EVIANS GÓMEZ DE LA ROSA"/>
        <s v="PAULA AVILES MAÑOSO"/>
        <s v="JESÚS ATALAYA DÍAZ"/>
        <s v="Mª FERNANDA ESCALA PEDREROS"/>
        <s v="ANDRÉS BARRIOS RECIO"/>
        <s v="Mª LUISA CALERO RAMOS"/>
        <s v="MARTA MORATO"/>
        <s v="ISABEL VAAMONDE SANCHEZ ANDRADE"/>
        <s v="CONCEPCIÓN PESCADOR MESONERO"/>
        <s v="FÉLIX RODRÍGUEZ PAZ"/>
        <s v="JAVIER HERRERO AGUSTÍN"/>
        <s v="JULIO KNASTER DEL OLMO"/>
        <s v="GUILLERMO SAN JUAN DE LA MORETA"/>
        <s v="CARLOS FRADE GONZÁLEZ"/>
        <s v="CARLOS VELÁSQUEZ FERMÍN"/>
        <s v="MARÍA ESTEFANÍA HERNÁNDEZ GARCÍA"/>
        <s v="ANA RUIZ FORNELLS NOREÑA"/>
        <s v="CRISTINA IBAÑEZ MUÑOZ"/>
        <s v="ENRIQUE VIVIENTE RODRÍGUEZ"/>
        <s v="MARÍA LÓPEZ ROBLES"/>
        <s v="MARINA CARRASCO LLATAS"/>
        <s v="IGNACIO ÁLVAREZ ÁLVAREZ"/>
        <s v="CARLOS ARMIÑO MEGIDO"/>
        <s v="MIGUEL RODRIGUEZ PÉREZ"/>
        <s v="CARLOS LÓPEZ AZANZA"/>
        <s v="RAÚL RUBIO YANGÜAS"/>
        <s v="JAVIER OLARIETA SOTO"/>
        <s v="IGNACIO SIERRA ARBIDE"/>
        <s v="ANTONIO GALINDO FERNÁNDEZ"/>
        <s v="ADELA PÉREZ-CARO RÍOS"/>
        <s v="MÓNICA RODRÍGUEZ"/>
        <s v="CRISTINA MUÑOZ PINTO"/>
        <s v="JONATHAN ESTEBAN SÁNCHEZ"/>
        <s v="SERGIO Zaragoza GUIJO"/>
        <s v="MAR LASSO DE LA VEGA ZAMORA"/>
        <s v="MARIO HIGUERA RAPA"/>
        <s v="GUILLERMO SEVERÁ FERRANDIZ"/>
        <s v="ANTONIO FRAILE AZPEITIA"/>
        <s v="LAURA GARRIDO GARCÍA"/>
        <s v="ANA QUINTANA SANJUAN"/>
        <s v="ESTEFANÍA BERROCAL POSTIGO"/>
        <s v="CRISTINA MOLINA MARTÍNEZ"/>
        <s v="BEATRIZ ARANA FERNÁNDEZ"/>
        <s v="CRISTINA ESTHER TORREGROSA CARRASQUER"/>
        <s v="RAIMON GARCÍA CHILLERÓN"/>
        <s v="JAVIER GARCÍA GÓMEZ"/>
        <s v="CELIA LENDORIO OTERO"/>
        <s v="JOSEP MARIA ORRIT ARENAS"/>
        <s v="JESÚS GARCÍA AHIJADO"/>
        <s v="ELENA DE DIOS ORAN"/>
        <s v="SOCORRO TEDÍN GARCÍA"/>
        <s v="SANTIAGO MORENO PAREDES"/>
        <s v="JOSEFA OLMEDO MARTÍNEZ"/>
        <s v="ÁLVARO SÁNCHEZ ÁLVAREZ"/>
        <s v="JOSÉ GARCÍA MORILLAS"/>
        <s v="JESÚS CROVATO ROJAS"/>
        <s v="ÓSCAR ALFONSO ARENAS BRITEZ"/>
        <s v="KAREN ROJAS CRESPO"/>
        <s v="DOLORES ROMERO PANADRRO"/>
        <s v="MOHAMED AL RIFAL AL MASTI"/>
        <s v="FRANCISCO ALÉS CONEJO"/>
        <s v="ESTRELLA PALLAS PALLAS"/>
        <s v="FRANCISCO JAVIER CERDÁN BAEZA"/>
        <s v="INMACULADA SANCHO MARTÍN"/>
        <s v="JEREMY FLORES TRUJILLO"/>
        <s v="Mª JOSÉ GÁMIZ MAROTO"/>
        <s v="NURIA SALAS BARRIO"/>
        <s v="AIDA AVIÑOA ARIAS"/>
        <s v="JOSÉ CARLOS CASQUEIRO SÁNCHEZ"/>
        <s v="LUIS MIGUEL RINCÓN ESTEBAN"/>
        <s v="PEDRO HUESO GUTIERREZ"/>
        <s v="MARÍA EMILIA GARCÍA RUÍZ"/>
        <s v="TOMAS MOGOLLON CANO CORTES"/>
        <s v="JORDI LLUANSI PANELLA"/>
        <s v="CARMEN JUAN IVARS"/>
        <s v="GUSTAVO CÓRDOVA RAMOS"/>
        <s v="ENRIQUE LÓPEZ MESEGUER"/>
        <s v="GABRIEL MARTÍNEZ CAPOCCINI"/>
        <s v="STEPHANY RODRÍGUEZ MATA"/>
        <s v="HECTOR VALLES VARELA"/>
        <s v="PEDRO MASEGOSA ZAPATA"/>
        <s v="FELIPE LÓPEZ HERNÁNDEZ"/>
        <s v="MANUEL GUTIERREZ TRIGUERO"/>
        <s v="XENIA MOTA ROJAS"/>
        <s v="MARÍA SCOLA TORRES"/>
        <s v="ROCÍO GONZÁLEZ MÁRQUEZ"/>
        <s v="RAIMUNDO GÓMEZ-BLASI"/>
        <s v="CARLOS FÉLIX ASENSIO NIETO"/>
        <s v="MARIA ROSARIO FERRANDIZ GARCÍA"/>
        <s v="JESÚS HERRANZ GONZÁLEZ-BOTAS"/>
        <s v="ESTHER MONTIEL DIEZ"/>
        <s v="NATALIA GISSETH PULIDO FONSECA"/>
        <s v="JAVIER GARCÍA-DUEÑAS GONZÁLEZ"/>
        <s v="RAIMUNDO ANDRES NAVARRO MEDIANO"/>
        <s v="MARÍA JESÚS GIL PÉREZ"/>
        <s v="VILMA SANDOVAL PACHECO"/>
        <s v="Mª TERESA ALMELA ROJO"/>
        <s v="FERNANDO GARCÍA ALCÁNTARA"/>
        <s v="MILAGROS MARCOS ORDOÑEZ"/>
        <s v="LUIS JOSÉ DOMÍNGUEZ UGIDOS"/>
        <s v="MARÍA TERESA GARCÍA IRIARTE"/>
        <s v="FRANCISCO JOSÉ AGUADO MARTÍNEZ"/>
        <s v="JUAN RIESTRA AYORA"/>
        <s v="ANDRÉS SOTO VARELA"/>
        <s v="ANA PÉREZ DEL NOTARIO"/>
        <s v="FRANKLIN S, MARIÑO SÁNCHEZ"/>
        <s v="CARLOTA SEVIL SERRANO"/>
        <s v="FRANCISCO JOSÉ ESTRADA MOLINA"/>
        <s v="ISABEL GONZÁLEZ GUIJARRO"/>
        <s v="JESÚS AARÓN MARTÍNEZ ALONSO"/>
        <s v="FRANCISCO RAMOS PUERTO"/>
        <s v="LAURA RUANO DE PABLO"/>
        <s v="ANNA SUMARROCA TROUBOUL"/>
        <s v="ÁLVARO PÉREZ LLINARES"/>
        <s v="JULIE MÚÑOZ FREITEZ"/>
        <s v="ALFONSO MARCO GARRIDO"/>
        <s v="ANA FERNÁNDEZ RODRÍGUEZ"/>
        <s v="MARÍA K LLANO ESPINOSA"/>
        <s v="GARIKOITZ CALZADA URIONDO"/>
        <s v="JAVIER GAVILANES PLASENCIA"/>
        <s v="ISABEL MENACHES GUARDIOLA"/>
        <s v="FRANCISCO JAVIER MOLLA RUDIEZ"/>
        <s v="RICARDO GONZÁLEZ-ORUS"/>
        <s v="JESÚS SAN ROMÁN CARBAJO"/>
        <s v="JEAN FRANCO INTRAPRENDENTE MARTINI"/>
        <s v="ENRIQUE ROMERO VAN ABELEEN"/>
        <s v="GABRIEL PEDRMONTE SARRIAS"/>
        <s v="ALICIA SUÁREZ CALVO"/>
        <s v="ADRIANA PARDO MAZA"/>
        <s v="IGNACIO ARISTEGUI TORRANO"/>
        <s v="JOSÉ MARÍA LABORDA MARGOLLES"/>
        <s v="LUIS MIGUEL MENÉNDRZ COLINO"/>
        <s v="MARTA ALCARAZ FUENTES"/>
        <s v="ANSELMO PADÍN SEARA"/>
        <s v="SARA TANBOURA LÓPEZ"/>
        <s v="JOSÉ ANTONIO CASTRO CUERPO"/>
        <s v="DANIELA CAROLINA LAGUADO BULGHERONI"/>
        <s v="HELENA MORENO PARDO"/>
        <s v="MIGUEL VACA GONZÁLEZ"/>
        <s v="JOSÉ TISNER NIETO"/>
        <s v="ALEJANDRO HARGUINDéY ANTOLI-CANDéLA"/>
        <s v="OSCAR A, SÁNCHEZ VALENZUELA"/>
        <s v="DANIELA TERÁN GUAMÁN"/>
        <s v="MANUEL CAÑETE DOMÍNGUEZ"/>
        <s v="GERARDO MARTIN SIGUENZA"/>
        <s v="CARMEN VALLÉS RODRÍGUEZ"/>
        <s v="REBECA BARRIOS GONZALO"/>
        <s v="DIANA HERNÁN PÉREZ"/>
        <s v="BEATRIZ RODRÍGUEZ GONZÁLEZ HERRERO"/>
        <s v="ROCÍO CORRALES MILLÁN"/>
        <s v="MANUEL ESTEVEZ GARCÍA"/>
        <s v="RAFAEL PÉREZ GONZÁLEZ"/>
        <s v="MIGUEL OLIVENCIA PÉREZ"/>
        <s v="MARÍA JOSÉ NAYA GÁLVEZ"/>
        <s v="JOAQUÍN PÉREZ RULL"/>
        <s v="ISABEL VAAMONDE SANCHEZ ANDRADR"/>
        <s v="ISABEL PENSADO BANET"/>
        <s v="FRANCISCO ROPERO ROMERO"/>
        <s v="SARA REDA DEL BARRIO"/>
        <s v="IRIS QUERO CAMPOS"/>
        <s v="VICTORIA RIVERO DE JESÚS"/>
        <s v="ENRIC CISA LLUIS"/>
        <s v="NURIA PÉREZ MARTÍN"/>
        <s v="XAVIER URRACA CONTRERAS"/>
        <s v="ESTEFANÍA LOZANO REINA"/>
        <s v="MANUEL GARCÍA LÓPEZ"/>
        <s v="IRENE MONJAS CANOVAS"/>
        <s v="MARÍA DEL MAR MEDINA GONZÁLEZ"/>
        <s v="PAULA MARTÍNEZ-RUIZ DE APOCADA"/>
        <s v="RAFAEL SANZ TRENADO"/>
        <s v="BERTA ALEGRE EDO"/>
        <s v="JOSÉ RUIZ COELLO MORATALLA"/>
        <s v="CARLOS DURÁN DÍEZ"/>
        <s v="MARÍA DEL MAR MARTÍNEZ RUIZ-COELLO"/>
        <s v="MARÍA DABLANCO BLANCO"/>
        <s v="PALOMA MARTIN ARAGON"/>
        <s v="JESÚS EDUARDO RAMÍREZ SALAS"/>
        <s v="LAURA DEL TORO GIL"/>
        <s v="RAQUEL SOLIS VAZQUEZ"/>
        <s v="JUAN RAMÓN PAREDES OSADO"/>
        <s v="OLGA FERRER ANDINO"/>
        <s v="CARLOS DE PAULA VERNETTA"/>
        <s v="JOSÉ Mª RELANZÓN LOPEZ"/>
        <s v="ALBERTO TAUSTE GÓMEZ"/>
        <s v="MIQUEL GUIRAO CANO"/>
        <s v="MANUEL MATEOS FERNÁNDEZ"/>
        <s v="IRENE MÁRMOL SZMOBATHY"/>
        <s v="MARTA MORATO GALÁN"/>
        <s v="MANUEL GÓMEZ FIÑANA"/>
        <s v="ESTRELLA GÓMEZ TOMÉ"/>
        <s v="DARÁ SÁNCHEZ RUIZ"/>
        <s v="JUAN LOSADA CAMPA"/>
        <s v="GUADALUPE SEQUEIROS SANTIAGO"/>
        <s v="CRISTINA ALONSO GONZÁLEZ"/>
        <s v="VICTORIA DUQUE HOLGUERA"/>
        <s v="JOAQUIN GUTIERREZ BARQUIN"/>
        <s v="ENRIQUE GÓMEZ ALDAZ"/>
        <s v="LUIS JIMÉNEZ FERRERES"/>
        <s v="GUSTAVO BENAVENTE BERMUDO"/>
        <s v="CELIA LÓPEZ MOLLA"/>
        <s v="JOAQUÍN PÉREZ VILLAR"/>
        <s v="MANUEL MARTÍ PEÑA"/>
        <s v="TERESA RIVERA SCHMITZ"/>
        <s v="MARGARITA REYES DÍAZ"/>
        <s v="ÁNGEL BATUECAS CALETRÍO"/>
        <s v="MARTA CALVO PÉREZ"/>
        <s v="JUAN LATORRE LÓPEZ"/>
        <s v="LAURA GAÑÁN ALBUISECH"/>
        <s v="ISIDORO RUBIO CORREA"/>
        <s v="ELADIO SICILIA MALUENDA"/>
        <s v="JOSE ANTONIO TORRE EIRIZ"/>
        <s v="MARÍA CECILIA SCOLA TORRES"/>
        <s v="CRISTINA POVEDANO FERNÁNDEZ"/>
        <s v="AGUSTÍN CAMPOS CATALÁ"/>
        <s v="JAIME LEACHE PUEYO"/>
        <s v="ALBERTO RAPOSO JIMÉNEZ"/>
        <s v="BEATRIZ SANTOS DUQUE"/>
        <s v="VANESA PÉREZ GUILLÉN"/>
        <s v="JOSÉ MONTALT MARCO"/>
        <s v="FE RUBIO ESCOLANO"/>
        <s v="Ana Gabriela Jover Espla"/>
        <s v="CONCEPCION RODRÍGUEZ IZQUIERDO"/>
        <s v="ANA GIRIBET FERNANDEZ-PACHECO"/>
        <s v="JOSÉ LUIS BATLLES MEDINA"/>
        <s v="JORGE FREIJANES OTERO"/>
        <s v="MARÍA LOURDES HERNÁNDEZ DE LOS SANTOS"/>
        <s v="JUAN CARLOS DEL POZO DE DIOS"/>
        <s v="NATALY MONTAÑO RUEDA"/>
        <s v="MARIO CUETOS AZCONA"/>
        <s v="CIFUENTES NAVAS"/>
        <s v="SARA FERNANDRZ CASCÓN"/>
        <s v="FERRAN BALLESTEROS ALONSO"/>
        <s v="SERGIO CODINA ALONSO"/>
        <s v="MARÍA AMPARO ÁLVAREZ DE TOLEDO JEUTE"/>
        <s v="JUAN PEDRO RUBIO RODRÍGUEZ"/>
        <s v="AURORA LÓPEZ LLAMES"/>
        <s v="JOSÉ MIGUEL COSTA GONZÁLEZ"/>
        <s v="BLANCA MARIA MARTINEZ DURO"/>
        <s v="AINA BRUNET"/>
        <s v="MARÍA JOSEFA HERVÁS NÚÑEZ"/>
        <s v="MARTA MESALLES RUIZ"/>
        <s v="VIRGINIA DÍAZ GUERRERO"/>
        <s v="VÍCTOR JOSÉ GONZÁLEZ ARIAS"/>
        <s v="JOSE ANTONIO SANCIPRIANO HERNÁNDEZ"/>
        <s v="MARTÍN EDUARDO MARCANO ACUÑA"/>
        <s v="XAVIER GONZÁLEZ COMPTA"/>
        <s v="JAIME MARTÍN CARRANZA"/>
        <s v="BELÉN GARCÍA CARREIRA"/>
        <s v="ALEJANDRO DÍAZ UÑA"/>
        <s v="ANTONIO JOSÉ FERNÁNDEZ PÉREZ"/>
        <s v="DINIS ANTUNES SILVA"/>
        <s v="ABEL GUZMÁN CALVETE"/>
        <s v="MARTA SANZ RODRÍGUEZ"/>
        <s v="DANIEL IVÁN MARTÍN JIMÉNEZ"/>
        <s v="PEDRO GIL PARAÍSO"/>
        <s v="ARACELI GONZÁLEZ DELGADO"/>
        <s v="MIRIAM NATSUKI"/>
        <s v="RODRIGUEZ"/>
        <s v="JOSÉ RAMIRO DE LEÓN LIMA"/>
        <s v="ESTHER DE LA O CORROCHANO"/>
        <s v="JOSÉ MIGUEL TEJADA BAUTISTA"/>
        <s v="GONZALO RUIZ MORALES"/>
        <s v="ANDRÉS PAULINO HERRERA"/>
        <s v="ELENA MOLINA FERNÁNDEZ"/>
        <s v="SANTIAGO ESTÉVEZ ALONSO"/>
        <s v="PABLO VERGÉS FORT"/>
        <s v="Mª SOLEDAD FRÍAS MOYA-ANGELER"/>
        <s v="GIANMARCO NARCISO MARTÍNEZ"/>
        <s v="ÁLVARO CARRILLO SOTOS"/>
        <s v="MARÍA GABRIELA BOSCO MORALES"/>
        <s v="OLALLA CASTRO MACIA"/>
        <s v="GUILLERMO PLAZA MAYOR"/>
        <s v="MIGUEL LUCAS HERRERA"/>
        <s v="PALOMA ÁLVAREZ HERNANDRZ"/>
        <s v="FRANCISCO JAVIER AGUILAR VERA"/>
        <s v="MIREIA GOLET FORS"/>
        <s v="ALEJANDRA JARA MAQUILON"/>
        <s v="JOAQUIN ALACIO CASERO"/>
        <s v="MIRIAM GONZÁLEZ GARCÍA"/>
        <s v="PEDRO FRANCISCO MARTÍNEZ GUISADO"/>
        <s v="ÁLVARO SÁNCHEZ DE ARRIBA"/>
        <s v="JAVIER PADILLA CABALLERO"/>
        <s v="LILIANA FILIPA INVENCIO DA COSTA"/>
        <s v="ESTHER MACON LIQUETE"/>
        <s v="MERCEDES CEBALLOS CAUTO"/>
        <s v="DESIREÉ MÉNDEZ BRENDERBACHE"/>
        <s v="JUAN DE DIOS DE LA CALZADA"/>
        <s v="CECILIA PÉREZ MARTÍNEZ"/>
        <s v="PABLO GARCÍA GONZÁLEZ"/>
        <s v="PABLO TORRICO ROMÁN"/>
        <s v="ESTEFANIA MIRANDA SÁNCHEZ"/>
        <s v="MARTA COLMENERO RUIZ"/>
        <s v="JOSÉ MARÍA RELANZÓN LÓPEZ"/>
        <s v="OLGA ALDECOA JIMÉNEZ"/>
        <s v="ESTHER SEBASTIÁN GIL"/>
        <s v="JOSE MARIA HERNANDEZ HERNANDEZ"/>
        <s v="CARLOS FELIX ASENSIO NIETO"/>
        <s v="ANTONIO SÁNCHEZ DEL HOYO"/>
        <s v="RAFAEL RUIZ FITO"/>
        <s v="LUIS FIDEL NIETO"/>
        <s v="Mª TERESA CUESTA GONZÁLEZ"/>
        <s v="CARMEN MIRANDA JORGE"/>
        <s v="MAR LASSO"/>
        <s v="JUAN JOSÉ SANZ GONZÁLEZ"/>
        <s v="CRISTINA GARCÍA GARCÍA"/>
        <s v="OREANA CAROLINA CAMACARO GONZÁLEZ"/>
        <s v="MÁXIMO RAFAEL GARCÍA RODRÍGUEZ"/>
        <s v="MARIA ÁNGELES MATE BAYON"/>
        <s v="LUISA PAYÁ PÉREZ"/>
        <s v="GUILLERMO SEVERA FERRANDIZ"/>
        <s v="PATRICIA GARCÍA VICENTE"/>
        <s v="PAULA MORALES CHACCHI"/>
        <s v="FRANCISCO J. REDONDO DEL BARCO"/>
        <s v="IVAN MENDEZ- BENEGASSI SILVA"/>
        <s v="JAVIER GARCÍA DOMINGUEZ"/>
        <s v="IVÁN MUERTE MORENO"/>
        <s v="COLOMA GRAU VAN LAAK"/>
        <s v="OSCAR A. SÁNCHEZ VALENZUELA"/>
        <s v="ALFONSO SANTAMARÍA GADEA"/>
        <s v="Mª AGUSTINA SEVILLA GARCÍA"/>
        <s v="GONZALO DORADO GUTIÉRREZ"/>
        <s v="CANDELAS ÁLVAREZ NUÑO"/>
        <s v="FRANCISCO JAVIER LAGE FERNÁNDEZ"/>
        <s v="ULISES BIDÓN GÓMEZ"/>
        <s v="JUAN MAZA SOLANO"/>
        <s v="MARIA DEL ROCIO LOBATO PEREZ"/>
        <s v="MARTA ABAD PASCUAL"/>
        <s v="MARÍA CONSOLACIÓN MARTÍN PASCUAL"/>
        <s v="ANTONIO MEDINILLA VALLEJO"/>
        <s v="ELISA PARDO SALGADO"/>
        <s v="LEÓN FERNÁNDEZ CAMESELLE"/>
        <s v="JULIO PEÑARROCHA"/>
        <m/>
      </sharedItems>
    </cacheField>
    <cacheField name="orl2" numFmtId="0">
      <sharedItems containsBlank="1" count="453">
        <s v="DR. ANTONIO RODRÍGUEZ RIVERO"/>
        <s v="DRA. MARÍA GARROTE GARROTE"/>
        <s v="DRA. ELVYLINS VARGAS YGLESIA"/>
        <s v="DR. JORGE BENITO JIMÉNEZ"/>
        <s v="DRA. LUCIA PRIETO SÁNCHEZ DE LA PUERTA"/>
        <s v="DR. LINO ENGUIDANOS HERNANDORENA"/>
        <s v="DR. FRANCISCO PASTOR BEVIÁ"/>
        <s v="DRA. ELISABETH AMARILLO ESPITIA"/>
        <s v="NO REUERDA ORL"/>
        <s v="DR. MANUEL ACUÑA GARCÍA"/>
        <s v="DRA. MÓNICA GRANDA ROSALES"/>
        <s v="DR. JAIME SANABRIA BRASSART"/>
        <s v="DR. IGNACIO ALBALADEJO DEVIS"/>
        <s v="DR. LUÍS MARTÍNEZ BERNABEU"/>
        <s v="DRA. PATRICIA VIVEROS DIEZ"/>
        <s v="DRA. VICTORIA GARCÍA PECES"/>
        <s v="DRA. ITHZEL MARIA VILLARREAL PATIÑO"/>
        <s v="DRA. MARÍA SANTILLÁN SÁNCHEZ"/>
        <s v="DR. CÉSAR CHARLES MARTÍNEZ"/>
        <s v="DR. OSCAR ALEMÁN LÓPEZ"/>
        <s v="DRA. CRISTINA VADUVA"/>
        <s v="DR. FERNANDO SALAZAR BARCELONA"/>
        <s v="DR. JULIO LÓPEZ MOYA"/>
        <s v="DR. MARÍA JESÚS CORNEJO DOMÍNGUEZ"/>
        <s v="DR. MIGUEL ALBERTO RODRÍGUEZ PÉREZ"/>
        <s v="DRA. ANTONIA CARRANZA CALLEJA"/>
        <s v="DR. ERNESTO VARELA MARTÍNEZ"/>
        <s v="DR. ANTONIO BUENO RÍOS"/>
        <s v="DR. EMILIO SAURA SÁNCHEZ-PARRA"/>
        <s v="DR. HUGO LARA SÁNCHEZ"/>
        <s v="DRA. PILAR CASTRO RUIZ"/>
        <s v="DR. Alejandro Harguindey Antoli-Candela"/>
        <s v="DR. JOAQUIM BROTO SUMALLA"/>
        <s v="DRA. LORENA SANZ LÓPEZ"/>
        <s v="DR. DARÍO AGUDELO GARCÍA"/>
        <s v="MARÍA AGUSTINA SEVILLA GARCÍA"/>
        <s v="DR. LUIS FLORENCIO ALBA"/>
        <s v="DR. FRANCISCO ANTONIO PÉREZ FERNÁNDEZ"/>
        <s v="DR. EDUARDO LEHRER CORIAT"/>
        <s v="DR. RAED MAQUED EL MAQUED"/>
        <s v="DRA. MARINA MADRIGAL REVUELTA"/>
        <s v="DR. CARLOS VIDAL REDONDO"/>
        <s v="DR. ADOLFO TOLEDANO MUÑOZ"/>
        <s v="DR. VICENTE MARTÍNEZ SANTOS"/>
        <s v="DR. JOSÉ GUSTAVO BARROSO BRAOJOS"/>
        <s v="DRA. MARÍA TERESA HERRERA MERA"/>
        <s v="DRA. VANIA NOVOA JUIZ"/>
        <s v="DR. JESÚS JOSÉ FRAILE RODRIGO"/>
        <s v="DRA. ALICIA MATEO ESPINOSA"/>
        <s v="DRA. PALOMA PINACHO MARTÍNEZ"/>
        <s v="DRA. MERCEDES ÁLVAREZ-BUYLLA BLANCO"/>
        <s v="DR. GARCÍA DOMÍNGUEZ"/>
        <s v="DR. JESUS-MARIA GRASA PÉREZ"/>
        <s v="DR. JESÚS MIGUEL INIESTA TURPÍN"/>
        <s v="DR. JOSÉ MANUEL GARCÍA SOLANS-ESTERAS"/>
        <s v="DR. JOSÉ EUGENIO ESTRADA GROMAZ"/>
        <s v="DR. EDUARDO CABANAS RODRÍGUEZ"/>
        <s v="DR. JAVIER GARCÍA DOMÍNGUEZ"/>
        <s v="DR. FRANCISCO GARCÍA PURRIÑOS"/>
        <s v="DR. GERARDO MONEDERO RODRIGO"/>
        <s v="DR. Eviatar Friedlander"/>
        <s v="DR. FERNANDO CRISTÓBAL"/>
        <s v="DRA. PAULA HERNÁNDEZ RUÍZ"/>
        <s v="DR. PEDRO BLANCO PÉREZ,"/>
        <s v="DR. ENRIQUE MELCOM DIEZ"/>
        <s v="DR. JUAN PABLO PELEGRÍN HERNÁNDEZ"/>
        <s v="DR. CARLOS MIGUEL SALVADOR MARTÍNEZ"/>
        <s v="DR. IGNACIO LLOPEZ CARRATALÁ"/>
        <s v="DRA. ISABEL POLO TOMÁS"/>
        <s v="DRA. Mª ISABEL CASTRO CANELADA"/>
        <s v="DRA. PALOMA MARTÍN- ARAGÓN MARTIÍ"/>
        <s v="DRA. ROSARIO GARCIA MONESCILLO"/>
        <s v="DR. JESÚS RAMOS FERNÁNDEZ"/>
        <s v="DR. JOAQUÍN ALACIO CASERO"/>
        <s v="DR. IGNACIO PLA GIL"/>
        <s v="DR. FÉLIX RUÍZ DE LA CUESTA JUSTE"/>
        <s v="DR. DANIEL MORENO JIMENEZ"/>
        <s v="DR. CARLOS BARAJAS DEL ROSAL"/>
        <s v="DR. JUAN JAVIER ÁLVAREZ LÓPEZ"/>
        <s v="DR. ÁNGEL MUÑOZ HERRERA"/>
        <s v="DRA. MONTSERRAT PORTELL SORIANO"/>
        <s v="DR. PEDRO JUIZ LÓPEZ"/>
        <s v="DRA. BÁRBARA CASTILLO ÁVILA"/>
        <s v="DRA. MARÍA REY MARCOS"/>
        <s v="DRA. DIANA LISBETH"/>
        <s v="DRA. PATRICIA EZCURRA HERNÁNDEZ"/>
        <s v="DR. JOSÉ ANTONIO DÍAZ MANZANO"/>
        <s v="DR. MIGUEL MAYO YÁÑEZ"/>
        <s v="DR. JORGE PRADA PENDOLERO"/>
        <s v="DRA. SALWA LARAQUI HOSSINI"/>
        <s v="DR. RAFAEL MARTÍNEZ GARCERAN"/>
        <s v="DRA. CAYETANA LÓPEZ LADRÓN GARCÍA DE LA BORBOLLA"/>
        <s v="DR. JOAQUÍN GUERRA GÓMEZ"/>
        <s v="DR. JOSE JOAQUÍN GUTIÉRREZ BARQUÍN"/>
        <s v="DR. JAVIER LAFARGA VÁZQUEZ"/>
        <s v="DR. FRANCISCO J, REDONDO DEL BARCO"/>
        <s v="DRA. NATHALIE FAGES CÁRCELES"/>
        <s v="DR. GABRIEL ÁLVAREZ CURRO"/>
        <s v="DRA. ITZIAR ÁLVAREZ PALACIOS"/>
        <s v="DR. ESTEBAN SCOLA PLIEGO"/>
        <s v="DR. FIORELLA MARCINO MOREIRA"/>
        <s v="DRA. AINHOA MORENO BRAVO"/>
        <s v="DR. ANTONIO GUSTAVO LIROLA DELGADO"/>
        <s v="DR. LUIS MEGÍAS GÁMIZ"/>
        <s v="DR. ADOLFO CARLOS HINOJAR GUTIERREZ"/>
        <s v="DRA. MARÍA PÉREZ SEPÚLVEDA"/>
        <s v="DR. JAVIER ALONSO ORTEGA"/>
        <s v="DR. JORGE ALFARO GARCÍA"/>
        <s v="DR. Rafael Alfonso Hurtado Ruzza"/>
        <s v="DR. ANTONIO GANDÚL MERCHÁN"/>
        <s v="DR. MIGUEL ANTONIO SHEPHERD GONZÁLEZ"/>
        <s v="DR. MANUEL GONZÁLEZ JULIAO"/>
        <s v="DRA. MARÍA GIL MELCÓN"/>
        <s v="DR. PEDRO SEGUÍ MOYA"/>
        <s v="DRA. MARTA SANDOVAL PUIG"/>
        <s v="DR. LAURA YEGUAS RAMÍREZ"/>
        <s v="DR. FEDERICO ARRUTIA DIEZ"/>
        <s v="DR. EVIANS GÓMEZ DE LA ROSA"/>
        <s v="DRA. PAULA AVILES MAÑOSO"/>
        <s v="DR. JESÚS ATALAYA DÍAZ"/>
        <s v="DRA. Mª FERNANDA ESCALA PEDREROS"/>
        <s v="DR. ANDRÉS BARRIOS RECIO"/>
        <s v="DRA. Mª LUISA CALERO RAMOS"/>
        <s v="DRA. MARTA MORATO"/>
        <s v="DR. ISABEL VAAMONDE SANCHEZ ANDRADE"/>
        <s v="DRA. CONCEPCIÓN PESCADOR MESONERO"/>
        <s v="DR. FÉLIX RODRÍGUEZ PAZ"/>
        <s v="DR. JAVIER HERRERO AGUSTÍN"/>
        <s v="DR. JULIO KNASTER DEL OLMO"/>
        <s v="DR. GUILLERMO SAN JUAN DE LA MORETA"/>
        <s v="DR. CARLOS FRADE GONZÁLEZ"/>
        <s v="DR. CARLOS VELÁSQUEZ FERMÍN"/>
        <s v="DRA. MARÍA ESTEFANÍA HERNÁNDEZ GARCÍA"/>
        <s v="DRA. ANA RUIZ FORNELLS NOREÑA"/>
        <s v="DRA. CRISTINA IBAÑEZ MUÑOZ"/>
        <s v="DR. ENRIQUE VIVIENTE RODRÍGUEZ"/>
        <s v="DRA. MARÍA LÓPEZ ROBLES"/>
        <s v="DRA. MARINA CARRASCO LLATAS"/>
        <s v="DR. IGNACIO ÁLVAREZ ÁLVAREZ"/>
        <s v="DR. CARLOS ARMIÑO MEGIDO"/>
        <s v="DR. MIGUEL RODRIGUEZ PÉREZ"/>
        <s v="DR. CARLOS LÓPEZ AZANZA"/>
        <s v="DR. RAÚL RUBIO YANGÜAS"/>
        <s v="DR. JAVIER OLARIETA SOTO"/>
        <s v="DR. IGNACIO SIERRA ARBIDE"/>
        <s v="DR. ANTONIO GALINDO FERNÁNDEZ"/>
        <s v="DRA. ADELA PÉREZ-CARO RÍOS"/>
        <s v="DRA. MÓNICA RODRÍGUEZ"/>
        <s v="DRA. CRISTINA MUÑOZ PINTO"/>
        <s v="DR. JONATHAN ESTEBAN SÁNCHEZ"/>
        <s v="DR. SERGIO Zaragoza GUIJO"/>
        <s v="DRA. MAR LASSO DE LA VEGA ZAMORA"/>
        <s v="DR. MARIO HIGUERA RAPA"/>
        <s v="DR. GUILLERMO SEVERÁ FERRANDIZ"/>
        <s v="DR. ANTONIO FRAILE AZPEITIA"/>
        <s v="DRA. LAURA GARRIDO GARCÍA"/>
        <s v="DRA. ANA QUINTANA SANJUAN"/>
        <s v="DRA. ESTEFANÍA BERROCAL POSTIGO"/>
        <s v="DRA. CRISTINA MOLINA MARTÍNEZ"/>
        <s v="DRA. BEATRIZ ARANA FERNÁNDEZ"/>
        <s v="DRA. CRISTINA ESTHER TORREGROSA CARRASQUER"/>
        <s v="DR. RAIMON GARCÍA CHILLERÓN"/>
        <s v="DR. JAVIER GARCÍA GÓMEZ"/>
        <s v="DRA. CELIA LENDORIO OTERO"/>
        <s v="DR. JOSEP MARIA ORRIT ARENAS"/>
        <s v="DR. JESÚS GARCÍA AHIJADO"/>
        <s v="DRA. ELENA DE DIOS ORAN"/>
        <s v="DRA. SOCORRO TEDÍN GARCÍA"/>
        <s v="DR. SANTIAGO MORENO PAREDES"/>
        <s v="DRA. JOSEFA OLMEDO MARTÍNEZ"/>
        <s v="DR. ÁLVARO SÁNCHEZ ÁLVAREZ"/>
        <s v="DR. JOSÉ GARCÍA MORILLAS"/>
        <s v="DR. JESÚS CROVATO ROJAS"/>
        <s v="DR. ÓSCAR ALFONSO ARENAS BRITEZ"/>
        <s v="DRA. KAREN ROJAS CRESPO"/>
        <s v="DRA. DOLORES ROMERO PANADRRO"/>
        <s v="DR. MOHAMED AL RIFAL AL MASTI"/>
        <s v="DR. FRANCISCO ALÉS CONEJO"/>
        <s v="DRA. ESTRELLA PALLAS PALLAS"/>
        <s v="DR. FRANCISCO JAVIER CERDÁN BAEZA"/>
        <s v="DRA. INMACULADA SANCHO MARTÍN"/>
        <s v="DRA. JEREMY FLORES TRUJILLO"/>
        <s v="DRA. Mª JOSÉ GÁMIZ MAROTO"/>
        <s v="DRA. NURIA SALAS BARRIO"/>
        <s v="DRA. AIDA AVIÑOA ARIAS"/>
        <s v="DR. JOSÉ CARLOS CASQUEIRO SÁNCHEZ"/>
        <s v="DR. LUIS MIGUEL RINCÓN ESTEBAN"/>
        <s v="DR. PEDRO HUESO GUTIERREZ"/>
        <s v="DRA. MARÍA EMILIA GARCÍA RUÍZ"/>
        <s v="DR. TOMAS MOGOLLON CANO CORTES"/>
        <s v="DR. JORDI LLUANSI PANELLA"/>
        <s v="DRA. CARMEN JUAN IVARS"/>
        <s v="DR. GUSTAVO CÓRDOVA RAMOS"/>
        <s v="DR. ENRIQUE LÓPEZ MESEGUER"/>
        <s v="DR. GABRIEL MARTÍNEZ CAPOCCINI"/>
        <s v="DRA. STEPHANY RODRÍGUEZ MATA"/>
        <s v="DR. HECTOR VALLES VARELA"/>
        <s v="DR. PEDRO MASEGOSA ZAPATA"/>
        <s v="DR. FELIPE LÓPEZ HERNÁNDEZ"/>
        <s v="DR. MANUEL GUTIERREZ TRIGUERO"/>
        <s v="DRA. XENIA MOTA ROJAS"/>
        <s v="DRA. MARÍA SCOLA TORRES"/>
        <s v="DRA. ROCÍO GONZÁLEZ MÁRQUEZ"/>
        <s v="DR. RAIMUNDO GÓMEZ-BLASI"/>
        <s v="DR. CARLOS FÉLIX ASENSIO NIETO"/>
        <s v="DRA. MARIA ROSARIO FERRANDIZ GARCÍA"/>
        <s v="DR. JESÚS HERRANZ GONZÁLEZ-BOTAS"/>
        <s v="DRA. ESTHER MONTIEL DIEZ"/>
        <s v="NATALIA GISSETH PULIDO FONSECA"/>
        <s v="DR. JAVIER GARCÍA-DUEÑAS GONZÁLEZ"/>
        <s v="DR. RAIMUNDO ANDRES NAVARRO MEDIANO"/>
        <s v="DRA. MARÍA JESÚS GIL PÉREZ"/>
        <s v="DRA. VILMA SANDOVAL PACHECO"/>
        <s v="DRA. Mª TERESA ALMELA ROJO"/>
        <s v="DR. FERNANDO GARCÍA ALCÁNTARA"/>
        <s v="DRA. MILAGROS MARCOS ORDOÑEZ"/>
        <s v="DR. LUIS JOSÉ DOMÍNGUEZ UGIDOS"/>
        <s v="DRA. MARÍA TERESA GARCÍA IRIARTE"/>
        <s v="DR. FRANCISCO JOSÉ AGUADO MARTÍNEZ"/>
        <s v="DR. JUAN RIESTRA AYORA"/>
        <s v="DR. ANDRÉS SOTO VARELA"/>
        <s v="DRA. ANA PÉREZ DEL NOTARIO"/>
        <s v="DR. FRANKLIN S, MARIÑO SÁNCHEZ"/>
        <s v="DRA. CARLOTA SEVIL SERRANO"/>
        <s v="DR. FRANCISCO JOSÉ ESTRADA MOLINA"/>
        <s v="DRA. ISABEL GONZÁLEZ GUIJARRO"/>
        <s v="DR. JESÚS AARÓN MARTÍNEZ ALONSO"/>
        <s v="DR. FRANCISCO RAMOS PUERTO"/>
        <s v="DRA. LAURA RUANO DE PABLO"/>
        <s v="DRA. ANNA SUMARROCA TROUBOUL"/>
        <s v="DR. ÁLVARO PÉREZ LLINARES"/>
        <s v="DR. JULIE MÚÑOZ FREITEZ"/>
        <s v="DR. ALFONSO MARCO GARRIDO"/>
        <s v="DRA. ANA FERNÁNDEZ RODRÍGUEZ"/>
        <s v="DRA. MARÍA K LLANO ESPINOSA"/>
        <s v="DR. GARIKOITZ CALZADA URIONDO"/>
        <s v="DR. JAVIER GAVILANES PLASENCIA"/>
        <s v="DRA. ISABEL MENACHES GUARDIOLA"/>
        <s v="DR. FRANCISCO JAVIER MOLLA RUDIEZ"/>
        <s v="DR. RICARDO GONZÁLEZ-ORUS"/>
        <s v="DR. JESÚS SAN ROMÁN CARBAJO"/>
        <s v="DR. JEAN FRANCO INTRAPRENDENTE MARTINI"/>
        <s v="DR. ENRIQUE ROMERO VAN ABELEEN"/>
        <s v="DR. GABRIEL PEDRMONTE SARRIAS"/>
        <s v="DRA. ALICIA SUÁREZ CALVO"/>
        <s v="DRA. ADRIANA PARDO MAZA"/>
        <s v="DR. IGNACIO ARISTEGUI TORRANO"/>
        <s v="DR. JOSÉ MARÍA LABORDA MARGOLLES"/>
        <s v="DR. LUIS MIGUEL MENÉNDRZ COLINO"/>
        <s v="DRA. MARTA ALCARAZ FUENTES"/>
        <s v="DR. ANSELMO PADÍN SEARA"/>
        <s v="DRA. SARA TANBOURA LÓPEZ"/>
        <s v="DR. JOSÉ ANTONIO CASTRO CUERPO"/>
        <s v="DRA. DANIELA CAROLINA LAGUADO BULGHERONI"/>
        <s v="DRA. HELENA MORENO PARDO"/>
        <s v="DR. MIGUEL VACA GONZÁLEZ"/>
        <s v="DR. JOSÉ TISNER NIETO"/>
        <s v="DR. ALEJANDRO HARGUINDéY ANTOLI-CANDéLA"/>
        <s v="DR. OSCAR A, SÁNCHEZ VALENZUELA"/>
        <s v="ISABEL VAAMONDE SANCHEZ ANDRADE"/>
        <s v="DRA. DANIELA TERÁN GUAMÁN"/>
        <s v="DR. MANUEL CAÑETE DOMÍNGUEZ"/>
        <s v="DR. GERARDO MARTIN SIGUENZA"/>
        <s v="DRA. CARMEN VALLÉS RODRÍGUEZ"/>
        <s v="DRA. REBECA BARRIOS GONZALO"/>
        <s v="DRA. DIANA HERNÁN PÉREZ"/>
        <s v="DRA. BEATRIZ RODRÍGUEZ GONZÁLEZ HERRERO"/>
        <s v="DRA. ROCÍO CORRALES MILLÁN"/>
        <s v="DR. MANUEL ESTEVEZ GARCÍA"/>
        <s v="DR. RAFAEL PÉREZ GONZÁLEZ"/>
        <s v="DR. MIGUEL OLIVENCIA PÉREZ"/>
        <s v="DRA. MARÍA JOSÉ NAYA GÁLVEZ"/>
        <s v="DR. JOAQUÍN PÉREZ RULL"/>
        <s v="DR. ISABEL VAAMONDE SANCHEZ ANDRADR"/>
        <s v="DRA. ISABEL PENSADO BANET"/>
        <s v="DR. FRANCISCO ROPERO ROMERO"/>
        <s v="DRA. SARA REDA DEL BARRIO"/>
        <s v="DRA. IRIS QUERO CAMPOS"/>
        <s v="DRA. VICTORIA RIVERO DE JESÚS"/>
        <s v="DR. ENRIC CISA LLUIS"/>
        <s v="DRA. NURIA PÉREZ MARTÍN"/>
        <s v="DR. XAVIER URRACA CONTRERAS"/>
        <s v="DRA. ESTEFANÍA LOZANO REINA"/>
        <s v="DR. MANUEL GARCÍA LÓPEZ"/>
        <s v="DRA. IRENE MONJAS CANOVAS"/>
        <s v="DRA. MARÍA DEL MAR MEDINA GONZÁLEZ"/>
        <s v="DRA. PAULA MARTÍNEZ-RUIZ DE APOCADA"/>
        <s v="DR. RAFAEL SANZ TRENADO"/>
        <s v="DRA. BERTA ALEGRE EDO"/>
        <s v="DR. JOSÉ RUIZ COELLO MORATALLA"/>
        <s v="DR. CARLOS DURÁN DÍEZ"/>
        <s v="DRA. MARÍA DEL MAR MARTÍNEZ RUIZ-COELLO"/>
        <s v="DRA. MARÍA DABLANCO BLANCO"/>
        <s v="DRA. PALOMA MARTIN ARAGON"/>
        <s v="DR. JESÚS EDUARDO RAMÍREZ SALAS"/>
        <s v="DRA. LAURA DEL TORO GIL"/>
        <s v="DRA. RAQUEL SOLIS VAZQUEZ"/>
        <s v="DR. JUAN RAMÓN PAREDES OSADO"/>
        <s v="DRA. OLGA FERRER ANDINO"/>
        <s v="DR. CARLOS DE PAULA VERNETTA"/>
        <s v="DR. JOSÉ Mª RELANZÓN LOPEZ"/>
        <s v="DR. ALBERTO TAUSTE GÓMEZ"/>
        <s v="DR. MIQUEL GUIRAO CANO"/>
        <s v="DR. MANUEL MATEOS FERNÁNDEZ"/>
        <s v="DRA. IRENE MÁRMOL SZMOBATHY"/>
        <s v="DRA. MARTA MORATO GALÁN"/>
        <s v="DR. MANUEL GÓMEZ FIÑANA"/>
        <s v="DRA. ESTRELLA GÓMEZ TOMÉ"/>
        <s v="DRA. DARÁ SÁNCHEZ RUIZ"/>
        <s v="DR. JUAN LOSADA CAMPA"/>
        <s v="DRA. GUADALUPE SEQUEIROS SANTIAGO"/>
        <s v="DR. CRISTINA ALONSO GONZÁLEZ"/>
        <s v="DRA. VICTORIA DUQUE HOLGUERA"/>
        <s v="DR. JOAQUIN GUTIERREZ BARQUIN"/>
        <s v="DR. ENRIQUE GÓMEZ ALDAZ"/>
        <s v="DR. LUIS JIMÉNEZ FERRERES"/>
        <s v="DR. GUSTAVO BENAVENTE BERMUDO"/>
        <s v="DRA. CELIA LÓPEZ MOLLA"/>
        <s v="DR. JOAQUÍN PÉREZ VILLAR"/>
        <s v="DR. MANUEL MARTÍ PEÑA"/>
        <s v="DRA. TERESA RIVERA SCHMITZ"/>
        <s v="DRA. MARGARITA REYES DÍAZ"/>
        <s v="DR. ÁNGEL BATUECAS CALETRÍO"/>
        <s v="DRA. MARTA CALVO PÉREZ"/>
        <s v="DR. JUAN LATORRE LÓPEZ"/>
        <s v="DRA. LAURA GAÑÁN ALBUISECH"/>
        <s v="DR. ISIDORO RUBIO CORREA"/>
        <s v="DR. ELADIO SICILIA MALUENDA"/>
        <s v="DR. JOSE ANTONIO TORRE EIRIZ"/>
        <s v="DRA. MARÍA CECILIA SCOLA TORRES"/>
        <s v="DRA. CRISTINA POVEDANO FERNÁNDEZ"/>
        <s v="DR. AGUSTÍN CAMPOS CATALÁ"/>
        <s v="DR. JAIME LEACHE PUEYO"/>
        <s v="DR. ALBERTO RAPOSO JIMÉNEZ"/>
        <s v="DRA. BEATRIZ SANTOS DUQUE"/>
        <s v="DRA. VANESA PÉREZ GUILLÉN"/>
        <s v="DR. JOSÉ MONTALT MARCO"/>
        <s v="DRA. FE RUBIO ESCOLANO"/>
        <s v="DRA. Ana Gabriela Jover Espla"/>
        <s v="DRA. CONCEPCION RODRÍGUEZ IZQUIERDO"/>
        <s v="DRA. ANA GIRIBET FERNANDEZ-PACHECO"/>
        <s v="DR. JOSÉ LUIS BATLLES MEDINA"/>
        <s v="DR. JORGE FREIJANES OTERO"/>
        <s v="DRA. MARÍA LOURDES HERNÁNDEZ DE LOS SANTOS"/>
        <s v="DR. JUAN CARLOS DEL POZO DE DIOS"/>
        <s v="DRA. NATALY MONTAÑO RUEDA"/>
        <s v="DR. MARIO CUETOS AZCONA"/>
        <s v="DRA. CIFUENTES NAVAS"/>
        <s v="DRA. SARA FERNANDRZ CASCÓN"/>
        <s v="DR. FERRAN BALLESTEROS ALONSO"/>
        <s v="DR. SERGIO CODINA ALONSO"/>
        <s v="DRA. MARÍA AMPARO ÁLVAREZ DE TOLEDO JEUTE"/>
        <s v="DR. JUAN PEDRO RUBIO RODRÍGUEZ"/>
        <s v="DRA. AURORA LÓPEZ LLAMES"/>
        <s v="DR. JOSÉ MIGUEL COSTA GONZÁLEZ"/>
        <s v="DRA. BLANCA MARIA MARTINEZ DURO"/>
        <s v="DRA. AINA BRUNET"/>
        <s v="DRA. MARÍA JOSEFA HERVÁS NÚÑEZ"/>
        <s v="DRA. MARTA MESALLES RUIZ"/>
        <s v="DRA. VIRGINIA DÍAZ GUERRERO"/>
        <s v="DR. VÍCTOR JOSÉ GONZÁLEZ ARIAS"/>
        <s v="DR. JOSE ANTONIO SANCIPRIANO HERNÁNDEZ"/>
        <s v="DR. MARTÍN EDUARDO MARCANO ACUÑA"/>
        <s v="DR. XAVIER GONZÁLEZ COMPTA"/>
        <s v="DR. JAIME MARTÍN CARRANZA"/>
        <s v="DRA. BELÉN GARCÍA CARREIRA"/>
        <s v="DR. ALEJANDRO DÍAZ UÑA"/>
        <s v="DR. ANTONIO JOSÉ FERNÁNDEZ PÉREZ"/>
        <s v="DR. DINIS ANTUNES SILVA"/>
        <s v="DR. ABEL GUZMÁN CALVETE"/>
        <s v="DRA. MARTA SANZ RODRÍGUEZ"/>
        <s v="DR. DANIEL IVÁN MARTÍN JIMÉNEZ"/>
        <s v="DR. PEDRO GIL PARAÍSO"/>
        <s v="DRA. ARACELI GONZÁLEZ DELGADO"/>
        <s v="DRA. MIRIAM NATSUKI"/>
        <s v="DR. RODRIGUEZ"/>
        <s v="DR. JOSÉ RAMIRO DE LEÓN LIMA"/>
        <s v="DRA. ESTHER DE LA O CORROCHANO"/>
        <s v="DR. JOSÉ MIGUEL TEJADA BAUTISTA"/>
        <s v="DR. GONZALO RUIZ MORALES"/>
        <s v="DR. ANDRÉS PAULINO HERRERA"/>
        <s v="DRA. ELENA MOLINA FERNÁNDEZ"/>
        <s v="DR. SANTIAGO ESTÉVEZ ALONSO"/>
        <s v="DR. PABLO VERGÉS FORT"/>
        <s v="DRA. Mª SOLEDAD FRÍAS MOYA-ANGELER"/>
        <s v="DR. GIANMARCO NARCISO MARTÍNEZ"/>
        <s v="DR. ÁLVARO CARRILLO SOTOS"/>
        <s v="DRA. MARÍA GABRIELA BOSCO MORALES"/>
        <s v="DRA. OLALLA CASTRO MACIA"/>
        <s v="DR. GUILLERMO PLAZA MAYOR"/>
        <s v="DR. MIGUEL LUCAS HERRERA"/>
        <s v="DRA. PALOMA ÁLVAREZ HERNANDRZ"/>
        <s v="DR. FRANCISCO JAVIER AGUILAR VERA"/>
        <s v="DRA. MIREIA GOLET FORS"/>
        <s v="DRA. ALEJANDRA JARA MAQUILON"/>
        <s v="Ana Gabriela Jover Espla"/>
        <s v="DRA. MARÍA AGUSTINA SEVILLA GARCÍA"/>
        <s v="DR. JOAQUIN ALACIO CASERO"/>
        <s v="DRA. MIRIAM GONZÁLEZ GARCÍA"/>
        <s v="DR. PEDRO FRANCISCO MARTÍNEZ GUISADO"/>
        <s v="DR. ÁLVARO SÁNCHEZ DE ARRIBA"/>
        <s v="DR. JAVIER PADILLA CABALLERO"/>
        <s v="DRA. LILIANA FILIPA INVENCIO DA COSTA"/>
        <s v="DRA. ESTHER MACON LIQUETE"/>
        <s v="DR. MERCEDES CEBALLOS CAUTO"/>
        <s v="DRA. DESIREÉ MÉNDEZ BRENDERBACHE"/>
        <s v="DR. JUAN DE DIOS DE LA CALZADA"/>
        <s v="DRA. CECILIA PÉREZ MARTÍNEZ"/>
        <s v="DR. PABLO GARCÍA GONZÁLEZ"/>
        <s v="DR. PABLO TORRICO ROMÁN"/>
        <s v="DRA. ESTEFANIA MIRANDA SÁNCHEZ"/>
        <s v="DRA. MARTA COLMENERO RUIZ"/>
        <s v="DR. JOSÉ MARÍA RELANZÓN LÓPEZ"/>
        <s v="DRA. OLGA ALDECOA JIMÉNEZ"/>
        <s v="DRA. ESTHER SEBASTIÁN GIL"/>
        <s v="JOSE MARIA HERNANDEZ HERNANDEZ"/>
        <s v="DR. CARLOS FELIX ASENSIO NIETO"/>
        <s v="DR. ANTONIO SÁNCHEZ DEL HOYO"/>
        <s v="DR. RAFAEL RUIZ FITO"/>
        <s v="DR. LUIS FIDEL NIETO"/>
        <s v="DRA. Mª TERESA CUESTA GONZÁLEZ"/>
        <s v="DRA. CARMEN MIRANDA JORGE"/>
        <s v="DRA. MAR LASSO"/>
        <s v="DR. JUAN JOSÉ SANZ GONZÁLEZ"/>
        <s v="DRA. CRISTINA GARCÍA GARCÍA"/>
        <s v="DRA. OREANA CAROLINA CAMACARO GONZÁLEZ"/>
        <s v="DR. MÁXIMO RAFAEL GARCÍA RODRÍGUEZ"/>
        <s v="DRA. MARIA ÁNGELES MATE BAYON"/>
        <s v="DRA. LUISA PAYÁ PÉREZ"/>
        <s v="DR. GUILLERMO SEVERA FERRANDIZ"/>
        <s v="DRA. PATRICIA GARCÍA VICENTE"/>
        <s v="DRA. PAULA MORALES CHACCHI"/>
        <s v="DR. FRANCISCO J. REDONDO DEL BARCO"/>
        <s v="DR. IVAN MENDEZ- BENEGASSI SILVA"/>
        <s v="DR. JAVIER GARCÍA DOMINGUEZ"/>
        <s v="DR. IVÁN MUERTE MORENO"/>
        <s v="DR. COLOMA GRAU VAN LAAK"/>
        <s v="DR. OSCAR A. SÁNCHEZ VALENZUELA"/>
        <s v="DR. ALFONSO SANTAMARÍA GADEA"/>
        <s v="DRA Mª AGUSTINA SEVILLA GARCÍA"/>
        <s v="DR. GONZALO DORADO GUTIÉRREZ"/>
        <s v="DRA. CANDELAS ÁLVAREZ NUÑO"/>
        <s v="DR. FRANCISCO JAVIER LAGE FERNÁNDEZ"/>
        <s v="DR. ULISES BIDÓN GÓMEZ"/>
        <s v="DR. JUAN MAZA SOLANO"/>
        <s v="DRA. MARIA DEL ROCIO LOBATO PEREZ"/>
        <s v="DRA. MARTA ABAD PASCUAL"/>
        <s v="DRA. MARÍA CONSOLACIÓN MARTÍN PASCUAL"/>
        <s v="DR. ANTONIO MEDINILLA VALLEJO"/>
        <s v="DRA. ELISA PARDO SALGADO"/>
        <s v="DR. LEÓN FERNÁNDEZ CAMESELLE"/>
        <s v="DR. JULIO PEÑARROCHA"/>
        <m/>
      </sharedItems>
    </cacheField>
    <cacheField name="Visitador" numFmtId="0">
      <sharedItems containsBlank="1" count="15">
        <s v="MAIKA BLÁZQUEZ (MADRID)"/>
        <s v="LUIS ALBERTO RODRÍGUEZ (ANDALUCÍA Y BADAJOZ)"/>
        <s v="IVÁN SÁNCHEZ (LEVANTE Y ALBACETE)"/>
        <s v="PATRICIA SOLACHE (CASTILLA Y LEÓN)"/>
        <s v="SANTIAGO GARCÍA DE LAMO (FINALIZÓ 1-01-24)"/>
        <s v="ROBERTO PEREIRA (GALICIA)"/>
        <s v="ORIOL LLORENS (CATALUÑA Y BALEARES)"/>
        <s v="LISANDRO RUSSIAN (MADRID,CÁCERES, TOLEDO, TALAVERA Y LOGROÑO)"/>
        <s v="RAMON FERRANDO(VALENCIA)"/>
        <s v="KAPI"/>
        <s v="ROSA ALBALADEJO"/>
        <s v="ANGELES MARTINEZ (OVIEDO Y GIJÓN)"/>
        <s v="ALBERTO MORENO"/>
        <s v="ESPERANZA MOLINA"/>
        <m/>
      </sharedItems>
    </cacheField>
    <cacheField name="PACIENTE" numFmtId="0">
      <sharedItems containsBlank="1" count="1750">
        <s v="ANTONIA RAMOS SORIANO"/>
        <s v="JUANA GONZALEZ MARTIN"/>
        <s v="ROCIO GARCIA ARANDA"/>
        <s v="ANTONIO RAMOS JIMENEZ"/>
        <s v="CARMEN PALACIO CASAUS"/>
        <s v="ISIDORA POSADA DE LA FUENTE"/>
        <s v="MANUEL RODRIGUEZ BUGALLO"/>
        <s v="CARMEN OROVAY BARBER"/>
        <s v="MARIA DE LA GRANADA CAMPOS MARTIN"/>
        <s v="MANUELA ALVAREZ FEITO"/>
        <s v="LUCIANA GARCIA BLANCO"/>
        <s v="MONTSERRAT RODRIGUEZ VAZQUEZ"/>
        <s v="MARIA SOLEDAD LUENGO GONZALEZ"/>
        <s v="JOSEFA LOPEZ LOPEZ"/>
        <s v="JOSE LUIS TORRES RUIZ"/>
        <s v="BEATRIZ GOMEZ DE LA FUENTA"/>
        <s v="INDALECIO QUIROS NIETO"/>
        <s v="ROSARIO SANABRIA QUINTANA"/>
        <s v="MELCHOR ALVAREZ ALVAREZ"/>
        <s v="MILAGROS COGOLLUDO REMON"/>
        <s v="PRESENTACION GOMEZ LAVELA"/>
        <s v="ANTONIO GARCIA DIAZ"/>
        <s v="PILAR SOBRINO SEGOVIA"/>
        <s v="MARCOS BURGOS ADAN"/>
        <s v="RAMON EIROA CANALES"/>
        <s v="MARIA LUISA ROMERO PRIETO"/>
        <s v="IGNACIO MANUEL BAREA CABEZAS"/>
        <s v="MARIA PILAR COCA MARTINEZ"/>
        <s v="JOAQUIN ROMERO LORENZO"/>
        <s v="MARIANO ECHEVARRIA CABALLERO"/>
        <s v="JOSE SOLER SANCHEZ"/>
        <s v="ANTONIO JIMENEZ ARROYO"/>
        <s v="PEDRO IGLESIAS CONDE"/>
        <s v="MARIA TERESA DEL POZO SOBRINO"/>
        <s v="RICARDO PEREZ ABELLA"/>
        <s v="SANTIAGO LLORENTE GONZALEZ"/>
        <s v="MANEL PEIDRO VIDAL"/>
        <s v="JOSE LUIS CABRERA PEREZ"/>
        <s v="MANUEL DE LA FUENTE DIAZ"/>
        <s v="RAFAELA QUIROS MARMOL"/>
        <s v="JAVIER TALISA"/>
        <s v="NARCISO CORDERO DELGADO"/>
        <s v="JEZABEL GONZALEZ DIEZ"/>
        <s v="RAUL GALLEGO PRIETO"/>
        <s v="JOSE SOUTO UZAL"/>
        <s v="MARIA ASUNCION SANCHEZ DE LA TORRE"/>
        <s v="CARMEN VICENTE BADAS"/>
        <s v="PALOMA GUERRERO GOMEZ"/>
        <s v="FRANCISCO PEREZ DE CAMINO"/>
        <s v="MARIA CRISTINA GARCIA COMAS"/>
        <s v="JESUS PASCUAL OLIVA"/>
        <s v="JOSE VICENTE VALERA"/>
        <s v="MANUEL MARTINEZ ODERO"/>
        <s v="RAMONA LOPEZ HERNANDEZ"/>
        <s v="LAURA GUTIERREZ LOPEZ"/>
        <s v="BARTOLOME LARA CALERO"/>
        <s v="NOEMI ESTRELLA BABASASA"/>
        <s v="OTILIA MESURO FELIZ"/>
        <s v="DANIEL ALPUENTE MILLANES"/>
        <s v="BARTOLOMEO FABIO MARRA"/>
        <s v="JOSE ALBERTO LOPEZ MONTERO"/>
        <s v="MARIA DE LOS ANGELES MARIA CARRIL"/>
        <s v="MERCEDES BLAZQUEZ RODILLA"/>
        <s v="MARIA ANGELES ESPEJO SILVA"/>
        <s v="MARIA SOLER PADILLA"/>
        <s v="ANTONIO PORRES DIAZ"/>
        <s v="KAMILIA BOUFAIDA"/>
        <s v="TOMAS LOPEZ GARCIA"/>
        <s v="ESTEBAN MOLINA MARTINEZ"/>
        <s v="ELISEA VELASCO HERREROS"/>
        <s v="VICTORIANO CABRERA GONZALEZ"/>
        <s v="MAGDALENA FERREÑO MARTINEZ"/>
        <s v="JOSE LUIS GUTIERREZ VICTOR"/>
        <s v="LUIS ALVAREZ MARTIN"/>
        <s v="TERESA ERMOCIDA LONGO"/>
        <s v="JUAN GARCIA PEREZ"/>
        <s v="CRISTINA GERBOLES FREIXAS"/>
        <s v="ANGEL VEGA RUBIO"/>
        <s v="Mª JESUS ALARCON MENCHEN"/>
        <s v="ISABEL MARTIN GOMEZ"/>
        <s v="MARIA VISITACION RIOJA SANCHEZ"/>
        <s v="IRVIN DOAK"/>
        <s v="GLORIA GARCIA MARCOS"/>
        <s v="GASPAR FLAVIA NOTARIO"/>
        <s v="CONCHA AYALA ALONSO"/>
        <s v="JOSE MARTINEZ FAGOAGA"/>
        <s v="ALBERTO CUESTA TARRIO"/>
        <s v="ENCARNACION MARTINEZ CONESA"/>
        <s v="SHEILA MARGARET BROOKES"/>
        <s v="AGUSTIN DE LA HERA VILLEGAS"/>
        <s v="FERNANDO CUERVO ARGUDIN"/>
        <s v="JUAN CORTES Zaragoza"/>
        <s v="RAUL FRESNEDA SANTILLANA"/>
        <s v="ISABEL MARTIN JARDIN"/>
        <s v="JOSE MIGUEL RUBIO ALVAREZ"/>
        <s v="SANTIAGO FERNANDEZ SANCHEZ"/>
        <s v="TEODORA LARGO BARBANCHO"/>
        <s v="BRYAN LONDOÑO PEREZ"/>
        <s v="CONSTANZA GARCIA PEDROSO"/>
        <s v="JOSEFINA PRADO ALCANTARA"/>
        <s v="CONCEPCION BAYONA AYALA"/>
        <s v="JOSE GIL ALCAINA"/>
        <s v="MAXIMO FRENCH CAVALLI"/>
        <s v="JOSE GARROSA MARTIN"/>
        <s v="AURELIO ROSALES NOGUERA"/>
        <s v="MARIA RAMONA PERONA CEBRIAN"/>
        <s v="MANUEL LOPEZ LOPEZ"/>
        <s v="ASUNCION ALONSO FERNANDEZ"/>
        <s v="VICTOR MONTERREAL BLAZQUEZ"/>
        <s v="GUADALUPE PEREZ GOMEZ"/>
        <s v="MARIA DOLORES CASTRO SANCHEZ"/>
        <s v="MARIA GENOVEVA MOREIRA CARRO"/>
        <s v="MARIA ARANTZAZU SANZ ERICE"/>
        <s v="MANUEL GARCIA CORDERO"/>
        <s v="FRANCISCO CID QUIROGA"/>
        <s v="MARIA JOSE PEREZ FERRER"/>
        <s v="GERMAN ALVAREZ VEGA"/>
        <s v="SOLEDAD MAQUEDA GARCIA"/>
        <s v="MARIA TERESA LOPEZ URIEL"/>
        <s v="NURIA ROGEL RODRIGUEZ"/>
        <s v="ANTONIO ZAMBUDIO BURILLO"/>
        <s v="CATALINA ROMERO HUESCAR"/>
        <s v="MARIA JOSEFA ALBERO JAEN"/>
        <s v="MIGUEL ANGEL SANTOS RUIZ"/>
        <s v="JOSE MANUEL CAL VALE"/>
        <s v="MARIA REYES MUÑOZ RAMOS"/>
        <s v="ESPERANZA CARRION PALOMO"/>
        <s v="JOSE ANTONIO SANTOS CASTRO"/>
        <s v="BARBARA BLANCO SUAREZ"/>
        <s v="MARIA DEL CARMEN BLAZQUEZ SANCHEZ"/>
        <s v="ANTONIO ELIAS BELTRAN RINCON"/>
        <s v="ISABEL SANTANA PRADAS"/>
        <s v="MARIA DOLORES IVORRA BROTONS"/>
        <s v="PEDRO JOSE MARTINEZ HERREROS"/>
        <s v="VICTORIA MAVRU"/>
        <s v="SANTIAGO RODRIGUEZ PRIETO"/>
        <s v="ANGELA MARTINEZ MARIN"/>
        <s v="FIDEL CALVELO CANCELA"/>
        <s v="LOTARIO ARROYO DE LAS HERAS"/>
        <s v="MILAGROS GALLARDO CRUZ"/>
        <s v="JOSE LUIS BURGO LOPEZ"/>
        <s v="TEODORO VALBUENA CABEZUDO"/>
        <s v="MANUELA REBOLLO ESPINOSA"/>
        <s v="MARIA DEL MAR GALLARDO DELGADO"/>
        <s v="FLORENCIO MUÑOZ HERNANDEZ"/>
        <s v="PEDRO ROSELL BROCAL"/>
        <s v="ANTONIO GARCIA MUÑOZ"/>
        <s v="SOFIA LEON QUISPE"/>
        <s v="CARMEN GARCIA LOPEZ"/>
        <s v="CAROLINA VEGA TEJERO"/>
        <s v="MARIANO LOPEZ LOSAÑEZ"/>
        <s v="PILAR RODRIGUEZ CHICHARRO"/>
        <s v="ENRIQUE GARCIAMOCHALES DEL OLMO"/>
        <s v="JOSE CARAVACA ESPEJO"/>
        <s v="DAVID ESCRIBANO ROS"/>
        <s v="MIGUEL MORALEDA SOLANO"/>
        <s v="DOLORES PEREIRA FERREIRO"/>
        <s v="ANGEL LUIS GARCIMARTIN GUSTIN"/>
        <s v="JUAN SIMON GONZALO ARRIBA"/>
        <s v="MARIA TRINIDAD MONZON REJON"/>
        <s v="JUAN AVEZUELA CHAPINAL"/>
        <s v="MERCEDES RAIMIL GONZALEZ"/>
        <s v="ISABEL BERMEJO VELASCO"/>
        <s v="JOSE CARLOS REGO FERNANDEZ"/>
        <s v="MARIA DEL MAR HERNANDEZ BELTRAN"/>
        <s v="JACINTO CENTENO DELGADO"/>
        <s v="JUDITH NANSY HAANSTAD"/>
        <s v="RAFAEL GARCIA BELCHI"/>
        <s v="PILAR JUDEZ MUÑOZ"/>
        <s v="JUAN ANTONIO SIRVENT SANTAMARIA"/>
        <s v="MANUEL CRISTIANO ROMERO"/>
        <s v="AURORA PERNAUTE ALVAREZ"/>
        <s v="MARIA ANGELES GARCIA TORRES"/>
        <s v="MANUEL MARTINEZ GUTIERREZ"/>
        <s v="CARMEN MARTINEZ PUJANTE"/>
        <s v="BERNARDINO RIVAS RIVAS"/>
        <s v="ANGEL ARGENTA BRAOJOS"/>
        <s v="VIOLETA DEL CARMEN RUIZ DE MARTINEZ"/>
        <s v="FELICIDAD MIGALLON MIGALLON"/>
        <s v="CASILDA RODRIGUEZ PEREZ"/>
        <s v="ANGEL ROSADO SANCHEZ"/>
        <s v="CORTES GARCIA MORENO"/>
        <s v="RENALDO ALBERTO VELAZQUEZ CHACON"/>
        <s v="MAGDALENA PEÑA RODRIGUEZ"/>
        <s v="EDELMIRA ANTON RODRIGUEZ"/>
        <s v="DOLORES CARBALLEDO FERNANDEZ"/>
        <s v="MANUEL HERNANDEZ JODRA"/>
        <s v="ANSELMO FUENTES FERNANDEZ"/>
        <s v="ORLANDO DOS ANJOS LEITES ALVES"/>
        <s v="JOSE MANUEL ALCAZAR MONFORT"/>
        <s v="CARMEN BALLESTE PANTIN"/>
        <s v="JACINTO RODRIGUEZ CAMISON"/>
        <s v="CARMEN GUTIERREZ FERNANDEZ"/>
        <s v="JESUS RODRIGUEZ LASTRA"/>
        <s v="AVELINO AGUIRRE DURANA"/>
        <s v="MARIA DEL OLMO COBEÑA"/>
        <s v="MARIA DEL CARMEN MINGUILLON HERNANDEZ"/>
        <s v="EDUARDO GARCIA GARCIMARTIN"/>
        <s v="ALVARO RUIZ GARCIA"/>
        <s v="MARIE CLAUDE JACQUEMIN"/>
        <s v="JOSE ANTONIO PACHECO CAPA"/>
        <s v="MAITE NORIEGA SANCHIS"/>
        <s v="LUIS BALLESTEROS MENENDEZ"/>
        <s v="JULIA RODRIGUEZ VAZQUEZ"/>
        <s v="BENITO FERNANDEZ ALONSO"/>
        <s v="MARIA CARMEN PRIMOLA MARTINEZ"/>
        <s v="ANTONIA TORNEL MARTINEZ"/>
        <s v="ANTONIA PEREZ OLIVA"/>
        <s v="FELIX BLANCO GARZA"/>
        <s v="APOLONIA FERNANDEZ CAÑADAS MORENO PALANCAS"/>
        <s v="JAVIER LARRU CABRERO"/>
        <s v="JESUS ANGEL ARROYO VILLEGAS"/>
        <s v="JOSE REY IGLESIAS"/>
        <s v="EMILIO SANCHEZ FERNANDEZ"/>
        <s v="FELICIDAD JIMENEZ LOPEZ"/>
        <s v="MARIA GOMEZ ALMENAR"/>
        <s v="JULIAN RODRIGUEZ VERA"/>
        <s v="LUIS FERNANDO RODRIGUEZ IMAZ"/>
        <s v="SALVADORA BEJAR BLANCO"/>
        <s v="FRANCISCO UCLES MORENO"/>
        <s v="MANUEL VAZQUEZ ALVAREZ"/>
        <s v="PEDRO BLASCO MARIN"/>
        <s v="ANGELES PEREZ SOLER"/>
        <s v="LIDIA SOLER GARCIA"/>
        <s v="ROGELIO FRADE BELLO"/>
        <s v="JOSE LUIS BENITO BERNAL ANDRES"/>
        <s v="PAUL ALAN CANFIELD"/>
        <s v="MARIA ISABEL RUIZ RUEDA"/>
        <s v="JUAN ARIAS FERNANDEZ"/>
        <s v="CARMEN DEVESA SANCHEZ"/>
        <s v="JOSE GOMEZ RISUEÑO"/>
        <s v="ANTONIO FERRERAS CID"/>
        <s v="MARIA GUADALUPE CASTELO CHAPA"/>
        <s v="ANGEL GIL HERRANZ"/>
        <s v="JOHN SHARP"/>
        <s v="ISABEL LOPEZ MIGUEL"/>
        <s v="MARIA DE LAS NIEVES ESPINOSA PEREZ"/>
        <s v="JUAN ANTONIO BURGUILLO SANCHEZ"/>
        <s v="MARIA DEL CARMEN JUAN CANTON"/>
        <s v="MARINA BELLAS LAMELA"/>
        <s v="HORTENSIA BAÑOS MONTERO"/>
        <s v="LUIS QUILES VALVERDE"/>
        <s v="ANTONIO CAROL ESTELA"/>
        <s v="FERNANDO REY NOYA"/>
        <s v="BARTOLOME PUIG CORREAS"/>
        <s v="JUANA LOPEZ VAZQUEZ"/>
        <s v="GLORIA PEREZ TUEROS"/>
        <s v="ENRIQUE MARTIN VAZQUEZ"/>
        <s v="JULIA GUTIERREZ BARROSO"/>
        <s v="JULIAN MEDINA RUIZ"/>
        <s v="ROSA MARIA DE LA PEÑA POLO"/>
        <s v="CARLOS ALONSO DEL OLMO"/>
        <s v="JAVIER ACEVEDO GARCIA"/>
        <s v="PILAR DIAZ RODRIGUEZ"/>
        <s v="ANGEL RUBIO MORENO"/>
        <s v="TERESA REY VELASCO"/>
        <s v="ANGEL RODRIGUEZ APARICIO"/>
        <s v="MARIA ISABEL SANTOS SANCHEZ"/>
        <s v="FRANCISCA CASTRO RICO"/>
        <s v="JACQUELINE SUTHERLAND"/>
        <s v="JOSE TUDELA CRUZ"/>
        <s v="MARIA IGLESIAS CAMPO"/>
        <s v="CONCEPCION LAFUENTE ANDREU"/>
        <s v="EDUARDO FERNANDEZ RODRIGUEZ"/>
        <s v="PERFECTA CABANILLAS CORONADO"/>
        <s v="DOMINGO VICENTE SAHAGUN"/>
        <s v="ENRIQUE RICO DEL ALAMO"/>
        <s v="SATURNINA CABRERA MATEOS"/>
        <s v="ANTONIO MORENO SANCHEZ"/>
        <s v="ISIDRO MADRID MATEO"/>
        <s v="Mª DEL PILAR MOLINA LOPEZ"/>
        <s v="JUAN JOSE JUSDADO RUIZ CAPILLAS"/>
        <s v="IVAN AGUILAR PEREZ"/>
        <s v="JOAQUINA SANCHEZ COZAR"/>
        <s v="ANUNCIACION CORRAL PRADA"/>
        <s v="ANA ISABEL TEROL TEROL"/>
        <s v="JUAN DE LA CRUZ JEREZ"/>
        <s v="MARIA DEL CARMEN OTERO FERNANDEZ"/>
        <s v="MARIA CRISTINA CURT TOMAS"/>
        <s v="CECILIA RIBAO GARCIAVERDUGO"/>
        <s v="LUCIA LOPEZ PADRON"/>
        <s v="JOSE FERNANDEZ TESOURO"/>
        <s v="DOLORES BLANCO RUIZ"/>
        <s v="EULOGIO DELGADO MENGUIANO"/>
        <s v="ELOISA ALONSO TERRADOS"/>
        <s v="CONCEPCION PALLAS LOPEZ"/>
        <s v="MARIA PILAR MESANZA DUARTE"/>
        <s v="ROSELA DEOCAREZA DIOLATA"/>
        <s v="MARIA CESPEDES MADRID"/>
        <s v="BENJAMIN DEL REY DEL REY"/>
        <s v="ESTHER GARCIA PINTO"/>
        <s v="FIDEL HARO GUERRA"/>
        <s v="MONICA MIRA DOMENECH"/>
        <s v="SALUD QUILIS VIGRANA"/>
        <s v="MARIA RAFAEL BLANCO"/>
        <s v="EUSEBIO MORENO VICARIO"/>
        <s v="MANUEL GARRIDO GARRIDO"/>
        <s v="JOSE NOVO SALGADO"/>
        <s v="EDUARDO TERAN LERIDA"/>
        <s v="MANUELA MUÑINO GARCIA"/>
        <s v="CANDIDO FATELA DOMINGUEZ"/>
        <s v="TERESA MENDEZ MENDEZ"/>
        <s v="FLORENTINO LLORENTE SANCHEZ"/>
        <s v="RAFAEL ARCAS SANTIAGO"/>
        <s v="MARIA MAGDALENA BUFORN LLORET"/>
        <s v="MARIA FUERTES AGUNDEZ"/>
        <s v="LETICIA VILLAR UZQUIZA"/>
        <s v="MARIA MUÑOZ LOZANO"/>
        <s v="JOSE SOTO GONZALEZ"/>
        <s v="JUAN MIRANDA GARFELLA"/>
        <s v="MARIA CRUZ RUIZ MARTIN"/>
        <s v="MARIA JESUS SANGRADOR BALLESTEROS"/>
        <s v="MARIA PROVIDENCIA DELGADO DURAN"/>
        <s v="KRIJN JOHAN VAN BALEN"/>
        <s v="MANUEL RUPERTO FERNANDEZ FERNANDEZ"/>
        <s v="ANGELA JIMENEZ TAVIRA"/>
        <s v="PASCUAL DIAZ GONZALEZ"/>
        <s v="MARIA DEL MAR MORALES CELDRAN"/>
        <s v="AYA ZOUHAIR"/>
        <s v="BEGOÑA GAÑETE IGLESIAS"/>
        <s v="ISABEL FRACES FRACES"/>
        <s v="FRANCISCO ALEMAÑY ARMENGOL"/>
        <s v="ANTONIO DELGADO CACERES"/>
        <s v="MARIA DE LA LUZ MARIN MARIN"/>
        <s v="ENRIQUE BULLEJOS PLEITE"/>
        <s v="PEDRO JOSE RAMOS QUIROS"/>
        <s v="ELISA MARTINEZ VELASCO"/>
        <s v="SANTOS RODRIGUEZ LOPEZ"/>
        <s v="JOSE FERNANDEZ FERNANDEZ"/>
        <s v="CARMEN FERNANDEZ RODRIGUEZ"/>
        <s v="ENRIQUE LOIS EROSA"/>
        <s v="FERMIN RODRIGUEZ SANCHEZ"/>
        <s v="MARIA DEL CARMEN CABALEIRO VAZQUEZ"/>
        <s v="SAGRARIO MORA MORA"/>
        <s v="CARMEN PEREZ GONZALEZ"/>
        <s v="MARCOS MEDINA COLLADO"/>
        <s v="MARIA DEL PILAR LARA VALERO"/>
        <s v="JUDITH EAKIN"/>
        <s v="ISABEL BELLO MEIJIDO"/>
        <s v="JOSE MARIA HERRERA PEREZ"/>
        <s v="JUAN CARLOS RAMOS LUQUE"/>
        <s v="FRANCISCO PEREZ HERNANDEZ"/>
        <s v="MICAELA SORIANO MARTINEZ"/>
        <s v="ISABEL TORRES RODRIGUEZ"/>
        <s v="MARIA CRISTINA GARCIA SOMOZA"/>
        <s v="CARMEN RAMOS FERNANDEZ"/>
        <s v="FULGENCIO FERNANDEZ FERNANDEZ"/>
        <s v="JAIME BELCHI MOLINA"/>
        <s v="MANUEL CANO BERNAL"/>
        <s v="VICENTE HERNANDEZ MARMOL"/>
        <s v="LUCIA ARCEGA CRUZ"/>
        <s v="CARLOS SIERRA CALATRAVA"/>
        <s v="EMILIO DE LA TORRE MARHUENDA"/>
        <s v="JOSE FERNANDEZ GARCIA"/>
        <s v="JOSE MARIA SANDOVAL GARCIA"/>
        <s v="EDUARDO MARTIN CASTIÑEIRA"/>
        <s v="MANUEL GARCIA SANCHEZ"/>
        <s v="FERNANDO PASCUA MARTIN"/>
        <s v="JENNIFER SANCHEZ HERNANDEZ"/>
        <s v="PEDRO LLORET LLORET"/>
        <s v="RAFAELA AVILA TENZA"/>
        <s v="ELENA ALCARAZ PASTOR"/>
        <s v="JULIAN DE REY BOTELLA"/>
        <s v="MARINA BAUTISTA CARRASCO"/>
        <s v="ROSALYN LEAY"/>
        <s v="MARIA CARME ROVIRA ALZINA"/>
        <s v="MARIA BEGOÑA GOMEZ MARTIN"/>
        <s v="RUFINO HUERTAS HUERTAS"/>
        <s v="LUPICINIO MARTINEZ ARROYO"/>
        <s v="MARIA DEL CARMEN CUESTA CATALAN"/>
        <s v="MARIA AMPARO ORTE JIMENEZ"/>
        <s v="ALFONSO CARRIL GUERRA"/>
        <s v="MARIA VICTORIA RIVADULLA GARCIA"/>
        <s v="PERE CARRERES MARTI"/>
        <s v="PEDRO ADAN GONZALEZ"/>
        <s v="ROSA SEBASTIAN TREMPS"/>
        <s v="JAVIER PINZA GARCIA"/>
        <s v="EDUARDO FELIPE MURO ALONSO"/>
        <s v="MARIA MOYANO ORDOÑEZ"/>
        <s v="MARIA DIONISIA DIEZ DE LA MATA"/>
        <s v="MARIA ARLENE GUTIERREZ RODRIGUEZ"/>
        <s v="ELISA DIAZ SANZ"/>
        <s v="ISABEL MORRO BARRIGA"/>
        <s v="ROSA FRANCISCA POSADA RODRIGUEZ"/>
        <s v="BEGOÑA PACIOS SOBRIN"/>
        <s v="ANTONIO GARCIA CORRALES"/>
        <s v="RICARDO RAMON GARCIA SIMON"/>
        <s v="ANTONIO PAJUELO PAREDES"/>
        <s v="JOSE LUIS JUZGADO MARTIN"/>
        <s v="GLADIS FRIAS LIRIA"/>
        <s v="FRANCISCO JOSE CLARES SANCHEZ"/>
        <s v="MARIA DOLORES LOPEZ SERRABONA"/>
        <s v="FRANCISCO MUÑOZ TIRADO"/>
        <s v="PATRICK GRIFFIN"/>
        <s v="PORFIRIO CARCHENILLA JIMENEZ"/>
        <s v="CATALINA RINCON ALONSO"/>
        <s v="JUAN PEDRO TRENADO DIAZ"/>
        <s v="MARCELO YUSTE GARCIA"/>
        <s v="JUANA GUTIERREZ GONZALEZ"/>
        <s v="RICARDO AGREDA"/>
        <s v="ANTONIO DIAZ MUÑOZ"/>
        <s v="GLORIA BERGARA SAN MARTIN"/>
        <s v="JUAN GONZALEZ COSTELA"/>
        <s v="JUAN JOSE POMARES PEREZ"/>
        <s v="MARIA LUZ SANCHEZ SANTANA"/>
        <s v="JOSE MANUEL MARTINEZ COLLAZO"/>
        <s v="HORTENSIA SERRANO BLAZCO"/>
        <s v="MANUEL JIMENEZ MUÑOZ"/>
        <s v="JOSE INOCENTE GUILLEN ESCRIBANO"/>
        <s v="EPIFANIO PEDRAZA HERRANZ"/>
        <s v="ADOLFO ARAGONES CABRERIZO"/>
        <s v="MANUEL MAIRE RODRIGUEZ"/>
        <s v="JOSE JUAN OJEDA QUINTANA"/>
        <s v="ISABEL FREIRE RIVEIRO"/>
        <s v="ANA SERRANO TORRES"/>
        <s v="MARIA BEGOÑA MARTINEZ SANTIAGO"/>
        <s v="PILAR QUIROS PINEL"/>
        <s v="MARIA ANTONIA GOMEZ ESPEJO"/>
        <s v="ENRIQUE SANCHEZ MUÑOZ"/>
        <s v="HERMINIO SUAREZ GOMARIZ"/>
        <s v="JUANA MORENO NARRO"/>
        <s v="CECILIA ORTIZ MOCHALES"/>
        <s v="MANUELA GONZALEZ GOMEZ"/>
        <s v="ROSA MARIA CHAVES MESEGAR"/>
        <s v="ROSALIA CHOZAS MARTIN"/>
        <s v="FRANCISCO JAVIER PEÑA PEÑA"/>
        <s v="JOSE MARTINEZ VICEN"/>
        <s v="LUCILA PEDROCHE OLIVARES"/>
        <s v="ARANZAZU GONZALEZ GOMEZ"/>
        <s v="ARGIMIRO CABO DEVESA"/>
        <s v="NOELIA BELTRAN ALONSO"/>
        <s v="JOSE MARIA MARMOL MARTINEZ"/>
        <s v="MARIA JOSEFA RODRIGUEZ LEAL"/>
        <s v="JOSE VIZCAINO RUBIO"/>
        <s v="DOROTEA MARTINEZ SASTRE"/>
        <s v="JOSE LUIS VICENTE-ARCHE COLOMA"/>
        <s v="PILAR HERNANDEZ DEL CASTILLO"/>
        <s v="MARIA MONTAÑA MONTES MAESTRE"/>
        <s v="FRANCISCO ANTONIO RODRIGUEZ GEY"/>
        <s v="LISANDRO JOSE MARIA IBAN IBAN"/>
        <s v="JOSE LUIS ROMERO SANCHEZ"/>
        <s v="JESUS GUTIERREZ MOSCOSO"/>
        <s v="JUAN FERNANDO RAMOS TELLO"/>
        <s v="MANUELA PONCE ALFONSO"/>
        <s v="JOSE MARIA RUA RODRIGUEZ"/>
        <s v="PILAR GARCIA-MORATO PARDO"/>
        <s v="AURORA SERRANO MORALES"/>
        <s v="SANTOS GARCIA GARCIA"/>
        <s v="TERESA UBACH BALLBE"/>
        <s v="REGINE GOOSSENS IMMERS"/>
        <s v="JUAN JOSE DE LA CONCHA"/>
        <s v="MARIANO BENITO MARTIN"/>
        <s v="ELENA ESTELLA IZQUIERDO"/>
        <s v="MANUEL REQUEIJO PORTO"/>
        <s v="JOSEFINA FERNANDEZ FERRADANS"/>
        <s v="LUIS GARCIA PEREZ"/>
        <s v="JOSE LUIS PIZARROSO ZARCO"/>
        <s v="ISABEL TORRES GUTIERREZ"/>
        <s v="VICTORIA VERGEL FERNANDEZ"/>
        <s v="ANTONIA GAMERO CAMACHO"/>
        <s v="FRANCISCO BLANCO BLANCO"/>
        <s v="CRISTIAN VALERO MUÑOZ"/>
        <s v="JORGE RACERO GUISADO"/>
        <s v="CONCEPCION GONZALEZ ALFAGEME"/>
        <s v="ENCARNACION LUJAN RODENAS"/>
        <s v="ENRIQUE FERREIRA VILLAR"/>
        <s v="OLGA SANTALICES CID"/>
        <s v="FRANCISCO TORNERO FERNANDEZ"/>
        <s v="ANTONIA GOMEZ NOYA"/>
        <s v="EVANGELINA GALEGO GARCIA"/>
        <s v="ANGELES POLO CHACON"/>
        <s v="SONIA GARCIA ALVAREZ"/>
        <s v="ROSA MARIA SANCHEZ MARTIN"/>
        <s v="DOLORES CASADO FERNANDEZ"/>
        <s v="MANUEL ROJAS MORENO"/>
        <s v="DAFROSINA GONZALEZ SANCHEZ"/>
        <s v="ALFREDO PRADOS GARCIA"/>
        <s v="JUAN SOLIS CAMBA"/>
        <s v="ANA DE LA CASA GIL"/>
        <s v="MARIA LUISA CARRILLO MARTIN"/>
        <s v="CARMEN GOMEZ GOMEZ"/>
        <s v="EDNA PATRICIA BAKER"/>
        <s v="JOSE MANUEL ARIAS ALONSO"/>
        <s v="CIPRIANO ESTEBAN CAÑADA"/>
        <s v="LUIS ANGEL MARTIN FRAILE"/>
        <s v="VALQUIRIA GONZALO BRAGA"/>
        <s v="JOSE VAZQUEZ DIAZ"/>
        <s v="BERNARDINO HERNANDEZ FRAILE"/>
        <s v="FELICIDAD GONZALEZ CASADO"/>
        <s v="CESAR MARTINEZ HERRADA"/>
        <s v="JOSE ESPERT SILVESTRE"/>
        <s v="MARIA DEL CARMEN DE LA CALLE MORATINOS"/>
        <s v="MANUELA GONZALEZ JIMENO"/>
        <s v="JANICE EILEEN HALE"/>
        <s v="RAMON BRUNO PARDO"/>
        <s v="DELFINA COSTAS VELAZQUEZ"/>
        <s v="CARMEN AMALIA SANCHEZ TOSAL"/>
        <s v="MILAGROS JIMENEZ LERIA"/>
        <s v="MARIA CONSOLACION VALVERDE FUENTES"/>
        <s v="TOMAS MARTIN CORRAL"/>
        <s v="CATALINA LACARCEL ROS"/>
        <s v="GENEROSA MIRANDA PEREZ"/>
        <s v="FRANCISCA SIMON CIRIACO"/>
        <s v="ALEJANDRO SEGURA SALGADO"/>
        <s v="MARIA JESUS SERRANO BENITO"/>
        <s v="ADELA FRIGOLS"/>
        <s v="MANUEL SANCHEZ GALLEGO"/>
        <s v="SANTIAGO FULGENCIO SAEZ MESEGUER"/>
        <s v="ANTONIO ACEBES PARRA"/>
        <s v="CARLOS SAN MIGUEL SANCHEZ"/>
        <s v="MARIA BEGOÑA GARCIA MARTIN"/>
        <s v="LUIS LAGOS ALONSO"/>
        <s v="ISABEL MUNERA DAVIA"/>
        <s v="JUANA FRANCISCA GALBAN FRANCO"/>
        <s v="JULIO RAMON FERNADEZ SAN ANDRES"/>
        <s v="ANNA CARRERAS JORDI"/>
        <s v="HUGUETTE DOULMET"/>
        <s v="MIRIAN MANGADO ETAYO"/>
        <s v="MANUEL LOPEZ DIAZ"/>
        <s v="JOSE MANUEL ANTONIO VILLALAIN ARAUZ"/>
        <s v="MANUEL MONDEJAR SALCEDO"/>
        <s v="VICENTE MONBLANCH MONZO"/>
        <s v="MARIA CONCEPCION RODRIGO ALBARRAN"/>
        <s v="MARIA DOLORES GARRIGOS VILA"/>
        <s v="FOIX CERVERA ESTEVE"/>
        <s v="ANGEL LUIS ALVAREZ MORAIS"/>
        <s v="ILDEFONSO PALACIOS GARNICA"/>
        <s v="MANUELA GONZALEZ VALERA LOPEZ"/>
        <s v="LUISA GUTIERREZ RILLO"/>
        <s v="THOMAS HENRY SPERRING"/>
        <s v="ELVIRA SILVAN DEL CAMPO"/>
        <s v="MANUEL GOMEZ FERRERAS"/>
        <s v="BEATRIZ FERNANDEZ-CRUZ CIFUENTES"/>
        <s v="BLAS RODRIGUEZ GOMEZ"/>
        <s v="JOSE CARLOS RODRIGUEZ DOMINGUEZ"/>
        <s v="MONTSERRAT GONZALEZ RODRIGUEZ"/>
        <s v="CESAR ALBERTO GOMEZ GILBERT"/>
        <s v="JORDI COLS TORRENTS"/>
        <s v="ROSARIO SERRANO ANDRES"/>
        <s v="PEDRO MENGUAL BLANQUER"/>
        <s v="JOSEFINA LOPEZ CARNE"/>
        <s v="MARIA DOLORES GONZALEZ VILAR"/>
        <s v="LOLA VELAZQUEZ MARTIN"/>
        <s v="PILAR CARUANA UVEDA"/>
        <s v="MARIA DEL CARMEN MENARGUEZ ALCARAZ"/>
        <s v="LUIS MORENO OTERO"/>
        <s v="MARIA LUISA PARDO NOGALES"/>
        <s v="PILAR MARTINEZ MORCILLO"/>
        <s v="ENRIQUE MARTINEZ TABASCO"/>
        <s v="LICINIO MARTIN BURGOS"/>
        <s v="MARIA DEL CARMEN SANCHEZ-BUENO MUÑOZ"/>
        <s v="ANGELES MARTIN CASAL"/>
        <s v="JUAN ANTONIO JUBERIAS BARRIO"/>
        <s v="MAGDALENA DE VEGA HERRERO"/>
        <s v="GONZALO FERRANDEZ MORALES"/>
        <s v="PABLO ALVAREZ ALVAREZ"/>
        <s v="VICTORIANO VILA GALEANO"/>
        <s v="JUAN RODRIGUEZ SORIA"/>
        <s v="CARMEN CASTRO ACEVEDO"/>
        <s v="MARIA DEL CARMEN SIRVENT CORREA"/>
        <s v="MARIA JESUS GARCIA-POZUELO ALHAMBRA"/>
        <s v="MARIA DEL MAR CHOCANO REVILLA"/>
        <s v="JUDIT DANIELA JACOME GALVAN"/>
        <s v="NICOLAS SANCHEZ SOTO"/>
        <s v="ELENA CARRASCO RODRIGUEZ"/>
        <s v="CUSTODIA GALINDO MARTINEZ"/>
        <s v="MARIA CARMEN PEREZ PASTOR MUÑOZ"/>
        <s v="CARLOS ALONSO GARRE"/>
        <s v="DOLORES TORO BENITEZ"/>
        <s v="ALEJANDRO SANCHEZ ORO APARICIO"/>
        <s v="PAULA ANTA SEN"/>
        <s v="HILDA FUENMAYOR TORO"/>
        <s v="VICTORIA Ourense FERNANDEZ"/>
        <s v="MARIA LUZ AMARO GARCIA"/>
        <s v="JOSE LUIS RAMIREZ ALFARO"/>
        <s v="ENCARNACION NAVARRO GARCIA"/>
        <s v="MARIA EUGENIA SOAGE VILLANUEVA"/>
        <s v="MARIA JIMENEZ GUILLEN"/>
        <s v="RAMONA MARIA REYNOSO SALDIVAR"/>
        <s v="MARIA DE LAS MERCEDES HARO FERNANDEZ"/>
        <s v="FRANCISCO JOSE QUESADA MIRALLES"/>
        <s v="ISABEL HERNANDEZ ORELLANA"/>
        <s v="LUIS FERNANDO JIMENEZ"/>
        <s v="MERCEDES SECO FERNANDEZ"/>
        <s v="ANGELA JIMENEZ HERNANDEZ"/>
        <s v="ROSARIO VICENTE RODENAS"/>
        <s v="GRETHE MUNCH IBSEN"/>
        <s v="PEDRO CORNEJO CORRELLA"/>
        <s v="MARIA PILAR AYLLON HEREDERO"/>
        <s v="JAIME BLASCO RODRIGUEZ"/>
        <s v="JOSE ANGEL OLIVA BAZAN"/>
        <s v="MARIA CONSOLACION ANTON GREGORIO"/>
        <s v="JESUS VELAY CASTRO"/>
        <s v="JESUS DOMINGUEZ SERRANO"/>
        <s v="MARIA JESUS TATAY MANZANARES"/>
        <s v="ENCARNACION GOMEZ SANCHEZ"/>
        <s v="ISABEL TORREJON SANCHEZ"/>
        <s v="VIRGINIA POMBO GARCIA"/>
        <s v="ANICETA GARCIA PEREZ"/>
        <s v="MARIA DE LOS SANTOS DEL RIO ARROYO"/>
        <s v="AMPARO BELLES MENENDEZ"/>
        <s v="PEDRO GALVEZ AGUILAR"/>
        <s v="MARIA ROSARIO GARCIA REVUELTA"/>
        <s v="JOSE ZAPATA LOPEZ"/>
        <s v="MARIA OBDULIA REDONDO ANDRES"/>
        <s v="ELVIRA ANDRADE VEIGA"/>
        <s v="CARMEN SIADA RODRIGUEZ"/>
        <s v="MARIA DEL ROCIO TIO ALONSO"/>
        <s v="PEDRO JIMENEZ HERNANDEZ"/>
        <s v="DIEGO MARQUINA TRASOBARES"/>
        <s v="MARGARITA VIDAL VALLS"/>
        <s v="PURIFICACION BERENGUER PEREZ"/>
        <s v="MARIA ANTONIA RAMIREZ MURO"/>
        <s v="SANTOS GABRIEL ARENAS RUIZ"/>
        <s v="FEIJOO SANCHEZ PIO"/>
        <s v="JOSE SANCHEZ HERNANDEZ"/>
        <s v="ARSENIO NUÑEZ NUÑEZ"/>
        <s v="JUANA MANSILLA SANZ"/>
        <s v="MARIA ROSA CANDELA ALBEROLA"/>
        <s v="RAMONA LEONOR SEGADE SOUTO"/>
        <s v="PASCUAL LERIN CABREJAS"/>
        <s v="MARIA ANGELES ANDRES REY"/>
        <s v="MANUELA MORANO MORON"/>
        <s v="HAKOB MALAKYAN"/>
        <s v="JOSE MARIA GALAN REBOLLO"/>
        <s v="MANUELA GALVAN GARCIA"/>
        <s v="MANUEL ALONSO ORTIZ"/>
        <s v="CARMEN CABACA VAQUERO"/>
        <s v="JAMES PAUL ILLIDGE"/>
        <s v="MARI CRUZ PEREZ SERRANO"/>
        <s v="ENRIQUETA ESCOBAR FERNANDEZ"/>
        <s v="VICTOR ALVAREZ GARCIA"/>
        <s v="BASILIA MATEOS GONZALEZ"/>
        <s v="SANTIAGO MONZON FLORIDO"/>
        <s v="CONSUELO GARCIAPARDO AGUIRRE"/>
        <s v="FLORENTINA PAZ PAZ"/>
        <s v="LUIS ALFONSO GALINDO MURILLO"/>
        <s v="JOHN DALTON MCCABE"/>
        <s v="JESUS RODRIGUEZ CALATRAVA"/>
        <s v="ANA MARIA DELGADO MOLINA"/>
        <s v="MERCEDES MEDRANO BLANCO"/>
        <s v="RAMON PASCUAL GARRIDO"/>
        <s v="YOLANDA RODRIGUEZ SOBRIN"/>
        <s v="AURORA RUIZ RUIZ"/>
        <s v="VICENTE DASI FUSTER"/>
        <s v="DANIEL MORENO RODENAS"/>
        <s v="ALBINA GOMEZ CASTRO"/>
        <s v="MARIA GOMEZ RUBIO"/>
        <s v="SANTIAGO HERNANDEZ GARCIA"/>
        <s v="ERNESTINA FERNANDEZ GARCIA"/>
        <s v="EUFEMIA PANIAGUA CABALLERO"/>
        <s v="EUGENIO BLANCO HERAS"/>
        <s v="CARMEN SOTO BERENGUER"/>
        <s v="CARMEN FERNANDEZ DORADO"/>
        <s v="ILDEFONSA MELLADO GONZALEZ"/>
        <s v="ROSALIA GIL AMARO"/>
        <s v="JOSEP BENET ROSELL"/>
        <s v="ANGEL MELLADO CERRO"/>
        <s v="ISABEL RODRIGUEZ VAZQUEZ"/>
        <s v="MARIA JOSE PASTOR GUIJARRO"/>
        <s v="JOSEFA SANDOVAL MOLINA"/>
        <s v="MANUELA VAZQUEZ BLANCO"/>
        <s v="MARIA TERESA APARICIO MARCOS"/>
        <s v="MARIA BRAULIA MORALES MOLINA"/>
        <s v="RAFAEL PEREZ SANCHEZ"/>
        <s v="MERCEDES JIMENEZ AGUARON"/>
        <s v="ARACELI MARTOS MARTINEZ"/>
        <s v="JUAN ANTONIO CANO ALMOHALLA"/>
        <s v="JOSE MANUEL SERRANO PICON"/>
        <s v="MARIA DEL PILAR GARCIA DE PERALTA"/>
        <s v="JOSE LUIS TONDA MARTINEZ"/>
        <s v="BEATRIZ CORTES LOPEZ"/>
        <s v="CELIA ARRIBAS SANZ"/>
        <s v="CONSUELO ALONSO PEREZ"/>
        <s v="MARIA DOLORES MOLINA RUBIO"/>
        <s v="MARIA FERNANDEZ LESTON"/>
        <s v="MERCEDES CASTILLO VERA"/>
        <s v="MANUELA CALO MARTINEZ"/>
        <s v="RAQUEL DE LA HUERTA ALONSO"/>
        <s v="ISABEL PEREZ RUBIO"/>
        <s v="DOMINGO GONZALEZ INIESTA"/>
        <s v="MANUEL SABUCEDO FREIJOS"/>
        <s v="ASUNCION ALVAREZ VEGA"/>
        <s v="ANTONIA SANMARTIN GARCIA"/>
        <s v="CARMEN ESCAMILLA GARCIA"/>
        <s v="FRANCISCO JAVIER SANZ SANZ"/>
        <s v="MARIA BERMEJO DOLERA"/>
        <s v="MANUEL ROMERO PALO"/>
        <s v="MARIA DE LOS ANGELES MALLO FRAGA"/>
        <s v="CARMEN UREÑA MONTERO"/>
        <s v="ESPERANZA LOPEZ SIERRA"/>
        <s v="DANIEL ASOREY RIAL"/>
        <s v="CARMEN DIAZ GARCIA"/>
        <s v="ANGEL RAMOS RUIZ"/>
        <s v="FELIPE ALONSO CUBILLO"/>
        <s v="MARIA TERESA MATILLA GARCIA"/>
        <s v="ENCARNACIO MEZQUITA ANDRES"/>
        <s v="ISABEL FERNANDEZ DOMINGUEZ"/>
        <s v="MARIA ISABEL VELASCO DEL REY"/>
        <s v="MANUELA MERINO JAEN"/>
        <s v="JOSE MARCHENA GALLEGO"/>
        <s v="ABIDA BIBI"/>
        <s v="HERMINIA SERRANO GAMIZ"/>
        <s v="ESTHER GARCIA TRIJUEQUE"/>
        <s v="BARTOMEU ESPUNYA COROMINA"/>
        <s v="CARMEN PINO GUZMAN"/>
        <s v="PLACIDO VAZQUEZ DIEGUEZ"/>
        <s v="DOLORES VIDAL HURTADO"/>
        <s v="ROBERT DAVID HAYNES"/>
        <s v="ANGELIQUE EMMANUELLE ROCHER"/>
        <s v="GHISLAINE BERTHE GIRODO CHIKITOU"/>
        <s v="JOSE ANGEL GARCIA MARQUES"/>
        <s v="NIEVES GONZALEZ DIAZ"/>
        <s v="MARIA DOLORES ALONSO HERRERO"/>
        <s v="JESUS MARIANO ARROYO DE LA TORRE"/>
        <s v="MARIA PILAR GOMEZ FERNANDEZ"/>
        <s v="MATILDE BURUNAT GARCIA"/>
        <s v="VICENTE SASTRE SISCAR"/>
        <s v="LUIS ALMONACID ALMENDROS"/>
        <s v="ENRIQUE RODRIGUEZ RODRIGUEZ"/>
        <s v="JOSE JAVIER MATEO ZARZA"/>
        <s v="ANDREA GARCIA BERNAL"/>
        <s v="EUSEBIO ESTEBAN SOLANO"/>
        <s v="LUIS VIRGILIO FERNANDEZ GARNES"/>
        <s v="MARI CARMEN MARTINEZ CONTRERAS"/>
        <s v="MANUEL SERAFIN RODRIGUEZ RIVERA"/>
        <s v="EUSEBIO FERNANDEZ CASASOLA"/>
        <s v="RAMON TENA CENTELLES"/>
        <s v="ENRIQUE PEREZ VILAS"/>
        <s v="MANUEL FERNANDEZ GONZALEZ"/>
        <s v="REYES MARTIN DE PRADO"/>
        <s v="TEODORA OLMOS OLMOS"/>
        <s v="JOSE MARIA RANSANZ BERMEJO"/>
        <s v="JORGE TAMARIT RODRIGUEZ"/>
        <s v="FRANCISCA FERNANDEZ CABRERA"/>
        <s v="MONICA CHECA MARTINEZ"/>
        <s v="MERCEDES PARRADO SEOANE"/>
        <s v="ISIDRO QUINTANILLA ALEGRIA"/>
        <s v="NATIVIDAD ALONSO ELVIRA"/>
        <s v="JUAN JOSE GARCIA MARTIN"/>
        <s v="VICTOR EWALD DRESBACH ARGENTI"/>
        <s v="MARIA DIOLINDA OTERO MERA"/>
        <s v="MARIA ANGELES UGARTE MARTINEZ"/>
        <s v="MARIA TERESA OLIVAN GONZALEZ"/>
        <s v="BRUNO AGUILAR URQUIJO"/>
        <s v="CAROLINA ARRANZ JIMENEZ"/>
        <s v="ISABEL PEREZ PADILLA"/>
        <s v="ROSA LOPEZ CUADRADO"/>
        <s v="DAVID ALONSO GARCIA"/>
        <s v="ANA MARIA HERNANDEZ ENRILE"/>
        <s v="MARIA MERCEDES DE SANTOS SANCHEZ"/>
        <s v="SONSOLES MUÑOZ MANCEBO"/>
        <s v="JUAN CARAVACA BOTIAS"/>
        <s v="ROGELIO FANEGA FERNANDEZ"/>
        <s v="JESUS MARIA HERNANDEZ MESONERO"/>
        <s v="ANTONIO RUIZ SOLDAN"/>
        <s v="ALVARO GONZALEZ RODRIGUEZ"/>
        <s v="NURIA MARTINEZ VIDAL"/>
        <s v="AGUSTIN GARCIA BERMEJO"/>
        <s v="ALICIA MUÑOZ FARALDOS"/>
        <s v="CARIDAD FERNANDEZ NAVARRO"/>
        <s v="ELDA GOMEZ PALMEIRO"/>
        <s v="MARIA JESUS GUTIERREZ DIEZ"/>
        <s v="ANDRES BALLESTER SANCHEZ"/>
        <s v="ISABEL ARTERO BENITEZ"/>
        <s v="TRINIDAD JULIANA GALAN MARTIN"/>
        <s v="ELISA BLANCO VERGARA"/>
        <s v="MIGUEL ANGEL VILORIA MORAN"/>
        <s v="PAULA OLMEDO VAQUERO"/>
        <s v="JOSE MANUEL MARTOS CAÑETE"/>
        <s v="ELVIRA MARTINEZ SAENZ"/>
        <s v="MARIA ISABEL GALAN QUINTANA"/>
        <s v="FUENSANTA VIUDES PUJANTE"/>
        <s v="JUAN IGNACIO MARTINEZ FRANCO"/>
        <s v="CONCHITA SENRA GARCIA"/>
        <s v="JAVIER GILABERT BAUSA"/>
        <s v="JUAN MARIA LOPEZ NAVARRO"/>
        <s v="JUAN VICENTE SANCHEZ RUANO"/>
        <s v="MARIA DOLORES CAAMAÑO FUENTES"/>
        <s v="ANGELES INIESTA SANCHEZ"/>
        <s v="FRANCISCO DE PAULA GARCIA MOLINA"/>
        <s v="SOFIA NORIEGA URQUIJO"/>
        <s v="PEDRO SANSEGUNDO DIAZ"/>
        <s v="RAFAEL SERRANO HEREDIA"/>
        <s v="JULIO ALCOLEA CASTAÑO"/>
        <s v="GINES RODRIGUEZ YAÑEZ"/>
        <s v="MARIA DEL CARMEN MARTIN BALDO"/>
        <s v="ANTONIA ESPINOSA DIAZ"/>
        <s v="MARIA DOLORS TOMAS SANTAEULARIA"/>
        <s v="FRANCISCO FELIPE RODRIGUEZ"/>
        <s v="SOLEDAD VILLAYANDRE FRESNO"/>
        <s v="RAFAEL DELGADO HERNANDEZ"/>
        <s v="MARI CARMEN BARBA SANCHEZ"/>
        <s v="PILAR OJESTO BARAJAS"/>
        <s v="CARMEN GOMEZ SERRANO"/>
        <s v="TERESA BARCO SANTOS"/>
        <s v="JUAN DE DIOS CAÑETE PEREZ"/>
        <s v="CARIDAD ARACELI GARCIA BRICEÑO"/>
        <s v="MARIA DEL CARMEN YEPES RODRIGUEZ"/>
        <s v="CONCEPCION TARRIO VAZQUEZ"/>
        <s v="Mª LUZ SOLIVA LUCAS"/>
        <s v="ANA ROSA SIERRA VALLADARES"/>
        <s v="SEBASTIA CASES MILLAN"/>
        <s v="MARIA RUIZ PLAZA"/>
        <s v="JOSE FELIX MATEO BAÑO"/>
        <s v="CONRAD PUJOL MARCO"/>
        <s v="MARIA TRINIDAD RECIO GOMEZ"/>
        <s v="FRANCISCA MARTIN RAMOS"/>
        <s v="JOSEFA LOPEZ MARTIN"/>
        <s v="NURIA SEGURA MONTIEL"/>
        <s v="ADRIAN ACEBES SENIN"/>
        <s v="DIGNA FERRERAS IZQUIERDO"/>
        <s v="FERNANDO DE MIGUEL GALLEGO"/>
        <s v="MARIA MARTA ESCRIBANO SAN GERMAN"/>
        <s v="ANA MARIA MUNTEANU"/>
        <s v="MARIA PILAR COBO LAVIN"/>
        <s v="ESPERANZA GOMEZ PINA"/>
        <s v="SANTOS ALVAREZ GARCIA"/>
        <s v="DEBORA RODRIGUEZ FERNANDEZ"/>
        <s v="BLAS CORTES GONZALEZ"/>
        <s v="MARIA CARRICONDO RAMOS"/>
        <s v="TEODORA GARCIA RIVERA"/>
        <s v="RAQUEL JIMENEZ BOLIVAR"/>
        <s v="JULIO ORDEN MARIN"/>
        <s v="EMILIO GALLEGO SANTOS"/>
        <s v="FRANCISCO PEDRAZ ANDRES"/>
        <s v="VERONA CHRISTINA BURNETT"/>
        <s v="ESTHER GUTIERREZ CAÑADA"/>
        <s v="RAMON BARREIRO BOTANA"/>
        <s v="CANDIDA GARRIDO LAGO"/>
        <s v="FELIX COUÑAGO MIGUEZ"/>
        <s v="JOSE VICENTE RAMOS MANZANEQUE"/>
        <s v="FELICIANA HERVAS GILO"/>
        <s v="MARIA JESUS HERRERA RODRIGUEZ"/>
        <s v="ANA BENITEZ GARCIA"/>
        <s v="BERNARDINO SANCHEZ ROMERO"/>
        <s v="BLAS JOSE BRUNETE SOMOLINOS"/>
        <s v="FRANCISCO GIL DIEGO"/>
        <s v="MAGDALENA CRUZ JIMENEZ"/>
        <s v="ROSENDO GALLEGO SANCHEZ"/>
        <s v="MARIA DOLORES GONZALEZ PUJANTE"/>
        <s v="MARIA PAZ GARDON PEREZ"/>
        <s v="MARIANO MARCOS CASTROMONTE"/>
        <s v="MARIA DEL CARMEN LOPEZ CORREA"/>
        <s v="MARIA ANDINO GONZALO"/>
        <s v="CELEDONIA BEJARANO DELGADO"/>
        <s v="DOMINGO ESPINOSA SAENZ"/>
        <s v="GUADALUPE HOLGADO POLO"/>
        <s v="AGUSTIN ORTIZ MELGUIZO"/>
        <s v="JOSEFA MARIN MORENO"/>
        <s v="JOSE CARLOS HERNANDEZ CASTELL"/>
        <s v="MARIA ISABEL VALLE MORENO OLIVER"/>
        <s v="JUAN MANUEL VARELA LAMAS"/>
        <s v="PILAR PATON SIMON"/>
        <s v="FELISA ANGELA RAFAELE"/>
        <s v="JOSE ANTONIO GARCIA SANZ"/>
        <s v="LAURA SOLIS TORO"/>
        <s v="FELIX GARCIA GARCIA"/>
        <s v="CARMEN SEÑORANS PAZ"/>
        <s v="VICTORIA BLAZQUEZ"/>
        <s v="ELEAZAR HERVAS OLIVARES"/>
        <s v="JOSE HERRERO DIEZ"/>
        <s v="MARIA CRUZ RODRIGUEZ DIEZ"/>
        <s v="MARIA ESPERANZA BRAVO MARIN"/>
        <s v="PILAR IZQUIERDO MORILLO"/>
        <s v="FELIPE RODRIGUEZ COCA"/>
        <s v="FRANCISCO RODRIGUEZ RODRIGUEZ"/>
        <s v="BONIFACIA SANCHEZ SOSA"/>
        <s v="ASUNCION CHECA MAYORDOMO"/>
        <s v="FRANCESC RAMON JUAN RICO"/>
        <s v="DELFINA CONCEPCION GARCIA RAMOS"/>
        <s v="MARIA PUY LUCIA OCHOA ECHAVARRI"/>
        <s v="ALICIA CARLON ORTIZ"/>
        <s v="MARIA LUISA ARGUMANEZ LEO"/>
        <s v="MERCEDES OLIVAR ORGAZ"/>
        <s v="SAMUEL RODELGO CALVO"/>
        <s v="JOSE TABOADA LOBIT"/>
        <s v="JUAN ORCAJADA BARQUEROS"/>
        <s v="MARTA SANCHEZ ROBLES"/>
        <s v="JOHN HOUGHTON WALTON"/>
        <s v="MARIA ISABEL GARCIA MUÑEZ"/>
        <s v="MARIA ROSA MARTIN RODRIGUEZ"/>
        <s v="NARCISA HERNANDEZ HERNANDEZ"/>
        <s v="RAMON MELCHOR MARTIN"/>
        <s v="JUAN RAMON SEGALES PATSI"/>
        <s v="ANA GARCIA CARDOSO"/>
        <s v="JOSE DEL VALLE LINDES"/>
        <s v="FLORENCIO MARUGAN JIMENEZ"/>
        <s v="MARIA DOLORES GARCIA AVILA"/>
        <s v="JOSEFA GONZALEZ CASTRO"/>
        <s v="ANGEL ALCALDE LASANTA"/>
        <s v="REMEDIOS FELPETO PRIETO"/>
        <s v="ANA MARIA BIOSCA GARCIA"/>
        <s v="JUAN JOSE MORENO RODRIGUEZ"/>
        <s v="ANTONIO ALVAREZ GARCIA"/>
        <s v="MARIA VICTORIA ALCAZAR FERNANDEZ"/>
        <s v="HALIMA MAIZI"/>
        <s v="MICHAEL BOSWELL"/>
        <s v="CHAFIA BOUHAL"/>
        <s v="LAUREANO MERCADER ALCALAZ"/>
        <s v="VICENTE CABRERA MOYANO"/>
        <s v="ARIADNA VALCARCEL ROMERO"/>
        <s v="CARMEN MARIA SOLIS TRIGOS"/>
        <s v="FRANCISCO JAVIER MARTINEZ CANA"/>
        <s v="ANTONIO TARDIO CUELLAR"/>
        <s v="MARGOT VELEZ RIVAS"/>
        <s v="CARMEN PEDREIRA VAZQUEZ"/>
        <s v="RAMON ROCA AUVI"/>
        <s v="AMPARO ANDUJAR RUIZ"/>
        <s v="CATALINA SOLANO GASPAR"/>
        <s v="MARTA PAULETE PISTON"/>
        <s v="MARIA DOLORES BEARAN POLLAN"/>
        <s v="CRISTINA PIZARRO LOPEZ"/>
        <s v="JOSE ANTONO SANCHEZ PEREZ"/>
        <s v="FRANCISCO ARRABAL PEREGRINA"/>
        <s v="ENCARNACION ADRIAN ESPINA"/>
        <s v="ABDELLAH SERGHINI"/>
        <s v="ANGEL PEREZ HIDALGO"/>
        <s v="AMELIA MARTINEZ ALOS"/>
        <s v="MARILUZ RODRIGUEZ CARRIL"/>
        <s v="ANTONIO GONZALEZ RUIZ"/>
        <s v="MARTIN PRIETO ROMAN"/>
        <s v="YOLANDA DIAZ MARTIN"/>
        <s v="CARMEN CERROLAZA APARICIO"/>
        <s v="MARIONA MERCADE CAMPABADAL"/>
        <s v="JOSE ALVAREZ MARTINEZ"/>
        <s v="MARIA JOSE GARCIA BEJARANO"/>
        <s v="MARIA MONTERO CORTES"/>
        <s v="TERESA AVILA ALONSO"/>
        <s v="ANA MARIA ESQUE PEÑARANDA"/>
        <s v="ADELINA MARTINEZ SAMPRON"/>
        <s v="MARIA LUISA REBOREDO GONZALEZ"/>
        <s v="JOSEFA COSTA FENOR"/>
        <s v="MARIA DEL CARMEN GARCIA GONZALEZ"/>
        <s v="ENCARNI MEMBRIVE CASTILLA"/>
        <s v="ELISA LOUREIRO PENA"/>
        <s v="EUFEMIA ALBA HERRERO"/>
        <s v="MARINA PENEDO RODRIGUEZ"/>
        <s v="PEDRO MORALES DELGADO"/>
        <s v="ELISABETH ROMAN BORREGA"/>
        <s v="RICARDO ASENSIO NADAL"/>
        <s v="ANTONIO GONZALVEZ LLORENTE"/>
        <s v="PILAR RIVERA CORIA"/>
        <s v="MARIA DOLORES FERNANDEZ GARCIA"/>
        <s v="REMEDIOS GONZALEZ VAZQUEZ"/>
        <s v="JAVIER GARCIA CUESTA"/>
        <s v="JOAN ESTEBAN BONCOMPTE SAZ"/>
        <s v="FATIMA GARCIA NUÑEZ"/>
        <s v="ENCARNACION FERNANDEZ ARIAS"/>
        <s v="ERIC JAMES ALLWORTHY"/>
        <s v="MIGUEL ANGEL SARDINA HERNANDEZ"/>
        <s v="ESTEBAN LEIVAS ZAQUER"/>
        <s v="MIGUEL PRATS ESTEVE"/>
        <s v="GLORIA JIMENEZ SILVAN"/>
        <s v="Manuel Magan Riveira"/>
        <s v="NIEVES OTERO SAMPAYO"/>
        <s v="SANTIAGO GONZALEZ ARAGON"/>
        <s v="JUAN SALMERON TORRES"/>
        <s v="ELVIRA LLORET ARACIL"/>
        <s v="SANTOS MANUEL PROTOMARTIR VAQUERO"/>
        <s v="CONSTANTINA GARCIA FERNANDEZ"/>
        <s v="BARBARA ANNE ELLIS"/>
        <s v="DAVID ESQUILA MARTIN"/>
        <s v="CARMEN VIRGINIA VERA CABRERA"/>
        <s v="DIVINA FERNANDEZ VIDAL"/>
        <s v="ANA ISABEL COPETE PEREZ"/>
        <s v="ALFREDO VERGARA MONZON"/>
        <s v="ELVIRA PEREZ SERRANO"/>
        <s v="LLANOS YANINI LOPEZ"/>
        <s v="TANIA LOPEZ MUÑOZ"/>
        <s v="JUSTO FERNANDEZ TRAPA"/>
        <s v="MARIA DEL CARMEN SANCHEZ HERNANDEZ"/>
        <s v="GUILLERMO JOSE CRUZ GARCIA"/>
        <s v="ASSUMPTA BOIX VILARO"/>
        <s v="MARIA JESUS VELA ANDRADA"/>
        <s v="LUIS MARIA SAENZ RUIZ"/>
        <s v="MARIA ANGELES CORREDOIRA CORREDOIRA"/>
        <s v="PEDRO GUTIERREZ GONZALEZ"/>
        <s v="DELMIRO FERNANDEZ GONZALEZ"/>
        <s v="MARIA FELISA GONZALEZ FREIR"/>
        <s v="FLORENTINA BLANCO HERNANDEZ"/>
        <s v="CARMEN HERVAS MARTINEZ"/>
        <s v="MARIA JOSEFA BLANCO BLANCO"/>
        <s v="EMILIA GARCIA BARRAJON"/>
        <s v="ANTONIO GUTIERREZ FERNADEZ-VELILLA"/>
        <s v="PILAR TORRES MOYA"/>
        <s v="MARIA JOSE REINOSO GARCIA"/>
        <s v="FRANCISCO DE PEDRO MERINO"/>
        <s v="CARMELO PUYUELO ARLEGUI"/>
        <s v="JOSEFA GARCIA LLORET"/>
        <s v="JESUS VALENTIN IGLESIAS TEIJEIRO"/>
        <s v="TEOFILO SASTRE HERNANDEZ"/>
        <s v="ANGEL DIAZ FERREIROS"/>
        <s v="ANTONIO TORRENTE VELA"/>
        <s v="SALVADOR GIL MUÑOZ"/>
        <s v="ANDRES JOSE MATEO FRUCTUOSO"/>
        <s v="JOAQUIN JIMENEZ GALAN"/>
        <s v="MARIA FLAVIA FREITAS COELHO"/>
        <s v="ISABEL DUQUE LOPEZ"/>
        <s v="JOSE IGNACIO HURTADO ECHEVARRIA"/>
        <s v="RAMON GARCIA ALMELA"/>
        <s v="MARIA DEL PRADO ARROGANTE PEREZ"/>
        <s v="OTILIA SORIA GOMEZ"/>
        <s v="EDUARDO FERNANDEZ LOPEZ"/>
        <s v="MARIA VICTORIA DE FRUTOS HERNANDEZ"/>
        <s v="CONCEPCION MONTERO GARCIA"/>
        <s v="MARIA ROUCO CUTRIN"/>
        <s v="PASTORA RODRIGUEZ BELLO"/>
        <s v="ANTONIO MONTERO BENJUMEA"/>
        <s v="MERCEDES BRAVO MORENO"/>
        <s v="CARMEN BAVIERA BARTUAL"/>
        <s v="JAIME CABALLERO VELAZQUEZ"/>
        <s v="TERESITA ALONSO DE LOS RIOS"/>
        <s v="FRANCISCA MUÑOZ GOMEZ"/>
        <s v="CARMEN SORIA BENITO"/>
        <s v="EUGENIO ALEN SANCHEZ"/>
        <s v="POURNAMI DORADO GALVAN"/>
        <s v="FERMINA SERRANO FOURNIER"/>
        <s v="ALICIA COLLADO SANCHEZ"/>
        <s v="TEODORA ALCAIDE GONZALEZ"/>
        <s v="JOSE GUILLEN PARDO"/>
        <s v="ALBERTO IGLESIAS PEREZ"/>
        <s v="VIDAL RUFO BRAVO"/>
        <s v="ANDRES MARTINEZ MORENO"/>
        <s v="MANUEL SERVERA RODRIGUEZ"/>
        <s v="CARMEN BUENO FERNANDEZ"/>
        <s v="MARIA SOFIA GOMEZ RODRIGUEZ"/>
        <s v="ISABEL RUIZ LOPEZ"/>
        <s v="MARIA DOLORES CADILLO RIVAS"/>
        <s v="BLANCA GARCIA CRIADO"/>
        <s v="JUANA SOBRINO TAPIADOR"/>
        <s v="VICTOR EMILIO FERNANDEZ NAVARRO"/>
        <s v="ETELVINA FERNANDEZ PEREZ"/>
        <s v="VICENTE DIAZ LEDESMA"/>
        <s v="JUANA FRANCO SERRANO"/>
        <s v="ROSALIND LINDA SUTER"/>
        <s v="FRANCISCO GUTIERREZ MARTIN"/>
        <s v="MARIA DOLORES PEREZ GASCON"/>
        <s v="YOLANDA LUENGO CASCO"/>
        <s v="JOAQUIN VAZQUEZ OTERO"/>
        <s v="GINES SANCHEZ MARTINEZ"/>
        <s v="INES ROSALIA SANCHEZ MUÑOZ"/>
        <s v="RAFAEL GONZALEZ-FRIAS MARTINEZ"/>
        <s v="CELIA MAYORDOMO VAQUERO"/>
        <s v="ALFIE STUART JASON BROTHERTON"/>
        <s v="MARIA ANGELES BOMBIN HORTELANO"/>
        <s v="MERCEDES SANCHEZ SERRA"/>
        <s v="RAMON QUEROL MURLA"/>
        <s v="JESUS VALDERREY PRIETO"/>
        <s v="TERESA MONTOYA PARRAGA"/>
        <s v="MARIA JOSEFA DEL POZO SANTOS"/>
        <s v="LUCIANO LINDO JIMENEZ"/>
        <s v="JOSE ANTONIO SANTOS ERDOZAIN"/>
        <s v="DIONISIO ROMERO GONZALEZ"/>
        <s v="JESUS MARIA MONTOYA PEÑA"/>
        <s v="JUAN CASARUBIOS GAMO"/>
        <s v="LAURA USEROS BUENO"/>
        <s v="CARLOS HUERTAS NUÑEZ"/>
        <s v="DOLORES SERRANO DIEZ"/>
        <s v="MARIA DEL CARMEN LEON COBOS"/>
        <s v="NATIVIDAD LOPEZ PAUL"/>
        <s v="JUAN GONZALEZ GALLARDO"/>
        <s v="JOSE MARIA TRONCOSO PERERA"/>
        <s v="MANUEL FERNANDEZ ALONSO"/>
        <s v="AURORA CIGUELA GRAELLS"/>
        <s v="FEDERICO FERNANDO SORIANO CHARLO"/>
        <s v="MARIA ASCENSION BLANCO SANCHEZ"/>
        <s v="JUAN CARLOS PEREZ GANGOSO"/>
        <s v="JOSE VICENTE MARTINEZ AMOROS"/>
        <s v="ALFREDO CUADRA GARCIA"/>
        <s v="MANUELA RUA BLANCO"/>
        <s v="JOSE JOAQUIN CANTOS FRONTELA"/>
        <s v="PEDRO GARCIA NAVARRO"/>
        <s v="ANTONIO SERRANO CAÑETE"/>
        <s v="VICENTA REY BRIGIDANO"/>
        <s v="SOLEDAD MORRONDO SANZ"/>
        <s v="ORLANDO MONTIEL MORALES"/>
        <s v="VICTORIA HERRANZ LLORENTE"/>
        <s v="AITANA GARCIA CALERO"/>
        <s v="JOSEFA HERRAIZ BLANCO"/>
        <s v="LUIS FLAVIANO SANTOS GIL"/>
        <s v="CONCEPCION BUENO IGLESIAS"/>
        <s v="VICENTE DURAN GUERRA"/>
        <s v="MIGUEL ANGEL LOZA URIZAR"/>
        <s v="JESUS GABRIEL ESCOBAR PIRELA"/>
        <s v="FIDELA BUENO SALINERO"/>
        <s v="JULIANA PALENZUELA FERRADAS"/>
        <s v="MARIA EVA DEL POZO PARDO"/>
        <s v="ELVIRA GARCIA GONZALEZ DE LENA"/>
        <s v="GREGORIO LUCAS ORTEGA"/>
        <s v="AGUSTIN VAÑO LAHOZ"/>
        <s v="CARMEN SEVILLANO BACHILLER"/>
        <s v="JUANA MENDEZ CRUZ"/>
        <s v="JOSE ANTONIO PEREZ LOZANO"/>
        <s v="JULIA SUAREZ GARCIA"/>
        <s v="ANTONIO MURIEL NUÑEZ"/>
        <s v="MOHAMED BOUJAKHROUT"/>
        <s v="MARIA EUGENIA GIL PIZARRO"/>
        <s v="MARIA ISABEL SENDRA MOLINA"/>
        <s v="LUIS ANDRES MARTINEZ"/>
        <s v="JOSE PAVON CORTES"/>
        <s v="FELISA CUENCA CUADRADO"/>
        <s v="FRANCISCO JAVIER SANCHEZ SIGUENZA"/>
        <s v="ANTONIO CAMPI MENDEZ"/>
        <s v="JOSE PUMAR RODRIGUEZ"/>
        <s v="JOSEFA MARIN RAMIREZ"/>
        <s v="ANTONIO GERONIMO LOPEZ LOPEZ"/>
        <s v="ANGEL ROBERTO SANCHEZ PUERTO"/>
        <s v="JOSEFA VILARIÑO GARCIA"/>
        <s v="TREVOR JOHN CLAY"/>
        <s v="MARIA DEL CARMEN TORREIRO ARES"/>
        <s v="JAIME MARTINEZ CARIDAD"/>
        <s v="JANINA SECZOWEKA"/>
        <s v="FRANCISCA VERDAGUER MERINO"/>
        <s v="MALIKA MALIKA BEDJA"/>
        <s v="FRANCISCO JAVIER SANCHEZ GUIRAO"/>
        <s v="VIRGINIA GOMEZ PEREZ"/>
        <s v="MARIA LUISA MAGAÑA NARRO"/>
        <s v="GUMERSINDO NICOLAS MOSCARDO"/>
        <s v="PERFECTO RODRIGUEZ BARJA"/>
        <s v="FRANCISCO JAVIER TORRES GONZALEZ"/>
        <s v="Mª CARMEN PEREZ VAZQUEZ"/>
        <s v="BLANCA GARCIA SAMPEDRO"/>
        <s v="GERARDO LORENZO CANCIO"/>
        <s v="BENITA DOMINGUEZ MARTIN"/>
        <s v="CARMEN SALAS GUTIERREZ"/>
        <s v="CARMEN GAGO CABRERA"/>
        <s v="INES QUILEZ ABELLANEDA"/>
        <s v="LORENZO ZURDO PEREZ"/>
        <s v="FELIX RODIL ALVAREZ"/>
        <s v="FRANCISCA MATURANA OLLER"/>
        <s v="CONCEPCION RODRIGUEZ HERNANDEZ"/>
        <s v="ADORACION MARTINEZ PEINADO"/>
        <s v="MARI LUZ GARCIA PUYO"/>
        <s v="JOAQUIN PARRA MARTINEZ"/>
        <s v="EDUARDO OLIVA GOMEZ"/>
        <s v="ANTONIO GASCON RODRIGUEZ"/>
        <s v="MANUEL MARTINEZ MARTINEZ"/>
        <s v="ANDRES ESCUDERO GARCIA"/>
        <s v="CARLOS LUIS ENJOLRAS HERNAEZ"/>
        <s v="MARIA ROSARIO GALLEGO FERNANDEZ"/>
        <s v="Joaquim Chaler Vilaseca"/>
        <s v="CANDELA FRESNEDA MAESTRE"/>
        <s v="JOSE ALBERTO FERNANDEZ RUIZ"/>
        <s v="JUAN TERRONES INBERNOM"/>
        <s v="ANTONIO MANZANOS ALVAREZ"/>
        <s v="MARIA LUISA ALVAREZ MARTINEZ"/>
        <s v="ELVIRA FERNANDEZ RODRIGUEZ"/>
        <s v="TERESA NISTAL GARCIA"/>
        <s v="MIGUEL ANGEL MORANTE GOMEZ"/>
        <s v="JUAN MANUEL VELEZ ZAMORA"/>
        <s v="AURORA LOZANO ALFARA"/>
        <s v="ROSARIO QUINDOS FERNANDEZ"/>
        <s v="ENCINA FIDALGO TATO"/>
        <s v="DAVID GONZALEZ ARAUJO"/>
        <s v="MARIA DE LA CABEZA MENOR CAYUELA"/>
        <s v="ELENA JIMENEZ PEREZ"/>
        <s v="FRANCISCO VINAGRE FEMIA"/>
        <s v="ISIDRO GONZALEZ SANCHEZ"/>
        <s v="JOSEFA TOLOSA GARCIA"/>
        <s v="ANTONIO SALINAS PARRAGA"/>
        <s v="SANTIAGA RODRIGUEZ GONZALO"/>
        <s v="JUAN CERDA MONTES"/>
        <s v="WILSON ESPINOZA OROZCO"/>
        <s v="RAMON FARRE PELEGRI"/>
        <s v="JOSE ANTONIO GARCIA GARCIA"/>
        <s v="MILAGROS GARCIA MARTINEZ"/>
        <s v="CONCHA GIL PASCUAL"/>
        <s v="RAFAEL MACIA CASTILLO"/>
        <s v="MARINA GOMEZ DE DIEGO"/>
        <s v="MARIA FELICIDAD OLEA MARTINEZ"/>
        <s v="MARIANO CORREIRA CASCON"/>
        <s v="CAROLINA GARCIA VILLAMAÑAN"/>
        <s v="RAFAEL TORRES AMO"/>
        <s v="AgustIn Aranda Hidalgo"/>
        <s v="Lola Lopez GalAn"/>
        <s v="OLGA MARTINEZ DE LA FUENTE"/>
        <s v="ALBERTO JARABO VILLARROEL"/>
        <s v="ANGELES JIMENEZ SANZ"/>
        <s v="GREGORIO GOMEZ MORENO"/>
        <s v="GUILLERMINA SANZ SANZ"/>
        <s v="SOLEDAD FERNANDEZ JURADO"/>
        <s v="JAVIER LACUEVA GOMEZ"/>
        <s v="PATROCINIO BARBERO MARIA"/>
        <s v="Filomena Velarde Soto"/>
        <s v="JUAN ENRIQUE PEREZ GONZALEZ"/>
        <s v="JOSE BLANCO PEREZ"/>
        <s v="ENRIQUE DIAZ QUINTELA"/>
        <s v="AGUSTIN ORTEGA SANCHEZ"/>
        <s v="ANGELES TORRES RIVERA"/>
        <s v="BLANCA LIDIA VARGAS Lugo"/>
        <s v="EULALIA ESTEVEZ OZORES"/>
        <s v="MICHAEL JOHN MEYRICK"/>
        <s v="RAFAEL PACHON CAPITAN"/>
        <s v="FELIX SANCHEZ CANO"/>
        <s v="PEDRO JESUS MUÑOZ RINCON"/>
        <s v="CONCEPCION PAZ ABANQUEIRO"/>
        <s v="MARIA DE LAS NIEVES BARRERA MORENO"/>
        <s v="JACINTA GUERRERO HERMOSO"/>
        <s v="TERESINHA LOURENÇO DA SILVA"/>
        <s v="MANUELA PILAR ESTEVEZ HERNANDEZ"/>
        <s v="JESUS PEREZ AMOEDO"/>
        <s v="MARIA AMALIA RODRIGUEZ VALCARCEL"/>
        <s v="PEDRO JOSE ZAMORA FLORES"/>
        <s v="MARIA JOSEFA PUJANTE PASCUAL"/>
        <s v="ANSELMA CUADRADO BAEZA"/>
        <s v="JOSE RODRIGUEZ ARES"/>
        <s v="MARIA TERESA SORIANO FORNIELES"/>
        <s v="ELISEO SENDON SENDON"/>
        <s v="MARIA CARRASCO ASENSIO"/>
        <s v="ANTONIA HERRERA MARTINEZ"/>
        <s v="MARIA DEL CARMEN GARCIA MORA"/>
        <s v="FERMINA APARICIO CEREZO"/>
        <s v="MARGARITA MELON NESTARES"/>
        <s v="MARIA DEL CARMEN PEREZ PINILLAS"/>
        <s v="GABRIEL JIMENEZ MATILLA"/>
        <s v="ANGEL PUENTE OCHOA"/>
        <s v="SIXTO SANTAMARIA GUILLEN"/>
        <s v="JOSE LUIS FERNANDEZ SANTORIO"/>
        <s v="ESTEBAN CABANILLAS CIUDAD"/>
        <s v="ESPERANZA PEREZ PEÑA"/>
        <s v="JOSE MARIA PIZARRO MACERA"/>
        <s v="FRANCISCO GARCIA MENGUAL"/>
        <s v="MARIA AZOR SALVADOR"/>
        <s v="MANUEL DELGADO REINA"/>
        <s v="MARIA FELISA PASCUAL MERINO"/>
        <s v="FELIX MARTINEZ BARRANCO"/>
        <s v="ANGELA FERNANDEZ MONTECINO"/>
        <s v="ANGEL ESCUREDO ESCUREDO"/>
        <s v="JOSE GROBAS FUENTES"/>
        <s v="FRANCISCO LOPEZ CORTES"/>
        <s v="JOSE SERRANO GUERRERO"/>
        <s v="JUAN BLANCO SEVILLA"/>
        <s v="DELFINA MALTENLLAN MARTIN"/>
        <s v="ELEUTERIA CAÑIZARES ALCAÑIZ"/>
        <s v="JESUS FERNANDEZ ESPADA"/>
        <s v="NATIVIDAD DUEÑAS ALVAREZ"/>
        <s v="MARIA LUISA GONZALEZ GONZALEZ"/>
        <s v="JULIA GARCIA ATIENZA"/>
        <s v="SANTIAGO CAMINERO GOMEZ"/>
        <s v="CARMEN SEVILLA BAÑOS"/>
        <s v="Ilza Krasimirova Stefanov ilieva"/>
        <s v="JOSEFA ROCAMORA LAJARA"/>
        <s v="MARIA DE LA PAZ FERNANDEZ GARRIDO"/>
        <s v="JUANA DURAN FERNANDEZ"/>
        <s v="MARIA ESPERANZA SERRANO SANCHEZ"/>
        <s v="JOSEFINA GONZALEZ ORTE"/>
        <s v="LUIS JOSE OLIVAS POLAN"/>
        <s v="ELKE WALDHEIM"/>
        <s v="CLEMENTE CAMARA SAEZ"/>
        <s v="JOSE MORELLO JIMENEZ"/>
        <s v="BLANCA NIEVES OLMOS ESCRIBANO"/>
        <s v="JOSE FOLGADO ROIG"/>
        <s v="ANGELA MENDEZ PEREZ"/>
        <s v="BELEN ARANGUREN LOPEZ"/>
        <s v="ROSARIO SOTO LOPEZ"/>
        <s v="LUIS POVEDANO RUIZ"/>
        <s v="DOLORES LOPEZ ALBIN"/>
        <s v="FEDERICO FRITZSCH INGLES"/>
        <s v="ALBERTO GIRONES MATA"/>
        <s v="JUANA MARIA DOMINGUEZ MARTINEZ"/>
        <s v="RAFAEL PASTOR VIVERO"/>
        <s v="COREENA SHERRATT"/>
        <s v="ALICIA CORDERO BARBERO"/>
        <s v="FRANCISCO SANCHEZ FERNANDEZ"/>
        <s v="JOAQUIN JULIA REAL"/>
        <s v="MANUEL ESCANEZ GARCIA"/>
        <s v="SOFIA LOZANO RUIZ"/>
        <s v="JOSE MANUEL PEREZ PIÑO"/>
        <s v="MARIA PIEDAD FRANCO GONZALEZ"/>
        <s v="LUCILA SANCHEZ MARTINEZ"/>
        <s v="TEODORA GAMBOA GARCIA"/>
        <s v="MANUELA YEBRA SANTOS"/>
        <s v="JULIAN SANCHEZ CASADO"/>
        <s v="ACACIA MOLINA IJALBA"/>
        <s v="EUGENIA PEREZ GILETE"/>
        <s v="ISABEL RODRIGUEZ RAMIREZ"/>
        <s v="ANGEL MARIA MARTINEZ RODRIGUEZ"/>
        <s v="PALMIRA FIZ MARTIN"/>
        <s v="MANUEL PEREZ SANCHEZ"/>
        <s v="LILIANA URIBE FONSECA"/>
        <s v="MARIA ANTONIA GARCIA GOMEZ"/>
        <s v="MANUEL CUBERO CASCAJOSA"/>
        <s v="ISAAC SANCHEZ LOZANO"/>
        <s v="GUILLERMO ROJAS FERNANDEZ"/>
        <s v="MANUEL CURRAS PARDO"/>
        <s v="CONCEPCION BAEZA CHILLIDA"/>
        <s v="ROSA BLANCA DEL CANTO FERNANDEZ"/>
        <s v="HERMINIO GONZALEZ GONZALEZ"/>
        <s v="AZUCENA ANDRES RUESTA"/>
        <s v="MILAGROS LOPEZ DEL AMO"/>
        <s v="AVELINO MACHIN PERDICES"/>
        <s v="MATILDE ARIZA SANTOS"/>
        <s v="ENCARNACION ROA GARCIA"/>
        <s v="FRANCISCO JORGE MARTIN"/>
        <s v="ANTONIO MARTIN HERNANDEZ"/>
        <s v="MANUEL NIEVAS PINO"/>
        <s v="JOSE LIÑAN RUIZ"/>
        <s v="REMEDIOS PEYRO GREGORI"/>
        <s v="EMILIO VALLES MARTINEZ"/>
        <s v="ATILANO IZQUIERDO MARTIN"/>
        <s v="JOSE ANGEL MUÑOZ GOMEZ"/>
        <s v="ANTONIO MARTIN LABRADOR"/>
        <s v="JUAN JOSE AROZARENA POVES"/>
        <s v="MARTIN LOPEZ SOTO"/>
        <s v="RAMON FERNANDEZ FERNANDEZ"/>
        <s v="CARMEN INMACULADA MARTINEZ BOTIAS"/>
        <s v="JOSEFA CORTES VAZQUEZ"/>
        <s v="NICASIO BERNAL CRUZ"/>
        <s v="JESUS GOMEZ GOMEZ"/>
        <s v="MANUEL ANGEL FERNANDEZ GONZALEZ"/>
        <s v="BENITA RIVERA CIPRIAN"/>
        <s v="JUAN ROMERO VILLAFRANCA"/>
        <s v="MARCUS KUSTER"/>
        <s v="ANTONIO ALVAREZ ESTEVEZ"/>
        <s v="JOSE LUIS CARO FRANCO"/>
        <s v="MANUEL ARRIETA LOPEZ-DE LA VIEJA"/>
        <s v="MARIA ANGELES HURTADO PAREJO"/>
        <s v="LUIS HOYOS ORTIZ"/>
        <s v="ISABEL CAMPOS SANCHEZ"/>
        <s v="JOSEFA SANCHEZ SALDAÑA"/>
        <s v="JOSEFA GUTIERREZ PORCUNA"/>
        <s v="ANGEL FERNANDEZ MEDINA"/>
        <s v="LUCIA CABEZAS TORIL"/>
        <s v="LUIS ALFONSO GONZALEZ TEJO"/>
        <s v="ANTONIA ARCE MIRALLES"/>
        <s v="AURORA ZAMORA BERNAL"/>
        <s v="ANDERS STENSTROM"/>
        <s v="RUT ORTEGA IGLESIAS"/>
        <s v="JAVIER FONDEVILA BLANCO"/>
        <s v="MARIA DEL CARMEN NOVOA SALGADO"/>
        <s v="MARCELINO RAMOS ALIA"/>
        <s v="ANTONIO RUIZ ESTRADA"/>
        <s v="FRANCISCO PLAZA GALAN"/>
        <s v="MARIA DEL PILAR PEREA GOMEZ"/>
        <s v="PABLO RUBIO RUBIO"/>
        <s v="MARIA LUZ CAROLINA PEREZ NIETO"/>
        <s v="NELIDA RODRIGUEZ GONZALEZ"/>
        <s v="DOLORES RIBERA NAYA"/>
        <s v="EDUARDO BOSCA SANCHIS"/>
        <s v="MANUEL GARCIA PASCUAL"/>
        <s v="JOSE LUIS MARTINEZ DE LA CUEVA"/>
        <s v="FOUNE DIABY"/>
        <s v="MARIA LUZ PUERTAS ALVAREZ"/>
        <s v="ENCARNACION BARROSO CALLES"/>
        <s v="FELIX SAIZ UTANDA"/>
        <s v="ANTONIA SANCHEZ LARA"/>
        <s v="JESUS MARIA GONZALEZ BENGOECHEA"/>
        <s v="RAQUEL SAENZ BLANCO"/>
        <s v="BENITA RUIZ LOPEZ"/>
        <s v="JOSE GABRIEL LOZANO CARBONELL"/>
        <s v="CRISTINA COSTAS SOTELINO"/>
        <s v="ROSA FRANCISCO DURAN"/>
        <s v="MARGARITA GUIRADO VALERA"/>
        <s v="Mª ANGELES HERNANDEZ GARCIA"/>
        <s v="CONSTANTINO RIOS GALLEGO"/>
        <s v="MARIA JOSEFA BLAZQUEZ RODRIGUEZ"/>
        <s v="ANGELA LUIS NIEVA"/>
        <s v="AVELINA MARTA TORRES RODRIGUEZ"/>
        <s v="ENRIQUE RODRIGUEZ RUIZ"/>
        <s v="JOSE PALAZON MUÑOZ"/>
        <s v="JOAQUIN DAMIAN GARCIA-SOLDADO"/>
        <s v="JOSE ANTONIO GARCIA ARENAS"/>
        <s v="ROSARIO MARTIN COLLADO"/>
        <s v="CARMEN CARRION MARIN"/>
        <s v="JOSE JIMENEZ TOVAR"/>
        <s v="ENRIQUE GALLARDO GONZALEZ"/>
        <s v="PABLO LEON VAZQUEZ"/>
        <s v="JULIAN CARRETERO FERNANDEZ"/>
        <s v="JESUS PALLAS ROS"/>
        <s v="ANA MARIA ARRUEBO CASAJUS"/>
        <s v="Antonia Zuhero Rodriguez"/>
        <s v="JOAN SEGURA ROVIRALTA"/>
        <s v="ANGELES BALLESTEROS RODRIGUEZ"/>
        <s v="CRISTINA GARCIA LOYGORRI"/>
        <s v="MARIA JOSEFA ESTEBAN LOPEZ"/>
        <s v="MARIA SANCHEZ SALINAS"/>
        <s v="FRANCISCO LOPEZ SEGURA"/>
        <s v="SATURNINO SUSMOZAS SANCHEZ CAMACHO"/>
        <s v="JUAN MIGUEL NICOLAS CUARTERO"/>
        <s v="MARIA LUZ CALERO MARCOS"/>
        <s v="CARLOS SANZ ALONSO"/>
        <s v="PEPA LOPEZ PORTERO"/>
        <s v="ANGEL PEREZ REYES"/>
        <s v="PEDRO GARIJO MARTINEZ"/>
        <s v="FRANCISCO PERAL RIBELLES"/>
        <s v="JOSE VICENTE DOMENECH GARCIA"/>
        <s v="GUADALUPE SANCHEZ CINTERO"/>
        <s v="Esther Carbajo Balsa"/>
        <s v="CONCEPCION MARTIN ROSADO"/>
        <s v="JOSE RAMON MORENO RODRIGUEZ"/>
        <s v="MARIA DOLORES ABIA"/>
        <s v="JESUS ZAMORANO DONOSO"/>
        <s v="MARIA ELENA GAVIRIA PARADA"/>
        <s v="ANTONIO SANCHEZ GOMEZ"/>
        <s v="MARIA ANGELES PASCUAL SANCHEZ"/>
        <s v="MIRIAM CAÑAVERAS MARTINEZ"/>
        <s v="JOSE ANTONIO RIOS TOBAJAS"/>
        <s v="MANUELA PEREZ RUIZ"/>
        <s v="EMILIANO PRIETO PEREZ"/>
        <s v="ELISA MOLINA EDO"/>
        <s v="JOSEFA MENENDEZ PEREZ"/>
        <s v="HENEDINA RIVAS GARCIA"/>
        <s v="CONCHA SANCHEZ PINA"/>
        <s v="ANTONIO MUÑOZ Carballo"/>
        <s v="MERCEDES FERNANDEZ PEREZ"/>
        <s v="MARIA JOSEFA MARTINEZ BARCELO"/>
        <s v="BENIGNO IGLESIAS BLANCO"/>
        <s v="LUZ LOPEZ RODRIGUEZ"/>
        <s v="SANTIAGO DE FRUTOS LOPEZ"/>
        <s v="ROBERTO LOPEZ GONZALEZ"/>
        <s v="SATURNINO GARCIA ALONSO"/>
        <s v="MARIA ANGELES PALACIOS BOZAL"/>
        <s v="PIO RODRIGUEZ GIRON"/>
        <s v="RAMONA MARTIN VIVAS"/>
        <s v="FRANCISCA CAMPOS ROLDAN"/>
        <s v="MARIA JESUS NUÑEZ ROMAN"/>
        <s v="RAMON JIMENEZ LOZANO"/>
        <s v="DANIEL CHARLES FRANCOIS"/>
        <s v="ESTRELLA LOPEZ PRIETO"/>
        <s v="EMILIANA SIERRA GONZALEZ"/>
        <s v="MANUEL SALVADO VAZQUEZ"/>
        <s v="ANGELES RODRIGUEZ ALVAREZ"/>
        <s v="PORFIRIA DIAZ PEREZ"/>
        <s v="JOSE FLORES GALISTEO"/>
        <s v="JUAN ANTONIO GARCIA SANZ"/>
        <s v="MARIA FERNANDEZ ARREDONDO"/>
        <s v="IRENE SANCHEZ CAMARGO"/>
        <s v="EMILIANO SANCHEZ JIMENEZ"/>
        <s v="BENIGNA SANCHEZ GARCIA"/>
        <s v="ELISA FERNANDEZ NUEZ"/>
        <s v="MARISA ROBLEDO CREGO"/>
        <s v="PEDRO MARQUEZ ESCUDERO"/>
        <s v="EMERITA OUVIAÑO LLANO"/>
        <s v="CARLOS JESUS DELGADO JUAN"/>
        <s v="ANTONIA DEL POZO DIAZ"/>
        <s v="JOSE MARTINEZ CABALLERO"/>
        <s v="MIGUEL SANCHEZ BENITEZ"/>
        <s v="FRANCISCO PEREZ BAQUERO"/>
        <s v="JULIO ANDONEGUI SARASOLA"/>
        <s v="MARCOS MOREIRA GEIJO"/>
        <s v="ANTONIA PEREA DE LAS HERAS"/>
        <s v="ARTURO SIERRA GOMEZ"/>
        <s v="JOSE RUIZ ROS"/>
        <s v="MARIA DEL CARMEN TOBAJAS GALLEGO"/>
        <s v="JOSEFINA ESPAÑA VILCHES"/>
        <s v="CARMEN ROMERO-HOMBREBUENO PLAZA"/>
        <s v="JESUS GONZÁLEZ PEREZ"/>
        <s v="ANA BASTARRECHE SAGUES"/>
        <s v="ROSA GARZON CAYETANO"/>
        <s v="CEFERINO RODRIGUEZ PEREZ"/>
        <s v="JUAN MANUEL RODRIGUEZ IGLESIAS"/>
        <s v="ROSALIA GASCON MARTIN"/>
        <s v="CARLOS MIGUEL DIAZ PAREJO"/>
        <s v="JESUS REDOMERO COSTERO"/>
        <s v="FRANCISCO CANDIL DEL OLMO"/>
        <s v="SABINO MOÑIVAS MENDEZ"/>
        <s v="MARIA LUZ NAVAIS GAMERO"/>
        <s v="FRANCISCO POYATO ROMERO"/>
        <s v="MARIA PILAR DIAZ CIDONCHA"/>
        <s v="CONCEPCION MARTINEZ MAYOR"/>
        <s v="PILAR ULLOA VELAZQUEZ"/>
        <s v="JOSEFA RAMOS PEREZ"/>
        <s v="MARIA ELISA VALENTIN SANCHEZ"/>
        <s v="JOSEFA GARCIA RUIZ"/>
        <s v="JULIANA VIVAS BARRERA"/>
        <s v="MARIA FUENSANTA ESPINOSA MOLINA"/>
        <s v="TOMAS MIRASIERRA LEANDRO"/>
        <s v="MARTIN VIA GASA"/>
        <s v="JOSE MARIA RODRIGUEZ GARCIA"/>
        <s v="MANUEL JUAN LOSADA CRESPO"/>
        <s v="MIGUEL ANGEL VAZQUEZ ANAYA"/>
        <s v="MATILDE PERONA PEREZ"/>
        <s v="VERONICA MORALES LOPEZ"/>
        <s v="PILAR FERNANDEZ DE HEREDIA GARCES"/>
        <s v="MARTHA LILIA CAYOTOPA ESPINOZA"/>
        <s v="CONCEPCION RUIZ TOLEDO"/>
        <s v="MARIA DEL CARMEN LOPEZ BERLANAS"/>
        <s v="ANTONIA LOPEZ SANCHEZ"/>
        <s v="ANA ROSALES BLANCO"/>
        <s v="ERINO RUSCA"/>
        <s v="MARIA TERESA BERNA MARÍ"/>
        <s v="JUAN CARMELO HERRAEZ CASANOVA"/>
        <s v="MARÍA DEL ROSARIO GONZÁLEZ SEBASTIÁN"/>
        <s v="MARIA DEL PILAR GARCIA RIVAS"/>
        <s v="MARIA SOLEDAD RELANZON LOPEZ"/>
        <s v="ANA BATANERO DIAZ"/>
        <s v="ANA MARIA BALMORI AISA"/>
        <s v="MANUEL ARLANDIS PALAU"/>
        <s v="RICARDO BACIGALUPE RUBIN"/>
        <s v="DOLORES QUEVEDO ANDRADE"/>
        <s v="ANTONIO FERNANDEZ DEL RIO"/>
        <s v="MARIA DEL CARMEN FERNANDEZ DEL RIO"/>
        <s v="JACINTO CRUZ RUS"/>
        <s v="JAIME REMON HIGUERA"/>
        <s v="ELENA BARON MOLINA"/>
        <s v="FRANCISCO RUIZ VENTURA"/>
        <s v="VALENTIN GARRIDO FERNANDEZ"/>
        <s v="LUIS FERNANDO JUANES MARTIN"/>
        <s v="ISABEL GRANADO FERRERA"/>
        <s v="CONCEPCION QUINTAS SOBRADO"/>
        <s v="JULIA FERNANDEZ SOUTO"/>
        <s v="PEPA CANO JOVER"/>
        <s v="ANGEL FRANCISCO FERNANDEZ SALINAS"/>
        <s v="FRANCISCA ORTEGA GONZALO"/>
        <s v="NATIVIDAD DOMINGO HERRANZ"/>
        <s v="IMRANE ZEROUAL DAANIN"/>
        <s v="CARMEN MERAYO GALBAN"/>
        <s v="MIGUEL ANGEL RAMOS RODRIGUEZ"/>
        <s v="CONCHA MORENO CRUZ"/>
        <s v="JOSE JIMENO SANTOS"/>
        <s v="SOUAD AKABOUR"/>
        <s v="ISABEL COCA VALDERAS"/>
        <s v="FRANCISCO BASTIDA RUIZ"/>
        <s v="JOSE LUIS ALONSO RODRIGUEZ"/>
        <s v="MARIA PAZ ENRIQUEZ RODRIGUEZ"/>
        <s v="JUAN CARLOS BLANCO DOALLO"/>
        <s v="JOSE ANTONIO SANTOS ROMÁN"/>
        <s v="Francisco Cerro Mellado"/>
        <s v="ISABEL MILLAN MORGADO"/>
        <s v="CECILIO DIAZ RAMIREZ"/>
        <s v="MARIA ASCENSION PEREZ ROMERO"/>
        <s v="JOSE JAVIER GARCIA CABAÑAS"/>
        <s v="PURIFICACION CALLE PLAZA"/>
        <s v="MARIA DE LA CRUZ PAZ TUBIO"/>
        <s v="MARIA MILAGROS OLGA GONZALEZ LAHERA"/>
        <s v="ANA MARIA OQUILLAS PINEDA"/>
        <s v="ANTHONY DAVISON"/>
        <s v="JACINTO PARDO RODRIGUEZ"/>
        <s v="JOSE MARIA ESPINOSA BALAGUER"/>
        <s v="MARIA DEL SAGRARIO BENITO LOZANO"/>
        <s v="TANIA RODRIGUEZ NOGUEIRAS"/>
        <s v="ARMANDO EZQUERRO MARRODAN"/>
        <s v="CARMEN PEREZ BARRIENTOS"/>
        <s v="DOSINDA MEIJIDE SANCHEZ"/>
        <s v="MARIA LOPEZ NIETO"/>
        <s v="MARIA ELOISA DEL ROSARIO MINGUEZ ALARCON"/>
        <s v="MARIA DE LA ENCARNACIÓN ALÍA GARCIA"/>
        <s v="ELISA BOMBIN OCHOA"/>
        <s v="EMILIA MENDEZ DE LA MUELA"/>
        <s v="LUIS FERNANDO COSTA ALVES [NICOLASA ROJAS ROMERO]"/>
        <s v="JOSE CARLOS BLASCO MAÑAS"/>
        <s v="ARACELI REVUELTA DE PRADO"/>
        <s v="RAFAELA CONTRERAS MUÑOZ"/>
        <s v="AARON LARA PEREZ"/>
        <s v="AURELIA VEGA CONEJERO"/>
        <s v="JOSE VICENTE MINGUET RODRIGO"/>
        <s v="EDWIN PATRICIO ARIAS AREVALO"/>
        <s v="INOCENCIO CISNEROS MARQUINA"/>
        <s v="OSCAR TORRES VAZQUEZ"/>
        <s v="DINA PEREZ LADO"/>
        <s v="MARIA JOSEFA ROJAS MORENO"/>
        <s v="LUIS MIGUEL DEL RIO MORENO"/>
        <s v="PALOMA JIMENEZ LOPEZ"/>
        <s v="FRANCISCA MANRRIQUE ORTIZ"/>
        <s v="CRESCENCIO MARTIN GOMEZ"/>
        <s v="ISABEL BARBERO HIGUERA"/>
        <s v="JAVIER FREIRIA PEREIRA"/>
        <s v="JOAN ESTRUCH GIBERT"/>
        <s v="VICENTE CRESPO RAMIREZ"/>
        <s v="ANA MARIA LAGO RAMON"/>
        <s v="MARIAN QUERALT SOLLOA"/>
        <s v="Mª CARMEN MONTERO MARTINEZ"/>
        <s v="BERTA ARAUJO CERRADELO"/>
        <s v="MARIA ANGELES FERNANDEZ RODRIGUEZ"/>
        <s v="RAQUEL ELISA CARBONI"/>
        <s v="CLARA SUEÑOS BARAJAS"/>
        <s v="LUCIO RODRIGUEZ MAESTRO"/>
        <s v="ANTONIA CIRUJEDA BOLAÑOS"/>
        <s v="MARIA ISABEL GOMEZ GARCIA"/>
        <s v="SALVADOR CARRILLO SILVENTE"/>
        <s v="DAVID STEPHAN LIGHTBOUND"/>
        <s v="VICENTE JAVIER CASES MONSERRAT"/>
        <s v="RAFAELA FUENTES DIAZ"/>
        <s v="ASCENSION MARTIN RAMIREZ"/>
        <s v="MARIA DESAMPARADOS SANCHIS PERALES"/>
        <s v="VENERANDA FERNANDEZ POTES"/>
        <s v="FLORENTINO PASTOR INIESTA"/>
        <s v="ROSARIO GAGO PEREZ"/>
        <s v="MIGUEL ANGEL ESCUDERO MARTINEZ"/>
        <s v="RITA PALOMINO MATEOS"/>
        <s v="ANTONIO ACERO DIAZ"/>
        <s v="OBDULIA SANCHEZ SANCHEZ"/>
        <s v="MARIA TERESA CLEMENTE MAGAN"/>
        <s v="RAFAEL MELLINAS BOTELLA"/>
        <s v="CRISTINA PADILLA RUIZ"/>
        <s v="PEDRO GUERRA PULIDO"/>
        <s v="MARGARITA VALLEJO APARICIO"/>
        <s v="ADRIAN ESTEVEZ MONETRO"/>
        <s v="JUAN JOSE FERRER FERRER"/>
        <s v="JUAN REINA VELEZ"/>
        <s v="Mª DEL CARMEN CARRILLO PEREZ"/>
        <s v="JUAN FRANCISCO NAVARRO SEVILLA"/>
        <s v="MARIA DEL ROSARIO SAEZ GRAU"/>
        <s v="MARIA DEL ROSARIO RODRIGO DOMINGUEZ"/>
        <s v="MARIA PILAR ORTIZ ELGUEZABAL"/>
        <s v="CARMEN FRANCES BODI"/>
        <s v="FUENSANTA MARTINEZ JARA"/>
        <s v="Mª ENCARNACION CLIMENT GINER"/>
        <s v="ALICIA DE ANA DE LA MUÑOZA"/>
        <s v="ANDRES PACHECO PEREIRA"/>
        <s v="MARIA DE NAZARET DE SILVA FERREIRA"/>
        <s v="TERESA PEREZ MATAMOROS"/>
        <s v="MANUEL RODRIGUEZ CUEVAS"/>
        <s v="FRANCISCA JAEN FLORES"/>
        <s v="ELISABETH POVEDANO MACIAS"/>
        <s v="CONSTANCIA LOPEZ LOPEZ"/>
        <s v="CONSTANTINO RUIZ MOYA"/>
        <s v="ISIDRO LOPEZ NAVARRO"/>
        <s v="FRANCISCO FERNANDEZ BLANCA"/>
        <s v="MANUEL SPITZER LUENGO"/>
        <s v="JOSE MARIA CAMACHO GARCIA"/>
        <s v="MARIA DEL PILAR CASARES BULLIDO"/>
        <s v="ESTRELLA GARCIA DIAZ"/>
        <s v="MARIA ANGELES FERNANDEZ VILLANUEVA"/>
        <s v="LUCIA OLMOS ROBREDO"/>
        <s v="JUSTINO LÓPEZ DAVALOS RUESGA"/>
        <s v="MARÍA DEL CARMEN IGLESIAS GONZÁLEZ"/>
        <s v="JOSE ANTONIO SOMALO GARCÍA"/>
        <s v="PILAR VILLASANTE FERNÁNDEZ-MONTES"/>
        <s v="ROSARIO HERNÁNDEZ CENTENO"/>
        <s v="JOSE GUZMÁN ROJAS"/>
        <s v="ENCARNACION GARCIA JIMENEZ"/>
        <s v="JUAN CARLOS GARCIA VALENCIA"/>
        <s v="FERNANDO PEREZ ALONSO"/>
        <s v="NURIA DEL PESO RUIZ"/>
        <s v="ALBERTO CALVO MEIJIDE"/>
        <s v="PALOMA MONTOTO SIMÓN"/>
        <s v="MARIA JUANA MOHEDANO TERRON"/>
        <s v="PEDRO TREVILLA VARA DE REY"/>
        <s v="ANGELA SANCHEZ GOMEZ"/>
        <s v="JOSE LUIS NIETO LOMA"/>
        <s v="NICOLE CAMPAGNE BOUDET"/>
        <s v="Obras Gladstone SL [JOSE LUIS REDONDO LOPEZ]"/>
        <s v="FRANCISCO VICENTE VALLE"/>
        <s v="JOSE LUIS LOPEZ MEJUTO"/>
        <s v="SILVIA LAGARDE DE LA IGLESIA-CARUNCHO"/>
        <s v="JOAQUIN SANTISTEBAN GIMENO"/>
        <s v="SERGIO REGULES DIAZ"/>
        <s v="DIEGO SANCHEZ MECA"/>
        <s v="CARMEN GARCIA HARO"/>
        <s v="PALOMA RATES FERNANDEZ"/>
        <s v="LIBRADA MARTINEZ VIDAL"/>
        <s v="ANDRES DE SANTIAGO HERNANDEZ"/>
        <s v="MARIO RAMIREZ DE HARO"/>
        <s v="TRINITARIO MONTERO MONTERO"/>
        <s v="JOSE LUIS BRAVO RODRIGUEZ"/>
        <s v="EMILIO RHODES DE DIEGO"/>
        <s v="JOSE ANTONIO ASTORGA PLAZA"/>
        <s v="FRANCISCO GARCIA ALMAZAN"/>
        <s v="MILAGROS RODRIGUEZ MARZO"/>
        <s v="JOSE GAYO MORAN"/>
        <s v="NIEVES IBARRA FERNANDEZ"/>
        <s v="FRANCISCO JAVIER DIAZ ASPE"/>
        <s v="ARGENTINA HONORATO SANTOS"/>
        <s v="IGNACIO MANUEL BONILLA MOYA"/>
        <s v="MARIA CONCEPCION LOPEZ MARTIN"/>
        <s v="JOSE BLANCO FERNANDEZ"/>
        <s v="MARIA TERESA NAVARRO DELGADO"/>
        <s v="MARIANO ALVAREZ OLIVA"/>
        <s v="MIHAELA DIANDRA ASAFTEI"/>
        <s v="NEREA ALZOLA ALVAREZ"/>
        <s v="JUANA VIRTUDES CANDEL TURPIN"/>
        <s v="ELVIRA SANTA CRUZ QUIROZ"/>
        <s v="ISABEL SANCHEZ ALMAGRO"/>
        <s v="JESUS RUIZ FRUTOS"/>
        <s v="ANA ALICIA GUADALUPE MARTINEZ ESCRIBANO"/>
        <s v="BERNARDINO MARTINEZ CRESPO"/>
        <s v="SANTA CRUZ PUCHE GARCIA"/>
        <s v="KONSTANTINOS GKRITZELIS"/>
        <s v="CHRISTOPHER ANTHONY STANLEY"/>
        <s v="CARMEN REQUEJO RODRIGUEZ"/>
        <s v="CONCEPCION RODRIGUEZ QUINTAS"/>
        <s v="MANUEL FEIJOO RODRIGUEZ"/>
        <s v="MARÍA PAOLA BARRIUSO CALDERON"/>
        <s v="JOSE ANGEL CONESA OTON"/>
        <s v="ANA MARIA FRUCTUOSO MARTINEZ"/>
        <s v="MARIA DE LOS ANGELES LOPEZ PENA"/>
        <s v="ISABEL PEREZ SANCHEZ"/>
        <s v="JUAN MANUEL SANCHEZ FERNANDEZ"/>
        <s v="JUAN GOMEZ FLORES"/>
        <s v="LUIS GONZALEZ TAMARIT"/>
        <s v="FRANCISCO LOPEZ ROSILLO"/>
        <s v="ELIAS URDIALES GONZALEZ"/>
        <s v="ANA MARIA VEGA BERMUDEZ"/>
        <s v="JUAN JOSE PEREZ BALLESTEROS"/>
        <s v="FELIX GABRIEL PALACIOS GUERRERO"/>
        <s v="LUIS BURGOS LOPEZ"/>
        <s v="JOSE MONTESINOS SAEZ"/>
        <s v="VALENTIN SANCHEZ DIAZ"/>
        <s v="ISABEL FENOLLOSA LOPEZ"/>
        <s v="JOSÉ ALÓS FERNÁNDEZ"/>
        <s v="MARIA BLANCA RODRIGUEZ RODRIGUEZ"/>
        <s v="TEODORA IRENE TERAN MARTIN"/>
        <s v="JULIAN HERRERO ALVAREZ"/>
        <s v="MARIA DOLORES GARCIA ACUÑA"/>
        <s v="ALFREDO CARMONA MIGUEL"/>
        <s v="CARMEN VALENCIA POZAS"/>
        <s v="MARIA SOLEDAD RUIZ POZUELO"/>
        <s v="AGUSTIN MORENO NIEVES"/>
        <s v="JUAN CARLOS MONTES MERINO"/>
        <s v="ANA BARRANTE CLARO"/>
        <s v="CELIA PAZO GARCIA"/>
        <s v="FRANCISCO JAVIER COSCOLLUELA FERRER"/>
        <s v="LAURA VIZCAINO CARBAJOSA"/>
        <s v="FELISA RODRIGUEZ FERNANDEZ"/>
        <s v="VICTORIANO SANTOS MORO"/>
        <s v="JOSE LANDETE ORTIZ"/>
        <s v="CARLOS PACHON VEIRA"/>
        <s v="DORITA CRESPO CRESPO"/>
        <s v="HOLANDINA GARCIA GARCIA"/>
        <s v="BERNARDO GONZALEZ SANTOS"/>
        <s v="ISABEL SOLANILLA LUEZA"/>
        <s v="FERNANDA MARTINEZ ALFAYA"/>
        <s v="GUADALUPE RUBIO ROS"/>
        <s v="MARIA DEL CARMEN VAZQUEZ BASCOY"/>
        <s v="JOSE LUIS LAMELA BANEIRA"/>
        <s v="JOSE ANTONIO MORAN GARCIA"/>
        <s v="JUAN VEGA RODRIGUEZ"/>
        <s v="VICTOR SALAS ROMERO"/>
        <s v="CIPRIANA REVILLA SANCHEZ"/>
        <s v="EVA MARIA PEREZ MOREIRA"/>
        <s v="MARIA LUISA OLIVENZA PIÑERO"/>
        <s v="SOLEDAD SOLIS JIMENEZ"/>
        <s v="EDUARDO CAMPOS MONTAÑEZ"/>
        <s v="CARMEN VALLE BARBERO"/>
        <s v="MARIA DE LA PAZ RIVERO RODRIGUEZ"/>
        <s v="CARMELO CASTROVIEJO MARTINEZ"/>
        <s v="SARA PEREZ DOMINGUEZ"/>
        <s v="ANTONIA DURAN MEDINA"/>
        <s v="FRANCISCO JAVIER BARRIOBERO FELIPE"/>
        <s v="ALBERTO FERNANDEZ GONZALEZ"/>
        <s v="ASUNCION JIMENO BARRANCO"/>
        <s v="PEDRO ANTONIO ALONSO MARTIN"/>
        <s v="ANA NIETO-GUERRERO LOZANO"/>
        <s v="LOURDES BERROGAIN RINCON"/>
        <s v="JOSEFA GORDILLO JIMENEZ"/>
        <s v="ROSA CASA BARROSO"/>
        <s v="AVELINO HOLGADO JIMENEZ"/>
        <s v="JOSE ANTONIO CALVO LOPEZ"/>
        <s v="REMEDIOS CARRASCO CASTRO"/>
        <s v="LIDIA ABELLA BALADO"/>
        <s v="SEBASTIAN DIONIS VERGEL"/>
        <s v="MANUEL GRANERO BOTELLA"/>
        <s v="SATURNINO GALAN DIAZ"/>
        <s v="VIRGILIA REBOLLO VILLALOBOS"/>
        <s v="ISABEL NOGUERA CARRILLO"/>
        <s v="GERMAN MELLADO GARRIDO"/>
        <s v="ANTONIO VILAR ALVAREZ"/>
        <m/>
      </sharedItems>
    </cacheField>
    <cacheField name="Fecha Compra" numFmtId="170">
      <sharedItems containsDate="1" containsString="0" containsBlank="1" count="259">
        <d v="2024-01-02T00:00:00"/>
        <d v="2024-01-03T00:00:00"/>
        <d v="2024-01-04T00:00:00"/>
        <d v="2024-01-05T00:00:00"/>
        <d v="2024-01-08T00:00:00"/>
        <d v="2024-01-09T00:00:00"/>
        <d v="2024-01-10T00:00:00"/>
        <d v="2024-01-11T00:00:00"/>
        <d v="2024-01-12T00:00:00"/>
        <d v="2024-01-15T00:00:00"/>
        <d v="2024-01-16T00:00:00"/>
        <d v="2024-01-17T00:00:00"/>
        <d v="2024-01-18T00:00:00"/>
        <d v="2024-01-19T00:00:00"/>
        <d v="2024-01-22T00:00:00"/>
        <d v="2024-01-23T00:00:00"/>
        <d v="2024-01-24T00:00:00"/>
        <d v="2024-01-25T00:00:00"/>
        <d v="2024-01-26T00:00:00"/>
        <d v="2024-01-29T00:00:00"/>
        <d v="2024-01-30T00:00:00"/>
        <d v="2024-01-31T00:00:00"/>
        <d v="2024-04-26T00:00:00"/>
        <d v="2024-02-01T00:00:00"/>
        <d v="2024-02-02T00:00:00"/>
        <d v="2024-02-05T00:00:00"/>
        <d v="2024-02-06T00:00:00"/>
        <d v="2024-02-07T00:00:00"/>
        <d v="2024-02-08T00:00:00"/>
        <d v="2024-02-09T00:00:00"/>
        <d v="2024-02-12T00:00:00"/>
        <d v="2024-02-13T00:00:00"/>
        <d v="2024-02-14T00:00:00"/>
        <d v="2024-02-15T00:00:00"/>
        <d v="2024-02-16T00:00:00"/>
        <d v="2024-02-17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2-29T00:00:00"/>
        <d v="2024-03-01T00:00:00"/>
        <d v="2024-03-04T00:00:00"/>
        <d v="2024-03-05T00:00:00"/>
        <d v="2024-03-06T00:00:00"/>
        <d v="2024-03-07T00:00:00"/>
        <d v="2024-03-08T00:00:00"/>
        <d v="2024-03-11T00:00:00"/>
        <d v="2024-03-12T00:00:00"/>
        <d v="2024-03-13T00:00:00"/>
        <d v="2024-03-14T00:00:00"/>
        <d v="2024-03-15T00:00:00"/>
        <d v="2024-03-18T00:00:00"/>
        <d v="2024-03-19T00:00:00"/>
        <d v="2024-03-20T00:00:00"/>
        <d v="2024-03-21T00:00:00"/>
        <d v="2024-03-22T00:00:00"/>
        <d v="2024-03-25T00:00:00"/>
        <d v="2024-03-26T00:00:00"/>
        <d v="2024-03-27T00:00:00"/>
        <d v="2024-03-28T00:00:00"/>
        <d v="2024-03-30T00:00:00"/>
        <d v="2024-04-01T00:00:00"/>
        <d v="2024-04-02T00:00:00"/>
        <d v="2024-04-03T00:00:00"/>
        <d v="2024-04-04T00:00:00"/>
        <d v="2024-04-05T00:00:00"/>
        <d v="2024-04-08T00:00:00"/>
        <d v="2024-04-09T00:00:00"/>
        <d v="2024-04-10T00:00:00"/>
        <d v="2024-04-11T00:00:00"/>
        <d v="2024-04-12T00:00:00"/>
        <d v="2024-04-15T00:00:00"/>
        <d v="2024-04-16T00:00:00"/>
        <d v="2024-04-17T00:00:00"/>
        <d v="2024-04-18T00:00:00"/>
        <d v="2024-04-19T00:00:00"/>
        <d v="2024-04-22T00:00:00"/>
        <d v="2024-04-23T00:00:00"/>
        <d v="2024-04-24T00:00:00"/>
        <d v="2024-04-25T00:00:00"/>
        <d v="2024-04-27T00:00:00"/>
        <d v="2024-04-29T00:00:00"/>
        <d v="2024-04-30T00:00:00"/>
        <d v="2024-05-02T00:00:00"/>
        <d v="2024-05-03T00:00:00"/>
        <d v="2024-05-06T00:00:00"/>
        <d v="2024-05-07T00:00:00"/>
        <d v="2024-05-08T00:00:00"/>
        <d v="2024-05-09T00:00:00"/>
        <d v="2024-05-10T00:00:00"/>
        <d v="2024-05-11T00:00:00"/>
        <d v="2024-05-13T00:00:00"/>
        <d v="2024-05-14T00:00:00"/>
        <d v="2024-05-15T00:00:00"/>
        <d v="2024-05-16T00:00:00"/>
        <d v="2024-05-17T00:00:00"/>
        <d v="2024-05-20T00:00:00"/>
        <d v="2024-05-21T00:00:00"/>
        <d v="2024-05-22T00:00:00"/>
        <d v="2024-05-23T00:00:00"/>
        <d v="2024-05-24T00:00:00"/>
        <d v="2024-05-27T00:00:00"/>
        <d v="2024-05-28T00:00:00"/>
        <d v="2024-05-29T00:00:00"/>
        <d v="2024-05-30T00:00:00"/>
        <d v="2024-05-31T00:00:00"/>
        <d v="2024-06-03T00:00:00"/>
        <d v="2024-06-04T00:00:00"/>
        <d v="2024-06-05T00:00:00"/>
        <d v="2024-06-06T00:00:00"/>
        <d v="2024-06-07T00:00:00"/>
        <d v="2024-06-10T00:00:00"/>
        <d v="2024-06-11T00:00:00"/>
        <d v="2024-06-12T00:00:00"/>
        <d v="2024-06-13T00:00:00"/>
        <d v="2024-06-14T00:00:00"/>
        <d v="2024-06-17T00:00:00"/>
        <d v="2024-06-18T00:00:00"/>
        <d v="2024-06-19T00:00:00"/>
        <d v="2024-06-20T00:00:00"/>
        <d v="2024-06-21T00:00:00"/>
        <d v="2024-06-24T00:00:00"/>
        <d v="2024-06-25T00:00:00"/>
        <d v="2024-06-26T00:00:00"/>
        <d v="2024-06-27T00:00:00"/>
        <d v="2024-06-28T00:00:00"/>
        <d v="2024-06-29T00:00:00"/>
        <d v="2024-07-01T00:00:00"/>
        <d v="2024-07-02T00:00:00"/>
        <d v="2024-07-03T00:00:00"/>
        <d v="2024-07-04T00:00:00"/>
        <d v="2024-07-05T00:00:00"/>
        <d v="2024-07-08T00:00:00"/>
        <d v="2024-07-09T00:00:00"/>
        <d v="2024-07-10T00:00:00"/>
        <d v="2024-07-11T00:00:00"/>
        <d v="2024-07-12T00:00:00"/>
        <d v="2024-07-15T00:00:00"/>
        <d v="2024-07-16T00:00:00"/>
        <d v="2024-07-17T00:00:00"/>
        <d v="2024-07-18T00:00:00"/>
        <d v="2024-07-19T00:00:00"/>
        <d v="2024-07-22T00:00:00"/>
        <d v="2024-07-23T00:00:00"/>
        <d v="2024-07-24T00:00:00"/>
        <d v="2024-07-25T00:00:00"/>
        <d v="2024-07-26T00:00:00"/>
        <d v="2024-07-29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3T00:00:00"/>
        <d v="2024-08-14T00:00:00"/>
        <d v="2024-08-19T00:00:00"/>
        <d v="2024-08-20T00:00:00"/>
        <d v="2024-08-21T00:00:00"/>
        <d v="2024-08-22T00:00:00"/>
        <d v="2024-08-23T00:00:00"/>
        <d v="2024-08-26T00:00:00"/>
        <d v="2024-08-27T00:00:00"/>
        <d v="2024-08-28T00:00:00"/>
        <d v="2024-08-29T00:00:00"/>
        <d v="2024-08-30T00:00:00"/>
        <d v="2024-09-02T00:00:00"/>
        <d v="2024-09-03T00:00:00"/>
        <d v="2024-09-04T00:00:00"/>
        <d v="2024-09-05T00:00:00"/>
        <d v="2024-09-06T00:00:00"/>
        <d v="2024-09-09T00:00:00"/>
        <d v="2024-09-10T00:00:00"/>
        <d v="2024-09-11T00:00:00"/>
        <d v="2024-09-12T00:00:00"/>
        <d v="2024-09-16T00:00:00"/>
        <d v="2024-09-17T00:00:00"/>
        <d v="2024-09-18T00:00:00"/>
        <d v="2024-09-19T00:00:00"/>
        <d v="2024-09-20T00:00:00"/>
        <d v="2024-09-23T00:00:00"/>
        <d v="2024-09-24T00:00:00"/>
        <d v="2024-09-25T00:00:00"/>
        <d v="2024-09-26T00:00:00"/>
        <d v="2024-09-27T00:00:00"/>
        <d v="2024-09-30T00:00:00"/>
        <d v="2024-10-01T00:00:00"/>
        <d v="2024-10-02T00:00:00"/>
        <d v="2024-10-03T00:00:00"/>
        <d v="2024-10-04T00:00:00"/>
        <d v="2024-10-07T00:00:00"/>
        <d v="2024-10-08T00:00:00"/>
        <d v="2024-10-09T00:00:00"/>
        <d v="2024-10-10T00:00:00"/>
        <d v="2024-10-11T00:00:00"/>
        <d v="2024-10-14T00:00:00"/>
        <d v="2024-10-15T00:00:00"/>
        <d v="2024-10-16T00:00:00"/>
        <d v="2024-10-17T00:00:00"/>
        <d v="2024-10-18T00:00:00"/>
        <d v="2024-10-21T00:00:00"/>
        <d v="2024-10-22T00:00:00"/>
        <d v="2024-10-23T00:00:00"/>
        <d v="2024-10-24T00:00:00"/>
        <d v="2024-10-25T00:00:00"/>
        <d v="2024-10-28T00:00:00"/>
        <d v="2024-10-29T00:00:00"/>
        <d v="2024-10-30T00:00:00"/>
        <d v="2024-10-31T00:00:00"/>
        <d v="2024-11-04T00:00:00"/>
        <d v="2024-11-05T00:00:00"/>
        <d v="2024-11-06T00:00:00"/>
        <d v="2024-11-07T00:00:00"/>
        <d v="2024-11-08T00:00:00"/>
        <d v="2024-11-11T00:00:00"/>
        <d v="2024-11-12T00:00:00"/>
        <d v="2024-11-13T00:00:00"/>
        <d v="2024-11-14T00:00:00"/>
        <d v="2024-11-15T00:00:00"/>
        <d v="2024-11-18T00:00:00"/>
        <d v="2024-11-19T00:00:00"/>
        <d v="2024-11-20T00:00:00"/>
        <d v="2024-11-21T00:00:00"/>
        <d v="2024-11-22T00:00:00"/>
        <d v="2024-11-25T00:00:00"/>
        <d v="2024-11-26T00:00:00"/>
        <d v="2024-11-27T00:00:00"/>
        <d v="2024-11-28T00:00:00"/>
        <d v="2024-11-29T00:00:00"/>
        <d v="2024-12-23T00:00:00"/>
        <d v="2024-12-13T00:00:00"/>
        <d v="2024-12-31T00:00:00"/>
        <d v="2024-12-27T00:00:00"/>
        <d v="2024-12-26T00:00:00"/>
        <d v="2024-12-12T00:00:00"/>
        <d v="2024-12-30T00:00:00"/>
        <d v="2024-12-24T00:00:00"/>
        <d v="2024-12-17T00:00:00"/>
        <d v="2024-12-11T00:00:00"/>
        <d v="2024-12-19T00:00:00"/>
        <d v="2024-12-16T00:00:00"/>
        <d v="2024-12-10T00:00:00"/>
        <d v="2024-12-20T00:00:00"/>
        <d v="2024-12-18T00:00:00"/>
        <d v="2024-12-02T00:00:00"/>
        <d v="2024-12-09T00:00:00"/>
        <d v="2024-12-04T00:00:00"/>
        <d v="2024-12-03T00:00:00"/>
        <d v="2024-12-05T00:00:00"/>
        <d v="2024-12-06T00:00:00"/>
        <m/>
      </sharedItems>
    </cacheField>
    <cacheField name="Diagnóstico" numFmtId="0">
      <sharedItems containsBlank="1" count="2">
        <m/>
        <s v="AO"/>
      </sharedItems>
    </cacheField>
    <cacheField name="Nº de Audífonos" numFmtId="0">
      <sharedItems containsString="0" containsBlank="1" containsNumber="1" containsInteger="1" count="4">
        <n v="2"/>
        <n v="1"/>
        <n v="3"/>
        <m/>
      </sharedItems>
    </cacheField>
    <cacheField name="Detalle" numFmtId="4">
      <sharedItems containsBlank="1" count="11">
        <s v="CONFORT"/>
        <s v="QUIET"/>
        <s v="AVANCED"/>
        <s v="PRO"/>
        <s v="SOCIAL"/>
        <s v="OMNIA HI,RU560-DRWC,RIE,CHMPN"/>
        <s v="RS NEXIA NX560S-DRWC,BRNZ,RS NEXIA NX560S-DRWC,BRNZ"/>
        <s v="ADVANCED"/>
        <s v="KEY 4 RECARGABLES"/>
        <s v="NEXIA 5 DRWC BLACK"/>
        <m/>
      </sharedItems>
    </cacheField>
    <cacheField name="PVP" numFmtId="4">
      <sharedItems containsString="0" containsBlank="1" containsNumber="1" count="423">
        <n v="3604.55"/>
        <n v="2780.91"/>
        <n v="3812.5"/>
        <n v="1759.09"/>
        <n v="1572.73"/>
        <n v="3786.36"/>
        <n v="3424.32"/>
        <n v="4586.3599999999997"/>
        <n v="3424.33"/>
        <n v="3454.55"/>
        <n v="3522.73"/>
        <n v="2134.5500000000002"/>
        <n v="2162.5"/>
        <n v="3090.91"/>
        <n v="4222.7299999999996"/>
        <n v="2162.73"/>
        <n v="2307.27"/>
        <n v="909.09"/>
        <n v="3423.64"/>
        <n v="3000"/>
        <n v="2318.1799999999998"/>
        <n v="2409.09"/>
        <n v="2641.82"/>
        <n v="2653.64"/>
        <n v="3604.42"/>
        <n v="3627.27"/>
        <n v="3977.27"/>
        <n v="2700"/>
        <n v="2636.36"/>
        <n v="3081.82"/>
        <n v="3604.5"/>
        <n v="2054.5500000000002"/>
        <n v="3424.55"/>
        <n v="2727.27"/>
        <n v="3109.09"/>
        <n v="4011.59"/>
        <n v="4205.45"/>
        <n v="3272.73"/>
        <n v="2471.15"/>
        <n v="3909.09"/>
        <n v="2627.27"/>
        <n v="2641.59"/>
        <n v="1584.77"/>
        <n v="2780.87"/>
        <n v="1668.18"/>
        <n v="4011.54"/>
        <n v="1584.55"/>
        <n v="3617.86"/>
        <n v="3618.61"/>
        <n v="2053.85"/>
        <n v="2162.6999999999998"/>
        <n v="3181.82"/>
        <n v="2000"/>
        <n v="2536.36"/>
        <n v="3363.64"/>
        <n v="3545.45"/>
        <n v="2781.82"/>
        <n v="3422.05"/>
        <n v="2162.85"/>
        <n v="4222.12"/>
        <n v="3782"/>
        <n v="1777.27"/>
        <n v="3820.38"/>
        <n v="2694.55"/>
        <n v="3563.64"/>
        <n v="2454.5500000000002"/>
        <n v="2054.59"/>
        <n v="2780.77"/>
        <n v="3886.36"/>
        <n v="5204.55"/>
        <n v="1577.27"/>
        <n v="3236.36"/>
        <n v="4466.3500000000004"/>
        <n v="2945.62"/>
        <n v="2471.8200000000002"/>
        <n v="1950"/>
        <n v="2667.27"/>
        <n v="2682.69"/>
        <n v="2140.91"/>
        <n v="2904.55"/>
        <n v="3818.18"/>
        <n v="3968.18"/>
        <n v="3727.27"/>
        <n v="4404.55"/>
        <n v="2814.55"/>
        <n v="2641.86"/>
        <n v="1536.36"/>
        <n v="2227.27"/>
        <n v="1818.18"/>
        <n v="1481.82"/>
        <n v="2545.4499999999998"/>
        <n v="4090.77"/>
        <n v="1990.91"/>
        <n v="4204.09"/>
        <n v="4704.55"/>
        <n v="4222.38"/>
        <n v="2515.4499999999998"/>
        <n v="3409.09"/>
        <n v="1636.36"/>
        <n v="2799.09"/>
        <n v="2781.73"/>
        <n v="2648.48"/>
        <n v="2131.8200000000002"/>
        <n v="1745.45"/>
        <n v="3433.4"/>
        <n v="3424.31"/>
        <n v="2641.87"/>
        <n v="2776.36"/>
        <n v="2642.27"/>
        <n v="2703.64"/>
        <n v="2835.91"/>
        <n v="2834.62"/>
        <n v="3407.89"/>
        <n v="4427.2700000000004"/>
        <n v="3604.4"/>
        <n v="2704.55"/>
        <n v="3786.33"/>
        <n v="1671.14"/>
        <n v="3545.44"/>
        <n v="4222.58"/>
        <n v="3388.27"/>
        <n v="1545.45"/>
        <n v="3603.85"/>
        <n v="2801.22"/>
        <n v="709.09"/>
        <n v="1481.85"/>
        <n v="3425"/>
        <n v="1818.16"/>
        <n v="4011.58"/>
        <n v="3590.91"/>
        <n v="693.64"/>
        <n v="2606.36"/>
        <n v="727.26"/>
        <n v="3595.45"/>
        <n v="2410"/>
        <n v="4363.6400000000003"/>
        <n v="2490"/>
        <n v="1445.45"/>
        <n v="4595.1899999999996"/>
        <n v="3572.73"/>
        <n v="4786.3599999999997"/>
        <n v="3711.82"/>
        <n v="4090.91"/>
        <n v="1850"/>
        <n v="2354.5500000000002"/>
        <n v="3266.04"/>
        <n v="3711.81"/>
        <n v="2909.09"/>
        <n v="4172.7299999999996"/>
        <n v="3636.36"/>
        <n v="4399.09"/>
        <n v="2253.64"/>
        <n v="2962.73"/>
        <n v="890.91"/>
        <n v="2641.83"/>
        <n v="2502.8200000000002"/>
        <n v="1417.27"/>
        <n v="3244.09"/>
        <n v="3424.27"/>
        <n v="2945.45"/>
        <n v="2354.11"/>
        <n v="3424.37"/>
        <n v="4223.04"/>
        <n v="2692.31"/>
        <n v="2835.45"/>
        <n v="2550"/>
        <n v="3295.45"/>
        <n v="2172.27"/>
        <n v="2034.55"/>
        <n v="2286.36"/>
        <n v="2461.8200000000002"/>
        <n v="3772.73"/>
        <n v="4431.82"/>
        <n v="2080"/>
        <n v="3477.29"/>
        <n v="1500"/>
        <n v="4011.82"/>
        <n v="3422.73"/>
        <n v="4980.91"/>
        <n v="2263.64"/>
        <n v="1590.91"/>
        <n v="3809.25"/>
        <n v="1681.82"/>
        <n v="4904.55"/>
        <n v="2100"/>
        <n v="2390.91"/>
        <n v="3036.36"/>
        <n v="3954.55"/>
        <n v="0"/>
        <n v="2348.23"/>
        <n v="3404.55"/>
        <n v="4840.91"/>
        <n v="759.09"/>
        <n v="3338.18"/>
        <n v="4310"/>
        <n v="1090.9100000000001"/>
        <n v="4410"/>
        <n v="3877.27"/>
        <n v="3809.09"/>
        <n v="2988"/>
        <n v="2818.18"/>
        <n v="2471.75"/>
        <n v="1727.27"/>
        <n v="3500"/>
        <n v="1954.55"/>
        <n v="3075"/>
        <n v="4326.92"/>
        <n v="2781.08"/>
        <n v="3586.36"/>
        <n v="3607.22"/>
        <n v="3800"/>
        <n v="2629.09"/>
        <n v="2163.64"/>
        <n v="3520.91"/>
        <n v="818.18"/>
        <n v="4000"/>
        <n v="3153.64"/>
        <n v="3441.82"/>
        <n v="1732.73"/>
        <n v="4180"/>
        <n v="3549.09"/>
        <n v="2888.18"/>
        <n v="3709.09"/>
        <n v="2039.09"/>
        <n v="4400"/>
        <n v="3710"/>
        <n v="3723.64"/>
        <n v="2400"/>
        <n v="3524.55"/>
        <n v="3524.5"/>
        <n v="3436.36"/>
        <n v="3714.55"/>
        <n v="2323.64"/>
        <n v="2813.64"/>
        <n v="2300"/>
        <n v="3424.09"/>
        <n v="2280"/>
        <n v="2227.1799999999998"/>
        <n v="2743.77"/>
        <n v="2736.36"/>
        <n v="3888.18"/>
        <n v="1444.09"/>
        <n v="3528.29"/>
        <n v="4400.13"/>
        <n v="4075.45"/>
        <n v="2640"/>
        <n v="1406.73"/>
        <n v="3694.19"/>
        <n v="1909.09"/>
        <n v="3634.62"/>
        <n v="3293.64"/>
        <n v="2399.88"/>
        <n v="2226.36"/>
        <n v="3709.62"/>
        <n v="3190.27"/>
        <n v="2900"/>
        <n v="3709.83"/>
        <n v="2888.02"/>
        <n v="3523.64"/>
        <n v="4336.3599999999997"/>
        <n v="2639.42"/>
        <n v="2961.82"/>
        <n v="1550"/>
        <n v="3084.05"/>
        <n v="2577.27"/>
        <n v="2403.64"/>
        <n v="2272.73"/>
        <n v="2579.09"/>
        <n v="3556.36"/>
        <n v="3477.27"/>
        <n v="2321.8200000000002"/>
        <n v="1610.91"/>
        <n v="1718.18"/>
        <n v="2581.8200000000002"/>
        <n v="2887.5"/>
        <n v="2743.78"/>
        <n v="4436.3599999999997"/>
        <n v="3507.27"/>
        <n v="2340.91"/>
        <n v="1757.27"/>
        <n v="3635.45"/>
        <n v="4276.3599999999997"/>
        <n v="1272.73"/>
        <n v="1645.45"/>
        <n v="2226.44"/>
        <n v="2363.64"/>
        <n v="3910.58"/>
        <n v="1313.64"/>
        <n v="2136.36"/>
        <n v="3999.85"/>
        <n v="3118.18"/>
        <n v="4700"/>
        <n v="2090.91"/>
        <n v="727.27"/>
        <n v="3372.73"/>
        <n v="2845.45"/>
        <n v="4000.13"/>
        <n v="3602.73"/>
        <n v="3524.49"/>
        <n v="4345.45"/>
        <n v="5318.18"/>
        <n v="2335.4499999999998"/>
        <n v="3532.73"/>
        <n v="2888.12"/>
        <n v="904.55"/>
        <n v="1977.27"/>
        <n v="2181.8200000000002"/>
        <n v="1886.36"/>
        <n v="1849.09"/>
        <n v="2283.4499999999998"/>
        <n v="904"/>
        <n v="2743.64"/>
        <n v="1363.64"/>
        <n v="1636.54"/>
        <n v="2230"/>
        <n v="2770"/>
        <n v="2743.27"/>
        <n v="3391.82"/>
        <n v="1470"/>
        <n v="2161.8200000000002"/>
        <n v="2936.36"/>
        <n v="1923.08"/>
        <n v="2681.82"/>
        <n v="3960"/>
        <n v="4145.45"/>
        <n v="3384.55"/>
        <n v="3785.45"/>
        <n v="3431.82"/>
        <n v="1646.09"/>
        <n v="913.64"/>
        <n v="3681.82"/>
        <n v="4860"/>
        <n v="3322.85"/>
        <n v="563.64"/>
        <n v="381.82"/>
        <n v="1968.18"/>
        <n v="3185.45"/>
        <n v="3690.91"/>
        <n v="1730.77"/>
        <n v="1852.73"/>
        <n v="2944.55"/>
        <n v="2345.4499999999998"/>
        <n v="4272.7299999999996"/>
        <n v="4136.3599999999997"/>
        <n v="4081.82"/>
        <n v="3974.18"/>
        <n v="1646.36"/>
        <n v="3710.12"/>
        <n v="4000.19"/>
        <n v="3200"/>
        <n v="4399.7700000000004"/>
        <n v="2886.36"/>
        <n v="2772.73"/>
        <n v="3846.36"/>
        <n v="5022.7299999999996"/>
        <n v="1736.36"/>
        <n v="772.73"/>
        <n v="3080"/>
        <n v="4536.3599999999997"/>
        <n v="2150"/>
        <n v="3929.55"/>
        <n v="2400.0100000000002"/>
        <n v="4009.09"/>
        <n v="3982.73"/>
        <n v="3422.58"/>
        <n v="3024.55"/>
        <n v="3799.85"/>
        <n v="1761.36"/>
        <n v="3045.45"/>
        <n v="3654.55"/>
        <n v="3524.04"/>
        <n v="1936.36"/>
        <n v="2627.25"/>
        <n v="1670"/>
        <n v="3654"/>
        <n v="1918.18"/>
        <n v="2890.91"/>
        <n v="3854.55"/>
        <n v="4374.62"/>
        <n v="2600"/>
        <n v="1472.5"/>
        <n v="1627.27"/>
        <n v="1575.45"/>
        <n v="1733.08"/>
        <n v="1376.36"/>
        <n v="3162.73"/>
        <n v="2654.55"/>
        <n v="1976.36"/>
        <n v="3055.55"/>
        <n v="3027.27"/>
        <n v="3524.18"/>
        <n v="2115.0500000000002"/>
        <n v="3515.45"/>
        <n v="4136.54"/>
        <n v="1629.09"/>
        <n v="2625.45"/>
        <n v="2613.64"/>
        <n v="2872.73"/>
        <n v="3929.09"/>
        <n v="3683.64"/>
        <n v="2968"/>
        <n v="4309.55"/>
        <n v="3270.59"/>
        <n v="3653.64"/>
        <n v="1983.64"/>
        <n v="3164.55"/>
        <n v="1796.15"/>
        <n v="2112"/>
        <n v="2888.19"/>
        <n v="3525.45"/>
        <n v="2080.12"/>
        <n v="4218.18"/>
        <n v="2500"/>
        <n v="900"/>
        <n v="1691.82"/>
        <n v="2200"/>
        <n v="2119.09"/>
        <n v="4219.09"/>
        <n v="3907.69"/>
        <n v="1471.82"/>
        <n v="844.55"/>
        <n v="908.18"/>
        <m/>
      </sharedItems>
    </cacheField>
    <cacheField name="ALTA" numFmtId="165">
      <sharedItems containsDate="1" containsString="0" containsBlank="1" count="343">
        <d v="2023-12-12T00:00:00"/>
        <d v="2023-12-13T00:00:00"/>
        <d v="2023-11-15T00:00:00"/>
        <d v="2023-11-10T00:00:00"/>
        <d v="2023-12-05T00:00:00"/>
        <d v="2023-11-22T00:00:00"/>
        <d v="2023-11-20T00:00:00"/>
        <d v="2023-11-29T00:00:00"/>
        <d v="2023-06-13T00:00:00"/>
        <d v="2023-11-27T00:00:00"/>
        <d v="2023-11-21T00:00:00"/>
        <d v="2023-11-28T00:00:00"/>
        <d v="2023-11-13T00:00:00"/>
        <d v="2023-02-27T00:00:00"/>
        <d v="2023-12-21T00:00:00"/>
        <d v="2023-09-28T00:00:00"/>
        <d v="2023-12-01T00:00:00"/>
        <d v="2023-12-19T00:00:00"/>
        <d v="2023-11-06T00:00:00"/>
        <d v="2023-07-25T00:00:00"/>
        <d v="2020-12-02T00:00:00"/>
        <d v="2023-12-04T00:00:00"/>
        <d v="2023-12-15T00:00:00"/>
        <d v="2023-11-24T00:00:00"/>
        <d v="2023-12-26T00:00:00"/>
        <d v="2023-11-17T00:00:00"/>
        <d v="2023-12-28T00:00:00"/>
        <d v="2023-11-30T00:00:00"/>
        <d v="2023-11-23T00:00:00"/>
        <d v="2023-10-17T00:00:00"/>
        <d v="2023-10-20T00:00:00"/>
        <d v="2023-12-07T00:00:00"/>
        <d v="2023-12-11T00:00:00"/>
        <d v="2023-11-09T00:00:00"/>
        <d v="2023-12-20T00:00:00"/>
        <d v="2022-12-12T00:00:00"/>
        <d v="2023-10-16T00:00:00"/>
        <d v="2023-05-22T00:00:00"/>
        <d v="2023-11-16T00:00:00"/>
        <d v="2023-12-22T00:00:00"/>
        <d v="2023-12-29T00:00:00"/>
        <d v="2024-01-04T00:00:00"/>
        <d v="2024-01-16T00:00:00"/>
        <d v="2022-10-14T00:00:00"/>
        <d v="2023-12-14T00:00:00"/>
        <d v="2024-01-09T00:00:00"/>
        <d v="2023-05-10T00:00:00"/>
        <d v="2024-01-11T00:00:00"/>
        <d v="2024-01-10T00:00:00"/>
        <d v="2024-01-03T00:00:00"/>
        <d v="2024-01-08T00:00:00"/>
        <d v="2022-09-26T00:00:00"/>
        <d v="2023-01-30T00:00:00"/>
        <d v="2024-01-05T00:00:00"/>
        <d v="2022-08-26T00:00:00"/>
        <d v="2023-11-14T00:00:00"/>
        <d v="2024-02-17T00:00:00"/>
        <d v="2024-01-02T00:00:00"/>
        <d v="2023-12-27T00:00:00"/>
        <d v="2024-01-23T00:00:00"/>
        <d v="2023-11-03T00:00:00"/>
        <d v="2024-01-18T00:00:00"/>
        <d v="2024-01-24T00:00:00"/>
        <d v="2023-10-30T00:00:00"/>
        <d v="2023-12-18T00:00:00"/>
        <d v="2023-05-24T00:00:00"/>
        <d v="2024-01-30T00:00:00"/>
        <d v="2024-02-05T00:00:00"/>
        <d v="2024-01-22T00:00:00"/>
        <d v="2024-01-17T00:00:00"/>
        <d v="2024-01-15T00:00:00"/>
        <d v="2023-10-05T00:00:00"/>
        <d v="2024-01-26T00:00:00"/>
        <d v="2024-01-12T00:00:00"/>
        <d v="2023-04-19T00:00:00"/>
        <d v="2024-01-29T00:00:00"/>
        <d v="2024-01-25T00:00:00"/>
        <d v="2023-11-02T00:00:00"/>
        <d v="2023-10-13T00:00:00"/>
        <d v="2024-01-19T00:00:00"/>
        <d v="2023-01-19T00:00:00"/>
        <d v="2024-02-07T00:00:00"/>
        <d v="2023-09-19T00:00:00"/>
        <d v="2023-08-17T00:00:00"/>
        <d v="2024-01-31T00:00:00"/>
        <d v="2024-02-19T00:00:00"/>
        <d v="2024-02-02T00:00:00"/>
        <d v="2024-02-12T00:00:00"/>
        <d v="2024-02-16T00:00:00"/>
        <d v="2024-02-08T00:00:00"/>
        <d v="2024-02-01T00:00:00"/>
        <d v="2024-02-06T00:00:00"/>
        <d v="2023-10-04T00:00:00"/>
        <d v="2024-02-15T00:00:00"/>
        <d v="2024-02-09T00:00:00"/>
        <d v="2024-03-04T00:00:00"/>
        <d v="2024-02-14T00:00:00"/>
        <d v="2024-02-13T00:00:00"/>
        <d v="2023-07-17T00:00:00"/>
        <d v="2024-02-21T00:00:00"/>
        <d v="2023-06-21T00:00:00"/>
        <d v="2023-05-17T00:00:00"/>
        <d v="2024-02-27T00:00:00"/>
        <d v="2024-02-20T00:00:00"/>
        <d v="2023-10-02T00:00:00"/>
        <d v="2024-02-28T00:00:00"/>
        <d v="2024-02-26T00:00:00"/>
        <d v="2021-05-03T00:00:00"/>
        <d v="2024-03-07T00:00:00"/>
        <d v="2022-06-06T00:00:00"/>
        <d v="2021-09-30T00:00:00"/>
        <d v="2024-03-05T00:00:00"/>
        <d v="2021-10-19T00:00:00"/>
        <d v="2024-02-23T00:00:00"/>
        <d v="2024-03-01T00:00:00"/>
        <d v="2024-03-08T00:00:00"/>
        <d v="2023-03-02T00:00:00"/>
        <d v="2024-02-22T00:00:00"/>
        <d v="2024-03-06T00:00:00"/>
        <d v="2024-02-29T00:00:00"/>
        <d v="2024-03-27T00:00:00"/>
        <d v="2023-05-03T00:00:00"/>
        <d v="2018-01-03T00:00:00"/>
        <d v="2024-03-19T00:00:00"/>
        <d v="2024-03-11T00:00:00"/>
        <d v="2024-03-14T00:00:00"/>
        <d v="2024-03-13T00:00:00"/>
        <d v="2024-03-21T00:00:00"/>
        <d v="2024-04-08T00:00:00"/>
        <d v="2024-03-25T00:00:00"/>
        <d v="2024-03-20T00:00:00"/>
        <d v="2024-03-15T00:00:00"/>
        <d v="2024-03-18T00:00:00"/>
        <d v="2024-04-04T00:00:00"/>
        <d v="2023-10-19T00:00:00"/>
        <d v="2024-04-01T00:00:00"/>
        <d v="2024-04-02T00:00:00"/>
        <d v="2024-04-05T00:00:00"/>
        <d v="2024-03-22T00:00:00"/>
        <d v="2021-11-25T00:00:00"/>
        <d v="2024-04-09T00:00:00"/>
        <d v="2023-08-04T00:00:00"/>
        <d v="2024-03-26T00:00:00"/>
        <d v="2022-11-28T00:00:00"/>
        <d v="2024-04-16T00:00:00"/>
        <d v="2023-03-22T00:00:00"/>
        <d v="2024-04-03T00:00:00"/>
        <d v="2024-04-10T00:00:00"/>
        <d v="2022-06-27T00:00:00"/>
        <d v="2024-03-12T00:00:00"/>
        <d v="2024-04-15T00:00:00"/>
        <d v="2023-06-26T00:00:00"/>
        <d v="2024-04-19T00:00:00"/>
        <d v="2024-04-12T00:00:00"/>
        <d v="2024-04-26T00:00:00"/>
        <d v="2024-04-11T00:00:00"/>
        <d v="2024-04-17T00:00:00"/>
        <d v="2024-04-18T00:00:00"/>
        <d v="2024-04-24T00:00:00"/>
        <d v="2024-04-25T00:00:00"/>
        <d v="2024-04-22T00:00:00"/>
        <d v="2024-04-23T00:00:00"/>
        <d v="2024-03-23T00:00:00"/>
        <d v="2023-10-31T00:00:00"/>
        <d v="2023-04-12T00:00:00"/>
        <d v="2024-05-06T00:00:00"/>
        <d v="2024-04-29T00:00:00"/>
        <d v="2024-05-03T00:00:00"/>
        <d v="2023-09-14T00:00:00"/>
        <d v="2024-05-02T00:00:00"/>
        <d v="2024-05-13T00:00:00"/>
        <d v="2024-05-07T00:00:00"/>
        <d v="2024-05-15T00:00:00"/>
        <m/>
        <d v="2024-04-30T00:00:00"/>
        <d v="2024-05-14T00:00:00"/>
        <d v="2024-05-09T00:00:00"/>
        <d v="2024-05-20T00:00:00"/>
        <d v="2022-10-10T00:00:00"/>
        <d v="2024-05-10T00:00:00"/>
        <d v="2024-05-28T00:00:00"/>
        <d v="2024-05-21T00:00:00"/>
        <d v="2024-05-08T00:00:00"/>
        <d v="2024-05-27T00:00:00"/>
        <d v="2024-05-17T00:00:00"/>
        <d v="2024-05-29T00:00:00"/>
        <d v="2023-07-06T00:00:00"/>
        <d v="2024-06-07T00:00:00"/>
        <d v="2024-06-11T00:00:00"/>
        <d v="2023-04-28T00:00:00"/>
        <d v="2024-05-31T00:00:00"/>
        <d v="2024-05-23T00:00:00"/>
        <d v="2024-05-24T00:00:00"/>
        <d v="2024-06-05T00:00:00"/>
        <d v="2024-06-03T00:00:00"/>
        <d v="2024-06-12T00:00:00"/>
        <d v="2023-02-23T00:00:00"/>
        <d v="2024-05-22T00:00:00"/>
        <d v="2024-05-30T00:00:00"/>
        <d v="2024-06-04T00:00:00"/>
        <d v="2024-05-16T00:00:00"/>
        <d v="2024-06-25T00:00:00"/>
        <d v="2024-06-13T00:00:00"/>
        <d v="2024-06-10T00:00:00"/>
        <d v="2024-06-20T00:00:00"/>
        <d v="2024-06-14T00:00:00"/>
        <d v="2024-06-28T00:00:00"/>
        <d v="2024-07-05T00:00:00"/>
        <d v="2024-06-19T00:00:00"/>
        <d v="2024-06-06T00:00:00"/>
        <d v="2024-06-18T00:00:00"/>
        <d v="2024-06-26T00:00:00"/>
        <d v="2024-06-24T00:00:00"/>
        <d v="2024-07-03T00:00:00"/>
        <d v="2024-07-01T00:00:00"/>
        <d v="2024-06-21T00:00:00"/>
        <d v="2023-05-25T00:00:00"/>
        <d v="2024-06-27T00:00:00"/>
        <d v="2024-07-02T00:00:00"/>
        <d v="2024-07-04T00:00:00"/>
        <d v="2024-07-08T00:00:00"/>
        <d v="2024-06-16T00:00:00"/>
        <d v="2024-07-23T00:00:00"/>
        <d v="2024-03-03T00:00:00"/>
        <d v="2024-06-09T00:00:00"/>
        <d v="2024-07-10T00:00:00"/>
        <d v="2024-07-09T00:00:00"/>
        <d v="2024-07-22T00:00:00"/>
        <d v="2023-09-18T00:00:00"/>
        <d v="2024-06-23T00:00:00"/>
        <d v="2024-07-15T00:00:00"/>
        <d v="2024-07-24T00:00:00"/>
        <d v="2024-07-11T00:00:00"/>
        <d v="2024-06-17T00:00:00"/>
        <d v="2023-05-09T00:00:00"/>
        <d v="2024-08-20T00:00:00"/>
        <d v="2024-07-17T00:00:00"/>
        <d v="2024-07-30T00:00:00"/>
        <d v="2024-07-16T00:00:00"/>
        <d v="2024-08-05T00:00:00"/>
        <d v="2024-08-26T00:00:00"/>
        <d v="2024-07-31T00:00:00"/>
        <d v="2024-07-12T00:00:00"/>
        <d v="2024-07-29T00:00:00"/>
        <d v="2024-08-06T00:00:00"/>
        <d v="2024-08-14T00:00:00"/>
        <d v="2024-08-09T00:00:00"/>
        <d v="2024-08-12T00:00:00"/>
        <d v="2024-08-02T00:00:00"/>
        <d v="2024-08-07T00:00:00"/>
        <d v="2024-08-16T00:00:00"/>
        <d v="2023-02-26T00:00:00"/>
        <d v="2024-09-03T00:00:00"/>
        <d v="2024-09-02T00:00:00"/>
        <d v="2024-08-22T00:00:00"/>
        <d v="2024-08-01T00:00:00"/>
        <d v="2023-04-18T00:00:00"/>
        <d v="2024-08-29T00:00:00"/>
        <d v="2024-08-19T00:00:00"/>
        <d v="2024-07-18T00:00:00"/>
        <d v="2024-08-27T00:00:00"/>
        <d v="2014-10-29T00:00:00"/>
        <d v="2024-08-21T00:00:00"/>
        <d v="2024-09-12T00:00:00"/>
        <d v="2024-09-09T00:00:00"/>
        <d v="2024-09-04T00:00:00"/>
        <d v="2024-09-05T00:00:00"/>
        <d v="2024-09-11T00:00:00"/>
        <d v="2024-08-30T00:00:00"/>
        <d v="2024-09-16T00:00:00"/>
        <d v="2024-07-26T00:00:00"/>
        <d v="2024-09-19T00:00:00"/>
        <d v="2024-09-10T00:00:00"/>
        <d v="2024-08-08T00:00:00"/>
        <d v="2024-08-13T00:00:00"/>
        <d v="2024-08-28T00:00:00"/>
        <d v="2018-11-21T00:00:00"/>
        <d v="2024-09-13T00:00:00"/>
        <d v="2024-09-24T00:00:00"/>
        <d v="2024-09-20T00:00:00"/>
        <d v="2024-09-17T00:00:00"/>
        <d v="2024-09-23T00:00:00"/>
        <d v="2024-09-27T00:00:00"/>
        <d v="2024-09-25T00:00:00"/>
        <d v="2024-10-04T00:00:00"/>
        <d v="2024-10-01T00:00:00"/>
        <d v="2024-09-26T00:00:00"/>
        <d v="2024-10-07T00:00:00"/>
        <d v="2024-09-30T00:00:00"/>
        <d v="2023-06-06T00:00:00"/>
        <d v="2024-10-03T00:00:00"/>
        <d v="2024-09-18T00:00:00"/>
        <d v="2024-07-25T00:00:00"/>
        <d v="2024-10-11T00:00:00"/>
        <d v="2024-10-16T00:00:00"/>
        <d v="2024-10-02T00:00:00"/>
        <d v="2024-10-08T00:00:00"/>
        <d v="2024-10-09T00:00:00"/>
        <d v="2024-10-10T00:00:00"/>
        <d v="2024-10-17T00:00:00"/>
        <d v="2024-10-14T00:00:00"/>
        <d v="2024-10-15T00:00:00"/>
        <d v="2024-11-06T00:00:00"/>
        <d v="2023-06-18T00:00:00"/>
        <d v="2024-10-23T00:00:00"/>
        <d v="2024-10-21T00:00:00"/>
        <d v="2024-10-18T00:00:00"/>
        <d v="2024-11-04T00:00:00"/>
        <d v="2024-11-08T00:00:00"/>
        <d v="2024-11-05T00:00:00"/>
        <d v="2023-04-11T00:00:00"/>
        <d v="2024-10-28T00:00:00"/>
        <d v="2024-10-24T00:00:00"/>
        <d v="2024-10-31T00:00:00"/>
        <d v="2024-10-29T00:00:00"/>
        <d v="2024-10-22T00:00:00"/>
        <d v="2024-11-11T00:00:00"/>
        <d v="2024-10-30T00:00:00"/>
        <d v="2024-11-25T00:00:00"/>
        <d v="2024-11-15T00:00:00"/>
        <d v="2024-11-20T00:00:00"/>
        <d v="2024-11-13T00:00:00"/>
        <d v="2024-12-23T00:00:00"/>
        <d v="2024-12-13T00:00:00"/>
        <d v="2024-12-31T00:00:00"/>
        <d v="2024-12-27T00:00:00"/>
        <d v="2024-12-26T00:00:00"/>
        <d v="2024-12-12T00:00:00"/>
        <d v="2024-12-30T00:00:00"/>
        <d v="2024-12-24T00:00:00"/>
        <d v="2024-12-17T00:00:00"/>
        <d v="2024-12-11T00:00:00"/>
        <d v="2024-12-19T00:00:00"/>
        <d v="2024-12-16T00:00:00"/>
        <d v="2024-12-10T00:00:00"/>
        <d v="2024-12-20T00:00:00"/>
        <d v="2024-12-18T00:00:00"/>
        <d v="2024-12-02T00:00:00"/>
        <d v="2024-12-09T00:00:00"/>
        <d v="2024-12-04T00:00:00"/>
        <d v="2024-12-03T00:00:00"/>
        <d v="2024-12-05T00:00:00"/>
        <d v="2024-12-06T00:00:00"/>
      </sharedItems>
    </cacheField>
    <cacheField name=" " numFmtId="0">
      <sharedItems containsString="0" containsBlank="1" count="1">
        <m/>
      </sharedItems>
    </cacheField>
    <cacheField name=" 2" numFmtId="0">
      <sharedItems containsString="0" containsBlank="1" count="1">
        <m/>
      </sharedItems>
    </cacheField>
    <cacheField name=" 3" numFmtId="0">
      <sharedItems containsString="0" containsBlank="1" count="1">
        <m/>
      </sharedItems>
    </cacheField>
    <cacheField name=" 4" numFmtId="0">
      <sharedItems containsString="0" containsBlank="1" count="1">
        <m/>
      </sharedItems>
    </cacheField>
    <cacheField name=" 5" numFmtId="0">
      <sharedItems containsString="0" containsBlank="1" count="1">
        <m/>
      </sharedItems>
    </cacheField>
    <cacheField name=" 6" numFmtId="0">
      <sharedItems containsString="0" containsBlank="1" count="1">
        <m/>
      </sharedItems>
    </cacheField>
    <cacheField name=" 7" numFmtId="0">
      <sharedItems containsString="0" containsBlank="1" count="1">
        <m/>
      </sharedItems>
    </cacheField>
    <cacheField name=" 8" numFmtId="0">
      <sharedItems containsString="0" containsBlank="1" count="1">
        <m/>
      </sharedItems>
    </cacheField>
    <cacheField name=" 9" numFmtId="0">
      <sharedItems containsString="0" containsBlank="1" count="1">
        <m/>
      </sharedItems>
    </cacheField>
    <cacheField name=" 10" numFmtId="0">
      <sharedItems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RESUMENMES26" cacheId="102" applyNumberFormats="0" applyBorderFormats="0" applyFontFormats="0" applyPatternFormats="0" applyAlignmentFormats="0" applyWidthHeightFormats="0" dataCaption="" compact="0" compactData="0">
  <location ref="A1:G7" firstHeaderRow="0" firstDataRow="6" firstDataCol="0"/>
  <pivotFields count="16">
    <pivotField name="ACTUALIZADO A" compact="0" numFmtId="170" outline="0" multipleItemSelectionAllowed="1" showAll="0">
      <items count="3">
        <item x="0"/>
        <item x="1"/>
        <item t="default"/>
      </items>
    </pivotField>
    <pivotField name="AÑO" compact="0" numFmtId="171" outline="0" multipleItemSelectionAllowed="1" showAll="0">
      <items count="4">
        <item x="0"/>
        <item x="1"/>
        <item x="2"/>
        <item t="default"/>
      </items>
    </pivotField>
    <pivotField name="MES" axis="axisRow" compact="0" numFmtId="3" outline="0" multipleItemSelectionAllowed="1" showAll="0" sortType="descending">
      <items count="6">
        <item sd="0" x="3"/>
        <item sd="0" x="2"/>
        <item sd="0" x="1"/>
        <item sd="0" x="0"/>
        <item sd="0" x="4"/>
        <item t="default"/>
      </items>
    </pivotField>
    <pivotField name="RECOMPRA" compact="0" outline="0" multipleItemSelectionAllowed="1" showAll="0">
      <items count="4">
        <item x="0"/>
        <item x="1"/>
        <item x="2"/>
        <item t="default"/>
      </items>
    </pivotField>
    <pivotField name="SUCURSAL" axis="axisRow" compact="0" outline="0" multipleItemSelectionAllowed="1" showAll="0" sortType="ascending">
      <items count="45">
        <item x="43"/>
        <item sd="0" x="22"/>
        <item sd="0" x="17"/>
        <item sd="0" x="10"/>
        <item sd="0" x="24"/>
        <item sd="0" x="23"/>
        <item x="19"/>
        <item sd="0" x="1"/>
        <item sd="0" x="26"/>
        <item sd="0" x="8"/>
        <item sd="0" x="3"/>
        <item x="28"/>
        <item sd="0" x="30"/>
        <item sd="0" x="16"/>
        <item sd="0" x="34"/>
        <item sd="0" x="18"/>
        <item sd="0" x="14"/>
        <item sd="0" x="15"/>
        <item sd="0" x="29"/>
        <item sd="0" x="42"/>
        <item x="6"/>
        <item sd="0" x="4"/>
        <item sd="0" x="25"/>
        <item sd="0" x="21"/>
        <item sd="0" x="38"/>
        <item sd="0" x="11"/>
        <item sd="0" x="20"/>
        <item sd="0" x="13"/>
        <item sd="0" x="32"/>
        <item sd="0" x="36"/>
        <item sd="0" x="27"/>
        <item sd="0" x="41"/>
        <item sd="0" x="5"/>
        <item x="9"/>
        <item sd="0" x="35"/>
        <item sd="0" x="12"/>
        <item sd="0" x="31"/>
        <item sd="0" x="37"/>
        <item sd="0" x="0"/>
        <item sd="0" x="2"/>
        <item x="33"/>
        <item sd="0" x="40"/>
        <item sd="0" x="7"/>
        <item sd="0" x="39"/>
        <item t="default"/>
      </items>
    </pivotField>
    <pivotField name="FECHA DE VENTA" compact="0" numFmtId="165" outline="0" multipleItemSelectionAllowed="1" showAll="0">
      <items count="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name="FECHA DE ALTA DE CLIENTE" compact="0" numFmtId="165" outline="0" multipleItemSelectionAllowed="1" showAll="0">
      <items count="1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t="default"/>
      </items>
    </pivotField>
    <pivotField name="Clínica" compact="0" outline="0" multipleItemSelectionAllowed="1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CÓDIGO DE CLIENTE" compact="0" outline="0" multipleItemSelectionAllowed="1" showAll="0">
      <items count="5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t="default"/>
      </items>
    </pivotField>
    <pivotField name="CLIENTE" axis="axisRow" compact="0" outline="0" multipleItemSelectionAllowed="1" showAll="0" sortType="ascending">
      <items count="507">
        <item x="505"/>
        <item x="170"/>
        <item x="117"/>
        <item x="184"/>
        <item x="239"/>
        <item x="327"/>
        <item x="407"/>
        <item x="349"/>
        <item x="493"/>
        <item x="355"/>
        <item x="179"/>
        <item x="177"/>
        <item x="348"/>
        <item x="97"/>
        <item x="376"/>
        <item x="372"/>
        <item x="61"/>
        <item x="4"/>
        <item x="238"/>
        <item x="381"/>
        <item x="144"/>
        <item x="174"/>
        <item x="448"/>
        <item x="275"/>
        <item x="77"/>
        <item x="406"/>
        <item x="25"/>
        <item x="131"/>
        <item x="163"/>
        <item x="436"/>
        <item x="214"/>
        <item x="480"/>
        <item x="335"/>
        <item x="65"/>
        <item x="46"/>
        <item x="248"/>
        <item x="428"/>
        <item x="3"/>
        <item x="200"/>
        <item x="479"/>
        <item x="164"/>
        <item x="121"/>
        <item x="221"/>
        <item x="156"/>
        <item x="424"/>
        <item x="433"/>
        <item x="143"/>
        <item x="311"/>
        <item x="264"/>
        <item x="435"/>
        <item x="190"/>
        <item x="447"/>
        <item x="392"/>
        <item x="186"/>
        <item x="167"/>
        <item x="399"/>
        <item x="336"/>
        <item x="360"/>
        <item x="270"/>
        <item x="390"/>
        <item x="129"/>
        <item x="67"/>
        <item x="303"/>
        <item x="159"/>
        <item x="302"/>
        <item x="396"/>
        <item x="296"/>
        <item x="216"/>
        <item x="423"/>
        <item x="391"/>
        <item x="365"/>
        <item x="16"/>
        <item x="374"/>
        <item x="356"/>
        <item x="142"/>
        <item x="284"/>
        <item x="240"/>
        <item x="473"/>
        <item x="304"/>
        <item x="62"/>
        <item x="233"/>
        <item x="298"/>
        <item x="285"/>
        <item x="294"/>
        <item x="178"/>
        <item x="161"/>
        <item x="154"/>
        <item x="136"/>
        <item x="37"/>
        <item x="157"/>
        <item x="398"/>
        <item x="236"/>
        <item x="40"/>
        <item x="187"/>
        <item x="421"/>
        <item x="173"/>
        <item x="276"/>
        <item x="38"/>
        <item x="6"/>
        <item x="22"/>
        <item x="124"/>
        <item x="68"/>
        <item x="70"/>
        <item x="148"/>
        <item x="269"/>
        <item x="55"/>
        <item x="481"/>
        <item x="59"/>
        <item x="20"/>
        <item x="165"/>
        <item x="217"/>
        <item x="462"/>
        <item x="219"/>
        <item x="118"/>
        <item x="357"/>
        <item x="115"/>
        <item x="110"/>
        <item x="96"/>
        <item x="24"/>
        <item x="57"/>
        <item x="452"/>
        <item x="222"/>
        <item x="411"/>
        <item x="419"/>
        <item x="158"/>
        <item x="202"/>
        <item x="33"/>
        <item x="470"/>
        <item x="23"/>
        <item x="108"/>
        <item x="224"/>
        <item x="340"/>
        <item x="271"/>
        <item x="73"/>
        <item x="361"/>
        <item x="103"/>
        <item x="287"/>
        <item x="113"/>
        <item x="134"/>
        <item x="291"/>
        <item x="44"/>
        <item x="422"/>
        <item x="241"/>
        <item x="149"/>
        <item x="107"/>
        <item x="491"/>
        <item x="499"/>
        <item x="489"/>
        <item x="185"/>
        <item x="251"/>
        <item x="39"/>
        <item x="75"/>
        <item x="347"/>
        <item x="86"/>
        <item x="138"/>
        <item x="175"/>
        <item x="322"/>
        <item x="229"/>
        <item x="262"/>
        <item x="204"/>
        <item x="431"/>
        <item x="258"/>
        <item x="147"/>
        <item x="440"/>
        <item x="378"/>
        <item x="371"/>
        <item x="474"/>
        <item x="180"/>
        <item x="288"/>
        <item x="150"/>
        <item x="2"/>
        <item x="366"/>
        <item x="279"/>
        <item x="309"/>
        <item x="85"/>
        <item x="196"/>
        <item x="482"/>
        <item x="237"/>
        <item x="0"/>
        <item x="93"/>
        <item x="301"/>
        <item x="218"/>
        <item x="402"/>
        <item x="125"/>
        <item x="457"/>
        <item x="444"/>
        <item x="128"/>
        <item x="176"/>
        <item x="332"/>
        <item x="98"/>
        <item x="227"/>
        <item x="337"/>
        <item x="415"/>
        <item x="351"/>
        <item x="261"/>
        <item x="47"/>
        <item x="394"/>
        <item x="213"/>
        <item x="437"/>
        <item x="49"/>
        <item x="101"/>
        <item x="338"/>
        <item x="432"/>
        <item x="324"/>
        <item x="310"/>
        <item x="17"/>
        <item x="132"/>
        <item x="333"/>
        <item x="197"/>
        <item x="334"/>
        <item x="321"/>
        <item x="426"/>
        <item x="486"/>
        <item x="416"/>
        <item x="466"/>
        <item x="498"/>
        <item x="368"/>
        <item x="460"/>
        <item x="193"/>
        <item x="162"/>
        <item x="225"/>
        <item x="36"/>
        <item x="223"/>
        <item x="439"/>
        <item x="52"/>
        <item x="367"/>
        <item x="209"/>
        <item x="297"/>
        <item x="345"/>
        <item x="50"/>
        <item x="119"/>
        <item x="243"/>
        <item x="260"/>
        <item x="414"/>
        <item x="84"/>
        <item x="94"/>
        <item x="235"/>
        <item x="8"/>
        <item x="319"/>
        <item x="195"/>
        <item x="289"/>
        <item x="313"/>
        <item x="445"/>
        <item x="66"/>
        <item x="488"/>
        <item x="109"/>
        <item x="308"/>
        <item x="395"/>
        <item x="485"/>
        <item x="82"/>
        <item x="463"/>
        <item x="188"/>
        <item x="314"/>
        <item x="341"/>
        <item x="454"/>
        <item x="442"/>
        <item x="417"/>
        <item x="228"/>
        <item x="211"/>
        <item x="206"/>
        <item x="369"/>
        <item x="280"/>
        <item x="14"/>
        <item x="500"/>
        <item x="403"/>
        <item x="1"/>
        <item x="326"/>
        <item x="434"/>
        <item x="263"/>
        <item x="484"/>
        <item x="477"/>
        <item x="41"/>
        <item x="74"/>
        <item x="420"/>
        <item x="111"/>
        <item x="305"/>
        <item x="63"/>
        <item x="102"/>
        <item x="135"/>
        <item x="127"/>
        <item x="459"/>
        <item x="28"/>
        <item x="405"/>
        <item x="295"/>
        <item x="456"/>
        <item x="389"/>
        <item x="379"/>
        <item x="249"/>
        <item x="11"/>
        <item x="383"/>
        <item x="363"/>
        <item x="430"/>
        <item x="104"/>
        <item x="88"/>
        <item x="342"/>
        <item x="380"/>
        <item x="472"/>
        <item x="51"/>
        <item x="30"/>
        <item x="230"/>
        <item x="299"/>
        <item x="198"/>
        <item x="226"/>
        <item x="168"/>
        <item x="26"/>
        <item x="393"/>
        <item x="453"/>
        <item x="317"/>
        <item x="91"/>
        <item x="137"/>
        <item x="69"/>
        <item x="155"/>
        <item x="83"/>
        <item x="201"/>
        <item x="478"/>
        <item x="441"/>
        <item x="427"/>
        <item x="253"/>
        <item x="320"/>
        <item x="126"/>
        <item x="92"/>
        <item x="278"/>
        <item x="492"/>
        <item x="220"/>
        <item x="425"/>
        <item x="501"/>
        <item x="267"/>
        <item x="257"/>
        <item x="461"/>
        <item x="438"/>
        <item x="315"/>
        <item x="207"/>
        <item x="42"/>
        <item x="316"/>
        <item x="205"/>
        <item x="9"/>
        <item x="476"/>
        <item x="169"/>
        <item x="166"/>
        <item x="232"/>
        <item x="401"/>
        <item x="246"/>
        <item x="490"/>
        <item x="242"/>
        <item x="133"/>
        <item x="244"/>
        <item x="60"/>
        <item x="429"/>
        <item x="215"/>
        <item x="199"/>
        <item x="100"/>
        <item x="266"/>
        <item x="286"/>
        <item x="194"/>
        <item x="58"/>
        <item x="48"/>
        <item x="343"/>
        <item x="330"/>
        <item x="231"/>
        <item x="483"/>
        <item x="15"/>
        <item x="160"/>
        <item x="312"/>
        <item x="388"/>
        <item x="300"/>
        <item x="443"/>
        <item x="151"/>
        <item x="21"/>
        <item x="446"/>
        <item x="475"/>
        <item x="331"/>
        <item x="274"/>
        <item x="329"/>
        <item x="78"/>
        <item x="130"/>
        <item x="328"/>
        <item x="71"/>
        <item x="283"/>
        <item x="307"/>
        <item x="495"/>
        <item x="504"/>
        <item x="256"/>
        <item x="469"/>
        <item x="141"/>
        <item x="252"/>
        <item x="189"/>
        <item x="290"/>
        <item x="72"/>
        <item x="7"/>
        <item x="53"/>
        <item x="455"/>
        <item x="64"/>
        <item x="265"/>
        <item x="171"/>
        <item x="139"/>
        <item x="259"/>
        <item x="408"/>
        <item x="191"/>
        <item x="210"/>
        <item x="250"/>
        <item x="400"/>
        <item x="54"/>
        <item x="409"/>
        <item x="146"/>
        <item x="358"/>
        <item x="268"/>
        <item x="183"/>
        <item x="90"/>
        <item x="450"/>
        <item x="10"/>
        <item x="18"/>
        <item x="153"/>
        <item x="323"/>
        <item x="465"/>
        <item x="487"/>
        <item x="353"/>
        <item x="89"/>
        <item x="325"/>
        <item x="140"/>
        <item x="152"/>
        <item x="56"/>
        <item x="468"/>
        <item x="277"/>
        <item x="105"/>
        <item x="81"/>
        <item x="467"/>
        <item x="29"/>
        <item x="19"/>
        <item x="79"/>
        <item x="145"/>
        <item x="273"/>
        <item x="112"/>
        <item x="95"/>
        <item x="377"/>
        <item x="43"/>
        <item x="375"/>
        <item x="76"/>
        <item x="397"/>
        <item x="245"/>
        <item x="116"/>
        <item x="282"/>
        <item x="172"/>
        <item x="234"/>
        <item x="364"/>
        <item x="344"/>
        <item x="87"/>
        <item x="281"/>
        <item x="387"/>
        <item x="451"/>
        <item x="5"/>
        <item x="386"/>
        <item x="254"/>
        <item x="293"/>
        <item x="496"/>
        <item x="359"/>
        <item x="384"/>
        <item x="27"/>
        <item x="502"/>
        <item x="99"/>
        <item x="306"/>
        <item x="292"/>
        <item x="339"/>
        <item x="318"/>
        <item x="255"/>
        <item x="449"/>
        <item x="494"/>
        <item x="503"/>
        <item x="34"/>
        <item x="382"/>
        <item x="410"/>
        <item x="203"/>
        <item x="458"/>
        <item x="370"/>
        <item x="247"/>
        <item x="12"/>
        <item x="120"/>
        <item x="181"/>
        <item x="35"/>
        <item x="362"/>
        <item x="212"/>
        <item x="80"/>
        <item x="471"/>
        <item x="497"/>
        <item x="418"/>
        <item x="464"/>
        <item x="13"/>
        <item x="208"/>
        <item x="373"/>
        <item x="45"/>
        <item x="123"/>
        <item x="272"/>
        <item x="350"/>
        <item x="31"/>
        <item x="385"/>
        <item x="114"/>
        <item x="354"/>
        <item x="106"/>
        <item x="182"/>
        <item x="404"/>
        <item x="412"/>
        <item x="192"/>
        <item x="413"/>
        <item x="346"/>
        <item x="122"/>
        <item x="32"/>
        <item x="352"/>
        <item t="default"/>
      </items>
    </pivotField>
    <pivotField name="NUM AUDIFONOS" dataField="1" compact="0" numFmtId="3" outline="0" multipleItemSelectionAllowed="1" showAll="0">
      <items count="5">
        <item x="0"/>
        <item x="1"/>
        <item x="2"/>
        <item x="3"/>
        <item t="default"/>
      </items>
    </pivotField>
    <pivotField name="TOTAL AUDIFONOS SIN IVA" dataField="1" compact="0" numFmtId="4" outline="0" multipleItemSelectionAllowed="1" showAll="0">
      <items count="1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t="default"/>
      </items>
    </pivotField>
    <pivotField name="CANAL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name="SUBCANAL" compact="0" outline="0" multipleItemSelectionAllowed="1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NOMBRE ORL/CAMPAÑA" axis="axisRow" compact="0" outline="0" multipleItemSelectionAllowed="1" showAll="0" sortType="ascending">
      <items count="232">
        <item sd="0" x="230"/>
        <item sd="0" x="127"/>
        <item sd="0" x="78"/>
        <item sd="0" x="62"/>
        <item sd="0" x="122"/>
        <item sd="0" x="104"/>
        <item sd="0" x="154"/>
        <item x="123"/>
        <item sd="0" x="138"/>
        <item x="46"/>
        <item x="205"/>
        <item sd="0" x="4"/>
        <item sd="0" x="55"/>
        <item sd="0" x="1"/>
        <item sd="0" x="198"/>
        <item sd="0" x="147"/>
        <item x="69"/>
        <item sd="0" x="184"/>
        <item x="229"/>
        <item sd="0" x="73"/>
        <item sd="0" x="114"/>
        <item sd="0" x="80"/>
        <item x="19"/>
        <item sd="0" x="53"/>
        <item sd="0" x="125"/>
        <item x="102"/>
        <item sd="0" x="2"/>
        <item x="42"/>
        <item sd="0" x="166"/>
        <item sd="0" x="207"/>
        <item x="79"/>
        <item sd="0" x="143"/>
        <item sd="0" x="99"/>
        <item sd="0" x="195"/>
        <item x="156"/>
        <item sd="0" x="84"/>
        <item sd="0" x="67"/>
        <item sd="0" x="150"/>
        <item sd="0" x="148"/>
        <item sd="0" x="113"/>
        <item sd="0" x="22"/>
        <item x="64"/>
        <item sd="0" x="16"/>
        <item sd="0" x="47"/>
        <item sd="0" x="134"/>
        <item sd="0" x="161"/>
        <item sd="0" x="208"/>
        <item x="65"/>
        <item sd="0" x="170"/>
        <item sd="0" x="171"/>
        <item sd="0" x="40"/>
        <item sd="0" x="187"/>
        <item sd="0" x="110"/>
        <item x="145"/>
        <item sd="0" x="38"/>
        <item x="103"/>
        <item sd="0" x="186"/>
        <item sd="0" x="8"/>
        <item sd="0" x="24"/>
        <item sd="0" x="31"/>
        <item sd="0" x="152"/>
        <item sd="0" x="97"/>
        <item sd="0" x="201"/>
        <item sd="0" x="210"/>
        <item sd="0" x="59"/>
        <item sd="0" x="28"/>
        <item sd="0" x="85"/>
        <item sd="0" x="32"/>
        <item sd="0" x="7"/>
        <item sd="0" x="96"/>
        <item x="228"/>
        <item sd="0" x="141"/>
        <item sd="0" x="23"/>
        <item sd="0" x="5"/>
        <item x="216"/>
        <item sd="0" x="202"/>
        <item sd="0" x="196"/>
        <item x="220"/>
        <item sd="0" x="135"/>
        <item sd="0" x="117"/>
        <item sd="0" x="41"/>
        <item sd="0" x="86"/>
        <item sd="0" x="158"/>
        <item sd="0" x="204"/>
        <item sd="0" x="162"/>
        <item sd="0" x="107"/>
        <item sd="0" x="57"/>
        <item x="121"/>
        <item sd="0" x="197"/>
        <item sd="0" x="131"/>
        <item sd="0" x="163"/>
        <item x="224"/>
        <item sd="0" x="50"/>
        <item sd="0" x="160"/>
        <item x="226"/>
        <item sd="0" x="82"/>
        <item sd="0" x="165"/>
        <item sd="0" x="153"/>
        <item sd="0" x="168"/>
        <item sd="0" x="213"/>
        <item sd="0" x="200"/>
        <item sd="0" x="194"/>
        <item sd="0" x="191"/>
        <item x="89"/>
        <item x="37"/>
        <item sd="0" x="21"/>
        <item sd="0" x="124"/>
        <item sd="0" x="106"/>
        <item sd="0" x="25"/>
        <item x="54"/>
        <item sd="0" x="98"/>
        <item x="144"/>
        <item sd="0" x="214"/>
        <item sd="0" x="63"/>
        <item sd="0" x="192"/>
        <item sd="0" x="174"/>
        <item x="119"/>
        <item x="172"/>
        <item x="91"/>
        <item sd="0" x="157"/>
        <item sd="0" x="183"/>
        <item sd="0" x="52"/>
        <item x="181"/>
        <item sd="0" x="75"/>
        <item x="217"/>
        <item sd="0" x="159"/>
        <item sd="0" x="105"/>
        <item sd="0" x="133"/>
        <item x="108"/>
        <item sd="0" x="115"/>
        <item x="18"/>
        <item sd="0" x="15"/>
        <item sd="0" x="132"/>
        <item sd="0" x="218"/>
        <item sd="0" x="146"/>
        <item sd="0" x="43"/>
        <item sd="0" x="128"/>
        <item sd="0" x="61"/>
        <item x="111"/>
        <item sd="0" x="185"/>
        <item x="81"/>
        <item sd="0" x="56"/>
        <item x="87"/>
        <item x="223"/>
        <item sd="0" x="203"/>
        <item x="225"/>
        <item sd="0" x="14"/>
        <item x="227"/>
        <item sd="0" x="188"/>
        <item sd="0" x="209"/>
        <item x="29"/>
        <item sd="0" x="11"/>
        <item sd="0" x="126"/>
        <item sd="0" x="36"/>
        <item sd="0" x="74"/>
        <item sd="0" x="17"/>
        <item sd="0" x="94"/>
        <item sd="0" x="219"/>
        <item sd="0" x="179"/>
        <item sd="0" x="45"/>
        <item sd="0" x="129"/>
        <item sd="0" x="39"/>
        <item sd="0" x="9"/>
        <item sd="0" x="193"/>
        <item sd="0" x="139"/>
        <item sd="0" x="44"/>
        <item sd="0" x="0"/>
        <item sd="0" x="136"/>
        <item sd="0" x="178"/>
        <item x="221"/>
        <item sd="0" x="182"/>
        <item sd="0" x="66"/>
        <item sd="0" x="20"/>
        <item sd="0" x="60"/>
        <item sd="0" x="130"/>
        <item sd="0" x="27"/>
        <item sd="0" x="100"/>
        <item sd="0" x="118"/>
        <item sd="0" x="68"/>
        <item sd="0" x="199"/>
        <item sd="0" x="49"/>
        <item sd="0" x="167"/>
        <item sd="0" x="34"/>
        <item sd="0" x="164"/>
        <item sd="0" x="71"/>
        <item sd="0" x="30"/>
        <item sd="0" x="101"/>
        <item x="206"/>
        <item sd="0" x="51"/>
        <item x="92"/>
        <item sd="0" x="35"/>
        <item sd="0" x="142"/>
        <item sd="0" x="173"/>
        <item sd="0" x="149"/>
        <item sd="0" x="10"/>
        <item sd="0" x="155"/>
        <item sd="0" x="70"/>
        <item sd="0" x="212"/>
        <item x="83"/>
        <item sd="0" x="112"/>
        <item sd="0" x="140"/>
        <item sd="0" x="137"/>
        <item sd="0" x="77"/>
        <item sd="0" x="90"/>
        <item sd="0" x="3"/>
        <item sd="0" x="13"/>
        <item sd="0" x="95"/>
        <item x="72"/>
        <item sd="0" x="58"/>
        <item sd="0" x="120"/>
        <item sd="0" x="76"/>
        <item sd="0" x="190"/>
        <item x="33"/>
        <item sd="0" x="180"/>
        <item sd="0" x="151"/>
        <item x="109"/>
        <item sd="0" x="26"/>
        <item sd="0" x="189"/>
        <item sd="0" x="116"/>
        <item sd="0" x="12"/>
        <item sd="0" x="177"/>
        <item sd="0" x="169"/>
        <item x="93"/>
        <item sd="0" x="215"/>
        <item sd="0" x="211"/>
        <item sd="0" x="48"/>
        <item x="88"/>
        <item x="176"/>
        <item x="175"/>
        <item x="222"/>
        <item x="6"/>
        <item t="default"/>
      </items>
    </pivotField>
    <pivotField name="NOMBRE VISITADOR" axis="axisRow" compact="0" outline="0" multipleItemSelectionAllowed="1" showAll="0" sortType="ascending">
      <items count="12">
        <item sd="0" x="10"/>
        <item sd="0" x="2"/>
        <item sd="0" x="9"/>
        <item sd="0" x="7"/>
        <item sd="0" x="6"/>
        <item sd="0" x="8"/>
        <item sd="0" x="1"/>
        <item sd="0" x="4"/>
        <item sd="0" x="3"/>
        <item sd="0" x="5"/>
        <item sd="0" x="0"/>
        <item t="default"/>
      </items>
    </pivotField>
  </pivotFields>
  <rowFields count="5">
    <field x="2"/>
    <field x="15"/>
    <field x="4"/>
    <field x="14"/>
    <field x="9"/>
  </rowFields>
  <colFields count="1">
    <field x="-2"/>
  </colFields>
  <dataFields count="2">
    <dataField name="SUM of NUM AUDIFONOS" fld="10" baseField="0"/>
    <dataField name="SUM of TOTAL AUDIFONOS SIN IVA" fld="11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1000000}" name="RESUMENMES25" cacheId="103" applyNumberFormats="0" applyBorderFormats="0" applyFontFormats="0" applyPatternFormats="0" applyAlignmentFormats="0" applyWidthHeightFormats="0" dataCaption="" compact="0" compactData="0">
  <location ref="A4:F18" firstHeaderRow="0" firstDataRow="5" firstDataCol="0"/>
  <pivotFields count="18">
    <pivotField name="AÑO" compact="0" outline="0" multipleItemSelectionAllowed="1" showAll="0">
      <items count="3">
        <item x="0"/>
        <item x="1"/>
        <item t="default"/>
      </items>
    </pivotField>
    <pivotField name="MES" axis="axisRow" compact="0" outline="0" multipleItemSelectionAllowed="1" showAll="0" sortType="ascending">
      <items count="14">
        <item sd="0" x="12"/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t="default"/>
      </items>
    </pivotField>
    <pivotField name="RECOMPRA" compact="0" outline="0" multipleItemSelectionAllowed="1" showAll="0">
      <items count="4">
        <item x="0"/>
        <item x="1"/>
        <item x="2"/>
        <item t="default"/>
      </items>
    </pivotField>
    <pivotField name="SUCURSAL" axis="axisRow" compact="0" outline="0" multipleItemSelectionAllowed="1" showAll="0" sortType="ascending">
      <items count="57">
        <item sd="0" x="55"/>
        <item x="1"/>
        <item x="2"/>
        <item x="4"/>
        <item x="41"/>
        <item x="36"/>
        <item x="42"/>
        <item x="5"/>
        <item x="37"/>
        <item x="30"/>
        <item x="49"/>
        <item x="45"/>
        <item x="3"/>
        <item sd="0" x="6"/>
        <item x="0"/>
        <item x="7"/>
        <item x="8"/>
        <item x="53"/>
        <item x="52"/>
        <item x="39"/>
        <item x="9"/>
        <item x="35"/>
        <item sd="0" x="10"/>
        <item x="11"/>
        <item x="12"/>
        <item x="43"/>
        <item sd="0" x="44"/>
        <item x="13"/>
        <item x="14"/>
        <item x="15"/>
        <item x="16"/>
        <item x="17"/>
        <item x="18"/>
        <item x="46"/>
        <item x="19"/>
        <item x="20"/>
        <item x="40"/>
        <item x="54"/>
        <item x="29"/>
        <item sd="0" x="31"/>
        <item x="21"/>
        <item x="22"/>
        <item x="38"/>
        <item sd="0" x="23"/>
        <item x="24"/>
        <item x="51"/>
        <item x="48"/>
        <item x="25"/>
        <item sd="0" x="26"/>
        <item sd="0" x="27"/>
        <item x="33"/>
        <item x="32"/>
        <item x="50"/>
        <item x="28"/>
        <item x="34"/>
        <item x="47"/>
        <item t="default"/>
      </items>
    </pivotField>
    <pivotField name="FECHA DE VENTA" compact="0" numFmtId="165" outline="0" multipleItemSelectionAllowed="1" showAll="0">
      <items count="2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t="default"/>
      </items>
    </pivotField>
    <pivotField name="FECHA DE ALTA DE CLIENTE" compact="0" numFmtId="165" outline="0" multipleItemSelectionAllowed="1" showAll="0">
      <items count="3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t="default"/>
      </items>
    </pivotField>
    <pivotField name="Clínica" compact="0" outline="0" multipleItemSelectionAllowed="1" showAll="0">
      <items count="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CÓDIGO DE CLIENTE" compact="0" outline="0" multipleItemSelectionAllowed="1" showAll="0">
      <items count="17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t="default"/>
      </items>
    </pivotField>
    <pivotField name="CLIENTE" axis="axisRow" compact="0" outline="0" multipleItemSelectionAllowed="1" showAll="0" sortType="ascending">
      <items count="1733">
        <item x="1731"/>
        <item x="1091"/>
        <item x="1498"/>
        <item x="1254"/>
        <item x="1692"/>
        <item x="60"/>
        <item x="1578"/>
        <item x="1565"/>
        <item x="850"/>
        <item x="1039"/>
        <item x="1659"/>
        <item x="1702"/>
        <item x="254"/>
        <item x="718"/>
        <item x="621"/>
        <item x="1716"/>
        <item x="724"/>
        <item x="1704"/>
        <item x="166"/>
        <item x="1511"/>
        <item x="1249"/>
        <item x="1223"/>
        <item x="743"/>
        <item x="778"/>
        <item x="653"/>
        <item x="1301"/>
        <item x="1024"/>
        <item x="1458"/>
        <item x="1356"/>
        <item x="826"/>
        <item x="902"/>
        <item x="1153"/>
        <item x="1238"/>
        <item x="1504"/>
        <item x="1611"/>
        <item x="1194"/>
        <item x="1250"/>
        <item x="1603"/>
        <item x="1390"/>
        <item x="1215"/>
        <item x="515"/>
        <item x="185"/>
        <item x="1422"/>
        <item x="784"/>
        <item x="1335"/>
        <item x="1252"/>
        <item x="768"/>
        <item x="654"/>
        <item x="903"/>
        <item x="418"/>
        <item x="4"/>
        <item x="1445"/>
        <item x="214"/>
        <item x="991"/>
        <item x="307"/>
        <item x="888"/>
        <item x="1418"/>
        <item x="1163"/>
        <item x="1541"/>
        <item x="1030"/>
        <item x="193"/>
        <item x="802"/>
        <item x="303"/>
        <item x="390"/>
        <item x="233"/>
        <item x="1382"/>
        <item x="1211"/>
        <item x="395"/>
        <item x="660"/>
        <item x="1233"/>
        <item x="1351"/>
        <item x="337"/>
        <item x="553"/>
        <item x="168"/>
        <item x="1392"/>
        <item x="1379"/>
        <item x="1148"/>
        <item x="1728"/>
        <item x="753"/>
        <item x="243"/>
        <item x="250"/>
        <item x="201"/>
        <item x="1040"/>
        <item x="306"/>
        <item x="501"/>
        <item x="890"/>
        <item x="571"/>
        <item x="1720"/>
        <item x="1314"/>
        <item x="1452"/>
        <item x="796"/>
        <item x="1363"/>
        <item x="1164"/>
        <item x="1080"/>
        <item x="423"/>
        <item x="981"/>
        <item x="776"/>
        <item x="1707"/>
        <item x="161"/>
        <item x="200"/>
        <item x="541"/>
        <item x="1255"/>
        <item x="1187"/>
        <item x="1404"/>
        <item x="1680"/>
        <item x="204"/>
        <item x="1410"/>
        <item x="894"/>
        <item x="859"/>
        <item x="1656"/>
        <item x="514"/>
        <item x="986"/>
        <item x="775"/>
        <item x="37"/>
        <item x="628"/>
        <item x="818"/>
        <item x="1282"/>
        <item x="265"/>
        <item x="32"/>
        <item x="288"/>
        <item x="189"/>
        <item x="440"/>
        <item x="1428"/>
        <item x="1386"/>
        <item x="1041"/>
        <item x="28"/>
        <item x="819"/>
        <item x="1018"/>
        <item x="728"/>
        <item x="729"/>
        <item x="785"/>
        <item x="1229"/>
        <item x="1326"/>
        <item x="169"/>
        <item x="690"/>
        <item x="638"/>
        <item x="582"/>
        <item x="586"/>
        <item x="904"/>
        <item x="1645"/>
        <item x="1096"/>
        <item x="652"/>
        <item x="1486"/>
        <item x="624"/>
        <item x="324"/>
        <item x="1173"/>
        <item x="132"/>
        <item x="277"/>
        <item x="1323"/>
        <item x="1042"/>
        <item x="827"/>
        <item x="661"/>
        <item x="769"/>
        <item x="348"/>
        <item x="797"/>
        <item x="5"/>
        <item x="1568"/>
        <item x="92"/>
        <item x="357"/>
        <item x="389"/>
        <item x="1424"/>
        <item x="1019"/>
        <item x="381"/>
        <item x="391"/>
        <item x="222"/>
        <item x="1497"/>
        <item x="1006"/>
        <item x="42"/>
        <item x="1489"/>
        <item x="1679"/>
        <item x="1421"/>
        <item x="1646"/>
        <item x="895"/>
        <item x="866"/>
        <item x="1526"/>
        <item x="1341"/>
        <item x="1430"/>
        <item x="1245"/>
        <item x="792"/>
        <item x="29"/>
        <item x="279"/>
        <item x="38"/>
        <item x="746"/>
        <item x="1087"/>
        <item x="1419"/>
        <item x="1544"/>
        <item x="1354"/>
        <item x="1714"/>
        <item x="591"/>
        <item x="583"/>
        <item x="1484"/>
        <item x="1453"/>
        <item x="1717"/>
        <item x="1280"/>
        <item x="1371"/>
        <item x="1416"/>
        <item x="1439"/>
        <item x="581"/>
        <item x="137"/>
        <item x="278"/>
        <item x="1308"/>
        <item x="519"/>
        <item x="1347"/>
        <item x="816"/>
        <item x="1043"/>
        <item x="1435"/>
        <item x="1135"/>
        <item x="49"/>
        <item x="9"/>
        <item x="761"/>
        <item x="1000"/>
        <item x="798"/>
        <item x="1443"/>
        <item x="1567"/>
        <item x="994"/>
        <item x="1491"/>
        <item x="1033"/>
        <item x="111"/>
        <item x="1654"/>
        <item x="590"/>
        <item x="50"/>
        <item x="1141"/>
        <item x="1110"/>
        <item x="16"/>
        <item x="212"/>
        <item x="1573"/>
        <item x="1557"/>
        <item x="570"/>
        <item x="477"/>
        <item x="1658"/>
        <item x="1562"/>
        <item x="613"/>
        <item x="992"/>
        <item x="998"/>
        <item x="1385"/>
        <item x="677"/>
        <item x="17"/>
        <item x="1623"/>
        <item x="317"/>
        <item x="782"/>
        <item x="1698"/>
        <item x="883"/>
        <item x="355"/>
        <item x="1503"/>
        <item x="1036"/>
        <item x="1678"/>
        <item x="1151"/>
        <item x="1580"/>
        <item x="1142"/>
        <item x="875"/>
        <item x="1552"/>
        <item x="674"/>
        <item x="1044"/>
        <item x="1689"/>
        <item x="1217"/>
        <item x="867"/>
        <item x="504"/>
        <item x="820"/>
        <item x="1718"/>
        <item x="711"/>
        <item x="738"/>
        <item x="447"/>
        <item x="1200"/>
        <item x="195"/>
        <item x="905"/>
        <item x="1376"/>
        <item x="569"/>
        <item x="1045"/>
        <item x="906"/>
        <item x="1652"/>
        <item x="15"/>
        <item x="821"/>
        <item x="891"/>
        <item x="655"/>
        <item x="1227"/>
        <item x="1513"/>
        <item x="693"/>
        <item x="535"/>
        <item x="1218"/>
        <item x="684"/>
        <item x="1201"/>
        <item x="851"/>
        <item x="499"/>
        <item x="1560"/>
        <item x="1615"/>
        <item x="1113"/>
        <item x="1082"/>
        <item x="103"/>
        <item x="1549"/>
        <item x="1636"/>
        <item x="1703"/>
        <item x="1429"/>
        <item x="1114"/>
        <item x="427"/>
        <item x="1305"/>
        <item x="803"/>
        <item x="411"/>
        <item x="1313"/>
        <item x="799"/>
        <item x="907"/>
        <item x="1007"/>
        <item x="1644"/>
        <item x="419"/>
        <item x="1133"/>
        <item x="751"/>
        <item x="220"/>
        <item x="197"/>
        <item x="152"/>
        <item x="266"/>
        <item x="1506"/>
        <item x="1022"/>
        <item x="1099"/>
        <item x="1003"/>
        <item x="1262"/>
        <item x="1588"/>
        <item x="832"/>
        <item x="1172"/>
        <item x="1571"/>
        <item x="1436"/>
        <item x="1035"/>
        <item x="1665"/>
        <item x="1391"/>
        <item x="476"/>
        <item x="1630"/>
        <item x="158"/>
        <item x="67"/>
        <item x="1295"/>
        <item x="1309"/>
        <item x="1643"/>
        <item x="740"/>
        <item x="199"/>
        <item x="18"/>
        <item x="592"/>
        <item x="721"/>
        <item x="1118"/>
        <item x="1641"/>
        <item x="296"/>
        <item x="1624"/>
        <item x="543"/>
        <item x="1291"/>
        <item x="1248"/>
        <item x="779"/>
        <item x="1499"/>
        <item x="627"/>
        <item x="1605"/>
        <item x="752"/>
        <item x="349"/>
        <item x="1127"/>
        <item x="282"/>
        <item x="1136"/>
        <item x="1616"/>
        <item x="701"/>
        <item x="861"/>
        <item x="300"/>
        <item x="1501"/>
        <item x="469"/>
        <item x="1668"/>
        <item x="1176"/>
        <item x="1026"/>
        <item x="685"/>
        <item x="326"/>
        <item x="754"/>
        <item x="908"/>
        <item x="448"/>
        <item x="715"/>
        <item x="467"/>
        <item x="1725"/>
        <item x="1046"/>
        <item x="320"/>
        <item x="868"/>
        <item x="662"/>
        <item x="731"/>
        <item x="315"/>
        <item x="371"/>
        <item x="188"/>
        <item x="1701"/>
        <item x="1310"/>
        <item x="1253"/>
        <item x="1527"/>
        <item x="1525"/>
        <item x="1208"/>
        <item x="1207"/>
        <item x="1225"/>
        <item x="271"/>
        <item x="6"/>
        <item x="669"/>
        <item x="1145"/>
        <item x="1220"/>
        <item x="620"/>
        <item x="580"/>
        <item x="10"/>
        <item x="1047"/>
        <item x="901"/>
        <item x="1475"/>
        <item x="1677"/>
        <item x="545"/>
        <item x="878"/>
        <item x="43"/>
        <item x="528"/>
        <item x="1048"/>
        <item x="1700"/>
        <item x="1344"/>
        <item x="430"/>
        <item x="862"/>
        <item x="298"/>
        <item x="548"/>
        <item x="129"/>
        <item x="1012"/>
        <item x="846"/>
        <item x="11"/>
        <item x="683"/>
        <item x="196"/>
        <item x="378"/>
        <item x="755"/>
        <item x="149"/>
        <item x="1154"/>
        <item x="521"/>
        <item x="492"/>
        <item x="1216"/>
        <item x="534"/>
        <item x="1632"/>
        <item x="367"/>
        <item x="648"/>
        <item x="689"/>
        <item x="1094"/>
        <item x="433"/>
        <item x="1670"/>
        <item x="577"/>
        <item x="909"/>
        <item x="544"/>
        <item x="1348"/>
        <item x="281"/>
        <item x="601"/>
        <item x="509"/>
        <item x="1663"/>
        <item x="910"/>
        <item x="557"/>
        <item x="156"/>
        <item x="1584"/>
        <item x="1277"/>
        <item x="1213"/>
        <item x="1049"/>
        <item x="39"/>
        <item x="334"/>
        <item x="1470"/>
        <item x="58"/>
        <item x="1357"/>
        <item x="1032"/>
        <item x="1480"/>
        <item x="1671"/>
        <item x="408"/>
        <item x="493"/>
        <item x="1415"/>
        <item x="63"/>
        <item x="497"/>
        <item x="1590"/>
        <item x="997"/>
        <item x="241"/>
        <item x="130"/>
        <item x="526"/>
        <item x="374"/>
        <item x="1251"/>
        <item x="1037"/>
        <item x="19"/>
        <item x="554"/>
        <item x="117"/>
        <item x="284"/>
        <item x="388"/>
        <item x="911"/>
        <item x="82"/>
        <item x="1467"/>
        <item x="555"/>
        <item x="457"/>
        <item x="736"/>
        <item x="449"/>
        <item x="1509"/>
        <item x="1389"/>
        <item x="350"/>
        <item x="252"/>
        <item x="1694"/>
        <item x="643"/>
        <item x="258"/>
        <item x="1602"/>
        <item x="327"/>
        <item x="227"/>
        <item x="1205"/>
        <item x="91"/>
        <item x="163"/>
        <item x="146"/>
        <item x="705"/>
        <item x="202"/>
        <item x="1395"/>
        <item x="912"/>
        <item x="263"/>
        <item x="1089"/>
        <item x="747"/>
        <item x="722"/>
        <item x="93"/>
        <item x="438"/>
        <item x="686"/>
        <item x="238"/>
        <item x="1352"/>
        <item x="139"/>
        <item x="1191"/>
        <item x="490"/>
        <item x="1272"/>
        <item x="1532"/>
        <item x="706"/>
        <item x="1432"/>
        <item x="788"/>
        <item x="128"/>
        <item x="1297"/>
        <item x="852"/>
        <item x="1013"/>
        <item x="267"/>
        <item x="892"/>
        <item x="1324"/>
        <item x="94"/>
        <item x="538"/>
        <item x="857"/>
        <item x="663"/>
        <item x="97"/>
        <item x="121"/>
        <item x="1241"/>
        <item x="1514"/>
        <item x="183"/>
        <item x="171"/>
        <item x="913"/>
        <item x="1666"/>
        <item x="914"/>
        <item x="1388"/>
        <item x="839"/>
        <item x="637"/>
        <item x="330"/>
        <item x="1696"/>
        <item x="88"/>
        <item x="1296"/>
        <item x="1"/>
        <item x="375"/>
        <item x="915"/>
        <item x="704"/>
        <item x="1234"/>
        <item x="329"/>
        <item x="311"/>
        <item x="182"/>
        <item x="458"/>
        <item x="1466"/>
        <item x="1651"/>
        <item x="1685"/>
        <item x="707"/>
        <item x="863"/>
        <item x="1050"/>
        <item x="1473"/>
        <item x="916"/>
        <item x="44"/>
        <item x="1222"/>
        <item x="1278"/>
        <item x="1724"/>
        <item x="917"/>
        <item x="880"/>
        <item x="1639"/>
        <item x="1337"/>
        <item x="822"/>
        <item x="1268"/>
        <item x="607"/>
        <item x="1198"/>
        <item x="1230"/>
        <item x="918"/>
        <item x="1613"/>
        <item x="64"/>
        <item x="261"/>
        <item x="1405"/>
        <item x="1267"/>
        <item x="1438"/>
        <item x="919"/>
        <item x="1442"/>
        <item x="1090"/>
        <item x="879"/>
        <item x="1031"/>
        <item x="702"/>
        <item x="1633"/>
        <item x="1051"/>
        <item x="1104"/>
        <item x="1684"/>
        <item x="1433"/>
        <item x="920"/>
        <item x="1402"/>
        <item x="762"/>
        <item x="1138"/>
        <item x="793"/>
        <item x="1242"/>
        <item x="33"/>
        <item x="1582"/>
        <item x="1508"/>
        <item x="1196"/>
        <item x="786"/>
        <item x="496"/>
        <item x="1027"/>
        <item x="1149"/>
        <item x="1330"/>
        <item x="1600"/>
        <item x="1400"/>
        <item x="1258"/>
        <item x="1591"/>
        <item x="127"/>
        <item x="1482"/>
        <item x="89"/>
        <item x="290"/>
        <item x="225"/>
        <item x="1143"/>
        <item x="649"/>
        <item x="887"/>
        <item x="1231"/>
        <item x="170"/>
        <item x="1034"/>
        <item x="763"/>
        <item x="443"/>
        <item x="51"/>
        <item x="1485"/>
        <item x="26"/>
        <item x="191"/>
        <item x="1380"/>
        <item x="1635"/>
        <item x="1394"/>
        <item x="45"/>
        <item x="921"/>
        <item x="511"/>
        <item x="922"/>
        <item x="1178"/>
        <item x="280"/>
        <item x="1287"/>
        <item x="759"/>
        <item x="459"/>
        <item x="1447"/>
        <item x="1459"/>
        <item x="983"/>
        <item x="417"/>
        <item x="1730"/>
        <item x="823"/>
        <item x="1304"/>
        <item x="219"/>
        <item x="840"/>
        <item x="345"/>
        <item x="1265"/>
        <item x="532"/>
        <item x="407"/>
        <item x="332"/>
        <item x="923"/>
        <item x="678"/>
        <item x="789"/>
        <item x="232"/>
        <item x="1440"/>
        <item x="1625"/>
        <item x="1378"/>
        <item x="1339"/>
        <item x="1334"/>
        <item x="639"/>
        <item x="1457"/>
        <item x="1010"/>
        <item x="251"/>
        <item x="1711"/>
        <item x="924"/>
        <item x="268"/>
        <item x="221"/>
        <item x="749"/>
        <item x="633"/>
        <item x="593"/>
        <item x="1369"/>
        <item x="487"/>
        <item x="192"/>
        <item x="925"/>
        <item x="77"/>
        <item x="1052"/>
        <item x="1546"/>
        <item x="151"/>
        <item x="1260"/>
        <item x="112"/>
        <item x="1512"/>
        <item x="1355"/>
        <item x="144"/>
        <item x="148"/>
        <item x="1284"/>
        <item x="420"/>
        <item x="1564"/>
        <item x="1028"/>
        <item x="400"/>
        <item x="622"/>
        <item x="1362"/>
        <item x="213"/>
        <item x="1706"/>
        <item x="1469"/>
        <item x="598"/>
        <item x="1053"/>
        <item x="926"/>
        <item x="588"/>
        <item x="46"/>
        <item x="175"/>
        <item x="358"/>
        <item x="1155"/>
        <item x="1451"/>
        <item x="404"/>
        <item x="380"/>
        <item x="1054"/>
        <item x="1139"/>
        <item x="847"/>
        <item x="145"/>
        <item x="223"/>
        <item x="360"/>
        <item x="893"/>
        <item x="772"/>
        <item x="316"/>
        <item x="314"/>
        <item x="1664"/>
        <item x="494"/>
        <item x="1360"/>
        <item x="228"/>
        <item x="1614"/>
        <item x="927"/>
        <item x="109"/>
        <item x="1004"/>
        <item x="313"/>
        <item x="409"/>
        <item x="1021"/>
        <item x="1570"/>
        <item x="422"/>
        <item x="61"/>
        <item x="1587"/>
        <item x="744"/>
        <item x="1055"/>
        <item x="841"/>
        <item x="1595"/>
        <item x="1009"/>
        <item x="1299"/>
        <item x="68"/>
        <item x="1016"/>
        <item x="442"/>
        <item x="1093"/>
        <item x="1092"/>
        <item x="1005"/>
        <item x="95"/>
        <item x="69"/>
        <item x="928"/>
        <item x="929"/>
        <item x="1174"/>
        <item x="1398"/>
        <item x="1293"/>
        <item x="563"/>
        <item x="1425"/>
        <item x="760"/>
        <item x="1381"/>
        <item x="1244"/>
        <item x="384"/>
        <item x="36"/>
        <item x="1375"/>
        <item x="1212"/>
        <item x="670"/>
        <item x="1574"/>
        <item x="604"/>
        <item x="12"/>
        <item x="473"/>
        <item x="1529"/>
        <item x="259"/>
        <item x="1269"/>
        <item x="987"/>
        <item x="475"/>
        <item x="817"/>
        <item x="190"/>
        <item x="1537"/>
        <item x="712"/>
        <item x="1505"/>
        <item x="800"/>
        <item x="985"/>
        <item x="1107"/>
        <item x="1322"/>
        <item x="1343"/>
        <item x="1628"/>
        <item x="650"/>
        <item x="1302"/>
        <item x="1170"/>
        <item x="1333"/>
        <item x="1184"/>
        <item x="1105"/>
        <item x="1510"/>
        <item x="1690"/>
        <item x="1555"/>
        <item x="1290"/>
        <item x="297"/>
        <item x="1660"/>
        <item x="513"/>
        <item x="889"/>
        <item x="1647"/>
        <item x="930"/>
        <item x="176"/>
        <item x="131"/>
        <item x="608"/>
        <item x="931"/>
        <item x="814"/>
        <item x="480"/>
        <item x="1321"/>
        <item x="770"/>
        <item x="83"/>
        <item x="1693"/>
        <item x="394"/>
        <item x="1455"/>
        <item x="1722"/>
        <item x="1103"/>
        <item x="1318"/>
        <item x="1542"/>
        <item x="1474"/>
        <item x="1372"/>
        <item x="1500"/>
        <item x="465"/>
        <item x="368"/>
        <item x="932"/>
        <item x="1727"/>
        <item x="1085"/>
        <item x="230"/>
        <item x="1471"/>
        <item x="602"/>
        <item x="585"/>
        <item x="1156"/>
        <item x="629"/>
        <item x="1713"/>
        <item x="783"/>
        <item x="679"/>
        <item x="1264"/>
        <item x="468"/>
        <item x="1056"/>
        <item x="735"/>
        <item x="134"/>
        <item x="1146"/>
        <item x="886"/>
        <item x="239"/>
        <item x="720"/>
        <item x="1674"/>
        <item x="1366"/>
        <item x="664"/>
        <item x="1672"/>
        <item x="933"/>
        <item x="159"/>
        <item x="1312"/>
        <item x="1140"/>
        <item x="1327"/>
        <item x="1150"/>
        <item x="934"/>
        <item x="1465"/>
        <item x="935"/>
        <item x="246"/>
        <item x="936"/>
        <item x="1699"/>
        <item x="462"/>
        <item x="680"/>
        <item x="1585"/>
        <item x="1662"/>
        <item x="1329"/>
        <item x="1709"/>
        <item x="495"/>
        <item x="937"/>
        <item x="1101"/>
        <item x="503"/>
        <item x="294"/>
        <item x="335"/>
        <item x="107"/>
        <item x="630"/>
        <item x="938"/>
        <item x="466"/>
        <item x="135"/>
        <item x="1128"/>
        <item x="540"/>
        <item x="939"/>
        <item x="804"/>
        <item x="1316"/>
        <item x="940"/>
        <item x="155"/>
        <item x="1462"/>
        <item x="1423"/>
        <item x="414"/>
        <item x="941"/>
        <item x="1029"/>
        <item x="470"/>
        <item x="1147"/>
        <item x="1437"/>
        <item x="1325"/>
        <item x="70"/>
        <item x="1219"/>
        <item x="1450"/>
        <item x="1610"/>
        <item x="1543"/>
        <item x="177"/>
        <item x="942"/>
        <item x="245"/>
        <item x="84"/>
        <item x="1396"/>
        <item x="984"/>
        <item x="573"/>
        <item x="833"/>
        <item x="1551"/>
        <item x="1710"/>
        <item x="1025"/>
        <item x="873"/>
        <item x="853"/>
        <item x="1014"/>
        <item x="1166"/>
        <item x="1683"/>
        <item x="47"/>
        <item x="943"/>
        <item x="1165"/>
        <item x="412"/>
        <item x="1214"/>
        <item x="801"/>
        <item x="178"/>
        <item x="452"/>
        <item x="1675"/>
        <item x="550"/>
        <item x="1681"/>
        <item x="1276"/>
        <item x="198"/>
        <item x="1340"/>
        <item x="944"/>
        <item x="1171"/>
        <item x="1622"/>
        <item x="1461"/>
        <item x="393"/>
        <item x="681"/>
        <item x="574"/>
        <item x="614"/>
        <item x="1095"/>
        <item x="120"/>
        <item x="234"/>
        <item x="1279"/>
        <item x="446"/>
        <item x="520"/>
        <item x="993"/>
        <item x="203"/>
        <item x="287"/>
        <item x="842"/>
        <item x="717"/>
        <item x="1300"/>
        <item x="529"/>
        <item x="1204"/>
        <item x="1057"/>
        <item x="463"/>
        <item x="270"/>
        <item x="1342"/>
        <item x="1122"/>
        <item x="1519"/>
        <item x="727"/>
        <item x="634"/>
        <item x="1530"/>
        <item x="1417"/>
        <item x="1119"/>
        <item x="405"/>
        <item x="62"/>
        <item x="687"/>
        <item x="235"/>
        <item x="90"/>
        <item x="854"/>
        <item x="945"/>
        <item x="1353"/>
        <item x="675"/>
        <item x="1306"/>
        <item x="758"/>
        <item x="1023"/>
        <item x="631"/>
        <item x="1377"/>
        <item x="52"/>
        <item x="104"/>
        <item x="1520"/>
        <item x="1243"/>
        <item x="864"/>
        <item x="416"/>
        <item x="353"/>
        <item x="1456"/>
        <item x="946"/>
        <item x="1449"/>
        <item x="486"/>
        <item x="1058"/>
        <item x="379"/>
        <item x="124"/>
        <item x="1561"/>
        <item x="110"/>
        <item x="179"/>
        <item x="644"/>
        <item x="589"/>
        <item x="1621"/>
        <item x="40"/>
        <item x="876"/>
        <item x="947"/>
        <item x="1274"/>
        <item x="116"/>
        <item x="1079"/>
        <item x="1426"/>
        <item x="1631"/>
        <item x="323"/>
        <item x="1589"/>
        <item x="764"/>
        <item x="948"/>
        <item x="305"/>
        <item x="732"/>
        <item x="632"/>
        <item x="13"/>
        <item x="217"/>
        <item x="1083"/>
        <item x="479"/>
        <item x="205"/>
        <item x="656"/>
        <item x="1448"/>
        <item x="949"/>
        <item x="85"/>
        <item x="1606"/>
        <item x="1288"/>
        <item x="1691"/>
        <item x="1224"/>
        <item x="824"/>
        <item x="1434"/>
        <item x="595"/>
        <item x="1008"/>
        <item x="855"/>
        <item x="848"/>
        <item x="523"/>
        <item x="20"/>
        <item x="979"/>
        <item x="484"/>
        <item x="950"/>
        <item x="578"/>
        <item x="1059"/>
        <item x="551"/>
        <item x="549"/>
        <item x="530"/>
        <item x="372"/>
        <item x="1271"/>
        <item x="1159"/>
        <item x="507"/>
        <item x="989"/>
        <item x="694"/>
        <item x="780"/>
        <item x="1653"/>
        <item x="1554"/>
        <item x="138"/>
        <item x="1081"/>
        <item x="951"/>
        <item x="1283"/>
        <item x="741"/>
        <item x="609"/>
        <item x="242"/>
        <item x="1060"/>
        <item x="366"/>
        <item x="172"/>
        <item x="157"/>
        <item x="1411"/>
        <item x="1612"/>
        <item x="1468"/>
        <item x="1583"/>
        <item x="834"/>
        <item x="451"/>
        <item x="253"/>
        <item x="1189"/>
        <item x="53"/>
        <item x="403"/>
        <item x="1524"/>
        <item x="615"/>
        <item x="1120"/>
        <item x="454"/>
        <item x="71"/>
        <item x="1705"/>
        <item x="695"/>
        <item x="1539"/>
        <item x="1240"/>
        <item x="276"/>
        <item x="339"/>
        <item x="716"/>
        <item x="1285"/>
        <item x="1061"/>
        <item x="165"/>
        <item x="143"/>
        <item x="331"/>
        <item x="742"/>
        <item x="657"/>
        <item x="98"/>
        <item x="696"/>
        <item x="304"/>
        <item x="597"/>
        <item x="1592"/>
        <item x="25"/>
        <item x="413"/>
        <item x="1409"/>
        <item x="1062"/>
        <item x="354"/>
        <item x="229"/>
        <item x="1697"/>
        <item x="65"/>
        <item x="399"/>
        <item x="1088"/>
        <item x="512"/>
        <item x="30"/>
        <item x="289"/>
        <item x="611"/>
        <item x="1261"/>
        <item x="809"/>
        <item x="505"/>
        <item x="369"/>
        <item x="1315"/>
        <item x="256"/>
        <item x="1547"/>
        <item x="187"/>
        <item x="460"/>
        <item x="691"/>
        <item x="1548"/>
        <item x="1460"/>
        <item x="1609"/>
        <item x="1084"/>
        <item x="1359"/>
        <item x="237"/>
        <item x="1528"/>
        <item x="48"/>
        <item x="1203"/>
        <item x="999"/>
        <item x="1237"/>
        <item x="777"/>
        <item x="1626"/>
        <item x="434"/>
        <item x="362"/>
        <item x="603"/>
        <item x="1374"/>
        <item x="1502"/>
        <item x="364"/>
        <item x="1550"/>
        <item x="1350"/>
        <item x="815"/>
        <item x="0"/>
        <item x="870"/>
        <item x="524"/>
        <item x="1263"/>
        <item x="665"/>
        <item x="666"/>
        <item x="518"/>
        <item x="860"/>
        <item x="1137"/>
        <item x="264"/>
        <item x="980"/>
        <item x="1673"/>
        <item x="725"/>
        <item x="750"/>
        <item x="396"/>
        <item x="1202"/>
        <item x="386"/>
        <item x="336"/>
        <item x="301"/>
        <item x="308"/>
        <item x="952"/>
        <item x="623"/>
        <item x="525"/>
        <item x="429"/>
        <item x="343"/>
        <item x="108"/>
        <item x="1182"/>
        <item x="953"/>
        <item x="733"/>
        <item x="471"/>
        <item x="346"/>
        <item x="114"/>
        <item x="1108"/>
        <item x="1721"/>
        <item x="500"/>
        <item x="361"/>
        <item x="756"/>
        <item x="658"/>
        <item x="856"/>
        <item x="1317"/>
        <item x="835"/>
        <item x="54"/>
        <item x="1712"/>
        <item x="1338"/>
        <item x="794"/>
        <item x="385"/>
        <item x="897"/>
        <item x="954"/>
        <item x="1358"/>
        <item x="955"/>
        <item x="136"/>
        <item x="1195"/>
        <item x="21"/>
        <item x="995"/>
        <item x="956"/>
        <item x="568"/>
        <item x="1494"/>
        <item x="150"/>
        <item x="1175"/>
        <item x="401"/>
        <item x="699"/>
        <item x="455"/>
        <item x="1063"/>
        <item x="1152"/>
        <item x="1533"/>
        <item x="1648"/>
        <item x="556"/>
        <item x="773"/>
        <item x="464"/>
        <item x="546"/>
        <item x="874"/>
        <item x="1454"/>
        <item x="605"/>
        <item x="1576"/>
        <item x="1373"/>
        <item x="1572"/>
        <item x="1596"/>
        <item x="1397"/>
        <item x="1556"/>
        <item x="1064"/>
        <item x="896"/>
        <item x="982"/>
        <item x="437"/>
        <item x="1412"/>
        <item x="410"/>
        <item x="445"/>
        <item x="575"/>
        <item x="80"/>
        <item x="610"/>
        <item x="173"/>
        <item x="31"/>
        <item x="828"/>
        <item x="1608"/>
        <item x="122"/>
        <item x="836"/>
        <item x="635"/>
        <item x="1266"/>
        <item x="726"/>
        <item x="482"/>
        <item x="231"/>
        <item x="421"/>
        <item x="347"/>
        <item x="99"/>
        <item x="1575"/>
        <item x="1206"/>
        <item x="697"/>
        <item x="224"/>
        <item x="444"/>
        <item x="72"/>
        <item x="160"/>
        <item x="671"/>
        <item x="1688"/>
        <item x="1190"/>
        <item x="34"/>
        <item x="810"/>
        <item x="596"/>
        <item x="340"/>
        <item x="659"/>
        <item x="1413"/>
        <item x="599"/>
        <item x="957"/>
        <item x="424"/>
        <item x="1695"/>
        <item x="958"/>
        <item x="1368"/>
        <item x="774"/>
        <item x="1307"/>
        <item x="771"/>
        <item x="1393"/>
        <item x="1328"/>
        <item x="1257"/>
        <item x="249"/>
        <item x="436"/>
        <item x="562"/>
        <item x="730"/>
        <item x="959"/>
        <item x="536"/>
        <item x="1593"/>
        <item x="356"/>
        <item x="1629"/>
        <item x="858"/>
        <item x="1669"/>
        <item x="988"/>
        <item x="1522"/>
        <item x="81"/>
        <item x="341"/>
        <item x="1197"/>
        <item x="415"/>
        <item x="105"/>
        <item x="647"/>
        <item x="579"/>
        <item x="739"/>
        <item x="488"/>
        <item x="180"/>
        <item x="1097"/>
        <item x="1319"/>
        <item x="560"/>
        <item x="14"/>
        <item x="1098"/>
        <item x="147"/>
        <item x="572"/>
        <item x="899"/>
        <item x="960"/>
        <item x="1361"/>
        <item x="1111"/>
        <item x="1286"/>
        <item x="1719"/>
        <item x="1441"/>
        <item x="211"/>
        <item x="576"/>
        <item x="382"/>
        <item x="310"/>
        <item x="811"/>
        <item x="1123"/>
        <item x="115"/>
        <item x="428"/>
        <item x="645"/>
        <item x="1256"/>
        <item x="884"/>
        <item x="164"/>
        <item x="1209"/>
        <item x="1634"/>
        <item x="1270"/>
        <item x="651"/>
        <item x="309"/>
        <item x="1661"/>
        <item x="1188"/>
        <item x="478"/>
        <item x="1065"/>
        <item x="594"/>
        <item x="286"/>
        <item x="1516"/>
        <item x="1129"/>
        <item x="1581"/>
        <item x="257"/>
        <item x="877"/>
        <item x="748"/>
        <item x="333"/>
        <item x="1518"/>
        <item x="1536"/>
        <item x="559"/>
        <item x="1604"/>
        <item x="59"/>
        <item x="359"/>
        <item x="898"/>
        <item x="1650"/>
        <item x="184"/>
        <item x="450"/>
        <item x="558"/>
        <item x="365"/>
        <item x="1407"/>
        <item x="795"/>
        <item x="1289"/>
        <item x="1487"/>
        <item x="248"/>
        <item x="1493"/>
        <item x="489"/>
        <item x="209"/>
        <item x="1477"/>
        <item x="961"/>
        <item x="1618"/>
        <item x="206"/>
        <item x="881"/>
        <item x="1066"/>
        <item x="723"/>
        <item x="1157"/>
        <item x="869"/>
        <item x="990"/>
        <item x="829"/>
        <item x="1364"/>
        <item x="274"/>
        <item x="1687"/>
        <item x="640"/>
        <item x="996"/>
        <item x="1067"/>
        <item x="612"/>
        <item x="1414"/>
        <item x="1179"/>
        <item x="1210"/>
        <item x="1492"/>
        <item x="22"/>
        <item x="113"/>
        <item x="765"/>
        <item x="426"/>
        <item x="698"/>
        <item x="1367"/>
        <item x="292"/>
        <item x="533"/>
        <item x="431"/>
        <item x="247"/>
        <item x="285"/>
        <item x="1408"/>
        <item x="174"/>
        <item x="625"/>
        <item x="55"/>
        <item x="435"/>
        <item x="1729"/>
        <item x="1002"/>
        <item x="1535"/>
        <item x="456"/>
        <item x="1463"/>
        <item x="73"/>
        <item x="210"/>
        <item x="1617"/>
        <item x="708"/>
        <item x="1221"/>
        <item x="78"/>
        <item x="962"/>
        <item x="516"/>
        <item x="474"/>
        <item x="377"/>
        <item x="293"/>
        <item x="1399"/>
        <item x="1667"/>
        <item x="963"/>
        <item x="1134"/>
        <item x="1723"/>
        <item x="236"/>
        <item x="1566"/>
        <item x="1619"/>
        <item x="397"/>
        <item x="1483"/>
        <item x="1068"/>
        <item x="1332"/>
        <item x="119"/>
        <item x="207"/>
        <item x="342"/>
        <item x="74"/>
        <item x="790"/>
        <item x="805"/>
        <item x="565"/>
        <item x="118"/>
        <item x="106"/>
        <item x="964"/>
        <item x="703"/>
        <item x="439"/>
        <item x="2"/>
        <item x="96"/>
        <item x="283"/>
        <item x="806"/>
        <item x="812"/>
        <item x="1431"/>
        <item x="1553"/>
        <item x="27"/>
        <item x="1642"/>
        <item x="240"/>
        <item x="1365"/>
        <item x="1273"/>
        <item x="126"/>
        <item x="885"/>
        <item x="1017"/>
        <item x="1311"/>
        <item x="133"/>
        <item x="965"/>
        <item x="1715"/>
        <item x="636"/>
        <item x="1336"/>
        <item x="1069"/>
        <item x="1292"/>
        <item x="140"/>
        <item x="837"/>
        <item x="387"/>
        <item x="1181"/>
        <item x="472"/>
        <item x="900"/>
        <item x="849"/>
        <item x="1144"/>
        <item x="1020"/>
        <item x="1109"/>
        <item x="1607"/>
        <item x="882"/>
        <item x="262"/>
        <item x="1281"/>
        <item x="1320"/>
        <item x="1657"/>
        <item x="1303"/>
        <item x="7"/>
        <item x="1523"/>
        <item x="966"/>
        <item x="75"/>
        <item x="567"/>
        <item x="700"/>
        <item x="453"/>
        <item x="1401"/>
        <item x="830"/>
        <item x="1682"/>
        <item x="23"/>
        <item x="646"/>
        <item x="1070"/>
        <item x="734"/>
        <item x="1598"/>
        <item x="1130"/>
        <item x="318"/>
        <item x="1246"/>
        <item x="838"/>
        <item x="269"/>
        <item x="1199"/>
        <item x="813"/>
        <item x="1406"/>
        <item x="542"/>
        <item x="1495"/>
        <item x="66"/>
        <item x="1247"/>
        <item x="600"/>
        <item x="676"/>
        <item x="321"/>
        <item x="1298"/>
        <item x="1124"/>
        <item x="843"/>
        <item x="1594"/>
        <item x="1569"/>
        <item x="1167"/>
        <item x="87"/>
        <item x="587"/>
        <item x="566"/>
        <item x="547"/>
        <item x="1160"/>
        <item x="8"/>
        <item x="338"/>
        <item x="1490"/>
        <item x="1481"/>
        <item x="1102"/>
        <item x="3"/>
        <item x="517"/>
        <item x="1476"/>
        <item x="1601"/>
        <item x="641"/>
        <item x="667"/>
        <item x="1531"/>
        <item x="967"/>
        <item x="1185"/>
        <item x="100"/>
        <item x="153"/>
        <item x="1259"/>
        <item x="1655"/>
        <item x="299"/>
        <item x="1597"/>
        <item x="1071"/>
        <item x="181"/>
        <item x="531"/>
        <item x="125"/>
        <item x="502"/>
        <item x="1579"/>
        <item x="1638"/>
        <item x="584"/>
        <item x="968"/>
        <item x="24"/>
        <item x="1708"/>
        <item x="142"/>
        <item x="616"/>
        <item x="1515"/>
        <item x="1640"/>
        <item x="969"/>
        <item x="1072"/>
        <item x="865"/>
        <item x="1387"/>
        <item x="1331"/>
        <item x="56"/>
        <item x="713"/>
        <item x="672"/>
        <item x="537"/>
        <item x="1180"/>
        <item x="491"/>
        <item x="970"/>
        <item x="1479"/>
        <item x="1161"/>
        <item x="1540"/>
        <item x="971"/>
        <item x="35"/>
        <item x="1125"/>
        <item x="260"/>
        <item x="1236"/>
        <item x="1126"/>
        <item x="383"/>
        <item x="402"/>
        <item x="1168"/>
        <item x="275"/>
        <item x="167"/>
        <item x="1183"/>
        <item x="1346"/>
        <item x="1073"/>
        <item x="1074"/>
        <item x="1106"/>
        <item x="617"/>
        <item x="1239"/>
        <item x="1649"/>
        <item x="1345"/>
        <item x="406"/>
        <item x="162"/>
        <item x="1075"/>
        <item x="787"/>
        <item x="844"/>
        <item x="1235"/>
        <item x="1076"/>
        <item x="483"/>
        <item x="1228"/>
        <item x="1186"/>
        <item x="441"/>
        <item x="498"/>
        <item x="1420"/>
        <item x="1545"/>
        <item x="972"/>
        <item x="373"/>
        <item x="370"/>
        <item x="506"/>
        <item x="527"/>
        <item x="319"/>
        <item x="1586"/>
        <item x="76"/>
        <item x="709"/>
        <item x="1001"/>
        <item x="1627"/>
        <item x="101"/>
        <item x="522"/>
        <item x="1131"/>
        <item x="216"/>
        <item x="791"/>
        <item x="1086"/>
        <item x="1446"/>
        <item x="485"/>
        <item x="218"/>
        <item x="1517"/>
        <item x="807"/>
        <item x="244"/>
        <item x="737"/>
        <item x="322"/>
        <item x="328"/>
        <item x="1384"/>
        <item x="1370"/>
        <item x="325"/>
        <item x="1558"/>
        <item x="392"/>
        <item x="745"/>
        <item x="272"/>
        <item x="871"/>
        <item x="1444"/>
        <item x="432"/>
        <item x="1538"/>
        <item x="1232"/>
        <item x="208"/>
        <item x="1577"/>
        <item x="1162"/>
        <item x="57"/>
        <item x="1563"/>
        <item x="1559"/>
        <item x="1038"/>
        <item x="1637"/>
        <item x="682"/>
        <item x="1507"/>
        <item x="973"/>
        <item x="552"/>
        <item x="186"/>
        <item x="831"/>
        <item x="1599"/>
        <item x="86"/>
        <item x="626"/>
        <item x="255"/>
        <item x="1686"/>
        <item x="461"/>
        <item x="766"/>
        <item x="974"/>
        <item x="194"/>
        <item x="845"/>
        <item x="975"/>
        <item x="719"/>
        <item x="1275"/>
        <item x="781"/>
        <item x="668"/>
        <item x="295"/>
        <item x="825"/>
        <item x="376"/>
        <item x="808"/>
        <item x="351"/>
        <item x="688"/>
        <item x="767"/>
        <item x="363"/>
        <item x="1115"/>
        <item x="1726"/>
        <item x="1121"/>
        <item x="1132"/>
        <item x="1193"/>
        <item x="1472"/>
        <item x="1521"/>
        <item x="41"/>
        <item x="154"/>
        <item x="618"/>
        <item x="215"/>
        <item x="508"/>
        <item x="1192"/>
        <item x="79"/>
        <item x="976"/>
        <item x="1427"/>
        <item x="1464"/>
        <item x="1403"/>
        <item x="1349"/>
        <item x="1117"/>
        <item x="606"/>
        <item x="561"/>
        <item x="564"/>
        <item x="291"/>
        <item x="1383"/>
        <item x="398"/>
        <item x="872"/>
        <item x="273"/>
        <item x="312"/>
        <item x="977"/>
        <item x="714"/>
        <item x="102"/>
        <item x="1112"/>
        <item x="1169"/>
        <item x="352"/>
        <item x="481"/>
        <item x="1294"/>
        <item x="1158"/>
        <item x="344"/>
        <item x="757"/>
        <item x="141"/>
        <item x="510"/>
        <item x="1226"/>
        <item x="302"/>
        <item x="425"/>
        <item x="226"/>
        <item x="1177"/>
        <item x="1488"/>
        <item x="1015"/>
        <item x="1116"/>
        <item x="673"/>
        <item x="539"/>
        <item x="710"/>
        <item x="1011"/>
        <item x="1620"/>
        <item x="1478"/>
        <item x="619"/>
        <item x="642"/>
        <item x="1496"/>
        <item x="978"/>
        <item x="1534"/>
        <item x="692"/>
        <item x="123"/>
        <item x="1676"/>
        <item x="1077"/>
        <item x="1100"/>
        <item x="1078"/>
        <item t="default"/>
      </items>
    </pivotField>
    <pivotField name="NUM AUDIFONOS" dataField="1" compact="0" outline="0" multipleItemSelectionAllowed="1" showAll="0">
      <items count="7">
        <item x="0"/>
        <item x="1"/>
        <item x="2"/>
        <item x="3"/>
        <item x="4"/>
        <item x="5"/>
        <item t="default"/>
      </items>
    </pivotField>
    <pivotField name="TOTAL AUDIFONOS SIN IVA" dataField="1" compact="0" numFmtId="2" outline="0" multipleItemSelectionAllowed="1" showAll="0">
      <items count="3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t="default"/>
      </items>
    </pivotField>
    <pivotField name="CANAL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name="SUBCANAL" compact="0" outline="0" multipleItemSelectionAllowed="1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NOMBRE ORL/CAMPAÑA" axis="axisRow" compact="0" outline="0" multipleItemSelectionAllowed="1" showAll="0" sortType="ascending">
      <items count="432">
        <item x="430"/>
        <item x="124"/>
        <item x="308"/>
        <item x="36"/>
        <item x="8"/>
        <item x="66"/>
        <item x="55"/>
        <item x="38"/>
        <item x="139"/>
        <item x="392"/>
        <item x="416"/>
        <item x="338"/>
        <item x="316"/>
        <item x="388"/>
        <item x="107"/>
        <item x="122"/>
        <item x="3"/>
        <item x="269"/>
        <item x="311"/>
        <item x="33"/>
        <item x="195"/>
        <item x="75"/>
        <item x="328"/>
        <item x="85"/>
        <item x="79"/>
        <item x="31"/>
        <item x="426"/>
        <item x="393"/>
        <item x="59"/>
        <item x="359"/>
        <item x="113"/>
        <item x="190"/>
        <item x="370"/>
        <item x="346"/>
        <item x="227"/>
        <item x="300"/>
        <item x="30"/>
        <item x="400"/>
        <item x="188"/>
        <item x="62"/>
        <item x="309"/>
        <item x="213"/>
        <item x="360"/>
        <item x="163"/>
        <item x="58"/>
        <item x="186"/>
        <item x="315"/>
        <item x="243"/>
        <item x="241"/>
        <item x="322"/>
        <item x="314"/>
        <item x="320"/>
        <item x="120"/>
        <item x="54"/>
        <item x="290"/>
        <item x="220"/>
        <item x="16"/>
        <item x="94"/>
        <item x="387"/>
        <item x="166"/>
        <item x="284"/>
        <item x="101"/>
        <item x="189"/>
        <item x="151"/>
        <item x="28"/>
        <item x="7"/>
        <item x="218"/>
        <item x="423"/>
        <item x="217"/>
        <item x="133"/>
        <item x="371"/>
        <item x="381"/>
        <item x="22"/>
        <item x="136"/>
        <item x="276"/>
        <item x="396"/>
        <item x="362"/>
        <item x="56"/>
        <item x="231"/>
        <item x="103"/>
        <item x="29"/>
        <item x="418"/>
        <item x="95"/>
        <item x="105"/>
        <item x="326"/>
        <item x="108"/>
        <item x="299"/>
        <item x="100"/>
        <item x="129"/>
        <item x="324"/>
        <item x="125"/>
        <item x="161"/>
        <item x="397"/>
        <item x="132"/>
        <item x="238"/>
        <item x="297"/>
        <item x="258"/>
        <item x="41"/>
        <item x="81"/>
        <item x="42"/>
        <item x="352"/>
        <item x="298"/>
        <item x="336"/>
        <item x="72"/>
        <item x="376"/>
        <item x="414"/>
        <item x="361"/>
        <item x="158"/>
        <item x="302"/>
        <item x="242"/>
        <item x="60"/>
        <item x="313"/>
        <item x="197"/>
        <item x="162"/>
        <item x="356"/>
        <item x="27"/>
        <item x="87"/>
        <item x="2"/>
        <item x="246"/>
        <item x="221"/>
        <item x="259"/>
        <item x="130"/>
        <item x="260"/>
        <item x="185"/>
        <item x="67"/>
        <item x="146"/>
        <item x="61"/>
        <item x="148"/>
        <item x="44"/>
        <item x="21"/>
        <item x="104"/>
        <item x="17"/>
        <item x="332"/>
        <item x="212"/>
        <item x="35"/>
        <item x="127"/>
        <item x="194"/>
        <item x="208"/>
        <item x="102"/>
        <item x="306"/>
        <item x="156"/>
        <item x="91"/>
        <item x="196"/>
        <item x="160"/>
        <item x="318"/>
        <item x="25"/>
        <item x="32"/>
        <item x="63"/>
        <item x="88"/>
        <item x="382"/>
        <item x="114"/>
        <item x="403"/>
        <item x="373"/>
        <item x="420"/>
        <item x="46"/>
        <item x="209"/>
        <item x="280"/>
        <item x="14"/>
        <item x="256"/>
        <item x="223"/>
        <item x="287"/>
        <item x="330"/>
        <item x="354"/>
        <item x="191"/>
        <item x="247"/>
        <item x="172"/>
        <item x="289"/>
        <item x="175"/>
        <item x="47"/>
        <item x="275"/>
        <item x="251"/>
        <item x="204"/>
        <item x="19"/>
        <item x="348"/>
        <item x="235"/>
        <item x="68"/>
        <item x="99"/>
        <item x="171"/>
        <item x="96"/>
        <item x="83"/>
        <item x="211"/>
        <item x="406"/>
        <item x="167"/>
        <item x="286"/>
        <item x="69"/>
        <item x="369"/>
        <item x="351"/>
        <item x="76"/>
        <item x="279"/>
        <item x="1"/>
        <item x="379"/>
        <item x="228"/>
        <item x="402"/>
        <item x="168"/>
        <item x="333"/>
        <item x="398"/>
        <item x="147"/>
        <item x="222"/>
        <item x="121"/>
        <item x="109"/>
        <item x="180"/>
        <item x="245"/>
        <item x="177"/>
        <item x="232"/>
        <item x="239"/>
        <item x="262"/>
        <item x="111"/>
        <item x="152"/>
        <item x="233"/>
        <item x="82"/>
        <item x="24"/>
        <item x="250"/>
        <item x="106"/>
        <item x="80"/>
        <item x="216"/>
        <item x="84"/>
        <item x="364"/>
        <item x="205"/>
        <item x="257"/>
        <item x="13"/>
        <item x="201"/>
        <item x="137"/>
        <item x="200"/>
        <item x="117"/>
        <item x="164"/>
        <item x="349"/>
        <item x="50"/>
        <item x="92"/>
        <item x="203"/>
        <item x="265"/>
        <item x="40"/>
        <item x="401"/>
        <item x="409"/>
        <item x="413"/>
        <item x="411"/>
        <item x="412"/>
        <item x="415"/>
        <item x="374"/>
        <item x="86"/>
        <item x="110"/>
        <item x="281"/>
        <item x="277"/>
        <item x="365"/>
        <item x="429"/>
        <item x="199"/>
        <item x="301"/>
        <item x="142"/>
        <item x="37"/>
        <item x="98"/>
        <item x="135"/>
        <item x="53"/>
        <item x="249"/>
        <item x="52"/>
        <item x="143"/>
        <item x="264"/>
        <item x="342"/>
        <item x="206"/>
        <item x="408"/>
        <item x="234"/>
        <item x="207"/>
        <item x="170"/>
        <item x="305"/>
        <item x="34"/>
        <item x="141"/>
        <item x="323"/>
        <item x="144"/>
        <item x="372"/>
        <item x="184"/>
        <item x="327"/>
        <item x="384"/>
        <item x="236"/>
        <item x="18"/>
        <item x="215"/>
        <item x="278"/>
        <item x="353"/>
        <item x="183"/>
        <item x="43"/>
        <item x="131"/>
        <item x="23"/>
        <item x="296"/>
        <item x="73"/>
        <item x="244"/>
        <item x="126"/>
        <item x="15"/>
        <item x="90"/>
        <item x="334"/>
        <item x="266"/>
        <item x="389"/>
        <item x="150"/>
        <item x="368"/>
        <item x="181"/>
        <item x="421"/>
        <item x="219"/>
        <item x="134"/>
        <item x="394"/>
        <item x="115"/>
        <item x="10"/>
        <item x="419"/>
        <item x="202"/>
        <item x="225"/>
        <item x="404"/>
        <item x="226"/>
        <item x="255"/>
        <item x="26"/>
        <item x="319"/>
        <item x="386"/>
        <item x="427"/>
        <item x="304"/>
        <item x="187"/>
        <item x="6"/>
        <item x="428"/>
        <item x="112"/>
        <item x="89"/>
        <item x="93"/>
        <item x="4"/>
        <item x="291"/>
        <item x="294"/>
        <item x="140"/>
        <item x="230"/>
        <item x="385"/>
        <item x="11"/>
        <item x="366"/>
        <item x="270"/>
        <item x="145"/>
        <item x="405"/>
        <item x="268"/>
        <item x="198"/>
        <item x="65"/>
        <item x="229"/>
        <item x="292"/>
        <item x="358"/>
        <item x="395"/>
        <item x="383"/>
        <item x="174"/>
        <item x="45"/>
        <item x="214"/>
        <item x="224"/>
        <item x="179"/>
        <item x="283"/>
        <item x="335"/>
        <item x="78"/>
        <item x="337"/>
        <item x="192"/>
        <item x="176"/>
        <item x="254"/>
        <item x="339"/>
        <item x="377"/>
        <item x="355"/>
        <item x="169"/>
        <item x="271"/>
        <item x="123"/>
        <item x="0"/>
        <item x="154"/>
        <item x="240"/>
        <item x="237"/>
        <item x="424"/>
        <item x="165"/>
        <item x="128"/>
        <item x="51"/>
        <item x="425"/>
        <item x="5"/>
        <item x="390"/>
        <item x="344"/>
        <item x="307"/>
        <item x="173"/>
        <item x="367"/>
        <item x="252"/>
        <item x="12"/>
        <item x="282"/>
        <item x="149"/>
        <item x="49"/>
        <item x="193"/>
        <item x="288"/>
        <item x="303"/>
        <item x="350"/>
        <item x="310"/>
        <item x="312"/>
        <item x="178"/>
        <item x="261"/>
        <item x="399"/>
        <item x="159"/>
        <item x="155"/>
        <item x="295"/>
        <item x="74"/>
        <item x="345"/>
        <item x="116"/>
        <item x="363"/>
        <item x="253"/>
        <item x="118"/>
        <item x="57"/>
        <item x="157"/>
        <item x="153"/>
        <item x="248"/>
        <item x="48"/>
        <item x="273"/>
        <item x="340"/>
        <item x="267"/>
        <item x="317"/>
        <item x="210"/>
        <item x="20"/>
        <item x="325"/>
        <item x="293"/>
        <item x="347"/>
        <item x="357"/>
        <item x="70"/>
        <item x="375"/>
        <item x="380"/>
        <item x="77"/>
        <item x="285"/>
        <item x="138"/>
        <item x="321"/>
        <item x="274"/>
        <item x="263"/>
        <item x="343"/>
        <item x="341"/>
        <item x="39"/>
        <item x="407"/>
        <item x="272"/>
        <item x="64"/>
        <item sd="0" x="329"/>
        <item x="182"/>
        <item x="71"/>
        <item x="9"/>
        <item x="378"/>
        <item x="391"/>
        <item x="97"/>
        <item x="331"/>
        <item x="417"/>
        <item sd="0" x="119"/>
        <item x="410"/>
        <item x="422"/>
        <item t="default"/>
      </items>
    </pivotField>
    <pivotField name="NOMBRE VISITADOR" compact="0" outline="0" multipleItemSelectionAllowe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 " compact="0" outline="0" multipleItemSelectionAllowed="1" showAll="0">
      <items count="2">
        <item x="0"/>
        <item t="default"/>
      </items>
    </pivotField>
    <pivotField name=" 2" compact="0" outline="0" multipleItemSelectionAllowed="1" showAll="0">
      <items count="2">
        <item x="0"/>
        <item t="default"/>
      </items>
    </pivotField>
    <pivotField name=" 3" compact="0" outline="0" multipleItemSelectionAllowed="1" showAll="0">
      <items count="2">
        <item x="0"/>
        <item t="default"/>
      </items>
    </pivotField>
  </pivotFields>
  <rowFields count="4">
    <field x="1"/>
    <field x="3"/>
    <field x="13"/>
    <field x="8"/>
  </rowFields>
  <colFields count="1">
    <field x="-2"/>
  </colFields>
  <dataFields count="2">
    <dataField name="SUM of NUM AUDIFONOS" fld="9" baseField="0"/>
    <dataField name="SUM of TOTAL AUDIFONOS SIN IVA" fld="1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2000000}" name="Tabla dinámica 5" cacheId="104" applyNumberFormats="0" applyBorderFormats="0" applyFontFormats="0" applyPatternFormats="0" applyAlignmentFormats="0" applyWidthHeightFormats="0" dataCaption="" compact="0" compactData="0">
  <location ref="A3:D16" firstHeaderRow="0" firstDataRow="3" firstDataCol="0" rowPageCount="1" colPageCount="1"/>
  <pivotFields count="27">
    <pivotField name="ACTUALIZADO A" compact="0" numFmtId="170" outline="0" multipleItemSelectionAllowed="1" showAll="0">
      <items count="3">
        <item x="0"/>
        <item x="1"/>
        <item t="default"/>
      </items>
    </pivotField>
    <pivotField name="AÑO" compact="0" outline="0" multipleItemSelectionAllowed="1" showAll="0">
      <items count="3">
        <item x="0"/>
        <item x="1"/>
        <item t="default"/>
      </items>
    </pivotField>
    <pivotField name="MES" compact="0" outline="0" multipleItemSelectionAllowed="1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RECOMPRA" axis="axisPage" compact="0" outline="0" multipleItemSelectionAllowed="1" showAll="0">
      <items count="4">
        <item x="0"/>
        <item h="1" x="1"/>
        <item x="2"/>
        <item t="default"/>
      </items>
    </pivotField>
    <pivotField name="SUCURSAL" axis="axisRow" compact="0" outline="0" multipleItemSelectionAllowed="1" showAll="0" sortType="ascending">
      <items count="57">
        <item x="55"/>
        <item x="1"/>
        <item sd="0" x="2"/>
        <item x="4"/>
        <item x="41"/>
        <item x="36"/>
        <item x="42"/>
        <item x="5"/>
        <item x="37"/>
        <item sd="0" x="30"/>
        <item x="49"/>
        <item x="45"/>
        <item x="3"/>
        <item sd="0" x="6"/>
        <item sd="0" x="0"/>
        <item x="7"/>
        <item x="8"/>
        <item x="53"/>
        <item x="52"/>
        <item x="39"/>
        <item sd="0" x="9"/>
        <item sd="0" x="35"/>
        <item sd="0" x="10"/>
        <item x="11"/>
        <item sd="0" x="12"/>
        <item sd="0" x="43"/>
        <item sd="0" x="44"/>
        <item sd="0" x="13"/>
        <item sd="0" x="14"/>
        <item sd="0" x="15"/>
        <item sd="0" x="16"/>
        <item sd="0" x="17"/>
        <item sd="0" x="18"/>
        <item x="46"/>
        <item x="19"/>
        <item x="20"/>
        <item sd="0" x="40"/>
        <item x="54"/>
        <item x="29"/>
        <item sd="0" x="31"/>
        <item x="21"/>
        <item x="22"/>
        <item x="38"/>
        <item x="23"/>
        <item sd="0" x="24"/>
        <item x="51"/>
        <item sd="0" x="48"/>
        <item sd="0" x="25"/>
        <item x="26"/>
        <item sd="0" x="27"/>
        <item x="33"/>
        <item x="32"/>
        <item x="50"/>
        <item x="28"/>
        <item sd="0" x="34"/>
        <item sd="0" x="47"/>
        <item t="default"/>
      </items>
    </pivotField>
    <pivotField name="FECHA DE VENTA" compact="0" numFmtId="165" outline="0" multipleItemSelectionAllowed="1" showAll="0">
      <items count="2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t="default"/>
      </items>
    </pivotField>
    <pivotField name="FECHA DE ALTA DE CLIENTE" compact="0" numFmtId="165" outline="0" multipleItemSelectionAllowed="1" showAll="0">
      <items count="3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t="default"/>
      </items>
    </pivotField>
    <pivotField name="Clínica" compact="0" outline="0" multipleItemSelectionAllowed="1" showAll="0">
      <items count="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CÓDIGO DE CLIENTE" compact="0" outline="0" multipleItemSelectionAllowed="1" showAll="0">
      <items count="17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t="default"/>
      </items>
    </pivotField>
    <pivotField name="CLIENTE" compact="0" outline="0" multipleItemSelectionAllowed="1" showAll="0">
      <items count="17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t="default"/>
      </items>
    </pivotField>
    <pivotField name="NUM AUDIFONOS" dataField="1" compact="0" outline="0" multipleItemSelectionAllowed="1" showAll="0">
      <items count="7">
        <item x="0"/>
        <item x="1"/>
        <item x="2"/>
        <item x="3"/>
        <item x="4"/>
        <item x="5"/>
        <item t="default"/>
      </items>
    </pivotField>
    <pivotField name="TOTAL AUDIFONOS SIN IVA" compact="0" numFmtId="2" outline="0" multipleItemSelectionAllowed="1" showAll="0">
      <items count="3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t="default"/>
      </items>
    </pivotField>
    <pivotField name="CANAL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name="SUBCANAL" compact="0" outline="0" multipleItemSelectionAllowed="1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NOMBRE ORL/CAMPAÑA" axis="axisRow" compact="0" outline="0" multipleItemSelectionAllowed="1" showAll="0" sortType="ascending">
      <items count="432">
        <item x="430"/>
        <item x="124"/>
        <item x="308"/>
        <item x="36"/>
        <item x="8"/>
        <item x="66"/>
        <item x="55"/>
        <item x="38"/>
        <item x="139"/>
        <item x="392"/>
        <item x="416"/>
        <item x="338"/>
        <item x="316"/>
        <item x="388"/>
        <item x="107"/>
        <item x="122"/>
        <item x="3"/>
        <item x="269"/>
        <item x="311"/>
        <item x="33"/>
        <item x="195"/>
        <item x="75"/>
        <item x="328"/>
        <item x="85"/>
        <item x="79"/>
        <item x="31"/>
        <item x="426"/>
        <item x="393"/>
        <item x="59"/>
        <item x="359"/>
        <item x="113"/>
        <item x="190"/>
        <item x="370"/>
        <item x="346"/>
        <item x="227"/>
        <item x="300"/>
        <item x="30"/>
        <item x="400"/>
        <item x="188"/>
        <item x="62"/>
        <item x="309"/>
        <item x="213"/>
        <item x="360"/>
        <item x="163"/>
        <item x="58"/>
        <item x="186"/>
        <item x="315"/>
        <item x="243"/>
        <item x="241"/>
        <item x="322"/>
        <item x="314"/>
        <item x="320"/>
        <item x="120"/>
        <item x="54"/>
        <item x="290"/>
        <item x="220"/>
        <item x="16"/>
        <item x="94"/>
        <item x="387"/>
        <item x="166"/>
        <item x="284"/>
        <item x="101"/>
        <item x="189"/>
        <item x="151"/>
        <item x="28"/>
        <item x="7"/>
        <item x="218"/>
        <item x="423"/>
        <item x="217"/>
        <item x="133"/>
        <item x="371"/>
        <item x="381"/>
        <item x="22"/>
        <item x="136"/>
        <item x="276"/>
        <item x="396"/>
        <item x="362"/>
        <item x="56"/>
        <item x="231"/>
        <item x="103"/>
        <item x="29"/>
        <item x="418"/>
        <item x="95"/>
        <item x="105"/>
        <item x="326"/>
        <item x="108"/>
        <item x="299"/>
        <item x="100"/>
        <item x="129"/>
        <item x="324"/>
        <item x="125"/>
        <item x="161"/>
        <item x="397"/>
        <item x="132"/>
        <item x="238"/>
        <item x="297"/>
        <item x="258"/>
        <item x="41"/>
        <item x="81"/>
        <item x="42"/>
        <item x="352"/>
        <item x="298"/>
        <item x="336"/>
        <item x="72"/>
        <item x="376"/>
        <item x="414"/>
        <item x="361"/>
        <item x="158"/>
        <item x="302"/>
        <item x="242"/>
        <item x="60"/>
        <item x="313"/>
        <item x="197"/>
        <item x="162"/>
        <item x="356"/>
        <item x="27"/>
        <item x="87"/>
        <item x="2"/>
        <item x="246"/>
        <item x="221"/>
        <item x="259"/>
        <item x="130"/>
        <item x="260"/>
        <item x="185"/>
        <item x="67"/>
        <item x="146"/>
        <item x="61"/>
        <item x="148"/>
        <item x="44"/>
        <item x="21"/>
        <item x="104"/>
        <item x="17"/>
        <item x="332"/>
        <item x="212"/>
        <item x="35"/>
        <item x="127"/>
        <item x="194"/>
        <item x="208"/>
        <item x="102"/>
        <item x="306"/>
        <item x="156"/>
        <item x="91"/>
        <item x="196"/>
        <item x="160"/>
        <item x="318"/>
        <item x="25"/>
        <item x="32"/>
        <item x="63"/>
        <item x="88"/>
        <item x="382"/>
        <item x="114"/>
        <item x="403"/>
        <item x="373"/>
        <item x="420"/>
        <item x="46"/>
        <item x="209"/>
        <item x="280"/>
        <item x="14"/>
        <item x="256"/>
        <item x="223"/>
        <item x="287"/>
        <item x="330"/>
        <item x="354"/>
        <item x="191"/>
        <item x="247"/>
        <item x="172"/>
        <item x="289"/>
        <item x="175"/>
        <item x="47"/>
        <item x="275"/>
        <item x="251"/>
        <item x="204"/>
        <item x="19"/>
        <item x="348"/>
        <item x="235"/>
        <item x="68"/>
        <item x="99"/>
        <item x="171"/>
        <item x="96"/>
        <item x="83"/>
        <item x="211"/>
        <item x="406"/>
        <item x="167"/>
        <item x="286"/>
        <item x="69"/>
        <item x="369"/>
        <item x="351"/>
        <item x="76"/>
        <item x="279"/>
        <item x="1"/>
        <item x="379"/>
        <item x="228"/>
        <item x="402"/>
        <item x="168"/>
        <item x="333"/>
        <item x="398"/>
        <item x="147"/>
        <item x="222"/>
        <item x="121"/>
        <item x="109"/>
        <item x="180"/>
        <item x="245"/>
        <item x="177"/>
        <item x="232"/>
        <item x="239"/>
        <item x="262"/>
        <item x="111"/>
        <item x="152"/>
        <item x="233"/>
        <item x="82"/>
        <item x="24"/>
        <item x="250"/>
        <item x="106"/>
        <item x="80"/>
        <item x="216"/>
        <item x="84"/>
        <item x="364"/>
        <item x="205"/>
        <item x="257"/>
        <item x="13"/>
        <item x="201"/>
        <item x="137"/>
        <item x="200"/>
        <item x="117"/>
        <item x="164"/>
        <item x="349"/>
        <item x="50"/>
        <item x="92"/>
        <item x="203"/>
        <item x="265"/>
        <item x="40"/>
        <item x="401"/>
        <item x="409"/>
        <item x="413"/>
        <item x="411"/>
        <item x="412"/>
        <item x="415"/>
        <item x="374"/>
        <item x="86"/>
        <item x="110"/>
        <item x="281"/>
        <item x="277"/>
        <item x="365"/>
        <item x="429"/>
        <item x="199"/>
        <item x="301"/>
        <item x="142"/>
        <item x="37"/>
        <item x="98"/>
        <item x="135"/>
        <item x="53"/>
        <item x="249"/>
        <item x="52"/>
        <item x="143"/>
        <item x="264"/>
        <item x="342"/>
        <item x="206"/>
        <item x="408"/>
        <item x="234"/>
        <item x="207"/>
        <item x="170"/>
        <item x="305"/>
        <item x="34"/>
        <item x="141"/>
        <item x="323"/>
        <item x="144"/>
        <item x="372"/>
        <item x="184"/>
        <item x="327"/>
        <item x="384"/>
        <item x="236"/>
        <item x="18"/>
        <item x="215"/>
        <item x="278"/>
        <item x="353"/>
        <item x="183"/>
        <item x="43"/>
        <item x="131"/>
        <item x="23"/>
        <item x="296"/>
        <item x="73"/>
        <item x="244"/>
        <item x="126"/>
        <item x="15"/>
        <item x="90"/>
        <item x="334"/>
        <item x="266"/>
        <item x="389"/>
        <item x="150"/>
        <item x="368"/>
        <item x="181"/>
        <item x="421"/>
        <item x="219"/>
        <item x="134"/>
        <item x="394"/>
        <item x="115"/>
        <item x="10"/>
        <item x="419"/>
        <item x="202"/>
        <item x="225"/>
        <item x="404"/>
        <item x="226"/>
        <item x="255"/>
        <item x="26"/>
        <item x="319"/>
        <item x="386"/>
        <item x="427"/>
        <item x="304"/>
        <item x="187"/>
        <item x="6"/>
        <item x="428"/>
        <item x="112"/>
        <item x="89"/>
        <item x="93"/>
        <item x="4"/>
        <item x="291"/>
        <item x="294"/>
        <item x="140"/>
        <item x="230"/>
        <item x="385"/>
        <item x="11"/>
        <item x="366"/>
        <item x="270"/>
        <item x="145"/>
        <item x="405"/>
        <item x="268"/>
        <item x="198"/>
        <item x="65"/>
        <item x="229"/>
        <item x="292"/>
        <item x="358"/>
        <item x="395"/>
        <item x="383"/>
        <item x="174"/>
        <item x="45"/>
        <item x="214"/>
        <item x="224"/>
        <item x="179"/>
        <item x="283"/>
        <item x="335"/>
        <item x="78"/>
        <item x="337"/>
        <item x="192"/>
        <item x="176"/>
        <item x="254"/>
        <item x="339"/>
        <item x="377"/>
        <item x="355"/>
        <item x="169"/>
        <item x="271"/>
        <item x="123"/>
        <item x="0"/>
        <item x="154"/>
        <item x="240"/>
        <item x="237"/>
        <item x="424"/>
        <item x="165"/>
        <item x="128"/>
        <item x="51"/>
        <item x="425"/>
        <item x="5"/>
        <item x="390"/>
        <item x="344"/>
        <item x="307"/>
        <item x="173"/>
        <item x="367"/>
        <item x="252"/>
        <item x="12"/>
        <item x="282"/>
        <item x="149"/>
        <item x="49"/>
        <item x="193"/>
        <item x="288"/>
        <item x="303"/>
        <item x="350"/>
        <item x="310"/>
        <item x="312"/>
        <item x="178"/>
        <item x="261"/>
        <item x="399"/>
        <item x="159"/>
        <item x="155"/>
        <item x="295"/>
        <item x="74"/>
        <item x="345"/>
        <item x="116"/>
        <item x="363"/>
        <item x="253"/>
        <item x="118"/>
        <item x="57"/>
        <item x="157"/>
        <item x="153"/>
        <item x="248"/>
        <item x="48"/>
        <item x="273"/>
        <item x="340"/>
        <item x="267"/>
        <item x="317"/>
        <item x="210"/>
        <item x="20"/>
        <item x="325"/>
        <item x="293"/>
        <item x="347"/>
        <item x="357"/>
        <item x="70"/>
        <item x="375"/>
        <item x="380"/>
        <item x="77"/>
        <item x="285"/>
        <item x="138"/>
        <item x="321"/>
        <item x="274"/>
        <item x="263"/>
        <item x="343"/>
        <item x="341"/>
        <item x="39"/>
        <item x="407"/>
        <item x="272"/>
        <item x="64"/>
        <item x="329"/>
        <item x="182"/>
        <item x="71"/>
        <item x="9"/>
        <item x="378"/>
        <item x="391"/>
        <item x="97"/>
        <item x="331"/>
        <item x="417"/>
        <item x="119"/>
        <item x="410"/>
        <item x="422"/>
        <item t="default"/>
      </items>
    </pivotField>
    <pivotField name="NOMBRE VISITADOR" axis="axisRow" compact="0" outline="0" multipleItemSelectionAllowed="1" showAll="0" sortType="ascending">
      <items count="13">
        <item sd="0" x="11"/>
        <item sd="0" x="8"/>
        <item sd="0" x="9"/>
        <item sd="0" x="10"/>
        <item sd="0" x="1"/>
        <item sd="0" x="2"/>
        <item sd="0" x="6"/>
        <item sd="0" x="0"/>
        <item sd="0" x="4"/>
        <item sd="0" x="7"/>
        <item sd="0" x="3"/>
        <item sd="0" x="5"/>
        <item t="default"/>
      </items>
    </pivotField>
    <pivotField name=" " compact="0" outline="0" multipleItemSelectionAllowed="1" showAll="0">
      <items count="2">
        <item x="0"/>
        <item t="default"/>
      </items>
    </pivotField>
    <pivotField name=" 2" compact="0" outline="0" multipleItemSelectionAllowed="1" showAll="0">
      <items count="2">
        <item x="0"/>
        <item t="default"/>
      </items>
    </pivotField>
    <pivotField name=" 3" compact="0" outline="0" multipleItemSelectionAllowed="1" showAll="0">
      <items count="2">
        <item x="0"/>
        <item t="default"/>
      </items>
    </pivotField>
    <pivotField name=" 4" compact="0" outline="0" multipleItemSelectionAllowed="1" showAll="0">
      <items count="2">
        <item x="0"/>
        <item t="default"/>
      </items>
    </pivotField>
    <pivotField name=" 5" compact="0" outline="0" multipleItemSelectionAllowed="1" showAll="0">
      <items count="2">
        <item x="0"/>
        <item t="default"/>
      </items>
    </pivotField>
    <pivotField name=" 6" compact="0" outline="0" multipleItemSelectionAllowed="1" showAll="0">
      <items count="2">
        <item x="0"/>
        <item t="default"/>
      </items>
    </pivotField>
    <pivotField name=" 7" compact="0" outline="0" multipleItemSelectionAllowed="1" showAll="0">
      <items count="2">
        <item x="0"/>
        <item t="default"/>
      </items>
    </pivotField>
    <pivotField name=" 8" compact="0" outline="0" multipleItemSelectionAllowed="1" showAll="0">
      <items count="2">
        <item x="0"/>
        <item t="default"/>
      </items>
    </pivotField>
    <pivotField name=" 9" compact="0" outline="0" multipleItemSelectionAllowed="1" showAll="0">
      <items count="2">
        <item x="0"/>
        <item t="default"/>
      </items>
    </pivotField>
    <pivotField name=" 10" compact="0" outline="0" multipleItemSelectionAllowed="1" showAll="0">
      <items count="2">
        <item x="0"/>
        <item t="default"/>
      </items>
    </pivotField>
    <pivotField name=" 11" compact="0" outline="0" multipleItemSelectionAllowed="1" showAll="0">
      <items count="2">
        <item x="0"/>
        <item t="default"/>
      </items>
    </pivotField>
  </pivotFields>
  <rowFields count="3">
    <field x="15"/>
    <field x="4"/>
    <field x="14"/>
  </rowFields>
  <pageFields count="1">
    <pageField fld="3" hier="0"/>
  </pageFields>
  <dataFields count="1">
    <dataField name="SUM of NUM AUDIFONOS" fld="10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F00-000003000000}" name="RESUMES24" cacheId="105" applyNumberFormats="0" applyBorderFormats="0" applyFontFormats="0" applyPatternFormats="0" applyAlignmentFormats="0" applyWidthHeightFormats="0" dataCaption="" compact="0" compactData="0">
  <location ref="A1:G15" firstHeaderRow="0" firstDataRow="6" firstDataCol="0"/>
  <pivotFields count="27">
    <pivotField name="Mes" axis="axisRow" compact="0" numFmtId="3" outline="0" multipleItemSelectionAllowed="1" showAll="0" sortType="ascending">
      <items count="14">
        <item x="12"/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t="default"/>
      </items>
    </pivotField>
    <pivotField name="Mes nombre" compact="0" numFmtId="4" outline="0" multipleItemSelectionAllowed="1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FECHA DE ALTA" compact="0" numFmtId="165" outline="0" multipleItemSelectionAllowed="1" showAll="0">
      <items count="3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t="default"/>
      </items>
    </pivotField>
    <pivotField name="RECOMPRAVACIÓN" compact="0" numFmtId="4" outline="0" multipleItemSelectionAllowed="1" showAll="0">
      <items count="4">
        <item x="0"/>
        <item x="1"/>
        <item x="2"/>
        <item t="default"/>
      </items>
    </pivotField>
    <pivotField name="Centro" compact="0" outline="0" multipleItemSelectionAllowed="1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Captación" compact="0" outline="0" multipleItemSelectionAllowed="1" showAll="0">
      <items count="7">
        <item x="0"/>
        <item x="1"/>
        <item x="2"/>
        <item x="3"/>
        <item x="4"/>
        <item x="5"/>
        <item t="default"/>
      </items>
    </pivotField>
    <pivotField name="Captación 2" compact="0" outline="0" multipleItemSelectionAllowe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Orl" compact="0" outline="0" multipleItemSelectionAllowed="1" showAll="0">
      <items count="4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t="default"/>
      </items>
    </pivotField>
    <pivotField name="orl2" axis="axisRow" compact="0" outline="0" multipleItemSelectionAllowed="1" showAll="0" sortType="ascending" defaultSubtotal="0">
      <items count="453">
        <item x="452"/>
        <item x="395"/>
        <item x="369"/>
        <item x="104"/>
        <item x="42"/>
        <item x="331"/>
        <item x="333"/>
        <item x="301"/>
        <item x="366"/>
        <item x="31"/>
        <item x="257"/>
        <item x="232"/>
        <item x="438"/>
        <item x="386"/>
        <item x="230"/>
        <item x="170"/>
        <item x="400"/>
        <item x="121"/>
        <item x="380"/>
        <item x="220"/>
        <item x="322"/>
        <item x="79"/>
        <item x="250"/>
        <item x="27"/>
        <item x="154"/>
        <item x="145"/>
        <item x="109"/>
        <item x="102"/>
        <item x="367"/>
        <item x="448"/>
        <item x="0"/>
        <item x="417"/>
        <item x="139"/>
        <item x="77"/>
        <item x="299"/>
        <item x="290"/>
        <item x="416"/>
        <item x="204"/>
        <item x="130"/>
        <item x="141"/>
        <item x="66"/>
        <item x="131"/>
        <item x="41"/>
        <item x="18"/>
        <item x="436"/>
        <item x="311"/>
        <item x="371"/>
        <item x="76"/>
        <item x="34"/>
        <item x="368"/>
        <item x="56"/>
        <item x="38"/>
        <item x="327"/>
        <item x="28"/>
        <item x="279"/>
        <item x="314"/>
        <item x="193"/>
        <item x="64"/>
        <item x="242"/>
        <item x="135"/>
        <item x="26"/>
        <item x="99"/>
        <item x="117"/>
        <item x="60"/>
        <item x="116"/>
        <item x="198"/>
        <item x="126"/>
        <item x="75"/>
        <item x="61"/>
        <item x="214"/>
        <item x="21"/>
        <item x="349"/>
        <item x="100"/>
        <item x="177"/>
        <item x="37"/>
        <item x="58"/>
        <item x="95"/>
        <item x="432"/>
        <item x="392"/>
        <item x="179"/>
        <item x="442"/>
        <item x="238"/>
        <item x="218"/>
        <item x="224"/>
        <item x="6"/>
        <item x="227"/>
        <item x="275"/>
        <item x="222"/>
        <item x="97"/>
        <item x="194"/>
        <item x="243"/>
        <item x="51"/>
        <item x="235"/>
        <item x="262"/>
        <item x="59"/>
        <item x="385"/>
        <item x="440"/>
        <item x="379"/>
        <item x="389"/>
        <item x="129"/>
        <item x="429"/>
        <item x="153"/>
        <item x="316"/>
        <item x="192"/>
        <item x="196"/>
        <item x="29"/>
        <item x="12"/>
        <item x="138"/>
        <item x="246"/>
        <item x="67"/>
        <item x="74"/>
        <item x="144"/>
        <item x="124"/>
        <item x="273"/>
        <item x="326"/>
        <item x="433"/>
        <item x="435"/>
        <item x="332"/>
        <item x="364"/>
        <item x="11"/>
        <item x="106"/>
        <item x="434"/>
        <item x="57"/>
        <item x="162"/>
        <item x="209"/>
        <item x="236"/>
        <item x="127"/>
        <item x="94"/>
        <item x="143"/>
        <item x="401"/>
        <item x="241"/>
        <item x="226"/>
        <item x="119"/>
        <item x="172"/>
        <item x="294"/>
        <item x="165"/>
        <item x="206"/>
        <item x="47"/>
        <item x="53"/>
        <item x="72"/>
        <item x="240"/>
        <item x="52"/>
        <item x="32"/>
        <item x="397"/>
        <item x="73"/>
        <item x="92"/>
        <item x="313"/>
        <item x="272"/>
        <item x="318"/>
        <item x="149"/>
        <item x="190"/>
        <item x="107"/>
        <item x="3"/>
        <item x="342"/>
        <item x="88"/>
        <item x="252"/>
        <item x="86"/>
        <item x="361"/>
        <item x="328"/>
        <item x="185"/>
        <item x="55"/>
        <item x="171"/>
        <item x="44"/>
        <item x="93"/>
        <item x="341"/>
        <item x="300"/>
        <item x="54"/>
        <item x="247"/>
        <item x="412"/>
        <item x="354"/>
        <item x="378"/>
        <item x="336"/>
        <item x="376"/>
        <item x="289"/>
        <item x="256"/>
        <item x="164"/>
        <item x="344"/>
        <item x="406"/>
        <item x="78"/>
        <item x="423"/>
        <item x="324"/>
        <item x="309"/>
        <item x="444"/>
        <item x="65"/>
        <item x="352"/>
        <item x="297"/>
        <item x="219"/>
        <item x="231"/>
        <item x="128"/>
        <item x="22"/>
        <item x="451"/>
        <item x="115"/>
        <item x="450"/>
        <item x="5"/>
        <item x="419"/>
        <item x="36"/>
        <item x="315"/>
        <item x="216"/>
        <item x="13"/>
        <item x="103"/>
        <item x="248"/>
        <item x="186"/>
        <item x="9"/>
        <item x="261"/>
        <item x="268"/>
        <item x="283"/>
        <item x="306"/>
        <item x="111"/>
        <item x="199"/>
        <item x="319"/>
        <item sd="0" x="303"/>
        <item x="23"/>
        <item x="346"/>
        <item x="152"/>
        <item x="362"/>
        <item x="426"/>
        <item x="404"/>
        <item x="24"/>
        <item x="110"/>
        <item x="390"/>
        <item x="87"/>
        <item x="270"/>
        <item x="140"/>
        <item x="255"/>
        <item x="302"/>
        <item x="176"/>
        <item x="258"/>
        <item x="437"/>
        <item x="19"/>
        <item x="173"/>
        <item x="408"/>
        <item x="409"/>
        <item x="383"/>
        <item x="63"/>
        <item x="399"/>
        <item x="372"/>
        <item x="187"/>
        <item x="81"/>
        <item x="197"/>
        <item x="113"/>
        <item x="39"/>
        <item x="108"/>
        <item x="90"/>
        <item x="269"/>
        <item x="418"/>
        <item x="287"/>
        <item x="161"/>
        <item x="210"/>
        <item x="203"/>
        <item x="142"/>
        <item x="239"/>
        <item x="375"/>
        <item x="382"/>
        <item x="168"/>
        <item x="350"/>
        <item x="150"/>
        <item x="189"/>
        <item x="443"/>
        <item x="43"/>
        <item x="360"/>
        <item x="363"/>
        <item x="281"/>
        <item x="439"/>
        <item x="146"/>
        <item x="245"/>
        <item x="184"/>
        <item x="356"/>
        <item x="101"/>
        <item x="394"/>
        <item x="48"/>
        <item x="244"/>
        <item x="233"/>
        <item x="338"/>
        <item x="340"/>
        <item x="221"/>
        <item x="156"/>
        <item x="133"/>
        <item x="229"/>
        <item x="25"/>
        <item x="373"/>
        <item x="353"/>
        <item x="82"/>
        <item x="159"/>
        <item x="266"/>
        <item x="334"/>
        <item x="365"/>
        <item x="288"/>
        <item x="355"/>
        <item x="441"/>
        <item x="223"/>
        <item x="191"/>
        <item x="421"/>
        <item x="263"/>
        <item x="91"/>
        <item x="407"/>
        <item x="163"/>
        <item x="317"/>
        <item x="347"/>
        <item x="125"/>
        <item x="339"/>
        <item x="160"/>
        <item x="424"/>
        <item x="134"/>
        <item x="158"/>
        <item x="148"/>
        <item x="330"/>
        <item x="20"/>
        <item x="253"/>
        <item x="260"/>
        <item x="308"/>
        <item x="405"/>
        <item x="265"/>
        <item x="84"/>
        <item x="175"/>
        <item x="166"/>
        <item x="381"/>
        <item x="449"/>
        <item x="7"/>
        <item x="2"/>
        <item x="157"/>
        <item x="282"/>
        <item x="410"/>
        <item x="377"/>
        <item x="403"/>
        <item x="207"/>
        <item x="414"/>
        <item x="307"/>
        <item x="178"/>
        <item x="337"/>
        <item x="310"/>
        <item x="254"/>
        <item x="180"/>
        <item x="304"/>
        <item x="284"/>
        <item x="277"/>
        <item x="225"/>
        <item x="237"/>
        <item x="274"/>
        <item x="68"/>
        <item x="16"/>
        <item x="98"/>
        <item x="181"/>
        <item x="169"/>
        <item x="174"/>
        <item x="295"/>
        <item x="325"/>
        <item x="155"/>
        <item x="228"/>
        <item x="402"/>
        <item x="33"/>
        <item x="4"/>
        <item x="428"/>
        <item x="120"/>
        <item x="69"/>
        <item x="182"/>
        <item x="122"/>
        <item x="384"/>
        <item x="213"/>
        <item x="420"/>
        <item x="422"/>
        <item x="151"/>
        <item x="321"/>
        <item x="396"/>
        <item x="351"/>
        <item x="427"/>
        <item x="329"/>
        <item x="447"/>
        <item x="292"/>
        <item x="291"/>
        <item x="285"/>
        <item x="445"/>
        <item x="188"/>
        <item x="132"/>
        <item x="387"/>
        <item x="1"/>
        <item x="112"/>
        <item x="211"/>
        <item x="271"/>
        <item x="357"/>
        <item x="234"/>
        <item x="136"/>
        <item x="343"/>
        <item x="105"/>
        <item x="83"/>
        <item x="205"/>
        <item x="17"/>
        <item x="201"/>
        <item x="217"/>
        <item x="45"/>
        <item x="137"/>
        <item x="40"/>
        <item x="446"/>
        <item x="249"/>
        <item x="323"/>
        <item x="411"/>
        <item x="358"/>
        <item x="123"/>
        <item x="305"/>
        <item x="114"/>
        <item x="370"/>
        <item x="50"/>
        <item x="215"/>
        <item x="393"/>
        <item x="398"/>
        <item x="374"/>
        <item x="10"/>
        <item x="147"/>
        <item x="80"/>
        <item x="345"/>
        <item x="96"/>
        <item x="280"/>
        <item x="183"/>
        <item x="388"/>
        <item x="413"/>
        <item x="298"/>
        <item x="425"/>
        <item x="391"/>
        <item x="293"/>
        <item x="70"/>
        <item x="49"/>
        <item x="85"/>
        <item x="430"/>
        <item x="14"/>
        <item x="118"/>
        <item x="62"/>
        <item x="286"/>
        <item x="431"/>
        <item x="30"/>
        <item x="296"/>
        <item x="264"/>
        <item x="267"/>
        <item x="202"/>
        <item x="71"/>
        <item x="89"/>
        <item x="348"/>
        <item x="276"/>
        <item x="251"/>
        <item x="167"/>
        <item x="195"/>
        <item x="320"/>
        <item x="335"/>
        <item x="46"/>
        <item x="312"/>
        <item x="15"/>
        <item x="278"/>
        <item x="212"/>
        <item x="359"/>
        <item x="200"/>
        <item x="259"/>
        <item x="415"/>
        <item x="35"/>
        <item x="208"/>
        <item x="8"/>
      </items>
    </pivotField>
    <pivotField name="Visitador" axis="axisRow" compact="0" outline="0" multipleItemSelectionAllowed="1" showAll="0" sortType="ascending">
      <items count="16">
        <item sd="0" x="14"/>
        <item sd="0" x="12"/>
        <item sd="0" x="11"/>
        <item sd="0" x="13"/>
        <item sd="0" x="2"/>
        <item sd="0" x="9"/>
        <item sd="0" x="7"/>
        <item sd="0" x="1"/>
        <item sd="0" x="0"/>
        <item sd="0" x="6"/>
        <item sd="0" x="3"/>
        <item sd="0" x="8"/>
        <item sd="0" x="5"/>
        <item sd="0" x="10"/>
        <item sd="0" x="4"/>
        <item t="default"/>
      </items>
    </pivotField>
    <pivotField name="PACIENTE" axis="axisRow" compact="0" outline="0" multipleItemSelectionAllowed="1" showAll="0" sortType="ascending">
      <items count="1751">
        <item x="1749"/>
        <item x="1544"/>
        <item x="916"/>
        <item x="701"/>
        <item x="1274"/>
        <item x="505"/>
        <item x="930"/>
        <item x="410"/>
        <item x="1132"/>
        <item x="810"/>
        <item x="1588"/>
        <item x="1174"/>
        <item x="89"/>
        <item x="758"/>
        <item x="1699"/>
        <item x="1188"/>
        <item x="848"/>
        <item sd="0" x="1090"/>
        <item x="1078"/>
        <item x="1626"/>
        <item x="86"/>
        <item x="1731"/>
        <item x="1259"/>
        <item x="1021"/>
        <item x="1177"/>
        <item x="646"/>
        <item x="569"/>
        <item x="503"/>
        <item x="1044"/>
        <item x="371"/>
        <item x="1696"/>
        <item x="1069"/>
        <item x="476"/>
        <item x="966"/>
        <item x="872"/>
        <item x="1018"/>
        <item x="1263"/>
        <item x="1599"/>
        <item x="759"/>
        <item x="756"/>
        <item x="198"/>
        <item sd="0" x="918"/>
        <item x="908"/>
        <item x="600"/>
        <item x="1666"/>
        <item x="1701"/>
        <item x="1448"/>
        <item x="1486"/>
        <item x="834"/>
        <item x="478"/>
        <item x="885"/>
        <item x="965"/>
        <item x="275"/>
        <item x="1370"/>
        <item x="1487"/>
        <item x="892"/>
        <item x="639"/>
        <item x="929"/>
        <item sd="0" x="1676"/>
        <item x="749"/>
        <item x="1560"/>
        <item x="814"/>
        <item x="1526"/>
        <item x="1684"/>
        <item x="1734"/>
        <item x="801"/>
        <item x="1479"/>
        <item x="414"/>
        <item x="1327"/>
        <item x="721"/>
        <item x="763"/>
        <item x="1643"/>
        <item x="1138"/>
        <item x="995"/>
        <item x="1023"/>
        <item x="1600"/>
        <item x="890"/>
        <item x="176"/>
        <item x="992"/>
        <item x="1228"/>
        <item x="1322"/>
        <item x="1503"/>
        <item x="233"/>
        <item x="525"/>
        <item x="157"/>
        <item x="1277"/>
        <item x="657"/>
        <item x="917"/>
        <item x="1383"/>
        <item x="1216"/>
        <item x="693"/>
        <item x="1107"/>
        <item x="256"/>
        <item x="180"/>
        <item x="254"/>
        <item x="77"/>
        <item x="1227"/>
        <item x="584"/>
        <item x="315"/>
        <item x="1357"/>
        <item x="136"/>
        <item x="1253"/>
        <item x="1630"/>
        <item x="1373"/>
        <item x="779"/>
        <item x="1178"/>
        <item x="551"/>
        <item x="222"/>
        <item x="470"/>
        <item x="1422"/>
        <item x="1189"/>
        <item x="709"/>
        <item x="598"/>
        <item x="515"/>
        <item x="1205"/>
        <item x="187"/>
        <item x="1527"/>
        <item x="1325"/>
        <item x="1568"/>
        <item x="1435"/>
        <item x="1729"/>
        <item x="787"/>
        <item x="459"/>
        <item x="468"/>
        <item x="1210"/>
        <item x="1478"/>
        <item x="1441"/>
        <item x="207"/>
        <item x="0"/>
        <item x="1346"/>
        <item x="683"/>
        <item x="206"/>
        <item x="1371"/>
        <item x="508"/>
        <item x="1581"/>
        <item x="1314"/>
        <item x="894"/>
        <item x="1103"/>
        <item x="242"/>
        <item x="322"/>
        <item x="400"/>
        <item x="130"/>
        <item x="1491"/>
        <item x="231"/>
        <item x="385"/>
        <item x="21"/>
        <item x="146"/>
        <item x="1136"/>
        <item x="1106"/>
        <item x="920"/>
        <item x="941"/>
        <item x="984"/>
        <item x="31"/>
        <item x="1145"/>
        <item x="1295"/>
        <item x="1302"/>
        <item x="1008"/>
        <item x="268"/>
        <item x="1404"/>
        <item x="1095"/>
        <item x="387"/>
        <item x="65"/>
        <item x="3"/>
        <item x="1332"/>
        <item sd="0" x="755"/>
        <item x="1160"/>
        <item x="1394"/>
        <item x="1073"/>
        <item x="904"/>
        <item x="993"/>
        <item x="1748"/>
        <item x="120"/>
        <item x="274"/>
        <item x="209"/>
        <item x="666"/>
        <item x="1542"/>
        <item x="428"/>
        <item x="1654"/>
        <item x="429"/>
        <item x="901"/>
        <item x="1532"/>
        <item x="616"/>
        <item x="1442"/>
        <item x="1574"/>
        <item x="973"/>
        <item x="107"/>
        <item x="682"/>
        <item x="868"/>
        <item x="1732"/>
        <item x="1300"/>
        <item x="1545"/>
        <item x="104"/>
        <item x="1064"/>
        <item x="1151"/>
        <item x="171"/>
        <item x="643"/>
        <item x="446"/>
        <item x="1326"/>
        <item x="1358"/>
        <item x="194"/>
        <item x="1738"/>
        <item x="1291"/>
        <item x="318"/>
        <item x="1289"/>
        <item x="961"/>
        <item x="128"/>
        <item x="55"/>
        <item x="244"/>
        <item x="59"/>
        <item x="704"/>
        <item x="632"/>
        <item x="671"/>
        <item x="532"/>
        <item x="15"/>
        <item x="319"/>
        <item x="384"/>
        <item x="1254"/>
        <item x="1429"/>
        <item x="1407"/>
        <item x="1124"/>
        <item x="1311"/>
        <item x="1349"/>
        <item x="204"/>
        <item x="289"/>
        <item x="487"/>
        <item x="1667"/>
        <item x="175"/>
        <item x="835"/>
        <item x="1711"/>
        <item x="1563"/>
        <item x="1029"/>
        <item x="1122"/>
        <item x="1190"/>
        <item x="1251"/>
        <item x="819"/>
        <item x="836"/>
        <item x="533"/>
        <item x="867"/>
        <item x="744"/>
        <item x="97"/>
        <item x="1142"/>
        <item x="829"/>
        <item x="300"/>
        <item x="797"/>
        <item x="760"/>
        <item x="251"/>
        <item x="567"/>
        <item x="1057"/>
        <item x="1434"/>
        <item x="1139"/>
        <item x="1453"/>
        <item x="1708"/>
        <item x="509"/>
        <item x="1381"/>
        <item x="351"/>
        <item x="1727"/>
        <item x="988"/>
        <item x="496"/>
        <item x="190"/>
        <item sd="0" x="1010"/>
        <item x="1025"/>
        <item x="627"/>
        <item x="1364"/>
        <item x="558"/>
        <item x="923"/>
        <item x="229"/>
        <item x="692"/>
        <item x="684"/>
        <item x="653"/>
        <item x="329"/>
        <item x="1596"/>
        <item x="1126"/>
        <item x="1640"/>
        <item x="148"/>
        <item x="480"/>
        <item x="794"/>
        <item x="192"/>
        <item x="981"/>
        <item x="1306"/>
        <item x="902"/>
        <item x="174"/>
        <item x="1507"/>
        <item x="7"/>
        <item x="4"/>
        <item x="906"/>
        <item x="1533"/>
        <item x="334"/>
        <item x="705"/>
        <item x="345"/>
        <item x="1671"/>
        <item x="1446"/>
        <item x="1125"/>
        <item x="858"/>
        <item x="1240"/>
        <item x="1091"/>
        <item x="606"/>
        <item x="1014"/>
        <item x="652"/>
        <item x="689"/>
        <item x="1697"/>
        <item x="1725"/>
        <item x="46"/>
        <item x="963"/>
        <item x="745"/>
        <item x="1172"/>
        <item x="149"/>
        <item x="179"/>
        <item x="500"/>
        <item x="395"/>
        <item x="121"/>
        <item x="909"/>
        <item x="421"/>
        <item x="279"/>
        <item x="1520"/>
        <item x="1450"/>
        <item x="845"/>
        <item x="672"/>
        <item x="1043"/>
        <item x="1702"/>
        <item sd="0" x="536"/>
        <item x="489"/>
        <item x="898"/>
        <item x="1670"/>
        <item x="1720"/>
        <item x="483"/>
        <item x="1566"/>
        <item x="1249"/>
        <item x="1286"/>
        <item x="100"/>
        <item x="1081"/>
        <item x="463"/>
        <item x="262"/>
        <item x="1389"/>
        <item x="1460"/>
        <item x="1005"/>
        <item x="285"/>
        <item x="1196"/>
        <item x="1500"/>
        <item x="1131"/>
        <item x="1672"/>
        <item x="1476"/>
        <item x="799"/>
        <item x="84"/>
        <item x="1167"/>
        <item x="1509"/>
        <item x="1403"/>
        <item x="774"/>
        <item sd="0" x="805"/>
        <item x="1606"/>
        <item x="960"/>
        <item x="1355"/>
        <item x="1607"/>
        <item x="98"/>
        <item x="673"/>
        <item x="634"/>
        <item x="1262"/>
        <item x="181"/>
        <item x="1555"/>
        <item x="461"/>
        <item x="1351"/>
        <item x="1374"/>
        <item x="76"/>
        <item x="1585"/>
        <item x="912"/>
        <item x="565"/>
        <item x="475"/>
        <item x="58"/>
        <item x="691"/>
        <item x="1418"/>
        <item x="645"/>
        <item x="748"/>
        <item x="154"/>
        <item x="962"/>
        <item x="1154"/>
        <item x="1571"/>
        <item x="818"/>
        <item x="870"/>
        <item x="495"/>
        <item x="1233"/>
        <item x="978"/>
        <item x="609"/>
        <item x="1639"/>
        <item x="811"/>
        <item x="1550"/>
        <item x="1053"/>
        <item x="964"/>
        <item x="282"/>
        <item x="185"/>
        <item x="473"/>
        <item x="1257"/>
        <item x="156"/>
        <item x="1490"/>
        <item x="1338"/>
        <item x="1058"/>
        <item x="568"/>
        <item x="707"/>
        <item x="846"/>
        <item x="680"/>
        <item x="265"/>
        <item x="1709"/>
        <item x="434"/>
        <item x="1534"/>
        <item x="184"/>
        <item x="481"/>
        <item x="1339"/>
        <item x="1724"/>
        <item x="377"/>
        <item x="1003"/>
        <item x="263"/>
        <item x="197"/>
        <item x="355"/>
        <item x="1135"/>
        <item x="298"/>
        <item x="1547"/>
        <item x="761"/>
        <item x="860"/>
        <item x="361"/>
        <item x="1495"/>
        <item x="564"/>
        <item x="452"/>
        <item x="1156"/>
        <item x="1234"/>
        <item x="1683"/>
        <item x="766"/>
        <item x="1538"/>
        <item x="381"/>
        <item x="1430"/>
        <item x="935"/>
        <item x="326"/>
        <item x="1400"/>
        <item x="1605"/>
        <item x="939"/>
        <item x="69"/>
        <item x="1208"/>
        <item x="1248"/>
        <item x="284"/>
        <item x="605"/>
        <item x="1147"/>
        <item x="1088"/>
        <item x="958"/>
        <item x="770"/>
        <item x="967"/>
        <item x="1663"/>
        <item x="530"/>
        <item x="1433"/>
        <item x="983"/>
        <item x="1539"/>
        <item x="1420"/>
        <item x="1399"/>
        <item x="1428"/>
        <item x="352"/>
        <item x="824"/>
        <item x="1647"/>
        <item x="213"/>
        <item x="1299"/>
        <item x="696"/>
        <item x="915"/>
        <item x="1344"/>
        <item x="948"/>
        <item x="1622"/>
        <item x="595"/>
        <item x="464"/>
        <item x="87"/>
        <item x="575"/>
        <item x="1293"/>
        <item x="934"/>
        <item x="1153"/>
        <item x="324"/>
        <item x="1187"/>
        <item x="465"/>
        <item x="1366"/>
        <item x="152"/>
        <item x="330"/>
        <item x="247"/>
        <item x="548"/>
        <item x="728"/>
        <item x="266"/>
        <item x="719"/>
        <item x="1359"/>
        <item x="418"/>
        <item x="630"/>
        <item x="409"/>
        <item x="949"/>
        <item x="1480"/>
        <item x="649"/>
        <item x="126"/>
        <item x="816"/>
        <item x="690"/>
        <item x="1220"/>
        <item x="1219"/>
        <item sd="0" x="951"/>
        <item x="68"/>
        <item x="1388"/>
        <item x="290"/>
        <item x="703"/>
        <item x="827"/>
        <item x="1613"/>
        <item x="1419"/>
        <item x="1032"/>
        <item x="936"/>
        <item x="650"/>
        <item x="1275"/>
        <item x="1015"/>
        <item x="651"/>
        <item x="1191"/>
        <item x="283"/>
        <item x="722"/>
        <item x="726"/>
        <item x="295"/>
        <item x="1721"/>
        <item x="469"/>
        <item x="947"/>
        <item x="1065"/>
        <item x="1258"/>
        <item x="614"/>
        <item x="832"/>
        <item x="488"/>
        <item x="214"/>
        <item x="178"/>
        <item x="694"/>
        <item x="865"/>
        <item x="854"/>
        <item x="1101"/>
        <item x="1705"/>
        <item x="208"/>
        <item x="830"/>
        <item x="1686"/>
        <item x="857"/>
        <item x="1226"/>
        <item x="1129"/>
        <item x="1345"/>
        <item x="1194"/>
        <item x="331"/>
        <item x="1212"/>
        <item x="1017"/>
        <item x="1713"/>
        <item sd="0" x="90"/>
        <item x="812"/>
        <item x="357"/>
        <item x="1624"/>
        <item x="243"/>
        <item x="137"/>
        <item x="291"/>
        <item x="1085"/>
        <item x="1184"/>
        <item x="887"/>
        <item x="144"/>
        <item x="980"/>
        <item x="635"/>
        <item x="302"/>
        <item x="1577"/>
        <item x="524"/>
        <item x="1342"/>
        <item x="869"/>
        <item x="1415"/>
        <item x="258"/>
        <item x="734"/>
        <item x="1604"/>
        <item x="1554"/>
        <item x="807"/>
        <item x="1130"/>
        <item x="1013"/>
        <item x="1504"/>
        <item x="502"/>
        <item x="1113"/>
        <item x="321"/>
        <item x="438"/>
        <item x="914"/>
        <item x="1513"/>
        <item x="460"/>
        <item x="1455"/>
        <item x="1518"/>
        <item x="114"/>
        <item x="780"/>
        <item sd="0" x="987"/>
        <item x="789"/>
        <item x="1609"/>
        <item x="1649"/>
        <item x="1222"/>
        <item x="837"/>
        <item x="1036"/>
        <item x="1730"/>
        <item x="1703"/>
        <item x="1653"/>
        <item x="903"/>
        <item x="425"/>
        <item x="1115"/>
        <item x="1102"/>
        <item x="685"/>
        <item x="1120"/>
        <item x="1294"/>
        <item x="390"/>
        <item x="580"/>
        <item x="1230"/>
        <item x="1682"/>
        <item x="1377"/>
        <item x="392"/>
        <item x="825"/>
        <item x="1385"/>
        <item x="1438"/>
        <item x="48"/>
        <item x="341"/>
        <item x="1333"/>
        <item x="1458"/>
        <item x="866"/>
        <item x="1496"/>
        <item x="1264"/>
        <item x="467"/>
        <item x="219"/>
        <item x="1634"/>
        <item x="1157"/>
        <item x="1597"/>
        <item x="772"/>
        <item x="346"/>
        <item x="1215"/>
        <item x="83"/>
        <item x="501"/>
        <item x="1123"/>
        <item x="116"/>
        <item x="1747"/>
        <item x="710"/>
        <item x="785"/>
        <item x="1040"/>
        <item x="389"/>
        <item x="401"/>
        <item x="82"/>
        <item x="953"/>
        <item x="246"/>
        <item x="554"/>
        <item x="1179"/>
        <item x="1089"/>
        <item x="586"/>
        <item x="847"/>
        <item x="109"/>
        <item x="1714"/>
        <item x="1387"/>
        <item x="1180"/>
        <item x="972"/>
        <item x="1284"/>
        <item x="1118"/>
        <item x="623"/>
        <item x="896"/>
        <item x="1402"/>
        <item x="702"/>
        <item x="1288"/>
        <item x="419"/>
        <item x="571"/>
        <item x="1710"/>
        <item x="240"/>
        <item x="406"/>
        <item x="516"/>
        <item x="26"/>
        <item x="1655"/>
        <item x="654"/>
        <item x="526"/>
        <item x="1241"/>
        <item x="1506"/>
        <item x="16"/>
        <item x="1127"/>
        <item x="1041"/>
        <item x="1548"/>
        <item x="1427"/>
        <item x="81"/>
        <item x="1283"/>
        <item x="764"/>
        <item x="1556"/>
        <item x="338"/>
        <item x="162"/>
        <item x="1319"/>
        <item x="1512"/>
        <item x="998"/>
        <item x="1690"/>
        <item x="697"/>
        <item x="320"/>
        <item x="413"/>
        <item x="1499"/>
        <item x="581"/>
        <item x="235"/>
        <item x="79"/>
        <item x="93"/>
        <item x="1519"/>
        <item x="382"/>
        <item x="512"/>
        <item x="1746"/>
        <item x="746"/>
        <item x="679"/>
        <item x="1678"/>
        <item sd="0" x="1276"/>
        <item x="658"/>
        <item x="1027"/>
        <item x="1664"/>
        <item x="131"/>
        <item x="1712"/>
        <item x="596"/>
        <item x="457"/>
        <item x="343"/>
        <item x="5"/>
        <item x="1158"/>
        <item x="1608"/>
        <item x="269"/>
        <item sd="0" x="737"/>
        <item x="272"/>
        <item x="1198"/>
        <item x="165"/>
        <item x="1493"/>
        <item x="1528"/>
        <item x="191"/>
        <item x="259"/>
        <item x="347"/>
        <item x="589"/>
        <item sd="0" x="1011"/>
        <item x="1111"/>
        <item x="1494"/>
        <item x="628"/>
        <item x="493"/>
        <item x="1112"/>
        <item x="252"/>
        <item x="1329"/>
        <item x="1557"/>
        <item x="945"/>
        <item sd="0" x="775"/>
        <item x="1182"/>
        <item x="210"/>
        <item x="376"/>
        <item x="40"/>
        <item x="358"/>
        <item x="211"/>
        <item x="593"/>
        <item x="1235"/>
        <item x="1084"/>
        <item x="1309"/>
        <item x="1447"/>
        <item x="441"/>
        <item x="1347"/>
        <item x="754"/>
        <item x="1054"/>
        <item x="714"/>
        <item x="1369"/>
        <item x="50"/>
        <item x="1201"/>
        <item x="1454"/>
        <item x="638"/>
        <item x="193"/>
        <item x="1665"/>
        <item x="1048"/>
        <item x="990"/>
        <item x="592"/>
        <item x="1392"/>
        <item x="42"/>
        <item x="946"/>
        <item x="1558"/>
        <item x="1372"/>
        <item x="1141"/>
        <item x="1361"/>
        <item x="996"/>
        <item x="1265"/>
        <item x="1134"/>
        <item x="28"/>
        <item x="1637"/>
        <item x="1039"/>
        <item x="273"/>
        <item x="637"/>
        <item x="879"/>
        <item x="234"/>
        <item x="537"/>
        <item x="462"/>
        <item x="733"/>
        <item x="1143"/>
        <item x="60"/>
        <item x="1691"/>
        <item x="925"/>
        <item x="1675"/>
        <item x="711"/>
        <item x="1301"/>
        <item x="590"/>
        <item x="1648"/>
        <item x="1739"/>
        <item x="1362"/>
        <item x="1165"/>
        <item x="855"/>
        <item x="1717"/>
        <item x="200"/>
        <item x="1093"/>
        <item x="1397"/>
        <item x="127"/>
        <item x="1052"/>
        <item x="1517"/>
        <item x="1618"/>
        <item x="913"/>
        <item x="1657"/>
        <item x="1186"/>
        <item x="153"/>
        <item x="1541"/>
        <item x="850"/>
        <item x="163"/>
        <item x="534"/>
        <item x="886"/>
        <item x="490"/>
        <item x="804"/>
        <item x="328"/>
        <item x="353"/>
        <item x="281"/>
        <item x="1424"/>
        <item x="1252"/>
        <item x="1350"/>
        <item x="103"/>
        <item x="1651"/>
        <item sd="0" x="101"/>
        <item x="230"/>
        <item x="1229"/>
        <item x="1020"/>
        <item x="1621"/>
        <item x="861"/>
        <item x="999"/>
        <item x="408"/>
        <item x="1522"/>
        <item x="720"/>
        <item x="1365"/>
        <item x="1510"/>
        <item x="1071"/>
        <item x="412"/>
        <item x="1707"/>
        <item x="1297"/>
        <item x="1514"/>
        <item x="225"/>
        <item x="1646"/>
        <item x="140"/>
        <item x="37"/>
        <item x="1315"/>
        <item x="1218"/>
        <item x="72"/>
        <item x="388"/>
        <item x="1716"/>
        <item x="1635"/>
        <item x="1341"/>
        <item x="1631"/>
        <item x="456"/>
        <item x="574"/>
        <item x="440"/>
        <item x="670"/>
        <item x="14"/>
        <item x="435"/>
        <item x="189"/>
        <item x="519"/>
        <item x="482"/>
        <item x="124"/>
        <item x="405"/>
        <item x="769"/>
        <item x="1268"/>
        <item x="668"/>
        <item x="700"/>
        <item x="1611"/>
        <item x="1529"/>
        <item x="624"/>
        <item x="339"/>
        <item x="431"/>
        <item x="1221"/>
        <item x="732"/>
        <item x="1469"/>
        <item x="444"/>
        <item x="354"/>
        <item x="1062"/>
        <item x="1436"/>
        <item x="85"/>
        <item x="426"/>
        <item x="94"/>
        <item x="1688"/>
        <item x="1250"/>
        <item x="297"/>
        <item x="1360"/>
        <item x="1100"/>
        <item x="1104"/>
        <item x="1390"/>
        <item x="212"/>
        <item x="1206"/>
        <item x="1443"/>
        <item x="615"/>
        <item x="1231"/>
        <item x="30"/>
        <item x="308"/>
        <item x="44"/>
        <item x="876"/>
        <item x="260"/>
        <item x="486"/>
        <item x="1386"/>
        <item x="1068"/>
        <item x="1546"/>
        <item x="831"/>
        <item x="51"/>
        <item x="433"/>
        <item x="603"/>
        <item x="1307"/>
        <item x="932"/>
        <item x="989"/>
        <item x="1464"/>
        <item x="889"/>
        <item x="1736"/>
        <item x="1321"/>
        <item x="1079"/>
        <item x="13"/>
        <item x="808"/>
        <item x="849"/>
        <item x="1105"/>
        <item x="1401"/>
        <item x="1462"/>
        <item x="1242"/>
        <item x="1320"/>
        <item x="660"/>
        <item x="1159"/>
        <item x="1108"/>
        <item x="1445"/>
        <item x="454"/>
        <item x="1246"/>
        <item x="540"/>
        <item x="99"/>
        <item x="656"/>
        <item x="237"/>
        <item x="667"/>
        <item x="1425"/>
        <item x="552"/>
        <item x="169"/>
        <item x="228"/>
        <item x="160"/>
        <item x="1232"/>
        <item x="752"/>
        <item x="1516"/>
        <item x="1623"/>
        <item x="1700"/>
        <item x="1067"/>
        <item x="340"/>
        <item x="1482"/>
        <item x="1055"/>
        <item x="1162"/>
        <item x="91"/>
        <item sd="0" x="796"/>
        <item x="276"/>
        <item x="1185"/>
        <item x="442"/>
        <item x="1592"/>
        <item x="75"/>
        <item x="1680"/>
        <item x="402"/>
        <item x="1061"/>
        <item x="773"/>
        <item x="1303"/>
        <item x="450"/>
        <item x="1589"/>
        <item x="739"/>
        <item x="271"/>
        <item x="893"/>
        <item x="1685"/>
        <item x="403"/>
        <item x="1451"/>
        <item x="1679"/>
        <item x="852"/>
        <item x="1150"/>
        <item sd="0" x="776"/>
        <item x="1379"/>
        <item x="309"/>
        <item x="877"/>
        <item x="396"/>
        <item x="884"/>
        <item x="1590"/>
        <item x="557"/>
        <item x="1312"/>
        <item x="957"/>
        <item x="158"/>
        <item x="477"/>
        <item x="1144"/>
        <item x="1718"/>
        <item x="777"/>
        <item sd="0" x="1244"/>
        <item x="513"/>
        <item x="1034"/>
        <item x="1"/>
        <item x="398"/>
        <item x="245"/>
        <item x="617"/>
        <item x="1260"/>
        <item x="1092"/>
        <item x="420"/>
        <item x="1030"/>
        <item x="1662"/>
        <item x="562"/>
        <item x="337"/>
        <item x="166"/>
        <item x="1501"/>
        <item x="1238"/>
        <item x="248"/>
        <item x="203"/>
        <item x="1094"/>
        <item x="1368"/>
        <item x="362"/>
        <item x="1694"/>
        <item x="249"/>
        <item x="216"/>
        <item x="1273"/>
        <item x="1086"/>
        <item x="1465"/>
        <item x="784"/>
        <item x="1439"/>
        <item x="823"/>
        <item x="514"/>
        <item x="1616"/>
        <item x="970"/>
        <item x="66"/>
        <item x="1669"/>
        <item x="313"/>
        <item x="54"/>
        <item x="856"/>
        <item x="1056"/>
        <item x="1704"/>
        <item x="899"/>
        <item x="306"/>
        <item x="1642"/>
        <item x="549"/>
        <item x="1741"/>
        <item x="223"/>
        <item x="1280"/>
        <item x="439"/>
        <item x="968"/>
        <item x="1175"/>
        <item x="542"/>
        <item x="1128"/>
        <item x="138"/>
        <item x="1735"/>
        <item x="350"/>
        <item x="1323"/>
        <item x="280"/>
        <item x="1615"/>
        <item x="10"/>
        <item x="1051"/>
        <item x="427"/>
        <item x="1270"/>
        <item x="1567"/>
        <item x="636"/>
        <item x="1324"/>
        <item x="718"/>
        <item x="73"/>
        <item x="1099"/>
        <item x="484"/>
        <item x="202"/>
        <item x="1687"/>
        <item x="1540"/>
        <item x="582"/>
        <item x="1498"/>
        <item x="217"/>
        <item x="1080"/>
        <item x="455"/>
        <item x="1681"/>
        <item x="1318"/>
        <item x="1247"/>
        <item x="511"/>
        <item x="975"/>
        <item x="1552"/>
        <item x="545"/>
        <item x="1256"/>
        <item x="241"/>
        <item x="723"/>
        <item x="528"/>
        <item x="368"/>
        <item x="1408"/>
        <item x="1354"/>
        <item x="1562"/>
        <item x="1121"/>
        <item x="1591"/>
        <item x="270"/>
        <item x="1598"/>
        <item x="78"/>
        <item x="800"/>
        <item x="838"/>
        <item x="553"/>
        <item x="71"/>
        <item x="183"/>
        <item x="201"/>
        <item x="1114"/>
        <item x="36"/>
        <item x="626"/>
        <item x="1310"/>
        <item x="1488"/>
        <item x="1316"/>
        <item x="348"/>
        <item x="170"/>
        <item x="1282"/>
        <item x="1285"/>
        <item x="38"/>
        <item x="1224"/>
        <item x="1266"/>
        <item x="1673"/>
        <item x="1063"/>
        <item x="729"/>
        <item x="113"/>
        <item x="1340"/>
        <item x="356"/>
        <item x="296"/>
        <item x="531"/>
        <item x="1743"/>
        <item x="186"/>
        <item x="407"/>
        <item x="1470"/>
        <item x="518"/>
        <item x="106"/>
        <item x="954"/>
        <item x="411"/>
        <item x="173"/>
        <item x="1137"/>
        <item x="52"/>
        <item x="520"/>
        <item x="1296"/>
        <item x="1279"/>
        <item x="453"/>
        <item x="6"/>
        <item x="1603"/>
        <item x="474"/>
        <item x="687"/>
        <item x="314"/>
        <item x="681"/>
        <item x="1421"/>
        <item x="506"/>
        <item x="725"/>
        <item x="1024"/>
        <item x="1610"/>
        <item x="220"/>
        <item x="9"/>
        <item x="677"/>
        <item x="625"/>
        <item x="422"/>
        <item x="492"/>
        <item x="527"/>
        <item x="699"/>
        <item x="622"/>
        <item x="299"/>
        <item x="1398"/>
        <item x="1200"/>
        <item x="443"/>
        <item x="142"/>
        <item x="1070"/>
        <item x="661"/>
        <item x="1272"/>
        <item x="1331"/>
        <item x="397"/>
        <item x="23"/>
        <item x="335"/>
        <item x="1440"/>
        <item x="1313"/>
        <item x="1353"/>
        <item x="1213"/>
        <item x="1587"/>
        <item x="610"/>
        <item sd="0" x="905"/>
        <item x="792"/>
        <item x="724"/>
        <item x="629"/>
        <item x="1133"/>
        <item x="1202"/>
        <item x="370"/>
        <item x="844"/>
        <item x="621"/>
        <item x="1045"/>
        <item x="976"/>
        <item x="63"/>
        <item x="1564"/>
        <item x="1614"/>
        <item x="172"/>
        <item x="1317"/>
        <item x="1412"/>
        <item x="1395"/>
        <item x="742"/>
        <item x="1281"/>
        <item x="417"/>
        <item x="612"/>
        <item x="112"/>
        <item x="380"/>
        <item x="1066"/>
        <item x="1521"/>
        <item x="45"/>
        <item x="1223"/>
        <item x="510"/>
        <item x="366"/>
        <item x="415"/>
        <item x="686"/>
        <item x="1692"/>
        <item x="663"/>
        <item x="365"/>
        <item x="566"/>
        <item x="205"/>
        <item x="1209"/>
        <item x="820"/>
        <item x="288"/>
        <item x="1656"/>
        <item x="522"/>
        <item x="591"/>
        <item x="498"/>
        <item x="278"/>
        <item x="49"/>
        <item x="344"/>
        <item x="862"/>
        <item x="310"/>
        <item x="1155"/>
        <item x="1524"/>
        <item x="1537"/>
        <item x="8"/>
        <item x="323"/>
        <item x="1243"/>
        <item x="1726"/>
        <item x="579"/>
        <item x="1197"/>
        <item x="236"/>
        <item x="1677"/>
        <item x="688"/>
        <item x="61"/>
        <item x="599"/>
        <item x="1601"/>
        <item x="129"/>
        <item x="332"/>
        <item x="369"/>
        <item x="491"/>
        <item x="1492"/>
        <item x="933"/>
        <item x="1211"/>
        <item x="1617"/>
        <item x="238"/>
        <item x="1059"/>
        <item x="1477"/>
        <item x="843"/>
        <item x="786"/>
        <item x="544"/>
        <item x="196"/>
        <item x="1330"/>
        <item x="277"/>
        <item x="1214"/>
        <item x="971"/>
        <item x="550"/>
        <item x="559"/>
        <item x="1444"/>
        <item x="1110"/>
        <item x="1715"/>
        <item x="798"/>
        <item x="561"/>
        <item x="143"/>
        <item x="164"/>
        <item x="317"/>
        <item x="195"/>
        <item x="1612"/>
        <item x="669"/>
        <item x="1484"/>
        <item x="336"/>
        <item x="1334"/>
        <item x="1001"/>
        <item x="607"/>
        <item x="1483"/>
        <item x="1594"/>
        <item x="1593"/>
        <item x="1530"/>
        <item x="1575"/>
        <item x="741"/>
        <item x="379"/>
        <item x="1391"/>
        <item x="713"/>
        <item x="911"/>
        <item x="778"/>
        <item x="1028"/>
        <item x="110"/>
        <item x="943"/>
        <item x="1695"/>
        <item x="888"/>
        <item x="523"/>
        <item x="840"/>
        <item x="541"/>
        <item x="132"/>
        <item x="391"/>
        <item x="674"/>
        <item x="1037"/>
        <item x="788"/>
        <item x="1393"/>
        <item x="1463"/>
        <item x="1536"/>
        <item x="863"/>
        <item x="1245"/>
        <item x="1097"/>
        <item x="576"/>
        <item x="1087"/>
        <item x="1170"/>
        <item x="979"/>
        <item x="1225"/>
        <item x="1426"/>
        <item x="675"/>
        <item x="997"/>
        <item x="1466"/>
        <item x="305"/>
        <item x="111"/>
        <item x="215"/>
        <item x="647"/>
        <item x="232"/>
        <item x="261"/>
        <item x="771"/>
        <item x="880"/>
        <item x="1569"/>
        <item sd="0" x="227"/>
        <item x="257"/>
        <item sd="0" x="1098"/>
        <item x="851"/>
        <item x="698"/>
        <item x="560"/>
        <item x="762"/>
        <item x="833"/>
        <item x="1416"/>
        <item x="311"/>
        <item x="504"/>
        <item x="594"/>
        <item x="974"/>
        <item x="577"/>
        <item x="926"/>
        <item x="659"/>
        <item x="115"/>
        <item x="986"/>
        <item x="122"/>
        <item x="982"/>
        <item x="1356"/>
        <item x="1050"/>
        <item x="1375"/>
        <item x="1406"/>
        <item x="1204"/>
        <item x="432"/>
        <item x="1551"/>
        <item x="1628"/>
        <item x="1535"/>
        <item x="1146"/>
        <item x="873"/>
        <item x="479"/>
        <item x="1237"/>
        <item x="1117"/>
        <item x="1722"/>
        <item x="546"/>
        <item x="931"/>
        <item x="25"/>
        <item x="573"/>
        <item x="1380"/>
        <item x="1336"/>
        <item x="1457"/>
        <item x="1343"/>
        <item x="404"/>
        <item x="304"/>
        <item x="813"/>
        <item x="750"/>
        <item x="1525"/>
        <item x="437"/>
        <item x="927"/>
        <item x="378"/>
        <item x="307"/>
        <item x="604"/>
        <item x="1674"/>
        <item x="1515"/>
        <item x="841"/>
        <item x="1269"/>
        <item x="588"/>
        <item x="815"/>
        <item x="27"/>
        <item x="1459"/>
        <item x="715"/>
        <item x="286"/>
        <item x="1595"/>
        <item x="312"/>
        <item x="871"/>
        <item x="294"/>
        <item x="105"/>
        <item x="125"/>
        <item x="618"/>
        <item x="881"/>
        <item x="1140"/>
        <item x="602"/>
        <item x="1006"/>
        <item x="803"/>
        <item x="1376"/>
        <item x="1026"/>
        <item x="12"/>
        <item x="1485"/>
        <item x="1698"/>
        <item x="64"/>
        <item x="662"/>
        <item x="1481"/>
        <item x="1583"/>
        <item x="33"/>
        <item x="118"/>
        <item x="695"/>
        <item x="1658"/>
        <item x="743"/>
        <item x="1207"/>
        <item x="159"/>
        <item x="806"/>
        <item x="895"/>
        <item x="1004"/>
        <item x="372"/>
        <item x="80"/>
        <item x="1561"/>
        <item x="1659"/>
        <item x="451"/>
        <item x="1171"/>
        <item x="29"/>
        <item x="150"/>
        <item x="842"/>
        <item x="199"/>
        <item x="919"/>
        <item x="363"/>
        <item x="239"/>
        <item x="1169"/>
        <item x="937"/>
        <item x="1644"/>
        <item x="924"/>
        <item x="1431"/>
        <item x="910"/>
        <item x="878"/>
        <item x="1475"/>
        <item x="1304"/>
        <item x="921"/>
        <item x="1468"/>
        <item x="1292"/>
        <item x="716"/>
        <item x="1472"/>
        <item x="102"/>
        <item x="18"/>
        <item x="62"/>
        <item x="1009"/>
        <item x="676"/>
        <item x="1405"/>
        <item x="665"/>
        <item x="640"/>
        <item x="874"/>
        <item x="736"/>
        <item x="161"/>
        <item x="1046"/>
        <item x="583"/>
        <item x="342"/>
        <item x="897"/>
        <item x="1192"/>
        <item x="1579"/>
        <item x="1083"/>
        <item x="1149"/>
        <item x="1508"/>
        <item x="123"/>
        <item x="950"/>
        <item x="1471"/>
        <item x="767"/>
        <item x="155"/>
        <item x="952"/>
        <item x="1437"/>
        <item x="1660"/>
        <item x="19"/>
        <item x="139"/>
        <item x="1166"/>
        <item x="497"/>
        <item x="1290"/>
        <item x="1650"/>
        <item x="1396"/>
        <item x="517"/>
        <item x="1096"/>
        <item x="735"/>
        <item sd="0" x="292"/>
        <item x="535"/>
        <item x="11"/>
        <item x="882"/>
        <item x="41"/>
        <item x="738"/>
        <item x="1505"/>
        <item x="1236"/>
        <item x="1060"/>
        <item x="1337"/>
        <item x="1661"/>
        <item x="1308"/>
        <item x="563"/>
        <item x="1632"/>
        <item x="712"/>
        <item x="1652"/>
        <item x="955"/>
        <item x="430"/>
        <item x="56"/>
        <item x="1625"/>
        <item x="757"/>
        <item x="119"/>
        <item x="809"/>
        <item x="1582"/>
        <item x="1633"/>
        <item x="1176"/>
        <item x="466"/>
        <item x="188"/>
        <item x="1076"/>
        <item x="1549"/>
        <item x="57"/>
        <item sd="0" x="1002"/>
        <item x="555"/>
        <item x="1367"/>
        <item x="1335"/>
        <item x="1278"/>
        <item x="47"/>
        <item x="1553"/>
        <item x="1627"/>
        <item x="1641"/>
        <item x="316"/>
        <item x="620"/>
        <item x="1007"/>
        <item x="393"/>
        <item x="1183"/>
        <item x="226"/>
        <item x="570"/>
        <item x="768"/>
        <item x="374"/>
        <item x="1733"/>
        <item x="221"/>
        <item x="587"/>
        <item x="601"/>
        <item x="1072"/>
        <item x="1384"/>
        <item x="1586"/>
        <item x="977"/>
        <item x="32"/>
        <item x="1195"/>
        <item x="608"/>
        <item x="133"/>
        <item x="325"/>
        <item x="1203"/>
        <item x="359"/>
        <item x="1432"/>
        <item x="539"/>
        <item x="938"/>
        <item x="145"/>
        <item x="782"/>
        <item x="1629"/>
        <item x="1502"/>
        <item x="1382"/>
        <item x="373"/>
        <item x="264"/>
        <item x="1119"/>
        <item x="543"/>
        <item x="253"/>
        <item x="1474"/>
        <item sd="0" x="445"/>
        <item x="436"/>
        <item x="864"/>
        <item x="168"/>
        <item x="547"/>
        <item x="793"/>
        <item x="853"/>
        <item x="416"/>
        <item x="942"/>
        <item x="151"/>
        <item x="22"/>
        <item x="985"/>
        <item x="1461"/>
        <item x="1619"/>
        <item x="1413"/>
        <item x="706"/>
        <item x="1423"/>
        <item x="394"/>
        <item x="1016"/>
        <item x="20"/>
        <item x="611"/>
        <item x="1523"/>
        <item x="303"/>
        <item x="791"/>
        <item x="167"/>
        <item x="1042"/>
        <item x="1168"/>
        <item x="1584"/>
        <item x="1193"/>
        <item x="1261"/>
        <item x="664"/>
        <item x="783"/>
        <item x="1173"/>
        <item x="360"/>
        <item x="1543"/>
        <item x="1573"/>
        <item x="39"/>
        <item x="828"/>
        <item x="494"/>
        <item x="24"/>
        <item x="1164"/>
        <item x="1305"/>
        <item x="1000"/>
        <item x="1417"/>
        <item x="883"/>
        <item x="641"/>
        <item x="1047"/>
        <item x="907"/>
        <item sd="0" x="727"/>
        <item x="619"/>
        <item x="53"/>
        <item x="578"/>
        <item x="1414"/>
        <item x="678"/>
        <item x="1565"/>
        <item x="822"/>
        <item x="1348"/>
        <item x="92"/>
        <item x="43"/>
        <item x="449"/>
        <item x="1740"/>
        <item x="891"/>
        <item x="944"/>
        <item x="1298"/>
        <item x="182"/>
        <item x="730"/>
        <item x="399"/>
        <item sd="0" x="940"/>
        <item x="1489"/>
        <item x="34"/>
        <item x="386"/>
        <item x="1580"/>
        <item x="708"/>
        <item x="1410"/>
        <item x="2"/>
        <item x="753"/>
        <item x="224"/>
        <item x="1287"/>
        <item x="1737"/>
        <item x="383"/>
        <item x="1352"/>
        <item x="1449"/>
        <item x="747"/>
        <item x="423"/>
        <item x="250"/>
        <item x="472"/>
        <item x="375"/>
        <item x="424"/>
        <item x="1452"/>
        <item x="655"/>
        <item x="1035"/>
        <item x="364"/>
        <item x="1578"/>
        <item x="1620"/>
        <item x="1363"/>
        <item x="1152"/>
        <item x="17"/>
        <item x="538"/>
        <item x="1255"/>
        <item x="585"/>
        <item x="287"/>
        <item x="839"/>
        <item x="367"/>
        <item x="1328"/>
        <item x="1456"/>
        <item x="333"/>
        <item x="293"/>
        <item x="1570"/>
        <item x="994"/>
        <item x="218"/>
        <item x="875"/>
        <item x="1668"/>
        <item x="1161"/>
        <item x="1239"/>
        <item x="1409"/>
        <item x="95"/>
        <item x="507"/>
        <item x="956"/>
        <item x="648"/>
        <item x="35"/>
        <item x="633"/>
        <item x="135"/>
        <item x="817"/>
        <item x="613"/>
        <item x="447"/>
        <item x="959"/>
        <item x="327"/>
        <item x="1728"/>
        <item x="267"/>
        <item x="1744"/>
        <item x="1411"/>
        <item x="1378"/>
        <item x="802"/>
        <item x="1742"/>
        <item x="1638"/>
        <item x="88"/>
        <item x="1636"/>
        <item x="1217"/>
        <item x="147"/>
        <item x="1267"/>
        <item x="781"/>
        <item x="1181"/>
        <item x="117"/>
        <item x="1075"/>
        <item x="1723"/>
        <item x="790"/>
        <item x="471"/>
        <item x="751"/>
        <item x="1511"/>
        <item sd="0" x="969"/>
        <item x="1531"/>
        <item x="1019"/>
        <item x="1271"/>
        <item x="821"/>
        <item x="1693"/>
        <item x="96"/>
        <item x="731"/>
        <item x="141"/>
        <item x="991"/>
        <item x="928"/>
        <item x="795"/>
        <item x="74"/>
        <item x="301"/>
        <item x="1049"/>
        <item x="1148"/>
        <item x="1602"/>
        <item x="255"/>
        <item x="448"/>
        <item x="1199"/>
        <item x="1012"/>
        <item x="529"/>
        <item x="67"/>
        <item x="499"/>
        <item x="1467"/>
        <item x="1109"/>
        <item x="765"/>
        <item x="1645"/>
        <item x="1497"/>
        <item x="1689"/>
        <item x="485"/>
        <item x="1576"/>
        <item x="826"/>
        <item x="1473"/>
        <item x="1074"/>
        <item x="900"/>
        <item x="1559"/>
        <item x="644"/>
        <item x="1033"/>
        <item x="1082"/>
        <item x="349"/>
        <item x="1572"/>
        <item sd="0" x="521"/>
        <item x="717"/>
        <item x="631"/>
        <item x="1031"/>
        <item x="740"/>
        <item x="108"/>
        <item x="1719"/>
        <item x="859"/>
        <item x="1077"/>
        <item x="134"/>
        <item x="572"/>
        <item x="458"/>
        <item x="70"/>
        <item x="1706"/>
        <item x="556"/>
        <item x="1022"/>
        <item x="177"/>
        <item x="1745"/>
        <item x="1116"/>
        <item x="597"/>
        <item x="1163"/>
        <item x="922"/>
        <item x="1038"/>
        <item x="642"/>
        <item t="default"/>
      </items>
    </pivotField>
    <pivotField name="Fecha Compra" compact="0" numFmtId="170" outline="0" multipleItemSelectionAllowed="1" showAll="0">
      <items count="2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t="default"/>
      </items>
    </pivotField>
    <pivotField name="Diagnóstico" compact="0" outline="0" multipleItemSelectionAllowed="1" showAll="0">
      <items count="3">
        <item x="0"/>
        <item x="1"/>
        <item t="default"/>
      </items>
    </pivotField>
    <pivotField name="Nº de Audífonos" axis="axisRow" dataField="1" compact="0" outline="0" multipleItemSelectionAllowed="1" showAll="0" sortType="ascending">
      <items count="5">
        <item x="3"/>
        <item x="1"/>
        <item x="0"/>
        <item x="2"/>
        <item t="default"/>
      </items>
    </pivotField>
    <pivotField name="Detalle" compact="0" numFmtId="4" outline="0" multipleItemSelectionAllowed="1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PVP" dataField="1" compact="0" numFmtId="4" outline="0" multipleItemSelectionAllowed="1" showAll="0">
      <items count="4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t="default"/>
      </items>
    </pivotField>
    <pivotField name="ALTA" compact="0" numFmtId="165" outline="0" multipleItemSelectionAllowed="1" showAll="0">
      <items count="3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t="default"/>
      </items>
    </pivotField>
    <pivotField name=" " compact="0" outline="0" multipleItemSelectionAllowed="1" showAll="0">
      <items count="2">
        <item x="0"/>
        <item t="default"/>
      </items>
    </pivotField>
    <pivotField name=" 2" compact="0" outline="0" multipleItemSelectionAllowed="1" showAll="0">
      <items count="2">
        <item x="0"/>
        <item t="default"/>
      </items>
    </pivotField>
    <pivotField name=" 3" compact="0" outline="0" multipleItemSelectionAllowed="1" showAll="0">
      <items count="2">
        <item x="0"/>
        <item t="default"/>
      </items>
    </pivotField>
    <pivotField name=" 4" compact="0" outline="0" multipleItemSelectionAllowed="1" showAll="0">
      <items count="2">
        <item x="0"/>
        <item t="default"/>
      </items>
    </pivotField>
    <pivotField name=" 5" compact="0" outline="0" multipleItemSelectionAllowed="1" showAll="0">
      <items count="2">
        <item x="0"/>
        <item t="default"/>
      </items>
    </pivotField>
    <pivotField name=" 6" compact="0" outline="0" multipleItemSelectionAllowed="1" showAll="0">
      <items count="2">
        <item x="0"/>
        <item t="default"/>
      </items>
    </pivotField>
    <pivotField name=" 7" compact="0" outline="0" multipleItemSelectionAllowed="1" showAll="0">
      <items count="2">
        <item x="0"/>
        <item t="default"/>
      </items>
    </pivotField>
    <pivotField name=" 8" compact="0" outline="0" multipleItemSelectionAllowed="1" showAll="0">
      <items count="2">
        <item x="0"/>
        <item t="default"/>
      </items>
    </pivotField>
    <pivotField name=" 9" compact="0" outline="0" multipleItemSelectionAllowed="1" showAll="0">
      <items count="2">
        <item x="0"/>
        <item t="default"/>
      </items>
    </pivotField>
    <pivotField name=" 10" compact="0" outline="0" multipleItemSelectionAllowed="1" showAll="0">
      <items count="2">
        <item x="0"/>
        <item t="default"/>
      </items>
    </pivotField>
  </pivotFields>
  <rowFields count="5">
    <field x="0"/>
    <field x="9"/>
    <field x="8"/>
    <field x="10"/>
    <field x="13"/>
  </rowFields>
  <colFields count="1">
    <field x="-2"/>
  </colFields>
  <dataFields count="2">
    <dataField name="  Nº de Audífonos" fld="13" baseField="0"/>
    <dataField name=" PVP SIN IVA" fld="1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3.xml.rels><?xml version="1.0" encoding="UTF-8" standalone="yes"?>
<Relationships xmlns="http://schemas.openxmlformats.org/package/2006/relationships"><Relationship Id="rId117" Type="http://schemas.openxmlformats.org/officeDocument/2006/relationships/hyperlink" Target="mailto:marmruizcoello@hotmail.com" TargetMode="External"/><Relationship Id="rId21" Type="http://schemas.openxmlformats.org/officeDocument/2006/relationships/hyperlink" Target="mailto:jrdeleonl@ufm.edu" TargetMode="External"/><Relationship Id="rId42" Type="http://schemas.openxmlformats.org/officeDocument/2006/relationships/hyperlink" Target="mailto:contrato.medclic@gmail.com" TargetMode="External"/><Relationship Id="rId63" Type="http://schemas.openxmlformats.org/officeDocument/2006/relationships/hyperlink" Target="mailto:Lauragrau9@gmail.com" TargetMode="External"/><Relationship Id="rId84" Type="http://schemas.openxmlformats.org/officeDocument/2006/relationships/hyperlink" Target="mailto:miquelguirao@gmail.com" TargetMode="External"/><Relationship Id="rId138" Type="http://schemas.openxmlformats.org/officeDocument/2006/relationships/hyperlink" Target="mailto:contrato.medclic@gmail.com" TargetMode="External"/><Relationship Id="rId107" Type="http://schemas.openxmlformats.org/officeDocument/2006/relationships/hyperlink" Target="mailto:masegosa_cr@hotmail.com" TargetMode="External"/><Relationship Id="rId11" Type="http://schemas.openxmlformats.org/officeDocument/2006/relationships/hyperlink" Target="mailto:egaldaz@gmail.com" TargetMode="External"/><Relationship Id="rId32" Type="http://schemas.openxmlformats.org/officeDocument/2006/relationships/hyperlink" Target="mailto:contrato.medclic@gmail.com" TargetMode="External"/><Relationship Id="rId53" Type="http://schemas.openxmlformats.org/officeDocument/2006/relationships/hyperlink" Target="mailto:mabadpascual@gmail.com" TargetMode="External"/><Relationship Id="rId74" Type="http://schemas.openxmlformats.org/officeDocument/2006/relationships/hyperlink" Target="mailto:blancam_martinezduro@yahoo.es" TargetMode="External"/><Relationship Id="rId128" Type="http://schemas.openxmlformats.org/officeDocument/2006/relationships/hyperlink" Target="mailto:jessag1390@gmail.com" TargetMode="External"/><Relationship Id="rId149" Type="http://schemas.openxmlformats.org/officeDocument/2006/relationships/hyperlink" Target="mailto:mariahoo@hotmail.com" TargetMode="External"/><Relationship Id="rId5" Type="http://schemas.openxmlformats.org/officeDocument/2006/relationships/hyperlink" Target="mailto:donluisfi@gmail.com" TargetMode="External"/><Relationship Id="rId95" Type="http://schemas.openxmlformats.org/officeDocument/2006/relationships/hyperlink" Target="mailto:carlosvelasquez113@gmail.com" TargetMode="External"/><Relationship Id="rId22" Type="http://schemas.openxmlformats.org/officeDocument/2006/relationships/hyperlink" Target="mailto:contrato.medclic@gmail.com" TargetMode="External"/><Relationship Id="rId27" Type="http://schemas.openxmlformats.org/officeDocument/2006/relationships/hyperlink" Target="mailto:pmruizdeapodaca@gmail.com" TargetMode="External"/><Relationship Id="rId43" Type="http://schemas.openxmlformats.org/officeDocument/2006/relationships/hyperlink" Target="mailto:isabelpolotomas.ip@gmail.com" TargetMode="External"/><Relationship Id="rId48" Type="http://schemas.openxmlformats.org/officeDocument/2006/relationships/hyperlink" Target="mailto:contrato.medclic@gmail.com" TargetMode="External"/><Relationship Id="rId64" Type="http://schemas.openxmlformats.org/officeDocument/2006/relationships/hyperlink" Target="mailto:raimundo.gomezbc@gmail.com" TargetMode="External"/><Relationship Id="rId69" Type="http://schemas.openxmlformats.org/officeDocument/2006/relationships/hyperlink" Target="mailto:fgalcantara@hotmail.com" TargetMode="External"/><Relationship Id="rId113" Type="http://schemas.openxmlformats.org/officeDocument/2006/relationships/hyperlink" Target="mailto:DRAMIRIAMHAMDAN@GMAIL.COM" TargetMode="External"/><Relationship Id="rId118" Type="http://schemas.openxmlformats.org/officeDocument/2006/relationships/hyperlink" Target="mailto:Maitecervilla@gmail.com" TargetMode="External"/><Relationship Id="rId134" Type="http://schemas.openxmlformats.org/officeDocument/2006/relationships/hyperlink" Target="mailto:annasumarroca@gmail.com" TargetMode="External"/><Relationship Id="rId139" Type="http://schemas.openxmlformats.org/officeDocument/2006/relationships/hyperlink" Target="mailto:alo_orl@yahoo.es" TargetMode="External"/><Relationship Id="rId80" Type="http://schemas.openxmlformats.org/officeDocument/2006/relationships/hyperlink" Target="mailto:mdelrociolobato@gmail.com" TargetMode="External"/><Relationship Id="rId85" Type="http://schemas.openxmlformats.org/officeDocument/2006/relationships/hyperlink" Target="mailto:contrato.medclic@gmail.com" TargetMode="External"/><Relationship Id="rId150" Type="http://schemas.openxmlformats.org/officeDocument/2006/relationships/hyperlink" Target="mailto:contrato.medclic@gmail.com" TargetMode="External"/><Relationship Id="rId12" Type="http://schemas.openxmlformats.org/officeDocument/2006/relationships/hyperlink" Target="mailto:contrato.medclic@gmail.com" TargetMode="External"/><Relationship Id="rId17" Type="http://schemas.openxmlformats.org/officeDocument/2006/relationships/hyperlink" Target="mailto:dag29230@hotmail.com" TargetMode="External"/><Relationship Id="rId33" Type="http://schemas.openxmlformats.org/officeDocument/2006/relationships/hyperlink" Target="mailto:juan.maza.solano@gmail.com" TargetMode="External"/><Relationship Id="rId38" Type="http://schemas.openxmlformats.org/officeDocument/2006/relationships/hyperlink" Target="mailto:contrato.medclic@gmail.com" TargetMode="External"/><Relationship Id="rId59" Type="http://schemas.openxmlformats.org/officeDocument/2006/relationships/hyperlink" Target="mailto:contrato.medclic@gmail.com" TargetMode="External"/><Relationship Id="rId103" Type="http://schemas.openxmlformats.org/officeDocument/2006/relationships/hyperlink" Target="mailto:contrato.medclic@gmail.com" TargetMode="External"/><Relationship Id="rId108" Type="http://schemas.openxmlformats.org/officeDocument/2006/relationships/hyperlink" Target="mailto:pezcurra_es@yahoo.es" TargetMode="External"/><Relationship Id="rId124" Type="http://schemas.openxmlformats.org/officeDocument/2006/relationships/hyperlink" Target="mailto:Kmontano.rueda@gmail.com" TargetMode="External"/><Relationship Id="rId129" Type="http://schemas.openxmlformats.org/officeDocument/2006/relationships/hyperlink" Target="mailto:contrato.medclic@gmail.com" TargetMode="External"/><Relationship Id="rId54" Type="http://schemas.openxmlformats.org/officeDocument/2006/relationships/hyperlink" Target="mailto:contrato.medclic@gmail.com" TargetMode="External"/><Relationship Id="rId70" Type="http://schemas.openxmlformats.org/officeDocument/2006/relationships/hyperlink" Target="mailto:clinica.odonnell.orl@gmail.com" TargetMode="External"/><Relationship Id="rId75" Type="http://schemas.openxmlformats.org/officeDocument/2006/relationships/hyperlink" Target="mailto:Javier.gavilanes@gmail.com" TargetMode="External"/><Relationship Id="rId91" Type="http://schemas.openxmlformats.org/officeDocument/2006/relationships/hyperlink" Target="mailto:contrato.medclic@gmail.com" TargetMode="External"/><Relationship Id="rId96" Type="http://schemas.openxmlformats.org/officeDocument/2006/relationships/hyperlink" Target="mailto:itziar.alvarez.palacios@gmail.com" TargetMode="External"/><Relationship Id="rId140" Type="http://schemas.openxmlformats.org/officeDocument/2006/relationships/hyperlink" Target="mailto:contrato.medclic@gmail.com" TargetMode="External"/><Relationship Id="rId145" Type="http://schemas.openxmlformats.org/officeDocument/2006/relationships/hyperlink" Target="mailto:contrato.medclic@gmail.com" TargetMode="External"/><Relationship Id="rId1" Type="http://schemas.openxmlformats.org/officeDocument/2006/relationships/hyperlink" Target="mailto:crismol2000@hotmail.com" TargetMode="External"/><Relationship Id="rId6" Type="http://schemas.openxmlformats.org/officeDocument/2006/relationships/hyperlink" Target="mailto:contrato.medclic@gmail.com" TargetMode="External"/><Relationship Id="rId23" Type="http://schemas.openxmlformats.org/officeDocument/2006/relationships/hyperlink" Target="mailto:24047ecl@gmail.com" TargetMode="External"/><Relationship Id="rId28" Type="http://schemas.openxmlformats.org/officeDocument/2006/relationships/hyperlink" Target="mailto:contrato.medclic@gmail.com" TargetMode="External"/><Relationship Id="rId49" Type="http://schemas.openxmlformats.org/officeDocument/2006/relationships/hyperlink" Target="mailto:santillan2@hotmail.com" TargetMode="External"/><Relationship Id="rId114" Type="http://schemas.openxmlformats.org/officeDocument/2006/relationships/hyperlink" Target="mailto:pmruizdeapodaca@gmail.com" TargetMode="External"/><Relationship Id="rId119" Type="http://schemas.openxmlformats.org/officeDocument/2006/relationships/hyperlink" Target="mailto:contrato.medclic@gmail.com" TargetMode="External"/><Relationship Id="rId44" Type="http://schemas.openxmlformats.org/officeDocument/2006/relationships/hyperlink" Target="mailto:contrato.medclic@gmail.com" TargetMode="External"/><Relationship Id="rId60" Type="http://schemas.openxmlformats.org/officeDocument/2006/relationships/hyperlink" Target="mailto:Abel311@gmail.com" TargetMode="External"/><Relationship Id="rId65" Type="http://schemas.openxmlformats.org/officeDocument/2006/relationships/hyperlink" Target="mailto:contrato.medclic@gmail.com" TargetMode="External"/><Relationship Id="rId81" Type="http://schemas.openxmlformats.org/officeDocument/2006/relationships/hyperlink" Target="mailto:amb-huertas@hotmail.com" TargetMode="External"/><Relationship Id="rId86" Type="http://schemas.openxmlformats.org/officeDocument/2006/relationships/hyperlink" Target="mailto:miquelguirao@gmail.com" TargetMode="External"/><Relationship Id="rId130" Type="http://schemas.openxmlformats.org/officeDocument/2006/relationships/hyperlink" Target="mailto:jessag1390@gmail.com" TargetMode="External"/><Relationship Id="rId135" Type="http://schemas.openxmlformats.org/officeDocument/2006/relationships/hyperlink" Target="mailto:contrato.medclic@gmail.com" TargetMode="External"/><Relationship Id="rId151" Type="http://schemas.openxmlformats.org/officeDocument/2006/relationships/hyperlink" Target="mailto:mjlesmas@gmail.com" TargetMode="External"/><Relationship Id="rId13" Type="http://schemas.openxmlformats.org/officeDocument/2006/relationships/hyperlink" Target="mailto:albertomoreno@audicostaudifonos.com" TargetMode="External"/><Relationship Id="rId18" Type="http://schemas.openxmlformats.org/officeDocument/2006/relationships/hyperlink" Target="mailto:contrato.medclic@gmail.com" TargetMode="External"/><Relationship Id="rId39" Type="http://schemas.openxmlformats.org/officeDocument/2006/relationships/hyperlink" Target="mailto:27955xgc@gmail.com" TargetMode="External"/><Relationship Id="rId109" Type="http://schemas.openxmlformats.org/officeDocument/2006/relationships/hyperlink" Target="mailto:contrato.medclic@gmail.com" TargetMode="External"/><Relationship Id="rId34" Type="http://schemas.openxmlformats.org/officeDocument/2006/relationships/hyperlink" Target="mailto:contrato.medclic@gmail.com" TargetMode="External"/><Relationship Id="rId50" Type="http://schemas.openxmlformats.org/officeDocument/2006/relationships/hyperlink" Target="mailto:contrato.medclic@gmail.com" TargetMode="External"/><Relationship Id="rId55" Type="http://schemas.openxmlformats.org/officeDocument/2006/relationships/hyperlink" Target="mailto:martamesalles@gmail.com" TargetMode="External"/><Relationship Id="rId76" Type="http://schemas.openxmlformats.org/officeDocument/2006/relationships/hyperlink" Target="mailto:contrato.medclic@gmail.com" TargetMode="External"/><Relationship Id="rId97" Type="http://schemas.openxmlformats.org/officeDocument/2006/relationships/hyperlink" Target="mailto:contrato.medclic@gmail.com" TargetMode="External"/><Relationship Id="rId104" Type="http://schemas.openxmlformats.org/officeDocument/2006/relationships/hyperlink" Target="mailto:julissa.v.m@gmail.com" TargetMode="External"/><Relationship Id="rId120" Type="http://schemas.openxmlformats.org/officeDocument/2006/relationships/hyperlink" Target="mailto:Maitecervilla@gmail.com" TargetMode="External"/><Relationship Id="rId125" Type="http://schemas.openxmlformats.org/officeDocument/2006/relationships/hyperlink" Target="mailto:Kmontano.rueda@gmail.com" TargetMode="External"/><Relationship Id="rId141" Type="http://schemas.openxmlformats.org/officeDocument/2006/relationships/hyperlink" Target="mailto:alo_orl@yahoo.es" TargetMode="External"/><Relationship Id="rId146" Type="http://schemas.openxmlformats.org/officeDocument/2006/relationships/hyperlink" Target="mailto:mariahoo@hotmail.com" TargetMode="External"/><Relationship Id="rId7" Type="http://schemas.openxmlformats.org/officeDocument/2006/relationships/hyperlink" Target="mailto:manuelgonzalezorl@gmail.com" TargetMode="External"/><Relationship Id="rId71" Type="http://schemas.openxmlformats.org/officeDocument/2006/relationships/hyperlink" Target="mailto:contrato.medclic@gmail.com" TargetMode="External"/><Relationship Id="rId92" Type="http://schemas.openxmlformats.org/officeDocument/2006/relationships/hyperlink" Target="mailto:nata.pf@gmail.com" TargetMode="External"/><Relationship Id="rId2" Type="http://schemas.openxmlformats.org/officeDocument/2006/relationships/hyperlink" Target="mailto:contrato.medclic@gmail.com" TargetMode="External"/><Relationship Id="rId29" Type="http://schemas.openxmlformats.org/officeDocument/2006/relationships/hyperlink" Target="mailto:Esther.garcia.gonz@gmail.com" TargetMode="External"/><Relationship Id="rId24" Type="http://schemas.openxmlformats.org/officeDocument/2006/relationships/hyperlink" Target="mailto:contrato.medclic@gmail.com" TargetMode="External"/><Relationship Id="rId40" Type="http://schemas.openxmlformats.org/officeDocument/2006/relationships/hyperlink" Target="mailto:contrato.medclic@gmail.com" TargetMode="External"/><Relationship Id="rId45" Type="http://schemas.openxmlformats.org/officeDocument/2006/relationships/hyperlink" Target="mailto:batlles.orl@gmail.com" TargetMode="External"/><Relationship Id="rId66" Type="http://schemas.openxmlformats.org/officeDocument/2006/relationships/hyperlink" Target="mailto:raimundo.gomezbc@gmail.com" TargetMode="External"/><Relationship Id="rId87" Type="http://schemas.openxmlformats.org/officeDocument/2006/relationships/hyperlink" Target="mailto:jolarietaorl@telefonica.net" TargetMode="External"/><Relationship Id="rId110" Type="http://schemas.openxmlformats.org/officeDocument/2006/relationships/hyperlink" Target="mailto:pezcurra_es@yahoo.es" TargetMode="External"/><Relationship Id="rId115" Type="http://schemas.openxmlformats.org/officeDocument/2006/relationships/hyperlink" Target="mailto:marmruizcoello@hotmail.com" TargetMode="External"/><Relationship Id="rId131" Type="http://schemas.openxmlformats.org/officeDocument/2006/relationships/hyperlink" Target="mailto:raimongarciachilleron@gmail.com" TargetMode="External"/><Relationship Id="rId136" Type="http://schemas.openxmlformats.org/officeDocument/2006/relationships/hyperlink" Target="mailto:Annasumarroca@gmail.com" TargetMode="External"/><Relationship Id="rId61" Type="http://schemas.openxmlformats.org/officeDocument/2006/relationships/hyperlink" Target="mailto:lauragdie@gmail.com" TargetMode="External"/><Relationship Id="rId82" Type="http://schemas.openxmlformats.org/officeDocument/2006/relationships/hyperlink" Target="mailto:contrato.medclic@gmail.com" TargetMode="External"/><Relationship Id="rId19" Type="http://schemas.openxmlformats.org/officeDocument/2006/relationships/hyperlink" Target="mailto:maritina.sevilla@gmail.com" TargetMode="External"/><Relationship Id="rId14" Type="http://schemas.openxmlformats.org/officeDocument/2006/relationships/hyperlink" Target="mailto:contrato.medclic@gmail.com" TargetMode="External"/><Relationship Id="rId30" Type="http://schemas.openxmlformats.org/officeDocument/2006/relationships/hyperlink" Target="mailto:contrato.medclic@gmail.com" TargetMode="External"/><Relationship Id="rId35" Type="http://schemas.openxmlformats.org/officeDocument/2006/relationships/hyperlink" Target="mailto:felipelhz@gmail.com" TargetMode="External"/><Relationship Id="rId56" Type="http://schemas.openxmlformats.org/officeDocument/2006/relationships/hyperlink" Target="mailto:contrato.medclic@gmail.com" TargetMode="External"/><Relationship Id="rId77" Type="http://schemas.openxmlformats.org/officeDocument/2006/relationships/hyperlink" Target="mailto:javier.gavilanes@gmail.com" TargetMode="External"/><Relationship Id="rId100" Type="http://schemas.openxmlformats.org/officeDocument/2006/relationships/hyperlink" Target="mailto:contrato.medclic@gmail.com" TargetMode="External"/><Relationship Id="rId105" Type="http://schemas.openxmlformats.org/officeDocument/2006/relationships/hyperlink" Target="mailto:masegosa_cr@hotmail.com" TargetMode="External"/><Relationship Id="rId126" Type="http://schemas.openxmlformats.org/officeDocument/2006/relationships/hyperlink" Target="mailto:contrato.medclic@gmail.com" TargetMode="External"/><Relationship Id="rId147" Type="http://schemas.openxmlformats.org/officeDocument/2006/relationships/hyperlink" Target="mailto:contrato.medclic@gmail.com" TargetMode="External"/><Relationship Id="rId8" Type="http://schemas.openxmlformats.org/officeDocument/2006/relationships/hyperlink" Target="mailto:contrato.medclic@gmail.com" TargetMode="External"/><Relationship Id="rId51" Type="http://schemas.openxmlformats.org/officeDocument/2006/relationships/hyperlink" Target="mailto:anamvalor@gmail.com" TargetMode="External"/><Relationship Id="rId72" Type="http://schemas.openxmlformats.org/officeDocument/2006/relationships/hyperlink" Target="mailto:blancam_martinezduro@yahoo.es" TargetMode="External"/><Relationship Id="rId93" Type="http://schemas.openxmlformats.org/officeDocument/2006/relationships/hyperlink" Target="mailto:Carlosvelasquez113@gmail.com" TargetMode="External"/><Relationship Id="rId98" Type="http://schemas.openxmlformats.org/officeDocument/2006/relationships/hyperlink" Target="mailto:itziar.alvarez.palacios@gmail.com" TargetMode="External"/><Relationship Id="rId121" Type="http://schemas.openxmlformats.org/officeDocument/2006/relationships/hyperlink" Target="mailto:mmateos96@hotmail.com" TargetMode="External"/><Relationship Id="rId142" Type="http://schemas.openxmlformats.org/officeDocument/2006/relationships/hyperlink" Target="mailto:cebacauto@gmail.com" TargetMode="External"/><Relationship Id="rId3" Type="http://schemas.openxmlformats.org/officeDocument/2006/relationships/hyperlink" Target="mailto:luismarber@gmail.com" TargetMode="External"/><Relationship Id="rId25" Type="http://schemas.openxmlformats.org/officeDocument/2006/relationships/hyperlink" Target="mailto:lauragarridogarcia@gmail.com" TargetMode="External"/><Relationship Id="rId46" Type="http://schemas.openxmlformats.org/officeDocument/2006/relationships/hyperlink" Target="mailto:contrato.medclic@gmail.com" TargetMode="External"/><Relationship Id="rId67" Type="http://schemas.openxmlformats.org/officeDocument/2006/relationships/hyperlink" Target="mailto:Fgalcantara@hotmail.com" TargetMode="External"/><Relationship Id="rId116" Type="http://schemas.openxmlformats.org/officeDocument/2006/relationships/hyperlink" Target="mailto:contrato.medclic@gmail.com" TargetMode="External"/><Relationship Id="rId137" Type="http://schemas.openxmlformats.org/officeDocument/2006/relationships/hyperlink" Target="mailto:Alfplazalopez@gmail.com" TargetMode="External"/><Relationship Id="rId20" Type="http://schemas.openxmlformats.org/officeDocument/2006/relationships/hyperlink" Target="mailto:contrato.medclic@gmail.com" TargetMode="External"/><Relationship Id="rId41" Type="http://schemas.openxmlformats.org/officeDocument/2006/relationships/hyperlink" Target="mailto:Dr_rafa5@hotmail.com" TargetMode="External"/><Relationship Id="rId62" Type="http://schemas.openxmlformats.org/officeDocument/2006/relationships/hyperlink" Target="mailto:contrato.medclic@gmail.com" TargetMode="External"/><Relationship Id="rId83" Type="http://schemas.openxmlformats.org/officeDocument/2006/relationships/hyperlink" Target="mailto:amb-huertas@hotmail.com" TargetMode="External"/><Relationship Id="rId88" Type="http://schemas.openxmlformats.org/officeDocument/2006/relationships/hyperlink" Target="mailto:contrato.medclic@gmail.com" TargetMode="External"/><Relationship Id="rId111" Type="http://schemas.openxmlformats.org/officeDocument/2006/relationships/hyperlink" Target="mailto:dramiriamhamdan@gmail.com" TargetMode="External"/><Relationship Id="rId132" Type="http://schemas.openxmlformats.org/officeDocument/2006/relationships/hyperlink" Target="mailto:contrato.medclic@gmail.com" TargetMode="External"/><Relationship Id="rId15" Type="http://schemas.openxmlformats.org/officeDocument/2006/relationships/hyperlink" Target="mailto:faragullar@hotmail.com" TargetMode="External"/><Relationship Id="rId36" Type="http://schemas.openxmlformats.org/officeDocument/2006/relationships/hyperlink" Target="mailto:contrato.medclic@gmail.com" TargetMode="External"/><Relationship Id="rId57" Type="http://schemas.openxmlformats.org/officeDocument/2006/relationships/hyperlink" Target="mailto:martamesalles@gmail.com" TargetMode="External"/><Relationship Id="rId106" Type="http://schemas.openxmlformats.org/officeDocument/2006/relationships/hyperlink" Target="mailto:contrato.medclic@gmail.com" TargetMode="External"/><Relationship Id="rId127" Type="http://schemas.openxmlformats.org/officeDocument/2006/relationships/hyperlink" Target="mailto:Kmontano.rueda@gmail.com" TargetMode="External"/><Relationship Id="rId10" Type="http://schemas.openxmlformats.org/officeDocument/2006/relationships/hyperlink" Target="mailto:contrato.medclic@gmail.com" TargetMode="External"/><Relationship Id="rId31" Type="http://schemas.openxmlformats.org/officeDocument/2006/relationships/hyperlink" Target="mailto:Desi_mendez@hotmail.com" TargetMode="External"/><Relationship Id="rId52" Type="http://schemas.openxmlformats.org/officeDocument/2006/relationships/hyperlink" Target="mailto:contrato.medclic@gmail.com" TargetMode="External"/><Relationship Id="rId73" Type="http://schemas.openxmlformats.org/officeDocument/2006/relationships/hyperlink" Target="mailto:contrato.medclic@gmail.com" TargetMode="External"/><Relationship Id="rId78" Type="http://schemas.openxmlformats.org/officeDocument/2006/relationships/hyperlink" Target="mailto:mdelrociolobato@gmail.com" TargetMode="External"/><Relationship Id="rId94" Type="http://schemas.openxmlformats.org/officeDocument/2006/relationships/hyperlink" Target="mailto:contrato.medclic@gmail.com" TargetMode="External"/><Relationship Id="rId99" Type="http://schemas.openxmlformats.org/officeDocument/2006/relationships/hyperlink" Target="mailto:Camacaroreana@gmail.com" TargetMode="External"/><Relationship Id="rId101" Type="http://schemas.openxmlformats.org/officeDocument/2006/relationships/hyperlink" Target="mailto:Camacaroreana@gmail.com" TargetMode="External"/><Relationship Id="rId122" Type="http://schemas.openxmlformats.org/officeDocument/2006/relationships/hyperlink" Target="mailto:contrato.medclic@gmail.com" TargetMode="External"/><Relationship Id="rId143" Type="http://schemas.openxmlformats.org/officeDocument/2006/relationships/hyperlink" Target="mailto:contrato.medclic@gmail.com" TargetMode="External"/><Relationship Id="rId148" Type="http://schemas.openxmlformats.org/officeDocument/2006/relationships/hyperlink" Target="mailto:mariahoo@hotmail.com" TargetMode="External"/><Relationship Id="rId4" Type="http://schemas.openxmlformats.org/officeDocument/2006/relationships/hyperlink" Target="mailto:contrato.medclic@gmail.com" TargetMode="External"/><Relationship Id="rId9" Type="http://schemas.openxmlformats.org/officeDocument/2006/relationships/hyperlink" Target="mailto:alexandera.jm23@gmail.com" TargetMode="External"/><Relationship Id="rId26" Type="http://schemas.openxmlformats.org/officeDocument/2006/relationships/hyperlink" Target="mailto:contrato.medclic@gmail.com" TargetMode="External"/><Relationship Id="rId47" Type="http://schemas.openxmlformats.org/officeDocument/2006/relationships/hyperlink" Target="mailto:Eviatarf@gmail.com" TargetMode="External"/><Relationship Id="rId68" Type="http://schemas.openxmlformats.org/officeDocument/2006/relationships/hyperlink" Target="mailto:contrato.medclic@gmail.com" TargetMode="External"/><Relationship Id="rId89" Type="http://schemas.openxmlformats.org/officeDocument/2006/relationships/hyperlink" Target="mailto:jolarietaorl@telefonica.net" TargetMode="External"/><Relationship Id="rId112" Type="http://schemas.openxmlformats.org/officeDocument/2006/relationships/hyperlink" Target="mailto:contrato.medclic@gmail.com" TargetMode="External"/><Relationship Id="rId133" Type="http://schemas.openxmlformats.org/officeDocument/2006/relationships/hyperlink" Target="mailto:RAIARSALUT@GMAIL.COM" TargetMode="External"/><Relationship Id="rId16" Type="http://schemas.openxmlformats.org/officeDocument/2006/relationships/hyperlink" Target="mailto:contrato.medclic@gmail.com" TargetMode="External"/><Relationship Id="rId37" Type="http://schemas.openxmlformats.org/officeDocument/2006/relationships/hyperlink" Target="mailto:Juan.riestra@hotmail.com" TargetMode="External"/><Relationship Id="rId58" Type="http://schemas.openxmlformats.org/officeDocument/2006/relationships/hyperlink" Target="mailto:abel311@gmail.com" TargetMode="External"/><Relationship Id="rId79" Type="http://schemas.openxmlformats.org/officeDocument/2006/relationships/hyperlink" Target="mailto:contrato.medclic@gmail.com" TargetMode="External"/><Relationship Id="rId102" Type="http://schemas.openxmlformats.org/officeDocument/2006/relationships/hyperlink" Target="mailto:julissa.v.m@gmail.com" TargetMode="External"/><Relationship Id="rId123" Type="http://schemas.openxmlformats.org/officeDocument/2006/relationships/hyperlink" Target="mailto:mmateos96@hotmail.com" TargetMode="External"/><Relationship Id="rId144" Type="http://schemas.openxmlformats.org/officeDocument/2006/relationships/hyperlink" Target="mailto:cebacauto@gmail.com" TargetMode="External"/><Relationship Id="rId90" Type="http://schemas.openxmlformats.org/officeDocument/2006/relationships/hyperlink" Target="mailto:nata.pf@gmail.com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://aidifono.es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932"/>
  <sheetViews>
    <sheetView topLeftCell="O1" workbookViewId="0"/>
  </sheetViews>
  <sheetFormatPr baseColWidth="10" defaultColWidth="12.6640625" defaultRowHeight="15" customHeight="1"/>
  <cols>
    <col min="1" max="5" width="12.6640625" hidden="1"/>
    <col min="6" max="6" width="27.5" hidden="1" customWidth="1"/>
    <col min="7" max="14" width="12.6640625" hidden="1"/>
    <col min="16" max="16" width="8.6640625" customWidth="1"/>
    <col min="18" max="18" width="4.83203125" customWidth="1"/>
    <col min="19" max="19" width="25.1640625" customWidth="1"/>
  </cols>
  <sheetData>
    <row r="1" spans="5:21">
      <c r="O1" s="1" t="s">
        <v>0</v>
      </c>
    </row>
    <row r="2" spans="5:21">
      <c r="E2" s="2"/>
      <c r="F2" s="3"/>
      <c r="G2" s="3"/>
      <c r="H2" s="2"/>
      <c r="I2" s="2"/>
      <c r="J2" s="2"/>
      <c r="K2" s="2"/>
      <c r="O2" s="4" t="s">
        <v>1</v>
      </c>
      <c r="P2" s="4" t="s">
        <v>2</v>
      </c>
      <c r="Q2" s="4" t="s">
        <v>3</v>
      </c>
      <c r="R2" s="4" t="s">
        <v>4</v>
      </c>
      <c r="S2" s="4" t="s">
        <v>5</v>
      </c>
      <c r="T2" s="4" t="s">
        <v>6</v>
      </c>
      <c r="U2" s="4" t="s">
        <v>7</v>
      </c>
    </row>
    <row r="3" spans="5:21">
      <c r="E3" s="5"/>
      <c r="F3" s="5"/>
      <c r="G3" s="5"/>
      <c r="H3" s="5"/>
      <c r="I3" s="5"/>
      <c r="J3" s="6"/>
      <c r="K3" s="5"/>
      <c r="O3" s="7" t="s">
        <v>8</v>
      </c>
      <c r="P3" s="7" t="s">
        <v>9</v>
      </c>
      <c r="Q3" s="7" t="s">
        <v>10</v>
      </c>
      <c r="R3" s="7" t="s">
        <v>11</v>
      </c>
      <c r="S3" s="7" t="s">
        <v>12</v>
      </c>
      <c r="T3" s="7" t="s">
        <v>13</v>
      </c>
      <c r="U3" s="7" t="s">
        <v>10</v>
      </c>
    </row>
    <row r="4" spans="5:21">
      <c r="E4" s="5"/>
      <c r="F4" s="8"/>
      <c r="G4" s="8"/>
      <c r="H4" s="5"/>
      <c r="I4" s="5"/>
      <c r="J4" s="6"/>
      <c r="K4" s="5"/>
      <c r="O4" s="7" t="s">
        <v>14</v>
      </c>
      <c r="P4" s="7" t="s">
        <v>15</v>
      </c>
      <c r="Q4" s="7" t="s">
        <v>16</v>
      </c>
      <c r="R4" s="7" t="s">
        <v>17</v>
      </c>
      <c r="S4" s="7" t="s">
        <v>18</v>
      </c>
      <c r="T4" s="7" t="s">
        <v>19</v>
      </c>
      <c r="U4" s="7" t="s">
        <v>16</v>
      </c>
    </row>
    <row r="5" spans="5:21">
      <c r="E5" s="5"/>
      <c r="F5" s="5"/>
      <c r="G5" s="5"/>
      <c r="H5" s="5"/>
      <c r="I5" s="5"/>
      <c r="J5" s="6"/>
      <c r="K5" s="5"/>
      <c r="O5" s="7" t="s">
        <v>8</v>
      </c>
      <c r="P5" s="7" t="s">
        <v>9</v>
      </c>
      <c r="Q5" s="7" t="s">
        <v>20</v>
      </c>
      <c r="R5" s="7" t="s">
        <v>11</v>
      </c>
      <c r="S5" s="7" t="s">
        <v>21</v>
      </c>
      <c r="T5" s="7" t="s">
        <v>22</v>
      </c>
      <c r="U5" s="7" t="s">
        <v>20</v>
      </c>
    </row>
    <row r="6" spans="5:21">
      <c r="E6" s="5"/>
      <c r="F6" s="5"/>
      <c r="G6" s="5"/>
      <c r="H6" s="5"/>
      <c r="I6" s="5"/>
      <c r="J6" s="6"/>
      <c r="K6" s="5"/>
      <c r="O6" s="7" t="s">
        <v>23</v>
      </c>
      <c r="P6" s="7" t="s">
        <v>24</v>
      </c>
      <c r="Q6" s="7" t="s">
        <v>25</v>
      </c>
      <c r="R6" s="7" t="s">
        <v>11</v>
      </c>
      <c r="S6" s="7" t="s">
        <v>26</v>
      </c>
      <c r="T6" s="7" t="s">
        <v>27</v>
      </c>
      <c r="U6" s="7" t="s">
        <v>25</v>
      </c>
    </row>
    <row r="7" spans="5:21">
      <c r="E7" s="5"/>
      <c r="F7" s="5"/>
      <c r="G7" s="5"/>
      <c r="H7" s="5"/>
      <c r="I7" s="5"/>
      <c r="J7" s="6"/>
      <c r="K7" s="5"/>
      <c r="O7" s="7" t="s">
        <v>28</v>
      </c>
      <c r="P7" s="7" t="s">
        <v>29</v>
      </c>
      <c r="Q7" s="7" t="s">
        <v>30</v>
      </c>
      <c r="R7" s="7" t="s">
        <v>11</v>
      </c>
      <c r="S7" s="7" t="s">
        <v>31</v>
      </c>
      <c r="T7" s="7" t="s">
        <v>32</v>
      </c>
      <c r="U7" s="7" t="s">
        <v>30</v>
      </c>
    </row>
    <row r="8" spans="5:21">
      <c r="E8" s="5"/>
      <c r="F8" s="5"/>
      <c r="G8" s="5"/>
      <c r="H8" s="5"/>
      <c r="I8" s="5"/>
      <c r="J8" s="6"/>
      <c r="K8" s="5"/>
      <c r="O8" s="7" t="s">
        <v>33</v>
      </c>
      <c r="P8" s="7" t="s">
        <v>34</v>
      </c>
      <c r="Q8" s="7" t="s">
        <v>35</v>
      </c>
      <c r="R8" s="7" t="s">
        <v>11</v>
      </c>
      <c r="S8" s="7" t="s">
        <v>36</v>
      </c>
      <c r="T8" s="7" t="s">
        <v>37</v>
      </c>
      <c r="U8" s="7" t="s">
        <v>35</v>
      </c>
    </row>
    <row r="9" spans="5:21">
      <c r="E9" s="5"/>
      <c r="F9" s="5"/>
      <c r="G9" s="5"/>
      <c r="H9" s="5"/>
      <c r="I9" s="5"/>
      <c r="J9" s="6"/>
      <c r="K9" s="5"/>
      <c r="O9" s="7" t="s">
        <v>8</v>
      </c>
      <c r="P9" s="7" t="s">
        <v>9</v>
      </c>
      <c r="Q9" s="7" t="s">
        <v>38</v>
      </c>
      <c r="R9" s="7" t="s">
        <v>11</v>
      </c>
      <c r="S9" s="7" t="s">
        <v>39</v>
      </c>
      <c r="T9" s="7" t="s">
        <v>40</v>
      </c>
      <c r="U9" s="7" t="s">
        <v>38</v>
      </c>
    </row>
    <row r="10" spans="5:21">
      <c r="E10" s="5"/>
      <c r="F10" s="5"/>
      <c r="G10" s="5"/>
      <c r="H10" s="5"/>
      <c r="I10" s="5"/>
      <c r="J10" s="6"/>
      <c r="K10" s="5"/>
      <c r="O10" s="7" t="s">
        <v>28</v>
      </c>
      <c r="P10" s="7" t="s">
        <v>29</v>
      </c>
      <c r="Q10" s="7" t="s">
        <v>41</v>
      </c>
      <c r="R10" s="7" t="s">
        <v>11</v>
      </c>
      <c r="S10" s="7" t="s">
        <v>42</v>
      </c>
      <c r="T10" s="7" t="s">
        <v>43</v>
      </c>
      <c r="U10" s="7" t="s">
        <v>41</v>
      </c>
    </row>
    <row r="11" spans="5:21">
      <c r="E11" s="5"/>
      <c r="F11" s="5"/>
      <c r="G11" s="5"/>
      <c r="H11" s="5"/>
      <c r="I11" s="5"/>
      <c r="J11" s="6"/>
      <c r="K11" s="5"/>
      <c r="O11" s="7" t="s">
        <v>8</v>
      </c>
      <c r="P11" s="7" t="s">
        <v>9</v>
      </c>
      <c r="Q11" s="7" t="s">
        <v>44</v>
      </c>
      <c r="R11" s="7" t="s">
        <v>11</v>
      </c>
      <c r="S11" s="7" t="s">
        <v>45</v>
      </c>
      <c r="T11" s="7" t="s">
        <v>46</v>
      </c>
      <c r="U11" s="7" t="s">
        <v>44</v>
      </c>
    </row>
    <row r="12" spans="5:21">
      <c r="E12" s="5"/>
      <c r="F12" s="5"/>
      <c r="G12" s="5"/>
      <c r="H12" s="5"/>
      <c r="I12" s="5"/>
      <c r="J12" s="6"/>
      <c r="K12" s="5"/>
      <c r="O12" s="7" t="s">
        <v>47</v>
      </c>
      <c r="P12" s="7" t="s">
        <v>48</v>
      </c>
      <c r="Q12" s="7" t="s">
        <v>49</v>
      </c>
      <c r="R12" s="7" t="s">
        <v>17</v>
      </c>
      <c r="S12" s="7" t="s">
        <v>50</v>
      </c>
      <c r="T12" s="7" t="s">
        <v>51</v>
      </c>
      <c r="U12" s="7" t="s">
        <v>49</v>
      </c>
    </row>
    <row r="13" spans="5:21">
      <c r="E13" s="5"/>
      <c r="F13" s="5"/>
      <c r="G13" s="5"/>
      <c r="H13" s="5"/>
      <c r="I13" s="5"/>
      <c r="J13" s="6"/>
      <c r="K13" s="5"/>
      <c r="O13" s="7" t="s">
        <v>14</v>
      </c>
      <c r="P13" s="7" t="s">
        <v>15</v>
      </c>
      <c r="Q13" s="7" t="s">
        <v>52</v>
      </c>
      <c r="R13" s="7" t="s">
        <v>17</v>
      </c>
      <c r="S13" s="7" t="s">
        <v>53</v>
      </c>
      <c r="T13" s="7" t="s">
        <v>54</v>
      </c>
      <c r="U13" s="7" t="s">
        <v>52</v>
      </c>
    </row>
    <row r="14" spans="5:21">
      <c r="E14" s="5"/>
      <c r="F14" s="5"/>
      <c r="G14" s="5"/>
      <c r="H14" s="5"/>
      <c r="I14" s="5"/>
      <c r="J14" s="6"/>
      <c r="K14" s="5"/>
      <c r="O14" s="7" t="s">
        <v>47</v>
      </c>
      <c r="P14" s="7" t="s">
        <v>48</v>
      </c>
      <c r="Q14" s="7" t="s">
        <v>55</v>
      </c>
      <c r="R14" s="7" t="s">
        <v>17</v>
      </c>
      <c r="S14" s="7" t="s">
        <v>56</v>
      </c>
      <c r="T14" s="7" t="s">
        <v>57</v>
      </c>
      <c r="U14" s="7" t="s">
        <v>55</v>
      </c>
    </row>
    <row r="15" spans="5:21">
      <c r="E15" s="5"/>
      <c r="F15" s="9"/>
      <c r="G15" s="9"/>
      <c r="H15" s="5"/>
      <c r="I15" s="5"/>
      <c r="J15" s="6"/>
      <c r="K15" s="5"/>
      <c r="O15" s="7" t="s">
        <v>58</v>
      </c>
      <c r="P15" s="7" t="s">
        <v>59</v>
      </c>
      <c r="Q15" s="7" t="s">
        <v>60</v>
      </c>
      <c r="R15" s="7" t="s">
        <v>11</v>
      </c>
      <c r="S15" s="7" t="s">
        <v>61</v>
      </c>
      <c r="T15" s="7" t="s">
        <v>62</v>
      </c>
      <c r="U15" s="7" t="s">
        <v>60</v>
      </c>
    </row>
    <row r="16" spans="5:21">
      <c r="E16" s="5"/>
      <c r="F16" s="5"/>
      <c r="G16" s="5"/>
      <c r="H16" s="5"/>
      <c r="I16" s="5"/>
      <c r="J16" s="6"/>
      <c r="K16" s="5"/>
      <c r="O16" s="7" t="s">
        <v>28</v>
      </c>
      <c r="P16" s="7" t="s">
        <v>29</v>
      </c>
      <c r="Q16" s="7" t="s">
        <v>63</v>
      </c>
      <c r="R16" s="7" t="s">
        <v>11</v>
      </c>
      <c r="S16" s="7" t="s">
        <v>64</v>
      </c>
      <c r="T16" s="7" t="s">
        <v>65</v>
      </c>
      <c r="U16" s="7" t="s">
        <v>63</v>
      </c>
    </row>
    <row r="17" spans="5:21">
      <c r="E17" s="5"/>
      <c r="F17" s="5"/>
      <c r="G17" s="5"/>
      <c r="H17" s="5"/>
      <c r="I17" s="5"/>
      <c r="J17" s="6"/>
      <c r="K17" s="5"/>
      <c r="O17" s="7" t="s">
        <v>14</v>
      </c>
      <c r="P17" s="7" t="s">
        <v>15</v>
      </c>
      <c r="Q17" s="7" t="s">
        <v>66</v>
      </c>
      <c r="R17" s="7" t="s">
        <v>17</v>
      </c>
      <c r="S17" s="7" t="s">
        <v>67</v>
      </c>
      <c r="T17" s="7" t="s">
        <v>68</v>
      </c>
      <c r="U17" s="7" t="s">
        <v>66</v>
      </c>
    </row>
    <row r="18" spans="5:21">
      <c r="E18" s="5"/>
      <c r="F18" s="5"/>
      <c r="G18" s="5"/>
      <c r="H18" s="5"/>
      <c r="I18" s="5"/>
      <c r="J18" s="6"/>
      <c r="K18" s="5"/>
      <c r="O18" s="7" t="s">
        <v>28</v>
      </c>
      <c r="P18" s="7" t="s">
        <v>29</v>
      </c>
      <c r="Q18" s="7" t="s">
        <v>69</v>
      </c>
      <c r="R18" s="7" t="s">
        <v>11</v>
      </c>
      <c r="S18" s="7" t="s">
        <v>70</v>
      </c>
      <c r="T18" s="7" t="s">
        <v>71</v>
      </c>
      <c r="U18" s="7" t="s">
        <v>69</v>
      </c>
    </row>
    <row r="19" spans="5:21">
      <c r="E19" s="5"/>
      <c r="F19" s="5"/>
      <c r="G19" s="5"/>
      <c r="H19" s="5"/>
      <c r="I19" s="5"/>
      <c r="J19" s="6"/>
      <c r="K19" s="5"/>
      <c r="O19" s="7" t="s">
        <v>23</v>
      </c>
      <c r="P19" s="7" t="s">
        <v>24</v>
      </c>
      <c r="Q19" s="7" t="s">
        <v>72</v>
      </c>
      <c r="R19" s="7" t="s">
        <v>11</v>
      </c>
      <c r="S19" s="7" t="s">
        <v>73</v>
      </c>
      <c r="T19" s="7" t="s">
        <v>74</v>
      </c>
      <c r="U19" s="7" t="s">
        <v>72</v>
      </c>
    </row>
    <row r="20" spans="5:21">
      <c r="E20" s="5"/>
      <c r="F20" s="5"/>
      <c r="G20" s="5"/>
      <c r="H20" s="5"/>
      <c r="I20" s="5"/>
      <c r="J20" s="6"/>
      <c r="K20" s="5"/>
      <c r="O20" s="7" t="s">
        <v>8</v>
      </c>
      <c r="P20" s="7" t="s">
        <v>9</v>
      </c>
      <c r="Q20" s="7" t="s">
        <v>75</v>
      </c>
      <c r="R20" s="7" t="s">
        <v>11</v>
      </c>
      <c r="S20" s="7" t="s">
        <v>76</v>
      </c>
      <c r="T20" s="7" t="s">
        <v>77</v>
      </c>
      <c r="U20" s="7" t="s">
        <v>75</v>
      </c>
    </row>
    <row r="21" spans="5:21">
      <c r="E21" s="5"/>
      <c r="F21" s="5"/>
      <c r="G21" s="5"/>
      <c r="H21" s="5"/>
      <c r="I21" s="5"/>
      <c r="J21" s="6"/>
      <c r="K21" s="5"/>
      <c r="O21" s="7" t="s">
        <v>47</v>
      </c>
      <c r="P21" s="7" t="s">
        <v>48</v>
      </c>
      <c r="Q21" s="7" t="s">
        <v>78</v>
      </c>
      <c r="R21" s="7" t="s">
        <v>17</v>
      </c>
      <c r="S21" s="7" t="s">
        <v>79</v>
      </c>
      <c r="T21" s="7" t="s">
        <v>80</v>
      </c>
      <c r="U21" s="7" t="s">
        <v>78</v>
      </c>
    </row>
    <row r="22" spans="5:21">
      <c r="E22" s="5"/>
      <c r="F22" s="10"/>
      <c r="G22" s="10"/>
      <c r="H22" s="5"/>
      <c r="I22" s="5"/>
      <c r="J22" s="6"/>
      <c r="K22" s="5"/>
      <c r="O22" s="7" t="s">
        <v>58</v>
      </c>
      <c r="P22" s="7" t="s">
        <v>59</v>
      </c>
      <c r="Q22" s="7" t="s">
        <v>81</v>
      </c>
      <c r="R22" s="7" t="s">
        <v>11</v>
      </c>
      <c r="S22" s="7" t="s">
        <v>82</v>
      </c>
      <c r="T22" s="7" t="s">
        <v>83</v>
      </c>
      <c r="U22" s="7" t="s">
        <v>81</v>
      </c>
    </row>
    <row r="23" spans="5:21">
      <c r="E23" s="5"/>
      <c r="F23" s="5"/>
      <c r="G23" s="5"/>
      <c r="H23" s="5"/>
      <c r="I23" s="5"/>
      <c r="J23" s="6"/>
      <c r="K23" s="5"/>
      <c r="O23" s="7" t="s">
        <v>28</v>
      </c>
      <c r="P23" s="7" t="s">
        <v>29</v>
      </c>
      <c r="Q23" s="7" t="s">
        <v>84</v>
      </c>
      <c r="R23" s="7" t="s">
        <v>11</v>
      </c>
      <c r="S23" s="7" t="s">
        <v>85</v>
      </c>
      <c r="T23" s="7" t="s">
        <v>86</v>
      </c>
      <c r="U23" s="7" t="s">
        <v>84</v>
      </c>
    </row>
    <row r="24" spans="5:21">
      <c r="E24" s="5"/>
      <c r="F24" s="5"/>
      <c r="G24" s="5"/>
      <c r="H24" s="5"/>
      <c r="I24" s="5"/>
      <c r="J24" s="6"/>
      <c r="K24" s="5"/>
      <c r="O24" s="7" t="s">
        <v>47</v>
      </c>
      <c r="P24" s="7" t="s">
        <v>48</v>
      </c>
      <c r="Q24" s="7" t="s">
        <v>87</v>
      </c>
      <c r="R24" s="7" t="s">
        <v>17</v>
      </c>
      <c r="S24" s="7" t="s">
        <v>88</v>
      </c>
      <c r="T24" s="7" t="s">
        <v>89</v>
      </c>
      <c r="U24" s="7" t="s">
        <v>87</v>
      </c>
    </row>
    <row r="25" spans="5:21">
      <c r="E25" s="5"/>
      <c r="F25" s="5"/>
      <c r="G25" s="5"/>
      <c r="H25" s="5"/>
      <c r="I25" s="5"/>
      <c r="J25" s="6"/>
      <c r="K25" s="5"/>
      <c r="O25" s="7" t="s">
        <v>8</v>
      </c>
      <c r="P25" s="7" t="s">
        <v>9</v>
      </c>
      <c r="Q25" s="7" t="s">
        <v>90</v>
      </c>
      <c r="R25" s="7" t="s">
        <v>11</v>
      </c>
      <c r="S25" s="7" t="s">
        <v>91</v>
      </c>
      <c r="T25" s="7" t="s">
        <v>92</v>
      </c>
      <c r="U25" s="7" t="s">
        <v>90</v>
      </c>
    </row>
    <row r="26" spans="5:21">
      <c r="E26" s="5"/>
      <c r="F26" s="5"/>
      <c r="G26" s="5"/>
      <c r="H26" s="5"/>
      <c r="I26" s="5"/>
      <c r="J26" s="6"/>
      <c r="K26" s="5"/>
      <c r="O26" s="7" t="s">
        <v>28</v>
      </c>
      <c r="P26" s="7" t="s">
        <v>29</v>
      </c>
      <c r="Q26" s="7" t="s">
        <v>93</v>
      </c>
      <c r="R26" s="7" t="s">
        <v>11</v>
      </c>
      <c r="S26" s="7" t="s">
        <v>94</v>
      </c>
      <c r="T26" s="7" t="s">
        <v>95</v>
      </c>
      <c r="U26" s="7" t="s">
        <v>93</v>
      </c>
    </row>
    <row r="27" spans="5:21">
      <c r="E27" s="5"/>
      <c r="F27" s="5"/>
      <c r="G27" s="5"/>
      <c r="H27" s="5"/>
      <c r="I27" s="5"/>
      <c r="J27" s="6"/>
      <c r="K27" s="5"/>
      <c r="O27" s="7" t="s">
        <v>8</v>
      </c>
      <c r="P27" s="7" t="s">
        <v>9</v>
      </c>
      <c r="Q27" s="7" t="s">
        <v>96</v>
      </c>
      <c r="R27" s="7" t="s">
        <v>11</v>
      </c>
      <c r="S27" s="7" t="s">
        <v>97</v>
      </c>
      <c r="T27" s="7" t="s">
        <v>98</v>
      </c>
      <c r="U27" s="7" t="s">
        <v>96</v>
      </c>
    </row>
    <row r="28" spans="5:21">
      <c r="E28" s="5"/>
      <c r="F28" s="5"/>
      <c r="G28" s="5"/>
      <c r="H28" s="5"/>
      <c r="I28" s="5"/>
      <c r="J28" s="6"/>
      <c r="K28" s="5"/>
      <c r="O28" s="7" t="s">
        <v>47</v>
      </c>
      <c r="P28" s="7" t="s">
        <v>48</v>
      </c>
      <c r="Q28" s="7" t="s">
        <v>99</v>
      </c>
      <c r="R28" s="7" t="s">
        <v>17</v>
      </c>
      <c r="S28" s="7" t="s">
        <v>100</v>
      </c>
      <c r="T28" s="7" t="s">
        <v>101</v>
      </c>
      <c r="U28" s="7" t="s">
        <v>99</v>
      </c>
    </row>
    <row r="29" spans="5:21">
      <c r="E29" s="5"/>
      <c r="F29" s="5"/>
      <c r="G29" s="5"/>
      <c r="H29" s="5"/>
      <c r="I29" s="5"/>
      <c r="J29" s="6"/>
      <c r="K29" s="5"/>
      <c r="O29" s="7" t="s">
        <v>47</v>
      </c>
      <c r="P29" s="7" t="s">
        <v>48</v>
      </c>
      <c r="Q29" s="7" t="s">
        <v>102</v>
      </c>
      <c r="R29" s="7" t="s">
        <v>17</v>
      </c>
      <c r="S29" s="7" t="s">
        <v>103</v>
      </c>
      <c r="T29" s="7" t="s">
        <v>104</v>
      </c>
      <c r="U29" s="7" t="s">
        <v>102</v>
      </c>
    </row>
    <row r="30" spans="5:21">
      <c r="E30" s="5"/>
      <c r="F30" s="5"/>
      <c r="G30" s="5"/>
      <c r="H30" s="5"/>
      <c r="I30" s="5"/>
      <c r="J30" s="6"/>
      <c r="K30" s="5"/>
      <c r="O30" s="7" t="s">
        <v>23</v>
      </c>
      <c r="P30" s="7" t="s">
        <v>24</v>
      </c>
      <c r="Q30" s="7" t="s">
        <v>105</v>
      </c>
      <c r="R30" s="7" t="s">
        <v>11</v>
      </c>
      <c r="S30" s="7" t="s">
        <v>106</v>
      </c>
      <c r="T30" s="7" t="s">
        <v>107</v>
      </c>
      <c r="U30" s="7" t="s">
        <v>105</v>
      </c>
    </row>
    <row r="31" spans="5:21">
      <c r="E31" s="5"/>
      <c r="F31" s="5"/>
      <c r="G31" s="5"/>
      <c r="H31" s="5"/>
      <c r="I31" s="5"/>
      <c r="J31" s="6"/>
      <c r="K31" s="5"/>
      <c r="O31" s="7" t="s">
        <v>8</v>
      </c>
      <c r="P31" s="7" t="s">
        <v>9</v>
      </c>
      <c r="Q31" s="7" t="s">
        <v>108</v>
      </c>
      <c r="R31" s="7" t="s">
        <v>11</v>
      </c>
      <c r="S31" s="7" t="s">
        <v>109</v>
      </c>
      <c r="T31" s="7" t="s">
        <v>110</v>
      </c>
      <c r="U31" s="7" t="s">
        <v>108</v>
      </c>
    </row>
    <row r="32" spans="5:21">
      <c r="E32" s="5"/>
      <c r="F32" s="5"/>
      <c r="G32" s="5"/>
      <c r="H32" s="5"/>
      <c r="I32" s="5"/>
      <c r="J32" s="6"/>
      <c r="K32" s="5"/>
      <c r="O32" s="7" t="s">
        <v>28</v>
      </c>
      <c r="P32" s="7" t="s">
        <v>29</v>
      </c>
      <c r="Q32" s="7" t="s">
        <v>111</v>
      </c>
      <c r="R32" s="7" t="s">
        <v>11</v>
      </c>
      <c r="S32" s="7" t="s">
        <v>112</v>
      </c>
      <c r="T32" s="7" t="s">
        <v>113</v>
      </c>
      <c r="U32" s="7" t="s">
        <v>111</v>
      </c>
    </row>
    <row r="33" spans="5:21">
      <c r="E33" s="5"/>
      <c r="F33" s="5"/>
      <c r="G33" s="5"/>
      <c r="H33" s="5"/>
      <c r="I33" s="5"/>
      <c r="J33" s="6"/>
      <c r="K33" s="5"/>
      <c r="O33" s="7" t="s">
        <v>28</v>
      </c>
      <c r="P33" s="7" t="s">
        <v>29</v>
      </c>
      <c r="Q33" s="7" t="s">
        <v>114</v>
      </c>
      <c r="R33" s="7" t="s">
        <v>11</v>
      </c>
      <c r="S33" s="7" t="s">
        <v>115</v>
      </c>
      <c r="T33" s="7" t="s">
        <v>116</v>
      </c>
      <c r="U33" s="7" t="s">
        <v>114</v>
      </c>
    </row>
    <row r="34" spans="5:21">
      <c r="E34" s="5"/>
      <c r="F34" s="5"/>
      <c r="G34" s="5"/>
      <c r="H34" s="5"/>
      <c r="I34" s="5"/>
      <c r="J34" s="6"/>
      <c r="K34" s="5"/>
      <c r="O34" s="7" t="s">
        <v>58</v>
      </c>
      <c r="P34" s="7" t="s">
        <v>59</v>
      </c>
      <c r="Q34" s="7" t="s">
        <v>117</v>
      </c>
      <c r="R34" s="7" t="s">
        <v>11</v>
      </c>
      <c r="S34" s="7" t="s">
        <v>118</v>
      </c>
      <c r="T34" s="7" t="s">
        <v>119</v>
      </c>
      <c r="U34" s="7" t="s">
        <v>117</v>
      </c>
    </row>
    <row r="35" spans="5:21">
      <c r="E35" s="5"/>
      <c r="F35" s="5"/>
      <c r="G35" s="5"/>
      <c r="H35" s="5"/>
      <c r="I35" s="5"/>
      <c r="J35" s="6"/>
      <c r="K35" s="5"/>
      <c r="O35" s="11" t="s">
        <v>8</v>
      </c>
      <c r="P35" s="7" t="s">
        <v>9</v>
      </c>
      <c r="Q35" s="7" t="s">
        <v>120</v>
      </c>
      <c r="R35" s="7" t="s">
        <v>11</v>
      </c>
      <c r="S35" s="7" t="s">
        <v>121</v>
      </c>
      <c r="T35" s="7" t="s">
        <v>122</v>
      </c>
      <c r="U35" s="7" t="s">
        <v>120</v>
      </c>
    </row>
    <row r="36" spans="5:21">
      <c r="E36" s="5"/>
      <c r="F36" s="5"/>
      <c r="G36" s="5"/>
      <c r="H36" s="5"/>
      <c r="I36" s="5"/>
      <c r="J36" s="6"/>
      <c r="K36" s="5"/>
      <c r="O36" s="7" t="s">
        <v>47</v>
      </c>
      <c r="P36" s="7" t="s">
        <v>48</v>
      </c>
      <c r="Q36" s="7" t="s">
        <v>123</v>
      </c>
      <c r="R36" s="7" t="s">
        <v>17</v>
      </c>
      <c r="S36" s="7" t="s">
        <v>124</v>
      </c>
      <c r="T36" s="7" t="s">
        <v>125</v>
      </c>
      <c r="U36" s="7" t="s">
        <v>123</v>
      </c>
    </row>
    <row r="37" spans="5:21">
      <c r="E37" s="5"/>
      <c r="F37" s="5"/>
      <c r="G37" s="5"/>
      <c r="H37" s="5"/>
      <c r="I37" s="5"/>
      <c r="J37" s="6"/>
      <c r="K37" s="5"/>
      <c r="O37" s="7" t="s">
        <v>28</v>
      </c>
      <c r="P37" s="7" t="s">
        <v>29</v>
      </c>
      <c r="Q37" s="7" t="s">
        <v>126</v>
      </c>
      <c r="R37" s="7" t="s">
        <v>11</v>
      </c>
      <c r="S37" s="7" t="s">
        <v>127</v>
      </c>
      <c r="T37" s="7" t="s">
        <v>128</v>
      </c>
      <c r="U37" s="7" t="s">
        <v>126</v>
      </c>
    </row>
    <row r="38" spans="5:21">
      <c r="E38" s="5"/>
      <c r="F38" s="5"/>
      <c r="G38" s="5"/>
      <c r="H38" s="5"/>
      <c r="I38" s="5"/>
      <c r="J38" s="6"/>
      <c r="K38" s="5"/>
      <c r="O38" s="7" t="s">
        <v>47</v>
      </c>
      <c r="P38" s="7" t="s">
        <v>48</v>
      </c>
      <c r="Q38" s="7" t="s">
        <v>129</v>
      </c>
      <c r="R38" s="7" t="s">
        <v>17</v>
      </c>
      <c r="S38" s="7" t="s">
        <v>130</v>
      </c>
      <c r="T38" s="7" t="s">
        <v>131</v>
      </c>
      <c r="U38" s="7" t="s">
        <v>129</v>
      </c>
    </row>
    <row r="39" spans="5:21">
      <c r="E39" s="5"/>
      <c r="F39" s="5"/>
      <c r="G39" s="5"/>
      <c r="H39" s="5"/>
      <c r="I39" s="5"/>
      <c r="J39" s="6"/>
      <c r="K39" s="5"/>
      <c r="O39" s="7" t="s">
        <v>47</v>
      </c>
      <c r="P39" s="7" t="s">
        <v>48</v>
      </c>
      <c r="Q39" s="7" t="s">
        <v>132</v>
      </c>
      <c r="R39" s="7" t="s">
        <v>17</v>
      </c>
      <c r="S39" s="7" t="s">
        <v>133</v>
      </c>
      <c r="T39" s="7" t="s">
        <v>134</v>
      </c>
      <c r="U39" s="7" t="s">
        <v>132</v>
      </c>
    </row>
    <row r="40" spans="5:21">
      <c r="E40" s="5"/>
      <c r="F40" s="5"/>
      <c r="G40" s="5"/>
      <c r="H40" s="5"/>
      <c r="I40" s="5"/>
      <c r="J40" s="6"/>
      <c r="K40" s="5"/>
      <c r="O40" s="7" t="s">
        <v>47</v>
      </c>
      <c r="P40" s="7" t="s">
        <v>48</v>
      </c>
      <c r="Q40" s="7" t="s">
        <v>135</v>
      </c>
      <c r="R40" s="7" t="s">
        <v>17</v>
      </c>
      <c r="S40" s="7" t="s">
        <v>136</v>
      </c>
      <c r="T40" s="7" t="s">
        <v>137</v>
      </c>
      <c r="U40" s="7" t="s">
        <v>135</v>
      </c>
    </row>
    <row r="41" spans="5:21">
      <c r="E41" s="5"/>
      <c r="F41" s="5"/>
      <c r="G41" s="5"/>
      <c r="H41" s="5"/>
      <c r="I41" s="5"/>
      <c r="J41" s="6"/>
      <c r="K41" s="5"/>
      <c r="O41" s="11" t="s">
        <v>8</v>
      </c>
      <c r="P41" s="11" t="s">
        <v>9</v>
      </c>
      <c r="Q41" s="11" t="s">
        <v>138</v>
      </c>
      <c r="R41" s="7" t="s">
        <v>11</v>
      </c>
      <c r="S41" s="7" t="s">
        <v>139</v>
      </c>
      <c r="T41" s="7" t="s">
        <v>140</v>
      </c>
      <c r="U41" s="7" t="s">
        <v>138</v>
      </c>
    </row>
    <row r="42" spans="5:21">
      <c r="E42" s="5"/>
      <c r="F42" s="5"/>
      <c r="G42" s="5"/>
      <c r="H42" s="5"/>
      <c r="I42" s="5"/>
      <c r="J42" s="6"/>
      <c r="K42" s="5"/>
      <c r="O42" s="7" t="s">
        <v>8</v>
      </c>
      <c r="P42" s="7" t="s">
        <v>9</v>
      </c>
      <c r="Q42" s="7" t="s">
        <v>141</v>
      </c>
      <c r="R42" s="7" t="s">
        <v>11</v>
      </c>
      <c r="S42" s="7" t="s">
        <v>142</v>
      </c>
      <c r="T42" s="7" t="s">
        <v>143</v>
      </c>
      <c r="U42" s="7" t="s">
        <v>141</v>
      </c>
    </row>
    <row r="43" spans="5:21">
      <c r="E43" s="5"/>
      <c r="F43" s="5"/>
      <c r="G43" s="5"/>
      <c r="H43" s="5"/>
      <c r="I43" s="5"/>
      <c r="J43" s="6"/>
      <c r="K43" s="5"/>
      <c r="O43" s="7" t="s">
        <v>28</v>
      </c>
      <c r="P43" s="7" t="s">
        <v>29</v>
      </c>
      <c r="Q43" s="7" t="s">
        <v>144</v>
      </c>
      <c r="R43" s="7" t="s">
        <v>11</v>
      </c>
      <c r="S43" s="7" t="s">
        <v>145</v>
      </c>
      <c r="T43" s="7" t="s">
        <v>146</v>
      </c>
      <c r="U43" s="7" t="s">
        <v>144</v>
      </c>
    </row>
    <row r="44" spans="5:21">
      <c r="E44" s="5"/>
      <c r="F44" s="5"/>
      <c r="G44" s="5"/>
      <c r="H44" s="5"/>
      <c r="I44" s="5"/>
      <c r="J44" s="6"/>
      <c r="K44" s="5"/>
      <c r="O44" s="7" t="s">
        <v>58</v>
      </c>
      <c r="P44" s="7" t="s">
        <v>59</v>
      </c>
      <c r="Q44" s="7" t="s">
        <v>147</v>
      </c>
      <c r="R44" s="7" t="s">
        <v>11</v>
      </c>
      <c r="S44" s="7" t="s">
        <v>148</v>
      </c>
      <c r="T44" s="7" t="s">
        <v>149</v>
      </c>
      <c r="U44" s="7" t="s">
        <v>147</v>
      </c>
    </row>
    <row r="45" spans="5:21">
      <c r="E45" s="5"/>
      <c r="F45" s="5"/>
      <c r="G45" s="5"/>
      <c r="H45" s="5"/>
      <c r="I45" s="5"/>
      <c r="J45" s="6"/>
      <c r="K45" s="5"/>
      <c r="O45" s="7" t="s">
        <v>47</v>
      </c>
      <c r="P45" s="7" t="s">
        <v>48</v>
      </c>
      <c r="Q45" s="7" t="s">
        <v>150</v>
      </c>
      <c r="R45" s="7" t="s">
        <v>17</v>
      </c>
      <c r="S45" s="7" t="s">
        <v>151</v>
      </c>
      <c r="T45" s="7" t="s">
        <v>152</v>
      </c>
      <c r="U45" s="7" t="s">
        <v>150</v>
      </c>
    </row>
    <row r="46" spans="5:21">
      <c r="E46" s="5"/>
      <c r="F46" s="5"/>
      <c r="G46" s="5"/>
      <c r="H46" s="5"/>
      <c r="I46" s="5"/>
      <c r="J46" s="6"/>
      <c r="K46" s="5"/>
      <c r="O46" s="7" t="s">
        <v>28</v>
      </c>
      <c r="P46" s="7" t="s">
        <v>29</v>
      </c>
      <c r="Q46" s="7" t="s">
        <v>153</v>
      </c>
      <c r="R46" s="7" t="s">
        <v>11</v>
      </c>
      <c r="S46" s="7" t="s">
        <v>154</v>
      </c>
      <c r="T46" s="7" t="s">
        <v>155</v>
      </c>
      <c r="U46" s="7" t="s">
        <v>153</v>
      </c>
    </row>
    <row r="47" spans="5:21">
      <c r="E47" s="5"/>
      <c r="F47" s="5"/>
      <c r="G47" s="5"/>
      <c r="H47" s="5"/>
      <c r="I47" s="5"/>
      <c r="J47" s="6"/>
      <c r="K47" s="5"/>
      <c r="O47" s="7" t="s">
        <v>8</v>
      </c>
      <c r="P47" s="7" t="s">
        <v>9</v>
      </c>
      <c r="Q47" s="7" t="s">
        <v>156</v>
      </c>
      <c r="R47" s="7" t="s">
        <v>11</v>
      </c>
      <c r="S47" s="7" t="s">
        <v>157</v>
      </c>
      <c r="T47" s="7" t="s">
        <v>158</v>
      </c>
      <c r="U47" s="7" t="s">
        <v>156</v>
      </c>
    </row>
    <row r="48" spans="5:21">
      <c r="E48" s="5"/>
      <c r="F48" s="5"/>
      <c r="G48" s="5"/>
      <c r="H48" s="5"/>
      <c r="I48" s="5"/>
      <c r="J48" s="6"/>
      <c r="K48" s="5"/>
      <c r="O48" s="7" t="s">
        <v>14</v>
      </c>
      <c r="P48" s="7" t="s">
        <v>15</v>
      </c>
      <c r="Q48" s="11" t="s">
        <v>159</v>
      </c>
      <c r="R48" s="7" t="s">
        <v>17</v>
      </c>
      <c r="S48" s="11" t="s">
        <v>160</v>
      </c>
      <c r="T48" s="7" t="s">
        <v>161</v>
      </c>
      <c r="U48" s="7" t="s">
        <v>159</v>
      </c>
    </row>
    <row r="49" spans="5:21">
      <c r="E49" s="5"/>
      <c r="F49" s="5"/>
      <c r="G49" s="5"/>
      <c r="H49" s="5"/>
      <c r="I49" s="5"/>
      <c r="J49" s="6"/>
      <c r="K49" s="5"/>
      <c r="O49" s="7" t="s">
        <v>28</v>
      </c>
      <c r="P49" s="7" t="s">
        <v>29</v>
      </c>
      <c r="Q49" s="7" t="s">
        <v>162</v>
      </c>
      <c r="R49" s="7" t="s">
        <v>11</v>
      </c>
      <c r="S49" s="7" t="s">
        <v>163</v>
      </c>
      <c r="T49" s="7" t="s">
        <v>164</v>
      </c>
      <c r="U49" s="7" t="s">
        <v>162</v>
      </c>
    </row>
    <row r="50" spans="5:21">
      <c r="E50" s="5"/>
      <c r="F50" s="5"/>
      <c r="G50" s="5"/>
      <c r="H50" s="5"/>
      <c r="I50" s="5"/>
      <c r="J50" s="6"/>
      <c r="K50" s="5"/>
      <c r="O50" s="7" t="s">
        <v>8</v>
      </c>
      <c r="P50" s="7" t="s">
        <v>9</v>
      </c>
      <c r="Q50" s="7" t="s">
        <v>165</v>
      </c>
      <c r="R50" s="7" t="s">
        <v>11</v>
      </c>
      <c r="S50" s="7" t="s">
        <v>166</v>
      </c>
      <c r="T50" s="7" t="s">
        <v>167</v>
      </c>
      <c r="U50" s="7" t="s">
        <v>165</v>
      </c>
    </row>
    <row r="51" spans="5:21">
      <c r="E51" s="5"/>
      <c r="F51" s="5"/>
      <c r="G51" s="5"/>
      <c r="H51" s="5"/>
      <c r="I51" s="5"/>
      <c r="J51" s="6"/>
      <c r="K51" s="5"/>
      <c r="O51" s="7" t="s">
        <v>28</v>
      </c>
      <c r="P51" s="7" t="s">
        <v>29</v>
      </c>
      <c r="Q51" s="7" t="s">
        <v>168</v>
      </c>
      <c r="R51" s="7" t="s">
        <v>11</v>
      </c>
      <c r="S51" s="7" t="s">
        <v>169</v>
      </c>
      <c r="T51" s="7" t="s">
        <v>170</v>
      </c>
      <c r="U51" s="7" t="s">
        <v>168</v>
      </c>
    </row>
    <row r="52" spans="5:21">
      <c r="E52" s="5"/>
      <c r="F52" s="5"/>
      <c r="G52" s="5"/>
      <c r="H52" s="5"/>
      <c r="I52" s="5"/>
      <c r="J52" s="6"/>
      <c r="K52" s="5"/>
      <c r="O52" s="7" t="s">
        <v>28</v>
      </c>
      <c r="P52" s="7" t="s">
        <v>29</v>
      </c>
      <c r="Q52" s="7" t="s">
        <v>171</v>
      </c>
      <c r="R52" s="7" t="s">
        <v>11</v>
      </c>
      <c r="S52" s="7" t="s">
        <v>172</v>
      </c>
      <c r="T52" s="7" t="s">
        <v>173</v>
      </c>
      <c r="U52" s="7" t="s">
        <v>171</v>
      </c>
    </row>
    <row r="53" spans="5:21">
      <c r="E53" s="5"/>
      <c r="F53" s="5"/>
      <c r="G53" s="5"/>
      <c r="H53" s="5"/>
      <c r="I53" s="5"/>
      <c r="J53" s="6"/>
      <c r="K53" s="5"/>
      <c r="O53" s="7" t="s">
        <v>58</v>
      </c>
      <c r="P53" s="7" t="s">
        <v>59</v>
      </c>
      <c r="Q53" s="7" t="s">
        <v>174</v>
      </c>
      <c r="R53" s="7" t="s">
        <v>11</v>
      </c>
      <c r="S53" s="7" t="s">
        <v>175</v>
      </c>
      <c r="T53" s="7" t="s">
        <v>176</v>
      </c>
      <c r="U53" s="7" t="s">
        <v>174</v>
      </c>
    </row>
    <row r="54" spans="5:21">
      <c r="E54" s="5"/>
      <c r="F54" s="5"/>
      <c r="G54" s="5"/>
      <c r="H54" s="5"/>
      <c r="I54" s="5"/>
      <c r="J54" s="6"/>
      <c r="K54" s="5"/>
      <c r="O54" s="7" t="s">
        <v>23</v>
      </c>
      <c r="P54" s="7" t="s">
        <v>24</v>
      </c>
      <c r="Q54" s="7" t="s">
        <v>177</v>
      </c>
      <c r="R54" s="7" t="s">
        <v>11</v>
      </c>
      <c r="S54" s="7" t="s">
        <v>178</v>
      </c>
      <c r="T54" s="7" t="s">
        <v>179</v>
      </c>
      <c r="U54" s="7" t="s">
        <v>177</v>
      </c>
    </row>
    <row r="55" spans="5:21">
      <c r="E55" s="5"/>
      <c r="F55" s="5"/>
      <c r="G55" s="5"/>
      <c r="H55" s="5"/>
      <c r="I55" s="5"/>
      <c r="J55" s="6"/>
      <c r="K55" s="5"/>
      <c r="O55" s="7" t="s">
        <v>28</v>
      </c>
      <c r="P55" s="7" t="s">
        <v>29</v>
      </c>
      <c r="Q55" s="7" t="s">
        <v>180</v>
      </c>
      <c r="R55" s="7" t="s">
        <v>11</v>
      </c>
      <c r="S55" s="7" t="s">
        <v>181</v>
      </c>
      <c r="T55" s="7" t="s">
        <v>182</v>
      </c>
      <c r="U55" s="7" t="s">
        <v>180</v>
      </c>
    </row>
    <row r="56" spans="5:21">
      <c r="E56" s="5"/>
      <c r="F56" s="1"/>
      <c r="G56" s="1"/>
      <c r="H56" s="5"/>
      <c r="I56" s="5"/>
      <c r="J56" s="6"/>
      <c r="K56" s="5"/>
      <c r="O56" s="7" t="s">
        <v>47</v>
      </c>
      <c r="P56" s="7" t="s">
        <v>48</v>
      </c>
      <c r="Q56" s="7" t="s">
        <v>183</v>
      </c>
      <c r="R56" s="7" t="s">
        <v>17</v>
      </c>
      <c r="S56" s="7" t="s">
        <v>184</v>
      </c>
      <c r="T56" s="7" t="s">
        <v>185</v>
      </c>
      <c r="U56" s="7" t="s">
        <v>183</v>
      </c>
    </row>
    <row r="57" spans="5:21">
      <c r="E57" s="5"/>
      <c r="F57" s="9"/>
      <c r="G57" s="9"/>
      <c r="H57" s="5"/>
      <c r="I57" s="5"/>
      <c r="J57" s="6"/>
      <c r="K57" s="5"/>
      <c r="O57" s="7" t="s">
        <v>28</v>
      </c>
      <c r="P57" s="7" t="s">
        <v>29</v>
      </c>
      <c r="Q57" s="7" t="s">
        <v>186</v>
      </c>
      <c r="R57" s="7" t="s">
        <v>11</v>
      </c>
      <c r="S57" s="7" t="s">
        <v>187</v>
      </c>
      <c r="T57" s="7" t="s">
        <v>188</v>
      </c>
      <c r="U57" s="7" t="s">
        <v>186</v>
      </c>
    </row>
    <row r="58" spans="5:21">
      <c r="E58" s="5"/>
      <c r="F58" s="5"/>
      <c r="G58" s="5"/>
      <c r="H58" s="5"/>
      <c r="I58" s="5"/>
      <c r="J58" s="6"/>
      <c r="K58" s="5"/>
      <c r="O58" s="7" t="s">
        <v>28</v>
      </c>
      <c r="P58" s="7" t="s">
        <v>29</v>
      </c>
      <c r="Q58" s="7" t="s">
        <v>189</v>
      </c>
      <c r="R58" s="7" t="s">
        <v>11</v>
      </c>
      <c r="S58" s="7" t="s">
        <v>190</v>
      </c>
      <c r="T58" s="7" t="s">
        <v>191</v>
      </c>
      <c r="U58" s="7" t="s">
        <v>189</v>
      </c>
    </row>
    <row r="59" spans="5:21">
      <c r="E59" s="5"/>
      <c r="F59" s="5"/>
      <c r="G59" s="5"/>
      <c r="H59" s="5"/>
      <c r="I59" s="5"/>
      <c r="J59" s="6"/>
      <c r="K59" s="5"/>
      <c r="O59" s="7" t="s">
        <v>23</v>
      </c>
      <c r="P59" s="7" t="s">
        <v>24</v>
      </c>
      <c r="Q59" s="7" t="s">
        <v>192</v>
      </c>
      <c r="R59" s="7" t="s">
        <v>11</v>
      </c>
      <c r="S59" s="7" t="s">
        <v>193</v>
      </c>
      <c r="T59" s="7" t="s">
        <v>194</v>
      </c>
      <c r="U59" s="7" t="s">
        <v>192</v>
      </c>
    </row>
    <row r="60" spans="5:21">
      <c r="E60" s="5"/>
      <c r="F60" s="5"/>
      <c r="G60" s="5"/>
      <c r="H60" s="5"/>
      <c r="I60" s="5"/>
      <c r="J60" s="6"/>
      <c r="K60" s="5"/>
      <c r="O60" s="7" t="s">
        <v>195</v>
      </c>
      <c r="P60" s="7" t="s">
        <v>196</v>
      </c>
      <c r="Q60" s="7" t="s">
        <v>197</v>
      </c>
      <c r="R60" s="7" t="s">
        <v>11</v>
      </c>
      <c r="S60" s="7" t="s">
        <v>198</v>
      </c>
      <c r="T60" s="7" t="s">
        <v>199</v>
      </c>
      <c r="U60" s="7" t="s">
        <v>197</v>
      </c>
    </row>
    <row r="61" spans="5:21">
      <c r="E61" s="5"/>
      <c r="F61" s="5"/>
      <c r="G61" s="5"/>
      <c r="H61" s="5"/>
      <c r="I61" s="5"/>
      <c r="J61" s="6"/>
      <c r="K61" s="5"/>
      <c r="O61" s="7" t="s">
        <v>47</v>
      </c>
      <c r="P61" s="7" t="s">
        <v>48</v>
      </c>
      <c r="Q61" s="7" t="s">
        <v>200</v>
      </c>
      <c r="R61" s="7" t="s">
        <v>17</v>
      </c>
      <c r="S61" s="7" t="s">
        <v>201</v>
      </c>
      <c r="T61" s="7" t="s">
        <v>202</v>
      </c>
      <c r="U61" s="7" t="s">
        <v>200</v>
      </c>
    </row>
    <row r="62" spans="5:21">
      <c r="E62" s="5"/>
      <c r="F62" s="5"/>
      <c r="G62" s="5"/>
      <c r="H62" s="5"/>
      <c r="I62" s="5"/>
      <c r="J62" s="6"/>
      <c r="K62" s="5"/>
      <c r="O62" s="7" t="s">
        <v>47</v>
      </c>
      <c r="P62" s="7" t="s">
        <v>48</v>
      </c>
      <c r="Q62" s="7" t="s">
        <v>203</v>
      </c>
      <c r="R62" s="7" t="s">
        <v>17</v>
      </c>
      <c r="S62" s="7" t="s">
        <v>204</v>
      </c>
      <c r="T62" s="7" t="s">
        <v>205</v>
      </c>
      <c r="U62" s="7" t="s">
        <v>203</v>
      </c>
    </row>
    <row r="63" spans="5:21">
      <c r="E63" s="5"/>
      <c r="F63" s="5"/>
      <c r="G63" s="5"/>
      <c r="H63" s="5"/>
      <c r="I63" s="5"/>
      <c r="J63" s="6"/>
      <c r="K63" s="5"/>
      <c r="O63" s="7" t="s">
        <v>28</v>
      </c>
      <c r="P63" s="7" t="s">
        <v>29</v>
      </c>
      <c r="Q63" s="7" t="s">
        <v>206</v>
      </c>
      <c r="R63" s="7" t="s">
        <v>11</v>
      </c>
      <c r="S63" s="7" t="s">
        <v>207</v>
      </c>
      <c r="T63" s="7" t="s">
        <v>208</v>
      </c>
      <c r="U63" s="7" t="s">
        <v>206</v>
      </c>
    </row>
    <row r="64" spans="5:21">
      <c r="E64" s="5"/>
      <c r="F64" s="5"/>
      <c r="G64" s="5"/>
      <c r="H64" s="5"/>
      <c r="I64" s="5"/>
      <c r="J64" s="6"/>
      <c r="K64" s="5"/>
      <c r="O64" s="7" t="s">
        <v>23</v>
      </c>
      <c r="P64" s="7" t="s">
        <v>24</v>
      </c>
      <c r="Q64" s="7" t="s">
        <v>209</v>
      </c>
      <c r="R64" s="7" t="s">
        <v>11</v>
      </c>
      <c r="S64" s="7" t="s">
        <v>210</v>
      </c>
      <c r="T64" s="7" t="s">
        <v>211</v>
      </c>
      <c r="U64" s="7" t="s">
        <v>209</v>
      </c>
    </row>
    <row r="65" spans="5:21">
      <c r="E65" s="5"/>
      <c r="F65" s="5"/>
      <c r="G65" s="5"/>
      <c r="H65" s="5"/>
      <c r="I65" s="5"/>
      <c r="J65" s="6"/>
      <c r="K65" s="5"/>
      <c r="O65" s="7" t="s">
        <v>28</v>
      </c>
      <c r="P65" s="7" t="s">
        <v>29</v>
      </c>
      <c r="Q65" s="7" t="s">
        <v>212</v>
      </c>
      <c r="R65" s="7" t="s">
        <v>11</v>
      </c>
      <c r="S65" s="7" t="s">
        <v>213</v>
      </c>
      <c r="T65" s="7" t="s">
        <v>214</v>
      </c>
      <c r="U65" s="7" t="s">
        <v>212</v>
      </c>
    </row>
    <row r="66" spans="5:21">
      <c r="E66" s="5"/>
      <c r="F66" s="5"/>
      <c r="G66" s="5"/>
      <c r="H66" s="5"/>
      <c r="I66" s="5"/>
      <c r="J66" s="6"/>
      <c r="K66" s="5"/>
      <c r="O66" s="7" t="s">
        <v>58</v>
      </c>
      <c r="P66" s="7" t="s">
        <v>59</v>
      </c>
      <c r="Q66" s="7" t="s">
        <v>215</v>
      </c>
      <c r="R66" s="7" t="s">
        <v>11</v>
      </c>
      <c r="S66" s="7" t="s">
        <v>216</v>
      </c>
      <c r="T66" s="7" t="s">
        <v>217</v>
      </c>
      <c r="U66" s="7" t="s">
        <v>215</v>
      </c>
    </row>
    <row r="67" spans="5:21">
      <c r="E67" s="5"/>
      <c r="F67" s="5"/>
      <c r="G67" s="5"/>
      <c r="H67" s="5"/>
      <c r="I67" s="5"/>
      <c r="J67" s="6"/>
      <c r="K67" s="5"/>
      <c r="O67" s="7" t="s">
        <v>28</v>
      </c>
      <c r="P67" s="7" t="s">
        <v>29</v>
      </c>
      <c r="Q67" s="7" t="s">
        <v>218</v>
      </c>
      <c r="R67" s="7" t="s">
        <v>11</v>
      </c>
      <c r="S67" s="7" t="s">
        <v>219</v>
      </c>
      <c r="T67" s="7" t="s">
        <v>220</v>
      </c>
      <c r="U67" s="7" t="s">
        <v>218</v>
      </c>
    </row>
    <row r="68" spans="5:21">
      <c r="E68" s="5"/>
      <c r="F68" s="5"/>
      <c r="G68" s="5"/>
      <c r="H68" s="5"/>
      <c r="I68" s="5"/>
      <c r="J68" s="6"/>
      <c r="K68" s="5"/>
      <c r="O68" s="7" t="s">
        <v>23</v>
      </c>
      <c r="P68" s="7" t="s">
        <v>24</v>
      </c>
      <c r="Q68" s="7" t="s">
        <v>221</v>
      </c>
      <c r="R68" s="7" t="s">
        <v>11</v>
      </c>
      <c r="S68" s="7" t="s">
        <v>222</v>
      </c>
      <c r="T68" s="7" t="s">
        <v>223</v>
      </c>
      <c r="U68" s="7" t="s">
        <v>221</v>
      </c>
    </row>
    <row r="69" spans="5:21">
      <c r="E69" s="5"/>
      <c r="F69" s="5"/>
      <c r="G69" s="5"/>
      <c r="H69" s="5"/>
      <c r="I69" s="5"/>
      <c r="J69" s="6"/>
      <c r="K69" s="5"/>
      <c r="O69" s="7" t="s">
        <v>58</v>
      </c>
      <c r="P69" s="7" t="s">
        <v>59</v>
      </c>
      <c r="Q69" s="7" t="s">
        <v>224</v>
      </c>
      <c r="R69" s="7" t="s">
        <v>11</v>
      </c>
      <c r="S69" s="7" t="s">
        <v>225</v>
      </c>
      <c r="T69" s="7" t="s">
        <v>226</v>
      </c>
      <c r="U69" s="7" t="s">
        <v>224</v>
      </c>
    </row>
    <row r="70" spans="5:21">
      <c r="E70" s="5"/>
      <c r="F70" s="5"/>
      <c r="G70" s="5"/>
      <c r="H70" s="5"/>
      <c r="I70" s="5"/>
      <c r="J70" s="6"/>
      <c r="K70" s="5"/>
      <c r="O70" s="7" t="s">
        <v>8</v>
      </c>
      <c r="P70" s="7" t="s">
        <v>9</v>
      </c>
      <c r="Q70" s="7" t="s">
        <v>227</v>
      </c>
      <c r="R70" s="7" t="s">
        <v>11</v>
      </c>
      <c r="S70" s="7" t="s">
        <v>228</v>
      </c>
      <c r="T70" s="7" t="s">
        <v>229</v>
      </c>
      <c r="U70" s="7" t="s">
        <v>227</v>
      </c>
    </row>
    <row r="71" spans="5:21">
      <c r="E71" s="5"/>
      <c r="F71" s="5"/>
      <c r="G71" s="5"/>
      <c r="H71" s="5"/>
      <c r="I71" s="5"/>
      <c r="J71" s="6"/>
      <c r="K71" s="5"/>
      <c r="O71" s="7" t="s">
        <v>8</v>
      </c>
      <c r="P71" s="7" t="s">
        <v>9</v>
      </c>
      <c r="Q71" s="7" t="s">
        <v>230</v>
      </c>
      <c r="R71" s="7" t="s">
        <v>11</v>
      </c>
      <c r="S71" s="7" t="s">
        <v>231</v>
      </c>
      <c r="T71" s="7" t="s">
        <v>232</v>
      </c>
      <c r="U71" s="7" t="s">
        <v>230</v>
      </c>
    </row>
    <row r="72" spans="5:21">
      <c r="E72" s="5"/>
      <c r="F72" s="5"/>
      <c r="G72" s="5"/>
      <c r="H72" s="5"/>
      <c r="I72" s="5"/>
      <c r="J72" s="6"/>
      <c r="K72" s="5"/>
      <c r="O72" s="7" t="s">
        <v>28</v>
      </c>
      <c r="P72" s="7" t="s">
        <v>29</v>
      </c>
      <c r="Q72" s="7" t="s">
        <v>233</v>
      </c>
      <c r="R72" s="7" t="s">
        <v>11</v>
      </c>
      <c r="S72" s="7" t="s">
        <v>234</v>
      </c>
      <c r="T72" s="7" t="s">
        <v>235</v>
      </c>
      <c r="U72" s="7" t="s">
        <v>233</v>
      </c>
    </row>
    <row r="73" spans="5:21">
      <c r="E73" s="5"/>
      <c r="F73" s="12"/>
      <c r="G73" s="12"/>
      <c r="H73" s="12"/>
      <c r="I73" s="5"/>
      <c r="J73" s="6"/>
      <c r="K73" s="5"/>
      <c r="O73" s="7" t="s">
        <v>28</v>
      </c>
      <c r="P73" s="7" t="s">
        <v>29</v>
      </c>
      <c r="Q73" s="7" t="s">
        <v>236</v>
      </c>
      <c r="R73" s="7" t="s">
        <v>11</v>
      </c>
      <c r="S73" s="7" t="s">
        <v>237</v>
      </c>
      <c r="T73" s="7" t="s">
        <v>238</v>
      </c>
      <c r="U73" s="7" t="s">
        <v>236</v>
      </c>
    </row>
    <row r="74" spans="5:21">
      <c r="E74" s="5"/>
      <c r="F74" s="12"/>
      <c r="G74" s="12"/>
      <c r="H74" s="12"/>
      <c r="I74" s="5"/>
      <c r="J74" s="6"/>
      <c r="K74" s="5"/>
      <c r="O74" s="7" t="s">
        <v>8</v>
      </c>
      <c r="P74" s="7" t="s">
        <v>9</v>
      </c>
      <c r="Q74" s="7" t="s">
        <v>239</v>
      </c>
      <c r="R74" s="7" t="s">
        <v>11</v>
      </c>
      <c r="S74" s="7" t="s">
        <v>240</v>
      </c>
      <c r="T74" s="7" t="s">
        <v>241</v>
      </c>
      <c r="U74" s="7" t="s">
        <v>239</v>
      </c>
    </row>
    <row r="75" spans="5:21">
      <c r="E75" s="5"/>
      <c r="F75" s="13"/>
      <c r="G75" s="13"/>
      <c r="H75" s="12"/>
      <c r="I75" s="5"/>
      <c r="J75" s="6"/>
      <c r="K75" s="5"/>
      <c r="O75" s="7" t="s">
        <v>8</v>
      </c>
      <c r="P75" s="7" t="s">
        <v>9</v>
      </c>
      <c r="Q75" s="7" t="s">
        <v>242</v>
      </c>
      <c r="R75" s="7" t="s">
        <v>11</v>
      </c>
      <c r="S75" s="7" t="s">
        <v>243</v>
      </c>
      <c r="T75" s="7" t="s">
        <v>244</v>
      </c>
      <c r="U75" s="7" t="s">
        <v>242</v>
      </c>
    </row>
    <row r="76" spans="5:21">
      <c r="E76" s="5"/>
      <c r="F76" s="5"/>
      <c r="G76" s="5"/>
      <c r="H76" s="5"/>
      <c r="I76" s="5"/>
      <c r="J76" s="6"/>
      <c r="K76" s="5"/>
      <c r="O76" s="7" t="s">
        <v>47</v>
      </c>
      <c r="P76" s="7" t="s">
        <v>48</v>
      </c>
      <c r="Q76" s="7" t="s">
        <v>245</v>
      </c>
      <c r="R76" s="7" t="s">
        <v>17</v>
      </c>
      <c r="S76" s="7" t="s">
        <v>246</v>
      </c>
      <c r="T76" s="7" t="s">
        <v>247</v>
      </c>
      <c r="U76" s="7" t="s">
        <v>245</v>
      </c>
    </row>
    <row r="77" spans="5:21">
      <c r="E77" s="5"/>
      <c r="F77" s="12"/>
      <c r="G77" s="12"/>
      <c r="H77" s="12"/>
      <c r="I77" s="5"/>
      <c r="J77" s="6"/>
      <c r="K77" s="5"/>
      <c r="O77" s="7" t="s">
        <v>28</v>
      </c>
      <c r="P77" s="7" t="s">
        <v>29</v>
      </c>
      <c r="Q77" s="7" t="s">
        <v>248</v>
      </c>
      <c r="R77" s="7" t="s">
        <v>11</v>
      </c>
      <c r="S77" s="7" t="s">
        <v>249</v>
      </c>
      <c r="T77" s="7" t="s">
        <v>250</v>
      </c>
      <c r="U77" s="7" t="s">
        <v>248</v>
      </c>
    </row>
    <row r="78" spans="5:21">
      <c r="E78" s="5"/>
      <c r="F78" s="5"/>
      <c r="G78" s="5"/>
      <c r="H78" s="5"/>
      <c r="I78" s="5"/>
      <c r="J78" s="6"/>
      <c r="K78" s="5"/>
      <c r="O78" s="7" t="s">
        <v>251</v>
      </c>
      <c r="P78" s="7" t="s">
        <v>252</v>
      </c>
      <c r="Q78" s="7" t="s">
        <v>253</v>
      </c>
      <c r="R78" s="7" t="s">
        <v>254</v>
      </c>
      <c r="S78" s="7" t="s">
        <v>255</v>
      </c>
      <c r="T78" s="7" t="s">
        <v>256</v>
      </c>
      <c r="U78" s="7" t="s">
        <v>253</v>
      </c>
    </row>
    <row r="79" spans="5:21">
      <c r="E79" s="5"/>
      <c r="F79" s="5"/>
      <c r="G79" s="5"/>
      <c r="H79" s="5"/>
      <c r="I79" s="5"/>
      <c r="J79" s="6"/>
      <c r="K79" s="5"/>
      <c r="O79" s="7" t="s">
        <v>23</v>
      </c>
      <c r="P79" s="7" t="s">
        <v>24</v>
      </c>
      <c r="Q79" s="7" t="s">
        <v>257</v>
      </c>
      <c r="R79" s="7" t="s">
        <v>11</v>
      </c>
      <c r="S79" s="7" t="s">
        <v>258</v>
      </c>
      <c r="T79" s="7" t="s">
        <v>259</v>
      </c>
      <c r="U79" s="7" t="s">
        <v>257</v>
      </c>
    </row>
    <row r="80" spans="5:21">
      <c r="E80" s="5"/>
      <c r="F80" s="5"/>
      <c r="G80" s="5"/>
      <c r="H80" s="5"/>
      <c r="I80" s="5"/>
      <c r="J80" s="6"/>
      <c r="K80" s="5"/>
      <c r="O80" s="7" t="s">
        <v>195</v>
      </c>
      <c r="P80" s="7" t="s">
        <v>196</v>
      </c>
      <c r="Q80" s="7" t="s">
        <v>260</v>
      </c>
      <c r="R80" s="7" t="s">
        <v>11</v>
      </c>
      <c r="S80" s="7" t="s">
        <v>261</v>
      </c>
      <c r="T80" s="7" t="s">
        <v>262</v>
      </c>
      <c r="U80" s="7" t="s">
        <v>260</v>
      </c>
    </row>
    <row r="81" spans="5:21">
      <c r="E81" s="5"/>
      <c r="F81" s="5"/>
      <c r="G81" s="5"/>
      <c r="H81" s="5"/>
      <c r="I81" s="5"/>
      <c r="J81" s="6"/>
      <c r="K81" s="5"/>
      <c r="O81" s="7" t="s">
        <v>33</v>
      </c>
      <c r="P81" s="7" t="s">
        <v>34</v>
      </c>
      <c r="Q81" s="7" t="s">
        <v>263</v>
      </c>
      <c r="R81" s="7" t="s">
        <v>11</v>
      </c>
      <c r="S81" s="7" t="s">
        <v>264</v>
      </c>
      <c r="T81" s="7" t="s">
        <v>265</v>
      </c>
      <c r="U81" s="7" t="s">
        <v>263</v>
      </c>
    </row>
    <row r="82" spans="5:21">
      <c r="E82" s="5"/>
      <c r="F82" s="5"/>
      <c r="G82" s="5"/>
      <c r="H82" s="5"/>
      <c r="I82" s="5"/>
      <c r="J82" s="6"/>
      <c r="K82" s="5"/>
      <c r="O82" s="7" t="s">
        <v>28</v>
      </c>
      <c r="P82" s="7" t="s">
        <v>29</v>
      </c>
      <c r="Q82" s="7" t="s">
        <v>266</v>
      </c>
      <c r="R82" s="7" t="s">
        <v>11</v>
      </c>
      <c r="S82" s="7" t="s">
        <v>267</v>
      </c>
      <c r="T82" s="7" t="s">
        <v>268</v>
      </c>
      <c r="U82" s="7" t="s">
        <v>266</v>
      </c>
    </row>
    <row r="83" spans="5:21">
      <c r="E83" s="5"/>
      <c r="F83" s="5"/>
      <c r="G83" s="5"/>
      <c r="H83" s="5"/>
      <c r="I83" s="5"/>
      <c r="J83" s="6"/>
      <c r="K83" s="5"/>
      <c r="O83" s="7" t="s">
        <v>28</v>
      </c>
      <c r="P83" s="7" t="s">
        <v>29</v>
      </c>
      <c r="Q83" s="7" t="s">
        <v>269</v>
      </c>
      <c r="R83" s="7" t="s">
        <v>11</v>
      </c>
      <c r="S83" s="7" t="s">
        <v>270</v>
      </c>
      <c r="T83" s="7" t="s">
        <v>271</v>
      </c>
      <c r="U83" s="7" t="s">
        <v>269</v>
      </c>
    </row>
    <row r="84" spans="5:21">
      <c r="E84" s="5"/>
      <c r="F84" s="5"/>
      <c r="G84" s="5"/>
      <c r="H84" s="5"/>
      <c r="I84" s="5"/>
      <c r="J84" s="6"/>
      <c r="K84" s="5"/>
      <c r="O84" s="7" t="s">
        <v>195</v>
      </c>
      <c r="P84" s="7" t="s">
        <v>196</v>
      </c>
      <c r="Q84" s="7" t="s">
        <v>272</v>
      </c>
      <c r="R84" s="7" t="s">
        <v>11</v>
      </c>
      <c r="S84" s="7" t="s">
        <v>273</v>
      </c>
      <c r="T84" s="7" t="s">
        <v>274</v>
      </c>
      <c r="U84" s="7" t="s">
        <v>272</v>
      </c>
    </row>
    <row r="85" spans="5:21">
      <c r="E85" s="5"/>
      <c r="F85" s="5"/>
      <c r="G85" s="5"/>
      <c r="H85" s="5"/>
      <c r="I85" s="5"/>
      <c r="J85" s="6"/>
      <c r="K85" s="5"/>
      <c r="O85" s="7" t="s">
        <v>28</v>
      </c>
      <c r="P85" s="7" t="s">
        <v>29</v>
      </c>
      <c r="Q85" s="7" t="s">
        <v>275</v>
      </c>
      <c r="R85" s="7" t="s">
        <v>11</v>
      </c>
      <c r="S85" s="7" t="s">
        <v>276</v>
      </c>
      <c r="T85" s="7" t="s">
        <v>277</v>
      </c>
      <c r="U85" s="7" t="s">
        <v>275</v>
      </c>
    </row>
    <row r="86" spans="5:21">
      <c r="E86" s="5"/>
      <c r="F86" s="5"/>
      <c r="G86" s="5"/>
      <c r="H86" s="5"/>
      <c r="I86" s="5"/>
      <c r="J86" s="6"/>
      <c r="K86" s="5"/>
      <c r="O86" s="7" t="s">
        <v>23</v>
      </c>
      <c r="P86" s="7" t="s">
        <v>24</v>
      </c>
      <c r="Q86" s="7" t="s">
        <v>278</v>
      </c>
      <c r="R86" s="7" t="s">
        <v>11</v>
      </c>
      <c r="S86" s="7" t="s">
        <v>279</v>
      </c>
      <c r="T86" s="7" t="s">
        <v>280</v>
      </c>
      <c r="U86" s="7" t="s">
        <v>278</v>
      </c>
    </row>
    <row r="87" spans="5:21">
      <c r="E87" s="5"/>
      <c r="F87" s="5"/>
      <c r="G87" s="5"/>
      <c r="H87" s="5"/>
      <c r="I87" s="5"/>
      <c r="J87" s="6"/>
      <c r="K87" s="5"/>
      <c r="O87" s="7" t="s">
        <v>195</v>
      </c>
      <c r="P87" s="7" t="s">
        <v>196</v>
      </c>
      <c r="Q87" s="7" t="s">
        <v>281</v>
      </c>
      <c r="R87" s="7" t="s">
        <v>11</v>
      </c>
      <c r="S87" s="7" t="s">
        <v>282</v>
      </c>
      <c r="T87" s="7" t="s">
        <v>283</v>
      </c>
      <c r="U87" s="7" t="s">
        <v>281</v>
      </c>
    </row>
    <row r="88" spans="5:21">
      <c r="E88" s="5"/>
      <c r="F88" s="5"/>
      <c r="G88" s="5"/>
      <c r="H88" s="5"/>
      <c r="I88" s="5"/>
      <c r="J88" s="6"/>
      <c r="K88" s="5"/>
      <c r="O88" s="7" t="s">
        <v>8</v>
      </c>
      <c r="P88" s="7" t="s">
        <v>9</v>
      </c>
      <c r="Q88" s="7" t="s">
        <v>284</v>
      </c>
      <c r="R88" s="7" t="s">
        <v>11</v>
      </c>
      <c r="S88" s="7" t="s">
        <v>285</v>
      </c>
      <c r="T88" s="7" t="s">
        <v>286</v>
      </c>
      <c r="U88" s="7" t="s">
        <v>284</v>
      </c>
    </row>
    <row r="89" spans="5:21">
      <c r="E89" s="5"/>
      <c r="F89" s="5"/>
      <c r="G89" s="5"/>
      <c r="H89" s="5"/>
      <c r="I89" s="5"/>
      <c r="J89" s="6"/>
      <c r="K89" s="5"/>
      <c r="O89" s="7" t="s">
        <v>58</v>
      </c>
      <c r="P89" s="7" t="s">
        <v>59</v>
      </c>
      <c r="Q89" s="7" t="s">
        <v>287</v>
      </c>
      <c r="R89" s="7" t="s">
        <v>11</v>
      </c>
      <c r="S89" s="7" t="s">
        <v>288</v>
      </c>
      <c r="T89" s="7" t="s">
        <v>289</v>
      </c>
      <c r="U89" s="7" t="s">
        <v>287</v>
      </c>
    </row>
    <row r="90" spans="5:21">
      <c r="E90" s="5"/>
      <c r="F90" s="5"/>
      <c r="G90" s="5"/>
      <c r="H90" s="5"/>
      <c r="I90" s="5"/>
      <c r="J90" s="6"/>
      <c r="K90" s="5"/>
      <c r="O90" s="7" t="s">
        <v>58</v>
      </c>
      <c r="P90" s="7" t="s">
        <v>59</v>
      </c>
      <c r="Q90" s="7" t="s">
        <v>290</v>
      </c>
      <c r="R90" s="7" t="s">
        <v>11</v>
      </c>
      <c r="S90" s="7" t="s">
        <v>291</v>
      </c>
      <c r="T90" s="7" t="s">
        <v>292</v>
      </c>
      <c r="U90" s="7" t="s">
        <v>290</v>
      </c>
    </row>
    <row r="91" spans="5:21">
      <c r="E91" s="5"/>
      <c r="F91" s="5"/>
      <c r="G91" s="5"/>
      <c r="H91" s="5"/>
      <c r="I91" s="5"/>
      <c r="J91" s="6"/>
      <c r="K91" s="5"/>
      <c r="O91" s="7" t="s">
        <v>58</v>
      </c>
      <c r="P91" s="7" t="s">
        <v>59</v>
      </c>
      <c r="Q91" s="7" t="s">
        <v>293</v>
      </c>
      <c r="R91" s="7" t="s">
        <v>11</v>
      </c>
      <c r="S91" s="7" t="s">
        <v>294</v>
      </c>
      <c r="T91" s="7" t="s">
        <v>295</v>
      </c>
      <c r="U91" s="7" t="s">
        <v>293</v>
      </c>
    </row>
    <row r="92" spans="5:21">
      <c r="E92" s="5"/>
      <c r="F92" s="5"/>
      <c r="G92" s="5"/>
      <c r="H92" s="5"/>
      <c r="I92" s="5"/>
      <c r="J92" s="6"/>
      <c r="K92" s="5"/>
      <c r="O92" s="7" t="s">
        <v>23</v>
      </c>
      <c r="P92" s="7" t="s">
        <v>24</v>
      </c>
      <c r="Q92" s="7" t="s">
        <v>296</v>
      </c>
      <c r="R92" s="7" t="s">
        <v>11</v>
      </c>
      <c r="S92" s="7" t="s">
        <v>297</v>
      </c>
      <c r="T92" s="7" t="s">
        <v>298</v>
      </c>
      <c r="U92" s="7" t="s">
        <v>296</v>
      </c>
    </row>
    <row r="93" spans="5:21">
      <c r="E93" s="5"/>
      <c r="F93" s="5"/>
      <c r="G93" s="5"/>
      <c r="H93" s="5"/>
      <c r="I93" s="5"/>
      <c r="J93" s="6"/>
      <c r="K93" s="5"/>
      <c r="O93" s="7" t="s">
        <v>195</v>
      </c>
      <c r="P93" s="7" t="s">
        <v>196</v>
      </c>
      <c r="Q93" s="7" t="s">
        <v>299</v>
      </c>
      <c r="R93" s="7" t="s">
        <v>11</v>
      </c>
      <c r="S93" s="7" t="s">
        <v>300</v>
      </c>
      <c r="T93" s="7" t="s">
        <v>301</v>
      </c>
      <c r="U93" s="7" t="s">
        <v>299</v>
      </c>
    </row>
    <row r="94" spans="5:21">
      <c r="E94" s="5"/>
      <c r="F94" s="5"/>
      <c r="G94" s="5"/>
      <c r="H94" s="5"/>
      <c r="I94" s="5"/>
      <c r="J94" s="6"/>
      <c r="K94" s="5"/>
      <c r="O94" s="7" t="s">
        <v>47</v>
      </c>
      <c r="P94" s="7" t="s">
        <v>48</v>
      </c>
      <c r="Q94" s="7" t="s">
        <v>302</v>
      </c>
      <c r="R94" s="7" t="s">
        <v>17</v>
      </c>
      <c r="S94" s="7" t="s">
        <v>303</v>
      </c>
      <c r="T94" s="7" t="s">
        <v>304</v>
      </c>
      <c r="U94" s="7" t="s">
        <v>302</v>
      </c>
    </row>
    <row r="95" spans="5:21">
      <c r="E95" s="5"/>
      <c r="F95" s="5"/>
      <c r="G95" s="5"/>
      <c r="H95" s="5"/>
      <c r="I95" s="5"/>
      <c r="J95" s="6"/>
      <c r="K95" s="5"/>
      <c r="O95" s="7" t="s">
        <v>8</v>
      </c>
      <c r="P95" s="7" t="s">
        <v>9</v>
      </c>
      <c r="Q95" s="7" t="s">
        <v>305</v>
      </c>
      <c r="R95" s="7" t="s">
        <v>11</v>
      </c>
      <c r="S95" s="7" t="s">
        <v>306</v>
      </c>
      <c r="T95" s="7" t="s">
        <v>307</v>
      </c>
      <c r="U95" s="7" t="s">
        <v>305</v>
      </c>
    </row>
    <row r="96" spans="5:21">
      <c r="E96" s="5"/>
      <c r="F96" s="5"/>
      <c r="G96" s="5"/>
      <c r="H96" s="5"/>
      <c r="I96" s="5"/>
      <c r="J96" s="6"/>
      <c r="K96" s="5"/>
      <c r="O96" s="7" t="s">
        <v>47</v>
      </c>
      <c r="P96" s="7" t="s">
        <v>48</v>
      </c>
      <c r="Q96" s="7" t="s">
        <v>308</v>
      </c>
      <c r="R96" s="7" t="s">
        <v>17</v>
      </c>
      <c r="S96" s="7" t="s">
        <v>309</v>
      </c>
      <c r="T96" s="7" t="s">
        <v>310</v>
      </c>
      <c r="U96" s="7" t="s">
        <v>308</v>
      </c>
    </row>
    <row r="97" spans="5:21">
      <c r="E97" s="5"/>
      <c r="F97" s="5"/>
      <c r="G97" s="5"/>
      <c r="H97" s="5"/>
      <c r="I97" s="5"/>
      <c r="J97" s="6"/>
      <c r="K97" s="5"/>
      <c r="O97" s="7" t="s">
        <v>28</v>
      </c>
      <c r="P97" s="7" t="s">
        <v>29</v>
      </c>
      <c r="Q97" s="7" t="s">
        <v>311</v>
      </c>
      <c r="R97" s="7" t="s">
        <v>11</v>
      </c>
      <c r="S97" s="7" t="s">
        <v>312</v>
      </c>
      <c r="T97" s="7" t="s">
        <v>313</v>
      </c>
      <c r="U97" s="7" t="s">
        <v>311</v>
      </c>
    </row>
    <row r="98" spans="5:21">
      <c r="E98" s="5"/>
      <c r="F98" s="5"/>
      <c r="G98" s="5"/>
      <c r="H98" s="5"/>
      <c r="I98" s="5"/>
      <c r="J98" s="6"/>
      <c r="K98" s="5"/>
      <c r="O98" s="7" t="s">
        <v>47</v>
      </c>
      <c r="P98" s="7" t="s">
        <v>48</v>
      </c>
      <c r="Q98" s="7" t="s">
        <v>314</v>
      </c>
      <c r="R98" s="7" t="s">
        <v>17</v>
      </c>
      <c r="S98" s="7" t="s">
        <v>315</v>
      </c>
      <c r="T98" s="7" t="s">
        <v>316</v>
      </c>
      <c r="U98" s="7" t="s">
        <v>314</v>
      </c>
    </row>
    <row r="99" spans="5:21">
      <c r="E99" s="5"/>
      <c r="F99" s="5"/>
      <c r="G99" s="5"/>
      <c r="H99" s="5"/>
      <c r="I99" s="5"/>
      <c r="J99" s="6"/>
      <c r="K99" s="5"/>
      <c r="O99" s="7" t="s">
        <v>8</v>
      </c>
      <c r="P99" s="7" t="s">
        <v>9</v>
      </c>
      <c r="Q99" s="7" t="s">
        <v>317</v>
      </c>
      <c r="R99" s="7" t="s">
        <v>11</v>
      </c>
      <c r="S99" s="7" t="s">
        <v>318</v>
      </c>
      <c r="T99" s="7" t="s">
        <v>319</v>
      </c>
      <c r="U99" s="7" t="s">
        <v>317</v>
      </c>
    </row>
    <row r="100" spans="5:21">
      <c r="E100" s="5"/>
      <c r="F100" s="5"/>
      <c r="G100" s="5"/>
      <c r="H100" s="5"/>
      <c r="I100" s="5"/>
      <c r="J100" s="6"/>
      <c r="K100" s="5"/>
      <c r="O100" s="7" t="s">
        <v>8</v>
      </c>
      <c r="P100" s="7" t="s">
        <v>9</v>
      </c>
      <c r="Q100" s="7" t="s">
        <v>320</v>
      </c>
      <c r="R100" s="7" t="s">
        <v>11</v>
      </c>
      <c r="S100" s="7" t="s">
        <v>321</v>
      </c>
      <c r="T100" s="7" t="s">
        <v>322</v>
      </c>
      <c r="U100" s="7" t="s">
        <v>320</v>
      </c>
    </row>
    <row r="101" spans="5:21">
      <c r="E101" s="5"/>
      <c r="F101" s="5"/>
      <c r="G101" s="5"/>
      <c r="H101" s="5"/>
      <c r="I101" s="5"/>
      <c r="J101" s="6"/>
      <c r="K101" s="5"/>
      <c r="O101" s="7" t="s">
        <v>47</v>
      </c>
      <c r="P101" s="7" t="s">
        <v>48</v>
      </c>
      <c r="Q101" s="7" t="s">
        <v>323</v>
      </c>
      <c r="R101" s="7" t="s">
        <v>17</v>
      </c>
      <c r="S101" s="7" t="s">
        <v>324</v>
      </c>
      <c r="T101" s="7" t="s">
        <v>325</v>
      </c>
      <c r="U101" s="7" t="s">
        <v>323</v>
      </c>
    </row>
    <row r="102" spans="5:21">
      <c r="E102" s="5"/>
      <c r="F102" s="5"/>
      <c r="G102" s="5"/>
      <c r="H102" s="5"/>
      <c r="I102" s="5"/>
      <c r="J102" s="6"/>
      <c r="K102" s="5"/>
      <c r="O102" s="7" t="s">
        <v>251</v>
      </c>
      <c r="P102" s="7" t="s">
        <v>252</v>
      </c>
      <c r="Q102" s="7" t="s">
        <v>326</v>
      </c>
      <c r="R102" s="7" t="s">
        <v>254</v>
      </c>
      <c r="S102" s="7" t="s">
        <v>327</v>
      </c>
      <c r="T102" s="7" t="s">
        <v>328</v>
      </c>
      <c r="U102" s="7" t="s">
        <v>326</v>
      </c>
    </row>
    <row r="103" spans="5:21">
      <c r="E103" s="5"/>
      <c r="F103" s="5"/>
      <c r="G103" s="5"/>
      <c r="H103" s="5"/>
      <c r="I103" s="5"/>
      <c r="J103" s="6"/>
      <c r="K103" s="5"/>
      <c r="O103" s="7" t="s">
        <v>33</v>
      </c>
      <c r="P103" s="7" t="s">
        <v>34</v>
      </c>
      <c r="Q103" s="7" t="s">
        <v>329</v>
      </c>
      <c r="R103" s="7" t="s">
        <v>11</v>
      </c>
      <c r="S103" s="7" t="s">
        <v>330</v>
      </c>
      <c r="T103" s="7" t="s">
        <v>331</v>
      </c>
      <c r="U103" s="7" t="s">
        <v>329</v>
      </c>
    </row>
    <row r="104" spans="5:21">
      <c r="E104" s="5"/>
      <c r="F104" s="5"/>
      <c r="G104" s="5"/>
      <c r="H104" s="5"/>
      <c r="I104" s="5"/>
      <c r="J104" s="6"/>
      <c r="K104" s="5"/>
      <c r="O104" s="7" t="s">
        <v>251</v>
      </c>
      <c r="P104" s="7" t="s">
        <v>252</v>
      </c>
      <c r="Q104" s="7" t="s">
        <v>332</v>
      </c>
      <c r="R104" s="7" t="s">
        <v>254</v>
      </c>
      <c r="S104" s="7" t="s">
        <v>333</v>
      </c>
      <c r="T104" s="7" t="s">
        <v>334</v>
      </c>
      <c r="U104" s="7" t="s">
        <v>332</v>
      </c>
    </row>
    <row r="105" spans="5:21">
      <c r="E105" s="5"/>
      <c r="F105" s="5"/>
      <c r="G105" s="5"/>
      <c r="H105" s="5"/>
      <c r="I105" s="5"/>
      <c r="J105" s="6"/>
      <c r="K105" s="5"/>
      <c r="O105" s="7" t="s">
        <v>23</v>
      </c>
      <c r="P105" s="7" t="s">
        <v>24</v>
      </c>
      <c r="Q105" s="7" t="s">
        <v>335</v>
      </c>
      <c r="R105" s="7" t="s">
        <v>11</v>
      </c>
      <c r="S105" s="7" t="s">
        <v>336</v>
      </c>
      <c r="T105" s="7" t="s">
        <v>337</v>
      </c>
      <c r="U105" s="7" t="s">
        <v>335</v>
      </c>
    </row>
    <row r="106" spans="5:21">
      <c r="E106" s="5"/>
      <c r="F106" s="5"/>
      <c r="G106" s="5"/>
      <c r="H106" s="5"/>
      <c r="I106" s="5"/>
      <c r="J106" s="6"/>
      <c r="K106" s="5"/>
      <c r="O106" s="7" t="s">
        <v>23</v>
      </c>
      <c r="P106" s="7" t="s">
        <v>24</v>
      </c>
      <c r="Q106" s="7" t="s">
        <v>338</v>
      </c>
      <c r="R106" s="7" t="s">
        <v>11</v>
      </c>
      <c r="S106" s="7" t="s">
        <v>339</v>
      </c>
      <c r="T106" s="7" t="s">
        <v>340</v>
      </c>
      <c r="U106" s="7" t="s">
        <v>338</v>
      </c>
    </row>
    <row r="107" spans="5:21">
      <c r="E107" s="5"/>
      <c r="F107" s="5"/>
      <c r="G107" s="5"/>
      <c r="H107" s="5"/>
      <c r="I107" s="5"/>
      <c r="J107" s="6"/>
      <c r="K107" s="5"/>
      <c r="O107" s="7" t="s">
        <v>14</v>
      </c>
      <c r="P107" s="7" t="s">
        <v>15</v>
      </c>
      <c r="Q107" s="7" t="s">
        <v>341</v>
      </c>
      <c r="R107" s="7" t="s">
        <v>17</v>
      </c>
      <c r="S107" s="7" t="s">
        <v>342</v>
      </c>
      <c r="T107" s="7" t="s">
        <v>343</v>
      </c>
      <c r="U107" s="7" t="s">
        <v>341</v>
      </c>
    </row>
    <row r="108" spans="5:21">
      <c r="E108" s="5"/>
      <c r="F108" s="5"/>
      <c r="G108" s="5"/>
      <c r="H108" s="5"/>
      <c r="I108" s="5"/>
      <c r="J108" s="6"/>
      <c r="K108" s="5"/>
      <c r="O108" s="7" t="s">
        <v>28</v>
      </c>
      <c r="P108" s="7" t="s">
        <v>29</v>
      </c>
      <c r="Q108" s="7" t="s">
        <v>344</v>
      </c>
      <c r="R108" s="7" t="s">
        <v>11</v>
      </c>
      <c r="S108" s="7" t="s">
        <v>345</v>
      </c>
      <c r="T108" s="7" t="s">
        <v>346</v>
      </c>
      <c r="U108" s="7" t="s">
        <v>344</v>
      </c>
    </row>
    <row r="109" spans="5:21">
      <c r="E109" s="5"/>
      <c r="F109" s="5"/>
      <c r="G109" s="5"/>
      <c r="H109" s="5"/>
      <c r="I109" s="5"/>
      <c r="J109" s="6"/>
      <c r="K109" s="5"/>
      <c r="O109" s="7" t="s">
        <v>195</v>
      </c>
      <c r="P109" s="7" t="s">
        <v>196</v>
      </c>
      <c r="Q109" s="7" t="s">
        <v>347</v>
      </c>
      <c r="R109" s="7" t="s">
        <v>11</v>
      </c>
      <c r="S109" s="7" t="s">
        <v>348</v>
      </c>
      <c r="T109" s="7" t="s">
        <v>349</v>
      </c>
      <c r="U109" s="7" t="s">
        <v>347</v>
      </c>
    </row>
    <row r="110" spans="5:21">
      <c r="E110" s="5"/>
      <c r="F110" s="5"/>
      <c r="G110" s="5"/>
      <c r="H110" s="5"/>
      <c r="I110" s="5"/>
      <c r="J110" s="6"/>
      <c r="K110" s="5"/>
      <c r="O110" s="7" t="s">
        <v>47</v>
      </c>
      <c r="P110" s="7" t="s">
        <v>48</v>
      </c>
      <c r="Q110" s="7" t="s">
        <v>350</v>
      </c>
      <c r="R110" s="7" t="s">
        <v>17</v>
      </c>
      <c r="S110" s="7" t="s">
        <v>351</v>
      </c>
      <c r="T110" s="7" t="s">
        <v>352</v>
      </c>
      <c r="U110" s="7" t="s">
        <v>350</v>
      </c>
    </row>
    <row r="111" spans="5:21">
      <c r="E111" s="5"/>
      <c r="F111" s="5"/>
      <c r="G111" s="5"/>
      <c r="H111" s="5"/>
      <c r="I111" s="5"/>
      <c r="J111" s="6"/>
      <c r="K111" s="5"/>
      <c r="O111" s="7" t="s">
        <v>28</v>
      </c>
      <c r="P111" s="7" t="s">
        <v>29</v>
      </c>
      <c r="Q111" s="7" t="s">
        <v>353</v>
      </c>
      <c r="R111" s="7" t="s">
        <v>11</v>
      </c>
      <c r="S111" s="7" t="s">
        <v>354</v>
      </c>
      <c r="T111" s="7" t="s">
        <v>355</v>
      </c>
      <c r="U111" s="7" t="s">
        <v>353</v>
      </c>
    </row>
    <row r="112" spans="5:21">
      <c r="E112" s="5"/>
      <c r="F112" s="5"/>
      <c r="G112" s="5"/>
      <c r="H112" s="5"/>
      <c r="I112" s="5"/>
      <c r="J112" s="6"/>
      <c r="K112" s="5"/>
      <c r="O112" s="7" t="s">
        <v>8</v>
      </c>
      <c r="P112" s="7" t="s">
        <v>9</v>
      </c>
      <c r="Q112" s="7" t="s">
        <v>356</v>
      </c>
      <c r="R112" s="7" t="s">
        <v>11</v>
      </c>
      <c r="S112" s="7" t="s">
        <v>357</v>
      </c>
      <c r="T112" s="7" t="s">
        <v>358</v>
      </c>
      <c r="U112" s="7" t="s">
        <v>356</v>
      </c>
    </row>
    <row r="113" spans="5:21">
      <c r="E113" s="5"/>
      <c r="F113" s="5"/>
      <c r="G113" s="5"/>
      <c r="H113" s="5"/>
      <c r="I113" s="5"/>
      <c r="J113" s="6"/>
      <c r="K113" s="5"/>
      <c r="O113" s="7" t="s">
        <v>28</v>
      </c>
      <c r="P113" s="7" t="s">
        <v>29</v>
      </c>
      <c r="Q113" s="7" t="s">
        <v>359</v>
      </c>
      <c r="R113" s="7" t="s">
        <v>11</v>
      </c>
      <c r="S113" s="7" t="s">
        <v>360</v>
      </c>
      <c r="T113" s="7" t="s">
        <v>361</v>
      </c>
      <c r="U113" s="7" t="s">
        <v>359</v>
      </c>
    </row>
    <row r="114" spans="5:21">
      <c r="E114" s="5"/>
      <c r="F114" s="5"/>
      <c r="G114" s="5"/>
      <c r="H114" s="5"/>
      <c r="I114" s="5"/>
      <c r="J114" s="6"/>
      <c r="K114" s="5"/>
      <c r="O114" s="7" t="s">
        <v>28</v>
      </c>
      <c r="P114" s="7" t="s">
        <v>29</v>
      </c>
      <c r="Q114" s="7" t="s">
        <v>362</v>
      </c>
      <c r="R114" s="7" t="s">
        <v>11</v>
      </c>
      <c r="S114" s="7" t="s">
        <v>363</v>
      </c>
      <c r="T114" s="7" t="s">
        <v>364</v>
      </c>
      <c r="U114" s="7" t="s">
        <v>362</v>
      </c>
    </row>
    <row r="115" spans="5:21">
      <c r="E115" s="5"/>
      <c r="F115" s="5"/>
      <c r="G115" s="5"/>
      <c r="H115" s="5"/>
      <c r="I115" s="5"/>
      <c r="J115" s="6"/>
      <c r="K115" s="5"/>
      <c r="O115" s="7" t="s">
        <v>47</v>
      </c>
      <c r="P115" s="7" t="s">
        <v>48</v>
      </c>
      <c r="Q115" s="7" t="s">
        <v>365</v>
      </c>
      <c r="R115" s="7" t="s">
        <v>17</v>
      </c>
      <c r="S115" s="7" t="s">
        <v>366</v>
      </c>
      <c r="T115" s="7" t="s">
        <v>367</v>
      </c>
      <c r="U115" s="7" t="s">
        <v>365</v>
      </c>
    </row>
    <row r="116" spans="5:21">
      <c r="E116" s="5"/>
      <c r="F116" s="5"/>
      <c r="G116" s="5"/>
      <c r="H116" s="5"/>
      <c r="I116" s="5"/>
      <c r="J116" s="6"/>
      <c r="K116" s="5"/>
      <c r="O116" s="7" t="s">
        <v>28</v>
      </c>
      <c r="P116" s="7" t="s">
        <v>29</v>
      </c>
      <c r="Q116" s="7" t="s">
        <v>368</v>
      </c>
      <c r="R116" s="7" t="s">
        <v>11</v>
      </c>
      <c r="S116" s="7" t="s">
        <v>369</v>
      </c>
      <c r="T116" s="7" t="s">
        <v>370</v>
      </c>
      <c r="U116" s="7" t="s">
        <v>368</v>
      </c>
    </row>
    <row r="117" spans="5:21">
      <c r="E117" s="5"/>
      <c r="F117" s="5"/>
      <c r="G117" s="5"/>
      <c r="H117" s="5"/>
      <c r="I117" s="5"/>
      <c r="J117" s="6"/>
      <c r="K117" s="5"/>
      <c r="O117" s="7" t="s">
        <v>47</v>
      </c>
      <c r="P117" s="7" t="s">
        <v>48</v>
      </c>
      <c r="Q117" s="7" t="s">
        <v>371</v>
      </c>
      <c r="R117" s="7" t="s">
        <v>17</v>
      </c>
      <c r="S117" s="7" t="s">
        <v>372</v>
      </c>
      <c r="T117" s="7" t="s">
        <v>373</v>
      </c>
      <c r="U117" s="7" t="s">
        <v>371</v>
      </c>
    </row>
    <row r="118" spans="5:21">
      <c r="E118" s="5"/>
      <c r="F118" s="5"/>
      <c r="G118" s="5"/>
      <c r="H118" s="5"/>
      <c r="I118" s="5"/>
      <c r="J118" s="6"/>
      <c r="K118" s="5"/>
      <c r="O118" s="7" t="s">
        <v>28</v>
      </c>
      <c r="P118" s="7" t="s">
        <v>29</v>
      </c>
      <c r="Q118" s="7" t="s">
        <v>374</v>
      </c>
      <c r="R118" s="7" t="s">
        <v>11</v>
      </c>
      <c r="S118" s="7" t="s">
        <v>375</v>
      </c>
      <c r="T118" s="7" t="s">
        <v>376</v>
      </c>
      <c r="U118" s="7" t="s">
        <v>374</v>
      </c>
    </row>
    <row r="119" spans="5:21">
      <c r="E119" s="5"/>
      <c r="F119" s="5"/>
      <c r="G119" s="5"/>
      <c r="H119" s="5"/>
      <c r="I119" s="5"/>
      <c r="J119" s="6"/>
      <c r="K119" s="5"/>
      <c r="O119" s="7" t="s">
        <v>8</v>
      </c>
      <c r="P119" s="7" t="s">
        <v>9</v>
      </c>
      <c r="Q119" s="7" t="s">
        <v>377</v>
      </c>
      <c r="R119" s="7" t="s">
        <v>11</v>
      </c>
      <c r="S119" s="7" t="s">
        <v>378</v>
      </c>
      <c r="T119" s="7" t="s">
        <v>379</v>
      </c>
      <c r="U119" s="7" t="s">
        <v>377</v>
      </c>
    </row>
    <row r="120" spans="5:21">
      <c r="E120" s="5"/>
      <c r="F120" s="5"/>
      <c r="G120" s="5"/>
      <c r="H120" s="5"/>
      <c r="I120" s="5"/>
      <c r="J120" s="6"/>
      <c r="K120" s="5"/>
      <c r="O120" s="7" t="s">
        <v>8</v>
      </c>
      <c r="P120" s="7" t="s">
        <v>9</v>
      </c>
      <c r="Q120" s="7" t="s">
        <v>380</v>
      </c>
      <c r="R120" s="7" t="s">
        <v>11</v>
      </c>
      <c r="S120" s="7" t="s">
        <v>381</v>
      </c>
      <c r="T120" s="7" t="s">
        <v>382</v>
      </c>
      <c r="U120" s="7" t="s">
        <v>380</v>
      </c>
    </row>
    <row r="121" spans="5:21">
      <c r="E121" s="5"/>
      <c r="F121" s="5"/>
      <c r="G121" s="5"/>
      <c r="H121" s="5"/>
      <c r="I121" s="5"/>
      <c r="J121" s="6"/>
      <c r="K121" s="5"/>
      <c r="O121" s="7" t="s">
        <v>28</v>
      </c>
      <c r="P121" s="7" t="s">
        <v>29</v>
      </c>
      <c r="Q121" s="7" t="s">
        <v>383</v>
      </c>
      <c r="R121" s="7" t="s">
        <v>11</v>
      </c>
      <c r="S121" s="7" t="s">
        <v>384</v>
      </c>
      <c r="T121" s="7" t="s">
        <v>385</v>
      </c>
      <c r="U121" s="7" t="s">
        <v>383</v>
      </c>
    </row>
    <row r="122" spans="5:21">
      <c r="E122" s="5"/>
      <c r="F122" s="5"/>
      <c r="G122" s="5"/>
      <c r="H122" s="5"/>
      <c r="I122" s="5"/>
      <c r="J122" s="6"/>
      <c r="K122" s="5"/>
      <c r="O122" s="7" t="s">
        <v>8</v>
      </c>
      <c r="P122" s="7" t="s">
        <v>9</v>
      </c>
      <c r="Q122" s="7" t="s">
        <v>386</v>
      </c>
      <c r="R122" s="7" t="s">
        <v>11</v>
      </c>
      <c r="S122" s="7" t="s">
        <v>387</v>
      </c>
      <c r="T122" s="7" t="s">
        <v>388</v>
      </c>
      <c r="U122" s="7" t="s">
        <v>386</v>
      </c>
    </row>
    <row r="123" spans="5:21">
      <c r="E123" s="5"/>
      <c r="F123" s="5"/>
      <c r="G123" s="5"/>
      <c r="H123" s="5"/>
      <c r="I123" s="5"/>
      <c r="J123" s="6"/>
      <c r="K123" s="5"/>
      <c r="O123" s="7" t="s">
        <v>28</v>
      </c>
      <c r="P123" s="7" t="s">
        <v>29</v>
      </c>
      <c r="Q123" s="7" t="s">
        <v>389</v>
      </c>
      <c r="R123" s="7" t="s">
        <v>11</v>
      </c>
      <c r="S123" s="7" t="s">
        <v>390</v>
      </c>
      <c r="T123" s="7" t="s">
        <v>391</v>
      </c>
      <c r="U123" s="7" t="s">
        <v>389</v>
      </c>
    </row>
    <row r="124" spans="5:21">
      <c r="E124" s="5"/>
      <c r="F124" s="5"/>
      <c r="G124" s="5"/>
      <c r="H124" s="5"/>
      <c r="I124" s="5"/>
      <c r="J124" s="6"/>
      <c r="K124" s="5"/>
      <c r="O124" s="7" t="s">
        <v>47</v>
      </c>
      <c r="P124" s="7" t="s">
        <v>48</v>
      </c>
      <c r="Q124" s="7" t="s">
        <v>392</v>
      </c>
      <c r="R124" s="7" t="s">
        <v>17</v>
      </c>
      <c r="S124" s="7" t="s">
        <v>393</v>
      </c>
      <c r="T124" s="7" t="s">
        <v>394</v>
      </c>
      <c r="U124" s="7" t="s">
        <v>392</v>
      </c>
    </row>
    <row r="125" spans="5:21">
      <c r="E125" s="5"/>
      <c r="F125" s="5"/>
      <c r="G125" s="5"/>
      <c r="H125" s="5"/>
      <c r="I125" s="5"/>
      <c r="J125" s="6"/>
      <c r="K125" s="5"/>
      <c r="O125" s="7" t="s">
        <v>8</v>
      </c>
      <c r="P125" s="7" t="s">
        <v>9</v>
      </c>
      <c r="Q125" s="7" t="s">
        <v>395</v>
      </c>
      <c r="R125" s="7" t="s">
        <v>11</v>
      </c>
      <c r="S125" s="7" t="s">
        <v>396</v>
      </c>
      <c r="T125" s="7" t="s">
        <v>397</v>
      </c>
      <c r="U125" s="7" t="s">
        <v>395</v>
      </c>
    </row>
    <row r="126" spans="5:21">
      <c r="E126" s="5"/>
      <c r="F126" s="5"/>
      <c r="G126" s="5"/>
      <c r="H126" s="5"/>
      <c r="I126" s="5"/>
      <c r="J126" s="6"/>
      <c r="K126" s="5"/>
      <c r="O126" s="7" t="s">
        <v>28</v>
      </c>
      <c r="P126" s="7" t="s">
        <v>29</v>
      </c>
      <c r="Q126" s="7" t="s">
        <v>398</v>
      </c>
      <c r="R126" s="7" t="s">
        <v>11</v>
      </c>
      <c r="S126" s="7" t="s">
        <v>399</v>
      </c>
      <c r="T126" s="7" t="s">
        <v>400</v>
      </c>
      <c r="U126" s="7" t="s">
        <v>398</v>
      </c>
    </row>
    <row r="127" spans="5:21">
      <c r="E127" s="5"/>
      <c r="F127" s="5"/>
      <c r="G127" s="5"/>
      <c r="H127" s="5"/>
      <c r="I127" s="5"/>
      <c r="J127" s="6"/>
      <c r="K127" s="5"/>
      <c r="O127" s="7" t="s">
        <v>28</v>
      </c>
      <c r="P127" s="7" t="s">
        <v>29</v>
      </c>
      <c r="Q127" s="7" t="s">
        <v>401</v>
      </c>
      <c r="R127" s="7" t="s">
        <v>11</v>
      </c>
      <c r="S127" s="7" t="s">
        <v>402</v>
      </c>
      <c r="T127" s="7" t="s">
        <v>403</v>
      </c>
      <c r="U127" s="7" t="s">
        <v>401</v>
      </c>
    </row>
    <row r="128" spans="5:21">
      <c r="E128" s="5"/>
      <c r="F128" s="5"/>
      <c r="G128" s="5"/>
      <c r="H128" s="5"/>
      <c r="I128" s="5"/>
      <c r="J128" s="6"/>
      <c r="K128" s="5"/>
      <c r="O128" s="7" t="s">
        <v>58</v>
      </c>
      <c r="P128" s="7" t="s">
        <v>59</v>
      </c>
      <c r="Q128" s="7" t="s">
        <v>404</v>
      </c>
      <c r="R128" s="7" t="s">
        <v>11</v>
      </c>
      <c r="S128" s="7" t="s">
        <v>405</v>
      </c>
      <c r="T128" s="7" t="s">
        <v>406</v>
      </c>
      <c r="U128" s="7" t="s">
        <v>404</v>
      </c>
    </row>
    <row r="129" spans="5:21">
      <c r="E129" s="5"/>
      <c r="F129" s="5"/>
      <c r="G129" s="5"/>
      <c r="H129" s="5"/>
      <c r="I129" s="5"/>
      <c r="J129" s="6"/>
      <c r="K129" s="5"/>
      <c r="O129" s="7" t="s">
        <v>23</v>
      </c>
      <c r="P129" s="7" t="s">
        <v>24</v>
      </c>
      <c r="Q129" s="7" t="s">
        <v>407</v>
      </c>
      <c r="R129" s="7" t="s">
        <v>11</v>
      </c>
      <c r="S129" s="7" t="s">
        <v>408</v>
      </c>
      <c r="T129" s="7" t="s">
        <v>409</v>
      </c>
      <c r="U129" s="7" t="s">
        <v>407</v>
      </c>
    </row>
    <row r="130" spans="5:21">
      <c r="E130" s="5"/>
      <c r="F130" s="5"/>
      <c r="G130" s="5"/>
      <c r="H130" s="5"/>
      <c r="I130" s="5"/>
      <c r="J130" s="6"/>
      <c r="K130" s="5"/>
      <c r="O130" s="7" t="s">
        <v>28</v>
      </c>
      <c r="P130" s="7" t="s">
        <v>29</v>
      </c>
      <c r="Q130" s="7" t="s">
        <v>410</v>
      </c>
      <c r="R130" s="7" t="s">
        <v>11</v>
      </c>
      <c r="S130" s="7" t="s">
        <v>411</v>
      </c>
      <c r="T130" s="7" t="s">
        <v>412</v>
      </c>
      <c r="U130" s="7" t="s">
        <v>410</v>
      </c>
    </row>
    <row r="131" spans="5:21">
      <c r="E131" s="5"/>
      <c r="F131" s="5"/>
      <c r="G131" s="5"/>
      <c r="H131" s="5"/>
      <c r="I131" s="5"/>
      <c r="J131" s="6"/>
      <c r="K131" s="5"/>
      <c r="O131" s="7" t="s">
        <v>58</v>
      </c>
      <c r="P131" s="7" t="s">
        <v>59</v>
      </c>
      <c r="Q131" s="7" t="s">
        <v>413</v>
      </c>
      <c r="R131" s="7" t="s">
        <v>11</v>
      </c>
      <c r="S131" s="7" t="s">
        <v>414</v>
      </c>
      <c r="T131" s="7" t="s">
        <v>415</v>
      </c>
      <c r="U131" s="7" t="s">
        <v>413</v>
      </c>
    </row>
    <row r="132" spans="5:21">
      <c r="E132" s="5"/>
      <c r="F132" s="5"/>
      <c r="G132" s="5"/>
      <c r="H132" s="5"/>
      <c r="I132" s="5"/>
      <c r="J132" s="6"/>
      <c r="K132" s="5"/>
      <c r="O132" s="7" t="s">
        <v>47</v>
      </c>
      <c r="P132" s="7" t="s">
        <v>48</v>
      </c>
      <c r="Q132" s="7" t="s">
        <v>416</v>
      </c>
      <c r="R132" s="7" t="s">
        <v>17</v>
      </c>
      <c r="S132" s="7" t="s">
        <v>417</v>
      </c>
      <c r="T132" s="7" t="s">
        <v>418</v>
      </c>
      <c r="U132" s="7" t="s">
        <v>416</v>
      </c>
    </row>
    <row r="133" spans="5:21">
      <c r="E133" s="5"/>
      <c r="F133" s="5"/>
      <c r="G133" s="5"/>
      <c r="H133" s="5"/>
      <c r="I133" s="5"/>
      <c r="J133" s="6"/>
      <c r="K133" s="5"/>
      <c r="O133" s="7" t="s">
        <v>28</v>
      </c>
      <c r="P133" s="7" t="s">
        <v>29</v>
      </c>
      <c r="Q133" s="7" t="s">
        <v>419</v>
      </c>
      <c r="R133" s="7" t="s">
        <v>11</v>
      </c>
      <c r="S133" s="7" t="s">
        <v>420</v>
      </c>
      <c r="T133" s="7" t="s">
        <v>421</v>
      </c>
      <c r="U133" s="7" t="s">
        <v>419</v>
      </c>
    </row>
    <row r="134" spans="5:21">
      <c r="E134" s="5"/>
      <c r="F134" s="5"/>
      <c r="G134" s="5"/>
      <c r="H134" s="5"/>
      <c r="I134" s="5"/>
      <c r="J134" s="6"/>
      <c r="K134" s="5"/>
      <c r="O134" s="7" t="s">
        <v>8</v>
      </c>
      <c r="P134" s="7" t="s">
        <v>9</v>
      </c>
      <c r="Q134" s="7" t="s">
        <v>422</v>
      </c>
      <c r="R134" s="7" t="s">
        <v>11</v>
      </c>
      <c r="S134" s="7" t="s">
        <v>423</v>
      </c>
      <c r="T134" s="7" t="s">
        <v>424</v>
      </c>
      <c r="U134" s="7" t="s">
        <v>422</v>
      </c>
    </row>
    <row r="135" spans="5:21">
      <c r="E135" s="5"/>
      <c r="F135" s="5"/>
      <c r="G135" s="5"/>
      <c r="H135" s="5"/>
      <c r="I135" s="5"/>
      <c r="J135" s="6"/>
      <c r="K135" s="5"/>
      <c r="O135" s="7" t="s">
        <v>23</v>
      </c>
      <c r="P135" s="7" t="s">
        <v>24</v>
      </c>
      <c r="Q135" s="7" t="s">
        <v>425</v>
      </c>
      <c r="R135" s="7" t="s">
        <v>11</v>
      </c>
      <c r="S135" s="7" t="s">
        <v>426</v>
      </c>
      <c r="T135" s="7" t="s">
        <v>427</v>
      </c>
      <c r="U135" s="7" t="s">
        <v>425</v>
      </c>
    </row>
    <row r="136" spans="5:21">
      <c r="E136" s="5"/>
      <c r="F136" s="5"/>
      <c r="G136" s="5"/>
      <c r="H136" s="5"/>
      <c r="I136" s="5"/>
      <c r="J136" s="6"/>
      <c r="K136" s="5"/>
      <c r="O136" s="7" t="s">
        <v>8</v>
      </c>
      <c r="P136" s="7" t="s">
        <v>9</v>
      </c>
      <c r="Q136" s="7" t="s">
        <v>428</v>
      </c>
      <c r="R136" s="7" t="s">
        <v>11</v>
      </c>
      <c r="S136" s="7" t="s">
        <v>429</v>
      </c>
      <c r="T136" s="7" t="s">
        <v>430</v>
      </c>
      <c r="U136" s="7" t="s">
        <v>428</v>
      </c>
    </row>
    <row r="137" spans="5:21">
      <c r="E137" s="5"/>
      <c r="F137" s="5"/>
      <c r="G137" s="5"/>
      <c r="H137" s="5"/>
      <c r="I137" s="5"/>
      <c r="J137" s="6"/>
      <c r="K137" s="5"/>
      <c r="O137" s="7" t="s">
        <v>8</v>
      </c>
      <c r="P137" s="7" t="s">
        <v>9</v>
      </c>
      <c r="Q137" s="7" t="s">
        <v>431</v>
      </c>
      <c r="R137" s="7" t="s">
        <v>11</v>
      </c>
      <c r="S137" s="7" t="s">
        <v>432</v>
      </c>
      <c r="T137" s="7" t="s">
        <v>433</v>
      </c>
      <c r="U137" s="7" t="s">
        <v>431</v>
      </c>
    </row>
    <row r="138" spans="5:21">
      <c r="E138" s="5"/>
      <c r="F138" s="5"/>
      <c r="G138" s="5"/>
      <c r="H138" s="5"/>
      <c r="I138" s="5"/>
      <c r="J138" s="6"/>
      <c r="K138" s="5"/>
      <c r="O138" s="7" t="s">
        <v>28</v>
      </c>
      <c r="P138" s="7" t="s">
        <v>29</v>
      </c>
      <c r="Q138" s="7" t="s">
        <v>434</v>
      </c>
      <c r="R138" s="7" t="s">
        <v>11</v>
      </c>
      <c r="S138" s="7" t="s">
        <v>435</v>
      </c>
      <c r="T138" s="7" t="s">
        <v>436</v>
      </c>
      <c r="U138" s="7" t="s">
        <v>434</v>
      </c>
    </row>
    <row r="139" spans="5:21">
      <c r="E139" s="5"/>
      <c r="F139" s="5"/>
      <c r="G139" s="5"/>
      <c r="H139" s="5"/>
      <c r="I139" s="5"/>
      <c r="J139" s="6"/>
      <c r="K139" s="5"/>
      <c r="O139" s="7" t="s">
        <v>28</v>
      </c>
      <c r="P139" s="7" t="s">
        <v>29</v>
      </c>
      <c r="Q139" s="7" t="s">
        <v>437</v>
      </c>
      <c r="R139" s="7" t="s">
        <v>11</v>
      </c>
      <c r="S139" s="7" t="s">
        <v>438</v>
      </c>
      <c r="T139" s="7" t="s">
        <v>439</v>
      </c>
      <c r="U139" s="7" t="s">
        <v>437</v>
      </c>
    </row>
    <row r="140" spans="5:21">
      <c r="E140" s="5"/>
      <c r="F140" s="5"/>
      <c r="G140" s="5"/>
      <c r="H140" s="5"/>
      <c r="I140" s="5"/>
      <c r="J140" s="6"/>
      <c r="K140" s="5"/>
      <c r="O140" s="7" t="s">
        <v>47</v>
      </c>
      <c r="P140" s="7" t="s">
        <v>48</v>
      </c>
      <c r="Q140" s="7" t="s">
        <v>440</v>
      </c>
      <c r="R140" s="7" t="s">
        <v>17</v>
      </c>
      <c r="S140" s="7" t="s">
        <v>441</v>
      </c>
      <c r="T140" s="7" t="s">
        <v>442</v>
      </c>
      <c r="U140" s="7" t="s">
        <v>440</v>
      </c>
    </row>
    <row r="141" spans="5:21">
      <c r="E141" s="5"/>
      <c r="F141" s="5"/>
      <c r="G141" s="5"/>
      <c r="H141" s="5"/>
      <c r="I141" s="5"/>
      <c r="J141" s="6"/>
      <c r="K141" s="5"/>
      <c r="O141" s="7" t="s">
        <v>47</v>
      </c>
      <c r="P141" s="7" t="s">
        <v>48</v>
      </c>
      <c r="Q141" s="7" t="s">
        <v>443</v>
      </c>
      <c r="R141" s="7" t="s">
        <v>17</v>
      </c>
      <c r="S141" s="7" t="s">
        <v>444</v>
      </c>
      <c r="T141" s="7" t="s">
        <v>445</v>
      </c>
      <c r="U141" s="7" t="s">
        <v>443</v>
      </c>
    </row>
    <row r="142" spans="5:21">
      <c r="E142" s="5"/>
      <c r="F142" s="5"/>
      <c r="G142" s="5"/>
      <c r="H142" s="5"/>
      <c r="I142" s="5"/>
      <c r="J142" s="6"/>
      <c r="K142" s="5"/>
      <c r="O142" s="7" t="s">
        <v>14</v>
      </c>
      <c r="P142" s="7" t="s">
        <v>15</v>
      </c>
      <c r="Q142" s="7" t="s">
        <v>446</v>
      </c>
      <c r="R142" s="7" t="s">
        <v>17</v>
      </c>
      <c r="S142" s="7" t="s">
        <v>447</v>
      </c>
      <c r="T142" s="7" t="s">
        <v>448</v>
      </c>
      <c r="U142" s="7" t="s">
        <v>446</v>
      </c>
    </row>
    <row r="143" spans="5:21">
      <c r="E143" s="5"/>
      <c r="F143" s="5"/>
      <c r="G143" s="5"/>
      <c r="H143" s="5"/>
      <c r="I143" s="5"/>
      <c r="J143" s="6"/>
      <c r="K143" s="5"/>
      <c r="O143" s="7" t="s">
        <v>195</v>
      </c>
      <c r="P143" s="7" t="s">
        <v>196</v>
      </c>
      <c r="Q143" s="7" t="s">
        <v>449</v>
      </c>
      <c r="R143" s="7" t="s">
        <v>11</v>
      </c>
      <c r="S143" s="7" t="s">
        <v>450</v>
      </c>
      <c r="T143" s="7" t="s">
        <v>451</v>
      </c>
      <c r="U143" s="7" t="s">
        <v>449</v>
      </c>
    </row>
    <row r="144" spans="5:21">
      <c r="E144" s="5"/>
      <c r="F144" s="5"/>
      <c r="G144" s="5"/>
      <c r="H144" s="5"/>
      <c r="I144" s="5"/>
      <c r="J144" s="6"/>
      <c r="K144" s="5"/>
      <c r="O144" s="7" t="s">
        <v>28</v>
      </c>
      <c r="P144" s="7" t="s">
        <v>29</v>
      </c>
      <c r="Q144" s="7" t="s">
        <v>452</v>
      </c>
      <c r="R144" s="7" t="s">
        <v>11</v>
      </c>
      <c r="S144" s="7" t="s">
        <v>453</v>
      </c>
      <c r="T144" s="7" t="s">
        <v>454</v>
      </c>
      <c r="U144" s="7" t="s">
        <v>452</v>
      </c>
    </row>
    <row r="145" spans="5:21">
      <c r="E145" s="5"/>
      <c r="F145" s="5"/>
      <c r="G145" s="5"/>
      <c r="H145" s="5"/>
      <c r="I145" s="5"/>
      <c r="J145" s="6"/>
      <c r="K145" s="5"/>
      <c r="O145" s="7" t="s">
        <v>251</v>
      </c>
      <c r="P145" s="7" t="s">
        <v>252</v>
      </c>
      <c r="Q145" s="7" t="s">
        <v>455</v>
      </c>
      <c r="R145" s="7" t="s">
        <v>254</v>
      </c>
      <c r="S145" s="7" t="s">
        <v>456</v>
      </c>
      <c r="T145" s="7" t="s">
        <v>457</v>
      </c>
      <c r="U145" s="7" t="s">
        <v>455</v>
      </c>
    </row>
    <row r="146" spans="5:21">
      <c r="E146" s="5"/>
      <c r="F146" s="5"/>
      <c r="G146" s="5"/>
      <c r="H146" s="5"/>
      <c r="I146" s="5"/>
      <c r="J146" s="6"/>
      <c r="K146" s="5"/>
      <c r="O146" s="7" t="s">
        <v>23</v>
      </c>
      <c r="P146" s="7" t="s">
        <v>24</v>
      </c>
      <c r="Q146" s="7" t="s">
        <v>458</v>
      </c>
      <c r="R146" s="7" t="s">
        <v>11</v>
      </c>
      <c r="S146" s="7" t="s">
        <v>459</v>
      </c>
      <c r="T146" s="7" t="s">
        <v>460</v>
      </c>
      <c r="U146" s="7" t="s">
        <v>458</v>
      </c>
    </row>
    <row r="147" spans="5:21">
      <c r="E147" s="5"/>
      <c r="F147" s="5"/>
      <c r="G147" s="5"/>
      <c r="H147" s="5"/>
      <c r="I147" s="5"/>
      <c r="J147" s="6"/>
      <c r="K147" s="5"/>
      <c r="O147" s="7" t="s">
        <v>251</v>
      </c>
      <c r="P147" s="7" t="s">
        <v>252</v>
      </c>
      <c r="Q147" s="7" t="s">
        <v>461</v>
      </c>
      <c r="R147" s="7" t="s">
        <v>254</v>
      </c>
      <c r="S147" s="7" t="s">
        <v>462</v>
      </c>
      <c r="T147" s="7" t="s">
        <v>463</v>
      </c>
      <c r="U147" s="7" t="s">
        <v>461</v>
      </c>
    </row>
    <row r="148" spans="5:21">
      <c r="E148" s="5"/>
      <c r="F148" s="5"/>
      <c r="G148" s="5"/>
      <c r="H148" s="5"/>
      <c r="I148" s="5"/>
      <c r="J148" s="6"/>
      <c r="K148" s="5"/>
      <c r="O148" s="7" t="s">
        <v>8</v>
      </c>
      <c r="P148" s="7" t="s">
        <v>9</v>
      </c>
      <c r="Q148" s="7" t="s">
        <v>464</v>
      </c>
      <c r="R148" s="7" t="s">
        <v>11</v>
      </c>
      <c r="S148" s="7" t="s">
        <v>465</v>
      </c>
      <c r="T148" s="7" t="s">
        <v>466</v>
      </c>
      <c r="U148" s="7" t="s">
        <v>464</v>
      </c>
    </row>
    <row r="149" spans="5:21">
      <c r="E149" s="5"/>
      <c r="F149" s="5"/>
      <c r="G149" s="5"/>
      <c r="H149" s="5"/>
      <c r="I149" s="5"/>
      <c r="J149" s="6"/>
      <c r="K149" s="5"/>
      <c r="O149" s="7" t="s">
        <v>195</v>
      </c>
      <c r="P149" s="7" t="s">
        <v>196</v>
      </c>
      <c r="Q149" s="7" t="s">
        <v>467</v>
      </c>
      <c r="R149" s="7" t="s">
        <v>11</v>
      </c>
      <c r="S149" s="7" t="s">
        <v>468</v>
      </c>
      <c r="T149" s="7" t="s">
        <v>469</v>
      </c>
      <c r="U149" s="7" t="s">
        <v>467</v>
      </c>
    </row>
    <row r="150" spans="5:21">
      <c r="E150" s="5"/>
      <c r="F150" s="5"/>
      <c r="G150" s="5"/>
      <c r="H150" s="5"/>
      <c r="I150" s="5"/>
      <c r="J150" s="6"/>
      <c r="K150" s="5"/>
      <c r="O150" s="7" t="s">
        <v>23</v>
      </c>
      <c r="P150" s="7" t="s">
        <v>24</v>
      </c>
      <c r="Q150" s="7" t="s">
        <v>470</v>
      </c>
      <c r="R150" s="7" t="s">
        <v>11</v>
      </c>
      <c r="S150" s="7" t="s">
        <v>471</v>
      </c>
      <c r="T150" s="7" t="s">
        <v>472</v>
      </c>
      <c r="U150" s="7" t="s">
        <v>470</v>
      </c>
    </row>
    <row r="151" spans="5:21">
      <c r="E151" s="5"/>
      <c r="F151" s="1"/>
      <c r="G151" s="1"/>
      <c r="H151" s="5"/>
      <c r="I151" s="5"/>
      <c r="J151" s="6"/>
      <c r="K151" s="5"/>
      <c r="O151" s="7" t="s">
        <v>8</v>
      </c>
      <c r="P151" s="7" t="s">
        <v>9</v>
      </c>
      <c r="Q151" s="7" t="s">
        <v>473</v>
      </c>
      <c r="R151" s="7" t="s">
        <v>11</v>
      </c>
      <c r="S151" s="7" t="s">
        <v>474</v>
      </c>
      <c r="T151" s="7" t="s">
        <v>475</v>
      </c>
      <c r="U151" s="7" t="s">
        <v>473</v>
      </c>
    </row>
    <row r="152" spans="5:21">
      <c r="E152" s="5"/>
      <c r="F152" s="1"/>
      <c r="G152" s="1"/>
      <c r="H152" s="5"/>
      <c r="I152" s="5"/>
      <c r="J152" s="6"/>
      <c r="K152" s="5"/>
      <c r="O152" s="7" t="s">
        <v>28</v>
      </c>
      <c r="P152" s="7" t="s">
        <v>29</v>
      </c>
      <c r="Q152" s="7" t="s">
        <v>476</v>
      </c>
      <c r="R152" s="7" t="s">
        <v>11</v>
      </c>
      <c r="S152" s="7" t="s">
        <v>477</v>
      </c>
      <c r="T152" s="7" t="s">
        <v>478</v>
      </c>
      <c r="U152" s="7" t="s">
        <v>476</v>
      </c>
    </row>
    <row r="153" spans="5:21">
      <c r="E153" s="5"/>
      <c r="F153" s="5"/>
      <c r="G153" s="5"/>
      <c r="H153" s="5"/>
      <c r="I153" s="5"/>
      <c r="J153" s="6"/>
      <c r="K153" s="5"/>
      <c r="O153" s="7" t="s">
        <v>28</v>
      </c>
      <c r="P153" s="7" t="s">
        <v>29</v>
      </c>
      <c r="Q153" s="7" t="s">
        <v>479</v>
      </c>
      <c r="R153" s="7" t="s">
        <v>11</v>
      </c>
      <c r="S153" s="7" t="s">
        <v>480</v>
      </c>
      <c r="T153" s="7" t="s">
        <v>481</v>
      </c>
      <c r="U153" s="7" t="s">
        <v>479</v>
      </c>
    </row>
    <row r="154" spans="5:21">
      <c r="E154" s="14"/>
      <c r="F154" s="15"/>
      <c r="G154" s="15"/>
      <c r="H154" s="15"/>
      <c r="I154" s="15"/>
      <c r="J154" s="16"/>
      <c r="K154" s="15"/>
      <c r="O154" s="7" t="s">
        <v>195</v>
      </c>
      <c r="P154" s="7" t="s">
        <v>196</v>
      </c>
      <c r="Q154" s="7" t="s">
        <v>482</v>
      </c>
      <c r="R154" s="7" t="s">
        <v>11</v>
      </c>
      <c r="S154" s="7" t="s">
        <v>483</v>
      </c>
      <c r="T154" s="7" t="s">
        <v>484</v>
      </c>
      <c r="U154" s="7" t="s">
        <v>482</v>
      </c>
    </row>
    <row r="155" spans="5:21">
      <c r="E155" s="5"/>
      <c r="F155" s="5"/>
      <c r="G155" s="5"/>
      <c r="H155" s="5"/>
      <c r="I155" s="5"/>
      <c r="J155" s="6"/>
      <c r="K155" s="5"/>
      <c r="O155" s="7" t="s">
        <v>47</v>
      </c>
      <c r="P155" s="7" t="s">
        <v>48</v>
      </c>
      <c r="Q155" s="7" t="s">
        <v>485</v>
      </c>
      <c r="R155" s="7" t="s">
        <v>17</v>
      </c>
      <c r="S155" s="7" t="s">
        <v>486</v>
      </c>
      <c r="T155" s="7" t="s">
        <v>487</v>
      </c>
      <c r="U155" s="7" t="s">
        <v>485</v>
      </c>
    </row>
    <row r="156" spans="5:21">
      <c r="E156" s="5"/>
      <c r="F156" s="5"/>
      <c r="G156" s="5"/>
      <c r="H156" s="5"/>
      <c r="I156" s="5"/>
      <c r="J156" s="6"/>
      <c r="K156" s="5"/>
      <c r="O156" s="7" t="s">
        <v>23</v>
      </c>
      <c r="P156" s="7" t="s">
        <v>24</v>
      </c>
      <c r="Q156" s="7" t="s">
        <v>488</v>
      </c>
      <c r="R156" s="7" t="s">
        <v>11</v>
      </c>
      <c r="S156" s="7" t="s">
        <v>489</v>
      </c>
      <c r="T156" s="7" t="s">
        <v>490</v>
      </c>
      <c r="U156" s="7" t="s">
        <v>488</v>
      </c>
    </row>
    <row r="157" spans="5:21">
      <c r="E157" s="5"/>
      <c r="F157" s="5"/>
      <c r="G157" s="5"/>
      <c r="H157" s="5"/>
      <c r="I157" s="5"/>
      <c r="J157" s="6"/>
      <c r="K157" s="5"/>
      <c r="O157" s="7" t="s">
        <v>28</v>
      </c>
      <c r="P157" s="7" t="s">
        <v>29</v>
      </c>
      <c r="Q157" s="7" t="s">
        <v>491</v>
      </c>
      <c r="R157" s="7" t="s">
        <v>11</v>
      </c>
      <c r="S157" s="7" t="s">
        <v>492</v>
      </c>
      <c r="T157" s="7" t="s">
        <v>493</v>
      </c>
      <c r="U157" s="7" t="s">
        <v>491</v>
      </c>
    </row>
    <row r="158" spans="5:21">
      <c r="E158" s="5"/>
      <c r="F158" s="5"/>
      <c r="G158" s="5"/>
      <c r="H158" s="5"/>
      <c r="I158" s="5"/>
      <c r="J158" s="6"/>
      <c r="K158" s="5"/>
      <c r="O158" s="7" t="s">
        <v>8</v>
      </c>
      <c r="P158" s="7" t="s">
        <v>9</v>
      </c>
      <c r="Q158" s="7" t="s">
        <v>494</v>
      </c>
      <c r="R158" s="7" t="s">
        <v>11</v>
      </c>
      <c r="S158" s="7" t="s">
        <v>495</v>
      </c>
      <c r="T158" s="7" t="s">
        <v>496</v>
      </c>
      <c r="U158" s="7" t="s">
        <v>494</v>
      </c>
    </row>
    <row r="159" spans="5:21">
      <c r="E159" s="15"/>
      <c r="F159" s="5"/>
      <c r="G159" s="5"/>
      <c r="H159" s="5"/>
      <c r="I159" s="5"/>
      <c r="J159" s="6"/>
      <c r="K159" s="5"/>
      <c r="O159" s="7" t="s">
        <v>47</v>
      </c>
      <c r="P159" s="7" t="s">
        <v>48</v>
      </c>
      <c r="Q159" s="7" t="s">
        <v>497</v>
      </c>
      <c r="R159" s="7" t="s">
        <v>17</v>
      </c>
      <c r="S159" s="7" t="s">
        <v>498</v>
      </c>
      <c r="T159" s="7" t="s">
        <v>499</v>
      </c>
      <c r="U159" s="7" t="s">
        <v>497</v>
      </c>
    </row>
    <row r="160" spans="5:21">
      <c r="E160" s="5"/>
      <c r="F160" s="5"/>
      <c r="G160" s="5"/>
      <c r="H160" s="5"/>
      <c r="I160" s="5"/>
      <c r="J160" s="6"/>
      <c r="K160" s="5"/>
      <c r="O160" s="7" t="s">
        <v>195</v>
      </c>
      <c r="P160" s="7" t="s">
        <v>196</v>
      </c>
      <c r="Q160" s="7" t="s">
        <v>500</v>
      </c>
      <c r="R160" s="7" t="s">
        <v>11</v>
      </c>
      <c r="S160" s="7" t="s">
        <v>501</v>
      </c>
      <c r="T160" s="7" t="s">
        <v>502</v>
      </c>
      <c r="U160" s="7" t="s">
        <v>500</v>
      </c>
    </row>
    <row r="161" spans="5:21">
      <c r="E161" s="5"/>
      <c r="F161" s="5"/>
      <c r="G161" s="5"/>
      <c r="H161" s="5"/>
      <c r="I161" s="5"/>
      <c r="J161" s="6"/>
      <c r="K161" s="5"/>
      <c r="O161" s="7" t="s">
        <v>14</v>
      </c>
      <c r="P161" s="7" t="s">
        <v>15</v>
      </c>
      <c r="Q161" s="7" t="s">
        <v>503</v>
      </c>
      <c r="R161" s="7" t="s">
        <v>17</v>
      </c>
      <c r="S161" s="7" t="s">
        <v>504</v>
      </c>
      <c r="T161" s="7" t="s">
        <v>505</v>
      </c>
      <c r="U161" s="7" t="s">
        <v>503</v>
      </c>
    </row>
    <row r="162" spans="5:21">
      <c r="E162" s="5"/>
      <c r="F162" s="5"/>
      <c r="G162" s="5"/>
      <c r="H162" s="5"/>
      <c r="I162" s="5"/>
      <c r="J162" s="6"/>
      <c r="K162" s="5"/>
      <c r="O162" s="7" t="s">
        <v>195</v>
      </c>
      <c r="P162" s="7" t="s">
        <v>196</v>
      </c>
      <c r="Q162" s="7" t="s">
        <v>506</v>
      </c>
      <c r="R162" s="7" t="s">
        <v>11</v>
      </c>
      <c r="S162" s="7" t="s">
        <v>507</v>
      </c>
      <c r="T162" s="7" t="s">
        <v>508</v>
      </c>
      <c r="U162" s="7" t="s">
        <v>506</v>
      </c>
    </row>
    <row r="163" spans="5:21">
      <c r="E163" s="5"/>
      <c r="F163" s="5"/>
      <c r="G163" s="5"/>
      <c r="H163" s="5"/>
      <c r="I163" s="5"/>
      <c r="J163" s="6"/>
      <c r="K163" s="5"/>
      <c r="O163" s="7" t="s">
        <v>251</v>
      </c>
      <c r="P163" s="7" t="s">
        <v>252</v>
      </c>
      <c r="Q163" s="7" t="s">
        <v>509</v>
      </c>
      <c r="R163" s="7" t="s">
        <v>254</v>
      </c>
      <c r="S163" s="7" t="s">
        <v>510</v>
      </c>
      <c r="T163" s="7" t="s">
        <v>511</v>
      </c>
      <c r="U163" s="7" t="s">
        <v>509</v>
      </c>
    </row>
    <row r="164" spans="5:21">
      <c r="E164" s="5"/>
      <c r="F164" s="5"/>
      <c r="G164" s="5"/>
      <c r="H164" s="5"/>
      <c r="I164" s="5"/>
      <c r="J164" s="6"/>
      <c r="K164" s="5"/>
      <c r="O164" s="7" t="s">
        <v>8</v>
      </c>
      <c r="P164" s="7" t="s">
        <v>9</v>
      </c>
      <c r="Q164" s="7" t="s">
        <v>512</v>
      </c>
      <c r="R164" s="7" t="s">
        <v>11</v>
      </c>
      <c r="S164" s="7" t="s">
        <v>513</v>
      </c>
      <c r="T164" s="7" t="s">
        <v>514</v>
      </c>
      <c r="U164" s="7" t="s">
        <v>512</v>
      </c>
    </row>
    <row r="165" spans="5:21">
      <c r="E165" s="5"/>
      <c r="F165" s="5"/>
      <c r="G165" s="5"/>
      <c r="H165" s="5"/>
      <c r="I165" s="5"/>
      <c r="J165" s="6"/>
      <c r="K165" s="5"/>
      <c r="O165" s="7" t="s">
        <v>28</v>
      </c>
      <c r="P165" s="7" t="s">
        <v>29</v>
      </c>
      <c r="Q165" s="7" t="s">
        <v>515</v>
      </c>
      <c r="R165" s="7" t="s">
        <v>11</v>
      </c>
      <c r="S165" s="7" t="s">
        <v>516</v>
      </c>
      <c r="T165" s="7" t="s">
        <v>517</v>
      </c>
      <c r="U165" s="7" t="s">
        <v>515</v>
      </c>
    </row>
    <row r="166" spans="5:21">
      <c r="E166" s="5"/>
      <c r="F166" s="5"/>
      <c r="G166" s="5"/>
      <c r="H166" s="5"/>
      <c r="I166" s="5"/>
      <c r="J166" s="6"/>
      <c r="K166" s="5"/>
      <c r="O166" s="7" t="s">
        <v>28</v>
      </c>
      <c r="P166" s="7" t="s">
        <v>29</v>
      </c>
      <c r="Q166" s="7" t="s">
        <v>518</v>
      </c>
      <c r="R166" s="7" t="s">
        <v>11</v>
      </c>
      <c r="S166" s="7" t="s">
        <v>519</v>
      </c>
      <c r="T166" s="7" t="s">
        <v>520</v>
      </c>
      <c r="U166" s="7" t="s">
        <v>518</v>
      </c>
    </row>
    <row r="167" spans="5:21">
      <c r="E167" s="5"/>
      <c r="F167" s="5"/>
      <c r="G167" s="5"/>
      <c r="H167" s="5"/>
      <c r="I167" s="5"/>
      <c r="J167" s="6"/>
      <c r="K167" s="5"/>
      <c r="O167" s="7" t="s">
        <v>28</v>
      </c>
      <c r="P167" s="7" t="s">
        <v>29</v>
      </c>
      <c r="Q167" s="7" t="s">
        <v>521</v>
      </c>
      <c r="R167" s="7" t="s">
        <v>11</v>
      </c>
      <c r="S167" s="7" t="s">
        <v>522</v>
      </c>
      <c r="T167" s="7" t="s">
        <v>523</v>
      </c>
      <c r="U167" s="7" t="s">
        <v>521</v>
      </c>
    </row>
    <row r="168" spans="5:21">
      <c r="E168" s="5"/>
      <c r="F168" s="5"/>
      <c r="G168" s="5"/>
      <c r="H168" s="5"/>
      <c r="I168" s="5"/>
      <c r="J168" s="6"/>
      <c r="K168" s="5"/>
      <c r="O168" s="7" t="s">
        <v>28</v>
      </c>
      <c r="P168" s="7" t="s">
        <v>29</v>
      </c>
      <c r="Q168" s="7" t="s">
        <v>524</v>
      </c>
      <c r="R168" s="7" t="s">
        <v>11</v>
      </c>
      <c r="S168" s="7" t="s">
        <v>525</v>
      </c>
      <c r="T168" s="7" t="s">
        <v>526</v>
      </c>
      <c r="U168" s="7" t="s">
        <v>524</v>
      </c>
    </row>
    <row r="169" spans="5:21">
      <c r="E169" s="5"/>
      <c r="F169" s="5"/>
      <c r="G169" s="5"/>
      <c r="H169" s="5"/>
      <c r="I169" s="5"/>
      <c r="J169" s="6"/>
      <c r="K169" s="5"/>
      <c r="O169" s="7" t="s">
        <v>195</v>
      </c>
      <c r="P169" s="7" t="s">
        <v>196</v>
      </c>
      <c r="Q169" s="7" t="s">
        <v>527</v>
      </c>
      <c r="R169" s="7" t="s">
        <v>11</v>
      </c>
      <c r="S169" s="7" t="s">
        <v>528</v>
      </c>
      <c r="T169" s="7" t="s">
        <v>529</v>
      </c>
      <c r="U169" s="7" t="s">
        <v>527</v>
      </c>
    </row>
    <row r="170" spans="5:21">
      <c r="E170" s="5"/>
      <c r="F170" s="5"/>
      <c r="G170" s="5"/>
      <c r="H170" s="5"/>
      <c r="I170" s="5"/>
      <c r="J170" s="6"/>
      <c r="K170" s="5"/>
      <c r="O170" s="7" t="s">
        <v>28</v>
      </c>
      <c r="P170" s="7" t="s">
        <v>29</v>
      </c>
      <c r="Q170" s="7" t="s">
        <v>530</v>
      </c>
      <c r="R170" s="7" t="s">
        <v>11</v>
      </c>
      <c r="S170" s="7" t="s">
        <v>531</v>
      </c>
      <c r="T170" s="7" t="s">
        <v>532</v>
      </c>
      <c r="U170" s="7" t="s">
        <v>530</v>
      </c>
    </row>
    <row r="171" spans="5:21">
      <c r="E171" s="5"/>
      <c r="F171" s="5"/>
      <c r="G171" s="5"/>
      <c r="H171" s="5"/>
      <c r="I171" s="5"/>
      <c r="J171" s="6"/>
      <c r="K171" s="5"/>
      <c r="O171" s="7" t="s">
        <v>28</v>
      </c>
      <c r="P171" s="7" t="s">
        <v>29</v>
      </c>
      <c r="Q171" s="7" t="s">
        <v>533</v>
      </c>
      <c r="R171" s="7" t="s">
        <v>11</v>
      </c>
      <c r="S171" s="7" t="s">
        <v>534</v>
      </c>
      <c r="T171" s="7" t="s">
        <v>535</v>
      </c>
      <c r="U171" s="7" t="s">
        <v>533</v>
      </c>
    </row>
    <row r="172" spans="5:21">
      <c r="E172" s="5"/>
      <c r="F172" s="5"/>
      <c r="G172" s="5"/>
      <c r="H172" s="5"/>
      <c r="I172" s="5"/>
      <c r="J172" s="6"/>
      <c r="K172" s="5"/>
      <c r="O172" s="7" t="s">
        <v>251</v>
      </c>
      <c r="P172" s="7" t="s">
        <v>252</v>
      </c>
      <c r="Q172" s="7" t="s">
        <v>536</v>
      </c>
      <c r="R172" s="7" t="s">
        <v>254</v>
      </c>
      <c r="S172" s="7" t="s">
        <v>537</v>
      </c>
      <c r="T172" s="7" t="s">
        <v>538</v>
      </c>
      <c r="U172" s="7" t="s">
        <v>536</v>
      </c>
    </row>
    <row r="173" spans="5:21">
      <c r="E173" s="5"/>
      <c r="F173" s="5"/>
      <c r="G173" s="5"/>
      <c r="H173" s="5"/>
      <c r="I173" s="5"/>
      <c r="J173" s="6"/>
      <c r="K173" s="5"/>
      <c r="O173" s="7" t="s">
        <v>8</v>
      </c>
      <c r="P173" s="7" t="s">
        <v>9</v>
      </c>
      <c r="Q173" s="7" t="s">
        <v>539</v>
      </c>
      <c r="R173" s="7" t="s">
        <v>11</v>
      </c>
      <c r="S173" s="7" t="s">
        <v>540</v>
      </c>
      <c r="T173" s="7" t="s">
        <v>541</v>
      </c>
      <c r="U173" s="7" t="s">
        <v>539</v>
      </c>
    </row>
    <row r="174" spans="5:21">
      <c r="E174" s="5"/>
      <c r="F174" s="5"/>
      <c r="G174" s="5"/>
      <c r="H174" s="5"/>
      <c r="I174" s="5"/>
      <c r="J174" s="6"/>
      <c r="K174" s="5"/>
      <c r="O174" s="7" t="s">
        <v>23</v>
      </c>
      <c r="P174" s="7" t="s">
        <v>24</v>
      </c>
      <c r="Q174" s="7" t="s">
        <v>542</v>
      </c>
      <c r="R174" s="7" t="s">
        <v>11</v>
      </c>
      <c r="S174" s="7" t="s">
        <v>543</v>
      </c>
      <c r="T174" s="7" t="s">
        <v>544</v>
      </c>
      <c r="U174" s="7" t="s">
        <v>542</v>
      </c>
    </row>
    <row r="175" spans="5:21">
      <c r="E175" s="5"/>
      <c r="F175" s="5"/>
      <c r="G175" s="5"/>
      <c r="H175" s="5"/>
      <c r="I175" s="5"/>
      <c r="J175" s="6"/>
      <c r="K175" s="5"/>
      <c r="O175" s="7" t="s">
        <v>14</v>
      </c>
      <c r="P175" s="7" t="s">
        <v>15</v>
      </c>
      <c r="Q175" s="7" t="s">
        <v>545</v>
      </c>
      <c r="R175" s="7" t="s">
        <v>17</v>
      </c>
      <c r="S175" s="7" t="s">
        <v>546</v>
      </c>
      <c r="T175" s="7" t="s">
        <v>547</v>
      </c>
      <c r="U175" s="7" t="s">
        <v>545</v>
      </c>
    </row>
    <row r="176" spans="5:21">
      <c r="E176" s="5"/>
      <c r="F176" s="5"/>
      <c r="G176" s="5"/>
      <c r="H176" s="5"/>
      <c r="I176" s="5"/>
      <c r="J176" s="6"/>
      <c r="K176" s="5"/>
      <c r="O176" s="7" t="s">
        <v>8</v>
      </c>
      <c r="P176" s="7" t="s">
        <v>9</v>
      </c>
      <c r="Q176" s="7" t="s">
        <v>548</v>
      </c>
      <c r="R176" s="7" t="s">
        <v>11</v>
      </c>
      <c r="S176" s="7" t="s">
        <v>549</v>
      </c>
      <c r="T176" s="7" t="s">
        <v>550</v>
      </c>
      <c r="U176" s="7" t="s">
        <v>548</v>
      </c>
    </row>
    <row r="177" spans="5:21">
      <c r="E177" s="5"/>
      <c r="F177" s="5"/>
      <c r="G177" s="5"/>
      <c r="H177" s="5"/>
      <c r="I177" s="5"/>
      <c r="J177" s="6"/>
      <c r="K177" s="5"/>
      <c r="O177" s="7" t="s">
        <v>28</v>
      </c>
      <c r="P177" s="7" t="s">
        <v>29</v>
      </c>
      <c r="Q177" s="7" t="s">
        <v>551</v>
      </c>
      <c r="R177" s="7" t="s">
        <v>11</v>
      </c>
      <c r="S177" s="7" t="s">
        <v>552</v>
      </c>
      <c r="T177" s="7" t="s">
        <v>553</v>
      </c>
      <c r="U177" s="7" t="s">
        <v>551</v>
      </c>
    </row>
    <row r="178" spans="5:21">
      <c r="E178" s="5"/>
      <c r="F178" s="5"/>
      <c r="G178" s="5"/>
      <c r="H178" s="5"/>
      <c r="I178" s="5"/>
      <c r="J178" s="6"/>
      <c r="K178" s="5"/>
      <c r="O178" s="7" t="s">
        <v>23</v>
      </c>
      <c r="P178" s="7" t="s">
        <v>24</v>
      </c>
      <c r="Q178" s="7" t="s">
        <v>554</v>
      </c>
      <c r="R178" s="7" t="s">
        <v>11</v>
      </c>
      <c r="S178" s="7" t="s">
        <v>555</v>
      </c>
      <c r="T178" s="7" t="s">
        <v>556</v>
      </c>
      <c r="U178" s="7" t="s">
        <v>554</v>
      </c>
    </row>
    <row r="179" spans="5:21">
      <c r="E179" s="5"/>
      <c r="F179" s="5"/>
      <c r="G179" s="5"/>
      <c r="H179" s="5"/>
      <c r="I179" s="5"/>
      <c r="J179" s="6"/>
      <c r="K179" s="5"/>
      <c r="O179" s="7" t="s">
        <v>8</v>
      </c>
      <c r="P179" s="7" t="s">
        <v>9</v>
      </c>
      <c r="Q179" s="7" t="s">
        <v>557</v>
      </c>
      <c r="R179" s="7" t="s">
        <v>11</v>
      </c>
      <c r="S179" s="7" t="s">
        <v>558</v>
      </c>
      <c r="T179" s="7" t="s">
        <v>559</v>
      </c>
      <c r="U179" s="7" t="s">
        <v>557</v>
      </c>
    </row>
    <row r="180" spans="5:21">
      <c r="E180" s="5"/>
      <c r="F180" s="5"/>
      <c r="G180" s="5"/>
      <c r="H180" s="5"/>
      <c r="I180" s="5"/>
      <c r="J180" s="6"/>
      <c r="K180" s="5"/>
      <c r="O180" s="7" t="s">
        <v>58</v>
      </c>
      <c r="P180" s="7" t="s">
        <v>59</v>
      </c>
      <c r="Q180" s="7" t="s">
        <v>560</v>
      </c>
      <c r="R180" s="7" t="s">
        <v>11</v>
      </c>
      <c r="S180" s="7" t="s">
        <v>561</v>
      </c>
      <c r="T180" s="7" t="s">
        <v>562</v>
      </c>
      <c r="U180" s="7" t="s">
        <v>560</v>
      </c>
    </row>
    <row r="181" spans="5:21">
      <c r="E181" s="5"/>
      <c r="F181" s="5"/>
      <c r="G181" s="5"/>
      <c r="H181" s="5"/>
      <c r="I181" s="5"/>
      <c r="J181" s="6"/>
      <c r="K181" s="5"/>
      <c r="O181" s="7" t="s">
        <v>23</v>
      </c>
      <c r="P181" s="7" t="s">
        <v>24</v>
      </c>
      <c r="Q181" s="7" t="s">
        <v>563</v>
      </c>
      <c r="R181" s="7" t="s">
        <v>11</v>
      </c>
      <c r="S181" s="7" t="s">
        <v>564</v>
      </c>
      <c r="T181" s="7" t="s">
        <v>565</v>
      </c>
      <c r="U181" s="7" t="s">
        <v>563</v>
      </c>
    </row>
    <row r="182" spans="5:21">
      <c r="E182" s="5"/>
      <c r="F182" s="5"/>
      <c r="G182" s="5"/>
      <c r="H182" s="5"/>
      <c r="I182" s="5"/>
      <c r="J182" s="6"/>
      <c r="K182" s="5"/>
      <c r="O182" s="7" t="s">
        <v>8</v>
      </c>
      <c r="P182" s="7" t="s">
        <v>9</v>
      </c>
      <c r="Q182" s="7" t="s">
        <v>566</v>
      </c>
      <c r="R182" s="7" t="s">
        <v>11</v>
      </c>
      <c r="S182" s="7" t="s">
        <v>567</v>
      </c>
      <c r="T182" s="7" t="s">
        <v>568</v>
      </c>
      <c r="U182" s="7" t="s">
        <v>566</v>
      </c>
    </row>
    <row r="183" spans="5:21">
      <c r="E183" s="5"/>
      <c r="F183" s="5"/>
      <c r="G183" s="5"/>
      <c r="H183" s="5"/>
      <c r="I183" s="5"/>
      <c r="J183" s="6"/>
      <c r="K183" s="5"/>
      <c r="O183" s="7" t="s">
        <v>23</v>
      </c>
      <c r="P183" s="7" t="s">
        <v>24</v>
      </c>
      <c r="Q183" s="7" t="s">
        <v>569</v>
      </c>
      <c r="R183" s="7" t="s">
        <v>11</v>
      </c>
      <c r="S183" s="7" t="s">
        <v>570</v>
      </c>
      <c r="T183" s="7" t="s">
        <v>571</v>
      </c>
      <c r="U183" s="7" t="s">
        <v>569</v>
      </c>
    </row>
    <row r="184" spans="5:21">
      <c r="E184" s="5"/>
      <c r="F184" s="5"/>
      <c r="G184" s="5"/>
      <c r="H184" s="5"/>
      <c r="I184" s="5"/>
      <c r="J184" s="6"/>
      <c r="K184" s="5"/>
      <c r="O184" s="7" t="s">
        <v>28</v>
      </c>
      <c r="P184" s="7" t="s">
        <v>29</v>
      </c>
      <c r="Q184" s="7" t="s">
        <v>572</v>
      </c>
      <c r="R184" s="7" t="s">
        <v>11</v>
      </c>
      <c r="S184" s="7" t="s">
        <v>573</v>
      </c>
      <c r="T184" s="7" t="s">
        <v>574</v>
      </c>
      <c r="U184" s="7" t="s">
        <v>572</v>
      </c>
    </row>
    <row r="185" spans="5:21">
      <c r="E185" s="5"/>
      <c r="F185" s="5"/>
      <c r="G185" s="5"/>
      <c r="H185" s="5"/>
      <c r="I185" s="5"/>
      <c r="J185" s="6"/>
      <c r="K185" s="5"/>
      <c r="O185" s="7" t="s">
        <v>28</v>
      </c>
      <c r="P185" s="7" t="s">
        <v>29</v>
      </c>
      <c r="Q185" s="7" t="s">
        <v>575</v>
      </c>
      <c r="R185" s="7" t="s">
        <v>11</v>
      </c>
      <c r="S185" s="7" t="s">
        <v>576</v>
      </c>
      <c r="T185" s="7" t="s">
        <v>577</v>
      </c>
      <c r="U185" s="7" t="s">
        <v>575</v>
      </c>
    </row>
    <row r="186" spans="5:21">
      <c r="E186" s="5"/>
      <c r="F186" s="5"/>
      <c r="G186" s="5"/>
      <c r="H186" s="5"/>
      <c r="I186" s="5"/>
      <c r="J186" s="6"/>
      <c r="K186" s="5"/>
      <c r="O186" s="7" t="s">
        <v>47</v>
      </c>
      <c r="P186" s="7" t="s">
        <v>48</v>
      </c>
      <c r="Q186" s="7" t="s">
        <v>578</v>
      </c>
      <c r="R186" s="7" t="s">
        <v>17</v>
      </c>
      <c r="S186" s="7" t="s">
        <v>579</v>
      </c>
      <c r="T186" s="7" t="s">
        <v>580</v>
      </c>
      <c r="U186" s="7" t="s">
        <v>578</v>
      </c>
    </row>
    <row r="187" spans="5:21">
      <c r="E187" s="5"/>
      <c r="F187" s="5"/>
      <c r="G187" s="5"/>
      <c r="H187" s="5"/>
      <c r="I187" s="5"/>
      <c r="J187" s="6"/>
      <c r="K187" s="5"/>
      <c r="O187" s="7" t="s">
        <v>8</v>
      </c>
      <c r="P187" s="7" t="s">
        <v>9</v>
      </c>
      <c r="Q187" s="7" t="s">
        <v>581</v>
      </c>
      <c r="R187" s="7" t="s">
        <v>11</v>
      </c>
      <c r="S187" s="7" t="s">
        <v>582</v>
      </c>
      <c r="T187" s="7" t="s">
        <v>583</v>
      </c>
      <c r="U187" s="7" t="s">
        <v>581</v>
      </c>
    </row>
    <row r="188" spans="5:21">
      <c r="E188" s="5"/>
      <c r="F188" s="5"/>
      <c r="G188" s="5"/>
      <c r="H188" s="5"/>
      <c r="I188" s="5"/>
      <c r="J188" s="6"/>
      <c r="K188" s="5"/>
      <c r="O188" s="7" t="s">
        <v>8</v>
      </c>
      <c r="P188" s="7" t="s">
        <v>9</v>
      </c>
      <c r="Q188" s="7" t="s">
        <v>584</v>
      </c>
      <c r="R188" s="7" t="s">
        <v>11</v>
      </c>
      <c r="S188" s="7" t="s">
        <v>585</v>
      </c>
      <c r="T188" s="7" t="s">
        <v>586</v>
      </c>
      <c r="U188" s="7" t="s">
        <v>584</v>
      </c>
    </row>
    <row r="189" spans="5:21">
      <c r="E189" s="5"/>
      <c r="F189" s="5"/>
      <c r="G189" s="5"/>
      <c r="H189" s="5"/>
      <c r="I189" s="5"/>
      <c r="J189" s="6"/>
      <c r="K189" s="5"/>
      <c r="O189" s="7" t="s">
        <v>251</v>
      </c>
      <c r="P189" s="7" t="s">
        <v>252</v>
      </c>
      <c r="Q189" s="7" t="s">
        <v>587</v>
      </c>
      <c r="R189" s="7" t="s">
        <v>254</v>
      </c>
      <c r="S189" s="7" t="s">
        <v>588</v>
      </c>
      <c r="T189" s="7" t="s">
        <v>589</v>
      </c>
      <c r="U189" s="7" t="s">
        <v>587</v>
      </c>
    </row>
    <row r="190" spans="5:21">
      <c r="E190" s="5"/>
      <c r="F190" s="5"/>
      <c r="G190" s="5"/>
      <c r="H190" s="5"/>
      <c r="I190" s="5"/>
      <c r="J190" s="6"/>
      <c r="K190" s="5"/>
      <c r="O190" s="7" t="s">
        <v>8</v>
      </c>
      <c r="P190" s="7" t="s">
        <v>9</v>
      </c>
      <c r="Q190" s="7" t="s">
        <v>590</v>
      </c>
      <c r="R190" s="7" t="s">
        <v>11</v>
      </c>
      <c r="S190" s="7" t="s">
        <v>591</v>
      </c>
      <c r="T190" s="7" t="s">
        <v>592</v>
      </c>
      <c r="U190" s="7" t="s">
        <v>590</v>
      </c>
    </row>
    <row r="191" spans="5:21">
      <c r="E191" s="5"/>
      <c r="F191" s="5"/>
      <c r="G191" s="5"/>
      <c r="H191" s="5"/>
      <c r="I191" s="5"/>
      <c r="J191" s="6"/>
      <c r="K191" s="5"/>
      <c r="O191" s="7" t="s">
        <v>47</v>
      </c>
      <c r="P191" s="7" t="s">
        <v>48</v>
      </c>
      <c r="Q191" s="7" t="s">
        <v>593</v>
      </c>
      <c r="R191" s="7" t="s">
        <v>17</v>
      </c>
      <c r="S191" s="7" t="s">
        <v>594</v>
      </c>
      <c r="T191" s="7" t="s">
        <v>595</v>
      </c>
      <c r="U191" s="7" t="s">
        <v>593</v>
      </c>
    </row>
    <row r="192" spans="5:21">
      <c r="E192" s="5"/>
      <c r="F192" s="5"/>
      <c r="G192" s="5"/>
      <c r="H192" s="5"/>
      <c r="I192" s="5"/>
      <c r="J192" s="6"/>
      <c r="K192" s="5"/>
      <c r="O192" s="7" t="s">
        <v>8</v>
      </c>
      <c r="P192" s="7" t="s">
        <v>9</v>
      </c>
      <c r="Q192" s="7" t="s">
        <v>596</v>
      </c>
      <c r="R192" s="7" t="s">
        <v>11</v>
      </c>
      <c r="S192" s="7" t="s">
        <v>597</v>
      </c>
      <c r="T192" s="7" t="s">
        <v>598</v>
      </c>
      <c r="U192" s="7" t="s">
        <v>596</v>
      </c>
    </row>
    <row r="193" spans="5:21">
      <c r="E193" s="5"/>
      <c r="F193" s="5"/>
      <c r="G193" s="5"/>
      <c r="H193" s="5"/>
      <c r="I193" s="5"/>
      <c r="J193" s="6"/>
      <c r="K193" s="5"/>
      <c r="O193" s="7" t="s">
        <v>28</v>
      </c>
      <c r="P193" s="7" t="s">
        <v>29</v>
      </c>
      <c r="Q193" s="7" t="s">
        <v>599</v>
      </c>
      <c r="R193" s="7" t="s">
        <v>11</v>
      </c>
      <c r="S193" s="7" t="s">
        <v>600</v>
      </c>
      <c r="T193" s="7" t="s">
        <v>601</v>
      </c>
      <c r="U193" s="7" t="s">
        <v>599</v>
      </c>
    </row>
    <row r="194" spans="5:21">
      <c r="E194" s="5"/>
      <c r="F194" s="5"/>
      <c r="G194" s="5"/>
      <c r="H194" s="5"/>
      <c r="I194" s="5"/>
      <c r="J194" s="6"/>
      <c r="K194" s="5"/>
      <c r="O194" s="7" t="s">
        <v>8</v>
      </c>
      <c r="P194" s="7" t="s">
        <v>9</v>
      </c>
      <c r="Q194" s="7" t="s">
        <v>602</v>
      </c>
      <c r="R194" s="7" t="s">
        <v>11</v>
      </c>
      <c r="S194" s="7" t="s">
        <v>603</v>
      </c>
      <c r="T194" s="7" t="s">
        <v>604</v>
      </c>
      <c r="U194" s="7" t="s">
        <v>602</v>
      </c>
    </row>
    <row r="195" spans="5:21">
      <c r="E195" s="5"/>
      <c r="F195" s="5"/>
      <c r="G195" s="5"/>
      <c r="H195" s="5"/>
      <c r="I195" s="5"/>
      <c r="J195" s="6"/>
      <c r="K195" s="5"/>
      <c r="O195" s="7" t="s">
        <v>28</v>
      </c>
      <c r="P195" s="7" t="s">
        <v>29</v>
      </c>
      <c r="Q195" s="7" t="s">
        <v>605</v>
      </c>
      <c r="R195" s="7" t="s">
        <v>11</v>
      </c>
      <c r="S195" s="7" t="s">
        <v>606</v>
      </c>
      <c r="T195" s="7" t="s">
        <v>607</v>
      </c>
      <c r="U195" s="7" t="s">
        <v>605</v>
      </c>
    </row>
    <row r="196" spans="5:21">
      <c r="E196" s="5"/>
      <c r="F196" s="5"/>
      <c r="G196" s="5"/>
      <c r="H196" s="5"/>
      <c r="I196" s="5"/>
      <c r="J196" s="6"/>
      <c r="K196" s="5"/>
      <c r="O196" s="7" t="s">
        <v>58</v>
      </c>
      <c r="P196" s="7" t="s">
        <v>59</v>
      </c>
      <c r="Q196" s="7" t="s">
        <v>608</v>
      </c>
      <c r="R196" s="7" t="s">
        <v>11</v>
      </c>
      <c r="S196" s="7" t="s">
        <v>609</v>
      </c>
      <c r="T196" s="7" t="s">
        <v>610</v>
      </c>
      <c r="U196" s="7" t="s">
        <v>608</v>
      </c>
    </row>
    <row r="197" spans="5:21">
      <c r="E197" s="5"/>
      <c r="F197" s="5"/>
      <c r="G197" s="5"/>
      <c r="H197" s="5"/>
      <c r="I197" s="5"/>
      <c r="J197" s="6"/>
      <c r="K197" s="5"/>
      <c r="O197" s="7" t="s">
        <v>28</v>
      </c>
      <c r="P197" s="7" t="s">
        <v>29</v>
      </c>
      <c r="Q197" s="7" t="s">
        <v>611</v>
      </c>
      <c r="R197" s="7" t="s">
        <v>11</v>
      </c>
      <c r="S197" s="7" t="s">
        <v>612</v>
      </c>
      <c r="T197" s="7" t="s">
        <v>613</v>
      </c>
      <c r="U197" s="7" t="s">
        <v>611</v>
      </c>
    </row>
    <row r="198" spans="5:21">
      <c r="E198" s="5"/>
      <c r="F198" s="5"/>
      <c r="G198" s="5"/>
      <c r="H198" s="5"/>
      <c r="I198" s="5"/>
      <c r="J198" s="6"/>
      <c r="K198" s="5"/>
      <c r="O198" s="7" t="s">
        <v>58</v>
      </c>
      <c r="P198" s="7" t="s">
        <v>59</v>
      </c>
      <c r="Q198" s="7" t="s">
        <v>614</v>
      </c>
      <c r="R198" s="7" t="s">
        <v>11</v>
      </c>
      <c r="S198" s="7" t="s">
        <v>615</v>
      </c>
      <c r="T198" s="7" t="s">
        <v>616</v>
      </c>
      <c r="U198" s="7" t="s">
        <v>614</v>
      </c>
    </row>
    <row r="199" spans="5:21">
      <c r="E199" s="5"/>
      <c r="F199" s="5"/>
      <c r="G199" s="5"/>
      <c r="H199" s="5"/>
      <c r="I199" s="5"/>
      <c r="J199" s="6"/>
      <c r="K199" s="5"/>
      <c r="O199" s="7" t="s">
        <v>47</v>
      </c>
      <c r="P199" s="7" t="s">
        <v>48</v>
      </c>
      <c r="Q199" s="7" t="s">
        <v>617</v>
      </c>
      <c r="R199" s="7" t="s">
        <v>17</v>
      </c>
      <c r="S199" s="7" t="s">
        <v>618</v>
      </c>
      <c r="T199" s="7" t="s">
        <v>619</v>
      </c>
      <c r="U199" s="7" t="s">
        <v>617</v>
      </c>
    </row>
    <row r="200" spans="5:21">
      <c r="E200" s="5"/>
      <c r="F200" s="5"/>
      <c r="G200" s="5"/>
      <c r="H200" s="5"/>
      <c r="I200" s="5"/>
      <c r="J200" s="6"/>
      <c r="K200" s="5"/>
      <c r="O200" s="7" t="s">
        <v>8</v>
      </c>
      <c r="P200" s="7" t="s">
        <v>9</v>
      </c>
      <c r="Q200" s="7" t="s">
        <v>620</v>
      </c>
      <c r="R200" s="7" t="s">
        <v>11</v>
      </c>
      <c r="S200" s="7" t="s">
        <v>621</v>
      </c>
      <c r="T200" s="7" t="s">
        <v>622</v>
      </c>
      <c r="U200" s="7" t="s">
        <v>620</v>
      </c>
    </row>
    <row r="201" spans="5:21">
      <c r="E201" s="5"/>
      <c r="F201" s="5"/>
      <c r="G201" s="5"/>
      <c r="H201" s="5"/>
      <c r="I201" s="5"/>
      <c r="J201" s="6"/>
      <c r="K201" s="5"/>
      <c r="O201" s="7" t="s">
        <v>8</v>
      </c>
      <c r="P201" s="7" t="s">
        <v>9</v>
      </c>
      <c r="Q201" s="7" t="s">
        <v>623</v>
      </c>
      <c r="R201" s="7" t="s">
        <v>11</v>
      </c>
      <c r="S201" s="7" t="s">
        <v>624</v>
      </c>
      <c r="T201" s="7" t="s">
        <v>625</v>
      </c>
      <c r="U201" s="7" t="s">
        <v>623</v>
      </c>
    </row>
    <row r="202" spans="5:21">
      <c r="E202" s="5"/>
      <c r="F202" s="5"/>
      <c r="G202" s="5"/>
      <c r="H202" s="5"/>
      <c r="I202" s="5"/>
      <c r="J202" s="6"/>
      <c r="K202" s="5"/>
      <c r="O202" s="7" t="s">
        <v>28</v>
      </c>
      <c r="P202" s="7" t="s">
        <v>29</v>
      </c>
      <c r="Q202" s="7" t="s">
        <v>626</v>
      </c>
      <c r="R202" s="7" t="s">
        <v>11</v>
      </c>
      <c r="S202" s="7" t="s">
        <v>627</v>
      </c>
      <c r="T202" s="7" t="s">
        <v>628</v>
      </c>
      <c r="U202" s="7" t="s">
        <v>626</v>
      </c>
    </row>
    <row r="203" spans="5:21">
      <c r="E203" s="5"/>
      <c r="F203" s="5"/>
      <c r="G203" s="5"/>
      <c r="H203" s="5"/>
      <c r="I203" s="5"/>
      <c r="J203" s="6"/>
      <c r="K203" s="5"/>
      <c r="O203" s="7" t="s">
        <v>28</v>
      </c>
      <c r="P203" s="7" t="s">
        <v>29</v>
      </c>
      <c r="Q203" s="7" t="s">
        <v>629</v>
      </c>
      <c r="R203" s="7" t="s">
        <v>11</v>
      </c>
      <c r="S203" s="7" t="s">
        <v>630</v>
      </c>
      <c r="T203" s="7" t="s">
        <v>631</v>
      </c>
      <c r="U203" s="7" t="s">
        <v>629</v>
      </c>
    </row>
    <row r="204" spans="5:21">
      <c r="E204" s="5"/>
      <c r="F204" s="5"/>
      <c r="G204" s="5"/>
      <c r="H204" s="5"/>
      <c r="I204" s="5"/>
      <c r="J204" s="6"/>
      <c r="K204" s="5"/>
      <c r="O204" s="7" t="s">
        <v>251</v>
      </c>
      <c r="P204" s="7" t="s">
        <v>252</v>
      </c>
      <c r="Q204" s="7" t="s">
        <v>632</v>
      </c>
      <c r="R204" s="7" t="s">
        <v>254</v>
      </c>
      <c r="S204" s="7" t="s">
        <v>633</v>
      </c>
      <c r="T204" s="7" t="s">
        <v>634</v>
      </c>
      <c r="U204" s="7" t="s">
        <v>632</v>
      </c>
    </row>
    <row r="205" spans="5:21">
      <c r="E205" s="5"/>
      <c r="F205" s="5"/>
      <c r="G205" s="5"/>
      <c r="H205" s="5"/>
      <c r="I205" s="5"/>
      <c r="J205" s="6"/>
      <c r="K205" s="5"/>
      <c r="O205" s="7" t="s">
        <v>8</v>
      </c>
      <c r="P205" s="7" t="s">
        <v>9</v>
      </c>
      <c r="Q205" s="7" t="s">
        <v>635</v>
      </c>
      <c r="R205" s="7" t="s">
        <v>11</v>
      </c>
      <c r="S205" s="7" t="s">
        <v>636</v>
      </c>
      <c r="T205" s="7" t="s">
        <v>637</v>
      </c>
      <c r="U205" s="7" t="s">
        <v>635</v>
      </c>
    </row>
    <row r="206" spans="5:21">
      <c r="E206" s="5"/>
      <c r="F206" s="5"/>
      <c r="G206" s="5"/>
      <c r="H206" s="5"/>
      <c r="I206" s="5"/>
      <c r="J206" s="6"/>
      <c r="K206" s="5"/>
      <c r="O206" s="7" t="s">
        <v>14</v>
      </c>
      <c r="P206" s="7" t="s">
        <v>15</v>
      </c>
      <c r="Q206" s="7" t="s">
        <v>638</v>
      </c>
      <c r="R206" s="7" t="s">
        <v>17</v>
      </c>
      <c r="S206" s="7" t="s">
        <v>639</v>
      </c>
      <c r="T206" s="7" t="s">
        <v>640</v>
      </c>
      <c r="U206" s="7" t="s">
        <v>638</v>
      </c>
    </row>
    <row r="207" spans="5:21">
      <c r="E207" s="5"/>
      <c r="F207" s="5"/>
      <c r="G207" s="5"/>
      <c r="H207" s="5"/>
      <c r="I207" s="5"/>
      <c r="J207" s="6"/>
      <c r="K207" s="5"/>
      <c r="O207" s="7" t="s">
        <v>28</v>
      </c>
      <c r="P207" s="7" t="s">
        <v>29</v>
      </c>
      <c r="Q207" s="7" t="s">
        <v>641</v>
      </c>
      <c r="R207" s="7" t="s">
        <v>11</v>
      </c>
      <c r="S207" s="7" t="s">
        <v>642</v>
      </c>
      <c r="T207" s="7" t="s">
        <v>643</v>
      </c>
      <c r="U207" s="7" t="s">
        <v>641</v>
      </c>
    </row>
    <row r="208" spans="5:21">
      <c r="E208" s="5"/>
      <c r="F208" s="5"/>
      <c r="G208" s="5"/>
      <c r="H208" s="5"/>
      <c r="I208" s="5"/>
      <c r="J208" s="6"/>
      <c r="K208" s="5"/>
      <c r="O208" s="7" t="s">
        <v>251</v>
      </c>
      <c r="P208" s="7" t="s">
        <v>252</v>
      </c>
      <c r="Q208" s="7" t="s">
        <v>644</v>
      </c>
      <c r="R208" s="7" t="s">
        <v>254</v>
      </c>
      <c r="S208" s="7" t="s">
        <v>645</v>
      </c>
      <c r="T208" s="7" t="s">
        <v>646</v>
      </c>
      <c r="U208" s="7" t="s">
        <v>644</v>
      </c>
    </row>
    <row r="209" spans="5:21">
      <c r="E209" s="5"/>
      <c r="F209" s="5"/>
      <c r="G209" s="5"/>
      <c r="H209" s="5"/>
      <c r="I209" s="5"/>
      <c r="J209" s="6"/>
      <c r="K209" s="5"/>
      <c r="O209" s="7" t="s">
        <v>23</v>
      </c>
      <c r="P209" s="7" t="s">
        <v>24</v>
      </c>
      <c r="Q209" s="7" t="s">
        <v>647</v>
      </c>
      <c r="R209" s="7" t="s">
        <v>11</v>
      </c>
      <c r="S209" s="7" t="s">
        <v>648</v>
      </c>
      <c r="T209" s="7" t="s">
        <v>649</v>
      </c>
      <c r="U209" s="7" t="s">
        <v>647</v>
      </c>
    </row>
    <row r="210" spans="5:21">
      <c r="E210" s="5"/>
      <c r="F210" s="5"/>
      <c r="G210" s="5"/>
      <c r="H210" s="5"/>
      <c r="I210" s="5"/>
      <c r="J210" s="6"/>
      <c r="K210" s="5"/>
      <c r="O210" s="7" t="s">
        <v>58</v>
      </c>
      <c r="P210" s="7" t="s">
        <v>59</v>
      </c>
      <c r="Q210" s="7" t="s">
        <v>650</v>
      </c>
      <c r="R210" s="7" t="s">
        <v>11</v>
      </c>
      <c r="S210" s="7" t="s">
        <v>651</v>
      </c>
      <c r="T210" s="7" t="s">
        <v>652</v>
      </c>
      <c r="U210" s="7" t="s">
        <v>650</v>
      </c>
    </row>
    <row r="211" spans="5:21">
      <c r="E211" s="5"/>
      <c r="F211" s="5"/>
      <c r="G211" s="5"/>
      <c r="H211" s="5"/>
      <c r="I211" s="5"/>
      <c r="J211" s="6"/>
      <c r="K211" s="5"/>
      <c r="O211" s="7" t="s">
        <v>251</v>
      </c>
      <c r="P211" s="7" t="s">
        <v>252</v>
      </c>
      <c r="Q211" s="7" t="s">
        <v>653</v>
      </c>
      <c r="R211" s="7" t="s">
        <v>254</v>
      </c>
      <c r="S211" s="7" t="s">
        <v>654</v>
      </c>
      <c r="T211" s="7" t="s">
        <v>655</v>
      </c>
      <c r="U211" s="7" t="s">
        <v>653</v>
      </c>
    </row>
    <row r="212" spans="5:21">
      <c r="E212" s="5"/>
      <c r="F212" s="5"/>
      <c r="G212" s="5"/>
      <c r="H212" s="5"/>
      <c r="I212" s="5"/>
      <c r="J212" s="6"/>
      <c r="K212" s="5"/>
      <c r="O212" s="7" t="s">
        <v>47</v>
      </c>
      <c r="P212" s="7" t="s">
        <v>48</v>
      </c>
      <c r="Q212" s="7" t="s">
        <v>656</v>
      </c>
      <c r="R212" s="7" t="s">
        <v>17</v>
      </c>
      <c r="S212" s="7" t="s">
        <v>657</v>
      </c>
      <c r="T212" s="7" t="s">
        <v>658</v>
      </c>
      <c r="U212" s="7" t="s">
        <v>656</v>
      </c>
    </row>
    <row r="213" spans="5:21">
      <c r="E213" s="5"/>
      <c r="F213" s="5"/>
      <c r="G213" s="5"/>
      <c r="H213" s="5"/>
      <c r="I213" s="5"/>
      <c r="J213" s="6"/>
      <c r="K213" s="5"/>
      <c r="O213" s="7" t="s">
        <v>28</v>
      </c>
      <c r="P213" s="7" t="s">
        <v>29</v>
      </c>
      <c r="Q213" s="7" t="s">
        <v>659</v>
      </c>
      <c r="R213" s="7" t="s">
        <v>11</v>
      </c>
      <c r="S213" s="7" t="s">
        <v>660</v>
      </c>
      <c r="T213" s="7" t="s">
        <v>661</v>
      </c>
      <c r="U213" s="7" t="s">
        <v>659</v>
      </c>
    </row>
    <row r="214" spans="5:21">
      <c r="E214" s="5"/>
      <c r="F214" s="5"/>
      <c r="G214" s="5"/>
      <c r="H214" s="5"/>
      <c r="I214" s="5"/>
      <c r="J214" s="6"/>
      <c r="K214" s="5"/>
      <c r="O214" s="7" t="s">
        <v>8</v>
      </c>
      <c r="P214" s="7" t="s">
        <v>9</v>
      </c>
      <c r="Q214" s="7" t="s">
        <v>662</v>
      </c>
      <c r="R214" s="7" t="s">
        <v>11</v>
      </c>
      <c r="S214" s="7" t="s">
        <v>663</v>
      </c>
      <c r="T214" s="7" t="s">
        <v>664</v>
      </c>
      <c r="U214" s="7" t="s">
        <v>662</v>
      </c>
    </row>
    <row r="215" spans="5:21">
      <c r="E215" s="5"/>
      <c r="F215" s="5"/>
      <c r="G215" s="5"/>
      <c r="H215" s="5"/>
      <c r="I215" s="5"/>
      <c r="J215" s="6"/>
      <c r="K215" s="5"/>
      <c r="O215" s="7" t="s">
        <v>8</v>
      </c>
      <c r="P215" s="7" t="s">
        <v>9</v>
      </c>
      <c r="Q215" s="7" t="s">
        <v>665</v>
      </c>
      <c r="R215" s="7" t="s">
        <v>11</v>
      </c>
      <c r="S215" s="7" t="s">
        <v>666</v>
      </c>
      <c r="T215" s="7" t="s">
        <v>667</v>
      </c>
      <c r="U215" s="7" t="s">
        <v>665</v>
      </c>
    </row>
    <row r="216" spans="5:21">
      <c r="E216" s="5"/>
      <c r="F216" s="5"/>
      <c r="G216" s="5"/>
      <c r="H216" s="5"/>
      <c r="I216" s="5"/>
      <c r="J216" s="6"/>
      <c r="K216" s="5"/>
      <c r="O216" s="7" t="s">
        <v>8</v>
      </c>
      <c r="P216" s="7" t="s">
        <v>9</v>
      </c>
      <c r="Q216" s="7" t="s">
        <v>668</v>
      </c>
      <c r="R216" s="7" t="s">
        <v>11</v>
      </c>
      <c r="S216" s="7" t="s">
        <v>669</v>
      </c>
      <c r="T216" s="7" t="s">
        <v>670</v>
      </c>
      <c r="U216" s="7" t="s">
        <v>668</v>
      </c>
    </row>
    <row r="217" spans="5:21">
      <c r="E217" s="5"/>
      <c r="F217" s="5"/>
      <c r="G217" s="5"/>
      <c r="H217" s="5"/>
      <c r="I217" s="5"/>
      <c r="J217" s="6"/>
      <c r="K217" s="5"/>
      <c r="O217" s="7" t="s">
        <v>671</v>
      </c>
      <c r="P217" s="7" t="s">
        <v>196</v>
      </c>
      <c r="Q217" s="7" t="s">
        <v>672</v>
      </c>
      <c r="R217" s="7" t="s">
        <v>11</v>
      </c>
      <c r="S217" s="7" t="s">
        <v>673</v>
      </c>
      <c r="T217" s="7" t="s">
        <v>674</v>
      </c>
      <c r="U217" s="7" t="s">
        <v>672</v>
      </c>
    </row>
    <row r="218" spans="5:21">
      <c r="E218" s="5"/>
      <c r="F218" s="5"/>
      <c r="G218" s="5"/>
      <c r="H218" s="5"/>
      <c r="I218" s="5"/>
      <c r="J218" s="6"/>
      <c r="K218" s="5"/>
      <c r="O218" s="7" t="s">
        <v>195</v>
      </c>
      <c r="P218" s="7" t="s">
        <v>196</v>
      </c>
      <c r="Q218" s="7" t="s">
        <v>675</v>
      </c>
      <c r="R218" s="7" t="s">
        <v>11</v>
      </c>
      <c r="S218" s="7" t="s">
        <v>676</v>
      </c>
      <c r="T218" s="7" t="s">
        <v>677</v>
      </c>
      <c r="U218" s="7" t="s">
        <v>675</v>
      </c>
    </row>
    <row r="219" spans="5:21">
      <c r="E219" s="5"/>
      <c r="F219" s="5"/>
      <c r="G219" s="5"/>
      <c r="H219" s="5"/>
      <c r="I219" s="5"/>
      <c r="J219" s="6"/>
      <c r="K219" s="5"/>
      <c r="O219" s="7" t="s">
        <v>28</v>
      </c>
      <c r="P219" s="7" t="s">
        <v>29</v>
      </c>
      <c r="Q219" s="7" t="s">
        <v>678</v>
      </c>
      <c r="R219" s="7" t="s">
        <v>11</v>
      </c>
      <c r="S219" s="7" t="s">
        <v>679</v>
      </c>
      <c r="T219" s="7" t="s">
        <v>680</v>
      </c>
      <c r="U219" s="7" t="s">
        <v>678</v>
      </c>
    </row>
    <row r="220" spans="5:21">
      <c r="E220" s="5"/>
      <c r="F220" s="5"/>
      <c r="G220" s="5"/>
      <c r="H220" s="5"/>
      <c r="I220" s="5"/>
      <c r="J220" s="6"/>
      <c r="K220" s="5"/>
      <c r="O220" s="7" t="s">
        <v>47</v>
      </c>
      <c r="P220" s="7" t="s">
        <v>48</v>
      </c>
      <c r="Q220" s="7" t="s">
        <v>681</v>
      </c>
      <c r="R220" s="7" t="s">
        <v>17</v>
      </c>
      <c r="S220" s="7" t="s">
        <v>682</v>
      </c>
      <c r="T220" s="7" t="s">
        <v>683</v>
      </c>
      <c r="U220" s="7" t="s">
        <v>681</v>
      </c>
    </row>
    <row r="221" spans="5:21">
      <c r="E221" s="5"/>
      <c r="F221" s="5"/>
      <c r="G221" s="5"/>
      <c r="H221" s="5"/>
      <c r="I221" s="5"/>
      <c r="J221" s="6"/>
      <c r="K221" s="5"/>
      <c r="O221" s="7" t="s">
        <v>47</v>
      </c>
      <c r="P221" s="7" t="s">
        <v>48</v>
      </c>
      <c r="Q221" s="7" t="s">
        <v>684</v>
      </c>
      <c r="R221" s="7" t="s">
        <v>17</v>
      </c>
      <c r="S221" s="7" t="s">
        <v>685</v>
      </c>
      <c r="T221" s="7" t="s">
        <v>686</v>
      </c>
      <c r="U221" s="7" t="s">
        <v>684</v>
      </c>
    </row>
    <row r="222" spans="5:21">
      <c r="E222" s="5"/>
      <c r="F222" s="5"/>
      <c r="G222" s="5"/>
      <c r="H222" s="5"/>
      <c r="I222" s="5"/>
      <c r="J222" s="6"/>
      <c r="K222" s="5"/>
      <c r="O222" s="7" t="s">
        <v>47</v>
      </c>
      <c r="P222" s="7" t="s">
        <v>48</v>
      </c>
      <c r="Q222" s="7" t="s">
        <v>687</v>
      </c>
      <c r="R222" s="7" t="s">
        <v>17</v>
      </c>
      <c r="S222" s="7" t="s">
        <v>688</v>
      </c>
      <c r="T222" s="7" t="s">
        <v>689</v>
      </c>
      <c r="U222" s="7" t="s">
        <v>687</v>
      </c>
    </row>
    <row r="223" spans="5:21">
      <c r="E223" s="5"/>
      <c r="F223" s="5"/>
      <c r="G223" s="5"/>
      <c r="H223" s="5"/>
      <c r="I223" s="5"/>
      <c r="J223" s="6"/>
      <c r="K223" s="5"/>
      <c r="O223" s="7" t="s">
        <v>47</v>
      </c>
      <c r="P223" s="7" t="s">
        <v>48</v>
      </c>
      <c r="Q223" s="7" t="s">
        <v>690</v>
      </c>
      <c r="R223" s="7" t="s">
        <v>17</v>
      </c>
      <c r="S223" s="7" t="s">
        <v>691</v>
      </c>
      <c r="T223" s="7" t="s">
        <v>692</v>
      </c>
      <c r="U223" s="7" t="s">
        <v>690</v>
      </c>
    </row>
    <row r="224" spans="5:21">
      <c r="E224" s="5"/>
      <c r="F224" s="5"/>
      <c r="G224" s="5"/>
      <c r="H224" s="5"/>
      <c r="I224" s="5"/>
      <c r="J224" s="6"/>
      <c r="K224" s="5"/>
      <c r="O224" s="7" t="s">
        <v>58</v>
      </c>
      <c r="P224" s="7" t="s">
        <v>59</v>
      </c>
      <c r="Q224" s="7" t="s">
        <v>693</v>
      </c>
      <c r="R224" s="7" t="s">
        <v>11</v>
      </c>
      <c r="S224" s="7" t="s">
        <v>694</v>
      </c>
      <c r="T224" s="7" t="s">
        <v>695</v>
      </c>
      <c r="U224" s="7" t="s">
        <v>693</v>
      </c>
    </row>
    <row r="225" spans="5:21">
      <c r="E225" s="5"/>
      <c r="F225" s="5"/>
      <c r="G225" s="5"/>
      <c r="H225" s="5"/>
      <c r="I225" s="5"/>
      <c r="J225" s="6"/>
      <c r="K225" s="5"/>
      <c r="O225" s="7" t="s">
        <v>23</v>
      </c>
      <c r="P225" s="7" t="s">
        <v>24</v>
      </c>
      <c r="Q225" s="7" t="s">
        <v>696</v>
      </c>
      <c r="R225" s="7" t="s">
        <v>11</v>
      </c>
      <c r="S225" s="7" t="s">
        <v>697</v>
      </c>
      <c r="T225" s="7" t="s">
        <v>698</v>
      </c>
      <c r="U225" s="7" t="s">
        <v>696</v>
      </c>
    </row>
    <row r="226" spans="5:21">
      <c r="E226" s="5"/>
      <c r="F226" s="5"/>
      <c r="G226" s="5"/>
      <c r="H226" s="5"/>
      <c r="I226" s="5"/>
      <c r="J226" s="6"/>
      <c r="K226" s="5"/>
      <c r="O226" s="7" t="s">
        <v>28</v>
      </c>
      <c r="P226" s="7" t="s">
        <v>29</v>
      </c>
      <c r="Q226" s="7" t="s">
        <v>699</v>
      </c>
      <c r="R226" s="7" t="s">
        <v>11</v>
      </c>
      <c r="S226" s="7" t="s">
        <v>700</v>
      </c>
      <c r="T226" s="7" t="s">
        <v>701</v>
      </c>
      <c r="U226" s="7" t="s">
        <v>699</v>
      </c>
    </row>
    <row r="227" spans="5:21">
      <c r="E227" s="5"/>
      <c r="F227" s="13"/>
      <c r="G227" s="13"/>
      <c r="H227" s="12"/>
      <c r="I227" s="5"/>
      <c r="J227" s="6"/>
      <c r="K227" s="5"/>
      <c r="O227" s="7" t="s">
        <v>28</v>
      </c>
      <c r="P227" s="7" t="s">
        <v>29</v>
      </c>
      <c r="Q227" s="7" t="s">
        <v>702</v>
      </c>
      <c r="R227" s="7" t="s">
        <v>11</v>
      </c>
      <c r="S227" s="7" t="s">
        <v>703</v>
      </c>
      <c r="T227" s="7" t="s">
        <v>704</v>
      </c>
      <c r="U227" s="7" t="s">
        <v>702</v>
      </c>
    </row>
    <row r="228" spans="5:21">
      <c r="E228" s="5"/>
      <c r="F228" s="12"/>
      <c r="G228" s="12"/>
      <c r="H228" s="12"/>
      <c r="I228" s="5"/>
      <c r="J228" s="6"/>
      <c r="K228" s="5"/>
      <c r="O228" s="7" t="s">
        <v>58</v>
      </c>
      <c r="P228" s="7" t="s">
        <v>59</v>
      </c>
      <c r="Q228" s="7" t="s">
        <v>705</v>
      </c>
      <c r="R228" s="7" t="s">
        <v>11</v>
      </c>
      <c r="S228" s="7" t="s">
        <v>706</v>
      </c>
      <c r="T228" s="7" t="s">
        <v>707</v>
      </c>
      <c r="U228" s="7" t="s">
        <v>705</v>
      </c>
    </row>
    <row r="229" spans="5:21">
      <c r="E229" s="5"/>
      <c r="F229" s="12"/>
      <c r="G229" s="12"/>
      <c r="H229" s="12"/>
      <c r="I229" s="5"/>
      <c r="J229" s="6"/>
      <c r="K229" s="5"/>
      <c r="O229" s="7" t="s">
        <v>8</v>
      </c>
      <c r="P229" s="7" t="s">
        <v>9</v>
      </c>
      <c r="Q229" s="7" t="s">
        <v>708</v>
      </c>
      <c r="R229" s="7" t="s">
        <v>11</v>
      </c>
      <c r="S229" s="7" t="s">
        <v>709</v>
      </c>
      <c r="T229" s="7" t="s">
        <v>710</v>
      </c>
      <c r="U229" s="7" t="s">
        <v>708</v>
      </c>
    </row>
    <row r="230" spans="5:21">
      <c r="E230" s="5"/>
      <c r="F230" s="5"/>
      <c r="G230" s="5"/>
      <c r="H230" s="5"/>
      <c r="I230" s="5"/>
      <c r="J230" s="6"/>
      <c r="K230" s="5"/>
      <c r="O230" s="7" t="s">
        <v>58</v>
      </c>
      <c r="P230" s="7" t="s">
        <v>59</v>
      </c>
      <c r="Q230" s="7" t="s">
        <v>711</v>
      </c>
      <c r="R230" s="7" t="s">
        <v>11</v>
      </c>
      <c r="S230" s="7" t="s">
        <v>712</v>
      </c>
      <c r="T230" s="7" t="s">
        <v>713</v>
      </c>
      <c r="U230" s="7" t="s">
        <v>711</v>
      </c>
    </row>
    <row r="231" spans="5:21">
      <c r="E231" s="5"/>
      <c r="F231" s="5"/>
      <c r="G231" s="5"/>
      <c r="H231" s="5"/>
      <c r="I231" s="5"/>
      <c r="J231" s="6"/>
      <c r="K231" s="5"/>
      <c r="O231" s="7" t="s">
        <v>28</v>
      </c>
      <c r="P231" s="7" t="s">
        <v>29</v>
      </c>
      <c r="Q231" s="7" t="s">
        <v>714</v>
      </c>
      <c r="R231" s="7" t="s">
        <v>11</v>
      </c>
      <c r="S231" s="7" t="s">
        <v>715</v>
      </c>
      <c r="T231" s="7" t="s">
        <v>716</v>
      </c>
      <c r="U231" s="7" t="s">
        <v>714</v>
      </c>
    </row>
    <row r="232" spans="5:21">
      <c r="E232" s="5"/>
      <c r="F232" s="5"/>
      <c r="G232" s="5"/>
      <c r="H232" s="5"/>
      <c r="I232" s="5"/>
      <c r="J232" s="6"/>
      <c r="K232" s="5"/>
      <c r="O232" s="7" t="s">
        <v>58</v>
      </c>
      <c r="P232" s="7" t="s">
        <v>59</v>
      </c>
      <c r="Q232" s="7" t="s">
        <v>717</v>
      </c>
      <c r="R232" s="7" t="s">
        <v>11</v>
      </c>
      <c r="S232" s="7" t="s">
        <v>718</v>
      </c>
      <c r="T232" s="7" t="s">
        <v>719</v>
      </c>
      <c r="U232" s="7" t="s">
        <v>717</v>
      </c>
    </row>
    <row r="233" spans="5:21">
      <c r="E233" s="5"/>
      <c r="F233" s="5"/>
      <c r="G233" s="5"/>
      <c r="H233" s="5"/>
      <c r="I233" s="5"/>
      <c r="J233" s="6"/>
      <c r="K233" s="5"/>
      <c r="O233" s="7" t="s">
        <v>8</v>
      </c>
      <c r="P233" s="7" t="s">
        <v>9</v>
      </c>
      <c r="Q233" s="7" t="s">
        <v>720</v>
      </c>
      <c r="R233" s="7" t="s">
        <v>11</v>
      </c>
      <c r="S233" s="7" t="s">
        <v>721</v>
      </c>
      <c r="T233" s="7" t="s">
        <v>722</v>
      </c>
      <c r="U233" s="7" t="s">
        <v>720</v>
      </c>
    </row>
    <row r="234" spans="5:21">
      <c r="E234" s="5"/>
      <c r="F234" s="5"/>
      <c r="G234" s="5"/>
      <c r="H234" s="5"/>
      <c r="I234" s="5"/>
      <c r="J234" s="6"/>
      <c r="K234" s="5"/>
      <c r="O234" s="7" t="s">
        <v>251</v>
      </c>
      <c r="P234" s="7" t="s">
        <v>252</v>
      </c>
      <c r="Q234" s="7" t="s">
        <v>723</v>
      </c>
      <c r="R234" s="7" t="s">
        <v>254</v>
      </c>
      <c r="S234" s="7" t="s">
        <v>724</v>
      </c>
      <c r="T234" s="7" t="s">
        <v>725</v>
      </c>
      <c r="U234" s="7" t="s">
        <v>723</v>
      </c>
    </row>
    <row r="235" spans="5:21">
      <c r="E235" s="5"/>
      <c r="F235" s="5"/>
      <c r="G235" s="5"/>
      <c r="H235" s="5"/>
      <c r="I235" s="5"/>
      <c r="J235" s="6"/>
      <c r="K235" s="5"/>
      <c r="O235" s="7" t="s">
        <v>23</v>
      </c>
      <c r="P235" s="7" t="s">
        <v>24</v>
      </c>
      <c r="Q235" s="7" t="s">
        <v>726</v>
      </c>
      <c r="R235" s="7" t="s">
        <v>11</v>
      </c>
      <c r="S235" s="7" t="s">
        <v>727</v>
      </c>
      <c r="T235" s="7" t="s">
        <v>728</v>
      </c>
      <c r="U235" s="7" t="s">
        <v>726</v>
      </c>
    </row>
    <row r="236" spans="5:21">
      <c r="E236" s="5"/>
      <c r="F236" s="5"/>
      <c r="G236" s="5"/>
      <c r="H236" s="5"/>
      <c r="I236" s="5"/>
      <c r="J236" s="6"/>
      <c r="K236" s="5"/>
      <c r="O236" s="7" t="s">
        <v>47</v>
      </c>
      <c r="P236" s="7" t="s">
        <v>48</v>
      </c>
      <c r="Q236" s="7" t="s">
        <v>729</v>
      </c>
      <c r="R236" s="7" t="s">
        <v>17</v>
      </c>
      <c r="S236" s="7" t="s">
        <v>730</v>
      </c>
      <c r="T236" s="7" t="s">
        <v>731</v>
      </c>
      <c r="U236" s="7" t="s">
        <v>729</v>
      </c>
    </row>
    <row r="237" spans="5:21">
      <c r="E237" s="5"/>
      <c r="F237" s="5"/>
      <c r="G237" s="5"/>
      <c r="H237" s="5"/>
      <c r="I237" s="5"/>
      <c r="J237" s="6"/>
      <c r="K237" s="5"/>
      <c r="O237" s="7" t="s">
        <v>28</v>
      </c>
      <c r="P237" s="7" t="s">
        <v>29</v>
      </c>
      <c r="Q237" s="7" t="s">
        <v>732</v>
      </c>
      <c r="R237" s="7" t="s">
        <v>11</v>
      </c>
      <c r="S237" s="7" t="s">
        <v>733</v>
      </c>
      <c r="T237" s="7" t="s">
        <v>734</v>
      </c>
      <c r="U237" s="7" t="s">
        <v>732</v>
      </c>
    </row>
    <row r="238" spans="5:21">
      <c r="E238" s="5"/>
      <c r="F238" s="5"/>
      <c r="G238" s="5"/>
      <c r="H238" s="5"/>
      <c r="I238" s="5"/>
      <c r="J238" s="6"/>
      <c r="K238" s="5"/>
      <c r="O238" s="7" t="s">
        <v>8</v>
      </c>
      <c r="P238" s="7" t="s">
        <v>9</v>
      </c>
      <c r="Q238" s="7" t="s">
        <v>735</v>
      </c>
      <c r="R238" s="7" t="s">
        <v>11</v>
      </c>
      <c r="S238" s="7" t="s">
        <v>736</v>
      </c>
      <c r="T238" s="7" t="s">
        <v>737</v>
      </c>
      <c r="U238" s="7" t="s">
        <v>735</v>
      </c>
    </row>
    <row r="239" spans="5:21">
      <c r="E239" s="5"/>
      <c r="F239" s="5"/>
      <c r="G239" s="5"/>
      <c r="H239" s="5"/>
      <c r="I239" s="5"/>
      <c r="J239" s="6"/>
      <c r="K239" s="5"/>
      <c r="O239" s="7" t="s">
        <v>47</v>
      </c>
      <c r="P239" s="7" t="s">
        <v>48</v>
      </c>
      <c r="Q239" s="7" t="s">
        <v>738</v>
      </c>
      <c r="R239" s="7" t="s">
        <v>17</v>
      </c>
      <c r="S239" s="7" t="s">
        <v>739</v>
      </c>
      <c r="T239" s="7" t="s">
        <v>740</v>
      </c>
      <c r="U239" s="7" t="s">
        <v>738</v>
      </c>
    </row>
    <row r="240" spans="5:21">
      <c r="E240" s="5"/>
      <c r="F240" s="5"/>
      <c r="G240" s="5"/>
      <c r="H240" s="5"/>
      <c r="I240" s="5"/>
      <c r="J240" s="6"/>
      <c r="K240" s="5"/>
      <c r="O240" s="7" t="s">
        <v>47</v>
      </c>
      <c r="P240" s="7" t="s">
        <v>48</v>
      </c>
      <c r="Q240" s="7" t="s">
        <v>741</v>
      </c>
      <c r="R240" s="7" t="s">
        <v>17</v>
      </c>
      <c r="S240" s="7" t="s">
        <v>742</v>
      </c>
      <c r="T240" s="7" t="s">
        <v>743</v>
      </c>
      <c r="U240" s="7" t="s">
        <v>741</v>
      </c>
    </row>
    <row r="241" spans="5:21">
      <c r="E241" s="15"/>
      <c r="F241" s="15"/>
      <c r="G241" s="15"/>
      <c r="H241" s="15"/>
      <c r="I241" s="15"/>
      <c r="J241" s="16"/>
      <c r="K241" s="15"/>
      <c r="O241" s="7" t="s">
        <v>8</v>
      </c>
      <c r="P241" s="7" t="s">
        <v>9</v>
      </c>
      <c r="Q241" s="7" t="s">
        <v>744</v>
      </c>
      <c r="R241" s="7" t="s">
        <v>11</v>
      </c>
      <c r="S241" s="7" t="s">
        <v>745</v>
      </c>
      <c r="T241" s="7" t="s">
        <v>746</v>
      </c>
      <c r="U241" s="7" t="s">
        <v>744</v>
      </c>
    </row>
    <row r="242" spans="5:21">
      <c r="E242" s="15"/>
      <c r="F242" s="15"/>
      <c r="G242" s="15"/>
      <c r="H242" s="15"/>
      <c r="I242" s="15"/>
      <c r="J242" s="16"/>
      <c r="K242" s="15"/>
      <c r="O242" s="7" t="s">
        <v>47</v>
      </c>
      <c r="P242" s="7" t="s">
        <v>48</v>
      </c>
      <c r="Q242" s="7" t="s">
        <v>747</v>
      </c>
      <c r="R242" s="7" t="s">
        <v>17</v>
      </c>
      <c r="S242" s="7" t="s">
        <v>748</v>
      </c>
      <c r="T242" s="7" t="s">
        <v>749</v>
      </c>
      <c r="U242" s="7" t="s">
        <v>747</v>
      </c>
    </row>
    <row r="243" spans="5:21">
      <c r="E243" s="5"/>
      <c r="F243" s="5"/>
      <c r="G243" s="5"/>
      <c r="H243" s="5"/>
      <c r="I243" s="5"/>
      <c r="J243" s="6"/>
      <c r="K243" s="5"/>
      <c r="O243" s="7" t="s">
        <v>58</v>
      </c>
      <c r="P243" s="7" t="s">
        <v>59</v>
      </c>
      <c r="Q243" s="7" t="s">
        <v>750</v>
      </c>
      <c r="R243" s="7" t="s">
        <v>11</v>
      </c>
      <c r="S243" s="7" t="s">
        <v>751</v>
      </c>
      <c r="T243" s="7" t="s">
        <v>752</v>
      </c>
      <c r="U243" s="7" t="s">
        <v>750</v>
      </c>
    </row>
    <row r="244" spans="5:21">
      <c r="E244" s="5"/>
      <c r="F244" s="5"/>
      <c r="G244" s="5"/>
      <c r="H244" s="5"/>
      <c r="I244" s="5"/>
      <c r="J244" s="6"/>
      <c r="K244" s="5"/>
      <c r="O244" s="7" t="s">
        <v>58</v>
      </c>
      <c r="P244" s="7" t="s">
        <v>59</v>
      </c>
      <c r="Q244" s="7" t="s">
        <v>753</v>
      </c>
      <c r="R244" s="7" t="s">
        <v>11</v>
      </c>
      <c r="S244" s="7" t="s">
        <v>754</v>
      </c>
      <c r="T244" s="7" t="s">
        <v>755</v>
      </c>
      <c r="U244" s="7" t="s">
        <v>753</v>
      </c>
    </row>
    <row r="245" spans="5:21">
      <c r="E245" s="5"/>
      <c r="F245" s="5"/>
      <c r="G245" s="5"/>
      <c r="H245" s="5"/>
      <c r="I245" s="5"/>
      <c r="J245" s="6"/>
      <c r="K245" s="5"/>
      <c r="O245" s="7" t="s">
        <v>47</v>
      </c>
      <c r="P245" s="7" t="s">
        <v>48</v>
      </c>
      <c r="Q245" s="7" t="s">
        <v>756</v>
      </c>
      <c r="R245" s="7" t="s">
        <v>17</v>
      </c>
      <c r="S245" s="7" t="s">
        <v>757</v>
      </c>
      <c r="T245" s="7" t="s">
        <v>758</v>
      </c>
      <c r="U245" s="7" t="s">
        <v>756</v>
      </c>
    </row>
    <row r="246" spans="5:21">
      <c r="E246" s="5"/>
      <c r="F246" s="5"/>
      <c r="G246" s="5"/>
      <c r="H246" s="5"/>
      <c r="I246" s="5"/>
      <c r="J246" s="6"/>
      <c r="K246" s="5"/>
      <c r="O246" s="7" t="s">
        <v>47</v>
      </c>
      <c r="P246" s="7" t="s">
        <v>48</v>
      </c>
      <c r="Q246" s="7" t="s">
        <v>759</v>
      </c>
      <c r="R246" s="7" t="s">
        <v>17</v>
      </c>
      <c r="S246" s="7" t="s">
        <v>760</v>
      </c>
      <c r="T246" s="7" t="s">
        <v>761</v>
      </c>
      <c r="U246" s="7" t="s">
        <v>759</v>
      </c>
    </row>
    <row r="247" spans="5:21">
      <c r="E247" s="5"/>
      <c r="F247" s="5"/>
      <c r="G247" s="5"/>
      <c r="H247" s="5"/>
      <c r="I247" s="5"/>
      <c r="J247" s="6"/>
      <c r="K247" s="5"/>
      <c r="O247" s="7" t="s">
        <v>251</v>
      </c>
      <c r="P247" s="7" t="s">
        <v>252</v>
      </c>
      <c r="Q247" s="7" t="s">
        <v>762</v>
      </c>
      <c r="R247" s="7" t="s">
        <v>254</v>
      </c>
      <c r="S247" s="7" t="s">
        <v>763</v>
      </c>
      <c r="T247" s="7" t="s">
        <v>764</v>
      </c>
      <c r="U247" s="7" t="s">
        <v>762</v>
      </c>
    </row>
    <row r="248" spans="5:21">
      <c r="E248" s="5"/>
      <c r="F248" s="5"/>
      <c r="G248" s="5"/>
      <c r="H248" s="5"/>
      <c r="I248" s="5"/>
      <c r="J248" s="6"/>
      <c r="K248" s="5"/>
      <c r="O248" s="7" t="s">
        <v>47</v>
      </c>
      <c r="P248" s="7" t="s">
        <v>48</v>
      </c>
      <c r="Q248" s="7" t="s">
        <v>765</v>
      </c>
      <c r="R248" s="7" t="s">
        <v>17</v>
      </c>
      <c r="S248" s="7" t="s">
        <v>766</v>
      </c>
      <c r="T248" s="7" t="s">
        <v>767</v>
      </c>
      <c r="U248" s="7" t="s">
        <v>765</v>
      </c>
    </row>
    <row r="249" spans="5:21">
      <c r="E249" s="5"/>
      <c r="F249" s="5"/>
      <c r="G249" s="5"/>
      <c r="H249" s="5"/>
      <c r="I249" s="5"/>
      <c r="J249" s="6"/>
      <c r="K249" s="5"/>
      <c r="O249" s="7" t="s">
        <v>28</v>
      </c>
      <c r="P249" s="7" t="s">
        <v>29</v>
      </c>
      <c r="Q249" s="7" t="s">
        <v>768</v>
      </c>
      <c r="R249" s="7" t="s">
        <v>11</v>
      </c>
      <c r="S249" s="7" t="s">
        <v>769</v>
      </c>
      <c r="T249" s="7" t="s">
        <v>770</v>
      </c>
      <c r="U249" s="7" t="s">
        <v>768</v>
      </c>
    </row>
    <row r="250" spans="5:21">
      <c r="E250" s="5"/>
      <c r="F250" s="5"/>
      <c r="G250" s="5"/>
      <c r="H250" s="5"/>
      <c r="I250" s="5"/>
      <c r="J250" s="6"/>
      <c r="K250" s="5"/>
      <c r="O250" s="7" t="s">
        <v>58</v>
      </c>
      <c r="P250" s="7" t="s">
        <v>59</v>
      </c>
      <c r="Q250" s="7" t="s">
        <v>771</v>
      </c>
      <c r="R250" s="7" t="s">
        <v>11</v>
      </c>
      <c r="S250" s="7" t="s">
        <v>772</v>
      </c>
      <c r="T250" s="7" t="s">
        <v>773</v>
      </c>
      <c r="U250" s="7" t="s">
        <v>771</v>
      </c>
    </row>
    <row r="251" spans="5:21">
      <c r="E251" s="5"/>
      <c r="F251" s="5"/>
      <c r="G251" s="5"/>
      <c r="H251" s="5"/>
      <c r="I251" s="5"/>
      <c r="J251" s="6"/>
      <c r="K251" s="5"/>
      <c r="O251" s="7" t="s">
        <v>58</v>
      </c>
      <c r="P251" s="7" t="s">
        <v>59</v>
      </c>
      <c r="Q251" s="7" t="s">
        <v>774</v>
      </c>
      <c r="R251" s="7" t="s">
        <v>11</v>
      </c>
      <c r="S251" s="7" t="s">
        <v>775</v>
      </c>
      <c r="T251" s="7" t="s">
        <v>776</v>
      </c>
      <c r="U251" s="7" t="s">
        <v>774</v>
      </c>
    </row>
    <row r="252" spans="5:21">
      <c r="E252" s="5"/>
      <c r="F252" s="5"/>
      <c r="G252" s="5"/>
      <c r="H252" s="5"/>
      <c r="I252" s="5"/>
      <c r="J252" s="6"/>
      <c r="K252" s="5"/>
      <c r="O252" s="7" t="s">
        <v>251</v>
      </c>
      <c r="P252" s="7" t="s">
        <v>252</v>
      </c>
      <c r="Q252" s="7" t="s">
        <v>777</v>
      </c>
      <c r="R252" s="7" t="s">
        <v>254</v>
      </c>
      <c r="S252" s="7" t="s">
        <v>778</v>
      </c>
      <c r="T252" s="7" t="s">
        <v>779</v>
      </c>
      <c r="U252" s="7" t="s">
        <v>777</v>
      </c>
    </row>
    <row r="253" spans="5:21">
      <c r="E253" s="5"/>
      <c r="F253" s="5"/>
      <c r="G253" s="5"/>
      <c r="H253" s="5"/>
      <c r="I253" s="5"/>
      <c r="J253" s="6"/>
      <c r="K253" s="5"/>
      <c r="O253" s="7" t="s">
        <v>47</v>
      </c>
      <c r="P253" s="7" t="s">
        <v>48</v>
      </c>
      <c r="Q253" s="7" t="s">
        <v>780</v>
      </c>
      <c r="R253" s="7" t="s">
        <v>17</v>
      </c>
      <c r="S253" s="7" t="s">
        <v>781</v>
      </c>
      <c r="T253" s="7" t="s">
        <v>782</v>
      </c>
      <c r="U253" s="7" t="s">
        <v>780</v>
      </c>
    </row>
    <row r="254" spans="5:21">
      <c r="E254" s="5"/>
      <c r="F254" s="5"/>
      <c r="G254" s="5"/>
      <c r="H254" s="5"/>
      <c r="I254" s="5"/>
      <c r="J254" s="6"/>
      <c r="K254" s="5"/>
      <c r="O254" s="7" t="s">
        <v>28</v>
      </c>
      <c r="P254" s="7" t="s">
        <v>29</v>
      </c>
      <c r="Q254" s="7" t="s">
        <v>783</v>
      </c>
      <c r="R254" s="7" t="s">
        <v>11</v>
      </c>
      <c r="S254" s="7" t="s">
        <v>784</v>
      </c>
      <c r="T254" s="7" t="s">
        <v>785</v>
      </c>
      <c r="U254" s="7" t="s">
        <v>783</v>
      </c>
    </row>
    <row r="255" spans="5:21">
      <c r="E255" s="5"/>
      <c r="F255" s="5"/>
      <c r="G255" s="5"/>
      <c r="H255" s="5"/>
      <c r="I255" s="5"/>
      <c r="J255" s="6"/>
      <c r="K255" s="5"/>
      <c r="O255" s="7" t="s">
        <v>23</v>
      </c>
      <c r="P255" s="7" t="s">
        <v>24</v>
      </c>
      <c r="Q255" s="7" t="s">
        <v>786</v>
      </c>
      <c r="R255" s="7" t="s">
        <v>11</v>
      </c>
      <c r="S255" s="7" t="s">
        <v>787</v>
      </c>
      <c r="T255" s="7" t="s">
        <v>788</v>
      </c>
      <c r="U255" s="7" t="s">
        <v>786</v>
      </c>
    </row>
    <row r="256" spans="5:21">
      <c r="E256" s="5"/>
      <c r="F256" s="5"/>
      <c r="G256" s="5"/>
      <c r="H256" s="5"/>
      <c r="I256" s="5"/>
      <c r="J256" s="6"/>
      <c r="K256" s="5"/>
      <c r="O256" s="7" t="s">
        <v>8</v>
      </c>
      <c r="P256" s="7" t="s">
        <v>9</v>
      </c>
      <c r="Q256" s="7" t="s">
        <v>789</v>
      </c>
      <c r="R256" s="7" t="s">
        <v>11</v>
      </c>
      <c r="S256" s="7" t="s">
        <v>790</v>
      </c>
      <c r="T256" s="7" t="s">
        <v>791</v>
      </c>
      <c r="U256" s="7" t="s">
        <v>789</v>
      </c>
    </row>
    <row r="257" spans="5:21">
      <c r="E257" s="5"/>
      <c r="F257" s="5"/>
      <c r="G257" s="5"/>
      <c r="H257" s="5"/>
      <c r="I257" s="5"/>
      <c r="J257" s="6"/>
      <c r="K257" s="5"/>
      <c r="O257" s="7" t="s">
        <v>251</v>
      </c>
      <c r="P257" s="7" t="s">
        <v>252</v>
      </c>
      <c r="Q257" s="7" t="s">
        <v>792</v>
      </c>
      <c r="R257" s="7" t="s">
        <v>254</v>
      </c>
      <c r="S257" s="7" t="s">
        <v>793</v>
      </c>
      <c r="T257" s="7" t="s">
        <v>794</v>
      </c>
      <c r="U257" s="7" t="s">
        <v>792</v>
      </c>
    </row>
    <row r="258" spans="5:21">
      <c r="E258" s="5"/>
      <c r="F258" s="5"/>
      <c r="G258" s="5"/>
      <c r="H258" s="5"/>
      <c r="I258" s="5"/>
      <c r="J258" s="6"/>
      <c r="K258" s="5"/>
      <c r="O258" s="7" t="s">
        <v>251</v>
      </c>
      <c r="P258" s="7" t="s">
        <v>252</v>
      </c>
      <c r="Q258" s="7" t="s">
        <v>795</v>
      </c>
      <c r="R258" s="7" t="s">
        <v>254</v>
      </c>
      <c r="S258" s="7" t="s">
        <v>796</v>
      </c>
      <c r="T258" s="7" t="s">
        <v>797</v>
      </c>
      <c r="U258" s="7" t="s">
        <v>795</v>
      </c>
    </row>
    <row r="259" spans="5:21">
      <c r="E259" s="5"/>
      <c r="F259" s="5"/>
      <c r="G259" s="5"/>
      <c r="H259" s="5"/>
      <c r="I259" s="5"/>
      <c r="J259" s="6"/>
      <c r="K259" s="5"/>
      <c r="O259" s="7" t="s">
        <v>8</v>
      </c>
      <c r="P259" s="7" t="s">
        <v>9</v>
      </c>
      <c r="Q259" s="7" t="s">
        <v>798</v>
      </c>
      <c r="R259" s="7" t="s">
        <v>11</v>
      </c>
      <c r="S259" s="7" t="s">
        <v>799</v>
      </c>
      <c r="T259" s="7" t="s">
        <v>800</v>
      </c>
      <c r="U259" s="7" t="s">
        <v>798</v>
      </c>
    </row>
    <row r="260" spans="5:21">
      <c r="E260" s="5"/>
      <c r="F260" s="5"/>
      <c r="G260" s="5"/>
      <c r="H260" s="5"/>
      <c r="I260" s="5"/>
      <c r="J260" s="6"/>
      <c r="K260" s="5"/>
      <c r="O260" s="7" t="s">
        <v>28</v>
      </c>
      <c r="P260" s="7" t="s">
        <v>29</v>
      </c>
      <c r="Q260" s="7" t="s">
        <v>801</v>
      </c>
      <c r="R260" s="7" t="s">
        <v>11</v>
      </c>
      <c r="S260" s="7" t="s">
        <v>802</v>
      </c>
      <c r="T260" s="7" t="s">
        <v>803</v>
      </c>
      <c r="U260" s="7" t="s">
        <v>801</v>
      </c>
    </row>
    <row r="261" spans="5:21">
      <c r="E261" s="5"/>
      <c r="F261" s="5"/>
      <c r="G261" s="5"/>
      <c r="H261" s="5"/>
      <c r="I261" s="5"/>
      <c r="J261" s="6"/>
      <c r="K261" s="5"/>
      <c r="O261" s="7" t="s">
        <v>8</v>
      </c>
      <c r="P261" s="7" t="s">
        <v>9</v>
      </c>
      <c r="Q261" s="7" t="s">
        <v>804</v>
      </c>
      <c r="R261" s="7" t="s">
        <v>11</v>
      </c>
      <c r="S261" s="7" t="s">
        <v>805</v>
      </c>
      <c r="T261" s="7" t="s">
        <v>806</v>
      </c>
      <c r="U261" s="7" t="s">
        <v>804</v>
      </c>
    </row>
    <row r="262" spans="5:21">
      <c r="E262" s="5"/>
      <c r="F262" s="5"/>
      <c r="G262" s="5"/>
      <c r="H262" s="5"/>
      <c r="I262" s="5"/>
      <c r="J262" s="6"/>
      <c r="K262" s="5"/>
      <c r="O262" s="7" t="s">
        <v>8</v>
      </c>
      <c r="P262" s="7" t="s">
        <v>9</v>
      </c>
      <c r="Q262" s="7" t="s">
        <v>807</v>
      </c>
      <c r="R262" s="7" t="s">
        <v>11</v>
      </c>
      <c r="S262" s="7" t="s">
        <v>808</v>
      </c>
      <c r="T262" s="7" t="s">
        <v>809</v>
      </c>
      <c r="U262" s="7" t="s">
        <v>807</v>
      </c>
    </row>
    <row r="263" spans="5:21">
      <c r="E263" s="5"/>
      <c r="F263" s="5"/>
      <c r="G263" s="5"/>
      <c r="H263" s="5"/>
      <c r="I263" s="5"/>
      <c r="J263" s="6"/>
      <c r="K263" s="5"/>
      <c r="O263" s="7" t="s">
        <v>28</v>
      </c>
      <c r="P263" s="7" t="s">
        <v>29</v>
      </c>
      <c r="Q263" s="7" t="s">
        <v>810</v>
      </c>
      <c r="R263" s="7" t="s">
        <v>11</v>
      </c>
      <c r="S263" s="7" t="s">
        <v>811</v>
      </c>
      <c r="T263" s="7" t="s">
        <v>812</v>
      </c>
      <c r="U263" s="7" t="s">
        <v>810</v>
      </c>
    </row>
    <row r="264" spans="5:21">
      <c r="E264" s="5"/>
      <c r="F264" s="5"/>
      <c r="G264" s="5"/>
      <c r="H264" s="5"/>
      <c r="I264" s="5"/>
      <c r="J264" s="6"/>
      <c r="K264" s="5"/>
      <c r="O264" s="7" t="s">
        <v>28</v>
      </c>
      <c r="P264" s="7" t="s">
        <v>29</v>
      </c>
      <c r="Q264" s="7" t="s">
        <v>813</v>
      </c>
      <c r="R264" s="7" t="s">
        <v>11</v>
      </c>
      <c r="S264" s="7" t="s">
        <v>814</v>
      </c>
      <c r="T264" s="7" t="s">
        <v>815</v>
      </c>
      <c r="U264" s="7" t="s">
        <v>813</v>
      </c>
    </row>
    <row r="265" spans="5:21">
      <c r="E265" s="5"/>
      <c r="F265" s="5"/>
      <c r="G265" s="5"/>
      <c r="H265" s="5"/>
      <c r="I265" s="5"/>
      <c r="J265" s="6"/>
      <c r="K265" s="5"/>
      <c r="O265" s="7" t="s">
        <v>23</v>
      </c>
      <c r="P265" s="7" t="s">
        <v>24</v>
      </c>
      <c r="Q265" s="7" t="s">
        <v>816</v>
      </c>
      <c r="R265" s="7" t="s">
        <v>11</v>
      </c>
      <c r="S265" s="7" t="s">
        <v>817</v>
      </c>
      <c r="T265" s="7" t="s">
        <v>818</v>
      </c>
      <c r="U265" s="7" t="s">
        <v>816</v>
      </c>
    </row>
    <row r="266" spans="5:21">
      <c r="E266" s="5"/>
      <c r="F266" s="5"/>
      <c r="G266" s="5"/>
      <c r="H266" s="5"/>
      <c r="I266" s="5"/>
      <c r="J266" s="6"/>
      <c r="K266" s="5"/>
      <c r="O266" s="7" t="s">
        <v>28</v>
      </c>
      <c r="P266" s="7" t="s">
        <v>29</v>
      </c>
      <c r="Q266" s="7" t="s">
        <v>819</v>
      </c>
      <c r="R266" s="7" t="s">
        <v>11</v>
      </c>
      <c r="S266" s="7" t="s">
        <v>820</v>
      </c>
      <c r="T266" s="7" t="s">
        <v>821</v>
      </c>
      <c r="U266" s="7" t="s">
        <v>819</v>
      </c>
    </row>
    <row r="267" spans="5:21">
      <c r="E267" s="5"/>
      <c r="F267" s="5"/>
      <c r="G267" s="5"/>
      <c r="H267" s="5"/>
      <c r="I267" s="5"/>
      <c r="J267" s="6"/>
      <c r="K267" s="5"/>
      <c r="O267" s="7" t="s">
        <v>8</v>
      </c>
      <c r="P267" s="7" t="s">
        <v>9</v>
      </c>
      <c r="Q267" s="7" t="s">
        <v>822</v>
      </c>
      <c r="R267" s="7" t="s">
        <v>11</v>
      </c>
      <c r="S267" s="7" t="s">
        <v>823</v>
      </c>
      <c r="T267" s="7" t="s">
        <v>824</v>
      </c>
      <c r="U267" s="7" t="s">
        <v>822</v>
      </c>
    </row>
    <row r="268" spans="5:21">
      <c r="E268" s="5"/>
      <c r="F268" s="5"/>
      <c r="G268" s="5"/>
      <c r="H268" s="5"/>
      <c r="I268" s="5"/>
      <c r="J268" s="6"/>
      <c r="K268" s="5"/>
      <c r="O268" s="7" t="s">
        <v>28</v>
      </c>
      <c r="P268" s="7" t="s">
        <v>29</v>
      </c>
      <c r="Q268" s="7" t="s">
        <v>825</v>
      </c>
      <c r="R268" s="7" t="s">
        <v>11</v>
      </c>
      <c r="S268" s="7" t="s">
        <v>826</v>
      </c>
      <c r="T268" s="7" t="s">
        <v>827</v>
      </c>
      <c r="U268" s="7" t="s">
        <v>825</v>
      </c>
    </row>
    <row r="269" spans="5:21">
      <c r="E269" s="5"/>
      <c r="F269" s="5"/>
      <c r="G269" s="5"/>
      <c r="H269" s="5"/>
      <c r="I269" s="5"/>
      <c r="J269" s="6"/>
      <c r="K269" s="5"/>
      <c r="O269" s="7" t="s">
        <v>28</v>
      </c>
      <c r="P269" s="7" t="s">
        <v>29</v>
      </c>
      <c r="Q269" s="7" t="s">
        <v>828</v>
      </c>
      <c r="R269" s="7" t="s">
        <v>11</v>
      </c>
      <c r="S269" s="7" t="s">
        <v>829</v>
      </c>
      <c r="T269" s="7" t="s">
        <v>830</v>
      </c>
      <c r="U269" s="7" t="s">
        <v>828</v>
      </c>
    </row>
    <row r="270" spans="5:21">
      <c r="E270" s="5"/>
      <c r="F270" s="5"/>
      <c r="G270" s="5"/>
      <c r="H270" s="5"/>
      <c r="I270" s="5"/>
      <c r="J270" s="6"/>
      <c r="K270" s="5"/>
      <c r="O270" s="7" t="s">
        <v>28</v>
      </c>
      <c r="P270" s="7" t="s">
        <v>29</v>
      </c>
      <c r="Q270" s="7" t="s">
        <v>831</v>
      </c>
      <c r="R270" s="7" t="s">
        <v>11</v>
      </c>
      <c r="S270" s="7" t="s">
        <v>832</v>
      </c>
      <c r="T270" s="7" t="s">
        <v>833</v>
      </c>
      <c r="U270" s="7" t="s">
        <v>831</v>
      </c>
    </row>
    <row r="271" spans="5:21">
      <c r="E271" s="5"/>
      <c r="F271" s="5"/>
      <c r="G271" s="5"/>
      <c r="H271" s="5"/>
      <c r="I271" s="5"/>
      <c r="J271" s="6"/>
      <c r="K271" s="5"/>
      <c r="O271" s="7" t="s">
        <v>47</v>
      </c>
      <c r="P271" s="7" t="s">
        <v>48</v>
      </c>
      <c r="Q271" s="7" t="s">
        <v>834</v>
      </c>
      <c r="R271" s="7" t="s">
        <v>17</v>
      </c>
      <c r="S271" s="7" t="s">
        <v>835</v>
      </c>
      <c r="T271" s="7" t="s">
        <v>836</v>
      </c>
      <c r="U271" s="7" t="s">
        <v>834</v>
      </c>
    </row>
    <row r="272" spans="5:21">
      <c r="E272" s="5"/>
      <c r="F272" s="5"/>
      <c r="G272" s="5"/>
      <c r="H272" s="5"/>
      <c r="I272" s="5"/>
      <c r="J272" s="6"/>
      <c r="K272" s="5"/>
      <c r="O272" s="7" t="s">
        <v>58</v>
      </c>
      <c r="P272" s="7" t="s">
        <v>59</v>
      </c>
      <c r="Q272" s="7" t="s">
        <v>837</v>
      </c>
      <c r="R272" s="7" t="s">
        <v>11</v>
      </c>
      <c r="S272" s="7" t="s">
        <v>838</v>
      </c>
      <c r="T272" s="7" t="s">
        <v>839</v>
      </c>
      <c r="U272" s="7" t="s">
        <v>837</v>
      </c>
    </row>
    <row r="273" spans="5:21">
      <c r="E273" s="5"/>
      <c r="F273" s="5"/>
      <c r="G273" s="5"/>
      <c r="H273" s="5"/>
      <c r="I273" s="5"/>
      <c r="J273" s="6"/>
      <c r="K273" s="5"/>
      <c r="O273" s="7" t="s">
        <v>8</v>
      </c>
      <c r="P273" s="7" t="s">
        <v>9</v>
      </c>
      <c r="Q273" s="7" t="s">
        <v>840</v>
      </c>
      <c r="R273" s="7" t="s">
        <v>11</v>
      </c>
      <c r="S273" s="7" t="s">
        <v>841</v>
      </c>
      <c r="T273" s="7" t="s">
        <v>842</v>
      </c>
      <c r="U273" s="7" t="s">
        <v>840</v>
      </c>
    </row>
    <row r="274" spans="5:21">
      <c r="E274" s="5"/>
      <c r="F274" s="5"/>
      <c r="G274" s="5"/>
      <c r="H274" s="5"/>
      <c r="I274" s="5"/>
      <c r="J274" s="6"/>
      <c r="K274" s="5"/>
      <c r="O274" s="7" t="s">
        <v>8</v>
      </c>
      <c r="P274" s="7" t="s">
        <v>9</v>
      </c>
      <c r="Q274" s="7" t="s">
        <v>843</v>
      </c>
      <c r="R274" s="7" t="s">
        <v>11</v>
      </c>
      <c r="S274" s="7" t="s">
        <v>844</v>
      </c>
      <c r="T274" s="7" t="s">
        <v>845</v>
      </c>
      <c r="U274" s="7" t="s">
        <v>843</v>
      </c>
    </row>
    <row r="275" spans="5:21">
      <c r="E275" s="5"/>
      <c r="F275" s="5"/>
      <c r="G275" s="5"/>
      <c r="H275" s="5"/>
      <c r="I275" s="5"/>
      <c r="J275" s="6"/>
      <c r="K275" s="5"/>
      <c r="O275" s="7" t="s">
        <v>14</v>
      </c>
      <c r="P275" s="7" t="s">
        <v>15</v>
      </c>
      <c r="Q275" s="7" t="s">
        <v>846</v>
      </c>
      <c r="R275" s="7" t="s">
        <v>17</v>
      </c>
      <c r="S275" s="7" t="s">
        <v>847</v>
      </c>
      <c r="T275" s="7" t="s">
        <v>848</v>
      </c>
      <c r="U275" s="7" t="s">
        <v>846</v>
      </c>
    </row>
    <row r="276" spans="5:21">
      <c r="E276" s="5"/>
      <c r="F276" s="5"/>
      <c r="G276" s="5"/>
      <c r="H276" s="5"/>
      <c r="I276" s="5"/>
      <c r="J276" s="6"/>
      <c r="K276" s="5"/>
      <c r="O276" s="7" t="s">
        <v>33</v>
      </c>
      <c r="P276" s="7" t="s">
        <v>34</v>
      </c>
      <c r="Q276" s="7" t="s">
        <v>849</v>
      </c>
      <c r="R276" s="7" t="s">
        <v>11</v>
      </c>
      <c r="S276" s="7" t="s">
        <v>850</v>
      </c>
      <c r="T276" s="7" t="s">
        <v>851</v>
      </c>
      <c r="U276" s="7" t="s">
        <v>849</v>
      </c>
    </row>
    <row r="277" spans="5:21">
      <c r="E277" s="5"/>
      <c r="F277" s="5"/>
      <c r="G277" s="5"/>
      <c r="H277" s="5"/>
      <c r="I277" s="5"/>
      <c r="J277" s="6"/>
      <c r="K277" s="5"/>
      <c r="O277" s="7" t="s">
        <v>47</v>
      </c>
      <c r="P277" s="7" t="s">
        <v>48</v>
      </c>
      <c r="Q277" s="7" t="s">
        <v>852</v>
      </c>
      <c r="R277" s="7" t="s">
        <v>17</v>
      </c>
      <c r="S277" s="7" t="s">
        <v>853</v>
      </c>
      <c r="T277" s="7" t="s">
        <v>854</v>
      </c>
      <c r="U277" s="7" t="s">
        <v>852</v>
      </c>
    </row>
    <row r="278" spans="5:21">
      <c r="E278" s="5"/>
      <c r="F278" s="5"/>
      <c r="G278" s="5"/>
      <c r="H278" s="5"/>
      <c r="I278" s="5"/>
      <c r="J278" s="6"/>
      <c r="K278" s="5"/>
      <c r="O278" s="7" t="s">
        <v>28</v>
      </c>
      <c r="P278" s="7" t="s">
        <v>29</v>
      </c>
      <c r="Q278" s="7" t="s">
        <v>855</v>
      </c>
      <c r="R278" s="7" t="s">
        <v>11</v>
      </c>
      <c r="S278" s="7" t="s">
        <v>856</v>
      </c>
      <c r="T278" s="7" t="s">
        <v>857</v>
      </c>
      <c r="U278" s="7" t="s">
        <v>855</v>
      </c>
    </row>
    <row r="279" spans="5:21">
      <c r="E279" s="5"/>
      <c r="F279" s="5"/>
      <c r="G279" s="5"/>
      <c r="H279" s="5"/>
      <c r="I279" s="5"/>
      <c r="J279" s="6"/>
      <c r="K279" s="5"/>
      <c r="O279" s="7" t="s">
        <v>14</v>
      </c>
      <c r="P279" s="7" t="s">
        <v>15</v>
      </c>
      <c r="Q279" s="7" t="s">
        <v>858</v>
      </c>
      <c r="R279" s="7" t="s">
        <v>17</v>
      </c>
      <c r="S279" s="7" t="s">
        <v>859</v>
      </c>
      <c r="T279" s="7" t="s">
        <v>860</v>
      </c>
      <c r="U279" s="7" t="s">
        <v>858</v>
      </c>
    </row>
    <row r="280" spans="5:21">
      <c r="E280" s="5"/>
      <c r="F280" s="5"/>
      <c r="G280" s="5"/>
      <c r="H280" s="5"/>
      <c r="I280" s="5"/>
      <c r="J280" s="6"/>
      <c r="K280" s="5"/>
      <c r="O280" s="7" t="s">
        <v>58</v>
      </c>
      <c r="P280" s="7" t="s">
        <v>59</v>
      </c>
      <c r="Q280" s="7" t="s">
        <v>861</v>
      </c>
      <c r="R280" s="7" t="s">
        <v>11</v>
      </c>
      <c r="S280" s="7" t="s">
        <v>862</v>
      </c>
      <c r="T280" s="7" t="s">
        <v>863</v>
      </c>
      <c r="U280" s="7" t="s">
        <v>861</v>
      </c>
    </row>
    <row r="281" spans="5:21">
      <c r="E281" s="5"/>
      <c r="F281" s="5"/>
      <c r="G281" s="5"/>
      <c r="H281" s="5"/>
      <c r="I281" s="5"/>
      <c r="J281" s="6"/>
      <c r="K281" s="5"/>
      <c r="O281" s="7" t="s">
        <v>28</v>
      </c>
      <c r="P281" s="7" t="s">
        <v>29</v>
      </c>
      <c r="Q281" s="7" t="s">
        <v>864</v>
      </c>
      <c r="R281" s="7" t="s">
        <v>11</v>
      </c>
      <c r="S281" s="7" t="s">
        <v>865</v>
      </c>
      <c r="T281" s="7" t="s">
        <v>866</v>
      </c>
      <c r="U281" s="7" t="s">
        <v>864</v>
      </c>
    </row>
    <row r="282" spans="5:21">
      <c r="E282" s="5"/>
      <c r="F282" s="5"/>
      <c r="G282" s="5"/>
      <c r="H282" s="5"/>
      <c r="I282" s="5"/>
      <c r="J282" s="6"/>
      <c r="K282" s="5"/>
      <c r="O282" s="7" t="s">
        <v>195</v>
      </c>
      <c r="P282" s="7" t="s">
        <v>196</v>
      </c>
      <c r="Q282" s="7" t="s">
        <v>867</v>
      </c>
      <c r="R282" s="7" t="s">
        <v>11</v>
      </c>
      <c r="S282" s="7" t="s">
        <v>868</v>
      </c>
      <c r="T282" s="7" t="s">
        <v>869</v>
      </c>
      <c r="U282" s="7" t="s">
        <v>867</v>
      </c>
    </row>
    <row r="283" spans="5:21">
      <c r="E283" s="5"/>
      <c r="F283" s="5"/>
      <c r="G283" s="5"/>
      <c r="H283" s="5"/>
      <c r="I283" s="5"/>
      <c r="J283" s="6"/>
      <c r="K283" s="5"/>
      <c r="O283" s="7" t="s">
        <v>47</v>
      </c>
      <c r="P283" s="7" t="s">
        <v>48</v>
      </c>
      <c r="Q283" s="7" t="s">
        <v>870</v>
      </c>
      <c r="R283" s="7" t="s">
        <v>17</v>
      </c>
      <c r="S283" s="7" t="s">
        <v>871</v>
      </c>
      <c r="T283" s="7" t="s">
        <v>872</v>
      </c>
      <c r="U283" s="7" t="s">
        <v>870</v>
      </c>
    </row>
    <row r="284" spans="5:21">
      <c r="E284" s="5"/>
      <c r="F284" s="5"/>
      <c r="G284" s="5"/>
      <c r="H284" s="5"/>
      <c r="I284" s="5"/>
      <c r="J284" s="6"/>
      <c r="K284" s="5"/>
      <c r="O284" s="7" t="s">
        <v>8</v>
      </c>
      <c r="P284" s="7" t="s">
        <v>9</v>
      </c>
      <c r="Q284" s="7" t="s">
        <v>873</v>
      </c>
      <c r="R284" s="7" t="s">
        <v>11</v>
      </c>
      <c r="S284" s="7" t="s">
        <v>874</v>
      </c>
      <c r="T284" s="7" t="s">
        <v>875</v>
      </c>
      <c r="U284" s="7" t="s">
        <v>873</v>
      </c>
    </row>
    <row r="285" spans="5:21">
      <c r="E285" s="5"/>
      <c r="F285" s="5"/>
      <c r="G285" s="5"/>
      <c r="H285" s="5"/>
      <c r="I285" s="5"/>
      <c r="J285" s="6"/>
      <c r="K285" s="5"/>
      <c r="O285" s="7" t="s">
        <v>876</v>
      </c>
      <c r="P285" s="7" t="s">
        <v>48</v>
      </c>
      <c r="Q285" s="7" t="s">
        <v>877</v>
      </c>
      <c r="R285" s="7" t="s">
        <v>17</v>
      </c>
      <c r="S285" s="7" t="s">
        <v>878</v>
      </c>
      <c r="T285" s="7" t="s">
        <v>879</v>
      </c>
      <c r="U285" s="7" t="s">
        <v>877</v>
      </c>
    </row>
    <row r="286" spans="5:21">
      <c r="E286" s="5"/>
      <c r="F286" s="5"/>
      <c r="G286" s="5"/>
      <c r="H286" s="5"/>
      <c r="I286" s="5"/>
      <c r="J286" s="6"/>
      <c r="K286" s="5"/>
      <c r="O286" s="7" t="s">
        <v>47</v>
      </c>
      <c r="P286" s="7" t="s">
        <v>48</v>
      </c>
      <c r="Q286" s="7" t="s">
        <v>880</v>
      </c>
      <c r="R286" s="7" t="s">
        <v>17</v>
      </c>
      <c r="S286" s="7" t="s">
        <v>881</v>
      </c>
      <c r="T286" s="7" t="s">
        <v>882</v>
      </c>
      <c r="U286" s="7" t="s">
        <v>880</v>
      </c>
    </row>
    <row r="287" spans="5:21">
      <c r="E287" s="5"/>
      <c r="F287" s="5"/>
      <c r="G287" s="5"/>
      <c r="H287" s="5"/>
      <c r="I287" s="5"/>
      <c r="J287" s="6"/>
      <c r="K287" s="5"/>
      <c r="O287" s="7" t="s">
        <v>28</v>
      </c>
      <c r="P287" s="7" t="s">
        <v>29</v>
      </c>
      <c r="Q287" s="7" t="s">
        <v>883</v>
      </c>
      <c r="R287" s="7" t="s">
        <v>11</v>
      </c>
      <c r="S287" s="7" t="s">
        <v>884</v>
      </c>
      <c r="T287" s="7" t="s">
        <v>885</v>
      </c>
      <c r="U287" s="7" t="s">
        <v>883</v>
      </c>
    </row>
    <row r="288" spans="5:21">
      <c r="E288" s="5"/>
      <c r="F288" s="5"/>
      <c r="G288" s="5"/>
      <c r="H288" s="5"/>
      <c r="I288" s="5"/>
      <c r="J288" s="6"/>
      <c r="K288" s="5"/>
      <c r="O288" s="7" t="s">
        <v>8</v>
      </c>
      <c r="P288" s="7" t="s">
        <v>9</v>
      </c>
      <c r="Q288" s="7" t="s">
        <v>886</v>
      </c>
      <c r="R288" s="7" t="s">
        <v>11</v>
      </c>
      <c r="S288" s="7" t="s">
        <v>887</v>
      </c>
      <c r="T288" s="7" t="s">
        <v>888</v>
      </c>
      <c r="U288" s="7" t="s">
        <v>886</v>
      </c>
    </row>
    <row r="289" spans="5:21">
      <c r="E289" s="5"/>
      <c r="F289" s="5"/>
      <c r="G289" s="5"/>
      <c r="H289" s="5"/>
      <c r="I289" s="5"/>
      <c r="J289" s="6"/>
      <c r="K289" s="5"/>
      <c r="O289" s="7" t="s">
        <v>8</v>
      </c>
      <c r="P289" s="7" t="s">
        <v>9</v>
      </c>
      <c r="Q289" s="7" t="s">
        <v>889</v>
      </c>
      <c r="R289" s="7" t="s">
        <v>11</v>
      </c>
      <c r="S289" s="7" t="s">
        <v>890</v>
      </c>
      <c r="T289" s="7" t="s">
        <v>891</v>
      </c>
      <c r="U289" s="7" t="s">
        <v>889</v>
      </c>
    </row>
    <row r="290" spans="5:21">
      <c r="E290" s="5"/>
      <c r="F290" s="5"/>
      <c r="G290" s="5"/>
      <c r="H290" s="5"/>
      <c r="I290" s="5"/>
      <c r="J290" s="6"/>
      <c r="K290" s="5"/>
      <c r="O290" s="7" t="s">
        <v>195</v>
      </c>
      <c r="P290" s="7" t="s">
        <v>196</v>
      </c>
      <c r="Q290" s="7" t="s">
        <v>892</v>
      </c>
      <c r="R290" s="7" t="s">
        <v>11</v>
      </c>
      <c r="S290" s="7" t="s">
        <v>893</v>
      </c>
      <c r="T290" s="7" t="s">
        <v>894</v>
      </c>
      <c r="U290" s="7" t="s">
        <v>892</v>
      </c>
    </row>
    <row r="291" spans="5:21">
      <c r="E291" s="5"/>
      <c r="F291" s="5"/>
      <c r="G291" s="5"/>
      <c r="H291" s="5"/>
      <c r="I291" s="5"/>
      <c r="J291" s="6"/>
      <c r="K291" s="5"/>
      <c r="O291" s="7" t="s">
        <v>8</v>
      </c>
      <c r="P291" s="7" t="s">
        <v>9</v>
      </c>
      <c r="Q291" s="7" t="s">
        <v>895</v>
      </c>
      <c r="R291" s="7" t="s">
        <v>11</v>
      </c>
      <c r="S291" s="7" t="s">
        <v>896</v>
      </c>
      <c r="T291" s="7" t="s">
        <v>897</v>
      </c>
      <c r="U291" s="7" t="s">
        <v>895</v>
      </c>
    </row>
    <row r="292" spans="5:21">
      <c r="E292" s="5"/>
      <c r="F292" s="5"/>
      <c r="G292" s="5"/>
      <c r="H292" s="5"/>
      <c r="I292" s="5"/>
      <c r="J292" s="6"/>
      <c r="K292" s="5"/>
      <c r="O292" s="7" t="s">
        <v>28</v>
      </c>
      <c r="P292" s="7" t="s">
        <v>29</v>
      </c>
      <c r="Q292" s="7" t="s">
        <v>898</v>
      </c>
      <c r="R292" s="7" t="s">
        <v>11</v>
      </c>
      <c r="S292" s="7" t="s">
        <v>899</v>
      </c>
      <c r="T292" s="7" t="s">
        <v>900</v>
      </c>
      <c r="U292" s="7" t="s">
        <v>898</v>
      </c>
    </row>
    <row r="293" spans="5:21">
      <c r="E293" s="5"/>
      <c r="F293" s="5"/>
      <c r="G293" s="5"/>
      <c r="H293" s="5"/>
      <c r="I293" s="5"/>
      <c r="J293" s="6"/>
      <c r="K293" s="5"/>
      <c r="O293" s="7" t="s">
        <v>28</v>
      </c>
      <c r="P293" s="7" t="s">
        <v>29</v>
      </c>
      <c r="Q293" s="7" t="s">
        <v>901</v>
      </c>
      <c r="R293" s="7" t="s">
        <v>11</v>
      </c>
      <c r="S293" s="7" t="s">
        <v>902</v>
      </c>
      <c r="T293" s="7" t="s">
        <v>903</v>
      </c>
      <c r="U293" s="7" t="s">
        <v>901</v>
      </c>
    </row>
    <row r="294" spans="5:21">
      <c r="E294" s="5"/>
      <c r="F294" s="5"/>
      <c r="G294" s="5"/>
      <c r="H294" s="5"/>
      <c r="I294" s="5"/>
      <c r="J294" s="6"/>
      <c r="K294" s="5"/>
      <c r="O294" s="7" t="s">
        <v>28</v>
      </c>
      <c r="P294" s="7" t="s">
        <v>29</v>
      </c>
      <c r="Q294" s="7" t="s">
        <v>904</v>
      </c>
      <c r="R294" s="7" t="s">
        <v>11</v>
      </c>
      <c r="S294" s="7" t="s">
        <v>905</v>
      </c>
      <c r="T294" s="7" t="s">
        <v>906</v>
      </c>
      <c r="U294" s="7" t="s">
        <v>904</v>
      </c>
    </row>
    <row r="295" spans="5:21">
      <c r="E295" s="5"/>
      <c r="F295" s="5"/>
      <c r="G295" s="5"/>
      <c r="H295" s="5"/>
      <c r="I295" s="5"/>
      <c r="J295" s="6"/>
      <c r="K295" s="5"/>
      <c r="O295" s="7" t="s">
        <v>28</v>
      </c>
      <c r="P295" s="7" t="s">
        <v>29</v>
      </c>
      <c r="Q295" s="7" t="s">
        <v>907</v>
      </c>
      <c r="R295" s="7" t="s">
        <v>11</v>
      </c>
      <c r="S295" s="7" t="s">
        <v>908</v>
      </c>
      <c r="T295" s="7" t="s">
        <v>909</v>
      </c>
      <c r="U295" s="7" t="s">
        <v>907</v>
      </c>
    </row>
    <row r="296" spans="5:21">
      <c r="E296" s="5"/>
      <c r="F296" s="5"/>
      <c r="G296" s="5"/>
      <c r="H296" s="5"/>
      <c r="I296" s="5"/>
      <c r="J296" s="6"/>
      <c r="K296" s="5"/>
      <c r="O296" s="7" t="s">
        <v>58</v>
      </c>
      <c r="P296" s="7" t="s">
        <v>59</v>
      </c>
      <c r="Q296" s="7" t="s">
        <v>910</v>
      </c>
      <c r="R296" s="7" t="s">
        <v>11</v>
      </c>
      <c r="S296" s="7" t="s">
        <v>911</v>
      </c>
      <c r="T296" s="7" t="s">
        <v>912</v>
      </c>
      <c r="U296" s="7" t="s">
        <v>910</v>
      </c>
    </row>
    <row r="297" spans="5:21">
      <c r="E297" s="5"/>
      <c r="F297" s="5"/>
      <c r="G297" s="5"/>
      <c r="H297" s="5"/>
      <c r="I297" s="5"/>
      <c r="J297" s="6"/>
      <c r="K297" s="5"/>
      <c r="O297" s="7" t="s">
        <v>47</v>
      </c>
      <c r="P297" s="7" t="s">
        <v>48</v>
      </c>
      <c r="Q297" s="7" t="s">
        <v>913</v>
      </c>
      <c r="R297" s="7" t="s">
        <v>17</v>
      </c>
      <c r="S297" s="7" t="s">
        <v>914</v>
      </c>
      <c r="T297" s="7" t="s">
        <v>915</v>
      </c>
      <c r="U297" s="7" t="s">
        <v>913</v>
      </c>
    </row>
    <row r="298" spans="5:21">
      <c r="E298" s="5"/>
      <c r="F298" s="5"/>
      <c r="G298" s="5"/>
      <c r="H298" s="5"/>
      <c r="I298" s="5"/>
      <c r="J298" s="6"/>
      <c r="K298" s="5"/>
      <c r="O298" s="7" t="s">
        <v>58</v>
      </c>
      <c r="P298" s="7" t="s">
        <v>59</v>
      </c>
      <c r="Q298" s="7" t="s">
        <v>916</v>
      </c>
      <c r="R298" s="7" t="s">
        <v>11</v>
      </c>
      <c r="S298" s="7" t="s">
        <v>917</v>
      </c>
      <c r="T298" s="7" t="s">
        <v>918</v>
      </c>
      <c r="U298" s="7" t="s">
        <v>916</v>
      </c>
    </row>
    <row r="299" spans="5:21">
      <c r="E299" s="5"/>
      <c r="F299" s="5"/>
      <c r="G299" s="5"/>
      <c r="H299" s="5"/>
      <c r="I299" s="5"/>
      <c r="J299" s="6"/>
      <c r="K299" s="5"/>
      <c r="O299" s="7" t="s">
        <v>33</v>
      </c>
      <c r="P299" s="7" t="s">
        <v>34</v>
      </c>
      <c r="Q299" s="7" t="s">
        <v>919</v>
      </c>
      <c r="R299" s="7" t="s">
        <v>11</v>
      </c>
      <c r="S299" s="7" t="s">
        <v>920</v>
      </c>
      <c r="T299" s="7" t="s">
        <v>921</v>
      </c>
      <c r="U299" s="7" t="s">
        <v>919</v>
      </c>
    </row>
    <row r="300" spans="5:21">
      <c r="E300" s="5"/>
      <c r="F300" s="5"/>
      <c r="G300" s="5"/>
      <c r="H300" s="5"/>
      <c r="I300" s="5"/>
      <c r="J300" s="6"/>
      <c r="K300" s="5"/>
      <c r="O300" s="7" t="s">
        <v>251</v>
      </c>
      <c r="P300" s="7" t="s">
        <v>252</v>
      </c>
      <c r="Q300" s="7" t="s">
        <v>922</v>
      </c>
      <c r="R300" s="7" t="s">
        <v>254</v>
      </c>
      <c r="S300" s="7" t="s">
        <v>923</v>
      </c>
      <c r="T300" s="7" t="s">
        <v>924</v>
      </c>
      <c r="U300" s="7" t="s">
        <v>922</v>
      </c>
    </row>
    <row r="301" spans="5:21">
      <c r="E301" s="5"/>
      <c r="F301" s="5"/>
      <c r="G301" s="5"/>
      <c r="H301" s="5"/>
      <c r="I301" s="5"/>
      <c r="J301" s="6"/>
      <c r="K301" s="5"/>
      <c r="O301" s="7" t="s">
        <v>28</v>
      </c>
      <c r="P301" s="7" t="s">
        <v>29</v>
      </c>
      <c r="Q301" s="7" t="s">
        <v>925</v>
      </c>
      <c r="R301" s="7" t="s">
        <v>11</v>
      </c>
      <c r="S301" s="7" t="s">
        <v>926</v>
      </c>
      <c r="T301" s="7" t="s">
        <v>927</v>
      </c>
      <c r="U301" s="7" t="s">
        <v>925</v>
      </c>
    </row>
    <row r="302" spans="5:21">
      <c r="E302" s="5"/>
      <c r="F302" s="5"/>
      <c r="G302" s="5"/>
      <c r="H302" s="5"/>
      <c r="I302" s="5"/>
      <c r="J302" s="6"/>
      <c r="K302" s="5"/>
      <c r="O302" s="7" t="s">
        <v>251</v>
      </c>
      <c r="P302" s="7" t="s">
        <v>252</v>
      </c>
      <c r="Q302" s="7" t="s">
        <v>928</v>
      </c>
      <c r="R302" s="7" t="s">
        <v>254</v>
      </c>
      <c r="S302" s="7" t="s">
        <v>929</v>
      </c>
      <c r="T302" s="7" t="s">
        <v>930</v>
      </c>
      <c r="U302" s="7" t="s">
        <v>928</v>
      </c>
    </row>
    <row r="303" spans="5:21">
      <c r="E303" s="5"/>
      <c r="F303" s="5"/>
      <c r="G303" s="5"/>
      <c r="H303" s="5"/>
      <c r="I303" s="5"/>
      <c r="J303" s="6"/>
      <c r="K303" s="5"/>
      <c r="O303" s="7" t="s">
        <v>47</v>
      </c>
      <c r="P303" s="7" t="s">
        <v>48</v>
      </c>
      <c r="Q303" s="7" t="s">
        <v>931</v>
      </c>
      <c r="R303" s="7" t="s">
        <v>17</v>
      </c>
      <c r="S303" s="7" t="s">
        <v>932</v>
      </c>
      <c r="T303" s="7" t="s">
        <v>933</v>
      </c>
      <c r="U303" s="7" t="s">
        <v>931</v>
      </c>
    </row>
    <row r="304" spans="5:21">
      <c r="E304" s="5"/>
      <c r="F304" s="5"/>
      <c r="G304" s="5"/>
      <c r="H304" s="5"/>
      <c r="I304" s="5"/>
      <c r="J304" s="6"/>
      <c r="K304" s="5"/>
      <c r="O304" s="7" t="s">
        <v>251</v>
      </c>
      <c r="P304" s="7" t="s">
        <v>252</v>
      </c>
      <c r="Q304" s="7" t="s">
        <v>934</v>
      </c>
      <c r="R304" s="7" t="s">
        <v>254</v>
      </c>
      <c r="S304" s="7" t="s">
        <v>935</v>
      </c>
      <c r="T304" s="7" t="s">
        <v>936</v>
      </c>
      <c r="U304" s="7" t="s">
        <v>934</v>
      </c>
    </row>
    <row r="305" spans="5:21">
      <c r="E305" s="5"/>
      <c r="F305" s="5"/>
      <c r="G305" s="5"/>
      <c r="H305" s="5"/>
      <c r="I305" s="5"/>
      <c r="J305" s="6"/>
      <c r="K305" s="5"/>
      <c r="O305" s="7" t="s">
        <v>47</v>
      </c>
      <c r="P305" s="7" t="s">
        <v>48</v>
      </c>
      <c r="Q305" s="7" t="s">
        <v>937</v>
      </c>
      <c r="R305" s="7" t="s">
        <v>17</v>
      </c>
      <c r="S305" s="7" t="s">
        <v>938</v>
      </c>
      <c r="T305" s="7" t="s">
        <v>939</v>
      </c>
      <c r="U305" s="7" t="s">
        <v>937</v>
      </c>
    </row>
    <row r="306" spans="5:21">
      <c r="E306" s="5"/>
      <c r="F306" s="5"/>
      <c r="G306" s="5"/>
      <c r="H306" s="5"/>
      <c r="I306" s="5"/>
      <c r="J306" s="6"/>
      <c r="K306" s="5"/>
      <c r="O306" s="7" t="s">
        <v>251</v>
      </c>
      <c r="P306" s="7" t="s">
        <v>252</v>
      </c>
      <c r="Q306" s="7" t="s">
        <v>940</v>
      </c>
      <c r="R306" s="7" t="s">
        <v>254</v>
      </c>
      <c r="S306" s="7" t="s">
        <v>941</v>
      </c>
      <c r="T306" s="7" t="s">
        <v>942</v>
      </c>
      <c r="U306" s="7" t="s">
        <v>940</v>
      </c>
    </row>
    <row r="307" spans="5:21">
      <c r="E307" s="5"/>
      <c r="F307" s="5"/>
      <c r="G307" s="5"/>
      <c r="H307" s="5"/>
      <c r="I307" s="5"/>
      <c r="J307" s="6"/>
      <c r="K307" s="5"/>
      <c r="O307" s="7" t="s">
        <v>47</v>
      </c>
      <c r="P307" s="7" t="s">
        <v>48</v>
      </c>
      <c r="Q307" s="7" t="s">
        <v>943</v>
      </c>
      <c r="R307" s="7" t="s">
        <v>17</v>
      </c>
      <c r="S307" s="7" t="s">
        <v>944</v>
      </c>
      <c r="T307" s="7" t="s">
        <v>945</v>
      </c>
      <c r="U307" s="7" t="s">
        <v>943</v>
      </c>
    </row>
    <row r="308" spans="5:21">
      <c r="E308" s="5"/>
      <c r="F308" s="5"/>
      <c r="G308" s="5"/>
      <c r="H308" s="5"/>
      <c r="I308" s="5"/>
      <c r="J308" s="6"/>
      <c r="K308" s="5"/>
      <c r="O308" s="7" t="s">
        <v>28</v>
      </c>
      <c r="P308" s="7" t="s">
        <v>29</v>
      </c>
      <c r="Q308" s="7" t="s">
        <v>946</v>
      </c>
      <c r="R308" s="7" t="s">
        <v>11</v>
      </c>
      <c r="S308" s="7" t="s">
        <v>947</v>
      </c>
      <c r="T308" s="7" t="s">
        <v>948</v>
      </c>
      <c r="U308" s="7" t="s">
        <v>946</v>
      </c>
    </row>
    <row r="309" spans="5:21">
      <c r="E309" s="5"/>
      <c r="F309" s="5"/>
      <c r="G309" s="5"/>
      <c r="H309" s="5"/>
      <c r="I309" s="5"/>
      <c r="J309" s="6"/>
      <c r="K309" s="5"/>
      <c r="O309" s="7" t="s">
        <v>23</v>
      </c>
      <c r="P309" s="7" t="s">
        <v>24</v>
      </c>
      <c r="Q309" s="7" t="s">
        <v>949</v>
      </c>
      <c r="R309" s="7" t="s">
        <v>11</v>
      </c>
      <c r="S309" s="7" t="s">
        <v>950</v>
      </c>
      <c r="T309" s="7" t="s">
        <v>951</v>
      </c>
      <c r="U309" s="7" t="s">
        <v>949</v>
      </c>
    </row>
    <row r="310" spans="5:21">
      <c r="E310" s="5"/>
      <c r="F310" s="5"/>
      <c r="G310" s="5"/>
      <c r="H310" s="5"/>
      <c r="I310" s="5"/>
      <c r="J310" s="6"/>
      <c r="K310" s="5"/>
      <c r="O310" s="7" t="s">
        <v>28</v>
      </c>
      <c r="P310" s="7" t="s">
        <v>29</v>
      </c>
      <c r="Q310" s="7" t="s">
        <v>952</v>
      </c>
      <c r="R310" s="7" t="s">
        <v>11</v>
      </c>
      <c r="S310" s="7" t="s">
        <v>953</v>
      </c>
      <c r="T310" s="7" t="s">
        <v>954</v>
      </c>
      <c r="U310" s="7" t="s">
        <v>952</v>
      </c>
    </row>
    <row r="311" spans="5:21">
      <c r="E311" s="5"/>
      <c r="F311" s="5"/>
      <c r="G311" s="5"/>
      <c r="H311" s="5"/>
      <c r="I311" s="5"/>
      <c r="J311" s="6"/>
      <c r="K311" s="5"/>
      <c r="O311" s="7" t="s">
        <v>28</v>
      </c>
      <c r="P311" s="7" t="s">
        <v>29</v>
      </c>
      <c r="Q311" s="7" t="s">
        <v>955</v>
      </c>
      <c r="R311" s="7" t="s">
        <v>11</v>
      </c>
      <c r="S311" s="7" t="s">
        <v>956</v>
      </c>
      <c r="T311" s="7" t="s">
        <v>957</v>
      </c>
      <c r="U311" s="7" t="s">
        <v>955</v>
      </c>
    </row>
    <row r="312" spans="5:21">
      <c r="E312" s="5"/>
      <c r="F312" s="5"/>
      <c r="G312" s="5"/>
      <c r="H312" s="5"/>
      <c r="I312" s="5"/>
      <c r="J312" s="6"/>
      <c r="K312" s="5"/>
      <c r="O312" s="7" t="s">
        <v>251</v>
      </c>
      <c r="P312" s="7" t="s">
        <v>252</v>
      </c>
      <c r="Q312" s="7" t="s">
        <v>958</v>
      </c>
      <c r="R312" s="7" t="s">
        <v>254</v>
      </c>
      <c r="S312" s="7" t="s">
        <v>959</v>
      </c>
      <c r="T312" s="7" t="s">
        <v>960</v>
      </c>
      <c r="U312" s="7" t="s">
        <v>958</v>
      </c>
    </row>
    <row r="313" spans="5:21">
      <c r="E313" s="5"/>
      <c r="F313" s="5"/>
      <c r="G313" s="5"/>
      <c r="H313" s="5"/>
      <c r="I313" s="5"/>
      <c r="J313" s="6"/>
      <c r="K313" s="5"/>
      <c r="O313" s="7" t="s">
        <v>251</v>
      </c>
      <c r="P313" s="7" t="s">
        <v>252</v>
      </c>
      <c r="Q313" s="7" t="s">
        <v>961</v>
      </c>
      <c r="R313" s="7" t="s">
        <v>254</v>
      </c>
      <c r="S313" s="7" t="s">
        <v>962</v>
      </c>
      <c r="T313" s="7" t="s">
        <v>963</v>
      </c>
      <c r="U313" s="7" t="s">
        <v>961</v>
      </c>
    </row>
    <row r="314" spans="5:21">
      <c r="E314" s="5"/>
      <c r="F314" s="5"/>
      <c r="G314" s="5"/>
      <c r="H314" s="5"/>
      <c r="I314" s="5"/>
      <c r="J314" s="6"/>
      <c r="K314" s="5"/>
      <c r="O314" s="7" t="s">
        <v>251</v>
      </c>
      <c r="P314" s="7" t="s">
        <v>252</v>
      </c>
      <c r="Q314" s="7" t="s">
        <v>964</v>
      </c>
      <c r="R314" s="7" t="s">
        <v>254</v>
      </c>
      <c r="S314" s="7" t="s">
        <v>965</v>
      </c>
      <c r="T314" s="7" t="s">
        <v>966</v>
      </c>
      <c r="U314" s="7" t="s">
        <v>964</v>
      </c>
    </row>
    <row r="315" spans="5:21">
      <c r="E315" s="5"/>
      <c r="F315" s="5"/>
      <c r="G315" s="5"/>
      <c r="H315" s="5"/>
      <c r="I315" s="5"/>
      <c r="J315" s="6"/>
      <c r="K315" s="5"/>
      <c r="O315" s="7" t="s">
        <v>28</v>
      </c>
      <c r="P315" s="7" t="s">
        <v>29</v>
      </c>
      <c r="Q315" s="7" t="s">
        <v>967</v>
      </c>
      <c r="R315" s="7" t="s">
        <v>11</v>
      </c>
      <c r="S315" s="7" t="s">
        <v>968</v>
      </c>
      <c r="T315" s="7" t="s">
        <v>969</v>
      </c>
      <c r="U315" s="7" t="s">
        <v>967</v>
      </c>
    </row>
    <row r="316" spans="5:21">
      <c r="E316" s="5"/>
      <c r="F316" s="5"/>
      <c r="G316" s="5"/>
      <c r="H316" s="5"/>
      <c r="I316" s="5"/>
      <c r="J316" s="6"/>
      <c r="K316" s="5"/>
      <c r="O316" s="7" t="s">
        <v>47</v>
      </c>
      <c r="P316" s="7" t="s">
        <v>48</v>
      </c>
      <c r="Q316" s="7" t="s">
        <v>970</v>
      </c>
      <c r="R316" s="7" t="s">
        <v>17</v>
      </c>
      <c r="S316" s="7" t="s">
        <v>971</v>
      </c>
      <c r="T316" s="7" t="s">
        <v>972</v>
      </c>
      <c r="U316" s="7" t="s">
        <v>970</v>
      </c>
    </row>
    <row r="317" spans="5:21">
      <c r="E317" s="5"/>
      <c r="F317" s="5"/>
      <c r="G317" s="5"/>
      <c r="H317" s="5"/>
      <c r="I317" s="5"/>
      <c r="J317" s="6"/>
      <c r="K317" s="5"/>
      <c r="O317" s="7" t="s">
        <v>47</v>
      </c>
      <c r="P317" s="7" t="s">
        <v>48</v>
      </c>
      <c r="Q317" s="7" t="s">
        <v>973</v>
      </c>
      <c r="R317" s="7" t="s">
        <v>17</v>
      </c>
      <c r="S317" s="7" t="s">
        <v>974</v>
      </c>
      <c r="T317" s="7" t="s">
        <v>975</v>
      </c>
      <c r="U317" s="7" t="s">
        <v>973</v>
      </c>
    </row>
    <row r="318" spans="5:21">
      <c r="E318" s="5"/>
      <c r="F318" s="5"/>
      <c r="G318" s="5"/>
      <c r="H318" s="5"/>
      <c r="I318" s="5"/>
      <c r="J318" s="6"/>
      <c r="K318" s="5"/>
      <c r="O318" s="7" t="s">
        <v>28</v>
      </c>
      <c r="P318" s="7" t="s">
        <v>29</v>
      </c>
      <c r="Q318" s="7" t="s">
        <v>976</v>
      </c>
      <c r="R318" s="7" t="s">
        <v>11</v>
      </c>
      <c r="S318" s="7" t="s">
        <v>977</v>
      </c>
      <c r="T318" s="7" t="s">
        <v>978</v>
      </c>
      <c r="U318" s="7" t="s">
        <v>976</v>
      </c>
    </row>
    <row r="319" spans="5:21">
      <c r="E319" s="5"/>
      <c r="F319" s="5"/>
      <c r="G319" s="5"/>
      <c r="H319" s="5"/>
      <c r="I319" s="5"/>
      <c r="J319" s="6"/>
      <c r="K319" s="5"/>
      <c r="O319" s="7" t="s">
        <v>251</v>
      </c>
      <c r="P319" s="7" t="s">
        <v>252</v>
      </c>
      <c r="Q319" s="7" t="s">
        <v>979</v>
      </c>
      <c r="R319" s="7" t="s">
        <v>254</v>
      </c>
      <c r="S319" s="7" t="s">
        <v>980</v>
      </c>
      <c r="T319" s="7" t="s">
        <v>981</v>
      </c>
      <c r="U319" s="7" t="s">
        <v>979</v>
      </c>
    </row>
    <row r="320" spans="5:21">
      <c r="E320" s="5"/>
      <c r="F320" s="5"/>
      <c r="G320" s="5"/>
      <c r="H320" s="5"/>
      <c r="I320" s="5"/>
      <c r="J320" s="6"/>
      <c r="K320" s="5"/>
      <c r="O320" s="7" t="s">
        <v>28</v>
      </c>
      <c r="P320" s="7" t="s">
        <v>29</v>
      </c>
      <c r="Q320" s="7" t="s">
        <v>982</v>
      </c>
      <c r="R320" s="7" t="s">
        <v>11</v>
      </c>
      <c r="S320" s="7" t="s">
        <v>983</v>
      </c>
      <c r="T320" s="7" t="s">
        <v>984</v>
      </c>
      <c r="U320" s="7" t="s">
        <v>982</v>
      </c>
    </row>
    <row r="321" spans="5:21">
      <c r="E321" s="5"/>
      <c r="F321" s="5"/>
      <c r="G321" s="5"/>
      <c r="H321" s="5"/>
      <c r="I321" s="5"/>
      <c r="J321" s="6"/>
      <c r="K321" s="5"/>
      <c r="O321" s="7" t="s">
        <v>8</v>
      </c>
      <c r="P321" s="7" t="s">
        <v>9</v>
      </c>
      <c r="Q321" s="7" t="s">
        <v>985</v>
      </c>
      <c r="R321" s="7" t="s">
        <v>11</v>
      </c>
      <c r="S321" s="7" t="s">
        <v>986</v>
      </c>
      <c r="T321" s="7" t="s">
        <v>987</v>
      </c>
      <c r="U321" s="7" t="s">
        <v>985</v>
      </c>
    </row>
    <row r="322" spans="5:21">
      <c r="E322" s="5"/>
      <c r="F322" s="5"/>
      <c r="G322" s="5"/>
      <c r="H322" s="5"/>
      <c r="I322" s="5"/>
      <c r="J322" s="6"/>
      <c r="K322" s="5"/>
      <c r="O322" s="7" t="s">
        <v>28</v>
      </c>
      <c r="P322" s="7" t="s">
        <v>29</v>
      </c>
      <c r="Q322" s="7" t="s">
        <v>988</v>
      </c>
      <c r="R322" s="7" t="s">
        <v>11</v>
      </c>
      <c r="S322" s="7" t="s">
        <v>989</v>
      </c>
      <c r="T322" s="7" t="s">
        <v>990</v>
      </c>
      <c r="U322" s="7" t="s">
        <v>988</v>
      </c>
    </row>
    <row r="323" spans="5:21">
      <c r="E323" s="5"/>
      <c r="F323" s="5"/>
      <c r="G323" s="5"/>
      <c r="H323" s="5"/>
      <c r="I323" s="5"/>
      <c r="J323" s="6"/>
      <c r="K323" s="5"/>
      <c r="O323" s="7" t="s">
        <v>23</v>
      </c>
      <c r="P323" s="7" t="s">
        <v>24</v>
      </c>
      <c r="Q323" s="7" t="s">
        <v>991</v>
      </c>
      <c r="R323" s="7" t="s">
        <v>11</v>
      </c>
      <c r="S323" s="7" t="s">
        <v>992</v>
      </c>
      <c r="T323" s="7" t="s">
        <v>993</v>
      </c>
      <c r="U323" s="7" t="s">
        <v>991</v>
      </c>
    </row>
    <row r="324" spans="5:21">
      <c r="E324" s="5"/>
      <c r="F324" s="5"/>
      <c r="G324" s="5"/>
      <c r="H324" s="5"/>
      <c r="I324" s="5"/>
      <c r="J324" s="6"/>
      <c r="K324" s="5"/>
      <c r="O324" s="7" t="s">
        <v>58</v>
      </c>
      <c r="P324" s="7" t="s">
        <v>59</v>
      </c>
      <c r="Q324" s="7" t="s">
        <v>994</v>
      </c>
      <c r="R324" s="7" t="s">
        <v>11</v>
      </c>
      <c r="S324" s="7" t="s">
        <v>995</v>
      </c>
      <c r="T324" s="7" t="s">
        <v>996</v>
      </c>
      <c r="U324" s="7" t="s">
        <v>994</v>
      </c>
    </row>
    <row r="325" spans="5:21">
      <c r="E325" s="5"/>
      <c r="F325" s="5"/>
      <c r="G325" s="5"/>
      <c r="H325" s="5"/>
      <c r="I325" s="5"/>
      <c r="J325" s="6"/>
      <c r="K325" s="5"/>
      <c r="O325" s="7" t="s">
        <v>251</v>
      </c>
      <c r="P325" s="7" t="s">
        <v>252</v>
      </c>
      <c r="Q325" s="7" t="s">
        <v>997</v>
      </c>
      <c r="R325" s="7" t="s">
        <v>254</v>
      </c>
      <c r="S325" s="7" t="s">
        <v>998</v>
      </c>
      <c r="T325" s="7" t="s">
        <v>999</v>
      </c>
      <c r="U325" s="7" t="s">
        <v>997</v>
      </c>
    </row>
    <row r="326" spans="5:21">
      <c r="E326" s="5"/>
      <c r="F326" s="5"/>
      <c r="G326" s="5"/>
      <c r="H326" s="5"/>
      <c r="I326" s="5"/>
      <c r="J326" s="6"/>
      <c r="K326" s="5"/>
      <c r="O326" s="7" t="s">
        <v>58</v>
      </c>
      <c r="P326" s="7" t="s">
        <v>59</v>
      </c>
      <c r="Q326" s="7" t="s">
        <v>1000</v>
      </c>
      <c r="R326" s="7" t="s">
        <v>11</v>
      </c>
      <c r="S326" s="7" t="s">
        <v>1001</v>
      </c>
      <c r="T326" s="7" t="s">
        <v>1002</v>
      </c>
      <c r="U326" s="7" t="s">
        <v>1000</v>
      </c>
    </row>
    <row r="327" spans="5:21">
      <c r="E327" s="5"/>
      <c r="F327" s="5"/>
      <c r="G327" s="5"/>
      <c r="H327" s="5"/>
      <c r="I327" s="5"/>
      <c r="J327" s="6"/>
      <c r="K327" s="5"/>
      <c r="O327" s="7" t="s">
        <v>47</v>
      </c>
      <c r="P327" s="7" t="s">
        <v>48</v>
      </c>
      <c r="Q327" s="7" t="s">
        <v>1003</v>
      </c>
      <c r="R327" s="7" t="s">
        <v>17</v>
      </c>
      <c r="S327" s="7" t="s">
        <v>1004</v>
      </c>
      <c r="T327" s="7" t="s">
        <v>1005</v>
      </c>
      <c r="U327" s="7" t="s">
        <v>1003</v>
      </c>
    </row>
    <row r="328" spans="5:21">
      <c r="E328" s="5"/>
      <c r="F328" s="5"/>
      <c r="G328" s="5"/>
      <c r="H328" s="5"/>
      <c r="I328" s="5"/>
      <c r="J328" s="6"/>
      <c r="K328" s="5"/>
      <c r="O328" s="7" t="s">
        <v>8</v>
      </c>
      <c r="P328" s="7" t="s">
        <v>9</v>
      </c>
      <c r="Q328" s="7" t="s">
        <v>1006</v>
      </c>
      <c r="R328" s="7" t="s">
        <v>11</v>
      </c>
      <c r="S328" s="7" t="s">
        <v>1007</v>
      </c>
      <c r="T328" s="7" t="s">
        <v>1008</v>
      </c>
      <c r="U328" s="7" t="s">
        <v>1006</v>
      </c>
    </row>
    <row r="329" spans="5:21">
      <c r="E329" s="5"/>
      <c r="F329" s="5"/>
      <c r="G329" s="5"/>
      <c r="H329" s="5"/>
      <c r="I329" s="5"/>
      <c r="J329" s="6"/>
      <c r="K329" s="5"/>
      <c r="O329" s="7" t="s">
        <v>28</v>
      </c>
      <c r="P329" s="7" t="s">
        <v>29</v>
      </c>
      <c r="Q329" s="7" t="s">
        <v>1009</v>
      </c>
      <c r="R329" s="7" t="s">
        <v>11</v>
      </c>
      <c r="S329" s="7" t="s">
        <v>1010</v>
      </c>
      <c r="T329" s="7" t="s">
        <v>1011</v>
      </c>
      <c r="U329" s="7" t="s">
        <v>1009</v>
      </c>
    </row>
    <row r="330" spans="5:21">
      <c r="E330" s="5"/>
      <c r="F330" s="5"/>
      <c r="G330" s="5"/>
      <c r="H330" s="5"/>
      <c r="I330" s="5"/>
      <c r="J330" s="6"/>
      <c r="K330" s="5"/>
      <c r="O330" s="7" t="s">
        <v>195</v>
      </c>
      <c r="P330" s="7" t="s">
        <v>196</v>
      </c>
      <c r="Q330" s="7" t="s">
        <v>1012</v>
      </c>
      <c r="R330" s="7" t="s">
        <v>11</v>
      </c>
      <c r="S330" s="7" t="s">
        <v>1013</v>
      </c>
      <c r="T330" s="7" t="s">
        <v>1014</v>
      </c>
      <c r="U330" s="7" t="s">
        <v>1012</v>
      </c>
    </row>
    <row r="331" spans="5:21">
      <c r="E331" s="5"/>
      <c r="F331" s="5"/>
      <c r="G331" s="5"/>
      <c r="H331" s="5"/>
      <c r="I331" s="5"/>
      <c r="J331" s="6"/>
      <c r="K331" s="5"/>
      <c r="O331" s="7" t="s">
        <v>8</v>
      </c>
      <c r="P331" s="7" t="s">
        <v>9</v>
      </c>
      <c r="Q331" s="7" t="s">
        <v>1015</v>
      </c>
      <c r="R331" s="7" t="s">
        <v>11</v>
      </c>
      <c r="S331" s="7" t="s">
        <v>1016</v>
      </c>
      <c r="T331" s="7" t="s">
        <v>1017</v>
      </c>
      <c r="U331" s="7" t="s">
        <v>1015</v>
      </c>
    </row>
    <row r="332" spans="5:21">
      <c r="E332" s="5"/>
      <c r="F332" s="5"/>
      <c r="G332" s="5"/>
      <c r="H332" s="5"/>
      <c r="I332" s="5"/>
      <c r="J332" s="6"/>
      <c r="K332" s="5"/>
      <c r="O332" s="7" t="s">
        <v>8</v>
      </c>
      <c r="P332" s="7" t="s">
        <v>9</v>
      </c>
      <c r="Q332" s="7" t="s">
        <v>1018</v>
      </c>
      <c r="R332" s="7" t="s">
        <v>11</v>
      </c>
      <c r="S332" s="7" t="s">
        <v>1019</v>
      </c>
      <c r="T332" s="7" t="s">
        <v>1020</v>
      </c>
      <c r="U332" s="7" t="s">
        <v>1018</v>
      </c>
    </row>
    <row r="333" spans="5:21">
      <c r="E333" s="5"/>
      <c r="F333" s="5"/>
      <c r="G333" s="5"/>
      <c r="H333" s="5"/>
      <c r="I333" s="5"/>
      <c r="J333" s="6"/>
      <c r="K333" s="5"/>
      <c r="O333" s="7" t="s">
        <v>8</v>
      </c>
      <c r="P333" s="7" t="s">
        <v>9</v>
      </c>
      <c r="Q333" s="7" t="s">
        <v>1021</v>
      </c>
      <c r="R333" s="7" t="s">
        <v>11</v>
      </c>
      <c r="S333" s="7" t="s">
        <v>1022</v>
      </c>
      <c r="T333" s="7" t="s">
        <v>1023</v>
      </c>
      <c r="U333" s="7" t="s">
        <v>1021</v>
      </c>
    </row>
    <row r="334" spans="5:21">
      <c r="E334" s="5"/>
      <c r="F334" s="5"/>
      <c r="G334" s="5"/>
      <c r="H334" s="5"/>
      <c r="I334" s="5"/>
      <c r="J334" s="6"/>
      <c r="K334" s="5"/>
      <c r="O334" s="7" t="s">
        <v>28</v>
      </c>
      <c r="P334" s="7" t="s">
        <v>29</v>
      </c>
      <c r="Q334" s="7" t="s">
        <v>1024</v>
      </c>
      <c r="R334" s="7" t="s">
        <v>11</v>
      </c>
      <c r="S334" s="7" t="s">
        <v>1025</v>
      </c>
      <c r="T334" s="7" t="s">
        <v>1026</v>
      </c>
      <c r="U334" s="7" t="s">
        <v>1024</v>
      </c>
    </row>
    <row r="335" spans="5:21">
      <c r="E335" s="5"/>
      <c r="F335" s="5"/>
      <c r="G335" s="5"/>
      <c r="H335" s="5"/>
      <c r="I335" s="5"/>
      <c r="J335" s="6"/>
      <c r="K335" s="5"/>
      <c r="O335" s="7" t="s">
        <v>28</v>
      </c>
      <c r="P335" s="7" t="s">
        <v>29</v>
      </c>
      <c r="Q335" s="7" t="s">
        <v>1027</v>
      </c>
      <c r="R335" s="7" t="s">
        <v>11</v>
      </c>
      <c r="S335" s="7" t="s">
        <v>1028</v>
      </c>
      <c r="T335" s="7" t="s">
        <v>1029</v>
      </c>
      <c r="U335" s="7" t="s">
        <v>1027</v>
      </c>
    </row>
    <row r="336" spans="5:21">
      <c r="E336" s="5"/>
      <c r="F336" s="5"/>
      <c r="G336" s="5"/>
      <c r="H336" s="5"/>
      <c r="I336" s="5"/>
      <c r="J336" s="6"/>
      <c r="K336" s="5"/>
      <c r="O336" s="7" t="s">
        <v>23</v>
      </c>
      <c r="P336" s="7" t="s">
        <v>24</v>
      </c>
      <c r="Q336" s="7" t="s">
        <v>1030</v>
      </c>
      <c r="R336" s="7" t="s">
        <v>11</v>
      </c>
      <c r="S336" s="7" t="s">
        <v>1031</v>
      </c>
      <c r="T336" s="7" t="s">
        <v>1032</v>
      </c>
      <c r="U336" s="7" t="s">
        <v>1030</v>
      </c>
    </row>
    <row r="337" spans="5:21">
      <c r="E337" s="5"/>
      <c r="F337" s="5"/>
      <c r="G337" s="5"/>
      <c r="H337" s="5"/>
      <c r="I337" s="5"/>
      <c r="J337" s="6"/>
      <c r="K337" s="5"/>
      <c r="O337" s="7" t="s">
        <v>33</v>
      </c>
      <c r="P337" s="7" t="s">
        <v>34</v>
      </c>
      <c r="Q337" s="7" t="s">
        <v>1033</v>
      </c>
      <c r="R337" s="7" t="s">
        <v>11</v>
      </c>
      <c r="S337" s="7" t="s">
        <v>1034</v>
      </c>
      <c r="T337" s="7" t="s">
        <v>1035</v>
      </c>
      <c r="U337" s="7" t="s">
        <v>1033</v>
      </c>
    </row>
    <row r="338" spans="5:21">
      <c r="E338" s="5"/>
      <c r="F338" s="5"/>
      <c r="G338" s="5"/>
      <c r="H338" s="5"/>
      <c r="I338" s="5"/>
      <c r="J338" s="6"/>
      <c r="K338" s="5"/>
      <c r="O338" s="7" t="s">
        <v>23</v>
      </c>
      <c r="P338" s="7" t="s">
        <v>24</v>
      </c>
      <c r="Q338" s="7" t="s">
        <v>1036</v>
      </c>
      <c r="R338" s="7" t="s">
        <v>11</v>
      </c>
      <c r="S338" s="7" t="s">
        <v>1037</v>
      </c>
      <c r="T338" s="7" t="s">
        <v>1038</v>
      </c>
      <c r="U338" s="7" t="s">
        <v>1036</v>
      </c>
    </row>
    <row r="339" spans="5:21">
      <c r="E339" s="5"/>
      <c r="F339" s="5"/>
      <c r="G339" s="5"/>
      <c r="H339" s="5"/>
      <c r="I339" s="5"/>
      <c r="J339" s="6"/>
      <c r="K339" s="5"/>
      <c r="O339" s="7" t="s">
        <v>28</v>
      </c>
      <c r="P339" s="7" t="s">
        <v>29</v>
      </c>
      <c r="Q339" s="7" t="s">
        <v>1039</v>
      </c>
      <c r="R339" s="7" t="s">
        <v>11</v>
      </c>
      <c r="S339" s="7" t="s">
        <v>1040</v>
      </c>
      <c r="T339" s="7" t="s">
        <v>1041</v>
      </c>
      <c r="U339" s="7" t="s">
        <v>1039</v>
      </c>
    </row>
    <row r="340" spans="5:21">
      <c r="E340" s="5"/>
      <c r="F340" s="5"/>
      <c r="G340" s="5"/>
      <c r="H340" s="5"/>
      <c r="I340" s="5"/>
      <c r="J340" s="6"/>
      <c r="K340" s="5"/>
      <c r="O340" s="7" t="s">
        <v>8</v>
      </c>
      <c r="P340" s="7" t="s">
        <v>9</v>
      </c>
      <c r="Q340" s="7" t="s">
        <v>1042</v>
      </c>
      <c r="R340" s="7" t="s">
        <v>11</v>
      </c>
      <c r="S340" s="7" t="s">
        <v>1043</v>
      </c>
      <c r="T340" s="7" t="s">
        <v>1044</v>
      </c>
      <c r="U340" s="7" t="s">
        <v>1042</v>
      </c>
    </row>
    <row r="341" spans="5:21">
      <c r="E341" s="5"/>
      <c r="F341" s="5"/>
      <c r="G341" s="5"/>
      <c r="H341" s="5"/>
      <c r="I341" s="5"/>
      <c r="J341" s="6"/>
      <c r="K341" s="5"/>
      <c r="O341" s="7" t="s">
        <v>8</v>
      </c>
      <c r="P341" s="7" t="s">
        <v>9</v>
      </c>
      <c r="Q341" s="7" t="s">
        <v>1045</v>
      </c>
      <c r="R341" s="7" t="s">
        <v>11</v>
      </c>
      <c r="S341" s="7" t="s">
        <v>1046</v>
      </c>
      <c r="T341" s="7" t="s">
        <v>1047</v>
      </c>
      <c r="U341" s="7" t="s">
        <v>1045</v>
      </c>
    </row>
    <row r="342" spans="5:21">
      <c r="E342" s="5"/>
      <c r="F342" s="5"/>
      <c r="G342" s="5"/>
      <c r="H342" s="5"/>
      <c r="I342" s="5"/>
      <c r="J342" s="6"/>
      <c r="K342" s="5"/>
      <c r="O342" s="7" t="s">
        <v>876</v>
      </c>
      <c r="P342" s="7" t="s">
        <v>48</v>
      </c>
      <c r="Q342" s="7" t="s">
        <v>1048</v>
      </c>
      <c r="R342" s="7" t="s">
        <v>17</v>
      </c>
      <c r="S342" s="7" t="s">
        <v>1049</v>
      </c>
      <c r="T342" s="7" t="s">
        <v>1050</v>
      </c>
      <c r="U342" s="7" t="s">
        <v>1048</v>
      </c>
    </row>
    <row r="343" spans="5:21">
      <c r="E343" s="5"/>
      <c r="F343" s="5"/>
      <c r="G343" s="5"/>
      <c r="H343" s="5"/>
      <c r="I343" s="5"/>
      <c r="J343" s="6"/>
      <c r="K343" s="5"/>
      <c r="O343" s="7" t="s">
        <v>47</v>
      </c>
      <c r="P343" s="7" t="s">
        <v>48</v>
      </c>
      <c r="Q343" s="7" t="s">
        <v>1051</v>
      </c>
      <c r="R343" s="7" t="s">
        <v>17</v>
      </c>
      <c r="S343" s="7" t="s">
        <v>1052</v>
      </c>
      <c r="T343" s="7" t="s">
        <v>1053</v>
      </c>
      <c r="U343" s="7" t="s">
        <v>1051</v>
      </c>
    </row>
    <row r="344" spans="5:21">
      <c r="E344" s="5"/>
      <c r="F344" s="5"/>
      <c r="G344" s="5"/>
      <c r="H344" s="5"/>
      <c r="I344" s="5"/>
      <c r="J344" s="6"/>
      <c r="K344" s="5"/>
      <c r="O344" s="7" t="s">
        <v>251</v>
      </c>
      <c r="P344" s="7" t="s">
        <v>252</v>
      </c>
      <c r="Q344" s="7" t="s">
        <v>1054</v>
      </c>
      <c r="R344" s="7" t="s">
        <v>254</v>
      </c>
      <c r="S344" s="7" t="s">
        <v>1055</v>
      </c>
      <c r="T344" s="7" t="s">
        <v>1056</v>
      </c>
      <c r="U344" s="7" t="s">
        <v>1054</v>
      </c>
    </row>
    <row r="345" spans="5:21">
      <c r="E345" s="5"/>
      <c r="F345" s="5"/>
      <c r="G345" s="5"/>
      <c r="H345" s="5"/>
      <c r="I345" s="5"/>
      <c r="J345" s="6"/>
      <c r="K345" s="5"/>
      <c r="O345" s="7" t="s">
        <v>251</v>
      </c>
      <c r="P345" s="7" t="s">
        <v>252</v>
      </c>
      <c r="Q345" s="7" t="s">
        <v>1057</v>
      </c>
      <c r="R345" s="7" t="s">
        <v>254</v>
      </c>
      <c r="S345" s="7" t="s">
        <v>1058</v>
      </c>
      <c r="T345" s="7" t="s">
        <v>1059</v>
      </c>
      <c r="U345" s="7" t="s">
        <v>1057</v>
      </c>
    </row>
    <row r="346" spans="5:21">
      <c r="E346" s="5"/>
      <c r="F346" s="5"/>
      <c r="G346" s="5"/>
      <c r="H346" s="5"/>
      <c r="I346" s="5"/>
      <c r="J346" s="6"/>
      <c r="K346" s="5"/>
      <c r="O346" s="7" t="s">
        <v>251</v>
      </c>
      <c r="P346" s="7" t="s">
        <v>252</v>
      </c>
      <c r="Q346" s="7" t="s">
        <v>1060</v>
      </c>
      <c r="R346" s="7" t="s">
        <v>254</v>
      </c>
      <c r="S346" s="7" t="s">
        <v>1061</v>
      </c>
      <c r="T346" s="7" t="s">
        <v>1062</v>
      </c>
      <c r="U346" s="7" t="s">
        <v>1060</v>
      </c>
    </row>
    <row r="347" spans="5:21">
      <c r="E347" s="5"/>
      <c r="F347" s="5"/>
      <c r="G347" s="5"/>
      <c r="H347" s="5"/>
      <c r="I347" s="5"/>
      <c r="J347" s="6"/>
      <c r="K347" s="5"/>
      <c r="O347" s="7" t="s">
        <v>8</v>
      </c>
      <c r="P347" s="7" t="s">
        <v>9</v>
      </c>
      <c r="Q347" s="7" t="s">
        <v>1063</v>
      </c>
      <c r="R347" s="7" t="s">
        <v>11</v>
      </c>
      <c r="S347" s="7" t="s">
        <v>1064</v>
      </c>
      <c r="T347" s="7" t="s">
        <v>1065</v>
      </c>
      <c r="U347" s="7" t="s">
        <v>1063</v>
      </c>
    </row>
    <row r="348" spans="5:21">
      <c r="E348" s="5"/>
      <c r="F348" s="5"/>
      <c r="G348" s="5"/>
      <c r="H348" s="5"/>
      <c r="I348" s="5"/>
      <c r="J348" s="6"/>
      <c r="K348" s="5"/>
      <c r="O348" s="7" t="s">
        <v>8</v>
      </c>
      <c r="P348" s="7" t="s">
        <v>9</v>
      </c>
      <c r="Q348" s="7" t="s">
        <v>1066</v>
      </c>
      <c r="R348" s="7" t="s">
        <v>11</v>
      </c>
      <c r="S348" s="7" t="s">
        <v>1067</v>
      </c>
      <c r="T348" s="7" t="s">
        <v>1068</v>
      </c>
      <c r="U348" s="7" t="s">
        <v>1066</v>
      </c>
    </row>
    <row r="349" spans="5:21">
      <c r="E349" s="5"/>
      <c r="F349" s="5"/>
      <c r="G349" s="5"/>
      <c r="H349" s="5"/>
      <c r="I349" s="5"/>
      <c r="J349" s="6"/>
      <c r="K349" s="5"/>
      <c r="O349" s="7" t="s">
        <v>28</v>
      </c>
      <c r="P349" s="7" t="s">
        <v>29</v>
      </c>
      <c r="Q349" s="7" t="s">
        <v>1069</v>
      </c>
      <c r="R349" s="7" t="s">
        <v>11</v>
      </c>
      <c r="S349" s="7" t="s">
        <v>1070</v>
      </c>
      <c r="T349" s="7" t="s">
        <v>1071</v>
      </c>
      <c r="U349" s="7" t="s">
        <v>1069</v>
      </c>
    </row>
    <row r="350" spans="5:21">
      <c r="E350" s="5"/>
      <c r="F350" s="5"/>
      <c r="G350" s="5"/>
      <c r="H350" s="5"/>
      <c r="I350" s="5"/>
      <c r="J350" s="6"/>
      <c r="K350" s="5"/>
      <c r="O350" s="7" t="s">
        <v>47</v>
      </c>
      <c r="P350" s="7" t="s">
        <v>48</v>
      </c>
      <c r="Q350" s="7" t="s">
        <v>1072</v>
      </c>
      <c r="R350" s="7" t="s">
        <v>17</v>
      </c>
      <c r="S350" s="7" t="s">
        <v>1073</v>
      </c>
      <c r="T350" s="7" t="s">
        <v>1074</v>
      </c>
      <c r="U350" s="7" t="s">
        <v>1072</v>
      </c>
    </row>
    <row r="351" spans="5:21">
      <c r="E351" s="5"/>
      <c r="F351" s="5"/>
      <c r="G351" s="5"/>
      <c r="H351" s="5"/>
      <c r="I351" s="5"/>
      <c r="J351" s="6"/>
      <c r="K351" s="5"/>
      <c r="O351" s="7" t="s">
        <v>28</v>
      </c>
      <c r="P351" s="7" t="s">
        <v>29</v>
      </c>
      <c r="Q351" s="7" t="s">
        <v>1075</v>
      </c>
      <c r="R351" s="7" t="s">
        <v>11</v>
      </c>
      <c r="S351" s="7" t="s">
        <v>1076</v>
      </c>
      <c r="T351" s="7" t="s">
        <v>1077</v>
      </c>
      <c r="U351" s="7" t="s">
        <v>1075</v>
      </c>
    </row>
    <row r="352" spans="5:21">
      <c r="E352" s="5"/>
      <c r="F352" s="5"/>
      <c r="G352" s="5"/>
      <c r="H352" s="5"/>
      <c r="I352" s="5"/>
      <c r="J352" s="6"/>
      <c r="K352" s="5"/>
      <c r="O352" s="7" t="s">
        <v>28</v>
      </c>
      <c r="P352" s="7" t="s">
        <v>29</v>
      </c>
      <c r="Q352" s="7" t="s">
        <v>1078</v>
      </c>
      <c r="R352" s="7" t="s">
        <v>11</v>
      </c>
      <c r="S352" s="7" t="s">
        <v>1079</v>
      </c>
      <c r="T352" s="7" t="s">
        <v>1080</v>
      </c>
      <c r="U352" s="7" t="s">
        <v>1078</v>
      </c>
    </row>
    <row r="353" spans="5:21">
      <c r="E353" s="5"/>
      <c r="F353" s="5"/>
      <c r="G353" s="5"/>
      <c r="H353" s="5"/>
      <c r="I353" s="5"/>
      <c r="J353" s="6"/>
      <c r="K353" s="5"/>
      <c r="O353" s="7" t="s">
        <v>8</v>
      </c>
      <c r="P353" s="7" t="s">
        <v>9</v>
      </c>
      <c r="Q353" s="7" t="s">
        <v>1081</v>
      </c>
      <c r="R353" s="7" t="s">
        <v>11</v>
      </c>
      <c r="S353" s="7" t="s">
        <v>1082</v>
      </c>
      <c r="T353" s="7" t="s">
        <v>1083</v>
      </c>
      <c r="U353" s="7" t="s">
        <v>1081</v>
      </c>
    </row>
    <row r="354" spans="5:21">
      <c r="E354" s="5"/>
      <c r="F354" s="5"/>
      <c r="G354" s="5"/>
      <c r="H354" s="5"/>
      <c r="I354" s="5"/>
      <c r="J354" s="6"/>
      <c r="K354" s="5"/>
      <c r="O354" s="7" t="s">
        <v>8</v>
      </c>
      <c r="P354" s="7" t="s">
        <v>9</v>
      </c>
      <c r="Q354" s="7" t="s">
        <v>1084</v>
      </c>
      <c r="R354" s="7" t="s">
        <v>11</v>
      </c>
      <c r="S354" s="7" t="s">
        <v>1085</v>
      </c>
      <c r="T354" s="7" t="s">
        <v>1086</v>
      </c>
      <c r="U354" s="7" t="s">
        <v>1084</v>
      </c>
    </row>
    <row r="355" spans="5:21">
      <c r="E355" s="5"/>
      <c r="F355" s="5"/>
      <c r="G355" s="5"/>
      <c r="H355" s="5"/>
      <c r="I355" s="5"/>
      <c r="J355" s="6"/>
      <c r="K355" s="5"/>
      <c r="O355" s="7" t="s">
        <v>195</v>
      </c>
      <c r="P355" s="7" t="s">
        <v>196</v>
      </c>
      <c r="Q355" s="7" t="s">
        <v>1087</v>
      </c>
      <c r="R355" s="7" t="s">
        <v>11</v>
      </c>
      <c r="S355" s="7" t="s">
        <v>1088</v>
      </c>
      <c r="T355" s="7" t="s">
        <v>1089</v>
      </c>
      <c r="U355" s="7" t="s">
        <v>1087</v>
      </c>
    </row>
    <row r="356" spans="5:21">
      <c r="E356" s="5"/>
      <c r="F356" s="5"/>
      <c r="G356" s="5"/>
      <c r="H356" s="5"/>
      <c r="I356" s="5"/>
      <c r="J356" s="6"/>
      <c r="K356" s="5"/>
      <c r="O356" s="7" t="s">
        <v>47</v>
      </c>
      <c r="P356" s="7" t="s">
        <v>48</v>
      </c>
      <c r="Q356" s="7" t="s">
        <v>1090</v>
      </c>
      <c r="R356" s="7" t="s">
        <v>17</v>
      </c>
      <c r="S356" s="7" t="s">
        <v>1091</v>
      </c>
      <c r="T356" s="7" t="s">
        <v>1092</v>
      </c>
      <c r="U356" s="7" t="s">
        <v>1090</v>
      </c>
    </row>
    <row r="357" spans="5:21">
      <c r="E357" s="5"/>
      <c r="F357" s="5"/>
      <c r="G357" s="5"/>
      <c r="H357" s="5"/>
      <c r="I357" s="5"/>
      <c r="J357" s="6"/>
      <c r="K357" s="5"/>
      <c r="O357" s="7" t="s">
        <v>195</v>
      </c>
      <c r="P357" s="7" t="s">
        <v>196</v>
      </c>
      <c r="Q357" s="7" t="s">
        <v>1093</v>
      </c>
      <c r="R357" s="7" t="s">
        <v>11</v>
      </c>
      <c r="S357" s="7" t="s">
        <v>1094</v>
      </c>
      <c r="T357" s="7" t="s">
        <v>1095</v>
      </c>
      <c r="U357" s="7" t="s">
        <v>1093</v>
      </c>
    </row>
    <row r="358" spans="5:21">
      <c r="E358" s="5"/>
      <c r="F358" s="5"/>
      <c r="G358" s="5"/>
      <c r="H358" s="5"/>
      <c r="I358" s="5"/>
      <c r="J358" s="6"/>
      <c r="K358" s="5"/>
      <c r="O358" s="7" t="s">
        <v>8</v>
      </c>
      <c r="P358" s="7" t="s">
        <v>9</v>
      </c>
      <c r="Q358" s="7" t="s">
        <v>1096</v>
      </c>
      <c r="R358" s="7" t="s">
        <v>11</v>
      </c>
      <c r="S358" s="7" t="s">
        <v>1097</v>
      </c>
      <c r="T358" s="7" t="s">
        <v>1098</v>
      </c>
      <c r="U358" s="7" t="s">
        <v>1096</v>
      </c>
    </row>
    <row r="359" spans="5:21">
      <c r="E359" s="5"/>
      <c r="F359" s="5"/>
      <c r="G359" s="5"/>
      <c r="H359" s="5"/>
      <c r="I359" s="5"/>
      <c r="J359" s="6"/>
      <c r="K359" s="5"/>
      <c r="O359" s="7" t="s">
        <v>58</v>
      </c>
      <c r="P359" s="7" t="s">
        <v>59</v>
      </c>
      <c r="Q359" s="7" t="s">
        <v>1099</v>
      </c>
      <c r="R359" s="7" t="s">
        <v>11</v>
      </c>
      <c r="S359" s="7" t="s">
        <v>1100</v>
      </c>
      <c r="T359" s="7" t="s">
        <v>1101</v>
      </c>
      <c r="U359" s="7" t="s">
        <v>1099</v>
      </c>
    </row>
    <row r="360" spans="5:21">
      <c r="E360" s="5"/>
      <c r="F360" s="5"/>
      <c r="G360" s="5"/>
      <c r="H360" s="5"/>
      <c r="I360" s="5"/>
      <c r="J360" s="6"/>
      <c r="K360" s="5"/>
      <c r="O360" s="7" t="s">
        <v>28</v>
      </c>
      <c r="P360" s="7" t="s">
        <v>29</v>
      </c>
      <c r="Q360" s="7" t="s">
        <v>1102</v>
      </c>
      <c r="R360" s="7" t="s">
        <v>11</v>
      </c>
      <c r="S360" s="7" t="s">
        <v>1103</v>
      </c>
      <c r="T360" s="7" t="s">
        <v>1104</v>
      </c>
      <c r="U360" s="7" t="s">
        <v>1102</v>
      </c>
    </row>
    <row r="361" spans="5:21">
      <c r="E361" s="5"/>
      <c r="F361" s="5"/>
      <c r="G361" s="5"/>
      <c r="H361" s="5"/>
      <c r="I361" s="5"/>
      <c r="J361" s="6"/>
      <c r="K361" s="5"/>
      <c r="O361" s="7" t="s">
        <v>28</v>
      </c>
      <c r="P361" s="7" t="s">
        <v>29</v>
      </c>
      <c r="Q361" s="7" t="s">
        <v>1105</v>
      </c>
      <c r="R361" s="7" t="s">
        <v>11</v>
      </c>
      <c r="S361" s="7" t="s">
        <v>1106</v>
      </c>
      <c r="T361" s="7" t="s">
        <v>1107</v>
      </c>
      <c r="U361" s="7" t="s">
        <v>1105</v>
      </c>
    </row>
    <row r="362" spans="5:21">
      <c r="E362" s="5"/>
      <c r="F362" s="5"/>
      <c r="G362" s="5"/>
      <c r="H362" s="5"/>
      <c r="I362" s="5"/>
      <c r="J362" s="6"/>
      <c r="K362" s="5"/>
      <c r="O362" s="7" t="s">
        <v>14</v>
      </c>
      <c r="P362" s="7" t="s">
        <v>15</v>
      </c>
      <c r="Q362" s="7" t="s">
        <v>1108</v>
      </c>
      <c r="R362" s="7" t="s">
        <v>17</v>
      </c>
      <c r="S362" s="7" t="s">
        <v>1109</v>
      </c>
      <c r="T362" s="7" t="s">
        <v>1110</v>
      </c>
      <c r="U362" s="7" t="s">
        <v>1108</v>
      </c>
    </row>
    <row r="363" spans="5:21">
      <c r="E363" s="5"/>
      <c r="F363" s="5"/>
      <c r="G363" s="5"/>
      <c r="H363" s="5"/>
      <c r="I363" s="5"/>
      <c r="J363" s="6"/>
      <c r="K363" s="5"/>
      <c r="O363" s="7" t="s">
        <v>14</v>
      </c>
      <c r="P363" s="7" t="s">
        <v>15</v>
      </c>
      <c r="Q363" s="7" t="s">
        <v>1111</v>
      </c>
      <c r="R363" s="7" t="s">
        <v>17</v>
      </c>
      <c r="S363" s="7" t="s">
        <v>1112</v>
      </c>
      <c r="T363" s="7" t="s">
        <v>1113</v>
      </c>
      <c r="U363" s="7" t="s">
        <v>1111</v>
      </c>
    </row>
    <row r="364" spans="5:21">
      <c r="E364" s="5"/>
      <c r="F364" s="8"/>
      <c r="G364" s="8"/>
      <c r="H364" s="5"/>
      <c r="I364" s="5"/>
      <c r="J364" s="6"/>
      <c r="K364" s="5"/>
      <c r="O364" s="7" t="s">
        <v>28</v>
      </c>
      <c r="P364" s="7" t="s">
        <v>29</v>
      </c>
      <c r="Q364" s="7" t="s">
        <v>1114</v>
      </c>
      <c r="R364" s="7" t="s">
        <v>11</v>
      </c>
      <c r="S364" s="7" t="s">
        <v>1115</v>
      </c>
      <c r="T364" s="7" t="s">
        <v>1116</v>
      </c>
      <c r="U364" s="7" t="s">
        <v>1114</v>
      </c>
    </row>
    <row r="365" spans="5:21">
      <c r="E365" s="5"/>
      <c r="F365" s="5"/>
      <c r="G365" s="5"/>
      <c r="H365" s="5"/>
      <c r="I365" s="5"/>
      <c r="J365" s="6"/>
      <c r="K365" s="5"/>
      <c r="O365" s="7" t="s">
        <v>58</v>
      </c>
      <c r="P365" s="7" t="s">
        <v>59</v>
      </c>
      <c r="Q365" s="7" t="s">
        <v>1117</v>
      </c>
      <c r="R365" s="7" t="s">
        <v>11</v>
      </c>
      <c r="S365" s="7" t="s">
        <v>1118</v>
      </c>
      <c r="T365" s="7" t="s">
        <v>1119</v>
      </c>
      <c r="U365" s="7" t="s">
        <v>1117</v>
      </c>
    </row>
    <row r="366" spans="5:21">
      <c r="E366" s="5"/>
      <c r="F366" s="5"/>
      <c r="G366" s="5"/>
      <c r="H366" s="5"/>
      <c r="I366" s="5"/>
      <c r="J366" s="6"/>
      <c r="K366" s="5"/>
      <c r="O366" s="7" t="s">
        <v>28</v>
      </c>
      <c r="P366" s="7" t="s">
        <v>29</v>
      </c>
      <c r="Q366" s="7" t="s">
        <v>1120</v>
      </c>
      <c r="R366" s="7" t="s">
        <v>11</v>
      </c>
      <c r="S366" s="7" t="s">
        <v>1121</v>
      </c>
      <c r="T366" s="7" t="s">
        <v>1122</v>
      </c>
      <c r="U366" s="7" t="s">
        <v>1120</v>
      </c>
    </row>
    <row r="367" spans="5:21">
      <c r="E367" s="5"/>
      <c r="F367" s="5"/>
      <c r="G367" s="5"/>
      <c r="H367" s="5"/>
      <c r="I367" s="5"/>
      <c r="J367" s="6"/>
      <c r="K367" s="5"/>
      <c r="O367" s="7" t="s">
        <v>28</v>
      </c>
      <c r="P367" s="7" t="s">
        <v>29</v>
      </c>
      <c r="Q367" s="7" t="s">
        <v>1123</v>
      </c>
      <c r="R367" s="7" t="s">
        <v>11</v>
      </c>
      <c r="S367" s="7" t="s">
        <v>1124</v>
      </c>
      <c r="T367" s="7" t="s">
        <v>1125</v>
      </c>
      <c r="U367" s="7" t="s">
        <v>1123</v>
      </c>
    </row>
    <row r="368" spans="5:21">
      <c r="E368" s="5"/>
      <c r="F368" s="5"/>
      <c r="G368" s="5"/>
      <c r="H368" s="5"/>
      <c r="I368" s="5"/>
      <c r="J368" s="6"/>
      <c r="K368" s="5"/>
      <c r="O368" s="7" t="s">
        <v>8</v>
      </c>
      <c r="P368" s="7" t="s">
        <v>9</v>
      </c>
      <c r="Q368" s="7" t="s">
        <v>1126</v>
      </c>
      <c r="R368" s="7" t="s">
        <v>11</v>
      </c>
      <c r="S368" s="7" t="s">
        <v>1127</v>
      </c>
      <c r="T368" s="7" t="s">
        <v>1128</v>
      </c>
      <c r="U368" s="7" t="s">
        <v>1126</v>
      </c>
    </row>
    <row r="369" spans="5:21">
      <c r="E369" s="5"/>
      <c r="F369" s="5"/>
      <c r="G369" s="5"/>
      <c r="H369" s="5"/>
      <c r="I369" s="5"/>
      <c r="J369" s="6"/>
      <c r="K369" s="5"/>
      <c r="O369" s="7" t="s">
        <v>47</v>
      </c>
      <c r="P369" s="7" t="s">
        <v>48</v>
      </c>
      <c r="Q369" s="7" t="s">
        <v>1129</v>
      </c>
      <c r="R369" s="7" t="s">
        <v>17</v>
      </c>
      <c r="S369" s="7" t="s">
        <v>1130</v>
      </c>
      <c r="T369" s="7" t="s">
        <v>1131</v>
      </c>
      <c r="U369" s="7" t="s">
        <v>1129</v>
      </c>
    </row>
    <row r="370" spans="5:21">
      <c r="E370" s="5"/>
      <c r="F370" s="5"/>
      <c r="G370" s="5"/>
      <c r="H370" s="5"/>
      <c r="I370" s="5"/>
      <c r="J370" s="6"/>
      <c r="K370" s="5"/>
      <c r="O370" s="7" t="s">
        <v>8</v>
      </c>
      <c r="P370" s="7" t="s">
        <v>9</v>
      </c>
      <c r="Q370" s="7" t="s">
        <v>1132</v>
      </c>
      <c r="R370" s="7" t="s">
        <v>11</v>
      </c>
      <c r="S370" s="7" t="s">
        <v>1133</v>
      </c>
      <c r="T370" s="7" t="s">
        <v>1134</v>
      </c>
      <c r="U370" s="7" t="s">
        <v>1132</v>
      </c>
    </row>
    <row r="371" spans="5:21">
      <c r="E371" s="5"/>
      <c r="F371" s="5"/>
      <c r="G371" s="5"/>
      <c r="H371" s="5"/>
      <c r="I371" s="5"/>
      <c r="J371" s="6"/>
      <c r="K371" s="5"/>
      <c r="O371" s="7" t="s">
        <v>33</v>
      </c>
      <c r="P371" s="7" t="s">
        <v>34</v>
      </c>
      <c r="Q371" s="7" t="s">
        <v>1135</v>
      </c>
      <c r="R371" s="7" t="s">
        <v>11</v>
      </c>
      <c r="S371" s="7" t="s">
        <v>1136</v>
      </c>
      <c r="T371" s="7" t="s">
        <v>1137</v>
      </c>
      <c r="U371" s="7" t="s">
        <v>1135</v>
      </c>
    </row>
    <row r="372" spans="5:21">
      <c r="E372" s="5"/>
      <c r="F372" s="17"/>
      <c r="G372" s="17"/>
      <c r="H372" s="5"/>
      <c r="I372" s="5"/>
      <c r="J372" s="6"/>
      <c r="K372" s="5"/>
      <c r="O372" s="7" t="s">
        <v>8</v>
      </c>
      <c r="P372" s="7" t="s">
        <v>9</v>
      </c>
      <c r="Q372" s="7" t="s">
        <v>1138</v>
      </c>
      <c r="R372" s="7" t="s">
        <v>11</v>
      </c>
      <c r="S372" s="7" t="s">
        <v>1139</v>
      </c>
      <c r="T372" s="7" t="s">
        <v>1140</v>
      </c>
      <c r="U372" s="7" t="s">
        <v>1138</v>
      </c>
    </row>
    <row r="373" spans="5:21">
      <c r="E373" s="5"/>
      <c r="F373" s="5"/>
      <c r="G373" s="5"/>
      <c r="H373" s="5"/>
      <c r="I373" s="5"/>
      <c r="J373" s="6"/>
      <c r="K373" s="5"/>
      <c r="O373" s="7" t="s">
        <v>47</v>
      </c>
      <c r="P373" s="7" t="s">
        <v>48</v>
      </c>
      <c r="Q373" s="7" t="s">
        <v>1141</v>
      </c>
      <c r="R373" s="7" t="s">
        <v>17</v>
      </c>
      <c r="S373" s="7" t="s">
        <v>1142</v>
      </c>
      <c r="T373" s="7" t="s">
        <v>1143</v>
      </c>
      <c r="U373" s="7" t="s">
        <v>1141</v>
      </c>
    </row>
    <row r="374" spans="5:21">
      <c r="E374" s="5"/>
      <c r="F374" s="5"/>
      <c r="G374" s="5"/>
      <c r="H374" s="5"/>
      <c r="I374" s="5"/>
      <c r="J374" s="6"/>
      <c r="K374" s="5"/>
      <c r="O374" s="7" t="s">
        <v>8</v>
      </c>
      <c r="P374" s="7" t="s">
        <v>9</v>
      </c>
      <c r="Q374" s="7" t="s">
        <v>1144</v>
      </c>
      <c r="R374" s="7" t="s">
        <v>11</v>
      </c>
      <c r="S374" s="7" t="s">
        <v>1145</v>
      </c>
      <c r="T374" s="7" t="s">
        <v>1146</v>
      </c>
      <c r="U374" s="7" t="s">
        <v>1144</v>
      </c>
    </row>
    <row r="375" spans="5:21">
      <c r="E375" s="5"/>
      <c r="F375" s="5"/>
      <c r="G375" s="5"/>
      <c r="H375" s="5"/>
      <c r="I375" s="5"/>
      <c r="J375" s="6"/>
      <c r="K375" s="5"/>
      <c r="O375" s="7" t="s">
        <v>8</v>
      </c>
      <c r="P375" s="7" t="s">
        <v>9</v>
      </c>
      <c r="Q375" s="7" t="s">
        <v>1147</v>
      </c>
      <c r="R375" s="7" t="s">
        <v>11</v>
      </c>
      <c r="S375" s="7" t="s">
        <v>1148</v>
      </c>
      <c r="T375" s="7" t="s">
        <v>1149</v>
      </c>
      <c r="U375" s="7" t="s">
        <v>1147</v>
      </c>
    </row>
    <row r="376" spans="5:21">
      <c r="E376" s="5"/>
      <c r="F376" s="5"/>
      <c r="G376" s="5"/>
      <c r="H376" s="5"/>
      <c r="I376" s="5"/>
      <c r="J376" s="6"/>
      <c r="K376" s="5"/>
      <c r="O376" s="7" t="s">
        <v>28</v>
      </c>
      <c r="P376" s="7" t="s">
        <v>29</v>
      </c>
      <c r="Q376" s="7" t="s">
        <v>1150</v>
      </c>
      <c r="R376" s="7" t="s">
        <v>11</v>
      </c>
      <c r="S376" s="7" t="s">
        <v>1151</v>
      </c>
      <c r="T376" s="7" t="s">
        <v>1152</v>
      </c>
      <c r="U376" s="7" t="s">
        <v>1150</v>
      </c>
    </row>
    <row r="377" spans="5:21">
      <c r="E377" s="5"/>
      <c r="F377" s="5"/>
      <c r="G377" s="5"/>
      <c r="H377" s="5"/>
      <c r="I377" s="5"/>
      <c r="J377" s="6"/>
      <c r="K377" s="5"/>
      <c r="O377" s="7" t="s">
        <v>195</v>
      </c>
      <c r="P377" s="7" t="s">
        <v>196</v>
      </c>
      <c r="Q377" s="7" t="s">
        <v>1153</v>
      </c>
      <c r="R377" s="7" t="s">
        <v>11</v>
      </c>
      <c r="S377" s="7" t="s">
        <v>1154</v>
      </c>
      <c r="T377" s="7" t="s">
        <v>1155</v>
      </c>
      <c r="U377" s="7" t="s">
        <v>1153</v>
      </c>
    </row>
    <row r="378" spans="5:21">
      <c r="E378" s="5"/>
      <c r="F378" s="5"/>
      <c r="G378" s="5"/>
      <c r="H378" s="5"/>
      <c r="I378" s="5"/>
      <c r="J378" s="6"/>
      <c r="K378" s="5"/>
      <c r="O378" s="7" t="s">
        <v>23</v>
      </c>
      <c r="P378" s="7" t="s">
        <v>24</v>
      </c>
      <c r="Q378" s="7" t="s">
        <v>1156</v>
      </c>
      <c r="R378" s="7" t="s">
        <v>11</v>
      </c>
      <c r="S378" s="7" t="s">
        <v>1157</v>
      </c>
      <c r="T378" s="7" t="s">
        <v>1158</v>
      </c>
      <c r="U378" s="7" t="s">
        <v>1156</v>
      </c>
    </row>
    <row r="379" spans="5:21">
      <c r="E379" s="5"/>
      <c r="F379" s="5"/>
      <c r="G379" s="5"/>
      <c r="H379" s="5"/>
      <c r="I379" s="5"/>
      <c r="J379" s="6"/>
      <c r="K379" s="5"/>
      <c r="O379" s="7" t="s">
        <v>47</v>
      </c>
      <c r="P379" s="7" t="s">
        <v>48</v>
      </c>
      <c r="Q379" s="7" t="s">
        <v>1159</v>
      </c>
      <c r="R379" s="7" t="s">
        <v>17</v>
      </c>
      <c r="S379" s="7" t="s">
        <v>1160</v>
      </c>
      <c r="T379" s="7" t="s">
        <v>1161</v>
      </c>
      <c r="U379" s="7" t="s">
        <v>1159</v>
      </c>
    </row>
    <row r="380" spans="5:21">
      <c r="E380" s="5"/>
      <c r="F380" s="5"/>
      <c r="G380" s="5"/>
      <c r="H380" s="5"/>
      <c r="I380" s="5"/>
      <c r="J380" s="6"/>
      <c r="K380" s="5"/>
      <c r="O380" s="7" t="s">
        <v>23</v>
      </c>
      <c r="P380" s="7" t="s">
        <v>24</v>
      </c>
      <c r="Q380" s="7" t="s">
        <v>1162</v>
      </c>
      <c r="R380" s="7" t="s">
        <v>11</v>
      </c>
      <c r="S380" s="7" t="s">
        <v>1163</v>
      </c>
      <c r="T380" s="7" t="s">
        <v>1164</v>
      </c>
      <c r="U380" s="7" t="s">
        <v>1162</v>
      </c>
    </row>
    <row r="381" spans="5:21">
      <c r="E381" s="5"/>
      <c r="F381" s="5"/>
      <c r="G381" s="5"/>
      <c r="H381" s="5"/>
      <c r="I381" s="5"/>
      <c r="J381" s="6"/>
      <c r="K381" s="5"/>
      <c r="O381" s="7" t="s">
        <v>23</v>
      </c>
      <c r="P381" s="7" t="s">
        <v>24</v>
      </c>
      <c r="Q381" s="7" t="s">
        <v>1165</v>
      </c>
      <c r="R381" s="7" t="s">
        <v>11</v>
      </c>
      <c r="S381" s="7" t="s">
        <v>1166</v>
      </c>
      <c r="T381" s="7" t="s">
        <v>1167</v>
      </c>
      <c r="U381" s="7" t="s">
        <v>1165</v>
      </c>
    </row>
    <row r="382" spans="5:21">
      <c r="E382" s="5"/>
      <c r="F382" s="5"/>
      <c r="G382" s="5"/>
      <c r="H382" s="5"/>
      <c r="I382" s="5"/>
      <c r="J382" s="6"/>
      <c r="K382" s="5"/>
      <c r="O382" s="7" t="s">
        <v>47</v>
      </c>
      <c r="P382" s="7" t="s">
        <v>48</v>
      </c>
      <c r="Q382" s="7" t="s">
        <v>1168</v>
      </c>
      <c r="R382" s="7" t="s">
        <v>17</v>
      </c>
      <c r="S382" s="7" t="s">
        <v>1169</v>
      </c>
      <c r="T382" s="7" t="s">
        <v>1170</v>
      </c>
      <c r="U382" s="7" t="s">
        <v>1168</v>
      </c>
    </row>
    <row r="383" spans="5:21">
      <c r="E383" s="5"/>
      <c r="F383" s="5"/>
      <c r="G383" s="5"/>
      <c r="H383" s="5"/>
      <c r="I383" s="5"/>
      <c r="J383" s="6"/>
      <c r="K383" s="5"/>
      <c r="O383" s="7" t="s">
        <v>28</v>
      </c>
      <c r="P383" s="7" t="s">
        <v>29</v>
      </c>
      <c r="Q383" s="7" t="s">
        <v>1171</v>
      </c>
      <c r="R383" s="7" t="s">
        <v>11</v>
      </c>
      <c r="S383" s="7" t="s">
        <v>1172</v>
      </c>
      <c r="T383" s="7" t="s">
        <v>1173</v>
      </c>
      <c r="U383" s="7" t="s">
        <v>1171</v>
      </c>
    </row>
    <row r="384" spans="5:21">
      <c r="E384" s="5"/>
      <c r="F384" s="5"/>
      <c r="G384" s="5"/>
      <c r="H384" s="5"/>
      <c r="I384" s="5"/>
      <c r="J384" s="6"/>
      <c r="K384" s="5"/>
      <c r="O384" s="7" t="s">
        <v>23</v>
      </c>
      <c r="P384" s="7" t="s">
        <v>24</v>
      </c>
      <c r="Q384" s="7" t="s">
        <v>1174</v>
      </c>
      <c r="R384" s="7" t="s">
        <v>11</v>
      </c>
      <c r="S384" s="7" t="s">
        <v>1175</v>
      </c>
      <c r="T384" s="7" t="s">
        <v>1176</v>
      </c>
      <c r="U384" s="7" t="s">
        <v>1174</v>
      </c>
    </row>
    <row r="385" spans="5:21">
      <c r="E385" s="5"/>
      <c r="F385" s="5"/>
      <c r="G385" s="5"/>
      <c r="H385" s="5"/>
      <c r="I385" s="5"/>
      <c r="J385" s="6"/>
      <c r="K385" s="5"/>
      <c r="O385" s="7" t="s">
        <v>8</v>
      </c>
      <c r="P385" s="7" t="s">
        <v>9</v>
      </c>
      <c r="Q385" s="7" t="s">
        <v>1177</v>
      </c>
      <c r="R385" s="7" t="s">
        <v>11</v>
      </c>
      <c r="S385" s="7" t="s">
        <v>1178</v>
      </c>
      <c r="T385" s="7" t="s">
        <v>1179</v>
      </c>
      <c r="U385" s="7" t="s">
        <v>1177</v>
      </c>
    </row>
    <row r="386" spans="5:21">
      <c r="E386" s="5"/>
      <c r="F386" s="5"/>
      <c r="G386" s="5"/>
      <c r="H386" s="5"/>
      <c r="I386" s="5"/>
      <c r="J386" s="6"/>
      <c r="K386" s="5"/>
      <c r="O386" s="7" t="s">
        <v>251</v>
      </c>
      <c r="P386" s="7" t="s">
        <v>252</v>
      </c>
      <c r="Q386" s="7" t="s">
        <v>1180</v>
      </c>
      <c r="R386" s="7" t="s">
        <v>254</v>
      </c>
      <c r="S386" s="7" t="s">
        <v>1181</v>
      </c>
      <c r="T386" s="7" t="s">
        <v>1182</v>
      </c>
      <c r="U386" s="7" t="s">
        <v>1180</v>
      </c>
    </row>
    <row r="387" spans="5:21">
      <c r="E387" s="5"/>
      <c r="F387" s="8"/>
      <c r="G387" s="8"/>
      <c r="H387" s="5"/>
      <c r="I387" s="5"/>
      <c r="J387" s="6"/>
      <c r="K387" s="5"/>
      <c r="O387" s="7" t="s">
        <v>8</v>
      </c>
      <c r="P387" s="7" t="s">
        <v>9</v>
      </c>
      <c r="Q387" s="7" t="s">
        <v>1183</v>
      </c>
      <c r="R387" s="7" t="s">
        <v>11</v>
      </c>
      <c r="S387" s="7" t="s">
        <v>1184</v>
      </c>
      <c r="T387" s="7" t="s">
        <v>1185</v>
      </c>
      <c r="U387" s="7" t="s">
        <v>1183</v>
      </c>
    </row>
    <row r="388" spans="5:21">
      <c r="E388" s="5"/>
      <c r="F388" s="5"/>
      <c r="G388" s="5"/>
      <c r="H388" s="5"/>
      <c r="I388" s="5"/>
      <c r="J388" s="6"/>
      <c r="K388" s="5"/>
      <c r="O388" s="7" t="s">
        <v>8</v>
      </c>
      <c r="P388" s="7" t="s">
        <v>9</v>
      </c>
      <c r="Q388" s="7" t="s">
        <v>1186</v>
      </c>
      <c r="R388" s="7" t="s">
        <v>11</v>
      </c>
      <c r="S388" s="7" t="s">
        <v>1187</v>
      </c>
      <c r="T388" s="7" t="s">
        <v>1188</v>
      </c>
      <c r="U388" s="7" t="s">
        <v>1186</v>
      </c>
    </row>
    <row r="389" spans="5:21">
      <c r="E389" s="5"/>
      <c r="F389" s="5"/>
      <c r="G389" s="5"/>
      <c r="H389" s="5"/>
      <c r="I389" s="5"/>
      <c r="J389" s="6"/>
      <c r="K389" s="5"/>
      <c r="O389" s="7" t="s">
        <v>8</v>
      </c>
      <c r="P389" s="7" t="s">
        <v>9</v>
      </c>
      <c r="Q389" s="7" t="s">
        <v>1189</v>
      </c>
      <c r="R389" s="7" t="s">
        <v>11</v>
      </c>
      <c r="S389" s="7" t="s">
        <v>1190</v>
      </c>
      <c r="T389" s="7" t="s">
        <v>1191</v>
      </c>
      <c r="U389" s="7" t="s">
        <v>1189</v>
      </c>
    </row>
    <row r="390" spans="5:21">
      <c r="E390" s="5"/>
      <c r="F390" s="5"/>
      <c r="G390" s="5"/>
      <c r="H390" s="5"/>
      <c r="I390" s="5"/>
      <c r="J390" s="6"/>
      <c r="K390" s="5"/>
      <c r="O390" s="7" t="s">
        <v>28</v>
      </c>
      <c r="P390" s="7" t="s">
        <v>29</v>
      </c>
      <c r="Q390" s="7" t="s">
        <v>1192</v>
      </c>
      <c r="R390" s="7" t="s">
        <v>11</v>
      </c>
      <c r="S390" s="7" t="s">
        <v>1193</v>
      </c>
      <c r="T390" s="7" t="s">
        <v>1194</v>
      </c>
      <c r="U390" s="7" t="s">
        <v>1192</v>
      </c>
    </row>
    <row r="391" spans="5:21">
      <c r="E391" s="5"/>
      <c r="F391" s="5"/>
      <c r="G391" s="5"/>
      <c r="H391" s="5"/>
      <c r="I391" s="5"/>
      <c r="J391" s="6"/>
      <c r="K391" s="5"/>
      <c r="O391" s="7" t="s">
        <v>251</v>
      </c>
      <c r="P391" s="7" t="s">
        <v>252</v>
      </c>
      <c r="Q391" s="7" t="s">
        <v>1195</v>
      </c>
      <c r="R391" s="7" t="s">
        <v>254</v>
      </c>
      <c r="S391" s="7" t="s">
        <v>1196</v>
      </c>
      <c r="T391" s="7" t="s">
        <v>1197</v>
      </c>
      <c r="U391" s="7" t="s">
        <v>1195</v>
      </c>
    </row>
    <row r="392" spans="5:21">
      <c r="E392" s="5"/>
      <c r="F392" s="5"/>
      <c r="G392" s="5"/>
      <c r="H392" s="5"/>
      <c r="I392" s="5"/>
      <c r="J392" s="6"/>
      <c r="K392" s="5"/>
      <c r="O392" s="7" t="s">
        <v>47</v>
      </c>
      <c r="P392" s="7" t="s">
        <v>48</v>
      </c>
      <c r="Q392" s="7" t="s">
        <v>1198</v>
      </c>
      <c r="R392" s="7" t="s">
        <v>17</v>
      </c>
      <c r="S392" s="7" t="s">
        <v>1199</v>
      </c>
      <c r="T392" s="7" t="s">
        <v>1200</v>
      </c>
      <c r="U392" s="7" t="s">
        <v>1198</v>
      </c>
    </row>
    <row r="393" spans="5:21">
      <c r="E393" s="5"/>
      <c r="F393" s="5"/>
      <c r="G393" s="5"/>
      <c r="H393" s="5"/>
      <c r="I393" s="5"/>
      <c r="J393" s="6"/>
      <c r="K393" s="5"/>
      <c r="O393" s="7" t="s">
        <v>28</v>
      </c>
      <c r="P393" s="7" t="s">
        <v>29</v>
      </c>
      <c r="Q393" s="7" t="s">
        <v>1201</v>
      </c>
      <c r="R393" s="7" t="s">
        <v>11</v>
      </c>
      <c r="S393" s="7" t="s">
        <v>1202</v>
      </c>
      <c r="T393" s="7" t="s">
        <v>1203</v>
      </c>
      <c r="U393" s="7" t="s">
        <v>1201</v>
      </c>
    </row>
    <row r="394" spans="5:21">
      <c r="E394" s="5"/>
      <c r="F394" s="5"/>
      <c r="G394" s="5"/>
      <c r="H394" s="5"/>
      <c r="I394" s="5"/>
      <c r="J394" s="6"/>
      <c r="K394" s="5"/>
      <c r="O394" s="7" t="s">
        <v>14</v>
      </c>
      <c r="P394" s="7" t="s">
        <v>15</v>
      </c>
      <c r="Q394" s="7" t="s">
        <v>1204</v>
      </c>
      <c r="R394" s="7" t="s">
        <v>17</v>
      </c>
      <c r="S394" s="7" t="s">
        <v>1205</v>
      </c>
      <c r="T394" s="7" t="s">
        <v>1206</v>
      </c>
      <c r="U394" s="7" t="s">
        <v>1204</v>
      </c>
    </row>
    <row r="395" spans="5:21">
      <c r="E395" s="5"/>
      <c r="F395" s="1"/>
      <c r="G395" s="1"/>
      <c r="H395" s="5"/>
      <c r="I395" s="5"/>
      <c r="J395" s="6"/>
      <c r="K395" s="5"/>
      <c r="O395" s="7" t="s">
        <v>8</v>
      </c>
      <c r="P395" s="7" t="s">
        <v>9</v>
      </c>
      <c r="Q395" s="7" t="s">
        <v>1207</v>
      </c>
      <c r="R395" s="7" t="s">
        <v>11</v>
      </c>
      <c r="S395" s="7" t="s">
        <v>1208</v>
      </c>
      <c r="T395" s="7" t="s">
        <v>1209</v>
      </c>
      <c r="U395" s="7" t="s">
        <v>1207</v>
      </c>
    </row>
    <row r="396" spans="5:21">
      <c r="E396" s="5"/>
      <c r="F396" s="5"/>
      <c r="G396" s="5"/>
      <c r="H396" s="5"/>
      <c r="I396" s="5"/>
      <c r="J396" s="6"/>
      <c r="K396" s="5"/>
      <c r="O396" s="7" t="s">
        <v>28</v>
      </c>
      <c r="P396" s="7" t="s">
        <v>29</v>
      </c>
      <c r="Q396" s="7" t="s">
        <v>1210</v>
      </c>
      <c r="R396" s="7" t="s">
        <v>11</v>
      </c>
      <c r="S396" s="7" t="s">
        <v>1211</v>
      </c>
      <c r="T396" s="7" t="s">
        <v>1212</v>
      </c>
      <c r="U396" s="7" t="s">
        <v>1210</v>
      </c>
    </row>
    <row r="397" spans="5:21">
      <c r="E397" s="5"/>
      <c r="F397" s="5"/>
      <c r="G397" s="5"/>
      <c r="H397" s="5"/>
      <c r="I397" s="5"/>
      <c r="J397" s="6"/>
      <c r="K397" s="5"/>
      <c r="O397" s="7" t="s">
        <v>33</v>
      </c>
      <c r="P397" s="7" t="s">
        <v>34</v>
      </c>
      <c r="Q397" s="7" t="s">
        <v>1213</v>
      </c>
      <c r="R397" s="7" t="s">
        <v>11</v>
      </c>
      <c r="S397" s="7" t="s">
        <v>1214</v>
      </c>
      <c r="T397" s="7" t="s">
        <v>1215</v>
      </c>
      <c r="U397" s="7" t="s">
        <v>1213</v>
      </c>
    </row>
    <row r="398" spans="5:21">
      <c r="E398" s="5"/>
      <c r="F398" s="5"/>
      <c r="G398" s="5"/>
      <c r="H398" s="5"/>
      <c r="I398" s="5"/>
      <c r="J398" s="6"/>
      <c r="K398" s="5"/>
      <c r="O398" s="7" t="s">
        <v>8</v>
      </c>
      <c r="P398" s="7" t="s">
        <v>9</v>
      </c>
      <c r="Q398" s="7" t="s">
        <v>1216</v>
      </c>
      <c r="R398" s="7" t="s">
        <v>11</v>
      </c>
      <c r="S398" s="7" t="s">
        <v>1217</v>
      </c>
      <c r="T398" s="7" t="s">
        <v>1218</v>
      </c>
      <c r="U398" s="7" t="s">
        <v>1216</v>
      </c>
    </row>
    <row r="399" spans="5:21">
      <c r="E399" s="5"/>
      <c r="F399" s="5"/>
      <c r="G399" s="5"/>
      <c r="H399" s="5"/>
      <c r="I399" s="5"/>
      <c r="J399" s="6"/>
      <c r="K399" s="5"/>
      <c r="O399" s="7" t="s">
        <v>8</v>
      </c>
      <c r="P399" s="7" t="s">
        <v>9</v>
      </c>
      <c r="Q399" s="7" t="s">
        <v>1219</v>
      </c>
      <c r="R399" s="7" t="s">
        <v>11</v>
      </c>
      <c r="S399" s="7" t="s">
        <v>1220</v>
      </c>
      <c r="T399" s="7" t="s">
        <v>1221</v>
      </c>
      <c r="U399" s="7" t="s">
        <v>1219</v>
      </c>
    </row>
    <row r="400" spans="5:21">
      <c r="E400" s="5"/>
      <c r="F400" s="5"/>
      <c r="G400" s="5"/>
      <c r="H400" s="5"/>
      <c r="I400" s="5"/>
      <c r="J400" s="6"/>
      <c r="K400" s="5"/>
      <c r="O400" s="7" t="s">
        <v>8</v>
      </c>
      <c r="P400" s="7" t="s">
        <v>9</v>
      </c>
      <c r="Q400" s="7" t="s">
        <v>1222</v>
      </c>
      <c r="R400" s="7" t="s">
        <v>11</v>
      </c>
      <c r="S400" s="7" t="s">
        <v>1223</v>
      </c>
      <c r="T400" s="7" t="s">
        <v>1224</v>
      </c>
      <c r="U400" s="7" t="s">
        <v>1222</v>
      </c>
    </row>
    <row r="401" spans="5:21">
      <c r="E401" s="5"/>
      <c r="F401" s="5"/>
      <c r="G401" s="5"/>
      <c r="H401" s="5"/>
      <c r="I401" s="5"/>
      <c r="J401" s="6"/>
      <c r="K401" s="5"/>
      <c r="O401" s="7" t="s">
        <v>28</v>
      </c>
      <c r="P401" s="7" t="s">
        <v>29</v>
      </c>
      <c r="Q401" s="7" t="s">
        <v>1225</v>
      </c>
      <c r="R401" s="7" t="s">
        <v>11</v>
      </c>
      <c r="S401" s="7" t="s">
        <v>1226</v>
      </c>
      <c r="T401" s="7" t="s">
        <v>1227</v>
      </c>
      <c r="U401" s="7" t="s">
        <v>1225</v>
      </c>
    </row>
    <row r="402" spans="5:21">
      <c r="E402" s="18"/>
      <c r="F402" s="5"/>
      <c r="G402" s="5"/>
      <c r="H402" s="5"/>
      <c r="I402" s="5"/>
      <c r="J402" s="6"/>
      <c r="K402" s="5"/>
      <c r="O402" s="7" t="s">
        <v>47</v>
      </c>
      <c r="P402" s="7" t="s">
        <v>48</v>
      </c>
      <c r="Q402" s="7" t="s">
        <v>1228</v>
      </c>
      <c r="R402" s="7" t="s">
        <v>17</v>
      </c>
      <c r="S402" s="7" t="s">
        <v>1229</v>
      </c>
      <c r="T402" s="7" t="s">
        <v>1230</v>
      </c>
      <c r="U402" s="7" t="s">
        <v>1228</v>
      </c>
    </row>
    <row r="403" spans="5:21">
      <c r="E403" s="5"/>
      <c r="F403" s="5"/>
      <c r="G403" s="5"/>
      <c r="H403" s="5"/>
      <c r="I403" s="5"/>
      <c r="J403" s="6"/>
      <c r="K403" s="5"/>
      <c r="O403" s="7" t="s">
        <v>28</v>
      </c>
      <c r="P403" s="7" t="s">
        <v>29</v>
      </c>
      <c r="Q403" s="7" t="s">
        <v>1231</v>
      </c>
      <c r="R403" s="7" t="s">
        <v>11</v>
      </c>
      <c r="S403" s="7" t="s">
        <v>1232</v>
      </c>
      <c r="T403" s="7" t="s">
        <v>1233</v>
      </c>
      <c r="U403" s="7" t="s">
        <v>1231</v>
      </c>
    </row>
    <row r="404" spans="5:21">
      <c r="E404" s="5"/>
      <c r="F404" s="5"/>
      <c r="G404" s="5"/>
      <c r="H404" s="5"/>
      <c r="I404" s="5"/>
      <c r="J404" s="6"/>
      <c r="K404" s="5"/>
      <c r="O404" s="7" t="s">
        <v>8</v>
      </c>
      <c r="P404" s="7" t="s">
        <v>9</v>
      </c>
      <c r="Q404" s="7" t="s">
        <v>1234</v>
      </c>
      <c r="R404" s="7" t="s">
        <v>11</v>
      </c>
      <c r="S404" s="7" t="s">
        <v>1235</v>
      </c>
      <c r="T404" s="7" t="s">
        <v>1236</v>
      </c>
      <c r="U404" s="7" t="s">
        <v>1234</v>
      </c>
    </row>
    <row r="405" spans="5:21">
      <c r="E405" s="5"/>
      <c r="F405" s="12"/>
      <c r="G405" s="12"/>
      <c r="H405" s="12"/>
      <c r="I405" s="5"/>
      <c r="J405" s="6"/>
      <c r="K405" s="5"/>
      <c r="O405" s="7" t="s">
        <v>195</v>
      </c>
      <c r="P405" s="7" t="s">
        <v>196</v>
      </c>
      <c r="Q405" s="7" t="s">
        <v>1237</v>
      </c>
      <c r="R405" s="7" t="s">
        <v>11</v>
      </c>
      <c r="S405" s="7" t="s">
        <v>1238</v>
      </c>
      <c r="T405" s="7" t="s">
        <v>1239</v>
      </c>
      <c r="U405" s="7" t="s">
        <v>1237</v>
      </c>
    </row>
    <row r="406" spans="5:21">
      <c r="E406" s="5"/>
      <c r="F406" s="19"/>
      <c r="G406" s="19"/>
      <c r="H406" s="12"/>
      <c r="I406" s="5"/>
      <c r="J406" s="6"/>
      <c r="K406" s="5"/>
      <c r="O406" s="7" t="s">
        <v>251</v>
      </c>
      <c r="P406" s="7" t="s">
        <v>252</v>
      </c>
      <c r="Q406" s="7" t="s">
        <v>1240</v>
      </c>
      <c r="R406" s="7" t="s">
        <v>254</v>
      </c>
      <c r="S406" s="7" t="s">
        <v>1241</v>
      </c>
      <c r="T406" s="7" t="s">
        <v>1242</v>
      </c>
      <c r="U406" s="7" t="s">
        <v>1240</v>
      </c>
    </row>
    <row r="407" spans="5:21">
      <c r="E407" s="15"/>
      <c r="F407" s="5"/>
      <c r="G407" s="5"/>
      <c r="H407" s="5"/>
      <c r="I407" s="5"/>
      <c r="J407" s="6"/>
      <c r="K407" s="5"/>
      <c r="O407" s="7" t="s">
        <v>47</v>
      </c>
      <c r="P407" s="7" t="s">
        <v>48</v>
      </c>
      <c r="Q407" s="7" t="s">
        <v>1243</v>
      </c>
      <c r="R407" s="7" t="s">
        <v>17</v>
      </c>
      <c r="S407" s="7" t="s">
        <v>1244</v>
      </c>
      <c r="T407" s="7" t="s">
        <v>1245</v>
      </c>
      <c r="U407" s="7" t="s">
        <v>1243</v>
      </c>
    </row>
    <row r="408" spans="5:21">
      <c r="E408" s="5"/>
      <c r="F408" s="5"/>
      <c r="G408" s="5"/>
      <c r="H408" s="5"/>
      <c r="I408" s="5"/>
      <c r="J408" s="6"/>
      <c r="K408" s="5"/>
      <c r="O408" s="7" t="s">
        <v>251</v>
      </c>
      <c r="P408" s="7" t="s">
        <v>252</v>
      </c>
      <c r="Q408" s="7" t="s">
        <v>1246</v>
      </c>
      <c r="R408" s="7" t="s">
        <v>254</v>
      </c>
      <c r="S408" s="7" t="s">
        <v>1247</v>
      </c>
      <c r="T408" s="7" t="s">
        <v>1248</v>
      </c>
      <c r="U408" s="7" t="s">
        <v>1246</v>
      </c>
    </row>
    <row r="409" spans="5:21">
      <c r="E409" s="5"/>
      <c r="F409" s="5"/>
      <c r="G409" s="5"/>
      <c r="H409" s="5"/>
      <c r="I409" s="5"/>
      <c r="J409" s="6"/>
      <c r="K409" s="5"/>
      <c r="O409" s="7" t="s">
        <v>23</v>
      </c>
      <c r="P409" s="7" t="s">
        <v>24</v>
      </c>
      <c r="Q409" s="7" t="s">
        <v>1249</v>
      </c>
      <c r="R409" s="7" t="s">
        <v>11</v>
      </c>
      <c r="S409" s="7" t="s">
        <v>1250</v>
      </c>
      <c r="T409" s="7" t="s">
        <v>1251</v>
      </c>
      <c r="U409" s="7" t="s">
        <v>1249</v>
      </c>
    </row>
    <row r="410" spans="5:21">
      <c r="E410" s="5"/>
      <c r="F410" s="5"/>
      <c r="G410" s="5"/>
      <c r="H410" s="5"/>
      <c r="I410" s="5"/>
      <c r="J410" s="6"/>
      <c r="K410" s="5"/>
      <c r="O410" s="7" t="s">
        <v>8</v>
      </c>
      <c r="P410" s="7" t="s">
        <v>9</v>
      </c>
      <c r="Q410" s="7" t="s">
        <v>1252</v>
      </c>
      <c r="R410" s="7" t="s">
        <v>11</v>
      </c>
      <c r="S410" s="7" t="s">
        <v>1253</v>
      </c>
      <c r="T410" s="7" t="s">
        <v>1254</v>
      </c>
      <c r="U410" s="7" t="s">
        <v>1252</v>
      </c>
    </row>
    <row r="411" spans="5:21">
      <c r="E411" s="5"/>
      <c r="F411" s="5"/>
      <c r="G411" s="5"/>
      <c r="H411" s="5"/>
      <c r="I411" s="5"/>
      <c r="J411" s="6"/>
      <c r="K411" s="5"/>
      <c r="O411" s="7" t="s">
        <v>47</v>
      </c>
      <c r="P411" s="7" t="s">
        <v>48</v>
      </c>
      <c r="Q411" s="7" t="s">
        <v>1255</v>
      </c>
      <c r="R411" s="7" t="s">
        <v>17</v>
      </c>
      <c r="S411" s="7" t="s">
        <v>1256</v>
      </c>
      <c r="T411" s="7" t="s">
        <v>1257</v>
      </c>
      <c r="U411" s="7" t="s">
        <v>1255</v>
      </c>
    </row>
    <row r="412" spans="5:21">
      <c r="E412" s="5"/>
      <c r="F412" s="5"/>
      <c r="G412" s="5"/>
      <c r="H412" s="5"/>
      <c r="I412" s="5"/>
      <c r="J412" s="6"/>
      <c r="K412" s="5"/>
      <c r="O412" s="7" t="s">
        <v>14</v>
      </c>
      <c r="P412" s="7" t="s">
        <v>15</v>
      </c>
      <c r="Q412" s="7" t="s">
        <v>1258</v>
      </c>
      <c r="R412" s="7" t="s">
        <v>17</v>
      </c>
      <c r="S412" s="7" t="s">
        <v>1259</v>
      </c>
      <c r="T412" s="7" t="s">
        <v>1260</v>
      </c>
      <c r="U412" s="7" t="s">
        <v>1258</v>
      </c>
    </row>
    <row r="413" spans="5:21">
      <c r="E413" s="5"/>
      <c r="F413" s="5"/>
      <c r="G413" s="5"/>
      <c r="H413" s="5"/>
      <c r="I413" s="5"/>
      <c r="J413" s="6"/>
      <c r="K413" s="5"/>
      <c r="O413" s="7" t="s">
        <v>14</v>
      </c>
      <c r="P413" s="7" t="s">
        <v>15</v>
      </c>
      <c r="Q413" s="7" t="s">
        <v>1261</v>
      </c>
      <c r="R413" s="7" t="s">
        <v>17</v>
      </c>
      <c r="S413" s="7" t="s">
        <v>1262</v>
      </c>
      <c r="T413" s="7" t="s">
        <v>1263</v>
      </c>
      <c r="U413" s="7" t="s">
        <v>1261</v>
      </c>
    </row>
    <row r="414" spans="5:21">
      <c r="E414" s="5"/>
      <c r="F414" s="5"/>
      <c r="G414" s="5"/>
      <c r="H414" s="5"/>
      <c r="I414" s="5"/>
      <c r="J414" s="6"/>
      <c r="K414" s="5"/>
      <c r="O414" s="7" t="s">
        <v>28</v>
      </c>
      <c r="P414" s="7" t="s">
        <v>29</v>
      </c>
      <c r="Q414" s="7" t="s">
        <v>1264</v>
      </c>
      <c r="R414" s="7" t="s">
        <v>11</v>
      </c>
      <c r="S414" s="7" t="s">
        <v>1265</v>
      </c>
      <c r="T414" s="7" t="s">
        <v>1266</v>
      </c>
      <c r="U414" s="7" t="s">
        <v>1264</v>
      </c>
    </row>
    <row r="415" spans="5:21">
      <c r="E415" s="5"/>
      <c r="F415" s="5"/>
      <c r="G415" s="5"/>
      <c r="H415" s="5"/>
      <c r="I415" s="5"/>
      <c r="J415" s="6"/>
      <c r="K415" s="5"/>
      <c r="O415" s="7" t="s">
        <v>251</v>
      </c>
      <c r="P415" s="7" t="s">
        <v>252</v>
      </c>
      <c r="Q415" s="7" t="s">
        <v>1267</v>
      </c>
      <c r="R415" s="7" t="s">
        <v>254</v>
      </c>
      <c r="S415" s="7" t="s">
        <v>1268</v>
      </c>
      <c r="T415" s="7" t="s">
        <v>1269</v>
      </c>
      <c r="U415" s="7" t="s">
        <v>1267</v>
      </c>
    </row>
    <row r="416" spans="5:21">
      <c r="E416" s="5"/>
      <c r="F416" s="5"/>
      <c r="G416" s="5"/>
      <c r="H416" s="5"/>
      <c r="I416" s="5"/>
      <c r="J416" s="6"/>
      <c r="K416" s="5"/>
      <c r="O416" s="7" t="s">
        <v>28</v>
      </c>
      <c r="P416" s="7" t="s">
        <v>29</v>
      </c>
      <c r="Q416" s="7" t="s">
        <v>1270</v>
      </c>
      <c r="R416" s="7" t="s">
        <v>11</v>
      </c>
      <c r="S416" s="7" t="s">
        <v>1271</v>
      </c>
      <c r="T416" s="7" t="s">
        <v>1272</v>
      </c>
      <c r="U416" s="7" t="s">
        <v>1270</v>
      </c>
    </row>
    <row r="417" spans="5:21">
      <c r="E417" s="5"/>
      <c r="F417" s="5"/>
      <c r="G417" s="5"/>
      <c r="H417" s="5"/>
      <c r="I417" s="5"/>
      <c r="J417" s="6"/>
      <c r="K417" s="5"/>
      <c r="O417" s="7" t="s">
        <v>28</v>
      </c>
      <c r="P417" s="7" t="s">
        <v>29</v>
      </c>
      <c r="Q417" s="7" t="s">
        <v>1273</v>
      </c>
      <c r="R417" s="7" t="s">
        <v>11</v>
      </c>
      <c r="S417" s="7" t="s">
        <v>1274</v>
      </c>
      <c r="T417" s="7" t="s">
        <v>1275</v>
      </c>
      <c r="U417" s="7" t="s">
        <v>1273</v>
      </c>
    </row>
    <row r="418" spans="5:21">
      <c r="E418" s="5"/>
      <c r="F418" s="5"/>
      <c r="G418" s="5"/>
      <c r="H418" s="5"/>
      <c r="I418" s="5"/>
      <c r="J418" s="6"/>
      <c r="K418" s="5"/>
      <c r="O418" s="7" t="s">
        <v>47</v>
      </c>
      <c r="P418" s="7" t="s">
        <v>48</v>
      </c>
      <c r="Q418" s="7" t="s">
        <v>1276</v>
      </c>
      <c r="R418" s="7" t="s">
        <v>17</v>
      </c>
      <c r="S418" s="7" t="s">
        <v>1277</v>
      </c>
      <c r="T418" s="7" t="s">
        <v>1278</v>
      </c>
      <c r="U418" s="7" t="s">
        <v>1276</v>
      </c>
    </row>
    <row r="419" spans="5:21">
      <c r="E419" s="5"/>
      <c r="F419" s="5"/>
      <c r="G419" s="5"/>
      <c r="H419" s="5"/>
      <c r="I419" s="5"/>
      <c r="J419" s="6"/>
      <c r="K419" s="5"/>
      <c r="O419" s="7" t="s">
        <v>8</v>
      </c>
      <c r="P419" s="7" t="s">
        <v>9</v>
      </c>
      <c r="Q419" s="7" t="s">
        <v>1279</v>
      </c>
      <c r="R419" s="7" t="s">
        <v>11</v>
      </c>
      <c r="S419" s="7" t="s">
        <v>1280</v>
      </c>
      <c r="T419" s="7" t="s">
        <v>1281</v>
      </c>
      <c r="U419" s="7" t="s">
        <v>1279</v>
      </c>
    </row>
    <row r="420" spans="5:21">
      <c r="E420" s="5"/>
      <c r="F420" s="5"/>
      <c r="G420" s="5"/>
      <c r="H420" s="5"/>
      <c r="I420" s="5"/>
      <c r="J420" s="6"/>
      <c r="K420" s="5"/>
      <c r="O420" s="7" t="s">
        <v>251</v>
      </c>
      <c r="P420" s="7" t="s">
        <v>252</v>
      </c>
      <c r="Q420" s="7" t="s">
        <v>1282</v>
      </c>
      <c r="R420" s="7" t="s">
        <v>254</v>
      </c>
      <c r="S420" s="7" t="s">
        <v>1283</v>
      </c>
      <c r="T420" s="7" t="s">
        <v>1284</v>
      </c>
      <c r="U420" s="7" t="s">
        <v>1282</v>
      </c>
    </row>
    <row r="421" spans="5:21">
      <c r="E421" s="5"/>
      <c r="F421" s="5"/>
      <c r="G421" s="5"/>
      <c r="H421" s="5"/>
      <c r="I421" s="5"/>
      <c r="J421" s="6"/>
      <c r="K421" s="5"/>
      <c r="O421" s="7" t="s">
        <v>195</v>
      </c>
      <c r="P421" s="7" t="s">
        <v>196</v>
      </c>
      <c r="Q421" s="7" t="s">
        <v>1285</v>
      </c>
      <c r="R421" s="7" t="s">
        <v>11</v>
      </c>
      <c r="S421" s="7" t="s">
        <v>1286</v>
      </c>
      <c r="T421" s="7" t="s">
        <v>1287</v>
      </c>
      <c r="U421" s="7" t="s">
        <v>1285</v>
      </c>
    </row>
    <row r="422" spans="5:21">
      <c r="E422" s="5"/>
      <c r="F422" s="5"/>
      <c r="G422" s="5"/>
      <c r="H422" s="5"/>
      <c r="I422" s="5"/>
      <c r="J422" s="6"/>
      <c r="K422" s="5"/>
      <c r="O422" s="7" t="s">
        <v>28</v>
      </c>
      <c r="P422" s="7" t="s">
        <v>29</v>
      </c>
      <c r="Q422" s="7" t="s">
        <v>1288</v>
      </c>
      <c r="R422" s="7" t="s">
        <v>11</v>
      </c>
      <c r="S422" s="7" t="s">
        <v>1289</v>
      </c>
      <c r="T422" s="7" t="s">
        <v>1290</v>
      </c>
      <c r="U422" s="7" t="s">
        <v>1288</v>
      </c>
    </row>
    <row r="423" spans="5:21">
      <c r="E423" s="5"/>
      <c r="F423" s="5"/>
      <c r="G423" s="5"/>
      <c r="H423" s="5"/>
      <c r="I423" s="5"/>
      <c r="J423" s="6"/>
      <c r="K423" s="5"/>
      <c r="O423" s="7" t="s">
        <v>28</v>
      </c>
      <c r="P423" s="7" t="s">
        <v>29</v>
      </c>
      <c r="Q423" s="7" t="s">
        <v>1291</v>
      </c>
      <c r="R423" s="7" t="s">
        <v>11</v>
      </c>
      <c r="S423" s="7" t="s">
        <v>1292</v>
      </c>
      <c r="T423" s="7" t="s">
        <v>1293</v>
      </c>
      <c r="U423" s="7" t="s">
        <v>1291</v>
      </c>
    </row>
    <row r="424" spans="5:21">
      <c r="E424" s="5"/>
      <c r="F424" s="5"/>
      <c r="G424" s="5"/>
      <c r="H424" s="5"/>
      <c r="I424" s="5"/>
      <c r="J424" s="6"/>
      <c r="K424" s="5"/>
      <c r="O424" s="7" t="s">
        <v>14</v>
      </c>
      <c r="P424" s="7" t="s">
        <v>15</v>
      </c>
      <c r="Q424" s="7" t="s">
        <v>1258</v>
      </c>
      <c r="R424" s="7" t="s">
        <v>17</v>
      </c>
      <c r="S424" s="7" t="s">
        <v>1294</v>
      </c>
      <c r="T424" s="7" t="s">
        <v>1295</v>
      </c>
      <c r="U424" s="7" t="s">
        <v>1258</v>
      </c>
    </row>
    <row r="425" spans="5:21">
      <c r="E425" s="5"/>
      <c r="F425" s="5"/>
      <c r="G425" s="5"/>
      <c r="H425" s="5"/>
      <c r="I425" s="5"/>
      <c r="J425" s="6"/>
      <c r="K425" s="5"/>
      <c r="O425" s="7" t="s">
        <v>28</v>
      </c>
      <c r="P425" s="7" t="s">
        <v>29</v>
      </c>
      <c r="Q425" s="7" t="s">
        <v>1296</v>
      </c>
      <c r="R425" s="7" t="s">
        <v>11</v>
      </c>
      <c r="S425" s="7" t="s">
        <v>1297</v>
      </c>
      <c r="T425" s="7" t="s">
        <v>1298</v>
      </c>
      <c r="U425" s="7" t="s">
        <v>1296</v>
      </c>
    </row>
    <row r="426" spans="5:21">
      <c r="E426" s="5"/>
      <c r="F426" s="5"/>
      <c r="G426" s="5"/>
      <c r="H426" s="5"/>
      <c r="I426" s="5"/>
      <c r="J426" s="6"/>
      <c r="K426" s="5"/>
      <c r="O426" s="7" t="s">
        <v>23</v>
      </c>
      <c r="P426" s="7" t="s">
        <v>24</v>
      </c>
      <c r="Q426" s="7" t="s">
        <v>1299</v>
      </c>
      <c r="R426" s="7" t="s">
        <v>11</v>
      </c>
      <c r="S426" s="7" t="s">
        <v>1300</v>
      </c>
      <c r="T426" s="7" t="s">
        <v>1301</v>
      </c>
      <c r="U426" s="7" t="s">
        <v>1299</v>
      </c>
    </row>
    <row r="427" spans="5:21">
      <c r="E427" s="5"/>
      <c r="F427" s="5"/>
      <c r="G427" s="5"/>
      <c r="H427" s="5"/>
      <c r="I427" s="5"/>
      <c r="J427" s="6"/>
      <c r="K427" s="5"/>
      <c r="O427" s="7" t="s">
        <v>23</v>
      </c>
      <c r="P427" s="7" t="s">
        <v>24</v>
      </c>
      <c r="Q427" s="7" t="s">
        <v>1302</v>
      </c>
      <c r="R427" s="7" t="s">
        <v>11</v>
      </c>
      <c r="S427" s="7" t="s">
        <v>1303</v>
      </c>
      <c r="T427" s="7" t="s">
        <v>1304</v>
      </c>
      <c r="U427" s="7" t="s">
        <v>1302</v>
      </c>
    </row>
    <row r="428" spans="5:21">
      <c r="E428" s="5"/>
      <c r="F428" s="5"/>
      <c r="G428" s="5"/>
      <c r="H428" s="5"/>
      <c r="I428" s="5"/>
      <c r="J428" s="6"/>
      <c r="K428" s="5"/>
      <c r="O428" s="7" t="s">
        <v>28</v>
      </c>
      <c r="P428" s="7" t="s">
        <v>29</v>
      </c>
      <c r="Q428" s="7" t="s">
        <v>1305</v>
      </c>
      <c r="R428" s="7" t="s">
        <v>11</v>
      </c>
      <c r="S428" s="7" t="s">
        <v>1306</v>
      </c>
      <c r="T428" s="7" t="s">
        <v>1307</v>
      </c>
      <c r="U428" s="7" t="s">
        <v>1305</v>
      </c>
    </row>
    <row r="429" spans="5:21">
      <c r="E429" s="5"/>
      <c r="F429" s="5"/>
      <c r="G429" s="5"/>
      <c r="H429" s="5"/>
      <c r="I429" s="5"/>
      <c r="J429" s="6"/>
      <c r="K429" s="5"/>
      <c r="O429" s="7" t="s">
        <v>251</v>
      </c>
      <c r="P429" s="7" t="s">
        <v>252</v>
      </c>
      <c r="Q429" s="7" t="s">
        <v>1308</v>
      </c>
      <c r="R429" s="7" t="s">
        <v>254</v>
      </c>
      <c r="S429" s="7" t="s">
        <v>1309</v>
      </c>
      <c r="T429" s="7" t="s">
        <v>1310</v>
      </c>
      <c r="U429" s="7" t="s">
        <v>1308</v>
      </c>
    </row>
    <row r="430" spans="5:21">
      <c r="E430" s="5"/>
      <c r="F430" s="5"/>
      <c r="G430" s="5"/>
      <c r="H430" s="5"/>
      <c r="I430" s="5"/>
      <c r="J430" s="6"/>
      <c r="K430" s="5"/>
      <c r="O430" s="7" t="s">
        <v>28</v>
      </c>
      <c r="P430" s="7" t="s">
        <v>29</v>
      </c>
      <c r="Q430" s="7" t="s">
        <v>1311</v>
      </c>
      <c r="R430" s="7" t="s">
        <v>11</v>
      </c>
      <c r="S430" s="7" t="s">
        <v>1312</v>
      </c>
      <c r="T430" s="7" t="s">
        <v>1313</v>
      </c>
      <c r="U430" s="7" t="s">
        <v>1311</v>
      </c>
    </row>
    <row r="431" spans="5:21">
      <c r="E431" s="5"/>
      <c r="F431" s="5"/>
      <c r="G431" s="5"/>
      <c r="H431" s="5"/>
      <c r="I431" s="5"/>
      <c r="J431" s="6"/>
      <c r="K431" s="5"/>
      <c r="O431" s="7" t="s">
        <v>251</v>
      </c>
      <c r="P431" s="7" t="s">
        <v>252</v>
      </c>
      <c r="Q431" s="7" t="s">
        <v>1314</v>
      </c>
      <c r="R431" s="7" t="s">
        <v>254</v>
      </c>
      <c r="S431" s="7" t="s">
        <v>1315</v>
      </c>
      <c r="T431" s="7" t="s">
        <v>1316</v>
      </c>
      <c r="U431" s="7" t="s">
        <v>1314</v>
      </c>
    </row>
    <row r="432" spans="5:21">
      <c r="E432" s="5"/>
      <c r="F432" s="5"/>
      <c r="G432" s="5"/>
      <c r="H432" s="5"/>
      <c r="I432" s="5"/>
      <c r="J432" s="6"/>
      <c r="K432" s="5"/>
      <c r="O432" s="7" t="s">
        <v>47</v>
      </c>
      <c r="P432" s="7" t="s">
        <v>48</v>
      </c>
      <c r="Q432" s="7" t="s">
        <v>1317</v>
      </c>
      <c r="R432" s="7" t="s">
        <v>17</v>
      </c>
      <c r="S432" s="7" t="s">
        <v>1318</v>
      </c>
      <c r="T432" s="7" t="s">
        <v>1319</v>
      </c>
      <c r="U432" s="7" t="s">
        <v>1317</v>
      </c>
    </row>
    <row r="433" spans="5:21">
      <c r="E433" s="5"/>
      <c r="F433" s="5"/>
      <c r="G433" s="5"/>
      <c r="H433" s="5"/>
      <c r="I433" s="5"/>
      <c r="J433" s="6"/>
      <c r="K433" s="5"/>
      <c r="O433" s="7" t="s">
        <v>58</v>
      </c>
      <c r="P433" s="7" t="s">
        <v>59</v>
      </c>
      <c r="Q433" s="7" t="s">
        <v>1320</v>
      </c>
      <c r="R433" s="7" t="s">
        <v>11</v>
      </c>
      <c r="S433" s="7" t="s">
        <v>1321</v>
      </c>
      <c r="T433" s="7" t="s">
        <v>1322</v>
      </c>
      <c r="U433" s="7" t="s">
        <v>1320</v>
      </c>
    </row>
    <row r="434" spans="5:21">
      <c r="E434" s="5"/>
      <c r="F434" s="5"/>
      <c r="G434" s="5"/>
      <c r="H434" s="5"/>
      <c r="I434" s="5"/>
      <c r="J434" s="6"/>
      <c r="K434" s="5"/>
      <c r="O434" s="7" t="s">
        <v>8</v>
      </c>
      <c r="P434" s="7" t="s">
        <v>9</v>
      </c>
      <c r="Q434" s="7" t="s">
        <v>1323</v>
      </c>
      <c r="R434" s="7" t="s">
        <v>11</v>
      </c>
      <c r="S434" s="7" t="s">
        <v>1324</v>
      </c>
      <c r="T434" s="7" t="s">
        <v>1325</v>
      </c>
      <c r="U434" s="7" t="s">
        <v>1323</v>
      </c>
    </row>
    <row r="435" spans="5:21">
      <c r="E435" s="5"/>
      <c r="F435" s="5"/>
      <c r="G435" s="5"/>
      <c r="H435" s="5"/>
      <c r="I435" s="5"/>
      <c r="J435" s="6"/>
      <c r="K435" s="5"/>
      <c r="O435" s="7" t="s">
        <v>195</v>
      </c>
      <c r="P435" s="7" t="s">
        <v>196</v>
      </c>
      <c r="Q435" s="7" t="s">
        <v>1326</v>
      </c>
      <c r="R435" s="7" t="s">
        <v>11</v>
      </c>
      <c r="S435" s="7" t="s">
        <v>1327</v>
      </c>
      <c r="T435" s="7" t="s">
        <v>1328</v>
      </c>
      <c r="U435" s="7" t="s">
        <v>1326</v>
      </c>
    </row>
    <row r="436" spans="5:21">
      <c r="E436" s="5"/>
      <c r="F436" s="5"/>
      <c r="G436" s="5"/>
      <c r="H436" s="5"/>
      <c r="I436" s="5"/>
      <c r="J436" s="6"/>
      <c r="K436" s="5"/>
      <c r="O436" s="7" t="s">
        <v>8</v>
      </c>
      <c r="P436" s="7" t="s">
        <v>9</v>
      </c>
      <c r="Q436" s="7" t="s">
        <v>1329</v>
      </c>
      <c r="R436" s="7" t="s">
        <v>11</v>
      </c>
      <c r="S436" s="7" t="s">
        <v>1330</v>
      </c>
      <c r="T436" s="7" t="s">
        <v>1331</v>
      </c>
      <c r="U436" s="7" t="s">
        <v>1329</v>
      </c>
    </row>
    <row r="437" spans="5:21">
      <c r="E437" s="5"/>
      <c r="F437" s="5"/>
      <c r="G437" s="5"/>
      <c r="H437" s="5"/>
      <c r="I437" s="5"/>
      <c r="J437" s="6"/>
      <c r="K437" s="5"/>
      <c r="O437" s="7" t="s">
        <v>58</v>
      </c>
      <c r="P437" s="7" t="s">
        <v>59</v>
      </c>
      <c r="Q437" s="7" t="s">
        <v>1332</v>
      </c>
      <c r="R437" s="7" t="s">
        <v>11</v>
      </c>
      <c r="S437" s="7" t="s">
        <v>1333</v>
      </c>
      <c r="T437" s="7" t="s">
        <v>1334</v>
      </c>
      <c r="U437" s="7" t="s">
        <v>1332</v>
      </c>
    </row>
    <row r="438" spans="5:21">
      <c r="E438" s="5"/>
      <c r="F438" s="5"/>
      <c r="G438" s="5"/>
      <c r="H438" s="5"/>
      <c r="I438" s="5"/>
      <c r="J438" s="6"/>
      <c r="K438" s="5"/>
      <c r="O438" s="7" t="s">
        <v>58</v>
      </c>
      <c r="P438" s="7" t="s">
        <v>59</v>
      </c>
      <c r="Q438" s="7" t="s">
        <v>1335</v>
      </c>
      <c r="R438" s="7" t="s">
        <v>11</v>
      </c>
      <c r="S438" s="7" t="s">
        <v>1336</v>
      </c>
      <c r="T438" s="7" t="s">
        <v>1337</v>
      </c>
      <c r="U438" s="7" t="s">
        <v>1335</v>
      </c>
    </row>
    <row r="439" spans="5:21">
      <c r="E439" s="5"/>
      <c r="F439" s="5"/>
      <c r="G439" s="5"/>
      <c r="H439" s="5"/>
      <c r="I439" s="5"/>
      <c r="J439" s="6"/>
      <c r="K439" s="5"/>
      <c r="O439" s="7" t="s">
        <v>8</v>
      </c>
      <c r="P439" s="7" t="s">
        <v>9</v>
      </c>
      <c r="Q439" s="7" t="s">
        <v>1338</v>
      </c>
      <c r="R439" s="7" t="s">
        <v>11</v>
      </c>
      <c r="S439" s="7" t="s">
        <v>1339</v>
      </c>
      <c r="T439" s="7" t="s">
        <v>1340</v>
      </c>
      <c r="U439" s="7" t="s">
        <v>1338</v>
      </c>
    </row>
    <row r="440" spans="5:21">
      <c r="E440" s="5"/>
      <c r="F440" s="5"/>
      <c r="G440" s="5"/>
      <c r="H440" s="5"/>
      <c r="I440" s="5"/>
      <c r="J440" s="6"/>
      <c r="K440" s="5"/>
      <c r="O440" s="7" t="s">
        <v>23</v>
      </c>
      <c r="P440" s="7" t="s">
        <v>24</v>
      </c>
      <c r="Q440" s="7" t="s">
        <v>1341</v>
      </c>
      <c r="R440" s="7" t="s">
        <v>11</v>
      </c>
      <c r="S440" s="7" t="s">
        <v>1342</v>
      </c>
      <c r="T440" s="7" t="s">
        <v>1343</v>
      </c>
      <c r="U440" s="7" t="s">
        <v>1341</v>
      </c>
    </row>
    <row r="441" spans="5:21">
      <c r="E441" s="5"/>
      <c r="F441" s="5"/>
      <c r="G441" s="5"/>
      <c r="H441" s="5"/>
      <c r="I441" s="5"/>
      <c r="J441" s="6"/>
      <c r="K441" s="5"/>
      <c r="O441" s="7" t="s">
        <v>28</v>
      </c>
      <c r="P441" s="7" t="s">
        <v>29</v>
      </c>
      <c r="Q441" s="7" t="s">
        <v>1344</v>
      </c>
      <c r="R441" s="7" t="s">
        <v>11</v>
      </c>
      <c r="S441" s="7" t="s">
        <v>1345</v>
      </c>
      <c r="T441" s="7" t="s">
        <v>1346</v>
      </c>
      <c r="U441" s="7" t="s">
        <v>1344</v>
      </c>
    </row>
    <row r="442" spans="5:21">
      <c r="E442" s="5"/>
      <c r="F442" s="5"/>
      <c r="G442" s="5"/>
      <c r="H442" s="5"/>
      <c r="I442" s="5"/>
      <c r="J442" s="6"/>
      <c r="K442" s="5"/>
      <c r="O442" s="7" t="s">
        <v>14</v>
      </c>
      <c r="P442" s="7" t="s">
        <v>15</v>
      </c>
      <c r="Q442" s="7" t="s">
        <v>1347</v>
      </c>
      <c r="R442" s="7" t="s">
        <v>17</v>
      </c>
      <c r="S442" s="7" t="s">
        <v>1348</v>
      </c>
      <c r="T442" s="7" t="s">
        <v>1349</v>
      </c>
      <c r="U442" s="7" t="s">
        <v>1347</v>
      </c>
    </row>
    <row r="443" spans="5:21">
      <c r="E443" s="5"/>
      <c r="F443" s="5"/>
      <c r="G443" s="5"/>
      <c r="H443" s="5"/>
      <c r="I443" s="5"/>
      <c r="J443" s="6"/>
      <c r="K443" s="5"/>
      <c r="O443" s="7" t="s">
        <v>23</v>
      </c>
      <c r="P443" s="7" t="s">
        <v>24</v>
      </c>
      <c r="Q443" s="7" t="s">
        <v>1350</v>
      </c>
      <c r="R443" s="7" t="s">
        <v>11</v>
      </c>
      <c r="S443" s="7" t="s">
        <v>1351</v>
      </c>
      <c r="T443" s="7" t="s">
        <v>1352</v>
      </c>
      <c r="U443" s="7" t="s">
        <v>1350</v>
      </c>
    </row>
    <row r="444" spans="5:21">
      <c r="E444" s="5"/>
      <c r="F444" s="5"/>
      <c r="G444" s="5"/>
      <c r="H444" s="5"/>
      <c r="I444" s="5"/>
      <c r="J444" s="6"/>
      <c r="K444" s="5"/>
      <c r="O444" s="7" t="s">
        <v>8</v>
      </c>
      <c r="P444" s="7" t="s">
        <v>9</v>
      </c>
      <c r="Q444" s="7" t="s">
        <v>1353</v>
      </c>
      <c r="R444" s="7" t="s">
        <v>11</v>
      </c>
      <c r="S444" s="7" t="s">
        <v>1354</v>
      </c>
      <c r="T444" s="7" t="s">
        <v>1355</v>
      </c>
      <c r="U444" s="7" t="s">
        <v>1353</v>
      </c>
    </row>
    <row r="445" spans="5:21">
      <c r="E445" s="5"/>
      <c r="F445" s="5"/>
      <c r="G445" s="5"/>
      <c r="H445" s="5"/>
      <c r="I445" s="5"/>
      <c r="J445" s="6"/>
      <c r="K445" s="5"/>
      <c r="O445" s="7" t="s">
        <v>47</v>
      </c>
      <c r="P445" s="7" t="s">
        <v>48</v>
      </c>
      <c r="Q445" s="7" t="s">
        <v>1356</v>
      </c>
      <c r="R445" s="7" t="s">
        <v>17</v>
      </c>
      <c r="S445" s="7" t="s">
        <v>1357</v>
      </c>
      <c r="T445" s="7" t="s">
        <v>1358</v>
      </c>
      <c r="U445" s="7" t="s">
        <v>1356</v>
      </c>
    </row>
    <row r="446" spans="5:21">
      <c r="E446" s="5"/>
      <c r="F446" s="5"/>
      <c r="G446" s="5"/>
      <c r="H446" s="5"/>
      <c r="I446" s="5"/>
      <c r="J446" s="6"/>
      <c r="K446" s="5"/>
      <c r="O446" s="7" t="s">
        <v>58</v>
      </c>
      <c r="P446" s="7" t="s">
        <v>59</v>
      </c>
      <c r="Q446" s="7" t="s">
        <v>1359</v>
      </c>
      <c r="R446" s="7" t="s">
        <v>11</v>
      </c>
      <c r="S446" s="7" t="s">
        <v>1360</v>
      </c>
      <c r="T446" s="7" t="s">
        <v>1361</v>
      </c>
      <c r="U446" s="7" t="s">
        <v>1359</v>
      </c>
    </row>
    <row r="447" spans="5:21">
      <c r="E447" s="5"/>
      <c r="F447" s="5"/>
      <c r="G447" s="5"/>
      <c r="H447" s="5"/>
      <c r="I447" s="5"/>
      <c r="J447" s="6"/>
      <c r="K447" s="5"/>
      <c r="O447" s="7" t="s">
        <v>28</v>
      </c>
      <c r="P447" s="7" t="s">
        <v>29</v>
      </c>
      <c r="Q447" s="7" t="s">
        <v>1362</v>
      </c>
      <c r="R447" s="7" t="s">
        <v>11</v>
      </c>
      <c r="S447" s="7" t="s">
        <v>1363</v>
      </c>
      <c r="T447" s="7" t="s">
        <v>1364</v>
      </c>
      <c r="U447" s="7" t="s">
        <v>1362</v>
      </c>
    </row>
    <row r="448" spans="5:21">
      <c r="E448" s="5"/>
      <c r="F448" s="5"/>
      <c r="G448" s="5"/>
      <c r="H448" s="5"/>
      <c r="I448" s="5"/>
      <c r="J448" s="6"/>
      <c r="K448" s="5"/>
      <c r="O448" s="7" t="s">
        <v>28</v>
      </c>
      <c r="P448" s="7" t="s">
        <v>29</v>
      </c>
      <c r="Q448" s="7" t="s">
        <v>1365</v>
      </c>
      <c r="R448" s="7" t="s">
        <v>11</v>
      </c>
      <c r="S448" s="7" t="s">
        <v>1366</v>
      </c>
      <c r="T448" s="7" t="s">
        <v>1367</v>
      </c>
      <c r="U448" s="7" t="s">
        <v>1365</v>
      </c>
    </row>
    <row r="449" spans="5:21">
      <c r="E449" s="5"/>
      <c r="F449" s="5"/>
      <c r="G449" s="5"/>
      <c r="H449" s="5"/>
      <c r="I449" s="5"/>
      <c r="J449" s="6"/>
      <c r="K449" s="5"/>
      <c r="O449" s="7" t="s">
        <v>251</v>
      </c>
      <c r="P449" s="7" t="s">
        <v>252</v>
      </c>
      <c r="Q449" s="7" t="s">
        <v>1368</v>
      </c>
      <c r="R449" s="7" t="s">
        <v>254</v>
      </c>
      <c r="S449" s="7" t="s">
        <v>1369</v>
      </c>
      <c r="T449" s="7" t="s">
        <v>1370</v>
      </c>
      <c r="U449" s="7" t="s">
        <v>1368</v>
      </c>
    </row>
    <row r="450" spans="5:21">
      <c r="E450" s="5"/>
      <c r="F450" s="5"/>
      <c r="G450" s="5"/>
      <c r="H450" s="5"/>
      <c r="I450" s="5"/>
      <c r="J450" s="6"/>
      <c r="K450" s="5"/>
      <c r="O450" s="7" t="s">
        <v>47</v>
      </c>
      <c r="P450" s="7" t="s">
        <v>48</v>
      </c>
      <c r="Q450" s="7" t="s">
        <v>1371</v>
      </c>
      <c r="R450" s="7" t="s">
        <v>17</v>
      </c>
      <c r="S450" s="7" t="s">
        <v>1372</v>
      </c>
      <c r="T450" s="7" t="s">
        <v>1373</v>
      </c>
      <c r="U450" s="7" t="s">
        <v>1371</v>
      </c>
    </row>
    <row r="451" spans="5:21">
      <c r="E451" s="5"/>
      <c r="F451" s="1"/>
      <c r="G451" s="1"/>
      <c r="H451" s="5"/>
      <c r="I451" s="5"/>
      <c r="J451" s="6"/>
      <c r="K451" s="5"/>
      <c r="O451" s="7" t="s">
        <v>28</v>
      </c>
      <c r="P451" s="7" t="s">
        <v>29</v>
      </c>
      <c r="Q451" s="7" t="s">
        <v>1374</v>
      </c>
      <c r="R451" s="7" t="s">
        <v>11</v>
      </c>
      <c r="S451" s="7" t="s">
        <v>1375</v>
      </c>
      <c r="T451" s="7" t="s">
        <v>1376</v>
      </c>
      <c r="U451" s="7" t="s">
        <v>1374</v>
      </c>
    </row>
    <row r="452" spans="5:21">
      <c r="E452" s="5"/>
      <c r="F452" s="5"/>
      <c r="G452" s="5"/>
      <c r="H452" s="5"/>
      <c r="I452" s="5"/>
      <c r="J452" s="6"/>
      <c r="K452" s="5"/>
      <c r="O452" s="7" t="s">
        <v>195</v>
      </c>
      <c r="P452" s="7" t="s">
        <v>196</v>
      </c>
      <c r="Q452" s="7" t="s">
        <v>1377</v>
      </c>
      <c r="R452" s="7" t="s">
        <v>11</v>
      </c>
      <c r="S452" s="7" t="s">
        <v>1378</v>
      </c>
      <c r="T452" s="7" t="s">
        <v>1379</v>
      </c>
      <c r="U452" s="7" t="s">
        <v>1377</v>
      </c>
    </row>
    <row r="453" spans="5:21">
      <c r="E453" s="5"/>
      <c r="F453" s="5"/>
      <c r="G453" s="5"/>
      <c r="H453" s="5"/>
      <c r="I453" s="5"/>
      <c r="J453" s="6"/>
      <c r="K453" s="5"/>
      <c r="O453" s="7" t="s">
        <v>8</v>
      </c>
      <c r="P453" s="7" t="s">
        <v>9</v>
      </c>
      <c r="Q453" s="7" t="s">
        <v>1380</v>
      </c>
      <c r="R453" s="7" t="s">
        <v>11</v>
      </c>
      <c r="S453" s="7" t="s">
        <v>1381</v>
      </c>
      <c r="T453" s="7" t="s">
        <v>1382</v>
      </c>
      <c r="U453" s="7" t="s">
        <v>1380</v>
      </c>
    </row>
    <row r="454" spans="5:21">
      <c r="E454" s="5"/>
      <c r="F454" s="5"/>
      <c r="G454" s="5"/>
      <c r="H454" s="5"/>
      <c r="I454" s="5"/>
      <c r="J454" s="6"/>
      <c r="K454" s="5"/>
      <c r="O454" s="7" t="s">
        <v>28</v>
      </c>
      <c r="P454" s="7" t="s">
        <v>29</v>
      </c>
      <c r="Q454" s="7" t="s">
        <v>1383</v>
      </c>
      <c r="R454" s="7" t="s">
        <v>11</v>
      </c>
      <c r="S454" s="7" t="s">
        <v>1384</v>
      </c>
      <c r="T454" s="7" t="s">
        <v>1385</v>
      </c>
      <c r="U454" s="7" t="s">
        <v>1383</v>
      </c>
    </row>
    <row r="455" spans="5:21">
      <c r="E455" s="5"/>
      <c r="F455" s="5"/>
      <c r="G455" s="5"/>
      <c r="H455" s="5"/>
      <c r="I455" s="5"/>
      <c r="J455" s="6"/>
      <c r="K455" s="5"/>
      <c r="O455" s="7" t="s">
        <v>58</v>
      </c>
      <c r="P455" s="7" t="s">
        <v>59</v>
      </c>
      <c r="Q455" s="7" t="s">
        <v>1386</v>
      </c>
      <c r="R455" s="7" t="s">
        <v>11</v>
      </c>
      <c r="S455" s="7" t="s">
        <v>1387</v>
      </c>
      <c r="T455" s="7" t="s">
        <v>1388</v>
      </c>
      <c r="U455" s="7" t="s">
        <v>1386</v>
      </c>
    </row>
    <row r="456" spans="5:21">
      <c r="E456" s="5"/>
      <c r="F456" s="5"/>
      <c r="G456" s="5"/>
      <c r="H456" s="5"/>
      <c r="I456" s="5"/>
      <c r="J456" s="6"/>
      <c r="K456" s="5"/>
      <c r="O456" s="7" t="s">
        <v>28</v>
      </c>
      <c r="P456" s="7" t="s">
        <v>29</v>
      </c>
      <c r="Q456" s="7" t="s">
        <v>1389</v>
      </c>
      <c r="R456" s="7" t="s">
        <v>11</v>
      </c>
      <c r="S456" s="7" t="s">
        <v>1390</v>
      </c>
      <c r="T456" s="7" t="s">
        <v>1391</v>
      </c>
      <c r="U456" s="7" t="s">
        <v>1389</v>
      </c>
    </row>
    <row r="457" spans="5:21">
      <c r="E457" s="5"/>
      <c r="F457" s="5"/>
      <c r="G457" s="5"/>
      <c r="H457" s="5"/>
      <c r="I457" s="5"/>
      <c r="J457" s="6"/>
      <c r="K457" s="5"/>
      <c r="O457" s="7" t="s">
        <v>47</v>
      </c>
      <c r="P457" s="7" t="s">
        <v>48</v>
      </c>
      <c r="Q457" s="7" t="s">
        <v>1392</v>
      </c>
      <c r="R457" s="7" t="s">
        <v>17</v>
      </c>
      <c r="S457" s="7" t="s">
        <v>1393</v>
      </c>
      <c r="T457" s="7" t="s">
        <v>1394</v>
      </c>
      <c r="U457" s="7" t="s">
        <v>1392</v>
      </c>
    </row>
    <row r="458" spans="5:21">
      <c r="E458" s="5"/>
      <c r="F458" s="5"/>
      <c r="G458" s="5"/>
      <c r="H458" s="5"/>
      <c r="I458" s="5"/>
      <c r="J458" s="6"/>
      <c r="K458" s="5"/>
      <c r="O458" s="7" t="s">
        <v>33</v>
      </c>
      <c r="P458" s="7" t="s">
        <v>34</v>
      </c>
      <c r="Q458" s="7" t="s">
        <v>1395</v>
      </c>
      <c r="R458" s="7" t="s">
        <v>11</v>
      </c>
      <c r="S458" s="7" t="s">
        <v>1396</v>
      </c>
      <c r="T458" s="7" t="s">
        <v>1397</v>
      </c>
      <c r="U458" s="7" t="s">
        <v>1395</v>
      </c>
    </row>
    <row r="459" spans="5:21">
      <c r="E459" s="5"/>
      <c r="F459" s="5"/>
      <c r="G459" s="5"/>
      <c r="H459" s="5"/>
      <c r="I459" s="5"/>
      <c r="J459" s="6"/>
      <c r="K459" s="5"/>
      <c r="O459" s="7" t="s">
        <v>8</v>
      </c>
      <c r="P459" s="7" t="s">
        <v>9</v>
      </c>
      <c r="Q459" s="7" t="s">
        <v>1398</v>
      </c>
      <c r="R459" s="7" t="s">
        <v>11</v>
      </c>
      <c r="S459" s="7" t="s">
        <v>1399</v>
      </c>
      <c r="T459" s="7" t="s">
        <v>1400</v>
      </c>
      <c r="U459" s="7" t="s">
        <v>1398</v>
      </c>
    </row>
    <row r="460" spans="5:21">
      <c r="E460" s="5"/>
      <c r="F460" s="5"/>
      <c r="G460" s="5"/>
      <c r="H460" s="5"/>
      <c r="I460" s="5"/>
      <c r="J460" s="6"/>
      <c r="K460" s="5"/>
      <c r="O460" s="7" t="s">
        <v>47</v>
      </c>
      <c r="P460" s="7" t="s">
        <v>48</v>
      </c>
      <c r="Q460" s="7" t="s">
        <v>1401</v>
      </c>
      <c r="R460" s="7" t="s">
        <v>17</v>
      </c>
      <c r="S460" s="7" t="s">
        <v>1402</v>
      </c>
      <c r="T460" s="7" t="s">
        <v>1403</v>
      </c>
      <c r="U460" s="7" t="s">
        <v>1401</v>
      </c>
    </row>
    <row r="461" spans="5:21">
      <c r="E461" s="5"/>
      <c r="F461" s="5"/>
      <c r="G461" s="5"/>
      <c r="H461" s="5"/>
      <c r="I461" s="5"/>
      <c r="J461" s="6"/>
      <c r="K461" s="5"/>
      <c r="O461" s="7" t="s">
        <v>28</v>
      </c>
      <c r="P461" s="7" t="s">
        <v>29</v>
      </c>
      <c r="Q461" s="7" t="s">
        <v>1404</v>
      </c>
      <c r="R461" s="7" t="s">
        <v>11</v>
      </c>
      <c r="S461" s="7" t="s">
        <v>1405</v>
      </c>
      <c r="T461" s="7" t="s">
        <v>1406</v>
      </c>
      <c r="U461" s="7" t="s">
        <v>1404</v>
      </c>
    </row>
    <row r="462" spans="5:21">
      <c r="E462" s="5"/>
      <c r="F462" s="5"/>
      <c r="G462" s="5"/>
      <c r="H462" s="5"/>
      <c r="I462" s="5"/>
      <c r="J462" s="6"/>
      <c r="K462" s="5"/>
      <c r="O462" s="7" t="s">
        <v>195</v>
      </c>
      <c r="P462" s="7" t="s">
        <v>196</v>
      </c>
      <c r="Q462" s="7" t="s">
        <v>1407</v>
      </c>
      <c r="R462" s="7" t="s">
        <v>11</v>
      </c>
      <c r="S462" s="7" t="s">
        <v>1408</v>
      </c>
      <c r="T462" s="7" t="s">
        <v>1409</v>
      </c>
      <c r="U462" s="7" t="s">
        <v>1407</v>
      </c>
    </row>
    <row r="463" spans="5:21">
      <c r="E463" s="5"/>
      <c r="F463" s="5"/>
      <c r="G463" s="5"/>
      <c r="H463" s="5"/>
      <c r="I463" s="5"/>
      <c r="J463" s="6"/>
      <c r="K463" s="5"/>
      <c r="O463" s="7" t="s">
        <v>23</v>
      </c>
      <c r="P463" s="7" t="s">
        <v>24</v>
      </c>
      <c r="Q463" s="7" t="s">
        <v>1410</v>
      </c>
      <c r="R463" s="7" t="s">
        <v>11</v>
      </c>
      <c r="S463" s="7" t="s">
        <v>1411</v>
      </c>
      <c r="T463" s="7" t="s">
        <v>1412</v>
      </c>
      <c r="U463" s="7" t="s">
        <v>1410</v>
      </c>
    </row>
    <row r="464" spans="5:21">
      <c r="E464" s="5"/>
      <c r="F464" s="5"/>
      <c r="G464" s="5"/>
      <c r="H464" s="5"/>
      <c r="I464" s="5"/>
      <c r="J464" s="6"/>
      <c r="K464" s="5"/>
      <c r="O464" s="7" t="s">
        <v>8</v>
      </c>
      <c r="P464" s="7" t="s">
        <v>9</v>
      </c>
      <c r="Q464" s="7" t="s">
        <v>1413</v>
      </c>
      <c r="R464" s="7" t="s">
        <v>11</v>
      </c>
      <c r="S464" s="7" t="s">
        <v>1414</v>
      </c>
      <c r="T464" s="7" t="s">
        <v>1415</v>
      </c>
      <c r="U464" s="7" t="s">
        <v>1413</v>
      </c>
    </row>
    <row r="465" spans="5:21">
      <c r="E465" s="5"/>
      <c r="F465" s="5"/>
      <c r="G465" s="5"/>
      <c r="H465" s="5"/>
      <c r="I465" s="5"/>
      <c r="J465" s="6"/>
      <c r="K465" s="5"/>
      <c r="O465" s="7" t="s">
        <v>28</v>
      </c>
      <c r="P465" s="7" t="s">
        <v>29</v>
      </c>
      <c r="Q465" s="7" t="s">
        <v>1416</v>
      </c>
      <c r="R465" s="7" t="s">
        <v>11</v>
      </c>
      <c r="S465" s="7" t="s">
        <v>1417</v>
      </c>
      <c r="T465" s="7" t="s">
        <v>1418</v>
      </c>
      <c r="U465" s="7" t="s">
        <v>1416</v>
      </c>
    </row>
    <row r="466" spans="5:21">
      <c r="E466" s="5"/>
      <c r="F466" s="5"/>
      <c r="G466" s="5"/>
      <c r="H466" s="5"/>
      <c r="I466" s="5"/>
      <c r="J466" s="6"/>
      <c r="K466" s="5"/>
      <c r="O466" s="7" t="s">
        <v>23</v>
      </c>
      <c r="P466" s="7" t="s">
        <v>24</v>
      </c>
      <c r="Q466" s="7" t="s">
        <v>1419</v>
      </c>
      <c r="R466" s="7" t="s">
        <v>11</v>
      </c>
      <c r="S466" s="7" t="s">
        <v>1420</v>
      </c>
      <c r="T466" s="7" t="s">
        <v>1421</v>
      </c>
      <c r="U466" s="7" t="s">
        <v>1419</v>
      </c>
    </row>
    <row r="467" spans="5:21">
      <c r="E467" s="5"/>
      <c r="F467" s="5"/>
      <c r="G467" s="5"/>
      <c r="H467" s="5"/>
      <c r="I467" s="5"/>
      <c r="J467" s="6"/>
      <c r="K467" s="5"/>
      <c r="O467" s="7" t="s">
        <v>47</v>
      </c>
      <c r="P467" s="7" t="s">
        <v>48</v>
      </c>
      <c r="Q467" s="7" t="s">
        <v>1422</v>
      </c>
      <c r="R467" s="7" t="s">
        <v>17</v>
      </c>
      <c r="S467" s="7" t="s">
        <v>1423</v>
      </c>
      <c r="T467" s="7" t="s">
        <v>1424</v>
      </c>
      <c r="U467" s="7" t="s">
        <v>1422</v>
      </c>
    </row>
    <row r="468" spans="5:21">
      <c r="E468" s="5"/>
      <c r="F468" s="5"/>
      <c r="G468" s="5"/>
      <c r="H468" s="5"/>
      <c r="I468" s="5"/>
      <c r="J468" s="6"/>
      <c r="K468" s="5"/>
      <c r="O468" s="7" t="s">
        <v>8</v>
      </c>
      <c r="P468" s="7" t="s">
        <v>9</v>
      </c>
      <c r="Q468" s="7" t="s">
        <v>1425</v>
      </c>
      <c r="R468" s="7" t="s">
        <v>11</v>
      </c>
      <c r="S468" s="7" t="s">
        <v>1426</v>
      </c>
      <c r="T468" s="7" t="s">
        <v>1427</v>
      </c>
      <c r="U468" s="7" t="s">
        <v>1425</v>
      </c>
    </row>
    <row r="469" spans="5:21">
      <c r="E469" s="5"/>
      <c r="F469" s="5"/>
      <c r="G469" s="5"/>
      <c r="H469" s="5"/>
      <c r="I469" s="5"/>
      <c r="J469" s="6"/>
      <c r="K469" s="5"/>
      <c r="O469" s="7" t="s">
        <v>28</v>
      </c>
      <c r="P469" s="7" t="s">
        <v>29</v>
      </c>
      <c r="Q469" s="7" t="s">
        <v>1428</v>
      </c>
      <c r="R469" s="7" t="s">
        <v>11</v>
      </c>
      <c r="S469" s="7" t="s">
        <v>1429</v>
      </c>
      <c r="T469" s="7" t="s">
        <v>1430</v>
      </c>
      <c r="U469" s="7" t="s">
        <v>1428</v>
      </c>
    </row>
    <row r="470" spans="5:21">
      <c r="E470" s="5"/>
      <c r="F470" s="5"/>
      <c r="G470" s="5"/>
      <c r="H470" s="5"/>
      <c r="I470" s="5"/>
      <c r="J470" s="6"/>
      <c r="K470" s="5"/>
      <c r="O470" s="7" t="s">
        <v>8</v>
      </c>
      <c r="P470" s="7" t="s">
        <v>9</v>
      </c>
      <c r="Q470" s="7" t="s">
        <v>1431</v>
      </c>
      <c r="R470" s="7" t="s">
        <v>11</v>
      </c>
      <c r="S470" s="7" t="s">
        <v>1432</v>
      </c>
      <c r="T470" s="7" t="s">
        <v>1433</v>
      </c>
      <c r="U470" s="7" t="s">
        <v>1431</v>
      </c>
    </row>
    <row r="471" spans="5:21">
      <c r="E471" s="5"/>
      <c r="F471" s="5"/>
      <c r="G471" s="5"/>
      <c r="H471" s="5"/>
      <c r="I471" s="5"/>
      <c r="J471" s="6"/>
      <c r="K471" s="5"/>
      <c r="O471" s="7" t="s">
        <v>28</v>
      </c>
      <c r="P471" s="7" t="s">
        <v>29</v>
      </c>
      <c r="Q471" s="7" t="s">
        <v>1434</v>
      </c>
      <c r="R471" s="7" t="s">
        <v>11</v>
      </c>
      <c r="S471" s="7" t="s">
        <v>1435</v>
      </c>
      <c r="T471" s="7" t="s">
        <v>1436</v>
      </c>
      <c r="U471" s="7" t="s">
        <v>1434</v>
      </c>
    </row>
    <row r="472" spans="5:21">
      <c r="E472" s="5"/>
      <c r="F472" s="5"/>
      <c r="G472" s="5"/>
      <c r="H472" s="5"/>
      <c r="I472" s="5"/>
      <c r="J472" s="6"/>
      <c r="K472" s="5"/>
      <c r="O472" s="7" t="s">
        <v>33</v>
      </c>
      <c r="P472" s="7" t="s">
        <v>34</v>
      </c>
      <c r="Q472" s="7" t="s">
        <v>1437</v>
      </c>
      <c r="R472" s="7" t="s">
        <v>11</v>
      </c>
      <c r="S472" s="7" t="s">
        <v>1438</v>
      </c>
      <c r="T472" s="7" t="s">
        <v>1439</v>
      </c>
      <c r="U472" s="7" t="s">
        <v>1437</v>
      </c>
    </row>
    <row r="473" spans="5:21">
      <c r="E473" s="5"/>
      <c r="F473" s="5"/>
      <c r="G473" s="5"/>
      <c r="H473" s="5"/>
      <c r="I473" s="5"/>
      <c r="J473" s="6"/>
      <c r="K473" s="5"/>
      <c r="O473" s="7" t="s">
        <v>8</v>
      </c>
      <c r="P473" s="7" t="s">
        <v>9</v>
      </c>
      <c r="Q473" s="7" t="s">
        <v>1440</v>
      </c>
      <c r="R473" s="7" t="s">
        <v>11</v>
      </c>
      <c r="S473" s="7" t="s">
        <v>1441</v>
      </c>
      <c r="T473" s="7" t="s">
        <v>1442</v>
      </c>
      <c r="U473" s="7" t="s">
        <v>1440</v>
      </c>
    </row>
    <row r="474" spans="5:21">
      <c r="E474" s="5"/>
      <c r="F474" s="5"/>
      <c r="G474" s="5"/>
      <c r="H474" s="5"/>
      <c r="I474" s="5"/>
      <c r="J474" s="6"/>
      <c r="K474" s="5"/>
      <c r="O474" s="7" t="s">
        <v>8</v>
      </c>
      <c r="P474" s="7" t="s">
        <v>9</v>
      </c>
      <c r="Q474" s="7" t="s">
        <v>1443</v>
      </c>
      <c r="R474" s="7" t="s">
        <v>11</v>
      </c>
      <c r="S474" s="7" t="s">
        <v>1444</v>
      </c>
      <c r="T474" s="7" t="s">
        <v>1445</v>
      </c>
      <c r="U474" s="7" t="s">
        <v>1443</v>
      </c>
    </row>
    <row r="475" spans="5:21">
      <c r="E475" s="5"/>
      <c r="F475" s="5"/>
      <c r="G475" s="5"/>
      <c r="H475" s="5"/>
      <c r="I475" s="5"/>
      <c r="J475" s="6"/>
      <c r="K475" s="5"/>
      <c r="O475" s="7" t="s">
        <v>28</v>
      </c>
      <c r="P475" s="7" t="s">
        <v>29</v>
      </c>
      <c r="Q475" s="7" t="s">
        <v>1446</v>
      </c>
      <c r="R475" s="7" t="s">
        <v>11</v>
      </c>
      <c r="S475" s="7" t="s">
        <v>1447</v>
      </c>
      <c r="T475" s="7" t="s">
        <v>1448</v>
      </c>
      <c r="U475" s="7" t="s">
        <v>1446</v>
      </c>
    </row>
    <row r="476" spans="5:21">
      <c r="E476" s="5"/>
      <c r="F476" s="5"/>
      <c r="G476" s="5"/>
      <c r="H476" s="5"/>
      <c r="I476" s="5"/>
      <c r="J476" s="6"/>
      <c r="K476" s="5"/>
      <c r="O476" s="7" t="s">
        <v>14</v>
      </c>
      <c r="P476" s="7" t="s">
        <v>48</v>
      </c>
      <c r="Q476" s="7" t="s">
        <v>1449</v>
      </c>
      <c r="R476" s="7" t="s">
        <v>17</v>
      </c>
      <c r="S476" s="7" t="s">
        <v>1450</v>
      </c>
      <c r="T476" s="7" t="s">
        <v>1451</v>
      </c>
      <c r="U476" s="7" t="s">
        <v>1449</v>
      </c>
    </row>
    <row r="477" spans="5:21">
      <c r="E477" s="5"/>
      <c r="F477" s="5"/>
      <c r="G477" s="5"/>
      <c r="H477" s="5"/>
      <c r="I477" s="5"/>
      <c r="J477" s="6"/>
      <c r="K477" s="5"/>
      <c r="O477" s="7" t="s">
        <v>23</v>
      </c>
      <c r="P477" s="7" t="s">
        <v>24</v>
      </c>
      <c r="Q477" s="7" t="s">
        <v>1452</v>
      </c>
      <c r="R477" s="7" t="s">
        <v>11</v>
      </c>
      <c r="S477" s="7" t="s">
        <v>1453</v>
      </c>
      <c r="T477" s="7" t="s">
        <v>1454</v>
      </c>
      <c r="U477" s="7" t="s">
        <v>1452</v>
      </c>
    </row>
    <row r="478" spans="5:21">
      <c r="E478" s="5"/>
      <c r="F478" s="5"/>
      <c r="G478" s="5"/>
      <c r="H478" s="5"/>
      <c r="I478" s="5"/>
      <c r="J478" s="6"/>
      <c r="K478" s="5"/>
      <c r="O478" s="7" t="s">
        <v>47</v>
      </c>
      <c r="P478" s="7" t="s">
        <v>48</v>
      </c>
      <c r="Q478" s="7" t="s">
        <v>1455</v>
      </c>
      <c r="R478" s="7" t="s">
        <v>17</v>
      </c>
      <c r="S478" s="7" t="s">
        <v>1456</v>
      </c>
      <c r="T478" s="7" t="s">
        <v>1457</v>
      </c>
      <c r="U478" s="7" t="s">
        <v>1455</v>
      </c>
    </row>
    <row r="479" spans="5:21">
      <c r="E479" s="5"/>
      <c r="F479" s="5"/>
      <c r="G479" s="5"/>
      <c r="H479" s="5"/>
      <c r="I479" s="5"/>
      <c r="J479" s="6"/>
      <c r="K479" s="5"/>
      <c r="O479" s="7" t="s">
        <v>28</v>
      </c>
      <c r="P479" s="7" t="s">
        <v>29</v>
      </c>
      <c r="Q479" s="7" t="s">
        <v>1458</v>
      </c>
      <c r="R479" s="7" t="s">
        <v>11</v>
      </c>
      <c r="S479" s="7" t="s">
        <v>1459</v>
      </c>
      <c r="T479" s="7" t="s">
        <v>1460</v>
      </c>
      <c r="U479" s="7" t="s">
        <v>1458</v>
      </c>
    </row>
    <row r="480" spans="5:21">
      <c r="E480" s="5"/>
      <c r="F480" s="5"/>
      <c r="G480" s="5"/>
      <c r="H480" s="5"/>
      <c r="I480" s="5"/>
      <c r="J480" s="6"/>
      <c r="K480" s="5"/>
      <c r="O480" s="7" t="s">
        <v>28</v>
      </c>
      <c r="P480" s="7" t="s">
        <v>29</v>
      </c>
      <c r="Q480" s="7" t="s">
        <v>1461</v>
      </c>
      <c r="R480" s="7" t="s">
        <v>11</v>
      </c>
      <c r="S480" s="7" t="s">
        <v>1462</v>
      </c>
      <c r="T480" s="7" t="s">
        <v>1463</v>
      </c>
      <c r="U480" s="7" t="s">
        <v>1461</v>
      </c>
    </row>
    <row r="481" spans="5:21">
      <c r="E481" s="5"/>
      <c r="F481" s="5"/>
      <c r="G481" s="5"/>
      <c r="H481" s="5"/>
      <c r="I481" s="5"/>
      <c r="J481" s="6"/>
      <c r="K481" s="5"/>
      <c r="O481" s="7" t="s">
        <v>28</v>
      </c>
      <c r="P481" s="7" t="s">
        <v>29</v>
      </c>
      <c r="Q481" s="7" t="s">
        <v>1464</v>
      </c>
      <c r="R481" s="7" t="s">
        <v>11</v>
      </c>
      <c r="S481" s="7" t="s">
        <v>1465</v>
      </c>
      <c r="T481" s="7" t="s">
        <v>1466</v>
      </c>
      <c r="U481" s="7" t="s">
        <v>1464</v>
      </c>
    </row>
    <row r="482" spans="5:21">
      <c r="E482" s="5"/>
      <c r="F482" s="5"/>
      <c r="G482" s="5"/>
      <c r="H482" s="5"/>
      <c r="I482" s="5"/>
      <c r="J482" s="6"/>
      <c r="K482" s="5"/>
      <c r="O482" s="7" t="s">
        <v>47</v>
      </c>
      <c r="P482" s="7" t="s">
        <v>48</v>
      </c>
      <c r="Q482" s="7" t="s">
        <v>1467</v>
      </c>
      <c r="R482" s="7" t="s">
        <v>17</v>
      </c>
      <c r="S482" s="7" t="s">
        <v>1468</v>
      </c>
      <c r="T482" s="7" t="s">
        <v>1469</v>
      </c>
      <c r="U482" s="7" t="s">
        <v>1467</v>
      </c>
    </row>
    <row r="483" spans="5:21">
      <c r="E483" s="5"/>
      <c r="F483" s="5"/>
      <c r="G483" s="5"/>
      <c r="H483" s="5"/>
      <c r="I483" s="5"/>
      <c r="J483" s="6"/>
      <c r="K483" s="5"/>
      <c r="O483" s="7" t="s">
        <v>28</v>
      </c>
      <c r="P483" s="7" t="s">
        <v>29</v>
      </c>
      <c r="Q483" s="7" t="s">
        <v>1470</v>
      </c>
      <c r="R483" s="7" t="s">
        <v>11</v>
      </c>
      <c r="S483" s="7" t="s">
        <v>1471</v>
      </c>
      <c r="T483" s="7" t="s">
        <v>1472</v>
      </c>
      <c r="U483" s="7" t="s">
        <v>1470</v>
      </c>
    </row>
    <row r="484" spans="5:21">
      <c r="E484" s="5"/>
      <c r="F484" s="5"/>
      <c r="G484" s="5"/>
      <c r="H484" s="5"/>
      <c r="I484" s="5"/>
      <c r="J484" s="6"/>
      <c r="K484" s="5"/>
      <c r="O484" s="7" t="s">
        <v>14</v>
      </c>
      <c r="P484" s="7" t="s">
        <v>15</v>
      </c>
      <c r="Q484" s="7" t="s">
        <v>1473</v>
      </c>
      <c r="R484" s="7" t="s">
        <v>17</v>
      </c>
      <c r="S484" s="7" t="s">
        <v>1474</v>
      </c>
      <c r="T484" s="7" t="s">
        <v>1475</v>
      </c>
      <c r="U484" s="7" t="s">
        <v>1473</v>
      </c>
    </row>
    <row r="485" spans="5:21">
      <c r="E485" s="5"/>
      <c r="F485" s="5"/>
      <c r="G485" s="5"/>
      <c r="H485" s="5"/>
      <c r="I485" s="5"/>
      <c r="J485" s="6"/>
      <c r="K485" s="5"/>
      <c r="O485" s="7" t="s">
        <v>47</v>
      </c>
      <c r="P485" s="7" t="s">
        <v>48</v>
      </c>
      <c r="Q485" s="7" t="s">
        <v>1476</v>
      </c>
      <c r="R485" s="7" t="s">
        <v>17</v>
      </c>
      <c r="S485" s="7" t="s">
        <v>1477</v>
      </c>
      <c r="T485" s="7" t="s">
        <v>1478</v>
      </c>
      <c r="U485" s="7" t="s">
        <v>1476</v>
      </c>
    </row>
    <row r="486" spans="5:21">
      <c r="E486" s="5"/>
      <c r="F486" s="5"/>
      <c r="G486" s="5"/>
      <c r="H486" s="5"/>
      <c r="I486" s="5"/>
      <c r="J486" s="6"/>
      <c r="K486" s="5"/>
      <c r="O486" s="7" t="s">
        <v>28</v>
      </c>
      <c r="P486" s="7" t="s">
        <v>29</v>
      </c>
      <c r="Q486" s="7" t="s">
        <v>1479</v>
      </c>
      <c r="R486" s="7" t="s">
        <v>11</v>
      </c>
      <c r="S486" s="7" t="s">
        <v>1480</v>
      </c>
      <c r="T486" s="7" t="s">
        <v>1481</v>
      </c>
      <c r="U486" s="7" t="s">
        <v>1479</v>
      </c>
    </row>
    <row r="487" spans="5:21">
      <c r="E487" s="5"/>
      <c r="F487" s="5"/>
      <c r="G487" s="5"/>
      <c r="H487" s="5"/>
      <c r="I487" s="5"/>
      <c r="J487" s="6"/>
      <c r="K487" s="5"/>
      <c r="O487" s="7" t="s">
        <v>33</v>
      </c>
      <c r="P487" s="7" t="s">
        <v>34</v>
      </c>
      <c r="Q487" s="7" t="s">
        <v>1482</v>
      </c>
      <c r="R487" s="7" t="s">
        <v>11</v>
      </c>
      <c r="S487" s="7" t="s">
        <v>1483</v>
      </c>
      <c r="T487" s="7" t="s">
        <v>1484</v>
      </c>
      <c r="U487" s="7" t="s">
        <v>1482</v>
      </c>
    </row>
    <row r="488" spans="5:21">
      <c r="E488" s="5"/>
      <c r="F488" s="5"/>
      <c r="G488" s="5"/>
      <c r="H488" s="5"/>
      <c r="I488" s="5"/>
      <c r="J488" s="6"/>
      <c r="K488" s="5"/>
      <c r="O488" s="7" t="s">
        <v>251</v>
      </c>
      <c r="P488" s="7" t="s">
        <v>252</v>
      </c>
      <c r="Q488" s="7" t="s">
        <v>1485</v>
      </c>
      <c r="R488" s="7" t="s">
        <v>254</v>
      </c>
      <c r="S488" s="7" t="s">
        <v>1486</v>
      </c>
      <c r="T488" s="7" t="s">
        <v>1487</v>
      </c>
      <c r="U488" s="7" t="s">
        <v>1485</v>
      </c>
    </row>
    <row r="489" spans="5:21">
      <c r="E489" s="5"/>
      <c r="F489" s="5"/>
      <c r="G489" s="5"/>
      <c r="H489" s="5"/>
      <c r="I489" s="5"/>
      <c r="J489" s="6"/>
      <c r="K489" s="5"/>
      <c r="O489" s="7" t="s">
        <v>47</v>
      </c>
      <c r="P489" s="7" t="s">
        <v>48</v>
      </c>
      <c r="Q489" s="7" t="s">
        <v>1488</v>
      </c>
      <c r="R489" s="7" t="s">
        <v>17</v>
      </c>
      <c r="S489" s="7" t="s">
        <v>1489</v>
      </c>
      <c r="T489" s="7" t="s">
        <v>1490</v>
      </c>
      <c r="U489" s="7" t="s">
        <v>1488</v>
      </c>
    </row>
    <row r="490" spans="5:21">
      <c r="E490" s="5"/>
      <c r="F490" s="5"/>
      <c r="G490" s="5"/>
      <c r="H490" s="5"/>
      <c r="I490" s="5"/>
      <c r="J490" s="6"/>
      <c r="K490" s="5"/>
      <c r="O490" s="7" t="s">
        <v>251</v>
      </c>
      <c r="P490" s="7" t="s">
        <v>252</v>
      </c>
      <c r="Q490" s="7" t="s">
        <v>1491</v>
      </c>
      <c r="R490" s="7" t="s">
        <v>254</v>
      </c>
      <c r="S490" s="7" t="s">
        <v>1492</v>
      </c>
      <c r="T490" s="7" t="s">
        <v>1493</v>
      </c>
      <c r="U490" s="7" t="s">
        <v>1491</v>
      </c>
    </row>
    <row r="491" spans="5:21">
      <c r="E491" s="5"/>
      <c r="F491" s="5"/>
      <c r="G491" s="5"/>
      <c r="H491" s="5"/>
      <c r="I491" s="5"/>
      <c r="J491" s="6"/>
      <c r="K491" s="5"/>
      <c r="O491" s="7" t="s">
        <v>28</v>
      </c>
      <c r="P491" s="7" t="s">
        <v>29</v>
      </c>
      <c r="Q491" s="7" t="s">
        <v>1494</v>
      </c>
      <c r="R491" s="7" t="s">
        <v>11</v>
      </c>
      <c r="S491" s="7" t="s">
        <v>1495</v>
      </c>
      <c r="T491" s="7" t="s">
        <v>1496</v>
      </c>
      <c r="U491" s="7" t="s">
        <v>1494</v>
      </c>
    </row>
    <row r="492" spans="5:21">
      <c r="E492" s="5"/>
      <c r="F492" s="5"/>
      <c r="G492" s="5"/>
      <c r="H492" s="5"/>
      <c r="I492" s="5"/>
      <c r="J492" s="6"/>
      <c r="K492" s="5"/>
      <c r="O492" s="7" t="s">
        <v>8</v>
      </c>
      <c r="P492" s="7" t="s">
        <v>9</v>
      </c>
      <c r="Q492" s="7" t="s">
        <v>1497</v>
      </c>
      <c r="R492" s="7" t="s">
        <v>11</v>
      </c>
      <c r="S492" s="7" t="s">
        <v>1498</v>
      </c>
      <c r="T492" s="7" t="s">
        <v>1499</v>
      </c>
      <c r="U492" s="7" t="s">
        <v>1497</v>
      </c>
    </row>
    <row r="493" spans="5:21">
      <c r="E493" s="5"/>
      <c r="F493" s="5"/>
      <c r="G493" s="5"/>
      <c r="H493" s="5"/>
      <c r="I493" s="5"/>
      <c r="J493" s="6"/>
      <c r="K493" s="5"/>
      <c r="O493" s="7" t="s">
        <v>47</v>
      </c>
      <c r="P493" s="7" t="s">
        <v>48</v>
      </c>
      <c r="Q493" s="7" t="s">
        <v>1500</v>
      </c>
      <c r="R493" s="7" t="s">
        <v>17</v>
      </c>
      <c r="S493" s="7" t="s">
        <v>1501</v>
      </c>
      <c r="T493" s="7" t="s">
        <v>1502</v>
      </c>
      <c r="U493" s="7" t="s">
        <v>1500</v>
      </c>
    </row>
    <row r="494" spans="5:21">
      <c r="E494" s="5"/>
      <c r="F494" s="5"/>
      <c r="G494" s="5"/>
      <c r="H494" s="5"/>
      <c r="I494" s="5"/>
      <c r="J494" s="6"/>
      <c r="K494" s="5"/>
      <c r="O494" s="7" t="s">
        <v>28</v>
      </c>
      <c r="P494" s="7" t="s">
        <v>29</v>
      </c>
      <c r="Q494" s="7" t="s">
        <v>1503</v>
      </c>
      <c r="R494" s="7" t="s">
        <v>11</v>
      </c>
      <c r="S494" s="7" t="s">
        <v>1504</v>
      </c>
      <c r="T494" s="7" t="s">
        <v>1505</v>
      </c>
      <c r="U494" s="7" t="s">
        <v>1503</v>
      </c>
    </row>
    <row r="495" spans="5:21">
      <c r="E495" s="5"/>
      <c r="F495" s="5"/>
      <c r="G495" s="5"/>
      <c r="H495" s="5"/>
      <c r="I495" s="5"/>
      <c r="J495" s="6"/>
      <c r="K495" s="5"/>
      <c r="O495" s="7" t="s">
        <v>23</v>
      </c>
      <c r="P495" s="7" t="s">
        <v>24</v>
      </c>
      <c r="Q495" s="7" t="s">
        <v>1506</v>
      </c>
      <c r="R495" s="7" t="s">
        <v>11</v>
      </c>
      <c r="S495" s="7" t="s">
        <v>1507</v>
      </c>
      <c r="T495" s="7" t="s">
        <v>1508</v>
      </c>
      <c r="U495" s="7" t="s">
        <v>1506</v>
      </c>
    </row>
    <row r="496" spans="5:21">
      <c r="E496" s="5"/>
      <c r="F496" s="5"/>
      <c r="G496" s="5"/>
      <c r="H496" s="5"/>
      <c r="I496" s="5"/>
      <c r="J496" s="6"/>
      <c r="K496" s="5"/>
      <c r="O496" s="7" t="s">
        <v>47</v>
      </c>
      <c r="P496" s="7" t="s">
        <v>48</v>
      </c>
      <c r="Q496" s="7" t="s">
        <v>1509</v>
      </c>
      <c r="R496" s="7" t="s">
        <v>17</v>
      </c>
      <c r="S496" s="7" t="s">
        <v>1510</v>
      </c>
      <c r="T496" s="7" t="s">
        <v>1511</v>
      </c>
      <c r="U496" s="7" t="s">
        <v>1509</v>
      </c>
    </row>
    <row r="497" spans="5:21">
      <c r="E497" s="5"/>
      <c r="F497" s="5"/>
      <c r="G497" s="5"/>
      <c r="H497" s="5"/>
      <c r="I497" s="5"/>
      <c r="J497" s="6"/>
      <c r="K497" s="5"/>
      <c r="O497" s="7" t="s">
        <v>28</v>
      </c>
      <c r="P497" s="7" t="s">
        <v>29</v>
      </c>
      <c r="Q497" s="7" t="s">
        <v>1512</v>
      </c>
      <c r="R497" s="7" t="s">
        <v>11</v>
      </c>
      <c r="S497" s="7" t="s">
        <v>1513</v>
      </c>
      <c r="T497" s="7" t="s">
        <v>1514</v>
      </c>
      <c r="U497" s="7" t="s">
        <v>1512</v>
      </c>
    </row>
    <row r="498" spans="5:21">
      <c r="E498" s="5"/>
      <c r="F498" s="5"/>
      <c r="G498" s="5"/>
      <c r="H498" s="5"/>
      <c r="I498" s="5"/>
      <c r="J498" s="6"/>
      <c r="K498" s="5"/>
      <c r="O498" s="7" t="s">
        <v>28</v>
      </c>
      <c r="P498" s="7" t="s">
        <v>29</v>
      </c>
      <c r="Q498" s="7" t="s">
        <v>1515</v>
      </c>
      <c r="R498" s="7" t="s">
        <v>11</v>
      </c>
      <c r="S498" s="7" t="s">
        <v>1516</v>
      </c>
      <c r="T498" s="7" t="s">
        <v>1517</v>
      </c>
      <c r="U498" s="7" t="s">
        <v>1515</v>
      </c>
    </row>
    <row r="499" spans="5:21">
      <c r="E499" s="5"/>
      <c r="F499" s="5"/>
      <c r="G499" s="5"/>
      <c r="H499" s="5"/>
      <c r="I499" s="5"/>
      <c r="J499" s="6"/>
      <c r="K499" s="5"/>
      <c r="O499" s="7" t="s">
        <v>28</v>
      </c>
      <c r="P499" s="7" t="s">
        <v>29</v>
      </c>
      <c r="Q499" s="7" t="s">
        <v>1518</v>
      </c>
      <c r="R499" s="7" t="s">
        <v>11</v>
      </c>
      <c r="S499" s="7" t="s">
        <v>1519</v>
      </c>
      <c r="T499" s="7" t="s">
        <v>1520</v>
      </c>
      <c r="U499" s="7" t="s">
        <v>1518</v>
      </c>
    </row>
    <row r="500" spans="5:21">
      <c r="E500" s="5"/>
      <c r="F500" s="5"/>
      <c r="G500" s="5"/>
      <c r="H500" s="5"/>
      <c r="I500" s="5"/>
      <c r="J500" s="6"/>
      <c r="K500" s="5"/>
      <c r="O500" s="7" t="s">
        <v>14</v>
      </c>
      <c r="P500" s="7" t="s">
        <v>15</v>
      </c>
      <c r="Q500" s="7" t="s">
        <v>1521</v>
      </c>
      <c r="R500" s="7" t="s">
        <v>17</v>
      </c>
      <c r="S500" s="7" t="s">
        <v>1522</v>
      </c>
      <c r="T500" s="7" t="s">
        <v>1523</v>
      </c>
      <c r="U500" s="7" t="s">
        <v>1521</v>
      </c>
    </row>
    <row r="501" spans="5:21">
      <c r="E501" s="5"/>
      <c r="F501" s="5"/>
      <c r="G501" s="5"/>
      <c r="H501" s="5"/>
      <c r="I501" s="5"/>
      <c r="J501" s="6"/>
      <c r="K501" s="5"/>
      <c r="O501" s="7" t="s">
        <v>8</v>
      </c>
      <c r="P501" s="7" t="s">
        <v>9</v>
      </c>
      <c r="Q501" s="7" t="s">
        <v>1524</v>
      </c>
      <c r="R501" s="7" t="s">
        <v>11</v>
      </c>
      <c r="S501" s="7" t="s">
        <v>1525</v>
      </c>
      <c r="T501" s="7" t="s">
        <v>1526</v>
      </c>
      <c r="U501" s="7" t="s">
        <v>1524</v>
      </c>
    </row>
    <row r="502" spans="5:21">
      <c r="E502" s="5"/>
      <c r="F502" s="5"/>
      <c r="G502" s="5"/>
      <c r="H502" s="5"/>
      <c r="I502" s="5"/>
      <c r="J502" s="6"/>
      <c r="K502" s="5"/>
      <c r="O502" s="7" t="s">
        <v>14</v>
      </c>
      <c r="P502" s="7" t="s">
        <v>15</v>
      </c>
      <c r="Q502" s="7" t="s">
        <v>1527</v>
      </c>
      <c r="R502" s="7" t="s">
        <v>17</v>
      </c>
      <c r="S502" s="7" t="s">
        <v>1528</v>
      </c>
      <c r="T502" s="7" t="s">
        <v>1529</v>
      </c>
      <c r="U502" s="7" t="s">
        <v>1527</v>
      </c>
    </row>
    <row r="503" spans="5:21">
      <c r="E503" s="5"/>
      <c r="F503" s="5"/>
      <c r="G503" s="5"/>
      <c r="H503" s="5"/>
      <c r="I503" s="5"/>
      <c r="J503" s="6"/>
      <c r="K503" s="5"/>
      <c r="O503" s="7" t="s">
        <v>14</v>
      </c>
      <c r="P503" s="7" t="s">
        <v>15</v>
      </c>
      <c r="Q503" s="7" t="s">
        <v>1530</v>
      </c>
      <c r="R503" s="7" t="s">
        <v>17</v>
      </c>
      <c r="S503" s="7" t="s">
        <v>1531</v>
      </c>
      <c r="T503" s="7" t="s">
        <v>1532</v>
      </c>
      <c r="U503" s="7" t="s">
        <v>1530</v>
      </c>
    </row>
    <row r="504" spans="5:21">
      <c r="E504" s="5"/>
      <c r="F504" s="5"/>
      <c r="G504" s="5"/>
      <c r="H504" s="5"/>
      <c r="I504" s="5"/>
      <c r="J504" s="6"/>
      <c r="K504" s="5"/>
      <c r="O504" s="7" t="s">
        <v>58</v>
      </c>
      <c r="P504" s="7" t="s">
        <v>59</v>
      </c>
      <c r="Q504" s="7" t="s">
        <v>1533</v>
      </c>
      <c r="R504" s="7" t="s">
        <v>11</v>
      </c>
      <c r="S504" s="7" t="s">
        <v>1534</v>
      </c>
      <c r="T504" s="7" t="s">
        <v>1535</v>
      </c>
      <c r="U504" s="7" t="s">
        <v>1533</v>
      </c>
    </row>
    <row r="505" spans="5:21">
      <c r="E505" s="5"/>
      <c r="F505" s="5"/>
      <c r="G505" s="5"/>
      <c r="H505" s="5"/>
      <c r="I505" s="5"/>
      <c r="J505" s="6"/>
      <c r="K505" s="5"/>
      <c r="O505" s="7" t="s">
        <v>28</v>
      </c>
      <c r="P505" s="7" t="s">
        <v>29</v>
      </c>
      <c r="Q505" s="7" t="s">
        <v>1536</v>
      </c>
      <c r="R505" s="7" t="s">
        <v>11</v>
      </c>
      <c r="S505" s="7" t="s">
        <v>1537</v>
      </c>
      <c r="T505" s="7" t="s">
        <v>1538</v>
      </c>
      <c r="U505" s="7" t="s">
        <v>1536</v>
      </c>
    </row>
    <row r="506" spans="5:21">
      <c r="E506" s="5"/>
      <c r="F506" s="5"/>
      <c r="G506" s="5"/>
      <c r="H506" s="5"/>
      <c r="I506" s="5"/>
      <c r="J506" s="6"/>
      <c r="K506" s="5"/>
      <c r="O506" s="7" t="s">
        <v>28</v>
      </c>
      <c r="P506" s="7" t="s">
        <v>29</v>
      </c>
      <c r="Q506" s="7" t="s">
        <v>1539</v>
      </c>
      <c r="R506" s="7" t="s">
        <v>11</v>
      </c>
      <c r="S506" s="7" t="s">
        <v>1540</v>
      </c>
      <c r="T506" s="7" t="s">
        <v>1541</v>
      </c>
      <c r="U506" s="7" t="s">
        <v>1539</v>
      </c>
    </row>
    <row r="507" spans="5:21">
      <c r="E507" s="5"/>
      <c r="F507" s="5"/>
      <c r="G507" s="5"/>
      <c r="H507" s="5"/>
      <c r="I507" s="5"/>
      <c r="J507" s="6"/>
      <c r="K507" s="5"/>
      <c r="O507" s="7" t="s">
        <v>28</v>
      </c>
      <c r="P507" s="7" t="s">
        <v>29</v>
      </c>
      <c r="Q507" s="7" t="s">
        <v>1542</v>
      </c>
      <c r="R507" s="7" t="s">
        <v>11</v>
      </c>
      <c r="S507" s="7" t="s">
        <v>1543</v>
      </c>
      <c r="T507" s="7" t="s">
        <v>1544</v>
      </c>
      <c r="U507" s="7" t="s">
        <v>1542</v>
      </c>
    </row>
    <row r="508" spans="5:21">
      <c r="E508" s="5"/>
      <c r="F508" s="5"/>
      <c r="G508" s="5"/>
      <c r="H508" s="5"/>
      <c r="I508" s="5"/>
      <c r="J508" s="6"/>
      <c r="K508" s="5"/>
      <c r="O508" s="7" t="s">
        <v>28</v>
      </c>
      <c r="P508" s="7" t="s">
        <v>29</v>
      </c>
      <c r="Q508" s="7" t="s">
        <v>1545</v>
      </c>
      <c r="R508" s="7" t="s">
        <v>11</v>
      </c>
      <c r="S508" s="7" t="s">
        <v>1546</v>
      </c>
      <c r="T508" s="7" t="s">
        <v>1547</v>
      </c>
      <c r="U508" s="7" t="s">
        <v>1545</v>
      </c>
    </row>
    <row r="509" spans="5:21">
      <c r="E509" s="5"/>
      <c r="F509" s="5"/>
      <c r="G509" s="5"/>
      <c r="H509" s="5"/>
      <c r="I509" s="5"/>
      <c r="J509" s="6"/>
      <c r="K509" s="5"/>
      <c r="O509" s="7" t="s">
        <v>251</v>
      </c>
      <c r="P509" s="7" t="s">
        <v>252</v>
      </c>
      <c r="Q509" s="7" t="s">
        <v>1548</v>
      </c>
      <c r="R509" s="7" t="s">
        <v>254</v>
      </c>
      <c r="S509" s="7" t="s">
        <v>1549</v>
      </c>
      <c r="T509" s="7" t="s">
        <v>1550</v>
      </c>
      <c r="U509" s="7" t="s">
        <v>1548</v>
      </c>
    </row>
    <row r="510" spans="5:21">
      <c r="E510" s="5"/>
      <c r="F510" s="5"/>
      <c r="G510" s="5"/>
      <c r="H510" s="5"/>
      <c r="I510" s="5"/>
      <c r="J510" s="6"/>
      <c r="K510" s="5"/>
      <c r="O510" s="7" t="s">
        <v>58</v>
      </c>
      <c r="P510" s="7" t="s">
        <v>59</v>
      </c>
      <c r="Q510" s="7" t="s">
        <v>1551</v>
      </c>
      <c r="R510" s="7" t="s">
        <v>11</v>
      </c>
      <c r="S510" s="7" t="s">
        <v>1552</v>
      </c>
      <c r="T510" s="7" t="s">
        <v>1553</v>
      </c>
      <c r="U510" s="7" t="s">
        <v>1551</v>
      </c>
    </row>
    <row r="511" spans="5:21">
      <c r="E511" s="5"/>
      <c r="F511" s="5"/>
      <c r="G511" s="5"/>
      <c r="H511" s="5"/>
      <c r="I511" s="5"/>
      <c r="J511" s="6"/>
      <c r="K511" s="5"/>
      <c r="O511" s="7" t="s">
        <v>8</v>
      </c>
      <c r="P511" s="7" t="s">
        <v>9</v>
      </c>
      <c r="Q511" s="7" t="s">
        <v>1554</v>
      </c>
      <c r="R511" s="7" t="s">
        <v>11</v>
      </c>
      <c r="S511" s="7" t="s">
        <v>1555</v>
      </c>
      <c r="T511" s="7" t="s">
        <v>1556</v>
      </c>
      <c r="U511" s="7" t="s">
        <v>1554</v>
      </c>
    </row>
    <row r="512" spans="5:21">
      <c r="E512" s="5"/>
      <c r="F512" s="5"/>
      <c r="G512" s="5"/>
      <c r="H512" s="5"/>
      <c r="I512" s="5"/>
      <c r="J512" s="6"/>
      <c r="K512" s="5"/>
      <c r="O512" s="7" t="s">
        <v>195</v>
      </c>
      <c r="P512" s="7" t="s">
        <v>196</v>
      </c>
      <c r="Q512" s="7" t="s">
        <v>1557</v>
      </c>
      <c r="R512" s="7" t="s">
        <v>11</v>
      </c>
      <c r="S512" s="7" t="s">
        <v>1558</v>
      </c>
      <c r="T512" s="7" t="s">
        <v>1559</v>
      </c>
      <c r="U512" s="7" t="s">
        <v>1557</v>
      </c>
    </row>
    <row r="513" spans="5:21">
      <c r="E513" s="5"/>
      <c r="F513" s="5"/>
      <c r="G513" s="5"/>
      <c r="H513" s="5"/>
      <c r="I513" s="5"/>
      <c r="J513" s="6"/>
      <c r="K513" s="5"/>
      <c r="O513" s="7" t="s">
        <v>33</v>
      </c>
      <c r="P513" s="7" t="s">
        <v>34</v>
      </c>
      <c r="Q513" s="7" t="s">
        <v>1560</v>
      </c>
      <c r="R513" s="7" t="s">
        <v>11</v>
      </c>
      <c r="S513" s="7" t="s">
        <v>1561</v>
      </c>
      <c r="T513" s="7" t="s">
        <v>1562</v>
      </c>
      <c r="U513" s="7" t="s">
        <v>1560</v>
      </c>
    </row>
    <row r="514" spans="5:21">
      <c r="E514" s="5"/>
      <c r="F514" s="5"/>
      <c r="G514" s="5"/>
      <c r="H514" s="5"/>
      <c r="I514" s="5"/>
      <c r="J514" s="6"/>
      <c r="K514" s="5"/>
      <c r="O514" s="7" t="s">
        <v>47</v>
      </c>
      <c r="P514" s="7" t="s">
        <v>48</v>
      </c>
      <c r="Q514" s="7" t="s">
        <v>1563</v>
      </c>
      <c r="R514" s="7" t="s">
        <v>17</v>
      </c>
      <c r="S514" s="7" t="s">
        <v>1564</v>
      </c>
      <c r="T514" s="7" t="s">
        <v>1565</v>
      </c>
      <c r="U514" s="7" t="s">
        <v>1563</v>
      </c>
    </row>
    <row r="515" spans="5:21">
      <c r="E515" s="5"/>
      <c r="F515" s="5"/>
      <c r="G515" s="5"/>
      <c r="H515" s="5"/>
      <c r="I515" s="5"/>
      <c r="J515" s="6"/>
      <c r="K515" s="5"/>
      <c r="O515" s="7" t="s">
        <v>8</v>
      </c>
      <c r="P515" s="7" t="s">
        <v>9</v>
      </c>
      <c r="Q515" s="7" t="s">
        <v>1566</v>
      </c>
      <c r="R515" s="7" t="s">
        <v>11</v>
      </c>
      <c r="S515" s="7" t="s">
        <v>1567</v>
      </c>
      <c r="T515" s="7" t="s">
        <v>1568</v>
      </c>
      <c r="U515" s="7" t="s">
        <v>1566</v>
      </c>
    </row>
    <row r="516" spans="5:21">
      <c r="E516" s="5"/>
      <c r="F516" s="5"/>
      <c r="G516" s="5"/>
      <c r="H516" s="5"/>
      <c r="I516" s="5"/>
      <c r="J516" s="6"/>
      <c r="K516" s="5"/>
      <c r="O516" s="7" t="s">
        <v>58</v>
      </c>
      <c r="P516" s="7" t="s">
        <v>59</v>
      </c>
      <c r="Q516" s="7" t="s">
        <v>1569</v>
      </c>
      <c r="R516" s="7" t="s">
        <v>11</v>
      </c>
      <c r="S516" s="7" t="s">
        <v>1570</v>
      </c>
      <c r="T516" s="7" t="s">
        <v>1571</v>
      </c>
      <c r="U516" s="7" t="s">
        <v>1569</v>
      </c>
    </row>
    <row r="517" spans="5:21">
      <c r="E517" s="5"/>
      <c r="F517" s="5"/>
      <c r="G517" s="5"/>
      <c r="H517" s="5"/>
      <c r="I517" s="5"/>
      <c r="J517" s="6"/>
      <c r="K517" s="5"/>
      <c r="O517" s="7" t="s">
        <v>58</v>
      </c>
      <c r="P517" s="7" t="s">
        <v>59</v>
      </c>
      <c r="Q517" s="7" t="s">
        <v>1572</v>
      </c>
      <c r="R517" s="7" t="s">
        <v>11</v>
      </c>
      <c r="S517" s="7" t="s">
        <v>1573</v>
      </c>
      <c r="T517" s="7" t="s">
        <v>1574</v>
      </c>
      <c r="U517" s="7" t="s">
        <v>1572</v>
      </c>
    </row>
    <row r="518" spans="5:21">
      <c r="E518" s="5"/>
      <c r="F518" s="5"/>
      <c r="G518" s="5"/>
      <c r="H518" s="5"/>
      <c r="I518" s="5"/>
      <c r="J518" s="6"/>
      <c r="K518" s="5"/>
      <c r="O518" s="7" t="s">
        <v>8</v>
      </c>
      <c r="P518" s="7" t="s">
        <v>9</v>
      </c>
      <c r="Q518" s="7" t="s">
        <v>1575</v>
      </c>
      <c r="R518" s="7" t="s">
        <v>11</v>
      </c>
      <c r="S518" s="7" t="s">
        <v>1576</v>
      </c>
      <c r="T518" s="7" t="s">
        <v>1577</v>
      </c>
      <c r="U518" s="7" t="s">
        <v>1575</v>
      </c>
    </row>
    <row r="519" spans="5:21">
      <c r="E519" s="5"/>
      <c r="F519" s="5"/>
      <c r="G519" s="5"/>
      <c r="H519" s="5"/>
      <c r="I519" s="5"/>
      <c r="J519" s="6"/>
      <c r="K519" s="5"/>
      <c r="O519" s="7" t="s">
        <v>8</v>
      </c>
      <c r="P519" s="7" t="s">
        <v>9</v>
      </c>
      <c r="Q519" s="7" t="s">
        <v>1578</v>
      </c>
      <c r="R519" s="7" t="s">
        <v>11</v>
      </c>
      <c r="S519" s="7" t="s">
        <v>1579</v>
      </c>
      <c r="T519" s="7" t="s">
        <v>1580</v>
      </c>
      <c r="U519" s="7" t="s">
        <v>1578</v>
      </c>
    </row>
    <row r="520" spans="5:21">
      <c r="E520" s="5"/>
      <c r="F520" s="5"/>
      <c r="G520" s="5"/>
      <c r="H520" s="5"/>
      <c r="I520" s="5"/>
      <c r="J520" s="6"/>
      <c r="K520" s="5"/>
      <c r="O520" s="7" t="s">
        <v>47</v>
      </c>
      <c r="P520" s="7" t="s">
        <v>48</v>
      </c>
      <c r="Q520" s="7" t="s">
        <v>1581</v>
      </c>
      <c r="R520" s="7" t="s">
        <v>17</v>
      </c>
      <c r="S520" s="7" t="s">
        <v>1582</v>
      </c>
      <c r="T520" s="7" t="s">
        <v>1583</v>
      </c>
      <c r="U520" s="7" t="s">
        <v>1581</v>
      </c>
    </row>
    <row r="521" spans="5:21">
      <c r="E521" s="5"/>
      <c r="F521" s="5"/>
      <c r="G521" s="5"/>
      <c r="H521" s="5"/>
      <c r="I521" s="5"/>
      <c r="J521" s="6"/>
      <c r="K521" s="5"/>
      <c r="O521" s="7" t="s">
        <v>8</v>
      </c>
      <c r="P521" s="7" t="s">
        <v>9</v>
      </c>
      <c r="Q521" s="7" t="s">
        <v>1584</v>
      </c>
      <c r="R521" s="7" t="s">
        <v>11</v>
      </c>
      <c r="S521" s="7" t="s">
        <v>1585</v>
      </c>
      <c r="T521" s="7" t="s">
        <v>1586</v>
      </c>
      <c r="U521" s="7" t="s">
        <v>1584</v>
      </c>
    </row>
    <row r="522" spans="5:21">
      <c r="E522" s="5"/>
      <c r="F522" s="5"/>
      <c r="G522" s="5"/>
      <c r="H522" s="5"/>
      <c r="I522" s="5"/>
      <c r="J522" s="6"/>
      <c r="K522" s="5"/>
      <c r="O522" s="7" t="s">
        <v>58</v>
      </c>
      <c r="P522" s="7" t="s">
        <v>59</v>
      </c>
      <c r="Q522" s="7" t="s">
        <v>1587</v>
      </c>
      <c r="R522" s="7" t="s">
        <v>11</v>
      </c>
      <c r="S522" s="7" t="s">
        <v>1588</v>
      </c>
      <c r="T522" s="7" t="s">
        <v>1589</v>
      </c>
      <c r="U522" s="7" t="s">
        <v>1587</v>
      </c>
    </row>
    <row r="523" spans="5:21">
      <c r="E523" s="5"/>
      <c r="F523" s="5"/>
      <c r="G523" s="5"/>
      <c r="H523" s="5"/>
      <c r="I523" s="5"/>
      <c r="J523" s="6"/>
      <c r="K523" s="5"/>
      <c r="O523" s="7" t="s">
        <v>195</v>
      </c>
      <c r="P523" s="7" t="s">
        <v>196</v>
      </c>
      <c r="Q523" s="7" t="s">
        <v>1590</v>
      </c>
      <c r="R523" s="7" t="s">
        <v>11</v>
      </c>
      <c r="S523" s="7" t="s">
        <v>1591</v>
      </c>
      <c r="T523" s="7" t="s">
        <v>1592</v>
      </c>
      <c r="U523" s="7" t="s">
        <v>1590</v>
      </c>
    </row>
    <row r="524" spans="5:21">
      <c r="E524" s="5"/>
      <c r="F524" s="5"/>
      <c r="G524" s="5"/>
      <c r="H524" s="5"/>
      <c r="I524" s="5"/>
      <c r="J524" s="6"/>
      <c r="K524" s="5"/>
      <c r="O524" s="7" t="s">
        <v>195</v>
      </c>
      <c r="P524" s="7" t="s">
        <v>196</v>
      </c>
      <c r="Q524" s="7" t="s">
        <v>1593</v>
      </c>
      <c r="R524" s="7" t="s">
        <v>11</v>
      </c>
      <c r="S524" s="7" t="s">
        <v>1594</v>
      </c>
      <c r="T524" s="7" t="s">
        <v>1595</v>
      </c>
      <c r="U524" s="7" t="s">
        <v>1593</v>
      </c>
    </row>
    <row r="525" spans="5:21">
      <c r="E525" s="5"/>
      <c r="F525" s="5"/>
      <c r="G525" s="5"/>
      <c r="H525" s="5"/>
      <c r="I525" s="5"/>
      <c r="J525" s="6"/>
      <c r="K525" s="5"/>
      <c r="O525" s="7" t="s">
        <v>23</v>
      </c>
      <c r="P525" s="7" t="s">
        <v>24</v>
      </c>
      <c r="Q525" s="7" t="s">
        <v>1596</v>
      </c>
      <c r="R525" s="7" t="s">
        <v>11</v>
      </c>
      <c r="S525" s="7" t="s">
        <v>1597</v>
      </c>
      <c r="T525" s="7" t="s">
        <v>1598</v>
      </c>
      <c r="U525" s="7" t="s">
        <v>1596</v>
      </c>
    </row>
    <row r="526" spans="5:21">
      <c r="E526" s="5"/>
      <c r="F526" s="5"/>
      <c r="G526" s="5"/>
      <c r="H526" s="5"/>
      <c r="I526" s="5"/>
      <c r="J526" s="6"/>
      <c r="K526" s="5"/>
      <c r="O526" s="7" t="s">
        <v>195</v>
      </c>
      <c r="P526" s="7" t="s">
        <v>196</v>
      </c>
      <c r="Q526" s="7" t="s">
        <v>1599</v>
      </c>
      <c r="R526" s="7" t="s">
        <v>11</v>
      </c>
      <c r="S526" s="7" t="s">
        <v>1600</v>
      </c>
      <c r="T526" s="7" t="s">
        <v>1601</v>
      </c>
      <c r="U526" s="7" t="s">
        <v>1599</v>
      </c>
    </row>
    <row r="527" spans="5:21">
      <c r="E527" s="5"/>
      <c r="F527" s="5"/>
      <c r="G527" s="5"/>
      <c r="H527" s="5"/>
      <c r="I527" s="5"/>
      <c r="J527" s="6"/>
      <c r="K527" s="5"/>
      <c r="O527" s="7" t="s">
        <v>251</v>
      </c>
      <c r="P527" s="7" t="s">
        <v>252</v>
      </c>
      <c r="Q527" s="7" t="s">
        <v>1602</v>
      </c>
      <c r="R527" s="7" t="s">
        <v>254</v>
      </c>
      <c r="S527" s="7" t="s">
        <v>1603</v>
      </c>
      <c r="T527" s="7" t="s">
        <v>1604</v>
      </c>
      <c r="U527" s="7" t="s">
        <v>1602</v>
      </c>
    </row>
    <row r="528" spans="5:21">
      <c r="E528" s="5"/>
      <c r="F528" s="5"/>
      <c r="G528" s="5"/>
      <c r="H528" s="5"/>
      <c r="I528" s="5"/>
      <c r="J528" s="6"/>
      <c r="K528" s="5"/>
      <c r="O528" s="7" t="s">
        <v>251</v>
      </c>
      <c r="P528" s="7" t="s">
        <v>252</v>
      </c>
      <c r="Q528" s="7" t="s">
        <v>1605</v>
      </c>
      <c r="R528" s="7" t="s">
        <v>254</v>
      </c>
      <c r="S528" s="7" t="s">
        <v>1606</v>
      </c>
      <c r="T528" s="7" t="s">
        <v>1607</v>
      </c>
      <c r="U528" s="7" t="s">
        <v>1605</v>
      </c>
    </row>
    <row r="529" spans="5:21">
      <c r="E529" s="5"/>
      <c r="F529" s="5"/>
      <c r="G529" s="5"/>
      <c r="H529" s="5"/>
      <c r="I529" s="5"/>
      <c r="J529" s="6"/>
      <c r="K529" s="5"/>
      <c r="O529" s="7" t="s">
        <v>251</v>
      </c>
      <c r="P529" s="7" t="s">
        <v>252</v>
      </c>
      <c r="Q529" s="7" t="s">
        <v>1608</v>
      </c>
      <c r="R529" s="7" t="s">
        <v>254</v>
      </c>
      <c r="S529" s="7" t="s">
        <v>1609</v>
      </c>
      <c r="T529" s="7" t="s">
        <v>1610</v>
      </c>
      <c r="U529" s="7" t="s">
        <v>1608</v>
      </c>
    </row>
    <row r="530" spans="5:21">
      <c r="E530" s="5"/>
      <c r="F530" s="5"/>
      <c r="G530" s="5"/>
      <c r="H530" s="5"/>
      <c r="I530" s="5"/>
      <c r="J530" s="6"/>
      <c r="K530" s="5"/>
      <c r="O530" s="7" t="s">
        <v>47</v>
      </c>
      <c r="P530" s="7" t="s">
        <v>48</v>
      </c>
      <c r="Q530" s="7" t="s">
        <v>1611</v>
      </c>
      <c r="R530" s="7" t="s">
        <v>17</v>
      </c>
      <c r="S530" s="7" t="s">
        <v>1612</v>
      </c>
      <c r="T530" s="7" t="s">
        <v>1613</v>
      </c>
      <c r="U530" s="7" t="s">
        <v>1611</v>
      </c>
    </row>
    <row r="531" spans="5:21">
      <c r="E531" s="5"/>
      <c r="F531" s="5"/>
      <c r="G531" s="5"/>
      <c r="H531" s="5"/>
      <c r="I531" s="5"/>
      <c r="J531" s="6"/>
      <c r="K531" s="5"/>
      <c r="O531" s="7" t="s">
        <v>195</v>
      </c>
      <c r="P531" s="7" t="s">
        <v>196</v>
      </c>
      <c r="Q531" s="7" t="s">
        <v>1614</v>
      </c>
      <c r="R531" s="7" t="s">
        <v>11</v>
      </c>
      <c r="S531" s="7" t="s">
        <v>1615</v>
      </c>
      <c r="T531" s="7" t="s">
        <v>1616</v>
      </c>
      <c r="U531" s="7" t="s">
        <v>1614</v>
      </c>
    </row>
    <row r="532" spans="5:21">
      <c r="E532" s="5"/>
      <c r="F532" s="5"/>
      <c r="G532" s="5"/>
      <c r="H532" s="5"/>
      <c r="I532" s="5"/>
      <c r="J532" s="6"/>
      <c r="K532" s="5"/>
      <c r="O532" s="7" t="s">
        <v>251</v>
      </c>
      <c r="P532" s="7" t="s">
        <v>252</v>
      </c>
      <c r="Q532" s="7" t="s">
        <v>1617</v>
      </c>
      <c r="R532" s="7" t="s">
        <v>254</v>
      </c>
      <c r="S532" s="7" t="s">
        <v>1618</v>
      </c>
      <c r="T532" s="7" t="s">
        <v>1619</v>
      </c>
      <c r="U532" s="7" t="s">
        <v>1617</v>
      </c>
    </row>
    <row r="533" spans="5:21">
      <c r="E533" s="5"/>
      <c r="F533" s="5"/>
      <c r="G533" s="5"/>
      <c r="H533" s="5"/>
      <c r="I533" s="5"/>
      <c r="J533" s="6"/>
      <c r="K533" s="5"/>
      <c r="O533" s="7" t="s">
        <v>23</v>
      </c>
      <c r="P533" s="7" t="s">
        <v>24</v>
      </c>
      <c r="Q533" s="7" t="s">
        <v>1620</v>
      </c>
      <c r="R533" s="7" t="s">
        <v>11</v>
      </c>
      <c r="S533" s="7" t="s">
        <v>1621</v>
      </c>
      <c r="T533" s="7" t="s">
        <v>1622</v>
      </c>
      <c r="U533" s="7" t="s">
        <v>1620</v>
      </c>
    </row>
    <row r="534" spans="5:21">
      <c r="E534" s="5"/>
      <c r="F534" s="5"/>
      <c r="G534" s="5"/>
      <c r="H534" s="5"/>
      <c r="I534" s="5"/>
      <c r="J534" s="6"/>
      <c r="K534" s="5"/>
      <c r="O534" s="7" t="s">
        <v>47</v>
      </c>
      <c r="P534" s="7" t="s">
        <v>48</v>
      </c>
      <c r="Q534" s="7" t="s">
        <v>1623</v>
      </c>
      <c r="R534" s="7" t="s">
        <v>17</v>
      </c>
      <c r="S534" s="7" t="s">
        <v>1624</v>
      </c>
      <c r="T534" s="7" t="s">
        <v>1625</v>
      </c>
      <c r="U534" s="7" t="s">
        <v>1623</v>
      </c>
    </row>
    <row r="535" spans="5:21">
      <c r="E535" s="5"/>
      <c r="F535" s="5"/>
      <c r="G535" s="5"/>
      <c r="H535" s="5"/>
      <c r="I535" s="5"/>
      <c r="J535" s="6"/>
      <c r="K535" s="5"/>
      <c r="O535" s="7" t="s">
        <v>28</v>
      </c>
      <c r="P535" s="7" t="s">
        <v>29</v>
      </c>
      <c r="Q535" s="7" t="s">
        <v>1626</v>
      </c>
      <c r="R535" s="7" t="s">
        <v>11</v>
      </c>
      <c r="S535" s="7" t="s">
        <v>1627</v>
      </c>
      <c r="T535" s="7" t="s">
        <v>1628</v>
      </c>
      <c r="U535" s="7" t="s">
        <v>1626</v>
      </c>
    </row>
    <row r="536" spans="5:21">
      <c r="E536" s="5"/>
      <c r="F536" s="5"/>
      <c r="G536" s="5"/>
      <c r="H536" s="5"/>
      <c r="I536" s="5"/>
      <c r="J536" s="6"/>
      <c r="K536" s="5"/>
      <c r="O536" s="7" t="s">
        <v>47</v>
      </c>
      <c r="P536" s="7" t="s">
        <v>48</v>
      </c>
      <c r="Q536" s="7" t="s">
        <v>1629</v>
      </c>
      <c r="R536" s="7" t="s">
        <v>17</v>
      </c>
      <c r="S536" s="7" t="s">
        <v>1630</v>
      </c>
      <c r="T536" s="7" t="s">
        <v>1631</v>
      </c>
      <c r="U536" s="7" t="s">
        <v>1629</v>
      </c>
    </row>
    <row r="537" spans="5:21">
      <c r="E537" s="5"/>
      <c r="F537" s="5"/>
      <c r="G537" s="5"/>
      <c r="H537" s="5"/>
      <c r="I537" s="5"/>
      <c r="J537" s="6"/>
      <c r="K537" s="5"/>
      <c r="O537" s="7" t="s">
        <v>8</v>
      </c>
      <c r="P537" s="7" t="s">
        <v>9</v>
      </c>
      <c r="Q537" s="7" t="s">
        <v>1632</v>
      </c>
      <c r="R537" s="7" t="s">
        <v>11</v>
      </c>
      <c r="S537" s="7" t="s">
        <v>1633</v>
      </c>
      <c r="T537" s="7" t="s">
        <v>1634</v>
      </c>
      <c r="U537" s="7" t="s">
        <v>1632</v>
      </c>
    </row>
    <row r="538" spans="5:21">
      <c r="E538" s="5"/>
      <c r="F538" s="5"/>
      <c r="G538" s="5"/>
      <c r="H538" s="5"/>
      <c r="I538" s="5"/>
      <c r="J538" s="6"/>
      <c r="K538" s="5"/>
      <c r="O538" s="7" t="s">
        <v>8</v>
      </c>
      <c r="P538" s="7" t="s">
        <v>9</v>
      </c>
      <c r="Q538" s="7" t="s">
        <v>1635</v>
      </c>
      <c r="R538" s="7" t="s">
        <v>11</v>
      </c>
      <c r="S538" s="7" t="s">
        <v>1636</v>
      </c>
      <c r="T538" s="7" t="s">
        <v>1637</v>
      </c>
      <c r="U538" s="7" t="s">
        <v>1635</v>
      </c>
    </row>
    <row r="539" spans="5:21">
      <c r="E539" s="5"/>
      <c r="F539" s="5"/>
      <c r="G539" s="5"/>
      <c r="H539" s="5"/>
      <c r="I539" s="5"/>
      <c r="J539" s="6"/>
      <c r="K539" s="5"/>
      <c r="O539" s="7" t="s">
        <v>23</v>
      </c>
      <c r="P539" s="7" t="s">
        <v>24</v>
      </c>
      <c r="Q539" s="7" t="s">
        <v>1638</v>
      </c>
      <c r="R539" s="7" t="s">
        <v>11</v>
      </c>
      <c r="S539" s="7" t="s">
        <v>1639</v>
      </c>
      <c r="T539" s="7" t="s">
        <v>1640</v>
      </c>
      <c r="U539" s="7" t="s">
        <v>1638</v>
      </c>
    </row>
    <row r="540" spans="5:21">
      <c r="E540" s="5"/>
      <c r="F540" s="5"/>
      <c r="G540" s="5"/>
      <c r="H540" s="5"/>
      <c r="I540" s="5"/>
      <c r="J540" s="6"/>
      <c r="K540" s="5"/>
      <c r="O540" s="7" t="s">
        <v>33</v>
      </c>
      <c r="P540" s="7" t="s">
        <v>34</v>
      </c>
      <c r="Q540" s="7" t="s">
        <v>1641</v>
      </c>
      <c r="R540" s="7" t="s">
        <v>11</v>
      </c>
      <c r="S540" s="7" t="s">
        <v>1642</v>
      </c>
      <c r="T540" s="7" t="s">
        <v>1643</v>
      </c>
      <c r="U540" s="7" t="s">
        <v>1641</v>
      </c>
    </row>
    <row r="541" spans="5:21">
      <c r="E541" s="5"/>
      <c r="F541" s="5"/>
      <c r="G541" s="5"/>
      <c r="H541" s="5"/>
      <c r="I541" s="5"/>
      <c r="J541" s="6"/>
      <c r="K541" s="5"/>
      <c r="O541" s="7" t="s">
        <v>8</v>
      </c>
      <c r="P541" s="7" t="s">
        <v>9</v>
      </c>
      <c r="Q541" s="7" t="s">
        <v>1644</v>
      </c>
      <c r="R541" s="7" t="s">
        <v>11</v>
      </c>
      <c r="S541" s="7" t="s">
        <v>1645</v>
      </c>
      <c r="T541" s="7" t="s">
        <v>1646</v>
      </c>
      <c r="U541" s="7" t="s">
        <v>1644</v>
      </c>
    </row>
    <row r="542" spans="5:21">
      <c r="E542" s="5"/>
      <c r="F542" s="5"/>
      <c r="G542" s="5"/>
      <c r="H542" s="5"/>
      <c r="I542" s="5"/>
      <c r="J542" s="6"/>
      <c r="K542" s="5"/>
      <c r="O542" s="7" t="s">
        <v>8</v>
      </c>
      <c r="P542" s="7" t="s">
        <v>9</v>
      </c>
      <c r="Q542" s="7" t="s">
        <v>1647</v>
      </c>
      <c r="R542" s="7" t="s">
        <v>11</v>
      </c>
      <c r="S542" s="7" t="s">
        <v>1648</v>
      </c>
      <c r="T542" s="7" t="s">
        <v>1649</v>
      </c>
      <c r="U542" s="7" t="s">
        <v>1647</v>
      </c>
    </row>
    <row r="543" spans="5:21">
      <c r="E543" s="5"/>
      <c r="F543" s="5"/>
      <c r="G543" s="5"/>
      <c r="H543" s="5"/>
      <c r="I543" s="5"/>
      <c r="J543" s="6"/>
      <c r="K543" s="5"/>
      <c r="O543" s="7" t="s">
        <v>28</v>
      </c>
      <c r="P543" s="7" t="s">
        <v>29</v>
      </c>
      <c r="Q543" s="7" t="s">
        <v>1650</v>
      </c>
      <c r="R543" s="7" t="s">
        <v>11</v>
      </c>
      <c r="S543" s="7" t="s">
        <v>1651</v>
      </c>
      <c r="T543" s="7" t="s">
        <v>1652</v>
      </c>
      <c r="U543" s="7" t="s">
        <v>1650</v>
      </c>
    </row>
    <row r="544" spans="5:21">
      <c r="E544" s="5"/>
      <c r="F544" s="5"/>
      <c r="G544" s="5"/>
      <c r="H544" s="5"/>
      <c r="I544" s="5"/>
      <c r="J544" s="6"/>
      <c r="K544" s="5"/>
      <c r="O544" s="7" t="s">
        <v>251</v>
      </c>
      <c r="P544" s="7" t="s">
        <v>252</v>
      </c>
      <c r="Q544" s="7" t="s">
        <v>1653</v>
      </c>
      <c r="R544" s="7" t="s">
        <v>254</v>
      </c>
      <c r="S544" s="7" t="s">
        <v>1654</v>
      </c>
      <c r="T544" s="7" t="s">
        <v>1655</v>
      </c>
      <c r="U544" s="7" t="s">
        <v>1653</v>
      </c>
    </row>
    <row r="545" spans="5:21">
      <c r="E545" s="5"/>
      <c r="F545" s="5"/>
      <c r="G545" s="5"/>
      <c r="H545" s="5"/>
      <c r="I545" s="5"/>
      <c r="J545" s="6"/>
      <c r="K545" s="5"/>
      <c r="O545" s="7" t="s">
        <v>58</v>
      </c>
      <c r="P545" s="7" t="s">
        <v>59</v>
      </c>
      <c r="Q545" s="7" t="s">
        <v>1656</v>
      </c>
      <c r="R545" s="7" t="s">
        <v>11</v>
      </c>
      <c r="S545" s="7" t="s">
        <v>1657</v>
      </c>
      <c r="T545" s="7" t="s">
        <v>1658</v>
      </c>
      <c r="U545" s="7" t="s">
        <v>1656</v>
      </c>
    </row>
    <row r="546" spans="5:21">
      <c r="E546" s="5"/>
      <c r="F546" s="5"/>
      <c r="G546" s="5"/>
      <c r="H546" s="5"/>
      <c r="I546" s="5"/>
      <c r="J546" s="6"/>
      <c r="K546" s="5"/>
      <c r="O546" s="7" t="s">
        <v>28</v>
      </c>
      <c r="P546" s="7" t="s">
        <v>29</v>
      </c>
      <c r="Q546" s="7" t="s">
        <v>1659</v>
      </c>
      <c r="R546" s="7" t="s">
        <v>11</v>
      </c>
      <c r="S546" s="7" t="s">
        <v>1660</v>
      </c>
      <c r="T546" s="7" t="s">
        <v>1661</v>
      </c>
      <c r="U546" s="7" t="s">
        <v>1659</v>
      </c>
    </row>
    <row r="547" spans="5:21">
      <c r="E547" s="5"/>
      <c r="F547" s="5"/>
      <c r="G547" s="5"/>
      <c r="H547" s="5"/>
      <c r="I547" s="5"/>
      <c r="J547" s="6"/>
      <c r="K547" s="5"/>
      <c r="O547" s="7" t="s">
        <v>58</v>
      </c>
      <c r="P547" s="7" t="s">
        <v>59</v>
      </c>
      <c r="Q547" s="7" t="s">
        <v>1662</v>
      </c>
      <c r="R547" s="7" t="s">
        <v>11</v>
      </c>
      <c r="S547" s="7" t="s">
        <v>1663</v>
      </c>
      <c r="T547" s="7" t="s">
        <v>1664</v>
      </c>
      <c r="U547" s="7" t="s">
        <v>1662</v>
      </c>
    </row>
    <row r="548" spans="5:21">
      <c r="E548" s="5"/>
      <c r="F548" s="5"/>
      <c r="G548" s="5"/>
      <c r="H548" s="5"/>
      <c r="I548" s="5"/>
      <c r="J548" s="6"/>
      <c r="K548" s="5"/>
      <c r="O548" s="7" t="s">
        <v>28</v>
      </c>
      <c r="P548" s="7" t="s">
        <v>29</v>
      </c>
      <c r="Q548" s="7" t="s">
        <v>1665</v>
      </c>
      <c r="R548" s="7" t="s">
        <v>11</v>
      </c>
      <c r="S548" s="7" t="s">
        <v>1666</v>
      </c>
      <c r="T548" s="7" t="s">
        <v>1667</v>
      </c>
      <c r="U548" s="7" t="s">
        <v>1665</v>
      </c>
    </row>
    <row r="549" spans="5:21">
      <c r="E549" s="5"/>
      <c r="F549" s="5"/>
      <c r="G549" s="5"/>
      <c r="H549" s="5"/>
      <c r="I549" s="5"/>
      <c r="J549" s="6"/>
      <c r="K549" s="5"/>
      <c r="O549" s="7" t="s">
        <v>47</v>
      </c>
      <c r="P549" s="7" t="s">
        <v>48</v>
      </c>
      <c r="Q549" s="7" t="s">
        <v>1668</v>
      </c>
      <c r="R549" s="7" t="s">
        <v>17</v>
      </c>
      <c r="S549" s="7" t="s">
        <v>1669</v>
      </c>
      <c r="T549" s="7" t="s">
        <v>1670</v>
      </c>
      <c r="U549" s="7" t="s">
        <v>1668</v>
      </c>
    </row>
    <row r="550" spans="5:21">
      <c r="E550" s="5"/>
      <c r="F550" s="5"/>
      <c r="G550" s="5"/>
      <c r="H550" s="5"/>
      <c r="I550" s="5"/>
      <c r="J550" s="6"/>
      <c r="K550" s="5"/>
      <c r="O550" s="7" t="s">
        <v>28</v>
      </c>
      <c r="P550" s="7" t="s">
        <v>29</v>
      </c>
      <c r="Q550" s="7" t="s">
        <v>1671</v>
      </c>
      <c r="R550" s="7" t="s">
        <v>11</v>
      </c>
      <c r="S550" s="7" t="s">
        <v>1672</v>
      </c>
      <c r="T550" s="7" t="s">
        <v>1673</v>
      </c>
      <c r="U550" s="7" t="s">
        <v>1671</v>
      </c>
    </row>
    <row r="551" spans="5:21">
      <c r="E551" s="5"/>
      <c r="F551" s="5"/>
      <c r="G551" s="5"/>
      <c r="H551" s="5"/>
      <c r="I551" s="5"/>
      <c r="J551" s="6"/>
      <c r="K551" s="5"/>
      <c r="O551" s="7" t="s">
        <v>28</v>
      </c>
      <c r="P551" s="7" t="s">
        <v>29</v>
      </c>
      <c r="Q551" s="7" t="s">
        <v>1674</v>
      </c>
      <c r="R551" s="7" t="s">
        <v>11</v>
      </c>
      <c r="S551" s="7" t="s">
        <v>1675</v>
      </c>
      <c r="T551" s="7" t="s">
        <v>1676</v>
      </c>
      <c r="U551" s="7" t="s">
        <v>1674</v>
      </c>
    </row>
    <row r="552" spans="5:21">
      <c r="E552" s="5"/>
      <c r="F552" s="5"/>
      <c r="G552" s="5"/>
      <c r="H552" s="5"/>
      <c r="I552" s="5"/>
      <c r="J552" s="6"/>
      <c r="K552" s="5"/>
      <c r="O552" s="7" t="s">
        <v>8</v>
      </c>
      <c r="P552" s="7" t="s">
        <v>9</v>
      </c>
      <c r="Q552" s="7" t="s">
        <v>1677</v>
      </c>
      <c r="R552" s="7" t="s">
        <v>11</v>
      </c>
      <c r="S552" s="7" t="s">
        <v>1678</v>
      </c>
      <c r="T552" s="7" t="s">
        <v>1679</v>
      </c>
      <c r="U552" s="7" t="s">
        <v>1677</v>
      </c>
    </row>
    <row r="553" spans="5:21">
      <c r="E553" s="5"/>
      <c r="F553" s="5"/>
      <c r="G553" s="5"/>
      <c r="H553" s="5"/>
      <c r="I553" s="5"/>
      <c r="J553" s="6"/>
      <c r="K553" s="5"/>
      <c r="O553" s="7" t="s">
        <v>47</v>
      </c>
      <c r="P553" s="7" t="s">
        <v>48</v>
      </c>
      <c r="Q553" s="7" t="s">
        <v>1680</v>
      </c>
      <c r="R553" s="7" t="s">
        <v>17</v>
      </c>
      <c r="S553" s="7" t="s">
        <v>1681</v>
      </c>
      <c r="T553" s="7" t="s">
        <v>1682</v>
      </c>
      <c r="U553" s="7" t="s">
        <v>1680</v>
      </c>
    </row>
    <row r="554" spans="5:21">
      <c r="E554" s="5"/>
      <c r="F554" s="5"/>
      <c r="G554" s="5"/>
      <c r="H554" s="5"/>
      <c r="I554" s="5"/>
      <c r="J554" s="6"/>
      <c r="K554" s="5"/>
      <c r="O554" s="7" t="s">
        <v>47</v>
      </c>
      <c r="P554" s="7" t="s">
        <v>48</v>
      </c>
      <c r="Q554" s="7" t="s">
        <v>1683</v>
      </c>
      <c r="R554" s="7" t="s">
        <v>17</v>
      </c>
      <c r="S554" s="7" t="s">
        <v>1684</v>
      </c>
      <c r="T554" s="7" t="s">
        <v>1685</v>
      </c>
      <c r="U554" s="7" t="s">
        <v>1683</v>
      </c>
    </row>
    <row r="555" spans="5:21">
      <c r="E555" s="5"/>
      <c r="F555" s="9"/>
      <c r="G555" s="9"/>
      <c r="H555" s="9"/>
      <c r="I555" s="9"/>
      <c r="J555" s="20"/>
      <c r="K555" s="9"/>
      <c r="O555" s="7" t="s">
        <v>195</v>
      </c>
      <c r="P555" s="7" t="s">
        <v>196</v>
      </c>
      <c r="Q555" s="7" t="s">
        <v>1686</v>
      </c>
      <c r="R555" s="7" t="s">
        <v>11</v>
      </c>
      <c r="S555" s="7" t="s">
        <v>1687</v>
      </c>
      <c r="T555" s="7" t="s">
        <v>1688</v>
      </c>
      <c r="U555" s="7" t="s">
        <v>1686</v>
      </c>
    </row>
    <row r="556" spans="5:21">
      <c r="E556" s="5"/>
      <c r="F556" s="5"/>
      <c r="G556" s="5"/>
      <c r="H556" s="5"/>
      <c r="I556" s="5"/>
      <c r="J556" s="6"/>
      <c r="K556" s="5"/>
      <c r="O556" s="7" t="s">
        <v>8</v>
      </c>
      <c r="P556" s="7" t="s">
        <v>9</v>
      </c>
      <c r="Q556" s="7" t="s">
        <v>1689</v>
      </c>
      <c r="R556" s="7" t="s">
        <v>11</v>
      </c>
      <c r="S556" s="7" t="s">
        <v>1690</v>
      </c>
      <c r="T556" s="7" t="s">
        <v>1691</v>
      </c>
      <c r="U556" s="7" t="s">
        <v>1689</v>
      </c>
    </row>
    <row r="557" spans="5:21">
      <c r="E557" s="5"/>
      <c r="F557" s="5"/>
      <c r="G557" s="5"/>
      <c r="H557" s="5"/>
      <c r="I557" s="5"/>
      <c r="J557" s="6"/>
      <c r="K557" s="5"/>
      <c r="O557" s="7" t="s">
        <v>8</v>
      </c>
      <c r="P557" s="7" t="s">
        <v>9</v>
      </c>
      <c r="Q557" s="7" t="s">
        <v>1692</v>
      </c>
      <c r="R557" s="7" t="s">
        <v>11</v>
      </c>
      <c r="S557" s="7" t="s">
        <v>1693</v>
      </c>
      <c r="T557" s="7" t="s">
        <v>1694</v>
      </c>
      <c r="U557" s="7" t="s">
        <v>1692</v>
      </c>
    </row>
    <row r="558" spans="5:21">
      <c r="E558" s="5"/>
      <c r="F558" s="5"/>
      <c r="G558" s="5"/>
      <c r="H558" s="5"/>
      <c r="I558" s="5"/>
      <c r="J558" s="6"/>
      <c r="K558" s="5"/>
      <c r="O558" s="7" t="s">
        <v>8</v>
      </c>
      <c r="P558" s="7" t="s">
        <v>9</v>
      </c>
      <c r="Q558" s="7" t="s">
        <v>1695</v>
      </c>
      <c r="R558" s="7" t="s">
        <v>11</v>
      </c>
      <c r="S558" s="7" t="s">
        <v>1696</v>
      </c>
      <c r="T558" s="7" t="s">
        <v>1697</v>
      </c>
      <c r="U558" s="7" t="s">
        <v>1695</v>
      </c>
    </row>
    <row r="559" spans="5:21">
      <c r="E559" s="5"/>
      <c r="F559" s="5"/>
      <c r="G559" s="5"/>
      <c r="H559" s="5"/>
      <c r="I559" s="5"/>
      <c r="J559" s="6"/>
      <c r="K559" s="5"/>
      <c r="O559" s="7" t="s">
        <v>47</v>
      </c>
      <c r="P559" s="7" t="s">
        <v>48</v>
      </c>
      <c r="Q559" s="7" t="s">
        <v>1698</v>
      </c>
      <c r="R559" s="7" t="s">
        <v>17</v>
      </c>
      <c r="S559" s="7" t="s">
        <v>1699</v>
      </c>
      <c r="T559" s="7" t="s">
        <v>1700</v>
      </c>
      <c r="U559" s="7" t="s">
        <v>1698</v>
      </c>
    </row>
    <row r="560" spans="5:21">
      <c r="E560" s="5"/>
      <c r="F560" s="5"/>
      <c r="G560" s="5"/>
      <c r="H560" s="5"/>
      <c r="I560" s="5"/>
      <c r="J560" s="6"/>
      <c r="K560" s="5"/>
      <c r="O560" s="7" t="s">
        <v>28</v>
      </c>
      <c r="P560" s="7" t="s">
        <v>29</v>
      </c>
      <c r="Q560" s="7" t="s">
        <v>1701</v>
      </c>
      <c r="R560" s="7" t="s">
        <v>11</v>
      </c>
      <c r="S560" s="7" t="s">
        <v>1702</v>
      </c>
      <c r="T560" s="7" t="s">
        <v>1703</v>
      </c>
      <c r="U560" s="7" t="s">
        <v>1701</v>
      </c>
    </row>
    <row r="561" spans="5:21">
      <c r="E561" s="5"/>
      <c r="F561" s="5"/>
      <c r="G561" s="5"/>
      <c r="H561" s="5"/>
      <c r="I561" s="5"/>
      <c r="J561" s="6"/>
      <c r="K561" s="5"/>
      <c r="O561" s="7" t="s">
        <v>8</v>
      </c>
      <c r="P561" s="7" t="s">
        <v>9</v>
      </c>
      <c r="Q561" s="7" t="s">
        <v>1704</v>
      </c>
      <c r="R561" s="7" t="s">
        <v>11</v>
      </c>
      <c r="S561" s="7" t="s">
        <v>1705</v>
      </c>
      <c r="T561" s="7" t="s">
        <v>1706</v>
      </c>
      <c r="U561" s="7" t="s">
        <v>1704</v>
      </c>
    </row>
    <row r="562" spans="5:21">
      <c r="E562" s="5"/>
      <c r="F562" s="5"/>
      <c r="G562" s="5"/>
      <c r="H562" s="5"/>
      <c r="I562" s="5"/>
      <c r="J562" s="6"/>
      <c r="K562" s="5"/>
      <c r="O562" s="7" t="s">
        <v>58</v>
      </c>
      <c r="P562" s="7" t="s">
        <v>59</v>
      </c>
      <c r="Q562" s="7" t="s">
        <v>1707</v>
      </c>
      <c r="R562" s="7" t="s">
        <v>11</v>
      </c>
      <c r="S562" s="7" t="s">
        <v>1708</v>
      </c>
      <c r="T562" s="7" t="s">
        <v>1709</v>
      </c>
      <c r="U562" s="7" t="s">
        <v>1707</v>
      </c>
    </row>
    <row r="563" spans="5:21">
      <c r="E563" s="5"/>
      <c r="F563" s="5"/>
      <c r="G563" s="5"/>
      <c r="H563" s="5"/>
      <c r="I563" s="5"/>
      <c r="J563" s="6"/>
      <c r="K563" s="5"/>
      <c r="O563" s="7" t="s">
        <v>47</v>
      </c>
      <c r="P563" s="7" t="s">
        <v>48</v>
      </c>
      <c r="Q563" s="7" t="s">
        <v>1710</v>
      </c>
      <c r="R563" s="7" t="s">
        <v>17</v>
      </c>
      <c r="S563" s="7" t="s">
        <v>1711</v>
      </c>
      <c r="T563" s="7" t="s">
        <v>1712</v>
      </c>
      <c r="U563" s="7" t="s">
        <v>1710</v>
      </c>
    </row>
    <row r="564" spans="5:21">
      <c r="E564" s="5"/>
      <c r="F564" s="5"/>
      <c r="G564" s="5"/>
      <c r="H564" s="5"/>
      <c r="I564" s="5"/>
      <c r="J564" s="6"/>
      <c r="K564" s="5"/>
      <c r="O564" s="7" t="s">
        <v>28</v>
      </c>
      <c r="P564" s="7" t="s">
        <v>29</v>
      </c>
      <c r="Q564" s="7" t="s">
        <v>1713</v>
      </c>
      <c r="R564" s="7" t="s">
        <v>11</v>
      </c>
      <c r="S564" s="7" t="s">
        <v>1714</v>
      </c>
      <c r="T564" s="7" t="s">
        <v>1715</v>
      </c>
      <c r="U564" s="7" t="s">
        <v>1713</v>
      </c>
    </row>
    <row r="565" spans="5:21">
      <c r="E565" s="5"/>
      <c r="F565" s="5"/>
      <c r="G565" s="5"/>
      <c r="H565" s="5"/>
      <c r="I565" s="5"/>
      <c r="J565" s="6"/>
      <c r="K565" s="5"/>
      <c r="O565" s="7" t="s">
        <v>28</v>
      </c>
      <c r="P565" s="7" t="s">
        <v>29</v>
      </c>
      <c r="Q565" s="7" t="s">
        <v>1716</v>
      </c>
      <c r="R565" s="7" t="s">
        <v>11</v>
      </c>
      <c r="S565" s="7" t="s">
        <v>1717</v>
      </c>
      <c r="T565" s="7" t="s">
        <v>1718</v>
      </c>
      <c r="U565" s="7" t="s">
        <v>1716</v>
      </c>
    </row>
    <row r="566" spans="5:21">
      <c r="E566" s="5"/>
      <c r="F566" s="5"/>
      <c r="G566" s="5"/>
      <c r="H566" s="5"/>
      <c r="I566" s="5"/>
      <c r="J566" s="6"/>
      <c r="K566" s="5"/>
      <c r="O566" s="7" t="s">
        <v>28</v>
      </c>
      <c r="P566" s="7" t="s">
        <v>29</v>
      </c>
      <c r="Q566" s="7" t="s">
        <v>1719</v>
      </c>
      <c r="R566" s="7" t="s">
        <v>11</v>
      </c>
      <c r="S566" s="7" t="s">
        <v>1720</v>
      </c>
      <c r="T566" s="7" t="s">
        <v>1721</v>
      </c>
      <c r="U566" s="7" t="s">
        <v>1719</v>
      </c>
    </row>
    <row r="567" spans="5:21">
      <c r="E567" s="5"/>
      <c r="F567" s="5"/>
      <c r="G567" s="5"/>
      <c r="H567" s="5"/>
      <c r="I567" s="5"/>
      <c r="J567" s="6"/>
      <c r="K567" s="5"/>
      <c r="O567" s="7" t="s">
        <v>8</v>
      </c>
      <c r="P567" s="7" t="s">
        <v>9</v>
      </c>
      <c r="Q567" s="7" t="s">
        <v>1722</v>
      </c>
      <c r="R567" s="7" t="s">
        <v>11</v>
      </c>
      <c r="S567" s="7" t="s">
        <v>1723</v>
      </c>
      <c r="T567" s="7" t="s">
        <v>1724</v>
      </c>
      <c r="U567" s="7" t="s">
        <v>1722</v>
      </c>
    </row>
    <row r="568" spans="5:21">
      <c r="E568" s="5"/>
      <c r="F568" s="5"/>
      <c r="G568" s="5"/>
      <c r="H568" s="5"/>
      <c r="I568" s="5"/>
      <c r="J568" s="6"/>
      <c r="K568" s="5"/>
      <c r="O568" s="7" t="s">
        <v>8</v>
      </c>
      <c r="P568" s="7" t="s">
        <v>9</v>
      </c>
      <c r="Q568" s="7" t="s">
        <v>1725</v>
      </c>
      <c r="R568" s="7" t="s">
        <v>11</v>
      </c>
      <c r="S568" s="7" t="s">
        <v>1726</v>
      </c>
      <c r="T568" s="7" t="s">
        <v>1727</v>
      </c>
      <c r="U568" s="7" t="s">
        <v>1725</v>
      </c>
    </row>
    <row r="569" spans="5:21">
      <c r="E569" s="5"/>
      <c r="F569" s="5"/>
      <c r="G569" s="5"/>
      <c r="H569" s="5"/>
      <c r="I569" s="5"/>
      <c r="J569" s="6"/>
      <c r="K569" s="5"/>
      <c r="O569" s="7" t="s">
        <v>23</v>
      </c>
      <c r="P569" s="7" t="s">
        <v>24</v>
      </c>
      <c r="Q569" s="7" t="s">
        <v>1728</v>
      </c>
      <c r="R569" s="7" t="s">
        <v>11</v>
      </c>
      <c r="S569" s="7" t="s">
        <v>1729</v>
      </c>
      <c r="T569" s="7" t="s">
        <v>1730</v>
      </c>
      <c r="U569" s="7" t="s">
        <v>1728</v>
      </c>
    </row>
    <row r="570" spans="5:21">
      <c r="E570" s="5"/>
      <c r="F570" s="5"/>
      <c r="G570" s="5"/>
      <c r="H570" s="5"/>
      <c r="I570" s="5"/>
      <c r="J570" s="6"/>
      <c r="K570" s="5"/>
      <c r="O570" s="7" t="s">
        <v>28</v>
      </c>
      <c r="P570" s="7" t="s">
        <v>29</v>
      </c>
      <c r="Q570" s="7" t="s">
        <v>1731</v>
      </c>
      <c r="R570" s="7" t="s">
        <v>11</v>
      </c>
      <c r="S570" s="7" t="s">
        <v>1732</v>
      </c>
      <c r="T570" s="7" t="s">
        <v>1733</v>
      </c>
      <c r="U570" s="7" t="s">
        <v>1731</v>
      </c>
    </row>
    <row r="571" spans="5:21">
      <c r="E571" s="5"/>
      <c r="F571" s="5"/>
      <c r="G571" s="5"/>
      <c r="H571" s="5"/>
      <c r="I571" s="5"/>
      <c r="J571" s="6"/>
      <c r="K571" s="5"/>
      <c r="O571" s="7" t="s">
        <v>8</v>
      </c>
      <c r="P571" s="7" t="s">
        <v>9</v>
      </c>
      <c r="Q571" s="7" t="s">
        <v>1734</v>
      </c>
      <c r="R571" s="7" t="s">
        <v>11</v>
      </c>
      <c r="S571" s="7" t="s">
        <v>1735</v>
      </c>
      <c r="T571" s="7" t="s">
        <v>1736</v>
      </c>
      <c r="U571" s="7" t="s">
        <v>1734</v>
      </c>
    </row>
    <row r="572" spans="5:21">
      <c r="E572" s="5"/>
      <c r="F572" s="5"/>
      <c r="G572" s="5"/>
      <c r="H572" s="5"/>
      <c r="I572" s="5"/>
      <c r="J572" s="6"/>
      <c r="K572" s="5"/>
      <c r="O572" s="7" t="s">
        <v>47</v>
      </c>
      <c r="P572" s="7" t="s">
        <v>48</v>
      </c>
      <c r="Q572" s="7" t="s">
        <v>1737</v>
      </c>
      <c r="R572" s="7" t="s">
        <v>17</v>
      </c>
      <c r="S572" s="7" t="s">
        <v>1738</v>
      </c>
      <c r="T572" s="7" t="s">
        <v>1739</v>
      </c>
      <c r="U572" s="7" t="s">
        <v>1737</v>
      </c>
    </row>
    <row r="573" spans="5:21">
      <c r="E573" s="5"/>
      <c r="F573" s="5"/>
      <c r="G573" s="5"/>
      <c r="H573" s="5"/>
      <c r="I573" s="5"/>
      <c r="J573" s="6"/>
      <c r="K573" s="5"/>
      <c r="O573" s="7" t="s">
        <v>195</v>
      </c>
      <c r="P573" s="7" t="s">
        <v>196</v>
      </c>
      <c r="Q573" s="7" t="s">
        <v>1740</v>
      </c>
      <c r="R573" s="7" t="s">
        <v>11</v>
      </c>
      <c r="S573" s="7" t="s">
        <v>1741</v>
      </c>
      <c r="T573" s="7" t="s">
        <v>1742</v>
      </c>
      <c r="U573" s="7" t="s">
        <v>1740</v>
      </c>
    </row>
    <row r="574" spans="5:21">
      <c r="E574" s="5"/>
      <c r="F574" s="5"/>
      <c r="G574" s="5"/>
      <c r="H574" s="5"/>
      <c r="I574" s="5"/>
      <c r="J574" s="6"/>
      <c r="K574" s="5"/>
      <c r="O574" s="7" t="s">
        <v>47</v>
      </c>
      <c r="P574" s="7" t="s">
        <v>48</v>
      </c>
      <c r="Q574" s="7" t="s">
        <v>1743</v>
      </c>
      <c r="R574" s="7" t="s">
        <v>17</v>
      </c>
      <c r="S574" s="7" t="s">
        <v>1744</v>
      </c>
      <c r="T574" s="7" t="s">
        <v>1745</v>
      </c>
      <c r="U574" s="7" t="s">
        <v>1743</v>
      </c>
    </row>
    <row r="575" spans="5:21">
      <c r="E575" s="5"/>
      <c r="F575" s="5"/>
      <c r="G575" s="5"/>
      <c r="H575" s="5"/>
      <c r="I575" s="5"/>
      <c r="J575" s="6"/>
      <c r="K575" s="5"/>
      <c r="O575" s="7" t="s">
        <v>47</v>
      </c>
      <c r="P575" s="7" t="s">
        <v>48</v>
      </c>
      <c r="Q575" s="7" t="s">
        <v>1746</v>
      </c>
      <c r="R575" s="7" t="s">
        <v>17</v>
      </c>
      <c r="S575" s="7" t="s">
        <v>1747</v>
      </c>
      <c r="T575" s="7" t="s">
        <v>1748</v>
      </c>
      <c r="U575" s="7" t="s">
        <v>1746</v>
      </c>
    </row>
    <row r="576" spans="5:21">
      <c r="E576" s="5"/>
      <c r="F576" s="5"/>
      <c r="G576" s="5"/>
      <c r="H576" s="5"/>
      <c r="I576" s="5"/>
      <c r="J576" s="6"/>
      <c r="K576" s="5"/>
      <c r="O576" s="7" t="s">
        <v>47</v>
      </c>
      <c r="P576" s="7" t="s">
        <v>48</v>
      </c>
      <c r="Q576" s="7" t="s">
        <v>1749</v>
      </c>
      <c r="R576" s="7" t="s">
        <v>17</v>
      </c>
      <c r="S576" s="7" t="s">
        <v>1750</v>
      </c>
      <c r="T576" s="7" t="s">
        <v>1751</v>
      </c>
      <c r="U576" s="7" t="s">
        <v>1749</v>
      </c>
    </row>
    <row r="577" spans="5:21">
      <c r="E577" s="5"/>
      <c r="F577" s="5"/>
      <c r="G577" s="5"/>
      <c r="H577" s="5"/>
      <c r="I577" s="5"/>
      <c r="J577" s="6"/>
      <c r="K577" s="5"/>
      <c r="O577" s="7" t="s">
        <v>8</v>
      </c>
      <c r="P577" s="7" t="s">
        <v>9</v>
      </c>
      <c r="Q577" s="7" t="s">
        <v>1752</v>
      </c>
      <c r="R577" s="7" t="s">
        <v>11</v>
      </c>
      <c r="S577" s="7" t="s">
        <v>1753</v>
      </c>
      <c r="T577" s="7" t="s">
        <v>1754</v>
      </c>
      <c r="U577" s="7" t="s">
        <v>1752</v>
      </c>
    </row>
    <row r="578" spans="5:21">
      <c r="E578" s="5"/>
      <c r="F578" s="5"/>
      <c r="G578" s="5"/>
      <c r="H578" s="5"/>
      <c r="I578" s="5"/>
      <c r="J578" s="6"/>
      <c r="K578" s="5"/>
      <c r="O578" s="7" t="s">
        <v>8</v>
      </c>
      <c r="P578" s="7" t="s">
        <v>9</v>
      </c>
      <c r="Q578" s="7" t="s">
        <v>1755</v>
      </c>
      <c r="R578" s="7" t="s">
        <v>11</v>
      </c>
      <c r="S578" s="7" t="s">
        <v>1756</v>
      </c>
      <c r="T578" s="7" t="s">
        <v>1757</v>
      </c>
      <c r="U578" s="7" t="s">
        <v>1755</v>
      </c>
    </row>
    <row r="579" spans="5:21">
      <c r="E579" s="5"/>
      <c r="F579" s="5"/>
      <c r="G579" s="5"/>
      <c r="H579" s="5"/>
      <c r="I579" s="5"/>
      <c r="J579" s="6"/>
      <c r="K579" s="5"/>
      <c r="O579" s="7" t="s">
        <v>33</v>
      </c>
      <c r="P579" s="7" t="s">
        <v>34</v>
      </c>
      <c r="Q579" s="7" t="s">
        <v>1758</v>
      </c>
      <c r="R579" s="7" t="s">
        <v>11</v>
      </c>
      <c r="S579" s="7" t="s">
        <v>1759</v>
      </c>
      <c r="T579" s="7" t="s">
        <v>1760</v>
      </c>
      <c r="U579" s="7" t="s">
        <v>1758</v>
      </c>
    </row>
    <row r="580" spans="5:21">
      <c r="E580" s="5"/>
      <c r="F580" s="5"/>
      <c r="G580" s="5"/>
      <c r="H580" s="5"/>
      <c r="I580" s="5"/>
      <c r="J580" s="6"/>
      <c r="K580" s="5"/>
      <c r="O580" s="7" t="s">
        <v>8</v>
      </c>
      <c r="P580" s="7" t="s">
        <v>9</v>
      </c>
      <c r="Q580" s="7" t="s">
        <v>1761</v>
      </c>
      <c r="R580" s="7" t="s">
        <v>11</v>
      </c>
      <c r="S580" s="7" t="s">
        <v>1762</v>
      </c>
      <c r="T580" s="7" t="s">
        <v>1763</v>
      </c>
      <c r="U580" s="7" t="s">
        <v>1761</v>
      </c>
    </row>
    <row r="581" spans="5:21">
      <c r="E581" s="5"/>
      <c r="F581" s="5"/>
      <c r="G581" s="5"/>
      <c r="H581" s="5"/>
      <c r="I581" s="5"/>
      <c r="J581" s="6"/>
      <c r="K581" s="5"/>
      <c r="O581" s="7" t="s">
        <v>8</v>
      </c>
      <c r="P581" s="7" t="s">
        <v>9</v>
      </c>
      <c r="Q581" s="7" t="s">
        <v>1764</v>
      </c>
      <c r="R581" s="7" t="s">
        <v>11</v>
      </c>
      <c r="S581" s="7" t="s">
        <v>1765</v>
      </c>
      <c r="T581" s="7" t="s">
        <v>1766</v>
      </c>
      <c r="U581" s="7" t="s">
        <v>1764</v>
      </c>
    </row>
    <row r="582" spans="5:21">
      <c r="E582" s="5"/>
      <c r="F582" s="5"/>
      <c r="G582" s="5"/>
      <c r="H582" s="5"/>
      <c r="I582" s="5"/>
      <c r="J582" s="6"/>
      <c r="K582" s="5"/>
      <c r="O582" s="7" t="s">
        <v>251</v>
      </c>
      <c r="P582" s="7" t="s">
        <v>252</v>
      </c>
      <c r="Q582" s="7" t="s">
        <v>1767</v>
      </c>
      <c r="R582" s="7" t="s">
        <v>254</v>
      </c>
      <c r="S582" s="7" t="s">
        <v>1768</v>
      </c>
      <c r="T582" s="7" t="s">
        <v>1769</v>
      </c>
      <c r="U582" s="7" t="s">
        <v>1767</v>
      </c>
    </row>
    <row r="583" spans="5:21">
      <c r="E583" s="5"/>
      <c r="F583" s="5"/>
      <c r="G583" s="5"/>
      <c r="H583" s="5"/>
      <c r="I583" s="5"/>
      <c r="J583" s="6"/>
      <c r="K583" s="5"/>
      <c r="O583" s="7" t="s">
        <v>47</v>
      </c>
      <c r="P583" s="7" t="s">
        <v>48</v>
      </c>
      <c r="Q583" s="7" t="s">
        <v>1770</v>
      </c>
      <c r="R583" s="7" t="s">
        <v>17</v>
      </c>
      <c r="S583" s="7" t="s">
        <v>1771</v>
      </c>
      <c r="T583" s="7" t="s">
        <v>1772</v>
      </c>
      <c r="U583" s="7" t="s">
        <v>1770</v>
      </c>
    </row>
    <row r="584" spans="5:21">
      <c r="E584" s="5"/>
      <c r="F584" s="5"/>
      <c r="G584" s="5"/>
      <c r="H584" s="5"/>
      <c r="I584" s="5"/>
      <c r="J584" s="6"/>
      <c r="K584" s="5"/>
      <c r="O584" s="7" t="s">
        <v>251</v>
      </c>
      <c r="P584" s="7" t="s">
        <v>252</v>
      </c>
      <c r="Q584" s="7" t="s">
        <v>1773</v>
      </c>
      <c r="R584" s="7" t="s">
        <v>254</v>
      </c>
      <c r="S584" s="7" t="s">
        <v>1774</v>
      </c>
      <c r="T584" s="7" t="s">
        <v>1775</v>
      </c>
      <c r="U584" s="7" t="s">
        <v>1773</v>
      </c>
    </row>
    <row r="585" spans="5:21">
      <c r="E585" s="5"/>
      <c r="F585" s="5"/>
      <c r="G585" s="5"/>
      <c r="H585" s="5"/>
      <c r="I585" s="5"/>
      <c r="J585" s="6"/>
      <c r="K585" s="5"/>
      <c r="O585" s="7" t="s">
        <v>251</v>
      </c>
      <c r="P585" s="7" t="s">
        <v>252</v>
      </c>
      <c r="Q585" s="7" t="s">
        <v>1776</v>
      </c>
      <c r="R585" s="7" t="s">
        <v>254</v>
      </c>
      <c r="S585" s="7" t="s">
        <v>1777</v>
      </c>
      <c r="T585" s="7" t="s">
        <v>1778</v>
      </c>
      <c r="U585" s="7" t="s">
        <v>1776</v>
      </c>
    </row>
    <row r="586" spans="5:21">
      <c r="E586" s="5"/>
      <c r="F586" s="5"/>
      <c r="G586" s="5"/>
      <c r="H586" s="5"/>
      <c r="I586" s="5"/>
      <c r="J586" s="6"/>
      <c r="K586" s="5"/>
      <c r="O586" s="7" t="s">
        <v>28</v>
      </c>
      <c r="P586" s="7" t="s">
        <v>29</v>
      </c>
      <c r="Q586" s="7" t="s">
        <v>1779</v>
      </c>
      <c r="R586" s="7" t="s">
        <v>11</v>
      </c>
      <c r="S586" s="7" t="s">
        <v>1780</v>
      </c>
      <c r="T586" s="7" t="s">
        <v>1781</v>
      </c>
      <c r="U586" s="7" t="s">
        <v>1779</v>
      </c>
    </row>
    <row r="587" spans="5:21">
      <c r="E587" s="5"/>
      <c r="F587" s="5"/>
      <c r="G587" s="5"/>
      <c r="H587" s="5"/>
      <c r="I587" s="5"/>
      <c r="J587" s="6"/>
      <c r="K587" s="5"/>
      <c r="O587" s="7" t="s">
        <v>8</v>
      </c>
      <c r="P587" s="7" t="s">
        <v>9</v>
      </c>
      <c r="Q587" s="7" t="s">
        <v>1782</v>
      </c>
      <c r="R587" s="7" t="s">
        <v>11</v>
      </c>
      <c r="S587" s="7" t="s">
        <v>1783</v>
      </c>
      <c r="T587" s="7" t="s">
        <v>1784</v>
      </c>
      <c r="U587" s="7" t="s">
        <v>1782</v>
      </c>
    </row>
    <row r="588" spans="5:21">
      <c r="E588" s="5"/>
      <c r="F588" s="12"/>
      <c r="G588" s="12"/>
      <c r="H588" s="12"/>
      <c r="I588" s="5"/>
      <c r="J588" s="6"/>
      <c r="K588" s="5"/>
      <c r="O588" s="7" t="s">
        <v>28</v>
      </c>
      <c r="P588" s="7" t="s">
        <v>29</v>
      </c>
      <c r="Q588" s="7" t="s">
        <v>1785</v>
      </c>
      <c r="R588" s="7" t="s">
        <v>11</v>
      </c>
      <c r="S588" s="7" t="s">
        <v>1786</v>
      </c>
      <c r="T588" s="7" t="s">
        <v>1787</v>
      </c>
      <c r="U588" s="7" t="s">
        <v>1785</v>
      </c>
    </row>
    <row r="589" spans="5:21">
      <c r="E589" s="15"/>
      <c r="F589" s="15"/>
      <c r="G589" s="15"/>
      <c r="H589" s="15"/>
      <c r="I589" s="15"/>
      <c r="J589" s="16"/>
      <c r="K589" s="15"/>
      <c r="O589" s="7" t="s">
        <v>195</v>
      </c>
      <c r="P589" s="7" t="s">
        <v>196</v>
      </c>
      <c r="Q589" s="7" t="s">
        <v>1788</v>
      </c>
      <c r="R589" s="7" t="s">
        <v>11</v>
      </c>
      <c r="S589" s="7" t="s">
        <v>1789</v>
      </c>
      <c r="T589" s="7" t="s">
        <v>1790</v>
      </c>
      <c r="U589" s="7" t="s">
        <v>1788</v>
      </c>
    </row>
    <row r="590" spans="5:21">
      <c r="E590" s="5"/>
      <c r="F590" s="5"/>
      <c r="G590" s="5"/>
      <c r="H590" s="5"/>
      <c r="I590" s="5"/>
      <c r="J590" s="6"/>
      <c r="K590" s="5"/>
      <c r="O590" s="7" t="s">
        <v>14</v>
      </c>
      <c r="P590" s="7" t="s">
        <v>15</v>
      </c>
      <c r="Q590" s="7" t="s">
        <v>1791</v>
      </c>
      <c r="R590" s="7" t="s">
        <v>17</v>
      </c>
      <c r="S590" s="7" t="s">
        <v>1792</v>
      </c>
      <c r="T590" s="7" t="s">
        <v>1793</v>
      </c>
      <c r="U590" s="7" t="s">
        <v>1791</v>
      </c>
    </row>
    <row r="591" spans="5:21">
      <c r="E591" s="5"/>
      <c r="F591" s="12"/>
      <c r="G591" s="12"/>
      <c r="H591" s="12"/>
      <c r="I591" s="5"/>
      <c r="J591" s="6"/>
      <c r="K591" s="5"/>
      <c r="O591" s="7" t="s">
        <v>14</v>
      </c>
      <c r="P591" s="7" t="s">
        <v>15</v>
      </c>
      <c r="Q591" s="7" t="s">
        <v>1794</v>
      </c>
      <c r="R591" s="7" t="s">
        <v>17</v>
      </c>
      <c r="S591" s="7" t="s">
        <v>1795</v>
      </c>
      <c r="T591" s="7" t="s">
        <v>1796</v>
      </c>
      <c r="U591" s="7" t="s">
        <v>1794</v>
      </c>
    </row>
    <row r="592" spans="5:21">
      <c r="E592" s="5"/>
      <c r="F592" s="13"/>
      <c r="G592" s="13"/>
      <c r="H592" s="12"/>
      <c r="I592" s="5"/>
      <c r="J592" s="6"/>
      <c r="K592" s="5"/>
      <c r="O592" s="7" t="s">
        <v>28</v>
      </c>
      <c r="P592" s="7" t="s">
        <v>29</v>
      </c>
      <c r="Q592" s="7" t="s">
        <v>1797</v>
      </c>
      <c r="R592" s="7" t="s">
        <v>11</v>
      </c>
      <c r="S592" s="7" t="s">
        <v>1798</v>
      </c>
      <c r="T592" s="7" t="s">
        <v>1799</v>
      </c>
      <c r="U592" s="7" t="s">
        <v>1797</v>
      </c>
    </row>
    <row r="593" spans="5:21">
      <c r="E593" s="5"/>
      <c r="F593" s="13"/>
      <c r="G593" s="13"/>
      <c r="H593" s="12"/>
      <c r="I593" s="5"/>
      <c r="J593" s="6"/>
      <c r="K593" s="5"/>
      <c r="O593" s="7" t="s">
        <v>28</v>
      </c>
      <c r="P593" s="7" t="s">
        <v>29</v>
      </c>
      <c r="Q593" s="7" t="s">
        <v>1800</v>
      </c>
      <c r="R593" s="7" t="s">
        <v>11</v>
      </c>
      <c r="S593" s="7" t="s">
        <v>1801</v>
      </c>
      <c r="T593" s="7" t="s">
        <v>1802</v>
      </c>
      <c r="U593" s="7" t="s">
        <v>1800</v>
      </c>
    </row>
    <row r="594" spans="5:21">
      <c r="E594" s="5"/>
      <c r="F594" s="5"/>
      <c r="G594" s="5"/>
      <c r="H594" s="5"/>
      <c r="I594" s="5"/>
      <c r="J594" s="6"/>
      <c r="K594" s="5"/>
      <c r="O594" s="7" t="s">
        <v>195</v>
      </c>
      <c r="P594" s="7" t="s">
        <v>196</v>
      </c>
      <c r="Q594" s="7" t="s">
        <v>1803</v>
      </c>
      <c r="R594" s="7" t="s">
        <v>11</v>
      </c>
      <c r="S594" s="7" t="s">
        <v>1804</v>
      </c>
      <c r="T594" s="7" t="s">
        <v>1805</v>
      </c>
      <c r="U594" s="7" t="s">
        <v>1803</v>
      </c>
    </row>
    <row r="595" spans="5:21">
      <c r="E595" s="15"/>
      <c r="F595" s="5"/>
      <c r="G595" s="5"/>
      <c r="H595" s="5"/>
      <c r="I595" s="5"/>
      <c r="J595" s="6"/>
      <c r="K595" s="5"/>
      <c r="O595" s="7" t="s">
        <v>28</v>
      </c>
      <c r="P595" s="7" t="s">
        <v>29</v>
      </c>
      <c r="Q595" s="7" t="s">
        <v>1806</v>
      </c>
      <c r="R595" s="7" t="s">
        <v>11</v>
      </c>
      <c r="S595" s="7" t="s">
        <v>1807</v>
      </c>
      <c r="T595" s="7" t="s">
        <v>1808</v>
      </c>
      <c r="U595" s="7" t="s">
        <v>1806</v>
      </c>
    </row>
    <row r="596" spans="5:21">
      <c r="E596" s="5"/>
      <c r="F596" s="5"/>
      <c r="G596" s="5"/>
      <c r="H596" s="5"/>
      <c r="I596" s="5"/>
      <c r="J596" s="6"/>
      <c r="K596" s="5"/>
      <c r="O596" s="7" t="s">
        <v>14</v>
      </c>
      <c r="P596" s="7" t="s">
        <v>15</v>
      </c>
      <c r="Q596" s="7" t="s">
        <v>1809</v>
      </c>
      <c r="R596" s="7" t="s">
        <v>17</v>
      </c>
      <c r="S596" s="7" t="s">
        <v>1810</v>
      </c>
      <c r="T596" s="7" t="s">
        <v>1811</v>
      </c>
      <c r="U596" s="7" t="s">
        <v>1809</v>
      </c>
    </row>
    <row r="597" spans="5:21">
      <c r="E597" s="5"/>
      <c r="F597" s="5"/>
      <c r="G597" s="5"/>
      <c r="H597" s="5"/>
      <c r="I597" s="5"/>
      <c r="J597" s="6"/>
      <c r="K597" s="5"/>
      <c r="O597" s="7" t="s">
        <v>47</v>
      </c>
      <c r="P597" s="7" t="s">
        <v>48</v>
      </c>
      <c r="Q597" s="7" t="s">
        <v>1812</v>
      </c>
      <c r="R597" s="7" t="s">
        <v>17</v>
      </c>
      <c r="S597" s="7" t="s">
        <v>1813</v>
      </c>
      <c r="T597" s="7" t="s">
        <v>1814</v>
      </c>
      <c r="U597" s="7" t="s">
        <v>1812</v>
      </c>
    </row>
    <row r="598" spans="5:21">
      <c r="E598" s="5"/>
      <c r="F598" s="5"/>
      <c r="G598" s="5"/>
      <c r="H598" s="5"/>
      <c r="I598" s="5"/>
      <c r="J598" s="6"/>
      <c r="K598" s="5"/>
      <c r="O598" s="7" t="s">
        <v>47</v>
      </c>
      <c r="P598" s="7" t="s">
        <v>48</v>
      </c>
      <c r="Q598" s="7" t="s">
        <v>1815</v>
      </c>
      <c r="R598" s="7" t="s">
        <v>17</v>
      </c>
      <c r="S598" s="7" t="s">
        <v>1816</v>
      </c>
      <c r="T598" s="7" t="s">
        <v>1817</v>
      </c>
      <c r="U598" s="7" t="s">
        <v>1815</v>
      </c>
    </row>
    <row r="599" spans="5:21">
      <c r="E599" s="5"/>
      <c r="F599" s="5"/>
      <c r="G599" s="5"/>
      <c r="H599" s="5"/>
      <c r="I599" s="5"/>
      <c r="J599" s="6"/>
      <c r="K599" s="5"/>
      <c r="O599" s="7" t="s">
        <v>28</v>
      </c>
      <c r="P599" s="7" t="s">
        <v>29</v>
      </c>
      <c r="Q599" s="7" t="s">
        <v>1818</v>
      </c>
      <c r="R599" s="7" t="s">
        <v>11</v>
      </c>
      <c r="S599" s="7" t="s">
        <v>1819</v>
      </c>
      <c r="T599" s="7" t="s">
        <v>1820</v>
      </c>
      <c r="U599" s="7" t="s">
        <v>1818</v>
      </c>
    </row>
    <row r="600" spans="5:21">
      <c r="E600" s="5"/>
      <c r="F600" s="5"/>
      <c r="G600" s="5"/>
      <c r="H600" s="5"/>
      <c r="I600" s="5"/>
      <c r="J600" s="6"/>
      <c r="K600" s="5"/>
      <c r="O600" s="7" t="s">
        <v>47</v>
      </c>
      <c r="P600" s="7" t="s">
        <v>48</v>
      </c>
      <c r="Q600" s="7" t="s">
        <v>1821</v>
      </c>
      <c r="R600" s="7" t="s">
        <v>17</v>
      </c>
      <c r="S600" s="7" t="s">
        <v>1822</v>
      </c>
      <c r="T600" s="7" t="s">
        <v>1823</v>
      </c>
      <c r="U600" s="7" t="s">
        <v>1821</v>
      </c>
    </row>
    <row r="601" spans="5:21">
      <c r="E601" s="5"/>
      <c r="F601" s="5"/>
      <c r="G601" s="5"/>
      <c r="H601" s="5"/>
      <c r="I601" s="5"/>
      <c r="J601" s="6"/>
      <c r="K601" s="5"/>
      <c r="O601" s="7" t="s">
        <v>195</v>
      </c>
      <c r="P601" s="7" t="s">
        <v>196</v>
      </c>
      <c r="Q601" s="7" t="s">
        <v>1824</v>
      </c>
      <c r="R601" s="7" t="s">
        <v>11</v>
      </c>
      <c r="S601" s="7" t="s">
        <v>1825</v>
      </c>
      <c r="T601" s="7" t="s">
        <v>1826</v>
      </c>
      <c r="U601" s="7" t="s">
        <v>1824</v>
      </c>
    </row>
    <row r="602" spans="5:21">
      <c r="E602" s="5"/>
      <c r="F602" s="5"/>
      <c r="G602" s="5"/>
      <c r="H602" s="5"/>
      <c r="I602" s="5"/>
      <c r="J602" s="6"/>
      <c r="K602" s="5"/>
      <c r="O602" s="7" t="s">
        <v>28</v>
      </c>
      <c r="P602" s="7" t="s">
        <v>29</v>
      </c>
      <c r="Q602" s="7" t="s">
        <v>1827</v>
      </c>
      <c r="R602" s="7" t="s">
        <v>11</v>
      </c>
      <c r="S602" s="7" t="s">
        <v>1828</v>
      </c>
      <c r="T602" s="7" t="s">
        <v>1829</v>
      </c>
      <c r="U602" s="7" t="s">
        <v>1827</v>
      </c>
    </row>
    <row r="603" spans="5:21">
      <c r="E603" s="5"/>
      <c r="F603" s="5"/>
      <c r="G603" s="5"/>
      <c r="H603" s="5"/>
      <c r="I603" s="5"/>
      <c r="J603" s="6"/>
      <c r="K603" s="5"/>
      <c r="O603" s="7" t="s">
        <v>23</v>
      </c>
      <c r="P603" s="7" t="s">
        <v>24</v>
      </c>
      <c r="Q603" s="7" t="s">
        <v>1830</v>
      </c>
      <c r="R603" s="7" t="s">
        <v>11</v>
      </c>
      <c r="S603" s="7" t="s">
        <v>1831</v>
      </c>
      <c r="T603" s="7" t="s">
        <v>1832</v>
      </c>
      <c r="U603" s="7" t="s">
        <v>1830</v>
      </c>
    </row>
    <row r="604" spans="5:21">
      <c r="E604" s="5"/>
      <c r="F604" s="5"/>
      <c r="G604" s="5"/>
      <c r="H604" s="5"/>
      <c r="I604" s="5"/>
      <c r="J604" s="6"/>
      <c r="K604" s="5"/>
      <c r="O604" s="7" t="s">
        <v>28</v>
      </c>
      <c r="P604" s="7" t="s">
        <v>29</v>
      </c>
      <c r="Q604" s="7" t="s">
        <v>1833</v>
      </c>
      <c r="R604" s="7" t="s">
        <v>11</v>
      </c>
      <c r="S604" s="7" t="s">
        <v>1834</v>
      </c>
      <c r="T604" s="7" t="s">
        <v>1835</v>
      </c>
      <c r="U604" s="7" t="s">
        <v>1833</v>
      </c>
    </row>
    <row r="605" spans="5:21">
      <c r="E605" s="5"/>
      <c r="F605" s="5"/>
      <c r="G605" s="5"/>
      <c r="H605" s="5"/>
      <c r="I605" s="5"/>
      <c r="J605" s="6"/>
      <c r="K605" s="5"/>
      <c r="O605" s="7" t="s">
        <v>47</v>
      </c>
      <c r="P605" s="7" t="s">
        <v>48</v>
      </c>
      <c r="Q605" s="7" t="s">
        <v>1836</v>
      </c>
      <c r="R605" s="7" t="s">
        <v>17</v>
      </c>
      <c r="S605" s="7" t="s">
        <v>1837</v>
      </c>
      <c r="T605" s="7" t="s">
        <v>1838</v>
      </c>
      <c r="U605" s="7" t="s">
        <v>1836</v>
      </c>
    </row>
    <row r="606" spans="5:21">
      <c r="E606" s="5"/>
      <c r="F606" s="5"/>
      <c r="G606" s="5"/>
      <c r="H606" s="5"/>
      <c r="I606" s="5"/>
      <c r="J606" s="6"/>
      <c r="K606" s="5"/>
      <c r="O606" s="7" t="s">
        <v>14</v>
      </c>
      <c r="P606" s="7" t="s">
        <v>15</v>
      </c>
      <c r="Q606" s="7" t="s">
        <v>1839</v>
      </c>
      <c r="R606" s="7" t="s">
        <v>17</v>
      </c>
      <c r="S606" s="7" t="s">
        <v>1840</v>
      </c>
      <c r="T606" s="7" t="s">
        <v>1841</v>
      </c>
      <c r="U606" s="7" t="s">
        <v>1839</v>
      </c>
    </row>
    <row r="607" spans="5:21">
      <c r="E607" s="5"/>
      <c r="F607" s="5"/>
      <c r="G607" s="5"/>
      <c r="H607" s="5"/>
      <c r="I607" s="5"/>
      <c r="J607" s="6"/>
      <c r="K607" s="5"/>
      <c r="O607" s="7" t="s">
        <v>28</v>
      </c>
      <c r="P607" s="7" t="s">
        <v>29</v>
      </c>
      <c r="Q607" s="7" t="s">
        <v>1842</v>
      </c>
      <c r="R607" s="7" t="s">
        <v>11</v>
      </c>
      <c r="S607" s="7" t="s">
        <v>1843</v>
      </c>
      <c r="T607" s="7" t="s">
        <v>1844</v>
      </c>
      <c r="U607" s="7" t="s">
        <v>1842</v>
      </c>
    </row>
    <row r="608" spans="5:21">
      <c r="E608" s="5"/>
      <c r="F608" s="5"/>
      <c r="G608" s="5"/>
      <c r="H608" s="5"/>
      <c r="I608" s="5"/>
      <c r="J608" s="6"/>
      <c r="K608" s="5"/>
      <c r="O608" s="7" t="s">
        <v>28</v>
      </c>
      <c r="P608" s="7" t="s">
        <v>29</v>
      </c>
      <c r="Q608" s="7" t="s">
        <v>1845</v>
      </c>
      <c r="R608" s="7" t="s">
        <v>11</v>
      </c>
      <c r="S608" s="7" t="s">
        <v>1846</v>
      </c>
      <c r="T608" s="7" t="s">
        <v>1847</v>
      </c>
      <c r="U608" s="7" t="s">
        <v>1845</v>
      </c>
    </row>
    <row r="609" spans="5:21">
      <c r="E609" s="5"/>
      <c r="F609" s="5"/>
      <c r="G609" s="5"/>
      <c r="H609" s="5"/>
      <c r="I609" s="5"/>
      <c r="J609" s="6"/>
      <c r="K609" s="5"/>
      <c r="O609" s="7" t="s">
        <v>8</v>
      </c>
      <c r="P609" s="7" t="s">
        <v>9</v>
      </c>
      <c r="Q609" s="7" t="s">
        <v>1848</v>
      </c>
      <c r="R609" s="7" t="s">
        <v>11</v>
      </c>
      <c r="S609" s="7" t="s">
        <v>1849</v>
      </c>
      <c r="T609" s="7" t="s">
        <v>1850</v>
      </c>
      <c r="U609" s="7" t="s">
        <v>1848</v>
      </c>
    </row>
    <row r="610" spans="5:21">
      <c r="E610" s="5"/>
      <c r="F610" s="5"/>
      <c r="G610" s="5"/>
      <c r="H610" s="5"/>
      <c r="I610" s="5"/>
      <c r="J610" s="6"/>
      <c r="K610" s="5"/>
      <c r="O610" s="7" t="s">
        <v>8</v>
      </c>
      <c r="P610" s="7" t="s">
        <v>9</v>
      </c>
      <c r="Q610" s="7" t="s">
        <v>1851</v>
      </c>
      <c r="R610" s="7" t="s">
        <v>11</v>
      </c>
      <c r="S610" s="7" t="s">
        <v>1852</v>
      </c>
      <c r="T610" s="7" t="s">
        <v>1853</v>
      </c>
      <c r="U610" s="7" t="s">
        <v>1851</v>
      </c>
    </row>
    <row r="611" spans="5:21">
      <c r="E611" s="5"/>
      <c r="F611" s="5"/>
      <c r="G611" s="5"/>
      <c r="H611" s="5"/>
      <c r="I611" s="5"/>
      <c r="J611" s="6"/>
      <c r="K611" s="5"/>
      <c r="O611" s="7" t="s">
        <v>28</v>
      </c>
      <c r="P611" s="7" t="s">
        <v>29</v>
      </c>
      <c r="Q611" s="7" t="s">
        <v>1854</v>
      </c>
      <c r="R611" s="7" t="s">
        <v>11</v>
      </c>
      <c r="S611" s="7" t="s">
        <v>1855</v>
      </c>
      <c r="T611" s="7" t="s">
        <v>1856</v>
      </c>
      <c r="U611" s="7" t="s">
        <v>1854</v>
      </c>
    </row>
    <row r="612" spans="5:21">
      <c r="E612" s="5"/>
      <c r="F612" s="5"/>
      <c r="G612" s="5"/>
      <c r="H612" s="5"/>
      <c r="I612" s="5"/>
      <c r="J612" s="6"/>
      <c r="K612" s="5"/>
      <c r="O612" s="7" t="s">
        <v>14</v>
      </c>
      <c r="P612" s="7" t="s">
        <v>15</v>
      </c>
      <c r="Q612" s="7" t="s">
        <v>1857</v>
      </c>
      <c r="R612" s="7" t="s">
        <v>17</v>
      </c>
      <c r="S612" s="7" t="s">
        <v>1858</v>
      </c>
      <c r="T612" s="7" t="s">
        <v>1859</v>
      </c>
      <c r="U612" s="7" t="s">
        <v>1857</v>
      </c>
    </row>
    <row r="613" spans="5:21">
      <c r="E613" s="5"/>
      <c r="F613" s="5"/>
      <c r="G613" s="5"/>
      <c r="H613" s="5"/>
      <c r="I613" s="5"/>
      <c r="J613" s="6"/>
      <c r="K613" s="5"/>
      <c r="O613" s="7" t="s">
        <v>47</v>
      </c>
      <c r="P613" s="7" t="s">
        <v>48</v>
      </c>
      <c r="Q613" s="7" t="s">
        <v>1860</v>
      </c>
      <c r="R613" s="7" t="s">
        <v>17</v>
      </c>
      <c r="S613" s="7" t="s">
        <v>1861</v>
      </c>
      <c r="T613" s="7" t="s">
        <v>1862</v>
      </c>
      <c r="U613" s="7" t="s">
        <v>1860</v>
      </c>
    </row>
    <row r="614" spans="5:21">
      <c r="E614" s="5"/>
      <c r="F614" s="5"/>
      <c r="G614" s="5"/>
      <c r="H614" s="5"/>
      <c r="I614" s="5"/>
      <c r="J614" s="6"/>
      <c r="K614" s="5"/>
      <c r="O614" s="7" t="s">
        <v>33</v>
      </c>
      <c r="P614" s="7" t="s">
        <v>34</v>
      </c>
      <c r="Q614" s="7" t="s">
        <v>1863</v>
      </c>
      <c r="R614" s="7" t="s">
        <v>11</v>
      </c>
      <c r="S614" s="7" t="s">
        <v>1864</v>
      </c>
      <c r="T614" s="7" t="s">
        <v>1865</v>
      </c>
      <c r="U614" s="7" t="s">
        <v>1863</v>
      </c>
    </row>
    <row r="615" spans="5:21">
      <c r="E615" s="5"/>
      <c r="F615" s="5"/>
      <c r="G615" s="5"/>
      <c r="H615" s="5"/>
      <c r="I615" s="5"/>
      <c r="J615" s="6"/>
      <c r="K615" s="5"/>
      <c r="O615" s="7" t="s">
        <v>28</v>
      </c>
      <c r="P615" s="7" t="s">
        <v>29</v>
      </c>
      <c r="Q615" s="7" t="s">
        <v>1866</v>
      </c>
      <c r="R615" s="7" t="s">
        <v>11</v>
      </c>
      <c r="S615" s="7" t="s">
        <v>1867</v>
      </c>
      <c r="T615" s="7" t="s">
        <v>1868</v>
      </c>
      <c r="U615" s="7" t="s">
        <v>1866</v>
      </c>
    </row>
    <row r="616" spans="5:21">
      <c r="E616" s="5"/>
      <c r="F616" s="5"/>
      <c r="G616" s="5"/>
      <c r="H616" s="5"/>
      <c r="I616" s="5"/>
      <c r="J616" s="6"/>
      <c r="K616" s="5"/>
      <c r="O616" s="7" t="s">
        <v>251</v>
      </c>
      <c r="P616" s="7" t="s">
        <v>252</v>
      </c>
      <c r="Q616" s="7" t="s">
        <v>1869</v>
      </c>
      <c r="R616" s="7" t="s">
        <v>254</v>
      </c>
      <c r="S616" s="7" t="s">
        <v>1870</v>
      </c>
      <c r="T616" s="7" t="s">
        <v>1871</v>
      </c>
      <c r="U616" s="7" t="s">
        <v>1869</v>
      </c>
    </row>
    <row r="617" spans="5:21">
      <c r="E617" s="5"/>
      <c r="F617" s="5"/>
      <c r="G617" s="5"/>
      <c r="H617" s="5"/>
      <c r="I617" s="5"/>
      <c r="J617" s="6"/>
      <c r="K617" s="5"/>
      <c r="O617" s="7" t="s">
        <v>8</v>
      </c>
      <c r="P617" s="7" t="s">
        <v>9</v>
      </c>
      <c r="Q617" s="7" t="s">
        <v>1872</v>
      </c>
      <c r="R617" s="7" t="s">
        <v>11</v>
      </c>
      <c r="S617" s="7" t="s">
        <v>1873</v>
      </c>
      <c r="T617" s="7" t="s">
        <v>1874</v>
      </c>
      <c r="U617" s="7" t="s">
        <v>1872</v>
      </c>
    </row>
    <row r="618" spans="5:21">
      <c r="E618" s="5"/>
      <c r="F618" s="5"/>
      <c r="G618" s="5"/>
      <c r="H618" s="5"/>
      <c r="I618" s="5"/>
      <c r="J618" s="6"/>
      <c r="K618" s="5"/>
      <c r="O618" s="7" t="s">
        <v>28</v>
      </c>
      <c r="P618" s="7" t="s">
        <v>29</v>
      </c>
      <c r="Q618" s="7" t="s">
        <v>1875</v>
      </c>
      <c r="R618" s="7" t="s">
        <v>11</v>
      </c>
      <c r="S618" s="7" t="s">
        <v>1876</v>
      </c>
      <c r="T618" s="7" t="s">
        <v>1877</v>
      </c>
      <c r="U618" s="7" t="s">
        <v>1875</v>
      </c>
    </row>
    <row r="619" spans="5:21">
      <c r="E619" s="5"/>
      <c r="F619" s="5"/>
      <c r="G619" s="5"/>
      <c r="H619" s="5"/>
      <c r="I619" s="5"/>
      <c r="J619" s="6"/>
      <c r="K619" s="5"/>
      <c r="O619" s="7" t="s">
        <v>47</v>
      </c>
      <c r="P619" s="7" t="s">
        <v>48</v>
      </c>
      <c r="Q619" s="7" t="s">
        <v>1878</v>
      </c>
      <c r="R619" s="7" t="s">
        <v>17</v>
      </c>
      <c r="S619" s="7" t="s">
        <v>1879</v>
      </c>
      <c r="T619" s="7" t="s">
        <v>1880</v>
      </c>
      <c r="U619" s="7" t="s">
        <v>1878</v>
      </c>
    </row>
    <row r="620" spans="5:21">
      <c r="E620" s="5"/>
      <c r="F620" s="5"/>
      <c r="G620" s="5"/>
      <c r="H620" s="5"/>
      <c r="I620" s="5"/>
      <c r="J620" s="6"/>
      <c r="K620" s="5"/>
      <c r="O620" s="7" t="s">
        <v>8</v>
      </c>
      <c r="P620" s="7" t="s">
        <v>9</v>
      </c>
      <c r="Q620" s="7" t="s">
        <v>1881</v>
      </c>
      <c r="R620" s="7" t="s">
        <v>11</v>
      </c>
      <c r="S620" s="7" t="s">
        <v>1882</v>
      </c>
      <c r="T620" s="7" t="s">
        <v>1883</v>
      </c>
      <c r="U620" s="7" t="s">
        <v>1881</v>
      </c>
    </row>
    <row r="621" spans="5:21">
      <c r="E621" s="5"/>
      <c r="F621" s="5"/>
      <c r="G621" s="5"/>
      <c r="H621" s="5"/>
      <c r="I621" s="5"/>
      <c r="J621" s="6"/>
      <c r="K621" s="5"/>
      <c r="O621" s="7" t="s">
        <v>8</v>
      </c>
      <c r="P621" s="7" t="s">
        <v>9</v>
      </c>
      <c r="Q621" s="7" t="s">
        <v>1884</v>
      </c>
      <c r="R621" s="7" t="s">
        <v>11</v>
      </c>
      <c r="S621" s="7" t="s">
        <v>1885</v>
      </c>
      <c r="T621" s="7" t="s">
        <v>1886</v>
      </c>
      <c r="U621" s="7" t="s">
        <v>1884</v>
      </c>
    </row>
    <row r="622" spans="5:21">
      <c r="E622" s="5"/>
      <c r="F622" s="5"/>
      <c r="G622" s="5"/>
      <c r="H622" s="5"/>
      <c r="I622" s="5"/>
      <c r="J622" s="6"/>
      <c r="K622" s="5"/>
      <c r="O622" s="7" t="s">
        <v>28</v>
      </c>
      <c r="P622" s="7" t="s">
        <v>29</v>
      </c>
      <c r="Q622" s="7" t="s">
        <v>1887</v>
      </c>
      <c r="R622" s="7" t="s">
        <v>11</v>
      </c>
      <c r="S622" s="7" t="s">
        <v>1888</v>
      </c>
      <c r="T622" s="7" t="s">
        <v>1889</v>
      </c>
      <c r="U622" s="7" t="s">
        <v>1887</v>
      </c>
    </row>
    <row r="623" spans="5:21">
      <c r="E623" s="5"/>
      <c r="F623" s="5"/>
      <c r="G623" s="5"/>
      <c r="H623" s="5"/>
      <c r="I623" s="5"/>
      <c r="J623" s="6"/>
      <c r="K623" s="5"/>
      <c r="O623" s="7" t="s">
        <v>28</v>
      </c>
      <c r="P623" s="7" t="s">
        <v>29</v>
      </c>
      <c r="Q623" s="7" t="s">
        <v>1890</v>
      </c>
      <c r="R623" s="7" t="s">
        <v>11</v>
      </c>
      <c r="S623" s="7" t="s">
        <v>1891</v>
      </c>
      <c r="T623" s="7" t="s">
        <v>1892</v>
      </c>
      <c r="U623" s="7" t="s">
        <v>1890</v>
      </c>
    </row>
    <row r="624" spans="5:21">
      <c r="E624" s="5"/>
      <c r="F624" s="5"/>
      <c r="G624" s="5"/>
      <c r="H624" s="5"/>
      <c r="I624" s="5"/>
      <c r="J624" s="6"/>
      <c r="K624" s="5"/>
      <c r="O624" s="7" t="s">
        <v>23</v>
      </c>
      <c r="P624" s="7" t="s">
        <v>24</v>
      </c>
      <c r="Q624" s="7" t="s">
        <v>1893</v>
      </c>
      <c r="R624" s="7" t="s">
        <v>11</v>
      </c>
      <c r="S624" s="7" t="s">
        <v>1894</v>
      </c>
      <c r="T624" s="7" t="s">
        <v>1895</v>
      </c>
      <c r="U624" s="7" t="s">
        <v>1893</v>
      </c>
    </row>
    <row r="625" spans="5:21">
      <c r="E625" s="5"/>
      <c r="F625" s="5"/>
      <c r="G625" s="5"/>
      <c r="H625" s="5"/>
      <c r="I625" s="5"/>
      <c r="J625" s="6"/>
      <c r="K625" s="5"/>
      <c r="O625" s="7" t="s">
        <v>47</v>
      </c>
      <c r="P625" s="7" t="s">
        <v>48</v>
      </c>
      <c r="Q625" s="7" t="s">
        <v>1896</v>
      </c>
      <c r="R625" s="7" t="s">
        <v>17</v>
      </c>
      <c r="S625" s="7" t="s">
        <v>1897</v>
      </c>
      <c r="T625" s="7" t="s">
        <v>1898</v>
      </c>
      <c r="U625" s="7" t="s">
        <v>1896</v>
      </c>
    </row>
    <row r="626" spans="5:21">
      <c r="E626" s="5"/>
      <c r="F626" s="5"/>
      <c r="G626" s="5"/>
      <c r="H626" s="5"/>
      <c r="I626" s="5"/>
      <c r="J626" s="6"/>
      <c r="K626" s="5"/>
      <c r="O626" s="7" t="s">
        <v>251</v>
      </c>
      <c r="P626" s="7" t="s">
        <v>252</v>
      </c>
      <c r="Q626" s="7" t="s">
        <v>1899</v>
      </c>
      <c r="R626" s="7" t="s">
        <v>254</v>
      </c>
      <c r="S626" s="7" t="s">
        <v>1900</v>
      </c>
      <c r="T626" s="7" t="s">
        <v>1901</v>
      </c>
      <c r="U626" s="7" t="s">
        <v>1899</v>
      </c>
    </row>
    <row r="627" spans="5:21">
      <c r="E627" s="5"/>
      <c r="F627" s="5"/>
      <c r="G627" s="5"/>
      <c r="H627" s="5"/>
      <c r="I627" s="5"/>
      <c r="J627" s="6"/>
      <c r="K627" s="5"/>
      <c r="O627" s="7" t="s">
        <v>33</v>
      </c>
      <c r="P627" s="7" t="s">
        <v>34</v>
      </c>
      <c r="Q627" s="7" t="s">
        <v>1902</v>
      </c>
      <c r="R627" s="7" t="s">
        <v>11</v>
      </c>
      <c r="S627" s="7" t="s">
        <v>1903</v>
      </c>
      <c r="T627" s="7" t="s">
        <v>1904</v>
      </c>
      <c r="U627" s="7" t="s">
        <v>1902</v>
      </c>
    </row>
    <row r="628" spans="5:21">
      <c r="E628" s="5"/>
      <c r="F628" s="5"/>
      <c r="G628" s="5"/>
      <c r="H628" s="5"/>
      <c r="I628" s="5"/>
      <c r="J628" s="6"/>
      <c r="K628" s="5"/>
      <c r="O628" s="7" t="s">
        <v>28</v>
      </c>
      <c r="P628" s="7" t="s">
        <v>29</v>
      </c>
      <c r="Q628" s="7" t="s">
        <v>1905</v>
      </c>
      <c r="R628" s="7" t="s">
        <v>11</v>
      </c>
      <c r="S628" s="7" t="s">
        <v>1906</v>
      </c>
      <c r="T628" s="7" t="s">
        <v>1907</v>
      </c>
      <c r="U628" s="7" t="s">
        <v>1905</v>
      </c>
    </row>
    <row r="629" spans="5:21">
      <c r="E629" s="5"/>
      <c r="F629" s="5"/>
      <c r="G629" s="5"/>
      <c r="H629" s="5"/>
      <c r="I629" s="5"/>
      <c r="J629" s="6"/>
      <c r="K629" s="5"/>
      <c r="O629" s="7" t="s">
        <v>28</v>
      </c>
      <c r="P629" s="7" t="s">
        <v>29</v>
      </c>
      <c r="Q629" s="7" t="s">
        <v>1908</v>
      </c>
      <c r="R629" s="7" t="s">
        <v>11</v>
      </c>
      <c r="S629" s="7" t="s">
        <v>1909</v>
      </c>
      <c r="T629" s="7" t="s">
        <v>1910</v>
      </c>
      <c r="U629" s="7" t="s">
        <v>1908</v>
      </c>
    </row>
    <row r="630" spans="5:21">
      <c r="E630" s="5"/>
      <c r="F630" s="5"/>
      <c r="G630" s="5"/>
      <c r="H630" s="5"/>
      <c r="I630" s="5"/>
      <c r="J630" s="6"/>
      <c r="K630" s="5"/>
      <c r="O630" s="7" t="s">
        <v>58</v>
      </c>
      <c r="P630" s="7" t="s">
        <v>59</v>
      </c>
      <c r="Q630" s="7" t="s">
        <v>1911</v>
      </c>
      <c r="R630" s="7" t="s">
        <v>11</v>
      </c>
      <c r="S630" s="7" t="s">
        <v>1912</v>
      </c>
      <c r="T630" s="7" t="s">
        <v>1913</v>
      </c>
      <c r="U630" s="7" t="s">
        <v>1911</v>
      </c>
    </row>
    <row r="631" spans="5:21">
      <c r="E631" s="5"/>
      <c r="F631" s="5"/>
      <c r="G631" s="5"/>
      <c r="H631" s="5"/>
      <c r="I631" s="5"/>
      <c r="J631" s="6"/>
      <c r="K631" s="5"/>
      <c r="O631" s="7" t="s">
        <v>8</v>
      </c>
      <c r="P631" s="7" t="s">
        <v>9</v>
      </c>
      <c r="Q631" s="7" t="s">
        <v>1914</v>
      </c>
      <c r="R631" s="7" t="s">
        <v>11</v>
      </c>
      <c r="S631" s="7" t="s">
        <v>1915</v>
      </c>
      <c r="T631" s="7" t="s">
        <v>1916</v>
      </c>
      <c r="U631" s="7" t="s">
        <v>1914</v>
      </c>
    </row>
    <row r="632" spans="5:21">
      <c r="E632" s="5"/>
      <c r="F632" s="5"/>
      <c r="G632" s="5"/>
      <c r="H632" s="5"/>
      <c r="I632" s="5"/>
      <c r="J632" s="6"/>
      <c r="K632" s="5"/>
      <c r="O632" s="7" t="s">
        <v>14</v>
      </c>
      <c r="P632" s="7" t="s">
        <v>15</v>
      </c>
      <c r="Q632" s="7" t="s">
        <v>1204</v>
      </c>
      <c r="R632" s="7" t="s">
        <v>17</v>
      </c>
      <c r="S632" s="7" t="s">
        <v>1917</v>
      </c>
      <c r="T632" s="7" t="s">
        <v>1918</v>
      </c>
      <c r="U632" s="7" t="s">
        <v>1204</v>
      </c>
    </row>
    <row r="633" spans="5:21">
      <c r="E633" s="5"/>
      <c r="F633" s="5"/>
      <c r="G633" s="5"/>
      <c r="H633" s="5"/>
      <c r="I633" s="5"/>
      <c r="J633" s="6"/>
      <c r="K633" s="5"/>
      <c r="O633" s="7" t="s">
        <v>28</v>
      </c>
      <c r="P633" s="7" t="s">
        <v>29</v>
      </c>
      <c r="Q633" s="7" t="s">
        <v>1919</v>
      </c>
      <c r="R633" s="7" t="s">
        <v>11</v>
      </c>
      <c r="S633" s="7" t="s">
        <v>1920</v>
      </c>
      <c r="T633" s="7" t="s">
        <v>1921</v>
      </c>
      <c r="U633" s="7" t="s">
        <v>1919</v>
      </c>
    </row>
    <row r="634" spans="5:21">
      <c r="E634" s="5"/>
      <c r="F634" s="5"/>
      <c r="G634" s="5"/>
      <c r="H634" s="5"/>
      <c r="I634" s="5"/>
      <c r="J634" s="6"/>
      <c r="K634" s="5"/>
      <c r="O634" s="7" t="s">
        <v>8</v>
      </c>
      <c r="P634" s="7" t="s">
        <v>9</v>
      </c>
      <c r="Q634" s="7" t="s">
        <v>1922</v>
      </c>
      <c r="R634" s="7" t="s">
        <v>11</v>
      </c>
      <c r="S634" s="7" t="s">
        <v>1923</v>
      </c>
      <c r="T634" s="7" t="s">
        <v>1924</v>
      </c>
      <c r="U634" s="7" t="s">
        <v>1922</v>
      </c>
    </row>
    <row r="635" spans="5:21">
      <c r="E635" s="5"/>
      <c r="F635" s="5"/>
      <c r="G635" s="5"/>
      <c r="H635" s="5"/>
      <c r="I635" s="5"/>
      <c r="J635" s="6"/>
      <c r="K635" s="5"/>
      <c r="O635" s="7" t="s">
        <v>195</v>
      </c>
      <c r="P635" s="7" t="s">
        <v>196</v>
      </c>
      <c r="Q635" s="7" t="s">
        <v>1925</v>
      </c>
      <c r="R635" s="7" t="s">
        <v>11</v>
      </c>
      <c r="S635" s="7" t="s">
        <v>1926</v>
      </c>
      <c r="T635" s="7" t="s">
        <v>1927</v>
      </c>
      <c r="U635" s="7" t="s">
        <v>1925</v>
      </c>
    </row>
    <row r="636" spans="5:21">
      <c r="E636" s="5"/>
      <c r="F636" s="5"/>
      <c r="G636" s="5"/>
      <c r="H636" s="5"/>
      <c r="I636" s="5"/>
      <c r="J636" s="6"/>
      <c r="K636" s="5"/>
      <c r="O636" s="7" t="s">
        <v>195</v>
      </c>
      <c r="P636" s="7" t="s">
        <v>196</v>
      </c>
      <c r="Q636" s="7" t="s">
        <v>1928</v>
      </c>
      <c r="R636" s="7" t="s">
        <v>11</v>
      </c>
      <c r="S636" s="7" t="s">
        <v>1929</v>
      </c>
      <c r="T636" s="7" t="s">
        <v>1930</v>
      </c>
      <c r="U636" s="7" t="s">
        <v>1928</v>
      </c>
    </row>
    <row r="637" spans="5:21">
      <c r="E637" s="5"/>
      <c r="F637" s="5"/>
      <c r="G637" s="5"/>
      <c r="H637" s="5"/>
      <c r="I637" s="5"/>
      <c r="J637" s="6"/>
      <c r="K637" s="5"/>
      <c r="O637" s="7" t="s">
        <v>28</v>
      </c>
      <c r="P637" s="7" t="s">
        <v>29</v>
      </c>
      <c r="Q637" s="7" t="s">
        <v>1931</v>
      </c>
      <c r="R637" s="7" t="s">
        <v>11</v>
      </c>
      <c r="S637" s="7" t="s">
        <v>1932</v>
      </c>
      <c r="T637" s="7" t="s">
        <v>1933</v>
      </c>
      <c r="U637" s="7" t="s">
        <v>1931</v>
      </c>
    </row>
    <row r="638" spans="5:21">
      <c r="E638" s="5"/>
      <c r="F638" s="5"/>
      <c r="G638" s="5"/>
      <c r="H638" s="5"/>
      <c r="I638" s="5"/>
      <c r="J638" s="6"/>
      <c r="K638" s="5"/>
      <c r="O638" s="7" t="s">
        <v>28</v>
      </c>
      <c r="P638" s="7" t="s">
        <v>29</v>
      </c>
      <c r="Q638" s="7" t="s">
        <v>1934</v>
      </c>
      <c r="R638" s="7" t="s">
        <v>11</v>
      </c>
      <c r="S638" s="7" t="s">
        <v>1935</v>
      </c>
      <c r="T638" s="7" t="s">
        <v>1936</v>
      </c>
      <c r="U638" s="7" t="s">
        <v>1934</v>
      </c>
    </row>
    <row r="639" spans="5:21">
      <c r="E639" s="5"/>
      <c r="F639" s="5"/>
      <c r="G639" s="5"/>
      <c r="H639" s="5"/>
      <c r="I639" s="5"/>
      <c r="J639" s="6"/>
      <c r="K639" s="5"/>
      <c r="O639" s="7" t="s">
        <v>28</v>
      </c>
      <c r="P639" s="7" t="s">
        <v>29</v>
      </c>
      <c r="Q639" s="7" t="s">
        <v>1937</v>
      </c>
      <c r="R639" s="7" t="s">
        <v>11</v>
      </c>
      <c r="S639" s="7" t="s">
        <v>1938</v>
      </c>
      <c r="T639" s="7" t="s">
        <v>1939</v>
      </c>
      <c r="U639" s="7" t="s">
        <v>1937</v>
      </c>
    </row>
    <row r="640" spans="5:21">
      <c r="E640" s="5"/>
      <c r="F640" s="5"/>
      <c r="G640" s="5"/>
      <c r="H640" s="5"/>
      <c r="I640" s="5"/>
      <c r="J640" s="6"/>
      <c r="K640" s="5"/>
      <c r="O640" s="7" t="s">
        <v>8</v>
      </c>
      <c r="P640" s="7" t="s">
        <v>9</v>
      </c>
      <c r="Q640" s="7" t="s">
        <v>1940</v>
      </c>
      <c r="R640" s="7" t="s">
        <v>11</v>
      </c>
      <c r="S640" s="7" t="s">
        <v>1941</v>
      </c>
      <c r="T640" s="7" t="s">
        <v>1942</v>
      </c>
      <c r="U640" s="7" t="s">
        <v>1940</v>
      </c>
    </row>
    <row r="641" spans="5:21">
      <c r="E641" s="5"/>
      <c r="F641" s="5"/>
      <c r="G641" s="5"/>
      <c r="H641" s="5"/>
      <c r="I641" s="5"/>
      <c r="J641" s="6"/>
      <c r="K641" s="5"/>
      <c r="O641" s="7" t="s">
        <v>28</v>
      </c>
      <c r="P641" s="7" t="s">
        <v>29</v>
      </c>
      <c r="Q641" s="7" t="s">
        <v>1943</v>
      </c>
      <c r="R641" s="7" t="s">
        <v>11</v>
      </c>
      <c r="S641" s="7" t="s">
        <v>1944</v>
      </c>
      <c r="T641" s="7" t="s">
        <v>1945</v>
      </c>
      <c r="U641" s="7" t="s">
        <v>1943</v>
      </c>
    </row>
    <row r="642" spans="5:21">
      <c r="E642" s="5"/>
      <c r="F642" s="5"/>
      <c r="G642" s="5"/>
      <c r="H642" s="5"/>
      <c r="I642" s="5"/>
      <c r="J642" s="6"/>
      <c r="K642" s="5"/>
      <c r="O642" s="7" t="s">
        <v>8</v>
      </c>
      <c r="P642" s="7" t="s">
        <v>9</v>
      </c>
      <c r="Q642" s="7" t="s">
        <v>1946</v>
      </c>
      <c r="R642" s="7" t="s">
        <v>11</v>
      </c>
      <c r="S642" s="7" t="s">
        <v>1947</v>
      </c>
      <c r="T642" s="7" t="s">
        <v>1948</v>
      </c>
      <c r="U642" s="7" t="s">
        <v>1946</v>
      </c>
    </row>
    <row r="643" spans="5:21">
      <c r="E643" s="5"/>
      <c r="F643" s="5"/>
      <c r="G643" s="5"/>
      <c r="H643" s="5"/>
      <c r="I643" s="5"/>
      <c r="J643" s="6"/>
      <c r="K643" s="5"/>
      <c r="O643" s="7" t="s">
        <v>8</v>
      </c>
      <c r="P643" s="7" t="s">
        <v>9</v>
      </c>
      <c r="Q643" s="7" t="s">
        <v>1949</v>
      </c>
      <c r="R643" s="7" t="s">
        <v>11</v>
      </c>
      <c r="S643" s="7" t="s">
        <v>1950</v>
      </c>
      <c r="T643" s="7" t="s">
        <v>1951</v>
      </c>
      <c r="U643" s="7" t="s">
        <v>1949</v>
      </c>
    </row>
    <row r="644" spans="5:21">
      <c r="E644" s="5"/>
      <c r="F644" s="5"/>
      <c r="G644" s="5"/>
      <c r="H644" s="5"/>
      <c r="I644" s="5"/>
      <c r="J644" s="6"/>
      <c r="K644" s="5"/>
      <c r="O644" s="7" t="s">
        <v>8</v>
      </c>
      <c r="P644" s="7" t="s">
        <v>9</v>
      </c>
      <c r="Q644" s="7" t="s">
        <v>1952</v>
      </c>
      <c r="R644" s="7" t="s">
        <v>11</v>
      </c>
      <c r="S644" s="7" t="s">
        <v>1953</v>
      </c>
      <c r="T644" s="7" t="s">
        <v>1954</v>
      </c>
      <c r="U644" s="7" t="s">
        <v>1952</v>
      </c>
    </row>
    <row r="645" spans="5:21">
      <c r="E645" s="5"/>
      <c r="F645" s="5"/>
      <c r="G645" s="5"/>
      <c r="H645" s="5"/>
      <c r="I645" s="5"/>
      <c r="J645" s="6"/>
      <c r="K645" s="5"/>
      <c r="O645" s="7" t="s">
        <v>28</v>
      </c>
      <c r="P645" s="7" t="s">
        <v>29</v>
      </c>
      <c r="Q645" s="7" t="s">
        <v>1955</v>
      </c>
      <c r="R645" s="7" t="s">
        <v>11</v>
      </c>
      <c r="S645" s="7" t="s">
        <v>1956</v>
      </c>
      <c r="T645" s="7" t="s">
        <v>1957</v>
      </c>
      <c r="U645" s="7" t="s">
        <v>1955</v>
      </c>
    </row>
    <row r="646" spans="5:21">
      <c r="E646" s="5"/>
      <c r="F646" s="5"/>
      <c r="G646" s="5"/>
      <c r="H646" s="5"/>
      <c r="I646" s="5"/>
      <c r="J646" s="6"/>
      <c r="K646" s="5"/>
      <c r="O646" s="7" t="s">
        <v>28</v>
      </c>
      <c r="P646" s="7" t="s">
        <v>29</v>
      </c>
      <c r="Q646" s="7" t="s">
        <v>1958</v>
      </c>
      <c r="R646" s="7" t="s">
        <v>11</v>
      </c>
      <c r="S646" s="7" t="s">
        <v>1959</v>
      </c>
      <c r="T646" s="7" t="s">
        <v>1960</v>
      </c>
      <c r="U646" s="7" t="s">
        <v>1958</v>
      </c>
    </row>
    <row r="647" spans="5:21">
      <c r="E647" s="5"/>
      <c r="F647" s="5"/>
      <c r="G647" s="5"/>
      <c r="H647" s="5"/>
      <c r="I647" s="5"/>
      <c r="J647" s="6"/>
      <c r="K647" s="5"/>
      <c r="O647" s="7" t="s">
        <v>47</v>
      </c>
      <c r="P647" s="7" t="s">
        <v>48</v>
      </c>
      <c r="Q647" s="7" t="s">
        <v>1961</v>
      </c>
      <c r="R647" s="7" t="s">
        <v>17</v>
      </c>
      <c r="S647" s="7" t="s">
        <v>1962</v>
      </c>
      <c r="T647" s="7" t="s">
        <v>1963</v>
      </c>
      <c r="U647" s="7" t="s">
        <v>1961</v>
      </c>
    </row>
    <row r="648" spans="5:21">
      <c r="E648" s="5"/>
      <c r="F648" s="5"/>
      <c r="G648" s="5"/>
      <c r="H648" s="5"/>
      <c r="I648" s="5"/>
      <c r="J648" s="6"/>
      <c r="K648" s="5"/>
      <c r="O648" s="7" t="s">
        <v>14</v>
      </c>
      <c r="P648" s="7" t="s">
        <v>15</v>
      </c>
      <c r="Q648" s="7" t="s">
        <v>1964</v>
      </c>
      <c r="R648" s="7" t="s">
        <v>17</v>
      </c>
      <c r="S648" s="7" t="s">
        <v>1965</v>
      </c>
      <c r="T648" s="7" t="s">
        <v>1966</v>
      </c>
      <c r="U648" s="7" t="s">
        <v>1964</v>
      </c>
    </row>
    <row r="649" spans="5:21">
      <c r="E649" s="5"/>
      <c r="F649" s="5"/>
      <c r="G649" s="5"/>
      <c r="H649" s="5"/>
      <c r="I649" s="5"/>
      <c r="J649" s="6"/>
      <c r="K649" s="5"/>
      <c r="O649" s="7" t="s">
        <v>47</v>
      </c>
      <c r="P649" s="7" t="s">
        <v>48</v>
      </c>
      <c r="Q649" s="7" t="s">
        <v>1967</v>
      </c>
      <c r="R649" s="7" t="s">
        <v>17</v>
      </c>
      <c r="S649" s="7" t="s">
        <v>1968</v>
      </c>
      <c r="T649" s="7" t="s">
        <v>1969</v>
      </c>
      <c r="U649" s="7" t="s">
        <v>1967</v>
      </c>
    </row>
    <row r="650" spans="5:21">
      <c r="E650" s="5"/>
      <c r="F650" s="5"/>
      <c r="G650" s="5"/>
      <c r="H650" s="5"/>
      <c r="I650" s="5"/>
      <c r="J650" s="6"/>
      <c r="K650" s="5"/>
      <c r="O650" s="7" t="s">
        <v>8</v>
      </c>
      <c r="P650" s="7" t="s">
        <v>9</v>
      </c>
      <c r="Q650" s="7" t="s">
        <v>1970</v>
      </c>
      <c r="R650" s="7" t="s">
        <v>11</v>
      </c>
      <c r="S650" s="7" t="s">
        <v>1971</v>
      </c>
      <c r="T650" s="7" t="s">
        <v>1972</v>
      </c>
      <c r="U650" s="7" t="s">
        <v>1970</v>
      </c>
    </row>
    <row r="651" spans="5:21">
      <c r="E651" s="5"/>
      <c r="F651" s="5"/>
      <c r="G651" s="5"/>
      <c r="H651" s="5"/>
      <c r="I651" s="5"/>
      <c r="J651" s="6"/>
      <c r="K651" s="5"/>
      <c r="O651" s="7" t="s">
        <v>28</v>
      </c>
      <c r="P651" s="7" t="s">
        <v>29</v>
      </c>
      <c r="Q651" s="7" t="s">
        <v>1973</v>
      </c>
      <c r="R651" s="7" t="s">
        <v>11</v>
      </c>
      <c r="S651" s="7" t="s">
        <v>1974</v>
      </c>
      <c r="T651" s="7" t="s">
        <v>1975</v>
      </c>
      <c r="U651" s="7" t="s">
        <v>1973</v>
      </c>
    </row>
    <row r="652" spans="5:21">
      <c r="E652" s="5"/>
      <c r="F652" s="5"/>
      <c r="G652" s="5"/>
      <c r="H652" s="5"/>
      <c r="I652" s="5"/>
      <c r="J652" s="6"/>
      <c r="K652" s="5"/>
      <c r="O652" s="7" t="s">
        <v>28</v>
      </c>
      <c r="P652" s="7" t="s">
        <v>29</v>
      </c>
      <c r="Q652" s="7" t="s">
        <v>1976</v>
      </c>
      <c r="R652" s="7" t="s">
        <v>11</v>
      </c>
      <c r="S652" s="7" t="s">
        <v>1977</v>
      </c>
      <c r="T652" s="7" t="s">
        <v>1978</v>
      </c>
      <c r="U652" s="7" t="s">
        <v>1976</v>
      </c>
    </row>
    <row r="653" spans="5:21">
      <c r="E653" s="5"/>
      <c r="F653" s="5"/>
      <c r="G653" s="5"/>
      <c r="H653" s="5"/>
      <c r="I653" s="5"/>
      <c r="J653" s="6"/>
      <c r="K653" s="5"/>
      <c r="O653" s="7" t="s">
        <v>28</v>
      </c>
      <c r="P653" s="7" t="s">
        <v>29</v>
      </c>
      <c r="Q653" s="7" t="s">
        <v>1979</v>
      </c>
      <c r="R653" s="7" t="s">
        <v>11</v>
      </c>
      <c r="S653" s="7" t="s">
        <v>1980</v>
      </c>
      <c r="T653" s="7" t="s">
        <v>1981</v>
      </c>
      <c r="U653" s="7" t="s">
        <v>1979</v>
      </c>
    </row>
    <row r="654" spans="5:21">
      <c r="E654" s="5"/>
      <c r="F654" s="5"/>
      <c r="G654" s="5"/>
      <c r="H654" s="5"/>
      <c r="I654" s="5"/>
      <c r="J654" s="6"/>
      <c r="K654" s="5"/>
      <c r="O654" s="7" t="s">
        <v>8</v>
      </c>
      <c r="P654" s="7" t="s">
        <v>9</v>
      </c>
      <c r="Q654" s="7" t="s">
        <v>1982</v>
      </c>
      <c r="R654" s="7" t="s">
        <v>11</v>
      </c>
      <c r="S654" s="7" t="s">
        <v>1983</v>
      </c>
      <c r="T654" s="7" t="s">
        <v>1984</v>
      </c>
      <c r="U654" s="7" t="s">
        <v>1982</v>
      </c>
    </row>
    <row r="655" spans="5:21">
      <c r="E655" s="5"/>
      <c r="F655" s="5"/>
      <c r="G655" s="5"/>
      <c r="H655" s="5"/>
      <c r="I655" s="5"/>
      <c r="J655" s="6"/>
      <c r="K655" s="5"/>
      <c r="O655" s="7" t="s">
        <v>8</v>
      </c>
      <c r="P655" s="7" t="s">
        <v>9</v>
      </c>
      <c r="Q655" s="7" t="s">
        <v>1985</v>
      </c>
      <c r="R655" s="7" t="s">
        <v>11</v>
      </c>
      <c r="S655" s="7" t="s">
        <v>1986</v>
      </c>
      <c r="T655" s="7" t="s">
        <v>1987</v>
      </c>
      <c r="U655" s="7" t="s">
        <v>1985</v>
      </c>
    </row>
    <row r="656" spans="5:21">
      <c r="E656" s="5"/>
      <c r="F656" s="5"/>
      <c r="G656" s="5"/>
      <c r="H656" s="5"/>
      <c r="I656" s="5"/>
      <c r="J656" s="6"/>
      <c r="K656" s="5"/>
      <c r="O656" s="7" t="s">
        <v>195</v>
      </c>
      <c r="P656" s="7" t="s">
        <v>196</v>
      </c>
      <c r="Q656" s="7" t="s">
        <v>1988</v>
      </c>
      <c r="R656" s="7" t="s">
        <v>11</v>
      </c>
      <c r="S656" s="7" t="s">
        <v>1989</v>
      </c>
      <c r="T656" s="7" t="s">
        <v>1990</v>
      </c>
      <c r="U656" s="7" t="s">
        <v>1988</v>
      </c>
    </row>
    <row r="657" spans="5:21">
      <c r="E657" s="5"/>
      <c r="F657" s="5"/>
      <c r="G657" s="5"/>
      <c r="H657" s="5"/>
      <c r="I657" s="5"/>
      <c r="J657" s="6"/>
      <c r="K657" s="5"/>
      <c r="O657" s="7" t="s">
        <v>28</v>
      </c>
      <c r="P657" s="7" t="s">
        <v>29</v>
      </c>
      <c r="Q657" s="7" t="s">
        <v>1991</v>
      </c>
      <c r="R657" s="7" t="s">
        <v>11</v>
      </c>
      <c r="S657" s="7" t="s">
        <v>1992</v>
      </c>
      <c r="T657" s="7" t="s">
        <v>1993</v>
      </c>
      <c r="U657" s="7" t="s">
        <v>1991</v>
      </c>
    </row>
    <row r="658" spans="5:21">
      <c r="E658" s="5"/>
      <c r="F658" s="5"/>
      <c r="G658" s="5"/>
      <c r="H658" s="5"/>
      <c r="I658" s="5"/>
      <c r="J658" s="6"/>
      <c r="K658" s="5"/>
      <c r="O658" s="7" t="s">
        <v>8</v>
      </c>
      <c r="P658" s="7" t="s">
        <v>9</v>
      </c>
      <c r="Q658" s="7" t="s">
        <v>1994</v>
      </c>
      <c r="R658" s="7" t="s">
        <v>11</v>
      </c>
      <c r="S658" s="7" t="s">
        <v>1995</v>
      </c>
      <c r="T658" s="7" t="s">
        <v>1996</v>
      </c>
      <c r="U658" s="7" t="s">
        <v>1994</v>
      </c>
    </row>
    <row r="659" spans="5:21">
      <c r="E659" s="5"/>
      <c r="F659" s="5"/>
      <c r="G659" s="5"/>
      <c r="H659" s="5"/>
      <c r="I659" s="5"/>
      <c r="J659" s="6"/>
      <c r="K659" s="5"/>
      <c r="O659" s="7" t="s">
        <v>28</v>
      </c>
      <c r="P659" s="7" t="s">
        <v>29</v>
      </c>
      <c r="Q659" s="7" t="s">
        <v>1997</v>
      </c>
      <c r="R659" s="7" t="s">
        <v>11</v>
      </c>
      <c r="S659" s="7" t="s">
        <v>1998</v>
      </c>
      <c r="T659" s="7" t="s">
        <v>1999</v>
      </c>
      <c r="U659" s="7" t="s">
        <v>1997</v>
      </c>
    </row>
    <row r="660" spans="5:21">
      <c r="E660" s="5"/>
      <c r="F660" s="5"/>
      <c r="G660" s="5"/>
      <c r="H660" s="5"/>
      <c r="I660" s="5"/>
      <c r="J660" s="6"/>
      <c r="K660" s="5"/>
      <c r="O660" s="7" t="s">
        <v>28</v>
      </c>
      <c r="P660" s="7" t="s">
        <v>29</v>
      </c>
      <c r="Q660" s="7" t="s">
        <v>2000</v>
      </c>
      <c r="R660" s="7" t="s">
        <v>11</v>
      </c>
      <c r="S660" s="7" t="s">
        <v>2001</v>
      </c>
      <c r="T660" s="7" t="s">
        <v>2002</v>
      </c>
      <c r="U660" s="7" t="s">
        <v>2000</v>
      </c>
    </row>
    <row r="661" spans="5:21">
      <c r="E661" s="5"/>
      <c r="F661" s="5"/>
      <c r="G661" s="5"/>
      <c r="H661" s="5"/>
      <c r="I661" s="5"/>
      <c r="J661" s="6"/>
      <c r="K661" s="5"/>
      <c r="O661" s="7" t="s">
        <v>28</v>
      </c>
      <c r="P661" s="7" t="s">
        <v>29</v>
      </c>
      <c r="Q661" s="7" t="s">
        <v>2003</v>
      </c>
      <c r="R661" s="7" t="s">
        <v>11</v>
      </c>
      <c r="S661" s="7" t="s">
        <v>2004</v>
      </c>
      <c r="T661" s="7" t="s">
        <v>2005</v>
      </c>
      <c r="U661" s="7" t="s">
        <v>2003</v>
      </c>
    </row>
    <row r="662" spans="5:21">
      <c r="E662" s="5"/>
      <c r="F662" s="5"/>
      <c r="G662" s="5"/>
      <c r="H662" s="5"/>
      <c r="I662" s="5"/>
      <c r="J662" s="6"/>
      <c r="K662" s="5"/>
      <c r="O662" s="7" t="s">
        <v>28</v>
      </c>
      <c r="P662" s="7" t="s">
        <v>29</v>
      </c>
      <c r="Q662" s="7" t="s">
        <v>2006</v>
      </c>
      <c r="R662" s="7" t="s">
        <v>11</v>
      </c>
      <c r="S662" s="7" t="s">
        <v>2007</v>
      </c>
      <c r="T662" s="7" t="s">
        <v>2008</v>
      </c>
      <c r="U662" s="7" t="s">
        <v>2006</v>
      </c>
    </row>
    <row r="663" spans="5:21">
      <c r="E663" s="5"/>
      <c r="F663" s="5"/>
      <c r="G663" s="5"/>
      <c r="H663" s="5"/>
      <c r="I663" s="5"/>
      <c r="J663" s="6"/>
      <c r="K663" s="5"/>
      <c r="O663" s="7" t="s">
        <v>58</v>
      </c>
      <c r="P663" s="7" t="s">
        <v>59</v>
      </c>
      <c r="Q663" s="7" t="s">
        <v>2009</v>
      </c>
      <c r="R663" s="7" t="s">
        <v>11</v>
      </c>
      <c r="S663" s="7" t="s">
        <v>2010</v>
      </c>
      <c r="T663" s="7" t="s">
        <v>2011</v>
      </c>
      <c r="U663" s="7" t="s">
        <v>2009</v>
      </c>
    </row>
    <row r="664" spans="5:21">
      <c r="E664" s="5"/>
      <c r="F664" s="5"/>
      <c r="G664" s="5"/>
      <c r="H664" s="5"/>
      <c r="I664" s="5"/>
      <c r="J664" s="6"/>
      <c r="K664" s="5"/>
      <c r="O664" s="7" t="s">
        <v>195</v>
      </c>
      <c r="P664" s="7" t="s">
        <v>196</v>
      </c>
      <c r="Q664" s="7" t="s">
        <v>2012</v>
      </c>
      <c r="R664" s="7" t="s">
        <v>11</v>
      </c>
      <c r="S664" s="7" t="s">
        <v>2013</v>
      </c>
      <c r="T664" s="7" t="s">
        <v>2014</v>
      </c>
      <c r="U664" s="7" t="s">
        <v>2012</v>
      </c>
    </row>
    <row r="665" spans="5:21">
      <c r="E665" s="5"/>
      <c r="F665" s="5"/>
      <c r="G665" s="5"/>
      <c r="H665" s="5"/>
      <c r="I665" s="5"/>
      <c r="J665" s="6"/>
      <c r="K665" s="5"/>
      <c r="O665" s="7" t="s">
        <v>23</v>
      </c>
      <c r="P665" s="7" t="s">
        <v>24</v>
      </c>
      <c r="Q665" s="7" t="s">
        <v>2015</v>
      </c>
      <c r="R665" s="7" t="s">
        <v>11</v>
      </c>
      <c r="S665" s="7" t="s">
        <v>2016</v>
      </c>
      <c r="T665" s="7" t="s">
        <v>2017</v>
      </c>
      <c r="U665" s="7" t="s">
        <v>2015</v>
      </c>
    </row>
    <row r="666" spans="5:21">
      <c r="E666" s="5"/>
      <c r="F666" s="5"/>
      <c r="G666" s="5"/>
      <c r="H666" s="5"/>
      <c r="I666" s="5"/>
      <c r="J666" s="6"/>
      <c r="K666" s="5"/>
      <c r="O666" s="7" t="s">
        <v>8</v>
      </c>
      <c r="P666" s="7" t="s">
        <v>9</v>
      </c>
      <c r="Q666" s="7" t="s">
        <v>2018</v>
      </c>
      <c r="R666" s="7" t="s">
        <v>11</v>
      </c>
      <c r="S666" s="7" t="s">
        <v>2019</v>
      </c>
      <c r="T666" s="7" t="s">
        <v>2020</v>
      </c>
      <c r="U666" s="7" t="s">
        <v>2018</v>
      </c>
    </row>
    <row r="667" spans="5:21">
      <c r="E667" s="5"/>
      <c r="F667" s="5"/>
      <c r="G667" s="5"/>
      <c r="H667" s="5"/>
      <c r="I667" s="5"/>
      <c r="J667" s="6"/>
      <c r="K667" s="5"/>
      <c r="O667" s="7" t="s">
        <v>28</v>
      </c>
      <c r="P667" s="7" t="s">
        <v>29</v>
      </c>
      <c r="Q667" s="7" t="s">
        <v>2021</v>
      </c>
      <c r="R667" s="7" t="s">
        <v>11</v>
      </c>
      <c r="S667" s="7" t="s">
        <v>2022</v>
      </c>
      <c r="T667" s="7" t="s">
        <v>2023</v>
      </c>
      <c r="U667" s="7" t="s">
        <v>2021</v>
      </c>
    </row>
    <row r="668" spans="5:21">
      <c r="E668" s="5"/>
      <c r="F668" s="5"/>
      <c r="G668" s="5"/>
      <c r="H668" s="5"/>
      <c r="I668" s="5"/>
      <c r="J668" s="6"/>
      <c r="K668" s="5"/>
      <c r="O668" s="7" t="s">
        <v>14</v>
      </c>
      <c r="P668" s="7" t="s">
        <v>15</v>
      </c>
      <c r="Q668" s="7" t="s">
        <v>2024</v>
      </c>
      <c r="R668" s="7" t="s">
        <v>17</v>
      </c>
      <c r="S668" s="7" t="s">
        <v>2025</v>
      </c>
      <c r="T668" s="7" t="s">
        <v>2026</v>
      </c>
      <c r="U668" s="7" t="s">
        <v>2024</v>
      </c>
    </row>
    <row r="669" spans="5:21">
      <c r="E669" s="5"/>
      <c r="F669" s="5"/>
      <c r="G669" s="5"/>
      <c r="H669" s="5"/>
      <c r="I669" s="5"/>
      <c r="J669" s="6"/>
      <c r="K669" s="5"/>
      <c r="O669" s="7" t="s">
        <v>28</v>
      </c>
      <c r="P669" s="7" t="s">
        <v>29</v>
      </c>
      <c r="Q669" s="7" t="s">
        <v>2027</v>
      </c>
      <c r="R669" s="7" t="s">
        <v>11</v>
      </c>
      <c r="S669" s="7" t="s">
        <v>2028</v>
      </c>
      <c r="T669" s="7" t="s">
        <v>2029</v>
      </c>
      <c r="U669" s="7" t="s">
        <v>2027</v>
      </c>
    </row>
    <row r="670" spans="5:21">
      <c r="E670" s="5"/>
      <c r="F670" s="5"/>
      <c r="G670" s="5"/>
      <c r="H670" s="5"/>
      <c r="I670" s="5"/>
      <c r="J670" s="6"/>
      <c r="K670" s="5"/>
      <c r="O670" s="7" t="s">
        <v>28</v>
      </c>
      <c r="P670" s="7" t="s">
        <v>29</v>
      </c>
      <c r="Q670" s="7" t="s">
        <v>2030</v>
      </c>
      <c r="R670" s="7" t="s">
        <v>11</v>
      </c>
      <c r="S670" s="7" t="s">
        <v>2031</v>
      </c>
      <c r="T670" s="7" t="s">
        <v>2032</v>
      </c>
      <c r="U670" s="7" t="s">
        <v>2030</v>
      </c>
    </row>
    <row r="671" spans="5:21">
      <c r="E671" s="5"/>
      <c r="F671" s="5"/>
      <c r="G671" s="5"/>
      <c r="H671" s="5"/>
      <c r="I671" s="5"/>
      <c r="J671" s="6"/>
      <c r="K671" s="5"/>
      <c r="O671" s="7" t="s">
        <v>47</v>
      </c>
      <c r="P671" s="7" t="s">
        <v>48</v>
      </c>
      <c r="Q671" s="7" t="s">
        <v>2033</v>
      </c>
      <c r="R671" s="7" t="s">
        <v>17</v>
      </c>
      <c r="S671" s="7" t="s">
        <v>2034</v>
      </c>
      <c r="T671" s="7" t="s">
        <v>2035</v>
      </c>
      <c r="U671" s="7" t="s">
        <v>2033</v>
      </c>
    </row>
    <row r="672" spans="5:21">
      <c r="E672" s="5"/>
      <c r="F672" s="5"/>
      <c r="G672" s="5"/>
      <c r="H672" s="5"/>
      <c r="I672" s="5"/>
      <c r="J672" s="6"/>
      <c r="K672" s="5"/>
      <c r="O672" s="7" t="s">
        <v>28</v>
      </c>
      <c r="P672" s="7" t="s">
        <v>29</v>
      </c>
      <c r="Q672" s="7" t="s">
        <v>2036</v>
      </c>
      <c r="R672" s="7" t="s">
        <v>11</v>
      </c>
      <c r="S672" s="7" t="s">
        <v>2037</v>
      </c>
      <c r="T672" s="7" t="s">
        <v>2038</v>
      </c>
      <c r="U672" s="7" t="s">
        <v>2036</v>
      </c>
    </row>
    <row r="673" spans="5:21">
      <c r="E673" s="5"/>
      <c r="F673" s="5"/>
      <c r="G673" s="5"/>
      <c r="H673" s="5"/>
      <c r="I673" s="5"/>
      <c r="J673" s="6"/>
      <c r="K673" s="5"/>
      <c r="O673" s="7" t="s">
        <v>251</v>
      </c>
      <c r="P673" s="7" t="s">
        <v>252</v>
      </c>
      <c r="Q673" s="7" t="s">
        <v>2039</v>
      </c>
      <c r="R673" s="7" t="s">
        <v>254</v>
      </c>
      <c r="S673" s="7" t="s">
        <v>2040</v>
      </c>
      <c r="T673" s="7" t="s">
        <v>2041</v>
      </c>
      <c r="U673" s="7" t="s">
        <v>2039</v>
      </c>
    </row>
    <row r="674" spans="5:21">
      <c r="E674" s="5"/>
      <c r="F674" s="5"/>
      <c r="G674" s="5"/>
      <c r="H674" s="5"/>
      <c r="I674" s="5"/>
      <c r="J674" s="6"/>
      <c r="K674" s="5"/>
      <c r="O674" s="7" t="s">
        <v>58</v>
      </c>
      <c r="P674" s="7" t="s">
        <v>59</v>
      </c>
      <c r="Q674" s="7" t="s">
        <v>2042</v>
      </c>
      <c r="R674" s="7" t="s">
        <v>11</v>
      </c>
      <c r="S674" s="7" t="s">
        <v>2043</v>
      </c>
      <c r="T674" s="7" t="s">
        <v>2044</v>
      </c>
      <c r="U674" s="7" t="s">
        <v>2042</v>
      </c>
    </row>
    <row r="675" spans="5:21">
      <c r="E675" s="5"/>
      <c r="F675" s="5"/>
      <c r="G675" s="5"/>
      <c r="H675" s="5"/>
      <c r="I675" s="5"/>
      <c r="J675" s="6"/>
      <c r="K675" s="5"/>
      <c r="O675" s="7" t="s">
        <v>47</v>
      </c>
      <c r="P675" s="7" t="s">
        <v>48</v>
      </c>
      <c r="Q675" s="7" t="s">
        <v>2045</v>
      </c>
      <c r="R675" s="7" t="s">
        <v>17</v>
      </c>
      <c r="S675" s="7" t="s">
        <v>2046</v>
      </c>
      <c r="T675" s="7" t="s">
        <v>2047</v>
      </c>
      <c r="U675" s="7" t="s">
        <v>2045</v>
      </c>
    </row>
    <row r="676" spans="5:21">
      <c r="E676" s="5"/>
      <c r="F676" s="5"/>
      <c r="G676" s="5"/>
      <c r="H676" s="5"/>
      <c r="I676" s="5"/>
      <c r="J676" s="6"/>
      <c r="K676" s="5"/>
      <c r="O676" s="7" t="s">
        <v>28</v>
      </c>
      <c r="P676" s="7" t="s">
        <v>29</v>
      </c>
      <c r="Q676" s="7" t="s">
        <v>2048</v>
      </c>
      <c r="R676" s="7" t="s">
        <v>11</v>
      </c>
      <c r="S676" s="7" t="s">
        <v>2049</v>
      </c>
      <c r="T676" s="7" t="s">
        <v>2050</v>
      </c>
      <c r="U676" s="7" t="s">
        <v>2048</v>
      </c>
    </row>
    <row r="677" spans="5:21">
      <c r="E677" s="5"/>
      <c r="F677" s="5"/>
      <c r="G677" s="5"/>
      <c r="H677" s="5"/>
      <c r="I677" s="5"/>
      <c r="J677" s="6"/>
      <c r="K677" s="5"/>
      <c r="O677" s="7" t="s">
        <v>195</v>
      </c>
      <c r="P677" s="7" t="s">
        <v>196</v>
      </c>
      <c r="Q677" s="7" t="s">
        <v>2051</v>
      </c>
      <c r="R677" s="7" t="s">
        <v>11</v>
      </c>
      <c r="S677" s="7" t="s">
        <v>2052</v>
      </c>
      <c r="T677" s="7" t="s">
        <v>2053</v>
      </c>
      <c r="U677" s="7" t="s">
        <v>2051</v>
      </c>
    </row>
    <row r="678" spans="5:21">
      <c r="E678" s="5"/>
      <c r="F678" s="5"/>
      <c r="G678" s="5"/>
      <c r="H678" s="5"/>
      <c r="I678" s="5"/>
      <c r="J678" s="6"/>
      <c r="K678" s="5"/>
      <c r="O678" s="7" t="s">
        <v>251</v>
      </c>
      <c r="P678" s="7" t="s">
        <v>252</v>
      </c>
      <c r="Q678" s="7" t="s">
        <v>2054</v>
      </c>
      <c r="R678" s="7" t="s">
        <v>254</v>
      </c>
      <c r="S678" s="7" t="s">
        <v>2055</v>
      </c>
      <c r="T678" s="7" t="s">
        <v>2056</v>
      </c>
      <c r="U678" s="7" t="s">
        <v>2054</v>
      </c>
    </row>
    <row r="679" spans="5:21">
      <c r="E679" s="5"/>
      <c r="F679" s="5"/>
      <c r="G679" s="5"/>
      <c r="H679" s="5"/>
      <c r="I679" s="5"/>
      <c r="J679" s="6"/>
      <c r="K679" s="5"/>
      <c r="O679" s="7" t="s">
        <v>28</v>
      </c>
      <c r="P679" s="7" t="s">
        <v>29</v>
      </c>
      <c r="Q679" s="7" t="s">
        <v>2057</v>
      </c>
      <c r="R679" s="7" t="s">
        <v>11</v>
      </c>
      <c r="S679" s="7" t="s">
        <v>2058</v>
      </c>
      <c r="T679" s="7" t="s">
        <v>2059</v>
      </c>
      <c r="U679" s="7" t="s">
        <v>2057</v>
      </c>
    </row>
    <row r="680" spans="5:21">
      <c r="E680" s="5"/>
      <c r="F680" s="5"/>
      <c r="G680" s="5"/>
      <c r="H680" s="5"/>
      <c r="I680" s="5"/>
      <c r="J680" s="6"/>
      <c r="K680" s="5"/>
      <c r="O680" s="7" t="s">
        <v>28</v>
      </c>
      <c r="P680" s="7" t="s">
        <v>29</v>
      </c>
      <c r="Q680" s="7" t="s">
        <v>2060</v>
      </c>
      <c r="R680" s="7" t="s">
        <v>11</v>
      </c>
      <c r="S680" s="7" t="s">
        <v>2061</v>
      </c>
      <c r="T680" s="7" t="s">
        <v>2062</v>
      </c>
      <c r="U680" s="7" t="s">
        <v>2060</v>
      </c>
    </row>
    <row r="681" spans="5:21">
      <c r="E681" s="5"/>
      <c r="F681" s="5"/>
      <c r="G681" s="5"/>
      <c r="H681" s="5"/>
      <c r="I681" s="5"/>
      <c r="J681" s="6"/>
      <c r="K681" s="5"/>
      <c r="O681" s="7" t="s">
        <v>28</v>
      </c>
      <c r="P681" s="7" t="s">
        <v>29</v>
      </c>
      <c r="Q681" s="7" t="s">
        <v>2063</v>
      </c>
      <c r="R681" s="7" t="s">
        <v>11</v>
      </c>
      <c r="S681" s="7" t="s">
        <v>2064</v>
      </c>
      <c r="T681" s="7" t="s">
        <v>2065</v>
      </c>
      <c r="U681" s="7" t="s">
        <v>2063</v>
      </c>
    </row>
    <row r="682" spans="5:21">
      <c r="E682" s="5"/>
      <c r="F682" s="5"/>
      <c r="G682" s="5"/>
      <c r="H682" s="5"/>
      <c r="I682" s="5"/>
      <c r="J682" s="6"/>
      <c r="K682" s="5"/>
      <c r="O682" s="7" t="s">
        <v>47</v>
      </c>
      <c r="P682" s="7" t="s">
        <v>48</v>
      </c>
      <c r="Q682" s="7" t="s">
        <v>2066</v>
      </c>
      <c r="R682" s="7" t="s">
        <v>17</v>
      </c>
      <c r="S682" s="7" t="s">
        <v>2067</v>
      </c>
      <c r="T682" s="7" t="s">
        <v>2068</v>
      </c>
      <c r="U682" s="7" t="s">
        <v>2066</v>
      </c>
    </row>
    <row r="683" spans="5:21">
      <c r="E683" s="5"/>
      <c r="F683" s="5"/>
      <c r="G683" s="5"/>
      <c r="H683" s="5"/>
      <c r="I683" s="5"/>
      <c r="J683" s="6"/>
      <c r="K683" s="5"/>
      <c r="O683" s="7" t="s">
        <v>8</v>
      </c>
      <c r="P683" s="7" t="s">
        <v>9</v>
      </c>
      <c r="Q683" s="7" t="s">
        <v>2069</v>
      </c>
      <c r="R683" s="7" t="s">
        <v>11</v>
      </c>
      <c r="S683" s="7" t="s">
        <v>2070</v>
      </c>
      <c r="T683" s="7" t="s">
        <v>2071</v>
      </c>
      <c r="U683" s="7" t="s">
        <v>2069</v>
      </c>
    </row>
    <row r="684" spans="5:21">
      <c r="E684" s="5"/>
      <c r="F684" s="5"/>
      <c r="G684" s="5"/>
      <c r="H684" s="5"/>
      <c r="I684" s="5"/>
      <c r="J684" s="6"/>
      <c r="K684" s="5"/>
      <c r="O684" s="7" t="s">
        <v>28</v>
      </c>
      <c r="P684" s="7" t="s">
        <v>29</v>
      </c>
      <c r="Q684" s="7" t="s">
        <v>2072</v>
      </c>
      <c r="R684" s="7" t="s">
        <v>11</v>
      </c>
      <c r="S684" s="7" t="s">
        <v>2073</v>
      </c>
      <c r="T684" s="7" t="s">
        <v>2074</v>
      </c>
      <c r="U684" s="7" t="s">
        <v>2072</v>
      </c>
    </row>
    <row r="685" spans="5:21">
      <c r="E685" s="5"/>
      <c r="F685" s="5"/>
      <c r="G685" s="5"/>
      <c r="H685" s="5"/>
      <c r="I685" s="5"/>
      <c r="J685" s="6"/>
      <c r="K685" s="5"/>
      <c r="O685" s="7" t="s">
        <v>28</v>
      </c>
      <c r="P685" s="7" t="s">
        <v>29</v>
      </c>
      <c r="Q685" s="7" t="s">
        <v>2075</v>
      </c>
      <c r="R685" s="7" t="s">
        <v>11</v>
      </c>
      <c r="S685" s="7" t="s">
        <v>2076</v>
      </c>
      <c r="T685" s="7" t="s">
        <v>2077</v>
      </c>
      <c r="U685" s="7" t="s">
        <v>2075</v>
      </c>
    </row>
    <row r="686" spans="5:21">
      <c r="E686" s="5"/>
      <c r="F686" s="5"/>
      <c r="G686" s="5"/>
      <c r="H686" s="5"/>
      <c r="I686" s="5"/>
      <c r="J686" s="6"/>
      <c r="K686" s="5"/>
      <c r="O686" s="7" t="s">
        <v>23</v>
      </c>
      <c r="P686" s="7" t="s">
        <v>24</v>
      </c>
      <c r="Q686" s="7" t="s">
        <v>2078</v>
      </c>
      <c r="R686" s="7" t="s">
        <v>11</v>
      </c>
      <c r="S686" s="7" t="s">
        <v>2079</v>
      </c>
      <c r="T686" s="7" t="s">
        <v>2080</v>
      </c>
      <c r="U686" s="7" t="s">
        <v>2078</v>
      </c>
    </row>
    <row r="687" spans="5:21">
      <c r="E687" s="5"/>
      <c r="F687" s="5"/>
      <c r="G687" s="5"/>
      <c r="H687" s="5"/>
      <c r="I687" s="5"/>
      <c r="J687" s="6"/>
      <c r="K687" s="5"/>
      <c r="O687" s="7" t="s">
        <v>28</v>
      </c>
      <c r="P687" s="7" t="s">
        <v>29</v>
      </c>
      <c r="Q687" s="7" t="s">
        <v>2081</v>
      </c>
      <c r="R687" s="7" t="s">
        <v>11</v>
      </c>
      <c r="S687" s="7" t="s">
        <v>2082</v>
      </c>
      <c r="T687" s="7" t="s">
        <v>2083</v>
      </c>
      <c r="U687" s="7" t="s">
        <v>2081</v>
      </c>
    </row>
    <row r="688" spans="5:21">
      <c r="E688" s="5"/>
      <c r="F688" s="5"/>
      <c r="G688" s="5"/>
      <c r="H688" s="5"/>
      <c r="I688" s="5"/>
      <c r="J688" s="6"/>
      <c r="K688" s="5"/>
      <c r="O688" s="7" t="s">
        <v>47</v>
      </c>
      <c r="P688" s="7" t="s">
        <v>48</v>
      </c>
      <c r="Q688" s="7" t="s">
        <v>2084</v>
      </c>
      <c r="R688" s="7" t="s">
        <v>17</v>
      </c>
      <c r="S688" s="7" t="s">
        <v>2085</v>
      </c>
      <c r="T688" s="7" t="s">
        <v>2086</v>
      </c>
      <c r="U688" s="7" t="s">
        <v>2084</v>
      </c>
    </row>
    <row r="689" spans="5:21">
      <c r="E689" s="5"/>
      <c r="F689" s="5"/>
      <c r="G689" s="5"/>
      <c r="H689" s="5"/>
      <c r="I689" s="5"/>
      <c r="J689" s="6"/>
      <c r="K689" s="5"/>
      <c r="O689" s="7" t="s">
        <v>28</v>
      </c>
      <c r="P689" s="7" t="s">
        <v>29</v>
      </c>
      <c r="Q689" s="7" t="s">
        <v>2087</v>
      </c>
      <c r="R689" s="7" t="s">
        <v>11</v>
      </c>
      <c r="S689" s="7" t="s">
        <v>2088</v>
      </c>
      <c r="T689" s="7" t="s">
        <v>2089</v>
      </c>
      <c r="U689" s="7" t="s">
        <v>2087</v>
      </c>
    </row>
    <row r="690" spans="5:21">
      <c r="E690" s="5"/>
      <c r="F690" s="5"/>
      <c r="G690" s="5"/>
      <c r="H690" s="5"/>
      <c r="I690" s="5"/>
      <c r="J690" s="6"/>
      <c r="K690" s="5"/>
      <c r="O690" s="7" t="s">
        <v>28</v>
      </c>
      <c r="P690" s="7" t="s">
        <v>29</v>
      </c>
      <c r="Q690" s="7" t="s">
        <v>2090</v>
      </c>
      <c r="R690" s="7" t="s">
        <v>11</v>
      </c>
      <c r="S690" s="7" t="s">
        <v>2091</v>
      </c>
      <c r="T690" s="7" t="s">
        <v>2092</v>
      </c>
      <c r="U690" s="7" t="s">
        <v>2090</v>
      </c>
    </row>
    <row r="691" spans="5:21">
      <c r="E691" s="5"/>
      <c r="F691" s="5"/>
      <c r="G691" s="5"/>
      <c r="H691" s="5"/>
      <c r="I691" s="5"/>
      <c r="J691" s="6"/>
      <c r="K691" s="5"/>
      <c r="O691" s="7" t="s">
        <v>8</v>
      </c>
      <c r="P691" s="7" t="s">
        <v>9</v>
      </c>
      <c r="Q691" s="7" t="s">
        <v>2093</v>
      </c>
      <c r="R691" s="7" t="s">
        <v>11</v>
      </c>
      <c r="S691" s="7" t="s">
        <v>2094</v>
      </c>
      <c r="T691" s="7" t="s">
        <v>2095</v>
      </c>
      <c r="U691" s="7" t="s">
        <v>2093</v>
      </c>
    </row>
    <row r="692" spans="5:21">
      <c r="E692" s="5"/>
      <c r="F692" s="5"/>
      <c r="G692" s="5"/>
      <c r="H692" s="5"/>
      <c r="I692" s="5"/>
      <c r="J692" s="6"/>
      <c r="K692" s="5"/>
      <c r="O692" s="7" t="s">
        <v>8</v>
      </c>
      <c r="P692" s="7" t="s">
        <v>9</v>
      </c>
      <c r="Q692" s="7" t="s">
        <v>2096</v>
      </c>
      <c r="R692" s="7" t="s">
        <v>11</v>
      </c>
      <c r="S692" s="7" t="s">
        <v>2097</v>
      </c>
      <c r="T692" s="7" t="s">
        <v>2098</v>
      </c>
      <c r="U692" s="7" t="s">
        <v>2096</v>
      </c>
    </row>
    <row r="693" spans="5:21">
      <c r="E693" s="5"/>
      <c r="F693" s="5"/>
      <c r="G693" s="5"/>
      <c r="H693" s="5"/>
      <c r="I693" s="5"/>
      <c r="J693" s="6"/>
      <c r="K693" s="5"/>
      <c r="O693" s="7" t="s">
        <v>8</v>
      </c>
      <c r="P693" s="7" t="s">
        <v>9</v>
      </c>
      <c r="Q693" s="7" t="s">
        <v>2099</v>
      </c>
      <c r="R693" s="7" t="s">
        <v>11</v>
      </c>
      <c r="S693" s="7" t="s">
        <v>2100</v>
      </c>
      <c r="T693" s="7" t="s">
        <v>2101</v>
      </c>
      <c r="U693" s="7" t="s">
        <v>2099</v>
      </c>
    </row>
    <row r="694" spans="5:21">
      <c r="E694" s="5"/>
      <c r="F694" s="5"/>
      <c r="G694" s="5"/>
      <c r="H694" s="5"/>
      <c r="I694" s="5"/>
      <c r="J694" s="6"/>
      <c r="K694" s="5"/>
      <c r="O694" s="7" t="s">
        <v>14</v>
      </c>
      <c r="P694" s="7" t="s">
        <v>15</v>
      </c>
      <c r="Q694" s="7" t="s">
        <v>2102</v>
      </c>
      <c r="R694" s="7" t="s">
        <v>17</v>
      </c>
      <c r="S694" s="7" t="s">
        <v>2103</v>
      </c>
      <c r="T694" s="7" t="s">
        <v>2104</v>
      </c>
      <c r="U694" s="7" t="s">
        <v>2102</v>
      </c>
    </row>
    <row r="695" spans="5:21">
      <c r="E695" s="5"/>
      <c r="F695" s="5"/>
      <c r="G695" s="5"/>
      <c r="H695" s="5"/>
      <c r="I695" s="5"/>
      <c r="J695" s="6"/>
      <c r="K695" s="5"/>
      <c r="O695" s="7" t="s">
        <v>47</v>
      </c>
      <c r="P695" s="7" t="s">
        <v>48</v>
      </c>
      <c r="Q695" s="7" t="s">
        <v>2105</v>
      </c>
      <c r="R695" s="7" t="s">
        <v>17</v>
      </c>
      <c r="S695" s="7" t="s">
        <v>2106</v>
      </c>
      <c r="T695" s="7" t="s">
        <v>2107</v>
      </c>
      <c r="U695" s="7" t="s">
        <v>2105</v>
      </c>
    </row>
    <row r="696" spans="5:21">
      <c r="E696" s="5"/>
      <c r="F696" s="5"/>
      <c r="G696" s="5"/>
      <c r="H696" s="5"/>
      <c r="I696" s="5"/>
      <c r="J696" s="6"/>
      <c r="K696" s="5"/>
      <c r="O696" s="7" t="s">
        <v>251</v>
      </c>
      <c r="P696" s="7" t="s">
        <v>252</v>
      </c>
      <c r="Q696" s="7" t="s">
        <v>2108</v>
      </c>
      <c r="R696" s="7" t="s">
        <v>254</v>
      </c>
      <c r="S696" s="7" t="s">
        <v>2109</v>
      </c>
      <c r="T696" s="7" t="s">
        <v>2110</v>
      </c>
      <c r="U696" s="7" t="s">
        <v>2108</v>
      </c>
    </row>
    <row r="697" spans="5:21">
      <c r="E697" s="5"/>
      <c r="F697" s="5"/>
      <c r="G697" s="5"/>
      <c r="H697" s="5"/>
      <c r="I697" s="5"/>
      <c r="J697" s="6"/>
      <c r="K697" s="5"/>
      <c r="O697" s="7" t="s">
        <v>14</v>
      </c>
      <c r="P697" s="7" t="s">
        <v>15</v>
      </c>
      <c r="Q697" s="7" t="s">
        <v>2111</v>
      </c>
      <c r="R697" s="7" t="s">
        <v>17</v>
      </c>
      <c r="S697" s="7" t="s">
        <v>2112</v>
      </c>
      <c r="T697" s="7" t="s">
        <v>2113</v>
      </c>
      <c r="U697" s="7" t="s">
        <v>2111</v>
      </c>
    </row>
    <row r="698" spans="5:21">
      <c r="E698" s="5"/>
      <c r="F698" s="5"/>
      <c r="G698" s="5"/>
      <c r="H698" s="5"/>
      <c r="I698" s="5"/>
      <c r="J698" s="6"/>
      <c r="K698" s="5"/>
      <c r="O698" s="7" t="s">
        <v>251</v>
      </c>
      <c r="P698" s="7" t="s">
        <v>252</v>
      </c>
      <c r="Q698" s="7" t="s">
        <v>2114</v>
      </c>
      <c r="R698" s="7" t="s">
        <v>254</v>
      </c>
      <c r="S698" s="7" t="s">
        <v>2115</v>
      </c>
      <c r="T698" s="7" t="s">
        <v>2116</v>
      </c>
      <c r="U698" s="7" t="s">
        <v>2114</v>
      </c>
    </row>
    <row r="699" spans="5:21">
      <c r="E699" s="5"/>
      <c r="F699" s="5"/>
      <c r="G699" s="5"/>
      <c r="H699" s="5"/>
      <c r="I699" s="5"/>
      <c r="J699" s="6"/>
      <c r="K699" s="5"/>
      <c r="O699" s="7" t="s">
        <v>8</v>
      </c>
      <c r="P699" s="7" t="s">
        <v>9</v>
      </c>
      <c r="Q699" s="7" t="s">
        <v>2117</v>
      </c>
      <c r="R699" s="7" t="s">
        <v>11</v>
      </c>
      <c r="S699" s="7" t="s">
        <v>2118</v>
      </c>
      <c r="T699" s="7" t="s">
        <v>2119</v>
      </c>
      <c r="U699" s="7" t="s">
        <v>2117</v>
      </c>
    </row>
    <row r="700" spans="5:21">
      <c r="E700" s="5"/>
      <c r="F700" s="5"/>
      <c r="G700" s="5"/>
      <c r="H700" s="5"/>
      <c r="I700" s="5"/>
      <c r="J700" s="6"/>
      <c r="K700" s="5"/>
      <c r="O700" s="7" t="s">
        <v>28</v>
      </c>
      <c r="P700" s="7" t="s">
        <v>29</v>
      </c>
      <c r="Q700" s="7" t="s">
        <v>2120</v>
      </c>
      <c r="R700" s="7" t="s">
        <v>11</v>
      </c>
      <c r="S700" s="7" t="s">
        <v>2121</v>
      </c>
      <c r="T700" s="7" t="s">
        <v>2122</v>
      </c>
      <c r="U700" s="7" t="s">
        <v>2120</v>
      </c>
    </row>
    <row r="701" spans="5:21">
      <c r="E701" s="5"/>
      <c r="F701" s="5"/>
      <c r="G701" s="5"/>
      <c r="H701" s="5"/>
      <c r="I701" s="5"/>
      <c r="J701" s="6"/>
      <c r="K701" s="5"/>
      <c r="O701" s="7" t="s">
        <v>28</v>
      </c>
      <c r="P701" s="7" t="s">
        <v>29</v>
      </c>
      <c r="Q701" s="7" t="s">
        <v>2123</v>
      </c>
      <c r="R701" s="7" t="s">
        <v>11</v>
      </c>
      <c r="S701" s="7" t="s">
        <v>2124</v>
      </c>
      <c r="T701" s="7" t="s">
        <v>2125</v>
      </c>
      <c r="U701" s="7" t="s">
        <v>2123</v>
      </c>
    </row>
    <row r="702" spans="5:21">
      <c r="E702" s="5"/>
      <c r="F702" s="5"/>
      <c r="G702" s="5"/>
      <c r="H702" s="5"/>
      <c r="I702" s="5"/>
      <c r="J702" s="6"/>
      <c r="K702" s="5"/>
      <c r="O702" s="7" t="s">
        <v>47</v>
      </c>
      <c r="P702" s="7" t="s">
        <v>48</v>
      </c>
      <c r="Q702" s="7" t="s">
        <v>2126</v>
      </c>
      <c r="R702" s="7" t="s">
        <v>17</v>
      </c>
      <c r="S702" s="7" t="s">
        <v>2127</v>
      </c>
      <c r="T702" s="7" t="s">
        <v>2128</v>
      </c>
      <c r="U702" s="7" t="s">
        <v>2126</v>
      </c>
    </row>
    <row r="703" spans="5:21">
      <c r="E703" s="5"/>
      <c r="F703" s="5"/>
      <c r="G703" s="5"/>
      <c r="H703" s="5"/>
      <c r="I703" s="5"/>
      <c r="J703" s="6"/>
      <c r="K703" s="5"/>
      <c r="O703" s="7" t="s">
        <v>47</v>
      </c>
      <c r="P703" s="7" t="s">
        <v>48</v>
      </c>
      <c r="Q703" s="7" t="s">
        <v>2129</v>
      </c>
      <c r="R703" s="7" t="s">
        <v>17</v>
      </c>
      <c r="S703" s="7" t="s">
        <v>2130</v>
      </c>
      <c r="T703" s="7" t="s">
        <v>2131</v>
      </c>
      <c r="U703" s="7" t="s">
        <v>2129</v>
      </c>
    </row>
    <row r="704" spans="5:21">
      <c r="E704" s="5"/>
      <c r="F704" s="5"/>
      <c r="G704" s="5"/>
      <c r="H704" s="5"/>
      <c r="I704" s="5"/>
      <c r="J704" s="6"/>
      <c r="K704" s="5"/>
      <c r="O704" s="7" t="s">
        <v>47</v>
      </c>
      <c r="P704" s="7" t="s">
        <v>48</v>
      </c>
      <c r="Q704" s="7" t="s">
        <v>2132</v>
      </c>
      <c r="R704" s="7" t="s">
        <v>17</v>
      </c>
      <c r="S704" s="7" t="s">
        <v>2133</v>
      </c>
      <c r="T704" s="7" t="s">
        <v>2134</v>
      </c>
      <c r="U704" s="7" t="s">
        <v>2132</v>
      </c>
    </row>
    <row r="705" spans="5:21">
      <c r="E705" s="5"/>
      <c r="F705" s="5"/>
      <c r="G705" s="5"/>
      <c r="H705" s="5"/>
      <c r="I705" s="5"/>
      <c r="J705" s="6"/>
      <c r="K705" s="5"/>
      <c r="O705" s="7" t="s">
        <v>14</v>
      </c>
      <c r="P705" s="7" t="s">
        <v>15</v>
      </c>
      <c r="Q705" s="7" t="s">
        <v>2135</v>
      </c>
      <c r="R705" s="7" t="s">
        <v>17</v>
      </c>
      <c r="S705" s="7" t="s">
        <v>2136</v>
      </c>
      <c r="T705" s="7" t="s">
        <v>2137</v>
      </c>
      <c r="U705" s="7" t="s">
        <v>2135</v>
      </c>
    </row>
    <row r="706" spans="5:21">
      <c r="E706" s="5"/>
      <c r="F706" s="5"/>
      <c r="G706" s="5"/>
      <c r="H706" s="5"/>
      <c r="I706" s="5"/>
      <c r="J706" s="6"/>
      <c r="K706" s="5"/>
      <c r="O706" s="7" t="s">
        <v>28</v>
      </c>
      <c r="P706" s="7" t="s">
        <v>29</v>
      </c>
      <c r="Q706" s="7" t="s">
        <v>2138</v>
      </c>
      <c r="R706" s="7" t="s">
        <v>11</v>
      </c>
      <c r="S706" s="7" t="s">
        <v>2139</v>
      </c>
      <c r="T706" s="7" t="s">
        <v>2140</v>
      </c>
      <c r="U706" s="7" t="s">
        <v>2138</v>
      </c>
    </row>
    <row r="707" spans="5:21">
      <c r="E707" s="5"/>
      <c r="F707" s="5"/>
      <c r="G707" s="5"/>
      <c r="H707" s="5"/>
      <c r="I707" s="5"/>
      <c r="J707" s="6"/>
      <c r="K707" s="5"/>
      <c r="O707" s="7" t="s">
        <v>195</v>
      </c>
      <c r="P707" s="7" t="s">
        <v>196</v>
      </c>
      <c r="Q707" s="7" t="s">
        <v>2141</v>
      </c>
      <c r="R707" s="7" t="s">
        <v>11</v>
      </c>
      <c r="S707" s="7" t="s">
        <v>2142</v>
      </c>
      <c r="T707" s="7" t="s">
        <v>2143</v>
      </c>
      <c r="U707" s="7" t="s">
        <v>2141</v>
      </c>
    </row>
    <row r="708" spans="5:21">
      <c r="E708" s="5"/>
      <c r="F708" s="5"/>
      <c r="G708" s="5"/>
      <c r="H708" s="5"/>
      <c r="I708" s="5"/>
      <c r="J708" s="6"/>
      <c r="K708" s="5"/>
      <c r="O708" s="7" t="s">
        <v>47</v>
      </c>
      <c r="P708" s="7" t="s">
        <v>48</v>
      </c>
      <c r="Q708" s="7" t="s">
        <v>2144</v>
      </c>
      <c r="R708" s="7" t="s">
        <v>17</v>
      </c>
      <c r="S708" s="7" t="s">
        <v>2145</v>
      </c>
      <c r="T708" s="7" t="s">
        <v>2146</v>
      </c>
      <c r="U708" s="7" t="s">
        <v>2144</v>
      </c>
    </row>
    <row r="709" spans="5:21">
      <c r="E709" s="5"/>
      <c r="F709" s="5"/>
      <c r="G709" s="5"/>
      <c r="H709" s="5"/>
      <c r="I709" s="5"/>
      <c r="J709" s="6"/>
      <c r="K709" s="5"/>
      <c r="O709" s="7" t="s">
        <v>195</v>
      </c>
      <c r="P709" s="7" t="s">
        <v>196</v>
      </c>
      <c r="Q709" s="7" t="s">
        <v>2147</v>
      </c>
      <c r="R709" s="7" t="s">
        <v>11</v>
      </c>
      <c r="S709" s="7" t="s">
        <v>2148</v>
      </c>
      <c r="T709" s="7" t="s">
        <v>2149</v>
      </c>
      <c r="U709" s="7" t="s">
        <v>2147</v>
      </c>
    </row>
    <row r="710" spans="5:21">
      <c r="E710" s="5"/>
      <c r="F710" s="5"/>
      <c r="G710" s="5"/>
      <c r="H710" s="5"/>
      <c r="I710" s="5"/>
      <c r="J710" s="6"/>
      <c r="K710" s="5"/>
      <c r="O710" s="7" t="s">
        <v>47</v>
      </c>
      <c r="P710" s="7" t="s">
        <v>48</v>
      </c>
      <c r="Q710" s="7" t="s">
        <v>2150</v>
      </c>
      <c r="R710" s="7" t="s">
        <v>17</v>
      </c>
      <c r="S710" s="7" t="s">
        <v>2151</v>
      </c>
      <c r="T710" s="7" t="s">
        <v>2152</v>
      </c>
      <c r="U710" s="7" t="s">
        <v>2150</v>
      </c>
    </row>
    <row r="711" spans="5:21">
      <c r="E711" s="5"/>
      <c r="F711" s="5"/>
      <c r="G711" s="5"/>
      <c r="H711" s="5"/>
      <c r="I711" s="5"/>
      <c r="J711" s="6"/>
      <c r="K711" s="5"/>
      <c r="O711" s="7" t="s">
        <v>195</v>
      </c>
      <c r="P711" s="7" t="s">
        <v>196</v>
      </c>
      <c r="Q711" s="7" t="s">
        <v>2153</v>
      </c>
      <c r="R711" s="7" t="s">
        <v>11</v>
      </c>
      <c r="S711" s="7" t="s">
        <v>2154</v>
      </c>
      <c r="T711" s="7" t="s">
        <v>2155</v>
      </c>
      <c r="U711" s="7" t="s">
        <v>2153</v>
      </c>
    </row>
    <row r="712" spans="5:21">
      <c r="E712" s="5"/>
      <c r="F712" s="5"/>
      <c r="G712" s="5"/>
      <c r="H712" s="5"/>
      <c r="I712" s="5"/>
      <c r="J712" s="6"/>
      <c r="K712" s="5"/>
      <c r="O712" s="7" t="s">
        <v>8</v>
      </c>
      <c r="P712" s="7" t="s">
        <v>9</v>
      </c>
      <c r="Q712" s="7" t="s">
        <v>2156</v>
      </c>
      <c r="R712" s="7" t="s">
        <v>11</v>
      </c>
      <c r="S712" s="7" t="s">
        <v>2157</v>
      </c>
      <c r="T712" s="7" t="s">
        <v>2158</v>
      </c>
      <c r="U712" s="7" t="s">
        <v>2156</v>
      </c>
    </row>
    <row r="713" spans="5:21">
      <c r="E713" s="5"/>
      <c r="F713" s="5"/>
      <c r="G713" s="5"/>
      <c r="H713" s="5"/>
      <c r="I713" s="5"/>
      <c r="J713" s="6"/>
      <c r="K713" s="5"/>
      <c r="O713" s="7" t="s">
        <v>28</v>
      </c>
      <c r="P713" s="7" t="s">
        <v>29</v>
      </c>
      <c r="Q713" s="7" t="s">
        <v>2159</v>
      </c>
      <c r="R713" s="7" t="s">
        <v>11</v>
      </c>
      <c r="S713" s="7" t="s">
        <v>2160</v>
      </c>
      <c r="T713" s="7" t="s">
        <v>2161</v>
      </c>
      <c r="U713" s="7" t="s">
        <v>2159</v>
      </c>
    </row>
    <row r="714" spans="5:21">
      <c r="E714" s="5"/>
      <c r="F714" s="5"/>
      <c r="G714" s="5"/>
      <c r="H714" s="5"/>
      <c r="I714" s="5"/>
      <c r="J714" s="6"/>
      <c r="K714" s="5"/>
      <c r="O714" s="7" t="s">
        <v>33</v>
      </c>
      <c r="P714" s="7" t="s">
        <v>34</v>
      </c>
      <c r="Q714" s="7" t="s">
        <v>2162</v>
      </c>
      <c r="R714" s="7" t="s">
        <v>11</v>
      </c>
      <c r="S714" s="7" t="s">
        <v>2163</v>
      </c>
      <c r="T714" s="7" t="s">
        <v>2164</v>
      </c>
      <c r="U714" s="7" t="s">
        <v>2162</v>
      </c>
    </row>
    <row r="715" spans="5:21">
      <c r="E715" s="5"/>
      <c r="F715" s="5"/>
      <c r="G715" s="5"/>
      <c r="H715" s="5"/>
      <c r="I715" s="5"/>
      <c r="J715" s="6"/>
      <c r="K715" s="5"/>
      <c r="O715" s="7" t="s">
        <v>195</v>
      </c>
      <c r="P715" s="7" t="s">
        <v>196</v>
      </c>
      <c r="Q715" s="7" t="s">
        <v>2165</v>
      </c>
      <c r="R715" s="7" t="s">
        <v>11</v>
      </c>
      <c r="S715" s="7" t="s">
        <v>2166</v>
      </c>
      <c r="T715" s="7" t="s">
        <v>2167</v>
      </c>
      <c r="U715" s="7" t="s">
        <v>2165</v>
      </c>
    </row>
    <row r="716" spans="5:21">
      <c r="E716" s="5"/>
      <c r="F716" s="5"/>
      <c r="G716" s="5"/>
      <c r="H716" s="5"/>
      <c r="I716" s="5"/>
      <c r="J716" s="6"/>
      <c r="K716" s="5"/>
      <c r="O716" s="7" t="s">
        <v>8</v>
      </c>
      <c r="P716" s="7" t="s">
        <v>9</v>
      </c>
      <c r="Q716" s="7" t="s">
        <v>2168</v>
      </c>
      <c r="R716" s="7" t="s">
        <v>11</v>
      </c>
      <c r="S716" s="7" t="s">
        <v>2169</v>
      </c>
      <c r="T716" s="7" t="s">
        <v>2170</v>
      </c>
      <c r="U716" s="7" t="s">
        <v>2168</v>
      </c>
    </row>
    <row r="717" spans="5:21">
      <c r="E717" s="5"/>
      <c r="F717" s="5"/>
      <c r="G717" s="5"/>
      <c r="H717" s="5"/>
      <c r="I717" s="5"/>
      <c r="J717" s="6"/>
      <c r="K717" s="5"/>
      <c r="O717" s="7" t="s">
        <v>8</v>
      </c>
      <c r="P717" s="7" t="s">
        <v>9</v>
      </c>
      <c r="Q717" s="7" t="s">
        <v>2171</v>
      </c>
      <c r="R717" s="7" t="s">
        <v>11</v>
      </c>
      <c r="S717" s="7" t="s">
        <v>2172</v>
      </c>
      <c r="T717" s="7" t="s">
        <v>2173</v>
      </c>
      <c r="U717" s="7" t="s">
        <v>2171</v>
      </c>
    </row>
    <row r="718" spans="5:21">
      <c r="E718" s="5"/>
      <c r="F718" s="5"/>
      <c r="G718" s="5"/>
      <c r="H718" s="5"/>
      <c r="I718" s="5"/>
      <c r="J718" s="6"/>
      <c r="K718" s="5"/>
      <c r="O718" s="7" t="s">
        <v>28</v>
      </c>
      <c r="P718" s="7" t="s">
        <v>29</v>
      </c>
      <c r="Q718" s="7" t="s">
        <v>2174</v>
      </c>
      <c r="R718" s="7" t="s">
        <v>11</v>
      </c>
      <c r="S718" s="7" t="s">
        <v>2175</v>
      </c>
      <c r="T718" s="7" t="s">
        <v>2176</v>
      </c>
      <c r="U718" s="7" t="s">
        <v>2174</v>
      </c>
    </row>
    <row r="719" spans="5:21">
      <c r="E719" s="5"/>
      <c r="F719" s="5"/>
      <c r="G719" s="5"/>
      <c r="H719" s="5"/>
      <c r="I719" s="5"/>
      <c r="J719" s="6"/>
      <c r="K719" s="5"/>
      <c r="O719" s="7" t="s">
        <v>33</v>
      </c>
      <c r="P719" s="7" t="s">
        <v>34</v>
      </c>
      <c r="Q719" s="7" t="s">
        <v>2177</v>
      </c>
      <c r="R719" s="7" t="s">
        <v>11</v>
      </c>
      <c r="S719" s="7" t="s">
        <v>2178</v>
      </c>
      <c r="T719" s="7" t="s">
        <v>2179</v>
      </c>
      <c r="U719" s="7" t="s">
        <v>2177</v>
      </c>
    </row>
    <row r="720" spans="5:21">
      <c r="E720" s="5"/>
      <c r="F720" s="5"/>
      <c r="G720" s="5"/>
      <c r="H720" s="5"/>
      <c r="I720" s="5"/>
      <c r="J720" s="6"/>
      <c r="K720" s="5"/>
      <c r="O720" s="7" t="s">
        <v>28</v>
      </c>
      <c r="P720" s="7" t="s">
        <v>29</v>
      </c>
      <c r="Q720" s="7" t="s">
        <v>2180</v>
      </c>
      <c r="R720" s="7" t="s">
        <v>11</v>
      </c>
      <c r="S720" s="7" t="s">
        <v>2181</v>
      </c>
      <c r="T720" s="7" t="s">
        <v>2182</v>
      </c>
      <c r="U720" s="7" t="s">
        <v>2180</v>
      </c>
    </row>
    <row r="721" spans="5:21">
      <c r="E721" s="5"/>
      <c r="F721" s="5"/>
      <c r="G721" s="5"/>
      <c r="H721" s="5"/>
      <c r="I721" s="5"/>
      <c r="J721" s="6"/>
      <c r="K721" s="5"/>
      <c r="O721" s="7" t="s">
        <v>28</v>
      </c>
      <c r="P721" s="7" t="s">
        <v>29</v>
      </c>
      <c r="Q721" s="7" t="s">
        <v>2183</v>
      </c>
      <c r="R721" s="7" t="s">
        <v>11</v>
      </c>
      <c r="S721" s="7" t="s">
        <v>2184</v>
      </c>
      <c r="T721" s="7" t="s">
        <v>2185</v>
      </c>
      <c r="U721" s="7" t="s">
        <v>2183</v>
      </c>
    </row>
    <row r="722" spans="5:21">
      <c r="E722" s="5"/>
      <c r="F722" s="5"/>
      <c r="G722" s="5"/>
      <c r="H722" s="5"/>
      <c r="I722" s="5"/>
      <c r="J722" s="6"/>
      <c r="K722" s="5"/>
      <c r="O722" s="7" t="s">
        <v>28</v>
      </c>
      <c r="P722" s="7" t="s">
        <v>29</v>
      </c>
      <c r="Q722" s="7" t="s">
        <v>2186</v>
      </c>
      <c r="R722" s="7" t="s">
        <v>11</v>
      </c>
      <c r="S722" s="7" t="s">
        <v>2187</v>
      </c>
      <c r="T722" s="7" t="s">
        <v>2188</v>
      </c>
      <c r="U722" s="7" t="s">
        <v>2186</v>
      </c>
    </row>
    <row r="723" spans="5:21">
      <c r="E723" s="5"/>
      <c r="F723" s="5"/>
      <c r="G723" s="5"/>
      <c r="H723" s="5"/>
      <c r="I723" s="5"/>
      <c r="J723" s="6"/>
      <c r="K723" s="5"/>
      <c r="O723" s="7" t="s">
        <v>28</v>
      </c>
      <c r="P723" s="7" t="s">
        <v>29</v>
      </c>
      <c r="Q723" s="7" t="s">
        <v>2189</v>
      </c>
      <c r="R723" s="7" t="s">
        <v>11</v>
      </c>
      <c r="S723" s="7" t="s">
        <v>2190</v>
      </c>
      <c r="T723" s="7" t="s">
        <v>2191</v>
      </c>
      <c r="U723" s="7" t="s">
        <v>2189</v>
      </c>
    </row>
    <row r="724" spans="5:21">
      <c r="E724" s="5"/>
      <c r="F724" s="5"/>
      <c r="G724" s="5"/>
      <c r="H724" s="5"/>
      <c r="I724" s="5"/>
      <c r="J724" s="6"/>
      <c r="K724" s="5"/>
      <c r="O724" s="7" t="s">
        <v>28</v>
      </c>
      <c r="P724" s="7" t="s">
        <v>29</v>
      </c>
      <c r="Q724" s="7" t="s">
        <v>2192</v>
      </c>
      <c r="R724" s="7" t="s">
        <v>11</v>
      </c>
      <c r="S724" s="7" t="s">
        <v>2193</v>
      </c>
      <c r="T724" s="7" t="s">
        <v>2194</v>
      </c>
      <c r="U724" s="7" t="s">
        <v>2192</v>
      </c>
    </row>
    <row r="725" spans="5:21">
      <c r="E725" s="5"/>
      <c r="F725" s="5"/>
      <c r="G725" s="5"/>
      <c r="H725" s="5"/>
      <c r="I725" s="5"/>
      <c r="J725" s="6"/>
      <c r="K725" s="5"/>
      <c r="O725" s="7" t="s">
        <v>58</v>
      </c>
      <c r="P725" s="7" t="s">
        <v>59</v>
      </c>
      <c r="Q725" s="7" t="s">
        <v>2195</v>
      </c>
      <c r="R725" s="7" t="s">
        <v>11</v>
      </c>
      <c r="S725" s="7" t="s">
        <v>2196</v>
      </c>
      <c r="T725" s="7" t="s">
        <v>2197</v>
      </c>
      <c r="U725" s="7" t="s">
        <v>2195</v>
      </c>
    </row>
    <row r="726" spans="5:21">
      <c r="E726" s="5"/>
      <c r="F726" s="5"/>
      <c r="G726" s="5"/>
      <c r="H726" s="5"/>
      <c r="I726" s="5"/>
      <c r="J726" s="6"/>
      <c r="K726" s="5"/>
      <c r="O726" s="7" t="s">
        <v>8</v>
      </c>
      <c r="P726" s="7" t="s">
        <v>9</v>
      </c>
      <c r="Q726" s="7" t="s">
        <v>2198</v>
      </c>
      <c r="R726" s="7" t="s">
        <v>11</v>
      </c>
      <c r="S726" s="7" t="s">
        <v>2199</v>
      </c>
      <c r="T726" s="7" t="s">
        <v>2200</v>
      </c>
      <c r="U726" s="7" t="s">
        <v>2198</v>
      </c>
    </row>
    <row r="727" spans="5:21">
      <c r="E727" s="5"/>
      <c r="F727" s="5"/>
      <c r="G727" s="5"/>
      <c r="H727" s="5"/>
      <c r="I727" s="5"/>
      <c r="J727" s="6"/>
      <c r="K727" s="5"/>
      <c r="O727" s="7" t="s">
        <v>23</v>
      </c>
      <c r="P727" s="7" t="s">
        <v>24</v>
      </c>
      <c r="Q727" s="7" t="s">
        <v>2201</v>
      </c>
      <c r="R727" s="7" t="s">
        <v>11</v>
      </c>
      <c r="S727" s="7" t="s">
        <v>2202</v>
      </c>
      <c r="T727" s="7" t="s">
        <v>2203</v>
      </c>
      <c r="U727" s="7" t="s">
        <v>2201</v>
      </c>
    </row>
    <row r="728" spans="5:21">
      <c r="E728" s="5"/>
      <c r="F728" s="5"/>
      <c r="G728" s="5"/>
      <c r="H728" s="5"/>
      <c r="I728" s="5"/>
      <c r="J728" s="6"/>
      <c r="K728" s="5"/>
      <c r="O728" s="7" t="s">
        <v>58</v>
      </c>
      <c r="P728" s="7" t="s">
        <v>59</v>
      </c>
      <c r="Q728" s="7" t="s">
        <v>2204</v>
      </c>
      <c r="R728" s="7" t="s">
        <v>11</v>
      </c>
      <c r="S728" s="7" t="s">
        <v>2205</v>
      </c>
      <c r="T728" s="7" t="s">
        <v>2206</v>
      </c>
      <c r="U728" s="7" t="s">
        <v>2204</v>
      </c>
    </row>
    <row r="729" spans="5:21">
      <c r="E729" s="5"/>
      <c r="F729" s="5"/>
      <c r="G729" s="5"/>
      <c r="H729" s="5"/>
      <c r="I729" s="5"/>
      <c r="J729" s="6"/>
      <c r="K729" s="5"/>
      <c r="O729" s="7" t="s">
        <v>58</v>
      </c>
      <c r="P729" s="7" t="s">
        <v>59</v>
      </c>
      <c r="Q729" s="7" t="s">
        <v>2207</v>
      </c>
      <c r="R729" s="7" t="s">
        <v>11</v>
      </c>
      <c r="S729" s="7" t="s">
        <v>2208</v>
      </c>
      <c r="T729" s="7" t="s">
        <v>2209</v>
      </c>
      <c r="U729" s="7" t="s">
        <v>2207</v>
      </c>
    </row>
    <row r="730" spans="5:21">
      <c r="E730" s="5"/>
      <c r="F730" s="5"/>
      <c r="G730" s="5"/>
      <c r="H730" s="5"/>
      <c r="I730" s="5"/>
      <c r="J730" s="6"/>
      <c r="K730" s="5"/>
      <c r="O730" s="7" t="s">
        <v>33</v>
      </c>
      <c r="P730" s="7" t="s">
        <v>34</v>
      </c>
      <c r="Q730" s="7" t="s">
        <v>2210</v>
      </c>
      <c r="R730" s="7" t="s">
        <v>11</v>
      </c>
      <c r="S730" s="7" t="s">
        <v>2211</v>
      </c>
      <c r="T730" s="7" t="s">
        <v>2212</v>
      </c>
      <c r="U730" s="7" t="s">
        <v>2210</v>
      </c>
    </row>
    <row r="731" spans="5:21">
      <c r="E731" s="5"/>
      <c r="F731" s="5"/>
      <c r="G731" s="5"/>
      <c r="H731" s="5"/>
      <c r="I731" s="5"/>
      <c r="J731" s="6"/>
      <c r="K731" s="5"/>
      <c r="O731" s="7" t="s">
        <v>14</v>
      </c>
      <c r="P731" s="7" t="s">
        <v>15</v>
      </c>
      <c r="Q731" s="7" t="s">
        <v>2213</v>
      </c>
      <c r="R731" s="7" t="s">
        <v>17</v>
      </c>
      <c r="S731" s="7" t="s">
        <v>2214</v>
      </c>
      <c r="T731" s="7" t="s">
        <v>2215</v>
      </c>
      <c r="U731" s="7" t="s">
        <v>2213</v>
      </c>
    </row>
    <row r="732" spans="5:21">
      <c r="E732" s="5"/>
      <c r="F732" s="5"/>
      <c r="G732" s="5"/>
      <c r="H732" s="5"/>
      <c r="I732" s="5"/>
      <c r="J732" s="6"/>
      <c r="K732" s="5"/>
      <c r="O732" s="7" t="s">
        <v>47</v>
      </c>
      <c r="P732" s="7" t="s">
        <v>48</v>
      </c>
      <c r="Q732" s="7" t="s">
        <v>2216</v>
      </c>
      <c r="R732" s="7" t="s">
        <v>17</v>
      </c>
      <c r="S732" s="7" t="s">
        <v>2217</v>
      </c>
      <c r="T732" s="7" t="s">
        <v>2218</v>
      </c>
      <c r="U732" s="7" t="s">
        <v>2216</v>
      </c>
    </row>
    <row r="733" spans="5:21">
      <c r="E733" s="5"/>
      <c r="F733" s="5"/>
      <c r="G733" s="5"/>
      <c r="H733" s="5"/>
      <c r="I733" s="5"/>
      <c r="J733" s="6"/>
      <c r="K733" s="5"/>
      <c r="O733" s="7" t="s">
        <v>47</v>
      </c>
      <c r="P733" s="7" t="s">
        <v>48</v>
      </c>
      <c r="Q733" s="7" t="s">
        <v>2219</v>
      </c>
      <c r="R733" s="7" t="s">
        <v>17</v>
      </c>
      <c r="S733" s="7" t="s">
        <v>2220</v>
      </c>
      <c r="T733" s="7" t="s">
        <v>2221</v>
      </c>
      <c r="U733" s="7" t="s">
        <v>2219</v>
      </c>
    </row>
    <row r="734" spans="5:21">
      <c r="E734" s="5"/>
      <c r="F734" s="5"/>
      <c r="G734" s="5"/>
      <c r="H734" s="5"/>
      <c r="I734" s="5"/>
      <c r="J734" s="6"/>
      <c r="K734" s="5"/>
      <c r="O734" s="7" t="s">
        <v>47</v>
      </c>
      <c r="P734" s="7" t="s">
        <v>48</v>
      </c>
      <c r="Q734" s="7" t="s">
        <v>2222</v>
      </c>
      <c r="R734" s="7" t="s">
        <v>17</v>
      </c>
      <c r="S734" s="7" t="s">
        <v>2223</v>
      </c>
      <c r="T734" s="7" t="s">
        <v>2224</v>
      </c>
      <c r="U734" s="7" t="s">
        <v>2222</v>
      </c>
    </row>
    <row r="735" spans="5:21">
      <c r="E735" s="5"/>
      <c r="F735" s="5"/>
      <c r="G735" s="5"/>
      <c r="H735" s="5"/>
      <c r="I735" s="5"/>
      <c r="J735" s="6"/>
      <c r="K735" s="5"/>
      <c r="O735" s="7" t="s">
        <v>28</v>
      </c>
      <c r="P735" s="7" t="s">
        <v>29</v>
      </c>
      <c r="Q735" s="7" t="s">
        <v>2225</v>
      </c>
      <c r="R735" s="7" t="s">
        <v>11</v>
      </c>
      <c r="S735" s="7" t="s">
        <v>2226</v>
      </c>
      <c r="T735" s="7" t="s">
        <v>2227</v>
      </c>
      <c r="U735" s="7" t="s">
        <v>2225</v>
      </c>
    </row>
    <row r="736" spans="5:21">
      <c r="E736" s="5"/>
      <c r="F736" s="5"/>
      <c r="G736" s="5"/>
      <c r="H736" s="5"/>
      <c r="I736" s="5"/>
      <c r="J736" s="6"/>
      <c r="K736" s="5"/>
      <c r="O736" s="7" t="s">
        <v>23</v>
      </c>
      <c r="P736" s="7" t="s">
        <v>24</v>
      </c>
      <c r="Q736" s="7" t="s">
        <v>2228</v>
      </c>
      <c r="R736" s="7" t="s">
        <v>11</v>
      </c>
      <c r="S736" s="7" t="s">
        <v>2229</v>
      </c>
      <c r="T736" s="7" t="s">
        <v>2230</v>
      </c>
      <c r="U736" s="7" t="s">
        <v>2228</v>
      </c>
    </row>
    <row r="737" spans="5:21">
      <c r="E737" s="5"/>
      <c r="F737" s="5"/>
      <c r="G737" s="5"/>
      <c r="H737" s="5"/>
      <c r="I737" s="5"/>
      <c r="J737" s="6"/>
      <c r="K737" s="5"/>
      <c r="O737" s="7" t="s">
        <v>251</v>
      </c>
      <c r="P737" s="7" t="s">
        <v>252</v>
      </c>
      <c r="Q737" s="7" t="s">
        <v>2231</v>
      </c>
      <c r="R737" s="7" t="s">
        <v>254</v>
      </c>
      <c r="S737" s="7" t="s">
        <v>2232</v>
      </c>
      <c r="T737" s="7" t="s">
        <v>2233</v>
      </c>
      <c r="U737" s="7" t="s">
        <v>2231</v>
      </c>
    </row>
    <row r="738" spans="5:21">
      <c r="E738" s="5"/>
      <c r="F738" s="5"/>
      <c r="G738" s="5"/>
      <c r="H738" s="5"/>
      <c r="I738" s="5"/>
      <c r="J738" s="6"/>
      <c r="K738" s="5"/>
      <c r="O738" s="7" t="s">
        <v>28</v>
      </c>
      <c r="P738" s="7" t="s">
        <v>29</v>
      </c>
      <c r="Q738" s="7" t="s">
        <v>2234</v>
      </c>
      <c r="R738" s="7" t="s">
        <v>11</v>
      </c>
      <c r="S738" s="7" t="s">
        <v>2235</v>
      </c>
      <c r="T738" s="7" t="s">
        <v>2236</v>
      </c>
      <c r="U738" s="7" t="s">
        <v>2234</v>
      </c>
    </row>
    <row r="739" spans="5:21">
      <c r="E739" s="5"/>
      <c r="F739" s="21"/>
      <c r="G739" s="21"/>
      <c r="H739" s="5"/>
      <c r="I739" s="5"/>
      <c r="J739" s="6"/>
      <c r="K739" s="5"/>
      <c r="O739" s="7" t="s">
        <v>28</v>
      </c>
      <c r="P739" s="7" t="s">
        <v>29</v>
      </c>
      <c r="Q739" s="7" t="s">
        <v>2237</v>
      </c>
      <c r="R739" s="7" t="s">
        <v>11</v>
      </c>
      <c r="S739" s="7" t="s">
        <v>2238</v>
      </c>
      <c r="T739" s="7" t="s">
        <v>2239</v>
      </c>
      <c r="U739" s="7" t="s">
        <v>2237</v>
      </c>
    </row>
    <row r="740" spans="5:21">
      <c r="E740" s="5"/>
      <c r="F740" s="17"/>
      <c r="G740" s="17"/>
      <c r="H740" s="5"/>
      <c r="I740" s="5"/>
      <c r="J740" s="6"/>
      <c r="K740" s="5"/>
      <c r="O740" s="7" t="s">
        <v>251</v>
      </c>
      <c r="P740" s="7" t="s">
        <v>252</v>
      </c>
      <c r="Q740" s="7" t="s">
        <v>2240</v>
      </c>
      <c r="R740" s="7" t="s">
        <v>254</v>
      </c>
      <c r="S740" s="7" t="s">
        <v>2241</v>
      </c>
      <c r="T740" s="7" t="s">
        <v>2242</v>
      </c>
      <c r="U740" s="7" t="s">
        <v>2240</v>
      </c>
    </row>
    <row r="741" spans="5:21">
      <c r="E741" s="5"/>
      <c r="F741" s="5"/>
      <c r="G741" s="5"/>
      <c r="H741" s="5"/>
      <c r="I741" s="5"/>
      <c r="J741" s="6"/>
      <c r="K741" s="5"/>
      <c r="O741" s="7" t="s">
        <v>28</v>
      </c>
      <c r="P741" s="7" t="s">
        <v>29</v>
      </c>
      <c r="Q741" s="7" t="s">
        <v>2243</v>
      </c>
      <c r="R741" s="7" t="s">
        <v>11</v>
      </c>
      <c r="S741" s="7" t="s">
        <v>2244</v>
      </c>
      <c r="T741" s="7" t="s">
        <v>2245</v>
      </c>
      <c r="U741" s="7" t="s">
        <v>2243</v>
      </c>
    </row>
    <row r="742" spans="5:21">
      <c r="E742" s="5"/>
      <c r="F742" s="5"/>
      <c r="G742" s="5"/>
      <c r="H742" s="5"/>
      <c r="I742" s="5"/>
      <c r="J742" s="6"/>
      <c r="K742" s="5"/>
      <c r="O742" s="7" t="s">
        <v>28</v>
      </c>
      <c r="P742" s="7" t="s">
        <v>29</v>
      </c>
      <c r="Q742" s="7" t="s">
        <v>2246</v>
      </c>
      <c r="R742" s="7" t="s">
        <v>11</v>
      </c>
      <c r="S742" s="7" t="s">
        <v>2247</v>
      </c>
      <c r="T742" s="7" t="s">
        <v>2248</v>
      </c>
      <c r="U742" s="7" t="s">
        <v>2246</v>
      </c>
    </row>
    <row r="743" spans="5:21">
      <c r="E743" s="5"/>
      <c r="F743" s="5"/>
      <c r="G743" s="5"/>
      <c r="H743" s="5"/>
      <c r="I743" s="5"/>
      <c r="J743" s="6"/>
      <c r="K743" s="5"/>
      <c r="O743" s="7" t="s">
        <v>28</v>
      </c>
      <c r="P743" s="7" t="s">
        <v>29</v>
      </c>
      <c r="Q743" s="7" t="s">
        <v>2249</v>
      </c>
      <c r="R743" s="7" t="s">
        <v>11</v>
      </c>
      <c r="S743" s="7" t="s">
        <v>2250</v>
      </c>
      <c r="T743" s="7" t="s">
        <v>2251</v>
      </c>
      <c r="U743" s="7" t="s">
        <v>2249</v>
      </c>
    </row>
    <row r="744" spans="5:21">
      <c r="E744" s="5"/>
      <c r="F744" s="5"/>
      <c r="G744" s="5"/>
      <c r="H744" s="5"/>
      <c r="I744" s="5"/>
      <c r="J744" s="6"/>
      <c r="K744" s="5"/>
      <c r="O744" s="7" t="s">
        <v>251</v>
      </c>
      <c r="P744" s="7" t="s">
        <v>252</v>
      </c>
      <c r="Q744" s="7" t="s">
        <v>2252</v>
      </c>
      <c r="R744" s="7" t="s">
        <v>254</v>
      </c>
      <c r="S744" s="7" t="s">
        <v>2253</v>
      </c>
      <c r="T744" s="7" t="s">
        <v>2254</v>
      </c>
      <c r="U744" s="7" t="s">
        <v>2252</v>
      </c>
    </row>
    <row r="745" spans="5:21">
      <c r="E745" s="5"/>
      <c r="F745" s="5"/>
      <c r="G745" s="5"/>
      <c r="H745" s="5"/>
      <c r="I745" s="5"/>
      <c r="J745" s="6"/>
      <c r="K745" s="5"/>
      <c r="O745" s="7" t="s">
        <v>47</v>
      </c>
      <c r="P745" s="7" t="s">
        <v>48</v>
      </c>
      <c r="Q745" s="7" t="s">
        <v>2255</v>
      </c>
      <c r="R745" s="7" t="s">
        <v>17</v>
      </c>
      <c r="S745" s="7" t="s">
        <v>2256</v>
      </c>
      <c r="T745" s="7" t="s">
        <v>2257</v>
      </c>
      <c r="U745" s="7" t="s">
        <v>2255</v>
      </c>
    </row>
    <row r="746" spans="5:21">
      <c r="E746" s="5"/>
      <c r="F746" s="5"/>
      <c r="G746" s="5"/>
      <c r="H746" s="5"/>
      <c r="I746" s="5"/>
      <c r="J746" s="6"/>
      <c r="K746" s="5"/>
      <c r="O746" s="7" t="s">
        <v>58</v>
      </c>
      <c r="P746" s="7" t="s">
        <v>59</v>
      </c>
      <c r="Q746" s="7" t="s">
        <v>2258</v>
      </c>
      <c r="R746" s="7" t="s">
        <v>11</v>
      </c>
      <c r="S746" s="7" t="s">
        <v>2259</v>
      </c>
      <c r="T746" s="7" t="s">
        <v>2260</v>
      </c>
      <c r="U746" s="7" t="s">
        <v>2258</v>
      </c>
    </row>
    <row r="747" spans="5:21">
      <c r="E747" s="5"/>
      <c r="F747" s="5"/>
      <c r="G747" s="5"/>
      <c r="H747" s="5"/>
      <c r="I747" s="5"/>
      <c r="J747" s="6"/>
      <c r="K747" s="5"/>
      <c r="O747" s="7" t="s">
        <v>23</v>
      </c>
      <c r="P747" s="7" t="s">
        <v>24</v>
      </c>
      <c r="Q747" s="7" t="s">
        <v>2261</v>
      </c>
      <c r="R747" s="7" t="s">
        <v>11</v>
      </c>
      <c r="S747" s="7" t="s">
        <v>2262</v>
      </c>
      <c r="T747" s="7" t="s">
        <v>2263</v>
      </c>
      <c r="U747" s="7" t="s">
        <v>2261</v>
      </c>
    </row>
    <row r="748" spans="5:21">
      <c r="E748" s="5"/>
      <c r="F748" s="5"/>
      <c r="G748" s="5"/>
      <c r="H748" s="5"/>
      <c r="I748" s="5"/>
      <c r="J748" s="6"/>
      <c r="K748" s="5"/>
      <c r="O748" s="7" t="s">
        <v>251</v>
      </c>
      <c r="P748" s="7" t="s">
        <v>252</v>
      </c>
      <c r="Q748" s="7" t="s">
        <v>2264</v>
      </c>
      <c r="R748" s="7" t="s">
        <v>254</v>
      </c>
      <c r="S748" s="7" t="s">
        <v>2265</v>
      </c>
      <c r="T748" s="7" t="s">
        <v>2266</v>
      </c>
      <c r="U748" s="7" t="s">
        <v>2264</v>
      </c>
    </row>
    <row r="749" spans="5:21">
      <c r="E749" s="5"/>
      <c r="F749" s="5"/>
      <c r="G749" s="5"/>
      <c r="H749" s="5"/>
      <c r="I749" s="5"/>
      <c r="J749" s="6"/>
      <c r="K749" s="5"/>
      <c r="O749" s="7" t="s">
        <v>47</v>
      </c>
      <c r="P749" s="7" t="s">
        <v>48</v>
      </c>
      <c r="Q749" s="7" t="s">
        <v>2267</v>
      </c>
      <c r="R749" s="7" t="s">
        <v>17</v>
      </c>
      <c r="S749" s="7" t="s">
        <v>2268</v>
      </c>
      <c r="T749" s="7" t="s">
        <v>2269</v>
      </c>
      <c r="U749" s="7" t="s">
        <v>2267</v>
      </c>
    </row>
    <row r="750" spans="5:21">
      <c r="E750" s="5"/>
      <c r="F750" s="5"/>
      <c r="G750" s="5"/>
      <c r="H750" s="5"/>
      <c r="I750" s="5"/>
      <c r="J750" s="6"/>
      <c r="K750" s="5"/>
      <c r="O750" s="7" t="s">
        <v>251</v>
      </c>
      <c r="P750" s="7" t="s">
        <v>252</v>
      </c>
      <c r="Q750" s="7" t="s">
        <v>2270</v>
      </c>
      <c r="R750" s="7" t="s">
        <v>254</v>
      </c>
      <c r="S750" s="7" t="s">
        <v>2271</v>
      </c>
      <c r="T750" s="7" t="s">
        <v>2272</v>
      </c>
      <c r="U750" s="7" t="s">
        <v>2270</v>
      </c>
    </row>
    <row r="751" spans="5:21">
      <c r="E751" s="5"/>
      <c r="F751" s="5"/>
      <c r="G751" s="5"/>
      <c r="H751" s="5"/>
      <c r="I751" s="5"/>
      <c r="J751" s="6"/>
      <c r="K751" s="5"/>
      <c r="O751" s="7" t="s">
        <v>8</v>
      </c>
      <c r="P751" s="7" t="s">
        <v>9</v>
      </c>
      <c r="Q751" s="7" t="s">
        <v>2273</v>
      </c>
      <c r="R751" s="7" t="s">
        <v>11</v>
      </c>
      <c r="S751" s="7" t="s">
        <v>2274</v>
      </c>
      <c r="T751" s="7" t="s">
        <v>2275</v>
      </c>
      <c r="U751" s="7" t="s">
        <v>2273</v>
      </c>
    </row>
    <row r="752" spans="5:21">
      <c r="E752" s="5"/>
      <c r="F752" s="5"/>
      <c r="G752" s="5"/>
      <c r="H752" s="5"/>
      <c r="I752" s="5"/>
      <c r="J752" s="6"/>
      <c r="K752" s="5"/>
      <c r="O752" s="7" t="s">
        <v>8</v>
      </c>
      <c r="P752" s="7" t="s">
        <v>9</v>
      </c>
      <c r="Q752" s="7" t="s">
        <v>2276</v>
      </c>
      <c r="R752" s="7" t="s">
        <v>11</v>
      </c>
      <c r="S752" s="7" t="s">
        <v>2277</v>
      </c>
      <c r="T752" s="7" t="s">
        <v>2278</v>
      </c>
      <c r="U752" s="7" t="s">
        <v>2276</v>
      </c>
    </row>
    <row r="753" spans="5:21">
      <c r="E753" s="5"/>
      <c r="F753" s="5"/>
      <c r="G753" s="5"/>
      <c r="H753" s="5"/>
      <c r="I753" s="5"/>
      <c r="J753" s="6"/>
      <c r="K753" s="5"/>
      <c r="O753" s="7" t="s">
        <v>195</v>
      </c>
      <c r="P753" s="7" t="s">
        <v>196</v>
      </c>
      <c r="Q753" s="7" t="s">
        <v>2279</v>
      </c>
      <c r="R753" s="7" t="s">
        <v>11</v>
      </c>
      <c r="S753" s="7" t="s">
        <v>2280</v>
      </c>
      <c r="T753" s="7" t="s">
        <v>2281</v>
      </c>
      <c r="U753" s="7" t="s">
        <v>2279</v>
      </c>
    </row>
    <row r="754" spans="5:21">
      <c r="E754" s="5"/>
      <c r="F754" s="5"/>
      <c r="G754" s="5"/>
      <c r="H754" s="5"/>
      <c r="I754" s="5"/>
      <c r="J754" s="6"/>
      <c r="K754" s="5"/>
      <c r="O754" s="7" t="s">
        <v>58</v>
      </c>
      <c r="P754" s="7" t="s">
        <v>59</v>
      </c>
      <c r="Q754" s="7" t="s">
        <v>2282</v>
      </c>
      <c r="R754" s="7" t="s">
        <v>11</v>
      </c>
      <c r="S754" s="7" t="s">
        <v>2283</v>
      </c>
      <c r="T754" s="7" t="s">
        <v>2284</v>
      </c>
      <c r="U754" s="7" t="s">
        <v>2282</v>
      </c>
    </row>
    <row r="755" spans="5:21">
      <c r="E755" s="5"/>
      <c r="F755" s="5"/>
      <c r="G755" s="5"/>
      <c r="H755" s="5"/>
      <c r="I755" s="5"/>
      <c r="J755" s="6"/>
      <c r="K755" s="5"/>
      <c r="O755" s="7" t="s">
        <v>28</v>
      </c>
      <c r="P755" s="7" t="s">
        <v>29</v>
      </c>
      <c r="Q755" s="7" t="s">
        <v>2285</v>
      </c>
      <c r="R755" s="7" t="s">
        <v>11</v>
      </c>
      <c r="S755" s="7" t="s">
        <v>2286</v>
      </c>
      <c r="T755" s="7" t="s">
        <v>2287</v>
      </c>
      <c r="U755" s="7" t="s">
        <v>2285</v>
      </c>
    </row>
    <row r="756" spans="5:21">
      <c r="E756" s="5"/>
      <c r="F756" s="5"/>
      <c r="G756" s="5"/>
      <c r="H756" s="5"/>
      <c r="I756" s="5"/>
      <c r="J756" s="6"/>
      <c r="K756" s="5"/>
      <c r="O756" s="7" t="s">
        <v>58</v>
      </c>
      <c r="P756" s="7" t="s">
        <v>59</v>
      </c>
      <c r="Q756" s="7" t="s">
        <v>2288</v>
      </c>
      <c r="R756" s="7" t="s">
        <v>11</v>
      </c>
      <c r="S756" s="7" t="s">
        <v>2289</v>
      </c>
      <c r="T756" s="7" t="s">
        <v>2290</v>
      </c>
      <c r="U756" s="7" t="s">
        <v>2288</v>
      </c>
    </row>
    <row r="757" spans="5:21">
      <c r="E757" s="5"/>
      <c r="F757" s="5"/>
      <c r="G757" s="5"/>
      <c r="H757" s="5"/>
      <c r="I757" s="5"/>
      <c r="J757" s="6"/>
      <c r="K757" s="5"/>
      <c r="O757" s="7" t="s">
        <v>28</v>
      </c>
      <c r="P757" s="7" t="s">
        <v>29</v>
      </c>
      <c r="Q757" s="7" t="s">
        <v>2291</v>
      </c>
      <c r="R757" s="7" t="s">
        <v>11</v>
      </c>
      <c r="S757" s="7" t="s">
        <v>2292</v>
      </c>
      <c r="T757" s="7" t="s">
        <v>2293</v>
      </c>
      <c r="U757" s="7" t="s">
        <v>2291</v>
      </c>
    </row>
    <row r="758" spans="5:21">
      <c r="E758" s="5"/>
      <c r="F758" s="5"/>
      <c r="G758" s="5"/>
      <c r="H758" s="5"/>
      <c r="I758" s="5"/>
      <c r="J758" s="6"/>
      <c r="K758" s="5"/>
      <c r="O758" s="7" t="s">
        <v>28</v>
      </c>
      <c r="P758" s="7" t="s">
        <v>29</v>
      </c>
      <c r="Q758" s="7" t="s">
        <v>2294</v>
      </c>
      <c r="R758" s="7" t="s">
        <v>11</v>
      </c>
      <c r="S758" s="7" t="s">
        <v>2295</v>
      </c>
      <c r="T758" s="7" t="s">
        <v>2296</v>
      </c>
      <c r="U758" s="7" t="s">
        <v>2294</v>
      </c>
    </row>
    <row r="759" spans="5:21">
      <c r="E759" s="5"/>
      <c r="F759" s="5"/>
      <c r="G759" s="5"/>
      <c r="H759" s="5"/>
      <c r="I759" s="5"/>
      <c r="J759" s="6"/>
      <c r="K759" s="5"/>
      <c r="O759" s="7" t="s">
        <v>58</v>
      </c>
      <c r="P759" s="7" t="s">
        <v>59</v>
      </c>
      <c r="Q759" s="7" t="s">
        <v>2297</v>
      </c>
      <c r="R759" s="7" t="s">
        <v>11</v>
      </c>
      <c r="S759" s="7" t="s">
        <v>2298</v>
      </c>
      <c r="T759" s="7" t="s">
        <v>2299</v>
      </c>
      <c r="U759" s="7" t="s">
        <v>2297</v>
      </c>
    </row>
    <row r="760" spans="5:21">
      <c r="E760" s="5"/>
      <c r="F760" s="5"/>
      <c r="G760" s="5"/>
      <c r="H760" s="5"/>
      <c r="I760" s="5"/>
      <c r="J760" s="6"/>
      <c r="K760" s="5"/>
      <c r="O760" s="7" t="s">
        <v>58</v>
      </c>
      <c r="P760" s="7" t="s">
        <v>59</v>
      </c>
      <c r="Q760" s="7" t="s">
        <v>2300</v>
      </c>
      <c r="R760" s="7" t="s">
        <v>11</v>
      </c>
      <c r="S760" s="7" t="s">
        <v>2301</v>
      </c>
      <c r="T760" s="7" t="s">
        <v>2302</v>
      </c>
      <c r="U760" s="7" t="s">
        <v>2300</v>
      </c>
    </row>
    <row r="761" spans="5:21">
      <c r="E761" s="5"/>
      <c r="F761" s="5"/>
      <c r="G761" s="5"/>
      <c r="H761" s="5"/>
      <c r="I761" s="5"/>
      <c r="J761" s="6"/>
      <c r="K761" s="5"/>
      <c r="O761" s="7" t="s">
        <v>14</v>
      </c>
      <c r="P761" s="7" t="s">
        <v>15</v>
      </c>
      <c r="Q761" s="7" t="s">
        <v>2303</v>
      </c>
      <c r="R761" s="7" t="s">
        <v>17</v>
      </c>
      <c r="S761" s="7" t="s">
        <v>2304</v>
      </c>
      <c r="T761" s="7" t="s">
        <v>2305</v>
      </c>
      <c r="U761" s="7" t="s">
        <v>2303</v>
      </c>
    </row>
    <row r="762" spans="5:21">
      <c r="E762" s="5"/>
      <c r="F762" s="5"/>
      <c r="G762" s="5"/>
      <c r="H762" s="5"/>
      <c r="I762" s="5"/>
      <c r="J762" s="6"/>
      <c r="K762" s="5"/>
      <c r="O762" s="7" t="s">
        <v>23</v>
      </c>
      <c r="P762" s="7" t="s">
        <v>24</v>
      </c>
      <c r="Q762" s="7" t="s">
        <v>2306</v>
      </c>
      <c r="R762" s="7" t="s">
        <v>11</v>
      </c>
      <c r="S762" s="7" t="s">
        <v>2307</v>
      </c>
      <c r="T762" s="7" t="s">
        <v>2308</v>
      </c>
      <c r="U762" s="7" t="s">
        <v>2306</v>
      </c>
    </row>
    <row r="763" spans="5:21">
      <c r="E763" s="5"/>
      <c r="F763" s="5"/>
      <c r="G763" s="5"/>
      <c r="H763" s="5"/>
      <c r="I763" s="5"/>
      <c r="J763" s="6"/>
      <c r="K763" s="5"/>
      <c r="O763" s="7" t="s">
        <v>195</v>
      </c>
      <c r="P763" s="7" t="s">
        <v>196</v>
      </c>
      <c r="Q763" s="7" t="s">
        <v>2309</v>
      </c>
      <c r="R763" s="7" t="s">
        <v>11</v>
      </c>
      <c r="S763" s="7" t="s">
        <v>2310</v>
      </c>
      <c r="T763" s="7" t="s">
        <v>2311</v>
      </c>
      <c r="U763" s="7" t="s">
        <v>2309</v>
      </c>
    </row>
    <row r="764" spans="5:21">
      <c r="E764" s="5"/>
      <c r="F764" s="5"/>
      <c r="G764" s="5"/>
      <c r="H764" s="5"/>
      <c r="I764" s="5"/>
      <c r="J764" s="6"/>
      <c r="K764" s="5"/>
      <c r="O764" s="7" t="s">
        <v>8</v>
      </c>
      <c r="P764" s="7" t="s">
        <v>9</v>
      </c>
      <c r="Q764" s="7" t="s">
        <v>2312</v>
      </c>
      <c r="R764" s="7" t="s">
        <v>11</v>
      </c>
      <c r="S764" s="7" t="s">
        <v>2313</v>
      </c>
      <c r="T764" s="7" t="s">
        <v>2314</v>
      </c>
      <c r="U764" s="7" t="s">
        <v>2312</v>
      </c>
    </row>
    <row r="765" spans="5:21">
      <c r="E765" s="5"/>
      <c r="F765" s="5"/>
      <c r="G765" s="5"/>
      <c r="H765" s="5"/>
      <c r="I765" s="5"/>
      <c r="J765" s="6"/>
      <c r="K765" s="5"/>
      <c r="O765" s="7" t="s">
        <v>47</v>
      </c>
      <c r="P765" s="7" t="s">
        <v>48</v>
      </c>
      <c r="Q765" s="7" t="s">
        <v>2315</v>
      </c>
      <c r="R765" s="7" t="s">
        <v>17</v>
      </c>
      <c r="S765" s="7" t="s">
        <v>2316</v>
      </c>
      <c r="T765" s="7" t="s">
        <v>2317</v>
      </c>
      <c r="U765" s="7" t="s">
        <v>2315</v>
      </c>
    </row>
    <row r="766" spans="5:21">
      <c r="E766" s="5"/>
      <c r="F766" s="5"/>
      <c r="G766" s="5"/>
      <c r="H766" s="5"/>
      <c r="I766" s="5"/>
      <c r="J766" s="6"/>
      <c r="K766" s="5"/>
      <c r="O766" s="7" t="s">
        <v>876</v>
      </c>
      <c r="P766" s="7" t="s">
        <v>48</v>
      </c>
      <c r="Q766" s="7" t="s">
        <v>2318</v>
      </c>
      <c r="R766" s="7" t="s">
        <v>17</v>
      </c>
      <c r="S766" s="7" t="s">
        <v>2319</v>
      </c>
      <c r="T766" s="7" t="s">
        <v>2320</v>
      </c>
      <c r="U766" s="7" t="s">
        <v>2318</v>
      </c>
    </row>
    <row r="767" spans="5:21">
      <c r="E767" s="5"/>
      <c r="F767" s="5"/>
      <c r="G767" s="5"/>
      <c r="H767" s="5"/>
      <c r="I767" s="5"/>
      <c r="J767" s="6"/>
      <c r="K767" s="5"/>
      <c r="O767" s="7" t="s">
        <v>8</v>
      </c>
      <c r="P767" s="7" t="s">
        <v>9</v>
      </c>
      <c r="Q767" s="7" t="s">
        <v>2321</v>
      </c>
      <c r="R767" s="7" t="s">
        <v>11</v>
      </c>
      <c r="S767" s="7" t="s">
        <v>2322</v>
      </c>
      <c r="T767" s="7" t="s">
        <v>2323</v>
      </c>
      <c r="U767" s="7" t="s">
        <v>2321</v>
      </c>
    </row>
    <row r="768" spans="5:21">
      <c r="E768" s="5"/>
      <c r="F768" s="5"/>
      <c r="G768" s="5"/>
      <c r="H768" s="5"/>
      <c r="I768" s="5"/>
      <c r="J768" s="6"/>
      <c r="K768" s="5"/>
      <c r="O768" s="7" t="s">
        <v>58</v>
      </c>
      <c r="P768" s="7" t="s">
        <v>59</v>
      </c>
      <c r="Q768" s="7" t="s">
        <v>2324</v>
      </c>
      <c r="R768" s="7" t="s">
        <v>11</v>
      </c>
      <c r="S768" s="7" t="s">
        <v>2325</v>
      </c>
      <c r="T768" s="7" t="s">
        <v>2326</v>
      </c>
      <c r="U768" s="7" t="s">
        <v>2324</v>
      </c>
    </row>
    <row r="769" spans="5:21">
      <c r="E769" s="5"/>
      <c r="F769" s="5"/>
      <c r="G769" s="5"/>
      <c r="H769" s="5"/>
      <c r="I769" s="5"/>
      <c r="J769" s="6"/>
      <c r="K769" s="5"/>
      <c r="O769" s="7" t="s">
        <v>28</v>
      </c>
      <c r="P769" s="7" t="s">
        <v>29</v>
      </c>
      <c r="Q769" s="7" t="s">
        <v>2327</v>
      </c>
      <c r="R769" s="7" t="s">
        <v>11</v>
      </c>
      <c r="S769" s="7" t="s">
        <v>2328</v>
      </c>
      <c r="T769" s="7" t="s">
        <v>2329</v>
      </c>
      <c r="U769" s="7" t="s">
        <v>2327</v>
      </c>
    </row>
    <row r="770" spans="5:21">
      <c r="E770" s="5"/>
      <c r="F770" s="5"/>
      <c r="G770" s="5"/>
      <c r="H770" s="5"/>
      <c r="I770" s="5"/>
      <c r="J770" s="6"/>
      <c r="K770" s="5"/>
      <c r="O770" s="7" t="s">
        <v>8</v>
      </c>
      <c r="P770" s="7" t="s">
        <v>9</v>
      </c>
      <c r="Q770" s="7" t="s">
        <v>2330</v>
      </c>
      <c r="R770" s="7" t="s">
        <v>11</v>
      </c>
      <c r="S770" s="7" t="s">
        <v>2331</v>
      </c>
      <c r="T770" s="7" t="s">
        <v>2332</v>
      </c>
      <c r="U770" s="7" t="s">
        <v>2330</v>
      </c>
    </row>
    <row r="771" spans="5:21">
      <c r="E771" s="5"/>
      <c r="F771" s="5"/>
      <c r="G771" s="5"/>
      <c r="H771" s="5"/>
      <c r="I771" s="5"/>
      <c r="J771" s="6"/>
      <c r="K771" s="5"/>
      <c r="O771" s="7" t="s">
        <v>8</v>
      </c>
      <c r="P771" s="7" t="s">
        <v>9</v>
      </c>
      <c r="Q771" s="7" t="s">
        <v>2333</v>
      </c>
      <c r="R771" s="7" t="s">
        <v>11</v>
      </c>
      <c r="S771" s="7" t="s">
        <v>2334</v>
      </c>
      <c r="T771" s="7" t="s">
        <v>2335</v>
      </c>
      <c r="U771" s="7" t="s">
        <v>2333</v>
      </c>
    </row>
    <row r="772" spans="5:21">
      <c r="E772" s="5"/>
      <c r="F772" s="5"/>
      <c r="G772" s="5"/>
      <c r="H772" s="5"/>
      <c r="I772" s="5"/>
      <c r="J772" s="6"/>
      <c r="K772" s="5"/>
      <c r="O772" s="7" t="s">
        <v>47</v>
      </c>
      <c r="P772" s="7" t="s">
        <v>48</v>
      </c>
      <c r="Q772" s="7" t="s">
        <v>2336</v>
      </c>
      <c r="R772" s="7" t="s">
        <v>17</v>
      </c>
      <c r="S772" s="7" t="s">
        <v>2337</v>
      </c>
      <c r="T772" s="7" t="s">
        <v>2338</v>
      </c>
      <c r="U772" s="7" t="s">
        <v>2336</v>
      </c>
    </row>
    <row r="773" spans="5:21">
      <c r="E773" s="5"/>
      <c r="F773" s="5"/>
      <c r="G773" s="5"/>
      <c r="H773" s="5"/>
      <c r="I773" s="5"/>
      <c r="J773" s="6"/>
      <c r="K773" s="5"/>
      <c r="O773" s="7" t="s">
        <v>58</v>
      </c>
      <c r="P773" s="7" t="s">
        <v>59</v>
      </c>
      <c r="Q773" s="7" t="s">
        <v>2339</v>
      </c>
      <c r="R773" s="7" t="s">
        <v>11</v>
      </c>
      <c r="S773" s="7" t="s">
        <v>2340</v>
      </c>
      <c r="T773" s="7" t="s">
        <v>2341</v>
      </c>
      <c r="U773" s="7" t="s">
        <v>2339</v>
      </c>
    </row>
    <row r="774" spans="5:21">
      <c r="E774" s="5"/>
      <c r="F774" s="5"/>
      <c r="G774" s="5"/>
      <c r="H774" s="5"/>
      <c r="I774" s="5"/>
      <c r="J774" s="6"/>
      <c r="K774" s="5"/>
      <c r="O774" s="7" t="s">
        <v>28</v>
      </c>
      <c r="P774" s="7" t="s">
        <v>29</v>
      </c>
      <c r="Q774" s="7" t="s">
        <v>2342</v>
      </c>
      <c r="R774" s="7" t="s">
        <v>11</v>
      </c>
      <c r="S774" s="7" t="s">
        <v>2343</v>
      </c>
      <c r="T774" s="7" t="s">
        <v>2344</v>
      </c>
      <c r="U774" s="7" t="s">
        <v>2342</v>
      </c>
    </row>
    <row r="775" spans="5:21">
      <c r="E775" s="5"/>
      <c r="F775" s="5"/>
      <c r="G775" s="5"/>
      <c r="H775" s="5"/>
      <c r="I775" s="5"/>
      <c r="J775" s="6"/>
      <c r="K775" s="5"/>
      <c r="O775" s="7" t="s">
        <v>2345</v>
      </c>
      <c r="P775" s="7" t="s">
        <v>252</v>
      </c>
      <c r="Q775" s="7" t="s">
        <v>2346</v>
      </c>
      <c r="R775" s="7" t="s">
        <v>254</v>
      </c>
      <c r="S775" s="7" t="s">
        <v>2347</v>
      </c>
      <c r="T775" s="7" t="s">
        <v>2348</v>
      </c>
      <c r="U775" s="7" t="s">
        <v>2346</v>
      </c>
    </row>
    <row r="776" spans="5:21">
      <c r="E776" s="5"/>
      <c r="F776" s="5"/>
      <c r="G776" s="5"/>
      <c r="H776" s="5"/>
      <c r="I776" s="5"/>
      <c r="J776" s="6"/>
      <c r="K776" s="5"/>
      <c r="O776" s="7" t="s">
        <v>28</v>
      </c>
      <c r="P776" s="7" t="s">
        <v>29</v>
      </c>
      <c r="Q776" s="7" t="s">
        <v>2349</v>
      </c>
      <c r="R776" s="7" t="s">
        <v>11</v>
      </c>
      <c r="S776" s="7" t="s">
        <v>2350</v>
      </c>
      <c r="T776" s="7" t="s">
        <v>2351</v>
      </c>
      <c r="U776" s="7" t="s">
        <v>2349</v>
      </c>
    </row>
    <row r="777" spans="5:21">
      <c r="E777" s="5"/>
      <c r="F777" s="5"/>
      <c r="G777" s="5"/>
      <c r="H777" s="5"/>
      <c r="I777" s="5"/>
      <c r="J777" s="6"/>
      <c r="K777" s="5"/>
      <c r="O777" s="7" t="s">
        <v>195</v>
      </c>
      <c r="P777" s="7" t="s">
        <v>196</v>
      </c>
      <c r="Q777" s="7" t="s">
        <v>2352</v>
      </c>
      <c r="R777" s="7" t="s">
        <v>11</v>
      </c>
      <c r="S777" s="7" t="s">
        <v>2353</v>
      </c>
      <c r="T777" s="7" t="s">
        <v>2354</v>
      </c>
      <c r="U777" s="7" t="s">
        <v>2352</v>
      </c>
    </row>
    <row r="778" spans="5:21">
      <c r="E778" s="5"/>
      <c r="F778" s="5"/>
      <c r="G778" s="5"/>
      <c r="H778" s="5"/>
      <c r="I778" s="5"/>
      <c r="J778" s="6"/>
      <c r="K778" s="5"/>
      <c r="O778" s="7" t="s">
        <v>8</v>
      </c>
      <c r="P778" s="7" t="s">
        <v>9</v>
      </c>
      <c r="Q778" s="7" t="s">
        <v>2355</v>
      </c>
      <c r="R778" s="7" t="s">
        <v>11</v>
      </c>
      <c r="S778" s="7" t="s">
        <v>2356</v>
      </c>
      <c r="T778" s="7" t="s">
        <v>2357</v>
      </c>
      <c r="U778" s="7" t="s">
        <v>2355</v>
      </c>
    </row>
    <row r="779" spans="5:21">
      <c r="E779" s="5"/>
      <c r="F779" s="5"/>
      <c r="G779" s="5"/>
      <c r="H779" s="5"/>
      <c r="I779" s="5"/>
      <c r="J779" s="6"/>
      <c r="K779" s="5"/>
      <c r="O779" s="7" t="s">
        <v>47</v>
      </c>
      <c r="P779" s="7" t="s">
        <v>48</v>
      </c>
      <c r="Q779" s="7" t="s">
        <v>2358</v>
      </c>
      <c r="R779" s="7" t="s">
        <v>17</v>
      </c>
      <c r="S779" s="7" t="s">
        <v>2359</v>
      </c>
      <c r="T779" s="7" t="s">
        <v>2360</v>
      </c>
      <c r="U779" s="7" t="s">
        <v>2358</v>
      </c>
    </row>
    <row r="780" spans="5:21">
      <c r="E780" s="5"/>
      <c r="F780" s="5"/>
      <c r="G780" s="5"/>
      <c r="H780" s="5"/>
      <c r="I780" s="5"/>
      <c r="J780" s="6"/>
      <c r="K780" s="5"/>
      <c r="O780" s="7" t="s">
        <v>14</v>
      </c>
      <c r="P780" s="7" t="s">
        <v>15</v>
      </c>
      <c r="Q780" s="7" t="s">
        <v>2361</v>
      </c>
      <c r="R780" s="7" t="s">
        <v>17</v>
      </c>
      <c r="S780" s="7" t="s">
        <v>2362</v>
      </c>
      <c r="T780" s="7" t="s">
        <v>2363</v>
      </c>
      <c r="U780" s="7" t="s">
        <v>2361</v>
      </c>
    </row>
    <row r="781" spans="5:21">
      <c r="E781" s="5"/>
      <c r="F781" s="5"/>
      <c r="G781" s="5"/>
      <c r="H781" s="5"/>
      <c r="I781" s="5"/>
      <c r="J781" s="6"/>
      <c r="K781" s="5"/>
      <c r="O781" s="7" t="s">
        <v>47</v>
      </c>
      <c r="P781" s="7" t="s">
        <v>48</v>
      </c>
      <c r="Q781" s="7" t="s">
        <v>2364</v>
      </c>
      <c r="R781" s="7" t="s">
        <v>17</v>
      </c>
      <c r="S781" s="7" t="s">
        <v>2365</v>
      </c>
      <c r="T781" s="7" t="s">
        <v>2366</v>
      </c>
      <c r="U781" s="7" t="s">
        <v>2364</v>
      </c>
    </row>
    <row r="782" spans="5:21">
      <c r="E782" s="5"/>
      <c r="F782" s="5"/>
      <c r="G782" s="5"/>
      <c r="H782" s="5"/>
      <c r="I782" s="5"/>
      <c r="J782" s="6"/>
      <c r="K782" s="5"/>
      <c r="O782" s="7" t="s">
        <v>28</v>
      </c>
      <c r="P782" s="7" t="s">
        <v>29</v>
      </c>
      <c r="Q782" s="7" t="s">
        <v>2367</v>
      </c>
      <c r="R782" s="7" t="s">
        <v>11</v>
      </c>
      <c r="S782" s="7" t="s">
        <v>2368</v>
      </c>
      <c r="T782" s="7" t="s">
        <v>2369</v>
      </c>
      <c r="U782" s="7" t="s">
        <v>2367</v>
      </c>
    </row>
    <row r="783" spans="5:21">
      <c r="E783" s="5"/>
      <c r="F783" s="5"/>
      <c r="G783" s="5"/>
      <c r="H783" s="5"/>
      <c r="I783" s="5"/>
      <c r="J783" s="6"/>
      <c r="K783" s="5"/>
      <c r="O783" s="7" t="s">
        <v>23</v>
      </c>
      <c r="P783" s="7" t="s">
        <v>24</v>
      </c>
      <c r="Q783" s="7" t="s">
        <v>2370</v>
      </c>
      <c r="R783" s="7" t="s">
        <v>11</v>
      </c>
      <c r="S783" s="7" t="s">
        <v>2371</v>
      </c>
      <c r="T783" s="7" t="s">
        <v>2372</v>
      </c>
      <c r="U783" s="7" t="s">
        <v>2370</v>
      </c>
    </row>
    <row r="784" spans="5:21">
      <c r="E784" s="5"/>
      <c r="F784" s="5"/>
      <c r="G784" s="5"/>
      <c r="H784" s="5"/>
      <c r="I784" s="5"/>
      <c r="J784" s="6"/>
      <c r="K784" s="5"/>
      <c r="O784" s="7" t="s">
        <v>28</v>
      </c>
      <c r="P784" s="7" t="s">
        <v>29</v>
      </c>
      <c r="Q784" s="7" t="s">
        <v>2373</v>
      </c>
      <c r="R784" s="7" t="s">
        <v>11</v>
      </c>
      <c r="S784" s="7" t="s">
        <v>2374</v>
      </c>
      <c r="T784" s="7" t="s">
        <v>2375</v>
      </c>
      <c r="U784" s="7" t="s">
        <v>2373</v>
      </c>
    </row>
    <row r="785" spans="5:21">
      <c r="E785" s="5"/>
      <c r="F785" s="5"/>
      <c r="G785" s="5"/>
      <c r="H785" s="5"/>
      <c r="I785" s="5"/>
      <c r="J785" s="6"/>
      <c r="K785" s="5"/>
      <c r="O785" s="7" t="s">
        <v>58</v>
      </c>
      <c r="P785" s="7" t="s">
        <v>59</v>
      </c>
      <c r="Q785" s="7" t="s">
        <v>2376</v>
      </c>
      <c r="R785" s="7" t="s">
        <v>11</v>
      </c>
      <c r="S785" s="7" t="s">
        <v>2377</v>
      </c>
      <c r="T785" s="7" t="s">
        <v>2378</v>
      </c>
      <c r="U785" s="7" t="s">
        <v>2376</v>
      </c>
    </row>
    <row r="786" spans="5:21">
      <c r="E786" s="5"/>
      <c r="F786" s="5"/>
      <c r="G786" s="5"/>
      <c r="H786" s="5"/>
      <c r="I786" s="5"/>
      <c r="J786" s="6"/>
      <c r="K786" s="5"/>
      <c r="O786" s="7" t="s">
        <v>47</v>
      </c>
      <c r="P786" s="7" t="s">
        <v>48</v>
      </c>
      <c r="Q786" s="7" t="s">
        <v>2379</v>
      </c>
      <c r="R786" s="7" t="s">
        <v>17</v>
      </c>
      <c r="S786" s="7" t="s">
        <v>2380</v>
      </c>
      <c r="T786" s="7" t="s">
        <v>2381</v>
      </c>
      <c r="U786" s="7" t="s">
        <v>2379</v>
      </c>
    </row>
    <row r="787" spans="5:21">
      <c r="E787" s="5"/>
      <c r="F787" s="5"/>
      <c r="G787" s="5"/>
      <c r="H787" s="5"/>
      <c r="I787" s="5"/>
      <c r="J787" s="6"/>
      <c r="K787" s="5"/>
      <c r="O787" s="7" t="s">
        <v>8</v>
      </c>
      <c r="P787" s="7" t="s">
        <v>9</v>
      </c>
      <c r="Q787" s="7" t="s">
        <v>2382</v>
      </c>
      <c r="R787" s="7" t="s">
        <v>11</v>
      </c>
      <c r="S787" s="7" t="s">
        <v>2383</v>
      </c>
      <c r="T787" s="7" t="s">
        <v>2384</v>
      </c>
      <c r="U787" s="7" t="s">
        <v>2382</v>
      </c>
    </row>
    <row r="788" spans="5:21">
      <c r="E788" s="5"/>
      <c r="F788" s="5"/>
      <c r="G788" s="5"/>
      <c r="H788" s="5"/>
      <c r="I788" s="5"/>
      <c r="J788" s="6"/>
      <c r="K788" s="5"/>
      <c r="O788" s="7" t="s">
        <v>47</v>
      </c>
      <c r="P788" s="7" t="s">
        <v>48</v>
      </c>
      <c r="Q788" s="7" t="s">
        <v>2385</v>
      </c>
      <c r="R788" s="7" t="s">
        <v>17</v>
      </c>
      <c r="S788" s="7" t="s">
        <v>2386</v>
      </c>
      <c r="T788" s="7" t="s">
        <v>2387</v>
      </c>
      <c r="U788" s="7" t="s">
        <v>2385</v>
      </c>
    </row>
    <row r="789" spans="5:21">
      <c r="E789" s="5"/>
      <c r="F789" s="5"/>
      <c r="G789" s="5"/>
      <c r="H789" s="5"/>
      <c r="I789" s="5"/>
      <c r="J789" s="6"/>
      <c r="K789" s="5"/>
      <c r="O789" s="7" t="s">
        <v>8</v>
      </c>
      <c r="P789" s="7" t="s">
        <v>9</v>
      </c>
      <c r="Q789" s="7" t="s">
        <v>2388</v>
      </c>
      <c r="R789" s="7" t="s">
        <v>11</v>
      </c>
      <c r="S789" s="7" t="s">
        <v>2389</v>
      </c>
      <c r="T789" s="7" t="s">
        <v>2390</v>
      </c>
      <c r="U789" s="7" t="s">
        <v>2388</v>
      </c>
    </row>
    <row r="790" spans="5:21">
      <c r="E790" s="5"/>
      <c r="F790" s="5"/>
      <c r="G790" s="5"/>
      <c r="H790" s="5"/>
      <c r="I790" s="5"/>
      <c r="J790" s="6"/>
      <c r="K790" s="5"/>
      <c r="O790" s="7" t="s">
        <v>251</v>
      </c>
      <c r="P790" s="7" t="s">
        <v>252</v>
      </c>
      <c r="Q790" s="7" t="s">
        <v>2391</v>
      </c>
      <c r="R790" s="7" t="s">
        <v>254</v>
      </c>
      <c r="S790" s="7" t="s">
        <v>2392</v>
      </c>
      <c r="T790" s="7" t="s">
        <v>2393</v>
      </c>
      <c r="U790" s="7" t="s">
        <v>2391</v>
      </c>
    </row>
    <row r="791" spans="5:21">
      <c r="E791" s="5"/>
      <c r="F791" s="5"/>
      <c r="G791" s="5"/>
      <c r="H791" s="5"/>
      <c r="I791" s="5"/>
      <c r="J791" s="6"/>
      <c r="K791" s="5"/>
      <c r="O791" s="7" t="s">
        <v>8</v>
      </c>
      <c r="P791" s="7" t="s">
        <v>9</v>
      </c>
      <c r="Q791" s="7" t="s">
        <v>2394</v>
      </c>
      <c r="R791" s="7" t="s">
        <v>11</v>
      </c>
      <c r="S791" s="7" t="s">
        <v>2395</v>
      </c>
      <c r="T791" s="7" t="s">
        <v>2396</v>
      </c>
      <c r="U791" s="7" t="s">
        <v>2394</v>
      </c>
    </row>
    <row r="792" spans="5:21">
      <c r="E792" s="5"/>
      <c r="F792" s="5"/>
      <c r="G792" s="5"/>
      <c r="H792" s="5"/>
      <c r="I792" s="5"/>
      <c r="J792" s="6"/>
      <c r="K792" s="5"/>
      <c r="O792" s="7" t="s">
        <v>28</v>
      </c>
      <c r="P792" s="7" t="s">
        <v>29</v>
      </c>
      <c r="Q792" s="7" t="s">
        <v>2397</v>
      </c>
      <c r="R792" s="7" t="s">
        <v>11</v>
      </c>
      <c r="S792" s="7" t="s">
        <v>2398</v>
      </c>
      <c r="T792" s="7" t="s">
        <v>2399</v>
      </c>
      <c r="U792" s="7" t="s">
        <v>2397</v>
      </c>
    </row>
    <row r="793" spans="5:21">
      <c r="E793" s="5"/>
      <c r="F793" s="5"/>
      <c r="G793" s="5"/>
      <c r="H793" s="5"/>
      <c r="I793" s="5"/>
      <c r="J793" s="6"/>
      <c r="K793" s="5"/>
      <c r="O793" s="7" t="s">
        <v>28</v>
      </c>
      <c r="P793" s="7" t="s">
        <v>29</v>
      </c>
      <c r="Q793" s="7" t="s">
        <v>2400</v>
      </c>
      <c r="R793" s="7" t="s">
        <v>11</v>
      </c>
      <c r="S793" s="7" t="s">
        <v>2401</v>
      </c>
      <c r="T793" s="7" t="s">
        <v>2402</v>
      </c>
      <c r="U793" s="7" t="s">
        <v>2400</v>
      </c>
    </row>
    <row r="794" spans="5:21">
      <c r="E794" s="5"/>
      <c r="F794" s="5"/>
      <c r="G794" s="5"/>
      <c r="H794" s="5"/>
      <c r="I794" s="5"/>
      <c r="J794" s="6"/>
      <c r="K794" s="5"/>
      <c r="O794" s="7" t="s">
        <v>58</v>
      </c>
      <c r="P794" s="7" t="s">
        <v>59</v>
      </c>
      <c r="Q794" s="7" t="s">
        <v>2403</v>
      </c>
      <c r="R794" s="7" t="s">
        <v>11</v>
      </c>
      <c r="S794" s="7" t="s">
        <v>2404</v>
      </c>
      <c r="T794" s="7" t="s">
        <v>2405</v>
      </c>
      <c r="U794" s="7" t="s">
        <v>2403</v>
      </c>
    </row>
    <row r="795" spans="5:21">
      <c r="E795" s="5"/>
      <c r="F795" s="5"/>
      <c r="G795" s="5"/>
      <c r="H795" s="5"/>
      <c r="I795" s="5"/>
      <c r="J795" s="6"/>
      <c r="K795" s="5"/>
      <c r="O795" s="7" t="s">
        <v>28</v>
      </c>
      <c r="P795" s="7" t="s">
        <v>29</v>
      </c>
      <c r="Q795" s="7" t="s">
        <v>2406</v>
      </c>
      <c r="R795" s="7" t="s">
        <v>11</v>
      </c>
      <c r="S795" s="7" t="s">
        <v>2407</v>
      </c>
      <c r="T795" s="7" t="s">
        <v>2408</v>
      </c>
      <c r="U795" s="7" t="s">
        <v>2406</v>
      </c>
    </row>
    <row r="796" spans="5:21">
      <c r="E796" s="5"/>
      <c r="F796" s="5"/>
      <c r="G796" s="5"/>
      <c r="H796" s="5"/>
      <c r="I796" s="5"/>
      <c r="J796" s="6"/>
      <c r="K796" s="5"/>
      <c r="O796" s="7" t="s">
        <v>28</v>
      </c>
      <c r="P796" s="7" t="s">
        <v>29</v>
      </c>
      <c r="Q796" s="7" t="s">
        <v>2409</v>
      </c>
      <c r="R796" s="7" t="s">
        <v>11</v>
      </c>
      <c r="S796" s="7" t="s">
        <v>2410</v>
      </c>
      <c r="T796" s="7" t="s">
        <v>2411</v>
      </c>
      <c r="U796" s="7" t="s">
        <v>2409</v>
      </c>
    </row>
    <row r="797" spans="5:21">
      <c r="E797" s="5"/>
      <c r="F797" s="5"/>
      <c r="G797" s="5"/>
      <c r="H797" s="5"/>
      <c r="I797" s="5"/>
      <c r="J797" s="6"/>
      <c r="K797" s="5"/>
      <c r="O797" s="7" t="s">
        <v>8</v>
      </c>
      <c r="P797" s="7" t="s">
        <v>9</v>
      </c>
      <c r="Q797" s="7" t="s">
        <v>2412</v>
      </c>
      <c r="R797" s="7" t="s">
        <v>11</v>
      </c>
      <c r="S797" s="7" t="s">
        <v>2413</v>
      </c>
      <c r="T797" s="7" t="s">
        <v>2414</v>
      </c>
      <c r="U797" s="7" t="s">
        <v>2412</v>
      </c>
    </row>
    <row r="798" spans="5:21">
      <c r="E798" s="5"/>
      <c r="F798" s="5"/>
      <c r="G798" s="5"/>
      <c r="H798" s="5"/>
      <c r="I798" s="5"/>
      <c r="J798" s="6"/>
      <c r="K798" s="5"/>
      <c r="O798" s="7" t="s">
        <v>251</v>
      </c>
      <c r="P798" s="7" t="s">
        <v>252</v>
      </c>
      <c r="Q798" s="7" t="s">
        <v>2415</v>
      </c>
      <c r="R798" s="7" t="s">
        <v>254</v>
      </c>
      <c r="S798" s="7" t="s">
        <v>2416</v>
      </c>
      <c r="T798" s="7" t="s">
        <v>2417</v>
      </c>
      <c r="U798" s="7" t="s">
        <v>2415</v>
      </c>
    </row>
    <row r="799" spans="5:21">
      <c r="E799" s="5"/>
      <c r="F799" s="12"/>
      <c r="G799" s="12"/>
      <c r="H799" s="12"/>
      <c r="I799" s="5"/>
      <c r="J799" s="6"/>
      <c r="K799" s="5"/>
      <c r="O799" s="7" t="s">
        <v>8</v>
      </c>
      <c r="P799" s="7" t="s">
        <v>9</v>
      </c>
      <c r="Q799" s="7" t="s">
        <v>2418</v>
      </c>
      <c r="R799" s="7" t="s">
        <v>11</v>
      </c>
      <c r="S799" s="7" t="s">
        <v>2419</v>
      </c>
      <c r="T799" s="7" t="s">
        <v>2420</v>
      </c>
      <c r="U799" s="7" t="s">
        <v>2418</v>
      </c>
    </row>
    <row r="800" spans="5:21">
      <c r="E800" s="5"/>
      <c r="F800" s="5"/>
      <c r="G800" s="5"/>
      <c r="H800" s="5"/>
      <c r="I800" s="5"/>
      <c r="J800" s="6"/>
      <c r="K800" s="5"/>
      <c r="O800" s="7" t="s">
        <v>28</v>
      </c>
      <c r="P800" s="7" t="s">
        <v>29</v>
      </c>
      <c r="Q800" s="7" t="s">
        <v>2421</v>
      </c>
      <c r="R800" s="7" t="s">
        <v>11</v>
      </c>
      <c r="S800" s="7" t="s">
        <v>2422</v>
      </c>
      <c r="T800" s="7" t="s">
        <v>2423</v>
      </c>
      <c r="U800" s="7" t="s">
        <v>2421</v>
      </c>
    </row>
    <row r="801" spans="5:21">
      <c r="E801" s="5"/>
      <c r="F801" s="5"/>
      <c r="G801" s="5"/>
      <c r="H801" s="5"/>
      <c r="I801" s="5"/>
      <c r="J801" s="6"/>
      <c r="K801" s="5"/>
      <c r="O801" s="7" t="s">
        <v>8</v>
      </c>
      <c r="P801" s="7" t="s">
        <v>9</v>
      </c>
      <c r="Q801" s="7" t="s">
        <v>2424</v>
      </c>
      <c r="R801" s="7" t="s">
        <v>11</v>
      </c>
      <c r="S801" s="7" t="s">
        <v>2425</v>
      </c>
      <c r="T801" s="7" t="s">
        <v>2426</v>
      </c>
      <c r="U801" s="7" t="s">
        <v>2424</v>
      </c>
    </row>
    <row r="802" spans="5:21">
      <c r="E802" s="5"/>
      <c r="F802" s="5"/>
      <c r="G802" s="5"/>
      <c r="H802" s="5"/>
      <c r="I802" s="5"/>
      <c r="J802" s="6"/>
      <c r="K802" s="5"/>
      <c r="O802" s="7" t="s">
        <v>195</v>
      </c>
      <c r="P802" s="7" t="s">
        <v>196</v>
      </c>
      <c r="Q802" s="7" t="s">
        <v>2427</v>
      </c>
      <c r="R802" s="7" t="s">
        <v>11</v>
      </c>
      <c r="S802" s="7" t="s">
        <v>2428</v>
      </c>
      <c r="T802" s="7" t="s">
        <v>2429</v>
      </c>
      <c r="U802" s="7" t="s">
        <v>2427</v>
      </c>
    </row>
    <row r="803" spans="5:21">
      <c r="E803" s="5"/>
      <c r="F803" s="5"/>
      <c r="G803" s="5"/>
      <c r="H803" s="5"/>
      <c r="I803" s="5"/>
      <c r="J803" s="6"/>
      <c r="K803" s="5"/>
      <c r="O803" s="7" t="s">
        <v>8</v>
      </c>
      <c r="P803" s="7" t="s">
        <v>9</v>
      </c>
      <c r="Q803" s="7" t="s">
        <v>2430</v>
      </c>
      <c r="R803" s="7" t="s">
        <v>11</v>
      </c>
      <c r="S803" s="7" t="s">
        <v>2431</v>
      </c>
      <c r="T803" s="7" t="s">
        <v>2432</v>
      </c>
      <c r="U803" s="7" t="s">
        <v>2430</v>
      </c>
    </row>
    <row r="804" spans="5:21">
      <c r="E804" s="5"/>
      <c r="F804" s="5"/>
      <c r="G804" s="5"/>
      <c r="H804" s="5"/>
      <c r="I804" s="5"/>
      <c r="J804" s="6"/>
      <c r="K804" s="5"/>
      <c r="O804" s="7" t="s">
        <v>8</v>
      </c>
      <c r="P804" s="7" t="s">
        <v>9</v>
      </c>
      <c r="Q804" s="7" t="s">
        <v>2433</v>
      </c>
      <c r="R804" s="7" t="s">
        <v>11</v>
      </c>
      <c r="S804" s="7" t="s">
        <v>2434</v>
      </c>
      <c r="T804" s="7" t="s">
        <v>2435</v>
      </c>
      <c r="U804" s="7" t="s">
        <v>2433</v>
      </c>
    </row>
    <row r="805" spans="5:21">
      <c r="E805" s="5"/>
      <c r="F805" s="5"/>
      <c r="G805" s="5"/>
      <c r="H805" s="5"/>
      <c r="I805" s="5"/>
      <c r="J805" s="6"/>
      <c r="K805" s="5"/>
      <c r="O805" s="7" t="s">
        <v>8</v>
      </c>
      <c r="P805" s="7" t="s">
        <v>9</v>
      </c>
      <c r="Q805" s="7" t="s">
        <v>2436</v>
      </c>
      <c r="R805" s="7" t="s">
        <v>11</v>
      </c>
      <c r="S805" s="7" t="s">
        <v>2437</v>
      </c>
      <c r="T805" s="7" t="s">
        <v>2438</v>
      </c>
      <c r="U805" s="7" t="s">
        <v>2436</v>
      </c>
    </row>
    <row r="806" spans="5:21">
      <c r="E806" s="5"/>
      <c r="F806" s="5"/>
      <c r="G806" s="5"/>
      <c r="H806" s="5"/>
      <c r="I806" s="5"/>
      <c r="J806" s="6"/>
      <c r="K806" s="5"/>
      <c r="O806" s="7" t="s">
        <v>47</v>
      </c>
      <c r="P806" s="7" t="s">
        <v>48</v>
      </c>
      <c r="Q806" s="7" t="s">
        <v>2439</v>
      </c>
      <c r="R806" s="7" t="s">
        <v>17</v>
      </c>
      <c r="S806" s="7" t="s">
        <v>2440</v>
      </c>
      <c r="T806" s="7" t="s">
        <v>2441</v>
      </c>
      <c r="U806" s="7" t="s">
        <v>2439</v>
      </c>
    </row>
    <row r="807" spans="5:21">
      <c r="E807" s="5"/>
      <c r="F807" s="5"/>
      <c r="G807" s="5"/>
      <c r="H807" s="5"/>
      <c r="I807" s="5"/>
      <c r="J807" s="6"/>
      <c r="K807" s="5"/>
      <c r="O807" s="7" t="s">
        <v>47</v>
      </c>
      <c r="P807" s="7" t="s">
        <v>48</v>
      </c>
      <c r="Q807" s="7" t="s">
        <v>2442</v>
      </c>
      <c r="R807" s="7" t="s">
        <v>17</v>
      </c>
      <c r="S807" s="7" t="s">
        <v>2443</v>
      </c>
      <c r="T807" s="7" t="s">
        <v>2444</v>
      </c>
      <c r="U807" s="7" t="s">
        <v>2442</v>
      </c>
    </row>
    <row r="808" spans="5:21">
      <c r="E808" s="5"/>
      <c r="F808" s="5"/>
      <c r="G808" s="5"/>
      <c r="H808" s="5"/>
      <c r="I808" s="5"/>
      <c r="J808" s="6"/>
      <c r="K808" s="5"/>
      <c r="O808" s="7" t="s">
        <v>58</v>
      </c>
      <c r="P808" s="7" t="s">
        <v>59</v>
      </c>
      <c r="Q808" s="7" t="s">
        <v>2445</v>
      </c>
      <c r="R808" s="7" t="s">
        <v>11</v>
      </c>
      <c r="S808" s="7" t="s">
        <v>2446</v>
      </c>
      <c r="T808" s="7" t="s">
        <v>2447</v>
      </c>
      <c r="U808" s="7" t="s">
        <v>2445</v>
      </c>
    </row>
    <row r="809" spans="5:21">
      <c r="E809" s="15"/>
      <c r="F809" s="15"/>
      <c r="G809" s="15"/>
      <c r="H809" s="15"/>
      <c r="I809" s="15"/>
      <c r="J809" s="16"/>
      <c r="K809" s="15"/>
      <c r="O809" s="7" t="s">
        <v>8</v>
      </c>
      <c r="P809" s="7" t="s">
        <v>9</v>
      </c>
      <c r="Q809" s="7" t="s">
        <v>2448</v>
      </c>
      <c r="R809" s="7" t="s">
        <v>11</v>
      </c>
      <c r="S809" s="7" t="s">
        <v>2449</v>
      </c>
      <c r="T809" s="7" t="s">
        <v>2450</v>
      </c>
      <c r="U809" s="7" t="s">
        <v>2448</v>
      </c>
    </row>
    <row r="810" spans="5:21">
      <c r="E810" s="5"/>
      <c r="F810" s="5"/>
      <c r="G810" s="5"/>
      <c r="H810" s="5"/>
      <c r="I810" s="5"/>
      <c r="J810" s="6"/>
      <c r="K810" s="5"/>
      <c r="O810" s="7" t="s">
        <v>8</v>
      </c>
      <c r="P810" s="7" t="s">
        <v>9</v>
      </c>
      <c r="Q810" s="7" t="s">
        <v>2451</v>
      </c>
      <c r="R810" s="7" t="s">
        <v>11</v>
      </c>
      <c r="S810" s="7" t="s">
        <v>2452</v>
      </c>
      <c r="T810" s="7" t="s">
        <v>2453</v>
      </c>
      <c r="U810" s="7" t="s">
        <v>2451</v>
      </c>
    </row>
    <row r="811" spans="5:21">
      <c r="E811" s="5"/>
      <c r="F811" s="5"/>
      <c r="G811" s="5"/>
      <c r="H811" s="5"/>
      <c r="I811" s="5"/>
      <c r="J811" s="6"/>
      <c r="K811" s="5"/>
      <c r="O811" s="7" t="s">
        <v>14</v>
      </c>
      <c r="P811" s="7" t="s">
        <v>15</v>
      </c>
      <c r="Q811" s="7" t="s">
        <v>2454</v>
      </c>
      <c r="R811" s="7" t="s">
        <v>17</v>
      </c>
      <c r="S811" s="7" t="s">
        <v>2455</v>
      </c>
      <c r="T811" s="7" t="s">
        <v>2456</v>
      </c>
      <c r="U811" s="7" t="s">
        <v>2454</v>
      </c>
    </row>
    <row r="812" spans="5:21">
      <c r="E812" s="5"/>
      <c r="F812" s="5"/>
      <c r="G812" s="5"/>
      <c r="H812" s="5"/>
      <c r="I812" s="5"/>
      <c r="J812" s="6"/>
      <c r="K812" s="5"/>
      <c r="O812" s="7" t="s">
        <v>195</v>
      </c>
      <c r="P812" s="7" t="s">
        <v>196</v>
      </c>
      <c r="Q812" s="7" t="s">
        <v>2457</v>
      </c>
      <c r="R812" s="7" t="s">
        <v>11</v>
      </c>
      <c r="S812" s="7" t="s">
        <v>2458</v>
      </c>
      <c r="T812" s="7" t="s">
        <v>2459</v>
      </c>
      <c r="U812" s="7" t="s">
        <v>2457</v>
      </c>
    </row>
    <row r="813" spans="5:21">
      <c r="E813" s="5"/>
      <c r="F813" s="5"/>
      <c r="G813" s="5"/>
      <c r="H813" s="5"/>
      <c r="I813" s="5"/>
      <c r="J813" s="6"/>
      <c r="K813" s="5"/>
      <c r="O813" s="7" t="s">
        <v>14</v>
      </c>
      <c r="P813" s="7" t="s">
        <v>15</v>
      </c>
      <c r="Q813" s="7" t="s">
        <v>2460</v>
      </c>
      <c r="R813" s="7" t="s">
        <v>17</v>
      </c>
      <c r="S813" s="7" t="s">
        <v>2461</v>
      </c>
      <c r="T813" s="7" t="s">
        <v>2462</v>
      </c>
      <c r="U813" s="7" t="s">
        <v>2460</v>
      </c>
    </row>
    <row r="814" spans="5:21">
      <c r="E814" s="5"/>
      <c r="F814" s="5"/>
      <c r="G814" s="5"/>
      <c r="H814" s="5"/>
      <c r="I814" s="5"/>
      <c r="J814" s="6"/>
      <c r="K814" s="5"/>
      <c r="O814" s="7" t="s">
        <v>28</v>
      </c>
      <c r="P814" s="7" t="s">
        <v>29</v>
      </c>
      <c r="Q814" s="7" t="s">
        <v>2463</v>
      </c>
      <c r="R814" s="7" t="s">
        <v>11</v>
      </c>
      <c r="S814" s="7" t="s">
        <v>2464</v>
      </c>
      <c r="T814" s="7" t="s">
        <v>2465</v>
      </c>
      <c r="U814" s="7" t="s">
        <v>2463</v>
      </c>
    </row>
    <row r="815" spans="5:21">
      <c r="E815" s="5"/>
      <c r="F815" s="5"/>
      <c r="G815" s="5"/>
      <c r="H815" s="5"/>
      <c r="I815" s="5"/>
      <c r="J815" s="6"/>
      <c r="K815" s="5"/>
      <c r="O815" s="7" t="s">
        <v>33</v>
      </c>
      <c r="P815" s="7" t="s">
        <v>34</v>
      </c>
      <c r="Q815" s="7" t="s">
        <v>2466</v>
      </c>
      <c r="R815" s="7" t="s">
        <v>11</v>
      </c>
      <c r="S815" s="7" t="s">
        <v>2467</v>
      </c>
      <c r="T815" s="7" t="s">
        <v>2468</v>
      </c>
      <c r="U815" s="7" t="s">
        <v>2466</v>
      </c>
    </row>
    <row r="816" spans="5:21">
      <c r="E816" s="15"/>
      <c r="F816" s="15"/>
      <c r="G816" s="15"/>
      <c r="H816" s="15"/>
      <c r="I816" s="15"/>
      <c r="J816" s="16"/>
      <c r="K816" s="15"/>
      <c r="O816" s="7" t="s">
        <v>195</v>
      </c>
      <c r="P816" s="7" t="s">
        <v>196</v>
      </c>
      <c r="Q816" s="7" t="s">
        <v>2469</v>
      </c>
      <c r="R816" s="7" t="s">
        <v>11</v>
      </c>
      <c r="S816" s="7" t="s">
        <v>2470</v>
      </c>
      <c r="T816" s="7" t="s">
        <v>2471</v>
      </c>
      <c r="U816" s="7" t="s">
        <v>2469</v>
      </c>
    </row>
    <row r="817" spans="5:21">
      <c r="E817" s="5"/>
      <c r="F817" s="5"/>
      <c r="G817" s="5"/>
      <c r="H817" s="5"/>
      <c r="I817" s="5"/>
      <c r="J817" s="6"/>
      <c r="K817" s="5"/>
      <c r="O817" s="7" t="s">
        <v>28</v>
      </c>
      <c r="P817" s="7" t="s">
        <v>29</v>
      </c>
      <c r="Q817" s="7" t="s">
        <v>2472</v>
      </c>
      <c r="R817" s="7" t="s">
        <v>11</v>
      </c>
      <c r="S817" s="7" t="s">
        <v>2473</v>
      </c>
      <c r="T817" s="7" t="s">
        <v>2474</v>
      </c>
      <c r="U817" s="7" t="s">
        <v>2472</v>
      </c>
    </row>
    <row r="818" spans="5:21">
      <c r="E818" s="5"/>
      <c r="F818" s="5"/>
      <c r="G818" s="5"/>
      <c r="H818" s="5"/>
      <c r="I818" s="5"/>
      <c r="J818" s="6"/>
      <c r="K818" s="5"/>
      <c r="O818" s="7" t="s">
        <v>251</v>
      </c>
      <c r="P818" s="7" t="s">
        <v>252</v>
      </c>
      <c r="Q818" s="7" t="s">
        <v>2475</v>
      </c>
      <c r="R818" s="7" t="s">
        <v>254</v>
      </c>
      <c r="S818" s="7" t="s">
        <v>2476</v>
      </c>
      <c r="T818" s="7" t="s">
        <v>2477</v>
      </c>
      <c r="U818" s="7" t="s">
        <v>2475</v>
      </c>
    </row>
    <row r="819" spans="5:21">
      <c r="E819" s="5"/>
      <c r="F819" s="5"/>
      <c r="G819" s="5"/>
      <c r="H819" s="5"/>
      <c r="I819" s="5"/>
      <c r="J819" s="6"/>
      <c r="K819" s="5"/>
      <c r="O819" s="7" t="s">
        <v>58</v>
      </c>
      <c r="P819" s="7" t="s">
        <v>59</v>
      </c>
      <c r="Q819" s="7" t="s">
        <v>2478</v>
      </c>
      <c r="R819" s="7" t="s">
        <v>11</v>
      </c>
      <c r="S819" s="7" t="s">
        <v>2479</v>
      </c>
      <c r="T819" s="7" t="s">
        <v>2480</v>
      </c>
      <c r="U819" s="7" t="s">
        <v>2478</v>
      </c>
    </row>
    <row r="820" spans="5:21">
      <c r="E820" s="5"/>
      <c r="F820" s="5"/>
      <c r="G820" s="5"/>
      <c r="H820" s="5"/>
      <c r="I820" s="5"/>
      <c r="J820" s="6"/>
      <c r="K820" s="5"/>
      <c r="O820" s="7" t="s">
        <v>195</v>
      </c>
      <c r="P820" s="7" t="s">
        <v>196</v>
      </c>
      <c r="Q820" s="7" t="s">
        <v>2481</v>
      </c>
      <c r="R820" s="7" t="s">
        <v>11</v>
      </c>
      <c r="S820" s="7" t="s">
        <v>2482</v>
      </c>
      <c r="T820" s="7" t="s">
        <v>2483</v>
      </c>
      <c r="U820" s="7" t="s">
        <v>2481</v>
      </c>
    </row>
    <row r="821" spans="5:21">
      <c r="E821" s="5"/>
      <c r="F821" s="5"/>
      <c r="G821" s="5"/>
      <c r="H821" s="5"/>
      <c r="I821" s="5"/>
      <c r="J821" s="6"/>
      <c r="K821" s="5"/>
      <c r="O821" s="7" t="s">
        <v>28</v>
      </c>
      <c r="P821" s="7" t="s">
        <v>29</v>
      </c>
      <c r="Q821" s="7" t="s">
        <v>2484</v>
      </c>
      <c r="R821" s="7" t="s">
        <v>11</v>
      </c>
      <c r="S821" s="7" t="s">
        <v>2485</v>
      </c>
      <c r="T821" s="7" t="s">
        <v>2486</v>
      </c>
      <c r="U821" s="7" t="s">
        <v>2484</v>
      </c>
    </row>
    <row r="822" spans="5:21">
      <c r="E822" s="5"/>
      <c r="F822" s="5"/>
      <c r="G822" s="5"/>
      <c r="H822" s="5"/>
      <c r="I822" s="5"/>
      <c r="J822" s="6"/>
      <c r="K822" s="5"/>
      <c r="O822" s="7" t="s">
        <v>23</v>
      </c>
      <c r="P822" s="7" t="s">
        <v>24</v>
      </c>
      <c r="Q822" s="7" t="s">
        <v>2487</v>
      </c>
      <c r="R822" s="7" t="s">
        <v>11</v>
      </c>
      <c r="S822" s="7" t="s">
        <v>2488</v>
      </c>
      <c r="T822" s="7" t="s">
        <v>2489</v>
      </c>
      <c r="U822" s="7" t="s">
        <v>2487</v>
      </c>
    </row>
    <row r="823" spans="5:21">
      <c r="E823" s="5"/>
      <c r="F823" s="5"/>
      <c r="G823" s="5"/>
      <c r="H823" s="5"/>
      <c r="I823" s="5"/>
      <c r="J823" s="6"/>
      <c r="K823" s="5"/>
      <c r="O823" s="7" t="s">
        <v>47</v>
      </c>
      <c r="P823" s="7" t="s">
        <v>48</v>
      </c>
      <c r="Q823" s="7" t="s">
        <v>2490</v>
      </c>
      <c r="R823" s="7" t="s">
        <v>17</v>
      </c>
      <c r="S823" s="7" t="s">
        <v>2491</v>
      </c>
      <c r="T823" s="7" t="s">
        <v>2492</v>
      </c>
      <c r="U823" s="7" t="s">
        <v>2490</v>
      </c>
    </row>
    <row r="824" spans="5:21">
      <c r="E824" s="5"/>
      <c r="F824" s="5"/>
      <c r="G824" s="5"/>
      <c r="H824" s="5"/>
      <c r="I824" s="5"/>
      <c r="J824" s="6"/>
      <c r="K824" s="5"/>
      <c r="O824" s="7" t="s">
        <v>47</v>
      </c>
      <c r="P824" s="7" t="s">
        <v>48</v>
      </c>
      <c r="Q824" s="7" t="s">
        <v>2493</v>
      </c>
      <c r="R824" s="7" t="s">
        <v>17</v>
      </c>
      <c r="S824" s="7" t="s">
        <v>2494</v>
      </c>
      <c r="T824" s="7" t="s">
        <v>2495</v>
      </c>
      <c r="U824" s="7" t="s">
        <v>2493</v>
      </c>
    </row>
    <row r="825" spans="5:21">
      <c r="E825" s="5"/>
      <c r="F825" s="5"/>
      <c r="G825" s="5"/>
      <c r="H825" s="5"/>
      <c r="I825" s="5"/>
      <c r="J825" s="6"/>
      <c r="K825" s="5"/>
      <c r="O825" s="7" t="s">
        <v>47</v>
      </c>
      <c r="P825" s="7" t="s">
        <v>48</v>
      </c>
      <c r="Q825" s="7" t="s">
        <v>2496</v>
      </c>
      <c r="R825" s="7" t="s">
        <v>17</v>
      </c>
      <c r="S825" s="7" t="s">
        <v>2497</v>
      </c>
      <c r="T825" s="7" t="s">
        <v>2498</v>
      </c>
      <c r="U825" s="7" t="s">
        <v>2496</v>
      </c>
    </row>
    <row r="826" spans="5:21">
      <c r="E826" s="5"/>
      <c r="F826" s="5"/>
      <c r="G826" s="5"/>
      <c r="H826" s="5"/>
      <c r="I826" s="5"/>
      <c r="J826" s="6"/>
      <c r="K826" s="5"/>
      <c r="O826" s="7" t="s">
        <v>23</v>
      </c>
      <c r="P826" s="7" t="s">
        <v>24</v>
      </c>
      <c r="Q826" s="7" t="s">
        <v>2499</v>
      </c>
      <c r="R826" s="7" t="s">
        <v>11</v>
      </c>
      <c r="S826" s="7" t="s">
        <v>2500</v>
      </c>
      <c r="T826" s="7" t="s">
        <v>2501</v>
      </c>
      <c r="U826" s="7" t="s">
        <v>2499</v>
      </c>
    </row>
    <row r="827" spans="5:21">
      <c r="E827" s="5"/>
      <c r="F827" s="5"/>
      <c r="G827" s="5"/>
      <c r="H827" s="5"/>
      <c r="I827" s="5"/>
      <c r="J827" s="6"/>
      <c r="K827" s="5"/>
      <c r="O827" s="7" t="s">
        <v>28</v>
      </c>
      <c r="P827" s="7" t="s">
        <v>29</v>
      </c>
      <c r="Q827" s="7" t="s">
        <v>2502</v>
      </c>
      <c r="R827" s="7" t="s">
        <v>11</v>
      </c>
      <c r="S827" s="7" t="s">
        <v>2503</v>
      </c>
      <c r="T827" s="7" t="s">
        <v>2504</v>
      </c>
      <c r="U827" s="7" t="s">
        <v>2502</v>
      </c>
    </row>
    <row r="828" spans="5:21">
      <c r="E828" s="5"/>
      <c r="F828" s="5"/>
      <c r="G828" s="5"/>
      <c r="H828" s="5"/>
      <c r="I828" s="5"/>
      <c r="J828" s="6"/>
      <c r="K828" s="5"/>
      <c r="O828" s="7" t="s">
        <v>23</v>
      </c>
      <c r="P828" s="7" t="s">
        <v>24</v>
      </c>
      <c r="Q828" s="7" t="s">
        <v>2505</v>
      </c>
      <c r="R828" s="7" t="s">
        <v>11</v>
      </c>
      <c r="S828" s="7" t="s">
        <v>2506</v>
      </c>
      <c r="T828" s="7" t="s">
        <v>2507</v>
      </c>
      <c r="U828" s="7" t="s">
        <v>2505</v>
      </c>
    </row>
    <row r="829" spans="5:21">
      <c r="E829" s="5"/>
      <c r="F829" s="5"/>
      <c r="G829" s="5"/>
      <c r="H829" s="5"/>
      <c r="I829" s="5"/>
      <c r="J829" s="6"/>
      <c r="K829" s="5"/>
      <c r="O829" s="7" t="s">
        <v>28</v>
      </c>
      <c r="P829" s="7" t="s">
        <v>29</v>
      </c>
      <c r="Q829" s="7" t="s">
        <v>2508</v>
      </c>
      <c r="R829" s="7" t="s">
        <v>11</v>
      </c>
      <c r="S829" s="7" t="s">
        <v>2509</v>
      </c>
      <c r="T829" s="7" t="s">
        <v>2510</v>
      </c>
      <c r="U829" s="7" t="s">
        <v>2508</v>
      </c>
    </row>
    <row r="830" spans="5:21">
      <c r="E830" s="5"/>
      <c r="F830" s="5"/>
      <c r="G830" s="5"/>
      <c r="H830" s="5"/>
      <c r="I830" s="5"/>
      <c r="J830" s="6"/>
      <c r="K830" s="5"/>
      <c r="O830" s="7" t="s">
        <v>28</v>
      </c>
      <c r="P830" s="7" t="s">
        <v>29</v>
      </c>
      <c r="Q830" s="7" t="s">
        <v>2511</v>
      </c>
      <c r="R830" s="7" t="s">
        <v>11</v>
      </c>
      <c r="S830" s="7" t="s">
        <v>2512</v>
      </c>
      <c r="T830" s="7" t="s">
        <v>2513</v>
      </c>
      <c r="U830" s="7" t="s">
        <v>2511</v>
      </c>
    </row>
    <row r="831" spans="5:21">
      <c r="E831" s="5"/>
      <c r="F831" s="5"/>
      <c r="G831" s="5"/>
      <c r="H831" s="5"/>
      <c r="I831" s="5"/>
      <c r="J831" s="6"/>
      <c r="K831" s="5"/>
      <c r="O831" s="7" t="s">
        <v>23</v>
      </c>
      <c r="P831" s="7" t="s">
        <v>24</v>
      </c>
      <c r="Q831" s="7" t="s">
        <v>2514</v>
      </c>
      <c r="R831" s="7" t="s">
        <v>11</v>
      </c>
      <c r="S831" s="7" t="s">
        <v>2515</v>
      </c>
      <c r="T831" s="7" t="s">
        <v>2516</v>
      </c>
      <c r="U831" s="7" t="s">
        <v>2514</v>
      </c>
    </row>
    <row r="832" spans="5:21">
      <c r="E832" s="5"/>
      <c r="F832" s="5"/>
      <c r="G832" s="5"/>
      <c r="H832" s="5"/>
      <c r="I832" s="5"/>
      <c r="J832" s="6"/>
      <c r="K832" s="5"/>
      <c r="O832" s="7" t="s">
        <v>8</v>
      </c>
      <c r="P832" s="7" t="s">
        <v>9</v>
      </c>
      <c r="Q832" s="7" t="s">
        <v>2517</v>
      </c>
      <c r="R832" s="7" t="s">
        <v>11</v>
      </c>
      <c r="S832" s="7" t="s">
        <v>2518</v>
      </c>
      <c r="T832" s="7" t="s">
        <v>2519</v>
      </c>
      <c r="U832" s="7" t="s">
        <v>2517</v>
      </c>
    </row>
    <row r="833" spans="5:21">
      <c r="E833" s="5"/>
      <c r="F833" s="5"/>
      <c r="G833" s="5"/>
      <c r="H833" s="5"/>
      <c r="I833" s="5"/>
      <c r="J833" s="6"/>
      <c r="K833" s="5"/>
      <c r="O833" s="7" t="s">
        <v>195</v>
      </c>
      <c r="P833" s="7" t="s">
        <v>196</v>
      </c>
      <c r="Q833" s="7" t="s">
        <v>2520</v>
      </c>
      <c r="R833" s="7" t="s">
        <v>11</v>
      </c>
      <c r="S833" s="7" t="s">
        <v>2521</v>
      </c>
      <c r="T833" s="7" t="s">
        <v>2522</v>
      </c>
      <c r="U833" s="7" t="s">
        <v>2520</v>
      </c>
    </row>
    <row r="834" spans="5:21">
      <c r="E834" s="5"/>
      <c r="F834" s="5"/>
      <c r="G834" s="5"/>
      <c r="H834" s="5"/>
      <c r="I834" s="5"/>
      <c r="J834" s="6"/>
      <c r="K834" s="5"/>
      <c r="O834" s="7" t="s">
        <v>8</v>
      </c>
      <c r="P834" s="7" t="s">
        <v>9</v>
      </c>
      <c r="Q834" s="7" t="s">
        <v>2523</v>
      </c>
      <c r="R834" s="7" t="s">
        <v>11</v>
      </c>
      <c r="S834" s="7" t="s">
        <v>2524</v>
      </c>
      <c r="T834" s="7" t="s">
        <v>2525</v>
      </c>
      <c r="U834" s="7" t="s">
        <v>2523</v>
      </c>
    </row>
    <row r="835" spans="5:21">
      <c r="E835" s="5"/>
      <c r="F835" s="13"/>
      <c r="G835" s="13"/>
      <c r="H835" s="12"/>
      <c r="I835" s="5"/>
      <c r="J835" s="6"/>
      <c r="K835" s="5"/>
      <c r="O835" s="7" t="s">
        <v>47</v>
      </c>
      <c r="P835" s="7" t="s">
        <v>48</v>
      </c>
      <c r="Q835" s="7" t="s">
        <v>2526</v>
      </c>
      <c r="R835" s="7" t="s">
        <v>17</v>
      </c>
      <c r="S835" s="7" t="s">
        <v>2527</v>
      </c>
      <c r="T835" s="7" t="s">
        <v>2528</v>
      </c>
      <c r="U835" s="7" t="s">
        <v>2526</v>
      </c>
    </row>
    <row r="836" spans="5:21">
      <c r="E836" s="15"/>
      <c r="F836" s="5"/>
      <c r="G836" s="5"/>
      <c r="H836" s="1"/>
      <c r="I836" s="5"/>
      <c r="J836" s="6"/>
      <c r="K836" s="5"/>
      <c r="O836" s="7" t="s">
        <v>28</v>
      </c>
      <c r="P836" s="7" t="s">
        <v>29</v>
      </c>
      <c r="Q836" s="7" t="s">
        <v>2529</v>
      </c>
      <c r="R836" s="7" t="s">
        <v>11</v>
      </c>
      <c r="S836" s="7" t="s">
        <v>2530</v>
      </c>
      <c r="T836" s="7" t="s">
        <v>2531</v>
      </c>
      <c r="U836" s="7" t="s">
        <v>2529</v>
      </c>
    </row>
    <row r="837" spans="5:21">
      <c r="E837" s="15"/>
      <c r="F837" s="22"/>
      <c r="G837" s="22"/>
      <c r="H837" s="23"/>
      <c r="I837" s="24"/>
      <c r="J837" s="25"/>
      <c r="K837" s="5"/>
      <c r="O837" s="7" t="s">
        <v>47</v>
      </c>
      <c r="P837" s="7" t="s">
        <v>48</v>
      </c>
      <c r="Q837" s="7" t="s">
        <v>2532</v>
      </c>
      <c r="R837" s="7" t="s">
        <v>17</v>
      </c>
      <c r="S837" s="7" t="s">
        <v>2533</v>
      </c>
      <c r="T837" s="7" t="s">
        <v>2534</v>
      </c>
      <c r="U837" s="7" t="s">
        <v>2532</v>
      </c>
    </row>
    <row r="838" spans="5:21">
      <c r="E838" s="15"/>
      <c r="F838" s="5"/>
      <c r="G838" s="5"/>
      <c r="H838" s="26"/>
      <c r="I838" s="5"/>
      <c r="J838" s="6"/>
      <c r="K838" s="5"/>
      <c r="O838" s="7" t="s">
        <v>47</v>
      </c>
      <c r="P838" s="7" t="s">
        <v>48</v>
      </c>
      <c r="Q838" s="7" t="s">
        <v>2535</v>
      </c>
      <c r="R838" s="7" t="s">
        <v>17</v>
      </c>
      <c r="S838" s="7" t="s">
        <v>2536</v>
      </c>
      <c r="T838" s="7" t="s">
        <v>2537</v>
      </c>
      <c r="U838" s="7" t="s">
        <v>2535</v>
      </c>
    </row>
    <row r="839" spans="5:21">
      <c r="E839" s="5"/>
      <c r="F839" s="5"/>
      <c r="G839" s="5"/>
      <c r="H839" s="1"/>
      <c r="I839" s="5"/>
      <c r="J839" s="6"/>
      <c r="K839" s="5"/>
      <c r="O839" s="7" t="s">
        <v>195</v>
      </c>
      <c r="P839" s="7" t="s">
        <v>196</v>
      </c>
      <c r="Q839" s="7" t="s">
        <v>2538</v>
      </c>
      <c r="R839" s="7" t="s">
        <v>11</v>
      </c>
      <c r="S839" s="11" t="s">
        <v>2539</v>
      </c>
      <c r="T839" s="7" t="s">
        <v>2540</v>
      </c>
      <c r="U839" s="7" t="s">
        <v>2538</v>
      </c>
    </row>
    <row r="840" spans="5:21">
      <c r="E840" s="5"/>
      <c r="F840" s="5"/>
      <c r="G840" s="5"/>
      <c r="H840" s="5"/>
      <c r="I840" s="5"/>
      <c r="J840" s="6"/>
      <c r="K840" s="5"/>
      <c r="O840" s="7" t="s">
        <v>251</v>
      </c>
      <c r="P840" s="7" t="s">
        <v>252</v>
      </c>
      <c r="Q840" s="7" t="s">
        <v>2541</v>
      </c>
      <c r="R840" s="7" t="s">
        <v>254</v>
      </c>
      <c r="S840" s="7" t="s">
        <v>2542</v>
      </c>
      <c r="T840" s="7" t="s">
        <v>2543</v>
      </c>
      <c r="U840" s="7" t="s">
        <v>2541</v>
      </c>
    </row>
    <row r="841" spans="5:21">
      <c r="E841" s="5"/>
      <c r="F841" s="5"/>
      <c r="G841" s="5"/>
      <c r="H841" s="1"/>
      <c r="I841" s="5"/>
      <c r="J841" s="6"/>
      <c r="K841" s="5"/>
      <c r="O841" s="7" t="s">
        <v>251</v>
      </c>
      <c r="P841" s="7" t="s">
        <v>252</v>
      </c>
      <c r="Q841" s="7" t="s">
        <v>2544</v>
      </c>
      <c r="R841" s="7" t="s">
        <v>254</v>
      </c>
      <c r="S841" s="7" t="s">
        <v>2545</v>
      </c>
      <c r="T841" s="7" t="s">
        <v>2546</v>
      </c>
      <c r="U841" s="7" t="s">
        <v>2544</v>
      </c>
    </row>
    <row r="842" spans="5:21">
      <c r="E842" s="5"/>
      <c r="F842" s="5"/>
      <c r="G842" s="5"/>
      <c r="H842" s="1"/>
      <c r="I842" s="5"/>
      <c r="J842" s="6"/>
      <c r="K842" s="5"/>
      <c r="O842" s="7" t="s">
        <v>28</v>
      </c>
      <c r="P842" s="7" t="s">
        <v>29</v>
      </c>
      <c r="Q842" s="7" t="s">
        <v>2547</v>
      </c>
      <c r="R842" s="7" t="s">
        <v>11</v>
      </c>
      <c r="S842" s="7" t="s">
        <v>2548</v>
      </c>
      <c r="T842" s="7" t="s">
        <v>2549</v>
      </c>
      <c r="U842" s="7" t="s">
        <v>2547</v>
      </c>
    </row>
    <row r="843" spans="5:21">
      <c r="E843" s="5"/>
      <c r="F843" s="5"/>
      <c r="G843" s="5"/>
      <c r="H843" s="5"/>
      <c r="I843" s="5"/>
      <c r="J843" s="6"/>
      <c r="K843" s="5"/>
      <c r="O843" s="7" t="s">
        <v>58</v>
      </c>
      <c r="P843" s="7" t="s">
        <v>59</v>
      </c>
      <c r="Q843" s="7" t="s">
        <v>2550</v>
      </c>
      <c r="R843" s="7" t="s">
        <v>11</v>
      </c>
      <c r="S843" s="7" t="s">
        <v>2551</v>
      </c>
      <c r="T843" s="7" t="s">
        <v>2552</v>
      </c>
      <c r="U843" s="7" t="s">
        <v>2550</v>
      </c>
    </row>
    <row r="844" spans="5:21">
      <c r="E844" s="5"/>
      <c r="F844" s="5"/>
      <c r="G844" s="5"/>
      <c r="H844" s="5"/>
      <c r="I844" s="5"/>
      <c r="J844" s="6"/>
      <c r="K844" s="5"/>
      <c r="O844" s="7" t="s">
        <v>14</v>
      </c>
      <c r="P844" s="7" t="s">
        <v>15</v>
      </c>
      <c r="Q844" s="7" t="s">
        <v>2553</v>
      </c>
      <c r="R844" s="7" t="s">
        <v>17</v>
      </c>
      <c r="S844" s="7" t="s">
        <v>2554</v>
      </c>
      <c r="T844" s="7" t="s">
        <v>2555</v>
      </c>
      <c r="U844" s="7" t="s">
        <v>2553</v>
      </c>
    </row>
    <row r="845" spans="5:21">
      <c r="E845" s="5"/>
      <c r="F845" s="5"/>
      <c r="G845" s="5"/>
      <c r="H845" s="5"/>
      <c r="I845" s="5"/>
      <c r="J845" s="6"/>
      <c r="K845" s="5"/>
      <c r="O845" s="7" t="s">
        <v>8</v>
      </c>
      <c r="P845" s="7" t="s">
        <v>9</v>
      </c>
      <c r="Q845" s="7" t="s">
        <v>2556</v>
      </c>
      <c r="R845" s="7" t="s">
        <v>11</v>
      </c>
      <c r="S845" s="7" t="s">
        <v>2557</v>
      </c>
      <c r="T845" s="7" t="s">
        <v>2558</v>
      </c>
      <c r="U845" s="7" t="s">
        <v>2556</v>
      </c>
    </row>
    <row r="846" spans="5:21">
      <c r="E846" s="5"/>
      <c r="F846" s="5"/>
      <c r="G846" s="5"/>
      <c r="H846" s="5"/>
      <c r="I846" s="5"/>
      <c r="J846" s="6"/>
      <c r="K846" s="5"/>
      <c r="O846" s="7" t="s">
        <v>8</v>
      </c>
      <c r="P846" s="7" t="s">
        <v>9</v>
      </c>
      <c r="Q846" s="7" t="s">
        <v>2559</v>
      </c>
      <c r="R846" s="7" t="s">
        <v>11</v>
      </c>
      <c r="S846" s="11" t="s">
        <v>2560</v>
      </c>
      <c r="T846" s="7" t="s">
        <v>2561</v>
      </c>
      <c r="U846" s="7" t="s">
        <v>2559</v>
      </c>
    </row>
    <row r="847" spans="5:21">
      <c r="E847" s="5"/>
      <c r="F847" s="5"/>
      <c r="G847" s="5"/>
      <c r="H847" s="5"/>
      <c r="I847" s="5"/>
      <c r="J847" s="6"/>
      <c r="K847" s="5"/>
      <c r="O847" s="7" t="s">
        <v>8</v>
      </c>
      <c r="P847" s="7" t="s">
        <v>9</v>
      </c>
      <c r="Q847" s="7" t="s">
        <v>2562</v>
      </c>
      <c r="R847" s="7" t="s">
        <v>11</v>
      </c>
      <c r="S847" s="7" t="s">
        <v>2563</v>
      </c>
      <c r="T847" s="7" t="s">
        <v>2564</v>
      </c>
      <c r="U847" s="7" t="s">
        <v>2562</v>
      </c>
    </row>
    <row r="848" spans="5:21">
      <c r="E848" s="5"/>
      <c r="F848" s="5"/>
      <c r="G848" s="5"/>
      <c r="H848" s="5"/>
      <c r="I848" s="5"/>
      <c r="J848" s="6"/>
      <c r="K848" s="5"/>
      <c r="O848" s="7" t="s">
        <v>28</v>
      </c>
      <c r="P848" s="7" t="s">
        <v>29</v>
      </c>
      <c r="Q848" s="7" t="s">
        <v>2565</v>
      </c>
      <c r="R848" s="7" t="s">
        <v>11</v>
      </c>
      <c r="S848" s="7" t="s">
        <v>2566</v>
      </c>
      <c r="T848" s="7" t="s">
        <v>2567</v>
      </c>
      <c r="U848" s="7" t="s">
        <v>2565</v>
      </c>
    </row>
    <row r="849" spans="5:21">
      <c r="E849" s="5"/>
      <c r="F849" s="5"/>
      <c r="G849" s="5"/>
      <c r="H849" s="1"/>
      <c r="I849" s="5"/>
      <c r="J849" s="6"/>
      <c r="K849" s="5"/>
      <c r="O849" s="7" t="s">
        <v>28</v>
      </c>
      <c r="P849" s="7" t="s">
        <v>29</v>
      </c>
      <c r="Q849" s="7" t="s">
        <v>2568</v>
      </c>
      <c r="R849" s="7" t="s">
        <v>11</v>
      </c>
      <c r="S849" s="7" t="s">
        <v>2569</v>
      </c>
      <c r="T849" s="7" t="s">
        <v>2570</v>
      </c>
      <c r="U849" s="7" t="s">
        <v>2568</v>
      </c>
    </row>
    <row r="850" spans="5:21">
      <c r="E850" s="5"/>
      <c r="F850" s="5"/>
      <c r="G850" s="5"/>
      <c r="H850" s="1"/>
      <c r="I850" s="5"/>
      <c r="J850" s="6"/>
      <c r="K850" s="5"/>
      <c r="O850" s="7" t="s">
        <v>28</v>
      </c>
      <c r="P850" s="7" t="s">
        <v>29</v>
      </c>
      <c r="Q850" s="7" t="s">
        <v>2571</v>
      </c>
      <c r="R850" s="7" t="s">
        <v>11</v>
      </c>
      <c r="S850" s="7" t="s">
        <v>2572</v>
      </c>
      <c r="T850" s="7" t="s">
        <v>2573</v>
      </c>
      <c r="U850" s="7" t="s">
        <v>2571</v>
      </c>
    </row>
    <row r="851" spans="5:21">
      <c r="E851" s="5"/>
      <c r="F851" s="5"/>
      <c r="G851" s="5"/>
      <c r="H851" s="5"/>
      <c r="I851" s="5"/>
      <c r="J851" s="6"/>
      <c r="K851" s="5"/>
      <c r="O851" s="7" t="s">
        <v>28</v>
      </c>
      <c r="P851" s="7" t="s">
        <v>29</v>
      </c>
      <c r="Q851" s="7" t="s">
        <v>2574</v>
      </c>
      <c r="R851" s="7" t="s">
        <v>11</v>
      </c>
      <c r="S851" s="7" t="s">
        <v>2575</v>
      </c>
      <c r="T851" s="7" t="s">
        <v>2576</v>
      </c>
      <c r="U851" s="7" t="s">
        <v>2574</v>
      </c>
    </row>
    <row r="852" spans="5:21">
      <c r="E852" s="5"/>
      <c r="F852" s="5"/>
      <c r="G852" s="5"/>
      <c r="H852" s="1"/>
      <c r="I852" s="5"/>
      <c r="J852" s="6"/>
      <c r="K852" s="5"/>
      <c r="O852" s="7" t="s">
        <v>251</v>
      </c>
      <c r="P852" s="7" t="s">
        <v>252</v>
      </c>
      <c r="Q852" s="7" t="s">
        <v>2577</v>
      </c>
      <c r="R852" s="7" t="s">
        <v>254</v>
      </c>
      <c r="S852" s="7" t="s">
        <v>2578</v>
      </c>
      <c r="T852" s="7" t="s">
        <v>2579</v>
      </c>
      <c r="U852" s="7" t="s">
        <v>2577</v>
      </c>
    </row>
    <row r="853" spans="5:21">
      <c r="E853" s="5"/>
      <c r="F853" s="5"/>
      <c r="G853" s="5"/>
      <c r="H853" s="5"/>
      <c r="I853" s="5"/>
      <c r="J853" s="27"/>
      <c r="K853" s="5"/>
      <c r="O853" s="7" t="s">
        <v>8</v>
      </c>
      <c r="P853" s="7" t="s">
        <v>9</v>
      </c>
      <c r="Q853" s="7" t="s">
        <v>2580</v>
      </c>
      <c r="R853" s="7" t="s">
        <v>11</v>
      </c>
      <c r="S853" s="7" t="s">
        <v>2581</v>
      </c>
      <c r="T853" s="7" t="s">
        <v>2582</v>
      </c>
      <c r="U853" s="7" t="s">
        <v>2580</v>
      </c>
    </row>
    <row r="854" spans="5:21">
      <c r="E854" s="5"/>
      <c r="F854" s="5"/>
      <c r="G854" s="5"/>
      <c r="H854" s="1"/>
      <c r="I854" s="5"/>
      <c r="J854" s="6"/>
      <c r="K854" s="5"/>
      <c r="O854" s="7" t="s">
        <v>8</v>
      </c>
      <c r="P854" s="7" t="s">
        <v>9</v>
      </c>
      <c r="Q854" s="7" t="s">
        <v>2583</v>
      </c>
      <c r="R854" s="7" t="s">
        <v>11</v>
      </c>
      <c r="S854" s="7" t="s">
        <v>2584</v>
      </c>
      <c r="T854" s="7" t="s">
        <v>2585</v>
      </c>
      <c r="U854" s="7" t="s">
        <v>2583</v>
      </c>
    </row>
    <row r="855" spans="5:21">
      <c r="E855" s="5"/>
      <c r="F855" s="1"/>
      <c r="G855" s="1"/>
      <c r="H855" s="5"/>
      <c r="I855" s="5"/>
      <c r="J855" s="27"/>
      <c r="K855" s="5"/>
      <c r="O855" s="7" t="s">
        <v>28</v>
      </c>
      <c r="P855" s="7" t="s">
        <v>29</v>
      </c>
      <c r="Q855" s="7" t="s">
        <v>2586</v>
      </c>
      <c r="R855" s="7" t="s">
        <v>11</v>
      </c>
      <c r="S855" s="7" t="s">
        <v>2587</v>
      </c>
      <c r="T855" s="7" t="s">
        <v>2588</v>
      </c>
      <c r="U855" s="7" t="s">
        <v>2586</v>
      </c>
    </row>
    <row r="856" spans="5:21">
      <c r="E856" s="5"/>
      <c r="F856" s="1"/>
      <c r="G856" s="1"/>
      <c r="H856" s="1"/>
      <c r="I856" s="5"/>
      <c r="J856" s="27"/>
      <c r="K856" s="5"/>
      <c r="O856" s="7" t="s">
        <v>58</v>
      </c>
      <c r="P856" s="7" t="s">
        <v>59</v>
      </c>
      <c r="Q856" s="7" t="s">
        <v>2589</v>
      </c>
      <c r="R856" s="7" t="s">
        <v>11</v>
      </c>
      <c r="S856" s="7" t="s">
        <v>2590</v>
      </c>
      <c r="T856" s="7" t="s">
        <v>2591</v>
      </c>
      <c r="U856" s="7" t="s">
        <v>2589</v>
      </c>
    </row>
    <row r="857" spans="5:21">
      <c r="E857" s="5"/>
      <c r="F857" s="1"/>
      <c r="G857" s="1"/>
      <c r="H857" s="5"/>
      <c r="I857" s="5"/>
      <c r="J857" s="27"/>
      <c r="K857" s="5"/>
      <c r="O857" s="7" t="s">
        <v>8</v>
      </c>
      <c r="P857" s="7" t="s">
        <v>9</v>
      </c>
      <c r="Q857" s="7" t="s">
        <v>2592</v>
      </c>
      <c r="R857" s="7" t="s">
        <v>11</v>
      </c>
      <c r="S857" s="7" t="s">
        <v>2593</v>
      </c>
      <c r="T857" s="7" t="s">
        <v>2594</v>
      </c>
      <c r="U857" s="7" t="s">
        <v>2592</v>
      </c>
    </row>
    <row r="858" spans="5:21">
      <c r="E858" s="5"/>
      <c r="F858" s="1"/>
      <c r="G858" s="1"/>
      <c r="H858" s="1"/>
      <c r="I858" s="5"/>
      <c r="J858" s="27"/>
      <c r="K858" s="5"/>
      <c r="O858" s="7" t="s">
        <v>47</v>
      </c>
      <c r="P858" s="7" t="s">
        <v>48</v>
      </c>
      <c r="Q858" s="7" t="s">
        <v>2595</v>
      </c>
      <c r="R858" s="7" t="s">
        <v>17</v>
      </c>
      <c r="S858" s="7" t="s">
        <v>2596</v>
      </c>
      <c r="T858" s="7" t="s">
        <v>2597</v>
      </c>
      <c r="U858" s="7" t="s">
        <v>2595</v>
      </c>
    </row>
    <row r="859" spans="5:21">
      <c r="E859" s="5"/>
      <c r="F859" s="1"/>
      <c r="G859" s="1"/>
      <c r="H859" s="5"/>
      <c r="I859" s="5"/>
      <c r="J859" s="27"/>
      <c r="K859" s="5"/>
      <c r="O859" s="7" t="s">
        <v>251</v>
      </c>
      <c r="P859" s="7" t="s">
        <v>252</v>
      </c>
      <c r="Q859" s="7" t="s">
        <v>2598</v>
      </c>
      <c r="R859" s="7" t="s">
        <v>254</v>
      </c>
      <c r="S859" s="7" t="s">
        <v>2599</v>
      </c>
      <c r="T859" s="7" t="s">
        <v>2600</v>
      </c>
      <c r="U859" s="7" t="s">
        <v>2598</v>
      </c>
    </row>
    <row r="860" spans="5:21">
      <c r="E860" s="5"/>
      <c r="F860" s="1"/>
      <c r="G860" s="1"/>
      <c r="H860" s="5"/>
      <c r="I860" s="5"/>
      <c r="J860" s="27"/>
      <c r="K860" s="5"/>
      <c r="O860" s="7" t="s">
        <v>251</v>
      </c>
      <c r="P860" s="7" t="s">
        <v>252</v>
      </c>
      <c r="Q860" s="7" t="s">
        <v>2601</v>
      </c>
      <c r="R860" s="7" t="s">
        <v>254</v>
      </c>
      <c r="S860" s="7" t="s">
        <v>2602</v>
      </c>
      <c r="T860" s="7" t="s">
        <v>2603</v>
      </c>
      <c r="U860" s="7" t="s">
        <v>2601</v>
      </c>
    </row>
    <row r="861" spans="5:21">
      <c r="E861" s="5"/>
      <c r="F861" s="1"/>
      <c r="G861" s="1"/>
      <c r="H861" s="1"/>
      <c r="I861" s="5"/>
      <c r="J861" s="27"/>
      <c r="K861" s="5"/>
      <c r="O861" s="7" t="s">
        <v>28</v>
      </c>
      <c r="P861" s="7" t="s">
        <v>29</v>
      </c>
      <c r="Q861" s="7" t="s">
        <v>2604</v>
      </c>
      <c r="R861" s="7" t="s">
        <v>11</v>
      </c>
      <c r="S861" s="7" t="s">
        <v>2605</v>
      </c>
      <c r="T861" s="7" t="s">
        <v>2606</v>
      </c>
      <c r="U861" s="7" t="s">
        <v>2604</v>
      </c>
    </row>
    <row r="862" spans="5:21">
      <c r="E862" s="5"/>
      <c r="F862" s="1"/>
      <c r="G862" s="1"/>
      <c r="H862" s="1"/>
      <c r="I862" s="5"/>
      <c r="J862" s="27"/>
      <c r="K862" s="5"/>
      <c r="O862" s="7" t="s">
        <v>8</v>
      </c>
      <c r="P862" s="7" t="s">
        <v>9</v>
      </c>
      <c r="Q862" s="7" t="s">
        <v>2607</v>
      </c>
      <c r="R862" s="7" t="s">
        <v>11</v>
      </c>
      <c r="S862" s="7" t="s">
        <v>2608</v>
      </c>
      <c r="T862" s="7" t="s">
        <v>2609</v>
      </c>
      <c r="U862" s="7" t="s">
        <v>2607</v>
      </c>
    </row>
    <row r="863" spans="5:21">
      <c r="E863" s="5"/>
      <c r="F863" s="1"/>
      <c r="G863" s="1"/>
      <c r="H863" s="1"/>
      <c r="I863" s="5"/>
      <c r="J863" s="27"/>
      <c r="K863" s="5"/>
      <c r="O863" s="7" t="s">
        <v>28</v>
      </c>
      <c r="P863" s="7" t="s">
        <v>29</v>
      </c>
      <c r="Q863" s="7" t="s">
        <v>2610</v>
      </c>
      <c r="R863" s="7" t="s">
        <v>11</v>
      </c>
      <c r="S863" s="7" t="s">
        <v>2611</v>
      </c>
      <c r="T863" s="7" t="s">
        <v>2612</v>
      </c>
      <c r="U863" s="7" t="s">
        <v>2610</v>
      </c>
    </row>
    <row r="864" spans="5:21">
      <c r="E864" s="5"/>
      <c r="F864" s="1"/>
      <c r="G864" s="1"/>
      <c r="H864" s="1"/>
      <c r="I864" s="5"/>
      <c r="J864" s="27"/>
      <c r="K864" s="5"/>
      <c r="O864" s="7" t="s">
        <v>251</v>
      </c>
      <c r="P864" s="7" t="s">
        <v>252</v>
      </c>
      <c r="Q864" s="7" t="s">
        <v>2613</v>
      </c>
      <c r="R864" s="7" t="s">
        <v>254</v>
      </c>
      <c r="S864" s="7" t="s">
        <v>2614</v>
      </c>
      <c r="T864" s="7" t="s">
        <v>2615</v>
      </c>
      <c r="U864" s="7" t="s">
        <v>2613</v>
      </c>
    </row>
    <row r="865" spans="5:21">
      <c r="E865" s="5"/>
      <c r="F865" s="1"/>
      <c r="G865" s="1"/>
      <c r="H865" s="1"/>
      <c r="I865" s="5"/>
      <c r="J865" s="27"/>
      <c r="K865" s="5"/>
      <c r="O865" s="7" t="s">
        <v>8</v>
      </c>
      <c r="P865" s="7" t="s">
        <v>9</v>
      </c>
      <c r="Q865" s="7" t="s">
        <v>2616</v>
      </c>
      <c r="R865" s="7" t="s">
        <v>11</v>
      </c>
      <c r="S865" s="7" t="s">
        <v>2617</v>
      </c>
      <c r="T865" s="7" t="s">
        <v>2618</v>
      </c>
      <c r="U865" s="7" t="s">
        <v>2616</v>
      </c>
    </row>
    <row r="866" spans="5:21">
      <c r="E866" s="5"/>
      <c r="F866" s="1"/>
      <c r="G866" s="1"/>
      <c r="H866" s="1"/>
      <c r="I866" s="5"/>
      <c r="J866" s="6"/>
      <c r="K866" s="5"/>
      <c r="O866" s="7" t="s">
        <v>28</v>
      </c>
      <c r="P866" s="7" t="s">
        <v>29</v>
      </c>
      <c r="Q866" s="7" t="s">
        <v>2619</v>
      </c>
      <c r="R866" s="7" t="s">
        <v>11</v>
      </c>
      <c r="S866" s="7" t="s">
        <v>2620</v>
      </c>
      <c r="T866" s="7" t="s">
        <v>2621</v>
      </c>
      <c r="U866" s="7" t="s">
        <v>2619</v>
      </c>
    </row>
    <row r="867" spans="5:21">
      <c r="E867" s="5"/>
      <c r="F867" s="1"/>
      <c r="G867" s="1"/>
      <c r="H867" s="1"/>
      <c r="I867" s="5"/>
      <c r="J867" s="27"/>
      <c r="K867" s="5"/>
      <c r="O867" s="7" t="s">
        <v>876</v>
      </c>
      <c r="P867" s="7" t="s">
        <v>48</v>
      </c>
      <c r="Q867" s="7" t="s">
        <v>2622</v>
      </c>
      <c r="R867" s="7" t="s">
        <v>17</v>
      </c>
      <c r="S867" s="7" t="s">
        <v>2623</v>
      </c>
      <c r="T867" s="7" t="s">
        <v>2624</v>
      </c>
      <c r="U867" s="7" t="s">
        <v>2622</v>
      </c>
    </row>
    <row r="868" spans="5:21">
      <c r="E868" s="5"/>
      <c r="F868" s="1"/>
      <c r="G868" s="1"/>
      <c r="H868" s="1"/>
      <c r="I868" s="5"/>
      <c r="J868" s="6"/>
      <c r="K868" s="5"/>
      <c r="O868" s="7" t="s">
        <v>8</v>
      </c>
      <c r="P868" s="7" t="s">
        <v>9</v>
      </c>
      <c r="Q868" s="7" t="s">
        <v>2625</v>
      </c>
      <c r="R868" s="7" t="s">
        <v>11</v>
      </c>
      <c r="S868" s="7" t="s">
        <v>2626</v>
      </c>
      <c r="T868" s="7" t="s">
        <v>2627</v>
      </c>
      <c r="U868" s="7" t="s">
        <v>2625</v>
      </c>
    </row>
    <row r="869" spans="5:21">
      <c r="E869" s="5"/>
      <c r="F869" s="1"/>
      <c r="G869" s="1"/>
      <c r="H869" s="1"/>
      <c r="I869" s="5"/>
      <c r="J869" s="27"/>
      <c r="K869" s="5"/>
      <c r="O869" s="7" t="s">
        <v>14</v>
      </c>
      <c r="P869" s="7" t="s">
        <v>15</v>
      </c>
      <c r="Q869" s="7" t="s">
        <v>2628</v>
      </c>
      <c r="R869" s="7" t="s">
        <v>17</v>
      </c>
      <c r="S869" s="7" t="s">
        <v>2629</v>
      </c>
      <c r="T869" s="7" t="s">
        <v>2630</v>
      </c>
      <c r="U869" s="7" t="s">
        <v>2628</v>
      </c>
    </row>
    <row r="870" spans="5:21">
      <c r="E870" s="5"/>
      <c r="F870" s="1"/>
      <c r="G870" s="1"/>
      <c r="H870" s="1"/>
      <c r="I870" s="5"/>
      <c r="J870" s="27"/>
      <c r="K870" s="5"/>
      <c r="O870" s="7" t="s">
        <v>8</v>
      </c>
      <c r="P870" s="7" t="s">
        <v>9</v>
      </c>
      <c r="Q870" s="7" t="s">
        <v>2631</v>
      </c>
      <c r="R870" s="7" t="s">
        <v>11</v>
      </c>
      <c r="S870" s="7" t="s">
        <v>2632</v>
      </c>
      <c r="T870" s="7" t="s">
        <v>2633</v>
      </c>
      <c r="U870" s="7" t="s">
        <v>2631</v>
      </c>
    </row>
    <row r="871" spans="5:21">
      <c r="E871" s="5"/>
      <c r="F871" s="1"/>
      <c r="G871" s="1"/>
      <c r="H871" s="1"/>
      <c r="I871" s="5"/>
      <c r="J871" s="27"/>
      <c r="K871" s="5"/>
      <c r="O871" s="7" t="s">
        <v>47</v>
      </c>
      <c r="P871" s="7" t="s">
        <v>48</v>
      </c>
      <c r="Q871" s="7" t="s">
        <v>2634</v>
      </c>
      <c r="R871" s="7" t="s">
        <v>17</v>
      </c>
      <c r="S871" s="7" t="s">
        <v>2635</v>
      </c>
      <c r="T871" s="7" t="s">
        <v>2636</v>
      </c>
      <c r="U871" s="7" t="s">
        <v>2634</v>
      </c>
    </row>
    <row r="872" spans="5:21">
      <c r="E872" s="5"/>
      <c r="F872" s="1"/>
      <c r="G872" s="1"/>
      <c r="H872" s="1"/>
      <c r="I872" s="5"/>
      <c r="J872" s="6"/>
      <c r="K872" s="5"/>
      <c r="O872" s="7" t="s">
        <v>195</v>
      </c>
      <c r="P872" s="7" t="s">
        <v>196</v>
      </c>
      <c r="Q872" s="7" t="s">
        <v>2637</v>
      </c>
      <c r="R872" s="7" t="s">
        <v>11</v>
      </c>
      <c r="S872" s="7" t="s">
        <v>2638</v>
      </c>
      <c r="T872" s="7" t="s">
        <v>2639</v>
      </c>
      <c r="U872" s="7" t="s">
        <v>2637</v>
      </c>
    </row>
    <row r="873" spans="5:21">
      <c r="E873" s="5"/>
      <c r="F873" s="1"/>
      <c r="G873" s="1"/>
      <c r="H873" s="1"/>
      <c r="I873" s="5"/>
      <c r="J873" s="27"/>
      <c r="K873" s="5"/>
      <c r="O873" s="7" t="s">
        <v>8</v>
      </c>
      <c r="P873" s="7" t="s">
        <v>9</v>
      </c>
      <c r="Q873" s="7" t="s">
        <v>2640</v>
      </c>
      <c r="R873" s="7" t="s">
        <v>11</v>
      </c>
      <c r="S873" s="7" t="s">
        <v>2641</v>
      </c>
      <c r="T873" s="7" t="s">
        <v>2642</v>
      </c>
      <c r="U873" s="7" t="s">
        <v>2640</v>
      </c>
    </row>
    <row r="874" spans="5:21">
      <c r="E874" s="5"/>
      <c r="F874" s="1"/>
      <c r="G874" s="1"/>
      <c r="H874" s="1"/>
      <c r="I874" s="5"/>
      <c r="J874" s="27"/>
      <c r="K874" s="5"/>
      <c r="O874" s="7" t="s">
        <v>28</v>
      </c>
      <c r="P874" s="7" t="s">
        <v>29</v>
      </c>
      <c r="Q874" s="7" t="s">
        <v>2643</v>
      </c>
      <c r="R874" s="7" t="s">
        <v>11</v>
      </c>
      <c r="S874" s="7" t="s">
        <v>2644</v>
      </c>
      <c r="T874" s="7" t="s">
        <v>2645</v>
      </c>
      <c r="U874" s="7" t="s">
        <v>2643</v>
      </c>
    </row>
    <row r="875" spans="5:21">
      <c r="E875" s="5"/>
      <c r="F875" s="1"/>
      <c r="G875" s="1"/>
      <c r="H875" s="1"/>
      <c r="I875" s="5"/>
      <c r="J875" s="27"/>
      <c r="K875" s="5"/>
      <c r="O875" s="7" t="s">
        <v>8</v>
      </c>
      <c r="P875" s="7" t="s">
        <v>9</v>
      </c>
      <c r="Q875" s="7" t="s">
        <v>2646</v>
      </c>
      <c r="R875" s="7" t="s">
        <v>11</v>
      </c>
      <c r="S875" s="7" t="s">
        <v>2647</v>
      </c>
      <c r="T875" s="7" t="s">
        <v>2648</v>
      </c>
      <c r="U875" s="7" t="s">
        <v>2646</v>
      </c>
    </row>
    <row r="876" spans="5:21">
      <c r="E876" s="5"/>
      <c r="F876" s="1"/>
      <c r="G876" s="1"/>
      <c r="H876" s="1"/>
      <c r="I876" s="5"/>
      <c r="J876" s="6"/>
      <c r="K876" s="5"/>
      <c r="O876" s="7" t="s">
        <v>28</v>
      </c>
      <c r="P876" s="7" t="s">
        <v>29</v>
      </c>
      <c r="Q876" s="7" t="s">
        <v>2649</v>
      </c>
      <c r="R876" s="7" t="s">
        <v>11</v>
      </c>
      <c r="S876" s="7" t="s">
        <v>2650</v>
      </c>
      <c r="T876" s="7" t="s">
        <v>2651</v>
      </c>
      <c r="U876" s="7" t="s">
        <v>2649</v>
      </c>
    </row>
    <row r="877" spans="5:21">
      <c r="E877" s="5"/>
      <c r="F877" s="1"/>
      <c r="G877" s="1"/>
      <c r="H877" s="1"/>
      <c r="I877" s="5"/>
      <c r="J877" s="27"/>
      <c r="K877" s="5"/>
      <c r="O877" s="7" t="s">
        <v>23</v>
      </c>
      <c r="P877" s="7" t="s">
        <v>24</v>
      </c>
      <c r="Q877" s="7" t="s">
        <v>2652</v>
      </c>
      <c r="R877" s="7" t="s">
        <v>11</v>
      </c>
      <c r="S877" s="7" t="s">
        <v>2653</v>
      </c>
      <c r="T877" s="7" t="s">
        <v>2654</v>
      </c>
      <c r="U877" s="7" t="s">
        <v>2652</v>
      </c>
    </row>
    <row r="878" spans="5:21">
      <c r="E878" s="5"/>
      <c r="F878" s="1"/>
      <c r="G878" s="1"/>
      <c r="H878" s="1"/>
      <c r="I878" s="5"/>
      <c r="J878" s="6"/>
      <c r="K878" s="5"/>
      <c r="O878" s="7" t="s">
        <v>8</v>
      </c>
      <c r="P878" s="7" t="s">
        <v>9</v>
      </c>
      <c r="Q878" s="7" t="s">
        <v>2655</v>
      </c>
      <c r="R878" s="7" t="s">
        <v>11</v>
      </c>
      <c r="S878" s="7" t="s">
        <v>2656</v>
      </c>
      <c r="T878" s="7" t="s">
        <v>2657</v>
      </c>
      <c r="U878" s="7" t="s">
        <v>2655</v>
      </c>
    </row>
    <row r="879" spans="5:21">
      <c r="E879" s="5"/>
      <c r="F879" s="1"/>
      <c r="G879" s="1"/>
      <c r="H879" s="1"/>
      <c r="I879" s="5"/>
      <c r="J879" s="27"/>
      <c r="K879" s="5"/>
      <c r="O879" s="7" t="s">
        <v>8</v>
      </c>
      <c r="P879" s="7" t="s">
        <v>9</v>
      </c>
      <c r="Q879" s="7" t="s">
        <v>2658</v>
      </c>
      <c r="R879" s="7" t="s">
        <v>11</v>
      </c>
      <c r="S879" s="7" t="s">
        <v>2659</v>
      </c>
      <c r="T879" s="7" t="s">
        <v>2660</v>
      </c>
      <c r="U879" s="7" t="s">
        <v>2658</v>
      </c>
    </row>
    <row r="880" spans="5:21">
      <c r="E880" s="5"/>
      <c r="F880" s="1"/>
      <c r="G880" s="1"/>
      <c r="H880" s="1"/>
      <c r="I880" s="5"/>
      <c r="J880" s="27"/>
      <c r="K880" s="5"/>
      <c r="O880" s="7" t="s">
        <v>8</v>
      </c>
      <c r="P880" s="7" t="s">
        <v>9</v>
      </c>
      <c r="Q880" s="7" t="s">
        <v>2661</v>
      </c>
      <c r="R880" s="7" t="s">
        <v>11</v>
      </c>
      <c r="S880" s="7" t="s">
        <v>2662</v>
      </c>
      <c r="T880" s="7" t="s">
        <v>2663</v>
      </c>
      <c r="U880" s="7" t="s">
        <v>2661</v>
      </c>
    </row>
    <row r="881" spans="5:21">
      <c r="E881" s="5"/>
      <c r="F881" s="1"/>
      <c r="G881" s="1"/>
      <c r="H881" s="1"/>
      <c r="I881" s="5"/>
      <c r="J881" s="27"/>
      <c r="K881" s="5"/>
      <c r="O881" s="7" t="s">
        <v>23</v>
      </c>
      <c r="P881" s="7" t="s">
        <v>24</v>
      </c>
      <c r="Q881" s="7" t="s">
        <v>2664</v>
      </c>
      <c r="R881" s="7" t="s">
        <v>11</v>
      </c>
      <c r="S881" s="7" t="s">
        <v>2665</v>
      </c>
      <c r="T881" s="7" t="s">
        <v>2666</v>
      </c>
      <c r="U881" s="7" t="s">
        <v>2664</v>
      </c>
    </row>
    <row r="882" spans="5:21">
      <c r="E882" s="5"/>
      <c r="F882" s="1"/>
      <c r="G882" s="1"/>
      <c r="H882" s="1"/>
      <c r="I882" s="5"/>
      <c r="J882" s="27"/>
      <c r="K882" s="5"/>
      <c r="O882" s="7" t="s">
        <v>8</v>
      </c>
      <c r="P882" s="7" t="s">
        <v>9</v>
      </c>
      <c r="Q882" s="7" t="s">
        <v>2667</v>
      </c>
      <c r="R882" s="7" t="s">
        <v>11</v>
      </c>
      <c r="S882" s="7" t="s">
        <v>2668</v>
      </c>
      <c r="T882" s="7" t="s">
        <v>2669</v>
      </c>
      <c r="U882" s="7" t="s">
        <v>2667</v>
      </c>
    </row>
    <row r="883" spans="5:21">
      <c r="E883" s="5"/>
      <c r="F883" s="1"/>
      <c r="G883" s="1"/>
      <c r="H883" s="1"/>
      <c r="I883" s="5"/>
      <c r="J883" s="6"/>
      <c r="K883" s="5"/>
      <c r="O883" s="7" t="s">
        <v>8</v>
      </c>
      <c r="P883" s="7" t="s">
        <v>9</v>
      </c>
      <c r="Q883" s="7" t="s">
        <v>2670</v>
      </c>
      <c r="R883" s="7" t="s">
        <v>11</v>
      </c>
      <c r="S883" s="7" t="s">
        <v>2671</v>
      </c>
      <c r="T883" s="7" t="s">
        <v>2672</v>
      </c>
      <c r="U883" s="7" t="s">
        <v>2670</v>
      </c>
    </row>
    <row r="884" spans="5:21">
      <c r="E884" s="5"/>
      <c r="F884" s="1"/>
      <c r="G884" s="1"/>
      <c r="H884" s="1"/>
      <c r="I884" s="5"/>
      <c r="J884" s="27"/>
      <c r="K884" s="5"/>
      <c r="O884" s="7" t="s">
        <v>58</v>
      </c>
      <c r="P884" s="7" t="s">
        <v>59</v>
      </c>
      <c r="Q884" s="7" t="s">
        <v>2673</v>
      </c>
      <c r="R884" s="7" t="s">
        <v>11</v>
      </c>
      <c r="S884" s="7" t="s">
        <v>2674</v>
      </c>
      <c r="T884" s="7" t="s">
        <v>2675</v>
      </c>
      <c r="U884" s="7" t="s">
        <v>2673</v>
      </c>
    </row>
    <row r="885" spans="5:21">
      <c r="E885" s="5"/>
      <c r="F885" s="1"/>
      <c r="G885" s="1"/>
      <c r="H885" s="5"/>
      <c r="I885" s="5"/>
      <c r="J885" s="27"/>
      <c r="K885" s="5"/>
      <c r="O885" s="7" t="s">
        <v>28</v>
      </c>
      <c r="P885" s="7" t="s">
        <v>29</v>
      </c>
      <c r="Q885" s="7" t="s">
        <v>2676</v>
      </c>
      <c r="R885" s="7" t="s">
        <v>11</v>
      </c>
      <c r="S885" s="7" t="s">
        <v>2677</v>
      </c>
      <c r="T885" s="7" t="s">
        <v>2678</v>
      </c>
      <c r="U885" s="7" t="s">
        <v>2676</v>
      </c>
    </row>
    <row r="886" spans="5:21">
      <c r="E886" s="1"/>
      <c r="F886" s="1"/>
      <c r="G886" s="1"/>
      <c r="H886" s="5"/>
      <c r="I886" s="5"/>
      <c r="J886" s="6"/>
      <c r="K886" s="5"/>
      <c r="O886" s="7" t="s">
        <v>28</v>
      </c>
      <c r="P886" s="7" t="s">
        <v>29</v>
      </c>
      <c r="Q886" s="7" t="s">
        <v>2679</v>
      </c>
      <c r="R886" s="7" t="s">
        <v>11</v>
      </c>
      <c r="S886" s="7" t="s">
        <v>2680</v>
      </c>
      <c r="T886" s="7" t="s">
        <v>2681</v>
      </c>
      <c r="U886" s="7" t="s">
        <v>2679</v>
      </c>
    </row>
    <row r="887" spans="5:21">
      <c r="E887" s="5"/>
      <c r="F887" s="1"/>
      <c r="G887" s="1"/>
      <c r="H887" s="5"/>
      <c r="I887" s="5"/>
      <c r="J887" s="6"/>
      <c r="K887" s="5"/>
      <c r="O887" s="7" t="s">
        <v>28</v>
      </c>
      <c r="P887" s="7" t="s">
        <v>29</v>
      </c>
      <c r="Q887" s="7" t="s">
        <v>2682</v>
      </c>
      <c r="R887" s="7" t="s">
        <v>11</v>
      </c>
      <c r="S887" s="7" t="s">
        <v>2683</v>
      </c>
      <c r="T887" s="7" t="s">
        <v>2684</v>
      </c>
      <c r="U887" s="7" t="s">
        <v>2682</v>
      </c>
    </row>
    <row r="888" spans="5:21">
      <c r="E888" s="5"/>
      <c r="F888" s="5"/>
      <c r="G888" s="5"/>
      <c r="H888" s="5"/>
      <c r="I888" s="5"/>
      <c r="J888" s="6"/>
      <c r="K888" s="5"/>
      <c r="O888" s="7" t="s">
        <v>195</v>
      </c>
      <c r="P888" s="7" t="s">
        <v>196</v>
      </c>
      <c r="Q888" s="7" t="s">
        <v>2685</v>
      </c>
      <c r="R888" s="7" t="s">
        <v>11</v>
      </c>
      <c r="S888" s="7" t="s">
        <v>2686</v>
      </c>
      <c r="T888" s="7" t="s">
        <v>2687</v>
      </c>
      <c r="U888" s="7" t="s">
        <v>2685</v>
      </c>
    </row>
    <row r="889" spans="5:21">
      <c r="E889" s="5"/>
      <c r="F889" s="5"/>
      <c r="G889" s="5"/>
      <c r="H889" s="5"/>
      <c r="I889" s="5"/>
      <c r="J889" s="6"/>
      <c r="K889" s="5"/>
      <c r="O889" s="7" t="s">
        <v>28</v>
      </c>
      <c r="P889" s="7" t="s">
        <v>29</v>
      </c>
      <c r="Q889" s="7" t="s">
        <v>2688</v>
      </c>
      <c r="R889" s="7" t="s">
        <v>11</v>
      </c>
      <c r="S889" s="7" t="s">
        <v>2689</v>
      </c>
      <c r="T889" s="7" t="s">
        <v>2690</v>
      </c>
      <c r="U889" s="7" t="s">
        <v>2688</v>
      </c>
    </row>
    <row r="890" spans="5:21">
      <c r="E890" s="5"/>
      <c r="F890" s="5"/>
      <c r="G890" s="5"/>
      <c r="H890" s="5"/>
      <c r="I890" s="5"/>
      <c r="J890" s="6"/>
      <c r="K890" s="5"/>
      <c r="O890" s="7" t="s">
        <v>8</v>
      </c>
      <c r="P890" s="7" t="s">
        <v>9</v>
      </c>
      <c r="Q890" s="7" t="s">
        <v>2691</v>
      </c>
      <c r="R890" s="7" t="s">
        <v>11</v>
      </c>
      <c r="S890" s="7" t="s">
        <v>2692</v>
      </c>
      <c r="T890" s="7" t="s">
        <v>2693</v>
      </c>
      <c r="U890" s="7" t="s">
        <v>2691</v>
      </c>
    </row>
    <row r="891" spans="5:21">
      <c r="E891" s="5"/>
      <c r="F891" s="5"/>
      <c r="G891" s="5"/>
      <c r="H891" s="5"/>
      <c r="I891" s="5"/>
      <c r="J891" s="6"/>
      <c r="K891" s="5"/>
      <c r="O891" s="7" t="s">
        <v>8</v>
      </c>
      <c r="P891" s="7" t="s">
        <v>9</v>
      </c>
      <c r="Q891" s="7" t="s">
        <v>2694</v>
      </c>
      <c r="R891" s="7" t="s">
        <v>11</v>
      </c>
      <c r="S891" s="7" t="s">
        <v>2695</v>
      </c>
      <c r="T891" s="7" t="s">
        <v>2696</v>
      </c>
      <c r="U891" s="7" t="s">
        <v>2694</v>
      </c>
    </row>
    <row r="892" spans="5:21">
      <c r="E892" s="5"/>
      <c r="F892" s="1"/>
      <c r="G892" s="1"/>
      <c r="H892" s="1"/>
      <c r="I892" s="5"/>
      <c r="J892" s="6"/>
      <c r="K892" s="5"/>
      <c r="O892" s="7" t="s">
        <v>28</v>
      </c>
      <c r="P892" s="7" t="s">
        <v>29</v>
      </c>
      <c r="Q892" s="7" t="s">
        <v>2697</v>
      </c>
      <c r="R892" s="7" t="s">
        <v>11</v>
      </c>
      <c r="S892" s="7" t="s">
        <v>2698</v>
      </c>
      <c r="T892" s="7" t="s">
        <v>2699</v>
      </c>
      <c r="U892" s="7" t="s">
        <v>2697</v>
      </c>
    </row>
    <row r="893" spans="5:21">
      <c r="E893" s="5"/>
      <c r="F893" s="1"/>
      <c r="G893" s="1"/>
      <c r="H893" s="1"/>
      <c r="I893" s="1"/>
      <c r="J893" s="27"/>
      <c r="K893" s="5"/>
      <c r="O893" s="7" t="s">
        <v>28</v>
      </c>
      <c r="P893" s="7" t="s">
        <v>29</v>
      </c>
      <c r="Q893" s="7" t="s">
        <v>2700</v>
      </c>
      <c r="R893" s="7" t="s">
        <v>11</v>
      </c>
      <c r="S893" s="7" t="s">
        <v>2701</v>
      </c>
      <c r="T893" s="7" t="s">
        <v>2702</v>
      </c>
      <c r="U893" s="7" t="s">
        <v>2700</v>
      </c>
    </row>
    <row r="894" spans="5:21">
      <c r="E894" s="5"/>
      <c r="F894" s="1"/>
      <c r="G894" s="1"/>
      <c r="H894" s="5"/>
      <c r="I894" s="1"/>
      <c r="J894" s="27"/>
      <c r="K894" s="5"/>
      <c r="O894" s="7" t="s">
        <v>251</v>
      </c>
      <c r="P894" s="7" t="s">
        <v>252</v>
      </c>
      <c r="Q894" s="7" t="s">
        <v>2703</v>
      </c>
      <c r="R894" s="7" t="s">
        <v>254</v>
      </c>
      <c r="S894" s="7" t="s">
        <v>2704</v>
      </c>
      <c r="T894" s="7" t="s">
        <v>2705</v>
      </c>
      <c r="U894" s="7" t="s">
        <v>2703</v>
      </c>
    </row>
    <row r="895" spans="5:21">
      <c r="E895" s="5"/>
      <c r="F895" s="1"/>
      <c r="G895" s="1"/>
      <c r="H895" s="5"/>
      <c r="I895" s="1"/>
      <c r="J895" s="27"/>
      <c r="K895" s="5"/>
      <c r="O895" s="7" t="s">
        <v>251</v>
      </c>
      <c r="P895" s="7" t="s">
        <v>252</v>
      </c>
      <c r="Q895" s="7" t="s">
        <v>2706</v>
      </c>
      <c r="R895" s="7" t="s">
        <v>254</v>
      </c>
      <c r="S895" s="7" t="s">
        <v>2707</v>
      </c>
      <c r="T895" s="7" t="s">
        <v>2708</v>
      </c>
      <c r="U895" s="7" t="s">
        <v>2706</v>
      </c>
    </row>
    <row r="896" spans="5:21">
      <c r="E896" s="5"/>
      <c r="F896" s="1"/>
      <c r="G896" s="1"/>
      <c r="H896" s="5"/>
      <c r="I896" s="1"/>
      <c r="J896" s="27"/>
      <c r="K896" s="5"/>
      <c r="O896" s="7" t="s">
        <v>251</v>
      </c>
      <c r="P896" s="7" t="s">
        <v>252</v>
      </c>
      <c r="Q896" s="7" t="s">
        <v>2709</v>
      </c>
      <c r="R896" s="7" t="s">
        <v>254</v>
      </c>
      <c r="S896" s="7" t="s">
        <v>2710</v>
      </c>
      <c r="T896" s="7" t="s">
        <v>2711</v>
      </c>
      <c r="U896" s="7" t="s">
        <v>2709</v>
      </c>
    </row>
    <row r="897" spans="5:21">
      <c r="E897" s="5"/>
      <c r="F897" s="26"/>
      <c r="G897" s="26"/>
      <c r="H897" s="12"/>
      <c r="I897" s="5"/>
      <c r="J897" s="6"/>
      <c r="K897" s="5"/>
      <c r="O897" s="7" t="s">
        <v>14</v>
      </c>
      <c r="P897" s="7" t="s">
        <v>15</v>
      </c>
      <c r="Q897" s="7" t="s">
        <v>2712</v>
      </c>
      <c r="R897" s="7" t="s">
        <v>17</v>
      </c>
      <c r="S897" s="7" t="s">
        <v>2713</v>
      </c>
      <c r="T897" s="7" t="s">
        <v>2714</v>
      </c>
      <c r="U897" s="7" t="s">
        <v>2712</v>
      </c>
    </row>
    <row r="898" spans="5:21">
      <c r="E898" s="5"/>
      <c r="F898" s="26"/>
      <c r="G898" s="26"/>
      <c r="H898" s="12"/>
      <c r="I898" s="5"/>
      <c r="J898" s="6"/>
      <c r="K898" s="5"/>
      <c r="O898" s="7" t="s">
        <v>33</v>
      </c>
      <c r="P898" s="7" t="s">
        <v>34</v>
      </c>
      <c r="Q898" s="7" t="s">
        <v>2715</v>
      </c>
      <c r="R898" s="7" t="s">
        <v>11</v>
      </c>
      <c r="S898" s="7" t="s">
        <v>2716</v>
      </c>
      <c r="T898" s="7" t="s">
        <v>2717</v>
      </c>
      <c r="U898" s="7" t="s">
        <v>2715</v>
      </c>
    </row>
    <row r="899" spans="5:21">
      <c r="E899" s="5"/>
      <c r="F899" s="28"/>
      <c r="G899" s="28"/>
      <c r="H899" s="12"/>
      <c r="I899" s="1"/>
      <c r="J899" s="27"/>
      <c r="K899" s="5"/>
      <c r="O899" s="7" t="s">
        <v>47</v>
      </c>
      <c r="P899" s="7" t="s">
        <v>48</v>
      </c>
      <c r="Q899" s="7" t="s">
        <v>2718</v>
      </c>
      <c r="R899" s="7" t="s">
        <v>17</v>
      </c>
      <c r="S899" s="7" t="s">
        <v>2719</v>
      </c>
      <c r="T899" s="7" t="s">
        <v>2720</v>
      </c>
      <c r="U899" s="7" t="s">
        <v>2718</v>
      </c>
    </row>
    <row r="900" spans="5:21">
      <c r="E900" s="5"/>
      <c r="F900" s="29"/>
      <c r="G900" s="29"/>
      <c r="H900" s="5"/>
      <c r="I900" s="1"/>
      <c r="J900" s="27"/>
      <c r="K900" s="5"/>
      <c r="O900" s="7" t="s">
        <v>8</v>
      </c>
      <c r="P900" s="7" t="s">
        <v>9</v>
      </c>
      <c r="Q900" s="7" t="s">
        <v>2721</v>
      </c>
      <c r="R900" s="7" t="s">
        <v>11</v>
      </c>
      <c r="S900" s="7" t="s">
        <v>2722</v>
      </c>
      <c r="T900" s="7" t="s">
        <v>2723</v>
      </c>
      <c r="U900" s="7" t="s">
        <v>2721</v>
      </c>
    </row>
    <row r="901" spans="5:21">
      <c r="F901" s="1"/>
      <c r="G901" s="1"/>
      <c r="H901" s="1"/>
      <c r="I901" s="1"/>
      <c r="J901" s="30"/>
      <c r="K901" s="31"/>
      <c r="O901" s="7" t="s">
        <v>47</v>
      </c>
      <c r="P901" s="7" t="s">
        <v>48</v>
      </c>
      <c r="Q901" s="7" t="s">
        <v>2724</v>
      </c>
      <c r="R901" s="7" t="s">
        <v>17</v>
      </c>
      <c r="S901" s="7" t="s">
        <v>2725</v>
      </c>
      <c r="T901" s="7" t="s">
        <v>2726</v>
      </c>
      <c r="U901" s="7" t="s">
        <v>2724</v>
      </c>
    </row>
    <row r="902" spans="5:21">
      <c r="E902" s="5"/>
      <c r="F902" s="1"/>
      <c r="G902" s="1"/>
      <c r="H902" s="1"/>
      <c r="I902" s="1"/>
      <c r="J902" s="30"/>
      <c r="K902" s="31"/>
      <c r="O902" s="7" t="s">
        <v>8</v>
      </c>
      <c r="P902" s="7" t="s">
        <v>9</v>
      </c>
      <c r="Q902" s="7" t="s">
        <v>2727</v>
      </c>
      <c r="R902" s="7" t="s">
        <v>11</v>
      </c>
      <c r="S902" s="7" t="s">
        <v>2728</v>
      </c>
      <c r="T902" s="7" t="s">
        <v>2729</v>
      </c>
      <c r="U902" s="7" t="s">
        <v>2727</v>
      </c>
    </row>
    <row r="903" spans="5:21">
      <c r="E903" s="5"/>
      <c r="F903" s="1"/>
      <c r="G903" s="1"/>
      <c r="H903" s="1"/>
      <c r="I903" s="1"/>
      <c r="J903" s="30"/>
      <c r="K903" s="31"/>
      <c r="O903" s="7" t="s">
        <v>8</v>
      </c>
      <c r="P903" s="7" t="s">
        <v>9</v>
      </c>
      <c r="Q903" s="7" t="s">
        <v>2730</v>
      </c>
      <c r="R903" s="7" t="s">
        <v>11</v>
      </c>
      <c r="S903" s="7" t="s">
        <v>2731</v>
      </c>
      <c r="T903" s="7" t="s">
        <v>2732</v>
      </c>
      <c r="U903" s="7" t="s">
        <v>2730</v>
      </c>
    </row>
    <row r="904" spans="5:21">
      <c r="J904" s="32"/>
      <c r="O904" s="7" t="s">
        <v>251</v>
      </c>
      <c r="P904" s="7" t="s">
        <v>252</v>
      </c>
      <c r="Q904" s="7" t="s">
        <v>2733</v>
      </c>
      <c r="R904" s="7" t="s">
        <v>254</v>
      </c>
      <c r="S904" s="7" t="s">
        <v>2734</v>
      </c>
      <c r="T904" s="7" t="s">
        <v>2735</v>
      </c>
      <c r="U904" s="7" t="s">
        <v>2733</v>
      </c>
    </row>
    <row r="905" spans="5:21">
      <c r="O905" s="7" t="s">
        <v>14</v>
      </c>
      <c r="P905" s="7" t="s">
        <v>15</v>
      </c>
      <c r="Q905" s="7" t="s">
        <v>2736</v>
      </c>
      <c r="R905" s="7" t="s">
        <v>17</v>
      </c>
      <c r="S905" s="7" t="s">
        <v>2737</v>
      </c>
      <c r="T905" s="7" t="s">
        <v>2738</v>
      </c>
      <c r="U905" s="7" t="s">
        <v>2736</v>
      </c>
    </row>
    <row r="906" spans="5:21">
      <c r="O906" s="7" t="s">
        <v>8</v>
      </c>
      <c r="P906" s="7" t="s">
        <v>9</v>
      </c>
      <c r="Q906" s="7" t="s">
        <v>2739</v>
      </c>
      <c r="R906" s="7" t="s">
        <v>11</v>
      </c>
      <c r="S906" s="7" t="s">
        <v>2740</v>
      </c>
      <c r="T906" s="7" t="s">
        <v>2741</v>
      </c>
      <c r="U906" s="7" t="s">
        <v>2739</v>
      </c>
    </row>
    <row r="907" spans="5:21">
      <c r="O907" s="7" t="s">
        <v>195</v>
      </c>
      <c r="P907" s="7" t="s">
        <v>196</v>
      </c>
      <c r="Q907" s="7" t="s">
        <v>2742</v>
      </c>
      <c r="R907" s="7" t="s">
        <v>11</v>
      </c>
      <c r="S907" s="7" t="s">
        <v>2743</v>
      </c>
      <c r="T907" s="7" t="s">
        <v>2744</v>
      </c>
      <c r="U907" s="7" t="s">
        <v>2742</v>
      </c>
    </row>
    <row r="908" spans="5:21">
      <c r="O908" s="7" t="s">
        <v>8</v>
      </c>
      <c r="P908" s="7" t="s">
        <v>9</v>
      </c>
      <c r="Q908" s="7" t="s">
        <v>2745</v>
      </c>
      <c r="R908" s="7" t="s">
        <v>11</v>
      </c>
      <c r="S908" s="7" t="s">
        <v>2746</v>
      </c>
      <c r="T908" s="7" t="s">
        <v>2747</v>
      </c>
      <c r="U908" s="7" t="s">
        <v>2745</v>
      </c>
    </row>
    <row r="909" spans="5:21">
      <c r="O909" s="7" t="s">
        <v>8</v>
      </c>
      <c r="P909" s="7" t="s">
        <v>9</v>
      </c>
      <c r="Q909" s="7" t="s">
        <v>2748</v>
      </c>
      <c r="R909" s="7" t="s">
        <v>11</v>
      </c>
      <c r="S909" s="7" t="s">
        <v>2749</v>
      </c>
      <c r="T909" s="7" t="s">
        <v>2750</v>
      </c>
      <c r="U909" s="7" t="s">
        <v>2748</v>
      </c>
    </row>
    <row r="910" spans="5:21">
      <c r="O910" s="7" t="s">
        <v>58</v>
      </c>
      <c r="P910" s="7" t="s">
        <v>59</v>
      </c>
      <c r="Q910" s="7" t="s">
        <v>2751</v>
      </c>
      <c r="R910" s="7" t="s">
        <v>11</v>
      </c>
      <c r="S910" s="7" t="s">
        <v>2752</v>
      </c>
      <c r="T910" s="7" t="s">
        <v>2753</v>
      </c>
      <c r="U910" s="7" t="s">
        <v>2751</v>
      </c>
    </row>
    <row r="911" spans="5:21">
      <c r="O911" s="7" t="s">
        <v>195</v>
      </c>
      <c r="P911" s="7" t="s">
        <v>196</v>
      </c>
      <c r="Q911" s="7" t="s">
        <v>2754</v>
      </c>
      <c r="R911" s="7" t="s">
        <v>11</v>
      </c>
      <c r="S911" s="7" t="s">
        <v>2755</v>
      </c>
      <c r="T911" s="7" t="s">
        <v>2756</v>
      </c>
      <c r="U911" s="7" t="s">
        <v>2754</v>
      </c>
    </row>
    <row r="912" spans="5:21">
      <c r="O912" s="7" t="s">
        <v>8</v>
      </c>
      <c r="P912" s="7" t="s">
        <v>9</v>
      </c>
      <c r="Q912" s="7" t="s">
        <v>2757</v>
      </c>
      <c r="R912" s="7" t="s">
        <v>11</v>
      </c>
      <c r="S912" s="7" t="s">
        <v>2758</v>
      </c>
      <c r="T912" s="7" t="s">
        <v>2759</v>
      </c>
      <c r="U912" s="7" t="s">
        <v>2757</v>
      </c>
    </row>
    <row r="913" spans="15:21">
      <c r="O913" s="7" t="s">
        <v>23</v>
      </c>
      <c r="P913" s="7" t="s">
        <v>24</v>
      </c>
      <c r="Q913" s="7" t="s">
        <v>2760</v>
      </c>
      <c r="R913" s="7" t="s">
        <v>11</v>
      </c>
      <c r="S913" s="7" t="s">
        <v>2761</v>
      </c>
      <c r="T913" s="7" t="s">
        <v>2762</v>
      </c>
      <c r="U913" s="7" t="s">
        <v>2760</v>
      </c>
    </row>
    <row r="914" spans="15:21">
      <c r="O914" s="7" t="s">
        <v>28</v>
      </c>
      <c r="P914" s="7" t="s">
        <v>29</v>
      </c>
      <c r="Q914" s="7" t="s">
        <v>2763</v>
      </c>
      <c r="R914" s="7" t="s">
        <v>11</v>
      </c>
      <c r="S914" s="7" t="s">
        <v>2764</v>
      </c>
      <c r="T914" s="7" t="s">
        <v>2765</v>
      </c>
      <c r="U914" s="7" t="s">
        <v>2763</v>
      </c>
    </row>
    <row r="915" spans="15:21">
      <c r="O915" s="7" t="s">
        <v>58</v>
      </c>
      <c r="P915" s="7" t="s">
        <v>59</v>
      </c>
      <c r="Q915" s="7" t="s">
        <v>2766</v>
      </c>
      <c r="R915" s="7" t="s">
        <v>11</v>
      </c>
      <c r="S915" s="7" t="s">
        <v>2767</v>
      </c>
      <c r="T915" s="7" t="s">
        <v>2768</v>
      </c>
      <c r="U915" s="7" t="s">
        <v>2766</v>
      </c>
    </row>
    <row r="916" spans="15:21">
      <c r="O916" s="7" t="s">
        <v>58</v>
      </c>
      <c r="P916" s="7" t="s">
        <v>59</v>
      </c>
      <c r="Q916" s="7" t="s">
        <v>2769</v>
      </c>
      <c r="R916" s="7" t="s">
        <v>11</v>
      </c>
      <c r="S916" s="7" t="s">
        <v>2770</v>
      </c>
      <c r="T916" s="7" t="s">
        <v>2771</v>
      </c>
      <c r="U916" s="7" t="s">
        <v>2769</v>
      </c>
    </row>
    <row r="917" spans="15:21">
      <c r="O917" s="7" t="s">
        <v>58</v>
      </c>
      <c r="P917" s="7" t="s">
        <v>59</v>
      </c>
      <c r="Q917" s="7" t="s">
        <v>2772</v>
      </c>
      <c r="R917" s="7" t="s">
        <v>11</v>
      </c>
      <c r="S917" s="7" t="s">
        <v>2773</v>
      </c>
      <c r="T917" s="7" t="s">
        <v>2774</v>
      </c>
      <c r="U917" s="7" t="s">
        <v>2772</v>
      </c>
    </row>
    <row r="918" spans="15:21">
      <c r="O918" s="7" t="s">
        <v>195</v>
      </c>
      <c r="P918" s="7" t="s">
        <v>196</v>
      </c>
      <c r="Q918" s="7" t="s">
        <v>2775</v>
      </c>
      <c r="R918" s="7" t="s">
        <v>11</v>
      </c>
      <c r="S918" s="7" t="s">
        <v>2776</v>
      </c>
      <c r="T918" s="7" t="s">
        <v>2777</v>
      </c>
      <c r="U918" s="7" t="s">
        <v>2775</v>
      </c>
    </row>
    <row r="919" spans="15:21">
      <c r="O919" s="7" t="s">
        <v>58</v>
      </c>
      <c r="P919" s="7" t="s">
        <v>59</v>
      </c>
      <c r="Q919" s="7" t="s">
        <v>2778</v>
      </c>
      <c r="R919" s="7" t="s">
        <v>11</v>
      </c>
      <c r="S919" s="7" t="s">
        <v>2779</v>
      </c>
      <c r="T919" s="7" t="s">
        <v>2780</v>
      </c>
      <c r="U919" s="7" t="s">
        <v>2778</v>
      </c>
    </row>
    <row r="920" spans="15:21">
      <c r="O920" s="7" t="s">
        <v>251</v>
      </c>
      <c r="P920" s="7" t="s">
        <v>252</v>
      </c>
      <c r="Q920" s="7" t="s">
        <v>2781</v>
      </c>
      <c r="R920" s="7" t="s">
        <v>254</v>
      </c>
      <c r="S920" s="7" t="s">
        <v>2782</v>
      </c>
      <c r="T920" s="7" t="s">
        <v>2783</v>
      </c>
      <c r="U920" s="7" t="s">
        <v>2781</v>
      </c>
    </row>
    <row r="921" spans="15:21">
      <c r="O921" s="33" t="s">
        <v>2784</v>
      </c>
      <c r="P921" s="33" t="s">
        <v>29</v>
      </c>
      <c r="Q921" s="33" t="s">
        <v>2785</v>
      </c>
      <c r="R921" s="33" t="s">
        <v>11</v>
      </c>
      <c r="S921" s="33" t="s">
        <v>234</v>
      </c>
      <c r="T921" s="33" t="s">
        <v>235</v>
      </c>
      <c r="U921" s="33" t="s">
        <v>2785</v>
      </c>
    </row>
    <row r="922" spans="15:21">
      <c r="O922" s="33" t="s">
        <v>58</v>
      </c>
      <c r="P922" s="33" t="s">
        <v>59</v>
      </c>
      <c r="Q922" s="33" t="s">
        <v>2786</v>
      </c>
      <c r="R922" s="33" t="s">
        <v>11</v>
      </c>
      <c r="S922" s="33" t="s">
        <v>2787</v>
      </c>
      <c r="T922" s="33" t="s">
        <v>2788</v>
      </c>
      <c r="U922" s="33" t="s">
        <v>2786</v>
      </c>
    </row>
    <row r="923" spans="15:21">
      <c r="O923" s="33" t="s">
        <v>8</v>
      </c>
      <c r="P923" s="33" t="s">
        <v>9</v>
      </c>
      <c r="Q923" s="33" t="s">
        <v>2789</v>
      </c>
      <c r="R923" s="33" t="s">
        <v>11</v>
      </c>
      <c r="S923" s="33" t="s">
        <v>2790</v>
      </c>
      <c r="T923" s="33" t="s">
        <v>2791</v>
      </c>
      <c r="U923" s="33" t="s">
        <v>2789</v>
      </c>
    </row>
    <row r="924" spans="15:21">
      <c r="O924" s="33" t="s">
        <v>2792</v>
      </c>
      <c r="P924" s="33" t="s">
        <v>29</v>
      </c>
      <c r="Q924" s="33" t="s">
        <v>2679</v>
      </c>
      <c r="R924" s="33" t="s">
        <v>11</v>
      </c>
      <c r="S924" s="33" t="s">
        <v>2793</v>
      </c>
      <c r="T924" s="33" t="s">
        <v>2794</v>
      </c>
      <c r="U924" s="33" t="s">
        <v>2679</v>
      </c>
    </row>
    <row r="925" spans="15:21">
      <c r="O925" s="33" t="s">
        <v>251</v>
      </c>
      <c r="P925" s="33" t="s">
        <v>252</v>
      </c>
      <c r="Q925" s="33" t="s">
        <v>2795</v>
      </c>
      <c r="R925" s="33" t="s">
        <v>254</v>
      </c>
      <c r="S925" s="33" t="s">
        <v>2796</v>
      </c>
      <c r="T925" s="33" t="s">
        <v>2797</v>
      </c>
      <c r="U925" s="33" t="s">
        <v>2795</v>
      </c>
    </row>
    <row r="926" spans="15:21">
      <c r="O926" s="33" t="s">
        <v>8</v>
      </c>
      <c r="P926" s="33" t="s">
        <v>9</v>
      </c>
      <c r="Q926" s="33" t="s">
        <v>2798</v>
      </c>
      <c r="R926" s="33" t="s">
        <v>11</v>
      </c>
      <c r="S926" s="33" t="s">
        <v>2799</v>
      </c>
      <c r="T926" s="33" t="s">
        <v>2800</v>
      </c>
      <c r="U926" s="33" t="s">
        <v>2798</v>
      </c>
    </row>
    <row r="927" spans="15:21">
      <c r="O927" s="33" t="s">
        <v>8</v>
      </c>
      <c r="P927" s="33" t="s">
        <v>9</v>
      </c>
      <c r="Q927" s="33" t="s">
        <v>2801</v>
      </c>
      <c r="R927" s="33" t="s">
        <v>11</v>
      </c>
      <c r="S927" s="33" t="s">
        <v>2802</v>
      </c>
      <c r="T927" s="33" t="s">
        <v>2803</v>
      </c>
      <c r="U927" s="33" t="s">
        <v>2801</v>
      </c>
    </row>
    <row r="928" spans="15:21">
      <c r="O928" s="33" t="s">
        <v>58</v>
      </c>
      <c r="P928" s="33" t="s">
        <v>59</v>
      </c>
      <c r="Q928" s="33" t="s">
        <v>2804</v>
      </c>
      <c r="R928" s="33" t="s">
        <v>11</v>
      </c>
      <c r="S928" s="33" t="s">
        <v>2805</v>
      </c>
      <c r="T928" s="33" t="s">
        <v>2806</v>
      </c>
      <c r="U928" s="33" t="s">
        <v>2804</v>
      </c>
    </row>
    <row r="929" spans="15:21">
      <c r="O929" s="33" t="s">
        <v>58</v>
      </c>
      <c r="P929" s="33" t="s">
        <v>59</v>
      </c>
      <c r="Q929" s="33" t="s">
        <v>2807</v>
      </c>
      <c r="R929" s="33" t="s">
        <v>11</v>
      </c>
      <c r="S929" s="33" t="s">
        <v>2808</v>
      </c>
      <c r="T929" s="33" t="s">
        <v>2809</v>
      </c>
      <c r="U929" s="33" t="s">
        <v>2807</v>
      </c>
    </row>
    <row r="930" spans="15:21">
      <c r="O930" s="33" t="s">
        <v>23</v>
      </c>
      <c r="P930" s="33" t="s">
        <v>24</v>
      </c>
      <c r="Q930" s="33" t="s">
        <v>2810</v>
      </c>
      <c r="R930" s="33" t="s">
        <v>17</v>
      </c>
      <c r="S930" s="33" t="s">
        <v>2811</v>
      </c>
      <c r="T930" s="33" t="s">
        <v>2812</v>
      </c>
      <c r="U930" s="33" t="s">
        <v>2810</v>
      </c>
    </row>
    <row r="931" spans="15:21">
      <c r="O931" s="33" t="s">
        <v>14</v>
      </c>
      <c r="P931" s="33" t="s">
        <v>15</v>
      </c>
      <c r="Q931" s="33" t="s">
        <v>2813</v>
      </c>
      <c r="R931" s="33" t="s">
        <v>17</v>
      </c>
      <c r="S931" s="33" t="s">
        <v>2814</v>
      </c>
      <c r="T931" s="33" t="s">
        <v>2815</v>
      </c>
      <c r="U931" s="33" t="s">
        <v>2813</v>
      </c>
    </row>
    <row r="932" spans="15:21">
      <c r="O932" s="1" t="s">
        <v>2784</v>
      </c>
      <c r="P932" s="1" t="s">
        <v>29</v>
      </c>
      <c r="Q932" s="1" t="s">
        <v>2816</v>
      </c>
      <c r="R932" s="1" t="s">
        <v>11</v>
      </c>
      <c r="S932" s="1" t="s">
        <v>2817</v>
      </c>
      <c r="T932" s="1" t="s">
        <v>2818</v>
      </c>
      <c r="U932" s="5" t="str">
        <f>Q932</f>
        <v>LRM259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503"/>
  <sheetViews>
    <sheetView topLeftCell="F1" workbookViewId="0"/>
  </sheetViews>
  <sheetFormatPr baseColWidth="10" defaultColWidth="12.6640625" defaultRowHeight="15" customHeight="1"/>
  <cols>
    <col min="1" max="1" width="28" hidden="1" customWidth="1"/>
    <col min="2" max="2" width="12.6640625" hidden="1"/>
    <col min="3" max="3" width="17" hidden="1" customWidth="1"/>
    <col min="4" max="4" width="33.1640625" hidden="1" customWidth="1"/>
    <col min="5" max="5" width="33.83203125" hidden="1" customWidth="1"/>
    <col min="6" max="6" width="17.33203125" customWidth="1"/>
    <col min="10" max="10" width="27.83203125" customWidth="1"/>
    <col min="11" max="11" width="33" customWidth="1"/>
  </cols>
  <sheetData>
    <row r="1" spans="1:27">
      <c r="A1" s="34"/>
      <c r="B1" s="35"/>
      <c r="C1" s="36"/>
      <c r="D1" s="36"/>
      <c r="E1" s="36"/>
      <c r="F1" s="37" t="s">
        <v>2819</v>
      </c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</row>
    <row r="2" spans="1:27">
      <c r="A2" s="34"/>
      <c r="B2" s="35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</row>
    <row r="3" spans="1:27">
      <c r="A3" s="34"/>
      <c r="B3" s="34"/>
      <c r="C3" s="38"/>
      <c r="D3" s="38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</row>
    <row r="4" spans="1:27">
      <c r="A4" s="34"/>
      <c r="B4" s="34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</row>
    <row r="5" spans="1:27">
      <c r="A5" s="34"/>
      <c r="B5" s="39"/>
      <c r="C5" s="40"/>
      <c r="D5" s="41"/>
      <c r="E5" s="40"/>
      <c r="F5" s="42" t="str">
        <f ca="1">IFERROR(__xludf.DUMMYFUNCTION("QUERY(IMPORTRANGE(""1vYjGeYY0Fv1uPTb97Gbjvlxd4khfYQOQJB5UlsSt3ZY/edit?gid=0#gid=0"",""CODORL!A:F""),""SELECT *"",2)"),"🟢 Introduce los datos en la fila 3 y pulsa el botón para generar el código ORL VISITADOR")</f>
        <v>🟢 Introduce los datos en la fila 3 y pulsa el botón para generar el código ORL VISITADOR</v>
      </c>
      <c r="G5" s="23" t="str">
        <f ca="1">IFERROR(__xludf.DUMMYFUNCTION("""COMPUTED_VALUE""")," INICIALES")</f>
        <v xml:space="preserve"> INICIALES</v>
      </c>
      <c r="H5" s="40" t="str">
        <f ca="1">IFERROR(__xludf.DUMMYFUNCTION("""COMPUTED_VALUE""")," CODORL")</f>
        <v xml:space="preserve"> CODORL</v>
      </c>
      <c r="I5" s="40" t="str">
        <f ca="1">IFERROR(__xludf.DUMMYFUNCTION("""COMPUTED_VALUE""")," TIPO")</f>
        <v xml:space="preserve"> TIPO</v>
      </c>
      <c r="J5" s="40" t="str">
        <f ca="1">IFERROR(__xludf.DUMMYFUNCTION("""COMPUTED_VALUE""")," NOMBRE ORL")</f>
        <v xml:space="preserve"> NOMBRE ORL</v>
      </c>
      <c r="K5" s="23" t="str">
        <f ca="1">IFERROR(__xludf.DUMMYFUNCTION("""COMPUTED_VALUE""")," OBSERVACIONES")</f>
        <v xml:space="preserve"> OBSERVACIONES</v>
      </c>
      <c r="L5" s="40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</row>
    <row r="6" spans="1:27">
      <c r="A6" s="40"/>
      <c r="B6" s="36"/>
      <c r="C6" s="40"/>
      <c r="D6" s="41"/>
      <c r="E6" s="23"/>
      <c r="F6" s="23"/>
      <c r="G6" s="40"/>
      <c r="H6" s="40"/>
      <c r="I6" s="40"/>
      <c r="J6" s="40"/>
      <c r="K6" s="40"/>
      <c r="L6" s="40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 spans="1:27">
      <c r="A7" s="40"/>
      <c r="B7" s="36"/>
      <c r="C7" s="40"/>
      <c r="D7" s="41"/>
      <c r="E7" s="23"/>
      <c r="F7" s="40" t="str">
        <f ca="1">IFERROR(__xludf.DUMMYFUNCTION("""COMPUTED_VALUE"""),"Luis Alberto Rodríguez")</f>
        <v>Luis Alberto Rodríguez</v>
      </c>
      <c r="G7" s="40" t="str">
        <f ca="1">IFERROR(__xludf.DUMMYFUNCTION("""COMPUTED_VALUE"""),"LAA")</f>
        <v>LAA</v>
      </c>
      <c r="H7" s="40" t="str">
        <f ca="1">IFERROR(__xludf.DUMMYFUNCTION("""COMPUTED_VALUE"""),"LAA91")</f>
        <v>LAA91</v>
      </c>
      <c r="I7" s="40" t="str">
        <f ca="1">IFERROR(__xludf.DUMMYFUNCTION("""COMPUTED_VALUE"""),"C")</f>
        <v>C</v>
      </c>
      <c r="J7" s="23" t="str">
        <f ca="1">IFERROR(__xludf.DUMMYFUNCTION("""COMPUTED_VALUE"""),"Julio César Ariza Lizcano")</f>
        <v>Julio César Ariza Lizcano</v>
      </c>
      <c r="K7" s="23"/>
      <c r="L7" s="40" t="str">
        <f t="shared" ref="L7:L261" ca="1" si="0">H7</f>
        <v>LAA91</v>
      </c>
      <c r="M7" s="36" t="str">
        <f t="shared" ref="M7:M261" ca="1" si="1">G7</f>
        <v>LAA</v>
      </c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</row>
    <row r="8" spans="1:27">
      <c r="A8" s="40"/>
      <c r="B8" s="36"/>
      <c r="C8" s="40"/>
      <c r="D8" s="41"/>
      <c r="E8" s="23"/>
      <c r="F8" s="40" t="str">
        <f ca="1">IFERROR(__xludf.DUMMYFUNCTION("""COMPUTED_VALUE"""),"Lisandro Russian")</f>
        <v>Lisandro Russian</v>
      </c>
      <c r="G8" s="40" t="str">
        <f ca="1">IFERROR(__xludf.DUMMYFUNCTION("""COMPUTED_VALUE"""),"LRM")</f>
        <v>LRM</v>
      </c>
      <c r="H8" s="40" t="str">
        <f ca="1">IFERROR(__xludf.DUMMYFUNCTION("""COMPUTED_VALUE"""),"LRM274")</f>
        <v>LRM274</v>
      </c>
      <c r="I8" s="40" t="str">
        <f ca="1">IFERROR(__xludf.DUMMYFUNCTION("""COMPUTED_VALUE"""),"A")</f>
        <v>A</v>
      </c>
      <c r="J8" s="40" t="str">
        <f ca="1">IFERROR(__xludf.DUMMYFUNCTION("""COMPUTED_VALUE"""),"Ane Díez Fernández")</f>
        <v>Ane Díez Fernández</v>
      </c>
      <c r="K8" s="40"/>
      <c r="L8" s="40" t="str">
        <f t="shared" ca="1" si="0"/>
        <v>LRM274</v>
      </c>
      <c r="M8" s="36" t="str">
        <f t="shared" ca="1" si="1"/>
        <v>LRM</v>
      </c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</row>
    <row r="9" spans="1:27">
      <c r="A9" s="40"/>
      <c r="B9" s="36"/>
      <c r="C9" s="40"/>
      <c r="D9" s="41"/>
      <c r="E9" s="23"/>
      <c r="F9" s="40" t="str">
        <f ca="1">IFERROR(__xludf.DUMMYFUNCTION("""COMPUTED_VALUE"""),"Maika Blázquez")</f>
        <v>Maika Blázquez</v>
      </c>
      <c r="G9" s="40" t="str">
        <f ca="1">IFERROR(__xludf.DUMMYFUNCTION("""COMPUTED_VALUE"""),"MBM")</f>
        <v>MBM</v>
      </c>
      <c r="H9" s="40" t="str">
        <f ca="1">IFERROR(__xludf.DUMMYFUNCTION("""COMPUTED_VALUE"""),"MBM235")</f>
        <v>MBM235</v>
      </c>
      <c r="I9" s="40" t="str">
        <f ca="1">IFERROR(__xludf.DUMMYFUNCTION("""COMPUTED_VALUE"""),"A")</f>
        <v>A</v>
      </c>
      <c r="J9" s="40" t="str">
        <f ca="1">IFERROR(__xludf.DUMMYFUNCTION("""COMPUTED_VALUE"""),"Andrés Bejarano Bueno")</f>
        <v>Andrés Bejarano Bueno</v>
      </c>
      <c r="K9" s="40"/>
      <c r="L9" s="40" t="str">
        <f t="shared" ca="1" si="0"/>
        <v>MBM235</v>
      </c>
      <c r="M9" s="36" t="str">
        <f t="shared" ca="1" si="1"/>
        <v>MBM</v>
      </c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</row>
    <row r="10" spans="1:27">
      <c r="A10" s="40"/>
      <c r="B10" s="36"/>
      <c r="C10" s="40"/>
      <c r="D10" s="41"/>
      <c r="E10" s="23"/>
      <c r="F10" s="40" t="str">
        <f ca="1">IFERROR(__xludf.DUMMYFUNCTION("""COMPUTED_VALUE"""),"Iván Sánchez")</f>
        <v>Iván Sánchez</v>
      </c>
      <c r="G10" s="40" t="str">
        <f ca="1">IFERROR(__xludf.DUMMYFUNCTION("""COMPUTED_VALUE"""),"ISL")</f>
        <v>ISL</v>
      </c>
      <c r="H10" s="40" t="str">
        <f ca="1">IFERROR(__xludf.DUMMYFUNCTION("""COMPUTED_VALUE"""),"ISL155")</f>
        <v>ISL155</v>
      </c>
      <c r="I10" s="40" t="str">
        <f ca="1">IFERROR(__xludf.DUMMYFUNCTION("""COMPUTED_VALUE"""),"B")</f>
        <v>B</v>
      </c>
      <c r="J10" s="40" t="str">
        <f ca="1">IFERROR(__xludf.DUMMYFUNCTION("""COMPUTED_VALUE"""),"Andreina Betancourt Martínez")</f>
        <v>Andreina Betancourt Martínez</v>
      </c>
      <c r="K10" s="40"/>
      <c r="L10" s="40" t="str">
        <f t="shared" ca="1" si="0"/>
        <v>ISL155</v>
      </c>
      <c r="M10" s="36" t="str">
        <f t="shared" ca="1" si="1"/>
        <v>ISL</v>
      </c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</row>
    <row r="11" spans="1:27">
      <c r="A11" s="40"/>
      <c r="B11" s="36"/>
      <c r="C11" s="40"/>
      <c r="D11" s="41"/>
      <c r="E11" s="23"/>
      <c r="F11" s="40" t="str">
        <f ca="1">IFERROR(__xludf.DUMMYFUNCTION("""COMPUTED_VALUE"""),"Maika Blázquez")</f>
        <v>Maika Blázquez</v>
      </c>
      <c r="G11" s="40" t="str">
        <f ca="1">IFERROR(__xludf.DUMMYFUNCTION("""COMPUTED_VALUE"""),"MBM")</f>
        <v>MBM</v>
      </c>
      <c r="H11" s="40" t="str">
        <f ca="1">IFERROR(__xludf.DUMMYFUNCTION("""COMPUTED_VALUE"""),"MBM234")</f>
        <v>MBM234</v>
      </c>
      <c r="I11" s="40" t="str">
        <f ca="1">IFERROR(__xludf.DUMMYFUNCTION("""COMPUTED_VALUE"""),"A")</f>
        <v>A</v>
      </c>
      <c r="J11" s="40" t="str">
        <f ca="1">IFERROR(__xludf.DUMMYFUNCTION("""COMPUTED_VALUE"""),"Andrea López")</f>
        <v>Andrea López</v>
      </c>
      <c r="K11" s="40"/>
      <c r="L11" s="40" t="str">
        <f t="shared" ca="1" si="0"/>
        <v>MBM234</v>
      </c>
      <c r="M11" s="36" t="str">
        <f t="shared" ca="1" si="1"/>
        <v>MBM</v>
      </c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</row>
    <row r="12" spans="1:27">
      <c r="A12" s="40"/>
      <c r="B12" s="36"/>
      <c r="C12" s="40"/>
      <c r="D12" s="41"/>
      <c r="E12" s="23"/>
      <c r="F12" s="40" t="str">
        <f ca="1">IFERROR(__xludf.DUMMYFUNCTION("""COMPUTED_VALUE"""),"Maika Blázquez")</f>
        <v>Maika Blázquez</v>
      </c>
      <c r="G12" s="40" t="str">
        <f ca="1">IFERROR(__xludf.DUMMYFUNCTION("""COMPUTED_VALUE"""),"MBM")</f>
        <v>MBM</v>
      </c>
      <c r="H12" s="40" t="str">
        <f ca="1">IFERROR(__xludf.DUMMYFUNCTION("""COMPUTED_VALUE"""),"MBM233")</f>
        <v>MBM233</v>
      </c>
      <c r="I12" s="40" t="str">
        <f ca="1">IFERROR(__xludf.DUMMYFUNCTION("""COMPUTED_VALUE"""),"A")</f>
        <v>A</v>
      </c>
      <c r="J12" s="40" t="str">
        <f ca="1">IFERROR(__xludf.DUMMYFUNCTION("""COMPUTED_VALUE"""),"Ana Clemente Arias")</f>
        <v>Ana Clemente Arias</v>
      </c>
      <c r="K12" s="40"/>
      <c r="L12" s="40" t="str">
        <f t="shared" ca="1" si="0"/>
        <v>MBM233</v>
      </c>
      <c r="M12" s="36" t="str">
        <f t="shared" ca="1" si="1"/>
        <v>MBM</v>
      </c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</row>
    <row r="13" spans="1:27">
      <c r="A13" s="40"/>
      <c r="B13" s="36"/>
      <c r="C13" s="40"/>
      <c r="D13" s="41"/>
      <c r="E13" s="23"/>
      <c r="F13" s="40" t="str">
        <f ca="1">IFERROR(__xludf.DUMMYFUNCTION("""COMPUTED_VALUE"""),"Luis Alberto Rodríguez")</f>
        <v>Luis Alberto Rodríguez</v>
      </c>
      <c r="G13" s="40" t="str">
        <f ca="1">IFERROR(__xludf.DUMMYFUNCTION("""COMPUTED_VALUE"""),"LAA")</f>
        <v>LAA</v>
      </c>
      <c r="H13" s="40" t="str">
        <f ca="1">IFERROR(__xludf.DUMMYFUNCTION("""COMPUTED_VALUE"""),"LAA90")</f>
        <v>LAA90</v>
      </c>
      <c r="I13" s="40" t="str">
        <f ca="1">IFERROR(__xludf.DUMMYFUNCTION("""COMPUTED_VALUE"""),"C")</f>
        <v>C</v>
      </c>
      <c r="J13" s="40" t="str">
        <f ca="1">IFERROR(__xludf.DUMMYFUNCTION("""COMPUTED_VALUE"""),"Amparo Postigo Madueño")</f>
        <v>Amparo Postigo Madueño</v>
      </c>
      <c r="K13" s="40"/>
      <c r="L13" s="40" t="str">
        <f t="shared" ca="1" si="0"/>
        <v>LAA90</v>
      </c>
      <c r="M13" s="36" t="str">
        <f t="shared" ca="1" si="1"/>
        <v>LAA</v>
      </c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</row>
    <row r="14" spans="1:27">
      <c r="A14" s="40"/>
      <c r="B14" s="36"/>
      <c r="C14" s="40"/>
      <c r="D14" s="41"/>
      <c r="E14" s="23"/>
      <c r="F14" s="40" t="str">
        <f ca="1">IFERROR(__xludf.DUMMYFUNCTION("""COMPUTED_VALUE"""),"Maika Blázquez")</f>
        <v>Maika Blázquez</v>
      </c>
      <c r="G14" s="40" t="str">
        <f ca="1">IFERROR(__xludf.DUMMYFUNCTION("""COMPUTED_VALUE"""),"MBM")</f>
        <v>MBM</v>
      </c>
      <c r="H14" s="40" t="str">
        <f ca="1">IFERROR(__xludf.DUMMYFUNCTION("""COMPUTED_VALUE"""),"MBM232")</f>
        <v>MBM232</v>
      </c>
      <c r="I14" s="40" t="str">
        <f ca="1">IFERROR(__xludf.DUMMYFUNCTION("""COMPUTED_VALUE"""),"A")</f>
        <v>A</v>
      </c>
      <c r="J14" s="40" t="str">
        <f ca="1">IFERROR(__xludf.DUMMYFUNCTION("""COMPUTED_VALUE"""),"Ali Ibrahim Farhat")</f>
        <v>Ali Ibrahim Farhat</v>
      </c>
      <c r="K14" s="40"/>
      <c r="L14" s="40" t="str">
        <f t="shared" ca="1" si="0"/>
        <v>MBM232</v>
      </c>
      <c r="M14" s="36" t="str">
        <f t="shared" ca="1" si="1"/>
        <v>MBM</v>
      </c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</row>
    <row r="15" spans="1:27">
      <c r="A15" s="40"/>
      <c r="B15" s="36"/>
      <c r="C15" s="40"/>
      <c r="D15" s="41"/>
      <c r="E15" s="23"/>
      <c r="F15" s="40" t="str">
        <f ca="1">IFERROR(__xludf.DUMMYFUNCTION("""COMPUTED_VALUE"""),"Maika Blázquez")</f>
        <v>Maika Blázquez</v>
      </c>
      <c r="G15" s="40" t="str">
        <f ca="1">IFERROR(__xludf.DUMMYFUNCTION("""COMPUTED_VALUE"""),"MBM")</f>
        <v>MBM</v>
      </c>
      <c r="H15" s="40" t="str">
        <f ca="1">IFERROR(__xludf.DUMMYFUNCTION("""COMPUTED_VALUE"""),"MBM231")</f>
        <v>MBM231</v>
      </c>
      <c r="I15" s="40" t="str">
        <f ca="1">IFERROR(__xludf.DUMMYFUNCTION("""COMPUTED_VALUE"""),"A")</f>
        <v>A</v>
      </c>
      <c r="J15" s="40" t="str">
        <f ca="1">IFERROR(__xludf.DUMMYFUNCTION("""COMPUTED_VALUE"""),"Itziar Jimenez Gomez")</f>
        <v>Itziar Jimenez Gomez</v>
      </c>
      <c r="K15" s="40"/>
      <c r="L15" s="40" t="str">
        <f t="shared" ca="1" si="0"/>
        <v>MBM231</v>
      </c>
      <c r="M15" s="36" t="str">
        <f t="shared" ca="1" si="1"/>
        <v>MBM</v>
      </c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</row>
    <row r="16" spans="1:27">
      <c r="A16" s="40"/>
      <c r="B16" s="36"/>
      <c r="C16" s="40"/>
      <c r="D16" s="41"/>
      <c r="E16" s="23"/>
      <c r="F16" s="40" t="str">
        <f ca="1">IFERROR(__xludf.DUMMYFUNCTION("""COMPUTED_VALUE"""),"Iván Sánchez")</f>
        <v>Iván Sánchez</v>
      </c>
      <c r="G16" s="40" t="str">
        <f ca="1">IFERROR(__xludf.DUMMYFUNCTION("""COMPUTED_VALUE"""),"ISL")</f>
        <v>ISL</v>
      </c>
      <c r="H16" s="40" t="str">
        <f ca="1">IFERROR(__xludf.DUMMYFUNCTION("""COMPUTED_VALUE"""),"ISL154")</f>
        <v>ISL154</v>
      </c>
      <c r="I16" s="40" t="str">
        <f ca="1">IFERROR(__xludf.DUMMYFUNCTION("""COMPUTED_VALUE"""),"B")</f>
        <v>B</v>
      </c>
      <c r="J16" s="40" t="str">
        <f ca="1">IFERROR(__xludf.DUMMYFUNCTION("""COMPUTED_VALUE"""),"Alfonso Rodríguez Fabio")</f>
        <v>Alfonso Rodríguez Fabio</v>
      </c>
      <c r="K16" s="40"/>
      <c r="L16" s="40" t="str">
        <f t="shared" ca="1" si="0"/>
        <v>ISL154</v>
      </c>
      <c r="M16" s="36" t="str">
        <f t="shared" ca="1" si="1"/>
        <v>ISL</v>
      </c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</row>
    <row r="17" spans="1:27">
      <c r="A17" s="40"/>
      <c r="B17" s="36"/>
      <c r="C17" s="40"/>
      <c r="D17" s="41"/>
      <c r="E17" s="23"/>
      <c r="F17" s="40" t="str">
        <f ca="1">IFERROR(__xludf.DUMMYFUNCTION("""COMPUTED_VALUE"""),"Iván Sánchez")</f>
        <v>Iván Sánchez</v>
      </c>
      <c r="G17" s="40" t="str">
        <f ca="1">IFERROR(__xludf.DUMMYFUNCTION("""COMPUTED_VALUE"""),"ISL")</f>
        <v>ISL</v>
      </c>
      <c r="H17" s="40" t="str">
        <f ca="1">IFERROR(__xludf.DUMMYFUNCTION("""COMPUTED_VALUE"""),"ISL153")</f>
        <v>ISL153</v>
      </c>
      <c r="I17" s="40" t="str">
        <f ca="1">IFERROR(__xludf.DUMMYFUNCTION("""COMPUTED_VALUE"""),"B")</f>
        <v>B</v>
      </c>
      <c r="J17" s="40" t="str">
        <f ca="1">IFERROR(__xludf.DUMMYFUNCTION("""COMPUTED_VALUE"""),"Alejandra Arellano Bárcenas")</f>
        <v>Alejandra Arellano Bárcenas</v>
      </c>
      <c r="K17" s="40"/>
      <c r="L17" s="40" t="str">
        <f t="shared" ca="1" si="0"/>
        <v>ISL153</v>
      </c>
      <c r="M17" s="36" t="str">
        <f t="shared" ca="1" si="1"/>
        <v>ISL</v>
      </c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</row>
    <row r="18" spans="1:27">
      <c r="A18" s="40"/>
      <c r="B18" s="36"/>
      <c r="C18" s="40"/>
      <c r="D18" s="41"/>
      <c r="E18" s="23"/>
      <c r="F18" s="40" t="str">
        <f ca="1">IFERROR(__xludf.DUMMYFUNCTION("""COMPUTED_VALUE"""),"Lisandro Russian")</f>
        <v>Lisandro Russian</v>
      </c>
      <c r="G18" s="40" t="str">
        <f ca="1">IFERROR(__xludf.DUMMYFUNCTION("""COMPUTED_VALUE"""),"LRM")</f>
        <v>LRM</v>
      </c>
      <c r="H18" s="40" t="str">
        <f ca="1">IFERROR(__xludf.DUMMYFUNCTION("""COMPUTED_VALUE"""),"LRM273")</f>
        <v>LRM273</v>
      </c>
      <c r="I18" s="40" t="str">
        <f ca="1">IFERROR(__xludf.DUMMYFUNCTION("""COMPUTED_VALUE"""),"A")</f>
        <v>A</v>
      </c>
      <c r="J18" s="40" t="str">
        <f ca="1">IFERROR(__xludf.DUMMYFUNCTION("""COMPUTED_VALUE"""),"Ainhoa Leceta Sáez de Cámara")</f>
        <v>Ainhoa Leceta Sáez de Cámara</v>
      </c>
      <c r="K18" s="40"/>
      <c r="L18" s="40" t="str">
        <f t="shared" ca="1" si="0"/>
        <v>LRM273</v>
      </c>
      <c r="M18" s="36" t="str">
        <f t="shared" ca="1" si="1"/>
        <v>LRM</v>
      </c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</row>
    <row r="19" spans="1:27">
      <c r="A19" s="40"/>
      <c r="B19" s="36"/>
      <c r="C19" s="40"/>
      <c r="D19" s="41"/>
      <c r="E19" s="23"/>
      <c r="F19" s="40" t="str">
        <f ca="1">IFERROR(__xludf.DUMMYFUNCTION("""COMPUTED_VALUE"""),"Luis Alberto Rodríguez")</f>
        <v>Luis Alberto Rodríguez</v>
      </c>
      <c r="G19" s="40" t="str">
        <f ca="1">IFERROR(__xludf.DUMMYFUNCTION("""COMPUTED_VALUE"""),"LAA")</f>
        <v>LAA</v>
      </c>
      <c r="H19" s="40" t="str">
        <f ca="1">IFERROR(__xludf.DUMMYFUNCTION("""COMPUTED_VALUE"""),"LAA89")</f>
        <v>LAA89</v>
      </c>
      <c r="I19" s="40" t="str">
        <f ca="1">IFERROR(__xludf.DUMMYFUNCTION("""COMPUTED_VALUE"""),"C")</f>
        <v>C</v>
      </c>
      <c r="J19" s="40" t="str">
        <f ca="1">IFERROR(__xludf.DUMMYFUNCTION("""COMPUTED_VALUE"""),"Agustín Alcalá Fernández")</f>
        <v>Agustín Alcalá Fernández</v>
      </c>
      <c r="K19" s="40"/>
      <c r="L19" s="40" t="str">
        <f t="shared" ca="1" si="0"/>
        <v>LAA89</v>
      </c>
      <c r="M19" s="36" t="str">
        <f t="shared" ca="1" si="1"/>
        <v>LAA</v>
      </c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</row>
    <row r="20" spans="1:27">
      <c r="A20" s="40"/>
      <c r="B20" s="36"/>
      <c r="C20" s="40"/>
      <c r="D20" s="41"/>
      <c r="E20" s="23"/>
      <c r="F20" s="40" t="str">
        <f ca="1">IFERROR(__xludf.DUMMYFUNCTION("""COMPUTED_VALUE"""),"Maika Blázquez")</f>
        <v>Maika Blázquez</v>
      </c>
      <c r="G20" s="40" t="str">
        <f ca="1">IFERROR(__xludf.DUMMYFUNCTION("""COMPUTED_VALUE"""),"MBM")</f>
        <v>MBM</v>
      </c>
      <c r="H20" s="40" t="str">
        <f ca="1">IFERROR(__xludf.DUMMYFUNCTION("""COMPUTED_VALUE"""),"MBM187")</f>
        <v>MBM187</v>
      </c>
      <c r="I20" s="40" t="str">
        <f ca="1">IFERROR(__xludf.DUMMYFUNCTION("""COMPUTED_VALUE"""),"A")</f>
        <v>A</v>
      </c>
      <c r="J20" s="40" t="str">
        <f ca="1">IFERROR(__xludf.DUMMYFUNCTION("""COMPUTED_VALUE"""),"Abel Bogoya Castaño")</f>
        <v>Abel Bogoya Castaño</v>
      </c>
      <c r="K20" s="40"/>
      <c r="L20" s="40" t="str">
        <f t="shared" ca="1" si="0"/>
        <v>MBM187</v>
      </c>
      <c r="M20" s="36" t="str">
        <f t="shared" ca="1" si="1"/>
        <v>MBM</v>
      </c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</row>
    <row r="21" spans="1:27">
      <c r="A21" s="40"/>
      <c r="B21" s="36"/>
      <c r="C21" s="40"/>
      <c r="D21" s="41"/>
      <c r="E21" s="23"/>
      <c r="F21" s="40" t="str">
        <f ca="1">IFERROR(__xludf.DUMMYFUNCTION("""COMPUTED_VALUE"""),"Ramon Ferrando")</f>
        <v>Ramon Ferrando</v>
      </c>
      <c r="G21" s="40" t="str">
        <f ca="1">IFERROR(__xludf.DUMMYFUNCTION("""COMPUTED_VALUE"""),"RFV")</f>
        <v>RFV</v>
      </c>
      <c r="H21" s="40" t="str">
        <f ca="1">IFERROR(__xludf.DUMMYFUNCTION("""COMPUTED_VALUE"""),"RFV08")</f>
        <v>RFV08</v>
      </c>
      <c r="I21" s="40" t="str">
        <f ca="1">IFERROR(__xludf.DUMMYFUNCTION("""COMPUTED_VALUE"""),"B")</f>
        <v>B</v>
      </c>
      <c r="J21" s="40" t="str">
        <f ca="1">IFERROR(__xludf.DUMMYFUNCTION("""COMPUTED_VALUE"""),"Abel Guzmán Calvete")</f>
        <v>Abel Guzmán Calvete</v>
      </c>
      <c r="K21" s="40"/>
      <c r="L21" s="40" t="str">
        <f t="shared" ca="1" si="0"/>
        <v>RFV08</v>
      </c>
      <c r="M21" s="36" t="str">
        <f t="shared" ca="1" si="1"/>
        <v>RFV</v>
      </c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</row>
    <row r="22" spans="1:27">
      <c r="A22" s="40"/>
      <c r="B22" s="36"/>
      <c r="C22" s="23"/>
      <c r="D22" s="41"/>
      <c r="E22" s="23"/>
      <c r="F22" s="40" t="str">
        <f ca="1">IFERROR(__xludf.DUMMYFUNCTION("""COMPUTED_VALUE"""),"Maika Blázquez")</f>
        <v>Maika Blázquez</v>
      </c>
      <c r="G22" s="40" t="str">
        <f ca="1">IFERROR(__xludf.DUMMYFUNCTION("""COMPUTED_VALUE"""),"MBM")</f>
        <v>MBM</v>
      </c>
      <c r="H22" s="40" t="str">
        <f ca="1">IFERROR(__xludf.DUMMYFUNCTION("""COMPUTED_VALUE"""),"MBM86")</f>
        <v>MBM86</v>
      </c>
      <c r="I22" s="40" t="str">
        <f ca="1">IFERROR(__xludf.DUMMYFUNCTION("""COMPUTED_VALUE"""),"A")</f>
        <v>A</v>
      </c>
      <c r="J22" s="40" t="str">
        <f ca="1">IFERROR(__xludf.DUMMYFUNCTION("""COMPUTED_VALUE"""),"Adela Cordero Devesa")</f>
        <v>Adela Cordero Devesa</v>
      </c>
      <c r="K22" s="40"/>
      <c r="L22" s="40" t="str">
        <f t="shared" ca="1" si="0"/>
        <v>MBM86</v>
      </c>
      <c r="M22" s="36" t="str">
        <f t="shared" ca="1" si="1"/>
        <v>MBM</v>
      </c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</row>
    <row r="23" spans="1:27">
      <c r="A23" s="40"/>
      <c r="B23" s="36"/>
      <c r="C23" s="40"/>
      <c r="D23" s="41"/>
      <c r="E23" s="23"/>
      <c r="F23" s="40" t="str">
        <f ca="1">IFERROR(__xludf.DUMMYFUNCTION("""COMPUTED_VALUE"""),"Roberto Pereira")</f>
        <v>Roberto Pereira</v>
      </c>
      <c r="G23" s="40" t="str">
        <f ca="1">IFERROR(__xludf.DUMMYFUNCTION("""COMPUTED_VALUE"""),"RPG")</f>
        <v>RPG</v>
      </c>
      <c r="H23" s="40" t="str">
        <f ca="1">IFERROR(__xludf.DUMMYFUNCTION("""COMPUTED_VALUE"""),"RPG33")</f>
        <v>RPG33</v>
      </c>
      <c r="I23" s="40" t="str">
        <f ca="1">IFERROR(__xludf.DUMMYFUNCTION("""COMPUTED_VALUE"""),"A")</f>
        <v>A</v>
      </c>
      <c r="J23" s="40" t="str">
        <f ca="1">IFERROR(__xludf.DUMMYFUNCTION("""COMPUTED_VALUE"""),"Adela Pérez-Caro Ríos")</f>
        <v>Adela Pérez-Caro Ríos</v>
      </c>
      <c r="K23" s="40"/>
      <c r="L23" s="40" t="str">
        <f t="shared" ca="1" si="0"/>
        <v>RPG33</v>
      </c>
      <c r="M23" s="36" t="str">
        <f t="shared" ca="1" si="1"/>
        <v>RPG</v>
      </c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</row>
    <row r="24" spans="1:27">
      <c r="A24" s="40"/>
      <c r="B24" s="36"/>
      <c r="C24" s="40"/>
      <c r="D24" s="41"/>
      <c r="E24" s="23"/>
      <c r="F24" s="40" t="str">
        <f ca="1">IFERROR(__xludf.DUMMYFUNCTION("""COMPUTED_VALUE"""),"Lisandro Russian")</f>
        <v>Lisandro Russian</v>
      </c>
      <c r="G24" s="40" t="str">
        <f ca="1">IFERROR(__xludf.DUMMYFUNCTION("""COMPUTED_VALUE"""),"LRM")</f>
        <v>LRM</v>
      </c>
      <c r="H24" s="40" t="str">
        <f ca="1">IFERROR(__xludf.DUMMYFUNCTION("""COMPUTED_VALUE"""),"LRM01")</f>
        <v>LRM01</v>
      </c>
      <c r="I24" s="40" t="str">
        <f ca="1">IFERROR(__xludf.DUMMYFUNCTION("""COMPUTED_VALUE"""),"A")</f>
        <v>A</v>
      </c>
      <c r="J24" s="40" t="str">
        <f ca="1">IFERROR(__xludf.DUMMYFUNCTION("""COMPUTED_VALUE"""),"Adolfo Carlos Hinojar Gutierrez")</f>
        <v>Adolfo Carlos Hinojar Gutierrez</v>
      </c>
      <c r="K24" s="40"/>
      <c r="L24" s="40" t="str">
        <f t="shared" ca="1" si="0"/>
        <v>LRM01</v>
      </c>
      <c r="M24" s="36" t="str">
        <f t="shared" ca="1" si="1"/>
        <v>LRM</v>
      </c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</row>
    <row r="25" spans="1:27">
      <c r="A25" s="40"/>
      <c r="B25" s="36"/>
      <c r="C25" s="40"/>
      <c r="D25" s="41"/>
      <c r="E25" s="23"/>
      <c r="F25" s="40" t="str">
        <f ca="1">IFERROR(__xludf.DUMMYFUNCTION("""COMPUTED_VALUE"""),"Alberto Moreno")</f>
        <v>Alberto Moreno</v>
      </c>
      <c r="G25" s="40" t="str">
        <f ca="1">IFERROR(__xludf.DUMMYFUNCTION("""COMPUTED_VALUE"""),"AMM")</f>
        <v>AMM</v>
      </c>
      <c r="H25" s="40" t="str">
        <f ca="1">IFERROR(__xludf.DUMMYFUNCTION("""COMPUTED_VALUE"""),"AMM01")</f>
        <v>AMM01</v>
      </c>
      <c r="I25" s="40" t="str">
        <f ca="1">IFERROR(__xludf.DUMMYFUNCTION("""COMPUTED_VALUE"""),"A")</f>
        <v>A</v>
      </c>
      <c r="J25" s="40" t="str">
        <f ca="1">IFERROR(__xludf.DUMMYFUNCTION("""COMPUTED_VALUE"""),"Adolfo del Valle Zapico")</f>
        <v>Adolfo del Valle Zapico</v>
      </c>
      <c r="K25" s="40"/>
      <c r="L25" s="40" t="str">
        <f t="shared" ca="1" si="0"/>
        <v>AMM01</v>
      </c>
      <c r="M25" s="36" t="str">
        <f t="shared" ca="1" si="1"/>
        <v>AMM</v>
      </c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</row>
    <row r="26" spans="1:27">
      <c r="A26" s="40"/>
      <c r="B26" s="36"/>
      <c r="C26" s="40"/>
      <c r="D26" s="41"/>
      <c r="E26" s="23"/>
      <c r="F26" s="40" t="str">
        <f ca="1">IFERROR(__xludf.DUMMYFUNCTION("""COMPUTED_VALUE"""),"Maika Blázquez")</f>
        <v>Maika Blázquez</v>
      </c>
      <c r="G26" s="40" t="str">
        <f ca="1">IFERROR(__xludf.DUMMYFUNCTION("""COMPUTED_VALUE"""),"MBM")</f>
        <v>MBM</v>
      </c>
      <c r="H26" s="40" t="str">
        <f ca="1">IFERROR(__xludf.DUMMYFUNCTION("""COMPUTED_VALUE"""),"MBM01")</f>
        <v>MBM01</v>
      </c>
      <c r="I26" s="40" t="str">
        <f ca="1">IFERROR(__xludf.DUMMYFUNCTION("""COMPUTED_VALUE"""),"A")</f>
        <v>A</v>
      </c>
      <c r="J26" s="40" t="str">
        <f ca="1">IFERROR(__xludf.DUMMYFUNCTION("""COMPUTED_VALUE"""),"Adolfo Toledano Muñoz")</f>
        <v>Adolfo Toledano Muñoz</v>
      </c>
      <c r="K26" s="40"/>
      <c r="L26" s="40" t="str">
        <f t="shared" ca="1" si="0"/>
        <v>MBM01</v>
      </c>
      <c r="M26" s="36" t="str">
        <f t="shared" ca="1" si="1"/>
        <v>MBM</v>
      </c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</row>
    <row r="27" spans="1:27">
      <c r="A27" s="40"/>
      <c r="B27" s="36"/>
      <c r="C27" s="40"/>
      <c r="D27" s="41"/>
      <c r="E27" s="23"/>
      <c r="F27" s="40" t="str">
        <f ca="1">IFERROR(__xludf.DUMMYFUNCTION("""COMPUTED_VALUE"""),"Lisandro Russian")</f>
        <v>Lisandro Russian</v>
      </c>
      <c r="G27" s="40" t="str">
        <f ca="1">IFERROR(__xludf.DUMMYFUNCTION("""COMPUTED_VALUE"""),"LRM")</f>
        <v>LRM</v>
      </c>
      <c r="H27" s="40" t="str">
        <f ca="1">IFERROR(__xludf.DUMMYFUNCTION("""COMPUTED_VALUE"""),"LRM123")</f>
        <v>LRM123</v>
      </c>
      <c r="I27" s="40" t="str">
        <f ca="1">IFERROR(__xludf.DUMMYFUNCTION("""COMPUTED_VALUE"""),"A")</f>
        <v>A</v>
      </c>
      <c r="J27" s="40" t="str">
        <f ca="1">IFERROR(__xludf.DUMMYFUNCTION("""COMPUTED_VALUE"""),"Adriana Pardo Maza")</f>
        <v>Adriana Pardo Maza</v>
      </c>
      <c r="K27" s="40"/>
      <c r="L27" s="40" t="str">
        <f t="shared" ca="1" si="0"/>
        <v>LRM123</v>
      </c>
      <c r="M27" s="36" t="str">
        <f t="shared" ca="1" si="1"/>
        <v>LRM</v>
      </c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</row>
    <row r="28" spans="1:27">
      <c r="A28" s="40"/>
      <c r="B28" s="36"/>
      <c r="C28" s="40"/>
      <c r="D28" s="41"/>
      <c r="E28" s="23"/>
      <c r="F28" s="40" t="str">
        <f ca="1">IFERROR(__xludf.DUMMYFUNCTION("""COMPUTED_VALUE"""),"Maika Blázquez")</f>
        <v>Maika Blázquez</v>
      </c>
      <c r="G28" s="40" t="str">
        <f ca="1">IFERROR(__xludf.DUMMYFUNCTION("""COMPUTED_VALUE"""),"MBM")</f>
        <v>MBM</v>
      </c>
      <c r="H28" s="40" t="str">
        <f ca="1">IFERROR(__xludf.DUMMYFUNCTION("""COMPUTED_VALUE"""),"MBM87")</f>
        <v>MBM87</v>
      </c>
      <c r="I28" s="40" t="str">
        <f ca="1">IFERROR(__xludf.DUMMYFUNCTION("""COMPUTED_VALUE"""),"A")</f>
        <v>A</v>
      </c>
      <c r="J28" s="40" t="str">
        <f ca="1">IFERROR(__xludf.DUMMYFUNCTION("""COMPUTED_VALUE"""),"Adriana Pérez García")</f>
        <v>Adriana Pérez García</v>
      </c>
      <c r="K28" s="40"/>
      <c r="L28" s="40" t="str">
        <f t="shared" ca="1" si="0"/>
        <v>MBM87</v>
      </c>
      <c r="M28" s="36" t="str">
        <f t="shared" ca="1" si="1"/>
        <v>MBM</v>
      </c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</row>
    <row r="29" spans="1:27">
      <c r="A29" s="40"/>
      <c r="B29" s="36"/>
      <c r="C29" s="40"/>
      <c r="D29" s="41"/>
      <c r="E29" s="23"/>
      <c r="F29" s="40" t="str">
        <f ca="1">IFERROR(__xludf.DUMMYFUNCTION("""COMPUTED_VALUE"""),"Iván Sánchez")</f>
        <v>Iván Sánchez</v>
      </c>
      <c r="G29" s="40" t="str">
        <f ca="1">IFERROR(__xludf.DUMMYFUNCTION("""COMPUTED_VALUE"""),"ISL")</f>
        <v>ISL</v>
      </c>
      <c r="H29" s="40" t="str">
        <f ca="1">IFERROR(__xludf.DUMMYFUNCTION("""COMPUTED_VALUE"""),"ISL82")</f>
        <v>ISL82</v>
      </c>
      <c r="I29" s="40" t="str">
        <f ca="1">IFERROR(__xludf.DUMMYFUNCTION("""COMPUTED_VALUE"""),"B")</f>
        <v>B</v>
      </c>
      <c r="J29" s="40" t="str">
        <f ca="1">IFERROR(__xludf.DUMMYFUNCTION("""COMPUTED_VALUE"""),"Africa Jiménez de la Rosa")</f>
        <v>Africa Jiménez de la Rosa</v>
      </c>
      <c r="K29" s="40"/>
      <c r="L29" s="40" t="str">
        <f t="shared" ca="1" si="0"/>
        <v>ISL82</v>
      </c>
      <c r="M29" s="36" t="str">
        <f t="shared" ca="1" si="1"/>
        <v>ISL</v>
      </c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</row>
    <row r="30" spans="1:27">
      <c r="A30" s="40"/>
      <c r="B30" s="36"/>
      <c r="C30" s="40"/>
      <c r="D30" s="41"/>
      <c r="E30" s="23"/>
      <c r="F30" s="40" t="str">
        <f ca="1">IFERROR(__xludf.DUMMYFUNCTION("""COMPUTED_VALUE"""),"Ramon Ferrando")</f>
        <v>Ramon Ferrando</v>
      </c>
      <c r="G30" s="40" t="str">
        <f ca="1">IFERROR(__xludf.DUMMYFUNCTION("""COMPUTED_VALUE"""),"RFV")</f>
        <v>RFV</v>
      </c>
      <c r="H30" s="40" t="str">
        <f ca="1">IFERROR(__xludf.DUMMYFUNCTION("""COMPUTED_VALUE"""),"RFV09")</f>
        <v>RFV09</v>
      </c>
      <c r="I30" s="40" t="str">
        <f ca="1">IFERROR(__xludf.DUMMYFUNCTION("""COMPUTED_VALUE"""),"B")</f>
        <v>B</v>
      </c>
      <c r="J30" s="40" t="str">
        <f ca="1">IFERROR(__xludf.DUMMYFUNCTION("""COMPUTED_VALUE"""),"Agustín Campos Catalá")</f>
        <v>Agustín Campos Catalá</v>
      </c>
      <c r="K30" s="40"/>
      <c r="L30" s="40" t="str">
        <f t="shared" ca="1" si="0"/>
        <v>RFV09</v>
      </c>
      <c r="M30" s="36" t="str">
        <f t="shared" ca="1" si="1"/>
        <v>RFV</v>
      </c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</row>
    <row r="31" spans="1:27">
      <c r="A31" s="40"/>
      <c r="B31" s="36"/>
      <c r="C31" s="40"/>
      <c r="D31" s="41"/>
      <c r="E31" s="23"/>
      <c r="F31" s="40" t="str">
        <f ca="1">IFERROR(__xludf.DUMMYFUNCTION("""COMPUTED_VALUE"""),"Maika Blázquez")</f>
        <v>Maika Blázquez</v>
      </c>
      <c r="G31" s="40" t="str">
        <f ca="1">IFERROR(__xludf.DUMMYFUNCTION("""COMPUTED_VALUE"""),"MBM")</f>
        <v>MBM</v>
      </c>
      <c r="H31" s="40" t="str">
        <f ca="1">IFERROR(__xludf.DUMMYFUNCTION("""COMPUTED_VALUE"""),"MBM205")</f>
        <v>MBM205</v>
      </c>
      <c r="I31" s="40" t="str">
        <f ca="1">IFERROR(__xludf.DUMMYFUNCTION("""COMPUTED_VALUE"""),"A")</f>
        <v>A</v>
      </c>
      <c r="J31" s="40" t="str">
        <f ca="1">IFERROR(__xludf.DUMMYFUNCTION("""COMPUTED_VALUE"""),"Agustina Nicole Arbia Kalutich")</f>
        <v>Agustina Nicole Arbia Kalutich</v>
      </c>
      <c r="K31" s="40"/>
      <c r="L31" s="40" t="str">
        <f t="shared" ca="1" si="0"/>
        <v>MBM205</v>
      </c>
      <c r="M31" s="36" t="str">
        <f t="shared" ca="1" si="1"/>
        <v>MBM</v>
      </c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</row>
    <row r="32" spans="1:27">
      <c r="A32" s="40"/>
      <c r="B32" s="36"/>
      <c r="C32" s="40"/>
      <c r="D32" s="41"/>
      <c r="E32" s="23"/>
      <c r="F32" s="40" t="str">
        <f ca="1">IFERROR(__xludf.DUMMYFUNCTION("""COMPUTED_VALUE"""),"Iván Sánchez")</f>
        <v>Iván Sánchez</v>
      </c>
      <c r="G32" s="40" t="str">
        <f ca="1">IFERROR(__xludf.DUMMYFUNCTION("""COMPUTED_VALUE"""),"ISL")</f>
        <v>ISL</v>
      </c>
      <c r="H32" s="40" t="str">
        <f ca="1">IFERROR(__xludf.DUMMYFUNCTION("""COMPUTED_VALUE"""),"ISL83")</f>
        <v>ISL83</v>
      </c>
      <c r="I32" s="40" t="str">
        <f ca="1">IFERROR(__xludf.DUMMYFUNCTION("""COMPUTED_VALUE"""),"B")</f>
        <v>B</v>
      </c>
      <c r="J32" s="40" t="str">
        <f ca="1">IFERROR(__xludf.DUMMYFUNCTION("""COMPUTED_VALUE"""),"Aida Aviñoa Arias")</f>
        <v>Aida Aviñoa Arias</v>
      </c>
      <c r="K32" s="40"/>
      <c r="L32" s="40" t="str">
        <f t="shared" ca="1" si="0"/>
        <v>ISL83</v>
      </c>
      <c r="M32" s="36" t="str">
        <f t="shared" ca="1" si="1"/>
        <v>ISL</v>
      </c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</row>
    <row r="33" spans="1:27">
      <c r="A33" s="40"/>
      <c r="B33" s="36"/>
      <c r="C33" s="40"/>
      <c r="D33" s="41"/>
      <c r="E33" s="23"/>
      <c r="F33" s="40" t="str">
        <f ca="1">IFERROR(__xludf.DUMMYFUNCTION("""COMPUTED_VALUE"""),"Mercè Cabrera")</f>
        <v>Mercè Cabrera</v>
      </c>
      <c r="G33" s="40" t="str">
        <f ca="1">IFERROR(__xludf.DUMMYFUNCTION("""COMPUTED_VALUE"""),"MCC")</f>
        <v>MCC</v>
      </c>
      <c r="H33" s="40" t="str">
        <f ca="1">IFERROR(__xludf.DUMMYFUNCTION("""COMPUTED_VALUE"""),"MCC35")</f>
        <v>MCC35</v>
      </c>
      <c r="I33" s="40" t="str">
        <f ca="1">IFERROR(__xludf.DUMMYFUNCTION("""COMPUTED_VALUE"""),"A")</f>
        <v>A</v>
      </c>
      <c r="J33" s="40" t="str">
        <f ca="1">IFERROR(__xludf.DUMMYFUNCTION("""COMPUTED_VALUE"""),"Aina Brunet García")</f>
        <v>Aina Brunet García</v>
      </c>
      <c r="K33" s="40"/>
      <c r="L33" s="40" t="str">
        <f t="shared" ca="1" si="0"/>
        <v>MCC35</v>
      </c>
      <c r="M33" s="36" t="str">
        <f t="shared" ca="1" si="1"/>
        <v>MCC</v>
      </c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</row>
    <row r="34" spans="1:27">
      <c r="A34" s="40"/>
      <c r="B34" s="36"/>
      <c r="C34" s="40"/>
      <c r="D34" s="41"/>
      <c r="E34" s="23"/>
      <c r="F34" s="40" t="str">
        <f ca="1">IFERROR(__xludf.DUMMYFUNCTION("""COMPUTED_VALUE"""),"Lisandro Russian")</f>
        <v>Lisandro Russian</v>
      </c>
      <c r="G34" s="40" t="str">
        <f ca="1">IFERROR(__xludf.DUMMYFUNCTION("""COMPUTED_VALUE"""),"LRM")</f>
        <v>LRM</v>
      </c>
      <c r="H34" s="40" t="str">
        <f ca="1">IFERROR(__xludf.DUMMYFUNCTION("""COMPUTED_VALUE"""),"LRM124")</f>
        <v>LRM124</v>
      </c>
      <c r="I34" s="40" t="str">
        <f ca="1">IFERROR(__xludf.DUMMYFUNCTION("""COMPUTED_VALUE"""),"A")</f>
        <v>A</v>
      </c>
      <c r="J34" s="40" t="str">
        <f ca="1">IFERROR(__xludf.DUMMYFUNCTION("""COMPUTED_VALUE"""),"Ainhoa Beato Martínez")</f>
        <v>Ainhoa Beato Martínez</v>
      </c>
      <c r="K34" s="40"/>
      <c r="L34" s="40" t="str">
        <f t="shared" ca="1" si="0"/>
        <v>LRM124</v>
      </c>
      <c r="M34" s="36" t="str">
        <f t="shared" ca="1" si="1"/>
        <v>LRM</v>
      </c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</row>
    <row r="35" spans="1:27">
      <c r="A35" s="40"/>
      <c r="B35" s="36"/>
      <c r="C35" s="40"/>
      <c r="D35" s="41"/>
      <c r="E35" s="23"/>
      <c r="F35" s="40" t="str">
        <f ca="1">IFERROR(__xludf.DUMMYFUNCTION("""COMPUTED_VALUE"""),"Ramon Ferrando")</f>
        <v>Ramon Ferrando</v>
      </c>
      <c r="G35" s="40" t="str">
        <f ca="1">IFERROR(__xludf.DUMMYFUNCTION("""COMPUTED_VALUE"""),"RFV")</f>
        <v>RFV</v>
      </c>
      <c r="H35" s="40" t="str">
        <f ca="1">IFERROR(__xludf.DUMMYFUNCTION("""COMPUTED_VALUE"""),"RFV26")</f>
        <v>RFV26</v>
      </c>
      <c r="I35" s="40" t="str">
        <f ca="1">IFERROR(__xludf.DUMMYFUNCTION("""COMPUTED_VALUE"""),"B")</f>
        <v>B</v>
      </c>
      <c r="J35" s="40" t="str">
        <f ca="1">IFERROR(__xludf.DUMMYFUNCTION("""COMPUTED_VALUE"""),"Ainhoa García-Lliberos de Miguel")</f>
        <v>Ainhoa García-Lliberos de Miguel</v>
      </c>
      <c r="K35" s="40"/>
      <c r="L35" s="40" t="str">
        <f t="shared" ca="1" si="0"/>
        <v>RFV26</v>
      </c>
      <c r="M35" s="36" t="str">
        <f t="shared" ca="1" si="1"/>
        <v>RFV</v>
      </c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</row>
    <row r="36" spans="1:27">
      <c r="A36" s="40"/>
      <c r="B36" s="36"/>
      <c r="C36" s="40"/>
      <c r="D36" s="41"/>
      <c r="E36" s="23"/>
      <c r="F36" s="40" t="str">
        <f ca="1">IFERROR(__xludf.DUMMYFUNCTION("""COMPUTED_VALUE"""),"Lisandro Russian")</f>
        <v>Lisandro Russian</v>
      </c>
      <c r="G36" s="40" t="str">
        <f ca="1">IFERROR(__xludf.DUMMYFUNCTION("""COMPUTED_VALUE"""),"LRM")</f>
        <v>LRM</v>
      </c>
      <c r="H36" s="40" t="str">
        <f ca="1">IFERROR(__xludf.DUMMYFUNCTION("""COMPUTED_VALUE"""),"LRM125")</f>
        <v>LRM125</v>
      </c>
      <c r="I36" s="40" t="str">
        <f ca="1">IFERROR(__xludf.DUMMYFUNCTION("""COMPUTED_VALUE"""),"A")</f>
        <v>A</v>
      </c>
      <c r="J36" s="40" t="str">
        <f ca="1">IFERROR(__xludf.DUMMYFUNCTION("""COMPUTED_VALUE"""),"Ainhoa Moreno Bravo")</f>
        <v>Ainhoa Moreno Bravo</v>
      </c>
      <c r="K36" s="40"/>
      <c r="L36" s="40" t="str">
        <f t="shared" ca="1" si="0"/>
        <v>LRM125</v>
      </c>
      <c r="M36" s="36" t="str">
        <f t="shared" ca="1" si="1"/>
        <v>LRM</v>
      </c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</row>
    <row r="37" spans="1:27">
      <c r="A37" s="40"/>
      <c r="B37" s="36"/>
      <c r="C37" s="40"/>
      <c r="D37" s="41"/>
      <c r="E37" s="23"/>
      <c r="F37" s="40" t="str">
        <f ca="1">IFERROR(__xludf.DUMMYFUNCTION("""COMPUTED_VALUE"""),"Roberto Pereira")</f>
        <v>Roberto Pereira</v>
      </c>
      <c r="G37" s="40" t="str">
        <f ca="1">IFERROR(__xludf.DUMMYFUNCTION("""COMPUTED_VALUE"""),"RPG")</f>
        <v>RPG</v>
      </c>
      <c r="H37" s="40" t="str">
        <f ca="1">IFERROR(__xludf.DUMMYFUNCTION("""COMPUTED_VALUE"""),"RPG34")</f>
        <v>RPG34</v>
      </c>
      <c r="I37" s="40" t="str">
        <f ca="1">IFERROR(__xludf.DUMMYFUNCTION("""COMPUTED_VALUE"""),"A")</f>
        <v>A</v>
      </c>
      <c r="J37" s="40" t="str">
        <f ca="1">IFERROR(__xludf.DUMMYFUNCTION("""COMPUTED_VALUE"""),"Alba Carrero González")</f>
        <v>Alba Carrero González</v>
      </c>
      <c r="K37" s="40"/>
      <c r="L37" s="40" t="str">
        <f t="shared" ca="1" si="0"/>
        <v>RPG34</v>
      </c>
      <c r="M37" s="36" t="str">
        <f t="shared" ca="1" si="1"/>
        <v>RPG</v>
      </c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</row>
    <row r="38" spans="1:27">
      <c r="A38" s="40"/>
      <c r="B38" s="36"/>
      <c r="C38" s="40"/>
      <c r="D38" s="41"/>
      <c r="E38" s="23"/>
      <c r="F38" s="40" t="str">
        <f ca="1">IFERROR(__xludf.DUMMYFUNCTION("""COMPUTED_VALUE"""),"Maika Blázquez")</f>
        <v>Maika Blázquez</v>
      </c>
      <c r="G38" s="40" t="str">
        <f ca="1">IFERROR(__xludf.DUMMYFUNCTION("""COMPUTED_VALUE"""),"MBM")</f>
        <v>MBM</v>
      </c>
      <c r="H38" s="40" t="str">
        <f ca="1">IFERROR(__xludf.DUMMYFUNCTION("""COMPUTED_VALUE"""),"MBM88")</f>
        <v>MBM88</v>
      </c>
      <c r="I38" s="40" t="str">
        <f ca="1">IFERROR(__xludf.DUMMYFUNCTION("""COMPUTED_VALUE"""),"A")</f>
        <v>A</v>
      </c>
      <c r="J38" s="40" t="str">
        <f ca="1">IFERROR(__xludf.DUMMYFUNCTION("""COMPUTED_VALUE"""),"Alba Domínguez Palos")</f>
        <v>Alba Domínguez Palos</v>
      </c>
      <c r="K38" s="40"/>
      <c r="L38" s="40" t="str">
        <f t="shared" ca="1" si="0"/>
        <v>MBM88</v>
      </c>
      <c r="M38" s="36" t="str">
        <f t="shared" ca="1" si="1"/>
        <v>MBM</v>
      </c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</row>
    <row r="39" spans="1:27">
      <c r="A39" s="40"/>
      <c r="B39" s="36"/>
      <c r="C39" s="40"/>
      <c r="D39" s="41"/>
      <c r="E39" s="23"/>
      <c r="F39" s="40" t="str">
        <f ca="1">IFERROR(__xludf.DUMMYFUNCTION("""COMPUTED_VALUE"""),"Iván Sánchez")</f>
        <v>Iván Sánchez</v>
      </c>
      <c r="G39" s="40" t="str">
        <f ca="1">IFERROR(__xludf.DUMMYFUNCTION("""COMPUTED_VALUE"""),"ISL")</f>
        <v>ISL</v>
      </c>
      <c r="H39" s="40" t="str">
        <f ca="1">IFERROR(__xludf.DUMMYFUNCTION("""COMPUTED_VALUE"""),"ISL84")</f>
        <v>ISL84</v>
      </c>
      <c r="I39" s="40" t="str">
        <f ca="1">IFERROR(__xludf.DUMMYFUNCTION("""COMPUTED_VALUE"""),"B")</f>
        <v>B</v>
      </c>
      <c r="J39" s="40" t="str">
        <f ca="1">IFERROR(__xludf.DUMMYFUNCTION("""COMPUTED_VALUE"""),"Alba Molina Moreno")</f>
        <v>Alba Molina Moreno</v>
      </c>
      <c r="K39" s="40"/>
      <c r="L39" s="40" t="str">
        <f t="shared" ca="1" si="0"/>
        <v>ISL84</v>
      </c>
      <c r="M39" s="36" t="str">
        <f t="shared" ca="1" si="1"/>
        <v>ISL</v>
      </c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</row>
    <row r="40" spans="1:27">
      <c r="A40" s="40"/>
      <c r="B40" s="36"/>
      <c r="C40" s="40"/>
      <c r="D40" s="41"/>
      <c r="E40" s="23"/>
      <c r="F40" s="40" t="str">
        <f ca="1">IFERROR(__xludf.DUMMYFUNCTION("""COMPUTED_VALUE"""),"Mercè Cabrera")</f>
        <v>Mercè Cabrera</v>
      </c>
      <c r="G40" s="40" t="str">
        <f ca="1">IFERROR(__xludf.DUMMYFUNCTION("""COMPUTED_VALUE"""),"MCC")</f>
        <v>MCC</v>
      </c>
      <c r="H40" s="40" t="str">
        <f ca="1">IFERROR(__xludf.DUMMYFUNCTION("""COMPUTED_VALUE"""),"MCC01")</f>
        <v>MCC01</v>
      </c>
      <c r="I40" s="40" t="str">
        <f ca="1">IFERROR(__xludf.DUMMYFUNCTION("""COMPUTED_VALUE"""),"A")</f>
        <v>A</v>
      </c>
      <c r="J40" s="40" t="str">
        <f ca="1">IFERROR(__xludf.DUMMYFUNCTION("""COMPUTED_VALUE"""),"Albert Llansana Ríos")</f>
        <v>Albert Llansana Ríos</v>
      </c>
      <c r="K40" s="40"/>
      <c r="L40" s="40" t="str">
        <f t="shared" ca="1" si="0"/>
        <v>MCC01</v>
      </c>
      <c r="M40" s="36" t="str">
        <f t="shared" ca="1" si="1"/>
        <v>MCC</v>
      </c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</row>
    <row r="41" spans="1:27">
      <c r="A41" s="40"/>
      <c r="B41" s="36"/>
      <c r="C41" s="40"/>
      <c r="D41" s="41"/>
      <c r="E41" s="23"/>
      <c r="F41" s="40" t="str">
        <f ca="1">IFERROR(__xludf.DUMMYFUNCTION("""COMPUTED_VALUE"""),"Mercè Cabrera")</f>
        <v>Mercè Cabrera</v>
      </c>
      <c r="G41" s="40" t="str">
        <f ca="1">IFERROR(__xludf.DUMMYFUNCTION("""COMPUTED_VALUE"""),"MCC")</f>
        <v>MCC</v>
      </c>
      <c r="H41" s="40" t="str">
        <f ca="1">IFERROR(__xludf.DUMMYFUNCTION("""COMPUTED_VALUE"""),"MCC76")</f>
        <v>MCC76</v>
      </c>
      <c r="I41" s="40" t="str">
        <f ca="1">IFERROR(__xludf.DUMMYFUNCTION("""COMPUTED_VALUE"""),"A")</f>
        <v>A</v>
      </c>
      <c r="J41" s="40" t="str">
        <f ca="1">IFERROR(__xludf.DUMMYFUNCTION("""COMPUTED_VALUE"""),"Albert Pla Esperanzi")</f>
        <v>Albert Pla Esperanzi</v>
      </c>
      <c r="K41" s="40"/>
      <c r="L41" s="40" t="str">
        <f t="shared" ca="1" si="0"/>
        <v>MCC76</v>
      </c>
      <c r="M41" s="36" t="str">
        <f t="shared" ca="1" si="1"/>
        <v>MCC</v>
      </c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</row>
    <row r="42" spans="1:27">
      <c r="A42" s="40"/>
      <c r="B42" s="36"/>
      <c r="C42" s="40"/>
      <c r="D42" s="41"/>
      <c r="E42" s="23"/>
      <c r="F42" s="40" t="str">
        <f ca="1">IFERROR(__xludf.DUMMYFUNCTION("""COMPUTED_VALUE"""),"Lisandro Russian")</f>
        <v>Lisandro Russian</v>
      </c>
      <c r="G42" s="40" t="str">
        <f ca="1">IFERROR(__xludf.DUMMYFUNCTION("""COMPUTED_VALUE"""),"LRM")</f>
        <v>LRM</v>
      </c>
      <c r="H42" s="40" t="str">
        <f ca="1">IFERROR(__xludf.DUMMYFUNCTION("""COMPUTED_VALUE"""),"LRM02")</f>
        <v>LRM02</v>
      </c>
      <c r="I42" s="40" t="str">
        <f ca="1">IFERROR(__xludf.DUMMYFUNCTION("""COMPUTED_VALUE"""),"A")</f>
        <v>A</v>
      </c>
      <c r="J42" s="40" t="str">
        <f ca="1">IFERROR(__xludf.DUMMYFUNCTION("""COMPUTED_VALUE"""),"Alberto García Guzmán")</f>
        <v>Alberto García Guzmán</v>
      </c>
      <c r="K42" s="40"/>
      <c r="L42" s="40" t="str">
        <f t="shared" ca="1" si="0"/>
        <v>LRM02</v>
      </c>
      <c r="M42" s="36" t="str">
        <f t="shared" ca="1" si="1"/>
        <v>LRM</v>
      </c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</row>
    <row r="43" spans="1:27">
      <c r="A43" s="40"/>
      <c r="B43" s="36"/>
      <c r="C43" s="40"/>
      <c r="D43" s="41"/>
      <c r="E43" s="23"/>
      <c r="F43" s="40" t="str">
        <f ca="1">IFERROR(__xludf.DUMMYFUNCTION("""COMPUTED_VALUE"""),"Iván Sánchez")</f>
        <v>Iván Sánchez</v>
      </c>
      <c r="G43" s="40" t="str">
        <f ca="1">IFERROR(__xludf.DUMMYFUNCTION("""COMPUTED_VALUE"""),"ISL")</f>
        <v>ISL</v>
      </c>
      <c r="H43" s="40" t="str">
        <f ca="1">IFERROR(__xludf.DUMMYFUNCTION("""COMPUTED_VALUE"""),"ISL152")</f>
        <v>ISL152</v>
      </c>
      <c r="I43" s="40" t="str">
        <f ca="1">IFERROR(__xludf.DUMMYFUNCTION("""COMPUTED_VALUE"""),"B")</f>
        <v>B</v>
      </c>
      <c r="J43" s="40" t="str">
        <f ca="1">IFERROR(__xludf.DUMMYFUNCTION("""COMPUTED_VALUE"""),"Alberto Guillén Martínez")</f>
        <v>Alberto Guillén Martínez</v>
      </c>
      <c r="K43" s="40"/>
      <c r="L43" s="40" t="str">
        <f t="shared" ca="1" si="0"/>
        <v>ISL152</v>
      </c>
      <c r="M43" s="36" t="str">
        <f t="shared" ca="1" si="1"/>
        <v>ISL</v>
      </c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</row>
    <row r="44" spans="1:27">
      <c r="A44" s="40"/>
      <c r="B44" s="36"/>
      <c r="C44" s="40"/>
      <c r="D44" s="41"/>
      <c r="E44" s="23"/>
      <c r="F44" s="40" t="str">
        <f ca="1">IFERROR(__xludf.DUMMYFUNCTION("""COMPUTED_VALUE"""),"Iván Sánchez")</f>
        <v>Iván Sánchez</v>
      </c>
      <c r="G44" s="40" t="str">
        <f ca="1">IFERROR(__xludf.DUMMYFUNCTION("""COMPUTED_VALUE"""),"ISL")</f>
        <v>ISL</v>
      </c>
      <c r="H44" s="40" t="str">
        <f ca="1">IFERROR(__xludf.DUMMYFUNCTION("""COMPUTED_VALUE"""),"ISL01")</f>
        <v>ISL01</v>
      </c>
      <c r="I44" s="40" t="str">
        <f ca="1">IFERROR(__xludf.DUMMYFUNCTION("""COMPUTED_VALUE"""),"B")</f>
        <v>B</v>
      </c>
      <c r="J44" s="40" t="str">
        <f ca="1">IFERROR(__xludf.DUMMYFUNCTION("""COMPUTED_VALUE"""),"Alberto Raposo Jiménez")</f>
        <v>Alberto Raposo Jiménez</v>
      </c>
      <c r="K44" s="40"/>
      <c r="L44" s="40" t="str">
        <f t="shared" ca="1" si="0"/>
        <v>ISL01</v>
      </c>
      <c r="M44" s="36" t="str">
        <f t="shared" ca="1" si="1"/>
        <v>ISL</v>
      </c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</row>
    <row r="45" spans="1:27">
      <c r="A45" s="40"/>
      <c r="B45" s="36"/>
      <c r="C45" s="40"/>
      <c r="D45" s="41"/>
      <c r="E45" s="23"/>
      <c r="F45" s="40" t="str">
        <f ca="1">IFERROR(__xludf.DUMMYFUNCTION("""COMPUTED_VALUE"""),"Maika Blázquez")</f>
        <v>Maika Blázquez</v>
      </c>
      <c r="G45" s="40" t="str">
        <f ca="1">IFERROR(__xludf.DUMMYFUNCTION("""COMPUTED_VALUE"""),"MBM")</f>
        <v>MBM</v>
      </c>
      <c r="H45" s="40" t="str">
        <f ca="1">IFERROR(__xludf.DUMMYFUNCTION("""COMPUTED_VALUE"""),"MBM02")</f>
        <v>MBM02</v>
      </c>
      <c r="I45" s="40" t="str">
        <f ca="1">IFERROR(__xludf.DUMMYFUNCTION("""COMPUTED_VALUE"""),"A")</f>
        <v>A</v>
      </c>
      <c r="J45" s="40" t="str">
        <f ca="1">IFERROR(__xludf.DUMMYFUNCTION("""COMPUTED_VALUE"""),"Alberto Tauste Gómez")</f>
        <v>Alberto Tauste Gómez</v>
      </c>
      <c r="K45" s="40"/>
      <c r="L45" s="40" t="str">
        <f t="shared" ca="1" si="0"/>
        <v>MBM02</v>
      </c>
      <c r="M45" s="36" t="str">
        <f t="shared" ca="1" si="1"/>
        <v>MBM</v>
      </c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</row>
    <row r="46" spans="1:27">
      <c r="A46" s="40"/>
      <c r="B46" s="36"/>
      <c r="C46" s="40"/>
      <c r="D46" s="41"/>
      <c r="E46" s="23"/>
      <c r="F46" s="40" t="str">
        <f ca="1">IFERROR(__xludf.DUMMYFUNCTION("""COMPUTED_VALUE"""),"Lisandro Russian")</f>
        <v>Lisandro Russian</v>
      </c>
      <c r="G46" s="40" t="str">
        <f ca="1">IFERROR(__xludf.DUMMYFUNCTION("""COMPUTED_VALUE"""),"LRM")</f>
        <v>LRM</v>
      </c>
      <c r="H46" s="40" t="str">
        <f ca="1">IFERROR(__xludf.DUMMYFUNCTION("""COMPUTED_VALUE"""),"LRM126")</f>
        <v>LRM126</v>
      </c>
      <c r="I46" s="40" t="str">
        <f ca="1">IFERROR(__xludf.DUMMYFUNCTION("""COMPUTED_VALUE"""),"A")</f>
        <v>A</v>
      </c>
      <c r="J46" s="40" t="str">
        <f ca="1">IFERROR(__xludf.DUMMYFUNCTION("""COMPUTED_VALUE"""),"Alejandra Aguirre Figueroa")</f>
        <v>Alejandra Aguirre Figueroa</v>
      </c>
      <c r="K46" s="40"/>
      <c r="L46" s="40" t="str">
        <f t="shared" ca="1" si="0"/>
        <v>LRM126</v>
      </c>
      <c r="M46" s="36" t="str">
        <f t="shared" ca="1" si="1"/>
        <v>LRM</v>
      </c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</row>
    <row r="47" spans="1:27">
      <c r="A47" s="40"/>
      <c r="B47" s="36"/>
      <c r="C47" s="40"/>
      <c r="D47" s="41"/>
      <c r="E47" s="23"/>
      <c r="F47" s="40" t="str">
        <f ca="1">IFERROR(__xludf.DUMMYFUNCTION("""COMPUTED_VALUE"""),"Iván Sánchez")</f>
        <v>Iván Sánchez</v>
      </c>
      <c r="G47" s="40" t="str">
        <f ca="1">IFERROR(__xludf.DUMMYFUNCTION("""COMPUTED_VALUE"""),"ISL")</f>
        <v>ISL</v>
      </c>
      <c r="H47" s="40" t="str">
        <f ca="1">IFERROR(__xludf.DUMMYFUNCTION("""COMPUTED_VALUE"""),"ISL150")</f>
        <v>ISL150</v>
      </c>
      <c r="I47" s="40" t="str">
        <f ca="1">IFERROR(__xludf.DUMMYFUNCTION("""COMPUTED_VALUE"""),"B")</f>
        <v>B</v>
      </c>
      <c r="J47" s="40" t="str">
        <f ca="1">IFERROR(__xludf.DUMMYFUNCTION("""COMPUTED_VALUE"""),"Alejandra Alvarado Namen")</f>
        <v>Alejandra Alvarado Namen</v>
      </c>
      <c r="K47" s="40"/>
      <c r="L47" s="40" t="str">
        <f t="shared" ca="1" si="0"/>
        <v>ISL150</v>
      </c>
      <c r="M47" s="36" t="str">
        <f t="shared" ca="1" si="1"/>
        <v>ISL</v>
      </c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</row>
    <row r="48" spans="1:27">
      <c r="A48" s="40"/>
      <c r="B48" s="36"/>
      <c r="C48" s="40"/>
      <c r="D48" s="41"/>
      <c r="E48" s="23"/>
      <c r="F48" s="40" t="str">
        <f ca="1">IFERROR(__xludf.DUMMYFUNCTION("""COMPUTED_VALUE"""),"Maika Blázquez")</f>
        <v>Maika Blázquez</v>
      </c>
      <c r="G48" s="40" t="str">
        <f ca="1">IFERROR(__xludf.DUMMYFUNCTION("""COMPUTED_VALUE"""),"MBM")</f>
        <v>MBM</v>
      </c>
      <c r="H48" s="40" t="str">
        <f ca="1">IFERROR(__xludf.DUMMYFUNCTION("""COMPUTED_VALUE"""),"MBM89")</f>
        <v>MBM89</v>
      </c>
      <c r="I48" s="40" t="str">
        <f ca="1">IFERROR(__xludf.DUMMYFUNCTION("""COMPUTED_VALUE"""),"A")</f>
        <v>A</v>
      </c>
      <c r="J48" s="40" t="str">
        <f ca="1">IFERROR(__xludf.DUMMYFUNCTION("""COMPUTED_VALUE"""),"Alejandra Carrasco Gómez")</f>
        <v>Alejandra Carrasco Gómez</v>
      </c>
      <c r="K48" s="40"/>
      <c r="L48" s="40" t="str">
        <f t="shared" ca="1" si="0"/>
        <v>MBM89</v>
      </c>
      <c r="M48" s="36" t="str">
        <f t="shared" ca="1" si="1"/>
        <v>MBM</v>
      </c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</row>
    <row r="49" spans="1:27">
      <c r="A49" s="40"/>
      <c r="B49" s="36"/>
      <c r="C49" s="40"/>
      <c r="D49" s="41"/>
      <c r="E49" s="40"/>
      <c r="F49" s="40" t="str">
        <f ca="1">IFERROR(__xludf.DUMMYFUNCTION("""COMPUTED_VALUE"""),"Iván Sánchez")</f>
        <v>Iván Sánchez</v>
      </c>
      <c r="G49" s="40" t="str">
        <f ca="1">IFERROR(__xludf.DUMMYFUNCTION("""COMPUTED_VALUE"""),"ISL")</f>
        <v>ISL</v>
      </c>
      <c r="H49" s="40" t="str">
        <f ca="1">IFERROR(__xludf.DUMMYFUNCTION("""COMPUTED_VALUE"""),"ISL91")</f>
        <v>ISL91</v>
      </c>
      <c r="I49" s="40" t="str">
        <f ca="1">IFERROR(__xludf.DUMMYFUNCTION("""COMPUTED_VALUE"""),"B")</f>
        <v>B</v>
      </c>
      <c r="J49" s="40" t="str">
        <f ca="1">IFERROR(__xludf.DUMMYFUNCTION("""COMPUTED_VALUE"""),"Alejandra Jara Maquilón")</f>
        <v>Alejandra Jara Maquilón</v>
      </c>
      <c r="K49" s="40"/>
      <c r="L49" s="40" t="str">
        <f t="shared" ca="1" si="0"/>
        <v>ISL91</v>
      </c>
      <c r="M49" s="36" t="str">
        <f t="shared" ca="1" si="1"/>
        <v>ISL</v>
      </c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</row>
    <row r="50" spans="1:27">
      <c r="A50" s="40"/>
      <c r="B50" s="36"/>
      <c r="C50" s="40"/>
      <c r="D50" s="41"/>
      <c r="E50" s="40"/>
      <c r="F50" s="40" t="str">
        <f ca="1">IFERROR(__xludf.DUMMYFUNCTION("""COMPUTED_VALUE"""),"Iván Sánchez")</f>
        <v>Iván Sánchez</v>
      </c>
      <c r="G50" s="40" t="str">
        <f ca="1">IFERROR(__xludf.DUMMYFUNCTION("""COMPUTED_VALUE"""),"ISL")</f>
        <v>ISL</v>
      </c>
      <c r="H50" s="40" t="str">
        <f ca="1">IFERROR(__xludf.DUMMYFUNCTION("""COMPUTED_VALUE"""),"ISL86")</f>
        <v>ISL86</v>
      </c>
      <c r="I50" s="40" t="str">
        <f ca="1">IFERROR(__xludf.DUMMYFUNCTION("""COMPUTED_VALUE"""),"B")</f>
        <v>B</v>
      </c>
      <c r="J50" s="40" t="str">
        <f ca="1">IFERROR(__xludf.DUMMYFUNCTION("""COMPUTED_VALUE"""),"Alejandra Pérez Ferrando")</f>
        <v>Alejandra Pérez Ferrando</v>
      </c>
      <c r="K50" s="40"/>
      <c r="L50" s="40" t="str">
        <f t="shared" ca="1" si="0"/>
        <v>ISL86</v>
      </c>
      <c r="M50" s="36" t="str">
        <f t="shared" ca="1" si="1"/>
        <v>ISL</v>
      </c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</row>
    <row r="51" spans="1:27">
      <c r="A51" s="40"/>
      <c r="B51" s="36"/>
      <c r="C51" s="40"/>
      <c r="D51" s="41"/>
      <c r="E51" s="40"/>
      <c r="F51" s="40" t="str">
        <f ca="1">IFERROR(__xludf.DUMMYFUNCTION("""COMPUTED_VALUE"""),"Roberto Pereira")</f>
        <v>Roberto Pereira</v>
      </c>
      <c r="G51" s="40" t="str">
        <f ca="1">IFERROR(__xludf.DUMMYFUNCTION("""COMPUTED_VALUE"""),"RPG")</f>
        <v>RPG</v>
      </c>
      <c r="H51" s="40" t="str">
        <f ca="1">IFERROR(__xludf.DUMMYFUNCTION("""COMPUTED_VALUE"""),"RPG01")</f>
        <v>RPG01</v>
      </c>
      <c r="I51" s="40" t="str">
        <f ca="1">IFERROR(__xludf.DUMMYFUNCTION("""COMPUTED_VALUE"""),"A")</f>
        <v>A</v>
      </c>
      <c r="J51" s="40" t="str">
        <f ca="1">IFERROR(__xludf.DUMMYFUNCTION("""COMPUTED_VALUE"""),"Alejandro Díaz Uña")</f>
        <v>Alejandro Díaz Uña</v>
      </c>
      <c r="K51" s="40"/>
      <c r="L51" s="40" t="str">
        <f t="shared" ca="1" si="0"/>
        <v>RPG01</v>
      </c>
      <c r="M51" s="36" t="str">
        <f t="shared" ca="1" si="1"/>
        <v>RPG</v>
      </c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</row>
    <row r="52" spans="1:27">
      <c r="A52" s="40"/>
      <c r="B52" s="36"/>
      <c r="C52" s="40"/>
      <c r="D52" s="41"/>
      <c r="E52" s="40"/>
      <c r="F52" s="40" t="str">
        <f ca="1">IFERROR(__xludf.DUMMYFUNCTION("""COMPUTED_VALUE"""),"Maika Blázquez")</f>
        <v>Maika Blázquez</v>
      </c>
      <c r="G52" s="40" t="str">
        <f ca="1">IFERROR(__xludf.DUMMYFUNCTION("""COMPUTED_VALUE"""),"MBM")</f>
        <v>MBM</v>
      </c>
      <c r="H52" s="40" t="str">
        <f ca="1">IFERROR(__xludf.DUMMYFUNCTION("""COMPUTED_VALUE"""),"MBM03")</f>
        <v>MBM03</v>
      </c>
      <c r="I52" s="40" t="str">
        <f ca="1">IFERROR(__xludf.DUMMYFUNCTION("""COMPUTED_VALUE"""),"A")</f>
        <v>A</v>
      </c>
      <c r="J52" s="40" t="str">
        <f ca="1">IFERROR(__xludf.DUMMYFUNCTION("""COMPUTED_VALUE"""),"Alejandro Harguindey Antoli-Candela")</f>
        <v>Alejandro Harguindey Antoli-Candela</v>
      </c>
      <c r="K52" s="40"/>
      <c r="L52" s="40" t="str">
        <f t="shared" ca="1" si="0"/>
        <v>MBM03</v>
      </c>
      <c r="M52" s="36" t="str">
        <f t="shared" ca="1" si="1"/>
        <v>MBM</v>
      </c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</row>
    <row r="53" spans="1:27">
      <c r="A53" s="40"/>
      <c r="B53" s="36"/>
      <c r="C53" s="40"/>
      <c r="D53" s="41"/>
      <c r="E53" s="40"/>
      <c r="F53" s="40" t="str">
        <f ca="1">IFERROR(__xludf.DUMMYFUNCTION("""COMPUTED_VALUE"""),"Lisandro Russian")</f>
        <v>Lisandro Russian</v>
      </c>
      <c r="G53" s="40" t="str">
        <f ca="1">IFERROR(__xludf.DUMMYFUNCTION("""COMPUTED_VALUE"""),"LRM")</f>
        <v>LRM</v>
      </c>
      <c r="H53" s="40" t="str">
        <f ca="1">IFERROR(__xludf.DUMMYFUNCTION("""COMPUTED_VALUE"""),"LRM03")</f>
        <v>LRM03</v>
      </c>
      <c r="I53" s="40" t="str">
        <f ca="1">IFERROR(__xludf.DUMMYFUNCTION("""COMPUTED_VALUE"""),"A")</f>
        <v>A</v>
      </c>
      <c r="J53" s="40" t="str">
        <f ca="1">IFERROR(__xludf.DUMMYFUNCTION("""COMPUTED_VALUE"""),"Alejandro Martínez Morán")</f>
        <v>Alejandro Martínez Morán</v>
      </c>
      <c r="K53" s="40"/>
      <c r="L53" s="40" t="str">
        <f t="shared" ca="1" si="0"/>
        <v>LRM03</v>
      </c>
      <c r="M53" s="36" t="str">
        <f t="shared" ca="1" si="1"/>
        <v>LRM</v>
      </c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</row>
    <row r="54" spans="1:27">
      <c r="A54" s="40"/>
      <c r="B54" s="36"/>
      <c r="C54" s="40"/>
      <c r="D54" s="41"/>
      <c r="E54" s="40"/>
      <c r="F54" s="40" t="str">
        <f ca="1">IFERROR(__xludf.DUMMYFUNCTION("""COMPUTED_VALUE"""),"Lisandro Russian")</f>
        <v>Lisandro Russian</v>
      </c>
      <c r="G54" s="40" t="str">
        <f ca="1">IFERROR(__xludf.DUMMYFUNCTION("""COMPUTED_VALUE"""),"LRM")</f>
        <v>LRM</v>
      </c>
      <c r="H54" s="40" t="str">
        <f ca="1">IFERROR(__xludf.DUMMYFUNCTION("""COMPUTED_VALUE"""),"LRM04")</f>
        <v>LRM04</v>
      </c>
      <c r="I54" s="40" t="str">
        <f ca="1">IFERROR(__xludf.DUMMYFUNCTION("""COMPUTED_VALUE"""),"A")</f>
        <v>A</v>
      </c>
      <c r="J54" s="40" t="str">
        <f ca="1">IFERROR(__xludf.DUMMYFUNCTION("""COMPUTED_VALUE"""),"Alejandro Tejero-Garcés Monclús")</f>
        <v>Alejandro Tejero-Garcés Monclús</v>
      </c>
      <c r="K54" s="40"/>
      <c r="L54" s="40" t="str">
        <f t="shared" ca="1" si="0"/>
        <v>LRM04</v>
      </c>
      <c r="M54" s="36" t="str">
        <f t="shared" ca="1" si="1"/>
        <v>LRM</v>
      </c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</row>
    <row r="55" spans="1:27">
      <c r="A55" s="40"/>
      <c r="B55" s="36"/>
      <c r="C55" s="40"/>
      <c r="D55" s="41"/>
      <c r="E55" s="40"/>
      <c r="F55" s="40" t="str">
        <f ca="1">IFERROR(__xludf.DUMMYFUNCTION("""COMPUTED_VALUE"""),"Mercè Cabrera")</f>
        <v>Mercè Cabrera</v>
      </c>
      <c r="G55" s="40" t="str">
        <f ca="1">IFERROR(__xludf.DUMMYFUNCTION("""COMPUTED_VALUE"""),"MCC")</f>
        <v>MCC</v>
      </c>
      <c r="H55" s="40" t="str">
        <f ca="1">IFERROR(__xludf.DUMMYFUNCTION("""COMPUTED_VALUE"""),"MCC02")</f>
        <v>MCC02</v>
      </c>
      <c r="I55" s="40" t="str">
        <f ca="1">IFERROR(__xludf.DUMMYFUNCTION("""COMPUTED_VALUE"""),"A")</f>
        <v>A</v>
      </c>
      <c r="J55" s="40" t="str">
        <f ca="1">IFERROR(__xludf.DUMMYFUNCTION("""COMPUTED_VALUE"""),"Alex Portillo Medina")</f>
        <v>Alex Portillo Medina</v>
      </c>
      <c r="K55" s="40"/>
      <c r="L55" s="40" t="str">
        <f t="shared" ca="1" si="0"/>
        <v>MCC02</v>
      </c>
      <c r="M55" s="36" t="str">
        <f t="shared" ca="1" si="1"/>
        <v>MCC</v>
      </c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</row>
    <row r="56" spans="1:27">
      <c r="A56" s="40"/>
      <c r="B56" s="36"/>
      <c r="C56" s="40"/>
      <c r="D56" s="41"/>
      <c r="E56" s="40"/>
      <c r="F56" s="40" t="str">
        <f ca="1">IFERROR(__xludf.DUMMYFUNCTION("""COMPUTED_VALUE"""),"Maika Blázquez")</f>
        <v>Maika Blázquez</v>
      </c>
      <c r="G56" s="40" t="str">
        <f ca="1">IFERROR(__xludf.DUMMYFUNCTION("""COMPUTED_VALUE"""),"MBM")</f>
        <v>MBM</v>
      </c>
      <c r="H56" s="40" t="str">
        <f ca="1">IFERROR(__xludf.DUMMYFUNCTION("""COMPUTED_VALUE"""),"MBM04")</f>
        <v>MBM04</v>
      </c>
      <c r="I56" s="40" t="str">
        <f ca="1">IFERROR(__xludf.DUMMYFUNCTION("""COMPUTED_VALUE"""),"A")</f>
        <v>A</v>
      </c>
      <c r="J56" s="40" t="str">
        <f ca="1">IFERROR(__xludf.DUMMYFUNCTION("""COMPUTED_VALUE"""),"Àlex Ramírez Rosa")</f>
        <v>Àlex Ramírez Rosa</v>
      </c>
      <c r="K56" s="40"/>
      <c r="L56" s="40" t="str">
        <f t="shared" ca="1" si="0"/>
        <v>MBM04</v>
      </c>
      <c r="M56" s="36" t="str">
        <f t="shared" ca="1" si="1"/>
        <v>MBM</v>
      </c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</row>
    <row r="57" spans="1:27">
      <c r="A57" s="40"/>
      <c r="B57" s="36"/>
      <c r="C57" s="40"/>
      <c r="D57" s="41"/>
      <c r="E57" s="40"/>
      <c r="F57" s="40" t="str">
        <f ca="1">IFERROR(__xludf.DUMMYFUNCTION("""COMPUTED_VALUE"""),"Iván Sánchez")</f>
        <v>Iván Sánchez</v>
      </c>
      <c r="G57" s="40" t="str">
        <f ca="1">IFERROR(__xludf.DUMMYFUNCTION("""COMPUTED_VALUE"""),"ISL")</f>
        <v>ISL</v>
      </c>
      <c r="H57" s="40" t="str">
        <f ca="1">IFERROR(__xludf.DUMMYFUNCTION("""COMPUTED_VALUE"""),"ISL02")</f>
        <v>ISL02</v>
      </c>
      <c r="I57" s="40" t="str">
        <f ca="1">IFERROR(__xludf.DUMMYFUNCTION("""COMPUTED_VALUE"""),"B")</f>
        <v>B</v>
      </c>
      <c r="J57" s="40" t="str">
        <f ca="1">IFERROR(__xludf.DUMMYFUNCTION("""COMPUTED_VALUE"""),"Alfonso Aracil Montesinos")</f>
        <v>Alfonso Aracil Montesinos</v>
      </c>
      <c r="K57" s="40"/>
      <c r="L57" s="40" t="str">
        <f t="shared" ca="1" si="0"/>
        <v>ISL02</v>
      </c>
      <c r="M57" s="36" t="str">
        <f t="shared" ca="1" si="1"/>
        <v>ISL</v>
      </c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</row>
    <row r="58" spans="1:27">
      <c r="A58" s="40"/>
      <c r="B58" s="36"/>
      <c r="C58" s="40"/>
      <c r="D58" s="41"/>
      <c r="E58" s="40"/>
      <c r="F58" s="40" t="str">
        <f ca="1">IFERROR(__xludf.DUMMYFUNCTION("""COMPUTED_VALUE"""),"Lisandro Russian")</f>
        <v>Lisandro Russian</v>
      </c>
      <c r="G58" s="40" t="str">
        <f ca="1">IFERROR(__xludf.DUMMYFUNCTION("""COMPUTED_VALUE"""),"LRM")</f>
        <v>LRM</v>
      </c>
      <c r="H58" s="40" t="str">
        <f ca="1">IFERROR(__xludf.DUMMYFUNCTION("""COMPUTED_VALUE"""),"LRM05")</f>
        <v>LRM05</v>
      </c>
      <c r="I58" s="40" t="str">
        <f ca="1">IFERROR(__xludf.DUMMYFUNCTION("""COMPUTED_VALUE"""),"A")</f>
        <v>A</v>
      </c>
      <c r="J58" s="40" t="str">
        <f ca="1">IFERROR(__xludf.DUMMYFUNCTION("""COMPUTED_VALUE"""),"Alfonso Campos González")</f>
        <v>Alfonso Campos González</v>
      </c>
      <c r="K58" s="40"/>
      <c r="L58" s="40" t="str">
        <f t="shared" ca="1" si="0"/>
        <v>LRM05</v>
      </c>
      <c r="M58" s="36" t="str">
        <f t="shared" ca="1" si="1"/>
        <v>LRM</v>
      </c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</row>
    <row r="59" spans="1:27">
      <c r="A59" s="40"/>
      <c r="B59" s="36"/>
      <c r="C59" s="40"/>
      <c r="D59" s="41"/>
      <c r="E59" s="40"/>
      <c r="F59" s="40" t="str">
        <f ca="1">IFERROR(__xludf.DUMMYFUNCTION("""COMPUTED_VALUE"""),"Iván Sánchez")</f>
        <v>Iván Sánchez</v>
      </c>
      <c r="G59" s="40" t="str">
        <f ca="1">IFERROR(__xludf.DUMMYFUNCTION("""COMPUTED_VALUE"""),"ISL")</f>
        <v>ISL</v>
      </c>
      <c r="H59" s="40" t="str">
        <f ca="1">IFERROR(__xludf.DUMMYFUNCTION("""COMPUTED_VALUE"""),"ISL03")</f>
        <v>ISL03</v>
      </c>
      <c r="I59" s="40" t="str">
        <f ca="1">IFERROR(__xludf.DUMMYFUNCTION("""COMPUTED_VALUE"""),"B")</f>
        <v>B</v>
      </c>
      <c r="J59" s="40" t="str">
        <f ca="1">IFERROR(__xludf.DUMMYFUNCTION("""COMPUTED_VALUE"""),"Alfonso Capitan Guarnizo")</f>
        <v>Alfonso Capitan Guarnizo</v>
      </c>
      <c r="K59" s="40"/>
      <c r="L59" s="40" t="str">
        <f t="shared" ca="1" si="0"/>
        <v>ISL03</v>
      </c>
      <c r="M59" s="36" t="str">
        <f t="shared" ca="1" si="1"/>
        <v>ISL</v>
      </c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</row>
    <row r="60" spans="1:27">
      <c r="A60" s="40"/>
      <c r="B60" s="36"/>
      <c r="C60" s="23"/>
      <c r="D60" s="38"/>
      <c r="E60" s="40"/>
      <c r="F60" s="40" t="str">
        <f ca="1">IFERROR(__xludf.DUMMYFUNCTION("""COMPUTED_VALUE"""),"Iván Sánchez")</f>
        <v>Iván Sánchez</v>
      </c>
      <c r="G60" s="40" t="str">
        <f ca="1">IFERROR(__xludf.DUMMYFUNCTION("""COMPUTED_VALUE"""),"ISL")</f>
        <v>ISL</v>
      </c>
      <c r="H60" s="40" t="str">
        <f ca="1">IFERROR(__xludf.DUMMYFUNCTION("""COMPUTED_VALUE"""),"ISL04")</f>
        <v>ISL04</v>
      </c>
      <c r="I60" s="23" t="str">
        <f ca="1">IFERROR(__xludf.DUMMYFUNCTION("""COMPUTED_VALUE"""),"B")</f>
        <v>B</v>
      </c>
      <c r="J60" s="40" t="str">
        <f ca="1">IFERROR(__xludf.DUMMYFUNCTION("""COMPUTED_VALUE"""),"Alfonso García Piñero")</f>
        <v>Alfonso García Piñero</v>
      </c>
      <c r="K60" s="40"/>
      <c r="L60" s="40" t="str">
        <f t="shared" ca="1" si="0"/>
        <v>ISL04</v>
      </c>
      <c r="M60" s="36" t="str">
        <f t="shared" ca="1" si="1"/>
        <v>ISL</v>
      </c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</row>
    <row r="61" spans="1:27">
      <c r="A61" s="40"/>
      <c r="B61" s="36"/>
      <c r="C61" s="40"/>
      <c r="D61" s="41"/>
      <c r="E61" s="40"/>
      <c r="F61" s="40" t="str">
        <f ca="1">IFERROR(__xludf.DUMMYFUNCTION("""COMPUTED_VALUE"""),"Iván Sánchez")</f>
        <v>Iván Sánchez</v>
      </c>
      <c r="G61" s="40" t="str">
        <f ca="1">IFERROR(__xludf.DUMMYFUNCTION("""COMPUTED_VALUE"""),"ISL")</f>
        <v>ISL</v>
      </c>
      <c r="H61" s="40" t="str">
        <f ca="1">IFERROR(__xludf.DUMMYFUNCTION("""COMPUTED_VALUE"""),"ISL05")</f>
        <v>ISL05</v>
      </c>
      <c r="I61" s="40" t="str">
        <f ca="1">IFERROR(__xludf.DUMMYFUNCTION("""COMPUTED_VALUE"""),"B")</f>
        <v>B</v>
      </c>
      <c r="J61" s="40" t="str">
        <f ca="1">IFERROR(__xludf.DUMMYFUNCTION("""COMPUTED_VALUE"""),"Alfonso Marco Garrido")</f>
        <v>Alfonso Marco Garrido</v>
      </c>
      <c r="K61" s="40"/>
      <c r="L61" s="40" t="str">
        <f t="shared" ca="1" si="0"/>
        <v>ISL05</v>
      </c>
      <c r="M61" s="36" t="str">
        <f t="shared" ca="1" si="1"/>
        <v>ISL</v>
      </c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</row>
    <row r="62" spans="1:27">
      <c r="A62" s="40"/>
      <c r="B62" s="36"/>
      <c r="C62" s="40"/>
      <c r="D62" s="41"/>
      <c r="E62" s="40"/>
      <c r="F62" s="40" t="str">
        <f ca="1">IFERROR(__xludf.DUMMYFUNCTION("""COMPUTED_VALUE"""),"Luis Alberto Rodríguez")</f>
        <v>Luis Alberto Rodríguez</v>
      </c>
      <c r="G62" s="40" t="str">
        <f ca="1">IFERROR(__xludf.DUMMYFUNCTION("""COMPUTED_VALUE"""),"LAA")</f>
        <v>LAA</v>
      </c>
      <c r="H62" s="40" t="str">
        <f ca="1">IFERROR(__xludf.DUMMYFUNCTION("""COMPUTED_VALUE"""),"LAA83")</f>
        <v>LAA83</v>
      </c>
      <c r="I62" s="40" t="str">
        <f ca="1">IFERROR(__xludf.DUMMYFUNCTION("""COMPUTED_VALUE"""),"C")</f>
        <v>C</v>
      </c>
      <c r="J62" s="40" t="str">
        <f ca="1">IFERROR(__xludf.DUMMYFUNCTION("""COMPUTED_VALUE"""),"Alfonso María Pérez Sánchez")</f>
        <v>Alfonso María Pérez Sánchez</v>
      </c>
      <c r="K62" s="40"/>
      <c r="L62" s="40" t="str">
        <f t="shared" ca="1" si="0"/>
        <v>LAA83</v>
      </c>
      <c r="M62" s="36" t="str">
        <f t="shared" ca="1" si="1"/>
        <v>LAA</v>
      </c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</row>
    <row r="63" spans="1:27">
      <c r="A63" s="40"/>
      <c r="B63" s="36"/>
      <c r="C63" s="40"/>
      <c r="D63" s="41"/>
      <c r="E63" s="40"/>
      <c r="F63" s="40" t="str">
        <f ca="1">IFERROR(__xludf.DUMMYFUNCTION("""COMPUTED_VALUE"""),"Lisandro Russian")</f>
        <v>Lisandro Russian</v>
      </c>
      <c r="G63" s="40" t="str">
        <f ca="1">IFERROR(__xludf.DUMMYFUNCTION("""COMPUTED_VALUE"""),"LRM")</f>
        <v>LRM</v>
      </c>
      <c r="H63" s="40" t="str">
        <f ca="1">IFERROR(__xludf.DUMMYFUNCTION("""COMPUTED_VALUE"""),"LRM06")</f>
        <v>LRM06</v>
      </c>
      <c r="I63" s="40" t="str">
        <f ca="1">IFERROR(__xludf.DUMMYFUNCTION("""COMPUTED_VALUE"""),"A")</f>
        <v>A</v>
      </c>
      <c r="J63" s="40" t="str">
        <f ca="1">IFERROR(__xludf.DUMMYFUNCTION("""COMPUTED_VALUE"""),"Alfonso Plaza López")</f>
        <v>Alfonso Plaza López</v>
      </c>
      <c r="K63" s="40"/>
      <c r="L63" s="40" t="str">
        <f t="shared" ca="1" si="0"/>
        <v>LRM06</v>
      </c>
      <c r="M63" s="36" t="str">
        <f t="shared" ca="1" si="1"/>
        <v>LRM</v>
      </c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</row>
    <row r="64" spans="1:27">
      <c r="A64" s="40"/>
      <c r="B64" s="36"/>
      <c r="C64" s="40"/>
      <c r="D64" s="41"/>
      <c r="E64" s="40"/>
      <c r="F64" s="40" t="str">
        <f ca="1">IFERROR(__xludf.DUMMYFUNCTION("""COMPUTED_VALUE"""),"Maika Blázquez")</f>
        <v>Maika Blázquez</v>
      </c>
      <c r="G64" s="40" t="str">
        <f ca="1">IFERROR(__xludf.DUMMYFUNCTION("""COMPUTED_VALUE"""),"MBM")</f>
        <v>MBM</v>
      </c>
      <c r="H64" s="40" t="str">
        <f ca="1">IFERROR(__xludf.DUMMYFUNCTION("""COMPUTED_VALUE"""),"MBM05")</f>
        <v>MBM05</v>
      </c>
      <c r="I64" s="40" t="str">
        <f ca="1">IFERROR(__xludf.DUMMYFUNCTION("""COMPUTED_VALUE"""),"A")</f>
        <v>A</v>
      </c>
      <c r="J64" s="40" t="str">
        <f ca="1">IFERROR(__xludf.DUMMYFUNCTION("""COMPUTED_VALUE"""),"Alfonso Santamaría Gadea")</f>
        <v>Alfonso Santamaría Gadea</v>
      </c>
      <c r="K64" s="40"/>
      <c r="L64" s="40" t="str">
        <f t="shared" ca="1" si="0"/>
        <v>MBM05</v>
      </c>
      <c r="M64" s="36" t="str">
        <f t="shared" ca="1" si="1"/>
        <v>MBM</v>
      </c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</row>
    <row r="65" spans="1:27">
      <c r="A65" s="40"/>
      <c r="B65" s="36"/>
      <c r="C65" s="40"/>
      <c r="D65" s="41"/>
      <c r="E65" s="40"/>
      <c r="F65" s="40" t="str">
        <f ca="1">IFERROR(__xludf.DUMMYFUNCTION("""COMPUTED_VALUE"""),"Lisandro Russian")</f>
        <v>Lisandro Russian</v>
      </c>
      <c r="G65" s="40" t="str">
        <f ca="1">IFERROR(__xludf.DUMMYFUNCTION("""COMPUTED_VALUE"""),"LRM")</f>
        <v>LRM</v>
      </c>
      <c r="H65" s="40" t="str">
        <f ca="1">IFERROR(__xludf.DUMMYFUNCTION("""COMPUTED_VALUE"""),"LRM255")</f>
        <v>LRM255</v>
      </c>
      <c r="I65" s="40" t="str">
        <f ca="1">IFERROR(__xludf.DUMMYFUNCTION("""COMPUTED_VALUE"""),"A")</f>
        <v>A</v>
      </c>
      <c r="J65" s="40" t="str">
        <f ca="1">IFERROR(__xludf.DUMMYFUNCTION("""COMPUTED_VALUE"""),"Alicia Gómez cabezas")</f>
        <v>Alicia Gómez cabezas</v>
      </c>
      <c r="K65" s="40"/>
      <c r="L65" s="40" t="str">
        <f t="shared" ca="1" si="0"/>
        <v>LRM255</v>
      </c>
      <c r="M65" s="36" t="str">
        <f t="shared" ca="1" si="1"/>
        <v>LRM</v>
      </c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</row>
    <row r="66" spans="1:27">
      <c r="A66" s="40"/>
      <c r="B66" s="36"/>
      <c r="C66" s="40"/>
      <c r="D66" s="41"/>
      <c r="E66" s="40"/>
      <c r="F66" s="40" t="str">
        <f ca="1">IFERROR(__xludf.DUMMYFUNCTION("""COMPUTED_VALUE"""),"Mercè Cabrera")</f>
        <v>Mercè Cabrera</v>
      </c>
      <c r="G66" s="40" t="str">
        <f ca="1">IFERROR(__xludf.DUMMYFUNCTION("""COMPUTED_VALUE"""),"MCC")</f>
        <v>MCC</v>
      </c>
      <c r="H66" s="40" t="str">
        <f ca="1">IFERROR(__xludf.DUMMYFUNCTION("""COMPUTED_VALUE"""),"MCC36")</f>
        <v>MCC36</v>
      </c>
      <c r="I66" s="40" t="str">
        <f ca="1">IFERROR(__xludf.DUMMYFUNCTION("""COMPUTED_VALUE"""),"A")</f>
        <v>A</v>
      </c>
      <c r="J66" s="23" t="str">
        <f ca="1">IFERROR(__xludf.DUMMYFUNCTION("""COMPUTED_VALUE"""),"Alicia González Moreno")</f>
        <v>Alicia González Moreno</v>
      </c>
      <c r="K66" s="40"/>
      <c r="L66" s="40" t="str">
        <f t="shared" ca="1" si="0"/>
        <v>MCC36</v>
      </c>
      <c r="M66" s="36" t="str">
        <f t="shared" ca="1" si="1"/>
        <v>MCC</v>
      </c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</row>
    <row r="67" spans="1:27">
      <c r="A67" s="40"/>
      <c r="B67" s="36"/>
      <c r="C67" s="40"/>
      <c r="D67" s="41"/>
      <c r="E67" s="40"/>
      <c r="F67" s="40" t="str">
        <f ca="1">IFERROR(__xludf.DUMMYFUNCTION("""COMPUTED_VALUE"""),"Iván Sánchez")</f>
        <v>Iván Sánchez</v>
      </c>
      <c r="G67" s="40" t="str">
        <f ca="1">IFERROR(__xludf.DUMMYFUNCTION("""COMPUTED_VALUE"""),"ISL")</f>
        <v>ISL</v>
      </c>
      <c r="H67" s="40" t="str">
        <f ca="1">IFERROR(__xludf.DUMMYFUNCTION("""COMPUTED_VALUE"""),"ISL87")</f>
        <v>ISL87</v>
      </c>
      <c r="I67" s="40" t="str">
        <f ca="1">IFERROR(__xludf.DUMMYFUNCTION("""COMPUTED_VALUE"""),"B")</f>
        <v>B</v>
      </c>
      <c r="J67" s="40" t="str">
        <f ca="1">IFERROR(__xludf.DUMMYFUNCTION("""COMPUTED_VALUE"""),"Alicia Mateo Espinosa")</f>
        <v>Alicia Mateo Espinosa</v>
      </c>
      <c r="K67" s="40"/>
      <c r="L67" s="40" t="str">
        <f t="shared" ca="1" si="0"/>
        <v>ISL87</v>
      </c>
      <c r="M67" s="36" t="str">
        <f t="shared" ca="1" si="1"/>
        <v>ISL</v>
      </c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</row>
    <row r="68" spans="1:27">
      <c r="A68" s="40"/>
      <c r="B68" s="36"/>
      <c r="C68" s="40"/>
      <c r="D68" s="41"/>
      <c r="E68" s="23"/>
      <c r="F68" s="40" t="str">
        <f ca="1">IFERROR(__xludf.DUMMYFUNCTION("""COMPUTED_VALUE"""),"Lisandro Russian")</f>
        <v>Lisandro Russian</v>
      </c>
      <c r="G68" s="40" t="str">
        <f ca="1">IFERROR(__xludf.DUMMYFUNCTION("""COMPUTED_VALUE"""),"LRM")</f>
        <v>LRM</v>
      </c>
      <c r="H68" s="40" t="str">
        <f ca="1">IFERROR(__xludf.DUMMYFUNCTION("""COMPUTED_VALUE"""),"LRM127")</f>
        <v>LRM127</v>
      </c>
      <c r="I68" s="40" t="str">
        <f ca="1">IFERROR(__xludf.DUMMYFUNCTION("""COMPUTED_VALUE"""),"C")</f>
        <v>C</v>
      </c>
      <c r="J68" s="40" t="str">
        <f ca="1">IFERROR(__xludf.DUMMYFUNCTION("""COMPUTED_VALUE"""),"Alicia Suárez Calvo")</f>
        <v>Alicia Suárez Calvo</v>
      </c>
      <c r="K68" s="40"/>
      <c r="L68" s="40" t="str">
        <f t="shared" ca="1" si="0"/>
        <v>LRM127</v>
      </c>
      <c r="M68" s="36" t="str">
        <f t="shared" ca="1" si="1"/>
        <v>LRM</v>
      </c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</row>
    <row r="69" spans="1:27">
      <c r="A69" s="40"/>
      <c r="B69" s="36"/>
      <c r="C69" s="40"/>
      <c r="D69" s="41"/>
      <c r="E69" s="40"/>
      <c r="F69" s="40" t="str">
        <f ca="1">IFERROR(__xludf.DUMMYFUNCTION("""COMPUTED_VALUE"""),"Maika Blázquez")</f>
        <v>Maika Blázquez</v>
      </c>
      <c r="G69" s="40" t="str">
        <f ca="1">IFERROR(__xludf.DUMMYFUNCTION("""COMPUTED_VALUE"""),"MBM")</f>
        <v>MBM</v>
      </c>
      <c r="H69" s="40" t="str">
        <f ca="1">IFERROR(__xludf.DUMMYFUNCTION("""COMPUTED_VALUE"""),"MBM206")</f>
        <v>MBM206</v>
      </c>
      <c r="I69" s="40" t="str">
        <f ca="1">IFERROR(__xludf.DUMMYFUNCTION("""COMPUTED_VALUE"""),"A")</f>
        <v>A</v>
      </c>
      <c r="J69" s="40" t="str">
        <f ca="1">IFERROR(__xludf.DUMMYFUNCTION("""COMPUTED_VALUE"""),"Alvaro Borque Sanz")</f>
        <v>Alvaro Borque Sanz</v>
      </c>
      <c r="K69" s="40"/>
      <c r="L69" s="40" t="str">
        <f t="shared" ca="1" si="0"/>
        <v>MBM206</v>
      </c>
      <c r="M69" s="36" t="str">
        <f t="shared" ca="1" si="1"/>
        <v>MBM</v>
      </c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</row>
    <row r="70" spans="1:27">
      <c r="A70" s="40"/>
      <c r="B70" s="36"/>
      <c r="C70" s="40"/>
      <c r="D70" s="41"/>
      <c r="E70" s="40"/>
      <c r="F70" s="40" t="str">
        <f ca="1">IFERROR(__xludf.DUMMYFUNCTION("""COMPUTED_VALUE"""),"Maika Blázquez")</f>
        <v>Maika Blázquez</v>
      </c>
      <c r="G70" s="40" t="str">
        <f ca="1">IFERROR(__xludf.DUMMYFUNCTION("""COMPUTED_VALUE"""),"MBM")</f>
        <v>MBM</v>
      </c>
      <c r="H70" s="40" t="str">
        <f ca="1">IFERROR(__xludf.DUMMYFUNCTION("""COMPUTED_VALUE"""),"MBM06")</f>
        <v>MBM06</v>
      </c>
      <c r="I70" s="40" t="str">
        <f ca="1">IFERROR(__xludf.DUMMYFUNCTION("""COMPUTED_VALUE"""),"A")</f>
        <v>A</v>
      </c>
      <c r="J70" s="40" t="str">
        <f ca="1">IFERROR(__xludf.DUMMYFUNCTION("""COMPUTED_VALUE"""),"Álvaro Carrillo Sotos")</f>
        <v>Álvaro Carrillo Sotos</v>
      </c>
      <c r="K70" s="40"/>
      <c r="L70" s="40" t="str">
        <f t="shared" ca="1" si="0"/>
        <v>MBM06</v>
      </c>
      <c r="M70" s="36" t="str">
        <f t="shared" ca="1" si="1"/>
        <v>MBM</v>
      </c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</row>
    <row r="71" spans="1:27">
      <c r="A71" s="40"/>
      <c r="B71" s="36"/>
      <c r="C71" s="40"/>
      <c r="D71" s="41"/>
      <c r="E71" s="40"/>
      <c r="F71" s="40" t="str">
        <f ca="1">IFERROR(__xludf.DUMMYFUNCTION("""COMPUTED_VALUE"""),"Ramon Ferrando")</f>
        <v>Ramon Ferrando</v>
      </c>
      <c r="G71" s="40" t="str">
        <f ca="1">IFERROR(__xludf.DUMMYFUNCTION("""COMPUTED_VALUE"""),"RFV")</f>
        <v>RFV</v>
      </c>
      <c r="H71" s="40" t="str">
        <f ca="1">IFERROR(__xludf.DUMMYFUNCTION("""COMPUTED_VALUE"""),"RFV10")</f>
        <v>RFV10</v>
      </c>
      <c r="I71" s="40" t="str">
        <f ca="1">IFERROR(__xludf.DUMMYFUNCTION("""COMPUTED_VALUE"""),"B")</f>
        <v>B</v>
      </c>
      <c r="J71" s="40" t="str">
        <f ca="1">IFERROR(__xludf.DUMMYFUNCTION("""COMPUTED_VALUE"""),"Álvaro Pérez Llinares")</f>
        <v>Álvaro Pérez Llinares</v>
      </c>
      <c r="K71" s="40"/>
      <c r="L71" s="40" t="str">
        <f t="shared" ca="1" si="0"/>
        <v>RFV10</v>
      </c>
      <c r="M71" s="36" t="str">
        <f t="shared" ca="1" si="1"/>
        <v>RFV</v>
      </c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</row>
    <row r="72" spans="1:27">
      <c r="A72" s="40"/>
      <c r="B72" s="36"/>
      <c r="C72" s="40"/>
      <c r="D72" s="41"/>
      <c r="E72" s="40"/>
      <c r="F72" s="40" t="str">
        <f ca="1">IFERROR(__xludf.DUMMYFUNCTION("""COMPUTED_VALUE"""),"Lisandro Russian")</f>
        <v>Lisandro Russian</v>
      </c>
      <c r="G72" s="40" t="str">
        <f ca="1">IFERROR(__xludf.DUMMYFUNCTION("""COMPUTED_VALUE"""),"LRM")</f>
        <v>LRM</v>
      </c>
      <c r="H72" s="40" t="str">
        <f ca="1">IFERROR(__xludf.DUMMYFUNCTION("""COMPUTED_VALUE"""),"LRM07")</f>
        <v>LRM07</v>
      </c>
      <c r="I72" s="40" t="str">
        <f ca="1">IFERROR(__xludf.DUMMYFUNCTION("""COMPUTED_VALUE"""),"A")</f>
        <v>A</v>
      </c>
      <c r="J72" s="40" t="str">
        <f ca="1">IFERROR(__xludf.DUMMYFUNCTION("""COMPUTED_VALUE"""),"Álvaro Sánchez Álvarez")</f>
        <v>Álvaro Sánchez Álvarez</v>
      </c>
      <c r="K72" s="40"/>
      <c r="L72" s="40" t="str">
        <f t="shared" ca="1" si="0"/>
        <v>LRM07</v>
      </c>
      <c r="M72" s="36" t="str">
        <f t="shared" ca="1" si="1"/>
        <v>LRM</v>
      </c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</row>
    <row r="73" spans="1:27">
      <c r="A73" s="40"/>
      <c r="B73" s="36"/>
      <c r="C73" s="40"/>
      <c r="D73" s="41"/>
      <c r="E73" s="40"/>
      <c r="F73" s="40" t="str">
        <f ca="1">IFERROR(__xludf.DUMMYFUNCTION("""COMPUTED_VALUE"""),"Lisandro Russian")</f>
        <v>Lisandro Russian</v>
      </c>
      <c r="G73" s="40" t="str">
        <f ca="1">IFERROR(__xludf.DUMMYFUNCTION("""COMPUTED_VALUE"""),"LRM")</f>
        <v>LRM</v>
      </c>
      <c r="H73" s="40" t="str">
        <f ca="1">IFERROR(__xludf.DUMMYFUNCTION("""COMPUTED_VALUE"""),"LRM08")</f>
        <v>LRM08</v>
      </c>
      <c r="I73" s="40" t="str">
        <f ca="1">IFERROR(__xludf.DUMMYFUNCTION("""COMPUTED_VALUE"""),"A")</f>
        <v>A</v>
      </c>
      <c r="J73" s="40" t="str">
        <f ca="1">IFERROR(__xludf.DUMMYFUNCTION("""COMPUTED_VALUE"""),"Álvaro Sánchez Barrueco")</f>
        <v>Álvaro Sánchez Barrueco</v>
      </c>
      <c r="K73" s="40"/>
      <c r="L73" s="40" t="str">
        <f t="shared" ca="1" si="0"/>
        <v>LRM08</v>
      </c>
      <c r="M73" s="36" t="str">
        <f t="shared" ca="1" si="1"/>
        <v>LRM</v>
      </c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</row>
    <row r="74" spans="1:27">
      <c r="A74" s="40"/>
      <c r="B74" s="36"/>
      <c r="C74" s="40"/>
      <c r="D74" s="41"/>
      <c r="E74" s="40"/>
      <c r="F74" s="40" t="str">
        <f ca="1">IFERROR(__xludf.DUMMYFUNCTION("""COMPUTED_VALUE"""),"Lisandro Russian")</f>
        <v>Lisandro Russian</v>
      </c>
      <c r="G74" s="40" t="str">
        <f ca="1">IFERROR(__xludf.DUMMYFUNCTION("""COMPUTED_VALUE"""),"LRM")</f>
        <v>LRM</v>
      </c>
      <c r="H74" s="40" t="str">
        <f ca="1">IFERROR(__xludf.DUMMYFUNCTION("""COMPUTED_VALUE"""),"LRM09")</f>
        <v>LRM09</v>
      </c>
      <c r="I74" s="40" t="str">
        <f ca="1">IFERROR(__xludf.DUMMYFUNCTION("""COMPUTED_VALUE"""),"A")</f>
        <v>A</v>
      </c>
      <c r="J74" s="40" t="str">
        <f ca="1">IFERROR(__xludf.DUMMYFUNCTION("""COMPUTED_VALUE"""),"Álvaro Sánchez de Arriba")</f>
        <v>Álvaro Sánchez de Arriba</v>
      </c>
      <c r="K74" s="40"/>
      <c r="L74" s="40" t="str">
        <f t="shared" ca="1" si="0"/>
        <v>LRM09</v>
      </c>
      <c r="M74" s="36" t="str">
        <f t="shared" ca="1" si="1"/>
        <v>LRM</v>
      </c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</row>
    <row r="75" spans="1:27">
      <c r="A75" s="40"/>
      <c r="B75" s="36"/>
      <c r="C75" s="23"/>
      <c r="D75" s="41"/>
      <c r="E75" s="40"/>
      <c r="F75" s="40" t="str">
        <f ca="1">IFERROR(__xludf.DUMMYFUNCTION("""COMPUTED_VALUE"""),"Maika Blázquez")</f>
        <v>Maika Blázquez</v>
      </c>
      <c r="G75" s="40" t="str">
        <f ca="1">IFERROR(__xludf.DUMMYFUNCTION("""COMPUTED_VALUE"""),"MBM")</f>
        <v>MBM</v>
      </c>
      <c r="H75" s="40" t="str">
        <f ca="1">IFERROR(__xludf.DUMMYFUNCTION("""COMPUTED_VALUE"""),"MBM207")</f>
        <v>MBM207</v>
      </c>
      <c r="I75" s="40" t="str">
        <f ca="1">IFERROR(__xludf.DUMMYFUNCTION("""COMPUTED_VALUE"""),"A")</f>
        <v>A</v>
      </c>
      <c r="J75" s="40" t="str">
        <f ca="1">IFERROR(__xludf.DUMMYFUNCTION("""COMPUTED_VALUE"""),"Amalia Fiestas Tartiere")</f>
        <v>Amalia Fiestas Tartiere</v>
      </c>
      <c r="K75" s="40"/>
      <c r="L75" s="40" t="str">
        <f t="shared" ca="1" si="0"/>
        <v>MBM207</v>
      </c>
      <c r="M75" s="36" t="str">
        <f t="shared" ca="1" si="1"/>
        <v>MBM</v>
      </c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</row>
    <row r="76" spans="1:27">
      <c r="A76" s="40"/>
      <c r="B76" s="36"/>
      <c r="C76" s="40"/>
      <c r="D76" s="41"/>
      <c r="E76" s="40"/>
      <c r="F76" s="40" t="str">
        <f ca="1">IFERROR(__xludf.DUMMYFUNCTION("""COMPUTED_VALUE"""),"Mercè Cabrera")</f>
        <v>Mercè Cabrera</v>
      </c>
      <c r="G76" s="40" t="str">
        <f ca="1">IFERROR(__xludf.DUMMYFUNCTION("""COMPUTED_VALUE"""),"MCC")</f>
        <v>MCC</v>
      </c>
      <c r="H76" s="40" t="str">
        <f ca="1">IFERROR(__xludf.DUMMYFUNCTION("""COMPUTED_VALUE"""),"MCC37")</f>
        <v>MCC37</v>
      </c>
      <c r="I76" s="40" t="str">
        <f ca="1">IFERROR(__xludf.DUMMYFUNCTION("""COMPUTED_VALUE"""),"A")</f>
        <v>A</v>
      </c>
      <c r="J76" s="23" t="str">
        <f ca="1">IFERROR(__xludf.DUMMYFUNCTION("""COMPUTED_VALUE"""),"Amaya Lázaro Sánchez")</f>
        <v>Amaya Lázaro Sánchez</v>
      </c>
      <c r="K76" s="40"/>
      <c r="L76" s="40" t="str">
        <f t="shared" ca="1" si="0"/>
        <v>MCC37</v>
      </c>
      <c r="M76" s="36" t="str">
        <f t="shared" ca="1" si="1"/>
        <v>MCC</v>
      </c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</row>
    <row r="77" spans="1:27">
      <c r="A77" s="40"/>
      <c r="B77" s="36"/>
      <c r="C77" s="40"/>
      <c r="D77" s="41"/>
      <c r="E77" s="40"/>
      <c r="F77" s="40" t="str">
        <f ca="1">IFERROR(__xludf.DUMMYFUNCTION("""COMPUTED_VALUE"""),"Roberto Pereira")</f>
        <v>Roberto Pereira</v>
      </c>
      <c r="G77" s="40" t="str">
        <f ca="1">IFERROR(__xludf.DUMMYFUNCTION("""COMPUTED_VALUE"""),"RPG")</f>
        <v>RPG</v>
      </c>
      <c r="H77" s="40" t="str">
        <f ca="1">IFERROR(__xludf.DUMMYFUNCTION("""COMPUTED_VALUE"""),"RPG64")</f>
        <v>RPG64</v>
      </c>
      <c r="I77" s="40" t="str">
        <f ca="1">IFERROR(__xludf.DUMMYFUNCTION("""COMPUTED_VALUE"""),"A")</f>
        <v>A</v>
      </c>
      <c r="J77" s="40" t="str">
        <f ca="1">IFERROR(__xludf.DUMMYFUNCTION("""COMPUTED_VALUE"""),"Amer Souki Chmeitt")</f>
        <v>Amer Souki Chmeitt</v>
      </c>
      <c r="K77" s="40"/>
      <c r="L77" s="40" t="str">
        <f t="shared" ca="1" si="0"/>
        <v>RPG64</v>
      </c>
      <c r="M77" s="36" t="str">
        <f t="shared" ca="1" si="1"/>
        <v>RPG</v>
      </c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</row>
    <row r="78" spans="1:27">
      <c r="A78" s="40"/>
      <c r="B78" s="36"/>
      <c r="C78" s="40"/>
      <c r="D78" s="41"/>
      <c r="E78" s="40"/>
      <c r="F78" s="40" t="str">
        <f ca="1">IFERROR(__xludf.DUMMYFUNCTION("""COMPUTED_VALUE"""),"Lisandro Russian")</f>
        <v>Lisandro Russian</v>
      </c>
      <c r="G78" s="40" t="str">
        <f ca="1">IFERROR(__xludf.DUMMYFUNCTION("""COMPUTED_VALUE"""),"LRM")</f>
        <v>LRM</v>
      </c>
      <c r="H78" s="40" t="str">
        <f ca="1">IFERROR(__xludf.DUMMYFUNCTION("""COMPUTED_VALUE"""),"LRM128")</f>
        <v>LRM128</v>
      </c>
      <c r="I78" s="40" t="str">
        <f ca="1">IFERROR(__xludf.DUMMYFUNCTION("""COMPUTED_VALUE"""),"A")</f>
        <v>A</v>
      </c>
      <c r="J78" s="40" t="str">
        <f ca="1">IFERROR(__xludf.DUMMYFUNCTION("""COMPUTED_VALUE"""),"Amparo Castellote Armero")</f>
        <v>Amparo Castellote Armero</v>
      </c>
      <c r="K78" s="40"/>
      <c r="L78" s="40" t="str">
        <f t="shared" ca="1" si="0"/>
        <v>LRM128</v>
      </c>
      <c r="M78" s="36" t="str">
        <f t="shared" ca="1" si="1"/>
        <v>LRM</v>
      </c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</row>
    <row r="79" spans="1:27">
      <c r="A79" s="23"/>
      <c r="B79" s="36"/>
      <c r="C79" s="23"/>
      <c r="D79" s="38"/>
      <c r="E79" s="40"/>
      <c r="F79" s="40" t="str">
        <f ca="1">IFERROR(__xludf.DUMMYFUNCTION("""COMPUTED_VALUE"""),"Iván Sánchez")</f>
        <v>Iván Sánchez</v>
      </c>
      <c r="G79" s="40" t="str">
        <f ca="1">IFERROR(__xludf.DUMMYFUNCTION("""COMPUTED_VALUE"""),"ISL")</f>
        <v>ISL</v>
      </c>
      <c r="H79" s="40" t="str">
        <f ca="1">IFERROR(__xludf.DUMMYFUNCTION("""COMPUTED_VALUE"""),"ISL88")</f>
        <v>ISL88</v>
      </c>
      <c r="I79" s="40" t="str">
        <f ca="1">IFERROR(__xludf.DUMMYFUNCTION("""COMPUTED_VALUE"""),"B")</f>
        <v>B</v>
      </c>
      <c r="J79" s="40" t="str">
        <f ca="1">IFERROR(__xludf.DUMMYFUNCTION("""COMPUTED_VALUE"""),"Amparo Roca Martínez")</f>
        <v>Amparo Roca Martínez</v>
      </c>
      <c r="K79" s="40"/>
      <c r="L79" s="40" t="str">
        <f t="shared" ca="1" si="0"/>
        <v>ISL88</v>
      </c>
      <c r="M79" s="36" t="str">
        <f t="shared" ca="1" si="1"/>
        <v>ISL</v>
      </c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</row>
    <row r="80" spans="1:27">
      <c r="A80" s="40"/>
      <c r="B80" s="36"/>
      <c r="C80" s="40"/>
      <c r="D80" s="41"/>
      <c r="E80" s="40"/>
      <c r="F80" s="40" t="str">
        <f ca="1">IFERROR(__xludf.DUMMYFUNCTION("""COMPUTED_VALUE"""),"Lisandro Russian")</f>
        <v>Lisandro Russian</v>
      </c>
      <c r="G80" s="40" t="str">
        <f ca="1">IFERROR(__xludf.DUMMYFUNCTION("""COMPUTED_VALUE"""),"LRM")</f>
        <v>LRM</v>
      </c>
      <c r="H80" s="40" t="str">
        <f ca="1">IFERROR(__xludf.DUMMYFUNCTION("""COMPUTED_VALUE"""),"LRM129")</f>
        <v>LRM129</v>
      </c>
      <c r="I80" s="40" t="str">
        <f ca="1">IFERROR(__xludf.DUMMYFUNCTION("""COMPUTED_VALUE"""),"A")</f>
        <v>A</v>
      </c>
      <c r="J80" s="40" t="str">
        <f ca="1">IFERROR(__xludf.DUMMYFUNCTION("""COMPUTED_VALUE"""),"Ana Belén Herrero Egea")</f>
        <v>Ana Belén Herrero Egea</v>
      </c>
      <c r="K80" s="40"/>
      <c r="L80" s="40" t="str">
        <f t="shared" ca="1" si="0"/>
        <v>LRM129</v>
      </c>
      <c r="M80" s="36" t="str">
        <f t="shared" ca="1" si="1"/>
        <v>LRM</v>
      </c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</row>
    <row r="81" spans="1:27">
      <c r="A81" s="40"/>
      <c r="B81" s="36"/>
      <c r="C81" s="40"/>
      <c r="D81" s="41"/>
      <c r="E81" s="40"/>
      <c r="F81" s="40" t="str">
        <f ca="1">IFERROR(__xludf.DUMMYFUNCTION("""COMPUTED_VALUE"""),"Lisandro Russian")</f>
        <v>Lisandro Russian</v>
      </c>
      <c r="G81" s="40" t="str">
        <f ca="1">IFERROR(__xludf.DUMMYFUNCTION("""COMPUTED_VALUE"""),"LRM")</f>
        <v>LRM</v>
      </c>
      <c r="H81" s="40" t="str">
        <f ca="1">IFERROR(__xludf.DUMMYFUNCTION("""COMPUTED_VALUE"""),"LRM130")</f>
        <v>LRM130</v>
      </c>
      <c r="I81" s="40" t="str">
        <f ca="1">IFERROR(__xludf.DUMMYFUNCTION("""COMPUTED_VALUE"""),"A")</f>
        <v>A</v>
      </c>
      <c r="J81" s="40" t="str">
        <f ca="1">IFERROR(__xludf.DUMMYFUNCTION("""COMPUTED_VALUE"""),"Ana Belén Rodríguez Vences")</f>
        <v>Ana Belén Rodríguez Vences</v>
      </c>
      <c r="K81" s="40"/>
      <c r="L81" s="40" t="str">
        <f t="shared" ca="1" si="0"/>
        <v>LRM130</v>
      </c>
      <c r="M81" s="36" t="str">
        <f t="shared" ca="1" si="1"/>
        <v>LRM</v>
      </c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</row>
    <row r="82" spans="1:27">
      <c r="A82" s="40"/>
      <c r="B82" s="36"/>
      <c r="C82" s="40"/>
      <c r="D82" s="41"/>
      <c r="E82" s="40"/>
      <c r="F82" s="40" t="str">
        <f ca="1">IFERROR(__xludf.DUMMYFUNCTION("""COMPUTED_VALUE"""),"Roberto Pereira")</f>
        <v>Roberto Pereira</v>
      </c>
      <c r="G82" s="40" t="str">
        <f ca="1">IFERROR(__xludf.DUMMYFUNCTION("""COMPUTED_VALUE"""),"RPG")</f>
        <v>RPG</v>
      </c>
      <c r="H82" s="40" t="str">
        <f ca="1">IFERROR(__xludf.DUMMYFUNCTION("""COMPUTED_VALUE"""),"RPG35")</f>
        <v>RPG35</v>
      </c>
      <c r="I82" s="40" t="str">
        <f ca="1">IFERROR(__xludf.DUMMYFUNCTION("""COMPUTED_VALUE"""),"A")</f>
        <v>A</v>
      </c>
      <c r="J82" s="40" t="str">
        <f ca="1">IFERROR(__xludf.DUMMYFUNCTION("""COMPUTED_VALUE"""),"Ana Faraldo García")</f>
        <v>Ana Faraldo García</v>
      </c>
      <c r="K82" s="40"/>
      <c r="L82" s="40" t="str">
        <f t="shared" ca="1" si="0"/>
        <v>RPG35</v>
      </c>
      <c r="M82" s="36" t="str">
        <f t="shared" ca="1" si="1"/>
        <v>RPG</v>
      </c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</row>
    <row r="83" spans="1:27">
      <c r="A83" s="40"/>
      <c r="B83" s="36"/>
      <c r="C83" s="40"/>
      <c r="D83" s="41"/>
      <c r="E83" s="40"/>
      <c r="F83" s="40" t="str">
        <f ca="1">IFERROR(__xludf.DUMMYFUNCTION("""COMPUTED_VALUE"""),"Patricia Solache")</f>
        <v>Patricia Solache</v>
      </c>
      <c r="G83" s="40" t="str">
        <f ca="1">IFERROR(__xludf.DUMMYFUNCTION("""COMPUTED_VALUE"""),"PSC")</f>
        <v>PSC</v>
      </c>
      <c r="H83" s="40" t="str">
        <f ca="1">IFERROR(__xludf.DUMMYFUNCTION("""COMPUTED_VALUE"""),"PSC31")</f>
        <v>PSC31</v>
      </c>
      <c r="I83" s="40" t="str">
        <f ca="1">IFERROR(__xludf.DUMMYFUNCTION("""COMPUTED_VALUE"""),"A")</f>
        <v>A</v>
      </c>
      <c r="J83" s="40" t="str">
        <f ca="1">IFERROR(__xludf.DUMMYFUNCTION("""COMPUTED_VALUE"""),"Ana Fernández Rodríguez")</f>
        <v>Ana Fernández Rodríguez</v>
      </c>
      <c r="K83" s="40"/>
      <c r="L83" s="40" t="str">
        <f t="shared" ca="1" si="0"/>
        <v>PSC31</v>
      </c>
      <c r="M83" s="36" t="str">
        <f t="shared" ca="1" si="1"/>
        <v>PSC</v>
      </c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</row>
    <row r="84" spans="1:27">
      <c r="A84" s="40"/>
      <c r="B84" s="36"/>
      <c r="C84" s="40"/>
      <c r="D84" s="41"/>
      <c r="E84" s="40"/>
      <c r="F84" s="40" t="str">
        <f ca="1">IFERROR(__xludf.DUMMYFUNCTION("""COMPUTED_VALUE"""),"Iván Sánchez")</f>
        <v>Iván Sánchez</v>
      </c>
      <c r="G84" s="40" t="str">
        <f ca="1">IFERROR(__xludf.DUMMYFUNCTION("""COMPUTED_VALUE"""),"ISL")</f>
        <v>ISL</v>
      </c>
      <c r="H84" s="40" t="str">
        <f ca="1">IFERROR(__xludf.DUMMYFUNCTION("""COMPUTED_VALUE"""),"ISL89")</f>
        <v>ISL89</v>
      </c>
      <c r="I84" s="40" t="str">
        <f ca="1">IFERROR(__xludf.DUMMYFUNCTION("""COMPUTED_VALUE"""),"B")</f>
        <v>B</v>
      </c>
      <c r="J84" s="40" t="str">
        <f ca="1">IFERROR(__xludf.DUMMYFUNCTION("""COMPUTED_VALUE"""),"Ana Gabriela Jover Espla")</f>
        <v>Ana Gabriela Jover Espla</v>
      </c>
      <c r="K84" s="40"/>
      <c r="L84" s="40" t="str">
        <f t="shared" ca="1" si="0"/>
        <v>ISL89</v>
      </c>
      <c r="M84" s="36" t="str">
        <f t="shared" ca="1" si="1"/>
        <v>ISL</v>
      </c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</row>
    <row r="85" spans="1:27">
      <c r="A85" s="40"/>
      <c r="B85" s="36"/>
      <c r="C85" s="40"/>
      <c r="D85" s="41"/>
      <c r="E85" s="40"/>
      <c r="F85" s="40" t="str">
        <f ca="1">IFERROR(__xludf.DUMMYFUNCTION("""COMPUTED_VALUE"""),"Iván Sánchez")</f>
        <v>Iván Sánchez</v>
      </c>
      <c r="G85" s="40" t="str">
        <f ca="1">IFERROR(__xludf.DUMMYFUNCTION("""COMPUTED_VALUE"""),"ISL")</f>
        <v>ISL</v>
      </c>
      <c r="H85" s="40" t="str">
        <f ca="1">IFERROR(__xludf.DUMMYFUNCTION("""COMPUTED_VALUE"""),"ISL90")</f>
        <v>ISL90</v>
      </c>
      <c r="I85" s="40" t="str">
        <f ca="1">IFERROR(__xludf.DUMMYFUNCTION("""COMPUTED_VALUE"""),"B")</f>
        <v>B</v>
      </c>
      <c r="J85" s="40" t="str">
        <f ca="1">IFERROR(__xludf.DUMMYFUNCTION("""COMPUTED_VALUE"""),"Ana Giribet Fernández-Pacheco")</f>
        <v>Ana Giribet Fernández-Pacheco</v>
      </c>
      <c r="K85" s="40"/>
      <c r="L85" s="40" t="str">
        <f t="shared" ca="1" si="0"/>
        <v>ISL90</v>
      </c>
      <c r="M85" s="36" t="str">
        <f t="shared" ca="1" si="1"/>
        <v>ISL</v>
      </c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</row>
    <row r="86" spans="1:27">
      <c r="A86" s="40"/>
      <c r="B86" s="36"/>
      <c r="C86" s="40"/>
      <c r="D86" s="41"/>
      <c r="E86" s="40"/>
      <c r="F86" s="40" t="str">
        <f ca="1">IFERROR(__xludf.DUMMYFUNCTION("""COMPUTED_VALUE"""),"Lisandro Russian")</f>
        <v>Lisandro Russian</v>
      </c>
      <c r="G86" s="40" t="str">
        <f ca="1">IFERROR(__xludf.DUMMYFUNCTION("""COMPUTED_VALUE"""),"LRM")</f>
        <v>LRM</v>
      </c>
      <c r="H86" s="40" t="str">
        <f ca="1">IFERROR(__xludf.DUMMYFUNCTION("""COMPUTED_VALUE"""),"LRM131")</f>
        <v>LRM131</v>
      </c>
      <c r="I86" s="40" t="str">
        <f ca="1">IFERROR(__xludf.DUMMYFUNCTION("""COMPUTED_VALUE"""),"A")</f>
        <v>A</v>
      </c>
      <c r="J86" s="40" t="str">
        <f ca="1">IFERROR(__xludf.DUMMYFUNCTION("""COMPUTED_VALUE"""),"Ana Herrero Egea")</f>
        <v>Ana Herrero Egea</v>
      </c>
      <c r="K86" s="40"/>
      <c r="L86" s="40" t="str">
        <f t="shared" ca="1" si="0"/>
        <v>LRM131</v>
      </c>
      <c r="M86" s="36" t="str">
        <f t="shared" ca="1" si="1"/>
        <v>LRM</v>
      </c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</row>
    <row r="87" spans="1:27">
      <c r="A87" s="40"/>
      <c r="B87" s="36"/>
      <c r="C87" s="40"/>
      <c r="D87" s="41"/>
      <c r="E87" s="40"/>
      <c r="F87" s="40" t="str">
        <f ca="1">IFERROR(__xludf.DUMMYFUNCTION("""COMPUTED_VALUE"""),"Roberto Pereira")</f>
        <v>Roberto Pereira</v>
      </c>
      <c r="G87" s="40" t="str">
        <f ca="1">IFERROR(__xludf.DUMMYFUNCTION("""COMPUTED_VALUE"""),"RPG")</f>
        <v>RPG</v>
      </c>
      <c r="H87" s="40" t="str">
        <f ca="1">IFERROR(__xludf.DUMMYFUNCTION("""COMPUTED_VALUE"""),"RPG36")</f>
        <v>RPG36</v>
      </c>
      <c r="I87" s="40" t="str">
        <f ca="1">IFERROR(__xludf.DUMMYFUNCTION("""COMPUTED_VALUE"""),"A")</f>
        <v>A</v>
      </c>
      <c r="J87" s="40" t="str">
        <f ca="1">IFERROR(__xludf.DUMMYFUNCTION("""COMPUTED_VALUE"""),"Ana Isabel Lorenzo Lorenzo")</f>
        <v>Ana Isabel Lorenzo Lorenzo</v>
      </c>
      <c r="K87" s="40"/>
      <c r="L87" s="40" t="str">
        <f t="shared" ca="1" si="0"/>
        <v>RPG36</v>
      </c>
      <c r="M87" s="36" t="str">
        <f t="shared" ca="1" si="1"/>
        <v>RPG</v>
      </c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</row>
    <row r="88" spans="1:27">
      <c r="A88" s="40"/>
      <c r="B88" s="36"/>
      <c r="C88" s="40"/>
      <c r="D88" s="41"/>
      <c r="E88" s="40"/>
      <c r="F88" s="40" t="str">
        <f ca="1">IFERROR(__xludf.DUMMYFUNCTION("""COMPUTED_VALUE"""),"Lisandro Russian")</f>
        <v>Lisandro Russian</v>
      </c>
      <c r="G88" s="40" t="str">
        <f ca="1">IFERROR(__xludf.DUMMYFUNCTION("""COMPUTED_VALUE"""),"LRM")</f>
        <v>LRM</v>
      </c>
      <c r="H88" s="40" t="str">
        <f ca="1">IFERROR(__xludf.DUMMYFUNCTION("""COMPUTED_VALUE"""),"LRM132")</f>
        <v>LRM132</v>
      </c>
      <c r="I88" s="40" t="str">
        <f ca="1">IFERROR(__xludf.DUMMYFUNCTION("""COMPUTED_VALUE"""),"A")</f>
        <v>A</v>
      </c>
      <c r="J88" s="40" t="str">
        <f ca="1">IFERROR(__xludf.DUMMYFUNCTION("""COMPUTED_VALUE"""),"Ana María Sánchez-Prieto Fernández")</f>
        <v>Ana María Sánchez-Prieto Fernández</v>
      </c>
      <c r="K88" s="40"/>
      <c r="L88" s="40" t="str">
        <f t="shared" ca="1" si="0"/>
        <v>LRM132</v>
      </c>
      <c r="M88" s="36" t="str">
        <f t="shared" ca="1" si="1"/>
        <v>LRM</v>
      </c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</row>
    <row r="89" spans="1:27">
      <c r="A89" s="40"/>
      <c r="B89" s="36"/>
      <c r="C89" s="40"/>
      <c r="D89" s="41"/>
      <c r="E89" s="40"/>
      <c r="F89" s="40" t="str">
        <f ca="1">IFERROR(__xludf.DUMMYFUNCTION("""COMPUTED_VALUE"""),"Mercè Cabrera")</f>
        <v>Mercè Cabrera</v>
      </c>
      <c r="G89" s="40" t="str">
        <f ca="1">IFERROR(__xludf.DUMMYFUNCTION("""COMPUTED_VALUE"""),"MCC")</f>
        <v>MCC</v>
      </c>
      <c r="H89" s="40" t="str">
        <f ca="1">IFERROR(__xludf.DUMMYFUNCTION("""COMPUTED_VALUE"""),"MCC38")</f>
        <v>MCC38</v>
      </c>
      <c r="I89" s="40" t="str">
        <f ca="1">IFERROR(__xludf.DUMMYFUNCTION("""COMPUTED_VALUE"""),"A")</f>
        <v>A</v>
      </c>
      <c r="J89" s="40" t="str">
        <f ca="1">IFERROR(__xludf.DUMMYFUNCTION("""COMPUTED_VALUE"""),"Ana Moreno Valor")</f>
        <v>Ana Moreno Valor</v>
      </c>
      <c r="K89" s="40"/>
      <c r="L89" s="40" t="str">
        <f t="shared" ca="1" si="0"/>
        <v>MCC38</v>
      </c>
      <c r="M89" s="36" t="str">
        <f t="shared" ca="1" si="1"/>
        <v>MCC</v>
      </c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</row>
    <row r="90" spans="1:27">
      <c r="A90" s="40"/>
      <c r="B90" s="36"/>
      <c r="C90" s="40"/>
      <c r="D90" s="41"/>
      <c r="E90" s="40"/>
      <c r="F90" s="40" t="str">
        <f ca="1">IFERROR(__xludf.DUMMYFUNCTION("""COMPUTED_VALUE"""),"Lisandro Russian")</f>
        <v>Lisandro Russian</v>
      </c>
      <c r="G90" s="40" t="str">
        <f ca="1">IFERROR(__xludf.DUMMYFUNCTION("""COMPUTED_VALUE"""),"LRM")</f>
        <v>LRM</v>
      </c>
      <c r="H90" s="40" t="str">
        <f ca="1">IFERROR(__xludf.DUMMYFUNCTION("""COMPUTED_VALUE"""),"LRM133")</f>
        <v>LRM133</v>
      </c>
      <c r="I90" s="40" t="str">
        <f ca="1">IFERROR(__xludf.DUMMYFUNCTION("""COMPUTED_VALUE"""),"A")</f>
        <v>A</v>
      </c>
      <c r="J90" s="40" t="str">
        <f ca="1">IFERROR(__xludf.DUMMYFUNCTION("""COMPUTED_VALUE"""),"Ana Pérez del Notario")</f>
        <v>Ana Pérez del Notario</v>
      </c>
      <c r="K90" s="40"/>
      <c r="L90" s="40" t="str">
        <f t="shared" ca="1" si="0"/>
        <v>LRM133</v>
      </c>
      <c r="M90" s="36" t="str">
        <f t="shared" ca="1" si="1"/>
        <v>LRM</v>
      </c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</row>
    <row r="91" spans="1:27">
      <c r="A91" s="40"/>
      <c r="B91" s="36"/>
      <c r="C91" s="40"/>
      <c r="D91" s="41"/>
      <c r="E91" s="40"/>
      <c r="F91" s="40" t="str">
        <f ca="1">IFERROR(__xludf.DUMMYFUNCTION("""COMPUTED_VALUE"""),"Roberto Pereira")</f>
        <v>Roberto Pereira</v>
      </c>
      <c r="G91" s="40" t="str">
        <f ca="1">IFERROR(__xludf.DUMMYFUNCTION("""COMPUTED_VALUE"""),"RPG")</f>
        <v>RPG</v>
      </c>
      <c r="H91" s="40" t="str">
        <f ca="1">IFERROR(__xludf.DUMMYFUNCTION("""COMPUTED_VALUE"""),"RPG37")</f>
        <v>RPG37</v>
      </c>
      <c r="I91" s="40" t="str">
        <f ca="1">IFERROR(__xludf.DUMMYFUNCTION("""COMPUTED_VALUE"""),"A")</f>
        <v>A</v>
      </c>
      <c r="J91" s="40" t="str">
        <f ca="1">IFERROR(__xludf.DUMMYFUNCTION("""COMPUTED_VALUE"""),"Ana Quintana Sanjuan")</f>
        <v>Ana Quintana Sanjuan</v>
      </c>
      <c r="K91" s="40"/>
      <c r="L91" s="40" t="str">
        <f t="shared" ca="1" si="0"/>
        <v>RPG37</v>
      </c>
      <c r="M91" s="36" t="str">
        <f t="shared" ca="1" si="1"/>
        <v>RPG</v>
      </c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</row>
    <row r="92" spans="1:27">
      <c r="A92" s="40"/>
      <c r="B92" s="36"/>
      <c r="C92" s="40"/>
      <c r="D92" s="41"/>
      <c r="E92" s="40"/>
      <c r="F92" s="40" t="str">
        <f ca="1">IFERROR(__xludf.DUMMYFUNCTION("""COMPUTED_VALUE"""),"Mercè Cabrera")</f>
        <v>Mercè Cabrera</v>
      </c>
      <c r="G92" s="40" t="str">
        <f ca="1">IFERROR(__xludf.DUMMYFUNCTION("""COMPUTED_VALUE"""),"MCC")</f>
        <v>MCC</v>
      </c>
      <c r="H92" s="40" t="str">
        <f ca="1">IFERROR(__xludf.DUMMYFUNCTION("""COMPUTED_VALUE"""),"MCC62")</f>
        <v>MCC62</v>
      </c>
      <c r="I92" s="40" t="str">
        <f ca="1">IFERROR(__xludf.DUMMYFUNCTION("""COMPUTED_VALUE"""),"A")</f>
        <v>A</v>
      </c>
      <c r="J92" s="40" t="str">
        <f ca="1">IFERROR(__xludf.DUMMYFUNCTION("""COMPUTED_VALUE"""),"Ana Rodríguez Rodríguez")</f>
        <v>Ana Rodríguez Rodríguez</v>
      </c>
      <c r="K92" s="40"/>
      <c r="L92" s="40" t="str">
        <f t="shared" ca="1" si="0"/>
        <v>MCC62</v>
      </c>
      <c r="M92" s="36" t="str">
        <f t="shared" ca="1" si="1"/>
        <v>MCC</v>
      </c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</row>
    <row r="93" spans="1:27">
      <c r="A93" s="40"/>
      <c r="B93" s="36"/>
      <c r="C93" s="40"/>
      <c r="D93" s="41"/>
      <c r="E93" s="40"/>
      <c r="F93" s="40" t="str">
        <f ca="1">IFERROR(__xludf.DUMMYFUNCTION("""COMPUTED_VALUE"""),"Maika Blázquez")</f>
        <v>Maika Blázquez</v>
      </c>
      <c r="G93" s="40" t="str">
        <f ca="1">IFERROR(__xludf.DUMMYFUNCTION("""COMPUTED_VALUE"""),"MBM")</f>
        <v>MBM</v>
      </c>
      <c r="H93" s="40" t="str">
        <f ca="1">IFERROR(__xludf.DUMMYFUNCTION("""COMPUTED_VALUE"""),"MBM90")</f>
        <v>MBM90</v>
      </c>
      <c r="I93" s="40" t="str">
        <f ca="1">IFERROR(__xludf.DUMMYFUNCTION("""COMPUTED_VALUE"""),"A")</f>
        <v>A</v>
      </c>
      <c r="J93" s="40" t="str">
        <f ca="1">IFERROR(__xludf.DUMMYFUNCTION("""COMPUTED_VALUE"""),"Ana Ruiz Fornells Noreña")</f>
        <v>Ana Ruiz Fornells Noreña</v>
      </c>
      <c r="K93" s="40"/>
      <c r="L93" s="40" t="str">
        <f t="shared" ca="1" si="0"/>
        <v>MBM90</v>
      </c>
      <c r="M93" s="36" t="str">
        <f t="shared" ca="1" si="1"/>
        <v>MBM</v>
      </c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</row>
    <row r="94" spans="1:27">
      <c r="A94" s="40"/>
      <c r="B94" s="36"/>
      <c r="C94" s="40"/>
      <c r="D94" s="41"/>
      <c r="E94" s="40"/>
      <c r="F94" s="40" t="str">
        <f ca="1">IFERROR(__xludf.DUMMYFUNCTION("""COMPUTED_VALUE"""),"Maika Blázquez")</f>
        <v>Maika Blázquez</v>
      </c>
      <c r="G94" s="40" t="str">
        <f ca="1">IFERROR(__xludf.DUMMYFUNCTION("""COMPUTED_VALUE"""),"MBM")</f>
        <v>MBM</v>
      </c>
      <c r="H94" s="40" t="str">
        <f ca="1">IFERROR(__xludf.DUMMYFUNCTION("""COMPUTED_VALUE"""),"MBM208")</f>
        <v>MBM208</v>
      </c>
      <c r="I94" s="40" t="str">
        <f ca="1">IFERROR(__xludf.DUMMYFUNCTION("""COMPUTED_VALUE"""),"A")</f>
        <v>A</v>
      </c>
      <c r="J94" s="40" t="str">
        <f ca="1">IFERROR(__xludf.DUMMYFUNCTION("""COMPUTED_VALUE"""),"Ana Solís Fesser")</f>
        <v>Ana Solís Fesser</v>
      </c>
      <c r="K94" s="40"/>
      <c r="L94" s="40" t="str">
        <f t="shared" ca="1" si="0"/>
        <v>MBM208</v>
      </c>
      <c r="M94" s="36" t="str">
        <f t="shared" ca="1" si="1"/>
        <v>MBM</v>
      </c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</row>
    <row r="95" spans="1:27">
      <c r="A95" s="40"/>
      <c r="B95" s="36"/>
      <c r="C95" s="40"/>
      <c r="D95" s="41"/>
      <c r="E95" s="23"/>
      <c r="F95" s="40" t="str">
        <f ca="1">IFERROR(__xludf.DUMMYFUNCTION("""COMPUTED_VALUE"""),"Maika Blázquez")</f>
        <v>Maika Blázquez</v>
      </c>
      <c r="G95" s="40" t="str">
        <f ca="1">IFERROR(__xludf.DUMMYFUNCTION("""COMPUTED_VALUE"""),"MBM")</f>
        <v>MBM</v>
      </c>
      <c r="H95" s="40" t="str">
        <f ca="1">IFERROR(__xludf.DUMMYFUNCTION("""COMPUTED_VALUE"""),"MBM195")</f>
        <v>MBM195</v>
      </c>
      <c r="I95" s="40" t="str">
        <f ca="1">IFERROR(__xludf.DUMMYFUNCTION("""COMPUTED_VALUE"""),"A")</f>
        <v>A</v>
      </c>
      <c r="J95" s="40" t="str">
        <f ca="1">IFERROR(__xludf.DUMMYFUNCTION("""COMPUTED_VALUE"""),"Anastasiya Audiyuk Martynyuk")</f>
        <v>Anastasiya Audiyuk Martynyuk</v>
      </c>
      <c r="K95" s="40"/>
      <c r="L95" s="40" t="str">
        <f t="shared" ca="1" si="0"/>
        <v>MBM195</v>
      </c>
      <c r="M95" s="36" t="str">
        <f t="shared" ca="1" si="1"/>
        <v>MBM</v>
      </c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</row>
    <row r="96" spans="1:27">
      <c r="A96" s="40"/>
      <c r="B96" s="36"/>
      <c r="C96" s="40"/>
      <c r="D96" s="41"/>
      <c r="E96" s="23"/>
      <c r="F96" s="40" t="str">
        <f ca="1">IFERROR(__xludf.DUMMYFUNCTION("""COMPUTED_VALUE"""),"Lisandro Russian")</f>
        <v>Lisandro Russian</v>
      </c>
      <c r="G96" s="40" t="str">
        <f ca="1">IFERROR(__xludf.DUMMYFUNCTION("""COMPUTED_VALUE"""),"LRM")</f>
        <v>LRM</v>
      </c>
      <c r="H96" s="40" t="str">
        <f ca="1">IFERROR(__xludf.DUMMYFUNCTION("""COMPUTED_VALUE"""),"LRM258")</f>
        <v>LRM258</v>
      </c>
      <c r="I96" s="40" t="str">
        <f ca="1">IFERROR(__xludf.DUMMYFUNCTION("""COMPUTED_VALUE"""),"A")</f>
        <v>A</v>
      </c>
      <c r="J96" s="40" t="str">
        <f ca="1">IFERROR(__xludf.DUMMYFUNCTION("""COMPUTED_VALUE"""),"Andrea Cifuentes Navas")</f>
        <v>Andrea Cifuentes Navas</v>
      </c>
      <c r="K96" s="40"/>
      <c r="L96" s="40" t="str">
        <f t="shared" ca="1" si="0"/>
        <v>LRM258</v>
      </c>
      <c r="M96" s="36" t="str">
        <f t="shared" ca="1" si="1"/>
        <v>LRM</v>
      </c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</row>
    <row r="97" spans="1:27">
      <c r="A97" s="40"/>
      <c r="B97" s="36"/>
      <c r="C97" s="40"/>
      <c r="D97" s="41"/>
      <c r="E97" s="23"/>
      <c r="F97" s="40" t="str">
        <f ca="1">IFERROR(__xludf.DUMMYFUNCTION("""COMPUTED_VALUE"""),"Lisandro Russian")</f>
        <v>Lisandro Russian</v>
      </c>
      <c r="G97" s="40" t="str">
        <f ca="1">IFERROR(__xludf.DUMMYFUNCTION("""COMPUTED_VALUE"""),"LRM")</f>
        <v>LRM</v>
      </c>
      <c r="H97" s="40" t="str">
        <f ca="1">IFERROR(__xludf.DUMMYFUNCTION("""COMPUTED_VALUE"""),"LRM135")</f>
        <v>LRM135</v>
      </c>
      <c r="I97" s="40" t="str">
        <f ca="1">IFERROR(__xludf.DUMMYFUNCTION("""COMPUTED_VALUE"""),"A")</f>
        <v>A</v>
      </c>
      <c r="J97" s="40" t="str">
        <f ca="1">IFERROR(__xludf.DUMMYFUNCTION("""COMPUTED_VALUE"""),"Andrea Escribano Peñalva")</f>
        <v>Andrea Escribano Peñalva</v>
      </c>
      <c r="K97" s="40"/>
      <c r="L97" s="40" t="str">
        <f t="shared" ca="1" si="0"/>
        <v>LRM135</v>
      </c>
      <c r="M97" s="36" t="str">
        <f t="shared" ca="1" si="1"/>
        <v>LRM</v>
      </c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</row>
    <row r="98" spans="1:27">
      <c r="A98" s="40"/>
      <c r="B98" s="36"/>
      <c r="C98" s="40"/>
      <c r="D98" s="41"/>
      <c r="E98" s="23"/>
      <c r="F98" s="40" t="str">
        <f ca="1">IFERROR(__xludf.DUMMYFUNCTION("""COMPUTED_VALUE"""),"Maika Blázquez")</f>
        <v>Maika Blázquez</v>
      </c>
      <c r="G98" s="40" t="str">
        <f ca="1">IFERROR(__xludf.DUMMYFUNCTION("""COMPUTED_VALUE"""),"MBM")</f>
        <v>MBM</v>
      </c>
      <c r="H98" s="40" t="str">
        <f ca="1">IFERROR(__xludf.DUMMYFUNCTION("""COMPUTED_VALUE"""),"MBM209")</f>
        <v>MBM209</v>
      </c>
      <c r="I98" s="40" t="str">
        <f ca="1">IFERROR(__xludf.DUMMYFUNCTION("""COMPUTED_VALUE"""),"A")</f>
        <v>A</v>
      </c>
      <c r="J98" s="40" t="str">
        <f ca="1">IFERROR(__xludf.DUMMYFUNCTION("""COMPUTED_VALUE"""),"Andrea Gil Pro")</f>
        <v>Andrea Gil Pro</v>
      </c>
      <c r="K98" s="40"/>
      <c r="L98" s="40" t="str">
        <f t="shared" ca="1" si="0"/>
        <v>MBM209</v>
      </c>
      <c r="M98" s="36" t="str">
        <f t="shared" ca="1" si="1"/>
        <v>MBM</v>
      </c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</row>
    <row r="99" spans="1:27">
      <c r="A99" s="40"/>
      <c r="B99" s="36"/>
      <c r="C99" s="40"/>
      <c r="D99" s="41"/>
      <c r="E99" s="40"/>
      <c r="F99" s="40" t="str">
        <f ca="1">IFERROR(__xludf.DUMMYFUNCTION("""COMPUTED_VALUE"""),"Maika Blázquez")</f>
        <v>Maika Blázquez</v>
      </c>
      <c r="G99" s="40" t="str">
        <f ca="1">IFERROR(__xludf.DUMMYFUNCTION("""COMPUTED_VALUE"""),"MBM")</f>
        <v>MBM</v>
      </c>
      <c r="H99" s="40" t="str">
        <f ca="1">IFERROR(__xludf.DUMMYFUNCTION("""COMPUTED_VALUE"""),"MBM91")</f>
        <v>MBM91</v>
      </c>
      <c r="I99" s="40" t="str">
        <f ca="1">IFERROR(__xludf.DUMMYFUNCTION("""COMPUTED_VALUE"""),"A")</f>
        <v>A</v>
      </c>
      <c r="J99" s="40" t="str">
        <f ca="1">IFERROR(__xludf.DUMMYFUNCTION("""COMPUTED_VALUE"""),"Andrea López Salcedo")</f>
        <v>Andrea López Salcedo</v>
      </c>
      <c r="K99" s="40"/>
      <c r="L99" s="40" t="str">
        <f t="shared" ca="1" si="0"/>
        <v>MBM91</v>
      </c>
      <c r="M99" s="36" t="str">
        <f t="shared" ca="1" si="1"/>
        <v>MBM</v>
      </c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</row>
    <row r="100" spans="1:27">
      <c r="A100" s="40"/>
      <c r="B100" s="36"/>
      <c r="C100" s="40"/>
      <c r="D100" s="41"/>
      <c r="E100" s="40"/>
      <c r="F100" s="40" t="str">
        <f ca="1">IFERROR(__xludf.DUMMYFUNCTION("""COMPUTED_VALUE"""),"Maika Blázquez")</f>
        <v>Maika Blázquez</v>
      </c>
      <c r="G100" s="40" t="str">
        <f ca="1">IFERROR(__xludf.DUMMYFUNCTION("""COMPUTED_VALUE"""),"MBM")</f>
        <v>MBM</v>
      </c>
      <c r="H100" s="40" t="str">
        <f ca="1">IFERROR(__xludf.DUMMYFUNCTION("""COMPUTED_VALUE"""),"MBM07")</f>
        <v>MBM07</v>
      </c>
      <c r="I100" s="40" t="str">
        <f ca="1">IFERROR(__xludf.DUMMYFUNCTION("""COMPUTED_VALUE"""),"A")</f>
        <v>A</v>
      </c>
      <c r="J100" s="40" t="str">
        <f ca="1">IFERROR(__xludf.DUMMYFUNCTION("""COMPUTED_VALUE"""),"Andreas Schilling Borghesi")</f>
        <v>Andreas Schilling Borghesi</v>
      </c>
      <c r="K100" s="40"/>
      <c r="L100" s="40" t="str">
        <f t="shared" ca="1" si="0"/>
        <v>MBM07</v>
      </c>
      <c r="M100" s="36" t="str">
        <f t="shared" ca="1" si="1"/>
        <v>MBM</v>
      </c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</row>
    <row r="101" spans="1:27">
      <c r="A101" s="40"/>
      <c r="B101" s="36"/>
      <c r="C101" s="40"/>
      <c r="D101" s="41"/>
      <c r="E101" s="40"/>
      <c r="F101" s="40" t="str">
        <f ca="1">IFERROR(__xludf.DUMMYFUNCTION("""COMPUTED_VALUE"""),"Iván Sánchez")</f>
        <v>Iván Sánchez</v>
      </c>
      <c r="G101" s="40" t="str">
        <f ca="1">IFERROR(__xludf.DUMMYFUNCTION("""COMPUTED_VALUE"""),"ISL")</f>
        <v>ISL</v>
      </c>
      <c r="H101" s="40" t="str">
        <f ca="1">IFERROR(__xludf.DUMMYFUNCTION("""COMPUTED_VALUE"""),"ISL06")</f>
        <v>ISL06</v>
      </c>
      <c r="I101" s="40" t="str">
        <f ca="1">IFERROR(__xludf.DUMMYFUNCTION("""COMPUTED_VALUE"""),"B")</f>
        <v>B</v>
      </c>
      <c r="J101" s="40" t="str">
        <f ca="1">IFERROR(__xludf.DUMMYFUNCTION("""COMPUTED_VALUE"""),"Andrés Barrios Recio")</f>
        <v>Andrés Barrios Recio</v>
      </c>
      <c r="K101" s="40"/>
      <c r="L101" s="40" t="str">
        <f t="shared" ca="1" si="0"/>
        <v>ISL06</v>
      </c>
      <c r="M101" s="36" t="str">
        <f t="shared" ca="1" si="1"/>
        <v>ISL</v>
      </c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</row>
    <row r="102" spans="1:27">
      <c r="A102" s="40"/>
      <c r="B102" s="36"/>
      <c r="C102" s="40"/>
      <c r="D102" s="41"/>
      <c r="E102" s="40"/>
      <c r="F102" s="40" t="str">
        <f ca="1">IFERROR(__xludf.DUMMYFUNCTION("""COMPUTED_VALUE"""),"Lisandro Russian")</f>
        <v>Lisandro Russian</v>
      </c>
      <c r="G102" s="40" t="str">
        <f ca="1">IFERROR(__xludf.DUMMYFUNCTION("""COMPUTED_VALUE"""),"LRM")</f>
        <v>LRM</v>
      </c>
      <c r="H102" s="40" t="str">
        <f ca="1">IFERROR(__xludf.DUMMYFUNCTION("""COMPUTED_VALUE"""),"LRM271")</f>
        <v>LRM271</v>
      </c>
      <c r="I102" s="40" t="str">
        <f ca="1">IFERROR(__xludf.DUMMYFUNCTION("""COMPUTED_VALUE"""),"A")</f>
        <v>A</v>
      </c>
      <c r="J102" s="40" t="str">
        <f ca="1">IFERROR(__xludf.DUMMYFUNCTION("""COMPUTED_VALUE"""),"Andrés González Fernández")</f>
        <v>Andrés González Fernández</v>
      </c>
      <c r="K102" s="40"/>
      <c r="L102" s="40" t="str">
        <f t="shared" ca="1" si="0"/>
        <v>LRM271</v>
      </c>
      <c r="M102" s="36" t="str">
        <f t="shared" ca="1" si="1"/>
        <v>LRM</v>
      </c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</row>
    <row r="103" spans="1:27">
      <c r="A103" s="40"/>
      <c r="B103" s="36"/>
      <c r="C103" s="40"/>
      <c r="D103" s="41"/>
      <c r="E103" s="40"/>
      <c r="F103" s="40" t="str">
        <f ca="1">IFERROR(__xludf.DUMMYFUNCTION("""COMPUTED_VALUE"""),"Lisandro Russian")</f>
        <v>Lisandro Russian</v>
      </c>
      <c r="G103" s="40" t="str">
        <f ca="1">IFERROR(__xludf.DUMMYFUNCTION("""COMPUTED_VALUE"""),"LRM")</f>
        <v>LRM</v>
      </c>
      <c r="H103" s="40" t="str">
        <f ca="1">IFERROR(__xludf.DUMMYFUNCTION("""COMPUTED_VALUE"""),"LRM240")</f>
        <v>LRM240</v>
      </c>
      <c r="I103" s="40" t="str">
        <f ca="1">IFERROR(__xludf.DUMMYFUNCTION("""COMPUTED_VALUE"""),"A")</f>
        <v>A</v>
      </c>
      <c r="J103" s="40" t="str">
        <f ca="1">IFERROR(__xludf.DUMMYFUNCTION("""COMPUTED_VALUE"""),"Andrés Paulino Herrera")</f>
        <v>Andrés Paulino Herrera</v>
      </c>
      <c r="K103" s="40"/>
      <c r="L103" s="40" t="str">
        <f t="shared" ca="1" si="0"/>
        <v>LRM240</v>
      </c>
      <c r="M103" s="36" t="str">
        <f t="shared" ca="1" si="1"/>
        <v>LRM</v>
      </c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</row>
    <row r="104" spans="1:27">
      <c r="A104" s="40"/>
      <c r="B104" s="36"/>
      <c r="C104" s="40"/>
      <c r="D104" s="41"/>
      <c r="E104" s="40"/>
      <c r="F104" s="40" t="str">
        <f ca="1">IFERROR(__xludf.DUMMYFUNCTION("""COMPUTED_VALUE"""),"Luis Alberto Rodríguez")</f>
        <v>Luis Alberto Rodríguez</v>
      </c>
      <c r="G104" s="40" t="str">
        <f ca="1">IFERROR(__xludf.DUMMYFUNCTION("""COMPUTED_VALUE"""),"LAA")</f>
        <v>LAA</v>
      </c>
      <c r="H104" s="40" t="str">
        <f ca="1">IFERROR(__xludf.DUMMYFUNCTION("""COMPUTED_VALUE"""),"LAA01")</f>
        <v>LAA01</v>
      </c>
      <c r="I104" s="40" t="str">
        <f ca="1">IFERROR(__xludf.DUMMYFUNCTION("""COMPUTED_VALUE"""),"C")</f>
        <v>C</v>
      </c>
      <c r="J104" s="40" t="str">
        <f ca="1">IFERROR(__xludf.DUMMYFUNCTION("""COMPUTED_VALUE"""),"Andrés Ruiz Moreno")</f>
        <v>Andrés Ruiz Moreno</v>
      </c>
      <c r="K104" s="40"/>
      <c r="L104" s="40" t="str">
        <f t="shared" ca="1" si="0"/>
        <v>LAA01</v>
      </c>
      <c r="M104" s="36" t="str">
        <f t="shared" ca="1" si="1"/>
        <v>LAA</v>
      </c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</row>
    <row r="105" spans="1:27">
      <c r="A105" s="40"/>
      <c r="B105" s="36"/>
      <c r="C105" s="40"/>
      <c r="D105" s="41"/>
      <c r="E105" s="40"/>
      <c r="F105" s="40" t="str">
        <f ca="1">IFERROR(__xludf.DUMMYFUNCTION("""COMPUTED_VALUE"""),"Roberto Pereira")</f>
        <v>Roberto Pereira</v>
      </c>
      <c r="G105" s="40" t="str">
        <f ca="1">IFERROR(__xludf.DUMMYFUNCTION("""COMPUTED_VALUE"""),"RPG")</f>
        <v>RPG</v>
      </c>
      <c r="H105" s="40" t="str">
        <f ca="1">IFERROR(__xludf.DUMMYFUNCTION("""COMPUTED_VALUE"""),"RPG02")</f>
        <v>RPG02</v>
      </c>
      <c r="I105" s="40" t="str">
        <f ca="1">IFERROR(__xludf.DUMMYFUNCTION("""COMPUTED_VALUE"""),"A")</f>
        <v>A</v>
      </c>
      <c r="J105" s="40" t="str">
        <f ca="1">IFERROR(__xludf.DUMMYFUNCTION("""COMPUTED_VALUE"""),"Andrés Soto Varela")</f>
        <v>Andrés Soto Varela</v>
      </c>
      <c r="K105" s="40"/>
      <c r="L105" s="40" t="str">
        <f t="shared" ca="1" si="0"/>
        <v>RPG02</v>
      </c>
      <c r="M105" s="36" t="str">
        <f t="shared" ca="1" si="1"/>
        <v>RPG</v>
      </c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</row>
    <row r="106" spans="1:27">
      <c r="A106" s="40"/>
      <c r="B106" s="36"/>
      <c r="C106" s="40"/>
      <c r="D106" s="41"/>
      <c r="E106" s="40"/>
      <c r="F106" s="40" t="str">
        <f ca="1">IFERROR(__xludf.DUMMYFUNCTION("""COMPUTED_VALUE"""),"Ramon Ferrando")</f>
        <v>Ramon Ferrando</v>
      </c>
      <c r="G106" s="40" t="str">
        <f ca="1">IFERROR(__xludf.DUMMYFUNCTION("""COMPUTED_VALUE"""),"RFV")</f>
        <v>RFV</v>
      </c>
      <c r="H106" s="40" t="str">
        <f ca="1">IFERROR(__xludf.DUMMYFUNCTION("""COMPUTED_VALUE"""),"RFV45")</f>
        <v>RFV45</v>
      </c>
      <c r="I106" s="40" t="str">
        <f ca="1">IFERROR(__xludf.DUMMYFUNCTION("""COMPUTED_VALUE"""),"B")</f>
        <v>B</v>
      </c>
      <c r="J106" s="40" t="str">
        <f ca="1">IFERROR(__xludf.DUMMYFUNCTION("""COMPUTED_VALUE"""),"Ángel Ángel de Miguel")</f>
        <v>Ángel Ángel de Miguel</v>
      </c>
      <c r="K106" s="40"/>
      <c r="L106" s="40" t="str">
        <f t="shared" ca="1" si="0"/>
        <v>RFV45</v>
      </c>
      <c r="M106" s="36" t="str">
        <f t="shared" ca="1" si="1"/>
        <v>RFV</v>
      </c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</row>
    <row r="107" spans="1:27">
      <c r="A107" s="40"/>
      <c r="B107" s="36"/>
      <c r="C107" s="40"/>
      <c r="D107" s="41"/>
      <c r="E107" s="40"/>
      <c r="F107" s="40" t="str">
        <f ca="1">IFERROR(__xludf.DUMMYFUNCTION("""COMPUTED_VALUE"""),"Patricia Solache")</f>
        <v>Patricia Solache</v>
      </c>
      <c r="G107" s="40" t="str">
        <f ca="1">IFERROR(__xludf.DUMMYFUNCTION("""COMPUTED_VALUE"""),"PSC")</f>
        <v>PSC</v>
      </c>
      <c r="H107" s="40" t="str">
        <f ca="1">IFERROR(__xludf.DUMMYFUNCTION("""COMPUTED_VALUE"""),"PSC01")</f>
        <v>PSC01</v>
      </c>
      <c r="I107" s="40" t="str">
        <f ca="1">IFERROR(__xludf.DUMMYFUNCTION("""COMPUTED_VALUE"""),"A")</f>
        <v>A</v>
      </c>
      <c r="J107" s="40" t="str">
        <f ca="1">IFERROR(__xludf.DUMMYFUNCTION("""COMPUTED_VALUE"""),"Ángel Batuecas Caletrío")</f>
        <v>Ángel Batuecas Caletrío</v>
      </c>
      <c r="K107" s="40"/>
      <c r="L107" s="40" t="str">
        <f t="shared" ca="1" si="0"/>
        <v>PSC01</v>
      </c>
      <c r="M107" s="36" t="str">
        <f t="shared" ca="1" si="1"/>
        <v>PSC</v>
      </c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</row>
    <row r="108" spans="1:27">
      <c r="A108" s="40"/>
      <c r="B108" s="36"/>
      <c r="C108" s="40"/>
      <c r="D108" s="41"/>
      <c r="E108" s="40"/>
      <c r="F108" s="40" t="str">
        <f ca="1">IFERROR(__xludf.DUMMYFUNCTION("""COMPUTED_VALUE"""),"Alberto Moreno")</f>
        <v>Alberto Moreno</v>
      </c>
      <c r="G108" s="40" t="str">
        <f ca="1">IFERROR(__xludf.DUMMYFUNCTION("""COMPUTED_VALUE"""),"AMM")</f>
        <v>AMM</v>
      </c>
      <c r="H108" s="40" t="str">
        <f ca="1">IFERROR(__xludf.DUMMYFUNCTION("""COMPUTED_VALUE"""),"AMM02")</f>
        <v>AMM02</v>
      </c>
      <c r="I108" s="40" t="str">
        <f ca="1">IFERROR(__xludf.DUMMYFUNCTION("""COMPUTED_VALUE"""),"A")</f>
        <v>A</v>
      </c>
      <c r="J108" s="40" t="str">
        <f ca="1">IFERROR(__xludf.DUMMYFUNCTION("""COMPUTED_VALUE"""),"Ángel De Juan")</f>
        <v>Ángel De Juan</v>
      </c>
      <c r="K108" s="40"/>
      <c r="L108" s="40" t="str">
        <f t="shared" ca="1" si="0"/>
        <v>AMM02</v>
      </c>
      <c r="M108" s="36" t="str">
        <f t="shared" ca="1" si="1"/>
        <v>AMM</v>
      </c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</row>
    <row r="109" spans="1:27">
      <c r="A109" s="40"/>
      <c r="B109" s="36"/>
      <c r="C109" s="40"/>
      <c r="D109" s="41"/>
      <c r="E109" s="40"/>
      <c r="F109" s="40" t="str">
        <f ca="1">IFERROR(__xludf.DUMMYFUNCTION("""COMPUTED_VALUE"""),"Lisandro Russian")</f>
        <v>Lisandro Russian</v>
      </c>
      <c r="G109" s="40" t="str">
        <f ca="1">IFERROR(__xludf.DUMMYFUNCTION("""COMPUTED_VALUE"""),"LRM")</f>
        <v>LRM</v>
      </c>
      <c r="H109" s="40" t="str">
        <f ca="1">IFERROR(__xludf.DUMMYFUNCTION("""COMPUTED_VALUE"""),"LRM10")</f>
        <v>LRM10</v>
      </c>
      <c r="I109" s="40" t="str">
        <f ca="1">IFERROR(__xludf.DUMMYFUNCTION("""COMPUTED_VALUE"""),"A")</f>
        <v>A</v>
      </c>
      <c r="J109" s="40" t="str">
        <f ca="1">IFERROR(__xludf.DUMMYFUNCTION("""COMPUTED_VALUE"""),"Angel Fernando Rodriguez Paramás")</f>
        <v>Angel Fernando Rodriguez Paramás</v>
      </c>
      <c r="K109" s="40"/>
      <c r="L109" s="40" t="str">
        <f t="shared" ca="1" si="0"/>
        <v>LRM10</v>
      </c>
      <c r="M109" s="36" t="str">
        <f t="shared" ca="1" si="1"/>
        <v>LRM</v>
      </c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</row>
    <row r="110" spans="1:27">
      <c r="A110" s="40"/>
      <c r="B110" s="36"/>
      <c r="C110" s="40"/>
      <c r="D110" s="41"/>
      <c r="E110" s="40"/>
      <c r="F110" s="40" t="str">
        <f ca="1">IFERROR(__xludf.DUMMYFUNCTION("""COMPUTED_VALUE"""),"Lisandro Russian")</f>
        <v>Lisandro Russian</v>
      </c>
      <c r="G110" s="40" t="str">
        <f ca="1">IFERROR(__xludf.DUMMYFUNCTION("""COMPUTED_VALUE"""),"LRM")</f>
        <v>LRM</v>
      </c>
      <c r="H110" s="40" t="str">
        <f ca="1">IFERROR(__xludf.DUMMYFUNCTION("""COMPUTED_VALUE"""),"LRM11")</f>
        <v>LRM11</v>
      </c>
      <c r="I110" s="40" t="str">
        <f ca="1">IFERROR(__xludf.DUMMYFUNCTION("""COMPUTED_VALUE"""),"A")</f>
        <v>A</v>
      </c>
      <c r="J110" s="40" t="str">
        <f ca="1">IFERROR(__xludf.DUMMYFUNCTION("""COMPUTED_VALUE"""),"Ángel Miguel Urpegui García")</f>
        <v>Ángel Miguel Urpegui García</v>
      </c>
      <c r="K110" s="40"/>
      <c r="L110" s="40" t="str">
        <f t="shared" ca="1" si="0"/>
        <v>LRM11</v>
      </c>
      <c r="M110" s="36" t="str">
        <f t="shared" ca="1" si="1"/>
        <v>LRM</v>
      </c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</row>
    <row r="111" spans="1:27">
      <c r="A111" s="40"/>
      <c r="B111" s="36"/>
      <c r="C111" s="40"/>
      <c r="D111" s="41"/>
      <c r="E111" s="40"/>
      <c r="F111" s="40" t="str">
        <f ca="1">IFERROR(__xludf.DUMMYFUNCTION("""COMPUTED_VALUE"""),"Patricia Solache")</f>
        <v>Patricia Solache</v>
      </c>
      <c r="G111" s="40" t="str">
        <f ca="1">IFERROR(__xludf.DUMMYFUNCTION("""COMPUTED_VALUE"""),"PSC")</f>
        <v>PSC</v>
      </c>
      <c r="H111" s="40" t="str">
        <f ca="1">IFERROR(__xludf.DUMMYFUNCTION("""COMPUTED_VALUE"""),"PSC02")</f>
        <v>PSC02</v>
      </c>
      <c r="I111" s="40" t="str">
        <f ca="1">IFERROR(__xludf.DUMMYFUNCTION("""COMPUTED_VALUE"""),"A")</f>
        <v>A</v>
      </c>
      <c r="J111" s="40" t="str">
        <f ca="1">IFERROR(__xludf.DUMMYFUNCTION("""COMPUTED_VALUE"""),"Ángel Muñoz Herrera")</f>
        <v>Ángel Muñoz Herrera</v>
      </c>
      <c r="K111" s="40"/>
      <c r="L111" s="40" t="str">
        <f t="shared" ca="1" si="0"/>
        <v>PSC02</v>
      </c>
      <c r="M111" s="36" t="str">
        <f t="shared" ca="1" si="1"/>
        <v>PSC</v>
      </c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</row>
    <row r="112" spans="1:27">
      <c r="A112" s="40"/>
      <c r="B112" s="36"/>
      <c r="C112" s="40"/>
      <c r="D112" s="41"/>
      <c r="E112" s="40"/>
      <c r="F112" s="40" t="str">
        <f ca="1">IFERROR(__xludf.DUMMYFUNCTION("""COMPUTED_VALUE"""),"Iván Sánchez")</f>
        <v>Iván Sánchez</v>
      </c>
      <c r="G112" s="40" t="str">
        <f ca="1">IFERROR(__xludf.DUMMYFUNCTION("""COMPUTED_VALUE"""),"ISL")</f>
        <v>ISL</v>
      </c>
      <c r="H112" s="40" t="str">
        <f ca="1">IFERROR(__xludf.DUMMYFUNCTION("""COMPUTED_VALUE"""),"ISL149")</f>
        <v>ISL149</v>
      </c>
      <c r="I112" s="40" t="str">
        <f ca="1">IFERROR(__xludf.DUMMYFUNCTION("""COMPUTED_VALUE"""),"B")</f>
        <v>B</v>
      </c>
      <c r="J112" s="40" t="str">
        <f ca="1">IFERROR(__xludf.DUMMYFUNCTION("""COMPUTED_VALUE"""),"Ángel Onofre Pérez Coll")</f>
        <v>Ángel Onofre Pérez Coll</v>
      </c>
      <c r="K112" s="40"/>
      <c r="L112" s="40" t="str">
        <f t="shared" ca="1" si="0"/>
        <v>ISL149</v>
      </c>
      <c r="M112" s="36" t="str">
        <f t="shared" ca="1" si="1"/>
        <v>ISL</v>
      </c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</row>
    <row r="113" spans="1:27">
      <c r="A113" s="40"/>
      <c r="B113" s="36"/>
      <c r="C113" s="40"/>
      <c r="D113" s="41"/>
      <c r="E113" s="40"/>
      <c r="F113" s="40" t="str">
        <f ca="1">IFERROR(__xludf.DUMMYFUNCTION("""COMPUTED_VALUE"""),"Lisandro Russian")</f>
        <v>Lisandro Russian</v>
      </c>
      <c r="G113" s="40" t="str">
        <f ca="1">IFERROR(__xludf.DUMMYFUNCTION("""COMPUTED_VALUE"""),"LRM")</f>
        <v>LRM</v>
      </c>
      <c r="H113" s="40" t="str">
        <f ca="1">IFERROR(__xludf.DUMMYFUNCTION("""COMPUTED_VALUE"""),"LRM12")</f>
        <v>LRM12</v>
      </c>
      <c r="I113" s="40" t="str">
        <f ca="1">IFERROR(__xludf.DUMMYFUNCTION("""COMPUTED_VALUE"""),"A")</f>
        <v>A</v>
      </c>
      <c r="J113" s="40" t="str">
        <f ca="1">IFERROR(__xludf.DUMMYFUNCTION("""COMPUTED_VALUE"""),"Ángel Rodríguez Paramás")</f>
        <v>Ángel Rodríguez Paramás</v>
      </c>
      <c r="K113" s="40"/>
      <c r="L113" s="40" t="str">
        <f t="shared" ca="1" si="0"/>
        <v>LRM12</v>
      </c>
      <c r="M113" s="36" t="str">
        <f t="shared" ca="1" si="1"/>
        <v>LRM</v>
      </c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</row>
    <row r="114" spans="1:27">
      <c r="A114" s="40"/>
      <c r="B114" s="36"/>
      <c r="C114" s="40"/>
      <c r="D114" s="41"/>
      <c r="E114" s="40"/>
      <c r="F114" s="40" t="str">
        <f ca="1">IFERROR(__xludf.DUMMYFUNCTION("""COMPUTED_VALUE"""),"Roberto Pereira")</f>
        <v>Roberto Pereira</v>
      </c>
      <c r="G114" s="40" t="str">
        <f ca="1">IFERROR(__xludf.DUMMYFUNCTION("""COMPUTED_VALUE"""),"RPG")</f>
        <v>RPG</v>
      </c>
      <c r="H114" s="40" t="str">
        <f ca="1">IFERROR(__xludf.DUMMYFUNCTION("""COMPUTED_VALUE"""),"RPG38")</f>
        <v>RPG38</v>
      </c>
      <c r="I114" s="40" t="str">
        <f ca="1">IFERROR(__xludf.DUMMYFUNCTION("""COMPUTED_VALUE"""),"A")</f>
        <v>A</v>
      </c>
      <c r="J114" s="40" t="str">
        <f ca="1">IFERROR(__xludf.DUMMYFUNCTION("""COMPUTED_VALUE"""),"Angela Castro Millos")</f>
        <v>Angela Castro Millos</v>
      </c>
      <c r="K114" s="40"/>
      <c r="L114" s="40" t="str">
        <f t="shared" ca="1" si="0"/>
        <v>RPG38</v>
      </c>
      <c r="M114" s="36" t="str">
        <f t="shared" ca="1" si="1"/>
        <v>RPG</v>
      </c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</row>
    <row r="115" spans="1:27">
      <c r="A115" s="40"/>
      <c r="B115" s="36"/>
      <c r="C115" s="40"/>
      <c r="D115" s="41"/>
      <c r="E115" s="40"/>
      <c r="F115" s="40" t="str">
        <f ca="1">IFERROR(__xludf.DUMMYFUNCTION("""COMPUTED_VALUE"""),"Patricia Solache")</f>
        <v>Patricia Solache</v>
      </c>
      <c r="G115" s="40" t="str">
        <f ca="1">IFERROR(__xludf.DUMMYFUNCTION("""COMPUTED_VALUE"""),"PSC")</f>
        <v>PSC</v>
      </c>
      <c r="H115" s="40" t="str">
        <f ca="1">IFERROR(__xludf.DUMMYFUNCTION("""COMPUTED_VALUE"""),"PSC32")</f>
        <v>PSC32</v>
      </c>
      <c r="I115" s="40" t="str">
        <f ca="1">IFERROR(__xludf.DUMMYFUNCTION("""COMPUTED_VALUE"""),"A")</f>
        <v>A</v>
      </c>
      <c r="J115" s="40" t="str">
        <f ca="1">IFERROR(__xludf.DUMMYFUNCTION("""COMPUTED_VALUE"""),"Angela Enterría González")</f>
        <v>Angela Enterría González</v>
      </c>
      <c r="K115" s="40"/>
      <c r="L115" s="40" t="str">
        <f t="shared" ca="1" si="0"/>
        <v>PSC32</v>
      </c>
      <c r="M115" s="36" t="str">
        <f t="shared" ca="1" si="1"/>
        <v>PSC</v>
      </c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</row>
    <row r="116" spans="1:27">
      <c r="A116" s="23"/>
      <c r="B116" s="36"/>
      <c r="C116" s="40"/>
      <c r="D116" s="38"/>
      <c r="E116" s="23"/>
      <c r="F116" s="40" t="str">
        <f ca="1">IFERROR(__xludf.DUMMYFUNCTION("""COMPUTED_VALUE"""),"Maika Blázquez")</f>
        <v>Maika Blázquez</v>
      </c>
      <c r="G116" s="40" t="str">
        <f ca="1">IFERROR(__xludf.DUMMYFUNCTION("""COMPUTED_VALUE"""),"MBM")</f>
        <v>MBM</v>
      </c>
      <c r="H116" s="40" t="str">
        <f ca="1">IFERROR(__xludf.DUMMYFUNCTION("""COMPUTED_VALUE"""),"MBM92")</f>
        <v>MBM92</v>
      </c>
      <c r="I116" s="40" t="str">
        <f ca="1">IFERROR(__xludf.DUMMYFUNCTION("""COMPUTED_VALUE"""),"A")</f>
        <v>A</v>
      </c>
      <c r="J116" s="40" t="str">
        <f ca="1">IFERROR(__xludf.DUMMYFUNCTION("""COMPUTED_VALUE"""),"Ángeles Díaz Díaz")</f>
        <v>Ángeles Díaz Díaz</v>
      </c>
      <c r="K116" s="40"/>
      <c r="L116" s="40" t="str">
        <f t="shared" ca="1" si="0"/>
        <v>MBM92</v>
      </c>
      <c r="M116" s="36" t="str">
        <f t="shared" ca="1" si="1"/>
        <v>MBM</v>
      </c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</row>
    <row r="117" spans="1:27">
      <c r="A117" s="40"/>
      <c r="B117" s="36"/>
      <c r="C117" s="40"/>
      <c r="D117" s="41"/>
      <c r="E117" s="23"/>
      <c r="F117" s="40" t="str">
        <f ca="1">IFERROR(__xludf.DUMMYFUNCTION("""COMPUTED_VALUE"""),"Mercè Cabrera")</f>
        <v>Mercè Cabrera</v>
      </c>
      <c r="G117" s="40" t="str">
        <f ca="1">IFERROR(__xludf.DUMMYFUNCTION("""COMPUTED_VALUE"""),"MCC")</f>
        <v>MCC</v>
      </c>
      <c r="H117" s="40" t="str">
        <f ca="1">IFERROR(__xludf.DUMMYFUNCTION("""COMPUTED_VALUE"""),"MCC66")</f>
        <v>MCC66</v>
      </c>
      <c r="I117" s="40" t="str">
        <f ca="1">IFERROR(__xludf.DUMMYFUNCTION("""COMPUTED_VALUE"""),"A")</f>
        <v>A</v>
      </c>
      <c r="J117" s="40" t="str">
        <f ca="1">IFERROR(__xludf.DUMMYFUNCTION("""COMPUTED_VALUE"""),"Anna Mateo Montfort")</f>
        <v>Anna Mateo Montfort</v>
      </c>
      <c r="K117" s="40"/>
      <c r="L117" s="40" t="str">
        <f t="shared" ca="1" si="0"/>
        <v>MCC66</v>
      </c>
      <c r="M117" s="36" t="str">
        <f t="shared" ca="1" si="1"/>
        <v>MCC</v>
      </c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</row>
    <row r="118" spans="1:27">
      <c r="A118" s="40"/>
      <c r="B118" s="36"/>
      <c r="C118" s="40"/>
      <c r="D118" s="41"/>
      <c r="E118" s="40"/>
      <c r="F118" s="40" t="str">
        <f ca="1">IFERROR(__xludf.DUMMYFUNCTION("""COMPUTED_VALUE"""),"Mercè Cabrera")</f>
        <v>Mercè Cabrera</v>
      </c>
      <c r="G118" s="40" t="str">
        <f ca="1">IFERROR(__xludf.DUMMYFUNCTION("""COMPUTED_VALUE"""),"MCC")</f>
        <v>MCC</v>
      </c>
      <c r="H118" s="40" t="str">
        <f ca="1">IFERROR(__xludf.DUMMYFUNCTION("""COMPUTED_VALUE"""),"MCC39")</f>
        <v>MCC39</v>
      </c>
      <c r="I118" s="40" t="str">
        <f ca="1">IFERROR(__xludf.DUMMYFUNCTION("""COMPUTED_VALUE"""),"A")</f>
        <v>A</v>
      </c>
      <c r="J118" s="40" t="str">
        <f ca="1">IFERROR(__xludf.DUMMYFUNCTION("""COMPUTED_VALUE"""),"Anna Penella Prat")</f>
        <v>Anna Penella Prat</v>
      </c>
      <c r="K118" s="40"/>
      <c r="L118" s="40" t="str">
        <f t="shared" ca="1" si="0"/>
        <v>MCC39</v>
      </c>
      <c r="M118" s="36" t="str">
        <f t="shared" ca="1" si="1"/>
        <v>MCC</v>
      </c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</row>
    <row r="119" spans="1:27">
      <c r="A119" s="40"/>
      <c r="B119" s="36"/>
      <c r="C119" s="43"/>
      <c r="D119" s="41"/>
      <c r="E119" s="40"/>
      <c r="F119" s="40" t="str">
        <f ca="1">IFERROR(__xludf.DUMMYFUNCTION("""COMPUTED_VALUE"""),"Mercè Cabrera")</f>
        <v>Mercè Cabrera</v>
      </c>
      <c r="G119" s="40" t="str">
        <f ca="1">IFERROR(__xludf.DUMMYFUNCTION("""COMPUTED_VALUE"""),"MCC")</f>
        <v>MCC</v>
      </c>
      <c r="H119" s="40" t="str">
        <f ca="1">IFERROR(__xludf.DUMMYFUNCTION("""COMPUTED_VALUE"""),"MCC40")</f>
        <v>MCC40</v>
      </c>
      <c r="I119" s="40" t="str">
        <f ca="1">IFERROR(__xludf.DUMMYFUNCTION("""COMPUTED_VALUE"""),"A")</f>
        <v>A</v>
      </c>
      <c r="J119" s="40" t="str">
        <f ca="1">IFERROR(__xludf.DUMMYFUNCTION("""COMPUTED_VALUE"""),"Anna Sumarroca Trouboul")</f>
        <v>Anna Sumarroca Trouboul</v>
      </c>
      <c r="K119" s="40"/>
      <c r="L119" s="40" t="str">
        <f t="shared" ca="1" si="0"/>
        <v>MCC40</v>
      </c>
      <c r="M119" s="36" t="str">
        <f t="shared" ca="1" si="1"/>
        <v>MCC</v>
      </c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</row>
    <row r="120" spans="1:27">
      <c r="A120" s="40"/>
      <c r="B120" s="36"/>
      <c r="C120" s="40"/>
      <c r="D120" s="41"/>
      <c r="E120" s="40"/>
      <c r="F120" s="40" t="str">
        <f ca="1">IFERROR(__xludf.DUMMYFUNCTION("""COMPUTED_VALUE"""),"Roberto Pereira")</f>
        <v>Roberto Pereira</v>
      </c>
      <c r="G120" s="40" t="str">
        <f ca="1">IFERROR(__xludf.DUMMYFUNCTION("""COMPUTED_VALUE"""),"RPG")</f>
        <v>RPG</v>
      </c>
      <c r="H120" s="40" t="str">
        <f ca="1">IFERROR(__xludf.DUMMYFUNCTION("""COMPUTED_VALUE"""),"RPG03")</f>
        <v>RPG03</v>
      </c>
      <c r="I120" s="40" t="str">
        <f ca="1">IFERROR(__xludf.DUMMYFUNCTION("""COMPUTED_VALUE"""),"A")</f>
        <v>A</v>
      </c>
      <c r="J120" s="40" t="str">
        <f ca="1">IFERROR(__xludf.DUMMYFUNCTION("""COMPUTED_VALUE"""),"Anselmo Padín Seara")</f>
        <v>Anselmo Padín Seara</v>
      </c>
      <c r="K120" s="40"/>
      <c r="L120" s="40" t="str">
        <f t="shared" ca="1" si="0"/>
        <v>RPG03</v>
      </c>
      <c r="M120" s="36" t="str">
        <f t="shared" ca="1" si="1"/>
        <v>RPG</v>
      </c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</row>
    <row r="121" spans="1:27">
      <c r="A121" s="40"/>
      <c r="B121" s="36"/>
      <c r="C121" s="40"/>
      <c r="D121" s="41"/>
      <c r="E121" s="40"/>
      <c r="F121" s="40" t="str">
        <f ca="1">IFERROR(__xludf.DUMMYFUNCTION("""COMPUTED_VALUE"""),"Patricia Solache")</f>
        <v>Patricia Solache</v>
      </c>
      <c r="G121" s="40" t="str">
        <f ca="1">IFERROR(__xludf.DUMMYFUNCTION("""COMPUTED_VALUE"""),"PSC")</f>
        <v>PSC</v>
      </c>
      <c r="H121" s="40" t="str">
        <f ca="1">IFERROR(__xludf.DUMMYFUNCTION("""COMPUTED_VALUE"""),"PSC33")</f>
        <v>PSC33</v>
      </c>
      <c r="I121" s="40" t="str">
        <f ca="1">IFERROR(__xludf.DUMMYFUNCTION("""COMPUTED_VALUE"""),"A")</f>
        <v>A</v>
      </c>
      <c r="J121" s="40" t="str">
        <f ca="1">IFERROR(__xludf.DUMMYFUNCTION("""COMPUTED_VALUE"""),"Antonia Carranza Calleja")</f>
        <v>Antonia Carranza Calleja</v>
      </c>
      <c r="K121" s="40"/>
      <c r="L121" s="40" t="str">
        <f t="shared" ca="1" si="0"/>
        <v>PSC33</v>
      </c>
      <c r="M121" s="36" t="str">
        <f t="shared" ca="1" si="1"/>
        <v>PSC</v>
      </c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</row>
    <row r="122" spans="1:27">
      <c r="A122" s="40"/>
      <c r="B122" s="36"/>
      <c r="C122" s="40"/>
      <c r="D122" s="41"/>
      <c r="E122" s="40"/>
      <c r="F122" s="40" t="str">
        <f ca="1">IFERROR(__xludf.DUMMYFUNCTION("""COMPUTED_VALUE"""),"Iván Sánchez")</f>
        <v>Iván Sánchez</v>
      </c>
      <c r="G122" s="40" t="str">
        <f ca="1">IFERROR(__xludf.DUMMYFUNCTION("""COMPUTED_VALUE"""),"ISL")</f>
        <v>ISL</v>
      </c>
      <c r="H122" s="40" t="str">
        <f ca="1">IFERROR(__xludf.DUMMYFUNCTION("""COMPUTED_VALUE"""),"ISL07")</f>
        <v>ISL07</v>
      </c>
      <c r="I122" s="40" t="str">
        <f ca="1">IFERROR(__xludf.DUMMYFUNCTION("""COMPUTED_VALUE"""),"B")</f>
        <v>B</v>
      </c>
      <c r="J122" s="40" t="str">
        <f ca="1">IFERROR(__xludf.DUMMYFUNCTION("""COMPUTED_VALUE"""),"Antonio Almodovar Iñesta")</f>
        <v>Antonio Almodovar Iñesta</v>
      </c>
      <c r="K122" s="40"/>
      <c r="L122" s="40" t="str">
        <f t="shared" ca="1" si="0"/>
        <v>ISL07</v>
      </c>
      <c r="M122" s="36" t="str">
        <f t="shared" ca="1" si="1"/>
        <v>ISL</v>
      </c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</row>
    <row r="123" spans="1:27">
      <c r="A123" s="40"/>
      <c r="B123" s="36"/>
      <c r="C123" s="40"/>
      <c r="D123" s="41"/>
      <c r="E123" s="40"/>
      <c r="F123" s="40" t="str">
        <f ca="1">IFERROR(__xludf.DUMMYFUNCTION("""COMPUTED_VALUE"""),"Maika Blázquez")</f>
        <v>Maika Blázquez</v>
      </c>
      <c r="G123" s="40" t="str">
        <f ca="1">IFERROR(__xludf.DUMMYFUNCTION("""COMPUTED_VALUE"""),"MBM")</f>
        <v>MBM</v>
      </c>
      <c r="H123" s="40" t="str">
        <f ca="1">IFERROR(__xludf.DUMMYFUNCTION("""COMPUTED_VALUE"""),"MBM08")</f>
        <v>MBM08</v>
      </c>
      <c r="I123" s="40" t="str">
        <f ca="1">IFERROR(__xludf.DUMMYFUNCTION("""COMPUTED_VALUE"""),"A")</f>
        <v>A</v>
      </c>
      <c r="J123" s="40" t="str">
        <f ca="1">IFERROR(__xludf.DUMMYFUNCTION("""COMPUTED_VALUE"""),"Antonio Alonso Seco")</f>
        <v>Antonio Alonso Seco</v>
      </c>
      <c r="K123" s="40"/>
      <c r="L123" s="40" t="str">
        <f t="shared" ca="1" si="0"/>
        <v>MBM08</v>
      </c>
      <c r="M123" s="36" t="str">
        <f t="shared" ca="1" si="1"/>
        <v>MBM</v>
      </c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</row>
    <row r="124" spans="1:27">
      <c r="A124" s="40"/>
      <c r="B124" s="36"/>
      <c r="C124" s="40"/>
      <c r="D124" s="41"/>
      <c r="E124" s="40"/>
      <c r="F124" s="40" t="str">
        <f ca="1">IFERROR(__xludf.DUMMYFUNCTION("""COMPUTED_VALUE"""),"Lisandro Russian")</f>
        <v>Lisandro Russian</v>
      </c>
      <c r="G124" s="40" t="str">
        <f ca="1">IFERROR(__xludf.DUMMYFUNCTION("""COMPUTED_VALUE"""),"LRM")</f>
        <v>LRM</v>
      </c>
      <c r="H124" s="40" t="str">
        <f ca="1">IFERROR(__xludf.DUMMYFUNCTION("""COMPUTED_VALUE"""),"LRM260")</f>
        <v>LRM260</v>
      </c>
      <c r="I124" s="40" t="str">
        <f ca="1">IFERROR(__xludf.DUMMYFUNCTION("""COMPUTED_VALUE"""),"A")</f>
        <v>A</v>
      </c>
      <c r="J124" s="40" t="str">
        <f ca="1">IFERROR(__xludf.DUMMYFUNCTION("""COMPUTED_VALUE"""),"Antonio Ballesteros Chozas")</f>
        <v>Antonio Ballesteros Chozas</v>
      </c>
      <c r="K124" s="40"/>
      <c r="L124" s="40" t="str">
        <f t="shared" ca="1" si="0"/>
        <v>LRM260</v>
      </c>
      <c r="M124" s="36" t="str">
        <f t="shared" ca="1" si="1"/>
        <v>LRM</v>
      </c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</row>
    <row r="125" spans="1:27">
      <c r="A125" s="40"/>
      <c r="B125" s="36"/>
      <c r="C125" s="40"/>
      <c r="D125" s="41"/>
      <c r="E125" s="40"/>
      <c r="F125" s="40" t="str">
        <f ca="1">IFERROR(__xludf.DUMMYFUNCTION("""COMPUTED_VALUE"""),"Iván Sánchez")</f>
        <v>Iván Sánchez</v>
      </c>
      <c r="G125" s="40" t="str">
        <f ca="1">IFERROR(__xludf.DUMMYFUNCTION("""COMPUTED_VALUE"""),"ISL")</f>
        <v>ISL</v>
      </c>
      <c r="H125" s="40" t="str">
        <f ca="1">IFERROR(__xludf.DUMMYFUNCTION("""COMPUTED_VALUE"""),"ISL08")</f>
        <v>ISL08</v>
      </c>
      <c r="I125" s="40" t="str">
        <f ca="1">IFERROR(__xludf.DUMMYFUNCTION("""COMPUTED_VALUE"""),"B")</f>
        <v>B</v>
      </c>
      <c r="J125" s="40" t="str">
        <f ca="1">IFERROR(__xludf.DUMMYFUNCTION("""COMPUTED_VALUE"""),"Antonio Belinchón de Diego")</f>
        <v>Antonio Belinchón de Diego</v>
      </c>
      <c r="K125" s="40"/>
      <c r="L125" s="40" t="str">
        <f t="shared" ca="1" si="0"/>
        <v>ISL08</v>
      </c>
      <c r="M125" s="36" t="str">
        <f t="shared" ca="1" si="1"/>
        <v>ISL</v>
      </c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</row>
    <row r="126" spans="1:27">
      <c r="A126" s="40"/>
      <c r="B126" s="36"/>
      <c r="C126" s="40"/>
      <c r="D126" s="41"/>
      <c r="E126" s="40"/>
      <c r="F126" s="40" t="str">
        <f ca="1">IFERROR(__xludf.DUMMYFUNCTION("""COMPUTED_VALUE"""),"Lisandro Russian")</f>
        <v>Lisandro Russian</v>
      </c>
      <c r="G126" s="40" t="str">
        <f ca="1">IFERROR(__xludf.DUMMYFUNCTION("""COMPUTED_VALUE"""),"LRM")</f>
        <v>LRM</v>
      </c>
      <c r="H126" s="40" t="str">
        <f ca="1">IFERROR(__xludf.DUMMYFUNCTION("""COMPUTED_VALUE"""),"LRM13")</f>
        <v>LRM13</v>
      </c>
      <c r="I126" s="40" t="str">
        <f ca="1">IFERROR(__xludf.DUMMYFUNCTION("""COMPUTED_VALUE"""),"C")</f>
        <v>C</v>
      </c>
      <c r="J126" s="40" t="str">
        <f ca="1">IFERROR(__xludf.DUMMYFUNCTION("""COMPUTED_VALUE"""),"Antonio Bueno Ríos")</f>
        <v>Antonio Bueno Ríos</v>
      </c>
      <c r="K126" s="40"/>
      <c r="L126" s="40" t="str">
        <f t="shared" ca="1" si="0"/>
        <v>LRM13</v>
      </c>
      <c r="M126" s="36" t="str">
        <f t="shared" ca="1" si="1"/>
        <v>LRM</v>
      </c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</row>
    <row r="127" spans="1:27">
      <c r="A127" s="40"/>
      <c r="B127" s="36"/>
      <c r="C127" s="40"/>
      <c r="D127" s="41"/>
      <c r="E127" s="40"/>
      <c r="F127" s="40" t="str">
        <f ca="1">IFERROR(__xludf.DUMMYFUNCTION("""COMPUTED_VALUE"""),"Iván Sánchez")</f>
        <v>Iván Sánchez</v>
      </c>
      <c r="G127" s="40" t="str">
        <f ca="1">IFERROR(__xludf.DUMMYFUNCTION("""COMPUTED_VALUE"""),"ISL")</f>
        <v>ISL</v>
      </c>
      <c r="H127" s="40" t="str">
        <f ca="1">IFERROR(__xludf.DUMMYFUNCTION("""COMPUTED_VALUE"""),"ISL09")</f>
        <v>ISL09</v>
      </c>
      <c r="I127" s="40" t="str">
        <f ca="1">IFERROR(__xludf.DUMMYFUNCTION("""COMPUTED_VALUE"""),"B")</f>
        <v>B</v>
      </c>
      <c r="J127" s="40" t="str">
        <f ca="1">IFERROR(__xludf.DUMMYFUNCTION("""COMPUTED_VALUE"""),"Antonio Burgos Sánchez")</f>
        <v>Antonio Burgos Sánchez</v>
      </c>
      <c r="K127" s="40"/>
      <c r="L127" s="40" t="str">
        <f t="shared" ca="1" si="0"/>
        <v>ISL09</v>
      </c>
      <c r="M127" s="36" t="str">
        <f t="shared" ca="1" si="1"/>
        <v>ISL</v>
      </c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</row>
    <row r="128" spans="1:27">
      <c r="A128" s="40"/>
      <c r="B128" s="36"/>
      <c r="C128" s="40"/>
      <c r="D128" s="41"/>
      <c r="E128" s="40"/>
      <c r="F128" s="40" t="str">
        <f ca="1">IFERROR(__xludf.DUMMYFUNCTION("""COMPUTED_VALUE"""),"Maika Blázquez")</f>
        <v>Maika Blázquez</v>
      </c>
      <c r="G128" s="40" t="str">
        <f ca="1">IFERROR(__xludf.DUMMYFUNCTION("""COMPUTED_VALUE"""),"MBM")</f>
        <v>MBM</v>
      </c>
      <c r="H128" s="40" t="str">
        <f ca="1">IFERROR(__xludf.DUMMYFUNCTION("""COMPUTED_VALUE"""),"MBM09")</f>
        <v>MBM09</v>
      </c>
      <c r="I128" s="40" t="str">
        <f ca="1">IFERROR(__xludf.DUMMYFUNCTION("""COMPUTED_VALUE"""),"A")</f>
        <v>A</v>
      </c>
      <c r="J128" s="40" t="str">
        <f ca="1">IFERROR(__xludf.DUMMYFUNCTION("""COMPUTED_VALUE"""),"Antonio Escalante Meilan")</f>
        <v>Antonio Escalante Meilan</v>
      </c>
      <c r="K128" s="40"/>
      <c r="L128" s="40" t="str">
        <f t="shared" ca="1" si="0"/>
        <v>MBM09</v>
      </c>
      <c r="M128" s="36" t="str">
        <f t="shared" ca="1" si="1"/>
        <v>MBM</v>
      </c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</row>
    <row r="129" spans="1:27">
      <c r="A129" s="40"/>
      <c r="B129" s="36"/>
      <c r="C129" s="40"/>
      <c r="D129" s="41"/>
      <c r="E129" s="23"/>
      <c r="F129" s="40" t="str">
        <f ca="1">IFERROR(__xludf.DUMMYFUNCTION("""COMPUTED_VALUE"""),"Maika Blázquez")</f>
        <v>Maika Blázquez</v>
      </c>
      <c r="G129" s="40" t="str">
        <f ca="1">IFERROR(__xludf.DUMMYFUNCTION("""COMPUTED_VALUE"""),"MBM")</f>
        <v>MBM</v>
      </c>
      <c r="H129" s="40" t="str">
        <f ca="1">IFERROR(__xludf.DUMMYFUNCTION("""COMPUTED_VALUE"""),"MBM10")</f>
        <v>MBM10</v>
      </c>
      <c r="I129" s="40" t="str">
        <f ca="1">IFERROR(__xludf.DUMMYFUNCTION("""COMPUTED_VALUE"""),"A")</f>
        <v>A</v>
      </c>
      <c r="J129" s="40" t="str">
        <f ca="1">IFERROR(__xludf.DUMMYFUNCTION("""COMPUTED_VALUE"""),"Antonio Fraile Azpeitia")</f>
        <v>Antonio Fraile Azpeitia</v>
      </c>
      <c r="K129" s="40"/>
      <c r="L129" s="40" t="str">
        <f t="shared" ca="1" si="0"/>
        <v>MBM10</v>
      </c>
      <c r="M129" s="36" t="str">
        <f t="shared" ca="1" si="1"/>
        <v>MBM</v>
      </c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</row>
    <row r="130" spans="1:27">
      <c r="A130" s="40"/>
      <c r="B130" s="36"/>
      <c r="C130" s="40"/>
      <c r="D130" s="41"/>
      <c r="E130" s="40"/>
      <c r="F130" s="40" t="str">
        <f ca="1">IFERROR(__xludf.DUMMYFUNCTION("""COMPUTED_VALUE"""),"Iván Sánchez")</f>
        <v>Iván Sánchez</v>
      </c>
      <c r="G130" s="40" t="str">
        <f ca="1">IFERROR(__xludf.DUMMYFUNCTION("""COMPUTED_VALUE"""),"ISL")</f>
        <v>ISL</v>
      </c>
      <c r="H130" s="40" t="str">
        <f ca="1">IFERROR(__xludf.DUMMYFUNCTION("""COMPUTED_VALUE"""),"ISL10")</f>
        <v>ISL10</v>
      </c>
      <c r="I130" s="40" t="str">
        <f ca="1">IFERROR(__xludf.DUMMYFUNCTION("""COMPUTED_VALUE"""),"B")</f>
        <v>B</v>
      </c>
      <c r="J130" s="40" t="str">
        <f ca="1">IFERROR(__xludf.DUMMYFUNCTION("""COMPUTED_VALUE"""),"Antonio Galindo Fernández")</f>
        <v>Antonio Galindo Fernández</v>
      </c>
      <c r="K130" s="40"/>
      <c r="L130" s="40" t="str">
        <f t="shared" ca="1" si="0"/>
        <v>ISL10</v>
      </c>
      <c r="M130" s="36" t="str">
        <f t="shared" ca="1" si="1"/>
        <v>ISL</v>
      </c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</row>
    <row r="131" spans="1:27">
      <c r="A131" s="40"/>
      <c r="B131" s="36"/>
      <c r="C131" s="40"/>
      <c r="D131" s="41"/>
      <c r="E131" s="40"/>
      <c r="F131" s="40" t="str">
        <f ca="1">IFERROR(__xludf.DUMMYFUNCTION("""COMPUTED_VALUE"""),"Luis Alberto Rodríguez")</f>
        <v>Luis Alberto Rodríguez</v>
      </c>
      <c r="G131" s="40" t="str">
        <f ca="1">IFERROR(__xludf.DUMMYFUNCTION("""COMPUTED_VALUE"""),"LAA")</f>
        <v>LAA</v>
      </c>
      <c r="H131" s="40" t="str">
        <f ca="1">IFERROR(__xludf.DUMMYFUNCTION("""COMPUTED_VALUE"""),"LAA02")</f>
        <v>LAA02</v>
      </c>
      <c r="I131" s="40" t="str">
        <f ca="1">IFERROR(__xludf.DUMMYFUNCTION("""COMPUTED_VALUE"""),"C")</f>
        <v>C</v>
      </c>
      <c r="J131" s="40" t="str">
        <f ca="1">IFERROR(__xludf.DUMMYFUNCTION("""COMPUTED_VALUE"""),"Antonio Gandúl Merchán")</f>
        <v>Antonio Gandúl Merchán</v>
      </c>
      <c r="K131" s="40"/>
      <c r="L131" s="40" t="str">
        <f t="shared" ca="1" si="0"/>
        <v>LAA02</v>
      </c>
      <c r="M131" s="36" t="str">
        <f t="shared" ca="1" si="1"/>
        <v>LAA</v>
      </c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</row>
    <row r="132" spans="1:27">
      <c r="A132" s="40"/>
      <c r="B132" s="36"/>
      <c r="C132" s="40"/>
      <c r="D132" s="41"/>
      <c r="E132" s="40"/>
      <c r="F132" s="40" t="str">
        <f ca="1">IFERROR(__xludf.DUMMYFUNCTION("""COMPUTED_VALUE"""),"Alberto Moreno")</f>
        <v>Alberto Moreno</v>
      </c>
      <c r="G132" s="40" t="str">
        <f ca="1">IFERROR(__xludf.DUMMYFUNCTION("""COMPUTED_VALUE"""),"AMM")</f>
        <v>AMM</v>
      </c>
      <c r="H132" s="40" t="str">
        <f ca="1">IFERROR(__xludf.DUMMYFUNCTION("""COMPUTED_VALUE"""),"AMM19")</f>
        <v>AMM19</v>
      </c>
      <c r="I132" s="40" t="str">
        <f ca="1">IFERROR(__xludf.DUMMYFUNCTION("""COMPUTED_VALUE"""),"A")</f>
        <v>A</v>
      </c>
      <c r="J132" s="40" t="str">
        <f ca="1">IFERROR(__xludf.DUMMYFUNCTION("""COMPUTED_VALUE"""),"Antonio García Díez")</f>
        <v>Antonio García Díez</v>
      </c>
      <c r="K132" s="40"/>
      <c r="L132" s="40" t="str">
        <f t="shared" ca="1" si="0"/>
        <v>AMM19</v>
      </c>
      <c r="M132" s="36" t="str">
        <f t="shared" ca="1" si="1"/>
        <v>AMM</v>
      </c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</row>
    <row r="133" spans="1:27">
      <c r="A133" s="40"/>
      <c r="B133" s="36"/>
      <c r="C133" s="40"/>
      <c r="D133" s="41"/>
      <c r="E133" s="40"/>
      <c r="F133" s="40" t="str">
        <f ca="1">IFERROR(__xludf.DUMMYFUNCTION("""COMPUTED_VALUE"""),"Luis Alberto Rodríguez")</f>
        <v>Luis Alberto Rodríguez</v>
      </c>
      <c r="G133" s="40" t="str">
        <f ca="1">IFERROR(__xludf.DUMMYFUNCTION("""COMPUTED_VALUE"""),"LAA")</f>
        <v>LAA</v>
      </c>
      <c r="H133" s="40" t="str">
        <f ca="1">IFERROR(__xludf.DUMMYFUNCTION("""COMPUTED_VALUE"""),"LAA03")</f>
        <v>LAA03</v>
      </c>
      <c r="I133" s="40" t="str">
        <f ca="1">IFERROR(__xludf.DUMMYFUNCTION("""COMPUTED_VALUE"""),"C")</f>
        <v>C</v>
      </c>
      <c r="J133" s="40" t="str">
        <f ca="1">IFERROR(__xludf.DUMMYFUNCTION("""COMPUTED_VALUE"""),"Antonio Gómez Torres")</f>
        <v>Antonio Gómez Torres</v>
      </c>
      <c r="K133" s="40"/>
      <c r="L133" s="40" t="str">
        <f t="shared" ca="1" si="0"/>
        <v>LAA03</v>
      </c>
      <c r="M133" s="36" t="str">
        <f t="shared" ca="1" si="1"/>
        <v>LAA</v>
      </c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</row>
    <row r="134" spans="1:27">
      <c r="A134" s="40"/>
      <c r="B134" s="36"/>
      <c r="C134" s="40"/>
      <c r="D134" s="41"/>
      <c r="E134" s="40"/>
      <c r="F134" s="40" t="str">
        <f ca="1">IFERROR(__xludf.DUMMYFUNCTION("""COMPUTED_VALUE"""),"Roberto Pereira")</f>
        <v>Roberto Pereira</v>
      </c>
      <c r="G134" s="40" t="str">
        <f ca="1">IFERROR(__xludf.DUMMYFUNCTION("""COMPUTED_VALUE"""),"RPG")</f>
        <v>RPG</v>
      </c>
      <c r="H134" s="40" t="str">
        <f ca="1">IFERROR(__xludf.DUMMYFUNCTION("""COMPUTED_VALUE"""),"RPG04")</f>
        <v>RPG04</v>
      </c>
      <c r="I134" s="40" t="str">
        <f ca="1">IFERROR(__xludf.DUMMYFUNCTION("""COMPUTED_VALUE"""),"A")</f>
        <v>A</v>
      </c>
      <c r="J134" s="40" t="str">
        <f ca="1">IFERROR(__xludf.DUMMYFUNCTION("""COMPUTED_VALUE"""),"Antonio González Prado")</f>
        <v>Antonio González Prado</v>
      </c>
      <c r="K134" s="40"/>
      <c r="L134" s="40" t="str">
        <f t="shared" ca="1" si="0"/>
        <v>RPG04</v>
      </c>
      <c r="M134" s="36" t="str">
        <f t="shared" ca="1" si="1"/>
        <v>RPG</v>
      </c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</row>
    <row r="135" spans="1:27">
      <c r="A135" s="40"/>
      <c r="B135" s="36"/>
      <c r="C135" s="40"/>
      <c r="D135" s="41"/>
      <c r="E135" s="40"/>
      <c r="F135" s="40" t="str">
        <f ca="1">IFERROR(__xludf.DUMMYFUNCTION("""COMPUTED_VALUE"""),"Roberto Pereira")</f>
        <v>Roberto Pereira</v>
      </c>
      <c r="G135" s="40" t="str">
        <f ca="1">IFERROR(__xludf.DUMMYFUNCTION("""COMPUTED_VALUE"""),"RPG")</f>
        <v>RPG</v>
      </c>
      <c r="H135" s="40" t="str">
        <f ca="1">IFERROR(__xludf.DUMMYFUNCTION("""COMPUTED_VALUE"""),"RPG05")</f>
        <v>RPG05</v>
      </c>
      <c r="I135" s="40" t="str">
        <f ca="1">IFERROR(__xludf.DUMMYFUNCTION("""COMPUTED_VALUE"""),"A")</f>
        <v>A</v>
      </c>
      <c r="J135" s="40" t="str">
        <f ca="1">IFERROR(__xludf.DUMMYFUNCTION("""COMPUTED_VALUE"""),"Antonio Gustavo Lirola Delgado")</f>
        <v>Antonio Gustavo Lirola Delgado</v>
      </c>
      <c r="K135" s="40"/>
      <c r="L135" s="40" t="str">
        <f t="shared" ca="1" si="0"/>
        <v>RPG05</v>
      </c>
      <c r="M135" s="36" t="str">
        <f t="shared" ca="1" si="1"/>
        <v>RPG</v>
      </c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</row>
    <row r="136" spans="1:27">
      <c r="A136" s="40"/>
      <c r="B136" s="36"/>
      <c r="C136" s="40"/>
      <c r="D136" s="41"/>
      <c r="E136" s="40"/>
      <c r="F136" s="40" t="str">
        <f ca="1">IFERROR(__xludf.DUMMYFUNCTION("""COMPUTED_VALUE"""),"Ramon Ferrando")</f>
        <v>Ramon Ferrando</v>
      </c>
      <c r="G136" s="40" t="str">
        <f ca="1">IFERROR(__xludf.DUMMYFUNCTION("""COMPUTED_VALUE"""),"RFV")</f>
        <v>RFV</v>
      </c>
      <c r="H136" s="40" t="str">
        <f ca="1">IFERROR(__xludf.DUMMYFUNCTION("""COMPUTED_VALUE"""),"RFV01")</f>
        <v>RFV01</v>
      </c>
      <c r="I136" s="40" t="str">
        <f ca="1">IFERROR(__xludf.DUMMYFUNCTION("""COMPUTED_VALUE"""),"B")</f>
        <v>B</v>
      </c>
      <c r="J136" s="40" t="str">
        <f ca="1">IFERROR(__xludf.DUMMYFUNCTION("""COMPUTED_VALUE"""),"Antonio José Fernández Pérez")</f>
        <v>Antonio José Fernández Pérez</v>
      </c>
      <c r="K136" s="40"/>
      <c r="L136" s="40" t="str">
        <f t="shared" ca="1" si="0"/>
        <v>RFV01</v>
      </c>
      <c r="M136" s="36" t="str">
        <f t="shared" ca="1" si="1"/>
        <v>RFV</v>
      </c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</row>
    <row r="137" spans="1:27">
      <c r="A137" s="40"/>
      <c r="B137" s="36"/>
      <c r="C137" s="40"/>
      <c r="D137" s="41"/>
      <c r="E137" s="40"/>
      <c r="F137" s="40" t="str">
        <f ca="1">IFERROR(__xludf.DUMMYFUNCTION("""COMPUTED_VALUE"""),"Lisandro Russian")</f>
        <v>Lisandro Russian</v>
      </c>
      <c r="G137" s="40" t="str">
        <f ca="1">IFERROR(__xludf.DUMMYFUNCTION("""COMPUTED_VALUE"""),"LRM")</f>
        <v>LRM</v>
      </c>
      <c r="H137" s="40" t="str">
        <f ca="1">IFERROR(__xludf.DUMMYFUNCTION("""COMPUTED_VALUE"""),"LRM14")</f>
        <v>LRM14</v>
      </c>
      <c r="I137" s="40" t="str">
        <f ca="1">IFERROR(__xludf.DUMMYFUNCTION("""COMPUTED_VALUE"""),"A")</f>
        <v>A</v>
      </c>
      <c r="J137" s="40" t="str">
        <f ca="1">IFERROR(__xludf.DUMMYFUNCTION("""COMPUTED_VALUE"""),"Antonio José Lara Peinado")</f>
        <v>Antonio José Lara Peinado</v>
      </c>
      <c r="K137" s="40"/>
      <c r="L137" s="40" t="str">
        <f t="shared" ca="1" si="0"/>
        <v>LRM14</v>
      </c>
      <c r="M137" s="36" t="str">
        <f t="shared" ca="1" si="1"/>
        <v>LRM</v>
      </c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</row>
    <row r="138" spans="1:27">
      <c r="A138" s="40"/>
      <c r="B138" s="36"/>
      <c r="C138" s="40"/>
      <c r="D138" s="41"/>
      <c r="E138" s="40"/>
      <c r="F138" s="40" t="str">
        <f ca="1">IFERROR(__xludf.DUMMYFUNCTION("""COMPUTED_VALUE"""),"Patricia Solache")</f>
        <v>Patricia Solache</v>
      </c>
      <c r="G138" s="40" t="str">
        <f ca="1">IFERROR(__xludf.DUMMYFUNCTION("""COMPUTED_VALUE"""),"PSC")</f>
        <v>PSC</v>
      </c>
      <c r="H138" s="40" t="str">
        <f ca="1">IFERROR(__xludf.DUMMYFUNCTION("""COMPUTED_VALUE"""),"PSC03")</f>
        <v>PSC03</v>
      </c>
      <c r="I138" s="40" t="str">
        <f ca="1">IFERROR(__xludf.DUMMYFUNCTION("""COMPUTED_VALUE"""),"A")</f>
        <v>A</v>
      </c>
      <c r="J138" s="40" t="str">
        <f ca="1">IFERROR(__xludf.DUMMYFUNCTION("""COMPUTED_VALUE"""),"Antonio Lozano Sánchez")</f>
        <v>Antonio Lozano Sánchez</v>
      </c>
      <c r="K138" s="40"/>
      <c r="L138" s="40" t="str">
        <f t="shared" ca="1" si="0"/>
        <v>PSC03</v>
      </c>
      <c r="M138" s="36" t="str">
        <f t="shared" ca="1" si="1"/>
        <v>PSC</v>
      </c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</row>
    <row r="139" spans="1:27">
      <c r="A139" s="40"/>
      <c r="B139" s="36"/>
      <c r="C139" s="40"/>
      <c r="D139" s="41"/>
      <c r="E139" s="40"/>
      <c r="F139" s="40" t="str">
        <f ca="1">IFERROR(__xludf.DUMMYFUNCTION("""COMPUTED_VALUE"""),"Luis Alberto Rodríguez")</f>
        <v>Luis Alberto Rodríguez</v>
      </c>
      <c r="G139" s="40" t="str">
        <f ca="1">IFERROR(__xludf.DUMMYFUNCTION("""COMPUTED_VALUE"""),"LAA")</f>
        <v>LAA</v>
      </c>
      <c r="H139" s="40" t="str">
        <f ca="1">IFERROR(__xludf.DUMMYFUNCTION("""COMPUTED_VALUE"""),"LAA85")</f>
        <v>LAA85</v>
      </c>
      <c r="I139" s="40" t="str">
        <f ca="1">IFERROR(__xludf.DUMMYFUNCTION("""COMPUTED_VALUE"""),"C")</f>
        <v>C</v>
      </c>
      <c r="J139" s="40" t="str">
        <f ca="1">IFERROR(__xludf.DUMMYFUNCTION("""COMPUTED_VALUE"""),"Antonio Medinilla Vallejo")</f>
        <v>Antonio Medinilla Vallejo</v>
      </c>
      <c r="K139" s="40"/>
      <c r="L139" s="40" t="str">
        <f t="shared" ca="1" si="0"/>
        <v>LAA85</v>
      </c>
      <c r="M139" s="36" t="str">
        <f t="shared" ca="1" si="1"/>
        <v>LAA</v>
      </c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</row>
    <row r="140" spans="1:27">
      <c r="A140" s="40"/>
      <c r="B140" s="36"/>
      <c r="C140" s="40"/>
      <c r="D140" s="41"/>
      <c r="E140" s="40"/>
      <c r="F140" s="40" t="str">
        <f ca="1">IFERROR(__xludf.DUMMYFUNCTION("""COMPUTED_VALUE"""),"Iván Sánchez")</f>
        <v>Iván Sánchez</v>
      </c>
      <c r="G140" s="40" t="str">
        <f ca="1">IFERROR(__xludf.DUMMYFUNCTION("""COMPUTED_VALUE"""),"ISL")</f>
        <v>ISL</v>
      </c>
      <c r="H140" s="40" t="str">
        <f ca="1">IFERROR(__xludf.DUMMYFUNCTION("""COMPUTED_VALUE"""),"ISL11")</f>
        <v>ISL11</v>
      </c>
      <c r="I140" s="40" t="str">
        <f ca="1">IFERROR(__xludf.DUMMYFUNCTION("""COMPUTED_VALUE"""),"B")</f>
        <v>B</v>
      </c>
      <c r="J140" s="40" t="str">
        <f ca="1">IFERROR(__xludf.DUMMYFUNCTION("""COMPUTED_VALUE"""),"Antonio Morant Ventura")</f>
        <v>Antonio Morant Ventura</v>
      </c>
      <c r="K140" s="40"/>
      <c r="L140" s="40" t="str">
        <f t="shared" ca="1" si="0"/>
        <v>ISL11</v>
      </c>
      <c r="M140" s="36" t="str">
        <f t="shared" ca="1" si="1"/>
        <v>ISL</v>
      </c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</row>
    <row r="141" spans="1:27">
      <c r="A141" s="40"/>
      <c r="B141" s="36"/>
      <c r="C141" s="40"/>
      <c r="D141" s="41"/>
      <c r="E141" s="40"/>
      <c r="F141" s="40" t="str">
        <f ca="1">IFERROR(__xludf.DUMMYFUNCTION("""COMPUTED_VALUE"""),"Lisandro Russian")</f>
        <v>Lisandro Russian</v>
      </c>
      <c r="G141" s="40" t="str">
        <f ca="1">IFERROR(__xludf.DUMMYFUNCTION("""COMPUTED_VALUE"""),"LRM")</f>
        <v>LRM</v>
      </c>
      <c r="H141" s="40" t="str">
        <f ca="1">IFERROR(__xludf.DUMMYFUNCTION("""COMPUTED_VALUE"""),"LRM15")</f>
        <v>LRM15</v>
      </c>
      <c r="I141" s="40" t="str">
        <f ca="1">IFERROR(__xludf.DUMMYFUNCTION("""COMPUTED_VALUE"""),"A")</f>
        <v>A</v>
      </c>
      <c r="J141" s="40" t="str">
        <f ca="1">IFERROR(__xludf.DUMMYFUNCTION("""COMPUTED_VALUE"""),"Antonio Perez Sanchez")</f>
        <v>Antonio Perez Sanchez</v>
      </c>
      <c r="K141" s="40"/>
      <c r="L141" s="40" t="str">
        <f t="shared" ca="1" si="0"/>
        <v>LRM15</v>
      </c>
      <c r="M141" s="36" t="str">
        <f t="shared" ca="1" si="1"/>
        <v>LRM</v>
      </c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</row>
    <row r="142" spans="1:27">
      <c r="A142" s="40"/>
      <c r="B142" s="36"/>
      <c r="C142" s="40"/>
      <c r="D142" s="41"/>
      <c r="E142" s="40"/>
      <c r="F142" s="40" t="str">
        <f ca="1">IFERROR(__xludf.DUMMYFUNCTION("""COMPUTED_VALUE"""),"Maika Blázquez")</f>
        <v>Maika Blázquez</v>
      </c>
      <c r="G142" s="40" t="str">
        <f ca="1">IFERROR(__xludf.DUMMYFUNCTION("""COMPUTED_VALUE"""),"MBM")</f>
        <v>MBM</v>
      </c>
      <c r="H142" s="40" t="str">
        <f ca="1">IFERROR(__xludf.DUMMYFUNCTION("""COMPUTED_VALUE"""),"MBM11")</f>
        <v>MBM11</v>
      </c>
      <c r="I142" s="40" t="str">
        <f ca="1">IFERROR(__xludf.DUMMYFUNCTION("""COMPUTED_VALUE"""),"A")</f>
        <v>A</v>
      </c>
      <c r="J142" s="40" t="str">
        <f ca="1">IFERROR(__xludf.DUMMYFUNCTION("""COMPUTED_VALUE"""),"Antonio Rodríguez Rivero")</f>
        <v>Antonio Rodríguez Rivero</v>
      </c>
      <c r="K142" s="40"/>
      <c r="L142" s="40" t="str">
        <f t="shared" ca="1" si="0"/>
        <v>MBM11</v>
      </c>
      <c r="M142" s="36" t="str">
        <f t="shared" ca="1" si="1"/>
        <v>MBM</v>
      </c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</row>
    <row r="143" spans="1:27">
      <c r="A143" s="40"/>
      <c r="B143" s="36"/>
      <c r="C143" s="40"/>
      <c r="D143" s="41"/>
      <c r="E143" s="40"/>
      <c r="F143" s="40" t="str">
        <f ca="1">IFERROR(__xludf.DUMMYFUNCTION("""COMPUTED_VALUE"""),"Lisandro Russian")</f>
        <v>Lisandro Russian</v>
      </c>
      <c r="G143" s="40" t="str">
        <f ca="1">IFERROR(__xludf.DUMMYFUNCTION("""COMPUTED_VALUE"""),"LRM")</f>
        <v>LRM</v>
      </c>
      <c r="H143" s="40" t="str">
        <f ca="1">IFERROR(__xludf.DUMMYFUNCTION("""COMPUTED_VALUE"""),"LRM16")</f>
        <v>LRM16</v>
      </c>
      <c r="I143" s="40" t="str">
        <f ca="1">IFERROR(__xludf.DUMMYFUNCTION("""COMPUTED_VALUE"""),"A")</f>
        <v>A</v>
      </c>
      <c r="J143" s="40" t="str">
        <f ca="1">IFERROR(__xludf.DUMMYFUNCTION("""COMPUTED_VALUE"""),"Antonio Sánchez Del Hoyo")</f>
        <v>Antonio Sánchez Del Hoyo</v>
      </c>
      <c r="K143" s="40"/>
      <c r="L143" s="40" t="str">
        <f t="shared" ca="1" si="0"/>
        <v>LRM16</v>
      </c>
      <c r="M143" s="36" t="str">
        <f t="shared" ca="1" si="1"/>
        <v>LRM</v>
      </c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</row>
    <row r="144" spans="1:27">
      <c r="A144" s="40"/>
      <c r="B144" s="36"/>
      <c r="C144" s="40"/>
      <c r="D144" s="41"/>
      <c r="E144" s="40"/>
      <c r="F144" s="40" t="str">
        <f ca="1">IFERROR(__xludf.DUMMYFUNCTION("""COMPUTED_VALUE"""),"Lisandro Russian")</f>
        <v>Lisandro Russian</v>
      </c>
      <c r="G144" s="40" t="str">
        <f ca="1">IFERROR(__xludf.DUMMYFUNCTION("""COMPUTED_VALUE"""),"LRM")</f>
        <v>LRM</v>
      </c>
      <c r="H144" s="40" t="str">
        <f ca="1">IFERROR(__xludf.DUMMYFUNCTION("""COMPUTED_VALUE"""),"LRM17")</f>
        <v>LRM17</v>
      </c>
      <c r="I144" s="40" t="str">
        <f ca="1">IFERROR(__xludf.DUMMYFUNCTION("""COMPUTED_VALUE"""),"A")</f>
        <v>A</v>
      </c>
      <c r="J144" s="40" t="str">
        <f ca="1">IFERROR(__xludf.DUMMYFUNCTION("""COMPUTED_VALUE"""),"Aquileo Baena Arévalo")</f>
        <v>Aquileo Baena Arévalo</v>
      </c>
      <c r="K144" s="40"/>
      <c r="L144" s="40" t="str">
        <f t="shared" ca="1" si="0"/>
        <v>LRM17</v>
      </c>
      <c r="M144" s="36" t="str">
        <f t="shared" ca="1" si="1"/>
        <v>LRM</v>
      </c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</row>
    <row r="145" spans="1:27">
      <c r="A145" s="40"/>
      <c r="B145" s="36"/>
      <c r="C145" s="40"/>
      <c r="D145" s="41"/>
      <c r="E145" s="40"/>
      <c r="F145" s="40" t="str">
        <f ca="1">IFERROR(__xludf.DUMMYFUNCTION("""COMPUTED_VALUE"""),"Iván Sánchez")</f>
        <v>Iván Sánchez</v>
      </c>
      <c r="G145" s="40" t="str">
        <f ca="1">IFERROR(__xludf.DUMMYFUNCTION("""COMPUTED_VALUE"""),"ISL")</f>
        <v>ISL</v>
      </c>
      <c r="H145" s="40" t="str">
        <f ca="1">IFERROR(__xludf.DUMMYFUNCTION("""COMPUTED_VALUE"""),"ISL92")</f>
        <v>ISL92</v>
      </c>
      <c r="I145" s="40" t="str">
        <f ca="1">IFERROR(__xludf.DUMMYFUNCTION("""COMPUTED_VALUE"""),"B")</f>
        <v>B</v>
      </c>
      <c r="J145" s="40" t="str">
        <f ca="1">IFERROR(__xludf.DUMMYFUNCTION("""COMPUTED_VALUE"""),"Araceli González Delgado")</f>
        <v>Araceli González Delgado</v>
      </c>
      <c r="K145" s="40"/>
      <c r="L145" s="40" t="str">
        <f t="shared" ca="1" si="0"/>
        <v>ISL92</v>
      </c>
      <c r="M145" s="36" t="str">
        <f t="shared" ca="1" si="1"/>
        <v>ISL</v>
      </c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</row>
    <row r="146" spans="1:27">
      <c r="A146" s="40"/>
      <c r="B146" s="36"/>
      <c r="C146" s="40"/>
      <c r="D146" s="41"/>
      <c r="E146" s="40"/>
      <c r="F146" s="40" t="str">
        <f ca="1">IFERROR(__xludf.DUMMYFUNCTION("""COMPUTED_VALUE"""),"Lisandro Russian")</f>
        <v>Lisandro Russian</v>
      </c>
      <c r="G146" s="40" t="str">
        <f ca="1">IFERROR(__xludf.DUMMYFUNCTION("""COMPUTED_VALUE"""),"LRM")</f>
        <v>LRM</v>
      </c>
      <c r="H146" s="40" t="str">
        <f ca="1">IFERROR(__xludf.DUMMYFUNCTION("""COMPUTED_VALUE"""),"LRM18")</f>
        <v>LRM18</v>
      </c>
      <c r="I146" s="40" t="str">
        <f ca="1">IFERROR(__xludf.DUMMYFUNCTION("""COMPUTED_VALUE"""),"A")</f>
        <v>A</v>
      </c>
      <c r="J146" s="40" t="str">
        <f ca="1">IFERROR(__xludf.DUMMYFUNCTION("""COMPUTED_VALUE"""),"Asier Blanco Goñi")</f>
        <v>Asier Blanco Goñi</v>
      </c>
      <c r="K146" s="23"/>
      <c r="L146" s="40" t="str">
        <f t="shared" ca="1" si="0"/>
        <v>LRM18</v>
      </c>
      <c r="M146" s="36" t="str">
        <f t="shared" ca="1" si="1"/>
        <v>LRM</v>
      </c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</row>
    <row r="147" spans="1:27">
      <c r="A147" s="40"/>
      <c r="B147" s="36"/>
      <c r="C147" s="40"/>
      <c r="D147" s="41"/>
      <c r="E147" s="23"/>
      <c r="F147" s="40" t="str">
        <f ca="1">IFERROR(__xludf.DUMMYFUNCTION("""COMPUTED_VALUE"""),"Iván Sánchez")</f>
        <v>Iván Sánchez</v>
      </c>
      <c r="G147" s="40" t="str">
        <f ca="1">IFERROR(__xludf.DUMMYFUNCTION("""COMPUTED_VALUE"""),"ISL")</f>
        <v>ISL</v>
      </c>
      <c r="H147" s="40" t="str">
        <f ca="1">IFERROR(__xludf.DUMMYFUNCTION("""COMPUTED_VALUE"""),"ISL93")</f>
        <v>ISL93</v>
      </c>
      <c r="I147" s="40" t="str">
        <f ca="1">IFERROR(__xludf.DUMMYFUNCTION("""COMPUTED_VALUE"""),"B")</f>
        <v>B</v>
      </c>
      <c r="J147" s="23" t="str">
        <f ca="1">IFERROR(__xludf.DUMMYFUNCTION("""COMPUTED_VALUE"""),"Aurora López Llames")</f>
        <v>Aurora López Llames</v>
      </c>
      <c r="K147" s="23"/>
      <c r="L147" s="40" t="str">
        <f t="shared" ca="1" si="0"/>
        <v>ISL93</v>
      </c>
      <c r="M147" s="36" t="str">
        <f t="shared" ca="1" si="1"/>
        <v>ISL</v>
      </c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</row>
    <row r="148" spans="1:27">
      <c r="A148" s="40"/>
      <c r="B148" s="36"/>
      <c r="C148" s="40"/>
      <c r="D148" s="41"/>
      <c r="E148" s="40"/>
      <c r="F148" s="40" t="str">
        <f ca="1">IFERROR(__xludf.DUMMYFUNCTION("""COMPUTED_VALUE"""),"Lisandro Russian")</f>
        <v>Lisandro Russian</v>
      </c>
      <c r="G148" s="40" t="str">
        <f ca="1">IFERROR(__xludf.DUMMYFUNCTION("""COMPUTED_VALUE"""),"LRM")</f>
        <v>LRM</v>
      </c>
      <c r="H148" s="40" t="str">
        <f ca="1">IFERROR(__xludf.DUMMYFUNCTION("""COMPUTED_VALUE"""),"LRM136")</f>
        <v>LRM136</v>
      </c>
      <c r="I148" s="40" t="str">
        <f ca="1">IFERROR(__xludf.DUMMYFUNCTION("""COMPUTED_VALUE"""),"A")</f>
        <v>A</v>
      </c>
      <c r="J148" s="40" t="str">
        <f ca="1">IFERROR(__xludf.DUMMYFUNCTION("""COMPUTED_VALUE"""),"Aurora Rivas Laguarta")</f>
        <v>Aurora Rivas Laguarta</v>
      </c>
      <c r="K148" s="40"/>
      <c r="L148" s="40" t="str">
        <f t="shared" ca="1" si="0"/>
        <v>LRM136</v>
      </c>
      <c r="M148" s="36" t="str">
        <f t="shared" ca="1" si="1"/>
        <v>LRM</v>
      </c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</row>
    <row r="149" spans="1:27">
      <c r="A149" s="40"/>
      <c r="B149" s="36"/>
      <c r="C149" s="40"/>
      <c r="D149" s="41"/>
      <c r="E149" s="40"/>
      <c r="F149" s="40" t="str">
        <f ca="1">IFERROR(__xludf.DUMMYFUNCTION("""COMPUTED_VALUE"""),"Maika Blázquez")</f>
        <v>Maika Blázquez</v>
      </c>
      <c r="G149" s="40" t="str">
        <f ca="1">IFERROR(__xludf.DUMMYFUNCTION("""COMPUTED_VALUE"""),"MBM")</f>
        <v>MBM</v>
      </c>
      <c r="H149" s="40" t="str">
        <f ca="1">IFERROR(__xludf.DUMMYFUNCTION("""COMPUTED_VALUE"""),"MBM93")</f>
        <v>MBM93</v>
      </c>
      <c r="I149" s="40" t="str">
        <f ca="1">IFERROR(__xludf.DUMMYFUNCTION("""COMPUTED_VALUE"""),"A")</f>
        <v>A</v>
      </c>
      <c r="J149" s="40" t="str">
        <f ca="1">IFERROR(__xludf.DUMMYFUNCTION("""COMPUTED_VALUE"""),"Azucena Lloris Romero")</f>
        <v>Azucena Lloris Romero</v>
      </c>
      <c r="K149" s="40"/>
      <c r="L149" s="40" t="str">
        <f t="shared" ca="1" si="0"/>
        <v>MBM93</v>
      </c>
      <c r="M149" s="36" t="str">
        <f t="shared" ca="1" si="1"/>
        <v>MBM</v>
      </c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</row>
    <row r="150" spans="1:27">
      <c r="A150" s="40"/>
      <c r="B150" s="36"/>
      <c r="C150" s="40"/>
      <c r="D150" s="41"/>
      <c r="E150" s="40"/>
      <c r="F150" s="40" t="str">
        <f ca="1">IFERROR(__xludf.DUMMYFUNCTION("""COMPUTED_VALUE"""),"Maika Blázquez")</f>
        <v>Maika Blázquez</v>
      </c>
      <c r="G150" s="40" t="str">
        <f ca="1">IFERROR(__xludf.DUMMYFUNCTION("""COMPUTED_VALUE"""),"MBM")</f>
        <v>MBM</v>
      </c>
      <c r="H150" s="40" t="str">
        <f ca="1">IFERROR(__xludf.DUMMYFUNCTION("""COMPUTED_VALUE"""),"MBM94")</f>
        <v>MBM94</v>
      </c>
      <c r="I150" s="40" t="str">
        <f ca="1">IFERROR(__xludf.DUMMYFUNCTION("""COMPUTED_VALUE"""),"A")</f>
        <v>A</v>
      </c>
      <c r="J150" s="40" t="str">
        <f ca="1">IFERROR(__xludf.DUMMYFUNCTION("""COMPUTED_VALUE"""),"Bárbara Castillo Ávila")</f>
        <v>Bárbara Castillo Ávila</v>
      </c>
      <c r="K150" s="40"/>
      <c r="L150" s="40" t="str">
        <f t="shared" ca="1" si="0"/>
        <v>MBM94</v>
      </c>
      <c r="M150" s="36" t="str">
        <f t="shared" ca="1" si="1"/>
        <v>MBM</v>
      </c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</row>
    <row r="151" spans="1:27">
      <c r="A151" s="40"/>
      <c r="B151" s="36"/>
      <c r="C151" s="40"/>
      <c r="D151" s="41"/>
      <c r="E151" s="40"/>
      <c r="F151" s="40" t="str">
        <f ca="1">IFERROR(__xludf.DUMMYFUNCTION("""COMPUTED_VALUE"""),"Lisandro Russian")</f>
        <v>Lisandro Russian</v>
      </c>
      <c r="G151" s="40" t="str">
        <f ca="1">IFERROR(__xludf.DUMMYFUNCTION("""COMPUTED_VALUE"""),"LRM")</f>
        <v>LRM</v>
      </c>
      <c r="H151" s="40" t="str">
        <f ca="1">IFERROR(__xludf.DUMMYFUNCTION("""COMPUTED_VALUE"""),"LRM269")</f>
        <v>LRM269</v>
      </c>
      <c r="I151" s="40" t="str">
        <f ca="1">IFERROR(__xludf.DUMMYFUNCTION("""COMPUTED_VALUE"""),"A")</f>
        <v>A</v>
      </c>
      <c r="J151" s="40" t="str">
        <f ca="1">IFERROR(__xludf.DUMMYFUNCTION("""COMPUTED_VALUE"""),"Bárbara Serrano Calleja")</f>
        <v>Bárbara Serrano Calleja</v>
      </c>
      <c r="K151" s="40"/>
      <c r="L151" s="40" t="str">
        <f t="shared" ca="1" si="0"/>
        <v>LRM269</v>
      </c>
      <c r="M151" s="36" t="str">
        <f t="shared" ca="1" si="1"/>
        <v>LRM</v>
      </c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</row>
    <row r="152" spans="1:27">
      <c r="A152" s="40"/>
      <c r="B152" s="36"/>
      <c r="C152" s="40"/>
      <c r="D152" s="41"/>
      <c r="E152" s="40"/>
      <c r="F152" s="40" t="str">
        <f ca="1">IFERROR(__xludf.DUMMYFUNCTION("""COMPUTED_VALUE"""),"Lisandro Russian")</f>
        <v>Lisandro Russian</v>
      </c>
      <c r="G152" s="40" t="str">
        <f ca="1">IFERROR(__xludf.DUMMYFUNCTION("""COMPUTED_VALUE"""),"LRM")</f>
        <v>LRM</v>
      </c>
      <c r="H152" s="40" t="str">
        <f ca="1">IFERROR(__xludf.DUMMYFUNCTION("""COMPUTED_VALUE"""),"LRM137")</f>
        <v>LRM137</v>
      </c>
      <c r="I152" s="40" t="str">
        <f ca="1">IFERROR(__xludf.DUMMYFUNCTION("""COMPUTED_VALUE"""),"A")</f>
        <v>A</v>
      </c>
      <c r="J152" s="40" t="str">
        <f ca="1">IFERROR(__xludf.DUMMYFUNCTION("""COMPUTED_VALUE"""),"Beatríz Agreda Moreno")</f>
        <v>Beatríz Agreda Moreno</v>
      </c>
      <c r="K152" s="40"/>
      <c r="L152" s="40" t="str">
        <f t="shared" ca="1" si="0"/>
        <v>LRM137</v>
      </c>
      <c r="M152" s="36" t="str">
        <f t="shared" ca="1" si="1"/>
        <v>LRM</v>
      </c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</row>
    <row r="153" spans="1:27">
      <c r="A153" s="40"/>
      <c r="B153" s="36"/>
      <c r="C153" s="40"/>
      <c r="D153" s="41"/>
      <c r="E153" s="40"/>
      <c r="F153" s="40" t="str">
        <f ca="1">IFERROR(__xludf.DUMMYFUNCTION("""COMPUTED_VALUE"""),"Maika Blázquez")</f>
        <v>Maika Blázquez</v>
      </c>
      <c r="G153" s="40" t="str">
        <f ca="1">IFERROR(__xludf.DUMMYFUNCTION("""COMPUTED_VALUE"""),"MBM")</f>
        <v>MBM</v>
      </c>
      <c r="H153" s="40" t="str">
        <f ca="1">IFERROR(__xludf.DUMMYFUNCTION("""COMPUTED_VALUE"""),"MBM95")</f>
        <v>MBM95</v>
      </c>
      <c r="I153" s="40" t="str">
        <f ca="1">IFERROR(__xludf.DUMMYFUNCTION("""COMPUTED_VALUE"""),"A")</f>
        <v>A</v>
      </c>
      <c r="J153" s="40" t="str">
        <f ca="1">IFERROR(__xludf.DUMMYFUNCTION("""COMPUTED_VALUE"""),"Beatriz Arana Fernández")</f>
        <v>Beatriz Arana Fernández</v>
      </c>
      <c r="K153" s="40"/>
      <c r="L153" s="40" t="str">
        <f t="shared" ca="1" si="0"/>
        <v>MBM95</v>
      </c>
      <c r="M153" s="36" t="str">
        <f t="shared" ca="1" si="1"/>
        <v>MBM</v>
      </c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</row>
    <row r="154" spans="1:27">
      <c r="A154" s="40"/>
      <c r="B154" s="36"/>
      <c r="C154" s="40"/>
      <c r="D154" s="41"/>
      <c r="E154" s="40"/>
      <c r="F154" s="40" t="str">
        <f ca="1">IFERROR(__xludf.DUMMYFUNCTION("""COMPUTED_VALUE"""),"Lisandro Russian")</f>
        <v>Lisandro Russian</v>
      </c>
      <c r="G154" s="40" t="str">
        <f ca="1">IFERROR(__xludf.DUMMYFUNCTION("""COMPUTED_VALUE"""),"LRM")</f>
        <v>LRM</v>
      </c>
      <c r="H154" s="40" t="str">
        <f ca="1">IFERROR(__xludf.DUMMYFUNCTION("""COMPUTED_VALUE"""),"LRM138")</f>
        <v>LRM138</v>
      </c>
      <c r="I154" s="40" t="str">
        <f ca="1">IFERROR(__xludf.DUMMYFUNCTION("""COMPUTED_VALUE"""),"A")</f>
        <v>A</v>
      </c>
      <c r="J154" s="40" t="str">
        <f ca="1">IFERROR(__xludf.DUMMYFUNCTION("""COMPUTED_VALUE"""),"Beatriz Molina Montes")</f>
        <v>Beatriz Molina Montes</v>
      </c>
      <c r="K154" s="40"/>
      <c r="L154" s="40" t="str">
        <f t="shared" ca="1" si="0"/>
        <v>LRM138</v>
      </c>
      <c r="M154" s="36" t="str">
        <f t="shared" ca="1" si="1"/>
        <v>LRM</v>
      </c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</row>
    <row r="155" spans="1:27">
      <c r="A155" s="40"/>
      <c r="B155" s="36"/>
      <c r="C155" s="40"/>
      <c r="D155" s="41"/>
      <c r="E155" s="40"/>
      <c r="F155" s="40" t="str">
        <f ca="1">IFERROR(__xludf.DUMMYFUNCTION("""COMPUTED_VALUE"""),"Iván Sánchez")</f>
        <v>Iván Sánchez</v>
      </c>
      <c r="G155" s="40" t="str">
        <f ca="1">IFERROR(__xludf.DUMMYFUNCTION("""COMPUTED_VALUE"""),"ISL")</f>
        <v>ISL</v>
      </c>
      <c r="H155" s="40" t="str">
        <f ca="1">IFERROR(__xludf.DUMMYFUNCTION("""COMPUTED_VALUE"""),"ISL94")</f>
        <v>ISL94</v>
      </c>
      <c r="I155" s="40" t="str">
        <f ca="1">IFERROR(__xludf.DUMMYFUNCTION("""COMPUTED_VALUE"""),"B")</f>
        <v>B</v>
      </c>
      <c r="J155" s="40" t="str">
        <f ca="1">IFERROR(__xludf.DUMMYFUNCTION("""COMPUTED_VALUE"""),"Beatriz Rodríguez González Herrero")</f>
        <v>Beatriz Rodríguez González Herrero</v>
      </c>
      <c r="K155" s="40"/>
      <c r="L155" s="40" t="str">
        <f t="shared" ca="1" si="0"/>
        <v>ISL94</v>
      </c>
      <c r="M155" s="36" t="str">
        <f t="shared" ca="1" si="1"/>
        <v>ISL</v>
      </c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</row>
    <row r="156" spans="1:27">
      <c r="A156" s="40"/>
      <c r="B156" s="36"/>
      <c r="C156" s="40"/>
      <c r="D156" s="41"/>
      <c r="E156" s="40"/>
      <c r="F156" s="40" t="str">
        <f ca="1">IFERROR(__xludf.DUMMYFUNCTION("""COMPUTED_VALUE"""),"Maika Blázquez")</f>
        <v>Maika Blázquez</v>
      </c>
      <c r="G156" s="40" t="str">
        <f ca="1">IFERROR(__xludf.DUMMYFUNCTION("""COMPUTED_VALUE"""),"MBM")</f>
        <v>MBM</v>
      </c>
      <c r="H156" s="40" t="str">
        <f ca="1">IFERROR(__xludf.DUMMYFUNCTION("""COMPUTED_VALUE"""),"MBM96")</f>
        <v>MBM96</v>
      </c>
      <c r="I156" s="40" t="str">
        <f ca="1">IFERROR(__xludf.DUMMYFUNCTION("""COMPUTED_VALUE"""),"A")</f>
        <v>A</v>
      </c>
      <c r="J156" s="40" t="str">
        <f ca="1">IFERROR(__xludf.DUMMYFUNCTION("""COMPUTED_VALUE"""),"Beatriz Santos Duque")</f>
        <v>Beatriz Santos Duque</v>
      </c>
      <c r="K156" s="40"/>
      <c r="L156" s="40" t="str">
        <f t="shared" ca="1" si="0"/>
        <v>MBM96</v>
      </c>
      <c r="M156" s="36" t="str">
        <f t="shared" ca="1" si="1"/>
        <v>MBM</v>
      </c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</row>
    <row r="157" spans="1:27">
      <c r="A157" s="40"/>
      <c r="B157" s="36"/>
      <c r="C157" s="40"/>
      <c r="D157" s="41"/>
      <c r="E157" s="40"/>
      <c r="F157" s="40" t="str">
        <f ca="1">IFERROR(__xludf.DUMMYFUNCTION("""COMPUTED_VALUE"""),"Lisandro Russian")</f>
        <v>Lisandro Russian</v>
      </c>
      <c r="G157" s="40" t="str">
        <f ca="1">IFERROR(__xludf.DUMMYFUNCTION("""COMPUTED_VALUE"""),"LRM")</f>
        <v>LRM</v>
      </c>
      <c r="H157" s="40" t="str">
        <f ca="1">IFERROR(__xludf.DUMMYFUNCTION("""COMPUTED_VALUE"""),"LRM139")</f>
        <v>LRM139</v>
      </c>
      <c r="I157" s="40" t="str">
        <f ca="1">IFERROR(__xludf.DUMMYFUNCTION("""COMPUTED_VALUE"""),"A")</f>
        <v>A</v>
      </c>
      <c r="J157" s="40" t="str">
        <f ca="1">IFERROR(__xludf.DUMMYFUNCTION("""COMPUTED_VALUE"""),"Belén Clemente Cuartero")</f>
        <v>Belén Clemente Cuartero</v>
      </c>
      <c r="K157" s="40"/>
      <c r="L157" s="40" t="str">
        <f t="shared" ca="1" si="0"/>
        <v>LRM139</v>
      </c>
      <c r="M157" s="36" t="str">
        <f t="shared" ca="1" si="1"/>
        <v>LRM</v>
      </c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</row>
    <row r="158" spans="1:27">
      <c r="A158" s="40"/>
      <c r="B158" s="36"/>
      <c r="C158" s="40"/>
      <c r="D158" s="41"/>
      <c r="E158" s="40"/>
      <c r="F158" s="40" t="str">
        <f ca="1">IFERROR(__xludf.DUMMYFUNCTION("""COMPUTED_VALUE"""),"Lisandro Russian")</f>
        <v>Lisandro Russian</v>
      </c>
      <c r="G158" s="40" t="str">
        <f ca="1">IFERROR(__xludf.DUMMYFUNCTION("""COMPUTED_VALUE"""),"LRM")</f>
        <v>LRM</v>
      </c>
      <c r="H158" s="40" t="str">
        <f ca="1">IFERROR(__xludf.DUMMYFUNCTION("""COMPUTED_VALUE"""),"LRM140")</f>
        <v>LRM140</v>
      </c>
      <c r="I158" s="40" t="str">
        <f ca="1">IFERROR(__xludf.DUMMYFUNCTION("""COMPUTED_VALUE"""),"A")</f>
        <v>A</v>
      </c>
      <c r="J158" s="40" t="str">
        <f ca="1">IFERROR(__xludf.DUMMYFUNCTION("""COMPUTED_VALUE"""),"Belén Vielba Del Campo")</f>
        <v>Belén Vielba Del Campo</v>
      </c>
      <c r="K158" s="40"/>
      <c r="L158" s="40" t="str">
        <f t="shared" ca="1" si="0"/>
        <v>LRM140</v>
      </c>
      <c r="M158" s="36" t="str">
        <f t="shared" ca="1" si="1"/>
        <v>LRM</v>
      </c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</row>
    <row r="159" spans="1:27">
      <c r="A159" s="40"/>
      <c r="B159" s="36"/>
      <c r="C159" s="40"/>
      <c r="D159" s="41"/>
      <c r="E159" s="40"/>
      <c r="F159" s="40" t="str">
        <f ca="1">IFERROR(__xludf.DUMMYFUNCTION("""COMPUTED_VALUE"""),"Mercè Cabrera")</f>
        <v>Mercè Cabrera</v>
      </c>
      <c r="G159" s="40" t="str">
        <f ca="1">IFERROR(__xludf.DUMMYFUNCTION("""COMPUTED_VALUE"""),"MCC")</f>
        <v>MCC</v>
      </c>
      <c r="H159" s="40" t="str">
        <f ca="1">IFERROR(__xludf.DUMMYFUNCTION("""COMPUTED_VALUE"""),"MCC41")</f>
        <v>MCC41</v>
      </c>
      <c r="I159" s="40" t="str">
        <f ca="1">IFERROR(__xludf.DUMMYFUNCTION("""COMPUTED_VALUE"""),"A")</f>
        <v>A</v>
      </c>
      <c r="J159" s="40" t="str">
        <f ca="1">IFERROR(__xludf.DUMMYFUNCTION("""COMPUTED_VALUE"""),"Berta Alegre Edo")</f>
        <v>Berta Alegre Edo</v>
      </c>
      <c r="K159" s="40"/>
      <c r="L159" s="40" t="str">
        <f t="shared" ca="1" si="0"/>
        <v>MCC41</v>
      </c>
      <c r="M159" s="36" t="str">
        <f t="shared" ca="1" si="1"/>
        <v>MCC</v>
      </c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</row>
    <row r="160" spans="1:27">
      <c r="A160" s="40"/>
      <c r="B160" s="36"/>
      <c r="C160" s="40"/>
      <c r="D160" s="41"/>
      <c r="E160" s="40"/>
      <c r="F160" s="40" t="str">
        <f ca="1">IFERROR(__xludf.DUMMYFUNCTION("""COMPUTED_VALUE"""),"Roberto Pereira")</f>
        <v>Roberto Pereira</v>
      </c>
      <c r="G160" s="40" t="str">
        <f ca="1">IFERROR(__xludf.DUMMYFUNCTION("""COMPUTED_VALUE"""),"RPG")</f>
        <v>RPG</v>
      </c>
      <c r="H160" s="40" t="str">
        <f ca="1">IFERROR(__xludf.DUMMYFUNCTION("""COMPUTED_VALUE"""),"RPG39")</f>
        <v>RPG39</v>
      </c>
      <c r="I160" s="40" t="str">
        <f ca="1">IFERROR(__xludf.DUMMYFUNCTION("""COMPUTED_VALUE"""),"A")</f>
        <v>A</v>
      </c>
      <c r="J160" s="40" t="str">
        <f ca="1">IFERROR(__xludf.DUMMYFUNCTION("""COMPUTED_VALUE"""),"Berta Patiño Castiñeira")</f>
        <v>Berta Patiño Castiñeira</v>
      </c>
      <c r="K160" s="40"/>
      <c r="L160" s="40" t="str">
        <f t="shared" ca="1" si="0"/>
        <v>RPG39</v>
      </c>
      <c r="M160" s="36" t="str">
        <f t="shared" ca="1" si="1"/>
        <v>RPG</v>
      </c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</row>
    <row r="161" spans="1:27">
      <c r="A161" s="40"/>
      <c r="B161" s="36"/>
      <c r="C161" s="40"/>
      <c r="D161" s="41"/>
      <c r="E161" s="40"/>
      <c r="F161" s="40" t="str">
        <f ca="1">IFERROR(__xludf.DUMMYFUNCTION("""COMPUTED_VALUE"""),"Lisandro Russian")</f>
        <v>Lisandro Russian</v>
      </c>
      <c r="G161" s="40" t="str">
        <f ca="1">IFERROR(__xludf.DUMMYFUNCTION("""COMPUTED_VALUE"""),"LRM")</f>
        <v>LRM</v>
      </c>
      <c r="H161" s="40" t="str">
        <f ca="1">IFERROR(__xludf.DUMMYFUNCTION("""COMPUTED_VALUE"""),"LRM245")</f>
        <v>LRM245</v>
      </c>
      <c r="I161" s="40" t="str">
        <f ca="1">IFERROR(__xludf.DUMMYFUNCTION("""COMPUTED_VALUE"""),"A")</f>
        <v>A</v>
      </c>
      <c r="J161" s="40" t="str">
        <f ca="1">IFERROR(__xludf.DUMMYFUNCTION("""COMPUTED_VALUE"""),"Blanca De La Fuente Garcia-Peytavi")</f>
        <v>Blanca De La Fuente Garcia-Peytavi</v>
      </c>
      <c r="K161" s="40"/>
      <c r="L161" s="40" t="str">
        <f t="shared" ca="1" si="0"/>
        <v>LRM245</v>
      </c>
      <c r="M161" s="36" t="str">
        <f t="shared" ca="1" si="1"/>
        <v>LRM</v>
      </c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</row>
    <row r="162" spans="1:27">
      <c r="A162" s="40"/>
      <c r="B162" s="36"/>
      <c r="C162" s="40"/>
      <c r="D162" s="41"/>
      <c r="E162" s="40"/>
      <c r="F162" s="40" t="str">
        <f ca="1">IFERROR(__xludf.DUMMYFUNCTION("""COMPUTED_VALUE"""),"Mercè Cabrera")</f>
        <v>Mercè Cabrera</v>
      </c>
      <c r="G162" s="40" t="str">
        <f ca="1">IFERROR(__xludf.DUMMYFUNCTION("""COMPUTED_VALUE"""),"MCC")</f>
        <v>MCC</v>
      </c>
      <c r="H162" s="40" t="str">
        <f ca="1">IFERROR(__xludf.DUMMYFUNCTION("""COMPUTED_VALUE"""),"MCC42")</f>
        <v>MCC42</v>
      </c>
      <c r="I162" s="40" t="str">
        <f ca="1">IFERROR(__xludf.DUMMYFUNCTION("""COMPUTED_VALUE"""),"A")</f>
        <v>A</v>
      </c>
      <c r="J162" s="40" t="str">
        <f ca="1">IFERROR(__xludf.DUMMYFUNCTION("""COMPUTED_VALUE"""),"Blanca de Sitjar De Togores")</f>
        <v>Blanca de Sitjar De Togores</v>
      </c>
      <c r="K162" s="40"/>
      <c r="L162" s="40" t="str">
        <f t="shared" ca="1" si="0"/>
        <v>MCC42</v>
      </c>
      <c r="M162" s="36" t="str">
        <f t="shared" ca="1" si="1"/>
        <v>MCC</v>
      </c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</row>
    <row r="163" spans="1:27">
      <c r="A163" s="40"/>
      <c r="B163" s="36"/>
      <c r="C163" s="40"/>
      <c r="D163" s="41"/>
      <c r="E163" s="40"/>
      <c r="F163" s="40" t="str">
        <f ca="1">IFERROR(__xludf.DUMMYFUNCTION("""COMPUTED_VALUE"""),"Iván Sánchez")</f>
        <v>Iván Sánchez</v>
      </c>
      <c r="G163" s="40" t="str">
        <f ca="1">IFERROR(__xludf.DUMMYFUNCTION("""COMPUTED_VALUE"""),"ISL")</f>
        <v>ISL</v>
      </c>
      <c r="H163" s="40" t="str">
        <f ca="1">IFERROR(__xludf.DUMMYFUNCTION("""COMPUTED_VALUE"""),"ISL95")</f>
        <v>ISL95</v>
      </c>
      <c r="I163" s="40" t="str">
        <f ca="1">IFERROR(__xludf.DUMMYFUNCTION("""COMPUTED_VALUE"""),"B")</f>
        <v>B</v>
      </c>
      <c r="J163" s="40" t="str">
        <f ca="1">IFERROR(__xludf.DUMMYFUNCTION("""COMPUTED_VALUE"""),"Blanca Maria Martinez Duro")</f>
        <v>Blanca Maria Martinez Duro</v>
      </c>
      <c r="K163" s="40"/>
      <c r="L163" s="40" t="str">
        <f t="shared" ca="1" si="0"/>
        <v>ISL95</v>
      </c>
      <c r="M163" s="36" t="str">
        <f t="shared" ca="1" si="1"/>
        <v>ISL</v>
      </c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</row>
    <row r="164" spans="1:27">
      <c r="A164" s="40"/>
      <c r="B164" s="36"/>
      <c r="C164" s="40"/>
      <c r="D164" s="41"/>
      <c r="E164" s="40"/>
      <c r="F164" s="40" t="str">
        <f ca="1">IFERROR(__xludf.DUMMYFUNCTION("""COMPUTED_VALUE"""),"Roberto Pereira")</f>
        <v>Roberto Pereira</v>
      </c>
      <c r="G164" s="40" t="str">
        <f ca="1">IFERROR(__xludf.DUMMYFUNCTION("""COMPUTED_VALUE"""),"RPG")</f>
        <v>RPG</v>
      </c>
      <c r="H164" s="40" t="str">
        <f ca="1">IFERROR(__xludf.DUMMYFUNCTION("""COMPUTED_VALUE"""),"RPG65")</f>
        <v>RPG65</v>
      </c>
      <c r="I164" s="40" t="str">
        <f ca="1">IFERROR(__xludf.DUMMYFUNCTION("""COMPUTED_VALUE"""),"B")</f>
        <v>B</v>
      </c>
      <c r="J164" s="40" t="str">
        <f ca="1">IFERROR(__xludf.DUMMYFUNCTION("""COMPUTED_VALUE"""),"Blanca Marly De Alós")</f>
        <v>Blanca Marly De Alós</v>
      </c>
      <c r="K164" s="40"/>
      <c r="L164" s="40" t="str">
        <f t="shared" ca="1" si="0"/>
        <v>RPG65</v>
      </c>
      <c r="M164" s="36" t="str">
        <f t="shared" ca="1" si="1"/>
        <v>RPG</v>
      </c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</row>
    <row r="165" spans="1:27">
      <c r="A165" s="40"/>
      <c r="B165" s="36"/>
      <c r="C165" s="40"/>
      <c r="D165" s="41"/>
      <c r="E165" s="40"/>
      <c r="F165" s="23" t="str">
        <f ca="1">IFERROR(__xludf.DUMMYFUNCTION("""COMPUTED_VALUE"""),"Lisandro Russian")</f>
        <v>Lisandro Russian</v>
      </c>
      <c r="G165" s="40" t="str">
        <f ca="1">IFERROR(__xludf.DUMMYFUNCTION("""COMPUTED_VALUE"""),"LRM")</f>
        <v>LRM</v>
      </c>
      <c r="H165" s="40" t="str">
        <f ca="1">IFERROR(__xludf.DUMMYFUNCTION("""COMPUTED_VALUE"""),"LRM141")</f>
        <v>LRM141</v>
      </c>
      <c r="I165" s="40" t="str">
        <f ca="1">IFERROR(__xludf.DUMMYFUNCTION("""COMPUTED_VALUE"""),"A")</f>
        <v>A</v>
      </c>
      <c r="J165" s="40" t="str">
        <f ca="1">IFERROR(__xludf.DUMMYFUNCTION("""COMPUTED_VALUE"""),"Blanca Mateos Serrano")</f>
        <v>Blanca Mateos Serrano</v>
      </c>
      <c r="K165" s="40"/>
      <c r="L165" s="40" t="str">
        <f t="shared" ca="1" si="0"/>
        <v>LRM141</v>
      </c>
      <c r="M165" s="36" t="str">
        <f t="shared" ca="1" si="1"/>
        <v>LRM</v>
      </c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</row>
    <row r="166" spans="1:27">
      <c r="A166" s="40"/>
      <c r="B166" s="36"/>
      <c r="C166" s="40"/>
      <c r="D166" s="41"/>
      <c r="E166" s="40"/>
      <c r="F166" s="40" t="str">
        <f ca="1">IFERROR(__xludf.DUMMYFUNCTION("""COMPUTED_VALUE"""),"Maika Blázquez")</f>
        <v>Maika Blázquez</v>
      </c>
      <c r="G166" s="40" t="str">
        <f ca="1">IFERROR(__xludf.DUMMYFUNCTION("""COMPUTED_VALUE"""),"MBM")</f>
        <v>MBM</v>
      </c>
      <c r="H166" s="40" t="str">
        <f ca="1">IFERROR(__xludf.DUMMYFUNCTION("""COMPUTED_VALUE"""),"MBM12")</f>
        <v>MBM12</v>
      </c>
      <c r="I166" s="40" t="str">
        <f ca="1">IFERROR(__xludf.DUMMYFUNCTION("""COMPUTED_VALUE"""),"A")</f>
        <v>A</v>
      </c>
      <c r="J166" s="40" t="str">
        <f ca="1">IFERROR(__xludf.DUMMYFUNCTION("""COMPUTED_VALUE"""),"Borja Andrés Bazán Inostroza")</f>
        <v>Borja Andrés Bazán Inostroza</v>
      </c>
      <c r="K166" s="40"/>
      <c r="L166" s="40" t="str">
        <f t="shared" ca="1" si="0"/>
        <v>MBM12</v>
      </c>
      <c r="M166" s="36" t="str">
        <f t="shared" ca="1" si="1"/>
        <v>MBM</v>
      </c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</row>
    <row r="167" spans="1:27">
      <c r="A167" s="23"/>
      <c r="B167" s="36"/>
      <c r="C167" s="40"/>
      <c r="D167" s="41"/>
      <c r="E167" s="40"/>
      <c r="F167" s="40" t="str">
        <f ca="1">IFERROR(__xludf.DUMMYFUNCTION("""COMPUTED_VALUE"""),"Roberto Pereira")</f>
        <v>Roberto Pereira</v>
      </c>
      <c r="G167" s="40" t="str">
        <f ca="1">IFERROR(__xludf.DUMMYFUNCTION("""COMPUTED_VALUE"""),"RPG")</f>
        <v>RPG</v>
      </c>
      <c r="H167" s="40" t="str">
        <f ca="1">IFERROR(__xludf.DUMMYFUNCTION("""COMPUTED_VALUE"""),"RPG06")</f>
        <v>RPG06</v>
      </c>
      <c r="I167" s="40" t="str">
        <f ca="1">IFERROR(__xludf.DUMMYFUNCTION("""COMPUTED_VALUE"""),"A")</f>
        <v>A</v>
      </c>
      <c r="J167" s="40" t="str">
        <f ca="1">IFERROR(__xludf.DUMMYFUNCTION("""COMPUTED_VALUE"""),"Borja Boronat Catalá")</f>
        <v>Borja Boronat Catalá</v>
      </c>
      <c r="K167" s="40"/>
      <c r="L167" s="40" t="str">
        <f t="shared" ca="1" si="0"/>
        <v>RPG06</v>
      </c>
      <c r="M167" s="36" t="str">
        <f t="shared" ca="1" si="1"/>
        <v>RPG</v>
      </c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</row>
    <row r="168" spans="1:27">
      <c r="A168" s="40"/>
      <c r="B168" s="36"/>
      <c r="C168" s="40"/>
      <c r="D168" s="41"/>
      <c r="E168" s="40"/>
      <c r="F168" s="40" t="str">
        <f ca="1">IFERROR(__xludf.DUMMYFUNCTION("""COMPUTED_VALUE"""),"Mercè Cabrera")</f>
        <v>Mercè Cabrera</v>
      </c>
      <c r="G168" s="40" t="str">
        <f ca="1">IFERROR(__xludf.DUMMYFUNCTION("""COMPUTED_VALUE"""),"MCC")</f>
        <v>MCC</v>
      </c>
      <c r="H168" s="40" t="str">
        <f ca="1">IFERROR(__xludf.DUMMYFUNCTION("""COMPUTED_VALUE"""),"MCC75")</f>
        <v>MCC75</v>
      </c>
      <c r="I168" s="40" t="str">
        <f ca="1">IFERROR(__xludf.DUMMYFUNCTION("""COMPUTED_VALUE"""),"A")</f>
        <v>A</v>
      </c>
      <c r="J168" s="40" t="str">
        <f ca="1">IFERROR(__xludf.DUMMYFUNCTION("""COMPUTED_VALUE"""),"Camilo Rodríguez van Strahle")</f>
        <v>Camilo Rodríguez van Strahle</v>
      </c>
      <c r="K168" s="40"/>
      <c r="L168" s="40" t="str">
        <f t="shared" ca="1" si="0"/>
        <v>MCC75</v>
      </c>
      <c r="M168" s="36" t="str">
        <f t="shared" ca="1" si="1"/>
        <v>MCC</v>
      </c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</row>
    <row r="169" spans="1:27">
      <c r="A169" s="40"/>
      <c r="B169" s="36"/>
      <c r="C169" s="40"/>
      <c r="D169" s="41"/>
      <c r="E169" s="40"/>
      <c r="F169" s="40" t="str">
        <f ca="1">IFERROR(__xludf.DUMMYFUNCTION("""COMPUTED_VALUE"""),"Maika Blázquez")</f>
        <v>Maika Blázquez</v>
      </c>
      <c r="G169" s="40" t="str">
        <f ca="1">IFERROR(__xludf.DUMMYFUNCTION("""COMPUTED_VALUE"""),"MBM")</f>
        <v>MBM</v>
      </c>
      <c r="H169" s="40" t="str">
        <f ca="1">IFERROR(__xludf.DUMMYFUNCTION("""COMPUTED_VALUE"""),"MBM97")</f>
        <v>MBM97</v>
      </c>
      <c r="I169" s="40" t="str">
        <f ca="1">IFERROR(__xludf.DUMMYFUNCTION("""COMPUTED_VALUE"""),"A")</f>
        <v>A</v>
      </c>
      <c r="J169" s="40" t="str">
        <f ca="1">IFERROR(__xludf.DUMMYFUNCTION("""COMPUTED_VALUE"""),"Candida Betsabeth Cabrales")</f>
        <v>Candida Betsabeth Cabrales</v>
      </c>
      <c r="K169" s="40"/>
      <c r="L169" s="40" t="str">
        <f t="shared" ca="1" si="0"/>
        <v>MBM97</v>
      </c>
      <c r="M169" s="36" t="str">
        <f t="shared" ca="1" si="1"/>
        <v>MBM</v>
      </c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</row>
    <row r="170" spans="1:27">
      <c r="A170" s="40"/>
      <c r="B170" s="36"/>
      <c r="C170" s="40"/>
      <c r="D170" s="41"/>
      <c r="E170" s="40"/>
      <c r="F170" s="40" t="str">
        <f ca="1">IFERROR(__xludf.DUMMYFUNCTION("""COMPUTED_VALUE"""),"Maika Blázquez")</f>
        <v>Maika Blázquez</v>
      </c>
      <c r="G170" s="40" t="str">
        <f ca="1">IFERROR(__xludf.DUMMYFUNCTION("""COMPUTED_VALUE"""),"MBM")</f>
        <v>MBM</v>
      </c>
      <c r="H170" s="40" t="str">
        <f ca="1">IFERROR(__xludf.DUMMYFUNCTION("""COMPUTED_VALUE"""),"MBM194")</f>
        <v>MBM194</v>
      </c>
      <c r="I170" s="40" t="str">
        <f ca="1">IFERROR(__xludf.DUMMYFUNCTION("""COMPUTED_VALUE"""),"A")</f>
        <v>A</v>
      </c>
      <c r="J170" s="40" t="str">
        <f ca="1">IFERROR(__xludf.DUMMYFUNCTION("""COMPUTED_VALUE"""),"Carles Heredia Llinás")</f>
        <v>Carles Heredia Llinás</v>
      </c>
      <c r="K170" s="40"/>
      <c r="L170" s="40" t="str">
        <f t="shared" ca="1" si="0"/>
        <v>MBM194</v>
      </c>
      <c r="M170" s="36" t="str">
        <f t="shared" ca="1" si="1"/>
        <v>MBM</v>
      </c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</row>
    <row r="171" spans="1:27">
      <c r="A171" s="40"/>
      <c r="B171" s="36"/>
      <c r="C171" s="40"/>
      <c r="D171" s="41"/>
      <c r="E171" s="40"/>
      <c r="F171" s="40" t="str">
        <f ca="1">IFERROR(__xludf.DUMMYFUNCTION("""COMPUTED_VALUE"""),"Lisandro Russian")</f>
        <v>Lisandro Russian</v>
      </c>
      <c r="G171" s="40" t="str">
        <f ca="1">IFERROR(__xludf.DUMMYFUNCTION("""COMPUTED_VALUE"""),"LRM")</f>
        <v>LRM</v>
      </c>
      <c r="H171" s="40" t="str">
        <f ca="1">IFERROR(__xludf.DUMMYFUNCTION("""COMPUTED_VALUE"""),"LRM19")</f>
        <v>LRM19</v>
      </c>
      <c r="I171" s="40" t="str">
        <f ca="1">IFERROR(__xludf.DUMMYFUNCTION("""COMPUTED_VALUE"""),"A")</f>
        <v>A</v>
      </c>
      <c r="J171" s="40" t="str">
        <f ca="1">IFERROR(__xludf.DUMMYFUNCTION("""COMPUTED_VALUE"""),"Carlos Armiño Megido")</f>
        <v>Carlos Armiño Megido</v>
      </c>
      <c r="K171" s="40"/>
      <c r="L171" s="40" t="str">
        <f t="shared" ca="1" si="0"/>
        <v>LRM19</v>
      </c>
      <c r="M171" s="36" t="str">
        <f t="shared" ca="1" si="1"/>
        <v>LRM</v>
      </c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</row>
    <row r="172" spans="1:27">
      <c r="A172" s="40"/>
      <c r="B172" s="36"/>
      <c r="C172" s="40"/>
      <c r="D172" s="41"/>
      <c r="E172" s="40"/>
      <c r="F172" s="40" t="str">
        <f ca="1">IFERROR(__xludf.DUMMYFUNCTION("""COMPUTED_VALUE"""),"Lisandro Russian")</f>
        <v>Lisandro Russian</v>
      </c>
      <c r="G172" s="40" t="str">
        <f ca="1">IFERROR(__xludf.DUMMYFUNCTION("""COMPUTED_VALUE"""),"LRM")</f>
        <v>LRM</v>
      </c>
      <c r="H172" s="40" t="str">
        <f ca="1">IFERROR(__xludf.DUMMYFUNCTION("""COMPUTED_VALUE"""),"LRM239")</f>
        <v>LRM239</v>
      </c>
      <c r="I172" s="40" t="str">
        <f ca="1">IFERROR(__xludf.DUMMYFUNCTION("""COMPUTED_VALUE"""),"A")</f>
        <v>A</v>
      </c>
      <c r="J172" s="40" t="str">
        <f ca="1">IFERROR(__xludf.DUMMYFUNCTION("""COMPUTED_VALUE"""),"Carlos Barajas Del Rosal")</f>
        <v>Carlos Barajas Del Rosal</v>
      </c>
      <c r="K172" s="40"/>
      <c r="L172" s="40" t="str">
        <f t="shared" ca="1" si="0"/>
        <v>LRM239</v>
      </c>
      <c r="M172" s="36" t="str">
        <f t="shared" ca="1" si="1"/>
        <v>LRM</v>
      </c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</row>
    <row r="173" spans="1:27">
      <c r="A173" s="40"/>
      <c r="B173" s="36"/>
      <c r="C173" s="40"/>
      <c r="D173" s="41"/>
      <c r="E173" s="40"/>
      <c r="F173" s="40" t="str">
        <f ca="1">IFERROR(__xludf.DUMMYFUNCTION("""COMPUTED_VALUE"""),"Iván Sánchez")</f>
        <v>Iván Sánchez</v>
      </c>
      <c r="G173" s="40" t="str">
        <f ca="1">IFERROR(__xludf.DUMMYFUNCTION("""COMPUTED_VALUE"""),"ISL")</f>
        <v>ISL</v>
      </c>
      <c r="H173" s="40" t="str">
        <f ca="1">IFERROR(__xludf.DUMMYFUNCTION("""COMPUTED_VALUE"""),"ISL12")</f>
        <v>ISL12</v>
      </c>
      <c r="I173" s="40" t="str">
        <f ca="1">IFERROR(__xludf.DUMMYFUNCTION("""COMPUTED_VALUE"""),"B")</f>
        <v>B</v>
      </c>
      <c r="J173" s="40" t="str">
        <f ca="1">IFERROR(__xludf.DUMMYFUNCTION("""COMPUTED_VALUE"""),"Carlos Barrera Blázquez")</f>
        <v>Carlos Barrera Blázquez</v>
      </c>
      <c r="K173" s="40"/>
      <c r="L173" s="40" t="str">
        <f t="shared" ca="1" si="0"/>
        <v>ISL12</v>
      </c>
      <c r="M173" s="36" t="str">
        <f t="shared" ca="1" si="1"/>
        <v>ISL</v>
      </c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</row>
    <row r="174" spans="1:27">
      <c r="A174" s="40"/>
      <c r="B174" s="36"/>
      <c r="C174" s="40"/>
      <c r="D174" s="41"/>
      <c r="E174" s="40"/>
      <c r="F174" s="40" t="str">
        <f ca="1">IFERROR(__xludf.DUMMYFUNCTION("""COMPUTED_VALUE"""),"Maika Blázquez")</f>
        <v>Maika Blázquez</v>
      </c>
      <c r="G174" s="40" t="str">
        <f ca="1">IFERROR(__xludf.DUMMYFUNCTION("""COMPUTED_VALUE"""),"MBM")</f>
        <v>MBM</v>
      </c>
      <c r="H174" s="40" t="str">
        <f ca="1">IFERROR(__xludf.DUMMYFUNCTION("""COMPUTED_VALUE"""),"MBM210")</f>
        <v>MBM210</v>
      </c>
      <c r="I174" s="40" t="str">
        <f ca="1">IFERROR(__xludf.DUMMYFUNCTION("""COMPUTED_VALUE"""),"A")</f>
        <v>A</v>
      </c>
      <c r="J174" s="40" t="str">
        <f ca="1">IFERROR(__xludf.DUMMYFUNCTION("""COMPUTED_VALUE"""),"Carlos Carazo Casas")</f>
        <v>Carlos Carazo Casas</v>
      </c>
      <c r="K174" s="40"/>
      <c r="L174" s="40" t="str">
        <f t="shared" ca="1" si="0"/>
        <v>MBM210</v>
      </c>
      <c r="M174" s="36" t="str">
        <f t="shared" ca="1" si="1"/>
        <v>MBM</v>
      </c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</row>
    <row r="175" spans="1:27">
      <c r="A175" s="40"/>
      <c r="B175" s="36"/>
      <c r="C175" s="40"/>
      <c r="D175" s="41"/>
      <c r="E175" s="40"/>
      <c r="F175" s="40" t="str">
        <f ca="1">IFERROR(__xludf.DUMMYFUNCTION("""COMPUTED_VALUE"""),"Iván Sánchez")</f>
        <v>Iván Sánchez</v>
      </c>
      <c r="G175" s="40" t="str">
        <f ca="1">IFERROR(__xludf.DUMMYFUNCTION("""COMPUTED_VALUE"""),"ISL")</f>
        <v>ISL</v>
      </c>
      <c r="H175" s="40" t="str">
        <f ca="1">IFERROR(__xludf.DUMMYFUNCTION("""COMPUTED_VALUE"""),"ISL13")</f>
        <v>ISL13</v>
      </c>
      <c r="I175" s="40" t="str">
        <f ca="1">IFERROR(__xludf.DUMMYFUNCTION("""COMPUTED_VALUE"""),"B")</f>
        <v>B</v>
      </c>
      <c r="J175" s="40" t="str">
        <f ca="1">IFERROR(__xludf.DUMMYFUNCTION("""COMPUTED_VALUE"""),"Carlos De La Fuente Jambrina")</f>
        <v>Carlos De La Fuente Jambrina</v>
      </c>
      <c r="K175" s="40"/>
      <c r="L175" s="40" t="str">
        <f t="shared" ca="1" si="0"/>
        <v>ISL13</v>
      </c>
      <c r="M175" s="36" t="str">
        <f t="shared" ca="1" si="1"/>
        <v>ISL</v>
      </c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</row>
    <row r="176" spans="1:27">
      <c r="A176" s="40"/>
      <c r="B176" s="36"/>
      <c r="C176" s="40"/>
      <c r="D176" s="41"/>
      <c r="E176" s="40"/>
      <c r="F176" s="40" t="str">
        <f ca="1">IFERROR(__xludf.DUMMYFUNCTION("""COMPUTED_VALUE"""),"Ramon Ferrando")</f>
        <v>Ramon Ferrando</v>
      </c>
      <c r="G176" s="40" t="str">
        <f ca="1">IFERROR(__xludf.DUMMYFUNCTION("""COMPUTED_VALUE"""),"RFV")</f>
        <v>RFV</v>
      </c>
      <c r="H176" s="40" t="str">
        <f ca="1">IFERROR(__xludf.DUMMYFUNCTION("""COMPUTED_VALUE"""),"RFV39")</f>
        <v>RFV39</v>
      </c>
      <c r="I176" s="40" t="str">
        <f ca="1">IFERROR(__xludf.DUMMYFUNCTION("""COMPUTED_VALUE"""),"B")</f>
        <v>B</v>
      </c>
      <c r="J176" s="40" t="str">
        <f ca="1">IFERROR(__xludf.DUMMYFUNCTION("""COMPUTED_VALUE"""),"Carlos De Paula Vernetta")</f>
        <v>Carlos De Paula Vernetta</v>
      </c>
      <c r="K176" s="40"/>
      <c r="L176" s="40" t="str">
        <f t="shared" ca="1" si="0"/>
        <v>RFV39</v>
      </c>
      <c r="M176" s="36" t="str">
        <f t="shared" ca="1" si="1"/>
        <v>RFV</v>
      </c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</row>
    <row r="177" spans="1:27">
      <c r="A177" s="40"/>
      <c r="B177" s="36"/>
      <c r="C177" s="40"/>
      <c r="D177" s="41"/>
      <c r="E177" s="40"/>
      <c r="F177" s="40" t="str">
        <f ca="1">IFERROR(__xludf.DUMMYFUNCTION("""COMPUTED_VALUE"""),"Patricia Solache")</f>
        <v>Patricia Solache</v>
      </c>
      <c r="G177" s="40" t="str">
        <f ca="1">IFERROR(__xludf.DUMMYFUNCTION("""COMPUTED_VALUE"""),"PSC")</f>
        <v>PSC</v>
      </c>
      <c r="H177" s="40" t="str">
        <f ca="1">IFERROR(__xludf.DUMMYFUNCTION("""COMPUTED_VALUE"""),"PSC04")</f>
        <v>PSC04</v>
      </c>
      <c r="I177" s="40" t="str">
        <f ca="1">IFERROR(__xludf.DUMMYFUNCTION("""COMPUTED_VALUE"""),"A")</f>
        <v>A</v>
      </c>
      <c r="J177" s="40" t="str">
        <f ca="1">IFERROR(__xludf.DUMMYFUNCTION("""COMPUTED_VALUE"""),"Carlos Durán Díez")</f>
        <v>Carlos Durán Díez</v>
      </c>
      <c r="K177" s="40"/>
      <c r="L177" s="40" t="str">
        <f t="shared" ca="1" si="0"/>
        <v>PSC04</v>
      </c>
      <c r="M177" s="36" t="str">
        <f t="shared" ca="1" si="1"/>
        <v>PSC</v>
      </c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</row>
    <row r="178" spans="1:27">
      <c r="A178" s="40"/>
      <c r="B178" s="36"/>
      <c r="C178" s="40"/>
      <c r="D178" s="41"/>
      <c r="E178" s="40"/>
      <c r="F178" s="40" t="str">
        <f ca="1">IFERROR(__xludf.DUMMYFUNCTION("""COMPUTED_VALUE"""),"Lisandro Russian")</f>
        <v>Lisandro Russian</v>
      </c>
      <c r="G178" s="40" t="str">
        <f ca="1">IFERROR(__xludf.DUMMYFUNCTION("""COMPUTED_VALUE"""),"LRM")</f>
        <v>LRM</v>
      </c>
      <c r="H178" s="40" t="str">
        <f ca="1">IFERROR(__xludf.DUMMYFUNCTION("""COMPUTED_VALUE"""),"LRM20")</f>
        <v>LRM20</v>
      </c>
      <c r="I178" s="40" t="str">
        <f ca="1">IFERROR(__xludf.DUMMYFUNCTION("""COMPUTED_VALUE"""),"A")</f>
        <v>A</v>
      </c>
      <c r="J178" s="40" t="str">
        <f ca="1">IFERROR(__xludf.DUMMYFUNCTION("""COMPUTED_VALUE"""),"Carlos Félix Asensio Nieto")</f>
        <v>Carlos Félix Asensio Nieto</v>
      </c>
      <c r="K178" s="40"/>
      <c r="L178" s="40" t="str">
        <f t="shared" ca="1" si="0"/>
        <v>LRM20</v>
      </c>
      <c r="M178" s="36" t="str">
        <f t="shared" ca="1" si="1"/>
        <v>LRM</v>
      </c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</row>
    <row r="179" spans="1:27">
      <c r="A179" s="40"/>
      <c r="B179" s="36"/>
      <c r="C179" s="40"/>
      <c r="D179" s="41"/>
      <c r="E179" s="40"/>
      <c r="F179" s="40" t="str">
        <f ca="1">IFERROR(__xludf.DUMMYFUNCTION("""COMPUTED_VALUE"""),"Luis Alberto Rodríguez")</f>
        <v>Luis Alberto Rodríguez</v>
      </c>
      <c r="G179" s="40" t="str">
        <f ca="1">IFERROR(__xludf.DUMMYFUNCTION("""COMPUTED_VALUE"""),"LAA")</f>
        <v>LAA</v>
      </c>
      <c r="H179" s="40" t="str">
        <f ca="1">IFERROR(__xludf.DUMMYFUNCTION("""COMPUTED_VALUE"""),"LAA04")</f>
        <v>LAA04</v>
      </c>
      <c r="I179" s="40" t="str">
        <f ca="1">IFERROR(__xludf.DUMMYFUNCTION("""COMPUTED_VALUE"""),"C")</f>
        <v>C</v>
      </c>
      <c r="J179" s="40" t="str">
        <f ca="1">IFERROR(__xludf.DUMMYFUNCTION("""COMPUTED_VALUE"""),"Carlos Fernández Vélez")</f>
        <v>Carlos Fernández Vélez</v>
      </c>
      <c r="K179" s="40"/>
      <c r="L179" s="40" t="str">
        <f t="shared" ca="1" si="0"/>
        <v>LAA04</v>
      </c>
      <c r="M179" s="36" t="str">
        <f t="shared" ca="1" si="1"/>
        <v>LAA</v>
      </c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</row>
    <row r="180" spans="1:27">
      <c r="A180" s="40"/>
      <c r="B180" s="36"/>
      <c r="C180" s="40"/>
      <c r="D180" s="41"/>
      <c r="E180" s="40"/>
      <c r="F180" s="40" t="str">
        <f ca="1">IFERROR(__xludf.DUMMYFUNCTION("""COMPUTED_VALUE"""),"Maika Blázquez")</f>
        <v>Maika Blázquez</v>
      </c>
      <c r="G180" s="40" t="str">
        <f ca="1">IFERROR(__xludf.DUMMYFUNCTION("""COMPUTED_VALUE"""),"MBM")</f>
        <v>MBM</v>
      </c>
      <c r="H180" s="40" t="str">
        <f ca="1">IFERROR(__xludf.DUMMYFUNCTION("""COMPUTED_VALUE"""),"MBM211")</f>
        <v>MBM211</v>
      </c>
      <c r="I180" s="40" t="str">
        <f ca="1">IFERROR(__xludf.DUMMYFUNCTION("""COMPUTED_VALUE"""),"A")</f>
        <v>A</v>
      </c>
      <c r="J180" s="40" t="str">
        <f ca="1">IFERROR(__xludf.DUMMYFUNCTION("""COMPUTED_VALUE"""),"Carlos Fernández-Navarro García")</f>
        <v>Carlos Fernández-Navarro García</v>
      </c>
      <c r="K180" s="40"/>
      <c r="L180" s="40" t="str">
        <f t="shared" ca="1" si="0"/>
        <v>MBM211</v>
      </c>
      <c r="M180" s="36" t="str">
        <f t="shared" ca="1" si="1"/>
        <v>MBM</v>
      </c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</row>
    <row r="181" spans="1:27">
      <c r="A181" s="40"/>
      <c r="B181" s="36"/>
      <c r="C181" s="40"/>
      <c r="D181" s="41"/>
      <c r="E181" s="40"/>
      <c r="F181" s="40" t="str">
        <f ca="1">IFERROR(__xludf.DUMMYFUNCTION("""COMPUTED_VALUE"""),"Roberto Pereira")</f>
        <v>Roberto Pereira</v>
      </c>
      <c r="G181" s="40" t="str">
        <f ca="1">IFERROR(__xludf.DUMMYFUNCTION("""COMPUTED_VALUE"""),"RPG")</f>
        <v>RPG</v>
      </c>
      <c r="H181" s="40" t="str">
        <f ca="1">IFERROR(__xludf.DUMMYFUNCTION("""COMPUTED_VALUE"""),"RPG07")</f>
        <v>RPG07</v>
      </c>
      <c r="I181" s="40" t="str">
        <f ca="1">IFERROR(__xludf.DUMMYFUNCTION("""COMPUTED_VALUE"""),"A")</f>
        <v>A</v>
      </c>
      <c r="J181" s="40" t="str">
        <f ca="1">IFERROR(__xludf.DUMMYFUNCTION("""COMPUTED_VALUE"""),"Carlos Frade González")</f>
        <v>Carlos Frade González</v>
      </c>
      <c r="K181" s="40"/>
      <c r="L181" s="40" t="str">
        <f t="shared" ca="1" si="0"/>
        <v>RPG07</v>
      </c>
      <c r="M181" s="36" t="str">
        <f t="shared" ca="1" si="1"/>
        <v>RPG</v>
      </c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</row>
    <row r="182" spans="1:27">
      <c r="A182" s="40"/>
      <c r="B182" s="36"/>
      <c r="C182" s="40"/>
      <c r="D182" s="41"/>
      <c r="E182" s="40"/>
      <c r="F182" s="40" t="str">
        <f ca="1">IFERROR(__xludf.DUMMYFUNCTION("""COMPUTED_VALUE"""),"Luis Alberto Rodríguez")</f>
        <v>Luis Alberto Rodríguez</v>
      </c>
      <c r="G182" s="40" t="str">
        <f ca="1">IFERROR(__xludf.DUMMYFUNCTION("""COMPUTED_VALUE"""),"LAA")</f>
        <v>LAA</v>
      </c>
      <c r="H182" s="40" t="str">
        <f ca="1">IFERROR(__xludf.DUMMYFUNCTION("""COMPUTED_VALUE"""),"LAA05")</f>
        <v>LAA05</v>
      </c>
      <c r="I182" s="40" t="str">
        <f ca="1">IFERROR(__xludf.DUMMYFUNCTION("""COMPUTED_VALUE"""),"C")</f>
        <v>C</v>
      </c>
      <c r="J182" s="40" t="str">
        <f ca="1">IFERROR(__xludf.DUMMYFUNCTION("""COMPUTED_VALUE"""),"Carlos García Herrera")</f>
        <v>Carlos García Herrera</v>
      </c>
      <c r="K182" s="40"/>
      <c r="L182" s="40" t="str">
        <f t="shared" ca="1" si="0"/>
        <v>LAA05</v>
      </c>
      <c r="M182" s="36" t="str">
        <f t="shared" ca="1" si="1"/>
        <v>LAA</v>
      </c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</row>
    <row r="183" spans="1:27">
      <c r="A183" s="40"/>
      <c r="B183" s="36"/>
      <c r="C183" s="40"/>
      <c r="D183" s="41"/>
      <c r="E183" s="40"/>
      <c r="F183" s="40" t="str">
        <f ca="1">IFERROR(__xludf.DUMMYFUNCTION("""COMPUTED_VALUE"""),"Maika Blázquez")</f>
        <v>Maika Blázquez</v>
      </c>
      <c r="G183" s="40" t="str">
        <f ca="1">IFERROR(__xludf.DUMMYFUNCTION("""COMPUTED_VALUE"""),"MBM")</f>
        <v>MBM</v>
      </c>
      <c r="H183" s="40" t="str">
        <f ca="1">IFERROR(__xludf.DUMMYFUNCTION("""COMPUTED_VALUE"""),"MBM13")</f>
        <v>MBM13</v>
      </c>
      <c r="I183" s="40" t="str">
        <f ca="1">IFERROR(__xludf.DUMMYFUNCTION("""COMPUTED_VALUE"""),"A")</f>
        <v>A</v>
      </c>
      <c r="J183" s="40" t="str">
        <f ca="1">IFERROR(__xludf.DUMMYFUNCTION("""COMPUTED_VALUE"""),"Carlos García Recio")</f>
        <v>Carlos García Recio</v>
      </c>
      <c r="K183" s="40"/>
      <c r="L183" s="40" t="str">
        <f t="shared" ca="1" si="0"/>
        <v>MBM13</v>
      </c>
      <c r="M183" s="36" t="str">
        <f t="shared" ca="1" si="1"/>
        <v>MBM</v>
      </c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</row>
    <row r="184" spans="1:27">
      <c r="A184" s="40"/>
      <c r="B184" s="36"/>
      <c r="C184" s="40"/>
      <c r="D184" s="41"/>
      <c r="E184" s="40"/>
      <c r="F184" s="40" t="str">
        <f ca="1">IFERROR(__xludf.DUMMYFUNCTION("""COMPUTED_VALUE"""),"Patricia Solache")</f>
        <v>Patricia Solache</v>
      </c>
      <c r="G184" s="40" t="str">
        <f ca="1">IFERROR(__xludf.DUMMYFUNCTION("""COMPUTED_VALUE"""),"PSC")</f>
        <v>PSC</v>
      </c>
      <c r="H184" s="40" t="str">
        <f ca="1">IFERROR(__xludf.DUMMYFUNCTION("""COMPUTED_VALUE"""),"PSC05")</f>
        <v>PSC05</v>
      </c>
      <c r="I184" s="40" t="str">
        <f ca="1">IFERROR(__xludf.DUMMYFUNCTION("""COMPUTED_VALUE"""),"A")</f>
        <v>A</v>
      </c>
      <c r="J184" s="40" t="str">
        <f ca="1">IFERROR(__xludf.DUMMYFUNCTION("""COMPUTED_VALUE"""),"Carlos López Azanza")</f>
        <v>Carlos López Azanza</v>
      </c>
      <c r="K184" s="40"/>
      <c r="L184" s="40" t="str">
        <f t="shared" ca="1" si="0"/>
        <v>PSC05</v>
      </c>
      <c r="M184" s="36" t="str">
        <f t="shared" ca="1" si="1"/>
        <v>PSC</v>
      </c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</row>
    <row r="185" spans="1:27">
      <c r="A185" s="40"/>
      <c r="B185" s="36"/>
      <c r="C185" s="40"/>
      <c r="D185" s="41"/>
      <c r="E185" s="40"/>
      <c r="F185" s="40" t="str">
        <f ca="1">IFERROR(__xludf.DUMMYFUNCTION("""COMPUTED_VALUE"""),"Roberto Pereira")</f>
        <v>Roberto Pereira</v>
      </c>
      <c r="G185" s="40" t="str">
        <f ca="1">IFERROR(__xludf.DUMMYFUNCTION("""COMPUTED_VALUE"""),"RPG")</f>
        <v>RPG</v>
      </c>
      <c r="H185" s="40" t="str">
        <f ca="1">IFERROR(__xludf.DUMMYFUNCTION("""COMPUTED_VALUE"""),"RPG08")</f>
        <v>RPG08</v>
      </c>
      <c r="I185" s="40" t="str">
        <f ca="1">IFERROR(__xludf.DUMMYFUNCTION("""COMPUTED_VALUE"""),"A")</f>
        <v>A</v>
      </c>
      <c r="J185" s="40" t="str">
        <f ca="1">IFERROR(__xludf.DUMMYFUNCTION("""COMPUTED_VALUE"""),"Carlos Martín Martín")</f>
        <v>Carlos Martín Martín</v>
      </c>
      <c r="K185" s="40"/>
      <c r="L185" s="40" t="str">
        <f t="shared" ca="1" si="0"/>
        <v>RPG08</v>
      </c>
      <c r="M185" s="36" t="str">
        <f t="shared" ca="1" si="1"/>
        <v>RPG</v>
      </c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</row>
    <row r="186" spans="1:27">
      <c r="A186" s="40"/>
      <c r="B186" s="36"/>
      <c r="C186" s="40"/>
      <c r="D186" s="41"/>
      <c r="E186" s="40"/>
      <c r="F186" s="40" t="str">
        <f ca="1">IFERROR(__xludf.DUMMYFUNCTION("""COMPUTED_VALUE"""),"Maika Blázquez")</f>
        <v>Maika Blázquez</v>
      </c>
      <c r="G186" s="40" t="str">
        <f ca="1">IFERROR(__xludf.DUMMYFUNCTION("""COMPUTED_VALUE"""),"MBM")</f>
        <v>MBM</v>
      </c>
      <c r="H186" s="40" t="str">
        <f ca="1">IFERROR(__xludf.DUMMYFUNCTION("""COMPUTED_VALUE"""),"MBM14")</f>
        <v>MBM14</v>
      </c>
      <c r="I186" s="40" t="str">
        <f ca="1">IFERROR(__xludf.DUMMYFUNCTION("""COMPUTED_VALUE"""),"A")</f>
        <v>A</v>
      </c>
      <c r="J186" s="40" t="str">
        <f ca="1">IFERROR(__xludf.DUMMYFUNCTION("""COMPUTED_VALUE"""),"Carlos Martín Oviedo")</f>
        <v>Carlos Martín Oviedo</v>
      </c>
      <c r="K186" s="40"/>
      <c r="L186" s="40" t="str">
        <f t="shared" ca="1" si="0"/>
        <v>MBM14</v>
      </c>
      <c r="M186" s="36" t="str">
        <f t="shared" ca="1" si="1"/>
        <v>MBM</v>
      </c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</row>
    <row r="187" spans="1:27">
      <c r="A187" s="40"/>
      <c r="B187" s="36"/>
      <c r="C187" s="40"/>
      <c r="D187" s="41"/>
      <c r="E187" s="40"/>
      <c r="F187" s="40" t="str">
        <f ca="1">IFERROR(__xludf.DUMMYFUNCTION("""COMPUTED_VALUE"""),"Lisandro Russian")</f>
        <v>Lisandro Russian</v>
      </c>
      <c r="G187" s="40" t="str">
        <f ca="1">IFERROR(__xludf.DUMMYFUNCTION("""COMPUTED_VALUE"""),"LRM")</f>
        <v>LRM</v>
      </c>
      <c r="H187" s="40" t="str">
        <f ca="1">IFERROR(__xludf.DUMMYFUNCTION("""COMPUTED_VALUE"""),"LRM21")</f>
        <v>LRM21</v>
      </c>
      <c r="I187" s="40" t="str">
        <f ca="1">IFERROR(__xludf.DUMMYFUNCTION("""COMPUTED_VALUE"""),"A")</f>
        <v>A</v>
      </c>
      <c r="J187" s="40" t="str">
        <f ca="1">IFERROR(__xludf.DUMMYFUNCTION("""COMPUTED_VALUE"""),"Carlos Martínez-Arrarás Pérez")</f>
        <v>Carlos Martínez-Arrarás Pérez</v>
      </c>
      <c r="K187" s="40"/>
      <c r="L187" s="40" t="str">
        <f t="shared" ca="1" si="0"/>
        <v>LRM21</v>
      </c>
      <c r="M187" s="36" t="str">
        <f t="shared" ca="1" si="1"/>
        <v>LRM</v>
      </c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</row>
    <row r="188" spans="1:27">
      <c r="A188" s="40"/>
      <c r="B188" s="36"/>
      <c r="C188" s="40"/>
      <c r="D188" s="41"/>
      <c r="E188" s="40"/>
      <c r="F188" s="40" t="str">
        <f ca="1">IFERROR(__xludf.DUMMYFUNCTION("""COMPUTED_VALUE"""),"Lisandro Russian")</f>
        <v>Lisandro Russian</v>
      </c>
      <c r="G188" s="40" t="str">
        <f ca="1">IFERROR(__xludf.DUMMYFUNCTION("""COMPUTED_VALUE"""),"LRM")</f>
        <v>LRM</v>
      </c>
      <c r="H188" s="40" t="str">
        <f ca="1">IFERROR(__xludf.DUMMYFUNCTION("""COMPUTED_VALUE"""),"LRM22")</f>
        <v>LRM22</v>
      </c>
      <c r="I188" s="40" t="str">
        <f ca="1">IFERROR(__xludf.DUMMYFUNCTION("""COMPUTED_VALUE"""),"A")</f>
        <v>A</v>
      </c>
      <c r="J188" s="40" t="str">
        <f ca="1">IFERROR(__xludf.DUMMYFUNCTION("""COMPUTED_VALUE"""),"Carlos Mercadal Tallada")</f>
        <v>Carlos Mercadal Tallada</v>
      </c>
      <c r="K188" s="40"/>
      <c r="L188" s="40" t="str">
        <f t="shared" ca="1" si="0"/>
        <v>LRM22</v>
      </c>
      <c r="M188" s="36" t="str">
        <f t="shared" ca="1" si="1"/>
        <v>LRM</v>
      </c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</row>
    <row r="189" spans="1:27">
      <c r="A189" s="40"/>
      <c r="B189" s="36"/>
      <c r="C189" s="40"/>
      <c r="D189" s="41"/>
      <c r="E189" s="40"/>
      <c r="F189" s="40" t="str">
        <f ca="1">IFERROR(__xludf.DUMMYFUNCTION("""COMPUTED_VALUE"""),"Patricia Solache")</f>
        <v>Patricia Solache</v>
      </c>
      <c r="G189" s="40" t="str">
        <f ca="1">IFERROR(__xludf.DUMMYFUNCTION("""COMPUTED_VALUE"""),"PSC")</f>
        <v>PSC</v>
      </c>
      <c r="H189" s="40" t="str">
        <f ca="1">IFERROR(__xludf.DUMMYFUNCTION("""COMPUTED_VALUE"""),"PSC06")</f>
        <v>PSC06</v>
      </c>
      <c r="I189" s="40" t="str">
        <f ca="1">IFERROR(__xludf.DUMMYFUNCTION("""COMPUTED_VALUE"""),"A")</f>
        <v>A</v>
      </c>
      <c r="J189" s="40" t="str">
        <f ca="1">IFERROR(__xludf.DUMMYFUNCTION("""COMPUTED_VALUE"""),"Carlos Miguel Salvador Martínez")</f>
        <v>Carlos Miguel Salvador Martínez</v>
      </c>
      <c r="K189" s="40"/>
      <c r="L189" s="40" t="str">
        <f t="shared" ca="1" si="0"/>
        <v>PSC06</v>
      </c>
      <c r="M189" s="36" t="str">
        <f t="shared" ca="1" si="1"/>
        <v>PSC</v>
      </c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</row>
    <row r="190" spans="1:27">
      <c r="A190" s="40"/>
      <c r="B190" s="36"/>
      <c r="C190" s="40"/>
      <c r="D190" s="41"/>
      <c r="E190" s="40"/>
      <c r="F190" s="40" t="str">
        <f ca="1">IFERROR(__xludf.DUMMYFUNCTION("""COMPUTED_VALUE"""),"Lisandro Russian")</f>
        <v>Lisandro Russian</v>
      </c>
      <c r="G190" s="40" t="str">
        <f ca="1">IFERROR(__xludf.DUMMYFUNCTION("""COMPUTED_VALUE"""),"LRM")</f>
        <v>LRM</v>
      </c>
      <c r="H190" s="40" t="str">
        <f ca="1">IFERROR(__xludf.DUMMYFUNCTION("""COMPUTED_VALUE"""),"LRM259")</f>
        <v>LRM259</v>
      </c>
      <c r="I190" s="40" t="str">
        <f ca="1">IFERROR(__xludf.DUMMYFUNCTION("""COMPUTED_VALUE"""),"A")</f>
        <v>A</v>
      </c>
      <c r="J190" s="40" t="str">
        <f ca="1">IFERROR(__xludf.DUMMYFUNCTION("""COMPUTED_VALUE"""),"Carlos Montero García")</f>
        <v>Carlos Montero García</v>
      </c>
      <c r="K190" s="40"/>
      <c r="L190" s="40" t="str">
        <f t="shared" ca="1" si="0"/>
        <v>LRM259</v>
      </c>
      <c r="M190" s="36" t="str">
        <f t="shared" ca="1" si="1"/>
        <v>LRM</v>
      </c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</row>
    <row r="191" spans="1:27">
      <c r="A191" s="40"/>
      <c r="B191" s="36"/>
      <c r="C191" s="40"/>
      <c r="D191" s="41"/>
      <c r="E191" s="40"/>
      <c r="F191" s="40" t="str">
        <f ca="1">IFERROR(__xludf.DUMMYFUNCTION("""COMPUTED_VALUE"""),"Iván Sánchez")</f>
        <v>Iván Sánchez</v>
      </c>
      <c r="G191" s="40" t="str">
        <f ca="1">IFERROR(__xludf.DUMMYFUNCTION("""COMPUTED_VALUE"""),"ISL")</f>
        <v>ISL</v>
      </c>
      <c r="H191" s="40" t="str">
        <f ca="1">IFERROR(__xludf.DUMMYFUNCTION("""COMPUTED_VALUE"""),"ISL14")</f>
        <v>ISL14</v>
      </c>
      <c r="I191" s="40" t="str">
        <f ca="1">IFERROR(__xludf.DUMMYFUNCTION("""COMPUTED_VALUE"""),"B")</f>
        <v>B</v>
      </c>
      <c r="J191" s="40" t="str">
        <f ca="1">IFERROR(__xludf.DUMMYFUNCTION("""COMPUTED_VALUE"""),"Carlos Velásquez Fermín")</f>
        <v>Carlos Velásquez Fermín</v>
      </c>
      <c r="K191" s="40"/>
      <c r="L191" s="40" t="str">
        <f t="shared" ca="1" si="0"/>
        <v>ISL14</v>
      </c>
      <c r="M191" s="36" t="str">
        <f t="shared" ca="1" si="1"/>
        <v>ISL</v>
      </c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</row>
    <row r="192" spans="1:27">
      <c r="A192" s="40"/>
      <c r="B192" s="36"/>
      <c r="C192" s="40"/>
      <c r="D192" s="41"/>
      <c r="E192" s="40"/>
      <c r="F192" s="40" t="str">
        <f ca="1">IFERROR(__xludf.DUMMYFUNCTION("""COMPUTED_VALUE"""),"Roberto Pereira")</f>
        <v>Roberto Pereira</v>
      </c>
      <c r="G192" s="40" t="str">
        <f ca="1">IFERROR(__xludf.DUMMYFUNCTION("""COMPUTED_VALUE"""),"RPG")</f>
        <v>RPG</v>
      </c>
      <c r="H192" s="40" t="str">
        <f ca="1">IFERROR(__xludf.DUMMYFUNCTION("""COMPUTED_VALUE"""),"RPG09")</f>
        <v>RPG09</v>
      </c>
      <c r="I192" s="40" t="str">
        <f ca="1">IFERROR(__xludf.DUMMYFUNCTION("""COMPUTED_VALUE"""),"A")</f>
        <v>A</v>
      </c>
      <c r="J192" s="40" t="str">
        <f ca="1">IFERROR(__xludf.DUMMYFUNCTION("""COMPUTED_VALUE"""),"Carlos Vidal Redondo")</f>
        <v>Carlos Vidal Redondo</v>
      </c>
      <c r="K192" s="40"/>
      <c r="L192" s="40" t="str">
        <f t="shared" ca="1" si="0"/>
        <v>RPG09</v>
      </c>
      <c r="M192" s="36" t="str">
        <f t="shared" ca="1" si="1"/>
        <v>RPG</v>
      </c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</row>
    <row r="193" spans="1:27">
      <c r="A193" s="40"/>
      <c r="B193" s="36"/>
      <c r="C193" s="40"/>
      <c r="D193" s="41"/>
      <c r="E193" s="40"/>
      <c r="F193" s="40" t="str">
        <f ca="1">IFERROR(__xludf.DUMMYFUNCTION("""COMPUTED_VALUE"""),"Lisandro Russian")</f>
        <v>Lisandro Russian</v>
      </c>
      <c r="G193" s="40" t="str">
        <f ca="1">IFERROR(__xludf.DUMMYFUNCTION("""COMPUTED_VALUE"""),"LRM")</f>
        <v>LRM</v>
      </c>
      <c r="H193" s="40" t="str">
        <f ca="1">IFERROR(__xludf.DUMMYFUNCTION("""COMPUTED_VALUE"""),"LRM23")</f>
        <v>LRM23</v>
      </c>
      <c r="I193" s="40" t="str">
        <f ca="1">IFERROR(__xludf.DUMMYFUNCTION("""COMPUTED_VALUE"""),"A")</f>
        <v>A</v>
      </c>
      <c r="J193" s="40" t="str">
        <f ca="1">IFERROR(__xludf.DUMMYFUNCTION("""COMPUTED_VALUE"""),"Carlos Villacampa")</f>
        <v>Carlos Villacampa</v>
      </c>
      <c r="K193" s="40"/>
      <c r="L193" s="40" t="str">
        <f t="shared" ca="1" si="0"/>
        <v>LRM23</v>
      </c>
      <c r="M193" s="36" t="str">
        <f t="shared" ca="1" si="1"/>
        <v>LRM</v>
      </c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</row>
    <row r="194" spans="1:27">
      <c r="A194" s="40"/>
      <c r="B194" s="36"/>
      <c r="C194" s="40"/>
      <c r="D194" s="41"/>
      <c r="E194" s="40"/>
      <c r="F194" s="40" t="str">
        <f ca="1">IFERROR(__xludf.DUMMYFUNCTION("""COMPUTED_VALUE"""),"Maika Blázquez")</f>
        <v>Maika Blázquez</v>
      </c>
      <c r="G194" s="40" t="str">
        <f ca="1">IFERROR(__xludf.DUMMYFUNCTION("""COMPUTED_VALUE"""),"MBM")</f>
        <v>MBM</v>
      </c>
      <c r="H194" s="40" t="str">
        <f ca="1">IFERROR(__xludf.DUMMYFUNCTION("""COMPUTED_VALUE"""),"MBM98")</f>
        <v>MBM98</v>
      </c>
      <c r="I194" s="40" t="str">
        <f ca="1">IFERROR(__xludf.DUMMYFUNCTION("""COMPUTED_VALUE"""),"A")</f>
        <v>A</v>
      </c>
      <c r="J194" s="40" t="str">
        <f ca="1">IFERROR(__xludf.DUMMYFUNCTION("""COMPUTED_VALUE"""),"Carlota Sevil Serrano")</f>
        <v>Carlota Sevil Serrano</v>
      </c>
      <c r="K194" s="40"/>
      <c r="L194" s="40" t="str">
        <f t="shared" ca="1" si="0"/>
        <v>MBM98</v>
      </c>
      <c r="M194" s="36" t="str">
        <f t="shared" ca="1" si="1"/>
        <v>MBM</v>
      </c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</row>
    <row r="195" spans="1:27">
      <c r="A195" s="40"/>
      <c r="B195" s="36"/>
      <c r="C195" s="40"/>
      <c r="D195" s="41"/>
      <c r="E195" s="40"/>
      <c r="F195" s="40" t="str">
        <f ca="1">IFERROR(__xludf.DUMMYFUNCTION("""COMPUTED_VALUE"""),"Iván Sánchez")</f>
        <v>Iván Sánchez</v>
      </c>
      <c r="G195" s="40" t="str">
        <f ca="1">IFERROR(__xludf.DUMMYFUNCTION("""COMPUTED_VALUE"""),"ISL")</f>
        <v>ISL</v>
      </c>
      <c r="H195" s="40" t="str">
        <f ca="1">IFERROR(__xludf.DUMMYFUNCTION("""COMPUTED_VALUE"""),"ISL143")</f>
        <v>ISL143</v>
      </c>
      <c r="I195" s="40" t="str">
        <f ca="1">IFERROR(__xludf.DUMMYFUNCTION("""COMPUTED_VALUE"""),"B")</f>
        <v>B</v>
      </c>
      <c r="J195" s="40" t="str">
        <f ca="1">IFERROR(__xludf.DUMMYFUNCTION("""COMPUTED_VALUE"""),"Carmen Aránzazu Pérez Fernández")</f>
        <v>Carmen Aránzazu Pérez Fernández</v>
      </c>
      <c r="K195" s="40"/>
      <c r="L195" s="40" t="str">
        <f t="shared" ca="1" si="0"/>
        <v>ISL143</v>
      </c>
      <c r="M195" s="36" t="str">
        <f t="shared" ca="1" si="1"/>
        <v>ISL</v>
      </c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</row>
    <row r="196" spans="1:27">
      <c r="A196" s="40"/>
      <c r="B196" s="36"/>
      <c r="C196" s="40"/>
      <c r="D196" s="41"/>
      <c r="E196" s="40"/>
      <c r="F196" s="40" t="str">
        <f ca="1">IFERROR(__xludf.DUMMYFUNCTION("""COMPUTED_VALUE"""),"Patricia Solache")</f>
        <v>Patricia Solache</v>
      </c>
      <c r="G196" s="40" t="str">
        <f ca="1">IFERROR(__xludf.DUMMYFUNCTION("""COMPUTED_VALUE"""),"PSC")</f>
        <v>PSC</v>
      </c>
      <c r="H196" s="40" t="str">
        <f ca="1">IFERROR(__xludf.DUMMYFUNCTION("""COMPUTED_VALUE"""),"PSC34")</f>
        <v>PSC34</v>
      </c>
      <c r="I196" s="40" t="str">
        <f ca="1">IFERROR(__xludf.DUMMYFUNCTION("""COMPUTED_VALUE"""),"A")</f>
        <v>A</v>
      </c>
      <c r="J196" s="40" t="str">
        <f ca="1">IFERROR(__xludf.DUMMYFUNCTION("""COMPUTED_VALUE"""),"Carmen Becares Martinez")</f>
        <v>Carmen Becares Martinez</v>
      </c>
      <c r="K196" s="40"/>
      <c r="L196" s="40" t="str">
        <f t="shared" ca="1" si="0"/>
        <v>PSC34</v>
      </c>
      <c r="M196" s="36" t="str">
        <f t="shared" ca="1" si="1"/>
        <v>PSC</v>
      </c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</row>
    <row r="197" spans="1:27">
      <c r="A197" s="40"/>
      <c r="B197" s="36"/>
      <c r="C197" s="40"/>
      <c r="D197" s="41"/>
      <c r="E197" s="40"/>
      <c r="F197" s="40" t="str">
        <f ca="1">IFERROR(__xludf.DUMMYFUNCTION("""COMPUTED_VALUE"""),"Ramon Ferrando")</f>
        <v>Ramon Ferrando</v>
      </c>
      <c r="G197" s="40" t="str">
        <f ca="1">IFERROR(__xludf.DUMMYFUNCTION("""COMPUTED_VALUE"""),"RFV")</f>
        <v>RFV</v>
      </c>
      <c r="H197" s="40" t="str">
        <f ca="1">IFERROR(__xludf.DUMMYFUNCTION("""COMPUTED_VALUE"""),"RFV27")</f>
        <v>RFV27</v>
      </c>
      <c r="I197" s="40" t="str">
        <f ca="1">IFERROR(__xludf.DUMMYFUNCTION("""COMPUTED_VALUE"""),"B")</f>
        <v>B</v>
      </c>
      <c r="J197" s="40" t="str">
        <f ca="1">IFERROR(__xludf.DUMMYFUNCTION("""COMPUTED_VALUE"""),"Carmen Comeche Cerverón")</f>
        <v>Carmen Comeche Cerverón</v>
      </c>
      <c r="K197" s="40"/>
      <c r="L197" s="40" t="str">
        <f t="shared" ca="1" si="0"/>
        <v>RFV27</v>
      </c>
      <c r="M197" s="36" t="str">
        <f t="shared" ca="1" si="1"/>
        <v>RFV</v>
      </c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</row>
    <row r="198" spans="1:27">
      <c r="A198" s="40"/>
      <c r="B198" s="36"/>
      <c r="C198" s="40"/>
      <c r="D198" s="41"/>
      <c r="E198" s="23"/>
      <c r="F198" s="40" t="str">
        <f ca="1">IFERROR(__xludf.DUMMYFUNCTION("""COMPUTED_VALUE"""),"Lisandro Russian")</f>
        <v>Lisandro Russian</v>
      </c>
      <c r="G198" s="40" t="str">
        <f ca="1">IFERROR(__xludf.DUMMYFUNCTION("""COMPUTED_VALUE"""),"LRM")</f>
        <v>LRM</v>
      </c>
      <c r="H198" s="40" t="str">
        <f ca="1">IFERROR(__xludf.DUMMYFUNCTION("""COMPUTED_VALUE"""),"LRM264")</f>
        <v>LRM264</v>
      </c>
      <c r="I198" s="40" t="str">
        <f ca="1">IFERROR(__xludf.DUMMYFUNCTION("""COMPUTED_VALUE"""),"A")</f>
        <v>A</v>
      </c>
      <c r="J198" s="40" t="str">
        <f ca="1">IFERROR(__xludf.DUMMYFUNCTION("""COMPUTED_VALUE"""),"Carmen Delgado Muñoz")</f>
        <v>Carmen Delgado Muñoz</v>
      </c>
      <c r="K198" s="40"/>
      <c r="L198" s="40" t="str">
        <f t="shared" ca="1" si="0"/>
        <v>LRM264</v>
      </c>
      <c r="M198" s="36" t="str">
        <f t="shared" ca="1" si="1"/>
        <v>LRM</v>
      </c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</row>
    <row r="199" spans="1:27">
      <c r="A199" s="40"/>
      <c r="B199" s="36"/>
      <c r="C199" s="40"/>
      <c r="D199" s="41"/>
      <c r="E199" s="40"/>
      <c r="F199" s="40" t="str">
        <f ca="1">IFERROR(__xludf.DUMMYFUNCTION("""COMPUTED_VALUE"""),"Patricia Solache")</f>
        <v>Patricia Solache</v>
      </c>
      <c r="G199" s="40" t="str">
        <f ca="1">IFERROR(__xludf.DUMMYFUNCTION("""COMPUTED_VALUE"""),"PSC")</f>
        <v>PSC</v>
      </c>
      <c r="H199" s="40" t="str">
        <f ca="1">IFERROR(__xludf.DUMMYFUNCTION("""COMPUTED_VALUE"""),"PSC35")</f>
        <v>PSC35</v>
      </c>
      <c r="I199" s="40" t="str">
        <f ca="1">IFERROR(__xludf.DUMMYFUNCTION("""COMPUTED_VALUE"""),"A")</f>
        <v>A</v>
      </c>
      <c r="J199" s="40" t="str">
        <f ca="1">IFERROR(__xludf.DUMMYFUNCTION("""COMPUTED_VALUE"""),"Carmen Fernández-Cedrón Bermejo")</f>
        <v>Carmen Fernández-Cedrón Bermejo</v>
      </c>
      <c r="K199" s="40"/>
      <c r="L199" s="40" t="str">
        <f t="shared" ca="1" si="0"/>
        <v>PSC35</v>
      </c>
      <c r="M199" s="36" t="str">
        <f t="shared" ca="1" si="1"/>
        <v>PSC</v>
      </c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</row>
    <row r="200" spans="1:27">
      <c r="A200" s="40"/>
      <c r="B200" s="36"/>
      <c r="C200" s="40"/>
      <c r="D200" s="41"/>
      <c r="E200" s="40"/>
      <c r="F200" s="40" t="str">
        <f ca="1">IFERROR(__xludf.DUMMYFUNCTION("""COMPUTED_VALUE"""),"Luis Alberto Rodríguez")</f>
        <v>Luis Alberto Rodríguez</v>
      </c>
      <c r="G200" s="40" t="str">
        <f ca="1">IFERROR(__xludf.DUMMYFUNCTION("""COMPUTED_VALUE"""),"LAA")</f>
        <v>LAA</v>
      </c>
      <c r="H200" s="40" t="str">
        <f ca="1">IFERROR(__xludf.DUMMYFUNCTION("""COMPUTED_VALUE"""),"LAA69")</f>
        <v>LAA69</v>
      </c>
      <c r="I200" s="40" t="str">
        <f ca="1">IFERROR(__xludf.DUMMYFUNCTION("""COMPUTED_VALUE"""),"C")</f>
        <v>C</v>
      </c>
      <c r="J200" s="40" t="str">
        <f ca="1">IFERROR(__xludf.DUMMYFUNCTION("""COMPUTED_VALUE"""),"Carmen Hernández Torres")</f>
        <v>Carmen Hernández Torres</v>
      </c>
      <c r="K200" s="40"/>
      <c r="L200" s="40" t="str">
        <f t="shared" ca="1" si="0"/>
        <v>LAA69</v>
      </c>
      <c r="M200" s="36" t="str">
        <f t="shared" ca="1" si="1"/>
        <v>LAA</v>
      </c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</row>
    <row r="201" spans="1:27">
      <c r="A201" s="40"/>
      <c r="B201" s="36"/>
      <c r="C201" s="40"/>
      <c r="D201" s="41"/>
      <c r="E201" s="40"/>
      <c r="F201" s="40" t="str">
        <f ca="1">IFERROR(__xludf.DUMMYFUNCTION("""COMPUTED_VALUE"""),"Maika Blázquez")</f>
        <v>Maika Blázquez</v>
      </c>
      <c r="G201" s="40" t="str">
        <f ca="1">IFERROR(__xludf.DUMMYFUNCTION("""COMPUTED_VALUE"""),"MBM")</f>
        <v>MBM</v>
      </c>
      <c r="H201" s="40" t="str">
        <f ca="1">IFERROR(__xludf.DUMMYFUNCTION("""COMPUTED_VALUE"""),"MBM99")</f>
        <v>MBM99</v>
      </c>
      <c r="I201" s="40" t="str">
        <f ca="1">IFERROR(__xludf.DUMMYFUNCTION("""COMPUTED_VALUE"""),"A")</f>
        <v>A</v>
      </c>
      <c r="J201" s="40" t="str">
        <f ca="1">IFERROR(__xludf.DUMMYFUNCTION("""COMPUTED_VALUE"""),"Carmen Juan Ivars")</f>
        <v>Carmen Juan Ivars</v>
      </c>
      <c r="K201" s="40"/>
      <c r="L201" s="40" t="str">
        <f t="shared" ca="1" si="0"/>
        <v>MBM99</v>
      </c>
      <c r="M201" s="36" t="str">
        <f t="shared" ca="1" si="1"/>
        <v>MBM</v>
      </c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</row>
    <row r="202" spans="1:27">
      <c r="A202" s="40"/>
      <c r="B202" s="36"/>
      <c r="C202" s="40"/>
      <c r="D202" s="41"/>
      <c r="E202" s="40"/>
      <c r="F202" s="40" t="str">
        <f ca="1">IFERROR(__xludf.DUMMYFUNCTION("""COMPUTED_VALUE"""),"Alberto Moreno")</f>
        <v>Alberto Moreno</v>
      </c>
      <c r="G202" s="40" t="str">
        <f ca="1">IFERROR(__xludf.DUMMYFUNCTION("""COMPUTED_VALUE"""),"AMM")</f>
        <v>AMM</v>
      </c>
      <c r="H202" s="40" t="str">
        <f ca="1">IFERROR(__xludf.DUMMYFUNCTION("""COMPUTED_VALUE"""),"AMM25")</f>
        <v>AMM25</v>
      </c>
      <c r="I202" s="40" t="str">
        <f ca="1">IFERROR(__xludf.DUMMYFUNCTION("""COMPUTED_VALUE"""),"A")</f>
        <v>A</v>
      </c>
      <c r="J202" s="40" t="str">
        <f ca="1">IFERROR(__xludf.DUMMYFUNCTION("""COMPUTED_VALUE"""),"Carmen Manzanares López-Rendo")</f>
        <v>Carmen Manzanares López-Rendo</v>
      </c>
      <c r="K202" s="40"/>
      <c r="L202" s="40" t="str">
        <f t="shared" ca="1" si="0"/>
        <v>AMM25</v>
      </c>
      <c r="M202" s="36" t="str">
        <f t="shared" ca="1" si="1"/>
        <v>AMM</v>
      </c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</row>
    <row r="203" spans="1:27">
      <c r="A203" s="40"/>
      <c r="B203" s="36"/>
      <c r="C203" s="40"/>
      <c r="D203" s="41"/>
      <c r="E203" s="40"/>
      <c r="F203" s="40" t="str">
        <f ca="1">IFERROR(__xludf.DUMMYFUNCTION("""COMPUTED_VALUE"""),"Lisandro Russian")</f>
        <v>Lisandro Russian</v>
      </c>
      <c r="G203" s="40" t="str">
        <f ca="1">IFERROR(__xludf.DUMMYFUNCTION("""COMPUTED_VALUE"""),"LRM")</f>
        <v>LRM</v>
      </c>
      <c r="H203" s="40" t="str">
        <f ca="1">IFERROR(__xludf.DUMMYFUNCTION("""COMPUTED_VALUE"""),"LRM142")</f>
        <v>LRM142</v>
      </c>
      <c r="I203" s="40" t="str">
        <f ca="1">IFERROR(__xludf.DUMMYFUNCTION("""COMPUTED_VALUE"""),"A")</f>
        <v>A</v>
      </c>
      <c r="J203" s="40" t="str">
        <f ca="1">IFERROR(__xludf.DUMMYFUNCTION("""COMPUTED_VALUE"""),"Carmen Martín Marcos")</f>
        <v>Carmen Martín Marcos</v>
      </c>
      <c r="K203" s="40"/>
      <c r="L203" s="40" t="str">
        <f t="shared" ca="1" si="0"/>
        <v>LRM142</v>
      </c>
      <c r="M203" s="36" t="str">
        <f t="shared" ca="1" si="1"/>
        <v>LRM</v>
      </c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</row>
    <row r="204" spans="1:27">
      <c r="A204" s="40"/>
      <c r="B204" s="36"/>
      <c r="C204" s="40"/>
      <c r="D204" s="41"/>
      <c r="E204" s="40"/>
      <c r="F204" s="40" t="str">
        <f ca="1">IFERROR(__xludf.DUMMYFUNCTION("""COMPUTED_VALUE"""),"Lisandro Russian")</f>
        <v>Lisandro Russian</v>
      </c>
      <c r="G204" s="40" t="str">
        <f ca="1">IFERROR(__xludf.DUMMYFUNCTION("""COMPUTED_VALUE"""),"LRM")</f>
        <v>LRM</v>
      </c>
      <c r="H204" s="40" t="str">
        <f ca="1">IFERROR(__xludf.DUMMYFUNCTION("""COMPUTED_VALUE"""),"LRM143")</f>
        <v>LRM143</v>
      </c>
      <c r="I204" s="40" t="str">
        <f ca="1">IFERROR(__xludf.DUMMYFUNCTION("""COMPUTED_VALUE"""),"A")</f>
        <v>A</v>
      </c>
      <c r="J204" s="40" t="str">
        <f ca="1">IFERROR(__xludf.DUMMYFUNCTION("""COMPUTED_VALUE"""),"Carmen Muñoz Calahorro")</f>
        <v>Carmen Muñoz Calahorro</v>
      </c>
      <c r="K204" s="40"/>
      <c r="L204" s="40" t="str">
        <f t="shared" ca="1" si="0"/>
        <v>LRM143</v>
      </c>
      <c r="M204" s="36" t="str">
        <f t="shared" ca="1" si="1"/>
        <v>LRM</v>
      </c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</row>
    <row r="205" spans="1:27">
      <c r="A205" s="40"/>
      <c r="B205" s="36"/>
      <c r="C205" s="40"/>
      <c r="D205" s="41"/>
      <c r="E205" s="40"/>
      <c r="F205" s="40" t="str">
        <f ca="1">IFERROR(__xludf.DUMMYFUNCTION("""COMPUTED_VALUE"""),"Lisandro Russian")</f>
        <v>Lisandro Russian</v>
      </c>
      <c r="G205" s="40" t="str">
        <f ca="1">IFERROR(__xludf.DUMMYFUNCTION("""COMPUTED_VALUE"""),"LRM")</f>
        <v>LRM</v>
      </c>
      <c r="H205" s="40" t="str">
        <f ca="1">IFERROR(__xludf.DUMMYFUNCTION("""COMPUTED_VALUE"""),"LRM144")</f>
        <v>LRM144</v>
      </c>
      <c r="I205" s="40" t="str">
        <f ca="1">IFERROR(__xludf.DUMMYFUNCTION("""COMPUTED_VALUE"""),"A")</f>
        <v>A</v>
      </c>
      <c r="J205" s="40" t="str">
        <f ca="1">IFERROR(__xludf.DUMMYFUNCTION("""COMPUTED_VALUE"""),"Carmen Ruiz Garcia")</f>
        <v>Carmen Ruiz Garcia</v>
      </c>
      <c r="K205" s="40"/>
      <c r="L205" s="40" t="str">
        <f t="shared" ca="1" si="0"/>
        <v>LRM144</v>
      </c>
      <c r="M205" s="36" t="str">
        <f t="shared" ca="1" si="1"/>
        <v>LRM</v>
      </c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</row>
    <row r="206" spans="1:27">
      <c r="A206" s="40"/>
      <c r="B206" s="36"/>
      <c r="C206" s="40"/>
      <c r="D206" s="41"/>
      <c r="E206" s="40"/>
      <c r="F206" s="40" t="str">
        <f ca="1">IFERROR(__xludf.DUMMYFUNCTION("""COMPUTED_VALUE"""),"Lisandro Russian")</f>
        <v>Lisandro Russian</v>
      </c>
      <c r="G206" s="40" t="str">
        <f ca="1">IFERROR(__xludf.DUMMYFUNCTION("""COMPUTED_VALUE"""),"LRM")</f>
        <v>LRM</v>
      </c>
      <c r="H206" s="40" t="str">
        <f ca="1">IFERROR(__xludf.DUMMYFUNCTION("""COMPUTED_VALUE"""),"LRM145")</f>
        <v>LRM145</v>
      </c>
      <c r="I206" s="40" t="str">
        <f ca="1">IFERROR(__xludf.DUMMYFUNCTION("""COMPUTED_VALUE"""),"A")</f>
        <v>A</v>
      </c>
      <c r="J206" s="40" t="str">
        <f ca="1">IFERROR(__xludf.DUMMYFUNCTION("""COMPUTED_VALUE"""),"Carmen Salazar Cabrera")</f>
        <v>Carmen Salazar Cabrera</v>
      </c>
      <c r="K206" s="40"/>
      <c r="L206" s="40" t="str">
        <f t="shared" ca="1" si="0"/>
        <v>LRM145</v>
      </c>
      <c r="M206" s="36" t="str">
        <f t="shared" ca="1" si="1"/>
        <v>LRM</v>
      </c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</row>
    <row r="207" spans="1:27">
      <c r="A207" s="40"/>
      <c r="B207" s="36"/>
      <c r="C207" s="40"/>
      <c r="D207" s="41"/>
      <c r="E207" s="40"/>
      <c r="F207" s="40" t="str">
        <f ca="1">IFERROR(__xludf.DUMMYFUNCTION("""COMPUTED_VALUE"""),"Patricia Solache")</f>
        <v>Patricia Solache</v>
      </c>
      <c r="G207" s="40" t="str">
        <f ca="1">IFERROR(__xludf.DUMMYFUNCTION("""COMPUTED_VALUE"""),"PSC")</f>
        <v>PSC</v>
      </c>
      <c r="H207" s="40" t="str">
        <f ca="1">IFERROR(__xludf.DUMMYFUNCTION("""COMPUTED_VALUE"""),"PSC36")</f>
        <v>PSC36</v>
      </c>
      <c r="I207" s="40" t="str">
        <f ca="1">IFERROR(__xludf.DUMMYFUNCTION("""COMPUTED_VALUE"""),"A")</f>
        <v>A</v>
      </c>
      <c r="J207" s="40" t="str">
        <f ca="1">IFERROR(__xludf.DUMMYFUNCTION("""COMPUTED_VALUE"""),"Carmen Vallés Rodríguez")</f>
        <v>Carmen Vallés Rodríguez</v>
      </c>
      <c r="K207" s="40"/>
      <c r="L207" s="40" t="str">
        <f t="shared" ca="1" si="0"/>
        <v>PSC36</v>
      </c>
      <c r="M207" s="36" t="str">
        <f t="shared" ca="1" si="1"/>
        <v>PSC</v>
      </c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</row>
    <row r="208" spans="1:27">
      <c r="A208" s="40"/>
      <c r="B208" s="36"/>
      <c r="C208" s="40"/>
      <c r="D208" s="41"/>
      <c r="E208" s="40"/>
      <c r="F208" s="40" t="str">
        <f ca="1">IFERROR(__xludf.DUMMYFUNCTION("""COMPUTED_VALUE"""),"Lisandro Russian")</f>
        <v>Lisandro Russian</v>
      </c>
      <c r="G208" s="40" t="str">
        <f ca="1">IFERROR(__xludf.DUMMYFUNCTION("""COMPUTED_VALUE"""),"LRM")</f>
        <v>LRM</v>
      </c>
      <c r="H208" s="40" t="str">
        <f ca="1">IFERROR(__xludf.DUMMYFUNCTION("""COMPUTED_VALUE"""),"LRM146")</f>
        <v>LRM146</v>
      </c>
      <c r="I208" s="40" t="str">
        <f ca="1">IFERROR(__xludf.DUMMYFUNCTION("""COMPUTED_VALUE"""),"A")</f>
        <v>A</v>
      </c>
      <c r="J208" s="40" t="str">
        <f ca="1">IFERROR(__xludf.DUMMYFUNCTION("""COMPUTED_VALUE"""),"Carmen Viñolas González")</f>
        <v>Carmen Viñolas González</v>
      </c>
      <c r="K208" s="40"/>
      <c r="L208" s="40" t="str">
        <f t="shared" ca="1" si="0"/>
        <v>LRM146</v>
      </c>
      <c r="M208" s="36" t="str">
        <f t="shared" ca="1" si="1"/>
        <v>LRM</v>
      </c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</row>
    <row r="209" spans="1:27">
      <c r="A209" s="40"/>
      <c r="B209" s="36"/>
      <c r="C209" s="40"/>
      <c r="D209" s="41"/>
      <c r="E209" s="40"/>
      <c r="F209" s="40" t="str">
        <f ca="1">IFERROR(__xludf.DUMMYFUNCTION("""COMPUTED_VALUE"""),"Lisandro Russian")</f>
        <v>Lisandro Russian</v>
      </c>
      <c r="G209" s="40" t="str">
        <f ca="1">IFERROR(__xludf.DUMMYFUNCTION("""COMPUTED_VALUE"""),"LRM")</f>
        <v>LRM</v>
      </c>
      <c r="H209" s="40" t="str">
        <f ca="1">IFERROR(__xludf.DUMMYFUNCTION("""COMPUTED_VALUE"""),"LRM147")</f>
        <v>LRM147</v>
      </c>
      <c r="I209" s="40" t="str">
        <f ca="1">IFERROR(__xludf.DUMMYFUNCTION("""COMPUTED_VALUE"""),"A")</f>
        <v>A</v>
      </c>
      <c r="J209" s="40" t="str">
        <f ca="1">IFERROR(__xludf.DUMMYFUNCTION("""COMPUTED_VALUE"""),"Carolina Vidal Martínez")</f>
        <v>Carolina Vidal Martínez</v>
      </c>
      <c r="K209" s="40"/>
      <c r="L209" s="40" t="str">
        <f t="shared" ca="1" si="0"/>
        <v>LRM147</v>
      </c>
      <c r="M209" s="36" t="str">
        <f t="shared" ca="1" si="1"/>
        <v>LRM</v>
      </c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</row>
    <row r="210" spans="1:27">
      <c r="A210" s="40"/>
      <c r="B210" s="36"/>
      <c r="C210" s="40"/>
      <c r="D210" s="41"/>
      <c r="E210" s="40"/>
      <c r="F210" s="40" t="str">
        <f ca="1">IFERROR(__xludf.DUMMYFUNCTION("""COMPUTED_VALUE"""),"Luis Alberto Rodríguez")</f>
        <v>Luis Alberto Rodríguez</v>
      </c>
      <c r="G210" s="40" t="str">
        <f ca="1">IFERROR(__xludf.DUMMYFUNCTION("""COMPUTED_VALUE"""),"LAA")</f>
        <v>LAA</v>
      </c>
      <c r="H210" s="40" t="str">
        <f ca="1">IFERROR(__xludf.DUMMYFUNCTION("""COMPUTED_VALUE"""),"LAA84")</f>
        <v>LAA84</v>
      </c>
      <c r="I210" s="40" t="str">
        <f ca="1">IFERROR(__xludf.DUMMYFUNCTION("""COMPUTED_VALUE"""),"C")</f>
        <v>C</v>
      </c>
      <c r="J210" s="40" t="str">
        <f ca="1">IFERROR(__xludf.DUMMYFUNCTION("""COMPUTED_VALUE"""),"Catalina Riera Sala")</f>
        <v>Catalina Riera Sala</v>
      </c>
      <c r="K210" s="40"/>
      <c r="L210" s="40" t="str">
        <f t="shared" ca="1" si="0"/>
        <v>LAA84</v>
      </c>
      <c r="M210" s="36" t="str">
        <f t="shared" ca="1" si="1"/>
        <v>LAA</v>
      </c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</row>
    <row r="211" spans="1:27">
      <c r="A211" s="40"/>
      <c r="B211" s="36"/>
      <c r="C211" s="40"/>
      <c r="D211" s="41"/>
      <c r="E211" s="23"/>
      <c r="F211" s="40" t="str">
        <f ca="1">IFERROR(__xludf.DUMMYFUNCTION("""COMPUTED_VALUE"""),"Luis Alberto Rodríguez")</f>
        <v>Luis Alberto Rodríguez</v>
      </c>
      <c r="G211" s="40" t="str">
        <f ca="1">IFERROR(__xludf.DUMMYFUNCTION("""COMPUTED_VALUE"""),"LAA")</f>
        <v>LAA</v>
      </c>
      <c r="H211" s="40" t="str">
        <f ca="1">IFERROR(__xludf.DUMMYFUNCTION("""COMPUTED_VALUE"""),"LAA44")</f>
        <v>LAA44</v>
      </c>
      <c r="I211" s="40" t="str">
        <f ca="1">IFERROR(__xludf.DUMMYFUNCTION("""COMPUTED_VALUE"""),"C")</f>
        <v>C</v>
      </c>
      <c r="J211" s="40" t="str">
        <f ca="1">IFERROR(__xludf.DUMMYFUNCTION("""COMPUTED_VALUE"""),"Cayetana López Ladrón García De La Borbolla")</f>
        <v>Cayetana López Ladrón García De La Borbolla</v>
      </c>
      <c r="K211" s="40"/>
      <c r="L211" s="40" t="str">
        <f t="shared" ca="1" si="0"/>
        <v>LAA44</v>
      </c>
      <c r="M211" s="36" t="str">
        <f t="shared" ca="1" si="1"/>
        <v>LAA</v>
      </c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</row>
    <row r="212" spans="1:27">
      <c r="A212" s="40"/>
      <c r="B212" s="36"/>
      <c r="C212" s="40"/>
      <c r="D212" s="41"/>
      <c r="E212" s="40"/>
      <c r="F212" s="40" t="str">
        <f ca="1">IFERROR(__xludf.DUMMYFUNCTION("""COMPUTED_VALUE"""),"Maika Blázquez")</f>
        <v>Maika Blázquez</v>
      </c>
      <c r="G212" s="40" t="str">
        <f ca="1">IFERROR(__xludf.DUMMYFUNCTION("""COMPUTED_VALUE"""),"MBM")</f>
        <v>MBM</v>
      </c>
      <c r="H212" s="40" t="str">
        <f ca="1">IFERROR(__xludf.DUMMYFUNCTION("""COMPUTED_VALUE"""),"MBM100")</f>
        <v>MBM100</v>
      </c>
      <c r="I212" s="40" t="str">
        <f ca="1">IFERROR(__xludf.DUMMYFUNCTION("""COMPUTED_VALUE"""),"A")</f>
        <v>A</v>
      </c>
      <c r="J212" s="40" t="str">
        <f ca="1">IFERROR(__xludf.DUMMYFUNCTION("""COMPUTED_VALUE"""),"Cecilia Pérez Martínez")</f>
        <v>Cecilia Pérez Martínez</v>
      </c>
      <c r="K212" s="40"/>
      <c r="L212" s="40" t="str">
        <f t="shared" ca="1" si="0"/>
        <v>MBM100</v>
      </c>
      <c r="M212" s="36" t="str">
        <f t="shared" ca="1" si="1"/>
        <v>MBM</v>
      </c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</row>
    <row r="213" spans="1:27">
      <c r="A213" s="40"/>
      <c r="B213" s="36"/>
      <c r="C213" s="40"/>
      <c r="D213" s="41"/>
      <c r="E213" s="40"/>
      <c r="F213" s="40" t="str">
        <f ca="1">IFERROR(__xludf.DUMMYFUNCTION("""COMPUTED_VALUE"""),"Roberto Pereira")</f>
        <v>Roberto Pereira</v>
      </c>
      <c r="G213" s="40" t="str">
        <f ca="1">IFERROR(__xludf.DUMMYFUNCTION("""COMPUTED_VALUE"""),"RPG")</f>
        <v>RPG</v>
      </c>
      <c r="H213" s="40" t="str">
        <f ca="1">IFERROR(__xludf.DUMMYFUNCTION("""COMPUTED_VALUE"""),"RPG40")</f>
        <v>RPG40</v>
      </c>
      <c r="I213" s="40" t="str">
        <f ca="1">IFERROR(__xludf.DUMMYFUNCTION("""COMPUTED_VALUE"""),"A")</f>
        <v>A</v>
      </c>
      <c r="J213" s="40" t="str">
        <f ca="1">IFERROR(__xludf.DUMMYFUNCTION("""COMPUTED_VALUE"""),"Celia Lendorio Otero")</f>
        <v>Celia Lendorio Otero</v>
      </c>
      <c r="K213" s="40"/>
      <c r="L213" s="40" t="str">
        <f t="shared" ca="1" si="0"/>
        <v>RPG40</v>
      </c>
      <c r="M213" s="36" t="str">
        <f t="shared" ca="1" si="1"/>
        <v>RPG</v>
      </c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</row>
    <row r="214" spans="1:27">
      <c r="A214" s="40"/>
      <c r="B214" s="36"/>
      <c r="C214" s="40"/>
      <c r="D214" s="41"/>
      <c r="E214" s="40"/>
      <c r="F214" s="40" t="str">
        <f ca="1">IFERROR(__xludf.DUMMYFUNCTION("""COMPUTED_VALUE"""),"Ramon Ferrando")</f>
        <v>Ramon Ferrando</v>
      </c>
      <c r="G214" s="40" t="str">
        <f ca="1">IFERROR(__xludf.DUMMYFUNCTION("""COMPUTED_VALUE"""),"RFV")</f>
        <v>RFV</v>
      </c>
      <c r="H214" s="40" t="str">
        <f ca="1">IFERROR(__xludf.DUMMYFUNCTION("""COMPUTED_VALUE"""),"RFV28")</f>
        <v>RFV28</v>
      </c>
      <c r="I214" s="40" t="str">
        <f ca="1">IFERROR(__xludf.DUMMYFUNCTION("""COMPUTED_VALUE"""),"B")</f>
        <v>B</v>
      </c>
      <c r="J214" s="40" t="str">
        <f ca="1">IFERROR(__xludf.DUMMYFUNCTION("""COMPUTED_VALUE"""),"Celia López Molla")</f>
        <v>Celia López Molla</v>
      </c>
      <c r="K214" s="40"/>
      <c r="L214" s="40" t="str">
        <f t="shared" ca="1" si="0"/>
        <v>RFV28</v>
      </c>
      <c r="M214" s="36" t="str">
        <f t="shared" ca="1" si="1"/>
        <v>RFV</v>
      </c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</row>
    <row r="215" spans="1:27">
      <c r="A215" s="40"/>
      <c r="B215" s="36"/>
      <c r="C215" s="40"/>
      <c r="D215" s="41"/>
      <c r="E215" s="40"/>
      <c r="F215" s="40" t="str">
        <f ca="1">IFERROR(__xludf.DUMMYFUNCTION("""COMPUTED_VALUE"""),"Maika Blázquez")</f>
        <v>Maika Blázquez</v>
      </c>
      <c r="G215" s="40" t="str">
        <f ca="1">IFERROR(__xludf.DUMMYFUNCTION("""COMPUTED_VALUE"""),"MBM")</f>
        <v>MBM</v>
      </c>
      <c r="H215" s="40" t="str">
        <f ca="1">IFERROR(__xludf.DUMMYFUNCTION("""COMPUTED_VALUE"""),"MBM15")</f>
        <v>MBM15</v>
      </c>
      <c r="I215" s="40" t="str">
        <f ca="1">IFERROR(__xludf.DUMMYFUNCTION("""COMPUTED_VALUE"""),"A")</f>
        <v>A</v>
      </c>
      <c r="J215" s="40" t="str">
        <f ca="1">IFERROR(__xludf.DUMMYFUNCTION("""COMPUTED_VALUE"""),"César Charles Martínez")</f>
        <v>César Charles Martínez</v>
      </c>
      <c r="K215" s="40"/>
      <c r="L215" s="40" t="str">
        <f t="shared" ca="1" si="0"/>
        <v>MBM15</v>
      </c>
      <c r="M215" s="36" t="str">
        <f t="shared" ca="1" si="1"/>
        <v>MBM</v>
      </c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</row>
    <row r="216" spans="1:27">
      <c r="A216" s="40"/>
      <c r="B216" s="36"/>
      <c r="C216" s="40"/>
      <c r="D216" s="41"/>
      <c r="E216" s="40"/>
      <c r="F216" s="40" t="str">
        <f ca="1">IFERROR(__xludf.DUMMYFUNCTION("""COMPUTED_VALUE"""),"Lisandro Russian")</f>
        <v>Lisandro Russian</v>
      </c>
      <c r="G216" s="40" t="str">
        <f ca="1">IFERROR(__xludf.DUMMYFUNCTION("""COMPUTED_VALUE"""),"LRM")</f>
        <v>LRM</v>
      </c>
      <c r="H216" s="40" t="str">
        <f ca="1">IFERROR(__xludf.DUMMYFUNCTION("""COMPUTED_VALUE"""),"LRM148")</f>
        <v>LRM148</v>
      </c>
      <c r="I216" s="40" t="str">
        <f ca="1">IFERROR(__xludf.DUMMYFUNCTION("""COMPUTED_VALUE"""),"A")</f>
        <v>A</v>
      </c>
      <c r="J216" s="40" t="str">
        <f ca="1">IFERROR(__xludf.DUMMYFUNCTION("""COMPUTED_VALUE"""),"Charo de Saa Alvarez")</f>
        <v>Charo de Saa Alvarez</v>
      </c>
      <c r="K216" s="40"/>
      <c r="L216" s="40" t="str">
        <f t="shared" ca="1" si="0"/>
        <v>LRM148</v>
      </c>
      <c r="M216" s="36" t="str">
        <f t="shared" ca="1" si="1"/>
        <v>LRM</v>
      </c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</row>
    <row r="217" spans="1:27">
      <c r="A217" s="40"/>
      <c r="B217" s="36"/>
      <c r="C217" s="23"/>
      <c r="D217" s="41"/>
      <c r="E217" s="40"/>
      <c r="F217" s="23" t="str">
        <f ca="1">IFERROR(__xludf.DUMMYFUNCTION("""COMPUTED_VALUE"""),"Roberto Pereira")</f>
        <v>Roberto Pereira</v>
      </c>
      <c r="G217" s="40" t="str">
        <f ca="1">IFERROR(__xludf.DUMMYFUNCTION("""COMPUTED_VALUE"""),"RPG")</f>
        <v>RPG</v>
      </c>
      <c r="H217" s="40" t="str">
        <f ca="1">IFERROR(__xludf.DUMMYFUNCTION("""COMPUTED_VALUE"""),"RPG10")</f>
        <v>RPG10</v>
      </c>
      <c r="I217" s="40" t="str">
        <f ca="1">IFERROR(__xludf.DUMMYFUNCTION("""COMPUTED_VALUE"""),"A")</f>
        <v>A</v>
      </c>
      <c r="J217" s="40" t="str">
        <f ca="1">IFERROR(__xludf.DUMMYFUNCTION("""COMPUTED_VALUE"""),"Christian Ezequiel Calvo Henríquez")</f>
        <v>Christian Ezequiel Calvo Henríquez</v>
      </c>
      <c r="K217" s="40"/>
      <c r="L217" s="40" t="str">
        <f t="shared" ca="1" si="0"/>
        <v>RPG10</v>
      </c>
      <c r="M217" s="36" t="str">
        <f t="shared" ca="1" si="1"/>
        <v>RPG</v>
      </c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</row>
    <row r="218" spans="1:27">
      <c r="A218" s="40"/>
      <c r="B218" s="36"/>
      <c r="C218" s="40"/>
      <c r="D218" s="41"/>
      <c r="E218" s="40"/>
      <c r="F218" s="40" t="str">
        <f ca="1">IFERROR(__xludf.DUMMYFUNCTION("""COMPUTED_VALUE"""),"Maika Blázquez")</f>
        <v>Maika Blázquez</v>
      </c>
      <c r="G218" s="40" t="str">
        <f ca="1">IFERROR(__xludf.DUMMYFUNCTION("""COMPUTED_VALUE"""),"MBM")</f>
        <v>MBM</v>
      </c>
      <c r="H218" s="40" t="str">
        <f ca="1">IFERROR(__xludf.DUMMYFUNCTION("""COMPUTED_VALUE"""),"MBM101")</f>
        <v>MBM101</v>
      </c>
      <c r="I218" s="40" t="str">
        <f ca="1">IFERROR(__xludf.DUMMYFUNCTION("""COMPUTED_VALUE"""),"A")</f>
        <v>A</v>
      </c>
      <c r="J218" s="40" t="str">
        <f ca="1">IFERROR(__xludf.DUMMYFUNCTION("""COMPUTED_VALUE"""),"Clara Beltrán Yturriaga")</f>
        <v>Clara Beltrán Yturriaga</v>
      </c>
      <c r="K218" s="40"/>
      <c r="L218" s="40" t="str">
        <f t="shared" ca="1" si="0"/>
        <v>MBM101</v>
      </c>
      <c r="M218" s="36" t="str">
        <f t="shared" ca="1" si="1"/>
        <v>MBM</v>
      </c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</row>
    <row r="219" spans="1:27">
      <c r="A219" s="40"/>
      <c r="B219" s="36"/>
      <c r="C219" s="40"/>
      <c r="D219" s="41"/>
      <c r="E219" s="23"/>
      <c r="F219" s="40" t="str">
        <f ca="1">IFERROR(__xludf.DUMMYFUNCTION("""COMPUTED_VALUE"""),"Mercè Cabrera")</f>
        <v>Mercè Cabrera</v>
      </c>
      <c r="G219" s="40" t="str">
        <f ca="1">IFERROR(__xludf.DUMMYFUNCTION("""COMPUTED_VALUE"""),"MCC")</f>
        <v>MCC</v>
      </c>
      <c r="H219" s="40" t="str">
        <f ca="1">IFERROR(__xludf.DUMMYFUNCTION("""COMPUTED_VALUE"""),"MCC03")</f>
        <v>MCC03</v>
      </c>
      <c r="I219" s="40" t="str">
        <f ca="1">IFERROR(__xludf.DUMMYFUNCTION("""COMPUTED_VALUE"""),"A")</f>
        <v>A</v>
      </c>
      <c r="J219" s="40" t="str">
        <f ca="1">IFERROR(__xludf.DUMMYFUNCTION("""COMPUTED_VALUE"""),"Clara Espina González")</f>
        <v>Clara Espina González</v>
      </c>
      <c r="K219" s="40"/>
      <c r="L219" s="40" t="str">
        <f t="shared" ca="1" si="0"/>
        <v>MCC03</v>
      </c>
      <c r="M219" s="36" t="str">
        <f t="shared" ca="1" si="1"/>
        <v>MCC</v>
      </c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</row>
    <row r="220" spans="1:27">
      <c r="A220" s="40"/>
      <c r="B220" s="36"/>
      <c r="C220" s="40"/>
      <c r="D220" s="41"/>
      <c r="E220" s="40"/>
      <c r="F220" s="40" t="str">
        <f ca="1">IFERROR(__xludf.DUMMYFUNCTION("""COMPUTED_VALUE"""),"Roberto Pereira")</f>
        <v>Roberto Pereira</v>
      </c>
      <c r="G220" s="40" t="str">
        <f ca="1">IFERROR(__xludf.DUMMYFUNCTION("""COMPUTED_VALUE"""),"RPG")</f>
        <v>RPG</v>
      </c>
      <c r="H220" s="40" t="str">
        <f ca="1">IFERROR(__xludf.DUMMYFUNCTION("""COMPUTED_VALUE"""),"RPG41")</f>
        <v>RPG41</v>
      </c>
      <c r="I220" s="40" t="str">
        <f ca="1">IFERROR(__xludf.DUMMYFUNCTION("""COMPUTED_VALUE"""),"A")</f>
        <v>A</v>
      </c>
      <c r="J220" s="40" t="str">
        <f ca="1">IFERROR(__xludf.DUMMYFUNCTION("""COMPUTED_VALUE"""),"Clara García Bastida")</f>
        <v>Clara García Bastida</v>
      </c>
      <c r="K220" s="40"/>
      <c r="L220" s="40" t="str">
        <f t="shared" ca="1" si="0"/>
        <v>RPG41</v>
      </c>
      <c r="M220" s="36" t="str">
        <f t="shared" ca="1" si="1"/>
        <v>RPG</v>
      </c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</row>
    <row r="221" spans="1:27">
      <c r="A221" s="40"/>
      <c r="B221" s="36"/>
      <c r="C221" s="40"/>
      <c r="D221" s="41"/>
      <c r="E221" s="40"/>
      <c r="F221" s="40" t="str">
        <f ca="1">IFERROR(__xludf.DUMMYFUNCTION("""COMPUTED_VALUE"""),"Maika Blázquez")</f>
        <v>Maika Blázquez</v>
      </c>
      <c r="G221" s="40" t="str">
        <f ca="1">IFERROR(__xludf.DUMMYFUNCTION("""COMPUTED_VALUE"""),"MBM")</f>
        <v>MBM</v>
      </c>
      <c r="H221" s="40" t="str">
        <f ca="1">IFERROR(__xludf.DUMMYFUNCTION("""COMPUTED_VALUE"""),"MBM102")</f>
        <v>MBM102</v>
      </c>
      <c r="I221" s="40" t="str">
        <f ca="1">IFERROR(__xludf.DUMMYFUNCTION("""COMPUTED_VALUE"""),"A")</f>
        <v>A</v>
      </c>
      <c r="J221" s="40" t="str">
        <f ca="1">IFERROR(__xludf.DUMMYFUNCTION("""COMPUTED_VALUE"""),"Claudia Buendía Pajares")</f>
        <v>Claudia Buendía Pajares</v>
      </c>
      <c r="K221" s="40"/>
      <c r="L221" s="40" t="str">
        <f t="shared" ca="1" si="0"/>
        <v>MBM102</v>
      </c>
      <c r="M221" s="36" t="str">
        <f t="shared" ca="1" si="1"/>
        <v>MBM</v>
      </c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</row>
    <row r="222" spans="1:27">
      <c r="A222" s="40"/>
      <c r="B222" s="36"/>
      <c r="C222" s="40"/>
      <c r="D222" s="41"/>
      <c r="E222" s="40"/>
      <c r="F222" s="40" t="str">
        <f ca="1">IFERROR(__xludf.DUMMYFUNCTION("""COMPUTED_VALUE"""),"Alberto Moreno")</f>
        <v>Alberto Moreno</v>
      </c>
      <c r="G222" s="40" t="str">
        <f ca="1">IFERROR(__xludf.DUMMYFUNCTION("""COMPUTED_VALUE"""),"AMM")</f>
        <v>AMM</v>
      </c>
      <c r="H222" s="40" t="str">
        <f ca="1">IFERROR(__xludf.DUMMYFUNCTION("""COMPUTED_VALUE"""),"AMM27")</f>
        <v>AMM27</v>
      </c>
      <c r="I222" s="40" t="str">
        <f ca="1">IFERROR(__xludf.DUMMYFUNCTION("""COMPUTED_VALUE"""),"A")</f>
        <v>A</v>
      </c>
      <c r="J222" s="40" t="str">
        <f ca="1">IFERROR(__xludf.DUMMYFUNCTION("""COMPUTED_VALUE"""),"Claudia Llorente Álvarez")</f>
        <v>Claudia Llorente Álvarez</v>
      </c>
      <c r="K222" s="40"/>
      <c r="L222" s="40" t="str">
        <f t="shared" ca="1" si="0"/>
        <v>AMM27</v>
      </c>
      <c r="M222" s="36" t="str">
        <f t="shared" ca="1" si="1"/>
        <v>AMM</v>
      </c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</row>
    <row r="223" spans="1:27">
      <c r="A223" s="40"/>
      <c r="B223" s="36"/>
      <c r="C223" s="40"/>
      <c r="D223" s="41"/>
      <c r="E223" s="40"/>
      <c r="F223" s="40" t="str">
        <f ca="1">IFERROR(__xludf.DUMMYFUNCTION("""COMPUTED_VALUE"""),"Roberto Pereira")</f>
        <v>Roberto Pereira</v>
      </c>
      <c r="G223" s="40" t="str">
        <f ca="1">IFERROR(__xludf.DUMMYFUNCTION("""COMPUTED_VALUE"""),"RPG")</f>
        <v>RPG</v>
      </c>
      <c r="H223" s="40" t="str">
        <f ca="1">IFERROR(__xludf.DUMMYFUNCTION("""COMPUTED_VALUE"""),"RPG42")</f>
        <v>RPG42</v>
      </c>
      <c r="I223" s="40" t="str">
        <f ca="1">IFERROR(__xludf.DUMMYFUNCTION("""COMPUTED_VALUE"""),"A")</f>
        <v>A</v>
      </c>
      <c r="J223" s="40" t="str">
        <f ca="1">IFERROR(__xludf.DUMMYFUNCTION("""COMPUTED_VALUE"""),"Claudia Martínez Paris")</f>
        <v>Claudia Martínez Paris</v>
      </c>
      <c r="K223" s="40"/>
      <c r="L223" s="40" t="str">
        <f t="shared" ca="1" si="0"/>
        <v>RPG42</v>
      </c>
      <c r="M223" s="36" t="str">
        <f t="shared" ca="1" si="1"/>
        <v>RPG</v>
      </c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</row>
    <row r="224" spans="1:27">
      <c r="A224" s="40"/>
      <c r="B224" s="36"/>
      <c r="C224" s="40"/>
      <c r="D224" s="41"/>
      <c r="E224" s="40"/>
      <c r="F224" s="40" t="str">
        <f ca="1">IFERROR(__xludf.DUMMYFUNCTION("""COMPUTED_VALUE"""),"Lisandro Russian")</f>
        <v>Lisandro Russian</v>
      </c>
      <c r="G224" s="40" t="str">
        <f ca="1">IFERROR(__xludf.DUMMYFUNCTION("""COMPUTED_VALUE"""),"LRM")</f>
        <v>LRM</v>
      </c>
      <c r="H224" s="40" t="str">
        <f ca="1">IFERROR(__xludf.DUMMYFUNCTION("""COMPUTED_VALUE"""),"LRM24")</f>
        <v>LRM24</v>
      </c>
      <c r="I224" s="40" t="str">
        <f ca="1">IFERROR(__xludf.DUMMYFUNCTION("""COMPUTED_VALUE"""),"A")</f>
        <v>A</v>
      </c>
      <c r="J224" s="40" t="str">
        <f ca="1">IFERROR(__xludf.DUMMYFUNCTION("""COMPUTED_VALUE"""),"Claudio Fragola Arnau")</f>
        <v>Claudio Fragola Arnau</v>
      </c>
      <c r="K224" s="40"/>
      <c r="L224" s="40" t="str">
        <f t="shared" ca="1" si="0"/>
        <v>LRM24</v>
      </c>
      <c r="M224" s="36" t="str">
        <f t="shared" ca="1" si="1"/>
        <v>LRM</v>
      </c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</row>
    <row r="225" spans="1:27">
      <c r="A225" s="40"/>
      <c r="B225" s="36"/>
      <c r="C225" s="40"/>
      <c r="D225" s="41"/>
      <c r="E225" s="40"/>
      <c r="F225" s="40" t="str">
        <f ca="1">IFERROR(__xludf.DUMMYFUNCTION("""COMPUTED_VALUE"""),"Lisandro Russian")</f>
        <v>Lisandro Russian</v>
      </c>
      <c r="G225" s="40" t="str">
        <f ca="1">IFERROR(__xludf.DUMMYFUNCTION("""COMPUTED_VALUE"""),"LRM")</f>
        <v>LRM</v>
      </c>
      <c r="H225" s="40" t="str">
        <f ca="1">IFERROR(__xludf.DUMMYFUNCTION("""COMPUTED_VALUE"""),"LRM256")</f>
        <v>LRM256</v>
      </c>
      <c r="I225" s="40" t="str">
        <f ca="1">IFERROR(__xludf.DUMMYFUNCTION("""COMPUTED_VALUE"""),"A")</f>
        <v>A</v>
      </c>
      <c r="J225" s="40" t="str">
        <f ca="1">IFERROR(__xludf.DUMMYFUNCTION("""COMPUTED_VALUE"""),"Coloma Grau Van Laak")</f>
        <v>Coloma Grau Van Laak</v>
      </c>
      <c r="K225" s="40"/>
      <c r="L225" s="40" t="str">
        <f t="shared" ca="1" si="0"/>
        <v>LRM256</v>
      </c>
      <c r="M225" s="36" t="str">
        <f t="shared" ca="1" si="1"/>
        <v>LRM</v>
      </c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</row>
    <row r="226" spans="1:27">
      <c r="A226" s="40"/>
      <c r="B226" s="36"/>
      <c r="C226" s="40"/>
      <c r="D226" s="41"/>
      <c r="E226" s="40"/>
      <c r="F226" s="40" t="str">
        <f ca="1">IFERROR(__xludf.DUMMYFUNCTION("""COMPUTED_VALUE"""),"Iván Sánchez")</f>
        <v>Iván Sánchez</v>
      </c>
      <c r="G226" s="40" t="str">
        <f ca="1">IFERROR(__xludf.DUMMYFUNCTION("""COMPUTED_VALUE"""),"ISL")</f>
        <v>ISL</v>
      </c>
      <c r="H226" s="40" t="str">
        <f ca="1">IFERROR(__xludf.DUMMYFUNCTION("""COMPUTED_VALUE"""),"ISL97")</f>
        <v>ISL97</v>
      </c>
      <c r="I226" s="40" t="str">
        <f ca="1">IFERROR(__xludf.DUMMYFUNCTION("""COMPUTED_VALUE"""),"B")</f>
        <v>B</v>
      </c>
      <c r="J226" s="40" t="str">
        <f ca="1">IFERROR(__xludf.DUMMYFUNCTION("""COMPUTED_VALUE"""),"Concepción Crespo Marco")</f>
        <v>Concepción Crespo Marco</v>
      </c>
      <c r="K226" s="40"/>
      <c r="L226" s="40" t="str">
        <f t="shared" ca="1" si="0"/>
        <v>ISL97</v>
      </c>
      <c r="M226" s="36" t="str">
        <f t="shared" ca="1" si="1"/>
        <v>ISL</v>
      </c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</row>
    <row r="227" spans="1:27">
      <c r="A227" s="40"/>
      <c r="B227" s="36"/>
      <c r="C227" s="40"/>
      <c r="D227" s="41"/>
      <c r="E227" s="23"/>
      <c r="F227" s="40" t="str">
        <f ca="1">IFERROR(__xludf.DUMMYFUNCTION("""COMPUTED_VALUE"""),"Maika Blázquez")</f>
        <v>Maika Blázquez</v>
      </c>
      <c r="G227" s="40" t="str">
        <f ca="1">IFERROR(__xludf.DUMMYFUNCTION("""COMPUTED_VALUE"""),"MBM")</f>
        <v>MBM</v>
      </c>
      <c r="H227" s="40" t="str">
        <f ca="1">IFERROR(__xludf.DUMMYFUNCTION("""COMPUTED_VALUE"""),"MBM103")</f>
        <v>MBM103</v>
      </c>
      <c r="I227" s="40" t="str">
        <f ca="1">IFERROR(__xludf.DUMMYFUNCTION("""COMPUTED_VALUE"""),"A")</f>
        <v>A</v>
      </c>
      <c r="J227" s="40" t="str">
        <f ca="1">IFERROR(__xludf.DUMMYFUNCTION("""COMPUTED_VALUE"""),"Concepción Pescador Mesonero")</f>
        <v>Concepción Pescador Mesonero</v>
      </c>
      <c r="K227" s="40"/>
      <c r="L227" s="40" t="str">
        <f t="shared" ca="1" si="0"/>
        <v>MBM103</v>
      </c>
      <c r="M227" s="36" t="str">
        <f t="shared" ca="1" si="1"/>
        <v>MBM</v>
      </c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</row>
    <row r="228" spans="1:27">
      <c r="A228" s="40"/>
      <c r="B228" s="36"/>
      <c r="C228" s="40"/>
      <c r="D228" s="41"/>
      <c r="E228" s="40"/>
      <c r="F228" s="40" t="str">
        <f ca="1">IFERROR(__xludf.DUMMYFUNCTION("""COMPUTED_VALUE"""),"Maika Blázquez")</f>
        <v>Maika Blázquez</v>
      </c>
      <c r="G228" s="40" t="str">
        <f ca="1">IFERROR(__xludf.DUMMYFUNCTION("""COMPUTED_VALUE"""),"MBM")</f>
        <v>MBM</v>
      </c>
      <c r="H228" s="40" t="str">
        <f ca="1">IFERROR(__xludf.DUMMYFUNCTION("""COMPUTED_VALUE"""),"MBM104")</f>
        <v>MBM104</v>
      </c>
      <c r="I228" s="40" t="str">
        <f ca="1">IFERROR(__xludf.DUMMYFUNCTION("""COMPUTED_VALUE"""),"A")</f>
        <v>A</v>
      </c>
      <c r="J228" s="40" t="str">
        <f ca="1">IFERROR(__xludf.DUMMYFUNCTION("""COMPUTED_VALUE"""),"Concepcion Rodríguez Izquierdo")</f>
        <v>Concepcion Rodríguez Izquierdo</v>
      </c>
      <c r="K228" s="40"/>
      <c r="L228" s="40" t="str">
        <f t="shared" ca="1" si="0"/>
        <v>MBM104</v>
      </c>
      <c r="M228" s="36" t="str">
        <f t="shared" ca="1" si="1"/>
        <v>MBM</v>
      </c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</row>
    <row r="229" spans="1:27">
      <c r="A229" s="40"/>
      <c r="B229" s="36"/>
      <c r="C229" s="40"/>
      <c r="D229" s="41"/>
      <c r="E229" s="40"/>
      <c r="F229" s="40" t="str">
        <f ca="1">IFERROR(__xludf.DUMMYFUNCTION("""COMPUTED_VALUE"""),"Luis Alberto Rodríguez")</f>
        <v>Luis Alberto Rodríguez</v>
      </c>
      <c r="G229" s="40" t="str">
        <f ca="1">IFERROR(__xludf.DUMMYFUNCTION("""COMPUTED_VALUE"""),"LAA")</f>
        <v>LAA</v>
      </c>
      <c r="H229" s="40" t="str">
        <f ca="1">IFERROR(__xludf.DUMMYFUNCTION("""COMPUTED_VALUE"""),"LAA06")</f>
        <v>LAA06</v>
      </c>
      <c r="I229" s="40" t="str">
        <f ca="1">IFERROR(__xludf.DUMMYFUNCTION("""COMPUTED_VALUE"""),"C")</f>
        <v>C</v>
      </c>
      <c r="J229" s="40" t="str">
        <f ca="1">IFERROR(__xludf.DUMMYFUNCTION("""COMPUTED_VALUE"""),"Cristina Alonso González")</f>
        <v>Cristina Alonso González</v>
      </c>
      <c r="K229" s="40"/>
      <c r="L229" s="40" t="str">
        <f t="shared" ca="1" si="0"/>
        <v>LAA06</v>
      </c>
      <c r="M229" s="36" t="str">
        <f t="shared" ca="1" si="1"/>
        <v>LAA</v>
      </c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</row>
    <row r="230" spans="1:27">
      <c r="A230" s="40"/>
      <c r="B230" s="36"/>
      <c r="C230" s="40"/>
      <c r="D230" s="41"/>
      <c r="E230" s="40"/>
      <c r="F230" s="40" t="str">
        <f ca="1">IFERROR(__xludf.DUMMYFUNCTION("""COMPUTED_VALUE"""),"Maika Blázquez")</f>
        <v>Maika Blázquez</v>
      </c>
      <c r="G230" s="40" t="str">
        <f ca="1">IFERROR(__xludf.DUMMYFUNCTION("""COMPUTED_VALUE"""),"MBM")</f>
        <v>MBM</v>
      </c>
      <c r="H230" s="40" t="str">
        <f ca="1">IFERROR(__xludf.DUMMYFUNCTION("""COMPUTED_VALUE"""),"MBM105")</f>
        <v>MBM105</v>
      </c>
      <c r="I230" s="40" t="str">
        <f ca="1">IFERROR(__xludf.DUMMYFUNCTION("""COMPUTED_VALUE"""),"A")</f>
        <v>A</v>
      </c>
      <c r="J230" s="40" t="str">
        <f ca="1">IFERROR(__xludf.DUMMYFUNCTION("""COMPUTED_VALUE"""),"Cristina Alonso Martínez")</f>
        <v>Cristina Alonso Martínez</v>
      </c>
      <c r="K230" s="40"/>
      <c r="L230" s="40" t="str">
        <f t="shared" ca="1" si="0"/>
        <v>MBM105</v>
      </c>
      <c r="M230" s="36" t="str">
        <f t="shared" ca="1" si="1"/>
        <v>MBM</v>
      </c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</row>
    <row r="231" spans="1:27">
      <c r="A231" s="40"/>
      <c r="B231" s="36"/>
      <c r="C231" s="40"/>
      <c r="D231" s="41"/>
      <c r="E231" s="40"/>
      <c r="F231" s="40" t="str">
        <f ca="1">IFERROR(__xludf.DUMMYFUNCTION("""COMPUTED_VALUE"""),"Iván Sánchez")</f>
        <v>Iván Sánchez</v>
      </c>
      <c r="G231" s="40" t="str">
        <f ca="1">IFERROR(__xludf.DUMMYFUNCTION("""COMPUTED_VALUE"""),"ISL")</f>
        <v>ISL</v>
      </c>
      <c r="H231" s="40" t="str">
        <f ca="1">IFERROR(__xludf.DUMMYFUNCTION("""COMPUTED_VALUE"""),"ISL98")</f>
        <v>ISL98</v>
      </c>
      <c r="I231" s="40" t="str">
        <f ca="1">IFERROR(__xludf.DUMMYFUNCTION("""COMPUTED_VALUE"""),"B")</f>
        <v>B</v>
      </c>
      <c r="J231" s="40" t="str">
        <f ca="1">IFERROR(__xludf.DUMMYFUNCTION("""COMPUTED_VALUE"""),"Cristina Esther Torregrosa Carrasquer")</f>
        <v>Cristina Esther Torregrosa Carrasquer</v>
      </c>
      <c r="K231" s="40"/>
      <c r="L231" s="40" t="str">
        <f t="shared" ca="1" si="0"/>
        <v>ISL98</v>
      </c>
      <c r="M231" s="36" t="str">
        <f t="shared" ca="1" si="1"/>
        <v>ISL</v>
      </c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</row>
    <row r="232" spans="1:27">
      <c r="A232" s="40"/>
      <c r="B232" s="36"/>
      <c r="C232" s="40"/>
      <c r="D232" s="41"/>
      <c r="E232" s="40"/>
      <c r="F232" s="40" t="str">
        <f ca="1">IFERROR(__xludf.DUMMYFUNCTION("""COMPUTED_VALUE"""),"Maika Blázquez")</f>
        <v>Maika Blázquez</v>
      </c>
      <c r="G232" s="40" t="str">
        <f ca="1">IFERROR(__xludf.DUMMYFUNCTION("""COMPUTED_VALUE"""),"MBM")</f>
        <v>MBM</v>
      </c>
      <c r="H232" s="40" t="str">
        <f ca="1">IFERROR(__xludf.DUMMYFUNCTION("""COMPUTED_VALUE"""),"MBM106")</f>
        <v>MBM106</v>
      </c>
      <c r="I232" s="40" t="str">
        <f ca="1">IFERROR(__xludf.DUMMYFUNCTION("""COMPUTED_VALUE"""),"A")</f>
        <v>A</v>
      </c>
      <c r="J232" s="40" t="str">
        <f ca="1">IFERROR(__xludf.DUMMYFUNCTION("""COMPUTED_VALUE"""),"Cristina Fernández García")</f>
        <v>Cristina Fernández García</v>
      </c>
      <c r="K232" s="40"/>
      <c r="L232" s="40" t="str">
        <f t="shared" ca="1" si="0"/>
        <v>MBM106</v>
      </c>
      <c r="M232" s="36" t="str">
        <f t="shared" ca="1" si="1"/>
        <v>MBM</v>
      </c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</row>
    <row r="233" spans="1:27">
      <c r="A233" s="40"/>
      <c r="B233" s="36"/>
      <c r="C233" s="40"/>
      <c r="D233" s="41"/>
      <c r="E233" s="40"/>
      <c r="F233" s="40" t="str">
        <f ca="1">IFERROR(__xludf.DUMMYFUNCTION("""COMPUTED_VALUE"""),"Lisandro Russian")</f>
        <v>Lisandro Russian</v>
      </c>
      <c r="G233" s="40" t="str">
        <f ca="1">IFERROR(__xludf.DUMMYFUNCTION("""COMPUTED_VALUE"""),"LRM")</f>
        <v>LRM</v>
      </c>
      <c r="H233" s="40" t="str">
        <f ca="1">IFERROR(__xludf.DUMMYFUNCTION("""COMPUTED_VALUE"""),"LRM150")</f>
        <v>LRM150</v>
      </c>
      <c r="I233" s="40" t="str">
        <f ca="1">IFERROR(__xludf.DUMMYFUNCTION("""COMPUTED_VALUE"""),"A")</f>
        <v>A</v>
      </c>
      <c r="J233" s="40" t="str">
        <f ca="1">IFERROR(__xludf.DUMMYFUNCTION("""COMPUTED_VALUE"""),"Cristina Fernández Jañez")</f>
        <v>Cristina Fernández Jañez</v>
      </c>
      <c r="K233" s="40"/>
      <c r="L233" s="40" t="str">
        <f t="shared" ca="1" si="0"/>
        <v>LRM150</v>
      </c>
      <c r="M233" s="36" t="str">
        <f t="shared" ca="1" si="1"/>
        <v>LRM</v>
      </c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</row>
    <row r="234" spans="1:27">
      <c r="A234" s="40"/>
      <c r="B234" s="36"/>
      <c r="C234" s="40"/>
      <c r="D234" s="41"/>
      <c r="E234" s="40"/>
      <c r="F234" s="40" t="str">
        <f ca="1">IFERROR(__xludf.DUMMYFUNCTION("""COMPUTED_VALUE"""),"Maika Blázquez")</f>
        <v>Maika Blázquez</v>
      </c>
      <c r="G234" s="40" t="str">
        <f ca="1">IFERROR(__xludf.DUMMYFUNCTION("""COMPUTED_VALUE"""),"MBM")</f>
        <v>MBM</v>
      </c>
      <c r="H234" s="40" t="str">
        <f ca="1">IFERROR(__xludf.DUMMYFUNCTION("""COMPUTED_VALUE"""),"MBM190")</f>
        <v>MBM190</v>
      </c>
      <c r="I234" s="40" t="str">
        <f ca="1">IFERROR(__xludf.DUMMYFUNCTION("""COMPUTED_VALUE"""),"A")</f>
        <v>A</v>
      </c>
      <c r="J234" s="40" t="str">
        <f ca="1">IFERROR(__xludf.DUMMYFUNCTION("""COMPUTED_VALUE"""),"Cristina García García")</f>
        <v>Cristina García García</v>
      </c>
      <c r="K234" s="40"/>
      <c r="L234" s="40" t="str">
        <f t="shared" ca="1" si="0"/>
        <v>MBM190</v>
      </c>
      <c r="M234" s="36" t="str">
        <f t="shared" ca="1" si="1"/>
        <v>MBM</v>
      </c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</row>
    <row r="235" spans="1:27">
      <c r="A235" s="40"/>
      <c r="B235" s="36"/>
      <c r="C235" s="40"/>
      <c r="D235" s="41"/>
      <c r="E235" s="40"/>
      <c r="F235" s="40" t="str">
        <f ca="1">IFERROR(__xludf.DUMMYFUNCTION("""COMPUTED_VALUE"""),"Lisandro Russian")</f>
        <v>Lisandro Russian</v>
      </c>
      <c r="G235" s="40" t="str">
        <f ca="1">IFERROR(__xludf.DUMMYFUNCTION("""COMPUTED_VALUE"""),"LRM")</f>
        <v>LRM</v>
      </c>
      <c r="H235" s="40" t="str">
        <f ca="1">IFERROR(__xludf.DUMMYFUNCTION("""COMPUTED_VALUE"""),"LRM151")</f>
        <v>LRM151</v>
      </c>
      <c r="I235" s="40" t="str">
        <f ca="1">IFERROR(__xludf.DUMMYFUNCTION("""COMPUTED_VALUE"""),"A")</f>
        <v>A</v>
      </c>
      <c r="J235" s="40" t="str">
        <f ca="1">IFERROR(__xludf.DUMMYFUNCTION("""COMPUTED_VALUE"""),"Cristina Ibañez Muñoz")</f>
        <v>Cristina Ibañez Muñoz</v>
      </c>
      <c r="K235" s="40"/>
      <c r="L235" s="40" t="str">
        <f t="shared" ca="1" si="0"/>
        <v>LRM151</v>
      </c>
      <c r="M235" s="36" t="str">
        <f t="shared" ca="1" si="1"/>
        <v>LRM</v>
      </c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</row>
    <row r="236" spans="1:27">
      <c r="A236" s="40"/>
      <c r="B236" s="36"/>
      <c r="C236" s="40"/>
      <c r="D236" s="41"/>
      <c r="E236" s="23"/>
      <c r="F236" s="40" t="str">
        <f ca="1">IFERROR(__xludf.DUMMYFUNCTION("""COMPUTED_VALUE"""),"Mercè Cabrera")</f>
        <v>Mercè Cabrera</v>
      </c>
      <c r="G236" s="40" t="str">
        <f ca="1">IFERROR(__xludf.DUMMYFUNCTION("""COMPUTED_VALUE"""),"MCC")</f>
        <v>MCC</v>
      </c>
      <c r="H236" s="40" t="str">
        <f ca="1">IFERROR(__xludf.DUMMYFUNCTION("""COMPUTED_VALUE"""),"MCC67")</f>
        <v>MCC67</v>
      </c>
      <c r="I236" s="40" t="str">
        <f ca="1">IFERROR(__xludf.DUMMYFUNCTION("""COMPUTED_VALUE"""),"A")</f>
        <v>A</v>
      </c>
      <c r="J236" s="40" t="str">
        <f ca="1">IFERROR(__xludf.DUMMYFUNCTION("""COMPUTED_VALUE"""),"Cristina Marín Garrido")</f>
        <v>Cristina Marín Garrido</v>
      </c>
      <c r="K236" s="40"/>
      <c r="L236" s="40" t="str">
        <f t="shared" ca="1" si="0"/>
        <v>MCC67</v>
      </c>
      <c r="M236" s="36" t="str">
        <f t="shared" ca="1" si="1"/>
        <v>MCC</v>
      </c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</row>
    <row r="237" spans="1:27">
      <c r="A237" s="40"/>
      <c r="B237" s="36"/>
      <c r="C237" s="40"/>
      <c r="D237" s="41"/>
      <c r="E237" s="40"/>
      <c r="F237" s="40" t="str">
        <f ca="1">IFERROR(__xludf.DUMMYFUNCTION("""COMPUTED_VALUE"""),"Lisandro Russian")</f>
        <v>Lisandro Russian</v>
      </c>
      <c r="G237" s="40" t="str">
        <f ca="1">IFERROR(__xludf.DUMMYFUNCTION("""COMPUTED_VALUE"""),"LRM")</f>
        <v>LRM</v>
      </c>
      <c r="H237" s="40" t="str">
        <f ca="1">IFERROR(__xludf.DUMMYFUNCTION("""COMPUTED_VALUE"""),"LRM152")</f>
        <v>LRM152</v>
      </c>
      <c r="I237" s="40" t="str">
        <f ca="1">IFERROR(__xludf.DUMMYFUNCTION("""COMPUTED_VALUE"""),"A")</f>
        <v>A</v>
      </c>
      <c r="J237" s="40" t="str">
        <f ca="1">IFERROR(__xludf.DUMMYFUNCTION("""COMPUTED_VALUE"""),"Cristina Martín González")</f>
        <v>Cristina Martín González</v>
      </c>
      <c r="K237" s="40"/>
      <c r="L237" s="40" t="str">
        <f t="shared" ca="1" si="0"/>
        <v>LRM152</v>
      </c>
      <c r="M237" s="36" t="str">
        <f t="shared" ca="1" si="1"/>
        <v>LRM</v>
      </c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</row>
    <row r="238" spans="1:27">
      <c r="A238" s="40"/>
      <c r="B238" s="36"/>
      <c r="C238" s="40"/>
      <c r="D238" s="41"/>
      <c r="E238" s="40"/>
      <c r="F238" s="40" t="str">
        <f ca="1">IFERROR(__xludf.DUMMYFUNCTION("""COMPUTED_VALUE"""),"Mercè Cabrera")</f>
        <v>Mercè Cabrera</v>
      </c>
      <c r="G238" s="40" t="str">
        <f ca="1">IFERROR(__xludf.DUMMYFUNCTION("""COMPUTED_VALUE"""),"MCC")</f>
        <v>MCC</v>
      </c>
      <c r="H238" s="40" t="str">
        <f ca="1">IFERROR(__xludf.DUMMYFUNCTION("""COMPUTED_VALUE"""),"MCC43")</f>
        <v>MCC43</v>
      </c>
      <c r="I238" s="40" t="str">
        <f ca="1">IFERROR(__xludf.DUMMYFUNCTION("""COMPUTED_VALUE"""),"A")</f>
        <v>A</v>
      </c>
      <c r="J238" s="40" t="str">
        <f ca="1">IFERROR(__xludf.DUMMYFUNCTION("""COMPUTED_VALUE"""),"Cristina Molina Martínez")</f>
        <v>Cristina Molina Martínez</v>
      </c>
      <c r="K238" s="40"/>
      <c r="L238" s="40" t="str">
        <f t="shared" ca="1" si="0"/>
        <v>MCC43</v>
      </c>
      <c r="M238" s="36" t="str">
        <f t="shared" ca="1" si="1"/>
        <v>MCC</v>
      </c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</row>
    <row r="239" spans="1:27">
      <c r="A239" s="40"/>
      <c r="B239" s="36"/>
      <c r="C239" s="40"/>
      <c r="D239" s="41"/>
      <c r="E239" s="40"/>
      <c r="F239" s="40" t="str">
        <f ca="1">IFERROR(__xludf.DUMMYFUNCTION("""COMPUTED_VALUE"""),"Iván Sánchez")</f>
        <v>Iván Sánchez</v>
      </c>
      <c r="G239" s="40" t="str">
        <f ca="1">IFERROR(__xludf.DUMMYFUNCTION("""COMPUTED_VALUE"""),"ISL")</f>
        <v>ISL</v>
      </c>
      <c r="H239" s="40" t="str">
        <f ca="1">IFERROR(__xludf.DUMMYFUNCTION("""COMPUTED_VALUE"""),"ISL99")</f>
        <v>ISL99</v>
      </c>
      <c r="I239" s="40" t="str">
        <f ca="1">IFERROR(__xludf.DUMMYFUNCTION("""COMPUTED_VALUE"""),"B")</f>
        <v>B</v>
      </c>
      <c r="J239" s="40" t="str">
        <f ca="1">IFERROR(__xludf.DUMMYFUNCTION("""COMPUTED_VALUE"""),"Cristina Muñoz Pinto")</f>
        <v>Cristina Muñoz Pinto</v>
      </c>
      <c r="K239" s="40"/>
      <c r="L239" s="40" t="str">
        <f t="shared" ca="1" si="0"/>
        <v>ISL99</v>
      </c>
      <c r="M239" s="36" t="str">
        <f t="shared" ca="1" si="1"/>
        <v>ISL</v>
      </c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</row>
    <row r="240" spans="1:27">
      <c r="A240" s="40"/>
      <c r="B240" s="36"/>
      <c r="C240" s="40"/>
      <c r="D240" s="41"/>
      <c r="E240" s="23"/>
      <c r="F240" s="40" t="str">
        <f ca="1">IFERROR(__xludf.DUMMYFUNCTION("""COMPUTED_VALUE"""),"Maika Blázquez")</f>
        <v>Maika Blázquez</v>
      </c>
      <c r="G240" s="40" t="str">
        <f ca="1">IFERROR(__xludf.DUMMYFUNCTION("""COMPUTED_VALUE"""),"MBM")</f>
        <v>MBM</v>
      </c>
      <c r="H240" s="40" t="str">
        <f ca="1">IFERROR(__xludf.DUMMYFUNCTION("""COMPUTED_VALUE"""),"MBM226")</f>
        <v>MBM226</v>
      </c>
      <c r="I240" s="40" t="str">
        <f ca="1">IFERROR(__xludf.DUMMYFUNCTION("""COMPUTED_VALUE"""),"A")</f>
        <v>A</v>
      </c>
      <c r="J240" s="40" t="str">
        <f ca="1">IFERROR(__xludf.DUMMYFUNCTION("""COMPUTED_VALUE"""),"Cristina Peña Cifuentes")</f>
        <v>Cristina Peña Cifuentes</v>
      </c>
      <c r="K240" s="40"/>
      <c r="L240" s="40" t="str">
        <f t="shared" ca="1" si="0"/>
        <v>MBM226</v>
      </c>
      <c r="M240" s="36" t="str">
        <f t="shared" ca="1" si="1"/>
        <v>MBM</v>
      </c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</row>
    <row r="241" spans="1:27">
      <c r="A241" s="40"/>
      <c r="B241" s="36"/>
      <c r="C241" s="40"/>
      <c r="D241" s="41"/>
      <c r="E241" s="23"/>
      <c r="F241" s="40" t="str">
        <f ca="1">IFERROR(__xludf.DUMMYFUNCTION("""COMPUTED_VALUE"""),"Maika Blázquez")</f>
        <v>Maika Blázquez</v>
      </c>
      <c r="G241" s="40" t="str">
        <f ca="1">IFERROR(__xludf.DUMMYFUNCTION("""COMPUTED_VALUE"""),"MBM")</f>
        <v>MBM</v>
      </c>
      <c r="H241" s="40" t="str">
        <f ca="1">IFERROR(__xludf.DUMMYFUNCTION("""COMPUTED_VALUE"""),"MBM107")</f>
        <v>MBM107</v>
      </c>
      <c r="I241" s="40" t="str">
        <f ca="1">IFERROR(__xludf.DUMMYFUNCTION("""COMPUTED_VALUE"""),"A")</f>
        <v>A</v>
      </c>
      <c r="J241" s="40" t="str">
        <f ca="1">IFERROR(__xludf.DUMMYFUNCTION("""COMPUTED_VALUE"""),"Cristina Povedano Fernández")</f>
        <v>Cristina Povedano Fernández</v>
      </c>
      <c r="K241" s="40"/>
      <c r="L241" s="40" t="str">
        <f t="shared" ca="1" si="0"/>
        <v>MBM107</v>
      </c>
      <c r="M241" s="36" t="str">
        <f t="shared" ca="1" si="1"/>
        <v>MBM</v>
      </c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</row>
    <row r="242" spans="1:27">
      <c r="A242" s="40"/>
      <c r="B242" s="36"/>
      <c r="C242" s="40"/>
      <c r="D242" s="41"/>
      <c r="E242" s="23"/>
      <c r="F242" s="40" t="str">
        <f ca="1">IFERROR(__xludf.DUMMYFUNCTION("""COMPUTED_VALUE"""),"Maika Blázquez")</f>
        <v>Maika Blázquez</v>
      </c>
      <c r="G242" s="40" t="str">
        <f ca="1">IFERROR(__xludf.DUMMYFUNCTION("""COMPUTED_VALUE"""),"MBM")</f>
        <v>MBM</v>
      </c>
      <c r="H242" s="40" t="str">
        <f ca="1">IFERROR(__xludf.DUMMYFUNCTION("""COMPUTED_VALUE"""),"MBM223")</f>
        <v>MBM223</v>
      </c>
      <c r="I242" s="40" t="str">
        <f ca="1">IFERROR(__xludf.DUMMYFUNCTION("""COMPUTED_VALUE"""),"A")</f>
        <v>A</v>
      </c>
      <c r="J242" s="40" t="str">
        <f ca="1">IFERROR(__xludf.DUMMYFUNCTION("""COMPUTED_VALUE"""),"Cristina Vaduva")</f>
        <v>Cristina Vaduva</v>
      </c>
      <c r="K242" s="40"/>
      <c r="L242" s="40" t="str">
        <f t="shared" ca="1" si="0"/>
        <v>MBM223</v>
      </c>
      <c r="M242" s="36" t="str">
        <f t="shared" ca="1" si="1"/>
        <v>MBM</v>
      </c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</row>
    <row r="243" spans="1:27">
      <c r="A243" s="40"/>
      <c r="B243" s="36"/>
      <c r="C243" s="40"/>
      <c r="D243" s="41"/>
      <c r="E243" s="40"/>
      <c r="F243" s="40" t="str">
        <f ca="1">IFERROR(__xludf.DUMMYFUNCTION("""COMPUTED_VALUE"""),"Lisandro Russian")</f>
        <v>Lisandro Russian</v>
      </c>
      <c r="G243" s="40" t="str">
        <f ca="1">IFERROR(__xludf.DUMMYFUNCTION("""COMPUTED_VALUE"""),"LRM")</f>
        <v>LRM</v>
      </c>
      <c r="H243" s="40" t="str">
        <f ca="1">IFERROR(__xludf.DUMMYFUNCTION("""COMPUTED_VALUE"""),"LRM25")</f>
        <v>LRM25</v>
      </c>
      <c r="I243" s="40" t="str">
        <f ca="1">IFERROR(__xludf.DUMMYFUNCTION("""COMPUTED_VALUE"""),"A")</f>
        <v>A</v>
      </c>
      <c r="J243" s="40" t="str">
        <f ca="1">IFERROR(__xludf.DUMMYFUNCTION("""COMPUTED_VALUE"""),"Cristobal López-Cortijo")</f>
        <v>Cristobal López-Cortijo</v>
      </c>
      <c r="K243" s="40"/>
      <c r="L243" s="40" t="str">
        <f t="shared" ca="1" si="0"/>
        <v>LRM25</v>
      </c>
      <c r="M243" s="36" t="str">
        <f t="shared" ca="1" si="1"/>
        <v>LRM</v>
      </c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</row>
    <row r="244" spans="1:27">
      <c r="A244" s="40"/>
      <c r="B244" s="36"/>
      <c r="C244" s="40"/>
      <c r="D244" s="41"/>
      <c r="E244" s="40"/>
      <c r="F244" s="40" t="str">
        <f ca="1">IFERROR(__xludf.DUMMYFUNCTION("""COMPUTED_VALUE"""),"Lisandro Russian")</f>
        <v>Lisandro Russian</v>
      </c>
      <c r="G244" s="40" t="str">
        <f ca="1">IFERROR(__xludf.DUMMYFUNCTION("""COMPUTED_VALUE"""),"LRM")</f>
        <v>LRM</v>
      </c>
      <c r="H244" s="40" t="str">
        <f ca="1">IFERROR(__xludf.DUMMYFUNCTION("""COMPUTED_VALUE"""),"LRM249")</f>
        <v>LRM249</v>
      </c>
      <c r="I244" s="40" t="str">
        <f ca="1">IFERROR(__xludf.DUMMYFUNCTION("""COMPUTED_VALUE"""),"A")</f>
        <v>A</v>
      </c>
      <c r="J244" s="40" t="str">
        <f ca="1">IFERROR(__xludf.DUMMYFUNCTION("""COMPUTED_VALUE"""),"Daniel Briones Crespo")</f>
        <v>Daniel Briones Crespo</v>
      </c>
      <c r="K244" s="40"/>
      <c r="L244" s="40" t="str">
        <f t="shared" ca="1" si="0"/>
        <v>LRM249</v>
      </c>
      <c r="M244" s="36" t="str">
        <f t="shared" ca="1" si="1"/>
        <v>LRM</v>
      </c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</row>
    <row r="245" spans="1:27">
      <c r="A245" s="40"/>
      <c r="B245" s="36"/>
      <c r="C245" s="40"/>
      <c r="D245" s="41"/>
      <c r="E245" s="40"/>
      <c r="F245" s="40" t="str">
        <f ca="1">IFERROR(__xludf.DUMMYFUNCTION("""COMPUTED_VALUE"""),"Luis Alberto Rodríguez")</f>
        <v>Luis Alberto Rodríguez</v>
      </c>
      <c r="G245" s="40" t="str">
        <f ca="1">IFERROR(__xludf.DUMMYFUNCTION("""COMPUTED_VALUE"""),"LAA")</f>
        <v>LAA</v>
      </c>
      <c r="H245" s="40" t="str">
        <f ca="1">IFERROR(__xludf.DUMMYFUNCTION("""COMPUTED_VALUE"""),"LAA07")</f>
        <v>LAA07</v>
      </c>
      <c r="I245" s="40" t="str">
        <f ca="1">IFERROR(__xludf.DUMMYFUNCTION("""COMPUTED_VALUE"""),"C")</f>
        <v>C</v>
      </c>
      <c r="J245" s="40" t="str">
        <f ca="1">IFERROR(__xludf.DUMMYFUNCTION("""COMPUTED_VALUE"""),"Daniel Iván Martín Jiménez")</f>
        <v>Daniel Iván Martín Jiménez</v>
      </c>
      <c r="K245" s="40"/>
      <c r="L245" s="40" t="str">
        <f t="shared" ca="1" si="0"/>
        <v>LAA07</v>
      </c>
      <c r="M245" s="36" t="str">
        <f t="shared" ca="1" si="1"/>
        <v>LAA</v>
      </c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</row>
    <row r="246" spans="1:27">
      <c r="A246" s="40"/>
      <c r="B246" s="36"/>
      <c r="C246" s="40"/>
      <c r="D246" s="41"/>
      <c r="E246" s="40"/>
      <c r="F246" s="40" t="str">
        <f ca="1">IFERROR(__xludf.DUMMYFUNCTION("""COMPUTED_VALUE"""),"Maika Blázquez")</f>
        <v>Maika Blázquez</v>
      </c>
      <c r="G246" s="40" t="str">
        <f ca="1">IFERROR(__xludf.DUMMYFUNCTION("""COMPUTED_VALUE"""),"MBM")</f>
        <v>MBM</v>
      </c>
      <c r="H246" s="40" t="str">
        <f ca="1">IFERROR(__xludf.DUMMYFUNCTION("""COMPUTED_VALUE"""),"MBM16")</f>
        <v>MBM16</v>
      </c>
      <c r="I246" s="40" t="str">
        <f ca="1">IFERROR(__xludf.DUMMYFUNCTION("""COMPUTED_VALUE"""),"A")</f>
        <v>A</v>
      </c>
      <c r="J246" s="40" t="str">
        <f ca="1">IFERROR(__xludf.DUMMYFUNCTION("""COMPUTED_VALUE"""),"Daniel Moreno Jimenez")</f>
        <v>Daniel Moreno Jimenez</v>
      </c>
      <c r="K246" s="40"/>
      <c r="L246" s="40" t="str">
        <f t="shared" ca="1" si="0"/>
        <v>MBM16</v>
      </c>
      <c r="M246" s="36" t="str">
        <f t="shared" ca="1" si="1"/>
        <v>MBM</v>
      </c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</row>
    <row r="247" spans="1:27">
      <c r="A247" s="40"/>
      <c r="B247" s="36"/>
      <c r="C247" s="40"/>
      <c r="D247" s="41"/>
      <c r="E247" s="40"/>
      <c r="F247" s="40" t="str">
        <f ca="1">IFERROR(__xludf.DUMMYFUNCTION("""COMPUTED_VALUE"""),"Maika Blázquez")</f>
        <v>Maika Blázquez</v>
      </c>
      <c r="G247" s="40" t="str">
        <f ca="1">IFERROR(__xludf.DUMMYFUNCTION("""COMPUTED_VALUE"""),"MBM")</f>
        <v>MBM</v>
      </c>
      <c r="H247" s="40" t="str">
        <f ca="1">IFERROR(__xludf.DUMMYFUNCTION("""COMPUTED_VALUE"""),"MBM228")</f>
        <v>MBM228</v>
      </c>
      <c r="I247" s="40" t="str">
        <f ca="1">IFERROR(__xludf.DUMMYFUNCTION("""COMPUTED_VALUE"""),"A")</f>
        <v>A</v>
      </c>
      <c r="J247" s="40" t="str">
        <f ca="1">IFERROR(__xludf.DUMMYFUNCTION("""COMPUTED_VALUE"""),"Daniel Rodríguez Ocaña")</f>
        <v>Daniel Rodríguez Ocaña</v>
      </c>
      <c r="K247" s="40"/>
      <c r="L247" s="40" t="str">
        <f t="shared" ca="1" si="0"/>
        <v>MBM228</v>
      </c>
      <c r="M247" s="36" t="str">
        <f t="shared" ca="1" si="1"/>
        <v>MBM</v>
      </c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</row>
    <row r="248" spans="1:27">
      <c r="A248" s="40"/>
      <c r="B248" s="36"/>
      <c r="C248" s="40"/>
      <c r="D248" s="41"/>
      <c r="E248" s="40"/>
      <c r="F248" s="40" t="str">
        <f ca="1">IFERROR(__xludf.DUMMYFUNCTION("""COMPUTED_VALUE"""),"Ramon Ferrando")</f>
        <v>Ramon Ferrando</v>
      </c>
      <c r="G248" s="40" t="str">
        <f ca="1">IFERROR(__xludf.DUMMYFUNCTION("""COMPUTED_VALUE"""),"RFV")</f>
        <v>RFV</v>
      </c>
      <c r="H248" s="40" t="str">
        <f ca="1">IFERROR(__xludf.DUMMYFUNCTION("""COMPUTED_VALUE"""),"RFV44")</f>
        <v>RFV44</v>
      </c>
      <c r="I248" s="40" t="str">
        <f ca="1">IFERROR(__xludf.DUMMYFUNCTION("""COMPUTED_VALUE"""),"B")</f>
        <v>B</v>
      </c>
      <c r="J248" s="40" t="str">
        <f ca="1">IFERROR(__xludf.DUMMYFUNCTION("""COMPUTED_VALUE"""),"Daniel Unigarro Londoño")</f>
        <v>Daniel Unigarro Londoño</v>
      </c>
      <c r="K248" s="40"/>
      <c r="L248" s="40" t="str">
        <f t="shared" ca="1" si="0"/>
        <v>RFV44</v>
      </c>
      <c r="M248" s="36" t="str">
        <f t="shared" ca="1" si="1"/>
        <v>RFV</v>
      </c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</row>
    <row r="249" spans="1:27">
      <c r="A249" s="40"/>
      <c r="B249" s="36"/>
      <c r="C249" s="40"/>
      <c r="D249" s="41"/>
      <c r="E249" s="40"/>
      <c r="F249" s="40" t="str">
        <f ca="1">IFERROR(__xludf.DUMMYFUNCTION("""COMPUTED_VALUE"""),"Lisandro Russian")</f>
        <v>Lisandro Russian</v>
      </c>
      <c r="G249" s="40" t="str">
        <f ca="1">IFERROR(__xludf.DUMMYFUNCTION("""COMPUTED_VALUE"""),"LRM")</f>
        <v>LRM</v>
      </c>
      <c r="H249" s="40" t="str">
        <f ca="1">IFERROR(__xludf.DUMMYFUNCTION("""COMPUTED_VALUE"""),"LRM153")</f>
        <v>LRM153</v>
      </c>
      <c r="I249" s="40" t="str">
        <f ca="1">IFERROR(__xludf.DUMMYFUNCTION("""COMPUTED_VALUE"""),"A")</f>
        <v>A</v>
      </c>
      <c r="J249" s="40" t="str">
        <f ca="1">IFERROR(__xludf.DUMMYFUNCTION("""COMPUTED_VALUE"""),"Daniela Carolina Laguado Bulgheroni")</f>
        <v>Daniela Carolina Laguado Bulgheroni</v>
      </c>
      <c r="K249" s="40"/>
      <c r="L249" s="40" t="str">
        <f t="shared" ca="1" si="0"/>
        <v>LRM153</v>
      </c>
      <c r="M249" s="36" t="str">
        <f t="shared" ca="1" si="1"/>
        <v>LRM</v>
      </c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</row>
    <row r="250" spans="1:27">
      <c r="A250" s="40"/>
      <c r="B250" s="36"/>
      <c r="C250" s="40"/>
      <c r="D250" s="41"/>
      <c r="E250" s="40"/>
      <c r="F250" s="40" t="str">
        <f ca="1">IFERROR(__xludf.DUMMYFUNCTION("""COMPUTED_VALUE"""),"Maika Blázquez")</f>
        <v>Maika Blázquez</v>
      </c>
      <c r="G250" s="40" t="str">
        <f ca="1">IFERROR(__xludf.DUMMYFUNCTION("""COMPUTED_VALUE"""),"MBM")</f>
        <v>MBM</v>
      </c>
      <c r="H250" s="40" t="str">
        <f ca="1">IFERROR(__xludf.DUMMYFUNCTION("""COMPUTED_VALUE"""),"MBM230")</f>
        <v>MBM230</v>
      </c>
      <c r="I250" s="40" t="str">
        <f ca="1">IFERROR(__xludf.DUMMYFUNCTION("""COMPUTED_VALUE"""),"A")</f>
        <v>A</v>
      </c>
      <c r="J250" s="40" t="str">
        <f ca="1">IFERROR(__xludf.DUMMYFUNCTION("""COMPUTED_VALUE"""),"Daniela Carrillo Moreno")</f>
        <v>Daniela Carrillo Moreno</v>
      </c>
      <c r="K250" s="40"/>
      <c r="L250" s="40" t="str">
        <f t="shared" ca="1" si="0"/>
        <v>MBM230</v>
      </c>
      <c r="M250" s="36" t="str">
        <f t="shared" ca="1" si="1"/>
        <v>MBM</v>
      </c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</row>
    <row r="251" spans="1:27">
      <c r="A251" s="40"/>
      <c r="B251" s="36"/>
      <c r="C251" s="40"/>
      <c r="D251" s="41"/>
      <c r="E251" s="40"/>
      <c r="F251" s="40" t="str">
        <f ca="1">IFERROR(__xludf.DUMMYFUNCTION("""COMPUTED_VALUE"""),"Luis Alberto Rodríguez")</f>
        <v>Luis Alberto Rodríguez</v>
      </c>
      <c r="G251" s="40" t="str">
        <f ca="1">IFERROR(__xludf.DUMMYFUNCTION("""COMPUTED_VALUE"""),"LAA")</f>
        <v>LAA</v>
      </c>
      <c r="H251" s="40" t="str">
        <f ca="1">IFERROR(__xludf.DUMMYFUNCTION("""COMPUTED_VALUE"""),"LAA45")</f>
        <v>LAA45</v>
      </c>
      <c r="I251" s="40" t="str">
        <f ca="1">IFERROR(__xludf.DUMMYFUNCTION("""COMPUTED_VALUE"""),"C")</f>
        <v>C</v>
      </c>
      <c r="J251" s="40" t="str">
        <f ca="1">IFERROR(__xludf.DUMMYFUNCTION("""COMPUTED_VALUE"""),"Daniela Terán Guamán")</f>
        <v>Daniela Terán Guamán</v>
      </c>
      <c r="K251" s="40"/>
      <c r="L251" s="40" t="str">
        <f t="shared" ca="1" si="0"/>
        <v>LAA45</v>
      </c>
      <c r="M251" s="36" t="str">
        <f t="shared" ca="1" si="1"/>
        <v>LAA</v>
      </c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</row>
    <row r="252" spans="1:27">
      <c r="A252" s="40"/>
      <c r="B252" s="36"/>
      <c r="C252" s="40"/>
      <c r="D252" s="41"/>
      <c r="E252" s="40"/>
      <c r="F252" s="40" t="str">
        <f ca="1">IFERROR(__xludf.DUMMYFUNCTION("""COMPUTED_VALUE"""),"Roberto Pereira")</f>
        <v>Roberto Pereira</v>
      </c>
      <c r="G252" s="40" t="str">
        <f ca="1">IFERROR(__xludf.DUMMYFUNCTION("""COMPUTED_VALUE"""),"RPG")</f>
        <v>RPG</v>
      </c>
      <c r="H252" s="40" t="str">
        <f ca="1">IFERROR(__xludf.DUMMYFUNCTION("""COMPUTED_VALUE"""),"RPG43")</f>
        <v>RPG43</v>
      </c>
      <c r="I252" s="40" t="str">
        <f ca="1">IFERROR(__xludf.DUMMYFUNCTION("""COMPUTED_VALUE"""),"A")</f>
        <v>A</v>
      </c>
      <c r="J252" s="40" t="str">
        <f ca="1">IFERROR(__xludf.DUMMYFUNCTION("""COMPUTED_VALUE"""),"Dará Sánchez Ruiz")</f>
        <v>Dará Sánchez Ruiz</v>
      </c>
      <c r="K252" s="40"/>
      <c r="L252" s="40" t="str">
        <f t="shared" ca="1" si="0"/>
        <v>RPG43</v>
      </c>
      <c r="M252" s="36" t="str">
        <f t="shared" ca="1" si="1"/>
        <v>RPG</v>
      </c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</row>
    <row r="253" spans="1:27">
      <c r="A253" s="40"/>
      <c r="B253" s="36"/>
      <c r="C253" s="40"/>
      <c r="D253" s="41"/>
      <c r="E253" s="40"/>
      <c r="F253" s="40" t="str">
        <f ca="1">IFERROR(__xludf.DUMMYFUNCTION("""COMPUTED_VALUE"""),"Mercè Cabrera")</f>
        <v>Mercè Cabrera</v>
      </c>
      <c r="G253" s="40" t="str">
        <f ca="1">IFERROR(__xludf.DUMMYFUNCTION("""COMPUTED_VALUE"""),"MCC")</f>
        <v>MCC</v>
      </c>
      <c r="H253" s="40" t="str">
        <f ca="1">IFERROR(__xludf.DUMMYFUNCTION("""COMPUTED_VALUE"""),"MCC04")</f>
        <v>MCC04</v>
      </c>
      <c r="I253" s="40" t="str">
        <f ca="1">IFERROR(__xludf.DUMMYFUNCTION("""COMPUTED_VALUE"""),"A")</f>
        <v>A</v>
      </c>
      <c r="J253" s="40" t="str">
        <f ca="1">IFERROR(__xludf.DUMMYFUNCTION("""COMPUTED_VALUE"""),"Darío Agudelo García")</f>
        <v>Darío Agudelo García</v>
      </c>
      <c r="K253" s="40"/>
      <c r="L253" s="40" t="str">
        <f t="shared" ca="1" si="0"/>
        <v>MCC04</v>
      </c>
      <c r="M253" s="36" t="str">
        <f t="shared" ca="1" si="1"/>
        <v>MCC</v>
      </c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</row>
    <row r="254" spans="1:27">
      <c r="A254" s="40"/>
      <c r="B254" s="36"/>
      <c r="C254" s="40"/>
      <c r="D254" s="41"/>
      <c r="E254" s="40"/>
      <c r="F254" s="40" t="str">
        <f ca="1">IFERROR(__xludf.DUMMYFUNCTION("""COMPUTED_VALUE"""),"Luis Alberto Rodríguez")</f>
        <v>Luis Alberto Rodríguez</v>
      </c>
      <c r="G254" s="40" t="str">
        <f ca="1">IFERROR(__xludf.DUMMYFUNCTION("""COMPUTED_VALUE"""),"LAA")</f>
        <v>LAA</v>
      </c>
      <c r="H254" s="40" t="str">
        <f ca="1">IFERROR(__xludf.DUMMYFUNCTION("""COMPUTED_VALUE"""),"LAA08")</f>
        <v>LAA08</v>
      </c>
      <c r="I254" s="40" t="str">
        <f ca="1">IFERROR(__xludf.DUMMYFUNCTION("""COMPUTED_VALUE"""),"C")</f>
        <v>C</v>
      </c>
      <c r="J254" s="40" t="str">
        <f ca="1">IFERROR(__xludf.DUMMYFUNCTION("""COMPUTED_VALUE"""),"David Castro Gutiérrez de Agüero")</f>
        <v>David Castro Gutiérrez de Agüero</v>
      </c>
      <c r="K254" s="40"/>
      <c r="L254" s="40" t="str">
        <f t="shared" ca="1" si="0"/>
        <v>LAA08</v>
      </c>
      <c r="M254" s="36" t="str">
        <f t="shared" ca="1" si="1"/>
        <v>LAA</v>
      </c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</row>
    <row r="255" spans="1:27">
      <c r="A255" s="40"/>
      <c r="B255" s="36"/>
      <c r="C255" s="40"/>
      <c r="D255" s="41"/>
      <c r="E255" s="40"/>
      <c r="F255" s="40" t="str">
        <f ca="1">IFERROR(__xludf.DUMMYFUNCTION("""COMPUTED_VALUE"""),"Iván Sánchez")</f>
        <v>Iván Sánchez</v>
      </c>
      <c r="G255" s="40" t="str">
        <f ca="1">IFERROR(__xludf.DUMMYFUNCTION("""COMPUTED_VALUE"""),"ISL")</f>
        <v>ISL</v>
      </c>
      <c r="H255" s="40" t="str">
        <f ca="1">IFERROR(__xludf.DUMMYFUNCTION("""COMPUTED_VALUE"""),"ISL15")</f>
        <v>ISL15</v>
      </c>
      <c r="I255" s="40" t="str">
        <f ca="1">IFERROR(__xludf.DUMMYFUNCTION("""COMPUTED_VALUE"""),"B")</f>
        <v>B</v>
      </c>
      <c r="J255" s="40" t="str">
        <f ca="1">IFERROR(__xludf.DUMMYFUNCTION("""COMPUTED_VALUE"""),"David López Bru")</f>
        <v>David López Bru</v>
      </c>
      <c r="K255" s="40"/>
      <c r="L255" s="40" t="str">
        <f t="shared" ca="1" si="0"/>
        <v>ISL15</v>
      </c>
      <c r="M255" s="36" t="str">
        <f t="shared" ca="1" si="1"/>
        <v>ISL</v>
      </c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</row>
    <row r="256" spans="1:27">
      <c r="A256" s="40"/>
      <c r="B256" s="36"/>
      <c r="C256" s="40"/>
      <c r="D256" s="41"/>
      <c r="E256" s="40"/>
      <c r="F256" s="40" t="str">
        <f ca="1">IFERROR(__xludf.DUMMYFUNCTION("""COMPUTED_VALUE"""),"Lisandro Russian")</f>
        <v>Lisandro Russian</v>
      </c>
      <c r="G256" s="40" t="str">
        <f ca="1">IFERROR(__xludf.DUMMYFUNCTION("""COMPUTED_VALUE"""),"LRM")</f>
        <v>LRM</v>
      </c>
      <c r="H256" s="40" t="str">
        <f ca="1">IFERROR(__xludf.DUMMYFUNCTION("""COMPUTED_VALUE"""),"LRM26")</f>
        <v>LRM26</v>
      </c>
      <c r="I256" s="40" t="str">
        <f ca="1">IFERROR(__xludf.DUMMYFUNCTION("""COMPUTED_VALUE"""),"A")</f>
        <v>A</v>
      </c>
      <c r="J256" s="40" t="str">
        <f ca="1">IFERROR(__xludf.DUMMYFUNCTION("""COMPUTED_VALUE"""),"David Rubén Pérez Pérez")</f>
        <v>David Rubén Pérez Pérez</v>
      </c>
      <c r="K256" s="40"/>
      <c r="L256" s="40" t="str">
        <f t="shared" ca="1" si="0"/>
        <v>LRM26</v>
      </c>
      <c r="M256" s="36" t="str">
        <f t="shared" ca="1" si="1"/>
        <v>LRM</v>
      </c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</row>
    <row r="257" spans="1:27">
      <c r="A257" s="40"/>
      <c r="B257" s="36"/>
      <c r="C257" s="40"/>
      <c r="D257" s="41"/>
      <c r="E257" s="40"/>
      <c r="F257" s="40" t="str">
        <f ca="1">IFERROR(__xludf.DUMMYFUNCTION("""COMPUTED_VALUE"""),"Maika Blázquez")</f>
        <v>Maika Blázquez</v>
      </c>
      <c r="G257" s="40" t="str">
        <f ca="1">IFERROR(__xludf.DUMMYFUNCTION("""COMPUTED_VALUE"""),"MBM")</f>
        <v>MBM</v>
      </c>
      <c r="H257" s="40" t="str">
        <f ca="1">IFERROR(__xludf.DUMMYFUNCTION("""COMPUTED_VALUE"""),"MBM109")</f>
        <v>MBM109</v>
      </c>
      <c r="I257" s="40" t="str">
        <f ca="1">IFERROR(__xludf.DUMMYFUNCTION("""COMPUTED_VALUE"""),"A")</f>
        <v>A</v>
      </c>
      <c r="J257" s="40" t="str">
        <f ca="1">IFERROR(__xludf.DUMMYFUNCTION("""COMPUTED_VALUE"""),"Desirée Méndez Brenderbache")</f>
        <v>Desirée Méndez Brenderbache</v>
      </c>
      <c r="K257" s="40"/>
      <c r="L257" s="40" t="str">
        <f t="shared" ca="1" si="0"/>
        <v>MBM109</v>
      </c>
      <c r="M257" s="36" t="str">
        <f t="shared" ca="1" si="1"/>
        <v>MBM</v>
      </c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</row>
    <row r="258" spans="1:27">
      <c r="A258" s="40"/>
      <c r="B258" s="36"/>
      <c r="C258" s="40"/>
      <c r="D258" s="41"/>
      <c r="E258" s="40"/>
      <c r="F258" s="40" t="str">
        <f ca="1">IFERROR(__xludf.DUMMYFUNCTION("""COMPUTED_VALUE"""),"Lisandro Russian")</f>
        <v>Lisandro Russian</v>
      </c>
      <c r="G258" s="40" t="str">
        <f ca="1">IFERROR(__xludf.DUMMYFUNCTION("""COMPUTED_VALUE"""),"MBM")</f>
        <v>MBM</v>
      </c>
      <c r="H258" s="40" t="str">
        <f ca="1">IFERROR(__xludf.DUMMYFUNCTION("""COMPUTED_VALUE"""),"MBM110")</f>
        <v>MBM110</v>
      </c>
      <c r="I258" s="40" t="str">
        <f ca="1">IFERROR(__xludf.DUMMYFUNCTION("""COMPUTED_VALUE"""),"A")</f>
        <v>A</v>
      </c>
      <c r="J258" s="40" t="str">
        <f ca="1">IFERROR(__xludf.DUMMYFUNCTION("""COMPUTED_VALUE"""),"Diana Hernán Pérez")</f>
        <v>Diana Hernán Pérez</v>
      </c>
      <c r="K258" s="40"/>
      <c r="L258" s="40" t="str">
        <f t="shared" ca="1" si="0"/>
        <v>MBM110</v>
      </c>
      <c r="M258" s="36" t="str">
        <f t="shared" ca="1" si="1"/>
        <v>MBM</v>
      </c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</row>
    <row r="259" spans="1:27">
      <c r="A259" s="40"/>
      <c r="B259" s="36"/>
      <c r="C259" s="40"/>
      <c r="D259" s="41"/>
      <c r="E259" s="40"/>
      <c r="F259" s="40" t="str">
        <f ca="1">IFERROR(__xludf.DUMMYFUNCTION("""COMPUTED_VALUE"""),"Patricia Solache")</f>
        <v>Patricia Solache</v>
      </c>
      <c r="G259" s="40" t="str">
        <f ca="1">IFERROR(__xludf.DUMMYFUNCTION("""COMPUTED_VALUE"""),"PSC")</f>
        <v>PSC</v>
      </c>
      <c r="H259" s="40" t="str">
        <f ca="1">IFERROR(__xludf.DUMMYFUNCTION("""COMPUTED_VALUE"""),"PSC37")</f>
        <v>PSC37</v>
      </c>
      <c r="I259" s="40" t="str">
        <f ca="1">IFERROR(__xludf.DUMMYFUNCTION("""COMPUTED_VALUE"""),"A")</f>
        <v>A</v>
      </c>
      <c r="J259" s="40" t="str">
        <f ca="1">IFERROR(__xludf.DUMMYFUNCTION("""COMPUTED_VALUE"""),"Diana Lysbeth Lourido Piedrahita")</f>
        <v>Diana Lysbeth Lourido Piedrahita</v>
      </c>
      <c r="K259" s="40"/>
      <c r="L259" s="40" t="str">
        <f t="shared" ca="1" si="0"/>
        <v>PSC37</v>
      </c>
      <c r="M259" s="36" t="str">
        <f t="shared" ca="1" si="1"/>
        <v>PSC</v>
      </c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</row>
    <row r="260" spans="1:27">
      <c r="A260" s="40"/>
      <c r="B260" s="36"/>
      <c r="C260" s="40"/>
      <c r="D260" s="41"/>
      <c r="E260" s="40"/>
      <c r="F260" s="40" t="str">
        <f ca="1">IFERROR(__xludf.DUMMYFUNCTION("""COMPUTED_VALUE"""),"Lisandro Russian")</f>
        <v>Lisandro Russian</v>
      </c>
      <c r="G260" s="40" t="str">
        <f ca="1">IFERROR(__xludf.DUMMYFUNCTION("""COMPUTED_VALUE"""),"LRM")</f>
        <v>LRM</v>
      </c>
      <c r="H260" s="40" t="str">
        <f ca="1">IFERROR(__xludf.DUMMYFUNCTION("""COMPUTED_VALUE"""),"LRM27")</f>
        <v>LRM27</v>
      </c>
      <c r="I260" s="40" t="str">
        <f ca="1">IFERROR(__xludf.DUMMYFUNCTION("""COMPUTED_VALUE"""),"A")</f>
        <v>A</v>
      </c>
      <c r="J260" s="40" t="str">
        <f ca="1">IFERROR(__xludf.DUMMYFUNCTION("""COMPUTED_VALUE"""),"Diego Armando Escobar")</f>
        <v>Diego Armando Escobar</v>
      </c>
      <c r="K260" s="40"/>
      <c r="L260" s="40" t="str">
        <f t="shared" ca="1" si="0"/>
        <v>LRM27</v>
      </c>
      <c r="M260" s="36" t="str">
        <f t="shared" ca="1" si="1"/>
        <v>LRM</v>
      </c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</row>
    <row r="261" spans="1:27">
      <c r="A261" s="40"/>
      <c r="B261" s="36"/>
      <c r="C261" s="40"/>
      <c r="D261" s="41"/>
      <c r="E261" s="40"/>
      <c r="F261" s="40" t="str">
        <f ca="1">IFERROR(__xludf.DUMMYFUNCTION("""COMPUTED_VALUE"""),"Iván Sánchez")</f>
        <v>Iván Sánchez</v>
      </c>
      <c r="G261" s="40" t="str">
        <f ca="1">IFERROR(__xludf.DUMMYFUNCTION("""COMPUTED_VALUE"""),"ISL")</f>
        <v>ISL</v>
      </c>
      <c r="H261" s="40" t="str">
        <f ca="1">IFERROR(__xludf.DUMMYFUNCTION("""COMPUTED_VALUE"""),"ISL16")</f>
        <v>ISL16</v>
      </c>
      <c r="I261" s="40" t="str">
        <f ca="1">IFERROR(__xludf.DUMMYFUNCTION("""COMPUTED_VALUE"""),"B")</f>
        <v>B</v>
      </c>
      <c r="J261" s="40" t="str">
        <f ca="1">IFERROR(__xludf.DUMMYFUNCTION("""COMPUTED_VALUE"""),"Diego Collado Martín")</f>
        <v>Diego Collado Martín</v>
      </c>
      <c r="K261" s="40"/>
      <c r="L261" s="40" t="str">
        <f t="shared" ca="1" si="0"/>
        <v>ISL16</v>
      </c>
      <c r="M261" s="36" t="str">
        <f t="shared" ca="1" si="1"/>
        <v>ISL</v>
      </c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</row>
    <row r="262" spans="1:27">
      <c r="A262" s="40"/>
      <c r="B262" s="36"/>
      <c r="C262" s="40"/>
      <c r="D262" s="41"/>
      <c r="E262" s="40"/>
      <c r="F262" s="40" t="str">
        <f ca="1">IFERROR(__xludf.DUMMYFUNCTION("""COMPUTED_VALUE"""),"Iván Sánchez")</f>
        <v>Iván Sánchez</v>
      </c>
      <c r="G262" s="40" t="str">
        <f ca="1">IFERROR(__xludf.DUMMYFUNCTION("""COMPUTED_VALUE"""),"ISL")</f>
        <v>ISL</v>
      </c>
      <c r="H262" s="40" t="str">
        <f ca="1">IFERROR(__xludf.DUMMYFUNCTION("""COMPUTED_VALUE"""),"ISL17")</f>
        <v>ISL17</v>
      </c>
      <c r="I262" s="40" t="str">
        <f ca="1">IFERROR(__xludf.DUMMYFUNCTION("""COMPUTED_VALUE"""),"B")</f>
        <v>B</v>
      </c>
      <c r="J262" s="40" t="str">
        <f ca="1">IFERROR(__xludf.DUMMYFUNCTION("""COMPUTED_VALUE"""),"Diego Espuch Nuñez")</f>
        <v>Diego Espuch Nuñez</v>
      </c>
      <c r="K262" s="40"/>
      <c r="L262" s="40" t="str">
        <f t="shared" ref="L262:L516" ca="1" si="2">H262</f>
        <v>ISL17</v>
      </c>
      <c r="M262" s="36" t="str">
        <f t="shared" ref="M262:M516" ca="1" si="3">G262</f>
        <v>ISL</v>
      </c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</row>
    <row r="263" spans="1:27">
      <c r="A263" s="40"/>
      <c r="B263" s="36"/>
      <c r="C263" s="40"/>
      <c r="D263" s="41"/>
      <c r="E263" s="40"/>
      <c r="F263" s="40" t="str">
        <f ca="1">IFERROR(__xludf.DUMMYFUNCTION("""COMPUTED_VALUE"""),"Iván Sánchez")</f>
        <v>Iván Sánchez</v>
      </c>
      <c r="G263" s="40" t="str">
        <f ca="1">IFERROR(__xludf.DUMMYFUNCTION("""COMPUTED_VALUE"""),"ISL")</f>
        <v>ISL</v>
      </c>
      <c r="H263" s="40" t="str">
        <f ca="1">IFERROR(__xludf.DUMMYFUNCTION("""COMPUTED_VALUE"""),"ISL18")</f>
        <v>ISL18</v>
      </c>
      <c r="I263" s="40" t="str">
        <f ca="1">IFERROR(__xludf.DUMMYFUNCTION("""COMPUTED_VALUE"""),"B")</f>
        <v>B</v>
      </c>
      <c r="J263" s="40" t="str">
        <f ca="1">IFERROR(__xludf.DUMMYFUNCTION("""COMPUTED_VALUE"""),"Diego Hellín Meseguer")</f>
        <v>Diego Hellín Meseguer</v>
      </c>
      <c r="K263" s="40"/>
      <c r="L263" s="40" t="str">
        <f t="shared" ca="1" si="2"/>
        <v>ISL18</v>
      </c>
      <c r="M263" s="36" t="str">
        <f t="shared" ca="1" si="3"/>
        <v>ISL</v>
      </c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</row>
    <row r="264" spans="1:27">
      <c r="A264" s="40"/>
      <c r="B264" s="36"/>
      <c r="C264" s="40"/>
      <c r="D264" s="41"/>
      <c r="E264" s="40"/>
      <c r="F264" s="40" t="str">
        <f ca="1">IFERROR(__xludf.DUMMYFUNCTION("""COMPUTED_VALUE"""),"Iván Sánchez")</f>
        <v>Iván Sánchez</v>
      </c>
      <c r="G264" s="40" t="str">
        <f ca="1">IFERROR(__xludf.DUMMYFUNCTION("""COMPUTED_VALUE"""),"ISL")</f>
        <v>ISL</v>
      </c>
      <c r="H264" s="40" t="str">
        <f ca="1">IFERROR(__xludf.DUMMYFUNCTION("""COMPUTED_VALUE"""),"ISL19")</f>
        <v>ISL19</v>
      </c>
      <c r="I264" s="40" t="str">
        <f ca="1">IFERROR(__xludf.DUMMYFUNCTION("""COMPUTED_VALUE"""),"B")</f>
        <v>B</v>
      </c>
      <c r="J264" s="23" t="str">
        <f ca="1">IFERROR(__xludf.DUMMYFUNCTION("""COMPUTED_VALUE"""),"Dinis Antunes Silva")</f>
        <v>Dinis Antunes Silva</v>
      </c>
      <c r="K264" s="23"/>
      <c r="L264" s="40" t="str">
        <f t="shared" ca="1" si="2"/>
        <v>ISL19</v>
      </c>
      <c r="M264" s="36" t="str">
        <f t="shared" ca="1" si="3"/>
        <v>ISL</v>
      </c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</row>
    <row r="265" spans="1:27">
      <c r="A265" s="40"/>
      <c r="B265" s="36"/>
      <c r="C265" s="40"/>
      <c r="D265" s="41"/>
      <c r="E265" s="40"/>
      <c r="F265" s="40" t="str">
        <f ca="1">IFERROR(__xludf.DUMMYFUNCTION("""COMPUTED_VALUE"""),"Mercè Cabrera")</f>
        <v>Mercè Cabrera</v>
      </c>
      <c r="G265" s="40" t="str">
        <f ca="1">IFERROR(__xludf.DUMMYFUNCTION("""COMPUTED_VALUE"""),"MCC")</f>
        <v>MCC</v>
      </c>
      <c r="H265" s="40" t="str">
        <f ca="1">IFERROR(__xludf.DUMMYFUNCTION("""COMPUTED_VALUE"""),"MCC44")</f>
        <v>MCC44</v>
      </c>
      <c r="I265" s="40" t="str">
        <f ca="1">IFERROR(__xludf.DUMMYFUNCTION("""COMPUTED_VALUE"""),"A")</f>
        <v>A</v>
      </c>
      <c r="J265" s="40" t="str">
        <f ca="1">IFERROR(__xludf.DUMMYFUNCTION("""COMPUTED_VALUE"""),"Dolores Romero Panadero")</f>
        <v>Dolores Romero Panadero</v>
      </c>
      <c r="K265" s="40"/>
      <c r="L265" s="40" t="str">
        <f t="shared" ca="1" si="2"/>
        <v>MCC44</v>
      </c>
      <c r="M265" s="36" t="str">
        <f t="shared" ca="1" si="3"/>
        <v>MCC</v>
      </c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</row>
    <row r="266" spans="1:27">
      <c r="A266" s="40"/>
      <c r="B266" s="36"/>
      <c r="C266" s="40"/>
      <c r="D266" s="41"/>
      <c r="E266" s="40"/>
      <c r="F266" s="40" t="str">
        <f ca="1">IFERROR(__xludf.DUMMYFUNCTION("""COMPUTED_VALUE"""),"Maika Blázquez")</f>
        <v>Maika Blázquez</v>
      </c>
      <c r="G266" s="40" t="str">
        <f ca="1">IFERROR(__xludf.DUMMYFUNCTION("""COMPUTED_VALUE"""),"MBM")</f>
        <v>MBM</v>
      </c>
      <c r="H266" s="40" t="str">
        <f ca="1">IFERROR(__xludf.DUMMYFUNCTION("""COMPUTED_VALUE"""),"MBM212")</f>
        <v>MBM212</v>
      </c>
      <c r="I266" s="40" t="str">
        <f ca="1">IFERROR(__xludf.DUMMYFUNCTION("""COMPUTED_VALUE"""),"A")</f>
        <v>A</v>
      </c>
      <c r="J266" s="40" t="str">
        <f ca="1">IFERROR(__xludf.DUMMYFUNCTION("""COMPUTED_VALUE"""),"Edson Robles Castilla")</f>
        <v>Edson Robles Castilla</v>
      </c>
      <c r="K266" s="40"/>
      <c r="L266" s="40" t="str">
        <f t="shared" ca="1" si="2"/>
        <v>MBM212</v>
      </c>
      <c r="M266" s="36" t="str">
        <f t="shared" ca="1" si="3"/>
        <v>MBM</v>
      </c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</row>
    <row r="267" spans="1:27">
      <c r="A267" s="40"/>
      <c r="B267" s="36"/>
      <c r="C267" s="40"/>
      <c r="D267" s="41"/>
      <c r="E267" s="23"/>
      <c r="F267" s="40" t="str">
        <f ca="1">IFERROR(__xludf.DUMMYFUNCTION("""COMPUTED_VALUE"""),"Roberto Pereira")</f>
        <v>Roberto Pereira</v>
      </c>
      <c r="G267" s="40" t="str">
        <f ca="1">IFERROR(__xludf.DUMMYFUNCTION("""COMPUTED_VALUE"""),"RPG")</f>
        <v>RPG</v>
      </c>
      <c r="H267" s="40" t="str">
        <f ca="1">IFERROR(__xludf.DUMMYFUNCTION("""COMPUTED_VALUE"""),"RPG11")</f>
        <v>RPG11</v>
      </c>
      <c r="I267" s="40" t="str">
        <f ca="1">IFERROR(__xludf.DUMMYFUNCTION("""COMPUTED_VALUE"""),"A")</f>
        <v>A</v>
      </c>
      <c r="J267" s="40" t="str">
        <f ca="1">IFERROR(__xludf.DUMMYFUNCTION("""COMPUTED_VALUE"""),"Eduardo Cabanas Rodríguez")</f>
        <v>Eduardo Cabanas Rodríguez</v>
      </c>
      <c r="K267" s="40"/>
      <c r="L267" s="40" t="str">
        <f t="shared" ca="1" si="2"/>
        <v>RPG11</v>
      </c>
      <c r="M267" s="36" t="str">
        <f t="shared" ca="1" si="3"/>
        <v>RPG</v>
      </c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</row>
    <row r="268" spans="1:27">
      <c r="A268" s="40"/>
      <c r="B268" s="36"/>
      <c r="C268" s="40"/>
      <c r="D268" s="41"/>
      <c r="E268" s="40"/>
      <c r="F268" s="40" t="str">
        <f ca="1">IFERROR(__xludf.DUMMYFUNCTION("""COMPUTED_VALUE"""),"Lisandro Russian")</f>
        <v>Lisandro Russian</v>
      </c>
      <c r="G268" s="40" t="str">
        <f ca="1">IFERROR(__xludf.DUMMYFUNCTION("""COMPUTED_VALUE"""),"LRM")</f>
        <v>LRM</v>
      </c>
      <c r="H268" s="40" t="str">
        <f ca="1">IFERROR(__xludf.DUMMYFUNCTION("""COMPUTED_VALUE"""),"LRM28")</f>
        <v>LRM28</v>
      </c>
      <c r="I268" s="40" t="str">
        <f ca="1">IFERROR(__xludf.DUMMYFUNCTION("""COMPUTED_VALUE"""),"A")</f>
        <v>A</v>
      </c>
      <c r="J268" s="40" t="str">
        <f ca="1">IFERROR(__xludf.DUMMYFUNCTION("""COMPUTED_VALUE"""),"Eduardo Del Castillo Serrano")</f>
        <v>Eduardo Del Castillo Serrano</v>
      </c>
      <c r="K268" s="40"/>
      <c r="L268" s="40" t="str">
        <f t="shared" ca="1" si="2"/>
        <v>LRM28</v>
      </c>
      <c r="M268" s="36" t="str">
        <f t="shared" ca="1" si="3"/>
        <v>LRM</v>
      </c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</row>
    <row r="269" spans="1:27">
      <c r="A269" s="40"/>
      <c r="B269" s="36"/>
      <c r="C269" s="40"/>
      <c r="D269" s="41"/>
      <c r="E269" s="40"/>
      <c r="F269" s="40" t="str">
        <f ca="1">IFERROR(__xludf.DUMMYFUNCTION("""COMPUTED_VALUE"""),"Lisandro Russian")</f>
        <v>Lisandro Russian</v>
      </c>
      <c r="G269" s="40" t="str">
        <f ca="1">IFERROR(__xludf.DUMMYFUNCTION("""COMPUTED_VALUE"""),"LRM")</f>
        <v>LRM</v>
      </c>
      <c r="H269" s="40" t="str">
        <f ca="1">IFERROR(__xludf.DUMMYFUNCTION("""COMPUTED_VALUE"""),"LRM29")</f>
        <v>LRM29</v>
      </c>
      <c r="I269" s="40" t="str">
        <f ca="1">IFERROR(__xludf.DUMMYFUNCTION("""COMPUTED_VALUE"""),"A")</f>
        <v>A</v>
      </c>
      <c r="J269" s="40" t="str">
        <f ca="1">IFERROR(__xludf.DUMMYFUNCTION("""COMPUTED_VALUE"""),"Eduardo Delgado Bobadilla")</f>
        <v>Eduardo Delgado Bobadilla</v>
      </c>
      <c r="K269" s="40"/>
      <c r="L269" s="40" t="str">
        <f t="shared" ca="1" si="2"/>
        <v>LRM29</v>
      </c>
      <c r="M269" s="36" t="str">
        <f t="shared" ca="1" si="3"/>
        <v>LRM</v>
      </c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</row>
    <row r="270" spans="1:27">
      <c r="A270" s="40"/>
      <c r="B270" s="36"/>
      <c r="C270" s="40"/>
      <c r="D270" s="41"/>
      <c r="E270" s="40"/>
      <c r="F270" s="40" t="str">
        <f ca="1">IFERROR(__xludf.DUMMYFUNCTION("""COMPUTED_VALUE"""),"Mercè Cabrera")</f>
        <v>Mercè Cabrera</v>
      </c>
      <c r="G270" s="40" t="str">
        <f ca="1">IFERROR(__xludf.DUMMYFUNCTION("""COMPUTED_VALUE"""),"MCC")</f>
        <v>MCC</v>
      </c>
      <c r="H270" s="40" t="str">
        <f ca="1">IFERROR(__xludf.DUMMYFUNCTION("""COMPUTED_VALUE"""),"MCC05")</f>
        <v>MCC05</v>
      </c>
      <c r="I270" s="40" t="str">
        <f ca="1">IFERROR(__xludf.DUMMYFUNCTION("""COMPUTED_VALUE"""),"A")</f>
        <v>A</v>
      </c>
      <c r="J270" s="40" t="str">
        <f ca="1">IFERROR(__xludf.DUMMYFUNCTION("""COMPUTED_VALUE"""),"Eduardo Lehrer Coriat")</f>
        <v>Eduardo Lehrer Coriat</v>
      </c>
      <c r="K270" s="40"/>
      <c r="L270" s="40" t="str">
        <f t="shared" ca="1" si="2"/>
        <v>MCC05</v>
      </c>
      <c r="M270" s="36" t="str">
        <f t="shared" ca="1" si="3"/>
        <v>MCC</v>
      </c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</row>
    <row r="271" spans="1:27">
      <c r="A271" s="40"/>
      <c r="B271" s="36"/>
      <c r="C271" s="40"/>
      <c r="D271" s="41"/>
      <c r="E271" s="40"/>
      <c r="F271" s="40" t="str">
        <f ca="1">IFERROR(__xludf.DUMMYFUNCTION("""COMPUTED_VALUE"""),"Maika Blázquez")</f>
        <v>Maika Blázquez</v>
      </c>
      <c r="G271" s="40" t="str">
        <f ca="1">IFERROR(__xludf.DUMMYFUNCTION("""COMPUTED_VALUE"""),"MBM")</f>
        <v>MBM</v>
      </c>
      <c r="H271" s="40" t="str">
        <f ca="1">IFERROR(__xludf.DUMMYFUNCTION("""COMPUTED_VALUE"""),"MBM17")</f>
        <v>MBM17</v>
      </c>
      <c r="I271" s="40" t="str">
        <f ca="1">IFERROR(__xludf.DUMMYFUNCTION("""COMPUTED_VALUE"""),"A")</f>
        <v>A</v>
      </c>
      <c r="J271" s="40" t="str">
        <f ca="1">IFERROR(__xludf.DUMMYFUNCTION("""COMPUTED_VALUE"""),"Eduardo Martín Sanz")</f>
        <v>Eduardo Martín Sanz</v>
      </c>
      <c r="K271" s="40"/>
      <c r="L271" s="40" t="str">
        <f t="shared" ca="1" si="2"/>
        <v>MBM17</v>
      </c>
      <c r="M271" s="36" t="str">
        <f t="shared" ca="1" si="3"/>
        <v>MBM</v>
      </c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</row>
    <row r="272" spans="1:27">
      <c r="A272" s="40"/>
      <c r="B272" s="36"/>
      <c r="C272" s="40"/>
      <c r="D272" s="41"/>
      <c r="E272" s="40"/>
      <c r="F272" s="40" t="str">
        <f ca="1">IFERROR(__xludf.DUMMYFUNCTION("""COMPUTED_VALUE"""),"Mercè Cabrera")</f>
        <v>Mercè Cabrera</v>
      </c>
      <c r="G272" s="40" t="str">
        <f ca="1">IFERROR(__xludf.DUMMYFUNCTION("""COMPUTED_VALUE"""),"MCC")</f>
        <v>MCC</v>
      </c>
      <c r="H272" s="40" t="str">
        <f ca="1">IFERROR(__xludf.DUMMYFUNCTION("""COMPUTED_VALUE"""),"MCC06")</f>
        <v>MCC06</v>
      </c>
      <c r="I272" s="40" t="str">
        <f ca="1">IFERROR(__xludf.DUMMYFUNCTION("""COMPUTED_VALUE"""),"A")</f>
        <v>A</v>
      </c>
      <c r="J272" s="40" t="str">
        <f ca="1">IFERROR(__xludf.DUMMYFUNCTION("""COMPUTED_VALUE"""),"Eladio Sicilia Maluenda")</f>
        <v>Eladio Sicilia Maluenda</v>
      </c>
      <c r="K272" s="40"/>
      <c r="L272" s="40" t="str">
        <f t="shared" ca="1" si="2"/>
        <v>MCC06</v>
      </c>
      <c r="M272" s="36" t="str">
        <f t="shared" ca="1" si="3"/>
        <v>MCC</v>
      </c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</row>
    <row r="273" spans="1:27">
      <c r="A273" s="40"/>
      <c r="B273" s="36"/>
      <c r="C273" s="40"/>
      <c r="D273" s="41"/>
      <c r="E273" s="40"/>
      <c r="F273" s="40" t="str">
        <f ca="1">IFERROR(__xludf.DUMMYFUNCTION("""COMPUTED_VALUE"""),"Lisandro Russian")</f>
        <v>Lisandro Russian</v>
      </c>
      <c r="G273" s="40" t="str">
        <f ca="1">IFERROR(__xludf.DUMMYFUNCTION("""COMPUTED_VALUE"""),"LRM")</f>
        <v>LRM</v>
      </c>
      <c r="H273" s="40" t="str">
        <f ca="1">IFERROR(__xludf.DUMMYFUNCTION("""COMPUTED_VALUE"""),"LRM154")</f>
        <v>LRM154</v>
      </c>
      <c r="I273" s="40" t="str">
        <f ca="1">IFERROR(__xludf.DUMMYFUNCTION("""COMPUTED_VALUE"""),"A")</f>
        <v>A</v>
      </c>
      <c r="J273" s="40" t="str">
        <f ca="1">IFERROR(__xludf.DUMMYFUNCTION("""COMPUTED_VALUE"""),"Elena Aznar Facerías")</f>
        <v>Elena Aznar Facerías</v>
      </c>
      <c r="K273" s="40"/>
      <c r="L273" s="40" t="str">
        <f t="shared" ca="1" si="2"/>
        <v>LRM154</v>
      </c>
      <c r="M273" s="36" t="str">
        <f t="shared" ca="1" si="3"/>
        <v>LRM</v>
      </c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</row>
    <row r="274" spans="1:27">
      <c r="A274" s="40"/>
      <c r="B274" s="36"/>
      <c r="C274" s="40"/>
      <c r="D274" s="41"/>
      <c r="E274" s="40"/>
      <c r="F274" s="40" t="str">
        <f ca="1">IFERROR(__xludf.DUMMYFUNCTION("""COMPUTED_VALUE"""),"Alberto Moreno")</f>
        <v>Alberto Moreno</v>
      </c>
      <c r="G274" s="40" t="str">
        <f ca="1">IFERROR(__xludf.DUMMYFUNCTION("""COMPUTED_VALUE"""),"AMM")</f>
        <v>AMM</v>
      </c>
      <c r="H274" s="40" t="str">
        <f ca="1">IFERROR(__xludf.DUMMYFUNCTION("""COMPUTED_VALUE"""),"AMM28")</f>
        <v>AMM28</v>
      </c>
      <c r="I274" s="40" t="str">
        <f ca="1">IFERROR(__xludf.DUMMYFUNCTION("""COMPUTED_VALUE"""),"A")</f>
        <v>A</v>
      </c>
      <c r="J274" s="40" t="str">
        <f ca="1">IFERROR(__xludf.DUMMYFUNCTION("""COMPUTED_VALUE"""),"Elena Balduz Moreno")</f>
        <v>Elena Balduz Moreno</v>
      </c>
      <c r="K274" s="40"/>
      <c r="L274" s="40" t="str">
        <f t="shared" ca="1" si="2"/>
        <v>AMM28</v>
      </c>
      <c r="M274" s="36" t="str">
        <f t="shared" ca="1" si="3"/>
        <v>AMM</v>
      </c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</row>
    <row r="275" spans="1:27">
      <c r="A275" s="40"/>
      <c r="B275" s="36"/>
      <c r="C275" s="40"/>
      <c r="D275" s="41"/>
      <c r="E275" s="40"/>
      <c r="F275" s="40" t="str">
        <f ca="1">IFERROR(__xludf.DUMMYFUNCTION("""COMPUTED_VALUE"""),"Mercè Cabrera")</f>
        <v>Mercè Cabrera</v>
      </c>
      <c r="G275" s="40" t="str">
        <f ca="1">IFERROR(__xludf.DUMMYFUNCTION("""COMPUTED_VALUE"""),"MCC")</f>
        <v>MCC</v>
      </c>
      <c r="H275" s="40" t="str">
        <f ca="1">IFERROR(__xludf.DUMMYFUNCTION("""COMPUTED_VALUE"""),"MCC45")</f>
        <v>MCC45</v>
      </c>
      <c r="I275" s="40" t="str">
        <f ca="1">IFERROR(__xludf.DUMMYFUNCTION("""COMPUTED_VALUE"""),"A")</f>
        <v>A</v>
      </c>
      <c r="J275" s="40" t="str">
        <f ca="1">IFERROR(__xludf.DUMMYFUNCTION("""COMPUTED_VALUE"""),"Elena De Dios Oran")</f>
        <v>Elena De Dios Oran</v>
      </c>
      <c r="K275" s="40"/>
      <c r="L275" s="40" t="str">
        <f t="shared" ca="1" si="2"/>
        <v>MCC45</v>
      </c>
      <c r="M275" s="36" t="str">
        <f t="shared" ca="1" si="3"/>
        <v>MCC</v>
      </c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</row>
    <row r="276" spans="1:27">
      <c r="A276" s="40"/>
      <c r="B276" s="36"/>
      <c r="C276" s="40"/>
      <c r="D276" s="41"/>
      <c r="E276" s="40"/>
      <c r="F276" s="40" t="str">
        <f ca="1">IFERROR(__xludf.DUMMYFUNCTION("""COMPUTED_VALUE"""),"Ramon Ferrando")</f>
        <v>Ramon Ferrando</v>
      </c>
      <c r="G276" s="40" t="str">
        <f ca="1">IFERROR(__xludf.DUMMYFUNCTION("""COMPUTED_VALUE"""),"RFV")</f>
        <v>RFV</v>
      </c>
      <c r="H276" s="40" t="str">
        <f ca="1">IFERROR(__xludf.DUMMYFUNCTION("""COMPUTED_VALUE"""),"RFV48")</f>
        <v>RFV48</v>
      </c>
      <c r="I276" s="40" t="str">
        <f ca="1">IFERROR(__xludf.DUMMYFUNCTION("""COMPUTED_VALUE"""),"B")</f>
        <v>B</v>
      </c>
      <c r="J276" s="40" t="str">
        <f ca="1">IFERROR(__xludf.DUMMYFUNCTION("""COMPUTED_VALUE"""),"Elena González Turienzo")</f>
        <v>Elena González Turienzo</v>
      </c>
      <c r="K276" s="40"/>
      <c r="L276" s="40" t="str">
        <f t="shared" ca="1" si="2"/>
        <v>RFV48</v>
      </c>
      <c r="M276" s="36" t="str">
        <f t="shared" ca="1" si="3"/>
        <v>RFV</v>
      </c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</row>
    <row r="277" spans="1:27">
      <c r="A277" s="40"/>
      <c r="B277" s="36"/>
      <c r="C277" s="40"/>
      <c r="D277" s="41"/>
      <c r="E277" s="40"/>
      <c r="F277" s="40" t="str">
        <f ca="1">IFERROR(__xludf.DUMMYFUNCTION("""COMPUTED_VALUE"""),"Maika Blázquez")</f>
        <v>Maika Blázquez</v>
      </c>
      <c r="G277" s="40" t="str">
        <f ca="1">IFERROR(__xludf.DUMMYFUNCTION("""COMPUTED_VALUE"""),"MBM")</f>
        <v>MBM</v>
      </c>
      <c r="H277" s="40" t="str">
        <f ca="1">IFERROR(__xludf.DUMMYFUNCTION("""COMPUTED_VALUE"""),"MBM191")</f>
        <v>MBM191</v>
      </c>
      <c r="I277" s="40" t="str">
        <f ca="1">IFERROR(__xludf.DUMMYFUNCTION("""COMPUTED_VALUE"""),"A")</f>
        <v>A</v>
      </c>
      <c r="J277" s="40" t="str">
        <f ca="1">IFERROR(__xludf.DUMMYFUNCTION("""COMPUTED_VALUE"""),"Elena Martín Bejerano")</f>
        <v>Elena Martín Bejerano</v>
      </c>
      <c r="K277" s="40"/>
      <c r="L277" s="40" t="str">
        <f t="shared" ca="1" si="2"/>
        <v>MBM191</v>
      </c>
      <c r="M277" s="36" t="str">
        <f t="shared" ca="1" si="3"/>
        <v>MBM</v>
      </c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</row>
    <row r="278" spans="1:27">
      <c r="A278" s="40"/>
      <c r="B278" s="36"/>
      <c r="C278" s="40"/>
      <c r="D278" s="41"/>
      <c r="E278" s="40"/>
      <c r="F278" s="40" t="str">
        <f ca="1">IFERROR(__xludf.DUMMYFUNCTION("""COMPUTED_VALUE"""),"Luis Alberto Rodríguez")</f>
        <v>Luis Alberto Rodríguez</v>
      </c>
      <c r="G278" s="40" t="str">
        <f ca="1">IFERROR(__xludf.DUMMYFUNCTION("""COMPUTED_VALUE"""),"LAA")</f>
        <v>LAA</v>
      </c>
      <c r="H278" s="40" t="str">
        <f ca="1">IFERROR(__xludf.DUMMYFUNCTION("""COMPUTED_VALUE"""),"LAA46")</f>
        <v>LAA46</v>
      </c>
      <c r="I278" s="40" t="str">
        <f ca="1">IFERROR(__xludf.DUMMYFUNCTION("""COMPUTED_VALUE"""),"C")</f>
        <v>C</v>
      </c>
      <c r="J278" s="40" t="str">
        <f ca="1">IFERROR(__xludf.DUMMYFUNCTION("""COMPUTED_VALUE"""),"Elena Molina Fernández")</f>
        <v>Elena Molina Fernández</v>
      </c>
      <c r="K278" s="40"/>
      <c r="L278" s="40" t="str">
        <f t="shared" ca="1" si="2"/>
        <v>LAA46</v>
      </c>
      <c r="M278" s="36" t="str">
        <f t="shared" ca="1" si="3"/>
        <v>LAA</v>
      </c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</row>
    <row r="279" spans="1:27">
      <c r="A279" s="40"/>
      <c r="B279" s="36"/>
      <c r="C279" s="40"/>
      <c r="D279" s="41"/>
      <c r="E279" s="40"/>
      <c r="F279" s="40" t="str">
        <f ca="1">IFERROR(__xludf.DUMMYFUNCTION("""COMPUTED_VALUE"""),"Roberto Pereira")</f>
        <v>Roberto Pereira</v>
      </c>
      <c r="G279" s="40" t="str">
        <f ca="1">IFERROR(__xludf.DUMMYFUNCTION("""COMPUTED_VALUE"""),"RPG")</f>
        <v>RPG</v>
      </c>
      <c r="H279" s="40" t="str">
        <f ca="1">IFERROR(__xludf.DUMMYFUNCTION("""COMPUTED_VALUE"""),"RPG44")</f>
        <v>RPG44</v>
      </c>
      <c r="I279" s="40" t="str">
        <f ca="1">IFERROR(__xludf.DUMMYFUNCTION("""COMPUTED_VALUE"""),"A")</f>
        <v>A</v>
      </c>
      <c r="J279" s="40" t="str">
        <f ca="1">IFERROR(__xludf.DUMMYFUNCTION("""COMPUTED_VALUE"""),"Elena San Román Rodríguez")</f>
        <v>Elena San Román Rodríguez</v>
      </c>
      <c r="K279" s="40"/>
      <c r="L279" s="40" t="str">
        <f t="shared" ca="1" si="2"/>
        <v>RPG44</v>
      </c>
      <c r="M279" s="36" t="str">
        <f t="shared" ca="1" si="3"/>
        <v>RPG</v>
      </c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</row>
    <row r="280" spans="1:27">
      <c r="A280" s="40"/>
      <c r="B280" s="36"/>
      <c r="C280" s="40"/>
      <c r="D280" s="41"/>
      <c r="E280" s="40"/>
      <c r="F280" s="40" t="str">
        <f ca="1">IFERROR(__xludf.DUMMYFUNCTION("""COMPUTED_VALUE"""),"Iván Sánchez")</f>
        <v>Iván Sánchez</v>
      </c>
      <c r="G280" s="40" t="str">
        <f ca="1">IFERROR(__xludf.DUMMYFUNCTION("""COMPUTED_VALUE"""),"ISL")</f>
        <v>ISL</v>
      </c>
      <c r="H280" s="40" t="str">
        <f ca="1">IFERROR(__xludf.DUMMYFUNCTION("""COMPUTED_VALUE"""),"ISL145")</f>
        <v>ISL145</v>
      </c>
      <c r="I280" s="40" t="str">
        <f ca="1">IFERROR(__xludf.DUMMYFUNCTION("""COMPUTED_VALUE"""),"B")</f>
        <v>B</v>
      </c>
      <c r="J280" s="40" t="str">
        <f ca="1">IFERROR(__xludf.DUMMYFUNCTION("""COMPUTED_VALUE"""),"Elena Sevilla Heras")</f>
        <v>Elena Sevilla Heras</v>
      </c>
      <c r="K280" s="40"/>
      <c r="L280" s="40" t="str">
        <f t="shared" ca="1" si="2"/>
        <v>ISL145</v>
      </c>
      <c r="M280" s="36" t="str">
        <f t="shared" ca="1" si="3"/>
        <v>ISL</v>
      </c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</row>
    <row r="281" spans="1:27">
      <c r="A281" s="40"/>
      <c r="B281" s="36"/>
      <c r="C281" s="40"/>
      <c r="D281" s="41"/>
      <c r="E281" s="40"/>
      <c r="F281" s="40" t="str">
        <f ca="1">IFERROR(__xludf.DUMMYFUNCTION("""COMPUTED_VALUE"""),"Luis Alberto Rodríguez")</f>
        <v>Luis Alberto Rodríguez</v>
      </c>
      <c r="G281" s="40" t="str">
        <f ca="1">IFERROR(__xludf.DUMMYFUNCTION("""COMPUTED_VALUE"""),"LAA")</f>
        <v>LAA</v>
      </c>
      <c r="H281" s="40" t="str">
        <f ca="1">IFERROR(__xludf.DUMMYFUNCTION("""COMPUTED_VALUE"""),"LAA79")</f>
        <v>LAA79</v>
      </c>
      <c r="I281" s="40" t="str">
        <f ca="1">IFERROR(__xludf.DUMMYFUNCTION("""COMPUTED_VALUE"""),"C")</f>
        <v>C</v>
      </c>
      <c r="J281" s="40" t="str">
        <f ca="1">IFERROR(__xludf.DUMMYFUNCTION("""COMPUTED_VALUE"""),"Elena Vázquez Becerra")</f>
        <v>Elena Vázquez Becerra</v>
      </c>
      <c r="K281" s="40"/>
      <c r="L281" s="40" t="str">
        <f t="shared" ca="1" si="2"/>
        <v>LAA79</v>
      </c>
      <c r="M281" s="36" t="str">
        <f t="shared" ca="1" si="3"/>
        <v>LAA</v>
      </c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</row>
    <row r="282" spans="1:27">
      <c r="A282" s="40"/>
      <c r="B282" s="36"/>
      <c r="C282" s="40"/>
      <c r="D282" s="41"/>
      <c r="E282" s="40"/>
      <c r="F282" s="40" t="str">
        <f ca="1">IFERROR(__xludf.DUMMYFUNCTION("""COMPUTED_VALUE"""),"Lisandro Russian")</f>
        <v>Lisandro Russian</v>
      </c>
      <c r="G282" s="40" t="str">
        <f ca="1">IFERROR(__xludf.DUMMYFUNCTION("""COMPUTED_VALUE"""),"LRM")</f>
        <v>LRM</v>
      </c>
      <c r="H282" s="40" t="str">
        <f ca="1">IFERROR(__xludf.DUMMYFUNCTION("""COMPUTED_VALUE"""),"LRM155")</f>
        <v>LRM155</v>
      </c>
      <c r="I282" s="40" t="str">
        <f ca="1">IFERROR(__xludf.DUMMYFUNCTION("""COMPUTED_VALUE"""),"A")</f>
        <v>A</v>
      </c>
      <c r="J282" s="40" t="str">
        <f ca="1">IFERROR(__xludf.DUMMYFUNCTION("""COMPUTED_VALUE"""),"Elham Asgharpour Talat")</f>
        <v>Elham Asgharpour Talat</v>
      </c>
      <c r="K282" s="40"/>
      <c r="L282" s="40" t="str">
        <f t="shared" ca="1" si="2"/>
        <v>LRM155</v>
      </c>
      <c r="M282" s="36" t="str">
        <f t="shared" ca="1" si="3"/>
        <v>LRM</v>
      </c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</row>
    <row r="283" spans="1:27">
      <c r="A283" s="40"/>
      <c r="B283" s="36"/>
      <c r="C283" s="40"/>
      <c r="D283" s="41"/>
      <c r="E283" s="40"/>
      <c r="F283" s="40" t="str">
        <f ca="1">IFERROR(__xludf.DUMMYFUNCTION("""COMPUTED_VALUE"""),"Maika Blázquez")</f>
        <v>Maika Blázquez</v>
      </c>
      <c r="G283" s="40" t="str">
        <f ca="1">IFERROR(__xludf.DUMMYFUNCTION("""COMPUTED_VALUE"""),"MBM")</f>
        <v>MBM</v>
      </c>
      <c r="H283" s="40" t="str">
        <f ca="1">IFERROR(__xludf.DUMMYFUNCTION("""COMPUTED_VALUE"""),"MBM111")</f>
        <v>MBM111</v>
      </c>
      <c r="I283" s="40" t="str">
        <f ca="1">IFERROR(__xludf.DUMMYFUNCTION("""COMPUTED_VALUE"""),"A")</f>
        <v>A</v>
      </c>
      <c r="J283" s="40" t="str">
        <f ca="1">IFERROR(__xludf.DUMMYFUNCTION("""COMPUTED_VALUE"""),"Elisabeth Amarillo Espitia")</f>
        <v>Elisabeth Amarillo Espitia</v>
      </c>
      <c r="K283" s="40"/>
      <c r="L283" s="40" t="str">
        <f t="shared" ca="1" si="2"/>
        <v>MBM111</v>
      </c>
      <c r="M283" s="36" t="str">
        <f t="shared" ca="1" si="3"/>
        <v>MBM</v>
      </c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</row>
    <row r="284" spans="1:27">
      <c r="A284" s="40"/>
      <c r="B284" s="36"/>
      <c r="C284" s="40"/>
      <c r="D284" s="41"/>
      <c r="E284" s="40"/>
      <c r="F284" s="40" t="str">
        <f ca="1">IFERROR(__xludf.DUMMYFUNCTION("""COMPUTED_VALUE"""),"Ramon Ferrando")</f>
        <v>Ramon Ferrando</v>
      </c>
      <c r="G284" s="40" t="str">
        <f ca="1">IFERROR(__xludf.DUMMYFUNCTION("""COMPUTED_VALUE"""),"RFV")</f>
        <v>RFV</v>
      </c>
      <c r="H284" s="40" t="str">
        <f ca="1">IFERROR(__xludf.DUMMYFUNCTION("""COMPUTED_VALUE"""),"RFV47")</f>
        <v>RFV47</v>
      </c>
      <c r="I284" s="40" t="str">
        <f ca="1">IFERROR(__xludf.DUMMYFUNCTION("""COMPUTED_VALUE"""),"B")</f>
        <v>B</v>
      </c>
      <c r="J284" s="40" t="str">
        <f ca="1">IFERROR(__xludf.DUMMYFUNCTION("""COMPUTED_VALUE"""),"Elisheba Haro Hernández")</f>
        <v>Elisheba Haro Hernández</v>
      </c>
      <c r="K284" s="40"/>
      <c r="L284" s="40" t="str">
        <f t="shared" ca="1" si="2"/>
        <v>RFV47</v>
      </c>
      <c r="M284" s="36" t="str">
        <f t="shared" ca="1" si="3"/>
        <v>RFV</v>
      </c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</row>
    <row r="285" spans="1:27">
      <c r="A285" s="40"/>
      <c r="B285" s="36"/>
      <c r="C285" s="40"/>
      <c r="D285" s="41"/>
      <c r="E285" s="40"/>
      <c r="F285" s="40" t="str">
        <f ca="1">IFERROR(__xludf.DUMMYFUNCTION("""COMPUTED_VALUE"""),"Iván Sánchez")</f>
        <v>Iván Sánchez</v>
      </c>
      <c r="G285" s="40" t="str">
        <f ca="1">IFERROR(__xludf.DUMMYFUNCTION("""COMPUTED_VALUE"""),"ISL")</f>
        <v>ISL</v>
      </c>
      <c r="H285" s="40" t="str">
        <f ca="1">IFERROR(__xludf.DUMMYFUNCTION("""COMPUTED_VALUE"""),"ISL20")</f>
        <v>ISL20</v>
      </c>
      <c r="I285" s="40" t="str">
        <f ca="1">IFERROR(__xludf.DUMMYFUNCTION("""COMPUTED_VALUE"""),"B")</f>
        <v>B</v>
      </c>
      <c r="J285" s="40" t="str">
        <f ca="1">IFERROR(__xludf.DUMMYFUNCTION("""COMPUTED_VALUE"""),"Eloy Infante Matarredona")</f>
        <v>Eloy Infante Matarredona</v>
      </c>
      <c r="K285" s="40"/>
      <c r="L285" s="40" t="str">
        <f t="shared" ca="1" si="2"/>
        <v>ISL20</v>
      </c>
      <c r="M285" s="36" t="str">
        <f t="shared" ca="1" si="3"/>
        <v>ISL</v>
      </c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</row>
    <row r="286" spans="1:27">
      <c r="A286" s="40"/>
      <c r="B286" s="36"/>
      <c r="C286" s="40"/>
      <c r="D286" s="41"/>
      <c r="E286" s="40"/>
      <c r="F286" s="40" t="str">
        <f ca="1">IFERROR(__xludf.DUMMYFUNCTION("""COMPUTED_VALUE"""),"Iván Sánchez")</f>
        <v>Iván Sánchez</v>
      </c>
      <c r="G286" s="40" t="str">
        <f ca="1">IFERROR(__xludf.DUMMYFUNCTION("""COMPUTED_VALUE"""),"ISL")</f>
        <v>ISL</v>
      </c>
      <c r="H286" s="40" t="str">
        <f ca="1">IFERROR(__xludf.DUMMYFUNCTION("""COMPUTED_VALUE"""),"ISL100")</f>
        <v>ISL100</v>
      </c>
      <c r="I286" s="40" t="str">
        <f ca="1">IFERROR(__xludf.DUMMYFUNCTION("""COMPUTED_VALUE"""),"B")</f>
        <v>B</v>
      </c>
      <c r="J286" s="40" t="str">
        <f ca="1">IFERROR(__xludf.DUMMYFUNCTION("""COMPUTED_VALUE"""),"Elvira Mencheta Benet")</f>
        <v>Elvira Mencheta Benet</v>
      </c>
      <c r="K286" s="40"/>
      <c r="L286" s="40" t="str">
        <f t="shared" ca="1" si="2"/>
        <v>ISL100</v>
      </c>
      <c r="M286" s="36" t="str">
        <f t="shared" ca="1" si="3"/>
        <v>ISL</v>
      </c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</row>
    <row r="287" spans="1:27">
      <c r="A287" s="40"/>
      <c r="B287" s="36"/>
      <c r="C287" s="40"/>
      <c r="D287" s="41"/>
      <c r="E287" s="40"/>
      <c r="F287" s="40" t="str">
        <f ca="1">IFERROR(__xludf.DUMMYFUNCTION("""COMPUTED_VALUE"""),"Maika Blázquez")</f>
        <v>Maika Blázquez</v>
      </c>
      <c r="G287" s="40" t="str">
        <f ca="1">IFERROR(__xludf.DUMMYFUNCTION("""COMPUTED_VALUE"""),"MBM")</f>
        <v>MBM</v>
      </c>
      <c r="H287" s="40" t="str">
        <f ca="1">IFERROR(__xludf.DUMMYFUNCTION("""COMPUTED_VALUE"""),"MBM112")</f>
        <v>MBM112</v>
      </c>
      <c r="I287" s="40" t="str">
        <f ca="1">IFERROR(__xludf.DUMMYFUNCTION("""COMPUTED_VALUE"""),"A")</f>
        <v>A</v>
      </c>
      <c r="J287" s="40" t="str">
        <f ca="1">IFERROR(__xludf.DUMMYFUNCTION("""COMPUTED_VALUE"""),"Elvylins Vargas Yglesia")</f>
        <v>Elvylins Vargas Yglesia</v>
      </c>
      <c r="K287" s="40"/>
      <c r="L287" s="40" t="str">
        <f t="shared" ca="1" si="2"/>
        <v>MBM112</v>
      </c>
      <c r="M287" s="36" t="str">
        <f t="shared" ca="1" si="3"/>
        <v>MBM</v>
      </c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</row>
    <row r="288" spans="1:27">
      <c r="A288" s="40"/>
      <c r="B288" s="36"/>
      <c r="C288" s="40"/>
      <c r="D288" s="41"/>
      <c r="E288" s="40"/>
      <c r="F288" s="40" t="str">
        <f ca="1">IFERROR(__xludf.DUMMYFUNCTION("""COMPUTED_VALUE"""),"Iván Sánchez")</f>
        <v>Iván Sánchez</v>
      </c>
      <c r="G288" s="40" t="str">
        <f ca="1">IFERROR(__xludf.DUMMYFUNCTION("""COMPUTED_VALUE"""),"ISL")</f>
        <v>ISL</v>
      </c>
      <c r="H288" s="40" t="str">
        <f ca="1">IFERROR(__xludf.DUMMYFUNCTION("""COMPUTED_VALUE"""),"ISL21")</f>
        <v>ISL21</v>
      </c>
      <c r="I288" s="40" t="str">
        <f ca="1">IFERROR(__xludf.DUMMYFUNCTION("""COMPUTED_VALUE"""),"B")</f>
        <v>B</v>
      </c>
      <c r="J288" s="40" t="str">
        <f ca="1">IFERROR(__xludf.DUMMYFUNCTION("""COMPUTED_VALUE"""),"Emilio Saura Sánchez-Parra")</f>
        <v>Emilio Saura Sánchez-Parra</v>
      </c>
      <c r="K288" s="40"/>
      <c r="L288" s="40" t="str">
        <f t="shared" ca="1" si="2"/>
        <v>ISL21</v>
      </c>
      <c r="M288" s="36" t="str">
        <f t="shared" ca="1" si="3"/>
        <v>ISL</v>
      </c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</row>
    <row r="289" spans="1:27">
      <c r="A289" s="40"/>
      <c r="B289" s="36"/>
      <c r="C289" s="40"/>
      <c r="D289" s="41"/>
      <c r="E289" s="40"/>
      <c r="F289" s="40" t="str">
        <f ca="1">IFERROR(__xludf.DUMMYFUNCTION("""COMPUTED_VALUE"""),"Mercè Cabrera")</f>
        <v>Mercè Cabrera</v>
      </c>
      <c r="G289" s="40" t="str">
        <f ca="1">IFERROR(__xludf.DUMMYFUNCTION("""COMPUTED_VALUE"""),"MCC")</f>
        <v>MCC</v>
      </c>
      <c r="H289" s="40" t="str">
        <f ca="1">IFERROR(__xludf.DUMMYFUNCTION("""COMPUTED_VALUE"""),"MCC07")</f>
        <v>MCC07</v>
      </c>
      <c r="I289" s="40" t="str">
        <f ca="1">IFERROR(__xludf.DUMMYFUNCTION("""COMPUTED_VALUE"""),"A")</f>
        <v>A</v>
      </c>
      <c r="J289" s="40" t="str">
        <f ca="1">IFERROR(__xludf.DUMMYFUNCTION("""COMPUTED_VALUE"""),"Enric Cisa Lluis")</f>
        <v>Enric Cisa Lluis</v>
      </c>
      <c r="K289" s="40"/>
      <c r="L289" s="40" t="str">
        <f t="shared" ca="1" si="2"/>
        <v>MCC07</v>
      </c>
      <c r="M289" s="36" t="str">
        <f t="shared" ca="1" si="3"/>
        <v>MCC</v>
      </c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</row>
    <row r="290" spans="1:27">
      <c r="A290" s="40"/>
      <c r="B290" s="36"/>
      <c r="C290" s="40"/>
      <c r="D290" s="41"/>
      <c r="E290" s="40"/>
      <c r="F290" s="40" t="str">
        <f ca="1">IFERROR(__xludf.DUMMYFUNCTION("""COMPUTED_VALUE"""),"Mercè Cabrera")</f>
        <v>Mercè Cabrera</v>
      </c>
      <c r="G290" s="40" t="str">
        <f ca="1">IFERROR(__xludf.DUMMYFUNCTION("""COMPUTED_VALUE"""),"MCC")</f>
        <v>MCC</v>
      </c>
      <c r="H290" s="40" t="str">
        <f ca="1">IFERROR(__xludf.DUMMYFUNCTION("""COMPUTED_VALUE"""),"MCC08")</f>
        <v>MCC08</v>
      </c>
      <c r="I290" s="40" t="str">
        <f ca="1">IFERROR(__xludf.DUMMYFUNCTION("""COMPUTED_VALUE"""),"A")</f>
        <v>A</v>
      </c>
      <c r="J290" s="40" t="str">
        <f ca="1">IFERROR(__xludf.DUMMYFUNCTION("""COMPUTED_VALUE"""),"Enric Ferran Benstrom")</f>
        <v>Enric Ferran Benstrom</v>
      </c>
      <c r="K290" s="40"/>
      <c r="L290" s="40" t="str">
        <f t="shared" ca="1" si="2"/>
        <v>MCC08</v>
      </c>
      <c r="M290" s="36" t="str">
        <f t="shared" ca="1" si="3"/>
        <v>MCC</v>
      </c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</row>
    <row r="291" spans="1:27">
      <c r="A291" s="40"/>
      <c r="B291" s="36"/>
      <c r="C291" s="40"/>
      <c r="D291" s="41"/>
      <c r="E291" s="40"/>
      <c r="F291" s="40" t="str">
        <f ca="1">IFERROR(__xludf.DUMMYFUNCTION("""COMPUTED_VALUE"""),"Iván Sánchez")</f>
        <v>Iván Sánchez</v>
      </c>
      <c r="G291" s="40" t="str">
        <f ca="1">IFERROR(__xludf.DUMMYFUNCTION("""COMPUTED_VALUE"""),"ISL")</f>
        <v>ISL</v>
      </c>
      <c r="H291" s="40" t="str">
        <f ca="1">IFERROR(__xludf.DUMMYFUNCTION("""COMPUTED_VALUE"""),"ISL22")</f>
        <v>ISL22</v>
      </c>
      <c r="I291" s="40" t="str">
        <f ca="1">IFERROR(__xludf.DUMMYFUNCTION("""COMPUTED_VALUE"""),"B")</f>
        <v>B</v>
      </c>
      <c r="J291" s="40" t="str">
        <f ca="1">IFERROR(__xludf.DUMMYFUNCTION("""COMPUTED_VALUE"""),"Enrique Fernández Julián")</f>
        <v>Enrique Fernández Julián</v>
      </c>
      <c r="K291" s="40"/>
      <c r="L291" s="40" t="str">
        <f t="shared" ca="1" si="2"/>
        <v>ISL22</v>
      </c>
      <c r="M291" s="36" t="str">
        <f t="shared" ca="1" si="3"/>
        <v>ISL</v>
      </c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</row>
    <row r="292" spans="1:27">
      <c r="A292" s="40"/>
      <c r="B292" s="36"/>
      <c r="C292" s="40"/>
      <c r="D292" s="41"/>
      <c r="E292" s="40"/>
      <c r="F292" s="40" t="str">
        <f ca="1">IFERROR(__xludf.DUMMYFUNCTION("""COMPUTED_VALUE"""),"Iván Sánchez")</f>
        <v>Iván Sánchez</v>
      </c>
      <c r="G292" s="40" t="str">
        <f ca="1">IFERROR(__xludf.DUMMYFUNCTION("""COMPUTED_VALUE"""),"ISL")</f>
        <v>ISL</v>
      </c>
      <c r="H292" s="40" t="str">
        <f ca="1">IFERROR(__xludf.DUMMYFUNCTION("""COMPUTED_VALUE"""),"ISL23")</f>
        <v>ISL23</v>
      </c>
      <c r="I292" s="40" t="str">
        <f ca="1">IFERROR(__xludf.DUMMYFUNCTION("""COMPUTED_VALUE"""),"B")</f>
        <v>B</v>
      </c>
      <c r="J292" s="40" t="str">
        <f ca="1">IFERROR(__xludf.DUMMYFUNCTION("""COMPUTED_VALUE"""),"Enrique García Zamora")</f>
        <v>Enrique García Zamora</v>
      </c>
      <c r="K292" s="40"/>
      <c r="L292" s="40" t="str">
        <f t="shared" ca="1" si="2"/>
        <v>ISL23</v>
      </c>
      <c r="M292" s="36" t="str">
        <f t="shared" ca="1" si="3"/>
        <v>ISL</v>
      </c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</row>
    <row r="293" spans="1:27">
      <c r="A293" s="40"/>
      <c r="B293" s="36"/>
      <c r="C293" s="40"/>
      <c r="D293" s="41"/>
      <c r="E293" s="40"/>
      <c r="F293" s="40" t="str">
        <f ca="1">IFERROR(__xludf.DUMMYFUNCTION("""COMPUTED_VALUE"""),"Luis Alberto Rodríguez")</f>
        <v>Luis Alberto Rodríguez</v>
      </c>
      <c r="G293" s="40" t="str">
        <f ca="1">IFERROR(__xludf.DUMMYFUNCTION("""COMPUTED_VALUE"""),"LAA")</f>
        <v>LAA</v>
      </c>
      <c r="H293" s="40" t="str">
        <f ca="1">IFERROR(__xludf.DUMMYFUNCTION("""COMPUTED_VALUE"""),"LAA09")</f>
        <v>LAA09</v>
      </c>
      <c r="I293" s="40" t="str">
        <f ca="1">IFERROR(__xludf.DUMMYFUNCTION("""COMPUTED_VALUE"""),"C")</f>
        <v>C</v>
      </c>
      <c r="J293" s="40" t="str">
        <f ca="1">IFERROR(__xludf.DUMMYFUNCTION("""COMPUTED_VALUE"""),"Enrique Gómez Aldaz")</f>
        <v>Enrique Gómez Aldaz</v>
      </c>
      <c r="K293" s="40"/>
      <c r="L293" s="40" t="str">
        <f t="shared" ca="1" si="2"/>
        <v>LAA09</v>
      </c>
      <c r="M293" s="36" t="str">
        <f t="shared" ca="1" si="3"/>
        <v>LAA</v>
      </c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</row>
    <row r="294" spans="1:27">
      <c r="A294" s="40"/>
      <c r="B294" s="36"/>
      <c r="C294" s="40"/>
      <c r="D294" s="41"/>
      <c r="E294" s="23"/>
      <c r="F294" s="40" t="str">
        <f ca="1">IFERROR(__xludf.DUMMYFUNCTION("""COMPUTED_VALUE"""),"Iván Sánchez")</f>
        <v>Iván Sánchez</v>
      </c>
      <c r="G294" s="40" t="str">
        <f ca="1">IFERROR(__xludf.DUMMYFUNCTION("""COMPUTED_VALUE"""),"ISL")</f>
        <v>ISL</v>
      </c>
      <c r="H294" s="40" t="str">
        <f ca="1">IFERROR(__xludf.DUMMYFUNCTION("""COMPUTED_VALUE"""),"ISL24")</f>
        <v>ISL24</v>
      </c>
      <c r="I294" s="40" t="str">
        <f ca="1">IFERROR(__xludf.DUMMYFUNCTION("""COMPUTED_VALUE"""),"B")</f>
        <v>B</v>
      </c>
      <c r="J294" s="40" t="str">
        <f ca="1">IFERROR(__xludf.DUMMYFUNCTION("""COMPUTED_VALUE"""),"Enrique López Meseguer")</f>
        <v>Enrique López Meseguer</v>
      </c>
      <c r="K294" s="40"/>
      <c r="L294" s="40" t="str">
        <f t="shared" ca="1" si="2"/>
        <v>ISL24</v>
      </c>
      <c r="M294" s="36" t="str">
        <f t="shared" ca="1" si="3"/>
        <v>ISL</v>
      </c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</row>
    <row r="295" spans="1:27">
      <c r="A295" s="40"/>
      <c r="B295" s="36"/>
      <c r="C295" s="40"/>
      <c r="D295" s="41"/>
      <c r="E295" s="40"/>
      <c r="F295" s="40" t="str">
        <f ca="1">IFERROR(__xludf.DUMMYFUNCTION("""COMPUTED_VALUE"""),"Lisandro Russian")</f>
        <v>Lisandro Russian</v>
      </c>
      <c r="G295" s="40" t="str">
        <f ca="1">IFERROR(__xludf.DUMMYFUNCTION("""COMPUTED_VALUE"""),"LRM")</f>
        <v>LRM</v>
      </c>
      <c r="H295" s="40" t="str">
        <f ca="1">IFERROR(__xludf.DUMMYFUNCTION("""COMPUTED_VALUE"""),"LRM30")</f>
        <v>LRM30</v>
      </c>
      <c r="I295" s="40" t="str">
        <f ca="1">IFERROR(__xludf.DUMMYFUNCTION("""COMPUTED_VALUE"""),"A")</f>
        <v>A</v>
      </c>
      <c r="J295" s="40" t="str">
        <f ca="1">IFERROR(__xludf.DUMMYFUNCTION("""COMPUTED_VALUE"""),"Enrique Melcom Díez")</f>
        <v>Enrique Melcom Díez</v>
      </c>
      <c r="K295" s="40"/>
      <c r="L295" s="40" t="str">
        <f t="shared" ca="1" si="2"/>
        <v>LRM30</v>
      </c>
      <c r="M295" s="36" t="str">
        <f t="shared" ca="1" si="3"/>
        <v>LRM</v>
      </c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</row>
    <row r="296" spans="1:27">
      <c r="A296" s="40"/>
      <c r="B296" s="36"/>
      <c r="C296" s="40"/>
      <c r="D296" s="41"/>
      <c r="E296" s="40"/>
      <c r="F296" s="40" t="str">
        <f ca="1">IFERROR(__xludf.DUMMYFUNCTION("""COMPUTED_VALUE"""),"Mercè Cabrera")</f>
        <v>Mercè Cabrera</v>
      </c>
      <c r="G296" s="40" t="str">
        <f ca="1">IFERROR(__xludf.DUMMYFUNCTION("""COMPUTED_VALUE"""),"MCC")</f>
        <v>MCC</v>
      </c>
      <c r="H296" s="40" t="str">
        <f ca="1">IFERROR(__xludf.DUMMYFUNCTION("""COMPUTED_VALUE"""),"MCC09")</f>
        <v>MCC09</v>
      </c>
      <c r="I296" s="40" t="str">
        <f ca="1">IFERROR(__xludf.DUMMYFUNCTION("""COMPUTED_VALUE"""),"A")</f>
        <v>A</v>
      </c>
      <c r="J296" s="40" t="str">
        <f ca="1">IFERROR(__xludf.DUMMYFUNCTION("""COMPUTED_VALUE"""),"Enrique Perelló Scherdel")</f>
        <v>Enrique Perelló Scherdel</v>
      </c>
      <c r="K296" s="40"/>
      <c r="L296" s="40" t="str">
        <f t="shared" ca="1" si="2"/>
        <v>MCC09</v>
      </c>
      <c r="M296" s="36" t="str">
        <f t="shared" ca="1" si="3"/>
        <v>MCC</v>
      </c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</row>
    <row r="297" spans="1:27">
      <c r="A297" s="40"/>
      <c r="B297" s="36"/>
      <c r="C297" s="40"/>
      <c r="D297" s="41"/>
      <c r="E297" s="40"/>
      <c r="F297" s="40" t="str">
        <f ca="1">IFERROR(__xludf.DUMMYFUNCTION("""COMPUTED_VALUE"""),"Mercè Cabrera")</f>
        <v>Mercè Cabrera</v>
      </c>
      <c r="G297" s="40" t="str">
        <f ca="1">IFERROR(__xludf.DUMMYFUNCTION("""COMPUTED_VALUE"""),"MCC")</f>
        <v>MCC</v>
      </c>
      <c r="H297" s="40" t="str">
        <f ca="1">IFERROR(__xludf.DUMMYFUNCTION("""COMPUTED_VALUE"""),"MCC10")</f>
        <v>MCC10</v>
      </c>
      <c r="I297" s="40" t="str">
        <f ca="1">IFERROR(__xludf.DUMMYFUNCTION("""COMPUTED_VALUE"""),"A")</f>
        <v>A</v>
      </c>
      <c r="J297" s="40" t="str">
        <f ca="1">IFERROR(__xludf.DUMMYFUNCTION("""COMPUTED_VALUE"""),"Enrique Romero Van Abeleen")</f>
        <v>Enrique Romero Van Abeleen</v>
      </c>
      <c r="K297" s="40"/>
      <c r="L297" s="40" t="str">
        <f t="shared" ca="1" si="2"/>
        <v>MCC10</v>
      </c>
      <c r="M297" s="36" t="str">
        <f t="shared" ca="1" si="3"/>
        <v>MCC</v>
      </c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</row>
    <row r="298" spans="1:27">
      <c r="A298" s="40"/>
      <c r="B298" s="36"/>
      <c r="C298" s="40"/>
      <c r="D298" s="41"/>
      <c r="E298" s="40"/>
      <c r="F298" s="40" t="str">
        <f ca="1">IFERROR(__xludf.DUMMYFUNCTION("""COMPUTED_VALUE"""),"Luis Alberto Rodríguez")</f>
        <v>Luis Alberto Rodríguez</v>
      </c>
      <c r="G298" s="40" t="str">
        <f ca="1">IFERROR(__xludf.DUMMYFUNCTION("""COMPUTED_VALUE"""),"LAA")</f>
        <v>LAA</v>
      </c>
      <c r="H298" s="40" t="str">
        <f ca="1">IFERROR(__xludf.DUMMYFUNCTION("""COMPUTED_VALUE"""),"LAA61")</f>
        <v>LAA61</v>
      </c>
      <c r="I298" s="40" t="str">
        <f ca="1">IFERROR(__xludf.DUMMYFUNCTION("""COMPUTED_VALUE"""),"C")</f>
        <v>C</v>
      </c>
      <c r="J298" s="40" t="str">
        <f ca="1">IFERROR(__xludf.DUMMYFUNCTION("""COMPUTED_VALUE"""),"Enrique Ruiz Veguilla")</f>
        <v>Enrique Ruiz Veguilla</v>
      </c>
      <c r="K298" s="40"/>
      <c r="L298" s="40" t="str">
        <f t="shared" ca="1" si="2"/>
        <v>LAA61</v>
      </c>
      <c r="M298" s="36" t="str">
        <f t="shared" ca="1" si="3"/>
        <v>LAA</v>
      </c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</row>
    <row r="299" spans="1:27">
      <c r="A299" s="40"/>
      <c r="B299" s="36"/>
      <c r="C299" s="40"/>
      <c r="D299" s="41"/>
      <c r="E299" s="23"/>
      <c r="F299" s="40" t="str">
        <f ca="1">IFERROR(__xludf.DUMMYFUNCTION("""COMPUTED_VALUE"""),"Iván Sánchez")</f>
        <v>Iván Sánchez</v>
      </c>
      <c r="G299" s="40" t="str">
        <f ca="1">IFERROR(__xludf.DUMMYFUNCTION("""COMPUTED_VALUE"""),"ISL")</f>
        <v>ISL</v>
      </c>
      <c r="H299" s="40" t="str">
        <f ca="1">IFERROR(__xludf.DUMMYFUNCTION("""COMPUTED_VALUE"""),"ISL25")</f>
        <v>ISL25</v>
      </c>
      <c r="I299" s="40" t="str">
        <f ca="1">IFERROR(__xludf.DUMMYFUNCTION("""COMPUTED_VALUE"""),"B")</f>
        <v>B</v>
      </c>
      <c r="J299" s="40" t="str">
        <f ca="1">IFERROR(__xludf.DUMMYFUNCTION("""COMPUTED_VALUE"""),"Enrique Viviente Rodríguez")</f>
        <v>Enrique Viviente Rodríguez</v>
      </c>
      <c r="K299" s="40"/>
      <c r="L299" s="40" t="str">
        <f t="shared" ca="1" si="2"/>
        <v>ISL25</v>
      </c>
      <c r="M299" s="36" t="str">
        <f t="shared" ca="1" si="3"/>
        <v>ISL</v>
      </c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</row>
    <row r="300" spans="1:27">
      <c r="A300" s="40"/>
      <c r="B300" s="36"/>
      <c r="C300" s="40"/>
      <c r="D300" s="41"/>
      <c r="E300" s="40"/>
      <c r="F300" s="40" t="str">
        <f ca="1">IFERROR(__xludf.DUMMYFUNCTION("""COMPUTED_VALUE"""),"Lisandro Russian")</f>
        <v>Lisandro Russian</v>
      </c>
      <c r="G300" s="40" t="str">
        <f ca="1">IFERROR(__xludf.DUMMYFUNCTION("""COMPUTED_VALUE"""),"LRM")</f>
        <v>LRM</v>
      </c>
      <c r="H300" s="40" t="str">
        <f ca="1">IFERROR(__xludf.DUMMYFUNCTION("""COMPUTED_VALUE"""),"LRM31")</f>
        <v>LRM31</v>
      </c>
      <c r="I300" s="40" t="str">
        <f ca="1">IFERROR(__xludf.DUMMYFUNCTION("""COMPUTED_VALUE"""),"A")</f>
        <v>A</v>
      </c>
      <c r="J300" s="40" t="str">
        <f ca="1">IFERROR(__xludf.DUMMYFUNCTION("""COMPUTED_VALUE"""),"Ernesto Sánchez Llanos")</f>
        <v>Ernesto Sánchez Llanos</v>
      </c>
      <c r="K300" s="40"/>
      <c r="L300" s="40" t="str">
        <f t="shared" ca="1" si="2"/>
        <v>LRM31</v>
      </c>
      <c r="M300" s="36" t="str">
        <f t="shared" ca="1" si="3"/>
        <v>LRM</v>
      </c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</row>
    <row r="301" spans="1:27">
      <c r="A301" s="40"/>
      <c r="B301" s="36"/>
      <c r="C301" s="40"/>
      <c r="D301" s="41"/>
      <c r="E301" s="40"/>
      <c r="F301" s="40" t="str">
        <f ca="1">IFERROR(__xludf.DUMMYFUNCTION("""COMPUTED_VALUE"""),"Roberto Pereira")</f>
        <v>Roberto Pereira</v>
      </c>
      <c r="G301" s="40" t="str">
        <f ca="1">IFERROR(__xludf.DUMMYFUNCTION("""COMPUTED_VALUE"""),"RPG")</f>
        <v>RPG</v>
      </c>
      <c r="H301" s="40" t="str">
        <f ca="1">IFERROR(__xludf.DUMMYFUNCTION("""COMPUTED_VALUE"""),"RPG12")</f>
        <v>RPG12</v>
      </c>
      <c r="I301" s="40" t="str">
        <f ca="1">IFERROR(__xludf.DUMMYFUNCTION("""COMPUTED_VALUE"""),"A")</f>
        <v>A</v>
      </c>
      <c r="J301" s="40" t="str">
        <f ca="1">IFERROR(__xludf.DUMMYFUNCTION("""COMPUTED_VALUE"""),"Ernesto Varela Martínez")</f>
        <v>Ernesto Varela Martínez</v>
      </c>
      <c r="K301" s="40"/>
      <c r="L301" s="40" t="str">
        <f t="shared" ca="1" si="2"/>
        <v>RPG12</v>
      </c>
      <c r="M301" s="36" t="str">
        <f t="shared" ca="1" si="3"/>
        <v>RPG</v>
      </c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</row>
    <row r="302" spans="1:27">
      <c r="A302" s="40"/>
      <c r="B302" s="36"/>
      <c r="C302" s="40"/>
      <c r="D302" s="41"/>
      <c r="E302" s="40"/>
      <c r="F302" s="40" t="str">
        <f ca="1">IFERROR(__xludf.DUMMYFUNCTION("""COMPUTED_VALUE"""),"Maika Blázquez")</f>
        <v>Maika Blázquez</v>
      </c>
      <c r="G302" s="40" t="str">
        <f ca="1">IFERROR(__xludf.DUMMYFUNCTION("""COMPUTED_VALUE"""),"MBM")</f>
        <v>MBM</v>
      </c>
      <c r="H302" s="40" t="str">
        <f ca="1">IFERROR(__xludf.DUMMYFUNCTION("""COMPUTED_VALUE"""),"MBM18")</f>
        <v>MBM18</v>
      </c>
      <c r="I302" s="40" t="str">
        <f ca="1">IFERROR(__xludf.DUMMYFUNCTION("""COMPUTED_VALUE"""),"A")</f>
        <v>A</v>
      </c>
      <c r="J302" s="40" t="str">
        <f ca="1">IFERROR(__xludf.DUMMYFUNCTION("""COMPUTED_VALUE"""),"Esteban Scola Pliego")</f>
        <v>Esteban Scola Pliego</v>
      </c>
      <c r="K302" s="40"/>
      <c r="L302" s="40" t="str">
        <f t="shared" ca="1" si="2"/>
        <v>MBM18</v>
      </c>
      <c r="M302" s="36" t="str">
        <f t="shared" ca="1" si="3"/>
        <v>MBM</v>
      </c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</row>
    <row r="303" spans="1:27">
      <c r="A303" s="40"/>
      <c r="B303" s="36"/>
      <c r="C303" s="40"/>
      <c r="D303" s="41"/>
      <c r="E303" s="40"/>
      <c r="F303" s="40" t="str">
        <f ca="1">IFERROR(__xludf.DUMMYFUNCTION("""COMPUTED_VALUE"""),"Luis Alberto Rodríguez")</f>
        <v>Luis Alberto Rodríguez</v>
      </c>
      <c r="G303" s="40" t="str">
        <f ca="1">IFERROR(__xludf.DUMMYFUNCTION("""COMPUTED_VALUE"""),"LAA")</f>
        <v>LAA</v>
      </c>
      <c r="H303" s="40" t="str">
        <f ca="1">IFERROR(__xludf.DUMMYFUNCTION("""COMPUTED_VALUE"""),"LAA47")</f>
        <v>LAA47</v>
      </c>
      <c r="I303" s="40" t="str">
        <f ca="1">IFERROR(__xludf.DUMMYFUNCTION("""COMPUTED_VALUE"""),"C")</f>
        <v>C</v>
      </c>
      <c r="J303" s="40" t="str">
        <f ca="1">IFERROR(__xludf.DUMMYFUNCTION("""COMPUTED_VALUE"""),"Estefanía Berrocal Postigo")</f>
        <v>Estefanía Berrocal Postigo</v>
      </c>
      <c r="K303" s="40"/>
      <c r="L303" s="40" t="str">
        <f t="shared" ca="1" si="2"/>
        <v>LAA47</v>
      </c>
      <c r="M303" s="36" t="str">
        <f t="shared" ca="1" si="3"/>
        <v>LAA</v>
      </c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</row>
    <row r="304" spans="1:27">
      <c r="A304" s="40"/>
      <c r="B304" s="36"/>
      <c r="C304" s="40"/>
      <c r="D304" s="41"/>
      <c r="E304" s="40"/>
      <c r="F304" s="40" t="str">
        <f ca="1">IFERROR(__xludf.DUMMYFUNCTION("""COMPUTED_VALUE"""),"Luis Alberto Rodríguez")</f>
        <v>Luis Alberto Rodríguez</v>
      </c>
      <c r="G304" s="40" t="str">
        <f ca="1">IFERROR(__xludf.DUMMYFUNCTION("""COMPUTED_VALUE"""),"LAA")</f>
        <v>LAA</v>
      </c>
      <c r="H304" s="40" t="str">
        <f ca="1">IFERROR(__xludf.DUMMYFUNCTION("""COMPUTED_VALUE"""),"LAA48")</f>
        <v>LAA48</v>
      </c>
      <c r="I304" s="40" t="str">
        <f ca="1">IFERROR(__xludf.DUMMYFUNCTION("""COMPUTED_VALUE"""),"C")</f>
        <v>C</v>
      </c>
      <c r="J304" s="40" t="str">
        <f ca="1">IFERROR(__xludf.DUMMYFUNCTION("""COMPUTED_VALUE"""),"Estefanía Lozano Reina")</f>
        <v>Estefanía Lozano Reina</v>
      </c>
      <c r="K304" s="40"/>
      <c r="L304" s="40" t="str">
        <f t="shared" ca="1" si="2"/>
        <v>LAA48</v>
      </c>
      <c r="M304" s="36" t="str">
        <f t="shared" ca="1" si="3"/>
        <v>LAA</v>
      </c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</row>
    <row r="305" spans="1:27">
      <c r="A305" s="40"/>
      <c r="B305" s="36"/>
      <c r="C305" s="40"/>
      <c r="D305" s="41"/>
      <c r="E305" s="40"/>
      <c r="F305" s="40" t="str">
        <f ca="1">IFERROR(__xludf.DUMMYFUNCTION("""COMPUTED_VALUE"""),"Maika Blázquez")</f>
        <v>Maika Blázquez</v>
      </c>
      <c r="G305" s="40" t="str">
        <f ca="1">IFERROR(__xludf.DUMMYFUNCTION("""COMPUTED_VALUE"""),"MBM")</f>
        <v>MBM</v>
      </c>
      <c r="H305" s="40" t="str">
        <f ca="1">IFERROR(__xludf.DUMMYFUNCTION("""COMPUTED_VALUE"""),"MBM113")</f>
        <v>MBM113</v>
      </c>
      <c r="I305" s="40" t="str">
        <f ca="1">IFERROR(__xludf.DUMMYFUNCTION("""COMPUTED_VALUE"""),"A")</f>
        <v>A</v>
      </c>
      <c r="J305" s="40" t="str">
        <f ca="1">IFERROR(__xludf.DUMMYFUNCTION("""COMPUTED_VALUE"""),"Estefania Miranda Sánchez")</f>
        <v>Estefania Miranda Sánchez</v>
      </c>
      <c r="K305" s="40"/>
      <c r="L305" s="40" t="str">
        <f t="shared" ca="1" si="2"/>
        <v>MBM113</v>
      </c>
      <c r="M305" s="36" t="str">
        <f t="shared" ca="1" si="3"/>
        <v>MBM</v>
      </c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</row>
    <row r="306" spans="1:27">
      <c r="A306" s="40"/>
      <c r="B306" s="36"/>
      <c r="C306" s="40"/>
      <c r="D306" s="41"/>
      <c r="E306" s="40"/>
      <c r="F306" s="40" t="str">
        <f ca="1">IFERROR(__xludf.DUMMYFUNCTION("""COMPUTED_VALUE"""),"Lisandro Russian")</f>
        <v>Lisandro Russian</v>
      </c>
      <c r="G306" s="40" t="str">
        <f ca="1">IFERROR(__xludf.DUMMYFUNCTION("""COMPUTED_VALUE"""),"LRM")</f>
        <v>LRM</v>
      </c>
      <c r="H306" s="40" t="str">
        <f ca="1">IFERROR(__xludf.DUMMYFUNCTION("""COMPUTED_VALUE"""),"LRM156")</f>
        <v>LRM156</v>
      </c>
      <c r="I306" s="40" t="str">
        <f ca="1">IFERROR(__xludf.DUMMYFUNCTION("""COMPUTED_VALUE"""),"A")</f>
        <v>A</v>
      </c>
      <c r="J306" s="40" t="str">
        <f ca="1">IFERROR(__xludf.DUMMYFUNCTION("""COMPUTED_VALUE"""),"Esther De La O Corrochano")</f>
        <v>Esther De La O Corrochano</v>
      </c>
      <c r="K306" s="40"/>
      <c r="L306" s="40" t="str">
        <f t="shared" ca="1" si="2"/>
        <v>LRM156</v>
      </c>
      <c r="M306" s="36" t="str">
        <f t="shared" ca="1" si="3"/>
        <v>LRM</v>
      </c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</row>
    <row r="307" spans="1:27">
      <c r="A307" s="23"/>
      <c r="B307" s="36"/>
      <c r="C307" s="23"/>
      <c r="D307" s="38"/>
      <c r="E307" s="23"/>
      <c r="F307" s="40" t="str">
        <f ca="1">IFERROR(__xludf.DUMMYFUNCTION("""COMPUTED_VALUE"""),"Maika Blázquez")</f>
        <v>Maika Blázquez</v>
      </c>
      <c r="G307" s="40" t="str">
        <f ca="1">IFERROR(__xludf.DUMMYFUNCTION("""COMPUTED_VALUE"""),"MBM")</f>
        <v>MBM</v>
      </c>
      <c r="H307" s="40" t="str">
        <f ca="1">IFERROR(__xludf.DUMMYFUNCTION("""COMPUTED_VALUE"""),"MBM227")</f>
        <v>MBM227</v>
      </c>
      <c r="I307" s="40" t="str">
        <f ca="1">IFERROR(__xludf.DUMMYFUNCTION("""COMPUTED_VALUE"""),"A")</f>
        <v>A</v>
      </c>
      <c r="J307" s="40" t="str">
        <f ca="1">IFERROR(__xludf.DUMMYFUNCTION("""COMPUTED_VALUE"""),"Esther García González")</f>
        <v>Esther García González</v>
      </c>
      <c r="K307" s="40"/>
      <c r="L307" s="40" t="str">
        <f t="shared" ca="1" si="2"/>
        <v>MBM227</v>
      </c>
      <c r="M307" s="36" t="str">
        <f t="shared" ca="1" si="3"/>
        <v>MBM</v>
      </c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</row>
    <row r="308" spans="1:27">
      <c r="A308" s="40"/>
      <c r="B308" s="36"/>
      <c r="C308" s="40"/>
      <c r="D308" s="41"/>
      <c r="E308" s="40"/>
      <c r="F308" s="40" t="str">
        <f ca="1">IFERROR(__xludf.DUMMYFUNCTION("""COMPUTED_VALUE"""),"Maika Blázquez")</f>
        <v>Maika Blázquez</v>
      </c>
      <c r="G308" s="40" t="str">
        <f ca="1">IFERROR(__xludf.DUMMYFUNCTION("""COMPUTED_VALUE"""),"MBM")</f>
        <v>MBM</v>
      </c>
      <c r="H308" s="40" t="str">
        <f ca="1">IFERROR(__xludf.DUMMYFUNCTION("""COMPUTED_VALUE"""),"MBM114")</f>
        <v>MBM114</v>
      </c>
      <c r="I308" s="40" t="str">
        <f ca="1">IFERROR(__xludf.DUMMYFUNCTION("""COMPUTED_VALUE"""),"A")</f>
        <v>A</v>
      </c>
      <c r="J308" s="40" t="str">
        <f ca="1">IFERROR(__xludf.DUMMYFUNCTION("""COMPUTED_VALUE"""),"Esther García López")</f>
        <v>Esther García López</v>
      </c>
      <c r="K308" s="40"/>
      <c r="L308" s="40" t="str">
        <f t="shared" ca="1" si="2"/>
        <v>MBM114</v>
      </c>
      <c r="M308" s="36" t="str">
        <f t="shared" ca="1" si="3"/>
        <v>MBM</v>
      </c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</row>
    <row r="309" spans="1:27">
      <c r="A309" s="40"/>
      <c r="B309" s="36"/>
      <c r="C309" s="40"/>
      <c r="D309" s="41"/>
      <c r="E309" s="40"/>
      <c r="F309" s="40" t="str">
        <f ca="1">IFERROR(__xludf.DUMMYFUNCTION("""COMPUTED_VALUE"""),"Maika Blázquez")</f>
        <v>Maika Blázquez</v>
      </c>
      <c r="G309" s="40" t="str">
        <f ca="1">IFERROR(__xludf.DUMMYFUNCTION("""COMPUTED_VALUE"""),"MBM")</f>
        <v>MBM</v>
      </c>
      <c r="H309" s="40" t="str">
        <f ca="1">IFERROR(__xludf.DUMMYFUNCTION("""COMPUTED_VALUE"""),"MBM115")</f>
        <v>MBM115</v>
      </c>
      <c r="I309" s="40" t="str">
        <f ca="1">IFERROR(__xludf.DUMMYFUNCTION("""COMPUTED_VALUE"""),"A")</f>
        <v>A</v>
      </c>
      <c r="J309" s="40" t="str">
        <f ca="1">IFERROR(__xludf.DUMMYFUNCTION("""COMPUTED_VALUE"""),"Esther Macon Liquete")</f>
        <v>Esther Macon Liquete</v>
      </c>
      <c r="K309" s="40"/>
      <c r="L309" s="40" t="str">
        <f t="shared" ca="1" si="2"/>
        <v>MBM115</v>
      </c>
      <c r="M309" s="36" t="str">
        <f t="shared" ca="1" si="3"/>
        <v>MBM</v>
      </c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</row>
    <row r="310" spans="1:27">
      <c r="A310" s="40"/>
      <c r="B310" s="36"/>
      <c r="C310" s="40"/>
      <c r="D310" s="41"/>
      <c r="E310" s="23"/>
      <c r="F310" s="40" t="str">
        <f ca="1">IFERROR(__xludf.DUMMYFUNCTION("""COMPUTED_VALUE"""),"Lisandro Russian")</f>
        <v>Lisandro Russian</v>
      </c>
      <c r="G310" s="40" t="str">
        <f ca="1">IFERROR(__xludf.DUMMYFUNCTION("""COMPUTED_VALUE"""),"LRM")</f>
        <v>LRM</v>
      </c>
      <c r="H310" s="40" t="str">
        <f ca="1">IFERROR(__xludf.DUMMYFUNCTION("""COMPUTED_VALUE"""),"LRM157")</f>
        <v>LRM157</v>
      </c>
      <c r="I310" s="40" t="str">
        <f ca="1">IFERROR(__xludf.DUMMYFUNCTION("""COMPUTED_VALUE"""),"A")</f>
        <v>A</v>
      </c>
      <c r="J310" s="40" t="str">
        <f ca="1">IFERROR(__xludf.DUMMYFUNCTION("""COMPUTED_VALUE"""),"Esther Montiel Diez")</f>
        <v>Esther Montiel Diez</v>
      </c>
      <c r="K310" s="40"/>
      <c r="L310" s="40" t="str">
        <f t="shared" ca="1" si="2"/>
        <v>LRM157</v>
      </c>
      <c r="M310" s="36" t="str">
        <f t="shared" ca="1" si="3"/>
        <v>LRM</v>
      </c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</row>
    <row r="311" spans="1:27">
      <c r="A311" s="40"/>
      <c r="B311" s="36"/>
      <c r="C311" s="40"/>
      <c r="D311" s="41"/>
      <c r="E311" s="40"/>
      <c r="F311" s="40" t="str">
        <f ca="1">IFERROR(__xludf.DUMMYFUNCTION("""COMPUTED_VALUE"""),"Lisandro Russian")</f>
        <v>Lisandro Russian</v>
      </c>
      <c r="G311" s="40" t="str">
        <f ca="1">IFERROR(__xludf.DUMMYFUNCTION("""COMPUTED_VALUE"""),"LRM")</f>
        <v>LRM</v>
      </c>
      <c r="H311" s="40" t="str">
        <f ca="1">IFERROR(__xludf.DUMMYFUNCTION("""COMPUTED_VALUE"""),"LRM158")</f>
        <v>LRM158</v>
      </c>
      <c r="I311" s="40" t="str">
        <f ca="1">IFERROR(__xludf.DUMMYFUNCTION("""COMPUTED_VALUE"""),"A")</f>
        <v>A</v>
      </c>
      <c r="J311" s="40" t="str">
        <f ca="1">IFERROR(__xludf.DUMMYFUNCTION("""COMPUTED_VALUE"""),"Estrella Gómez Tomé")</f>
        <v>Estrella Gómez Tomé</v>
      </c>
      <c r="K311" s="40"/>
      <c r="L311" s="40" t="str">
        <f t="shared" ca="1" si="2"/>
        <v>LRM158</v>
      </c>
      <c r="M311" s="36" t="str">
        <f t="shared" ca="1" si="3"/>
        <v>LRM</v>
      </c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</row>
    <row r="312" spans="1:27">
      <c r="A312" s="40"/>
      <c r="B312" s="36"/>
      <c r="C312" s="40"/>
      <c r="D312" s="41"/>
      <c r="E312" s="40"/>
      <c r="F312" s="40" t="str">
        <f ca="1">IFERROR(__xludf.DUMMYFUNCTION("""COMPUTED_VALUE"""),"Roberto Pereira")</f>
        <v>Roberto Pereira</v>
      </c>
      <c r="G312" s="40" t="str">
        <f ca="1">IFERROR(__xludf.DUMMYFUNCTION("""COMPUTED_VALUE"""),"RPG")</f>
        <v>RPG</v>
      </c>
      <c r="H312" s="40" t="str">
        <f ca="1">IFERROR(__xludf.DUMMYFUNCTION("""COMPUTED_VALUE"""),"RPG45")</f>
        <v>RPG45</v>
      </c>
      <c r="I312" s="40" t="str">
        <f ca="1">IFERROR(__xludf.DUMMYFUNCTION("""COMPUTED_VALUE"""),"A")</f>
        <v>A</v>
      </c>
      <c r="J312" s="40" t="str">
        <f ca="1">IFERROR(__xludf.DUMMYFUNCTION("""COMPUTED_VALUE"""),"Estrella Pallas Pallas")</f>
        <v>Estrella Pallas Pallas</v>
      </c>
      <c r="K312" s="40"/>
      <c r="L312" s="40" t="str">
        <f t="shared" ca="1" si="2"/>
        <v>RPG45</v>
      </c>
      <c r="M312" s="36" t="str">
        <f t="shared" ca="1" si="3"/>
        <v>RPG</v>
      </c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</row>
    <row r="313" spans="1:27">
      <c r="A313" s="40"/>
      <c r="B313" s="36"/>
      <c r="C313" s="40"/>
      <c r="D313" s="41"/>
      <c r="E313" s="40"/>
      <c r="F313" s="40" t="str">
        <f ca="1">IFERROR(__xludf.DUMMYFUNCTION("""COMPUTED_VALUE"""),"Lisandro Russian")</f>
        <v>Lisandro Russian</v>
      </c>
      <c r="G313" s="40" t="str">
        <f ca="1">IFERROR(__xludf.DUMMYFUNCTION("""COMPUTED_VALUE"""),"LRM")</f>
        <v>LRM</v>
      </c>
      <c r="H313" s="40" t="str">
        <f ca="1">IFERROR(__xludf.DUMMYFUNCTION("""COMPUTED_VALUE"""),"LRM32")</f>
        <v>LRM32</v>
      </c>
      <c r="I313" s="40" t="str">
        <f ca="1">IFERROR(__xludf.DUMMYFUNCTION("""COMPUTED_VALUE"""),"A")</f>
        <v>A</v>
      </c>
      <c r="J313" s="40" t="str">
        <f ca="1">IFERROR(__xludf.DUMMYFUNCTION("""COMPUTED_VALUE"""),"Eugenio Andrés Vicente González")</f>
        <v>Eugenio Andrés Vicente González</v>
      </c>
      <c r="K313" s="40"/>
      <c r="L313" s="40" t="str">
        <f t="shared" ca="1" si="2"/>
        <v>LRM32</v>
      </c>
      <c r="M313" s="36" t="str">
        <f t="shared" ca="1" si="3"/>
        <v>LRM</v>
      </c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</row>
    <row r="314" spans="1:27">
      <c r="A314" s="40"/>
      <c r="B314" s="36"/>
      <c r="C314" s="23"/>
      <c r="D314" s="41"/>
      <c r="E314" s="40"/>
      <c r="F314" s="40" t="str">
        <f ca="1">IFERROR(__xludf.DUMMYFUNCTION("""COMPUTED_VALUE"""),"Maika Blázquez")</f>
        <v>Maika Blázquez</v>
      </c>
      <c r="G314" s="40" t="str">
        <f ca="1">IFERROR(__xludf.DUMMYFUNCTION("""COMPUTED_VALUE"""),"MBM")</f>
        <v>MBM</v>
      </c>
      <c r="H314" s="40" t="str">
        <f ca="1">IFERROR(__xludf.DUMMYFUNCTION("""COMPUTED_VALUE"""),"MBM19")</f>
        <v>MBM19</v>
      </c>
      <c r="I314" s="40" t="str">
        <f ca="1">IFERROR(__xludf.DUMMYFUNCTION("""COMPUTED_VALUE"""),"A")</f>
        <v>A</v>
      </c>
      <c r="J314" s="40" t="str">
        <f ca="1">IFERROR(__xludf.DUMMYFUNCTION("""COMPUTED_VALUE"""),"Eusebio Bullido Gómez-Heras")</f>
        <v>Eusebio Bullido Gómez-Heras</v>
      </c>
      <c r="K314" s="40"/>
      <c r="L314" s="40" t="str">
        <f t="shared" ca="1" si="2"/>
        <v>MBM19</v>
      </c>
      <c r="M314" s="36" t="str">
        <f t="shared" ca="1" si="3"/>
        <v>MBM</v>
      </c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</row>
    <row r="315" spans="1:27">
      <c r="A315" s="40"/>
      <c r="B315" s="36"/>
      <c r="C315" s="40"/>
      <c r="D315" s="41"/>
      <c r="E315" s="40"/>
      <c r="F315" s="40" t="str">
        <f ca="1">IFERROR(__xludf.DUMMYFUNCTION("""COMPUTED_VALUE"""),"Lisandro Russian")</f>
        <v>Lisandro Russian</v>
      </c>
      <c r="G315" s="40" t="str">
        <f ca="1">IFERROR(__xludf.DUMMYFUNCTION("""COMPUTED_VALUE"""),"LRM")</f>
        <v>LRM</v>
      </c>
      <c r="H315" s="40" t="str">
        <f ca="1">IFERROR(__xludf.DUMMYFUNCTION("""COMPUTED_VALUE"""),"LRM159")</f>
        <v>LRM159</v>
      </c>
      <c r="I315" s="40" t="str">
        <f ca="1">IFERROR(__xludf.DUMMYFUNCTION("""COMPUTED_VALUE"""),"A")</f>
        <v>A</v>
      </c>
      <c r="J315" s="40" t="str">
        <f ca="1">IFERROR(__xludf.DUMMYFUNCTION("""COMPUTED_VALUE"""),"Eva María Llorente Arenas")</f>
        <v>Eva María Llorente Arenas</v>
      </c>
      <c r="K315" s="40"/>
      <c r="L315" s="40" t="str">
        <f t="shared" ca="1" si="2"/>
        <v>LRM159</v>
      </c>
      <c r="M315" s="36" t="str">
        <f t="shared" ca="1" si="3"/>
        <v>LRM</v>
      </c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</row>
    <row r="316" spans="1:27">
      <c r="A316" s="40"/>
      <c r="B316" s="36"/>
      <c r="C316" s="40"/>
      <c r="D316" s="41"/>
      <c r="E316" s="40"/>
      <c r="F316" s="40" t="str">
        <f ca="1">IFERROR(__xludf.DUMMYFUNCTION("""COMPUTED_VALUE"""),"Iván Sánchez")</f>
        <v>Iván Sánchez</v>
      </c>
      <c r="G316" s="40" t="str">
        <f ca="1">IFERROR(__xludf.DUMMYFUNCTION("""COMPUTED_VALUE"""),"ISL")</f>
        <v>ISL</v>
      </c>
      <c r="H316" s="40" t="str">
        <f ca="1">IFERROR(__xludf.DUMMYFUNCTION("""COMPUTED_VALUE"""),"ISL26")</f>
        <v>ISL26</v>
      </c>
      <c r="I316" s="40" t="str">
        <f ca="1">IFERROR(__xludf.DUMMYFUNCTION("""COMPUTED_VALUE"""),"B")</f>
        <v>B</v>
      </c>
      <c r="J316" s="40" t="str">
        <f ca="1">IFERROR(__xludf.DUMMYFUNCTION("""COMPUTED_VALUE"""),"Evaristo Perelló Senent")</f>
        <v>Evaristo Perelló Senent</v>
      </c>
      <c r="K316" s="23"/>
      <c r="L316" s="40" t="str">
        <f t="shared" ca="1" si="2"/>
        <v>ISL26</v>
      </c>
      <c r="M316" s="36" t="str">
        <f t="shared" ca="1" si="3"/>
        <v>ISL</v>
      </c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</row>
    <row r="317" spans="1:27">
      <c r="A317" s="40"/>
      <c r="B317" s="36"/>
      <c r="C317" s="40"/>
      <c r="D317" s="41"/>
      <c r="E317" s="40"/>
      <c r="F317" s="40" t="str">
        <f ca="1">IFERROR(__xludf.DUMMYFUNCTION("""COMPUTED_VALUE"""),"Mercè Cabrera")</f>
        <v>Mercè Cabrera</v>
      </c>
      <c r="G317" s="40" t="str">
        <f ca="1">IFERROR(__xludf.DUMMYFUNCTION("""COMPUTED_VALUE"""),"MCC")</f>
        <v>MCC</v>
      </c>
      <c r="H317" s="40" t="str">
        <f ca="1">IFERROR(__xludf.DUMMYFUNCTION("""COMPUTED_VALUE"""),"MCC11")</f>
        <v>MCC11</v>
      </c>
      <c r="I317" s="40" t="str">
        <f ca="1">IFERROR(__xludf.DUMMYFUNCTION("""COMPUTED_VALUE"""),"A")</f>
        <v>A</v>
      </c>
      <c r="J317" s="40" t="str">
        <f ca="1">IFERROR(__xludf.DUMMYFUNCTION("""COMPUTED_VALUE"""),"Evians Gómez De La Rosa")</f>
        <v>Evians Gómez De La Rosa</v>
      </c>
      <c r="K317" s="40"/>
      <c r="L317" s="40" t="str">
        <f t="shared" ca="1" si="2"/>
        <v>MCC11</v>
      </c>
      <c r="M317" s="36" t="str">
        <f t="shared" ca="1" si="3"/>
        <v>MCC</v>
      </c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</row>
    <row r="318" spans="1:27">
      <c r="A318" s="40"/>
      <c r="B318" s="36"/>
      <c r="C318" s="40"/>
      <c r="D318" s="41"/>
      <c r="E318" s="40"/>
      <c r="F318" s="40" t="str">
        <f ca="1">IFERROR(__xludf.DUMMYFUNCTION("""COMPUTED_VALUE"""),"Maika Blázquez")</f>
        <v>Maika Blázquez</v>
      </c>
      <c r="G318" s="40" t="str">
        <f ca="1">IFERROR(__xludf.DUMMYFUNCTION("""COMPUTED_VALUE"""),"MBM")</f>
        <v>MBM</v>
      </c>
      <c r="H318" s="40" t="str">
        <f ca="1">IFERROR(__xludf.DUMMYFUNCTION("""COMPUTED_VALUE"""),"MBM20")</f>
        <v>MBM20</v>
      </c>
      <c r="I318" s="40" t="str">
        <f ca="1">IFERROR(__xludf.DUMMYFUNCTION("""COMPUTED_VALUE"""),"A")</f>
        <v>A</v>
      </c>
      <c r="J318" s="40" t="str">
        <f ca="1">IFERROR(__xludf.DUMMYFUNCTION("""COMPUTED_VALUE"""),"Eviatar Friedlander")</f>
        <v>Eviatar Friedlander</v>
      </c>
      <c r="K318" s="40"/>
      <c r="L318" s="40" t="str">
        <f t="shared" ca="1" si="2"/>
        <v>MBM20</v>
      </c>
      <c r="M318" s="36" t="str">
        <f t="shared" ca="1" si="3"/>
        <v>MBM</v>
      </c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</row>
    <row r="319" spans="1:27">
      <c r="A319" s="40"/>
      <c r="B319" s="36"/>
      <c r="C319" s="40"/>
      <c r="D319" s="41"/>
      <c r="E319" s="40"/>
      <c r="F319" s="40" t="str">
        <f ca="1">IFERROR(__xludf.DUMMYFUNCTION("""COMPUTED_VALUE"""),"Maika Blázquez")</f>
        <v>Maika Blázquez</v>
      </c>
      <c r="G319" s="40" t="str">
        <f ca="1">IFERROR(__xludf.DUMMYFUNCTION("""COMPUTED_VALUE"""),"MBM")</f>
        <v>MBM</v>
      </c>
      <c r="H319" s="40" t="str">
        <f ca="1">IFERROR(__xludf.DUMMYFUNCTION("""COMPUTED_VALUE"""),"MBM225")</f>
        <v>MBM225</v>
      </c>
      <c r="I319" s="40" t="str">
        <f ca="1">IFERROR(__xludf.DUMMYFUNCTION("""COMPUTED_VALUE"""),"A")</f>
        <v>A</v>
      </c>
      <c r="J319" s="40" t="str">
        <f ca="1">IFERROR(__xludf.DUMMYFUNCTION("""COMPUTED_VALUE"""),"Fabio Fernández Mateos")</f>
        <v>Fabio Fernández Mateos</v>
      </c>
      <c r="K319" s="40"/>
      <c r="L319" s="40" t="str">
        <f t="shared" ca="1" si="2"/>
        <v>MBM225</v>
      </c>
      <c r="M319" s="36" t="str">
        <f t="shared" ca="1" si="3"/>
        <v>MBM</v>
      </c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</row>
    <row r="320" spans="1:27">
      <c r="A320" s="40"/>
      <c r="B320" s="36"/>
      <c r="C320" s="40"/>
      <c r="D320" s="41"/>
      <c r="E320" s="40"/>
      <c r="F320" s="40" t="str">
        <f ca="1">IFERROR(__xludf.DUMMYFUNCTION("""COMPUTED_VALUE"""),"Maika Blázquez")</f>
        <v>Maika Blázquez</v>
      </c>
      <c r="G320" s="40" t="str">
        <f ca="1">IFERROR(__xludf.DUMMYFUNCTION("""COMPUTED_VALUE"""),"MBM")</f>
        <v>MBM</v>
      </c>
      <c r="H320" s="40" t="str">
        <f ca="1">IFERROR(__xludf.DUMMYFUNCTION("""COMPUTED_VALUE"""),"MBM116")</f>
        <v>MBM116</v>
      </c>
      <c r="I320" s="40" t="str">
        <f ca="1">IFERROR(__xludf.DUMMYFUNCTION("""COMPUTED_VALUE"""),"A")</f>
        <v>A</v>
      </c>
      <c r="J320" s="40" t="str">
        <f ca="1">IFERROR(__xludf.DUMMYFUNCTION("""COMPUTED_VALUE"""),"Fátima Sánchez Viudo")</f>
        <v>Fátima Sánchez Viudo</v>
      </c>
      <c r="K320" s="40"/>
      <c r="L320" s="40" t="str">
        <f t="shared" ca="1" si="2"/>
        <v>MBM116</v>
      </c>
      <c r="M320" s="36" t="str">
        <f t="shared" ca="1" si="3"/>
        <v>MBM</v>
      </c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</row>
    <row r="321" spans="1:27">
      <c r="A321" s="40"/>
      <c r="B321" s="36"/>
      <c r="C321" s="40"/>
      <c r="D321" s="41"/>
      <c r="E321" s="40"/>
      <c r="F321" s="40" t="str">
        <f ca="1">IFERROR(__xludf.DUMMYFUNCTION("""COMPUTED_VALUE"""),"Ramon Ferrando")</f>
        <v>Ramon Ferrando</v>
      </c>
      <c r="G321" s="40" t="str">
        <f ca="1">IFERROR(__xludf.DUMMYFUNCTION("""COMPUTED_VALUE"""),"RFV")</f>
        <v>RFV</v>
      </c>
      <c r="H321" s="40" t="str">
        <f ca="1">IFERROR(__xludf.DUMMYFUNCTION("""COMPUTED_VALUE"""),"RFV29")</f>
        <v>RFV29</v>
      </c>
      <c r="I321" s="40" t="str">
        <f ca="1">IFERROR(__xludf.DUMMYFUNCTION("""COMPUTED_VALUE"""),"B")</f>
        <v>B</v>
      </c>
      <c r="J321" s="40" t="str">
        <f ca="1">IFERROR(__xludf.DUMMYFUNCTION("""COMPUTED_VALUE"""),"Fe Rubio Escolano")</f>
        <v>Fe Rubio Escolano</v>
      </c>
      <c r="K321" s="40"/>
      <c r="L321" s="40" t="str">
        <f t="shared" ca="1" si="2"/>
        <v>RFV29</v>
      </c>
      <c r="M321" s="36" t="str">
        <f t="shared" ca="1" si="3"/>
        <v>RFV</v>
      </c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</row>
    <row r="322" spans="1:27">
      <c r="A322" s="40"/>
      <c r="B322" s="36"/>
      <c r="C322" s="40"/>
      <c r="D322" s="41"/>
      <c r="E322" s="40"/>
      <c r="F322" s="40" t="str">
        <f ca="1">IFERROR(__xludf.DUMMYFUNCTION("""COMPUTED_VALUE"""),"Alberto Moreno")</f>
        <v>Alberto Moreno</v>
      </c>
      <c r="G322" s="40" t="str">
        <f ca="1">IFERROR(__xludf.DUMMYFUNCTION("""COMPUTED_VALUE"""),"AMM")</f>
        <v>AMM</v>
      </c>
      <c r="H322" s="40" t="str">
        <f ca="1">IFERROR(__xludf.DUMMYFUNCTION("""COMPUTED_VALUE"""),"AMM03")</f>
        <v>AMM03</v>
      </c>
      <c r="I322" s="40" t="str">
        <f ca="1">IFERROR(__xludf.DUMMYFUNCTION("""COMPUTED_VALUE"""),"A")</f>
        <v>A</v>
      </c>
      <c r="J322" s="40" t="str">
        <f ca="1">IFERROR(__xludf.DUMMYFUNCTION("""COMPUTED_VALUE"""),"Federico Arrutia diez")</f>
        <v>Federico Arrutia diez</v>
      </c>
      <c r="K322" s="40"/>
      <c r="L322" s="40" t="str">
        <f t="shared" ca="1" si="2"/>
        <v>AMM03</v>
      </c>
      <c r="M322" s="36" t="str">
        <f t="shared" ca="1" si="3"/>
        <v>AMM</v>
      </c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</row>
    <row r="323" spans="1:27">
      <c r="A323" s="40"/>
      <c r="B323" s="36"/>
      <c r="C323" s="40"/>
      <c r="D323" s="41"/>
      <c r="E323" s="40"/>
      <c r="F323" s="40" t="str">
        <f ca="1">IFERROR(__xludf.DUMMYFUNCTION("""COMPUTED_VALUE"""),"Iván Sánchez")</f>
        <v>Iván Sánchez</v>
      </c>
      <c r="G323" s="40" t="str">
        <f ca="1">IFERROR(__xludf.DUMMYFUNCTION("""COMPUTED_VALUE"""),"ISL")</f>
        <v>ISL</v>
      </c>
      <c r="H323" s="40" t="str">
        <f ca="1">IFERROR(__xludf.DUMMYFUNCTION("""COMPUTED_VALUE"""),"ISL27")</f>
        <v>ISL27</v>
      </c>
      <c r="I323" s="40" t="str">
        <f ca="1">IFERROR(__xludf.DUMMYFUNCTION("""COMPUTED_VALUE"""),"B")</f>
        <v>B</v>
      </c>
      <c r="J323" s="40" t="str">
        <f ca="1">IFERROR(__xludf.DUMMYFUNCTION("""COMPUTED_VALUE"""),"Federico Mangada Martínez")</f>
        <v>Federico Mangada Martínez</v>
      </c>
      <c r="K323" s="40"/>
      <c r="L323" s="40" t="str">
        <f t="shared" ca="1" si="2"/>
        <v>ISL27</v>
      </c>
      <c r="M323" s="36" t="str">
        <f t="shared" ca="1" si="3"/>
        <v>ISL</v>
      </c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</row>
    <row r="324" spans="1:27">
      <c r="A324" s="40"/>
      <c r="B324" s="36"/>
      <c r="C324" s="40"/>
      <c r="D324" s="41"/>
      <c r="E324" s="40"/>
      <c r="F324" s="40" t="str">
        <f ca="1">IFERROR(__xludf.DUMMYFUNCTION("""COMPUTED_VALUE"""),"Lisandro Russian")</f>
        <v>Lisandro Russian</v>
      </c>
      <c r="G324" s="40" t="str">
        <f ca="1">IFERROR(__xludf.DUMMYFUNCTION("""COMPUTED_VALUE"""),"LRM")</f>
        <v>LRM</v>
      </c>
      <c r="H324" s="40" t="str">
        <f ca="1">IFERROR(__xludf.DUMMYFUNCTION("""COMPUTED_VALUE"""),"LRM34")</f>
        <v>LRM34</v>
      </c>
      <c r="I324" s="40" t="str">
        <f ca="1">IFERROR(__xludf.DUMMYFUNCTION("""COMPUTED_VALUE"""),"A")</f>
        <v>A</v>
      </c>
      <c r="J324" s="40" t="str">
        <f ca="1">IFERROR(__xludf.DUMMYFUNCTION("""COMPUTED_VALUE"""),"Felipe Ahumada Alarcón")</f>
        <v>Felipe Ahumada Alarcón</v>
      </c>
      <c r="K324" s="40"/>
      <c r="L324" s="40" t="str">
        <f t="shared" ca="1" si="2"/>
        <v>LRM34</v>
      </c>
      <c r="M324" s="36" t="str">
        <f t="shared" ca="1" si="3"/>
        <v>LRM</v>
      </c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</row>
    <row r="325" spans="1:27">
      <c r="A325" s="40"/>
      <c r="B325" s="36"/>
      <c r="C325" s="40"/>
      <c r="D325" s="41"/>
      <c r="E325" s="40"/>
      <c r="F325" s="40" t="str">
        <f ca="1">IFERROR(__xludf.DUMMYFUNCTION("""COMPUTED_VALUE"""),"Ramon Ferrando")</f>
        <v>Ramon Ferrando</v>
      </c>
      <c r="G325" s="40" t="str">
        <f ca="1">IFERROR(__xludf.DUMMYFUNCTION("""COMPUTED_VALUE"""),"RFV")</f>
        <v>RFV</v>
      </c>
      <c r="H325" s="40" t="str">
        <f ca="1">IFERROR(__xludf.DUMMYFUNCTION("""COMPUTED_VALUE"""),"RFV12")</f>
        <v>RFV12</v>
      </c>
      <c r="I325" s="40" t="str">
        <f ca="1">IFERROR(__xludf.DUMMYFUNCTION("""COMPUTED_VALUE"""),"B")</f>
        <v>B</v>
      </c>
      <c r="J325" s="40" t="str">
        <f ca="1">IFERROR(__xludf.DUMMYFUNCTION("""COMPUTED_VALUE"""),"Felipe Ferrer Baixaulí")</f>
        <v>Felipe Ferrer Baixaulí</v>
      </c>
      <c r="K325" s="40"/>
      <c r="L325" s="40" t="str">
        <f t="shared" ca="1" si="2"/>
        <v>RFV12</v>
      </c>
      <c r="M325" s="36" t="str">
        <f t="shared" ca="1" si="3"/>
        <v>RFV</v>
      </c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</row>
    <row r="326" spans="1:27">
      <c r="A326" s="40"/>
      <c r="B326" s="36"/>
      <c r="C326" s="40"/>
      <c r="D326" s="41"/>
      <c r="E326" s="40"/>
      <c r="F326" s="40" t="str">
        <f ca="1">IFERROR(__xludf.DUMMYFUNCTION("""COMPUTED_VALUE"""),"Mercè Cabrera")</f>
        <v>Mercè Cabrera</v>
      </c>
      <c r="G326" s="40" t="str">
        <f ca="1">IFERROR(__xludf.DUMMYFUNCTION("""COMPUTED_VALUE"""),"MCC")</f>
        <v>MCC</v>
      </c>
      <c r="H326" s="40" t="str">
        <f ca="1">IFERROR(__xludf.DUMMYFUNCTION("""COMPUTED_VALUE"""),"MCC12")</f>
        <v>MCC12</v>
      </c>
      <c r="I326" s="40" t="str">
        <f ca="1">IFERROR(__xludf.DUMMYFUNCTION("""COMPUTED_VALUE"""),"A")</f>
        <v>A</v>
      </c>
      <c r="J326" s="40" t="str">
        <f ca="1">IFERROR(__xludf.DUMMYFUNCTION("""COMPUTED_VALUE"""),"Felipe López Hernández")</f>
        <v>Felipe López Hernández</v>
      </c>
      <c r="K326" s="40"/>
      <c r="L326" s="40" t="str">
        <f t="shared" ca="1" si="2"/>
        <v>MCC12</v>
      </c>
      <c r="M326" s="36" t="str">
        <f t="shared" ca="1" si="3"/>
        <v>MCC</v>
      </c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</row>
    <row r="327" spans="1:27">
      <c r="A327" s="40"/>
      <c r="B327" s="36"/>
      <c r="C327" s="40"/>
      <c r="D327" s="41"/>
      <c r="E327" s="23"/>
      <c r="F327" s="40" t="str">
        <f ca="1">IFERROR(__xludf.DUMMYFUNCTION("""COMPUTED_VALUE"""),"Lisandro Russian")</f>
        <v>Lisandro Russian</v>
      </c>
      <c r="G327" s="40" t="str">
        <f ca="1">IFERROR(__xludf.DUMMYFUNCTION("""COMPUTED_VALUE"""),"LRM")</f>
        <v>LRM</v>
      </c>
      <c r="H327" s="40" t="str">
        <f ca="1">IFERROR(__xludf.DUMMYFUNCTION("""COMPUTED_VALUE"""),"LRM35")</f>
        <v>LRM35</v>
      </c>
      <c r="I327" s="40" t="str">
        <f ca="1">IFERROR(__xludf.DUMMYFUNCTION("""COMPUTED_VALUE"""),"A")</f>
        <v>A</v>
      </c>
      <c r="J327" s="40" t="str">
        <f ca="1">IFERROR(__xludf.DUMMYFUNCTION("""COMPUTED_VALUE"""),"Félix De Miguel García")</f>
        <v>Félix De Miguel García</v>
      </c>
      <c r="K327" s="40"/>
      <c r="L327" s="40" t="str">
        <f t="shared" ca="1" si="2"/>
        <v>LRM35</v>
      </c>
      <c r="M327" s="36" t="str">
        <f t="shared" ca="1" si="3"/>
        <v>LRM</v>
      </c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</row>
    <row r="328" spans="1:27">
      <c r="A328" s="40"/>
      <c r="B328" s="36"/>
      <c r="C328" s="40"/>
      <c r="D328" s="41"/>
      <c r="E328" s="40"/>
      <c r="F328" s="40" t="str">
        <f ca="1">IFERROR(__xludf.DUMMYFUNCTION("""COMPUTED_VALUE"""),"Patricia Solache")</f>
        <v>Patricia Solache</v>
      </c>
      <c r="G328" s="40" t="str">
        <f ca="1">IFERROR(__xludf.DUMMYFUNCTION("""COMPUTED_VALUE"""),"PSC")</f>
        <v>PSC</v>
      </c>
      <c r="H328" s="40" t="str">
        <f ca="1">IFERROR(__xludf.DUMMYFUNCTION("""COMPUTED_VALUE"""),"PSC07")</f>
        <v>PSC07</v>
      </c>
      <c r="I328" s="40" t="str">
        <f ca="1">IFERROR(__xludf.DUMMYFUNCTION("""COMPUTED_VALUE"""),"A")</f>
        <v>A</v>
      </c>
      <c r="J328" s="23" t="str">
        <f ca="1">IFERROR(__xludf.DUMMYFUNCTION("""COMPUTED_VALUE"""),"Félix García García")</f>
        <v>Félix García García</v>
      </c>
      <c r="K328" s="23"/>
      <c r="L328" s="40" t="str">
        <f t="shared" ca="1" si="2"/>
        <v>PSC07</v>
      </c>
      <c r="M328" s="36" t="str">
        <f t="shared" ca="1" si="3"/>
        <v>PSC</v>
      </c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</row>
    <row r="329" spans="1:27">
      <c r="A329" s="40"/>
      <c r="B329" s="36"/>
      <c r="C329" s="40"/>
      <c r="D329" s="41"/>
      <c r="E329" s="40"/>
      <c r="F329" s="40" t="str">
        <f ca="1">IFERROR(__xludf.DUMMYFUNCTION("""COMPUTED_VALUE"""),"Iván Sánchez")</f>
        <v>Iván Sánchez</v>
      </c>
      <c r="G329" s="40" t="str">
        <f ca="1">IFERROR(__xludf.DUMMYFUNCTION("""COMPUTED_VALUE"""),"ISL")</f>
        <v>ISL</v>
      </c>
      <c r="H329" s="40" t="str">
        <f ca="1">IFERROR(__xludf.DUMMYFUNCTION("""COMPUTED_VALUE"""),"ISL28")</f>
        <v>ISL28</v>
      </c>
      <c r="I329" s="40" t="str">
        <f ca="1">IFERROR(__xludf.DUMMYFUNCTION("""COMPUTED_VALUE"""),"B")</f>
        <v>B</v>
      </c>
      <c r="J329" s="40" t="str">
        <f ca="1">IFERROR(__xludf.DUMMYFUNCTION("""COMPUTED_VALUE"""),"Félix Pascual García Ortega")</f>
        <v>Félix Pascual García Ortega</v>
      </c>
      <c r="K329" s="40"/>
      <c r="L329" s="40" t="str">
        <f t="shared" ca="1" si="2"/>
        <v>ISL28</v>
      </c>
      <c r="M329" s="36" t="str">
        <f t="shared" ca="1" si="3"/>
        <v>ISL</v>
      </c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</row>
    <row r="330" spans="1:27">
      <c r="A330" s="40"/>
      <c r="B330" s="36"/>
      <c r="C330" s="40"/>
      <c r="D330" s="41"/>
      <c r="E330" s="23"/>
      <c r="F330" s="40" t="str">
        <f ca="1">IFERROR(__xludf.DUMMYFUNCTION("""COMPUTED_VALUE"""),"Maika Blázquez")</f>
        <v>Maika Blázquez</v>
      </c>
      <c r="G330" s="40" t="str">
        <f ca="1">IFERROR(__xludf.DUMMYFUNCTION("""COMPUTED_VALUE"""),"MBM")</f>
        <v>MBM</v>
      </c>
      <c r="H330" s="40" t="str">
        <f ca="1">IFERROR(__xludf.DUMMYFUNCTION("""COMPUTED_VALUE"""),"MBM21")</f>
        <v>MBM21</v>
      </c>
      <c r="I330" s="40" t="str">
        <f ca="1">IFERROR(__xludf.DUMMYFUNCTION("""COMPUTED_VALUE"""),"A")</f>
        <v>A</v>
      </c>
      <c r="J330" s="40" t="str">
        <f ca="1">IFERROR(__xludf.DUMMYFUNCTION("""COMPUTED_VALUE"""),"Félix Rodríguez Paz")</f>
        <v>Félix Rodríguez Paz</v>
      </c>
      <c r="K330" s="40"/>
      <c r="L330" s="40" t="str">
        <f t="shared" ca="1" si="2"/>
        <v>MBM21</v>
      </c>
      <c r="M330" s="36" t="str">
        <f t="shared" ca="1" si="3"/>
        <v>MBM</v>
      </c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</row>
    <row r="331" spans="1:27">
      <c r="A331" s="40"/>
      <c r="B331" s="36"/>
      <c r="C331" s="40"/>
      <c r="D331" s="41"/>
      <c r="E331" s="40"/>
      <c r="F331" s="40" t="str">
        <f ca="1">IFERROR(__xludf.DUMMYFUNCTION("""COMPUTED_VALUE"""),"Iván Sánchez")</f>
        <v>Iván Sánchez</v>
      </c>
      <c r="G331" s="40" t="str">
        <f ca="1">IFERROR(__xludf.DUMMYFUNCTION("""COMPUTED_VALUE"""),"ISL")</f>
        <v>ISL</v>
      </c>
      <c r="H331" s="40" t="str">
        <f ca="1">IFERROR(__xludf.DUMMYFUNCTION("""COMPUTED_VALUE"""),"ISL29")</f>
        <v>ISL29</v>
      </c>
      <c r="I331" s="40" t="str">
        <f ca="1">IFERROR(__xludf.DUMMYFUNCTION("""COMPUTED_VALUE"""),"B")</f>
        <v>B</v>
      </c>
      <c r="J331" s="40" t="str">
        <f ca="1">IFERROR(__xludf.DUMMYFUNCTION("""COMPUTED_VALUE"""),"Félix Ruíz De La Cuesta Juste")</f>
        <v>Félix Ruíz De La Cuesta Juste</v>
      </c>
      <c r="K331" s="40"/>
      <c r="L331" s="40" t="str">
        <f t="shared" ca="1" si="2"/>
        <v>ISL29</v>
      </c>
      <c r="M331" s="36" t="str">
        <f t="shared" ca="1" si="3"/>
        <v>ISL</v>
      </c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</row>
    <row r="332" spans="1:27">
      <c r="A332" s="40"/>
      <c r="B332" s="36"/>
      <c r="C332" s="40"/>
      <c r="D332" s="41"/>
      <c r="E332" s="40"/>
      <c r="F332" s="40" t="str">
        <f ca="1">IFERROR(__xludf.DUMMYFUNCTION("""COMPUTED_VALUE"""),"Lisandro Russian")</f>
        <v>Lisandro Russian</v>
      </c>
      <c r="G332" s="40" t="str">
        <f ca="1">IFERROR(__xludf.DUMMYFUNCTION("""COMPUTED_VALUE"""),"LRM")</f>
        <v>LRM</v>
      </c>
      <c r="H332" s="40" t="str">
        <f ca="1">IFERROR(__xludf.DUMMYFUNCTION("""COMPUTED_VALUE"""),"LRM36")</f>
        <v>LRM36</v>
      </c>
      <c r="I332" s="40" t="str">
        <f ca="1">IFERROR(__xludf.DUMMYFUNCTION("""COMPUTED_VALUE"""),"A")</f>
        <v>A</v>
      </c>
      <c r="J332" s="40" t="str">
        <f ca="1">IFERROR(__xludf.DUMMYFUNCTION("""COMPUTED_VALUE"""),"Fernando Aguador Ayneto")</f>
        <v>Fernando Aguador Ayneto</v>
      </c>
      <c r="K332" s="40"/>
      <c r="L332" s="40" t="str">
        <f t="shared" ca="1" si="2"/>
        <v>LRM36</v>
      </c>
      <c r="M332" s="36" t="str">
        <f t="shared" ca="1" si="3"/>
        <v>LRM</v>
      </c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</row>
    <row r="333" spans="1:27">
      <c r="A333" s="40"/>
      <c r="B333" s="36"/>
      <c r="C333" s="40"/>
      <c r="D333" s="41"/>
      <c r="E333" s="40"/>
      <c r="F333" s="40" t="str">
        <f ca="1">IFERROR(__xludf.DUMMYFUNCTION("""COMPUTED_VALUE"""),"Maika Blázquez")</f>
        <v>Maika Blázquez</v>
      </c>
      <c r="G333" s="40" t="str">
        <f ca="1">IFERROR(__xludf.DUMMYFUNCTION("""COMPUTED_VALUE"""),"MBM")</f>
        <v>MBM</v>
      </c>
      <c r="H333" s="40" t="str">
        <f ca="1">IFERROR(__xludf.DUMMYFUNCTION("""COMPUTED_VALUE"""),"MBM22")</f>
        <v>MBM22</v>
      </c>
      <c r="I333" s="40" t="str">
        <f ca="1">IFERROR(__xludf.DUMMYFUNCTION("""COMPUTED_VALUE"""),"A")</f>
        <v>A</v>
      </c>
      <c r="J333" s="40" t="str">
        <f ca="1">IFERROR(__xludf.DUMMYFUNCTION("""COMPUTED_VALUE"""),"Fernando Cristóbal")</f>
        <v>Fernando Cristóbal</v>
      </c>
      <c r="K333" s="40"/>
      <c r="L333" s="40" t="str">
        <f t="shared" ca="1" si="2"/>
        <v>MBM22</v>
      </c>
      <c r="M333" s="36" t="str">
        <f t="shared" ca="1" si="3"/>
        <v>MBM</v>
      </c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</row>
    <row r="334" spans="1:27">
      <c r="A334" s="40"/>
      <c r="B334" s="36"/>
      <c r="C334" s="40"/>
      <c r="D334" s="41"/>
      <c r="E334" s="40"/>
      <c r="F334" s="40" t="str">
        <f ca="1">IFERROR(__xludf.DUMMYFUNCTION("""COMPUTED_VALUE"""),"Maika Blázquez")</f>
        <v>Maika Blázquez</v>
      </c>
      <c r="G334" s="40" t="str">
        <f ca="1">IFERROR(__xludf.DUMMYFUNCTION("""COMPUTED_VALUE"""),"MBM")</f>
        <v>MBM</v>
      </c>
      <c r="H334" s="40" t="str">
        <f ca="1">IFERROR(__xludf.DUMMYFUNCTION("""COMPUTED_VALUE"""),"MBM23")</f>
        <v>MBM23</v>
      </c>
      <c r="I334" s="40" t="str">
        <f ca="1">IFERROR(__xludf.DUMMYFUNCTION("""COMPUTED_VALUE"""),"A")</f>
        <v>A</v>
      </c>
      <c r="J334" s="40" t="str">
        <f ca="1">IFERROR(__xludf.DUMMYFUNCTION("""COMPUTED_VALUE"""),"Fernando De La Cierva Benito")</f>
        <v>Fernando De La Cierva Benito</v>
      </c>
      <c r="K334" s="40"/>
      <c r="L334" s="40" t="str">
        <f t="shared" ca="1" si="2"/>
        <v>MBM23</v>
      </c>
      <c r="M334" s="36" t="str">
        <f t="shared" ca="1" si="3"/>
        <v>MBM</v>
      </c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</row>
    <row r="335" spans="1:27">
      <c r="A335" s="40"/>
      <c r="B335" s="36"/>
      <c r="C335" s="40"/>
      <c r="D335" s="41"/>
      <c r="E335" s="40"/>
      <c r="F335" s="40" t="str">
        <f ca="1">IFERROR(__xludf.DUMMYFUNCTION("""COMPUTED_VALUE"""),"Patricia Solache")</f>
        <v>Patricia Solache</v>
      </c>
      <c r="G335" s="40" t="str">
        <f ca="1">IFERROR(__xludf.DUMMYFUNCTION("""COMPUTED_VALUE"""),"PSC")</f>
        <v>PSC</v>
      </c>
      <c r="H335" s="40" t="str">
        <f ca="1">IFERROR(__xludf.DUMMYFUNCTION("""COMPUTED_VALUE"""),"PSC08")</f>
        <v>PSC08</v>
      </c>
      <c r="I335" s="40" t="str">
        <f ca="1">IFERROR(__xludf.DUMMYFUNCTION("""COMPUTED_VALUE"""),"A")</f>
        <v>A</v>
      </c>
      <c r="J335" s="40" t="str">
        <f ca="1">IFERROR(__xludf.DUMMYFUNCTION("""COMPUTED_VALUE"""),"Fernando Franco Calvo")</f>
        <v>Fernando Franco Calvo</v>
      </c>
      <c r="K335" s="40"/>
      <c r="L335" s="40" t="str">
        <f t="shared" ca="1" si="2"/>
        <v>PSC08</v>
      </c>
      <c r="M335" s="36" t="str">
        <f t="shared" ca="1" si="3"/>
        <v>PSC</v>
      </c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</row>
    <row r="336" spans="1:27">
      <c r="A336" s="40"/>
      <c r="B336" s="36"/>
      <c r="C336" s="40"/>
      <c r="D336" s="41"/>
      <c r="E336" s="40"/>
      <c r="F336" s="40" t="str">
        <f ca="1">IFERROR(__xludf.DUMMYFUNCTION("""COMPUTED_VALUE"""),"Maika Blázquez")</f>
        <v>Maika Blázquez</v>
      </c>
      <c r="G336" s="40" t="str">
        <f ca="1">IFERROR(__xludf.DUMMYFUNCTION("""COMPUTED_VALUE"""),"MBM")</f>
        <v>MBM</v>
      </c>
      <c r="H336" s="40" t="str">
        <f ca="1">IFERROR(__xludf.DUMMYFUNCTION("""COMPUTED_VALUE"""),"MBM24")</f>
        <v>MBM24</v>
      </c>
      <c r="I336" s="40" t="str">
        <f ca="1">IFERROR(__xludf.DUMMYFUNCTION("""COMPUTED_VALUE"""),"A")</f>
        <v>A</v>
      </c>
      <c r="J336" s="40" t="str">
        <f ca="1">IFERROR(__xludf.DUMMYFUNCTION("""COMPUTED_VALUE"""),"Fernando García Alcántara")</f>
        <v>Fernando García Alcántara</v>
      </c>
      <c r="K336" s="40"/>
      <c r="L336" s="40" t="str">
        <f t="shared" ca="1" si="2"/>
        <v>MBM24</v>
      </c>
      <c r="M336" s="36" t="str">
        <f t="shared" ca="1" si="3"/>
        <v>MBM</v>
      </c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</row>
    <row r="337" spans="1:27">
      <c r="A337" s="40"/>
      <c r="B337" s="36"/>
      <c r="C337" s="40"/>
      <c r="D337" s="41"/>
      <c r="E337" s="40"/>
      <c r="F337" s="40" t="str">
        <f ca="1">IFERROR(__xludf.DUMMYFUNCTION("""COMPUTED_VALUE"""),"Lisandro Russian")</f>
        <v>Lisandro Russian</v>
      </c>
      <c r="G337" s="40" t="str">
        <f ca="1">IFERROR(__xludf.DUMMYFUNCTION("""COMPUTED_VALUE"""),"LRM")</f>
        <v>LRM</v>
      </c>
      <c r="H337" s="40" t="str">
        <f ca="1">IFERROR(__xludf.DUMMYFUNCTION("""COMPUTED_VALUE"""),"LRM37")</f>
        <v>LRM37</v>
      </c>
      <c r="I337" s="40" t="str">
        <f ca="1">IFERROR(__xludf.DUMMYFUNCTION("""COMPUTED_VALUE"""),"A")</f>
        <v>A</v>
      </c>
      <c r="J337" s="40" t="str">
        <f ca="1">IFERROR(__xludf.DUMMYFUNCTION("""COMPUTED_VALUE"""),"Fernando Jiménez Gosa")</f>
        <v>Fernando Jiménez Gosa</v>
      </c>
      <c r="K337" s="40"/>
      <c r="L337" s="40" t="str">
        <f t="shared" ca="1" si="2"/>
        <v>LRM37</v>
      </c>
      <c r="M337" s="36" t="str">
        <f t="shared" ca="1" si="3"/>
        <v>LRM</v>
      </c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</row>
    <row r="338" spans="1:27">
      <c r="A338" s="40"/>
      <c r="B338" s="36"/>
      <c r="C338" s="40"/>
      <c r="D338" s="41"/>
      <c r="E338" s="23"/>
      <c r="F338" s="40" t="str">
        <f ca="1">IFERROR(__xludf.DUMMYFUNCTION("""COMPUTED_VALUE"""),"Alberto Moreno")</f>
        <v>Alberto Moreno</v>
      </c>
      <c r="G338" s="40" t="str">
        <f ca="1">IFERROR(__xludf.DUMMYFUNCTION("""COMPUTED_VALUE"""),"AMM")</f>
        <v>AMM</v>
      </c>
      <c r="H338" s="40" t="str">
        <f ca="1">IFERROR(__xludf.DUMMYFUNCTION("""COMPUTED_VALUE"""),"AMM22")</f>
        <v>AMM22</v>
      </c>
      <c r="I338" s="40" t="str">
        <f ca="1">IFERROR(__xludf.DUMMYFUNCTION("""COMPUTED_VALUE"""),"A")</f>
        <v>A</v>
      </c>
      <c r="J338" s="40" t="str">
        <f ca="1">IFERROR(__xludf.DUMMYFUNCTION("""COMPUTED_VALUE"""),"Fernando Martín Peña")</f>
        <v>Fernando Martín Peña</v>
      </c>
      <c r="K338" s="40"/>
      <c r="L338" s="40" t="str">
        <f t="shared" ca="1" si="2"/>
        <v>AMM22</v>
      </c>
      <c r="M338" s="36" t="str">
        <f t="shared" ca="1" si="3"/>
        <v>AMM</v>
      </c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</row>
    <row r="339" spans="1:27">
      <c r="A339" s="40"/>
      <c r="B339" s="36"/>
      <c r="C339" s="40"/>
      <c r="D339" s="41"/>
      <c r="E339" s="40"/>
      <c r="F339" s="40" t="str">
        <f ca="1">IFERROR(__xludf.DUMMYFUNCTION("""COMPUTED_VALUE"""),"Lisandro Russian")</f>
        <v>Lisandro Russian</v>
      </c>
      <c r="G339" s="40" t="str">
        <f ca="1">IFERROR(__xludf.DUMMYFUNCTION("""COMPUTED_VALUE"""),"LRM")</f>
        <v>LRM</v>
      </c>
      <c r="H339" s="40" t="str">
        <f ca="1">IFERROR(__xludf.DUMMYFUNCTION("""COMPUTED_VALUE"""),"LRM38")</f>
        <v>LRM38</v>
      </c>
      <c r="I339" s="40" t="str">
        <f ca="1">IFERROR(__xludf.DUMMYFUNCTION("""COMPUTED_VALUE"""),"A")</f>
        <v>A</v>
      </c>
      <c r="J339" s="40" t="str">
        <f ca="1">IFERROR(__xludf.DUMMYFUNCTION("""COMPUTED_VALUE"""),"Fernando Moliner Peiró")</f>
        <v>Fernando Moliner Peiró</v>
      </c>
      <c r="K339" s="40"/>
      <c r="L339" s="40" t="str">
        <f t="shared" ca="1" si="2"/>
        <v>LRM38</v>
      </c>
      <c r="M339" s="36" t="str">
        <f t="shared" ca="1" si="3"/>
        <v>LRM</v>
      </c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</row>
    <row r="340" spans="1:27">
      <c r="A340" s="40"/>
      <c r="B340" s="36"/>
      <c r="C340" s="40"/>
      <c r="D340" s="41"/>
      <c r="E340" s="40"/>
      <c r="F340" s="40" t="str">
        <f ca="1">IFERROR(__xludf.DUMMYFUNCTION("""COMPUTED_VALUE"""),"Lisandro Russian")</f>
        <v>Lisandro Russian</v>
      </c>
      <c r="G340" s="40" t="str">
        <f ca="1">IFERROR(__xludf.DUMMYFUNCTION("""COMPUTED_VALUE"""),"LRM")</f>
        <v>LRM</v>
      </c>
      <c r="H340" s="40" t="str">
        <f ca="1">IFERROR(__xludf.DUMMYFUNCTION("""COMPUTED_VALUE"""),"LRM39")</f>
        <v>LRM39</v>
      </c>
      <c r="I340" s="40" t="str">
        <f ca="1">IFERROR(__xludf.DUMMYFUNCTION("""COMPUTED_VALUE"""),"A")</f>
        <v>A</v>
      </c>
      <c r="J340" s="40" t="str">
        <f ca="1">IFERROR(__xludf.DUMMYFUNCTION("""COMPUTED_VALUE"""),"Fernando Salazar Barcelona")</f>
        <v>Fernando Salazar Barcelona</v>
      </c>
      <c r="K340" s="40"/>
      <c r="L340" s="40" t="str">
        <f t="shared" ca="1" si="2"/>
        <v>LRM39</v>
      </c>
      <c r="M340" s="36" t="str">
        <f t="shared" ca="1" si="3"/>
        <v>LRM</v>
      </c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</row>
    <row r="341" spans="1:27">
      <c r="A341" s="40"/>
      <c r="B341" s="36"/>
      <c r="C341" s="40"/>
      <c r="D341" s="41"/>
      <c r="E341" s="40"/>
      <c r="F341" s="40" t="str">
        <f ca="1">IFERROR(__xludf.DUMMYFUNCTION("""COMPUTED_VALUE"""),"Lisandro Russian")</f>
        <v>Lisandro Russian</v>
      </c>
      <c r="G341" s="40" t="str">
        <f ca="1">IFERROR(__xludf.DUMMYFUNCTION("""COMPUTED_VALUE"""),"LRM")</f>
        <v>LRM</v>
      </c>
      <c r="H341" s="40" t="str">
        <f ca="1">IFERROR(__xludf.DUMMYFUNCTION("""COMPUTED_VALUE"""),"LRM40")</f>
        <v>LRM40</v>
      </c>
      <c r="I341" s="40" t="str">
        <f ca="1">IFERROR(__xludf.DUMMYFUNCTION("""COMPUTED_VALUE"""),"A")</f>
        <v>A</v>
      </c>
      <c r="J341" s="40" t="str">
        <f ca="1">IFERROR(__xludf.DUMMYFUNCTION("""COMPUTED_VALUE"""),"Fernando Vizmanos Sevilla")</f>
        <v>Fernando Vizmanos Sevilla</v>
      </c>
      <c r="K341" s="40"/>
      <c r="L341" s="40" t="str">
        <f t="shared" ca="1" si="2"/>
        <v>LRM40</v>
      </c>
      <c r="M341" s="36" t="str">
        <f t="shared" ca="1" si="3"/>
        <v>LRM</v>
      </c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</row>
    <row r="342" spans="1:27">
      <c r="A342" s="40"/>
      <c r="B342" s="36"/>
      <c r="C342" s="40"/>
      <c r="D342" s="41"/>
      <c r="E342" s="40"/>
      <c r="F342" s="40" t="str">
        <f ca="1">IFERROR(__xludf.DUMMYFUNCTION("""COMPUTED_VALUE"""),"Mercè Cabrera")</f>
        <v>Mercè Cabrera</v>
      </c>
      <c r="G342" s="40" t="str">
        <f ca="1">IFERROR(__xludf.DUMMYFUNCTION("""COMPUTED_VALUE"""),"MCC")</f>
        <v>MCC</v>
      </c>
      <c r="H342" s="40" t="str">
        <f ca="1">IFERROR(__xludf.DUMMYFUNCTION("""COMPUTED_VALUE"""),"MCC13")</f>
        <v>MCC13</v>
      </c>
      <c r="I342" s="40" t="str">
        <f ca="1">IFERROR(__xludf.DUMMYFUNCTION("""COMPUTED_VALUE"""),"A")</f>
        <v>A</v>
      </c>
      <c r="J342" s="40" t="str">
        <f ca="1">IFERROR(__xludf.DUMMYFUNCTION("""COMPUTED_VALUE"""),"Ferran Ballesteros Alonso")</f>
        <v>Ferran Ballesteros Alonso</v>
      </c>
      <c r="K342" s="40"/>
      <c r="L342" s="40" t="str">
        <f t="shared" ca="1" si="2"/>
        <v>MCC13</v>
      </c>
      <c r="M342" s="36" t="str">
        <f t="shared" ca="1" si="3"/>
        <v>MCC</v>
      </c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</row>
    <row r="343" spans="1:27">
      <c r="A343" s="40"/>
      <c r="B343" s="36"/>
      <c r="C343" s="40"/>
      <c r="D343" s="41"/>
      <c r="E343" s="23"/>
      <c r="F343" s="40" t="str">
        <f ca="1">IFERROR(__xludf.DUMMYFUNCTION("""COMPUTED_VALUE"""),"Iván Sánchez")</f>
        <v>Iván Sánchez</v>
      </c>
      <c r="G343" s="40" t="str">
        <f ca="1">IFERROR(__xludf.DUMMYFUNCTION("""COMPUTED_VALUE"""),"ISL")</f>
        <v>ISL</v>
      </c>
      <c r="H343" s="40" t="str">
        <f ca="1">IFERROR(__xludf.DUMMYFUNCTION("""COMPUTED_VALUE"""),"ISL30")</f>
        <v>ISL30</v>
      </c>
      <c r="I343" s="40" t="str">
        <f ca="1">IFERROR(__xludf.DUMMYFUNCTION("""COMPUTED_VALUE"""),"B")</f>
        <v>B</v>
      </c>
      <c r="J343" s="40" t="str">
        <f ca="1">IFERROR(__xludf.DUMMYFUNCTION("""COMPUTED_VALUE"""),"Fiorella Marcino Moreira")</f>
        <v>Fiorella Marcino Moreira</v>
      </c>
      <c r="K343" s="40"/>
      <c r="L343" s="40" t="str">
        <f t="shared" ca="1" si="2"/>
        <v>ISL30</v>
      </c>
      <c r="M343" s="36" t="str">
        <f t="shared" ca="1" si="3"/>
        <v>ISL</v>
      </c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</row>
    <row r="344" spans="1:27">
      <c r="A344" s="40"/>
      <c r="B344" s="36"/>
      <c r="C344" s="40"/>
      <c r="D344" s="41"/>
      <c r="E344" s="40"/>
      <c r="F344" s="40" t="str">
        <f ca="1">IFERROR(__xludf.DUMMYFUNCTION("""COMPUTED_VALUE"""),"Mercè Cabrera")</f>
        <v>Mercè Cabrera</v>
      </c>
      <c r="G344" s="40" t="str">
        <f ca="1">IFERROR(__xludf.DUMMYFUNCTION("""COMPUTED_VALUE"""),"MCC")</f>
        <v>MCC</v>
      </c>
      <c r="H344" s="40" t="str">
        <f ca="1">IFERROR(__xludf.DUMMYFUNCTION("""COMPUTED_VALUE"""),"MCC14")</f>
        <v>MCC14</v>
      </c>
      <c r="I344" s="40" t="str">
        <f ca="1">IFERROR(__xludf.DUMMYFUNCTION("""COMPUTED_VALUE"""),"A")</f>
        <v>A</v>
      </c>
      <c r="J344" s="40" t="str">
        <f ca="1">IFERROR(__xludf.DUMMYFUNCTION("""COMPUTED_VALUE"""),"Francesc Larrosa Díaz")</f>
        <v>Francesc Larrosa Díaz</v>
      </c>
      <c r="K344" s="40"/>
      <c r="L344" s="40" t="str">
        <f t="shared" ca="1" si="2"/>
        <v>MCC14</v>
      </c>
      <c r="M344" s="36" t="str">
        <f t="shared" ca="1" si="3"/>
        <v>MCC</v>
      </c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</row>
    <row r="345" spans="1:27">
      <c r="A345" s="40"/>
      <c r="B345" s="36"/>
      <c r="C345" s="40"/>
      <c r="D345" s="41"/>
      <c r="E345" s="23"/>
      <c r="F345" s="40" t="str">
        <f ca="1">IFERROR(__xludf.DUMMYFUNCTION("""COMPUTED_VALUE"""),"Alberto Moreno")</f>
        <v>Alberto Moreno</v>
      </c>
      <c r="G345" s="40" t="str">
        <f ca="1">IFERROR(__xludf.DUMMYFUNCTION("""COMPUTED_VALUE"""),"AMM")</f>
        <v>AMM</v>
      </c>
      <c r="H345" s="40" t="str">
        <f ca="1">IFERROR(__xludf.DUMMYFUNCTION("""COMPUTED_VALUE"""),"AMM04")</f>
        <v>AMM04</v>
      </c>
      <c r="I345" s="40" t="str">
        <f ca="1">IFERROR(__xludf.DUMMYFUNCTION("""COMPUTED_VALUE"""),"A")</f>
        <v>A</v>
      </c>
      <c r="J345" s="40" t="str">
        <f ca="1">IFERROR(__xludf.DUMMYFUNCTION("""COMPUTED_VALUE"""),"Francesc Xavier Pujolas Graboleda")</f>
        <v>Francesc Xavier Pujolas Graboleda</v>
      </c>
      <c r="K345" s="40"/>
      <c r="L345" s="40" t="str">
        <f t="shared" ca="1" si="2"/>
        <v>AMM04</v>
      </c>
      <c r="M345" s="36" t="str">
        <f t="shared" ca="1" si="3"/>
        <v>AMM</v>
      </c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</row>
    <row r="346" spans="1:27">
      <c r="A346" s="40"/>
      <c r="B346" s="36"/>
      <c r="C346" s="40"/>
      <c r="D346" s="41"/>
      <c r="E346" s="40"/>
      <c r="F346" s="40" t="str">
        <f ca="1">IFERROR(__xludf.DUMMYFUNCTION("""COMPUTED_VALUE"""),"Luis Alberto Rodríguez")</f>
        <v>Luis Alberto Rodríguez</v>
      </c>
      <c r="G346" s="40" t="str">
        <f ca="1">IFERROR(__xludf.DUMMYFUNCTION("""COMPUTED_VALUE"""),"LAA")</f>
        <v>LAA</v>
      </c>
      <c r="H346" s="40" t="str">
        <f ca="1">IFERROR(__xludf.DUMMYFUNCTION("""COMPUTED_VALUE"""),"LAA10")</f>
        <v>LAA10</v>
      </c>
      <c r="I346" s="40" t="str">
        <f ca="1">IFERROR(__xludf.DUMMYFUNCTION("""COMPUTED_VALUE"""),"C")</f>
        <v>C</v>
      </c>
      <c r="J346" s="40" t="str">
        <f ca="1">IFERROR(__xludf.DUMMYFUNCTION("""COMPUTED_VALUE"""),"Francisco Alés Conejo")</f>
        <v>Francisco Alés Conejo</v>
      </c>
      <c r="K346" s="40"/>
      <c r="L346" s="40" t="str">
        <f t="shared" ca="1" si="2"/>
        <v>LAA10</v>
      </c>
      <c r="M346" s="36" t="str">
        <f t="shared" ca="1" si="3"/>
        <v>LAA</v>
      </c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</row>
    <row r="347" spans="1:27">
      <c r="A347" s="40"/>
      <c r="B347" s="36"/>
      <c r="C347" s="40"/>
      <c r="D347" s="41"/>
      <c r="E347" s="40"/>
      <c r="F347" s="40" t="str">
        <f ca="1">IFERROR(__xludf.DUMMYFUNCTION("""COMPUTED_VALUE"""),"Lisandro Russian")</f>
        <v>Lisandro Russian</v>
      </c>
      <c r="G347" s="40" t="str">
        <f ca="1">IFERROR(__xludf.DUMMYFUNCTION("""COMPUTED_VALUE"""),"LRM")</f>
        <v>LRM</v>
      </c>
      <c r="H347" s="40" t="str">
        <f ca="1">IFERROR(__xludf.DUMMYFUNCTION("""COMPUTED_VALUE"""),"LRM41")</f>
        <v>LRM41</v>
      </c>
      <c r="I347" s="40" t="str">
        <f ca="1">IFERROR(__xludf.DUMMYFUNCTION("""COMPUTED_VALUE"""),"A")</f>
        <v>A</v>
      </c>
      <c r="J347" s="40" t="str">
        <f ca="1">IFERROR(__xludf.DUMMYFUNCTION("""COMPUTED_VALUE"""),"Francisco Álvaro Rodríguez Rodríguez")</f>
        <v>Francisco Álvaro Rodríguez Rodríguez</v>
      </c>
      <c r="K347" s="40"/>
      <c r="L347" s="40" t="str">
        <f t="shared" ca="1" si="2"/>
        <v>LRM41</v>
      </c>
      <c r="M347" s="36" t="str">
        <f t="shared" ca="1" si="3"/>
        <v>LRM</v>
      </c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</row>
    <row r="348" spans="1:27">
      <c r="A348" s="40"/>
      <c r="B348" s="36"/>
      <c r="C348" s="40"/>
      <c r="D348" s="41"/>
      <c r="E348" s="40"/>
      <c r="F348" s="40" t="str">
        <f ca="1">IFERROR(__xludf.DUMMYFUNCTION("""COMPUTED_VALUE"""),"Luis Alberto Rodríguez")</f>
        <v>Luis Alberto Rodríguez</v>
      </c>
      <c r="G348" s="40" t="str">
        <f ca="1">IFERROR(__xludf.DUMMYFUNCTION("""COMPUTED_VALUE"""),"LAA")</f>
        <v>LAA</v>
      </c>
      <c r="H348" s="40" t="str">
        <f ca="1">IFERROR(__xludf.DUMMYFUNCTION("""COMPUTED_VALUE"""),"LAA11")</f>
        <v>LAA11</v>
      </c>
      <c r="I348" s="40" t="str">
        <f ca="1">IFERROR(__xludf.DUMMYFUNCTION("""COMPUTED_VALUE"""),"C")</f>
        <v>C</v>
      </c>
      <c r="J348" s="40" t="str">
        <f ca="1">IFERROR(__xludf.DUMMYFUNCTION("""COMPUTED_VALUE"""),"Francisco Antonio Pérez Fernández")</f>
        <v>Francisco Antonio Pérez Fernández</v>
      </c>
      <c r="K348" s="40"/>
      <c r="L348" s="40" t="str">
        <f t="shared" ca="1" si="2"/>
        <v>LAA11</v>
      </c>
      <c r="M348" s="36" t="str">
        <f t="shared" ca="1" si="3"/>
        <v>LAA</v>
      </c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</row>
    <row r="349" spans="1:27">
      <c r="A349" s="40"/>
      <c r="B349" s="36"/>
      <c r="C349" s="40"/>
      <c r="D349" s="41"/>
      <c r="E349" s="23"/>
      <c r="F349" s="40" t="str">
        <f ca="1">IFERROR(__xludf.DUMMYFUNCTION("""COMPUTED_VALUE"""),"Iván Sánchez")</f>
        <v>Iván Sánchez</v>
      </c>
      <c r="G349" s="40" t="str">
        <f ca="1">IFERROR(__xludf.DUMMYFUNCTION("""COMPUTED_VALUE"""),"ISL")</f>
        <v>ISL</v>
      </c>
      <c r="H349" s="40" t="str">
        <f ca="1">IFERROR(__xludf.DUMMYFUNCTION("""COMPUTED_VALUE"""),"ISL31")</f>
        <v>ISL31</v>
      </c>
      <c r="I349" s="40" t="str">
        <f ca="1">IFERROR(__xludf.DUMMYFUNCTION("""COMPUTED_VALUE"""),"B")</f>
        <v>B</v>
      </c>
      <c r="J349" s="40" t="str">
        <f ca="1">IFERROR(__xludf.DUMMYFUNCTION("""COMPUTED_VALUE"""),"Francisco Argudo Marco")</f>
        <v>Francisco Argudo Marco</v>
      </c>
      <c r="K349" s="40"/>
      <c r="L349" s="40" t="str">
        <f t="shared" ca="1" si="2"/>
        <v>ISL31</v>
      </c>
      <c r="M349" s="36" t="str">
        <f t="shared" ca="1" si="3"/>
        <v>ISL</v>
      </c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</row>
    <row r="350" spans="1:27">
      <c r="A350" s="40"/>
      <c r="B350" s="36"/>
      <c r="C350" s="40"/>
      <c r="D350" s="41"/>
      <c r="E350" s="40"/>
      <c r="F350" s="40" t="str">
        <f ca="1">IFERROR(__xludf.DUMMYFUNCTION("""COMPUTED_VALUE"""),"Luis Alberto Rodríguez")</f>
        <v>Luis Alberto Rodríguez</v>
      </c>
      <c r="G350" s="40" t="str">
        <f ca="1">IFERROR(__xludf.DUMMYFUNCTION("""COMPUTED_VALUE"""),"LAA")</f>
        <v>LAA</v>
      </c>
      <c r="H350" s="40" t="str">
        <f ca="1">IFERROR(__xludf.DUMMYFUNCTION("""COMPUTED_VALUE"""),"LAA12")</f>
        <v>LAA12</v>
      </c>
      <c r="I350" s="40" t="str">
        <f ca="1">IFERROR(__xludf.DUMMYFUNCTION("""COMPUTED_VALUE"""),"C")</f>
        <v>C</v>
      </c>
      <c r="J350" s="40" t="str">
        <f ca="1">IFERROR(__xludf.DUMMYFUNCTION("""COMPUTED_VALUE"""),"Francisco Delgado Álvarez")</f>
        <v>Francisco Delgado Álvarez</v>
      </c>
      <c r="K350" s="40"/>
      <c r="L350" s="40" t="str">
        <f t="shared" ca="1" si="2"/>
        <v>LAA12</v>
      </c>
      <c r="M350" s="36" t="str">
        <f t="shared" ca="1" si="3"/>
        <v>LAA</v>
      </c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</row>
    <row r="351" spans="1:27">
      <c r="A351" s="40"/>
      <c r="B351" s="36"/>
      <c r="C351" s="40"/>
      <c r="D351" s="41"/>
      <c r="E351" s="40"/>
      <c r="F351" s="40" t="str">
        <f ca="1">IFERROR(__xludf.DUMMYFUNCTION("""COMPUTED_VALUE"""),"Iván Sánchez")</f>
        <v>Iván Sánchez</v>
      </c>
      <c r="G351" s="40" t="str">
        <f ca="1">IFERROR(__xludf.DUMMYFUNCTION("""COMPUTED_VALUE"""),"ISL")</f>
        <v>ISL</v>
      </c>
      <c r="H351" s="40" t="str">
        <f ca="1">IFERROR(__xludf.DUMMYFUNCTION("""COMPUTED_VALUE"""),"ISL32")</f>
        <v>ISL32</v>
      </c>
      <c r="I351" s="40" t="str">
        <f ca="1">IFERROR(__xludf.DUMMYFUNCTION("""COMPUTED_VALUE"""),"B")</f>
        <v>B</v>
      </c>
      <c r="J351" s="23" t="str">
        <f ca="1">IFERROR(__xludf.DUMMYFUNCTION("""COMPUTED_VALUE"""),"Francisco García Purriños")</f>
        <v>Francisco García Purriños</v>
      </c>
      <c r="K351" s="40"/>
      <c r="L351" s="40" t="str">
        <f t="shared" ca="1" si="2"/>
        <v>ISL32</v>
      </c>
      <c r="M351" s="36" t="str">
        <f t="shared" ca="1" si="3"/>
        <v>ISL</v>
      </c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</row>
    <row r="352" spans="1:27">
      <c r="A352" s="40"/>
      <c r="B352" s="36"/>
      <c r="C352" s="40"/>
      <c r="D352" s="41"/>
      <c r="E352" s="40"/>
      <c r="F352" s="40" t="str">
        <f ca="1">IFERROR(__xludf.DUMMYFUNCTION("""COMPUTED_VALUE"""),"Luis Alberto Rodríguez")</f>
        <v>Luis Alberto Rodríguez</v>
      </c>
      <c r="G352" s="40" t="str">
        <f ca="1">IFERROR(__xludf.DUMMYFUNCTION("""COMPUTED_VALUE"""),"LAA")</f>
        <v>LAA</v>
      </c>
      <c r="H352" s="40" t="str">
        <f ca="1">IFERROR(__xludf.DUMMYFUNCTION("""COMPUTED_VALUE"""),"LAA13")</f>
        <v>LAA13</v>
      </c>
      <c r="I352" s="40" t="str">
        <f ca="1">IFERROR(__xludf.DUMMYFUNCTION("""COMPUTED_VALUE"""),"C")</f>
        <v>C</v>
      </c>
      <c r="J352" s="40" t="str">
        <f ca="1">IFERROR(__xludf.DUMMYFUNCTION("""COMPUTED_VALUE"""),"Francisco Javier Aguilar Vera")</f>
        <v>Francisco Javier Aguilar Vera</v>
      </c>
      <c r="K352" s="40"/>
      <c r="L352" s="40" t="str">
        <f t="shared" ca="1" si="2"/>
        <v>LAA13</v>
      </c>
      <c r="M352" s="36" t="str">
        <f t="shared" ca="1" si="3"/>
        <v>LAA</v>
      </c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</row>
    <row r="353" spans="1:27">
      <c r="A353" s="40"/>
      <c r="B353" s="36"/>
      <c r="C353" s="40"/>
      <c r="D353" s="41"/>
      <c r="E353" s="40"/>
      <c r="F353" s="40" t="str">
        <f ca="1">IFERROR(__xludf.DUMMYFUNCTION("""COMPUTED_VALUE"""),"Iván Sánchez")</f>
        <v>Iván Sánchez</v>
      </c>
      <c r="G353" s="40" t="str">
        <f ca="1">IFERROR(__xludf.DUMMYFUNCTION("""COMPUTED_VALUE"""),"ISL")</f>
        <v>ISL</v>
      </c>
      <c r="H353" s="40" t="str">
        <f ca="1">IFERROR(__xludf.DUMMYFUNCTION("""COMPUTED_VALUE"""),"ISL33")</f>
        <v>ISL33</v>
      </c>
      <c r="I353" s="40" t="str">
        <f ca="1">IFERROR(__xludf.DUMMYFUNCTION("""COMPUTED_VALUE"""),"B")</f>
        <v>B</v>
      </c>
      <c r="J353" s="40" t="str">
        <f ca="1">IFERROR(__xludf.DUMMYFUNCTION("""COMPUTED_VALUE"""),"Francisco Javier Cerdán Baeza")</f>
        <v>Francisco Javier Cerdán Baeza</v>
      </c>
      <c r="K353" s="40"/>
      <c r="L353" s="40" t="str">
        <f t="shared" ca="1" si="2"/>
        <v>ISL33</v>
      </c>
      <c r="M353" s="36" t="str">
        <f t="shared" ca="1" si="3"/>
        <v>ISL</v>
      </c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</row>
    <row r="354" spans="1:27">
      <c r="A354" s="40"/>
      <c r="B354" s="36"/>
      <c r="C354" s="40"/>
      <c r="D354" s="41"/>
      <c r="E354" s="23"/>
      <c r="F354" s="40" t="str">
        <f ca="1">IFERROR(__xludf.DUMMYFUNCTION("""COMPUTED_VALUE"""),"Lisandro Russian")</f>
        <v>Lisandro Russian</v>
      </c>
      <c r="G354" s="40" t="str">
        <f ca="1">IFERROR(__xludf.DUMMYFUNCTION("""COMPUTED_VALUE"""),"LRM")</f>
        <v>LRM</v>
      </c>
      <c r="H354" s="40" t="str">
        <f ca="1">IFERROR(__xludf.DUMMYFUNCTION("""COMPUTED_VALUE"""),"LRM42")</f>
        <v>LRM42</v>
      </c>
      <c r="I354" s="40" t="str">
        <f ca="1">IFERROR(__xludf.DUMMYFUNCTION("""COMPUTED_VALUE"""),"A")</f>
        <v>A</v>
      </c>
      <c r="J354" s="40" t="str">
        <f ca="1">IFERROR(__xludf.DUMMYFUNCTION("""COMPUTED_VALUE"""),"Francisco Javier Guerra Blanco")</f>
        <v>Francisco Javier Guerra Blanco</v>
      </c>
      <c r="K354" s="40"/>
      <c r="L354" s="40" t="str">
        <f t="shared" ca="1" si="2"/>
        <v>LRM42</v>
      </c>
      <c r="M354" s="36" t="str">
        <f t="shared" ca="1" si="3"/>
        <v>LRM</v>
      </c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</row>
    <row r="355" spans="1:27">
      <c r="A355" s="40"/>
      <c r="B355" s="36"/>
      <c r="C355" s="40"/>
      <c r="D355" s="41"/>
      <c r="E355" s="40"/>
      <c r="F355" s="40" t="str">
        <f ca="1">IFERROR(__xludf.DUMMYFUNCTION("""COMPUTED_VALUE"""),"Roberto Pereira")</f>
        <v>Roberto Pereira</v>
      </c>
      <c r="G355" s="40" t="str">
        <f ca="1">IFERROR(__xludf.DUMMYFUNCTION("""COMPUTED_VALUE"""),"RPG")</f>
        <v>RPG</v>
      </c>
      <c r="H355" s="40" t="str">
        <f ca="1">IFERROR(__xludf.DUMMYFUNCTION("""COMPUTED_VALUE"""),"RPG13")</f>
        <v>RPG13</v>
      </c>
      <c r="I355" s="40" t="str">
        <f ca="1">IFERROR(__xludf.DUMMYFUNCTION("""COMPUTED_VALUE"""),"A")</f>
        <v>A</v>
      </c>
      <c r="J355" s="40" t="str">
        <f ca="1">IFERROR(__xludf.DUMMYFUNCTION("""COMPUTED_VALUE"""),"Francisco Javier Lage Fernández")</f>
        <v>Francisco Javier Lage Fernández</v>
      </c>
      <c r="K355" s="40"/>
      <c r="L355" s="40" t="str">
        <f t="shared" ca="1" si="2"/>
        <v>RPG13</v>
      </c>
      <c r="M355" s="36" t="str">
        <f t="shared" ca="1" si="3"/>
        <v>RPG</v>
      </c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</row>
    <row r="356" spans="1:27">
      <c r="A356" s="40"/>
      <c r="B356" s="36"/>
      <c r="C356" s="40"/>
      <c r="D356" s="41"/>
      <c r="E356" s="40"/>
      <c r="F356" s="40" t="str">
        <f ca="1">IFERROR(__xludf.DUMMYFUNCTION("""COMPUTED_VALUE"""),"Lisandro Russian")</f>
        <v>Lisandro Russian</v>
      </c>
      <c r="G356" s="40" t="str">
        <f ca="1">IFERROR(__xludf.DUMMYFUNCTION("""COMPUTED_VALUE"""),"LRM")</f>
        <v>LRM</v>
      </c>
      <c r="H356" s="40" t="str">
        <f ca="1">IFERROR(__xludf.DUMMYFUNCTION("""COMPUTED_VALUE"""),"LRM43")</f>
        <v>LRM43</v>
      </c>
      <c r="I356" s="40" t="str">
        <f ca="1">IFERROR(__xludf.DUMMYFUNCTION("""COMPUTED_VALUE"""),"A")</f>
        <v>A</v>
      </c>
      <c r="J356" s="40" t="str">
        <f ca="1">IFERROR(__xludf.DUMMYFUNCTION("""COMPUTED_VALUE"""),"Francisco Javier Molla Rudiez")</f>
        <v>Francisco Javier Molla Rudiez</v>
      </c>
      <c r="K356" s="40"/>
      <c r="L356" s="40" t="str">
        <f t="shared" ca="1" si="2"/>
        <v>LRM43</v>
      </c>
      <c r="M356" s="36" t="str">
        <f t="shared" ca="1" si="3"/>
        <v>LRM</v>
      </c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</row>
    <row r="357" spans="1:27">
      <c r="A357" s="40"/>
      <c r="B357" s="36"/>
      <c r="C357" s="40"/>
      <c r="D357" s="41"/>
      <c r="E357" s="40"/>
      <c r="F357" s="40" t="str">
        <f ca="1">IFERROR(__xludf.DUMMYFUNCTION("""COMPUTED_VALUE"""),"Lisandro Russian")</f>
        <v>Lisandro Russian</v>
      </c>
      <c r="G357" s="40" t="str">
        <f ca="1">IFERROR(__xludf.DUMMYFUNCTION("""COMPUTED_VALUE"""),"LRM")</f>
        <v>LRM</v>
      </c>
      <c r="H357" s="40" t="str">
        <f ca="1">IFERROR(__xludf.DUMMYFUNCTION("""COMPUTED_VALUE"""),"LRM44")</f>
        <v>LRM44</v>
      </c>
      <c r="I357" s="40" t="str">
        <f ca="1">IFERROR(__xludf.DUMMYFUNCTION("""COMPUTED_VALUE"""),"A")</f>
        <v>A</v>
      </c>
      <c r="J357" s="40" t="str">
        <f ca="1">IFERROR(__xludf.DUMMYFUNCTION("""COMPUTED_VALUE"""),"Francisco Javier Redondo Del Barco")</f>
        <v>Francisco Javier Redondo Del Barco</v>
      </c>
      <c r="K357" s="40"/>
      <c r="L357" s="40" t="str">
        <f t="shared" ca="1" si="2"/>
        <v>LRM44</v>
      </c>
      <c r="M357" s="36" t="str">
        <f t="shared" ca="1" si="3"/>
        <v>LRM</v>
      </c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</row>
    <row r="358" spans="1:27">
      <c r="A358" s="23"/>
      <c r="B358" s="36"/>
      <c r="C358" s="40"/>
      <c r="D358" s="38"/>
      <c r="E358" s="23"/>
      <c r="F358" s="40" t="str">
        <f ca="1">IFERROR(__xludf.DUMMYFUNCTION("""COMPUTED_VALUE"""),"Luis Alberto Rodríguez")</f>
        <v>Luis Alberto Rodríguez</v>
      </c>
      <c r="G358" s="40" t="str">
        <f ca="1">IFERROR(__xludf.DUMMYFUNCTION("""COMPUTED_VALUE"""),"LAA")</f>
        <v>LAA</v>
      </c>
      <c r="H358" s="40" t="str">
        <f ca="1">IFERROR(__xludf.DUMMYFUNCTION("""COMPUTED_VALUE"""),"LAA14")</f>
        <v>LAA14</v>
      </c>
      <c r="I358" s="40" t="str">
        <f ca="1">IFERROR(__xludf.DUMMYFUNCTION("""COMPUTED_VALUE"""),"C")</f>
        <v>C</v>
      </c>
      <c r="J358" s="40" t="str">
        <f ca="1">IFERROR(__xludf.DUMMYFUNCTION("""COMPUTED_VALUE"""),"Francisco José Aguado Martínez")</f>
        <v>Francisco José Aguado Martínez</v>
      </c>
      <c r="K358" s="40"/>
      <c r="L358" s="40" t="str">
        <f t="shared" ca="1" si="2"/>
        <v>LAA14</v>
      </c>
      <c r="M358" s="36" t="str">
        <f t="shared" ca="1" si="3"/>
        <v>LAA</v>
      </c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</row>
    <row r="359" spans="1:27">
      <c r="A359" s="40"/>
      <c r="B359" s="36"/>
      <c r="C359" s="40"/>
      <c r="D359" s="41"/>
      <c r="E359" s="40"/>
      <c r="F359" s="40" t="str">
        <f ca="1">IFERROR(__xludf.DUMMYFUNCTION("""COMPUTED_VALUE"""),"Luis Alberto Rodríguez")</f>
        <v>Luis Alberto Rodríguez</v>
      </c>
      <c r="G359" s="40" t="str">
        <f ca="1">IFERROR(__xludf.DUMMYFUNCTION("""COMPUTED_VALUE"""),"LAA")</f>
        <v>LAA</v>
      </c>
      <c r="H359" s="40" t="str">
        <f ca="1">IFERROR(__xludf.DUMMYFUNCTION("""COMPUTED_VALUE"""),"LAA15")</f>
        <v>LAA15</v>
      </c>
      <c r="I359" s="40" t="str">
        <f ca="1">IFERROR(__xludf.DUMMYFUNCTION("""COMPUTED_VALUE"""),"C")</f>
        <v>C</v>
      </c>
      <c r="J359" s="40" t="str">
        <f ca="1">IFERROR(__xludf.DUMMYFUNCTION("""COMPUTED_VALUE"""),"Francisco José Estrada Molina")</f>
        <v>Francisco José Estrada Molina</v>
      </c>
      <c r="K359" s="40"/>
      <c r="L359" s="40" t="str">
        <f t="shared" ca="1" si="2"/>
        <v>LAA15</v>
      </c>
      <c r="M359" s="36" t="str">
        <f t="shared" ca="1" si="3"/>
        <v>LAA</v>
      </c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</row>
    <row r="360" spans="1:27">
      <c r="A360" s="40"/>
      <c r="B360" s="36"/>
      <c r="C360" s="40"/>
      <c r="D360" s="41"/>
      <c r="E360" s="40"/>
      <c r="F360" s="40" t="str">
        <f ca="1">IFERROR(__xludf.DUMMYFUNCTION("""COMPUTED_VALUE"""),"Luis Alberto Rodríguez")</f>
        <v>Luis Alberto Rodríguez</v>
      </c>
      <c r="G360" s="40" t="str">
        <f ca="1">IFERROR(__xludf.DUMMYFUNCTION("""COMPUTED_VALUE"""),"LAA")</f>
        <v>LAA</v>
      </c>
      <c r="H360" s="40" t="str">
        <f ca="1">IFERROR(__xludf.DUMMYFUNCTION("""COMPUTED_VALUE"""),"LAA16")</f>
        <v>LAA16</v>
      </c>
      <c r="I360" s="40" t="str">
        <f ca="1">IFERROR(__xludf.DUMMYFUNCTION("""COMPUTED_VALUE"""),"C")</f>
        <v>C</v>
      </c>
      <c r="J360" s="40" t="str">
        <f ca="1">IFERROR(__xludf.DUMMYFUNCTION("""COMPUTED_VALUE"""),"Francisco López Navas")</f>
        <v>Francisco López Navas</v>
      </c>
      <c r="K360" s="40"/>
      <c r="L360" s="40" t="str">
        <f t="shared" ca="1" si="2"/>
        <v>LAA16</v>
      </c>
      <c r="M360" s="36" t="str">
        <f t="shared" ca="1" si="3"/>
        <v>LAA</v>
      </c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</row>
    <row r="361" spans="1:27">
      <c r="A361" s="40"/>
      <c r="B361" s="36"/>
      <c r="C361" s="40"/>
      <c r="D361" s="41"/>
      <c r="E361" s="40"/>
      <c r="F361" s="40" t="str">
        <f ca="1">IFERROR(__xludf.DUMMYFUNCTION("""COMPUTED_VALUE"""),"Lisandro Russian")</f>
        <v>Lisandro Russian</v>
      </c>
      <c r="G361" s="40" t="str">
        <f ca="1">IFERROR(__xludf.DUMMYFUNCTION("""COMPUTED_VALUE"""),"LRM")</f>
        <v>LRM</v>
      </c>
      <c r="H361" s="40" t="str">
        <f ca="1">IFERROR(__xludf.DUMMYFUNCTION("""COMPUTED_VALUE"""),"LRM45")</f>
        <v>LRM45</v>
      </c>
      <c r="I361" s="40" t="str">
        <f ca="1">IFERROR(__xludf.DUMMYFUNCTION("""COMPUTED_VALUE"""),"A")</f>
        <v>A</v>
      </c>
      <c r="J361" s="40" t="str">
        <f ca="1">IFERROR(__xludf.DUMMYFUNCTION("""COMPUTED_VALUE"""),"Francisco Lorenzo Molina")</f>
        <v>Francisco Lorenzo Molina</v>
      </c>
      <c r="K361" s="40"/>
      <c r="L361" s="40" t="str">
        <f t="shared" ca="1" si="2"/>
        <v>LRM45</v>
      </c>
      <c r="M361" s="36" t="str">
        <f t="shared" ca="1" si="3"/>
        <v>LRM</v>
      </c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</row>
    <row r="362" spans="1:27">
      <c r="A362" s="40"/>
      <c r="B362" s="36"/>
      <c r="C362" s="40"/>
      <c r="D362" s="41"/>
      <c r="E362" s="40"/>
      <c r="F362" s="40" t="str">
        <f ca="1">IFERROR(__xludf.DUMMYFUNCTION("""COMPUTED_VALUE"""),"Iván Sánchez")</f>
        <v>Iván Sánchez</v>
      </c>
      <c r="G362" s="40" t="str">
        <f ca="1">IFERROR(__xludf.DUMMYFUNCTION("""COMPUTED_VALUE"""),"ISL")</f>
        <v>ISL</v>
      </c>
      <c r="H362" s="40" t="str">
        <f ca="1">IFERROR(__xludf.DUMMYFUNCTION("""COMPUTED_VALUE"""),"ISL34")</f>
        <v>ISL34</v>
      </c>
      <c r="I362" s="40" t="str">
        <f ca="1">IFERROR(__xludf.DUMMYFUNCTION("""COMPUTED_VALUE"""),"B")</f>
        <v>B</v>
      </c>
      <c r="J362" s="40" t="str">
        <f ca="1">IFERROR(__xludf.DUMMYFUNCTION("""COMPUTED_VALUE"""),"Francisco Pastor Beviá")</f>
        <v>Francisco Pastor Beviá</v>
      </c>
      <c r="K362" s="40"/>
      <c r="L362" s="40" t="str">
        <f t="shared" ca="1" si="2"/>
        <v>ISL34</v>
      </c>
      <c r="M362" s="36" t="str">
        <f t="shared" ca="1" si="3"/>
        <v>ISL</v>
      </c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</row>
    <row r="363" spans="1:27">
      <c r="A363" s="40"/>
      <c r="B363" s="36"/>
      <c r="C363" s="40"/>
      <c r="D363" s="41"/>
      <c r="E363" s="40"/>
      <c r="F363" s="40" t="str">
        <f ca="1">IFERROR(__xludf.DUMMYFUNCTION("""COMPUTED_VALUE"""),"Iván Sánchez")</f>
        <v>Iván Sánchez</v>
      </c>
      <c r="G363" s="40" t="str">
        <f ca="1">IFERROR(__xludf.DUMMYFUNCTION("""COMPUTED_VALUE"""),"ISL")</f>
        <v>ISL</v>
      </c>
      <c r="H363" s="40" t="str">
        <f ca="1">IFERROR(__xludf.DUMMYFUNCTION("""COMPUTED_VALUE"""),"ISL35")</f>
        <v>ISL35</v>
      </c>
      <c r="I363" s="40" t="str">
        <f ca="1">IFERROR(__xludf.DUMMYFUNCTION("""COMPUTED_VALUE"""),"B")</f>
        <v>B</v>
      </c>
      <c r="J363" s="40" t="str">
        <f ca="1">IFERROR(__xludf.DUMMYFUNCTION("""COMPUTED_VALUE"""),"Francisco Pons Rocher")</f>
        <v>Francisco Pons Rocher</v>
      </c>
      <c r="K363" s="40"/>
      <c r="L363" s="40" t="str">
        <f t="shared" ca="1" si="2"/>
        <v>ISL35</v>
      </c>
      <c r="M363" s="36" t="str">
        <f t="shared" ca="1" si="3"/>
        <v>ISL</v>
      </c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</row>
    <row r="364" spans="1:27">
      <c r="A364" s="40"/>
      <c r="B364" s="36"/>
      <c r="C364" s="40"/>
      <c r="D364" s="41"/>
      <c r="E364" s="40"/>
      <c r="F364" s="40" t="str">
        <f ca="1">IFERROR(__xludf.DUMMYFUNCTION("""COMPUTED_VALUE"""),"Lisandro Russian")</f>
        <v>Lisandro Russian</v>
      </c>
      <c r="G364" s="40" t="str">
        <f ca="1">IFERROR(__xludf.DUMMYFUNCTION("""COMPUTED_VALUE"""),"LRM")</f>
        <v>LRM</v>
      </c>
      <c r="H364" s="40" t="str">
        <f ca="1">IFERROR(__xludf.DUMMYFUNCTION("""COMPUTED_VALUE"""),"LRM46")</f>
        <v>LRM46</v>
      </c>
      <c r="I364" s="40" t="str">
        <f ca="1">IFERROR(__xludf.DUMMYFUNCTION("""COMPUTED_VALUE"""),"A")</f>
        <v>A</v>
      </c>
      <c r="J364" s="40" t="str">
        <f ca="1">IFERROR(__xludf.DUMMYFUNCTION("""COMPUTED_VALUE"""),"Francisco Ramos Puerto")</f>
        <v>Francisco Ramos Puerto</v>
      </c>
      <c r="K364" s="40"/>
      <c r="L364" s="40" t="str">
        <f t="shared" ca="1" si="2"/>
        <v>LRM46</v>
      </c>
      <c r="M364" s="36" t="str">
        <f t="shared" ca="1" si="3"/>
        <v>LRM</v>
      </c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</row>
    <row r="365" spans="1:27">
      <c r="A365" s="40"/>
      <c r="B365" s="36"/>
      <c r="C365" s="40"/>
      <c r="D365" s="41"/>
      <c r="E365" s="40"/>
      <c r="F365" s="40" t="str">
        <f ca="1">IFERROR(__xludf.DUMMYFUNCTION("""COMPUTED_VALUE"""),"Luis Alberto Rodríguez")</f>
        <v>Luis Alberto Rodríguez</v>
      </c>
      <c r="G365" s="40" t="str">
        <f ca="1">IFERROR(__xludf.DUMMYFUNCTION("""COMPUTED_VALUE"""),"LAA")</f>
        <v>LAA</v>
      </c>
      <c r="H365" s="40" t="str">
        <f ca="1">IFERROR(__xludf.DUMMYFUNCTION("""COMPUTED_VALUE"""),"LAA17")</f>
        <v>LAA17</v>
      </c>
      <c r="I365" s="40" t="str">
        <f ca="1">IFERROR(__xludf.DUMMYFUNCTION("""COMPUTED_VALUE"""),"C")</f>
        <v>C</v>
      </c>
      <c r="J365" s="40" t="str">
        <f ca="1">IFERROR(__xludf.DUMMYFUNCTION("""COMPUTED_VALUE"""),"Francisco Ropero Romero")</f>
        <v>Francisco Ropero Romero</v>
      </c>
      <c r="K365" s="40"/>
      <c r="L365" s="40" t="str">
        <f t="shared" ca="1" si="2"/>
        <v>LAA17</v>
      </c>
      <c r="M365" s="36" t="str">
        <f t="shared" ca="1" si="3"/>
        <v>LAA</v>
      </c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</row>
    <row r="366" spans="1:27">
      <c r="A366" s="40"/>
      <c r="B366" s="36"/>
      <c r="C366" s="40"/>
      <c r="D366" s="41"/>
      <c r="E366" s="40"/>
      <c r="F366" s="40" t="str">
        <f ca="1">IFERROR(__xludf.DUMMYFUNCTION("""COMPUTED_VALUE"""),"Lisandro Russian")</f>
        <v>Lisandro Russian</v>
      </c>
      <c r="G366" s="40" t="str">
        <f ca="1">IFERROR(__xludf.DUMMYFUNCTION("""COMPUTED_VALUE"""),"LRM")</f>
        <v>LRM</v>
      </c>
      <c r="H366" s="40" t="str">
        <f ca="1">IFERROR(__xludf.DUMMYFUNCTION("""COMPUTED_VALUE"""),"LRM216")</f>
        <v>LRM216</v>
      </c>
      <c r="I366" s="40" t="str">
        <f ca="1">IFERROR(__xludf.DUMMYFUNCTION("""COMPUTED_VALUE"""),"A")</f>
        <v>A</v>
      </c>
      <c r="J366" s="40" t="str">
        <f ca="1">IFERROR(__xludf.DUMMYFUNCTION("""COMPUTED_VALUE"""),"Franklin Meriño Sánchez")</f>
        <v>Franklin Meriño Sánchez</v>
      </c>
      <c r="K366" s="40"/>
      <c r="L366" s="40" t="str">
        <f t="shared" ca="1" si="2"/>
        <v>LRM216</v>
      </c>
      <c r="M366" s="36" t="str">
        <f t="shared" ca="1" si="3"/>
        <v>LRM</v>
      </c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</row>
    <row r="367" spans="1:27">
      <c r="A367" s="40"/>
      <c r="B367" s="36"/>
      <c r="C367" s="40"/>
      <c r="D367" s="41"/>
      <c r="E367" s="40"/>
      <c r="F367" s="40" t="str">
        <f ca="1">IFERROR(__xludf.DUMMYFUNCTION("""COMPUTED_VALUE"""),"Maika Blázquez")</f>
        <v>Maika Blázquez</v>
      </c>
      <c r="G367" s="40" t="str">
        <f ca="1">IFERROR(__xludf.DUMMYFUNCTION("""COMPUTED_VALUE"""),"MBM")</f>
        <v>MBM</v>
      </c>
      <c r="H367" s="40" t="str">
        <f ca="1">IFERROR(__xludf.DUMMYFUNCTION("""COMPUTED_VALUE"""),"MBM25")</f>
        <v>MBM25</v>
      </c>
      <c r="I367" s="40" t="str">
        <f ca="1">IFERROR(__xludf.DUMMYFUNCTION("""COMPUTED_VALUE"""),"A")</f>
        <v>A</v>
      </c>
      <c r="J367" s="40" t="str">
        <f ca="1">IFERROR(__xludf.DUMMYFUNCTION("""COMPUTED_VALUE"""),"Franklin S, Mariño Sánchez")</f>
        <v>Franklin S, Mariño Sánchez</v>
      </c>
      <c r="K367" s="40"/>
      <c r="L367" s="40" t="str">
        <f t="shared" ca="1" si="2"/>
        <v>MBM25</v>
      </c>
      <c r="M367" s="36" t="str">
        <f t="shared" ca="1" si="3"/>
        <v>MBM</v>
      </c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</row>
    <row r="368" spans="1:27">
      <c r="A368" s="40"/>
      <c r="B368" s="36"/>
      <c r="C368" s="40"/>
      <c r="D368" s="41"/>
      <c r="E368" s="40"/>
      <c r="F368" s="40" t="str">
        <f ca="1">IFERROR(__xludf.DUMMYFUNCTION("""COMPUTED_VALUE"""),"Lisandro Russian")</f>
        <v>Lisandro Russian</v>
      </c>
      <c r="G368" s="40" t="str">
        <f ca="1">IFERROR(__xludf.DUMMYFUNCTION("""COMPUTED_VALUE"""),"LRM")</f>
        <v>LRM</v>
      </c>
      <c r="H368" s="40" t="str">
        <f ca="1">IFERROR(__xludf.DUMMYFUNCTION("""COMPUTED_VALUE"""),"LRM47")</f>
        <v>LRM47</v>
      </c>
      <c r="I368" s="40" t="str">
        <f ca="1">IFERROR(__xludf.DUMMYFUNCTION("""COMPUTED_VALUE"""),"A")</f>
        <v>A</v>
      </c>
      <c r="J368" s="40" t="str">
        <f ca="1">IFERROR(__xludf.DUMMYFUNCTION("""COMPUTED_VALUE"""),"Gabriel Álvarez Curro")</f>
        <v>Gabriel Álvarez Curro</v>
      </c>
      <c r="K368" s="40"/>
      <c r="L368" s="40" t="str">
        <f t="shared" ca="1" si="2"/>
        <v>LRM47</v>
      </c>
      <c r="M368" s="36" t="str">
        <f t="shared" ca="1" si="3"/>
        <v>LRM</v>
      </c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</row>
    <row r="369" spans="1:27">
      <c r="A369" s="40"/>
      <c r="B369" s="36"/>
      <c r="C369" s="40"/>
      <c r="D369" s="41"/>
      <c r="E369" s="40"/>
      <c r="F369" s="40" t="str">
        <f ca="1">IFERROR(__xludf.DUMMYFUNCTION("""COMPUTED_VALUE"""),"Roberto Pereira")</f>
        <v>Roberto Pereira</v>
      </c>
      <c r="G369" s="40" t="str">
        <f ca="1">IFERROR(__xludf.DUMMYFUNCTION("""COMPUTED_VALUE"""),"RPG")</f>
        <v>RPG</v>
      </c>
      <c r="H369" s="40" t="str">
        <f ca="1">IFERROR(__xludf.DUMMYFUNCTION("""COMPUTED_VALUE"""),"RPG14")</f>
        <v>RPG14</v>
      </c>
      <c r="I369" s="40" t="str">
        <f ca="1">IFERROR(__xludf.DUMMYFUNCTION("""COMPUTED_VALUE"""),"A")</f>
        <v>A</v>
      </c>
      <c r="J369" s="40" t="str">
        <f ca="1">IFERROR(__xludf.DUMMYFUNCTION("""COMPUTED_VALUE"""),"Gabriel Martínez Capoccini")</f>
        <v>Gabriel Martínez Capoccini</v>
      </c>
      <c r="K369" s="40"/>
      <c r="L369" s="40" t="str">
        <f t="shared" ca="1" si="2"/>
        <v>RPG14</v>
      </c>
      <c r="M369" s="36" t="str">
        <f t="shared" ca="1" si="3"/>
        <v>RPG</v>
      </c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</row>
    <row r="370" spans="1:27">
      <c r="A370" s="40"/>
      <c r="B370" s="36"/>
      <c r="C370" s="40"/>
      <c r="D370" s="41"/>
      <c r="E370" s="40"/>
      <c r="F370" s="40" t="str">
        <f ca="1">IFERROR(__xludf.DUMMYFUNCTION("""COMPUTED_VALUE"""),"Mercè Cabrera")</f>
        <v>Mercè Cabrera</v>
      </c>
      <c r="G370" s="40" t="str">
        <f ca="1">IFERROR(__xludf.DUMMYFUNCTION("""COMPUTED_VALUE"""),"MCC")</f>
        <v>MCC</v>
      </c>
      <c r="H370" s="40" t="str">
        <f ca="1">IFERROR(__xludf.DUMMYFUNCTION("""COMPUTED_VALUE"""),"MCC15")</f>
        <v>MCC15</v>
      </c>
      <c r="I370" s="40" t="str">
        <f ca="1">IFERROR(__xludf.DUMMYFUNCTION("""COMPUTED_VALUE"""),"A")</f>
        <v>A</v>
      </c>
      <c r="J370" s="40" t="str">
        <f ca="1">IFERROR(__xludf.DUMMYFUNCTION("""COMPUTED_VALUE"""),"Gabriel Pedemonte Sarrias")</f>
        <v>Gabriel Pedemonte Sarrias</v>
      </c>
      <c r="K370" s="40"/>
      <c r="L370" s="40" t="str">
        <f t="shared" ca="1" si="2"/>
        <v>MCC15</v>
      </c>
      <c r="M370" s="36" t="str">
        <f t="shared" ca="1" si="3"/>
        <v>MCC</v>
      </c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</row>
    <row r="371" spans="1:27">
      <c r="A371" s="40"/>
      <c r="B371" s="36"/>
      <c r="C371" s="40"/>
      <c r="D371" s="41"/>
      <c r="E371" s="40"/>
      <c r="F371" s="40" t="str">
        <f ca="1">IFERROR(__xludf.DUMMYFUNCTION("""COMPUTED_VALUE"""),"Luis Alberto Rodríguez")</f>
        <v>Luis Alberto Rodríguez</v>
      </c>
      <c r="G371" s="40" t="str">
        <f ca="1">IFERROR(__xludf.DUMMYFUNCTION("""COMPUTED_VALUE"""),"LAA")</f>
        <v>LAA</v>
      </c>
      <c r="H371" s="40" t="str">
        <f ca="1">IFERROR(__xludf.DUMMYFUNCTION("""COMPUTED_VALUE"""),"LAA18")</f>
        <v>LAA18</v>
      </c>
      <c r="I371" s="40" t="str">
        <f ca="1">IFERROR(__xludf.DUMMYFUNCTION("""COMPUTED_VALUE"""),"C")</f>
        <v>C</v>
      </c>
      <c r="J371" s="40" t="str">
        <f ca="1">IFERROR(__xludf.DUMMYFUNCTION("""COMPUTED_VALUE"""),"Gabriel Trinidad Ruiz")</f>
        <v>Gabriel Trinidad Ruiz</v>
      </c>
      <c r="K371" s="40"/>
      <c r="L371" s="40" t="str">
        <f t="shared" ca="1" si="2"/>
        <v>LAA18</v>
      </c>
      <c r="M371" s="36" t="str">
        <f t="shared" ca="1" si="3"/>
        <v>LAA</v>
      </c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</row>
    <row r="372" spans="1:27">
      <c r="A372" s="40"/>
      <c r="B372" s="36"/>
      <c r="C372" s="40"/>
      <c r="D372" s="41"/>
      <c r="E372" s="40"/>
      <c r="F372" s="40" t="str">
        <f ca="1">IFERROR(__xludf.DUMMYFUNCTION("""COMPUTED_VALUE"""),"Maika Blázquez")</f>
        <v>Maika Blázquez</v>
      </c>
      <c r="G372" s="40" t="str">
        <f ca="1">IFERROR(__xludf.DUMMYFUNCTION("""COMPUTED_VALUE"""),"MBM")</f>
        <v>MBM</v>
      </c>
      <c r="H372" s="40" t="str">
        <f ca="1">IFERROR(__xludf.DUMMYFUNCTION("""COMPUTED_VALUE"""),"MBM221")</f>
        <v>MBM221</v>
      </c>
      <c r="I372" s="40" t="str">
        <f ca="1">IFERROR(__xludf.DUMMYFUNCTION("""COMPUTED_VALUE"""),"A")</f>
        <v>A</v>
      </c>
      <c r="J372" s="40" t="str">
        <f ca="1">IFERROR(__xludf.DUMMYFUNCTION("""COMPUTED_VALUE"""),"Gabriela Morales Medina")</f>
        <v>Gabriela Morales Medina</v>
      </c>
      <c r="K372" s="40"/>
      <c r="L372" s="40" t="str">
        <f t="shared" ca="1" si="2"/>
        <v>MBM221</v>
      </c>
      <c r="M372" s="36" t="str">
        <f t="shared" ca="1" si="3"/>
        <v>MBM</v>
      </c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</row>
    <row r="373" spans="1:27">
      <c r="A373" s="40"/>
      <c r="B373" s="36"/>
      <c r="C373" s="40"/>
      <c r="D373" s="41"/>
      <c r="E373" s="40"/>
      <c r="F373" s="40" t="str">
        <f ca="1">IFERROR(__xludf.DUMMYFUNCTION("""COMPUTED_VALUE"""),"Mercè Cabrera")</f>
        <v>Mercè Cabrera</v>
      </c>
      <c r="G373" s="40" t="str">
        <f ca="1">IFERROR(__xludf.DUMMYFUNCTION("""COMPUTED_VALUE"""),"MCC")</f>
        <v>MCC</v>
      </c>
      <c r="H373" s="40" t="str">
        <f ca="1">IFERROR(__xludf.DUMMYFUNCTION("""COMPUTED_VALUE"""),"MCC46")</f>
        <v>MCC46</v>
      </c>
      <c r="I373" s="40" t="str">
        <f ca="1">IFERROR(__xludf.DUMMYFUNCTION("""COMPUTED_VALUE"""),"A")</f>
        <v>A</v>
      </c>
      <c r="J373" s="40" t="str">
        <f ca="1">IFERROR(__xludf.DUMMYFUNCTION("""COMPUTED_VALUE"""),"Gabriela Simonetti")</f>
        <v>Gabriela Simonetti</v>
      </c>
      <c r="K373" s="40"/>
      <c r="L373" s="40" t="str">
        <f t="shared" ca="1" si="2"/>
        <v>MCC46</v>
      </c>
      <c r="M373" s="36" t="str">
        <f t="shared" ca="1" si="3"/>
        <v>MCC</v>
      </c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</row>
    <row r="374" spans="1:27">
      <c r="A374" s="40"/>
      <c r="B374" s="36"/>
      <c r="C374" s="40"/>
      <c r="D374" s="41"/>
      <c r="E374" s="40"/>
      <c r="F374" s="40" t="str">
        <f ca="1">IFERROR(__xludf.DUMMYFUNCTION("""COMPUTED_VALUE"""),"Iván Sánchez")</f>
        <v>Iván Sánchez</v>
      </c>
      <c r="G374" s="40" t="str">
        <f ca="1">IFERROR(__xludf.DUMMYFUNCTION("""COMPUTED_VALUE"""),"ISL")</f>
        <v>ISL</v>
      </c>
      <c r="H374" s="40" t="str">
        <f ca="1">IFERROR(__xludf.DUMMYFUNCTION("""COMPUTED_VALUE"""),"ISL36")</f>
        <v>ISL36</v>
      </c>
      <c r="I374" s="40" t="str">
        <f ca="1">IFERROR(__xludf.DUMMYFUNCTION("""COMPUTED_VALUE"""),"B")</f>
        <v>B</v>
      </c>
      <c r="J374" s="40" t="str">
        <f ca="1">IFERROR(__xludf.DUMMYFUNCTION("""COMPUTED_VALUE"""),"Gaby Nicolás Núñez Pichardo")</f>
        <v>Gaby Nicolás Núñez Pichardo</v>
      </c>
      <c r="K374" s="40"/>
      <c r="L374" s="40" t="str">
        <f t="shared" ca="1" si="2"/>
        <v>ISL36</v>
      </c>
      <c r="M374" s="36" t="str">
        <f t="shared" ca="1" si="3"/>
        <v>ISL</v>
      </c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</row>
    <row r="375" spans="1:27">
      <c r="A375" s="40"/>
      <c r="B375" s="36"/>
      <c r="C375" s="40"/>
      <c r="D375" s="41"/>
      <c r="E375" s="40"/>
      <c r="F375" s="40" t="str">
        <f ca="1">IFERROR(__xludf.DUMMYFUNCTION("""COMPUTED_VALUE"""),"Maika Blázquez")</f>
        <v>Maika Blázquez</v>
      </c>
      <c r="G375" s="40" t="str">
        <f ca="1">IFERROR(__xludf.DUMMYFUNCTION("""COMPUTED_VALUE"""),"MBM")</f>
        <v>MBM</v>
      </c>
      <c r="H375" s="40" t="str">
        <f ca="1">IFERROR(__xludf.DUMMYFUNCTION("""COMPUTED_VALUE"""),"MBM189")</f>
        <v>MBM189</v>
      </c>
      <c r="I375" s="40" t="str">
        <f ca="1">IFERROR(__xludf.DUMMYFUNCTION("""COMPUTED_VALUE"""),"A")</f>
        <v>A</v>
      </c>
      <c r="J375" s="40" t="str">
        <f ca="1">IFERROR(__xludf.DUMMYFUNCTION("""COMPUTED_VALUE"""),"García González")</f>
        <v>García González</v>
      </c>
      <c r="K375" s="40"/>
      <c r="L375" s="40" t="str">
        <f t="shared" ca="1" si="2"/>
        <v>MBM189</v>
      </c>
      <c r="M375" s="36" t="str">
        <f t="shared" ca="1" si="3"/>
        <v>MBM</v>
      </c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</row>
    <row r="376" spans="1:27">
      <c r="A376" s="40"/>
      <c r="B376" s="36"/>
      <c r="C376" s="40"/>
      <c r="D376" s="41"/>
      <c r="E376" s="40"/>
      <c r="F376" s="40" t="str">
        <f ca="1">IFERROR(__xludf.DUMMYFUNCTION("""COMPUTED_VALUE"""),"Lisandro Russian")</f>
        <v>Lisandro Russian</v>
      </c>
      <c r="G376" s="40" t="str">
        <f ca="1">IFERROR(__xludf.DUMMYFUNCTION("""COMPUTED_VALUE"""),"LRM")</f>
        <v>LRM</v>
      </c>
      <c r="H376" s="40" t="str">
        <f ca="1">IFERROR(__xludf.DUMMYFUNCTION("""COMPUTED_VALUE"""),"LRM48")</f>
        <v>LRM48</v>
      </c>
      <c r="I376" s="40" t="str">
        <f ca="1">IFERROR(__xludf.DUMMYFUNCTION("""COMPUTED_VALUE"""),"A")</f>
        <v>A</v>
      </c>
      <c r="J376" s="40" t="str">
        <f ca="1">IFERROR(__xludf.DUMMYFUNCTION("""COMPUTED_VALUE"""),"Garikoitz Calzada Uriondo")</f>
        <v>Garikoitz Calzada Uriondo</v>
      </c>
      <c r="K376" s="40"/>
      <c r="L376" s="40" t="str">
        <f t="shared" ca="1" si="2"/>
        <v>LRM48</v>
      </c>
      <c r="M376" s="36" t="str">
        <f t="shared" ca="1" si="3"/>
        <v>LRM</v>
      </c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</row>
    <row r="377" spans="1:27">
      <c r="A377" s="40"/>
      <c r="B377" s="36"/>
      <c r="C377" s="40"/>
      <c r="D377" s="41"/>
      <c r="E377" s="40"/>
      <c r="F377" s="40" t="str">
        <f ca="1">IFERROR(__xludf.DUMMYFUNCTION("""COMPUTED_VALUE"""),"Lisandro Russian")</f>
        <v>Lisandro Russian</v>
      </c>
      <c r="G377" s="40" t="str">
        <f ca="1">IFERROR(__xludf.DUMMYFUNCTION("""COMPUTED_VALUE"""),"LRM")</f>
        <v>LRM</v>
      </c>
      <c r="H377" s="40" t="str">
        <f ca="1">IFERROR(__xludf.DUMMYFUNCTION("""COMPUTED_VALUE"""),"LRM265")</f>
        <v>LRM265</v>
      </c>
      <c r="I377" s="40" t="str">
        <f ca="1">IFERROR(__xludf.DUMMYFUNCTION("""COMPUTED_VALUE"""),"A")</f>
        <v>A</v>
      </c>
      <c r="J377" s="40" t="str">
        <f ca="1">IFERROR(__xludf.DUMMYFUNCTION("""COMPUTED_VALUE"""),"Gema Gundin Rivas")</f>
        <v>Gema Gundin Rivas</v>
      </c>
      <c r="K377" s="40"/>
      <c r="L377" s="40" t="str">
        <f t="shared" ca="1" si="2"/>
        <v>LRM265</v>
      </c>
      <c r="M377" s="36" t="str">
        <f t="shared" ca="1" si="3"/>
        <v>LRM</v>
      </c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</row>
    <row r="378" spans="1:27">
      <c r="A378" s="40"/>
      <c r="B378" s="36"/>
      <c r="C378" s="40"/>
      <c r="D378" s="41"/>
      <c r="E378" s="40"/>
      <c r="F378" s="40" t="str">
        <f ca="1">IFERROR(__xludf.DUMMYFUNCTION("""COMPUTED_VALUE"""),"Patricia Solache")</f>
        <v>Patricia Solache</v>
      </c>
      <c r="G378" s="40" t="str">
        <f ca="1">IFERROR(__xludf.DUMMYFUNCTION("""COMPUTED_VALUE"""),"PSC")</f>
        <v>PSC</v>
      </c>
      <c r="H378" s="40" t="str">
        <f ca="1">IFERROR(__xludf.DUMMYFUNCTION("""COMPUTED_VALUE"""),"PSC09")</f>
        <v>PSC09</v>
      </c>
      <c r="I378" s="40" t="str">
        <f ca="1">IFERROR(__xludf.DUMMYFUNCTION("""COMPUTED_VALUE"""),"A")</f>
        <v>A</v>
      </c>
      <c r="J378" s="40" t="str">
        <f ca="1">IFERROR(__xludf.DUMMYFUNCTION("""COMPUTED_VALUE"""),"Gerardo Martin Siguenza")</f>
        <v>Gerardo Martin Siguenza</v>
      </c>
      <c r="K378" s="40"/>
      <c r="L378" s="40" t="str">
        <f t="shared" ca="1" si="2"/>
        <v>PSC09</v>
      </c>
      <c r="M378" s="36" t="str">
        <f t="shared" ca="1" si="3"/>
        <v>PSC</v>
      </c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</row>
    <row r="379" spans="1:27">
      <c r="A379" s="40"/>
      <c r="B379" s="36"/>
      <c r="C379" s="40"/>
      <c r="D379" s="41"/>
      <c r="E379" s="40"/>
      <c r="F379" s="40" t="str">
        <f ca="1">IFERROR(__xludf.DUMMYFUNCTION("""COMPUTED_VALUE"""),"Maika Blázquez")</f>
        <v>Maika Blázquez</v>
      </c>
      <c r="G379" s="40" t="str">
        <f ca="1">IFERROR(__xludf.DUMMYFUNCTION("""COMPUTED_VALUE"""),"MBM")</f>
        <v>MBM</v>
      </c>
      <c r="H379" s="40" t="str">
        <f ca="1">IFERROR(__xludf.DUMMYFUNCTION("""COMPUTED_VALUE"""),"MBM26")</f>
        <v>MBM26</v>
      </c>
      <c r="I379" s="40" t="str">
        <f ca="1">IFERROR(__xludf.DUMMYFUNCTION("""COMPUTED_VALUE"""),"A")</f>
        <v>A</v>
      </c>
      <c r="J379" s="40" t="str">
        <f ca="1">IFERROR(__xludf.DUMMYFUNCTION("""COMPUTED_VALUE"""),"Gerardo Monedero Rodrigo")</f>
        <v>Gerardo Monedero Rodrigo</v>
      </c>
      <c r="K379" s="40"/>
      <c r="L379" s="40" t="str">
        <f t="shared" ca="1" si="2"/>
        <v>MBM26</v>
      </c>
      <c r="M379" s="36" t="str">
        <f t="shared" ca="1" si="3"/>
        <v>MBM</v>
      </c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</row>
    <row r="380" spans="1:27">
      <c r="A380" s="40"/>
      <c r="B380" s="36"/>
      <c r="C380" s="40"/>
      <c r="D380" s="41"/>
      <c r="E380" s="40"/>
      <c r="F380" s="40" t="str">
        <f ca="1">IFERROR(__xludf.DUMMYFUNCTION("""COMPUTED_VALUE"""),"Maika Blázquez")</f>
        <v>Maika Blázquez</v>
      </c>
      <c r="G380" s="40" t="str">
        <f ca="1">IFERROR(__xludf.DUMMYFUNCTION("""COMPUTED_VALUE"""),"MBM")</f>
        <v>MBM</v>
      </c>
      <c r="H380" s="40" t="str">
        <f ca="1">IFERROR(__xludf.DUMMYFUNCTION("""COMPUTED_VALUE"""),"MBM27")</f>
        <v>MBM27</v>
      </c>
      <c r="I380" s="40" t="str">
        <f ca="1">IFERROR(__xludf.DUMMYFUNCTION("""COMPUTED_VALUE"""),"A")</f>
        <v>A</v>
      </c>
      <c r="J380" s="40" t="str">
        <f ca="1">IFERROR(__xludf.DUMMYFUNCTION("""COMPUTED_VALUE"""),"Germán González Del Tánago Durán")</f>
        <v>Germán González Del Tánago Durán</v>
      </c>
      <c r="K380" s="40"/>
      <c r="L380" s="40" t="str">
        <f t="shared" ca="1" si="2"/>
        <v>MBM27</v>
      </c>
      <c r="M380" s="36" t="str">
        <f t="shared" ca="1" si="3"/>
        <v>MBM</v>
      </c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</row>
    <row r="381" spans="1:27">
      <c r="A381" s="40"/>
      <c r="B381" s="36"/>
      <c r="C381" s="40"/>
      <c r="D381" s="41"/>
      <c r="E381" s="40"/>
      <c r="F381" s="40" t="str">
        <f ca="1">IFERROR(__xludf.DUMMYFUNCTION("""COMPUTED_VALUE"""),"Maika Blázquez")</f>
        <v>Maika Blázquez</v>
      </c>
      <c r="G381" s="40" t="str">
        <f ca="1">IFERROR(__xludf.DUMMYFUNCTION("""COMPUTED_VALUE"""),"MBM")</f>
        <v>MBM</v>
      </c>
      <c r="H381" s="40" t="str">
        <f ca="1">IFERROR(__xludf.DUMMYFUNCTION("""COMPUTED_VALUE"""),"MBM28")</f>
        <v>MBM28</v>
      </c>
      <c r="I381" s="40" t="str">
        <f ca="1">IFERROR(__xludf.DUMMYFUNCTION("""COMPUTED_VALUE"""),"A")</f>
        <v>A</v>
      </c>
      <c r="J381" s="40" t="str">
        <f ca="1">IFERROR(__xludf.DUMMYFUNCTION("""COMPUTED_VALUE"""),"Gianmarco Narciso Martínez")</f>
        <v>Gianmarco Narciso Martínez</v>
      </c>
      <c r="K381" s="40"/>
      <c r="L381" s="40" t="str">
        <f t="shared" ca="1" si="2"/>
        <v>MBM28</v>
      </c>
      <c r="M381" s="36" t="str">
        <f t="shared" ca="1" si="3"/>
        <v>MBM</v>
      </c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</row>
    <row r="382" spans="1:27">
      <c r="A382" s="40"/>
      <c r="B382" s="36"/>
      <c r="C382" s="40"/>
      <c r="D382" s="41"/>
      <c r="E382" s="40"/>
      <c r="F382" s="40" t="str">
        <f ca="1">IFERROR(__xludf.DUMMYFUNCTION("""COMPUTED_VALUE"""),"Lisandro Russian")</f>
        <v>Lisandro Russian</v>
      </c>
      <c r="G382" s="40" t="str">
        <f ca="1">IFERROR(__xludf.DUMMYFUNCTION("""COMPUTED_VALUE"""),"LRM")</f>
        <v>LRM</v>
      </c>
      <c r="H382" s="40" t="str">
        <f ca="1">IFERROR(__xludf.DUMMYFUNCTION("""COMPUTED_VALUE"""),"LRM161")</f>
        <v>LRM161</v>
      </c>
      <c r="I382" s="40" t="str">
        <f ca="1">IFERROR(__xludf.DUMMYFUNCTION("""COMPUTED_VALUE"""),"A")</f>
        <v>A</v>
      </c>
      <c r="J382" s="40" t="str">
        <f ca="1">IFERROR(__xludf.DUMMYFUNCTION("""COMPUTED_VALUE"""),"Glendis Reyes De La Cruz")</f>
        <v>Glendis Reyes De La Cruz</v>
      </c>
      <c r="K382" s="40"/>
      <c r="L382" s="40" t="str">
        <f t="shared" ca="1" si="2"/>
        <v>LRM161</v>
      </c>
      <c r="M382" s="36" t="str">
        <f t="shared" ca="1" si="3"/>
        <v>LRM</v>
      </c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</row>
    <row r="383" spans="1:27">
      <c r="A383" s="40"/>
      <c r="B383" s="36"/>
      <c r="C383" s="40"/>
      <c r="D383" s="41"/>
      <c r="E383" s="40"/>
      <c r="F383" s="40" t="str">
        <f ca="1">IFERROR(__xludf.DUMMYFUNCTION("""COMPUTED_VALUE"""),"Lisandro Russian")</f>
        <v>Lisandro Russian</v>
      </c>
      <c r="G383" s="40" t="str">
        <f ca="1">IFERROR(__xludf.DUMMYFUNCTION("""COMPUTED_VALUE"""),"LRM")</f>
        <v>LRM</v>
      </c>
      <c r="H383" s="40" t="str">
        <f ca="1">IFERROR(__xludf.DUMMYFUNCTION("""COMPUTED_VALUE"""),"LRM49")</f>
        <v>LRM49</v>
      </c>
      <c r="I383" s="40" t="str">
        <f ca="1">IFERROR(__xludf.DUMMYFUNCTION("""COMPUTED_VALUE"""),"A")</f>
        <v>A</v>
      </c>
      <c r="J383" s="40" t="str">
        <f ca="1">IFERROR(__xludf.DUMMYFUNCTION("""COMPUTED_VALUE"""),"Gonzalo Díaz Tapia")</f>
        <v>Gonzalo Díaz Tapia</v>
      </c>
      <c r="K383" s="40"/>
      <c r="L383" s="40" t="str">
        <f t="shared" ca="1" si="2"/>
        <v>LRM49</v>
      </c>
      <c r="M383" s="36" t="str">
        <f t="shared" ca="1" si="3"/>
        <v>LRM</v>
      </c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</row>
    <row r="384" spans="1:27">
      <c r="A384" s="40"/>
      <c r="B384" s="36"/>
      <c r="C384" s="40"/>
      <c r="D384" s="41"/>
      <c r="E384" s="40"/>
      <c r="F384" s="40" t="str">
        <f ca="1">IFERROR(__xludf.DUMMYFUNCTION("""COMPUTED_VALUE"""),"Roberto Pereira")</f>
        <v>Roberto Pereira</v>
      </c>
      <c r="G384" s="40" t="str">
        <f ca="1">IFERROR(__xludf.DUMMYFUNCTION("""COMPUTED_VALUE"""),"RPG")</f>
        <v>RPG</v>
      </c>
      <c r="H384" s="40" t="str">
        <f ca="1">IFERROR(__xludf.DUMMYFUNCTION("""COMPUTED_VALUE"""),"RPG59")</f>
        <v>RPG59</v>
      </c>
      <c r="I384" s="40" t="str">
        <f ca="1">IFERROR(__xludf.DUMMYFUNCTION("""COMPUTED_VALUE"""),"A")</f>
        <v>A</v>
      </c>
      <c r="J384" s="40" t="str">
        <f ca="1">IFERROR(__xludf.DUMMYFUNCTION("""COMPUTED_VALUE"""),"Gonzalo Dorado Gutiérrez")</f>
        <v>Gonzalo Dorado Gutiérrez</v>
      </c>
      <c r="K384" s="40"/>
      <c r="L384" s="40" t="str">
        <f t="shared" ca="1" si="2"/>
        <v>RPG59</v>
      </c>
      <c r="M384" s="36" t="str">
        <f t="shared" ca="1" si="3"/>
        <v>RPG</v>
      </c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</row>
    <row r="385" spans="1:27">
      <c r="A385" s="40"/>
      <c r="B385" s="36"/>
      <c r="C385" s="40"/>
      <c r="D385" s="41"/>
      <c r="E385" s="40"/>
      <c r="F385" s="40" t="str">
        <f ca="1">IFERROR(__xludf.DUMMYFUNCTION("""COMPUTED_VALUE"""),"Alberto Moreno")</f>
        <v>Alberto Moreno</v>
      </c>
      <c r="G385" s="40" t="str">
        <f ca="1">IFERROR(__xludf.DUMMYFUNCTION("""COMPUTED_VALUE"""),"AMM")</f>
        <v>AMM</v>
      </c>
      <c r="H385" s="40" t="str">
        <f ca="1">IFERROR(__xludf.DUMMYFUNCTION("""COMPUTED_VALUE"""),"AMM13")</f>
        <v>AMM13</v>
      </c>
      <c r="I385" s="40" t="str">
        <f ca="1">IFERROR(__xludf.DUMMYFUNCTION("""COMPUTED_VALUE"""),"A")</f>
        <v>A</v>
      </c>
      <c r="J385" s="40" t="str">
        <f ca="1">IFERROR(__xludf.DUMMYFUNCTION("""COMPUTED_VALUE"""),"Guadalupe Fernández De Pinedo")</f>
        <v>Guadalupe Fernández De Pinedo</v>
      </c>
      <c r="K385" s="40"/>
      <c r="L385" s="40" t="str">
        <f t="shared" ca="1" si="2"/>
        <v>AMM13</v>
      </c>
      <c r="M385" s="36" t="str">
        <f t="shared" ca="1" si="3"/>
        <v>AMM</v>
      </c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</row>
    <row r="386" spans="1:27">
      <c r="A386" s="40"/>
      <c r="B386" s="36"/>
      <c r="C386" s="40"/>
      <c r="D386" s="41"/>
      <c r="E386" s="40"/>
      <c r="F386" s="40" t="str">
        <f ca="1">IFERROR(__xludf.DUMMYFUNCTION("""COMPUTED_VALUE"""),"Roberto Pereira")</f>
        <v>Roberto Pereira</v>
      </c>
      <c r="G386" s="40" t="str">
        <f ca="1">IFERROR(__xludf.DUMMYFUNCTION("""COMPUTED_VALUE"""),"RPG")</f>
        <v>RPG</v>
      </c>
      <c r="H386" s="40" t="str">
        <f ca="1">IFERROR(__xludf.DUMMYFUNCTION("""COMPUTED_VALUE"""),"RPG46")</f>
        <v>RPG46</v>
      </c>
      <c r="I386" s="40" t="str">
        <f ca="1">IFERROR(__xludf.DUMMYFUNCTION("""COMPUTED_VALUE"""),"A")</f>
        <v>A</v>
      </c>
      <c r="J386" s="40" t="str">
        <f ca="1">IFERROR(__xludf.DUMMYFUNCTION("""COMPUTED_VALUE"""),"Guadalupe Sequeiros Santiago")</f>
        <v>Guadalupe Sequeiros Santiago</v>
      </c>
      <c r="K386" s="40"/>
      <c r="L386" s="40" t="str">
        <f t="shared" ca="1" si="2"/>
        <v>RPG46</v>
      </c>
      <c r="M386" s="36" t="str">
        <f t="shared" ca="1" si="3"/>
        <v>RPG</v>
      </c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</row>
    <row r="387" spans="1:27">
      <c r="A387" s="40"/>
      <c r="B387" s="36"/>
      <c r="C387" s="40"/>
      <c r="D387" s="41"/>
      <c r="E387" s="40"/>
      <c r="F387" s="40" t="str">
        <f ca="1">IFERROR(__xludf.DUMMYFUNCTION("""COMPUTED_VALUE"""),"Lisandro Russian")</f>
        <v>Lisandro Russian</v>
      </c>
      <c r="G387" s="40" t="str">
        <f ca="1">IFERROR(__xludf.DUMMYFUNCTION("""COMPUTED_VALUE"""),"LRM")</f>
        <v>LRM</v>
      </c>
      <c r="H387" s="40" t="str">
        <f ca="1">IFERROR(__xludf.DUMMYFUNCTION("""COMPUTED_VALUE"""),"LRM50")</f>
        <v>LRM50</v>
      </c>
      <c r="I387" s="40" t="str">
        <f ca="1">IFERROR(__xludf.DUMMYFUNCTION("""COMPUTED_VALUE"""),"A")</f>
        <v>A</v>
      </c>
      <c r="J387" s="40" t="str">
        <f ca="1">IFERROR(__xludf.DUMMYFUNCTION("""COMPUTED_VALUE"""),"Guillermo Acosta Díaz")</f>
        <v>Guillermo Acosta Díaz</v>
      </c>
      <c r="K387" s="40"/>
      <c r="L387" s="40" t="str">
        <f t="shared" ca="1" si="2"/>
        <v>LRM50</v>
      </c>
      <c r="M387" s="36" t="str">
        <f t="shared" ca="1" si="3"/>
        <v>LRM</v>
      </c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</row>
    <row r="388" spans="1:27">
      <c r="A388" s="40"/>
      <c r="B388" s="36"/>
      <c r="C388" s="40"/>
      <c r="D388" s="41"/>
      <c r="E388" s="40"/>
      <c r="F388" s="40" t="str">
        <f ca="1">IFERROR(__xludf.DUMMYFUNCTION("""COMPUTED_VALUE"""),"Maika Blázquez")</f>
        <v>Maika Blázquez</v>
      </c>
      <c r="G388" s="40" t="str">
        <f ca="1">IFERROR(__xludf.DUMMYFUNCTION("""COMPUTED_VALUE"""),"MBM")</f>
        <v>MBM</v>
      </c>
      <c r="H388" s="40" t="str">
        <f ca="1">IFERROR(__xludf.DUMMYFUNCTION("""COMPUTED_VALUE"""),"MBM29")</f>
        <v>MBM29</v>
      </c>
      <c r="I388" s="40" t="str">
        <f ca="1">IFERROR(__xludf.DUMMYFUNCTION("""COMPUTED_VALUE"""),"A")</f>
        <v>A</v>
      </c>
      <c r="J388" s="40" t="str">
        <f ca="1">IFERROR(__xludf.DUMMYFUNCTION("""COMPUTED_VALUE"""),"Guillermo Plaza Mayor")</f>
        <v>Guillermo Plaza Mayor</v>
      </c>
      <c r="K388" s="40"/>
      <c r="L388" s="40" t="str">
        <f t="shared" ca="1" si="2"/>
        <v>MBM29</v>
      </c>
      <c r="M388" s="36" t="str">
        <f t="shared" ca="1" si="3"/>
        <v>MBM</v>
      </c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</row>
    <row r="389" spans="1:27">
      <c r="A389" s="40"/>
      <c r="B389" s="36"/>
      <c r="C389" s="40"/>
      <c r="D389" s="41"/>
      <c r="E389" s="40"/>
      <c r="F389" s="40" t="str">
        <f ca="1">IFERROR(__xludf.DUMMYFUNCTION("""COMPUTED_VALUE"""),"Maika Blázquez")</f>
        <v>Maika Blázquez</v>
      </c>
      <c r="G389" s="40" t="str">
        <f ca="1">IFERROR(__xludf.DUMMYFUNCTION("""COMPUTED_VALUE"""),"MBM")</f>
        <v>MBM</v>
      </c>
      <c r="H389" s="40" t="str">
        <f ca="1">IFERROR(__xludf.DUMMYFUNCTION("""COMPUTED_VALUE"""),"MBM30")</f>
        <v>MBM30</v>
      </c>
      <c r="I389" s="40" t="str">
        <f ca="1">IFERROR(__xludf.DUMMYFUNCTION("""COMPUTED_VALUE"""),"A")</f>
        <v>A</v>
      </c>
      <c r="J389" s="40" t="str">
        <f ca="1">IFERROR(__xludf.DUMMYFUNCTION("""COMPUTED_VALUE"""),"Guillermo San Juan De La Moreta")</f>
        <v>Guillermo San Juan De La Moreta</v>
      </c>
      <c r="K389" s="40"/>
      <c r="L389" s="40" t="str">
        <f t="shared" ca="1" si="2"/>
        <v>MBM30</v>
      </c>
      <c r="M389" s="36" t="str">
        <f t="shared" ca="1" si="3"/>
        <v>MBM</v>
      </c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</row>
    <row r="390" spans="1:27">
      <c r="A390" s="40"/>
      <c r="B390" s="36"/>
      <c r="C390" s="40"/>
      <c r="D390" s="41"/>
      <c r="E390" s="40"/>
      <c r="F390" s="40" t="str">
        <f ca="1">IFERROR(__xludf.DUMMYFUNCTION("""COMPUTED_VALUE"""),"Iván Sánchez")</f>
        <v>Iván Sánchez</v>
      </c>
      <c r="G390" s="40" t="str">
        <f ca="1">IFERROR(__xludf.DUMMYFUNCTION("""COMPUTED_VALUE"""),"ISL")</f>
        <v>ISL</v>
      </c>
      <c r="H390" s="40" t="str">
        <f ca="1">IFERROR(__xludf.DUMMYFUNCTION("""COMPUTED_VALUE"""),"ISL37")</f>
        <v>ISL37</v>
      </c>
      <c r="I390" s="40" t="str">
        <f ca="1">IFERROR(__xludf.DUMMYFUNCTION("""COMPUTED_VALUE"""),"B")</f>
        <v>B</v>
      </c>
      <c r="J390" s="40" t="str">
        <f ca="1">IFERROR(__xludf.DUMMYFUNCTION("""COMPUTED_VALUE"""),"Guillermo Severá Ferrándiz")</f>
        <v>Guillermo Severá Ferrándiz</v>
      </c>
      <c r="K390" s="40"/>
      <c r="L390" s="40" t="str">
        <f t="shared" ca="1" si="2"/>
        <v>ISL37</v>
      </c>
      <c r="M390" s="36" t="str">
        <f t="shared" ca="1" si="3"/>
        <v>ISL</v>
      </c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</row>
    <row r="391" spans="1:27">
      <c r="A391" s="40"/>
      <c r="B391" s="36"/>
      <c r="C391" s="40"/>
      <c r="D391" s="41"/>
      <c r="E391" s="40"/>
      <c r="F391" s="40" t="str">
        <f ca="1">IFERROR(__xludf.DUMMYFUNCTION("""COMPUTED_VALUE"""),"Luis Alberto Rodríguez")</f>
        <v>Luis Alberto Rodríguez</v>
      </c>
      <c r="G391" s="40" t="str">
        <f ca="1">IFERROR(__xludf.DUMMYFUNCTION("""COMPUTED_VALUE"""),"LAA")</f>
        <v>LAA</v>
      </c>
      <c r="H391" s="40" t="str">
        <f ca="1">IFERROR(__xludf.DUMMYFUNCTION("""COMPUTED_VALUE"""),"LAA70")</f>
        <v>LAA70</v>
      </c>
      <c r="I391" s="40" t="str">
        <f ca="1">IFERROR(__xludf.DUMMYFUNCTION("""COMPUTED_VALUE"""),"C")</f>
        <v>C</v>
      </c>
      <c r="J391" s="40" t="str">
        <f ca="1">IFERROR(__xludf.DUMMYFUNCTION("""COMPUTED_VALUE"""),"Guillermo Sierra Galera")</f>
        <v>Guillermo Sierra Galera</v>
      </c>
      <c r="K391" s="40"/>
      <c r="L391" s="40" t="str">
        <f t="shared" ca="1" si="2"/>
        <v>LAA70</v>
      </c>
      <c r="M391" s="36" t="str">
        <f t="shared" ca="1" si="3"/>
        <v>LAA</v>
      </c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</row>
    <row r="392" spans="1:27">
      <c r="A392" s="40"/>
      <c r="B392" s="36"/>
      <c r="C392" s="40"/>
      <c r="D392" s="41"/>
      <c r="E392" s="40"/>
      <c r="F392" s="40" t="str">
        <f ca="1">IFERROR(__xludf.DUMMYFUNCTION("""COMPUTED_VALUE"""),"Luis Alberto Rodríguez")</f>
        <v>Luis Alberto Rodríguez</v>
      </c>
      <c r="G392" s="40" t="str">
        <f ca="1">IFERROR(__xludf.DUMMYFUNCTION("""COMPUTED_VALUE"""),"LAA")</f>
        <v>LAA</v>
      </c>
      <c r="H392" s="40" t="str">
        <f ca="1">IFERROR(__xludf.DUMMYFUNCTION("""COMPUTED_VALUE"""),"LAA76")</f>
        <v>LAA76</v>
      </c>
      <c r="I392" s="40" t="str">
        <f ca="1">IFERROR(__xludf.DUMMYFUNCTION("""COMPUTED_VALUE"""),"C")</f>
        <v>C</v>
      </c>
      <c r="J392" s="40" t="str">
        <f ca="1">IFERROR(__xludf.DUMMYFUNCTION("""COMPUTED_VALUE"""),"Gumersindo Jesús Pérez Ortega")</f>
        <v>Gumersindo Jesús Pérez Ortega</v>
      </c>
      <c r="K392" s="40"/>
      <c r="L392" s="40" t="str">
        <f t="shared" ca="1" si="2"/>
        <v>LAA76</v>
      </c>
      <c r="M392" s="36" t="str">
        <f t="shared" ca="1" si="3"/>
        <v>LAA</v>
      </c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</row>
    <row r="393" spans="1:27">
      <c r="A393" s="40"/>
      <c r="B393" s="36"/>
      <c r="C393" s="40"/>
      <c r="D393" s="41"/>
      <c r="E393" s="40"/>
      <c r="F393" s="40" t="str">
        <f ca="1">IFERROR(__xludf.DUMMYFUNCTION("""COMPUTED_VALUE"""),"Luis Alberto Rodríguez")</f>
        <v>Luis Alberto Rodríguez</v>
      </c>
      <c r="G393" s="40" t="str">
        <f ca="1">IFERROR(__xludf.DUMMYFUNCTION("""COMPUTED_VALUE"""),"LAA")</f>
        <v>LAA</v>
      </c>
      <c r="H393" s="40" t="str">
        <f ca="1">IFERROR(__xludf.DUMMYFUNCTION("""COMPUTED_VALUE"""),"LAA19")</f>
        <v>LAA19</v>
      </c>
      <c r="I393" s="40" t="str">
        <f ca="1">IFERROR(__xludf.DUMMYFUNCTION("""COMPUTED_VALUE"""),"C")</f>
        <v>C</v>
      </c>
      <c r="J393" s="40" t="str">
        <f ca="1">IFERROR(__xludf.DUMMYFUNCTION("""COMPUTED_VALUE"""),"Gustavo Benavente Bermudo")</f>
        <v>Gustavo Benavente Bermudo</v>
      </c>
      <c r="K393" s="40"/>
      <c r="L393" s="40" t="str">
        <f t="shared" ca="1" si="2"/>
        <v>LAA19</v>
      </c>
      <c r="M393" s="36" t="str">
        <f t="shared" ca="1" si="3"/>
        <v>LAA</v>
      </c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</row>
    <row r="394" spans="1:27">
      <c r="A394" s="40"/>
      <c r="B394" s="36"/>
      <c r="C394" s="40"/>
      <c r="D394" s="41"/>
      <c r="E394" s="40"/>
      <c r="F394" s="40" t="str">
        <f ca="1">IFERROR(__xludf.DUMMYFUNCTION("""COMPUTED_VALUE"""),"Maika Blázquez")</f>
        <v>Maika Blázquez</v>
      </c>
      <c r="G394" s="40" t="str">
        <f ca="1">IFERROR(__xludf.DUMMYFUNCTION("""COMPUTED_VALUE"""),"MBM")</f>
        <v>MBM</v>
      </c>
      <c r="H394" s="40" t="str">
        <f ca="1">IFERROR(__xludf.DUMMYFUNCTION("""COMPUTED_VALUE"""),"MBM31")</f>
        <v>MBM31</v>
      </c>
      <c r="I394" s="40" t="str">
        <f ca="1">IFERROR(__xludf.DUMMYFUNCTION("""COMPUTED_VALUE"""),"A")</f>
        <v>A</v>
      </c>
      <c r="J394" s="40" t="str">
        <f ca="1">IFERROR(__xludf.DUMMYFUNCTION("""COMPUTED_VALUE"""),"Gustavo Córdova Ramos")</f>
        <v>Gustavo Córdova Ramos</v>
      </c>
      <c r="K394" s="40"/>
      <c r="L394" s="40" t="str">
        <f t="shared" ca="1" si="2"/>
        <v>MBM31</v>
      </c>
      <c r="M394" s="36" t="str">
        <f t="shared" ca="1" si="3"/>
        <v>MBM</v>
      </c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</row>
    <row r="395" spans="1:27">
      <c r="A395" s="40"/>
      <c r="B395" s="36"/>
      <c r="C395" s="40"/>
      <c r="D395" s="41"/>
      <c r="E395" s="40"/>
      <c r="F395" s="40" t="str">
        <f ca="1">IFERROR(__xludf.DUMMYFUNCTION("""COMPUTED_VALUE"""),"Maika Blázquez")</f>
        <v>Maika Blázquez</v>
      </c>
      <c r="G395" s="40" t="str">
        <f ca="1">IFERROR(__xludf.DUMMYFUNCTION("""COMPUTED_VALUE"""),"MBM")</f>
        <v>MBM</v>
      </c>
      <c r="H395" s="40" t="str">
        <f ca="1">IFERROR(__xludf.DUMMYFUNCTION("""COMPUTED_VALUE"""),"MBM32")</f>
        <v>MBM32</v>
      </c>
      <c r="I395" s="40" t="str">
        <f ca="1">IFERROR(__xludf.DUMMYFUNCTION("""COMPUTED_VALUE"""),"A")</f>
        <v>A</v>
      </c>
      <c r="J395" s="40" t="str">
        <f ca="1">IFERROR(__xludf.DUMMYFUNCTION("""COMPUTED_VALUE"""),"Gustavo Eisenberg Plaza")</f>
        <v>Gustavo Eisenberg Plaza</v>
      </c>
      <c r="K395" s="40"/>
      <c r="L395" s="40" t="str">
        <f t="shared" ca="1" si="2"/>
        <v>MBM32</v>
      </c>
      <c r="M395" s="36" t="str">
        <f t="shared" ca="1" si="3"/>
        <v>MBM</v>
      </c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</row>
    <row r="396" spans="1:27">
      <c r="A396" s="40"/>
      <c r="B396" s="36"/>
      <c r="C396" s="40"/>
      <c r="D396" s="41"/>
      <c r="E396" s="40"/>
      <c r="F396" s="40" t="str">
        <f ca="1">IFERROR(__xludf.DUMMYFUNCTION("""COMPUTED_VALUE"""),"Lisandro Russian")</f>
        <v>Lisandro Russian</v>
      </c>
      <c r="G396" s="40" t="str">
        <f ca="1">IFERROR(__xludf.DUMMYFUNCTION("""COMPUTED_VALUE"""),"LRM")</f>
        <v>LRM</v>
      </c>
      <c r="H396" s="40" t="str">
        <f ca="1">IFERROR(__xludf.DUMMYFUNCTION("""COMPUTED_VALUE"""),"LRM51")</f>
        <v>LRM51</v>
      </c>
      <c r="I396" s="40" t="str">
        <f ca="1">IFERROR(__xludf.DUMMYFUNCTION("""COMPUTED_VALUE"""),"A")</f>
        <v>A</v>
      </c>
      <c r="J396" s="40" t="str">
        <f ca="1">IFERROR(__xludf.DUMMYFUNCTION("""COMPUTED_VALUE"""),"Hatim Abubaid Abubaid")</f>
        <v>Hatim Abubaid Abubaid</v>
      </c>
      <c r="K396" s="23"/>
      <c r="L396" s="40" t="str">
        <f t="shared" ca="1" si="2"/>
        <v>LRM51</v>
      </c>
      <c r="M396" s="36" t="str">
        <f t="shared" ca="1" si="3"/>
        <v>LRM</v>
      </c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</row>
    <row r="397" spans="1:27">
      <c r="A397" s="40"/>
      <c r="B397" s="36"/>
      <c r="C397" s="40"/>
      <c r="D397" s="41"/>
      <c r="E397" s="40"/>
      <c r="F397" s="40" t="str">
        <f ca="1">IFERROR(__xludf.DUMMYFUNCTION("""COMPUTED_VALUE"""),"Iván Sánchez")</f>
        <v>Iván Sánchez</v>
      </c>
      <c r="G397" s="40" t="str">
        <f ca="1">IFERROR(__xludf.DUMMYFUNCTION("""COMPUTED_VALUE"""),"ISL")</f>
        <v>ISL</v>
      </c>
      <c r="H397" s="40" t="str">
        <f ca="1">IFERROR(__xludf.DUMMYFUNCTION("""COMPUTED_VALUE"""),"ISL38")</f>
        <v>ISL38</v>
      </c>
      <c r="I397" s="40" t="str">
        <f ca="1">IFERROR(__xludf.DUMMYFUNCTION("""COMPUTED_VALUE"""),"B")</f>
        <v>B</v>
      </c>
      <c r="J397" s="40" t="str">
        <f ca="1">IFERROR(__xludf.DUMMYFUNCTION("""COMPUTED_VALUE"""),"Héctor Guiral Torner")</f>
        <v>Héctor Guiral Torner</v>
      </c>
      <c r="K397" s="40"/>
      <c r="L397" s="40" t="str">
        <f t="shared" ca="1" si="2"/>
        <v>ISL38</v>
      </c>
      <c r="M397" s="36" t="str">
        <f t="shared" ca="1" si="3"/>
        <v>ISL</v>
      </c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</row>
    <row r="398" spans="1:27">
      <c r="A398" s="40"/>
      <c r="B398" s="36"/>
      <c r="C398" s="40"/>
      <c r="D398" s="41"/>
      <c r="E398" s="40"/>
      <c r="F398" s="40" t="str">
        <f ca="1">IFERROR(__xludf.DUMMYFUNCTION("""COMPUTED_VALUE"""),"Lisandro Russian")</f>
        <v>Lisandro Russian</v>
      </c>
      <c r="G398" s="40" t="str">
        <f ca="1">IFERROR(__xludf.DUMMYFUNCTION("""COMPUTED_VALUE"""),"LRM")</f>
        <v>LRM</v>
      </c>
      <c r="H398" s="40" t="str">
        <f ca="1">IFERROR(__xludf.DUMMYFUNCTION("""COMPUTED_VALUE"""),"LRM52")</f>
        <v>LRM52</v>
      </c>
      <c r="I398" s="40" t="str">
        <f ca="1">IFERROR(__xludf.DUMMYFUNCTION("""COMPUTED_VALUE"""),"A")</f>
        <v>A</v>
      </c>
      <c r="J398" s="40" t="str">
        <f ca="1">IFERROR(__xludf.DUMMYFUNCTION("""COMPUTED_VALUE"""),"Héctor Vallés Varela")</f>
        <v>Héctor Vallés Varela</v>
      </c>
      <c r="K398" s="40"/>
      <c r="L398" s="40" t="str">
        <f t="shared" ca="1" si="2"/>
        <v>LRM52</v>
      </c>
      <c r="M398" s="36" t="str">
        <f t="shared" ca="1" si="3"/>
        <v>LRM</v>
      </c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</row>
    <row r="399" spans="1:27">
      <c r="A399" s="40"/>
      <c r="B399" s="36"/>
      <c r="C399" s="40"/>
      <c r="D399" s="41"/>
      <c r="E399" s="40"/>
      <c r="F399" s="40" t="str">
        <f ca="1">IFERROR(__xludf.DUMMYFUNCTION("""COMPUTED_VALUE"""),"Maika Blázquez")</f>
        <v>Maika Blázquez</v>
      </c>
      <c r="G399" s="40" t="str">
        <f ca="1">IFERROR(__xludf.DUMMYFUNCTION("""COMPUTED_VALUE"""),"MBM")</f>
        <v>MBM</v>
      </c>
      <c r="H399" s="40" t="str">
        <f ca="1">IFERROR(__xludf.DUMMYFUNCTION("""COMPUTED_VALUE"""),"MBM117")</f>
        <v>MBM117</v>
      </c>
      <c r="I399" s="40" t="str">
        <f ca="1">IFERROR(__xludf.DUMMYFUNCTION("""COMPUTED_VALUE"""),"A")</f>
        <v>A</v>
      </c>
      <c r="J399" s="40" t="str">
        <f ca="1">IFERROR(__xludf.DUMMYFUNCTION("""COMPUTED_VALUE"""),"Helena Moreno Pardo")</f>
        <v>Helena Moreno Pardo</v>
      </c>
      <c r="K399" s="40"/>
      <c r="L399" s="40" t="str">
        <f t="shared" ca="1" si="2"/>
        <v>MBM117</v>
      </c>
      <c r="M399" s="36" t="str">
        <f t="shared" ca="1" si="3"/>
        <v>MBM</v>
      </c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</row>
    <row r="400" spans="1:27">
      <c r="A400" s="40"/>
      <c r="B400" s="36"/>
      <c r="C400" s="40"/>
      <c r="D400" s="41"/>
      <c r="E400" s="40"/>
      <c r="F400" s="40" t="str">
        <f ca="1">IFERROR(__xludf.DUMMYFUNCTION("""COMPUTED_VALUE"""),"Maika Blázquez")</f>
        <v>Maika Blázquez</v>
      </c>
      <c r="G400" s="40" t="str">
        <f ca="1">IFERROR(__xludf.DUMMYFUNCTION("""COMPUTED_VALUE"""),"MBM")</f>
        <v>MBM</v>
      </c>
      <c r="H400" s="40" t="str">
        <f ca="1">IFERROR(__xludf.DUMMYFUNCTION("""COMPUTED_VALUE"""),"MBM33")</f>
        <v>MBM33</v>
      </c>
      <c r="I400" s="40" t="str">
        <f ca="1">IFERROR(__xludf.DUMMYFUNCTION("""COMPUTED_VALUE"""),"A")</f>
        <v>A</v>
      </c>
      <c r="J400" s="40" t="str">
        <f ca="1">IFERROR(__xludf.DUMMYFUNCTION("""COMPUTED_VALUE"""),"Hugo Eduardo Ballivian Yañez")</f>
        <v>Hugo Eduardo Ballivian Yañez</v>
      </c>
      <c r="K400" s="40"/>
      <c r="L400" s="40" t="str">
        <f t="shared" ca="1" si="2"/>
        <v>MBM33</v>
      </c>
      <c r="M400" s="36" t="str">
        <f t="shared" ca="1" si="3"/>
        <v>MBM</v>
      </c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</row>
    <row r="401" spans="1:27">
      <c r="A401" s="40"/>
      <c r="B401" s="36"/>
      <c r="C401" s="40"/>
      <c r="D401" s="41"/>
      <c r="E401" s="40"/>
      <c r="F401" s="40" t="str">
        <f ca="1">IFERROR(__xludf.DUMMYFUNCTION("""COMPUTED_VALUE"""),"Patricia Solache")</f>
        <v>Patricia Solache</v>
      </c>
      <c r="G401" s="40" t="str">
        <f ca="1">IFERROR(__xludf.DUMMYFUNCTION("""COMPUTED_VALUE"""),"PSC")</f>
        <v>PSC</v>
      </c>
      <c r="H401" s="40" t="str">
        <f ca="1">IFERROR(__xludf.DUMMYFUNCTION("""COMPUTED_VALUE"""),"PSC10")</f>
        <v>PSC10</v>
      </c>
      <c r="I401" s="40" t="str">
        <f ca="1">IFERROR(__xludf.DUMMYFUNCTION("""COMPUTED_VALUE"""),"A")</f>
        <v>A</v>
      </c>
      <c r="J401" s="40" t="str">
        <f ca="1">IFERROR(__xludf.DUMMYFUNCTION("""COMPUTED_VALUE"""),"Hugo Lara Sánchez")</f>
        <v>Hugo Lara Sánchez</v>
      </c>
      <c r="K401" s="40"/>
      <c r="L401" s="40" t="str">
        <f t="shared" ca="1" si="2"/>
        <v>PSC10</v>
      </c>
      <c r="M401" s="36" t="str">
        <f t="shared" ca="1" si="3"/>
        <v>PSC</v>
      </c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</row>
    <row r="402" spans="1:27">
      <c r="A402" s="40"/>
      <c r="B402" s="36"/>
      <c r="C402" s="40"/>
      <c r="D402" s="41"/>
      <c r="E402" s="40"/>
      <c r="F402" s="40" t="str">
        <f ca="1">IFERROR(__xludf.DUMMYFUNCTION("""COMPUTED_VALUE"""),"Iván Sánchez")</f>
        <v>Iván Sánchez</v>
      </c>
      <c r="G402" s="40" t="str">
        <f ca="1">IFERROR(__xludf.DUMMYFUNCTION("""COMPUTED_VALUE"""),"ISL")</f>
        <v>ISL</v>
      </c>
      <c r="H402" s="40" t="str">
        <f ca="1">IFERROR(__xludf.DUMMYFUNCTION("""COMPUTED_VALUE"""),"ISL39")</f>
        <v>ISL39</v>
      </c>
      <c r="I402" s="40" t="str">
        <f ca="1">IFERROR(__xludf.DUMMYFUNCTION("""COMPUTED_VALUE"""),"B")</f>
        <v>B</v>
      </c>
      <c r="J402" s="40" t="str">
        <f ca="1">IFERROR(__xludf.DUMMYFUNCTION("""COMPUTED_VALUE"""),"Ignacio Albaladejo Devis")</f>
        <v>Ignacio Albaladejo Devis</v>
      </c>
      <c r="K402" s="40"/>
      <c r="L402" s="40" t="str">
        <f t="shared" ca="1" si="2"/>
        <v>ISL39</v>
      </c>
      <c r="M402" s="36" t="str">
        <f t="shared" ca="1" si="3"/>
        <v>ISL</v>
      </c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</row>
    <row r="403" spans="1:27">
      <c r="A403" s="40"/>
      <c r="B403" s="36"/>
      <c r="C403" s="40"/>
      <c r="D403" s="41"/>
      <c r="E403" s="40"/>
      <c r="F403" s="40" t="str">
        <f ca="1">IFERROR(__xludf.DUMMYFUNCTION("""COMPUTED_VALUE"""),"Patricia Solache")</f>
        <v>Patricia Solache</v>
      </c>
      <c r="G403" s="40" t="str">
        <f ca="1">IFERROR(__xludf.DUMMYFUNCTION("""COMPUTED_VALUE"""),"PSC")</f>
        <v>PSC</v>
      </c>
      <c r="H403" s="40" t="str">
        <f ca="1">IFERROR(__xludf.DUMMYFUNCTION("""COMPUTED_VALUE"""),"PSC11")</f>
        <v>PSC11</v>
      </c>
      <c r="I403" s="40" t="str">
        <f ca="1">IFERROR(__xludf.DUMMYFUNCTION("""COMPUTED_VALUE"""),"A")</f>
        <v>A</v>
      </c>
      <c r="J403" s="40" t="str">
        <f ca="1">IFERROR(__xludf.DUMMYFUNCTION("""COMPUTED_VALUE"""),"Ignacio Álvarez Álvarez")</f>
        <v>Ignacio Álvarez Álvarez</v>
      </c>
      <c r="K403" s="40"/>
      <c r="L403" s="40" t="str">
        <f t="shared" ca="1" si="2"/>
        <v>PSC11</v>
      </c>
      <c r="M403" s="36" t="str">
        <f t="shared" ca="1" si="3"/>
        <v>PSC</v>
      </c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</row>
    <row r="404" spans="1:27">
      <c r="A404" s="40"/>
      <c r="B404" s="36"/>
      <c r="C404" s="40"/>
      <c r="D404" s="41"/>
      <c r="E404" s="40"/>
      <c r="F404" s="40" t="str">
        <f ca="1">IFERROR(__xludf.DUMMYFUNCTION("""COMPUTED_VALUE"""),"Maika Blázquez")</f>
        <v>Maika Blázquez</v>
      </c>
      <c r="G404" s="40" t="str">
        <f ca="1">IFERROR(__xludf.DUMMYFUNCTION("""COMPUTED_VALUE"""),"MBM")</f>
        <v>MBM</v>
      </c>
      <c r="H404" s="40" t="str">
        <f ca="1">IFERROR(__xludf.DUMMYFUNCTION("""COMPUTED_VALUE"""),"MBM34")</f>
        <v>MBM34</v>
      </c>
      <c r="I404" s="40" t="str">
        <f ca="1">IFERROR(__xludf.DUMMYFUNCTION("""COMPUTED_VALUE"""),"A")</f>
        <v>A</v>
      </c>
      <c r="J404" s="40" t="str">
        <f ca="1">IFERROR(__xludf.DUMMYFUNCTION("""COMPUTED_VALUE"""),"Ignacio Aristegui Torrano")</f>
        <v>Ignacio Aristegui Torrano</v>
      </c>
      <c r="K404" s="40"/>
      <c r="L404" s="40" t="str">
        <f t="shared" ca="1" si="2"/>
        <v>MBM34</v>
      </c>
      <c r="M404" s="36" t="str">
        <f t="shared" ca="1" si="3"/>
        <v>MBM</v>
      </c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</row>
    <row r="405" spans="1:27">
      <c r="A405" s="40"/>
      <c r="B405" s="36"/>
      <c r="C405" s="40"/>
      <c r="D405" s="41"/>
      <c r="E405" s="40"/>
      <c r="F405" s="40" t="str">
        <f ca="1">IFERROR(__xludf.DUMMYFUNCTION("""COMPUTED_VALUE"""),"Mercè Cabrera")</f>
        <v>Mercè Cabrera</v>
      </c>
      <c r="G405" s="40" t="str">
        <f ca="1">IFERROR(__xludf.DUMMYFUNCTION("""COMPUTED_VALUE"""),"MCC")</f>
        <v>MCC</v>
      </c>
      <c r="H405" s="40" t="str">
        <f ca="1">IFERROR(__xludf.DUMMYFUNCTION("""COMPUTED_VALUE"""),"MCC16")</f>
        <v>MCC16</v>
      </c>
      <c r="I405" s="40" t="str">
        <f ca="1">IFERROR(__xludf.DUMMYFUNCTION("""COMPUTED_VALUE"""),"A")</f>
        <v>A</v>
      </c>
      <c r="J405" s="40" t="str">
        <f ca="1">IFERROR(__xludf.DUMMYFUNCTION("""COMPUTED_VALUE"""),"Ignacio Clemente Agodino")</f>
        <v>Ignacio Clemente Agodino</v>
      </c>
      <c r="K405" s="40"/>
      <c r="L405" s="40" t="str">
        <f t="shared" ca="1" si="2"/>
        <v>MCC16</v>
      </c>
      <c r="M405" s="36" t="str">
        <f t="shared" ca="1" si="3"/>
        <v>MCC</v>
      </c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</row>
    <row r="406" spans="1:27">
      <c r="A406" s="40"/>
      <c r="B406" s="36"/>
      <c r="C406" s="40"/>
      <c r="D406" s="41"/>
      <c r="E406" s="40"/>
      <c r="F406" s="40" t="str">
        <f ca="1">IFERROR(__xludf.DUMMYFUNCTION("""COMPUTED_VALUE"""),"Lisandro Russian")</f>
        <v>Lisandro Russian</v>
      </c>
      <c r="G406" s="40" t="str">
        <f ca="1">IFERROR(__xludf.DUMMYFUNCTION("""COMPUTED_VALUE"""),"LRM")</f>
        <v>LRM</v>
      </c>
      <c r="H406" s="40" t="str">
        <f ca="1">IFERROR(__xludf.DUMMYFUNCTION("""COMPUTED_VALUE"""),"LRM251")</f>
        <v>LRM251</v>
      </c>
      <c r="I406" s="40" t="str">
        <f ca="1">IFERROR(__xludf.DUMMYFUNCTION("""COMPUTED_VALUE"""),"A")</f>
        <v>A</v>
      </c>
      <c r="J406" s="40" t="str">
        <f ca="1">IFERROR(__xludf.DUMMYFUNCTION("""COMPUTED_VALUE"""),"Ignacio Erdozáin Rodríguez")</f>
        <v>Ignacio Erdozáin Rodríguez</v>
      </c>
      <c r="K406" s="40"/>
      <c r="L406" s="40" t="str">
        <f t="shared" ca="1" si="2"/>
        <v>LRM251</v>
      </c>
      <c r="M406" s="36" t="str">
        <f t="shared" ca="1" si="3"/>
        <v>LRM</v>
      </c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</row>
    <row r="407" spans="1:27">
      <c r="A407" s="40"/>
      <c r="B407" s="36"/>
      <c r="C407" s="40"/>
      <c r="D407" s="41"/>
      <c r="E407" s="40"/>
      <c r="F407" s="40" t="str">
        <f ca="1">IFERROR(__xludf.DUMMYFUNCTION("""COMPUTED_VALUE"""),"Lisandro Russian")</f>
        <v>Lisandro Russian</v>
      </c>
      <c r="G407" s="40" t="str">
        <f ca="1">IFERROR(__xludf.DUMMYFUNCTION("""COMPUTED_VALUE"""),"LRM")</f>
        <v>LRM</v>
      </c>
      <c r="H407" s="40" t="str">
        <f ca="1">IFERROR(__xludf.DUMMYFUNCTION("""COMPUTED_VALUE"""),"LRM53")</f>
        <v>LRM53</v>
      </c>
      <c r="I407" s="40" t="str">
        <f ca="1">IFERROR(__xludf.DUMMYFUNCTION("""COMPUTED_VALUE"""),"A")</f>
        <v>A</v>
      </c>
      <c r="J407" s="40" t="str">
        <f ca="1">IFERROR(__xludf.DUMMYFUNCTION("""COMPUTED_VALUE"""),"Ignacio Gómez Campdera")</f>
        <v>Ignacio Gómez Campdera</v>
      </c>
      <c r="K407" s="40"/>
      <c r="L407" s="40" t="str">
        <f t="shared" ca="1" si="2"/>
        <v>LRM53</v>
      </c>
      <c r="M407" s="36" t="str">
        <f t="shared" ca="1" si="3"/>
        <v>LRM</v>
      </c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</row>
    <row r="408" spans="1:27">
      <c r="A408" s="40"/>
      <c r="B408" s="36"/>
      <c r="C408" s="40"/>
      <c r="D408" s="41"/>
      <c r="E408" s="40"/>
      <c r="F408" s="40" t="str">
        <f ca="1">IFERROR(__xludf.DUMMYFUNCTION("""COMPUTED_VALUE"""),"Maika Blázquez")</f>
        <v>Maika Blázquez</v>
      </c>
      <c r="G408" s="40" t="str">
        <f ca="1">IFERROR(__xludf.DUMMYFUNCTION("""COMPUTED_VALUE"""),"MBM")</f>
        <v>MBM</v>
      </c>
      <c r="H408" s="40" t="str">
        <f ca="1">IFERROR(__xludf.DUMMYFUNCTION("""COMPUTED_VALUE"""),"MBM202")</f>
        <v>MBM202</v>
      </c>
      <c r="I408" s="40" t="str">
        <f ca="1">IFERROR(__xludf.DUMMYFUNCTION("""COMPUTED_VALUE"""),"A")</f>
        <v>A</v>
      </c>
      <c r="J408" s="40" t="str">
        <f ca="1">IFERROR(__xludf.DUMMYFUNCTION("""COMPUTED_VALUE"""),"Ignacio Jiménez Huerta")</f>
        <v>Ignacio Jiménez Huerta</v>
      </c>
      <c r="K408" s="40"/>
      <c r="L408" s="40" t="str">
        <f t="shared" ca="1" si="2"/>
        <v>MBM202</v>
      </c>
      <c r="M408" s="36" t="str">
        <f t="shared" ca="1" si="3"/>
        <v>MBM</v>
      </c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</row>
    <row r="409" spans="1:27">
      <c r="A409" s="40"/>
      <c r="B409" s="36"/>
      <c r="C409" s="40"/>
      <c r="D409" s="41"/>
      <c r="E409" s="40"/>
      <c r="F409" s="40" t="str">
        <f ca="1">IFERROR(__xludf.DUMMYFUNCTION("""COMPUTED_VALUE"""),"Ramon Ferrando")</f>
        <v>Ramon Ferrando</v>
      </c>
      <c r="G409" s="40" t="str">
        <f ca="1">IFERROR(__xludf.DUMMYFUNCTION("""COMPUTED_VALUE"""),"RFV")</f>
        <v>RFV</v>
      </c>
      <c r="H409" s="40" t="str">
        <f ca="1">IFERROR(__xludf.DUMMYFUNCTION("""COMPUTED_VALUE"""),"RFV13")</f>
        <v>RFV13</v>
      </c>
      <c r="I409" s="40" t="str">
        <f ca="1">IFERROR(__xludf.DUMMYFUNCTION("""COMPUTED_VALUE"""),"B")</f>
        <v>B</v>
      </c>
      <c r="J409" s="40" t="str">
        <f ca="1">IFERROR(__xludf.DUMMYFUNCTION("""COMPUTED_VALUE"""),"Ignacio Llopez Carratalá")</f>
        <v>Ignacio Llopez Carratalá</v>
      </c>
      <c r="K409" s="40"/>
      <c r="L409" s="40" t="str">
        <f t="shared" ca="1" si="2"/>
        <v>RFV13</v>
      </c>
      <c r="M409" s="36" t="str">
        <f t="shared" ca="1" si="3"/>
        <v>RFV</v>
      </c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</row>
    <row r="410" spans="1:27">
      <c r="A410" s="40"/>
      <c r="B410" s="36"/>
      <c r="C410" s="40"/>
      <c r="D410" s="41"/>
      <c r="E410" s="40"/>
      <c r="F410" s="40" t="str">
        <f ca="1">IFERROR(__xludf.DUMMYFUNCTION("""COMPUTED_VALUE"""),"Ramon Ferrando")</f>
        <v>Ramon Ferrando</v>
      </c>
      <c r="G410" s="40" t="str">
        <f ca="1">IFERROR(__xludf.DUMMYFUNCTION("""COMPUTED_VALUE"""),"RFV")</f>
        <v>RFV</v>
      </c>
      <c r="H410" s="40" t="str">
        <f ca="1">IFERROR(__xludf.DUMMYFUNCTION("""COMPUTED_VALUE"""),"RFV14")</f>
        <v>RFV14</v>
      </c>
      <c r="I410" s="40" t="str">
        <f ca="1">IFERROR(__xludf.DUMMYFUNCTION("""COMPUTED_VALUE"""),"B")</f>
        <v>B</v>
      </c>
      <c r="J410" s="40" t="str">
        <f ca="1">IFERROR(__xludf.DUMMYFUNCTION("""COMPUTED_VALUE"""),"Ignacio Pla Gil")</f>
        <v>Ignacio Pla Gil</v>
      </c>
      <c r="K410" s="40"/>
      <c r="L410" s="40" t="str">
        <f t="shared" ca="1" si="2"/>
        <v>RFV14</v>
      </c>
      <c r="M410" s="36" t="str">
        <f t="shared" ca="1" si="3"/>
        <v>RFV</v>
      </c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</row>
    <row r="411" spans="1:27">
      <c r="A411" s="40"/>
      <c r="B411" s="36"/>
      <c r="C411" s="40"/>
      <c r="D411" s="41"/>
      <c r="E411" s="40"/>
      <c r="F411" s="40" t="str">
        <f ca="1">IFERROR(__xludf.DUMMYFUNCTION("""COMPUTED_VALUE"""),"Lisandro Russian")</f>
        <v>Lisandro Russian</v>
      </c>
      <c r="G411" s="40" t="str">
        <f ca="1">IFERROR(__xludf.DUMMYFUNCTION("""COMPUTED_VALUE"""),"LRM")</f>
        <v>LRM</v>
      </c>
      <c r="H411" s="40" t="str">
        <f ca="1">IFERROR(__xludf.DUMMYFUNCTION("""COMPUTED_VALUE"""),"LRM54")</f>
        <v>LRM54</v>
      </c>
      <c r="I411" s="40" t="str">
        <f ca="1">IFERROR(__xludf.DUMMYFUNCTION("""COMPUTED_VALUE"""),"A")</f>
        <v>A</v>
      </c>
      <c r="J411" s="40" t="str">
        <f ca="1">IFERROR(__xludf.DUMMYFUNCTION("""COMPUTED_VALUE"""),"Ignacio Sierra Arbide")</f>
        <v>Ignacio Sierra Arbide</v>
      </c>
      <c r="K411" s="40"/>
      <c r="L411" s="40" t="str">
        <f t="shared" ca="1" si="2"/>
        <v>LRM54</v>
      </c>
      <c r="M411" s="36" t="str">
        <f t="shared" ca="1" si="3"/>
        <v>LRM</v>
      </c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</row>
    <row r="412" spans="1:27">
      <c r="A412" s="40"/>
      <c r="B412" s="36"/>
      <c r="C412" s="40"/>
      <c r="D412" s="41"/>
      <c r="E412" s="40"/>
      <c r="F412" s="40" t="str">
        <f ca="1">IFERROR(__xludf.DUMMYFUNCTION("""COMPUTED_VALUE"""),"Mercè Cabrera")</f>
        <v>Mercè Cabrera</v>
      </c>
      <c r="G412" s="40" t="str">
        <f ca="1">IFERROR(__xludf.DUMMYFUNCTION("""COMPUTED_VALUE"""),"MCC")</f>
        <v>MCC</v>
      </c>
      <c r="H412" s="40" t="str">
        <f ca="1">IFERROR(__xludf.DUMMYFUNCTION("""COMPUTED_VALUE"""),"MCC47")</f>
        <v>MCC47</v>
      </c>
      <c r="I412" s="40" t="str">
        <f ca="1">IFERROR(__xludf.DUMMYFUNCTION("""COMPUTED_VALUE"""),"A")</f>
        <v>A</v>
      </c>
      <c r="J412" s="40" t="str">
        <f ca="1">IFERROR(__xludf.DUMMYFUNCTION("""COMPUTED_VALUE"""),"Inés Llano Espinosa")</f>
        <v>Inés Llano Espinosa</v>
      </c>
      <c r="K412" s="40"/>
      <c r="L412" s="40" t="str">
        <f t="shared" ca="1" si="2"/>
        <v>MCC47</v>
      </c>
      <c r="M412" s="36" t="str">
        <f t="shared" ca="1" si="3"/>
        <v>MCC</v>
      </c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</row>
    <row r="413" spans="1:27">
      <c r="A413" s="40"/>
      <c r="B413" s="36"/>
      <c r="C413" s="40"/>
      <c r="D413" s="41"/>
      <c r="E413" s="40"/>
      <c r="F413" s="40" t="str">
        <f ca="1">IFERROR(__xludf.DUMMYFUNCTION("""COMPUTED_VALUE"""),"Lisandro Russian")</f>
        <v>Lisandro Russian</v>
      </c>
      <c r="G413" s="40" t="str">
        <f ca="1">IFERROR(__xludf.DUMMYFUNCTION("""COMPUTED_VALUE"""),"LRM")</f>
        <v>LRM</v>
      </c>
      <c r="H413" s="40" t="str">
        <f ca="1">IFERROR(__xludf.DUMMYFUNCTION("""COMPUTED_VALUE"""),"LRM162")</f>
        <v>LRM162</v>
      </c>
      <c r="I413" s="40" t="str">
        <f ca="1">IFERROR(__xludf.DUMMYFUNCTION("""COMPUTED_VALUE"""),"A")</f>
        <v>A</v>
      </c>
      <c r="J413" s="40" t="str">
        <f ca="1">IFERROR(__xludf.DUMMYFUNCTION("""COMPUTED_VALUE"""),"Inés Pastor Basterra")</f>
        <v>Inés Pastor Basterra</v>
      </c>
      <c r="K413" s="40"/>
      <c r="L413" s="40" t="str">
        <f t="shared" ca="1" si="2"/>
        <v>LRM162</v>
      </c>
      <c r="M413" s="36" t="str">
        <f t="shared" ca="1" si="3"/>
        <v>LRM</v>
      </c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</row>
    <row r="414" spans="1:27">
      <c r="A414" s="40"/>
      <c r="B414" s="36"/>
      <c r="C414" s="40"/>
      <c r="D414" s="41"/>
      <c r="E414" s="40"/>
      <c r="F414" s="40" t="str">
        <f ca="1">IFERROR(__xludf.DUMMYFUNCTION("""COMPUTED_VALUE"""),"Lisandro Russian")</f>
        <v>Lisandro Russian</v>
      </c>
      <c r="G414" s="40" t="str">
        <f ca="1">IFERROR(__xludf.DUMMYFUNCTION("""COMPUTED_VALUE"""),"LRM")</f>
        <v>LRM</v>
      </c>
      <c r="H414" s="40" t="str">
        <f ca="1">IFERROR(__xludf.DUMMYFUNCTION("""COMPUTED_VALUE"""),"LRM163")</f>
        <v>LRM163</v>
      </c>
      <c r="I414" s="40" t="str">
        <f ca="1">IFERROR(__xludf.DUMMYFUNCTION("""COMPUTED_VALUE"""),"A")</f>
        <v>A</v>
      </c>
      <c r="J414" s="40" t="str">
        <f ca="1">IFERROR(__xludf.DUMMYFUNCTION("""COMPUTED_VALUE"""),"Inés Redondo Santos")</f>
        <v>Inés Redondo Santos</v>
      </c>
      <c r="K414" s="40"/>
      <c r="L414" s="40" t="str">
        <f t="shared" ca="1" si="2"/>
        <v>LRM163</v>
      </c>
      <c r="M414" s="36" t="str">
        <f t="shared" ca="1" si="3"/>
        <v>LRM</v>
      </c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</row>
    <row r="415" spans="1:27">
      <c r="A415" s="40"/>
      <c r="B415" s="36"/>
      <c r="C415" s="40"/>
      <c r="D415" s="41"/>
      <c r="E415" s="40"/>
      <c r="F415" s="40" t="str">
        <f ca="1">IFERROR(__xludf.DUMMYFUNCTION("""COMPUTED_VALUE"""),"Maika Blázquez")</f>
        <v>Maika Blázquez</v>
      </c>
      <c r="G415" s="40" t="str">
        <f ca="1">IFERROR(__xludf.DUMMYFUNCTION("""COMPUTED_VALUE"""),"MBM")</f>
        <v>MBM</v>
      </c>
      <c r="H415" s="40" t="str">
        <f ca="1">IFERROR(__xludf.DUMMYFUNCTION("""COMPUTED_VALUE"""),"MBM118")</f>
        <v>MBM118</v>
      </c>
      <c r="I415" s="40" t="str">
        <f ca="1">IFERROR(__xludf.DUMMYFUNCTION("""COMPUTED_VALUE"""),"A")</f>
        <v>A</v>
      </c>
      <c r="J415" s="40" t="str">
        <f ca="1">IFERROR(__xludf.DUMMYFUNCTION("""COMPUTED_VALUE"""),"Inmaculada Giraldo Mata")</f>
        <v>Inmaculada Giraldo Mata</v>
      </c>
      <c r="K415" s="40"/>
      <c r="L415" s="40" t="str">
        <f t="shared" ca="1" si="2"/>
        <v>MBM118</v>
      </c>
      <c r="M415" s="36" t="str">
        <f t="shared" ca="1" si="3"/>
        <v>MBM</v>
      </c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</row>
    <row r="416" spans="1:27">
      <c r="A416" s="40"/>
      <c r="B416" s="36"/>
      <c r="C416" s="40"/>
      <c r="D416" s="41"/>
      <c r="E416" s="40"/>
      <c r="F416" s="40" t="str">
        <f ca="1">IFERROR(__xludf.DUMMYFUNCTION("""COMPUTED_VALUE"""),"Iván Sánchez")</f>
        <v>Iván Sánchez</v>
      </c>
      <c r="G416" s="40" t="str">
        <f ca="1">IFERROR(__xludf.DUMMYFUNCTION("""COMPUTED_VALUE"""),"ISL")</f>
        <v>ISL</v>
      </c>
      <c r="H416" s="40" t="str">
        <f ca="1">IFERROR(__xludf.DUMMYFUNCTION("""COMPUTED_VALUE"""),"ISL101")</f>
        <v>ISL101</v>
      </c>
      <c r="I416" s="40" t="str">
        <f ca="1">IFERROR(__xludf.DUMMYFUNCTION("""COMPUTED_VALUE"""),"B")</f>
        <v>B</v>
      </c>
      <c r="J416" s="40" t="str">
        <f ca="1">IFERROR(__xludf.DUMMYFUNCTION("""COMPUTED_VALUE"""),"Inmaculada Puíg González")</f>
        <v>Inmaculada Puíg González</v>
      </c>
      <c r="K416" s="40"/>
      <c r="L416" s="40" t="str">
        <f t="shared" ca="1" si="2"/>
        <v>ISL101</v>
      </c>
      <c r="M416" s="36" t="str">
        <f t="shared" ca="1" si="3"/>
        <v>ISL</v>
      </c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</row>
    <row r="417" spans="1:27">
      <c r="A417" s="40"/>
      <c r="B417" s="36"/>
      <c r="C417" s="40"/>
      <c r="D417" s="41"/>
      <c r="E417" s="23"/>
      <c r="F417" s="40" t="str">
        <f ca="1">IFERROR(__xludf.DUMMYFUNCTION("""COMPUTED_VALUE"""),"Maika Blázquez")</f>
        <v>Maika Blázquez</v>
      </c>
      <c r="G417" s="40" t="str">
        <f ca="1">IFERROR(__xludf.DUMMYFUNCTION("""COMPUTED_VALUE"""),"MBM")</f>
        <v>MBM</v>
      </c>
      <c r="H417" s="40" t="str">
        <f ca="1">IFERROR(__xludf.DUMMYFUNCTION("""COMPUTED_VALUE"""),"MBM119")</f>
        <v>MBM119</v>
      </c>
      <c r="I417" s="40" t="str">
        <f ca="1">IFERROR(__xludf.DUMMYFUNCTION("""COMPUTED_VALUE"""),"A")</f>
        <v>A</v>
      </c>
      <c r="J417" s="40" t="str">
        <f ca="1">IFERROR(__xludf.DUMMYFUNCTION("""COMPUTED_VALUE"""),"Inmaculada Sancho Martín")</f>
        <v>Inmaculada Sancho Martín</v>
      </c>
      <c r="K417" s="40"/>
      <c r="L417" s="40" t="str">
        <f t="shared" ca="1" si="2"/>
        <v>MBM119</v>
      </c>
      <c r="M417" s="36" t="str">
        <f t="shared" ca="1" si="3"/>
        <v>MBM</v>
      </c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</row>
    <row r="418" spans="1:27">
      <c r="A418" s="40"/>
      <c r="B418" s="36"/>
      <c r="C418" s="40"/>
      <c r="D418" s="41"/>
      <c r="E418" s="40"/>
      <c r="F418" s="40" t="str">
        <f ca="1">IFERROR(__xludf.DUMMYFUNCTION("""COMPUTED_VALUE"""),"Alberto Moreno")</f>
        <v>Alberto Moreno</v>
      </c>
      <c r="G418" s="40" t="str">
        <f ca="1">IFERROR(__xludf.DUMMYFUNCTION("""COMPUTED_VALUE"""),"AMM")</f>
        <v>AMM</v>
      </c>
      <c r="H418" s="40" t="str">
        <f ca="1">IFERROR(__xludf.DUMMYFUNCTION("""COMPUTED_VALUE"""),"AMM05")</f>
        <v>AMM05</v>
      </c>
      <c r="I418" s="40" t="str">
        <f ca="1">IFERROR(__xludf.DUMMYFUNCTION("""COMPUTED_VALUE"""),"A")</f>
        <v>A</v>
      </c>
      <c r="J418" s="40" t="str">
        <f ca="1">IFERROR(__xludf.DUMMYFUNCTION("""COMPUTED_VALUE"""),"Iñigo Ucelay Vicinay")</f>
        <v>Iñigo Ucelay Vicinay</v>
      </c>
      <c r="K418" s="40"/>
      <c r="L418" s="40" t="str">
        <f t="shared" ca="1" si="2"/>
        <v>AMM05</v>
      </c>
      <c r="M418" s="36" t="str">
        <f t="shared" ca="1" si="3"/>
        <v>AMM</v>
      </c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</row>
    <row r="419" spans="1:27">
      <c r="A419" s="40"/>
      <c r="B419" s="36"/>
      <c r="C419" s="40"/>
      <c r="D419" s="41"/>
      <c r="E419" s="40"/>
      <c r="F419" s="40" t="str">
        <f ca="1">IFERROR(__xludf.DUMMYFUNCTION("""COMPUTED_VALUE"""),"Maika Blázquez")</f>
        <v>Maika Blázquez</v>
      </c>
      <c r="G419" s="40" t="str">
        <f ca="1">IFERROR(__xludf.DUMMYFUNCTION("""COMPUTED_VALUE"""),"MBM")</f>
        <v>MBM</v>
      </c>
      <c r="H419" s="40" t="str">
        <f ca="1">IFERROR(__xludf.DUMMYFUNCTION("""COMPUTED_VALUE"""),"MBM213")</f>
        <v>MBM213</v>
      </c>
      <c r="I419" s="40" t="str">
        <f ca="1">IFERROR(__xludf.DUMMYFUNCTION("""COMPUTED_VALUE"""),"A")</f>
        <v>A</v>
      </c>
      <c r="J419" s="40" t="str">
        <f ca="1">IFERROR(__xludf.DUMMYFUNCTION("""COMPUTED_VALUE"""),"Irene Gómez Frias")</f>
        <v>Irene Gómez Frias</v>
      </c>
      <c r="K419" s="40"/>
      <c r="L419" s="40" t="str">
        <f t="shared" ca="1" si="2"/>
        <v>MBM213</v>
      </c>
      <c r="M419" s="36" t="str">
        <f t="shared" ca="1" si="3"/>
        <v>MBM</v>
      </c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</row>
    <row r="420" spans="1:27">
      <c r="A420" s="40"/>
      <c r="B420" s="36"/>
      <c r="C420" s="40"/>
      <c r="D420" s="41"/>
      <c r="E420" s="40"/>
      <c r="F420" s="40" t="str">
        <f ca="1">IFERROR(__xludf.DUMMYFUNCTION("""COMPUTED_VALUE"""),"Maika Blázquez")</f>
        <v>Maika Blázquez</v>
      </c>
      <c r="G420" s="40" t="str">
        <f ca="1">IFERROR(__xludf.DUMMYFUNCTION("""COMPUTED_VALUE"""),"MBM")</f>
        <v>MBM</v>
      </c>
      <c r="H420" s="40" t="str">
        <f ca="1">IFERROR(__xludf.DUMMYFUNCTION("""COMPUTED_VALUE"""),"MBM120")</f>
        <v>MBM120</v>
      </c>
      <c r="I420" s="40" t="str">
        <f ca="1">IFERROR(__xludf.DUMMYFUNCTION("""COMPUTED_VALUE"""),"A")</f>
        <v>A</v>
      </c>
      <c r="J420" s="40" t="str">
        <f ca="1">IFERROR(__xludf.DUMMYFUNCTION("""COMPUTED_VALUE"""),"Irene Mármol Szmobathy")</f>
        <v>Irene Mármol Szmobathy</v>
      </c>
      <c r="K420" s="40"/>
      <c r="L420" s="40" t="str">
        <f t="shared" ca="1" si="2"/>
        <v>MBM120</v>
      </c>
      <c r="M420" s="36" t="str">
        <f t="shared" ca="1" si="3"/>
        <v>MBM</v>
      </c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</row>
    <row r="421" spans="1:27">
      <c r="A421" s="40"/>
      <c r="B421" s="36"/>
      <c r="C421" s="40"/>
      <c r="D421" s="41"/>
      <c r="E421" s="40"/>
      <c r="F421" s="40" t="str">
        <f ca="1">IFERROR(__xludf.DUMMYFUNCTION("""COMPUTED_VALUE"""),"Iván Sánchez")</f>
        <v>Iván Sánchez</v>
      </c>
      <c r="G421" s="40" t="str">
        <f ca="1">IFERROR(__xludf.DUMMYFUNCTION("""COMPUTED_VALUE"""),"ISL")</f>
        <v>ISL</v>
      </c>
      <c r="H421" s="40" t="str">
        <f ca="1">IFERROR(__xludf.DUMMYFUNCTION("""COMPUTED_VALUE"""),"ISL102")</f>
        <v>ISL102</v>
      </c>
      <c r="I421" s="40" t="str">
        <f ca="1">IFERROR(__xludf.DUMMYFUNCTION("""COMPUTED_VALUE"""),"B")</f>
        <v>B</v>
      </c>
      <c r="J421" s="40" t="str">
        <f ca="1">IFERROR(__xludf.DUMMYFUNCTION("""COMPUTED_VALUE"""),"Irene Monjas Canovas")</f>
        <v>Irene Monjas Canovas</v>
      </c>
      <c r="K421" s="40"/>
      <c r="L421" s="40" t="str">
        <f t="shared" ca="1" si="2"/>
        <v>ISL102</v>
      </c>
      <c r="M421" s="36" t="str">
        <f t="shared" ca="1" si="3"/>
        <v>ISL</v>
      </c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</row>
    <row r="422" spans="1:27">
      <c r="A422" s="40"/>
      <c r="B422" s="36"/>
      <c r="C422" s="40"/>
      <c r="D422" s="41"/>
      <c r="E422" s="40"/>
      <c r="F422" s="40" t="str">
        <f ca="1">IFERROR(__xludf.DUMMYFUNCTION("""COMPUTED_VALUE"""),"Maika Blázquez")</f>
        <v>Maika Blázquez</v>
      </c>
      <c r="G422" s="40" t="str">
        <f ca="1">IFERROR(__xludf.DUMMYFUNCTION("""COMPUTED_VALUE"""),"MBM")</f>
        <v>MBM</v>
      </c>
      <c r="H422" s="40" t="str">
        <f ca="1">IFERROR(__xludf.DUMMYFUNCTION("""COMPUTED_VALUE"""),"MBM121")</f>
        <v>MBM121</v>
      </c>
      <c r="I422" s="40" t="str">
        <f ca="1">IFERROR(__xludf.DUMMYFUNCTION("""COMPUTED_VALUE"""),"A")</f>
        <v>A</v>
      </c>
      <c r="J422" s="40" t="str">
        <f ca="1">IFERROR(__xludf.DUMMYFUNCTION("""COMPUTED_VALUE"""),"Irene Rivero Fernández")</f>
        <v>Irene Rivero Fernández</v>
      </c>
      <c r="K422" s="40"/>
      <c r="L422" s="40" t="str">
        <f t="shared" ca="1" si="2"/>
        <v>MBM121</v>
      </c>
      <c r="M422" s="36" t="str">
        <f t="shared" ca="1" si="3"/>
        <v>MBM</v>
      </c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</row>
    <row r="423" spans="1:27">
      <c r="A423" s="40"/>
      <c r="B423" s="36"/>
      <c r="C423" s="40"/>
      <c r="D423" s="41"/>
      <c r="E423" s="40"/>
      <c r="F423" s="40" t="str">
        <f ca="1">IFERROR(__xludf.DUMMYFUNCTION("""COMPUTED_VALUE"""),"Maika Blázquez")</f>
        <v>Maika Blázquez</v>
      </c>
      <c r="G423" s="40" t="str">
        <f ca="1">IFERROR(__xludf.DUMMYFUNCTION("""COMPUTED_VALUE"""),"MBM")</f>
        <v>MBM</v>
      </c>
      <c r="H423" s="40" t="str">
        <f ca="1">IFERROR(__xludf.DUMMYFUNCTION("""COMPUTED_VALUE"""),"MBM122")</f>
        <v>MBM122</v>
      </c>
      <c r="I423" s="40" t="str">
        <f ca="1">IFERROR(__xludf.DUMMYFUNCTION("""COMPUTED_VALUE"""),"A")</f>
        <v>A</v>
      </c>
      <c r="J423" s="40" t="str">
        <f ca="1">IFERROR(__xludf.DUMMYFUNCTION("""COMPUTED_VALUE"""),"Iris Quero Campos")</f>
        <v>Iris Quero Campos</v>
      </c>
      <c r="K423" s="40"/>
      <c r="L423" s="40" t="str">
        <f t="shared" ca="1" si="2"/>
        <v>MBM122</v>
      </c>
      <c r="M423" s="36" t="str">
        <f t="shared" ca="1" si="3"/>
        <v>MBM</v>
      </c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</row>
    <row r="424" spans="1:27">
      <c r="A424" s="40"/>
      <c r="B424" s="36"/>
      <c r="C424" s="40"/>
      <c r="D424" s="41"/>
      <c r="E424" s="40"/>
      <c r="F424" s="40" t="str">
        <f ca="1">IFERROR(__xludf.DUMMYFUNCTION("""COMPUTED_VALUE"""),"Maika Blázquez")</f>
        <v>Maika Blázquez</v>
      </c>
      <c r="G424" s="40" t="str">
        <f ca="1">IFERROR(__xludf.DUMMYFUNCTION("""COMPUTED_VALUE"""),"MBM")</f>
        <v>MBM</v>
      </c>
      <c r="H424" s="40" t="str">
        <f ca="1">IFERROR(__xludf.DUMMYFUNCTION("""COMPUTED_VALUE"""),"MBM214")</f>
        <v>MBM214</v>
      </c>
      <c r="I424" s="40" t="str">
        <f ca="1">IFERROR(__xludf.DUMMYFUNCTION("""COMPUTED_VALUE"""),"A")</f>
        <v>A</v>
      </c>
      <c r="J424" s="40" t="str">
        <f ca="1">IFERROR(__xludf.DUMMYFUNCTION("""COMPUTED_VALUE"""),"Isabel Bueno Aventin")</f>
        <v>Isabel Bueno Aventin</v>
      </c>
      <c r="K424" s="40"/>
      <c r="L424" s="40" t="str">
        <f t="shared" ca="1" si="2"/>
        <v>MBM214</v>
      </c>
      <c r="M424" s="36" t="str">
        <f t="shared" ca="1" si="3"/>
        <v>MBM</v>
      </c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</row>
    <row r="425" spans="1:27">
      <c r="A425" s="40"/>
      <c r="B425" s="36"/>
      <c r="C425" s="40"/>
      <c r="D425" s="41"/>
      <c r="E425" s="40"/>
      <c r="F425" s="40" t="str">
        <f ca="1">IFERROR(__xludf.DUMMYFUNCTION("""COMPUTED_VALUE"""),"Lisandro Russian")</f>
        <v>Lisandro Russian</v>
      </c>
      <c r="G425" s="40" t="str">
        <f ca="1">IFERROR(__xludf.DUMMYFUNCTION("""COMPUTED_VALUE"""),"LRM")</f>
        <v>LRM</v>
      </c>
      <c r="H425" s="40" t="str">
        <f ca="1">IFERROR(__xludf.DUMMYFUNCTION("""COMPUTED_VALUE"""),"LRM164")</f>
        <v>LRM164</v>
      </c>
      <c r="I425" s="40" t="str">
        <f ca="1">IFERROR(__xludf.DUMMYFUNCTION("""COMPUTED_VALUE"""),"A")</f>
        <v>A</v>
      </c>
      <c r="J425" s="40" t="str">
        <f ca="1">IFERROR(__xludf.DUMMYFUNCTION("""COMPUTED_VALUE"""),"Isabel Eugenia Lasso García")</f>
        <v>Isabel Eugenia Lasso García</v>
      </c>
      <c r="K425" s="40"/>
      <c r="L425" s="40" t="str">
        <f t="shared" ca="1" si="2"/>
        <v>LRM164</v>
      </c>
      <c r="M425" s="36" t="str">
        <f t="shared" ca="1" si="3"/>
        <v>LRM</v>
      </c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</row>
    <row r="426" spans="1:27">
      <c r="A426" s="40"/>
      <c r="B426" s="36"/>
      <c r="C426" s="40"/>
      <c r="D426" s="41"/>
      <c r="E426" s="40"/>
      <c r="F426" s="40" t="str">
        <f ca="1">IFERROR(__xludf.DUMMYFUNCTION("""COMPUTED_VALUE"""),"Patricia Solache")</f>
        <v>Patricia Solache</v>
      </c>
      <c r="G426" s="40" t="str">
        <f ca="1">IFERROR(__xludf.DUMMYFUNCTION("""COMPUTED_VALUE"""),"PSC")</f>
        <v>PSC</v>
      </c>
      <c r="H426" s="40" t="str">
        <f ca="1">IFERROR(__xludf.DUMMYFUNCTION("""COMPUTED_VALUE"""),"PSC56")</f>
        <v>PSC56</v>
      </c>
      <c r="I426" s="40" t="str">
        <f ca="1">IFERROR(__xludf.DUMMYFUNCTION("""COMPUTED_VALUE"""),"A")</f>
        <v>A</v>
      </c>
      <c r="J426" s="40" t="str">
        <f ca="1">IFERROR(__xludf.DUMMYFUNCTION("""COMPUTED_VALUE"""),"Isabel González Diez")</f>
        <v>Isabel González Diez</v>
      </c>
      <c r="K426" s="40"/>
      <c r="L426" s="40" t="str">
        <f t="shared" ca="1" si="2"/>
        <v>PSC56</v>
      </c>
      <c r="M426" s="36" t="str">
        <f t="shared" ca="1" si="3"/>
        <v>PSC</v>
      </c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</row>
    <row r="427" spans="1:27">
      <c r="A427" s="40"/>
      <c r="B427" s="36"/>
      <c r="C427" s="40"/>
      <c r="D427" s="41"/>
      <c r="E427" s="40"/>
      <c r="F427" s="40" t="str">
        <f ca="1">IFERROR(__xludf.DUMMYFUNCTION("""COMPUTED_VALUE"""),"Roberto Pereira")</f>
        <v>Roberto Pereira</v>
      </c>
      <c r="G427" s="40" t="str">
        <f ca="1">IFERROR(__xludf.DUMMYFUNCTION("""COMPUTED_VALUE"""),"RPG")</f>
        <v>RPG</v>
      </c>
      <c r="H427" s="40" t="str">
        <f ca="1">IFERROR(__xludf.DUMMYFUNCTION("""COMPUTED_VALUE"""),"RPG47")</f>
        <v>RPG47</v>
      </c>
      <c r="I427" s="40" t="str">
        <f ca="1">IFERROR(__xludf.DUMMYFUNCTION("""COMPUTED_VALUE"""),"A")</f>
        <v>A</v>
      </c>
      <c r="J427" s="40" t="str">
        <f ca="1">IFERROR(__xludf.DUMMYFUNCTION("""COMPUTED_VALUE"""),"Isabel González Guijarro")</f>
        <v>Isabel González Guijarro</v>
      </c>
      <c r="K427" s="40"/>
      <c r="L427" s="40" t="str">
        <f t="shared" ca="1" si="2"/>
        <v>RPG47</v>
      </c>
      <c r="M427" s="36" t="str">
        <f t="shared" ca="1" si="3"/>
        <v>RPG</v>
      </c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</row>
    <row r="428" spans="1:27">
      <c r="A428" s="40"/>
      <c r="B428" s="36"/>
      <c r="C428" s="40"/>
      <c r="D428" s="41"/>
      <c r="E428" s="40"/>
      <c r="F428" s="40" t="str">
        <f ca="1">IFERROR(__xludf.DUMMYFUNCTION("""COMPUTED_VALUE"""),"Iván Sánchez")</f>
        <v>Iván Sánchez</v>
      </c>
      <c r="G428" s="40" t="str">
        <f ca="1">IFERROR(__xludf.DUMMYFUNCTION("""COMPUTED_VALUE"""),"ISL")</f>
        <v>ISL</v>
      </c>
      <c r="H428" s="40" t="str">
        <f ca="1">IFERROR(__xludf.DUMMYFUNCTION("""COMPUTED_VALUE"""),"ISL103")</f>
        <v>ISL103</v>
      </c>
      <c r="I428" s="40" t="str">
        <f ca="1">IFERROR(__xludf.DUMMYFUNCTION("""COMPUTED_VALUE"""),"B")</f>
        <v>B</v>
      </c>
      <c r="J428" s="40" t="str">
        <f ca="1">IFERROR(__xludf.DUMMYFUNCTION("""COMPUTED_VALUE"""),"Isabel Menaches Guardiola")</f>
        <v>Isabel Menaches Guardiola</v>
      </c>
      <c r="K428" s="40"/>
      <c r="L428" s="40" t="str">
        <f t="shared" ca="1" si="2"/>
        <v>ISL103</v>
      </c>
      <c r="M428" s="36" t="str">
        <f t="shared" ca="1" si="3"/>
        <v>ISL</v>
      </c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</row>
    <row r="429" spans="1:27">
      <c r="A429" s="40"/>
      <c r="B429" s="36"/>
      <c r="C429" s="40"/>
      <c r="D429" s="41"/>
      <c r="E429" s="40"/>
      <c r="F429" s="40" t="str">
        <f ca="1">IFERROR(__xludf.DUMMYFUNCTION("""COMPUTED_VALUE"""),"Roberto Pereira")</f>
        <v>Roberto Pereira</v>
      </c>
      <c r="G429" s="40" t="str">
        <f ca="1">IFERROR(__xludf.DUMMYFUNCTION("""COMPUTED_VALUE"""),"RPG")</f>
        <v>RPG</v>
      </c>
      <c r="H429" s="40" t="str">
        <f ca="1">IFERROR(__xludf.DUMMYFUNCTION("""COMPUTED_VALUE"""),"RPG58")</f>
        <v>RPG58</v>
      </c>
      <c r="I429" s="40" t="str">
        <f ca="1">IFERROR(__xludf.DUMMYFUNCTION("""COMPUTED_VALUE"""),"A")</f>
        <v>A</v>
      </c>
      <c r="J429" s="40" t="str">
        <f ca="1">IFERROR(__xludf.DUMMYFUNCTION("""COMPUTED_VALUE"""),"Isabel Miranda García")</f>
        <v>Isabel Miranda García</v>
      </c>
      <c r="K429" s="40"/>
      <c r="L429" s="40" t="str">
        <f t="shared" ca="1" si="2"/>
        <v>RPG58</v>
      </c>
      <c r="M429" s="36" t="str">
        <f t="shared" ca="1" si="3"/>
        <v>RPG</v>
      </c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</row>
    <row r="430" spans="1:27">
      <c r="A430" s="40"/>
      <c r="B430" s="36"/>
      <c r="C430" s="40"/>
      <c r="D430" s="41"/>
      <c r="E430" s="40"/>
      <c r="F430" s="40" t="str">
        <f ca="1">IFERROR(__xludf.DUMMYFUNCTION("""COMPUTED_VALUE"""),"Roberto Pereira")</f>
        <v>Roberto Pereira</v>
      </c>
      <c r="G430" s="40" t="str">
        <f ca="1">IFERROR(__xludf.DUMMYFUNCTION("""COMPUTED_VALUE"""),"RPG")</f>
        <v>RPG</v>
      </c>
      <c r="H430" s="40" t="str">
        <f ca="1">IFERROR(__xludf.DUMMYFUNCTION("""COMPUTED_VALUE"""),"RPG48")</f>
        <v>RPG48</v>
      </c>
      <c r="I430" s="40" t="str">
        <f ca="1">IFERROR(__xludf.DUMMYFUNCTION("""COMPUTED_VALUE"""),"A")</f>
        <v>A</v>
      </c>
      <c r="J430" s="40" t="str">
        <f ca="1">IFERROR(__xludf.DUMMYFUNCTION("""COMPUTED_VALUE"""),"Isabel Pensado Banet")</f>
        <v>Isabel Pensado Banet</v>
      </c>
      <c r="K430" s="40"/>
      <c r="L430" s="40" t="str">
        <f t="shared" ca="1" si="2"/>
        <v>RPG48</v>
      </c>
      <c r="M430" s="36" t="str">
        <f t="shared" ca="1" si="3"/>
        <v>RPG</v>
      </c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</row>
    <row r="431" spans="1:27">
      <c r="A431" s="40"/>
      <c r="B431" s="36"/>
      <c r="C431" s="40"/>
      <c r="D431" s="41"/>
      <c r="E431" s="40"/>
      <c r="F431" s="40" t="str">
        <f ca="1">IFERROR(__xludf.DUMMYFUNCTION("""COMPUTED_VALUE"""),"Ramon Ferrando")</f>
        <v>Ramon Ferrando</v>
      </c>
      <c r="G431" s="40" t="str">
        <f ca="1">IFERROR(__xludf.DUMMYFUNCTION("""COMPUTED_VALUE"""),"ISL")</f>
        <v>ISL</v>
      </c>
      <c r="H431" s="40" t="str">
        <f ca="1">IFERROR(__xludf.DUMMYFUNCTION("""COMPUTED_VALUE"""),"ISL104")</f>
        <v>ISL104</v>
      </c>
      <c r="I431" s="40" t="str">
        <f ca="1">IFERROR(__xludf.DUMMYFUNCTION("""COMPUTED_VALUE"""),"B")</f>
        <v>B</v>
      </c>
      <c r="J431" s="40" t="str">
        <f ca="1">IFERROR(__xludf.DUMMYFUNCTION("""COMPUTED_VALUE"""),"Isabel Polo Tomás")</f>
        <v>Isabel Polo Tomás</v>
      </c>
      <c r="K431" s="40"/>
      <c r="L431" s="40" t="str">
        <f t="shared" ca="1" si="2"/>
        <v>ISL104</v>
      </c>
      <c r="M431" s="36" t="str">
        <f t="shared" ca="1" si="3"/>
        <v>ISL</v>
      </c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</row>
    <row r="432" spans="1:27">
      <c r="A432" s="40"/>
      <c r="B432" s="36"/>
      <c r="C432" s="40"/>
      <c r="D432" s="41"/>
      <c r="E432" s="40"/>
      <c r="F432" s="40" t="str">
        <f ca="1">IFERROR(__xludf.DUMMYFUNCTION("""COMPUTED_VALUE"""),"Lisandro Russian")</f>
        <v>Lisandro Russian</v>
      </c>
      <c r="G432" s="40" t="str">
        <f ca="1">IFERROR(__xludf.DUMMYFUNCTION("""COMPUTED_VALUE"""),"LRM")</f>
        <v>LRM</v>
      </c>
      <c r="H432" s="40" t="str">
        <f ca="1">IFERROR(__xludf.DUMMYFUNCTION("""COMPUTED_VALUE"""),"LRM165")</f>
        <v>LRM165</v>
      </c>
      <c r="I432" s="40" t="str">
        <f ca="1">IFERROR(__xludf.DUMMYFUNCTION("""COMPUTED_VALUE"""),"A")</f>
        <v>A</v>
      </c>
      <c r="J432" s="40" t="str">
        <f ca="1">IFERROR(__xludf.DUMMYFUNCTION("""COMPUTED_VALUE"""),"Isabel Sánchez Cuadrado")</f>
        <v>Isabel Sánchez Cuadrado</v>
      </c>
      <c r="K432" s="40"/>
      <c r="L432" s="40" t="str">
        <f t="shared" ca="1" si="2"/>
        <v>LRM165</v>
      </c>
      <c r="M432" s="36" t="str">
        <f t="shared" ca="1" si="3"/>
        <v>LRM</v>
      </c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</row>
    <row r="433" spans="1:27">
      <c r="A433" s="40"/>
      <c r="B433" s="36"/>
      <c r="C433" s="40"/>
      <c r="D433" s="41"/>
      <c r="E433" s="40"/>
      <c r="F433" s="40" t="str">
        <f ca="1">IFERROR(__xludf.DUMMYFUNCTION("""COMPUTED_VALUE"""),"Roberto Pereira")</f>
        <v>Roberto Pereira</v>
      </c>
      <c r="G433" s="40" t="str">
        <f ca="1">IFERROR(__xludf.DUMMYFUNCTION("""COMPUTED_VALUE"""),"RPG")</f>
        <v>RPG</v>
      </c>
      <c r="H433" s="40" t="str">
        <f ca="1">IFERROR(__xludf.DUMMYFUNCTION("""COMPUTED_VALUE"""),"RPG49")</f>
        <v>RPG49</v>
      </c>
      <c r="I433" s="40" t="str">
        <f ca="1">IFERROR(__xludf.DUMMYFUNCTION("""COMPUTED_VALUE"""),"A")</f>
        <v>A</v>
      </c>
      <c r="J433" s="40" t="str">
        <f ca="1">IFERROR(__xludf.DUMMYFUNCTION("""COMPUTED_VALUE"""),"Isabel Vaamonde Sanchez Andrade")</f>
        <v>Isabel Vaamonde Sanchez Andrade</v>
      </c>
      <c r="K433" s="40"/>
      <c r="L433" s="40" t="str">
        <f t="shared" ca="1" si="2"/>
        <v>RPG49</v>
      </c>
      <c r="M433" s="36" t="str">
        <f t="shared" ca="1" si="3"/>
        <v>RPG</v>
      </c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</row>
    <row r="434" spans="1:27">
      <c r="A434" s="40"/>
      <c r="B434" s="36"/>
      <c r="C434" s="40"/>
      <c r="D434" s="41"/>
      <c r="E434" s="40"/>
      <c r="F434" s="40" t="str">
        <f ca="1">IFERROR(__xludf.DUMMYFUNCTION("""COMPUTED_VALUE"""),"Maika Blázquez")</f>
        <v>Maika Blázquez</v>
      </c>
      <c r="G434" s="40" t="str">
        <f ca="1">IFERROR(__xludf.DUMMYFUNCTION("""COMPUTED_VALUE"""),"MBM")</f>
        <v>MBM</v>
      </c>
      <c r="H434" s="40" t="str">
        <f ca="1">IFERROR(__xludf.DUMMYFUNCTION("""COMPUTED_VALUE"""),"MBM123")</f>
        <v>MBM123</v>
      </c>
      <c r="I434" s="40" t="str">
        <f ca="1">IFERROR(__xludf.DUMMYFUNCTION("""COMPUTED_VALUE"""),"A")</f>
        <v>A</v>
      </c>
      <c r="J434" s="40" t="str">
        <f ca="1">IFERROR(__xludf.DUMMYFUNCTION("""COMPUTED_VALUE"""),"Isabel Victoria Fernandez")</f>
        <v>Isabel Victoria Fernandez</v>
      </c>
      <c r="K434" s="40"/>
      <c r="L434" s="40" t="str">
        <f t="shared" ca="1" si="2"/>
        <v>MBM123</v>
      </c>
      <c r="M434" s="36" t="str">
        <f t="shared" ca="1" si="3"/>
        <v>MBM</v>
      </c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</row>
    <row r="435" spans="1:27">
      <c r="A435" s="40"/>
      <c r="B435" s="36"/>
      <c r="C435" s="40"/>
      <c r="D435" s="41"/>
      <c r="E435" s="40"/>
      <c r="F435" s="40" t="str">
        <f ca="1">IFERROR(__xludf.DUMMYFUNCTION("""COMPUTED_VALUE"""),"Luis Alberto Rodríguez")</f>
        <v>Luis Alberto Rodríguez</v>
      </c>
      <c r="G435" s="40" t="str">
        <f ca="1">IFERROR(__xludf.DUMMYFUNCTION("""COMPUTED_VALUE"""),"LAA")</f>
        <v>LAA</v>
      </c>
      <c r="H435" s="40" t="str">
        <f ca="1">IFERROR(__xludf.DUMMYFUNCTION("""COMPUTED_VALUE"""),"LAA20")</f>
        <v>LAA20</v>
      </c>
      <c r="I435" s="40" t="str">
        <f ca="1">IFERROR(__xludf.DUMMYFUNCTION("""COMPUTED_VALUE"""),"C")</f>
        <v>C</v>
      </c>
      <c r="J435" s="40" t="str">
        <f ca="1">IFERROR(__xludf.DUMMYFUNCTION("""COMPUTED_VALUE"""),"Isidoro Rubio Correa")</f>
        <v>Isidoro Rubio Correa</v>
      </c>
      <c r="K435" s="40"/>
      <c r="L435" s="40" t="str">
        <f t="shared" ca="1" si="2"/>
        <v>LAA20</v>
      </c>
      <c r="M435" s="36" t="str">
        <f t="shared" ca="1" si="3"/>
        <v>LAA</v>
      </c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</row>
    <row r="436" spans="1:27">
      <c r="A436" s="40"/>
      <c r="B436" s="36"/>
      <c r="C436" s="40"/>
      <c r="D436" s="41"/>
      <c r="E436" s="40"/>
      <c r="F436" s="40" t="str">
        <f ca="1">IFERROR(__xludf.DUMMYFUNCTION("""COMPUTED_VALUE"""),"Maika Blázquez")</f>
        <v>Maika Blázquez</v>
      </c>
      <c r="G436" s="40" t="str">
        <f ca="1">IFERROR(__xludf.DUMMYFUNCTION("""COMPUTED_VALUE"""),"MBM")</f>
        <v>MBM</v>
      </c>
      <c r="H436" s="40" t="str">
        <f ca="1">IFERROR(__xludf.DUMMYFUNCTION("""COMPUTED_VALUE"""),"MBM215")</f>
        <v>MBM215</v>
      </c>
      <c r="I436" s="40" t="str">
        <f ca="1">IFERROR(__xludf.DUMMYFUNCTION("""COMPUTED_VALUE"""),"A")</f>
        <v>A</v>
      </c>
      <c r="J436" s="40" t="str">
        <f ca="1">IFERROR(__xludf.DUMMYFUNCTION("""COMPUTED_VALUE"""),"Ismael Soriano Martínez")</f>
        <v>Ismael Soriano Martínez</v>
      </c>
      <c r="K436" s="40"/>
      <c r="L436" s="40" t="str">
        <f t="shared" ca="1" si="2"/>
        <v>MBM215</v>
      </c>
      <c r="M436" s="36" t="str">
        <f t="shared" ca="1" si="3"/>
        <v>MBM</v>
      </c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</row>
    <row r="437" spans="1:27">
      <c r="A437" s="40"/>
      <c r="B437" s="36"/>
      <c r="C437" s="40"/>
      <c r="D437" s="41"/>
      <c r="E437" s="40"/>
      <c r="F437" s="40" t="str">
        <f ca="1">IFERROR(__xludf.DUMMYFUNCTION("""COMPUTED_VALUE"""),"Maika Blázquez")</f>
        <v>Maika Blázquez</v>
      </c>
      <c r="G437" s="40" t="str">
        <f ca="1">IFERROR(__xludf.DUMMYFUNCTION("""COMPUTED_VALUE"""),"MBM")</f>
        <v>MBM</v>
      </c>
      <c r="H437" s="40" t="str">
        <f ca="1">IFERROR(__xludf.DUMMYFUNCTION("""COMPUTED_VALUE"""),"MBM124")</f>
        <v>MBM124</v>
      </c>
      <c r="I437" s="40" t="str">
        <f ca="1">IFERROR(__xludf.DUMMYFUNCTION("""COMPUTED_VALUE"""),"A")</f>
        <v>A</v>
      </c>
      <c r="J437" s="40" t="str">
        <f ca="1">IFERROR(__xludf.DUMMYFUNCTION("""COMPUTED_VALUE"""),"Ithzel Maria Villarreal Patiño")</f>
        <v>Ithzel Maria Villarreal Patiño</v>
      </c>
      <c r="K437" s="40"/>
      <c r="L437" s="40" t="str">
        <f t="shared" ca="1" si="2"/>
        <v>MBM124</v>
      </c>
      <c r="M437" s="36" t="str">
        <f t="shared" ca="1" si="3"/>
        <v>MBM</v>
      </c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</row>
    <row r="438" spans="1:27">
      <c r="A438" s="40"/>
      <c r="B438" s="36"/>
      <c r="C438" s="40"/>
      <c r="D438" s="41"/>
      <c r="E438" s="23"/>
      <c r="F438" s="40" t="str">
        <f ca="1">IFERROR(__xludf.DUMMYFUNCTION("""COMPUTED_VALUE"""),"Maika Blázquez")</f>
        <v>Maika Blázquez</v>
      </c>
      <c r="G438" s="40" t="str">
        <f ca="1">IFERROR(__xludf.DUMMYFUNCTION("""COMPUTED_VALUE"""),"MBM")</f>
        <v>MBM</v>
      </c>
      <c r="H438" s="40" t="str">
        <f ca="1">IFERROR(__xludf.DUMMYFUNCTION("""COMPUTED_VALUE"""),"MBM125")</f>
        <v>MBM125</v>
      </c>
      <c r="I438" s="40" t="str">
        <f ca="1">IFERROR(__xludf.DUMMYFUNCTION("""COMPUTED_VALUE"""),"A")</f>
        <v>A</v>
      </c>
      <c r="J438" s="40" t="str">
        <f ca="1">IFERROR(__xludf.DUMMYFUNCTION("""COMPUTED_VALUE"""),"Itziar Álvarez Palacios")</f>
        <v>Itziar Álvarez Palacios</v>
      </c>
      <c r="K438" s="40"/>
      <c r="L438" s="40" t="str">
        <f t="shared" ca="1" si="2"/>
        <v>MBM125</v>
      </c>
      <c r="M438" s="36" t="str">
        <f t="shared" ca="1" si="3"/>
        <v>MBM</v>
      </c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</row>
    <row r="439" spans="1:27">
      <c r="A439" s="40"/>
      <c r="B439" s="36"/>
      <c r="C439" s="40"/>
      <c r="D439" s="41"/>
      <c r="E439" s="40"/>
      <c r="F439" s="40" t="str">
        <f ca="1">IFERROR(__xludf.DUMMYFUNCTION("""COMPUTED_VALUE"""),"Maika Blázquez")</f>
        <v>Maika Blázquez</v>
      </c>
      <c r="G439" s="40" t="str">
        <f ca="1">IFERROR(__xludf.DUMMYFUNCTION("""COMPUTED_VALUE"""),"MBM")</f>
        <v>MBM</v>
      </c>
      <c r="H439" s="40" t="str">
        <f ca="1">IFERROR(__xludf.DUMMYFUNCTION("""COMPUTED_VALUE"""),"MBM35")</f>
        <v>MBM35</v>
      </c>
      <c r="I439" s="40" t="str">
        <f ca="1">IFERROR(__xludf.DUMMYFUNCTION("""COMPUTED_VALUE"""),"A")</f>
        <v>A</v>
      </c>
      <c r="J439" s="40" t="str">
        <f ca="1">IFERROR(__xludf.DUMMYFUNCTION("""COMPUTED_VALUE"""),"Ivan Mendez- Benegassi Silva")</f>
        <v>Ivan Mendez- Benegassi Silva</v>
      </c>
      <c r="K439" s="40"/>
      <c r="L439" s="40" t="str">
        <f t="shared" ca="1" si="2"/>
        <v>MBM35</v>
      </c>
      <c r="M439" s="36" t="str">
        <f t="shared" ca="1" si="3"/>
        <v>MBM</v>
      </c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</row>
    <row r="440" spans="1:27">
      <c r="A440" s="40"/>
      <c r="B440" s="36"/>
      <c r="C440" s="40"/>
      <c r="D440" s="41"/>
      <c r="E440" s="40"/>
      <c r="F440" s="40" t="str">
        <f ca="1">IFERROR(__xludf.DUMMYFUNCTION("""COMPUTED_VALUE"""),"Lisandro Russian")</f>
        <v>Lisandro Russian</v>
      </c>
      <c r="G440" s="40" t="str">
        <f ca="1">IFERROR(__xludf.DUMMYFUNCTION("""COMPUTED_VALUE"""),"LRM")</f>
        <v>LRM</v>
      </c>
      <c r="H440" s="40" t="str">
        <f ca="1">IFERROR(__xludf.DUMMYFUNCTION("""COMPUTED_VALUE"""),"LRM55")</f>
        <v>LRM55</v>
      </c>
      <c r="I440" s="40" t="str">
        <f ca="1">IFERROR(__xludf.DUMMYFUNCTION("""COMPUTED_VALUE"""),"A")</f>
        <v>A</v>
      </c>
      <c r="J440" s="40" t="str">
        <f ca="1">IFERROR(__xludf.DUMMYFUNCTION("""COMPUTED_VALUE"""),"Iván Muerte Moreno")</f>
        <v>Iván Muerte Moreno</v>
      </c>
      <c r="K440" s="40"/>
      <c r="L440" s="40" t="str">
        <f t="shared" ca="1" si="2"/>
        <v>LRM55</v>
      </c>
      <c r="M440" s="36" t="str">
        <f t="shared" ca="1" si="3"/>
        <v>LRM</v>
      </c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</row>
    <row r="441" spans="1:27">
      <c r="A441" s="40"/>
      <c r="B441" s="36"/>
      <c r="C441" s="40"/>
      <c r="D441" s="41"/>
      <c r="E441" s="40"/>
      <c r="F441" s="40" t="str">
        <f ca="1">IFERROR(__xludf.DUMMYFUNCTION("""COMPUTED_VALUE"""),"Luis Alberto Rodríguez")</f>
        <v>Luis Alberto Rodríguez</v>
      </c>
      <c r="G441" s="40" t="str">
        <f ca="1">IFERROR(__xludf.DUMMYFUNCTION("""COMPUTED_VALUE"""),"LAA")</f>
        <v>LAA</v>
      </c>
      <c r="H441" s="40" t="str">
        <f ca="1">IFERROR(__xludf.DUMMYFUNCTION("""COMPUTED_VALUE"""),"LAA21")</f>
        <v>LAA21</v>
      </c>
      <c r="I441" s="40" t="str">
        <f ca="1">IFERROR(__xludf.DUMMYFUNCTION("""COMPUTED_VALUE"""),"C")</f>
        <v>C</v>
      </c>
      <c r="J441" s="40" t="str">
        <f ca="1">IFERROR(__xludf.DUMMYFUNCTION("""COMPUTED_VALUE"""),"Jaime Alonso Ochoa Ríos")</f>
        <v>Jaime Alonso Ochoa Ríos</v>
      </c>
      <c r="K441" s="40"/>
      <c r="L441" s="40" t="str">
        <f t="shared" ca="1" si="2"/>
        <v>LAA21</v>
      </c>
      <c r="M441" s="36" t="str">
        <f t="shared" ca="1" si="3"/>
        <v>LAA</v>
      </c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</row>
    <row r="442" spans="1:27">
      <c r="A442" s="40"/>
      <c r="B442" s="36"/>
      <c r="C442" s="40"/>
      <c r="D442" s="41"/>
      <c r="E442" s="40"/>
      <c r="F442" s="40" t="str">
        <f ca="1">IFERROR(__xludf.DUMMYFUNCTION("""COMPUTED_VALUE"""),"Iván Sánchez")</f>
        <v>Iván Sánchez</v>
      </c>
      <c r="G442" s="40" t="str">
        <f ca="1">IFERROR(__xludf.DUMMYFUNCTION("""COMPUTED_VALUE"""),"ISL")</f>
        <v>ISL</v>
      </c>
      <c r="H442" s="40" t="str">
        <f ca="1">IFERROR(__xludf.DUMMYFUNCTION("""COMPUTED_VALUE"""),"ISL40")</f>
        <v>ISL40</v>
      </c>
      <c r="I442" s="40" t="str">
        <f ca="1">IFERROR(__xludf.DUMMYFUNCTION("""COMPUTED_VALUE"""),"B")</f>
        <v>B</v>
      </c>
      <c r="J442" s="23" t="str">
        <f ca="1">IFERROR(__xludf.DUMMYFUNCTION("""COMPUTED_VALUE"""),"Jaime Ferrán Bernal")</f>
        <v>Jaime Ferrán Bernal</v>
      </c>
      <c r="K442" s="23"/>
      <c r="L442" s="40" t="str">
        <f t="shared" ca="1" si="2"/>
        <v>ISL40</v>
      </c>
      <c r="M442" s="36" t="str">
        <f t="shared" ca="1" si="3"/>
        <v>ISL</v>
      </c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</row>
    <row r="443" spans="1:27">
      <c r="A443" s="40"/>
      <c r="B443" s="36"/>
      <c r="C443" s="40"/>
      <c r="D443" s="41"/>
      <c r="E443" s="40"/>
      <c r="F443" s="40" t="str">
        <f ca="1">IFERROR(__xludf.DUMMYFUNCTION("""COMPUTED_VALUE"""),"Ignacio Berdejo")</f>
        <v>Ignacio Berdejo</v>
      </c>
      <c r="G443" s="40" t="str">
        <f ca="1">IFERROR(__xludf.DUMMYFUNCTION("""COMPUTED_VALUE"""),"LRM")</f>
        <v>LRM</v>
      </c>
      <c r="H443" s="40" t="str">
        <f ca="1">IFERROR(__xludf.DUMMYFUNCTION("""COMPUTED_VALUE"""),"LRM56")</f>
        <v>LRM56</v>
      </c>
      <c r="I443" s="40" t="str">
        <f ca="1">IFERROR(__xludf.DUMMYFUNCTION("""COMPUTED_VALUE"""),"A")</f>
        <v>A</v>
      </c>
      <c r="J443" s="40" t="str">
        <f ca="1">IFERROR(__xludf.DUMMYFUNCTION("""COMPUTED_VALUE"""),"Jaime Leache Pueyo")</f>
        <v>Jaime Leache Pueyo</v>
      </c>
      <c r="K443" s="40"/>
      <c r="L443" s="40" t="str">
        <f t="shared" ca="1" si="2"/>
        <v>LRM56</v>
      </c>
      <c r="M443" s="36" t="str">
        <f t="shared" ca="1" si="3"/>
        <v>LRM</v>
      </c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</row>
    <row r="444" spans="1:27">
      <c r="A444" s="40"/>
      <c r="B444" s="36"/>
      <c r="C444" s="40"/>
      <c r="D444" s="41"/>
      <c r="E444" s="40"/>
      <c r="F444" s="40" t="str">
        <f ca="1">IFERROR(__xludf.DUMMYFUNCTION("""COMPUTED_VALUE"""),"Ramon Ferrando")</f>
        <v>Ramon Ferrando</v>
      </c>
      <c r="G444" s="40" t="str">
        <f ca="1">IFERROR(__xludf.DUMMYFUNCTION("""COMPUTED_VALUE"""),"RFV")</f>
        <v>RFV</v>
      </c>
      <c r="H444" s="40" t="str">
        <f ca="1">IFERROR(__xludf.DUMMYFUNCTION("""COMPUTED_VALUE"""),"RFV41")</f>
        <v>RFV41</v>
      </c>
      <c r="I444" s="40" t="str">
        <f ca="1">IFERROR(__xludf.DUMMYFUNCTION("""COMPUTED_VALUE"""),"B")</f>
        <v>B</v>
      </c>
      <c r="J444" s="40" t="str">
        <f ca="1">IFERROR(__xludf.DUMMYFUNCTION("""COMPUTED_VALUE"""),"Jaime Marco Algarra")</f>
        <v>Jaime Marco Algarra</v>
      </c>
      <c r="K444" s="40"/>
      <c r="L444" s="40" t="str">
        <f t="shared" ca="1" si="2"/>
        <v>RFV41</v>
      </c>
      <c r="M444" s="36" t="str">
        <f t="shared" ca="1" si="3"/>
        <v>RFV</v>
      </c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</row>
    <row r="445" spans="1:27">
      <c r="A445" s="40"/>
      <c r="B445" s="36"/>
      <c r="C445" s="40"/>
      <c r="D445" s="41"/>
      <c r="E445" s="40"/>
      <c r="F445" s="40" t="str">
        <f ca="1">IFERROR(__xludf.DUMMYFUNCTION("""COMPUTED_VALUE"""),"Maika Blázquez")</f>
        <v>Maika Blázquez</v>
      </c>
      <c r="G445" s="40" t="str">
        <f ca="1">IFERROR(__xludf.DUMMYFUNCTION("""COMPUTED_VALUE"""),"MBM")</f>
        <v>MBM</v>
      </c>
      <c r="H445" s="40" t="str">
        <f ca="1">IFERROR(__xludf.DUMMYFUNCTION("""COMPUTED_VALUE"""),"MBM36")</f>
        <v>MBM36</v>
      </c>
      <c r="I445" s="40" t="str">
        <f ca="1">IFERROR(__xludf.DUMMYFUNCTION("""COMPUTED_VALUE"""),"A")</f>
        <v>A</v>
      </c>
      <c r="J445" s="40" t="str">
        <f ca="1">IFERROR(__xludf.DUMMYFUNCTION("""COMPUTED_VALUE"""),"Jaime Martín Carranza")</f>
        <v>Jaime Martín Carranza</v>
      </c>
      <c r="K445" s="40"/>
      <c r="L445" s="40" t="str">
        <f t="shared" ca="1" si="2"/>
        <v>MBM36</v>
      </c>
      <c r="M445" s="36" t="str">
        <f t="shared" ca="1" si="3"/>
        <v>MBM</v>
      </c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</row>
    <row r="446" spans="1:27">
      <c r="A446" s="40"/>
      <c r="B446" s="36"/>
      <c r="C446" s="40"/>
      <c r="D446" s="41"/>
      <c r="E446" s="40"/>
      <c r="F446" s="40" t="str">
        <f ca="1">IFERROR(__xludf.DUMMYFUNCTION("""COMPUTED_VALUE"""),"Lisandro Russian")</f>
        <v>Lisandro Russian</v>
      </c>
      <c r="G446" s="40" t="str">
        <f ca="1">IFERROR(__xludf.DUMMYFUNCTION("""COMPUTED_VALUE"""),"LRM")</f>
        <v>LRM</v>
      </c>
      <c r="H446" s="40" t="str">
        <f ca="1">IFERROR(__xludf.DUMMYFUNCTION("""COMPUTED_VALUE"""),"LRM57")</f>
        <v>LRM57</v>
      </c>
      <c r="I446" s="40" t="str">
        <f ca="1">IFERROR(__xludf.DUMMYFUNCTION("""COMPUTED_VALUE"""),"A")</f>
        <v>A</v>
      </c>
      <c r="J446" s="40" t="str">
        <f ca="1">IFERROR(__xludf.DUMMYFUNCTION("""COMPUTED_VALUE"""),"Jaime Sanabria Brassart")</f>
        <v>Jaime Sanabria Brassart</v>
      </c>
      <c r="K446" s="40"/>
      <c r="L446" s="40" t="str">
        <f t="shared" ca="1" si="2"/>
        <v>LRM57</v>
      </c>
      <c r="M446" s="36" t="str">
        <f t="shared" ca="1" si="3"/>
        <v>LRM</v>
      </c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</row>
    <row r="447" spans="1:27">
      <c r="A447" s="40"/>
      <c r="B447" s="36"/>
      <c r="C447" s="40"/>
      <c r="D447" s="41"/>
      <c r="E447" s="40"/>
      <c r="F447" s="40" t="str">
        <f ca="1">IFERROR(__xludf.DUMMYFUNCTION("""COMPUTED_VALUE"""),"Alberto Moreno")</f>
        <v>Alberto Moreno</v>
      </c>
      <c r="G447" s="40" t="str">
        <f ca="1">IFERROR(__xludf.DUMMYFUNCTION("""COMPUTED_VALUE"""),"AMM")</f>
        <v>AMM</v>
      </c>
      <c r="H447" s="40" t="str">
        <f ca="1">IFERROR(__xludf.DUMMYFUNCTION("""COMPUTED_VALUE"""),"AMM06")</f>
        <v>AMM06</v>
      </c>
      <c r="I447" s="40" t="str">
        <f ca="1">IFERROR(__xludf.DUMMYFUNCTION("""COMPUTED_VALUE"""),"A")</f>
        <v>A</v>
      </c>
      <c r="J447" s="40" t="str">
        <f ca="1">IFERROR(__xludf.DUMMYFUNCTION("""COMPUTED_VALUE"""),"Jaime Tisaire Calle")</f>
        <v>Jaime Tisaire Calle</v>
      </c>
      <c r="K447" s="40"/>
      <c r="L447" s="40" t="str">
        <f t="shared" ca="1" si="2"/>
        <v>AMM06</v>
      </c>
      <c r="M447" s="36" t="str">
        <f t="shared" ca="1" si="3"/>
        <v>AMM</v>
      </c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</row>
    <row r="448" spans="1:27">
      <c r="A448" s="40"/>
      <c r="B448" s="36"/>
      <c r="C448" s="40"/>
      <c r="D448" s="41"/>
      <c r="E448" s="40"/>
      <c r="F448" s="40" t="str">
        <f ca="1">IFERROR(__xludf.DUMMYFUNCTION("""COMPUTED_VALUE"""),"Maika Blázquez")</f>
        <v>Maika Blázquez</v>
      </c>
      <c r="G448" s="40" t="str">
        <f ca="1">IFERROR(__xludf.DUMMYFUNCTION("""COMPUTED_VALUE"""),"MBM")</f>
        <v>MBM</v>
      </c>
      <c r="H448" s="40" t="str">
        <f ca="1">IFERROR(__xludf.DUMMYFUNCTION("""COMPUTED_VALUE"""),"MBM37")</f>
        <v>MBM37</v>
      </c>
      <c r="I448" s="40" t="str">
        <f ca="1">IFERROR(__xludf.DUMMYFUNCTION("""COMPUTED_VALUE"""),"A")</f>
        <v>A</v>
      </c>
      <c r="J448" s="40" t="str">
        <f ca="1">IFERROR(__xludf.DUMMYFUNCTION("""COMPUTED_VALUE"""),"Javier Alonso Ortega")</f>
        <v>Javier Alonso Ortega</v>
      </c>
      <c r="K448" s="40"/>
      <c r="L448" s="40" t="str">
        <f t="shared" ca="1" si="2"/>
        <v>MBM37</v>
      </c>
      <c r="M448" s="36" t="str">
        <f t="shared" ca="1" si="3"/>
        <v>MBM</v>
      </c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</row>
    <row r="449" spans="1:27">
      <c r="A449" s="40"/>
      <c r="B449" s="36"/>
      <c r="C449" s="40"/>
      <c r="D449" s="41"/>
      <c r="E449" s="40"/>
      <c r="F449" s="40" t="str">
        <f ca="1">IFERROR(__xludf.DUMMYFUNCTION("""COMPUTED_VALUE"""),"Maika Blázquez")</f>
        <v>Maika Blázquez</v>
      </c>
      <c r="G449" s="40" t="str">
        <f ca="1">IFERROR(__xludf.DUMMYFUNCTION("""COMPUTED_VALUE"""),"MBM")</f>
        <v>MBM</v>
      </c>
      <c r="H449" s="40" t="str">
        <f ca="1">IFERROR(__xludf.DUMMYFUNCTION("""COMPUTED_VALUE"""),"MBM38")</f>
        <v>MBM38</v>
      </c>
      <c r="I449" s="40" t="str">
        <f ca="1">IFERROR(__xludf.DUMMYFUNCTION("""COMPUTED_VALUE"""),"A")</f>
        <v>A</v>
      </c>
      <c r="J449" s="40" t="str">
        <f ca="1">IFERROR(__xludf.DUMMYFUNCTION("""COMPUTED_VALUE"""),"Javier Gamboa Mutuberria")</f>
        <v>Javier Gamboa Mutuberria</v>
      </c>
      <c r="K449" s="40"/>
      <c r="L449" s="40" t="str">
        <f t="shared" ca="1" si="2"/>
        <v>MBM38</v>
      </c>
      <c r="M449" s="36" t="str">
        <f t="shared" ca="1" si="3"/>
        <v>MBM</v>
      </c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</row>
    <row r="450" spans="1:27">
      <c r="A450" s="40"/>
      <c r="B450" s="36"/>
      <c r="C450" s="40"/>
      <c r="D450" s="41"/>
      <c r="E450" s="40"/>
      <c r="F450" s="40" t="str">
        <f ca="1">IFERROR(__xludf.DUMMYFUNCTION("""COMPUTED_VALUE"""),"Maika Blázquez")</f>
        <v>Maika Blázquez</v>
      </c>
      <c r="G450" s="40" t="str">
        <f ca="1">IFERROR(__xludf.DUMMYFUNCTION("""COMPUTED_VALUE"""),"MBM")</f>
        <v>MBM</v>
      </c>
      <c r="H450" s="40" t="str">
        <f ca="1">IFERROR(__xludf.DUMMYFUNCTION("""COMPUTED_VALUE"""),"MBM39")</f>
        <v>MBM39</v>
      </c>
      <c r="I450" s="40" t="str">
        <f ca="1">IFERROR(__xludf.DUMMYFUNCTION("""COMPUTED_VALUE"""),"A")</f>
        <v>A</v>
      </c>
      <c r="J450" s="40" t="str">
        <f ca="1">IFERROR(__xludf.DUMMYFUNCTION("""COMPUTED_VALUE"""),"Javier García Domínguez")</f>
        <v>Javier García Domínguez</v>
      </c>
      <c r="K450" s="40"/>
      <c r="L450" s="40" t="str">
        <f t="shared" ca="1" si="2"/>
        <v>MBM39</v>
      </c>
      <c r="M450" s="36" t="str">
        <f t="shared" ca="1" si="3"/>
        <v>MBM</v>
      </c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</row>
    <row r="451" spans="1:27">
      <c r="A451" s="40"/>
      <c r="B451" s="36"/>
      <c r="C451" s="40"/>
      <c r="D451" s="41"/>
      <c r="E451" s="40"/>
      <c r="F451" s="40" t="str">
        <f ca="1">IFERROR(__xludf.DUMMYFUNCTION("""COMPUTED_VALUE"""),"Lisandro Russian")</f>
        <v>Lisandro Russian</v>
      </c>
      <c r="G451" s="40" t="str">
        <f ca="1">IFERROR(__xludf.DUMMYFUNCTION("""COMPUTED_VALUE"""),"LRM")</f>
        <v>LRM</v>
      </c>
      <c r="H451" s="40" t="str">
        <f ca="1">IFERROR(__xludf.DUMMYFUNCTION("""COMPUTED_VALUE"""),"LRM58")</f>
        <v>LRM58</v>
      </c>
      <c r="I451" s="40" t="str">
        <f ca="1">IFERROR(__xludf.DUMMYFUNCTION("""COMPUTED_VALUE"""),"A")</f>
        <v>A</v>
      </c>
      <c r="J451" s="40" t="str">
        <f ca="1">IFERROR(__xludf.DUMMYFUNCTION("""COMPUTED_VALUE"""),"Javier García Gómez")</f>
        <v>Javier García Gómez</v>
      </c>
      <c r="K451" s="40"/>
      <c r="L451" s="40" t="str">
        <f t="shared" ca="1" si="2"/>
        <v>LRM58</v>
      </c>
      <c r="M451" s="36" t="str">
        <f t="shared" ca="1" si="3"/>
        <v>LRM</v>
      </c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</row>
    <row r="452" spans="1:27">
      <c r="A452" s="40"/>
      <c r="B452" s="36"/>
      <c r="C452" s="40"/>
      <c r="D452" s="41"/>
      <c r="E452" s="40"/>
      <c r="F452" s="40" t="str">
        <f ca="1">IFERROR(__xludf.DUMMYFUNCTION("""COMPUTED_VALUE"""),"Iván Sánchez")</f>
        <v>Iván Sánchez</v>
      </c>
      <c r="G452" s="40" t="str">
        <f ca="1">IFERROR(__xludf.DUMMYFUNCTION("""COMPUTED_VALUE"""),"ISL")</f>
        <v>ISL</v>
      </c>
      <c r="H452" s="40" t="str">
        <f ca="1">IFERROR(__xludf.DUMMYFUNCTION("""COMPUTED_VALUE"""),"ISL41")</f>
        <v>ISL41</v>
      </c>
      <c r="I452" s="40" t="str">
        <f ca="1">IFERROR(__xludf.DUMMYFUNCTION("""COMPUTED_VALUE"""),"B")</f>
        <v>B</v>
      </c>
      <c r="J452" s="40" t="str">
        <f ca="1">IFERROR(__xludf.DUMMYFUNCTION("""COMPUTED_VALUE"""),"Javier García-Dueñas González")</f>
        <v>Javier García-Dueñas González</v>
      </c>
      <c r="K452" s="40"/>
      <c r="L452" s="40" t="str">
        <f t="shared" ca="1" si="2"/>
        <v>ISL41</v>
      </c>
      <c r="M452" s="36" t="str">
        <f t="shared" ca="1" si="3"/>
        <v>ISL</v>
      </c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</row>
    <row r="453" spans="1:27">
      <c r="A453" s="40"/>
      <c r="B453" s="36"/>
      <c r="C453" s="40"/>
      <c r="D453" s="41"/>
      <c r="E453" s="40"/>
      <c r="F453" s="40" t="str">
        <f ca="1">IFERROR(__xludf.DUMMYFUNCTION("""COMPUTED_VALUE"""),"Lisandro Russian")</f>
        <v>Lisandro Russian</v>
      </c>
      <c r="G453" s="40" t="str">
        <f ca="1">IFERROR(__xludf.DUMMYFUNCTION("""COMPUTED_VALUE"""),"LRM")</f>
        <v>LRM</v>
      </c>
      <c r="H453" s="40" t="str">
        <f ca="1">IFERROR(__xludf.DUMMYFUNCTION("""COMPUTED_VALUE"""),"LRM59")</f>
        <v>LRM59</v>
      </c>
      <c r="I453" s="40" t="str">
        <f ca="1">IFERROR(__xludf.DUMMYFUNCTION("""COMPUTED_VALUE"""),"A")</f>
        <v>A</v>
      </c>
      <c r="J453" s="40" t="str">
        <f ca="1">IFERROR(__xludf.DUMMYFUNCTION("""COMPUTED_VALUE"""),"Javier Gavilán Bouzas")</f>
        <v>Javier Gavilán Bouzas</v>
      </c>
      <c r="K453" s="40"/>
      <c r="L453" s="40" t="str">
        <f t="shared" ca="1" si="2"/>
        <v>LRM59</v>
      </c>
      <c r="M453" s="36" t="str">
        <f t="shared" ca="1" si="3"/>
        <v>LRM</v>
      </c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</row>
    <row r="454" spans="1:27">
      <c r="A454" s="40"/>
      <c r="B454" s="36"/>
      <c r="C454" s="40"/>
      <c r="D454" s="41"/>
      <c r="E454" s="40"/>
      <c r="F454" s="40" t="str">
        <f ca="1">IFERROR(__xludf.DUMMYFUNCTION("""COMPUTED_VALUE"""),"Maika Blázquez")</f>
        <v>Maika Blázquez</v>
      </c>
      <c r="G454" s="40" t="str">
        <f ca="1">IFERROR(__xludf.DUMMYFUNCTION("""COMPUTED_VALUE"""),"MBM")</f>
        <v>MBM</v>
      </c>
      <c r="H454" s="40" t="str">
        <f ca="1">IFERROR(__xludf.DUMMYFUNCTION("""COMPUTED_VALUE"""),"MBM40")</f>
        <v>MBM40</v>
      </c>
      <c r="I454" s="40" t="str">
        <f ca="1">IFERROR(__xludf.DUMMYFUNCTION("""COMPUTED_VALUE"""),"A")</f>
        <v>A</v>
      </c>
      <c r="J454" s="40" t="str">
        <f ca="1">IFERROR(__xludf.DUMMYFUNCTION("""COMPUTED_VALUE"""),"Javier Gavilanes Plasencia")</f>
        <v>Javier Gavilanes Plasencia</v>
      </c>
      <c r="K454" s="40"/>
      <c r="L454" s="40" t="str">
        <f t="shared" ca="1" si="2"/>
        <v>MBM40</v>
      </c>
      <c r="M454" s="36" t="str">
        <f t="shared" ca="1" si="3"/>
        <v>MBM</v>
      </c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</row>
    <row r="455" spans="1:27">
      <c r="A455" s="40"/>
      <c r="B455" s="36"/>
      <c r="C455" s="40"/>
      <c r="D455" s="41"/>
      <c r="E455" s="40"/>
      <c r="F455" s="40" t="str">
        <f ca="1">IFERROR(__xludf.DUMMYFUNCTION("""COMPUTED_VALUE"""),"Patricia Solache")</f>
        <v>Patricia Solache</v>
      </c>
      <c r="G455" s="40" t="str">
        <f ca="1">IFERROR(__xludf.DUMMYFUNCTION("""COMPUTED_VALUE"""),"PSC")</f>
        <v>PSC</v>
      </c>
      <c r="H455" s="40" t="str">
        <f ca="1">IFERROR(__xludf.DUMMYFUNCTION("""COMPUTED_VALUE"""),"PSC12")</f>
        <v>PSC12</v>
      </c>
      <c r="I455" s="40" t="str">
        <f ca="1">IFERROR(__xludf.DUMMYFUNCTION("""COMPUTED_VALUE"""),"A")</f>
        <v>A</v>
      </c>
      <c r="J455" s="40" t="str">
        <f ca="1">IFERROR(__xludf.DUMMYFUNCTION("""COMPUTED_VALUE"""),"Javier Herrero Agustín")</f>
        <v>Javier Herrero Agustín</v>
      </c>
      <c r="K455" s="40"/>
      <c r="L455" s="40" t="str">
        <f t="shared" ca="1" si="2"/>
        <v>PSC12</v>
      </c>
      <c r="M455" s="36" t="str">
        <f t="shared" ca="1" si="3"/>
        <v>PSC</v>
      </c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</row>
    <row r="456" spans="1:27">
      <c r="A456" s="40"/>
      <c r="B456" s="36"/>
      <c r="C456" s="40"/>
      <c r="D456" s="41"/>
      <c r="E456" s="23"/>
      <c r="F456" s="40" t="str">
        <f ca="1">IFERROR(__xludf.DUMMYFUNCTION("""COMPUTED_VALUE"""),"Luis Alberto Rodríguez")</f>
        <v>Luis Alberto Rodríguez</v>
      </c>
      <c r="G456" s="40" t="str">
        <f ca="1">IFERROR(__xludf.DUMMYFUNCTION("""COMPUTED_VALUE"""),"LAA")</f>
        <v>LAA</v>
      </c>
      <c r="H456" s="40" t="str">
        <f ca="1">IFERROR(__xludf.DUMMYFUNCTION("""COMPUTED_VALUE"""),"LAA22")</f>
        <v>LAA22</v>
      </c>
      <c r="I456" s="40" t="str">
        <f ca="1">IFERROR(__xludf.DUMMYFUNCTION("""COMPUTED_VALUE"""),"C")</f>
        <v>C</v>
      </c>
      <c r="J456" s="40" t="str">
        <f ca="1">IFERROR(__xludf.DUMMYFUNCTION("""COMPUTED_VALUE"""),"Javier Jaramillo Pérez")</f>
        <v>Javier Jaramillo Pérez</v>
      </c>
      <c r="K456" s="40"/>
      <c r="L456" s="40" t="str">
        <f t="shared" ca="1" si="2"/>
        <v>LAA22</v>
      </c>
      <c r="M456" s="36" t="str">
        <f t="shared" ca="1" si="3"/>
        <v>LAA</v>
      </c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</row>
    <row r="457" spans="1:27">
      <c r="A457" s="40"/>
      <c r="B457" s="36"/>
      <c r="C457" s="40"/>
      <c r="D457" s="41"/>
      <c r="E457" s="40"/>
      <c r="F457" s="40" t="str">
        <f ca="1">IFERROR(__xludf.DUMMYFUNCTION("""COMPUTED_VALUE"""),"Iván Sánchez")</f>
        <v>Iván Sánchez</v>
      </c>
      <c r="G457" s="40" t="str">
        <f ca="1">IFERROR(__xludf.DUMMYFUNCTION("""COMPUTED_VALUE"""),"ISL")</f>
        <v>ISL</v>
      </c>
      <c r="H457" s="40" t="str">
        <f ca="1">IFERROR(__xludf.DUMMYFUNCTION("""COMPUTED_VALUE"""),"ISL42")</f>
        <v>ISL42</v>
      </c>
      <c r="I457" s="40" t="str">
        <f ca="1">IFERROR(__xludf.DUMMYFUNCTION("""COMPUTED_VALUE"""),"B")</f>
        <v>B</v>
      </c>
      <c r="J457" s="40" t="str">
        <f ca="1">IFERROR(__xludf.DUMMYFUNCTION("""COMPUTED_VALUE"""),"Javier Lafarga Vázquez")</f>
        <v>Javier Lafarga Vázquez</v>
      </c>
      <c r="K457" s="40"/>
      <c r="L457" s="40" t="str">
        <f t="shared" ca="1" si="2"/>
        <v>ISL42</v>
      </c>
      <c r="M457" s="36" t="str">
        <f t="shared" ca="1" si="3"/>
        <v>ISL</v>
      </c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</row>
    <row r="458" spans="1:27">
      <c r="A458" s="40"/>
      <c r="B458" s="36"/>
      <c r="C458" s="40"/>
      <c r="D458" s="41"/>
      <c r="E458" s="40"/>
      <c r="F458" s="40" t="str">
        <f ca="1">IFERROR(__xludf.DUMMYFUNCTION("""COMPUTED_VALUE"""),"Luis Alberto Rodríguez")</f>
        <v>Luis Alberto Rodríguez</v>
      </c>
      <c r="G458" s="40" t="str">
        <f ca="1">IFERROR(__xludf.DUMMYFUNCTION("""COMPUTED_VALUE"""),"LAA")</f>
        <v>LAA</v>
      </c>
      <c r="H458" s="40" t="str">
        <f ca="1">IFERROR(__xludf.DUMMYFUNCTION("""COMPUTED_VALUE"""),"LAA23")</f>
        <v>LAA23</v>
      </c>
      <c r="I458" s="40" t="str">
        <f ca="1">IFERROR(__xludf.DUMMYFUNCTION("""COMPUTED_VALUE"""),"C")</f>
        <v>C</v>
      </c>
      <c r="J458" s="40" t="str">
        <f ca="1">IFERROR(__xludf.DUMMYFUNCTION("""COMPUTED_VALUE"""),"Javier Macias Vázquez")</f>
        <v>Javier Macias Vázquez</v>
      </c>
      <c r="K458" s="40"/>
      <c r="L458" s="40" t="str">
        <f t="shared" ca="1" si="2"/>
        <v>LAA23</v>
      </c>
      <c r="M458" s="36" t="str">
        <f t="shared" ca="1" si="3"/>
        <v>LAA</v>
      </c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</row>
    <row r="459" spans="1:27">
      <c r="A459" s="40"/>
      <c r="B459" s="36"/>
      <c r="C459" s="40"/>
      <c r="D459" s="41"/>
      <c r="E459" s="40"/>
      <c r="F459" s="40" t="str">
        <f ca="1">IFERROR(__xludf.DUMMYFUNCTION("""COMPUTED_VALUE"""),"Roberto Pereira")</f>
        <v>Roberto Pereira</v>
      </c>
      <c r="G459" s="40" t="str">
        <f ca="1">IFERROR(__xludf.DUMMYFUNCTION("""COMPUTED_VALUE"""),"RPG")</f>
        <v>RPG</v>
      </c>
      <c r="H459" s="40" t="str">
        <f ca="1">IFERROR(__xludf.DUMMYFUNCTION("""COMPUTED_VALUE"""),"RPG15")</f>
        <v>RPG15</v>
      </c>
      <c r="I459" s="40" t="str">
        <f ca="1">IFERROR(__xludf.DUMMYFUNCTION("""COMPUTED_VALUE"""),"A")</f>
        <v>A</v>
      </c>
      <c r="J459" s="40" t="str">
        <f ca="1">IFERROR(__xludf.DUMMYFUNCTION("""COMPUTED_VALUE"""),"Javier Martín Aguirre")</f>
        <v>Javier Martín Aguirre</v>
      </c>
      <c r="K459" s="40"/>
      <c r="L459" s="40" t="str">
        <f t="shared" ca="1" si="2"/>
        <v>RPG15</v>
      </c>
      <c r="M459" s="36" t="str">
        <f t="shared" ca="1" si="3"/>
        <v>RPG</v>
      </c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</row>
    <row r="460" spans="1:27">
      <c r="A460" s="40"/>
      <c r="B460" s="36"/>
      <c r="C460" s="40"/>
      <c r="D460" s="41"/>
      <c r="E460" s="23"/>
      <c r="F460" s="40" t="str">
        <f ca="1">IFERROR(__xludf.DUMMYFUNCTION("""COMPUTED_VALUE"""),"Maika Blázquez")</f>
        <v>Maika Blázquez</v>
      </c>
      <c r="G460" s="40" t="str">
        <f ca="1">IFERROR(__xludf.DUMMYFUNCTION("""COMPUTED_VALUE"""),"MBM")</f>
        <v>MBM</v>
      </c>
      <c r="H460" s="40" t="str">
        <f ca="1">IFERROR(__xludf.DUMMYFUNCTION("""COMPUTED_VALUE"""),"MBM41")</f>
        <v>MBM41</v>
      </c>
      <c r="I460" s="40" t="str">
        <f ca="1">IFERROR(__xludf.DUMMYFUNCTION("""COMPUTED_VALUE"""),"A")</f>
        <v>A</v>
      </c>
      <c r="J460" s="40" t="str">
        <f ca="1">IFERROR(__xludf.DUMMYFUNCTION("""COMPUTED_VALUE"""),"Javier Olarieta Soto")</f>
        <v>Javier Olarieta Soto</v>
      </c>
      <c r="K460" s="40"/>
      <c r="L460" s="40" t="str">
        <f t="shared" ca="1" si="2"/>
        <v>MBM41</v>
      </c>
      <c r="M460" s="36" t="str">
        <f t="shared" ca="1" si="3"/>
        <v>MBM</v>
      </c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</row>
    <row r="461" spans="1:27">
      <c r="A461" s="40"/>
      <c r="B461" s="36"/>
      <c r="C461" s="40"/>
      <c r="D461" s="41"/>
      <c r="E461" s="40"/>
      <c r="F461" s="40" t="str">
        <f ca="1">IFERROR(__xludf.DUMMYFUNCTION("""COMPUTED_VALUE"""),"Iván Sánchez")</f>
        <v>Iván Sánchez</v>
      </c>
      <c r="G461" s="40" t="str">
        <f ca="1">IFERROR(__xludf.DUMMYFUNCTION("""COMPUTED_VALUE"""),"ISL")</f>
        <v>ISL</v>
      </c>
      <c r="H461" s="40" t="str">
        <f ca="1">IFERROR(__xludf.DUMMYFUNCTION("""COMPUTED_VALUE"""),"ISL43")</f>
        <v>ISL43</v>
      </c>
      <c r="I461" s="40" t="str">
        <f ca="1">IFERROR(__xludf.DUMMYFUNCTION("""COMPUTED_VALUE"""),"B")</f>
        <v>B</v>
      </c>
      <c r="J461" s="40" t="str">
        <f ca="1">IFERROR(__xludf.DUMMYFUNCTION("""COMPUTED_VALUE"""),"Javier Padilla Caballero")</f>
        <v>Javier Padilla Caballero</v>
      </c>
      <c r="K461" s="40"/>
      <c r="L461" s="40" t="str">
        <f t="shared" ca="1" si="2"/>
        <v>ISL43</v>
      </c>
      <c r="M461" s="36" t="str">
        <f t="shared" ca="1" si="3"/>
        <v>ISL</v>
      </c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</row>
    <row r="462" spans="1:27">
      <c r="A462" s="40"/>
      <c r="B462" s="36"/>
      <c r="C462" s="40"/>
      <c r="D462" s="41"/>
      <c r="E462" s="40"/>
      <c r="F462" s="40" t="str">
        <f ca="1">IFERROR(__xludf.DUMMYFUNCTION("""COMPUTED_VALUE"""),"Ramon Ferrando")</f>
        <v>Ramon Ferrando</v>
      </c>
      <c r="G462" s="40" t="str">
        <f ca="1">IFERROR(__xludf.DUMMYFUNCTION("""COMPUTED_VALUE"""),"RFV")</f>
        <v>RFV</v>
      </c>
      <c r="H462" s="40" t="str">
        <f ca="1">IFERROR(__xludf.DUMMYFUNCTION("""COMPUTED_VALUE"""),"RFV40")</f>
        <v>RFV40</v>
      </c>
      <c r="I462" s="40" t="str">
        <f ca="1">IFERROR(__xludf.DUMMYFUNCTION("""COMPUTED_VALUE"""),"B")</f>
        <v>B</v>
      </c>
      <c r="J462" s="40" t="str">
        <f ca="1">IFERROR(__xludf.DUMMYFUNCTION("""COMPUTED_VALUE"""),"Javier Padilla Cabello")</f>
        <v>Javier Padilla Cabello</v>
      </c>
      <c r="K462" s="40"/>
      <c r="L462" s="40" t="str">
        <f t="shared" ca="1" si="2"/>
        <v>RFV40</v>
      </c>
      <c r="M462" s="36" t="str">
        <f t="shared" ca="1" si="3"/>
        <v>RFV</v>
      </c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</row>
    <row r="463" spans="1:27">
      <c r="A463" s="40"/>
      <c r="B463" s="36"/>
      <c r="C463" s="40"/>
      <c r="D463" s="41"/>
      <c r="E463" s="40"/>
      <c r="F463" s="40" t="str">
        <f ca="1">IFERROR(__xludf.DUMMYFUNCTION("""COMPUTED_VALUE"""),"Ramon Ferrando")</f>
        <v>Ramon Ferrando</v>
      </c>
      <c r="G463" s="40" t="str">
        <f ca="1">IFERROR(__xludf.DUMMYFUNCTION("""COMPUTED_VALUE"""),"RFV")</f>
        <v>RFV</v>
      </c>
      <c r="H463" s="40" t="str">
        <f ca="1">IFERROR(__xludf.DUMMYFUNCTION("""COMPUTED_VALUE"""),"RFV15")</f>
        <v>RFV15</v>
      </c>
      <c r="I463" s="40" t="str">
        <f ca="1">IFERROR(__xludf.DUMMYFUNCTION("""COMPUTED_VALUE"""),"B")</f>
        <v>B</v>
      </c>
      <c r="J463" s="40" t="str">
        <f ca="1">IFERROR(__xludf.DUMMYFUNCTION("""COMPUTED_VALUE"""),"Jean Franco Intraprendente Martini")</f>
        <v>Jean Franco Intraprendente Martini</v>
      </c>
      <c r="K463" s="40"/>
      <c r="L463" s="40" t="str">
        <f t="shared" ca="1" si="2"/>
        <v>RFV15</v>
      </c>
      <c r="M463" s="36" t="str">
        <f t="shared" ca="1" si="3"/>
        <v>RFV</v>
      </c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</row>
    <row r="464" spans="1:27">
      <c r="A464" s="40"/>
      <c r="B464" s="36"/>
      <c r="C464" s="40"/>
      <c r="D464" s="41"/>
      <c r="E464" s="40"/>
      <c r="F464" s="40" t="str">
        <f ca="1">IFERROR(__xludf.DUMMYFUNCTION("""COMPUTED_VALUE"""),"Lisandro Russian")</f>
        <v>Lisandro Russian</v>
      </c>
      <c r="G464" s="40" t="str">
        <f ca="1">IFERROR(__xludf.DUMMYFUNCTION("""COMPUTED_VALUE"""),"LRM")</f>
        <v>LRM</v>
      </c>
      <c r="H464" s="40" t="str">
        <f ca="1">IFERROR(__xludf.DUMMYFUNCTION("""COMPUTED_VALUE"""),"LRM60")</f>
        <v>LRM60</v>
      </c>
      <c r="I464" s="40" t="str">
        <f ca="1">IFERROR(__xludf.DUMMYFUNCTION("""COMPUTED_VALUE"""),"A")</f>
        <v>A</v>
      </c>
      <c r="J464" s="40" t="str">
        <f ca="1">IFERROR(__xludf.DUMMYFUNCTION("""COMPUTED_VALUE"""),"Jehan Lym Lanz Luna")</f>
        <v>Jehan Lym Lanz Luna</v>
      </c>
      <c r="K464" s="40"/>
      <c r="L464" s="40" t="str">
        <f t="shared" ca="1" si="2"/>
        <v>LRM60</v>
      </c>
      <c r="M464" s="36" t="str">
        <f t="shared" ca="1" si="3"/>
        <v>LRM</v>
      </c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</row>
    <row r="465" spans="1:27">
      <c r="A465" s="40"/>
      <c r="B465" s="36"/>
      <c r="C465" s="40"/>
      <c r="D465" s="41"/>
      <c r="E465" s="40"/>
      <c r="F465" s="40" t="str">
        <f ca="1">IFERROR(__xludf.DUMMYFUNCTION("""COMPUTED_VALUE"""),"Luis Alberto Rodríguez")</f>
        <v>Luis Alberto Rodríguez</v>
      </c>
      <c r="G465" s="40" t="str">
        <f ca="1">IFERROR(__xludf.DUMMYFUNCTION("""COMPUTED_VALUE"""),"LAA")</f>
        <v>LAA</v>
      </c>
      <c r="H465" s="40" t="str">
        <f ca="1">IFERROR(__xludf.DUMMYFUNCTION("""COMPUTED_VALUE"""),"LAA49")</f>
        <v>LAA49</v>
      </c>
      <c r="I465" s="40" t="str">
        <f ca="1">IFERROR(__xludf.DUMMYFUNCTION("""COMPUTED_VALUE"""),"C")</f>
        <v>C</v>
      </c>
      <c r="J465" s="40" t="str">
        <f ca="1">IFERROR(__xludf.DUMMYFUNCTION("""COMPUTED_VALUE"""),"Jeremy Flores Trujillo")</f>
        <v>Jeremy Flores Trujillo</v>
      </c>
      <c r="K465" s="40"/>
      <c r="L465" s="40" t="str">
        <f t="shared" ca="1" si="2"/>
        <v>LAA49</v>
      </c>
      <c r="M465" s="36" t="str">
        <f t="shared" ca="1" si="3"/>
        <v>LAA</v>
      </c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</row>
    <row r="466" spans="1:27">
      <c r="A466" s="40"/>
      <c r="B466" s="36"/>
      <c r="C466" s="40"/>
      <c r="D466" s="41"/>
      <c r="E466" s="40"/>
      <c r="F466" s="40" t="str">
        <f ca="1">IFERROR(__xludf.DUMMYFUNCTION("""COMPUTED_VALUE"""),"Mercè Cabrera")</f>
        <v>Mercè Cabrera</v>
      </c>
      <c r="G466" s="40" t="str">
        <f ca="1">IFERROR(__xludf.DUMMYFUNCTION("""COMPUTED_VALUE"""),"MCC")</f>
        <v>MCC</v>
      </c>
      <c r="H466" s="40" t="str">
        <f ca="1">IFERROR(__xludf.DUMMYFUNCTION("""COMPUTED_VALUE"""),"MCC74")</f>
        <v>MCC74</v>
      </c>
      <c r="I466" s="40" t="str">
        <f ca="1">IFERROR(__xludf.DUMMYFUNCTION("""COMPUTED_VALUE"""),"A")</f>
        <v>A</v>
      </c>
      <c r="J466" s="40" t="str">
        <f ca="1">IFERROR(__xludf.DUMMYFUNCTION("""COMPUTED_VALUE"""),"Jessica Aguilera García")</f>
        <v>Jessica Aguilera García</v>
      </c>
      <c r="K466" s="40"/>
      <c r="L466" s="40" t="str">
        <f t="shared" ca="1" si="2"/>
        <v>MCC74</v>
      </c>
      <c r="M466" s="36" t="str">
        <f t="shared" ca="1" si="3"/>
        <v>MCC</v>
      </c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</row>
    <row r="467" spans="1:27">
      <c r="A467" s="40"/>
      <c r="B467" s="36"/>
      <c r="C467" s="40"/>
      <c r="D467" s="41"/>
      <c r="E467" s="40"/>
      <c r="F467" s="40" t="str">
        <f ca="1">IFERROR(__xludf.DUMMYFUNCTION("""COMPUTED_VALUE"""),"Lisandro Russian")</f>
        <v>Lisandro Russian</v>
      </c>
      <c r="G467" s="40" t="str">
        <f ca="1">IFERROR(__xludf.DUMMYFUNCTION("""COMPUTED_VALUE"""),"LRM")</f>
        <v>LRM</v>
      </c>
      <c r="H467" s="40" t="str">
        <f ca="1">IFERROR(__xludf.DUMMYFUNCTION("""COMPUTED_VALUE"""),"LRM166")</f>
        <v>LRM166</v>
      </c>
      <c r="I467" s="40" t="str">
        <f ca="1">IFERROR(__xludf.DUMMYFUNCTION("""COMPUTED_VALUE"""),"A")</f>
        <v>A</v>
      </c>
      <c r="J467" s="40" t="str">
        <f ca="1">IFERROR(__xludf.DUMMYFUNCTION("""COMPUTED_VALUE"""),"Jessica Horna Castiñeiras")</f>
        <v>Jessica Horna Castiñeiras</v>
      </c>
      <c r="K467" s="40"/>
      <c r="L467" s="40" t="str">
        <f t="shared" ca="1" si="2"/>
        <v>LRM166</v>
      </c>
      <c r="M467" s="36" t="str">
        <f t="shared" ca="1" si="3"/>
        <v>LRM</v>
      </c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</row>
    <row r="468" spans="1:27">
      <c r="A468" s="40"/>
      <c r="B468" s="36"/>
      <c r="C468" s="40"/>
      <c r="D468" s="41"/>
      <c r="E468" s="40"/>
      <c r="F468" s="40" t="str">
        <f ca="1">IFERROR(__xludf.DUMMYFUNCTION("""COMPUTED_VALUE"""),"Lisandro Russian")</f>
        <v>Lisandro Russian</v>
      </c>
      <c r="G468" s="40" t="str">
        <f ca="1">IFERROR(__xludf.DUMMYFUNCTION("""COMPUTED_VALUE"""),"LRM")</f>
        <v>LRM</v>
      </c>
      <c r="H468" s="40" t="str">
        <f ca="1">IFERROR(__xludf.DUMMYFUNCTION("""COMPUTED_VALUE"""),"LRM167")</f>
        <v>LRM167</v>
      </c>
      <c r="I468" s="40" t="str">
        <f ca="1">IFERROR(__xludf.DUMMYFUNCTION("""COMPUTED_VALUE"""),"A")</f>
        <v>A</v>
      </c>
      <c r="J468" s="40" t="str">
        <f ca="1">IFERROR(__xludf.DUMMYFUNCTION("""COMPUTED_VALUE"""),"Jessica Santillán Coello")</f>
        <v>Jessica Santillán Coello</v>
      </c>
      <c r="K468" s="40"/>
      <c r="L468" s="40" t="str">
        <f t="shared" ca="1" si="2"/>
        <v>LRM167</v>
      </c>
      <c r="M468" s="36" t="str">
        <f t="shared" ca="1" si="3"/>
        <v>LRM</v>
      </c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</row>
    <row r="469" spans="1:27">
      <c r="A469" s="40"/>
      <c r="B469" s="36"/>
      <c r="C469" s="40"/>
      <c r="D469" s="41"/>
      <c r="E469" s="40"/>
      <c r="F469" s="40" t="str">
        <f ca="1">IFERROR(__xludf.DUMMYFUNCTION("""COMPUTED_VALUE"""),"Iván Sánchez")</f>
        <v>Iván Sánchez</v>
      </c>
      <c r="G469" s="40" t="str">
        <f ca="1">IFERROR(__xludf.DUMMYFUNCTION("""COMPUTED_VALUE"""),"ISL")</f>
        <v>ISL</v>
      </c>
      <c r="H469" s="40" t="str">
        <f ca="1">IFERROR(__xludf.DUMMYFUNCTION("""COMPUTED_VALUE"""),"ISL44")</f>
        <v>ISL44</v>
      </c>
      <c r="I469" s="40" t="str">
        <f ca="1">IFERROR(__xludf.DUMMYFUNCTION("""COMPUTED_VALUE"""),"B")</f>
        <v>B</v>
      </c>
      <c r="J469" s="40" t="str">
        <f ca="1">IFERROR(__xludf.DUMMYFUNCTION("""COMPUTED_VALUE"""),"Jesús Aarón Martínez Alonso")</f>
        <v>Jesús Aarón Martínez Alonso</v>
      </c>
      <c r="K469" s="40"/>
      <c r="L469" s="40" t="str">
        <f t="shared" ca="1" si="2"/>
        <v>ISL44</v>
      </c>
      <c r="M469" s="36" t="str">
        <f t="shared" ca="1" si="3"/>
        <v>ISL</v>
      </c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</row>
    <row r="470" spans="1:27">
      <c r="A470" s="40"/>
      <c r="B470" s="36"/>
      <c r="C470" s="40"/>
      <c r="D470" s="41"/>
      <c r="E470" s="40"/>
      <c r="F470" s="40" t="str">
        <f ca="1">IFERROR(__xludf.DUMMYFUNCTION("""COMPUTED_VALUE"""),"Maika Blázquez")</f>
        <v>Maika Blázquez</v>
      </c>
      <c r="G470" s="40" t="str">
        <f ca="1">IFERROR(__xludf.DUMMYFUNCTION("""COMPUTED_VALUE"""),"MBM")</f>
        <v>MBM</v>
      </c>
      <c r="H470" s="40" t="str">
        <f ca="1">IFERROR(__xludf.DUMMYFUNCTION("""COMPUTED_VALUE"""),"MBM42")</f>
        <v>MBM42</v>
      </c>
      <c r="I470" s="40" t="str">
        <f ca="1">IFERROR(__xludf.DUMMYFUNCTION("""COMPUTED_VALUE"""),"A")</f>
        <v>A</v>
      </c>
      <c r="J470" s="40" t="str">
        <f ca="1">IFERROR(__xludf.DUMMYFUNCTION("""COMPUTED_VALUE"""),"Jesús Atalaya Díaz")</f>
        <v>Jesús Atalaya Díaz</v>
      </c>
      <c r="K470" s="40"/>
      <c r="L470" s="40" t="str">
        <f t="shared" ca="1" si="2"/>
        <v>MBM42</v>
      </c>
      <c r="M470" s="36" t="str">
        <f t="shared" ca="1" si="3"/>
        <v>MBM</v>
      </c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</row>
    <row r="471" spans="1:27">
      <c r="A471" s="40"/>
      <c r="B471" s="36"/>
      <c r="C471" s="40"/>
      <c r="D471" s="41"/>
      <c r="E471" s="40"/>
      <c r="F471" s="40" t="str">
        <f ca="1">IFERROR(__xludf.DUMMYFUNCTION("""COMPUTED_VALUE"""),"Luis Alberto Rodríguez")</f>
        <v>Luis Alberto Rodríguez</v>
      </c>
      <c r="G471" s="40" t="str">
        <f ca="1">IFERROR(__xludf.DUMMYFUNCTION("""COMPUTED_VALUE"""),"LAA")</f>
        <v>LAA</v>
      </c>
      <c r="H471" s="40" t="str">
        <f ca="1">IFERROR(__xludf.DUMMYFUNCTION("""COMPUTED_VALUE"""),"LAA24")</f>
        <v>LAA24</v>
      </c>
      <c r="I471" s="40" t="str">
        <f ca="1">IFERROR(__xludf.DUMMYFUNCTION("""COMPUTED_VALUE"""),"C")</f>
        <v>C</v>
      </c>
      <c r="J471" s="40" t="str">
        <f ca="1">IFERROR(__xludf.DUMMYFUNCTION("""COMPUTED_VALUE"""),"Jesús Crovato Rojas")</f>
        <v>Jesús Crovato Rojas</v>
      </c>
      <c r="K471" s="40"/>
      <c r="L471" s="40" t="str">
        <f t="shared" ca="1" si="2"/>
        <v>LAA24</v>
      </c>
      <c r="M471" s="36" t="str">
        <f t="shared" ca="1" si="3"/>
        <v>LAA</v>
      </c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</row>
    <row r="472" spans="1:27">
      <c r="A472" s="40"/>
      <c r="B472" s="36"/>
      <c r="C472" s="40"/>
      <c r="D472" s="41"/>
      <c r="E472" s="40"/>
      <c r="F472" s="40" t="str">
        <f ca="1">IFERROR(__xludf.DUMMYFUNCTION("""COMPUTED_VALUE"""),"Patricia Solache")</f>
        <v>Patricia Solache</v>
      </c>
      <c r="G472" s="40" t="str">
        <f ca="1">IFERROR(__xludf.DUMMYFUNCTION("""COMPUTED_VALUE"""),"PSC")</f>
        <v>PSC</v>
      </c>
      <c r="H472" s="40" t="str">
        <f ca="1">IFERROR(__xludf.DUMMYFUNCTION("""COMPUTED_VALUE"""),"PSC13")</f>
        <v>PSC13</v>
      </c>
      <c r="I472" s="40" t="str">
        <f ca="1">IFERROR(__xludf.DUMMYFUNCTION("""COMPUTED_VALUE"""),"A")</f>
        <v>A</v>
      </c>
      <c r="J472" s="40" t="str">
        <f ca="1">IFERROR(__xludf.DUMMYFUNCTION("""COMPUTED_VALUE"""),"Jesús Eduardo Ramírez Salas")</f>
        <v>Jesús Eduardo Ramírez Salas</v>
      </c>
      <c r="K472" s="40"/>
      <c r="L472" s="40" t="str">
        <f t="shared" ca="1" si="2"/>
        <v>PSC13</v>
      </c>
      <c r="M472" s="36" t="str">
        <f t="shared" ca="1" si="3"/>
        <v>PSC</v>
      </c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</row>
    <row r="473" spans="1:27">
      <c r="A473" s="40"/>
      <c r="B473" s="36"/>
      <c r="C473" s="40"/>
      <c r="D473" s="41"/>
      <c r="E473" s="40"/>
      <c r="F473" s="40" t="str">
        <f ca="1">IFERROR(__xludf.DUMMYFUNCTION("""COMPUTED_VALUE"""),"Lisandro Russian")</f>
        <v>Lisandro Russian</v>
      </c>
      <c r="G473" s="40" t="str">
        <f ca="1">IFERROR(__xludf.DUMMYFUNCTION("""COMPUTED_VALUE"""),"LRM")</f>
        <v>LRM</v>
      </c>
      <c r="H473" s="40" t="str">
        <f ca="1">IFERROR(__xludf.DUMMYFUNCTION("""COMPUTED_VALUE"""),"LRM61")</f>
        <v>LRM61</v>
      </c>
      <c r="I473" s="40" t="str">
        <f ca="1">IFERROR(__xludf.DUMMYFUNCTION("""COMPUTED_VALUE"""),"A")</f>
        <v>A</v>
      </c>
      <c r="J473" s="40" t="str">
        <f ca="1">IFERROR(__xludf.DUMMYFUNCTION("""COMPUTED_VALUE"""),"Jesús Esteban Rebollo")</f>
        <v>Jesús Esteban Rebollo</v>
      </c>
      <c r="K473" s="40"/>
      <c r="L473" s="40" t="str">
        <f t="shared" ca="1" si="2"/>
        <v>LRM61</v>
      </c>
      <c r="M473" s="36" t="str">
        <f t="shared" ca="1" si="3"/>
        <v>LRM</v>
      </c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</row>
    <row r="474" spans="1:27">
      <c r="A474" s="40"/>
      <c r="B474" s="36"/>
      <c r="C474" s="40"/>
      <c r="D474" s="41"/>
      <c r="E474" s="40"/>
      <c r="F474" s="40" t="str">
        <f ca="1">IFERROR(__xludf.DUMMYFUNCTION("""COMPUTED_VALUE"""),"Lisandro Russian")</f>
        <v>Lisandro Russian</v>
      </c>
      <c r="G474" s="40" t="str">
        <f ca="1">IFERROR(__xludf.DUMMYFUNCTION("""COMPUTED_VALUE"""),"LRM")</f>
        <v>LRM</v>
      </c>
      <c r="H474" s="40" t="str">
        <f ca="1">IFERROR(__xludf.DUMMYFUNCTION("""COMPUTED_VALUE"""),"LRM62")</f>
        <v>LRM62</v>
      </c>
      <c r="I474" s="40" t="str">
        <f ca="1">IFERROR(__xludf.DUMMYFUNCTION("""COMPUTED_VALUE"""),"A")</f>
        <v>A</v>
      </c>
      <c r="J474" s="40" t="str">
        <f ca="1">IFERROR(__xludf.DUMMYFUNCTION("""COMPUTED_VALUE"""),"Jesús García Ahijado")</f>
        <v>Jesús García Ahijado</v>
      </c>
      <c r="K474" s="40"/>
      <c r="L474" s="40" t="str">
        <f t="shared" ca="1" si="2"/>
        <v>LRM62</v>
      </c>
      <c r="M474" s="36" t="str">
        <f t="shared" ca="1" si="3"/>
        <v>LRM</v>
      </c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</row>
    <row r="475" spans="1:27">
      <c r="A475" s="40"/>
      <c r="B475" s="36"/>
      <c r="C475" s="40"/>
      <c r="D475" s="41"/>
      <c r="E475" s="40"/>
      <c r="F475" s="40" t="str">
        <f ca="1">IFERROR(__xludf.DUMMYFUNCTION("""COMPUTED_VALUE"""),"Ramon Ferrando")</f>
        <v>Ramon Ferrando</v>
      </c>
      <c r="G475" s="40" t="str">
        <f ca="1">IFERROR(__xludf.DUMMYFUNCTION("""COMPUTED_VALUE"""),"RFV")</f>
        <v>RFV</v>
      </c>
      <c r="H475" s="40" t="str">
        <f ca="1">IFERROR(__xludf.DUMMYFUNCTION("""COMPUTED_VALUE"""),"RFV40")</f>
        <v>RFV40</v>
      </c>
      <c r="I475" s="40" t="str">
        <f ca="1">IFERROR(__xludf.DUMMYFUNCTION("""COMPUTED_VALUE"""),"B")</f>
        <v>B</v>
      </c>
      <c r="J475" s="40" t="str">
        <f ca="1">IFERROR(__xludf.DUMMYFUNCTION("""COMPUTED_VALUE"""),"Jesús García Ruiz")</f>
        <v>Jesús García Ruiz</v>
      </c>
      <c r="K475" s="40"/>
      <c r="L475" s="40" t="str">
        <f t="shared" ca="1" si="2"/>
        <v>RFV40</v>
      </c>
      <c r="M475" s="36" t="str">
        <f t="shared" ca="1" si="3"/>
        <v>RFV</v>
      </c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</row>
    <row r="476" spans="1:27">
      <c r="A476" s="40"/>
      <c r="B476" s="36"/>
      <c r="C476" s="40"/>
      <c r="D476" s="41"/>
      <c r="E476" s="40"/>
      <c r="F476" s="40" t="str">
        <f ca="1">IFERROR(__xludf.DUMMYFUNCTION("""COMPUTED_VALUE"""),"Lisandro Russian")</f>
        <v>Lisandro Russian</v>
      </c>
      <c r="G476" s="40" t="str">
        <f ca="1">IFERROR(__xludf.DUMMYFUNCTION("""COMPUTED_VALUE"""),"LRM")</f>
        <v>LRM</v>
      </c>
      <c r="H476" s="40" t="str">
        <f ca="1">IFERROR(__xludf.DUMMYFUNCTION("""COMPUTED_VALUE"""),"LRM63")</f>
        <v>LRM63</v>
      </c>
      <c r="I476" s="40" t="str">
        <f ca="1">IFERROR(__xludf.DUMMYFUNCTION("""COMPUTED_VALUE"""),"A")</f>
        <v>A</v>
      </c>
      <c r="J476" s="40" t="str">
        <f ca="1">IFERROR(__xludf.DUMMYFUNCTION("""COMPUTED_VALUE"""),"Jesus Gimeno Hernández")</f>
        <v>Jesus Gimeno Hernández</v>
      </c>
      <c r="K476" s="40"/>
      <c r="L476" s="40" t="str">
        <f t="shared" ca="1" si="2"/>
        <v>LRM63</v>
      </c>
      <c r="M476" s="36" t="str">
        <f t="shared" ca="1" si="3"/>
        <v>LRM</v>
      </c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</row>
    <row r="477" spans="1:27">
      <c r="A477" s="40"/>
      <c r="B477" s="36"/>
      <c r="C477" s="40"/>
      <c r="D477" s="41"/>
      <c r="E477" s="40"/>
      <c r="F477" s="40" t="str">
        <f ca="1">IFERROR(__xludf.DUMMYFUNCTION("""COMPUTED_VALUE"""),"Roberto Pereira")</f>
        <v>Roberto Pereira</v>
      </c>
      <c r="G477" s="40" t="str">
        <f ca="1">IFERROR(__xludf.DUMMYFUNCTION("""COMPUTED_VALUE"""),"RPG")</f>
        <v>RPG</v>
      </c>
      <c r="H477" s="40" t="str">
        <f ca="1">IFERROR(__xludf.DUMMYFUNCTION("""COMPUTED_VALUE"""),"RPG16")</f>
        <v>RPG16</v>
      </c>
      <c r="I477" s="40" t="str">
        <f ca="1">IFERROR(__xludf.DUMMYFUNCTION("""COMPUTED_VALUE"""),"A")</f>
        <v>A</v>
      </c>
      <c r="J477" s="40" t="str">
        <f ca="1">IFERROR(__xludf.DUMMYFUNCTION("""COMPUTED_VALUE"""),"Jesús Herranz González-Botas")</f>
        <v>Jesús Herranz González-Botas</v>
      </c>
      <c r="K477" s="40"/>
      <c r="L477" s="40" t="str">
        <f t="shared" ca="1" si="2"/>
        <v>RPG16</v>
      </c>
      <c r="M477" s="36" t="str">
        <f t="shared" ca="1" si="3"/>
        <v>RPG</v>
      </c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</row>
    <row r="478" spans="1:27">
      <c r="A478" s="40"/>
      <c r="B478" s="36"/>
      <c r="C478" s="40"/>
      <c r="D478" s="41"/>
      <c r="E478" s="40"/>
      <c r="F478" s="40" t="str">
        <f ca="1">IFERROR(__xludf.DUMMYFUNCTION("""COMPUTED_VALUE"""),"Roberto Pereira")</f>
        <v>Roberto Pereira</v>
      </c>
      <c r="G478" s="40" t="str">
        <f ca="1">IFERROR(__xludf.DUMMYFUNCTION("""COMPUTED_VALUE"""),"RPG")</f>
        <v>RPG</v>
      </c>
      <c r="H478" s="40" t="str">
        <f ca="1">IFERROR(__xludf.DUMMYFUNCTION("""COMPUTED_VALUE"""),"RPG17")</f>
        <v>RPG17</v>
      </c>
      <c r="I478" s="40" t="str">
        <f ca="1">IFERROR(__xludf.DUMMYFUNCTION("""COMPUTED_VALUE"""),"A")</f>
        <v>A</v>
      </c>
      <c r="J478" s="40" t="str">
        <f ca="1">IFERROR(__xludf.DUMMYFUNCTION("""COMPUTED_VALUE"""),"Jesús Herranz Larrañeta")</f>
        <v>Jesús Herranz Larrañeta</v>
      </c>
      <c r="K478" s="40"/>
      <c r="L478" s="40" t="str">
        <f t="shared" ca="1" si="2"/>
        <v>RPG17</v>
      </c>
      <c r="M478" s="36" t="str">
        <f t="shared" ca="1" si="3"/>
        <v>RPG</v>
      </c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</row>
    <row r="479" spans="1:27">
      <c r="A479" s="40"/>
      <c r="B479" s="36"/>
      <c r="C479" s="40"/>
      <c r="D479" s="41"/>
      <c r="E479" s="40"/>
      <c r="F479" s="40" t="str">
        <f ca="1">IFERROR(__xludf.DUMMYFUNCTION("""COMPUTED_VALUE"""),"Lisandro Russian")</f>
        <v>Lisandro Russian</v>
      </c>
      <c r="G479" s="40" t="str">
        <f ca="1">IFERROR(__xludf.DUMMYFUNCTION("""COMPUTED_VALUE"""),"LRM")</f>
        <v>LRM</v>
      </c>
      <c r="H479" s="40" t="str">
        <f ca="1">IFERROR(__xludf.DUMMYFUNCTION("""COMPUTED_VALUE"""),"LRM64")</f>
        <v>LRM64</v>
      </c>
      <c r="I479" s="40" t="str">
        <f ca="1">IFERROR(__xludf.DUMMYFUNCTION("""COMPUTED_VALUE"""),"A")</f>
        <v>A</v>
      </c>
      <c r="J479" s="40" t="str">
        <f ca="1">IFERROR(__xludf.DUMMYFUNCTION("""COMPUTED_VALUE"""),"Jesús José Fraile Rodrigo")</f>
        <v>Jesús José Fraile Rodrigo</v>
      </c>
      <c r="K479" s="40"/>
      <c r="L479" s="40" t="str">
        <f t="shared" ca="1" si="2"/>
        <v>LRM64</v>
      </c>
      <c r="M479" s="36" t="str">
        <f t="shared" ca="1" si="3"/>
        <v>LRM</v>
      </c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</row>
    <row r="480" spans="1:27">
      <c r="A480" s="40"/>
      <c r="B480" s="36"/>
      <c r="C480" s="40"/>
      <c r="D480" s="41"/>
      <c r="E480" s="40"/>
      <c r="F480" s="40" t="str">
        <f ca="1">IFERROR(__xludf.DUMMYFUNCTION("""COMPUTED_VALUE"""),"Luis Alberto Rodríguez")</f>
        <v>Luis Alberto Rodríguez</v>
      </c>
      <c r="G480" s="40" t="str">
        <f ca="1">IFERROR(__xludf.DUMMYFUNCTION("""COMPUTED_VALUE"""),"LAA")</f>
        <v>LAA</v>
      </c>
      <c r="H480" s="40" t="str">
        <f ca="1">IFERROR(__xludf.DUMMYFUNCTION("""COMPUTED_VALUE"""),"LAA62")</f>
        <v>LAA62</v>
      </c>
      <c r="I480" s="40" t="str">
        <f ca="1">IFERROR(__xludf.DUMMYFUNCTION("""COMPUTED_VALUE"""),"C")</f>
        <v>C</v>
      </c>
      <c r="J480" s="40" t="str">
        <f ca="1">IFERROR(__xludf.DUMMYFUNCTION("""COMPUTED_VALUE"""),"Jesús López Palomo")</f>
        <v>Jesús López Palomo</v>
      </c>
      <c r="K480" s="40"/>
      <c r="L480" s="40" t="str">
        <f t="shared" ca="1" si="2"/>
        <v>LAA62</v>
      </c>
      <c r="M480" s="36" t="str">
        <f t="shared" ca="1" si="3"/>
        <v>LAA</v>
      </c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</row>
    <row r="481" spans="1:27">
      <c r="A481" s="40"/>
      <c r="B481" s="36"/>
      <c r="C481" s="40"/>
      <c r="D481" s="41"/>
      <c r="E481" s="40"/>
      <c r="F481" s="40" t="str">
        <f ca="1">IFERROR(__xludf.DUMMYFUNCTION("""COMPUTED_VALUE"""),"Lisandro Russian")</f>
        <v>Lisandro Russian</v>
      </c>
      <c r="G481" s="40" t="str">
        <f ca="1">IFERROR(__xludf.DUMMYFUNCTION("""COMPUTED_VALUE"""),"LRM")</f>
        <v>LRM</v>
      </c>
      <c r="H481" s="40" t="str">
        <f ca="1">IFERROR(__xludf.DUMMYFUNCTION("""COMPUTED_VALUE"""),"LRM65")</f>
        <v>LRM65</v>
      </c>
      <c r="I481" s="40" t="str">
        <f ca="1">IFERROR(__xludf.DUMMYFUNCTION("""COMPUTED_VALUE"""),"A")</f>
        <v>A</v>
      </c>
      <c r="J481" s="40" t="str">
        <f ca="1">IFERROR(__xludf.DUMMYFUNCTION("""COMPUTED_VALUE"""),"Jesús María Martín Tabernero")</f>
        <v>Jesús María Martín Tabernero</v>
      </c>
      <c r="K481" s="40"/>
      <c r="L481" s="40" t="str">
        <f t="shared" ca="1" si="2"/>
        <v>LRM65</v>
      </c>
      <c r="M481" s="36" t="str">
        <f t="shared" ca="1" si="3"/>
        <v>LRM</v>
      </c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</row>
    <row r="482" spans="1:27">
      <c r="A482" s="40"/>
      <c r="B482" s="36"/>
      <c r="C482" s="40"/>
      <c r="D482" s="41"/>
      <c r="E482" s="40"/>
      <c r="F482" s="40" t="str">
        <f ca="1">IFERROR(__xludf.DUMMYFUNCTION("""COMPUTED_VALUE"""),"Luis Alberto Rodríguez")</f>
        <v>Luis Alberto Rodríguez</v>
      </c>
      <c r="G482" s="40" t="str">
        <f ca="1">IFERROR(__xludf.DUMMYFUNCTION("""COMPUTED_VALUE"""),"LAA")</f>
        <v>LAA</v>
      </c>
      <c r="H482" s="40" t="str">
        <f ca="1">IFERROR(__xludf.DUMMYFUNCTION("""COMPUTED_VALUE"""),"LAA25")</f>
        <v>LAA25</v>
      </c>
      <c r="I482" s="40" t="str">
        <f ca="1">IFERROR(__xludf.DUMMYFUNCTION("""COMPUTED_VALUE"""),"C")</f>
        <v>C</v>
      </c>
      <c r="J482" s="40" t="str">
        <f ca="1">IFERROR(__xludf.DUMMYFUNCTION("""COMPUTED_VALUE"""),"Jesús María Moreno Bernal")</f>
        <v>Jesús María Moreno Bernal</v>
      </c>
      <c r="K482" s="40"/>
      <c r="L482" s="40" t="str">
        <f t="shared" ca="1" si="2"/>
        <v>LAA25</v>
      </c>
      <c r="M482" s="36" t="str">
        <f t="shared" ca="1" si="3"/>
        <v>LAA</v>
      </c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</row>
    <row r="483" spans="1:27">
      <c r="A483" s="40"/>
      <c r="B483" s="36"/>
      <c r="C483" s="40"/>
      <c r="D483" s="41"/>
      <c r="E483" s="40"/>
      <c r="F483" s="40" t="str">
        <f ca="1">IFERROR(__xludf.DUMMYFUNCTION("""COMPUTED_VALUE"""),"Iván Sánchez")</f>
        <v>Iván Sánchez</v>
      </c>
      <c r="G483" s="40" t="str">
        <f ca="1">IFERROR(__xludf.DUMMYFUNCTION("""COMPUTED_VALUE"""),"ISL")</f>
        <v>ISL</v>
      </c>
      <c r="H483" s="40" t="str">
        <f ca="1">IFERROR(__xludf.DUMMYFUNCTION("""COMPUTED_VALUE"""),"ISL45")</f>
        <v>ISL45</v>
      </c>
      <c r="I483" s="40" t="str">
        <f ca="1">IFERROR(__xludf.DUMMYFUNCTION("""COMPUTED_VALUE"""),"B")</f>
        <v>B</v>
      </c>
      <c r="J483" s="40" t="str">
        <f ca="1">IFERROR(__xludf.DUMMYFUNCTION("""COMPUTED_VALUE"""),"Jesús Miguel Iniesta Turpín")</f>
        <v>Jesús Miguel Iniesta Turpín</v>
      </c>
      <c r="K483" s="40"/>
      <c r="L483" s="40" t="str">
        <f t="shared" ca="1" si="2"/>
        <v>ISL45</v>
      </c>
      <c r="M483" s="36" t="str">
        <f t="shared" ca="1" si="3"/>
        <v>ISL</v>
      </c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</row>
    <row r="484" spans="1:27">
      <c r="A484" s="40"/>
      <c r="B484" s="36"/>
      <c r="C484" s="40"/>
      <c r="D484" s="41"/>
      <c r="E484" s="40"/>
      <c r="F484" s="40" t="str">
        <f ca="1">IFERROR(__xludf.DUMMYFUNCTION("""COMPUTED_VALUE"""),"Mercè Cabrera")</f>
        <v>Mercè Cabrera</v>
      </c>
      <c r="G484" s="40" t="str">
        <f ca="1">IFERROR(__xludf.DUMMYFUNCTION("""COMPUTED_VALUE"""),"MCC")</f>
        <v>MCC</v>
      </c>
      <c r="H484" s="40" t="str">
        <f ca="1">IFERROR(__xludf.DUMMYFUNCTION("""COMPUTED_VALUE"""),"MCC17")</f>
        <v>MCC17</v>
      </c>
      <c r="I484" s="40" t="str">
        <f ca="1">IFERROR(__xludf.DUMMYFUNCTION("""COMPUTED_VALUE"""),"A")</f>
        <v>A</v>
      </c>
      <c r="J484" s="40" t="str">
        <f ca="1">IFERROR(__xludf.DUMMYFUNCTION("""COMPUTED_VALUE"""),"Jesús Monzón Doldan")</f>
        <v>Jesús Monzón Doldan</v>
      </c>
      <c r="K484" s="40"/>
      <c r="L484" s="40" t="str">
        <f t="shared" ca="1" si="2"/>
        <v>MCC17</v>
      </c>
      <c r="M484" s="36" t="str">
        <f t="shared" ca="1" si="3"/>
        <v>MCC</v>
      </c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</row>
    <row r="485" spans="1:27">
      <c r="A485" s="40"/>
      <c r="B485" s="36"/>
      <c r="C485" s="40"/>
      <c r="D485" s="41"/>
      <c r="E485" s="40"/>
      <c r="F485" s="40" t="str">
        <f ca="1">IFERROR(__xludf.DUMMYFUNCTION("""COMPUTED_VALUE"""),"Maika Blázquez")</f>
        <v>Maika Blázquez</v>
      </c>
      <c r="G485" s="40" t="str">
        <f ca="1">IFERROR(__xludf.DUMMYFUNCTION("""COMPUTED_VALUE"""),"MBM")</f>
        <v>MBM</v>
      </c>
      <c r="H485" s="40" t="str">
        <f ca="1">IFERROR(__xludf.DUMMYFUNCTION("""COMPUTED_VALUE"""),"MBM43")</f>
        <v>MBM43</v>
      </c>
      <c r="I485" s="40" t="str">
        <f ca="1">IFERROR(__xludf.DUMMYFUNCTION("""COMPUTED_VALUE"""),"A")</f>
        <v>A</v>
      </c>
      <c r="J485" s="40" t="str">
        <f ca="1">IFERROR(__xludf.DUMMYFUNCTION("""COMPUTED_VALUE"""),"Jesús Ramos Fernández")</f>
        <v>Jesús Ramos Fernández</v>
      </c>
      <c r="K485" s="40"/>
      <c r="L485" s="40" t="str">
        <f t="shared" ca="1" si="2"/>
        <v>MBM43</v>
      </c>
      <c r="M485" s="36" t="str">
        <f t="shared" ca="1" si="3"/>
        <v>MBM</v>
      </c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</row>
    <row r="486" spans="1:27">
      <c r="A486" s="40"/>
      <c r="B486" s="36"/>
      <c r="C486" s="40"/>
      <c r="D486" s="41"/>
      <c r="E486" s="40"/>
      <c r="F486" s="40" t="str">
        <f ca="1">IFERROR(__xludf.DUMMYFUNCTION("""COMPUTED_VALUE"""),"Patricia Solache")</f>
        <v>Patricia Solache</v>
      </c>
      <c r="G486" s="40" t="str">
        <f ca="1">IFERROR(__xludf.DUMMYFUNCTION("""COMPUTED_VALUE"""),"PSC")</f>
        <v>PSC</v>
      </c>
      <c r="H486" s="40" t="str">
        <f ca="1">IFERROR(__xludf.DUMMYFUNCTION("""COMPUTED_VALUE"""),"PSC14")</f>
        <v>PSC14</v>
      </c>
      <c r="I486" s="40" t="str">
        <f ca="1">IFERROR(__xludf.DUMMYFUNCTION("""COMPUTED_VALUE"""),"A")</f>
        <v>A</v>
      </c>
      <c r="J486" s="40" t="str">
        <f ca="1">IFERROR(__xludf.DUMMYFUNCTION("""COMPUTED_VALUE"""),"Jesús San Román Carbajo")</f>
        <v>Jesús San Román Carbajo</v>
      </c>
      <c r="K486" s="40"/>
      <c r="L486" s="40" t="str">
        <f t="shared" ca="1" si="2"/>
        <v>PSC14</v>
      </c>
      <c r="M486" s="36" t="str">
        <f t="shared" ca="1" si="3"/>
        <v>PSC</v>
      </c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</row>
    <row r="487" spans="1:27">
      <c r="A487" s="40"/>
      <c r="B487" s="36"/>
      <c r="C487" s="40"/>
      <c r="D487" s="41"/>
      <c r="E487" s="40"/>
      <c r="F487" s="40" t="str">
        <f ca="1">IFERROR(__xludf.DUMMYFUNCTION("""COMPUTED_VALUE"""),"Maika Blázquez")</f>
        <v>Maika Blázquez</v>
      </c>
      <c r="G487" s="40" t="str">
        <f ca="1">IFERROR(__xludf.DUMMYFUNCTION("""COMPUTED_VALUE"""),"MBM")</f>
        <v>MBM</v>
      </c>
      <c r="H487" s="40" t="str">
        <f ca="1">IFERROR(__xludf.DUMMYFUNCTION("""COMPUTED_VALUE"""),"MBM44")</f>
        <v>MBM44</v>
      </c>
      <c r="I487" s="40" t="str">
        <f ca="1">IFERROR(__xludf.DUMMYFUNCTION("""COMPUTED_VALUE"""),"A")</f>
        <v>A</v>
      </c>
      <c r="J487" s="40" t="str">
        <f ca="1">IFERROR(__xludf.DUMMYFUNCTION("""COMPUTED_VALUE"""),"Jesús Tomás Onrubia Parra")</f>
        <v>Jesús Tomás Onrubia Parra</v>
      </c>
      <c r="K487" s="40"/>
      <c r="L487" s="40" t="str">
        <f t="shared" ca="1" si="2"/>
        <v>MBM44</v>
      </c>
      <c r="M487" s="36" t="str">
        <f t="shared" ca="1" si="3"/>
        <v>MBM</v>
      </c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</row>
    <row r="488" spans="1:27">
      <c r="A488" s="40"/>
      <c r="B488" s="36"/>
      <c r="C488" s="40"/>
      <c r="D488" s="41"/>
      <c r="E488" s="40"/>
      <c r="F488" s="40" t="str">
        <f ca="1">IFERROR(__xludf.DUMMYFUNCTION("""COMPUTED_VALUE"""),"Mercè Cabrera")</f>
        <v>Mercè Cabrera</v>
      </c>
      <c r="G488" s="40" t="str">
        <f ca="1">IFERROR(__xludf.DUMMYFUNCTION("""COMPUTED_VALUE"""),"MCC")</f>
        <v>MCC</v>
      </c>
      <c r="H488" s="40" t="str">
        <f ca="1">IFERROR(__xludf.DUMMYFUNCTION("""COMPUTED_VALUE"""),"MCC18")</f>
        <v>MCC18</v>
      </c>
      <c r="I488" s="40" t="str">
        <f ca="1">IFERROR(__xludf.DUMMYFUNCTION("""COMPUTED_VALUE"""),"A")</f>
        <v>A</v>
      </c>
      <c r="J488" s="40" t="str">
        <f ca="1">IFERROR(__xludf.DUMMYFUNCTION("""COMPUTED_VALUE"""),"Jesus-Maria Grasa Pérez")</f>
        <v>Jesus-Maria Grasa Pérez</v>
      </c>
      <c r="K488" s="40"/>
      <c r="L488" s="40" t="str">
        <f t="shared" ca="1" si="2"/>
        <v>MCC18</v>
      </c>
      <c r="M488" s="36" t="str">
        <f t="shared" ca="1" si="3"/>
        <v>MCC</v>
      </c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</row>
    <row r="489" spans="1:27">
      <c r="A489" s="40"/>
      <c r="B489" s="36"/>
      <c r="C489" s="40"/>
      <c r="D489" s="41"/>
      <c r="E489" s="40"/>
      <c r="F489" s="40" t="str">
        <f ca="1">IFERROR(__xludf.DUMMYFUNCTION("""COMPUTED_VALUE"""),"Mercè Cabrera")</f>
        <v>Mercè Cabrera</v>
      </c>
      <c r="G489" s="40" t="str">
        <f ca="1">IFERROR(__xludf.DUMMYFUNCTION("""COMPUTED_VALUE"""),"MCC")</f>
        <v>MCC</v>
      </c>
      <c r="H489" s="40" t="str">
        <f ca="1">IFERROR(__xludf.DUMMYFUNCTION("""COMPUTED_VALUE"""),"MCC71")</f>
        <v>MCC71</v>
      </c>
      <c r="I489" s="40" t="str">
        <f ca="1">IFERROR(__xludf.DUMMYFUNCTION("""COMPUTED_VALUE"""),"A")</f>
        <v>A</v>
      </c>
      <c r="J489" s="40" t="str">
        <f ca="1">IFERROR(__xludf.DUMMYFUNCTION("""COMPUTED_VALUE"""),"Joan Remacha Sardà")</f>
        <v>Joan Remacha Sardà</v>
      </c>
      <c r="K489" s="40"/>
      <c r="L489" s="40" t="str">
        <f t="shared" ca="1" si="2"/>
        <v>MCC71</v>
      </c>
      <c r="M489" s="36" t="str">
        <f t="shared" ca="1" si="3"/>
        <v>MCC</v>
      </c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</row>
    <row r="490" spans="1:27">
      <c r="A490" s="40"/>
      <c r="B490" s="36"/>
      <c r="C490" s="40"/>
      <c r="D490" s="41"/>
      <c r="E490" s="40"/>
      <c r="F490" s="40" t="str">
        <f ca="1">IFERROR(__xludf.DUMMYFUNCTION("""COMPUTED_VALUE"""),"Mercè Cabrera")</f>
        <v>Mercè Cabrera</v>
      </c>
      <c r="G490" s="40" t="str">
        <f ca="1">IFERROR(__xludf.DUMMYFUNCTION("""COMPUTED_VALUE"""),"MCC")</f>
        <v>MCC</v>
      </c>
      <c r="H490" s="40" t="str">
        <f ca="1">IFERROR(__xludf.DUMMYFUNCTION("""COMPUTED_VALUE"""),"MCC19")</f>
        <v>MCC19</v>
      </c>
      <c r="I490" s="40" t="str">
        <f ca="1">IFERROR(__xludf.DUMMYFUNCTION("""COMPUTED_VALUE"""),"A")</f>
        <v>A</v>
      </c>
      <c r="J490" s="40" t="str">
        <f ca="1">IFERROR(__xludf.DUMMYFUNCTION("""COMPUTED_VALUE"""),"Joaquim Broto Sumalla")</f>
        <v>Joaquim Broto Sumalla</v>
      </c>
      <c r="K490" s="40"/>
      <c r="L490" s="40" t="str">
        <f t="shared" ca="1" si="2"/>
        <v>MCC19</v>
      </c>
      <c r="M490" s="36" t="str">
        <f t="shared" ca="1" si="3"/>
        <v>MCC</v>
      </c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</row>
    <row r="491" spans="1:27">
      <c r="A491" s="40"/>
      <c r="B491" s="36"/>
      <c r="C491" s="40"/>
      <c r="D491" s="41"/>
      <c r="E491" s="40"/>
      <c r="F491" s="40" t="str">
        <f ca="1">IFERROR(__xludf.DUMMYFUNCTION("""COMPUTED_VALUE"""),"Maika Blázquez")</f>
        <v>Maika Blázquez</v>
      </c>
      <c r="G491" s="40" t="str">
        <f ca="1">IFERROR(__xludf.DUMMYFUNCTION("""COMPUTED_VALUE"""),"MBM")</f>
        <v>MBM</v>
      </c>
      <c r="H491" s="40" t="str">
        <f ca="1">IFERROR(__xludf.DUMMYFUNCTION("""COMPUTED_VALUE"""),"MBM45")</f>
        <v>MBM45</v>
      </c>
      <c r="I491" s="40" t="str">
        <f ca="1">IFERROR(__xludf.DUMMYFUNCTION("""COMPUTED_VALUE"""),"A")</f>
        <v>A</v>
      </c>
      <c r="J491" s="40" t="str">
        <f ca="1">IFERROR(__xludf.DUMMYFUNCTION("""COMPUTED_VALUE"""),"Joaquín Alacio Casero")</f>
        <v>Joaquín Alacio Casero</v>
      </c>
      <c r="K491" s="40"/>
      <c r="L491" s="40" t="str">
        <f t="shared" ca="1" si="2"/>
        <v>MBM45</v>
      </c>
      <c r="M491" s="36" t="str">
        <f t="shared" ca="1" si="3"/>
        <v>MBM</v>
      </c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</row>
    <row r="492" spans="1:27">
      <c r="A492" s="40"/>
      <c r="B492" s="36"/>
      <c r="C492" s="40"/>
      <c r="D492" s="41"/>
      <c r="E492" s="40"/>
      <c r="F492" s="40" t="str">
        <f ca="1">IFERROR(__xludf.DUMMYFUNCTION("""COMPUTED_VALUE"""),"Roberto Pereira")</f>
        <v>Roberto Pereira</v>
      </c>
      <c r="G492" s="40" t="str">
        <f ca="1">IFERROR(__xludf.DUMMYFUNCTION("""COMPUTED_VALUE"""),"RPG")</f>
        <v>RPG</v>
      </c>
      <c r="H492" s="40" t="str">
        <f ca="1">IFERROR(__xludf.DUMMYFUNCTION("""COMPUTED_VALUE"""),"RPG18")</f>
        <v>RPG18</v>
      </c>
      <c r="I492" s="40" t="str">
        <f ca="1">IFERROR(__xludf.DUMMYFUNCTION("""COMPUTED_VALUE"""),"A")</f>
        <v>A</v>
      </c>
      <c r="J492" s="40" t="str">
        <f ca="1">IFERROR(__xludf.DUMMYFUNCTION("""COMPUTED_VALUE"""),"Joaquín Guerra Gómez")</f>
        <v>Joaquín Guerra Gómez</v>
      </c>
      <c r="K492" s="40"/>
      <c r="L492" s="40" t="str">
        <f t="shared" ca="1" si="2"/>
        <v>RPG18</v>
      </c>
      <c r="M492" s="36" t="str">
        <f t="shared" ca="1" si="3"/>
        <v>RPG</v>
      </c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</row>
    <row r="493" spans="1:27">
      <c r="A493" s="40"/>
      <c r="B493" s="36"/>
      <c r="C493" s="40"/>
      <c r="D493" s="41"/>
      <c r="E493" s="40"/>
      <c r="F493" s="40" t="str">
        <f ca="1">IFERROR(__xludf.DUMMYFUNCTION("""COMPUTED_VALUE"""),"Lisandro Russian")</f>
        <v>Lisandro Russian</v>
      </c>
      <c r="G493" s="40" t="str">
        <f ca="1">IFERROR(__xludf.DUMMYFUNCTION("""COMPUTED_VALUE"""),"LRM")</f>
        <v>LRM</v>
      </c>
      <c r="H493" s="40" t="str">
        <f ca="1">IFERROR(__xludf.DUMMYFUNCTION("""COMPUTED_VALUE"""),"LRM66")</f>
        <v>LRM66</v>
      </c>
      <c r="I493" s="40" t="str">
        <f ca="1">IFERROR(__xludf.DUMMYFUNCTION("""COMPUTED_VALUE"""),"A")</f>
        <v>A</v>
      </c>
      <c r="J493" s="40" t="str">
        <f ca="1">IFERROR(__xludf.DUMMYFUNCTION("""COMPUTED_VALUE"""),"Joaquín Palacios Latasa")</f>
        <v>Joaquín Palacios Latasa</v>
      </c>
      <c r="K493" s="40"/>
      <c r="L493" s="40" t="str">
        <f t="shared" ca="1" si="2"/>
        <v>LRM66</v>
      </c>
      <c r="M493" s="36" t="str">
        <f t="shared" ca="1" si="3"/>
        <v>LRM</v>
      </c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</row>
    <row r="494" spans="1:27">
      <c r="A494" s="40"/>
      <c r="B494" s="36"/>
      <c r="C494" s="40"/>
      <c r="D494" s="41"/>
      <c r="E494" s="40"/>
      <c r="F494" s="40" t="str">
        <f ca="1">IFERROR(__xludf.DUMMYFUNCTION("""COMPUTED_VALUE"""),"Ramon Ferrando")</f>
        <v>Ramon Ferrando</v>
      </c>
      <c r="G494" s="40" t="str">
        <f ca="1">IFERROR(__xludf.DUMMYFUNCTION("""COMPUTED_VALUE"""),"RFV")</f>
        <v>RFV</v>
      </c>
      <c r="H494" s="40" t="str">
        <f ca="1">IFERROR(__xludf.DUMMYFUNCTION("""COMPUTED_VALUE"""),"RFV02")</f>
        <v>RFV02</v>
      </c>
      <c r="I494" s="40" t="str">
        <f ca="1">IFERROR(__xludf.DUMMYFUNCTION("""COMPUTED_VALUE"""),"B")</f>
        <v>B</v>
      </c>
      <c r="J494" s="40" t="str">
        <f ca="1">IFERROR(__xludf.DUMMYFUNCTION("""COMPUTED_VALUE"""),"Joaquín Pérez Rull")</f>
        <v>Joaquín Pérez Rull</v>
      </c>
      <c r="K494" s="40"/>
      <c r="L494" s="40" t="str">
        <f t="shared" ca="1" si="2"/>
        <v>RFV02</v>
      </c>
      <c r="M494" s="36" t="str">
        <f t="shared" ca="1" si="3"/>
        <v>RFV</v>
      </c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</row>
    <row r="495" spans="1:27">
      <c r="A495" s="40"/>
      <c r="B495" s="36"/>
      <c r="C495" s="40"/>
      <c r="D495" s="41"/>
      <c r="E495" s="40"/>
      <c r="F495" s="40" t="str">
        <f ca="1">IFERROR(__xludf.DUMMYFUNCTION("""COMPUTED_VALUE"""),"Roberto Pereira")</f>
        <v>Roberto Pereira</v>
      </c>
      <c r="G495" s="40" t="str">
        <f ca="1">IFERROR(__xludf.DUMMYFUNCTION("""COMPUTED_VALUE"""),"RPG")</f>
        <v>RPG</v>
      </c>
      <c r="H495" s="40" t="str">
        <f ca="1">IFERROR(__xludf.DUMMYFUNCTION("""COMPUTED_VALUE"""),"RPG19")</f>
        <v>RPG19</v>
      </c>
      <c r="I495" s="40" t="str">
        <f ca="1">IFERROR(__xludf.DUMMYFUNCTION("""COMPUTED_VALUE"""),"A")</f>
        <v>A</v>
      </c>
      <c r="J495" s="40" t="str">
        <f ca="1">IFERROR(__xludf.DUMMYFUNCTION("""COMPUTED_VALUE"""),"Joaquín Pérez Villar")</f>
        <v>Joaquín Pérez Villar</v>
      </c>
      <c r="K495" s="40"/>
      <c r="L495" s="40" t="str">
        <f t="shared" ca="1" si="2"/>
        <v>RPG19</v>
      </c>
      <c r="M495" s="36" t="str">
        <f t="shared" ca="1" si="3"/>
        <v>RPG</v>
      </c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</row>
    <row r="496" spans="1:27">
      <c r="A496" s="23"/>
      <c r="B496" s="36"/>
      <c r="C496" s="40"/>
      <c r="D496" s="38"/>
      <c r="E496" s="23"/>
      <c r="F496" s="40" t="str">
        <f ca="1">IFERROR(__xludf.DUMMYFUNCTION("""COMPUTED_VALUE"""),"Maika Blázquez")</f>
        <v>Maika Blázquez</v>
      </c>
      <c r="G496" s="40" t="str">
        <f ca="1">IFERROR(__xludf.DUMMYFUNCTION("""COMPUTED_VALUE"""),"MBM")</f>
        <v>MBM</v>
      </c>
      <c r="H496" s="40" t="str">
        <f ca="1">IFERROR(__xludf.DUMMYFUNCTION("""COMPUTED_VALUE"""),"MBM46")</f>
        <v>MBM46</v>
      </c>
      <c r="I496" s="40" t="str">
        <f ca="1">IFERROR(__xludf.DUMMYFUNCTION("""COMPUTED_VALUE"""),"A")</f>
        <v>A</v>
      </c>
      <c r="J496" s="40" t="str">
        <f ca="1">IFERROR(__xludf.DUMMYFUNCTION("""COMPUTED_VALUE"""),"Jonathan Esteban Sánchez")</f>
        <v>Jonathan Esteban Sánchez</v>
      </c>
      <c r="K496" s="40"/>
      <c r="L496" s="40" t="str">
        <f t="shared" ca="1" si="2"/>
        <v>MBM46</v>
      </c>
      <c r="M496" s="36" t="str">
        <f t="shared" ca="1" si="3"/>
        <v>MBM</v>
      </c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</row>
    <row r="497" spans="1:27">
      <c r="A497" s="40"/>
      <c r="B497" s="36"/>
      <c r="C497" s="40"/>
      <c r="D497" s="41"/>
      <c r="E497" s="40"/>
      <c r="F497" s="40" t="str">
        <f ca="1">IFERROR(__xludf.DUMMYFUNCTION("""COMPUTED_VALUE"""),"Iván Sánchez")</f>
        <v>Iván Sánchez</v>
      </c>
      <c r="G497" s="40" t="str">
        <f ca="1">IFERROR(__xludf.DUMMYFUNCTION("""COMPUTED_VALUE"""),"ISL")</f>
        <v>ISL</v>
      </c>
      <c r="H497" s="40" t="str">
        <f ca="1">IFERROR(__xludf.DUMMYFUNCTION("""COMPUTED_VALUE"""),"ISL46")</f>
        <v>ISL46</v>
      </c>
      <c r="I497" s="40" t="str">
        <f ca="1">IFERROR(__xludf.DUMMYFUNCTION("""COMPUTED_VALUE"""),"B")</f>
        <v>B</v>
      </c>
      <c r="J497" s="40" t="str">
        <f ca="1">IFERROR(__xludf.DUMMYFUNCTION("""COMPUTED_VALUE"""),"Jordi Calvo Gómez")</f>
        <v>Jordi Calvo Gómez</v>
      </c>
      <c r="K497" s="40"/>
      <c r="L497" s="40" t="str">
        <f t="shared" ca="1" si="2"/>
        <v>ISL46</v>
      </c>
      <c r="M497" s="36" t="str">
        <f t="shared" ca="1" si="3"/>
        <v>ISL</v>
      </c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</row>
    <row r="498" spans="1:27">
      <c r="A498" s="40"/>
      <c r="B498" s="36"/>
      <c r="C498" s="40"/>
      <c r="D498" s="41"/>
      <c r="E498" s="40"/>
      <c r="F498" s="40" t="str">
        <f ca="1">IFERROR(__xludf.DUMMYFUNCTION("""COMPUTED_VALUE"""),"Mercè Cabrera")</f>
        <v>Mercè Cabrera</v>
      </c>
      <c r="G498" s="40" t="str">
        <f ca="1">IFERROR(__xludf.DUMMYFUNCTION("""COMPUTED_VALUE"""),"MCC")</f>
        <v>MCC</v>
      </c>
      <c r="H498" s="40" t="str">
        <f ca="1">IFERROR(__xludf.DUMMYFUNCTION("""COMPUTED_VALUE"""),"MCC20")</f>
        <v>MCC20</v>
      </c>
      <c r="I498" s="40" t="str">
        <f ca="1">IFERROR(__xludf.DUMMYFUNCTION("""COMPUTED_VALUE"""),"A")</f>
        <v>A</v>
      </c>
      <c r="J498" s="40" t="str">
        <f ca="1">IFERROR(__xludf.DUMMYFUNCTION("""COMPUTED_VALUE"""),"Jordi Lluansi Panella")</f>
        <v>Jordi Lluansi Panella</v>
      </c>
      <c r="K498" s="40"/>
      <c r="L498" s="40" t="str">
        <f t="shared" ca="1" si="2"/>
        <v>MCC20</v>
      </c>
      <c r="M498" s="36" t="str">
        <f t="shared" ca="1" si="3"/>
        <v>MCC</v>
      </c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</row>
    <row r="499" spans="1:27">
      <c r="A499" s="40"/>
      <c r="B499" s="36"/>
      <c r="C499" s="40"/>
      <c r="D499" s="41"/>
      <c r="E499" s="40"/>
      <c r="F499" s="40" t="str">
        <f ca="1">IFERROR(__xludf.DUMMYFUNCTION("""COMPUTED_VALUE"""),"Lisandro Russian")</f>
        <v>Lisandro Russian</v>
      </c>
      <c r="G499" s="40" t="str">
        <f ca="1">IFERROR(__xludf.DUMMYFUNCTION("""COMPUTED_VALUE"""),"LRM")</f>
        <v>LRM</v>
      </c>
      <c r="H499" s="40" t="str">
        <f ca="1">IFERROR(__xludf.DUMMYFUNCTION("""COMPUTED_VALUE"""),"LRM67")</f>
        <v>LRM67</v>
      </c>
      <c r="I499" s="40" t="str">
        <f ca="1">IFERROR(__xludf.DUMMYFUNCTION("""COMPUTED_VALUE"""),"A")</f>
        <v>A</v>
      </c>
      <c r="J499" s="40" t="str">
        <f ca="1">IFERROR(__xludf.DUMMYFUNCTION("""COMPUTED_VALUE"""),"Jorge Alberto Jiménez Antolín")</f>
        <v>Jorge Alberto Jiménez Antolín</v>
      </c>
      <c r="K499" s="40"/>
      <c r="L499" s="40" t="str">
        <f t="shared" ca="1" si="2"/>
        <v>LRM67</v>
      </c>
      <c r="M499" s="36" t="str">
        <f t="shared" ca="1" si="3"/>
        <v>LRM</v>
      </c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</row>
    <row r="500" spans="1:27">
      <c r="A500" s="40"/>
      <c r="B500" s="36"/>
      <c r="C500" s="40"/>
      <c r="D500" s="41"/>
      <c r="E500" s="40"/>
      <c r="F500" s="40" t="str">
        <f ca="1">IFERROR(__xludf.DUMMYFUNCTION("""COMPUTED_VALUE"""),"Lisandro Russian")</f>
        <v>Lisandro Russian</v>
      </c>
      <c r="G500" s="40" t="str">
        <f ca="1">IFERROR(__xludf.DUMMYFUNCTION("""COMPUTED_VALUE"""),"LRM")</f>
        <v>LRM</v>
      </c>
      <c r="H500" s="40" t="str">
        <f ca="1">IFERROR(__xludf.DUMMYFUNCTION("""COMPUTED_VALUE"""),"LRM68")</f>
        <v>LRM68</v>
      </c>
      <c r="I500" s="40" t="str">
        <f ca="1">IFERROR(__xludf.DUMMYFUNCTION("""COMPUTED_VALUE"""),"A")</f>
        <v>A</v>
      </c>
      <c r="J500" s="40" t="str">
        <f ca="1">IFERROR(__xludf.DUMMYFUNCTION("""COMPUTED_VALUE"""),"Jorge Alfaro García")</f>
        <v>Jorge Alfaro García</v>
      </c>
      <c r="K500" s="40"/>
      <c r="L500" s="40" t="str">
        <f t="shared" ca="1" si="2"/>
        <v>LRM68</v>
      </c>
      <c r="M500" s="36" t="str">
        <f t="shared" ca="1" si="3"/>
        <v>LRM</v>
      </c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</row>
    <row r="501" spans="1:27">
      <c r="A501" s="40"/>
      <c r="B501" s="36"/>
      <c r="C501" s="40"/>
      <c r="D501" s="41"/>
      <c r="E501" s="40"/>
      <c r="F501" s="40" t="str">
        <f ca="1">IFERROR(__xludf.DUMMYFUNCTION("""COMPUTED_VALUE"""),"Luis Alberto Rodríguez")</f>
        <v>Luis Alberto Rodríguez</v>
      </c>
      <c r="G501" s="40" t="str">
        <f ca="1">IFERROR(__xludf.DUMMYFUNCTION("""COMPUTED_VALUE"""),"LAA")</f>
        <v>LAA</v>
      </c>
      <c r="H501" s="40" t="str">
        <f ca="1">IFERROR(__xludf.DUMMYFUNCTION("""COMPUTED_VALUE"""),"LAA26")</f>
        <v>LAA26</v>
      </c>
      <c r="I501" s="40" t="str">
        <f ca="1">IFERROR(__xludf.DUMMYFUNCTION("""COMPUTED_VALUE"""),"C")</f>
        <v>C</v>
      </c>
      <c r="J501" s="40" t="str">
        <f ca="1">IFERROR(__xludf.DUMMYFUNCTION("""COMPUTED_VALUE"""),"Jorge Benito Jiménez")</f>
        <v>Jorge Benito Jiménez</v>
      </c>
      <c r="K501" s="40"/>
      <c r="L501" s="40" t="str">
        <f t="shared" ca="1" si="2"/>
        <v>LAA26</v>
      </c>
      <c r="M501" s="36" t="str">
        <f t="shared" ca="1" si="3"/>
        <v>LAA</v>
      </c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</row>
    <row r="502" spans="1:27">
      <c r="A502" s="23"/>
      <c r="B502" s="36"/>
      <c r="C502" s="23"/>
      <c r="D502" s="41"/>
      <c r="E502" s="40"/>
      <c r="F502" s="40" t="str">
        <f ca="1">IFERROR(__xludf.DUMMYFUNCTION("""COMPUTED_VALUE"""),"Iván Sánchez")</f>
        <v>Iván Sánchez</v>
      </c>
      <c r="G502" s="40" t="str">
        <f ca="1">IFERROR(__xludf.DUMMYFUNCTION("""COMPUTED_VALUE"""),"ISL")</f>
        <v>ISL</v>
      </c>
      <c r="H502" s="40" t="str">
        <f ca="1">IFERROR(__xludf.DUMMYFUNCTION("""COMPUTED_VALUE"""),"ISL47")</f>
        <v>ISL47</v>
      </c>
      <c r="I502" s="40" t="str">
        <f ca="1">IFERROR(__xludf.DUMMYFUNCTION("""COMPUTED_VALUE"""),"B")</f>
        <v>B</v>
      </c>
      <c r="J502" s="40" t="str">
        <f ca="1">IFERROR(__xludf.DUMMYFUNCTION("""COMPUTED_VALUE"""),"Jorge Cantavella Ventura")</f>
        <v>Jorge Cantavella Ventura</v>
      </c>
      <c r="K502" s="40"/>
      <c r="L502" s="40" t="str">
        <f t="shared" ca="1" si="2"/>
        <v>ISL47</v>
      </c>
      <c r="M502" s="36" t="str">
        <f t="shared" ca="1" si="3"/>
        <v>ISL</v>
      </c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</row>
    <row r="503" spans="1:27">
      <c r="A503" s="40"/>
      <c r="B503" s="36"/>
      <c r="C503" s="40"/>
      <c r="D503" s="41"/>
      <c r="E503" s="40"/>
      <c r="F503" s="40" t="str">
        <f ca="1">IFERROR(__xludf.DUMMYFUNCTION("""COMPUTED_VALUE"""),"Lisandro Russian")</f>
        <v>Lisandro Russian</v>
      </c>
      <c r="G503" s="40" t="str">
        <f ca="1">IFERROR(__xludf.DUMMYFUNCTION("""COMPUTED_VALUE"""),"LRM")</f>
        <v>LRM</v>
      </c>
      <c r="H503" s="40" t="str">
        <f ca="1">IFERROR(__xludf.DUMMYFUNCTION("""COMPUTED_VALUE"""),"LRM247")</f>
        <v>LRM247</v>
      </c>
      <c r="I503" s="40" t="str">
        <f ca="1">IFERROR(__xludf.DUMMYFUNCTION("""COMPUTED_VALUE"""),"A")</f>
        <v>A</v>
      </c>
      <c r="J503" s="40" t="str">
        <f ca="1">IFERROR(__xludf.DUMMYFUNCTION("""COMPUTED_VALUE"""),"Jorge Damborenea Tajada")</f>
        <v>Jorge Damborenea Tajada</v>
      </c>
      <c r="K503" s="40"/>
      <c r="L503" s="40" t="str">
        <f t="shared" ca="1" si="2"/>
        <v>LRM247</v>
      </c>
      <c r="M503" s="36" t="str">
        <f t="shared" ca="1" si="3"/>
        <v>LRM</v>
      </c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</row>
    <row r="504" spans="1:27">
      <c r="A504" s="40"/>
      <c r="B504" s="36"/>
      <c r="C504" s="40"/>
      <c r="D504" s="41"/>
      <c r="E504" s="40"/>
      <c r="F504" s="40" t="str">
        <f ca="1">IFERROR(__xludf.DUMMYFUNCTION("""COMPUTED_VALUE"""),"Patricia Solache")</f>
        <v>Patricia Solache</v>
      </c>
      <c r="G504" s="40" t="str">
        <f ca="1">IFERROR(__xludf.DUMMYFUNCTION("""COMPUTED_VALUE"""),"PSC")</f>
        <v>PSC</v>
      </c>
      <c r="H504" s="40" t="str">
        <f ca="1">IFERROR(__xludf.DUMMYFUNCTION("""COMPUTED_VALUE"""),"PSC15")</f>
        <v>PSC15</v>
      </c>
      <c r="I504" s="40" t="str">
        <f ca="1">IFERROR(__xludf.DUMMYFUNCTION("""COMPUTED_VALUE"""),"A")</f>
        <v>A</v>
      </c>
      <c r="J504" s="40" t="str">
        <f ca="1">IFERROR(__xludf.DUMMYFUNCTION("""COMPUTED_VALUE"""),"Jorge Freijanes Otero")</f>
        <v>Jorge Freijanes Otero</v>
      </c>
      <c r="K504" s="40"/>
      <c r="L504" s="40" t="str">
        <f t="shared" ca="1" si="2"/>
        <v>PSC15</v>
      </c>
      <c r="M504" s="36" t="str">
        <f t="shared" ca="1" si="3"/>
        <v>PSC</v>
      </c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</row>
    <row r="505" spans="1:27">
      <c r="A505" s="40"/>
      <c r="B505" s="36"/>
      <c r="C505" s="40"/>
      <c r="D505" s="41"/>
      <c r="E505" s="40"/>
      <c r="F505" s="40" t="str">
        <f ca="1">IFERROR(__xludf.DUMMYFUNCTION("""COMPUTED_VALUE"""),"Maika Blázquez")</f>
        <v>Maika Blázquez</v>
      </c>
      <c r="G505" s="40" t="str">
        <f ca="1">IFERROR(__xludf.DUMMYFUNCTION("""COMPUTED_VALUE"""),"MBM")</f>
        <v>MBM</v>
      </c>
      <c r="H505" s="40" t="str">
        <f ca="1">IFERROR(__xludf.DUMMYFUNCTION("""COMPUTED_VALUE"""),"MBM47")</f>
        <v>MBM47</v>
      </c>
      <c r="I505" s="40" t="str">
        <f ca="1">IFERROR(__xludf.DUMMYFUNCTION("""COMPUTED_VALUE"""),"A")</f>
        <v>A</v>
      </c>
      <c r="J505" s="40" t="str">
        <f ca="1">IFERROR(__xludf.DUMMYFUNCTION("""COMPUTED_VALUE"""),"Jorge Prada Pendolero")</f>
        <v>Jorge Prada Pendolero</v>
      </c>
      <c r="K505" s="40"/>
      <c r="L505" s="40" t="str">
        <f t="shared" ca="1" si="2"/>
        <v>MBM47</v>
      </c>
      <c r="M505" s="36" t="str">
        <f t="shared" ca="1" si="3"/>
        <v>MBM</v>
      </c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</row>
    <row r="506" spans="1:27">
      <c r="A506" s="40"/>
      <c r="B506" s="36"/>
      <c r="C506" s="40"/>
      <c r="D506" s="41"/>
      <c r="E506" s="40"/>
      <c r="F506" s="40" t="str">
        <f ca="1">IFERROR(__xludf.DUMMYFUNCTION("""COMPUTED_VALUE"""),"Lisandro Russian")</f>
        <v>Lisandro Russian</v>
      </c>
      <c r="G506" s="40" t="str">
        <f ca="1">IFERROR(__xludf.DUMMYFUNCTION("""COMPUTED_VALUE"""),"LRM")</f>
        <v>LRM</v>
      </c>
      <c r="H506" s="40" t="str">
        <f ca="1">IFERROR(__xludf.DUMMYFUNCTION("""COMPUTED_VALUE"""),"LRM69")</f>
        <v>LRM69</v>
      </c>
      <c r="I506" s="40" t="str">
        <f ca="1">IFERROR(__xludf.DUMMYFUNCTION("""COMPUTED_VALUE"""),"A")</f>
        <v>A</v>
      </c>
      <c r="J506" s="40" t="str">
        <f ca="1">IFERROR(__xludf.DUMMYFUNCTION("""COMPUTED_VALUE"""),"Jorge Sevil Navarro")</f>
        <v>Jorge Sevil Navarro</v>
      </c>
      <c r="K506" s="40"/>
      <c r="L506" s="40" t="str">
        <f t="shared" ca="1" si="2"/>
        <v>LRM69</v>
      </c>
      <c r="M506" s="36" t="str">
        <f t="shared" ca="1" si="3"/>
        <v>LRM</v>
      </c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</row>
    <row r="507" spans="1:27">
      <c r="A507" s="40"/>
      <c r="B507" s="36"/>
      <c r="C507" s="40"/>
      <c r="D507" s="41"/>
      <c r="E507" s="40"/>
      <c r="F507" s="40" t="str">
        <f ca="1">IFERROR(__xludf.DUMMYFUNCTION("""COMPUTED_VALUE"""),"Mercè Cabrera")</f>
        <v>Mercè Cabrera</v>
      </c>
      <c r="G507" s="40" t="str">
        <f ca="1">IFERROR(__xludf.DUMMYFUNCTION("""COMPUTED_VALUE"""),"MCC")</f>
        <v>MCC</v>
      </c>
      <c r="H507" s="40" t="str">
        <f ca="1">IFERROR(__xludf.DUMMYFUNCTION("""COMPUTED_VALUE"""),"MCC21")</f>
        <v>MCC21</v>
      </c>
      <c r="I507" s="40" t="str">
        <f ca="1">IFERROR(__xludf.DUMMYFUNCTION("""COMPUTED_VALUE"""),"A")</f>
        <v>A</v>
      </c>
      <c r="J507" s="40" t="str">
        <f ca="1">IFERROR(__xludf.DUMMYFUNCTION("""COMPUTED_VALUE"""),"José Altagracia Almonte Marte")</f>
        <v>José Altagracia Almonte Marte</v>
      </c>
      <c r="K507" s="23"/>
      <c r="L507" s="40" t="str">
        <f t="shared" ca="1" si="2"/>
        <v>MCC21</v>
      </c>
      <c r="M507" s="36" t="str">
        <f t="shared" ca="1" si="3"/>
        <v>MCC</v>
      </c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</row>
    <row r="508" spans="1:27">
      <c r="A508" s="40"/>
      <c r="B508" s="36"/>
      <c r="C508" s="40"/>
      <c r="D508" s="41"/>
      <c r="E508" s="40"/>
      <c r="F508" s="40" t="str">
        <f ca="1">IFERROR(__xludf.DUMMYFUNCTION("""COMPUTED_VALUE"""),"Lisandro Russian")</f>
        <v>Lisandro Russian</v>
      </c>
      <c r="G508" s="40" t="str">
        <f ca="1">IFERROR(__xludf.DUMMYFUNCTION("""COMPUTED_VALUE"""),"LRM")</f>
        <v>LRM</v>
      </c>
      <c r="H508" s="40" t="str">
        <f ca="1">IFERROR(__xludf.DUMMYFUNCTION("""COMPUTED_VALUE"""),"LRM70")</f>
        <v>LRM70</v>
      </c>
      <c r="I508" s="40" t="str">
        <f ca="1">IFERROR(__xludf.DUMMYFUNCTION("""COMPUTED_VALUE"""),"A")</f>
        <v>A</v>
      </c>
      <c r="J508" s="40" t="str">
        <f ca="1">IFERROR(__xludf.DUMMYFUNCTION("""COMPUTED_VALUE"""),"José Ángel Garzón Calles")</f>
        <v>José Ángel Garzón Calles</v>
      </c>
      <c r="K508" s="40"/>
      <c r="L508" s="40" t="str">
        <f t="shared" ca="1" si="2"/>
        <v>LRM70</v>
      </c>
      <c r="M508" s="36" t="str">
        <f t="shared" ca="1" si="3"/>
        <v>LRM</v>
      </c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</row>
    <row r="509" spans="1:27">
      <c r="A509" s="40"/>
      <c r="B509" s="36"/>
      <c r="C509" s="40"/>
      <c r="D509" s="41"/>
      <c r="E509" s="40"/>
      <c r="F509" s="40" t="str">
        <f ca="1">IFERROR(__xludf.DUMMYFUNCTION("""COMPUTED_VALUE"""),"Iván Sánchez")</f>
        <v>Iván Sánchez</v>
      </c>
      <c r="G509" s="40" t="str">
        <f ca="1">IFERROR(__xludf.DUMMYFUNCTION("""COMPUTED_VALUE"""),"ISL")</f>
        <v>ISL</v>
      </c>
      <c r="H509" s="40" t="str">
        <f ca="1">IFERROR(__xludf.DUMMYFUNCTION("""COMPUTED_VALUE"""),"ISL48")</f>
        <v>ISL48</v>
      </c>
      <c r="I509" s="40" t="str">
        <f ca="1">IFERROR(__xludf.DUMMYFUNCTION("""COMPUTED_VALUE"""),"B")</f>
        <v>B</v>
      </c>
      <c r="J509" s="40" t="str">
        <f ca="1">IFERROR(__xludf.DUMMYFUNCTION("""COMPUTED_VALUE"""),"José Antonio Álvarez Martín")</f>
        <v>José Antonio Álvarez Martín</v>
      </c>
      <c r="K509" s="40"/>
      <c r="L509" s="40" t="str">
        <f t="shared" ca="1" si="2"/>
        <v>ISL48</v>
      </c>
      <c r="M509" s="36" t="str">
        <f t="shared" ca="1" si="3"/>
        <v>ISL</v>
      </c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</row>
    <row r="510" spans="1:27">
      <c r="A510" s="40"/>
      <c r="B510" s="36"/>
      <c r="C510" s="40"/>
      <c r="D510" s="41"/>
      <c r="E510" s="40"/>
      <c r="F510" s="40" t="str">
        <f ca="1">IFERROR(__xludf.DUMMYFUNCTION("""COMPUTED_VALUE"""),"Alberto Moreno")</f>
        <v>Alberto Moreno</v>
      </c>
      <c r="G510" s="40" t="str">
        <f ca="1">IFERROR(__xludf.DUMMYFUNCTION("""COMPUTED_VALUE"""),"AMM")</f>
        <v>AMM</v>
      </c>
      <c r="H510" s="40" t="str">
        <f ca="1">IFERROR(__xludf.DUMMYFUNCTION("""COMPUTED_VALUE"""),"AMM07")</f>
        <v>AMM07</v>
      </c>
      <c r="I510" s="40" t="str">
        <f ca="1">IFERROR(__xludf.DUMMYFUNCTION("""COMPUTED_VALUE"""),"A")</f>
        <v>A</v>
      </c>
      <c r="J510" s="40" t="str">
        <f ca="1">IFERROR(__xludf.DUMMYFUNCTION("""COMPUTED_VALUE"""),"Jose Antonio Anta Escudero")</f>
        <v>Jose Antonio Anta Escudero</v>
      </c>
      <c r="K510" s="40"/>
      <c r="L510" s="40" t="str">
        <f t="shared" ca="1" si="2"/>
        <v>AMM07</v>
      </c>
      <c r="M510" s="36" t="str">
        <f t="shared" ca="1" si="3"/>
        <v>AMM</v>
      </c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</row>
    <row r="511" spans="1:27">
      <c r="A511" s="40"/>
      <c r="B511" s="36"/>
      <c r="C511" s="40"/>
      <c r="D511" s="41"/>
      <c r="E511" s="40"/>
      <c r="F511" s="40" t="str">
        <f ca="1">IFERROR(__xludf.DUMMYFUNCTION("""COMPUTED_VALUE"""),"Maika Blázquez")</f>
        <v>Maika Blázquez</v>
      </c>
      <c r="G511" s="40" t="str">
        <f ca="1">IFERROR(__xludf.DUMMYFUNCTION("""COMPUTED_VALUE"""),"MBM")</f>
        <v>MBM</v>
      </c>
      <c r="H511" s="40" t="str">
        <f ca="1">IFERROR(__xludf.DUMMYFUNCTION("""COMPUTED_VALUE"""),"MBM48")</f>
        <v>MBM48</v>
      </c>
      <c r="I511" s="40" t="str">
        <f ca="1">IFERROR(__xludf.DUMMYFUNCTION("""COMPUTED_VALUE"""),"A")</f>
        <v>A</v>
      </c>
      <c r="J511" s="40" t="str">
        <f ca="1">IFERROR(__xludf.DUMMYFUNCTION("""COMPUTED_VALUE"""),"José Antonio Castro Cuerpo")</f>
        <v>José Antonio Castro Cuerpo</v>
      </c>
      <c r="K511" s="40"/>
      <c r="L511" s="40" t="str">
        <f t="shared" ca="1" si="2"/>
        <v>MBM48</v>
      </c>
      <c r="M511" s="36" t="str">
        <f t="shared" ca="1" si="3"/>
        <v>MBM</v>
      </c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</row>
    <row r="512" spans="1:27">
      <c r="A512" s="40"/>
      <c r="B512" s="36"/>
      <c r="C512" s="40"/>
      <c r="D512" s="41"/>
      <c r="E512" s="40"/>
      <c r="F512" s="40" t="str">
        <f ca="1">IFERROR(__xludf.DUMMYFUNCTION("""COMPUTED_VALUE"""),"Iván Sánchez")</f>
        <v>Iván Sánchez</v>
      </c>
      <c r="G512" s="40" t="str">
        <f ca="1">IFERROR(__xludf.DUMMYFUNCTION("""COMPUTED_VALUE"""),"ISL")</f>
        <v>ISL</v>
      </c>
      <c r="H512" s="40" t="str">
        <f ca="1">IFERROR(__xludf.DUMMYFUNCTION("""COMPUTED_VALUE"""),"ISL144")</f>
        <v>ISL144</v>
      </c>
      <c r="I512" s="40" t="str">
        <f ca="1">IFERROR(__xludf.DUMMYFUNCTION("""COMPUTED_VALUE"""),"B")</f>
        <v>B</v>
      </c>
      <c r="J512" s="40" t="str">
        <f ca="1">IFERROR(__xludf.DUMMYFUNCTION("""COMPUTED_VALUE"""),"José Antonio Díaz Manzano")</f>
        <v>José Antonio Díaz Manzano</v>
      </c>
      <c r="K512" s="40"/>
      <c r="L512" s="40" t="str">
        <f t="shared" ca="1" si="2"/>
        <v>ISL144</v>
      </c>
      <c r="M512" s="36" t="str">
        <f t="shared" ca="1" si="3"/>
        <v>ISL</v>
      </c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</row>
    <row r="513" spans="1:27">
      <c r="A513" s="40"/>
      <c r="B513" s="36"/>
      <c r="C513" s="40"/>
      <c r="D513" s="41"/>
      <c r="E513" s="40"/>
      <c r="F513" s="40" t="str">
        <f ca="1">IFERROR(__xludf.DUMMYFUNCTION("""COMPUTED_VALUE"""),"Lisandro Russian")</f>
        <v>Lisandro Russian</v>
      </c>
      <c r="G513" s="40" t="str">
        <f ca="1">IFERROR(__xludf.DUMMYFUNCTION("""COMPUTED_VALUE"""),"LRM")</f>
        <v>LRM</v>
      </c>
      <c r="H513" s="40" t="str">
        <f ca="1">IFERROR(__xludf.DUMMYFUNCTION("""COMPUTED_VALUE"""),"LRM71")</f>
        <v>LRM71</v>
      </c>
      <c r="I513" s="40" t="str">
        <f ca="1">IFERROR(__xludf.DUMMYFUNCTION("""COMPUTED_VALUE"""),"A")</f>
        <v>A</v>
      </c>
      <c r="J513" s="40" t="str">
        <f ca="1">IFERROR(__xludf.DUMMYFUNCTION("""COMPUTED_VALUE"""),"José Antonio Maltrana García")</f>
        <v>José Antonio Maltrana García</v>
      </c>
      <c r="K513" s="40"/>
      <c r="L513" s="40" t="str">
        <f t="shared" ca="1" si="2"/>
        <v>LRM71</v>
      </c>
      <c r="M513" s="36" t="str">
        <f t="shared" ca="1" si="3"/>
        <v>LRM</v>
      </c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</row>
    <row r="514" spans="1:27">
      <c r="A514" s="40"/>
      <c r="B514" s="36"/>
      <c r="C514" s="23"/>
      <c r="D514" s="41"/>
      <c r="E514" s="40"/>
      <c r="F514" s="40" t="str">
        <f ca="1">IFERROR(__xludf.DUMMYFUNCTION("""COMPUTED_VALUE"""),"Patricia Solache")</f>
        <v>Patricia Solache</v>
      </c>
      <c r="G514" s="40" t="str">
        <f ca="1">IFERROR(__xludf.DUMMYFUNCTION("""COMPUTED_VALUE"""),"PSC")</f>
        <v>PSC</v>
      </c>
      <c r="H514" s="40" t="str">
        <f ca="1">IFERROR(__xludf.DUMMYFUNCTION("""COMPUTED_VALUE"""),"PSC16")</f>
        <v>PSC16</v>
      </c>
      <c r="I514" s="40" t="str">
        <f ca="1">IFERROR(__xludf.DUMMYFUNCTION("""COMPUTED_VALUE"""),"A")</f>
        <v>A</v>
      </c>
      <c r="J514" s="40" t="str">
        <f ca="1">IFERROR(__xludf.DUMMYFUNCTION("""COMPUTED_VALUE"""),"Jose Antonio Sancipriano Hernández")</f>
        <v>Jose Antonio Sancipriano Hernández</v>
      </c>
      <c r="K514" s="40"/>
      <c r="L514" s="40" t="str">
        <f t="shared" ca="1" si="2"/>
        <v>PSC16</v>
      </c>
      <c r="M514" s="36" t="str">
        <f t="shared" ca="1" si="3"/>
        <v>PSC</v>
      </c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</row>
    <row r="515" spans="1:27">
      <c r="A515" s="40"/>
      <c r="B515" s="36"/>
      <c r="C515" s="40"/>
      <c r="D515" s="41"/>
      <c r="E515" s="40"/>
      <c r="F515" s="40" t="str">
        <f ca="1">IFERROR(__xludf.DUMMYFUNCTION("""COMPUTED_VALUE"""),"Roberto Pereira")</f>
        <v>Roberto Pereira</v>
      </c>
      <c r="G515" s="40" t="str">
        <f ca="1">IFERROR(__xludf.DUMMYFUNCTION("""COMPUTED_VALUE"""),"RPG")</f>
        <v>RPG</v>
      </c>
      <c r="H515" s="40" t="str">
        <f ca="1">IFERROR(__xludf.DUMMYFUNCTION("""COMPUTED_VALUE"""),"RPG20")</f>
        <v>RPG20</v>
      </c>
      <c r="I515" s="40" t="str">
        <f ca="1">IFERROR(__xludf.DUMMYFUNCTION("""COMPUTED_VALUE"""),"A")</f>
        <v>A</v>
      </c>
      <c r="J515" s="40" t="str">
        <f ca="1">IFERROR(__xludf.DUMMYFUNCTION("""COMPUTED_VALUE"""),"Jose Antonio Torre Eiriz")</f>
        <v>Jose Antonio Torre Eiriz</v>
      </c>
      <c r="K515" s="40"/>
      <c r="L515" s="40" t="str">
        <f t="shared" ca="1" si="2"/>
        <v>RPG20</v>
      </c>
      <c r="M515" s="36" t="str">
        <f t="shared" ca="1" si="3"/>
        <v>RPG</v>
      </c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</row>
    <row r="516" spans="1:27">
      <c r="A516" s="40"/>
      <c r="B516" s="36"/>
      <c r="C516" s="40"/>
      <c r="D516" s="41"/>
      <c r="E516" s="40"/>
      <c r="F516" s="40" t="str">
        <f ca="1">IFERROR(__xludf.DUMMYFUNCTION("""COMPUTED_VALUE"""),"Maika Blázquez")</f>
        <v>Maika Blázquez</v>
      </c>
      <c r="G516" s="40" t="str">
        <f ca="1">IFERROR(__xludf.DUMMYFUNCTION("""COMPUTED_VALUE"""),"MBM")</f>
        <v>MBM</v>
      </c>
      <c r="H516" s="40" t="str">
        <f ca="1">IFERROR(__xludf.DUMMYFUNCTION("""COMPUTED_VALUE"""),"MBM49")</f>
        <v>MBM49</v>
      </c>
      <c r="I516" s="40" t="str">
        <f ca="1">IFERROR(__xludf.DUMMYFUNCTION("""COMPUTED_VALUE"""),"A")</f>
        <v>A</v>
      </c>
      <c r="J516" s="40" t="str">
        <f ca="1">IFERROR(__xludf.DUMMYFUNCTION("""COMPUTED_VALUE"""),"José Carlos Casqueiro Sánchez")</f>
        <v>José Carlos Casqueiro Sánchez</v>
      </c>
      <c r="K516" s="40"/>
      <c r="L516" s="40" t="str">
        <f t="shared" ca="1" si="2"/>
        <v>MBM49</v>
      </c>
      <c r="M516" s="36" t="str">
        <f t="shared" ca="1" si="3"/>
        <v>MBM</v>
      </c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</row>
    <row r="517" spans="1:27">
      <c r="A517" s="40"/>
      <c r="B517" s="36"/>
      <c r="C517" s="40"/>
      <c r="D517" s="41"/>
      <c r="E517" s="40"/>
      <c r="F517" s="40" t="str">
        <f ca="1">IFERROR(__xludf.DUMMYFUNCTION("""COMPUTED_VALUE"""),"Lisandro Russian")</f>
        <v>Lisandro Russian</v>
      </c>
      <c r="G517" s="40" t="str">
        <f ca="1">IFERROR(__xludf.DUMMYFUNCTION("""COMPUTED_VALUE"""),"LRM")</f>
        <v>LRM</v>
      </c>
      <c r="H517" s="40" t="str">
        <f ca="1">IFERROR(__xludf.DUMMYFUNCTION("""COMPUTED_VALUE"""),"LRM72")</f>
        <v>LRM72</v>
      </c>
      <c r="I517" s="40" t="str">
        <f ca="1">IFERROR(__xludf.DUMMYFUNCTION("""COMPUTED_VALUE"""),"A")</f>
        <v>A</v>
      </c>
      <c r="J517" s="40" t="str">
        <f ca="1">IFERROR(__xludf.DUMMYFUNCTION("""COMPUTED_VALUE"""),"José Enrique De Francisco Garcés")</f>
        <v>José Enrique De Francisco Garcés</v>
      </c>
      <c r="K517" s="40"/>
      <c r="L517" s="40" t="str">
        <f t="shared" ref="L517:L771" ca="1" si="4">H517</f>
        <v>LRM72</v>
      </c>
      <c r="M517" s="36" t="str">
        <f t="shared" ref="M517:M771" ca="1" si="5">G517</f>
        <v>LRM</v>
      </c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</row>
    <row r="518" spans="1:27">
      <c r="A518" s="40"/>
      <c r="B518" s="36"/>
      <c r="C518" s="40"/>
      <c r="D518" s="41"/>
      <c r="E518" s="40"/>
      <c r="F518" s="40" t="str">
        <f ca="1">IFERROR(__xludf.DUMMYFUNCTION("""COMPUTED_VALUE"""),"Roberto Pereira")</f>
        <v>Roberto Pereira</v>
      </c>
      <c r="G518" s="40" t="str">
        <f ca="1">IFERROR(__xludf.DUMMYFUNCTION("""COMPUTED_VALUE"""),"RPG")</f>
        <v>RPG</v>
      </c>
      <c r="H518" s="40" t="str">
        <f ca="1">IFERROR(__xludf.DUMMYFUNCTION("""COMPUTED_VALUE"""),"RPG21")</f>
        <v>RPG21</v>
      </c>
      <c r="I518" s="40" t="str">
        <f ca="1">IFERROR(__xludf.DUMMYFUNCTION("""COMPUTED_VALUE"""),"A")</f>
        <v>A</v>
      </c>
      <c r="J518" s="40" t="str">
        <f ca="1">IFERROR(__xludf.DUMMYFUNCTION("""COMPUTED_VALUE"""),"José Eugenio Estrada Gromaz")</f>
        <v>José Eugenio Estrada Gromaz</v>
      </c>
      <c r="K518" s="40"/>
      <c r="L518" s="40" t="str">
        <f t="shared" ca="1" si="4"/>
        <v>RPG21</v>
      </c>
      <c r="M518" s="36" t="str">
        <f t="shared" ca="1" si="5"/>
        <v>RPG</v>
      </c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</row>
    <row r="519" spans="1:27">
      <c r="A519" s="40"/>
      <c r="B519" s="36"/>
      <c r="C519" s="40"/>
      <c r="D519" s="41"/>
      <c r="E519" s="40"/>
      <c r="F519" s="40" t="str">
        <f ca="1">IFERROR(__xludf.DUMMYFUNCTION("""COMPUTED_VALUE"""),"Iván Sánchez")</f>
        <v>Iván Sánchez</v>
      </c>
      <c r="G519" s="40" t="str">
        <f ca="1">IFERROR(__xludf.DUMMYFUNCTION("""COMPUTED_VALUE"""),"ISL")</f>
        <v>ISL</v>
      </c>
      <c r="H519" s="40" t="str">
        <f ca="1">IFERROR(__xludf.DUMMYFUNCTION("""COMPUTED_VALUE"""),"ISL50")</f>
        <v>ISL50</v>
      </c>
      <c r="I519" s="40" t="str">
        <f ca="1">IFERROR(__xludf.DUMMYFUNCTION("""COMPUTED_VALUE"""),"B")</f>
        <v>B</v>
      </c>
      <c r="J519" s="40" t="str">
        <f ca="1">IFERROR(__xludf.DUMMYFUNCTION("""COMPUTED_VALUE"""),"José García Morillas")</f>
        <v>José García Morillas</v>
      </c>
      <c r="K519" s="40"/>
      <c r="L519" s="40" t="str">
        <f t="shared" ca="1" si="4"/>
        <v>ISL50</v>
      </c>
      <c r="M519" s="36" t="str">
        <f t="shared" ca="1" si="5"/>
        <v>ISL</v>
      </c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</row>
    <row r="520" spans="1:27">
      <c r="A520" s="40"/>
      <c r="B520" s="36"/>
      <c r="C520" s="40"/>
      <c r="D520" s="41"/>
      <c r="E520" s="40"/>
      <c r="F520" s="40" t="str">
        <f ca="1">IFERROR(__xludf.DUMMYFUNCTION("""COMPUTED_VALUE"""),"Maika Blázquez")</f>
        <v>Maika Blázquez</v>
      </c>
      <c r="G520" s="40" t="str">
        <f ca="1">IFERROR(__xludf.DUMMYFUNCTION("""COMPUTED_VALUE"""),"MBM")</f>
        <v>MBM</v>
      </c>
      <c r="H520" s="40" t="str">
        <f ca="1">IFERROR(__xludf.DUMMYFUNCTION("""COMPUTED_VALUE"""),"MBM50")</f>
        <v>MBM50</v>
      </c>
      <c r="I520" s="40" t="str">
        <f ca="1">IFERROR(__xludf.DUMMYFUNCTION("""COMPUTED_VALUE"""),"A")</f>
        <v>A</v>
      </c>
      <c r="J520" s="40" t="str">
        <f ca="1">IFERROR(__xludf.DUMMYFUNCTION("""COMPUTED_VALUE"""),"José Gustavo Barroso Braojos")</f>
        <v>José Gustavo Barroso Braojos</v>
      </c>
      <c r="K520" s="40"/>
      <c r="L520" s="40" t="str">
        <f t="shared" ca="1" si="4"/>
        <v>MBM50</v>
      </c>
      <c r="M520" s="36" t="str">
        <f t="shared" ca="1" si="5"/>
        <v>MBM</v>
      </c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</row>
    <row r="521" spans="1:27">
      <c r="A521" s="40"/>
      <c r="B521" s="36"/>
      <c r="C521" s="40"/>
      <c r="D521" s="41"/>
      <c r="E521" s="40"/>
      <c r="F521" s="40" t="str">
        <f ca="1">IFERROR(__xludf.DUMMYFUNCTION("""COMPUTED_VALUE"""),"Lisandro Russian")</f>
        <v>Lisandro Russian</v>
      </c>
      <c r="G521" s="40" t="str">
        <f ca="1">IFERROR(__xludf.DUMMYFUNCTION("""COMPUTED_VALUE"""),"LRM")</f>
        <v>LRM</v>
      </c>
      <c r="H521" s="40" t="str">
        <f ca="1">IFERROR(__xludf.DUMMYFUNCTION("""COMPUTED_VALUE"""),"LRM73")</f>
        <v>LRM73</v>
      </c>
      <c r="I521" s="40" t="str">
        <f ca="1">IFERROR(__xludf.DUMMYFUNCTION("""COMPUTED_VALUE"""),"A")</f>
        <v>A</v>
      </c>
      <c r="J521" s="40" t="str">
        <f ca="1">IFERROR(__xludf.DUMMYFUNCTION("""COMPUTED_VALUE"""),"José Ignacio Alfonso Collado")</f>
        <v>José Ignacio Alfonso Collado</v>
      </c>
      <c r="K521" s="40"/>
      <c r="L521" s="40" t="str">
        <f t="shared" ca="1" si="4"/>
        <v>LRM73</v>
      </c>
      <c r="M521" s="36" t="str">
        <f t="shared" ca="1" si="5"/>
        <v>LRM</v>
      </c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</row>
    <row r="522" spans="1:27">
      <c r="A522" s="40"/>
      <c r="B522" s="36"/>
      <c r="C522" s="40"/>
      <c r="D522" s="41"/>
      <c r="E522" s="40"/>
      <c r="F522" s="40" t="str">
        <f ca="1">IFERROR(__xludf.DUMMYFUNCTION("""COMPUTED_VALUE"""),"Maika Blázquez")</f>
        <v>Maika Blázquez</v>
      </c>
      <c r="G522" s="40" t="str">
        <f ca="1">IFERROR(__xludf.DUMMYFUNCTION("""COMPUTED_VALUE"""),"MBM")</f>
        <v>MBM</v>
      </c>
      <c r="H522" s="40" t="str">
        <f ca="1">IFERROR(__xludf.DUMMYFUNCTION("""COMPUTED_VALUE"""),"MBM51")</f>
        <v>MBM51</v>
      </c>
      <c r="I522" s="40" t="str">
        <f ca="1">IFERROR(__xludf.DUMMYFUNCTION("""COMPUTED_VALUE"""),"A")</f>
        <v>A</v>
      </c>
      <c r="J522" s="40" t="str">
        <f ca="1">IFERROR(__xludf.DUMMYFUNCTION("""COMPUTED_VALUE"""),"José Ignacio Tato Gómez")</f>
        <v>José Ignacio Tato Gómez</v>
      </c>
      <c r="K522" s="40"/>
      <c r="L522" s="40" t="str">
        <f t="shared" ca="1" si="4"/>
        <v>MBM51</v>
      </c>
      <c r="M522" s="36" t="str">
        <f t="shared" ca="1" si="5"/>
        <v>MBM</v>
      </c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</row>
    <row r="523" spans="1:27">
      <c r="A523" s="40"/>
      <c r="B523" s="36"/>
      <c r="C523" s="40"/>
      <c r="D523" s="41"/>
      <c r="E523" s="40"/>
      <c r="F523" s="40" t="str">
        <f ca="1">IFERROR(__xludf.DUMMYFUNCTION("""COMPUTED_VALUE"""),"Lisandro Russian")</f>
        <v>Lisandro Russian</v>
      </c>
      <c r="G523" s="40" t="str">
        <f ca="1">IFERROR(__xludf.DUMMYFUNCTION("""COMPUTED_VALUE"""),"LRM")</f>
        <v>LRM</v>
      </c>
      <c r="H523" s="40" t="str">
        <f ca="1">IFERROR(__xludf.DUMMYFUNCTION("""COMPUTED_VALUE"""),"LRM74")</f>
        <v>LRM74</v>
      </c>
      <c r="I523" s="40" t="str">
        <f ca="1">IFERROR(__xludf.DUMMYFUNCTION("""COMPUTED_VALUE"""),"A")</f>
        <v>A</v>
      </c>
      <c r="J523" s="40" t="str">
        <f ca="1">IFERROR(__xludf.DUMMYFUNCTION("""COMPUTED_VALUE"""),"José Javier Martínez Subías")</f>
        <v>José Javier Martínez Subías</v>
      </c>
      <c r="K523" s="40"/>
      <c r="L523" s="40" t="str">
        <f t="shared" ca="1" si="4"/>
        <v>LRM74</v>
      </c>
      <c r="M523" s="36" t="str">
        <f t="shared" ca="1" si="5"/>
        <v>LRM</v>
      </c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</row>
    <row r="524" spans="1:27">
      <c r="A524" s="40"/>
      <c r="B524" s="36"/>
      <c r="C524" s="40"/>
      <c r="D524" s="41"/>
      <c r="E524" s="40"/>
      <c r="F524" s="40" t="str">
        <f ca="1">IFERROR(__xludf.DUMMYFUNCTION("""COMPUTED_VALUE"""),"Alberto Moreno")</f>
        <v>Alberto Moreno</v>
      </c>
      <c r="G524" s="40" t="str">
        <f ca="1">IFERROR(__xludf.DUMMYFUNCTION("""COMPUTED_VALUE"""),"AMM")</f>
        <v>AMM</v>
      </c>
      <c r="H524" s="40" t="str">
        <f ca="1">IFERROR(__xludf.DUMMYFUNCTION("""COMPUTED_VALUE"""),"AMM08")</f>
        <v>AMM08</v>
      </c>
      <c r="I524" s="40" t="str">
        <f ca="1">IFERROR(__xludf.DUMMYFUNCTION("""COMPUTED_VALUE"""),"A")</f>
        <v>A</v>
      </c>
      <c r="J524" s="40" t="str">
        <f ca="1">IFERROR(__xludf.DUMMYFUNCTION("""COMPUTED_VALUE"""),"José Javier Rivarés Estebán")</f>
        <v>José Javier Rivarés Estebán</v>
      </c>
      <c r="K524" s="40"/>
      <c r="L524" s="40" t="str">
        <f t="shared" ca="1" si="4"/>
        <v>AMM08</v>
      </c>
      <c r="M524" s="36" t="str">
        <f t="shared" ca="1" si="5"/>
        <v>AMM</v>
      </c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</row>
    <row r="525" spans="1:27">
      <c r="A525" s="40"/>
      <c r="B525" s="36"/>
      <c r="C525" s="40"/>
      <c r="D525" s="41"/>
      <c r="E525" s="40"/>
      <c r="F525" s="40" t="str">
        <f ca="1">IFERROR(__xludf.DUMMYFUNCTION("""COMPUTED_VALUE"""),"Maika Blázquez")</f>
        <v>Maika Blázquez</v>
      </c>
      <c r="G525" s="40" t="str">
        <f ca="1">IFERROR(__xludf.DUMMYFUNCTION("""COMPUTED_VALUE"""),"MBM")</f>
        <v>MBM</v>
      </c>
      <c r="H525" s="40" t="str">
        <f ca="1">IFERROR(__xludf.DUMMYFUNCTION("""COMPUTED_VALUE"""),"MBM52")</f>
        <v>MBM52</v>
      </c>
      <c r="I525" s="40" t="str">
        <f ca="1">IFERROR(__xludf.DUMMYFUNCTION("""COMPUTED_VALUE"""),"A")</f>
        <v>A</v>
      </c>
      <c r="J525" s="40" t="str">
        <f ca="1">IFERROR(__xludf.DUMMYFUNCTION("""COMPUTED_VALUE"""),"José Joaquín Gutiérrez Barquín")</f>
        <v>José Joaquín Gutiérrez Barquín</v>
      </c>
      <c r="K525" s="40"/>
      <c r="L525" s="40" t="str">
        <f t="shared" ca="1" si="4"/>
        <v>MBM52</v>
      </c>
      <c r="M525" s="36" t="str">
        <f t="shared" ca="1" si="5"/>
        <v>MBM</v>
      </c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</row>
    <row r="526" spans="1:27">
      <c r="A526" s="40"/>
      <c r="B526" s="36"/>
      <c r="C526" s="40"/>
      <c r="D526" s="41"/>
      <c r="E526" s="40"/>
      <c r="F526" s="40" t="str">
        <f ca="1">IFERROR(__xludf.DUMMYFUNCTION("""COMPUTED_VALUE"""),"Maika Blázquez")</f>
        <v>Maika Blázquez</v>
      </c>
      <c r="G526" s="40" t="str">
        <f ca="1">IFERROR(__xludf.DUMMYFUNCTION("""COMPUTED_VALUE"""),"MBM")</f>
        <v>MBM</v>
      </c>
      <c r="H526" s="40" t="str">
        <f ca="1">IFERROR(__xludf.DUMMYFUNCTION("""COMPUTED_VALUE"""),"MBM53")</f>
        <v>MBM53</v>
      </c>
      <c r="I526" s="40" t="str">
        <f ca="1">IFERROR(__xludf.DUMMYFUNCTION("""COMPUTED_VALUE"""),"A")</f>
        <v>A</v>
      </c>
      <c r="J526" s="40" t="str">
        <f ca="1">IFERROR(__xludf.DUMMYFUNCTION("""COMPUTED_VALUE"""),"Jose Joaquín Lora Díaz")</f>
        <v>Jose Joaquín Lora Díaz</v>
      </c>
      <c r="K526" s="40"/>
      <c r="L526" s="40" t="str">
        <f t="shared" ca="1" si="4"/>
        <v>MBM53</v>
      </c>
      <c r="M526" s="36" t="str">
        <f t="shared" ca="1" si="5"/>
        <v>MBM</v>
      </c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</row>
    <row r="527" spans="1:27">
      <c r="A527" s="40"/>
      <c r="B527" s="36"/>
      <c r="C527" s="40"/>
      <c r="D527" s="41"/>
      <c r="E527" s="40"/>
      <c r="F527" s="40" t="str">
        <f ca="1">IFERROR(__xludf.DUMMYFUNCTION("""COMPUTED_VALUE"""),"Lisandro Russian")</f>
        <v>Lisandro Russian</v>
      </c>
      <c r="G527" s="40" t="str">
        <f ca="1">IFERROR(__xludf.DUMMYFUNCTION("""COMPUTED_VALUE"""),"LRM")</f>
        <v>LRM</v>
      </c>
      <c r="H527" s="40" t="str">
        <f ca="1">IFERROR(__xludf.DUMMYFUNCTION("""COMPUTED_VALUE"""),"LRM75")</f>
        <v>LRM75</v>
      </c>
      <c r="I527" s="40" t="str">
        <f ca="1">IFERROR(__xludf.DUMMYFUNCTION("""COMPUTED_VALUE"""),"A")</f>
        <v>A</v>
      </c>
      <c r="J527" s="40" t="str">
        <f ca="1">IFERROR(__xludf.DUMMYFUNCTION("""COMPUTED_VALUE"""),"José Jordán Castillo Hernández")</f>
        <v>José Jordán Castillo Hernández</v>
      </c>
      <c r="K527" s="40"/>
      <c r="L527" s="40" t="str">
        <f t="shared" ca="1" si="4"/>
        <v>LRM75</v>
      </c>
      <c r="M527" s="36" t="str">
        <f t="shared" ca="1" si="5"/>
        <v>LRM</v>
      </c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</row>
    <row r="528" spans="1:27">
      <c r="A528" s="40"/>
      <c r="B528" s="36"/>
      <c r="C528" s="40"/>
      <c r="D528" s="41"/>
      <c r="E528" s="40"/>
      <c r="F528" s="40" t="str">
        <f ca="1">IFERROR(__xludf.DUMMYFUNCTION("""COMPUTED_VALUE"""),"Ramon Ferrando")</f>
        <v>Ramon Ferrando</v>
      </c>
      <c r="G528" s="40" t="str">
        <f ca="1">IFERROR(__xludf.DUMMYFUNCTION("""COMPUTED_VALUE"""),"ISL")</f>
        <v>ISL</v>
      </c>
      <c r="H528" s="40" t="str">
        <f ca="1">IFERROR(__xludf.DUMMYFUNCTION("""COMPUTED_VALUE"""),"ISL53")</f>
        <v>ISL53</v>
      </c>
      <c r="I528" s="40" t="str">
        <f ca="1">IFERROR(__xludf.DUMMYFUNCTION("""COMPUTED_VALUE"""),"B")</f>
        <v>B</v>
      </c>
      <c r="J528" s="40" t="str">
        <f ca="1">IFERROR(__xludf.DUMMYFUNCTION("""COMPUTED_VALUE"""),"José Luis Batlles Medina")</f>
        <v>José Luis Batlles Medina</v>
      </c>
      <c r="K528" s="40"/>
      <c r="L528" s="40" t="str">
        <f t="shared" ca="1" si="4"/>
        <v>ISL53</v>
      </c>
      <c r="M528" s="36" t="str">
        <f t="shared" ca="1" si="5"/>
        <v>ISL</v>
      </c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</row>
    <row r="529" spans="1:27">
      <c r="A529" s="40"/>
      <c r="B529" s="36"/>
      <c r="C529" s="40"/>
      <c r="D529" s="41"/>
      <c r="E529" s="23"/>
      <c r="F529" s="40" t="str">
        <f ca="1">IFERROR(__xludf.DUMMYFUNCTION("""COMPUTED_VALUE"""),"Roberto Pereira")</f>
        <v>Roberto Pereira</v>
      </c>
      <c r="G529" s="40" t="str">
        <f ca="1">IFERROR(__xludf.DUMMYFUNCTION("""COMPUTED_VALUE"""),"RPG")</f>
        <v>RPG</v>
      </c>
      <c r="H529" s="40" t="str">
        <f ca="1">IFERROR(__xludf.DUMMYFUNCTION("""COMPUTED_VALUE"""),"RPG22")</f>
        <v>RPG22</v>
      </c>
      <c r="I529" s="40" t="str">
        <f ca="1">IFERROR(__xludf.DUMMYFUNCTION("""COMPUTED_VALUE"""),"A")</f>
        <v>A</v>
      </c>
      <c r="J529" s="40" t="str">
        <f ca="1">IFERROR(__xludf.DUMMYFUNCTION("""COMPUTED_VALUE"""),"José Luis Herrero Laso")</f>
        <v>José Luis Herrero Laso</v>
      </c>
      <c r="K529" s="40"/>
      <c r="L529" s="40" t="str">
        <f t="shared" ca="1" si="4"/>
        <v>RPG22</v>
      </c>
      <c r="M529" s="36" t="str">
        <f t="shared" ca="1" si="5"/>
        <v>RPG</v>
      </c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</row>
    <row r="530" spans="1:27">
      <c r="A530" s="40"/>
      <c r="B530" s="36"/>
      <c r="C530" s="40"/>
      <c r="D530" s="41"/>
      <c r="E530" s="40"/>
      <c r="F530" s="40" t="str">
        <f ca="1">IFERROR(__xludf.DUMMYFUNCTION("""COMPUTED_VALUE"""),"Iván Sánchez")</f>
        <v>Iván Sánchez</v>
      </c>
      <c r="G530" s="40" t="str">
        <f ca="1">IFERROR(__xludf.DUMMYFUNCTION("""COMPUTED_VALUE"""),"ISL")</f>
        <v>ISL</v>
      </c>
      <c r="H530" s="40" t="str">
        <f ca="1">IFERROR(__xludf.DUMMYFUNCTION("""COMPUTED_VALUE"""),"ISL51")</f>
        <v>ISL51</v>
      </c>
      <c r="I530" s="40" t="str">
        <f ca="1">IFERROR(__xludf.DUMMYFUNCTION("""COMPUTED_VALUE"""),"B")</f>
        <v>B</v>
      </c>
      <c r="J530" s="40" t="str">
        <f ca="1">IFERROR(__xludf.DUMMYFUNCTION("""COMPUTED_VALUE"""),"José Luis Lafuente De Entrambasaguas")</f>
        <v>José Luis Lafuente De Entrambasaguas</v>
      </c>
      <c r="K530" s="40"/>
      <c r="L530" s="40" t="str">
        <f t="shared" ca="1" si="4"/>
        <v>ISL51</v>
      </c>
      <c r="M530" s="36" t="str">
        <f t="shared" ca="1" si="5"/>
        <v>ISL</v>
      </c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</row>
    <row r="531" spans="1:27">
      <c r="A531" s="40"/>
      <c r="B531" s="36"/>
      <c r="C531" s="40"/>
      <c r="D531" s="41"/>
      <c r="E531" s="23"/>
      <c r="F531" s="40" t="str">
        <f ca="1">IFERROR(__xludf.DUMMYFUNCTION("""COMPUTED_VALUE"""),"Lisandro Russian")</f>
        <v>Lisandro Russian</v>
      </c>
      <c r="G531" s="40" t="str">
        <f ca="1">IFERROR(__xludf.DUMMYFUNCTION("""COMPUTED_VALUE"""),"LRM")</f>
        <v>LRM</v>
      </c>
      <c r="H531" s="40" t="str">
        <f ca="1">IFERROR(__xludf.DUMMYFUNCTION("""COMPUTED_VALUE"""),"LRM76")</f>
        <v>LRM76</v>
      </c>
      <c r="I531" s="40" t="str">
        <f ca="1">IFERROR(__xludf.DUMMYFUNCTION("""COMPUTED_VALUE"""),"A")</f>
        <v>A</v>
      </c>
      <c r="J531" s="40" t="str">
        <f ca="1">IFERROR(__xludf.DUMMYFUNCTION("""COMPUTED_VALUE"""),"José Manuel Abenia Ingalaturre")</f>
        <v>José Manuel Abenia Ingalaturre</v>
      </c>
      <c r="K531" s="40"/>
      <c r="L531" s="40" t="str">
        <f t="shared" ca="1" si="4"/>
        <v>LRM76</v>
      </c>
      <c r="M531" s="36" t="str">
        <f t="shared" ca="1" si="5"/>
        <v>LRM</v>
      </c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</row>
    <row r="532" spans="1:27">
      <c r="A532" s="40"/>
      <c r="B532" s="36"/>
      <c r="C532" s="40"/>
      <c r="D532" s="41"/>
      <c r="E532" s="40"/>
      <c r="F532" s="40" t="str">
        <f ca="1">IFERROR(__xludf.DUMMYFUNCTION("""COMPUTED_VALUE"""),"Lisandro Russian")</f>
        <v>Lisandro Russian</v>
      </c>
      <c r="G532" s="40" t="str">
        <f ca="1">IFERROR(__xludf.DUMMYFUNCTION("""COMPUTED_VALUE"""),"LRM")</f>
        <v>LRM</v>
      </c>
      <c r="H532" s="40" t="str">
        <f ca="1">IFERROR(__xludf.DUMMYFUNCTION("""COMPUTED_VALUE"""),"LRM77")</f>
        <v>LRM77</v>
      </c>
      <c r="I532" s="40" t="str">
        <f ca="1">IFERROR(__xludf.DUMMYFUNCTION("""COMPUTED_VALUE"""),"A")</f>
        <v>A</v>
      </c>
      <c r="J532" s="40" t="str">
        <f ca="1">IFERROR(__xludf.DUMMYFUNCTION("""COMPUTED_VALUE"""),"Jose Manuel Bruzon Delgado")</f>
        <v>Jose Manuel Bruzon Delgado</v>
      </c>
      <c r="K532" s="40"/>
      <c r="L532" s="40" t="str">
        <f t="shared" ca="1" si="4"/>
        <v>LRM77</v>
      </c>
      <c r="M532" s="36" t="str">
        <f t="shared" ca="1" si="5"/>
        <v>LRM</v>
      </c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</row>
    <row r="533" spans="1:27">
      <c r="A533" s="40"/>
      <c r="B533" s="36"/>
      <c r="C533" s="40"/>
      <c r="D533" s="41"/>
      <c r="E533" s="40"/>
      <c r="F533" s="40" t="str">
        <f ca="1">IFERROR(__xludf.DUMMYFUNCTION("""COMPUTED_VALUE"""),"Lisandro Russian")</f>
        <v>Lisandro Russian</v>
      </c>
      <c r="G533" s="40" t="str">
        <f ca="1">IFERROR(__xludf.DUMMYFUNCTION("""COMPUTED_VALUE"""),"LRM")</f>
        <v>LRM</v>
      </c>
      <c r="H533" s="40" t="str">
        <f ca="1">IFERROR(__xludf.DUMMYFUNCTION("""COMPUTED_VALUE"""),"LRM78")</f>
        <v>LRM78</v>
      </c>
      <c r="I533" s="40" t="str">
        <f ca="1">IFERROR(__xludf.DUMMYFUNCTION("""COMPUTED_VALUE"""),"A")</f>
        <v>A</v>
      </c>
      <c r="J533" s="40" t="str">
        <f ca="1">IFERROR(__xludf.DUMMYFUNCTION("""COMPUTED_VALUE"""),"José Manuel García Solans-Esteras")</f>
        <v>José Manuel García Solans-Esteras</v>
      </c>
      <c r="K533" s="40"/>
      <c r="L533" s="40" t="str">
        <f t="shared" ca="1" si="4"/>
        <v>LRM78</v>
      </c>
      <c r="M533" s="36" t="str">
        <f t="shared" ca="1" si="5"/>
        <v>LRM</v>
      </c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</row>
    <row r="534" spans="1:27">
      <c r="A534" s="40"/>
      <c r="B534" s="36"/>
      <c r="C534" s="40"/>
      <c r="D534" s="41"/>
      <c r="E534" s="40"/>
      <c r="F534" s="23" t="str">
        <f ca="1">IFERROR(__xludf.DUMMYFUNCTION("""COMPUTED_VALUE"""),"Iván Sánchez")</f>
        <v>Iván Sánchez</v>
      </c>
      <c r="G534" s="40" t="str">
        <f ca="1">IFERROR(__xludf.DUMMYFUNCTION("""COMPUTED_VALUE"""),"ISL")</f>
        <v>ISL</v>
      </c>
      <c r="H534" s="40" t="str">
        <f ca="1">IFERROR(__xludf.DUMMYFUNCTION("""COMPUTED_VALUE"""),"ISL52")</f>
        <v>ISL52</v>
      </c>
      <c r="I534" s="40" t="str">
        <f ca="1">IFERROR(__xludf.DUMMYFUNCTION("""COMPUTED_VALUE"""),"B")</f>
        <v>B</v>
      </c>
      <c r="J534" s="40" t="str">
        <f ca="1">IFERROR(__xludf.DUMMYFUNCTION("""COMPUTED_VALUE"""),"José Manuel Mondéjar")</f>
        <v>José Manuel Mondéjar</v>
      </c>
      <c r="K534" s="40"/>
      <c r="L534" s="40" t="str">
        <f t="shared" ca="1" si="4"/>
        <v>ISL52</v>
      </c>
      <c r="M534" s="36" t="str">
        <f t="shared" ca="1" si="5"/>
        <v>ISL</v>
      </c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</row>
    <row r="535" spans="1:27">
      <c r="A535" s="40"/>
      <c r="B535" s="36"/>
      <c r="C535" s="40"/>
      <c r="D535" s="41"/>
      <c r="E535" s="40"/>
      <c r="F535" s="40" t="str">
        <f ca="1">IFERROR(__xludf.DUMMYFUNCTION("""COMPUTED_VALUE"""),"Lisandro Russian")</f>
        <v>Lisandro Russian</v>
      </c>
      <c r="G535" s="40" t="str">
        <f ca="1">IFERROR(__xludf.DUMMYFUNCTION("""COMPUTED_VALUE"""),"LRM")</f>
        <v>LRM</v>
      </c>
      <c r="H535" s="40" t="str">
        <f ca="1">IFERROR(__xludf.DUMMYFUNCTION("""COMPUTED_VALUE"""),"LRM79")</f>
        <v>LRM79</v>
      </c>
      <c r="I535" s="40" t="str">
        <f ca="1">IFERROR(__xludf.DUMMYFUNCTION("""COMPUTED_VALUE"""),"A")</f>
        <v>A</v>
      </c>
      <c r="J535" s="40" t="str">
        <f ca="1">IFERROR(__xludf.DUMMYFUNCTION("""COMPUTED_VALUE"""),"José Manuel Morales Puebla")</f>
        <v>José Manuel Morales Puebla</v>
      </c>
      <c r="K535" s="40"/>
      <c r="L535" s="40" t="str">
        <f t="shared" ca="1" si="4"/>
        <v>LRM79</v>
      </c>
      <c r="M535" s="36" t="str">
        <f t="shared" ca="1" si="5"/>
        <v>LRM</v>
      </c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</row>
    <row r="536" spans="1:27">
      <c r="A536" s="40"/>
      <c r="B536" s="36"/>
      <c r="C536" s="40"/>
      <c r="D536" s="41"/>
      <c r="E536" s="40"/>
      <c r="F536" s="40" t="str">
        <f ca="1">IFERROR(__xludf.DUMMYFUNCTION("""COMPUTED_VALUE"""),"Ramon Ferrando")</f>
        <v>Ramon Ferrando</v>
      </c>
      <c r="G536" s="40" t="str">
        <f ca="1">IFERROR(__xludf.DUMMYFUNCTION("""COMPUTED_VALUE"""),"RFV")</f>
        <v>RFV</v>
      </c>
      <c r="H536" s="40" t="str">
        <f ca="1">IFERROR(__xludf.DUMMYFUNCTION("""COMPUTED_VALUE"""),"RFV16")</f>
        <v>RFV16</v>
      </c>
      <c r="I536" s="40" t="str">
        <f ca="1">IFERROR(__xludf.DUMMYFUNCTION("""COMPUTED_VALUE"""),"B")</f>
        <v>B</v>
      </c>
      <c r="J536" s="40" t="str">
        <f ca="1">IFERROR(__xludf.DUMMYFUNCTION("""COMPUTED_VALUE"""),"José Manuel Tamarit Conejeros")</f>
        <v>José Manuel Tamarit Conejeros</v>
      </c>
      <c r="K536" s="40"/>
      <c r="L536" s="40" t="str">
        <f t="shared" ca="1" si="4"/>
        <v>RFV16</v>
      </c>
      <c r="M536" s="36" t="str">
        <f t="shared" ca="1" si="5"/>
        <v>RFV</v>
      </c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</row>
    <row r="537" spans="1:27">
      <c r="A537" s="40"/>
      <c r="B537" s="36"/>
      <c r="C537" s="40"/>
      <c r="D537" s="41"/>
      <c r="E537" s="40"/>
      <c r="F537" s="40" t="str">
        <f ca="1">IFERROR(__xludf.DUMMYFUNCTION("""COMPUTED_VALUE"""),"Iván Sánchez")</f>
        <v>Iván Sánchez</v>
      </c>
      <c r="G537" s="40" t="str">
        <f ca="1">IFERROR(__xludf.DUMMYFUNCTION("""COMPUTED_VALUE"""),"ISL")</f>
        <v>ISL</v>
      </c>
      <c r="H537" s="40" t="str">
        <f ca="1">IFERROR(__xludf.DUMMYFUNCTION("""COMPUTED_VALUE"""),"ISL96")</f>
        <v>ISL96</v>
      </c>
      <c r="I537" s="40" t="str">
        <f ca="1">IFERROR(__xludf.DUMMYFUNCTION("""COMPUTED_VALUE"""),"B")</f>
        <v>B</v>
      </c>
      <c r="J537" s="40" t="str">
        <f ca="1">IFERROR(__xludf.DUMMYFUNCTION("""COMPUTED_VALUE"""),"José Manuel Zaragosí Castelló")</f>
        <v>José Manuel Zaragosí Castelló</v>
      </c>
      <c r="K537" s="40"/>
      <c r="L537" s="40" t="str">
        <f t="shared" ca="1" si="4"/>
        <v>ISL96</v>
      </c>
      <c r="M537" s="36" t="str">
        <f t="shared" ca="1" si="5"/>
        <v>ISL</v>
      </c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</row>
    <row r="538" spans="1:27">
      <c r="A538" s="40"/>
      <c r="B538" s="36"/>
      <c r="C538" s="40"/>
      <c r="D538" s="41"/>
      <c r="E538" s="40"/>
      <c r="F538" s="40" t="str">
        <f ca="1">IFERROR(__xludf.DUMMYFUNCTION("""COMPUTED_VALUE"""),"Lisandro Russian")</f>
        <v>Lisandro Russian</v>
      </c>
      <c r="G538" s="40" t="str">
        <f ca="1">IFERROR(__xludf.DUMMYFUNCTION("""COMPUTED_VALUE"""),"LRM")</f>
        <v>LRM</v>
      </c>
      <c r="H538" s="40" t="str">
        <f ca="1">IFERROR(__xludf.DUMMYFUNCTION("""COMPUTED_VALUE"""),"LRM80")</f>
        <v>LRM80</v>
      </c>
      <c r="I538" s="40" t="str">
        <f ca="1">IFERROR(__xludf.DUMMYFUNCTION("""COMPUTED_VALUE"""),"A")</f>
        <v>A</v>
      </c>
      <c r="J538" s="40" t="str">
        <f ca="1">IFERROR(__xludf.DUMMYFUNCTION("""COMPUTED_VALUE"""),"José María Abad Royo")</f>
        <v>José María Abad Royo</v>
      </c>
      <c r="K538" s="40"/>
      <c r="L538" s="40" t="str">
        <f t="shared" ca="1" si="4"/>
        <v>LRM80</v>
      </c>
      <c r="M538" s="36" t="str">
        <f t="shared" ca="1" si="5"/>
        <v>LRM</v>
      </c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</row>
    <row r="539" spans="1:27">
      <c r="A539" s="40"/>
      <c r="B539" s="36"/>
      <c r="C539" s="40"/>
      <c r="D539" s="41"/>
      <c r="E539" s="40"/>
      <c r="F539" s="40" t="str">
        <f ca="1">IFERROR(__xludf.DUMMYFUNCTION("""COMPUTED_VALUE"""),"Alberto Moreno")</f>
        <v>Alberto Moreno</v>
      </c>
      <c r="G539" s="40" t="str">
        <f ca="1">IFERROR(__xludf.DUMMYFUNCTION("""COMPUTED_VALUE"""),"AMM")</f>
        <v>AMM</v>
      </c>
      <c r="H539" s="40" t="str">
        <f ca="1">IFERROR(__xludf.DUMMYFUNCTION("""COMPUTED_VALUE"""),"AMM09")</f>
        <v>AMM09</v>
      </c>
      <c r="I539" s="40" t="str">
        <f ca="1">IFERROR(__xludf.DUMMYFUNCTION("""COMPUTED_VALUE"""),"A")</f>
        <v>A</v>
      </c>
      <c r="J539" s="40" t="str">
        <f ca="1">IFERROR(__xludf.DUMMYFUNCTION("""COMPUTED_VALUE"""),"José María Anda Fernández")</f>
        <v>José María Anda Fernández</v>
      </c>
      <c r="K539" s="40"/>
      <c r="L539" s="40" t="str">
        <f t="shared" ca="1" si="4"/>
        <v>AMM09</v>
      </c>
      <c r="M539" s="36" t="str">
        <f t="shared" ca="1" si="5"/>
        <v>AMM</v>
      </c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</row>
    <row r="540" spans="1:27">
      <c r="A540" s="40"/>
      <c r="B540" s="36"/>
      <c r="C540" s="40"/>
      <c r="D540" s="41"/>
      <c r="E540" s="40"/>
      <c r="F540" s="40" t="str">
        <f ca="1">IFERROR(__xludf.DUMMYFUNCTION("""COMPUTED_VALUE"""),"Luis Alberto Rodríguez")</f>
        <v>Luis Alberto Rodríguez</v>
      </c>
      <c r="G540" s="40" t="str">
        <f ca="1">IFERROR(__xludf.DUMMYFUNCTION("""COMPUTED_VALUE"""),"LAA")</f>
        <v>LAA</v>
      </c>
      <c r="H540" s="40" t="str">
        <f ca="1">IFERROR(__xludf.DUMMYFUNCTION("""COMPUTED_VALUE"""),"LAA27")</f>
        <v>LAA27</v>
      </c>
      <c r="I540" s="40" t="str">
        <f ca="1">IFERROR(__xludf.DUMMYFUNCTION("""COMPUTED_VALUE"""),"C")</f>
        <v>C</v>
      </c>
      <c r="J540" s="40" t="str">
        <f ca="1">IFERROR(__xludf.DUMMYFUNCTION("""COMPUTED_VALUE"""),"José María Hernández Hernández")</f>
        <v>José María Hernández Hernández</v>
      </c>
      <c r="K540" s="40"/>
      <c r="L540" s="40" t="str">
        <f t="shared" ca="1" si="4"/>
        <v>LAA27</v>
      </c>
      <c r="M540" s="36" t="str">
        <f t="shared" ca="1" si="5"/>
        <v>LAA</v>
      </c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</row>
    <row r="541" spans="1:27">
      <c r="A541" s="40"/>
      <c r="B541" s="36"/>
      <c r="C541" s="40"/>
      <c r="D541" s="41"/>
      <c r="E541" s="23"/>
      <c r="F541" s="40" t="str">
        <f ca="1">IFERROR(__xludf.DUMMYFUNCTION("""COMPUTED_VALUE"""),"Iván Sánchez")</f>
        <v>Iván Sánchez</v>
      </c>
      <c r="G541" s="40" t="str">
        <f ca="1">IFERROR(__xludf.DUMMYFUNCTION("""COMPUTED_VALUE"""),"ISL")</f>
        <v>ISL</v>
      </c>
      <c r="H541" s="40" t="str">
        <f ca="1">IFERROR(__xludf.DUMMYFUNCTION("""COMPUTED_VALUE"""),"ISL54")</f>
        <v>ISL54</v>
      </c>
      <c r="I541" s="40" t="str">
        <f ca="1">IFERROR(__xludf.DUMMYFUNCTION("""COMPUTED_VALUE"""),"B")</f>
        <v>B</v>
      </c>
      <c r="J541" s="40" t="str">
        <f ca="1">IFERROR(__xludf.DUMMYFUNCTION("""COMPUTED_VALUE"""),"José María Laborda Margolles")</f>
        <v>José María Laborda Margolles</v>
      </c>
      <c r="K541" s="40"/>
      <c r="L541" s="40" t="str">
        <f t="shared" ca="1" si="4"/>
        <v>ISL54</v>
      </c>
      <c r="M541" s="36" t="str">
        <f t="shared" ca="1" si="5"/>
        <v>ISL</v>
      </c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</row>
    <row r="542" spans="1:27">
      <c r="A542" s="40"/>
      <c r="B542" s="36"/>
      <c r="C542" s="40"/>
      <c r="D542" s="41"/>
      <c r="E542" s="40"/>
      <c r="F542" s="40" t="str">
        <f ca="1">IFERROR(__xludf.DUMMYFUNCTION("""COMPUTED_VALUE"""),"Luis Alberto Rodríguez")</f>
        <v>Luis Alberto Rodríguez</v>
      </c>
      <c r="G542" s="40" t="str">
        <f ca="1">IFERROR(__xludf.DUMMYFUNCTION("""COMPUTED_VALUE"""),"LAA")</f>
        <v>LAA</v>
      </c>
      <c r="H542" s="40" t="str">
        <f ca="1">IFERROR(__xludf.DUMMYFUNCTION("""COMPUTED_VALUE"""),"LAA28")</f>
        <v>LAA28</v>
      </c>
      <c r="I542" s="40" t="str">
        <f ca="1">IFERROR(__xludf.DUMMYFUNCTION("""COMPUTED_VALUE"""),"C")</f>
        <v>C</v>
      </c>
      <c r="J542" s="40" t="str">
        <f ca="1">IFERROR(__xludf.DUMMYFUNCTION("""COMPUTED_VALUE"""),"José María Palacios García")</f>
        <v>José María Palacios García</v>
      </c>
      <c r="K542" s="40"/>
      <c r="L542" s="40" t="str">
        <f t="shared" ca="1" si="4"/>
        <v>LAA28</v>
      </c>
      <c r="M542" s="36" t="str">
        <f t="shared" ca="1" si="5"/>
        <v>LAA</v>
      </c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</row>
    <row r="543" spans="1:27">
      <c r="A543" s="40"/>
      <c r="B543" s="36"/>
      <c r="C543" s="40"/>
      <c r="D543" s="41"/>
      <c r="E543" s="40"/>
      <c r="F543" s="40" t="str">
        <f ca="1">IFERROR(__xludf.DUMMYFUNCTION("""COMPUTED_VALUE"""),"Lisandro Russian")</f>
        <v>Lisandro Russian</v>
      </c>
      <c r="G543" s="40" t="str">
        <f ca="1">IFERROR(__xludf.DUMMYFUNCTION("""COMPUTED_VALUE"""),"LRM")</f>
        <v>LRM</v>
      </c>
      <c r="H543" s="40" t="str">
        <f ca="1">IFERROR(__xludf.DUMMYFUNCTION("""COMPUTED_VALUE"""),"LRM81")</f>
        <v>LRM81</v>
      </c>
      <c r="I543" s="40" t="str">
        <f ca="1">IFERROR(__xludf.DUMMYFUNCTION("""COMPUTED_VALUE"""),"A")</f>
        <v>A</v>
      </c>
      <c r="J543" s="40" t="str">
        <f ca="1">IFERROR(__xludf.DUMMYFUNCTION("""COMPUTED_VALUE"""),"Jose María Porquet Bueno")</f>
        <v>Jose María Porquet Bueno</v>
      </c>
      <c r="K543" s="40"/>
      <c r="L543" s="40" t="str">
        <f t="shared" ca="1" si="4"/>
        <v>LRM81</v>
      </c>
      <c r="M543" s="36" t="str">
        <f t="shared" ca="1" si="5"/>
        <v>LRM</v>
      </c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</row>
    <row r="544" spans="1:27">
      <c r="A544" s="40"/>
      <c r="B544" s="36"/>
      <c r="C544" s="40"/>
      <c r="D544" s="41"/>
      <c r="E544" s="40"/>
      <c r="F544" s="40" t="str">
        <f ca="1">IFERROR(__xludf.DUMMYFUNCTION("""COMPUTED_VALUE"""),"Maika Blázquez")</f>
        <v>Maika Blázquez</v>
      </c>
      <c r="G544" s="40" t="str">
        <f ca="1">IFERROR(__xludf.DUMMYFUNCTION("""COMPUTED_VALUE"""),"MBM")</f>
        <v>MBM</v>
      </c>
      <c r="H544" s="40" t="str">
        <f ca="1">IFERROR(__xludf.DUMMYFUNCTION("""COMPUTED_VALUE"""),"MBM54")</f>
        <v>MBM54</v>
      </c>
      <c r="I544" s="40" t="str">
        <f ca="1">IFERROR(__xludf.DUMMYFUNCTION("""COMPUTED_VALUE"""),"A")</f>
        <v>A</v>
      </c>
      <c r="J544" s="40" t="str">
        <f ca="1">IFERROR(__xludf.DUMMYFUNCTION("""COMPUTED_VALUE"""),"José María Relanzón López")</f>
        <v>José María Relanzón López</v>
      </c>
      <c r="K544" s="40"/>
      <c r="L544" s="40" t="str">
        <f t="shared" ca="1" si="4"/>
        <v>MBM54</v>
      </c>
      <c r="M544" s="36" t="str">
        <f t="shared" ca="1" si="5"/>
        <v>MBM</v>
      </c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</row>
    <row r="545" spans="1:27">
      <c r="A545" s="40"/>
      <c r="B545" s="36"/>
      <c r="C545" s="40"/>
      <c r="D545" s="41"/>
      <c r="E545" s="40"/>
      <c r="F545" s="40" t="str">
        <f ca="1">IFERROR(__xludf.DUMMYFUNCTION("""COMPUTED_VALUE"""),"Iván Sánchez")</f>
        <v>Iván Sánchez</v>
      </c>
      <c r="G545" s="40" t="str">
        <f ca="1">IFERROR(__xludf.DUMMYFUNCTION("""COMPUTED_VALUE"""),"ISL")</f>
        <v>ISL</v>
      </c>
      <c r="H545" s="40" t="str">
        <f ca="1">IFERROR(__xludf.DUMMYFUNCTION("""COMPUTED_VALUE"""),"ISL55")</f>
        <v>ISL55</v>
      </c>
      <c r="I545" s="40" t="str">
        <f ca="1">IFERROR(__xludf.DUMMYFUNCTION("""COMPUTED_VALUE"""),"B")</f>
        <v>B</v>
      </c>
      <c r="J545" s="40" t="str">
        <f ca="1">IFERROR(__xludf.DUMMYFUNCTION("""COMPUTED_VALUE"""),"José Mauri Barberá")</f>
        <v>José Mauri Barberá</v>
      </c>
      <c r="K545" s="40"/>
      <c r="L545" s="40" t="str">
        <f t="shared" ca="1" si="4"/>
        <v>ISL55</v>
      </c>
      <c r="M545" s="36" t="str">
        <f t="shared" ca="1" si="5"/>
        <v>ISL</v>
      </c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</row>
    <row r="546" spans="1:27">
      <c r="A546" s="40"/>
      <c r="B546" s="36"/>
      <c r="C546" s="40"/>
      <c r="D546" s="41"/>
      <c r="E546" s="40"/>
      <c r="F546" s="40" t="str">
        <f ca="1">IFERROR(__xludf.DUMMYFUNCTION("""COMPUTED_VALUE"""),"Lisandro Russian")</f>
        <v>Lisandro Russian</v>
      </c>
      <c r="G546" s="40" t="str">
        <f ca="1">IFERROR(__xludf.DUMMYFUNCTION("""COMPUTED_VALUE"""),"LRM")</f>
        <v>LRM</v>
      </c>
      <c r="H546" s="40" t="str">
        <f ca="1">IFERROR(__xludf.DUMMYFUNCTION("""COMPUTED_VALUE"""),"LRM82")</f>
        <v>LRM82</v>
      </c>
      <c r="I546" s="40" t="str">
        <f ca="1">IFERROR(__xludf.DUMMYFUNCTION("""COMPUTED_VALUE"""),"A")</f>
        <v>A</v>
      </c>
      <c r="J546" s="40" t="str">
        <f ca="1">IFERROR(__xludf.DUMMYFUNCTION("""COMPUTED_VALUE"""),"José Miguel Aparicio Fernández")</f>
        <v>José Miguel Aparicio Fernández</v>
      </c>
      <c r="K546" s="40"/>
      <c r="L546" s="40" t="str">
        <f t="shared" ca="1" si="4"/>
        <v>LRM82</v>
      </c>
      <c r="M546" s="36" t="str">
        <f t="shared" ca="1" si="5"/>
        <v>LRM</v>
      </c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</row>
    <row r="547" spans="1:27">
      <c r="A547" s="40"/>
      <c r="B547" s="36"/>
      <c r="C547" s="40"/>
      <c r="D547" s="41"/>
      <c r="E547" s="23"/>
      <c r="F547" s="40" t="str">
        <f ca="1">IFERROR(__xludf.DUMMYFUNCTION("""COMPUTED_VALUE"""),"Roberto Pereira")</f>
        <v>Roberto Pereira</v>
      </c>
      <c r="G547" s="40" t="str">
        <f ca="1">IFERROR(__xludf.DUMMYFUNCTION("""COMPUTED_VALUE"""),"RPG")</f>
        <v>RPG</v>
      </c>
      <c r="H547" s="40" t="str">
        <f ca="1">IFERROR(__xludf.DUMMYFUNCTION("""COMPUTED_VALUE"""),"RPG23")</f>
        <v>RPG23</v>
      </c>
      <c r="I547" s="40" t="str">
        <f ca="1">IFERROR(__xludf.DUMMYFUNCTION("""COMPUTED_VALUE"""),"A")</f>
        <v>A</v>
      </c>
      <c r="J547" s="40" t="str">
        <f ca="1">IFERROR(__xludf.DUMMYFUNCTION("""COMPUTED_VALUE"""),"José Miguel Costa González")</f>
        <v>José Miguel Costa González</v>
      </c>
      <c r="K547" s="40"/>
      <c r="L547" s="40" t="str">
        <f t="shared" ca="1" si="4"/>
        <v>RPG23</v>
      </c>
      <c r="M547" s="36" t="str">
        <f t="shared" ca="1" si="5"/>
        <v>RPG</v>
      </c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</row>
    <row r="548" spans="1:27">
      <c r="A548" s="40"/>
      <c r="B548" s="36"/>
      <c r="C548" s="40"/>
      <c r="D548" s="41"/>
      <c r="E548" s="40"/>
      <c r="F548" s="40" t="str">
        <f ca="1">IFERROR(__xludf.DUMMYFUNCTION("""COMPUTED_VALUE"""),"Iván Sánchez")</f>
        <v>Iván Sánchez</v>
      </c>
      <c r="G548" s="40" t="str">
        <f ca="1">IFERROR(__xludf.DUMMYFUNCTION("""COMPUTED_VALUE"""),"ISL")</f>
        <v>ISL</v>
      </c>
      <c r="H548" s="40" t="str">
        <f ca="1">IFERROR(__xludf.DUMMYFUNCTION("""COMPUTED_VALUE"""),"ISL56")</f>
        <v>ISL56</v>
      </c>
      <c r="I548" s="40" t="str">
        <f ca="1">IFERROR(__xludf.DUMMYFUNCTION("""COMPUTED_VALUE"""),"B")</f>
        <v>B</v>
      </c>
      <c r="J548" s="40" t="str">
        <f ca="1">IFERROR(__xludf.DUMMYFUNCTION("""COMPUTED_VALUE"""),"José Miguel Osete Albaladejo")</f>
        <v>José Miguel Osete Albaladejo</v>
      </c>
      <c r="K548" s="40"/>
      <c r="L548" s="40" t="str">
        <f t="shared" ca="1" si="4"/>
        <v>ISL56</v>
      </c>
      <c r="M548" s="36" t="str">
        <f t="shared" ca="1" si="5"/>
        <v>ISL</v>
      </c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</row>
    <row r="549" spans="1:27">
      <c r="A549" s="40"/>
      <c r="B549" s="36"/>
      <c r="C549" s="40"/>
      <c r="D549" s="41"/>
      <c r="E549" s="40"/>
      <c r="F549" s="40" t="str">
        <f ca="1">IFERROR(__xludf.DUMMYFUNCTION("""COMPUTED_VALUE"""),"Lisandro Russian")</f>
        <v>Lisandro Russian</v>
      </c>
      <c r="G549" s="40" t="str">
        <f ca="1">IFERROR(__xludf.DUMMYFUNCTION("""COMPUTED_VALUE"""),"LRM")</f>
        <v>LRM</v>
      </c>
      <c r="H549" s="40" t="str">
        <f ca="1">IFERROR(__xludf.DUMMYFUNCTION("""COMPUTED_VALUE"""),"LRM83")</f>
        <v>LRM83</v>
      </c>
      <c r="I549" s="40" t="str">
        <f ca="1">IFERROR(__xludf.DUMMYFUNCTION("""COMPUTED_VALUE"""),"A")</f>
        <v>A</v>
      </c>
      <c r="J549" s="40" t="str">
        <f ca="1">IFERROR(__xludf.DUMMYFUNCTION("""COMPUTED_VALUE"""),"José Miguel Sebastián Cortés")</f>
        <v>José Miguel Sebastián Cortés</v>
      </c>
      <c r="K549" s="40"/>
      <c r="L549" s="40" t="str">
        <f t="shared" ca="1" si="4"/>
        <v>LRM83</v>
      </c>
      <c r="M549" s="36" t="str">
        <f t="shared" ca="1" si="5"/>
        <v>LRM</v>
      </c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</row>
    <row r="550" spans="1:27">
      <c r="A550" s="40"/>
      <c r="B550" s="36"/>
      <c r="C550" s="40"/>
      <c r="D550" s="41"/>
      <c r="E550" s="40"/>
      <c r="F550" s="40" t="str">
        <f ca="1">IFERROR(__xludf.DUMMYFUNCTION("""COMPUTED_VALUE"""),"Lisandro Russian")</f>
        <v>Lisandro Russian</v>
      </c>
      <c r="G550" s="40" t="str">
        <f ca="1">IFERROR(__xludf.DUMMYFUNCTION("""COMPUTED_VALUE"""),"LRM")</f>
        <v>LRM</v>
      </c>
      <c r="H550" s="40" t="str">
        <f ca="1">IFERROR(__xludf.DUMMYFUNCTION("""COMPUTED_VALUE"""),"LRM84")</f>
        <v>LRM84</v>
      </c>
      <c r="I550" s="40" t="str">
        <f ca="1">IFERROR(__xludf.DUMMYFUNCTION("""COMPUTED_VALUE"""),"A")</f>
        <v>A</v>
      </c>
      <c r="J550" s="40" t="str">
        <f ca="1">IFERROR(__xludf.DUMMYFUNCTION("""COMPUTED_VALUE"""),"José Miguel Tejada Bautista")</f>
        <v>José Miguel Tejada Bautista</v>
      </c>
      <c r="K550" s="40"/>
      <c r="L550" s="40" t="str">
        <f t="shared" ca="1" si="4"/>
        <v>LRM84</v>
      </c>
      <c r="M550" s="36" t="str">
        <f t="shared" ca="1" si="5"/>
        <v>LRM</v>
      </c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</row>
    <row r="551" spans="1:27">
      <c r="A551" s="40"/>
      <c r="B551" s="36"/>
      <c r="C551" s="40"/>
      <c r="D551" s="41"/>
      <c r="E551" s="40"/>
      <c r="F551" s="40" t="str">
        <f ca="1">IFERROR(__xludf.DUMMYFUNCTION("""COMPUTED_VALUE"""),"Lisandro Russian")</f>
        <v>Lisandro Russian</v>
      </c>
      <c r="G551" s="40" t="str">
        <f ca="1">IFERROR(__xludf.DUMMYFUNCTION("""COMPUTED_VALUE"""),"LRM")</f>
        <v>LRM</v>
      </c>
      <c r="H551" s="40" t="str">
        <f ca="1">IFERROR(__xludf.DUMMYFUNCTION("""COMPUTED_VALUE"""),"LRM85")</f>
        <v>LRM85</v>
      </c>
      <c r="I551" s="40" t="str">
        <f ca="1">IFERROR(__xludf.DUMMYFUNCTION("""COMPUTED_VALUE"""),"A")</f>
        <v>A</v>
      </c>
      <c r="J551" s="40" t="str">
        <f ca="1">IFERROR(__xludf.DUMMYFUNCTION("""COMPUTED_VALUE"""),"José Millán Guevara")</f>
        <v>José Millán Guevara</v>
      </c>
      <c r="K551" s="40"/>
      <c r="L551" s="40" t="str">
        <f t="shared" ca="1" si="4"/>
        <v>LRM85</v>
      </c>
      <c r="M551" s="36" t="str">
        <f t="shared" ca="1" si="5"/>
        <v>LRM</v>
      </c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</row>
    <row r="552" spans="1:27">
      <c r="A552" s="40"/>
      <c r="B552" s="36"/>
      <c r="C552" s="40"/>
      <c r="D552" s="41"/>
      <c r="E552" s="40"/>
      <c r="F552" s="40" t="str">
        <f ca="1">IFERROR(__xludf.DUMMYFUNCTION("""COMPUTED_VALUE"""),"Ramon Ferrando")</f>
        <v>Ramon Ferrando</v>
      </c>
      <c r="G552" s="40" t="str">
        <f ca="1">IFERROR(__xludf.DUMMYFUNCTION("""COMPUTED_VALUE"""),"RFV")</f>
        <v>RFV</v>
      </c>
      <c r="H552" s="40" t="str">
        <f ca="1">IFERROR(__xludf.DUMMYFUNCTION("""COMPUTED_VALUE"""),"RFV17")</f>
        <v>RFV17</v>
      </c>
      <c r="I552" s="40" t="str">
        <f ca="1">IFERROR(__xludf.DUMMYFUNCTION("""COMPUTED_VALUE"""),"B")</f>
        <v>B</v>
      </c>
      <c r="J552" s="23" t="str">
        <f ca="1">IFERROR(__xludf.DUMMYFUNCTION("""COMPUTED_VALUE"""),"José Montalt Marco")</f>
        <v>José Montalt Marco</v>
      </c>
      <c r="K552" s="23"/>
      <c r="L552" s="40" t="str">
        <f t="shared" ca="1" si="4"/>
        <v>RFV17</v>
      </c>
      <c r="M552" s="36" t="str">
        <f t="shared" ca="1" si="5"/>
        <v>RFV</v>
      </c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</row>
    <row r="553" spans="1:27">
      <c r="A553" s="40"/>
      <c r="B553" s="36"/>
      <c r="C553" s="40"/>
      <c r="D553" s="41"/>
      <c r="E553" s="40"/>
      <c r="F553" s="40" t="str">
        <f ca="1">IFERROR(__xludf.DUMMYFUNCTION("""COMPUTED_VALUE"""),"Maika Blázquez")</f>
        <v>Maika Blázquez</v>
      </c>
      <c r="G553" s="40" t="str">
        <f ca="1">IFERROR(__xludf.DUMMYFUNCTION("""COMPUTED_VALUE"""),"MBM")</f>
        <v>MBM</v>
      </c>
      <c r="H553" s="40" t="str">
        <f ca="1">IFERROR(__xludf.DUMMYFUNCTION("""COMPUTED_VALUE"""),"MBM55")</f>
        <v>MBM55</v>
      </c>
      <c r="I553" s="40" t="str">
        <f ca="1">IFERROR(__xludf.DUMMYFUNCTION("""COMPUTED_VALUE"""),"A")</f>
        <v>A</v>
      </c>
      <c r="J553" s="40" t="str">
        <f ca="1">IFERROR(__xludf.DUMMYFUNCTION("""COMPUTED_VALUE"""),"José Montojo Woodeson")</f>
        <v>José Montojo Woodeson</v>
      </c>
      <c r="K553" s="40"/>
      <c r="L553" s="40" t="str">
        <f t="shared" ca="1" si="4"/>
        <v>MBM55</v>
      </c>
      <c r="M553" s="36" t="str">
        <f t="shared" ca="1" si="5"/>
        <v>MBM</v>
      </c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</row>
    <row r="554" spans="1:27">
      <c r="A554" s="40"/>
      <c r="B554" s="36"/>
      <c r="C554" s="40"/>
      <c r="D554" s="41"/>
      <c r="E554" s="40"/>
      <c r="F554" s="40" t="str">
        <f ca="1">IFERROR(__xludf.DUMMYFUNCTION("""COMPUTED_VALUE"""),"Ramon Ferrando")</f>
        <v>Ramon Ferrando</v>
      </c>
      <c r="G554" s="40" t="str">
        <f ca="1">IFERROR(__xludf.DUMMYFUNCTION("""COMPUTED_VALUE"""),"RFV")</f>
        <v>RFV</v>
      </c>
      <c r="H554" s="40" t="str">
        <f ca="1">IFERROR(__xludf.DUMMYFUNCTION("""COMPUTED_VALUE"""),"RFV11")</f>
        <v>RFV11</v>
      </c>
      <c r="I554" s="40" t="str">
        <f ca="1">IFERROR(__xludf.DUMMYFUNCTION("""COMPUTED_VALUE"""),"B")</f>
        <v>B</v>
      </c>
      <c r="J554" s="40" t="str">
        <f ca="1">IFERROR(__xludf.DUMMYFUNCTION("""COMPUTED_VALUE"""),"José Ramiro De León Lima")</f>
        <v>José Ramiro De León Lima</v>
      </c>
      <c r="K554" s="40"/>
      <c r="L554" s="40" t="str">
        <f t="shared" ca="1" si="4"/>
        <v>RFV11</v>
      </c>
      <c r="M554" s="36" t="str">
        <f t="shared" ca="1" si="5"/>
        <v>RFV</v>
      </c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</row>
    <row r="555" spans="1:27">
      <c r="A555" s="40"/>
      <c r="B555" s="36"/>
      <c r="C555" s="40"/>
      <c r="D555" s="41"/>
      <c r="E555" s="40"/>
      <c r="F555" s="40" t="str">
        <f ca="1">IFERROR(__xludf.DUMMYFUNCTION("""COMPUTED_VALUE"""),"Ramon Ferrando")</f>
        <v>Ramon Ferrando</v>
      </c>
      <c r="G555" s="40" t="str">
        <f ca="1">IFERROR(__xludf.DUMMYFUNCTION("""COMPUTED_VALUE"""),"RFV")</f>
        <v>RFV</v>
      </c>
      <c r="H555" s="40" t="str">
        <f ca="1">IFERROR(__xludf.DUMMYFUNCTION("""COMPUTED_VALUE"""),"RFV04")</f>
        <v>RFV04</v>
      </c>
      <c r="I555" s="40" t="str">
        <f ca="1">IFERROR(__xludf.DUMMYFUNCTION("""COMPUTED_VALUE"""),"B")</f>
        <v>B</v>
      </c>
      <c r="J555" s="40" t="str">
        <f ca="1">IFERROR(__xludf.DUMMYFUNCTION("""COMPUTED_VALUE"""),"José Ruiz Coello Moratalla")</f>
        <v>José Ruiz Coello Moratalla</v>
      </c>
      <c r="K555" s="40"/>
      <c r="L555" s="40" t="str">
        <f t="shared" ca="1" si="4"/>
        <v>RFV04</v>
      </c>
      <c r="M555" s="36" t="str">
        <f t="shared" ca="1" si="5"/>
        <v>RFV</v>
      </c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</row>
    <row r="556" spans="1:27">
      <c r="A556" s="40"/>
      <c r="B556" s="36"/>
      <c r="C556" s="40"/>
      <c r="D556" s="41"/>
      <c r="E556" s="40"/>
      <c r="F556" s="40" t="str">
        <f ca="1">IFERROR(__xludf.DUMMYFUNCTION("""COMPUTED_VALUE"""),"Mercè Cabrera")</f>
        <v>Mercè Cabrera</v>
      </c>
      <c r="G556" s="40" t="str">
        <f ca="1">IFERROR(__xludf.DUMMYFUNCTION("""COMPUTED_VALUE"""),"MCC")</f>
        <v>MCC</v>
      </c>
      <c r="H556" s="40" t="str">
        <f ca="1">IFERROR(__xludf.DUMMYFUNCTION("""COMPUTED_VALUE"""),"MCC22")</f>
        <v>MCC22</v>
      </c>
      <c r="I556" s="40" t="str">
        <f ca="1">IFERROR(__xludf.DUMMYFUNCTION("""COMPUTED_VALUE"""),"A")</f>
        <v>A</v>
      </c>
      <c r="J556" s="40" t="str">
        <f ca="1">IFERROR(__xludf.DUMMYFUNCTION("""COMPUTED_VALUE"""),"José Salazar Clavijo")</f>
        <v>José Salazar Clavijo</v>
      </c>
      <c r="K556" s="40"/>
      <c r="L556" s="40" t="str">
        <f t="shared" ca="1" si="4"/>
        <v>MCC22</v>
      </c>
      <c r="M556" s="36" t="str">
        <f t="shared" ca="1" si="5"/>
        <v>MCC</v>
      </c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</row>
    <row r="557" spans="1:27">
      <c r="A557" s="40"/>
      <c r="B557" s="36"/>
      <c r="C557" s="23"/>
      <c r="D557" s="38"/>
      <c r="E557" s="23"/>
      <c r="F557" s="40" t="str">
        <f ca="1">IFERROR(__xludf.DUMMYFUNCTION("""COMPUTED_VALUE"""),"Alberto Moreno")</f>
        <v>Alberto Moreno</v>
      </c>
      <c r="G557" s="40" t="str">
        <f ca="1">IFERROR(__xludf.DUMMYFUNCTION("""COMPUTED_VALUE"""),"AMM")</f>
        <v>AMM</v>
      </c>
      <c r="H557" s="40" t="str">
        <f ca="1">IFERROR(__xludf.DUMMYFUNCTION("""COMPUTED_VALUE"""),"AMM24")</f>
        <v>AMM24</v>
      </c>
      <c r="I557" s="40" t="str">
        <f ca="1">IFERROR(__xludf.DUMMYFUNCTION("""COMPUTED_VALUE"""),"A")</f>
        <v>A</v>
      </c>
      <c r="J557" s="40" t="str">
        <f ca="1">IFERROR(__xludf.DUMMYFUNCTION("""COMPUTED_VALUE"""),"José Santiago Prieto Gutiérrez")</f>
        <v>José Santiago Prieto Gutiérrez</v>
      </c>
      <c r="K557" s="40"/>
      <c r="L557" s="40" t="str">
        <f t="shared" ca="1" si="4"/>
        <v>AMM24</v>
      </c>
      <c r="M557" s="36" t="str">
        <f t="shared" ca="1" si="5"/>
        <v>AMM</v>
      </c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</row>
    <row r="558" spans="1:27">
      <c r="A558" s="40"/>
      <c r="B558" s="36"/>
      <c r="C558" s="40"/>
      <c r="D558" s="41"/>
      <c r="E558" s="40"/>
      <c r="F558" s="40" t="str">
        <f ca="1">IFERROR(__xludf.DUMMYFUNCTION("""COMPUTED_VALUE"""),"Lisandro Russian")</f>
        <v>Lisandro Russian</v>
      </c>
      <c r="G558" s="40" t="str">
        <f ca="1">IFERROR(__xludf.DUMMYFUNCTION("""COMPUTED_VALUE"""),"LRM")</f>
        <v>LRM</v>
      </c>
      <c r="H558" s="40" t="str">
        <f ca="1">IFERROR(__xludf.DUMMYFUNCTION("""COMPUTED_VALUE"""),"LRM86")</f>
        <v>LRM86</v>
      </c>
      <c r="I558" s="40" t="str">
        <f ca="1">IFERROR(__xludf.DUMMYFUNCTION("""COMPUTED_VALUE"""),"A")</f>
        <v>A</v>
      </c>
      <c r="J558" s="40" t="str">
        <f ca="1">IFERROR(__xludf.DUMMYFUNCTION("""COMPUTED_VALUE"""),"José Sebastián Cortés")</f>
        <v>José Sebastián Cortés</v>
      </c>
      <c r="K558" s="40"/>
      <c r="L558" s="40" t="str">
        <f t="shared" ca="1" si="4"/>
        <v>LRM86</v>
      </c>
      <c r="M558" s="36" t="str">
        <f t="shared" ca="1" si="5"/>
        <v>LRM</v>
      </c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</row>
    <row r="559" spans="1:27">
      <c r="A559" s="40"/>
      <c r="B559" s="36"/>
      <c r="C559" s="40"/>
      <c r="D559" s="41"/>
      <c r="E559" s="40"/>
      <c r="F559" s="40" t="str">
        <f ca="1">IFERROR(__xludf.DUMMYFUNCTION("""COMPUTED_VALUE"""),"Lisandro Russian")</f>
        <v>Lisandro Russian</v>
      </c>
      <c r="G559" s="40" t="str">
        <f ca="1">IFERROR(__xludf.DUMMYFUNCTION("""COMPUTED_VALUE"""),"LRM")</f>
        <v>LRM</v>
      </c>
      <c r="H559" s="40" t="str">
        <f ca="1">IFERROR(__xludf.DUMMYFUNCTION("""COMPUTED_VALUE"""),"LRM87")</f>
        <v>LRM87</v>
      </c>
      <c r="I559" s="40" t="str">
        <f ca="1">IFERROR(__xludf.DUMMYFUNCTION("""COMPUTED_VALUE"""),"A")</f>
        <v>A</v>
      </c>
      <c r="J559" s="40" t="str">
        <f ca="1">IFERROR(__xludf.DUMMYFUNCTION("""COMPUTED_VALUE"""),"Jose Suazo Díaz-Recio")</f>
        <v>Jose Suazo Díaz-Recio</v>
      </c>
      <c r="K559" s="40"/>
      <c r="L559" s="40" t="str">
        <f t="shared" ca="1" si="4"/>
        <v>LRM87</v>
      </c>
      <c r="M559" s="36" t="str">
        <f t="shared" ca="1" si="5"/>
        <v>LRM</v>
      </c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</row>
    <row r="560" spans="1:27">
      <c r="A560" s="40"/>
      <c r="B560" s="36"/>
      <c r="C560" s="40"/>
      <c r="D560" s="41"/>
      <c r="E560" s="40"/>
      <c r="F560" s="40" t="str">
        <f ca="1">IFERROR(__xludf.DUMMYFUNCTION("""COMPUTED_VALUE"""),"Lisandro Russian")</f>
        <v>Lisandro Russian</v>
      </c>
      <c r="G560" s="40" t="str">
        <f ca="1">IFERROR(__xludf.DUMMYFUNCTION("""COMPUTED_VALUE"""),"LRM")</f>
        <v>LRM</v>
      </c>
      <c r="H560" s="40" t="str">
        <f ca="1">IFERROR(__xludf.DUMMYFUNCTION("""COMPUTED_VALUE"""),"LRM88")</f>
        <v>LRM88</v>
      </c>
      <c r="I560" s="40" t="str">
        <f ca="1">IFERROR(__xludf.DUMMYFUNCTION("""COMPUTED_VALUE"""),"A")</f>
        <v>A</v>
      </c>
      <c r="J560" s="40" t="str">
        <f ca="1">IFERROR(__xludf.DUMMYFUNCTION("""COMPUTED_VALUE"""),"José Víctor Tisner Nieto")</f>
        <v>José Víctor Tisner Nieto</v>
      </c>
      <c r="K560" s="40"/>
      <c r="L560" s="40" t="str">
        <f t="shared" ca="1" si="4"/>
        <v>LRM88</v>
      </c>
      <c r="M560" s="36" t="str">
        <f t="shared" ca="1" si="5"/>
        <v>LRM</v>
      </c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</row>
    <row r="561" spans="1:27">
      <c r="A561" s="40"/>
      <c r="B561" s="36"/>
      <c r="C561" s="40"/>
      <c r="D561" s="41"/>
      <c r="E561" s="40"/>
      <c r="F561" s="40" t="str">
        <f ca="1">IFERROR(__xludf.DUMMYFUNCTION("""COMPUTED_VALUE"""),"Lisandro Russian")</f>
        <v>Lisandro Russian</v>
      </c>
      <c r="G561" s="40" t="str">
        <f ca="1">IFERROR(__xludf.DUMMYFUNCTION("""COMPUTED_VALUE"""),"LRM")</f>
        <v>LRM</v>
      </c>
      <c r="H561" s="40" t="str">
        <f ca="1">IFERROR(__xludf.DUMMYFUNCTION("""COMPUTED_VALUE"""),"LRM168")</f>
        <v>LRM168</v>
      </c>
      <c r="I561" s="40" t="str">
        <f ca="1">IFERROR(__xludf.DUMMYFUNCTION("""COMPUTED_VALUE"""),"A")</f>
        <v>A</v>
      </c>
      <c r="J561" s="40" t="str">
        <f ca="1">IFERROR(__xludf.DUMMYFUNCTION("""COMPUTED_VALUE"""),"Josefa Alonso Sánchez")</f>
        <v>Josefa Alonso Sánchez</v>
      </c>
      <c r="K561" s="40"/>
      <c r="L561" s="40" t="str">
        <f t="shared" ca="1" si="4"/>
        <v>LRM168</v>
      </c>
      <c r="M561" s="36" t="str">
        <f t="shared" ca="1" si="5"/>
        <v>LRM</v>
      </c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</row>
    <row r="562" spans="1:27">
      <c r="A562" s="40"/>
      <c r="B562" s="36"/>
      <c r="C562" s="40"/>
      <c r="D562" s="41"/>
      <c r="E562" s="23"/>
      <c r="F562" s="40" t="str">
        <f ca="1">IFERROR(__xludf.DUMMYFUNCTION("""COMPUTED_VALUE"""),"Luis Alberto Rodríguez")</f>
        <v>Luis Alberto Rodríguez</v>
      </c>
      <c r="G562" s="40" t="str">
        <f ca="1">IFERROR(__xludf.DUMMYFUNCTION("""COMPUTED_VALUE"""),"LAA")</f>
        <v>LAA</v>
      </c>
      <c r="H562" s="40" t="str">
        <f ca="1">IFERROR(__xludf.DUMMYFUNCTION("""COMPUTED_VALUE"""),"LAA50")</f>
        <v>LAA50</v>
      </c>
      <c r="I562" s="40" t="str">
        <f ca="1">IFERROR(__xludf.DUMMYFUNCTION("""COMPUTED_VALUE"""),"C")</f>
        <v>C</v>
      </c>
      <c r="J562" s="40" t="str">
        <f ca="1">IFERROR(__xludf.DUMMYFUNCTION("""COMPUTED_VALUE"""),"Josefa Olmedo Martínez")</f>
        <v>Josefa Olmedo Martínez</v>
      </c>
      <c r="K562" s="40"/>
      <c r="L562" s="40" t="str">
        <f t="shared" ca="1" si="4"/>
        <v>LAA50</v>
      </c>
      <c r="M562" s="36" t="str">
        <f t="shared" ca="1" si="5"/>
        <v>LAA</v>
      </c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</row>
    <row r="563" spans="1:27">
      <c r="A563" s="40"/>
      <c r="B563" s="36"/>
      <c r="C563" s="40"/>
      <c r="D563" s="41"/>
      <c r="E563" s="40"/>
      <c r="F563" s="40" t="str">
        <f ca="1">IFERROR(__xludf.DUMMYFUNCTION("""COMPUTED_VALUE"""),"Mercè Cabrera")</f>
        <v>Mercè Cabrera</v>
      </c>
      <c r="G563" s="40" t="str">
        <f ca="1">IFERROR(__xludf.DUMMYFUNCTION("""COMPUTED_VALUE"""),"MCC")</f>
        <v>MCC</v>
      </c>
      <c r="H563" s="40" t="str">
        <f ca="1">IFERROR(__xludf.DUMMYFUNCTION("""COMPUTED_VALUE"""),"MCC23")</f>
        <v>MCC23</v>
      </c>
      <c r="I563" s="40" t="str">
        <f ca="1">IFERROR(__xludf.DUMMYFUNCTION("""COMPUTED_VALUE"""),"A")</f>
        <v>A</v>
      </c>
      <c r="J563" s="40" t="str">
        <f ca="1">IFERROR(__xludf.DUMMYFUNCTION("""COMPUTED_VALUE"""),"Josep Maria Orrit Arenas")</f>
        <v>Josep Maria Orrit Arenas</v>
      </c>
      <c r="K563" s="40"/>
      <c r="L563" s="40" t="str">
        <f t="shared" ca="1" si="4"/>
        <v>MCC23</v>
      </c>
      <c r="M563" s="36" t="str">
        <f t="shared" ca="1" si="5"/>
        <v>MCC</v>
      </c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</row>
    <row r="564" spans="1:27">
      <c r="A564" s="40"/>
      <c r="B564" s="36"/>
      <c r="C564" s="40"/>
      <c r="D564" s="41"/>
      <c r="E564" s="40"/>
      <c r="F564" s="40" t="str">
        <f ca="1">IFERROR(__xludf.DUMMYFUNCTION("""COMPUTED_VALUE"""),"Maika Blázquez")</f>
        <v>Maika Blázquez</v>
      </c>
      <c r="G564" s="40" t="str">
        <f ca="1">IFERROR(__xludf.DUMMYFUNCTION("""COMPUTED_VALUE"""),"MBM")</f>
        <v>MBM</v>
      </c>
      <c r="H564" s="40" t="str">
        <f ca="1">IFERROR(__xludf.DUMMYFUNCTION("""COMPUTED_VALUE"""),"MBM56")</f>
        <v>MBM56</v>
      </c>
      <c r="I564" s="40" t="str">
        <f ca="1">IFERROR(__xludf.DUMMYFUNCTION("""COMPUTED_VALUE"""),"A")</f>
        <v>A</v>
      </c>
      <c r="J564" s="40" t="str">
        <f ca="1">IFERROR(__xludf.DUMMYFUNCTION("""COMPUTED_VALUE"""),"Juan Antonio Pasamontes Pingarrón")</f>
        <v>Juan Antonio Pasamontes Pingarrón</v>
      </c>
      <c r="K564" s="40"/>
      <c r="L564" s="40" t="str">
        <f t="shared" ca="1" si="4"/>
        <v>MBM56</v>
      </c>
      <c r="M564" s="36" t="str">
        <f t="shared" ca="1" si="5"/>
        <v>MBM</v>
      </c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</row>
    <row r="565" spans="1:27">
      <c r="A565" s="40"/>
      <c r="B565" s="36"/>
      <c r="C565" s="40"/>
      <c r="D565" s="41"/>
      <c r="E565" s="40"/>
      <c r="F565" s="40" t="str">
        <f ca="1">IFERROR(__xludf.DUMMYFUNCTION("""COMPUTED_VALUE"""),"Patricia Solache")</f>
        <v>Patricia Solache</v>
      </c>
      <c r="G565" s="40" t="str">
        <f ca="1">IFERROR(__xludf.DUMMYFUNCTION("""COMPUTED_VALUE"""),"PSC")</f>
        <v>PSC</v>
      </c>
      <c r="H565" s="40" t="str">
        <f ca="1">IFERROR(__xludf.DUMMYFUNCTION("""COMPUTED_VALUE"""),"PSC17")</f>
        <v>PSC17</v>
      </c>
      <c r="I565" s="40" t="str">
        <f ca="1">IFERROR(__xludf.DUMMYFUNCTION("""COMPUTED_VALUE"""),"A")</f>
        <v>A</v>
      </c>
      <c r="J565" s="40" t="str">
        <f ca="1">IFERROR(__xludf.DUMMYFUNCTION("""COMPUTED_VALUE"""),"Juan Carlos Del Pozo de Dios")</f>
        <v>Juan Carlos Del Pozo de Dios</v>
      </c>
      <c r="K565" s="40"/>
      <c r="L565" s="40" t="str">
        <f t="shared" ca="1" si="4"/>
        <v>PSC17</v>
      </c>
      <c r="M565" s="36" t="str">
        <f t="shared" ca="1" si="5"/>
        <v>PSC</v>
      </c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</row>
    <row r="566" spans="1:27">
      <c r="A566" s="40"/>
      <c r="B566" s="36"/>
      <c r="C566" s="40"/>
      <c r="D566" s="41"/>
      <c r="E566" s="40"/>
      <c r="F566" s="40" t="str">
        <f ca="1">IFERROR(__xludf.DUMMYFUNCTION("""COMPUTED_VALUE"""),"Alberto Moreno")</f>
        <v>Alberto Moreno</v>
      </c>
      <c r="G566" s="40" t="str">
        <f ca="1">IFERROR(__xludf.DUMMYFUNCTION("""COMPUTED_VALUE"""),"AMM")</f>
        <v>AMM</v>
      </c>
      <c r="H566" s="40" t="str">
        <f ca="1">IFERROR(__xludf.DUMMYFUNCTION("""COMPUTED_VALUE"""),"AMM10")</f>
        <v>AMM10</v>
      </c>
      <c r="I566" s="40" t="str">
        <f ca="1">IFERROR(__xludf.DUMMYFUNCTION("""COMPUTED_VALUE"""),"A")</f>
        <v>A</v>
      </c>
      <c r="J566" s="40" t="str">
        <f ca="1">IFERROR(__xludf.DUMMYFUNCTION("""COMPUTED_VALUE"""),"Juan Carlos Ruiz Galarreta")</f>
        <v>Juan Carlos Ruiz Galarreta</v>
      </c>
      <c r="K566" s="40"/>
      <c r="L566" s="40" t="str">
        <f t="shared" ca="1" si="4"/>
        <v>AMM10</v>
      </c>
      <c r="M566" s="36" t="str">
        <f t="shared" ca="1" si="5"/>
        <v>AMM</v>
      </c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</row>
    <row r="567" spans="1:27">
      <c r="A567" s="40"/>
      <c r="B567" s="36"/>
      <c r="C567" s="40"/>
      <c r="D567" s="41"/>
      <c r="E567" s="40"/>
      <c r="F567" s="40" t="str">
        <f ca="1">IFERROR(__xludf.DUMMYFUNCTION("""COMPUTED_VALUE"""),"Iván Sánchez")</f>
        <v>Iván Sánchez</v>
      </c>
      <c r="G567" s="40" t="str">
        <f ca="1">IFERROR(__xludf.DUMMYFUNCTION("""COMPUTED_VALUE"""),"ISL")</f>
        <v>ISL</v>
      </c>
      <c r="H567" s="40" t="str">
        <f ca="1">IFERROR(__xludf.DUMMYFUNCTION("""COMPUTED_VALUE"""),"ISL57")</f>
        <v>ISL57</v>
      </c>
      <c r="I567" s="40" t="str">
        <f ca="1">IFERROR(__xludf.DUMMYFUNCTION("""COMPUTED_VALUE"""),"B")</f>
        <v>B</v>
      </c>
      <c r="J567" s="40" t="str">
        <f ca="1">IFERROR(__xludf.DUMMYFUNCTION("""COMPUTED_VALUE"""),"Juan David Lara Lozano")</f>
        <v>Juan David Lara Lozano</v>
      </c>
      <c r="K567" s="40"/>
      <c r="L567" s="40" t="str">
        <f t="shared" ca="1" si="4"/>
        <v>ISL57</v>
      </c>
      <c r="M567" s="36" t="str">
        <f t="shared" ca="1" si="5"/>
        <v>ISL</v>
      </c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</row>
    <row r="568" spans="1:27">
      <c r="A568" s="40"/>
      <c r="B568" s="36"/>
      <c r="C568" s="40"/>
      <c r="D568" s="41"/>
      <c r="E568" s="40"/>
      <c r="F568" s="40" t="str">
        <f ca="1">IFERROR(__xludf.DUMMYFUNCTION("""COMPUTED_VALUE"""),"Maika Blázquez")</f>
        <v>Maika Blázquez</v>
      </c>
      <c r="G568" s="40" t="str">
        <f ca="1">IFERROR(__xludf.DUMMYFUNCTION("""COMPUTED_VALUE"""),"MBM")</f>
        <v>MBM</v>
      </c>
      <c r="H568" s="40" t="str">
        <f ca="1">IFERROR(__xludf.DUMMYFUNCTION("""COMPUTED_VALUE"""),"MBM57")</f>
        <v>MBM57</v>
      </c>
      <c r="I568" s="40" t="str">
        <f ca="1">IFERROR(__xludf.DUMMYFUNCTION("""COMPUTED_VALUE"""),"A")</f>
        <v>A</v>
      </c>
      <c r="J568" s="40" t="str">
        <f ca="1">IFERROR(__xludf.DUMMYFUNCTION("""COMPUTED_VALUE"""),"Juan de Dios De La Calzada")</f>
        <v>Juan de Dios De La Calzada</v>
      </c>
      <c r="K568" s="40"/>
      <c r="L568" s="40" t="str">
        <f t="shared" ca="1" si="4"/>
        <v>MBM57</v>
      </c>
      <c r="M568" s="36" t="str">
        <f t="shared" ca="1" si="5"/>
        <v>MBM</v>
      </c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</row>
    <row r="569" spans="1:27">
      <c r="A569" s="40"/>
      <c r="B569" s="36"/>
      <c r="C569" s="40"/>
      <c r="D569" s="41"/>
      <c r="E569" s="23"/>
      <c r="F569" s="40" t="str">
        <f ca="1">IFERROR(__xludf.DUMMYFUNCTION("""COMPUTED_VALUE"""),"Mercè Cabrera")</f>
        <v>Mercè Cabrera</v>
      </c>
      <c r="G569" s="40" t="str">
        <f ca="1">IFERROR(__xludf.DUMMYFUNCTION("""COMPUTED_VALUE"""),"MCC")</f>
        <v>MCC</v>
      </c>
      <c r="H569" s="40" t="str">
        <f ca="1">IFERROR(__xludf.DUMMYFUNCTION("""COMPUTED_VALUE"""),"MCC24")</f>
        <v>MCC24</v>
      </c>
      <c r="I569" s="40" t="str">
        <f ca="1">IFERROR(__xludf.DUMMYFUNCTION("""COMPUTED_VALUE"""),"A")</f>
        <v>A</v>
      </c>
      <c r="J569" s="40" t="str">
        <f ca="1">IFERROR(__xludf.DUMMYFUNCTION("""COMPUTED_VALUE"""),"Juan Fernando Fuentes Cabrera")</f>
        <v>Juan Fernando Fuentes Cabrera</v>
      </c>
      <c r="K569" s="40"/>
      <c r="L569" s="40" t="str">
        <f t="shared" ca="1" si="4"/>
        <v>MCC24</v>
      </c>
      <c r="M569" s="36" t="str">
        <f t="shared" ca="1" si="5"/>
        <v>MCC</v>
      </c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</row>
    <row r="570" spans="1:27">
      <c r="A570" s="40"/>
      <c r="B570" s="36"/>
      <c r="C570" s="40"/>
      <c r="D570" s="41"/>
      <c r="E570" s="40"/>
      <c r="F570" s="40" t="str">
        <f ca="1">IFERROR(__xludf.DUMMYFUNCTION("""COMPUTED_VALUE"""),"Mercè Cabrera")</f>
        <v>Mercè Cabrera</v>
      </c>
      <c r="G570" s="40" t="str">
        <f ca="1">IFERROR(__xludf.DUMMYFUNCTION("""COMPUTED_VALUE"""),"MCC")</f>
        <v>MCC</v>
      </c>
      <c r="H570" s="40" t="str">
        <f ca="1">IFERROR(__xludf.DUMMYFUNCTION("""COMPUTED_VALUE"""),"MCC25")</f>
        <v>MCC25</v>
      </c>
      <c r="I570" s="40" t="str">
        <f ca="1">IFERROR(__xludf.DUMMYFUNCTION("""COMPUTED_VALUE"""),"A")</f>
        <v>A</v>
      </c>
      <c r="J570" s="40" t="str">
        <f ca="1">IFERROR(__xludf.DUMMYFUNCTION("""COMPUTED_VALUE"""),"Juan Fernando Fuentes Rolao")</f>
        <v>Juan Fernando Fuentes Rolao</v>
      </c>
      <c r="K570" s="40"/>
      <c r="L570" s="40" t="str">
        <f t="shared" ca="1" si="4"/>
        <v>MCC25</v>
      </c>
      <c r="M570" s="36" t="str">
        <f t="shared" ca="1" si="5"/>
        <v>MCC</v>
      </c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</row>
    <row r="571" spans="1:27">
      <c r="A571" s="40"/>
      <c r="B571" s="36"/>
      <c r="C571" s="40"/>
      <c r="D571" s="41"/>
      <c r="E571" s="40"/>
      <c r="F571" s="40" t="str">
        <f ca="1">IFERROR(__xludf.DUMMYFUNCTION("""COMPUTED_VALUE"""),"Maika Blázquez")</f>
        <v>Maika Blázquez</v>
      </c>
      <c r="G571" s="40" t="str">
        <f ca="1">IFERROR(__xludf.DUMMYFUNCTION("""COMPUTED_VALUE"""),"MBM")</f>
        <v>MBM</v>
      </c>
      <c r="H571" s="40" t="str">
        <f ca="1">IFERROR(__xludf.DUMMYFUNCTION("""COMPUTED_VALUE"""),"MBM58")</f>
        <v>MBM58</v>
      </c>
      <c r="I571" s="40" t="str">
        <f ca="1">IFERROR(__xludf.DUMMYFUNCTION("""COMPUTED_VALUE"""),"A")</f>
        <v>A</v>
      </c>
      <c r="J571" s="40" t="str">
        <f ca="1">IFERROR(__xludf.DUMMYFUNCTION("""COMPUTED_VALUE"""),"Juan Gómez Ullate")</f>
        <v>Juan Gómez Ullate</v>
      </c>
      <c r="K571" s="40"/>
      <c r="L571" s="40" t="str">
        <f t="shared" ca="1" si="4"/>
        <v>MBM58</v>
      </c>
      <c r="M571" s="36" t="str">
        <f t="shared" ca="1" si="5"/>
        <v>MBM</v>
      </c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</row>
    <row r="572" spans="1:27">
      <c r="A572" s="40"/>
      <c r="B572" s="36"/>
      <c r="C572" s="40"/>
      <c r="D572" s="41"/>
      <c r="E572" s="40"/>
      <c r="F572" s="40" t="str">
        <f ca="1">IFERROR(__xludf.DUMMYFUNCTION("""COMPUTED_VALUE"""),"Maika Blázquez")</f>
        <v>Maika Blázquez</v>
      </c>
      <c r="G572" s="40" t="str">
        <f ca="1">IFERROR(__xludf.DUMMYFUNCTION("""COMPUTED_VALUE"""),"MBM")</f>
        <v>MBM</v>
      </c>
      <c r="H572" s="40" t="str">
        <f ca="1">IFERROR(__xludf.DUMMYFUNCTION("""COMPUTED_VALUE"""),"MBM60")</f>
        <v>MBM60</v>
      </c>
      <c r="I572" s="40" t="str">
        <f ca="1">IFERROR(__xludf.DUMMYFUNCTION("""COMPUTED_VALUE"""),"A")</f>
        <v>A</v>
      </c>
      <c r="J572" s="40" t="str">
        <f ca="1">IFERROR(__xludf.DUMMYFUNCTION("""COMPUTED_VALUE"""),"juan Ignacio Riestra Ayora")</f>
        <v>juan Ignacio Riestra Ayora</v>
      </c>
      <c r="K572" s="40"/>
      <c r="L572" s="40" t="str">
        <f t="shared" ca="1" si="4"/>
        <v>MBM60</v>
      </c>
      <c r="M572" s="36" t="str">
        <f t="shared" ca="1" si="5"/>
        <v>MBM</v>
      </c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</row>
    <row r="573" spans="1:27">
      <c r="A573" s="40"/>
      <c r="B573" s="36"/>
      <c r="C573" s="40"/>
      <c r="D573" s="41"/>
      <c r="E573" s="40"/>
      <c r="F573" s="40" t="str">
        <f ca="1">IFERROR(__xludf.DUMMYFUNCTION("""COMPUTED_VALUE"""),"Iván Sánchez")</f>
        <v>Iván Sánchez</v>
      </c>
      <c r="G573" s="40" t="str">
        <f ca="1">IFERROR(__xludf.DUMMYFUNCTION("""COMPUTED_VALUE"""),"ISL")</f>
        <v>ISL</v>
      </c>
      <c r="H573" s="40" t="str">
        <f ca="1">IFERROR(__xludf.DUMMYFUNCTION("""COMPUTED_VALUE"""),"ISL58")</f>
        <v>ISL58</v>
      </c>
      <c r="I573" s="40" t="str">
        <f ca="1">IFERROR(__xludf.DUMMYFUNCTION("""COMPUTED_VALUE"""),"B")</f>
        <v>B</v>
      </c>
      <c r="J573" s="40" t="str">
        <f ca="1">IFERROR(__xludf.DUMMYFUNCTION("""COMPUTED_VALUE"""),"Juan Javier Álvarez López")</f>
        <v>Juan Javier Álvarez López</v>
      </c>
      <c r="K573" s="40"/>
      <c r="L573" s="40" t="str">
        <f t="shared" ca="1" si="4"/>
        <v>ISL58</v>
      </c>
      <c r="M573" s="36" t="str">
        <f t="shared" ca="1" si="5"/>
        <v>ISL</v>
      </c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</row>
    <row r="574" spans="1:27">
      <c r="A574" s="40"/>
      <c r="B574" s="36"/>
      <c r="C574" s="40"/>
      <c r="D574" s="38"/>
      <c r="E574" s="40"/>
      <c r="F574" s="40" t="str">
        <f ca="1">IFERROR(__xludf.DUMMYFUNCTION("""COMPUTED_VALUE"""),"Maika Blázquez")</f>
        <v>Maika Blázquez</v>
      </c>
      <c r="G574" s="40" t="str">
        <f ca="1">IFERROR(__xludf.DUMMYFUNCTION("""COMPUTED_VALUE"""),"MBM")</f>
        <v>MBM</v>
      </c>
      <c r="H574" s="40" t="str">
        <f ca="1">IFERROR(__xludf.DUMMYFUNCTION("""COMPUTED_VALUE"""),"MBM59")</f>
        <v>MBM59</v>
      </c>
      <c r="I574" s="40" t="str">
        <f ca="1">IFERROR(__xludf.DUMMYFUNCTION("""COMPUTED_VALUE"""),"A")</f>
        <v>A</v>
      </c>
      <c r="J574" s="40" t="str">
        <f ca="1">IFERROR(__xludf.DUMMYFUNCTION("""COMPUTED_VALUE"""),"Juan José Campo Biosca")</f>
        <v>Juan José Campo Biosca</v>
      </c>
      <c r="K574" s="40"/>
      <c r="L574" s="40" t="str">
        <f t="shared" ca="1" si="4"/>
        <v>MBM59</v>
      </c>
      <c r="M574" s="36" t="str">
        <f t="shared" ca="1" si="5"/>
        <v>MBM</v>
      </c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</row>
    <row r="575" spans="1:27">
      <c r="A575" s="40"/>
      <c r="B575" s="36"/>
      <c r="C575" s="40"/>
      <c r="D575" s="41"/>
      <c r="E575" s="40"/>
      <c r="F575" s="40" t="str">
        <f ca="1">IFERROR(__xludf.DUMMYFUNCTION("""COMPUTED_VALUE"""),"Mercè Cabrera")</f>
        <v>Mercè Cabrera</v>
      </c>
      <c r="G575" s="40" t="str">
        <f ca="1">IFERROR(__xludf.DUMMYFUNCTION("""COMPUTED_VALUE"""),"MCC")</f>
        <v>MCC</v>
      </c>
      <c r="H575" s="40" t="str">
        <f ca="1">IFERROR(__xludf.DUMMYFUNCTION("""COMPUTED_VALUE"""),"MCC26")</f>
        <v>MCC26</v>
      </c>
      <c r="I575" s="40" t="str">
        <f ca="1">IFERROR(__xludf.DUMMYFUNCTION("""COMPUTED_VALUE"""),"A")</f>
        <v>A</v>
      </c>
      <c r="J575" s="40" t="str">
        <f ca="1">IFERROR(__xludf.DUMMYFUNCTION("""COMPUTED_VALUE"""),"Juan José Sanz González")</f>
        <v>Juan José Sanz González</v>
      </c>
      <c r="K575" s="40"/>
      <c r="L575" s="40" t="str">
        <f t="shared" ca="1" si="4"/>
        <v>MCC26</v>
      </c>
      <c r="M575" s="36" t="str">
        <f t="shared" ca="1" si="5"/>
        <v>MCC</v>
      </c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</row>
    <row r="576" spans="1:27">
      <c r="A576" s="40"/>
      <c r="B576" s="36"/>
      <c r="C576" s="40"/>
      <c r="D576" s="41"/>
      <c r="E576" s="40"/>
      <c r="F576" s="40" t="str">
        <f ca="1">IFERROR(__xludf.DUMMYFUNCTION("""COMPUTED_VALUE"""),"Patricia Solache")</f>
        <v>Patricia Solache</v>
      </c>
      <c r="G576" s="40" t="str">
        <f ca="1">IFERROR(__xludf.DUMMYFUNCTION("""COMPUTED_VALUE"""),"PSC")</f>
        <v>PSC</v>
      </c>
      <c r="H576" s="40" t="str">
        <f ca="1">IFERROR(__xludf.DUMMYFUNCTION("""COMPUTED_VALUE"""),"PSC18")</f>
        <v>PSC18</v>
      </c>
      <c r="I576" s="40" t="str">
        <f ca="1">IFERROR(__xludf.DUMMYFUNCTION("""COMPUTED_VALUE"""),"A")</f>
        <v>A</v>
      </c>
      <c r="J576" s="40" t="str">
        <f ca="1">IFERROR(__xludf.DUMMYFUNCTION("""COMPUTED_VALUE"""),"Juan Jose Tavarez Rodríguez")</f>
        <v>Juan Jose Tavarez Rodríguez</v>
      </c>
      <c r="K576" s="40"/>
      <c r="L576" s="40" t="str">
        <f t="shared" ca="1" si="4"/>
        <v>PSC18</v>
      </c>
      <c r="M576" s="36" t="str">
        <f t="shared" ca="1" si="5"/>
        <v>PSC</v>
      </c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</row>
    <row r="577" spans="1:27">
      <c r="A577" s="40"/>
      <c r="B577" s="36"/>
      <c r="C577" s="40"/>
      <c r="D577" s="41"/>
      <c r="E577" s="40"/>
      <c r="F577" s="40" t="str">
        <f ca="1">IFERROR(__xludf.DUMMYFUNCTION("""COMPUTED_VALUE"""),"Patricia Solache")</f>
        <v>Patricia Solache</v>
      </c>
      <c r="G577" s="40" t="str">
        <f ca="1">IFERROR(__xludf.DUMMYFUNCTION("""COMPUTED_VALUE"""),"PSC")</f>
        <v>PSC</v>
      </c>
      <c r="H577" s="40" t="str">
        <f ca="1">IFERROR(__xludf.DUMMYFUNCTION("""COMPUTED_VALUE"""),"PSC60")</f>
        <v>PSC60</v>
      </c>
      <c r="I577" s="40" t="str">
        <f ca="1">IFERROR(__xludf.DUMMYFUNCTION("""COMPUTED_VALUE"""),"A")</f>
        <v>A</v>
      </c>
      <c r="J577" s="40" t="str">
        <f ca="1">IFERROR(__xludf.DUMMYFUNCTION("""COMPUTED_VALUE"""),"Juan José Tavarez Rodríguez")</f>
        <v>Juan José Tavarez Rodríguez</v>
      </c>
      <c r="K577" s="40"/>
      <c r="L577" s="40" t="str">
        <f t="shared" ca="1" si="4"/>
        <v>PSC60</v>
      </c>
      <c r="M577" s="36" t="str">
        <f t="shared" ca="1" si="5"/>
        <v>PSC</v>
      </c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</row>
    <row r="578" spans="1:27">
      <c r="A578" s="40"/>
      <c r="B578" s="36"/>
      <c r="C578" s="40"/>
      <c r="D578" s="41"/>
      <c r="E578" s="40"/>
      <c r="F578" s="40" t="str">
        <f ca="1">IFERROR(__xludf.DUMMYFUNCTION("""COMPUTED_VALUE"""),"Roberto Pereira")</f>
        <v>Roberto Pereira</v>
      </c>
      <c r="G578" s="40" t="str">
        <f ca="1">IFERROR(__xludf.DUMMYFUNCTION("""COMPUTED_VALUE"""),"RPG")</f>
        <v>RPG</v>
      </c>
      <c r="H578" s="40" t="str">
        <f ca="1">IFERROR(__xludf.DUMMYFUNCTION("""COMPUTED_VALUE"""),"RPG24")</f>
        <v>RPG24</v>
      </c>
      <c r="I578" s="40" t="str">
        <f ca="1">IFERROR(__xludf.DUMMYFUNCTION("""COMPUTED_VALUE"""),"A")</f>
        <v>A</v>
      </c>
      <c r="J578" s="40" t="str">
        <f ca="1">IFERROR(__xludf.DUMMYFUNCTION("""COMPUTED_VALUE"""),"Juan Latorre López")</f>
        <v>Juan Latorre López</v>
      </c>
      <c r="K578" s="40"/>
      <c r="L578" s="40" t="str">
        <f t="shared" ca="1" si="4"/>
        <v>RPG24</v>
      </c>
      <c r="M578" s="36" t="str">
        <f t="shared" ca="1" si="5"/>
        <v>RPG</v>
      </c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</row>
    <row r="579" spans="1:27">
      <c r="A579" s="40"/>
      <c r="B579" s="36"/>
      <c r="C579" s="40"/>
      <c r="D579" s="41"/>
      <c r="E579" s="40"/>
      <c r="F579" s="40" t="str">
        <f ca="1">IFERROR(__xludf.DUMMYFUNCTION("""COMPUTED_VALUE"""),"Patricia Solache")</f>
        <v>Patricia Solache</v>
      </c>
      <c r="G579" s="40" t="str">
        <f ca="1">IFERROR(__xludf.DUMMYFUNCTION("""COMPUTED_VALUE"""),"PSC")</f>
        <v>PSC</v>
      </c>
      <c r="H579" s="40" t="str">
        <f ca="1">IFERROR(__xludf.DUMMYFUNCTION("""COMPUTED_VALUE"""),"PSC19")</f>
        <v>PSC19</v>
      </c>
      <c r="I579" s="40" t="str">
        <f ca="1">IFERROR(__xludf.DUMMYFUNCTION("""COMPUTED_VALUE"""),"A")</f>
        <v>A</v>
      </c>
      <c r="J579" s="40" t="str">
        <f ca="1">IFERROR(__xludf.DUMMYFUNCTION("""COMPUTED_VALUE"""),"Juan Losada Campa")</f>
        <v>Juan Losada Campa</v>
      </c>
      <c r="K579" s="40"/>
      <c r="L579" s="40" t="str">
        <f t="shared" ca="1" si="4"/>
        <v>PSC19</v>
      </c>
      <c r="M579" s="36" t="str">
        <f t="shared" ca="1" si="5"/>
        <v>PSC</v>
      </c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</row>
    <row r="580" spans="1:27">
      <c r="A580" s="40"/>
      <c r="B580" s="36"/>
      <c r="C580" s="40"/>
      <c r="D580" s="41"/>
      <c r="E580" s="40"/>
      <c r="F580" s="40" t="str">
        <f ca="1">IFERROR(__xludf.DUMMYFUNCTION("""COMPUTED_VALUE"""),"Luis Alberto Rodríguez")</f>
        <v>Luis Alberto Rodríguez</v>
      </c>
      <c r="G580" s="40" t="str">
        <f ca="1">IFERROR(__xludf.DUMMYFUNCTION("""COMPUTED_VALUE"""),"LAA")</f>
        <v>LAA</v>
      </c>
      <c r="H580" s="40" t="str">
        <f ca="1">IFERROR(__xludf.DUMMYFUNCTION("""COMPUTED_VALUE"""),"LAA64")</f>
        <v>LAA64</v>
      </c>
      <c r="I580" s="40" t="str">
        <f ca="1">IFERROR(__xludf.DUMMYFUNCTION("""COMPUTED_VALUE"""),"C")</f>
        <v>C</v>
      </c>
      <c r="J580" s="40" t="str">
        <f ca="1">IFERROR(__xludf.DUMMYFUNCTION("""COMPUTED_VALUE"""),"Juan Manuel Maza Solano")</f>
        <v>Juan Manuel Maza Solano</v>
      </c>
      <c r="K580" s="40"/>
      <c r="L580" s="40" t="str">
        <f t="shared" ca="1" si="4"/>
        <v>LAA64</v>
      </c>
      <c r="M580" s="36" t="str">
        <f t="shared" ca="1" si="5"/>
        <v>LAA</v>
      </c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</row>
    <row r="581" spans="1:27">
      <c r="A581" s="23"/>
      <c r="B581" s="36"/>
      <c r="C581" s="40"/>
      <c r="D581" s="38"/>
      <c r="E581" s="23"/>
      <c r="F581" s="40" t="str">
        <f ca="1">IFERROR(__xludf.DUMMYFUNCTION("""COMPUTED_VALUE"""),"Luis Alberto Rodríguez")</f>
        <v>Luis Alberto Rodríguez</v>
      </c>
      <c r="G581" s="40" t="str">
        <f ca="1">IFERROR(__xludf.DUMMYFUNCTION("""COMPUTED_VALUE"""),"LAA")</f>
        <v>LAA</v>
      </c>
      <c r="H581" s="40" t="str">
        <f ca="1">IFERROR(__xludf.DUMMYFUNCTION("""COMPUTED_VALUE"""),"LAA65")</f>
        <v>LAA65</v>
      </c>
      <c r="I581" s="40" t="str">
        <f ca="1">IFERROR(__xludf.DUMMYFUNCTION("""COMPUTED_VALUE"""),"C")</f>
        <v>C</v>
      </c>
      <c r="J581" s="40" t="str">
        <f ca="1">IFERROR(__xludf.DUMMYFUNCTION("""COMPUTED_VALUE"""),"Juan Maza Solano")</f>
        <v>Juan Maza Solano</v>
      </c>
      <c r="K581" s="40"/>
      <c r="L581" s="40" t="str">
        <f t="shared" ca="1" si="4"/>
        <v>LAA65</v>
      </c>
      <c r="M581" s="36" t="str">
        <f t="shared" ca="1" si="5"/>
        <v>LAA</v>
      </c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</row>
    <row r="582" spans="1:27">
      <c r="A582" s="40"/>
      <c r="B582" s="36"/>
      <c r="C582" s="40"/>
      <c r="D582" s="41"/>
      <c r="E582" s="40"/>
      <c r="F582" s="40" t="str">
        <f ca="1">IFERROR(__xludf.DUMMYFUNCTION("""COMPUTED_VALUE"""),"Luis Alberto Rodríguez")</f>
        <v>Luis Alberto Rodríguez</v>
      </c>
      <c r="G582" s="40" t="str">
        <f ca="1">IFERROR(__xludf.DUMMYFUNCTION("""COMPUTED_VALUE"""),"LAA")</f>
        <v>LAA</v>
      </c>
      <c r="H582" s="40" t="str">
        <f ca="1">IFERROR(__xludf.DUMMYFUNCTION("""COMPUTED_VALUE"""),"LAA29")</f>
        <v>LAA29</v>
      </c>
      <c r="I582" s="40" t="str">
        <f ca="1">IFERROR(__xludf.DUMMYFUNCTION("""COMPUTED_VALUE"""),"C")</f>
        <v>C</v>
      </c>
      <c r="J582" s="40" t="str">
        <f ca="1">IFERROR(__xludf.DUMMYFUNCTION("""COMPUTED_VALUE"""),"Juan Miguel jiménez Morales")</f>
        <v>Juan Miguel jiménez Morales</v>
      </c>
      <c r="K582" s="40"/>
      <c r="L582" s="40" t="str">
        <f t="shared" ca="1" si="4"/>
        <v>LAA29</v>
      </c>
      <c r="M582" s="36" t="str">
        <f t="shared" ca="1" si="5"/>
        <v>LAA</v>
      </c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</row>
    <row r="583" spans="1:27">
      <c r="A583" s="40"/>
      <c r="B583" s="36"/>
      <c r="C583" s="40"/>
      <c r="D583" s="41"/>
      <c r="E583" s="40"/>
      <c r="F583" s="40" t="str">
        <f ca="1">IFERROR(__xludf.DUMMYFUNCTION("""COMPUTED_VALUE"""),"Iván Sánchez")</f>
        <v>Iván Sánchez</v>
      </c>
      <c r="G583" s="40" t="str">
        <f ca="1">IFERROR(__xludf.DUMMYFUNCTION("""COMPUTED_VALUE"""),"ISL")</f>
        <v>ISL</v>
      </c>
      <c r="H583" s="40" t="str">
        <f ca="1">IFERROR(__xludf.DUMMYFUNCTION("""COMPUTED_VALUE"""),"ISL59")</f>
        <v>ISL59</v>
      </c>
      <c r="I583" s="40" t="str">
        <f ca="1">IFERROR(__xludf.DUMMYFUNCTION("""COMPUTED_VALUE"""),"B")</f>
        <v>B</v>
      </c>
      <c r="J583" s="40" t="str">
        <f ca="1">IFERROR(__xludf.DUMMYFUNCTION("""COMPUTED_VALUE"""),"Juan Pablo Pelegrín Hernández")</f>
        <v>Juan Pablo Pelegrín Hernández</v>
      </c>
      <c r="K583" s="40"/>
      <c r="L583" s="40" t="str">
        <f t="shared" ca="1" si="4"/>
        <v>ISL59</v>
      </c>
      <c r="M583" s="36" t="str">
        <f t="shared" ca="1" si="5"/>
        <v>ISL</v>
      </c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</row>
    <row r="584" spans="1:27">
      <c r="A584" s="40"/>
      <c r="B584" s="36"/>
      <c r="C584" s="40"/>
      <c r="D584" s="41"/>
      <c r="E584" s="40"/>
      <c r="F584" s="40" t="str">
        <f ca="1">IFERROR(__xludf.DUMMYFUNCTION("""COMPUTED_VALUE"""),"Patricia Solache")</f>
        <v>Patricia Solache</v>
      </c>
      <c r="G584" s="40" t="str">
        <f ca="1">IFERROR(__xludf.DUMMYFUNCTION("""COMPUTED_VALUE"""),"PSC")</f>
        <v>PSC</v>
      </c>
      <c r="H584" s="40" t="str">
        <f ca="1">IFERROR(__xludf.DUMMYFUNCTION("""COMPUTED_VALUE"""),"PSC20")</f>
        <v>PSC20</v>
      </c>
      <c r="I584" s="40" t="str">
        <f ca="1">IFERROR(__xludf.DUMMYFUNCTION("""COMPUTED_VALUE"""),"A")</f>
        <v>A</v>
      </c>
      <c r="J584" s="40" t="str">
        <f ca="1">IFERROR(__xludf.DUMMYFUNCTION("""COMPUTED_VALUE"""),"Juan Pablo Rodrigo Tapia")</f>
        <v>Juan Pablo Rodrigo Tapia</v>
      </c>
      <c r="K584" s="40"/>
      <c r="L584" s="40" t="str">
        <f t="shared" ca="1" si="4"/>
        <v>PSC20</v>
      </c>
      <c r="M584" s="36" t="str">
        <f t="shared" ca="1" si="5"/>
        <v>PSC</v>
      </c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</row>
    <row r="585" spans="1:27">
      <c r="A585" s="40"/>
      <c r="B585" s="36"/>
      <c r="C585" s="40"/>
      <c r="D585" s="41"/>
      <c r="E585" s="40"/>
      <c r="F585" s="40" t="str">
        <f ca="1">IFERROR(__xludf.DUMMYFUNCTION("""COMPUTED_VALUE"""),"Luis Alberto Rodríguez")</f>
        <v>Luis Alberto Rodríguez</v>
      </c>
      <c r="G585" s="40" t="str">
        <f ca="1">IFERROR(__xludf.DUMMYFUNCTION("""COMPUTED_VALUE"""),"LAA")</f>
        <v>LAA</v>
      </c>
      <c r="H585" s="40" t="str">
        <f ca="1">IFERROR(__xludf.DUMMYFUNCTION("""COMPUTED_VALUE"""),"LAA30")</f>
        <v>LAA30</v>
      </c>
      <c r="I585" s="40" t="str">
        <f ca="1">IFERROR(__xludf.DUMMYFUNCTION("""COMPUTED_VALUE"""),"C")</f>
        <v>C</v>
      </c>
      <c r="J585" s="40" t="str">
        <f ca="1">IFERROR(__xludf.DUMMYFUNCTION("""COMPUTED_VALUE"""),"Juan Pedro Benaixa")</f>
        <v>Juan Pedro Benaixa</v>
      </c>
      <c r="K585" s="40"/>
      <c r="L585" s="40" t="str">
        <f t="shared" ca="1" si="4"/>
        <v>LAA30</v>
      </c>
      <c r="M585" s="36" t="str">
        <f t="shared" ca="1" si="5"/>
        <v>LAA</v>
      </c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</row>
    <row r="586" spans="1:27">
      <c r="A586" s="40"/>
      <c r="B586" s="36"/>
      <c r="C586" s="40"/>
      <c r="D586" s="41"/>
      <c r="E586" s="40"/>
      <c r="F586" s="40" t="str">
        <f ca="1">IFERROR(__xludf.DUMMYFUNCTION("""COMPUTED_VALUE"""),"Roberto Pereira")</f>
        <v>Roberto Pereira</v>
      </c>
      <c r="G586" s="40" t="str">
        <f ca="1">IFERROR(__xludf.DUMMYFUNCTION("""COMPUTED_VALUE"""),"RPG")</f>
        <v>RPG</v>
      </c>
      <c r="H586" s="40" t="str">
        <f ca="1">IFERROR(__xludf.DUMMYFUNCTION("""COMPUTED_VALUE"""),"RPG25")</f>
        <v>RPG25</v>
      </c>
      <c r="I586" s="40" t="str">
        <f ca="1">IFERROR(__xludf.DUMMYFUNCTION("""COMPUTED_VALUE"""),"A")</f>
        <v>A</v>
      </c>
      <c r="J586" s="40" t="str">
        <f ca="1">IFERROR(__xludf.DUMMYFUNCTION("""COMPUTED_VALUE"""),"Juan Pedro Rubio Rodríguez")</f>
        <v>Juan Pedro Rubio Rodríguez</v>
      </c>
      <c r="K586" s="40"/>
      <c r="L586" s="40" t="str">
        <f t="shared" ca="1" si="4"/>
        <v>RPG25</v>
      </c>
      <c r="M586" s="36" t="str">
        <f t="shared" ca="1" si="5"/>
        <v>RPG</v>
      </c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</row>
    <row r="587" spans="1:27">
      <c r="A587" s="40"/>
      <c r="B587" s="36"/>
      <c r="C587" s="40"/>
      <c r="D587" s="41"/>
      <c r="E587" s="23"/>
      <c r="F587" s="40" t="str">
        <f ca="1">IFERROR(__xludf.DUMMYFUNCTION("""COMPUTED_VALUE"""),"Iván Sánchez")</f>
        <v>Iván Sánchez</v>
      </c>
      <c r="G587" s="40" t="str">
        <f ca="1">IFERROR(__xludf.DUMMYFUNCTION("""COMPUTED_VALUE"""),"ISL")</f>
        <v>ISL</v>
      </c>
      <c r="H587" s="40" t="str">
        <f ca="1">IFERROR(__xludf.DUMMYFUNCTION("""COMPUTED_VALUE"""),"ISL60")</f>
        <v>ISL60</v>
      </c>
      <c r="I587" s="40" t="str">
        <f ca="1">IFERROR(__xludf.DUMMYFUNCTION("""COMPUTED_VALUE"""),"B")</f>
        <v>B</v>
      </c>
      <c r="J587" s="40" t="str">
        <f ca="1">IFERROR(__xludf.DUMMYFUNCTION("""COMPUTED_VALUE"""),"Juan Ramón Paredes Osado")</f>
        <v>Juan Ramón Paredes Osado</v>
      </c>
      <c r="K587" s="40"/>
      <c r="L587" s="40" t="str">
        <f t="shared" ca="1" si="4"/>
        <v>ISL60</v>
      </c>
      <c r="M587" s="36" t="str">
        <f t="shared" ca="1" si="5"/>
        <v>ISL</v>
      </c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</row>
    <row r="588" spans="1:27">
      <c r="A588" s="40"/>
      <c r="B588" s="36"/>
      <c r="C588" s="40"/>
      <c r="D588" s="41"/>
      <c r="E588" s="40"/>
      <c r="F588" s="40" t="str">
        <f ca="1">IFERROR(__xludf.DUMMYFUNCTION("""COMPUTED_VALUE"""),"Lisandro Russian")</f>
        <v>Lisandro Russian</v>
      </c>
      <c r="G588" s="40" t="str">
        <f ca="1">IFERROR(__xludf.DUMMYFUNCTION("""COMPUTED_VALUE"""),"LRM")</f>
        <v>LRM</v>
      </c>
      <c r="H588" s="40" t="str">
        <f ca="1">IFERROR(__xludf.DUMMYFUNCTION("""COMPUTED_VALUE"""),"LRM272")</f>
        <v>LRM272</v>
      </c>
      <c r="I588" s="40" t="str">
        <f ca="1">IFERROR(__xludf.DUMMYFUNCTION("""COMPUTED_VALUE"""),"C")</f>
        <v>C</v>
      </c>
      <c r="J588" s="40" t="str">
        <f ca="1">IFERROR(__xludf.DUMMYFUNCTION("""COMPUTED_VALUE"""),"Juan Riestra Ayora")</f>
        <v>Juan Riestra Ayora</v>
      </c>
      <c r="K588" s="40"/>
      <c r="L588" s="40" t="str">
        <f t="shared" ca="1" si="4"/>
        <v>LRM272</v>
      </c>
      <c r="M588" s="36" t="str">
        <f t="shared" ca="1" si="5"/>
        <v>LRM</v>
      </c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</row>
    <row r="589" spans="1:27">
      <c r="A589" s="40"/>
      <c r="B589" s="36"/>
      <c r="C589" s="40"/>
      <c r="D589" s="41"/>
      <c r="E589" s="40"/>
      <c r="F589" s="40" t="str">
        <f ca="1">IFERROR(__xludf.DUMMYFUNCTION("""COMPUTED_VALUE"""),"Lisandro Russian")</f>
        <v>Lisandro Russian</v>
      </c>
      <c r="G589" s="40" t="str">
        <f ca="1">IFERROR(__xludf.DUMMYFUNCTION("""COMPUTED_VALUE"""),"LRM")</f>
        <v>LRM</v>
      </c>
      <c r="H589" s="40" t="str">
        <f ca="1">IFERROR(__xludf.DUMMYFUNCTION("""COMPUTED_VALUE"""),"LRM89")</f>
        <v>LRM89</v>
      </c>
      <c r="I589" s="40" t="str">
        <f ca="1">IFERROR(__xludf.DUMMYFUNCTION("""COMPUTED_VALUE"""),"A")</f>
        <v>A</v>
      </c>
      <c r="J589" s="40" t="str">
        <f ca="1">IFERROR(__xludf.DUMMYFUNCTION("""COMPUTED_VALUE"""),"Juan Royo López")</f>
        <v>Juan Royo López</v>
      </c>
      <c r="K589" s="40"/>
      <c r="L589" s="40" t="str">
        <f t="shared" ca="1" si="4"/>
        <v>LRM89</v>
      </c>
      <c r="M589" s="36" t="str">
        <f t="shared" ca="1" si="5"/>
        <v>LRM</v>
      </c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</row>
    <row r="590" spans="1:27">
      <c r="A590" s="40"/>
      <c r="B590" s="36"/>
      <c r="C590" s="40"/>
      <c r="D590" s="41"/>
      <c r="E590" s="40"/>
      <c r="F590" s="40" t="str">
        <f ca="1">IFERROR(__xludf.DUMMYFUNCTION("""COMPUTED_VALUE"""),"Iván Sánchez")</f>
        <v>Iván Sánchez</v>
      </c>
      <c r="G590" s="40" t="str">
        <f ca="1">IFERROR(__xludf.DUMMYFUNCTION("""COMPUTED_VALUE"""),"ISL")</f>
        <v>ISL</v>
      </c>
      <c r="H590" s="40" t="str">
        <f ca="1">IFERROR(__xludf.DUMMYFUNCTION("""COMPUTED_VALUE"""),"ISL61")</f>
        <v>ISL61</v>
      </c>
      <c r="I590" s="40" t="str">
        <f ca="1">IFERROR(__xludf.DUMMYFUNCTION("""COMPUTED_VALUE"""),"B")</f>
        <v>B</v>
      </c>
      <c r="J590" s="40" t="str">
        <f ca="1">IFERROR(__xludf.DUMMYFUNCTION("""COMPUTED_VALUE"""),"Juan Vera Luna")</f>
        <v>Juan Vera Luna</v>
      </c>
      <c r="K590" s="40"/>
      <c r="L590" s="40" t="str">
        <f t="shared" ca="1" si="4"/>
        <v>ISL61</v>
      </c>
      <c r="M590" s="36" t="str">
        <f t="shared" ca="1" si="5"/>
        <v>ISL</v>
      </c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</row>
    <row r="591" spans="1:27">
      <c r="A591" s="40"/>
      <c r="B591" s="36"/>
      <c r="C591" s="40"/>
      <c r="D591" s="41"/>
      <c r="E591" s="23"/>
      <c r="F591" s="40" t="str">
        <f ca="1">IFERROR(__xludf.DUMMYFUNCTION("""COMPUTED_VALUE"""),"Maika Blázquez")</f>
        <v>Maika Blázquez</v>
      </c>
      <c r="G591" s="40" t="str">
        <f ca="1">IFERROR(__xludf.DUMMYFUNCTION("""COMPUTED_VALUE"""),"MBM")</f>
        <v>MBM</v>
      </c>
      <c r="H591" s="40" t="str">
        <f ca="1">IFERROR(__xludf.DUMMYFUNCTION("""COMPUTED_VALUE"""),"MBM126")</f>
        <v>MBM126</v>
      </c>
      <c r="I591" s="40" t="str">
        <f ca="1">IFERROR(__xludf.DUMMYFUNCTION("""COMPUTED_VALUE"""),"A")</f>
        <v>A</v>
      </c>
      <c r="J591" s="40" t="str">
        <f ca="1">IFERROR(__xludf.DUMMYFUNCTION("""COMPUTED_VALUE"""),"Julia Arteaga Puente")</f>
        <v>Julia Arteaga Puente</v>
      </c>
      <c r="K591" s="40"/>
      <c r="L591" s="40" t="str">
        <f t="shared" ca="1" si="4"/>
        <v>MBM126</v>
      </c>
      <c r="M591" s="36" t="str">
        <f t="shared" ca="1" si="5"/>
        <v>MBM</v>
      </c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</row>
    <row r="592" spans="1:27">
      <c r="A592" s="40"/>
      <c r="B592" s="36"/>
      <c r="C592" s="40"/>
      <c r="D592" s="41"/>
      <c r="E592" s="40"/>
      <c r="F592" s="40" t="str">
        <f ca="1">IFERROR(__xludf.DUMMYFUNCTION("""COMPUTED_VALUE"""),"Maika Blázquez")</f>
        <v>Maika Blázquez</v>
      </c>
      <c r="G592" s="40" t="str">
        <f ca="1">IFERROR(__xludf.DUMMYFUNCTION("""COMPUTED_VALUE"""),"MBM")</f>
        <v>MBM</v>
      </c>
      <c r="H592" s="40" t="str">
        <f ca="1">IFERROR(__xludf.DUMMYFUNCTION("""COMPUTED_VALUE"""),"MBM127")</f>
        <v>MBM127</v>
      </c>
      <c r="I592" s="40" t="str">
        <f ca="1">IFERROR(__xludf.DUMMYFUNCTION("""COMPUTED_VALUE"""),"A")</f>
        <v>A</v>
      </c>
      <c r="J592" s="40" t="str">
        <f ca="1">IFERROR(__xludf.DUMMYFUNCTION("""COMPUTED_VALUE"""),"Julia María Da Costa Belisario")</f>
        <v>Julia María Da Costa Belisario</v>
      </c>
      <c r="K592" s="40"/>
      <c r="L592" s="40" t="str">
        <f t="shared" ca="1" si="4"/>
        <v>MBM127</v>
      </c>
      <c r="M592" s="36" t="str">
        <f t="shared" ca="1" si="5"/>
        <v>MBM</v>
      </c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</row>
    <row r="593" spans="1:27">
      <c r="A593" s="40"/>
      <c r="B593" s="36"/>
      <c r="C593" s="40"/>
      <c r="D593" s="41"/>
      <c r="E593" s="40"/>
      <c r="F593" s="40" t="str">
        <f ca="1">IFERROR(__xludf.DUMMYFUNCTION("""COMPUTED_VALUE"""),"Roberto Pereira")</f>
        <v>Roberto Pereira</v>
      </c>
      <c r="G593" s="40" t="str">
        <f ca="1">IFERROR(__xludf.DUMMYFUNCTION("""COMPUTED_VALUE"""),"RPG")</f>
        <v>RPG</v>
      </c>
      <c r="H593" s="40" t="str">
        <f ca="1">IFERROR(__xludf.DUMMYFUNCTION("""COMPUTED_VALUE"""),"RPG62")</f>
        <v>RPG62</v>
      </c>
      <c r="I593" s="40" t="str">
        <f ca="1">IFERROR(__xludf.DUMMYFUNCTION("""COMPUTED_VALUE"""),"A")</f>
        <v>A</v>
      </c>
      <c r="J593" s="40" t="str">
        <f ca="1">IFERROR(__xludf.DUMMYFUNCTION("""COMPUTED_VALUE"""),"Julia María Rouco Pérez")</f>
        <v>Julia María Rouco Pérez</v>
      </c>
      <c r="K593" s="40"/>
      <c r="L593" s="40" t="str">
        <f t="shared" ca="1" si="4"/>
        <v>RPG62</v>
      </c>
      <c r="M593" s="36" t="str">
        <f t="shared" ca="1" si="5"/>
        <v>RPG</v>
      </c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</row>
    <row r="594" spans="1:27">
      <c r="A594" s="40"/>
      <c r="B594" s="36"/>
      <c r="C594" s="40"/>
      <c r="D594" s="41"/>
      <c r="E594" s="40"/>
      <c r="F594" s="40" t="str">
        <f ca="1">IFERROR(__xludf.DUMMYFUNCTION("""COMPUTED_VALUE"""),"Alberto Moreno")</f>
        <v>Alberto Moreno</v>
      </c>
      <c r="G594" s="40" t="str">
        <f ca="1">IFERROR(__xludf.DUMMYFUNCTION("""COMPUTED_VALUE"""),"AMM")</f>
        <v>AMM</v>
      </c>
      <c r="H594" s="40" t="str">
        <f ca="1">IFERROR(__xludf.DUMMYFUNCTION("""COMPUTED_VALUE"""),"AMM11")</f>
        <v>AMM11</v>
      </c>
      <c r="I594" s="40" t="str">
        <f ca="1">IFERROR(__xludf.DUMMYFUNCTION("""COMPUTED_VALUE"""),"A")</f>
        <v>A</v>
      </c>
      <c r="J594" s="40" t="str">
        <f ca="1">IFERROR(__xludf.DUMMYFUNCTION("""COMPUTED_VALUE"""),"Julián Preciado López")</f>
        <v>Julián Preciado López</v>
      </c>
      <c r="K594" s="40"/>
      <c r="L594" s="40" t="str">
        <f t="shared" ca="1" si="4"/>
        <v>AMM11</v>
      </c>
      <c r="M594" s="36" t="str">
        <f t="shared" ca="1" si="5"/>
        <v>AMM</v>
      </c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</row>
    <row r="595" spans="1:27">
      <c r="A595" s="40"/>
      <c r="B595" s="36"/>
      <c r="C595" s="40"/>
      <c r="D595" s="41"/>
      <c r="E595" s="23"/>
      <c r="F595" s="40" t="str">
        <f ca="1">IFERROR(__xludf.DUMMYFUNCTION("""COMPUTED_VALUE"""),"Maika Blázquez")</f>
        <v>Maika Blázquez</v>
      </c>
      <c r="G595" s="40" t="str">
        <f ca="1">IFERROR(__xludf.DUMMYFUNCTION("""COMPUTED_VALUE"""),"MBM")</f>
        <v>MBM</v>
      </c>
      <c r="H595" s="40" t="str">
        <f ca="1">IFERROR(__xludf.DUMMYFUNCTION("""COMPUTED_VALUE"""),"MBM61")</f>
        <v>MBM61</v>
      </c>
      <c r="I595" s="40" t="str">
        <f ca="1">IFERROR(__xludf.DUMMYFUNCTION("""COMPUTED_VALUE"""),"A")</f>
        <v>A</v>
      </c>
      <c r="J595" s="40" t="str">
        <f ca="1">IFERROR(__xludf.DUMMYFUNCTION("""COMPUTED_VALUE"""),"Julie Múñoz Freitez")</f>
        <v>Julie Múñoz Freitez</v>
      </c>
      <c r="K595" s="40"/>
      <c r="L595" s="40" t="str">
        <f t="shared" ca="1" si="4"/>
        <v>MBM61</v>
      </c>
      <c r="M595" s="36" t="str">
        <f t="shared" ca="1" si="5"/>
        <v>MBM</v>
      </c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</row>
    <row r="596" spans="1:27">
      <c r="A596" s="40"/>
      <c r="B596" s="36"/>
      <c r="C596" s="40"/>
      <c r="D596" s="41"/>
      <c r="E596" s="40"/>
      <c r="F596" s="40" t="str">
        <f ca="1">IFERROR(__xludf.DUMMYFUNCTION("""COMPUTED_VALUE"""),"Maika Blázquez")</f>
        <v>Maika Blázquez</v>
      </c>
      <c r="G596" s="40" t="str">
        <f ca="1">IFERROR(__xludf.DUMMYFUNCTION("""COMPUTED_VALUE"""),"MBM")</f>
        <v>MBM</v>
      </c>
      <c r="H596" s="40" t="str">
        <f ca="1">IFERROR(__xludf.DUMMYFUNCTION("""COMPUTED_VALUE"""),"MBM62")</f>
        <v>MBM62</v>
      </c>
      <c r="I596" s="40" t="str">
        <f ca="1">IFERROR(__xludf.DUMMYFUNCTION("""COMPUTED_VALUE"""),"A")</f>
        <v>A</v>
      </c>
      <c r="J596" s="40" t="str">
        <f ca="1">IFERROR(__xludf.DUMMYFUNCTION("""COMPUTED_VALUE"""),"Julio Joaquin López Moya")</f>
        <v>Julio Joaquin López Moya</v>
      </c>
      <c r="K596" s="40"/>
      <c r="L596" s="40" t="str">
        <f t="shared" ca="1" si="4"/>
        <v>MBM62</v>
      </c>
      <c r="M596" s="36" t="str">
        <f t="shared" ca="1" si="5"/>
        <v>MBM</v>
      </c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</row>
    <row r="597" spans="1:27">
      <c r="A597" s="40"/>
      <c r="B597" s="36"/>
      <c r="C597" s="40"/>
      <c r="D597" s="41"/>
      <c r="E597" s="40"/>
      <c r="F597" s="40" t="str">
        <f ca="1">IFERROR(__xludf.DUMMYFUNCTION("""COMPUTED_VALUE"""),"Lisandro Russian")</f>
        <v>Lisandro Russian</v>
      </c>
      <c r="G597" s="40" t="str">
        <f ca="1">IFERROR(__xludf.DUMMYFUNCTION("""COMPUTED_VALUE"""),"LRM")</f>
        <v>LRM</v>
      </c>
      <c r="H597" s="40" t="str">
        <f ca="1">IFERROR(__xludf.DUMMYFUNCTION("""COMPUTED_VALUE"""),"LRM90")</f>
        <v>LRM90</v>
      </c>
      <c r="I597" s="40" t="str">
        <f ca="1">IFERROR(__xludf.DUMMYFUNCTION("""COMPUTED_VALUE"""),"A")</f>
        <v>A</v>
      </c>
      <c r="J597" s="40" t="str">
        <f ca="1">IFERROR(__xludf.DUMMYFUNCTION("""COMPUTED_VALUE"""),"Julio Knaster del Olmo")</f>
        <v>Julio Knaster del Olmo</v>
      </c>
      <c r="K597" s="40"/>
      <c r="L597" s="40" t="str">
        <f t="shared" ca="1" si="4"/>
        <v>LRM90</v>
      </c>
      <c r="M597" s="36" t="str">
        <f t="shared" ca="1" si="5"/>
        <v>LRM</v>
      </c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</row>
    <row r="598" spans="1:27">
      <c r="A598" s="40"/>
      <c r="B598" s="36"/>
      <c r="C598" s="40"/>
      <c r="D598" s="41"/>
      <c r="E598" s="23"/>
      <c r="F598" s="40" t="str">
        <f ca="1">IFERROR(__xludf.DUMMYFUNCTION("""COMPUTED_VALUE"""),"Luis Alberto Rodríguez")</f>
        <v>Luis Alberto Rodríguez</v>
      </c>
      <c r="G598" s="40" t="str">
        <f ca="1">IFERROR(__xludf.DUMMYFUNCTION("""COMPUTED_VALUE"""),"LAA")</f>
        <v>LAA</v>
      </c>
      <c r="H598" s="40" t="str">
        <f ca="1">IFERROR(__xludf.DUMMYFUNCTION("""COMPUTED_VALUE"""),"LAA63")</f>
        <v>LAA63</v>
      </c>
      <c r="I598" s="40" t="str">
        <f ca="1">IFERROR(__xludf.DUMMYFUNCTION("""COMPUTED_VALUE"""),"C")</f>
        <v>C</v>
      </c>
      <c r="J598" s="40" t="str">
        <f ca="1">IFERROR(__xludf.DUMMYFUNCTION("""COMPUTED_VALUE"""),"Julio López Moya")</f>
        <v>Julio López Moya</v>
      </c>
      <c r="K598" s="40"/>
      <c r="L598" s="40" t="str">
        <f t="shared" ca="1" si="4"/>
        <v>LAA63</v>
      </c>
      <c r="M598" s="36" t="str">
        <f t="shared" ca="1" si="5"/>
        <v>LAA</v>
      </c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</row>
    <row r="599" spans="1:27">
      <c r="A599" s="40"/>
      <c r="B599" s="36"/>
      <c r="C599" s="40"/>
      <c r="D599" s="41"/>
      <c r="E599" s="40"/>
      <c r="F599" s="40" t="str">
        <f ca="1">IFERROR(__xludf.DUMMYFUNCTION("""COMPUTED_VALUE"""),"Mercè Cabrera")</f>
        <v>Mercè Cabrera</v>
      </c>
      <c r="G599" s="40" t="str">
        <f ca="1">IFERROR(__xludf.DUMMYFUNCTION("""COMPUTED_VALUE"""),"MCC")</f>
        <v>MCC</v>
      </c>
      <c r="H599" s="40" t="str">
        <f ca="1">IFERROR(__xludf.DUMMYFUNCTION("""COMPUTED_VALUE"""),"MCC60")</f>
        <v>MCC60</v>
      </c>
      <c r="I599" s="40" t="str">
        <f ca="1">IFERROR(__xludf.DUMMYFUNCTION("""COMPUTED_VALUE"""),"A")</f>
        <v>A</v>
      </c>
      <c r="J599" s="40" t="str">
        <f ca="1">IFERROR(__xludf.DUMMYFUNCTION("""COMPUTED_VALUE"""),"Julio Nogués Orpí")</f>
        <v>Julio Nogués Orpí</v>
      </c>
      <c r="K599" s="40"/>
      <c r="L599" s="40" t="str">
        <f t="shared" ca="1" si="4"/>
        <v>MCC60</v>
      </c>
      <c r="M599" s="36" t="str">
        <f t="shared" ca="1" si="5"/>
        <v>MCC</v>
      </c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</row>
    <row r="600" spans="1:27">
      <c r="A600" s="40"/>
      <c r="B600" s="36"/>
      <c r="C600" s="40"/>
      <c r="D600" s="41"/>
      <c r="E600" s="40"/>
      <c r="F600" s="40" t="str">
        <f ca="1">IFERROR(__xludf.DUMMYFUNCTION("""COMPUTED_VALUE"""),"Lisandro Russian")</f>
        <v>Lisandro Russian</v>
      </c>
      <c r="G600" s="40" t="str">
        <f ca="1">IFERROR(__xludf.DUMMYFUNCTION("""COMPUTED_VALUE"""),"LRM")</f>
        <v>LRM</v>
      </c>
      <c r="H600" s="40" t="str">
        <f ca="1">IFERROR(__xludf.DUMMYFUNCTION("""COMPUTED_VALUE"""),"LRM91")</f>
        <v>LRM91</v>
      </c>
      <c r="I600" s="40" t="str">
        <f ca="1">IFERROR(__xludf.DUMMYFUNCTION("""COMPUTED_VALUE"""),"A")</f>
        <v>A</v>
      </c>
      <c r="J600" s="40" t="str">
        <f ca="1">IFERROR(__xludf.DUMMYFUNCTION("""COMPUTED_VALUE"""),"Julio Peñarrocha Teres")</f>
        <v>Julio Peñarrocha Teres</v>
      </c>
      <c r="K600" s="40"/>
      <c r="L600" s="40" t="str">
        <f t="shared" ca="1" si="4"/>
        <v>LRM91</v>
      </c>
      <c r="M600" s="36" t="str">
        <f t="shared" ca="1" si="5"/>
        <v>LRM</v>
      </c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</row>
    <row r="601" spans="1:27">
      <c r="A601" s="40"/>
      <c r="B601" s="36"/>
      <c r="C601" s="40"/>
      <c r="D601" s="41"/>
      <c r="E601" s="40"/>
      <c r="F601" s="40" t="str">
        <f ca="1">IFERROR(__xludf.DUMMYFUNCTION("""COMPUTED_VALUE"""),"Mercè Cabrera")</f>
        <v>Mercè Cabrera</v>
      </c>
      <c r="G601" s="40" t="str">
        <f ca="1">IFERROR(__xludf.DUMMYFUNCTION("""COMPUTED_VALUE"""),"MCC")</f>
        <v>MCC</v>
      </c>
      <c r="H601" s="40" t="str">
        <f ca="1">IFERROR(__xludf.DUMMYFUNCTION("""COMPUTED_VALUE"""),"MCC64")</f>
        <v>MCC64</v>
      </c>
      <c r="I601" s="40" t="str">
        <f ca="1">IFERROR(__xludf.DUMMYFUNCTION("""COMPUTED_VALUE"""),"A")</f>
        <v>A</v>
      </c>
      <c r="J601" s="40" t="str">
        <f ca="1">IFERROR(__xludf.DUMMYFUNCTION("""COMPUTED_VALUE"""),"Julissa Vizcarra")</f>
        <v>Julissa Vizcarra</v>
      </c>
      <c r="K601" s="40"/>
      <c r="L601" s="40" t="str">
        <f t="shared" ca="1" si="4"/>
        <v>MCC64</v>
      </c>
      <c r="M601" s="36" t="str">
        <f t="shared" ca="1" si="5"/>
        <v>MCC</v>
      </c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</row>
    <row r="602" spans="1:27">
      <c r="A602" s="40"/>
      <c r="B602" s="36"/>
      <c r="C602" s="40"/>
      <c r="D602" s="41"/>
      <c r="E602" s="40"/>
      <c r="F602" s="40" t="str">
        <f ca="1">IFERROR(__xludf.DUMMYFUNCTION("""COMPUTED_VALUE"""),"Lisandro Russian")</f>
        <v>Lisandro Russian</v>
      </c>
      <c r="G602" s="40" t="str">
        <f ca="1">IFERROR(__xludf.DUMMYFUNCTION("""COMPUTED_VALUE"""),"LRM")</f>
        <v>LRM</v>
      </c>
      <c r="H602" s="40" t="str">
        <f ca="1">IFERROR(__xludf.DUMMYFUNCTION("""COMPUTED_VALUE"""),"LRM169")</f>
        <v>LRM169</v>
      </c>
      <c r="I602" s="40" t="str">
        <f ca="1">IFERROR(__xludf.DUMMYFUNCTION("""COMPUTED_VALUE"""),"A")</f>
        <v>A</v>
      </c>
      <c r="J602" s="40" t="str">
        <f ca="1">IFERROR(__xludf.DUMMYFUNCTION("""COMPUTED_VALUE"""),"Karen Helena Vasquez Pinochet")</f>
        <v>Karen Helena Vasquez Pinochet</v>
      </c>
      <c r="K602" s="40"/>
      <c r="L602" s="40" t="str">
        <f t="shared" ca="1" si="4"/>
        <v>LRM169</v>
      </c>
      <c r="M602" s="36" t="str">
        <f t="shared" ca="1" si="5"/>
        <v>LRM</v>
      </c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</row>
    <row r="603" spans="1:27">
      <c r="A603" s="23"/>
      <c r="B603" s="36"/>
      <c r="C603" s="40"/>
      <c r="D603" s="41"/>
      <c r="E603" s="40"/>
      <c r="F603" s="40" t="str">
        <f ca="1">IFERROR(__xludf.DUMMYFUNCTION("""COMPUTED_VALUE"""),"Iván Sánchez")</f>
        <v>Iván Sánchez</v>
      </c>
      <c r="G603" s="40" t="str">
        <f ca="1">IFERROR(__xludf.DUMMYFUNCTION("""COMPUTED_VALUE"""),"ISL")</f>
        <v>ISL</v>
      </c>
      <c r="H603" s="40" t="str">
        <f ca="1">IFERROR(__xludf.DUMMYFUNCTION("""COMPUTED_VALUE"""),"ISL105")</f>
        <v>ISL105</v>
      </c>
      <c r="I603" s="40" t="str">
        <f ca="1">IFERROR(__xludf.DUMMYFUNCTION("""COMPUTED_VALUE"""),"B")</f>
        <v>B</v>
      </c>
      <c r="J603" s="40" t="str">
        <f ca="1">IFERROR(__xludf.DUMMYFUNCTION("""COMPUTED_VALUE"""),"Karen Rojas Crespo")</f>
        <v>Karen Rojas Crespo</v>
      </c>
      <c r="K603" s="40"/>
      <c r="L603" s="40" t="str">
        <f t="shared" ca="1" si="4"/>
        <v>ISL105</v>
      </c>
      <c r="M603" s="36" t="str">
        <f t="shared" ca="1" si="5"/>
        <v>ISL</v>
      </c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</row>
    <row r="604" spans="1:27">
      <c r="A604" s="40"/>
      <c r="B604" s="36"/>
      <c r="C604" s="40"/>
      <c r="D604" s="41"/>
      <c r="E604" s="40"/>
      <c r="F604" s="40" t="str">
        <f ca="1">IFERROR(__xludf.DUMMYFUNCTION("""COMPUTED_VALUE"""),"Lisandro Russian")</f>
        <v>Lisandro Russian</v>
      </c>
      <c r="G604" s="40" t="str">
        <f ca="1">IFERROR(__xludf.DUMMYFUNCTION("""COMPUTED_VALUE"""),"LRM")</f>
        <v>LRM</v>
      </c>
      <c r="H604" s="40" t="str">
        <f ca="1">IFERROR(__xludf.DUMMYFUNCTION("""COMPUTED_VALUE"""),"LRM170")</f>
        <v>LRM170</v>
      </c>
      <c r="I604" s="40" t="str">
        <f ca="1">IFERROR(__xludf.DUMMYFUNCTION("""COMPUTED_VALUE"""),"A")</f>
        <v>A</v>
      </c>
      <c r="J604" s="40" t="str">
        <f ca="1">IFERROR(__xludf.DUMMYFUNCTION("""COMPUTED_VALUE"""),"Karen Wejbe Munoz")</f>
        <v>Karen Wejbe Munoz</v>
      </c>
      <c r="K604" s="40"/>
      <c r="L604" s="40" t="str">
        <f t="shared" ca="1" si="4"/>
        <v>LRM170</v>
      </c>
      <c r="M604" s="36" t="str">
        <f t="shared" ca="1" si="5"/>
        <v>LRM</v>
      </c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</row>
    <row r="605" spans="1:27">
      <c r="A605" s="40"/>
      <c r="B605" s="36"/>
      <c r="C605" s="40"/>
      <c r="D605" s="41"/>
      <c r="E605" s="40"/>
      <c r="F605" s="40" t="str">
        <f ca="1">IFERROR(__xludf.DUMMYFUNCTION("""COMPUTED_VALUE"""),"Lisandro Russian")</f>
        <v>Lisandro Russian</v>
      </c>
      <c r="G605" s="40" t="str">
        <f ca="1">IFERROR(__xludf.DUMMYFUNCTION("""COMPUTED_VALUE"""),"LRM")</f>
        <v>LRM</v>
      </c>
      <c r="H605" s="40" t="str">
        <f ca="1">IFERROR(__xludf.DUMMYFUNCTION("""COMPUTED_VALUE"""),"LRM92")</f>
        <v>LRM92</v>
      </c>
      <c r="I605" s="40" t="str">
        <f ca="1">IFERROR(__xludf.DUMMYFUNCTION("""COMPUTED_VALUE"""),"A")</f>
        <v>A</v>
      </c>
      <c r="J605" s="40" t="str">
        <f ca="1">IFERROR(__xludf.DUMMYFUNCTION("""COMPUTED_VALUE"""),"Karim Al Youn Aldabbagh")</f>
        <v>Karim Al Youn Aldabbagh</v>
      </c>
      <c r="K605" s="40"/>
      <c r="L605" s="40" t="str">
        <f t="shared" ca="1" si="4"/>
        <v>LRM92</v>
      </c>
      <c r="M605" s="36" t="str">
        <f t="shared" ca="1" si="5"/>
        <v>LRM</v>
      </c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</row>
    <row r="606" spans="1:27">
      <c r="A606" s="40"/>
      <c r="B606" s="36"/>
      <c r="C606" s="40"/>
      <c r="D606" s="41"/>
      <c r="E606" s="40"/>
      <c r="F606" s="40" t="str">
        <f ca="1">IFERROR(__xludf.DUMMYFUNCTION("""COMPUTED_VALUE"""),"Maika Blázquez")</f>
        <v>Maika Blázquez</v>
      </c>
      <c r="G606" s="40" t="str">
        <f ca="1">IFERROR(__xludf.DUMMYFUNCTION("""COMPUTED_VALUE"""),"MBM")</f>
        <v>MBM</v>
      </c>
      <c r="H606" s="40" t="str">
        <f ca="1">IFERROR(__xludf.DUMMYFUNCTION("""COMPUTED_VALUE"""),"MBM128")</f>
        <v>MBM128</v>
      </c>
      <c r="I606" s="40" t="str">
        <f ca="1">IFERROR(__xludf.DUMMYFUNCTION("""COMPUTED_VALUE"""),"A")</f>
        <v>A</v>
      </c>
      <c r="J606" s="40" t="str">
        <f ca="1">IFERROR(__xludf.DUMMYFUNCTION("""COMPUTED_VALUE"""),"Karla Natali Montaño Rueda")</f>
        <v>Karla Natali Montaño Rueda</v>
      </c>
      <c r="K606" s="40"/>
      <c r="L606" s="40" t="str">
        <f t="shared" ca="1" si="4"/>
        <v>MBM128</v>
      </c>
      <c r="M606" s="36" t="str">
        <f t="shared" ca="1" si="5"/>
        <v>MBM</v>
      </c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</row>
    <row r="607" spans="1:27">
      <c r="A607" s="40"/>
      <c r="B607" s="36"/>
      <c r="C607" s="40"/>
      <c r="D607" s="41"/>
      <c r="E607" s="40"/>
      <c r="F607" s="40" t="str">
        <f ca="1">IFERROR(__xludf.DUMMYFUNCTION("""COMPUTED_VALUE"""),"Maika Blázquez")</f>
        <v>Maika Blázquez</v>
      </c>
      <c r="G607" s="40" t="str">
        <f ca="1">IFERROR(__xludf.DUMMYFUNCTION("""COMPUTED_VALUE"""),"MBM")</f>
        <v>MBM</v>
      </c>
      <c r="H607" s="40" t="str">
        <f ca="1">IFERROR(__xludf.DUMMYFUNCTION("""COMPUTED_VALUE"""),"MBM216")</f>
        <v>MBM216</v>
      </c>
      <c r="I607" s="40" t="str">
        <f ca="1">IFERROR(__xludf.DUMMYFUNCTION("""COMPUTED_VALUE"""),"A")</f>
        <v>A</v>
      </c>
      <c r="J607" s="40" t="str">
        <f ca="1">IFERROR(__xludf.DUMMYFUNCTION("""COMPUTED_VALUE"""),"Kurt Liebner Martínez")</f>
        <v>Kurt Liebner Martínez</v>
      </c>
      <c r="K607" s="40"/>
      <c r="L607" s="40" t="str">
        <f t="shared" ca="1" si="4"/>
        <v>MBM216</v>
      </c>
      <c r="M607" s="36" t="str">
        <f t="shared" ca="1" si="5"/>
        <v>MBM</v>
      </c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</row>
    <row r="608" spans="1:27">
      <c r="A608" s="40"/>
      <c r="B608" s="36"/>
      <c r="C608" s="40"/>
      <c r="D608" s="41"/>
      <c r="E608" s="40"/>
      <c r="F608" s="40" t="str">
        <f ca="1">IFERROR(__xludf.DUMMYFUNCTION("""COMPUTED_VALUE"""),"Iván Sánchez")</f>
        <v>Iván Sánchez</v>
      </c>
      <c r="G608" s="40" t="str">
        <f ca="1">IFERROR(__xludf.DUMMYFUNCTION("""COMPUTED_VALUE"""),"ISL")</f>
        <v>ISL</v>
      </c>
      <c r="H608" s="40" t="str">
        <f ca="1">IFERROR(__xludf.DUMMYFUNCTION("""COMPUTED_VALUE"""),"ISL106")</f>
        <v>ISL106</v>
      </c>
      <c r="I608" s="40" t="str">
        <f ca="1">IFERROR(__xludf.DUMMYFUNCTION("""COMPUTED_VALUE"""),"B")</f>
        <v>B</v>
      </c>
      <c r="J608" s="40" t="str">
        <f ca="1">IFERROR(__xludf.DUMMYFUNCTION("""COMPUTED_VALUE"""),"Laura Arias Gómez")</f>
        <v>Laura Arias Gómez</v>
      </c>
      <c r="K608" s="40"/>
      <c r="L608" s="40" t="str">
        <f t="shared" ca="1" si="4"/>
        <v>ISL106</v>
      </c>
      <c r="M608" s="36" t="str">
        <f t="shared" ca="1" si="5"/>
        <v>ISL</v>
      </c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</row>
    <row r="609" spans="1:27">
      <c r="A609" s="40"/>
      <c r="B609" s="36"/>
      <c r="C609" s="23"/>
      <c r="D609" s="41"/>
      <c r="E609" s="40"/>
      <c r="F609" s="40" t="str">
        <f ca="1">IFERROR(__xludf.DUMMYFUNCTION("""COMPUTED_VALUE"""),"Iván Sánchez")</f>
        <v>Iván Sánchez</v>
      </c>
      <c r="G609" s="40" t="str">
        <f ca="1">IFERROR(__xludf.DUMMYFUNCTION("""COMPUTED_VALUE"""),"ISL")</f>
        <v>ISL</v>
      </c>
      <c r="H609" s="40" t="str">
        <f ca="1">IFERROR(__xludf.DUMMYFUNCTION("""COMPUTED_VALUE"""),"ISL107")</f>
        <v>ISL107</v>
      </c>
      <c r="I609" s="40" t="str">
        <f ca="1">IFERROR(__xludf.DUMMYFUNCTION("""COMPUTED_VALUE"""),"B")</f>
        <v>B</v>
      </c>
      <c r="J609" s="40" t="str">
        <f ca="1">IFERROR(__xludf.DUMMYFUNCTION("""COMPUTED_VALUE"""),"Laura Cavallé Garrido")</f>
        <v>Laura Cavallé Garrido</v>
      </c>
      <c r="K609" s="40"/>
      <c r="L609" s="40" t="str">
        <f t="shared" ca="1" si="4"/>
        <v>ISL107</v>
      </c>
      <c r="M609" s="36" t="str">
        <f t="shared" ca="1" si="5"/>
        <v>ISL</v>
      </c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</row>
    <row r="610" spans="1:27">
      <c r="A610" s="40"/>
      <c r="B610" s="36"/>
      <c r="C610" s="40"/>
      <c r="D610" s="41"/>
      <c r="E610" s="40"/>
      <c r="F610" s="40" t="str">
        <f ca="1">IFERROR(__xludf.DUMMYFUNCTION("""COMPUTED_VALUE"""),"Patricia Solache")</f>
        <v>Patricia Solache</v>
      </c>
      <c r="G610" s="40" t="str">
        <f ca="1">IFERROR(__xludf.DUMMYFUNCTION("""COMPUTED_VALUE"""),"PSC")</f>
        <v>PSC</v>
      </c>
      <c r="H610" s="40" t="str">
        <f ca="1">IFERROR(__xludf.DUMMYFUNCTION("""COMPUTED_VALUE"""),"PSC38")</f>
        <v>PSC38</v>
      </c>
      <c r="I610" s="40" t="str">
        <f ca="1">IFERROR(__xludf.DUMMYFUNCTION("""COMPUTED_VALUE"""),"A")</f>
        <v>A</v>
      </c>
      <c r="J610" s="40" t="str">
        <f ca="1">IFERROR(__xludf.DUMMYFUNCTION("""COMPUTED_VALUE"""),"Laura Curieses Becerril")</f>
        <v>Laura Curieses Becerril</v>
      </c>
      <c r="K610" s="40"/>
      <c r="L610" s="40" t="str">
        <f t="shared" ca="1" si="4"/>
        <v>PSC38</v>
      </c>
      <c r="M610" s="36" t="str">
        <f t="shared" ca="1" si="5"/>
        <v>PSC</v>
      </c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</row>
    <row r="611" spans="1:27">
      <c r="A611" s="40"/>
      <c r="B611" s="36"/>
      <c r="C611" s="40"/>
      <c r="D611" s="41"/>
      <c r="E611" s="40"/>
      <c r="F611" s="40" t="str">
        <f ca="1">IFERROR(__xludf.DUMMYFUNCTION("""COMPUTED_VALUE"""),"Maika Blázquez")</f>
        <v>Maika Blázquez</v>
      </c>
      <c r="G611" s="40" t="str">
        <f ca="1">IFERROR(__xludf.DUMMYFUNCTION("""COMPUTED_VALUE"""),"MBM")</f>
        <v>MBM</v>
      </c>
      <c r="H611" s="40" t="str">
        <f ca="1">IFERROR(__xludf.DUMMYFUNCTION("""COMPUTED_VALUE"""),"MBM129")</f>
        <v>MBM129</v>
      </c>
      <c r="I611" s="40" t="str">
        <f ca="1">IFERROR(__xludf.DUMMYFUNCTION("""COMPUTED_VALUE"""),"A")</f>
        <v>A</v>
      </c>
      <c r="J611" s="40" t="str">
        <f ca="1">IFERROR(__xludf.DUMMYFUNCTION("""COMPUTED_VALUE"""),"Laura del Toro Gil")</f>
        <v>Laura del Toro Gil</v>
      </c>
      <c r="K611" s="40"/>
      <c r="L611" s="40" t="str">
        <f t="shared" ca="1" si="4"/>
        <v>MBM129</v>
      </c>
      <c r="M611" s="36" t="str">
        <f t="shared" ca="1" si="5"/>
        <v>MBM</v>
      </c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</row>
    <row r="612" spans="1:27">
      <c r="A612" s="40"/>
      <c r="B612" s="36"/>
      <c r="C612" s="40"/>
      <c r="D612" s="41"/>
      <c r="E612" s="40"/>
      <c r="F612" s="40" t="str">
        <f ca="1">IFERROR(__xludf.DUMMYFUNCTION("""COMPUTED_VALUE"""),"Maika Blázquez")</f>
        <v>Maika Blázquez</v>
      </c>
      <c r="G612" s="40" t="str">
        <f ca="1">IFERROR(__xludf.DUMMYFUNCTION("""COMPUTED_VALUE"""),"MBM")</f>
        <v>MBM</v>
      </c>
      <c r="H612" s="40" t="str">
        <f ca="1">IFERROR(__xludf.DUMMYFUNCTION("""COMPUTED_VALUE"""),"MBM130")</f>
        <v>MBM130</v>
      </c>
      <c r="I612" s="40" t="str">
        <f ca="1">IFERROR(__xludf.DUMMYFUNCTION("""COMPUTED_VALUE"""),"A")</f>
        <v>A</v>
      </c>
      <c r="J612" s="40" t="str">
        <f ca="1">IFERROR(__xludf.DUMMYFUNCTION("""COMPUTED_VALUE"""),"Laura Galvez Gajo")</f>
        <v>Laura Galvez Gajo</v>
      </c>
      <c r="K612" s="40"/>
      <c r="L612" s="40" t="str">
        <f t="shared" ca="1" si="4"/>
        <v>MBM130</v>
      </c>
      <c r="M612" s="36" t="str">
        <f t="shared" ca="1" si="5"/>
        <v>MBM</v>
      </c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</row>
    <row r="613" spans="1:27">
      <c r="A613" s="40"/>
      <c r="B613" s="36"/>
      <c r="C613" s="40"/>
      <c r="D613" s="41"/>
      <c r="E613" s="40"/>
      <c r="F613" s="40" t="str">
        <f ca="1">IFERROR(__xludf.DUMMYFUNCTION("""COMPUTED_VALUE"""),"Maika Blázquez")</f>
        <v>Maika Blázquez</v>
      </c>
      <c r="G613" s="40" t="str">
        <f ca="1">IFERROR(__xludf.DUMMYFUNCTION("""COMPUTED_VALUE"""),"MBM")</f>
        <v>MBM</v>
      </c>
      <c r="H613" s="40" t="str">
        <f ca="1">IFERROR(__xludf.DUMMYFUNCTION("""COMPUTED_VALUE"""),"MBM196")</f>
        <v>MBM196</v>
      </c>
      <c r="I613" s="40" t="str">
        <f ca="1">IFERROR(__xludf.DUMMYFUNCTION("""COMPUTED_VALUE"""),"A")</f>
        <v>A</v>
      </c>
      <c r="J613" s="40" t="str">
        <f ca="1">IFERROR(__xludf.DUMMYFUNCTION("""COMPUTED_VALUE"""),"Laura Gálvez Gazo")</f>
        <v>Laura Gálvez Gazo</v>
      </c>
      <c r="K613" s="40"/>
      <c r="L613" s="40" t="str">
        <f t="shared" ca="1" si="4"/>
        <v>MBM196</v>
      </c>
      <c r="M613" s="36" t="str">
        <f t="shared" ca="1" si="5"/>
        <v>MBM</v>
      </c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</row>
    <row r="614" spans="1:27">
      <c r="A614" s="40"/>
      <c r="B614" s="36"/>
      <c r="C614" s="23"/>
      <c r="D614" s="41"/>
      <c r="E614" s="40"/>
      <c r="F614" s="40" t="str">
        <f ca="1">IFERROR(__xludf.DUMMYFUNCTION("""COMPUTED_VALUE"""),"Iván Sánchez")</f>
        <v>Iván Sánchez</v>
      </c>
      <c r="G614" s="40" t="str">
        <f ca="1">IFERROR(__xludf.DUMMYFUNCTION("""COMPUTED_VALUE"""),"ISL")</f>
        <v>ISL</v>
      </c>
      <c r="H614" s="40" t="str">
        <f ca="1">IFERROR(__xludf.DUMMYFUNCTION("""COMPUTED_VALUE"""),"ISL108")</f>
        <v>ISL108</v>
      </c>
      <c r="I614" s="40" t="str">
        <f ca="1">IFERROR(__xludf.DUMMYFUNCTION("""COMPUTED_VALUE"""),"B")</f>
        <v>B</v>
      </c>
      <c r="J614" s="40" t="str">
        <f ca="1">IFERROR(__xludf.DUMMYFUNCTION("""COMPUTED_VALUE"""),"Laura Gañán Albuisech")</f>
        <v>Laura Gañán Albuisech</v>
      </c>
      <c r="K614" s="40"/>
      <c r="L614" s="40" t="str">
        <f t="shared" ca="1" si="4"/>
        <v>ISL108</v>
      </c>
      <c r="M614" s="36" t="str">
        <f t="shared" ca="1" si="5"/>
        <v>ISL</v>
      </c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</row>
    <row r="615" spans="1:27">
      <c r="A615" s="40"/>
      <c r="B615" s="36"/>
      <c r="C615" s="40"/>
      <c r="D615" s="41"/>
      <c r="E615" s="40"/>
      <c r="F615" s="40" t="str">
        <f ca="1">IFERROR(__xludf.DUMMYFUNCTION("""COMPUTED_VALUE"""),"Lisandro Russian")</f>
        <v>Lisandro Russian</v>
      </c>
      <c r="G615" s="40" t="str">
        <f ca="1">IFERROR(__xludf.DUMMYFUNCTION("""COMPUTED_VALUE"""),"LRM")</f>
        <v>LRM</v>
      </c>
      <c r="H615" s="40" t="str">
        <f ca="1">IFERROR(__xludf.DUMMYFUNCTION("""COMPUTED_VALUE"""),"LRM171")</f>
        <v>LRM171</v>
      </c>
      <c r="I615" s="40" t="str">
        <f ca="1">IFERROR(__xludf.DUMMYFUNCTION("""COMPUTED_VALUE"""),"A")</f>
        <v>A</v>
      </c>
      <c r="J615" s="40" t="str">
        <f ca="1">IFERROR(__xludf.DUMMYFUNCTION("""COMPUTED_VALUE"""),"Laura García Pérez")</f>
        <v>Laura García Pérez</v>
      </c>
      <c r="K615" s="40"/>
      <c r="L615" s="40" t="str">
        <f t="shared" ca="1" si="4"/>
        <v>LRM171</v>
      </c>
      <c r="M615" s="36" t="str">
        <f t="shared" ca="1" si="5"/>
        <v>LRM</v>
      </c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</row>
    <row r="616" spans="1:27">
      <c r="A616" s="40"/>
      <c r="B616" s="36"/>
      <c r="C616" s="40"/>
      <c r="D616" s="41"/>
      <c r="E616" s="40"/>
      <c r="F616" s="40" t="str">
        <f ca="1">IFERROR(__xludf.DUMMYFUNCTION("""COMPUTED_VALUE"""),"Maika Blázquez")</f>
        <v>Maika Blázquez</v>
      </c>
      <c r="G616" s="40" t="str">
        <f ca="1">IFERROR(__xludf.DUMMYFUNCTION("""COMPUTED_VALUE"""),"MBM")</f>
        <v>MBM</v>
      </c>
      <c r="H616" s="40" t="str">
        <f ca="1">IFERROR(__xludf.DUMMYFUNCTION("""COMPUTED_VALUE"""),"MBM131")</f>
        <v>MBM131</v>
      </c>
      <c r="I616" s="40" t="str">
        <f ca="1">IFERROR(__xludf.DUMMYFUNCTION("""COMPUTED_VALUE"""),"A")</f>
        <v>A</v>
      </c>
      <c r="J616" s="40" t="str">
        <f ca="1">IFERROR(__xludf.DUMMYFUNCTION("""COMPUTED_VALUE"""),"Laura Garrido García")</f>
        <v>Laura Garrido García</v>
      </c>
      <c r="K616" s="40"/>
      <c r="L616" s="40" t="str">
        <f t="shared" ca="1" si="4"/>
        <v>MBM131</v>
      </c>
      <c r="M616" s="36" t="str">
        <f t="shared" ca="1" si="5"/>
        <v>MBM</v>
      </c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</row>
    <row r="617" spans="1:27">
      <c r="A617" s="40"/>
      <c r="B617" s="36"/>
      <c r="C617" s="40"/>
      <c r="D617" s="41"/>
      <c r="E617" s="40"/>
      <c r="F617" s="40" t="str">
        <f ca="1">IFERROR(__xludf.DUMMYFUNCTION("""COMPUTED_VALUE"""),"Mercè Cabrera")</f>
        <v>Mercè Cabrera</v>
      </c>
      <c r="G617" s="40" t="str">
        <f ca="1">IFERROR(__xludf.DUMMYFUNCTION("""COMPUTED_VALUE"""),"MCC")</f>
        <v>MCC</v>
      </c>
      <c r="H617" s="40" t="str">
        <f ca="1">IFERROR(__xludf.DUMMYFUNCTION("""COMPUTED_VALUE"""),"MCC65")</f>
        <v>MCC65</v>
      </c>
      <c r="I617" s="40" t="str">
        <f ca="1">IFERROR(__xludf.DUMMYFUNCTION("""COMPUTED_VALUE"""),"A")</f>
        <v>A</v>
      </c>
      <c r="J617" s="40" t="str">
        <f ca="1">IFERROR(__xludf.DUMMYFUNCTION("""COMPUTED_VALUE"""),"Laura Grau de Diego")</f>
        <v>Laura Grau de Diego</v>
      </c>
      <c r="K617" s="40"/>
      <c r="L617" s="40" t="str">
        <f t="shared" ca="1" si="4"/>
        <v>MCC65</v>
      </c>
      <c r="M617" s="36" t="str">
        <f t="shared" ca="1" si="5"/>
        <v>MCC</v>
      </c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</row>
    <row r="618" spans="1:27">
      <c r="A618" s="40"/>
      <c r="B618" s="36"/>
      <c r="C618" s="40"/>
      <c r="D618" s="41"/>
      <c r="E618" s="40"/>
      <c r="F618" s="40" t="str">
        <f ca="1">IFERROR(__xludf.DUMMYFUNCTION("""COMPUTED_VALUE"""),"Iván Sánchez")</f>
        <v>Iván Sánchez</v>
      </c>
      <c r="G618" s="40" t="str">
        <f ca="1">IFERROR(__xludf.DUMMYFUNCTION("""COMPUTED_VALUE"""),"ISL")</f>
        <v>ISL</v>
      </c>
      <c r="H618" s="40" t="str">
        <f ca="1">IFERROR(__xludf.DUMMYFUNCTION("""COMPUTED_VALUE"""),"ISL109")</f>
        <v>ISL109</v>
      </c>
      <c r="I618" s="40" t="str">
        <f ca="1">IFERROR(__xludf.DUMMYFUNCTION("""COMPUTED_VALUE"""),"B")</f>
        <v>B</v>
      </c>
      <c r="J618" s="40" t="str">
        <f ca="1">IFERROR(__xludf.DUMMYFUNCTION("""COMPUTED_VALUE"""),"Laura Guillamon Vivancos")</f>
        <v>Laura Guillamon Vivancos</v>
      </c>
      <c r="K618" s="40"/>
      <c r="L618" s="40" t="str">
        <f t="shared" ca="1" si="4"/>
        <v>ISL109</v>
      </c>
      <c r="M618" s="36" t="str">
        <f t="shared" ca="1" si="5"/>
        <v>ISL</v>
      </c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</row>
    <row r="619" spans="1:27">
      <c r="A619" s="40"/>
      <c r="B619" s="36"/>
      <c r="C619" s="40"/>
      <c r="D619" s="41"/>
      <c r="E619" s="40"/>
      <c r="F619" s="40" t="str">
        <f ca="1">IFERROR(__xludf.DUMMYFUNCTION("""COMPUTED_VALUE"""),"Iván Sánchez")</f>
        <v>Iván Sánchez</v>
      </c>
      <c r="G619" s="40" t="str">
        <f ca="1">IFERROR(__xludf.DUMMYFUNCTION("""COMPUTED_VALUE"""),"ISL")</f>
        <v>ISL</v>
      </c>
      <c r="H619" s="40" t="str">
        <f ca="1">IFERROR(__xludf.DUMMYFUNCTION("""COMPUTED_VALUE"""),"ISL151")</f>
        <v>ISL151</v>
      </c>
      <c r="I619" s="40" t="str">
        <f ca="1">IFERROR(__xludf.DUMMYFUNCTION("""COMPUTED_VALUE"""),"B")</f>
        <v>B</v>
      </c>
      <c r="J619" s="40" t="str">
        <f ca="1">IFERROR(__xludf.DUMMYFUNCTION("""COMPUTED_VALUE"""),"Laura Isabel del Amo Martínez")</f>
        <v>Laura Isabel del Amo Martínez</v>
      </c>
      <c r="K619" s="40"/>
      <c r="L619" s="40" t="str">
        <f t="shared" ca="1" si="4"/>
        <v>ISL151</v>
      </c>
      <c r="M619" s="36" t="str">
        <f t="shared" ca="1" si="5"/>
        <v>ISL</v>
      </c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</row>
    <row r="620" spans="1:27">
      <c r="A620" s="40"/>
      <c r="B620" s="36"/>
      <c r="C620" s="40"/>
      <c r="D620" s="41"/>
      <c r="E620" s="23"/>
      <c r="F620" s="40" t="str">
        <f ca="1">IFERROR(__xludf.DUMMYFUNCTION("""COMPUTED_VALUE"""),"Lisandro Russian")</f>
        <v>Lisandro Russian</v>
      </c>
      <c r="G620" s="40" t="str">
        <f ca="1">IFERROR(__xludf.DUMMYFUNCTION("""COMPUTED_VALUE"""),"LRM")</f>
        <v>LRM</v>
      </c>
      <c r="H620" s="40" t="str">
        <f ca="1">IFERROR(__xludf.DUMMYFUNCTION("""COMPUTED_VALUE"""),"LRM172")</f>
        <v>LRM172</v>
      </c>
      <c r="I620" s="40" t="str">
        <f ca="1">IFERROR(__xludf.DUMMYFUNCTION("""COMPUTED_VALUE"""),"A")</f>
        <v>A</v>
      </c>
      <c r="J620" s="40" t="str">
        <f ca="1">IFERROR(__xludf.DUMMYFUNCTION("""COMPUTED_VALUE"""),"Laura Koren Fernández")</f>
        <v>Laura Koren Fernández</v>
      </c>
      <c r="K620" s="40"/>
      <c r="L620" s="40" t="str">
        <f t="shared" ca="1" si="4"/>
        <v>LRM172</v>
      </c>
      <c r="M620" s="36" t="str">
        <f t="shared" ca="1" si="5"/>
        <v>LRM</v>
      </c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</row>
    <row r="621" spans="1:27">
      <c r="A621" s="40"/>
      <c r="B621" s="36"/>
      <c r="C621" s="40"/>
      <c r="D621" s="41"/>
      <c r="E621" s="40"/>
      <c r="F621" s="40" t="str">
        <f ca="1">IFERROR(__xludf.DUMMYFUNCTION("""COMPUTED_VALUE"""),"Lisandro Russian")</f>
        <v>Lisandro Russian</v>
      </c>
      <c r="G621" s="40" t="str">
        <f ca="1">IFERROR(__xludf.DUMMYFUNCTION("""COMPUTED_VALUE"""),"LRM")</f>
        <v>LRM</v>
      </c>
      <c r="H621" s="40" t="str">
        <f ca="1">IFERROR(__xludf.DUMMYFUNCTION("""COMPUTED_VALUE"""),"LRM173")</f>
        <v>LRM173</v>
      </c>
      <c r="I621" s="40" t="str">
        <f ca="1">IFERROR(__xludf.DUMMYFUNCTION("""COMPUTED_VALUE"""),"A")</f>
        <v>A</v>
      </c>
      <c r="J621" s="40" t="str">
        <f ca="1">IFERROR(__xludf.DUMMYFUNCTION("""COMPUTED_VALUE"""),"Laura Pérez Delgado")</f>
        <v>Laura Pérez Delgado</v>
      </c>
      <c r="K621" s="40"/>
      <c r="L621" s="40" t="str">
        <f t="shared" ca="1" si="4"/>
        <v>LRM173</v>
      </c>
      <c r="M621" s="36" t="str">
        <f t="shared" ca="1" si="5"/>
        <v>LRM</v>
      </c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</row>
    <row r="622" spans="1:27">
      <c r="A622" s="40"/>
      <c r="B622" s="36"/>
      <c r="C622" s="40"/>
      <c r="D622" s="41"/>
      <c r="E622" s="40"/>
      <c r="F622" s="40" t="str">
        <f ca="1">IFERROR(__xludf.DUMMYFUNCTION("""COMPUTED_VALUE"""),"Lisandro Russian")</f>
        <v>Lisandro Russian</v>
      </c>
      <c r="G622" s="40" t="str">
        <f ca="1">IFERROR(__xludf.DUMMYFUNCTION("""COMPUTED_VALUE"""),"LRM")</f>
        <v>LRM</v>
      </c>
      <c r="H622" s="40" t="str">
        <f ca="1">IFERROR(__xludf.DUMMYFUNCTION("""COMPUTED_VALUE"""),"LRM174")</f>
        <v>LRM174</v>
      </c>
      <c r="I622" s="40" t="str">
        <f ca="1">IFERROR(__xludf.DUMMYFUNCTION("""COMPUTED_VALUE"""),"A")</f>
        <v>A</v>
      </c>
      <c r="J622" s="40" t="str">
        <f ca="1">IFERROR(__xludf.DUMMYFUNCTION("""COMPUTED_VALUE"""),"Laura Rodrigañez Riesco")</f>
        <v>Laura Rodrigañez Riesco</v>
      </c>
      <c r="K622" s="40"/>
      <c r="L622" s="40" t="str">
        <f t="shared" ca="1" si="4"/>
        <v>LRM174</v>
      </c>
      <c r="M622" s="36" t="str">
        <f t="shared" ca="1" si="5"/>
        <v>LRM</v>
      </c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</row>
    <row r="623" spans="1:27">
      <c r="A623" s="40"/>
      <c r="B623" s="36"/>
      <c r="C623" s="40"/>
      <c r="D623" s="41"/>
      <c r="E623" s="40"/>
      <c r="F623" s="40" t="str">
        <f ca="1">IFERROR(__xludf.DUMMYFUNCTION("""COMPUTED_VALUE"""),"Maika Blázquez")</f>
        <v>Maika Blázquez</v>
      </c>
      <c r="G623" s="40" t="str">
        <f ca="1">IFERROR(__xludf.DUMMYFUNCTION("""COMPUTED_VALUE"""),"MBM")</f>
        <v>MBM</v>
      </c>
      <c r="H623" s="40" t="str">
        <f ca="1">IFERROR(__xludf.DUMMYFUNCTION("""COMPUTED_VALUE"""),"MBM132")</f>
        <v>MBM132</v>
      </c>
      <c r="I623" s="40" t="str">
        <f ca="1">IFERROR(__xludf.DUMMYFUNCTION("""COMPUTED_VALUE"""),"A")</f>
        <v>A</v>
      </c>
      <c r="J623" s="40" t="str">
        <f ca="1">IFERROR(__xludf.DUMMYFUNCTION("""COMPUTED_VALUE"""),"Laura Ruano De Pablo")</f>
        <v>Laura Ruano De Pablo</v>
      </c>
      <c r="K623" s="40"/>
      <c r="L623" s="40" t="str">
        <f t="shared" ca="1" si="4"/>
        <v>MBM132</v>
      </c>
      <c r="M623" s="36" t="str">
        <f t="shared" ca="1" si="5"/>
        <v>MBM</v>
      </c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</row>
    <row r="624" spans="1:27">
      <c r="A624" s="40"/>
      <c r="B624" s="36"/>
      <c r="C624" s="40"/>
      <c r="D624" s="41"/>
      <c r="E624" s="40"/>
      <c r="F624" s="40" t="str">
        <f ca="1">IFERROR(__xludf.DUMMYFUNCTION("""COMPUTED_VALUE"""),"Maika Blázquez")</f>
        <v>Maika Blázquez</v>
      </c>
      <c r="G624" s="40" t="str">
        <f ca="1">IFERROR(__xludf.DUMMYFUNCTION("""COMPUTED_VALUE"""),"MBM")</f>
        <v>MBM</v>
      </c>
      <c r="H624" s="40" t="str">
        <f ca="1">IFERROR(__xludf.DUMMYFUNCTION("""COMPUTED_VALUE"""),"MBM133")</f>
        <v>MBM133</v>
      </c>
      <c r="I624" s="40" t="str">
        <f ca="1">IFERROR(__xludf.DUMMYFUNCTION("""COMPUTED_VALUE"""),"A")</f>
        <v>A</v>
      </c>
      <c r="J624" s="40" t="str">
        <f ca="1">IFERROR(__xludf.DUMMYFUNCTION("""COMPUTED_VALUE"""),"Laura Yeguas Ramírez")</f>
        <v>Laura Yeguas Ramírez</v>
      </c>
      <c r="K624" s="40"/>
      <c r="L624" s="40" t="str">
        <f t="shared" ca="1" si="4"/>
        <v>MBM133</v>
      </c>
      <c r="M624" s="36" t="str">
        <f t="shared" ca="1" si="5"/>
        <v>MBM</v>
      </c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</row>
    <row r="625" spans="1:27">
      <c r="A625" s="40"/>
      <c r="B625" s="36"/>
      <c r="C625" s="40"/>
      <c r="D625" s="41"/>
      <c r="E625" s="23"/>
      <c r="F625" s="40" t="str">
        <f ca="1">IFERROR(__xludf.DUMMYFUNCTION("""COMPUTED_VALUE"""),"Roberto Pereira")</f>
        <v>Roberto Pereira</v>
      </c>
      <c r="G625" s="40" t="str">
        <f ca="1">IFERROR(__xludf.DUMMYFUNCTION("""COMPUTED_VALUE"""),"RPG")</f>
        <v>RPG</v>
      </c>
      <c r="H625" s="40" t="str">
        <f ca="1">IFERROR(__xludf.DUMMYFUNCTION("""COMPUTED_VALUE"""),"RPG26")</f>
        <v>RPG26</v>
      </c>
      <c r="I625" s="40" t="str">
        <f ca="1">IFERROR(__xludf.DUMMYFUNCTION("""COMPUTED_VALUE"""),"A")</f>
        <v>A</v>
      </c>
      <c r="J625" s="40" t="str">
        <f ca="1">IFERROR(__xludf.DUMMYFUNCTION("""COMPUTED_VALUE"""),"León Fernández Cameselle")</f>
        <v>León Fernández Cameselle</v>
      </c>
      <c r="K625" s="40"/>
      <c r="L625" s="40" t="str">
        <f t="shared" ca="1" si="4"/>
        <v>RPG26</v>
      </c>
      <c r="M625" s="36" t="str">
        <f t="shared" ca="1" si="5"/>
        <v>RPG</v>
      </c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</row>
    <row r="626" spans="1:27">
      <c r="A626" s="40"/>
      <c r="B626" s="36"/>
      <c r="C626" s="40"/>
      <c r="D626" s="41"/>
      <c r="E626" s="40"/>
      <c r="F626" s="40" t="str">
        <f ca="1">IFERROR(__xludf.DUMMYFUNCTION("""COMPUTED_VALUE"""),"Lisandro Russian")</f>
        <v>Lisandro Russian</v>
      </c>
      <c r="G626" s="40" t="str">
        <f ca="1">IFERROR(__xludf.DUMMYFUNCTION("""COMPUTED_VALUE"""),"LRM")</f>
        <v>LRM</v>
      </c>
      <c r="H626" s="40" t="str">
        <f ca="1">IFERROR(__xludf.DUMMYFUNCTION("""COMPUTED_VALUE"""),"LRM175")</f>
        <v>LRM175</v>
      </c>
      <c r="I626" s="40" t="str">
        <f ca="1">IFERROR(__xludf.DUMMYFUNCTION("""COMPUTED_VALUE"""),"A")</f>
        <v>A</v>
      </c>
      <c r="J626" s="40" t="str">
        <f ca="1">IFERROR(__xludf.DUMMYFUNCTION("""COMPUTED_VALUE"""),"Leonor Calatayud Lallana")</f>
        <v>Leonor Calatayud Lallana</v>
      </c>
      <c r="K626" s="40"/>
      <c r="L626" s="40" t="str">
        <f t="shared" ca="1" si="4"/>
        <v>LRM175</v>
      </c>
      <c r="M626" s="36" t="str">
        <f t="shared" ca="1" si="5"/>
        <v>LRM</v>
      </c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</row>
    <row r="627" spans="1:27">
      <c r="A627" s="40"/>
      <c r="B627" s="36"/>
      <c r="C627" s="40"/>
      <c r="D627" s="41"/>
      <c r="E627" s="40"/>
      <c r="F627" s="40" t="str">
        <f ca="1">IFERROR(__xludf.DUMMYFUNCTION("""COMPUTED_VALUE"""),"Maika Blázquez")</f>
        <v>Maika Blázquez</v>
      </c>
      <c r="G627" s="40" t="str">
        <f ca="1">IFERROR(__xludf.DUMMYFUNCTION("""COMPUTED_VALUE"""),"MBM")</f>
        <v>MBM</v>
      </c>
      <c r="H627" s="40" t="str">
        <f ca="1">IFERROR(__xludf.DUMMYFUNCTION("""COMPUTED_VALUE"""),"MBM134")</f>
        <v>MBM134</v>
      </c>
      <c r="I627" s="40" t="str">
        <f ca="1">IFERROR(__xludf.DUMMYFUNCTION("""COMPUTED_VALUE"""),"A")</f>
        <v>A</v>
      </c>
      <c r="J627" s="40" t="str">
        <f ca="1">IFERROR(__xludf.DUMMYFUNCTION("""COMPUTED_VALUE"""),"Leonor María Camargo")</f>
        <v>Leonor María Camargo</v>
      </c>
      <c r="K627" s="40"/>
      <c r="L627" s="40" t="str">
        <f t="shared" ca="1" si="4"/>
        <v>MBM134</v>
      </c>
      <c r="M627" s="36" t="str">
        <f t="shared" ca="1" si="5"/>
        <v>MBM</v>
      </c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</row>
    <row r="628" spans="1:27">
      <c r="A628" s="40"/>
      <c r="B628" s="36"/>
      <c r="C628" s="40"/>
      <c r="D628" s="41"/>
      <c r="E628" s="40"/>
      <c r="F628" s="40" t="str">
        <f ca="1">IFERROR(__xludf.DUMMYFUNCTION("""COMPUTED_VALUE"""),"Iván Sánchez")</f>
        <v>Iván Sánchez</v>
      </c>
      <c r="G628" s="40" t="str">
        <f ca="1">IFERROR(__xludf.DUMMYFUNCTION("""COMPUTED_VALUE"""),"ISL")</f>
        <v>ISL</v>
      </c>
      <c r="H628" s="40" t="str">
        <f ca="1">IFERROR(__xludf.DUMMYFUNCTION("""COMPUTED_VALUE"""),"ISL110")</f>
        <v>ISL110</v>
      </c>
      <c r="I628" s="40" t="str">
        <f ca="1">IFERROR(__xludf.DUMMYFUNCTION("""COMPUTED_VALUE"""),"B")</f>
        <v>B</v>
      </c>
      <c r="J628" s="40" t="str">
        <f ca="1">IFERROR(__xludf.DUMMYFUNCTION("""COMPUTED_VALUE"""),"Lidia Vizcaino Cuesta")</f>
        <v>Lidia Vizcaino Cuesta</v>
      </c>
      <c r="K628" s="40"/>
      <c r="L628" s="40" t="str">
        <f t="shared" ca="1" si="4"/>
        <v>ISL110</v>
      </c>
      <c r="M628" s="36" t="str">
        <f t="shared" ca="1" si="5"/>
        <v>ISL</v>
      </c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</row>
    <row r="629" spans="1:27">
      <c r="A629" s="40"/>
      <c r="B629" s="36"/>
      <c r="C629" s="40"/>
      <c r="D629" s="41"/>
      <c r="E629" s="40"/>
      <c r="F629" s="40" t="str">
        <f ca="1">IFERROR(__xludf.DUMMYFUNCTION("""COMPUTED_VALUE"""),"Patricia Solache")</f>
        <v>Patricia Solache</v>
      </c>
      <c r="G629" s="40" t="str">
        <f ca="1">IFERROR(__xludf.DUMMYFUNCTION("""COMPUTED_VALUE"""),"PSC")</f>
        <v>PSC</v>
      </c>
      <c r="H629" s="40" t="str">
        <f ca="1">IFERROR(__xludf.DUMMYFUNCTION("""COMPUTED_VALUE"""),"PSC39")</f>
        <v>PSC39</v>
      </c>
      <c r="I629" s="40" t="str">
        <f ca="1">IFERROR(__xludf.DUMMYFUNCTION("""COMPUTED_VALUE"""),"A")</f>
        <v>A</v>
      </c>
      <c r="J629" s="40" t="str">
        <f ca="1">IFERROR(__xludf.DUMMYFUNCTION("""COMPUTED_VALUE"""),"Liliana Filipa Invencio Da Costa")</f>
        <v>Liliana Filipa Invencio Da Costa</v>
      </c>
      <c r="K629" s="40"/>
      <c r="L629" s="40" t="str">
        <f t="shared" ca="1" si="4"/>
        <v>PSC39</v>
      </c>
      <c r="M629" s="36" t="str">
        <f t="shared" ca="1" si="5"/>
        <v>PSC</v>
      </c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</row>
    <row r="630" spans="1:27">
      <c r="A630" s="40"/>
      <c r="B630" s="36"/>
      <c r="C630" s="40"/>
      <c r="D630" s="41"/>
      <c r="E630" s="40"/>
      <c r="F630" s="40" t="str">
        <f ca="1">IFERROR(__xludf.DUMMYFUNCTION("""COMPUTED_VALUE"""),"Iván Sánchez")</f>
        <v>Iván Sánchez</v>
      </c>
      <c r="G630" s="40" t="str">
        <f ca="1">IFERROR(__xludf.DUMMYFUNCTION("""COMPUTED_VALUE"""),"ISL")</f>
        <v>ISL</v>
      </c>
      <c r="H630" s="40" t="str">
        <f ca="1">IFERROR(__xludf.DUMMYFUNCTION("""COMPUTED_VALUE"""),"ISL111")</f>
        <v>ISL111</v>
      </c>
      <c r="I630" s="40" t="str">
        <f ca="1">IFERROR(__xludf.DUMMYFUNCTION("""COMPUTED_VALUE"""),"B")</f>
        <v>B</v>
      </c>
      <c r="J630" s="40" t="str">
        <f ca="1">IFERROR(__xludf.DUMMYFUNCTION("""COMPUTED_VALUE"""),"Lina Rosique López")</f>
        <v>Lina Rosique López</v>
      </c>
      <c r="K630" s="40"/>
      <c r="L630" s="40" t="str">
        <f t="shared" ca="1" si="4"/>
        <v>ISL111</v>
      </c>
      <c r="M630" s="36" t="str">
        <f t="shared" ca="1" si="5"/>
        <v>ISL</v>
      </c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</row>
    <row r="631" spans="1:27">
      <c r="A631" s="40"/>
      <c r="B631" s="36"/>
      <c r="C631" s="40"/>
      <c r="D631" s="41"/>
      <c r="E631" s="40"/>
      <c r="F631" s="40" t="str">
        <f ca="1">IFERROR(__xludf.DUMMYFUNCTION("""COMPUTED_VALUE"""),"Iván Sánchez")</f>
        <v>Iván Sánchez</v>
      </c>
      <c r="G631" s="40" t="str">
        <f ca="1">IFERROR(__xludf.DUMMYFUNCTION("""COMPUTED_VALUE"""),"ISL")</f>
        <v>ISL</v>
      </c>
      <c r="H631" s="40" t="str">
        <f ca="1">IFERROR(__xludf.DUMMYFUNCTION("""COMPUTED_VALUE"""),"ISL62")</f>
        <v>ISL62</v>
      </c>
      <c r="I631" s="40" t="str">
        <f ca="1">IFERROR(__xludf.DUMMYFUNCTION("""COMPUTED_VALUE"""),"B")</f>
        <v>B</v>
      </c>
      <c r="J631" s="40" t="str">
        <f ca="1">IFERROR(__xludf.DUMMYFUNCTION("""COMPUTED_VALUE"""),"Lino Enguidanos Hernandorena")</f>
        <v>Lino Enguidanos Hernandorena</v>
      </c>
      <c r="K631" s="40"/>
      <c r="L631" s="40" t="str">
        <f t="shared" ca="1" si="4"/>
        <v>ISL62</v>
      </c>
      <c r="M631" s="36" t="str">
        <f t="shared" ca="1" si="5"/>
        <v>ISL</v>
      </c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</row>
    <row r="632" spans="1:27">
      <c r="A632" s="40"/>
      <c r="B632" s="36"/>
      <c r="C632" s="40"/>
      <c r="D632" s="41"/>
      <c r="E632" s="40"/>
      <c r="F632" s="40" t="str">
        <f ca="1">IFERROR(__xludf.DUMMYFUNCTION("""COMPUTED_VALUE"""),"Iván Sánchez")</f>
        <v>Iván Sánchez</v>
      </c>
      <c r="G632" s="40" t="str">
        <f ca="1">IFERROR(__xludf.DUMMYFUNCTION("""COMPUTED_VALUE"""),"ISL")</f>
        <v>ISL</v>
      </c>
      <c r="H632" s="40" t="str">
        <f ca="1">IFERROR(__xludf.DUMMYFUNCTION("""COMPUTED_VALUE"""),"ISL112")</f>
        <v>ISL112</v>
      </c>
      <c r="I632" s="40" t="str">
        <f ca="1">IFERROR(__xludf.DUMMYFUNCTION("""COMPUTED_VALUE"""),"B")</f>
        <v>B</v>
      </c>
      <c r="J632" s="40" t="str">
        <f ca="1">IFERROR(__xludf.DUMMYFUNCTION("""COMPUTED_VALUE"""),"Lorena Galindo Íñiguez")</f>
        <v>Lorena Galindo Íñiguez</v>
      </c>
      <c r="K632" s="40"/>
      <c r="L632" s="40" t="str">
        <f t="shared" ca="1" si="4"/>
        <v>ISL112</v>
      </c>
      <c r="M632" s="36" t="str">
        <f t="shared" ca="1" si="5"/>
        <v>ISL</v>
      </c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</row>
    <row r="633" spans="1:27">
      <c r="A633" s="40"/>
      <c r="B633" s="36"/>
      <c r="C633" s="40"/>
      <c r="D633" s="41"/>
      <c r="E633" s="40"/>
      <c r="F633" s="40" t="str">
        <f ca="1">IFERROR(__xludf.DUMMYFUNCTION("""COMPUTED_VALUE"""),"Maika Blázquez")</f>
        <v>Maika Blázquez</v>
      </c>
      <c r="G633" s="40" t="str">
        <f ca="1">IFERROR(__xludf.DUMMYFUNCTION("""COMPUTED_VALUE"""),"MBM")</f>
        <v>MBM</v>
      </c>
      <c r="H633" s="40" t="str">
        <f ca="1">IFERROR(__xludf.DUMMYFUNCTION("""COMPUTED_VALUE"""),"MBM135")</f>
        <v>MBM135</v>
      </c>
      <c r="I633" s="40" t="str">
        <f ca="1">IFERROR(__xludf.DUMMYFUNCTION("""COMPUTED_VALUE"""),"A")</f>
        <v>A</v>
      </c>
      <c r="J633" s="40" t="str">
        <f ca="1">IFERROR(__xludf.DUMMYFUNCTION("""COMPUTED_VALUE"""),"Lorena Pérez López")</f>
        <v>Lorena Pérez López</v>
      </c>
      <c r="K633" s="40"/>
      <c r="L633" s="40" t="str">
        <f t="shared" ca="1" si="4"/>
        <v>MBM135</v>
      </c>
      <c r="M633" s="36" t="str">
        <f t="shared" ca="1" si="5"/>
        <v>MBM</v>
      </c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</row>
    <row r="634" spans="1:27">
      <c r="A634" s="40"/>
      <c r="B634" s="36"/>
      <c r="C634" s="40"/>
      <c r="D634" s="41"/>
      <c r="E634" s="23"/>
      <c r="F634" s="40" t="str">
        <f ca="1">IFERROR(__xludf.DUMMYFUNCTION("""COMPUTED_VALUE"""),"Maika Blázquez")</f>
        <v>Maika Blázquez</v>
      </c>
      <c r="G634" s="40" t="str">
        <f ca="1">IFERROR(__xludf.DUMMYFUNCTION("""COMPUTED_VALUE"""),"MBM")</f>
        <v>MBM</v>
      </c>
      <c r="H634" s="40" t="str">
        <f ca="1">IFERROR(__xludf.DUMMYFUNCTION("""COMPUTED_VALUE"""),"MBM136")</f>
        <v>MBM136</v>
      </c>
      <c r="I634" s="40" t="str">
        <f ca="1">IFERROR(__xludf.DUMMYFUNCTION("""COMPUTED_VALUE"""),"A")</f>
        <v>A</v>
      </c>
      <c r="J634" s="40" t="str">
        <f ca="1">IFERROR(__xludf.DUMMYFUNCTION("""COMPUTED_VALUE"""),"Lorena Sanz López")</f>
        <v>Lorena Sanz López</v>
      </c>
      <c r="K634" s="40"/>
      <c r="L634" s="40" t="str">
        <f t="shared" ca="1" si="4"/>
        <v>MBM136</v>
      </c>
      <c r="M634" s="36" t="str">
        <f t="shared" ca="1" si="5"/>
        <v>MBM</v>
      </c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</row>
    <row r="635" spans="1:27">
      <c r="A635" s="40"/>
      <c r="B635" s="36"/>
      <c r="C635" s="40"/>
      <c r="D635" s="41"/>
      <c r="E635" s="40"/>
      <c r="F635" s="40" t="str">
        <f ca="1">IFERROR(__xludf.DUMMYFUNCTION("""COMPUTED_VALUE"""),"Iván Sánchez")</f>
        <v>Iván Sánchez</v>
      </c>
      <c r="G635" s="40" t="str">
        <f ca="1">IFERROR(__xludf.DUMMYFUNCTION("""COMPUTED_VALUE"""),"ISL")</f>
        <v>ISL</v>
      </c>
      <c r="H635" s="40" t="str">
        <f ca="1">IFERROR(__xludf.DUMMYFUNCTION("""COMPUTED_VALUE"""),"ISL148")</f>
        <v>ISL148</v>
      </c>
      <c r="I635" s="40" t="str">
        <f ca="1">IFERROR(__xludf.DUMMYFUNCTION("""COMPUTED_VALUE"""),"B")</f>
        <v>B</v>
      </c>
      <c r="J635" s="40" t="str">
        <f ca="1">IFERROR(__xludf.DUMMYFUNCTION("""COMPUTED_VALUE"""),"Lorenzo Treglia")</f>
        <v>Lorenzo Treglia</v>
      </c>
      <c r="K635" s="40"/>
      <c r="L635" s="40" t="str">
        <f t="shared" ca="1" si="4"/>
        <v>ISL148</v>
      </c>
      <c r="M635" s="36" t="str">
        <f t="shared" ca="1" si="5"/>
        <v>ISL</v>
      </c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</row>
    <row r="636" spans="1:27">
      <c r="A636" s="40"/>
      <c r="B636" s="36"/>
      <c r="C636" s="40"/>
      <c r="D636" s="41"/>
      <c r="E636" s="40"/>
      <c r="F636" s="40" t="str">
        <f ca="1">IFERROR(__xludf.DUMMYFUNCTION("""COMPUTED_VALUE"""),"Alberto Moreno")</f>
        <v>Alberto Moreno</v>
      </c>
      <c r="G636" s="40" t="str">
        <f ca="1">IFERROR(__xludf.DUMMYFUNCTION("""COMPUTED_VALUE"""),"AMM")</f>
        <v>AMM</v>
      </c>
      <c r="H636" s="40" t="str">
        <f ca="1">IFERROR(__xludf.DUMMYFUNCTION("""COMPUTED_VALUE"""),"AMM14")</f>
        <v>AMM14</v>
      </c>
      <c r="I636" s="40" t="str">
        <f ca="1">IFERROR(__xludf.DUMMYFUNCTION("""COMPUTED_VALUE"""),"A")</f>
        <v>A</v>
      </c>
      <c r="J636" s="40" t="str">
        <f ca="1">IFERROR(__xludf.DUMMYFUNCTION("""COMPUTED_VALUE"""),"Lourdes Alonso Alonso")</f>
        <v>Lourdes Alonso Alonso</v>
      </c>
      <c r="K636" s="40"/>
      <c r="L636" s="40" t="str">
        <f t="shared" ca="1" si="4"/>
        <v>AMM14</v>
      </c>
      <c r="M636" s="36" t="str">
        <f t="shared" ca="1" si="5"/>
        <v>AMM</v>
      </c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</row>
    <row r="637" spans="1:27">
      <c r="A637" s="40"/>
      <c r="B637" s="36"/>
      <c r="C637" s="40"/>
      <c r="D637" s="41"/>
      <c r="E637" s="40"/>
      <c r="F637" s="40" t="str">
        <f ca="1">IFERROR(__xludf.DUMMYFUNCTION("""COMPUTED_VALUE"""),"Maika Blázquez")</f>
        <v>Maika Blázquez</v>
      </c>
      <c r="G637" s="40" t="str">
        <f ca="1">IFERROR(__xludf.DUMMYFUNCTION("""COMPUTED_VALUE"""),"MBM")</f>
        <v>MBM</v>
      </c>
      <c r="H637" s="40" t="str">
        <f ca="1">IFERROR(__xludf.DUMMYFUNCTION("""COMPUTED_VALUE"""),"MBM137")</f>
        <v>MBM137</v>
      </c>
      <c r="I637" s="40" t="str">
        <f ca="1">IFERROR(__xludf.DUMMYFUNCTION("""COMPUTED_VALUE"""),"A")</f>
        <v>A</v>
      </c>
      <c r="J637" s="40" t="str">
        <f ca="1">IFERROR(__xludf.DUMMYFUNCTION("""COMPUTED_VALUE"""),"Lourdes Montes-Jovellar González")</f>
        <v>Lourdes Montes-Jovellar González</v>
      </c>
      <c r="K637" s="40"/>
      <c r="L637" s="40" t="str">
        <f t="shared" ca="1" si="4"/>
        <v>MBM137</v>
      </c>
      <c r="M637" s="36" t="str">
        <f t="shared" ca="1" si="5"/>
        <v>MBM</v>
      </c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</row>
    <row r="638" spans="1:27">
      <c r="A638" s="40"/>
      <c r="B638" s="36"/>
      <c r="C638" s="40"/>
      <c r="D638" s="41"/>
      <c r="E638" s="40"/>
      <c r="F638" s="40" t="str">
        <f ca="1">IFERROR(__xludf.DUMMYFUNCTION("""COMPUTED_VALUE"""),"Maika Blázquez")</f>
        <v>Maika Blázquez</v>
      </c>
      <c r="G638" s="40" t="str">
        <f ca="1">IFERROR(__xludf.DUMMYFUNCTION("""COMPUTED_VALUE"""),"MBM")</f>
        <v>MBM</v>
      </c>
      <c r="H638" s="40" t="str">
        <f ca="1">IFERROR(__xludf.DUMMYFUNCTION("""COMPUTED_VALUE"""),"MBM63")</f>
        <v>MBM63</v>
      </c>
      <c r="I638" s="40" t="str">
        <f ca="1">IFERROR(__xludf.DUMMYFUNCTION("""COMPUTED_VALUE"""),"A")</f>
        <v>A</v>
      </c>
      <c r="J638" s="40" t="str">
        <f ca="1">IFERROR(__xludf.DUMMYFUNCTION("""COMPUTED_VALUE"""),"Lucas Cueto-Felgueroso")</f>
        <v>Lucas Cueto-Felgueroso</v>
      </c>
      <c r="K638" s="40"/>
      <c r="L638" s="40" t="str">
        <f t="shared" ca="1" si="4"/>
        <v>MBM63</v>
      </c>
      <c r="M638" s="36" t="str">
        <f t="shared" ca="1" si="5"/>
        <v>MBM</v>
      </c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</row>
    <row r="639" spans="1:27">
      <c r="A639" s="40"/>
      <c r="B639" s="36"/>
      <c r="C639" s="40"/>
      <c r="D639" s="41"/>
      <c r="E639" s="40"/>
      <c r="F639" s="40" t="str">
        <f ca="1">IFERROR(__xludf.DUMMYFUNCTION("""COMPUTED_VALUE"""),"Alberto Moreno")</f>
        <v>Alberto Moreno</v>
      </c>
      <c r="G639" s="40" t="str">
        <f ca="1">IFERROR(__xludf.DUMMYFUNCTION("""COMPUTED_VALUE"""),"AMM")</f>
        <v>AMM</v>
      </c>
      <c r="H639" s="40" t="str">
        <f ca="1">IFERROR(__xludf.DUMMYFUNCTION("""COMPUTED_VALUE"""),"AMM26")</f>
        <v>AMM26</v>
      </c>
      <c r="I639" s="40" t="str">
        <f ca="1">IFERROR(__xludf.DUMMYFUNCTION("""COMPUTED_VALUE"""),"A")</f>
        <v>A</v>
      </c>
      <c r="J639" s="40" t="str">
        <f ca="1">IFERROR(__xludf.DUMMYFUNCTION("""COMPUTED_VALUE"""),"Lucía Clement Alonso")</f>
        <v>Lucía Clement Alonso</v>
      </c>
      <c r="K639" s="40"/>
      <c r="L639" s="40" t="str">
        <f t="shared" ca="1" si="4"/>
        <v>AMM26</v>
      </c>
      <c r="M639" s="36" t="str">
        <f t="shared" ca="1" si="5"/>
        <v>AMM</v>
      </c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</row>
    <row r="640" spans="1:27">
      <c r="A640" s="40"/>
      <c r="B640" s="36"/>
      <c r="C640" s="40"/>
      <c r="D640" s="41"/>
      <c r="E640" s="40"/>
      <c r="F640" s="40" t="str">
        <f ca="1">IFERROR(__xludf.DUMMYFUNCTION("""COMPUTED_VALUE"""),"Luis Alberto Rodríguez")</f>
        <v>Luis Alberto Rodríguez</v>
      </c>
      <c r="G640" s="40" t="str">
        <f ca="1">IFERROR(__xludf.DUMMYFUNCTION("""COMPUTED_VALUE"""),"LAA")</f>
        <v>LAA</v>
      </c>
      <c r="H640" s="40" t="str">
        <f ca="1">IFERROR(__xludf.DUMMYFUNCTION("""COMPUTED_VALUE"""),"LAA51")</f>
        <v>LAA51</v>
      </c>
      <c r="I640" s="40" t="str">
        <f ca="1">IFERROR(__xludf.DUMMYFUNCTION("""COMPUTED_VALUE"""),"C")</f>
        <v>C</v>
      </c>
      <c r="J640" s="40" t="str">
        <f ca="1">IFERROR(__xludf.DUMMYFUNCTION("""COMPUTED_VALUE"""),"Lucia Prieto Sánchez de la Puerta")</f>
        <v>Lucia Prieto Sánchez de la Puerta</v>
      </c>
      <c r="K640" s="40"/>
      <c r="L640" s="40" t="str">
        <f t="shared" ca="1" si="4"/>
        <v>LAA51</v>
      </c>
      <c r="M640" s="36" t="str">
        <f t="shared" ca="1" si="5"/>
        <v>LAA</v>
      </c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</row>
    <row r="641" spans="1:27">
      <c r="A641" s="40"/>
      <c r="B641" s="36"/>
      <c r="C641" s="40"/>
      <c r="D641" s="41"/>
      <c r="E641" s="40"/>
      <c r="F641" s="40" t="str">
        <f ca="1">IFERROR(__xludf.DUMMYFUNCTION("""COMPUTED_VALUE"""),"Iván Sánchez")</f>
        <v>Iván Sánchez</v>
      </c>
      <c r="G641" s="40" t="str">
        <f ca="1">IFERROR(__xludf.DUMMYFUNCTION("""COMPUTED_VALUE"""),"ISL")</f>
        <v>ISL</v>
      </c>
      <c r="H641" s="40" t="str">
        <f ca="1">IFERROR(__xludf.DUMMYFUNCTION("""COMPUTED_VALUE"""),"ISL63")</f>
        <v>ISL63</v>
      </c>
      <c r="I641" s="40" t="str">
        <f ca="1">IFERROR(__xludf.DUMMYFUNCTION("""COMPUTED_VALUE"""),"B")</f>
        <v>B</v>
      </c>
      <c r="J641" s="40" t="str">
        <f ca="1">IFERROR(__xludf.DUMMYFUNCTION("""COMPUTED_VALUE"""),"Luis Ferrán de la Cierva")</f>
        <v>Luis Ferrán de la Cierva</v>
      </c>
      <c r="K641" s="40"/>
      <c r="L641" s="40" t="str">
        <f t="shared" ca="1" si="4"/>
        <v>ISL63</v>
      </c>
      <c r="M641" s="36" t="str">
        <f t="shared" ca="1" si="5"/>
        <v>ISL</v>
      </c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</row>
    <row r="642" spans="1:27">
      <c r="A642" s="40"/>
      <c r="B642" s="36"/>
      <c r="C642" s="40"/>
      <c r="D642" s="41"/>
      <c r="E642" s="40"/>
      <c r="F642" s="40" t="str">
        <f ca="1">IFERROR(__xludf.DUMMYFUNCTION("""COMPUTED_VALUE"""),"Luis Alberto Rodríguez")</f>
        <v>Luis Alberto Rodríguez</v>
      </c>
      <c r="G642" s="40" t="str">
        <f ca="1">IFERROR(__xludf.DUMMYFUNCTION("""COMPUTED_VALUE"""),"LAA")</f>
        <v>LAA</v>
      </c>
      <c r="H642" s="40" t="str">
        <f ca="1">IFERROR(__xludf.DUMMYFUNCTION("""COMPUTED_VALUE"""),"LAA31")</f>
        <v>LAA31</v>
      </c>
      <c r="I642" s="40" t="str">
        <f ca="1">IFERROR(__xludf.DUMMYFUNCTION("""COMPUTED_VALUE"""),"C")</f>
        <v>C</v>
      </c>
      <c r="J642" s="40" t="str">
        <f ca="1">IFERROR(__xludf.DUMMYFUNCTION("""COMPUTED_VALUE"""),"Luis Fidel Nieto Hernández")</f>
        <v>Luis Fidel Nieto Hernández</v>
      </c>
      <c r="K642" s="40"/>
      <c r="L642" s="40" t="str">
        <f t="shared" ca="1" si="4"/>
        <v>LAA31</v>
      </c>
      <c r="M642" s="36" t="str">
        <f t="shared" ca="1" si="5"/>
        <v>LAA</v>
      </c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</row>
    <row r="643" spans="1:27">
      <c r="A643" s="40"/>
      <c r="B643" s="36"/>
      <c r="C643" s="40"/>
      <c r="D643" s="41"/>
      <c r="E643" s="40"/>
      <c r="F643" s="40" t="str">
        <f ca="1">IFERROR(__xludf.DUMMYFUNCTION("""COMPUTED_VALUE"""),"Luis Alberto Rodríguez")</f>
        <v>Luis Alberto Rodríguez</v>
      </c>
      <c r="G643" s="40" t="str">
        <f ca="1">IFERROR(__xludf.DUMMYFUNCTION("""COMPUTED_VALUE"""),"LAA")</f>
        <v>LAA</v>
      </c>
      <c r="H643" s="40" t="str">
        <f ca="1">IFERROR(__xludf.DUMMYFUNCTION("""COMPUTED_VALUE"""),"LAA32")</f>
        <v>LAA32</v>
      </c>
      <c r="I643" s="40" t="str">
        <f ca="1">IFERROR(__xludf.DUMMYFUNCTION("""COMPUTED_VALUE"""),"C")</f>
        <v>C</v>
      </c>
      <c r="J643" s="40" t="str">
        <f ca="1">IFERROR(__xludf.DUMMYFUNCTION("""COMPUTED_VALUE"""),"Luis Florencio Alba")</f>
        <v>Luis Florencio Alba</v>
      </c>
      <c r="K643" s="40"/>
      <c r="L643" s="40" t="str">
        <f t="shared" ca="1" si="4"/>
        <v>LAA32</v>
      </c>
      <c r="M643" s="36" t="str">
        <f t="shared" ca="1" si="5"/>
        <v>LAA</v>
      </c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</row>
    <row r="644" spans="1:27">
      <c r="A644" s="40"/>
      <c r="B644" s="36"/>
      <c r="C644" s="40"/>
      <c r="D644" s="41"/>
      <c r="E644" s="40"/>
      <c r="F644" s="40" t="str">
        <f ca="1">IFERROR(__xludf.DUMMYFUNCTION("""COMPUTED_VALUE"""),"Lisandro Russian")</f>
        <v>Lisandro Russian</v>
      </c>
      <c r="G644" s="40" t="str">
        <f ca="1">IFERROR(__xludf.DUMMYFUNCTION("""COMPUTED_VALUE"""),"LRM")</f>
        <v>LRM</v>
      </c>
      <c r="H644" s="40" t="str">
        <f ca="1">IFERROR(__xludf.DUMMYFUNCTION("""COMPUTED_VALUE"""),"LRM93")</f>
        <v>LRM93</v>
      </c>
      <c r="I644" s="40" t="str">
        <f ca="1">IFERROR(__xludf.DUMMYFUNCTION("""COMPUTED_VALUE"""),"A")</f>
        <v>A</v>
      </c>
      <c r="J644" s="40" t="str">
        <f ca="1">IFERROR(__xludf.DUMMYFUNCTION("""COMPUTED_VALUE"""),"Luis Francisco Aznar Bartolomé")</f>
        <v>Luis Francisco Aznar Bartolomé</v>
      </c>
      <c r="K644" s="40"/>
      <c r="L644" s="40" t="str">
        <f t="shared" ca="1" si="4"/>
        <v>LRM93</v>
      </c>
      <c r="M644" s="36" t="str">
        <f t="shared" ca="1" si="5"/>
        <v>LRM</v>
      </c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</row>
    <row r="645" spans="1:27">
      <c r="A645" s="40"/>
      <c r="B645" s="36"/>
      <c r="C645" s="40"/>
      <c r="D645" s="41"/>
      <c r="E645" s="40"/>
      <c r="F645" s="40" t="str">
        <f ca="1">IFERROR(__xludf.DUMMYFUNCTION("""COMPUTED_VALUE"""),"Maika Blázquez")</f>
        <v>Maika Blázquez</v>
      </c>
      <c r="G645" s="40" t="str">
        <f ca="1">IFERROR(__xludf.DUMMYFUNCTION("""COMPUTED_VALUE"""),"MBM")</f>
        <v>MBM</v>
      </c>
      <c r="H645" s="40" t="str">
        <f ca="1">IFERROR(__xludf.DUMMYFUNCTION("""COMPUTED_VALUE"""),"MBM64")</f>
        <v>MBM64</v>
      </c>
      <c r="I645" s="40" t="str">
        <f ca="1">IFERROR(__xludf.DUMMYFUNCTION("""COMPUTED_VALUE"""),"A")</f>
        <v>A</v>
      </c>
      <c r="J645" s="40" t="str">
        <f ca="1">IFERROR(__xludf.DUMMYFUNCTION("""COMPUTED_VALUE"""),"Luis Guillermo Trevissón Maza")</f>
        <v>Luis Guillermo Trevissón Maza</v>
      </c>
      <c r="K645" s="40"/>
      <c r="L645" s="40" t="str">
        <f t="shared" ca="1" si="4"/>
        <v>MBM64</v>
      </c>
      <c r="M645" s="36" t="str">
        <f t="shared" ca="1" si="5"/>
        <v>MBM</v>
      </c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</row>
    <row r="646" spans="1:27">
      <c r="A646" s="40"/>
      <c r="B646" s="36"/>
      <c r="C646" s="40"/>
      <c r="D646" s="41"/>
      <c r="E646" s="40"/>
      <c r="F646" s="40" t="str">
        <f ca="1">IFERROR(__xludf.DUMMYFUNCTION("""COMPUTED_VALUE"""),"Lisandro Russian")</f>
        <v>Lisandro Russian</v>
      </c>
      <c r="G646" s="40" t="str">
        <f ca="1">IFERROR(__xludf.DUMMYFUNCTION("""COMPUTED_VALUE"""),"LRM")</f>
        <v>LRM</v>
      </c>
      <c r="H646" s="40" t="str">
        <f ca="1">IFERROR(__xludf.DUMMYFUNCTION("""COMPUTED_VALUE"""),"LRM94")</f>
        <v>LRM94</v>
      </c>
      <c r="I646" s="40" t="str">
        <f ca="1">IFERROR(__xludf.DUMMYFUNCTION("""COMPUTED_VALUE"""),"A")</f>
        <v>A</v>
      </c>
      <c r="J646" s="40" t="str">
        <f ca="1">IFERROR(__xludf.DUMMYFUNCTION("""COMPUTED_VALUE"""),"Luis Jiménez Ferreres")</f>
        <v>Luis Jiménez Ferreres</v>
      </c>
      <c r="K646" s="40"/>
      <c r="L646" s="40" t="str">
        <f t="shared" ca="1" si="4"/>
        <v>LRM94</v>
      </c>
      <c r="M646" s="36" t="str">
        <f t="shared" ca="1" si="5"/>
        <v>LRM</v>
      </c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</row>
    <row r="647" spans="1:27">
      <c r="A647" s="40"/>
      <c r="B647" s="36"/>
      <c r="C647" s="40"/>
      <c r="D647" s="41"/>
      <c r="E647" s="40"/>
      <c r="F647" s="40" t="str">
        <f ca="1">IFERROR(__xludf.DUMMYFUNCTION("""COMPUTED_VALUE"""),"Patricia Solache")</f>
        <v>Patricia Solache</v>
      </c>
      <c r="G647" s="40" t="str">
        <f ca="1">IFERROR(__xludf.DUMMYFUNCTION("""COMPUTED_VALUE"""),"PSC")</f>
        <v>PSC</v>
      </c>
      <c r="H647" s="40" t="str">
        <f ca="1">IFERROR(__xludf.DUMMYFUNCTION("""COMPUTED_VALUE"""),"PSC21")</f>
        <v>PSC21</v>
      </c>
      <c r="I647" s="40" t="str">
        <f ca="1">IFERROR(__xludf.DUMMYFUNCTION("""COMPUTED_VALUE"""),"A")</f>
        <v>A</v>
      </c>
      <c r="J647" s="40" t="str">
        <f ca="1">IFERROR(__xludf.DUMMYFUNCTION("""COMPUTED_VALUE"""),"Luis José Domínguez Ugidos")</f>
        <v>Luis José Domínguez Ugidos</v>
      </c>
      <c r="K647" s="40"/>
      <c r="L647" s="40" t="str">
        <f t="shared" ca="1" si="4"/>
        <v>PSC21</v>
      </c>
      <c r="M647" s="36" t="str">
        <f t="shared" ca="1" si="5"/>
        <v>PSC</v>
      </c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</row>
    <row r="648" spans="1:27">
      <c r="A648" s="40"/>
      <c r="B648" s="36"/>
      <c r="C648" s="40"/>
      <c r="D648" s="41"/>
      <c r="E648" s="40"/>
      <c r="F648" s="40" t="str">
        <f ca="1">IFERROR(__xludf.DUMMYFUNCTION("""COMPUTED_VALUE"""),"Ramon Ferrando")</f>
        <v>Ramon Ferrando</v>
      </c>
      <c r="G648" s="40" t="str">
        <f ca="1">IFERROR(__xludf.DUMMYFUNCTION("""COMPUTED_VALUE"""),"RFV")</f>
        <v>RFV</v>
      </c>
      <c r="H648" s="40" t="str">
        <f ca="1">IFERROR(__xludf.DUMMYFUNCTION("""COMPUTED_VALUE"""),"RFV19")</f>
        <v>RFV19</v>
      </c>
      <c r="I648" s="40" t="str">
        <f ca="1">IFERROR(__xludf.DUMMYFUNCTION("""COMPUTED_VALUE"""),"B")</f>
        <v>B</v>
      </c>
      <c r="J648" s="40" t="str">
        <f ca="1">IFERROR(__xludf.DUMMYFUNCTION("""COMPUTED_VALUE"""),"Luis Martínez Bernabeu")</f>
        <v>Luis Martínez Bernabeu</v>
      </c>
      <c r="K648" s="40"/>
      <c r="L648" s="40" t="str">
        <f t="shared" ca="1" si="4"/>
        <v>RFV19</v>
      </c>
      <c r="M648" s="36" t="str">
        <f t="shared" ca="1" si="5"/>
        <v>RFV</v>
      </c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</row>
    <row r="649" spans="1:27">
      <c r="A649" s="40"/>
      <c r="B649" s="36"/>
      <c r="C649" s="40"/>
      <c r="D649" s="41"/>
      <c r="E649" s="40"/>
      <c r="F649" s="40" t="str">
        <f ca="1">IFERROR(__xludf.DUMMYFUNCTION("""COMPUTED_VALUE"""),"Ramon Ferrando")</f>
        <v>Ramon Ferrando</v>
      </c>
      <c r="G649" s="40" t="str">
        <f ca="1">IFERROR(__xludf.DUMMYFUNCTION("""COMPUTED_VALUE"""),"RFV")</f>
        <v>RFV</v>
      </c>
      <c r="H649" s="40" t="str">
        <f ca="1">IFERROR(__xludf.DUMMYFUNCTION("""COMPUTED_VALUE"""),"RFV05")</f>
        <v>RFV05</v>
      </c>
      <c r="I649" s="40" t="str">
        <f ca="1">IFERROR(__xludf.DUMMYFUNCTION("""COMPUTED_VALUE"""),"B")</f>
        <v>B</v>
      </c>
      <c r="J649" s="40" t="str">
        <f ca="1">IFERROR(__xludf.DUMMYFUNCTION("""COMPUTED_VALUE"""),"Luis Megías Gámiz")</f>
        <v>Luis Megías Gámiz</v>
      </c>
      <c r="K649" s="40"/>
      <c r="L649" s="40" t="str">
        <f t="shared" ca="1" si="4"/>
        <v>RFV05</v>
      </c>
      <c r="M649" s="36" t="str">
        <f t="shared" ca="1" si="5"/>
        <v>RFV</v>
      </c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</row>
    <row r="650" spans="1:27">
      <c r="A650" s="40"/>
      <c r="B650" s="36"/>
      <c r="C650" s="40"/>
      <c r="D650" s="41"/>
      <c r="E650" s="40"/>
      <c r="F650" s="40" t="str">
        <f ca="1">IFERROR(__xludf.DUMMYFUNCTION("""COMPUTED_VALUE"""),"Lisandro Russian")</f>
        <v>Lisandro Russian</v>
      </c>
      <c r="G650" s="40" t="str">
        <f ca="1">IFERROR(__xludf.DUMMYFUNCTION("""COMPUTED_VALUE"""),"LRM")</f>
        <v>LRM</v>
      </c>
      <c r="H650" s="40" t="str">
        <f ca="1">IFERROR(__xludf.DUMMYFUNCTION("""COMPUTED_VALUE"""),"LRM95")</f>
        <v>LRM95</v>
      </c>
      <c r="I650" s="40" t="str">
        <f ca="1">IFERROR(__xludf.DUMMYFUNCTION("""COMPUTED_VALUE"""),"A")</f>
        <v>A</v>
      </c>
      <c r="J650" s="40" t="str">
        <f ca="1">IFERROR(__xludf.DUMMYFUNCTION("""COMPUTED_VALUE"""),"Luis Miguel Carmen Sampériz")</f>
        <v>Luis Miguel Carmen Sampériz</v>
      </c>
      <c r="K650" s="40"/>
      <c r="L650" s="40" t="str">
        <f t="shared" ca="1" si="4"/>
        <v>LRM95</v>
      </c>
      <c r="M650" s="36" t="str">
        <f t="shared" ca="1" si="5"/>
        <v>LRM</v>
      </c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</row>
    <row r="651" spans="1:27">
      <c r="A651" s="40"/>
      <c r="B651" s="36"/>
      <c r="C651" s="40"/>
      <c r="D651" s="41"/>
      <c r="E651" s="40"/>
      <c r="F651" s="40" t="str">
        <f ca="1">IFERROR(__xludf.DUMMYFUNCTION("""COMPUTED_VALUE"""),"Lisandro Russian")</f>
        <v>Lisandro Russian</v>
      </c>
      <c r="G651" s="40" t="str">
        <f ca="1">IFERROR(__xludf.DUMMYFUNCTION("""COMPUTED_VALUE"""),"LRM")</f>
        <v>LRM</v>
      </c>
      <c r="H651" s="40" t="str">
        <f ca="1">IFERROR(__xludf.DUMMYFUNCTION("""COMPUTED_VALUE"""),"LRM96")</f>
        <v>LRM96</v>
      </c>
      <c r="I651" s="40" t="str">
        <f ca="1">IFERROR(__xludf.DUMMYFUNCTION("""COMPUTED_VALUE"""),"A")</f>
        <v>A</v>
      </c>
      <c r="J651" s="40" t="str">
        <f ca="1">IFERROR(__xludf.DUMMYFUNCTION("""COMPUTED_VALUE"""),"Luis Miguel Menéndez Colino")</f>
        <v>Luis Miguel Menéndez Colino</v>
      </c>
      <c r="K651" s="40"/>
      <c r="L651" s="40" t="str">
        <f t="shared" ca="1" si="4"/>
        <v>LRM96</v>
      </c>
      <c r="M651" s="36" t="str">
        <f t="shared" ca="1" si="5"/>
        <v>LRM</v>
      </c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</row>
    <row r="652" spans="1:27">
      <c r="A652" s="40"/>
      <c r="B652" s="36"/>
      <c r="C652" s="40"/>
      <c r="D652" s="41"/>
      <c r="E652" s="40"/>
      <c r="F652" s="40" t="str">
        <f ca="1">IFERROR(__xludf.DUMMYFUNCTION("""COMPUTED_VALUE"""),"Lisandro Russian")</f>
        <v>Lisandro Russian</v>
      </c>
      <c r="G652" s="40" t="str">
        <f ca="1">IFERROR(__xludf.DUMMYFUNCTION("""COMPUTED_VALUE"""),"LRM")</f>
        <v>LRM</v>
      </c>
      <c r="H652" s="40" t="str">
        <f ca="1">IFERROR(__xludf.DUMMYFUNCTION("""COMPUTED_VALUE"""),"LRM97")</f>
        <v>LRM97</v>
      </c>
      <c r="I652" s="40" t="str">
        <f ca="1">IFERROR(__xludf.DUMMYFUNCTION("""COMPUTED_VALUE"""),"A")</f>
        <v>A</v>
      </c>
      <c r="J652" s="40" t="str">
        <f ca="1">IFERROR(__xludf.DUMMYFUNCTION("""COMPUTED_VALUE"""),"Luis Miguel Menéndez Colino")</f>
        <v>Luis Miguel Menéndez Colino</v>
      </c>
      <c r="K652" s="40"/>
      <c r="L652" s="40" t="str">
        <f t="shared" ca="1" si="4"/>
        <v>LRM97</v>
      </c>
      <c r="M652" s="36" t="str">
        <f t="shared" ca="1" si="5"/>
        <v>LRM</v>
      </c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</row>
    <row r="653" spans="1:27">
      <c r="A653" s="40"/>
      <c r="B653" s="36"/>
      <c r="C653" s="40"/>
      <c r="D653" s="41"/>
      <c r="E653" s="40"/>
      <c r="F653" s="40" t="str">
        <f ca="1">IFERROR(__xludf.DUMMYFUNCTION("""COMPUTED_VALUE"""),"Patricia Solache")</f>
        <v>Patricia Solache</v>
      </c>
      <c r="G653" s="40" t="str">
        <f ca="1">IFERROR(__xludf.DUMMYFUNCTION("""COMPUTED_VALUE"""),"PSC")</f>
        <v>PSC</v>
      </c>
      <c r="H653" s="40" t="str">
        <f ca="1">IFERROR(__xludf.DUMMYFUNCTION("""COMPUTED_VALUE"""),"PSC22")</f>
        <v>PSC22</v>
      </c>
      <c r="I653" s="40" t="str">
        <f ca="1">IFERROR(__xludf.DUMMYFUNCTION("""COMPUTED_VALUE"""),"A")</f>
        <v>A</v>
      </c>
      <c r="J653" s="40" t="str">
        <f ca="1">IFERROR(__xludf.DUMMYFUNCTION("""COMPUTED_VALUE"""),"Luis Miguel Rincón Esteban")</f>
        <v>Luis Miguel Rincón Esteban</v>
      </c>
      <c r="K653" s="40"/>
      <c r="L653" s="40" t="str">
        <f t="shared" ca="1" si="4"/>
        <v>PSC22</v>
      </c>
      <c r="M653" s="36" t="str">
        <f t="shared" ca="1" si="5"/>
        <v>PSC</v>
      </c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</row>
    <row r="654" spans="1:27">
      <c r="A654" s="40"/>
      <c r="B654" s="36"/>
      <c r="C654" s="40"/>
      <c r="D654" s="41"/>
      <c r="E654" s="40"/>
      <c r="F654" s="40" t="str">
        <f ca="1">IFERROR(__xludf.DUMMYFUNCTION("""COMPUTED_VALUE"""),"Ramon Ferrando")</f>
        <v>Ramon Ferrando</v>
      </c>
      <c r="G654" s="40" t="str">
        <f ca="1">IFERROR(__xludf.DUMMYFUNCTION("""COMPUTED_VALUE"""),"RFV")</f>
        <v>RFV</v>
      </c>
      <c r="H654" s="40" t="str">
        <f ca="1">IFERROR(__xludf.DUMMYFUNCTION("""COMPUTED_VALUE"""),"RFV20")</f>
        <v>RFV20</v>
      </c>
      <c r="I654" s="40" t="str">
        <f ca="1">IFERROR(__xludf.DUMMYFUNCTION("""COMPUTED_VALUE"""),"B")</f>
        <v>B</v>
      </c>
      <c r="J654" s="40" t="str">
        <f ca="1">IFERROR(__xludf.DUMMYFUNCTION("""COMPUTED_VALUE"""),"Luís Mompó Romero")</f>
        <v>Luís Mompó Romero</v>
      </c>
      <c r="K654" s="40"/>
      <c r="L654" s="40" t="str">
        <f t="shared" ca="1" si="4"/>
        <v>RFV20</v>
      </c>
      <c r="M654" s="36" t="str">
        <f t="shared" ca="1" si="5"/>
        <v>RFV</v>
      </c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</row>
    <row r="655" spans="1:27">
      <c r="A655" s="40"/>
      <c r="B655" s="36"/>
      <c r="C655" s="40"/>
      <c r="D655" s="41"/>
      <c r="E655" s="40"/>
      <c r="F655" s="40" t="str">
        <f ca="1">IFERROR(__xludf.DUMMYFUNCTION("""COMPUTED_VALUE"""),"Iván Sánchez")</f>
        <v>Iván Sánchez</v>
      </c>
      <c r="G655" s="40" t="str">
        <f ca="1">IFERROR(__xludf.DUMMYFUNCTION("""COMPUTED_VALUE"""),"ISL")</f>
        <v>ISL</v>
      </c>
      <c r="H655" s="40" t="str">
        <f ca="1">IFERROR(__xludf.DUMMYFUNCTION("""COMPUTED_VALUE"""),"ISL113")</f>
        <v>ISL113</v>
      </c>
      <c r="I655" s="40" t="str">
        <f ca="1">IFERROR(__xludf.DUMMYFUNCTION("""COMPUTED_VALUE"""),"B")</f>
        <v>B</v>
      </c>
      <c r="J655" s="40" t="str">
        <f ca="1">IFERROR(__xludf.DUMMYFUNCTION("""COMPUTED_VALUE"""),"Luisa Payá Pérez")</f>
        <v>Luisa Payá Pérez</v>
      </c>
      <c r="K655" s="40"/>
      <c r="L655" s="40" t="str">
        <f t="shared" ca="1" si="4"/>
        <v>ISL113</v>
      </c>
      <c r="M655" s="36" t="str">
        <f t="shared" ca="1" si="5"/>
        <v>ISL</v>
      </c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</row>
    <row r="656" spans="1:27">
      <c r="A656" s="40"/>
      <c r="B656" s="36"/>
      <c r="C656" s="40"/>
      <c r="D656" s="41"/>
      <c r="E656" s="40"/>
      <c r="F656" s="40" t="str">
        <f ca="1">IFERROR(__xludf.DUMMYFUNCTION("""COMPUTED_VALUE"""),"Iván Sánchez")</f>
        <v>Iván Sánchez</v>
      </c>
      <c r="G656" s="40" t="str">
        <f ca="1">IFERROR(__xludf.DUMMYFUNCTION("""COMPUTED_VALUE"""),"ISL")</f>
        <v>ISL</v>
      </c>
      <c r="H656" s="40" t="str">
        <f ca="1">IFERROR(__xludf.DUMMYFUNCTION("""COMPUTED_VALUE"""),"ISL114")</f>
        <v>ISL114</v>
      </c>
      <c r="I656" s="40" t="str">
        <f ca="1">IFERROR(__xludf.DUMMYFUNCTION("""COMPUTED_VALUE"""),"B")</f>
        <v>B</v>
      </c>
      <c r="J656" s="40" t="str">
        <f ca="1">IFERROR(__xludf.DUMMYFUNCTION("""COMPUTED_VALUE"""),"Luz Barona Lleo")</f>
        <v>Luz Barona Lleo</v>
      </c>
      <c r="K656" s="40"/>
      <c r="L656" s="40" t="str">
        <f t="shared" ca="1" si="4"/>
        <v>ISL114</v>
      </c>
      <c r="M656" s="36" t="str">
        <f t="shared" ca="1" si="5"/>
        <v>ISL</v>
      </c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</row>
    <row r="657" spans="1:27">
      <c r="A657" s="40"/>
      <c r="B657" s="36"/>
      <c r="C657" s="40"/>
      <c r="D657" s="41"/>
      <c r="E657" s="40"/>
      <c r="F657" s="40" t="str">
        <f ca="1">IFERROR(__xludf.DUMMYFUNCTION("""COMPUTED_VALUE"""),"Lisandro Russian")</f>
        <v>Lisandro Russian</v>
      </c>
      <c r="G657" s="40" t="str">
        <f ca="1">IFERROR(__xludf.DUMMYFUNCTION("""COMPUTED_VALUE"""),"LRM")</f>
        <v>LRM</v>
      </c>
      <c r="H657" s="40" t="str">
        <f ca="1">IFERROR(__xludf.DUMMYFUNCTION("""COMPUTED_VALUE"""),"LRM176")</f>
        <v>LRM176</v>
      </c>
      <c r="I657" s="40" t="str">
        <f ca="1">IFERROR(__xludf.DUMMYFUNCTION("""COMPUTED_VALUE"""),"A")</f>
        <v>A</v>
      </c>
      <c r="J657" s="40" t="str">
        <f ca="1">IFERROR(__xludf.DUMMYFUNCTION("""COMPUTED_VALUE"""),"Macarena Falcon")</f>
        <v>Macarena Falcon</v>
      </c>
      <c r="K657" s="40"/>
      <c r="L657" s="40" t="str">
        <f t="shared" ca="1" si="4"/>
        <v>LRM176</v>
      </c>
      <c r="M657" s="36" t="str">
        <f t="shared" ca="1" si="5"/>
        <v>LRM</v>
      </c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</row>
    <row r="658" spans="1:27">
      <c r="A658" s="40"/>
      <c r="B658" s="36"/>
      <c r="C658" s="40"/>
      <c r="D658" s="41"/>
      <c r="E658" s="40"/>
      <c r="F658" s="40" t="str">
        <f ca="1">IFERROR(__xludf.DUMMYFUNCTION("""COMPUTED_VALUE"""),"Iván Sánchez")</f>
        <v>Iván Sánchez</v>
      </c>
      <c r="G658" s="40" t="str">
        <f ca="1">IFERROR(__xludf.DUMMYFUNCTION("""COMPUTED_VALUE"""),"ISL")</f>
        <v>ISL</v>
      </c>
      <c r="H658" s="40" t="str">
        <f ca="1">IFERROR(__xludf.DUMMYFUNCTION("""COMPUTED_VALUE"""),"ISL64")</f>
        <v>ISL64</v>
      </c>
      <c r="I658" s="40" t="str">
        <f ca="1">IFERROR(__xludf.DUMMYFUNCTION("""COMPUTED_VALUE"""),"B")</f>
        <v>B</v>
      </c>
      <c r="J658" s="40" t="str">
        <f ca="1">IFERROR(__xludf.DUMMYFUNCTION("""COMPUTED_VALUE"""),"Manuel Acebal Lucía")</f>
        <v>Manuel Acebal Lucía</v>
      </c>
      <c r="K658" s="40"/>
      <c r="L658" s="40" t="str">
        <f t="shared" ca="1" si="4"/>
        <v>ISL64</v>
      </c>
      <c r="M658" s="36" t="str">
        <f t="shared" ca="1" si="5"/>
        <v>ISL</v>
      </c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</row>
    <row r="659" spans="1:27">
      <c r="A659" s="40"/>
      <c r="B659" s="36"/>
      <c r="C659" s="40"/>
      <c r="D659" s="41"/>
      <c r="E659" s="40"/>
      <c r="F659" s="40" t="str">
        <f ca="1">IFERROR(__xludf.DUMMYFUNCTION("""COMPUTED_VALUE"""),"Patricia Solache")</f>
        <v>Patricia Solache</v>
      </c>
      <c r="G659" s="40" t="str">
        <f ca="1">IFERROR(__xludf.DUMMYFUNCTION("""COMPUTED_VALUE"""),"PSC")</f>
        <v>PSC</v>
      </c>
      <c r="H659" s="40" t="str">
        <f ca="1">IFERROR(__xludf.DUMMYFUNCTION("""COMPUTED_VALUE"""),"PSC23")</f>
        <v>PSC23</v>
      </c>
      <c r="I659" s="40" t="str">
        <f ca="1">IFERROR(__xludf.DUMMYFUNCTION("""COMPUTED_VALUE"""),"A")</f>
        <v>A</v>
      </c>
      <c r="J659" s="40" t="str">
        <f ca="1">IFERROR(__xludf.DUMMYFUNCTION("""COMPUTED_VALUE"""),"Manuel Acuña García")</f>
        <v>Manuel Acuña García</v>
      </c>
      <c r="K659" s="40"/>
      <c r="L659" s="40" t="str">
        <f t="shared" ca="1" si="4"/>
        <v>PSC23</v>
      </c>
      <c r="M659" s="36" t="str">
        <f t="shared" ca="1" si="5"/>
        <v>PSC</v>
      </c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</row>
    <row r="660" spans="1:27">
      <c r="A660" s="40"/>
      <c r="B660" s="36"/>
      <c r="C660" s="40"/>
      <c r="D660" s="41"/>
      <c r="E660" s="40"/>
      <c r="F660" s="40" t="str">
        <f ca="1">IFERROR(__xludf.DUMMYFUNCTION("""COMPUTED_VALUE"""),"Lisandro Russian")</f>
        <v>Lisandro Russian</v>
      </c>
      <c r="G660" s="40" t="str">
        <f ca="1">IFERROR(__xludf.DUMMYFUNCTION("""COMPUTED_VALUE"""),"LRM")</f>
        <v>LRM</v>
      </c>
      <c r="H660" s="40" t="str">
        <f ca="1">IFERROR(__xludf.DUMMYFUNCTION("""COMPUTED_VALUE"""),"LRM98")</f>
        <v>LRM98</v>
      </c>
      <c r="I660" s="40" t="str">
        <f ca="1">IFERROR(__xludf.DUMMYFUNCTION("""COMPUTED_VALUE"""),"A")</f>
        <v>A</v>
      </c>
      <c r="J660" s="40" t="str">
        <f ca="1">IFERROR(__xludf.DUMMYFUNCTION("""COMPUTED_VALUE"""),"Manuel Cañete Domínguez")</f>
        <v>Manuel Cañete Domínguez</v>
      </c>
      <c r="K660" s="40"/>
      <c r="L660" s="40" t="str">
        <f t="shared" ca="1" si="4"/>
        <v>LRM98</v>
      </c>
      <c r="M660" s="36" t="str">
        <f t="shared" ca="1" si="5"/>
        <v>LRM</v>
      </c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</row>
    <row r="661" spans="1:27">
      <c r="A661" s="40"/>
      <c r="B661" s="36"/>
      <c r="C661" s="40"/>
      <c r="D661" s="41"/>
      <c r="E661" s="40"/>
      <c r="F661" s="40" t="str">
        <f ca="1">IFERROR(__xludf.DUMMYFUNCTION("""COMPUTED_VALUE"""),"Roberto Pereira")</f>
        <v>Roberto Pereira</v>
      </c>
      <c r="G661" s="40" t="str">
        <f ca="1">IFERROR(__xludf.DUMMYFUNCTION("""COMPUTED_VALUE"""),"RPG")</f>
        <v>RPG</v>
      </c>
      <c r="H661" s="40" t="str">
        <f ca="1">IFERROR(__xludf.DUMMYFUNCTION("""COMPUTED_VALUE"""),"RPG27")</f>
        <v>RPG27</v>
      </c>
      <c r="I661" s="40" t="str">
        <f ca="1">IFERROR(__xludf.DUMMYFUNCTION("""COMPUTED_VALUE"""),"A")</f>
        <v>A</v>
      </c>
      <c r="J661" s="40" t="str">
        <f ca="1">IFERROR(__xludf.DUMMYFUNCTION("""COMPUTED_VALUE"""),"Manuel Estevez García")</f>
        <v>Manuel Estevez García</v>
      </c>
      <c r="K661" s="40"/>
      <c r="L661" s="40" t="str">
        <f t="shared" ca="1" si="4"/>
        <v>RPG27</v>
      </c>
      <c r="M661" s="36" t="str">
        <f t="shared" ca="1" si="5"/>
        <v>RPG</v>
      </c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</row>
    <row r="662" spans="1:27">
      <c r="A662" s="40"/>
      <c r="B662" s="36"/>
      <c r="C662" s="40"/>
      <c r="D662" s="41"/>
      <c r="E662" s="40"/>
      <c r="F662" s="40" t="str">
        <f ca="1">IFERROR(__xludf.DUMMYFUNCTION("""COMPUTED_VALUE"""),"Lisandro Russian")</f>
        <v>Lisandro Russian</v>
      </c>
      <c r="G662" s="40" t="str">
        <f ca="1">IFERROR(__xludf.DUMMYFUNCTION("""COMPUTED_VALUE"""),"LRM")</f>
        <v>LRM</v>
      </c>
      <c r="H662" s="40" t="str">
        <f ca="1">IFERROR(__xludf.DUMMYFUNCTION("""COMPUTED_VALUE"""),"LRM99")</f>
        <v>LRM99</v>
      </c>
      <c r="I662" s="40" t="str">
        <f ca="1">IFERROR(__xludf.DUMMYFUNCTION("""COMPUTED_VALUE"""),"A")</f>
        <v>A</v>
      </c>
      <c r="J662" s="40" t="str">
        <f ca="1">IFERROR(__xludf.DUMMYFUNCTION("""COMPUTED_VALUE"""),"Manuel García Cantos")</f>
        <v>Manuel García Cantos</v>
      </c>
      <c r="K662" s="40"/>
      <c r="L662" s="40" t="str">
        <f t="shared" ca="1" si="4"/>
        <v>LRM99</v>
      </c>
      <c r="M662" s="36" t="str">
        <f t="shared" ca="1" si="5"/>
        <v>LRM</v>
      </c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</row>
    <row r="663" spans="1:27">
      <c r="A663" s="40"/>
      <c r="B663" s="36"/>
      <c r="C663" s="40"/>
      <c r="D663" s="41"/>
      <c r="E663" s="40"/>
      <c r="F663" s="40" t="str">
        <f ca="1">IFERROR(__xludf.DUMMYFUNCTION("""COMPUTED_VALUE"""),"Iván Sánchez")</f>
        <v>Iván Sánchez</v>
      </c>
      <c r="G663" s="40" t="str">
        <f ca="1">IFERROR(__xludf.DUMMYFUNCTION("""COMPUTED_VALUE"""),"ISL")</f>
        <v>ISL</v>
      </c>
      <c r="H663" s="40" t="str">
        <f ca="1">IFERROR(__xludf.DUMMYFUNCTION("""COMPUTED_VALUE"""),"ISL65")</f>
        <v>ISL65</v>
      </c>
      <c r="I663" s="40" t="str">
        <f ca="1">IFERROR(__xludf.DUMMYFUNCTION("""COMPUTED_VALUE"""),"B")</f>
        <v>B</v>
      </c>
      <c r="J663" s="40" t="str">
        <f ca="1">IFERROR(__xludf.DUMMYFUNCTION("""COMPUTED_VALUE"""),"Manuel García López")</f>
        <v>Manuel García López</v>
      </c>
      <c r="K663" s="40"/>
      <c r="L663" s="40" t="str">
        <f t="shared" ca="1" si="4"/>
        <v>ISL65</v>
      </c>
      <c r="M663" s="36" t="str">
        <f t="shared" ca="1" si="5"/>
        <v>ISL</v>
      </c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</row>
    <row r="664" spans="1:27">
      <c r="A664" s="40"/>
      <c r="B664" s="36"/>
      <c r="C664" s="40"/>
      <c r="D664" s="41"/>
      <c r="E664" s="40"/>
      <c r="F664" s="40" t="str">
        <f ca="1">IFERROR(__xludf.DUMMYFUNCTION("""COMPUTED_VALUE"""),"Ramon Ferrando")</f>
        <v>Ramon Ferrando</v>
      </c>
      <c r="G664" s="40" t="str">
        <f ca="1">IFERROR(__xludf.DUMMYFUNCTION("""COMPUTED_VALUE"""),"RFV")</f>
        <v>RFV</v>
      </c>
      <c r="H664" s="40" t="str">
        <f ca="1">IFERROR(__xludf.DUMMYFUNCTION("""COMPUTED_VALUE"""),"RFV06")</f>
        <v>RFV06</v>
      </c>
      <c r="I664" s="40" t="str">
        <f ca="1">IFERROR(__xludf.DUMMYFUNCTION("""COMPUTED_VALUE"""),"B")</f>
        <v>B</v>
      </c>
      <c r="J664" s="40" t="str">
        <f ca="1">IFERROR(__xludf.DUMMYFUNCTION("""COMPUTED_VALUE"""),"Manuel Gómez Fiñana")</f>
        <v>Manuel Gómez Fiñana</v>
      </c>
      <c r="K664" s="40"/>
      <c r="L664" s="40" t="str">
        <f t="shared" ca="1" si="4"/>
        <v>RFV06</v>
      </c>
      <c r="M664" s="36" t="str">
        <f t="shared" ca="1" si="5"/>
        <v>RFV</v>
      </c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</row>
    <row r="665" spans="1:27">
      <c r="A665" s="40"/>
      <c r="B665" s="36"/>
      <c r="C665" s="40"/>
      <c r="D665" s="41"/>
      <c r="E665" s="40"/>
      <c r="F665" s="40" t="str">
        <f ca="1">IFERROR(__xludf.DUMMYFUNCTION("""COMPUTED_VALUE"""),"Lisandro Russian")</f>
        <v>Lisandro Russian</v>
      </c>
      <c r="G665" s="40" t="str">
        <f ca="1">IFERROR(__xludf.DUMMYFUNCTION("""COMPUTED_VALUE"""),"LRM")</f>
        <v>LRM</v>
      </c>
      <c r="H665" s="40" t="str">
        <f ca="1">IFERROR(__xludf.DUMMYFUNCTION("""COMPUTED_VALUE"""),"LRM100")</f>
        <v>LRM100</v>
      </c>
      <c r="I665" s="40" t="str">
        <f ca="1">IFERROR(__xludf.DUMMYFUNCTION("""COMPUTED_VALUE"""),"A")</f>
        <v>A</v>
      </c>
      <c r="J665" s="40" t="str">
        <f ca="1">IFERROR(__xludf.DUMMYFUNCTION("""COMPUTED_VALUE"""),"Manuel Gomez Serrano")</f>
        <v>Manuel Gomez Serrano</v>
      </c>
      <c r="K665" s="40"/>
      <c r="L665" s="40" t="str">
        <f t="shared" ca="1" si="4"/>
        <v>LRM100</v>
      </c>
      <c r="M665" s="36" t="str">
        <f t="shared" ca="1" si="5"/>
        <v>LRM</v>
      </c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</row>
    <row r="666" spans="1:27">
      <c r="A666" s="40"/>
      <c r="B666" s="36"/>
      <c r="C666" s="40"/>
      <c r="D666" s="41"/>
      <c r="E666" s="40"/>
      <c r="F666" s="40" t="str">
        <f ca="1">IFERROR(__xludf.DUMMYFUNCTION("""COMPUTED_VALUE"""),"Lisandro Russian")</f>
        <v>Lisandro Russian</v>
      </c>
      <c r="G666" s="40" t="str">
        <f ca="1">IFERROR(__xludf.DUMMYFUNCTION("""COMPUTED_VALUE"""),"LRM")</f>
        <v>LRM</v>
      </c>
      <c r="H666" s="40" t="str">
        <f ca="1">IFERROR(__xludf.DUMMYFUNCTION("""COMPUTED_VALUE"""),"LRM238")</f>
        <v>LRM238</v>
      </c>
      <c r="I666" s="40" t="str">
        <f ca="1">IFERROR(__xludf.DUMMYFUNCTION("""COMPUTED_VALUE"""),"A")</f>
        <v>A</v>
      </c>
      <c r="J666" s="40" t="str">
        <f ca="1">IFERROR(__xludf.DUMMYFUNCTION("""COMPUTED_VALUE"""),"Manuel González Juliano")</f>
        <v>Manuel González Juliano</v>
      </c>
      <c r="K666" s="40"/>
      <c r="L666" s="40" t="str">
        <f t="shared" ca="1" si="4"/>
        <v>LRM238</v>
      </c>
      <c r="M666" s="36" t="str">
        <f t="shared" ca="1" si="5"/>
        <v>LRM</v>
      </c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</row>
    <row r="667" spans="1:27">
      <c r="A667" s="40"/>
      <c r="B667" s="36"/>
      <c r="C667" s="40"/>
      <c r="D667" s="41"/>
      <c r="E667" s="40"/>
      <c r="F667" s="40" t="str">
        <f ca="1">IFERROR(__xludf.DUMMYFUNCTION("""COMPUTED_VALUE"""),"Maika Blázquez")</f>
        <v>Maika Blázquez</v>
      </c>
      <c r="G667" s="40" t="str">
        <f ca="1">IFERROR(__xludf.DUMMYFUNCTION("""COMPUTED_VALUE"""),"MBM")</f>
        <v>MBM</v>
      </c>
      <c r="H667" s="40" t="str">
        <f ca="1">IFERROR(__xludf.DUMMYFUNCTION("""COMPUTED_VALUE"""),"MBM65")</f>
        <v>MBM65</v>
      </c>
      <c r="I667" s="40" t="str">
        <f ca="1">IFERROR(__xludf.DUMMYFUNCTION("""COMPUTED_VALUE"""),"A")</f>
        <v>A</v>
      </c>
      <c r="J667" s="40" t="str">
        <f ca="1">IFERROR(__xludf.DUMMYFUNCTION("""COMPUTED_VALUE"""),"Manuel González Juliao")</f>
        <v>Manuel González Juliao</v>
      </c>
      <c r="K667" s="40"/>
      <c r="L667" s="40" t="str">
        <f t="shared" ca="1" si="4"/>
        <v>MBM65</v>
      </c>
      <c r="M667" s="36" t="str">
        <f t="shared" ca="1" si="5"/>
        <v>MBM</v>
      </c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</row>
    <row r="668" spans="1:27">
      <c r="A668" s="40"/>
      <c r="B668" s="36"/>
      <c r="C668" s="40"/>
      <c r="D668" s="41"/>
      <c r="E668" s="40"/>
      <c r="F668" s="40" t="str">
        <f ca="1">IFERROR(__xludf.DUMMYFUNCTION("""COMPUTED_VALUE"""),"Maika Blázquez")</f>
        <v>Maika Blázquez</v>
      </c>
      <c r="G668" s="40" t="str">
        <f ca="1">IFERROR(__xludf.DUMMYFUNCTION("""COMPUTED_VALUE"""),"MBM")</f>
        <v>MBM</v>
      </c>
      <c r="H668" s="40" t="str">
        <f ca="1">IFERROR(__xludf.DUMMYFUNCTION("""COMPUTED_VALUE"""),"MBM66")</f>
        <v>MBM66</v>
      </c>
      <c r="I668" s="40" t="str">
        <f ca="1">IFERROR(__xludf.DUMMYFUNCTION("""COMPUTED_VALUE"""),"A")</f>
        <v>A</v>
      </c>
      <c r="J668" s="40" t="str">
        <f ca="1">IFERROR(__xludf.DUMMYFUNCTION("""COMPUTED_VALUE"""),"Manuel Gutiérrez Triguero")</f>
        <v>Manuel Gutiérrez Triguero</v>
      </c>
      <c r="K668" s="40"/>
      <c r="L668" s="40" t="str">
        <f t="shared" ca="1" si="4"/>
        <v>MBM66</v>
      </c>
      <c r="M668" s="36" t="str">
        <f t="shared" ca="1" si="5"/>
        <v>MBM</v>
      </c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</row>
    <row r="669" spans="1:27">
      <c r="A669" s="40"/>
      <c r="B669" s="36"/>
      <c r="C669" s="40"/>
      <c r="D669" s="41"/>
      <c r="E669" s="40"/>
      <c r="F669" s="40" t="str">
        <f ca="1">IFERROR(__xludf.DUMMYFUNCTION("""COMPUTED_VALUE"""),"Lisandro Russian")</f>
        <v>Lisandro Russian</v>
      </c>
      <c r="G669" s="40" t="str">
        <f ca="1">IFERROR(__xludf.DUMMYFUNCTION("""COMPUTED_VALUE"""),"LRM")</f>
        <v>LRM</v>
      </c>
      <c r="H669" s="40" t="str">
        <f ca="1">IFERROR(__xludf.DUMMYFUNCTION("""COMPUTED_VALUE"""),"LRM101")</f>
        <v>LRM101</v>
      </c>
      <c r="I669" s="40" t="str">
        <f ca="1">IFERROR(__xludf.DUMMYFUNCTION("""COMPUTED_VALUE"""),"A")</f>
        <v>A</v>
      </c>
      <c r="J669" s="40" t="str">
        <f ca="1">IFERROR(__xludf.DUMMYFUNCTION("""COMPUTED_VALUE"""),"Manuel Martí Peña")</f>
        <v>Manuel Martí Peña</v>
      </c>
      <c r="K669" s="40"/>
      <c r="L669" s="40" t="str">
        <f t="shared" ca="1" si="4"/>
        <v>LRM101</v>
      </c>
      <c r="M669" s="36" t="str">
        <f t="shared" ca="1" si="5"/>
        <v>LRM</v>
      </c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</row>
    <row r="670" spans="1:27">
      <c r="A670" s="40"/>
      <c r="B670" s="36"/>
      <c r="C670" s="40"/>
      <c r="D670" s="41"/>
      <c r="E670" s="40"/>
      <c r="F670" s="40" t="str">
        <f ca="1">IFERROR(__xludf.DUMMYFUNCTION("""COMPUTED_VALUE"""),"Ramon Ferrando")</f>
        <v>Ramon Ferrando</v>
      </c>
      <c r="G670" s="40" t="str">
        <f ca="1">IFERROR(__xludf.DUMMYFUNCTION("""COMPUTED_VALUE"""),"RFV")</f>
        <v>RFV</v>
      </c>
      <c r="H670" s="40" t="str">
        <f ca="1">IFERROR(__xludf.DUMMYFUNCTION("""COMPUTED_VALUE"""),"RFV21")</f>
        <v>RFV21</v>
      </c>
      <c r="I670" s="40" t="str">
        <f ca="1">IFERROR(__xludf.DUMMYFUNCTION("""COMPUTED_VALUE"""),"B")</f>
        <v>B</v>
      </c>
      <c r="J670" s="40" t="str">
        <f ca="1">IFERROR(__xludf.DUMMYFUNCTION("""COMPUTED_VALUE"""),"Manuel Mateos Fernández")</f>
        <v>Manuel Mateos Fernández</v>
      </c>
      <c r="K670" s="40"/>
      <c r="L670" s="40" t="str">
        <f t="shared" ca="1" si="4"/>
        <v>RFV21</v>
      </c>
      <c r="M670" s="36" t="str">
        <f t="shared" ca="1" si="5"/>
        <v>RFV</v>
      </c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</row>
    <row r="671" spans="1:27">
      <c r="A671" s="40"/>
      <c r="B671" s="36"/>
      <c r="C671" s="40"/>
      <c r="D671" s="41"/>
      <c r="E671" s="40"/>
      <c r="F671" s="40" t="str">
        <f ca="1">IFERROR(__xludf.DUMMYFUNCTION("""COMPUTED_VALUE"""),"Iván Sánchez")</f>
        <v>Iván Sánchez</v>
      </c>
      <c r="G671" s="40" t="str">
        <f ca="1">IFERROR(__xludf.DUMMYFUNCTION("""COMPUTED_VALUE"""),"ISL")</f>
        <v>ISL</v>
      </c>
      <c r="H671" s="40" t="str">
        <f ca="1">IFERROR(__xludf.DUMMYFUNCTION("""COMPUTED_VALUE"""),"ISL66")</f>
        <v>ISL66</v>
      </c>
      <c r="I671" s="40" t="str">
        <f ca="1">IFERROR(__xludf.DUMMYFUNCTION("""COMPUTED_VALUE"""),"B")</f>
        <v>B</v>
      </c>
      <c r="J671" s="40" t="str">
        <f ca="1">IFERROR(__xludf.DUMMYFUNCTION("""COMPUTED_VALUE"""),"Manuel Miranda Ostos")</f>
        <v>Manuel Miranda Ostos</v>
      </c>
      <c r="K671" s="40"/>
      <c r="L671" s="40" t="str">
        <f t="shared" ca="1" si="4"/>
        <v>ISL66</v>
      </c>
      <c r="M671" s="36" t="str">
        <f t="shared" ca="1" si="5"/>
        <v>ISL</v>
      </c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</row>
    <row r="672" spans="1:27">
      <c r="A672" s="40"/>
      <c r="B672" s="36"/>
      <c r="C672" s="40"/>
      <c r="D672" s="41"/>
      <c r="E672" s="40"/>
      <c r="F672" s="40" t="str">
        <f ca="1">IFERROR(__xludf.DUMMYFUNCTION("""COMPUTED_VALUE"""),"Alberto Moreno")</f>
        <v>Alberto Moreno</v>
      </c>
      <c r="G672" s="40" t="str">
        <f ca="1">IFERROR(__xludf.DUMMYFUNCTION("""COMPUTED_VALUE"""),"AMM")</f>
        <v>AMM</v>
      </c>
      <c r="H672" s="40" t="str">
        <f ca="1">IFERROR(__xludf.DUMMYFUNCTION("""COMPUTED_VALUE"""),"AMM12")</f>
        <v>AMM12</v>
      </c>
      <c r="I672" s="40" t="str">
        <f ca="1">IFERROR(__xludf.DUMMYFUNCTION("""COMPUTED_VALUE"""),"A")</f>
        <v>A</v>
      </c>
      <c r="J672" s="40" t="str">
        <f ca="1">IFERROR(__xludf.DUMMYFUNCTION("""COMPUTED_VALUE"""),"Manuel Moro Melón")</f>
        <v>Manuel Moro Melón</v>
      </c>
      <c r="K672" s="40"/>
      <c r="L672" s="40" t="str">
        <f t="shared" ca="1" si="4"/>
        <v>AMM12</v>
      </c>
      <c r="M672" s="36" t="str">
        <f t="shared" ca="1" si="5"/>
        <v>AMM</v>
      </c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</row>
    <row r="673" spans="1:27">
      <c r="A673" s="40"/>
      <c r="B673" s="36"/>
      <c r="C673" s="40"/>
      <c r="D673" s="41"/>
      <c r="E673" s="40"/>
      <c r="F673" s="40" t="str">
        <f ca="1">IFERROR(__xludf.DUMMYFUNCTION("""COMPUTED_VALUE"""),"Lisandro Russian")</f>
        <v>Lisandro Russian</v>
      </c>
      <c r="G673" s="40" t="str">
        <f ca="1">IFERROR(__xludf.DUMMYFUNCTION("""COMPUTED_VALUE"""),"LRM")</f>
        <v>LRM</v>
      </c>
      <c r="H673" s="40" t="str">
        <f ca="1">IFERROR(__xludf.DUMMYFUNCTION("""COMPUTED_VALUE"""),"LRM102")</f>
        <v>LRM102</v>
      </c>
      <c r="I673" s="40" t="str">
        <f ca="1">IFERROR(__xludf.DUMMYFUNCTION("""COMPUTED_VALUE"""),"A")</f>
        <v>A</v>
      </c>
      <c r="J673" s="23" t="str">
        <f ca="1">IFERROR(__xludf.DUMMYFUNCTION("""COMPUTED_VALUE"""),"Manuel Padilla Parrado")</f>
        <v>Manuel Padilla Parrado</v>
      </c>
      <c r="K673" s="40"/>
      <c r="L673" s="40" t="str">
        <f t="shared" ca="1" si="4"/>
        <v>LRM102</v>
      </c>
      <c r="M673" s="36" t="str">
        <f t="shared" ca="1" si="5"/>
        <v>LRM</v>
      </c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</row>
    <row r="674" spans="1:27">
      <c r="A674" s="40"/>
      <c r="B674" s="36"/>
      <c r="C674" s="40"/>
      <c r="D674" s="41"/>
      <c r="E674" s="40"/>
      <c r="F674" s="40" t="str">
        <f ca="1">IFERROR(__xludf.DUMMYFUNCTION("""COMPUTED_VALUE"""),"Luis Alberto Rodríguez")</f>
        <v>Luis Alberto Rodríguez</v>
      </c>
      <c r="G674" s="40" t="str">
        <f ca="1">IFERROR(__xludf.DUMMYFUNCTION("""COMPUTED_VALUE"""),"LAA")</f>
        <v>LAA</v>
      </c>
      <c r="H674" s="40" t="str">
        <f ca="1">IFERROR(__xludf.DUMMYFUNCTION("""COMPUTED_VALUE"""),"LAA33")</f>
        <v>LAA33</v>
      </c>
      <c r="I674" s="40" t="str">
        <f ca="1">IFERROR(__xludf.DUMMYFUNCTION("""COMPUTED_VALUE"""),"C")</f>
        <v>C</v>
      </c>
      <c r="J674" s="40" t="str">
        <f ca="1">IFERROR(__xludf.DUMMYFUNCTION("""COMPUTED_VALUE"""),"Manuel Segundo Gómez Fiñana")</f>
        <v>Manuel Segundo Gómez Fiñana</v>
      </c>
      <c r="K674" s="40"/>
      <c r="L674" s="40" t="str">
        <f t="shared" ca="1" si="4"/>
        <v>LAA33</v>
      </c>
      <c r="M674" s="36" t="str">
        <f t="shared" ca="1" si="5"/>
        <v>LAA</v>
      </c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</row>
    <row r="675" spans="1:27">
      <c r="A675" s="40"/>
      <c r="B675" s="36"/>
      <c r="C675" s="40"/>
      <c r="D675" s="41"/>
      <c r="E675" s="40"/>
      <c r="F675" s="40" t="str">
        <f ca="1">IFERROR(__xludf.DUMMYFUNCTION("""COMPUTED_VALUE"""),"Luis Alberto Rodríguez")</f>
        <v>Luis Alberto Rodríguez</v>
      </c>
      <c r="G675" s="40" t="str">
        <f ca="1">IFERROR(__xludf.DUMMYFUNCTION("""COMPUTED_VALUE"""),"LAA")</f>
        <v>LAA</v>
      </c>
      <c r="H675" s="40" t="str">
        <f ca="1">IFERROR(__xludf.DUMMYFUNCTION("""COMPUTED_VALUE"""),"LAA81")</f>
        <v>LAA81</v>
      </c>
      <c r="I675" s="40" t="str">
        <f ca="1">IFERROR(__xludf.DUMMYFUNCTION("""COMPUTED_VALUE"""),"C")</f>
        <v>C</v>
      </c>
      <c r="J675" s="40" t="str">
        <f ca="1">IFERROR(__xludf.DUMMYFUNCTION("""COMPUTED_VALUE"""),"Manuel Tucciarone")</f>
        <v>Manuel Tucciarone</v>
      </c>
      <c r="K675" s="40"/>
      <c r="L675" s="40" t="str">
        <f t="shared" ca="1" si="4"/>
        <v>LAA81</v>
      </c>
      <c r="M675" s="36" t="str">
        <f t="shared" ca="1" si="5"/>
        <v>LAA</v>
      </c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</row>
    <row r="676" spans="1:27">
      <c r="A676" s="40"/>
      <c r="B676" s="36"/>
      <c r="C676" s="40"/>
      <c r="D676" s="41"/>
      <c r="E676" s="40"/>
      <c r="F676" s="40" t="str">
        <f ca="1">IFERROR(__xludf.DUMMYFUNCTION("""COMPUTED_VALUE"""),"Maika Blázquez")</f>
        <v>Maika Blázquez</v>
      </c>
      <c r="G676" s="40" t="str">
        <f ca="1">IFERROR(__xludf.DUMMYFUNCTION("""COMPUTED_VALUE"""),"MBM")</f>
        <v>MBM</v>
      </c>
      <c r="H676" s="40" t="str">
        <f ca="1">IFERROR(__xludf.DUMMYFUNCTION("""COMPUTED_VALUE"""),"MBM138")</f>
        <v>MBM138</v>
      </c>
      <c r="I676" s="40" t="str">
        <f ca="1">IFERROR(__xludf.DUMMYFUNCTION("""COMPUTED_VALUE"""),"A")</f>
        <v>A</v>
      </c>
      <c r="J676" s="40" t="str">
        <f ca="1">IFERROR(__xludf.DUMMYFUNCTION("""COMPUTED_VALUE"""),"Manuela Calderón Sánchez")</f>
        <v>Manuela Calderón Sánchez</v>
      </c>
      <c r="K676" s="40"/>
      <c r="L676" s="40" t="str">
        <f t="shared" ca="1" si="4"/>
        <v>MBM138</v>
      </c>
      <c r="M676" s="36" t="str">
        <f t="shared" ca="1" si="5"/>
        <v>MBM</v>
      </c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</row>
    <row r="677" spans="1:27">
      <c r="A677" s="40"/>
      <c r="B677" s="36"/>
      <c r="C677" s="40"/>
      <c r="D677" s="41"/>
      <c r="E677" s="40"/>
      <c r="F677" s="40" t="str">
        <f ca="1">IFERROR(__xludf.DUMMYFUNCTION("""COMPUTED_VALUE"""),"Lisandro Russian")</f>
        <v>Lisandro Russian</v>
      </c>
      <c r="G677" s="40" t="str">
        <f ca="1">IFERROR(__xludf.DUMMYFUNCTION("""COMPUTED_VALUE"""),"LRM")</f>
        <v>LRM</v>
      </c>
      <c r="H677" s="40" t="str">
        <f ca="1">IFERROR(__xludf.DUMMYFUNCTION("""COMPUTED_VALUE"""),"LRM177")</f>
        <v>LRM177</v>
      </c>
      <c r="I677" s="40" t="str">
        <f ca="1">IFERROR(__xludf.DUMMYFUNCTION("""COMPUTED_VALUE"""),"A")</f>
        <v>A</v>
      </c>
      <c r="J677" s="40" t="str">
        <f ca="1">IFERROR(__xludf.DUMMYFUNCTION("""COMPUTED_VALUE"""),"Manuela Gil Calero")</f>
        <v>Manuela Gil Calero</v>
      </c>
      <c r="K677" s="40"/>
      <c r="L677" s="40" t="str">
        <f t="shared" ca="1" si="4"/>
        <v>LRM177</v>
      </c>
      <c r="M677" s="36" t="str">
        <f t="shared" ca="1" si="5"/>
        <v>LRM</v>
      </c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</row>
    <row r="678" spans="1:27">
      <c r="A678" s="40"/>
      <c r="B678" s="36"/>
      <c r="C678" s="40"/>
      <c r="D678" s="41"/>
      <c r="E678" s="40"/>
      <c r="F678" s="40" t="str">
        <f ca="1">IFERROR(__xludf.DUMMYFUNCTION("""COMPUTED_VALUE"""),"Ramon Ferrando")</f>
        <v>Ramon Ferrando</v>
      </c>
      <c r="G678" s="40" t="str">
        <f ca="1">IFERROR(__xludf.DUMMYFUNCTION("""COMPUTED_VALUE"""),"RFV")</f>
        <v>RFV</v>
      </c>
      <c r="H678" s="40" t="str">
        <f ca="1">IFERROR(__xludf.DUMMYFUNCTION("""COMPUTED_VALUE"""),"RFV46")</f>
        <v>RFV46</v>
      </c>
      <c r="I678" s="40" t="str">
        <f ca="1">IFERROR(__xludf.DUMMYFUNCTION("""COMPUTED_VALUE"""),"B")</f>
        <v>B</v>
      </c>
      <c r="J678" s="40" t="str">
        <f ca="1">IFERROR(__xludf.DUMMYFUNCTION("""COMPUTED_VALUE"""),"Mar Gimeno Coret")</f>
        <v>Mar Gimeno Coret</v>
      </c>
      <c r="K678" s="40"/>
      <c r="L678" s="40" t="str">
        <f t="shared" ca="1" si="4"/>
        <v>RFV46</v>
      </c>
      <c r="M678" s="36" t="str">
        <f t="shared" ca="1" si="5"/>
        <v>RFV</v>
      </c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</row>
    <row r="679" spans="1:27">
      <c r="A679" s="40"/>
      <c r="B679" s="36"/>
      <c r="C679" s="40"/>
      <c r="D679" s="41"/>
      <c r="E679" s="40"/>
      <c r="F679" s="40" t="str">
        <f ca="1">IFERROR(__xludf.DUMMYFUNCTION("""COMPUTED_VALUE"""),"Iván Sánchez")</f>
        <v>Iván Sánchez</v>
      </c>
      <c r="G679" s="40" t="str">
        <f ca="1">IFERROR(__xludf.DUMMYFUNCTION("""COMPUTED_VALUE"""),"ISL")</f>
        <v>ISL</v>
      </c>
      <c r="H679" s="40" t="str">
        <f ca="1">IFERROR(__xludf.DUMMYFUNCTION("""COMPUTED_VALUE"""),"ISL115")</f>
        <v>ISL115</v>
      </c>
      <c r="I679" s="40" t="str">
        <f ca="1">IFERROR(__xludf.DUMMYFUNCTION("""COMPUTED_VALUE"""),"B")</f>
        <v>B</v>
      </c>
      <c r="J679" s="40" t="str">
        <f ca="1">IFERROR(__xludf.DUMMYFUNCTION("""COMPUTED_VALUE"""),"Mar Grau Jiménez")</f>
        <v>Mar Grau Jiménez</v>
      </c>
      <c r="K679" s="40"/>
      <c r="L679" s="40" t="str">
        <f t="shared" ca="1" si="4"/>
        <v>ISL115</v>
      </c>
      <c r="M679" s="36" t="str">
        <f t="shared" ca="1" si="5"/>
        <v>ISL</v>
      </c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</row>
    <row r="680" spans="1:27">
      <c r="A680" s="40"/>
      <c r="B680" s="36"/>
      <c r="C680" s="40"/>
      <c r="D680" s="41"/>
      <c r="E680" s="40"/>
      <c r="F680" s="40" t="str">
        <f ca="1">IFERROR(__xludf.DUMMYFUNCTION("""COMPUTED_VALUE"""),"Maika Blázquez")</f>
        <v>Maika Blázquez</v>
      </c>
      <c r="G680" s="40" t="str">
        <f ca="1">IFERROR(__xludf.DUMMYFUNCTION("""COMPUTED_VALUE"""),"MBM")</f>
        <v>MBM</v>
      </c>
      <c r="H680" s="40" t="str">
        <f ca="1">IFERROR(__xludf.DUMMYFUNCTION("""COMPUTED_VALUE"""),"MBM108")</f>
        <v>MBM108</v>
      </c>
      <c r="I680" s="40" t="str">
        <f ca="1">IFERROR(__xludf.DUMMYFUNCTION("""COMPUTED_VALUE"""),"A")</f>
        <v>A</v>
      </c>
      <c r="J680" s="40" t="str">
        <f ca="1">IFERROR(__xludf.DUMMYFUNCTION("""COMPUTED_VALUE"""),"Mar Lasso De La Vega Zamora")</f>
        <v>Mar Lasso De La Vega Zamora</v>
      </c>
      <c r="K680" s="40"/>
      <c r="L680" s="40" t="str">
        <f t="shared" ca="1" si="4"/>
        <v>MBM108</v>
      </c>
      <c r="M680" s="36" t="str">
        <f t="shared" ca="1" si="5"/>
        <v>MBM</v>
      </c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</row>
    <row r="681" spans="1:27">
      <c r="A681" s="40"/>
      <c r="B681" s="36"/>
      <c r="C681" s="40"/>
      <c r="D681" s="41"/>
      <c r="E681" s="40"/>
      <c r="F681" s="40" t="str">
        <f ca="1">IFERROR(__xludf.DUMMYFUNCTION("""COMPUTED_VALUE"""),"Maika Blázquez")</f>
        <v>Maika Blázquez</v>
      </c>
      <c r="G681" s="40" t="str">
        <f ca="1">IFERROR(__xludf.DUMMYFUNCTION("""COMPUTED_VALUE"""),"MBM")</f>
        <v>MBM</v>
      </c>
      <c r="H681" s="40" t="str">
        <f ca="1">IFERROR(__xludf.DUMMYFUNCTION("""COMPUTED_VALUE"""),"MBM139")</f>
        <v>MBM139</v>
      </c>
      <c r="I681" s="40" t="str">
        <f ca="1">IFERROR(__xludf.DUMMYFUNCTION("""COMPUTED_VALUE"""),"A")</f>
        <v>A</v>
      </c>
      <c r="J681" s="40" t="str">
        <f ca="1">IFERROR(__xludf.DUMMYFUNCTION("""COMPUTED_VALUE"""),"Mar Lasso De La Vega Zamora")</f>
        <v>Mar Lasso De La Vega Zamora</v>
      </c>
      <c r="K681" s="40"/>
      <c r="L681" s="40" t="str">
        <f t="shared" ca="1" si="4"/>
        <v>MBM139</v>
      </c>
      <c r="M681" s="36" t="str">
        <f t="shared" ca="1" si="5"/>
        <v>MBM</v>
      </c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</row>
    <row r="682" spans="1:27">
      <c r="A682" s="40"/>
      <c r="B682" s="36"/>
      <c r="C682" s="40"/>
      <c r="D682" s="41"/>
      <c r="E682" s="40"/>
      <c r="F682" s="40" t="str">
        <f ca="1">IFERROR(__xludf.DUMMYFUNCTION("""COMPUTED_VALUE"""),"Lisandro Russian")</f>
        <v>Lisandro Russian</v>
      </c>
      <c r="G682" s="40" t="str">
        <f ca="1">IFERROR(__xludf.DUMMYFUNCTION("""COMPUTED_VALUE"""),"LRM")</f>
        <v>LRM</v>
      </c>
      <c r="H682" s="40" t="str">
        <f ca="1">IFERROR(__xludf.DUMMYFUNCTION("""COMPUTED_VALUE"""),"LRM103")</f>
        <v>LRM103</v>
      </c>
      <c r="I682" s="40" t="str">
        <f ca="1">IFERROR(__xludf.DUMMYFUNCTION("""COMPUTED_VALUE"""),"A")</f>
        <v>A</v>
      </c>
      <c r="J682" s="40" t="str">
        <f ca="1">IFERROR(__xludf.DUMMYFUNCTION("""COMPUTED_VALUE"""),"Marcial Sánchez Potenciado")</f>
        <v>Marcial Sánchez Potenciado</v>
      </c>
      <c r="K682" s="40"/>
      <c r="L682" s="40" t="str">
        <f t="shared" ca="1" si="4"/>
        <v>LRM103</v>
      </c>
      <c r="M682" s="36" t="str">
        <f t="shared" ca="1" si="5"/>
        <v>LRM</v>
      </c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</row>
    <row r="683" spans="1:27">
      <c r="A683" s="40"/>
      <c r="B683" s="36"/>
      <c r="C683" s="40"/>
      <c r="D683" s="41"/>
      <c r="E683" s="40"/>
      <c r="F683" s="40" t="str">
        <f ca="1">IFERROR(__xludf.DUMMYFUNCTION("""COMPUTED_VALUE"""),"Lisandro Russian")</f>
        <v>Lisandro Russian</v>
      </c>
      <c r="G683" s="40" t="str">
        <f ca="1">IFERROR(__xludf.DUMMYFUNCTION("""COMPUTED_VALUE"""),"LRM")</f>
        <v>LRM</v>
      </c>
      <c r="H683" s="40" t="str">
        <f ca="1">IFERROR(__xludf.DUMMYFUNCTION("""COMPUTED_VALUE"""),"LRM178")</f>
        <v>LRM178</v>
      </c>
      <c r="I683" s="40" t="str">
        <f ca="1">IFERROR(__xludf.DUMMYFUNCTION("""COMPUTED_VALUE"""),"A")</f>
        <v>A</v>
      </c>
      <c r="J683" s="40" t="str">
        <f ca="1">IFERROR(__xludf.DUMMYFUNCTION("""COMPUTED_VALUE"""),"Margarita Nieves Rodríguez")</f>
        <v>Margarita Nieves Rodríguez</v>
      </c>
      <c r="K683" s="40"/>
      <c r="L683" s="40" t="str">
        <f t="shared" ca="1" si="4"/>
        <v>LRM178</v>
      </c>
      <c r="M683" s="36" t="str">
        <f t="shared" ca="1" si="5"/>
        <v>LRM</v>
      </c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</row>
    <row r="684" spans="1:27">
      <c r="A684" s="40"/>
      <c r="B684" s="36"/>
      <c r="C684" s="40"/>
      <c r="D684" s="41"/>
      <c r="E684" s="40"/>
      <c r="F684" s="40" t="str">
        <f ca="1">IFERROR(__xludf.DUMMYFUNCTION("""COMPUTED_VALUE"""),"Roberto Pereira")</f>
        <v>Roberto Pereira</v>
      </c>
      <c r="G684" s="40" t="str">
        <f ca="1">IFERROR(__xludf.DUMMYFUNCTION("""COMPUTED_VALUE"""),"RPG")</f>
        <v>RPG</v>
      </c>
      <c r="H684" s="40" t="str">
        <f ca="1">IFERROR(__xludf.DUMMYFUNCTION("""COMPUTED_VALUE"""),"RPG50")</f>
        <v>RPG50</v>
      </c>
      <c r="I684" s="40" t="str">
        <f ca="1">IFERROR(__xludf.DUMMYFUNCTION("""COMPUTED_VALUE"""),"A")</f>
        <v>A</v>
      </c>
      <c r="J684" s="40" t="str">
        <f ca="1">IFERROR(__xludf.DUMMYFUNCTION("""COMPUTED_VALUE"""),"Margarita Reyes Díaz")</f>
        <v>Margarita Reyes Díaz</v>
      </c>
      <c r="K684" s="40"/>
      <c r="L684" s="40" t="str">
        <f t="shared" ca="1" si="4"/>
        <v>RPG50</v>
      </c>
      <c r="M684" s="36" t="str">
        <f t="shared" ca="1" si="5"/>
        <v>RPG</v>
      </c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</row>
    <row r="685" spans="1:27">
      <c r="A685" s="23"/>
      <c r="B685" s="36"/>
      <c r="C685" s="40"/>
      <c r="D685" s="38"/>
      <c r="E685" s="23"/>
      <c r="F685" s="40" t="str">
        <f ca="1">IFERROR(__xludf.DUMMYFUNCTION("""COMPUTED_VALUE"""),"Iván Sánchez")</f>
        <v>Iván Sánchez</v>
      </c>
      <c r="G685" s="40" t="str">
        <f ca="1">IFERROR(__xludf.DUMMYFUNCTION("""COMPUTED_VALUE"""),"ISL")</f>
        <v>ISL</v>
      </c>
      <c r="H685" s="40" t="str">
        <f ca="1">IFERROR(__xludf.DUMMYFUNCTION("""COMPUTED_VALUE"""),"ISL122")</f>
        <v>ISL122</v>
      </c>
      <c r="I685" s="40" t="str">
        <f ca="1">IFERROR(__xludf.DUMMYFUNCTION("""COMPUTED_VALUE"""),"C")</f>
        <v>C</v>
      </c>
      <c r="J685" s="40" t="str">
        <f ca="1">IFERROR(__xludf.DUMMYFUNCTION("""COMPUTED_VALUE"""),"María Agustina Sevilla García")</f>
        <v>María Agustina Sevilla García</v>
      </c>
      <c r="K685" s="40"/>
      <c r="L685" s="40" t="str">
        <f t="shared" ca="1" si="4"/>
        <v>ISL122</v>
      </c>
      <c r="M685" s="36" t="str">
        <f t="shared" ca="1" si="5"/>
        <v>ISL</v>
      </c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</row>
    <row r="686" spans="1:27">
      <c r="A686" s="40"/>
      <c r="B686" s="36"/>
      <c r="C686" s="23"/>
      <c r="D686" s="41"/>
      <c r="E686" s="40"/>
      <c r="F686" s="40" t="str">
        <f ca="1">IFERROR(__xludf.DUMMYFUNCTION("""COMPUTED_VALUE"""),"Luis Alberto Rodríguez")</f>
        <v>Luis Alberto Rodríguez</v>
      </c>
      <c r="G686" s="40" t="str">
        <f ca="1">IFERROR(__xludf.DUMMYFUNCTION("""COMPUTED_VALUE"""),"LAA")</f>
        <v>LAA</v>
      </c>
      <c r="H686" s="40" t="str">
        <f ca="1">IFERROR(__xludf.DUMMYFUNCTION("""COMPUTED_VALUE"""),"LAA52")</f>
        <v>LAA52</v>
      </c>
      <c r="I686" s="40" t="str">
        <f ca="1">IFERROR(__xludf.DUMMYFUNCTION("""COMPUTED_VALUE"""),"C")</f>
        <v>C</v>
      </c>
      <c r="J686" s="40" t="str">
        <f ca="1">IFERROR(__xludf.DUMMYFUNCTION("""COMPUTED_VALUE"""),"María Amparo Álvarez De Toledo Jeute")</f>
        <v>María Amparo Álvarez De Toledo Jeute</v>
      </c>
      <c r="K686" s="40"/>
      <c r="L686" s="40" t="str">
        <f t="shared" ca="1" si="4"/>
        <v>LAA52</v>
      </c>
      <c r="M686" s="36" t="str">
        <f t="shared" ca="1" si="5"/>
        <v>LAA</v>
      </c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</row>
    <row r="687" spans="1:27">
      <c r="A687" s="40"/>
      <c r="B687" s="36"/>
      <c r="C687" s="40"/>
      <c r="D687" s="41"/>
      <c r="E687" s="40"/>
      <c r="F687" s="40" t="str">
        <f ca="1">IFERROR(__xludf.DUMMYFUNCTION("""COMPUTED_VALUE"""),"Alberto Moreno")</f>
        <v>Alberto Moreno</v>
      </c>
      <c r="G687" s="40" t="str">
        <f ca="1">IFERROR(__xludf.DUMMYFUNCTION("""COMPUTED_VALUE"""),"AMM")</f>
        <v>AMM</v>
      </c>
      <c r="H687" s="40" t="str">
        <f ca="1">IFERROR(__xludf.DUMMYFUNCTION("""COMPUTED_VALUE"""),"AMM15")</f>
        <v>AMM15</v>
      </c>
      <c r="I687" s="40" t="str">
        <f ca="1">IFERROR(__xludf.DUMMYFUNCTION("""COMPUTED_VALUE"""),"A")</f>
        <v>A</v>
      </c>
      <c r="J687" s="40" t="str">
        <f ca="1">IFERROR(__xludf.DUMMYFUNCTION("""COMPUTED_VALUE"""),"María Amparo Castellote Arnero")</f>
        <v>María Amparo Castellote Arnero</v>
      </c>
      <c r="K687" s="40"/>
      <c r="L687" s="40" t="str">
        <f t="shared" ca="1" si="4"/>
        <v>AMM15</v>
      </c>
      <c r="M687" s="36" t="str">
        <f t="shared" ca="1" si="5"/>
        <v>AMM</v>
      </c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</row>
    <row r="688" spans="1:27">
      <c r="A688" s="40"/>
      <c r="B688" s="36"/>
      <c r="C688" s="40"/>
      <c r="D688" s="41"/>
      <c r="E688" s="40"/>
      <c r="F688" s="40" t="str">
        <f ca="1">IFERROR(__xludf.DUMMYFUNCTION("""COMPUTED_VALUE"""),"Lisandro Russian")</f>
        <v>Lisandro Russian</v>
      </c>
      <c r="G688" s="40" t="str">
        <f ca="1">IFERROR(__xludf.DUMMYFUNCTION("""COMPUTED_VALUE"""),"LRM")</f>
        <v>LRM</v>
      </c>
      <c r="H688" s="40" t="str">
        <f ca="1">IFERROR(__xludf.DUMMYFUNCTION("""COMPUTED_VALUE"""),"LRM242")</f>
        <v>LRM242</v>
      </c>
      <c r="I688" s="40" t="str">
        <f ca="1">IFERROR(__xludf.DUMMYFUNCTION("""COMPUTED_VALUE"""),"A")</f>
        <v>A</v>
      </c>
      <c r="J688" s="40" t="str">
        <f ca="1">IFERROR(__xludf.DUMMYFUNCTION("""COMPUTED_VALUE"""),"María Ángeles Herreros Sánchez")</f>
        <v>María Ángeles Herreros Sánchez</v>
      </c>
      <c r="K688" s="40"/>
      <c r="L688" s="40" t="str">
        <f t="shared" ca="1" si="4"/>
        <v>LRM242</v>
      </c>
      <c r="M688" s="36" t="str">
        <f t="shared" ca="1" si="5"/>
        <v>LRM</v>
      </c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</row>
    <row r="689" spans="1:27">
      <c r="A689" s="40"/>
      <c r="B689" s="36"/>
      <c r="C689" s="40"/>
      <c r="D689" s="41"/>
      <c r="E689" s="40"/>
      <c r="F689" s="40" t="str">
        <f ca="1">IFERROR(__xludf.DUMMYFUNCTION("""COMPUTED_VALUE"""),"Lisandro Russian")</f>
        <v>Lisandro Russian</v>
      </c>
      <c r="G689" s="40" t="str">
        <f ca="1">IFERROR(__xludf.DUMMYFUNCTION("""COMPUTED_VALUE"""),"LRM")</f>
        <v>LRM</v>
      </c>
      <c r="H689" s="40" t="str">
        <f ca="1">IFERROR(__xludf.DUMMYFUNCTION("""COMPUTED_VALUE"""),"LRM179")</f>
        <v>LRM179</v>
      </c>
      <c r="I689" s="40" t="str">
        <f ca="1">IFERROR(__xludf.DUMMYFUNCTION("""COMPUTED_VALUE"""),"A")</f>
        <v>A</v>
      </c>
      <c r="J689" s="40" t="str">
        <f ca="1">IFERROR(__xludf.DUMMYFUNCTION("""COMPUTED_VALUE"""),"Maria Ángeles Mate Bayon")</f>
        <v>Maria Ángeles Mate Bayon</v>
      </c>
      <c r="K689" s="40"/>
      <c r="L689" s="40" t="str">
        <f t="shared" ca="1" si="4"/>
        <v>LRM179</v>
      </c>
      <c r="M689" s="36" t="str">
        <f t="shared" ca="1" si="5"/>
        <v>LRM</v>
      </c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</row>
    <row r="690" spans="1:27">
      <c r="A690" s="40"/>
      <c r="B690" s="36"/>
      <c r="C690" s="40"/>
      <c r="D690" s="41"/>
      <c r="E690" s="40"/>
      <c r="F690" s="40" t="str">
        <f ca="1">IFERROR(__xludf.DUMMYFUNCTION("""COMPUTED_VALUE"""),"Mercè Cabrera")</f>
        <v>Mercè Cabrera</v>
      </c>
      <c r="G690" s="40" t="str">
        <f ca="1">IFERROR(__xludf.DUMMYFUNCTION("""COMPUTED_VALUE"""),"MCC")</f>
        <v>MCC</v>
      </c>
      <c r="H690" s="40" t="str">
        <f ca="1">IFERROR(__xludf.DUMMYFUNCTION("""COMPUTED_VALUE"""),"MCC48")</f>
        <v>MCC48</v>
      </c>
      <c r="I690" s="40" t="str">
        <f ca="1">IFERROR(__xludf.DUMMYFUNCTION("""COMPUTED_VALUE"""),"A")</f>
        <v>A</v>
      </c>
      <c r="J690" s="40" t="str">
        <f ca="1">IFERROR(__xludf.DUMMYFUNCTION("""COMPUTED_VALUE"""),"María Antonia Claveria Puig")</f>
        <v>María Antonia Claveria Puig</v>
      </c>
      <c r="K690" s="40"/>
      <c r="L690" s="40" t="str">
        <f t="shared" ca="1" si="4"/>
        <v>MCC48</v>
      </c>
      <c r="M690" s="36" t="str">
        <f t="shared" ca="1" si="5"/>
        <v>MCC</v>
      </c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</row>
    <row r="691" spans="1:27">
      <c r="A691" s="40"/>
      <c r="B691" s="36"/>
      <c r="C691" s="40"/>
      <c r="D691" s="41"/>
      <c r="E691" s="40"/>
      <c r="F691" s="40" t="str">
        <f ca="1">IFERROR(__xludf.DUMMYFUNCTION("""COMPUTED_VALUE"""),"Maika Blázquez")</f>
        <v>Maika Blázquez</v>
      </c>
      <c r="G691" s="40" t="str">
        <f ca="1">IFERROR(__xludf.DUMMYFUNCTION("""COMPUTED_VALUE"""),"MBM")</f>
        <v>MBM</v>
      </c>
      <c r="H691" s="40" t="str">
        <f ca="1">IFERROR(__xludf.DUMMYFUNCTION("""COMPUTED_VALUE"""),"MBM140")</f>
        <v>MBM140</v>
      </c>
      <c r="I691" s="40" t="str">
        <f ca="1">IFERROR(__xludf.DUMMYFUNCTION("""COMPUTED_VALUE"""),"A")</f>
        <v>A</v>
      </c>
      <c r="J691" s="40" t="str">
        <f ca="1">IFERROR(__xludf.DUMMYFUNCTION("""COMPUTED_VALUE"""),"María Antonia Rodríguez Castejón")</f>
        <v>María Antonia Rodríguez Castejón</v>
      </c>
      <c r="K691" s="40"/>
      <c r="L691" s="40" t="str">
        <f t="shared" ca="1" si="4"/>
        <v>MBM140</v>
      </c>
      <c r="M691" s="36" t="str">
        <f t="shared" ca="1" si="5"/>
        <v>MBM</v>
      </c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</row>
    <row r="692" spans="1:27">
      <c r="A692" s="40"/>
      <c r="B692" s="36"/>
      <c r="C692" s="40"/>
      <c r="D692" s="41"/>
      <c r="E692" s="40"/>
      <c r="F692" s="40" t="str">
        <f ca="1">IFERROR(__xludf.DUMMYFUNCTION("""COMPUTED_VALUE"""),"Ramon Ferrando")</f>
        <v>Ramon Ferrando</v>
      </c>
      <c r="G692" s="40" t="str">
        <f ca="1">IFERROR(__xludf.DUMMYFUNCTION("""COMPUTED_VALUE"""),"RFV")</f>
        <v>RFV</v>
      </c>
      <c r="H692" s="40" t="str">
        <f ca="1">IFERROR(__xludf.DUMMYFUNCTION("""COMPUTED_VALUE"""),"RFV41")</f>
        <v>RFV41</v>
      </c>
      <c r="I692" s="40" t="str">
        <f ca="1">IFERROR(__xludf.DUMMYFUNCTION("""COMPUTED_VALUE"""),"B")</f>
        <v>B</v>
      </c>
      <c r="J692" s="40" t="str">
        <f ca="1">IFERROR(__xludf.DUMMYFUNCTION("""COMPUTED_VALUE"""),"María Begoña Capella Soriano")</f>
        <v>María Begoña Capella Soriano</v>
      </c>
      <c r="K692" s="40"/>
      <c r="L692" s="40" t="str">
        <f t="shared" ca="1" si="4"/>
        <v>RFV41</v>
      </c>
      <c r="M692" s="36" t="str">
        <f t="shared" ca="1" si="5"/>
        <v>RFV</v>
      </c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</row>
    <row r="693" spans="1:27">
      <c r="A693" s="40"/>
      <c r="B693" s="36"/>
      <c r="C693" s="40"/>
      <c r="D693" s="41"/>
      <c r="E693" s="40"/>
      <c r="F693" s="40" t="str">
        <f ca="1">IFERROR(__xludf.DUMMYFUNCTION("""COMPUTED_VALUE"""),"Lisandro Russian")</f>
        <v>Lisandro Russian</v>
      </c>
      <c r="G693" s="40" t="str">
        <f ca="1">IFERROR(__xludf.DUMMYFUNCTION("""COMPUTED_VALUE"""),"LRM")</f>
        <v>LRM</v>
      </c>
      <c r="H693" s="40" t="str">
        <f ca="1">IFERROR(__xludf.DUMMYFUNCTION("""COMPUTED_VALUE"""),"LRM180")</f>
        <v>LRM180</v>
      </c>
      <c r="I693" s="40" t="str">
        <f ca="1">IFERROR(__xludf.DUMMYFUNCTION("""COMPUTED_VALUE"""),"A")</f>
        <v>A</v>
      </c>
      <c r="J693" s="40" t="str">
        <f ca="1">IFERROR(__xludf.DUMMYFUNCTION("""COMPUTED_VALUE"""),"María Benavides Gabernet")</f>
        <v>María Benavides Gabernet</v>
      </c>
      <c r="K693" s="40"/>
      <c r="L693" s="40" t="str">
        <f t="shared" ca="1" si="4"/>
        <v>LRM180</v>
      </c>
      <c r="M693" s="36" t="str">
        <f t="shared" ca="1" si="5"/>
        <v>LRM</v>
      </c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</row>
    <row r="694" spans="1:27">
      <c r="A694" s="40"/>
      <c r="B694" s="36"/>
      <c r="C694" s="40"/>
      <c r="D694" s="41"/>
      <c r="E694" s="40"/>
      <c r="F694" s="40" t="str">
        <f ca="1">IFERROR(__xludf.DUMMYFUNCTION("""COMPUTED_VALUE"""),"Maika Blázquez")</f>
        <v>Maika Blázquez</v>
      </c>
      <c r="G694" s="40" t="str">
        <f ca="1">IFERROR(__xludf.DUMMYFUNCTION("""COMPUTED_VALUE"""),"MBM")</f>
        <v>MBM</v>
      </c>
      <c r="H694" s="40" t="str">
        <f ca="1">IFERROR(__xludf.DUMMYFUNCTION("""COMPUTED_VALUE"""),"MBM142")</f>
        <v>MBM142</v>
      </c>
      <c r="I694" s="40" t="str">
        <f ca="1">IFERROR(__xludf.DUMMYFUNCTION("""COMPUTED_VALUE"""),"A")</f>
        <v>A</v>
      </c>
      <c r="J694" s="40" t="str">
        <f ca="1">IFERROR(__xludf.DUMMYFUNCTION("""COMPUTED_VALUE"""),"María Carmen Reyes Marín")</f>
        <v>María Carmen Reyes Marín</v>
      </c>
      <c r="K694" s="40"/>
      <c r="L694" s="40" t="str">
        <f t="shared" ca="1" si="4"/>
        <v>MBM142</v>
      </c>
      <c r="M694" s="36" t="str">
        <f t="shared" ca="1" si="5"/>
        <v>MBM</v>
      </c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</row>
    <row r="695" spans="1:27">
      <c r="A695" s="40"/>
      <c r="B695" s="36"/>
      <c r="C695" s="40"/>
      <c r="D695" s="41"/>
      <c r="E695" s="40"/>
      <c r="F695" s="40" t="str">
        <f ca="1">IFERROR(__xludf.DUMMYFUNCTION("""COMPUTED_VALUE"""),"Maika Blázquez")</f>
        <v>Maika Blázquez</v>
      </c>
      <c r="G695" s="40" t="str">
        <f ca="1">IFERROR(__xludf.DUMMYFUNCTION("""COMPUTED_VALUE"""),"MBM")</f>
        <v>MBM</v>
      </c>
      <c r="H695" s="40" t="str">
        <f ca="1">IFERROR(__xludf.DUMMYFUNCTION("""COMPUTED_VALUE"""),"MBM201")</f>
        <v>MBM201</v>
      </c>
      <c r="I695" s="40" t="str">
        <f ca="1">IFERROR(__xludf.DUMMYFUNCTION("""COMPUTED_VALUE"""),"A")</f>
        <v>A</v>
      </c>
      <c r="J695" s="40" t="str">
        <f ca="1">IFERROR(__xludf.DUMMYFUNCTION("""COMPUTED_VALUE"""),"María Cecilia Scola Torres")</f>
        <v>María Cecilia Scola Torres</v>
      </c>
      <c r="K695" s="40"/>
      <c r="L695" s="40" t="str">
        <f t="shared" ca="1" si="4"/>
        <v>MBM201</v>
      </c>
      <c r="M695" s="36" t="str">
        <f t="shared" ca="1" si="5"/>
        <v>MBM</v>
      </c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</row>
    <row r="696" spans="1:27">
      <c r="A696" s="40"/>
      <c r="B696" s="36"/>
      <c r="C696" s="40"/>
      <c r="D696" s="41"/>
      <c r="E696" s="40"/>
      <c r="F696" s="40" t="str">
        <f ca="1">IFERROR(__xludf.DUMMYFUNCTION("""COMPUTED_VALUE"""),"Patricia Solache")</f>
        <v>Patricia Solache</v>
      </c>
      <c r="G696" s="40" t="str">
        <f ca="1">IFERROR(__xludf.DUMMYFUNCTION("""COMPUTED_VALUE"""),"PSC")</f>
        <v>PSC</v>
      </c>
      <c r="H696" s="40" t="str">
        <f ca="1">IFERROR(__xludf.DUMMYFUNCTION("""COMPUTED_VALUE"""),"PSC40")</f>
        <v>PSC40</v>
      </c>
      <c r="I696" s="40" t="str">
        <f ca="1">IFERROR(__xludf.DUMMYFUNCTION("""COMPUTED_VALUE"""),"A")</f>
        <v>A</v>
      </c>
      <c r="J696" s="40" t="str">
        <f ca="1">IFERROR(__xludf.DUMMYFUNCTION("""COMPUTED_VALUE"""),"María Consolación Martín Pascual")</f>
        <v>María Consolación Martín Pascual</v>
      </c>
      <c r="K696" s="40"/>
      <c r="L696" s="40" t="str">
        <f t="shared" ca="1" si="4"/>
        <v>PSC40</v>
      </c>
      <c r="M696" s="36" t="str">
        <f t="shared" ca="1" si="5"/>
        <v>PSC</v>
      </c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</row>
    <row r="697" spans="1:27">
      <c r="A697" s="40"/>
      <c r="B697" s="36"/>
      <c r="C697" s="40"/>
      <c r="D697" s="41"/>
      <c r="E697" s="40"/>
      <c r="F697" s="40" t="str">
        <f ca="1">IFERROR(__xludf.DUMMYFUNCTION("""COMPUTED_VALUE"""),"Patricia Solache")</f>
        <v>Patricia Solache</v>
      </c>
      <c r="G697" s="40" t="str">
        <f ca="1">IFERROR(__xludf.DUMMYFUNCTION("""COMPUTED_VALUE"""),"PSC")</f>
        <v>PSC</v>
      </c>
      <c r="H697" s="40" t="str">
        <f ca="1">IFERROR(__xludf.DUMMYFUNCTION("""COMPUTED_VALUE"""),"PSC41")</f>
        <v>PSC41</v>
      </c>
      <c r="I697" s="40" t="str">
        <f ca="1">IFERROR(__xludf.DUMMYFUNCTION("""COMPUTED_VALUE"""),"A")</f>
        <v>A</v>
      </c>
      <c r="J697" s="40" t="str">
        <f ca="1">IFERROR(__xludf.DUMMYFUNCTION("""COMPUTED_VALUE"""),"Maria Costales Marcos")</f>
        <v>Maria Costales Marcos</v>
      </c>
      <c r="K697" s="40"/>
      <c r="L697" s="40" t="str">
        <f t="shared" ca="1" si="4"/>
        <v>PSC41</v>
      </c>
      <c r="M697" s="36" t="str">
        <f t="shared" ca="1" si="5"/>
        <v>PSC</v>
      </c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</row>
    <row r="698" spans="1:27">
      <c r="A698" s="40"/>
      <c r="B698" s="36"/>
      <c r="C698" s="23"/>
      <c r="D698" s="41"/>
      <c r="E698" s="40"/>
      <c r="F698" s="40" t="str">
        <f ca="1">IFERROR(__xludf.DUMMYFUNCTION("""COMPUTED_VALUE"""),"Lisandro Russian")</f>
        <v>Lisandro Russian</v>
      </c>
      <c r="G698" s="40" t="str">
        <f ca="1">IFERROR(__xludf.DUMMYFUNCTION("""COMPUTED_VALUE"""),"LRM")</f>
        <v>LRM</v>
      </c>
      <c r="H698" s="40" t="str">
        <f ca="1">IFERROR(__xludf.DUMMYFUNCTION("""COMPUTED_VALUE"""),"LRM181")</f>
        <v>LRM181</v>
      </c>
      <c r="I698" s="40" t="str">
        <f ca="1">IFERROR(__xludf.DUMMYFUNCTION("""COMPUTED_VALUE"""),"A")</f>
        <v>A</v>
      </c>
      <c r="J698" s="40" t="str">
        <f ca="1">IFERROR(__xludf.DUMMYFUNCTION("""COMPUTED_VALUE"""),"María Covadonga Gómez Díaz")</f>
        <v>María Covadonga Gómez Díaz</v>
      </c>
      <c r="K698" s="40"/>
      <c r="L698" s="40" t="str">
        <f t="shared" ca="1" si="4"/>
        <v>LRM181</v>
      </c>
      <c r="M698" s="36" t="str">
        <f t="shared" ca="1" si="5"/>
        <v>LRM</v>
      </c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</row>
    <row r="699" spans="1:27">
      <c r="A699" s="40"/>
      <c r="B699" s="36"/>
      <c r="C699" s="40"/>
      <c r="D699" s="41"/>
      <c r="E699" s="40"/>
      <c r="F699" s="40" t="str">
        <f ca="1">IFERROR(__xludf.DUMMYFUNCTION("""COMPUTED_VALUE"""),"Lisandro Russian")</f>
        <v>Lisandro Russian</v>
      </c>
      <c r="G699" s="40" t="str">
        <f ca="1">IFERROR(__xludf.DUMMYFUNCTION("""COMPUTED_VALUE"""),"LRM")</f>
        <v>LRM</v>
      </c>
      <c r="H699" s="40" t="str">
        <f ca="1">IFERROR(__xludf.DUMMYFUNCTION("""COMPUTED_VALUE"""),"LRM182")</f>
        <v>LRM182</v>
      </c>
      <c r="I699" s="40" t="str">
        <f ca="1">IFERROR(__xludf.DUMMYFUNCTION("""COMPUTED_VALUE"""),"A")</f>
        <v>A</v>
      </c>
      <c r="J699" s="40" t="str">
        <f ca="1">IFERROR(__xludf.DUMMYFUNCTION("""COMPUTED_VALUE"""),"María Cristina Navas Molinero")</f>
        <v>María Cristina Navas Molinero</v>
      </c>
      <c r="K699" s="40"/>
      <c r="L699" s="40" t="str">
        <f t="shared" ca="1" si="4"/>
        <v>LRM182</v>
      </c>
      <c r="M699" s="36" t="str">
        <f t="shared" ca="1" si="5"/>
        <v>LRM</v>
      </c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</row>
    <row r="700" spans="1:27">
      <c r="A700" s="40"/>
      <c r="B700" s="36"/>
      <c r="C700" s="40"/>
      <c r="D700" s="41"/>
      <c r="E700" s="40"/>
      <c r="F700" s="40" t="str">
        <f ca="1">IFERROR(__xludf.DUMMYFUNCTION("""COMPUTED_VALUE"""),"Lisandro Russian")</f>
        <v>Lisandro Russian</v>
      </c>
      <c r="G700" s="40" t="str">
        <f ca="1">IFERROR(__xludf.DUMMYFUNCTION("""COMPUTED_VALUE"""),"LRM")</f>
        <v>LRM</v>
      </c>
      <c r="H700" s="40" t="str">
        <f ca="1">IFERROR(__xludf.DUMMYFUNCTION("""COMPUTED_VALUE"""),"LRM183")</f>
        <v>LRM183</v>
      </c>
      <c r="I700" s="40" t="str">
        <f ca="1">IFERROR(__xludf.DUMMYFUNCTION("""COMPUTED_VALUE"""),"A")</f>
        <v>A</v>
      </c>
      <c r="J700" s="40" t="str">
        <f ca="1">IFERROR(__xludf.DUMMYFUNCTION("""COMPUTED_VALUE"""),"María Cruz Iglesias Moreno")</f>
        <v>María Cruz Iglesias Moreno</v>
      </c>
      <c r="K700" s="40"/>
      <c r="L700" s="40" t="str">
        <f t="shared" ca="1" si="4"/>
        <v>LRM183</v>
      </c>
      <c r="M700" s="36" t="str">
        <f t="shared" ca="1" si="5"/>
        <v>LRM</v>
      </c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</row>
    <row r="701" spans="1:27">
      <c r="A701" s="40"/>
      <c r="B701" s="36"/>
      <c r="C701" s="40"/>
      <c r="D701" s="41"/>
      <c r="E701" s="23"/>
      <c r="F701" s="40" t="str">
        <f ca="1">IFERROR(__xludf.DUMMYFUNCTION("""COMPUTED_VALUE"""),"Maika Blázquez")</f>
        <v>Maika Blázquez</v>
      </c>
      <c r="G701" s="40" t="str">
        <f ca="1">IFERROR(__xludf.DUMMYFUNCTION("""COMPUTED_VALUE"""),"MBM")</f>
        <v>MBM</v>
      </c>
      <c r="H701" s="23" t="str">
        <f ca="1">IFERROR(__xludf.DUMMYFUNCTION("""COMPUTED_VALUE"""),"MBM143")</f>
        <v>MBM143</v>
      </c>
      <c r="I701" s="40" t="str">
        <f ca="1">IFERROR(__xludf.DUMMYFUNCTION("""COMPUTED_VALUE"""),"A")</f>
        <v>A</v>
      </c>
      <c r="J701" s="23" t="str">
        <f ca="1">IFERROR(__xludf.DUMMYFUNCTION("""COMPUTED_VALUE"""),"María Dablanco Blanco")</f>
        <v>María Dablanco Blanco</v>
      </c>
      <c r="K701" s="40"/>
      <c r="L701" s="40" t="str">
        <f t="shared" ca="1" si="4"/>
        <v>MBM143</v>
      </c>
      <c r="M701" s="36" t="str">
        <f t="shared" ca="1" si="5"/>
        <v>MBM</v>
      </c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</row>
    <row r="702" spans="1:27">
      <c r="A702" s="40"/>
      <c r="B702" s="36"/>
      <c r="C702" s="40"/>
      <c r="D702" s="41"/>
      <c r="E702" s="40"/>
      <c r="F702" s="40" t="str">
        <f ca="1">IFERROR(__xludf.DUMMYFUNCTION("""COMPUTED_VALUE"""),"Lisandro Russian")</f>
        <v>Lisandro Russian</v>
      </c>
      <c r="G702" s="40" t="str">
        <f ca="1">IFERROR(__xludf.DUMMYFUNCTION("""COMPUTED_VALUE"""),"LRM")</f>
        <v>LRM</v>
      </c>
      <c r="H702" s="40" t="str">
        <f ca="1">IFERROR(__xludf.DUMMYFUNCTION("""COMPUTED_VALUE"""),"LRM149")</f>
        <v>LRM149</v>
      </c>
      <c r="I702" s="40" t="str">
        <f ca="1">IFERROR(__xludf.DUMMYFUNCTION("""COMPUTED_VALUE"""),"A")</f>
        <v>A</v>
      </c>
      <c r="J702" s="40" t="str">
        <f ca="1">IFERROR(__xludf.DUMMYFUNCTION("""COMPUTED_VALUE"""),"María De La Paz Coloma Grau")</f>
        <v>María De La Paz Coloma Grau</v>
      </c>
      <c r="K702" s="40"/>
      <c r="L702" s="40" t="str">
        <f t="shared" ca="1" si="4"/>
        <v>LRM149</v>
      </c>
      <c r="M702" s="36" t="str">
        <f t="shared" ca="1" si="5"/>
        <v>LRM</v>
      </c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</row>
    <row r="703" spans="1:27">
      <c r="A703" s="40"/>
      <c r="B703" s="36"/>
      <c r="C703" s="40"/>
      <c r="D703" s="41"/>
      <c r="E703" s="40"/>
      <c r="F703" s="40" t="str">
        <f ca="1">IFERROR(__xludf.DUMMYFUNCTION("""COMPUTED_VALUE"""),"Luis Alberto Rodríguez")</f>
        <v>Luis Alberto Rodríguez</v>
      </c>
      <c r="G703" s="40" t="str">
        <f ca="1">IFERROR(__xludf.DUMMYFUNCTION("""COMPUTED_VALUE"""),"LAA")</f>
        <v>LAA</v>
      </c>
      <c r="H703" s="40" t="str">
        <f ca="1">IFERROR(__xludf.DUMMYFUNCTION("""COMPUTED_VALUE"""),"LAA78")</f>
        <v>LAA78</v>
      </c>
      <c r="I703" s="40" t="str">
        <f ca="1">IFERROR(__xludf.DUMMYFUNCTION("""COMPUTED_VALUE"""),"C")</f>
        <v>C</v>
      </c>
      <c r="J703" s="40" t="str">
        <f ca="1">IFERROR(__xludf.DUMMYFUNCTION("""COMPUTED_VALUE"""),"Maria Del Carmen Salom Coveñas")</f>
        <v>Maria Del Carmen Salom Coveñas</v>
      </c>
      <c r="K703" s="40"/>
      <c r="L703" s="40" t="str">
        <f t="shared" ca="1" si="4"/>
        <v>LAA78</v>
      </c>
      <c r="M703" s="36" t="str">
        <f t="shared" ca="1" si="5"/>
        <v>LAA</v>
      </c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</row>
    <row r="704" spans="1:27">
      <c r="A704" s="40"/>
      <c r="B704" s="36"/>
      <c r="C704" s="40"/>
      <c r="D704" s="41"/>
      <c r="E704" s="40"/>
      <c r="F704" s="40" t="str">
        <f ca="1">IFERROR(__xludf.DUMMYFUNCTION("""COMPUTED_VALUE"""),"Maika Blázquez")</f>
        <v>Maika Blázquez</v>
      </c>
      <c r="G704" s="40" t="str">
        <f ca="1">IFERROR(__xludf.DUMMYFUNCTION("""COMPUTED_VALUE"""),"MBM")</f>
        <v>MBM</v>
      </c>
      <c r="H704" s="40" t="str">
        <f ca="1">IFERROR(__xludf.DUMMYFUNCTION("""COMPUTED_VALUE"""),"MBM144")</f>
        <v>MBM144</v>
      </c>
      <c r="I704" s="40" t="str">
        <f ca="1">IFERROR(__xludf.DUMMYFUNCTION("""COMPUTED_VALUE"""),"A")</f>
        <v>A</v>
      </c>
      <c r="J704" s="40" t="str">
        <f ca="1">IFERROR(__xludf.DUMMYFUNCTION("""COMPUTED_VALUE"""),"María Del Mar Bodoque Cano")</f>
        <v>María Del Mar Bodoque Cano</v>
      </c>
      <c r="K704" s="40"/>
      <c r="L704" s="40" t="str">
        <f t="shared" ca="1" si="4"/>
        <v>MBM144</v>
      </c>
      <c r="M704" s="36" t="str">
        <f t="shared" ca="1" si="5"/>
        <v>MBM</v>
      </c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</row>
    <row r="705" spans="1:27">
      <c r="A705" s="40"/>
      <c r="B705" s="36"/>
      <c r="C705" s="40"/>
      <c r="D705" s="41"/>
      <c r="E705" s="40"/>
      <c r="F705" s="40" t="str">
        <f ca="1">IFERROR(__xludf.DUMMYFUNCTION("""COMPUTED_VALUE"""),"Maika Blázquez")</f>
        <v>Maika Blázquez</v>
      </c>
      <c r="G705" s="40" t="str">
        <f ca="1">IFERROR(__xludf.DUMMYFUNCTION("""COMPUTED_VALUE"""),"MBM")</f>
        <v>MBM</v>
      </c>
      <c r="H705" s="40" t="str">
        <f ca="1">IFERROR(__xludf.DUMMYFUNCTION("""COMPUTED_VALUE"""),"MBM145")</f>
        <v>MBM145</v>
      </c>
      <c r="I705" s="40" t="str">
        <f ca="1">IFERROR(__xludf.DUMMYFUNCTION("""COMPUTED_VALUE"""),"A")</f>
        <v>A</v>
      </c>
      <c r="J705" s="40" t="str">
        <f ca="1">IFERROR(__xludf.DUMMYFUNCTION("""COMPUTED_VALUE"""),"María Del Mar Martínez Ruiz-coello")</f>
        <v>María Del Mar Martínez Ruiz-coello</v>
      </c>
      <c r="K705" s="40"/>
      <c r="L705" s="40" t="str">
        <f t="shared" ca="1" si="4"/>
        <v>MBM145</v>
      </c>
      <c r="M705" s="36" t="str">
        <f t="shared" ca="1" si="5"/>
        <v>MBM</v>
      </c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</row>
    <row r="706" spans="1:27">
      <c r="A706" s="40"/>
      <c r="B706" s="36"/>
      <c r="C706" s="40"/>
      <c r="D706" s="41"/>
      <c r="E706" s="40"/>
      <c r="F706" s="40" t="str">
        <f ca="1">IFERROR(__xludf.DUMMYFUNCTION("""COMPUTED_VALUE"""),"Maika Blázquez")</f>
        <v>Maika Blázquez</v>
      </c>
      <c r="G706" s="40" t="str">
        <f ca="1">IFERROR(__xludf.DUMMYFUNCTION("""COMPUTED_VALUE"""),"MBM")</f>
        <v>MBM</v>
      </c>
      <c r="H706" s="40" t="str">
        <f ca="1">IFERROR(__xludf.DUMMYFUNCTION("""COMPUTED_VALUE"""),"MBM146")</f>
        <v>MBM146</v>
      </c>
      <c r="I706" s="40" t="str">
        <f ca="1">IFERROR(__xludf.DUMMYFUNCTION("""COMPUTED_VALUE"""),"A")</f>
        <v>A</v>
      </c>
      <c r="J706" s="40" t="str">
        <f ca="1">IFERROR(__xludf.DUMMYFUNCTION("""COMPUTED_VALUE"""),"María Del Mar Medina González")</f>
        <v>María Del Mar Medina González</v>
      </c>
      <c r="K706" s="40"/>
      <c r="L706" s="40" t="str">
        <f t="shared" ca="1" si="4"/>
        <v>MBM146</v>
      </c>
      <c r="M706" s="36" t="str">
        <f t="shared" ca="1" si="5"/>
        <v>MBM</v>
      </c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</row>
    <row r="707" spans="1:27">
      <c r="A707" s="40"/>
      <c r="B707" s="36"/>
      <c r="C707" s="40"/>
      <c r="D707" s="41"/>
      <c r="E707" s="40"/>
      <c r="F707" s="40" t="str">
        <f ca="1">IFERROR(__xludf.DUMMYFUNCTION("""COMPUTED_VALUE"""),"Lisandro Russian")</f>
        <v>Lisandro Russian</v>
      </c>
      <c r="G707" s="40" t="str">
        <f ca="1">IFERROR(__xludf.DUMMYFUNCTION("""COMPUTED_VALUE"""),"LRM")</f>
        <v>LRM</v>
      </c>
      <c r="H707" s="40" t="str">
        <f ca="1">IFERROR(__xludf.DUMMYFUNCTION("""COMPUTED_VALUE"""),"LRM184")</f>
        <v>LRM184</v>
      </c>
      <c r="I707" s="40" t="str">
        <f ca="1">IFERROR(__xludf.DUMMYFUNCTION("""COMPUTED_VALUE"""),"A")</f>
        <v>A</v>
      </c>
      <c r="J707" s="40" t="str">
        <f ca="1">IFERROR(__xludf.DUMMYFUNCTION("""COMPUTED_VALUE"""),"Maria Del mar Munuera jurado")</f>
        <v>Maria Del mar Munuera jurado</v>
      </c>
      <c r="K707" s="40"/>
      <c r="L707" s="40" t="str">
        <f t="shared" ca="1" si="4"/>
        <v>LRM184</v>
      </c>
      <c r="M707" s="36" t="str">
        <f t="shared" ca="1" si="5"/>
        <v>LRM</v>
      </c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</row>
    <row r="708" spans="1:27">
      <c r="A708" s="40"/>
      <c r="B708" s="36"/>
      <c r="C708" s="40"/>
      <c r="D708" s="41"/>
      <c r="E708" s="40"/>
      <c r="F708" s="40" t="str">
        <f ca="1">IFERROR(__xludf.DUMMYFUNCTION("""COMPUTED_VALUE"""),"Luis Alberto Rodríguez")</f>
        <v>Luis Alberto Rodríguez</v>
      </c>
      <c r="G708" s="40" t="str">
        <f ca="1">IFERROR(__xludf.DUMMYFUNCTION("""COMPUTED_VALUE"""),"LAA")</f>
        <v>LAA</v>
      </c>
      <c r="H708" s="40" t="str">
        <f ca="1">IFERROR(__xludf.DUMMYFUNCTION("""COMPUTED_VALUE"""),"LAA86")</f>
        <v>LAA86</v>
      </c>
      <c r="I708" s="40" t="str">
        <f ca="1">IFERROR(__xludf.DUMMYFUNCTION("""COMPUTED_VALUE"""),"C")</f>
        <v>C</v>
      </c>
      <c r="J708" s="40" t="str">
        <f ca="1">IFERROR(__xludf.DUMMYFUNCTION("""COMPUTED_VALUE"""),"María del Pilar Gómez Tapiador")</f>
        <v>María del Pilar Gómez Tapiador</v>
      </c>
      <c r="K708" s="40"/>
      <c r="L708" s="40" t="str">
        <f t="shared" ca="1" si="4"/>
        <v>LAA86</v>
      </c>
      <c r="M708" s="36" t="str">
        <f t="shared" ca="1" si="5"/>
        <v>LAA</v>
      </c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</row>
    <row r="709" spans="1:27">
      <c r="A709" s="40"/>
      <c r="B709" s="36"/>
      <c r="C709" s="40"/>
      <c r="D709" s="41"/>
      <c r="E709" s="40"/>
      <c r="F709" s="40" t="str">
        <f ca="1">IFERROR(__xludf.DUMMYFUNCTION("""COMPUTED_VALUE"""),"Lisandro Russian")</f>
        <v>Lisandro Russian</v>
      </c>
      <c r="G709" s="40" t="str">
        <f ca="1">IFERROR(__xludf.DUMMYFUNCTION("""COMPUTED_VALUE"""),"LRM")</f>
        <v>LRM</v>
      </c>
      <c r="H709" s="40" t="str">
        <f ca="1">IFERROR(__xludf.DUMMYFUNCTION("""COMPUTED_VALUE"""),"LRM246")</f>
        <v>LRM246</v>
      </c>
      <c r="I709" s="40" t="str">
        <f ca="1">IFERROR(__xludf.DUMMYFUNCTION("""COMPUTED_VALUE"""),"A")</f>
        <v>A</v>
      </c>
      <c r="J709" s="40" t="str">
        <f ca="1">IFERROR(__xludf.DUMMYFUNCTION("""COMPUTED_VALUE"""),"Maria Del Rocío Lobato Pérez")</f>
        <v>Maria Del Rocío Lobato Pérez</v>
      </c>
      <c r="K709" s="40"/>
      <c r="L709" s="40" t="str">
        <f t="shared" ca="1" si="4"/>
        <v>LRM246</v>
      </c>
      <c r="M709" s="36" t="str">
        <f t="shared" ca="1" si="5"/>
        <v>LRM</v>
      </c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</row>
    <row r="710" spans="1:27">
      <c r="A710" s="40"/>
      <c r="B710" s="36"/>
      <c r="C710" s="40"/>
      <c r="D710" s="41"/>
      <c r="E710" s="40"/>
      <c r="F710" s="40" t="str">
        <f ca="1">IFERROR(__xludf.DUMMYFUNCTION("""COMPUTED_VALUE"""),"Lisandro Russian")</f>
        <v>Lisandro Russian</v>
      </c>
      <c r="G710" s="40" t="str">
        <f ca="1">IFERROR(__xludf.DUMMYFUNCTION("""COMPUTED_VALUE"""),"LRM")</f>
        <v>LRM</v>
      </c>
      <c r="H710" s="40" t="str">
        <f ca="1">IFERROR(__xludf.DUMMYFUNCTION("""COMPUTED_VALUE"""),"LRM257")</f>
        <v>LRM257</v>
      </c>
      <c r="I710" s="40" t="str">
        <f ca="1">IFERROR(__xludf.DUMMYFUNCTION("""COMPUTED_VALUE"""),"A")</f>
        <v>A</v>
      </c>
      <c r="J710" s="40" t="str">
        <f ca="1">IFERROR(__xludf.DUMMYFUNCTION("""COMPUTED_VALUE"""),"María Del Rocío Lobato Pérez")</f>
        <v>María Del Rocío Lobato Pérez</v>
      </c>
      <c r="K710" s="40"/>
      <c r="L710" s="40" t="str">
        <f t="shared" ca="1" si="4"/>
        <v>LRM257</v>
      </c>
      <c r="M710" s="36" t="str">
        <f t="shared" ca="1" si="5"/>
        <v>LRM</v>
      </c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</row>
    <row r="711" spans="1:27">
      <c r="A711" s="40"/>
      <c r="B711" s="36"/>
      <c r="C711" s="40"/>
      <c r="D711" s="41"/>
      <c r="E711" s="40"/>
      <c r="F711" s="40" t="str">
        <f ca="1">IFERROR(__xludf.DUMMYFUNCTION("""COMPUTED_VALUE"""),"Iván Sánchez")</f>
        <v>Iván Sánchez</v>
      </c>
      <c r="G711" s="40" t="str">
        <f ca="1">IFERROR(__xludf.DUMMYFUNCTION("""COMPUTED_VALUE"""),"ISL")</f>
        <v>ISL</v>
      </c>
      <c r="H711" s="40" t="str">
        <f ca="1">IFERROR(__xludf.DUMMYFUNCTION("""COMPUTED_VALUE"""),"ISL117")</f>
        <v>ISL117</v>
      </c>
      <c r="I711" s="40" t="str">
        <f ca="1">IFERROR(__xludf.DUMMYFUNCTION("""COMPUTED_VALUE"""),"B")</f>
        <v>B</v>
      </c>
      <c r="J711" s="40" t="str">
        <f ca="1">IFERROR(__xludf.DUMMYFUNCTION("""COMPUTED_VALUE"""),"María Del Rosario Gómez González")</f>
        <v>María Del Rosario Gómez González</v>
      </c>
      <c r="K711" s="40"/>
      <c r="L711" s="40" t="str">
        <f t="shared" ca="1" si="4"/>
        <v>ISL117</v>
      </c>
      <c r="M711" s="36" t="str">
        <f t="shared" ca="1" si="5"/>
        <v>ISL</v>
      </c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</row>
    <row r="712" spans="1:27">
      <c r="A712" s="40"/>
      <c r="B712" s="36"/>
      <c r="C712" s="40"/>
      <c r="D712" s="41"/>
      <c r="E712" s="40"/>
      <c r="F712" s="40" t="str">
        <f ca="1">IFERROR(__xludf.DUMMYFUNCTION("""COMPUTED_VALUE"""),"Lisandro Russian")</f>
        <v>Lisandro Russian</v>
      </c>
      <c r="G712" s="40" t="str">
        <f ca="1">IFERROR(__xludf.DUMMYFUNCTION("""COMPUTED_VALUE"""),"LRM")</f>
        <v>LRM</v>
      </c>
      <c r="H712" s="40" t="str">
        <f ca="1">IFERROR(__xludf.DUMMYFUNCTION("""COMPUTED_VALUE"""),"LRM262")</f>
        <v>LRM262</v>
      </c>
      <c r="I712" s="40" t="str">
        <f ca="1">IFERROR(__xludf.DUMMYFUNCTION("""COMPUTED_VALUE"""),"A")</f>
        <v>A</v>
      </c>
      <c r="J712" s="40" t="str">
        <f ca="1">IFERROR(__xludf.DUMMYFUNCTION("""COMPUTED_VALUE"""),"María Elena García García")</f>
        <v>María Elena García García</v>
      </c>
      <c r="K712" s="40"/>
      <c r="L712" s="40" t="str">
        <f t="shared" ca="1" si="4"/>
        <v>LRM262</v>
      </c>
      <c r="M712" s="36" t="str">
        <f t="shared" ca="1" si="5"/>
        <v>LRM</v>
      </c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</row>
    <row r="713" spans="1:27">
      <c r="A713" s="40"/>
      <c r="B713" s="36"/>
      <c r="C713" s="40"/>
      <c r="D713" s="41"/>
      <c r="E713" s="40"/>
      <c r="F713" s="40" t="str">
        <f ca="1">IFERROR(__xludf.DUMMYFUNCTION("""COMPUTED_VALUE"""),"Ramon Ferrando")</f>
        <v>Ramon Ferrando</v>
      </c>
      <c r="G713" s="40" t="str">
        <f ca="1">IFERROR(__xludf.DUMMYFUNCTION("""COMPUTED_VALUE"""),"RFV")</f>
        <v>RFV</v>
      </c>
      <c r="H713" s="40" t="str">
        <f ca="1">IFERROR(__xludf.DUMMYFUNCTION("""COMPUTED_VALUE"""),"RFV38")</f>
        <v>RFV38</v>
      </c>
      <c r="I713" s="40" t="str">
        <f ca="1">IFERROR(__xludf.DUMMYFUNCTION("""COMPUTED_VALUE"""),"B")</f>
        <v>B</v>
      </c>
      <c r="J713" s="40" t="str">
        <f ca="1">IFERROR(__xludf.DUMMYFUNCTION("""COMPUTED_VALUE"""),"María Emilia García Ruiz")</f>
        <v>María Emilia García Ruiz</v>
      </c>
      <c r="K713" s="40"/>
      <c r="L713" s="40" t="str">
        <f t="shared" ca="1" si="4"/>
        <v>RFV38</v>
      </c>
      <c r="M713" s="36" t="str">
        <f t="shared" ca="1" si="5"/>
        <v>RFV</v>
      </c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</row>
    <row r="714" spans="1:27">
      <c r="A714" s="40"/>
      <c r="B714" s="36"/>
      <c r="C714" s="40"/>
      <c r="D714" s="41"/>
      <c r="E714" s="40"/>
      <c r="F714" s="40" t="str">
        <f ca="1">IFERROR(__xludf.DUMMYFUNCTION("""COMPUTED_VALUE"""),"Iván Sánchez")</f>
        <v>Iván Sánchez</v>
      </c>
      <c r="G714" s="40" t="str">
        <f ca="1">IFERROR(__xludf.DUMMYFUNCTION("""COMPUTED_VALUE"""),"ISL")</f>
        <v>ISL</v>
      </c>
      <c r="H714" s="40" t="str">
        <f ca="1">IFERROR(__xludf.DUMMYFUNCTION("""COMPUTED_VALUE"""),"ISL118")</f>
        <v>ISL118</v>
      </c>
      <c r="I714" s="40" t="str">
        <f ca="1">IFERROR(__xludf.DUMMYFUNCTION("""COMPUTED_VALUE"""),"B")</f>
        <v>B</v>
      </c>
      <c r="J714" s="40" t="str">
        <f ca="1">IFERROR(__xludf.DUMMYFUNCTION("""COMPUTED_VALUE"""),"María Emilia García Ruíz")</f>
        <v>María Emilia García Ruíz</v>
      </c>
      <c r="K714" s="40"/>
      <c r="L714" s="40" t="str">
        <f t="shared" ca="1" si="4"/>
        <v>ISL118</v>
      </c>
      <c r="M714" s="36" t="str">
        <f t="shared" ca="1" si="5"/>
        <v>ISL</v>
      </c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</row>
    <row r="715" spans="1:27">
      <c r="A715" s="40"/>
      <c r="B715" s="36"/>
      <c r="C715" s="40"/>
      <c r="D715" s="41"/>
      <c r="E715" s="40"/>
      <c r="F715" s="40" t="str">
        <f ca="1">IFERROR(__xludf.DUMMYFUNCTION("""COMPUTED_VALUE"""),"Maika Blázquez")</f>
        <v>Maika Blázquez</v>
      </c>
      <c r="G715" s="40" t="str">
        <f ca="1">IFERROR(__xludf.DUMMYFUNCTION("""COMPUTED_VALUE"""),"MBM")</f>
        <v>MBM</v>
      </c>
      <c r="H715" s="40" t="str">
        <f ca="1">IFERROR(__xludf.DUMMYFUNCTION("""COMPUTED_VALUE"""),"MBM147")</f>
        <v>MBM147</v>
      </c>
      <c r="I715" s="40" t="str">
        <f ca="1">IFERROR(__xludf.DUMMYFUNCTION("""COMPUTED_VALUE"""),"A")</f>
        <v>A</v>
      </c>
      <c r="J715" s="40" t="str">
        <f ca="1">IFERROR(__xludf.DUMMYFUNCTION("""COMPUTED_VALUE"""),"María Estefanía Hernández García")</f>
        <v>María Estefanía Hernández García</v>
      </c>
      <c r="K715" s="40"/>
      <c r="L715" s="40" t="str">
        <f t="shared" ca="1" si="4"/>
        <v>MBM147</v>
      </c>
      <c r="M715" s="36" t="str">
        <f t="shared" ca="1" si="5"/>
        <v>MBM</v>
      </c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</row>
    <row r="716" spans="1:27">
      <c r="A716" s="40"/>
      <c r="B716" s="36"/>
      <c r="C716" s="40"/>
      <c r="D716" s="41"/>
      <c r="E716" s="40"/>
      <c r="F716" s="40" t="str">
        <f ca="1">IFERROR(__xludf.DUMMYFUNCTION("""COMPUTED_VALUE"""),"Lisandro Russian")</f>
        <v>Lisandro Russian</v>
      </c>
      <c r="G716" s="40" t="str">
        <f ca="1">IFERROR(__xludf.DUMMYFUNCTION("""COMPUTED_VALUE"""),"LRM")</f>
        <v>LRM</v>
      </c>
      <c r="H716" s="40" t="str">
        <f ca="1">IFERROR(__xludf.DUMMYFUNCTION("""COMPUTED_VALUE"""),"LRM185")</f>
        <v>LRM185</v>
      </c>
      <c r="I716" s="40" t="str">
        <f ca="1">IFERROR(__xludf.DUMMYFUNCTION("""COMPUTED_VALUE"""),"A")</f>
        <v>A</v>
      </c>
      <c r="J716" s="40" t="str">
        <f ca="1">IFERROR(__xludf.DUMMYFUNCTION("""COMPUTED_VALUE"""),"María Estrella Gomez Tomé")</f>
        <v>María Estrella Gomez Tomé</v>
      </c>
      <c r="K716" s="40"/>
      <c r="L716" s="40" t="str">
        <f t="shared" ca="1" si="4"/>
        <v>LRM185</v>
      </c>
      <c r="M716" s="36" t="str">
        <f t="shared" ca="1" si="5"/>
        <v>LRM</v>
      </c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</row>
    <row r="717" spans="1:27">
      <c r="A717" s="40"/>
      <c r="B717" s="36"/>
      <c r="C717" s="40"/>
      <c r="D717" s="41"/>
      <c r="E717" s="40"/>
      <c r="F717" s="40" t="str">
        <f ca="1">IFERROR(__xludf.DUMMYFUNCTION("""COMPUTED_VALUE"""),"Lisandro Russian")</f>
        <v>Lisandro Russian</v>
      </c>
      <c r="G717" s="40" t="str">
        <f ca="1">IFERROR(__xludf.DUMMYFUNCTION("""COMPUTED_VALUE"""),"LRM")</f>
        <v>LRM</v>
      </c>
      <c r="H717" s="40" t="str">
        <f ca="1">IFERROR(__xludf.DUMMYFUNCTION("""COMPUTED_VALUE"""),"LRM33")</f>
        <v>LRM33</v>
      </c>
      <c r="I717" s="40" t="str">
        <f ca="1">IFERROR(__xludf.DUMMYFUNCTION("""COMPUTED_VALUE"""),"A")</f>
        <v>A</v>
      </c>
      <c r="J717" s="40" t="str">
        <f ca="1">IFERROR(__xludf.DUMMYFUNCTION("""COMPUTED_VALUE"""),"María Eva Ruiz De Gauna Martín")</f>
        <v>María Eva Ruiz De Gauna Martín</v>
      </c>
      <c r="K717" s="40"/>
      <c r="L717" s="40" t="str">
        <f t="shared" ca="1" si="4"/>
        <v>LRM33</v>
      </c>
      <c r="M717" s="36" t="str">
        <f t="shared" ca="1" si="5"/>
        <v>LRM</v>
      </c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</row>
    <row r="718" spans="1:27">
      <c r="A718" s="40"/>
      <c r="B718" s="36"/>
      <c r="C718" s="40"/>
      <c r="D718" s="41"/>
      <c r="E718" s="40"/>
      <c r="F718" s="40" t="str">
        <f ca="1">IFERROR(__xludf.DUMMYFUNCTION("""COMPUTED_VALUE"""),"Lisandro Russian")</f>
        <v>Lisandro Russian</v>
      </c>
      <c r="G718" s="40" t="str">
        <f ca="1">IFERROR(__xludf.DUMMYFUNCTION("""COMPUTED_VALUE"""),"LRM")</f>
        <v>LRM</v>
      </c>
      <c r="H718" s="40" t="str">
        <f ca="1">IFERROR(__xludf.DUMMYFUNCTION("""COMPUTED_VALUE"""),"LRM186")</f>
        <v>LRM186</v>
      </c>
      <c r="I718" s="40" t="str">
        <f ca="1">IFERROR(__xludf.DUMMYFUNCTION("""COMPUTED_VALUE"""),"A")</f>
        <v>A</v>
      </c>
      <c r="J718" s="40" t="str">
        <f ca="1">IFERROR(__xludf.DUMMYFUNCTION("""COMPUTED_VALUE"""),"María Fernanda Escala Pedreros")</f>
        <v>María Fernanda Escala Pedreros</v>
      </c>
      <c r="K718" s="40"/>
      <c r="L718" s="40" t="str">
        <f t="shared" ca="1" si="4"/>
        <v>LRM186</v>
      </c>
      <c r="M718" s="36" t="str">
        <f t="shared" ca="1" si="5"/>
        <v>LRM</v>
      </c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</row>
    <row r="719" spans="1:27">
      <c r="A719" s="40"/>
      <c r="B719" s="36"/>
      <c r="C719" s="40"/>
      <c r="D719" s="41"/>
      <c r="E719" s="40"/>
      <c r="F719" s="40" t="str">
        <f ca="1">IFERROR(__xludf.DUMMYFUNCTION("""COMPUTED_VALUE"""),"Lisandro Russian")</f>
        <v>Lisandro Russian</v>
      </c>
      <c r="G719" s="40" t="str">
        <f ca="1">IFERROR(__xludf.DUMMYFUNCTION("""COMPUTED_VALUE"""),"LRM")</f>
        <v>LRM</v>
      </c>
      <c r="H719" s="40" t="str">
        <f ca="1">IFERROR(__xludf.DUMMYFUNCTION("""COMPUTED_VALUE"""),"LRM187")</f>
        <v>LRM187</v>
      </c>
      <c r="I719" s="40" t="str">
        <f ca="1">IFERROR(__xludf.DUMMYFUNCTION("""COMPUTED_VALUE"""),"A")</f>
        <v>A</v>
      </c>
      <c r="J719" s="40" t="str">
        <f ca="1">IFERROR(__xludf.DUMMYFUNCTION("""COMPUTED_VALUE"""),"María Fernanda Pedrero Escalas")</f>
        <v>María Fernanda Pedrero Escalas</v>
      </c>
      <c r="K719" s="40"/>
      <c r="L719" s="40" t="str">
        <f t="shared" ca="1" si="4"/>
        <v>LRM187</v>
      </c>
      <c r="M719" s="36" t="str">
        <f t="shared" ca="1" si="5"/>
        <v>LRM</v>
      </c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</row>
    <row r="720" spans="1:27">
      <c r="A720" s="40"/>
      <c r="B720" s="36"/>
      <c r="C720" s="40"/>
      <c r="D720" s="41"/>
      <c r="E720" s="40"/>
      <c r="F720" s="40" t="str">
        <f ca="1">IFERROR(__xludf.DUMMYFUNCTION("""COMPUTED_VALUE"""),"Maika Blázquez")</f>
        <v>Maika Blázquez</v>
      </c>
      <c r="G720" s="40" t="str">
        <f ca="1">IFERROR(__xludf.DUMMYFUNCTION("""COMPUTED_VALUE"""),"MBM")</f>
        <v>MBM</v>
      </c>
      <c r="H720" s="40" t="str">
        <f ca="1">IFERROR(__xludf.DUMMYFUNCTION("""COMPUTED_VALUE"""),"MBM148")</f>
        <v>MBM148</v>
      </c>
      <c r="I720" s="40" t="str">
        <f ca="1">IFERROR(__xludf.DUMMYFUNCTION("""COMPUTED_VALUE"""),"A")</f>
        <v>A</v>
      </c>
      <c r="J720" s="40" t="str">
        <f ca="1">IFERROR(__xludf.DUMMYFUNCTION("""COMPUTED_VALUE"""),"María Gabriela Bosco Morales")</f>
        <v>María Gabriela Bosco Morales</v>
      </c>
      <c r="K720" s="40"/>
      <c r="L720" s="40" t="str">
        <f t="shared" ca="1" si="4"/>
        <v>MBM148</v>
      </c>
      <c r="M720" s="36" t="str">
        <f t="shared" ca="1" si="5"/>
        <v>MBM</v>
      </c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</row>
    <row r="721" spans="1:27">
      <c r="A721" s="40"/>
      <c r="B721" s="36"/>
      <c r="C721" s="40"/>
      <c r="D721" s="41"/>
      <c r="E721" s="40"/>
      <c r="F721" s="40" t="str">
        <f ca="1">IFERROR(__xludf.DUMMYFUNCTION("""COMPUTED_VALUE"""),"Maika Blázquez")</f>
        <v>Maika Blázquez</v>
      </c>
      <c r="G721" s="40" t="str">
        <f ca="1">IFERROR(__xludf.DUMMYFUNCTION("""COMPUTED_VALUE"""),"MBM")</f>
        <v>MBM</v>
      </c>
      <c r="H721" s="40" t="str">
        <f ca="1">IFERROR(__xludf.DUMMYFUNCTION("""COMPUTED_VALUE"""),"MBM149")</f>
        <v>MBM149</v>
      </c>
      <c r="I721" s="40" t="str">
        <f ca="1">IFERROR(__xludf.DUMMYFUNCTION("""COMPUTED_VALUE"""),"A")</f>
        <v>A</v>
      </c>
      <c r="J721" s="40" t="str">
        <f ca="1">IFERROR(__xludf.DUMMYFUNCTION("""COMPUTED_VALUE"""),"María Garrote Garrote")</f>
        <v>María Garrote Garrote</v>
      </c>
      <c r="K721" s="40"/>
      <c r="L721" s="40" t="str">
        <f t="shared" ca="1" si="4"/>
        <v>MBM149</v>
      </c>
      <c r="M721" s="36" t="str">
        <f t="shared" ca="1" si="5"/>
        <v>MBM</v>
      </c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</row>
    <row r="722" spans="1:27">
      <c r="A722" s="40"/>
      <c r="B722" s="36"/>
      <c r="C722" s="40"/>
      <c r="D722" s="41"/>
      <c r="E722" s="40"/>
      <c r="F722" s="40" t="str">
        <f ca="1">IFERROR(__xludf.DUMMYFUNCTION("""COMPUTED_VALUE"""),"Patricia Solache")</f>
        <v>Patricia Solache</v>
      </c>
      <c r="G722" s="40" t="str">
        <f ca="1">IFERROR(__xludf.DUMMYFUNCTION("""COMPUTED_VALUE"""),"PSC")</f>
        <v>PSC</v>
      </c>
      <c r="H722" s="40" t="str">
        <f ca="1">IFERROR(__xludf.DUMMYFUNCTION("""COMPUTED_VALUE"""),"PSC42")</f>
        <v>PSC42</v>
      </c>
      <c r="I722" s="40" t="str">
        <f ca="1">IFERROR(__xludf.DUMMYFUNCTION("""COMPUTED_VALUE"""),"A")</f>
        <v>A</v>
      </c>
      <c r="J722" s="40" t="str">
        <f ca="1">IFERROR(__xludf.DUMMYFUNCTION("""COMPUTED_VALUE"""),"María Gil Melcón")</f>
        <v>María Gil Melcón</v>
      </c>
      <c r="K722" s="40"/>
      <c r="L722" s="40" t="str">
        <f t="shared" ca="1" si="4"/>
        <v>PSC42</v>
      </c>
      <c r="M722" s="36" t="str">
        <f t="shared" ca="1" si="5"/>
        <v>PSC</v>
      </c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</row>
    <row r="723" spans="1:27">
      <c r="A723" s="40"/>
      <c r="B723" s="36"/>
      <c r="C723" s="40"/>
      <c r="D723" s="41"/>
      <c r="E723" s="40"/>
      <c r="F723" s="40" t="str">
        <f ca="1">IFERROR(__xludf.DUMMYFUNCTION("""COMPUTED_VALUE"""),"Lisandro Russian")</f>
        <v>Lisandro Russian</v>
      </c>
      <c r="G723" s="40" t="str">
        <f ca="1">IFERROR(__xludf.DUMMYFUNCTION("""COMPUTED_VALUE"""),"LRM")</f>
        <v>LRM</v>
      </c>
      <c r="H723" s="40" t="str">
        <f ca="1">IFERROR(__xludf.DUMMYFUNCTION("""COMPUTED_VALUE"""),"LRM188")</f>
        <v>LRM188</v>
      </c>
      <c r="I723" s="40" t="str">
        <f ca="1">IFERROR(__xludf.DUMMYFUNCTION("""COMPUTED_VALUE"""),"A")</f>
        <v>A</v>
      </c>
      <c r="J723" s="40" t="str">
        <f ca="1">IFERROR(__xludf.DUMMYFUNCTION("""COMPUTED_VALUE"""),"María González Menendez")</f>
        <v>María González Menendez</v>
      </c>
      <c r="K723" s="40"/>
      <c r="L723" s="40" t="str">
        <f t="shared" ca="1" si="4"/>
        <v>LRM188</v>
      </c>
      <c r="M723" s="36" t="str">
        <f t="shared" ca="1" si="5"/>
        <v>LRM</v>
      </c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</row>
    <row r="724" spans="1:27">
      <c r="A724" s="40"/>
      <c r="B724" s="36"/>
      <c r="C724" s="40"/>
      <c r="D724" s="41"/>
      <c r="E724" s="40"/>
      <c r="F724" s="40" t="str">
        <f ca="1">IFERROR(__xludf.DUMMYFUNCTION("""COMPUTED_VALUE"""),"Maika Blázquez")</f>
        <v>Maika Blázquez</v>
      </c>
      <c r="G724" s="40" t="str">
        <f ca="1">IFERROR(__xludf.DUMMYFUNCTION("""COMPUTED_VALUE"""),"MBM")</f>
        <v>MBM</v>
      </c>
      <c r="H724" s="40" t="str">
        <f ca="1">IFERROR(__xludf.DUMMYFUNCTION("""COMPUTED_VALUE"""),"MBM150")</f>
        <v>MBM150</v>
      </c>
      <c r="I724" s="40" t="str">
        <f ca="1">IFERROR(__xludf.DUMMYFUNCTION("""COMPUTED_VALUE"""),"A")</f>
        <v>A</v>
      </c>
      <c r="J724" s="40" t="str">
        <f ca="1">IFERROR(__xludf.DUMMYFUNCTION("""COMPUTED_VALUE"""),"María González Menéndez")</f>
        <v>María González Menéndez</v>
      </c>
      <c r="K724" s="40"/>
      <c r="L724" s="40" t="str">
        <f t="shared" ca="1" si="4"/>
        <v>MBM150</v>
      </c>
      <c r="M724" s="36" t="str">
        <f t="shared" ca="1" si="5"/>
        <v>MBM</v>
      </c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</row>
    <row r="725" spans="1:27">
      <c r="A725" s="40"/>
      <c r="B725" s="36"/>
      <c r="C725" s="40"/>
      <c r="D725" s="41"/>
      <c r="E725" s="40"/>
      <c r="F725" s="40" t="str">
        <f ca="1">IFERROR(__xludf.DUMMYFUNCTION("""COMPUTED_VALUE"""),"Lisandro Russian")</f>
        <v>Lisandro Russian</v>
      </c>
      <c r="G725" s="40" t="str">
        <f ca="1">IFERROR(__xludf.DUMMYFUNCTION("""COMPUTED_VALUE"""),"LRM")</f>
        <v>LRM</v>
      </c>
      <c r="H725" s="40" t="str">
        <f ca="1">IFERROR(__xludf.DUMMYFUNCTION("""COMPUTED_VALUE"""),"LRM189")</f>
        <v>LRM189</v>
      </c>
      <c r="I725" s="40" t="str">
        <f ca="1">IFERROR(__xludf.DUMMYFUNCTION("""COMPUTED_VALUE"""),"A")</f>
        <v>A</v>
      </c>
      <c r="J725" s="40" t="str">
        <f ca="1">IFERROR(__xludf.DUMMYFUNCTION("""COMPUTED_VALUE"""),"María Guallar Larpa")</f>
        <v>María Guallar Larpa</v>
      </c>
      <c r="K725" s="40"/>
      <c r="L725" s="40" t="str">
        <f t="shared" ca="1" si="4"/>
        <v>LRM189</v>
      </c>
      <c r="M725" s="36" t="str">
        <f t="shared" ca="1" si="5"/>
        <v>LRM</v>
      </c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</row>
    <row r="726" spans="1:27">
      <c r="A726" s="40"/>
      <c r="B726" s="36"/>
      <c r="C726" s="40"/>
      <c r="D726" s="41"/>
      <c r="E726" s="40"/>
      <c r="F726" s="40" t="str">
        <f ca="1">IFERROR(__xludf.DUMMYFUNCTION("""COMPUTED_VALUE"""),"Lisandro Russian")</f>
        <v>Lisandro Russian</v>
      </c>
      <c r="G726" s="40" t="str">
        <f ca="1">IFERROR(__xludf.DUMMYFUNCTION("""COMPUTED_VALUE"""),"LRM")</f>
        <v>LRM</v>
      </c>
      <c r="H726" s="40" t="str">
        <f ca="1">IFERROR(__xludf.DUMMYFUNCTION("""COMPUTED_VALUE"""),"LRM190")</f>
        <v>LRM190</v>
      </c>
      <c r="I726" s="40" t="str">
        <f ca="1">IFERROR(__xludf.DUMMYFUNCTION("""COMPUTED_VALUE"""),"A")</f>
        <v>A</v>
      </c>
      <c r="J726" s="40" t="str">
        <f ca="1">IFERROR(__xludf.DUMMYFUNCTION("""COMPUTED_VALUE"""),"María Isabel Adiego Leza")</f>
        <v>María Isabel Adiego Leza</v>
      </c>
      <c r="K726" s="40"/>
      <c r="L726" s="40" t="str">
        <f t="shared" ca="1" si="4"/>
        <v>LRM190</v>
      </c>
      <c r="M726" s="36" t="str">
        <f t="shared" ca="1" si="5"/>
        <v>LRM</v>
      </c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</row>
    <row r="727" spans="1:27">
      <c r="A727" s="40"/>
      <c r="B727" s="36"/>
      <c r="C727" s="40"/>
      <c r="D727" s="41"/>
      <c r="E727" s="40"/>
      <c r="F727" s="40" t="str">
        <f ca="1">IFERROR(__xludf.DUMMYFUNCTION("""COMPUTED_VALUE"""),"Lisandro Russian")</f>
        <v>Lisandro Russian</v>
      </c>
      <c r="G727" s="40" t="str">
        <f ca="1">IFERROR(__xludf.DUMMYFUNCTION("""COMPUTED_VALUE"""),"LRM")</f>
        <v>LRM</v>
      </c>
      <c r="H727" s="40" t="str">
        <f ca="1">IFERROR(__xludf.DUMMYFUNCTION("""COMPUTED_VALUE"""),"LRM191")</f>
        <v>LRM191</v>
      </c>
      <c r="I727" s="40" t="str">
        <f ca="1">IFERROR(__xludf.DUMMYFUNCTION("""COMPUTED_VALUE"""),"A")</f>
        <v>A</v>
      </c>
      <c r="J727" s="40" t="str">
        <f ca="1">IFERROR(__xludf.DUMMYFUNCTION("""COMPUTED_VALUE"""),"María Isabel Castro Canelada")</f>
        <v>María Isabel Castro Canelada</v>
      </c>
      <c r="K727" s="40"/>
      <c r="L727" s="40" t="str">
        <f t="shared" ca="1" si="4"/>
        <v>LRM191</v>
      </c>
      <c r="M727" s="36" t="str">
        <f t="shared" ca="1" si="5"/>
        <v>LRM</v>
      </c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</row>
    <row r="728" spans="1:27">
      <c r="A728" s="40"/>
      <c r="B728" s="36"/>
      <c r="C728" s="40"/>
      <c r="D728" s="41"/>
      <c r="E728" s="40"/>
      <c r="F728" s="40" t="str">
        <f ca="1">IFERROR(__xludf.DUMMYFUNCTION("""COMPUTED_VALUE"""),"Lisandro Russian")</f>
        <v>Lisandro Russian</v>
      </c>
      <c r="G728" s="40" t="str">
        <f ca="1">IFERROR(__xludf.DUMMYFUNCTION("""COMPUTED_VALUE"""),"LRM")</f>
        <v>LRM</v>
      </c>
      <c r="H728" s="40" t="str">
        <f ca="1">IFERROR(__xludf.DUMMYFUNCTION("""COMPUTED_VALUE"""),"LRM192")</f>
        <v>LRM192</v>
      </c>
      <c r="I728" s="40" t="str">
        <f ca="1">IFERROR(__xludf.DUMMYFUNCTION("""COMPUTED_VALUE"""),"A")</f>
        <v>A</v>
      </c>
      <c r="J728" s="40" t="str">
        <f ca="1">IFERROR(__xludf.DUMMYFUNCTION("""COMPUTED_VALUE"""),"María Isabel Lorenzo Prieto")</f>
        <v>María Isabel Lorenzo Prieto</v>
      </c>
      <c r="K728" s="40"/>
      <c r="L728" s="40" t="str">
        <f t="shared" ca="1" si="4"/>
        <v>LRM192</v>
      </c>
      <c r="M728" s="36" t="str">
        <f t="shared" ca="1" si="5"/>
        <v>LRM</v>
      </c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</row>
    <row r="729" spans="1:27">
      <c r="A729" s="40"/>
      <c r="B729" s="36"/>
      <c r="C729" s="40"/>
      <c r="D729" s="41"/>
      <c r="E729" s="40"/>
      <c r="F729" s="40" t="str">
        <f ca="1">IFERROR(__xludf.DUMMYFUNCTION("""COMPUTED_VALUE"""),"Mercè Cabrera")</f>
        <v>Mercè Cabrera</v>
      </c>
      <c r="G729" s="40" t="str">
        <f ca="1">IFERROR(__xludf.DUMMYFUNCTION("""COMPUTED_VALUE"""),"MCC")</f>
        <v>MCC</v>
      </c>
      <c r="H729" s="40" t="str">
        <f ca="1">IFERROR(__xludf.DUMMYFUNCTION("""COMPUTED_VALUE"""),"MCC34")</f>
        <v>MCC34</v>
      </c>
      <c r="I729" s="40" t="str">
        <f ca="1">IFERROR(__xludf.DUMMYFUNCTION("""COMPUTED_VALUE"""),"A")</f>
        <v>A</v>
      </c>
      <c r="J729" s="40" t="str">
        <f ca="1">IFERROR(__xludf.DUMMYFUNCTION("""COMPUTED_VALUE"""),"María Isabel Rodríguez Francos")</f>
        <v>María Isabel Rodríguez Francos</v>
      </c>
      <c r="K729" s="40"/>
      <c r="L729" s="40" t="str">
        <f t="shared" ca="1" si="4"/>
        <v>MCC34</v>
      </c>
      <c r="M729" s="36" t="str">
        <f t="shared" ca="1" si="5"/>
        <v>MCC</v>
      </c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</row>
    <row r="730" spans="1:27">
      <c r="A730" s="40"/>
      <c r="B730" s="36"/>
      <c r="C730" s="40"/>
      <c r="D730" s="41"/>
      <c r="E730" s="40"/>
      <c r="F730" s="40" t="str">
        <f ca="1">IFERROR(__xludf.DUMMYFUNCTION("""COMPUTED_VALUE"""),"Patricia Solache")</f>
        <v>Patricia Solache</v>
      </c>
      <c r="G730" s="40" t="str">
        <f ca="1">IFERROR(__xludf.DUMMYFUNCTION("""COMPUTED_VALUE"""),"PSC")</f>
        <v>PSC</v>
      </c>
      <c r="H730" s="40" t="str">
        <f ca="1">IFERROR(__xludf.DUMMYFUNCTION("""COMPUTED_VALUE"""),"PSC24")</f>
        <v>PSC24</v>
      </c>
      <c r="I730" s="40" t="str">
        <f ca="1">IFERROR(__xludf.DUMMYFUNCTION("""COMPUTED_VALUE"""),"A")</f>
        <v>A</v>
      </c>
      <c r="J730" s="40" t="str">
        <f ca="1">IFERROR(__xludf.DUMMYFUNCTION("""COMPUTED_VALUE"""),"María Jesús Cornejo Domínguez")</f>
        <v>María Jesús Cornejo Domínguez</v>
      </c>
      <c r="K730" s="40"/>
      <c r="L730" s="40" t="str">
        <f t="shared" ca="1" si="4"/>
        <v>PSC24</v>
      </c>
      <c r="M730" s="36" t="str">
        <f t="shared" ca="1" si="5"/>
        <v>PSC</v>
      </c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</row>
    <row r="731" spans="1:27">
      <c r="A731" s="23"/>
      <c r="B731" s="36"/>
      <c r="C731" s="40"/>
      <c r="D731" s="38"/>
      <c r="E731" s="23"/>
      <c r="F731" s="40" t="str">
        <f ca="1">IFERROR(__xludf.DUMMYFUNCTION("""COMPUTED_VALUE"""),"Roberto Pereira")</f>
        <v>Roberto Pereira</v>
      </c>
      <c r="G731" s="40" t="str">
        <f ca="1">IFERROR(__xludf.DUMMYFUNCTION("""COMPUTED_VALUE"""),"RPG")</f>
        <v>RPG</v>
      </c>
      <c r="H731" s="40" t="str">
        <f ca="1">IFERROR(__xludf.DUMMYFUNCTION("""COMPUTED_VALUE"""),"RPG60")</f>
        <v>RPG60</v>
      </c>
      <c r="I731" s="40" t="str">
        <f ca="1">IFERROR(__xludf.DUMMYFUNCTION("""COMPUTED_VALUE"""),"A")</f>
        <v>A</v>
      </c>
      <c r="J731" s="40" t="str">
        <f ca="1">IFERROR(__xludf.DUMMYFUNCTION("""COMPUTED_VALUE"""),"María Jesús González Cortes")</f>
        <v>María Jesús González Cortes</v>
      </c>
      <c r="K731" s="40"/>
      <c r="L731" s="40" t="str">
        <f t="shared" ca="1" si="4"/>
        <v>RPG60</v>
      </c>
      <c r="M731" s="36" t="str">
        <f t="shared" ca="1" si="5"/>
        <v>RPG</v>
      </c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</row>
    <row r="732" spans="1:27">
      <c r="A732" s="40"/>
      <c r="B732" s="36"/>
      <c r="C732" s="40"/>
      <c r="D732" s="41"/>
      <c r="E732" s="40"/>
      <c r="F732" s="40" t="str">
        <f ca="1">IFERROR(__xludf.DUMMYFUNCTION("""COMPUTED_VALUE"""),"Maika Blázquez")</f>
        <v>Maika Blázquez</v>
      </c>
      <c r="G732" s="40" t="str">
        <f ca="1">IFERROR(__xludf.DUMMYFUNCTION("""COMPUTED_VALUE"""),"MBM")</f>
        <v>MBM</v>
      </c>
      <c r="H732" s="40" t="str">
        <f ca="1">IFERROR(__xludf.DUMMYFUNCTION("""COMPUTED_VALUE"""),"MBM151")</f>
        <v>MBM151</v>
      </c>
      <c r="I732" s="40" t="str">
        <f ca="1">IFERROR(__xludf.DUMMYFUNCTION("""COMPUTED_VALUE"""),"A")</f>
        <v>A</v>
      </c>
      <c r="J732" s="40" t="str">
        <f ca="1">IFERROR(__xludf.DUMMYFUNCTION("""COMPUTED_VALUE"""),"María Jesús Pascual Marcos")</f>
        <v>María Jesús Pascual Marcos</v>
      </c>
      <c r="K732" s="40"/>
      <c r="L732" s="40" t="str">
        <f t="shared" ca="1" si="4"/>
        <v>MBM151</v>
      </c>
      <c r="M732" s="36" t="str">
        <f t="shared" ca="1" si="5"/>
        <v>MBM</v>
      </c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</row>
    <row r="733" spans="1:27">
      <c r="A733" s="40"/>
      <c r="B733" s="36"/>
      <c r="C733" s="40"/>
      <c r="D733" s="41"/>
      <c r="E733" s="40"/>
      <c r="F733" s="40" t="str">
        <f ca="1">IFERROR(__xludf.DUMMYFUNCTION("""COMPUTED_VALUE"""),"Lisandro Russian")</f>
        <v>Lisandro Russian</v>
      </c>
      <c r="G733" s="40" t="str">
        <f ca="1">IFERROR(__xludf.DUMMYFUNCTION("""COMPUTED_VALUE"""),"LRM")</f>
        <v>LRM</v>
      </c>
      <c r="H733" s="40" t="str">
        <f ca="1">IFERROR(__xludf.DUMMYFUNCTION("""COMPUTED_VALUE"""),"LRM193")</f>
        <v>LRM193</v>
      </c>
      <c r="I733" s="40" t="str">
        <f ca="1">IFERROR(__xludf.DUMMYFUNCTION("""COMPUTED_VALUE"""),"A")</f>
        <v>A</v>
      </c>
      <c r="J733" s="40" t="str">
        <f ca="1">IFERROR(__xludf.DUMMYFUNCTION("""COMPUTED_VALUE"""),"María José Gaitero del Hoyo")</f>
        <v>María José Gaitero del Hoyo</v>
      </c>
      <c r="K733" s="40"/>
      <c r="L733" s="40" t="str">
        <f t="shared" ca="1" si="4"/>
        <v>LRM193</v>
      </c>
      <c r="M733" s="36" t="str">
        <f t="shared" ca="1" si="5"/>
        <v>LRM</v>
      </c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</row>
    <row r="734" spans="1:27">
      <c r="A734" s="40"/>
      <c r="B734" s="36"/>
      <c r="C734" s="40"/>
      <c r="D734" s="41"/>
      <c r="E734" s="40"/>
      <c r="F734" s="40" t="str">
        <f ca="1">IFERROR(__xludf.DUMMYFUNCTION("""COMPUTED_VALUE"""),"Ramon Ferrando")</f>
        <v>Ramon Ferrando</v>
      </c>
      <c r="G734" s="40" t="str">
        <f ca="1">IFERROR(__xludf.DUMMYFUNCTION("""COMPUTED_VALUE"""),"RFV")</f>
        <v>RFV</v>
      </c>
      <c r="H734" s="40" t="str">
        <f ca="1">IFERROR(__xludf.DUMMYFUNCTION("""COMPUTED_VALUE"""),"RFV07")</f>
        <v>RFV07</v>
      </c>
      <c r="I734" s="40" t="str">
        <f ca="1">IFERROR(__xludf.DUMMYFUNCTION("""COMPUTED_VALUE"""),"B")</f>
        <v>B</v>
      </c>
      <c r="J734" s="40" t="str">
        <f ca="1">IFERROR(__xludf.DUMMYFUNCTION("""COMPUTED_VALUE"""),"María José Gámiz Maroto")</f>
        <v>María José Gámiz Maroto</v>
      </c>
      <c r="K734" s="40"/>
      <c r="L734" s="40" t="str">
        <f t="shared" ca="1" si="4"/>
        <v>RFV07</v>
      </c>
      <c r="M734" s="36" t="str">
        <f t="shared" ca="1" si="5"/>
        <v>RFV</v>
      </c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</row>
    <row r="735" spans="1:27">
      <c r="A735" s="40"/>
      <c r="B735" s="36"/>
      <c r="C735" s="40"/>
      <c r="D735" s="41"/>
      <c r="E735" s="40"/>
      <c r="F735" s="40" t="str">
        <f ca="1">IFERROR(__xludf.DUMMYFUNCTION("""COMPUTED_VALUE"""),"Lisandro Russian")</f>
        <v>Lisandro Russian</v>
      </c>
      <c r="G735" s="40" t="str">
        <f ca="1">IFERROR(__xludf.DUMMYFUNCTION("""COMPUTED_VALUE"""),"LRM")</f>
        <v>LRM</v>
      </c>
      <c r="H735" s="40" t="str">
        <f ca="1">IFERROR(__xludf.DUMMYFUNCTION("""COMPUTED_VALUE"""),"LRM194")</f>
        <v>LRM194</v>
      </c>
      <c r="I735" s="40" t="str">
        <f ca="1">IFERROR(__xludf.DUMMYFUNCTION("""COMPUTED_VALUE"""),"A")</f>
        <v>A</v>
      </c>
      <c r="J735" s="40" t="str">
        <f ca="1">IFERROR(__xludf.DUMMYFUNCTION("""COMPUTED_VALUE"""),"María José González Gimeno")</f>
        <v>María José González Gimeno</v>
      </c>
      <c r="K735" s="40"/>
      <c r="L735" s="40" t="str">
        <f t="shared" ca="1" si="4"/>
        <v>LRM194</v>
      </c>
      <c r="M735" s="36" t="str">
        <f t="shared" ca="1" si="5"/>
        <v>LRM</v>
      </c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</row>
    <row r="736" spans="1:27">
      <c r="A736" s="40"/>
      <c r="B736" s="36"/>
      <c r="C736" s="40"/>
      <c r="D736" s="41"/>
      <c r="E736" s="40"/>
      <c r="F736" s="40" t="str">
        <f ca="1">IFERROR(__xludf.DUMMYFUNCTION("""COMPUTED_VALUE"""),"Lisandro Russian")</f>
        <v>Lisandro Russian</v>
      </c>
      <c r="G736" s="40" t="str">
        <f ca="1">IFERROR(__xludf.DUMMYFUNCTION("""COMPUTED_VALUE"""),"LRM")</f>
        <v>LRM</v>
      </c>
      <c r="H736" s="40" t="str">
        <f ca="1">IFERROR(__xludf.DUMMYFUNCTION("""COMPUTED_VALUE"""),"LRM195")</f>
        <v>LRM195</v>
      </c>
      <c r="I736" s="40" t="str">
        <f ca="1">IFERROR(__xludf.DUMMYFUNCTION("""COMPUTED_VALUE"""),"A")</f>
        <v>A</v>
      </c>
      <c r="J736" s="40" t="str">
        <f ca="1">IFERROR(__xludf.DUMMYFUNCTION("""COMPUTED_VALUE"""),"María José Lavilla Martín De Valmaseda")</f>
        <v>María José Lavilla Martín De Valmaseda</v>
      </c>
      <c r="K736" s="40"/>
      <c r="L736" s="40" t="str">
        <f t="shared" ca="1" si="4"/>
        <v>LRM195</v>
      </c>
      <c r="M736" s="36" t="str">
        <f t="shared" ca="1" si="5"/>
        <v>LRM</v>
      </c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</row>
    <row r="737" spans="1:27">
      <c r="A737" s="40"/>
      <c r="B737" s="36"/>
      <c r="C737" s="40"/>
      <c r="D737" s="41"/>
      <c r="E737" s="40"/>
      <c r="F737" s="40" t="str">
        <f ca="1">IFERROR(__xludf.DUMMYFUNCTION("""COMPUTED_VALUE"""),"Iván Sánchez")</f>
        <v>Iván Sánchez</v>
      </c>
      <c r="G737" s="40" t="str">
        <f ca="1">IFERROR(__xludf.DUMMYFUNCTION("""COMPUTED_VALUE"""),"ISL")</f>
        <v>ISL</v>
      </c>
      <c r="H737" s="40" t="str">
        <f ca="1">IFERROR(__xludf.DUMMYFUNCTION("""COMPUTED_VALUE"""),"ISL119")</f>
        <v>ISL119</v>
      </c>
      <c r="I737" s="40" t="str">
        <f ca="1">IFERROR(__xludf.DUMMYFUNCTION("""COMPUTED_VALUE"""),"B")</f>
        <v>B</v>
      </c>
      <c r="J737" s="40" t="str">
        <f ca="1">IFERROR(__xludf.DUMMYFUNCTION("""COMPUTED_VALUE"""),"María José Lesmas Navarro")</f>
        <v>María José Lesmas Navarro</v>
      </c>
      <c r="K737" s="40"/>
      <c r="L737" s="40" t="str">
        <f t="shared" ca="1" si="4"/>
        <v>ISL119</v>
      </c>
      <c r="M737" s="36" t="str">
        <f t="shared" ca="1" si="5"/>
        <v>ISL</v>
      </c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</row>
    <row r="738" spans="1:27">
      <c r="A738" s="40"/>
      <c r="B738" s="36"/>
      <c r="C738" s="40"/>
      <c r="D738" s="41"/>
      <c r="E738" s="40"/>
      <c r="F738" s="40" t="str">
        <f ca="1">IFERROR(__xludf.DUMMYFUNCTION("""COMPUTED_VALUE"""),"Lisandro Russian")</f>
        <v>Lisandro Russian</v>
      </c>
      <c r="G738" s="40" t="str">
        <f ca="1">IFERROR(__xludf.DUMMYFUNCTION("""COMPUTED_VALUE"""),"LRM")</f>
        <v>LRM</v>
      </c>
      <c r="H738" s="40" t="str">
        <f ca="1">IFERROR(__xludf.DUMMYFUNCTION("""COMPUTED_VALUE"""),"LRM196")</f>
        <v>LRM196</v>
      </c>
      <c r="I738" s="40" t="str">
        <f ca="1">IFERROR(__xludf.DUMMYFUNCTION("""COMPUTED_VALUE"""),"A")</f>
        <v>A</v>
      </c>
      <c r="J738" s="40" t="str">
        <f ca="1">IFERROR(__xludf.DUMMYFUNCTION("""COMPUTED_VALUE"""),"María José Naya Gálvez")</f>
        <v>María José Naya Gálvez</v>
      </c>
      <c r="K738" s="40"/>
      <c r="L738" s="40" t="str">
        <f t="shared" ca="1" si="4"/>
        <v>LRM196</v>
      </c>
      <c r="M738" s="36" t="str">
        <f t="shared" ca="1" si="5"/>
        <v>LRM</v>
      </c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</row>
    <row r="739" spans="1:27">
      <c r="A739" s="40"/>
      <c r="B739" s="36"/>
      <c r="C739" s="40"/>
      <c r="D739" s="41"/>
      <c r="E739" s="40"/>
      <c r="F739" s="40" t="str">
        <f ca="1">IFERROR(__xludf.DUMMYFUNCTION("""COMPUTED_VALUE"""),"Luis Alberto Rodríguez")</f>
        <v>Luis Alberto Rodríguez</v>
      </c>
      <c r="G739" s="40" t="str">
        <f ca="1">IFERROR(__xludf.DUMMYFUNCTION("""COMPUTED_VALUE"""),"LAA")</f>
        <v>LAA</v>
      </c>
      <c r="H739" s="40" t="str">
        <f ca="1">IFERROR(__xludf.DUMMYFUNCTION("""COMPUTED_VALUE"""),"LAA53")</f>
        <v>LAA53</v>
      </c>
      <c r="I739" s="40" t="str">
        <f ca="1">IFERROR(__xludf.DUMMYFUNCTION("""COMPUTED_VALUE"""),"C")</f>
        <v>C</v>
      </c>
      <c r="J739" s="40" t="str">
        <f ca="1">IFERROR(__xludf.DUMMYFUNCTION("""COMPUTED_VALUE"""),"María Josefa Hervás Núñez")</f>
        <v>María Josefa Hervás Núñez</v>
      </c>
      <c r="K739" s="40"/>
      <c r="L739" s="40" t="str">
        <f t="shared" ca="1" si="4"/>
        <v>LAA53</v>
      </c>
      <c r="M739" s="36" t="str">
        <f t="shared" ca="1" si="5"/>
        <v>LAA</v>
      </c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</row>
    <row r="740" spans="1:27">
      <c r="A740" s="40"/>
      <c r="B740" s="36"/>
      <c r="C740" s="40"/>
      <c r="D740" s="41"/>
      <c r="E740" s="40"/>
      <c r="F740" s="40" t="str">
        <f ca="1">IFERROR(__xludf.DUMMYFUNCTION("""COMPUTED_VALUE"""),"Mercè Cabrera")</f>
        <v>Mercè Cabrera</v>
      </c>
      <c r="G740" s="40" t="str">
        <f ca="1">IFERROR(__xludf.DUMMYFUNCTION("""COMPUTED_VALUE"""),"MCC")</f>
        <v>MCC</v>
      </c>
      <c r="H740" s="40" t="str">
        <f ca="1">IFERROR(__xludf.DUMMYFUNCTION("""COMPUTED_VALUE"""),"MCC49")</f>
        <v>MCC49</v>
      </c>
      <c r="I740" s="40" t="str">
        <f ca="1">IFERROR(__xludf.DUMMYFUNCTION("""COMPUTED_VALUE"""),"A")</f>
        <v>A</v>
      </c>
      <c r="J740" s="40" t="str">
        <f ca="1">IFERROR(__xludf.DUMMYFUNCTION("""COMPUTED_VALUE"""),"María K Llano Espinosa")</f>
        <v>María K Llano Espinosa</v>
      </c>
      <c r="K740" s="40"/>
      <c r="L740" s="40" t="str">
        <f t="shared" ca="1" si="4"/>
        <v>MCC49</v>
      </c>
      <c r="M740" s="36" t="str">
        <f t="shared" ca="1" si="5"/>
        <v>MCC</v>
      </c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</row>
    <row r="741" spans="1:27">
      <c r="A741" s="40"/>
      <c r="B741" s="36"/>
      <c r="C741" s="40"/>
      <c r="D741" s="41"/>
      <c r="E741" s="40"/>
      <c r="F741" s="40" t="str">
        <f ca="1">IFERROR(__xludf.DUMMYFUNCTION("""COMPUTED_VALUE"""),"Maika Blázquez")</f>
        <v>Maika Blázquez</v>
      </c>
      <c r="G741" s="40" t="str">
        <f ca="1">IFERROR(__xludf.DUMMYFUNCTION("""COMPUTED_VALUE"""),"MBM")</f>
        <v>MBM</v>
      </c>
      <c r="H741" s="40" t="str">
        <f ca="1">IFERROR(__xludf.DUMMYFUNCTION("""COMPUTED_VALUE"""),"MBM217")</f>
        <v>MBM217</v>
      </c>
      <c r="I741" s="40" t="str">
        <f ca="1">IFERROR(__xludf.DUMMYFUNCTION("""COMPUTED_VALUE"""),"A")</f>
        <v>A</v>
      </c>
      <c r="J741" s="40" t="str">
        <f ca="1">IFERROR(__xludf.DUMMYFUNCTION("""COMPUTED_VALUE"""),"María Lluc Montaña Frau")</f>
        <v>María Lluc Montaña Frau</v>
      </c>
      <c r="K741" s="40"/>
      <c r="L741" s="40" t="str">
        <f t="shared" ca="1" si="4"/>
        <v>MBM217</v>
      </c>
      <c r="M741" s="36" t="str">
        <f t="shared" ca="1" si="5"/>
        <v>MBM</v>
      </c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</row>
    <row r="742" spans="1:27">
      <c r="A742" s="40"/>
      <c r="B742" s="36"/>
      <c r="C742" s="40"/>
      <c r="D742" s="41"/>
      <c r="E742" s="40"/>
      <c r="F742" s="40" t="str">
        <f ca="1">IFERROR(__xludf.DUMMYFUNCTION("""COMPUTED_VALUE"""),"Iván Sánchez")</f>
        <v>Iván Sánchez</v>
      </c>
      <c r="G742" s="40" t="str">
        <f ca="1">IFERROR(__xludf.DUMMYFUNCTION("""COMPUTED_VALUE"""),"ISL")</f>
        <v>ISL</v>
      </c>
      <c r="H742" s="40" t="str">
        <f ca="1">IFERROR(__xludf.DUMMYFUNCTION("""COMPUTED_VALUE"""),"ISL120")</f>
        <v>ISL120</v>
      </c>
      <c r="I742" s="40" t="str">
        <f ca="1">IFERROR(__xludf.DUMMYFUNCTION("""COMPUTED_VALUE"""),"B")</f>
        <v>B</v>
      </c>
      <c r="J742" s="40" t="str">
        <f ca="1">IFERROR(__xludf.DUMMYFUNCTION("""COMPUTED_VALUE"""),"María López Robles")</f>
        <v>María López Robles</v>
      </c>
      <c r="K742" s="40"/>
      <c r="L742" s="40" t="str">
        <f t="shared" ca="1" si="4"/>
        <v>ISL120</v>
      </c>
      <c r="M742" s="36" t="str">
        <f t="shared" ca="1" si="5"/>
        <v>ISL</v>
      </c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</row>
    <row r="743" spans="1:27">
      <c r="A743" s="40"/>
      <c r="B743" s="36"/>
      <c r="C743" s="40"/>
      <c r="D743" s="41"/>
      <c r="E743" s="40"/>
      <c r="F743" s="40" t="str">
        <f ca="1">IFERROR(__xludf.DUMMYFUNCTION("""COMPUTED_VALUE"""),"Lisandro Russian")</f>
        <v>Lisandro Russian</v>
      </c>
      <c r="G743" s="40" t="str">
        <f ca="1">IFERROR(__xludf.DUMMYFUNCTION("""COMPUTED_VALUE"""),"LRM")</f>
        <v>LRM</v>
      </c>
      <c r="H743" s="40" t="str">
        <f ca="1">IFERROR(__xludf.DUMMYFUNCTION("""COMPUTED_VALUE"""),"LRM197")</f>
        <v>LRM197</v>
      </c>
      <c r="I743" s="40" t="str">
        <f ca="1">IFERROR(__xludf.DUMMYFUNCTION("""COMPUTED_VALUE"""),"A")</f>
        <v>A</v>
      </c>
      <c r="J743" s="40" t="str">
        <f ca="1">IFERROR(__xludf.DUMMYFUNCTION("""COMPUTED_VALUE"""),"María Lourdes Alonso Alonso")</f>
        <v>María Lourdes Alonso Alonso</v>
      </c>
      <c r="K743" s="40"/>
      <c r="L743" s="40" t="str">
        <f t="shared" ca="1" si="4"/>
        <v>LRM197</v>
      </c>
      <c r="M743" s="36" t="str">
        <f t="shared" ca="1" si="5"/>
        <v>LRM</v>
      </c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</row>
    <row r="744" spans="1:27">
      <c r="A744" s="40"/>
      <c r="B744" s="36"/>
      <c r="C744" s="40"/>
      <c r="D744" s="41"/>
      <c r="E744" s="40"/>
      <c r="F744" s="40" t="str">
        <f ca="1">IFERROR(__xludf.DUMMYFUNCTION("""COMPUTED_VALUE"""),"Patricia Solache")</f>
        <v>Patricia Solache</v>
      </c>
      <c r="G744" s="40" t="str">
        <f ca="1">IFERROR(__xludf.DUMMYFUNCTION("""COMPUTED_VALUE"""),"PSC")</f>
        <v>PSC</v>
      </c>
      <c r="H744" s="40" t="str">
        <f ca="1">IFERROR(__xludf.DUMMYFUNCTION("""COMPUTED_VALUE"""),"PSC43")</f>
        <v>PSC43</v>
      </c>
      <c r="I744" s="40" t="str">
        <f ca="1">IFERROR(__xludf.DUMMYFUNCTION("""COMPUTED_VALUE"""),"A")</f>
        <v>A</v>
      </c>
      <c r="J744" s="40" t="str">
        <f ca="1">IFERROR(__xludf.DUMMYFUNCTION("""COMPUTED_VALUE"""),"María Lourdes Hernández de los Santos")</f>
        <v>María Lourdes Hernández de los Santos</v>
      </c>
      <c r="K744" s="40"/>
      <c r="L744" s="40" t="str">
        <f t="shared" ca="1" si="4"/>
        <v>PSC43</v>
      </c>
      <c r="M744" s="36" t="str">
        <f t="shared" ca="1" si="5"/>
        <v>PSC</v>
      </c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</row>
    <row r="745" spans="1:27">
      <c r="A745" s="40"/>
      <c r="B745" s="36"/>
      <c r="C745" s="40"/>
      <c r="D745" s="41"/>
      <c r="E745" s="40"/>
      <c r="F745" s="40" t="str">
        <f ca="1">IFERROR(__xludf.DUMMYFUNCTION("""COMPUTED_VALUE"""),"Luis Alberto Rodríguez")</f>
        <v>Luis Alberto Rodríguez</v>
      </c>
      <c r="G745" s="40" t="str">
        <f ca="1">IFERROR(__xludf.DUMMYFUNCTION("""COMPUTED_VALUE"""),"LAA")</f>
        <v>LAA</v>
      </c>
      <c r="H745" s="40" t="str">
        <f ca="1">IFERROR(__xludf.DUMMYFUNCTION("""COMPUTED_VALUE"""),"LAA54")</f>
        <v>LAA54</v>
      </c>
      <c r="I745" s="40" t="str">
        <f ca="1">IFERROR(__xludf.DUMMYFUNCTION("""COMPUTED_VALUE"""),"C")</f>
        <v>C</v>
      </c>
      <c r="J745" s="40" t="str">
        <f ca="1">IFERROR(__xludf.DUMMYFUNCTION("""COMPUTED_VALUE"""),"María Luisa Calero Ramos")</f>
        <v>María Luisa Calero Ramos</v>
      </c>
      <c r="K745" s="40"/>
      <c r="L745" s="40" t="str">
        <f t="shared" ca="1" si="4"/>
        <v>LAA54</v>
      </c>
      <c r="M745" s="36" t="str">
        <f t="shared" ca="1" si="5"/>
        <v>LAA</v>
      </c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</row>
    <row r="746" spans="1:27">
      <c r="A746" s="40"/>
      <c r="B746" s="36"/>
      <c r="C746" s="40"/>
      <c r="D746" s="41"/>
      <c r="E746" s="40"/>
      <c r="F746" s="40" t="str">
        <f ca="1">IFERROR(__xludf.DUMMYFUNCTION("""COMPUTED_VALUE"""),"Lisandro Russian")</f>
        <v>Lisandro Russian</v>
      </c>
      <c r="G746" s="40" t="str">
        <f ca="1">IFERROR(__xludf.DUMMYFUNCTION("""COMPUTED_VALUE"""),"LRM")</f>
        <v>LRM</v>
      </c>
      <c r="H746" s="40" t="str">
        <f ca="1">IFERROR(__xludf.DUMMYFUNCTION("""COMPUTED_VALUE"""),"LRM198")</f>
        <v>LRM198</v>
      </c>
      <c r="I746" s="40" t="str">
        <f ca="1">IFERROR(__xludf.DUMMYFUNCTION("""COMPUTED_VALUE"""),"A")</f>
        <v>A</v>
      </c>
      <c r="J746" s="40" t="str">
        <f ca="1">IFERROR(__xludf.DUMMYFUNCTION("""COMPUTED_VALUE"""),"María Luisa De Benavides Gabernet")</f>
        <v>María Luisa De Benavides Gabernet</v>
      </c>
      <c r="K746" s="40"/>
      <c r="L746" s="40" t="str">
        <f t="shared" ca="1" si="4"/>
        <v>LRM198</v>
      </c>
      <c r="M746" s="36" t="str">
        <f t="shared" ca="1" si="5"/>
        <v>LRM</v>
      </c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</row>
    <row r="747" spans="1:27">
      <c r="A747" s="40"/>
      <c r="B747" s="36"/>
      <c r="C747" s="40"/>
      <c r="D747" s="41"/>
      <c r="E747" s="40"/>
      <c r="F747" s="40" t="str">
        <f ca="1">IFERROR(__xludf.DUMMYFUNCTION("""COMPUTED_VALUE"""),"Lisandro Russian")</f>
        <v>Lisandro Russian</v>
      </c>
      <c r="G747" s="40" t="str">
        <f ca="1">IFERROR(__xludf.DUMMYFUNCTION("""COMPUTED_VALUE"""),"LRM")</f>
        <v>LRM</v>
      </c>
      <c r="H747" s="40" t="str">
        <f ca="1">IFERROR(__xludf.DUMMYFUNCTION("""COMPUTED_VALUE"""),"LRM248")</f>
        <v>LRM248</v>
      </c>
      <c r="I747" s="40" t="str">
        <f ca="1">IFERROR(__xludf.DUMMYFUNCTION("""COMPUTED_VALUE"""),"A")</f>
        <v>A</v>
      </c>
      <c r="J747" s="40" t="str">
        <f ca="1">IFERROR(__xludf.DUMMYFUNCTION("""COMPUTED_VALUE"""),"María Magdalena Pérez Ortín ")</f>
        <v>María Magdalena Pérez Ortín </v>
      </c>
      <c r="K747" s="40"/>
      <c r="L747" s="40" t="str">
        <f t="shared" ca="1" si="4"/>
        <v>LRM248</v>
      </c>
      <c r="M747" s="36" t="str">
        <f t="shared" ca="1" si="5"/>
        <v>LRM</v>
      </c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</row>
    <row r="748" spans="1:27">
      <c r="A748" s="40"/>
      <c r="B748" s="36"/>
      <c r="C748" s="40"/>
      <c r="D748" s="41"/>
      <c r="E748" s="40"/>
      <c r="F748" s="40" t="str">
        <f ca="1">IFERROR(__xludf.DUMMYFUNCTION("""COMPUTED_VALUE"""),"Lisandro Russian")</f>
        <v>Lisandro Russian</v>
      </c>
      <c r="G748" s="40" t="str">
        <f ca="1">IFERROR(__xludf.DUMMYFUNCTION("""COMPUTED_VALUE"""),"LRM")</f>
        <v>LRM</v>
      </c>
      <c r="H748" s="40" t="str">
        <f ca="1">IFERROR(__xludf.DUMMYFUNCTION("""COMPUTED_VALUE"""),"LRM199")</f>
        <v>LRM199</v>
      </c>
      <c r="I748" s="40" t="str">
        <f ca="1">IFERROR(__xludf.DUMMYFUNCTION("""COMPUTED_VALUE"""),"A")</f>
        <v>A</v>
      </c>
      <c r="J748" s="40" t="str">
        <f ca="1">IFERROR(__xludf.DUMMYFUNCTION("""COMPUTED_VALUE"""),"María Mendiguchía Simón")</f>
        <v>María Mendiguchía Simón</v>
      </c>
      <c r="K748" s="40"/>
      <c r="L748" s="40" t="str">
        <f t="shared" ca="1" si="4"/>
        <v>LRM199</v>
      </c>
      <c r="M748" s="36" t="str">
        <f t="shared" ca="1" si="5"/>
        <v>LRM</v>
      </c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</row>
    <row r="749" spans="1:27">
      <c r="A749" s="40"/>
      <c r="B749" s="36"/>
      <c r="C749" s="40"/>
      <c r="D749" s="41"/>
      <c r="E749" s="40"/>
      <c r="F749" s="40" t="str">
        <f ca="1">IFERROR(__xludf.DUMMYFUNCTION("""COMPUTED_VALUE"""),"Maika Blázquez")</f>
        <v>Maika Blázquez</v>
      </c>
      <c r="G749" s="40" t="str">
        <f ca="1">IFERROR(__xludf.DUMMYFUNCTION("""COMPUTED_VALUE"""),"MBM")</f>
        <v>MBM</v>
      </c>
      <c r="H749" s="40" t="str">
        <f ca="1">IFERROR(__xludf.DUMMYFUNCTION("""COMPUTED_VALUE"""),"MBM218")</f>
        <v>MBM218</v>
      </c>
      <c r="I749" s="40" t="str">
        <f ca="1">IFERROR(__xludf.DUMMYFUNCTION("""COMPUTED_VALUE"""),"A")</f>
        <v>A</v>
      </c>
      <c r="J749" s="40" t="str">
        <f ca="1">IFERROR(__xludf.DUMMYFUNCTION("""COMPUTED_VALUE"""),"María Montserrat Asensi Díaz")</f>
        <v>María Montserrat Asensi Díaz</v>
      </c>
      <c r="K749" s="40"/>
      <c r="L749" s="40" t="str">
        <f t="shared" ca="1" si="4"/>
        <v>MBM218</v>
      </c>
      <c r="M749" s="36" t="str">
        <f t="shared" ca="1" si="5"/>
        <v>MBM</v>
      </c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</row>
    <row r="750" spans="1:27">
      <c r="A750" s="40"/>
      <c r="B750" s="36"/>
      <c r="C750" s="40"/>
      <c r="D750" s="41"/>
      <c r="E750" s="23"/>
      <c r="F750" s="40" t="str">
        <f ca="1">IFERROR(__xludf.DUMMYFUNCTION("""COMPUTED_VALUE"""),"Maika Blázquez")</f>
        <v>Maika Blázquez</v>
      </c>
      <c r="G750" s="40" t="str">
        <f ca="1">IFERROR(__xludf.DUMMYFUNCTION("""COMPUTED_VALUE"""),"MBM")</f>
        <v>MBM</v>
      </c>
      <c r="H750" s="40" t="str">
        <f ca="1">IFERROR(__xludf.DUMMYFUNCTION("""COMPUTED_VALUE"""),"MBM222")</f>
        <v>MBM222</v>
      </c>
      <c r="I750" s="40" t="str">
        <f ca="1">IFERROR(__xludf.DUMMYFUNCTION("""COMPUTED_VALUE"""),"A")</f>
        <v>A</v>
      </c>
      <c r="J750" s="40" t="str">
        <f ca="1">IFERROR(__xludf.DUMMYFUNCTION("""COMPUTED_VALUE"""),"María Nazaret Benítez Lobón")</f>
        <v>María Nazaret Benítez Lobón</v>
      </c>
      <c r="K750" s="40"/>
      <c r="L750" s="40" t="str">
        <f t="shared" ca="1" si="4"/>
        <v>MBM222</v>
      </c>
      <c r="M750" s="36" t="str">
        <f t="shared" ca="1" si="5"/>
        <v>MBM</v>
      </c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</row>
    <row r="751" spans="1:27">
      <c r="A751" s="40"/>
      <c r="B751" s="36"/>
      <c r="C751" s="40"/>
      <c r="D751" s="41"/>
      <c r="E751" s="40"/>
      <c r="F751" s="40" t="str">
        <f ca="1">IFERROR(__xludf.DUMMYFUNCTION("""COMPUTED_VALUE"""),"Iván Sánchez")</f>
        <v>Iván Sánchez</v>
      </c>
      <c r="G751" s="40" t="str">
        <f ca="1">IFERROR(__xludf.DUMMYFUNCTION("""COMPUTED_VALUE"""),"ISL")</f>
        <v>ISL</v>
      </c>
      <c r="H751" s="40" t="str">
        <f ca="1">IFERROR(__xludf.DUMMYFUNCTION("""COMPUTED_VALUE"""),"ISL121")</f>
        <v>ISL121</v>
      </c>
      <c r="I751" s="40" t="str">
        <f ca="1">IFERROR(__xludf.DUMMYFUNCTION("""COMPUTED_VALUE"""),"B")</f>
        <v>B</v>
      </c>
      <c r="J751" s="40" t="str">
        <f ca="1">IFERROR(__xludf.DUMMYFUNCTION("""COMPUTED_VALUE"""),"María Nieves Sánchez Martínez")</f>
        <v>María Nieves Sánchez Martínez</v>
      </c>
      <c r="K751" s="40"/>
      <c r="L751" s="40" t="str">
        <f t="shared" ca="1" si="4"/>
        <v>ISL121</v>
      </c>
      <c r="M751" s="36" t="str">
        <f t="shared" ca="1" si="5"/>
        <v>ISL</v>
      </c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</row>
    <row r="752" spans="1:27">
      <c r="A752" s="40"/>
      <c r="B752" s="36"/>
      <c r="C752" s="40"/>
      <c r="D752" s="41"/>
      <c r="E752" s="40"/>
      <c r="F752" s="40" t="str">
        <f ca="1">IFERROR(__xludf.DUMMYFUNCTION("""COMPUTED_VALUE"""),"Maika Blázquez")</f>
        <v>Maika Blázquez</v>
      </c>
      <c r="G752" s="40" t="str">
        <f ca="1">IFERROR(__xludf.DUMMYFUNCTION("""COMPUTED_VALUE"""),"MBM")</f>
        <v>MBM</v>
      </c>
      <c r="H752" s="40" t="str">
        <f ca="1">IFERROR(__xludf.DUMMYFUNCTION("""COMPUTED_VALUE"""),"MBM152")</f>
        <v>MBM152</v>
      </c>
      <c r="I752" s="40" t="str">
        <f ca="1">IFERROR(__xludf.DUMMYFUNCTION("""COMPUTED_VALUE"""),"A")</f>
        <v>A</v>
      </c>
      <c r="J752" s="40" t="str">
        <f ca="1">IFERROR(__xludf.DUMMYFUNCTION("""COMPUTED_VALUE"""),"María Pérez Sepúlveda")</f>
        <v>María Pérez Sepúlveda</v>
      </c>
      <c r="K752" s="40"/>
      <c r="L752" s="40" t="str">
        <f t="shared" ca="1" si="4"/>
        <v>MBM152</v>
      </c>
      <c r="M752" s="36" t="str">
        <f t="shared" ca="1" si="5"/>
        <v>MBM</v>
      </c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</row>
    <row r="753" spans="1:27">
      <c r="A753" s="40"/>
      <c r="B753" s="36"/>
      <c r="C753" s="40"/>
      <c r="D753" s="41"/>
      <c r="E753" s="40"/>
      <c r="F753" s="40" t="str">
        <f ca="1">IFERROR(__xludf.DUMMYFUNCTION("""COMPUTED_VALUE"""),"Lisandro Russian")</f>
        <v>Lisandro Russian</v>
      </c>
      <c r="G753" s="40" t="str">
        <f ca="1">IFERROR(__xludf.DUMMYFUNCTION("""COMPUTED_VALUE"""),"LRM")</f>
        <v>LRM</v>
      </c>
      <c r="H753" s="40" t="str">
        <f ca="1">IFERROR(__xludf.DUMMYFUNCTION("""COMPUTED_VALUE"""),"LRM200")</f>
        <v>LRM200</v>
      </c>
      <c r="I753" s="40" t="str">
        <f ca="1">IFERROR(__xludf.DUMMYFUNCTION("""COMPUTED_VALUE"""),"A")</f>
        <v>A</v>
      </c>
      <c r="J753" s="40" t="str">
        <f ca="1">IFERROR(__xludf.DUMMYFUNCTION("""COMPUTED_VALUE"""),"María Pilar Barreira Fernández")</f>
        <v>María Pilar Barreira Fernández</v>
      </c>
      <c r="K753" s="40"/>
      <c r="L753" s="40" t="str">
        <f t="shared" ca="1" si="4"/>
        <v>LRM200</v>
      </c>
      <c r="M753" s="36" t="str">
        <f t="shared" ca="1" si="5"/>
        <v>LRM</v>
      </c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</row>
    <row r="754" spans="1:27">
      <c r="A754" s="40"/>
      <c r="B754" s="36"/>
      <c r="C754" s="40"/>
      <c r="D754" s="41"/>
      <c r="E754" s="40"/>
      <c r="F754" s="40" t="str">
        <f ca="1">IFERROR(__xludf.DUMMYFUNCTION("""COMPUTED_VALUE"""),"Lisandro Russian")</f>
        <v>Lisandro Russian</v>
      </c>
      <c r="G754" s="40" t="str">
        <f ca="1">IFERROR(__xludf.DUMMYFUNCTION("""COMPUTED_VALUE"""),"LRM")</f>
        <v>LRM</v>
      </c>
      <c r="H754" s="40" t="str">
        <f ca="1">IFERROR(__xludf.DUMMYFUNCTION("""COMPUTED_VALUE"""),"LRM201")</f>
        <v>LRM201</v>
      </c>
      <c r="I754" s="40" t="str">
        <f ca="1">IFERROR(__xludf.DUMMYFUNCTION("""COMPUTED_VALUE"""),"A")</f>
        <v>A</v>
      </c>
      <c r="J754" s="40" t="str">
        <f ca="1">IFERROR(__xludf.DUMMYFUNCTION("""COMPUTED_VALUE"""),"María Pilar Lisbona Alquézar")</f>
        <v>María Pilar Lisbona Alquézar</v>
      </c>
      <c r="K754" s="40"/>
      <c r="L754" s="40" t="str">
        <f t="shared" ca="1" si="4"/>
        <v>LRM201</v>
      </c>
      <c r="M754" s="36" t="str">
        <f t="shared" ca="1" si="5"/>
        <v>LRM</v>
      </c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</row>
    <row r="755" spans="1:27">
      <c r="A755" s="40"/>
      <c r="B755" s="36"/>
      <c r="C755" s="40"/>
      <c r="D755" s="41"/>
      <c r="E755" s="40"/>
      <c r="F755" s="40" t="str">
        <f ca="1">IFERROR(__xludf.DUMMYFUNCTION("""COMPUTED_VALUE"""),"Roberto Pereira")</f>
        <v>Roberto Pereira</v>
      </c>
      <c r="G755" s="40" t="str">
        <f ca="1">IFERROR(__xludf.DUMMYFUNCTION("""COMPUTED_VALUE"""),"RPG")</f>
        <v>RPG</v>
      </c>
      <c r="H755" s="40" t="str">
        <f ca="1">IFERROR(__xludf.DUMMYFUNCTION("""COMPUTED_VALUE"""),"RPG51")</f>
        <v>RPG51</v>
      </c>
      <c r="I755" s="40" t="str">
        <f ca="1">IFERROR(__xludf.DUMMYFUNCTION("""COMPUTED_VALUE"""),"A")</f>
        <v>A</v>
      </c>
      <c r="J755" s="40" t="str">
        <f ca="1">IFERROR(__xludf.DUMMYFUNCTION("""COMPUTED_VALUE"""),"María Rey Marcos")</f>
        <v>María Rey Marcos</v>
      </c>
      <c r="K755" s="40"/>
      <c r="L755" s="40" t="str">
        <f t="shared" ca="1" si="4"/>
        <v>RPG51</v>
      </c>
      <c r="M755" s="36" t="str">
        <f t="shared" ca="1" si="5"/>
        <v>RPG</v>
      </c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</row>
    <row r="756" spans="1:27">
      <c r="A756" s="40"/>
      <c r="B756" s="36"/>
      <c r="C756" s="40"/>
      <c r="D756" s="41"/>
      <c r="E756" s="40"/>
      <c r="F756" s="40" t="str">
        <f ca="1">IFERROR(__xludf.DUMMYFUNCTION("""COMPUTED_VALUE"""),"Lisandro Russian")</f>
        <v>Lisandro Russian</v>
      </c>
      <c r="G756" s="40" t="str">
        <f ca="1">IFERROR(__xludf.DUMMYFUNCTION("""COMPUTED_VALUE"""),"LRM")</f>
        <v>LRM</v>
      </c>
      <c r="H756" s="40" t="str">
        <f ca="1">IFERROR(__xludf.DUMMYFUNCTION("""COMPUTED_VALUE"""),"LRM202")</f>
        <v>LRM202</v>
      </c>
      <c r="I756" s="40" t="str">
        <f ca="1">IFERROR(__xludf.DUMMYFUNCTION("""COMPUTED_VALUE"""),"A")</f>
        <v>A</v>
      </c>
      <c r="J756" s="40" t="str">
        <f ca="1">IFERROR(__xludf.DUMMYFUNCTION("""COMPUTED_VALUE"""),"María Romero Marchante")</f>
        <v>María Romero Marchante</v>
      </c>
      <c r="K756" s="40"/>
      <c r="L756" s="40" t="str">
        <f t="shared" ca="1" si="4"/>
        <v>LRM202</v>
      </c>
      <c r="M756" s="36" t="str">
        <f t="shared" ca="1" si="5"/>
        <v>LRM</v>
      </c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</row>
    <row r="757" spans="1:27">
      <c r="A757" s="40"/>
      <c r="B757" s="36"/>
      <c r="C757" s="40"/>
      <c r="D757" s="41"/>
      <c r="E757" s="40"/>
      <c r="F757" s="40" t="str">
        <f ca="1">IFERROR(__xludf.DUMMYFUNCTION("""COMPUTED_VALUE"""),"Iván Sánchez")</f>
        <v>Iván Sánchez</v>
      </c>
      <c r="G757" s="40" t="str">
        <f ca="1">IFERROR(__xludf.DUMMYFUNCTION("""COMPUTED_VALUE"""),"ISL")</f>
        <v>ISL</v>
      </c>
      <c r="H757" s="40" t="str">
        <f ca="1">IFERROR(__xludf.DUMMYFUNCTION("""COMPUTED_VALUE"""),"ISL116")</f>
        <v>ISL116</v>
      </c>
      <c r="I757" s="40" t="str">
        <f ca="1">IFERROR(__xludf.DUMMYFUNCTION("""COMPUTED_VALUE"""),"B")</f>
        <v>B</v>
      </c>
      <c r="J757" s="40" t="str">
        <f ca="1">IFERROR(__xludf.DUMMYFUNCTION("""COMPUTED_VALUE"""),"Maria Rosario Ferrandiz García")</f>
        <v>Maria Rosario Ferrandiz García</v>
      </c>
      <c r="K757" s="40"/>
      <c r="L757" s="40" t="str">
        <f t="shared" ca="1" si="4"/>
        <v>ISL116</v>
      </c>
      <c r="M757" s="36" t="str">
        <f t="shared" ca="1" si="5"/>
        <v>ISL</v>
      </c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</row>
    <row r="758" spans="1:27">
      <c r="A758" s="40"/>
      <c r="B758" s="36"/>
      <c r="C758" s="40"/>
      <c r="D758" s="41"/>
      <c r="E758" s="40"/>
      <c r="F758" s="40" t="str">
        <f ca="1">IFERROR(__xludf.DUMMYFUNCTION("""COMPUTED_VALUE"""),"Lisandro Russian")</f>
        <v>Lisandro Russian</v>
      </c>
      <c r="G758" s="40" t="str">
        <f ca="1">IFERROR(__xludf.DUMMYFUNCTION("""COMPUTED_VALUE"""),"LRM")</f>
        <v>LRM</v>
      </c>
      <c r="H758" s="40" t="str">
        <f ca="1">IFERROR(__xludf.DUMMYFUNCTION("""COMPUTED_VALUE"""),"LRM270")</f>
        <v>LRM270</v>
      </c>
      <c r="I758" s="40" t="str">
        <f ca="1">IFERROR(__xludf.DUMMYFUNCTION("""COMPUTED_VALUE"""),"A")</f>
        <v>A</v>
      </c>
      <c r="J758" s="40" t="str">
        <f ca="1">IFERROR(__xludf.DUMMYFUNCTION("""COMPUTED_VALUE"""),"María Rosario Ruiz Gómez")</f>
        <v>María Rosario Ruiz Gómez</v>
      </c>
      <c r="K758" s="40"/>
      <c r="L758" s="40" t="str">
        <f t="shared" ca="1" si="4"/>
        <v>LRM270</v>
      </c>
      <c r="M758" s="36" t="str">
        <f t="shared" ca="1" si="5"/>
        <v>LRM</v>
      </c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</row>
    <row r="759" spans="1:27">
      <c r="A759" s="40"/>
      <c r="B759" s="36"/>
      <c r="C759" s="40"/>
      <c r="D759" s="41"/>
      <c r="E759" s="40"/>
      <c r="F759" s="40" t="str">
        <f ca="1">IFERROR(__xludf.DUMMYFUNCTION("""COMPUTED_VALUE"""),"Lisandro Russian")</f>
        <v>Lisandro Russian</v>
      </c>
      <c r="G759" s="40" t="str">
        <f ca="1">IFERROR(__xludf.DUMMYFUNCTION("""COMPUTED_VALUE"""),"LRM")</f>
        <v>LRM</v>
      </c>
      <c r="H759" s="40" t="str">
        <f ca="1">IFERROR(__xludf.DUMMYFUNCTION("""COMPUTED_VALUE"""),"LRM203")</f>
        <v>LRM203</v>
      </c>
      <c r="I759" s="40" t="str">
        <f ca="1">IFERROR(__xludf.DUMMYFUNCTION("""COMPUTED_VALUE"""),"A")</f>
        <v>A</v>
      </c>
      <c r="J759" s="40" t="str">
        <f ca="1">IFERROR(__xludf.DUMMYFUNCTION("""COMPUTED_VALUE"""),"María Sánchez Cantón")</f>
        <v>María Sánchez Cantón</v>
      </c>
      <c r="K759" s="40"/>
      <c r="L759" s="40" t="str">
        <f t="shared" ca="1" si="4"/>
        <v>LRM203</v>
      </c>
      <c r="M759" s="36" t="str">
        <f t="shared" ca="1" si="5"/>
        <v>LRM</v>
      </c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</row>
    <row r="760" spans="1:27">
      <c r="A760" s="40"/>
      <c r="B760" s="36"/>
      <c r="C760" s="40"/>
      <c r="D760" s="41"/>
      <c r="E760" s="23"/>
      <c r="F760" s="40" t="str">
        <f ca="1">IFERROR(__xludf.DUMMYFUNCTION("""COMPUTED_VALUE"""),"Lisandro Russian")</f>
        <v>Lisandro Russian</v>
      </c>
      <c r="G760" s="40" t="str">
        <f ca="1">IFERROR(__xludf.DUMMYFUNCTION("""COMPUTED_VALUE"""),"LRM")</f>
        <v>LRM</v>
      </c>
      <c r="H760" s="40" t="str">
        <f ca="1">IFERROR(__xludf.DUMMYFUNCTION("""COMPUTED_VALUE"""),"LRM204")</f>
        <v>LRM204</v>
      </c>
      <c r="I760" s="40" t="str">
        <f ca="1">IFERROR(__xludf.DUMMYFUNCTION("""COMPUTED_VALUE"""),"A")</f>
        <v>A</v>
      </c>
      <c r="J760" s="40" t="str">
        <f ca="1">IFERROR(__xludf.DUMMYFUNCTION("""COMPUTED_VALUE"""),"María Sánchez Herrero")</f>
        <v>María Sánchez Herrero</v>
      </c>
      <c r="K760" s="40"/>
      <c r="L760" s="40" t="str">
        <f t="shared" ca="1" si="4"/>
        <v>LRM204</v>
      </c>
      <c r="M760" s="36" t="str">
        <f t="shared" ca="1" si="5"/>
        <v>LRM</v>
      </c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</row>
    <row r="761" spans="1:27">
      <c r="A761" s="40"/>
      <c r="B761" s="36"/>
      <c r="C761" s="40"/>
      <c r="D761" s="41"/>
      <c r="E761" s="40"/>
      <c r="F761" s="40" t="str">
        <f ca="1">IFERROR(__xludf.DUMMYFUNCTION("""COMPUTED_VALUE"""),"Maika Blázquez")</f>
        <v>Maika Blázquez</v>
      </c>
      <c r="G761" s="40" t="str">
        <f ca="1">IFERROR(__xludf.DUMMYFUNCTION("""COMPUTED_VALUE"""),"MBM")</f>
        <v>MBM</v>
      </c>
      <c r="H761" s="40" t="str">
        <f ca="1">IFERROR(__xludf.DUMMYFUNCTION("""COMPUTED_VALUE"""),"MBM141")</f>
        <v>MBM141</v>
      </c>
      <c r="I761" s="40" t="str">
        <f ca="1">IFERROR(__xludf.DUMMYFUNCTION("""COMPUTED_VALUE"""),"A")</f>
        <v>A</v>
      </c>
      <c r="J761" s="40" t="str">
        <f ca="1">IFERROR(__xludf.DUMMYFUNCTION("""COMPUTED_VALUE"""),"María Santillán")</f>
        <v>María Santillán</v>
      </c>
      <c r="K761" s="40"/>
      <c r="L761" s="40" t="str">
        <f t="shared" ca="1" si="4"/>
        <v>MBM141</v>
      </c>
      <c r="M761" s="36" t="str">
        <f t="shared" ca="1" si="5"/>
        <v>MBM</v>
      </c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</row>
    <row r="762" spans="1:27">
      <c r="A762" s="40"/>
      <c r="B762" s="36"/>
      <c r="C762" s="40"/>
      <c r="D762" s="41"/>
      <c r="E762" s="40"/>
      <c r="F762" s="40" t="str">
        <f ca="1">IFERROR(__xludf.DUMMYFUNCTION("""COMPUTED_VALUE"""),"Maika Blázquez")</f>
        <v>Maika Blázquez</v>
      </c>
      <c r="G762" s="40" t="str">
        <f ca="1">IFERROR(__xludf.DUMMYFUNCTION("""COMPUTED_VALUE"""),"MBM")</f>
        <v>MBM</v>
      </c>
      <c r="H762" s="40" t="str">
        <f ca="1">IFERROR(__xludf.DUMMYFUNCTION("""COMPUTED_VALUE"""),"MBM153")</f>
        <v>MBM153</v>
      </c>
      <c r="I762" s="40" t="str">
        <f ca="1">IFERROR(__xludf.DUMMYFUNCTION("""COMPUTED_VALUE"""),"A")</f>
        <v>A</v>
      </c>
      <c r="J762" s="40" t="str">
        <f ca="1">IFERROR(__xludf.DUMMYFUNCTION("""COMPUTED_VALUE"""),"María Santillán Sánchez")</f>
        <v>María Santillán Sánchez</v>
      </c>
      <c r="K762" s="40"/>
      <c r="L762" s="40" t="str">
        <f t="shared" ca="1" si="4"/>
        <v>MBM153</v>
      </c>
      <c r="M762" s="36" t="str">
        <f t="shared" ca="1" si="5"/>
        <v>MBM</v>
      </c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</row>
    <row r="763" spans="1:27">
      <c r="A763" s="40"/>
      <c r="B763" s="36"/>
      <c r="C763" s="40"/>
      <c r="D763" s="41"/>
      <c r="E763" s="40"/>
      <c r="F763" s="40" t="str">
        <f ca="1">IFERROR(__xludf.DUMMYFUNCTION("""COMPUTED_VALUE"""),"Maika Blázquez")</f>
        <v>Maika Blázquez</v>
      </c>
      <c r="G763" s="40" t="str">
        <f ca="1">IFERROR(__xludf.DUMMYFUNCTION("""COMPUTED_VALUE"""),"MBM")</f>
        <v>MBM</v>
      </c>
      <c r="H763" s="40" t="str">
        <f ca="1">IFERROR(__xludf.DUMMYFUNCTION("""COMPUTED_VALUE"""),"MBM154")</f>
        <v>MBM154</v>
      </c>
      <c r="I763" s="40" t="str">
        <f ca="1">IFERROR(__xludf.DUMMYFUNCTION("""COMPUTED_VALUE"""),"A")</f>
        <v>A</v>
      </c>
      <c r="J763" s="40" t="str">
        <f ca="1">IFERROR(__xludf.DUMMYFUNCTION("""COMPUTED_VALUE"""),"María Scola Torres")</f>
        <v>María Scola Torres</v>
      </c>
      <c r="K763" s="40"/>
      <c r="L763" s="40" t="str">
        <f t="shared" ca="1" si="4"/>
        <v>MBM154</v>
      </c>
      <c r="M763" s="36" t="str">
        <f t="shared" ca="1" si="5"/>
        <v>MBM</v>
      </c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</row>
    <row r="764" spans="1:27">
      <c r="A764" s="40"/>
      <c r="B764" s="36"/>
      <c r="C764" s="40"/>
      <c r="D764" s="41"/>
      <c r="E764" s="40"/>
      <c r="F764" s="23" t="str">
        <f ca="1">IFERROR(__xludf.DUMMYFUNCTION("""COMPUTED_VALUE"""),"Lisandro Russian")</f>
        <v>Lisandro Russian</v>
      </c>
      <c r="G764" s="40" t="str">
        <f ca="1">IFERROR(__xludf.DUMMYFUNCTION("""COMPUTED_VALUE"""),"LRM")</f>
        <v>LRM</v>
      </c>
      <c r="H764" s="40" t="str">
        <f ca="1">IFERROR(__xludf.DUMMYFUNCTION("""COMPUTED_VALUE"""),"LRM263")</f>
        <v>LRM263</v>
      </c>
      <c r="I764" s="40" t="str">
        <f ca="1">IFERROR(__xludf.DUMMYFUNCTION("""COMPUTED_VALUE"""),"A")</f>
        <v>A</v>
      </c>
      <c r="J764" s="40" t="str">
        <f ca="1">IFERROR(__xludf.DUMMYFUNCTION("""COMPUTED_VALUE"""),"María Sol Marcos Salazar")</f>
        <v>María Sol Marcos Salazar</v>
      </c>
      <c r="K764" s="40"/>
      <c r="L764" s="40" t="str">
        <f t="shared" ca="1" si="4"/>
        <v>LRM263</v>
      </c>
      <c r="M764" s="36" t="str">
        <f t="shared" ca="1" si="5"/>
        <v>LRM</v>
      </c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</row>
    <row r="765" spans="1:27">
      <c r="A765" s="40"/>
      <c r="B765" s="36"/>
      <c r="C765" s="40"/>
      <c r="D765" s="41"/>
      <c r="E765" s="40"/>
      <c r="F765" s="40" t="str">
        <f ca="1">IFERROR(__xludf.DUMMYFUNCTION("""COMPUTED_VALUE"""),"Ramon Ferrando")</f>
        <v>Ramon Ferrando</v>
      </c>
      <c r="G765" s="40" t="str">
        <f ca="1">IFERROR(__xludf.DUMMYFUNCTION("""COMPUTED_VALUE"""),"RFV")</f>
        <v>RFV</v>
      </c>
      <c r="H765" s="40" t="str">
        <f ca="1">IFERROR(__xludf.DUMMYFUNCTION("""COMPUTED_VALUE"""),"RFV25")</f>
        <v>RFV25</v>
      </c>
      <c r="I765" s="40" t="str">
        <f ca="1">IFERROR(__xludf.DUMMYFUNCTION("""COMPUTED_VALUE"""),"B")</f>
        <v>B</v>
      </c>
      <c r="J765" s="40" t="str">
        <f ca="1">IFERROR(__xludf.DUMMYFUNCTION("""COMPUTED_VALUE"""),"María Soledad Frías Moya-Angeler")</f>
        <v>María Soledad Frías Moya-Angeler</v>
      </c>
      <c r="K765" s="40"/>
      <c r="L765" s="40" t="str">
        <f t="shared" ca="1" si="4"/>
        <v>RFV25</v>
      </c>
      <c r="M765" s="36" t="str">
        <f t="shared" ca="1" si="5"/>
        <v>RFV</v>
      </c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</row>
    <row r="766" spans="1:27">
      <c r="A766" s="40"/>
      <c r="B766" s="36"/>
      <c r="C766" s="40"/>
      <c r="D766" s="41"/>
      <c r="E766" s="40"/>
      <c r="F766" s="40" t="str">
        <f ca="1">IFERROR(__xludf.DUMMYFUNCTION("""COMPUTED_VALUE"""),"Iván Sánchez")</f>
        <v>Iván Sánchez</v>
      </c>
      <c r="G766" s="40" t="str">
        <f ca="1">IFERROR(__xludf.DUMMYFUNCTION("""COMPUTED_VALUE"""),"ISL")</f>
        <v>ISL</v>
      </c>
      <c r="H766" s="40" t="str">
        <f ca="1">IFERROR(__xludf.DUMMYFUNCTION("""COMPUTED_VALUE"""),"ISL123")</f>
        <v>ISL123</v>
      </c>
      <c r="I766" s="40" t="str">
        <f ca="1">IFERROR(__xludf.DUMMYFUNCTION("""COMPUTED_VALUE"""),"B")</f>
        <v>B</v>
      </c>
      <c r="J766" s="40" t="str">
        <f ca="1">IFERROR(__xludf.DUMMYFUNCTION("""COMPUTED_VALUE"""),"María Teresa Almela Rojo")</f>
        <v>María Teresa Almela Rojo</v>
      </c>
      <c r="K766" s="40"/>
      <c r="L766" s="40" t="str">
        <f t="shared" ca="1" si="4"/>
        <v>ISL123</v>
      </c>
      <c r="M766" s="36" t="str">
        <f t="shared" ca="1" si="5"/>
        <v>ISL</v>
      </c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</row>
    <row r="767" spans="1:27">
      <c r="A767" s="40"/>
      <c r="B767" s="36"/>
      <c r="C767" s="40"/>
      <c r="D767" s="41"/>
      <c r="E767" s="40"/>
      <c r="F767" s="40" t="str">
        <f ca="1">IFERROR(__xludf.DUMMYFUNCTION("""COMPUTED_VALUE"""),"Luis Alberto Rodríguez")</f>
        <v>Luis Alberto Rodríguez</v>
      </c>
      <c r="G767" s="40" t="str">
        <f ca="1">IFERROR(__xludf.DUMMYFUNCTION("""COMPUTED_VALUE"""),"LAA")</f>
        <v>LAA</v>
      </c>
      <c r="H767" s="40" t="str">
        <f ca="1">IFERROR(__xludf.DUMMYFUNCTION("""COMPUTED_VALUE"""),"LAA71")</f>
        <v>LAA71</v>
      </c>
      <c r="I767" s="40" t="str">
        <f ca="1">IFERROR(__xludf.DUMMYFUNCTION("""COMPUTED_VALUE"""),"C")</f>
        <v>C</v>
      </c>
      <c r="J767" s="40" t="str">
        <f ca="1">IFERROR(__xludf.DUMMYFUNCTION("""COMPUTED_VALUE"""),"María Teresa Cervilla Martín")</f>
        <v>María Teresa Cervilla Martín</v>
      </c>
      <c r="K767" s="40"/>
      <c r="L767" s="40" t="str">
        <f t="shared" ca="1" si="4"/>
        <v>LAA71</v>
      </c>
      <c r="M767" s="36" t="str">
        <f t="shared" ca="1" si="5"/>
        <v>LAA</v>
      </c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</row>
    <row r="768" spans="1:27">
      <c r="A768" s="40"/>
      <c r="B768" s="36"/>
      <c r="C768" s="40"/>
      <c r="D768" s="41"/>
      <c r="E768" s="40"/>
      <c r="F768" s="40" t="str">
        <f ca="1">IFERROR(__xludf.DUMMYFUNCTION("""COMPUTED_VALUE"""),"Ramon Ferrando")</f>
        <v>Ramon Ferrando</v>
      </c>
      <c r="G768" s="40" t="str">
        <f ca="1">IFERROR(__xludf.DUMMYFUNCTION("""COMPUTED_VALUE"""),"RFV")</f>
        <v>RFV</v>
      </c>
      <c r="H768" s="40" t="str">
        <f ca="1">IFERROR(__xludf.DUMMYFUNCTION("""COMPUTED_VALUE"""),"RFV30")</f>
        <v>RFV30</v>
      </c>
      <c r="I768" s="40" t="str">
        <f ca="1">IFERROR(__xludf.DUMMYFUNCTION("""COMPUTED_VALUE"""),"B")</f>
        <v>B</v>
      </c>
      <c r="J768" s="40" t="str">
        <f ca="1">IFERROR(__xludf.DUMMYFUNCTION("""COMPUTED_VALUE"""),"María Teresa Cuesta González")</f>
        <v>María Teresa Cuesta González</v>
      </c>
      <c r="K768" s="40"/>
      <c r="L768" s="40" t="str">
        <f t="shared" ca="1" si="4"/>
        <v>RFV30</v>
      </c>
      <c r="M768" s="36" t="str">
        <f t="shared" ca="1" si="5"/>
        <v>RFV</v>
      </c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</row>
    <row r="769" spans="1:27">
      <c r="A769" s="40"/>
      <c r="B769" s="36"/>
      <c r="C769" s="40"/>
      <c r="D769" s="41"/>
      <c r="E769" s="40"/>
      <c r="F769" s="40" t="str">
        <f ca="1">IFERROR(__xludf.DUMMYFUNCTION("""COMPUTED_VALUE"""),"Luis Alberto Rodríguez")</f>
        <v>Luis Alberto Rodríguez</v>
      </c>
      <c r="G769" s="40" t="str">
        <f ca="1">IFERROR(__xludf.DUMMYFUNCTION("""COMPUTED_VALUE"""),"LAA")</f>
        <v>LAA</v>
      </c>
      <c r="H769" s="40" t="str">
        <f ca="1">IFERROR(__xludf.DUMMYFUNCTION("""COMPUTED_VALUE"""),"LAA55")</f>
        <v>LAA55</v>
      </c>
      <c r="I769" s="40" t="str">
        <f ca="1">IFERROR(__xludf.DUMMYFUNCTION("""COMPUTED_VALUE"""),"C")</f>
        <v>C</v>
      </c>
      <c r="J769" s="40" t="str">
        <f ca="1">IFERROR(__xludf.DUMMYFUNCTION("""COMPUTED_VALUE"""),"María Teresa García Iriarte")</f>
        <v>María Teresa García Iriarte</v>
      </c>
      <c r="K769" s="40"/>
      <c r="L769" s="40" t="str">
        <f t="shared" ca="1" si="4"/>
        <v>LAA55</v>
      </c>
      <c r="M769" s="36" t="str">
        <f t="shared" ca="1" si="5"/>
        <v>LAA</v>
      </c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</row>
    <row r="770" spans="1:27">
      <c r="A770" s="40"/>
      <c r="B770" s="36"/>
      <c r="C770" s="40"/>
      <c r="D770" s="41"/>
      <c r="E770" s="40"/>
      <c r="F770" s="40" t="str">
        <f ca="1">IFERROR(__xludf.DUMMYFUNCTION("""COMPUTED_VALUE"""),"Maika Blázquez")</f>
        <v>Maika Blázquez</v>
      </c>
      <c r="G770" s="40" t="str">
        <f ca="1">IFERROR(__xludf.DUMMYFUNCTION("""COMPUTED_VALUE"""),"MBM")</f>
        <v>MBM</v>
      </c>
      <c r="H770" s="40" t="str">
        <f ca="1">IFERROR(__xludf.DUMMYFUNCTION("""COMPUTED_VALUE"""),"MBM155")</f>
        <v>MBM155</v>
      </c>
      <c r="I770" s="40" t="str">
        <f ca="1">IFERROR(__xludf.DUMMYFUNCTION("""COMPUTED_VALUE"""),"A")</f>
        <v>A</v>
      </c>
      <c r="J770" s="40" t="str">
        <f ca="1">IFERROR(__xludf.DUMMYFUNCTION("""COMPUTED_VALUE"""),"María Teresa Herrera Mera")</f>
        <v>María Teresa Herrera Mera</v>
      </c>
      <c r="K770" s="40"/>
      <c r="L770" s="40" t="str">
        <f t="shared" ca="1" si="4"/>
        <v>MBM155</v>
      </c>
      <c r="M770" s="36" t="str">
        <f t="shared" ca="1" si="5"/>
        <v>MBM</v>
      </c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</row>
    <row r="771" spans="1:27">
      <c r="A771" s="40"/>
      <c r="B771" s="36"/>
      <c r="C771" s="40"/>
      <c r="D771" s="41"/>
      <c r="E771" s="40"/>
      <c r="F771" s="40" t="str">
        <f ca="1">IFERROR(__xludf.DUMMYFUNCTION("""COMPUTED_VALUE"""),"Lisandro Russian")</f>
        <v>Lisandro Russian</v>
      </c>
      <c r="G771" s="40" t="str">
        <f ca="1">IFERROR(__xludf.DUMMYFUNCTION("""COMPUTED_VALUE"""),"LRM")</f>
        <v>LRM</v>
      </c>
      <c r="H771" s="40" t="str">
        <f ca="1">IFERROR(__xludf.DUMMYFUNCTION("""COMPUTED_VALUE"""),"LRM205")</f>
        <v>LRM205</v>
      </c>
      <c r="I771" s="40" t="str">
        <f ca="1">IFERROR(__xludf.DUMMYFUNCTION("""COMPUTED_VALUE"""),"A")</f>
        <v>A</v>
      </c>
      <c r="J771" s="40" t="str">
        <f ca="1">IFERROR(__xludf.DUMMYFUNCTION("""COMPUTED_VALUE"""),"María Victoria Calvo Medina")</f>
        <v>María Victoria Calvo Medina</v>
      </c>
      <c r="K771" s="40"/>
      <c r="L771" s="40" t="str">
        <f t="shared" ca="1" si="4"/>
        <v>LRM205</v>
      </c>
      <c r="M771" s="36" t="str">
        <f t="shared" ca="1" si="5"/>
        <v>LRM</v>
      </c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</row>
    <row r="772" spans="1:27">
      <c r="A772" s="40"/>
      <c r="B772" s="36"/>
      <c r="C772" s="40"/>
      <c r="D772" s="41"/>
      <c r="E772" s="40"/>
      <c r="F772" s="40" t="str">
        <f ca="1">IFERROR(__xludf.DUMMYFUNCTION("""COMPUTED_VALUE"""),"Lisandro Russian")</f>
        <v>Lisandro Russian</v>
      </c>
      <c r="G772" s="40" t="str">
        <f ca="1">IFERROR(__xludf.DUMMYFUNCTION("""COMPUTED_VALUE"""),"LRM")</f>
        <v>LRM</v>
      </c>
      <c r="H772" s="40" t="str">
        <f ca="1">IFERROR(__xludf.DUMMYFUNCTION("""COMPUTED_VALUE"""),"LRM206")</f>
        <v>LRM206</v>
      </c>
      <c r="I772" s="40" t="str">
        <f ca="1">IFERROR(__xludf.DUMMYFUNCTION("""COMPUTED_VALUE"""),"A")</f>
        <v>A</v>
      </c>
      <c r="J772" s="40" t="str">
        <f ca="1">IFERROR(__xludf.DUMMYFUNCTION("""COMPUTED_VALUE"""),"Marian Mate Bayón")</f>
        <v>Marian Mate Bayón</v>
      </c>
      <c r="K772" s="40"/>
      <c r="L772" s="40" t="str">
        <f t="shared" ref="L772:L1002" ca="1" si="6">H772</f>
        <v>LRM206</v>
      </c>
      <c r="M772" s="36" t="str">
        <f t="shared" ref="M772:M977" ca="1" si="7">G772</f>
        <v>LRM</v>
      </c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</row>
    <row r="773" spans="1:27">
      <c r="A773" s="40"/>
      <c r="B773" s="36"/>
      <c r="C773" s="40"/>
      <c r="D773" s="41"/>
      <c r="E773" s="40"/>
      <c r="F773" s="40" t="str">
        <f ca="1">IFERROR(__xludf.DUMMYFUNCTION("""COMPUTED_VALUE"""),"Iván Sánchez")</f>
        <v>Iván Sánchez</v>
      </c>
      <c r="G773" s="40" t="str">
        <f ca="1">IFERROR(__xludf.DUMMYFUNCTION("""COMPUTED_VALUE"""),"ISL")</f>
        <v>ISL</v>
      </c>
      <c r="H773" s="40" t="str">
        <f ca="1">IFERROR(__xludf.DUMMYFUNCTION("""COMPUTED_VALUE"""),"ISL67")</f>
        <v>ISL67</v>
      </c>
      <c r="I773" s="40" t="str">
        <f ca="1">IFERROR(__xludf.DUMMYFUNCTION("""COMPUTED_VALUE"""),"B")</f>
        <v>B</v>
      </c>
      <c r="J773" s="40" t="str">
        <f ca="1">IFERROR(__xludf.DUMMYFUNCTION("""COMPUTED_VALUE"""),"Mariano Rosique Arias")</f>
        <v>Mariano Rosique Arias</v>
      </c>
      <c r="K773" s="40"/>
      <c r="L773" s="40" t="str">
        <f t="shared" ca="1" si="6"/>
        <v>ISL67</v>
      </c>
      <c r="M773" s="36" t="str">
        <f t="shared" ca="1" si="7"/>
        <v>ISL</v>
      </c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</row>
    <row r="774" spans="1:27">
      <c r="A774" s="40"/>
      <c r="B774" s="36"/>
      <c r="C774" s="40"/>
      <c r="D774" s="41"/>
      <c r="E774" s="40"/>
      <c r="F774" s="40" t="str">
        <f ca="1">IFERROR(__xludf.DUMMYFUNCTION("""COMPUTED_VALUE"""),"Iván Sánchez")</f>
        <v>Iván Sánchez</v>
      </c>
      <c r="G774" s="40" t="str">
        <f ca="1">IFERROR(__xludf.DUMMYFUNCTION("""COMPUTED_VALUE"""),"ISL")</f>
        <v>ISL</v>
      </c>
      <c r="H774" s="40" t="str">
        <f ca="1">IFERROR(__xludf.DUMMYFUNCTION("""COMPUTED_VALUE"""),"ISL124")</f>
        <v>ISL124</v>
      </c>
      <c r="I774" s="40" t="str">
        <f ca="1">IFERROR(__xludf.DUMMYFUNCTION("""COMPUTED_VALUE"""),"B")</f>
        <v>B</v>
      </c>
      <c r="J774" s="40" t="str">
        <f ca="1">IFERROR(__xludf.DUMMYFUNCTION("""COMPUTED_VALUE"""),"Mariella Anaya Sifuentes")</f>
        <v>Mariella Anaya Sifuentes</v>
      </c>
      <c r="K774" s="40"/>
      <c r="L774" s="40" t="str">
        <f t="shared" ca="1" si="6"/>
        <v>ISL124</v>
      </c>
      <c r="M774" s="36" t="str">
        <f t="shared" ca="1" si="7"/>
        <v>ISL</v>
      </c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</row>
    <row r="775" spans="1:27">
      <c r="A775" s="40"/>
      <c r="B775" s="36"/>
      <c r="C775" s="40"/>
      <c r="D775" s="41"/>
      <c r="E775" s="40"/>
      <c r="F775" s="40" t="str">
        <f ca="1">IFERROR(__xludf.DUMMYFUNCTION("""COMPUTED_VALUE"""),"Iván Sánchez")</f>
        <v>Iván Sánchez</v>
      </c>
      <c r="G775" s="40" t="str">
        <f ca="1">IFERROR(__xludf.DUMMYFUNCTION("""COMPUTED_VALUE"""),"ISL")</f>
        <v>ISL</v>
      </c>
      <c r="H775" s="40" t="str">
        <f ca="1">IFERROR(__xludf.DUMMYFUNCTION("""COMPUTED_VALUE"""),"ISL125")</f>
        <v>ISL125</v>
      </c>
      <c r="I775" s="40" t="str">
        <f ca="1">IFERROR(__xludf.DUMMYFUNCTION("""COMPUTED_VALUE"""),"B")</f>
        <v>B</v>
      </c>
      <c r="J775" s="40" t="str">
        <f ca="1">IFERROR(__xludf.DUMMYFUNCTION("""COMPUTED_VALUE"""),"Marina Caceda Chumbiauca")</f>
        <v>Marina Caceda Chumbiauca</v>
      </c>
      <c r="K775" s="40"/>
      <c r="L775" s="40" t="str">
        <f t="shared" ca="1" si="6"/>
        <v>ISL125</v>
      </c>
      <c r="M775" s="36" t="str">
        <f t="shared" ca="1" si="7"/>
        <v>ISL</v>
      </c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</row>
    <row r="776" spans="1:27">
      <c r="A776" s="40"/>
      <c r="B776" s="36"/>
      <c r="C776" s="40"/>
      <c r="D776" s="41"/>
      <c r="E776" s="23"/>
      <c r="F776" s="40" t="str">
        <f ca="1">IFERROR(__xludf.DUMMYFUNCTION("""COMPUTED_VALUE"""),"Ramon Ferrando")</f>
        <v>Ramon Ferrando</v>
      </c>
      <c r="G776" s="40" t="str">
        <f ca="1">IFERROR(__xludf.DUMMYFUNCTION("""COMPUTED_VALUE"""),"RFV")</f>
        <v>RFV</v>
      </c>
      <c r="H776" s="40" t="str">
        <f ca="1">IFERROR(__xludf.DUMMYFUNCTION("""COMPUTED_VALUE"""),"RFV31")</f>
        <v>RFV31</v>
      </c>
      <c r="I776" s="40" t="str">
        <f ca="1">IFERROR(__xludf.DUMMYFUNCTION("""COMPUTED_VALUE"""),"B")</f>
        <v>B</v>
      </c>
      <c r="J776" s="40" t="str">
        <f ca="1">IFERROR(__xludf.DUMMYFUNCTION("""COMPUTED_VALUE"""),"Marina Carrasco Llatas")</f>
        <v>Marina Carrasco Llatas</v>
      </c>
      <c r="K776" s="40"/>
      <c r="L776" s="40" t="str">
        <f t="shared" ca="1" si="6"/>
        <v>RFV31</v>
      </c>
      <c r="M776" s="36" t="str">
        <f t="shared" ca="1" si="7"/>
        <v>RFV</v>
      </c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</row>
    <row r="777" spans="1:27">
      <c r="A777" s="40"/>
      <c r="B777" s="36"/>
      <c r="C777" s="40"/>
      <c r="D777" s="41"/>
      <c r="E777" s="40"/>
      <c r="F777" s="40" t="str">
        <f ca="1">IFERROR(__xludf.DUMMYFUNCTION("""COMPUTED_VALUE"""),"Lisandro Russian")</f>
        <v>Lisandro Russian</v>
      </c>
      <c r="G777" s="40" t="str">
        <f ca="1">IFERROR(__xludf.DUMMYFUNCTION("""COMPUTED_VALUE"""),"LRM")</f>
        <v>LRM</v>
      </c>
      <c r="H777" s="40" t="str">
        <f ca="1">IFERROR(__xludf.DUMMYFUNCTION("""COMPUTED_VALUE"""),"LRM207")</f>
        <v>LRM207</v>
      </c>
      <c r="I777" s="40" t="str">
        <f ca="1">IFERROR(__xludf.DUMMYFUNCTION("""COMPUTED_VALUE"""),"A")</f>
        <v>A</v>
      </c>
      <c r="J777" s="40" t="str">
        <f ca="1">IFERROR(__xludf.DUMMYFUNCTION("""COMPUTED_VALUE"""),"Marina Godás Núñez")</f>
        <v>Marina Godás Núñez</v>
      </c>
      <c r="K777" s="40"/>
      <c r="L777" s="40" t="str">
        <f t="shared" ca="1" si="6"/>
        <v>LRM207</v>
      </c>
      <c r="M777" s="36" t="str">
        <f t="shared" ca="1" si="7"/>
        <v>LRM</v>
      </c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</row>
    <row r="778" spans="1:27">
      <c r="A778" s="40"/>
      <c r="B778" s="36"/>
      <c r="C778" s="40"/>
      <c r="D778" s="41"/>
      <c r="E778" s="40"/>
      <c r="F778" s="40" t="str">
        <f ca="1">IFERROR(__xludf.DUMMYFUNCTION("""COMPUTED_VALUE"""),"Patricia Solache")</f>
        <v>Patricia Solache</v>
      </c>
      <c r="G778" s="40" t="str">
        <f ca="1">IFERROR(__xludf.DUMMYFUNCTION("""COMPUTED_VALUE"""),"PSC")</f>
        <v>PSC</v>
      </c>
      <c r="H778" s="40" t="str">
        <f ca="1">IFERROR(__xludf.DUMMYFUNCTION("""COMPUTED_VALUE"""),"PSC44")</f>
        <v>PSC44</v>
      </c>
      <c r="I778" s="40" t="str">
        <f ca="1">IFERROR(__xludf.DUMMYFUNCTION("""COMPUTED_VALUE"""),"A")</f>
        <v>A</v>
      </c>
      <c r="J778" s="40" t="str">
        <f ca="1">IFERROR(__xludf.DUMMYFUNCTION("""COMPUTED_VALUE"""),"Marina Madrigal Revuelta")</f>
        <v>Marina Madrigal Revuelta</v>
      </c>
      <c r="K778" s="40"/>
      <c r="L778" s="40" t="str">
        <f t="shared" ca="1" si="6"/>
        <v>PSC44</v>
      </c>
      <c r="M778" s="36" t="str">
        <f t="shared" ca="1" si="7"/>
        <v>PSC</v>
      </c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</row>
    <row r="779" spans="1:27">
      <c r="A779" s="40"/>
      <c r="B779" s="36"/>
      <c r="C779" s="40"/>
      <c r="D779" s="41"/>
      <c r="E779" s="40"/>
      <c r="F779" s="40" t="str">
        <f ca="1">IFERROR(__xludf.DUMMYFUNCTION("""COMPUTED_VALUE"""),"Iván Sánchez")</f>
        <v>Iván Sánchez</v>
      </c>
      <c r="G779" s="40" t="str">
        <f ca="1">IFERROR(__xludf.DUMMYFUNCTION("""COMPUTED_VALUE"""),"ISL")</f>
        <v>ISL</v>
      </c>
      <c r="H779" s="40" t="str">
        <f ca="1">IFERROR(__xludf.DUMMYFUNCTION("""COMPUTED_VALUE"""),"ISL142")</f>
        <v>ISL142</v>
      </c>
      <c r="I779" s="40" t="str">
        <f ca="1">IFERROR(__xludf.DUMMYFUNCTION("""COMPUTED_VALUE"""),"B")</f>
        <v>B</v>
      </c>
      <c r="J779" s="40" t="str">
        <f ca="1">IFERROR(__xludf.DUMMYFUNCTION("""COMPUTED_VALUE"""),"Marina Pérez Grau")</f>
        <v>Marina Pérez Grau</v>
      </c>
      <c r="K779" s="40"/>
      <c r="L779" s="40" t="str">
        <f t="shared" ca="1" si="6"/>
        <v>ISL142</v>
      </c>
      <c r="M779" s="36" t="str">
        <f t="shared" ca="1" si="7"/>
        <v>ISL</v>
      </c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</row>
    <row r="780" spans="1:27">
      <c r="A780" s="40"/>
      <c r="B780" s="36"/>
      <c r="C780" s="40"/>
      <c r="D780" s="41"/>
      <c r="E780" s="40"/>
      <c r="F780" s="40" t="str">
        <f ca="1">IFERROR(__xludf.DUMMYFUNCTION("""COMPUTED_VALUE"""),"Patricia Solache")</f>
        <v>Patricia Solache</v>
      </c>
      <c r="G780" s="40" t="str">
        <f ca="1">IFERROR(__xludf.DUMMYFUNCTION("""COMPUTED_VALUE"""),"PSC")</f>
        <v>PSC</v>
      </c>
      <c r="H780" s="40" t="str">
        <f ca="1">IFERROR(__xludf.DUMMYFUNCTION("""COMPUTED_VALUE"""),"PSC25")</f>
        <v>PSC25</v>
      </c>
      <c r="I780" s="40" t="str">
        <f ca="1">IFERROR(__xludf.DUMMYFUNCTION("""COMPUTED_VALUE"""),"A")</f>
        <v>A</v>
      </c>
      <c r="J780" s="40" t="str">
        <f ca="1">IFERROR(__xludf.DUMMYFUNCTION("""COMPUTED_VALUE"""),"Mario Cuetos Azcona")</f>
        <v>Mario Cuetos Azcona</v>
      </c>
      <c r="K780" s="40"/>
      <c r="L780" s="40" t="str">
        <f t="shared" ca="1" si="6"/>
        <v>PSC25</v>
      </c>
      <c r="M780" s="36" t="str">
        <f t="shared" ca="1" si="7"/>
        <v>PSC</v>
      </c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</row>
    <row r="781" spans="1:27">
      <c r="A781" s="40"/>
      <c r="B781" s="36"/>
      <c r="C781" s="40"/>
      <c r="D781" s="41"/>
      <c r="E781" s="40"/>
      <c r="F781" s="40" t="str">
        <f ca="1">IFERROR(__xludf.DUMMYFUNCTION("""COMPUTED_VALUE"""),"Iván Sánchez")</f>
        <v>Iván Sánchez</v>
      </c>
      <c r="G781" s="40" t="str">
        <f ca="1">IFERROR(__xludf.DUMMYFUNCTION("""COMPUTED_VALUE"""),"ISL")</f>
        <v>ISL</v>
      </c>
      <c r="H781" s="40" t="str">
        <f ca="1">IFERROR(__xludf.DUMMYFUNCTION("""COMPUTED_VALUE"""),"ISL68")</f>
        <v>ISL68</v>
      </c>
      <c r="I781" s="40" t="str">
        <f ca="1">IFERROR(__xludf.DUMMYFUNCTION("""COMPUTED_VALUE"""),"B")</f>
        <v>B</v>
      </c>
      <c r="J781" s="40" t="str">
        <f ca="1">IFERROR(__xludf.DUMMYFUNCTION("""COMPUTED_VALUE"""),"Mario Higuera Rapa")</f>
        <v>Mario Higuera Rapa</v>
      </c>
      <c r="K781" s="40"/>
      <c r="L781" s="40" t="str">
        <f t="shared" ca="1" si="6"/>
        <v>ISL68</v>
      </c>
      <c r="M781" s="36" t="str">
        <f t="shared" ca="1" si="7"/>
        <v>ISL</v>
      </c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</row>
    <row r="782" spans="1:27">
      <c r="A782" s="40"/>
      <c r="B782" s="36"/>
      <c r="C782" s="40"/>
      <c r="D782" s="41"/>
      <c r="E782" s="40"/>
      <c r="F782" s="40" t="str">
        <f ca="1">IFERROR(__xludf.DUMMYFUNCTION("""COMPUTED_VALUE"""),"Patricia Solache")</f>
        <v>Patricia Solache</v>
      </c>
      <c r="G782" s="40" t="str">
        <f ca="1">IFERROR(__xludf.DUMMYFUNCTION("""COMPUTED_VALUE"""),"PSC")</f>
        <v>PSC</v>
      </c>
      <c r="H782" s="40" t="str">
        <f ca="1">IFERROR(__xludf.DUMMYFUNCTION("""COMPUTED_VALUE"""),"PSC26")</f>
        <v>PSC26</v>
      </c>
      <c r="I782" s="40" t="str">
        <f ca="1">IFERROR(__xludf.DUMMYFUNCTION("""COMPUTED_VALUE"""),"A")</f>
        <v>A</v>
      </c>
      <c r="J782" s="40" t="str">
        <f ca="1">IFERROR(__xludf.DUMMYFUNCTION("""COMPUTED_VALUE"""),"Mario Santos De Almeida Branco")</f>
        <v>Mario Santos De Almeida Branco</v>
      </c>
      <c r="K782" s="40"/>
      <c r="L782" s="40" t="str">
        <f t="shared" ca="1" si="6"/>
        <v>PSC26</v>
      </c>
      <c r="M782" s="36" t="str">
        <f t="shared" ca="1" si="7"/>
        <v>PSC</v>
      </c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</row>
    <row r="783" spans="1:27">
      <c r="A783" s="40"/>
      <c r="B783" s="36"/>
      <c r="C783" s="40"/>
      <c r="D783" s="41"/>
      <c r="E783" s="40"/>
      <c r="F783" s="40" t="str">
        <f ca="1">IFERROR(__xludf.DUMMYFUNCTION("""COMPUTED_VALUE"""),"Maika Blázquez")</f>
        <v>Maika Blázquez</v>
      </c>
      <c r="G783" s="40" t="str">
        <f ca="1">IFERROR(__xludf.DUMMYFUNCTION("""COMPUTED_VALUE"""),"MBM")</f>
        <v>MBM</v>
      </c>
      <c r="H783" s="40" t="str">
        <f ca="1">IFERROR(__xludf.DUMMYFUNCTION("""COMPUTED_VALUE"""),"MBM186")</f>
        <v>MBM186</v>
      </c>
      <c r="I783" s="40" t="str">
        <f ca="1">IFERROR(__xludf.DUMMYFUNCTION("""COMPUTED_VALUE"""),"A")</f>
        <v>A</v>
      </c>
      <c r="J783" s="40" t="str">
        <f ca="1">IFERROR(__xludf.DUMMYFUNCTION("""COMPUTED_VALUE"""),"Marta Abad Pascual")</f>
        <v>Marta Abad Pascual</v>
      </c>
      <c r="K783" s="40"/>
      <c r="L783" s="40" t="str">
        <f t="shared" ca="1" si="6"/>
        <v>MBM186</v>
      </c>
      <c r="M783" s="36" t="str">
        <f t="shared" ca="1" si="7"/>
        <v>MBM</v>
      </c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</row>
    <row r="784" spans="1:27">
      <c r="A784" s="40"/>
      <c r="B784" s="36"/>
      <c r="C784" s="40"/>
      <c r="D784" s="41"/>
      <c r="E784" s="40"/>
      <c r="F784" s="40" t="str">
        <f ca="1">IFERROR(__xludf.DUMMYFUNCTION("""COMPUTED_VALUE"""),"Lisandro Russian")</f>
        <v>Lisandro Russian</v>
      </c>
      <c r="G784" s="40" t="str">
        <f ca="1">IFERROR(__xludf.DUMMYFUNCTION("""COMPUTED_VALUE"""),"LRM")</f>
        <v>LRM</v>
      </c>
      <c r="H784" s="40" t="str">
        <f ca="1">IFERROR(__xludf.DUMMYFUNCTION("""COMPUTED_VALUE"""),"LRM208")</f>
        <v>LRM208</v>
      </c>
      <c r="I784" s="40" t="str">
        <f ca="1">IFERROR(__xludf.DUMMYFUNCTION("""COMPUTED_VALUE"""),"A")</f>
        <v>A</v>
      </c>
      <c r="J784" s="40" t="str">
        <f ca="1">IFERROR(__xludf.DUMMYFUNCTION("""COMPUTED_VALUE"""),"Marta Alcaraz Fuentes")</f>
        <v>Marta Alcaraz Fuentes</v>
      </c>
      <c r="K784" s="40"/>
      <c r="L784" s="40" t="str">
        <f t="shared" ca="1" si="6"/>
        <v>LRM208</v>
      </c>
      <c r="M784" s="36" t="str">
        <f t="shared" ca="1" si="7"/>
        <v>LRM</v>
      </c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</row>
    <row r="785" spans="1:27">
      <c r="A785" s="40"/>
      <c r="B785" s="36"/>
      <c r="C785" s="40"/>
      <c r="D785" s="41"/>
      <c r="E785" s="40"/>
      <c r="F785" s="40" t="str">
        <f ca="1">IFERROR(__xludf.DUMMYFUNCTION("""COMPUTED_VALUE"""),"Luis Alberto Rodríguez")</f>
        <v>Luis Alberto Rodríguez</v>
      </c>
      <c r="G785" s="40" t="str">
        <f ca="1">IFERROR(__xludf.DUMMYFUNCTION("""COMPUTED_VALUE"""),"LAA")</f>
        <v>LAA</v>
      </c>
      <c r="H785" s="40" t="str">
        <f ca="1">IFERROR(__xludf.DUMMYFUNCTION("""COMPUTED_VALUE"""),"LAA82")</f>
        <v>LAA82</v>
      </c>
      <c r="I785" s="40" t="str">
        <f ca="1">IFERROR(__xludf.DUMMYFUNCTION("""COMPUTED_VALUE"""),"C")</f>
        <v>C</v>
      </c>
      <c r="J785" s="40" t="str">
        <f ca="1">IFERROR(__xludf.DUMMYFUNCTION("""COMPUTED_VALUE"""),"Marta Álvarez Cendrero")</f>
        <v>Marta Álvarez Cendrero</v>
      </c>
      <c r="K785" s="40"/>
      <c r="L785" s="40" t="str">
        <f t="shared" ca="1" si="6"/>
        <v>LAA82</v>
      </c>
      <c r="M785" s="36" t="str">
        <f t="shared" ca="1" si="7"/>
        <v>LAA</v>
      </c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</row>
    <row r="786" spans="1:27">
      <c r="A786" s="40"/>
      <c r="B786" s="36"/>
      <c r="C786" s="40"/>
      <c r="D786" s="41"/>
      <c r="E786" s="40"/>
      <c r="F786" s="40" t="str">
        <f ca="1">IFERROR(__xludf.DUMMYFUNCTION("""COMPUTED_VALUE"""),"Alberto Moreno")</f>
        <v>Alberto Moreno</v>
      </c>
      <c r="G786" s="40" t="str">
        <f ca="1">IFERROR(__xludf.DUMMYFUNCTION("""COMPUTED_VALUE"""),"AMM")</f>
        <v>AMM</v>
      </c>
      <c r="H786" s="40" t="str">
        <f ca="1">IFERROR(__xludf.DUMMYFUNCTION("""COMPUTED_VALUE"""),"AMM16")</f>
        <v>AMM16</v>
      </c>
      <c r="I786" s="40" t="str">
        <f ca="1">IFERROR(__xludf.DUMMYFUNCTION("""COMPUTED_VALUE"""),"A")</f>
        <v>A</v>
      </c>
      <c r="J786" s="40" t="str">
        <f ca="1">IFERROR(__xludf.DUMMYFUNCTION("""COMPUTED_VALUE"""),"Marta Bascones García")</f>
        <v>Marta Bascones García</v>
      </c>
      <c r="K786" s="40"/>
      <c r="L786" s="40" t="str">
        <f t="shared" ca="1" si="6"/>
        <v>AMM16</v>
      </c>
      <c r="M786" s="36" t="str">
        <f t="shared" ca="1" si="7"/>
        <v>AMM</v>
      </c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</row>
    <row r="787" spans="1:27">
      <c r="A787" s="40"/>
      <c r="B787" s="36"/>
      <c r="C787" s="40"/>
      <c r="D787" s="41"/>
      <c r="E787" s="40"/>
      <c r="F787" s="40" t="str">
        <f ca="1">IFERROR(__xludf.DUMMYFUNCTION("""COMPUTED_VALUE"""),"Patricia Solache")</f>
        <v>Patricia Solache</v>
      </c>
      <c r="G787" s="40" t="str">
        <f ca="1">IFERROR(__xludf.DUMMYFUNCTION("""COMPUTED_VALUE"""),"PSC")</f>
        <v>PSC</v>
      </c>
      <c r="H787" s="40" t="str">
        <f ca="1">IFERROR(__xludf.DUMMYFUNCTION("""COMPUTED_VALUE"""),"PSC45")</f>
        <v>PSC45</v>
      </c>
      <c r="I787" s="40" t="str">
        <f ca="1">IFERROR(__xludf.DUMMYFUNCTION("""COMPUTED_VALUE"""),"A")</f>
        <v>A</v>
      </c>
      <c r="J787" s="40" t="str">
        <f ca="1">IFERROR(__xludf.DUMMYFUNCTION("""COMPUTED_VALUE"""),"Marta Calvo Pérez")</f>
        <v>Marta Calvo Pérez</v>
      </c>
      <c r="K787" s="40"/>
      <c r="L787" s="40" t="str">
        <f t="shared" ca="1" si="6"/>
        <v>PSC45</v>
      </c>
      <c r="M787" s="36" t="str">
        <f t="shared" ca="1" si="7"/>
        <v>PSC</v>
      </c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</row>
    <row r="788" spans="1:27">
      <c r="A788" s="40"/>
      <c r="B788" s="36"/>
      <c r="C788" s="40"/>
      <c r="D788" s="41"/>
      <c r="E788" s="40"/>
      <c r="F788" s="40" t="str">
        <f ca="1">IFERROR(__xludf.DUMMYFUNCTION("""COMPUTED_VALUE"""),"Maika Blázquez")</f>
        <v>Maika Blázquez</v>
      </c>
      <c r="G788" s="40" t="str">
        <f ca="1">IFERROR(__xludf.DUMMYFUNCTION("""COMPUTED_VALUE"""),"MBM")</f>
        <v>MBM</v>
      </c>
      <c r="H788" s="40" t="str">
        <f ca="1">IFERROR(__xludf.DUMMYFUNCTION("""COMPUTED_VALUE"""),"MBM200")</f>
        <v>MBM200</v>
      </c>
      <c r="I788" s="40" t="str">
        <f ca="1">IFERROR(__xludf.DUMMYFUNCTION("""COMPUTED_VALUE"""),"A")</f>
        <v>A</v>
      </c>
      <c r="J788" s="40" t="str">
        <f ca="1">IFERROR(__xludf.DUMMYFUNCTION("""COMPUTED_VALUE"""),"Marta Chaurre Cordero")</f>
        <v>Marta Chaurre Cordero</v>
      </c>
      <c r="K788" s="40"/>
      <c r="L788" s="40" t="str">
        <f t="shared" ca="1" si="6"/>
        <v>MBM200</v>
      </c>
      <c r="M788" s="36" t="str">
        <f t="shared" ca="1" si="7"/>
        <v>MBM</v>
      </c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</row>
    <row r="789" spans="1:27">
      <c r="A789" s="40"/>
      <c r="B789" s="36"/>
      <c r="C789" s="40"/>
      <c r="D789" s="41"/>
      <c r="E789" s="40"/>
      <c r="F789" s="40" t="str">
        <f ca="1">IFERROR(__xludf.DUMMYFUNCTION("""COMPUTED_VALUE"""),"Maika Blázquez")</f>
        <v>Maika Blázquez</v>
      </c>
      <c r="G789" s="40" t="str">
        <f ca="1">IFERROR(__xludf.DUMMYFUNCTION("""COMPUTED_VALUE"""),"MBM")</f>
        <v>MBM</v>
      </c>
      <c r="H789" s="40" t="str">
        <f ca="1">IFERROR(__xludf.DUMMYFUNCTION("""COMPUTED_VALUE"""),"MBM156")</f>
        <v>MBM156</v>
      </c>
      <c r="I789" s="40" t="str">
        <f ca="1">IFERROR(__xludf.DUMMYFUNCTION("""COMPUTED_VALUE"""),"A")</f>
        <v>A</v>
      </c>
      <c r="J789" s="40" t="str">
        <f ca="1">IFERROR(__xludf.DUMMYFUNCTION("""COMPUTED_VALUE"""),"Marta Colmenero Ruiz")</f>
        <v>Marta Colmenero Ruiz</v>
      </c>
      <c r="K789" s="40"/>
      <c r="L789" s="40" t="str">
        <f t="shared" ca="1" si="6"/>
        <v>MBM156</v>
      </c>
      <c r="M789" s="36" t="str">
        <f t="shared" ca="1" si="7"/>
        <v>MBM</v>
      </c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</row>
    <row r="790" spans="1:27">
      <c r="A790" s="40"/>
      <c r="B790" s="36"/>
      <c r="C790" s="40"/>
      <c r="D790" s="41"/>
      <c r="E790" s="23"/>
      <c r="F790" s="40" t="str">
        <f ca="1">IFERROR(__xludf.DUMMYFUNCTION("""COMPUTED_VALUE"""),"Lisandro Russian")</f>
        <v>Lisandro Russian</v>
      </c>
      <c r="G790" s="40" t="str">
        <f ca="1">IFERROR(__xludf.DUMMYFUNCTION("""COMPUTED_VALUE"""),"LRM")</f>
        <v>LRM</v>
      </c>
      <c r="H790" s="40" t="str">
        <f ca="1">IFERROR(__xludf.DUMMYFUNCTION("""COMPUTED_VALUE"""),"LRM209")</f>
        <v>LRM209</v>
      </c>
      <c r="I790" s="40" t="str">
        <f ca="1">IFERROR(__xludf.DUMMYFUNCTION("""COMPUTED_VALUE"""),"A")</f>
        <v>A</v>
      </c>
      <c r="J790" s="40" t="str">
        <f ca="1">IFERROR(__xludf.DUMMYFUNCTION("""COMPUTED_VALUE"""),"Marta Del Nido")</f>
        <v>Marta Del Nido</v>
      </c>
      <c r="K790" s="40"/>
      <c r="L790" s="40" t="str">
        <f t="shared" ca="1" si="6"/>
        <v>LRM209</v>
      </c>
      <c r="M790" s="36" t="str">
        <f t="shared" ca="1" si="7"/>
        <v>LRM</v>
      </c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</row>
    <row r="791" spans="1:27">
      <c r="A791" s="40"/>
      <c r="B791" s="36"/>
      <c r="C791" s="40"/>
      <c r="D791" s="41"/>
      <c r="E791" s="40"/>
      <c r="F791" s="40" t="str">
        <f ca="1">IFERROR(__xludf.DUMMYFUNCTION("""COMPUTED_VALUE"""),"Alberto Moreno")</f>
        <v>Alberto Moreno</v>
      </c>
      <c r="G791" s="40" t="str">
        <f ca="1">IFERROR(__xludf.DUMMYFUNCTION("""COMPUTED_VALUE"""),"AMM")</f>
        <v>AMM</v>
      </c>
      <c r="H791" s="40" t="str">
        <f ca="1">IFERROR(__xludf.DUMMYFUNCTION("""COMPUTED_VALUE"""),"AMM21")</f>
        <v>AMM21</v>
      </c>
      <c r="I791" s="40" t="str">
        <f ca="1">IFERROR(__xludf.DUMMYFUNCTION("""COMPUTED_VALUE"""),"A")</f>
        <v>A</v>
      </c>
      <c r="J791" s="40" t="str">
        <f ca="1">IFERROR(__xludf.DUMMYFUNCTION("""COMPUTED_VALUE"""),"Marta Fernández Míguez")</f>
        <v>Marta Fernández Míguez</v>
      </c>
      <c r="K791" s="40"/>
      <c r="L791" s="40" t="str">
        <f t="shared" ca="1" si="6"/>
        <v>AMM21</v>
      </c>
      <c r="M791" s="36" t="str">
        <f t="shared" ca="1" si="7"/>
        <v>AMM</v>
      </c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</row>
    <row r="792" spans="1:27">
      <c r="A792" s="23"/>
      <c r="B792" s="36"/>
      <c r="C792" s="40"/>
      <c r="D792" s="41"/>
      <c r="E792" s="23"/>
      <c r="F792" s="40" t="str">
        <f ca="1">IFERROR(__xludf.DUMMYFUNCTION("""COMPUTED_VALUE"""),"Lisandro Russian")</f>
        <v>Lisandro Russian</v>
      </c>
      <c r="G792" s="40" t="str">
        <f ca="1">IFERROR(__xludf.DUMMYFUNCTION("""COMPUTED_VALUE"""),"LRM")</f>
        <v>LRM</v>
      </c>
      <c r="H792" s="40" t="str">
        <f ca="1">IFERROR(__xludf.DUMMYFUNCTION("""COMPUTED_VALUE"""),"LRM210")</f>
        <v>LRM210</v>
      </c>
      <c r="I792" s="40" t="str">
        <f ca="1">IFERROR(__xludf.DUMMYFUNCTION("""COMPUTED_VALUE"""),"A")</f>
        <v>A</v>
      </c>
      <c r="J792" s="40" t="str">
        <f ca="1">IFERROR(__xludf.DUMMYFUNCTION("""COMPUTED_VALUE"""),"Marta Garcia Jimenez")</f>
        <v>Marta Garcia Jimenez</v>
      </c>
      <c r="K792" s="40"/>
      <c r="L792" s="40" t="str">
        <f t="shared" ca="1" si="6"/>
        <v>LRM210</v>
      </c>
      <c r="M792" s="36" t="str">
        <f t="shared" ca="1" si="7"/>
        <v>LRM</v>
      </c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</row>
    <row r="793" spans="1:27">
      <c r="A793" s="40"/>
      <c r="B793" s="36"/>
      <c r="C793" s="40"/>
      <c r="D793" s="41"/>
      <c r="E793" s="40"/>
      <c r="F793" s="40" t="str">
        <f ca="1">IFERROR(__xludf.DUMMYFUNCTION("""COMPUTED_VALUE"""),"Lisandro Russian")</f>
        <v>Lisandro Russian</v>
      </c>
      <c r="G793" s="40" t="str">
        <f ca="1">IFERROR(__xludf.DUMMYFUNCTION("""COMPUTED_VALUE"""),"LRM")</f>
        <v>LRM</v>
      </c>
      <c r="H793" s="40" t="str">
        <f ca="1">IFERROR(__xludf.DUMMYFUNCTION("""COMPUTED_VALUE"""),"LRM253")</f>
        <v>LRM253</v>
      </c>
      <c r="I793" s="40" t="str">
        <f ca="1">IFERROR(__xludf.DUMMYFUNCTION("""COMPUTED_VALUE"""),"A")</f>
        <v>A</v>
      </c>
      <c r="J793" s="40" t="str">
        <f ca="1">IFERROR(__xludf.DUMMYFUNCTION("""COMPUTED_VALUE"""),"Marta García Jiménez")</f>
        <v>Marta García Jiménez</v>
      </c>
      <c r="K793" s="40"/>
      <c r="L793" s="40" t="str">
        <f t="shared" ca="1" si="6"/>
        <v>LRM253</v>
      </c>
      <c r="M793" s="36" t="str">
        <f t="shared" ca="1" si="7"/>
        <v>LRM</v>
      </c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</row>
    <row r="794" spans="1:27">
      <c r="A794" s="40"/>
      <c r="B794" s="36"/>
      <c r="C794" s="40"/>
      <c r="D794" s="41"/>
      <c r="E794" s="40"/>
      <c r="F794" s="40" t="str">
        <f ca="1">IFERROR(__xludf.DUMMYFUNCTION("""COMPUTED_VALUE"""),"Lisandro Russian")</f>
        <v>Lisandro Russian</v>
      </c>
      <c r="G794" s="40" t="str">
        <f ca="1">IFERROR(__xludf.DUMMYFUNCTION("""COMPUTED_VALUE"""),"LRM")</f>
        <v>LRM</v>
      </c>
      <c r="H794" s="40" t="str">
        <f ca="1">IFERROR(__xludf.DUMMYFUNCTION("""COMPUTED_VALUE"""),"LRM211")</f>
        <v>LRM211</v>
      </c>
      <c r="I794" s="40" t="str">
        <f ca="1">IFERROR(__xludf.DUMMYFUNCTION("""COMPUTED_VALUE"""),"A")</f>
        <v>A</v>
      </c>
      <c r="J794" s="40" t="str">
        <f ca="1">IFERROR(__xludf.DUMMYFUNCTION("""COMPUTED_VALUE"""),"Marta García Pila")</f>
        <v>Marta García Pila</v>
      </c>
      <c r="K794" s="40"/>
      <c r="L794" s="40" t="str">
        <f t="shared" ca="1" si="6"/>
        <v>LRM211</v>
      </c>
      <c r="M794" s="36" t="str">
        <f t="shared" ca="1" si="7"/>
        <v>LRM</v>
      </c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</row>
    <row r="795" spans="1:27">
      <c r="A795" s="40"/>
      <c r="B795" s="36"/>
      <c r="C795" s="40"/>
      <c r="D795" s="41"/>
      <c r="E795" s="40"/>
      <c r="F795" s="40" t="str">
        <f ca="1">IFERROR(__xludf.DUMMYFUNCTION("""COMPUTED_VALUE"""),"Lisandro Russian")</f>
        <v>Lisandro Russian</v>
      </c>
      <c r="G795" s="40" t="str">
        <f ca="1">IFERROR(__xludf.DUMMYFUNCTION("""COMPUTED_VALUE"""),"LRM")</f>
        <v>LRM</v>
      </c>
      <c r="H795" s="40" t="str">
        <f ca="1">IFERROR(__xludf.DUMMYFUNCTION("""COMPUTED_VALUE"""),"LRM212")</f>
        <v>LRM212</v>
      </c>
      <c r="I795" s="40" t="str">
        <f ca="1">IFERROR(__xludf.DUMMYFUNCTION("""COMPUTED_VALUE"""),"A")</f>
        <v>A</v>
      </c>
      <c r="J795" s="40" t="str">
        <f ca="1">IFERROR(__xludf.DUMMYFUNCTION("""COMPUTED_VALUE"""),"Marta Lasierra Fondevilla")</f>
        <v>Marta Lasierra Fondevilla</v>
      </c>
      <c r="K795" s="40"/>
      <c r="L795" s="40" t="str">
        <f t="shared" ca="1" si="6"/>
        <v>LRM212</v>
      </c>
      <c r="M795" s="36" t="str">
        <f t="shared" ca="1" si="7"/>
        <v>LRM</v>
      </c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</row>
    <row r="796" spans="1:27">
      <c r="A796" s="40"/>
      <c r="B796" s="36"/>
      <c r="C796" s="40"/>
      <c r="D796" s="41"/>
      <c r="E796" s="40"/>
      <c r="F796" s="40" t="str">
        <f ca="1">IFERROR(__xludf.DUMMYFUNCTION("""COMPUTED_VALUE"""),"Lisandro Russian")</f>
        <v>Lisandro Russian</v>
      </c>
      <c r="G796" s="40" t="str">
        <f ca="1">IFERROR(__xludf.DUMMYFUNCTION("""COMPUTED_VALUE"""),"LRM")</f>
        <v>LRM</v>
      </c>
      <c r="H796" s="40" t="str">
        <f ca="1">IFERROR(__xludf.DUMMYFUNCTION("""COMPUTED_VALUE"""),"LRM213")</f>
        <v>LRM213</v>
      </c>
      <c r="I796" s="40" t="str">
        <f ca="1">IFERROR(__xludf.DUMMYFUNCTION("""COMPUTED_VALUE"""),"A")</f>
        <v>A</v>
      </c>
      <c r="J796" s="40" t="str">
        <f ca="1">IFERROR(__xludf.DUMMYFUNCTION("""COMPUTED_VALUE"""),"Marta Maroto De Pablo")</f>
        <v>Marta Maroto De Pablo</v>
      </c>
      <c r="K796" s="40"/>
      <c r="L796" s="40" t="str">
        <f t="shared" ca="1" si="6"/>
        <v>LRM213</v>
      </c>
      <c r="M796" s="36" t="str">
        <f t="shared" ca="1" si="7"/>
        <v>LRM</v>
      </c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</row>
    <row r="797" spans="1:27">
      <c r="A797" s="40"/>
      <c r="B797" s="36"/>
      <c r="C797" s="40"/>
      <c r="D797" s="41"/>
      <c r="E797" s="40"/>
      <c r="F797" s="40" t="str">
        <f ca="1">IFERROR(__xludf.DUMMYFUNCTION("""COMPUTED_VALUE"""),"Mercè Cabrera")</f>
        <v>Mercè Cabrera</v>
      </c>
      <c r="G797" s="40" t="str">
        <f ca="1">IFERROR(__xludf.DUMMYFUNCTION("""COMPUTED_VALUE"""),"MCC")</f>
        <v>MCC</v>
      </c>
      <c r="H797" s="40" t="str">
        <f ca="1">IFERROR(__xludf.DUMMYFUNCTION("""COMPUTED_VALUE"""),"MCC50")</f>
        <v>MCC50</v>
      </c>
      <c r="I797" s="40" t="str">
        <f ca="1">IFERROR(__xludf.DUMMYFUNCTION("""COMPUTED_VALUE"""),"A")</f>
        <v>A</v>
      </c>
      <c r="J797" s="40" t="str">
        <f ca="1">IFERROR(__xludf.DUMMYFUNCTION("""COMPUTED_VALUE"""),"Marta Mesalles Ruiz")</f>
        <v>Marta Mesalles Ruiz</v>
      </c>
      <c r="K797" s="40"/>
      <c r="L797" s="40" t="str">
        <f t="shared" ca="1" si="6"/>
        <v>MCC50</v>
      </c>
      <c r="M797" s="36" t="str">
        <f t="shared" ca="1" si="7"/>
        <v>MCC</v>
      </c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</row>
    <row r="798" spans="1:27">
      <c r="A798" s="40"/>
      <c r="B798" s="36"/>
      <c r="C798" s="40"/>
      <c r="D798" s="41"/>
      <c r="E798" s="40"/>
      <c r="F798" s="40" t="str">
        <f ca="1">IFERROR(__xludf.DUMMYFUNCTION("""COMPUTED_VALUE"""),"Maika Blázquez")</f>
        <v>Maika Blázquez</v>
      </c>
      <c r="G798" s="40" t="str">
        <f ca="1">IFERROR(__xludf.DUMMYFUNCTION("""COMPUTED_VALUE"""),"MBM")</f>
        <v>MBM</v>
      </c>
      <c r="H798" s="40" t="str">
        <f ca="1">IFERROR(__xludf.DUMMYFUNCTION("""COMPUTED_VALUE"""),"MBM158")</f>
        <v>MBM158</v>
      </c>
      <c r="I798" s="40" t="str">
        <f ca="1">IFERROR(__xludf.DUMMYFUNCTION("""COMPUTED_VALUE"""),"A")</f>
        <v>A</v>
      </c>
      <c r="J798" s="40" t="str">
        <f ca="1">IFERROR(__xludf.DUMMYFUNCTION("""COMPUTED_VALUE"""),"Marta Morato Galán")</f>
        <v>Marta Morato Galán</v>
      </c>
      <c r="K798" s="40"/>
      <c r="L798" s="40" t="str">
        <f t="shared" ca="1" si="6"/>
        <v>MBM158</v>
      </c>
      <c r="M798" s="36" t="str">
        <f t="shared" ca="1" si="7"/>
        <v>MBM</v>
      </c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</row>
    <row r="799" spans="1:27">
      <c r="A799" s="40"/>
      <c r="B799" s="36"/>
      <c r="C799" s="40"/>
      <c r="D799" s="41"/>
      <c r="E799" s="40"/>
      <c r="F799" s="40" t="str">
        <f ca="1">IFERROR(__xludf.DUMMYFUNCTION("""COMPUTED_VALUE"""),"Roberto Pereira")</f>
        <v>Roberto Pereira</v>
      </c>
      <c r="G799" s="40" t="str">
        <f ca="1">IFERROR(__xludf.DUMMYFUNCTION("""COMPUTED_VALUE"""),"RPG")</f>
        <v>RPG</v>
      </c>
      <c r="H799" s="40" t="str">
        <f ca="1">IFERROR(__xludf.DUMMYFUNCTION("""COMPUTED_VALUE"""),"RPG61")</f>
        <v>RPG61</v>
      </c>
      <c r="I799" s="40" t="str">
        <f ca="1">IFERROR(__xludf.DUMMYFUNCTION("""COMPUTED_VALUE"""),"A")</f>
        <v>A</v>
      </c>
      <c r="J799" s="40" t="str">
        <f ca="1">IFERROR(__xludf.DUMMYFUNCTION("""COMPUTED_VALUE"""),"Marta Paulos Novoa")</f>
        <v>Marta Paulos Novoa</v>
      </c>
      <c r="K799" s="40"/>
      <c r="L799" s="40" t="str">
        <f t="shared" ca="1" si="6"/>
        <v>RPG61</v>
      </c>
      <c r="M799" s="36" t="str">
        <f t="shared" ca="1" si="7"/>
        <v>RPG</v>
      </c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</row>
    <row r="800" spans="1:27">
      <c r="A800" s="40"/>
      <c r="B800" s="36"/>
      <c r="C800" s="40"/>
      <c r="D800" s="41"/>
      <c r="E800" s="40"/>
      <c r="F800" s="40" t="str">
        <f ca="1">IFERROR(__xludf.DUMMYFUNCTION("""COMPUTED_VALUE"""),"Mercè Cabrera")</f>
        <v>Mercè Cabrera</v>
      </c>
      <c r="G800" s="40" t="str">
        <f ca="1">IFERROR(__xludf.DUMMYFUNCTION("""COMPUTED_VALUE"""),"MCC")</f>
        <v>MCC</v>
      </c>
      <c r="H800" s="40" t="str">
        <f ca="1">IFERROR(__xludf.DUMMYFUNCTION("""COMPUTED_VALUE"""),"MCC51")</f>
        <v>MCC51</v>
      </c>
      <c r="I800" s="40" t="str">
        <f ca="1">IFERROR(__xludf.DUMMYFUNCTION("""COMPUTED_VALUE"""),"A")</f>
        <v>A</v>
      </c>
      <c r="J800" s="40" t="str">
        <f ca="1">IFERROR(__xludf.DUMMYFUNCTION("""COMPUTED_VALUE"""),"Marta Sandoval Puig")</f>
        <v>Marta Sandoval Puig</v>
      </c>
      <c r="K800" s="40"/>
      <c r="L800" s="40" t="str">
        <f t="shared" ca="1" si="6"/>
        <v>MCC51</v>
      </c>
      <c r="M800" s="36" t="str">
        <f t="shared" ca="1" si="7"/>
        <v>MCC</v>
      </c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</row>
    <row r="801" spans="1:27">
      <c r="A801" s="40"/>
      <c r="B801" s="36"/>
      <c r="C801" s="40"/>
      <c r="D801" s="41"/>
      <c r="E801" s="40"/>
      <c r="F801" s="40" t="str">
        <f ca="1">IFERROR(__xludf.DUMMYFUNCTION("""COMPUTED_VALUE"""),"Mercè Cabrera")</f>
        <v>Mercè Cabrera</v>
      </c>
      <c r="G801" s="40" t="str">
        <f ca="1">IFERROR(__xludf.DUMMYFUNCTION("""COMPUTED_VALUE"""),"MCC")</f>
        <v>MCC</v>
      </c>
      <c r="H801" s="40" t="str">
        <f ca="1">IFERROR(__xludf.DUMMYFUNCTION("""COMPUTED_VALUE"""),"MCC52")</f>
        <v>MCC52</v>
      </c>
      <c r="I801" s="40" t="str">
        <f ca="1">IFERROR(__xludf.DUMMYFUNCTION("""COMPUTED_VALUE"""),"A")</f>
        <v>A</v>
      </c>
      <c r="J801" s="40" t="str">
        <f ca="1">IFERROR(__xludf.DUMMYFUNCTION("""COMPUTED_VALUE"""),"Marta Sanz Rodríguez")</f>
        <v>Marta Sanz Rodríguez</v>
      </c>
      <c r="K801" s="40"/>
      <c r="L801" s="40" t="str">
        <f t="shared" ca="1" si="6"/>
        <v>MCC52</v>
      </c>
      <c r="M801" s="36" t="str">
        <f t="shared" ca="1" si="7"/>
        <v>MCC</v>
      </c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</row>
    <row r="802" spans="1:27">
      <c r="A802" s="40"/>
      <c r="B802" s="36"/>
      <c r="C802" s="40"/>
      <c r="D802" s="41"/>
      <c r="E802" s="40"/>
      <c r="F802" s="40" t="str">
        <f ca="1">IFERROR(__xludf.DUMMYFUNCTION("""COMPUTED_VALUE"""),"Ramon Ferrando")</f>
        <v>Ramon Ferrando</v>
      </c>
      <c r="G802" s="40" t="str">
        <f ca="1">IFERROR(__xludf.DUMMYFUNCTION("""COMPUTED_VALUE"""),"RFV")</f>
        <v>RFV</v>
      </c>
      <c r="H802" s="40" t="str">
        <f ca="1">IFERROR(__xludf.DUMMYFUNCTION("""COMPUTED_VALUE"""),"RFV50")</f>
        <v>RFV50</v>
      </c>
      <c r="I802" s="40" t="str">
        <f ca="1">IFERROR(__xludf.DUMMYFUNCTION("""COMPUTED_VALUE"""),"B")</f>
        <v>B</v>
      </c>
      <c r="J802" s="40" t="str">
        <f ca="1">IFERROR(__xludf.DUMMYFUNCTION("""COMPUTED_VALUE"""),"Marta Valenzuela Gras")</f>
        <v>Marta Valenzuela Gras</v>
      </c>
      <c r="K802" s="40"/>
      <c r="L802" s="40" t="str">
        <f t="shared" ca="1" si="6"/>
        <v>RFV50</v>
      </c>
      <c r="M802" s="36" t="str">
        <f t="shared" ca="1" si="7"/>
        <v>RFV</v>
      </c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</row>
    <row r="803" spans="1:27">
      <c r="A803" s="40"/>
      <c r="B803" s="36"/>
      <c r="C803" s="23"/>
      <c r="D803" s="38"/>
      <c r="E803" s="23"/>
      <c r="F803" s="40" t="str">
        <f ca="1">IFERROR(__xludf.DUMMYFUNCTION("""COMPUTED_VALUE"""),"Alberto Moreno")</f>
        <v>Alberto Moreno</v>
      </c>
      <c r="G803" s="40" t="str">
        <f ca="1">IFERROR(__xludf.DUMMYFUNCTION("""COMPUTED_VALUE"""),"AMM")</f>
        <v>AMM</v>
      </c>
      <c r="H803" s="40" t="str">
        <f ca="1">IFERROR(__xludf.DUMMYFUNCTION("""COMPUTED_VALUE"""),"AMM17")</f>
        <v>AMM17</v>
      </c>
      <c r="I803" s="40" t="str">
        <f ca="1">IFERROR(__xludf.DUMMYFUNCTION("""COMPUTED_VALUE"""),"A")</f>
        <v>A</v>
      </c>
      <c r="J803" s="40" t="str">
        <f ca="1">IFERROR(__xludf.DUMMYFUNCTION("""COMPUTED_VALUE"""),"Marta Zabaleta López")</f>
        <v>Marta Zabaleta López</v>
      </c>
      <c r="K803" s="40"/>
      <c r="L803" s="40" t="str">
        <f t="shared" ca="1" si="6"/>
        <v>AMM17</v>
      </c>
      <c r="M803" s="36" t="str">
        <f t="shared" ca="1" si="7"/>
        <v>AMM</v>
      </c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</row>
    <row r="804" spans="1:27">
      <c r="A804" s="40"/>
      <c r="B804" s="36"/>
      <c r="C804" s="40"/>
      <c r="D804" s="41"/>
      <c r="E804" s="40"/>
      <c r="F804" s="40" t="str">
        <f ca="1">IFERROR(__xludf.DUMMYFUNCTION("""COMPUTED_VALUE"""),"Ramon Ferrando")</f>
        <v>Ramon Ferrando</v>
      </c>
      <c r="G804" s="40" t="str">
        <f ca="1">IFERROR(__xludf.DUMMYFUNCTION("""COMPUTED_VALUE"""),"RFV")</f>
        <v>RFV</v>
      </c>
      <c r="H804" s="40" t="str">
        <f ca="1">IFERROR(__xludf.DUMMYFUNCTION("""COMPUTED_VALUE"""),"RFV22")</f>
        <v>RFV22</v>
      </c>
      <c r="I804" s="40" t="str">
        <f ca="1">IFERROR(__xludf.DUMMYFUNCTION("""COMPUTED_VALUE"""),"B")</f>
        <v>B</v>
      </c>
      <c r="J804" s="40" t="str">
        <f ca="1">IFERROR(__xludf.DUMMYFUNCTION("""COMPUTED_VALUE"""),"Martín Eduardo Marcano Acuña")</f>
        <v>Martín Eduardo Marcano Acuña</v>
      </c>
      <c r="K804" s="40"/>
      <c r="L804" s="40" t="str">
        <f t="shared" ca="1" si="6"/>
        <v>RFV22</v>
      </c>
      <c r="M804" s="36" t="str">
        <f t="shared" ca="1" si="7"/>
        <v>RFV</v>
      </c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</row>
    <row r="805" spans="1:27">
      <c r="A805" s="40"/>
      <c r="B805" s="36"/>
      <c r="C805" s="40"/>
      <c r="D805" s="41"/>
      <c r="E805" s="40"/>
      <c r="F805" s="40" t="str">
        <f ca="1">IFERROR(__xludf.DUMMYFUNCTION("""COMPUTED_VALUE"""),"Iván Sánchez")</f>
        <v>Iván Sánchez</v>
      </c>
      <c r="G805" s="40" t="str">
        <f ca="1">IFERROR(__xludf.DUMMYFUNCTION("""COMPUTED_VALUE"""),"ISL")</f>
        <v>ISL</v>
      </c>
      <c r="H805" s="40" t="str">
        <f ca="1">IFERROR(__xludf.DUMMYFUNCTION("""COMPUTED_VALUE"""),"ISL69")</f>
        <v>ISL69</v>
      </c>
      <c r="I805" s="40" t="str">
        <f ca="1">IFERROR(__xludf.DUMMYFUNCTION("""COMPUTED_VALUE"""),"B")</f>
        <v>B</v>
      </c>
      <c r="J805" s="40" t="str">
        <f ca="1">IFERROR(__xludf.DUMMYFUNCTION("""COMPUTED_VALUE"""),"Martín Zelada Trigoso")</f>
        <v>Martín Zelada Trigoso</v>
      </c>
      <c r="K805" s="40"/>
      <c r="L805" s="40" t="str">
        <f t="shared" ca="1" si="6"/>
        <v>ISL69</v>
      </c>
      <c r="M805" s="36" t="str">
        <f t="shared" ca="1" si="7"/>
        <v>ISL</v>
      </c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</row>
    <row r="806" spans="1:27">
      <c r="A806" s="40"/>
      <c r="B806" s="36"/>
      <c r="C806" s="40"/>
      <c r="D806" s="41"/>
      <c r="E806" s="40"/>
      <c r="F806" s="40" t="str">
        <f ca="1">IFERROR(__xludf.DUMMYFUNCTION("""COMPUTED_VALUE"""),"Iván Sánchez")</f>
        <v>Iván Sánchez</v>
      </c>
      <c r="G806" s="40" t="str">
        <f ca="1">IFERROR(__xludf.DUMMYFUNCTION("""COMPUTED_VALUE"""),"ISL")</f>
        <v>ISL</v>
      </c>
      <c r="H806" s="40" t="str">
        <f ca="1">IFERROR(__xludf.DUMMYFUNCTION("""COMPUTED_VALUE"""),"ISL70")</f>
        <v>ISL70</v>
      </c>
      <c r="I806" s="40" t="str">
        <f ca="1">IFERROR(__xludf.DUMMYFUNCTION("""COMPUTED_VALUE"""),"B")</f>
        <v>B</v>
      </c>
      <c r="J806" s="40" t="str">
        <f ca="1">IFERROR(__xludf.DUMMYFUNCTION("""COMPUTED_VALUE"""),"Mateo Jáñez Moral")</f>
        <v>Mateo Jáñez Moral</v>
      </c>
      <c r="K806" s="40"/>
      <c r="L806" s="40" t="str">
        <f t="shared" ca="1" si="6"/>
        <v>ISL70</v>
      </c>
      <c r="M806" s="36" t="str">
        <f t="shared" ca="1" si="7"/>
        <v>ISL</v>
      </c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</row>
    <row r="807" spans="1:27">
      <c r="A807" s="40"/>
      <c r="B807" s="36"/>
      <c r="C807" s="40"/>
      <c r="D807" s="41"/>
      <c r="E807" s="40"/>
      <c r="F807" s="40" t="str">
        <f ca="1">IFERROR(__xludf.DUMMYFUNCTION("""COMPUTED_VALUE"""),"Iván Sánchez")</f>
        <v>Iván Sánchez</v>
      </c>
      <c r="G807" s="40" t="str">
        <f ca="1">IFERROR(__xludf.DUMMYFUNCTION("""COMPUTED_VALUE"""),"ISL")</f>
        <v>ISL</v>
      </c>
      <c r="H807" s="40" t="str">
        <f ca="1">IFERROR(__xludf.DUMMYFUNCTION("""COMPUTED_VALUE"""),"ISL71")</f>
        <v>ISL71</v>
      </c>
      <c r="I807" s="40" t="str">
        <f ca="1">IFERROR(__xludf.DUMMYFUNCTION("""COMPUTED_VALUE"""),"B")</f>
        <v>B</v>
      </c>
      <c r="J807" s="40" t="str">
        <f ca="1">IFERROR(__xludf.DUMMYFUNCTION("""COMPUTED_VALUE"""),"Máximo Rafael García Rodríguez")</f>
        <v>Máximo Rafael García Rodríguez</v>
      </c>
      <c r="K807" s="40"/>
      <c r="L807" s="40" t="str">
        <f t="shared" ca="1" si="6"/>
        <v>ISL71</v>
      </c>
      <c r="M807" s="36" t="str">
        <f t="shared" ca="1" si="7"/>
        <v>ISL</v>
      </c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</row>
    <row r="808" spans="1:27">
      <c r="A808" s="40"/>
      <c r="B808" s="36"/>
      <c r="C808" s="40"/>
      <c r="D808" s="41"/>
      <c r="E808" s="40"/>
      <c r="F808" s="40" t="str">
        <f ca="1">IFERROR(__xludf.DUMMYFUNCTION("""COMPUTED_VALUE"""),"Lisandro Russian")</f>
        <v>Lisandro Russian</v>
      </c>
      <c r="G808" s="40" t="str">
        <f ca="1">IFERROR(__xludf.DUMMYFUNCTION("""COMPUTED_VALUE"""),"LRM")</f>
        <v>LRM</v>
      </c>
      <c r="H808" s="40" t="str">
        <f ca="1">IFERROR(__xludf.DUMMYFUNCTION("""COMPUTED_VALUE"""),"LRM214")</f>
        <v>LRM214</v>
      </c>
      <c r="I808" s="40" t="str">
        <f ca="1">IFERROR(__xludf.DUMMYFUNCTION("""COMPUTED_VALUE"""),"A")</f>
        <v>A</v>
      </c>
      <c r="J808" s="40" t="str">
        <f ca="1">IFERROR(__xludf.DUMMYFUNCTION("""COMPUTED_VALUE"""),"Mayte Pinilla Urraca")</f>
        <v>Mayte Pinilla Urraca</v>
      </c>
      <c r="K808" s="40"/>
      <c r="L808" s="40" t="str">
        <f t="shared" ca="1" si="6"/>
        <v>LRM214</v>
      </c>
      <c r="M808" s="36" t="str">
        <f t="shared" ca="1" si="7"/>
        <v>LRM</v>
      </c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</row>
    <row r="809" spans="1:27">
      <c r="A809" s="40"/>
      <c r="B809" s="36"/>
      <c r="C809" s="40"/>
      <c r="D809" s="41"/>
      <c r="E809" s="40"/>
      <c r="F809" s="40" t="str">
        <f ca="1">IFERROR(__xludf.DUMMYFUNCTION("""COMPUTED_VALUE"""),"Roberto Pereira")</f>
        <v>Roberto Pereira</v>
      </c>
      <c r="G809" s="40" t="str">
        <f ca="1">IFERROR(__xludf.DUMMYFUNCTION("""COMPUTED_VALUE"""),"RPG")</f>
        <v>RPG</v>
      </c>
      <c r="H809" s="40" t="str">
        <f ca="1">IFERROR(__xludf.DUMMYFUNCTION("""COMPUTED_VALUE"""),"RPG52")</f>
        <v>RPG52</v>
      </c>
      <c r="I809" s="40" t="str">
        <f ca="1">IFERROR(__xludf.DUMMYFUNCTION("""COMPUTED_VALUE"""),"A")</f>
        <v>A</v>
      </c>
      <c r="J809" s="40" t="str">
        <f ca="1">IFERROR(__xludf.DUMMYFUNCTION("""COMPUTED_VALUE"""),"Mercedes Álvarez-Buylla Blanco")</f>
        <v>Mercedes Álvarez-Buylla Blanco</v>
      </c>
      <c r="K809" s="40"/>
      <c r="L809" s="40" t="str">
        <f t="shared" ca="1" si="6"/>
        <v>RPG52</v>
      </c>
      <c r="M809" s="36" t="str">
        <f t="shared" ca="1" si="7"/>
        <v>RPG</v>
      </c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</row>
    <row r="810" spans="1:27">
      <c r="A810" s="40"/>
      <c r="B810" s="36"/>
      <c r="C810" s="40"/>
      <c r="D810" s="38"/>
      <c r="E810" s="40"/>
      <c r="F810" s="40" t="str">
        <f ca="1">IFERROR(__xludf.DUMMYFUNCTION("""COMPUTED_VALUE"""),"Luis Alberto Rodríguez")</f>
        <v>Luis Alberto Rodríguez</v>
      </c>
      <c r="G810" s="40" t="str">
        <f ca="1">IFERROR(__xludf.DUMMYFUNCTION("""COMPUTED_VALUE"""),"LAA")</f>
        <v>LAA</v>
      </c>
      <c r="H810" s="40" t="str">
        <f ca="1">IFERROR(__xludf.DUMMYFUNCTION("""COMPUTED_VALUE"""),"LAA77")</f>
        <v>LAA77</v>
      </c>
      <c r="I810" s="40" t="str">
        <f ca="1">IFERROR(__xludf.DUMMYFUNCTION("""COMPUTED_VALUE"""),"C")</f>
        <v>C</v>
      </c>
      <c r="J810" s="40" t="str">
        <f ca="1">IFERROR(__xludf.DUMMYFUNCTION("""COMPUTED_VALUE"""),"Mercedes Ceballos Cauto")</f>
        <v>Mercedes Ceballos Cauto</v>
      </c>
      <c r="K810" s="40"/>
      <c r="L810" s="40" t="str">
        <f t="shared" ca="1" si="6"/>
        <v>LAA77</v>
      </c>
      <c r="M810" s="36" t="str">
        <f t="shared" ca="1" si="7"/>
        <v>LAA</v>
      </c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</row>
    <row r="811" spans="1:27">
      <c r="A811" s="40"/>
      <c r="B811" s="36"/>
      <c r="C811" s="40"/>
      <c r="D811" s="41"/>
      <c r="E811" s="40"/>
      <c r="F811" s="40" t="str">
        <f ca="1">IFERROR(__xludf.DUMMYFUNCTION("""COMPUTED_VALUE"""),"Lisandro Russian")</f>
        <v>Lisandro Russian</v>
      </c>
      <c r="G811" s="40" t="str">
        <f ca="1">IFERROR(__xludf.DUMMYFUNCTION("""COMPUTED_VALUE"""),"LRM")</f>
        <v>LRM</v>
      </c>
      <c r="H811" s="40" t="str">
        <f ca="1">IFERROR(__xludf.DUMMYFUNCTION("""COMPUTED_VALUE"""),"LRM215")</f>
        <v>LRM215</v>
      </c>
      <c r="I811" s="40" t="str">
        <f ca="1">IFERROR(__xludf.DUMMYFUNCTION("""COMPUTED_VALUE"""),"A")</f>
        <v>A</v>
      </c>
      <c r="J811" s="40" t="str">
        <f ca="1">IFERROR(__xludf.DUMMYFUNCTION("""COMPUTED_VALUE"""),"Mercedes Menayo Antunez")</f>
        <v>Mercedes Menayo Antunez</v>
      </c>
      <c r="K811" s="40"/>
      <c r="L811" s="40" t="str">
        <f t="shared" ca="1" si="6"/>
        <v>LRM215</v>
      </c>
      <c r="M811" s="36" t="str">
        <f t="shared" ca="1" si="7"/>
        <v>LRM</v>
      </c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</row>
    <row r="812" spans="1:27">
      <c r="A812" s="40"/>
      <c r="B812" s="36"/>
      <c r="C812" s="40"/>
      <c r="D812" s="41"/>
      <c r="E812" s="40"/>
      <c r="F812" s="40" t="str">
        <f ca="1">IFERROR(__xludf.DUMMYFUNCTION("""COMPUTED_VALUE"""),"Lisandro Russian")</f>
        <v>Lisandro Russian</v>
      </c>
      <c r="G812" s="40" t="str">
        <f ca="1">IFERROR(__xludf.DUMMYFUNCTION("""COMPUTED_VALUE"""),"LRM")</f>
        <v>LRM</v>
      </c>
      <c r="H812" s="40" t="str">
        <f ca="1">IFERROR(__xludf.DUMMYFUNCTION("""COMPUTED_VALUE"""),"LRM104")</f>
        <v>LRM104</v>
      </c>
      <c r="I812" s="40" t="str">
        <f ca="1">IFERROR(__xludf.DUMMYFUNCTION("""COMPUTED_VALUE"""),"A")</f>
        <v>A</v>
      </c>
      <c r="J812" s="40" t="str">
        <f ca="1">IFERROR(__xludf.DUMMYFUNCTION("""COMPUTED_VALUE"""),"Michal Kochan")</f>
        <v>Michal Kochan</v>
      </c>
      <c r="K812" s="40"/>
      <c r="L812" s="40" t="str">
        <f t="shared" ca="1" si="6"/>
        <v>LRM104</v>
      </c>
      <c r="M812" s="36" t="str">
        <f t="shared" ca="1" si="7"/>
        <v>LRM</v>
      </c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</row>
    <row r="813" spans="1:27">
      <c r="A813" s="40"/>
      <c r="B813" s="36"/>
      <c r="C813" s="23"/>
      <c r="D813" s="41"/>
      <c r="E813" s="40"/>
      <c r="F813" s="40" t="str">
        <f ca="1">IFERROR(__xludf.DUMMYFUNCTION("""COMPUTED_VALUE"""),"Luis Alberto Rodríguez")</f>
        <v>Luis Alberto Rodríguez</v>
      </c>
      <c r="G813" s="40" t="str">
        <f ca="1">IFERROR(__xludf.DUMMYFUNCTION("""COMPUTED_VALUE"""),"LAA")</f>
        <v>LAA</v>
      </c>
      <c r="H813" s="40" t="str">
        <f ca="1">IFERROR(__xludf.DUMMYFUNCTION("""COMPUTED_VALUE"""),"LAA34")</f>
        <v>LAA34</v>
      </c>
      <c r="I813" s="40" t="str">
        <f ca="1">IFERROR(__xludf.DUMMYFUNCTION("""COMPUTED_VALUE"""),"C")</f>
        <v>C</v>
      </c>
      <c r="J813" s="40" t="str">
        <f ca="1">IFERROR(__xludf.DUMMYFUNCTION("""COMPUTED_VALUE"""),"Miguel Alberto Rodríguez Pérez")</f>
        <v>Miguel Alberto Rodríguez Pérez</v>
      </c>
      <c r="K813" s="40"/>
      <c r="L813" s="40" t="str">
        <f t="shared" ca="1" si="6"/>
        <v>LAA34</v>
      </c>
      <c r="M813" s="36" t="str">
        <f t="shared" ca="1" si="7"/>
        <v>LAA</v>
      </c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</row>
    <row r="814" spans="1:27">
      <c r="A814" s="40"/>
      <c r="B814" s="36"/>
      <c r="C814" s="40"/>
      <c r="D814" s="41"/>
      <c r="E814" s="40"/>
      <c r="F814" s="40" t="str">
        <f ca="1">IFERROR(__xludf.DUMMYFUNCTION("""COMPUTED_VALUE"""),"Lisandro Russian")</f>
        <v>Lisandro Russian</v>
      </c>
      <c r="G814" s="40" t="str">
        <f ca="1">IFERROR(__xludf.DUMMYFUNCTION("""COMPUTED_VALUE"""),"LRM")</f>
        <v>LRM</v>
      </c>
      <c r="H814" s="40" t="str">
        <f ca="1">IFERROR(__xludf.DUMMYFUNCTION("""COMPUTED_VALUE"""),"LRM105")</f>
        <v>LRM105</v>
      </c>
      <c r="I814" s="40" t="str">
        <f ca="1">IFERROR(__xludf.DUMMYFUNCTION("""COMPUTED_VALUE"""),"A")</f>
        <v>A</v>
      </c>
      <c r="J814" s="40" t="str">
        <f ca="1">IFERROR(__xludf.DUMMYFUNCTION("""COMPUTED_VALUE"""),"Miguel Ángel Escobar Martínez")</f>
        <v>Miguel Ángel Escobar Martínez</v>
      </c>
      <c r="K814" s="40"/>
      <c r="L814" s="40" t="str">
        <f t="shared" ca="1" si="6"/>
        <v>LRM105</v>
      </c>
      <c r="M814" s="36" t="str">
        <f t="shared" ca="1" si="7"/>
        <v>LRM</v>
      </c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</row>
    <row r="815" spans="1:27">
      <c r="A815" s="40"/>
      <c r="B815" s="36"/>
      <c r="C815" s="40"/>
      <c r="D815" s="41"/>
      <c r="E815" s="40"/>
      <c r="F815" s="40" t="str">
        <f ca="1">IFERROR(__xludf.DUMMYFUNCTION("""COMPUTED_VALUE"""),"Lisandro Russian")</f>
        <v>Lisandro Russian</v>
      </c>
      <c r="G815" s="40" t="str">
        <f ca="1">IFERROR(__xludf.DUMMYFUNCTION("""COMPUTED_VALUE"""),"LRM")</f>
        <v>LRM</v>
      </c>
      <c r="H815" s="40" t="str">
        <f ca="1">IFERROR(__xludf.DUMMYFUNCTION("""COMPUTED_VALUE"""),"LRM106")</f>
        <v>LRM106</v>
      </c>
      <c r="I815" s="40" t="str">
        <f ca="1">IFERROR(__xludf.DUMMYFUNCTION("""COMPUTED_VALUE"""),"A")</f>
        <v>A</v>
      </c>
      <c r="J815" s="40" t="str">
        <f ca="1">IFERROR(__xludf.DUMMYFUNCTION("""COMPUTED_VALUE"""),"Miguel Angel García Bonet")</f>
        <v>Miguel Angel García Bonet</v>
      </c>
      <c r="K815" s="40"/>
      <c r="L815" s="40" t="str">
        <f t="shared" ca="1" si="6"/>
        <v>LRM106</v>
      </c>
      <c r="M815" s="36" t="str">
        <f t="shared" ca="1" si="7"/>
        <v>LRM</v>
      </c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</row>
    <row r="816" spans="1:27">
      <c r="A816" s="23"/>
      <c r="B816" s="36"/>
      <c r="C816" s="40"/>
      <c r="D816" s="38"/>
      <c r="E816" s="23"/>
      <c r="F816" s="40" t="str">
        <f ca="1">IFERROR(__xludf.DUMMYFUNCTION("""COMPUTED_VALUE"""),"Lisandro Russian")</f>
        <v>Lisandro Russian</v>
      </c>
      <c r="G816" s="40" t="str">
        <f ca="1">IFERROR(__xludf.DUMMYFUNCTION("""COMPUTED_VALUE"""),"LRM")</f>
        <v>LRM</v>
      </c>
      <c r="H816" s="40" t="str">
        <f ca="1">IFERROR(__xludf.DUMMYFUNCTION("""COMPUTED_VALUE"""),"LRM107")</f>
        <v>LRM107</v>
      </c>
      <c r="I816" s="40" t="str">
        <f ca="1">IFERROR(__xludf.DUMMYFUNCTION("""COMPUTED_VALUE"""),"A")</f>
        <v>A</v>
      </c>
      <c r="J816" s="40" t="str">
        <f ca="1">IFERROR(__xludf.DUMMYFUNCTION("""COMPUTED_VALUE"""),"Miguel Ángel Gracia Nogueras")</f>
        <v>Miguel Ángel Gracia Nogueras</v>
      </c>
      <c r="K816" s="40"/>
      <c r="L816" s="40" t="str">
        <f t="shared" ca="1" si="6"/>
        <v>LRM107</v>
      </c>
      <c r="M816" s="36" t="str">
        <f t="shared" ca="1" si="7"/>
        <v>LRM</v>
      </c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</row>
    <row r="817" spans="1:27">
      <c r="A817" s="40"/>
      <c r="B817" s="36"/>
      <c r="C817" s="40"/>
      <c r="D817" s="41"/>
      <c r="E817" s="23"/>
      <c r="F817" s="40" t="str">
        <f ca="1">IFERROR(__xludf.DUMMYFUNCTION("""COMPUTED_VALUE"""),"Luis Alberto Rodríguez")</f>
        <v>Luis Alberto Rodríguez</v>
      </c>
      <c r="G817" s="40" t="str">
        <f ca="1">IFERROR(__xludf.DUMMYFUNCTION("""COMPUTED_VALUE"""),"LAA")</f>
        <v>LAA</v>
      </c>
      <c r="H817" s="40" t="str">
        <f ca="1">IFERROR(__xludf.DUMMYFUNCTION("""COMPUTED_VALUE"""),"LAA35")</f>
        <v>LAA35</v>
      </c>
      <c r="I817" s="40" t="str">
        <f ca="1">IFERROR(__xludf.DUMMYFUNCTION("""COMPUTED_VALUE"""),"C")</f>
        <v>C</v>
      </c>
      <c r="J817" s="40" t="str">
        <f ca="1">IFERROR(__xludf.DUMMYFUNCTION("""COMPUTED_VALUE"""),"Miguel Antonio Shepherd González")</f>
        <v>Miguel Antonio Shepherd González</v>
      </c>
      <c r="K817" s="40"/>
      <c r="L817" s="40" t="str">
        <f t="shared" ca="1" si="6"/>
        <v>LAA35</v>
      </c>
      <c r="M817" s="36" t="str">
        <f t="shared" ca="1" si="7"/>
        <v>LAA</v>
      </c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</row>
    <row r="818" spans="1:27">
      <c r="A818" s="40"/>
      <c r="B818" s="36"/>
      <c r="C818" s="40"/>
      <c r="D818" s="41"/>
      <c r="E818" s="40"/>
      <c r="F818" s="40" t="str">
        <f ca="1">IFERROR(__xludf.DUMMYFUNCTION("""COMPUTED_VALUE"""),"Iván Sánchez")</f>
        <v>Iván Sánchez</v>
      </c>
      <c r="G818" s="40" t="str">
        <f ca="1">IFERROR(__xludf.DUMMYFUNCTION("""COMPUTED_VALUE"""),"ISL")</f>
        <v>ISL</v>
      </c>
      <c r="H818" s="40" t="str">
        <f ca="1">IFERROR(__xludf.DUMMYFUNCTION("""COMPUTED_VALUE"""),"ISL72")</f>
        <v>ISL72</v>
      </c>
      <c r="I818" s="40" t="str">
        <f ca="1">IFERROR(__xludf.DUMMYFUNCTION("""COMPUTED_VALUE"""),"B")</f>
        <v>B</v>
      </c>
      <c r="J818" s="40" t="str">
        <f ca="1">IFERROR(__xludf.DUMMYFUNCTION("""COMPUTED_VALUE"""),"Miguel Esparcía Navarro")</f>
        <v>Miguel Esparcía Navarro</v>
      </c>
      <c r="K818" s="40"/>
      <c r="L818" s="40" t="str">
        <f t="shared" ca="1" si="6"/>
        <v>ISL72</v>
      </c>
      <c r="M818" s="36" t="str">
        <f t="shared" ca="1" si="7"/>
        <v>ISL</v>
      </c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</row>
    <row r="819" spans="1:27">
      <c r="A819" s="23"/>
      <c r="B819" s="36"/>
      <c r="C819" s="23"/>
      <c r="D819" s="41"/>
      <c r="E819" s="40"/>
      <c r="F819" s="40" t="str">
        <f ca="1">IFERROR(__xludf.DUMMYFUNCTION("""COMPUTED_VALUE"""),"Mercè Cabrera")</f>
        <v>Mercè Cabrera</v>
      </c>
      <c r="G819" s="40" t="str">
        <f ca="1">IFERROR(__xludf.DUMMYFUNCTION("""COMPUTED_VALUE"""),"MCC")</f>
        <v>MCC</v>
      </c>
      <c r="H819" s="40" t="str">
        <f ca="1">IFERROR(__xludf.DUMMYFUNCTION("""COMPUTED_VALUE"""),"MCC61")</f>
        <v>MCC61</v>
      </c>
      <c r="I819" s="40" t="str">
        <f ca="1">IFERROR(__xludf.DUMMYFUNCTION("""COMPUTED_VALUE"""),"A")</f>
        <v>A</v>
      </c>
      <c r="J819" s="40" t="str">
        <f ca="1">IFERROR(__xludf.DUMMYFUNCTION("""COMPUTED_VALUE"""),"Miguel F, Garcia Wagner")</f>
        <v>Miguel F, Garcia Wagner</v>
      </c>
      <c r="K819" s="40"/>
      <c r="L819" s="40" t="str">
        <f t="shared" ca="1" si="6"/>
        <v>MCC61</v>
      </c>
      <c r="M819" s="36" t="str">
        <f t="shared" ca="1" si="7"/>
        <v>MCC</v>
      </c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</row>
    <row r="820" spans="1:27">
      <c r="A820" s="40"/>
      <c r="B820" s="36"/>
      <c r="C820" s="40"/>
      <c r="D820" s="41"/>
      <c r="E820" s="40"/>
      <c r="F820" s="40" t="str">
        <f ca="1">IFERROR(__xludf.DUMMYFUNCTION("""COMPUTED_VALUE"""),"Lisandro Russian")</f>
        <v>Lisandro Russian</v>
      </c>
      <c r="G820" s="40" t="str">
        <f ca="1">IFERROR(__xludf.DUMMYFUNCTION("""COMPUTED_VALUE"""),"LRM")</f>
        <v>LRM</v>
      </c>
      <c r="H820" s="40" t="str">
        <f ca="1">IFERROR(__xludf.DUMMYFUNCTION("""COMPUTED_VALUE"""),"LRM261")</f>
        <v>LRM261</v>
      </c>
      <c r="I820" s="40" t="str">
        <f ca="1">IFERROR(__xludf.DUMMYFUNCTION("""COMPUTED_VALUE"""),"A")</f>
        <v>A</v>
      </c>
      <c r="J820" s="40" t="str">
        <f ca="1">IFERROR(__xludf.DUMMYFUNCTION("""COMPUTED_VALUE"""),"Miguel Garikoitz Calzada Uriondo")</f>
        <v>Miguel Garikoitz Calzada Uriondo</v>
      </c>
      <c r="K820" s="40"/>
      <c r="L820" s="40" t="str">
        <f t="shared" ca="1" si="6"/>
        <v>LRM261</v>
      </c>
      <c r="M820" s="36" t="str">
        <f t="shared" ca="1" si="7"/>
        <v>LRM</v>
      </c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</row>
    <row r="821" spans="1:27">
      <c r="A821" s="40"/>
      <c r="B821" s="36"/>
      <c r="C821" s="40"/>
      <c r="D821" s="41"/>
      <c r="E821" s="40"/>
      <c r="F821" s="40" t="str">
        <f ca="1">IFERROR(__xludf.DUMMYFUNCTION("""COMPUTED_VALUE"""),"Iván Sánchez")</f>
        <v>Iván Sánchez</v>
      </c>
      <c r="G821" s="40" t="str">
        <f ca="1">IFERROR(__xludf.DUMMYFUNCTION("""COMPUTED_VALUE"""),"ISL")</f>
        <v>ISL</v>
      </c>
      <c r="H821" s="40" t="str">
        <f ca="1">IFERROR(__xludf.DUMMYFUNCTION("""COMPUTED_VALUE"""),"ISL147")</f>
        <v>ISL147</v>
      </c>
      <c r="I821" s="40" t="str">
        <f ca="1">IFERROR(__xludf.DUMMYFUNCTION("""COMPUTED_VALUE"""),"B")</f>
        <v>B</v>
      </c>
      <c r="J821" s="40" t="str">
        <f ca="1">IFERROR(__xludf.DUMMYFUNCTION("""COMPUTED_VALUE"""),"Miguel Lucas Herrera")</f>
        <v>Miguel Lucas Herrera</v>
      </c>
      <c r="K821" s="40"/>
      <c r="L821" s="40" t="str">
        <f t="shared" ca="1" si="6"/>
        <v>ISL147</v>
      </c>
      <c r="M821" s="36" t="str">
        <f t="shared" ca="1" si="7"/>
        <v>ISL</v>
      </c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</row>
    <row r="822" spans="1:27">
      <c r="A822" s="40"/>
      <c r="B822" s="36"/>
      <c r="C822" s="40"/>
      <c r="D822" s="41"/>
      <c r="E822" s="40"/>
      <c r="F822" s="40" t="str">
        <f ca="1">IFERROR(__xludf.DUMMYFUNCTION("""COMPUTED_VALUE"""),"Roberto Pereira")</f>
        <v>Roberto Pereira</v>
      </c>
      <c r="G822" s="40" t="str">
        <f ca="1">IFERROR(__xludf.DUMMYFUNCTION("""COMPUTED_VALUE"""),"RPG")</f>
        <v>RPG</v>
      </c>
      <c r="H822" s="40" t="str">
        <f ca="1">IFERROR(__xludf.DUMMYFUNCTION("""COMPUTED_VALUE"""),"RPG28")</f>
        <v>RPG28</v>
      </c>
      <c r="I822" s="40" t="str">
        <f ca="1">IFERROR(__xludf.DUMMYFUNCTION("""COMPUTED_VALUE"""),"A")</f>
        <v>A</v>
      </c>
      <c r="J822" s="40" t="str">
        <f ca="1">IFERROR(__xludf.DUMMYFUNCTION("""COMPUTED_VALUE"""),"Miguel Mayo Yáñez")</f>
        <v>Miguel Mayo Yáñez</v>
      </c>
      <c r="K822" s="40"/>
      <c r="L822" s="40" t="str">
        <f t="shared" ca="1" si="6"/>
        <v>RPG28</v>
      </c>
      <c r="M822" s="36" t="str">
        <f t="shared" ca="1" si="7"/>
        <v>RPG</v>
      </c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</row>
    <row r="823" spans="1:27">
      <c r="A823" s="40"/>
      <c r="B823" s="36"/>
      <c r="C823" s="40"/>
      <c r="D823" s="41"/>
      <c r="E823" s="40"/>
      <c r="F823" s="40" t="str">
        <f ca="1">IFERROR(__xludf.DUMMYFUNCTION("""COMPUTED_VALUE"""),"Luis Alberto Rodríguez")</f>
        <v>Luis Alberto Rodríguez</v>
      </c>
      <c r="G823" s="40" t="str">
        <f ca="1">IFERROR(__xludf.DUMMYFUNCTION("""COMPUTED_VALUE"""),"LAA")</f>
        <v>LAA</v>
      </c>
      <c r="H823" s="40" t="str">
        <f ca="1">IFERROR(__xludf.DUMMYFUNCTION("""COMPUTED_VALUE"""),"LAA36")</f>
        <v>LAA36</v>
      </c>
      <c r="I823" s="40" t="str">
        <f ca="1">IFERROR(__xludf.DUMMYFUNCTION("""COMPUTED_VALUE"""),"C")</f>
        <v>C</v>
      </c>
      <c r="J823" s="40" t="str">
        <f ca="1">IFERROR(__xludf.DUMMYFUNCTION("""COMPUTED_VALUE"""),"Miguel Olivencia Pérez")</f>
        <v>Miguel Olivencia Pérez</v>
      </c>
      <c r="K823" s="40"/>
      <c r="L823" s="40" t="str">
        <f t="shared" ca="1" si="6"/>
        <v>LAA36</v>
      </c>
      <c r="M823" s="36" t="str">
        <f t="shared" ca="1" si="7"/>
        <v>LAA</v>
      </c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</row>
    <row r="824" spans="1:27">
      <c r="A824" s="40"/>
      <c r="B824" s="36"/>
      <c r="C824" s="23"/>
      <c r="D824" s="41"/>
      <c r="E824" s="23"/>
      <c r="F824" s="40" t="str">
        <f ca="1">IFERROR(__xludf.DUMMYFUNCTION("""COMPUTED_VALUE"""),"Iván Sánchez")</f>
        <v>Iván Sánchez</v>
      </c>
      <c r="G824" s="40" t="str">
        <f ca="1">IFERROR(__xludf.DUMMYFUNCTION("""COMPUTED_VALUE"""),"ISL")</f>
        <v>ISL</v>
      </c>
      <c r="H824" s="40" t="str">
        <f ca="1">IFERROR(__xludf.DUMMYFUNCTION("""COMPUTED_VALUE"""),"ISL73")</f>
        <v>ISL73</v>
      </c>
      <c r="I824" s="40" t="str">
        <f ca="1">IFERROR(__xludf.DUMMYFUNCTION("""COMPUTED_VALUE"""),"B")</f>
        <v>B</v>
      </c>
      <c r="J824" s="40" t="str">
        <f ca="1">IFERROR(__xludf.DUMMYFUNCTION("""COMPUTED_VALUE"""),"Miguel Orts Alborch")</f>
        <v>Miguel Orts Alborch</v>
      </c>
      <c r="K824" s="40"/>
      <c r="L824" s="40" t="str">
        <f t="shared" ca="1" si="6"/>
        <v>ISL73</v>
      </c>
      <c r="M824" s="36" t="str">
        <f t="shared" ca="1" si="7"/>
        <v>ISL</v>
      </c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</row>
    <row r="825" spans="1:27">
      <c r="A825" s="40"/>
      <c r="B825" s="36"/>
      <c r="C825" s="40"/>
      <c r="D825" s="41"/>
      <c r="E825" s="40"/>
      <c r="F825" s="40" t="str">
        <f ca="1">IFERROR(__xludf.DUMMYFUNCTION("""COMPUTED_VALUE"""),"Luis Alberto Rodríguez")</f>
        <v>Luis Alberto Rodríguez</v>
      </c>
      <c r="G825" s="40" t="str">
        <f ca="1">IFERROR(__xludf.DUMMYFUNCTION("""COMPUTED_VALUE"""),"LAA")</f>
        <v>LAA</v>
      </c>
      <c r="H825" s="40" t="str">
        <f ca="1">IFERROR(__xludf.DUMMYFUNCTION("""COMPUTED_VALUE"""),"LAA37")</f>
        <v>LAA37</v>
      </c>
      <c r="I825" s="40" t="str">
        <f ca="1">IFERROR(__xludf.DUMMYFUNCTION("""COMPUTED_VALUE"""),"C")</f>
        <v>C</v>
      </c>
      <c r="J825" s="40" t="str">
        <f ca="1">IFERROR(__xludf.DUMMYFUNCTION("""COMPUTED_VALUE"""),"Miguel Rodriguez Pérez")</f>
        <v>Miguel Rodriguez Pérez</v>
      </c>
      <c r="K825" s="40"/>
      <c r="L825" s="40" t="str">
        <f t="shared" ca="1" si="6"/>
        <v>LAA37</v>
      </c>
      <c r="M825" s="36" t="str">
        <f t="shared" ca="1" si="7"/>
        <v>LAA</v>
      </c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</row>
    <row r="826" spans="1:27">
      <c r="A826" s="40"/>
      <c r="B826" s="36"/>
      <c r="C826" s="40"/>
      <c r="D826" s="41"/>
      <c r="E826" s="40"/>
      <c r="F826" s="40" t="str">
        <f ca="1">IFERROR(__xludf.DUMMYFUNCTION("""COMPUTED_VALUE"""),"Maika Blázquez")</f>
        <v>Maika Blázquez</v>
      </c>
      <c r="G826" s="40" t="str">
        <f ca="1">IFERROR(__xludf.DUMMYFUNCTION("""COMPUTED_VALUE"""),"MBM")</f>
        <v>MBM</v>
      </c>
      <c r="H826" s="40" t="str">
        <f ca="1">IFERROR(__xludf.DUMMYFUNCTION("""COMPUTED_VALUE"""),"MBM67")</f>
        <v>MBM67</v>
      </c>
      <c r="I826" s="40" t="str">
        <f ca="1">IFERROR(__xludf.DUMMYFUNCTION("""COMPUTED_VALUE"""),"A")</f>
        <v>A</v>
      </c>
      <c r="J826" s="40" t="str">
        <f ca="1">IFERROR(__xludf.DUMMYFUNCTION("""COMPUTED_VALUE"""),"Miguel Vaca Encinas")</f>
        <v>Miguel Vaca Encinas</v>
      </c>
      <c r="K826" s="40"/>
      <c r="L826" s="40" t="str">
        <f t="shared" ca="1" si="6"/>
        <v>MBM67</v>
      </c>
      <c r="M826" s="36" t="str">
        <f t="shared" ca="1" si="7"/>
        <v>MBM</v>
      </c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</row>
    <row r="827" spans="1:27">
      <c r="A827" s="40"/>
      <c r="B827" s="36"/>
      <c r="C827" s="40"/>
      <c r="D827" s="41"/>
      <c r="E827" s="40"/>
      <c r="F827" s="40" t="str">
        <f ca="1">IFERROR(__xludf.DUMMYFUNCTION("""COMPUTED_VALUE"""),"Maika Blázquez")</f>
        <v>Maika Blázquez</v>
      </c>
      <c r="G827" s="40" t="str">
        <f ca="1">IFERROR(__xludf.DUMMYFUNCTION("""COMPUTED_VALUE"""),"MBM")</f>
        <v>MBM</v>
      </c>
      <c r="H827" s="40" t="str">
        <f ca="1">IFERROR(__xludf.DUMMYFUNCTION("""COMPUTED_VALUE"""),"MBM68")</f>
        <v>MBM68</v>
      </c>
      <c r="I827" s="40" t="str">
        <f ca="1">IFERROR(__xludf.DUMMYFUNCTION("""COMPUTED_VALUE"""),"A")</f>
        <v>A</v>
      </c>
      <c r="J827" s="40" t="str">
        <f ca="1">IFERROR(__xludf.DUMMYFUNCTION("""COMPUTED_VALUE"""),"Miguel Vaca González")</f>
        <v>Miguel Vaca González</v>
      </c>
      <c r="K827" s="40"/>
      <c r="L827" s="40" t="str">
        <f t="shared" ca="1" si="6"/>
        <v>MBM68</v>
      </c>
      <c r="M827" s="36" t="str">
        <f t="shared" ca="1" si="7"/>
        <v>MBM</v>
      </c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</row>
    <row r="828" spans="1:27">
      <c r="F828" s="40" t="str">
        <f ca="1">IFERROR(__xludf.DUMMYFUNCTION("""COMPUTED_VALUE"""),"Patricia Solache")</f>
        <v>Patricia Solache</v>
      </c>
      <c r="G828" s="40" t="str">
        <f ca="1">IFERROR(__xludf.DUMMYFUNCTION("""COMPUTED_VALUE"""),"PSC")</f>
        <v>PSC</v>
      </c>
      <c r="H828" s="40" t="str">
        <f ca="1">IFERROR(__xludf.DUMMYFUNCTION("""COMPUTED_VALUE"""),"PSC46")</f>
        <v>PSC46</v>
      </c>
      <c r="I828" s="40" t="str">
        <f ca="1">IFERROR(__xludf.DUMMYFUNCTION("""COMPUTED_VALUE"""),"A")</f>
        <v>A</v>
      </c>
      <c r="J828" s="40" t="str">
        <f ca="1">IFERROR(__xludf.DUMMYFUNCTION("""COMPUTED_VALUE"""),"Milagros Marcos Ordoñez")</f>
        <v>Milagros Marcos Ordoñez</v>
      </c>
      <c r="K828" s="40"/>
      <c r="L828" s="40" t="str">
        <f t="shared" ca="1" si="6"/>
        <v>PSC46</v>
      </c>
      <c r="M828" s="36" t="str">
        <f t="shared" ca="1" si="7"/>
        <v>PSC</v>
      </c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</row>
    <row r="829" spans="1:27">
      <c r="A829" s="40"/>
      <c r="B829" s="36"/>
      <c r="C829" s="40"/>
      <c r="D829" s="41"/>
      <c r="E829" s="40"/>
      <c r="F829" s="40" t="str">
        <f ca="1">IFERROR(__xludf.DUMMYFUNCTION("""COMPUTED_VALUE"""),"Mercè Cabrera")</f>
        <v>Mercè Cabrera</v>
      </c>
      <c r="G829" s="40" t="str">
        <f ca="1">IFERROR(__xludf.DUMMYFUNCTION("""COMPUTED_VALUE"""),"MCC")</f>
        <v>MCC</v>
      </c>
      <c r="H829" s="40" t="str">
        <f ca="1">IFERROR(__xludf.DUMMYFUNCTION("""COMPUTED_VALUE"""),"MCC27")</f>
        <v>MCC27</v>
      </c>
      <c r="I829" s="40" t="str">
        <f ca="1">IFERROR(__xludf.DUMMYFUNCTION("""COMPUTED_VALUE"""),"A")</f>
        <v>A</v>
      </c>
      <c r="J829" s="40" t="str">
        <f ca="1">IFERROR(__xludf.DUMMYFUNCTION("""COMPUTED_VALUE"""),"Miquel Guirao Cano")</f>
        <v>Miquel Guirao Cano</v>
      </c>
      <c r="K829" s="40"/>
      <c r="L829" s="40" t="str">
        <f t="shared" ca="1" si="6"/>
        <v>MCC27</v>
      </c>
      <c r="M829" s="36" t="str">
        <f t="shared" ca="1" si="7"/>
        <v>MCC</v>
      </c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</row>
    <row r="830" spans="1:27">
      <c r="A830" s="40"/>
      <c r="B830" s="36"/>
      <c r="C830" s="40"/>
      <c r="D830" s="41"/>
      <c r="E830" s="40"/>
      <c r="F830" s="40" t="str">
        <f ca="1">IFERROR(__xludf.DUMMYFUNCTION("""COMPUTED_VALUE"""),"Lisandro Russian")</f>
        <v>Lisandro Russian</v>
      </c>
      <c r="G830" s="40" t="str">
        <f ca="1">IFERROR(__xludf.DUMMYFUNCTION("""COMPUTED_VALUE"""),"LRM")</f>
        <v>LRM</v>
      </c>
      <c r="H830" s="40" t="str">
        <f ca="1">IFERROR(__xludf.DUMMYFUNCTION("""COMPUTED_VALUE"""),"LRM217")</f>
        <v>LRM217</v>
      </c>
      <c r="I830" s="40" t="str">
        <f ca="1">IFERROR(__xludf.DUMMYFUNCTION("""COMPUTED_VALUE"""),"A")</f>
        <v>A</v>
      </c>
      <c r="J830" s="40" t="str">
        <f ca="1">IFERROR(__xludf.DUMMYFUNCTION("""COMPUTED_VALUE"""),"Mireia Bonet loscertales")</f>
        <v>Mireia Bonet loscertales</v>
      </c>
      <c r="K830" s="40"/>
      <c r="L830" s="40" t="str">
        <f t="shared" ca="1" si="6"/>
        <v>LRM217</v>
      </c>
      <c r="M830" s="36" t="str">
        <f t="shared" ca="1" si="7"/>
        <v>LRM</v>
      </c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</row>
    <row r="831" spans="1:27">
      <c r="A831" s="40"/>
      <c r="B831" s="36"/>
      <c r="C831" s="40"/>
      <c r="D831" s="41"/>
      <c r="E831" s="40"/>
      <c r="F831" s="40" t="str">
        <f ca="1">IFERROR(__xludf.DUMMYFUNCTION("""COMPUTED_VALUE"""),"Mercè Cabrera")</f>
        <v>Mercè Cabrera</v>
      </c>
      <c r="G831" s="40" t="str">
        <f ca="1">IFERROR(__xludf.DUMMYFUNCTION("""COMPUTED_VALUE"""),"MCC")</f>
        <v>MCC</v>
      </c>
      <c r="H831" s="40" t="str">
        <f ca="1">IFERROR(__xludf.DUMMYFUNCTION("""COMPUTED_VALUE"""),"MCC53")</f>
        <v>MCC53</v>
      </c>
      <c r="I831" s="40" t="str">
        <f ca="1">IFERROR(__xludf.DUMMYFUNCTION("""COMPUTED_VALUE"""),"A")</f>
        <v>A</v>
      </c>
      <c r="J831" s="40" t="str">
        <f ca="1">IFERROR(__xludf.DUMMYFUNCTION("""COMPUTED_VALUE"""),"Mireia Golet Fors")</f>
        <v>Mireia Golet Fors</v>
      </c>
      <c r="K831" s="40"/>
      <c r="L831" s="40" t="str">
        <f t="shared" ca="1" si="6"/>
        <v>MCC53</v>
      </c>
      <c r="M831" s="36" t="str">
        <f t="shared" ca="1" si="7"/>
        <v>MCC</v>
      </c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</row>
    <row r="832" spans="1:27">
      <c r="A832" s="40"/>
      <c r="B832" s="36"/>
      <c r="C832" s="40"/>
      <c r="D832" s="41"/>
      <c r="E832" s="40"/>
      <c r="F832" s="40" t="str">
        <f ca="1">IFERROR(__xludf.DUMMYFUNCTION("""COMPUTED_VALUE"""),"Lisandro Russian")</f>
        <v>Lisandro Russian</v>
      </c>
      <c r="G832" s="40" t="str">
        <f ca="1">IFERROR(__xludf.DUMMYFUNCTION("""COMPUTED_VALUE"""),"LRM")</f>
        <v>LRM</v>
      </c>
      <c r="H832" s="40" t="str">
        <f ca="1">IFERROR(__xludf.DUMMYFUNCTION("""COMPUTED_VALUE"""),"LRM218")</f>
        <v>LRM218</v>
      </c>
      <c r="I832" s="40" t="str">
        <f ca="1">IFERROR(__xludf.DUMMYFUNCTION("""COMPUTED_VALUE"""),"A")</f>
        <v>A</v>
      </c>
      <c r="J832" s="40" t="str">
        <f ca="1">IFERROR(__xludf.DUMMYFUNCTION("""COMPUTED_VALUE"""),"Mireya Bonet Loscertales")</f>
        <v>Mireya Bonet Loscertales</v>
      </c>
      <c r="K832" s="40"/>
      <c r="L832" s="40" t="str">
        <f t="shared" ca="1" si="6"/>
        <v>LRM218</v>
      </c>
      <c r="M832" s="36" t="str">
        <f t="shared" ca="1" si="7"/>
        <v>LRM</v>
      </c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</row>
    <row r="833" spans="1:27">
      <c r="A833" s="40"/>
      <c r="B833" s="36"/>
      <c r="C833" s="40"/>
      <c r="D833" s="41"/>
      <c r="E833" s="40"/>
      <c r="F833" s="40" t="str">
        <f ca="1">IFERROR(__xludf.DUMMYFUNCTION("""COMPUTED_VALUE"""),"Lisandro Russian")</f>
        <v>Lisandro Russian</v>
      </c>
      <c r="G833" s="40" t="str">
        <f ca="1">IFERROR(__xludf.DUMMYFUNCTION("""COMPUTED_VALUE"""),"LRM")</f>
        <v>LRM</v>
      </c>
      <c r="H833" s="40" t="str">
        <f ca="1">IFERROR(__xludf.DUMMYFUNCTION("""COMPUTED_VALUE"""),"LRM219")</f>
        <v>LRM219</v>
      </c>
      <c r="I833" s="40" t="str">
        <f ca="1">IFERROR(__xludf.DUMMYFUNCTION("""COMPUTED_VALUE"""),"A")</f>
        <v>A</v>
      </c>
      <c r="J833" s="40" t="str">
        <f ca="1">IFERROR(__xludf.DUMMYFUNCTION("""COMPUTED_VALUE"""),"Miriam García Lerma")</f>
        <v>Miriam García Lerma</v>
      </c>
      <c r="K833" s="40"/>
      <c r="L833" s="40" t="str">
        <f t="shared" ca="1" si="6"/>
        <v>LRM219</v>
      </c>
      <c r="M833" s="36" t="str">
        <f t="shared" ca="1" si="7"/>
        <v>LRM</v>
      </c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</row>
    <row r="834" spans="1:27">
      <c r="A834" s="40"/>
      <c r="B834" s="36"/>
      <c r="C834" s="40"/>
      <c r="D834" s="41"/>
      <c r="E834" s="40"/>
      <c r="F834" s="40" t="str">
        <f ca="1">IFERROR(__xludf.DUMMYFUNCTION("""COMPUTED_VALUE"""),"Luis Alberto Rodríguez")</f>
        <v>Luis Alberto Rodríguez</v>
      </c>
      <c r="G834" s="40" t="str">
        <f ca="1">IFERROR(__xludf.DUMMYFUNCTION("""COMPUTED_VALUE"""),"LAA")</f>
        <v>LAA</v>
      </c>
      <c r="H834" s="40" t="str">
        <f ca="1">IFERROR(__xludf.DUMMYFUNCTION("""COMPUTED_VALUE"""),"LAA88")</f>
        <v>LAA88</v>
      </c>
      <c r="I834" s="40" t="str">
        <f ca="1">IFERROR(__xludf.DUMMYFUNCTION("""COMPUTED_VALUE"""),"C")</f>
        <v>C</v>
      </c>
      <c r="J834" s="40" t="str">
        <f ca="1">IFERROR(__xludf.DUMMYFUNCTION("""COMPUTED_VALUE"""),"Miriam González García")</f>
        <v>Miriam González García</v>
      </c>
      <c r="K834" s="40"/>
      <c r="L834" s="40" t="str">
        <f t="shared" ca="1" si="6"/>
        <v>LAA88</v>
      </c>
      <c r="M834" s="36" t="str">
        <f t="shared" ca="1" si="7"/>
        <v>LAA</v>
      </c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</row>
    <row r="835" spans="1:27">
      <c r="A835" s="40"/>
      <c r="B835" s="36"/>
      <c r="C835" s="40"/>
      <c r="D835" s="41"/>
      <c r="E835" s="40"/>
      <c r="F835" s="40" t="str">
        <f ca="1">IFERROR(__xludf.DUMMYFUNCTION("""COMPUTED_VALUE"""),"Mercè Cabrera")</f>
        <v>Mercè Cabrera</v>
      </c>
      <c r="G835" s="40" t="str">
        <f ca="1">IFERROR(__xludf.DUMMYFUNCTION("""COMPUTED_VALUE"""),"MCC")</f>
        <v>MCC</v>
      </c>
      <c r="H835" s="40" t="str">
        <f ca="1">IFERROR(__xludf.DUMMYFUNCTION("""COMPUTED_VALUE"""),"MCC68")</f>
        <v>MCC68</v>
      </c>
      <c r="I835" s="40" t="str">
        <f ca="1">IFERROR(__xludf.DUMMYFUNCTION("""COMPUTED_VALUE"""),"A")</f>
        <v>A</v>
      </c>
      <c r="J835" s="40" t="str">
        <f ca="1">IFERROR(__xludf.DUMMYFUNCTION("""COMPUTED_VALUE"""),"Miriam Hamdham")</f>
        <v>Miriam Hamdham</v>
      </c>
      <c r="K835" s="40"/>
      <c r="L835" s="40" t="str">
        <f t="shared" ca="1" si="6"/>
        <v>MCC68</v>
      </c>
      <c r="M835" s="36" t="str">
        <f t="shared" ca="1" si="7"/>
        <v>MCC</v>
      </c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</row>
    <row r="836" spans="1:27">
      <c r="A836" s="40"/>
      <c r="B836" s="36"/>
      <c r="C836" s="40"/>
      <c r="D836" s="41"/>
      <c r="E836" s="40"/>
      <c r="F836" s="40" t="str">
        <f ca="1">IFERROR(__xludf.DUMMYFUNCTION("""COMPUTED_VALUE"""),"Mercè Cabrera")</f>
        <v>Mercè Cabrera</v>
      </c>
      <c r="G836" s="40" t="str">
        <f ca="1">IFERROR(__xludf.DUMMYFUNCTION("""COMPUTED_VALUE"""),"MCC")</f>
        <v>MCC</v>
      </c>
      <c r="H836" s="40" t="str">
        <f ca="1">IFERROR(__xludf.DUMMYFUNCTION("""COMPUTED_VALUE"""),"MCC69")</f>
        <v>MCC69</v>
      </c>
      <c r="I836" s="40" t="str">
        <f ca="1">IFERROR(__xludf.DUMMYFUNCTION("""COMPUTED_VALUE"""),"A")</f>
        <v>A</v>
      </c>
      <c r="J836" s="40" t="str">
        <f ca="1">IFERROR(__xludf.DUMMYFUNCTION("""COMPUTED_VALUE"""),"Miriam Ileana Hamdan Zavarce")</f>
        <v>Miriam Ileana Hamdan Zavarce</v>
      </c>
      <c r="K836" s="40"/>
      <c r="L836" s="40" t="str">
        <f t="shared" ca="1" si="6"/>
        <v>MCC69</v>
      </c>
      <c r="M836" s="36" t="str">
        <f t="shared" ca="1" si="7"/>
        <v>MCC</v>
      </c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</row>
    <row r="837" spans="1:27">
      <c r="A837" s="40"/>
      <c r="B837" s="36"/>
      <c r="C837" s="40"/>
      <c r="D837" s="41"/>
      <c r="E837" s="40"/>
      <c r="F837" s="40" t="str">
        <f ca="1">IFERROR(__xludf.DUMMYFUNCTION("""COMPUTED_VALUE"""),"Ramon Ferrando")</f>
        <v>Ramon Ferrando</v>
      </c>
      <c r="G837" s="40" t="str">
        <f ca="1">IFERROR(__xludf.DUMMYFUNCTION("""COMPUTED_VALUE"""),"RFV")</f>
        <v>RFV</v>
      </c>
      <c r="H837" s="40" t="str">
        <f ca="1">IFERROR(__xludf.DUMMYFUNCTION("""COMPUTED_VALUE"""),"RFV32")</f>
        <v>RFV32</v>
      </c>
      <c r="I837" s="40" t="str">
        <f ca="1">IFERROR(__xludf.DUMMYFUNCTION("""COMPUTED_VALUE"""),"B")</f>
        <v>B</v>
      </c>
      <c r="J837" s="40" t="str">
        <f ca="1">IFERROR(__xludf.DUMMYFUNCTION("""COMPUTED_VALUE"""),"Miriam Natsuki Oishi")</f>
        <v>Miriam Natsuki Oishi</v>
      </c>
      <c r="K837" s="40"/>
      <c r="L837" s="40" t="str">
        <f t="shared" ca="1" si="6"/>
        <v>RFV32</v>
      </c>
      <c r="M837" s="36" t="str">
        <f t="shared" ca="1" si="7"/>
        <v>RFV</v>
      </c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</row>
    <row r="838" spans="1:27">
      <c r="A838" s="40"/>
      <c r="B838" s="36"/>
      <c r="C838" s="40"/>
      <c r="D838" s="41"/>
      <c r="E838" s="40"/>
      <c r="F838" s="40" t="str">
        <f ca="1">IFERROR(__xludf.DUMMYFUNCTION("""COMPUTED_VALUE"""),"Roberto Pereira")</f>
        <v>Roberto Pereira</v>
      </c>
      <c r="G838" s="40" t="str">
        <f ca="1">IFERROR(__xludf.DUMMYFUNCTION("""COMPUTED_VALUE"""),"RPG")</f>
        <v>RPG</v>
      </c>
      <c r="H838" s="40" t="str">
        <f ca="1">IFERROR(__xludf.DUMMYFUNCTION("""COMPUTED_VALUE"""),"RPG29")</f>
        <v>RPG29</v>
      </c>
      <c r="I838" s="40" t="str">
        <f ca="1">IFERROR(__xludf.DUMMYFUNCTION("""COMPUTED_VALUE"""),"A")</f>
        <v>A</v>
      </c>
      <c r="J838" s="40" t="str">
        <f ca="1">IFERROR(__xludf.DUMMYFUNCTION("""COMPUTED_VALUE"""),"Mohamed Al Rifal Al Masti")</f>
        <v>Mohamed Al Rifal Al Masti</v>
      </c>
      <c r="K838" s="40"/>
      <c r="L838" s="40" t="str">
        <f t="shared" ca="1" si="6"/>
        <v>RPG29</v>
      </c>
      <c r="M838" s="36" t="str">
        <f t="shared" ca="1" si="7"/>
        <v>RPG</v>
      </c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</row>
    <row r="839" spans="1:27">
      <c r="A839" s="40"/>
      <c r="B839" s="36"/>
      <c r="C839" s="40"/>
      <c r="D839" s="41"/>
      <c r="E839" s="40"/>
      <c r="F839" s="40" t="str">
        <f ca="1">IFERROR(__xludf.DUMMYFUNCTION("""COMPUTED_VALUE"""),"Patricia Solache")</f>
        <v>Patricia Solache</v>
      </c>
      <c r="G839" s="40" t="str">
        <f ca="1">IFERROR(__xludf.DUMMYFUNCTION("""COMPUTED_VALUE"""),"PSC")</f>
        <v>PSC</v>
      </c>
      <c r="H839" s="40" t="str">
        <f ca="1">IFERROR(__xludf.DUMMYFUNCTION("""COMPUTED_VALUE"""),"PSC47")</f>
        <v>PSC47</v>
      </c>
      <c r="I839" s="40" t="str">
        <f ca="1">IFERROR(__xludf.DUMMYFUNCTION("""COMPUTED_VALUE"""),"A")</f>
        <v>A</v>
      </c>
      <c r="J839" s="40" t="str">
        <f ca="1">IFERROR(__xludf.DUMMYFUNCTION("""COMPUTED_VALUE"""),"Mónica Granda Rosales")</f>
        <v>Mónica Granda Rosales</v>
      </c>
      <c r="K839" s="40"/>
      <c r="L839" s="40" t="str">
        <f t="shared" ca="1" si="6"/>
        <v>PSC47</v>
      </c>
      <c r="M839" s="36" t="str">
        <f t="shared" ca="1" si="7"/>
        <v>PSC</v>
      </c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</row>
    <row r="840" spans="1:27">
      <c r="A840" s="40"/>
      <c r="B840" s="36"/>
      <c r="C840" s="40"/>
      <c r="D840" s="41"/>
      <c r="E840" s="40"/>
      <c r="F840" s="40" t="str">
        <f ca="1">IFERROR(__xludf.DUMMYFUNCTION("""COMPUTED_VALUE"""),"Maika Blázquez")</f>
        <v>Maika Blázquez</v>
      </c>
      <c r="G840" s="40" t="str">
        <f ca="1">IFERROR(__xludf.DUMMYFUNCTION("""COMPUTED_VALUE"""),"MBM")</f>
        <v>MBM</v>
      </c>
      <c r="H840" s="40" t="str">
        <f ca="1">IFERROR(__xludf.DUMMYFUNCTION("""COMPUTED_VALUE"""),"MBM159")</f>
        <v>MBM159</v>
      </c>
      <c r="I840" s="40" t="str">
        <f ca="1">IFERROR(__xludf.DUMMYFUNCTION("""COMPUTED_VALUE"""),"A")</f>
        <v>A</v>
      </c>
      <c r="J840" s="40" t="str">
        <f ca="1">IFERROR(__xludf.DUMMYFUNCTION("""COMPUTED_VALUE"""),"Mónica Hernando Cuñado")</f>
        <v>Mónica Hernando Cuñado</v>
      </c>
      <c r="K840" s="40"/>
      <c r="L840" s="40" t="str">
        <f t="shared" ca="1" si="6"/>
        <v>MBM159</v>
      </c>
      <c r="M840" s="36" t="str">
        <f t="shared" ca="1" si="7"/>
        <v>MBM</v>
      </c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</row>
    <row r="841" spans="1:27">
      <c r="A841" s="40"/>
      <c r="B841" s="36"/>
      <c r="C841" s="40"/>
      <c r="D841" s="41"/>
      <c r="E841" s="40"/>
      <c r="F841" s="40" t="str">
        <f ca="1">IFERROR(__xludf.DUMMYFUNCTION("""COMPUTED_VALUE"""),"Iván Sánchez")</f>
        <v>Iván Sánchez</v>
      </c>
      <c r="G841" s="40" t="str">
        <f ca="1">IFERROR(__xludf.DUMMYFUNCTION("""COMPUTED_VALUE"""),"ISL")</f>
        <v>ISL</v>
      </c>
      <c r="H841" s="40" t="str">
        <f ca="1">IFERROR(__xludf.DUMMYFUNCTION("""COMPUTED_VALUE"""),"ISL126")</f>
        <v>ISL126</v>
      </c>
      <c r="I841" s="40" t="str">
        <f ca="1">IFERROR(__xludf.DUMMYFUNCTION("""COMPUTED_VALUE"""),"B")</f>
        <v>B</v>
      </c>
      <c r="J841" s="40" t="str">
        <f ca="1">IFERROR(__xludf.DUMMYFUNCTION("""COMPUTED_VALUE"""),"Mónica Rodríguez Briceño")</f>
        <v>Mónica Rodríguez Briceño</v>
      </c>
      <c r="K841" s="40"/>
      <c r="L841" s="40" t="str">
        <f t="shared" ca="1" si="6"/>
        <v>ISL126</v>
      </c>
      <c r="M841" s="36" t="str">
        <f t="shared" ca="1" si="7"/>
        <v>ISL</v>
      </c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</row>
    <row r="842" spans="1:27">
      <c r="A842" s="40"/>
      <c r="B842" s="36"/>
      <c r="C842" s="40"/>
      <c r="D842" s="41"/>
      <c r="E842" s="40"/>
      <c r="F842" s="40" t="str">
        <f ca="1">IFERROR(__xludf.DUMMYFUNCTION("""COMPUTED_VALUE"""),"Iván Sánchez")</f>
        <v>Iván Sánchez</v>
      </c>
      <c r="G842" s="40" t="str">
        <f ca="1">IFERROR(__xludf.DUMMYFUNCTION("""COMPUTED_VALUE"""),"ISL")</f>
        <v>ISL</v>
      </c>
      <c r="H842" s="40" t="str">
        <f ca="1">IFERROR(__xludf.DUMMYFUNCTION("""COMPUTED_VALUE"""),"ISL141")</f>
        <v>ISL141</v>
      </c>
      <c r="I842" s="40" t="str">
        <f ca="1">IFERROR(__xludf.DUMMYFUNCTION("""COMPUTED_VALUE"""),"B")</f>
        <v>B</v>
      </c>
      <c r="J842" s="40" t="str">
        <f ca="1">IFERROR(__xludf.DUMMYFUNCTION("""COMPUTED_VALUE"""),"Mónica Rodríguez Valero")</f>
        <v>Mónica Rodríguez Valero</v>
      </c>
      <c r="K842" s="40"/>
      <c r="L842" s="40" t="str">
        <f t="shared" ca="1" si="6"/>
        <v>ISL141</v>
      </c>
      <c r="M842" s="36" t="str">
        <f t="shared" ca="1" si="7"/>
        <v>ISL</v>
      </c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</row>
    <row r="843" spans="1:27">
      <c r="A843" s="23"/>
      <c r="B843" s="36"/>
      <c r="C843" s="40"/>
      <c r="D843" s="38"/>
      <c r="E843" s="23"/>
      <c r="F843" s="40" t="str">
        <f ca="1">IFERROR(__xludf.DUMMYFUNCTION("""COMPUTED_VALUE"""),"Lisandro Russian")</f>
        <v>Lisandro Russian</v>
      </c>
      <c r="G843" s="40" t="str">
        <f ca="1">IFERROR(__xludf.DUMMYFUNCTION("""COMPUTED_VALUE"""),"LRM")</f>
        <v>LRM</v>
      </c>
      <c r="H843" s="40" t="str">
        <f ca="1">IFERROR(__xludf.DUMMYFUNCTION("""COMPUTED_VALUE"""),"LRM268")</f>
        <v>LRM268</v>
      </c>
      <c r="I843" s="40" t="str">
        <f ca="1">IFERROR(__xludf.DUMMYFUNCTION("""COMPUTED_VALUE"""),"A")</f>
        <v>A</v>
      </c>
      <c r="J843" s="40" t="str">
        <f ca="1">IFERROR(__xludf.DUMMYFUNCTION("""COMPUTED_VALUE"""),"Mónica Rueda Vega")</f>
        <v>Mónica Rueda Vega</v>
      </c>
      <c r="K843" s="40"/>
      <c r="L843" s="40" t="str">
        <f t="shared" ca="1" si="6"/>
        <v>LRM268</v>
      </c>
      <c r="M843" s="36" t="str">
        <f t="shared" ca="1" si="7"/>
        <v>LRM</v>
      </c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</row>
    <row r="844" spans="1:27">
      <c r="A844" s="40"/>
      <c r="B844" s="36"/>
      <c r="C844" s="40"/>
      <c r="D844" s="41"/>
      <c r="E844" s="40"/>
      <c r="F844" s="40" t="str">
        <f ca="1">IFERROR(__xludf.DUMMYFUNCTION("""COMPUTED_VALUE"""),"Maika Blázquez")</f>
        <v>Maika Blázquez</v>
      </c>
      <c r="G844" s="40" t="str">
        <f ca="1">IFERROR(__xludf.DUMMYFUNCTION("""COMPUTED_VALUE"""),"MBM")</f>
        <v>MBM</v>
      </c>
      <c r="H844" s="40" t="str">
        <f ca="1">IFERROR(__xludf.DUMMYFUNCTION("""COMPUTED_VALUE"""),"MBM160")</f>
        <v>MBM160</v>
      </c>
      <c r="I844" s="40" t="str">
        <f ca="1">IFERROR(__xludf.DUMMYFUNCTION("""COMPUTED_VALUE"""),"A")</f>
        <v>A</v>
      </c>
      <c r="J844" s="40" t="str">
        <f ca="1">IFERROR(__xludf.DUMMYFUNCTION("""COMPUTED_VALUE"""),"Montserrat Portell Soriano")</f>
        <v>Montserrat Portell Soriano</v>
      </c>
      <c r="K844" s="40"/>
      <c r="L844" s="40" t="str">
        <f t="shared" ca="1" si="6"/>
        <v>MBM160</v>
      </c>
      <c r="M844" s="36" t="str">
        <f t="shared" ca="1" si="7"/>
        <v>MBM</v>
      </c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</row>
    <row r="845" spans="1:27">
      <c r="A845" s="40"/>
      <c r="B845" s="36"/>
      <c r="C845" s="40"/>
      <c r="D845" s="41"/>
      <c r="E845" s="40"/>
      <c r="F845" s="40" t="str">
        <f ca="1">IFERROR(__xludf.DUMMYFUNCTION("""COMPUTED_VALUE"""),"Mercè Cabrera")</f>
        <v>Mercè Cabrera</v>
      </c>
      <c r="G845" s="40" t="str">
        <f ca="1">IFERROR(__xludf.DUMMYFUNCTION("""COMPUTED_VALUE"""),"MCC")</f>
        <v>MCC</v>
      </c>
      <c r="H845" s="40" t="str">
        <f ca="1">IFERROR(__xludf.DUMMYFUNCTION("""COMPUTED_VALUE"""),"MCC28")</f>
        <v>MCC28</v>
      </c>
      <c r="I845" s="40" t="str">
        <f ca="1">IFERROR(__xludf.DUMMYFUNCTION("""COMPUTED_VALUE"""),"A")</f>
        <v>A</v>
      </c>
      <c r="J845" s="40" t="str">
        <f ca="1">IFERROR(__xludf.DUMMYFUNCTION("""COMPUTED_VALUE"""),"Mustafá Kadiri")</f>
        <v>Mustafá Kadiri</v>
      </c>
      <c r="K845" s="40"/>
      <c r="L845" s="40" t="str">
        <f t="shared" ca="1" si="6"/>
        <v>MCC28</v>
      </c>
      <c r="M845" s="36" t="str">
        <f t="shared" ca="1" si="7"/>
        <v>MCC</v>
      </c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</row>
    <row r="846" spans="1:27">
      <c r="A846" s="40"/>
      <c r="B846" s="36"/>
      <c r="C846" s="40"/>
      <c r="D846" s="41"/>
      <c r="E846" s="40"/>
      <c r="F846" s="40" t="str">
        <f ca="1">IFERROR(__xludf.DUMMYFUNCTION("""COMPUTED_VALUE"""),"Lisandro Russian")</f>
        <v>Lisandro Russian</v>
      </c>
      <c r="G846" s="40" t="str">
        <f ca="1">IFERROR(__xludf.DUMMYFUNCTION("""COMPUTED_VALUE"""),"LRM")</f>
        <v>LRM</v>
      </c>
      <c r="H846" s="40" t="str">
        <f ca="1">IFERROR(__xludf.DUMMYFUNCTION("""COMPUTED_VALUE"""),"LRM220")</f>
        <v>LRM220</v>
      </c>
      <c r="I846" s="40" t="str">
        <f ca="1">IFERROR(__xludf.DUMMYFUNCTION("""COMPUTED_VALUE"""),"A")</f>
        <v>A</v>
      </c>
      <c r="J846" s="40" t="str">
        <f ca="1">IFERROR(__xludf.DUMMYFUNCTION("""COMPUTED_VALUE"""),"Natalia Gisseth Pulido Fonseca")</f>
        <v>Natalia Gisseth Pulido Fonseca</v>
      </c>
      <c r="K846" s="40"/>
      <c r="L846" s="40" t="str">
        <f t="shared" ca="1" si="6"/>
        <v>LRM220</v>
      </c>
      <c r="M846" s="36" t="str">
        <f t="shared" ca="1" si="7"/>
        <v>LRM</v>
      </c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</row>
    <row r="847" spans="1:27">
      <c r="A847" s="40"/>
      <c r="B847" s="36"/>
      <c r="C847" s="40"/>
      <c r="D847" s="41"/>
      <c r="E847" s="40"/>
      <c r="F847" s="40" t="str">
        <f ca="1">IFERROR(__xludf.DUMMYFUNCTION("""COMPUTED_VALUE"""),"Maika Blázquez")</f>
        <v>Maika Blázquez</v>
      </c>
      <c r="G847" s="40" t="str">
        <f ca="1">IFERROR(__xludf.DUMMYFUNCTION("""COMPUTED_VALUE"""),"MBM")</f>
        <v>MBM</v>
      </c>
      <c r="H847" s="40" t="str">
        <f ca="1">IFERROR(__xludf.DUMMYFUNCTION("""COMPUTED_VALUE"""),"MBM161")</f>
        <v>MBM161</v>
      </c>
      <c r="I847" s="40" t="str">
        <f ca="1">IFERROR(__xludf.DUMMYFUNCTION("""COMPUTED_VALUE"""),"A")</f>
        <v>A</v>
      </c>
      <c r="J847" s="40" t="str">
        <f ca="1">IFERROR(__xludf.DUMMYFUNCTION("""COMPUTED_VALUE"""),"Nataly Montaño Rueda")</f>
        <v>Nataly Montaño Rueda</v>
      </c>
      <c r="K847" s="40"/>
      <c r="L847" s="40" t="str">
        <f t="shared" ca="1" si="6"/>
        <v>MBM161</v>
      </c>
      <c r="M847" s="36" t="str">
        <f t="shared" ca="1" si="7"/>
        <v>MBM</v>
      </c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</row>
    <row r="848" spans="1:27">
      <c r="A848" s="40"/>
      <c r="B848" s="36"/>
      <c r="C848" s="40"/>
      <c r="D848" s="41"/>
      <c r="E848" s="40"/>
      <c r="F848" s="40" t="str">
        <f ca="1">IFERROR(__xludf.DUMMYFUNCTION("""COMPUTED_VALUE"""),"Maika Blázquez")</f>
        <v>Maika Blázquez</v>
      </c>
      <c r="G848" s="40" t="str">
        <f ca="1">IFERROR(__xludf.DUMMYFUNCTION("""COMPUTED_VALUE"""),"MBM")</f>
        <v>MBM</v>
      </c>
      <c r="H848" s="40" t="str">
        <f ca="1">IFERROR(__xludf.DUMMYFUNCTION("""COMPUTED_VALUE"""),"MBM162")</f>
        <v>MBM162</v>
      </c>
      <c r="I848" s="40" t="str">
        <f ca="1">IFERROR(__xludf.DUMMYFUNCTION("""COMPUTED_VALUE"""),"A")</f>
        <v>A</v>
      </c>
      <c r="J848" s="40" t="str">
        <f ca="1">IFERROR(__xludf.DUMMYFUNCTION("""COMPUTED_VALUE"""),"Natasha Pérez Marrero")</f>
        <v>Natasha Pérez Marrero</v>
      </c>
      <c r="K848" s="40"/>
      <c r="L848" s="40" t="str">
        <f t="shared" ca="1" si="6"/>
        <v>MBM162</v>
      </c>
      <c r="M848" s="36" t="str">
        <f t="shared" ca="1" si="7"/>
        <v>MBM</v>
      </c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</row>
    <row r="849" spans="1:27">
      <c r="A849" s="40"/>
      <c r="B849" s="36"/>
      <c r="C849" s="40"/>
      <c r="D849" s="41"/>
      <c r="E849" s="40"/>
      <c r="F849" s="40" t="str">
        <f ca="1">IFERROR(__xludf.DUMMYFUNCTION("""COMPUTED_VALUE"""),"Iván Sánchez")</f>
        <v>Iván Sánchez</v>
      </c>
      <c r="G849" s="40" t="str">
        <f ca="1">IFERROR(__xludf.DUMMYFUNCTION("""COMPUTED_VALUE"""),"ISL")</f>
        <v>ISL</v>
      </c>
      <c r="H849" s="40" t="str">
        <f ca="1">IFERROR(__xludf.DUMMYFUNCTION("""COMPUTED_VALUE"""),"ISL127")</f>
        <v>ISL127</v>
      </c>
      <c r="I849" s="40" t="str">
        <f ca="1">IFERROR(__xludf.DUMMYFUNCTION("""COMPUTED_VALUE"""),"B")</f>
        <v>B</v>
      </c>
      <c r="J849" s="40" t="str">
        <f ca="1">IFERROR(__xludf.DUMMYFUNCTION("""COMPUTED_VALUE"""),"Nathalie Fages Cárceles")</f>
        <v>Nathalie Fages Cárceles</v>
      </c>
      <c r="K849" s="40"/>
      <c r="L849" s="40" t="str">
        <f t="shared" ca="1" si="6"/>
        <v>ISL127</v>
      </c>
      <c r="M849" s="36" t="str">
        <f t="shared" ca="1" si="7"/>
        <v>ISL</v>
      </c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</row>
    <row r="850" spans="1:27">
      <c r="A850" s="40"/>
      <c r="B850" s="36"/>
      <c r="C850" s="40"/>
      <c r="D850" s="41"/>
      <c r="E850" s="40"/>
      <c r="F850" s="40" t="str">
        <f ca="1">IFERROR(__xludf.DUMMYFUNCTION("""COMPUTED_VALUE"""),"Mercè Cabrera")</f>
        <v>Mercè Cabrera</v>
      </c>
      <c r="G850" s="40" t="str">
        <f ca="1">IFERROR(__xludf.DUMMYFUNCTION("""COMPUTED_VALUE"""),"MCC")</f>
        <v>MCC</v>
      </c>
      <c r="H850" s="40" t="str">
        <f ca="1">IFERROR(__xludf.DUMMYFUNCTION("""COMPUTED_VALUE"""),"MCC70")</f>
        <v>MCC70</v>
      </c>
      <c r="I850" s="40" t="str">
        <f ca="1">IFERROR(__xludf.DUMMYFUNCTION("""COMPUTED_VALUE"""),"A")</f>
        <v>A</v>
      </c>
      <c r="J850" s="40" t="str">
        <f ca="1">IFERROR(__xludf.DUMMYFUNCTION("""COMPUTED_VALUE"""),"Nesly Illely González Sánchez")</f>
        <v>Nesly Illely González Sánchez</v>
      </c>
      <c r="K850" s="40"/>
      <c r="L850" s="40" t="str">
        <f t="shared" ca="1" si="6"/>
        <v>MCC70</v>
      </c>
      <c r="M850" s="36" t="str">
        <f t="shared" ca="1" si="7"/>
        <v>MCC</v>
      </c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</row>
    <row r="851" spans="1:27">
      <c r="A851" s="40"/>
      <c r="B851" s="36"/>
      <c r="C851" s="40"/>
      <c r="D851" s="41"/>
      <c r="E851" s="40"/>
      <c r="F851" s="40" t="str">
        <f ca="1">IFERROR(__xludf.DUMMYFUNCTION("""COMPUTED_VALUE"""),"Lisandro Russian")</f>
        <v>Lisandro Russian</v>
      </c>
      <c r="G851" s="40" t="str">
        <f ca="1">IFERROR(__xludf.DUMMYFUNCTION("""COMPUTED_VALUE"""),"LRM")</f>
        <v>LRM</v>
      </c>
      <c r="H851" s="40" t="str">
        <f ca="1">IFERROR(__xludf.DUMMYFUNCTION("""COMPUTED_VALUE"""),"LRM221")</f>
        <v>LRM221</v>
      </c>
      <c r="I851" s="40" t="str">
        <f ca="1">IFERROR(__xludf.DUMMYFUNCTION("""COMPUTED_VALUE"""),"A")</f>
        <v>A</v>
      </c>
      <c r="J851" s="40" t="str">
        <f ca="1">IFERROR(__xludf.DUMMYFUNCTION("""COMPUTED_VALUE"""),"Ninfa Alejandra Álvarez Morales")</f>
        <v>Ninfa Alejandra Álvarez Morales</v>
      </c>
      <c r="K851" s="40"/>
      <c r="L851" s="40" t="str">
        <f t="shared" ca="1" si="6"/>
        <v>LRM221</v>
      </c>
      <c r="M851" s="36" t="str">
        <f t="shared" ca="1" si="7"/>
        <v>LRM</v>
      </c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</row>
    <row r="852" spans="1:27">
      <c r="A852" s="40"/>
      <c r="B852" s="36"/>
      <c r="C852" s="40"/>
      <c r="D852" s="41"/>
      <c r="E852" s="40"/>
      <c r="F852" s="40" t="str">
        <f ca="1">IFERROR(__xludf.DUMMYFUNCTION("""COMPUTED_VALUE"""),"Luis Alberto Rodríguez")</f>
        <v>Luis Alberto Rodríguez</v>
      </c>
      <c r="G852" s="40" t="str">
        <f ca="1">IFERROR(__xludf.DUMMYFUNCTION("""COMPUTED_VALUE"""),"LAA")</f>
        <v>LAA</v>
      </c>
      <c r="H852" s="40" t="str">
        <f ca="1">IFERROR(__xludf.DUMMYFUNCTION("""COMPUTED_VALUE"""),"LAA67")</f>
        <v>LAA67</v>
      </c>
      <c r="I852" s="40" t="str">
        <f ca="1">IFERROR(__xludf.DUMMYFUNCTION("""COMPUTED_VALUE"""),"C")</f>
        <v>C</v>
      </c>
      <c r="J852" s="40" t="str">
        <f ca="1">IFERROR(__xludf.DUMMYFUNCTION("""COMPUTED_VALUE"""),"Noelia García García")</f>
        <v>Noelia García García</v>
      </c>
      <c r="K852" s="40"/>
      <c r="L852" s="40" t="str">
        <f t="shared" ca="1" si="6"/>
        <v>LAA67</v>
      </c>
      <c r="M852" s="36" t="str">
        <f t="shared" ca="1" si="7"/>
        <v>LAA</v>
      </c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</row>
    <row r="853" spans="1:27">
      <c r="A853" s="40"/>
      <c r="B853" s="36"/>
      <c r="C853" s="40"/>
      <c r="D853" s="41"/>
      <c r="E853" s="40"/>
      <c r="F853" s="40" t="str">
        <f ca="1">IFERROR(__xludf.DUMMYFUNCTION("""COMPUTED_VALUE"""),"Lisandro Russian")</f>
        <v>Lisandro Russian</v>
      </c>
      <c r="G853" s="40" t="str">
        <f ca="1">IFERROR(__xludf.DUMMYFUNCTION("""COMPUTED_VALUE"""),"LRM")</f>
        <v>LRM</v>
      </c>
      <c r="H853" s="40" t="str">
        <f ca="1">IFERROR(__xludf.DUMMYFUNCTION("""COMPUTED_VALUE"""),"LRM266")</f>
        <v>LRM266</v>
      </c>
      <c r="I853" s="40" t="str">
        <f ca="1">IFERROR(__xludf.DUMMYFUNCTION("""COMPUTED_VALUE"""),"A")</f>
        <v>A</v>
      </c>
      <c r="J853" s="40" t="str">
        <f ca="1">IFERROR(__xludf.DUMMYFUNCTION("""COMPUTED_VALUE"""),"Noelia Sanchez Cano")</f>
        <v>Noelia Sanchez Cano</v>
      </c>
      <c r="K853" s="40"/>
      <c r="L853" s="40" t="str">
        <f t="shared" ca="1" si="6"/>
        <v>LRM266</v>
      </c>
      <c r="M853" s="36" t="str">
        <f t="shared" ca="1" si="7"/>
        <v>LRM</v>
      </c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</row>
    <row r="854" spans="1:27">
      <c r="A854" s="40"/>
      <c r="B854" s="36"/>
      <c r="C854" s="40"/>
      <c r="D854" s="41"/>
      <c r="E854" s="40"/>
      <c r="F854" s="40" t="str">
        <f ca="1">IFERROR(__xludf.DUMMYFUNCTION("""COMPUTED_VALUE"""),"Lisandro Russian")</f>
        <v>Lisandro Russian</v>
      </c>
      <c r="G854" s="40" t="str">
        <f ca="1">IFERROR(__xludf.DUMMYFUNCTION("""COMPUTED_VALUE"""),"LRM")</f>
        <v>LRM</v>
      </c>
      <c r="H854" s="40" t="str">
        <f ca="1">IFERROR(__xludf.DUMMYFUNCTION("""COMPUTED_VALUE"""),"LRM222")</f>
        <v>LRM222</v>
      </c>
      <c r="I854" s="40" t="str">
        <f ca="1">IFERROR(__xludf.DUMMYFUNCTION("""COMPUTED_VALUE"""),"A")</f>
        <v>A</v>
      </c>
      <c r="J854" s="40" t="str">
        <f ca="1">IFERROR(__xludf.DUMMYFUNCTION("""COMPUTED_VALUE"""),"Nuria Arnaiz Canora")</f>
        <v>Nuria Arnaiz Canora</v>
      </c>
      <c r="K854" s="40"/>
      <c r="L854" s="40" t="str">
        <f t="shared" ca="1" si="6"/>
        <v>LRM222</v>
      </c>
      <c r="M854" s="36" t="str">
        <f t="shared" ca="1" si="7"/>
        <v>LRM</v>
      </c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</row>
    <row r="855" spans="1:27">
      <c r="A855" s="40"/>
      <c r="B855" s="36"/>
      <c r="C855" s="40"/>
      <c r="D855" s="41"/>
      <c r="E855" s="40"/>
      <c r="F855" s="40" t="str">
        <f ca="1">IFERROR(__xludf.DUMMYFUNCTION("""COMPUTED_VALUE"""),"Patricia Solache")</f>
        <v>Patricia Solache</v>
      </c>
      <c r="G855" s="40" t="str">
        <f ca="1">IFERROR(__xludf.DUMMYFUNCTION("""COMPUTED_VALUE"""),"PSC")</f>
        <v>PSC</v>
      </c>
      <c r="H855" s="40" t="str">
        <f ca="1">IFERROR(__xludf.DUMMYFUNCTION("""COMPUTED_VALUE"""),"PSC48")</f>
        <v>PSC48</v>
      </c>
      <c r="I855" s="40" t="str">
        <f ca="1">IFERROR(__xludf.DUMMYFUNCTION("""COMPUTED_VALUE"""),"A")</f>
        <v>A</v>
      </c>
      <c r="J855" s="40" t="str">
        <f ca="1">IFERROR(__xludf.DUMMYFUNCTION("""COMPUTED_VALUE"""),"Nuria Mesuro Domínguez")</f>
        <v>Nuria Mesuro Domínguez</v>
      </c>
      <c r="K855" s="40"/>
      <c r="L855" s="40" t="str">
        <f t="shared" ca="1" si="6"/>
        <v>PSC48</v>
      </c>
      <c r="M855" s="36" t="str">
        <f t="shared" ca="1" si="7"/>
        <v>PSC</v>
      </c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</row>
    <row r="856" spans="1:27">
      <c r="A856" s="40"/>
      <c r="B856" s="36"/>
      <c r="C856" s="40"/>
      <c r="D856" s="41"/>
      <c r="E856" s="40"/>
      <c r="F856" s="40" t="str">
        <f ca="1">IFERROR(__xludf.DUMMYFUNCTION("""COMPUTED_VALUE"""),"Maika Blázquez")</f>
        <v>Maika Blázquez</v>
      </c>
      <c r="G856" s="40" t="str">
        <f ca="1">IFERROR(__xludf.DUMMYFUNCTION("""COMPUTED_VALUE"""),"MBM")</f>
        <v>MBM</v>
      </c>
      <c r="H856" s="40" t="str">
        <f ca="1">IFERROR(__xludf.DUMMYFUNCTION("""COMPUTED_VALUE"""),"MBM163")</f>
        <v>MBM163</v>
      </c>
      <c r="I856" s="40" t="str">
        <f ca="1">IFERROR(__xludf.DUMMYFUNCTION("""COMPUTED_VALUE"""),"A")</f>
        <v>A</v>
      </c>
      <c r="J856" s="40" t="str">
        <f ca="1">IFERROR(__xludf.DUMMYFUNCTION("""COMPUTED_VALUE"""),"Nuria Pérez Martín")</f>
        <v>Nuria Pérez Martín</v>
      </c>
      <c r="K856" s="40"/>
      <c r="L856" s="40" t="str">
        <f t="shared" ca="1" si="6"/>
        <v>MBM163</v>
      </c>
      <c r="M856" s="36" t="str">
        <f t="shared" ca="1" si="7"/>
        <v>MBM</v>
      </c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</row>
    <row r="857" spans="1:27">
      <c r="A857" s="40"/>
      <c r="B857" s="36"/>
      <c r="C857" s="23"/>
      <c r="D857" s="41"/>
      <c r="E857" s="40"/>
      <c r="F857" s="40" t="str">
        <f ca="1">IFERROR(__xludf.DUMMYFUNCTION("""COMPUTED_VALUE"""),"Iván Sánchez")</f>
        <v>Iván Sánchez</v>
      </c>
      <c r="G857" s="40" t="str">
        <f ca="1">IFERROR(__xludf.DUMMYFUNCTION("""COMPUTED_VALUE"""),"ISL")</f>
        <v>ISL</v>
      </c>
      <c r="H857" s="40" t="str">
        <f ca="1">IFERROR(__xludf.DUMMYFUNCTION("""COMPUTED_VALUE"""),"ISL128")</f>
        <v>ISL128</v>
      </c>
      <c r="I857" s="40" t="str">
        <f ca="1">IFERROR(__xludf.DUMMYFUNCTION("""COMPUTED_VALUE"""),"B")</f>
        <v>B</v>
      </c>
      <c r="J857" s="40" t="str">
        <f ca="1">IFERROR(__xludf.DUMMYFUNCTION("""COMPUTED_VALUE"""),"Nuria Salas Barrio")</f>
        <v>Nuria Salas Barrio</v>
      </c>
      <c r="K857" s="40"/>
      <c r="L857" s="40" t="str">
        <f t="shared" ca="1" si="6"/>
        <v>ISL128</v>
      </c>
      <c r="M857" s="36" t="str">
        <f t="shared" ca="1" si="7"/>
        <v>ISL</v>
      </c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</row>
    <row r="858" spans="1:27">
      <c r="A858" s="40"/>
      <c r="B858" s="36"/>
      <c r="C858" s="40"/>
      <c r="D858" s="41"/>
      <c r="E858" s="40"/>
      <c r="F858" s="40" t="str">
        <f ca="1">IFERROR(__xludf.DUMMYFUNCTION("""COMPUTED_VALUE"""),"Ramon Ferrando")</f>
        <v>Ramon Ferrando</v>
      </c>
      <c r="G858" s="40" t="str">
        <f ca="1">IFERROR(__xludf.DUMMYFUNCTION("""COMPUTED_VALUE"""),"RFV")</f>
        <v>RFV</v>
      </c>
      <c r="H858" s="40" t="str">
        <f ca="1">IFERROR(__xludf.DUMMYFUNCTION("""COMPUTED_VALUE"""),"RFV23")</f>
        <v>RFV23</v>
      </c>
      <c r="I858" s="40" t="str">
        <f ca="1">IFERROR(__xludf.DUMMYFUNCTION("""COMPUTED_VALUE"""),"B")</f>
        <v>B</v>
      </c>
      <c r="J858" s="40" t="str">
        <f ca="1">IFERROR(__xludf.DUMMYFUNCTION("""COMPUTED_VALUE"""),"Oishi Konari")</f>
        <v>Oishi Konari</v>
      </c>
      <c r="K858" s="40"/>
      <c r="L858" s="40" t="str">
        <f t="shared" ca="1" si="6"/>
        <v>RFV23</v>
      </c>
      <c r="M858" s="36" t="str">
        <f t="shared" ca="1" si="7"/>
        <v>RFV</v>
      </c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</row>
    <row r="859" spans="1:27">
      <c r="A859" s="40"/>
      <c r="B859" s="36"/>
      <c r="C859" s="40"/>
      <c r="D859" s="41"/>
      <c r="E859" s="40"/>
      <c r="F859" s="40" t="str">
        <f ca="1">IFERROR(__xludf.DUMMYFUNCTION("""COMPUTED_VALUE"""),"Iván Sánchez")</f>
        <v>Iván Sánchez</v>
      </c>
      <c r="G859" s="40" t="str">
        <f ca="1">IFERROR(__xludf.DUMMYFUNCTION("""COMPUTED_VALUE"""),"ISL")</f>
        <v>ISL</v>
      </c>
      <c r="H859" s="40" t="str">
        <f ca="1">IFERROR(__xludf.DUMMYFUNCTION("""COMPUTED_VALUE"""),"ISL129")</f>
        <v>ISL129</v>
      </c>
      <c r="I859" s="40" t="str">
        <f ca="1">IFERROR(__xludf.DUMMYFUNCTION("""COMPUTED_VALUE"""),"B")</f>
        <v>B</v>
      </c>
      <c r="J859" s="40" t="str">
        <f ca="1">IFERROR(__xludf.DUMMYFUNCTION("""COMPUTED_VALUE"""),"Oksana Guts MelnYk")</f>
        <v>Oksana Guts MelnYk</v>
      </c>
      <c r="K859" s="40"/>
      <c r="L859" s="40" t="str">
        <f t="shared" ca="1" si="6"/>
        <v>ISL129</v>
      </c>
      <c r="M859" s="36" t="str">
        <f t="shared" ca="1" si="7"/>
        <v>ISL</v>
      </c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</row>
    <row r="860" spans="1:27">
      <c r="A860" s="40"/>
      <c r="B860" s="36"/>
      <c r="C860" s="40"/>
      <c r="D860" s="41"/>
      <c r="E860" s="40"/>
      <c r="F860" s="40" t="str">
        <f ca="1">IFERROR(__xludf.DUMMYFUNCTION("""COMPUTED_VALUE"""),"Lisandro Russian")</f>
        <v>Lisandro Russian</v>
      </c>
      <c r="G860" s="40" t="str">
        <f ca="1">IFERROR(__xludf.DUMMYFUNCTION("""COMPUTED_VALUE"""),"LRM")</f>
        <v>LRM</v>
      </c>
      <c r="H860" s="40" t="str">
        <f ca="1">IFERROR(__xludf.DUMMYFUNCTION("""COMPUTED_VALUE"""),"LRM223")</f>
        <v>LRM223</v>
      </c>
      <c r="I860" s="40" t="str">
        <f ca="1">IFERROR(__xludf.DUMMYFUNCTION("""COMPUTED_VALUE"""),"A")</f>
        <v>A</v>
      </c>
      <c r="J860" s="40" t="str">
        <f ca="1">IFERROR(__xludf.DUMMYFUNCTION("""COMPUTED_VALUE"""),"Olaia Herrera Del Val")</f>
        <v>Olaia Herrera Del Val</v>
      </c>
      <c r="K860" s="40"/>
      <c r="L860" s="40" t="str">
        <f t="shared" ca="1" si="6"/>
        <v>LRM223</v>
      </c>
      <c r="M860" s="36" t="str">
        <f t="shared" ca="1" si="7"/>
        <v>LRM</v>
      </c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</row>
    <row r="861" spans="1:27">
      <c r="A861" s="40"/>
      <c r="B861" s="36"/>
      <c r="C861" s="40"/>
      <c r="D861" s="41"/>
      <c r="E861" s="44"/>
      <c r="F861" s="40" t="str">
        <f ca="1">IFERROR(__xludf.DUMMYFUNCTION("""COMPUTED_VALUE"""),"Roberto Pereira")</f>
        <v>Roberto Pereira</v>
      </c>
      <c r="G861" s="40" t="str">
        <f ca="1">IFERROR(__xludf.DUMMYFUNCTION("""COMPUTED_VALUE"""),"RPG")</f>
        <v>RPG</v>
      </c>
      <c r="H861" s="40" t="str">
        <f ca="1">IFERROR(__xludf.DUMMYFUNCTION("""COMPUTED_VALUE"""),"RPG53")</f>
        <v>RPG53</v>
      </c>
      <c r="I861" s="40" t="str">
        <f ca="1">IFERROR(__xludf.DUMMYFUNCTION("""COMPUTED_VALUE"""),"A")</f>
        <v>A</v>
      </c>
      <c r="J861" s="40" t="str">
        <f ca="1">IFERROR(__xludf.DUMMYFUNCTION("""COMPUTED_VALUE"""),"Olalla Castro Macia")</f>
        <v>Olalla Castro Macia</v>
      </c>
      <c r="K861" s="40"/>
      <c r="L861" s="40" t="str">
        <f t="shared" ca="1" si="6"/>
        <v>RPG53</v>
      </c>
      <c r="M861" s="36" t="str">
        <f t="shared" ca="1" si="7"/>
        <v>RPG</v>
      </c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</row>
    <row r="862" spans="1:27">
      <c r="A862" s="40"/>
      <c r="B862" s="36"/>
      <c r="C862" s="40"/>
      <c r="D862" s="41"/>
      <c r="E862" s="40"/>
      <c r="F862" s="40" t="str">
        <f ca="1">IFERROR(__xludf.DUMMYFUNCTION("""COMPUTED_VALUE"""),"Lisandro Russian")</f>
        <v>Lisandro Russian</v>
      </c>
      <c r="G862" s="40" t="str">
        <f ca="1">IFERROR(__xludf.DUMMYFUNCTION("""COMPUTED_VALUE"""),"LRM")</f>
        <v>LRM</v>
      </c>
      <c r="H862" s="40" t="str">
        <f ca="1">IFERROR(__xludf.DUMMYFUNCTION("""COMPUTED_VALUE"""),"LRM224")</f>
        <v>LRM224</v>
      </c>
      <c r="I862" s="40" t="str">
        <f ca="1">IFERROR(__xludf.DUMMYFUNCTION("""COMPUTED_VALUE"""),"A")</f>
        <v>A</v>
      </c>
      <c r="J862" s="40" t="str">
        <f ca="1">IFERROR(__xludf.DUMMYFUNCTION("""COMPUTED_VALUE"""),"Olga Aldecoa Jiménez")</f>
        <v>Olga Aldecoa Jiménez</v>
      </c>
      <c r="K862" s="40"/>
      <c r="L862" s="40" t="str">
        <f t="shared" ca="1" si="6"/>
        <v>LRM224</v>
      </c>
      <c r="M862" s="36" t="str">
        <f t="shared" ca="1" si="7"/>
        <v>LRM</v>
      </c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</row>
    <row r="863" spans="1:27">
      <c r="A863" s="40"/>
      <c r="B863" s="36"/>
      <c r="C863" s="40"/>
      <c r="D863" s="41"/>
      <c r="E863" s="43"/>
      <c r="F863" s="40" t="str">
        <f ca="1">IFERROR(__xludf.DUMMYFUNCTION("""COMPUTED_VALUE"""),"Mercè Cabrera")</f>
        <v>Mercè Cabrera</v>
      </c>
      <c r="G863" s="40" t="str">
        <f ca="1">IFERROR(__xludf.DUMMYFUNCTION("""COMPUTED_VALUE"""),"MCC")</f>
        <v>MCC</v>
      </c>
      <c r="H863" s="40" t="str">
        <f ca="1">IFERROR(__xludf.DUMMYFUNCTION("""COMPUTED_VALUE"""),"MCC54")</f>
        <v>MCC54</v>
      </c>
      <c r="I863" s="40" t="str">
        <f ca="1">IFERROR(__xludf.DUMMYFUNCTION("""COMPUTED_VALUE"""),"A")</f>
        <v>A</v>
      </c>
      <c r="J863" s="40" t="str">
        <f ca="1">IFERROR(__xludf.DUMMYFUNCTION("""COMPUTED_VALUE"""),"Olga Ferrer Andino")</f>
        <v>Olga Ferrer Andino</v>
      </c>
      <c r="K863" s="40"/>
      <c r="L863" s="40" t="str">
        <f t="shared" ca="1" si="6"/>
        <v>MCC54</v>
      </c>
      <c r="M863" s="36" t="str">
        <f t="shared" ca="1" si="7"/>
        <v>MCC</v>
      </c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</row>
    <row r="864" spans="1:27">
      <c r="A864" s="40"/>
      <c r="B864" s="36"/>
      <c r="C864" s="40"/>
      <c r="D864" s="41"/>
      <c r="E864" s="40"/>
      <c r="F864" s="40" t="str">
        <f ca="1">IFERROR(__xludf.DUMMYFUNCTION("""COMPUTED_VALUE"""),"Iván Sánchez")</f>
        <v>Iván Sánchez</v>
      </c>
      <c r="G864" s="40" t="str">
        <f ca="1">IFERROR(__xludf.DUMMYFUNCTION("""COMPUTED_VALUE"""),"ISL")</f>
        <v>ISL</v>
      </c>
      <c r="H864" s="40" t="str">
        <f ca="1">IFERROR(__xludf.DUMMYFUNCTION("""COMPUTED_VALUE"""),"ISL136")</f>
        <v>ISL136</v>
      </c>
      <c r="I864" s="40" t="str">
        <f ca="1">IFERROR(__xludf.DUMMYFUNCTION("""COMPUTED_VALUE"""),"B")</f>
        <v>B</v>
      </c>
      <c r="J864" s="40" t="str">
        <f ca="1">IFERROR(__xludf.DUMMYFUNCTION("""COMPUTED_VALUE"""),"Oreana Carolina Camacaro González")</f>
        <v>Oreana Carolina Camacaro González</v>
      </c>
      <c r="K864" s="40"/>
      <c r="L864" s="40" t="str">
        <f t="shared" ca="1" si="6"/>
        <v>ISL136</v>
      </c>
      <c r="M864" s="36" t="str">
        <f t="shared" ca="1" si="7"/>
        <v>ISL</v>
      </c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</row>
    <row r="865" spans="1:27">
      <c r="A865" s="40"/>
      <c r="B865" s="36"/>
      <c r="C865" s="40"/>
      <c r="D865" s="41"/>
      <c r="E865" s="40"/>
      <c r="F865" s="40" t="str">
        <f ca="1">IFERROR(__xludf.DUMMYFUNCTION("""COMPUTED_VALUE"""),"Maika Blázquez")</f>
        <v>Maika Blázquez</v>
      </c>
      <c r="G865" s="40" t="str">
        <f ca="1">IFERROR(__xludf.DUMMYFUNCTION("""COMPUTED_VALUE"""),"MBM")</f>
        <v>MBM</v>
      </c>
      <c r="H865" s="40" t="str">
        <f ca="1">IFERROR(__xludf.DUMMYFUNCTION("""COMPUTED_VALUE"""),"MBM69")</f>
        <v>MBM69</v>
      </c>
      <c r="I865" s="40" t="str">
        <f ca="1">IFERROR(__xludf.DUMMYFUNCTION("""COMPUTED_VALUE"""),"A")</f>
        <v>A</v>
      </c>
      <c r="J865" s="40" t="str">
        <f ca="1">IFERROR(__xludf.DUMMYFUNCTION("""COMPUTED_VALUE"""),"Oscar A, Sánchez Valenzuela")</f>
        <v>Oscar A, Sánchez Valenzuela</v>
      </c>
      <c r="K865" s="40"/>
      <c r="L865" s="40" t="str">
        <f t="shared" ca="1" si="6"/>
        <v>MBM69</v>
      </c>
      <c r="M865" s="36" t="str">
        <f t="shared" ca="1" si="7"/>
        <v>MBM</v>
      </c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</row>
    <row r="866" spans="1:27">
      <c r="A866" s="40"/>
      <c r="B866" s="36"/>
      <c r="C866" s="40"/>
      <c r="D866" s="41"/>
      <c r="E866" s="40"/>
      <c r="F866" s="40" t="str">
        <f ca="1">IFERROR(__xludf.DUMMYFUNCTION("""COMPUTED_VALUE"""),"Iván Sánchez")</f>
        <v>Iván Sánchez</v>
      </c>
      <c r="G866" s="40" t="str">
        <f ca="1">IFERROR(__xludf.DUMMYFUNCTION("""COMPUTED_VALUE"""),"ISL")</f>
        <v>ISL</v>
      </c>
      <c r="H866" s="40" t="str">
        <f ca="1">IFERROR(__xludf.DUMMYFUNCTION("""COMPUTED_VALUE"""),"ISL74")</f>
        <v>ISL74</v>
      </c>
      <c r="I866" s="40" t="str">
        <f ca="1">IFERROR(__xludf.DUMMYFUNCTION("""COMPUTED_VALUE"""),"B")</f>
        <v>B</v>
      </c>
      <c r="J866" s="40" t="str">
        <f ca="1">IFERROR(__xludf.DUMMYFUNCTION("""COMPUTED_VALUE"""),"Oscar Alemán López")</f>
        <v>Oscar Alemán López</v>
      </c>
      <c r="K866" s="40"/>
      <c r="L866" s="40" t="str">
        <f t="shared" ca="1" si="6"/>
        <v>ISL74</v>
      </c>
      <c r="M866" s="36" t="str">
        <f t="shared" ca="1" si="7"/>
        <v>ISL</v>
      </c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</row>
    <row r="867" spans="1:27">
      <c r="A867" s="40"/>
      <c r="B867" s="36"/>
      <c r="C867" s="40"/>
      <c r="D867" s="41"/>
      <c r="E867" s="40"/>
      <c r="F867" s="40" t="str">
        <f ca="1">IFERROR(__xludf.DUMMYFUNCTION("""COMPUTED_VALUE"""),"Maika Blázquez")</f>
        <v>Maika Blázquez</v>
      </c>
      <c r="G867" s="40" t="str">
        <f ca="1">IFERROR(__xludf.DUMMYFUNCTION("""COMPUTED_VALUE"""),"MBM")</f>
        <v>MBM</v>
      </c>
      <c r="H867" s="40" t="str">
        <f ca="1">IFERROR(__xludf.DUMMYFUNCTION("""COMPUTED_VALUE"""),"MBM70")</f>
        <v>MBM70</v>
      </c>
      <c r="I867" s="40" t="str">
        <f ca="1">IFERROR(__xludf.DUMMYFUNCTION("""COMPUTED_VALUE"""),"A")</f>
        <v>A</v>
      </c>
      <c r="J867" s="40" t="str">
        <f ca="1">IFERROR(__xludf.DUMMYFUNCTION("""COMPUTED_VALUE"""),"Óscar Alfonso Arenas Britez")</f>
        <v>Óscar Alfonso Arenas Britez</v>
      </c>
      <c r="K867" s="40"/>
      <c r="L867" s="40" t="str">
        <f t="shared" ca="1" si="6"/>
        <v>MBM70</v>
      </c>
      <c r="M867" s="36" t="str">
        <f t="shared" ca="1" si="7"/>
        <v>MBM</v>
      </c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</row>
    <row r="868" spans="1:27">
      <c r="A868" s="40"/>
      <c r="B868" s="36"/>
      <c r="C868" s="40"/>
      <c r="D868" s="41"/>
      <c r="E868" s="40"/>
      <c r="F868" s="40" t="str">
        <f ca="1">IFERROR(__xludf.DUMMYFUNCTION("""COMPUTED_VALUE"""),"Luis Alberto Rodríguez")</f>
        <v>Luis Alberto Rodríguez</v>
      </c>
      <c r="G868" s="40" t="str">
        <f ca="1">IFERROR(__xludf.DUMMYFUNCTION("""COMPUTED_VALUE"""),"LAA")</f>
        <v>LAA</v>
      </c>
      <c r="H868" s="40" t="str">
        <f ca="1">IFERROR(__xludf.DUMMYFUNCTION("""COMPUTED_VALUE"""),"LAA38")</f>
        <v>LAA38</v>
      </c>
      <c r="I868" s="40" t="str">
        <f ca="1">IFERROR(__xludf.DUMMYFUNCTION("""COMPUTED_VALUE"""),"C")</f>
        <v>C</v>
      </c>
      <c r="J868" s="40" t="str">
        <f ca="1">IFERROR(__xludf.DUMMYFUNCTION("""COMPUTED_VALUE"""),"Pablo Alejandro Rojas Rodríguez")</f>
        <v>Pablo Alejandro Rojas Rodríguez</v>
      </c>
      <c r="K868" s="40"/>
      <c r="L868" s="40" t="str">
        <f t="shared" ca="1" si="6"/>
        <v>LAA38</v>
      </c>
      <c r="M868" s="36" t="str">
        <f t="shared" ca="1" si="7"/>
        <v>LAA</v>
      </c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</row>
    <row r="869" spans="1:27">
      <c r="A869" s="40"/>
      <c r="B869" s="36"/>
      <c r="C869" s="40"/>
      <c r="D869" s="41"/>
      <c r="E869" s="40"/>
      <c r="F869" s="40" t="str">
        <f ca="1">IFERROR(__xludf.DUMMYFUNCTION("""COMPUTED_VALUE"""),"Maika Blázquez")</f>
        <v>Maika Blázquez</v>
      </c>
      <c r="G869" s="40" t="str">
        <f ca="1">IFERROR(__xludf.DUMMYFUNCTION("""COMPUTED_VALUE"""),"MBM")</f>
        <v>MBM</v>
      </c>
      <c r="H869" s="40" t="str">
        <f ca="1">IFERROR(__xludf.DUMMYFUNCTION("""COMPUTED_VALUE"""),"MBM71")</f>
        <v>MBM71</v>
      </c>
      <c r="I869" s="40" t="str">
        <f ca="1">IFERROR(__xludf.DUMMYFUNCTION("""COMPUTED_VALUE"""),"A")</f>
        <v>A</v>
      </c>
      <c r="J869" s="40" t="str">
        <f ca="1">IFERROR(__xludf.DUMMYFUNCTION("""COMPUTED_VALUE"""),"Pablo García González")</f>
        <v>Pablo García González</v>
      </c>
      <c r="K869" s="40"/>
      <c r="L869" s="40" t="str">
        <f t="shared" ca="1" si="6"/>
        <v>MBM71</v>
      </c>
      <c r="M869" s="36" t="str">
        <f t="shared" ca="1" si="7"/>
        <v>MBM</v>
      </c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</row>
    <row r="870" spans="1:27">
      <c r="A870" s="40"/>
      <c r="B870" s="36"/>
      <c r="C870" s="40"/>
      <c r="D870" s="41"/>
      <c r="E870" s="40"/>
      <c r="F870" s="40" t="str">
        <f ca="1">IFERROR(__xludf.DUMMYFUNCTION("""COMPUTED_VALUE"""),"Lisandro Russian")</f>
        <v>Lisandro Russian</v>
      </c>
      <c r="G870" s="40" t="str">
        <f ca="1">IFERROR(__xludf.DUMMYFUNCTION("""COMPUTED_VALUE"""),"LRM")</f>
        <v>LRM</v>
      </c>
      <c r="H870" s="40" t="str">
        <f ca="1">IFERROR(__xludf.DUMMYFUNCTION("""COMPUTED_VALUE"""),"LRM267")</f>
        <v>LRM267</v>
      </c>
      <c r="I870" s="40" t="str">
        <f ca="1">IFERROR(__xludf.DUMMYFUNCTION("""COMPUTED_VALUE"""),"A")</f>
        <v>A</v>
      </c>
      <c r="J870" s="40" t="str">
        <f ca="1">IFERROR(__xludf.DUMMYFUNCTION("""COMPUTED_VALUE"""),"Pablo Luis Vega Gajón")</f>
        <v>Pablo Luis Vega Gajón</v>
      </c>
      <c r="K870" s="40"/>
      <c r="L870" s="40" t="str">
        <f t="shared" ca="1" si="6"/>
        <v>LRM267</v>
      </c>
      <c r="M870" s="36" t="str">
        <f t="shared" ca="1" si="7"/>
        <v>LRM</v>
      </c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</row>
    <row r="871" spans="1:27">
      <c r="A871" s="40"/>
      <c r="B871" s="36"/>
      <c r="C871" s="40"/>
      <c r="D871" s="41"/>
      <c r="E871" s="40"/>
      <c r="F871" s="40" t="str">
        <f ca="1">IFERROR(__xludf.DUMMYFUNCTION("""COMPUTED_VALUE"""),"Lisandro Russian")</f>
        <v>Lisandro Russian</v>
      </c>
      <c r="G871" s="40" t="str">
        <f ca="1">IFERROR(__xludf.DUMMYFUNCTION("""COMPUTED_VALUE"""),"LRM")</f>
        <v>LRM</v>
      </c>
      <c r="H871" s="40" t="str">
        <f ca="1">IFERROR(__xludf.DUMMYFUNCTION("""COMPUTED_VALUE"""),"LRM108")</f>
        <v>LRM108</v>
      </c>
      <c r="I871" s="40" t="str">
        <f ca="1">IFERROR(__xludf.DUMMYFUNCTION("""COMPUTED_VALUE"""),"A")</f>
        <v>A</v>
      </c>
      <c r="J871" s="40" t="str">
        <f ca="1">IFERROR(__xludf.DUMMYFUNCTION("""COMPUTED_VALUE"""),"Pablo Sarrio Solera")</f>
        <v>Pablo Sarrio Solera</v>
      </c>
      <c r="K871" s="40"/>
      <c r="L871" s="40" t="str">
        <f t="shared" ca="1" si="6"/>
        <v>LRM108</v>
      </c>
      <c r="M871" s="36" t="str">
        <f t="shared" ca="1" si="7"/>
        <v>LRM</v>
      </c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</row>
    <row r="872" spans="1:27">
      <c r="A872" s="40"/>
      <c r="B872" s="36"/>
      <c r="C872" s="40"/>
      <c r="D872" s="41"/>
      <c r="E872" s="40"/>
      <c r="F872" s="40" t="str">
        <f ca="1">IFERROR(__xludf.DUMMYFUNCTION("""COMPUTED_VALUE"""),"Mercè Cabrera")</f>
        <v>Mercè Cabrera</v>
      </c>
      <c r="G872" s="40" t="str">
        <f ca="1">IFERROR(__xludf.DUMMYFUNCTION("""COMPUTED_VALUE"""),"MCC")</f>
        <v>MCC</v>
      </c>
      <c r="H872" s="40" t="str">
        <f ca="1">IFERROR(__xludf.DUMMYFUNCTION("""COMPUTED_VALUE"""),"MCC29")</f>
        <v>MCC29</v>
      </c>
      <c r="I872" s="40" t="str">
        <f ca="1">IFERROR(__xludf.DUMMYFUNCTION("""COMPUTED_VALUE"""),"A")</f>
        <v>A</v>
      </c>
      <c r="J872" s="40" t="str">
        <f ca="1">IFERROR(__xludf.DUMMYFUNCTION("""COMPUTED_VALUE"""),"Pablo Vergés Fort")</f>
        <v>Pablo Vergés Fort</v>
      </c>
      <c r="K872" s="40"/>
      <c r="L872" s="40" t="str">
        <f t="shared" ca="1" si="6"/>
        <v>MCC29</v>
      </c>
      <c r="M872" s="36" t="str">
        <f t="shared" ca="1" si="7"/>
        <v>MCC</v>
      </c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</row>
    <row r="873" spans="1:27">
      <c r="A873" s="40"/>
      <c r="B873" s="36"/>
      <c r="C873" s="40"/>
      <c r="D873" s="41"/>
      <c r="E873" s="40"/>
      <c r="F873" s="40" t="str">
        <f ca="1">IFERROR(__xludf.DUMMYFUNCTION("""COMPUTED_VALUE"""),"Lisandro Russian")</f>
        <v>Lisandro Russian</v>
      </c>
      <c r="G873" s="40" t="str">
        <f ca="1">IFERROR(__xludf.DUMMYFUNCTION("""COMPUTED_VALUE"""),"LRM")</f>
        <v>LRM</v>
      </c>
      <c r="H873" s="40" t="str">
        <f ca="1">IFERROR(__xludf.DUMMYFUNCTION("""COMPUTED_VALUE"""),"LRM226")</f>
        <v>LRM226</v>
      </c>
      <c r="I873" s="40" t="str">
        <f ca="1">IFERROR(__xludf.DUMMYFUNCTION("""COMPUTED_VALUE"""),"A")</f>
        <v>A</v>
      </c>
      <c r="J873" s="40" t="str">
        <f ca="1">IFERROR(__xludf.DUMMYFUNCTION("""COMPUTED_VALUE"""),"Paloma Álvarez Hernández")</f>
        <v>Paloma Álvarez Hernández</v>
      </c>
      <c r="K873" s="40"/>
      <c r="L873" s="40" t="str">
        <f t="shared" ca="1" si="6"/>
        <v>LRM226</v>
      </c>
      <c r="M873" s="36" t="str">
        <f t="shared" ca="1" si="7"/>
        <v>LRM</v>
      </c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</row>
    <row r="874" spans="1:27">
      <c r="A874" s="40"/>
      <c r="B874" s="36"/>
      <c r="C874" s="40"/>
      <c r="D874" s="41"/>
      <c r="E874" s="40"/>
      <c r="F874" s="40" t="str">
        <f ca="1">IFERROR(__xludf.DUMMYFUNCTION("""COMPUTED_VALUE"""),"Luis Alberto Rodríguez")</f>
        <v>Luis Alberto Rodríguez</v>
      </c>
      <c r="G874" s="40" t="str">
        <f ca="1">IFERROR(__xludf.DUMMYFUNCTION("""COMPUTED_VALUE"""),"LAA")</f>
        <v>LAA</v>
      </c>
      <c r="H874" s="40" t="str">
        <f ca="1">IFERROR(__xludf.DUMMYFUNCTION("""COMPUTED_VALUE"""),"LAA73")</f>
        <v>LAA73</v>
      </c>
      <c r="I874" s="40" t="str">
        <f ca="1">IFERROR(__xludf.DUMMYFUNCTION("""COMPUTED_VALUE"""),"C")</f>
        <v>C</v>
      </c>
      <c r="J874" s="40" t="str">
        <f ca="1">IFERROR(__xludf.DUMMYFUNCTION("""COMPUTED_VALUE"""),"Paloma Martín Díaz")</f>
        <v>Paloma Martín Díaz</v>
      </c>
      <c r="K874" s="40"/>
      <c r="L874" s="40" t="str">
        <f t="shared" ca="1" si="6"/>
        <v>LAA73</v>
      </c>
      <c r="M874" s="36" t="str">
        <f t="shared" ca="1" si="7"/>
        <v>LAA</v>
      </c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</row>
    <row r="875" spans="1:27">
      <c r="A875" s="40"/>
      <c r="B875" s="36"/>
      <c r="C875" s="40"/>
      <c r="D875" s="41"/>
      <c r="E875" s="40"/>
      <c r="F875" s="40" t="str">
        <f ca="1">IFERROR(__xludf.DUMMYFUNCTION("""COMPUTED_VALUE"""),"Maika Blázquez")</f>
        <v>Maika Blázquez</v>
      </c>
      <c r="G875" s="40" t="str">
        <f ca="1">IFERROR(__xludf.DUMMYFUNCTION("""COMPUTED_VALUE"""),"MBM")</f>
        <v>MBM</v>
      </c>
      <c r="H875" s="40" t="str">
        <f ca="1">IFERROR(__xludf.DUMMYFUNCTION("""COMPUTED_VALUE"""),"MBM164")</f>
        <v>MBM164</v>
      </c>
      <c r="I875" s="40" t="str">
        <f ca="1">IFERROR(__xludf.DUMMYFUNCTION("""COMPUTED_VALUE"""),"A")</f>
        <v>A</v>
      </c>
      <c r="J875" s="40" t="str">
        <f ca="1">IFERROR(__xludf.DUMMYFUNCTION("""COMPUTED_VALUE"""),"Paloma Martín-Aragón Martín")</f>
        <v>Paloma Martín-Aragón Martín</v>
      </c>
      <c r="K875" s="40"/>
      <c r="L875" s="40" t="str">
        <f t="shared" ca="1" si="6"/>
        <v>MBM164</v>
      </c>
      <c r="M875" s="36" t="str">
        <f t="shared" ca="1" si="7"/>
        <v>MBM</v>
      </c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</row>
    <row r="876" spans="1:27">
      <c r="A876" s="40"/>
      <c r="B876" s="36"/>
      <c r="C876" s="40"/>
      <c r="D876" s="41"/>
      <c r="E876" s="40"/>
      <c r="F876" s="40" t="str">
        <f ca="1">IFERROR(__xludf.DUMMYFUNCTION("""COMPUTED_VALUE"""),"Maika Blázquez")</f>
        <v>Maika Blázquez</v>
      </c>
      <c r="G876" s="40" t="str">
        <f ca="1">IFERROR(__xludf.DUMMYFUNCTION("""COMPUTED_VALUE"""),"MBM")</f>
        <v>MBM</v>
      </c>
      <c r="H876" s="40" t="str">
        <f ca="1">IFERROR(__xludf.DUMMYFUNCTION("""COMPUTED_VALUE"""),"MBM165")</f>
        <v>MBM165</v>
      </c>
      <c r="I876" s="40" t="str">
        <f ca="1">IFERROR(__xludf.DUMMYFUNCTION("""COMPUTED_VALUE"""),"A")</f>
        <v>A</v>
      </c>
      <c r="J876" s="40" t="str">
        <f ca="1">IFERROR(__xludf.DUMMYFUNCTION("""COMPUTED_VALUE"""),"Paloma Pinacho Martínez")</f>
        <v>Paloma Pinacho Martínez</v>
      </c>
      <c r="K876" s="40"/>
      <c r="L876" s="40" t="str">
        <f t="shared" ca="1" si="6"/>
        <v>MBM165</v>
      </c>
      <c r="M876" s="36" t="str">
        <f t="shared" ca="1" si="7"/>
        <v>MBM</v>
      </c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</row>
    <row r="877" spans="1:27">
      <c r="A877" s="40"/>
      <c r="B877" s="36"/>
      <c r="C877" s="40"/>
      <c r="D877" s="41"/>
      <c r="E877" s="40"/>
      <c r="F877" s="40" t="str">
        <f ca="1">IFERROR(__xludf.DUMMYFUNCTION("""COMPUTED_VALUE"""),"Lisandro Russian")</f>
        <v>Lisandro Russian</v>
      </c>
      <c r="G877" s="40" t="str">
        <f ca="1">IFERROR(__xludf.DUMMYFUNCTION("""COMPUTED_VALUE"""),"LRM")</f>
        <v>LRM</v>
      </c>
      <c r="H877" s="40" t="str">
        <f ca="1">IFERROR(__xludf.DUMMYFUNCTION("""COMPUTED_VALUE"""),"LRM227")</f>
        <v>LRM227</v>
      </c>
      <c r="I877" s="40" t="str">
        <f ca="1">IFERROR(__xludf.DUMMYFUNCTION("""COMPUTED_VALUE"""),"A")</f>
        <v>A</v>
      </c>
      <c r="J877" s="40" t="str">
        <f ca="1">IFERROR(__xludf.DUMMYFUNCTION("""COMPUTED_VALUE"""),"Patricia Ezcurra Hernández")</f>
        <v>Patricia Ezcurra Hernández</v>
      </c>
      <c r="K877" s="40"/>
      <c r="L877" s="40" t="str">
        <f t="shared" ca="1" si="6"/>
        <v>LRM227</v>
      </c>
      <c r="M877" s="36" t="str">
        <f t="shared" ca="1" si="7"/>
        <v>LRM</v>
      </c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</row>
    <row r="878" spans="1:27">
      <c r="A878" s="40"/>
      <c r="B878" s="36"/>
      <c r="C878" s="40"/>
      <c r="D878" s="41"/>
      <c r="E878" s="40"/>
      <c r="F878" s="40" t="str">
        <f ca="1">IFERROR(__xludf.DUMMYFUNCTION("""COMPUTED_VALUE"""),"Maika Blázquez")</f>
        <v>Maika Blázquez</v>
      </c>
      <c r="G878" s="40" t="str">
        <f ca="1">IFERROR(__xludf.DUMMYFUNCTION("""COMPUTED_VALUE"""),"MBM")</f>
        <v>MBM</v>
      </c>
      <c r="H878" s="40" t="str">
        <f ca="1">IFERROR(__xludf.DUMMYFUNCTION("""COMPUTED_VALUE"""),"MBM166")</f>
        <v>MBM166</v>
      </c>
      <c r="I878" s="40" t="str">
        <f ca="1">IFERROR(__xludf.DUMMYFUNCTION("""COMPUTED_VALUE"""),"A")</f>
        <v>A</v>
      </c>
      <c r="J878" s="40" t="str">
        <f ca="1">IFERROR(__xludf.DUMMYFUNCTION("""COMPUTED_VALUE"""),"Patricia García Vicente")</f>
        <v>Patricia García Vicente</v>
      </c>
      <c r="K878" s="40"/>
      <c r="L878" s="40" t="str">
        <f t="shared" ca="1" si="6"/>
        <v>MBM166</v>
      </c>
      <c r="M878" s="36" t="str">
        <f t="shared" ca="1" si="7"/>
        <v>MBM</v>
      </c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</row>
    <row r="879" spans="1:27">
      <c r="A879" s="40"/>
      <c r="B879" s="36"/>
      <c r="C879" s="40"/>
      <c r="D879" s="41"/>
      <c r="E879" s="40"/>
      <c r="F879" s="40" t="str">
        <f ca="1">IFERROR(__xludf.DUMMYFUNCTION("""COMPUTED_VALUE"""),"Patricia Solache")</f>
        <v>Patricia Solache</v>
      </c>
      <c r="G879" s="40" t="str">
        <f ca="1">IFERROR(__xludf.DUMMYFUNCTION("""COMPUTED_VALUE"""),"PSC")</f>
        <v>PSC</v>
      </c>
      <c r="H879" s="40" t="str">
        <f ca="1">IFERROR(__xludf.DUMMYFUNCTION("""COMPUTED_VALUE"""),"PSC49")</f>
        <v>PSC49</v>
      </c>
      <c r="I879" s="40" t="str">
        <f ca="1">IFERROR(__xludf.DUMMYFUNCTION("""COMPUTED_VALUE"""),"A")</f>
        <v>A</v>
      </c>
      <c r="J879" s="40" t="str">
        <f ca="1">IFERROR(__xludf.DUMMYFUNCTION("""COMPUTED_VALUE"""),"Patricia Viveros Diez")</f>
        <v>Patricia Viveros Diez</v>
      </c>
      <c r="K879" s="40"/>
      <c r="L879" s="40" t="str">
        <f t="shared" ca="1" si="6"/>
        <v>PSC49</v>
      </c>
      <c r="M879" s="36" t="str">
        <f t="shared" ca="1" si="7"/>
        <v>PSC</v>
      </c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</row>
    <row r="880" spans="1:27">
      <c r="A880" s="40"/>
      <c r="B880" s="36"/>
      <c r="C880" s="40"/>
      <c r="D880" s="41"/>
      <c r="E880" s="40"/>
      <c r="F880" s="40" t="str">
        <f ca="1">IFERROR(__xludf.DUMMYFUNCTION("""COMPUTED_VALUE"""),"Maika Blázquez")</f>
        <v>Maika Blázquez</v>
      </c>
      <c r="G880" s="40" t="str">
        <f ca="1">IFERROR(__xludf.DUMMYFUNCTION("""COMPUTED_VALUE"""),"MBM")</f>
        <v>MBM</v>
      </c>
      <c r="H880" s="23" t="str">
        <f ca="1">IFERROR(__xludf.DUMMYFUNCTION("""COMPUTED_VALUE"""),"MBM167")</f>
        <v>MBM167</v>
      </c>
      <c r="I880" s="40" t="str">
        <f ca="1">IFERROR(__xludf.DUMMYFUNCTION("""COMPUTED_VALUE"""),"A")</f>
        <v>A</v>
      </c>
      <c r="J880" s="40" t="str">
        <f ca="1">IFERROR(__xludf.DUMMYFUNCTION("""COMPUTED_VALUE"""),"Paula Aragón Ramos")</f>
        <v>Paula Aragón Ramos</v>
      </c>
      <c r="K880" s="40"/>
      <c r="L880" s="40" t="str">
        <f t="shared" ca="1" si="6"/>
        <v>MBM167</v>
      </c>
      <c r="M880" s="36" t="str">
        <f t="shared" ca="1" si="7"/>
        <v>MBM</v>
      </c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</row>
    <row r="881" spans="1:27">
      <c r="A881" s="40"/>
      <c r="B881" s="36"/>
      <c r="C881" s="40"/>
      <c r="D881" s="41"/>
      <c r="E881" s="40"/>
      <c r="F881" s="40" t="str">
        <f ca="1">IFERROR(__xludf.DUMMYFUNCTION("""COMPUTED_VALUE"""),"Maika Blázquez")</f>
        <v>Maika Blázquez</v>
      </c>
      <c r="G881" s="40" t="str">
        <f ca="1">IFERROR(__xludf.DUMMYFUNCTION("""COMPUTED_VALUE"""),"MBM")</f>
        <v>MBM</v>
      </c>
      <c r="H881" s="40" t="str">
        <f ca="1">IFERROR(__xludf.DUMMYFUNCTION("""COMPUTED_VALUE"""),"MBM168")</f>
        <v>MBM168</v>
      </c>
      <c r="I881" s="40" t="str">
        <f ca="1">IFERROR(__xludf.DUMMYFUNCTION("""COMPUTED_VALUE"""),"A")</f>
        <v>A</v>
      </c>
      <c r="J881" s="40" t="str">
        <f ca="1">IFERROR(__xludf.DUMMYFUNCTION("""COMPUTED_VALUE"""),"Paula Aviles Mañoso")</f>
        <v>Paula Aviles Mañoso</v>
      </c>
      <c r="K881" s="40"/>
      <c r="L881" s="40" t="str">
        <f t="shared" ca="1" si="6"/>
        <v>MBM168</v>
      </c>
      <c r="M881" s="36" t="str">
        <f t="shared" ca="1" si="7"/>
        <v>MBM</v>
      </c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</row>
    <row r="882" spans="1:27">
      <c r="A882" s="40"/>
      <c r="B882" s="36"/>
      <c r="C882" s="40"/>
      <c r="D882" s="41"/>
      <c r="E882" s="40"/>
      <c r="F882" s="40" t="str">
        <f ca="1">IFERROR(__xludf.DUMMYFUNCTION("""COMPUTED_VALUE"""),"Maika Blázquez")</f>
        <v>Maika Blázquez</v>
      </c>
      <c r="G882" s="40" t="str">
        <f ca="1">IFERROR(__xludf.DUMMYFUNCTION("""COMPUTED_VALUE"""),"MBM")</f>
        <v>MBM</v>
      </c>
      <c r="H882" s="40" t="str">
        <f ca="1">IFERROR(__xludf.DUMMYFUNCTION("""COMPUTED_VALUE"""),"MBM169")</f>
        <v>MBM169</v>
      </c>
      <c r="I882" s="40" t="str">
        <f ca="1">IFERROR(__xludf.DUMMYFUNCTION("""COMPUTED_VALUE"""),"A")</f>
        <v>A</v>
      </c>
      <c r="J882" s="40" t="str">
        <f ca="1">IFERROR(__xludf.DUMMYFUNCTION("""COMPUTED_VALUE"""),"Paula del Valle Gómez")</f>
        <v>Paula del Valle Gómez</v>
      </c>
      <c r="K882" s="40"/>
      <c r="L882" s="40" t="str">
        <f t="shared" ca="1" si="6"/>
        <v>MBM169</v>
      </c>
      <c r="M882" s="36" t="str">
        <f t="shared" ca="1" si="7"/>
        <v>MBM</v>
      </c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</row>
    <row r="883" spans="1:27">
      <c r="A883" s="40"/>
      <c r="B883" s="36"/>
      <c r="C883" s="40"/>
      <c r="D883" s="41"/>
      <c r="E883" s="40"/>
      <c r="F883" s="40" t="str">
        <f ca="1">IFERROR(__xludf.DUMMYFUNCTION("""COMPUTED_VALUE"""),"Iván Sánchez")</f>
        <v>Iván Sánchez</v>
      </c>
      <c r="G883" s="40" t="str">
        <f ca="1">IFERROR(__xludf.DUMMYFUNCTION("""COMPUTED_VALUE"""),"ISL")</f>
        <v>ISL</v>
      </c>
      <c r="H883" s="40" t="str">
        <f ca="1">IFERROR(__xludf.DUMMYFUNCTION("""COMPUTED_VALUE"""),"ISL130")</f>
        <v>ISL130</v>
      </c>
      <c r="I883" s="40" t="str">
        <f ca="1">IFERROR(__xludf.DUMMYFUNCTION("""COMPUTED_VALUE"""),"B")</f>
        <v>B</v>
      </c>
      <c r="J883" s="40" t="str">
        <f ca="1">IFERROR(__xludf.DUMMYFUNCTION("""COMPUTED_VALUE"""),"Paula Hernández Ruíz")</f>
        <v>Paula Hernández Ruíz</v>
      </c>
      <c r="K883" s="40"/>
      <c r="L883" s="40" t="str">
        <f t="shared" ca="1" si="6"/>
        <v>ISL130</v>
      </c>
      <c r="M883" s="36" t="str">
        <f t="shared" ca="1" si="7"/>
        <v>ISL</v>
      </c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</row>
    <row r="884" spans="1:27">
      <c r="A884" s="40"/>
      <c r="B884" s="36"/>
      <c r="C884" s="40"/>
      <c r="D884" s="41"/>
      <c r="E884" s="40"/>
      <c r="F884" s="40" t="str">
        <f ca="1">IFERROR(__xludf.DUMMYFUNCTION("""COMPUTED_VALUE"""),"Mercè Cabrera")</f>
        <v>Mercè Cabrera</v>
      </c>
      <c r="G884" s="40" t="str">
        <f ca="1">IFERROR(__xludf.DUMMYFUNCTION("""COMPUTED_VALUE"""),"MCC")</f>
        <v>MCC</v>
      </c>
      <c r="H884" s="40" t="str">
        <f ca="1">IFERROR(__xludf.DUMMYFUNCTION("""COMPUTED_VALUE"""),"MCC55")</f>
        <v>MCC55</v>
      </c>
      <c r="I884" s="40" t="str">
        <f ca="1">IFERROR(__xludf.DUMMYFUNCTION("""COMPUTED_VALUE"""),"A")</f>
        <v>A</v>
      </c>
      <c r="J884" s="40" t="str">
        <f ca="1">IFERROR(__xludf.DUMMYFUNCTION("""COMPUTED_VALUE"""),"Paula López Mesa")</f>
        <v>Paula López Mesa</v>
      </c>
      <c r="K884" s="40"/>
      <c r="L884" s="40" t="str">
        <f t="shared" ca="1" si="6"/>
        <v>MCC55</v>
      </c>
      <c r="M884" s="36" t="str">
        <f t="shared" ca="1" si="7"/>
        <v>MCC</v>
      </c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</row>
    <row r="885" spans="1:27">
      <c r="A885" s="40"/>
      <c r="B885" s="36"/>
      <c r="C885" s="40"/>
      <c r="D885" s="41"/>
      <c r="E885" s="40"/>
      <c r="F885" s="40" t="str">
        <f ca="1">IFERROR(__xludf.DUMMYFUNCTION("""COMPUTED_VALUE"""),"Maika Blázquez")</f>
        <v>Maika Blázquez</v>
      </c>
      <c r="G885" s="40" t="str">
        <f ca="1">IFERROR(__xludf.DUMMYFUNCTION("""COMPUTED_VALUE"""),"MBM")</f>
        <v>MBM</v>
      </c>
      <c r="H885" s="40" t="str">
        <f ca="1">IFERROR(__xludf.DUMMYFUNCTION("""COMPUTED_VALUE"""),"MBM170")</f>
        <v>MBM170</v>
      </c>
      <c r="I885" s="40" t="str">
        <f ca="1">IFERROR(__xludf.DUMMYFUNCTION("""COMPUTED_VALUE"""),"A")</f>
        <v>A</v>
      </c>
      <c r="J885" s="40" t="str">
        <f ca="1">IFERROR(__xludf.DUMMYFUNCTION("""COMPUTED_VALUE"""),"Paula Martinez Pascual")</f>
        <v>Paula Martinez Pascual</v>
      </c>
      <c r="K885" s="40"/>
      <c r="L885" s="40" t="str">
        <f t="shared" ca="1" si="6"/>
        <v>MBM170</v>
      </c>
      <c r="M885" s="36" t="str">
        <f t="shared" ca="1" si="7"/>
        <v>MBM</v>
      </c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</row>
    <row r="886" spans="1:27">
      <c r="A886" s="40"/>
      <c r="B886" s="36"/>
      <c r="C886" s="40"/>
      <c r="D886" s="41"/>
      <c r="E886" s="40"/>
      <c r="F886" s="40" t="str">
        <f ca="1">IFERROR(__xludf.DUMMYFUNCTION("""COMPUTED_VALUE"""),"Ramon Ferrando")</f>
        <v>Ramon Ferrando</v>
      </c>
      <c r="G886" s="40" t="str">
        <f ca="1">IFERROR(__xludf.DUMMYFUNCTION("""COMPUTED_VALUE"""),"RFV")</f>
        <v>RFV</v>
      </c>
      <c r="H886" s="40" t="str">
        <f ca="1">IFERROR(__xludf.DUMMYFUNCTION("""COMPUTED_VALUE"""),"RFV37")</f>
        <v>RFV37</v>
      </c>
      <c r="I886" s="40" t="str">
        <f ca="1">IFERROR(__xludf.DUMMYFUNCTION("""COMPUTED_VALUE"""),"B")</f>
        <v>B</v>
      </c>
      <c r="J886" s="40" t="str">
        <f ca="1">IFERROR(__xludf.DUMMYFUNCTION("""COMPUTED_VALUE"""),"Paula Martínez Ruiz de Apodaca")</f>
        <v>Paula Martínez Ruiz de Apodaca</v>
      </c>
      <c r="K886" s="40"/>
      <c r="L886" s="40" t="str">
        <f t="shared" ca="1" si="6"/>
        <v>RFV37</v>
      </c>
      <c r="M886" s="36" t="str">
        <f t="shared" ca="1" si="7"/>
        <v>RFV</v>
      </c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</row>
    <row r="887" spans="1:27">
      <c r="A887" s="40"/>
      <c r="B887" s="36"/>
      <c r="C887" s="40"/>
      <c r="D887" s="41"/>
      <c r="E887" s="40"/>
      <c r="F887" s="40" t="str">
        <f ca="1">IFERROR(__xludf.DUMMYFUNCTION("""COMPUTED_VALUE"""),"Ramon Ferrando")</f>
        <v>Ramon Ferrando</v>
      </c>
      <c r="G887" s="40" t="str">
        <f ca="1">IFERROR(__xludf.DUMMYFUNCTION("""COMPUTED_VALUE"""),"RFV")</f>
        <v>RFV</v>
      </c>
      <c r="H887" s="40" t="str">
        <f ca="1">IFERROR(__xludf.DUMMYFUNCTION("""COMPUTED_VALUE"""),"RFV33")</f>
        <v>RFV33</v>
      </c>
      <c r="I887" s="40" t="str">
        <f ca="1">IFERROR(__xludf.DUMMYFUNCTION("""COMPUTED_VALUE"""),"B")</f>
        <v>B</v>
      </c>
      <c r="J887" s="40" t="str">
        <f ca="1">IFERROR(__xludf.DUMMYFUNCTION("""COMPUTED_VALUE"""),"Paula Martínez-Ruiz De Apocada")</f>
        <v>Paula Martínez-Ruiz De Apocada</v>
      </c>
      <c r="K887" s="40"/>
      <c r="L887" s="40" t="str">
        <f t="shared" ca="1" si="6"/>
        <v>RFV33</v>
      </c>
      <c r="M887" s="36" t="str">
        <f t="shared" ca="1" si="7"/>
        <v>RFV</v>
      </c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</row>
    <row r="888" spans="1:27">
      <c r="A888" s="40"/>
      <c r="B888" s="36"/>
      <c r="C888" s="40"/>
      <c r="D888" s="41"/>
      <c r="E888" s="40"/>
      <c r="F888" s="40" t="str">
        <f ca="1">IFERROR(__xludf.DUMMYFUNCTION("""COMPUTED_VALUE"""),"Maika Blázquez")</f>
        <v>Maika Blázquez</v>
      </c>
      <c r="G888" s="40" t="str">
        <f ca="1">IFERROR(__xludf.DUMMYFUNCTION("""COMPUTED_VALUE"""),"MBM")</f>
        <v>MBM</v>
      </c>
      <c r="H888" s="40" t="str">
        <f ca="1">IFERROR(__xludf.DUMMYFUNCTION("""COMPUTED_VALUE"""),"MBM219")</f>
        <v>MBM219</v>
      </c>
      <c r="I888" s="40" t="str">
        <f ca="1">IFERROR(__xludf.DUMMYFUNCTION("""COMPUTED_VALUE"""),"A")</f>
        <v>A</v>
      </c>
      <c r="J888" s="40" t="str">
        <f ca="1">IFERROR(__xludf.DUMMYFUNCTION("""COMPUTED_VALUE"""),"Paula Morales Chacchi")</f>
        <v>Paula Morales Chacchi</v>
      </c>
      <c r="K888" s="40"/>
      <c r="L888" s="40" t="str">
        <f t="shared" ca="1" si="6"/>
        <v>MBM219</v>
      </c>
      <c r="M888" s="36" t="str">
        <f t="shared" ca="1" si="7"/>
        <v>MBM</v>
      </c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</row>
    <row r="889" spans="1:27">
      <c r="A889" s="40"/>
      <c r="B889" s="36"/>
      <c r="C889" s="40"/>
      <c r="D889" s="41"/>
      <c r="E889" s="40"/>
      <c r="F889" s="40" t="str">
        <f ca="1">IFERROR(__xludf.DUMMYFUNCTION("""COMPUTED_VALUE"""),"Patricia Solache")</f>
        <v>Patricia Solache</v>
      </c>
      <c r="G889" s="40" t="str">
        <f ca="1">IFERROR(__xludf.DUMMYFUNCTION("""COMPUTED_VALUE"""),"PSC")</f>
        <v>PSC</v>
      </c>
      <c r="H889" s="40" t="str">
        <f ca="1">IFERROR(__xludf.DUMMYFUNCTION("""COMPUTED_VALUE"""),"PSC50")</f>
        <v>PSC50</v>
      </c>
      <c r="I889" s="40" t="str">
        <f ca="1">IFERROR(__xludf.DUMMYFUNCTION("""COMPUTED_VALUE"""),"A")</f>
        <v>A</v>
      </c>
      <c r="J889" s="40" t="str">
        <f ca="1">IFERROR(__xludf.DUMMYFUNCTION("""COMPUTED_VALUE"""),"Paula Sánchez Fernández")</f>
        <v>Paula Sánchez Fernández</v>
      </c>
      <c r="K889" s="40"/>
      <c r="L889" s="40" t="str">
        <f t="shared" ca="1" si="6"/>
        <v>PSC50</v>
      </c>
      <c r="M889" s="36" t="str">
        <f t="shared" ca="1" si="7"/>
        <v>PSC</v>
      </c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</row>
    <row r="890" spans="1:27">
      <c r="A890" s="40"/>
      <c r="B890" s="36"/>
      <c r="C890" s="40"/>
      <c r="D890" s="41"/>
      <c r="E890" s="40"/>
      <c r="F890" s="40" t="str">
        <f ca="1">IFERROR(__xludf.DUMMYFUNCTION("""COMPUTED_VALUE"""),"Ramon Ferrando")</f>
        <v>Ramon Ferrando</v>
      </c>
      <c r="G890" s="40" t="str">
        <f ca="1">IFERROR(__xludf.DUMMYFUNCTION("""COMPUTED_VALUE"""),"RFV")</f>
        <v>RFV</v>
      </c>
      <c r="H890" s="40" t="str">
        <f ca="1">IFERROR(__xludf.DUMMYFUNCTION("""COMPUTED_VALUE"""),"RFV34")</f>
        <v>RFV34</v>
      </c>
      <c r="I890" s="40" t="str">
        <f ca="1">IFERROR(__xludf.DUMMYFUNCTION("""COMPUTED_VALUE"""),"B")</f>
        <v>B</v>
      </c>
      <c r="J890" s="40" t="str">
        <f ca="1">IFERROR(__xludf.DUMMYFUNCTION("""COMPUTED_VALUE"""),"Paz Martínez Beneyto")</f>
        <v>Paz Martínez Beneyto</v>
      </c>
      <c r="K890" s="40"/>
      <c r="L890" s="40" t="str">
        <f t="shared" ca="1" si="6"/>
        <v>RFV34</v>
      </c>
      <c r="M890" s="36" t="str">
        <f t="shared" ca="1" si="7"/>
        <v>RFV</v>
      </c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</row>
    <row r="891" spans="1:27">
      <c r="A891" s="40"/>
      <c r="B891" s="36"/>
      <c r="C891" s="40"/>
      <c r="D891" s="41"/>
      <c r="E891" s="40"/>
      <c r="F891" s="40" t="str">
        <f ca="1">IFERROR(__xludf.DUMMYFUNCTION("""COMPUTED_VALUE"""),"Lisandro Russian")</f>
        <v>Lisandro Russian</v>
      </c>
      <c r="G891" s="40" t="str">
        <f ca="1">IFERROR(__xludf.DUMMYFUNCTION("""COMPUTED_VALUE"""),"LRM")</f>
        <v>LRM</v>
      </c>
      <c r="H891" s="40" t="str">
        <f ca="1">IFERROR(__xludf.DUMMYFUNCTION("""COMPUTED_VALUE"""),"LRM109")</f>
        <v>LRM109</v>
      </c>
      <c r="I891" s="40" t="str">
        <f ca="1">IFERROR(__xludf.DUMMYFUNCTION("""COMPUTED_VALUE"""),"A")</f>
        <v>A</v>
      </c>
      <c r="J891" s="40" t="str">
        <f ca="1">IFERROR(__xludf.DUMMYFUNCTION("""COMPUTED_VALUE"""),"Pedro Amaro Merino")</f>
        <v>Pedro Amaro Merino</v>
      </c>
      <c r="K891" s="40"/>
      <c r="L891" s="40" t="str">
        <f t="shared" ca="1" si="6"/>
        <v>LRM109</v>
      </c>
      <c r="M891" s="36" t="str">
        <f t="shared" ca="1" si="7"/>
        <v>LRM</v>
      </c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</row>
    <row r="892" spans="1:27">
      <c r="A892" s="40"/>
      <c r="B892" s="36"/>
      <c r="C892" s="40"/>
      <c r="D892" s="38"/>
      <c r="E892" s="23"/>
      <c r="F892" s="23" t="str">
        <f ca="1">IFERROR(__xludf.DUMMYFUNCTION("""COMPUTED_VALUE"""),"Alberto Moreno")</f>
        <v>Alberto Moreno</v>
      </c>
      <c r="G892" s="23" t="str">
        <f ca="1">IFERROR(__xludf.DUMMYFUNCTION("""COMPUTED_VALUE"""),"AMM")</f>
        <v>AMM</v>
      </c>
      <c r="H892" s="23" t="str">
        <f ca="1">IFERROR(__xludf.DUMMYFUNCTION("""COMPUTED_VALUE"""),"AMM20")</f>
        <v>AMM20</v>
      </c>
      <c r="I892" s="23" t="str">
        <f ca="1">IFERROR(__xludf.DUMMYFUNCTION("""COMPUTED_VALUE"""),"A")</f>
        <v>A</v>
      </c>
      <c r="J892" s="40" t="str">
        <f ca="1">IFERROR(__xludf.DUMMYFUNCTION("""COMPUTED_VALUE"""),"Pedro Barthe García")</f>
        <v>Pedro Barthe García</v>
      </c>
      <c r="K892" s="40"/>
      <c r="L892" s="40" t="str">
        <f t="shared" ca="1" si="6"/>
        <v>AMM20</v>
      </c>
      <c r="M892" s="36" t="str">
        <f t="shared" ca="1" si="7"/>
        <v>AMM</v>
      </c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</row>
    <row r="893" spans="1:27">
      <c r="A893" s="40"/>
      <c r="B893" s="36"/>
      <c r="C893" s="23"/>
      <c r="D893" s="45"/>
      <c r="E893" s="46"/>
      <c r="F893" s="40" t="str">
        <f ca="1">IFERROR(__xludf.DUMMYFUNCTION("""COMPUTED_VALUE"""),"Patricia Solache")</f>
        <v>Patricia Solache</v>
      </c>
      <c r="G893" s="40" t="str">
        <f ca="1">IFERROR(__xludf.DUMMYFUNCTION("""COMPUTED_VALUE"""),"PSC")</f>
        <v>PSC</v>
      </c>
      <c r="H893" s="40" t="str">
        <f ca="1">IFERROR(__xludf.DUMMYFUNCTION("""COMPUTED_VALUE"""),"PSC27")</f>
        <v>PSC27</v>
      </c>
      <c r="I893" s="23" t="str">
        <f ca="1">IFERROR(__xludf.DUMMYFUNCTION("""COMPUTED_VALUE"""),"A")</f>
        <v>A</v>
      </c>
      <c r="J893" s="40" t="str">
        <f ca="1">IFERROR(__xludf.DUMMYFUNCTION("""COMPUTED_VALUE"""),"Pedro Blanco Pérez")</f>
        <v>Pedro Blanco Pérez</v>
      </c>
      <c r="K893" s="40"/>
      <c r="L893" s="40" t="str">
        <f t="shared" ca="1" si="6"/>
        <v>PSC27</v>
      </c>
      <c r="M893" s="36" t="str">
        <f t="shared" ca="1" si="7"/>
        <v>PSC</v>
      </c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</row>
    <row r="894" spans="1:27">
      <c r="A894" s="40"/>
      <c r="B894" s="36"/>
      <c r="C894" s="23"/>
      <c r="D894" s="41"/>
      <c r="E894" s="23"/>
      <c r="F894" s="40" t="str">
        <f ca="1">IFERROR(__xludf.DUMMYFUNCTION("""COMPUTED_VALUE"""),"Lisandro Russian")</f>
        <v>Lisandro Russian</v>
      </c>
      <c r="G894" s="40" t="str">
        <f ca="1">IFERROR(__xludf.DUMMYFUNCTION("""COMPUTED_VALUE"""),"LRM")</f>
        <v>LRM</v>
      </c>
      <c r="H894" s="40" t="str">
        <f ca="1">IFERROR(__xludf.DUMMYFUNCTION("""COMPUTED_VALUE"""),"LRM110")</f>
        <v>LRM110</v>
      </c>
      <c r="I894" s="23" t="str">
        <f ca="1">IFERROR(__xludf.DUMMYFUNCTION("""COMPUTED_VALUE"""),"A")</f>
        <v>A</v>
      </c>
      <c r="J894" s="23" t="str">
        <f ca="1">IFERROR(__xludf.DUMMYFUNCTION("""COMPUTED_VALUE"""),"Pedro Cabrera Morín")</f>
        <v>Pedro Cabrera Morín</v>
      </c>
      <c r="K894" s="40"/>
      <c r="L894" s="40" t="str">
        <f t="shared" ca="1" si="6"/>
        <v>LRM110</v>
      </c>
      <c r="M894" s="36" t="str">
        <f t="shared" ca="1" si="7"/>
        <v>LRM</v>
      </c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</row>
    <row r="895" spans="1:27">
      <c r="A895" s="23"/>
      <c r="B895" s="36"/>
      <c r="C895" s="23"/>
      <c r="D895" s="23"/>
      <c r="E895" s="23"/>
      <c r="F895" s="23" t="str">
        <f ca="1">IFERROR(__xludf.DUMMYFUNCTION("""COMPUTED_VALUE"""),"Luis Alberto Rodríguez")</f>
        <v>Luis Alberto Rodríguez</v>
      </c>
      <c r="G895" s="23" t="str">
        <f ca="1">IFERROR(__xludf.DUMMYFUNCTION("""COMPUTED_VALUE"""),"LAA")</f>
        <v>LAA</v>
      </c>
      <c r="H895" s="40" t="str">
        <f ca="1">IFERROR(__xludf.DUMMYFUNCTION("""COMPUTED_VALUE"""),"LAA68")</f>
        <v>LAA68</v>
      </c>
      <c r="I895" s="23" t="str">
        <f ca="1">IFERROR(__xludf.DUMMYFUNCTION("""COMPUTED_VALUE"""),"C")</f>
        <v>C</v>
      </c>
      <c r="J895" s="40" t="str">
        <f ca="1">IFERROR(__xludf.DUMMYFUNCTION("""COMPUTED_VALUE"""),"Pedro Francisco Martínez Guisado")</f>
        <v>Pedro Francisco Martínez Guisado</v>
      </c>
      <c r="K895" s="40"/>
      <c r="L895" s="40" t="str">
        <f t="shared" ca="1" si="6"/>
        <v>LAA68</v>
      </c>
      <c r="M895" s="36" t="str">
        <f t="shared" ca="1" si="7"/>
        <v>LAA</v>
      </c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</row>
    <row r="896" spans="1:27">
      <c r="A896" s="40"/>
      <c r="B896" s="36"/>
      <c r="C896" s="40"/>
      <c r="D896" s="41"/>
      <c r="E896" s="40"/>
      <c r="F896" s="40" t="str">
        <f ca="1">IFERROR(__xludf.DUMMYFUNCTION("""COMPUTED_VALUE"""),"Mercè Cabrera")</f>
        <v>Mercè Cabrera</v>
      </c>
      <c r="G896" s="40" t="str">
        <f ca="1">IFERROR(__xludf.DUMMYFUNCTION("""COMPUTED_VALUE"""),"MCC")</f>
        <v>MCC</v>
      </c>
      <c r="H896" s="40" t="str">
        <f ca="1">IFERROR(__xludf.DUMMYFUNCTION("""COMPUTED_VALUE"""),"MCC30")</f>
        <v>MCC30</v>
      </c>
      <c r="I896" s="40" t="str">
        <f ca="1">IFERROR(__xludf.DUMMYFUNCTION("""COMPUTED_VALUE"""),"A")</f>
        <v>A</v>
      </c>
      <c r="J896" s="40" t="str">
        <f ca="1">IFERROR(__xludf.DUMMYFUNCTION("""COMPUTED_VALUE"""),"Pedro Gil Paraíso")</f>
        <v>Pedro Gil Paraíso</v>
      </c>
      <c r="K896" s="40"/>
      <c r="L896" s="40" t="str">
        <f t="shared" ca="1" si="6"/>
        <v>MCC30</v>
      </c>
      <c r="M896" s="36" t="str">
        <f t="shared" ca="1" si="7"/>
        <v>MCC</v>
      </c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</row>
    <row r="897" spans="1:27">
      <c r="A897" s="40"/>
      <c r="B897" s="36"/>
      <c r="C897" s="40"/>
      <c r="D897" s="41"/>
      <c r="E897" s="40"/>
      <c r="F897" s="40" t="str">
        <f ca="1">IFERROR(__xludf.DUMMYFUNCTION("""COMPUTED_VALUE"""),"Patricia Solache")</f>
        <v>Patricia Solache</v>
      </c>
      <c r="G897" s="40" t="str">
        <f ca="1">IFERROR(__xludf.DUMMYFUNCTION("""COMPUTED_VALUE"""),"PSC")</f>
        <v>PSC</v>
      </c>
      <c r="H897" s="40" t="str">
        <f ca="1">IFERROR(__xludf.DUMMYFUNCTION("""COMPUTED_VALUE"""),"PSC28")</f>
        <v>PSC28</v>
      </c>
      <c r="I897" s="40" t="str">
        <f ca="1">IFERROR(__xludf.DUMMYFUNCTION("""COMPUTED_VALUE"""),"A")</f>
        <v>A</v>
      </c>
      <c r="J897" s="40" t="str">
        <f ca="1">IFERROR(__xludf.DUMMYFUNCTION("""COMPUTED_VALUE"""),"Pedro Hueso Gutierrez")</f>
        <v>Pedro Hueso Gutierrez</v>
      </c>
      <c r="K897" s="40"/>
      <c r="L897" s="40" t="str">
        <f t="shared" ca="1" si="6"/>
        <v>PSC28</v>
      </c>
      <c r="M897" s="36" t="str">
        <f t="shared" ca="1" si="7"/>
        <v>PSC</v>
      </c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</row>
    <row r="898" spans="1:27">
      <c r="A898" s="23"/>
      <c r="B898" s="36"/>
      <c r="C898" s="40"/>
      <c r="D898" s="41"/>
      <c r="E898" s="23"/>
      <c r="F898" s="23" t="str">
        <f ca="1">IFERROR(__xludf.DUMMYFUNCTION("""COMPUTED_VALUE"""),"Lisandro Russian")</f>
        <v>Lisandro Russian</v>
      </c>
      <c r="G898" s="40" t="str">
        <f ca="1">IFERROR(__xludf.DUMMYFUNCTION("""COMPUTED_VALUE"""),"LRM")</f>
        <v>LRM</v>
      </c>
      <c r="H898" s="23" t="str">
        <f ca="1">IFERROR(__xludf.DUMMYFUNCTION("""COMPUTED_VALUE"""),"LRM111")</f>
        <v>LRM111</v>
      </c>
      <c r="I898" s="40" t="str">
        <f ca="1">IFERROR(__xludf.DUMMYFUNCTION("""COMPUTED_VALUE"""),"A")</f>
        <v>A</v>
      </c>
      <c r="J898" s="40" t="str">
        <f ca="1">IFERROR(__xludf.DUMMYFUNCTION("""COMPUTED_VALUE"""),"Pedro José Gil Paraiso")</f>
        <v>Pedro José Gil Paraiso</v>
      </c>
      <c r="K898" s="40"/>
      <c r="L898" s="40" t="str">
        <f t="shared" ca="1" si="6"/>
        <v>LRM111</v>
      </c>
      <c r="M898" s="36" t="str">
        <f t="shared" ca="1" si="7"/>
        <v>LRM</v>
      </c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</row>
    <row r="899" spans="1:27">
      <c r="A899" s="40"/>
      <c r="B899" s="36"/>
      <c r="C899" s="40"/>
      <c r="D899" s="38"/>
      <c r="E899" s="40"/>
      <c r="F899" s="40" t="str">
        <f ca="1">IFERROR(__xludf.DUMMYFUNCTION("""COMPUTED_VALUE"""),"Roberto Pereira")</f>
        <v>Roberto Pereira</v>
      </c>
      <c r="G899" s="40" t="str">
        <f ca="1">IFERROR(__xludf.DUMMYFUNCTION("""COMPUTED_VALUE"""),"RPG")</f>
        <v>RPG</v>
      </c>
      <c r="H899" s="40" t="str">
        <f ca="1">IFERROR(__xludf.DUMMYFUNCTION("""COMPUTED_VALUE"""),"RPG30")</f>
        <v>RPG30</v>
      </c>
      <c r="I899" s="40" t="str">
        <f ca="1">IFERROR(__xludf.DUMMYFUNCTION("""COMPUTED_VALUE"""),"A")</f>
        <v>A</v>
      </c>
      <c r="J899" s="40" t="str">
        <f ca="1">IFERROR(__xludf.DUMMYFUNCTION("""COMPUTED_VALUE"""),"Pedro Juiz López")</f>
        <v>Pedro Juiz López</v>
      </c>
      <c r="K899" s="40"/>
      <c r="L899" s="40" t="str">
        <f t="shared" ca="1" si="6"/>
        <v>RPG30</v>
      </c>
      <c r="M899" s="36" t="str">
        <f t="shared" ca="1" si="7"/>
        <v>RPG</v>
      </c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</row>
    <row r="900" spans="1:27">
      <c r="A900" s="36"/>
      <c r="B900" s="36"/>
      <c r="C900" s="47"/>
      <c r="D900" s="47"/>
      <c r="E900" s="47"/>
      <c r="F900" s="40" t="str">
        <f ca="1">IFERROR(__xludf.DUMMYFUNCTION("""COMPUTED_VALUE"""),"Iván Sánchez")</f>
        <v>Iván Sánchez</v>
      </c>
      <c r="G900" s="40" t="str">
        <f ca="1">IFERROR(__xludf.DUMMYFUNCTION("""COMPUTED_VALUE"""),"ISL")</f>
        <v>ISL</v>
      </c>
      <c r="H900" s="40" t="str">
        <f ca="1">IFERROR(__xludf.DUMMYFUNCTION("""COMPUTED_VALUE"""),"ISL75")</f>
        <v>ISL75</v>
      </c>
      <c r="I900" s="40" t="str">
        <f ca="1">IFERROR(__xludf.DUMMYFUNCTION("""COMPUTED_VALUE"""),"B")</f>
        <v>B</v>
      </c>
      <c r="J900" s="40" t="str">
        <f ca="1">IFERROR(__xludf.DUMMYFUNCTION("""COMPUTED_VALUE"""),"Pedro Masegosa Zapata")</f>
        <v>Pedro Masegosa Zapata</v>
      </c>
      <c r="K900" s="40"/>
      <c r="L900" s="40" t="str">
        <f t="shared" ca="1" si="6"/>
        <v>ISL75</v>
      </c>
      <c r="M900" s="36" t="str">
        <f t="shared" ca="1" si="7"/>
        <v>ISL</v>
      </c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</row>
    <row r="901" spans="1:27">
      <c r="A901" s="36"/>
      <c r="B901" s="36"/>
      <c r="C901" s="38"/>
      <c r="D901" s="23"/>
      <c r="E901" s="23"/>
      <c r="F901" s="23" t="str">
        <f ca="1">IFERROR(__xludf.DUMMYFUNCTION("""COMPUTED_VALUE"""),"Iván Sánchez")</f>
        <v>Iván Sánchez</v>
      </c>
      <c r="G901" s="23" t="str">
        <f ca="1">IFERROR(__xludf.DUMMYFUNCTION("""COMPUTED_VALUE"""),"ISL")</f>
        <v>ISL</v>
      </c>
      <c r="H901" s="40" t="str">
        <f ca="1">IFERROR(__xludf.DUMMYFUNCTION("""COMPUTED_VALUE"""),"ISL76")</f>
        <v>ISL76</v>
      </c>
      <c r="I901" s="23" t="str">
        <f ca="1">IFERROR(__xludf.DUMMYFUNCTION("""COMPUTED_VALUE"""),"B")</f>
        <v>B</v>
      </c>
      <c r="J901" s="48" t="str">
        <f ca="1">IFERROR(__xludf.DUMMYFUNCTION("""COMPUTED_VALUE"""),"Pedro Seguí Moya")</f>
        <v>Pedro Seguí Moya</v>
      </c>
      <c r="K901" s="23"/>
      <c r="L901" s="40" t="str">
        <f t="shared" ca="1" si="6"/>
        <v>ISL76</v>
      </c>
      <c r="M901" s="36" t="str">
        <f t="shared" ca="1" si="7"/>
        <v>ISL</v>
      </c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</row>
    <row r="902" spans="1:27">
      <c r="A902" s="36"/>
      <c r="B902" s="36"/>
      <c r="C902" s="38"/>
      <c r="D902" s="23"/>
      <c r="E902" s="23"/>
      <c r="F902" s="23" t="str">
        <f ca="1">IFERROR(__xludf.DUMMYFUNCTION("""COMPUTED_VALUE"""),"Iván Sánchez")</f>
        <v>Iván Sánchez</v>
      </c>
      <c r="G902" s="23" t="str">
        <f ca="1">IFERROR(__xludf.DUMMYFUNCTION("""COMPUTED_VALUE"""),"ISL")</f>
        <v>ISL</v>
      </c>
      <c r="H902" s="40" t="str">
        <f ca="1">IFERROR(__xludf.DUMMYFUNCTION("""COMPUTED_VALUE"""),"ISL131")</f>
        <v>ISL131</v>
      </c>
      <c r="I902" s="23" t="str">
        <f ca="1">IFERROR(__xludf.DUMMYFUNCTION("""COMPUTED_VALUE"""),"B")</f>
        <v>B</v>
      </c>
      <c r="J902" s="48" t="str">
        <f ca="1">IFERROR(__xludf.DUMMYFUNCTION("""COMPUTED_VALUE"""),"Pilar Beladiez Romero")</f>
        <v>Pilar Beladiez Romero</v>
      </c>
      <c r="K902" s="23"/>
      <c r="L902" s="40" t="str">
        <f t="shared" ca="1" si="6"/>
        <v>ISL131</v>
      </c>
      <c r="M902" s="36" t="str">
        <f t="shared" ca="1" si="7"/>
        <v>ISL</v>
      </c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</row>
    <row r="903" spans="1:27">
      <c r="A903" s="36"/>
      <c r="B903" s="36"/>
      <c r="C903" s="38"/>
      <c r="D903" s="23"/>
      <c r="E903" s="23"/>
      <c r="F903" s="23" t="str">
        <f ca="1">IFERROR(__xludf.DUMMYFUNCTION("""COMPUTED_VALUE"""),"Roberto Pereira")</f>
        <v>Roberto Pereira</v>
      </c>
      <c r="G903" s="23" t="str">
        <f ca="1">IFERROR(__xludf.DUMMYFUNCTION("""COMPUTED_VALUE"""),"RPG")</f>
        <v>RPG</v>
      </c>
      <c r="H903" s="40" t="str">
        <f ca="1">IFERROR(__xludf.DUMMYFUNCTION("""COMPUTED_VALUE"""),"RPG54")</f>
        <v>RPG54</v>
      </c>
      <c r="I903" s="23" t="str">
        <f ca="1">IFERROR(__xludf.DUMMYFUNCTION("""COMPUTED_VALUE"""),"A")</f>
        <v>A</v>
      </c>
      <c r="J903" s="48" t="str">
        <f ca="1">IFERROR(__xludf.DUMMYFUNCTION("""COMPUTED_VALUE"""),"Pilar Castro Ruiz")</f>
        <v>Pilar Castro Ruiz</v>
      </c>
      <c r="K903" s="23"/>
      <c r="L903" s="40" t="str">
        <f t="shared" ca="1" si="6"/>
        <v>RPG54</v>
      </c>
      <c r="M903" s="36" t="str">
        <f t="shared" ca="1" si="7"/>
        <v>RPG</v>
      </c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</row>
    <row r="904" spans="1:27">
      <c r="A904" s="36"/>
      <c r="B904" s="36"/>
      <c r="C904" s="38"/>
      <c r="D904" s="23"/>
      <c r="E904" s="23"/>
      <c r="F904" s="23" t="str">
        <f ca="1">IFERROR(__xludf.DUMMYFUNCTION("""COMPUTED_VALUE"""),"Lisandro Russian")</f>
        <v>Lisandro Russian</v>
      </c>
      <c r="G904" s="23" t="str">
        <f ca="1">IFERROR(__xludf.DUMMYFUNCTION("""COMPUTED_VALUE"""),"LRM")</f>
        <v>LRM</v>
      </c>
      <c r="H904" s="40" t="str">
        <f ca="1">IFERROR(__xludf.DUMMYFUNCTION("""COMPUTED_VALUE"""),"LRM112")</f>
        <v>LRM112</v>
      </c>
      <c r="I904" s="23" t="str">
        <f ca="1">IFERROR(__xludf.DUMMYFUNCTION("""COMPUTED_VALUE"""),"A")</f>
        <v>A</v>
      </c>
      <c r="J904" s="48" t="str">
        <f ca="1">IFERROR(__xludf.DUMMYFUNCTION("""COMPUTED_VALUE"""),"Pilar Hernandez Weigand")</f>
        <v>Pilar Hernandez Weigand</v>
      </c>
      <c r="K904" s="23"/>
      <c r="L904" s="40" t="str">
        <f t="shared" ca="1" si="6"/>
        <v>LRM112</v>
      </c>
      <c r="M904" s="36" t="str">
        <f t="shared" ca="1" si="7"/>
        <v>LRM</v>
      </c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</row>
    <row r="905" spans="1:27">
      <c r="A905" s="36"/>
      <c r="B905" s="36"/>
      <c r="C905" s="22"/>
      <c r="D905" s="24"/>
      <c r="E905" s="24"/>
      <c r="F905" s="24" t="str">
        <f ca="1">IFERROR(__xludf.DUMMYFUNCTION("""COMPUTED_VALUE"""),"Roberto Pereira")</f>
        <v>Roberto Pereira</v>
      </c>
      <c r="G905" s="24" t="str">
        <f ca="1">IFERROR(__xludf.DUMMYFUNCTION("""COMPUTED_VALUE"""),"RPG")</f>
        <v>RPG</v>
      </c>
      <c r="H905" s="40" t="str">
        <f ca="1">IFERROR(__xludf.DUMMYFUNCTION("""COMPUTED_VALUE"""),"RPG55")</f>
        <v>RPG55</v>
      </c>
      <c r="I905" s="49" t="str">
        <f ca="1">IFERROR(__xludf.DUMMYFUNCTION("""COMPUTED_VALUE"""),"A")</f>
        <v>A</v>
      </c>
      <c r="J905" s="48" t="str">
        <f ca="1">IFERROR(__xludf.DUMMYFUNCTION("""COMPUTED_VALUE"""),"Pilar Pomar Blanco")</f>
        <v>Pilar Pomar Blanco</v>
      </c>
      <c r="K905" s="23"/>
      <c r="L905" s="40" t="str">
        <f t="shared" ca="1" si="6"/>
        <v>RPG55</v>
      </c>
      <c r="M905" s="36" t="str">
        <f t="shared" ca="1" si="7"/>
        <v>RPG</v>
      </c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</row>
    <row r="906" spans="1:27">
      <c r="A906" s="36"/>
      <c r="B906" s="36"/>
      <c r="C906" s="22"/>
      <c r="D906" s="24"/>
      <c r="E906" s="24"/>
      <c r="F906" s="24" t="str">
        <f ca="1">IFERROR(__xludf.DUMMYFUNCTION("""COMPUTED_VALUE"""),"Lisandro Russian")</f>
        <v>Lisandro Russian</v>
      </c>
      <c r="G906" s="24" t="str">
        <f ca="1">IFERROR(__xludf.DUMMYFUNCTION("""COMPUTED_VALUE"""),"LRM")</f>
        <v>LRM</v>
      </c>
      <c r="H906" s="23" t="str">
        <f ca="1">IFERROR(__xludf.DUMMYFUNCTION("""COMPUTED_VALUE"""),"LRM228")</f>
        <v>LRM228</v>
      </c>
      <c r="I906" s="49" t="str">
        <f ca="1">IFERROR(__xludf.DUMMYFUNCTION("""COMPUTED_VALUE"""),"A")</f>
        <v>A</v>
      </c>
      <c r="J906" s="48" t="str">
        <f ca="1">IFERROR(__xludf.DUMMYFUNCTION("""COMPUTED_VALUE"""),"Pilar Serna Peinado")</f>
        <v>Pilar Serna Peinado</v>
      </c>
      <c r="K906" s="23"/>
      <c r="L906" s="40" t="str">
        <f t="shared" ca="1" si="6"/>
        <v>LRM228</v>
      </c>
      <c r="M906" s="36" t="str">
        <f t="shared" ca="1" si="7"/>
        <v>LRM</v>
      </c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</row>
    <row r="907" spans="1:27">
      <c r="A907" s="36"/>
      <c r="B907" s="36"/>
      <c r="C907" s="22"/>
      <c r="D907" s="24"/>
      <c r="E907" s="24"/>
      <c r="F907" s="24" t="str">
        <f ca="1">IFERROR(__xludf.DUMMYFUNCTION("""COMPUTED_VALUE"""),"Lisandro Russian")</f>
        <v>Lisandro Russian</v>
      </c>
      <c r="G907" s="24" t="str">
        <f ca="1">IFERROR(__xludf.DUMMYFUNCTION("""COMPUTED_VALUE"""),"LRM")</f>
        <v>LRM</v>
      </c>
      <c r="H907" s="40" t="str">
        <f ca="1">IFERROR(__xludf.DUMMYFUNCTION("""COMPUTED_VALUE"""),"LRM113")</f>
        <v>LRM113</v>
      </c>
      <c r="I907" s="49" t="str">
        <f ca="1">IFERROR(__xludf.DUMMYFUNCTION("""COMPUTED_VALUE"""),"A")</f>
        <v>A</v>
      </c>
      <c r="J907" s="48" t="str">
        <f ca="1">IFERROR(__xludf.DUMMYFUNCTION("""COMPUTED_VALUE"""),"Raed Maqued El Maqued")</f>
        <v>Raed Maqued El Maqued</v>
      </c>
      <c r="K907" s="23"/>
      <c r="L907" s="40" t="str">
        <f t="shared" ca="1" si="6"/>
        <v>LRM113</v>
      </c>
      <c r="M907" s="36" t="str">
        <f t="shared" ca="1" si="7"/>
        <v>LRM</v>
      </c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</row>
    <row r="908" spans="1:27">
      <c r="A908" s="36"/>
      <c r="B908" s="36"/>
      <c r="C908" s="23"/>
      <c r="D908" s="50"/>
      <c r="E908" s="50"/>
      <c r="F908" s="23" t="str">
        <f ca="1">IFERROR(__xludf.DUMMYFUNCTION("""COMPUTED_VALUE"""),"Roberto Pereira")</f>
        <v>Roberto Pereira</v>
      </c>
      <c r="G908" s="23" t="str">
        <f ca="1">IFERROR(__xludf.DUMMYFUNCTION("""COMPUTED_VALUE"""),"RPG")</f>
        <v>RPG</v>
      </c>
      <c r="H908" s="23" t="str">
        <f ca="1">IFERROR(__xludf.DUMMYFUNCTION("""COMPUTED_VALUE"""),"RPG31")</f>
        <v>RPG31</v>
      </c>
      <c r="I908" s="40" t="str">
        <f ca="1">IFERROR(__xludf.DUMMYFUNCTION("""COMPUTED_VALUE"""),"A")</f>
        <v>A</v>
      </c>
      <c r="J908" s="50" t="str">
        <f ca="1">IFERROR(__xludf.DUMMYFUNCTION("""COMPUTED_VALUE"""),"Rafael Alfonso Hurtado Ruzza")</f>
        <v>Rafael Alfonso Hurtado Ruzza</v>
      </c>
      <c r="K908" s="50"/>
      <c r="L908" s="40" t="str">
        <f t="shared" ca="1" si="6"/>
        <v>RPG31</v>
      </c>
      <c r="M908" s="36" t="str">
        <f t="shared" ca="1" si="7"/>
        <v>RPG</v>
      </c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</row>
    <row r="909" spans="1:27">
      <c r="A909" s="36"/>
      <c r="B909" s="36"/>
      <c r="C909" s="36"/>
      <c r="D909" s="34"/>
      <c r="E909" s="34"/>
      <c r="F909" s="40" t="str">
        <f ca="1">IFERROR(__xludf.DUMMYFUNCTION("""COMPUTED_VALUE"""),"Maika Blázquez")</f>
        <v>Maika Blázquez</v>
      </c>
      <c r="G909" s="40" t="str">
        <f ca="1">IFERROR(__xludf.DUMMYFUNCTION("""COMPUTED_VALUE"""),"MBM")</f>
        <v>MBM</v>
      </c>
      <c r="H909" s="40" t="str">
        <f ca="1">IFERROR(__xludf.DUMMYFUNCTION("""COMPUTED_VALUE"""),"MBM72")</f>
        <v>MBM72</v>
      </c>
      <c r="I909" s="40" t="str">
        <f ca="1">IFERROR(__xludf.DUMMYFUNCTION("""COMPUTED_VALUE"""),"A")</f>
        <v>A</v>
      </c>
      <c r="J909" s="40" t="str">
        <f ca="1">IFERROR(__xludf.DUMMYFUNCTION("""COMPUTED_VALUE"""),"Rafael Aliaga Montilla")</f>
        <v>Rafael Aliaga Montilla</v>
      </c>
      <c r="K909" s="40"/>
      <c r="L909" s="40" t="str">
        <f t="shared" ca="1" si="6"/>
        <v>MBM72</v>
      </c>
      <c r="M909" s="36" t="str">
        <f t="shared" ca="1" si="7"/>
        <v>MBM</v>
      </c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</row>
    <row r="910" spans="1:27">
      <c r="A910" s="36"/>
      <c r="B910" s="36"/>
      <c r="C910" s="40"/>
      <c r="D910" s="40"/>
      <c r="E910" s="40"/>
      <c r="F910" s="40" t="str">
        <f ca="1">IFERROR(__xludf.DUMMYFUNCTION("""COMPUTED_VALUE"""),"Patricia Solache")</f>
        <v>Patricia Solache</v>
      </c>
      <c r="G910" s="40" t="str">
        <f ca="1">IFERROR(__xludf.DUMMYFUNCTION("""COMPUTED_VALUE"""),"PSC")</f>
        <v>PSC</v>
      </c>
      <c r="H910" s="40" t="str">
        <f ca="1">IFERROR(__xludf.DUMMYFUNCTION("""COMPUTED_VALUE"""),"PSC29")</f>
        <v>PSC29</v>
      </c>
      <c r="I910" s="40" t="str">
        <f ca="1">IFERROR(__xludf.DUMMYFUNCTION("""COMPUTED_VALUE"""),"A")</f>
        <v>A</v>
      </c>
      <c r="J910" s="40" t="str">
        <f ca="1">IFERROR(__xludf.DUMMYFUNCTION("""COMPUTED_VALUE"""),"Rafael Álvarez Otero")</f>
        <v>Rafael Álvarez Otero</v>
      </c>
      <c r="K910" s="40"/>
      <c r="L910" s="40" t="str">
        <f t="shared" ca="1" si="6"/>
        <v>PSC29</v>
      </c>
      <c r="M910" s="36" t="str">
        <f t="shared" ca="1" si="7"/>
        <v>PSC</v>
      </c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</row>
    <row r="911" spans="1:27">
      <c r="A911" s="36"/>
      <c r="B911" s="36"/>
      <c r="C911" s="40"/>
      <c r="D911" s="40"/>
      <c r="E911" s="40"/>
      <c r="F911" s="40" t="str">
        <f ca="1">IFERROR(__xludf.DUMMYFUNCTION("""COMPUTED_VALUE"""),"Maika Blázquez")</f>
        <v>Maika Blázquez</v>
      </c>
      <c r="G911" s="40" t="str">
        <f ca="1">IFERROR(__xludf.DUMMYFUNCTION("""COMPUTED_VALUE"""),"MBM")</f>
        <v>MBM</v>
      </c>
      <c r="H911" s="40" t="str">
        <f ca="1">IFERROR(__xludf.DUMMYFUNCTION("""COMPUTED_VALUE"""),"MBM73")</f>
        <v>MBM73</v>
      </c>
      <c r="I911" s="40" t="str">
        <f ca="1">IFERROR(__xludf.DUMMYFUNCTION("""COMPUTED_VALUE"""),"A")</f>
        <v>A</v>
      </c>
      <c r="J911" s="40" t="str">
        <f ca="1">IFERROR(__xludf.DUMMYFUNCTION("""COMPUTED_VALUE"""),"Rafael Barberá Durban")</f>
        <v>Rafael Barberá Durban</v>
      </c>
      <c r="K911" s="40"/>
      <c r="L911" s="40" t="str">
        <f t="shared" ca="1" si="6"/>
        <v>MBM73</v>
      </c>
      <c r="M911" s="36" t="str">
        <f t="shared" ca="1" si="7"/>
        <v>MBM</v>
      </c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</row>
    <row r="912" spans="1:27">
      <c r="A912" s="36"/>
      <c r="B912" s="36"/>
      <c r="C912" s="40"/>
      <c r="D912" s="40"/>
      <c r="E912" s="40"/>
      <c r="F912" s="40" t="str">
        <f ca="1">IFERROR(__xludf.DUMMYFUNCTION("""COMPUTED_VALUE"""),"Iván Sánchez")</f>
        <v>Iván Sánchez</v>
      </c>
      <c r="G912" s="40" t="str">
        <f ca="1">IFERROR(__xludf.DUMMYFUNCTION("""COMPUTED_VALUE"""),"ISL")</f>
        <v>ISL</v>
      </c>
      <c r="H912" s="40" t="str">
        <f ca="1">IFERROR(__xludf.DUMMYFUNCTION("""COMPUTED_VALUE"""),"ISL77")</f>
        <v>ISL77</v>
      </c>
      <c r="I912" s="40" t="str">
        <f ca="1">IFERROR(__xludf.DUMMYFUNCTION("""COMPUTED_VALUE"""),"B")</f>
        <v>B</v>
      </c>
      <c r="J912" s="40" t="str">
        <f ca="1">IFERROR(__xludf.DUMMYFUNCTION("""COMPUTED_VALUE"""),"Rafael Barona Guzmán")</f>
        <v>Rafael Barona Guzmán</v>
      </c>
      <c r="K912" s="40"/>
      <c r="L912" s="40" t="str">
        <f t="shared" ca="1" si="6"/>
        <v>ISL77</v>
      </c>
      <c r="M912" s="36" t="str">
        <f t="shared" ca="1" si="7"/>
        <v>ISL</v>
      </c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</row>
    <row r="913" spans="1:27">
      <c r="A913" s="36"/>
      <c r="B913" s="36"/>
      <c r="C913" s="40"/>
      <c r="D913" s="40"/>
      <c r="E913" s="40"/>
      <c r="F913" s="40" t="str">
        <f ca="1">IFERROR(__xludf.DUMMYFUNCTION("""COMPUTED_VALUE"""),"Lisandro Russian")</f>
        <v>Lisandro Russian</v>
      </c>
      <c r="G913" s="40" t="str">
        <f ca="1">IFERROR(__xludf.DUMMYFUNCTION("""COMPUTED_VALUE"""),"LRM")</f>
        <v>LRM</v>
      </c>
      <c r="H913" s="40" t="str">
        <f ca="1">IFERROR(__xludf.DUMMYFUNCTION("""COMPUTED_VALUE"""),"LRM114")</f>
        <v>LRM114</v>
      </c>
      <c r="I913" s="40" t="str">
        <f ca="1">IFERROR(__xludf.DUMMYFUNCTION("""COMPUTED_VALUE"""),"A")</f>
        <v>A</v>
      </c>
      <c r="J913" s="40" t="str">
        <f ca="1">IFERROR(__xludf.DUMMYFUNCTION("""COMPUTED_VALUE"""),"Rafael Fernández Liesa")</f>
        <v>Rafael Fernández Liesa</v>
      </c>
      <c r="K913" s="40"/>
      <c r="L913" s="40" t="str">
        <f t="shared" ca="1" si="6"/>
        <v>LRM114</v>
      </c>
      <c r="M913" s="36" t="str">
        <f t="shared" ca="1" si="7"/>
        <v>LRM</v>
      </c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</row>
    <row r="914" spans="1:27">
      <c r="A914" s="36"/>
      <c r="B914" s="36"/>
      <c r="C914" s="40"/>
      <c r="D914" s="40"/>
      <c r="E914" s="40"/>
      <c r="F914" s="40" t="str">
        <f ca="1">IFERROR(__xludf.DUMMYFUNCTION("""COMPUTED_VALUE"""),"Iván Sánchez")</f>
        <v>Iván Sánchez</v>
      </c>
      <c r="G914" s="40" t="str">
        <f ca="1">IFERROR(__xludf.DUMMYFUNCTION("""COMPUTED_VALUE"""),"ISL")</f>
        <v>ISL</v>
      </c>
      <c r="H914" s="40" t="str">
        <f ca="1">IFERROR(__xludf.DUMMYFUNCTION("""COMPUTED_VALUE"""),"ISL78")</f>
        <v>ISL78</v>
      </c>
      <c r="I914" s="40" t="str">
        <f ca="1">IFERROR(__xludf.DUMMYFUNCTION("""COMPUTED_VALUE"""),"B")</f>
        <v>B</v>
      </c>
      <c r="J914" s="40" t="str">
        <f ca="1">IFERROR(__xludf.DUMMYFUNCTION("""COMPUTED_VALUE"""),"Rafael Martínez Garceran")</f>
        <v>Rafael Martínez Garceran</v>
      </c>
      <c r="K914" s="40"/>
      <c r="L914" s="40" t="str">
        <f t="shared" ca="1" si="6"/>
        <v>ISL78</v>
      </c>
      <c r="M914" s="36" t="str">
        <f t="shared" ca="1" si="7"/>
        <v>ISL</v>
      </c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</row>
    <row r="915" spans="1:27">
      <c r="A915" s="36"/>
      <c r="B915" s="36"/>
      <c r="C915" s="40"/>
      <c r="D915" s="40"/>
      <c r="E915" s="40"/>
      <c r="F915" s="40" t="str">
        <f ca="1">IFERROR(__xludf.DUMMYFUNCTION("""COMPUTED_VALUE"""),"Iván Sánchez")</f>
        <v>Iván Sánchez</v>
      </c>
      <c r="G915" s="40" t="str">
        <f ca="1">IFERROR(__xludf.DUMMYFUNCTION("""COMPUTED_VALUE"""),"ISL")</f>
        <v>ISL</v>
      </c>
      <c r="H915" s="40" t="str">
        <f ca="1">IFERROR(__xludf.DUMMYFUNCTION("""COMPUTED_VALUE"""),"ISL79")</f>
        <v>ISL79</v>
      </c>
      <c r="I915" s="40" t="str">
        <f ca="1">IFERROR(__xludf.DUMMYFUNCTION("""COMPUTED_VALUE"""),"B")</f>
        <v>B</v>
      </c>
      <c r="J915" s="40" t="str">
        <f ca="1">IFERROR(__xludf.DUMMYFUNCTION("""COMPUTED_VALUE"""),"Rafael Pérez Aguilera")</f>
        <v>Rafael Pérez Aguilera</v>
      </c>
      <c r="K915" s="40"/>
      <c r="L915" s="40" t="str">
        <f t="shared" ca="1" si="6"/>
        <v>ISL79</v>
      </c>
      <c r="M915" s="36" t="str">
        <f t="shared" ca="1" si="7"/>
        <v>ISL</v>
      </c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</row>
    <row r="916" spans="1:27">
      <c r="A916" s="36"/>
      <c r="B916" s="36"/>
      <c r="C916" s="40"/>
      <c r="D916" s="40"/>
      <c r="E916" s="40"/>
      <c r="F916" s="40" t="str">
        <f ca="1">IFERROR(__xludf.DUMMYFUNCTION("""COMPUTED_VALUE"""),"Patricia Solache")</f>
        <v>Patricia Solache</v>
      </c>
      <c r="G916" s="40" t="str">
        <f ca="1">IFERROR(__xludf.DUMMYFUNCTION("""COMPUTED_VALUE"""),"PSC")</f>
        <v>PSC</v>
      </c>
      <c r="H916" s="40" t="str">
        <f ca="1">IFERROR(__xludf.DUMMYFUNCTION("""COMPUTED_VALUE"""),"PSC30")</f>
        <v>PSC30</v>
      </c>
      <c r="I916" s="40" t="str">
        <f ca="1">IFERROR(__xludf.DUMMYFUNCTION("""COMPUTED_VALUE"""),"A")</f>
        <v>A</v>
      </c>
      <c r="J916" s="40" t="str">
        <f ca="1">IFERROR(__xludf.DUMMYFUNCTION("""COMPUTED_VALUE"""),"Rafael Pérez González")</f>
        <v>Rafael Pérez González</v>
      </c>
      <c r="K916" s="40"/>
      <c r="L916" s="40" t="str">
        <f t="shared" ca="1" si="6"/>
        <v>PSC30</v>
      </c>
      <c r="M916" s="36" t="str">
        <f t="shared" ca="1" si="7"/>
        <v>PSC</v>
      </c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</row>
    <row r="917" spans="1:27">
      <c r="A917" s="36"/>
      <c r="B917" s="36"/>
      <c r="C917" s="40"/>
      <c r="D917" s="40"/>
      <c r="E917" s="40"/>
      <c r="F917" s="40" t="str">
        <f ca="1">IFERROR(__xludf.DUMMYFUNCTION("""COMPUTED_VALUE"""),"Luis Alberto Rodríguez")</f>
        <v>Luis Alberto Rodríguez</v>
      </c>
      <c r="G917" s="40" t="str">
        <f ca="1">IFERROR(__xludf.DUMMYFUNCTION("""COMPUTED_VALUE"""),"LAA")</f>
        <v>LAA</v>
      </c>
      <c r="H917" s="40" t="str">
        <f ca="1">IFERROR(__xludf.DUMMYFUNCTION("""COMPUTED_VALUE"""),"LAA39")</f>
        <v>LAA39</v>
      </c>
      <c r="I917" s="40" t="str">
        <f ca="1">IFERROR(__xludf.DUMMYFUNCTION("""COMPUTED_VALUE"""),"C")</f>
        <v>C</v>
      </c>
      <c r="J917" s="40" t="str">
        <f ca="1">IFERROR(__xludf.DUMMYFUNCTION("""COMPUTED_VALUE"""),"Rafael Ramírez Ponferrada")</f>
        <v>Rafael Ramírez Ponferrada</v>
      </c>
      <c r="K917" s="40"/>
      <c r="L917" s="40" t="str">
        <f t="shared" ca="1" si="6"/>
        <v>LAA39</v>
      </c>
      <c r="M917" s="36" t="str">
        <f t="shared" ca="1" si="7"/>
        <v>LAA</v>
      </c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</row>
    <row r="918" spans="1:27">
      <c r="A918" s="36"/>
      <c r="B918" s="36"/>
      <c r="C918" s="40"/>
      <c r="D918" s="40"/>
      <c r="E918" s="40"/>
      <c r="F918" s="40" t="str">
        <f ca="1">IFERROR(__xludf.DUMMYFUNCTION("""COMPUTED_VALUE"""),"Luis Alberto Rodríguez")</f>
        <v>Luis Alberto Rodríguez</v>
      </c>
      <c r="G918" s="40" t="str">
        <f ca="1">IFERROR(__xludf.DUMMYFUNCTION("""COMPUTED_VALUE"""),"LAA")</f>
        <v>LAA</v>
      </c>
      <c r="H918" s="40" t="str">
        <f ca="1">IFERROR(__xludf.DUMMYFUNCTION("""COMPUTED_VALUE"""),"LAA40")</f>
        <v>LAA40</v>
      </c>
      <c r="I918" s="40" t="str">
        <f ca="1">IFERROR(__xludf.DUMMYFUNCTION("""COMPUTED_VALUE"""),"C")</f>
        <v>C</v>
      </c>
      <c r="J918" s="40" t="str">
        <f ca="1">IFERROR(__xludf.DUMMYFUNCTION("""COMPUTED_VALUE"""),"Rafael Ruiz Fito")</f>
        <v>Rafael Ruiz Fito</v>
      </c>
      <c r="K918" s="40"/>
      <c r="L918" s="40" t="str">
        <f t="shared" ca="1" si="6"/>
        <v>LAA40</v>
      </c>
      <c r="M918" s="36" t="str">
        <f t="shared" ca="1" si="7"/>
        <v>LAA</v>
      </c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</row>
    <row r="919" spans="1:27">
      <c r="A919" s="36"/>
      <c r="B919" s="36"/>
      <c r="C919" s="40"/>
      <c r="D919" s="40"/>
      <c r="E919" s="40"/>
      <c r="F919" s="40" t="str">
        <f ca="1">IFERROR(__xludf.DUMMYFUNCTION("""COMPUTED_VALUE"""),"Lisandro Russian")</f>
        <v>Lisandro Russian</v>
      </c>
      <c r="G919" s="40" t="str">
        <f ca="1">IFERROR(__xludf.DUMMYFUNCTION("""COMPUTED_VALUE"""),"LRM")</f>
        <v>LRM</v>
      </c>
      <c r="H919" s="40" t="str">
        <f ca="1">IFERROR(__xludf.DUMMYFUNCTION("""COMPUTED_VALUE"""),"LRM115")</f>
        <v>LRM115</v>
      </c>
      <c r="I919" s="40" t="str">
        <f ca="1">IFERROR(__xludf.DUMMYFUNCTION("""COMPUTED_VALUE"""),"A")</f>
        <v>A</v>
      </c>
      <c r="J919" s="40" t="str">
        <f ca="1">IFERROR(__xludf.DUMMYFUNCTION("""COMPUTED_VALUE"""),"Rafael Sanz Trenado")</f>
        <v>Rafael Sanz Trenado</v>
      </c>
      <c r="K919" s="40"/>
      <c r="L919" s="40" t="str">
        <f t="shared" ca="1" si="6"/>
        <v>LRM115</v>
      </c>
      <c r="M919" s="36" t="str">
        <f t="shared" ca="1" si="7"/>
        <v>LRM</v>
      </c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</row>
    <row r="920" spans="1:27">
      <c r="A920" s="36"/>
      <c r="B920" s="36"/>
      <c r="C920" s="40"/>
      <c r="D920" s="40"/>
      <c r="E920" s="40"/>
      <c r="F920" s="40" t="str">
        <f ca="1">IFERROR(__xludf.DUMMYFUNCTION("""COMPUTED_VALUE"""),"Mercè Cabrera")</f>
        <v>Mercè Cabrera</v>
      </c>
      <c r="G920" s="40" t="str">
        <f ca="1">IFERROR(__xludf.DUMMYFUNCTION("""COMPUTED_VALUE"""),"MCC")</f>
        <v>MCC</v>
      </c>
      <c r="H920" s="40" t="str">
        <f ca="1">IFERROR(__xludf.DUMMYFUNCTION("""COMPUTED_VALUE"""),"MCC31")</f>
        <v>MCC31</v>
      </c>
      <c r="I920" s="40" t="str">
        <f ca="1">IFERROR(__xludf.DUMMYFUNCTION("""COMPUTED_VALUE"""),"A")</f>
        <v>A</v>
      </c>
      <c r="J920" s="40" t="str">
        <f ca="1">IFERROR(__xludf.DUMMYFUNCTION("""COMPUTED_VALUE"""),"Rafael Vera Llao")</f>
        <v>Rafael Vera Llao</v>
      </c>
      <c r="K920" s="40"/>
      <c r="L920" s="40" t="str">
        <f t="shared" ca="1" si="6"/>
        <v>MCC31</v>
      </c>
      <c r="M920" s="36" t="str">
        <f t="shared" ca="1" si="7"/>
        <v>MCC</v>
      </c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</row>
    <row r="921" spans="1:27">
      <c r="A921" s="36"/>
      <c r="B921" s="36"/>
      <c r="C921" s="40"/>
      <c r="D921" s="40"/>
      <c r="E921" s="40"/>
      <c r="F921" s="40" t="str">
        <f ca="1">IFERROR(__xludf.DUMMYFUNCTION("""COMPUTED_VALUE"""),"Ramon Ferrando")</f>
        <v>Ramon Ferrando</v>
      </c>
      <c r="G921" s="40" t="str">
        <f ca="1">IFERROR(__xludf.DUMMYFUNCTION("""COMPUTED_VALUE"""),"RFV")</f>
        <v>RFV</v>
      </c>
      <c r="H921" s="40" t="str">
        <f ca="1">IFERROR(__xludf.DUMMYFUNCTION("""COMPUTED_VALUE"""),"RFV24")</f>
        <v>RFV24</v>
      </c>
      <c r="I921" s="40" t="str">
        <f ca="1">IFERROR(__xludf.DUMMYFUNCTION("""COMPUTED_VALUE"""),"B")</f>
        <v>B</v>
      </c>
      <c r="J921" s="40" t="str">
        <f ca="1">IFERROR(__xludf.DUMMYFUNCTION("""COMPUTED_VALUE"""),"Raimon García Chillerón")</f>
        <v>Raimon García Chillerón</v>
      </c>
      <c r="K921" s="40"/>
      <c r="L921" s="40" t="str">
        <f t="shared" ca="1" si="6"/>
        <v>RFV24</v>
      </c>
      <c r="M921" s="36" t="str">
        <f t="shared" ca="1" si="7"/>
        <v>RFV</v>
      </c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</row>
    <row r="922" spans="1:27">
      <c r="A922" s="36"/>
      <c r="B922" s="36"/>
      <c r="C922" s="40"/>
      <c r="D922" s="40"/>
      <c r="E922" s="40"/>
      <c r="F922" s="40" t="str">
        <f ca="1">IFERROR(__xludf.DUMMYFUNCTION("""COMPUTED_VALUE"""),"Maika Blázquez")</f>
        <v>Maika Blázquez</v>
      </c>
      <c r="G922" s="40" t="str">
        <f ca="1">IFERROR(__xludf.DUMMYFUNCTION("""COMPUTED_VALUE"""),"MBM")</f>
        <v>MBM</v>
      </c>
      <c r="H922" s="40" t="str">
        <f ca="1">IFERROR(__xludf.DUMMYFUNCTION("""COMPUTED_VALUE"""),"MBM74")</f>
        <v>MBM74</v>
      </c>
      <c r="I922" s="40" t="str">
        <f ca="1">IFERROR(__xludf.DUMMYFUNCTION("""COMPUTED_VALUE"""),"A")</f>
        <v>A</v>
      </c>
      <c r="J922" s="40" t="str">
        <f ca="1">IFERROR(__xludf.DUMMYFUNCTION("""COMPUTED_VALUE"""),"Raimundo Andres Navarro Mediano")</f>
        <v>Raimundo Andres Navarro Mediano</v>
      </c>
      <c r="K922" s="40"/>
      <c r="L922" s="40" t="str">
        <f t="shared" ca="1" si="6"/>
        <v>MBM74</v>
      </c>
      <c r="M922" s="36" t="str">
        <f t="shared" ca="1" si="7"/>
        <v>MBM</v>
      </c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</row>
    <row r="923" spans="1:27">
      <c r="A923" s="36"/>
      <c r="B923" s="36"/>
      <c r="C923" s="40"/>
      <c r="D923" s="40"/>
      <c r="E923" s="40"/>
      <c r="F923" s="40" t="str">
        <f ca="1">IFERROR(__xludf.DUMMYFUNCTION("""COMPUTED_VALUE"""),"Maika Blázquez")</f>
        <v>Maika Blázquez</v>
      </c>
      <c r="G923" s="40" t="str">
        <f ca="1">IFERROR(__xludf.DUMMYFUNCTION("""COMPUTED_VALUE"""),"MBM")</f>
        <v>MBM</v>
      </c>
      <c r="H923" s="40" t="str">
        <f ca="1">IFERROR(__xludf.DUMMYFUNCTION("""COMPUTED_VALUE"""),"MBM75")</f>
        <v>MBM75</v>
      </c>
      <c r="I923" s="40" t="str">
        <f ca="1">IFERROR(__xludf.DUMMYFUNCTION("""COMPUTED_VALUE"""),"A")</f>
        <v>A</v>
      </c>
      <c r="J923" s="40" t="str">
        <f ca="1">IFERROR(__xludf.DUMMYFUNCTION("""COMPUTED_VALUE"""),"Raimundo Gómez-Blasi")</f>
        <v>Raimundo Gómez-Blasi</v>
      </c>
      <c r="K923" s="40"/>
      <c r="L923" s="40" t="str">
        <f t="shared" ca="1" si="6"/>
        <v>MBM75</v>
      </c>
      <c r="M923" s="36" t="str">
        <f t="shared" ca="1" si="7"/>
        <v>MBM</v>
      </c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</row>
    <row r="924" spans="1:27">
      <c r="A924" s="36"/>
      <c r="B924" s="36"/>
      <c r="C924" s="40"/>
      <c r="D924" s="40"/>
      <c r="E924" s="40"/>
      <c r="F924" s="40" t="str">
        <f ca="1">IFERROR(__xludf.DUMMYFUNCTION("""COMPUTED_VALUE"""),"Maika Blázquez")</f>
        <v>Maika Blázquez</v>
      </c>
      <c r="G924" s="40" t="str">
        <f ca="1">IFERROR(__xludf.DUMMYFUNCTION("""COMPUTED_VALUE"""),"MBM")</f>
        <v>MBM</v>
      </c>
      <c r="H924" s="40" t="str">
        <f ca="1">IFERROR(__xludf.DUMMYFUNCTION("""COMPUTED_VALUE"""),"MBM76")</f>
        <v>MBM76</v>
      </c>
      <c r="I924" s="40" t="str">
        <f ca="1">IFERROR(__xludf.DUMMYFUNCTION("""COMPUTED_VALUE"""),"A")</f>
        <v>A</v>
      </c>
      <c r="J924" s="40" t="str">
        <f ca="1">IFERROR(__xludf.DUMMYFUNCTION("""COMPUTED_VALUE"""),"Ramón González Herranz")</f>
        <v>Ramón González Herranz</v>
      </c>
      <c r="K924" s="40"/>
      <c r="L924" s="40" t="str">
        <f t="shared" ca="1" si="6"/>
        <v>MBM76</v>
      </c>
      <c r="M924" s="36" t="str">
        <f t="shared" ca="1" si="7"/>
        <v>MBM</v>
      </c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</row>
    <row r="925" spans="1:27">
      <c r="A925" s="36"/>
      <c r="B925" s="36"/>
      <c r="C925" s="40"/>
      <c r="D925" s="40"/>
      <c r="E925" s="40"/>
      <c r="F925" s="40" t="str">
        <f ca="1">IFERROR(__xludf.DUMMYFUNCTION("""COMPUTED_VALUE"""),"Lisandro Russian")</f>
        <v>Lisandro Russian</v>
      </c>
      <c r="G925" s="40" t="str">
        <f ca="1">IFERROR(__xludf.DUMMYFUNCTION("""COMPUTED_VALUE"""),"LRM")</f>
        <v>LRM</v>
      </c>
      <c r="H925" s="40" t="str">
        <f ca="1">IFERROR(__xludf.DUMMYFUNCTION("""COMPUTED_VALUE"""),"LRM116")</f>
        <v>LRM116</v>
      </c>
      <c r="I925" s="40" t="str">
        <f ca="1">IFERROR(__xludf.DUMMYFUNCTION("""COMPUTED_VALUE"""),"A")</f>
        <v>A</v>
      </c>
      <c r="J925" s="40" t="str">
        <f ca="1">IFERROR(__xludf.DUMMYFUNCTION("""COMPUTED_VALUE"""),"Ramón Luis Escuaín Escanilla")</f>
        <v>Ramón Luis Escuaín Escanilla</v>
      </c>
      <c r="K925" s="40"/>
      <c r="L925" s="40" t="str">
        <f t="shared" ca="1" si="6"/>
        <v>LRM116</v>
      </c>
      <c r="M925" s="36" t="str">
        <f t="shared" ca="1" si="7"/>
        <v>LRM</v>
      </c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</row>
    <row r="926" spans="1:27">
      <c r="A926" s="36"/>
      <c r="B926" s="36"/>
      <c r="C926" s="36"/>
      <c r="D926" s="40"/>
      <c r="E926" s="40"/>
      <c r="F926" s="51" t="str">
        <f ca="1">IFERROR(__xludf.DUMMYFUNCTION("""COMPUTED_VALUE"""),"Lisandro Russian")</f>
        <v>Lisandro Russian</v>
      </c>
      <c r="G926" s="51" t="str">
        <f ca="1">IFERROR(__xludf.DUMMYFUNCTION("""COMPUTED_VALUE"""),"LRM")</f>
        <v>LRM</v>
      </c>
      <c r="H926" s="51" t="str">
        <f ca="1">IFERROR(__xludf.DUMMYFUNCTION("""COMPUTED_VALUE"""),"LRM117")</f>
        <v>LRM117</v>
      </c>
      <c r="I926" s="51" t="str">
        <f ca="1">IFERROR(__xludf.DUMMYFUNCTION("""COMPUTED_VALUE"""),"A")</f>
        <v>A</v>
      </c>
      <c r="J926" s="51" t="str">
        <f ca="1">IFERROR(__xludf.DUMMYFUNCTION("""COMPUTED_VALUE"""),"Ramón Martínez Carranza")</f>
        <v>Ramón Martínez Carranza</v>
      </c>
      <c r="K926" s="51"/>
      <c r="L926" s="40" t="str">
        <f t="shared" ca="1" si="6"/>
        <v>LRM117</v>
      </c>
      <c r="M926" s="36" t="str">
        <f t="shared" ca="1" si="7"/>
        <v>LRM</v>
      </c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</row>
    <row r="927" spans="1:27">
      <c r="A927" s="36"/>
      <c r="B927" s="36"/>
      <c r="C927" s="36"/>
      <c r="D927" s="36"/>
      <c r="E927" s="36"/>
      <c r="F927" s="51" t="str">
        <f ca="1">IFERROR(__xludf.DUMMYFUNCTION("""COMPUTED_VALUE"""),"Lisandro Russian")</f>
        <v>Lisandro Russian</v>
      </c>
      <c r="G927" s="51" t="str">
        <f ca="1">IFERROR(__xludf.DUMMYFUNCTION("""COMPUTED_VALUE"""),"LRM")</f>
        <v>LRM</v>
      </c>
      <c r="H927" s="51" t="str">
        <f ca="1">IFERROR(__xludf.DUMMYFUNCTION("""COMPUTED_VALUE"""),"LRM118")</f>
        <v>LRM118</v>
      </c>
      <c r="I927" s="51" t="str">
        <f ca="1">IFERROR(__xludf.DUMMYFUNCTION("""COMPUTED_VALUE"""),"A")</f>
        <v>A</v>
      </c>
      <c r="J927" s="51" t="str">
        <f ca="1">IFERROR(__xludf.DUMMYFUNCTION("""COMPUTED_VALUE"""),"Ramón Martínez-Berganza Asensio")</f>
        <v>Ramón Martínez-Berganza Asensio</v>
      </c>
      <c r="K927" s="51"/>
      <c r="L927" s="40" t="str">
        <f t="shared" ca="1" si="6"/>
        <v>LRM118</v>
      </c>
      <c r="M927" s="36" t="str">
        <f t="shared" ca="1" si="7"/>
        <v>LRM</v>
      </c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</row>
    <row r="928" spans="1:27">
      <c r="A928" s="36"/>
      <c r="B928" s="36"/>
      <c r="C928" s="36"/>
      <c r="D928" s="36"/>
      <c r="E928" s="36"/>
      <c r="F928" s="51" t="str">
        <f ca="1">IFERROR(__xludf.DUMMYFUNCTION("""COMPUTED_VALUE"""),"Lisandro Russian")</f>
        <v>Lisandro Russian</v>
      </c>
      <c r="G928" s="51" t="str">
        <f ca="1">IFERROR(__xludf.DUMMYFUNCTION("""COMPUTED_VALUE"""),"LRM")</f>
        <v>LRM</v>
      </c>
      <c r="H928" s="51" t="str">
        <f ca="1">IFERROR(__xludf.DUMMYFUNCTION("""COMPUTED_VALUE"""),"LRM229")</f>
        <v>LRM229</v>
      </c>
      <c r="I928" s="51" t="str">
        <f ca="1">IFERROR(__xludf.DUMMYFUNCTION("""COMPUTED_VALUE"""),"A")</f>
        <v>A</v>
      </c>
      <c r="J928" s="51" t="str">
        <f ca="1">IFERROR(__xludf.DUMMYFUNCTION("""COMPUTED_VALUE"""),"Raquel Artal Sánchez")</f>
        <v>Raquel Artal Sánchez</v>
      </c>
      <c r="K928" s="51"/>
      <c r="L928" s="40" t="str">
        <f t="shared" ca="1" si="6"/>
        <v>LRM229</v>
      </c>
      <c r="M928" s="36" t="str">
        <f t="shared" ca="1" si="7"/>
        <v>LRM</v>
      </c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</row>
    <row r="929" spans="1:27">
      <c r="A929" s="36"/>
      <c r="B929" s="36"/>
      <c r="C929" s="36"/>
      <c r="D929" s="36"/>
      <c r="E929" s="36"/>
      <c r="F929" s="51" t="str">
        <f ca="1">IFERROR(__xludf.DUMMYFUNCTION("""COMPUTED_VALUE"""),"Maika Blázquez")</f>
        <v>Maika Blázquez</v>
      </c>
      <c r="G929" s="51" t="str">
        <f ca="1">IFERROR(__xludf.DUMMYFUNCTION("""COMPUTED_VALUE"""),"MBM")</f>
        <v>MBM</v>
      </c>
      <c r="H929" s="51" t="str">
        <f ca="1">IFERROR(__xludf.DUMMYFUNCTION("""COMPUTED_VALUE"""),"MBM229")</f>
        <v>MBM229</v>
      </c>
      <c r="I929" s="51" t="str">
        <f ca="1">IFERROR(__xludf.DUMMYFUNCTION("""COMPUTED_VALUE"""),"A")</f>
        <v>A</v>
      </c>
      <c r="J929" s="51" t="str">
        <f ca="1">IFERROR(__xludf.DUMMYFUNCTION("""COMPUTED_VALUE"""),"Raquel de Lama Bermejo")</f>
        <v>Raquel de Lama Bermejo</v>
      </c>
      <c r="K929" s="51"/>
      <c r="L929" s="40" t="str">
        <f t="shared" ca="1" si="6"/>
        <v>MBM229</v>
      </c>
      <c r="M929" s="36" t="str">
        <f t="shared" ca="1" si="7"/>
        <v>MBM</v>
      </c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</row>
    <row r="930" spans="1:27">
      <c r="A930" s="36"/>
      <c r="B930" s="36"/>
      <c r="C930" s="36"/>
      <c r="D930" s="36"/>
      <c r="E930" s="36"/>
      <c r="F930" s="51" t="str">
        <f ca="1">IFERROR(__xludf.DUMMYFUNCTION("""COMPUTED_VALUE"""),"Luis Alberto Rodríguez")</f>
        <v>Luis Alberto Rodríguez</v>
      </c>
      <c r="G930" s="51" t="str">
        <f ca="1">IFERROR(__xludf.DUMMYFUNCTION("""COMPUTED_VALUE"""),"LAA")</f>
        <v>LAA</v>
      </c>
      <c r="H930" s="51" t="str">
        <f ca="1">IFERROR(__xludf.DUMMYFUNCTION("""COMPUTED_VALUE"""),"LAA57")</f>
        <v>LAA57</v>
      </c>
      <c r="I930" s="51" t="str">
        <f ca="1">IFERROR(__xludf.DUMMYFUNCTION("""COMPUTED_VALUE"""),"C")</f>
        <v>C</v>
      </c>
      <c r="J930" s="51" t="str">
        <f ca="1">IFERROR(__xludf.DUMMYFUNCTION("""COMPUTED_VALUE"""),"Raquel Solís Vázquez")</f>
        <v>Raquel Solís Vázquez</v>
      </c>
      <c r="K930" s="51"/>
      <c r="L930" s="40" t="str">
        <f t="shared" ca="1" si="6"/>
        <v>LAA57</v>
      </c>
      <c r="M930" s="36" t="str">
        <f t="shared" ca="1" si="7"/>
        <v>LAA</v>
      </c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</row>
    <row r="931" spans="1:27">
      <c r="A931" s="36"/>
      <c r="B931" s="36"/>
      <c r="C931" s="36"/>
      <c r="D931" s="36"/>
      <c r="E931" s="36"/>
      <c r="F931" s="51" t="str">
        <f ca="1">IFERROR(__xludf.DUMMYFUNCTION("""COMPUTED_VALUE"""),"Maika Blázquez")</f>
        <v>Maika Blázquez</v>
      </c>
      <c r="G931" s="51" t="str">
        <f ca="1">IFERROR(__xludf.DUMMYFUNCTION("""COMPUTED_VALUE"""),"MBM")</f>
        <v>MBM</v>
      </c>
      <c r="H931" s="51" t="str">
        <f ca="1">IFERROR(__xludf.DUMMYFUNCTION("""COMPUTED_VALUE"""),"MBM77")</f>
        <v>MBM77</v>
      </c>
      <c r="I931" s="51" t="str">
        <f ca="1">IFERROR(__xludf.DUMMYFUNCTION("""COMPUTED_VALUE"""),"A")</f>
        <v>A</v>
      </c>
      <c r="J931" s="51" t="str">
        <f ca="1">IFERROR(__xludf.DUMMYFUNCTION("""COMPUTED_VALUE"""),"Raúl Del Castillo López")</f>
        <v>Raúl Del Castillo López</v>
      </c>
      <c r="K931" s="51"/>
      <c r="L931" s="40" t="str">
        <f t="shared" ca="1" si="6"/>
        <v>MBM77</v>
      </c>
      <c r="M931" s="36" t="str">
        <f t="shared" ca="1" si="7"/>
        <v>MBM</v>
      </c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</row>
    <row r="932" spans="1:27">
      <c r="A932" s="36"/>
      <c r="B932" s="36"/>
      <c r="C932" s="36"/>
      <c r="D932" s="36"/>
      <c r="E932" s="36"/>
      <c r="F932" s="51" t="str">
        <f ca="1">IFERROR(__xludf.DUMMYFUNCTION("""COMPUTED_VALUE"""),"Maika Blázquez")</f>
        <v>Maika Blázquez</v>
      </c>
      <c r="G932" s="51" t="str">
        <f ca="1">IFERROR(__xludf.DUMMYFUNCTION("""COMPUTED_VALUE"""),"MBM")</f>
        <v>MBM</v>
      </c>
      <c r="H932" s="51" t="str">
        <f ca="1">IFERROR(__xludf.DUMMYFUNCTION("""COMPUTED_VALUE"""),"MBM78")</f>
        <v>MBM78</v>
      </c>
      <c r="I932" s="51" t="str">
        <f ca="1">IFERROR(__xludf.DUMMYFUNCTION("""COMPUTED_VALUE"""),"A")</f>
        <v>A</v>
      </c>
      <c r="J932" s="51" t="str">
        <f ca="1">IFERROR(__xludf.DUMMYFUNCTION("""COMPUTED_VALUE"""),"Raúl Rubio Yangüas")</f>
        <v>Raúl Rubio Yangüas</v>
      </c>
      <c r="K932" s="51"/>
      <c r="L932" s="40" t="str">
        <f t="shared" ca="1" si="6"/>
        <v>MBM78</v>
      </c>
      <c r="M932" s="36" t="str">
        <f t="shared" ca="1" si="7"/>
        <v>MBM</v>
      </c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</row>
    <row r="933" spans="1:27">
      <c r="A933" s="36"/>
      <c r="B933" s="36"/>
      <c r="C933" s="36"/>
      <c r="D933" s="36"/>
      <c r="E933" s="36"/>
      <c r="F933" s="51" t="str">
        <f ca="1">IFERROR(__xludf.DUMMYFUNCTION("""COMPUTED_VALUE"""),"Lisandro Russian")</f>
        <v>Lisandro Russian</v>
      </c>
      <c r="G933" s="51" t="str">
        <f ca="1">IFERROR(__xludf.DUMMYFUNCTION("""COMPUTED_VALUE"""),"LRM")</f>
        <v>LRM</v>
      </c>
      <c r="H933" s="51" t="str">
        <f ca="1">IFERROR(__xludf.DUMMYFUNCTION("""COMPUTED_VALUE"""),"LRM230")</f>
        <v>LRM230</v>
      </c>
      <c r="I933" s="51" t="str">
        <f ca="1">IFERROR(__xludf.DUMMYFUNCTION("""COMPUTED_VALUE"""),"A")</f>
        <v>A</v>
      </c>
      <c r="J933" s="51" t="str">
        <f ca="1">IFERROR(__xludf.DUMMYFUNCTION("""COMPUTED_VALUE"""),"Rebeca Barrios Gonzalo")</f>
        <v>Rebeca Barrios Gonzalo</v>
      </c>
      <c r="K933" s="51"/>
      <c r="L933" s="40" t="str">
        <f t="shared" ca="1" si="6"/>
        <v>LRM230</v>
      </c>
      <c r="M933" s="36" t="str">
        <f t="shared" ca="1" si="7"/>
        <v>LRM</v>
      </c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</row>
    <row r="934" spans="1:27">
      <c r="A934" s="36"/>
      <c r="B934" s="36"/>
      <c r="C934" s="36"/>
      <c r="D934" s="36"/>
      <c r="E934" s="36"/>
      <c r="F934" s="51" t="str">
        <f ca="1">IFERROR(__xludf.DUMMYFUNCTION("""COMPUTED_VALUE"""),"Mercè Cabrera")</f>
        <v>Mercè Cabrera</v>
      </c>
      <c r="G934" s="51" t="str">
        <f ca="1">IFERROR(__xludf.DUMMYFUNCTION("""COMPUTED_VALUE"""),"MCC")</f>
        <v>MCC</v>
      </c>
      <c r="H934" s="51" t="str">
        <f ca="1">IFERROR(__xludf.DUMMYFUNCTION("""COMPUTED_VALUE"""),"MCC56")</f>
        <v>MCC56</v>
      </c>
      <c r="I934" s="51" t="str">
        <f ca="1">IFERROR(__xludf.DUMMYFUNCTION("""COMPUTED_VALUE"""),"A")</f>
        <v>A</v>
      </c>
      <c r="J934" s="51" t="str">
        <f ca="1">IFERROR(__xludf.DUMMYFUNCTION("""COMPUTED_VALUE"""),"Renata Jiménez Martínez")</f>
        <v>Renata Jiménez Martínez</v>
      </c>
      <c r="K934" s="51"/>
      <c r="L934" s="40" t="str">
        <f t="shared" ca="1" si="6"/>
        <v>MCC56</v>
      </c>
      <c r="M934" s="36" t="str">
        <f t="shared" ca="1" si="7"/>
        <v>MCC</v>
      </c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</row>
    <row r="935" spans="1:27">
      <c r="A935" s="36"/>
      <c r="B935" s="36"/>
      <c r="C935" s="36"/>
      <c r="D935" s="36"/>
      <c r="E935" s="36"/>
      <c r="F935" s="51" t="str">
        <f ca="1">IFERROR(__xludf.DUMMYFUNCTION("""COMPUTED_VALUE"""),"Maika Blázquez")</f>
        <v>Maika Blázquez</v>
      </c>
      <c r="G935" s="51" t="str">
        <f ca="1">IFERROR(__xludf.DUMMYFUNCTION("""COMPUTED_VALUE"""),"MBM")</f>
        <v>MBM</v>
      </c>
      <c r="H935" s="51" t="str">
        <f ca="1">IFERROR(__xludf.DUMMYFUNCTION("""COMPUTED_VALUE"""),"MBM79")</f>
        <v>MBM79</v>
      </c>
      <c r="I935" s="51" t="str">
        <f ca="1">IFERROR(__xludf.DUMMYFUNCTION("""COMPUTED_VALUE"""),"A")</f>
        <v>A</v>
      </c>
      <c r="J935" s="51" t="str">
        <f ca="1">IFERROR(__xludf.DUMMYFUNCTION("""COMPUTED_VALUE"""),"Ricardo González-Orus")</f>
        <v>Ricardo González-Orus</v>
      </c>
      <c r="K935" s="51"/>
      <c r="L935" s="40" t="str">
        <f t="shared" ca="1" si="6"/>
        <v>MBM79</v>
      </c>
      <c r="M935" s="36" t="str">
        <f t="shared" ca="1" si="7"/>
        <v>MBM</v>
      </c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</row>
    <row r="936" spans="1:27">
      <c r="A936" s="36"/>
      <c r="B936" s="36"/>
      <c r="C936" s="36"/>
      <c r="D936" s="36"/>
      <c r="E936" s="36"/>
      <c r="F936" s="51" t="str">
        <f ca="1">IFERROR(__xludf.DUMMYFUNCTION("""COMPUTED_VALUE"""),"Luis Alberto Rodríguez")</f>
        <v>Luis Alberto Rodríguez</v>
      </c>
      <c r="G936" s="51" t="str">
        <f ca="1">IFERROR(__xludf.DUMMYFUNCTION("""COMPUTED_VALUE"""),"LAA")</f>
        <v>LAA</v>
      </c>
      <c r="H936" s="51" t="str">
        <f ca="1">IFERROR(__xludf.DUMMYFUNCTION("""COMPUTED_VALUE"""),"LAA87")</f>
        <v>LAA87</v>
      </c>
      <c r="I936" s="51" t="str">
        <f ca="1">IFERROR(__xludf.DUMMYFUNCTION("""COMPUTED_VALUE"""),"C")</f>
        <v>C</v>
      </c>
      <c r="J936" s="51" t="str">
        <f ca="1">IFERROR(__xludf.DUMMYFUNCTION("""COMPUTED_VALUE"""),"Richard Chávez León")</f>
        <v>Richard Chávez León</v>
      </c>
      <c r="K936" s="51"/>
      <c r="L936" s="40" t="str">
        <f t="shared" ca="1" si="6"/>
        <v>LAA87</v>
      </c>
      <c r="M936" s="36" t="str">
        <f t="shared" ca="1" si="7"/>
        <v>LAA</v>
      </c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</row>
    <row r="937" spans="1:27">
      <c r="A937" s="36"/>
      <c r="B937" s="36"/>
      <c r="C937" s="36"/>
      <c r="D937" s="36"/>
      <c r="E937" s="36"/>
      <c r="F937" s="51" t="str">
        <f ca="1">IFERROR(__xludf.DUMMYFUNCTION("""COMPUTED_VALUE"""),"Maika Blázquez")</f>
        <v>Maika Blázquez</v>
      </c>
      <c r="G937" s="51" t="str">
        <f ca="1">IFERROR(__xludf.DUMMYFUNCTION("""COMPUTED_VALUE"""),"MBM")</f>
        <v>MBM</v>
      </c>
      <c r="H937" s="51" t="str">
        <f ca="1">IFERROR(__xludf.DUMMYFUNCTION("""COMPUTED_VALUE"""),"MBM224")</f>
        <v>MBM224</v>
      </c>
      <c r="I937" s="51" t="str">
        <f ca="1">IFERROR(__xludf.DUMMYFUNCTION("""COMPUTED_VALUE"""),"A")</f>
        <v>A</v>
      </c>
      <c r="J937" s="51" t="str">
        <f ca="1">IFERROR(__xludf.DUMMYFUNCTION("""COMPUTED_VALUE"""),"Roberto Sanz Garzón")</f>
        <v>Roberto Sanz Garzón</v>
      </c>
      <c r="K937" s="51"/>
      <c r="L937" s="40" t="str">
        <f t="shared" ca="1" si="6"/>
        <v>MBM224</v>
      </c>
      <c r="M937" s="36" t="str">
        <f t="shared" ca="1" si="7"/>
        <v>MBM</v>
      </c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</row>
    <row r="938" spans="1:27">
      <c r="A938" s="36"/>
      <c r="B938" s="36"/>
      <c r="C938" s="36"/>
      <c r="D938" s="36"/>
      <c r="E938" s="36"/>
      <c r="F938" s="1" t="str">
        <f ca="1">IFERROR(__xludf.DUMMYFUNCTION("""COMPUTED_VALUE"""),"Iván Sánchez")</f>
        <v>Iván Sánchez</v>
      </c>
      <c r="G938" s="1" t="str">
        <f ca="1">IFERROR(__xludf.DUMMYFUNCTION("""COMPUTED_VALUE"""),"ISL")</f>
        <v>ISL</v>
      </c>
      <c r="H938" s="1" t="str">
        <f ca="1">IFERROR(__xludf.DUMMYFUNCTION("""COMPUTED_VALUE"""),"ISL132")</f>
        <v>ISL132</v>
      </c>
      <c r="I938" s="1" t="str">
        <f ca="1">IFERROR(__xludf.DUMMYFUNCTION("""COMPUTED_VALUE"""),"B")</f>
        <v>B</v>
      </c>
      <c r="J938" s="1" t="str">
        <f ca="1">IFERROR(__xludf.DUMMYFUNCTION("""COMPUTED_VALUE"""),"Rocío Arce Martínez")</f>
        <v>Rocío Arce Martínez</v>
      </c>
      <c r="K938" s="1"/>
      <c r="L938" s="40" t="str">
        <f t="shared" ca="1" si="6"/>
        <v>ISL132</v>
      </c>
      <c r="M938" s="36" t="str">
        <f t="shared" ca="1" si="7"/>
        <v>ISL</v>
      </c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</row>
    <row r="939" spans="1:27">
      <c r="A939" s="36"/>
      <c r="B939" s="36"/>
      <c r="C939" s="36"/>
      <c r="D939" s="36"/>
      <c r="E939" s="36"/>
      <c r="F939" s="36" t="str">
        <f ca="1">IFERROR(__xludf.DUMMYFUNCTION("""COMPUTED_VALUE"""),"Luis Alberto Rodríguez")</f>
        <v>Luis Alberto Rodríguez</v>
      </c>
      <c r="G939" s="36" t="str">
        <f ca="1">IFERROR(__xludf.DUMMYFUNCTION("""COMPUTED_VALUE"""),"LAA")</f>
        <v>LAA</v>
      </c>
      <c r="H939" s="36" t="str">
        <f ca="1">IFERROR(__xludf.DUMMYFUNCTION("""COMPUTED_VALUE"""),"LAA58")</f>
        <v>LAA58</v>
      </c>
      <c r="I939" s="36" t="str">
        <f ca="1">IFERROR(__xludf.DUMMYFUNCTION("""COMPUTED_VALUE"""),"C")</f>
        <v>C</v>
      </c>
      <c r="J939" s="36" t="str">
        <f ca="1">IFERROR(__xludf.DUMMYFUNCTION("""COMPUTED_VALUE"""),"Rocío Corrales Martín")</f>
        <v>Rocío Corrales Martín</v>
      </c>
      <c r="K939" s="36"/>
      <c r="L939" s="40" t="str">
        <f t="shared" ca="1" si="6"/>
        <v>LAA58</v>
      </c>
      <c r="M939" s="36" t="str">
        <f t="shared" ca="1" si="7"/>
        <v>LAA</v>
      </c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</row>
    <row r="940" spans="1:27">
      <c r="A940" s="36"/>
      <c r="B940" s="36"/>
      <c r="C940" s="36"/>
      <c r="D940" s="36"/>
      <c r="E940" s="36"/>
      <c r="F940" s="36" t="str">
        <f ca="1">IFERROR(__xludf.DUMMYFUNCTION("""COMPUTED_VALUE"""),"Luis Alberto Rodríguez")</f>
        <v>Luis Alberto Rodríguez</v>
      </c>
      <c r="G940" s="36" t="str">
        <f ca="1">IFERROR(__xludf.DUMMYFUNCTION("""COMPUTED_VALUE"""),"LAA")</f>
        <v>LAA</v>
      </c>
      <c r="H940" s="36" t="str">
        <f ca="1">IFERROR(__xludf.DUMMYFUNCTION("""COMPUTED_VALUE"""),"LAA75")</f>
        <v>LAA75</v>
      </c>
      <c r="I940" s="36" t="str">
        <f ca="1">IFERROR(__xludf.DUMMYFUNCTION("""COMPUTED_VALUE"""),"C")</f>
        <v>C</v>
      </c>
      <c r="J940" s="36" t="str">
        <f ca="1">IFERROR(__xludf.DUMMYFUNCTION("""COMPUTED_VALUE"""),"Rocío Corrales Millán")</f>
        <v>Rocío Corrales Millán</v>
      </c>
      <c r="K940" s="36"/>
      <c r="L940" s="40" t="str">
        <f t="shared" ca="1" si="6"/>
        <v>LAA75</v>
      </c>
      <c r="M940" s="36" t="str">
        <f t="shared" ca="1" si="7"/>
        <v>LAA</v>
      </c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</row>
    <row r="941" spans="1:27">
      <c r="A941" s="36"/>
      <c r="B941" s="36"/>
      <c r="C941" s="36"/>
      <c r="D941" s="36"/>
      <c r="E941" s="36"/>
      <c r="F941" s="36" t="str">
        <f ca="1">IFERROR(__xludf.DUMMYFUNCTION("""COMPUTED_VALUE"""),"Lisandro Russian")</f>
        <v>Lisandro Russian</v>
      </c>
      <c r="G941" s="36" t="str">
        <f ca="1">IFERROR(__xludf.DUMMYFUNCTION("""COMPUTED_VALUE"""),"LRM")</f>
        <v>LRM</v>
      </c>
      <c r="H941" s="36" t="str">
        <f ca="1">IFERROR(__xludf.DUMMYFUNCTION("""COMPUTED_VALUE"""),"LRM231")</f>
        <v>LRM231</v>
      </c>
      <c r="I941" s="36" t="str">
        <f ca="1">IFERROR(__xludf.DUMMYFUNCTION("""COMPUTED_VALUE"""),"A")</f>
        <v>A</v>
      </c>
      <c r="J941" s="36" t="str">
        <f ca="1">IFERROR(__xludf.DUMMYFUNCTION("""COMPUTED_VALUE"""),"Rocío García Fernández")</f>
        <v>Rocío García Fernández</v>
      </c>
      <c r="K941" s="36"/>
      <c r="L941" s="40" t="str">
        <f t="shared" ca="1" si="6"/>
        <v>LRM231</v>
      </c>
      <c r="M941" s="36" t="str">
        <f t="shared" ca="1" si="7"/>
        <v>LRM</v>
      </c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</row>
    <row r="942" spans="1:27">
      <c r="A942" s="36"/>
      <c r="B942" s="36"/>
      <c r="C942" s="36"/>
      <c r="D942" s="36"/>
      <c r="E942" s="36"/>
      <c r="F942" s="36" t="str">
        <f ca="1">IFERROR(__xludf.DUMMYFUNCTION("""COMPUTED_VALUE"""),"Maika Blázquez")</f>
        <v>Maika Blázquez</v>
      </c>
      <c r="G942" s="36" t="str">
        <f ca="1">IFERROR(__xludf.DUMMYFUNCTION("""COMPUTED_VALUE"""),"MBM")</f>
        <v>MBM</v>
      </c>
      <c r="H942" s="36" t="str">
        <f ca="1">IFERROR(__xludf.DUMMYFUNCTION("""COMPUTED_VALUE"""),"MBM172")</f>
        <v>MBM172</v>
      </c>
      <c r="I942" s="36" t="str">
        <f ca="1">IFERROR(__xludf.DUMMYFUNCTION("""COMPUTED_VALUE"""),"A")</f>
        <v>A</v>
      </c>
      <c r="J942" s="36" t="str">
        <f ca="1">IFERROR(__xludf.DUMMYFUNCTION("""COMPUTED_VALUE"""),"Rocío González Márquez")</f>
        <v>Rocío González Márquez</v>
      </c>
      <c r="K942" s="36"/>
      <c r="L942" s="40" t="str">
        <f t="shared" ca="1" si="6"/>
        <v>MBM172</v>
      </c>
      <c r="M942" s="36" t="str">
        <f t="shared" ca="1" si="7"/>
        <v>MBM</v>
      </c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</row>
    <row r="943" spans="1:27">
      <c r="A943" s="36"/>
      <c r="B943" s="36"/>
      <c r="C943" s="36"/>
      <c r="D943" s="36"/>
      <c r="E943" s="36"/>
      <c r="F943" s="36" t="str">
        <f ca="1">IFERROR(__xludf.DUMMYFUNCTION("""COMPUTED_VALUE"""),"Lisandro Russian")</f>
        <v>Lisandro Russian</v>
      </c>
      <c r="G943" s="36" t="str">
        <f ca="1">IFERROR(__xludf.DUMMYFUNCTION("""COMPUTED_VALUE"""),"LRM")</f>
        <v>LRM</v>
      </c>
      <c r="H943" s="36" t="str">
        <f ca="1">IFERROR(__xludf.DUMMYFUNCTION("""COMPUTED_VALUE"""),"LRM119")</f>
        <v>LRM119</v>
      </c>
      <c r="I943" s="36" t="str">
        <f ca="1">IFERROR(__xludf.DUMMYFUNCTION("""COMPUTED_VALUE"""),"A")</f>
        <v>A</v>
      </c>
      <c r="J943" s="36" t="str">
        <f ca="1">IFERROR(__xludf.DUMMYFUNCTION("""COMPUTED_VALUE"""),"Roi Rodríguez Frois")</f>
        <v>Roi Rodríguez Frois</v>
      </c>
      <c r="K943" s="36"/>
      <c r="L943" s="40" t="str">
        <f t="shared" ca="1" si="6"/>
        <v>LRM119</v>
      </c>
      <c r="M943" s="36" t="str">
        <f t="shared" ca="1" si="7"/>
        <v>LRM</v>
      </c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</row>
    <row r="944" spans="1:27">
      <c r="A944" s="36"/>
      <c r="B944" s="36"/>
      <c r="C944" s="36"/>
      <c r="D944" s="36"/>
      <c r="E944" s="36"/>
      <c r="F944" s="36" t="str">
        <f ca="1">IFERROR(__xludf.DUMMYFUNCTION("""COMPUTED_VALUE"""),"Luis Alberto Rodríguez")</f>
        <v>Luis Alberto Rodríguez</v>
      </c>
      <c r="G944" s="36" t="str">
        <f ca="1">IFERROR(__xludf.DUMMYFUNCTION("""COMPUTED_VALUE"""),"LAA")</f>
        <v>LAA</v>
      </c>
      <c r="H944" s="36" t="str">
        <f ca="1">IFERROR(__xludf.DUMMYFUNCTION("""COMPUTED_VALUE"""),"LAA41")</f>
        <v>LAA41</v>
      </c>
      <c r="I944" s="36" t="str">
        <f ca="1">IFERROR(__xludf.DUMMYFUNCTION("""COMPUTED_VALUE"""),"C")</f>
        <v>C</v>
      </c>
      <c r="J944" s="36" t="str">
        <f ca="1">IFERROR(__xludf.DUMMYFUNCTION("""COMPUTED_VALUE"""),"Rolando Hernández Rodríguez")</f>
        <v>Rolando Hernández Rodríguez</v>
      </c>
      <c r="K944" s="36"/>
      <c r="L944" s="40" t="str">
        <f t="shared" ca="1" si="6"/>
        <v>LAA41</v>
      </c>
      <c r="M944" s="36" t="str">
        <f t="shared" ca="1" si="7"/>
        <v>LAA</v>
      </c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</row>
    <row r="945" spans="1:27">
      <c r="A945" s="36"/>
      <c r="B945" s="36"/>
      <c r="C945" s="36"/>
      <c r="D945" s="36"/>
      <c r="E945" s="36"/>
      <c r="F945" s="36" t="str">
        <f ca="1">IFERROR(__xludf.DUMMYFUNCTION("""COMPUTED_VALUE"""),"Maika Blázquez")</f>
        <v>Maika Blázquez</v>
      </c>
      <c r="G945" s="36" t="str">
        <f ca="1">IFERROR(__xludf.DUMMYFUNCTION("""COMPUTED_VALUE"""),"MBM")</f>
        <v>MBM</v>
      </c>
      <c r="H945" s="36" t="str">
        <f ca="1">IFERROR(__xludf.DUMMYFUNCTION("""COMPUTED_VALUE"""),"MBM220")</f>
        <v>MBM220</v>
      </c>
      <c r="I945" s="36" t="str">
        <f ca="1">IFERROR(__xludf.DUMMYFUNCTION("""COMPUTED_VALUE"""),"A")</f>
        <v>A</v>
      </c>
      <c r="J945" s="36" t="str">
        <f ca="1">IFERROR(__xludf.DUMMYFUNCTION("""COMPUTED_VALUE"""),"Rosa María Echari San Martín")</f>
        <v>Rosa María Echari San Martín</v>
      </c>
      <c r="K945" s="36"/>
      <c r="L945" s="40" t="str">
        <f t="shared" ca="1" si="6"/>
        <v>MBM220</v>
      </c>
      <c r="M945" s="36" t="str">
        <f t="shared" ca="1" si="7"/>
        <v>MBM</v>
      </c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</row>
    <row r="946" spans="1:27">
      <c r="A946" s="36"/>
      <c r="B946" s="36"/>
      <c r="C946" s="36"/>
      <c r="D946" s="36"/>
      <c r="E946" s="36"/>
      <c r="F946" s="36" t="str">
        <f ca="1">IFERROR(__xludf.DUMMYFUNCTION("""COMPUTED_VALUE"""),"Maika Blázquez")</f>
        <v>Maika Blázquez</v>
      </c>
      <c r="G946" s="36" t="str">
        <f ca="1">IFERROR(__xludf.DUMMYFUNCTION("""COMPUTED_VALUE"""),"MBM")</f>
        <v>MBM</v>
      </c>
      <c r="H946" s="36" t="str">
        <f ca="1">IFERROR(__xludf.DUMMYFUNCTION("""COMPUTED_VALUE"""),"MBM173")</f>
        <v>MBM173</v>
      </c>
      <c r="I946" s="36" t="str">
        <f ca="1">IFERROR(__xludf.DUMMYFUNCTION("""COMPUTED_VALUE"""),"A")</f>
        <v>A</v>
      </c>
      <c r="J946" s="36" t="str">
        <f ca="1">IFERROR(__xludf.DUMMYFUNCTION("""COMPUTED_VALUE"""),"Rosana Cobiella Carnicer")</f>
        <v>Rosana Cobiella Carnicer</v>
      </c>
      <c r="K946" s="36"/>
      <c r="L946" s="40" t="str">
        <f t="shared" ca="1" si="6"/>
        <v>MBM173</v>
      </c>
      <c r="M946" s="36" t="str">
        <f t="shared" ca="1" si="7"/>
        <v>MBM</v>
      </c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</row>
    <row r="947" spans="1:27">
      <c r="A947" s="36"/>
      <c r="B947" s="36"/>
      <c r="C947" s="36"/>
      <c r="D947" s="36"/>
      <c r="E947" s="36"/>
      <c r="F947" s="36" t="str">
        <f ca="1">IFERROR(__xludf.DUMMYFUNCTION("""COMPUTED_VALUE"""),"Lisandro Russian")</f>
        <v>Lisandro Russian</v>
      </c>
      <c r="G947" s="36" t="str">
        <f ca="1">IFERROR(__xludf.DUMMYFUNCTION("""COMPUTED_VALUE"""),"LRM")</f>
        <v>LRM</v>
      </c>
      <c r="H947" s="36" t="str">
        <f ca="1">IFERROR(__xludf.DUMMYFUNCTION("""COMPUTED_VALUE"""),"LRM232")</f>
        <v>LRM232</v>
      </c>
      <c r="I947" s="36" t="str">
        <f ca="1">IFERROR(__xludf.DUMMYFUNCTION("""COMPUTED_VALUE"""),"A")</f>
        <v>A</v>
      </c>
      <c r="J947" s="36" t="str">
        <f ca="1">IFERROR(__xludf.DUMMYFUNCTION("""COMPUTED_VALUE"""),"Rosario Garcia Monescillo")</f>
        <v>Rosario Garcia Monescillo</v>
      </c>
      <c r="K947" s="36"/>
      <c r="L947" s="40" t="str">
        <f t="shared" ca="1" si="6"/>
        <v>LRM232</v>
      </c>
      <c r="M947" s="36" t="str">
        <f t="shared" ca="1" si="7"/>
        <v>LRM</v>
      </c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</row>
    <row r="948" spans="1:27">
      <c r="A948" s="36"/>
      <c r="B948" s="36"/>
      <c r="C948" s="36"/>
      <c r="D948" s="36"/>
      <c r="E948" s="36"/>
      <c r="F948" s="36" t="str">
        <f ca="1">IFERROR(__xludf.DUMMYFUNCTION("""COMPUTED_VALUE"""),"Iván Sánchez")</f>
        <v>Iván Sánchez</v>
      </c>
      <c r="G948" s="36" t="str">
        <f ca="1">IFERROR(__xludf.DUMMYFUNCTION("""COMPUTED_VALUE"""),"ISL")</f>
        <v>ISL</v>
      </c>
      <c r="H948" s="36" t="str">
        <f ca="1">IFERROR(__xludf.DUMMYFUNCTION("""COMPUTED_VALUE"""),"ISL139")</f>
        <v>ISL139</v>
      </c>
      <c r="I948" s="36" t="str">
        <f ca="1">IFERROR(__xludf.DUMMYFUNCTION("""COMPUTED_VALUE"""),"B")</f>
        <v>B</v>
      </c>
      <c r="J948" s="36" t="str">
        <f ca="1">IFERROR(__xludf.DUMMYFUNCTION("""COMPUTED_VALUE"""),"Rubén Moreno Arrones")</f>
        <v>Rubén Moreno Arrones</v>
      </c>
      <c r="K948" s="36"/>
      <c r="L948" s="40" t="str">
        <f t="shared" ca="1" si="6"/>
        <v>ISL139</v>
      </c>
      <c r="M948" s="36" t="str">
        <f t="shared" ca="1" si="7"/>
        <v>ISL</v>
      </c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</row>
    <row r="949" spans="1:27">
      <c r="A949" s="36"/>
      <c r="B949" s="36"/>
      <c r="C949" s="36"/>
      <c r="D949" s="36"/>
      <c r="E949" s="36"/>
      <c r="F949" s="36" t="str">
        <f ca="1">IFERROR(__xludf.DUMMYFUNCTION("""COMPUTED_VALUE"""),"Maika Blázquez")</f>
        <v>Maika Blázquez</v>
      </c>
      <c r="G949" s="36" t="str">
        <f ca="1">IFERROR(__xludf.DUMMYFUNCTION("""COMPUTED_VALUE"""),"MBM")</f>
        <v>MBM</v>
      </c>
      <c r="H949" s="36" t="str">
        <f ca="1">IFERROR(__xludf.DUMMYFUNCTION("""COMPUTED_VALUE"""),"MBM80")</f>
        <v>MBM80</v>
      </c>
      <c r="I949" s="36" t="str">
        <f ca="1">IFERROR(__xludf.DUMMYFUNCTION("""COMPUTED_VALUE"""),"A")</f>
        <v>A</v>
      </c>
      <c r="J949" s="36" t="str">
        <f ca="1">IFERROR(__xludf.DUMMYFUNCTION("""COMPUTED_VALUE"""),"Rubén Polo López")</f>
        <v>Rubén Polo López</v>
      </c>
      <c r="K949" s="36"/>
      <c r="L949" s="40" t="str">
        <f t="shared" ca="1" si="6"/>
        <v>MBM80</v>
      </c>
      <c r="M949" s="36" t="str">
        <f t="shared" ca="1" si="7"/>
        <v>MBM</v>
      </c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</row>
    <row r="950" spans="1:27">
      <c r="A950" s="36"/>
      <c r="B950" s="36"/>
      <c r="C950" s="36"/>
      <c r="D950" s="36"/>
      <c r="E950" s="36"/>
      <c r="F950" s="36" t="str">
        <f ca="1">IFERROR(__xludf.DUMMYFUNCTION("""COMPUTED_VALUE"""),"Ramon Ferrando")</f>
        <v>Ramon Ferrando</v>
      </c>
      <c r="G950" s="36" t="str">
        <f ca="1">IFERROR(__xludf.DUMMYFUNCTION("""COMPUTED_VALUE"""),"RFV")</f>
        <v>RFV</v>
      </c>
      <c r="H950" s="36" t="str">
        <f ca="1">IFERROR(__xludf.DUMMYFUNCTION("""COMPUTED_VALUE"""),"RFV42")</f>
        <v>RFV42</v>
      </c>
      <c r="I950" s="36" t="str">
        <f ca="1">IFERROR(__xludf.DUMMYFUNCTION("""COMPUTED_VALUE"""),"B")</f>
        <v>B</v>
      </c>
      <c r="J950" s="36" t="str">
        <f ca="1">IFERROR(__xludf.DUMMYFUNCTION("""COMPUTED_VALUE"""),"Salwa Laraqui Hossini")</f>
        <v>Salwa Laraqui Hossini</v>
      </c>
      <c r="K950" s="36"/>
      <c r="L950" s="40" t="str">
        <f t="shared" ca="1" si="6"/>
        <v>RFV42</v>
      </c>
      <c r="M950" s="36" t="str">
        <f t="shared" ca="1" si="7"/>
        <v>RFV</v>
      </c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</row>
    <row r="951" spans="1:27">
      <c r="A951" s="36"/>
      <c r="B951" s="36"/>
      <c r="C951" s="36"/>
      <c r="D951" s="36"/>
      <c r="E951" s="36"/>
      <c r="F951" s="36" t="str">
        <f ca="1">IFERROR(__xludf.DUMMYFUNCTION("""COMPUTED_VALUE"""),"Maika Blázquez")</f>
        <v>Maika Blázquez</v>
      </c>
      <c r="G951" s="36" t="str">
        <f ca="1">IFERROR(__xludf.DUMMYFUNCTION("""COMPUTED_VALUE"""),"MBM")</f>
        <v>MBM</v>
      </c>
      <c r="H951" s="36" t="str">
        <f ca="1">IFERROR(__xludf.DUMMYFUNCTION("""COMPUTED_VALUE"""),"MBM174")</f>
        <v>MBM174</v>
      </c>
      <c r="I951" s="36" t="str">
        <f ca="1">IFERROR(__xludf.DUMMYFUNCTION("""COMPUTED_VALUE"""),"A")</f>
        <v>A</v>
      </c>
      <c r="J951" s="36" t="str">
        <f ca="1">IFERROR(__xludf.DUMMYFUNCTION("""COMPUTED_VALUE"""),"Sandra Dominguez Carames")</f>
        <v>Sandra Dominguez Carames</v>
      </c>
      <c r="K951" s="36"/>
      <c r="L951" s="40" t="str">
        <f t="shared" ca="1" si="6"/>
        <v>MBM174</v>
      </c>
      <c r="M951" s="36" t="str">
        <f t="shared" ca="1" si="7"/>
        <v>MBM</v>
      </c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</row>
    <row r="952" spans="1:27">
      <c r="A952" s="36"/>
      <c r="B952" s="36"/>
      <c r="C952" s="36"/>
      <c r="D952" s="36"/>
      <c r="E952" s="36"/>
      <c r="F952" s="36" t="str">
        <f ca="1">IFERROR(__xludf.DUMMYFUNCTION("""COMPUTED_VALUE"""),"Iván Sánchez")</f>
        <v>Iván Sánchez</v>
      </c>
      <c r="G952" s="36" t="str">
        <f ca="1">IFERROR(__xludf.DUMMYFUNCTION("""COMPUTED_VALUE"""),"ISL")</f>
        <v>ISL</v>
      </c>
      <c r="H952" s="36" t="str">
        <f ca="1">IFERROR(__xludf.DUMMYFUNCTION("""COMPUTED_VALUE"""),"ISL80")</f>
        <v>ISL80</v>
      </c>
      <c r="I952" s="36" t="str">
        <f ca="1">IFERROR(__xludf.DUMMYFUNCTION("""COMPUTED_VALUE"""),"B")</f>
        <v>B</v>
      </c>
      <c r="J952" s="36" t="str">
        <f ca="1">IFERROR(__xludf.DUMMYFUNCTION("""COMPUTED_VALUE"""),"Santiago Moreno Paredes")</f>
        <v>Santiago Moreno Paredes</v>
      </c>
      <c r="K952" s="36"/>
      <c r="L952" s="40" t="str">
        <f t="shared" ca="1" si="6"/>
        <v>ISL80</v>
      </c>
      <c r="M952" s="36" t="str">
        <f t="shared" ca="1" si="7"/>
        <v>ISL</v>
      </c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</row>
    <row r="953" spans="1:27">
      <c r="A953" s="36"/>
      <c r="B953" s="36"/>
      <c r="C953" s="36"/>
      <c r="D953" s="36"/>
      <c r="E953" s="36"/>
      <c r="F953" s="36" t="str">
        <f ca="1">IFERROR(__xludf.DUMMYFUNCTION("""COMPUTED_VALUE"""),"Patricia Solache")</f>
        <v>Patricia Solache</v>
      </c>
      <c r="G953" s="36" t="str">
        <f ca="1">IFERROR(__xludf.DUMMYFUNCTION("""COMPUTED_VALUE"""),"PSC")</f>
        <v>PSC</v>
      </c>
      <c r="H953" s="36" t="str">
        <f ca="1">IFERROR(__xludf.DUMMYFUNCTION("""COMPUTED_VALUE"""),"PSC51")</f>
        <v>PSC51</v>
      </c>
      <c r="I953" s="36" t="str">
        <f ca="1">IFERROR(__xludf.DUMMYFUNCTION("""COMPUTED_VALUE"""),"A")</f>
        <v>A</v>
      </c>
      <c r="J953" s="36" t="str">
        <f ca="1">IFERROR(__xludf.DUMMYFUNCTION("""COMPUTED_VALUE"""),"Sara Fernandez Cascón")</f>
        <v>Sara Fernandez Cascón</v>
      </c>
      <c r="K953" s="36"/>
      <c r="L953" s="40" t="str">
        <f t="shared" ca="1" si="6"/>
        <v>PSC51</v>
      </c>
      <c r="M953" s="36" t="str">
        <f t="shared" ca="1" si="7"/>
        <v>PSC</v>
      </c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</row>
    <row r="954" spans="1:27">
      <c r="A954" s="36"/>
      <c r="B954" s="36"/>
      <c r="C954" s="36"/>
      <c r="D954" s="36"/>
      <c r="E954" s="36"/>
      <c r="F954" s="36" t="str">
        <f ca="1">IFERROR(__xludf.DUMMYFUNCTION("""COMPUTED_VALUE"""),"Mercè Cabrera")</f>
        <v>Mercè Cabrera</v>
      </c>
      <c r="G954" s="36" t="str">
        <f ca="1">IFERROR(__xludf.DUMMYFUNCTION("""COMPUTED_VALUE"""),"MCC")</f>
        <v>MCC</v>
      </c>
      <c r="H954" s="36" t="str">
        <f ca="1">IFERROR(__xludf.DUMMYFUNCTION("""COMPUTED_VALUE"""),"MCC73")</f>
        <v>MCC73</v>
      </c>
      <c r="I954" s="36" t="str">
        <f ca="1">IFERROR(__xludf.DUMMYFUNCTION("""COMPUTED_VALUE"""),"A")</f>
        <v>A</v>
      </c>
      <c r="J954" s="36" t="str">
        <f ca="1">IFERROR(__xludf.DUMMYFUNCTION("""COMPUTED_VALUE"""),"Sara Jubés Monforte")</f>
        <v>Sara Jubés Monforte</v>
      </c>
      <c r="K954" s="36"/>
      <c r="L954" s="40" t="str">
        <f t="shared" ca="1" si="6"/>
        <v>MCC73</v>
      </c>
      <c r="M954" s="36" t="str">
        <f t="shared" ca="1" si="7"/>
        <v>MCC</v>
      </c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</row>
    <row r="955" spans="1:27">
      <c r="A955" s="36"/>
      <c r="B955" s="36"/>
      <c r="C955" s="36"/>
      <c r="D955" s="36"/>
      <c r="E955" s="36"/>
      <c r="F955" s="36" t="str">
        <f ca="1">IFERROR(__xludf.DUMMYFUNCTION("""COMPUTED_VALUE"""),"Maika Blázquez")</f>
        <v>Maika Blázquez</v>
      </c>
      <c r="G955" s="36" t="str">
        <f ca="1">IFERROR(__xludf.DUMMYFUNCTION("""COMPUTED_VALUE"""),"MBM")</f>
        <v>MBM</v>
      </c>
      <c r="H955" s="36" t="str">
        <f ca="1">IFERROR(__xludf.DUMMYFUNCTION("""COMPUTED_VALUE"""),"MBM175")</f>
        <v>MBM175</v>
      </c>
      <c r="I955" s="36" t="str">
        <f ca="1">IFERROR(__xludf.DUMMYFUNCTION("""COMPUTED_VALUE"""),"A")</f>
        <v>A</v>
      </c>
      <c r="J955" s="36" t="str">
        <f ca="1">IFERROR(__xludf.DUMMYFUNCTION("""COMPUTED_VALUE"""),"Sara Reda del Barrio")</f>
        <v>Sara Reda del Barrio</v>
      </c>
      <c r="K955" s="36"/>
      <c r="L955" s="40" t="str">
        <f t="shared" ca="1" si="6"/>
        <v>MBM175</v>
      </c>
      <c r="M955" s="36" t="str">
        <f t="shared" ca="1" si="7"/>
        <v>MBM</v>
      </c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</row>
    <row r="956" spans="1:27">
      <c r="A956" s="36"/>
      <c r="B956" s="36"/>
      <c r="C956" s="36"/>
      <c r="D956" s="36"/>
      <c r="E956" s="36"/>
      <c r="F956" s="36" t="str">
        <f ca="1">IFERROR(__xludf.DUMMYFUNCTION("""COMPUTED_VALUE"""),"Lisandro Russian")</f>
        <v>Lisandro Russian</v>
      </c>
      <c r="G956" s="36" t="str">
        <f ca="1">IFERROR(__xludf.DUMMYFUNCTION("""COMPUTED_VALUE"""),"LRM")</f>
        <v>LRM</v>
      </c>
      <c r="H956" s="36" t="str">
        <f ca="1">IFERROR(__xludf.DUMMYFUNCTION("""COMPUTED_VALUE"""),"LRM233")</f>
        <v>LRM233</v>
      </c>
      <c r="I956" s="36" t="str">
        <f ca="1">IFERROR(__xludf.DUMMYFUNCTION("""COMPUTED_VALUE"""),"A")</f>
        <v>A</v>
      </c>
      <c r="J956" s="36" t="str">
        <f ca="1">IFERROR(__xludf.DUMMYFUNCTION("""COMPUTED_VALUE"""),"Sara Rodriguez Sanz")</f>
        <v>Sara Rodriguez Sanz</v>
      </c>
      <c r="K956" s="36"/>
      <c r="L956" s="40" t="str">
        <f t="shared" ca="1" si="6"/>
        <v>LRM233</v>
      </c>
      <c r="M956" s="36" t="str">
        <f t="shared" ca="1" si="7"/>
        <v>LRM</v>
      </c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</row>
    <row r="957" spans="1:27">
      <c r="A957" s="36"/>
      <c r="B957" s="36"/>
      <c r="C957" s="36"/>
      <c r="D957" s="36"/>
      <c r="E957" s="36"/>
      <c r="F957" s="36" t="str">
        <f ca="1">IFERROR(__xludf.DUMMYFUNCTION("""COMPUTED_VALUE"""),"Maika Blázquez")</f>
        <v>Maika Blázquez</v>
      </c>
      <c r="G957" s="36" t="str">
        <f ca="1">IFERROR(__xludf.DUMMYFUNCTION("""COMPUTED_VALUE"""),"MBM")</f>
        <v>MBM</v>
      </c>
      <c r="H957" s="36" t="str">
        <f ca="1">IFERROR(__xludf.DUMMYFUNCTION("""COMPUTED_VALUE"""),"MBM176")</f>
        <v>MBM176</v>
      </c>
      <c r="I957" s="36" t="str">
        <f ca="1">IFERROR(__xludf.DUMMYFUNCTION("""COMPUTED_VALUE"""),"A")</f>
        <v>A</v>
      </c>
      <c r="J957" s="36" t="str">
        <f ca="1">IFERROR(__xludf.DUMMYFUNCTION("""COMPUTED_VALUE"""),"Sara Tanboura López")</f>
        <v>Sara Tanboura López</v>
      </c>
      <c r="K957" s="36"/>
      <c r="L957" s="40" t="str">
        <f t="shared" ca="1" si="6"/>
        <v>MBM176</v>
      </c>
      <c r="M957" s="36" t="str">
        <f t="shared" ca="1" si="7"/>
        <v>MBM</v>
      </c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</row>
    <row r="958" spans="1:27">
      <c r="A958" s="36"/>
      <c r="B958" s="36"/>
      <c r="C958" s="36"/>
      <c r="D958" s="36"/>
      <c r="E958" s="36"/>
      <c r="F958" s="36" t="str">
        <f ca="1">IFERROR(__xludf.DUMMYFUNCTION("""COMPUTED_VALUE"""),"Lisandro Russian")</f>
        <v>Lisandro Russian</v>
      </c>
      <c r="G958" s="36" t="str">
        <f ca="1">IFERROR(__xludf.DUMMYFUNCTION("""COMPUTED_VALUE"""),"LRM")</f>
        <v>LRM</v>
      </c>
      <c r="H958" s="36" t="str">
        <f ca="1">IFERROR(__xludf.DUMMYFUNCTION("""COMPUTED_VALUE"""),"LRM120")</f>
        <v>LRM120</v>
      </c>
      <c r="I958" s="36" t="str">
        <f ca="1">IFERROR(__xludf.DUMMYFUNCTION("""COMPUTED_VALUE"""),"A")</f>
        <v>A</v>
      </c>
      <c r="J958" s="36" t="str">
        <f ca="1">IFERROR(__xludf.DUMMYFUNCTION("""COMPUTED_VALUE"""),"Sebastián Contin Pellicer")</f>
        <v>Sebastián Contin Pellicer</v>
      </c>
      <c r="K958" s="36"/>
      <c r="L958" s="40" t="str">
        <f t="shared" ca="1" si="6"/>
        <v>LRM120</v>
      </c>
      <c r="M958" s="36" t="str">
        <f t="shared" ca="1" si="7"/>
        <v>LRM</v>
      </c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</row>
    <row r="959" spans="1:27">
      <c r="A959" s="36"/>
      <c r="B959" s="36"/>
      <c r="C959" s="36"/>
      <c r="D959" s="36"/>
      <c r="E959" s="36"/>
      <c r="F959" s="36" t="str">
        <f ca="1">IFERROR(__xludf.DUMMYFUNCTION("""COMPUTED_VALUE"""),"Roberto Pereira")</f>
        <v>Roberto Pereira</v>
      </c>
      <c r="G959" s="36" t="str">
        <f ca="1">IFERROR(__xludf.DUMMYFUNCTION("""COMPUTED_VALUE"""),"RPG")</f>
        <v>RPG</v>
      </c>
      <c r="H959" s="36" t="str">
        <f ca="1">IFERROR(__xludf.DUMMYFUNCTION("""COMPUTED_VALUE"""),"RPG32")</f>
        <v>RPG32</v>
      </c>
      <c r="I959" s="36" t="str">
        <f ca="1">IFERROR(__xludf.DUMMYFUNCTION("""COMPUTED_VALUE"""),"A")</f>
        <v>A</v>
      </c>
      <c r="J959" s="36" t="str">
        <f ca="1">IFERROR(__xludf.DUMMYFUNCTION("""COMPUTED_VALUE"""),"Sergio Codina Alonso")</f>
        <v>Sergio Codina Alonso</v>
      </c>
      <c r="K959" s="36"/>
      <c r="L959" s="40" t="str">
        <f t="shared" ca="1" si="6"/>
        <v>RPG32</v>
      </c>
      <c r="M959" s="36" t="str">
        <f t="shared" ca="1" si="7"/>
        <v>RPG</v>
      </c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</row>
    <row r="960" spans="1:27">
      <c r="A960" s="36"/>
      <c r="B960" s="36"/>
      <c r="C960" s="36"/>
      <c r="D960" s="36"/>
      <c r="E960" s="36"/>
      <c r="F960" s="36" t="str">
        <f ca="1">IFERROR(__xludf.DUMMYFUNCTION("""COMPUTED_VALUE"""),"Maika Blázquez")</f>
        <v>Maika Blázquez</v>
      </c>
      <c r="G960" s="36" t="str">
        <f ca="1">IFERROR(__xludf.DUMMYFUNCTION("""COMPUTED_VALUE"""),"MBM")</f>
        <v>MBM</v>
      </c>
      <c r="H960" s="36" t="str">
        <f ca="1">IFERROR(__xludf.DUMMYFUNCTION("""COMPUTED_VALUE"""),"MBM81")</f>
        <v>MBM81</v>
      </c>
      <c r="I960" s="36" t="str">
        <f ca="1">IFERROR(__xludf.DUMMYFUNCTION("""COMPUTED_VALUE"""),"A")</f>
        <v>A</v>
      </c>
      <c r="J960" s="36" t="str">
        <f ca="1">IFERROR(__xludf.DUMMYFUNCTION("""COMPUTED_VALUE"""),"Sergio Zaragoza Guijo")</f>
        <v>Sergio Zaragoza Guijo</v>
      </c>
      <c r="K960" s="36"/>
      <c r="L960" s="40" t="str">
        <f t="shared" ca="1" si="6"/>
        <v>MBM81</v>
      </c>
      <c r="M960" s="36" t="str">
        <f t="shared" ca="1" si="7"/>
        <v>MBM</v>
      </c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</row>
    <row r="961" spans="1:27">
      <c r="A961" s="36"/>
      <c r="B961" s="36"/>
      <c r="C961" s="36"/>
      <c r="D961" s="36"/>
      <c r="E961" s="36"/>
      <c r="F961" s="36" t="str">
        <f ca="1">IFERROR(__xludf.DUMMYFUNCTION("""COMPUTED_VALUE"""),"Alberto Moreno")</f>
        <v>Alberto Moreno</v>
      </c>
      <c r="G961" s="36" t="str">
        <f ca="1">IFERROR(__xludf.DUMMYFUNCTION("""COMPUTED_VALUE"""),"AMM")</f>
        <v>AMM</v>
      </c>
      <c r="H961" s="36" t="str">
        <f ca="1">IFERROR(__xludf.DUMMYFUNCTION("""COMPUTED_VALUE"""),"AMM23")</f>
        <v>AMM23</v>
      </c>
      <c r="I961" s="36" t="str">
        <f ca="1">IFERROR(__xludf.DUMMYFUNCTION("""COMPUTED_VALUE"""),"A")</f>
        <v>A</v>
      </c>
      <c r="J961" s="36" t="str">
        <f ca="1">IFERROR(__xludf.DUMMYFUNCTION("""COMPUTED_VALUE"""),"Severino Fernández Fernández")</f>
        <v>Severino Fernández Fernández</v>
      </c>
      <c r="K961" s="36"/>
      <c r="L961" s="40" t="str">
        <f t="shared" ca="1" si="6"/>
        <v>AMM23</v>
      </c>
      <c r="M961" s="36" t="str">
        <f t="shared" ca="1" si="7"/>
        <v>AMM</v>
      </c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</row>
    <row r="962" spans="1:27">
      <c r="A962" s="36"/>
      <c r="B962" s="36"/>
      <c r="C962" s="36"/>
      <c r="D962" s="36"/>
      <c r="E962" s="36"/>
      <c r="F962" s="36" t="str">
        <f ca="1">IFERROR(__xludf.DUMMYFUNCTION("""COMPUTED_VALUE"""),"Maika Blázquez")</f>
        <v>Maika Blázquez</v>
      </c>
      <c r="G962" s="36" t="str">
        <f ca="1">IFERROR(__xludf.DUMMYFUNCTION("""COMPUTED_VALUE"""),"MBM")</f>
        <v>MBM</v>
      </c>
      <c r="H962" s="36" t="str">
        <f ca="1">IFERROR(__xludf.DUMMYFUNCTION("""COMPUTED_VALUE"""),"MBM177")</f>
        <v>MBM177</v>
      </c>
      <c r="I962" s="36" t="str">
        <f ca="1">IFERROR(__xludf.DUMMYFUNCTION("""COMPUTED_VALUE"""),"A")</f>
        <v>A</v>
      </c>
      <c r="J962" s="36" t="str">
        <f ca="1">IFERROR(__xludf.DUMMYFUNCTION("""COMPUTED_VALUE"""),"Silvia Domínguez Ovejas")</f>
        <v>Silvia Domínguez Ovejas</v>
      </c>
      <c r="K962" s="36"/>
      <c r="L962" s="40" t="str">
        <f t="shared" ca="1" si="6"/>
        <v>MBM177</v>
      </c>
      <c r="M962" s="36" t="str">
        <f t="shared" ca="1" si="7"/>
        <v>MBM</v>
      </c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</row>
    <row r="963" spans="1:27">
      <c r="A963" s="36"/>
      <c r="B963" s="36"/>
      <c r="C963" s="36"/>
      <c r="D963" s="36"/>
      <c r="E963" s="36"/>
      <c r="F963" s="36" t="str">
        <f ca="1">IFERROR(__xludf.DUMMYFUNCTION("""COMPUTED_VALUE"""),"Maika Blázquez")</f>
        <v>Maika Blázquez</v>
      </c>
      <c r="G963" s="36" t="str">
        <f ca="1">IFERROR(__xludf.DUMMYFUNCTION("""COMPUTED_VALUE"""),"MBM")</f>
        <v>MBM</v>
      </c>
      <c r="H963" s="36" t="str">
        <f ca="1">IFERROR(__xludf.DUMMYFUNCTION("""COMPUTED_VALUE"""),"MBM178")</f>
        <v>MBM178</v>
      </c>
      <c r="I963" s="36" t="str">
        <f ca="1">IFERROR(__xludf.DUMMYFUNCTION("""COMPUTED_VALUE"""),"A")</f>
        <v>A</v>
      </c>
      <c r="J963" s="36" t="str">
        <f ca="1">IFERROR(__xludf.DUMMYFUNCTION("""COMPUTED_VALUE"""),"Silvia Herrera Tolosana")</f>
        <v>Silvia Herrera Tolosana</v>
      </c>
      <c r="K963" s="36"/>
      <c r="L963" s="40" t="str">
        <f t="shared" ca="1" si="6"/>
        <v>MBM178</v>
      </c>
      <c r="M963" s="36" t="str">
        <f t="shared" ca="1" si="7"/>
        <v>MBM</v>
      </c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</row>
    <row r="964" spans="1:27">
      <c r="A964" s="36"/>
      <c r="B964" s="36"/>
      <c r="C964" s="36"/>
      <c r="D964" s="36"/>
      <c r="E964" s="36"/>
      <c r="F964" s="36" t="str">
        <f ca="1">IFERROR(__xludf.DUMMYFUNCTION("""COMPUTED_VALUE"""),"Roberto Pereira")</f>
        <v>Roberto Pereira</v>
      </c>
      <c r="G964" s="36" t="str">
        <f ca="1">IFERROR(__xludf.DUMMYFUNCTION("""COMPUTED_VALUE"""),"RPG")</f>
        <v>RPG</v>
      </c>
      <c r="H964" s="36" t="str">
        <f ca="1">IFERROR(__xludf.DUMMYFUNCTION("""COMPUTED_VALUE"""),"RPG56")</f>
        <v>RPG56</v>
      </c>
      <c r="I964" s="36" t="str">
        <f ca="1">IFERROR(__xludf.DUMMYFUNCTION("""COMPUTED_VALUE"""),"A")</f>
        <v>A</v>
      </c>
      <c r="J964" s="36" t="str">
        <f ca="1">IFERROR(__xludf.DUMMYFUNCTION("""COMPUTED_VALUE"""),"Socorro Tedín García")</f>
        <v>Socorro Tedín García</v>
      </c>
      <c r="K964" s="36"/>
      <c r="L964" s="40" t="str">
        <f t="shared" ca="1" si="6"/>
        <v>RPG56</v>
      </c>
      <c r="M964" s="36" t="str">
        <f t="shared" ca="1" si="7"/>
        <v>RPG</v>
      </c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</row>
    <row r="965" spans="1:27">
      <c r="A965" s="36"/>
      <c r="B965" s="36"/>
      <c r="C965" s="36"/>
      <c r="D965" s="36"/>
      <c r="E965" s="36"/>
      <c r="F965" s="36" t="str">
        <f ca="1">IFERROR(__xludf.DUMMYFUNCTION("""COMPUTED_VALUE"""),"Maika Blázquez")</f>
        <v>Maika Blázquez</v>
      </c>
      <c r="G965" s="36" t="str">
        <f ca="1">IFERROR(__xludf.DUMMYFUNCTION("""COMPUTED_VALUE"""),"MBM")</f>
        <v>MBM</v>
      </c>
      <c r="H965" s="36" t="str">
        <f ca="1">IFERROR(__xludf.DUMMYFUNCTION("""COMPUTED_VALUE"""),"MBM179")</f>
        <v>MBM179</v>
      </c>
      <c r="I965" s="36" t="str">
        <f ca="1">IFERROR(__xludf.DUMMYFUNCTION("""COMPUTED_VALUE"""),"A")</f>
        <v>A</v>
      </c>
      <c r="J965" s="36" t="str">
        <f ca="1">IFERROR(__xludf.DUMMYFUNCTION("""COMPUTED_VALUE"""),"Sofía Ferreiras Cendón")</f>
        <v>Sofía Ferreiras Cendón</v>
      </c>
      <c r="K965" s="36"/>
      <c r="L965" s="40" t="str">
        <f t="shared" ca="1" si="6"/>
        <v>MBM179</v>
      </c>
      <c r="M965" s="36" t="str">
        <f t="shared" ca="1" si="7"/>
        <v>MBM</v>
      </c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</row>
    <row r="966" spans="1:27">
      <c r="A966" s="36"/>
      <c r="B966" s="36"/>
      <c r="C966" s="36"/>
      <c r="D966" s="36"/>
      <c r="E966" s="36"/>
      <c r="F966" s="36" t="str">
        <f ca="1">IFERROR(__xludf.DUMMYFUNCTION("""COMPUTED_VALUE"""),"Luis Alberto Rodríguez")</f>
        <v>Luis Alberto Rodríguez</v>
      </c>
      <c r="G966" s="36" t="str">
        <f ca="1">IFERROR(__xludf.DUMMYFUNCTION("""COMPUTED_VALUE"""),"LAA")</f>
        <v>LAA</v>
      </c>
      <c r="H966" s="36" t="str">
        <f ca="1">IFERROR(__xludf.DUMMYFUNCTION("""COMPUTED_VALUE"""),"LAA80")</f>
        <v>LAA80</v>
      </c>
      <c r="I966" s="36" t="str">
        <f ca="1">IFERROR(__xludf.DUMMYFUNCTION("""COMPUTED_VALUE"""),"C")</f>
        <v>C</v>
      </c>
      <c r="J966" s="36" t="str">
        <f ca="1">IFERROR(__xludf.DUMMYFUNCTION("""COMPUTED_VALUE"""),"Sonia García Díaz")</f>
        <v>Sonia García Díaz</v>
      </c>
      <c r="K966" s="36"/>
      <c r="L966" s="40" t="str">
        <f t="shared" ca="1" si="6"/>
        <v>LAA80</v>
      </c>
      <c r="M966" s="36" t="str">
        <f t="shared" ca="1" si="7"/>
        <v>LAA</v>
      </c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</row>
    <row r="967" spans="1:27">
      <c r="A967" s="36"/>
      <c r="B967" s="36"/>
      <c r="C967" s="36"/>
      <c r="D967" s="36"/>
      <c r="E967" s="36"/>
      <c r="F967" s="36" t="str">
        <f ca="1">IFERROR(__xludf.DUMMYFUNCTION("""COMPUTED_VALUE"""),"Maika Blázquez")</f>
        <v>Maika Blázquez</v>
      </c>
      <c r="G967" s="36" t="str">
        <f ca="1">IFERROR(__xludf.DUMMYFUNCTION("""COMPUTED_VALUE"""),"MBM")</f>
        <v>MBM</v>
      </c>
      <c r="H967" s="36" t="str">
        <f ca="1">IFERROR(__xludf.DUMMYFUNCTION("""COMPUTED_VALUE"""),"MBM180")</f>
        <v>MBM180</v>
      </c>
      <c r="I967" s="36" t="str">
        <f ca="1">IFERROR(__xludf.DUMMYFUNCTION("""COMPUTED_VALUE"""),"A")</f>
        <v>A</v>
      </c>
      <c r="J967" s="36" t="str">
        <f ca="1">IFERROR(__xludf.DUMMYFUNCTION("""COMPUTED_VALUE"""),"Stephany Rodríguez Mata")</f>
        <v>Stephany Rodríguez Mata</v>
      </c>
      <c r="K967" s="36"/>
      <c r="L967" s="40" t="str">
        <f t="shared" ca="1" si="6"/>
        <v>MBM180</v>
      </c>
      <c r="M967" s="36" t="str">
        <f t="shared" ca="1" si="7"/>
        <v>MBM</v>
      </c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</row>
    <row r="968" spans="1:27">
      <c r="A968" s="36"/>
      <c r="B968" s="36"/>
      <c r="C968" s="36"/>
      <c r="D968" s="36"/>
      <c r="E968" s="36"/>
      <c r="F968" s="36" t="str">
        <f ca="1">IFERROR(__xludf.DUMMYFUNCTION("""COMPUTED_VALUE"""),"Mercè Cabrera")</f>
        <v>Mercè Cabrera</v>
      </c>
      <c r="G968" s="36" t="str">
        <f ca="1">IFERROR(__xludf.DUMMYFUNCTION("""COMPUTED_VALUE"""),"MCC")</f>
        <v>MCC</v>
      </c>
      <c r="H968" s="36" t="str">
        <f ca="1">IFERROR(__xludf.DUMMYFUNCTION("""COMPUTED_VALUE"""),"MCC57")</f>
        <v>MCC57</v>
      </c>
      <c r="I968" s="36" t="str">
        <f ca="1">IFERROR(__xludf.DUMMYFUNCTION("""COMPUTED_VALUE"""),"A")</f>
        <v>A</v>
      </c>
      <c r="J968" s="36" t="str">
        <f ca="1">IFERROR(__xludf.DUMMYFUNCTION("""COMPUTED_VALUE"""),"Susana Lareo Copa")</f>
        <v>Susana Lareo Copa</v>
      </c>
      <c r="K968" s="36"/>
      <c r="L968" s="40" t="str">
        <f t="shared" ca="1" si="6"/>
        <v>MCC57</v>
      </c>
      <c r="M968" s="36" t="str">
        <f t="shared" ca="1" si="7"/>
        <v>MCC</v>
      </c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</row>
    <row r="969" spans="1:27">
      <c r="A969" s="36"/>
      <c r="B969" s="36"/>
      <c r="C969" s="36"/>
      <c r="D969" s="36"/>
      <c r="E969" s="36"/>
      <c r="F969" s="36" t="str">
        <f ca="1">IFERROR(__xludf.DUMMYFUNCTION("""COMPUTED_VALUE"""),"Lisandro Russian")</f>
        <v>Lisandro Russian</v>
      </c>
      <c r="G969" s="36" t="str">
        <f ca="1">IFERROR(__xludf.DUMMYFUNCTION("""COMPUTED_VALUE"""),"LRM")</f>
        <v>LRM</v>
      </c>
      <c r="H969" s="36" t="str">
        <f ca="1">IFERROR(__xludf.DUMMYFUNCTION("""COMPUTED_VALUE"""),"LRM234")</f>
        <v>LRM234</v>
      </c>
      <c r="I969" s="36" t="str">
        <f ca="1">IFERROR(__xludf.DUMMYFUNCTION("""COMPUTED_VALUE"""),"A")</f>
        <v>A</v>
      </c>
      <c r="J969" s="36" t="str">
        <f ca="1">IFERROR(__xludf.DUMMYFUNCTION("""COMPUTED_VALUE"""),"Susana Márquez Martínez")</f>
        <v>Susana Márquez Martínez</v>
      </c>
      <c r="K969" s="36"/>
      <c r="L969" s="40" t="str">
        <f t="shared" ca="1" si="6"/>
        <v>LRM234</v>
      </c>
      <c r="M969" s="36" t="str">
        <f t="shared" ca="1" si="7"/>
        <v>LRM</v>
      </c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</row>
    <row r="970" spans="1:27">
      <c r="A970" s="36"/>
      <c r="B970" s="36"/>
      <c r="C970" s="36"/>
      <c r="D970" s="36"/>
      <c r="E970" s="36"/>
      <c r="F970" s="36" t="str">
        <f ca="1">IFERROR(__xludf.DUMMYFUNCTION("""COMPUTED_VALUE"""),"Lisandro Russian")</f>
        <v>Lisandro Russian</v>
      </c>
      <c r="G970" s="36" t="str">
        <f ca="1">IFERROR(__xludf.DUMMYFUNCTION("""COMPUTED_VALUE"""),"LRM")</f>
        <v>LRM</v>
      </c>
      <c r="H970" s="36" t="str">
        <f ca="1">IFERROR(__xludf.DUMMYFUNCTION("""COMPUTED_VALUE"""),"LRM235")</f>
        <v>LRM235</v>
      </c>
      <c r="I970" s="36" t="str">
        <f ca="1">IFERROR(__xludf.DUMMYFUNCTION("""COMPUTED_VALUE"""),"A")</f>
        <v>A</v>
      </c>
      <c r="J970" s="36" t="str">
        <f ca="1">IFERROR(__xludf.DUMMYFUNCTION("""COMPUTED_VALUE"""),"Teresa Conde Menor")</f>
        <v>Teresa Conde Menor</v>
      </c>
      <c r="K970" s="36"/>
      <c r="L970" s="40" t="str">
        <f t="shared" ca="1" si="6"/>
        <v>LRM235</v>
      </c>
      <c r="M970" s="36" t="str">
        <f t="shared" ca="1" si="7"/>
        <v>LRM</v>
      </c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</row>
    <row r="971" spans="1:27">
      <c r="A971" s="36"/>
      <c r="B971" s="36"/>
      <c r="C971" s="36"/>
      <c r="D971" s="36"/>
      <c r="E971" s="36"/>
      <c r="F971" s="36" t="str">
        <f ca="1">IFERROR(__xludf.DUMMYFUNCTION("""COMPUTED_VALUE"""),"Patricia Solache")</f>
        <v>Patricia Solache</v>
      </c>
      <c r="G971" s="36" t="str">
        <f ca="1">IFERROR(__xludf.DUMMYFUNCTION("""COMPUTED_VALUE"""),"PSC")</f>
        <v>PSC</v>
      </c>
      <c r="H971" s="36" t="str">
        <f ca="1">IFERROR(__xludf.DUMMYFUNCTION("""COMPUTED_VALUE"""),"PSC52")</f>
        <v>PSC52</v>
      </c>
      <c r="I971" s="36" t="str">
        <f ca="1">IFERROR(__xludf.DUMMYFUNCTION("""COMPUTED_VALUE"""),"A")</f>
        <v>A</v>
      </c>
      <c r="J971" s="36" t="str">
        <f ca="1">IFERROR(__xludf.DUMMYFUNCTION("""COMPUTED_VALUE"""),"Teresa Langeber Gavilán")</f>
        <v>Teresa Langeber Gavilán</v>
      </c>
      <c r="K971" s="36"/>
      <c r="L971" s="40" t="str">
        <f t="shared" ca="1" si="6"/>
        <v>PSC52</v>
      </c>
      <c r="M971" s="36" t="str">
        <f t="shared" ca="1" si="7"/>
        <v>PSC</v>
      </c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</row>
    <row r="972" spans="1:27">
      <c r="A972" s="36"/>
      <c r="B972" s="36"/>
      <c r="C972" s="36"/>
      <c r="D972" s="36"/>
      <c r="E972" s="36"/>
      <c r="F972" s="36" t="str">
        <f ca="1">IFERROR(__xludf.DUMMYFUNCTION("""COMPUTED_VALUE"""),"Lisandro Russian")</f>
        <v>Lisandro Russian</v>
      </c>
      <c r="G972" s="36" t="str">
        <f ca="1">IFERROR(__xludf.DUMMYFUNCTION("""COMPUTED_VALUE"""),"LRM")</f>
        <v>LRM</v>
      </c>
      <c r="H972" s="36" t="str">
        <f ca="1">IFERROR(__xludf.DUMMYFUNCTION("""COMPUTED_VALUE"""),"LRM236")</f>
        <v>LRM236</v>
      </c>
      <c r="I972" s="36" t="str">
        <f ca="1">IFERROR(__xludf.DUMMYFUNCTION("""COMPUTED_VALUE"""),"A")</f>
        <v>A</v>
      </c>
      <c r="J972" s="36" t="str">
        <f ca="1">IFERROR(__xludf.DUMMYFUNCTION("""COMPUTED_VALUE"""),"Teresa Laviana Muslera")</f>
        <v>Teresa Laviana Muslera</v>
      </c>
      <c r="K972" s="36"/>
      <c r="L972" s="40" t="str">
        <f t="shared" ca="1" si="6"/>
        <v>LRM236</v>
      </c>
      <c r="M972" s="36" t="str">
        <f t="shared" ca="1" si="7"/>
        <v>LRM</v>
      </c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</row>
    <row r="973" spans="1:27">
      <c r="A973" s="36"/>
      <c r="B973" s="36"/>
      <c r="C973" s="36"/>
      <c r="D973" s="36"/>
      <c r="E973" s="36"/>
      <c r="F973" s="36" t="str">
        <f ca="1">IFERROR(__xludf.DUMMYFUNCTION("""COMPUTED_VALUE"""),"Maika Blázquez")</f>
        <v>Maika Blázquez</v>
      </c>
      <c r="G973" s="36" t="str">
        <f ca="1">IFERROR(__xludf.DUMMYFUNCTION("""COMPUTED_VALUE"""),"MBM")</f>
        <v>MBM</v>
      </c>
      <c r="H973" s="36" t="str">
        <f ca="1">IFERROR(__xludf.DUMMYFUNCTION("""COMPUTED_VALUE"""),"MBM181")</f>
        <v>MBM181</v>
      </c>
      <c r="I973" s="36" t="str">
        <f ca="1">IFERROR(__xludf.DUMMYFUNCTION("""COMPUTED_VALUE"""),"A")</f>
        <v>A</v>
      </c>
      <c r="J973" s="36" t="str">
        <f ca="1">IFERROR(__xludf.DUMMYFUNCTION("""COMPUTED_VALUE"""),"Teresa Mato Patino")</f>
        <v>Teresa Mato Patino</v>
      </c>
      <c r="K973" s="36"/>
      <c r="L973" s="40" t="str">
        <f t="shared" ca="1" si="6"/>
        <v>MBM181</v>
      </c>
      <c r="M973" s="36" t="str">
        <f t="shared" ca="1" si="7"/>
        <v>MBM</v>
      </c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</row>
    <row r="974" spans="1:27">
      <c r="A974" s="36"/>
      <c r="B974" s="36"/>
      <c r="C974" s="36"/>
      <c r="D974" s="36"/>
      <c r="E974" s="36"/>
      <c r="F974" s="36" t="str">
        <f ca="1">IFERROR(__xludf.DUMMYFUNCTION("""COMPUTED_VALUE"""),"Maika Blázquez")</f>
        <v>Maika Blázquez</v>
      </c>
      <c r="G974" s="36" t="str">
        <f ca="1">IFERROR(__xludf.DUMMYFUNCTION("""COMPUTED_VALUE"""),"MBM")</f>
        <v>MBM</v>
      </c>
      <c r="H974" s="36" t="str">
        <f ca="1">IFERROR(__xludf.DUMMYFUNCTION("""COMPUTED_VALUE"""),"MBM182")</f>
        <v>MBM182</v>
      </c>
      <c r="I974" s="36" t="str">
        <f ca="1">IFERROR(__xludf.DUMMYFUNCTION("""COMPUTED_VALUE"""),"A")</f>
        <v>A</v>
      </c>
      <c r="J974" s="36" t="str">
        <f ca="1">IFERROR(__xludf.DUMMYFUNCTION("""COMPUTED_VALUE"""),"Teresa Millas Gómez")</f>
        <v>Teresa Millas Gómez</v>
      </c>
      <c r="K974" s="36"/>
      <c r="L974" s="40" t="str">
        <f t="shared" ca="1" si="6"/>
        <v>MBM182</v>
      </c>
      <c r="M974" s="36" t="str">
        <f t="shared" ca="1" si="7"/>
        <v>MBM</v>
      </c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</row>
    <row r="975" spans="1:27">
      <c r="A975" s="36"/>
      <c r="B975" s="36"/>
      <c r="C975" s="36"/>
      <c r="D975" s="36"/>
      <c r="E975" s="36"/>
      <c r="F975" s="36" t="str">
        <f ca="1">IFERROR(__xludf.DUMMYFUNCTION("""COMPUTED_VALUE"""),"Lisandro Russian")</f>
        <v>Lisandro Russian</v>
      </c>
      <c r="G975" s="36" t="str">
        <f ca="1">IFERROR(__xludf.DUMMYFUNCTION("""COMPUTED_VALUE"""),"LRM")</f>
        <v>LRM</v>
      </c>
      <c r="H975" s="36" t="str">
        <f ca="1">IFERROR(__xludf.DUMMYFUNCTION("""COMPUTED_VALUE"""),"LRM237")</f>
        <v>LRM237</v>
      </c>
      <c r="I975" s="36" t="str">
        <f ca="1">IFERROR(__xludf.DUMMYFUNCTION("""COMPUTED_VALUE"""),"A")</f>
        <v>A</v>
      </c>
      <c r="J975" s="36" t="str">
        <f ca="1">IFERROR(__xludf.DUMMYFUNCTION("""COMPUTED_VALUE"""),"Teresa Rivera Schmitz")</f>
        <v>Teresa Rivera Schmitz</v>
      </c>
      <c r="K975" s="36"/>
      <c r="L975" s="40" t="str">
        <f t="shared" ca="1" si="6"/>
        <v>LRM237</v>
      </c>
      <c r="M975" s="36" t="str">
        <f t="shared" ca="1" si="7"/>
        <v>LRM</v>
      </c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</row>
    <row r="976" spans="1:27">
      <c r="A976" s="36"/>
      <c r="B976" s="36"/>
      <c r="C976" s="36"/>
      <c r="D976" s="36"/>
      <c r="E976" s="36"/>
      <c r="F976" s="36" t="str">
        <f ca="1">IFERROR(__xludf.DUMMYFUNCTION("""COMPUTED_VALUE"""),"Lisandro Russian")</f>
        <v>Lisandro Russian</v>
      </c>
      <c r="G976" s="36" t="str">
        <f ca="1">IFERROR(__xludf.DUMMYFUNCTION("""COMPUTED_VALUE"""),"LRM")</f>
        <v>LRM</v>
      </c>
      <c r="H976" s="36" t="str">
        <f ca="1">IFERROR(__xludf.DUMMYFUNCTION("""COMPUTED_VALUE"""),"LRM121")</f>
        <v>LRM121</v>
      </c>
      <c r="I976" s="36" t="str">
        <f ca="1">IFERROR(__xludf.DUMMYFUNCTION("""COMPUTED_VALUE"""),"A")</f>
        <v>A</v>
      </c>
      <c r="J976" s="36" t="str">
        <f ca="1">IFERROR(__xludf.DUMMYFUNCTION("""COMPUTED_VALUE"""),"Tomás García Fernández de Sevilla")</f>
        <v>Tomás García Fernández de Sevilla</v>
      </c>
      <c r="K976" s="36"/>
      <c r="L976" s="40" t="str">
        <f t="shared" ca="1" si="6"/>
        <v>LRM121</v>
      </c>
      <c r="M976" s="36" t="str">
        <f t="shared" ca="1" si="7"/>
        <v>LRM</v>
      </c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</row>
    <row r="977" spans="1:27">
      <c r="A977" s="36"/>
      <c r="B977" s="36"/>
      <c r="C977" s="36"/>
      <c r="D977" s="36"/>
      <c r="E977" s="36"/>
      <c r="F977" s="36" t="str">
        <f ca="1">IFERROR(__xludf.DUMMYFUNCTION("""COMPUTED_VALUE"""),"Luis Alberto Rodríguez")</f>
        <v>Luis Alberto Rodríguez</v>
      </c>
      <c r="G977" s="36" t="str">
        <f ca="1">IFERROR(__xludf.DUMMYFUNCTION("""COMPUTED_VALUE"""),"LAA")</f>
        <v>LAA</v>
      </c>
      <c r="H977" s="36" t="str">
        <f ca="1">IFERROR(__xludf.DUMMYFUNCTION("""COMPUTED_VALUE"""),"LAA60")</f>
        <v>LAA60</v>
      </c>
      <c r="I977" s="36" t="str">
        <f ca="1">IFERROR(__xludf.DUMMYFUNCTION("""COMPUTED_VALUE"""),"C")</f>
        <v>C</v>
      </c>
      <c r="J977" s="36" t="str">
        <f ca="1">IFERROR(__xludf.DUMMYFUNCTION("""COMPUTED_VALUE"""),"Tomas Mogollon Cano Cortes")</f>
        <v>Tomas Mogollon Cano Cortes</v>
      </c>
      <c r="K977" s="36"/>
      <c r="L977" s="40" t="str">
        <f t="shared" ca="1" si="6"/>
        <v>LAA60</v>
      </c>
      <c r="M977" s="36" t="str">
        <f t="shared" ca="1" si="7"/>
        <v>LAA</v>
      </c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</row>
    <row r="978" spans="1:27">
      <c r="A978" s="36"/>
      <c r="B978" s="36"/>
      <c r="C978" s="36"/>
      <c r="D978" s="36"/>
      <c r="E978" s="36"/>
      <c r="F978" s="36" t="str">
        <f ca="1">IFERROR(__xludf.DUMMYFUNCTION("""COMPUTED_VALUE"""),"Luis Alberto Rodríguez")</f>
        <v>Luis Alberto Rodríguez</v>
      </c>
      <c r="G978" s="36" t="str">
        <f ca="1">IFERROR(__xludf.DUMMYFUNCTION("""COMPUTED_VALUE"""),"LAA")</f>
        <v>LAA</v>
      </c>
      <c r="H978" s="36" t="str">
        <f ca="1">IFERROR(__xludf.DUMMYFUNCTION("""COMPUTED_VALUE"""),"LAA42")</f>
        <v>LAA42</v>
      </c>
      <c r="I978" s="36" t="str">
        <f ca="1">IFERROR(__xludf.DUMMYFUNCTION("""COMPUTED_VALUE"""),"C")</f>
        <v>C</v>
      </c>
      <c r="J978" s="36" t="str">
        <f ca="1">IFERROR(__xludf.DUMMYFUNCTION("""COMPUTED_VALUE"""),"Tomás Mogollón Cano-Cortés")</f>
        <v>Tomás Mogollón Cano-Cortés</v>
      </c>
      <c r="K978" s="36"/>
      <c r="L978" s="40" t="str">
        <f t="shared" ca="1" si="6"/>
        <v>LAA42</v>
      </c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</row>
    <row r="979" spans="1:27">
      <c r="A979" s="36"/>
      <c r="B979" s="36"/>
      <c r="C979" s="36"/>
      <c r="D979" s="36"/>
      <c r="E979" s="36"/>
      <c r="F979" s="36" t="str">
        <f ca="1">IFERROR(__xludf.DUMMYFUNCTION("""COMPUTED_VALUE"""),"Luis Alberto Rodríguez")</f>
        <v>Luis Alberto Rodríguez</v>
      </c>
      <c r="G979" s="36" t="str">
        <f ca="1">IFERROR(__xludf.DUMMYFUNCTION("""COMPUTED_VALUE"""),"LAA")</f>
        <v>LAA</v>
      </c>
      <c r="H979" s="36" t="str">
        <f ca="1">IFERROR(__xludf.DUMMYFUNCTION("""COMPUTED_VALUE"""),"LAA43")</f>
        <v>LAA43</v>
      </c>
      <c r="I979" s="36" t="str">
        <f ca="1">IFERROR(__xludf.DUMMYFUNCTION("""COMPUTED_VALUE"""),"C")</f>
        <v>C</v>
      </c>
      <c r="J979" s="36" t="str">
        <f ca="1">IFERROR(__xludf.DUMMYFUNCTION("""COMPUTED_VALUE"""),"Ulises Bidón Gómez")</f>
        <v>Ulises Bidón Gómez</v>
      </c>
      <c r="K979" s="36"/>
      <c r="L979" s="40" t="str">
        <f t="shared" ca="1" si="6"/>
        <v>LAA43</v>
      </c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</row>
    <row r="980" spans="1:27">
      <c r="A980" s="36"/>
      <c r="B980" s="36"/>
      <c r="C980" s="36"/>
      <c r="D980" s="36"/>
      <c r="E980" s="36"/>
      <c r="F980" s="36" t="str">
        <f ca="1">IFERROR(__xludf.DUMMYFUNCTION("""COMPUTED_VALUE"""),"Ramon Ferrando")</f>
        <v>Ramon Ferrando</v>
      </c>
      <c r="G980" s="36" t="str">
        <f ca="1">IFERROR(__xludf.DUMMYFUNCTION("""COMPUTED_VALUE"""),"RFV")</f>
        <v>RFV</v>
      </c>
      <c r="H980" s="36" t="str">
        <f ca="1">IFERROR(__xludf.DUMMYFUNCTION("""COMPUTED_VALUE"""),"RFV35")</f>
        <v>RFV35</v>
      </c>
      <c r="I980" s="36" t="str">
        <f ca="1">IFERROR(__xludf.DUMMYFUNCTION("""COMPUTED_VALUE"""),"B")</f>
        <v>B</v>
      </c>
      <c r="J980" s="36" t="str">
        <f ca="1">IFERROR(__xludf.DUMMYFUNCTION("""COMPUTED_VALUE"""),"Vanesa Pérez Guillén")</f>
        <v>Vanesa Pérez Guillén</v>
      </c>
      <c r="K980" s="36"/>
      <c r="L980" s="40" t="str">
        <f t="shared" ca="1" si="6"/>
        <v>RFV35</v>
      </c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</row>
    <row r="981" spans="1:27">
      <c r="A981" s="36"/>
      <c r="B981" s="36"/>
      <c r="C981" s="36"/>
      <c r="D981" s="36"/>
      <c r="E981" s="36"/>
      <c r="F981" s="36" t="str">
        <f ca="1">IFERROR(__xludf.DUMMYFUNCTION("""COMPUTED_VALUE"""),"Alberto Moreno")</f>
        <v>Alberto Moreno</v>
      </c>
      <c r="G981" s="36" t="str">
        <f ca="1">IFERROR(__xludf.DUMMYFUNCTION("""COMPUTED_VALUE"""),"AMM")</f>
        <v>AMM</v>
      </c>
      <c r="H981" s="36" t="str">
        <f ca="1">IFERROR(__xludf.DUMMYFUNCTION("""COMPUTED_VALUE"""),"AMM18")</f>
        <v>AMM18</v>
      </c>
      <c r="I981" s="36" t="str">
        <f ca="1">IFERROR(__xludf.DUMMYFUNCTION("""COMPUTED_VALUE"""),"A")</f>
        <v>A</v>
      </c>
      <c r="J981" s="36" t="str">
        <f ca="1">IFERROR(__xludf.DUMMYFUNCTION("""COMPUTED_VALUE"""),"Vanesa Suárez Fente")</f>
        <v>Vanesa Suárez Fente</v>
      </c>
      <c r="K981" s="36"/>
      <c r="L981" s="40" t="str">
        <f t="shared" ca="1" si="6"/>
        <v>AMM18</v>
      </c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</row>
    <row r="982" spans="1:27">
      <c r="A982" s="36"/>
      <c r="B982" s="36"/>
      <c r="C982" s="36"/>
      <c r="D982" s="36"/>
      <c r="E982" s="36"/>
      <c r="F982" s="36" t="str">
        <f ca="1">IFERROR(__xludf.DUMMYFUNCTION("""COMPUTED_VALUE"""),"Iván Sánchez")</f>
        <v>Iván Sánchez</v>
      </c>
      <c r="G982" s="36" t="str">
        <f ca="1">IFERROR(__xludf.DUMMYFUNCTION("""COMPUTED_VALUE"""),"ISL")</f>
        <v>ISL</v>
      </c>
      <c r="H982" s="36" t="str">
        <f ca="1">IFERROR(__xludf.DUMMYFUNCTION("""COMPUTED_VALUE"""),"ISL134")</f>
        <v>ISL134</v>
      </c>
      <c r="I982" s="36" t="str">
        <f ca="1">IFERROR(__xludf.DUMMYFUNCTION("""COMPUTED_VALUE"""),"B")</f>
        <v>B</v>
      </c>
      <c r="J982" s="36" t="str">
        <f ca="1">IFERROR(__xludf.DUMMYFUNCTION("""COMPUTED_VALUE"""),"Vania Novoa Juiz")</f>
        <v>Vania Novoa Juiz</v>
      </c>
      <c r="K982" s="36"/>
      <c r="L982" s="40" t="str">
        <f t="shared" ca="1" si="6"/>
        <v>ISL134</v>
      </c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</row>
    <row r="983" spans="1:27">
      <c r="A983" s="36"/>
      <c r="B983" s="36"/>
      <c r="C983" s="36"/>
      <c r="D983" s="36"/>
      <c r="E983" s="36"/>
      <c r="F983" s="36" t="str">
        <f ca="1">IFERROR(__xludf.DUMMYFUNCTION("""COMPUTED_VALUE"""),"Maika Blázquez")</f>
        <v>Maika Blázquez</v>
      </c>
      <c r="G983" s="36" t="str">
        <f ca="1">IFERROR(__xludf.DUMMYFUNCTION("""COMPUTED_VALUE"""),"MBM")</f>
        <v>MBM</v>
      </c>
      <c r="H983" s="36" t="str">
        <f ca="1">IFERROR(__xludf.DUMMYFUNCTION("""COMPUTED_VALUE"""),"MBM82")</f>
        <v>MBM82</v>
      </c>
      <c r="I983" s="36" t="str">
        <f ca="1">IFERROR(__xludf.DUMMYFUNCTION("""COMPUTED_VALUE"""),"A")</f>
        <v>A</v>
      </c>
      <c r="J983" s="36" t="str">
        <f ca="1">IFERROR(__xludf.DUMMYFUNCTION("""COMPUTED_VALUE"""),"Ventura Anciones Rodríguez")</f>
        <v>Ventura Anciones Rodríguez</v>
      </c>
      <c r="K983" s="36"/>
      <c r="L983" s="40" t="str">
        <f t="shared" ca="1" si="6"/>
        <v>MBM82</v>
      </c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</row>
    <row r="984" spans="1:27">
      <c r="A984" s="36"/>
      <c r="B984" s="36"/>
      <c r="C984" s="36"/>
      <c r="D984" s="36"/>
      <c r="E984" s="36"/>
      <c r="F984" s="36" t="str">
        <f ca="1">IFERROR(__xludf.DUMMYFUNCTION("""COMPUTED_VALUE"""),"Iván Sánchez")</f>
        <v>Iván Sánchez</v>
      </c>
      <c r="G984" s="36" t="str">
        <f ca="1">IFERROR(__xludf.DUMMYFUNCTION("""COMPUTED_VALUE"""),"ISL")</f>
        <v>ISL</v>
      </c>
      <c r="H984" s="36" t="str">
        <f ca="1">IFERROR(__xludf.DUMMYFUNCTION("""COMPUTED_VALUE"""),"ISL135")</f>
        <v>ISL135</v>
      </c>
      <c r="I984" s="36" t="str">
        <f ca="1">IFERROR(__xludf.DUMMYFUNCTION("""COMPUTED_VALUE"""),"B")</f>
        <v>B</v>
      </c>
      <c r="J984" s="36" t="str">
        <f ca="1">IFERROR(__xludf.DUMMYFUNCTION("""COMPUTED_VALUE"""),"Verónica Pellicer Zoghbi")</f>
        <v>Verónica Pellicer Zoghbi</v>
      </c>
      <c r="K984" s="36"/>
      <c r="L984" s="40" t="str">
        <f t="shared" ca="1" si="6"/>
        <v>ISL135</v>
      </c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</row>
    <row r="985" spans="1:27">
      <c r="A985" s="36"/>
      <c r="B985" s="36"/>
      <c r="C985" s="36"/>
      <c r="D985" s="36"/>
      <c r="E985" s="36"/>
      <c r="F985" s="36" t="str">
        <f ca="1">IFERROR(__xludf.DUMMYFUNCTION("""COMPUTED_VALUE"""),"Maika Blázquez")</f>
        <v>Maika Blázquez</v>
      </c>
      <c r="G985" s="36" t="str">
        <f ca="1">IFERROR(__xludf.DUMMYFUNCTION("""COMPUTED_VALUE"""),"MBM")</f>
        <v>MBM</v>
      </c>
      <c r="H985" s="36" t="str">
        <f ca="1">IFERROR(__xludf.DUMMYFUNCTION("""COMPUTED_VALUE"""),"MBM83")</f>
        <v>MBM83</v>
      </c>
      <c r="I985" s="36" t="str">
        <f ca="1">IFERROR(__xludf.DUMMYFUNCTION("""COMPUTED_VALUE"""),"A")</f>
        <v>A</v>
      </c>
      <c r="J985" s="36" t="str">
        <f ca="1">IFERROR(__xludf.DUMMYFUNCTION("""COMPUTED_VALUE"""),"Vicente Jiménez López")</f>
        <v>Vicente Jiménez López</v>
      </c>
      <c r="K985" s="36"/>
      <c r="L985" s="40" t="str">
        <f t="shared" ca="1" si="6"/>
        <v>MBM83</v>
      </c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</row>
    <row r="986" spans="1:27">
      <c r="A986" s="36"/>
      <c r="B986" s="36"/>
      <c r="C986" s="36"/>
      <c r="D986" s="36"/>
      <c r="E986" s="36"/>
      <c r="F986" s="36" t="str">
        <f ca="1">IFERROR(__xludf.DUMMYFUNCTION("""COMPUTED_VALUE"""),"Maika Blázquez")</f>
        <v>Maika Blázquez</v>
      </c>
      <c r="G986" s="36" t="str">
        <f ca="1">IFERROR(__xludf.DUMMYFUNCTION("""COMPUTED_VALUE"""),"MBM")</f>
        <v>MBM</v>
      </c>
      <c r="H986" s="36" t="str">
        <f ca="1">IFERROR(__xludf.DUMMYFUNCTION("""COMPUTED_VALUE"""),"MBM84")</f>
        <v>MBM84</v>
      </c>
      <c r="I986" s="36" t="str">
        <f ca="1">IFERROR(__xludf.DUMMYFUNCTION("""COMPUTED_VALUE"""),"A")</f>
        <v>A</v>
      </c>
      <c r="J986" s="36" t="str">
        <f ca="1">IFERROR(__xludf.DUMMYFUNCTION("""COMPUTED_VALUE"""),"Vicente Martínez Santos")</f>
        <v>Vicente Martínez Santos</v>
      </c>
      <c r="K986" s="36"/>
      <c r="L986" s="40" t="str">
        <f t="shared" ca="1" si="6"/>
        <v>MBM84</v>
      </c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</row>
    <row r="987" spans="1:27">
      <c r="A987" s="36"/>
      <c r="B987" s="36"/>
      <c r="C987" s="36"/>
      <c r="D987" s="36"/>
      <c r="E987" s="36"/>
      <c r="F987" s="36" t="str">
        <f ca="1">IFERROR(__xludf.DUMMYFUNCTION("""COMPUTED_VALUE"""),"Luis Alberto Rodríguez")</f>
        <v>Luis Alberto Rodríguez</v>
      </c>
      <c r="G987" s="36" t="str">
        <f ca="1">IFERROR(__xludf.DUMMYFUNCTION("""COMPUTED_VALUE"""),"LAA")</f>
        <v>LAA</v>
      </c>
      <c r="H987" s="36" t="str">
        <f ca="1">IFERROR(__xludf.DUMMYFUNCTION("""COMPUTED_VALUE"""),"LAA72")</f>
        <v>LAA72</v>
      </c>
      <c r="I987" s="36" t="str">
        <f ca="1">IFERROR(__xludf.DUMMYFUNCTION("""COMPUTED_VALUE"""),"C")</f>
        <v>C</v>
      </c>
      <c r="J987" s="36" t="str">
        <f ca="1">IFERROR(__xludf.DUMMYFUNCTION("""COMPUTED_VALUE"""),"Vicente Mira Escartí")</f>
        <v>Vicente Mira Escartí</v>
      </c>
      <c r="K987" s="36"/>
      <c r="L987" s="40" t="str">
        <f t="shared" ca="1" si="6"/>
        <v>LAA72</v>
      </c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</row>
    <row r="988" spans="1:27">
      <c r="A988" s="36"/>
      <c r="B988" s="36"/>
      <c r="C988" s="36"/>
      <c r="D988" s="36"/>
      <c r="E988" s="36"/>
      <c r="F988" s="36" t="str">
        <f ca="1">IFERROR(__xludf.DUMMYFUNCTION("""COMPUTED_VALUE"""),"Ramon Ferrando")</f>
        <v>Ramon Ferrando</v>
      </c>
      <c r="G988" s="36" t="str">
        <f ca="1">IFERROR(__xludf.DUMMYFUNCTION("""COMPUTED_VALUE"""),"RFV")</f>
        <v>RFV</v>
      </c>
      <c r="H988" s="36" t="str">
        <f ca="1">IFERROR(__xludf.DUMMYFUNCTION("""COMPUTED_VALUE"""),"RFV36")</f>
        <v>RFV36</v>
      </c>
      <c r="I988" s="36" t="str">
        <f ca="1">IFERROR(__xludf.DUMMYFUNCTION("""COMPUTED_VALUE"""),"B")</f>
        <v>B</v>
      </c>
      <c r="J988" s="36" t="str">
        <f ca="1">IFERROR(__xludf.DUMMYFUNCTION("""COMPUTED_VALUE"""),"Vicky Galstyan Minasosa")</f>
        <v>Vicky Galstyan Minasosa</v>
      </c>
      <c r="K988" s="36"/>
      <c r="L988" s="40" t="str">
        <f t="shared" ca="1" si="6"/>
        <v>RFV36</v>
      </c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</row>
    <row r="989" spans="1:27">
      <c r="A989" s="36"/>
      <c r="B989" s="36"/>
      <c r="C989" s="36"/>
      <c r="D989" s="36"/>
      <c r="E989" s="36"/>
      <c r="F989" s="36" t="str">
        <f ca="1">IFERROR(__xludf.DUMMYFUNCTION("""COMPUTED_VALUE"""),"Maika Blázquez")</f>
        <v>Maika Blázquez</v>
      </c>
      <c r="G989" s="36" t="str">
        <f ca="1">IFERROR(__xludf.DUMMYFUNCTION("""COMPUTED_VALUE"""),"MBM")</f>
        <v>MBM</v>
      </c>
      <c r="H989" s="36" t="str">
        <f ca="1">IFERROR(__xludf.DUMMYFUNCTION("""COMPUTED_VALUE"""),"MBM85")</f>
        <v>MBM85</v>
      </c>
      <c r="I989" s="36" t="str">
        <f ca="1">IFERROR(__xludf.DUMMYFUNCTION("""COMPUTED_VALUE"""),"A")</f>
        <v>A</v>
      </c>
      <c r="J989" s="36" t="str">
        <f ca="1">IFERROR(__xludf.DUMMYFUNCTION("""COMPUTED_VALUE"""),"Víctor José González Arias")</f>
        <v>Víctor José González Arias</v>
      </c>
      <c r="K989" s="36"/>
      <c r="L989" s="40" t="str">
        <f t="shared" ca="1" si="6"/>
        <v>MBM85</v>
      </c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</row>
    <row r="990" spans="1:27">
      <c r="A990" s="36"/>
      <c r="B990" s="36"/>
      <c r="C990" s="36"/>
      <c r="D990" s="36"/>
      <c r="E990" s="36"/>
      <c r="F990" s="36" t="str">
        <f ca="1">IFERROR(__xludf.DUMMYFUNCTION("""COMPUTED_VALUE"""),"Patricia Solache")</f>
        <v>Patricia Solache</v>
      </c>
      <c r="G990" s="36" t="str">
        <f ca="1">IFERROR(__xludf.DUMMYFUNCTION("""COMPUTED_VALUE"""),"PSC")</f>
        <v>PSC</v>
      </c>
      <c r="H990" s="36" t="str">
        <f ca="1">IFERROR(__xludf.DUMMYFUNCTION("""COMPUTED_VALUE"""),"PSC53")</f>
        <v>PSC53</v>
      </c>
      <c r="I990" s="36" t="str">
        <f ca="1">IFERROR(__xludf.DUMMYFUNCTION("""COMPUTED_VALUE"""),"A")</f>
        <v>A</v>
      </c>
      <c r="J990" s="36" t="str">
        <f ca="1">IFERROR(__xludf.DUMMYFUNCTION("""COMPUTED_VALUE"""),"Victoria Duque Holguera")</f>
        <v>Victoria Duque Holguera</v>
      </c>
      <c r="K990" s="36"/>
      <c r="L990" s="40" t="str">
        <f t="shared" ca="1" si="6"/>
        <v>PSC53</v>
      </c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</row>
    <row r="991" spans="1:27">
      <c r="A991" s="36"/>
      <c r="B991" s="36"/>
      <c r="C991" s="36"/>
      <c r="D991" s="36"/>
      <c r="E991" s="36"/>
      <c r="F991" s="36" t="str">
        <f ca="1">IFERROR(__xludf.DUMMYFUNCTION("""COMPUTED_VALUE"""),"Maika Blázquez")</f>
        <v>Maika Blázquez</v>
      </c>
      <c r="G991" s="36" t="str">
        <f ca="1">IFERROR(__xludf.DUMMYFUNCTION("""COMPUTED_VALUE"""),"MBM")</f>
        <v>MBM</v>
      </c>
      <c r="H991" s="36" t="str">
        <f ca="1">IFERROR(__xludf.DUMMYFUNCTION("""COMPUTED_VALUE"""),"MBM183")</f>
        <v>MBM183</v>
      </c>
      <c r="I991" s="36" t="str">
        <f ca="1">IFERROR(__xludf.DUMMYFUNCTION("""COMPUTED_VALUE"""),"A")</f>
        <v>A</v>
      </c>
      <c r="J991" s="36" t="str">
        <f ca="1">IFERROR(__xludf.DUMMYFUNCTION("""COMPUTED_VALUE"""),"Victoria García León")</f>
        <v>Victoria García León</v>
      </c>
      <c r="K991" s="36"/>
      <c r="L991" s="40" t="str">
        <f t="shared" ca="1" si="6"/>
        <v>MBM183</v>
      </c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</row>
    <row r="992" spans="1:27">
      <c r="A992" s="36"/>
      <c r="B992" s="36"/>
      <c r="C992" s="36"/>
      <c r="D992" s="36"/>
      <c r="E992" s="36"/>
      <c r="F992" s="36" t="str">
        <f ca="1">IFERROR(__xludf.DUMMYFUNCTION("""COMPUTED_VALUE"""),"Maika Blázquez")</f>
        <v>Maika Blázquez</v>
      </c>
      <c r="G992" s="36" t="str">
        <f ca="1">IFERROR(__xludf.DUMMYFUNCTION("""COMPUTED_VALUE"""),"MBM")</f>
        <v>MBM</v>
      </c>
      <c r="H992" s="36" t="str">
        <f ca="1">IFERROR(__xludf.DUMMYFUNCTION("""COMPUTED_VALUE"""),"MBM184")</f>
        <v>MBM184</v>
      </c>
      <c r="I992" s="36" t="str">
        <f ca="1">IFERROR(__xludf.DUMMYFUNCTION("""COMPUTED_VALUE"""),"A")</f>
        <v>A</v>
      </c>
      <c r="J992" s="36" t="str">
        <f ca="1">IFERROR(__xludf.DUMMYFUNCTION("""COMPUTED_VALUE"""),"Victoria García Peces")</f>
        <v>Victoria García Peces</v>
      </c>
      <c r="K992" s="36"/>
      <c r="L992" s="40" t="str">
        <f t="shared" ca="1" si="6"/>
        <v>MBM184</v>
      </c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</row>
    <row r="993" spans="1:27">
      <c r="A993" s="36"/>
      <c r="B993" s="36"/>
      <c r="C993" s="36"/>
      <c r="D993" s="36"/>
      <c r="E993" s="36"/>
      <c r="F993" s="36" t="str">
        <f ca="1">IFERROR(__xludf.DUMMYFUNCTION("""COMPUTED_VALUE"""),"Mercè Cabrera")</f>
        <v>Mercè Cabrera</v>
      </c>
      <c r="G993" s="36" t="str">
        <f ca="1">IFERROR(__xludf.DUMMYFUNCTION("""COMPUTED_VALUE"""),"MCC")</f>
        <v>MCC</v>
      </c>
      <c r="H993" s="36" t="str">
        <f ca="1">IFERROR(__xludf.DUMMYFUNCTION("""COMPUTED_VALUE"""),"MCC58")</f>
        <v>MCC58</v>
      </c>
      <c r="I993" s="36" t="str">
        <f ca="1">IFERROR(__xludf.DUMMYFUNCTION("""COMPUTED_VALUE"""),"A")</f>
        <v>A</v>
      </c>
      <c r="J993" s="36" t="str">
        <f ca="1">IFERROR(__xludf.DUMMYFUNCTION("""COMPUTED_VALUE"""),"Victoria Rivero de Jesús")</f>
        <v>Victoria Rivero de Jesús</v>
      </c>
      <c r="K993" s="36"/>
      <c r="L993" s="40" t="str">
        <f t="shared" ca="1" si="6"/>
        <v>MCC58</v>
      </c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</row>
    <row r="994" spans="1:27">
      <c r="A994" s="36"/>
      <c r="B994" s="36"/>
      <c r="C994" s="36"/>
      <c r="D994" s="36"/>
      <c r="E994" s="36"/>
      <c r="F994" s="36" t="str">
        <f ca="1">IFERROR(__xludf.DUMMYFUNCTION("""COMPUTED_VALUE"""),"Patricia Solache")</f>
        <v>Patricia Solache</v>
      </c>
      <c r="G994" s="36" t="str">
        <f ca="1">IFERROR(__xludf.DUMMYFUNCTION("""COMPUTED_VALUE"""),"PSC")</f>
        <v>PSC</v>
      </c>
      <c r="H994" s="36" t="str">
        <f ca="1">IFERROR(__xludf.DUMMYFUNCTION("""COMPUTED_VALUE"""),"PSC54")</f>
        <v>PSC54</v>
      </c>
      <c r="I994" s="36" t="str">
        <f ca="1">IFERROR(__xludf.DUMMYFUNCTION("""COMPUTED_VALUE"""),"A")</f>
        <v>A</v>
      </c>
      <c r="J994" s="36" t="str">
        <f ca="1">IFERROR(__xludf.DUMMYFUNCTION("""COMPUTED_VALUE"""),"Vilma Sandoval Pacheco")</f>
        <v>Vilma Sandoval Pacheco</v>
      </c>
      <c r="K994" s="36"/>
      <c r="L994" s="40" t="str">
        <f t="shared" ca="1" si="6"/>
        <v>PSC54</v>
      </c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</row>
    <row r="995" spans="1:27">
      <c r="A995" s="36"/>
      <c r="B995" s="36"/>
      <c r="C995" s="36"/>
      <c r="D995" s="36"/>
      <c r="E995" s="36"/>
      <c r="F995" s="36" t="str">
        <f ca="1">IFERROR(__xludf.DUMMYFUNCTION("""COMPUTED_VALUE"""),"Maika Blázquez")</f>
        <v>Maika Blázquez</v>
      </c>
      <c r="G995" s="36" t="str">
        <f ca="1">IFERROR(__xludf.DUMMYFUNCTION("""COMPUTED_VALUE"""),"MBM")</f>
        <v>MBM</v>
      </c>
      <c r="H995" s="36" t="str">
        <f ca="1">IFERROR(__xludf.DUMMYFUNCTION("""COMPUTED_VALUE"""),"MBM185")</f>
        <v>MBM185</v>
      </c>
      <c r="I995" s="36" t="str">
        <f ca="1">IFERROR(__xludf.DUMMYFUNCTION("""COMPUTED_VALUE"""),"A")</f>
        <v>A</v>
      </c>
      <c r="J995" s="36" t="str">
        <f ca="1">IFERROR(__xludf.DUMMYFUNCTION("""COMPUTED_VALUE"""),"Virginia Díaz Guerrero")</f>
        <v>Virginia Díaz Guerrero</v>
      </c>
      <c r="K995" s="36"/>
      <c r="L995" s="40" t="str">
        <f t="shared" ca="1" si="6"/>
        <v>MBM185</v>
      </c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</row>
    <row r="996" spans="1:27">
      <c r="A996" s="36"/>
      <c r="B996" s="36"/>
      <c r="C996" s="36"/>
      <c r="D996" s="36"/>
      <c r="E996" s="36"/>
      <c r="F996" s="36" t="str">
        <f ca="1">IFERROR(__xludf.DUMMYFUNCTION("""COMPUTED_VALUE"""),"Roberto Pereira")</f>
        <v>Roberto Pereira</v>
      </c>
      <c r="G996" s="36" t="str">
        <f ca="1">IFERROR(__xludf.DUMMYFUNCTION("""COMPUTED_VALUE"""),"RPG")</f>
        <v>RPG</v>
      </c>
      <c r="H996" s="36" t="str">
        <f ca="1">IFERROR(__xludf.DUMMYFUNCTION("""COMPUTED_VALUE"""),"RPG57")</f>
        <v>RPG57</v>
      </c>
      <c r="I996" s="36" t="str">
        <f ca="1">IFERROR(__xludf.DUMMYFUNCTION("""COMPUTED_VALUE"""),"A")</f>
        <v>A</v>
      </c>
      <c r="J996" s="36" t="str">
        <f ca="1">IFERROR(__xludf.DUMMYFUNCTION("""COMPUTED_VALUE"""),"Virginia Martínez Villasmil")</f>
        <v>Virginia Martínez Villasmil</v>
      </c>
      <c r="K996" s="36"/>
      <c r="L996" s="40" t="str">
        <f t="shared" ca="1" si="6"/>
        <v>RPG57</v>
      </c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</row>
    <row r="997" spans="1:27">
      <c r="A997" s="36"/>
      <c r="B997" s="36"/>
      <c r="C997" s="36"/>
      <c r="D997" s="36"/>
      <c r="E997" s="36"/>
      <c r="F997" s="36" t="str">
        <f ca="1">IFERROR(__xludf.DUMMYFUNCTION("""COMPUTED_VALUE"""),"Ramon Ferrando")</f>
        <v>Ramon Ferrando</v>
      </c>
      <c r="G997" s="36" t="str">
        <f ca="1">IFERROR(__xludf.DUMMYFUNCTION("""COMPUTED_VALUE"""),"RFV")</f>
        <v>RFV</v>
      </c>
      <c r="H997" s="36" t="str">
        <f ca="1">IFERROR(__xludf.DUMMYFUNCTION("""COMPUTED_VALUE"""),"RFV49")</f>
        <v>RFV49</v>
      </c>
      <c r="I997" s="36" t="str">
        <f ca="1">IFERROR(__xludf.DUMMYFUNCTION("""COMPUTED_VALUE"""),"B")</f>
        <v>B</v>
      </c>
      <c r="J997" s="36" t="str">
        <f ca="1">IFERROR(__xludf.DUMMYFUNCTION("""COMPUTED_VALUE"""),"Vladimir Rubio Segarra")</f>
        <v>Vladimir Rubio Segarra</v>
      </c>
      <c r="K997" s="36"/>
      <c r="L997" s="40" t="str">
        <f t="shared" ca="1" si="6"/>
        <v>RFV49</v>
      </c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</row>
    <row r="998" spans="1:27">
      <c r="A998" s="36"/>
      <c r="B998" s="36"/>
      <c r="C998" s="36"/>
      <c r="D998" s="36"/>
      <c r="E998" s="36"/>
      <c r="F998" s="36" t="str">
        <f ca="1">IFERROR(__xludf.DUMMYFUNCTION("""COMPUTED_VALUE"""),"Lisandro Russian")</f>
        <v>Lisandro Russian</v>
      </c>
      <c r="G998" s="36" t="str">
        <f ca="1">IFERROR(__xludf.DUMMYFUNCTION("""COMPUTED_VALUE"""),"LRM")</f>
        <v>LRM</v>
      </c>
      <c r="H998" s="36" t="str">
        <f ca="1">IFERROR(__xludf.DUMMYFUNCTION("""COMPUTED_VALUE"""),"LRM122")</f>
        <v>LRM122</v>
      </c>
      <c r="I998" s="36" t="str">
        <f ca="1">IFERROR(__xludf.DUMMYFUNCTION("""COMPUTED_VALUE"""),"A")</f>
        <v>A</v>
      </c>
      <c r="J998" s="36" t="str">
        <f ca="1">IFERROR(__xludf.DUMMYFUNCTION("""COMPUTED_VALUE"""),"William Aragonés Sanzen-Baker")</f>
        <v>William Aragonés Sanzen-Baker</v>
      </c>
      <c r="K998" s="36"/>
      <c r="L998" s="40" t="str">
        <f t="shared" ca="1" si="6"/>
        <v>LRM122</v>
      </c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</row>
    <row r="999" spans="1:27">
      <c r="A999" s="36"/>
      <c r="B999" s="36"/>
      <c r="C999" s="36"/>
      <c r="D999" s="36"/>
      <c r="E999" s="36"/>
      <c r="F999" s="36" t="str">
        <f ca="1">IFERROR(__xludf.DUMMYFUNCTION("""COMPUTED_VALUE"""),"Mercè Cabrera")</f>
        <v>Mercè Cabrera</v>
      </c>
      <c r="G999" s="36" t="str">
        <f ca="1">IFERROR(__xludf.DUMMYFUNCTION("""COMPUTED_VALUE"""),"MCC")</f>
        <v>MCC</v>
      </c>
      <c r="H999" s="36" t="str">
        <f ca="1">IFERROR(__xludf.DUMMYFUNCTION("""COMPUTED_VALUE"""),"MCC63")</f>
        <v>MCC63</v>
      </c>
      <c r="I999" s="36" t="str">
        <f ca="1">IFERROR(__xludf.DUMMYFUNCTION("""COMPUTED_VALUE"""),"A")</f>
        <v>A</v>
      </c>
      <c r="J999" s="36" t="str">
        <f ca="1">IFERROR(__xludf.DUMMYFUNCTION("""COMPUTED_VALUE"""),"Xavier Gonzalez Compa")</f>
        <v>Xavier Gonzalez Compa</v>
      </c>
      <c r="K999" s="36"/>
      <c r="L999" s="40" t="str">
        <f t="shared" ca="1" si="6"/>
        <v>MCC63</v>
      </c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</row>
    <row r="1000" spans="1:27">
      <c r="A1000" s="36"/>
      <c r="B1000" s="36"/>
      <c r="C1000" s="36"/>
      <c r="D1000" s="36"/>
      <c r="E1000" s="36"/>
      <c r="F1000" s="36" t="str">
        <f ca="1">IFERROR(__xludf.DUMMYFUNCTION("""COMPUTED_VALUE"""),"Mercè Cabrera")</f>
        <v>Mercè Cabrera</v>
      </c>
      <c r="G1000" s="36" t="str">
        <f ca="1">IFERROR(__xludf.DUMMYFUNCTION("""COMPUTED_VALUE"""),"MCC")</f>
        <v>MCC</v>
      </c>
      <c r="H1000" s="36" t="str">
        <f ca="1">IFERROR(__xludf.DUMMYFUNCTION("""COMPUTED_VALUE"""),"MCC32")</f>
        <v>MCC32</v>
      </c>
      <c r="I1000" s="36" t="str">
        <f ca="1">IFERROR(__xludf.DUMMYFUNCTION("""COMPUTED_VALUE"""),"A")</f>
        <v>A</v>
      </c>
      <c r="J1000" s="36" t="str">
        <f ca="1">IFERROR(__xludf.DUMMYFUNCTION("""COMPUTED_VALUE"""),"Xavier González Compta")</f>
        <v>Xavier González Compta</v>
      </c>
      <c r="K1000" s="36"/>
      <c r="L1000" s="40" t="str">
        <f t="shared" ca="1" si="6"/>
        <v>MCC32</v>
      </c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</row>
    <row r="1001" spans="1:27">
      <c r="A1001" s="36"/>
      <c r="B1001" s="36"/>
      <c r="C1001" s="36"/>
      <c r="D1001" s="36"/>
      <c r="E1001" s="36"/>
      <c r="F1001" s="36" t="str">
        <f ca="1">IFERROR(__xludf.DUMMYFUNCTION("""COMPUTED_VALUE"""),"Mercè Cabrera")</f>
        <v>Mercè Cabrera</v>
      </c>
      <c r="G1001" s="36" t="str">
        <f ca="1">IFERROR(__xludf.DUMMYFUNCTION("""COMPUTED_VALUE"""),"MCC")</f>
        <v>MCC</v>
      </c>
      <c r="H1001" s="36" t="str">
        <f ca="1">IFERROR(__xludf.DUMMYFUNCTION("""COMPUTED_VALUE"""),"MCC33")</f>
        <v>MCC33</v>
      </c>
      <c r="I1001" s="36" t="str">
        <f ca="1">IFERROR(__xludf.DUMMYFUNCTION("""COMPUTED_VALUE"""),"A")</f>
        <v>A</v>
      </c>
      <c r="J1001" s="36" t="str">
        <f ca="1">IFERROR(__xludf.DUMMYFUNCTION("""COMPUTED_VALUE"""),"Xavier Urraca Contreras")</f>
        <v>Xavier Urraca Contreras</v>
      </c>
      <c r="K1001" s="36"/>
      <c r="L1001" s="40" t="str">
        <f t="shared" ca="1" si="6"/>
        <v>MCC33</v>
      </c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  <c r="W1001" s="36"/>
      <c r="X1001" s="36"/>
      <c r="Y1001" s="36"/>
      <c r="Z1001" s="36"/>
      <c r="AA1001" s="36"/>
    </row>
    <row r="1002" spans="1:27">
      <c r="A1002" s="36"/>
      <c r="B1002" s="36"/>
      <c r="C1002" s="36"/>
      <c r="D1002" s="36"/>
      <c r="E1002" s="36"/>
      <c r="F1002" s="36" t="str">
        <f ca="1">IFERROR(__xludf.DUMMYFUNCTION("""COMPUTED_VALUE"""),"Patricia Solache")</f>
        <v>Patricia Solache</v>
      </c>
      <c r="G1002" s="36" t="str">
        <f ca="1">IFERROR(__xludf.DUMMYFUNCTION("""COMPUTED_VALUE"""),"PSC")</f>
        <v>PSC</v>
      </c>
      <c r="H1002" s="36" t="str">
        <f ca="1">IFERROR(__xludf.DUMMYFUNCTION("""COMPUTED_VALUE"""),"PSC55")</f>
        <v>PSC55</v>
      </c>
      <c r="I1002" s="36" t="str">
        <f ca="1">IFERROR(__xludf.DUMMYFUNCTION("""COMPUTED_VALUE"""),"A")</f>
        <v>A</v>
      </c>
      <c r="J1002" s="36" t="str">
        <f ca="1">IFERROR(__xludf.DUMMYFUNCTION("""COMPUTED_VALUE"""),"Xenia Mota Rojas")</f>
        <v>Xenia Mota Rojas</v>
      </c>
      <c r="K1002" s="36"/>
      <c r="L1002" s="40" t="str">
        <f t="shared" ca="1" si="6"/>
        <v>PSC55</v>
      </c>
      <c r="M1002" s="36"/>
      <c r="N1002" s="36"/>
      <c r="O1002" s="36"/>
      <c r="P1002" s="36"/>
      <c r="Q1002" s="36"/>
      <c r="R1002" s="36"/>
      <c r="S1002" s="36"/>
      <c r="T1002" s="36"/>
      <c r="U1002" s="36"/>
      <c r="V1002" s="36"/>
      <c r="W1002" s="36"/>
      <c r="X1002" s="36"/>
      <c r="Y1002" s="36"/>
      <c r="Z1002" s="36"/>
      <c r="AA1002" s="36"/>
    </row>
    <row r="1003" spans="1:27">
      <c r="A1003" s="36"/>
      <c r="B1003" s="36"/>
      <c r="C1003" s="36"/>
      <c r="D1003" s="36"/>
      <c r="E1003" s="36"/>
      <c r="F1003" s="36" t="str">
        <f ca="1">IFERROR(__xludf.DUMMYFUNCTION("""COMPUTED_VALUE"""),"Mercè Cabrera")</f>
        <v>Mercè Cabrera</v>
      </c>
      <c r="G1003" s="36" t="str">
        <f ca="1">IFERROR(__xludf.DUMMYFUNCTION("""COMPUTED_VALUE"""),"MCC")</f>
        <v>MCC</v>
      </c>
      <c r="H1003" s="36" t="str">
        <f ca="1">IFERROR(__xludf.DUMMYFUNCTION("""COMPUTED_VALUE"""),"MCC59")</f>
        <v>MCC59</v>
      </c>
      <c r="I1003" s="36" t="str">
        <f ca="1">IFERROR(__xludf.DUMMYFUNCTION("""COMPUTED_VALUE"""),"A")</f>
        <v>A</v>
      </c>
      <c r="J1003" s="36" t="str">
        <f ca="1">IFERROR(__xludf.DUMMYFUNCTION("""COMPUTED_VALUE"""),"Zenaida Piñeiro Aguín")</f>
        <v>Zenaida Piñeiro Aguín</v>
      </c>
      <c r="K1003" s="36"/>
      <c r="L1003" s="40"/>
      <c r="M1003" s="36"/>
      <c r="N1003" s="36"/>
      <c r="O1003" s="36"/>
      <c r="P1003" s="36"/>
      <c r="Q1003" s="36"/>
      <c r="R1003" s="36"/>
      <c r="S1003" s="36"/>
      <c r="T1003" s="36"/>
      <c r="U1003" s="36"/>
      <c r="V1003" s="36"/>
      <c r="W1003" s="36"/>
      <c r="X1003" s="36"/>
      <c r="Y1003" s="36"/>
      <c r="Z1003" s="36"/>
      <c r="AA1003" s="36"/>
    </row>
    <row r="1004" spans="1:27">
      <c r="A1004" s="36"/>
      <c r="B1004" s="36"/>
      <c r="C1004" s="36"/>
      <c r="D1004" s="36"/>
      <c r="E1004" s="36"/>
      <c r="F1004" s="36" t="str">
        <f ca="1">IFERROR(__xludf.DUMMYFUNCTION("""COMPUTED_VALUE"""),"Luis Alberto Rodríguez")</f>
        <v>Luis Alberto Rodríguez</v>
      </c>
      <c r="G1004" s="36" t="str">
        <f ca="1">IFERROR(__xludf.DUMMYFUNCTION("""COMPUTED_VALUE"""),"LAA")</f>
        <v>LAA</v>
      </c>
      <c r="H1004" s="36" t="str">
        <f ca="1">IFERROR(__xludf.DUMMYFUNCTION("""COMPUTED_VALUE"""),"LAA59")</f>
        <v>LAA59</v>
      </c>
      <c r="I1004" s="36" t="str">
        <f ca="1">IFERROR(__xludf.DUMMYFUNCTION("""COMPUTED_VALUE"""),"C")</f>
        <v>C</v>
      </c>
      <c r="J1004" s="36" t="str">
        <f ca="1">IFERROR(__xludf.DUMMYFUNCTION("""COMPUTED_VALUE"""),"Zoila Peña Rodríguez")</f>
        <v>Zoila Peña Rodríguez</v>
      </c>
      <c r="K1004" s="36"/>
      <c r="L1004" s="40"/>
      <c r="M1004" s="36"/>
      <c r="N1004" s="36"/>
      <c r="O1004" s="36"/>
      <c r="P1004" s="36"/>
      <c r="Q1004" s="36"/>
      <c r="R1004" s="36"/>
      <c r="S1004" s="36"/>
      <c r="T1004" s="36"/>
      <c r="U1004" s="36"/>
      <c r="V1004" s="36"/>
      <c r="W1004" s="36"/>
      <c r="X1004" s="36"/>
      <c r="Y1004" s="36"/>
      <c r="Z1004" s="36"/>
      <c r="AA1004" s="36"/>
    </row>
    <row r="1005" spans="1:27">
      <c r="A1005" s="36"/>
      <c r="B1005" s="36"/>
      <c r="C1005" s="36"/>
      <c r="D1005" s="36"/>
      <c r="E1005" s="36"/>
      <c r="F1005" s="36"/>
      <c r="G1005" s="36"/>
      <c r="H1005" s="36"/>
      <c r="I1005" s="36"/>
      <c r="J1005" s="36"/>
      <c r="K1005" s="36"/>
      <c r="L1005" s="40"/>
      <c r="M1005" s="36"/>
      <c r="N1005" s="36"/>
      <c r="O1005" s="36"/>
      <c r="P1005" s="36"/>
      <c r="Q1005" s="36"/>
      <c r="R1005" s="36"/>
      <c r="S1005" s="36"/>
      <c r="T1005" s="36"/>
      <c r="U1005" s="36"/>
      <c r="V1005" s="36"/>
      <c r="W1005" s="36"/>
      <c r="X1005" s="36"/>
      <c r="Y1005" s="36"/>
      <c r="Z1005" s="36"/>
      <c r="AA1005" s="36"/>
    </row>
    <row r="1006" spans="1:27">
      <c r="A1006" s="36"/>
      <c r="B1006" s="36"/>
      <c r="C1006" s="36"/>
      <c r="D1006" s="36"/>
      <c r="E1006" s="36"/>
      <c r="F1006" s="36"/>
      <c r="G1006" s="36"/>
      <c r="H1006" s="36"/>
      <c r="I1006" s="36"/>
      <c r="J1006" s="36"/>
      <c r="K1006" s="36"/>
      <c r="L1006" s="40"/>
      <c r="M1006" s="36"/>
      <c r="N1006" s="36"/>
      <c r="O1006" s="36"/>
      <c r="P1006" s="36"/>
      <c r="Q1006" s="36"/>
      <c r="R1006" s="36"/>
      <c r="S1006" s="36"/>
      <c r="T1006" s="36"/>
      <c r="U1006" s="36"/>
      <c r="V1006" s="36"/>
      <c r="W1006" s="36"/>
      <c r="X1006" s="36"/>
      <c r="Y1006" s="36"/>
      <c r="Z1006" s="36"/>
      <c r="AA1006" s="36"/>
    </row>
    <row r="1007" spans="1:27">
      <c r="A1007" s="36"/>
      <c r="B1007" s="36"/>
      <c r="C1007" s="36"/>
      <c r="D1007" s="36"/>
      <c r="E1007" s="36"/>
      <c r="F1007" s="36"/>
      <c r="G1007" s="36"/>
      <c r="H1007" s="36"/>
      <c r="I1007" s="36"/>
      <c r="J1007" s="36"/>
      <c r="K1007" s="36"/>
      <c r="L1007" s="40"/>
      <c r="M1007" s="36"/>
      <c r="N1007" s="36"/>
      <c r="O1007" s="36"/>
      <c r="P1007" s="36"/>
      <c r="Q1007" s="36"/>
      <c r="R1007" s="36"/>
      <c r="S1007" s="36"/>
      <c r="T1007" s="36"/>
      <c r="U1007" s="36"/>
      <c r="V1007" s="36"/>
      <c r="W1007" s="36"/>
      <c r="X1007" s="36"/>
      <c r="Y1007" s="36"/>
      <c r="Z1007" s="36"/>
      <c r="AA1007" s="36"/>
    </row>
    <row r="1008" spans="1:27">
      <c r="A1008" s="36"/>
      <c r="B1008" s="36"/>
      <c r="C1008" s="36"/>
      <c r="D1008" s="36"/>
      <c r="E1008" s="36"/>
      <c r="F1008" s="36"/>
      <c r="G1008" s="36"/>
      <c r="H1008" s="36"/>
      <c r="I1008" s="36"/>
      <c r="J1008" s="36"/>
      <c r="K1008" s="36"/>
      <c r="L1008" s="40"/>
      <c r="M1008" s="36"/>
      <c r="N1008" s="36"/>
      <c r="O1008" s="36"/>
      <c r="P1008" s="36"/>
      <c r="Q1008" s="36"/>
      <c r="R1008" s="36"/>
      <c r="S1008" s="36"/>
      <c r="T1008" s="36"/>
      <c r="U1008" s="36"/>
      <c r="V1008" s="36"/>
      <c r="W1008" s="36"/>
      <c r="X1008" s="36"/>
      <c r="Y1008" s="36"/>
      <c r="Z1008" s="36"/>
      <c r="AA1008" s="36"/>
    </row>
    <row r="1009" spans="1:27">
      <c r="A1009" s="36"/>
      <c r="B1009" s="36"/>
      <c r="C1009" s="36"/>
      <c r="D1009" s="36"/>
      <c r="E1009" s="36"/>
      <c r="F1009" s="36"/>
      <c r="G1009" s="36"/>
      <c r="H1009" s="36"/>
      <c r="I1009" s="36"/>
      <c r="J1009" s="36"/>
      <c r="K1009" s="36"/>
      <c r="L1009" s="40"/>
      <c r="M1009" s="36"/>
      <c r="N1009" s="36"/>
      <c r="O1009" s="36"/>
      <c r="P1009" s="36"/>
      <c r="Q1009" s="36"/>
      <c r="R1009" s="36"/>
      <c r="S1009" s="36"/>
      <c r="T1009" s="36"/>
      <c r="U1009" s="36"/>
      <c r="V1009" s="36"/>
      <c r="W1009" s="36"/>
      <c r="X1009" s="36"/>
      <c r="Y1009" s="36"/>
      <c r="Z1009" s="36"/>
      <c r="AA1009" s="36"/>
    </row>
    <row r="1010" spans="1:27">
      <c r="A1010" s="36"/>
      <c r="B1010" s="36"/>
      <c r="C1010" s="36"/>
      <c r="D1010" s="36"/>
      <c r="E1010" s="36"/>
      <c r="F1010" s="36"/>
      <c r="G1010" s="36"/>
      <c r="H1010" s="36"/>
      <c r="I1010" s="36"/>
      <c r="J1010" s="36"/>
      <c r="K1010" s="36"/>
      <c r="L1010" s="40"/>
      <c r="M1010" s="36"/>
      <c r="N1010" s="36"/>
      <c r="O1010" s="36"/>
      <c r="P1010" s="36"/>
      <c r="Q1010" s="36"/>
      <c r="R1010" s="36"/>
      <c r="S1010" s="36"/>
      <c r="T1010" s="36"/>
      <c r="U1010" s="36"/>
      <c r="V1010" s="36"/>
      <c r="W1010" s="36"/>
      <c r="X1010" s="36"/>
      <c r="Y1010" s="36"/>
      <c r="Z1010" s="36"/>
      <c r="AA1010" s="36"/>
    </row>
    <row r="1011" spans="1:27">
      <c r="A1011" s="36"/>
      <c r="B1011" s="36"/>
      <c r="C1011" s="36"/>
      <c r="D1011" s="36"/>
      <c r="E1011" s="36"/>
      <c r="F1011" s="36"/>
      <c r="G1011" s="36"/>
      <c r="H1011" s="36"/>
      <c r="I1011" s="36"/>
      <c r="J1011" s="36"/>
      <c r="K1011" s="36"/>
      <c r="L1011" s="40"/>
      <c r="M1011" s="36"/>
      <c r="N1011" s="36"/>
      <c r="O1011" s="36"/>
      <c r="P1011" s="36"/>
      <c r="Q1011" s="36"/>
      <c r="R1011" s="36"/>
      <c r="S1011" s="36"/>
      <c r="T1011" s="36"/>
      <c r="U1011" s="36"/>
      <c r="V1011" s="36"/>
      <c r="W1011" s="36"/>
      <c r="X1011" s="36"/>
      <c r="Y1011" s="36"/>
      <c r="Z1011" s="36"/>
      <c r="AA1011" s="36"/>
    </row>
    <row r="1012" spans="1:27">
      <c r="A1012" s="36"/>
      <c r="B1012" s="36"/>
      <c r="C1012" s="36"/>
      <c r="D1012" s="36"/>
      <c r="E1012" s="36"/>
      <c r="F1012" s="36"/>
      <c r="G1012" s="36"/>
      <c r="H1012" s="36"/>
      <c r="I1012" s="36"/>
      <c r="J1012" s="36"/>
      <c r="K1012" s="36"/>
      <c r="L1012" s="40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6"/>
      <c r="X1012" s="36"/>
      <c r="Y1012" s="36"/>
      <c r="Z1012" s="36"/>
      <c r="AA1012" s="36"/>
    </row>
    <row r="1013" spans="1:27">
      <c r="A1013" s="36"/>
      <c r="B1013" s="36"/>
      <c r="C1013" s="36"/>
      <c r="D1013" s="36"/>
      <c r="E1013" s="36"/>
      <c r="F1013" s="36"/>
      <c r="G1013" s="36"/>
      <c r="H1013" s="36"/>
      <c r="I1013" s="36"/>
      <c r="J1013" s="36"/>
      <c r="K1013" s="36"/>
      <c r="L1013" s="40"/>
      <c r="M1013" s="36"/>
      <c r="N1013" s="36"/>
      <c r="O1013" s="36"/>
      <c r="P1013" s="36"/>
      <c r="Q1013" s="36"/>
      <c r="R1013" s="36"/>
      <c r="S1013" s="36"/>
      <c r="T1013" s="36"/>
      <c r="U1013" s="36"/>
      <c r="V1013" s="36"/>
      <c r="W1013" s="36"/>
      <c r="X1013" s="36"/>
      <c r="Y1013" s="36"/>
      <c r="Z1013" s="36"/>
      <c r="AA1013" s="36"/>
    </row>
    <row r="1014" spans="1:27">
      <c r="A1014" s="36"/>
      <c r="B1014" s="36"/>
      <c r="C1014" s="36"/>
      <c r="D1014" s="36"/>
      <c r="E1014" s="36"/>
      <c r="F1014" s="36"/>
      <c r="G1014" s="36"/>
      <c r="H1014" s="36"/>
      <c r="I1014" s="36"/>
      <c r="J1014" s="36"/>
      <c r="K1014" s="36"/>
      <c r="L1014" s="40"/>
      <c r="M1014" s="36"/>
      <c r="N1014" s="36"/>
      <c r="O1014" s="36"/>
      <c r="P1014" s="36"/>
      <c r="Q1014" s="36"/>
      <c r="R1014" s="36"/>
      <c r="S1014" s="36"/>
      <c r="T1014" s="36"/>
      <c r="U1014" s="36"/>
      <c r="V1014" s="36"/>
      <c r="W1014" s="36"/>
      <c r="X1014" s="36"/>
      <c r="Y1014" s="36"/>
      <c r="Z1014" s="36"/>
      <c r="AA1014" s="36"/>
    </row>
    <row r="1015" spans="1:27">
      <c r="A1015" s="36"/>
      <c r="B1015" s="36"/>
      <c r="C1015" s="36"/>
      <c r="D1015" s="36"/>
      <c r="E1015" s="36"/>
      <c r="F1015" s="36"/>
      <c r="G1015" s="36"/>
      <c r="H1015" s="36"/>
      <c r="I1015" s="36"/>
      <c r="J1015" s="36"/>
      <c r="K1015" s="36"/>
      <c r="L1015" s="40"/>
      <c r="M1015" s="36"/>
      <c r="N1015" s="36"/>
      <c r="O1015" s="36"/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</row>
    <row r="1016" spans="1:27">
      <c r="A1016" s="36"/>
      <c r="B1016" s="36"/>
      <c r="C1016" s="36"/>
      <c r="D1016" s="36"/>
      <c r="E1016" s="36"/>
      <c r="F1016" s="36"/>
      <c r="G1016" s="36"/>
      <c r="H1016" s="36"/>
      <c r="I1016" s="36"/>
      <c r="J1016" s="36"/>
      <c r="K1016" s="36"/>
      <c r="L1016" s="40"/>
      <c r="M1016" s="36"/>
      <c r="N1016" s="36"/>
      <c r="O1016" s="36"/>
      <c r="P1016" s="36"/>
      <c r="Q1016" s="36"/>
      <c r="R1016" s="36"/>
      <c r="S1016" s="36"/>
      <c r="T1016" s="36"/>
      <c r="U1016" s="36"/>
      <c r="V1016" s="36"/>
      <c r="W1016" s="36"/>
      <c r="X1016" s="36"/>
      <c r="Y1016" s="36"/>
      <c r="Z1016" s="36"/>
      <c r="AA1016" s="36"/>
    </row>
    <row r="1017" spans="1:27">
      <c r="A1017" s="36"/>
      <c r="B1017" s="36"/>
      <c r="C1017" s="36"/>
      <c r="D1017" s="36"/>
      <c r="E1017" s="36"/>
      <c r="F1017" s="36"/>
      <c r="G1017" s="36"/>
      <c r="H1017" s="36"/>
      <c r="I1017" s="36"/>
      <c r="J1017" s="36"/>
      <c r="K1017" s="36"/>
      <c r="L1017" s="40"/>
      <c r="M1017" s="36"/>
      <c r="N1017" s="36"/>
      <c r="O1017" s="36"/>
      <c r="P1017" s="36"/>
      <c r="Q1017" s="36"/>
      <c r="R1017" s="36"/>
      <c r="S1017" s="36"/>
      <c r="T1017" s="36"/>
      <c r="U1017" s="36"/>
      <c r="V1017" s="36"/>
      <c r="W1017" s="36"/>
      <c r="X1017" s="36"/>
      <c r="Y1017" s="36"/>
      <c r="Z1017" s="36"/>
      <c r="AA1017" s="36"/>
    </row>
    <row r="1018" spans="1:27">
      <c r="A1018" s="36"/>
      <c r="B1018" s="36"/>
      <c r="C1018" s="36"/>
      <c r="D1018" s="36"/>
      <c r="E1018" s="36"/>
      <c r="F1018" s="36"/>
      <c r="G1018" s="36"/>
      <c r="H1018" s="36"/>
      <c r="I1018" s="36"/>
      <c r="J1018" s="36"/>
      <c r="K1018" s="36"/>
      <c r="L1018" s="40"/>
      <c r="M1018" s="36"/>
      <c r="N1018" s="36"/>
      <c r="O1018" s="36"/>
      <c r="P1018" s="36"/>
      <c r="Q1018" s="36"/>
      <c r="R1018" s="36"/>
      <c r="S1018" s="36"/>
      <c r="T1018" s="36"/>
      <c r="U1018" s="36"/>
      <c r="V1018" s="36"/>
      <c r="W1018" s="36"/>
      <c r="X1018" s="36"/>
      <c r="Y1018" s="36"/>
      <c r="Z1018" s="36"/>
      <c r="AA1018" s="36"/>
    </row>
    <row r="1019" spans="1:27">
      <c r="A1019" s="36"/>
      <c r="B1019" s="36"/>
      <c r="C1019" s="36"/>
      <c r="D1019" s="36"/>
      <c r="E1019" s="36"/>
      <c r="F1019" s="36"/>
      <c r="G1019" s="36"/>
      <c r="H1019" s="36"/>
      <c r="I1019" s="36"/>
      <c r="J1019" s="36"/>
      <c r="K1019" s="36"/>
      <c r="L1019" s="40"/>
      <c r="M1019" s="36"/>
      <c r="N1019" s="36"/>
      <c r="O1019" s="36"/>
      <c r="P1019" s="36"/>
      <c r="Q1019" s="36"/>
      <c r="R1019" s="36"/>
      <c r="S1019" s="36"/>
      <c r="T1019" s="36"/>
      <c r="U1019" s="36"/>
      <c r="V1019" s="36"/>
      <c r="W1019" s="36"/>
      <c r="X1019" s="36"/>
      <c r="Y1019" s="36"/>
      <c r="Z1019" s="36"/>
      <c r="AA1019" s="36"/>
    </row>
    <row r="1020" spans="1:27">
      <c r="A1020" s="36"/>
      <c r="B1020" s="36"/>
      <c r="C1020" s="36"/>
      <c r="D1020" s="36"/>
      <c r="E1020" s="36"/>
      <c r="F1020" s="36"/>
      <c r="G1020" s="36"/>
      <c r="H1020" s="36"/>
      <c r="I1020" s="36"/>
      <c r="J1020" s="36"/>
      <c r="K1020" s="36"/>
      <c r="L1020" s="40"/>
      <c r="M1020" s="36"/>
      <c r="N1020" s="36"/>
      <c r="O1020" s="36"/>
      <c r="P1020" s="36"/>
      <c r="Q1020" s="36"/>
      <c r="R1020" s="36"/>
      <c r="S1020" s="36"/>
      <c r="T1020" s="36"/>
      <c r="U1020" s="36"/>
      <c r="V1020" s="36"/>
      <c r="W1020" s="36"/>
      <c r="X1020" s="36"/>
      <c r="Y1020" s="36"/>
      <c r="Z1020" s="36"/>
      <c r="AA1020" s="36"/>
    </row>
    <row r="1021" spans="1:27">
      <c r="A1021" s="36"/>
      <c r="B1021" s="36"/>
      <c r="C1021" s="36"/>
      <c r="D1021" s="36"/>
      <c r="E1021" s="36"/>
      <c r="F1021" s="36"/>
      <c r="G1021" s="36"/>
      <c r="H1021" s="36"/>
      <c r="I1021" s="36"/>
      <c r="J1021" s="36"/>
      <c r="K1021" s="36"/>
      <c r="L1021" s="40"/>
      <c r="M1021" s="36"/>
      <c r="N1021" s="36"/>
      <c r="O1021" s="36"/>
      <c r="P1021" s="36"/>
      <c r="Q1021" s="36"/>
      <c r="R1021" s="36"/>
      <c r="S1021" s="36"/>
      <c r="T1021" s="36"/>
      <c r="U1021" s="36"/>
      <c r="V1021" s="36"/>
      <c r="W1021" s="36"/>
      <c r="X1021" s="36"/>
      <c r="Y1021" s="36"/>
      <c r="Z1021" s="36"/>
      <c r="AA1021" s="36"/>
    </row>
    <row r="1022" spans="1:27">
      <c r="A1022" s="36"/>
      <c r="B1022" s="36"/>
      <c r="C1022" s="36"/>
      <c r="D1022" s="36"/>
      <c r="E1022" s="36"/>
      <c r="F1022" s="36"/>
      <c r="G1022" s="36"/>
      <c r="H1022" s="36"/>
      <c r="I1022" s="36"/>
      <c r="J1022" s="36"/>
      <c r="K1022" s="36"/>
      <c r="L1022" s="40"/>
      <c r="M1022" s="36"/>
      <c r="N1022" s="36"/>
      <c r="O1022" s="36"/>
      <c r="P1022" s="36"/>
      <c r="Q1022" s="36"/>
      <c r="R1022" s="36"/>
      <c r="S1022" s="36"/>
      <c r="T1022" s="36"/>
      <c r="U1022" s="36"/>
      <c r="V1022" s="36"/>
      <c r="W1022" s="36"/>
      <c r="X1022" s="36"/>
      <c r="Y1022" s="36"/>
      <c r="Z1022" s="36"/>
      <c r="AA1022" s="36"/>
    </row>
    <row r="1023" spans="1:27">
      <c r="A1023" s="36"/>
      <c r="B1023" s="36"/>
      <c r="C1023" s="36"/>
      <c r="D1023" s="36"/>
      <c r="E1023" s="36"/>
      <c r="F1023" s="36"/>
      <c r="G1023" s="36"/>
      <c r="H1023" s="36"/>
      <c r="I1023" s="36"/>
      <c r="J1023" s="36"/>
      <c r="K1023" s="36"/>
      <c r="L1023" s="40"/>
      <c r="M1023" s="36"/>
      <c r="N1023" s="36"/>
      <c r="O1023" s="36"/>
      <c r="P1023" s="36"/>
      <c r="Q1023" s="36"/>
      <c r="R1023" s="36"/>
      <c r="S1023" s="36"/>
      <c r="T1023" s="36"/>
      <c r="U1023" s="36"/>
      <c r="V1023" s="36"/>
      <c r="W1023" s="36"/>
      <c r="X1023" s="36"/>
      <c r="Y1023" s="36"/>
      <c r="Z1023" s="36"/>
      <c r="AA1023" s="36"/>
    </row>
    <row r="1024" spans="1:27">
      <c r="A1024" s="36"/>
      <c r="B1024" s="36"/>
      <c r="C1024" s="36"/>
      <c r="D1024" s="36"/>
      <c r="E1024" s="36"/>
      <c r="F1024" s="36"/>
      <c r="G1024" s="36"/>
      <c r="H1024" s="36"/>
      <c r="I1024" s="36"/>
      <c r="J1024" s="36"/>
      <c r="K1024" s="36"/>
      <c r="L1024" s="40"/>
      <c r="M1024" s="36"/>
      <c r="N1024" s="36"/>
      <c r="O1024" s="36"/>
      <c r="P1024" s="36"/>
      <c r="Q1024" s="36"/>
      <c r="R1024" s="36"/>
      <c r="S1024" s="36"/>
      <c r="T1024" s="36"/>
      <c r="U1024" s="36"/>
      <c r="V1024" s="36"/>
      <c r="W1024" s="36"/>
      <c r="X1024" s="36"/>
      <c r="Y1024" s="36"/>
      <c r="Z1024" s="36"/>
      <c r="AA1024" s="36"/>
    </row>
    <row r="1025" spans="1:27">
      <c r="A1025" s="36"/>
      <c r="B1025" s="36"/>
      <c r="C1025" s="36"/>
      <c r="D1025" s="36"/>
      <c r="E1025" s="36"/>
      <c r="F1025" s="36"/>
      <c r="G1025" s="36"/>
      <c r="H1025" s="36"/>
      <c r="I1025" s="36"/>
      <c r="J1025" s="36"/>
      <c r="K1025" s="36"/>
      <c r="L1025" s="40"/>
      <c r="M1025" s="36"/>
      <c r="N1025" s="36"/>
      <c r="O1025" s="36"/>
      <c r="P1025" s="36"/>
      <c r="Q1025" s="36"/>
      <c r="R1025" s="36"/>
      <c r="S1025" s="36"/>
      <c r="T1025" s="36"/>
      <c r="U1025" s="36"/>
      <c r="V1025" s="36"/>
      <c r="W1025" s="36"/>
      <c r="X1025" s="36"/>
      <c r="Y1025" s="36"/>
      <c r="Z1025" s="36"/>
      <c r="AA1025" s="36"/>
    </row>
    <row r="1026" spans="1:27">
      <c r="A1026" s="36"/>
      <c r="B1026" s="36"/>
      <c r="C1026" s="36"/>
      <c r="D1026" s="36"/>
      <c r="E1026" s="36"/>
      <c r="F1026" s="36"/>
      <c r="G1026" s="36"/>
      <c r="H1026" s="36"/>
      <c r="I1026" s="36"/>
      <c r="J1026" s="36"/>
      <c r="K1026" s="36"/>
      <c r="L1026" s="40"/>
      <c r="M1026" s="36"/>
      <c r="N1026" s="36"/>
      <c r="O1026" s="36"/>
      <c r="P1026" s="36"/>
      <c r="Q1026" s="36"/>
      <c r="R1026" s="36"/>
      <c r="S1026" s="36"/>
      <c r="T1026" s="36"/>
      <c r="U1026" s="36"/>
      <c r="V1026" s="36"/>
      <c r="W1026" s="36"/>
      <c r="X1026" s="36"/>
      <c r="Y1026" s="36"/>
      <c r="Z1026" s="36"/>
      <c r="AA1026" s="36"/>
    </row>
    <row r="1027" spans="1:27">
      <c r="A1027" s="36"/>
      <c r="B1027" s="36"/>
      <c r="C1027" s="36"/>
      <c r="D1027" s="36"/>
      <c r="E1027" s="36"/>
      <c r="F1027" s="36"/>
      <c r="G1027" s="36"/>
      <c r="H1027" s="36"/>
      <c r="I1027" s="36"/>
      <c r="J1027" s="36"/>
      <c r="K1027" s="36"/>
      <c r="L1027" s="40"/>
      <c r="M1027" s="36"/>
      <c r="N1027" s="36"/>
      <c r="O1027" s="36"/>
      <c r="P1027" s="36"/>
      <c r="Q1027" s="36"/>
      <c r="R1027" s="36"/>
      <c r="S1027" s="36"/>
      <c r="T1027" s="36"/>
      <c r="U1027" s="36"/>
      <c r="V1027" s="36"/>
      <c r="W1027" s="36"/>
      <c r="X1027" s="36"/>
      <c r="Y1027" s="36"/>
      <c r="Z1027" s="36"/>
      <c r="AA1027" s="36"/>
    </row>
    <row r="1028" spans="1:27">
      <c r="A1028" s="36"/>
      <c r="B1028" s="36"/>
      <c r="C1028" s="36"/>
      <c r="D1028" s="36"/>
      <c r="E1028" s="36"/>
      <c r="F1028" s="36"/>
      <c r="G1028" s="36"/>
      <c r="H1028" s="36"/>
      <c r="I1028" s="36"/>
      <c r="J1028" s="36"/>
      <c r="K1028" s="36"/>
      <c r="L1028" s="40"/>
      <c r="M1028" s="36"/>
      <c r="N1028" s="36"/>
      <c r="O1028" s="36"/>
      <c r="P1028" s="36"/>
      <c r="Q1028" s="36"/>
      <c r="R1028" s="36"/>
      <c r="S1028" s="36"/>
      <c r="T1028" s="36"/>
      <c r="U1028" s="36"/>
      <c r="V1028" s="36"/>
      <c r="W1028" s="36"/>
      <c r="X1028" s="36"/>
      <c r="Y1028" s="36"/>
      <c r="Z1028" s="36"/>
      <c r="AA1028" s="36"/>
    </row>
    <row r="1029" spans="1:27">
      <c r="A1029" s="36"/>
      <c r="B1029" s="36"/>
      <c r="C1029" s="36"/>
      <c r="D1029" s="36"/>
      <c r="E1029" s="36"/>
      <c r="F1029" s="36"/>
      <c r="G1029" s="36"/>
      <c r="H1029" s="36"/>
      <c r="I1029" s="36"/>
      <c r="J1029" s="36"/>
      <c r="K1029" s="36"/>
      <c r="L1029" s="40"/>
      <c r="M1029" s="36"/>
      <c r="N1029" s="36"/>
      <c r="O1029" s="36"/>
      <c r="P1029" s="36"/>
      <c r="Q1029" s="36"/>
      <c r="R1029" s="36"/>
      <c r="S1029" s="36"/>
      <c r="T1029" s="36"/>
      <c r="U1029" s="36"/>
      <c r="V1029" s="36"/>
      <c r="W1029" s="36"/>
      <c r="X1029" s="36"/>
      <c r="Y1029" s="36"/>
      <c r="Z1029" s="36"/>
      <c r="AA1029" s="36"/>
    </row>
    <row r="1030" spans="1:27">
      <c r="A1030" s="36"/>
      <c r="B1030" s="36"/>
      <c r="C1030" s="36"/>
      <c r="D1030" s="36"/>
      <c r="E1030" s="36"/>
      <c r="F1030" s="36"/>
      <c r="G1030" s="36"/>
      <c r="H1030" s="36"/>
      <c r="I1030" s="36"/>
      <c r="J1030" s="36"/>
      <c r="K1030" s="36"/>
      <c r="L1030" s="40"/>
      <c r="M1030" s="36"/>
      <c r="N1030" s="36"/>
      <c r="O1030" s="36"/>
      <c r="P1030" s="36"/>
      <c r="Q1030" s="36"/>
      <c r="R1030" s="36"/>
      <c r="S1030" s="36"/>
      <c r="T1030" s="36"/>
      <c r="U1030" s="36"/>
      <c r="V1030" s="36"/>
      <c r="W1030" s="36"/>
      <c r="X1030" s="36"/>
      <c r="Y1030" s="36"/>
      <c r="Z1030" s="36"/>
      <c r="AA1030" s="36"/>
    </row>
    <row r="1031" spans="1:27">
      <c r="A1031" s="36"/>
      <c r="B1031" s="36"/>
      <c r="C1031" s="36"/>
      <c r="D1031" s="36"/>
      <c r="E1031" s="36"/>
      <c r="F1031" s="36"/>
      <c r="G1031" s="36"/>
      <c r="H1031" s="36"/>
      <c r="I1031" s="36"/>
      <c r="J1031" s="36"/>
      <c r="K1031" s="36"/>
      <c r="L1031" s="40"/>
      <c r="M1031" s="36"/>
      <c r="N1031" s="36"/>
      <c r="O1031" s="36"/>
      <c r="P1031" s="36"/>
      <c r="Q1031" s="36"/>
      <c r="R1031" s="36"/>
      <c r="S1031" s="36"/>
      <c r="T1031" s="36"/>
      <c r="U1031" s="36"/>
      <c r="V1031" s="36"/>
      <c r="W1031" s="36"/>
      <c r="X1031" s="36"/>
      <c r="Y1031" s="36"/>
      <c r="Z1031" s="36"/>
      <c r="AA1031" s="36"/>
    </row>
    <row r="1032" spans="1:27">
      <c r="A1032" s="36"/>
      <c r="B1032" s="36"/>
      <c r="C1032" s="36"/>
      <c r="D1032" s="36"/>
      <c r="E1032" s="36"/>
      <c r="F1032" s="36"/>
      <c r="G1032" s="36"/>
      <c r="H1032" s="36"/>
      <c r="I1032" s="36"/>
      <c r="J1032" s="36"/>
      <c r="K1032" s="36"/>
      <c r="L1032" s="40"/>
      <c r="M1032" s="36"/>
      <c r="N1032" s="36"/>
      <c r="O1032" s="36"/>
      <c r="P1032" s="36"/>
      <c r="Q1032" s="36"/>
      <c r="R1032" s="36"/>
      <c r="S1032" s="36"/>
      <c r="T1032" s="36"/>
      <c r="U1032" s="36"/>
      <c r="V1032" s="36"/>
      <c r="W1032" s="36"/>
      <c r="X1032" s="36"/>
      <c r="Y1032" s="36"/>
      <c r="Z1032" s="36"/>
      <c r="AA1032" s="36"/>
    </row>
    <row r="1033" spans="1:27">
      <c r="A1033" s="36"/>
      <c r="B1033" s="36"/>
      <c r="C1033" s="36"/>
      <c r="D1033" s="36"/>
      <c r="E1033" s="36"/>
      <c r="F1033" s="36"/>
      <c r="G1033" s="36"/>
      <c r="H1033" s="36"/>
      <c r="I1033" s="36"/>
      <c r="J1033" s="36"/>
      <c r="K1033" s="36"/>
      <c r="L1033" s="40"/>
      <c r="M1033" s="36"/>
      <c r="N1033" s="36"/>
      <c r="O1033" s="36"/>
      <c r="P1033" s="36"/>
      <c r="Q1033" s="36"/>
      <c r="R1033" s="36"/>
      <c r="S1033" s="36"/>
      <c r="T1033" s="36"/>
      <c r="U1033" s="36"/>
      <c r="V1033" s="36"/>
      <c r="W1033" s="36"/>
      <c r="X1033" s="36"/>
      <c r="Y1033" s="36"/>
      <c r="Z1033" s="36"/>
      <c r="AA1033" s="36"/>
    </row>
    <row r="1034" spans="1:27">
      <c r="A1034" s="36"/>
      <c r="B1034" s="36"/>
      <c r="C1034" s="36"/>
      <c r="D1034" s="36"/>
      <c r="E1034" s="36"/>
      <c r="F1034" s="36"/>
      <c r="G1034" s="36"/>
      <c r="H1034" s="36"/>
      <c r="I1034" s="36"/>
      <c r="J1034" s="36"/>
      <c r="K1034" s="36"/>
      <c r="L1034" s="40"/>
      <c r="M1034" s="36"/>
      <c r="N1034" s="36"/>
      <c r="O1034" s="36"/>
      <c r="P1034" s="36"/>
      <c r="Q1034" s="36"/>
      <c r="R1034" s="36"/>
      <c r="S1034" s="36"/>
      <c r="T1034" s="36"/>
      <c r="U1034" s="36"/>
      <c r="V1034" s="36"/>
      <c r="W1034" s="36"/>
      <c r="X1034" s="36"/>
      <c r="Y1034" s="36"/>
      <c r="Z1034" s="36"/>
      <c r="AA1034" s="36"/>
    </row>
    <row r="1035" spans="1:27">
      <c r="A1035" s="36"/>
      <c r="B1035" s="36"/>
      <c r="C1035" s="36"/>
      <c r="D1035" s="36"/>
      <c r="E1035" s="36"/>
      <c r="F1035" s="36"/>
      <c r="G1035" s="36"/>
      <c r="H1035" s="36"/>
      <c r="I1035" s="36"/>
      <c r="J1035" s="36"/>
      <c r="K1035" s="36"/>
      <c r="L1035" s="40"/>
      <c r="M1035" s="36"/>
      <c r="N1035" s="36"/>
      <c r="O1035" s="36"/>
      <c r="P1035" s="36"/>
      <c r="Q1035" s="36"/>
      <c r="R1035" s="36"/>
      <c r="S1035" s="36"/>
      <c r="T1035" s="36"/>
      <c r="U1035" s="36"/>
      <c r="V1035" s="36"/>
      <c r="W1035" s="36"/>
      <c r="X1035" s="36"/>
      <c r="Y1035" s="36"/>
      <c r="Z1035" s="36"/>
      <c r="AA1035" s="36"/>
    </row>
    <row r="1036" spans="1:27">
      <c r="A1036" s="36"/>
      <c r="B1036" s="36"/>
      <c r="C1036" s="36"/>
      <c r="D1036" s="36"/>
      <c r="E1036" s="36"/>
      <c r="F1036" s="36"/>
      <c r="G1036" s="36"/>
      <c r="H1036" s="36"/>
      <c r="I1036" s="36"/>
      <c r="J1036" s="36"/>
      <c r="K1036" s="36"/>
      <c r="L1036" s="40"/>
      <c r="M1036" s="36"/>
      <c r="N1036" s="36"/>
      <c r="O1036" s="36"/>
      <c r="P1036" s="36"/>
      <c r="Q1036" s="36"/>
      <c r="R1036" s="36"/>
      <c r="S1036" s="36"/>
      <c r="T1036" s="36"/>
      <c r="U1036" s="36"/>
      <c r="V1036" s="36"/>
      <c r="W1036" s="36"/>
      <c r="X1036" s="36"/>
      <c r="Y1036" s="36"/>
      <c r="Z1036" s="36"/>
      <c r="AA1036" s="36"/>
    </row>
    <row r="1037" spans="1:27">
      <c r="A1037" s="36"/>
      <c r="B1037" s="36"/>
      <c r="C1037" s="36"/>
      <c r="D1037" s="36"/>
      <c r="E1037" s="36"/>
      <c r="F1037" s="36"/>
      <c r="G1037" s="36"/>
      <c r="H1037" s="36"/>
      <c r="I1037" s="36"/>
      <c r="J1037" s="36"/>
      <c r="K1037" s="36"/>
      <c r="L1037" s="40"/>
      <c r="M1037" s="36"/>
      <c r="N1037" s="36"/>
      <c r="O1037" s="36"/>
      <c r="P1037" s="36"/>
      <c r="Q1037" s="36"/>
      <c r="R1037" s="36"/>
      <c r="S1037" s="36"/>
      <c r="T1037" s="36"/>
      <c r="U1037" s="36"/>
      <c r="V1037" s="36"/>
      <c r="W1037" s="36"/>
      <c r="X1037" s="36"/>
      <c r="Y1037" s="36"/>
      <c r="Z1037" s="36"/>
      <c r="AA1037" s="36"/>
    </row>
    <row r="1038" spans="1:27">
      <c r="A1038" s="36"/>
      <c r="B1038" s="36"/>
      <c r="C1038" s="36"/>
      <c r="D1038" s="36"/>
      <c r="E1038" s="36"/>
      <c r="F1038" s="36"/>
      <c r="G1038" s="36"/>
      <c r="H1038" s="36"/>
      <c r="I1038" s="36"/>
      <c r="J1038" s="36"/>
      <c r="K1038" s="36"/>
      <c r="L1038" s="40"/>
      <c r="M1038" s="36"/>
      <c r="N1038" s="36"/>
      <c r="O1038" s="36"/>
      <c r="P1038" s="36"/>
      <c r="Q1038" s="36"/>
      <c r="R1038" s="36"/>
      <c r="S1038" s="36"/>
      <c r="T1038" s="36"/>
      <c r="U1038" s="36"/>
      <c r="V1038" s="36"/>
      <c r="W1038" s="36"/>
      <c r="X1038" s="36"/>
      <c r="Y1038" s="36"/>
      <c r="Z1038" s="36"/>
      <c r="AA1038" s="36"/>
    </row>
    <row r="1039" spans="1:27">
      <c r="A1039" s="36"/>
      <c r="B1039" s="36"/>
      <c r="C1039" s="36"/>
      <c r="D1039" s="36"/>
      <c r="E1039" s="36"/>
      <c r="F1039" s="36"/>
      <c r="G1039" s="36"/>
      <c r="H1039" s="36"/>
      <c r="I1039" s="36"/>
      <c r="J1039" s="36"/>
      <c r="K1039" s="36"/>
      <c r="L1039" s="40"/>
      <c r="M1039" s="36"/>
      <c r="N1039" s="36"/>
      <c r="O1039" s="36"/>
      <c r="P1039" s="36"/>
      <c r="Q1039" s="36"/>
      <c r="R1039" s="36"/>
      <c r="S1039" s="36"/>
      <c r="T1039" s="36"/>
      <c r="U1039" s="36"/>
      <c r="V1039" s="36"/>
      <c r="W1039" s="36"/>
      <c r="X1039" s="36"/>
      <c r="Y1039" s="36"/>
      <c r="Z1039" s="36"/>
      <c r="AA1039" s="36"/>
    </row>
    <row r="1040" spans="1:27">
      <c r="A1040" s="36"/>
      <c r="B1040" s="36"/>
      <c r="C1040" s="36"/>
      <c r="D1040" s="36"/>
      <c r="E1040" s="36"/>
      <c r="F1040" s="36"/>
      <c r="G1040" s="36"/>
      <c r="H1040" s="36"/>
      <c r="I1040" s="36"/>
      <c r="J1040" s="36"/>
      <c r="K1040" s="36"/>
      <c r="L1040" s="40"/>
      <c r="M1040" s="36"/>
      <c r="N1040" s="36"/>
      <c r="O1040" s="36"/>
      <c r="P1040" s="36"/>
      <c r="Q1040" s="36"/>
      <c r="R1040" s="36"/>
      <c r="S1040" s="36"/>
      <c r="T1040" s="36"/>
      <c r="U1040" s="36"/>
      <c r="V1040" s="36"/>
      <c r="W1040" s="36"/>
      <c r="X1040" s="36"/>
      <c r="Y1040" s="36"/>
      <c r="Z1040" s="36"/>
      <c r="AA1040" s="36"/>
    </row>
    <row r="1041" spans="1:27">
      <c r="A1041" s="36"/>
      <c r="B1041" s="36"/>
      <c r="C1041" s="36"/>
      <c r="D1041" s="36"/>
      <c r="E1041" s="36"/>
      <c r="F1041" s="36"/>
      <c r="G1041" s="36"/>
      <c r="H1041" s="36"/>
      <c r="I1041" s="36"/>
      <c r="J1041" s="36"/>
      <c r="K1041" s="36"/>
      <c r="L1041" s="40"/>
      <c r="M1041" s="36"/>
      <c r="N1041" s="36"/>
      <c r="O1041" s="36"/>
      <c r="P1041" s="36"/>
      <c r="Q1041" s="36"/>
      <c r="R1041" s="36"/>
      <c r="S1041" s="36"/>
      <c r="T1041" s="36"/>
      <c r="U1041" s="36"/>
      <c r="V1041" s="36"/>
      <c r="W1041" s="36"/>
      <c r="X1041" s="36"/>
      <c r="Y1041" s="36"/>
      <c r="Z1041" s="36"/>
      <c r="AA1041" s="36"/>
    </row>
    <row r="1042" spans="1:27">
      <c r="A1042" s="36"/>
      <c r="B1042" s="36"/>
      <c r="C1042" s="36"/>
      <c r="D1042" s="36"/>
      <c r="E1042" s="36"/>
      <c r="F1042" s="36"/>
      <c r="G1042" s="36"/>
      <c r="H1042" s="36"/>
      <c r="I1042" s="36"/>
      <c r="J1042" s="36"/>
      <c r="K1042" s="36"/>
      <c r="L1042" s="40"/>
      <c r="M1042" s="36"/>
      <c r="N1042" s="36"/>
      <c r="O1042" s="36"/>
      <c r="P1042" s="36"/>
      <c r="Q1042" s="36"/>
      <c r="R1042" s="36"/>
      <c r="S1042" s="36"/>
      <c r="T1042" s="36"/>
      <c r="U1042" s="36"/>
      <c r="V1042" s="36"/>
      <c r="W1042" s="36"/>
      <c r="X1042" s="36"/>
      <c r="Y1042" s="36"/>
      <c r="Z1042" s="36"/>
      <c r="AA1042" s="36"/>
    </row>
    <row r="1043" spans="1:27">
      <c r="A1043" s="36"/>
      <c r="B1043" s="36"/>
      <c r="C1043" s="36"/>
      <c r="D1043" s="36"/>
      <c r="E1043" s="36"/>
      <c r="F1043" s="36"/>
      <c r="G1043" s="36"/>
      <c r="H1043" s="36"/>
      <c r="I1043" s="36"/>
      <c r="J1043" s="36"/>
      <c r="K1043" s="36"/>
      <c r="L1043" s="40"/>
      <c r="M1043" s="36"/>
      <c r="N1043" s="36"/>
      <c r="O1043" s="36"/>
      <c r="P1043" s="36"/>
      <c r="Q1043" s="36"/>
      <c r="R1043" s="36"/>
      <c r="S1043" s="36"/>
      <c r="T1043" s="36"/>
      <c r="U1043" s="36"/>
      <c r="V1043" s="36"/>
      <c r="W1043" s="36"/>
      <c r="X1043" s="36"/>
      <c r="Y1043" s="36"/>
      <c r="Z1043" s="36"/>
      <c r="AA1043" s="36"/>
    </row>
    <row r="1044" spans="1:27">
      <c r="A1044" s="36"/>
      <c r="B1044" s="36"/>
      <c r="C1044" s="36"/>
      <c r="D1044" s="36"/>
      <c r="E1044" s="36"/>
      <c r="F1044" s="36"/>
      <c r="G1044" s="36"/>
      <c r="H1044" s="36"/>
      <c r="I1044" s="36"/>
      <c r="J1044" s="36"/>
      <c r="K1044" s="36"/>
      <c r="L1044" s="40"/>
      <c r="M1044" s="36"/>
      <c r="N1044" s="36"/>
      <c r="O1044" s="36"/>
      <c r="P1044" s="36"/>
      <c r="Q1044" s="36"/>
      <c r="R1044" s="36"/>
      <c r="S1044" s="36"/>
      <c r="T1044" s="36"/>
      <c r="U1044" s="36"/>
      <c r="V1044" s="36"/>
      <c r="W1044" s="36"/>
      <c r="X1044" s="36"/>
      <c r="Y1044" s="36"/>
      <c r="Z1044" s="36"/>
      <c r="AA1044" s="36"/>
    </row>
    <row r="1045" spans="1:27">
      <c r="A1045" s="36"/>
      <c r="B1045" s="36"/>
      <c r="C1045" s="36"/>
      <c r="D1045" s="36"/>
      <c r="E1045" s="36"/>
      <c r="F1045" s="36"/>
      <c r="G1045" s="36"/>
      <c r="H1045" s="36"/>
      <c r="I1045" s="36"/>
      <c r="J1045" s="36"/>
      <c r="K1045" s="36"/>
      <c r="L1045" s="40"/>
      <c r="M1045" s="36"/>
      <c r="N1045" s="36"/>
      <c r="O1045" s="36"/>
      <c r="P1045" s="36"/>
      <c r="Q1045" s="36"/>
      <c r="R1045" s="36"/>
      <c r="S1045" s="36"/>
      <c r="T1045" s="36"/>
      <c r="U1045" s="36"/>
      <c r="V1045" s="36"/>
      <c r="W1045" s="36"/>
      <c r="X1045" s="36"/>
      <c r="Y1045" s="36"/>
      <c r="Z1045" s="36"/>
      <c r="AA1045" s="36"/>
    </row>
    <row r="1046" spans="1:27">
      <c r="A1046" s="36"/>
      <c r="B1046" s="36"/>
      <c r="C1046" s="36"/>
      <c r="D1046" s="36"/>
      <c r="E1046" s="36"/>
      <c r="F1046" s="36"/>
      <c r="G1046" s="36"/>
      <c r="H1046" s="36"/>
      <c r="I1046" s="36"/>
      <c r="J1046" s="36"/>
      <c r="K1046" s="36"/>
      <c r="L1046" s="40"/>
      <c r="M1046" s="36"/>
      <c r="N1046" s="36"/>
      <c r="O1046" s="36"/>
      <c r="P1046" s="36"/>
      <c r="Q1046" s="36"/>
      <c r="R1046" s="36"/>
      <c r="S1046" s="36"/>
      <c r="T1046" s="36"/>
      <c r="U1046" s="36"/>
      <c r="V1046" s="36"/>
      <c r="W1046" s="36"/>
      <c r="X1046" s="36"/>
      <c r="Y1046" s="36"/>
      <c r="Z1046" s="36"/>
      <c r="AA1046" s="36"/>
    </row>
    <row r="1047" spans="1:27">
      <c r="A1047" s="36"/>
      <c r="B1047" s="36"/>
      <c r="C1047" s="36"/>
      <c r="D1047" s="36"/>
      <c r="E1047" s="36"/>
      <c r="F1047" s="36"/>
      <c r="G1047" s="36"/>
      <c r="H1047" s="36"/>
      <c r="I1047" s="36"/>
      <c r="J1047" s="36"/>
      <c r="K1047" s="36"/>
      <c r="L1047" s="40"/>
      <c r="M1047" s="36"/>
      <c r="N1047" s="36"/>
      <c r="O1047" s="36"/>
      <c r="P1047" s="36"/>
      <c r="Q1047" s="36"/>
      <c r="R1047" s="36"/>
      <c r="S1047" s="36"/>
      <c r="T1047" s="36"/>
      <c r="U1047" s="36"/>
      <c r="V1047" s="36"/>
      <c r="W1047" s="36"/>
      <c r="X1047" s="36"/>
      <c r="Y1047" s="36"/>
      <c r="Z1047" s="36"/>
      <c r="AA1047" s="36"/>
    </row>
    <row r="1048" spans="1:27">
      <c r="A1048" s="36"/>
      <c r="B1048" s="36"/>
      <c r="C1048" s="36"/>
      <c r="D1048" s="36"/>
      <c r="E1048" s="36"/>
      <c r="F1048" s="36"/>
      <c r="G1048" s="36"/>
      <c r="H1048" s="36"/>
      <c r="I1048" s="36"/>
      <c r="J1048" s="36"/>
      <c r="K1048" s="36"/>
      <c r="L1048" s="40"/>
      <c r="M1048" s="36"/>
      <c r="N1048" s="36"/>
      <c r="O1048" s="36"/>
      <c r="P1048" s="36"/>
      <c r="Q1048" s="36"/>
      <c r="R1048" s="36"/>
      <c r="S1048" s="36"/>
      <c r="T1048" s="36"/>
      <c r="U1048" s="36"/>
      <c r="V1048" s="36"/>
      <c r="W1048" s="36"/>
      <c r="X1048" s="36"/>
      <c r="Y1048" s="36"/>
      <c r="Z1048" s="36"/>
      <c r="AA1048" s="36"/>
    </row>
    <row r="1049" spans="1:27">
      <c r="A1049" s="36"/>
      <c r="B1049" s="36"/>
      <c r="C1049" s="36"/>
      <c r="D1049" s="36"/>
      <c r="E1049" s="36"/>
      <c r="F1049" s="36"/>
      <c r="G1049" s="36"/>
      <c r="H1049" s="36"/>
      <c r="I1049" s="36"/>
      <c r="J1049" s="36"/>
      <c r="K1049" s="36"/>
      <c r="L1049" s="40"/>
      <c r="M1049" s="36"/>
      <c r="N1049" s="36"/>
      <c r="O1049" s="36"/>
      <c r="P1049" s="36"/>
      <c r="Q1049" s="36"/>
      <c r="R1049" s="36"/>
      <c r="S1049" s="36"/>
      <c r="T1049" s="36"/>
      <c r="U1049" s="36"/>
      <c r="V1049" s="36"/>
      <c r="W1049" s="36"/>
      <c r="X1049" s="36"/>
      <c r="Y1049" s="36"/>
      <c r="Z1049" s="36"/>
      <c r="AA1049" s="36"/>
    </row>
    <row r="1050" spans="1:27">
      <c r="A1050" s="36"/>
      <c r="B1050" s="36"/>
      <c r="C1050" s="36"/>
      <c r="D1050" s="36"/>
      <c r="E1050" s="36"/>
      <c r="F1050" s="36"/>
      <c r="G1050" s="36"/>
      <c r="H1050" s="36"/>
      <c r="I1050" s="36"/>
      <c r="J1050" s="36"/>
      <c r="K1050" s="36"/>
      <c r="L1050" s="40"/>
      <c r="M1050" s="36"/>
      <c r="N1050" s="36"/>
      <c r="O1050" s="36"/>
      <c r="P1050" s="36"/>
      <c r="Q1050" s="36"/>
      <c r="R1050" s="36"/>
      <c r="S1050" s="36"/>
      <c r="T1050" s="36"/>
      <c r="U1050" s="36"/>
      <c r="V1050" s="36"/>
      <c r="W1050" s="36"/>
      <c r="X1050" s="36"/>
      <c r="Y1050" s="36"/>
      <c r="Z1050" s="36"/>
      <c r="AA1050" s="36"/>
    </row>
    <row r="1051" spans="1:27">
      <c r="A1051" s="36"/>
      <c r="B1051" s="36"/>
      <c r="C1051" s="36"/>
      <c r="D1051" s="36"/>
      <c r="E1051" s="36"/>
      <c r="F1051" s="36"/>
      <c r="G1051" s="36"/>
      <c r="H1051" s="36"/>
      <c r="I1051" s="36"/>
      <c r="J1051" s="36"/>
      <c r="K1051" s="36"/>
      <c r="L1051" s="40"/>
      <c r="M1051" s="36"/>
      <c r="N1051" s="36"/>
      <c r="O1051" s="36"/>
      <c r="P1051" s="36"/>
      <c r="Q1051" s="36"/>
      <c r="R1051" s="36"/>
      <c r="S1051" s="36"/>
      <c r="T1051" s="36"/>
      <c r="U1051" s="36"/>
      <c r="V1051" s="36"/>
      <c r="W1051" s="36"/>
      <c r="X1051" s="36"/>
      <c r="Y1051" s="36"/>
      <c r="Z1051" s="36"/>
      <c r="AA1051" s="36"/>
    </row>
    <row r="1052" spans="1:27">
      <c r="A1052" s="36"/>
      <c r="B1052" s="36"/>
      <c r="C1052" s="36"/>
      <c r="D1052" s="36"/>
      <c r="E1052" s="36"/>
      <c r="F1052" s="36"/>
      <c r="G1052" s="36"/>
      <c r="H1052" s="36"/>
      <c r="I1052" s="36"/>
      <c r="J1052" s="36"/>
      <c r="K1052" s="36"/>
      <c r="L1052" s="40"/>
      <c r="M1052" s="36"/>
      <c r="N1052" s="36"/>
      <c r="O1052" s="36"/>
      <c r="P1052" s="36"/>
      <c r="Q1052" s="36"/>
      <c r="R1052" s="36"/>
      <c r="S1052" s="36"/>
      <c r="T1052" s="36"/>
      <c r="U1052" s="36"/>
      <c r="V1052" s="36"/>
      <c r="W1052" s="36"/>
      <c r="X1052" s="36"/>
      <c r="Y1052" s="36"/>
      <c r="Z1052" s="36"/>
      <c r="AA1052" s="36"/>
    </row>
    <row r="1053" spans="1:27">
      <c r="A1053" s="36"/>
      <c r="B1053" s="36"/>
      <c r="C1053" s="36"/>
      <c r="D1053" s="36"/>
      <c r="E1053" s="36"/>
      <c r="F1053" s="36"/>
      <c r="G1053" s="36"/>
      <c r="H1053" s="36"/>
      <c r="I1053" s="36"/>
      <c r="J1053" s="36"/>
      <c r="K1053" s="36"/>
      <c r="L1053" s="40"/>
      <c r="M1053" s="36"/>
      <c r="N1053" s="36"/>
      <c r="O1053" s="36"/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</row>
    <row r="1054" spans="1:27">
      <c r="A1054" s="36"/>
      <c r="B1054" s="36"/>
      <c r="C1054" s="36"/>
      <c r="D1054" s="36"/>
      <c r="E1054" s="36"/>
      <c r="F1054" s="36"/>
      <c r="G1054" s="36"/>
      <c r="H1054" s="36"/>
      <c r="I1054" s="36"/>
      <c r="J1054" s="36"/>
      <c r="K1054" s="36"/>
      <c r="L1054" s="40"/>
      <c r="M1054" s="36"/>
      <c r="N1054" s="36"/>
      <c r="O1054" s="36"/>
      <c r="P1054" s="36"/>
      <c r="Q1054" s="36"/>
      <c r="R1054" s="36"/>
      <c r="S1054" s="36"/>
      <c r="T1054" s="36"/>
      <c r="U1054" s="36"/>
      <c r="V1054" s="36"/>
      <c r="W1054" s="36"/>
      <c r="X1054" s="36"/>
      <c r="Y1054" s="36"/>
      <c r="Z1054" s="36"/>
      <c r="AA1054" s="36"/>
    </row>
    <row r="1055" spans="1:27">
      <c r="A1055" s="36"/>
      <c r="B1055" s="36"/>
      <c r="C1055" s="36"/>
      <c r="D1055" s="36"/>
      <c r="E1055" s="36"/>
      <c r="F1055" s="36"/>
      <c r="G1055" s="36"/>
      <c r="H1055" s="36"/>
      <c r="I1055" s="36"/>
      <c r="J1055" s="36"/>
      <c r="K1055" s="36"/>
      <c r="L1055" s="40"/>
      <c r="M1055" s="36"/>
      <c r="N1055" s="36"/>
      <c r="O1055" s="36"/>
      <c r="P1055" s="36"/>
      <c r="Q1055" s="36"/>
      <c r="R1055" s="36"/>
      <c r="S1055" s="36"/>
      <c r="T1055" s="36"/>
      <c r="U1055" s="36"/>
      <c r="V1055" s="36"/>
      <c r="W1055" s="36"/>
      <c r="X1055" s="36"/>
      <c r="Y1055" s="36"/>
      <c r="Z1055" s="36"/>
      <c r="AA1055" s="36"/>
    </row>
    <row r="1056" spans="1:27">
      <c r="A1056" s="36"/>
      <c r="B1056" s="36"/>
      <c r="C1056" s="36"/>
      <c r="D1056" s="36"/>
      <c r="E1056" s="36"/>
      <c r="F1056" s="36"/>
      <c r="G1056" s="36"/>
      <c r="H1056" s="36"/>
      <c r="I1056" s="36"/>
      <c r="J1056" s="36"/>
      <c r="K1056" s="36"/>
      <c r="L1056" s="40"/>
      <c r="M1056" s="36"/>
      <c r="N1056" s="36"/>
      <c r="O1056" s="36"/>
      <c r="P1056" s="36"/>
      <c r="Q1056" s="36"/>
      <c r="R1056" s="36"/>
      <c r="S1056" s="36"/>
      <c r="T1056" s="36"/>
      <c r="U1056" s="36"/>
      <c r="V1056" s="36"/>
      <c r="W1056" s="36"/>
      <c r="X1056" s="36"/>
      <c r="Y1056" s="36"/>
      <c r="Z1056" s="36"/>
      <c r="AA1056" s="36"/>
    </row>
    <row r="1057" spans="1:27">
      <c r="A1057" s="36"/>
      <c r="B1057" s="36"/>
      <c r="C1057" s="36"/>
      <c r="D1057" s="36"/>
      <c r="E1057" s="36"/>
      <c r="F1057" s="36"/>
      <c r="G1057" s="36"/>
      <c r="H1057" s="36"/>
      <c r="I1057" s="36"/>
      <c r="J1057" s="36"/>
      <c r="K1057" s="36"/>
      <c r="L1057" s="40"/>
      <c r="M1057" s="36"/>
      <c r="N1057" s="36"/>
      <c r="O1057" s="36"/>
      <c r="P1057" s="36"/>
      <c r="Q1057" s="36"/>
      <c r="R1057" s="36"/>
      <c r="S1057" s="36"/>
      <c r="T1057" s="36"/>
      <c r="U1057" s="36"/>
      <c r="V1057" s="36"/>
      <c r="W1057" s="36"/>
      <c r="X1057" s="36"/>
      <c r="Y1057" s="36"/>
      <c r="Z1057" s="36"/>
      <c r="AA1057" s="36"/>
    </row>
    <row r="1058" spans="1:27">
      <c r="A1058" s="36"/>
      <c r="B1058" s="36"/>
      <c r="C1058" s="36"/>
      <c r="D1058" s="36"/>
      <c r="E1058" s="36"/>
      <c r="F1058" s="36"/>
      <c r="G1058" s="36"/>
      <c r="H1058" s="36"/>
      <c r="I1058" s="36"/>
      <c r="J1058" s="36"/>
      <c r="K1058" s="36"/>
      <c r="L1058" s="40"/>
      <c r="M1058" s="36"/>
      <c r="N1058" s="36"/>
      <c r="O1058" s="36"/>
      <c r="P1058" s="36"/>
      <c r="Q1058" s="36"/>
      <c r="R1058" s="36"/>
      <c r="S1058" s="36"/>
      <c r="T1058" s="36"/>
      <c r="U1058" s="36"/>
      <c r="V1058" s="36"/>
      <c r="W1058" s="36"/>
      <c r="X1058" s="36"/>
      <c r="Y1058" s="36"/>
      <c r="Z1058" s="36"/>
      <c r="AA1058" s="36"/>
    </row>
    <row r="1059" spans="1:27">
      <c r="A1059" s="36"/>
      <c r="B1059" s="36"/>
      <c r="C1059" s="36"/>
      <c r="D1059" s="36"/>
      <c r="E1059" s="36"/>
      <c r="F1059" s="36"/>
      <c r="G1059" s="36"/>
      <c r="H1059" s="36"/>
      <c r="I1059" s="36"/>
      <c r="J1059" s="36"/>
      <c r="K1059" s="36"/>
      <c r="L1059" s="40"/>
      <c r="M1059" s="36"/>
      <c r="N1059" s="36"/>
      <c r="O1059" s="36"/>
      <c r="P1059" s="36"/>
      <c r="Q1059" s="36"/>
      <c r="R1059" s="36"/>
      <c r="S1059" s="36"/>
      <c r="T1059" s="36"/>
      <c r="U1059" s="36"/>
      <c r="V1059" s="36"/>
      <c r="W1059" s="36"/>
      <c r="X1059" s="36"/>
      <c r="Y1059" s="36"/>
      <c r="Z1059" s="36"/>
      <c r="AA1059" s="36"/>
    </row>
    <row r="1060" spans="1:27">
      <c r="A1060" s="36"/>
      <c r="B1060" s="36"/>
      <c r="C1060" s="36"/>
      <c r="D1060" s="36"/>
      <c r="E1060" s="36"/>
      <c r="F1060" s="36"/>
      <c r="G1060" s="36"/>
      <c r="H1060" s="36"/>
      <c r="I1060" s="36"/>
      <c r="J1060" s="36"/>
      <c r="K1060" s="36"/>
      <c r="L1060" s="40"/>
      <c r="M1060" s="36"/>
      <c r="N1060" s="36"/>
      <c r="O1060" s="36"/>
      <c r="P1060" s="36"/>
      <c r="Q1060" s="36"/>
      <c r="R1060" s="36"/>
      <c r="S1060" s="36"/>
      <c r="T1060" s="36"/>
      <c r="U1060" s="36"/>
      <c r="V1060" s="36"/>
      <c r="W1060" s="36"/>
      <c r="X1060" s="36"/>
      <c r="Y1060" s="36"/>
      <c r="Z1060" s="36"/>
      <c r="AA1060" s="36"/>
    </row>
    <row r="1061" spans="1:27">
      <c r="A1061" s="36"/>
      <c r="B1061" s="36"/>
      <c r="C1061" s="36"/>
      <c r="D1061" s="36"/>
      <c r="E1061" s="36"/>
      <c r="F1061" s="36"/>
      <c r="G1061" s="36"/>
      <c r="H1061" s="36"/>
      <c r="I1061" s="36"/>
      <c r="J1061" s="36"/>
      <c r="K1061" s="36"/>
      <c r="L1061" s="40"/>
      <c r="M1061" s="36"/>
      <c r="N1061" s="36"/>
      <c r="O1061" s="36"/>
      <c r="P1061" s="36"/>
      <c r="Q1061" s="36"/>
      <c r="R1061" s="36"/>
      <c r="S1061" s="36"/>
      <c r="T1061" s="36"/>
      <c r="U1061" s="36"/>
      <c r="V1061" s="36"/>
      <c r="W1061" s="36"/>
      <c r="X1061" s="36"/>
      <c r="Y1061" s="36"/>
      <c r="Z1061" s="36"/>
      <c r="AA1061" s="36"/>
    </row>
    <row r="1062" spans="1:27">
      <c r="A1062" s="36"/>
      <c r="B1062" s="36"/>
      <c r="C1062" s="36"/>
      <c r="D1062" s="36"/>
      <c r="E1062" s="36"/>
      <c r="F1062" s="36"/>
      <c r="G1062" s="36"/>
      <c r="H1062" s="36"/>
      <c r="I1062" s="36"/>
      <c r="J1062" s="36"/>
      <c r="K1062" s="36"/>
      <c r="L1062" s="40"/>
      <c r="M1062" s="36"/>
      <c r="N1062" s="36"/>
      <c r="O1062" s="36"/>
      <c r="P1062" s="36"/>
      <c r="Q1062" s="36"/>
      <c r="R1062" s="36"/>
      <c r="S1062" s="36"/>
      <c r="T1062" s="36"/>
      <c r="U1062" s="36"/>
      <c r="V1062" s="36"/>
      <c r="W1062" s="36"/>
      <c r="X1062" s="36"/>
      <c r="Y1062" s="36"/>
      <c r="Z1062" s="36"/>
      <c r="AA1062" s="36"/>
    </row>
    <row r="1063" spans="1:27">
      <c r="A1063" s="36"/>
      <c r="B1063" s="36"/>
      <c r="C1063" s="36"/>
      <c r="D1063" s="36"/>
      <c r="E1063" s="36"/>
      <c r="F1063" s="36"/>
      <c r="G1063" s="36"/>
      <c r="H1063" s="36"/>
      <c r="I1063" s="36"/>
      <c r="J1063" s="36"/>
      <c r="K1063" s="36"/>
      <c r="L1063" s="40"/>
      <c r="M1063" s="36"/>
      <c r="N1063" s="36"/>
      <c r="O1063" s="36"/>
      <c r="P1063" s="36"/>
      <c r="Q1063" s="36"/>
      <c r="R1063" s="36"/>
      <c r="S1063" s="36"/>
      <c r="T1063" s="36"/>
      <c r="U1063" s="36"/>
      <c r="V1063" s="36"/>
      <c r="W1063" s="36"/>
      <c r="X1063" s="36"/>
      <c r="Y1063" s="36"/>
      <c r="Z1063" s="36"/>
      <c r="AA1063" s="36"/>
    </row>
    <row r="1064" spans="1:27">
      <c r="A1064" s="36"/>
      <c r="B1064" s="36"/>
      <c r="C1064" s="36"/>
      <c r="D1064" s="36"/>
      <c r="E1064" s="36"/>
      <c r="F1064" s="36"/>
      <c r="G1064" s="36"/>
      <c r="H1064" s="36"/>
      <c r="I1064" s="36"/>
      <c r="J1064" s="36"/>
      <c r="K1064" s="36"/>
      <c r="L1064" s="40"/>
      <c r="M1064" s="36"/>
      <c r="N1064" s="36"/>
      <c r="O1064" s="36"/>
      <c r="P1064" s="36"/>
      <c r="Q1064" s="36"/>
      <c r="R1064" s="36"/>
      <c r="S1064" s="36"/>
      <c r="T1064" s="36"/>
      <c r="U1064" s="36"/>
      <c r="V1064" s="36"/>
      <c r="W1064" s="36"/>
      <c r="X1064" s="36"/>
      <c r="Y1064" s="36"/>
      <c r="Z1064" s="36"/>
      <c r="AA1064" s="36"/>
    </row>
    <row r="1065" spans="1:27">
      <c r="A1065" s="36"/>
      <c r="B1065" s="36"/>
      <c r="C1065" s="36"/>
      <c r="D1065" s="36"/>
      <c r="E1065" s="36"/>
      <c r="F1065" s="36"/>
      <c r="G1065" s="36"/>
      <c r="H1065" s="36"/>
      <c r="I1065" s="36"/>
      <c r="J1065" s="36"/>
      <c r="K1065" s="36"/>
      <c r="L1065" s="40"/>
      <c r="M1065" s="36"/>
      <c r="N1065" s="36"/>
      <c r="O1065" s="36"/>
      <c r="P1065" s="36"/>
      <c r="Q1065" s="36"/>
      <c r="R1065" s="36"/>
      <c r="S1065" s="36"/>
      <c r="T1065" s="36"/>
      <c r="U1065" s="36"/>
      <c r="V1065" s="36"/>
      <c r="W1065" s="36"/>
      <c r="X1065" s="36"/>
      <c r="Y1065" s="36"/>
      <c r="Z1065" s="36"/>
      <c r="AA1065" s="36"/>
    </row>
    <row r="1066" spans="1:27">
      <c r="A1066" s="36"/>
      <c r="B1066" s="36"/>
      <c r="C1066" s="36"/>
      <c r="D1066" s="36"/>
      <c r="E1066" s="36"/>
      <c r="F1066" s="36"/>
      <c r="G1066" s="36"/>
      <c r="H1066" s="36"/>
      <c r="I1066" s="36"/>
      <c r="J1066" s="36"/>
      <c r="K1066" s="36"/>
      <c r="L1066" s="40"/>
      <c r="M1066" s="36"/>
      <c r="N1066" s="36"/>
      <c r="O1066" s="36"/>
      <c r="P1066" s="36"/>
      <c r="Q1066" s="36"/>
      <c r="R1066" s="36"/>
      <c r="S1066" s="36"/>
      <c r="T1066" s="36"/>
      <c r="U1066" s="36"/>
      <c r="V1066" s="36"/>
      <c r="W1066" s="36"/>
      <c r="X1066" s="36"/>
      <c r="Y1066" s="36"/>
      <c r="Z1066" s="36"/>
      <c r="AA1066" s="36"/>
    </row>
    <row r="1067" spans="1:27">
      <c r="A1067" s="36"/>
      <c r="B1067" s="36"/>
      <c r="C1067" s="36"/>
      <c r="D1067" s="36"/>
      <c r="E1067" s="36"/>
      <c r="F1067" s="36"/>
      <c r="G1067" s="36"/>
      <c r="H1067" s="36"/>
      <c r="I1067" s="36"/>
      <c r="J1067" s="36"/>
      <c r="K1067" s="36"/>
      <c r="L1067" s="40"/>
      <c r="M1067" s="36"/>
      <c r="N1067" s="36"/>
      <c r="O1067" s="36"/>
      <c r="P1067" s="36"/>
      <c r="Q1067" s="36"/>
      <c r="R1067" s="36"/>
      <c r="S1067" s="36"/>
      <c r="T1067" s="36"/>
      <c r="U1067" s="36"/>
      <c r="V1067" s="36"/>
      <c r="W1067" s="36"/>
      <c r="X1067" s="36"/>
      <c r="Y1067" s="36"/>
      <c r="Z1067" s="36"/>
      <c r="AA1067" s="36"/>
    </row>
    <row r="1068" spans="1:27">
      <c r="A1068" s="36"/>
      <c r="B1068" s="36"/>
      <c r="C1068" s="36"/>
      <c r="D1068" s="36"/>
      <c r="E1068" s="36"/>
      <c r="F1068" s="36"/>
      <c r="G1068" s="36"/>
      <c r="H1068" s="36"/>
      <c r="I1068" s="36"/>
      <c r="J1068" s="36"/>
      <c r="K1068" s="36"/>
      <c r="L1068" s="40"/>
      <c r="M1068" s="36"/>
      <c r="N1068" s="36"/>
      <c r="O1068" s="36"/>
      <c r="P1068" s="36"/>
      <c r="Q1068" s="36"/>
      <c r="R1068" s="36"/>
      <c r="S1068" s="36"/>
      <c r="T1068" s="36"/>
      <c r="U1068" s="36"/>
      <c r="V1068" s="36"/>
      <c r="W1068" s="36"/>
      <c r="X1068" s="36"/>
      <c r="Y1068" s="36"/>
      <c r="Z1068" s="36"/>
      <c r="AA1068" s="36"/>
    </row>
    <row r="1069" spans="1:27">
      <c r="A1069" s="36"/>
      <c r="B1069" s="36"/>
      <c r="C1069" s="36"/>
      <c r="D1069" s="36"/>
      <c r="E1069" s="36"/>
      <c r="F1069" s="36"/>
      <c r="G1069" s="36"/>
      <c r="H1069" s="36"/>
      <c r="I1069" s="36"/>
      <c r="J1069" s="36"/>
      <c r="K1069" s="36"/>
      <c r="L1069" s="40"/>
      <c r="M1069" s="36"/>
      <c r="N1069" s="36"/>
      <c r="O1069" s="36"/>
      <c r="P1069" s="36"/>
      <c r="Q1069" s="36"/>
      <c r="R1069" s="36"/>
      <c r="S1069" s="36"/>
      <c r="T1069" s="36"/>
      <c r="U1069" s="36"/>
      <c r="V1069" s="36"/>
      <c r="W1069" s="36"/>
      <c r="X1069" s="36"/>
      <c r="Y1069" s="36"/>
      <c r="Z1069" s="36"/>
      <c r="AA1069" s="36"/>
    </row>
    <row r="1070" spans="1:27">
      <c r="A1070" s="36"/>
      <c r="B1070" s="36"/>
      <c r="C1070" s="36"/>
      <c r="D1070" s="36"/>
      <c r="E1070" s="36"/>
      <c r="F1070" s="36"/>
      <c r="G1070" s="36"/>
      <c r="H1070" s="36"/>
      <c r="I1070" s="36"/>
      <c r="J1070" s="36"/>
      <c r="K1070" s="36"/>
      <c r="L1070" s="40"/>
      <c r="M1070" s="36"/>
      <c r="N1070" s="36"/>
      <c r="O1070" s="36"/>
      <c r="P1070" s="36"/>
      <c r="Q1070" s="36"/>
      <c r="R1070" s="36"/>
      <c r="S1070" s="36"/>
      <c r="T1070" s="36"/>
      <c r="U1070" s="36"/>
      <c r="V1070" s="36"/>
      <c r="W1070" s="36"/>
      <c r="X1070" s="36"/>
      <c r="Y1070" s="36"/>
      <c r="Z1070" s="36"/>
      <c r="AA1070" s="36"/>
    </row>
    <row r="1071" spans="1:27">
      <c r="A1071" s="36"/>
      <c r="B1071" s="36"/>
      <c r="C1071" s="36"/>
      <c r="D1071" s="36"/>
      <c r="E1071" s="36"/>
      <c r="F1071" s="36"/>
      <c r="G1071" s="36"/>
      <c r="H1071" s="36"/>
      <c r="I1071" s="36"/>
      <c r="J1071" s="36"/>
      <c r="K1071" s="36"/>
      <c r="L1071" s="40"/>
      <c r="M1071" s="36"/>
      <c r="N1071" s="36"/>
      <c r="O1071" s="36"/>
      <c r="P1071" s="36"/>
      <c r="Q1071" s="36"/>
      <c r="R1071" s="36"/>
      <c r="S1071" s="36"/>
      <c r="T1071" s="36"/>
      <c r="U1071" s="36"/>
      <c r="V1071" s="36"/>
      <c r="W1071" s="36"/>
      <c r="X1071" s="36"/>
      <c r="Y1071" s="36"/>
      <c r="Z1071" s="36"/>
      <c r="AA1071" s="36"/>
    </row>
    <row r="1072" spans="1:27">
      <c r="A1072" s="36"/>
      <c r="B1072" s="36"/>
      <c r="C1072" s="36"/>
      <c r="D1072" s="36"/>
      <c r="E1072" s="36"/>
      <c r="F1072" s="36"/>
      <c r="G1072" s="36"/>
      <c r="H1072" s="36"/>
      <c r="I1072" s="36"/>
      <c r="J1072" s="36"/>
      <c r="K1072" s="36"/>
      <c r="L1072" s="40"/>
      <c r="M1072" s="36"/>
      <c r="N1072" s="36"/>
      <c r="O1072" s="36"/>
      <c r="P1072" s="36"/>
      <c r="Q1072" s="36"/>
      <c r="R1072" s="36"/>
      <c r="S1072" s="36"/>
      <c r="T1072" s="36"/>
      <c r="U1072" s="36"/>
      <c r="V1072" s="36"/>
      <c r="W1072" s="36"/>
      <c r="X1072" s="36"/>
      <c r="Y1072" s="36"/>
      <c r="Z1072" s="36"/>
      <c r="AA1072" s="36"/>
    </row>
    <row r="1073" spans="1:27">
      <c r="A1073" s="36"/>
      <c r="B1073" s="36"/>
      <c r="C1073" s="36"/>
      <c r="D1073" s="36"/>
      <c r="E1073" s="36"/>
      <c r="F1073" s="36"/>
      <c r="G1073" s="36"/>
      <c r="H1073" s="36"/>
      <c r="I1073" s="36"/>
      <c r="J1073" s="36"/>
      <c r="K1073" s="36"/>
      <c r="L1073" s="40"/>
      <c r="M1073" s="36"/>
      <c r="N1073" s="36"/>
      <c r="O1073" s="36"/>
      <c r="P1073" s="36"/>
      <c r="Q1073" s="36"/>
      <c r="R1073" s="36"/>
      <c r="S1073" s="36"/>
      <c r="T1073" s="36"/>
      <c r="U1073" s="36"/>
      <c r="V1073" s="36"/>
      <c r="W1073" s="36"/>
      <c r="X1073" s="36"/>
      <c r="Y1073" s="36"/>
      <c r="Z1073" s="36"/>
      <c r="AA1073" s="36"/>
    </row>
    <row r="1074" spans="1:27">
      <c r="A1074" s="36"/>
      <c r="B1074" s="36"/>
      <c r="C1074" s="36"/>
      <c r="D1074" s="36"/>
      <c r="E1074" s="36"/>
      <c r="F1074" s="36"/>
      <c r="G1074" s="36"/>
      <c r="H1074" s="36"/>
      <c r="I1074" s="36"/>
      <c r="J1074" s="36"/>
      <c r="K1074" s="36"/>
      <c r="L1074" s="40"/>
      <c r="M1074" s="36"/>
      <c r="N1074" s="36"/>
      <c r="O1074" s="36"/>
      <c r="P1074" s="36"/>
      <c r="Q1074" s="36"/>
      <c r="R1074" s="36"/>
      <c r="S1074" s="36"/>
      <c r="T1074" s="36"/>
      <c r="U1074" s="36"/>
      <c r="V1074" s="36"/>
      <c r="W1074" s="36"/>
      <c r="X1074" s="36"/>
      <c r="Y1074" s="36"/>
      <c r="Z1074" s="36"/>
      <c r="AA1074" s="36"/>
    </row>
    <row r="1075" spans="1:27">
      <c r="A1075" s="36"/>
      <c r="B1075" s="36"/>
      <c r="C1075" s="36"/>
      <c r="D1075" s="36"/>
      <c r="E1075" s="36"/>
      <c r="F1075" s="36"/>
      <c r="G1075" s="36"/>
      <c r="H1075" s="36"/>
      <c r="I1075" s="36"/>
      <c r="J1075" s="36"/>
      <c r="K1075" s="36"/>
      <c r="L1075" s="40"/>
      <c r="M1075" s="36"/>
      <c r="N1075" s="36"/>
      <c r="O1075" s="36"/>
      <c r="P1075" s="36"/>
      <c r="Q1075" s="36"/>
      <c r="R1075" s="36"/>
      <c r="S1075" s="36"/>
      <c r="T1075" s="36"/>
      <c r="U1075" s="36"/>
      <c r="V1075" s="36"/>
      <c r="W1075" s="36"/>
      <c r="X1075" s="36"/>
      <c r="Y1075" s="36"/>
      <c r="Z1075" s="36"/>
      <c r="AA1075" s="36"/>
    </row>
    <row r="1076" spans="1:27">
      <c r="A1076" s="36"/>
      <c r="B1076" s="36"/>
      <c r="C1076" s="36"/>
      <c r="D1076" s="36"/>
      <c r="E1076" s="36"/>
      <c r="F1076" s="36"/>
      <c r="G1076" s="36"/>
      <c r="H1076" s="36"/>
      <c r="I1076" s="36"/>
      <c r="J1076" s="36"/>
      <c r="K1076" s="36"/>
      <c r="L1076" s="40"/>
      <c r="M1076" s="36"/>
      <c r="N1076" s="36"/>
      <c r="O1076" s="36"/>
      <c r="P1076" s="36"/>
      <c r="Q1076" s="36"/>
      <c r="R1076" s="36"/>
      <c r="S1076" s="36"/>
      <c r="T1076" s="36"/>
      <c r="U1076" s="36"/>
      <c r="V1076" s="36"/>
      <c r="W1076" s="36"/>
      <c r="X1076" s="36"/>
      <c r="Y1076" s="36"/>
      <c r="Z1076" s="36"/>
      <c r="AA1076" s="36"/>
    </row>
    <row r="1077" spans="1:27">
      <c r="A1077" s="36"/>
      <c r="B1077" s="36"/>
      <c r="C1077" s="36"/>
      <c r="D1077" s="36"/>
      <c r="E1077" s="36"/>
      <c r="F1077" s="36"/>
      <c r="G1077" s="36"/>
      <c r="H1077" s="36"/>
      <c r="I1077" s="36"/>
      <c r="J1077" s="36"/>
      <c r="K1077" s="36"/>
      <c r="L1077" s="40"/>
      <c r="M1077" s="36"/>
      <c r="N1077" s="36"/>
      <c r="O1077" s="36"/>
      <c r="P1077" s="36"/>
      <c r="Q1077" s="36"/>
      <c r="R1077" s="36"/>
      <c r="S1077" s="36"/>
      <c r="T1077" s="36"/>
      <c r="U1077" s="36"/>
      <c r="V1077" s="36"/>
      <c r="W1077" s="36"/>
      <c r="X1077" s="36"/>
      <c r="Y1077" s="36"/>
      <c r="Z1077" s="36"/>
      <c r="AA1077" s="36"/>
    </row>
    <row r="1078" spans="1:27">
      <c r="A1078" s="36"/>
      <c r="B1078" s="36"/>
      <c r="C1078" s="36"/>
      <c r="D1078" s="36"/>
      <c r="E1078" s="36"/>
      <c r="F1078" s="36"/>
      <c r="G1078" s="36"/>
      <c r="H1078" s="36"/>
      <c r="I1078" s="36"/>
      <c r="J1078" s="36"/>
      <c r="K1078" s="36"/>
      <c r="L1078" s="40"/>
      <c r="M1078" s="36"/>
      <c r="N1078" s="36"/>
      <c r="O1078" s="36"/>
      <c r="P1078" s="36"/>
      <c r="Q1078" s="36"/>
      <c r="R1078" s="36"/>
      <c r="S1078" s="36"/>
      <c r="T1078" s="36"/>
      <c r="U1078" s="36"/>
      <c r="V1078" s="36"/>
      <c r="W1078" s="36"/>
      <c r="X1078" s="36"/>
      <c r="Y1078" s="36"/>
      <c r="Z1078" s="36"/>
      <c r="AA1078" s="36"/>
    </row>
    <row r="1079" spans="1:27">
      <c r="A1079" s="36"/>
      <c r="B1079" s="36"/>
      <c r="C1079" s="36"/>
      <c r="D1079" s="36"/>
      <c r="E1079" s="36"/>
      <c r="F1079" s="36"/>
      <c r="G1079" s="36"/>
      <c r="H1079" s="36"/>
      <c r="I1079" s="36"/>
      <c r="J1079" s="36"/>
      <c r="K1079" s="36"/>
      <c r="L1079" s="40"/>
      <c r="M1079" s="36"/>
      <c r="N1079" s="36"/>
      <c r="O1079" s="36"/>
      <c r="P1079" s="36"/>
      <c r="Q1079" s="36"/>
      <c r="R1079" s="36"/>
      <c r="S1079" s="36"/>
      <c r="T1079" s="36"/>
      <c r="U1079" s="36"/>
      <c r="V1079" s="36"/>
      <c r="W1079" s="36"/>
      <c r="X1079" s="36"/>
      <c r="Y1079" s="36"/>
      <c r="Z1079" s="36"/>
      <c r="AA1079" s="36"/>
    </row>
    <row r="1080" spans="1:27">
      <c r="A1080" s="36"/>
      <c r="B1080" s="36"/>
      <c r="C1080" s="36"/>
      <c r="D1080" s="36"/>
      <c r="E1080" s="36"/>
      <c r="F1080" s="36"/>
      <c r="G1080" s="36"/>
      <c r="H1080" s="36"/>
      <c r="I1080" s="36"/>
      <c r="J1080" s="36"/>
      <c r="K1080" s="36"/>
      <c r="L1080" s="40"/>
      <c r="M1080" s="36"/>
      <c r="N1080" s="36"/>
      <c r="O1080" s="36"/>
      <c r="P1080" s="36"/>
      <c r="Q1080" s="36"/>
      <c r="R1080" s="36"/>
      <c r="S1080" s="36"/>
      <c r="T1080" s="36"/>
      <c r="U1080" s="36"/>
      <c r="V1080" s="36"/>
      <c r="W1080" s="36"/>
      <c r="X1080" s="36"/>
      <c r="Y1080" s="36"/>
      <c r="Z1080" s="36"/>
      <c r="AA1080" s="36"/>
    </row>
    <row r="1081" spans="1:27">
      <c r="A1081" s="36"/>
      <c r="B1081" s="36"/>
      <c r="C1081" s="36"/>
      <c r="D1081" s="36"/>
      <c r="E1081" s="36"/>
      <c r="F1081" s="36"/>
      <c r="G1081" s="36"/>
      <c r="H1081" s="36"/>
      <c r="I1081" s="36"/>
      <c r="J1081" s="36"/>
      <c r="K1081" s="36"/>
      <c r="L1081" s="40"/>
      <c r="M1081" s="36"/>
      <c r="N1081" s="36"/>
      <c r="O1081" s="36"/>
      <c r="P1081" s="36"/>
      <c r="Q1081" s="36"/>
      <c r="R1081" s="36"/>
      <c r="S1081" s="36"/>
      <c r="T1081" s="36"/>
      <c r="U1081" s="36"/>
      <c r="V1081" s="36"/>
      <c r="W1081" s="36"/>
      <c r="X1081" s="36"/>
      <c r="Y1081" s="36"/>
      <c r="Z1081" s="36"/>
      <c r="AA1081" s="36"/>
    </row>
    <row r="1082" spans="1:27">
      <c r="A1082" s="36"/>
      <c r="B1082" s="36"/>
      <c r="C1082" s="36"/>
      <c r="D1082" s="36"/>
      <c r="E1082" s="36"/>
      <c r="F1082" s="36"/>
      <c r="G1082" s="36"/>
      <c r="H1082" s="36"/>
      <c r="I1082" s="36"/>
      <c r="J1082" s="36"/>
      <c r="K1082" s="36"/>
      <c r="L1082" s="40"/>
      <c r="M1082" s="36"/>
      <c r="N1082" s="36"/>
      <c r="O1082" s="36"/>
      <c r="P1082" s="36"/>
      <c r="Q1082" s="36"/>
      <c r="R1082" s="36"/>
      <c r="S1082" s="36"/>
      <c r="T1082" s="36"/>
      <c r="U1082" s="36"/>
      <c r="V1082" s="36"/>
      <c r="W1082" s="36"/>
      <c r="X1082" s="36"/>
      <c r="Y1082" s="36"/>
      <c r="Z1082" s="36"/>
      <c r="AA1082" s="36"/>
    </row>
    <row r="1083" spans="1:27">
      <c r="A1083" s="36"/>
      <c r="B1083" s="36"/>
      <c r="C1083" s="36"/>
      <c r="D1083" s="36"/>
      <c r="E1083" s="36"/>
      <c r="F1083" s="36"/>
      <c r="G1083" s="36"/>
      <c r="H1083" s="36"/>
      <c r="I1083" s="36"/>
      <c r="J1083" s="36"/>
      <c r="K1083" s="36"/>
      <c r="L1083" s="40"/>
      <c r="M1083" s="36"/>
      <c r="N1083" s="36"/>
      <c r="O1083" s="36"/>
      <c r="P1083" s="36"/>
      <c r="Q1083" s="36"/>
      <c r="R1083" s="36"/>
      <c r="S1083" s="36"/>
      <c r="T1083" s="36"/>
      <c r="U1083" s="36"/>
      <c r="V1083" s="36"/>
      <c r="W1083" s="36"/>
      <c r="X1083" s="36"/>
      <c r="Y1083" s="36"/>
      <c r="Z1083" s="36"/>
      <c r="AA1083" s="36"/>
    </row>
    <row r="1084" spans="1:27">
      <c r="A1084" s="36"/>
      <c r="B1084" s="36"/>
      <c r="C1084" s="36"/>
      <c r="D1084" s="36"/>
      <c r="E1084" s="36"/>
      <c r="F1084" s="36"/>
      <c r="G1084" s="36"/>
      <c r="H1084" s="36"/>
      <c r="I1084" s="36"/>
      <c r="J1084" s="36"/>
      <c r="K1084" s="36"/>
      <c r="L1084" s="40"/>
      <c r="M1084" s="36"/>
      <c r="N1084" s="36"/>
      <c r="O1084" s="36"/>
      <c r="P1084" s="36"/>
      <c r="Q1084" s="36"/>
      <c r="R1084" s="36"/>
      <c r="S1084" s="36"/>
      <c r="T1084" s="36"/>
      <c r="U1084" s="36"/>
      <c r="V1084" s="36"/>
      <c r="W1084" s="36"/>
      <c r="X1084" s="36"/>
      <c r="Y1084" s="36"/>
      <c r="Z1084" s="36"/>
      <c r="AA1084" s="36"/>
    </row>
    <row r="1085" spans="1:27">
      <c r="A1085" s="36"/>
      <c r="B1085" s="36"/>
      <c r="C1085" s="36"/>
      <c r="D1085" s="36"/>
      <c r="E1085" s="36"/>
      <c r="F1085" s="36"/>
      <c r="G1085" s="36"/>
      <c r="H1085" s="36"/>
      <c r="I1085" s="36"/>
      <c r="J1085" s="36"/>
      <c r="K1085" s="36"/>
      <c r="L1085" s="40"/>
      <c r="M1085" s="36"/>
      <c r="N1085" s="36"/>
      <c r="O1085" s="36"/>
      <c r="P1085" s="36"/>
      <c r="Q1085" s="36"/>
      <c r="R1085" s="36"/>
      <c r="S1085" s="36"/>
      <c r="T1085" s="36"/>
      <c r="U1085" s="36"/>
      <c r="V1085" s="36"/>
      <c r="W1085" s="36"/>
      <c r="X1085" s="36"/>
      <c r="Y1085" s="36"/>
      <c r="Z1085" s="36"/>
      <c r="AA1085" s="36"/>
    </row>
    <row r="1086" spans="1:27">
      <c r="A1086" s="36"/>
      <c r="B1086" s="36"/>
      <c r="C1086" s="36"/>
      <c r="D1086" s="36"/>
      <c r="E1086" s="36"/>
      <c r="F1086" s="36"/>
      <c r="G1086" s="36"/>
      <c r="H1086" s="36"/>
      <c r="I1086" s="36"/>
      <c r="J1086" s="36"/>
      <c r="K1086" s="36"/>
      <c r="L1086" s="40"/>
      <c r="M1086" s="36"/>
      <c r="N1086" s="36"/>
      <c r="O1086" s="36"/>
      <c r="P1086" s="36"/>
      <c r="Q1086" s="36"/>
      <c r="R1086" s="36"/>
      <c r="S1086" s="36"/>
      <c r="T1086" s="36"/>
      <c r="U1086" s="36"/>
      <c r="V1086" s="36"/>
      <c r="W1086" s="36"/>
      <c r="X1086" s="36"/>
      <c r="Y1086" s="36"/>
      <c r="Z1086" s="36"/>
      <c r="AA1086" s="36"/>
    </row>
    <row r="1087" spans="1:27">
      <c r="A1087" s="36"/>
      <c r="B1087" s="36"/>
      <c r="C1087" s="36"/>
      <c r="D1087" s="36"/>
      <c r="E1087" s="36"/>
      <c r="F1087" s="36"/>
      <c r="G1087" s="36"/>
      <c r="H1087" s="36"/>
      <c r="I1087" s="36"/>
      <c r="J1087" s="36"/>
      <c r="K1087" s="36"/>
      <c r="L1087" s="40"/>
      <c r="M1087" s="36"/>
      <c r="N1087" s="36"/>
      <c r="O1087" s="36"/>
      <c r="P1087" s="36"/>
      <c r="Q1087" s="36"/>
      <c r="R1087" s="36"/>
      <c r="S1087" s="36"/>
      <c r="T1087" s="36"/>
      <c r="U1087" s="36"/>
      <c r="V1087" s="36"/>
      <c r="W1087" s="36"/>
      <c r="X1087" s="36"/>
      <c r="Y1087" s="36"/>
      <c r="Z1087" s="36"/>
      <c r="AA1087" s="36"/>
    </row>
    <row r="1088" spans="1:27">
      <c r="A1088" s="36"/>
      <c r="B1088" s="36"/>
      <c r="C1088" s="36"/>
      <c r="D1088" s="36"/>
      <c r="E1088" s="36"/>
      <c r="F1088" s="36"/>
      <c r="G1088" s="36"/>
      <c r="H1088" s="36"/>
      <c r="I1088" s="36"/>
      <c r="J1088" s="36"/>
      <c r="K1088" s="36"/>
      <c r="L1088" s="40"/>
      <c r="M1088" s="36"/>
      <c r="N1088" s="36"/>
      <c r="O1088" s="36"/>
      <c r="P1088" s="36"/>
      <c r="Q1088" s="36"/>
      <c r="R1088" s="36"/>
      <c r="S1088" s="36"/>
      <c r="T1088" s="36"/>
      <c r="U1088" s="36"/>
      <c r="V1088" s="36"/>
      <c r="W1088" s="36"/>
      <c r="X1088" s="36"/>
      <c r="Y1088" s="36"/>
      <c r="Z1088" s="36"/>
      <c r="AA1088" s="36"/>
    </row>
    <row r="1089" spans="1:27">
      <c r="A1089" s="36"/>
      <c r="B1089" s="36"/>
      <c r="C1089" s="36"/>
      <c r="D1089" s="36"/>
      <c r="E1089" s="36"/>
      <c r="F1089" s="36"/>
      <c r="G1089" s="36"/>
      <c r="H1089" s="36"/>
      <c r="I1089" s="36"/>
      <c r="J1089" s="36"/>
      <c r="K1089" s="36"/>
      <c r="L1089" s="40"/>
      <c r="M1089" s="36"/>
      <c r="N1089" s="36"/>
      <c r="O1089" s="36"/>
      <c r="P1089" s="36"/>
      <c r="Q1089" s="36"/>
      <c r="R1089" s="36"/>
      <c r="S1089" s="36"/>
      <c r="T1089" s="36"/>
      <c r="U1089" s="36"/>
      <c r="V1089" s="36"/>
      <c r="W1089" s="36"/>
      <c r="X1089" s="36"/>
      <c r="Y1089" s="36"/>
      <c r="Z1089" s="36"/>
      <c r="AA1089" s="36"/>
    </row>
    <row r="1090" spans="1:27">
      <c r="A1090" s="36"/>
      <c r="B1090" s="36"/>
      <c r="C1090" s="36"/>
      <c r="D1090" s="36"/>
      <c r="E1090" s="36"/>
      <c r="F1090" s="36"/>
      <c r="G1090" s="36"/>
      <c r="H1090" s="36"/>
      <c r="I1090" s="36"/>
      <c r="J1090" s="36"/>
      <c r="K1090" s="36"/>
      <c r="L1090" s="40"/>
      <c r="M1090" s="36"/>
      <c r="N1090" s="36"/>
      <c r="O1090" s="36"/>
      <c r="P1090" s="36"/>
      <c r="Q1090" s="36"/>
      <c r="R1090" s="36"/>
      <c r="S1090" s="36"/>
      <c r="T1090" s="36"/>
      <c r="U1090" s="36"/>
      <c r="V1090" s="36"/>
      <c r="W1090" s="36"/>
      <c r="X1090" s="36"/>
      <c r="Y1090" s="36"/>
      <c r="Z1090" s="36"/>
      <c r="AA1090" s="36"/>
    </row>
    <row r="1091" spans="1:27">
      <c r="A1091" s="36"/>
      <c r="B1091" s="36"/>
      <c r="C1091" s="36"/>
      <c r="D1091" s="36"/>
      <c r="E1091" s="36"/>
      <c r="F1091" s="36"/>
      <c r="G1091" s="36"/>
      <c r="H1091" s="36"/>
      <c r="I1091" s="36"/>
      <c r="J1091" s="36"/>
      <c r="K1091" s="36"/>
      <c r="L1091" s="40"/>
      <c r="M1091" s="36"/>
      <c r="N1091" s="36"/>
      <c r="O1091" s="36"/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</row>
    <row r="1092" spans="1:27">
      <c r="A1092" s="36"/>
      <c r="B1092" s="36"/>
      <c r="C1092" s="36"/>
      <c r="D1092" s="36"/>
      <c r="E1092" s="36"/>
      <c r="F1092" s="36"/>
      <c r="G1092" s="36"/>
      <c r="H1092" s="36"/>
      <c r="I1092" s="36"/>
      <c r="J1092" s="36"/>
      <c r="K1092" s="36"/>
      <c r="L1092" s="40"/>
      <c r="M1092" s="36"/>
      <c r="N1092" s="36"/>
      <c r="O1092" s="36"/>
      <c r="P1092" s="36"/>
      <c r="Q1092" s="36"/>
      <c r="R1092" s="36"/>
      <c r="S1092" s="36"/>
      <c r="T1092" s="36"/>
      <c r="U1092" s="36"/>
      <c r="V1092" s="36"/>
      <c r="W1092" s="36"/>
      <c r="X1092" s="36"/>
      <c r="Y1092" s="36"/>
      <c r="Z1092" s="36"/>
      <c r="AA1092" s="36"/>
    </row>
    <row r="1093" spans="1:27">
      <c r="A1093" s="36"/>
      <c r="B1093" s="36"/>
      <c r="C1093" s="36"/>
      <c r="D1093" s="36"/>
      <c r="E1093" s="36"/>
      <c r="F1093" s="36"/>
      <c r="G1093" s="36"/>
      <c r="H1093" s="36"/>
      <c r="I1093" s="36"/>
      <c r="J1093" s="36"/>
      <c r="K1093" s="36"/>
      <c r="L1093" s="40"/>
      <c r="M1093" s="36"/>
      <c r="N1093" s="36"/>
      <c r="O1093" s="36"/>
      <c r="P1093" s="36"/>
      <c r="Q1093" s="36"/>
      <c r="R1093" s="36"/>
      <c r="S1093" s="36"/>
      <c r="T1093" s="36"/>
      <c r="U1093" s="36"/>
      <c r="V1093" s="36"/>
      <c r="W1093" s="36"/>
      <c r="X1093" s="36"/>
      <c r="Y1093" s="36"/>
      <c r="Z1093" s="36"/>
      <c r="AA1093" s="36"/>
    </row>
    <row r="1094" spans="1:27">
      <c r="A1094" s="36"/>
      <c r="B1094" s="36"/>
      <c r="C1094" s="36"/>
      <c r="D1094" s="36"/>
      <c r="E1094" s="36"/>
      <c r="F1094" s="36"/>
      <c r="G1094" s="36"/>
      <c r="H1094" s="36"/>
      <c r="I1094" s="36"/>
      <c r="J1094" s="36"/>
      <c r="K1094" s="36"/>
      <c r="L1094" s="40"/>
      <c r="M1094" s="36"/>
      <c r="N1094" s="36"/>
      <c r="O1094" s="36"/>
      <c r="P1094" s="36"/>
      <c r="Q1094" s="36"/>
      <c r="R1094" s="36"/>
      <c r="S1094" s="36"/>
      <c r="T1094" s="36"/>
      <c r="U1094" s="36"/>
      <c r="V1094" s="36"/>
      <c r="W1094" s="36"/>
      <c r="X1094" s="36"/>
      <c r="Y1094" s="36"/>
      <c r="Z1094" s="36"/>
      <c r="AA1094" s="36"/>
    </row>
    <row r="1095" spans="1:27">
      <c r="A1095" s="36"/>
      <c r="B1095" s="36"/>
      <c r="C1095" s="36"/>
      <c r="D1095" s="36"/>
      <c r="E1095" s="36"/>
      <c r="F1095" s="36"/>
      <c r="G1095" s="36"/>
      <c r="H1095" s="36"/>
      <c r="I1095" s="36"/>
      <c r="J1095" s="36"/>
      <c r="K1095" s="36"/>
      <c r="L1095" s="40"/>
      <c r="M1095" s="36"/>
      <c r="N1095" s="36"/>
      <c r="O1095" s="36"/>
      <c r="P1095" s="36"/>
      <c r="Q1095" s="36"/>
      <c r="R1095" s="36"/>
      <c r="S1095" s="36"/>
      <c r="T1095" s="36"/>
      <c r="U1095" s="36"/>
      <c r="V1095" s="36"/>
      <c r="W1095" s="36"/>
      <c r="X1095" s="36"/>
      <c r="Y1095" s="36"/>
      <c r="Z1095" s="36"/>
      <c r="AA1095" s="36"/>
    </row>
    <row r="1096" spans="1:27">
      <c r="A1096" s="36"/>
      <c r="B1096" s="36"/>
      <c r="C1096" s="36"/>
      <c r="D1096" s="36"/>
      <c r="E1096" s="36"/>
      <c r="F1096" s="36"/>
      <c r="G1096" s="36"/>
      <c r="H1096" s="36"/>
      <c r="I1096" s="36"/>
      <c r="J1096" s="36"/>
      <c r="K1096" s="36"/>
      <c r="L1096" s="40"/>
      <c r="M1096" s="36"/>
      <c r="N1096" s="36"/>
      <c r="O1096" s="36"/>
      <c r="P1096" s="36"/>
      <c r="Q1096" s="36"/>
      <c r="R1096" s="36"/>
      <c r="S1096" s="36"/>
      <c r="T1096" s="36"/>
      <c r="U1096" s="36"/>
      <c r="V1096" s="36"/>
      <c r="W1096" s="36"/>
      <c r="X1096" s="36"/>
      <c r="Y1096" s="36"/>
      <c r="Z1096" s="36"/>
      <c r="AA1096" s="36"/>
    </row>
    <row r="1097" spans="1:27">
      <c r="A1097" s="36"/>
      <c r="B1097" s="36"/>
      <c r="C1097" s="36"/>
      <c r="D1097" s="36"/>
      <c r="E1097" s="36"/>
      <c r="F1097" s="36"/>
      <c r="G1097" s="36"/>
      <c r="H1097" s="36"/>
      <c r="I1097" s="36"/>
      <c r="J1097" s="36"/>
      <c r="K1097" s="36"/>
      <c r="L1097" s="40"/>
      <c r="M1097" s="36"/>
      <c r="N1097" s="36"/>
      <c r="O1097" s="36"/>
      <c r="P1097" s="36"/>
      <c r="Q1097" s="36"/>
      <c r="R1097" s="36"/>
      <c r="S1097" s="36"/>
      <c r="T1097" s="36"/>
      <c r="U1097" s="36"/>
      <c r="V1097" s="36"/>
      <c r="W1097" s="36"/>
      <c r="X1097" s="36"/>
      <c r="Y1097" s="36"/>
      <c r="Z1097" s="36"/>
      <c r="AA1097" s="36"/>
    </row>
    <row r="1098" spans="1:27">
      <c r="A1098" s="36"/>
      <c r="B1098" s="36"/>
      <c r="C1098" s="36"/>
      <c r="D1098" s="36"/>
      <c r="E1098" s="36"/>
      <c r="F1098" s="36"/>
      <c r="G1098" s="36"/>
      <c r="H1098" s="36"/>
      <c r="I1098" s="36"/>
      <c r="J1098" s="36"/>
      <c r="K1098" s="36"/>
      <c r="L1098" s="40"/>
      <c r="M1098" s="36"/>
      <c r="N1098" s="36"/>
      <c r="O1098" s="36"/>
      <c r="P1098" s="36"/>
      <c r="Q1098" s="36"/>
      <c r="R1098" s="36"/>
      <c r="S1098" s="36"/>
      <c r="T1098" s="36"/>
      <c r="U1098" s="36"/>
      <c r="V1098" s="36"/>
      <c r="W1098" s="36"/>
      <c r="X1098" s="36"/>
      <c r="Y1098" s="36"/>
      <c r="Z1098" s="36"/>
      <c r="AA1098" s="36"/>
    </row>
    <row r="1099" spans="1:27">
      <c r="A1099" s="36"/>
      <c r="B1099" s="36"/>
      <c r="C1099" s="36"/>
      <c r="D1099" s="36"/>
      <c r="E1099" s="36"/>
      <c r="F1099" s="36"/>
      <c r="G1099" s="36"/>
      <c r="H1099" s="36"/>
      <c r="I1099" s="36"/>
      <c r="J1099" s="36"/>
      <c r="K1099" s="36"/>
      <c r="L1099" s="40"/>
      <c r="M1099" s="36"/>
      <c r="N1099" s="36"/>
      <c r="O1099" s="36"/>
      <c r="P1099" s="36"/>
      <c r="Q1099" s="36"/>
      <c r="R1099" s="36"/>
      <c r="S1099" s="36"/>
      <c r="T1099" s="36"/>
      <c r="U1099" s="36"/>
      <c r="V1099" s="36"/>
      <c r="W1099" s="36"/>
      <c r="X1099" s="36"/>
      <c r="Y1099" s="36"/>
      <c r="Z1099" s="36"/>
      <c r="AA1099" s="36"/>
    </row>
    <row r="1100" spans="1:27">
      <c r="A1100" s="36"/>
      <c r="B1100" s="36"/>
      <c r="C1100" s="36"/>
      <c r="D1100" s="36"/>
      <c r="E1100" s="36"/>
      <c r="F1100" s="36"/>
      <c r="G1100" s="36"/>
      <c r="H1100" s="36"/>
      <c r="I1100" s="36"/>
      <c r="J1100" s="36"/>
      <c r="K1100" s="36"/>
      <c r="L1100" s="40"/>
      <c r="M1100" s="36"/>
      <c r="N1100" s="36"/>
      <c r="O1100" s="36"/>
      <c r="P1100" s="36"/>
      <c r="Q1100" s="36"/>
      <c r="R1100" s="36"/>
      <c r="S1100" s="36"/>
      <c r="T1100" s="36"/>
      <c r="U1100" s="36"/>
      <c r="V1100" s="36"/>
      <c r="W1100" s="36"/>
      <c r="X1100" s="36"/>
      <c r="Y1100" s="36"/>
      <c r="Z1100" s="36"/>
      <c r="AA1100" s="36"/>
    </row>
    <row r="1101" spans="1:27">
      <c r="A1101" s="36"/>
      <c r="B1101" s="36"/>
      <c r="C1101" s="36"/>
      <c r="D1101" s="36"/>
      <c r="E1101" s="36"/>
      <c r="F1101" s="36"/>
      <c r="G1101" s="36"/>
      <c r="H1101" s="36"/>
      <c r="I1101" s="36"/>
      <c r="J1101" s="36"/>
      <c r="K1101" s="36"/>
      <c r="L1101" s="40"/>
      <c r="M1101" s="36"/>
      <c r="N1101" s="36"/>
      <c r="O1101" s="36"/>
      <c r="P1101" s="36"/>
      <c r="Q1101" s="36"/>
      <c r="R1101" s="36"/>
      <c r="S1101" s="36"/>
      <c r="T1101" s="36"/>
      <c r="U1101" s="36"/>
      <c r="V1101" s="36"/>
      <c r="W1101" s="36"/>
      <c r="X1101" s="36"/>
      <c r="Y1101" s="36"/>
      <c r="Z1101" s="36"/>
      <c r="AA1101" s="36"/>
    </row>
    <row r="1102" spans="1:27">
      <c r="A1102" s="36"/>
      <c r="B1102" s="36"/>
      <c r="C1102" s="36"/>
      <c r="D1102" s="36"/>
      <c r="E1102" s="36"/>
      <c r="F1102" s="36"/>
      <c r="G1102" s="36"/>
      <c r="H1102" s="36"/>
      <c r="I1102" s="36"/>
      <c r="J1102" s="36"/>
      <c r="K1102" s="36"/>
      <c r="L1102" s="40"/>
      <c r="M1102" s="36"/>
      <c r="N1102" s="36"/>
      <c r="O1102" s="36"/>
      <c r="P1102" s="36"/>
      <c r="Q1102" s="36"/>
      <c r="R1102" s="36"/>
      <c r="S1102" s="36"/>
      <c r="T1102" s="36"/>
      <c r="U1102" s="36"/>
      <c r="V1102" s="36"/>
      <c r="W1102" s="36"/>
      <c r="X1102" s="36"/>
      <c r="Y1102" s="36"/>
      <c r="Z1102" s="36"/>
      <c r="AA1102" s="36"/>
    </row>
    <row r="1103" spans="1:27">
      <c r="A1103" s="36"/>
      <c r="B1103" s="36"/>
      <c r="C1103" s="36"/>
      <c r="D1103" s="36"/>
      <c r="E1103" s="36"/>
      <c r="F1103" s="36"/>
      <c r="G1103" s="36"/>
      <c r="H1103" s="36"/>
      <c r="I1103" s="36"/>
      <c r="J1103" s="36"/>
      <c r="K1103" s="36"/>
      <c r="L1103" s="40"/>
      <c r="M1103" s="36"/>
      <c r="N1103" s="36"/>
      <c r="O1103" s="36"/>
      <c r="P1103" s="36"/>
      <c r="Q1103" s="36"/>
      <c r="R1103" s="36"/>
      <c r="S1103" s="36"/>
      <c r="T1103" s="36"/>
      <c r="U1103" s="36"/>
      <c r="V1103" s="36"/>
      <c r="W1103" s="36"/>
      <c r="X1103" s="36"/>
      <c r="Y1103" s="36"/>
      <c r="Z1103" s="36"/>
      <c r="AA1103" s="36"/>
    </row>
    <row r="1104" spans="1:27">
      <c r="A1104" s="36"/>
      <c r="B1104" s="36"/>
      <c r="C1104" s="36"/>
      <c r="D1104" s="36"/>
      <c r="E1104" s="36"/>
      <c r="F1104" s="36"/>
      <c r="G1104" s="36"/>
      <c r="H1104" s="36"/>
      <c r="I1104" s="36"/>
      <c r="J1104" s="36"/>
      <c r="K1104" s="36"/>
      <c r="L1104" s="40"/>
      <c r="M1104" s="36"/>
      <c r="N1104" s="36"/>
      <c r="O1104" s="36"/>
      <c r="P1104" s="36"/>
      <c r="Q1104" s="36"/>
      <c r="R1104" s="36"/>
      <c r="S1104" s="36"/>
      <c r="T1104" s="36"/>
      <c r="U1104" s="36"/>
      <c r="V1104" s="36"/>
      <c r="W1104" s="36"/>
      <c r="X1104" s="36"/>
      <c r="Y1104" s="36"/>
      <c r="Z1104" s="36"/>
      <c r="AA1104" s="36"/>
    </row>
    <row r="1105" spans="1:27">
      <c r="A1105" s="36"/>
      <c r="B1105" s="36"/>
      <c r="C1105" s="36"/>
      <c r="D1105" s="36"/>
      <c r="E1105" s="36"/>
      <c r="F1105" s="36"/>
      <c r="G1105" s="36"/>
      <c r="H1105" s="36"/>
      <c r="I1105" s="36"/>
      <c r="J1105" s="36"/>
      <c r="K1105" s="36"/>
      <c r="L1105" s="40"/>
      <c r="M1105" s="36"/>
      <c r="N1105" s="36"/>
      <c r="O1105" s="36"/>
      <c r="P1105" s="36"/>
      <c r="Q1105" s="36"/>
      <c r="R1105" s="36"/>
      <c r="S1105" s="36"/>
      <c r="T1105" s="36"/>
      <c r="U1105" s="36"/>
      <c r="V1105" s="36"/>
      <c r="W1105" s="36"/>
      <c r="X1105" s="36"/>
      <c r="Y1105" s="36"/>
      <c r="Z1105" s="36"/>
      <c r="AA1105" s="36"/>
    </row>
    <row r="1106" spans="1:27">
      <c r="A1106" s="36"/>
      <c r="B1106" s="36"/>
      <c r="C1106" s="36"/>
      <c r="D1106" s="36"/>
      <c r="E1106" s="36"/>
      <c r="F1106" s="36"/>
      <c r="G1106" s="36"/>
      <c r="H1106" s="36"/>
      <c r="I1106" s="36"/>
      <c r="J1106" s="36"/>
      <c r="K1106" s="36"/>
      <c r="L1106" s="40"/>
      <c r="M1106" s="36"/>
      <c r="N1106" s="36"/>
      <c r="O1106" s="36"/>
      <c r="P1106" s="36"/>
      <c r="Q1106" s="36"/>
      <c r="R1106" s="36"/>
      <c r="S1106" s="36"/>
      <c r="T1106" s="36"/>
      <c r="U1106" s="36"/>
      <c r="V1106" s="36"/>
      <c r="W1106" s="36"/>
      <c r="X1106" s="36"/>
      <c r="Y1106" s="36"/>
      <c r="Z1106" s="36"/>
      <c r="AA1106" s="36"/>
    </row>
    <row r="1107" spans="1:27">
      <c r="A1107" s="36"/>
      <c r="B1107" s="36"/>
      <c r="C1107" s="36"/>
      <c r="D1107" s="36"/>
      <c r="E1107" s="36"/>
      <c r="F1107" s="36"/>
      <c r="G1107" s="36"/>
      <c r="H1107" s="36"/>
      <c r="I1107" s="36"/>
      <c r="J1107" s="36"/>
      <c r="K1107" s="36"/>
      <c r="L1107" s="40"/>
      <c r="M1107" s="36"/>
      <c r="N1107" s="36"/>
      <c r="O1107" s="36"/>
      <c r="P1107" s="36"/>
      <c r="Q1107" s="36"/>
      <c r="R1107" s="36"/>
      <c r="S1107" s="36"/>
      <c r="T1107" s="36"/>
      <c r="U1107" s="36"/>
      <c r="V1107" s="36"/>
      <c r="W1107" s="36"/>
      <c r="X1107" s="36"/>
      <c r="Y1107" s="36"/>
      <c r="Z1107" s="36"/>
      <c r="AA1107" s="36"/>
    </row>
    <row r="1108" spans="1:27">
      <c r="A1108" s="36"/>
      <c r="B1108" s="36"/>
      <c r="C1108" s="36"/>
      <c r="D1108" s="36"/>
      <c r="E1108" s="36"/>
      <c r="F1108" s="36"/>
      <c r="G1108" s="36"/>
      <c r="H1108" s="36"/>
      <c r="I1108" s="36"/>
      <c r="J1108" s="36"/>
      <c r="K1108" s="36"/>
      <c r="L1108" s="40"/>
      <c r="M1108" s="36"/>
      <c r="N1108" s="36"/>
      <c r="O1108" s="36"/>
      <c r="P1108" s="36"/>
      <c r="Q1108" s="36"/>
      <c r="R1108" s="36"/>
      <c r="S1108" s="36"/>
      <c r="T1108" s="36"/>
      <c r="U1108" s="36"/>
      <c r="V1108" s="36"/>
      <c r="W1108" s="36"/>
      <c r="X1108" s="36"/>
      <c r="Y1108" s="36"/>
      <c r="Z1108" s="36"/>
      <c r="AA1108" s="36"/>
    </row>
    <row r="1109" spans="1:27">
      <c r="A1109" s="36"/>
      <c r="B1109" s="36"/>
      <c r="C1109" s="36"/>
      <c r="D1109" s="36"/>
      <c r="E1109" s="36"/>
      <c r="F1109" s="36"/>
      <c r="G1109" s="36"/>
      <c r="H1109" s="36"/>
      <c r="I1109" s="36"/>
      <c r="J1109" s="36"/>
      <c r="K1109" s="36"/>
      <c r="L1109" s="40"/>
      <c r="M1109" s="36"/>
      <c r="N1109" s="36"/>
      <c r="O1109" s="36"/>
      <c r="P1109" s="36"/>
      <c r="Q1109" s="36"/>
      <c r="R1109" s="36"/>
      <c r="S1109" s="36"/>
      <c r="T1109" s="36"/>
      <c r="U1109" s="36"/>
      <c r="V1109" s="36"/>
      <c r="W1109" s="36"/>
      <c r="X1109" s="36"/>
      <c r="Y1109" s="36"/>
      <c r="Z1109" s="36"/>
      <c r="AA1109" s="36"/>
    </row>
    <row r="1110" spans="1:27">
      <c r="A1110" s="36"/>
      <c r="B1110" s="36"/>
      <c r="C1110" s="36"/>
      <c r="D1110" s="36"/>
      <c r="E1110" s="36"/>
      <c r="F1110" s="36"/>
      <c r="G1110" s="36"/>
      <c r="H1110" s="36"/>
      <c r="I1110" s="36"/>
      <c r="J1110" s="36"/>
      <c r="K1110" s="36"/>
      <c r="L1110" s="40"/>
      <c r="M1110" s="36"/>
      <c r="N1110" s="36"/>
      <c r="O1110" s="36"/>
      <c r="P1110" s="36"/>
      <c r="Q1110" s="36"/>
      <c r="R1110" s="36"/>
      <c r="S1110" s="36"/>
      <c r="T1110" s="36"/>
      <c r="U1110" s="36"/>
      <c r="V1110" s="36"/>
      <c r="W1110" s="36"/>
      <c r="X1110" s="36"/>
      <c r="Y1110" s="36"/>
      <c r="Z1110" s="36"/>
      <c r="AA1110" s="36"/>
    </row>
    <row r="1111" spans="1:27">
      <c r="A1111" s="36"/>
      <c r="B1111" s="36"/>
      <c r="C1111" s="36"/>
      <c r="D1111" s="36"/>
      <c r="E1111" s="36"/>
      <c r="F1111" s="36"/>
      <c r="G1111" s="36"/>
      <c r="H1111" s="36"/>
      <c r="I1111" s="36"/>
      <c r="J1111" s="36"/>
      <c r="K1111" s="36"/>
      <c r="L1111" s="40"/>
      <c r="M1111" s="36"/>
      <c r="N1111" s="36"/>
      <c r="O1111" s="36"/>
      <c r="P1111" s="36"/>
      <c r="Q1111" s="36"/>
      <c r="R1111" s="36"/>
      <c r="S1111" s="36"/>
      <c r="T1111" s="36"/>
      <c r="U1111" s="36"/>
      <c r="V1111" s="36"/>
      <c r="W1111" s="36"/>
      <c r="X1111" s="36"/>
      <c r="Y1111" s="36"/>
      <c r="Z1111" s="36"/>
      <c r="AA1111" s="36"/>
    </row>
    <row r="1112" spans="1:27">
      <c r="A1112" s="36"/>
      <c r="B1112" s="36"/>
      <c r="C1112" s="36"/>
      <c r="D1112" s="36"/>
      <c r="E1112" s="36"/>
      <c r="F1112" s="36"/>
      <c r="G1112" s="36"/>
      <c r="H1112" s="36"/>
      <c r="I1112" s="36"/>
      <c r="J1112" s="36"/>
      <c r="K1112" s="36"/>
      <c r="L1112" s="40"/>
      <c r="M1112" s="36"/>
      <c r="N1112" s="36"/>
      <c r="O1112" s="36"/>
      <c r="P1112" s="36"/>
      <c r="Q1112" s="36"/>
      <c r="R1112" s="36"/>
      <c r="S1112" s="36"/>
      <c r="T1112" s="36"/>
      <c r="U1112" s="36"/>
      <c r="V1112" s="36"/>
      <c r="W1112" s="36"/>
      <c r="X1112" s="36"/>
      <c r="Y1112" s="36"/>
      <c r="Z1112" s="36"/>
      <c r="AA1112" s="36"/>
    </row>
    <row r="1113" spans="1:27">
      <c r="A1113" s="36"/>
      <c r="B1113" s="36"/>
      <c r="C1113" s="36"/>
      <c r="D1113" s="36"/>
      <c r="E1113" s="36"/>
      <c r="F1113" s="36"/>
      <c r="G1113" s="36"/>
      <c r="H1113" s="36"/>
      <c r="I1113" s="36"/>
      <c r="J1113" s="36"/>
      <c r="K1113" s="36"/>
      <c r="L1113" s="40"/>
      <c r="M1113" s="36"/>
      <c r="N1113" s="36"/>
      <c r="O1113" s="36"/>
      <c r="P1113" s="36"/>
      <c r="Q1113" s="36"/>
      <c r="R1113" s="36"/>
      <c r="S1113" s="36"/>
      <c r="T1113" s="36"/>
      <c r="U1113" s="36"/>
      <c r="V1113" s="36"/>
      <c r="W1113" s="36"/>
      <c r="X1113" s="36"/>
      <c r="Y1113" s="36"/>
      <c r="Z1113" s="36"/>
      <c r="AA1113" s="36"/>
    </row>
    <row r="1114" spans="1:27">
      <c r="A1114" s="36"/>
      <c r="B1114" s="36"/>
      <c r="C1114" s="36"/>
      <c r="D1114" s="36"/>
      <c r="E1114" s="36"/>
      <c r="F1114" s="36"/>
      <c r="G1114" s="36"/>
      <c r="H1114" s="36"/>
      <c r="I1114" s="36"/>
      <c r="J1114" s="36"/>
      <c r="K1114" s="36"/>
      <c r="L1114" s="40"/>
      <c r="M1114" s="36"/>
      <c r="N1114" s="36"/>
      <c r="O1114" s="36"/>
      <c r="P1114" s="36"/>
      <c r="Q1114" s="36"/>
      <c r="R1114" s="36"/>
      <c r="S1114" s="36"/>
      <c r="T1114" s="36"/>
      <c r="U1114" s="36"/>
      <c r="V1114" s="36"/>
      <c r="W1114" s="36"/>
      <c r="X1114" s="36"/>
      <c r="Y1114" s="36"/>
      <c r="Z1114" s="36"/>
      <c r="AA1114" s="36"/>
    </row>
    <row r="1115" spans="1:27">
      <c r="A1115" s="36"/>
      <c r="B1115" s="36"/>
      <c r="C1115" s="36"/>
      <c r="D1115" s="36"/>
      <c r="E1115" s="36"/>
      <c r="F1115" s="36"/>
      <c r="G1115" s="36"/>
      <c r="H1115" s="36"/>
      <c r="I1115" s="36"/>
      <c r="J1115" s="36"/>
      <c r="K1115" s="36"/>
      <c r="L1115" s="40"/>
      <c r="M1115" s="36"/>
      <c r="N1115" s="36"/>
      <c r="O1115" s="36"/>
      <c r="P1115" s="36"/>
      <c r="Q1115" s="36"/>
      <c r="R1115" s="36"/>
      <c r="S1115" s="36"/>
      <c r="T1115" s="36"/>
      <c r="U1115" s="36"/>
      <c r="V1115" s="36"/>
      <c r="W1115" s="36"/>
      <c r="X1115" s="36"/>
      <c r="Y1115" s="36"/>
      <c r="Z1115" s="36"/>
      <c r="AA1115" s="36"/>
    </row>
    <row r="1116" spans="1:27">
      <c r="A1116" s="36"/>
      <c r="B1116" s="36"/>
      <c r="C1116" s="36"/>
      <c r="D1116" s="36"/>
      <c r="E1116" s="36"/>
      <c r="F1116" s="36"/>
      <c r="G1116" s="36"/>
      <c r="H1116" s="36"/>
      <c r="I1116" s="36"/>
      <c r="J1116" s="36"/>
      <c r="K1116" s="36"/>
      <c r="L1116" s="40"/>
      <c r="M1116" s="36"/>
      <c r="N1116" s="36"/>
      <c r="O1116" s="36"/>
      <c r="P1116" s="36"/>
      <c r="Q1116" s="36"/>
      <c r="R1116" s="36"/>
      <c r="S1116" s="36"/>
      <c r="T1116" s="36"/>
      <c r="U1116" s="36"/>
      <c r="V1116" s="36"/>
      <c r="W1116" s="36"/>
      <c r="X1116" s="36"/>
      <c r="Y1116" s="36"/>
      <c r="Z1116" s="36"/>
      <c r="AA1116" s="36"/>
    </row>
    <row r="1117" spans="1:27">
      <c r="A1117" s="36"/>
      <c r="B1117" s="36"/>
      <c r="C1117" s="36"/>
      <c r="D1117" s="36"/>
      <c r="E1117" s="36"/>
      <c r="F1117" s="36"/>
      <c r="G1117" s="36"/>
      <c r="H1117" s="36"/>
      <c r="I1117" s="36"/>
      <c r="J1117" s="36"/>
      <c r="K1117" s="36"/>
      <c r="L1117" s="40"/>
      <c r="M1117" s="36"/>
      <c r="N1117" s="36"/>
      <c r="O1117" s="36"/>
      <c r="P1117" s="36"/>
      <c r="Q1117" s="36"/>
      <c r="R1117" s="36"/>
      <c r="S1117" s="36"/>
      <c r="T1117" s="36"/>
      <c r="U1117" s="36"/>
      <c r="V1117" s="36"/>
      <c r="W1117" s="36"/>
      <c r="X1117" s="36"/>
      <c r="Y1117" s="36"/>
      <c r="Z1117" s="36"/>
      <c r="AA1117" s="36"/>
    </row>
    <row r="1118" spans="1:27">
      <c r="A1118" s="36"/>
      <c r="B1118" s="36"/>
      <c r="C1118" s="36"/>
      <c r="D1118" s="36"/>
      <c r="E1118" s="36"/>
      <c r="F1118" s="36"/>
      <c r="G1118" s="36"/>
      <c r="H1118" s="36"/>
      <c r="I1118" s="36"/>
      <c r="J1118" s="36"/>
      <c r="K1118" s="36"/>
      <c r="L1118" s="40"/>
      <c r="M1118" s="36"/>
      <c r="N1118" s="36"/>
      <c r="O1118" s="36"/>
      <c r="P1118" s="36"/>
      <c r="Q1118" s="36"/>
      <c r="R1118" s="36"/>
      <c r="S1118" s="36"/>
      <c r="T1118" s="36"/>
      <c r="U1118" s="36"/>
      <c r="V1118" s="36"/>
      <c r="W1118" s="36"/>
      <c r="X1118" s="36"/>
      <c r="Y1118" s="36"/>
      <c r="Z1118" s="36"/>
      <c r="AA1118" s="36"/>
    </row>
    <row r="1119" spans="1:27">
      <c r="A1119" s="36"/>
      <c r="B1119" s="36"/>
      <c r="C1119" s="36"/>
      <c r="D1119" s="36"/>
      <c r="E1119" s="36"/>
      <c r="F1119" s="36"/>
      <c r="G1119" s="36"/>
      <c r="H1119" s="36"/>
      <c r="I1119" s="36"/>
      <c r="J1119" s="36"/>
      <c r="K1119" s="36"/>
      <c r="L1119" s="40"/>
      <c r="M1119" s="36"/>
      <c r="N1119" s="36"/>
      <c r="O1119" s="36"/>
      <c r="P1119" s="36"/>
      <c r="Q1119" s="36"/>
      <c r="R1119" s="36"/>
      <c r="S1119" s="36"/>
      <c r="T1119" s="36"/>
      <c r="U1119" s="36"/>
      <c r="V1119" s="36"/>
      <c r="W1119" s="36"/>
      <c r="X1119" s="36"/>
      <c r="Y1119" s="36"/>
      <c r="Z1119" s="36"/>
      <c r="AA1119" s="36"/>
    </row>
    <row r="1120" spans="1:27">
      <c r="A1120" s="36"/>
      <c r="B1120" s="36"/>
      <c r="C1120" s="36"/>
      <c r="D1120" s="36"/>
      <c r="E1120" s="36"/>
      <c r="F1120" s="36"/>
      <c r="G1120" s="36"/>
      <c r="H1120" s="36"/>
      <c r="I1120" s="36"/>
      <c r="J1120" s="36"/>
      <c r="K1120" s="36"/>
      <c r="L1120" s="40"/>
      <c r="M1120" s="36"/>
      <c r="N1120" s="36"/>
      <c r="O1120" s="36"/>
      <c r="P1120" s="36"/>
      <c r="Q1120" s="36"/>
      <c r="R1120" s="36"/>
      <c r="S1120" s="36"/>
      <c r="T1120" s="36"/>
      <c r="U1120" s="36"/>
      <c r="V1120" s="36"/>
      <c r="W1120" s="36"/>
      <c r="X1120" s="36"/>
      <c r="Y1120" s="36"/>
      <c r="Z1120" s="36"/>
      <c r="AA1120" s="36"/>
    </row>
    <row r="1121" spans="1:27">
      <c r="A1121" s="36"/>
      <c r="B1121" s="36"/>
      <c r="C1121" s="36"/>
      <c r="D1121" s="36"/>
      <c r="E1121" s="36"/>
      <c r="F1121" s="36"/>
      <c r="G1121" s="36"/>
      <c r="H1121" s="36"/>
      <c r="I1121" s="36"/>
      <c r="J1121" s="36"/>
      <c r="K1121" s="36"/>
      <c r="L1121" s="40"/>
      <c r="M1121" s="36"/>
      <c r="N1121" s="36"/>
      <c r="O1121" s="36"/>
      <c r="P1121" s="36"/>
      <c r="Q1121" s="36"/>
      <c r="R1121" s="36"/>
      <c r="S1121" s="36"/>
      <c r="T1121" s="36"/>
      <c r="U1121" s="36"/>
      <c r="V1121" s="36"/>
      <c r="W1121" s="36"/>
      <c r="X1121" s="36"/>
      <c r="Y1121" s="36"/>
      <c r="Z1121" s="36"/>
      <c r="AA1121" s="36"/>
    </row>
    <row r="1122" spans="1:27">
      <c r="A1122" s="36"/>
      <c r="B1122" s="36"/>
      <c r="C1122" s="36"/>
      <c r="D1122" s="36"/>
      <c r="E1122" s="36"/>
      <c r="F1122" s="36"/>
      <c r="G1122" s="36"/>
      <c r="H1122" s="36"/>
      <c r="I1122" s="36"/>
      <c r="J1122" s="36"/>
      <c r="K1122" s="36"/>
      <c r="L1122" s="40"/>
      <c r="M1122" s="36"/>
      <c r="N1122" s="36"/>
      <c r="O1122" s="36"/>
      <c r="P1122" s="36"/>
      <c r="Q1122" s="36"/>
      <c r="R1122" s="36"/>
      <c r="S1122" s="36"/>
      <c r="T1122" s="36"/>
      <c r="U1122" s="36"/>
      <c r="V1122" s="36"/>
      <c r="W1122" s="36"/>
      <c r="X1122" s="36"/>
      <c r="Y1122" s="36"/>
      <c r="Z1122" s="36"/>
      <c r="AA1122" s="36"/>
    </row>
    <row r="1123" spans="1:27">
      <c r="A1123" s="36"/>
      <c r="B1123" s="36"/>
      <c r="C1123" s="36"/>
      <c r="D1123" s="36"/>
      <c r="E1123" s="36"/>
      <c r="F1123" s="36"/>
      <c r="G1123" s="36"/>
      <c r="H1123" s="36"/>
      <c r="I1123" s="36"/>
      <c r="J1123" s="36"/>
      <c r="K1123" s="36"/>
      <c r="L1123" s="40"/>
      <c r="M1123" s="36"/>
      <c r="N1123" s="36"/>
      <c r="O1123" s="36"/>
      <c r="P1123" s="36"/>
      <c r="Q1123" s="36"/>
      <c r="R1123" s="36"/>
      <c r="S1123" s="36"/>
      <c r="T1123" s="36"/>
      <c r="U1123" s="36"/>
      <c r="V1123" s="36"/>
      <c r="W1123" s="36"/>
      <c r="X1123" s="36"/>
      <c r="Y1123" s="36"/>
      <c r="Z1123" s="36"/>
      <c r="AA1123" s="36"/>
    </row>
    <row r="1124" spans="1:27">
      <c r="A1124" s="36"/>
      <c r="B1124" s="36"/>
      <c r="C1124" s="36"/>
      <c r="D1124" s="36"/>
      <c r="E1124" s="36"/>
      <c r="F1124" s="36"/>
      <c r="G1124" s="36"/>
      <c r="H1124" s="36"/>
      <c r="I1124" s="36"/>
      <c r="J1124" s="36"/>
      <c r="K1124" s="36"/>
      <c r="L1124" s="40"/>
      <c r="M1124" s="36"/>
      <c r="N1124" s="36"/>
      <c r="O1124" s="36"/>
      <c r="P1124" s="36"/>
      <c r="Q1124" s="36"/>
      <c r="R1124" s="36"/>
      <c r="S1124" s="36"/>
      <c r="T1124" s="36"/>
      <c r="U1124" s="36"/>
      <c r="V1124" s="36"/>
      <c r="W1124" s="36"/>
      <c r="X1124" s="36"/>
      <c r="Y1124" s="36"/>
      <c r="Z1124" s="36"/>
      <c r="AA1124" s="36"/>
    </row>
    <row r="1125" spans="1:27">
      <c r="A1125" s="36"/>
      <c r="B1125" s="36"/>
      <c r="C1125" s="36"/>
      <c r="D1125" s="36"/>
      <c r="E1125" s="36"/>
      <c r="F1125" s="36"/>
      <c r="G1125" s="36"/>
      <c r="H1125" s="36"/>
      <c r="I1125" s="36"/>
      <c r="J1125" s="36"/>
      <c r="K1125" s="36"/>
      <c r="L1125" s="40"/>
      <c r="M1125" s="36"/>
      <c r="N1125" s="36"/>
      <c r="O1125" s="36"/>
      <c r="P1125" s="36"/>
      <c r="Q1125" s="36"/>
      <c r="R1125" s="36"/>
      <c r="S1125" s="36"/>
      <c r="T1125" s="36"/>
      <c r="U1125" s="36"/>
      <c r="V1125" s="36"/>
      <c r="W1125" s="36"/>
      <c r="X1125" s="36"/>
      <c r="Y1125" s="36"/>
      <c r="Z1125" s="36"/>
      <c r="AA1125" s="36"/>
    </row>
    <row r="1126" spans="1:27">
      <c r="A1126" s="36"/>
      <c r="B1126" s="36"/>
      <c r="C1126" s="36"/>
      <c r="D1126" s="36"/>
      <c r="E1126" s="36"/>
      <c r="F1126" s="36"/>
      <c r="G1126" s="36"/>
      <c r="H1126" s="36"/>
      <c r="I1126" s="36"/>
      <c r="J1126" s="36"/>
      <c r="K1126" s="36"/>
      <c r="L1126" s="40"/>
      <c r="M1126" s="36"/>
      <c r="N1126" s="36"/>
      <c r="O1126" s="36"/>
      <c r="P1126" s="36"/>
      <c r="Q1126" s="36"/>
      <c r="R1126" s="36"/>
      <c r="S1126" s="36"/>
      <c r="T1126" s="36"/>
      <c r="U1126" s="36"/>
      <c r="V1126" s="36"/>
      <c r="W1126" s="36"/>
      <c r="X1126" s="36"/>
      <c r="Y1126" s="36"/>
      <c r="Z1126" s="36"/>
      <c r="AA1126" s="36"/>
    </row>
    <row r="1127" spans="1:27">
      <c r="A1127" s="36"/>
      <c r="B1127" s="36"/>
      <c r="C1127" s="36"/>
      <c r="D1127" s="36"/>
      <c r="E1127" s="36"/>
      <c r="F1127" s="36"/>
      <c r="G1127" s="36"/>
      <c r="H1127" s="36"/>
      <c r="I1127" s="36"/>
      <c r="J1127" s="36"/>
      <c r="K1127" s="36"/>
      <c r="L1127" s="40"/>
      <c r="M1127" s="36"/>
      <c r="N1127" s="36"/>
      <c r="O1127" s="36"/>
      <c r="P1127" s="36"/>
      <c r="Q1127" s="36"/>
      <c r="R1127" s="36"/>
      <c r="S1127" s="36"/>
      <c r="T1127" s="36"/>
      <c r="U1127" s="36"/>
      <c r="V1127" s="36"/>
      <c r="W1127" s="36"/>
      <c r="X1127" s="36"/>
      <c r="Y1127" s="36"/>
      <c r="Z1127" s="36"/>
      <c r="AA1127" s="36"/>
    </row>
    <row r="1128" spans="1:27">
      <c r="A1128" s="36"/>
      <c r="B1128" s="36"/>
      <c r="C1128" s="36"/>
      <c r="D1128" s="36"/>
      <c r="E1128" s="36"/>
      <c r="F1128" s="36"/>
      <c r="G1128" s="36"/>
      <c r="H1128" s="36"/>
      <c r="I1128" s="36"/>
      <c r="J1128" s="36"/>
      <c r="K1128" s="36"/>
      <c r="L1128" s="40"/>
      <c r="M1128" s="36"/>
      <c r="N1128" s="36"/>
      <c r="O1128" s="36"/>
      <c r="P1128" s="36"/>
      <c r="Q1128" s="36"/>
      <c r="R1128" s="36"/>
      <c r="S1128" s="36"/>
      <c r="T1128" s="36"/>
      <c r="U1128" s="36"/>
      <c r="V1128" s="36"/>
      <c r="W1128" s="36"/>
      <c r="X1128" s="36"/>
      <c r="Y1128" s="36"/>
      <c r="Z1128" s="36"/>
      <c r="AA1128" s="36"/>
    </row>
    <row r="1129" spans="1:27">
      <c r="A1129" s="36"/>
      <c r="B1129" s="36"/>
      <c r="C1129" s="36"/>
      <c r="D1129" s="36"/>
      <c r="E1129" s="36"/>
      <c r="F1129" s="36"/>
      <c r="G1129" s="36"/>
      <c r="H1129" s="36"/>
      <c r="I1129" s="36"/>
      <c r="J1129" s="36"/>
      <c r="K1129" s="36"/>
      <c r="L1129" s="40"/>
      <c r="M1129" s="36"/>
      <c r="N1129" s="36"/>
      <c r="O1129" s="36"/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</row>
    <row r="1130" spans="1:27">
      <c r="A1130" s="36"/>
      <c r="B1130" s="36"/>
      <c r="C1130" s="36"/>
      <c r="D1130" s="36"/>
      <c r="E1130" s="36"/>
      <c r="F1130" s="36"/>
      <c r="G1130" s="36"/>
      <c r="H1130" s="36"/>
      <c r="I1130" s="36"/>
      <c r="J1130" s="36"/>
      <c r="K1130" s="36"/>
      <c r="L1130" s="40"/>
      <c r="M1130" s="36"/>
      <c r="N1130" s="36"/>
      <c r="O1130" s="36"/>
      <c r="P1130" s="36"/>
      <c r="Q1130" s="36"/>
      <c r="R1130" s="36"/>
      <c r="S1130" s="36"/>
      <c r="T1130" s="36"/>
      <c r="U1130" s="36"/>
      <c r="V1130" s="36"/>
      <c r="W1130" s="36"/>
      <c r="X1130" s="36"/>
      <c r="Y1130" s="36"/>
      <c r="Z1130" s="36"/>
      <c r="AA1130" s="36"/>
    </row>
    <row r="1131" spans="1:27">
      <c r="A1131" s="36"/>
      <c r="B1131" s="36"/>
      <c r="C1131" s="36"/>
      <c r="D1131" s="36"/>
      <c r="E1131" s="36"/>
      <c r="F1131" s="36"/>
      <c r="G1131" s="36"/>
      <c r="H1131" s="36"/>
      <c r="I1131" s="36"/>
      <c r="J1131" s="36"/>
      <c r="K1131" s="36"/>
      <c r="L1131" s="40"/>
      <c r="M1131" s="36"/>
      <c r="N1131" s="36"/>
      <c r="O1131" s="36"/>
      <c r="P1131" s="36"/>
      <c r="Q1131" s="36"/>
      <c r="R1131" s="36"/>
      <c r="S1131" s="36"/>
      <c r="T1131" s="36"/>
      <c r="U1131" s="36"/>
      <c r="V1131" s="36"/>
      <c r="W1131" s="36"/>
      <c r="X1131" s="36"/>
      <c r="Y1131" s="36"/>
      <c r="Z1131" s="36"/>
      <c r="AA1131" s="36"/>
    </row>
    <row r="1132" spans="1:27">
      <c r="A1132" s="36"/>
      <c r="B1132" s="36"/>
      <c r="C1132" s="36"/>
      <c r="D1132" s="36"/>
      <c r="E1132" s="36"/>
      <c r="F1132" s="36"/>
      <c r="G1132" s="36"/>
      <c r="H1132" s="36"/>
      <c r="I1132" s="36"/>
      <c r="J1132" s="36"/>
      <c r="K1132" s="36"/>
      <c r="L1132" s="40"/>
      <c r="M1132" s="36"/>
      <c r="N1132" s="36"/>
      <c r="O1132" s="36"/>
      <c r="P1132" s="36"/>
      <c r="Q1132" s="36"/>
      <c r="R1132" s="36"/>
      <c r="S1132" s="36"/>
      <c r="T1132" s="36"/>
      <c r="U1132" s="36"/>
      <c r="V1132" s="36"/>
      <c r="W1132" s="36"/>
      <c r="X1132" s="36"/>
      <c r="Y1132" s="36"/>
      <c r="Z1132" s="36"/>
      <c r="AA1132" s="36"/>
    </row>
    <row r="1133" spans="1:27">
      <c r="A1133" s="36"/>
      <c r="B1133" s="36"/>
      <c r="C1133" s="36"/>
      <c r="D1133" s="36"/>
      <c r="E1133" s="36"/>
      <c r="F1133" s="36"/>
      <c r="G1133" s="36"/>
      <c r="H1133" s="36"/>
      <c r="I1133" s="36"/>
      <c r="J1133" s="36"/>
      <c r="K1133" s="36"/>
      <c r="L1133" s="40"/>
      <c r="M1133" s="36"/>
      <c r="N1133" s="36"/>
      <c r="O1133" s="36"/>
      <c r="P1133" s="36"/>
      <c r="Q1133" s="36"/>
      <c r="R1133" s="36"/>
      <c r="S1133" s="36"/>
      <c r="T1133" s="36"/>
      <c r="U1133" s="36"/>
      <c r="V1133" s="36"/>
      <c r="W1133" s="36"/>
      <c r="X1133" s="36"/>
      <c r="Y1133" s="36"/>
      <c r="Z1133" s="36"/>
      <c r="AA1133" s="36"/>
    </row>
    <row r="1134" spans="1:27">
      <c r="A1134" s="36"/>
      <c r="B1134" s="36"/>
      <c r="C1134" s="36"/>
      <c r="D1134" s="36"/>
      <c r="E1134" s="36"/>
      <c r="F1134" s="36"/>
      <c r="G1134" s="36"/>
      <c r="H1134" s="36"/>
      <c r="I1134" s="36"/>
      <c r="J1134" s="36"/>
      <c r="K1134" s="36"/>
      <c r="L1134" s="40"/>
      <c r="M1134" s="36"/>
      <c r="N1134" s="36"/>
      <c r="O1134" s="36"/>
      <c r="P1134" s="36"/>
      <c r="Q1134" s="36"/>
      <c r="R1134" s="36"/>
      <c r="S1134" s="36"/>
      <c r="T1134" s="36"/>
      <c r="U1134" s="36"/>
      <c r="V1134" s="36"/>
      <c r="W1134" s="36"/>
      <c r="X1134" s="36"/>
      <c r="Y1134" s="36"/>
      <c r="Z1134" s="36"/>
      <c r="AA1134" s="36"/>
    </row>
    <row r="1135" spans="1:27">
      <c r="A1135" s="36"/>
      <c r="B1135" s="36"/>
      <c r="C1135" s="36"/>
      <c r="D1135" s="36"/>
      <c r="E1135" s="36"/>
      <c r="F1135" s="36"/>
      <c r="G1135" s="36"/>
      <c r="H1135" s="36"/>
      <c r="I1135" s="36"/>
      <c r="J1135" s="36"/>
      <c r="K1135" s="36"/>
      <c r="L1135" s="40"/>
      <c r="M1135" s="36"/>
      <c r="N1135" s="36"/>
      <c r="O1135" s="36"/>
      <c r="P1135" s="36"/>
      <c r="Q1135" s="36"/>
      <c r="R1135" s="36"/>
      <c r="S1135" s="36"/>
      <c r="T1135" s="36"/>
      <c r="U1135" s="36"/>
      <c r="V1135" s="36"/>
      <c r="W1135" s="36"/>
      <c r="X1135" s="36"/>
      <c r="Y1135" s="36"/>
      <c r="Z1135" s="36"/>
      <c r="AA1135" s="36"/>
    </row>
    <row r="1136" spans="1:27">
      <c r="A1136" s="36"/>
      <c r="B1136" s="36"/>
      <c r="C1136" s="36"/>
      <c r="D1136" s="36"/>
      <c r="E1136" s="36"/>
      <c r="F1136" s="36"/>
      <c r="G1136" s="36"/>
      <c r="H1136" s="36"/>
      <c r="I1136" s="36"/>
      <c r="J1136" s="36"/>
      <c r="K1136" s="36"/>
      <c r="L1136" s="40"/>
      <c r="M1136" s="36"/>
      <c r="N1136" s="36"/>
      <c r="O1136" s="36"/>
      <c r="P1136" s="36"/>
      <c r="Q1136" s="36"/>
      <c r="R1136" s="36"/>
      <c r="S1136" s="36"/>
      <c r="T1136" s="36"/>
      <c r="U1136" s="36"/>
      <c r="V1136" s="36"/>
      <c r="W1136" s="36"/>
      <c r="X1136" s="36"/>
      <c r="Y1136" s="36"/>
      <c r="Z1136" s="36"/>
      <c r="AA1136" s="36"/>
    </row>
    <row r="1137" spans="1:27">
      <c r="A1137" s="36"/>
      <c r="B1137" s="36"/>
      <c r="C1137" s="36"/>
      <c r="D1137" s="36"/>
      <c r="E1137" s="36"/>
      <c r="F1137" s="36"/>
      <c r="G1137" s="36"/>
      <c r="H1137" s="36"/>
      <c r="I1137" s="36"/>
      <c r="J1137" s="36"/>
      <c r="K1137" s="36"/>
      <c r="L1137" s="40"/>
      <c r="M1137" s="36"/>
      <c r="N1137" s="36"/>
      <c r="O1137" s="36"/>
      <c r="P1137" s="36"/>
      <c r="Q1137" s="36"/>
      <c r="R1137" s="36"/>
      <c r="S1137" s="36"/>
      <c r="T1137" s="36"/>
      <c r="U1137" s="36"/>
      <c r="V1137" s="36"/>
      <c r="W1137" s="36"/>
      <c r="X1137" s="36"/>
      <c r="Y1137" s="36"/>
      <c r="Z1137" s="36"/>
      <c r="AA1137" s="36"/>
    </row>
    <row r="1138" spans="1:27">
      <c r="A1138" s="36"/>
      <c r="B1138" s="36"/>
      <c r="C1138" s="36"/>
      <c r="D1138" s="36"/>
      <c r="E1138" s="36"/>
      <c r="F1138" s="36"/>
      <c r="G1138" s="36"/>
      <c r="H1138" s="36"/>
      <c r="I1138" s="36"/>
      <c r="J1138" s="36"/>
      <c r="K1138" s="36"/>
      <c r="L1138" s="40"/>
      <c r="M1138" s="36"/>
      <c r="N1138" s="36"/>
      <c r="O1138" s="36"/>
      <c r="P1138" s="36"/>
      <c r="Q1138" s="36"/>
      <c r="R1138" s="36"/>
      <c r="S1138" s="36"/>
      <c r="T1138" s="36"/>
      <c r="U1138" s="36"/>
      <c r="V1138" s="36"/>
      <c r="W1138" s="36"/>
      <c r="X1138" s="36"/>
      <c r="Y1138" s="36"/>
      <c r="Z1138" s="36"/>
      <c r="AA1138" s="36"/>
    </row>
    <row r="1139" spans="1:27">
      <c r="A1139" s="36"/>
      <c r="B1139" s="36"/>
      <c r="C1139" s="36"/>
      <c r="D1139" s="36"/>
      <c r="E1139" s="36"/>
      <c r="F1139" s="36"/>
      <c r="G1139" s="36"/>
      <c r="H1139" s="36"/>
      <c r="I1139" s="36"/>
      <c r="J1139" s="36"/>
      <c r="K1139" s="36"/>
      <c r="L1139" s="40"/>
      <c r="M1139" s="36"/>
      <c r="N1139" s="36"/>
      <c r="O1139" s="36"/>
      <c r="P1139" s="36"/>
      <c r="Q1139" s="36"/>
      <c r="R1139" s="36"/>
      <c r="S1139" s="36"/>
      <c r="T1139" s="36"/>
      <c r="U1139" s="36"/>
      <c r="V1139" s="36"/>
      <c r="W1139" s="36"/>
      <c r="X1139" s="36"/>
      <c r="Y1139" s="36"/>
      <c r="Z1139" s="36"/>
      <c r="AA1139" s="36"/>
    </row>
    <row r="1140" spans="1:27">
      <c r="A1140" s="36"/>
      <c r="B1140" s="36"/>
      <c r="C1140" s="36"/>
      <c r="D1140" s="36"/>
      <c r="E1140" s="36"/>
      <c r="F1140" s="36"/>
      <c r="G1140" s="36"/>
      <c r="H1140" s="36"/>
      <c r="I1140" s="36"/>
      <c r="J1140" s="36"/>
      <c r="K1140" s="36"/>
      <c r="L1140" s="40"/>
      <c r="M1140" s="36"/>
      <c r="N1140" s="36"/>
      <c r="O1140" s="36"/>
      <c r="P1140" s="36"/>
      <c r="Q1140" s="36"/>
      <c r="R1140" s="36"/>
      <c r="S1140" s="36"/>
      <c r="T1140" s="36"/>
      <c r="U1140" s="36"/>
      <c r="V1140" s="36"/>
      <c r="W1140" s="36"/>
      <c r="X1140" s="36"/>
      <c r="Y1140" s="36"/>
      <c r="Z1140" s="36"/>
      <c r="AA1140" s="36"/>
    </row>
    <row r="1141" spans="1:27">
      <c r="A1141" s="36"/>
      <c r="B1141" s="36"/>
      <c r="C1141" s="36"/>
      <c r="D1141" s="36"/>
      <c r="E1141" s="36"/>
      <c r="F1141" s="36"/>
      <c r="G1141" s="36"/>
      <c r="H1141" s="36"/>
      <c r="I1141" s="36"/>
      <c r="J1141" s="36"/>
      <c r="K1141" s="36"/>
      <c r="L1141" s="40"/>
      <c r="M1141" s="36"/>
      <c r="N1141" s="36"/>
      <c r="O1141" s="36"/>
      <c r="P1141" s="36"/>
      <c r="Q1141" s="36"/>
      <c r="R1141" s="36"/>
      <c r="S1141" s="36"/>
      <c r="T1141" s="36"/>
      <c r="U1141" s="36"/>
      <c r="V1141" s="36"/>
      <c r="W1141" s="36"/>
      <c r="X1141" s="36"/>
      <c r="Y1141" s="36"/>
      <c r="Z1141" s="36"/>
      <c r="AA1141" s="36"/>
    </row>
    <row r="1142" spans="1:27">
      <c r="A1142" s="36"/>
      <c r="B1142" s="36"/>
      <c r="C1142" s="36"/>
      <c r="D1142" s="36"/>
      <c r="E1142" s="36"/>
      <c r="F1142" s="36"/>
      <c r="G1142" s="36"/>
      <c r="H1142" s="36"/>
      <c r="I1142" s="36"/>
      <c r="J1142" s="36"/>
      <c r="K1142" s="36"/>
      <c r="L1142" s="40"/>
      <c r="M1142" s="36"/>
      <c r="N1142" s="36"/>
      <c r="O1142" s="36"/>
      <c r="P1142" s="36"/>
      <c r="Q1142" s="36"/>
      <c r="R1142" s="36"/>
      <c r="S1142" s="36"/>
      <c r="T1142" s="36"/>
      <c r="U1142" s="36"/>
      <c r="V1142" s="36"/>
      <c r="W1142" s="36"/>
      <c r="X1142" s="36"/>
      <c r="Y1142" s="36"/>
      <c r="Z1142" s="36"/>
      <c r="AA1142" s="36"/>
    </row>
    <row r="1143" spans="1:27">
      <c r="A1143" s="36"/>
      <c r="B1143" s="36"/>
      <c r="C1143" s="36"/>
      <c r="D1143" s="36"/>
      <c r="E1143" s="36"/>
      <c r="F1143" s="36"/>
      <c r="G1143" s="36"/>
      <c r="H1143" s="36"/>
      <c r="I1143" s="36"/>
      <c r="J1143" s="36"/>
      <c r="K1143" s="36"/>
      <c r="L1143" s="40"/>
      <c r="M1143" s="36"/>
      <c r="N1143" s="36"/>
      <c r="O1143" s="36"/>
      <c r="P1143" s="36"/>
      <c r="Q1143" s="36"/>
      <c r="R1143" s="36"/>
      <c r="S1143" s="36"/>
      <c r="T1143" s="36"/>
      <c r="U1143" s="36"/>
      <c r="V1143" s="36"/>
      <c r="W1143" s="36"/>
      <c r="X1143" s="36"/>
      <c r="Y1143" s="36"/>
      <c r="Z1143" s="36"/>
      <c r="AA1143" s="36"/>
    </row>
    <row r="1144" spans="1:27">
      <c r="A1144" s="36"/>
      <c r="B1144" s="36"/>
      <c r="C1144" s="36"/>
      <c r="D1144" s="36"/>
      <c r="E1144" s="36"/>
      <c r="F1144" s="36"/>
      <c r="G1144" s="36"/>
      <c r="H1144" s="36"/>
      <c r="I1144" s="36"/>
      <c r="J1144" s="36"/>
      <c r="K1144" s="36"/>
      <c r="L1144" s="40"/>
      <c r="M1144" s="36"/>
      <c r="N1144" s="36"/>
      <c r="O1144" s="36"/>
      <c r="P1144" s="36"/>
      <c r="Q1144" s="36"/>
      <c r="R1144" s="36"/>
      <c r="S1144" s="36"/>
      <c r="T1144" s="36"/>
      <c r="U1144" s="36"/>
      <c r="V1144" s="36"/>
      <c r="W1144" s="36"/>
      <c r="X1144" s="36"/>
      <c r="Y1144" s="36"/>
      <c r="Z1144" s="36"/>
      <c r="AA1144" s="36"/>
    </row>
    <row r="1145" spans="1:27">
      <c r="A1145" s="36"/>
      <c r="B1145" s="36"/>
      <c r="C1145" s="36"/>
      <c r="D1145" s="36"/>
      <c r="E1145" s="36"/>
      <c r="F1145" s="36"/>
      <c r="G1145" s="36"/>
      <c r="H1145" s="36"/>
      <c r="I1145" s="36"/>
      <c r="J1145" s="36"/>
      <c r="K1145" s="36"/>
      <c r="L1145" s="40"/>
      <c r="M1145" s="36"/>
      <c r="N1145" s="36"/>
      <c r="O1145" s="36"/>
      <c r="P1145" s="36"/>
      <c r="Q1145" s="36"/>
      <c r="R1145" s="36"/>
      <c r="S1145" s="36"/>
      <c r="T1145" s="36"/>
      <c r="U1145" s="36"/>
      <c r="V1145" s="36"/>
      <c r="W1145" s="36"/>
      <c r="X1145" s="36"/>
      <c r="Y1145" s="36"/>
      <c r="Z1145" s="36"/>
      <c r="AA1145" s="36"/>
    </row>
    <row r="1146" spans="1:27">
      <c r="A1146" s="36"/>
      <c r="B1146" s="36"/>
      <c r="C1146" s="36"/>
      <c r="D1146" s="36"/>
      <c r="E1146" s="36"/>
      <c r="F1146" s="36"/>
      <c r="G1146" s="36"/>
      <c r="H1146" s="36"/>
      <c r="I1146" s="36"/>
      <c r="J1146" s="36"/>
      <c r="K1146" s="36"/>
      <c r="L1146" s="40"/>
      <c r="M1146" s="36"/>
      <c r="N1146" s="36"/>
      <c r="O1146" s="36"/>
      <c r="P1146" s="36"/>
      <c r="Q1146" s="36"/>
      <c r="R1146" s="36"/>
      <c r="S1146" s="36"/>
      <c r="T1146" s="36"/>
      <c r="U1146" s="36"/>
      <c r="V1146" s="36"/>
      <c r="W1146" s="36"/>
      <c r="X1146" s="36"/>
      <c r="Y1146" s="36"/>
      <c r="Z1146" s="36"/>
      <c r="AA1146" s="36"/>
    </row>
    <row r="1147" spans="1:27">
      <c r="A1147" s="36"/>
      <c r="B1147" s="36"/>
      <c r="C1147" s="36"/>
      <c r="D1147" s="36"/>
      <c r="E1147" s="36"/>
      <c r="F1147" s="36"/>
      <c r="G1147" s="36"/>
      <c r="H1147" s="36"/>
      <c r="I1147" s="36"/>
      <c r="J1147" s="36"/>
      <c r="K1147" s="36"/>
      <c r="L1147" s="40"/>
      <c r="M1147" s="36"/>
      <c r="N1147" s="36"/>
      <c r="O1147" s="36"/>
      <c r="P1147" s="36"/>
      <c r="Q1147" s="36"/>
      <c r="R1147" s="36"/>
      <c r="S1147" s="36"/>
      <c r="T1147" s="36"/>
      <c r="U1147" s="36"/>
      <c r="V1147" s="36"/>
      <c r="W1147" s="36"/>
      <c r="X1147" s="36"/>
      <c r="Y1147" s="36"/>
      <c r="Z1147" s="36"/>
      <c r="AA1147" s="36"/>
    </row>
    <row r="1148" spans="1:27">
      <c r="A1148" s="36"/>
      <c r="B1148" s="36"/>
      <c r="C1148" s="36"/>
      <c r="D1148" s="36"/>
      <c r="E1148" s="36"/>
      <c r="F1148" s="36"/>
      <c r="G1148" s="36"/>
      <c r="H1148" s="36"/>
      <c r="I1148" s="36"/>
      <c r="J1148" s="36"/>
      <c r="K1148" s="36"/>
      <c r="L1148" s="40"/>
      <c r="M1148" s="36"/>
      <c r="N1148" s="36"/>
      <c r="O1148" s="36"/>
      <c r="P1148" s="36"/>
      <c r="Q1148" s="36"/>
      <c r="R1148" s="36"/>
      <c r="S1148" s="36"/>
      <c r="T1148" s="36"/>
      <c r="U1148" s="36"/>
      <c r="V1148" s="36"/>
      <c r="W1148" s="36"/>
      <c r="X1148" s="36"/>
      <c r="Y1148" s="36"/>
      <c r="Z1148" s="36"/>
      <c r="AA1148" s="36"/>
    </row>
    <row r="1149" spans="1:27">
      <c r="A1149" s="36"/>
      <c r="B1149" s="36"/>
      <c r="C1149" s="36"/>
      <c r="D1149" s="36"/>
      <c r="E1149" s="36"/>
      <c r="F1149" s="36"/>
      <c r="G1149" s="36"/>
      <c r="H1149" s="36"/>
      <c r="I1149" s="36"/>
      <c r="J1149" s="36"/>
      <c r="K1149" s="36"/>
      <c r="L1149" s="40"/>
      <c r="M1149" s="36"/>
      <c r="N1149" s="36"/>
      <c r="O1149" s="36"/>
      <c r="P1149" s="36"/>
      <c r="Q1149" s="36"/>
      <c r="R1149" s="36"/>
      <c r="S1149" s="36"/>
      <c r="T1149" s="36"/>
      <c r="U1149" s="36"/>
      <c r="V1149" s="36"/>
      <c r="W1149" s="36"/>
      <c r="X1149" s="36"/>
      <c r="Y1149" s="36"/>
      <c r="Z1149" s="36"/>
      <c r="AA1149" s="36"/>
    </row>
    <row r="1150" spans="1:27">
      <c r="A1150" s="36"/>
      <c r="B1150" s="36"/>
      <c r="C1150" s="36"/>
      <c r="D1150" s="36"/>
      <c r="E1150" s="36"/>
      <c r="F1150" s="36"/>
      <c r="G1150" s="36"/>
      <c r="H1150" s="36"/>
      <c r="I1150" s="36"/>
      <c r="J1150" s="36"/>
      <c r="K1150" s="36"/>
      <c r="L1150" s="40"/>
      <c r="M1150" s="36"/>
      <c r="N1150" s="36"/>
      <c r="O1150" s="36"/>
      <c r="P1150" s="36"/>
      <c r="Q1150" s="36"/>
      <c r="R1150" s="36"/>
      <c r="S1150" s="36"/>
      <c r="T1150" s="36"/>
      <c r="U1150" s="36"/>
      <c r="V1150" s="36"/>
      <c r="W1150" s="36"/>
      <c r="X1150" s="36"/>
      <c r="Y1150" s="36"/>
      <c r="Z1150" s="36"/>
      <c r="AA1150" s="36"/>
    </row>
    <row r="1151" spans="1:27">
      <c r="A1151" s="36"/>
      <c r="B1151" s="36"/>
      <c r="C1151" s="36"/>
      <c r="D1151" s="36"/>
      <c r="E1151" s="36"/>
      <c r="F1151" s="36"/>
      <c r="G1151" s="36"/>
      <c r="H1151" s="36"/>
      <c r="I1151" s="36"/>
      <c r="J1151" s="36"/>
      <c r="K1151" s="36"/>
      <c r="L1151" s="40"/>
      <c r="M1151" s="36"/>
      <c r="N1151" s="36"/>
      <c r="O1151" s="36"/>
      <c r="P1151" s="36"/>
      <c r="Q1151" s="36"/>
      <c r="R1151" s="36"/>
      <c r="S1151" s="36"/>
      <c r="T1151" s="36"/>
      <c r="U1151" s="36"/>
      <c r="V1151" s="36"/>
      <c r="W1151" s="36"/>
      <c r="X1151" s="36"/>
      <c r="Y1151" s="36"/>
      <c r="Z1151" s="36"/>
      <c r="AA1151" s="36"/>
    </row>
    <row r="1152" spans="1:27">
      <c r="A1152" s="36"/>
      <c r="B1152" s="36"/>
      <c r="C1152" s="36"/>
      <c r="D1152" s="36"/>
      <c r="E1152" s="36"/>
      <c r="F1152" s="36"/>
      <c r="G1152" s="36"/>
      <c r="H1152" s="36"/>
      <c r="I1152" s="36"/>
      <c r="J1152" s="36"/>
      <c r="K1152" s="36"/>
      <c r="L1152" s="40"/>
      <c r="M1152" s="36"/>
      <c r="N1152" s="36"/>
      <c r="O1152" s="36"/>
      <c r="P1152" s="36"/>
      <c r="Q1152" s="36"/>
      <c r="R1152" s="36"/>
      <c r="S1152" s="36"/>
      <c r="T1152" s="36"/>
      <c r="U1152" s="36"/>
      <c r="V1152" s="36"/>
      <c r="W1152" s="36"/>
      <c r="X1152" s="36"/>
      <c r="Y1152" s="36"/>
      <c r="Z1152" s="36"/>
      <c r="AA1152" s="36"/>
    </row>
    <row r="1153" spans="1:27">
      <c r="A1153" s="36"/>
      <c r="B1153" s="36"/>
      <c r="C1153" s="36"/>
      <c r="D1153" s="36"/>
      <c r="E1153" s="36"/>
      <c r="F1153" s="36"/>
      <c r="G1153" s="36"/>
      <c r="H1153" s="36"/>
      <c r="I1153" s="36"/>
      <c r="J1153" s="36"/>
      <c r="K1153" s="36"/>
      <c r="L1153" s="40"/>
      <c r="M1153" s="36"/>
      <c r="N1153" s="36"/>
      <c r="O1153" s="36"/>
      <c r="P1153" s="36"/>
      <c r="Q1153" s="36"/>
      <c r="R1153" s="36"/>
      <c r="S1153" s="36"/>
      <c r="T1153" s="36"/>
      <c r="U1153" s="36"/>
      <c r="V1153" s="36"/>
      <c r="W1153" s="36"/>
      <c r="X1153" s="36"/>
      <c r="Y1153" s="36"/>
      <c r="Z1153" s="36"/>
      <c r="AA1153" s="36"/>
    </row>
    <row r="1154" spans="1:27">
      <c r="A1154" s="36"/>
      <c r="B1154" s="36"/>
      <c r="C1154" s="36"/>
      <c r="D1154" s="36"/>
      <c r="E1154" s="36"/>
      <c r="F1154" s="36"/>
      <c r="G1154" s="36"/>
      <c r="H1154" s="36"/>
      <c r="I1154" s="36"/>
      <c r="J1154" s="36"/>
      <c r="K1154" s="36"/>
      <c r="L1154" s="40"/>
      <c r="M1154" s="36"/>
      <c r="N1154" s="36"/>
      <c r="O1154" s="36"/>
      <c r="P1154" s="36"/>
      <c r="Q1154" s="36"/>
      <c r="R1154" s="36"/>
      <c r="S1154" s="36"/>
      <c r="T1154" s="36"/>
      <c r="U1154" s="36"/>
      <c r="V1154" s="36"/>
      <c r="W1154" s="36"/>
      <c r="X1154" s="36"/>
      <c r="Y1154" s="36"/>
      <c r="Z1154" s="36"/>
      <c r="AA1154" s="36"/>
    </row>
    <row r="1155" spans="1:27">
      <c r="A1155" s="36"/>
      <c r="B1155" s="36"/>
      <c r="C1155" s="36"/>
      <c r="D1155" s="36"/>
      <c r="E1155" s="36"/>
      <c r="F1155" s="36"/>
      <c r="G1155" s="36"/>
      <c r="H1155" s="36"/>
      <c r="I1155" s="36"/>
      <c r="J1155" s="36"/>
      <c r="K1155" s="36"/>
      <c r="L1155" s="40"/>
      <c r="M1155" s="36"/>
      <c r="N1155" s="36"/>
      <c r="O1155" s="36"/>
      <c r="P1155" s="36"/>
      <c r="Q1155" s="36"/>
      <c r="R1155" s="36"/>
      <c r="S1155" s="36"/>
      <c r="T1155" s="36"/>
      <c r="U1155" s="36"/>
      <c r="V1155" s="36"/>
      <c r="W1155" s="36"/>
      <c r="X1155" s="36"/>
      <c r="Y1155" s="36"/>
      <c r="Z1155" s="36"/>
      <c r="AA1155" s="36"/>
    </row>
    <row r="1156" spans="1:27">
      <c r="A1156" s="36"/>
      <c r="B1156" s="36"/>
      <c r="C1156" s="36"/>
      <c r="D1156" s="36"/>
      <c r="E1156" s="36"/>
      <c r="F1156" s="36"/>
      <c r="G1156" s="36"/>
      <c r="H1156" s="36"/>
      <c r="I1156" s="36"/>
      <c r="J1156" s="36"/>
      <c r="K1156" s="36"/>
      <c r="L1156" s="40"/>
      <c r="M1156" s="36"/>
      <c r="N1156" s="36"/>
      <c r="O1156" s="36"/>
      <c r="P1156" s="36"/>
      <c r="Q1156" s="36"/>
      <c r="R1156" s="36"/>
      <c r="S1156" s="36"/>
      <c r="T1156" s="36"/>
      <c r="U1156" s="36"/>
      <c r="V1156" s="36"/>
      <c r="W1156" s="36"/>
      <c r="X1156" s="36"/>
      <c r="Y1156" s="36"/>
      <c r="Z1156" s="36"/>
      <c r="AA1156" s="36"/>
    </row>
    <row r="1157" spans="1:27">
      <c r="A1157" s="36"/>
      <c r="B1157" s="36"/>
      <c r="C1157" s="36"/>
      <c r="D1157" s="36"/>
      <c r="E1157" s="36"/>
      <c r="F1157" s="36"/>
      <c r="G1157" s="36"/>
      <c r="H1157" s="36"/>
      <c r="I1157" s="36"/>
      <c r="J1157" s="36"/>
      <c r="K1157" s="36"/>
      <c r="L1157" s="40"/>
      <c r="M1157" s="36"/>
      <c r="N1157" s="36"/>
      <c r="O1157" s="36"/>
      <c r="P1157" s="36"/>
      <c r="Q1157" s="36"/>
      <c r="R1157" s="36"/>
      <c r="S1157" s="36"/>
      <c r="T1157" s="36"/>
      <c r="U1157" s="36"/>
      <c r="V1157" s="36"/>
      <c r="W1157" s="36"/>
      <c r="X1157" s="36"/>
      <c r="Y1157" s="36"/>
      <c r="Z1157" s="36"/>
      <c r="AA1157" s="36"/>
    </row>
    <row r="1158" spans="1:27">
      <c r="A1158" s="36"/>
      <c r="B1158" s="36"/>
      <c r="C1158" s="36"/>
      <c r="D1158" s="36"/>
      <c r="E1158" s="36"/>
      <c r="F1158" s="36"/>
      <c r="G1158" s="36"/>
      <c r="H1158" s="36"/>
      <c r="I1158" s="36"/>
      <c r="J1158" s="36"/>
      <c r="K1158" s="36"/>
      <c r="L1158" s="40"/>
      <c r="M1158" s="36"/>
      <c r="N1158" s="36"/>
      <c r="O1158" s="36"/>
      <c r="P1158" s="36"/>
      <c r="Q1158" s="36"/>
      <c r="R1158" s="36"/>
      <c r="S1158" s="36"/>
      <c r="T1158" s="36"/>
      <c r="U1158" s="36"/>
      <c r="V1158" s="36"/>
      <c r="W1158" s="36"/>
      <c r="X1158" s="36"/>
      <c r="Y1158" s="36"/>
      <c r="Z1158" s="36"/>
      <c r="AA1158" s="36"/>
    </row>
    <row r="1159" spans="1:27">
      <c r="A1159" s="36"/>
      <c r="B1159" s="36"/>
      <c r="C1159" s="36"/>
      <c r="D1159" s="36"/>
      <c r="E1159" s="36"/>
      <c r="F1159" s="36"/>
      <c r="G1159" s="36"/>
      <c r="H1159" s="36"/>
      <c r="I1159" s="36"/>
      <c r="J1159" s="36"/>
      <c r="K1159" s="36"/>
      <c r="L1159" s="40"/>
      <c r="M1159" s="36"/>
      <c r="N1159" s="36"/>
      <c r="O1159" s="36"/>
      <c r="P1159" s="36"/>
      <c r="Q1159" s="36"/>
      <c r="R1159" s="36"/>
      <c r="S1159" s="36"/>
      <c r="T1159" s="36"/>
      <c r="U1159" s="36"/>
      <c r="V1159" s="36"/>
      <c r="W1159" s="36"/>
      <c r="X1159" s="36"/>
      <c r="Y1159" s="36"/>
      <c r="Z1159" s="36"/>
      <c r="AA1159" s="36"/>
    </row>
    <row r="1160" spans="1:27">
      <c r="A1160" s="36"/>
      <c r="B1160" s="36"/>
      <c r="C1160" s="36"/>
      <c r="D1160" s="36"/>
      <c r="E1160" s="36"/>
      <c r="F1160" s="36"/>
      <c r="G1160" s="36"/>
      <c r="H1160" s="36"/>
      <c r="I1160" s="36"/>
      <c r="J1160" s="36"/>
      <c r="K1160" s="36"/>
      <c r="L1160" s="40"/>
      <c r="M1160" s="36"/>
      <c r="N1160" s="36"/>
      <c r="O1160" s="36"/>
      <c r="P1160" s="36"/>
      <c r="Q1160" s="36"/>
      <c r="R1160" s="36"/>
      <c r="S1160" s="36"/>
      <c r="T1160" s="36"/>
      <c r="U1160" s="36"/>
      <c r="V1160" s="36"/>
      <c r="W1160" s="36"/>
      <c r="X1160" s="36"/>
      <c r="Y1160" s="36"/>
      <c r="Z1160" s="36"/>
      <c r="AA1160" s="36"/>
    </row>
    <row r="1161" spans="1:27">
      <c r="A1161" s="36"/>
      <c r="B1161" s="36"/>
      <c r="C1161" s="36"/>
      <c r="D1161" s="36"/>
      <c r="E1161" s="36"/>
      <c r="F1161" s="36"/>
      <c r="G1161" s="36"/>
      <c r="H1161" s="36"/>
      <c r="I1161" s="36"/>
      <c r="J1161" s="36"/>
      <c r="K1161" s="36"/>
      <c r="L1161" s="40"/>
      <c r="M1161" s="36"/>
      <c r="N1161" s="36"/>
      <c r="O1161" s="36"/>
      <c r="P1161" s="36"/>
      <c r="Q1161" s="36"/>
      <c r="R1161" s="36"/>
      <c r="S1161" s="36"/>
      <c r="T1161" s="36"/>
      <c r="U1161" s="36"/>
      <c r="V1161" s="36"/>
      <c r="W1161" s="36"/>
      <c r="X1161" s="36"/>
      <c r="Y1161" s="36"/>
      <c r="Z1161" s="36"/>
      <c r="AA1161" s="36"/>
    </row>
    <row r="1162" spans="1:27">
      <c r="A1162" s="36"/>
      <c r="B1162" s="36"/>
      <c r="C1162" s="36"/>
      <c r="D1162" s="36"/>
      <c r="E1162" s="36"/>
      <c r="F1162" s="36"/>
      <c r="G1162" s="36"/>
      <c r="H1162" s="36"/>
      <c r="I1162" s="36"/>
      <c r="J1162" s="36"/>
      <c r="K1162" s="36"/>
      <c r="L1162" s="40"/>
      <c r="M1162" s="36"/>
      <c r="N1162" s="36"/>
      <c r="O1162" s="36"/>
      <c r="P1162" s="36"/>
      <c r="Q1162" s="36"/>
      <c r="R1162" s="36"/>
      <c r="S1162" s="36"/>
      <c r="T1162" s="36"/>
      <c r="U1162" s="36"/>
      <c r="V1162" s="36"/>
      <c r="W1162" s="36"/>
      <c r="X1162" s="36"/>
      <c r="Y1162" s="36"/>
      <c r="Z1162" s="36"/>
      <c r="AA1162" s="36"/>
    </row>
    <row r="1163" spans="1:27">
      <c r="A1163" s="36"/>
      <c r="B1163" s="36"/>
      <c r="C1163" s="36"/>
      <c r="D1163" s="36"/>
      <c r="E1163" s="36"/>
      <c r="F1163" s="36"/>
      <c r="G1163" s="36"/>
      <c r="H1163" s="36"/>
      <c r="I1163" s="36"/>
      <c r="J1163" s="36"/>
      <c r="K1163" s="36"/>
      <c r="L1163" s="40"/>
      <c r="M1163" s="36"/>
      <c r="N1163" s="36"/>
      <c r="O1163" s="36"/>
      <c r="P1163" s="36"/>
      <c r="Q1163" s="36"/>
      <c r="R1163" s="36"/>
      <c r="S1163" s="36"/>
      <c r="T1163" s="36"/>
      <c r="U1163" s="36"/>
      <c r="V1163" s="36"/>
      <c r="W1163" s="36"/>
      <c r="X1163" s="36"/>
      <c r="Y1163" s="36"/>
      <c r="Z1163" s="36"/>
      <c r="AA1163" s="36"/>
    </row>
    <row r="1164" spans="1:27">
      <c r="A1164" s="36"/>
      <c r="B1164" s="36"/>
      <c r="C1164" s="36"/>
      <c r="D1164" s="36"/>
      <c r="E1164" s="36"/>
      <c r="F1164" s="36"/>
      <c r="G1164" s="36"/>
      <c r="H1164" s="36"/>
      <c r="I1164" s="36"/>
      <c r="J1164" s="36"/>
      <c r="K1164" s="36"/>
      <c r="L1164" s="40"/>
      <c r="M1164" s="36"/>
      <c r="N1164" s="36"/>
      <c r="O1164" s="36"/>
      <c r="P1164" s="36"/>
      <c r="Q1164" s="36"/>
      <c r="R1164" s="36"/>
      <c r="S1164" s="36"/>
      <c r="T1164" s="36"/>
      <c r="U1164" s="36"/>
      <c r="V1164" s="36"/>
      <c r="W1164" s="36"/>
      <c r="X1164" s="36"/>
      <c r="Y1164" s="36"/>
      <c r="Z1164" s="36"/>
      <c r="AA1164" s="36"/>
    </row>
    <row r="1165" spans="1:27">
      <c r="A1165" s="36"/>
      <c r="B1165" s="36"/>
      <c r="C1165" s="36"/>
      <c r="D1165" s="36"/>
      <c r="E1165" s="36"/>
      <c r="F1165" s="36"/>
      <c r="G1165" s="36"/>
      <c r="H1165" s="36"/>
      <c r="I1165" s="36"/>
      <c r="J1165" s="36"/>
      <c r="K1165" s="36"/>
      <c r="L1165" s="40"/>
      <c r="M1165" s="36"/>
      <c r="N1165" s="36"/>
      <c r="O1165" s="36"/>
      <c r="P1165" s="36"/>
      <c r="Q1165" s="36"/>
      <c r="R1165" s="36"/>
      <c r="S1165" s="36"/>
      <c r="T1165" s="36"/>
      <c r="U1165" s="36"/>
      <c r="V1165" s="36"/>
      <c r="W1165" s="36"/>
      <c r="X1165" s="36"/>
      <c r="Y1165" s="36"/>
      <c r="Z1165" s="36"/>
      <c r="AA1165" s="36"/>
    </row>
    <row r="1166" spans="1:27">
      <c r="A1166" s="36"/>
      <c r="B1166" s="36"/>
      <c r="C1166" s="36"/>
      <c r="D1166" s="36"/>
      <c r="E1166" s="36"/>
      <c r="F1166" s="36"/>
      <c r="G1166" s="36"/>
      <c r="H1166" s="36"/>
      <c r="I1166" s="36"/>
      <c r="J1166" s="36"/>
      <c r="K1166" s="36"/>
      <c r="L1166" s="40"/>
      <c r="M1166" s="36"/>
      <c r="N1166" s="36"/>
      <c r="O1166" s="36"/>
      <c r="P1166" s="36"/>
      <c r="Q1166" s="36"/>
      <c r="R1166" s="36"/>
      <c r="S1166" s="36"/>
      <c r="T1166" s="36"/>
      <c r="U1166" s="36"/>
      <c r="V1166" s="36"/>
      <c r="W1166" s="36"/>
      <c r="X1166" s="36"/>
      <c r="Y1166" s="36"/>
      <c r="Z1166" s="36"/>
      <c r="AA1166" s="36"/>
    </row>
    <row r="1167" spans="1:27">
      <c r="A1167" s="36"/>
      <c r="B1167" s="36"/>
      <c r="C1167" s="36"/>
      <c r="D1167" s="36"/>
      <c r="E1167" s="36"/>
      <c r="F1167" s="36"/>
      <c r="G1167" s="36"/>
      <c r="H1167" s="36"/>
      <c r="I1167" s="36"/>
      <c r="J1167" s="36"/>
      <c r="K1167" s="36"/>
      <c r="L1167" s="40"/>
      <c r="M1167" s="36"/>
      <c r="N1167" s="36"/>
      <c r="O1167" s="36"/>
      <c r="P1167" s="36"/>
      <c r="Q1167" s="36"/>
      <c r="R1167" s="36"/>
      <c r="S1167" s="36"/>
      <c r="T1167" s="36"/>
      <c r="U1167" s="36"/>
      <c r="V1167" s="36"/>
      <c r="W1167" s="36"/>
      <c r="X1167" s="36"/>
      <c r="Y1167" s="36"/>
      <c r="Z1167" s="36"/>
      <c r="AA1167" s="36"/>
    </row>
    <row r="1168" spans="1:27">
      <c r="A1168" s="36"/>
      <c r="B1168" s="36"/>
      <c r="C1168" s="36"/>
      <c r="D1168" s="36"/>
      <c r="E1168" s="36"/>
      <c r="F1168" s="36"/>
      <c r="G1168" s="36"/>
      <c r="H1168" s="36"/>
      <c r="I1168" s="36"/>
      <c r="J1168" s="36"/>
      <c r="K1168" s="36"/>
      <c r="L1168" s="40"/>
      <c r="M1168" s="36"/>
      <c r="N1168" s="36"/>
      <c r="O1168" s="36"/>
      <c r="P1168" s="36"/>
      <c r="Q1168" s="36"/>
      <c r="R1168" s="36"/>
      <c r="S1168" s="36"/>
      <c r="T1168" s="36"/>
      <c r="U1168" s="36"/>
      <c r="V1168" s="36"/>
      <c r="W1168" s="36"/>
      <c r="X1168" s="36"/>
      <c r="Y1168" s="36"/>
      <c r="Z1168" s="36"/>
      <c r="AA1168" s="36"/>
    </row>
    <row r="1169" spans="1:27">
      <c r="A1169" s="36"/>
      <c r="B1169" s="36"/>
      <c r="C1169" s="36"/>
      <c r="D1169" s="36"/>
      <c r="E1169" s="36"/>
      <c r="F1169" s="36"/>
      <c r="G1169" s="36"/>
      <c r="H1169" s="36"/>
      <c r="I1169" s="36"/>
      <c r="J1169" s="36"/>
      <c r="K1169" s="36"/>
      <c r="L1169" s="40"/>
      <c r="M1169" s="36"/>
      <c r="N1169" s="36"/>
      <c r="O1169" s="36"/>
      <c r="P1169" s="36"/>
      <c r="Q1169" s="36"/>
      <c r="R1169" s="36"/>
      <c r="S1169" s="36"/>
      <c r="T1169" s="36"/>
      <c r="U1169" s="36"/>
      <c r="V1169" s="36"/>
      <c r="W1169" s="36"/>
      <c r="X1169" s="36"/>
      <c r="Y1169" s="36"/>
      <c r="Z1169" s="36"/>
      <c r="AA1169" s="36"/>
    </row>
    <row r="1170" spans="1:27">
      <c r="A1170" s="36"/>
      <c r="B1170" s="36"/>
      <c r="C1170" s="36"/>
      <c r="D1170" s="36"/>
      <c r="E1170" s="36"/>
      <c r="F1170" s="36"/>
      <c r="G1170" s="36"/>
      <c r="H1170" s="36"/>
      <c r="I1170" s="36"/>
      <c r="J1170" s="36"/>
      <c r="K1170" s="36"/>
      <c r="L1170" s="40"/>
      <c r="M1170" s="36"/>
      <c r="N1170" s="36"/>
      <c r="O1170" s="36"/>
      <c r="P1170" s="36"/>
      <c r="Q1170" s="36"/>
      <c r="R1170" s="36"/>
      <c r="S1170" s="36"/>
      <c r="T1170" s="36"/>
      <c r="U1170" s="36"/>
      <c r="V1170" s="36"/>
      <c r="W1170" s="36"/>
      <c r="X1170" s="36"/>
      <c r="Y1170" s="36"/>
      <c r="Z1170" s="36"/>
      <c r="AA1170" s="36"/>
    </row>
    <row r="1171" spans="1:27">
      <c r="A1171" s="36"/>
      <c r="B1171" s="36"/>
      <c r="C1171" s="36"/>
      <c r="D1171" s="36"/>
      <c r="E1171" s="36"/>
      <c r="F1171" s="36"/>
      <c r="G1171" s="36"/>
      <c r="H1171" s="36"/>
      <c r="I1171" s="36"/>
      <c r="J1171" s="36"/>
      <c r="K1171" s="36"/>
      <c r="L1171" s="40"/>
      <c r="M1171" s="36"/>
      <c r="N1171" s="36"/>
      <c r="O1171" s="36"/>
      <c r="P1171" s="36"/>
      <c r="Q1171" s="36"/>
      <c r="R1171" s="36"/>
      <c r="S1171" s="36"/>
      <c r="T1171" s="36"/>
      <c r="U1171" s="36"/>
      <c r="V1171" s="36"/>
      <c r="W1171" s="36"/>
      <c r="X1171" s="36"/>
      <c r="Y1171" s="36"/>
      <c r="Z1171" s="36"/>
      <c r="AA1171" s="36"/>
    </row>
    <row r="1172" spans="1:27">
      <c r="A1172" s="36"/>
      <c r="B1172" s="36"/>
      <c r="C1172" s="36"/>
      <c r="D1172" s="36"/>
      <c r="E1172" s="36"/>
      <c r="F1172" s="36"/>
      <c r="G1172" s="36"/>
      <c r="H1172" s="36"/>
      <c r="I1172" s="36"/>
      <c r="J1172" s="36"/>
      <c r="K1172" s="36"/>
      <c r="L1172" s="40"/>
      <c r="M1172" s="36"/>
      <c r="N1172" s="36"/>
      <c r="O1172" s="36"/>
      <c r="P1172" s="36"/>
      <c r="Q1172" s="36"/>
      <c r="R1172" s="36"/>
      <c r="S1172" s="36"/>
      <c r="T1172" s="36"/>
      <c r="U1172" s="36"/>
      <c r="V1172" s="36"/>
      <c r="W1172" s="36"/>
      <c r="X1172" s="36"/>
      <c r="Y1172" s="36"/>
      <c r="Z1172" s="36"/>
      <c r="AA1172" s="36"/>
    </row>
    <row r="1173" spans="1:27">
      <c r="A1173" s="36"/>
      <c r="B1173" s="36"/>
      <c r="C1173" s="36"/>
      <c r="D1173" s="36"/>
      <c r="E1173" s="36"/>
      <c r="F1173" s="36"/>
      <c r="G1173" s="36"/>
      <c r="H1173" s="36"/>
      <c r="I1173" s="36"/>
      <c r="J1173" s="36"/>
      <c r="K1173" s="36"/>
      <c r="L1173" s="40"/>
      <c r="M1173" s="36"/>
      <c r="N1173" s="36"/>
      <c r="O1173" s="36"/>
      <c r="P1173" s="36"/>
      <c r="Q1173" s="36"/>
      <c r="R1173" s="36"/>
      <c r="S1173" s="36"/>
      <c r="T1173" s="36"/>
      <c r="U1173" s="36"/>
      <c r="V1173" s="36"/>
      <c r="W1173" s="36"/>
      <c r="X1173" s="36"/>
      <c r="Y1173" s="36"/>
      <c r="Z1173" s="36"/>
      <c r="AA1173" s="36"/>
    </row>
    <row r="1174" spans="1:27">
      <c r="A1174" s="36"/>
      <c r="B1174" s="36"/>
      <c r="C1174" s="36"/>
      <c r="D1174" s="36"/>
      <c r="E1174" s="36"/>
      <c r="F1174" s="36"/>
      <c r="G1174" s="36"/>
      <c r="H1174" s="36"/>
      <c r="I1174" s="36"/>
      <c r="J1174" s="36"/>
      <c r="K1174" s="36"/>
      <c r="L1174" s="40"/>
      <c r="M1174" s="36"/>
      <c r="N1174" s="36"/>
      <c r="O1174" s="36"/>
      <c r="P1174" s="36"/>
      <c r="Q1174" s="36"/>
      <c r="R1174" s="36"/>
      <c r="S1174" s="36"/>
      <c r="T1174" s="36"/>
      <c r="U1174" s="36"/>
      <c r="V1174" s="36"/>
      <c r="W1174" s="36"/>
      <c r="X1174" s="36"/>
      <c r="Y1174" s="36"/>
      <c r="Z1174" s="36"/>
      <c r="AA1174" s="36"/>
    </row>
    <row r="1175" spans="1:27">
      <c r="A1175" s="36"/>
      <c r="B1175" s="36"/>
      <c r="C1175" s="36"/>
      <c r="D1175" s="36"/>
      <c r="E1175" s="36"/>
      <c r="F1175" s="36"/>
      <c r="G1175" s="36"/>
      <c r="H1175" s="36"/>
      <c r="I1175" s="36"/>
      <c r="J1175" s="36"/>
      <c r="K1175" s="36"/>
      <c r="L1175" s="40"/>
      <c r="M1175" s="36"/>
      <c r="N1175" s="36"/>
      <c r="O1175" s="36"/>
      <c r="P1175" s="36"/>
      <c r="Q1175" s="36"/>
      <c r="R1175" s="36"/>
      <c r="S1175" s="36"/>
      <c r="T1175" s="36"/>
      <c r="U1175" s="36"/>
      <c r="V1175" s="36"/>
      <c r="W1175" s="36"/>
      <c r="X1175" s="36"/>
      <c r="Y1175" s="36"/>
      <c r="Z1175" s="36"/>
      <c r="AA1175" s="36"/>
    </row>
    <row r="1176" spans="1:27">
      <c r="A1176" s="36"/>
      <c r="B1176" s="36"/>
      <c r="C1176" s="36"/>
      <c r="D1176" s="36"/>
      <c r="E1176" s="36"/>
      <c r="F1176" s="36"/>
      <c r="G1176" s="36"/>
      <c r="H1176" s="36"/>
      <c r="I1176" s="36"/>
      <c r="J1176" s="36"/>
      <c r="K1176" s="36"/>
      <c r="L1176" s="40"/>
      <c r="M1176" s="36"/>
      <c r="N1176" s="36"/>
      <c r="O1176" s="36"/>
      <c r="P1176" s="36"/>
      <c r="Q1176" s="36"/>
      <c r="R1176" s="36"/>
      <c r="S1176" s="36"/>
      <c r="T1176" s="36"/>
      <c r="U1176" s="36"/>
      <c r="V1176" s="36"/>
      <c r="W1176" s="36"/>
      <c r="X1176" s="36"/>
      <c r="Y1176" s="36"/>
      <c r="Z1176" s="36"/>
      <c r="AA1176" s="36"/>
    </row>
    <row r="1177" spans="1:27">
      <c r="A1177" s="36"/>
      <c r="B1177" s="36"/>
      <c r="C1177" s="36"/>
      <c r="D1177" s="36"/>
      <c r="E1177" s="36"/>
      <c r="F1177" s="36"/>
      <c r="G1177" s="36"/>
      <c r="H1177" s="36"/>
      <c r="I1177" s="36"/>
      <c r="J1177" s="36"/>
      <c r="K1177" s="36"/>
      <c r="L1177" s="40"/>
      <c r="M1177" s="36"/>
      <c r="N1177" s="36"/>
      <c r="O1177" s="36"/>
      <c r="P1177" s="36"/>
      <c r="Q1177" s="36"/>
      <c r="R1177" s="36"/>
      <c r="S1177" s="36"/>
      <c r="T1177" s="36"/>
      <c r="U1177" s="36"/>
      <c r="V1177" s="36"/>
      <c r="W1177" s="36"/>
      <c r="X1177" s="36"/>
      <c r="Y1177" s="36"/>
      <c r="Z1177" s="36"/>
      <c r="AA1177" s="36"/>
    </row>
    <row r="1178" spans="1:27">
      <c r="A1178" s="36"/>
      <c r="B1178" s="36"/>
      <c r="C1178" s="36"/>
      <c r="D1178" s="36"/>
      <c r="E1178" s="36"/>
      <c r="F1178" s="36"/>
      <c r="G1178" s="36"/>
      <c r="H1178" s="36"/>
      <c r="I1178" s="36"/>
      <c r="J1178" s="36"/>
      <c r="K1178" s="36"/>
      <c r="L1178" s="40"/>
      <c r="M1178" s="36"/>
      <c r="N1178" s="36"/>
      <c r="O1178" s="36"/>
      <c r="P1178" s="36"/>
      <c r="Q1178" s="36"/>
      <c r="R1178" s="36"/>
      <c r="S1178" s="36"/>
      <c r="T1178" s="36"/>
      <c r="U1178" s="36"/>
      <c r="V1178" s="36"/>
      <c r="W1178" s="36"/>
      <c r="X1178" s="36"/>
      <c r="Y1178" s="36"/>
      <c r="Z1178" s="36"/>
      <c r="AA1178" s="36"/>
    </row>
    <row r="1179" spans="1:27">
      <c r="A1179" s="36"/>
      <c r="B1179" s="36"/>
      <c r="C1179" s="36"/>
      <c r="D1179" s="36"/>
      <c r="E1179" s="36"/>
      <c r="F1179" s="36"/>
      <c r="G1179" s="36"/>
      <c r="H1179" s="36"/>
      <c r="I1179" s="36"/>
      <c r="J1179" s="36"/>
      <c r="K1179" s="36"/>
      <c r="L1179" s="40"/>
      <c r="M1179" s="36"/>
      <c r="N1179" s="36"/>
      <c r="O1179" s="36"/>
      <c r="P1179" s="36"/>
      <c r="Q1179" s="36"/>
      <c r="R1179" s="36"/>
      <c r="S1179" s="36"/>
      <c r="T1179" s="36"/>
      <c r="U1179" s="36"/>
      <c r="V1179" s="36"/>
      <c r="W1179" s="36"/>
      <c r="X1179" s="36"/>
      <c r="Y1179" s="36"/>
      <c r="Z1179" s="36"/>
      <c r="AA1179" s="36"/>
    </row>
    <row r="1180" spans="1:27">
      <c r="A1180" s="36"/>
      <c r="B1180" s="36"/>
      <c r="C1180" s="36"/>
      <c r="D1180" s="36"/>
      <c r="E1180" s="36"/>
      <c r="F1180" s="36"/>
      <c r="G1180" s="36"/>
      <c r="H1180" s="36"/>
      <c r="I1180" s="36"/>
      <c r="J1180" s="36"/>
      <c r="K1180" s="36"/>
      <c r="L1180" s="40"/>
      <c r="M1180" s="36"/>
      <c r="N1180" s="36"/>
      <c r="O1180" s="36"/>
      <c r="P1180" s="36"/>
      <c r="Q1180" s="36"/>
      <c r="R1180" s="36"/>
      <c r="S1180" s="36"/>
      <c r="T1180" s="36"/>
      <c r="U1180" s="36"/>
      <c r="V1180" s="36"/>
      <c r="W1180" s="36"/>
      <c r="X1180" s="36"/>
      <c r="Y1180" s="36"/>
      <c r="Z1180" s="36"/>
      <c r="AA1180" s="36"/>
    </row>
    <row r="1181" spans="1:27">
      <c r="A1181" s="36"/>
      <c r="B1181" s="36"/>
      <c r="C1181" s="36"/>
      <c r="D1181" s="36"/>
      <c r="E1181" s="36"/>
      <c r="F1181" s="36"/>
      <c r="G1181" s="36"/>
      <c r="H1181" s="36"/>
      <c r="I1181" s="36"/>
      <c r="J1181" s="36"/>
      <c r="K1181" s="36"/>
      <c r="L1181" s="40"/>
      <c r="M1181" s="36"/>
      <c r="N1181" s="36"/>
      <c r="O1181" s="36"/>
      <c r="P1181" s="36"/>
      <c r="Q1181" s="36"/>
      <c r="R1181" s="36"/>
      <c r="S1181" s="36"/>
      <c r="T1181" s="36"/>
      <c r="U1181" s="36"/>
      <c r="V1181" s="36"/>
      <c r="W1181" s="36"/>
      <c r="X1181" s="36"/>
      <c r="Y1181" s="36"/>
      <c r="Z1181" s="36"/>
      <c r="AA1181" s="36"/>
    </row>
    <row r="1182" spans="1:27">
      <c r="A1182" s="36"/>
      <c r="B1182" s="36"/>
      <c r="C1182" s="36"/>
      <c r="D1182" s="36"/>
      <c r="E1182" s="36"/>
      <c r="F1182" s="36"/>
      <c r="G1182" s="36"/>
      <c r="H1182" s="36"/>
      <c r="I1182" s="36"/>
      <c r="J1182" s="36"/>
      <c r="K1182" s="36"/>
      <c r="L1182" s="40"/>
      <c r="M1182" s="36"/>
      <c r="N1182" s="36"/>
      <c r="O1182" s="36"/>
      <c r="P1182" s="36"/>
      <c r="Q1182" s="36"/>
      <c r="R1182" s="36"/>
      <c r="S1182" s="36"/>
      <c r="T1182" s="36"/>
      <c r="U1182" s="36"/>
      <c r="V1182" s="36"/>
      <c r="W1182" s="36"/>
      <c r="X1182" s="36"/>
      <c r="Y1182" s="36"/>
      <c r="Z1182" s="36"/>
      <c r="AA1182" s="36"/>
    </row>
    <row r="1183" spans="1:27">
      <c r="A1183" s="36"/>
      <c r="B1183" s="36"/>
      <c r="C1183" s="36"/>
      <c r="D1183" s="36"/>
      <c r="E1183" s="36"/>
      <c r="F1183" s="36"/>
      <c r="G1183" s="36"/>
      <c r="H1183" s="36"/>
      <c r="I1183" s="36"/>
      <c r="J1183" s="36"/>
      <c r="K1183" s="36"/>
      <c r="L1183" s="40"/>
      <c r="M1183" s="36"/>
      <c r="N1183" s="36"/>
      <c r="O1183" s="36"/>
      <c r="P1183" s="36"/>
      <c r="Q1183" s="36"/>
      <c r="R1183" s="36"/>
      <c r="S1183" s="36"/>
      <c r="T1183" s="36"/>
      <c r="U1183" s="36"/>
      <c r="V1183" s="36"/>
      <c r="W1183" s="36"/>
      <c r="X1183" s="36"/>
      <c r="Y1183" s="36"/>
      <c r="Z1183" s="36"/>
      <c r="AA1183" s="36"/>
    </row>
    <row r="1184" spans="1:27">
      <c r="A1184" s="36"/>
      <c r="B1184" s="36"/>
      <c r="C1184" s="36"/>
      <c r="D1184" s="36"/>
      <c r="E1184" s="36"/>
      <c r="F1184" s="36"/>
      <c r="G1184" s="36"/>
      <c r="H1184" s="36"/>
      <c r="I1184" s="36"/>
      <c r="J1184" s="36"/>
      <c r="K1184" s="36"/>
      <c r="L1184" s="40"/>
      <c r="M1184" s="36"/>
      <c r="N1184" s="36"/>
      <c r="O1184" s="36"/>
      <c r="P1184" s="36"/>
      <c r="Q1184" s="36"/>
      <c r="R1184" s="36"/>
      <c r="S1184" s="36"/>
      <c r="T1184" s="36"/>
      <c r="U1184" s="36"/>
      <c r="V1184" s="36"/>
      <c r="W1184" s="36"/>
      <c r="X1184" s="36"/>
      <c r="Y1184" s="36"/>
      <c r="Z1184" s="36"/>
      <c r="AA1184" s="36"/>
    </row>
    <row r="1185" spans="1:27">
      <c r="A1185" s="36"/>
      <c r="B1185" s="36"/>
      <c r="C1185" s="36"/>
      <c r="D1185" s="36"/>
      <c r="E1185" s="36"/>
      <c r="F1185" s="36"/>
      <c r="G1185" s="36"/>
      <c r="H1185" s="36"/>
      <c r="I1185" s="36"/>
      <c r="J1185" s="36"/>
      <c r="K1185" s="36"/>
      <c r="L1185" s="40"/>
      <c r="M1185" s="36"/>
      <c r="N1185" s="36"/>
      <c r="O1185" s="36"/>
      <c r="P1185" s="36"/>
      <c r="Q1185" s="36"/>
      <c r="R1185" s="36"/>
      <c r="S1185" s="36"/>
      <c r="T1185" s="36"/>
      <c r="U1185" s="36"/>
      <c r="V1185" s="36"/>
      <c r="W1185" s="36"/>
      <c r="X1185" s="36"/>
      <c r="Y1185" s="36"/>
      <c r="Z1185" s="36"/>
      <c r="AA1185" s="36"/>
    </row>
    <row r="1186" spans="1:27">
      <c r="A1186" s="36"/>
      <c r="B1186" s="36"/>
      <c r="C1186" s="36"/>
      <c r="D1186" s="36"/>
      <c r="E1186" s="36"/>
      <c r="F1186" s="36"/>
      <c r="G1186" s="36"/>
      <c r="H1186" s="36"/>
      <c r="I1186" s="36"/>
      <c r="J1186" s="36"/>
      <c r="K1186" s="36"/>
      <c r="L1186" s="40"/>
      <c r="M1186" s="36"/>
      <c r="N1186" s="36"/>
      <c r="O1186" s="36"/>
      <c r="P1186" s="36"/>
      <c r="Q1186" s="36"/>
      <c r="R1186" s="36"/>
      <c r="S1186" s="36"/>
      <c r="T1186" s="36"/>
      <c r="U1186" s="36"/>
      <c r="V1186" s="36"/>
      <c r="W1186" s="36"/>
      <c r="X1186" s="36"/>
      <c r="Y1186" s="36"/>
      <c r="Z1186" s="36"/>
      <c r="AA1186" s="36"/>
    </row>
    <row r="1187" spans="1:27">
      <c r="A1187" s="36"/>
      <c r="B1187" s="36"/>
      <c r="C1187" s="36"/>
      <c r="D1187" s="36"/>
      <c r="E1187" s="36"/>
      <c r="F1187" s="36"/>
      <c r="G1187" s="36"/>
      <c r="H1187" s="36"/>
      <c r="I1187" s="36"/>
      <c r="J1187" s="36"/>
      <c r="K1187" s="36"/>
      <c r="L1187" s="40"/>
      <c r="M1187" s="36"/>
      <c r="N1187" s="36"/>
      <c r="O1187" s="36"/>
      <c r="P1187" s="36"/>
      <c r="Q1187" s="36"/>
      <c r="R1187" s="36"/>
      <c r="S1187" s="36"/>
      <c r="T1187" s="36"/>
      <c r="U1187" s="36"/>
      <c r="V1187" s="36"/>
      <c r="W1187" s="36"/>
      <c r="X1187" s="36"/>
      <c r="Y1187" s="36"/>
      <c r="Z1187" s="36"/>
      <c r="AA1187" s="36"/>
    </row>
    <row r="1188" spans="1:27">
      <c r="A1188" s="36"/>
      <c r="B1188" s="36"/>
      <c r="C1188" s="36"/>
      <c r="D1188" s="36"/>
      <c r="E1188" s="36"/>
      <c r="F1188" s="36"/>
      <c r="G1188" s="36"/>
      <c r="H1188" s="36"/>
      <c r="I1188" s="36"/>
      <c r="J1188" s="36"/>
      <c r="K1188" s="36"/>
      <c r="L1188" s="40"/>
      <c r="M1188" s="36"/>
      <c r="N1188" s="36"/>
      <c r="O1188" s="36"/>
      <c r="P1188" s="36"/>
      <c r="Q1188" s="36"/>
      <c r="R1188" s="36"/>
      <c r="S1188" s="36"/>
      <c r="T1188" s="36"/>
      <c r="U1188" s="36"/>
      <c r="V1188" s="36"/>
      <c r="W1188" s="36"/>
      <c r="X1188" s="36"/>
      <c r="Y1188" s="36"/>
      <c r="Z1188" s="36"/>
      <c r="AA1188" s="36"/>
    </row>
    <row r="1189" spans="1:27">
      <c r="A1189" s="36"/>
      <c r="B1189" s="36"/>
      <c r="C1189" s="36"/>
      <c r="D1189" s="36"/>
      <c r="E1189" s="36"/>
      <c r="F1189" s="36"/>
      <c r="G1189" s="36"/>
      <c r="H1189" s="36"/>
      <c r="I1189" s="36"/>
      <c r="J1189" s="36"/>
      <c r="K1189" s="36"/>
      <c r="L1189" s="40"/>
      <c r="M1189" s="36"/>
      <c r="N1189" s="36"/>
      <c r="O1189" s="36"/>
      <c r="P1189" s="36"/>
      <c r="Q1189" s="36"/>
      <c r="R1189" s="36"/>
      <c r="S1189" s="36"/>
      <c r="T1189" s="36"/>
      <c r="U1189" s="36"/>
      <c r="V1189" s="36"/>
      <c r="W1189" s="36"/>
      <c r="X1189" s="36"/>
      <c r="Y1189" s="36"/>
      <c r="Z1189" s="36"/>
      <c r="AA1189" s="36"/>
    </row>
    <row r="1190" spans="1:27">
      <c r="A1190" s="36"/>
      <c r="B1190" s="36"/>
      <c r="C1190" s="36"/>
      <c r="D1190" s="36"/>
      <c r="E1190" s="36"/>
      <c r="F1190" s="36"/>
      <c r="G1190" s="36"/>
      <c r="H1190" s="36"/>
      <c r="I1190" s="36"/>
      <c r="J1190" s="36"/>
      <c r="K1190" s="36"/>
      <c r="L1190" s="40"/>
      <c r="M1190" s="36"/>
      <c r="N1190" s="36"/>
      <c r="O1190" s="36"/>
      <c r="P1190" s="36"/>
      <c r="Q1190" s="36"/>
      <c r="R1190" s="36"/>
      <c r="S1190" s="36"/>
      <c r="T1190" s="36"/>
      <c r="U1190" s="36"/>
      <c r="V1190" s="36"/>
      <c r="W1190" s="36"/>
      <c r="X1190" s="36"/>
      <c r="Y1190" s="36"/>
      <c r="Z1190" s="36"/>
      <c r="AA1190" s="36"/>
    </row>
    <row r="1191" spans="1:27">
      <c r="A1191" s="36"/>
      <c r="B1191" s="36"/>
      <c r="C1191" s="36"/>
      <c r="D1191" s="36"/>
      <c r="E1191" s="36"/>
      <c r="F1191" s="36"/>
      <c r="G1191" s="36"/>
      <c r="H1191" s="36"/>
      <c r="I1191" s="36"/>
      <c r="J1191" s="36"/>
      <c r="K1191" s="36"/>
      <c r="L1191" s="40"/>
      <c r="M1191" s="36"/>
      <c r="N1191" s="36"/>
      <c r="O1191" s="36"/>
      <c r="P1191" s="36"/>
      <c r="Q1191" s="36"/>
      <c r="R1191" s="36"/>
      <c r="S1191" s="36"/>
      <c r="T1191" s="36"/>
      <c r="U1191" s="36"/>
      <c r="V1191" s="36"/>
      <c r="W1191" s="36"/>
      <c r="X1191" s="36"/>
      <c r="Y1191" s="36"/>
      <c r="Z1191" s="36"/>
      <c r="AA1191" s="36"/>
    </row>
    <row r="1192" spans="1:27">
      <c r="A1192" s="36"/>
      <c r="B1192" s="36"/>
      <c r="C1192" s="36"/>
      <c r="D1192" s="36"/>
      <c r="E1192" s="36"/>
      <c r="F1192" s="36"/>
      <c r="G1192" s="36"/>
      <c r="H1192" s="36"/>
      <c r="I1192" s="36"/>
      <c r="J1192" s="36"/>
      <c r="K1192" s="36"/>
      <c r="L1192" s="40"/>
      <c r="M1192" s="36"/>
      <c r="N1192" s="36"/>
      <c r="O1192" s="36"/>
      <c r="P1192" s="36"/>
      <c r="Q1192" s="36"/>
      <c r="R1192" s="36"/>
      <c r="S1192" s="36"/>
      <c r="T1192" s="36"/>
      <c r="U1192" s="36"/>
      <c r="V1192" s="36"/>
      <c r="W1192" s="36"/>
      <c r="X1192" s="36"/>
      <c r="Y1192" s="36"/>
      <c r="Z1192" s="36"/>
      <c r="AA1192" s="36"/>
    </row>
    <row r="1193" spans="1:27">
      <c r="A1193" s="36"/>
      <c r="B1193" s="36"/>
      <c r="C1193" s="36"/>
      <c r="D1193" s="36"/>
      <c r="E1193" s="36"/>
      <c r="F1193" s="36"/>
      <c r="G1193" s="36"/>
      <c r="H1193" s="36"/>
      <c r="I1193" s="36"/>
      <c r="J1193" s="36"/>
      <c r="K1193" s="36"/>
      <c r="L1193" s="40"/>
      <c r="M1193" s="36"/>
      <c r="N1193" s="36"/>
      <c r="O1193" s="36"/>
      <c r="P1193" s="36"/>
      <c r="Q1193" s="36"/>
      <c r="R1193" s="36"/>
      <c r="S1193" s="36"/>
      <c r="T1193" s="36"/>
      <c r="U1193" s="36"/>
      <c r="V1193" s="36"/>
      <c r="W1193" s="36"/>
      <c r="X1193" s="36"/>
      <c r="Y1193" s="36"/>
      <c r="Z1193" s="36"/>
      <c r="AA1193" s="36"/>
    </row>
    <row r="1194" spans="1:27">
      <c r="A1194" s="36"/>
      <c r="B1194" s="36"/>
      <c r="C1194" s="36"/>
      <c r="D1194" s="36"/>
      <c r="E1194" s="36"/>
      <c r="F1194" s="36"/>
      <c r="G1194" s="36"/>
      <c r="H1194" s="36"/>
      <c r="I1194" s="36"/>
      <c r="J1194" s="36"/>
      <c r="K1194" s="36"/>
      <c r="L1194" s="40"/>
      <c r="M1194" s="36"/>
      <c r="N1194" s="36"/>
      <c r="O1194" s="36"/>
      <c r="P1194" s="36"/>
      <c r="Q1194" s="36"/>
      <c r="R1194" s="36"/>
      <c r="S1194" s="36"/>
      <c r="T1194" s="36"/>
      <c r="U1194" s="36"/>
      <c r="V1194" s="36"/>
      <c r="W1194" s="36"/>
      <c r="X1194" s="36"/>
      <c r="Y1194" s="36"/>
      <c r="Z1194" s="36"/>
      <c r="AA1194" s="36"/>
    </row>
    <row r="1195" spans="1:27">
      <c r="A1195" s="36"/>
      <c r="B1195" s="36"/>
      <c r="C1195" s="36"/>
      <c r="D1195" s="36"/>
      <c r="E1195" s="36"/>
      <c r="F1195" s="36"/>
      <c r="G1195" s="36"/>
      <c r="H1195" s="36"/>
      <c r="I1195" s="36"/>
      <c r="J1195" s="36"/>
      <c r="K1195" s="36"/>
      <c r="L1195" s="40"/>
      <c r="M1195" s="36"/>
      <c r="N1195" s="36"/>
      <c r="O1195" s="36"/>
      <c r="P1195" s="36"/>
      <c r="Q1195" s="36"/>
      <c r="R1195" s="36"/>
      <c r="S1195" s="36"/>
      <c r="T1195" s="36"/>
      <c r="U1195" s="36"/>
      <c r="V1195" s="36"/>
      <c r="W1195" s="36"/>
      <c r="X1195" s="36"/>
      <c r="Y1195" s="36"/>
      <c r="Z1195" s="36"/>
      <c r="AA1195" s="36"/>
    </row>
    <row r="1196" spans="1:27">
      <c r="A1196" s="36"/>
      <c r="B1196" s="36"/>
      <c r="C1196" s="36"/>
      <c r="D1196" s="36"/>
      <c r="E1196" s="36"/>
      <c r="F1196" s="36"/>
      <c r="G1196" s="36"/>
      <c r="H1196" s="36"/>
      <c r="I1196" s="36"/>
      <c r="J1196" s="36"/>
      <c r="K1196" s="36"/>
      <c r="L1196" s="40"/>
      <c r="M1196" s="36"/>
      <c r="N1196" s="36"/>
      <c r="O1196" s="36"/>
      <c r="P1196" s="36"/>
      <c r="Q1196" s="36"/>
      <c r="R1196" s="36"/>
      <c r="S1196" s="36"/>
      <c r="T1196" s="36"/>
      <c r="U1196" s="36"/>
      <c r="V1196" s="36"/>
      <c r="W1196" s="36"/>
      <c r="X1196" s="36"/>
      <c r="Y1196" s="36"/>
      <c r="Z1196" s="36"/>
      <c r="AA1196" s="36"/>
    </row>
    <row r="1197" spans="1:27">
      <c r="A1197" s="36"/>
      <c r="B1197" s="36"/>
      <c r="C1197" s="36"/>
      <c r="D1197" s="36"/>
      <c r="E1197" s="36"/>
      <c r="F1197" s="36"/>
      <c r="G1197" s="36"/>
      <c r="H1197" s="36"/>
      <c r="I1197" s="36"/>
      <c r="J1197" s="36"/>
      <c r="K1197" s="36"/>
      <c r="L1197" s="40"/>
      <c r="M1197" s="36"/>
      <c r="N1197" s="36"/>
      <c r="O1197" s="36"/>
      <c r="P1197" s="36"/>
      <c r="Q1197" s="36"/>
      <c r="R1197" s="36"/>
      <c r="S1197" s="36"/>
      <c r="T1197" s="36"/>
      <c r="U1197" s="36"/>
      <c r="V1197" s="36"/>
      <c r="W1197" s="36"/>
      <c r="X1197" s="36"/>
      <c r="Y1197" s="36"/>
      <c r="Z1197" s="36"/>
      <c r="AA1197" s="36"/>
    </row>
    <row r="1198" spans="1:27">
      <c r="A1198" s="36"/>
      <c r="B1198" s="36"/>
      <c r="C1198" s="36"/>
      <c r="D1198" s="36"/>
      <c r="E1198" s="36"/>
      <c r="F1198" s="36"/>
      <c r="G1198" s="36"/>
      <c r="H1198" s="36"/>
      <c r="I1198" s="36"/>
      <c r="J1198" s="36"/>
      <c r="K1198" s="36"/>
      <c r="L1198" s="40"/>
      <c r="M1198" s="36"/>
      <c r="N1198" s="36"/>
      <c r="O1198" s="36"/>
      <c r="P1198" s="36"/>
      <c r="Q1198" s="36"/>
      <c r="R1198" s="36"/>
      <c r="S1198" s="36"/>
      <c r="T1198" s="36"/>
      <c r="U1198" s="36"/>
      <c r="V1198" s="36"/>
      <c r="W1198" s="36"/>
      <c r="X1198" s="36"/>
      <c r="Y1198" s="36"/>
      <c r="Z1198" s="36"/>
      <c r="AA1198" s="36"/>
    </row>
    <row r="1199" spans="1:27">
      <c r="A1199" s="36"/>
      <c r="B1199" s="36"/>
      <c r="C1199" s="36"/>
      <c r="D1199" s="36"/>
      <c r="E1199" s="36"/>
      <c r="F1199" s="36"/>
      <c r="G1199" s="36"/>
      <c r="H1199" s="36"/>
      <c r="I1199" s="36"/>
      <c r="J1199" s="36"/>
      <c r="K1199" s="36"/>
      <c r="L1199" s="40"/>
      <c r="M1199" s="36"/>
      <c r="N1199" s="36"/>
      <c r="O1199" s="36"/>
      <c r="P1199" s="36"/>
      <c r="Q1199" s="36"/>
      <c r="R1199" s="36"/>
      <c r="S1199" s="36"/>
      <c r="T1199" s="36"/>
      <c r="U1199" s="36"/>
      <c r="V1199" s="36"/>
      <c r="W1199" s="36"/>
      <c r="X1199" s="36"/>
      <c r="Y1199" s="36"/>
      <c r="Z1199" s="36"/>
      <c r="AA1199" s="36"/>
    </row>
    <row r="1200" spans="1:27">
      <c r="A1200" s="36"/>
      <c r="B1200" s="36"/>
      <c r="C1200" s="36"/>
      <c r="D1200" s="36"/>
      <c r="E1200" s="36"/>
      <c r="F1200" s="36"/>
      <c r="G1200" s="36"/>
      <c r="H1200" s="36"/>
      <c r="I1200" s="36"/>
      <c r="J1200" s="36"/>
      <c r="K1200" s="36"/>
      <c r="L1200" s="40"/>
      <c r="M1200" s="36"/>
      <c r="N1200" s="36"/>
      <c r="O1200" s="36"/>
      <c r="P1200" s="36"/>
      <c r="Q1200" s="36"/>
      <c r="R1200" s="36"/>
      <c r="S1200" s="36"/>
      <c r="T1200" s="36"/>
      <c r="U1200" s="36"/>
      <c r="V1200" s="36"/>
      <c r="W1200" s="36"/>
      <c r="X1200" s="36"/>
      <c r="Y1200" s="36"/>
      <c r="Z1200" s="36"/>
      <c r="AA1200" s="36"/>
    </row>
    <row r="1201" spans="1:27">
      <c r="A1201" s="36"/>
      <c r="B1201" s="36"/>
      <c r="C1201" s="36"/>
      <c r="D1201" s="36"/>
      <c r="E1201" s="36"/>
      <c r="F1201" s="36"/>
      <c r="G1201" s="36"/>
      <c r="H1201" s="36"/>
      <c r="I1201" s="36"/>
      <c r="J1201" s="36"/>
      <c r="K1201" s="36"/>
      <c r="L1201" s="40"/>
      <c r="M1201" s="36"/>
      <c r="N1201" s="36"/>
      <c r="O1201" s="36"/>
      <c r="P1201" s="36"/>
      <c r="Q1201" s="36"/>
      <c r="R1201" s="36"/>
      <c r="S1201" s="36"/>
      <c r="T1201" s="36"/>
      <c r="U1201" s="36"/>
      <c r="V1201" s="36"/>
      <c r="W1201" s="36"/>
      <c r="X1201" s="36"/>
      <c r="Y1201" s="36"/>
      <c r="Z1201" s="36"/>
      <c r="AA1201" s="36"/>
    </row>
    <row r="1202" spans="1:27">
      <c r="A1202" s="36"/>
      <c r="B1202" s="36"/>
      <c r="C1202" s="36"/>
      <c r="D1202" s="36"/>
      <c r="E1202" s="36"/>
      <c r="F1202" s="36"/>
      <c r="G1202" s="36"/>
      <c r="H1202" s="36"/>
      <c r="I1202" s="36"/>
      <c r="J1202" s="36"/>
      <c r="K1202" s="36"/>
      <c r="L1202" s="40"/>
      <c r="M1202" s="36"/>
      <c r="N1202" s="36"/>
      <c r="O1202" s="36"/>
      <c r="P1202" s="36"/>
      <c r="Q1202" s="36"/>
      <c r="R1202" s="36"/>
      <c r="S1202" s="36"/>
      <c r="T1202" s="36"/>
      <c r="U1202" s="36"/>
      <c r="V1202" s="36"/>
      <c r="W1202" s="36"/>
      <c r="X1202" s="36"/>
      <c r="Y1202" s="36"/>
      <c r="Z1202" s="36"/>
      <c r="AA1202" s="36"/>
    </row>
    <row r="1203" spans="1:27">
      <c r="A1203" s="36"/>
      <c r="B1203" s="36"/>
      <c r="C1203" s="36"/>
      <c r="D1203" s="36"/>
      <c r="E1203" s="36"/>
      <c r="F1203" s="36"/>
      <c r="G1203" s="36"/>
      <c r="H1203" s="36"/>
      <c r="I1203" s="36"/>
      <c r="J1203" s="36"/>
      <c r="K1203" s="36"/>
      <c r="L1203" s="40"/>
      <c r="M1203" s="36"/>
      <c r="N1203" s="36"/>
      <c r="O1203" s="36"/>
      <c r="P1203" s="36"/>
      <c r="Q1203" s="36"/>
      <c r="R1203" s="36"/>
      <c r="S1203" s="36"/>
      <c r="T1203" s="36"/>
      <c r="U1203" s="36"/>
      <c r="V1203" s="36"/>
      <c r="W1203" s="36"/>
      <c r="X1203" s="36"/>
      <c r="Y1203" s="36"/>
      <c r="Z1203" s="36"/>
      <c r="AA1203" s="36"/>
    </row>
    <row r="1204" spans="1:27">
      <c r="A1204" s="36"/>
      <c r="B1204" s="36"/>
      <c r="C1204" s="36"/>
      <c r="D1204" s="36"/>
      <c r="E1204" s="36"/>
      <c r="F1204" s="36"/>
      <c r="G1204" s="36"/>
      <c r="H1204" s="36"/>
      <c r="I1204" s="36"/>
      <c r="J1204" s="36"/>
      <c r="K1204" s="36"/>
      <c r="L1204" s="40"/>
      <c r="M1204" s="36"/>
      <c r="N1204" s="36"/>
      <c r="O1204" s="36"/>
      <c r="P1204" s="36"/>
      <c r="Q1204" s="36"/>
      <c r="R1204" s="36"/>
      <c r="S1204" s="36"/>
      <c r="T1204" s="36"/>
      <c r="U1204" s="36"/>
      <c r="V1204" s="36"/>
      <c r="W1204" s="36"/>
      <c r="X1204" s="36"/>
      <c r="Y1204" s="36"/>
      <c r="Z1204" s="36"/>
      <c r="AA1204" s="36"/>
    </row>
    <row r="1205" spans="1:27">
      <c r="A1205" s="36"/>
      <c r="B1205" s="36"/>
      <c r="C1205" s="36"/>
      <c r="D1205" s="36"/>
      <c r="E1205" s="36"/>
      <c r="F1205" s="36"/>
      <c r="G1205" s="36"/>
      <c r="H1205" s="36"/>
      <c r="I1205" s="36"/>
      <c r="J1205" s="36"/>
      <c r="K1205" s="36"/>
      <c r="L1205" s="40"/>
      <c r="M1205" s="36"/>
      <c r="N1205" s="36"/>
      <c r="O1205" s="36"/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</row>
    <row r="1206" spans="1:27">
      <c r="A1206" s="36"/>
      <c r="B1206" s="36"/>
      <c r="C1206" s="36"/>
      <c r="D1206" s="36"/>
      <c r="E1206" s="36"/>
      <c r="F1206" s="36"/>
      <c r="G1206" s="36"/>
      <c r="H1206" s="36"/>
      <c r="I1206" s="36"/>
      <c r="J1206" s="36"/>
      <c r="K1206" s="36"/>
      <c r="L1206" s="40"/>
      <c r="M1206" s="36"/>
      <c r="N1206" s="36"/>
      <c r="O1206" s="36"/>
      <c r="P1206" s="36"/>
      <c r="Q1206" s="36"/>
      <c r="R1206" s="36"/>
      <c r="S1206" s="36"/>
      <c r="T1206" s="36"/>
      <c r="U1206" s="36"/>
      <c r="V1206" s="36"/>
      <c r="W1206" s="36"/>
      <c r="X1206" s="36"/>
      <c r="Y1206" s="36"/>
      <c r="Z1206" s="36"/>
      <c r="AA1206" s="36"/>
    </row>
    <row r="1207" spans="1:27">
      <c r="A1207" s="36"/>
      <c r="B1207" s="36"/>
      <c r="C1207" s="36"/>
      <c r="D1207" s="36"/>
      <c r="E1207" s="36"/>
      <c r="F1207" s="36"/>
      <c r="G1207" s="36"/>
      <c r="H1207" s="36"/>
      <c r="I1207" s="36"/>
      <c r="J1207" s="36"/>
      <c r="K1207" s="36"/>
      <c r="L1207" s="40"/>
      <c r="M1207" s="36"/>
      <c r="N1207" s="36"/>
      <c r="O1207" s="36"/>
      <c r="P1207" s="36"/>
      <c r="Q1207" s="36"/>
      <c r="R1207" s="36"/>
      <c r="S1207" s="36"/>
      <c r="T1207" s="36"/>
      <c r="U1207" s="36"/>
      <c r="V1207" s="36"/>
      <c r="W1207" s="36"/>
      <c r="X1207" s="36"/>
      <c r="Y1207" s="36"/>
      <c r="Z1207" s="36"/>
      <c r="AA1207" s="36"/>
    </row>
    <row r="1208" spans="1:27">
      <c r="A1208" s="36"/>
      <c r="B1208" s="36"/>
      <c r="C1208" s="36"/>
      <c r="D1208" s="36"/>
      <c r="E1208" s="36"/>
      <c r="F1208" s="36"/>
      <c r="G1208" s="36"/>
      <c r="H1208" s="36"/>
      <c r="I1208" s="36"/>
      <c r="J1208" s="36"/>
      <c r="K1208" s="36"/>
      <c r="L1208" s="40"/>
      <c r="M1208" s="36"/>
      <c r="N1208" s="36"/>
      <c r="O1208" s="36"/>
      <c r="P1208" s="36"/>
      <c r="Q1208" s="36"/>
      <c r="R1208" s="36"/>
      <c r="S1208" s="36"/>
      <c r="T1208" s="36"/>
      <c r="U1208" s="36"/>
      <c r="V1208" s="36"/>
      <c r="W1208" s="36"/>
      <c r="X1208" s="36"/>
      <c r="Y1208" s="36"/>
      <c r="Z1208" s="36"/>
      <c r="AA1208" s="36"/>
    </row>
    <row r="1209" spans="1:27">
      <c r="A1209" s="36"/>
      <c r="B1209" s="36"/>
      <c r="C1209" s="36"/>
      <c r="D1209" s="36"/>
      <c r="E1209" s="36"/>
      <c r="F1209" s="36"/>
      <c r="G1209" s="36"/>
      <c r="H1209" s="36"/>
      <c r="I1209" s="36"/>
      <c r="J1209" s="36"/>
      <c r="K1209" s="36"/>
      <c r="L1209" s="40"/>
      <c r="M1209" s="36"/>
      <c r="N1209" s="36"/>
      <c r="O1209" s="36"/>
      <c r="P1209" s="36"/>
      <c r="Q1209" s="36"/>
      <c r="R1209" s="36"/>
      <c r="S1209" s="36"/>
      <c r="T1209" s="36"/>
      <c r="U1209" s="36"/>
      <c r="V1209" s="36"/>
      <c r="W1209" s="36"/>
      <c r="X1209" s="36"/>
      <c r="Y1209" s="36"/>
      <c r="Z1209" s="36"/>
      <c r="AA1209" s="36"/>
    </row>
    <row r="1210" spans="1:27">
      <c r="A1210" s="36"/>
      <c r="B1210" s="36"/>
      <c r="C1210" s="36"/>
      <c r="D1210" s="36"/>
      <c r="E1210" s="36"/>
      <c r="F1210" s="36"/>
      <c r="G1210" s="36"/>
      <c r="H1210" s="36"/>
      <c r="I1210" s="36"/>
      <c r="J1210" s="36"/>
      <c r="K1210" s="36"/>
      <c r="L1210" s="40"/>
      <c r="M1210" s="36"/>
      <c r="N1210" s="36"/>
      <c r="O1210" s="36"/>
      <c r="P1210" s="36"/>
      <c r="Q1210" s="36"/>
      <c r="R1210" s="36"/>
      <c r="S1210" s="36"/>
      <c r="T1210" s="36"/>
      <c r="U1210" s="36"/>
      <c r="V1210" s="36"/>
      <c r="W1210" s="36"/>
      <c r="X1210" s="36"/>
      <c r="Y1210" s="36"/>
      <c r="Z1210" s="36"/>
      <c r="AA1210" s="36"/>
    </row>
    <row r="1211" spans="1:27">
      <c r="A1211" s="36"/>
      <c r="B1211" s="36"/>
      <c r="C1211" s="36"/>
      <c r="D1211" s="36"/>
      <c r="E1211" s="36"/>
      <c r="F1211" s="36"/>
      <c r="G1211" s="36"/>
      <c r="H1211" s="36"/>
      <c r="I1211" s="36"/>
      <c r="J1211" s="36"/>
      <c r="K1211" s="36"/>
      <c r="L1211" s="40"/>
      <c r="M1211" s="36"/>
      <c r="N1211" s="36"/>
      <c r="O1211" s="36"/>
      <c r="P1211" s="36"/>
      <c r="Q1211" s="36"/>
      <c r="R1211" s="36"/>
      <c r="S1211" s="36"/>
      <c r="T1211" s="36"/>
      <c r="U1211" s="36"/>
      <c r="V1211" s="36"/>
      <c r="W1211" s="36"/>
      <c r="X1211" s="36"/>
      <c r="Y1211" s="36"/>
      <c r="Z1211" s="36"/>
      <c r="AA1211" s="36"/>
    </row>
    <row r="1212" spans="1:27">
      <c r="A1212" s="36"/>
      <c r="B1212" s="36"/>
      <c r="C1212" s="36"/>
      <c r="D1212" s="36"/>
      <c r="E1212" s="36"/>
      <c r="F1212" s="36"/>
      <c r="G1212" s="36"/>
      <c r="H1212" s="36"/>
      <c r="I1212" s="36"/>
      <c r="J1212" s="36"/>
      <c r="K1212" s="36"/>
      <c r="L1212" s="40"/>
      <c r="M1212" s="36"/>
      <c r="N1212" s="36"/>
      <c r="O1212" s="36"/>
      <c r="P1212" s="36"/>
      <c r="Q1212" s="36"/>
      <c r="R1212" s="36"/>
      <c r="S1212" s="36"/>
      <c r="T1212" s="36"/>
      <c r="U1212" s="36"/>
      <c r="V1212" s="36"/>
      <c r="W1212" s="36"/>
      <c r="X1212" s="36"/>
      <c r="Y1212" s="36"/>
      <c r="Z1212" s="36"/>
      <c r="AA1212" s="36"/>
    </row>
    <row r="1213" spans="1:27">
      <c r="A1213" s="36"/>
      <c r="B1213" s="36"/>
      <c r="C1213" s="36"/>
      <c r="D1213" s="36"/>
      <c r="E1213" s="36"/>
      <c r="F1213" s="36"/>
      <c r="G1213" s="36"/>
      <c r="H1213" s="36"/>
      <c r="I1213" s="36"/>
      <c r="J1213" s="36"/>
      <c r="K1213" s="36"/>
      <c r="L1213" s="40"/>
      <c r="M1213" s="36"/>
      <c r="N1213" s="36"/>
      <c r="O1213" s="36"/>
      <c r="P1213" s="36"/>
      <c r="Q1213" s="36"/>
      <c r="R1213" s="36"/>
      <c r="S1213" s="36"/>
      <c r="T1213" s="36"/>
      <c r="U1213" s="36"/>
      <c r="V1213" s="36"/>
      <c r="W1213" s="36"/>
      <c r="X1213" s="36"/>
      <c r="Y1213" s="36"/>
      <c r="Z1213" s="36"/>
      <c r="AA1213" s="36"/>
    </row>
    <row r="1214" spans="1:27">
      <c r="A1214" s="36"/>
      <c r="B1214" s="36"/>
      <c r="C1214" s="36"/>
      <c r="D1214" s="36"/>
      <c r="E1214" s="36"/>
      <c r="F1214" s="36"/>
      <c r="G1214" s="36"/>
      <c r="H1214" s="36"/>
      <c r="I1214" s="36"/>
      <c r="J1214" s="36"/>
      <c r="K1214" s="36"/>
      <c r="L1214" s="40"/>
      <c r="M1214" s="36"/>
      <c r="N1214" s="36"/>
      <c r="O1214" s="36"/>
      <c r="P1214" s="36"/>
      <c r="Q1214" s="36"/>
      <c r="R1214" s="36"/>
      <c r="S1214" s="36"/>
      <c r="T1214" s="36"/>
      <c r="U1214" s="36"/>
      <c r="V1214" s="36"/>
      <c r="W1214" s="36"/>
      <c r="X1214" s="36"/>
      <c r="Y1214" s="36"/>
      <c r="Z1214" s="36"/>
      <c r="AA1214" s="36"/>
    </row>
    <row r="1215" spans="1:27">
      <c r="A1215" s="36"/>
      <c r="B1215" s="36"/>
      <c r="C1215" s="36"/>
      <c r="D1215" s="36"/>
      <c r="E1215" s="36"/>
      <c r="F1215" s="36"/>
      <c r="G1215" s="36"/>
      <c r="H1215" s="36"/>
      <c r="I1215" s="36"/>
      <c r="J1215" s="36"/>
      <c r="K1215" s="36"/>
      <c r="L1215" s="40"/>
      <c r="M1215" s="36"/>
      <c r="N1215" s="36"/>
      <c r="O1215" s="36"/>
      <c r="P1215" s="36"/>
      <c r="Q1215" s="36"/>
      <c r="R1215" s="36"/>
      <c r="S1215" s="36"/>
      <c r="T1215" s="36"/>
      <c r="U1215" s="36"/>
      <c r="V1215" s="36"/>
      <c r="W1215" s="36"/>
      <c r="X1215" s="36"/>
      <c r="Y1215" s="36"/>
      <c r="Z1215" s="36"/>
      <c r="AA1215" s="36"/>
    </row>
    <row r="1216" spans="1:27">
      <c r="A1216" s="36"/>
      <c r="B1216" s="36"/>
      <c r="C1216" s="36"/>
      <c r="D1216" s="36"/>
      <c r="E1216" s="36"/>
      <c r="F1216" s="36"/>
      <c r="G1216" s="36"/>
      <c r="H1216" s="36"/>
      <c r="I1216" s="36"/>
      <c r="J1216" s="36"/>
      <c r="K1216" s="36"/>
      <c r="L1216" s="40"/>
      <c r="M1216" s="36"/>
      <c r="N1216" s="36"/>
      <c r="O1216" s="36"/>
      <c r="P1216" s="36"/>
      <c r="Q1216" s="36"/>
      <c r="R1216" s="36"/>
      <c r="S1216" s="36"/>
      <c r="T1216" s="36"/>
      <c r="U1216" s="36"/>
      <c r="V1216" s="36"/>
      <c r="W1216" s="36"/>
      <c r="X1216" s="36"/>
      <c r="Y1216" s="36"/>
      <c r="Z1216" s="36"/>
      <c r="AA1216" s="36"/>
    </row>
    <row r="1217" spans="1:27">
      <c r="A1217" s="36"/>
      <c r="B1217" s="36"/>
      <c r="C1217" s="36"/>
      <c r="D1217" s="36"/>
      <c r="E1217" s="36"/>
      <c r="F1217" s="36"/>
      <c r="G1217" s="36"/>
      <c r="H1217" s="36"/>
      <c r="I1217" s="36"/>
      <c r="J1217" s="36"/>
      <c r="K1217" s="36"/>
      <c r="L1217" s="40"/>
      <c r="M1217" s="36"/>
      <c r="N1217" s="36"/>
      <c r="O1217" s="36"/>
      <c r="P1217" s="36"/>
      <c r="Q1217" s="36"/>
      <c r="R1217" s="36"/>
      <c r="S1217" s="36"/>
      <c r="T1217" s="36"/>
      <c r="U1217" s="36"/>
      <c r="V1217" s="36"/>
      <c r="W1217" s="36"/>
      <c r="X1217" s="36"/>
      <c r="Y1217" s="36"/>
      <c r="Z1217" s="36"/>
      <c r="AA1217" s="36"/>
    </row>
    <row r="1218" spans="1:27">
      <c r="A1218" s="36"/>
      <c r="B1218" s="36"/>
      <c r="C1218" s="36"/>
      <c r="D1218" s="36"/>
      <c r="E1218" s="36"/>
      <c r="F1218" s="36"/>
      <c r="G1218" s="36"/>
      <c r="H1218" s="36"/>
      <c r="I1218" s="36"/>
      <c r="J1218" s="36"/>
      <c r="K1218" s="36"/>
      <c r="L1218" s="40"/>
      <c r="M1218" s="36"/>
      <c r="N1218" s="36"/>
      <c r="O1218" s="36"/>
      <c r="P1218" s="36"/>
      <c r="Q1218" s="36"/>
      <c r="R1218" s="36"/>
      <c r="S1218" s="36"/>
      <c r="T1218" s="36"/>
      <c r="U1218" s="36"/>
      <c r="V1218" s="36"/>
      <c r="W1218" s="36"/>
      <c r="X1218" s="36"/>
      <c r="Y1218" s="36"/>
      <c r="Z1218" s="36"/>
      <c r="AA1218" s="36"/>
    </row>
    <row r="1219" spans="1:27">
      <c r="A1219" s="36"/>
      <c r="B1219" s="36"/>
      <c r="C1219" s="36"/>
      <c r="D1219" s="36"/>
      <c r="E1219" s="36"/>
      <c r="F1219" s="36"/>
      <c r="G1219" s="36"/>
      <c r="H1219" s="36"/>
      <c r="I1219" s="36"/>
      <c r="J1219" s="36"/>
      <c r="K1219" s="36"/>
      <c r="L1219" s="40"/>
      <c r="M1219" s="36"/>
      <c r="N1219" s="36"/>
      <c r="O1219" s="36"/>
      <c r="P1219" s="36"/>
      <c r="Q1219" s="36"/>
      <c r="R1219" s="36"/>
      <c r="S1219" s="36"/>
      <c r="T1219" s="36"/>
      <c r="U1219" s="36"/>
      <c r="V1219" s="36"/>
      <c r="W1219" s="36"/>
      <c r="X1219" s="36"/>
      <c r="Y1219" s="36"/>
      <c r="Z1219" s="36"/>
      <c r="AA1219" s="36"/>
    </row>
    <row r="1220" spans="1:27">
      <c r="A1220" s="36"/>
      <c r="B1220" s="36"/>
      <c r="C1220" s="36"/>
      <c r="D1220" s="36"/>
      <c r="E1220" s="36"/>
      <c r="F1220" s="36"/>
      <c r="G1220" s="36"/>
      <c r="H1220" s="36"/>
      <c r="I1220" s="36"/>
      <c r="J1220" s="36"/>
      <c r="K1220" s="36"/>
      <c r="L1220" s="40"/>
      <c r="M1220" s="36"/>
      <c r="N1220" s="36"/>
      <c r="O1220" s="36"/>
      <c r="P1220" s="36"/>
      <c r="Q1220" s="36"/>
      <c r="R1220" s="36"/>
      <c r="S1220" s="36"/>
      <c r="T1220" s="36"/>
      <c r="U1220" s="36"/>
      <c r="V1220" s="36"/>
      <c r="W1220" s="36"/>
      <c r="X1220" s="36"/>
      <c r="Y1220" s="36"/>
      <c r="Z1220" s="36"/>
      <c r="AA1220" s="36"/>
    </row>
    <row r="1221" spans="1:27">
      <c r="A1221" s="36"/>
      <c r="B1221" s="36"/>
      <c r="C1221" s="36"/>
      <c r="D1221" s="36"/>
      <c r="E1221" s="36"/>
      <c r="F1221" s="36"/>
      <c r="G1221" s="36"/>
      <c r="H1221" s="36"/>
      <c r="I1221" s="36"/>
      <c r="J1221" s="36"/>
      <c r="K1221" s="36"/>
      <c r="L1221" s="40"/>
      <c r="M1221" s="36"/>
      <c r="N1221" s="36"/>
      <c r="O1221" s="36"/>
      <c r="P1221" s="36"/>
      <c r="Q1221" s="36"/>
      <c r="R1221" s="36"/>
      <c r="S1221" s="36"/>
      <c r="T1221" s="36"/>
      <c r="U1221" s="36"/>
      <c r="V1221" s="36"/>
      <c r="W1221" s="36"/>
      <c r="X1221" s="36"/>
      <c r="Y1221" s="36"/>
      <c r="Z1221" s="36"/>
      <c r="AA1221" s="36"/>
    </row>
    <row r="1222" spans="1:27">
      <c r="A1222" s="36"/>
      <c r="B1222" s="36"/>
      <c r="C1222" s="36"/>
      <c r="D1222" s="36"/>
      <c r="E1222" s="36"/>
      <c r="F1222" s="36"/>
      <c r="G1222" s="36"/>
      <c r="H1222" s="36"/>
      <c r="I1222" s="36"/>
      <c r="J1222" s="36"/>
      <c r="K1222" s="36"/>
      <c r="L1222" s="40"/>
      <c r="M1222" s="36"/>
      <c r="N1222" s="36"/>
      <c r="O1222" s="36"/>
      <c r="P1222" s="36"/>
      <c r="Q1222" s="36"/>
      <c r="R1222" s="36"/>
      <c r="S1222" s="36"/>
      <c r="T1222" s="36"/>
      <c r="U1222" s="36"/>
      <c r="V1222" s="36"/>
      <c r="W1222" s="36"/>
      <c r="X1222" s="36"/>
      <c r="Y1222" s="36"/>
      <c r="Z1222" s="36"/>
      <c r="AA1222" s="36"/>
    </row>
    <row r="1223" spans="1:27">
      <c r="A1223" s="36"/>
      <c r="B1223" s="36"/>
      <c r="C1223" s="36"/>
      <c r="D1223" s="36"/>
      <c r="E1223" s="36"/>
      <c r="F1223" s="36"/>
      <c r="G1223" s="36"/>
      <c r="H1223" s="36"/>
      <c r="I1223" s="36"/>
      <c r="J1223" s="36"/>
      <c r="K1223" s="36"/>
      <c r="L1223" s="40"/>
      <c r="M1223" s="36"/>
      <c r="N1223" s="36"/>
      <c r="O1223" s="36"/>
      <c r="P1223" s="36"/>
      <c r="Q1223" s="36"/>
      <c r="R1223" s="36"/>
      <c r="S1223" s="36"/>
      <c r="T1223" s="36"/>
      <c r="U1223" s="36"/>
      <c r="V1223" s="36"/>
      <c r="W1223" s="36"/>
      <c r="X1223" s="36"/>
      <c r="Y1223" s="36"/>
      <c r="Z1223" s="36"/>
      <c r="AA1223" s="36"/>
    </row>
    <row r="1224" spans="1:27">
      <c r="A1224" s="36"/>
      <c r="B1224" s="36"/>
      <c r="C1224" s="36"/>
      <c r="D1224" s="36"/>
      <c r="E1224" s="36"/>
      <c r="F1224" s="36"/>
      <c r="G1224" s="36"/>
      <c r="H1224" s="36"/>
      <c r="I1224" s="36"/>
      <c r="J1224" s="36"/>
      <c r="K1224" s="36"/>
      <c r="L1224" s="40"/>
      <c r="M1224" s="36"/>
      <c r="N1224" s="36"/>
      <c r="O1224" s="36"/>
      <c r="P1224" s="36"/>
      <c r="Q1224" s="36"/>
      <c r="R1224" s="36"/>
      <c r="S1224" s="36"/>
      <c r="T1224" s="36"/>
      <c r="U1224" s="36"/>
      <c r="V1224" s="36"/>
      <c r="W1224" s="36"/>
      <c r="X1224" s="36"/>
      <c r="Y1224" s="36"/>
      <c r="Z1224" s="36"/>
      <c r="AA1224" s="36"/>
    </row>
    <row r="1225" spans="1:27">
      <c r="A1225" s="36"/>
      <c r="B1225" s="36"/>
      <c r="C1225" s="36"/>
      <c r="D1225" s="36"/>
      <c r="E1225" s="36"/>
      <c r="F1225" s="36"/>
      <c r="G1225" s="36"/>
      <c r="H1225" s="36"/>
      <c r="I1225" s="36"/>
      <c r="J1225" s="36"/>
      <c r="K1225" s="36"/>
      <c r="L1225" s="40"/>
      <c r="M1225" s="36"/>
      <c r="N1225" s="36"/>
      <c r="O1225" s="36"/>
      <c r="P1225" s="36"/>
      <c r="Q1225" s="36"/>
      <c r="R1225" s="36"/>
      <c r="S1225" s="36"/>
      <c r="T1225" s="36"/>
      <c r="U1225" s="36"/>
      <c r="V1225" s="36"/>
      <c r="W1225" s="36"/>
      <c r="X1225" s="36"/>
      <c r="Y1225" s="36"/>
      <c r="Z1225" s="36"/>
      <c r="AA1225" s="36"/>
    </row>
    <row r="1226" spans="1:27">
      <c r="A1226" s="36"/>
      <c r="B1226" s="36"/>
      <c r="C1226" s="36"/>
      <c r="D1226" s="36"/>
      <c r="E1226" s="36"/>
      <c r="F1226" s="36"/>
      <c r="G1226" s="36"/>
      <c r="H1226" s="36"/>
      <c r="I1226" s="36"/>
      <c r="J1226" s="36"/>
      <c r="K1226" s="36"/>
      <c r="L1226" s="40"/>
      <c r="M1226" s="36"/>
      <c r="N1226" s="36"/>
      <c r="O1226" s="36"/>
      <c r="P1226" s="36"/>
      <c r="Q1226" s="36"/>
      <c r="R1226" s="36"/>
      <c r="S1226" s="36"/>
      <c r="T1226" s="36"/>
      <c r="U1226" s="36"/>
      <c r="V1226" s="36"/>
      <c r="W1226" s="36"/>
      <c r="X1226" s="36"/>
      <c r="Y1226" s="36"/>
      <c r="Z1226" s="36"/>
      <c r="AA1226" s="36"/>
    </row>
    <row r="1227" spans="1:27">
      <c r="A1227" s="36"/>
      <c r="B1227" s="36"/>
      <c r="C1227" s="36"/>
      <c r="D1227" s="36"/>
      <c r="E1227" s="36"/>
      <c r="F1227" s="36"/>
      <c r="G1227" s="36"/>
      <c r="H1227" s="36"/>
      <c r="I1227" s="36"/>
      <c r="J1227" s="36"/>
      <c r="K1227" s="36"/>
      <c r="L1227" s="40"/>
      <c r="M1227" s="36"/>
      <c r="N1227" s="36"/>
      <c r="O1227" s="36"/>
      <c r="P1227" s="36"/>
      <c r="Q1227" s="36"/>
      <c r="R1227" s="36"/>
      <c r="S1227" s="36"/>
      <c r="T1227" s="36"/>
      <c r="U1227" s="36"/>
      <c r="V1227" s="36"/>
      <c r="W1227" s="36"/>
      <c r="X1227" s="36"/>
      <c r="Y1227" s="36"/>
      <c r="Z1227" s="36"/>
      <c r="AA1227" s="36"/>
    </row>
    <row r="1228" spans="1:27">
      <c r="A1228" s="36"/>
      <c r="B1228" s="36"/>
      <c r="C1228" s="36"/>
      <c r="D1228" s="36"/>
      <c r="E1228" s="36"/>
      <c r="F1228" s="36"/>
      <c r="G1228" s="36"/>
      <c r="H1228" s="36"/>
      <c r="I1228" s="36"/>
      <c r="J1228" s="36"/>
      <c r="K1228" s="36"/>
      <c r="L1228" s="40"/>
      <c r="M1228" s="36"/>
      <c r="N1228" s="36"/>
      <c r="O1228" s="36"/>
      <c r="P1228" s="36"/>
      <c r="Q1228" s="36"/>
      <c r="R1228" s="36"/>
      <c r="S1228" s="36"/>
      <c r="T1228" s="36"/>
      <c r="U1228" s="36"/>
      <c r="V1228" s="36"/>
      <c r="W1228" s="36"/>
      <c r="X1228" s="36"/>
      <c r="Y1228" s="36"/>
      <c r="Z1228" s="36"/>
      <c r="AA1228" s="36"/>
    </row>
    <row r="1229" spans="1:27">
      <c r="A1229" s="36"/>
      <c r="B1229" s="36"/>
      <c r="C1229" s="36"/>
      <c r="D1229" s="36"/>
      <c r="E1229" s="36"/>
      <c r="F1229" s="36"/>
      <c r="G1229" s="36"/>
      <c r="H1229" s="36"/>
      <c r="I1229" s="36"/>
      <c r="J1229" s="36"/>
      <c r="K1229" s="36"/>
      <c r="L1229" s="40"/>
      <c r="M1229" s="36"/>
      <c r="N1229" s="36"/>
      <c r="O1229" s="36"/>
      <c r="P1229" s="36"/>
      <c r="Q1229" s="36"/>
      <c r="R1229" s="36"/>
      <c r="S1229" s="36"/>
      <c r="T1229" s="36"/>
      <c r="U1229" s="36"/>
      <c r="V1229" s="36"/>
      <c r="W1229" s="36"/>
      <c r="X1229" s="36"/>
      <c r="Y1229" s="36"/>
      <c r="Z1229" s="36"/>
      <c r="AA1229" s="36"/>
    </row>
    <row r="1230" spans="1:27">
      <c r="A1230" s="36"/>
      <c r="B1230" s="36"/>
      <c r="C1230" s="36"/>
      <c r="D1230" s="36"/>
      <c r="E1230" s="36"/>
      <c r="F1230" s="36"/>
      <c r="G1230" s="36"/>
      <c r="H1230" s="36"/>
      <c r="I1230" s="36"/>
      <c r="J1230" s="36"/>
      <c r="K1230" s="36"/>
      <c r="L1230" s="40"/>
      <c r="M1230" s="36"/>
      <c r="N1230" s="36"/>
      <c r="O1230" s="36"/>
      <c r="P1230" s="36"/>
      <c r="Q1230" s="36"/>
      <c r="R1230" s="36"/>
      <c r="S1230" s="36"/>
      <c r="T1230" s="36"/>
      <c r="U1230" s="36"/>
      <c r="V1230" s="36"/>
      <c r="W1230" s="36"/>
      <c r="X1230" s="36"/>
      <c r="Y1230" s="36"/>
      <c r="Z1230" s="36"/>
      <c r="AA1230" s="36"/>
    </row>
    <row r="1231" spans="1:27">
      <c r="A1231" s="36"/>
      <c r="B1231" s="36"/>
      <c r="C1231" s="36"/>
      <c r="D1231" s="36"/>
      <c r="E1231" s="36"/>
      <c r="F1231" s="36"/>
      <c r="G1231" s="36"/>
      <c r="H1231" s="36"/>
      <c r="I1231" s="36"/>
      <c r="J1231" s="36"/>
      <c r="K1231" s="36"/>
      <c r="L1231" s="40"/>
      <c r="M1231" s="36"/>
      <c r="N1231" s="36"/>
      <c r="O1231" s="36"/>
      <c r="P1231" s="36"/>
      <c r="Q1231" s="36"/>
      <c r="R1231" s="36"/>
      <c r="S1231" s="36"/>
      <c r="T1231" s="36"/>
      <c r="U1231" s="36"/>
      <c r="V1231" s="36"/>
      <c r="W1231" s="36"/>
      <c r="X1231" s="36"/>
      <c r="Y1231" s="36"/>
      <c r="Z1231" s="36"/>
      <c r="AA1231" s="36"/>
    </row>
    <row r="1232" spans="1:27">
      <c r="A1232" s="36"/>
      <c r="B1232" s="36"/>
      <c r="C1232" s="36"/>
      <c r="D1232" s="36"/>
      <c r="E1232" s="36"/>
      <c r="F1232" s="36"/>
      <c r="G1232" s="36"/>
      <c r="H1232" s="36"/>
      <c r="I1232" s="36"/>
      <c r="J1232" s="36"/>
      <c r="K1232" s="36"/>
      <c r="L1232" s="40"/>
      <c r="M1232" s="36"/>
      <c r="N1232" s="36"/>
      <c r="O1232" s="36"/>
      <c r="P1232" s="36"/>
      <c r="Q1232" s="36"/>
      <c r="R1232" s="36"/>
      <c r="S1232" s="36"/>
      <c r="T1232" s="36"/>
      <c r="U1232" s="36"/>
      <c r="V1232" s="36"/>
      <c r="W1232" s="36"/>
      <c r="X1232" s="36"/>
      <c r="Y1232" s="36"/>
      <c r="Z1232" s="36"/>
      <c r="AA1232" s="36"/>
    </row>
    <row r="1233" spans="1:27">
      <c r="A1233" s="36"/>
      <c r="B1233" s="36"/>
      <c r="C1233" s="36"/>
      <c r="D1233" s="36"/>
      <c r="E1233" s="36"/>
      <c r="F1233" s="36"/>
      <c r="G1233" s="36"/>
      <c r="H1233" s="36"/>
      <c r="I1233" s="36"/>
      <c r="J1233" s="36"/>
      <c r="K1233" s="36"/>
      <c r="L1233" s="40"/>
      <c r="M1233" s="36"/>
      <c r="N1233" s="36"/>
      <c r="O1233" s="36"/>
      <c r="P1233" s="36"/>
      <c r="Q1233" s="36"/>
      <c r="R1233" s="36"/>
      <c r="S1233" s="36"/>
      <c r="T1233" s="36"/>
      <c r="U1233" s="36"/>
      <c r="V1233" s="36"/>
      <c r="W1233" s="36"/>
      <c r="X1233" s="36"/>
      <c r="Y1233" s="36"/>
      <c r="Z1233" s="36"/>
      <c r="AA1233" s="36"/>
    </row>
    <row r="1234" spans="1:27">
      <c r="A1234" s="36"/>
      <c r="B1234" s="36"/>
      <c r="C1234" s="36"/>
      <c r="D1234" s="36"/>
      <c r="E1234" s="36"/>
      <c r="F1234" s="36"/>
      <c r="G1234" s="36"/>
      <c r="H1234" s="36"/>
      <c r="I1234" s="36"/>
      <c r="J1234" s="36"/>
      <c r="K1234" s="36"/>
      <c r="L1234" s="40"/>
      <c r="M1234" s="36"/>
      <c r="N1234" s="36"/>
      <c r="O1234" s="36"/>
      <c r="P1234" s="36"/>
      <c r="Q1234" s="36"/>
      <c r="R1234" s="36"/>
      <c r="S1234" s="36"/>
      <c r="T1234" s="36"/>
      <c r="U1234" s="36"/>
      <c r="V1234" s="36"/>
      <c r="W1234" s="36"/>
      <c r="X1234" s="36"/>
      <c r="Y1234" s="36"/>
      <c r="Z1234" s="36"/>
      <c r="AA1234" s="36"/>
    </row>
    <row r="1235" spans="1:27">
      <c r="A1235" s="36"/>
      <c r="B1235" s="36"/>
      <c r="C1235" s="36"/>
      <c r="D1235" s="36"/>
      <c r="E1235" s="36"/>
      <c r="F1235" s="36"/>
      <c r="G1235" s="36"/>
      <c r="H1235" s="36"/>
      <c r="I1235" s="36"/>
      <c r="J1235" s="36"/>
      <c r="K1235" s="36"/>
      <c r="L1235" s="40"/>
      <c r="M1235" s="36"/>
      <c r="N1235" s="36"/>
      <c r="O1235" s="36"/>
      <c r="P1235" s="36"/>
      <c r="Q1235" s="36"/>
      <c r="R1235" s="36"/>
      <c r="S1235" s="36"/>
      <c r="T1235" s="36"/>
      <c r="U1235" s="36"/>
      <c r="V1235" s="36"/>
      <c r="W1235" s="36"/>
      <c r="X1235" s="36"/>
      <c r="Y1235" s="36"/>
      <c r="Z1235" s="36"/>
      <c r="AA1235" s="36"/>
    </row>
    <row r="1236" spans="1:27">
      <c r="A1236" s="36"/>
      <c r="B1236" s="36"/>
      <c r="C1236" s="36"/>
      <c r="D1236" s="36"/>
      <c r="E1236" s="36"/>
      <c r="F1236" s="36"/>
      <c r="G1236" s="36"/>
      <c r="H1236" s="36"/>
      <c r="I1236" s="36"/>
      <c r="J1236" s="36"/>
      <c r="K1236" s="36"/>
      <c r="L1236" s="40"/>
      <c r="M1236" s="36"/>
      <c r="N1236" s="36"/>
      <c r="O1236" s="36"/>
      <c r="P1236" s="36"/>
      <c r="Q1236" s="36"/>
      <c r="R1236" s="36"/>
      <c r="S1236" s="36"/>
      <c r="T1236" s="36"/>
      <c r="U1236" s="36"/>
      <c r="V1236" s="36"/>
      <c r="W1236" s="36"/>
      <c r="X1236" s="36"/>
      <c r="Y1236" s="36"/>
      <c r="Z1236" s="36"/>
      <c r="AA1236" s="36"/>
    </row>
    <row r="1237" spans="1:27">
      <c r="A1237" s="36"/>
      <c r="B1237" s="36"/>
      <c r="C1237" s="36"/>
      <c r="D1237" s="36"/>
      <c r="E1237" s="36"/>
      <c r="F1237" s="36"/>
      <c r="G1237" s="36"/>
      <c r="H1237" s="36"/>
      <c r="I1237" s="36"/>
      <c r="J1237" s="36"/>
      <c r="K1237" s="36"/>
      <c r="L1237" s="40"/>
      <c r="M1237" s="36"/>
      <c r="N1237" s="36"/>
      <c r="O1237" s="36"/>
      <c r="P1237" s="36"/>
      <c r="Q1237" s="36"/>
      <c r="R1237" s="36"/>
      <c r="S1237" s="36"/>
      <c r="T1237" s="36"/>
      <c r="U1237" s="36"/>
      <c r="V1237" s="36"/>
      <c r="W1237" s="36"/>
      <c r="X1237" s="36"/>
      <c r="Y1237" s="36"/>
      <c r="Z1237" s="36"/>
      <c r="AA1237" s="36"/>
    </row>
    <row r="1238" spans="1:27">
      <c r="A1238" s="36"/>
      <c r="B1238" s="36"/>
      <c r="C1238" s="36"/>
      <c r="D1238" s="36"/>
      <c r="E1238" s="36"/>
      <c r="F1238" s="36"/>
      <c r="G1238" s="36"/>
      <c r="H1238" s="36"/>
      <c r="I1238" s="36"/>
      <c r="J1238" s="36"/>
      <c r="K1238" s="36"/>
      <c r="L1238" s="40"/>
      <c r="M1238" s="36"/>
      <c r="N1238" s="36"/>
      <c r="O1238" s="36"/>
      <c r="P1238" s="36"/>
      <c r="Q1238" s="36"/>
      <c r="R1238" s="36"/>
      <c r="S1238" s="36"/>
      <c r="T1238" s="36"/>
      <c r="U1238" s="36"/>
      <c r="V1238" s="36"/>
      <c r="W1238" s="36"/>
      <c r="X1238" s="36"/>
      <c r="Y1238" s="36"/>
      <c r="Z1238" s="36"/>
      <c r="AA1238" s="36"/>
    </row>
    <row r="1239" spans="1:27">
      <c r="A1239" s="36"/>
      <c r="B1239" s="36"/>
      <c r="C1239" s="36"/>
      <c r="D1239" s="36"/>
      <c r="E1239" s="36"/>
      <c r="F1239" s="36"/>
      <c r="G1239" s="36"/>
      <c r="H1239" s="36"/>
      <c r="I1239" s="36"/>
      <c r="J1239" s="36"/>
      <c r="K1239" s="36"/>
      <c r="L1239" s="40"/>
      <c r="M1239" s="36"/>
      <c r="N1239" s="36"/>
      <c r="O1239" s="36"/>
      <c r="P1239" s="36"/>
      <c r="Q1239" s="36"/>
      <c r="R1239" s="36"/>
      <c r="S1239" s="36"/>
      <c r="T1239" s="36"/>
      <c r="U1239" s="36"/>
      <c r="V1239" s="36"/>
      <c r="W1239" s="36"/>
      <c r="X1239" s="36"/>
      <c r="Y1239" s="36"/>
      <c r="Z1239" s="36"/>
      <c r="AA1239" s="36"/>
    </row>
    <row r="1240" spans="1:27">
      <c r="A1240" s="36"/>
      <c r="B1240" s="36"/>
      <c r="C1240" s="36"/>
      <c r="D1240" s="36"/>
      <c r="E1240" s="36"/>
      <c r="F1240" s="36"/>
      <c r="G1240" s="36"/>
      <c r="H1240" s="36"/>
      <c r="I1240" s="36"/>
      <c r="J1240" s="36"/>
      <c r="K1240" s="36"/>
      <c r="L1240" s="40"/>
      <c r="M1240" s="36"/>
      <c r="N1240" s="36"/>
      <c r="O1240" s="36"/>
      <c r="P1240" s="36"/>
      <c r="Q1240" s="36"/>
      <c r="R1240" s="36"/>
      <c r="S1240" s="36"/>
      <c r="T1240" s="36"/>
      <c r="U1240" s="36"/>
      <c r="V1240" s="36"/>
      <c r="W1240" s="36"/>
      <c r="X1240" s="36"/>
      <c r="Y1240" s="36"/>
      <c r="Z1240" s="36"/>
      <c r="AA1240" s="36"/>
    </row>
    <row r="1241" spans="1:27">
      <c r="A1241" s="36"/>
      <c r="B1241" s="36"/>
      <c r="C1241" s="36"/>
      <c r="D1241" s="36"/>
      <c r="E1241" s="36"/>
      <c r="F1241" s="36"/>
      <c r="G1241" s="36"/>
      <c r="H1241" s="36"/>
      <c r="I1241" s="36"/>
      <c r="J1241" s="36"/>
      <c r="K1241" s="36"/>
      <c r="L1241" s="40"/>
      <c r="M1241" s="36"/>
      <c r="N1241" s="36"/>
      <c r="O1241" s="36"/>
      <c r="P1241" s="36"/>
      <c r="Q1241" s="36"/>
      <c r="R1241" s="36"/>
      <c r="S1241" s="36"/>
      <c r="T1241" s="36"/>
      <c r="U1241" s="36"/>
      <c r="V1241" s="36"/>
      <c r="W1241" s="36"/>
      <c r="X1241" s="36"/>
      <c r="Y1241" s="36"/>
      <c r="Z1241" s="36"/>
      <c r="AA1241" s="36"/>
    </row>
    <row r="1242" spans="1:27">
      <c r="A1242" s="36"/>
      <c r="B1242" s="36"/>
      <c r="C1242" s="36"/>
      <c r="D1242" s="36"/>
      <c r="E1242" s="36"/>
      <c r="F1242" s="36"/>
      <c r="G1242" s="36"/>
      <c r="H1242" s="36"/>
      <c r="I1242" s="36"/>
      <c r="J1242" s="36"/>
      <c r="K1242" s="36"/>
      <c r="L1242" s="40"/>
      <c r="M1242" s="36"/>
      <c r="N1242" s="36"/>
      <c r="O1242" s="36"/>
      <c r="P1242" s="36"/>
      <c r="Q1242" s="36"/>
      <c r="R1242" s="36"/>
      <c r="S1242" s="36"/>
      <c r="T1242" s="36"/>
      <c r="U1242" s="36"/>
      <c r="V1242" s="36"/>
      <c r="W1242" s="36"/>
      <c r="X1242" s="36"/>
      <c r="Y1242" s="36"/>
      <c r="Z1242" s="36"/>
      <c r="AA1242" s="36"/>
    </row>
    <row r="1243" spans="1:27">
      <c r="A1243" s="36"/>
      <c r="B1243" s="36"/>
      <c r="C1243" s="36"/>
      <c r="D1243" s="36"/>
      <c r="E1243" s="36"/>
      <c r="F1243" s="36"/>
      <c r="G1243" s="36"/>
      <c r="H1243" s="36"/>
      <c r="I1243" s="36"/>
      <c r="J1243" s="36"/>
      <c r="K1243" s="36"/>
      <c r="L1243" s="40"/>
      <c r="M1243" s="36"/>
      <c r="N1243" s="36"/>
      <c r="O1243" s="36"/>
      <c r="P1243" s="36"/>
      <c r="Q1243" s="36"/>
      <c r="R1243" s="36"/>
      <c r="S1243" s="36"/>
      <c r="T1243" s="36"/>
      <c r="U1243" s="36"/>
      <c r="V1243" s="36"/>
      <c r="W1243" s="36"/>
      <c r="X1243" s="36"/>
      <c r="Y1243" s="36"/>
      <c r="Z1243" s="36"/>
      <c r="AA1243" s="36"/>
    </row>
    <row r="1244" spans="1:27">
      <c r="A1244" s="36"/>
      <c r="B1244" s="36"/>
      <c r="C1244" s="36"/>
      <c r="D1244" s="36"/>
      <c r="E1244" s="36"/>
      <c r="F1244" s="36"/>
      <c r="G1244" s="36"/>
      <c r="H1244" s="36"/>
      <c r="I1244" s="36"/>
      <c r="J1244" s="36"/>
      <c r="K1244" s="36"/>
      <c r="L1244" s="40"/>
      <c r="M1244" s="36"/>
      <c r="N1244" s="36"/>
      <c r="O1244" s="36"/>
      <c r="P1244" s="36"/>
      <c r="Q1244" s="36"/>
      <c r="R1244" s="36"/>
      <c r="S1244" s="36"/>
      <c r="T1244" s="36"/>
      <c r="U1244" s="36"/>
      <c r="V1244" s="36"/>
      <c r="W1244" s="36"/>
      <c r="X1244" s="36"/>
      <c r="Y1244" s="36"/>
      <c r="Z1244" s="36"/>
      <c r="AA1244" s="36"/>
    </row>
    <row r="1245" spans="1:27">
      <c r="A1245" s="36"/>
      <c r="B1245" s="36"/>
      <c r="C1245" s="36"/>
      <c r="D1245" s="36"/>
      <c r="E1245" s="36"/>
      <c r="F1245" s="36"/>
      <c r="G1245" s="36"/>
      <c r="H1245" s="36"/>
      <c r="I1245" s="36"/>
      <c r="J1245" s="36"/>
      <c r="K1245" s="36"/>
      <c r="L1245" s="40"/>
      <c r="M1245" s="36"/>
      <c r="N1245" s="36"/>
      <c r="O1245" s="36"/>
      <c r="P1245" s="36"/>
      <c r="Q1245" s="36"/>
      <c r="R1245" s="36"/>
      <c r="S1245" s="36"/>
      <c r="T1245" s="36"/>
      <c r="U1245" s="36"/>
      <c r="V1245" s="36"/>
      <c r="W1245" s="36"/>
      <c r="X1245" s="36"/>
      <c r="Y1245" s="36"/>
      <c r="Z1245" s="36"/>
      <c r="AA1245" s="36"/>
    </row>
    <row r="1246" spans="1:27">
      <c r="A1246" s="36"/>
      <c r="B1246" s="36"/>
      <c r="C1246" s="36"/>
      <c r="D1246" s="36"/>
      <c r="E1246" s="36"/>
      <c r="F1246" s="36"/>
      <c r="G1246" s="36"/>
      <c r="H1246" s="36"/>
      <c r="I1246" s="36"/>
      <c r="J1246" s="36"/>
      <c r="K1246" s="36"/>
      <c r="L1246" s="40"/>
      <c r="M1246" s="36"/>
      <c r="N1246" s="36"/>
      <c r="O1246" s="36"/>
      <c r="P1246" s="36"/>
      <c r="Q1246" s="36"/>
      <c r="R1246" s="36"/>
      <c r="S1246" s="36"/>
      <c r="T1246" s="36"/>
      <c r="U1246" s="36"/>
      <c r="V1246" s="36"/>
      <c r="W1246" s="36"/>
      <c r="X1246" s="36"/>
      <c r="Y1246" s="36"/>
      <c r="Z1246" s="36"/>
      <c r="AA1246" s="36"/>
    </row>
    <row r="1247" spans="1:27">
      <c r="A1247" s="36"/>
      <c r="B1247" s="36"/>
      <c r="C1247" s="36"/>
      <c r="D1247" s="36"/>
      <c r="E1247" s="36"/>
      <c r="F1247" s="36"/>
      <c r="G1247" s="36"/>
      <c r="H1247" s="36"/>
      <c r="I1247" s="36"/>
      <c r="J1247" s="36"/>
      <c r="K1247" s="36"/>
      <c r="L1247" s="40"/>
      <c r="M1247" s="36"/>
      <c r="N1247" s="36"/>
      <c r="O1247" s="36"/>
      <c r="P1247" s="36"/>
      <c r="Q1247" s="36"/>
      <c r="R1247" s="36"/>
      <c r="S1247" s="36"/>
      <c r="T1247" s="36"/>
      <c r="U1247" s="36"/>
      <c r="V1247" s="36"/>
      <c r="W1247" s="36"/>
      <c r="X1247" s="36"/>
      <c r="Y1247" s="36"/>
      <c r="Z1247" s="36"/>
      <c r="AA1247" s="36"/>
    </row>
    <row r="1248" spans="1:27">
      <c r="A1248" s="36"/>
      <c r="B1248" s="36"/>
      <c r="C1248" s="36"/>
      <c r="D1248" s="36"/>
      <c r="E1248" s="36"/>
      <c r="F1248" s="36"/>
      <c r="G1248" s="36"/>
      <c r="H1248" s="36"/>
      <c r="I1248" s="36"/>
      <c r="J1248" s="36"/>
      <c r="K1248" s="36"/>
      <c r="L1248" s="40"/>
      <c r="M1248" s="36"/>
      <c r="N1248" s="36"/>
      <c r="O1248" s="36"/>
      <c r="P1248" s="36"/>
      <c r="Q1248" s="36"/>
      <c r="R1248" s="36"/>
      <c r="S1248" s="36"/>
      <c r="T1248" s="36"/>
      <c r="U1248" s="36"/>
      <c r="V1248" s="36"/>
      <c r="W1248" s="36"/>
      <c r="X1248" s="36"/>
      <c r="Y1248" s="36"/>
      <c r="Z1248" s="36"/>
      <c r="AA1248" s="36"/>
    </row>
    <row r="1249" spans="1:27">
      <c r="A1249" s="36"/>
      <c r="B1249" s="36"/>
      <c r="C1249" s="36"/>
      <c r="D1249" s="36"/>
      <c r="E1249" s="36"/>
      <c r="F1249" s="36"/>
      <c r="G1249" s="36"/>
      <c r="H1249" s="36"/>
      <c r="I1249" s="36"/>
      <c r="J1249" s="36"/>
      <c r="K1249" s="36"/>
      <c r="L1249" s="40"/>
      <c r="M1249" s="36"/>
      <c r="N1249" s="36"/>
      <c r="O1249" s="36"/>
      <c r="P1249" s="36"/>
      <c r="Q1249" s="36"/>
      <c r="R1249" s="36"/>
      <c r="S1249" s="36"/>
      <c r="T1249" s="36"/>
      <c r="U1249" s="36"/>
      <c r="V1249" s="36"/>
      <c r="W1249" s="36"/>
      <c r="X1249" s="36"/>
      <c r="Y1249" s="36"/>
      <c r="Z1249" s="36"/>
      <c r="AA1249" s="36"/>
    </row>
    <row r="1250" spans="1:27">
      <c r="A1250" s="36"/>
      <c r="B1250" s="36"/>
      <c r="C1250" s="36"/>
      <c r="D1250" s="36"/>
      <c r="E1250" s="36"/>
      <c r="F1250" s="36"/>
      <c r="G1250" s="36"/>
      <c r="H1250" s="36"/>
      <c r="I1250" s="36"/>
      <c r="J1250" s="36"/>
      <c r="K1250" s="36"/>
      <c r="L1250" s="40"/>
      <c r="M1250" s="36"/>
      <c r="N1250" s="36"/>
      <c r="O1250" s="36"/>
      <c r="P1250" s="36"/>
      <c r="Q1250" s="36"/>
      <c r="R1250" s="36"/>
      <c r="S1250" s="36"/>
      <c r="T1250" s="36"/>
      <c r="U1250" s="36"/>
      <c r="V1250" s="36"/>
      <c r="W1250" s="36"/>
      <c r="X1250" s="36"/>
      <c r="Y1250" s="36"/>
      <c r="Z1250" s="36"/>
      <c r="AA1250" s="36"/>
    </row>
    <row r="1251" spans="1:27">
      <c r="A1251" s="36"/>
      <c r="B1251" s="36"/>
      <c r="C1251" s="36"/>
      <c r="D1251" s="36"/>
      <c r="E1251" s="36"/>
      <c r="F1251" s="36"/>
      <c r="G1251" s="36"/>
      <c r="H1251" s="36"/>
      <c r="I1251" s="36"/>
      <c r="J1251" s="36"/>
      <c r="K1251" s="36"/>
      <c r="L1251" s="40"/>
      <c r="M1251" s="36"/>
      <c r="N1251" s="36"/>
      <c r="O1251" s="36"/>
      <c r="P1251" s="36"/>
      <c r="Q1251" s="36"/>
      <c r="R1251" s="36"/>
      <c r="S1251" s="36"/>
      <c r="T1251" s="36"/>
      <c r="U1251" s="36"/>
      <c r="V1251" s="36"/>
      <c r="W1251" s="36"/>
      <c r="X1251" s="36"/>
      <c r="Y1251" s="36"/>
      <c r="Z1251" s="36"/>
      <c r="AA1251" s="36"/>
    </row>
    <row r="1252" spans="1:27">
      <c r="A1252" s="36"/>
      <c r="B1252" s="36"/>
      <c r="C1252" s="36"/>
      <c r="D1252" s="36"/>
      <c r="E1252" s="36"/>
      <c r="F1252" s="36"/>
      <c r="G1252" s="36"/>
      <c r="H1252" s="36"/>
      <c r="I1252" s="36"/>
      <c r="J1252" s="36"/>
      <c r="K1252" s="36"/>
      <c r="L1252" s="40"/>
      <c r="M1252" s="36"/>
      <c r="N1252" s="36"/>
      <c r="O1252" s="36"/>
      <c r="P1252" s="36"/>
      <c r="Q1252" s="36"/>
      <c r="R1252" s="36"/>
      <c r="S1252" s="36"/>
      <c r="T1252" s="36"/>
      <c r="U1252" s="36"/>
      <c r="V1252" s="36"/>
      <c r="W1252" s="36"/>
      <c r="X1252" s="36"/>
      <c r="Y1252" s="36"/>
      <c r="Z1252" s="36"/>
      <c r="AA1252" s="36"/>
    </row>
    <row r="1253" spans="1:27">
      <c r="A1253" s="36"/>
      <c r="B1253" s="36"/>
      <c r="C1253" s="36"/>
      <c r="D1253" s="36"/>
      <c r="E1253" s="36"/>
      <c r="F1253" s="36"/>
      <c r="G1253" s="36"/>
      <c r="H1253" s="36"/>
      <c r="I1253" s="36"/>
      <c r="J1253" s="36"/>
      <c r="K1253" s="36"/>
      <c r="L1253" s="40"/>
      <c r="M1253" s="36"/>
      <c r="N1253" s="36"/>
      <c r="O1253" s="36"/>
      <c r="P1253" s="36"/>
      <c r="Q1253" s="36"/>
      <c r="R1253" s="36"/>
      <c r="S1253" s="36"/>
      <c r="T1253" s="36"/>
      <c r="U1253" s="36"/>
      <c r="V1253" s="36"/>
      <c r="W1253" s="36"/>
      <c r="X1253" s="36"/>
      <c r="Y1253" s="36"/>
      <c r="Z1253" s="36"/>
      <c r="AA1253" s="36"/>
    </row>
    <row r="1254" spans="1:27">
      <c r="A1254" s="36"/>
      <c r="B1254" s="36"/>
      <c r="C1254" s="36"/>
      <c r="D1254" s="36"/>
      <c r="E1254" s="36"/>
      <c r="F1254" s="36"/>
      <c r="G1254" s="36"/>
      <c r="H1254" s="36"/>
      <c r="I1254" s="36"/>
      <c r="J1254" s="36"/>
      <c r="K1254" s="36"/>
      <c r="L1254" s="40"/>
      <c r="M1254" s="36"/>
      <c r="N1254" s="36"/>
      <c r="O1254" s="36"/>
      <c r="P1254" s="36"/>
      <c r="Q1254" s="36"/>
      <c r="R1254" s="36"/>
      <c r="S1254" s="36"/>
      <c r="T1254" s="36"/>
      <c r="U1254" s="36"/>
      <c r="V1254" s="36"/>
      <c r="W1254" s="36"/>
      <c r="X1254" s="36"/>
      <c r="Y1254" s="36"/>
      <c r="Z1254" s="36"/>
      <c r="AA1254" s="36"/>
    </row>
    <row r="1255" spans="1:27">
      <c r="A1255" s="36"/>
      <c r="B1255" s="36"/>
      <c r="C1255" s="36"/>
      <c r="D1255" s="36"/>
      <c r="E1255" s="36"/>
      <c r="F1255" s="36"/>
      <c r="G1255" s="36"/>
      <c r="H1255" s="36"/>
      <c r="I1255" s="36"/>
      <c r="J1255" s="36"/>
      <c r="K1255" s="36"/>
      <c r="L1255" s="40"/>
      <c r="M1255" s="36"/>
      <c r="N1255" s="36"/>
      <c r="O1255" s="36"/>
      <c r="P1255" s="36"/>
      <c r="Q1255" s="36"/>
      <c r="R1255" s="36"/>
      <c r="S1255" s="36"/>
      <c r="T1255" s="36"/>
      <c r="U1255" s="36"/>
      <c r="V1255" s="36"/>
      <c r="W1255" s="36"/>
      <c r="X1255" s="36"/>
      <c r="Y1255" s="36"/>
      <c r="Z1255" s="36"/>
      <c r="AA1255" s="36"/>
    </row>
    <row r="1256" spans="1:27">
      <c r="A1256" s="36"/>
      <c r="B1256" s="36"/>
      <c r="C1256" s="36"/>
      <c r="D1256" s="36"/>
      <c r="E1256" s="36"/>
      <c r="F1256" s="36"/>
      <c r="G1256" s="36"/>
      <c r="H1256" s="36"/>
      <c r="I1256" s="36"/>
      <c r="J1256" s="36"/>
      <c r="K1256" s="36"/>
      <c r="L1256" s="40"/>
      <c r="M1256" s="36"/>
      <c r="N1256" s="36"/>
      <c r="O1256" s="36"/>
      <c r="P1256" s="36"/>
      <c r="Q1256" s="36"/>
      <c r="R1256" s="36"/>
      <c r="S1256" s="36"/>
      <c r="T1256" s="36"/>
      <c r="U1256" s="36"/>
      <c r="V1256" s="36"/>
      <c r="W1256" s="36"/>
      <c r="X1256" s="36"/>
      <c r="Y1256" s="36"/>
      <c r="Z1256" s="36"/>
      <c r="AA1256" s="36"/>
    </row>
    <row r="1257" spans="1:27">
      <c r="A1257" s="36"/>
      <c r="B1257" s="36"/>
      <c r="C1257" s="36"/>
      <c r="D1257" s="36"/>
      <c r="E1257" s="36"/>
      <c r="F1257" s="36"/>
      <c r="G1257" s="36"/>
      <c r="H1257" s="36"/>
      <c r="I1257" s="36"/>
      <c r="J1257" s="36"/>
      <c r="K1257" s="36"/>
      <c r="L1257" s="40"/>
      <c r="M1257" s="36"/>
      <c r="N1257" s="36"/>
      <c r="O1257" s="36"/>
      <c r="P1257" s="36"/>
      <c r="Q1257" s="36"/>
      <c r="R1257" s="36"/>
      <c r="S1257" s="36"/>
      <c r="T1257" s="36"/>
      <c r="U1257" s="36"/>
      <c r="V1257" s="36"/>
      <c r="W1257" s="36"/>
      <c r="X1257" s="36"/>
      <c r="Y1257" s="36"/>
      <c r="Z1257" s="36"/>
      <c r="AA1257" s="36"/>
    </row>
    <row r="1258" spans="1:27">
      <c r="A1258" s="36"/>
      <c r="B1258" s="36"/>
      <c r="C1258" s="36"/>
      <c r="D1258" s="36"/>
      <c r="E1258" s="36"/>
      <c r="F1258" s="36"/>
      <c r="G1258" s="36"/>
      <c r="H1258" s="36"/>
      <c r="I1258" s="36"/>
      <c r="J1258" s="36"/>
      <c r="K1258" s="36"/>
      <c r="L1258" s="40"/>
      <c r="M1258" s="36"/>
      <c r="N1258" s="36"/>
      <c r="O1258" s="36"/>
      <c r="P1258" s="36"/>
      <c r="Q1258" s="36"/>
      <c r="R1258" s="36"/>
      <c r="S1258" s="36"/>
      <c r="T1258" s="36"/>
      <c r="U1258" s="36"/>
      <c r="V1258" s="36"/>
      <c r="W1258" s="36"/>
      <c r="X1258" s="36"/>
      <c r="Y1258" s="36"/>
      <c r="Z1258" s="36"/>
      <c r="AA1258" s="36"/>
    </row>
    <row r="1259" spans="1:27">
      <c r="A1259" s="36"/>
      <c r="B1259" s="36"/>
      <c r="C1259" s="36"/>
      <c r="D1259" s="36"/>
      <c r="E1259" s="36"/>
      <c r="F1259" s="36"/>
      <c r="G1259" s="36"/>
      <c r="H1259" s="36"/>
      <c r="I1259" s="36"/>
      <c r="J1259" s="36"/>
      <c r="K1259" s="36"/>
      <c r="L1259" s="40"/>
      <c r="M1259" s="36"/>
      <c r="N1259" s="36"/>
      <c r="O1259" s="36"/>
      <c r="P1259" s="36"/>
      <c r="Q1259" s="36"/>
      <c r="R1259" s="36"/>
      <c r="S1259" s="36"/>
      <c r="T1259" s="36"/>
      <c r="U1259" s="36"/>
      <c r="V1259" s="36"/>
      <c r="W1259" s="36"/>
      <c r="X1259" s="36"/>
      <c r="Y1259" s="36"/>
      <c r="Z1259" s="36"/>
      <c r="AA1259" s="36"/>
    </row>
    <row r="1260" spans="1:27">
      <c r="A1260" s="36"/>
      <c r="B1260" s="36"/>
      <c r="C1260" s="36"/>
      <c r="D1260" s="36"/>
      <c r="E1260" s="36"/>
      <c r="F1260" s="36"/>
      <c r="G1260" s="36"/>
      <c r="H1260" s="36"/>
      <c r="I1260" s="36"/>
      <c r="J1260" s="36"/>
      <c r="K1260" s="36"/>
      <c r="L1260" s="40"/>
      <c r="M1260" s="36"/>
      <c r="N1260" s="36"/>
      <c r="O1260" s="36"/>
      <c r="P1260" s="36"/>
      <c r="Q1260" s="36"/>
      <c r="R1260" s="36"/>
      <c r="S1260" s="36"/>
      <c r="T1260" s="36"/>
      <c r="U1260" s="36"/>
      <c r="V1260" s="36"/>
      <c r="W1260" s="36"/>
      <c r="X1260" s="36"/>
      <c r="Y1260" s="36"/>
      <c r="Z1260" s="36"/>
      <c r="AA1260" s="36"/>
    </row>
    <row r="1261" spans="1:27">
      <c r="A1261" s="36"/>
      <c r="B1261" s="36"/>
      <c r="C1261" s="36"/>
      <c r="D1261" s="36"/>
      <c r="E1261" s="36"/>
      <c r="F1261" s="36"/>
      <c r="G1261" s="36"/>
      <c r="H1261" s="36"/>
      <c r="I1261" s="36"/>
      <c r="J1261" s="36"/>
      <c r="K1261" s="36"/>
      <c r="L1261" s="40"/>
      <c r="M1261" s="36"/>
      <c r="N1261" s="36"/>
      <c r="O1261" s="36"/>
      <c r="P1261" s="36"/>
      <c r="Q1261" s="36"/>
      <c r="R1261" s="36"/>
      <c r="S1261" s="36"/>
      <c r="T1261" s="36"/>
      <c r="U1261" s="36"/>
      <c r="V1261" s="36"/>
      <c r="W1261" s="36"/>
      <c r="X1261" s="36"/>
      <c r="Y1261" s="36"/>
      <c r="Z1261" s="36"/>
      <c r="AA1261" s="36"/>
    </row>
    <row r="1262" spans="1:27">
      <c r="A1262" s="36"/>
      <c r="B1262" s="36"/>
      <c r="C1262" s="36"/>
      <c r="D1262" s="36"/>
      <c r="E1262" s="36"/>
      <c r="F1262" s="36"/>
      <c r="G1262" s="36"/>
      <c r="H1262" s="36"/>
      <c r="I1262" s="36"/>
      <c r="J1262" s="36"/>
      <c r="K1262" s="36"/>
      <c r="L1262" s="40"/>
      <c r="M1262" s="36"/>
      <c r="N1262" s="36"/>
      <c r="O1262" s="36"/>
      <c r="P1262" s="36"/>
      <c r="Q1262" s="36"/>
      <c r="R1262" s="36"/>
      <c r="S1262" s="36"/>
      <c r="T1262" s="36"/>
      <c r="U1262" s="36"/>
      <c r="V1262" s="36"/>
      <c r="W1262" s="36"/>
      <c r="X1262" s="36"/>
      <c r="Y1262" s="36"/>
      <c r="Z1262" s="36"/>
      <c r="AA1262" s="36"/>
    </row>
    <row r="1263" spans="1:27">
      <c r="A1263" s="36"/>
      <c r="B1263" s="36"/>
      <c r="C1263" s="36"/>
      <c r="D1263" s="36"/>
      <c r="E1263" s="36"/>
      <c r="F1263" s="36"/>
      <c r="G1263" s="36"/>
      <c r="H1263" s="36"/>
      <c r="I1263" s="36"/>
      <c r="J1263" s="36"/>
      <c r="K1263" s="36"/>
      <c r="L1263" s="40"/>
      <c r="M1263" s="36"/>
      <c r="N1263" s="36"/>
      <c r="O1263" s="36"/>
      <c r="P1263" s="36"/>
      <c r="Q1263" s="36"/>
      <c r="R1263" s="36"/>
      <c r="S1263" s="36"/>
      <c r="T1263" s="36"/>
      <c r="U1263" s="36"/>
      <c r="V1263" s="36"/>
      <c r="W1263" s="36"/>
      <c r="X1263" s="36"/>
      <c r="Y1263" s="36"/>
      <c r="Z1263" s="36"/>
      <c r="AA1263" s="36"/>
    </row>
    <row r="1264" spans="1:27">
      <c r="A1264" s="36"/>
      <c r="B1264" s="36"/>
      <c r="C1264" s="36"/>
      <c r="D1264" s="36"/>
      <c r="E1264" s="36"/>
      <c r="F1264" s="36"/>
      <c r="G1264" s="36"/>
      <c r="H1264" s="36"/>
      <c r="I1264" s="36"/>
      <c r="J1264" s="36"/>
      <c r="K1264" s="36"/>
      <c r="L1264" s="40"/>
      <c r="M1264" s="36"/>
      <c r="N1264" s="36"/>
      <c r="O1264" s="36"/>
      <c r="P1264" s="36"/>
      <c r="Q1264" s="36"/>
      <c r="R1264" s="36"/>
      <c r="S1264" s="36"/>
      <c r="T1264" s="36"/>
      <c r="U1264" s="36"/>
      <c r="V1264" s="36"/>
      <c r="W1264" s="36"/>
      <c r="X1264" s="36"/>
      <c r="Y1264" s="36"/>
      <c r="Z1264" s="36"/>
      <c r="AA1264" s="36"/>
    </row>
    <row r="1265" spans="1:27">
      <c r="A1265" s="36"/>
      <c r="B1265" s="36"/>
      <c r="C1265" s="36"/>
      <c r="D1265" s="36"/>
      <c r="E1265" s="36"/>
      <c r="F1265" s="36"/>
      <c r="G1265" s="36"/>
      <c r="H1265" s="36"/>
      <c r="I1265" s="36"/>
      <c r="J1265" s="36"/>
      <c r="K1265" s="36"/>
      <c r="L1265" s="40"/>
      <c r="M1265" s="36"/>
      <c r="N1265" s="36"/>
      <c r="O1265" s="36"/>
      <c r="P1265" s="36"/>
      <c r="Q1265" s="36"/>
      <c r="R1265" s="36"/>
      <c r="S1265" s="36"/>
      <c r="T1265" s="36"/>
      <c r="U1265" s="36"/>
      <c r="V1265" s="36"/>
      <c r="W1265" s="36"/>
      <c r="X1265" s="36"/>
      <c r="Y1265" s="36"/>
      <c r="Z1265" s="36"/>
      <c r="AA1265" s="36"/>
    </row>
    <row r="1266" spans="1:27">
      <c r="A1266" s="36"/>
      <c r="B1266" s="36"/>
      <c r="C1266" s="36"/>
      <c r="D1266" s="36"/>
      <c r="E1266" s="36"/>
      <c r="F1266" s="36"/>
      <c r="G1266" s="36"/>
      <c r="H1266" s="36"/>
      <c r="I1266" s="36"/>
      <c r="J1266" s="36"/>
      <c r="K1266" s="36"/>
      <c r="L1266" s="40"/>
      <c r="M1266" s="36"/>
      <c r="N1266" s="36"/>
      <c r="O1266" s="36"/>
      <c r="P1266" s="36"/>
      <c r="Q1266" s="36"/>
      <c r="R1266" s="36"/>
      <c r="S1266" s="36"/>
      <c r="T1266" s="36"/>
      <c r="U1266" s="36"/>
      <c r="V1266" s="36"/>
      <c r="W1266" s="36"/>
      <c r="X1266" s="36"/>
      <c r="Y1266" s="36"/>
      <c r="Z1266" s="36"/>
      <c r="AA1266" s="36"/>
    </row>
    <row r="1267" spans="1:27">
      <c r="A1267" s="36"/>
      <c r="B1267" s="36"/>
      <c r="C1267" s="36"/>
      <c r="D1267" s="36"/>
      <c r="E1267" s="36"/>
      <c r="F1267" s="36"/>
      <c r="G1267" s="36"/>
      <c r="H1267" s="36"/>
      <c r="I1267" s="36"/>
      <c r="J1267" s="36"/>
      <c r="K1267" s="36"/>
      <c r="L1267" s="40"/>
      <c r="M1267" s="36"/>
      <c r="N1267" s="36"/>
      <c r="O1267" s="36"/>
      <c r="P1267" s="36"/>
      <c r="Q1267" s="36"/>
      <c r="R1267" s="36"/>
      <c r="S1267" s="36"/>
      <c r="T1267" s="36"/>
      <c r="U1267" s="36"/>
      <c r="V1267" s="36"/>
      <c r="W1267" s="36"/>
      <c r="X1267" s="36"/>
      <c r="Y1267" s="36"/>
      <c r="Z1267" s="36"/>
      <c r="AA1267" s="36"/>
    </row>
    <row r="1268" spans="1:27">
      <c r="A1268" s="36"/>
      <c r="B1268" s="36"/>
      <c r="C1268" s="36"/>
      <c r="D1268" s="36"/>
      <c r="E1268" s="36"/>
      <c r="F1268" s="36"/>
      <c r="G1268" s="36"/>
      <c r="H1268" s="36"/>
      <c r="I1268" s="36"/>
      <c r="J1268" s="36"/>
      <c r="K1268" s="36"/>
      <c r="L1268" s="40"/>
      <c r="M1268" s="36"/>
      <c r="N1268" s="36"/>
      <c r="O1268" s="36"/>
      <c r="P1268" s="36"/>
      <c r="Q1268" s="36"/>
      <c r="R1268" s="36"/>
      <c r="S1268" s="36"/>
      <c r="T1268" s="36"/>
      <c r="U1268" s="36"/>
      <c r="V1268" s="36"/>
      <c r="W1268" s="36"/>
      <c r="X1268" s="36"/>
      <c r="Y1268" s="36"/>
      <c r="Z1268" s="36"/>
      <c r="AA1268" s="36"/>
    </row>
    <row r="1269" spans="1:27">
      <c r="A1269" s="36"/>
      <c r="B1269" s="36"/>
      <c r="C1269" s="36"/>
      <c r="D1269" s="36"/>
      <c r="E1269" s="36"/>
      <c r="F1269" s="36"/>
      <c r="G1269" s="36"/>
      <c r="H1269" s="36"/>
      <c r="I1269" s="36"/>
      <c r="J1269" s="36"/>
      <c r="K1269" s="36"/>
      <c r="L1269" s="40"/>
      <c r="M1269" s="36"/>
      <c r="N1269" s="36"/>
      <c r="O1269" s="36"/>
      <c r="P1269" s="36"/>
      <c r="Q1269" s="36"/>
      <c r="R1269" s="36"/>
      <c r="S1269" s="36"/>
      <c r="T1269" s="36"/>
      <c r="U1269" s="36"/>
      <c r="V1269" s="36"/>
      <c r="W1269" s="36"/>
      <c r="X1269" s="36"/>
      <c r="Y1269" s="36"/>
      <c r="Z1269" s="36"/>
      <c r="AA1269" s="36"/>
    </row>
    <row r="1270" spans="1:27">
      <c r="A1270" s="36"/>
      <c r="B1270" s="36"/>
      <c r="C1270" s="36"/>
      <c r="D1270" s="36"/>
      <c r="E1270" s="36"/>
      <c r="F1270" s="36"/>
      <c r="G1270" s="36"/>
      <c r="H1270" s="36"/>
      <c r="I1270" s="36"/>
      <c r="J1270" s="36"/>
      <c r="K1270" s="36"/>
      <c r="L1270" s="40"/>
      <c r="M1270" s="36"/>
      <c r="N1270" s="36"/>
      <c r="O1270" s="36"/>
      <c r="P1270" s="36"/>
      <c r="Q1270" s="36"/>
      <c r="R1270" s="36"/>
      <c r="S1270" s="36"/>
      <c r="T1270" s="36"/>
      <c r="U1270" s="36"/>
      <c r="V1270" s="36"/>
      <c r="W1270" s="36"/>
      <c r="X1270" s="36"/>
      <c r="Y1270" s="36"/>
      <c r="Z1270" s="36"/>
      <c r="AA1270" s="36"/>
    </row>
    <row r="1271" spans="1:27">
      <c r="A1271" s="36"/>
      <c r="B1271" s="36"/>
      <c r="C1271" s="36"/>
      <c r="D1271" s="36"/>
      <c r="E1271" s="36"/>
      <c r="F1271" s="36"/>
      <c r="G1271" s="36"/>
      <c r="H1271" s="36"/>
      <c r="I1271" s="36"/>
      <c r="J1271" s="36"/>
      <c r="K1271" s="36"/>
      <c r="L1271" s="40"/>
      <c r="M1271" s="36"/>
      <c r="N1271" s="36"/>
      <c r="O1271" s="36"/>
      <c r="P1271" s="36"/>
      <c r="Q1271" s="36"/>
      <c r="R1271" s="36"/>
      <c r="S1271" s="36"/>
      <c r="T1271" s="36"/>
      <c r="U1271" s="36"/>
      <c r="V1271" s="36"/>
      <c r="W1271" s="36"/>
      <c r="X1271" s="36"/>
      <c r="Y1271" s="36"/>
      <c r="Z1271" s="36"/>
      <c r="AA1271" s="36"/>
    </row>
    <row r="1272" spans="1:27">
      <c r="A1272" s="36"/>
      <c r="B1272" s="36"/>
      <c r="C1272" s="36"/>
      <c r="D1272" s="36"/>
      <c r="E1272" s="36"/>
      <c r="F1272" s="36"/>
      <c r="G1272" s="36"/>
      <c r="H1272" s="36"/>
      <c r="I1272" s="36"/>
      <c r="J1272" s="36"/>
      <c r="K1272" s="36"/>
      <c r="L1272" s="40"/>
      <c r="M1272" s="36"/>
      <c r="N1272" s="36"/>
      <c r="O1272" s="36"/>
      <c r="P1272" s="36"/>
      <c r="Q1272" s="36"/>
      <c r="R1272" s="36"/>
      <c r="S1272" s="36"/>
      <c r="T1272" s="36"/>
      <c r="U1272" s="36"/>
      <c r="V1272" s="36"/>
      <c r="W1272" s="36"/>
      <c r="X1272" s="36"/>
      <c r="Y1272" s="36"/>
      <c r="Z1272" s="36"/>
      <c r="AA1272" s="36"/>
    </row>
    <row r="1273" spans="1:27">
      <c r="A1273" s="36"/>
      <c r="B1273" s="36"/>
      <c r="C1273" s="36"/>
      <c r="D1273" s="36"/>
      <c r="E1273" s="36"/>
      <c r="F1273" s="36"/>
      <c r="G1273" s="36"/>
      <c r="H1273" s="36"/>
      <c r="I1273" s="36"/>
      <c r="J1273" s="36"/>
      <c r="K1273" s="36"/>
      <c r="L1273" s="40"/>
      <c r="M1273" s="36"/>
      <c r="N1273" s="36"/>
      <c r="O1273" s="36"/>
      <c r="P1273" s="36"/>
      <c r="Q1273" s="36"/>
      <c r="R1273" s="36"/>
      <c r="S1273" s="36"/>
      <c r="T1273" s="36"/>
      <c r="U1273" s="36"/>
      <c r="V1273" s="36"/>
      <c r="W1273" s="36"/>
      <c r="X1273" s="36"/>
      <c r="Y1273" s="36"/>
      <c r="Z1273" s="36"/>
      <c r="AA1273" s="36"/>
    </row>
    <row r="1274" spans="1:27">
      <c r="A1274" s="36"/>
      <c r="B1274" s="36"/>
      <c r="C1274" s="36"/>
      <c r="D1274" s="36"/>
      <c r="E1274" s="36"/>
      <c r="F1274" s="36"/>
      <c r="G1274" s="36"/>
      <c r="H1274" s="36"/>
      <c r="I1274" s="36"/>
      <c r="J1274" s="36"/>
      <c r="K1274" s="36"/>
      <c r="L1274" s="40"/>
      <c r="M1274" s="36"/>
      <c r="N1274" s="36"/>
      <c r="O1274" s="36"/>
      <c r="P1274" s="36"/>
      <c r="Q1274" s="36"/>
      <c r="R1274" s="36"/>
      <c r="S1274" s="36"/>
      <c r="T1274" s="36"/>
      <c r="U1274" s="36"/>
      <c r="V1274" s="36"/>
      <c r="W1274" s="36"/>
      <c r="X1274" s="36"/>
      <c r="Y1274" s="36"/>
      <c r="Z1274" s="36"/>
      <c r="AA1274" s="36"/>
    </row>
    <row r="1275" spans="1:27">
      <c r="A1275" s="36"/>
      <c r="B1275" s="36"/>
      <c r="C1275" s="36"/>
      <c r="D1275" s="36"/>
      <c r="E1275" s="36"/>
      <c r="F1275" s="36"/>
      <c r="G1275" s="36"/>
      <c r="H1275" s="36"/>
      <c r="I1275" s="36"/>
      <c r="J1275" s="36"/>
      <c r="K1275" s="36"/>
      <c r="L1275" s="40"/>
      <c r="M1275" s="36"/>
      <c r="N1275" s="36"/>
      <c r="O1275" s="36"/>
      <c r="P1275" s="36"/>
      <c r="Q1275" s="36"/>
      <c r="R1275" s="36"/>
      <c r="S1275" s="36"/>
      <c r="T1275" s="36"/>
      <c r="U1275" s="36"/>
      <c r="V1275" s="36"/>
      <c r="W1275" s="36"/>
      <c r="X1275" s="36"/>
      <c r="Y1275" s="36"/>
      <c r="Z1275" s="36"/>
      <c r="AA1275" s="36"/>
    </row>
    <row r="1276" spans="1:27">
      <c r="A1276" s="36"/>
      <c r="B1276" s="36"/>
      <c r="C1276" s="36"/>
      <c r="D1276" s="36"/>
      <c r="E1276" s="36"/>
      <c r="F1276" s="36"/>
      <c r="G1276" s="36"/>
      <c r="H1276" s="36"/>
      <c r="I1276" s="36"/>
      <c r="J1276" s="36"/>
      <c r="K1276" s="36"/>
      <c r="L1276" s="40"/>
      <c r="M1276" s="36"/>
      <c r="N1276" s="36"/>
      <c r="O1276" s="36"/>
      <c r="P1276" s="36"/>
      <c r="Q1276" s="36"/>
      <c r="R1276" s="36"/>
      <c r="S1276" s="36"/>
      <c r="T1276" s="36"/>
      <c r="U1276" s="36"/>
      <c r="V1276" s="36"/>
      <c r="W1276" s="36"/>
      <c r="X1276" s="36"/>
      <c r="Y1276" s="36"/>
      <c r="Z1276" s="36"/>
      <c r="AA1276" s="36"/>
    </row>
    <row r="1277" spans="1:27">
      <c r="A1277" s="36"/>
      <c r="B1277" s="36"/>
      <c r="C1277" s="36"/>
      <c r="D1277" s="36"/>
      <c r="E1277" s="36"/>
      <c r="F1277" s="36"/>
      <c r="G1277" s="36"/>
      <c r="H1277" s="36"/>
      <c r="I1277" s="36"/>
      <c r="J1277" s="36"/>
      <c r="K1277" s="36"/>
      <c r="L1277" s="40"/>
      <c r="M1277" s="36"/>
      <c r="N1277" s="36"/>
      <c r="O1277" s="36"/>
      <c r="P1277" s="36"/>
      <c r="Q1277" s="36"/>
      <c r="R1277" s="36"/>
      <c r="S1277" s="36"/>
      <c r="T1277" s="36"/>
      <c r="U1277" s="36"/>
      <c r="V1277" s="36"/>
      <c r="W1277" s="36"/>
      <c r="X1277" s="36"/>
      <c r="Y1277" s="36"/>
      <c r="Z1277" s="36"/>
      <c r="AA1277" s="36"/>
    </row>
    <row r="1278" spans="1:27">
      <c r="A1278" s="36"/>
      <c r="B1278" s="36"/>
      <c r="C1278" s="36"/>
      <c r="D1278" s="36"/>
      <c r="E1278" s="36"/>
      <c r="F1278" s="36"/>
      <c r="G1278" s="36"/>
      <c r="H1278" s="36"/>
      <c r="I1278" s="36"/>
      <c r="J1278" s="36"/>
      <c r="K1278" s="36"/>
      <c r="L1278" s="40"/>
      <c r="M1278" s="36"/>
      <c r="N1278" s="36"/>
      <c r="O1278" s="36"/>
      <c r="P1278" s="36"/>
      <c r="Q1278" s="36"/>
      <c r="R1278" s="36"/>
      <c r="S1278" s="36"/>
      <c r="T1278" s="36"/>
      <c r="U1278" s="36"/>
      <c r="V1278" s="36"/>
      <c r="W1278" s="36"/>
      <c r="X1278" s="36"/>
      <c r="Y1278" s="36"/>
      <c r="Z1278" s="36"/>
      <c r="AA1278" s="36"/>
    </row>
    <row r="1279" spans="1:27">
      <c r="A1279" s="36"/>
      <c r="B1279" s="36"/>
      <c r="C1279" s="36"/>
      <c r="D1279" s="36"/>
      <c r="E1279" s="36"/>
      <c r="F1279" s="36"/>
      <c r="G1279" s="36"/>
      <c r="H1279" s="36"/>
      <c r="I1279" s="36"/>
      <c r="J1279" s="36"/>
      <c r="K1279" s="36"/>
      <c r="L1279" s="40"/>
      <c r="M1279" s="36"/>
      <c r="N1279" s="36"/>
      <c r="O1279" s="36"/>
      <c r="P1279" s="36"/>
      <c r="Q1279" s="36"/>
      <c r="R1279" s="36"/>
      <c r="S1279" s="36"/>
      <c r="T1279" s="36"/>
      <c r="U1279" s="36"/>
      <c r="V1279" s="36"/>
      <c r="W1279" s="36"/>
      <c r="X1279" s="36"/>
      <c r="Y1279" s="36"/>
      <c r="Z1279" s="36"/>
      <c r="AA1279" s="36"/>
    </row>
    <row r="1280" spans="1:27">
      <c r="A1280" s="36"/>
      <c r="B1280" s="36"/>
      <c r="C1280" s="36"/>
      <c r="D1280" s="36"/>
      <c r="E1280" s="36"/>
      <c r="F1280" s="36"/>
      <c r="G1280" s="36"/>
      <c r="H1280" s="36"/>
      <c r="I1280" s="36"/>
      <c r="J1280" s="36"/>
      <c r="K1280" s="36"/>
      <c r="L1280" s="40"/>
      <c r="M1280" s="36"/>
      <c r="N1280" s="36"/>
      <c r="O1280" s="36"/>
      <c r="P1280" s="36"/>
      <c r="Q1280" s="36"/>
      <c r="R1280" s="36"/>
      <c r="S1280" s="36"/>
      <c r="T1280" s="36"/>
      <c r="U1280" s="36"/>
      <c r="V1280" s="36"/>
      <c r="W1280" s="36"/>
      <c r="X1280" s="36"/>
      <c r="Y1280" s="36"/>
      <c r="Z1280" s="36"/>
      <c r="AA1280" s="36"/>
    </row>
    <row r="1281" spans="1:27">
      <c r="A1281" s="36"/>
      <c r="B1281" s="36"/>
      <c r="C1281" s="36"/>
      <c r="D1281" s="36"/>
      <c r="E1281" s="36"/>
      <c r="F1281" s="36"/>
      <c r="G1281" s="36"/>
      <c r="H1281" s="36"/>
      <c r="I1281" s="36"/>
      <c r="J1281" s="36"/>
      <c r="K1281" s="36"/>
      <c r="L1281" s="40"/>
      <c r="M1281" s="36"/>
      <c r="N1281" s="36"/>
      <c r="O1281" s="36"/>
      <c r="P1281" s="36"/>
      <c r="Q1281" s="36"/>
      <c r="R1281" s="36"/>
      <c r="S1281" s="36"/>
      <c r="T1281" s="36"/>
      <c r="U1281" s="36"/>
      <c r="V1281" s="36"/>
      <c r="W1281" s="36"/>
      <c r="X1281" s="36"/>
      <c r="Y1281" s="36"/>
      <c r="Z1281" s="36"/>
      <c r="AA1281" s="36"/>
    </row>
    <row r="1282" spans="1:27">
      <c r="A1282" s="36"/>
      <c r="B1282" s="36"/>
      <c r="C1282" s="36"/>
      <c r="D1282" s="36"/>
      <c r="E1282" s="36"/>
      <c r="F1282" s="36"/>
      <c r="G1282" s="36"/>
      <c r="H1282" s="36"/>
      <c r="I1282" s="36"/>
      <c r="J1282" s="36"/>
      <c r="K1282" s="36"/>
      <c r="L1282" s="40"/>
      <c r="M1282" s="36"/>
      <c r="N1282" s="36"/>
      <c r="O1282" s="36"/>
      <c r="P1282" s="36"/>
      <c r="Q1282" s="36"/>
      <c r="R1282" s="36"/>
      <c r="S1282" s="36"/>
      <c r="T1282" s="36"/>
      <c r="U1282" s="36"/>
      <c r="V1282" s="36"/>
      <c r="W1282" s="36"/>
      <c r="X1282" s="36"/>
      <c r="Y1282" s="36"/>
      <c r="Z1282" s="36"/>
      <c r="AA1282" s="36"/>
    </row>
    <row r="1283" spans="1:27">
      <c r="A1283" s="36"/>
      <c r="B1283" s="36"/>
      <c r="C1283" s="36"/>
      <c r="D1283" s="36"/>
      <c r="E1283" s="36"/>
      <c r="F1283" s="36"/>
      <c r="G1283" s="36"/>
      <c r="H1283" s="36"/>
      <c r="I1283" s="36"/>
      <c r="J1283" s="36"/>
      <c r="K1283" s="36"/>
      <c r="L1283" s="40"/>
      <c r="M1283" s="36"/>
      <c r="N1283" s="36"/>
      <c r="O1283" s="36"/>
      <c r="P1283" s="36"/>
      <c r="Q1283" s="36"/>
      <c r="R1283" s="36"/>
      <c r="S1283" s="36"/>
      <c r="T1283" s="36"/>
      <c r="U1283" s="36"/>
      <c r="V1283" s="36"/>
      <c r="W1283" s="36"/>
      <c r="X1283" s="36"/>
      <c r="Y1283" s="36"/>
      <c r="Z1283" s="36"/>
      <c r="AA1283" s="36"/>
    </row>
    <row r="1284" spans="1:27">
      <c r="A1284" s="36"/>
      <c r="B1284" s="36"/>
      <c r="C1284" s="36"/>
      <c r="D1284" s="36"/>
      <c r="E1284" s="36"/>
      <c r="F1284" s="36"/>
      <c r="G1284" s="36"/>
      <c r="H1284" s="36"/>
      <c r="I1284" s="36"/>
      <c r="J1284" s="36"/>
      <c r="K1284" s="36"/>
      <c r="L1284" s="40"/>
      <c r="M1284" s="36"/>
      <c r="N1284" s="36"/>
      <c r="O1284" s="36"/>
      <c r="P1284" s="36"/>
      <c r="Q1284" s="36"/>
      <c r="R1284" s="36"/>
      <c r="S1284" s="36"/>
      <c r="T1284" s="36"/>
      <c r="U1284" s="36"/>
      <c r="V1284" s="36"/>
      <c r="W1284" s="36"/>
      <c r="X1284" s="36"/>
      <c r="Y1284" s="36"/>
      <c r="Z1284" s="36"/>
      <c r="AA1284" s="36"/>
    </row>
    <row r="1285" spans="1:27">
      <c r="A1285" s="36"/>
      <c r="B1285" s="36"/>
      <c r="C1285" s="36"/>
      <c r="D1285" s="36"/>
      <c r="E1285" s="36"/>
      <c r="F1285" s="36"/>
      <c r="G1285" s="36"/>
      <c r="H1285" s="36"/>
      <c r="I1285" s="36"/>
      <c r="J1285" s="36"/>
      <c r="K1285" s="36"/>
      <c r="L1285" s="40"/>
      <c r="M1285" s="36"/>
      <c r="N1285" s="36"/>
      <c r="O1285" s="36"/>
      <c r="P1285" s="36"/>
      <c r="Q1285" s="36"/>
      <c r="R1285" s="36"/>
      <c r="S1285" s="36"/>
      <c r="T1285" s="36"/>
      <c r="U1285" s="36"/>
      <c r="V1285" s="36"/>
      <c r="W1285" s="36"/>
      <c r="X1285" s="36"/>
      <c r="Y1285" s="36"/>
      <c r="Z1285" s="36"/>
      <c r="AA1285" s="36"/>
    </row>
    <row r="1286" spans="1:27">
      <c r="A1286" s="36"/>
      <c r="B1286" s="36"/>
      <c r="C1286" s="36"/>
      <c r="D1286" s="36"/>
      <c r="E1286" s="36"/>
      <c r="F1286" s="36"/>
      <c r="G1286" s="36"/>
      <c r="H1286" s="36"/>
      <c r="I1286" s="36"/>
      <c r="J1286" s="36"/>
      <c r="K1286" s="36"/>
      <c r="L1286" s="40"/>
      <c r="M1286" s="36"/>
      <c r="N1286" s="36"/>
      <c r="O1286" s="36"/>
      <c r="P1286" s="36"/>
      <c r="Q1286" s="36"/>
      <c r="R1286" s="36"/>
      <c r="S1286" s="36"/>
      <c r="T1286" s="36"/>
      <c r="U1286" s="36"/>
      <c r="V1286" s="36"/>
      <c r="W1286" s="36"/>
      <c r="X1286" s="36"/>
      <c r="Y1286" s="36"/>
      <c r="Z1286" s="36"/>
      <c r="AA1286" s="36"/>
    </row>
    <row r="1287" spans="1:27">
      <c r="A1287" s="36"/>
      <c r="B1287" s="36"/>
      <c r="C1287" s="36"/>
      <c r="D1287" s="36"/>
      <c r="E1287" s="36"/>
      <c r="F1287" s="36"/>
      <c r="G1287" s="36"/>
      <c r="H1287" s="36"/>
      <c r="I1287" s="36"/>
      <c r="J1287" s="36"/>
      <c r="K1287" s="36"/>
      <c r="L1287" s="40"/>
      <c r="M1287" s="36"/>
      <c r="N1287" s="36"/>
      <c r="O1287" s="36"/>
      <c r="P1287" s="36"/>
      <c r="Q1287" s="36"/>
      <c r="R1287" s="36"/>
      <c r="S1287" s="36"/>
      <c r="T1287" s="36"/>
      <c r="U1287" s="36"/>
      <c r="V1287" s="36"/>
      <c r="W1287" s="36"/>
      <c r="X1287" s="36"/>
      <c r="Y1287" s="36"/>
      <c r="Z1287" s="36"/>
      <c r="AA1287" s="36"/>
    </row>
    <row r="1288" spans="1:27">
      <c r="A1288" s="36"/>
      <c r="B1288" s="36"/>
      <c r="C1288" s="36"/>
      <c r="D1288" s="36"/>
      <c r="E1288" s="36"/>
      <c r="F1288" s="36"/>
      <c r="G1288" s="36"/>
      <c r="H1288" s="36"/>
      <c r="I1288" s="36"/>
      <c r="J1288" s="36"/>
      <c r="K1288" s="36"/>
      <c r="L1288" s="40"/>
      <c r="M1288" s="36"/>
      <c r="N1288" s="36"/>
      <c r="O1288" s="36"/>
      <c r="P1288" s="36"/>
      <c r="Q1288" s="36"/>
      <c r="R1288" s="36"/>
      <c r="S1288" s="36"/>
      <c r="T1288" s="36"/>
      <c r="U1288" s="36"/>
      <c r="V1288" s="36"/>
      <c r="W1288" s="36"/>
      <c r="X1288" s="36"/>
      <c r="Y1288" s="36"/>
      <c r="Z1288" s="36"/>
      <c r="AA1288" s="36"/>
    </row>
    <row r="1289" spans="1:27">
      <c r="A1289" s="36"/>
      <c r="B1289" s="36"/>
      <c r="C1289" s="36"/>
      <c r="D1289" s="36"/>
      <c r="E1289" s="36"/>
      <c r="F1289" s="36"/>
      <c r="G1289" s="36"/>
      <c r="H1289" s="36"/>
      <c r="I1289" s="36"/>
      <c r="J1289" s="36"/>
      <c r="K1289" s="36"/>
      <c r="L1289" s="40"/>
      <c r="M1289" s="36"/>
      <c r="N1289" s="36"/>
      <c r="O1289" s="36"/>
      <c r="P1289" s="36"/>
      <c r="Q1289" s="36"/>
      <c r="R1289" s="36"/>
      <c r="S1289" s="36"/>
      <c r="T1289" s="36"/>
      <c r="U1289" s="36"/>
      <c r="V1289" s="36"/>
      <c r="W1289" s="36"/>
      <c r="X1289" s="36"/>
      <c r="Y1289" s="36"/>
      <c r="Z1289" s="36"/>
      <c r="AA1289" s="36"/>
    </row>
    <row r="1290" spans="1:27">
      <c r="A1290" s="36"/>
      <c r="B1290" s="36"/>
      <c r="C1290" s="36"/>
      <c r="D1290" s="36"/>
      <c r="E1290" s="36"/>
      <c r="F1290" s="36"/>
      <c r="G1290" s="36"/>
      <c r="H1290" s="36"/>
      <c r="I1290" s="36"/>
      <c r="J1290" s="36"/>
      <c r="K1290" s="36"/>
      <c r="L1290" s="40"/>
      <c r="M1290" s="36"/>
      <c r="N1290" s="36"/>
      <c r="O1290" s="36"/>
      <c r="P1290" s="36"/>
      <c r="Q1290" s="36"/>
      <c r="R1290" s="36"/>
      <c r="S1290" s="36"/>
      <c r="T1290" s="36"/>
      <c r="U1290" s="36"/>
      <c r="V1290" s="36"/>
      <c r="W1290" s="36"/>
      <c r="X1290" s="36"/>
      <c r="Y1290" s="36"/>
      <c r="Z1290" s="36"/>
      <c r="AA1290" s="36"/>
    </row>
    <row r="1291" spans="1:27">
      <c r="A1291" s="36"/>
      <c r="B1291" s="36"/>
      <c r="C1291" s="36"/>
      <c r="D1291" s="36"/>
      <c r="E1291" s="36"/>
      <c r="F1291" s="36"/>
      <c r="G1291" s="36"/>
      <c r="H1291" s="36"/>
      <c r="I1291" s="36"/>
      <c r="J1291" s="36"/>
      <c r="K1291" s="36"/>
      <c r="L1291" s="40"/>
      <c r="M1291" s="36"/>
      <c r="N1291" s="36"/>
      <c r="O1291" s="36"/>
      <c r="P1291" s="36"/>
      <c r="Q1291" s="36"/>
      <c r="R1291" s="36"/>
      <c r="S1291" s="36"/>
      <c r="T1291" s="36"/>
      <c r="U1291" s="36"/>
      <c r="V1291" s="36"/>
      <c r="W1291" s="36"/>
      <c r="X1291" s="36"/>
      <c r="Y1291" s="36"/>
      <c r="Z1291" s="36"/>
      <c r="AA1291" s="36"/>
    </row>
    <row r="1292" spans="1:27">
      <c r="A1292" s="36"/>
      <c r="B1292" s="36"/>
      <c r="C1292" s="36"/>
      <c r="D1292" s="36"/>
      <c r="E1292" s="36"/>
      <c r="F1292" s="36"/>
      <c r="G1292" s="36"/>
      <c r="H1292" s="36"/>
      <c r="I1292" s="36"/>
      <c r="J1292" s="36"/>
      <c r="K1292" s="36"/>
      <c r="L1292" s="40"/>
      <c r="M1292" s="36"/>
      <c r="N1292" s="36"/>
      <c r="O1292" s="36"/>
      <c r="P1292" s="36"/>
      <c r="Q1292" s="36"/>
      <c r="R1292" s="36"/>
      <c r="S1292" s="36"/>
      <c r="T1292" s="36"/>
      <c r="U1292" s="36"/>
      <c r="V1292" s="36"/>
      <c r="W1292" s="36"/>
      <c r="X1292" s="36"/>
      <c r="Y1292" s="36"/>
      <c r="Z1292" s="36"/>
      <c r="AA1292" s="36"/>
    </row>
    <row r="1293" spans="1:27">
      <c r="A1293" s="36"/>
      <c r="B1293" s="36"/>
      <c r="C1293" s="36"/>
      <c r="D1293" s="36"/>
      <c r="E1293" s="36"/>
      <c r="F1293" s="36"/>
      <c r="G1293" s="36"/>
      <c r="H1293" s="36"/>
      <c r="I1293" s="36"/>
      <c r="J1293" s="36"/>
      <c r="K1293" s="36"/>
      <c r="L1293" s="40"/>
      <c r="M1293" s="36"/>
      <c r="N1293" s="36"/>
      <c r="O1293" s="36"/>
      <c r="P1293" s="36"/>
      <c r="Q1293" s="36"/>
      <c r="R1293" s="36"/>
      <c r="S1293" s="36"/>
      <c r="T1293" s="36"/>
      <c r="U1293" s="36"/>
      <c r="V1293" s="36"/>
      <c r="W1293" s="36"/>
      <c r="X1293" s="36"/>
      <c r="Y1293" s="36"/>
      <c r="Z1293" s="36"/>
      <c r="AA1293" s="36"/>
    </row>
    <row r="1294" spans="1:27">
      <c r="A1294" s="36"/>
      <c r="B1294" s="36"/>
      <c r="C1294" s="36"/>
      <c r="D1294" s="36"/>
      <c r="E1294" s="36"/>
      <c r="F1294" s="36"/>
      <c r="G1294" s="36"/>
      <c r="H1294" s="36"/>
      <c r="I1294" s="36"/>
      <c r="J1294" s="36"/>
      <c r="K1294" s="36"/>
      <c r="L1294" s="40"/>
      <c r="M1294" s="36"/>
      <c r="N1294" s="36"/>
      <c r="O1294" s="36"/>
      <c r="P1294" s="36"/>
      <c r="Q1294" s="36"/>
      <c r="R1294" s="36"/>
      <c r="S1294" s="36"/>
      <c r="T1294" s="36"/>
      <c r="U1294" s="36"/>
      <c r="V1294" s="36"/>
      <c r="W1294" s="36"/>
      <c r="X1294" s="36"/>
      <c r="Y1294" s="36"/>
      <c r="Z1294" s="36"/>
      <c r="AA1294" s="36"/>
    </row>
    <row r="1295" spans="1:27">
      <c r="A1295" s="36"/>
      <c r="B1295" s="36"/>
      <c r="C1295" s="36"/>
      <c r="D1295" s="36"/>
      <c r="E1295" s="36"/>
      <c r="F1295" s="36"/>
      <c r="G1295" s="36"/>
      <c r="H1295" s="36"/>
      <c r="I1295" s="36"/>
      <c r="J1295" s="36"/>
      <c r="K1295" s="36"/>
      <c r="L1295" s="40"/>
      <c r="M1295" s="36"/>
      <c r="N1295" s="36"/>
      <c r="O1295" s="36"/>
      <c r="P1295" s="36"/>
      <c r="Q1295" s="36"/>
      <c r="R1295" s="36"/>
      <c r="S1295" s="36"/>
      <c r="T1295" s="36"/>
      <c r="U1295" s="36"/>
      <c r="V1295" s="36"/>
      <c r="W1295" s="36"/>
      <c r="X1295" s="36"/>
      <c r="Y1295" s="36"/>
      <c r="Z1295" s="36"/>
      <c r="AA1295" s="36"/>
    </row>
    <row r="1296" spans="1:27">
      <c r="A1296" s="36"/>
      <c r="B1296" s="36"/>
      <c r="C1296" s="36"/>
      <c r="D1296" s="36"/>
      <c r="E1296" s="36"/>
      <c r="F1296" s="36"/>
      <c r="G1296" s="36"/>
      <c r="H1296" s="36"/>
      <c r="I1296" s="36"/>
      <c r="J1296" s="36"/>
      <c r="K1296" s="36"/>
      <c r="L1296" s="40"/>
      <c r="M1296" s="36"/>
      <c r="N1296" s="36"/>
      <c r="O1296" s="36"/>
      <c r="P1296" s="36"/>
      <c r="Q1296" s="36"/>
      <c r="R1296" s="36"/>
      <c r="S1296" s="36"/>
      <c r="T1296" s="36"/>
      <c r="U1296" s="36"/>
      <c r="V1296" s="36"/>
      <c r="W1296" s="36"/>
      <c r="X1296" s="36"/>
      <c r="Y1296" s="36"/>
      <c r="Z1296" s="36"/>
      <c r="AA1296" s="36"/>
    </row>
    <row r="1297" spans="1:27">
      <c r="A1297" s="36"/>
      <c r="B1297" s="36"/>
      <c r="C1297" s="36"/>
      <c r="D1297" s="36"/>
      <c r="E1297" s="36"/>
      <c r="F1297" s="36"/>
      <c r="G1297" s="36"/>
      <c r="H1297" s="36"/>
      <c r="I1297" s="36"/>
      <c r="J1297" s="36"/>
      <c r="K1297" s="36"/>
      <c r="L1297" s="40"/>
      <c r="M1297" s="36"/>
      <c r="N1297" s="36"/>
      <c r="O1297" s="36"/>
      <c r="P1297" s="36"/>
      <c r="Q1297" s="36"/>
      <c r="R1297" s="36"/>
      <c r="S1297" s="36"/>
      <c r="T1297" s="36"/>
      <c r="U1297" s="36"/>
      <c r="V1297" s="36"/>
      <c r="W1297" s="36"/>
      <c r="X1297" s="36"/>
      <c r="Y1297" s="36"/>
      <c r="Z1297" s="36"/>
      <c r="AA1297" s="36"/>
    </row>
    <row r="1298" spans="1:27">
      <c r="A1298" s="36"/>
      <c r="B1298" s="36"/>
      <c r="C1298" s="36"/>
      <c r="D1298" s="36"/>
      <c r="E1298" s="36"/>
      <c r="F1298" s="36"/>
      <c r="G1298" s="36"/>
      <c r="H1298" s="36"/>
      <c r="I1298" s="36"/>
      <c r="J1298" s="36"/>
      <c r="K1298" s="36"/>
      <c r="L1298" s="40"/>
      <c r="M1298" s="36"/>
      <c r="N1298" s="36"/>
      <c r="O1298" s="36"/>
      <c r="P1298" s="36"/>
      <c r="Q1298" s="36"/>
      <c r="R1298" s="36"/>
      <c r="S1298" s="36"/>
      <c r="T1298" s="36"/>
      <c r="U1298" s="36"/>
      <c r="V1298" s="36"/>
      <c r="W1298" s="36"/>
      <c r="X1298" s="36"/>
      <c r="Y1298" s="36"/>
      <c r="Z1298" s="36"/>
      <c r="AA1298" s="36"/>
    </row>
    <row r="1299" spans="1:27">
      <c r="A1299" s="36"/>
      <c r="B1299" s="36"/>
      <c r="C1299" s="36"/>
      <c r="D1299" s="36"/>
      <c r="E1299" s="36"/>
      <c r="F1299" s="36"/>
      <c r="G1299" s="36"/>
      <c r="H1299" s="36"/>
      <c r="I1299" s="36"/>
      <c r="J1299" s="36"/>
      <c r="K1299" s="36"/>
      <c r="L1299" s="40"/>
      <c r="M1299" s="36"/>
      <c r="N1299" s="36"/>
      <c r="O1299" s="36"/>
      <c r="P1299" s="36"/>
      <c r="Q1299" s="36"/>
      <c r="R1299" s="36"/>
      <c r="S1299" s="36"/>
      <c r="T1299" s="36"/>
      <c r="U1299" s="36"/>
      <c r="V1299" s="36"/>
      <c r="W1299" s="36"/>
      <c r="X1299" s="36"/>
      <c r="Y1299" s="36"/>
      <c r="Z1299" s="36"/>
      <c r="AA1299" s="36"/>
    </row>
    <row r="1300" spans="1:27">
      <c r="A1300" s="36"/>
      <c r="B1300" s="36"/>
      <c r="C1300" s="36"/>
      <c r="D1300" s="36"/>
      <c r="E1300" s="36"/>
      <c r="F1300" s="36"/>
      <c r="G1300" s="36"/>
      <c r="H1300" s="36"/>
      <c r="I1300" s="36"/>
      <c r="J1300" s="36"/>
      <c r="K1300" s="36"/>
      <c r="L1300" s="40"/>
      <c r="M1300" s="36"/>
      <c r="N1300" s="36"/>
      <c r="O1300" s="36"/>
      <c r="P1300" s="36"/>
      <c r="Q1300" s="36"/>
      <c r="R1300" s="36"/>
      <c r="S1300" s="36"/>
      <c r="T1300" s="36"/>
      <c r="U1300" s="36"/>
      <c r="V1300" s="36"/>
      <c r="W1300" s="36"/>
      <c r="X1300" s="36"/>
      <c r="Y1300" s="36"/>
      <c r="Z1300" s="36"/>
      <c r="AA1300" s="36"/>
    </row>
    <row r="1301" spans="1:27">
      <c r="A1301" s="36"/>
      <c r="B1301" s="36"/>
      <c r="C1301" s="36"/>
      <c r="D1301" s="36"/>
      <c r="E1301" s="36"/>
      <c r="F1301" s="36"/>
      <c r="G1301" s="36"/>
      <c r="H1301" s="36"/>
      <c r="I1301" s="36"/>
      <c r="J1301" s="36"/>
      <c r="K1301" s="36"/>
      <c r="L1301" s="40"/>
      <c r="M1301" s="36"/>
      <c r="N1301" s="36"/>
      <c r="O1301" s="36"/>
      <c r="P1301" s="36"/>
      <c r="Q1301" s="36"/>
      <c r="R1301" s="36"/>
      <c r="S1301" s="36"/>
      <c r="T1301" s="36"/>
      <c r="U1301" s="36"/>
      <c r="V1301" s="36"/>
      <c r="W1301" s="36"/>
      <c r="X1301" s="36"/>
      <c r="Y1301" s="36"/>
      <c r="Z1301" s="36"/>
      <c r="AA1301" s="36"/>
    </row>
    <row r="1302" spans="1:27">
      <c r="A1302" s="36"/>
      <c r="B1302" s="36"/>
      <c r="C1302" s="36"/>
      <c r="D1302" s="36"/>
      <c r="E1302" s="36"/>
      <c r="F1302" s="36"/>
      <c r="G1302" s="36"/>
      <c r="H1302" s="36"/>
      <c r="I1302" s="36"/>
      <c r="J1302" s="36"/>
      <c r="K1302" s="36"/>
      <c r="L1302" s="40"/>
      <c r="M1302" s="36"/>
      <c r="N1302" s="36"/>
      <c r="O1302" s="36"/>
      <c r="P1302" s="36"/>
      <c r="Q1302" s="36"/>
      <c r="R1302" s="36"/>
      <c r="S1302" s="36"/>
      <c r="T1302" s="36"/>
      <c r="U1302" s="36"/>
      <c r="V1302" s="36"/>
      <c r="W1302" s="36"/>
      <c r="X1302" s="36"/>
      <c r="Y1302" s="36"/>
      <c r="Z1302" s="36"/>
      <c r="AA1302" s="36"/>
    </row>
    <row r="1303" spans="1:27">
      <c r="A1303" s="36"/>
      <c r="B1303" s="36"/>
      <c r="C1303" s="36"/>
      <c r="D1303" s="36"/>
      <c r="E1303" s="36"/>
      <c r="F1303" s="36"/>
      <c r="G1303" s="36"/>
      <c r="H1303" s="36"/>
      <c r="I1303" s="36"/>
      <c r="J1303" s="36"/>
      <c r="K1303" s="36"/>
      <c r="L1303" s="40"/>
      <c r="M1303" s="36"/>
      <c r="N1303" s="36"/>
      <c r="O1303" s="36"/>
      <c r="P1303" s="36"/>
      <c r="Q1303" s="36"/>
      <c r="R1303" s="36"/>
      <c r="S1303" s="36"/>
      <c r="T1303" s="36"/>
      <c r="U1303" s="36"/>
      <c r="V1303" s="36"/>
      <c r="W1303" s="36"/>
      <c r="X1303" s="36"/>
      <c r="Y1303" s="36"/>
      <c r="Z1303" s="36"/>
      <c r="AA1303" s="36"/>
    </row>
    <row r="1304" spans="1:27">
      <c r="A1304" s="36"/>
      <c r="B1304" s="36"/>
      <c r="C1304" s="36"/>
      <c r="D1304" s="36"/>
      <c r="E1304" s="36"/>
      <c r="F1304" s="36"/>
      <c r="G1304" s="36"/>
      <c r="H1304" s="36"/>
      <c r="I1304" s="36"/>
      <c r="J1304" s="36"/>
      <c r="K1304" s="36"/>
      <c r="L1304" s="40"/>
      <c r="M1304" s="36"/>
      <c r="N1304" s="36"/>
      <c r="O1304" s="36"/>
      <c r="P1304" s="36"/>
      <c r="Q1304" s="36"/>
      <c r="R1304" s="36"/>
      <c r="S1304" s="36"/>
      <c r="T1304" s="36"/>
      <c r="U1304" s="36"/>
      <c r="V1304" s="36"/>
      <c r="W1304" s="36"/>
      <c r="X1304" s="36"/>
      <c r="Y1304" s="36"/>
      <c r="Z1304" s="36"/>
      <c r="AA1304" s="36"/>
    </row>
    <row r="1305" spans="1:27">
      <c r="A1305" s="36"/>
      <c r="B1305" s="36"/>
      <c r="C1305" s="36"/>
      <c r="D1305" s="36"/>
      <c r="E1305" s="36"/>
      <c r="F1305" s="36"/>
      <c r="G1305" s="36"/>
      <c r="H1305" s="36"/>
      <c r="I1305" s="36"/>
      <c r="J1305" s="36"/>
      <c r="K1305" s="36"/>
      <c r="L1305" s="40"/>
      <c r="M1305" s="36"/>
      <c r="N1305" s="36"/>
      <c r="O1305" s="36"/>
      <c r="P1305" s="36"/>
      <c r="Q1305" s="36"/>
      <c r="R1305" s="36"/>
      <c r="S1305" s="36"/>
      <c r="T1305" s="36"/>
      <c r="U1305" s="36"/>
      <c r="V1305" s="36"/>
      <c r="W1305" s="36"/>
      <c r="X1305" s="36"/>
      <c r="Y1305" s="36"/>
      <c r="Z1305" s="36"/>
      <c r="AA1305" s="36"/>
    </row>
    <row r="1306" spans="1:27">
      <c r="A1306" s="36"/>
      <c r="B1306" s="36"/>
      <c r="C1306" s="36"/>
      <c r="D1306" s="36"/>
      <c r="E1306" s="36"/>
      <c r="F1306" s="36"/>
      <c r="G1306" s="36"/>
      <c r="H1306" s="36"/>
      <c r="I1306" s="36"/>
      <c r="J1306" s="36"/>
      <c r="K1306" s="36"/>
      <c r="L1306" s="40"/>
      <c r="M1306" s="36"/>
      <c r="N1306" s="36"/>
      <c r="O1306" s="36"/>
      <c r="P1306" s="36"/>
      <c r="Q1306" s="36"/>
      <c r="R1306" s="36"/>
      <c r="S1306" s="36"/>
      <c r="T1306" s="36"/>
      <c r="U1306" s="36"/>
      <c r="V1306" s="36"/>
      <c r="W1306" s="36"/>
      <c r="X1306" s="36"/>
      <c r="Y1306" s="36"/>
      <c r="Z1306" s="36"/>
      <c r="AA1306" s="36"/>
    </row>
    <row r="1307" spans="1:27">
      <c r="A1307" s="36"/>
      <c r="B1307" s="36"/>
      <c r="C1307" s="36"/>
      <c r="D1307" s="36"/>
      <c r="E1307" s="36"/>
      <c r="F1307" s="36"/>
      <c r="G1307" s="36"/>
      <c r="H1307" s="36"/>
      <c r="I1307" s="36"/>
      <c r="J1307" s="36"/>
      <c r="K1307" s="36"/>
      <c r="L1307" s="40"/>
      <c r="M1307" s="36"/>
      <c r="N1307" s="36"/>
      <c r="O1307" s="36"/>
      <c r="P1307" s="36"/>
      <c r="Q1307" s="36"/>
      <c r="R1307" s="36"/>
      <c r="S1307" s="36"/>
      <c r="T1307" s="36"/>
      <c r="U1307" s="36"/>
      <c r="V1307" s="36"/>
      <c r="W1307" s="36"/>
      <c r="X1307" s="36"/>
      <c r="Y1307" s="36"/>
      <c r="Z1307" s="36"/>
      <c r="AA1307" s="36"/>
    </row>
    <row r="1308" spans="1:27">
      <c r="A1308" s="36"/>
      <c r="B1308" s="36"/>
      <c r="C1308" s="36"/>
      <c r="D1308" s="36"/>
      <c r="E1308" s="36"/>
      <c r="F1308" s="36"/>
      <c r="G1308" s="36"/>
      <c r="H1308" s="36"/>
      <c r="I1308" s="36"/>
      <c r="J1308" s="36"/>
      <c r="K1308" s="36"/>
      <c r="L1308" s="40"/>
      <c r="M1308" s="36"/>
      <c r="N1308" s="36"/>
      <c r="O1308" s="36"/>
      <c r="P1308" s="36"/>
      <c r="Q1308" s="36"/>
      <c r="R1308" s="36"/>
      <c r="S1308" s="36"/>
      <c r="T1308" s="36"/>
      <c r="U1308" s="36"/>
      <c r="V1308" s="36"/>
      <c r="W1308" s="36"/>
      <c r="X1308" s="36"/>
      <c r="Y1308" s="36"/>
      <c r="Z1308" s="36"/>
      <c r="AA1308" s="36"/>
    </row>
    <row r="1309" spans="1:27">
      <c r="A1309" s="36"/>
      <c r="B1309" s="36"/>
      <c r="C1309" s="36"/>
      <c r="D1309" s="36"/>
      <c r="E1309" s="36"/>
      <c r="F1309" s="36"/>
      <c r="G1309" s="36"/>
      <c r="H1309" s="36"/>
      <c r="I1309" s="36"/>
      <c r="J1309" s="36"/>
      <c r="K1309" s="36"/>
      <c r="L1309" s="40"/>
      <c r="M1309" s="36"/>
      <c r="N1309" s="36"/>
      <c r="O1309" s="36"/>
      <c r="P1309" s="36"/>
      <c r="Q1309" s="36"/>
      <c r="R1309" s="36"/>
      <c r="S1309" s="36"/>
      <c r="T1309" s="36"/>
      <c r="U1309" s="36"/>
      <c r="V1309" s="36"/>
      <c r="W1309" s="36"/>
      <c r="X1309" s="36"/>
      <c r="Y1309" s="36"/>
      <c r="Z1309" s="36"/>
      <c r="AA1309" s="36"/>
    </row>
    <row r="1310" spans="1:27">
      <c r="A1310" s="36"/>
      <c r="B1310" s="36"/>
      <c r="C1310" s="36"/>
      <c r="D1310" s="36"/>
      <c r="E1310" s="36"/>
      <c r="F1310" s="36"/>
      <c r="G1310" s="36"/>
      <c r="H1310" s="36"/>
      <c r="I1310" s="36"/>
      <c r="J1310" s="36"/>
      <c r="K1310" s="36"/>
      <c r="L1310" s="40"/>
      <c r="M1310" s="36"/>
      <c r="N1310" s="36"/>
      <c r="O1310" s="36"/>
      <c r="P1310" s="36"/>
      <c r="Q1310" s="36"/>
      <c r="R1310" s="36"/>
      <c r="S1310" s="36"/>
      <c r="T1310" s="36"/>
      <c r="U1310" s="36"/>
      <c r="V1310" s="36"/>
      <c r="W1310" s="36"/>
      <c r="X1310" s="36"/>
      <c r="Y1310" s="36"/>
      <c r="Z1310" s="36"/>
      <c r="AA1310" s="36"/>
    </row>
    <row r="1311" spans="1:27">
      <c r="A1311" s="36"/>
      <c r="B1311" s="36"/>
      <c r="C1311" s="36"/>
      <c r="D1311" s="36"/>
      <c r="E1311" s="36"/>
      <c r="F1311" s="36"/>
      <c r="G1311" s="36"/>
      <c r="H1311" s="36"/>
      <c r="I1311" s="36"/>
      <c r="J1311" s="36"/>
      <c r="K1311" s="36"/>
      <c r="L1311" s="40"/>
      <c r="M1311" s="36"/>
      <c r="N1311" s="36"/>
      <c r="O1311" s="36"/>
      <c r="P1311" s="36"/>
      <c r="Q1311" s="36"/>
      <c r="R1311" s="36"/>
      <c r="S1311" s="36"/>
      <c r="T1311" s="36"/>
      <c r="U1311" s="36"/>
      <c r="V1311" s="36"/>
      <c r="W1311" s="36"/>
      <c r="X1311" s="36"/>
      <c r="Y1311" s="36"/>
      <c r="Z1311" s="36"/>
      <c r="AA1311" s="36"/>
    </row>
    <row r="1312" spans="1:27">
      <c r="A1312" s="36"/>
      <c r="B1312" s="36"/>
      <c r="C1312" s="36"/>
      <c r="D1312" s="36"/>
      <c r="E1312" s="36"/>
      <c r="F1312" s="36"/>
      <c r="G1312" s="36"/>
      <c r="H1312" s="36"/>
      <c r="I1312" s="36"/>
      <c r="J1312" s="36"/>
      <c r="K1312" s="36"/>
      <c r="L1312" s="40"/>
      <c r="M1312" s="36"/>
      <c r="N1312" s="36"/>
      <c r="O1312" s="36"/>
      <c r="P1312" s="36"/>
      <c r="Q1312" s="36"/>
      <c r="R1312" s="36"/>
      <c r="S1312" s="36"/>
      <c r="T1312" s="36"/>
      <c r="U1312" s="36"/>
      <c r="V1312" s="36"/>
      <c r="W1312" s="36"/>
      <c r="X1312" s="36"/>
      <c r="Y1312" s="36"/>
      <c r="Z1312" s="36"/>
      <c r="AA1312" s="36"/>
    </row>
    <row r="1313" spans="1:27">
      <c r="A1313" s="36"/>
      <c r="B1313" s="36"/>
      <c r="C1313" s="36"/>
      <c r="D1313" s="36"/>
      <c r="E1313" s="36"/>
      <c r="F1313" s="36"/>
      <c r="G1313" s="36"/>
      <c r="H1313" s="36"/>
      <c r="I1313" s="36"/>
      <c r="J1313" s="36"/>
      <c r="K1313" s="36"/>
      <c r="L1313" s="40"/>
      <c r="M1313" s="36"/>
      <c r="N1313" s="36"/>
      <c r="O1313" s="36"/>
      <c r="P1313" s="36"/>
      <c r="Q1313" s="36"/>
      <c r="R1313" s="36"/>
      <c r="S1313" s="36"/>
      <c r="T1313" s="36"/>
      <c r="U1313" s="36"/>
      <c r="V1313" s="36"/>
      <c r="W1313" s="36"/>
      <c r="X1313" s="36"/>
      <c r="Y1313" s="36"/>
      <c r="Z1313" s="36"/>
      <c r="AA1313" s="36"/>
    </row>
    <row r="1314" spans="1:27">
      <c r="A1314" s="36"/>
      <c r="B1314" s="36"/>
      <c r="C1314" s="36"/>
      <c r="D1314" s="36"/>
      <c r="E1314" s="36"/>
      <c r="F1314" s="36"/>
      <c r="G1314" s="36"/>
      <c r="H1314" s="36"/>
      <c r="I1314" s="36"/>
      <c r="J1314" s="36"/>
      <c r="K1314" s="36"/>
      <c r="L1314" s="40"/>
      <c r="M1314" s="36"/>
      <c r="N1314" s="36"/>
      <c r="O1314" s="36"/>
      <c r="P1314" s="36"/>
      <c r="Q1314" s="36"/>
      <c r="R1314" s="36"/>
      <c r="S1314" s="36"/>
      <c r="T1314" s="36"/>
      <c r="U1314" s="36"/>
      <c r="V1314" s="36"/>
      <c r="W1314" s="36"/>
      <c r="X1314" s="36"/>
      <c r="Y1314" s="36"/>
      <c r="Z1314" s="36"/>
      <c r="AA1314" s="36"/>
    </row>
    <row r="1315" spans="1:27">
      <c r="A1315" s="36"/>
      <c r="B1315" s="36"/>
      <c r="C1315" s="36"/>
      <c r="D1315" s="36"/>
      <c r="E1315" s="36"/>
      <c r="F1315" s="36"/>
      <c r="G1315" s="36"/>
      <c r="H1315" s="36"/>
      <c r="I1315" s="36"/>
      <c r="J1315" s="36"/>
      <c r="K1315" s="36"/>
      <c r="L1315" s="40"/>
      <c r="M1315" s="36"/>
      <c r="N1315" s="36"/>
      <c r="O1315" s="36"/>
      <c r="P1315" s="36"/>
      <c r="Q1315" s="36"/>
      <c r="R1315" s="36"/>
      <c r="S1315" s="36"/>
      <c r="T1315" s="36"/>
      <c r="U1315" s="36"/>
      <c r="V1315" s="36"/>
      <c r="W1315" s="36"/>
      <c r="X1315" s="36"/>
      <c r="Y1315" s="36"/>
      <c r="Z1315" s="36"/>
      <c r="AA1315" s="36"/>
    </row>
    <row r="1316" spans="1:27">
      <c r="A1316" s="36"/>
      <c r="B1316" s="36"/>
      <c r="C1316" s="36"/>
      <c r="D1316" s="36"/>
      <c r="E1316" s="36"/>
      <c r="F1316" s="36"/>
      <c r="G1316" s="36"/>
      <c r="H1316" s="36"/>
      <c r="I1316" s="36"/>
      <c r="J1316" s="36"/>
      <c r="K1316" s="36"/>
      <c r="L1316" s="40"/>
      <c r="M1316" s="36"/>
      <c r="N1316" s="36"/>
      <c r="O1316" s="36"/>
      <c r="P1316" s="36"/>
      <c r="Q1316" s="36"/>
      <c r="R1316" s="36"/>
      <c r="S1316" s="36"/>
      <c r="T1316" s="36"/>
      <c r="U1316" s="36"/>
      <c r="V1316" s="36"/>
      <c r="W1316" s="36"/>
      <c r="X1316" s="36"/>
      <c r="Y1316" s="36"/>
      <c r="Z1316" s="36"/>
      <c r="AA1316" s="36"/>
    </row>
    <row r="1317" spans="1:27">
      <c r="A1317" s="36"/>
      <c r="B1317" s="36"/>
      <c r="C1317" s="36"/>
      <c r="D1317" s="36"/>
      <c r="E1317" s="36"/>
      <c r="F1317" s="36"/>
      <c r="G1317" s="36"/>
      <c r="H1317" s="36"/>
      <c r="I1317" s="36"/>
      <c r="J1317" s="36"/>
      <c r="K1317" s="36"/>
      <c r="L1317" s="40"/>
      <c r="M1317" s="36"/>
      <c r="N1317" s="36"/>
      <c r="O1317" s="36"/>
      <c r="P1317" s="36"/>
      <c r="Q1317" s="36"/>
      <c r="R1317" s="36"/>
      <c r="S1317" s="36"/>
      <c r="T1317" s="36"/>
      <c r="U1317" s="36"/>
      <c r="V1317" s="36"/>
      <c r="W1317" s="36"/>
      <c r="X1317" s="36"/>
      <c r="Y1317" s="36"/>
      <c r="Z1317" s="36"/>
      <c r="AA1317" s="36"/>
    </row>
    <row r="1318" spans="1:27">
      <c r="A1318" s="36"/>
      <c r="B1318" s="36"/>
      <c r="C1318" s="36"/>
      <c r="D1318" s="36"/>
      <c r="E1318" s="36"/>
      <c r="F1318" s="36"/>
      <c r="G1318" s="36"/>
      <c r="H1318" s="36"/>
      <c r="I1318" s="36"/>
      <c r="J1318" s="36"/>
      <c r="K1318" s="36"/>
      <c r="L1318" s="40"/>
      <c r="M1318" s="36"/>
      <c r="N1318" s="36"/>
      <c r="O1318" s="36"/>
      <c r="P1318" s="36"/>
      <c r="Q1318" s="36"/>
      <c r="R1318" s="36"/>
      <c r="S1318" s="36"/>
      <c r="T1318" s="36"/>
      <c r="U1318" s="36"/>
      <c r="V1318" s="36"/>
      <c r="W1318" s="36"/>
      <c r="X1318" s="36"/>
      <c r="Y1318" s="36"/>
      <c r="Z1318" s="36"/>
      <c r="AA1318" s="36"/>
    </row>
    <row r="1319" spans="1:27">
      <c r="A1319" s="36"/>
      <c r="B1319" s="36"/>
      <c r="C1319" s="36"/>
      <c r="D1319" s="36"/>
      <c r="E1319" s="36"/>
      <c r="F1319" s="36"/>
      <c r="G1319" s="36"/>
      <c r="H1319" s="36"/>
      <c r="I1319" s="36"/>
      <c r="J1319" s="36"/>
      <c r="K1319" s="36"/>
      <c r="L1319" s="40"/>
      <c r="M1319" s="36"/>
      <c r="N1319" s="36"/>
      <c r="O1319" s="36"/>
      <c r="P1319" s="36"/>
      <c r="Q1319" s="36"/>
      <c r="R1319" s="36"/>
      <c r="S1319" s="36"/>
      <c r="T1319" s="36"/>
      <c r="U1319" s="36"/>
      <c r="V1319" s="36"/>
      <c r="W1319" s="36"/>
      <c r="X1319" s="36"/>
      <c r="Y1319" s="36"/>
      <c r="Z1319" s="36"/>
      <c r="AA1319" s="36"/>
    </row>
    <row r="1320" spans="1:27">
      <c r="A1320" s="36"/>
      <c r="B1320" s="36"/>
      <c r="C1320" s="36"/>
      <c r="D1320" s="36"/>
      <c r="E1320" s="36"/>
      <c r="F1320" s="36"/>
      <c r="G1320" s="36"/>
      <c r="H1320" s="36"/>
      <c r="I1320" s="36"/>
      <c r="J1320" s="36"/>
      <c r="K1320" s="36"/>
      <c r="L1320" s="40"/>
      <c r="M1320" s="36"/>
      <c r="N1320" s="36"/>
      <c r="O1320" s="36"/>
      <c r="P1320" s="36"/>
      <c r="Q1320" s="36"/>
      <c r="R1320" s="36"/>
      <c r="S1320" s="36"/>
      <c r="T1320" s="36"/>
      <c r="U1320" s="36"/>
      <c r="V1320" s="36"/>
      <c r="W1320" s="36"/>
      <c r="X1320" s="36"/>
      <c r="Y1320" s="36"/>
      <c r="Z1320" s="36"/>
      <c r="AA1320" s="36"/>
    </row>
    <row r="1321" spans="1:27">
      <c r="A1321" s="36"/>
      <c r="B1321" s="36"/>
      <c r="C1321" s="36"/>
      <c r="D1321" s="36"/>
      <c r="E1321" s="36"/>
      <c r="F1321" s="36"/>
      <c r="G1321" s="36"/>
      <c r="H1321" s="36"/>
      <c r="I1321" s="36"/>
      <c r="J1321" s="36"/>
      <c r="K1321" s="36"/>
      <c r="L1321" s="40"/>
      <c r="M1321" s="36"/>
      <c r="N1321" s="36"/>
      <c r="O1321" s="36"/>
      <c r="P1321" s="36"/>
      <c r="Q1321" s="36"/>
      <c r="R1321" s="36"/>
      <c r="S1321" s="36"/>
      <c r="T1321" s="36"/>
      <c r="U1321" s="36"/>
      <c r="V1321" s="36"/>
      <c r="W1321" s="36"/>
      <c r="X1321" s="36"/>
      <c r="Y1321" s="36"/>
      <c r="Z1321" s="36"/>
      <c r="AA1321" s="36"/>
    </row>
    <row r="1322" spans="1:27">
      <c r="A1322" s="36"/>
      <c r="B1322" s="36"/>
      <c r="C1322" s="36"/>
      <c r="D1322" s="36"/>
      <c r="E1322" s="36"/>
      <c r="F1322" s="36"/>
      <c r="G1322" s="36"/>
      <c r="H1322" s="36"/>
      <c r="I1322" s="36"/>
      <c r="J1322" s="36"/>
      <c r="K1322" s="36"/>
      <c r="L1322" s="40"/>
      <c r="M1322" s="36"/>
      <c r="N1322" s="36"/>
      <c r="O1322" s="36"/>
      <c r="P1322" s="36"/>
      <c r="Q1322" s="36"/>
      <c r="R1322" s="36"/>
      <c r="S1322" s="36"/>
      <c r="T1322" s="36"/>
      <c r="U1322" s="36"/>
      <c r="V1322" s="36"/>
      <c r="W1322" s="36"/>
      <c r="X1322" s="36"/>
      <c r="Y1322" s="36"/>
      <c r="Z1322" s="36"/>
      <c r="AA1322" s="36"/>
    </row>
    <row r="1323" spans="1:27">
      <c r="A1323" s="36"/>
      <c r="B1323" s="36"/>
      <c r="C1323" s="36"/>
      <c r="D1323" s="36"/>
      <c r="E1323" s="36"/>
      <c r="F1323" s="36"/>
      <c r="G1323" s="36"/>
      <c r="H1323" s="36"/>
      <c r="I1323" s="36"/>
      <c r="J1323" s="36"/>
      <c r="K1323" s="36"/>
      <c r="L1323" s="40"/>
      <c r="M1323" s="36"/>
      <c r="N1323" s="36"/>
      <c r="O1323" s="36"/>
      <c r="P1323" s="36"/>
      <c r="Q1323" s="36"/>
      <c r="R1323" s="36"/>
      <c r="S1323" s="36"/>
      <c r="T1323" s="36"/>
      <c r="U1323" s="36"/>
      <c r="V1323" s="36"/>
      <c r="W1323" s="36"/>
      <c r="X1323" s="36"/>
      <c r="Y1323" s="36"/>
      <c r="Z1323" s="36"/>
      <c r="AA1323" s="36"/>
    </row>
    <row r="1324" spans="1:27">
      <c r="A1324" s="36"/>
      <c r="B1324" s="36"/>
      <c r="C1324" s="36"/>
      <c r="D1324" s="36"/>
      <c r="E1324" s="36"/>
      <c r="F1324" s="36"/>
      <c r="G1324" s="36"/>
      <c r="H1324" s="36"/>
      <c r="I1324" s="36"/>
      <c r="J1324" s="36"/>
      <c r="K1324" s="36"/>
      <c r="L1324" s="40"/>
      <c r="M1324" s="36"/>
      <c r="N1324" s="36"/>
      <c r="O1324" s="36"/>
      <c r="P1324" s="36"/>
      <c r="Q1324" s="36"/>
      <c r="R1324" s="36"/>
      <c r="S1324" s="36"/>
      <c r="T1324" s="36"/>
      <c r="U1324" s="36"/>
      <c r="V1324" s="36"/>
      <c r="W1324" s="36"/>
      <c r="X1324" s="36"/>
      <c r="Y1324" s="36"/>
      <c r="Z1324" s="36"/>
      <c r="AA1324" s="36"/>
    </row>
    <row r="1325" spans="1:27">
      <c r="A1325" s="36"/>
      <c r="B1325" s="36"/>
      <c r="C1325" s="36"/>
      <c r="D1325" s="36"/>
      <c r="E1325" s="36"/>
      <c r="F1325" s="36"/>
      <c r="G1325" s="36"/>
      <c r="H1325" s="36"/>
      <c r="I1325" s="36"/>
      <c r="J1325" s="36"/>
      <c r="K1325" s="36"/>
      <c r="L1325" s="40"/>
      <c r="M1325" s="36"/>
      <c r="N1325" s="36"/>
      <c r="O1325" s="36"/>
      <c r="P1325" s="36"/>
      <c r="Q1325" s="36"/>
      <c r="R1325" s="36"/>
      <c r="S1325" s="36"/>
      <c r="T1325" s="36"/>
      <c r="U1325" s="36"/>
      <c r="V1325" s="36"/>
      <c r="W1325" s="36"/>
      <c r="X1325" s="36"/>
      <c r="Y1325" s="36"/>
      <c r="Z1325" s="36"/>
      <c r="AA1325" s="36"/>
    </row>
    <row r="1326" spans="1:27">
      <c r="A1326" s="36"/>
      <c r="B1326" s="36"/>
      <c r="C1326" s="36"/>
      <c r="D1326" s="36"/>
      <c r="E1326" s="36"/>
      <c r="F1326" s="36"/>
      <c r="G1326" s="36"/>
      <c r="H1326" s="36"/>
      <c r="I1326" s="36"/>
      <c r="J1326" s="36"/>
      <c r="K1326" s="36"/>
      <c r="L1326" s="40"/>
      <c r="M1326" s="36"/>
      <c r="N1326" s="36"/>
      <c r="O1326" s="36"/>
      <c r="P1326" s="36"/>
      <c r="Q1326" s="36"/>
      <c r="R1326" s="36"/>
      <c r="S1326" s="36"/>
      <c r="T1326" s="36"/>
      <c r="U1326" s="36"/>
      <c r="V1326" s="36"/>
      <c r="W1326" s="36"/>
      <c r="X1326" s="36"/>
      <c r="Y1326" s="36"/>
      <c r="Z1326" s="36"/>
      <c r="AA1326" s="36"/>
    </row>
    <row r="1327" spans="1:27">
      <c r="A1327" s="36"/>
      <c r="B1327" s="36"/>
      <c r="C1327" s="36"/>
      <c r="D1327" s="36"/>
      <c r="E1327" s="36"/>
      <c r="F1327" s="36"/>
      <c r="G1327" s="36"/>
      <c r="H1327" s="36"/>
      <c r="I1327" s="36"/>
      <c r="J1327" s="36"/>
      <c r="K1327" s="36"/>
      <c r="L1327" s="40"/>
      <c r="M1327" s="36"/>
      <c r="N1327" s="36"/>
      <c r="O1327" s="36"/>
      <c r="P1327" s="36"/>
      <c r="Q1327" s="36"/>
      <c r="R1327" s="36"/>
      <c r="S1327" s="36"/>
      <c r="T1327" s="36"/>
      <c r="U1327" s="36"/>
      <c r="V1327" s="36"/>
      <c r="W1327" s="36"/>
      <c r="X1327" s="36"/>
      <c r="Y1327" s="36"/>
      <c r="Z1327" s="36"/>
      <c r="AA1327" s="36"/>
    </row>
    <row r="1328" spans="1:27">
      <c r="A1328" s="36"/>
      <c r="B1328" s="36"/>
      <c r="C1328" s="36"/>
      <c r="D1328" s="36"/>
      <c r="E1328" s="36"/>
      <c r="F1328" s="36"/>
      <c r="G1328" s="36"/>
      <c r="H1328" s="36"/>
      <c r="I1328" s="36"/>
      <c r="J1328" s="36"/>
      <c r="K1328" s="36"/>
      <c r="L1328" s="40"/>
      <c r="M1328" s="36"/>
      <c r="N1328" s="36"/>
      <c r="O1328" s="36"/>
      <c r="P1328" s="36"/>
      <c r="Q1328" s="36"/>
      <c r="R1328" s="36"/>
      <c r="S1328" s="36"/>
      <c r="T1328" s="36"/>
      <c r="U1328" s="36"/>
      <c r="V1328" s="36"/>
      <c r="W1328" s="36"/>
      <c r="X1328" s="36"/>
      <c r="Y1328" s="36"/>
      <c r="Z1328" s="36"/>
      <c r="AA1328" s="36"/>
    </row>
    <row r="1329" spans="1:27">
      <c r="A1329" s="36"/>
      <c r="B1329" s="36"/>
      <c r="C1329" s="36"/>
      <c r="D1329" s="36"/>
      <c r="E1329" s="36"/>
      <c r="F1329" s="36"/>
      <c r="G1329" s="36"/>
      <c r="H1329" s="36"/>
      <c r="I1329" s="36"/>
      <c r="J1329" s="36"/>
      <c r="K1329" s="36"/>
      <c r="L1329" s="40"/>
      <c r="M1329" s="36"/>
      <c r="N1329" s="36"/>
      <c r="O1329" s="36"/>
      <c r="P1329" s="36"/>
      <c r="Q1329" s="36"/>
      <c r="R1329" s="36"/>
      <c r="S1329" s="36"/>
      <c r="T1329" s="36"/>
      <c r="U1329" s="36"/>
      <c r="V1329" s="36"/>
      <c r="W1329" s="36"/>
      <c r="X1329" s="36"/>
      <c r="Y1329" s="36"/>
      <c r="Z1329" s="36"/>
      <c r="AA1329" s="36"/>
    </row>
    <row r="1330" spans="1:27">
      <c r="A1330" s="36"/>
      <c r="B1330" s="36"/>
      <c r="C1330" s="36"/>
      <c r="D1330" s="36"/>
      <c r="E1330" s="36"/>
      <c r="F1330" s="36"/>
      <c r="G1330" s="36"/>
      <c r="H1330" s="36"/>
      <c r="I1330" s="36"/>
      <c r="J1330" s="36"/>
      <c r="K1330" s="36"/>
      <c r="L1330" s="40"/>
      <c r="M1330" s="36"/>
      <c r="N1330" s="36"/>
      <c r="O1330" s="36"/>
      <c r="P1330" s="36"/>
      <c r="Q1330" s="36"/>
      <c r="R1330" s="36"/>
      <c r="S1330" s="36"/>
      <c r="T1330" s="36"/>
      <c r="U1330" s="36"/>
      <c r="V1330" s="36"/>
      <c r="W1330" s="36"/>
      <c r="X1330" s="36"/>
      <c r="Y1330" s="36"/>
      <c r="Z1330" s="36"/>
      <c r="AA1330" s="36"/>
    </row>
    <row r="1331" spans="1:27">
      <c r="A1331" s="36"/>
      <c r="B1331" s="36"/>
      <c r="C1331" s="36"/>
      <c r="D1331" s="36"/>
      <c r="E1331" s="36"/>
      <c r="F1331" s="36"/>
      <c r="G1331" s="36"/>
      <c r="H1331" s="36"/>
      <c r="I1331" s="36"/>
      <c r="J1331" s="36"/>
      <c r="K1331" s="36"/>
      <c r="L1331" s="40"/>
      <c r="M1331" s="36"/>
      <c r="N1331" s="36"/>
      <c r="O1331" s="36"/>
      <c r="P1331" s="36"/>
      <c r="Q1331" s="36"/>
      <c r="R1331" s="36"/>
      <c r="S1331" s="36"/>
      <c r="T1331" s="36"/>
      <c r="U1331" s="36"/>
      <c r="V1331" s="36"/>
      <c r="W1331" s="36"/>
      <c r="X1331" s="36"/>
      <c r="Y1331" s="36"/>
      <c r="Z1331" s="36"/>
      <c r="AA1331" s="36"/>
    </row>
    <row r="1332" spans="1:27">
      <c r="A1332" s="36"/>
      <c r="B1332" s="36"/>
      <c r="C1332" s="36"/>
      <c r="D1332" s="36"/>
      <c r="E1332" s="36"/>
      <c r="F1332" s="36"/>
      <c r="G1332" s="36"/>
      <c r="H1332" s="36"/>
      <c r="I1332" s="36"/>
      <c r="J1332" s="36"/>
      <c r="K1332" s="36"/>
      <c r="L1332" s="40"/>
      <c r="M1332" s="36"/>
      <c r="N1332" s="36"/>
      <c r="O1332" s="36"/>
      <c r="P1332" s="36"/>
      <c r="Q1332" s="36"/>
      <c r="R1332" s="36"/>
      <c r="S1332" s="36"/>
      <c r="T1332" s="36"/>
      <c r="U1332" s="36"/>
      <c r="V1332" s="36"/>
      <c r="W1332" s="36"/>
      <c r="X1332" s="36"/>
      <c r="Y1332" s="36"/>
      <c r="Z1332" s="36"/>
      <c r="AA1332" s="36"/>
    </row>
    <row r="1333" spans="1:27">
      <c r="A1333" s="36"/>
      <c r="B1333" s="36"/>
      <c r="C1333" s="36"/>
      <c r="D1333" s="36"/>
      <c r="E1333" s="36"/>
      <c r="F1333" s="36"/>
      <c r="G1333" s="36"/>
      <c r="H1333" s="36"/>
      <c r="I1333" s="36"/>
      <c r="J1333" s="36"/>
      <c r="K1333" s="36"/>
      <c r="L1333" s="40"/>
      <c r="M1333" s="36"/>
      <c r="N1333" s="36"/>
      <c r="O1333" s="36"/>
      <c r="P1333" s="36"/>
      <c r="Q1333" s="36"/>
      <c r="R1333" s="36"/>
      <c r="S1333" s="36"/>
      <c r="T1333" s="36"/>
      <c r="U1333" s="36"/>
      <c r="V1333" s="36"/>
      <c r="W1333" s="36"/>
      <c r="X1333" s="36"/>
      <c r="Y1333" s="36"/>
      <c r="Z1333" s="36"/>
      <c r="AA1333" s="36"/>
    </row>
    <row r="1334" spans="1:27">
      <c r="A1334" s="36"/>
      <c r="B1334" s="36"/>
      <c r="C1334" s="36"/>
      <c r="D1334" s="36"/>
      <c r="E1334" s="36"/>
      <c r="F1334" s="36"/>
      <c r="G1334" s="36"/>
      <c r="H1334" s="36"/>
      <c r="I1334" s="36"/>
      <c r="J1334" s="36"/>
      <c r="K1334" s="36"/>
      <c r="L1334" s="40"/>
      <c r="M1334" s="36"/>
      <c r="N1334" s="36"/>
      <c r="O1334" s="36"/>
      <c r="P1334" s="36"/>
      <c r="Q1334" s="36"/>
      <c r="R1334" s="36"/>
      <c r="S1334" s="36"/>
      <c r="T1334" s="36"/>
      <c r="U1334" s="36"/>
      <c r="V1334" s="36"/>
      <c r="W1334" s="36"/>
      <c r="X1334" s="36"/>
      <c r="Y1334" s="36"/>
      <c r="Z1334" s="36"/>
      <c r="AA1334" s="36"/>
    </row>
    <row r="1335" spans="1:27">
      <c r="A1335" s="36"/>
      <c r="B1335" s="36"/>
      <c r="C1335" s="36"/>
      <c r="D1335" s="36"/>
      <c r="E1335" s="36"/>
      <c r="F1335" s="36"/>
      <c r="G1335" s="36"/>
      <c r="H1335" s="36"/>
      <c r="I1335" s="36"/>
      <c r="J1335" s="36"/>
      <c r="K1335" s="36"/>
      <c r="L1335" s="40"/>
      <c r="M1335" s="36"/>
      <c r="N1335" s="36"/>
      <c r="O1335" s="36"/>
      <c r="P1335" s="36"/>
      <c r="Q1335" s="36"/>
      <c r="R1335" s="36"/>
      <c r="S1335" s="36"/>
      <c r="T1335" s="36"/>
      <c r="U1335" s="36"/>
      <c r="V1335" s="36"/>
      <c r="W1335" s="36"/>
      <c r="X1335" s="36"/>
      <c r="Y1335" s="36"/>
      <c r="Z1335" s="36"/>
      <c r="AA1335" s="36"/>
    </row>
    <row r="1336" spans="1:27">
      <c r="A1336" s="36"/>
      <c r="B1336" s="36"/>
      <c r="C1336" s="36"/>
      <c r="D1336" s="36"/>
      <c r="E1336" s="36"/>
      <c r="F1336" s="36"/>
      <c r="G1336" s="36"/>
      <c r="H1336" s="36"/>
      <c r="I1336" s="36"/>
      <c r="J1336" s="36"/>
      <c r="K1336" s="36"/>
      <c r="L1336" s="40"/>
      <c r="M1336" s="36"/>
      <c r="N1336" s="36"/>
      <c r="O1336" s="36"/>
      <c r="P1336" s="36"/>
      <c r="Q1336" s="36"/>
      <c r="R1336" s="36"/>
      <c r="S1336" s="36"/>
      <c r="T1336" s="36"/>
      <c r="U1336" s="36"/>
      <c r="V1336" s="36"/>
      <c r="W1336" s="36"/>
      <c r="X1336" s="36"/>
      <c r="Y1336" s="36"/>
      <c r="Z1336" s="36"/>
      <c r="AA1336" s="36"/>
    </row>
    <row r="1337" spans="1:27">
      <c r="A1337" s="36"/>
      <c r="B1337" s="36"/>
      <c r="C1337" s="36"/>
      <c r="D1337" s="36"/>
      <c r="E1337" s="36"/>
      <c r="F1337" s="36"/>
      <c r="G1337" s="36"/>
      <c r="H1337" s="36"/>
      <c r="I1337" s="36"/>
      <c r="J1337" s="36"/>
      <c r="K1337" s="36"/>
      <c r="L1337" s="40"/>
      <c r="M1337" s="36"/>
      <c r="N1337" s="36"/>
      <c r="O1337" s="36"/>
      <c r="P1337" s="36"/>
      <c r="Q1337" s="36"/>
      <c r="R1337" s="36"/>
      <c r="S1337" s="36"/>
      <c r="T1337" s="36"/>
      <c r="U1337" s="36"/>
      <c r="V1337" s="36"/>
      <c r="W1337" s="36"/>
      <c r="X1337" s="36"/>
      <c r="Y1337" s="36"/>
      <c r="Z1337" s="36"/>
      <c r="AA1337" s="36"/>
    </row>
    <row r="1338" spans="1:27">
      <c r="A1338" s="36"/>
      <c r="B1338" s="36"/>
      <c r="C1338" s="36"/>
      <c r="D1338" s="36"/>
      <c r="E1338" s="36"/>
      <c r="F1338" s="36"/>
      <c r="G1338" s="36"/>
      <c r="H1338" s="36"/>
      <c r="I1338" s="36"/>
      <c r="J1338" s="36"/>
      <c r="K1338" s="36"/>
      <c r="L1338" s="40"/>
      <c r="M1338" s="36"/>
      <c r="N1338" s="36"/>
      <c r="O1338" s="36"/>
      <c r="P1338" s="36"/>
      <c r="Q1338" s="36"/>
      <c r="R1338" s="36"/>
      <c r="S1338" s="36"/>
      <c r="T1338" s="36"/>
      <c r="U1338" s="36"/>
      <c r="V1338" s="36"/>
      <c r="W1338" s="36"/>
      <c r="X1338" s="36"/>
      <c r="Y1338" s="36"/>
      <c r="Z1338" s="36"/>
      <c r="AA1338" s="36"/>
    </row>
    <row r="1339" spans="1:27">
      <c r="A1339" s="36"/>
      <c r="B1339" s="36"/>
      <c r="C1339" s="36"/>
      <c r="D1339" s="36"/>
      <c r="E1339" s="36"/>
      <c r="F1339" s="36"/>
      <c r="G1339" s="36"/>
      <c r="H1339" s="36"/>
      <c r="I1339" s="36"/>
      <c r="J1339" s="36"/>
      <c r="K1339" s="36"/>
      <c r="L1339" s="40"/>
      <c r="M1339" s="36"/>
      <c r="N1339" s="36"/>
      <c r="O1339" s="36"/>
      <c r="P1339" s="36"/>
      <c r="Q1339" s="36"/>
      <c r="R1339" s="36"/>
      <c r="S1339" s="36"/>
      <c r="T1339" s="36"/>
      <c r="U1339" s="36"/>
      <c r="V1339" s="36"/>
      <c r="W1339" s="36"/>
      <c r="X1339" s="36"/>
      <c r="Y1339" s="36"/>
      <c r="Z1339" s="36"/>
      <c r="AA1339" s="36"/>
    </row>
    <row r="1340" spans="1:27">
      <c r="A1340" s="36"/>
      <c r="B1340" s="36"/>
      <c r="C1340" s="36"/>
      <c r="D1340" s="36"/>
      <c r="E1340" s="36"/>
      <c r="F1340" s="36"/>
      <c r="G1340" s="36"/>
      <c r="H1340" s="36"/>
      <c r="I1340" s="36"/>
      <c r="J1340" s="36"/>
      <c r="K1340" s="36"/>
      <c r="L1340" s="40"/>
      <c r="M1340" s="36"/>
      <c r="N1340" s="36"/>
      <c r="O1340" s="36"/>
      <c r="P1340" s="36"/>
      <c r="Q1340" s="36"/>
      <c r="R1340" s="36"/>
      <c r="S1340" s="36"/>
      <c r="T1340" s="36"/>
      <c r="U1340" s="36"/>
      <c r="V1340" s="36"/>
      <c r="W1340" s="36"/>
      <c r="X1340" s="36"/>
      <c r="Y1340" s="36"/>
      <c r="Z1340" s="36"/>
      <c r="AA1340" s="36"/>
    </row>
    <row r="1341" spans="1:27">
      <c r="A1341" s="36"/>
      <c r="B1341" s="36"/>
      <c r="C1341" s="36"/>
      <c r="D1341" s="36"/>
      <c r="E1341" s="36"/>
      <c r="F1341" s="36"/>
      <c r="G1341" s="36"/>
      <c r="H1341" s="36"/>
      <c r="I1341" s="36"/>
      <c r="J1341" s="36"/>
      <c r="K1341" s="36"/>
      <c r="L1341" s="40"/>
      <c r="M1341" s="36"/>
      <c r="N1341" s="36"/>
      <c r="O1341" s="36"/>
      <c r="P1341" s="36"/>
      <c r="Q1341" s="36"/>
      <c r="R1341" s="36"/>
      <c r="S1341" s="36"/>
      <c r="T1341" s="36"/>
      <c r="U1341" s="36"/>
      <c r="V1341" s="36"/>
      <c r="W1341" s="36"/>
      <c r="X1341" s="36"/>
      <c r="Y1341" s="36"/>
      <c r="Z1341" s="36"/>
      <c r="AA1341" s="36"/>
    </row>
    <row r="1342" spans="1:27">
      <c r="A1342" s="36"/>
      <c r="B1342" s="36"/>
      <c r="C1342" s="36"/>
      <c r="D1342" s="36"/>
      <c r="E1342" s="36"/>
      <c r="F1342" s="36"/>
      <c r="G1342" s="36"/>
      <c r="H1342" s="36"/>
      <c r="I1342" s="36"/>
      <c r="J1342" s="36"/>
      <c r="K1342" s="36"/>
      <c r="L1342" s="40"/>
      <c r="M1342" s="36"/>
      <c r="N1342" s="36"/>
      <c r="O1342" s="36"/>
      <c r="P1342" s="36"/>
      <c r="Q1342" s="36"/>
      <c r="R1342" s="36"/>
      <c r="S1342" s="36"/>
      <c r="T1342" s="36"/>
      <c r="U1342" s="36"/>
      <c r="V1342" s="36"/>
      <c r="W1342" s="36"/>
      <c r="X1342" s="36"/>
      <c r="Y1342" s="36"/>
      <c r="Z1342" s="36"/>
      <c r="AA1342" s="36"/>
    </row>
    <row r="1343" spans="1:27">
      <c r="A1343" s="36"/>
      <c r="B1343" s="36"/>
      <c r="C1343" s="36"/>
      <c r="D1343" s="36"/>
      <c r="E1343" s="36"/>
      <c r="F1343" s="36"/>
      <c r="G1343" s="36"/>
      <c r="H1343" s="36"/>
      <c r="I1343" s="36"/>
      <c r="J1343" s="36"/>
      <c r="K1343" s="36"/>
      <c r="L1343" s="40"/>
      <c r="M1343" s="36"/>
      <c r="N1343" s="36"/>
      <c r="O1343" s="36"/>
      <c r="P1343" s="36"/>
      <c r="Q1343" s="36"/>
      <c r="R1343" s="36"/>
      <c r="S1343" s="36"/>
      <c r="T1343" s="36"/>
      <c r="U1343" s="36"/>
      <c r="V1343" s="36"/>
      <c r="W1343" s="36"/>
      <c r="X1343" s="36"/>
      <c r="Y1343" s="36"/>
      <c r="Z1343" s="36"/>
      <c r="AA1343" s="36"/>
    </row>
    <row r="1344" spans="1:27">
      <c r="A1344" s="36"/>
      <c r="B1344" s="36"/>
      <c r="C1344" s="36"/>
      <c r="D1344" s="36"/>
      <c r="E1344" s="36"/>
      <c r="F1344" s="36"/>
      <c r="G1344" s="36"/>
      <c r="H1344" s="36"/>
      <c r="I1344" s="36"/>
      <c r="J1344" s="36"/>
      <c r="K1344" s="36"/>
      <c r="L1344" s="40"/>
      <c r="M1344" s="36"/>
      <c r="N1344" s="36"/>
      <c r="O1344" s="36"/>
      <c r="P1344" s="36"/>
      <c r="Q1344" s="36"/>
      <c r="R1344" s="36"/>
      <c r="S1344" s="36"/>
      <c r="T1344" s="36"/>
      <c r="U1344" s="36"/>
      <c r="V1344" s="36"/>
      <c r="W1344" s="36"/>
      <c r="X1344" s="36"/>
      <c r="Y1344" s="36"/>
      <c r="Z1344" s="36"/>
      <c r="AA1344" s="36"/>
    </row>
    <row r="1345" spans="1:27">
      <c r="A1345" s="36"/>
      <c r="B1345" s="36"/>
      <c r="C1345" s="36"/>
      <c r="D1345" s="36"/>
      <c r="E1345" s="36"/>
      <c r="F1345" s="36"/>
      <c r="G1345" s="36"/>
      <c r="H1345" s="36"/>
      <c r="I1345" s="36"/>
      <c r="J1345" s="36"/>
      <c r="K1345" s="36"/>
      <c r="L1345" s="40"/>
      <c r="M1345" s="36"/>
      <c r="N1345" s="36"/>
      <c r="O1345" s="36"/>
      <c r="P1345" s="36"/>
      <c r="Q1345" s="36"/>
      <c r="R1345" s="36"/>
      <c r="S1345" s="36"/>
      <c r="T1345" s="36"/>
      <c r="U1345" s="36"/>
      <c r="V1345" s="36"/>
      <c r="W1345" s="36"/>
      <c r="X1345" s="36"/>
      <c r="Y1345" s="36"/>
      <c r="Z1345" s="36"/>
      <c r="AA1345" s="36"/>
    </row>
    <row r="1346" spans="1:27">
      <c r="A1346" s="36"/>
      <c r="B1346" s="36"/>
      <c r="C1346" s="36"/>
      <c r="D1346" s="36"/>
      <c r="E1346" s="36"/>
      <c r="F1346" s="36"/>
      <c r="G1346" s="36"/>
      <c r="H1346" s="36"/>
      <c r="I1346" s="36"/>
      <c r="J1346" s="36"/>
      <c r="K1346" s="36"/>
      <c r="L1346" s="40"/>
      <c r="M1346" s="36"/>
      <c r="N1346" s="36"/>
      <c r="O1346" s="36"/>
      <c r="P1346" s="36"/>
      <c r="Q1346" s="36"/>
      <c r="R1346" s="36"/>
      <c r="S1346" s="36"/>
      <c r="T1346" s="36"/>
      <c r="U1346" s="36"/>
      <c r="V1346" s="36"/>
      <c r="W1346" s="36"/>
      <c r="X1346" s="36"/>
      <c r="Y1346" s="36"/>
      <c r="Z1346" s="36"/>
      <c r="AA1346" s="36"/>
    </row>
    <row r="1347" spans="1:27">
      <c r="A1347" s="36"/>
      <c r="B1347" s="36"/>
      <c r="C1347" s="36"/>
      <c r="D1347" s="36"/>
      <c r="E1347" s="36"/>
      <c r="F1347" s="36"/>
      <c r="G1347" s="36"/>
      <c r="H1347" s="36"/>
      <c r="I1347" s="36"/>
      <c r="J1347" s="36"/>
      <c r="K1347" s="36"/>
      <c r="L1347" s="40"/>
      <c r="M1347" s="36"/>
      <c r="N1347" s="36"/>
      <c r="O1347" s="36"/>
      <c r="P1347" s="36"/>
      <c r="Q1347" s="36"/>
      <c r="R1347" s="36"/>
      <c r="S1347" s="36"/>
      <c r="T1347" s="36"/>
      <c r="U1347" s="36"/>
      <c r="V1347" s="36"/>
      <c r="W1347" s="36"/>
      <c r="X1347" s="36"/>
      <c r="Y1347" s="36"/>
      <c r="Z1347" s="36"/>
      <c r="AA1347" s="36"/>
    </row>
    <row r="1348" spans="1:27">
      <c r="A1348" s="36"/>
      <c r="B1348" s="36"/>
      <c r="C1348" s="36"/>
      <c r="D1348" s="36"/>
      <c r="E1348" s="36"/>
      <c r="F1348" s="36"/>
      <c r="G1348" s="36"/>
      <c r="H1348" s="36"/>
      <c r="I1348" s="36"/>
      <c r="J1348" s="36"/>
      <c r="K1348" s="36"/>
      <c r="L1348" s="40"/>
      <c r="M1348" s="36"/>
      <c r="N1348" s="36"/>
      <c r="O1348" s="36"/>
      <c r="P1348" s="36"/>
      <c r="Q1348" s="36"/>
      <c r="R1348" s="36"/>
      <c r="S1348" s="36"/>
      <c r="T1348" s="36"/>
      <c r="U1348" s="36"/>
      <c r="V1348" s="36"/>
      <c r="W1348" s="36"/>
      <c r="X1348" s="36"/>
      <c r="Y1348" s="36"/>
      <c r="Z1348" s="36"/>
      <c r="AA1348" s="36"/>
    </row>
    <row r="1349" spans="1:27">
      <c r="A1349" s="36"/>
      <c r="B1349" s="36"/>
      <c r="C1349" s="36"/>
      <c r="D1349" s="36"/>
      <c r="E1349" s="36"/>
      <c r="F1349" s="36"/>
      <c r="G1349" s="36"/>
      <c r="H1349" s="36"/>
      <c r="I1349" s="36"/>
      <c r="J1349" s="36"/>
      <c r="K1349" s="36"/>
      <c r="L1349" s="40"/>
      <c r="M1349" s="36"/>
      <c r="N1349" s="36"/>
      <c r="O1349" s="36"/>
      <c r="P1349" s="36"/>
      <c r="Q1349" s="36"/>
      <c r="R1349" s="36"/>
      <c r="S1349" s="36"/>
      <c r="T1349" s="36"/>
      <c r="U1349" s="36"/>
      <c r="V1349" s="36"/>
      <c r="W1349" s="36"/>
      <c r="X1349" s="36"/>
      <c r="Y1349" s="36"/>
      <c r="Z1349" s="36"/>
      <c r="AA1349" s="36"/>
    </row>
    <row r="1350" spans="1:27">
      <c r="A1350" s="36"/>
      <c r="B1350" s="36"/>
      <c r="C1350" s="36"/>
      <c r="D1350" s="36"/>
      <c r="E1350" s="36"/>
      <c r="F1350" s="36"/>
      <c r="G1350" s="36"/>
      <c r="H1350" s="36"/>
      <c r="I1350" s="36"/>
      <c r="J1350" s="36"/>
      <c r="K1350" s="36"/>
      <c r="L1350" s="40"/>
      <c r="M1350" s="36"/>
      <c r="N1350" s="36"/>
      <c r="O1350" s="36"/>
      <c r="P1350" s="36"/>
      <c r="Q1350" s="36"/>
      <c r="R1350" s="36"/>
      <c r="S1350" s="36"/>
      <c r="T1350" s="36"/>
      <c r="U1350" s="36"/>
      <c r="V1350" s="36"/>
      <c r="W1350" s="36"/>
      <c r="X1350" s="36"/>
      <c r="Y1350" s="36"/>
      <c r="Z1350" s="36"/>
      <c r="AA1350" s="36"/>
    </row>
    <row r="1351" spans="1:27">
      <c r="A1351" s="36"/>
      <c r="B1351" s="36"/>
      <c r="C1351" s="36"/>
      <c r="D1351" s="36"/>
      <c r="E1351" s="36"/>
      <c r="F1351" s="36"/>
      <c r="G1351" s="36"/>
      <c r="H1351" s="36"/>
      <c r="I1351" s="36"/>
      <c r="J1351" s="36"/>
      <c r="K1351" s="36"/>
      <c r="L1351" s="40"/>
      <c r="M1351" s="36"/>
      <c r="N1351" s="36"/>
      <c r="O1351" s="36"/>
      <c r="P1351" s="36"/>
      <c r="Q1351" s="36"/>
      <c r="R1351" s="36"/>
      <c r="S1351" s="36"/>
      <c r="T1351" s="36"/>
      <c r="U1351" s="36"/>
      <c r="V1351" s="36"/>
      <c r="W1351" s="36"/>
      <c r="X1351" s="36"/>
      <c r="Y1351" s="36"/>
      <c r="Z1351" s="36"/>
      <c r="AA1351" s="36"/>
    </row>
    <row r="1352" spans="1:27">
      <c r="A1352" s="36"/>
      <c r="B1352" s="36"/>
      <c r="C1352" s="36"/>
      <c r="D1352" s="36"/>
      <c r="E1352" s="36"/>
      <c r="F1352" s="36"/>
      <c r="G1352" s="36"/>
      <c r="H1352" s="36"/>
      <c r="I1352" s="36"/>
      <c r="J1352" s="36"/>
      <c r="K1352" s="36"/>
      <c r="L1352" s="40"/>
      <c r="M1352" s="36"/>
      <c r="N1352" s="36"/>
      <c r="O1352" s="36"/>
      <c r="P1352" s="36"/>
      <c r="Q1352" s="36"/>
      <c r="R1352" s="36"/>
      <c r="S1352" s="36"/>
      <c r="T1352" s="36"/>
      <c r="U1352" s="36"/>
      <c r="V1352" s="36"/>
      <c r="W1352" s="36"/>
      <c r="X1352" s="36"/>
      <c r="Y1352" s="36"/>
      <c r="Z1352" s="36"/>
      <c r="AA1352" s="36"/>
    </row>
    <row r="1353" spans="1:27">
      <c r="A1353" s="36"/>
      <c r="B1353" s="36"/>
      <c r="C1353" s="36"/>
      <c r="D1353" s="36"/>
      <c r="E1353" s="36"/>
      <c r="F1353" s="36"/>
      <c r="G1353" s="36"/>
      <c r="H1353" s="36"/>
      <c r="I1353" s="36"/>
      <c r="J1353" s="36"/>
      <c r="K1353" s="36"/>
      <c r="L1353" s="40"/>
      <c r="M1353" s="36"/>
      <c r="N1353" s="36"/>
      <c r="O1353" s="36"/>
      <c r="P1353" s="36"/>
      <c r="Q1353" s="36"/>
      <c r="R1353" s="36"/>
      <c r="S1353" s="36"/>
      <c r="T1353" s="36"/>
      <c r="U1353" s="36"/>
      <c r="V1353" s="36"/>
      <c r="W1353" s="36"/>
      <c r="X1353" s="36"/>
      <c r="Y1353" s="36"/>
      <c r="Z1353" s="36"/>
      <c r="AA1353" s="36"/>
    </row>
    <row r="1354" spans="1:27">
      <c r="A1354" s="36"/>
      <c r="B1354" s="36"/>
      <c r="C1354" s="36"/>
      <c r="D1354" s="36"/>
      <c r="E1354" s="36"/>
      <c r="F1354" s="36"/>
      <c r="G1354" s="36"/>
      <c r="H1354" s="36"/>
      <c r="I1354" s="36"/>
      <c r="J1354" s="36"/>
      <c r="K1354" s="36"/>
      <c r="L1354" s="40"/>
      <c r="M1354" s="36"/>
      <c r="N1354" s="36"/>
      <c r="O1354" s="36"/>
      <c r="P1354" s="36"/>
      <c r="Q1354" s="36"/>
      <c r="R1354" s="36"/>
      <c r="S1354" s="36"/>
      <c r="T1354" s="36"/>
      <c r="U1354" s="36"/>
      <c r="V1354" s="36"/>
      <c r="W1354" s="36"/>
      <c r="X1354" s="36"/>
      <c r="Y1354" s="36"/>
      <c r="Z1354" s="36"/>
      <c r="AA1354" s="36"/>
    </row>
    <row r="1355" spans="1:27">
      <c r="A1355" s="36"/>
      <c r="B1355" s="36"/>
      <c r="C1355" s="36"/>
      <c r="D1355" s="36"/>
      <c r="E1355" s="36"/>
      <c r="F1355" s="36"/>
      <c r="G1355" s="36"/>
      <c r="H1355" s="36"/>
      <c r="I1355" s="36"/>
      <c r="J1355" s="36"/>
      <c r="K1355" s="36"/>
      <c r="L1355" s="40"/>
      <c r="M1355" s="36"/>
      <c r="N1355" s="36"/>
      <c r="O1355" s="36"/>
      <c r="P1355" s="36"/>
      <c r="Q1355" s="36"/>
      <c r="R1355" s="36"/>
      <c r="S1355" s="36"/>
      <c r="T1355" s="36"/>
      <c r="U1355" s="36"/>
      <c r="V1355" s="36"/>
      <c r="W1355" s="36"/>
      <c r="X1355" s="36"/>
      <c r="Y1355" s="36"/>
      <c r="Z1355" s="36"/>
      <c r="AA1355" s="36"/>
    </row>
    <row r="1356" spans="1:27">
      <c r="A1356" s="36"/>
      <c r="B1356" s="36"/>
      <c r="C1356" s="36"/>
      <c r="D1356" s="36"/>
      <c r="E1356" s="36"/>
      <c r="F1356" s="36"/>
      <c r="G1356" s="36"/>
      <c r="H1356" s="36"/>
      <c r="I1356" s="36"/>
      <c r="J1356" s="36"/>
      <c r="K1356" s="36"/>
      <c r="L1356" s="40"/>
      <c r="M1356" s="36"/>
      <c r="N1356" s="36"/>
      <c r="O1356" s="36"/>
      <c r="P1356" s="36"/>
      <c r="Q1356" s="36"/>
      <c r="R1356" s="36"/>
      <c r="S1356" s="36"/>
      <c r="T1356" s="36"/>
      <c r="U1356" s="36"/>
      <c r="V1356" s="36"/>
      <c r="W1356" s="36"/>
      <c r="X1356" s="36"/>
      <c r="Y1356" s="36"/>
      <c r="Z1356" s="36"/>
      <c r="AA1356" s="36"/>
    </row>
    <row r="1357" spans="1:27">
      <c r="A1357" s="36"/>
      <c r="B1357" s="36"/>
      <c r="C1357" s="36"/>
      <c r="D1357" s="36"/>
      <c r="E1357" s="36"/>
      <c r="F1357" s="36"/>
      <c r="G1357" s="36"/>
      <c r="H1357" s="36"/>
      <c r="I1357" s="36"/>
      <c r="J1357" s="36"/>
      <c r="K1357" s="36"/>
      <c r="L1357" s="40"/>
      <c r="M1357" s="36"/>
      <c r="N1357" s="36"/>
      <c r="O1357" s="36"/>
      <c r="P1357" s="36"/>
      <c r="Q1357" s="36"/>
      <c r="R1357" s="36"/>
      <c r="S1357" s="36"/>
      <c r="T1357" s="36"/>
      <c r="U1357" s="36"/>
      <c r="V1357" s="36"/>
      <c r="W1357" s="36"/>
      <c r="X1357" s="36"/>
      <c r="Y1357" s="36"/>
      <c r="Z1357" s="36"/>
      <c r="AA1357" s="36"/>
    </row>
    <row r="1358" spans="1:27">
      <c r="A1358" s="36"/>
      <c r="B1358" s="36"/>
      <c r="C1358" s="36"/>
      <c r="D1358" s="36"/>
      <c r="E1358" s="36"/>
      <c r="F1358" s="36"/>
      <c r="G1358" s="36"/>
      <c r="H1358" s="36"/>
      <c r="I1358" s="36"/>
      <c r="J1358" s="36"/>
      <c r="K1358" s="36"/>
      <c r="L1358" s="40"/>
      <c r="M1358" s="36"/>
      <c r="N1358" s="36"/>
      <c r="O1358" s="36"/>
      <c r="P1358" s="36"/>
      <c r="Q1358" s="36"/>
      <c r="R1358" s="36"/>
      <c r="S1358" s="36"/>
      <c r="T1358" s="36"/>
      <c r="U1358" s="36"/>
      <c r="V1358" s="36"/>
      <c r="W1358" s="36"/>
      <c r="X1358" s="36"/>
      <c r="Y1358" s="36"/>
      <c r="Z1358" s="36"/>
      <c r="AA1358" s="36"/>
    </row>
    <row r="1359" spans="1:27">
      <c r="A1359" s="36"/>
      <c r="B1359" s="36"/>
      <c r="C1359" s="36"/>
      <c r="D1359" s="36"/>
      <c r="E1359" s="36"/>
      <c r="F1359" s="36"/>
      <c r="G1359" s="36"/>
      <c r="H1359" s="36"/>
      <c r="I1359" s="36"/>
      <c r="J1359" s="36"/>
      <c r="K1359" s="36"/>
      <c r="L1359" s="40"/>
      <c r="M1359" s="36"/>
      <c r="N1359" s="36"/>
      <c r="O1359" s="36"/>
      <c r="P1359" s="36"/>
      <c r="Q1359" s="36"/>
      <c r="R1359" s="36"/>
      <c r="S1359" s="36"/>
      <c r="T1359" s="36"/>
      <c r="U1359" s="36"/>
      <c r="V1359" s="36"/>
      <c r="W1359" s="36"/>
      <c r="X1359" s="36"/>
      <c r="Y1359" s="36"/>
      <c r="Z1359" s="36"/>
      <c r="AA1359" s="36"/>
    </row>
    <row r="1360" spans="1:27">
      <c r="A1360" s="36"/>
      <c r="B1360" s="36"/>
      <c r="C1360" s="36"/>
      <c r="D1360" s="36"/>
      <c r="E1360" s="36"/>
      <c r="F1360" s="36"/>
      <c r="G1360" s="36"/>
      <c r="H1360" s="36"/>
      <c r="I1360" s="36"/>
      <c r="J1360" s="36"/>
      <c r="K1360" s="36"/>
      <c r="L1360" s="40"/>
      <c r="M1360" s="36"/>
      <c r="N1360" s="36"/>
      <c r="O1360" s="36"/>
      <c r="P1360" s="36"/>
      <c r="Q1360" s="36"/>
      <c r="R1360" s="36"/>
      <c r="S1360" s="36"/>
      <c r="T1360" s="36"/>
      <c r="U1360" s="36"/>
      <c r="V1360" s="36"/>
      <c r="W1360" s="36"/>
      <c r="X1360" s="36"/>
      <c r="Y1360" s="36"/>
      <c r="Z1360" s="36"/>
      <c r="AA1360" s="36"/>
    </row>
    <row r="1361" spans="1:27">
      <c r="A1361" s="36"/>
      <c r="B1361" s="36"/>
      <c r="C1361" s="36"/>
      <c r="D1361" s="36"/>
      <c r="E1361" s="36"/>
      <c r="F1361" s="36"/>
      <c r="G1361" s="36"/>
      <c r="H1361" s="36"/>
      <c r="I1361" s="36"/>
      <c r="J1361" s="36"/>
      <c r="K1361" s="36"/>
      <c r="L1361" s="40"/>
      <c r="M1361" s="36"/>
      <c r="N1361" s="36"/>
      <c r="O1361" s="36"/>
      <c r="P1361" s="36"/>
      <c r="Q1361" s="36"/>
      <c r="R1361" s="36"/>
      <c r="S1361" s="36"/>
      <c r="T1361" s="36"/>
      <c r="U1361" s="36"/>
      <c r="V1361" s="36"/>
      <c r="W1361" s="36"/>
      <c r="X1361" s="36"/>
      <c r="Y1361" s="36"/>
      <c r="Z1361" s="36"/>
      <c r="AA1361" s="36"/>
    </row>
    <row r="1362" spans="1:27">
      <c r="A1362" s="36"/>
      <c r="B1362" s="36"/>
      <c r="C1362" s="36"/>
      <c r="D1362" s="36"/>
      <c r="E1362" s="36"/>
      <c r="F1362" s="36"/>
      <c r="G1362" s="36"/>
      <c r="H1362" s="36"/>
      <c r="I1362" s="36"/>
      <c r="J1362" s="36"/>
      <c r="K1362" s="36"/>
      <c r="L1362" s="40"/>
      <c r="M1362" s="36"/>
      <c r="N1362" s="36"/>
      <c r="O1362" s="36"/>
      <c r="P1362" s="36"/>
      <c r="Q1362" s="36"/>
      <c r="R1362" s="36"/>
      <c r="S1362" s="36"/>
      <c r="T1362" s="36"/>
      <c r="U1362" s="36"/>
      <c r="V1362" s="36"/>
      <c r="W1362" s="36"/>
      <c r="X1362" s="36"/>
      <c r="Y1362" s="36"/>
      <c r="Z1362" s="36"/>
      <c r="AA1362" s="36"/>
    </row>
    <row r="1363" spans="1:27">
      <c r="A1363" s="36"/>
      <c r="B1363" s="36"/>
      <c r="C1363" s="36"/>
      <c r="D1363" s="36"/>
      <c r="E1363" s="36"/>
      <c r="F1363" s="36"/>
      <c r="G1363" s="36"/>
      <c r="H1363" s="36"/>
      <c r="I1363" s="36"/>
      <c r="J1363" s="36"/>
      <c r="K1363" s="36"/>
      <c r="L1363" s="40"/>
      <c r="M1363" s="36"/>
      <c r="N1363" s="36"/>
      <c r="O1363" s="36"/>
      <c r="P1363" s="36"/>
      <c r="Q1363" s="36"/>
      <c r="R1363" s="36"/>
      <c r="S1363" s="36"/>
      <c r="T1363" s="36"/>
      <c r="U1363" s="36"/>
      <c r="V1363" s="36"/>
      <c r="W1363" s="36"/>
      <c r="X1363" s="36"/>
      <c r="Y1363" s="36"/>
      <c r="Z1363" s="36"/>
      <c r="AA1363" s="36"/>
    </row>
    <row r="1364" spans="1:27">
      <c r="A1364" s="36"/>
      <c r="B1364" s="36"/>
      <c r="C1364" s="36"/>
      <c r="D1364" s="36"/>
      <c r="E1364" s="36"/>
      <c r="F1364" s="36"/>
      <c r="G1364" s="36"/>
      <c r="H1364" s="36"/>
      <c r="I1364" s="36"/>
      <c r="J1364" s="36"/>
      <c r="K1364" s="36"/>
      <c r="L1364" s="40"/>
      <c r="M1364" s="36"/>
      <c r="N1364" s="36"/>
      <c r="O1364" s="36"/>
      <c r="P1364" s="36"/>
      <c r="Q1364" s="36"/>
      <c r="R1364" s="36"/>
      <c r="S1364" s="36"/>
      <c r="T1364" s="36"/>
      <c r="U1364" s="36"/>
      <c r="V1364" s="36"/>
      <c r="W1364" s="36"/>
      <c r="X1364" s="36"/>
      <c r="Y1364" s="36"/>
      <c r="Z1364" s="36"/>
      <c r="AA1364" s="36"/>
    </row>
    <row r="1365" spans="1:27">
      <c r="A1365" s="36"/>
      <c r="B1365" s="36"/>
      <c r="C1365" s="36"/>
      <c r="D1365" s="36"/>
      <c r="E1365" s="36"/>
      <c r="F1365" s="36"/>
      <c r="G1365" s="36"/>
      <c r="H1365" s="36"/>
      <c r="I1365" s="36"/>
      <c r="J1365" s="36"/>
      <c r="K1365" s="36"/>
      <c r="L1365" s="40"/>
      <c r="M1365" s="36"/>
      <c r="N1365" s="36"/>
      <c r="O1365" s="36"/>
      <c r="P1365" s="36"/>
      <c r="Q1365" s="36"/>
      <c r="R1365" s="36"/>
      <c r="S1365" s="36"/>
      <c r="T1365" s="36"/>
      <c r="U1365" s="36"/>
      <c r="V1365" s="36"/>
      <c r="W1365" s="36"/>
      <c r="X1365" s="36"/>
      <c r="Y1365" s="36"/>
      <c r="Z1365" s="36"/>
      <c r="AA1365" s="36"/>
    </row>
    <row r="1366" spans="1:27">
      <c r="A1366" s="36"/>
      <c r="B1366" s="36"/>
      <c r="C1366" s="36"/>
      <c r="D1366" s="36"/>
      <c r="E1366" s="36"/>
      <c r="F1366" s="36"/>
      <c r="G1366" s="36"/>
      <c r="H1366" s="36"/>
      <c r="I1366" s="36"/>
      <c r="J1366" s="36"/>
      <c r="K1366" s="36"/>
      <c r="L1366" s="40"/>
      <c r="M1366" s="36"/>
      <c r="N1366" s="36"/>
      <c r="O1366" s="36"/>
      <c r="P1366" s="36"/>
      <c r="Q1366" s="36"/>
      <c r="R1366" s="36"/>
      <c r="S1366" s="36"/>
      <c r="T1366" s="36"/>
      <c r="U1366" s="36"/>
      <c r="V1366" s="36"/>
      <c r="W1366" s="36"/>
      <c r="X1366" s="36"/>
      <c r="Y1366" s="36"/>
      <c r="Z1366" s="36"/>
      <c r="AA1366" s="36"/>
    </row>
    <row r="1367" spans="1:27">
      <c r="A1367" s="36"/>
      <c r="B1367" s="36"/>
      <c r="C1367" s="36"/>
      <c r="D1367" s="36"/>
      <c r="E1367" s="36"/>
      <c r="F1367" s="36"/>
      <c r="G1367" s="36"/>
      <c r="H1367" s="36"/>
      <c r="I1367" s="36"/>
      <c r="J1367" s="36"/>
      <c r="K1367" s="36"/>
      <c r="L1367" s="40"/>
      <c r="M1367" s="36"/>
      <c r="N1367" s="36"/>
      <c r="O1367" s="36"/>
      <c r="P1367" s="36"/>
      <c r="Q1367" s="36"/>
      <c r="R1367" s="36"/>
      <c r="S1367" s="36"/>
      <c r="T1367" s="36"/>
      <c r="U1367" s="36"/>
      <c r="V1367" s="36"/>
      <c r="W1367" s="36"/>
      <c r="X1367" s="36"/>
      <c r="Y1367" s="36"/>
      <c r="Z1367" s="36"/>
      <c r="AA1367" s="36"/>
    </row>
    <row r="1368" spans="1:27">
      <c r="A1368" s="36"/>
      <c r="B1368" s="36"/>
      <c r="C1368" s="36"/>
      <c r="D1368" s="36"/>
      <c r="E1368" s="36"/>
      <c r="F1368" s="36"/>
      <c r="G1368" s="36"/>
      <c r="H1368" s="36"/>
      <c r="I1368" s="36"/>
      <c r="J1368" s="36"/>
      <c r="K1368" s="36"/>
      <c r="L1368" s="40"/>
      <c r="M1368" s="36"/>
      <c r="N1368" s="36"/>
      <c r="O1368" s="36"/>
      <c r="P1368" s="36"/>
      <c r="Q1368" s="36"/>
      <c r="R1368" s="36"/>
      <c r="S1368" s="36"/>
      <c r="T1368" s="36"/>
      <c r="U1368" s="36"/>
      <c r="V1368" s="36"/>
      <c r="W1368" s="36"/>
      <c r="X1368" s="36"/>
      <c r="Y1368" s="36"/>
      <c r="Z1368" s="36"/>
      <c r="AA1368" s="36"/>
    </row>
    <row r="1369" spans="1:27">
      <c r="A1369" s="36"/>
      <c r="B1369" s="36"/>
      <c r="C1369" s="36"/>
      <c r="D1369" s="36"/>
      <c r="E1369" s="36"/>
      <c r="F1369" s="36"/>
      <c r="G1369" s="36"/>
      <c r="H1369" s="36"/>
      <c r="I1369" s="36"/>
      <c r="J1369" s="36"/>
      <c r="K1369" s="36"/>
      <c r="L1369" s="40"/>
      <c r="M1369" s="36"/>
      <c r="N1369" s="36"/>
      <c r="O1369" s="36"/>
      <c r="P1369" s="36"/>
      <c r="Q1369" s="36"/>
      <c r="R1369" s="36"/>
      <c r="S1369" s="36"/>
      <c r="T1369" s="36"/>
      <c r="U1369" s="36"/>
      <c r="V1369" s="36"/>
      <c r="W1369" s="36"/>
      <c r="X1369" s="36"/>
      <c r="Y1369" s="36"/>
      <c r="Z1369" s="36"/>
      <c r="AA1369" s="36"/>
    </row>
    <row r="1370" spans="1:27">
      <c r="A1370" s="36"/>
      <c r="B1370" s="36"/>
      <c r="C1370" s="36"/>
      <c r="D1370" s="36"/>
      <c r="E1370" s="36"/>
      <c r="F1370" s="36"/>
      <c r="G1370" s="36"/>
      <c r="H1370" s="36"/>
      <c r="I1370" s="36"/>
      <c r="J1370" s="36"/>
      <c r="K1370" s="36"/>
      <c r="L1370" s="40"/>
      <c r="M1370" s="36"/>
      <c r="N1370" s="36"/>
      <c r="O1370" s="36"/>
      <c r="P1370" s="36"/>
      <c r="Q1370" s="36"/>
      <c r="R1370" s="36"/>
      <c r="S1370" s="36"/>
      <c r="T1370" s="36"/>
      <c r="U1370" s="36"/>
      <c r="V1370" s="36"/>
      <c r="W1370" s="36"/>
      <c r="X1370" s="36"/>
      <c r="Y1370" s="36"/>
      <c r="Z1370" s="36"/>
      <c r="AA1370" s="36"/>
    </row>
    <row r="1371" spans="1:27">
      <c r="A1371" s="36"/>
      <c r="B1371" s="36"/>
      <c r="C1371" s="36"/>
      <c r="D1371" s="36"/>
      <c r="E1371" s="36"/>
      <c r="F1371" s="36"/>
      <c r="G1371" s="36"/>
      <c r="H1371" s="36"/>
      <c r="I1371" s="36"/>
      <c r="J1371" s="36"/>
      <c r="K1371" s="36"/>
      <c r="L1371" s="40"/>
      <c r="M1371" s="36"/>
      <c r="N1371" s="36"/>
      <c r="O1371" s="36"/>
      <c r="P1371" s="36"/>
      <c r="Q1371" s="36"/>
      <c r="R1371" s="36"/>
      <c r="S1371" s="36"/>
      <c r="T1371" s="36"/>
      <c r="U1371" s="36"/>
      <c r="V1371" s="36"/>
      <c r="W1371" s="36"/>
      <c r="X1371" s="36"/>
      <c r="Y1371" s="36"/>
      <c r="Z1371" s="36"/>
      <c r="AA1371" s="36"/>
    </row>
    <row r="1372" spans="1:27">
      <c r="A1372" s="36"/>
      <c r="B1372" s="36"/>
      <c r="C1372" s="36"/>
      <c r="D1372" s="36"/>
      <c r="E1372" s="36"/>
      <c r="F1372" s="36"/>
      <c r="G1372" s="36"/>
      <c r="H1372" s="36"/>
      <c r="I1372" s="36"/>
      <c r="J1372" s="36"/>
      <c r="K1372" s="36"/>
      <c r="L1372" s="40"/>
      <c r="M1372" s="36"/>
      <c r="N1372" s="36"/>
      <c r="O1372" s="36"/>
      <c r="P1372" s="36"/>
      <c r="Q1372" s="36"/>
      <c r="R1372" s="36"/>
      <c r="S1372" s="36"/>
      <c r="T1372" s="36"/>
      <c r="U1372" s="36"/>
      <c r="V1372" s="36"/>
      <c r="W1372" s="36"/>
      <c r="X1372" s="36"/>
      <c r="Y1372" s="36"/>
      <c r="Z1372" s="36"/>
      <c r="AA1372" s="36"/>
    </row>
    <row r="1373" spans="1:27">
      <c r="A1373" s="36"/>
      <c r="B1373" s="36"/>
      <c r="C1373" s="36"/>
      <c r="D1373" s="36"/>
      <c r="E1373" s="36"/>
      <c r="F1373" s="36"/>
      <c r="G1373" s="36"/>
      <c r="H1373" s="36"/>
      <c r="I1373" s="36"/>
      <c r="J1373" s="36"/>
      <c r="K1373" s="36"/>
      <c r="L1373" s="40"/>
      <c r="M1373" s="36"/>
      <c r="N1373" s="36"/>
      <c r="O1373" s="36"/>
      <c r="P1373" s="36"/>
      <c r="Q1373" s="36"/>
      <c r="R1373" s="36"/>
      <c r="S1373" s="36"/>
      <c r="T1373" s="36"/>
      <c r="U1373" s="36"/>
      <c r="V1373" s="36"/>
      <c r="W1373" s="36"/>
      <c r="X1373" s="36"/>
      <c r="Y1373" s="36"/>
      <c r="Z1373" s="36"/>
      <c r="AA1373" s="36"/>
    </row>
    <row r="1374" spans="1:27">
      <c r="A1374" s="36"/>
      <c r="B1374" s="36"/>
      <c r="C1374" s="36"/>
      <c r="D1374" s="36"/>
      <c r="E1374" s="36"/>
      <c r="F1374" s="36"/>
      <c r="G1374" s="36"/>
      <c r="H1374" s="36"/>
      <c r="I1374" s="36"/>
      <c r="J1374" s="36"/>
      <c r="K1374" s="36"/>
      <c r="L1374" s="40"/>
      <c r="M1374" s="36"/>
      <c r="N1374" s="36"/>
      <c r="O1374" s="36"/>
      <c r="P1374" s="36"/>
      <c r="Q1374" s="36"/>
      <c r="R1374" s="36"/>
      <c r="S1374" s="36"/>
      <c r="T1374" s="36"/>
      <c r="U1374" s="36"/>
      <c r="V1374" s="36"/>
      <c r="W1374" s="36"/>
      <c r="X1374" s="36"/>
      <c r="Y1374" s="36"/>
      <c r="Z1374" s="36"/>
      <c r="AA1374" s="36"/>
    </row>
    <row r="1375" spans="1:27">
      <c r="A1375" s="36"/>
      <c r="B1375" s="36"/>
      <c r="C1375" s="36"/>
      <c r="D1375" s="36"/>
      <c r="E1375" s="36"/>
      <c r="F1375" s="36"/>
      <c r="G1375" s="36"/>
      <c r="H1375" s="36"/>
      <c r="I1375" s="36"/>
      <c r="J1375" s="36"/>
      <c r="K1375" s="36"/>
      <c r="L1375" s="40"/>
      <c r="M1375" s="36"/>
      <c r="N1375" s="36"/>
      <c r="O1375" s="36"/>
      <c r="P1375" s="36"/>
      <c r="Q1375" s="36"/>
      <c r="R1375" s="36"/>
      <c r="S1375" s="36"/>
      <c r="T1375" s="36"/>
      <c r="U1375" s="36"/>
      <c r="V1375" s="36"/>
      <c r="W1375" s="36"/>
      <c r="X1375" s="36"/>
      <c r="Y1375" s="36"/>
      <c r="Z1375" s="36"/>
      <c r="AA1375" s="36"/>
    </row>
    <row r="1376" spans="1:27">
      <c r="A1376" s="36"/>
      <c r="B1376" s="36"/>
      <c r="C1376" s="36"/>
      <c r="D1376" s="36"/>
      <c r="E1376" s="36"/>
      <c r="F1376" s="36"/>
      <c r="G1376" s="36"/>
      <c r="H1376" s="36"/>
      <c r="I1376" s="36"/>
      <c r="J1376" s="36"/>
      <c r="K1376" s="36"/>
      <c r="L1376" s="40"/>
      <c r="M1376" s="36"/>
      <c r="N1376" s="36"/>
      <c r="O1376" s="36"/>
      <c r="P1376" s="36"/>
      <c r="Q1376" s="36"/>
      <c r="R1376" s="36"/>
      <c r="S1376" s="36"/>
      <c r="T1376" s="36"/>
      <c r="U1376" s="36"/>
      <c r="V1376" s="36"/>
      <c r="W1376" s="36"/>
      <c r="X1376" s="36"/>
      <c r="Y1376" s="36"/>
      <c r="Z1376" s="36"/>
      <c r="AA1376" s="36"/>
    </row>
    <row r="1377" spans="1:27">
      <c r="A1377" s="36"/>
      <c r="B1377" s="36"/>
      <c r="C1377" s="36"/>
      <c r="D1377" s="36"/>
      <c r="E1377" s="36"/>
      <c r="F1377" s="36"/>
      <c r="G1377" s="36"/>
      <c r="H1377" s="36"/>
      <c r="I1377" s="36"/>
      <c r="J1377" s="36"/>
      <c r="K1377" s="36"/>
      <c r="L1377" s="40"/>
      <c r="M1377" s="36"/>
      <c r="N1377" s="36"/>
      <c r="O1377" s="36"/>
      <c r="P1377" s="36"/>
      <c r="Q1377" s="36"/>
      <c r="R1377" s="36"/>
      <c r="S1377" s="36"/>
      <c r="T1377" s="36"/>
      <c r="U1377" s="36"/>
      <c r="V1377" s="36"/>
      <c r="W1377" s="36"/>
      <c r="X1377" s="36"/>
      <c r="Y1377" s="36"/>
      <c r="Z1377" s="36"/>
      <c r="AA1377" s="36"/>
    </row>
    <row r="1378" spans="1:27">
      <c r="A1378" s="36"/>
      <c r="B1378" s="36"/>
      <c r="C1378" s="36"/>
      <c r="D1378" s="36"/>
      <c r="E1378" s="36"/>
      <c r="F1378" s="36"/>
      <c r="G1378" s="36"/>
      <c r="H1378" s="36"/>
      <c r="I1378" s="36"/>
      <c r="J1378" s="36"/>
      <c r="K1378" s="36"/>
      <c r="L1378" s="40"/>
      <c r="M1378" s="36"/>
      <c r="N1378" s="36"/>
      <c r="O1378" s="36"/>
      <c r="P1378" s="36"/>
      <c r="Q1378" s="36"/>
      <c r="R1378" s="36"/>
      <c r="S1378" s="36"/>
      <c r="T1378" s="36"/>
      <c r="U1378" s="36"/>
      <c r="V1378" s="36"/>
      <c r="W1378" s="36"/>
      <c r="X1378" s="36"/>
      <c r="Y1378" s="36"/>
      <c r="Z1378" s="36"/>
      <c r="AA1378" s="36"/>
    </row>
    <row r="1379" spans="1:27">
      <c r="A1379" s="36"/>
      <c r="B1379" s="36"/>
      <c r="C1379" s="36"/>
      <c r="D1379" s="36"/>
      <c r="E1379" s="36"/>
      <c r="F1379" s="36"/>
      <c r="G1379" s="36"/>
      <c r="H1379" s="36"/>
      <c r="I1379" s="36"/>
      <c r="J1379" s="36"/>
      <c r="K1379" s="36"/>
      <c r="L1379" s="40"/>
      <c r="M1379" s="36"/>
      <c r="N1379" s="36"/>
      <c r="O1379" s="36"/>
      <c r="P1379" s="36"/>
      <c r="Q1379" s="36"/>
      <c r="R1379" s="36"/>
      <c r="S1379" s="36"/>
      <c r="T1379" s="36"/>
      <c r="U1379" s="36"/>
      <c r="V1379" s="36"/>
      <c r="W1379" s="36"/>
      <c r="X1379" s="36"/>
      <c r="Y1379" s="36"/>
      <c r="Z1379" s="36"/>
      <c r="AA1379" s="36"/>
    </row>
    <row r="1380" spans="1:27">
      <c r="A1380" s="36"/>
      <c r="B1380" s="36"/>
      <c r="C1380" s="36"/>
      <c r="D1380" s="36"/>
      <c r="E1380" s="36"/>
      <c r="F1380" s="36"/>
      <c r="G1380" s="36"/>
      <c r="H1380" s="36"/>
      <c r="I1380" s="36"/>
      <c r="J1380" s="36"/>
      <c r="K1380" s="36"/>
      <c r="L1380" s="40"/>
      <c r="M1380" s="36"/>
      <c r="N1380" s="36"/>
      <c r="O1380" s="36"/>
      <c r="P1380" s="36"/>
      <c r="Q1380" s="36"/>
      <c r="R1380" s="36"/>
      <c r="S1380" s="36"/>
      <c r="T1380" s="36"/>
      <c r="U1380" s="36"/>
      <c r="V1380" s="36"/>
      <c r="W1380" s="36"/>
      <c r="X1380" s="36"/>
      <c r="Y1380" s="36"/>
      <c r="Z1380" s="36"/>
      <c r="AA1380" s="36"/>
    </row>
    <row r="1381" spans="1:27">
      <c r="A1381" s="36"/>
      <c r="B1381" s="36"/>
      <c r="C1381" s="36"/>
      <c r="D1381" s="36"/>
      <c r="E1381" s="36"/>
      <c r="F1381" s="36"/>
      <c r="G1381" s="36"/>
      <c r="H1381" s="36"/>
      <c r="I1381" s="36"/>
      <c r="J1381" s="36"/>
      <c r="K1381" s="36"/>
      <c r="L1381" s="40"/>
      <c r="M1381" s="36"/>
      <c r="N1381" s="36"/>
      <c r="O1381" s="36"/>
      <c r="P1381" s="36"/>
      <c r="Q1381" s="36"/>
      <c r="R1381" s="36"/>
      <c r="S1381" s="36"/>
      <c r="T1381" s="36"/>
      <c r="U1381" s="36"/>
      <c r="V1381" s="36"/>
      <c r="W1381" s="36"/>
      <c r="X1381" s="36"/>
      <c r="Y1381" s="36"/>
      <c r="Z1381" s="36"/>
      <c r="AA1381" s="36"/>
    </row>
    <row r="1382" spans="1:27">
      <c r="A1382" s="36"/>
      <c r="B1382" s="36"/>
      <c r="C1382" s="36"/>
      <c r="D1382" s="36"/>
      <c r="E1382" s="36"/>
      <c r="F1382" s="36"/>
      <c r="G1382" s="36"/>
      <c r="H1382" s="36"/>
      <c r="I1382" s="36"/>
      <c r="J1382" s="36"/>
      <c r="K1382" s="36"/>
      <c r="L1382" s="40"/>
      <c r="M1382" s="36"/>
      <c r="N1382" s="36"/>
      <c r="O1382" s="36"/>
      <c r="P1382" s="36"/>
      <c r="Q1382" s="36"/>
      <c r="R1382" s="36"/>
      <c r="S1382" s="36"/>
      <c r="T1382" s="36"/>
      <c r="U1382" s="36"/>
      <c r="V1382" s="36"/>
      <c r="W1382" s="36"/>
      <c r="X1382" s="36"/>
      <c r="Y1382" s="36"/>
      <c r="Z1382" s="36"/>
      <c r="AA1382" s="36"/>
    </row>
    <row r="1383" spans="1:27">
      <c r="A1383" s="36"/>
      <c r="B1383" s="36"/>
      <c r="C1383" s="36"/>
      <c r="D1383" s="36"/>
      <c r="E1383" s="36"/>
      <c r="F1383" s="36"/>
      <c r="G1383" s="36"/>
      <c r="H1383" s="36"/>
      <c r="I1383" s="36"/>
      <c r="J1383" s="36"/>
      <c r="K1383" s="36"/>
      <c r="L1383" s="40"/>
      <c r="M1383" s="36"/>
      <c r="N1383" s="36"/>
      <c r="O1383" s="36"/>
      <c r="P1383" s="36"/>
      <c r="Q1383" s="36"/>
      <c r="R1383" s="36"/>
      <c r="S1383" s="36"/>
      <c r="T1383" s="36"/>
      <c r="U1383" s="36"/>
      <c r="V1383" s="36"/>
      <c r="W1383" s="36"/>
      <c r="X1383" s="36"/>
      <c r="Y1383" s="36"/>
      <c r="Z1383" s="36"/>
      <c r="AA1383" s="36"/>
    </row>
    <row r="1384" spans="1:27">
      <c r="A1384" s="36"/>
      <c r="B1384" s="36"/>
      <c r="C1384" s="36"/>
      <c r="D1384" s="36"/>
      <c r="E1384" s="36"/>
      <c r="F1384" s="36"/>
      <c r="G1384" s="36"/>
      <c r="H1384" s="36"/>
      <c r="I1384" s="36"/>
      <c r="J1384" s="36"/>
      <c r="K1384" s="36"/>
      <c r="L1384" s="40"/>
      <c r="M1384" s="36"/>
      <c r="N1384" s="36"/>
      <c r="O1384" s="36"/>
      <c r="P1384" s="36"/>
      <c r="Q1384" s="36"/>
      <c r="R1384" s="36"/>
      <c r="S1384" s="36"/>
      <c r="T1384" s="36"/>
      <c r="U1384" s="36"/>
      <c r="V1384" s="36"/>
      <c r="W1384" s="36"/>
      <c r="X1384" s="36"/>
      <c r="Y1384" s="36"/>
      <c r="Z1384" s="36"/>
      <c r="AA1384" s="36"/>
    </row>
    <row r="1385" spans="1:27">
      <c r="A1385" s="36"/>
      <c r="B1385" s="36"/>
      <c r="C1385" s="36"/>
      <c r="D1385" s="36"/>
      <c r="E1385" s="36"/>
      <c r="F1385" s="36"/>
      <c r="G1385" s="36"/>
      <c r="H1385" s="36"/>
      <c r="I1385" s="36"/>
      <c r="J1385" s="36"/>
      <c r="K1385" s="36"/>
      <c r="L1385" s="40"/>
      <c r="M1385" s="36"/>
      <c r="N1385" s="36"/>
      <c r="O1385" s="36"/>
      <c r="P1385" s="36"/>
      <c r="Q1385" s="36"/>
      <c r="R1385" s="36"/>
      <c r="S1385" s="36"/>
      <c r="T1385" s="36"/>
      <c r="U1385" s="36"/>
      <c r="V1385" s="36"/>
      <c r="W1385" s="36"/>
      <c r="X1385" s="36"/>
      <c r="Y1385" s="36"/>
      <c r="Z1385" s="36"/>
      <c r="AA1385" s="36"/>
    </row>
    <row r="1386" spans="1:27">
      <c r="A1386" s="36"/>
      <c r="B1386" s="36"/>
      <c r="C1386" s="36"/>
      <c r="D1386" s="36"/>
      <c r="E1386" s="36"/>
      <c r="F1386" s="36"/>
      <c r="G1386" s="36"/>
      <c r="H1386" s="36"/>
      <c r="I1386" s="36"/>
      <c r="J1386" s="36"/>
      <c r="K1386" s="36"/>
      <c r="L1386" s="40"/>
      <c r="M1386" s="36"/>
      <c r="N1386" s="36"/>
      <c r="O1386" s="36"/>
      <c r="P1386" s="36"/>
      <c r="Q1386" s="36"/>
      <c r="R1386" s="36"/>
      <c r="S1386" s="36"/>
      <c r="T1386" s="36"/>
      <c r="U1386" s="36"/>
      <c r="V1386" s="36"/>
      <c r="W1386" s="36"/>
      <c r="X1386" s="36"/>
      <c r="Y1386" s="36"/>
      <c r="Z1386" s="36"/>
      <c r="AA1386" s="36"/>
    </row>
    <row r="1387" spans="1:27">
      <c r="A1387" s="36"/>
      <c r="B1387" s="36"/>
      <c r="C1387" s="36"/>
      <c r="D1387" s="36"/>
      <c r="E1387" s="36"/>
      <c r="F1387" s="36"/>
      <c r="G1387" s="36"/>
      <c r="H1387" s="36"/>
      <c r="I1387" s="36"/>
      <c r="J1387" s="36"/>
      <c r="K1387" s="36"/>
      <c r="L1387" s="40"/>
      <c r="M1387" s="36"/>
      <c r="N1387" s="36"/>
      <c r="O1387" s="36"/>
      <c r="P1387" s="36"/>
      <c r="Q1387" s="36"/>
      <c r="R1387" s="36"/>
      <c r="S1387" s="36"/>
      <c r="T1387" s="36"/>
      <c r="U1387" s="36"/>
      <c r="V1387" s="36"/>
      <c r="W1387" s="36"/>
      <c r="X1387" s="36"/>
      <c r="Y1387" s="36"/>
      <c r="Z1387" s="36"/>
      <c r="AA1387" s="36"/>
    </row>
    <row r="1388" spans="1:27">
      <c r="A1388" s="36"/>
      <c r="B1388" s="36"/>
      <c r="C1388" s="36"/>
      <c r="D1388" s="36"/>
      <c r="E1388" s="36"/>
      <c r="F1388" s="36"/>
      <c r="G1388" s="36"/>
      <c r="H1388" s="36"/>
      <c r="I1388" s="36"/>
      <c r="J1388" s="36"/>
      <c r="K1388" s="36"/>
      <c r="L1388" s="40"/>
      <c r="M1388" s="36"/>
      <c r="N1388" s="36"/>
      <c r="O1388" s="36"/>
      <c r="P1388" s="36"/>
      <c r="Q1388" s="36"/>
      <c r="R1388" s="36"/>
      <c r="S1388" s="36"/>
      <c r="T1388" s="36"/>
      <c r="U1388" s="36"/>
      <c r="V1388" s="36"/>
      <c r="W1388" s="36"/>
      <c r="X1388" s="36"/>
      <c r="Y1388" s="36"/>
      <c r="Z1388" s="36"/>
      <c r="AA1388" s="36"/>
    </row>
    <row r="1389" spans="1:27">
      <c r="A1389" s="36"/>
      <c r="B1389" s="36"/>
      <c r="C1389" s="36"/>
      <c r="D1389" s="36"/>
      <c r="E1389" s="36"/>
      <c r="F1389" s="36"/>
      <c r="G1389" s="36"/>
      <c r="H1389" s="36"/>
      <c r="I1389" s="36"/>
      <c r="J1389" s="36"/>
      <c r="K1389" s="36"/>
      <c r="L1389" s="40"/>
      <c r="M1389" s="36"/>
      <c r="N1389" s="36"/>
      <c r="O1389" s="36"/>
      <c r="P1389" s="36"/>
      <c r="Q1389" s="36"/>
      <c r="R1389" s="36"/>
      <c r="S1389" s="36"/>
      <c r="T1389" s="36"/>
      <c r="U1389" s="36"/>
      <c r="V1389" s="36"/>
      <c r="W1389" s="36"/>
      <c r="X1389" s="36"/>
      <c r="Y1389" s="36"/>
      <c r="Z1389" s="36"/>
      <c r="AA1389" s="36"/>
    </row>
    <row r="1390" spans="1:27">
      <c r="A1390" s="36"/>
      <c r="B1390" s="36"/>
      <c r="C1390" s="36"/>
      <c r="D1390" s="36"/>
      <c r="E1390" s="36"/>
      <c r="F1390" s="36"/>
      <c r="G1390" s="36"/>
      <c r="H1390" s="36"/>
      <c r="I1390" s="36"/>
      <c r="J1390" s="36"/>
      <c r="K1390" s="36"/>
      <c r="L1390" s="40"/>
      <c r="M1390" s="36"/>
      <c r="N1390" s="36"/>
      <c r="O1390" s="36"/>
      <c r="P1390" s="36"/>
      <c r="Q1390" s="36"/>
      <c r="R1390" s="36"/>
      <c r="S1390" s="36"/>
      <c r="T1390" s="36"/>
      <c r="U1390" s="36"/>
      <c r="V1390" s="36"/>
      <c r="W1390" s="36"/>
      <c r="X1390" s="36"/>
      <c r="Y1390" s="36"/>
      <c r="Z1390" s="36"/>
      <c r="AA1390" s="36"/>
    </row>
    <row r="1391" spans="1:27">
      <c r="A1391" s="36"/>
      <c r="B1391" s="36"/>
      <c r="C1391" s="36"/>
      <c r="D1391" s="36"/>
      <c r="E1391" s="36"/>
      <c r="F1391" s="36"/>
      <c r="G1391" s="36"/>
      <c r="H1391" s="36"/>
      <c r="I1391" s="36"/>
      <c r="J1391" s="36"/>
      <c r="K1391" s="36"/>
      <c r="L1391" s="40"/>
      <c r="M1391" s="36"/>
      <c r="N1391" s="36"/>
      <c r="O1391" s="36"/>
      <c r="P1391" s="36"/>
      <c r="Q1391" s="36"/>
      <c r="R1391" s="36"/>
      <c r="S1391" s="36"/>
      <c r="T1391" s="36"/>
      <c r="U1391" s="36"/>
      <c r="V1391" s="36"/>
      <c r="W1391" s="36"/>
      <c r="X1391" s="36"/>
      <c r="Y1391" s="36"/>
      <c r="Z1391" s="36"/>
      <c r="AA1391" s="36"/>
    </row>
    <row r="1392" spans="1:27">
      <c r="A1392" s="36"/>
      <c r="B1392" s="36"/>
      <c r="C1392" s="36"/>
      <c r="D1392" s="36"/>
      <c r="E1392" s="36"/>
      <c r="F1392" s="36"/>
      <c r="G1392" s="36"/>
      <c r="H1392" s="36"/>
      <c r="I1392" s="36"/>
      <c r="J1392" s="36"/>
      <c r="K1392" s="36"/>
      <c r="L1392" s="40"/>
      <c r="M1392" s="36"/>
      <c r="N1392" s="36"/>
      <c r="O1392" s="36"/>
      <c r="P1392" s="36"/>
      <c r="Q1392" s="36"/>
      <c r="R1392" s="36"/>
      <c r="S1392" s="36"/>
      <c r="T1392" s="36"/>
      <c r="U1392" s="36"/>
      <c r="V1392" s="36"/>
      <c r="W1392" s="36"/>
      <c r="X1392" s="36"/>
      <c r="Y1392" s="36"/>
      <c r="Z1392" s="36"/>
      <c r="AA1392" s="36"/>
    </row>
    <row r="1393" spans="1:27">
      <c r="A1393" s="36"/>
      <c r="B1393" s="36"/>
      <c r="C1393" s="36"/>
      <c r="D1393" s="36"/>
      <c r="E1393" s="36"/>
      <c r="F1393" s="36"/>
      <c r="G1393" s="36"/>
      <c r="H1393" s="36"/>
      <c r="I1393" s="36"/>
      <c r="J1393" s="36"/>
      <c r="K1393" s="36"/>
      <c r="L1393" s="40"/>
      <c r="M1393" s="36"/>
      <c r="N1393" s="36"/>
      <c r="O1393" s="36"/>
      <c r="P1393" s="36"/>
      <c r="Q1393" s="36"/>
      <c r="R1393" s="36"/>
      <c r="S1393" s="36"/>
      <c r="T1393" s="36"/>
      <c r="U1393" s="36"/>
      <c r="V1393" s="36"/>
      <c r="W1393" s="36"/>
      <c r="X1393" s="36"/>
      <c r="Y1393" s="36"/>
      <c r="Z1393" s="36"/>
      <c r="AA1393" s="36"/>
    </row>
    <row r="1394" spans="1:27">
      <c r="A1394" s="36"/>
      <c r="B1394" s="36"/>
      <c r="C1394" s="36"/>
      <c r="D1394" s="36"/>
      <c r="E1394" s="36"/>
      <c r="F1394" s="36"/>
      <c r="G1394" s="36"/>
      <c r="H1394" s="36"/>
      <c r="I1394" s="36"/>
      <c r="J1394" s="36"/>
      <c r="K1394" s="36"/>
      <c r="L1394" s="40"/>
      <c r="M1394" s="36"/>
      <c r="N1394" s="36"/>
      <c r="O1394" s="36"/>
      <c r="P1394" s="36"/>
      <c r="Q1394" s="36"/>
      <c r="R1394" s="36"/>
      <c r="S1394" s="36"/>
      <c r="T1394" s="36"/>
      <c r="U1394" s="36"/>
      <c r="V1394" s="36"/>
      <c r="W1394" s="36"/>
      <c r="X1394" s="36"/>
      <c r="Y1394" s="36"/>
      <c r="Z1394" s="36"/>
      <c r="AA1394" s="36"/>
    </row>
    <row r="1395" spans="1:27">
      <c r="A1395" s="36"/>
      <c r="B1395" s="36"/>
      <c r="C1395" s="36"/>
      <c r="D1395" s="36"/>
      <c r="E1395" s="36"/>
      <c r="F1395" s="36"/>
      <c r="G1395" s="36"/>
      <c r="H1395" s="36"/>
      <c r="I1395" s="36"/>
      <c r="J1395" s="36"/>
      <c r="K1395" s="36"/>
      <c r="L1395" s="40"/>
      <c r="M1395" s="36"/>
      <c r="N1395" s="36"/>
      <c r="O1395" s="36"/>
      <c r="P1395" s="36"/>
      <c r="Q1395" s="36"/>
      <c r="R1395" s="36"/>
      <c r="S1395" s="36"/>
      <c r="T1395" s="36"/>
      <c r="U1395" s="36"/>
      <c r="V1395" s="36"/>
      <c r="W1395" s="36"/>
      <c r="X1395" s="36"/>
      <c r="Y1395" s="36"/>
      <c r="Z1395" s="36"/>
      <c r="AA1395" s="36"/>
    </row>
    <row r="1396" spans="1:27">
      <c r="A1396" s="36"/>
      <c r="B1396" s="36"/>
      <c r="C1396" s="36"/>
      <c r="D1396" s="36"/>
      <c r="E1396" s="36"/>
      <c r="F1396" s="36"/>
      <c r="G1396" s="36"/>
      <c r="H1396" s="36"/>
      <c r="I1396" s="36"/>
      <c r="J1396" s="36"/>
      <c r="K1396" s="36"/>
      <c r="L1396" s="40"/>
      <c r="M1396" s="36"/>
      <c r="N1396" s="36"/>
      <c r="O1396" s="36"/>
      <c r="P1396" s="36"/>
      <c r="Q1396" s="36"/>
      <c r="R1396" s="36"/>
      <c r="S1396" s="36"/>
      <c r="T1396" s="36"/>
      <c r="U1396" s="36"/>
      <c r="V1396" s="36"/>
      <c r="W1396" s="36"/>
      <c r="X1396" s="36"/>
      <c r="Y1396" s="36"/>
      <c r="Z1396" s="36"/>
      <c r="AA1396" s="36"/>
    </row>
    <row r="1397" spans="1:27">
      <c r="A1397" s="36"/>
      <c r="B1397" s="36"/>
      <c r="C1397" s="36"/>
      <c r="D1397" s="36"/>
      <c r="E1397" s="36"/>
      <c r="F1397" s="36"/>
      <c r="G1397" s="36"/>
      <c r="H1397" s="36"/>
      <c r="I1397" s="36"/>
      <c r="J1397" s="36"/>
      <c r="K1397" s="36"/>
      <c r="L1397" s="40"/>
      <c r="M1397" s="36"/>
      <c r="N1397" s="36"/>
      <c r="O1397" s="36"/>
      <c r="P1397" s="36"/>
      <c r="Q1397" s="36"/>
      <c r="R1397" s="36"/>
      <c r="S1397" s="36"/>
      <c r="T1397" s="36"/>
      <c r="U1397" s="36"/>
      <c r="V1397" s="36"/>
      <c r="W1397" s="36"/>
      <c r="X1397" s="36"/>
      <c r="Y1397" s="36"/>
      <c r="Z1397" s="36"/>
      <c r="AA1397" s="36"/>
    </row>
    <row r="1398" spans="1:27">
      <c r="A1398" s="36"/>
      <c r="B1398" s="36"/>
      <c r="C1398" s="36"/>
      <c r="D1398" s="36"/>
      <c r="E1398" s="36"/>
      <c r="F1398" s="36"/>
      <c r="G1398" s="36"/>
      <c r="H1398" s="36"/>
      <c r="I1398" s="36"/>
      <c r="J1398" s="36"/>
      <c r="K1398" s="36"/>
      <c r="L1398" s="40"/>
      <c r="M1398" s="36"/>
      <c r="N1398" s="36"/>
      <c r="O1398" s="36"/>
      <c r="P1398" s="36"/>
      <c r="Q1398" s="36"/>
      <c r="R1398" s="36"/>
      <c r="S1398" s="36"/>
      <c r="T1398" s="36"/>
      <c r="U1398" s="36"/>
      <c r="V1398" s="36"/>
      <c r="W1398" s="36"/>
      <c r="X1398" s="36"/>
      <c r="Y1398" s="36"/>
      <c r="Z1398" s="36"/>
      <c r="AA1398" s="36"/>
    </row>
    <row r="1399" spans="1:27">
      <c r="A1399" s="36"/>
      <c r="B1399" s="36"/>
      <c r="C1399" s="36"/>
      <c r="D1399" s="36"/>
      <c r="E1399" s="36"/>
      <c r="F1399" s="36"/>
      <c r="G1399" s="36"/>
      <c r="H1399" s="36"/>
      <c r="I1399" s="36"/>
      <c r="J1399" s="36"/>
      <c r="K1399" s="36"/>
      <c r="L1399" s="40"/>
      <c r="M1399" s="36"/>
      <c r="N1399" s="36"/>
      <c r="O1399" s="36"/>
      <c r="P1399" s="36"/>
      <c r="Q1399" s="36"/>
      <c r="R1399" s="36"/>
      <c r="S1399" s="36"/>
      <c r="T1399" s="36"/>
      <c r="U1399" s="36"/>
      <c r="V1399" s="36"/>
      <c r="W1399" s="36"/>
      <c r="X1399" s="36"/>
      <c r="Y1399" s="36"/>
      <c r="Z1399" s="36"/>
      <c r="AA1399" s="36"/>
    </row>
    <row r="1400" spans="1:27">
      <c r="A1400" s="36"/>
      <c r="B1400" s="36"/>
      <c r="C1400" s="36"/>
      <c r="D1400" s="36"/>
      <c r="E1400" s="36"/>
      <c r="F1400" s="36"/>
      <c r="G1400" s="36"/>
      <c r="H1400" s="36"/>
      <c r="I1400" s="36"/>
      <c r="J1400" s="36"/>
      <c r="K1400" s="36"/>
      <c r="L1400" s="40"/>
      <c r="M1400" s="36"/>
      <c r="N1400" s="36"/>
      <c r="O1400" s="36"/>
      <c r="P1400" s="36"/>
      <c r="Q1400" s="36"/>
      <c r="R1400" s="36"/>
      <c r="S1400" s="36"/>
      <c r="T1400" s="36"/>
      <c r="U1400" s="36"/>
      <c r="V1400" s="36"/>
      <c r="W1400" s="36"/>
      <c r="X1400" s="36"/>
      <c r="Y1400" s="36"/>
      <c r="Z1400" s="36"/>
      <c r="AA1400" s="36"/>
    </row>
    <row r="1401" spans="1:27">
      <c r="A1401" s="36"/>
      <c r="B1401" s="36"/>
      <c r="C1401" s="36"/>
      <c r="D1401" s="36"/>
      <c r="E1401" s="36"/>
      <c r="F1401" s="36"/>
      <c r="G1401" s="36"/>
      <c r="H1401" s="36"/>
      <c r="I1401" s="36"/>
      <c r="J1401" s="36"/>
      <c r="K1401" s="36"/>
      <c r="L1401" s="40"/>
      <c r="M1401" s="36"/>
      <c r="N1401" s="36"/>
      <c r="O1401" s="36"/>
      <c r="P1401" s="36"/>
      <c r="Q1401" s="36"/>
      <c r="R1401" s="36"/>
      <c r="S1401" s="36"/>
      <c r="T1401" s="36"/>
      <c r="U1401" s="36"/>
      <c r="V1401" s="36"/>
      <c r="W1401" s="36"/>
      <c r="X1401" s="36"/>
      <c r="Y1401" s="36"/>
      <c r="Z1401" s="36"/>
      <c r="AA1401" s="36"/>
    </row>
    <row r="1402" spans="1:27">
      <c r="A1402" s="36"/>
      <c r="B1402" s="36"/>
      <c r="C1402" s="36"/>
      <c r="D1402" s="36"/>
      <c r="E1402" s="36"/>
      <c r="F1402" s="36"/>
      <c r="G1402" s="36"/>
      <c r="H1402" s="36"/>
      <c r="I1402" s="36"/>
      <c r="J1402" s="36"/>
      <c r="K1402" s="36"/>
      <c r="L1402" s="40"/>
      <c r="M1402" s="36"/>
      <c r="N1402" s="36"/>
      <c r="O1402" s="36"/>
      <c r="P1402" s="36"/>
      <c r="Q1402" s="36"/>
      <c r="R1402" s="36"/>
      <c r="S1402" s="36"/>
      <c r="T1402" s="36"/>
      <c r="U1402" s="36"/>
      <c r="V1402" s="36"/>
      <c r="W1402" s="36"/>
      <c r="X1402" s="36"/>
      <c r="Y1402" s="36"/>
      <c r="Z1402" s="36"/>
      <c r="AA1402" s="36"/>
    </row>
    <row r="1403" spans="1:27">
      <c r="A1403" s="36"/>
      <c r="B1403" s="36"/>
      <c r="C1403" s="36"/>
      <c r="D1403" s="36"/>
      <c r="E1403" s="36"/>
      <c r="F1403" s="36"/>
      <c r="G1403" s="36"/>
      <c r="H1403" s="36"/>
      <c r="I1403" s="36"/>
      <c r="J1403" s="36"/>
      <c r="K1403" s="36"/>
      <c r="L1403" s="40"/>
      <c r="M1403" s="36"/>
      <c r="N1403" s="36"/>
      <c r="O1403" s="36"/>
      <c r="P1403" s="36"/>
      <c r="Q1403" s="36"/>
      <c r="R1403" s="36"/>
      <c r="S1403" s="36"/>
      <c r="T1403" s="36"/>
      <c r="U1403" s="36"/>
      <c r="V1403" s="36"/>
      <c r="W1403" s="36"/>
      <c r="X1403" s="36"/>
      <c r="Y1403" s="36"/>
      <c r="Z1403" s="36"/>
      <c r="AA1403" s="36"/>
    </row>
    <row r="1404" spans="1:27">
      <c r="A1404" s="36"/>
      <c r="B1404" s="36"/>
      <c r="C1404" s="36"/>
      <c r="D1404" s="36"/>
      <c r="E1404" s="36"/>
      <c r="F1404" s="36"/>
      <c r="G1404" s="36"/>
      <c r="H1404" s="36"/>
      <c r="I1404" s="36"/>
      <c r="J1404" s="36"/>
      <c r="K1404" s="36"/>
      <c r="L1404" s="40"/>
      <c r="M1404" s="36"/>
      <c r="N1404" s="36"/>
      <c r="O1404" s="36"/>
      <c r="P1404" s="36"/>
      <c r="Q1404" s="36"/>
      <c r="R1404" s="36"/>
      <c r="S1404" s="36"/>
      <c r="T1404" s="36"/>
      <c r="U1404" s="36"/>
      <c r="V1404" s="36"/>
      <c r="W1404" s="36"/>
      <c r="X1404" s="36"/>
      <c r="Y1404" s="36"/>
      <c r="Z1404" s="36"/>
      <c r="AA1404" s="36"/>
    </row>
    <row r="1405" spans="1:27">
      <c r="A1405" s="36"/>
      <c r="B1405" s="36"/>
      <c r="C1405" s="36"/>
      <c r="D1405" s="36"/>
      <c r="E1405" s="36"/>
      <c r="F1405" s="36"/>
      <c r="G1405" s="36"/>
      <c r="H1405" s="36"/>
      <c r="I1405" s="36"/>
      <c r="J1405" s="36"/>
      <c r="K1405" s="36"/>
      <c r="L1405" s="40"/>
      <c r="M1405" s="36"/>
      <c r="N1405" s="36"/>
      <c r="O1405" s="36"/>
      <c r="P1405" s="36"/>
      <c r="Q1405" s="36"/>
      <c r="R1405" s="36"/>
      <c r="S1405" s="36"/>
      <c r="T1405" s="36"/>
      <c r="U1405" s="36"/>
      <c r="V1405" s="36"/>
      <c r="W1405" s="36"/>
      <c r="X1405" s="36"/>
      <c r="Y1405" s="36"/>
      <c r="Z1405" s="36"/>
      <c r="AA1405" s="36"/>
    </row>
    <row r="1406" spans="1:27">
      <c r="A1406" s="36"/>
      <c r="B1406" s="36"/>
      <c r="C1406" s="36"/>
      <c r="D1406" s="36"/>
      <c r="E1406" s="36"/>
      <c r="F1406" s="36"/>
      <c r="G1406" s="36"/>
      <c r="H1406" s="36"/>
      <c r="I1406" s="36"/>
      <c r="J1406" s="36"/>
      <c r="K1406" s="36"/>
      <c r="L1406" s="40"/>
      <c r="M1406" s="36"/>
      <c r="N1406" s="36"/>
      <c r="O1406" s="36"/>
      <c r="P1406" s="36"/>
      <c r="Q1406" s="36"/>
      <c r="R1406" s="36"/>
      <c r="S1406" s="36"/>
      <c r="T1406" s="36"/>
      <c r="U1406" s="36"/>
      <c r="V1406" s="36"/>
      <c r="W1406" s="36"/>
      <c r="X1406" s="36"/>
      <c r="Y1406" s="36"/>
      <c r="Z1406" s="36"/>
      <c r="AA1406" s="36"/>
    </row>
    <row r="1407" spans="1:27">
      <c r="A1407" s="36"/>
      <c r="B1407" s="36"/>
      <c r="C1407" s="36"/>
      <c r="D1407" s="36"/>
      <c r="E1407" s="36"/>
      <c r="F1407" s="36"/>
      <c r="G1407" s="36"/>
      <c r="H1407" s="36"/>
      <c r="I1407" s="36"/>
      <c r="J1407" s="36"/>
      <c r="K1407" s="36"/>
      <c r="L1407" s="40"/>
      <c r="M1407" s="36"/>
      <c r="N1407" s="36"/>
      <c r="O1407" s="36"/>
      <c r="P1407" s="36"/>
      <c r="Q1407" s="36"/>
      <c r="R1407" s="36"/>
      <c r="S1407" s="36"/>
      <c r="T1407" s="36"/>
      <c r="U1407" s="36"/>
      <c r="V1407" s="36"/>
      <c r="W1407" s="36"/>
      <c r="X1407" s="36"/>
      <c r="Y1407" s="36"/>
      <c r="Z1407" s="36"/>
      <c r="AA1407" s="36"/>
    </row>
    <row r="1408" spans="1:27">
      <c r="A1408" s="36"/>
      <c r="B1408" s="36"/>
      <c r="C1408" s="36"/>
      <c r="D1408" s="36"/>
      <c r="E1408" s="36"/>
      <c r="F1408" s="36"/>
      <c r="G1408" s="36"/>
      <c r="H1408" s="36"/>
      <c r="I1408" s="36"/>
      <c r="J1408" s="36"/>
      <c r="K1408" s="36"/>
      <c r="L1408" s="40"/>
      <c r="M1408" s="36"/>
      <c r="N1408" s="36"/>
      <c r="O1408" s="36"/>
      <c r="P1408" s="36"/>
      <c r="Q1408" s="36"/>
      <c r="R1408" s="36"/>
      <c r="S1408" s="36"/>
      <c r="T1408" s="36"/>
      <c r="U1408" s="36"/>
      <c r="V1408" s="36"/>
      <c r="W1408" s="36"/>
      <c r="X1408" s="36"/>
      <c r="Y1408" s="36"/>
      <c r="Z1408" s="36"/>
      <c r="AA1408" s="36"/>
    </row>
    <row r="1409" spans="1:27">
      <c r="A1409" s="36"/>
      <c r="B1409" s="36"/>
      <c r="C1409" s="36"/>
      <c r="D1409" s="36"/>
      <c r="E1409" s="36"/>
      <c r="F1409" s="36"/>
      <c r="G1409" s="36"/>
      <c r="H1409" s="36"/>
      <c r="I1409" s="36"/>
      <c r="J1409" s="36"/>
      <c r="K1409" s="36"/>
      <c r="L1409" s="40"/>
      <c r="M1409" s="36"/>
      <c r="N1409" s="36"/>
      <c r="O1409" s="36"/>
      <c r="P1409" s="36"/>
      <c r="Q1409" s="36"/>
      <c r="R1409" s="36"/>
      <c r="S1409" s="36"/>
      <c r="T1409" s="36"/>
      <c r="U1409" s="36"/>
      <c r="V1409" s="36"/>
      <c r="W1409" s="36"/>
      <c r="X1409" s="36"/>
      <c r="Y1409" s="36"/>
      <c r="Z1409" s="36"/>
      <c r="AA1409" s="36"/>
    </row>
    <row r="1410" spans="1:27">
      <c r="A1410" s="36"/>
      <c r="B1410" s="36"/>
      <c r="C1410" s="36"/>
      <c r="D1410" s="36"/>
      <c r="E1410" s="36"/>
      <c r="F1410" s="36"/>
      <c r="G1410" s="36"/>
      <c r="H1410" s="36"/>
      <c r="I1410" s="36"/>
      <c r="J1410" s="36"/>
      <c r="K1410" s="36"/>
      <c r="L1410" s="40"/>
      <c r="M1410" s="36"/>
      <c r="N1410" s="36"/>
      <c r="O1410" s="36"/>
      <c r="P1410" s="36"/>
      <c r="Q1410" s="36"/>
      <c r="R1410" s="36"/>
      <c r="S1410" s="36"/>
      <c r="T1410" s="36"/>
      <c r="U1410" s="36"/>
      <c r="V1410" s="36"/>
      <c r="W1410" s="36"/>
      <c r="X1410" s="36"/>
      <c r="Y1410" s="36"/>
      <c r="Z1410" s="36"/>
      <c r="AA1410" s="36"/>
    </row>
    <row r="1411" spans="1:27">
      <c r="A1411" s="36"/>
      <c r="B1411" s="36"/>
      <c r="C1411" s="36"/>
      <c r="D1411" s="36"/>
      <c r="E1411" s="36"/>
      <c r="F1411" s="36"/>
      <c r="G1411" s="36"/>
      <c r="H1411" s="36"/>
      <c r="I1411" s="36"/>
      <c r="J1411" s="36"/>
      <c r="K1411" s="36"/>
      <c r="L1411" s="40"/>
      <c r="M1411" s="36"/>
      <c r="N1411" s="36"/>
      <c r="O1411" s="36"/>
      <c r="P1411" s="36"/>
      <c r="Q1411" s="36"/>
      <c r="R1411" s="36"/>
      <c r="S1411" s="36"/>
      <c r="T1411" s="36"/>
      <c r="U1411" s="36"/>
      <c r="V1411" s="36"/>
      <c r="W1411" s="36"/>
      <c r="X1411" s="36"/>
      <c r="Y1411" s="36"/>
      <c r="Z1411" s="36"/>
      <c r="AA1411" s="36"/>
    </row>
    <row r="1412" spans="1:27">
      <c r="A1412" s="36"/>
      <c r="B1412" s="36"/>
      <c r="C1412" s="36"/>
      <c r="D1412" s="36"/>
      <c r="E1412" s="36"/>
      <c r="F1412" s="36"/>
      <c r="G1412" s="36"/>
      <c r="H1412" s="36"/>
      <c r="I1412" s="36"/>
      <c r="J1412" s="36"/>
      <c r="K1412" s="36"/>
      <c r="L1412" s="40"/>
      <c r="M1412" s="36"/>
      <c r="N1412" s="36"/>
      <c r="O1412" s="36"/>
      <c r="P1412" s="36"/>
      <c r="Q1412" s="36"/>
      <c r="R1412" s="36"/>
      <c r="S1412" s="36"/>
      <c r="T1412" s="36"/>
      <c r="U1412" s="36"/>
      <c r="V1412" s="36"/>
      <c r="W1412" s="36"/>
      <c r="X1412" s="36"/>
      <c r="Y1412" s="36"/>
      <c r="Z1412" s="36"/>
      <c r="AA1412" s="36"/>
    </row>
    <row r="1413" spans="1:27">
      <c r="A1413" s="36"/>
      <c r="B1413" s="36"/>
      <c r="C1413" s="36"/>
      <c r="D1413" s="36"/>
      <c r="E1413" s="36"/>
      <c r="F1413" s="36"/>
      <c r="G1413" s="36"/>
      <c r="H1413" s="36"/>
      <c r="I1413" s="36"/>
      <c r="J1413" s="36"/>
      <c r="K1413" s="36"/>
      <c r="L1413" s="40"/>
      <c r="M1413" s="36"/>
      <c r="N1413" s="36"/>
      <c r="O1413" s="36"/>
      <c r="P1413" s="36"/>
      <c r="Q1413" s="36"/>
      <c r="R1413" s="36"/>
      <c r="S1413" s="36"/>
      <c r="T1413" s="36"/>
      <c r="U1413" s="36"/>
      <c r="V1413" s="36"/>
      <c r="W1413" s="36"/>
      <c r="X1413" s="36"/>
      <c r="Y1413" s="36"/>
      <c r="Z1413" s="36"/>
      <c r="AA1413" s="36"/>
    </row>
    <row r="1414" spans="1:27">
      <c r="A1414" s="36"/>
      <c r="B1414" s="36"/>
      <c r="C1414" s="36"/>
      <c r="D1414" s="36"/>
      <c r="E1414" s="36"/>
      <c r="F1414" s="36"/>
      <c r="G1414" s="36"/>
      <c r="H1414" s="36"/>
      <c r="I1414" s="36"/>
      <c r="J1414" s="36"/>
      <c r="K1414" s="36"/>
      <c r="L1414" s="40"/>
      <c r="M1414" s="36"/>
      <c r="N1414" s="36"/>
      <c r="O1414" s="36"/>
      <c r="P1414" s="36"/>
      <c r="Q1414" s="36"/>
      <c r="R1414" s="36"/>
      <c r="S1414" s="36"/>
      <c r="T1414" s="36"/>
      <c r="U1414" s="36"/>
      <c r="V1414" s="36"/>
      <c r="W1414" s="36"/>
      <c r="X1414" s="36"/>
      <c r="Y1414" s="36"/>
      <c r="Z1414" s="36"/>
      <c r="AA1414" s="36"/>
    </row>
    <row r="1415" spans="1:27">
      <c r="A1415" s="36"/>
      <c r="B1415" s="36"/>
      <c r="C1415" s="36"/>
      <c r="D1415" s="36"/>
      <c r="E1415" s="36"/>
      <c r="F1415" s="36"/>
      <c r="G1415" s="36"/>
      <c r="H1415" s="36"/>
      <c r="I1415" s="36"/>
      <c r="J1415" s="36"/>
      <c r="K1415" s="36"/>
      <c r="L1415" s="40"/>
      <c r="M1415" s="36"/>
      <c r="N1415" s="36"/>
      <c r="O1415" s="36"/>
      <c r="P1415" s="36"/>
      <c r="Q1415" s="36"/>
      <c r="R1415" s="36"/>
      <c r="S1415" s="36"/>
      <c r="T1415" s="36"/>
      <c r="U1415" s="36"/>
      <c r="V1415" s="36"/>
      <c r="W1415" s="36"/>
      <c r="X1415" s="36"/>
      <c r="Y1415" s="36"/>
      <c r="Z1415" s="36"/>
      <c r="AA1415" s="36"/>
    </row>
    <row r="1416" spans="1:27">
      <c r="A1416" s="36"/>
      <c r="B1416" s="36"/>
      <c r="C1416" s="36"/>
      <c r="D1416" s="36"/>
      <c r="E1416" s="36"/>
      <c r="F1416" s="36"/>
      <c r="G1416" s="36"/>
      <c r="H1416" s="36"/>
      <c r="I1416" s="36"/>
      <c r="J1416" s="36"/>
      <c r="K1416" s="36"/>
      <c r="L1416" s="40"/>
      <c r="M1416" s="36"/>
      <c r="N1416" s="36"/>
      <c r="O1416" s="36"/>
      <c r="P1416" s="36"/>
      <c r="Q1416" s="36"/>
      <c r="R1416" s="36"/>
      <c r="S1416" s="36"/>
      <c r="T1416" s="36"/>
      <c r="U1416" s="36"/>
      <c r="V1416" s="36"/>
      <c r="W1416" s="36"/>
      <c r="X1416" s="36"/>
      <c r="Y1416" s="36"/>
      <c r="Z1416" s="36"/>
      <c r="AA1416" s="36"/>
    </row>
    <row r="1417" spans="1:27">
      <c r="A1417" s="36"/>
      <c r="B1417" s="36"/>
      <c r="C1417" s="36"/>
      <c r="D1417" s="36"/>
      <c r="E1417" s="36"/>
      <c r="F1417" s="36"/>
      <c r="G1417" s="36"/>
      <c r="H1417" s="36"/>
      <c r="I1417" s="36"/>
      <c r="J1417" s="36"/>
      <c r="K1417" s="36"/>
      <c r="L1417" s="40"/>
      <c r="M1417" s="36"/>
      <c r="N1417" s="36"/>
      <c r="O1417" s="36"/>
      <c r="P1417" s="36"/>
      <c r="Q1417" s="36"/>
      <c r="R1417" s="36"/>
      <c r="S1417" s="36"/>
      <c r="T1417" s="36"/>
      <c r="U1417" s="36"/>
      <c r="V1417" s="36"/>
      <c r="W1417" s="36"/>
      <c r="X1417" s="36"/>
      <c r="Y1417" s="36"/>
      <c r="Z1417" s="36"/>
      <c r="AA1417" s="36"/>
    </row>
    <row r="1418" spans="1:27">
      <c r="A1418" s="36"/>
      <c r="B1418" s="36"/>
      <c r="C1418" s="36"/>
      <c r="D1418" s="36"/>
      <c r="E1418" s="36"/>
      <c r="F1418" s="36"/>
      <c r="G1418" s="36"/>
      <c r="H1418" s="36"/>
      <c r="I1418" s="36"/>
      <c r="J1418" s="36"/>
      <c r="K1418" s="36"/>
      <c r="L1418" s="40"/>
      <c r="M1418" s="36"/>
      <c r="N1418" s="36"/>
      <c r="O1418" s="36"/>
      <c r="P1418" s="36"/>
      <c r="Q1418" s="36"/>
      <c r="R1418" s="36"/>
      <c r="S1418" s="36"/>
      <c r="T1418" s="36"/>
      <c r="U1418" s="36"/>
      <c r="V1418" s="36"/>
      <c r="W1418" s="36"/>
      <c r="X1418" s="36"/>
      <c r="Y1418" s="36"/>
      <c r="Z1418" s="36"/>
      <c r="AA1418" s="36"/>
    </row>
    <row r="1419" spans="1:27">
      <c r="A1419" s="36"/>
      <c r="B1419" s="36"/>
      <c r="C1419" s="36"/>
      <c r="D1419" s="36"/>
      <c r="E1419" s="36"/>
      <c r="F1419" s="36"/>
      <c r="G1419" s="36"/>
      <c r="H1419" s="36"/>
      <c r="I1419" s="36"/>
      <c r="J1419" s="36"/>
      <c r="K1419" s="36"/>
      <c r="L1419" s="40"/>
      <c r="M1419" s="36"/>
      <c r="N1419" s="36"/>
      <c r="O1419" s="36"/>
      <c r="P1419" s="36"/>
      <c r="Q1419" s="36"/>
      <c r="R1419" s="36"/>
      <c r="S1419" s="36"/>
      <c r="T1419" s="36"/>
      <c r="U1419" s="36"/>
      <c r="V1419" s="36"/>
      <c r="W1419" s="36"/>
      <c r="X1419" s="36"/>
      <c r="Y1419" s="36"/>
      <c r="Z1419" s="36"/>
      <c r="AA1419" s="36"/>
    </row>
    <row r="1420" spans="1:27">
      <c r="A1420" s="36"/>
      <c r="B1420" s="36"/>
      <c r="C1420" s="36"/>
      <c r="D1420" s="36"/>
      <c r="E1420" s="36"/>
      <c r="F1420" s="36"/>
      <c r="G1420" s="36"/>
      <c r="H1420" s="36"/>
      <c r="I1420" s="36"/>
      <c r="J1420" s="36"/>
      <c r="K1420" s="36"/>
      <c r="L1420" s="40"/>
      <c r="M1420" s="36"/>
      <c r="N1420" s="36"/>
      <c r="O1420" s="36"/>
      <c r="P1420" s="36"/>
      <c r="Q1420" s="36"/>
      <c r="R1420" s="36"/>
      <c r="S1420" s="36"/>
      <c r="T1420" s="36"/>
      <c r="U1420" s="36"/>
      <c r="V1420" s="36"/>
      <c r="W1420" s="36"/>
      <c r="X1420" s="36"/>
      <c r="Y1420" s="36"/>
      <c r="Z1420" s="36"/>
      <c r="AA1420" s="36"/>
    </row>
    <row r="1421" spans="1:27">
      <c r="A1421" s="36"/>
      <c r="B1421" s="36"/>
      <c r="C1421" s="36"/>
      <c r="D1421" s="36"/>
      <c r="E1421" s="36"/>
      <c r="F1421" s="36"/>
      <c r="G1421" s="36"/>
      <c r="H1421" s="36"/>
      <c r="I1421" s="36"/>
      <c r="J1421" s="36"/>
      <c r="K1421" s="36"/>
      <c r="L1421" s="40"/>
      <c r="M1421" s="36"/>
      <c r="N1421" s="36"/>
      <c r="O1421" s="36"/>
      <c r="P1421" s="36"/>
      <c r="Q1421" s="36"/>
      <c r="R1421" s="36"/>
      <c r="S1421" s="36"/>
      <c r="T1421" s="36"/>
      <c r="U1421" s="36"/>
      <c r="V1421" s="36"/>
      <c r="W1421" s="36"/>
      <c r="X1421" s="36"/>
      <c r="Y1421" s="36"/>
      <c r="Z1421" s="36"/>
      <c r="AA1421" s="36"/>
    </row>
    <row r="1422" spans="1:27">
      <c r="A1422" s="36"/>
      <c r="B1422" s="36"/>
      <c r="C1422" s="36"/>
      <c r="D1422" s="36"/>
      <c r="E1422" s="36"/>
      <c r="F1422" s="36"/>
      <c r="G1422" s="36"/>
      <c r="H1422" s="36"/>
      <c r="I1422" s="36"/>
      <c r="J1422" s="36"/>
      <c r="K1422" s="36"/>
      <c r="L1422" s="40"/>
      <c r="M1422" s="36"/>
      <c r="N1422" s="36"/>
      <c r="O1422" s="36"/>
      <c r="P1422" s="36"/>
      <c r="Q1422" s="36"/>
      <c r="R1422" s="36"/>
      <c r="S1422" s="36"/>
      <c r="T1422" s="36"/>
      <c r="U1422" s="36"/>
      <c r="V1422" s="36"/>
      <c r="W1422" s="36"/>
      <c r="X1422" s="36"/>
      <c r="Y1422" s="36"/>
      <c r="Z1422" s="36"/>
      <c r="AA1422" s="36"/>
    </row>
    <row r="1423" spans="1:27">
      <c r="A1423" s="36"/>
      <c r="B1423" s="36"/>
      <c r="C1423" s="36"/>
      <c r="D1423" s="36"/>
      <c r="E1423" s="36"/>
      <c r="F1423" s="36"/>
      <c r="G1423" s="36"/>
      <c r="H1423" s="36"/>
      <c r="I1423" s="36"/>
      <c r="J1423" s="36"/>
      <c r="K1423" s="36"/>
      <c r="L1423" s="40"/>
      <c r="M1423" s="36"/>
      <c r="N1423" s="36"/>
      <c r="O1423" s="36"/>
      <c r="P1423" s="36"/>
      <c r="Q1423" s="36"/>
      <c r="R1423" s="36"/>
      <c r="S1423" s="36"/>
      <c r="T1423" s="36"/>
      <c r="U1423" s="36"/>
      <c r="V1423" s="36"/>
      <c r="W1423" s="36"/>
      <c r="X1423" s="36"/>
      <c r="Y1423" s="36"/>
      <c r="Z1423" s="36"/>
      <c r="AA1423" s="36"/>
    </row>
    <row r="1424" spans="1:27">
      <c r="A1424" s="36"/>
      <c r="B1424" s="36"/>
      <c r="C1424" s="36"/>
      <c r="D1424" s="36"/>
      <c r="E1424" s="36"/>
      <c r="F1424" s="36"/>
      <c r="G1424" s="36"/>
      <c r="H1424" s="36"/>
      <c r="I1424" s="36"/>
      <c r="J1424" s="36"/>
      <c r="K1424" s="36"/>
      <c r="L1424" s="40"/>
      <c r="M1424" s="36"/>
      <c r="N1424" s="36"/>
      <c r="O1424" s="36"/>
      <c r="P1424" s="36"/>
      <c r="Q1424" s="36"/>
      <c r="R1424" s="36"/>
      <c r="S1424" s="36"/>
      <c r="T1424" s="36"/>
      <c r="U1424" s="36"/>
      <c r="V1424" s="36"/>
      <c r="W1424" s="36"/>
      <c r="X1424" s="36"/>
      <c r="Y1424" s="36"/>
      <c r="Z1424" s="36"/>
      <c r="AA1424" s="36"/>
    </row>
    <row r="1425" spans="1:27">
      <c r="A1425" s="36"/>
      <c r="B1425" s="36"/>
      <c r="C1425" s="36"/>
      <c r="D1425" s="36"/>
      <c r="E1425" s="36"/>
      <c r="F1425" s="36"/>
      <c r="G1425" s="36"/>
      <c r="H1425" s="36"/>
      <c r="I1425" s="36"/>
      <c r="J1425" s="36"/>
      <c r="K1425" s="36"/>
      <c r="L1425" s="40"/>
      <c r="M1425" s="36"/>
      <c r="N1425" s="36"/>
      <c r="O1425" s="36"/>
      <c r="P1425" s="36"/>
      <c r="Q1425" s="36"/>
      <c r="R1425" s="36"/>
      <c r="S1425" s="36"/>
      <c r="T1425" s="36"/>
      <c r="U1425" s="36"/>
      <c r="V1425" s="36"/>
      <c r="W1425" s="36"/>
      <c r="X1425" s="36"/>
      <c r="Y1425" s="36"/>
      <c r="Z1425" s="36"/>
      <c r="AA1425" s="36"/>
    </row>
    <row r="1426" spans="1:27">
      <c r="A1426" s="36"/>
      <c r="B1426" s="36"/>
      <c r="C1426" s="36"/>
      <c r="D1426" s="36"/>
      <c r="E1426" s="36"/>
      <c r="F1426" s="36"/>
      <c r="G1426" s="36"/>
      <c r="H1426" s="36"/>
      <c r="I1426" s="36"/>
      <c r="J1426" s="36"/>
      <c r="K1426" s="36"/>
      <c r="L1426" s="40"/>
      <c r="M1426" s="36"/>
      <c r="N1426" s="36"/>
      <c r="O1426" s="36"/>
      <c r="P1426" s="36"/>
      <c r="Q1426" s="36"/>
      <c r="R1426" s="36"/>
      <c r="S1426" s="36"/>
      <c r="T1426" s="36"/>
      <c r="U1426" s="36"/>
      <c r="V1426" s="36"/>
      <c r="W1426" s="36"/>
      <c r="X1426" s="36"/>
      <c r="Y1426" s="36"/>
      <c r="Z1426" s="36"/>
      <c r="AA1426" s="36"/>
    </row>
    <row r="1427" spans="1:27">
      <c r="A1427" s="36"/>
      <c r="B1427" s="36"/>
      <c r="C1427" s="36"/>
      <c r="D1427" s="36"/>
      <c r="E1427" s="36"/>
      <c r="F1427" s="36"/>
      <c r="G1427" s="36"/>
      <c r="H1427" s="36"/>
      <c r="I1427" s="36"/>
      <c r="J1427" s="36"/>
      <c r="K1427" s="36"/>
      <c r="L1427" s="40"/>
      <c r="M1427" s="36"/>
      <c r="N1427" s="36"/>
      <c r="O1427" s="36"/>
      <c r="P1427" s="36"/>
      <c r="Q1427" s="36"/>
      <c r="R1427" s="36"/>
      <c r="S1427" s="36"/>
      <c r="T1427" s="36"/>
      <c r="U1427" s="36"/>
      <c r="V1427" s="36"/>
      <c r="W1427" s="36"/>
      <c r="X1427" s="36"/>
      <c r="Y1427" s="36"/>
      <c r="Z1427" s="36"/>
      <c r="AA1427" s="36"/>
    </row>
    <row r="1428" spans="1:27">
      <c r="A1428" s="36"/>
      <c r="B1428" s="36"/>
      <c r="C1428" s="36"/>
      <c r="D1428" s="36"/>
      <c r="E1428" s="36"/>
      <c r="F1428" s="36"/>
      <c r="G1428" s="36"/>
      <c r="H1428" s="36"/>
      <c r="I1428" s="36"/>
      <c r="J1428" s="36"/>
      <c r="K1428" s="36"/>
      <c r="L1428" s="40"/>
      <c r="M1428" s="36"/>
      <c r="N1428" s="36"/>
      <c r="O1428" s="36"/>
      <c r="P1428" s="36"/>
      <c r="Q1428" s="36"/>
      <c r="R1428" s="36"/>
      <c r="S1428" s="36"/>
      <c r="T1428" s="36"/>
      <c r="U1428" s="36"/>
      <c r="V1428" s="36"/>
      <c r="W1428" s="36"/>
      <c r="X1428" s="36"/>
      <c r="Y1428" s="36"/>
      <c r="Z1428" s="36"/>
      <c r="AA1428" s="36"/>
    </row>
    <row r="1429" spans="1:27">
      <c r="A1429" s="36"/>
      <c r="B1429" s="36"/>
      <c r="C1429" s="36"/>
      <c r="D1429" s="36"/>
      <c r="E1429" s="36"/>
      <c r="F1429" s="36"/>
      <c r="G1429" s="36"/>
      <c r="H1429" s="36"/>
      <c r="I1429" s="36"/>
      <c r="J1429" s="36"/>
      <c r="K1429" s="36"/>
      <c r="L1429" s="40"/>
      <c r="M1429" s="36"/>
      <c r="N1429" s="36"/>
      <c r="O1429" s="36"/>
      <c r="P1429" s="36"/>
      <c r="Q1429" s="36"/>
      <c r="R1429" s="36"/>
      <c r="S1429" s="36"/>
      <c r="T1429" s="36"/>
      <c r="U1429" s="36"/>
      <c r="V1429" s="36"/>
      <c r="W1429" s="36"/>
      <c r="X1429" s="36"/>
      <c r="Y1429" s="36"/>
      <c r="Z1429" s="36"/>
      <c r="AA1429" s="36"/>
    </row>
    <row r="1430" spans="1:27">
      <c r="A1430" s="36"/>
      <c r="B1430" s="36"/>
      <c r="C1430" s="36"/>
      <c r="D1430" s="36"/>
      <c r="E1430" s="36"/>
      <c r="F1430" s="36"/>
      <c r="G1430" s="36"/>
      <c r="H1430" s="36"/>
      <c r="I1430" s="36"/>
      <c r="J1430" s="36"/>
      <c r="K1430" s="36"/>
      <c r="L1430" s="40"/>
      <c r="M1430" s="36"/>
      <c r="N1430" s="36"/>
      <c r="O1430" s="36"/>
      <c r="P1430" s="36"/>
      <c r="Q1430" s="36"/>
      <c r="R1430" s="36"/>
      <c r="S1430" s="36"/>
      <c r="T1430" s="36"/>
      <c r="U1430" s="36"/>
      <c r="V1430" s="36"/>
      <c r="W1430" s="36"/>
      <c r="X1430" s="36"/>
      <c r="Y1430" s="36"/>
      <c r="Z1430" s="36"/>
      <c r="AA1430" s="36"/>
    </row>
    <row r="1431" spans="1:27">
      <c r="A1431" s="36"/>
      <c r="B1431" s="36"/>
      <c r="C1431" s="36"/>
      <c r="D1431" s="36"/>
      <c r="E1431" s="36"/>
      <c r="F1431" s="36"/>
      <c r="G1431" s="36"/>
      <c r="H1431" s="36"/>
      <c r="I1431" s="36"/>
      <c r="J1431" s="36"/>
      <c r="K1431" s="36"/>
      <c r="L1431" s="40"/>
      <c r="M1431" s="36"/>
      <c r="N1431" s="36"/>
      <c r="O1431" s="36"/>
      <c r="P1431" s="36"/>
      <c r="Q1431" s="36"/>
      <c r="R1431" s="36"/>
      <c r="S1431" s="36"/>
      <c r="T1431" s="36"/>
      <c r="U1431" s="36"/>
      <c r="V1431" s="36"/>
      <c r="W1431" s="36"/>
      <c r="X1431" s="36"/>
      <c r="Y1431" s="36"/>
      <c r="Z1431" s="36"/>
      <c r="AA1431" s="36"/>
    </row>
    <row r="1432" spans="1:27">
      <c r="A1432" s="36"/>
      <c r="B1432" s="36"/>
      <c r="C1432" s="36"/>
      <c r="D1432" s="36"/>
      <c r="E1432" s="36"/>
      <c r="F1432" s="36"/>
      <c r="G1432" s="36"/>
      <c r="H1432" s="36"/>
      <c r="I1432" s="36"/>
      <c r="J1432" s="36"/>
      <c r="K1432" s="36"/>
      <c r="L1432" s="40"/>
      <c r="M1432" s="36"/>
      <c r="N1432" s="36"/>
      <c r="O1432" s="36"/>
      <c r="P1432" s="36"/>
      <c r="Q1432" s="36"/>
      <c r="R1432" s="36"/>
      <c r="S1432" s="36"/>
      <c r="T1432" s="36"/>
      <c r="U1432" s="36"/>
      <c r="V1432" s="36"/>
      <c r="W1432" s="36"/>
      <c r="X1432" s="36"/>
      <c r="Y1432" s="36"/>
      <c r="Z1432" s="36"/>
      <c r="AA1432" s="36"/>
    </row>
    <row r="1433" spans="1:27">
      <c r="A1433" s="36"/>
      <c r="B1433" s="36"/>
      <c r="C1433" s="36"/>
      <c r="D1433" s="36"/>
      <c r="E1433" s="36"/>
      <c r="F1433" s="36"/>
      <c r="G1433" s="36"/>
      <c r="H1433" s="36"/>
      <c r="I1433" s="36"/>
      <c r="J1433" s="36"/>
      <c r="K1433" s="36"/>
      <c r="L1433" s="40"/>
      <c r="M1433" s="36"/>
      <c r="N1433" s="36"/>
      <c r="O1433" s="36"/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</row>
    <row r="1434" spans="1:27">
      <c r="A1434" s="36"/>
      <c r="B1434" s="36"/>
      <c r="C1434" s="36"/>
      <c r="D1434" s="36"/>
      <c r="E1434" s="36"/>
      <c r="F1434" s="36"/>
      <c r="G1434" s="36"/>
      <c r="H1434" s="36"/>
      <c r="I1434" s="36"/>
      <c r="J1434" s="36"/>
      <c r="K1434" s="36"/>
      <c r="L1434" s="40"/>
      <c r="M1434" s="36"/>
      <c r="N1434" s="36"/>
      <c r="O1434" s="36"/>
      <c r="P1434" s="36"/>
      <c r="Q1434" s="36"/>
      <c r="R1434" s="36"/>
      <c r="S1434" s="36"/>
      <c r="T1434" s="36"/>
      <c r="U1434" s="36"/>
      <c r="V1434" s="36"/>
      <c r="W1434" s="36"/>
      <c r="X1434" s="36"/>
      <c r="Y1434" s="36"/>
      <c r="Z1434" s="36"/>
      <c r="AA1434" s="36"/>
    </row>
    <row r="1435" spans="1:27">
      <c r="A1435" s="36"/>
      <c r="B1435" s="36"/>
      <c r="C1435" s="36"/>
      <c r="D1435" s="36"/>
      <c r="E1435" s="36"/>
      <c r="F1435" s="36"/>
      <c r="G1435" s="36"/>
      <c r="H1435" s="36"/>
      <c r="I1435" s="36"/>
      <c r="J1435" s="36"/>
      <c r="K1435" s="36"/>
      <c r="L1435" s="40"/>
      <c r="M1435" s="36"/>
      <c r="N1435" s="36"/>
      <c r="O1435" s="36"/>
      <c r="P1435" s="36"/>
      <c r="Q1435" s="36"/>
      <c r="R1435" s="36"/>
      <c r="S1435" s="36"/>
      <c r="T1435" s="36"/>
      <c r="U1435" s="36"/>
      <c r="V1435" s="36"/>
      <c r="W1435" s="36"/>
      <c r="X1435" s="36"/>
      <c r="Y1435" s="36"/>
      <c r="Z1435" s="36"/>
      <c r="AA1435" s="36"/>
    </row>
    <row r="1436" spans="1:27">
      <c r="A1436" s="36"/>
      <c r="B1436" s="36"/>
      <c r="C1436" s="36"/>
      <c r="D1436" s="36"/>
      <c r="E1436" s="36"/>
      <c r="F1436" s="36"/>
      <c r="G1436" s="36"/>
      <c r="H1436" s="36"/>
      <c r="I1436" s="36"/>
      <c r="J1436" s="36"/>
      <c r="K1436" s="36"/>
      <c r="L1436" s="40"/>
      <c r="M1436" s="36"/>
      <c r="N1436" s="36"/>
      <c r="O1436" s="36"/>
      <c r="P1436" s="36"/>
      <c r="Q1436" s="36"/>
      <c r="R1436" s="36"/>
      <c r="S1436" s="36"/>
      <c r="T1436" s="36"/>
      <c r="U1436" s="36"/>
      <c r="V1436" s="36"/>
      <c r="W1436" s="36"/>
      <c r="X1436" s="36"/>
      <c r="Y1436" s="36"/>
      <c r="Z1436" s="36"/>
      <c r="AA1436" s="36"/>
    </row>
    <row r="1437" spans="1:27">
      <c r="A1437" s="36"/>
      <c r="B1437" s="36"/>
      <c r="C1437" s="36"/>
      <c r="D1437" s="36"/>
      <c r="E1437" s="36"/>
      <c r="F1437" s="36"/>
      <c r="G1437" s="36"/>
      <c r="H1437" s="36"/>
      <c r="I1437" s="36"/>
      <c r="J1437" s="36"/>
      <c r="K1437" s="36"/>
      <c r="L1437" s="40"/>
      <c r="M1437" s="36"/>
      <c r="N1437" s="36"/>
      <c r="O1437" s="36"/>
      <c r="P1437" s="36"/>
      <c r="Q1437" s="36"/>
      <c r="R1437" s="36"/>
      <c r="S1437" s="36"/>
      <c r="T1437" s="36"/>
      <c r="U1437" s="36"/>
      <c r="V1437" s="36"/>
      <c r="W1437" s="36"/>
      <c r="X1437" s="36"/>
      <c r="Y1437" s="36"/>
      <c r="Z1437" s="36"/>
      <c r="AA1437" s="36"/>
    </row>
    <row r="1438" spans="1:27">
      <c r="A1438" s="36"/>
      <c r="B1438" s="36"/>
      <c r="C1438" s="36"/>
      <c r="D1438" s="36"/>
      <c r="E1438" s="36"/>
      <c r="F1438" s="36"/>
      <c r="G1438" s="36"/>
      <c r="H1438" s="36"/>
      <c r="I1438" s="36"/>
      <c r="J1438" s="36"/>
      <c r="K1438" s="36"/>
      <c r="L1438" s="40"/>
      <c r="M1438" s="36"/>
      <c r="N1438" s="36"/>
      <c r="O1438" s="36"/>
      <c r="P1438" s="36"/>
      <c r="Q1438" s="36"/>
      <c r="R1438" s="36"/>
      <c r="S1438" s="36"/>
      <c r="T1438" s="36"/>
      <c r="U1438" s="36"/>
      <c r="V1438" s="36"/>
      <c r="W1438" s="36"/>
      <c r="X1438" s="36"/>
      <c r="Y1438" s="36"/>
      <c r="Z1438" s="36"/>
      <c r="AA1438" s="36"/>
    </row>
    <row r="1439" spans="1:27">
      <c r="A1439" s="36"/>
      <c r="B1439" s="36"/>
      <c r="C1439" s="36"/>
      <c r="D1439" s="36"/>
      <c r="E1439" s="36"/>
      <c r="F1439" s="36"/>
      <c r="G1439" s="36"/>
      <c r="H1439" s="36"/>
      <c r="I1439" s="36"/>
      <c r="J1439" s="36"/>
      <c r="K1439" s="36"/>
      <c r="L1439" s="40"/>
      <c r="M1439" s="36"/>
      <c r="N1439" s="36"/>
      <c r="O1439" s="36"/>
      <c r="P1439" s="36"/>
      <c r="Q1439" s="36"/>
      <c r="R1439" s="36"/>
      <c r="S1439" s="36"/>
      <c r="T1439" s="36"/>
      <c r="U1439" s="36"/>
      <c r="V1439" s="36"/>
      <c r="W1439" s="36"/>
      <c r="X1439" s="36"/>
      <c r="Y1439" s="36"/>
      <c r="Z1439" s="36"/>
      <c r="AA1439" s="36"/>
    </row>
    <row r="1440" spans="1:27">
      <c r="A1440" s="36"/>
      <c r="B1440" s="36"/>
      <c r="C1440" s="36"/>
      <c r="D1440" s="36"/>
      <c r="E1440" s="36"/>
      <c r="F1440" s="36"/>
      <c r="G1440" s="36"/>
      <c r="H1440" s="36"/>
      <c r="I1440" s="36"/>
      <c r="J1440" s="36"/>
      <c r="K1440" s="36"/>
      <c r="L1440" s="40"/>
      <c r="M1440" s="36"/>
      <c r="N1440" s="36"/>
      <c r="O1440" s="36"/>
      <c r="P1440" s="36"/>
      <c r="Q1440" s="36"/>
      <c r="R1440" s="36"/>
      <c r="S1440" s="36"/>
      <c r="T1440" s="36"/>
      <c r="U1440" s="36"/>
      <c r="V1440" s="36"/>
      <c r="W1440" s="36"/>
      <c r="X1440" s="36"/>
      <c r="Y1440" s="36"/>
      <c r="Z1440" s="36"/>
      <c r="AA1440" s="36"/>
    </row>
    <row r="1441" spans="1:27">
      <c r="A1441" s="36"/>
      <c r="B1441" s="36"/>
      <c r="C1441" s="36"/>
      <c r="D1441" s="36"/>
      <c r="E1441" s="36"/>
      <c r="F1441" s="36"/>
      <c r="G1441" s="36"/>
      <c r="H1441" s="36"/>
      <c r="I1441" s="36"/>
      <c r="J1441" s="36"/>
      <c r="K1441" s="36"/>
      <c r="L1441" s="40"/>
      <c r="M1441" s="36"/>
      <c r="N1441" s="36"/>
      <c r="O1441" s="36"/>
      <c r="P1441" s="36"/>
      <c r="Q1441" s="36"/>
      <c r="R1441" s="36"/>
      <c r="S1441" s="36"/>
      <c r="T1441" s="36"/>
      <c r="U1441" s="36"/>
      <c r="V1441" s="36"/>
      <c r="W1441" s="36"/>
      <c r="X1441" s="36"/>
      <c r="Y1441" s="36"/>
      <c r="Z1441" s="36"/>
      <c r="AA1441" s="36"/>
    </row>
    <row r="1442" spans="1:27">
      <c r="A1442" s="36"/>
      <c r="B1442" s="36"/>
      <c r="C1442" s="36"/>
      <c r="D1442" s="36"/>
      <c r="E1442" s="36"/>
      <c r="F1442" s="36"/>
      <c r="G1442" s="36"/>
      <c r="H1442" s="36"/>
      <c r="I1442" s="36"/>
      <c r="J1442" s="36"/>
      <c r="K1442" s="36"/>
      <c r="L1442" s="40"/>
      <c r="M1442" s="36"/>
      <c r="N1442" s="36"/>
      <c r="O1442" s="36"/>
      <c r="P1442" s="36"/>
      <c r="Q1442" s="36"/>
      <c r="R1442" s="36"/>
      <c r="S1442" s="36"/>
      <c r="T1442" s="36"/>
      <c r="U1442" s="36"/>
      <c r="V1442" s="36"/>
      <c r="W1442" s="36"/>
      <c r="X1442" s="36"/>
      <c r="Y1442" s="36"/>
      <c r="Z1442" s="36"/>
      <c r="AA1442" s="36"/>
    </row>
    <row r="1443" spans="1:27">
      <c r="A1443" s="36"/>
      <c r="B1443" s="36"/>
      <c r="C1443" s="36"/>
      <c r="D1443" s="36"/>
      <c r="E1443" s="36"/>
      <c r="F1443" s="36"/>
      <c r="G1443" s="36"/>
      <c r="H1443" s="36"/>
      <c r="I1443" s="36"/>
      <c r="J1443" s="36"/>
      <c r="K1443" s="36"/>
      <c r="L1443" s="40"/>
      <c r="M1443" s="36"/>
      <c r="N1443" s="36"/>
      <c r="O1443" s="36"/>
      <c r="P1443" s="36"/>
      <c r="Q1443" s="36"/>
      <c r="R1443" s="36"/>
      <c r="S1443" s="36"/>
      <c r="T1443" s="36"/>
      <c r="U1443" s="36"/>
      <c r="V1443" s="36"/>
      <c r="W1443" s="36"/>
      <c r="X1443" s="36"/>
      <c r="Y1443" s="36"/>
      <c r="Z1443" s="36"/>
      <c r="AA1443" s="36"/>
    </row>
    <row r="1444" spans="1:27">
      <c r="A1444" s="36"/>
      <c r="B1444" s="36"/>
      <c r="C1444" s="36"/>
      <c r="D1444" s="36"/>
      <c r="E1444" s="36"/>
      <c r="F1444" s="36"/>
      <c r="G1444" s="36"/>
      <c r="H1444" s="36"/>
      <c r="I1444" s="36"/>
      <c r="J1444" s="36"/>
      <c r="K1444" s="36"/>
      <c r="L1444" s="40"/>
      <c r="M1444" s="36"/>
      <c r="N1444" s="36"/>
      <c r="O1444" s="36"/>
      <c r="P1444" s="36"/>
      <c r="Q1444" s="36"/>
      <c r="R1444" s="36"/>
      <c r="S1444" s="36"/>
      <c r="T1444" s="36"/>
      <c r="U1444" s="36"/>
      <c r="V1444" s="36"/>
      <c r="W1444" s="36"/>
      <c r="X1444" s="36"/>
      <c r="Y1444" s="36"/>
      <c r="Z1444" s="36"/>
      <c r="AA1444" s="36"/>
    </row>
    <row r="1445" spans="1:27">
      <c r="A1445" s="36"/>
      <c r="B1445" s="36"/>
      <c r="C1445" s="36"/>
      <c r="D1445" s="36"/>
      <c r="E1445" s="36"/>
      <c r="F1445" s="36"/>
      <c r="G1445" s="36"/>
      <c r="H1445" s="36"/>
      <c r="I1445" s="36"/>
      <c r="J1445" s="36"/>
      <c r="K1445" s="36"/>
      <c r="L1445" s="40"/>
      <c r="M1445" s="36"/>
      <c r="N1445" s="36"/>
      <c r="O1445" s="36"/>
      <c r="P1445" s="36"/>
      <c r="Q1445" s="36"/>
      <c r="R1445" s="36"/>
      <c r="S1445" s="36"/>
      <c r="T1445" s="36"/>
      <c r="U1445" s="36"/>
      <c r="V1445" s="36"/>
      <c r="W1445" s="36"/>
      <c r="X1445" s="36"/>
      <c r="Y1445" s="36"/>
      <c r="Z1445" s="36"/>
      <c r="AA1445" s="36"/>
    </row>
    <row r="1446" spans="1:27">
      <c r="A1446" s="36"/>
      <c r="B1446" s="36"/>
      <c r="C1446" s="36"/>
      <c r="D1446" s="36"/>
      <c r="E1446" s="36"/>
      <c r="F1446" s="36"/>
      <c r="G1446" s="36"/>
      <c r="H1446" s="36"/>
      <c r="I1446" s="36"/>
      <c r="J1446" s="36"/>
      <c r="K1446" s="36"/>
      <c r="L1446" s="40"/>
      <c r="M1446" s="36"/>
      <c r="N1446" s="36"/>
      <c r="O1446" s="36"/>
      <c r="P1446" s="36"/>
      <c r="Q1446" s="36"/>
      <c r="R1446" s="36"/>
      <c r="S1446" s="36"/>
      <c r="T1446" s="36"/>
      <c r="U1446" s="36"/>
      <c r="V1446" s="36"/>
      <c r="W1446" s="36"/>
      <c r="X1446" s="36"/>
      <c r="Y1446" s="36"/>
      <c r="Z1446" s="36"/>
      <c r="AA1446" s="36"/>
    </row>
    <row r="1447" spans="1:27">
      <c r="A1447" s="36"/>
      <c r="B1447" s="36"/>
      <c r="C1447" s="36"/>
      <c r="D1447" s="36"/>
      <c r="E1447" s="36"/>
      <c r="F1447" s="36"/>
      <c r="G1447" s="36"/>
      <c r="H1447" s="36"/>
      <c r="I1447" s="36"/>
      <c r="J1447" s="36"/>
      <c r="K1447" s="36"/>
      <c r="L1447" s="40"/>
      <c r="M1447" s="36"/>
      <c r="N1447" s="36"/>
      <c r="O1447" s="36"/>
      <c r="P1447" s="36"/>
      <c r="Q1447" s="36"/>
      <c r="R1447" s="36"/>
      <c r="S1447" s="36"/>
      <c r="T1447" s="36"/>
      <c r="U1447" s="36"/>
      <c r="V1447" s="36"/>
      <c r="W1447" s="36"/>
      <c r="X1447" s="36"/>
      <c r="Y1447" s="36"/>
      <c r="Z1447" s="36"/>
      <c r="AA1447" s="36"/>
    </row>
    <row r="1448" spans="1:27">
      <c r="A1448" s="36"/>
      <c r="B1448" s="36"/>
      <c r="C1448" s="36"/>
      <c r="D1448" s="36"/>
      <c r="E1448" s="36"/>
      <c r="F1448" s="36"/>
      <c r="G1448" s="36"/>
      <c r="H1448" s="36"/>
      <c r="I1448" s="36"/>
      <c r="J1448" s="36"/>
      <c r="K1448" s="36"/>
      <c r="L1448" s="40"/>
      <c r="M1448" s="36"/>
      <c r="N1448" s="36"/>
      <c r="O1448" s="36"/>
      <c r="P1448" s="36"/>
      <c r="Q1448" s="36"/>
      <c r="R1448" s="36"/>
      <c r="S1448" s="36"/>
      <c r="T1448" s="36"/>
      <c r="U1448" s="36"/>
      <c r="V1448" s="36"/>
      <c r="W1448" s="36"/>
      <c r="X1448" s="36"/>
      <c r="Y1448" s="36"/>
      <c r="Z1448" s="36"/>
      <c r="AA1448" s="36"/>
    </row>
    <row r="1449" spans="1:27">
      <c r="A1449" s="36"/>
      <c r="B1449" s="36"/>
      <c r="C1449" s="36"/>
      <c r="D1449" s="36"/>
      <c r="E1449" s="36"/>
      <c r="F1449" s="36"/>
      <c r="G1449" s="36"/>
      <c r="H1449" s="36"/>
      <c r="I1449" s="36"/>
      <c r="J1449" s="36"/>
      <c r="K1449" s="36"/>
      <c r="L1449" s="40"/>
      <c r="M1449" s="36"/>
      <c r="N1449" s="36"/>
      <c r="O1449" s="36"/>
      <c r="P1449" s="36"/>
      <c r="Q1449" s="36"/>
      <c r="R1449" s="36"/>
      <c r="S1449" s="36"/>
      <c r="T1449" s="36"/>
      <c r="U1449" s="36"/>
      <c r="V1449" s="36"/>
      <c r="W1449" s="36"/>
      <c r="X1449" s="36"/>
      <c r="Y1449" s="36"/>
      <c r="Z1449" s="36"/>
      <c r="AA1449" s="36"/>
    </row>
    <row r="1450" spans="1:27">
      <c r="A1450" s="36"/>
      <c r="B1450" s="36"/>
      <c r="C1450" s="36"/>
      <c r="D1450" s="36"/>
      <c r="E1450" s="36"/>
      <c r="F1450" s="36"/>
      <c r="G1450" s="36"/>
      <c r="H1450" s="36"/>
      <c r="I1450" s="36"/>
      <c r="J1450" s="36"/>
      <c r="K1450" s="36"/>
      <c r="L1450" s="40"/>
      <c r="M1450" s="36"/>
      <c r="N1450" s="36"/>
      <c r="O1450" s="36"/>
      <c r="P1450" s="36"/>
      <c r="Q1450" s="36"/>
      <c r="R1450" s="36"/>
      <c r="S1450" s="36"/>
      <c r="T1450" s="36"/>
      <c r="U1450" s="36"/>
      <c r="V1450" s="36"/>
      <c r="W1450" s="36"/>
      <c r="X1450" s="36"/>
      <c r="Y1450" s="36"/>
      <c r="Z1450" s="36"/>
      <c r="AA1450" s="36"/>
    </row>
    <row r="1451" spans="1:27">
      <c r="A1451" s="36"/>
      <c r="B1451" s="36"/>
      <c r="C1451" s="36"/>
      <c r="D1451" s="36"/>
      <c r="E1451" s="36"/>
      <c r="F1451" s="36"/>
      <c r="G1451" s="36"/>
      <c r="H1451" s="36"/>
      <c r="I1451" s="36"/>
      <c r="J1451" s="36"/>
      <c r="K1451" s="36"/>
      <c r="L1451" s="40"/>
      <c r="M1451" s="36"/>
      <c r="N1451" s="36"/>
      <c r="O1451" s="36"/>
      <c r="P1451" s="36"/>
      <c r="Q1451" s="36"/>
      <c r="R1451" s="36"/>
      <c r="S1451" s="36"/>
      <c r="T1451" s="36"/>
      <c r="U1451" s="36"/>
      <c r="V1451" s="36"/>
      <c r="W1451" s="36"/>
      <c r="X1451" s="36"/>
      <c r="Y1451" s="36"/>
      <c r="Z1451" s="36"/>
      <c r="AA1451" s="36"/>
    </row>
    <row r="1452" spans="1:27">
      <c r="A1452" s="36"/>
      <c r="B1452" s="36"/>
      <c r="C1452" s="36"/>
      <c r="D1452" s="36"/>
      <c r="E1452" s="36"/>
      <c r="F1452" s="36"/>
      <c r="G1452" s="36"/>
      <c r="H1452" s="36"/>
      <c r="I1452" s="36"/>
      <c r="J1452" s="36"/>
      <c r="K1452" s="36"/>
      <c r="L1452" s="40"/>
      <c r="M1452" s="36"/>
      <c r="N1452" s="36"/>
      <c r="O1452" s="36"/>
      <c r="P1452" s="36"/>
      <c r="Q1452" s="36"/>
      <c r="R1452" s="36"/>
      <c r="S1452" s="36"/>
      <c r="T1452" s="36"/>
      <c r="U1452" s="36"/>
      <c r="V1452" s="36"/>
      <c r="W1452" s="36"/>
      <c r="X1452" s="36"/>
      <c r="Y1452" s="36"/>
      <c r="Z1452" s="36"/>
      <c r="AA1452" s="36"/>
    </row>
    <row r="1453" spans="1:27">
      <c r="A1453" s="36"/>
      <c r="B1453" s="36"/>
      <c r="C1453" s="36"/>
      <c r="D1453" s="36"/>
      <c r="E1453" s="36"/>
      <c r="F1453" s="36"/>
      <c r="G1453" s="36"/>
      <c r="H1453" s="36"/>
      <c r="I1453" s="36"/>
      <c r="J1453" s="36"/>
      <c r="K1453" s="36"/>
      <c r="L1453" s="40"/>
      <c r="M1453" s="36"/>
      <c r="N1453" s="36"/>
      <c r="O1453" s="36"/>
      <c r="P1453" s="36"/>
      <c r="Q1453" s="36"/>
      <c r="R1453" s="36"/>
      <c r="S1453" s="36"/>
      <c r="T1453" s="36"/>
      <c r="U1453" s="36"/>
      <c r="V1453" s="36"/>
      <c r="W1453" s="36"/>
      <c r="X1453" s="36"/>
      <c r="Y1453" s="36"/>
      <c r="Z1453" s="36"/>
      <c r="AA1453" s="36"/>
    </row>
    <row r="1454" spans="1:27">
      <c r="A1454" s="36"/>
      <c r="B1454" s="36"/>
      <c r="C1454" s="36"/>
      <c r="D1454" s="36"/>
      <c r="E1454" s="36"/>
      <c r="F1454" s="36"/>
      <c r="G1454" s="36"/>
      <c r="H1454" s="36"/>
      <c r="I1454" s="36"/>
      <c r="J1454" s="36"/>
      <c r="K1454" s="36"/>
      <c r="L1454" s="40"/>
      <c r="M1454" s="36"/>
      <c r="N1454" s="36"/>
      <c r="O1454" s="36"/>
      <c r="P1454" s="36"/>
      <c r="Q1454" s="36"/>
      <c r="R1454" s="36"/>
      <c r="S1454" s="36"/>
      <c r="T1454" s="36"/>
      <c r="U1454" s="36"/>
      <c r="V1454" s="36"/>
      <c r="W1454" s="36"/>
      <c r="X1454" s="36"/>
      <c r="Y1454" s="36"/>
      <c r="Z1454" s="36"/>
      <c r="AA1454" s="36"/>
    </row>
    <row r="1455" spans="1:27">
      <c r="A1455" s="36"/>
      <c r="B1455" s="36"/>
      <c r="C1455" s="36"/>
      <c r="D1455" s="36"/>
      <c r="E1455" s="36"/>
      <c r="F1455" s="36"/>
      <c r="G1455" s="36"/>
      <c r="H1455" s="36"/>
      <c r="I1455" s="36"/>
      <c r="J1455" s="36"/>
      <c r="K1455" s="36"/>
      <c r="L1455" s="40"/>
      <c r="M1455" s="36"/>
      <c r="N1455" s="36"/>
      <c r="O1455" s="36"/>
      <c r="P1455" s="36"/>
      <c r="Q1455" s="36"/>
      <c r="R1455" s="36"/>
      <c r="S1455" s="36"/>
      <c r="T1455" s="36"/>
      <c r="U1455" s="36"/>
      <c r="V1455" s="36"/>
      <c r="W1455" s="36"/>
      <c r="X1455" s="36"/>
      <c r="Y1455" s="36"/>
      <c r="Z1455" s="36"/>
      <c r="AA1455" s="36"/>
    </row>
    <row r="1456" spans="1:27">
      <c r="A1456" s="36"/>
      <c r="B1456" s="36"/>
      <c r="C1456" s="36"/>
      <c r="D1456" s="36"/>
      <c r="E1456" s="36"/>
      <c r="F1456" s="36"/>
      <c r="G1456" s="36"/>
      <c r="H1456" s="36"/>
      <c r="I1456" s="36"/>
      <c r="J1456" s="36"/>
      <c r="K1456" s="36"/>
      <c r="L1456" s="40"/>
      <c r="M1456" s="36"/>
      <c r="N1456" s="36"/>
      <c r="O1456" s="36"/>
      <c r="P1456" s="36"/>
      <c r="Q1456" s="36"/>
      <c r="R1456" s="36"/>
      <c r="S1456" s="36"/>
      <c r="T1456" s="36"/>
      <c r="U1456" s="36"/>
      <c r="V1456" s="36"/>
      <c r="W1456" s="36"/>
      <c r="X1456" s="36"/>
      <c r="Y1456" s="36"/>
      <c r="Z1456" s="36"/>
      <c r="AA1456" s="36"/>
    </row>
    <row r="1457" spans="1:27">
      <c r="A1457" s="36"/>
      <c r="B1457" s="36"/>
      <c r="C1457" s="36"/>
      <c r="D1457" s="36"/>
      <c r="E1457" s="36"/>
      <c r="F1457" s="36"/>
      <c r="G1457" s="36"/>
      <c r="H1457" s="36"/>
      <c r="I1457" s="36"/>
      <c r="J1457" s="36"/>
      <c r="K1457" s="36"/>
      <c r="L1457" s="40"/>
      <c r="M1457" s="36"/>
      <c r="N1457" s="36"/>
      <c r="O1457" s="36"/>
      <c r="P1457" s="36"/>
      <c r="Q1457" s="36"/>
      <c r="R1457" s="36"/>
      <c r="S1457" s="36"/>
      <c r="T1457" s="36"/>
      <c r="U1457" s="36"/>
      <c r="V1457" s="36"/>
      <c r="W1457" s="36"/>
      <c r="X1457" s="36"/>
      <c r="Y1457" s="36"/>
      <c r="Z1457" s="36"/>
      <c r="AA1457" s="36"/>
    </row>
    <row r="1458" spans="1:27">
      <c r="A1458" s="36"/>
      <c r="B1458" s="36"/>
      <c r="C1458" s="36"/>
      <c r="D1458" s="36"/>
      <c r="E1458" s="36"/>
      <c r="F1458" s="36"/>
      <c r="G1458" s="36"/>
      <c r="H1458" s="36"/>
      <c r="I1458" s="36"/>
      <c r="J1458" s="36"/>
      <c r="K1458" s="36"/>
      <c r="L1458" s="40"/>
      <c r="M1458" s="36"/>
      <c r="N1458" s="36"/>
      <c r="O1458" s="36"/>
      <c r="P1458" s="36"/>
      <c r="Q1458" s="36"/>
      <c r="R1458" s="36"/>
      <c r="S1458" s="36"/>
      <c r="T1458" s="36"/>
      <c r="U1458" s="36"/>
      <c r="V1458" s="36"/>
      <c r="W1458" s="36"/>
      <c r="X1458" s="36"/>
      <c r="Y1458" s="36"/>
      <c r="Z1458" s="36"/>
      <c r="AA1458" s="36"/>
    </row>
    <row r="1459" spans="1:27">
      <c r="A1459" s="36"/>
      <c r="B1459" s="36"/>
      <c r="C1459" s="36"/>
      <c r="D1459" s="36"/>
      <c r="E1459" s="36"/>
      <c r="F1459" s="36"/>
      <c r="G1459" s="36"/>
      <c r="H1459" s="36"/>
      <c r="I1459" s="36"/>
      <c r="J1459" s="36"/>
      <c r="K1459" s="36"/>
      <c r="L1459" s="40"/>
      <c r="M1459" s="36"/>
      <c r="N1459" s="36"/>
      <c r="O1459" s="36"/>
      <c r="P1459" s="36"/>
      <c r="Q1459" s="36"/>
      <c r="R1459" s="36"/>
      <c r="S1459" s="36"/>
      <c r="T1459" s="36"/>
      <c r="U1459" s="36"/>
      <c r="V1459" s="36"/>
      <c r="W1459" s="36"/>
      <c r="X1459" s="36"/>
      <c r="Y1459" s="36"/>
      <c r="Z1459" s="36"/>
      <c r="AA1459" s="36"/>
    </row>
    <row r="1460" spans="1:27">
      <c r="A1460" s="36"/>
      <c r="B1460" s="36"/>
      <c r="C1460" s="36"/>
      <c r="D1460" s="36"/>
      <c r="E1460" s="36"/>
      <c r="F1460" s="36"/>
      <c r="G1460" s="36"/>
      <c r="H1460" s="36"/>
      <c r="I1460" s="36"/>
      <c r="J1460" s="36"/>
      <c r="K1460" s="36"/>
      <c r="L1460" s="40"/>
      <c r="M1460" s="36"/>
      <c r="N1460" s="36"/>
      <c r="O1460" s="36"/>
      <c r="P1460" s="36"/>
      <c r="Q1460" s="36"/>
      <c r="R1460" s="36"/>
      <c r="S1460" s="36"/>
      <c r="T1460" s="36"/>
      <c r="U1460" s="36"/>
      <c r="V1460" s="36"/>
      <c r="W1460" s="36"/>
      <c r="X1460" s="36"/>
      <c r="Y1460" s="36"/>
      <c r="Z1460" s="36"/>
      <c r="AA1460" s="36"/>
    </row>
    <row r="1461" spans="1:27">
      <c r="A1461" s="36"/>
      <c r="B1461" s="36"/>
      <c r="C1461" s="36"/>
      <c r="D1461" s="36"/>
      <c r="E1461" s="36"/>
      <c r="F1461" s="36"/>
      <c r="G1461" s="36"/>
      <c r="H1461" s="36"/>
      <c r="I1461" s="36"/>
      <c r="J1461" s="36"/>
      <c r="K1461" s="36"/>
      <c r="L1461" s="40"/>
      <c r="M1461" s="36"/>
      <c r="N1461" s="36"/>
      <c r="O1461" s="36"/>
      <c r="P1461" s="36"/>
      <c r="Q1461" s="36"/>
      <c r="R1461" s="36"/>
      <c r="S1461" s="36"/>
      <c r="T1461" s="36"/>
      <c r="U1461" s="36"/>
      <c r="V1461" s="36"/>
      <c r="W1461" s="36"/>
      <c r="X1461" s="36"/>
      <c r="Y1461" s="36"/>
      <c r="Z1461" s="36"/>
      <c r="AA1461" s="36"/>
    </row>
    <row r="1462" spans="1:27">
      <c r="A1462" s="36"/>
      <c r="B1462" s="36"/>
      <c r="C1462" s="36"/>
      <c r="D1462" s="36"/>
      <c r="E1462" s="36"/>
      <c r="F1462" s="36"/>
      <c r="G1462" s="36"/>
      <c r="H1462" s="36"/>
      <c r="I1462" s="36"/>
      <c r="J1462" s="36"/>
      <c r="K1462" s="36"/>
      <c r="L1462" s="40"/>
      <c r="M1462" s="36"/>
      <c r="N1462" s="36"/>
      <c r="O1462" s="36"/>
      <c r="P1462" s="36"/>
      <c r="Q1462" s="36"/>
      <c r="R1462" s="36"/>
      <c r="S1462" s="36"/>
      <c r="T1462" s="36"/>
      <c r="U1462" s="36"/>
      <c r="V1462" s="36"/>
      <c r="W1462" s="36"/>
      <c r="X1462" s="36"/>
      <c r="Y1462" s="36"/>
      <c r="Z1462" s="36"/>
      <c r="AA1462" s="36"/>
    </row>
    <row r="1463" spans="1:27">
      <c r="A1463" s="36"/>
      <c r="B1463" s="36"/>
      <c r="C1463" s="36"/>
      <c r="D1463" s="36"/>
      <c r="E1463" s="36"/>
      <c r="F1463" s="36"/>
      <c r="G1463" s="36"/>
      <c r="H1463" s="36"/>
      <c r="I1463" s="36"/>
      <c r="J1463" s="36"/>
      <c r="K1463" s="36"/>
      <c r="L1463" s="40"/>
      <c r="M1463" s="36"/>
      <c r="N1463" s="36"/>
      <c r="O1463" s="36"/>
      <c r="P1463" s="36"/>
      <c r="Q1463" s="36"/>
      <c r="R1463" s="36"/>
      <c r="S1463" s="36"/>
      <c r="T1463" s="36"/>
      <c r="U1463" s="36"/>
      <c r="V1463" s="36"/>
      <c r="W1463" s="36"/>
      <c r="X1463" s="36"/>
      <c r="Y1463" s="36"/>
      <c r="Z1463" s="36"/>
      <c r="AA1463" s="36"/>
    </row>
    <row r="1464" spans="1:27">
      <c r="A1464" s="36"/>
      <c r="B1464" s="36"/>
      <c r="C1464" s="36"/>
      <c r="D1464" s="36"/>
      <c r="E1464" s="36"/>
      <c r="F1464" s="36"/>
      <c r="G1464" s="36"/>
      <c r="H1464" s="36"/>
      <c r="I1464" s="36"/>
      <c r="J1464" s="36"/>
      <c r="K1464" s="36"/>
      <c r="L1464" s="40"/>
      <c r="M1464" s="36"/>
      <c r="N1464" s="36"/>
      <c r="O1464" s="36"/>
      <c r="P1464" s="36"/>
      <c r="Q1464" s="36"/>
      <c r="R1464" s="36"/>
      <c r="S1464" s="36"/>
      <c r="T1464" s="36"/>
      <c r="U1464" s="36"/>
      <c r="V1464" s="36"/>
      <c r="W1464" s="36"/>
      <c r="X1464" s="36"/>
      <c r="Y1464" s="36"/>
      <c r="Z1464" s="36"/>
      <c r="AA1464" s="36"/>
    </row>
    <row r="1465" spans="1:27">
      <c r="A1465" s="36"/>
      <c r="B1465" s="36"/>
      <c r="C1465" s="36"/>
      <c r="D1465" s="36"/>
      <c r="E1465" s="36"/>
      <c r="F1465" s="36"/>
      <c r="G1465" s="36"/>
      <c r="H1465" s="36"/>
      <c r="I1465" s="36"/>
      <c r="J1465" s="36"/>
      <c r="K1465" s="36"/>
      <c r="L1465" s="40"/>
      <c r="M1465" s="36"/>
      <c r="N1465" s="36"/>
      <c r="O1465" s="36"/>
      <c r="P1465" s="36"/>
      <c r="Q1465" s="36"/>
      <c r="R1465" s="36"/>
      <c r="S1465" s="36"/>
      <c r="T1465" s="36"/>
      <c r="U1465" s="36"/>
      <c r="V1465" s="36"/>
      <c r="W1465" s="36"/>
      <c r="X1465" s="36"/>
      <c r="Y1465" s="36"/>
      <c r="Z1465" s="36"/>
      <c r="AA1465" s="36"/>
    </row>
    <row r="1466" spans="1:27">
      <c r="A1466" s="36"/>
      <c r="B1466" s="36"/>
      <c r="C1466" s="36"/>
      <c r="D1466" s="36"/>
      <c r="E1466" s="36"/>
      <c r="F1466" s="36"/>
      <c r="G1466" s="36"/>
      <c r="H1466" s="36"/>
      <c r="I1466" s="36"/>
      <c r="J1466" s="36"/>
      <c r="K1466" s="36"/>
      <c r="L1466" s="40"/>
      <c r="M1466" s="36"/>
      <c r="N1466" s="36"/>
      <c r="O1466" s="36"/>
      <c r="P1466" s="36"/>
      <c r="Q1466" s="36"/>
      <c r="R1466" s="36"/>
      <c r="S1466" s="36"/>
      <c r="T1466" s="36"/>
      <c r="U1466" s="36"/>
      <c r="V1466" s="36"/>
      <c r="W1466" s="36"/>
      <c r="X1466" s="36"/>
      <c r="Y1466" s="36"/>
      <c r="Z1466" s="36"/>
      <c r="AA1466" s="36"/>
    </row>
    <row r="1467" spans="1:27">
      <c r="A1467" s="36"/>
      <c r="B1467" s="36"/>
      <c r="C1467" s="36"/>
      <c r="D1467" s="36"/>
      <c r="E1467" s="36"/>
      <c r="F1467" s="36"/>
      <c r="G1467" s="36"/>
      <c r="H1467" s="36"/>
      <c r="I1467" s="36"/>
      <c r="J1467" s="36"/>
      <c r="K1467" s="36"/>
      <c r="L1467" s="40"/>
      <c r="M1467" s="36"/>
      <c r="N1467" s="36"/>
      <c r="O1467" s="36"/>
      <c r="P1467" s="36"/>
      <c r="Q1467" s="36"/>
      <c r="R1467" s="36"/>
      <c r="S1467" s="36"/>
      <c r="T1467" s="36"/>
      <c r="U1467" s="36"/>
      <c r="V1467" s="36"/>
      <c r="W1467" s="36"/>
      <c r="X1467" s="36"/>
      <c r="Y1467" s="36"/>
      <c r="Z1467" s="36"/>
      <c r="AA1467" s="36"/>
    </row>
    <row r="1468" spans="1:27">
      <c r="A1468" s="36"/>
      <c r="B1468" s="36"/>
      <c r="C1468" s="36"/>
      <c r="D1468" s="36"/>
      <c r="E1468" s="36"/>
      <c r="F1468" s="36"/>
      <c r="G1468" s="36"/>
      <c r="H1468" s="36"/>
      <c r="I1468" s="36"/>
      <c r="J1468" s="36"/>
      <c r="K1468" s="36"/>
      <c r="L1468" s="40"/>
      <c r="M1468" s="36"/>
      <c r="N1468" s="36"/>
      <c r="O1468" s="36"/>
      <c r="P1468" s="36"/>
      <c r="Q1468" s="36"/>
      <c r="R1468" s="36"/>
      <c r="S1468" s="36"/>
      <c r="T1468" s="36"/>
      <c r="U1468" s="36"/>
      <c r="V1468" s="36"/>
      <c r="W1468" s="36"/>
      <c r="X1468" s="36"/>
      <c r="Y1468" s="36"/>
      <c r="Z1468" s="36"/>
      <c r="AA1468" s="36"/>
    </row>
    <row r="1469" spans="1:27">
      <c r="A1469" s="36"/>
      <c r="B1469" s="36"/>
      <c r="C1469" s="36"/>
      <c r="D1469" s="36"/>
      <c r="E1469" s="36"/>
      <c r="F1469" s="36"/>
      <c r="G1469" s="36"/>
      <c r="H1469" s="36"/>
      <c r="I1469" s="36"/>
      <c r="J1469" s="36"/>
      <c r="K1469" s="36"/>
      <c r="L1469" s="40"/>
      <c r="M1469" s="36"/>
      <c r="N1469" s="36"/>
      <c r="O1469" s="36"/>
      <c r="P1469" s="36"/>
      <c r="Q1469" s="36"/>
      <c r="R1469" s="36"/>
      <c r="S1469" s="36"/>
      <c r="T1469" s="36"/>
      <c r="U1469" s="36"/>
      <c r="V1469" s="36"/>
      <c r="W1469" s="36"/>
      <c r="X1469" s="36"/>
      <c r="Y1469" s="36"/>
      <c r="Z1469" s="36"/>
      <c r="AA1469" s="36"/>
    </row>
    <row r="1470" spans="1:27">
      <c r="A1470" s="36"/>
      <c r="B1470" s="36"/>
      <c r="C1470" s="36"/>
      <c r="D1470" s="36"/>
      <c r="E1470" s="36"/>
      <c r="F1470" s="36"/>
      <c r="G1470" s="36"/>
      <c r="H1470" s="36"/>
      <c r="I1470" s="36"/>
      <c r="J1470" s="36"/>
      <c r="K1470" s="36"/>
      <c r="L1470" s="40"/>
      <c r="M1470" s="36"/>
      <c r="N1470" s="36"/>
      <c r="O1470" s="36"/>
      <c r="P1470" s="36"/>
      <c r="Q1470" s="36"/>
      <c r="R1470" s="36"/>
      <c r="S1470" s="36"/>
      <c r="T1470" s="36"/>
      <c r="U1470" s="36"/>
      <c r="V1470" s="36"/>
      <c r="W1470" s="36"/>
      <c r="X1470" s="36"/>
      <c r="Y1470" s="36"/>
      <c r="Z1470" s="36"/>
      <c r="AA1470" s="36"/>
    </row>
    <row r="1471" spans="1:27">
      <c r="A1471" s="36"/>
      <c r="B1471" s="36"/>
      <c r="C1471" s="36"/>
      <c r="D1471" s="36"/>
      <c r="E1471" s="36"/>
      <c r="F1471" s="36"/>
      <c r="G1471" s="36"/>
      <c r="H1471" s="36"/>
      <c r="I1471" s="36"/>
      <c r="J1471" s="36"/>
      <c r="K1471" s="36"/>
      <c r="L1471" s="40"/>
      <c r="M1471" s="36"/>
      <c r="N1471" s="36"/>
      <c r="O1471" s="36"/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</row>
    <row r="1472" spans="1:27">
      <c r="A1472" s="36"/>
      <c r="B1472" s="36"/>
      <c r="C1472" s="36"/>
      <c r="D1472" s="36"/>
      <c r="E1472" s="36"/>
      <c r="F1472" s="36"/>
      <c r="G1472" s="36"/>
      <c r="H1472" s="36"/>
      <c r="I1472" s="36"/>
      <c r="J1472" s="36"/>
      <c r="K1472" s="36"/>
      <c r="L1472" s="40"/>
      <c r="M1472" s="36"/>
      <c r="N1472" s="36"/>
      <c r="O1472" s="36"/>
      <c r="P1472" s="36"/>
      <c r="Q1472" s="36"/>
      <c r="R1472" s="36"/>
      <c r="S1472" s="36"/>
      <c r="T1472" s="36"/>
      <c r="U1472" s="36"/>
      <c r="V1472" s="36"/>
      <c r="W1472" s="36"/>
      <c r="X1472" s="36"/>
      <c r="Y1472" s="36"/>
      <c r="Z1472" s="36"/>
      <c r="AA1472" s="36"/>
    </row>
    <row r="1473" spans="1:27">
      <c r="A1473" s="36"/>
      <c r="B1473" s="36"/>
      <c r="C1473" s="36"/>
      <c r="D1473" s="36"/>
      <c r="E1473" s="36"/>
      <c r="F1473" s="36"/>
      <c r="G1473" s="36"/>
      <c r="H1473" s="36"/>
      <c r="I1473" s="36"/>
      <c r="J1473" s="36"/>
      <c r="K1473" s="36"/>
      <c r="L1473" s="40"/>
      <c r="M1473" s="36"/>
      <c r="N1473" s="36"/>
      <c r="O1473" s="36"/>
      <c r="P1473" s="36"/>
      <c r="Q1473" s="36"/>
      <c r="R1473" s="36"/>
      <c r="S1473" s="36"/>
      <c r="T1473" s="36"/>
      <c r="U1473" s="36"/>
      <c r="V1473" s="36"/>
      <c r="W1473" s="36"/>
      <c r="X1473" s="36"/>
      <c r="Y1473" s="36"/>
      <c r="Z1473" s="36"/>
      <c r="AA1473" s="36"/>
    </row>
    <row r="1474" spans="1:27">
      <c r="A1474" s="36"/>
      <c r="B1474" s="36"/>
      <c r="C1474" s="36"/>
      <c r="D1474" s="36"/>
      <c r="E1474" s="36"/>
      <c r="F1474" s="36"/>
      <c r="G1474" s="36"/>
      <c r="H1474" s="36"/>
      <c r="I1474" s="36"/>
      <c r="J1474" s="36"/>
      <c r="K1474" s="36"/>
      <c r="L1474" s="40"/>
      <c r="M1474" s="36"/>
      <c r="N1474" s="36"/>
      <c r="O1474" s="36"/>
      <c r="P1474" s="36"/>
      <c r="Q1474" s="36"/>
      <c r="R1474" s="36"/>
      <c r="S1474" s="36"/>
      <c r="T1474" s="36"/>
      <c r="U1474" s="36"/>
      <c r="V1474" s="36"/>
      <c r="W1474" s="36"/>
      <c r="X1474" s="36"/>
      <c r="Y1474" s="36"/>
      <c r="Z1474" s="36"/>
      <c r="AA1474" s="36"/>
    </row>
    <row r="1475" spans="1:27">
      <c r="A1475" s="36"/>
      <c r="B1475" s="36"/>
      <c r="C1475" s="36"/>
      <c r="D1475" s="36"/>
      <c r="E1475" s="36"/>
      <c r="F1475" s="36"/>
      <c r="G1475" s="36"/>
      <c r="H1475" s="36"/>
      <c r="I1475" s="36"/>
      <c r="J1475" s="36"/>
      <c r="K1475" s="36"/>
      <c r="L1475" s="40"/>
      <c r="M1475" s="36"/>
      <c r="N1475" s="36"/>
      <c r="O1475" s="36"/>
      <c r="P1475" s="36"/>
      <c r="Q1475" s="36"/>
      <c r="R1475" s="36"/>
      <c r="S1475" s="36"/>
      <c r="T1475" s="36"/>
      <c r="U1475" s="36"/>
      <c r="V1475" s="36"/>
      <c r="W1475" s="36"/>
      <c r="X1475" s="36"/>
      <c r="Y1475" s="36"/>
      <c r="Z1475" s="36"/>
      <c r="AA1475" s="36"/>
    </row>
    <row r="1476" spans="1:27">
      <c r="A1476" s="36"/>
      <c r="B1476" s="36"/>
      <c r="C1476" s="36"/>
      <c r="D1476" s="36"/>
      <c r="E1476" s="36"/>
      <c r="F1476" s="36"/>
      <c r="G1476" s="36"/>
      <c r="H1476" s="36"/>
      <c r="I1476" s="36"/>
      <c r="J1476" s="36"/>
      <c r="K1476" s="36"/>
      <c r="L1476" s="40"/>
      <c r="M1476" s="36"/>
      <c r="N1476" s="36"/>
      <c r="O1476" s="36"/>
      <c r="P1476" s="36"/>
      <c r="Q1476" s="36"/>
      <c r="R1476" s="36"/>
      <c r="S1476" s="36"/>
      <c r="T1476" s="36"/>
      <c r="U1476" s="36"/>
      <c r="V1476" s="36"/>
      <c r="W1476" s="36"/>
      <c r="X1476" s="36"/>
      <c r="Y1476" s="36"/>
      <c r="Z1476" s="36"/>
      <c r="AA1476" s="36"/>
    </row>
    <row r="1477" spans="1:27">
      <c r="A1477" s="36"/>
      <c r="B1477" s="36"/>
      <c r="C1477" s="36"/>
      <c r="D1477" s="36"/>
      <c r="E1477" s="36"/>
      <c r="F1477" s="36"/>
      <c r="G1477" s="36"/>
      <c r="H1477" s="36"/>
      <c r="I1477" s="36"/>
      <c r="J1477" s="36"/>
      <c r="K1477" s="36"/>
      <c r="L1477" s="40"/>
      <c r="M1477" s="36"/>
      <c r="N1477" s="36"/>
      <c r="O1477" s="36"/>
      <c r="P1477" s="36"/>
      <c r="Q1477" s="36"/>
      <c r="R1477" s="36"/>
      <c r="S1477" s="36"/>
      <c r="T1477" s="36"/>
      <c r="U1477" s="36"/>
      <c r="V1477" s="36"/>
      <c r="W1477" s="36"/>
      <c r="X1477" s="36"/>
      <c r="Y1477" s="36"/>
      <c r="Z1477" s="36"/>
      <c r="AA1477" s="36"/>
    </row>
    <row r="1478" spans="1:27">
      <c r="A1478" s="36"/>
      <c r="B1478" s="36"/>
      <c r="C1478" s="36"/>
      <c r="D1478" s="36"/>
      <c r="E1478" s="36"/>
      <c r="F1478" s="36"/>
      <c r="G1478" s="36"/>
      <c r="H1478" s="36"/>
      <c r="I1478" s="36"/>
      <c r="J1478" s="36"/>
      <c r="K1478" s="36"/>
      <c r="L1478" s="40"/>
      <c r="M1478" s="36"/>
      <c r="N1478" s="36"/>
      <c r="O1478" s="36"/>
      <c r="P1478" s="36"/>
      <c r="Q1478" s="36"/>
      <c r="R1478" s="36"/>
      <c r="S1478" s="36"/>
      <c r="T1478" s="36"/>
      <c r="U1478" s="36"/>
      <c r="V1478" s="36"/>
      <c r="W1478" s="36"/>
      <c r="X1478" s="36"/>
      <c r="Y1478" s="36"/>
      <c r="Z1478" s="36"/>
      <c r="AA1478" s="36"/>
    </row>
    <row r="1479" spans="1:27">
      <c r="A1479" s="36"/>
      <c r="B1479" s="36"/>
      <c r="C1479" s="36"/>
      <c r="D1479" s="36"/>
      <c r="E1479" s="36"/>
      <c r="F1479" s="36"/>
      <c r="G1479" s="36"/>
      <c r="H1479" s="36"/>
      <c r="I1479" s="36"/>
      <c r="J1479" s="36"/>
      <c r="K1479" s="36"/>
      <c r="L1479" s="40"/>
      <c r="M1479" s="36"/>
      <c r="N1479" s="36"/>
      <c r="O1479" s="36"/>
      <c r="P1479" s="36"/>
      <c r="Q1479" s="36"/>
      <c r="R1479" s="36"/>
      <c r="S1479" s="36"/>
      <c r="T1479" s="36"/>
      <c r="U1479" s="36"/>
      <c r="V1479" s="36"/>
      <c r="W1479" s="36"/>
      <c r="X1479" s="36"/>
      <c r="Y1479" s="36"/>
      <c r="Z1479" s="36"/>
      <c r="AA1479" s="36"/>
    </row>
    <row r="1480" spans="1:27">
      <c r="A1480" s="36"/>
      <c r="B1480" s="36"/>
      <c r="C1480" s="36"/>
      <c r="D1480" s="36"/>
      <c r="E1480" s="36"/>
      <c r="F1480" s="36"/>
      <c r="G1480" s="36"/>
      <c r="H1480" s="36"/>
      <c r="I1480" s="36"/>
      <c r="J1480" s="36"/>
      <c r="K1480" s="36"/>
      <c r="L1480" s="40"/>
      <c r="M1480" s="36"/>
      <c r="N1480" s="36"/>
      <c r="O1480" s="36"/>
      <c r="P1480" s="36"/>
      <c r="Q1480" s="36"/>
      <c r="R1480" s="36"/>
      <c r="S1480" s="36"/>
      <c r="T1480" s="36"/>
      <c r="U1480" s="36"/>
      <c r="V1480" s="36"/>
      <c r="W1480" s="36"/>
      <c r="X1480" s="36"/>
      <c r="Y1480" s="36"/>
      <c r="Z1480" s="36"/>
      <c r="AA1480" s="36"/>
    </row>
    <row r="1481" spans="1:27">
      <c r="A1481" s="36"/>
      <c r="B1481" s="36"/>
      <c r="C1481" s="36"/>
      <c r="D1481" s="36"/>
      <c r="E1481" s="36"/>
      <c r="F1481" s="36"/>
      <c r="G1481" s="36"/>
      <c r="H1481" s="36"/>
      <c r="I1481" s="36"/>
      <c r="J1481" s="36"/>
      <c r="K1481" s="36"/>
      <c r="L1481" s="40"/>
      <c r="M1481" s="36"/>
      <c r="N1481" s="36"/>
      <c r="O1481" s="36"/>
      <c r="P1481" s="36"/>
      <c r="Q1481" s="36"/>
      <c r="R1481" s="36"/>
      <c r="S1481" s="36"/>
      <c r="T1481" s="36"/>
      <c r="U1481" s="36"/>
      <c r="V1481" s="36"/>
      <c r="W1481" s="36"/>
      <c r="X1481" s="36"/>
      <c r="Y1481" s="36"/>
      <c r="Z1481" s="36"/>
      <c r="AA1481" s="36"/>
    </row>
    <row r="1482" spans="1:27">
      <c r="A1482" s="36"/>
      <c r="B1482" s="36"/>
      <c r="C1482" s="36"/>
      <c r="D1482" s="36"/>
      <c r="E1482" s="36"/>
      <c r="F1482" s="36"/>
      <c r="G1482" s="36"/>
      <c r="H1482" s="36"/>
      <c r="I1482" s="36"/>
      <c r="J1482" s="36"/>
      <c r="K1482" s="36"/>
      <c r="L1482" s="40"/>
      <c r="M1482" s="36"/>
      <c r="N1482" s="36"/>
      <c r="O1482" s="36"/>
      <c r="P1482" s="36"/>
      <c r="Q1482" s="36"/>
      <c r="R1482" s="36"/>
      <c r="S1482" s="36"/>
      <c r="T1482" s="36"/>
      <c r="U1482" s="36"/>
      <c r="V1482" s="36"/>
      <c r="W1482" s="36"/>
      <c r="X1482" s="36"/>
      <c r="Y1482" s="36"/>
      <c r="Z1482" s="36"/>
      <c r="AA1482" s="36"/>
    </row>
    <row r="1483" spans="1:27">
      <c r="A1483" s="36"/>
      <c r="B1483" s="36"/>
      <c r="C1483" s="36"/>
      <c r="D1483" s="36"/>
      <c r="E1483" s="36"/>
      <c r="F1483" s="36"/>
      <c r="G1483" s="36"/>
      <c r="H1483" s="36"/>
      <c r="I1483" s="36"/>
      <c r="J1483" s="36"/>
      <c r="K1483" s="36"/>
      <c r="L1483" s="40"/>
      <c r="M1483" s="36"/>
      <c r="N1483" s="36"/>
      <c r="O1483" s="36"/>
      <c r="P1483" s="36"/>
      <c r="Q1483" s="36"/>
      <c r="R1483" s="36"/>
      <c r="S1483" s="36"/>
      <c r="T1483" s="36"/>
      <c r="U1483" s="36"/>
      <c r="V1483" s="36"/>
      <c r="W1483" s="36"/>
      <c r="X1483" s="36"/>
      <c r="Y1483" s="36"/>
      <c r="Z1483" s="36"/>
      <c r="AA1483" s="36"/>
    </row>
    <row r="1484" spans="1:27">
      <c r="A1484" s="36"/>
      <c r="B1484" s="36"/>
      <c r="C1484" s="36"/>
      <c r="D1484" s="36"/>
      <c r="E1484" s="36"/>
      <c r="F1484" s="36"/>
      <c r="G1484" s="36"/>
      <c r="H1484" s="36"/>
      <c r="I1484" s="36"/>
      <c r="J1484" s="36"/>
      <c r="K1484" s="36"/>
      <c r="L1484" s="40"/>
      <c r="M1484" s="36"/>
      <c r="N1484" s="36"/>
      <c r="O1484" s="36"/>
      <c r="P1484" s="36"/>
      <c r="Q1484" s="36"/>
      <c r="R1484" s="36"/>
      <c r="S1484" s="36"/>
      <c r="T1484" s="36"/>
      <c r="U1484" s="36"/>
      <c r="V1484" s="36"/>
      <c r="W1484" s="36"/>
      <c r="X1484" s="36"/>
      <c r="Y1484" s="36"/>
      <c r="Z1484" s="36"/>
      <c r="AA1484" s="36"/>
    </row>
    <row r="1485" spans="1:27">
      <c r="A1485" s="36"/>
      <c r="B1485" s="36"/>
      <c r="C1485" s="36"/>
      <c r="D1485" s="36"/>
      <c r="E1485" s="36"/>
      <c r="F1485" s="36"/>
      <c r="G1485" s="36"/>
      <c r="H1485" s="36"/>
      <c r="I1485" s="36"/>
      <c r="J1485" s="36"/>
      <c r="K1485" s="36"/>
      <c r="L1485" s="40"/>
      <c r="M1485" s="36"/>
      <c r="N1485" s="36"/>
      <c r="O1485" s="36"/>
      <c r="P1485" s="36"/>
      <c r="Q1485" s="36"/>
      <c r="R1485" s="36"/>
      <c r="S1485" s="36"/>
      <c r="T1485" s="36"/>
      <c r="U1485" s="36"/>
      <c r="V1485" s="36"/>
      <c r="W1485" s="36"/>
      <c r="X1485" s="36"/>
      <c r="Y1485" s="36"/>
      <c r="Z1485" s="36"/>
      <c r="AA1485" s="36"/>
    </row>
    <row r="1486" spans="1:27">
      <c r="A1486" s="36"/>
      <c r="B1486" s="36"/>
      <c r="C1486" s="36"/>
      <c r="D1486" s="36"/>
      <c r="E1486" s="36"/>
      <c r="F1486" s="36"/>
      <c r="G1486" s="36"/>
      <c r="H1486" s="36"/>
      <c r="I1486" s="36"/>
      <c r="J1486" s="36"/>
      <c r="K1486" s="36"/>
      <c r="L1486" s="40"/>
      <c r="M1486" s="36"/>
      <c r="N1486" s="36"/>
      <c r="O1486" s="36"/>
      <c r="P1486" s="36"/>
      <c r="Q1486" s="36"/>
      <c r="R1486" s="36"/>
      <c r="S1486" s="36"/>
      <c r="T1486" s="36"/>
      <c r="U1486" s="36"/>
      <c r="V1486" s="36"/>
      <c r="W1486" s="36"/>
      <c r="X1486" s="36"/>
      <c r="Y1486" s="36"/>
      <c r="Z1486" s="36"/>
      <c r="AA1486" s="36"/>
    </row>
    <row r="1487" spans="1:27">
      <c r="A1487" s="36"/>
      <c r="B1487" s="36"/>
      <c r="C1487" s="36"/>
      <c r="D1487" s="36"/>
      <c r="E1487" s="36"/>
      <c r="F1487" s="36"/>
      <c r="G1487" s="36"/>
      <c r="H1487" s="36"/>
      <c r="I1487" s="36"/>
      <c r="J1487" s="36"/>
      <c r="K1487" s="36"/>
      <c r="L1487" s="40"/>
      <c r="M1487" s="36"/>
      <c r="N1487" s="36"/>
      <c r="O1487" s="36"/>
      <c r="P1487" s="36"/>
      <c r="Q1487" s="36"/>
      <c r="R1487" s="36"/>
      <c r="S1487" s="36"/>
      <c r="T1487" s="36"/>
      <c r="U1487" s="36"/>
      <c r="V1487" s="36"/>
      <c r="W1487" s="36"/>
      <c r="X1487" s="36"/>
      <c r="Y1487" s="36"/>
      <c r="Z1487" s="36"/>
      <c r="AA1487" s="36"/>
    </row>
    <row r="1488" spans="1:27">
      <c r="A1488" s="36"/>
      <c r="B1488" s="36"/>
      <c r="C1488" s="36"/>
      <c r="D1488" s="36"/>
      <c r="E1488" s="36"/>
      <c r="F1488" s="36"/>
      <c r="G1488" s="36"/>
      <c r="H1488" s="36"/>
      <c r="I1488" s="36"/>
      <c r="J1488" s="36"/>
      <c r="K1488" s="36"/>
      <c r="L1488" s="40"/>
      <c r="M1488" s="36"/>
      <c r="N1488" s="36"/>
      <c r="O1488" s="36"/>
      <c r="P1488" s="36"/>
      <c r="Q1488" s="36"/>
      <c r="R1488" s="36"/>
      <c r="S1488" s="36"/>
      <c r="T1488" s="36"/>
      <c r="U1488" s="36"/>
      <c r="V1488" s="36"/>
      <c r="W1488" s="36"/>
      <c r="X1488" s="36"/>
      <c r="Y1488" s="36"/>
      <c r="Z1488" s="36"/>
      <c r="AA1488" s="36"/>
    </row>
    <row r="1489" spans="1:27">
      <c r="A1489" s="36"/>
      <c r="B1489" s="36"/>
      <c r="C1489" s="36"/>
      <c r="D1489" s="36"/>
      <c r="E1489" s="36"/>
      <c r="F1489" s="36"/>
      <c r="G1489" s="36"/>
      <c r="H1489" s="36"/>
      <c r="I1489" s="36"/>
      <c r="J1489" s="36"/>
      <c r="K1489" s="36"/>
      <c r="L1489" s="40"/>
      <c r="M1489" s="36"/>
      <c r="N1489" s="36"/>
      <c r="O1489" s="36"/>
      <c r="P1489" s="36"/>
      <c r="Q1489" s="36"/>
      <c r="R1489" s="36"/>
      <c r="S1489" s="36"/>
      <c r="T1489" s="36"/>
      <c r="U1489" s="36"/>
      <c r="V1489" s="36"/>
      <c r="W1489" s="36"/>
      <c r="X1489" s="36"/>
      <c r="Y1489" s="36"/>
      <c r="Z1489" s="36"/>
      <c r="AA1489" s="36"/>
    </row>
    <row r="1490" spans="1:27">
      <c r="A1490" s="36"/>
      <c r="B1490" s="36"/>
      <c r="C1490" s="36"/>
      <c r="D1490" s="36"/>
      <c r="E1490" s="36"/>
      <c r="F1490" s="36"/>
      <c r="G1490" s="36"/>
      <c r="H1490" s="36"/>
      <c r="I1490" s="36"/>
      <c r="J1490" s="36"/>
      <c r="K1490" s="36"/>
      <c r="L1490" s="40"/>
      <c r="M1490" s="36"/>
      <c r="N1490" s="36"/>
      <c r="O1490" s="36"/>
      <c r="P1490" s="36"/>
      <c r="Q1490" s="36"/>
      <c r="R1490" s="36"/>
      <c r="S1490" s="36"/>
      <c r="T1490" s="36"/>
      <c r="U1490" s="36"/>
      <c r="V1490" s="36"/>
      <c r="W1490" s="36"/>
      <c r="X1490" s="36"/>
      <c r="Y1490" s="36"/>
      <c r="Z1490" s="36"/>
      <c r="AA1490" s="36"/>
    </row>
    <row r="1491" spans="1:27">
      <c r="A1491" s="36"/>
      <c r="B1491" s="36"/>
      <c r="C1491" s="36"/>
      <c r="D1491" s="36"/>
      <c r="E1491" s="36"/>
      <c r="F1491" s="36"/>
      <c r="G1491" s="36"/>
      <c r="H1491" s="36"/>
      <c r="I1491" s="36"/>
      <c r="J1491" s="36"/>
      <c r="K1491" s="36"/>
      <c r="L1491" s="40"/>
      <c r="M1491" s="36"/>
      <c r="N1491" s="36"/>
      <c r="O1491" s="36"/>
      <c r="P1491" s="36"/>
      <c r="Q1491" s="36"/>
      <c r="R1491" s="36"/>
      <c r="S1491" s="36"/>
      <c r="T1491" s="36"/>
      <c r="U1491" s="36"/>
      <c r="V1491" s="36"/>
      <c r="W1491" s="36"/>
      <c r="X1491" s="36"/>
      <c r="Y1491" s="36"/>
      <c r="Z1491" s="36"/>
      <c r="AA1491" s="36"/>
    </row>
    <row r="1492" spans="1:27">
      <c r="A1492" s="36"/>
      <c r="B1492" s="36"/>
      <c r="C1492" s="36"/>
      <c r="D1492" s="36"/>
      <c r="E1492" s="36"/>
      <c r="F1492" s="36"/>
      <c r="G1492" s="36"/>
      <c r="H1492" s="36"/>
      <c r="I1492" s="36"/>
      <c r="J1492" s="36"/>
      <c r="K1492" s="36"/>
      <c r="L1492" s="40"/>
      <c r="M1492" s="36"/>
      <c r="N1492" s="36"/>
      <c r="O1492" s="36"/>
      <c r="P1492" s="36"/>
      <c r="Q1492" s="36"/>
      <c r="R1492" s="36"/>
      <c r="S1492" s="36"/>
      <c r="T1492" s="36"/>
      <c r="U1492" s="36"/>
      <c r="V1492" s="36"/>
      <c r="W1492" s="36"/>
      <c r="X1492" s="36"/>
      <c r="Y1492" s="36"/>
      <c r="Z1492" s="36"/>
      <c r="AA1492" s="36"/>
    </row>
    <row r="1493" spans="1:27">
      <c r="A1493" s="36"/>
      <c r="B1493" s="36"/>
      <c r="C1493" s="36"/>
      <c r="D1493" s="36"/>
      <c r="E1493" s="36"/>
      <c r="F1493" s="36"/>
      <c r="G1493" s="36"/>
      <c r="H1493" s="36"/>
      <c r="I1493" s="36"/>
      <c r="J1493" s="36"/>
      <c r="K1493" s="36"/>
      <c r="L1493" s="40"/>
      <c r="M1493" s="36"/>
      <c r="N1493" s="36"/>
      <c r="O1493" s="36"/>
      <c r="P1493" s="36"/>
      <c r="Q1493" s="36"/>
      <c r="R1493" s="36"/>
      <c r="S1493" s="36"/>
      <c r="T1493" s="36"/>
      <c r="U1493" s="36"/>
      <c r="V1493" s="36"/>
      <c r="W1493" s="36"/>
      <c r="X1493" s="36"/>
      <c r="Y1493" s="36"/>
      <c r="Z1493" s="36"/>
      <c r="AA1493" s="36"/>
    </row>
    <row r="1494" spans="1:27">
      <c r="A1494" s="36"/>
      <c r="B1494" s="36"/>
      <c r="C1494" s="36"/>
      <c r="D1494" s="36"/>
      <c r="E1494" s="36"/>
      <c r="F1494" s="36"/>
      <c r="G1494" s="36"/>
      <c r="H1494" s="36"/>
      <c r="I1494" s="36"/>
      <c r="J1494" s="36"/>
      <c r="K1494" s="36"/>
      <c r="L1494" s="40"/>
      <c r="M1494" s="36"/>
      <c r="N1494" s="36"/>
      <c r="O1494" s="36"/>
      <c r="P1494" s="36"/>
      <c r="Q1494" s="36"/>
      <c r="R1494" s="36"/>
      <c r="S1494" s="36"/>
      <c r="T1494" s="36"/>
      <c r="U1494" s="36"/>
      <c r="V1494" s="36"/>
      <c r="W1494" s="36"/>
      <c r="X1494" s="36"/>
      <c r="Y1494" s="36"/>
      <c r="Z1494" s="36"/>
      <c r="AA1494" s="36"/>
    </row>
    <row r="1495" spans="1:27">
      <c r="A1495" s="36"/>
      <c r="B1495" s="36"/>
      <c r="C1495" s="36"/>
      <c r="D1495" s="36"/>
      <c r="E1495" s="36"/>
      <c r="F1495" s="36"/>
      <c r="G1495" s="36"/>
      <c r="H1495" s="36"/>
      <c r="I1495" s="36"/>
      <c r="J1495" s="36"/>
      <c r="K1495" s="36"/>
      <c r="L1495" s="40"/>
      <c r="M1495" s="36"/>
      <c r="N1495" s="36"/>
      <c r="O1495" s="36"/>
      <c r="P1495" s="36"/>
      <c r="Q1495" s="36"/>
      <c r="R1495" s="36"/>
      <c r="S1495" s="36"/>
      <c r="T1495" s="36"/>
      <c r="U1495" s="36"/>
      <c r="V1495" s="36"/>
      <c r="W1495" s="36"/>
      <c r="X1495" s="36"/>
      <c r="Y1495" s="36"/>
      <c r="Z1495" s="36"/>
      <c r="AA1495" s="36"/>
    </row>
    <row r="1496" spans="1:27">
      <c r="A1496" s="36"/>
      <c r="B1496" s="36"/>
      <c r="C1496" s="36"/>
      <c r="D1496" s="36"/>
      <c r="E1496" s="36"/>
      <c r="F1496" s="36"/>
      <c r="G1496" s="36"/>
      <c r="H1496" s="36"/>
      <c r="I1496" s="36"/>
      <c r="J1496" s="36"/>
      <c r="K1496" s="36"/>
      <c r="L1496" s="40"/>
      <c r="M1496" s="36"/>
      <c r="N1496" s="36"/>
      <c r="O1496" s="36"/>
      <c r="P1496" s="36"/>
      <c r="Q1496" s="36"/>
      <c r="R1496" s="36"/>
      <c r="S1496" s="36"/>
      <c r="T1496" s="36"/>
      <c r="U1496" s="36"/>
      <c r="V1496" s="36"/>
      <c r="W1496" s="36"/>
      <c r="X1496" s="36"/>
      <c r="Y1496" s="36"/>
      <c r="Z1496" s="36"/>
      <c r="AA1496" s="36"/>
    </row>
    <row r="1497" spans="1:27">
      <c r="A1497" s="36"/>
      <c r="B1497" s="36"/>
      <c r="C1497" s="36"/>
      <c r="D1497" s="36"/>
      <c r="E1497" s="36"/>
      <c r="F1497" s="36"/>
      <c r="G1497" s="36"/>
      <c r="H1497" s="36"/>
      <c r="I1497" s="36"/>
      <c r="J1497" s="36"/>
      <c r="K1497" s="36"/>
      <c r="L1497" s="40"/>
      <c r="M1497" s="36"/>
      <c r="N1497" s="36"/>
      <c r="O1497" s="36"/>
      <c r="P1497" s="36"/>
      <c r="Q1497" s="36"/>
      <c r="R1497" s="36"/>
      <c r="S1497" s="36"/>
      <c r="T1497" s="36"/>
      <c r="U1497" s="36"/>
      <c r="V1497" s="36"/>
      <c r="W1497" s="36"/>
      <c r="X1497" s="36"/>
      <c r="Y1497" s="36"/>
      <c r="Z1497" s="36"/>
      <c r="AA1497" s="36"/>
    </row>
    <row r="1498" spans="1:27">
      <c r="A1498" s="36"/>
      <c r="B1498" s="36"/>
      <c r="C1498" s="36"/>
      <c r="D1498" s="36"/>
      <c r="E1498" s="36"/>
      <c r="F1498" s="36"/>
      <c r="G1498" s="36"/>
      <c r="H1498" s="36"/>
      <c r="I1498" s="36"/>
      <c r="J1498" s="36"/>
      <c r="K1498" s="36"/>
      <c r="L1498" s="40"/>
      <c r="M1498" s="36"/>
      <c r="N1498" s="36"/>
      <c r="O1498" s="36"/>
      <c r="P1498" s="36"/>
      <c r="Q1498" s="36"/>
      <c r="R1498" s="36"/>
      <c r="S1498" s="36"/>
      <c r="T1498" s="36"/>
      <c r="U1498" s="36"/>
      <c r="V1498" s="36"/>
      <c r="W1498" s="36"/>
      <c r="X1498" s="36"/>
      <c r="Y1498" s="36"/>
      <c r="Z1498" s="36"/>
      <c r="AA1498" s="36"/>
    </row>
    <row r="1499" spans="1:27">
      <c r="A1499" s="36"/>
      <c r="B1499" s="36"/>
      <c r="C1499" s="36"/>
      <c r="D1499" s="36"/>
      <c r="E1499" s="36"/>
      <c r="F1499" s="36"/>
      <c r="G1499" s="36"/>
      <c r="H1499" s="36"/>
      <c r="I1499" s="36"/>
      <c r="J1499" s="36"/>
      <c r="K1499" s="36"/>
      <c r="L1499" s="40"/>
      <c r="M1499" s="36"/>
      <c r="N1499" s="36"/>
      <c r="O1499" s="36"/>
      <c r="P1499" s="36"/>
      <c r="Q1499" s="36"/>
      <c r="R1499" s="36"/>
      <c r="S1499" s="36"/>
      <c r="T1499" s="36"/>
      <c r="U1499" s="36"/>
      <c r="V1499" s="36"/>
      <c r="W1499" s="36"/>
      <c r="X1499" s="36"/>
      <c r="Y1499" s="36"/>
      <c r="Z1499" s="36"/>
      <c r="AA1499" s="36"/>
    </row>
    <row r="1500" spans="1:27">
      <c r="A1500" s="36"/>
      <c r="B1500" s="36"/>
      <c r="C1500" s="36"/>
      <c r="D1500" s="36"/>
      <c r="E1500" s="36"/>
      <c r="F1500" s="36"/>
      <c r="G1500" s="36"/>
      <c r="H1500" s="36"/>
      <c r="I1500" s="36"/>
      <c r="J1500" s="36"/>
      <c r="K1500" s="36"/>
      <c r="L1500" s="40"/>
      <c r="M1500" s="36"/>
      <c r="N1500" s="36"/>
      <c r="O1500" s="36"/>
      <c r="P1500" s="36"/>
      <c r="Q1500" s="36"/>
      <c r="R1500" s="36"/>
      <c r="S1500" s="36"/>
      <c r="T1500" s="36"/>
      <c r="U1500" s="36"/>
      <c r="V1500" s="36"/>
      <c r="W1500" s="36"/>
      <c r="X1500" s="36"/>
      <c r="Y1500" s="36"/>
      <c r="Z1500" s="36"/>
      <c r="AA1500" s="36"/>
    </row>
    <row r="1501" spans="1:27">
      <c r="A1501" s="36"/>
      <c r="B1501" s="36"/>
      <c r="C1501" s="36"/>
      <c r="D1501" s="36"/>
      <c r="E1501" s="36"/>
      <c r="F1501" s="36"/>
      <c r="G1501" s="36"/>
      <c r="H1501" s="36"/>
      <c r="I1501" s="36"/>
      <c r="J1501" s="36"/>
      <c r="K1501" s="36"/>
      <c r="L1501" s="40"/>
      <c r="M1501" s="36"/>
      <c r="N1501" s="36"/>
      <c r="O1501" s="36"/>
      <c r="P1501" s="36"/>
      <c r="Q1501" s="36"/>
      <c r="R1501" s="36"/>
      <c r="S1501" s="36"/>
      <c r="T1501" s="36"/>
      <c r="U1501" s="36"/>
      <c r="V1501" s="36"/>
      <c r="W1501" s="36"/>
      <c r="X1501" s="36"/>
      <c r="Y1501" s="36"/>
      <c r="Z1501" s="36"/>
      <c r="AA1501" s="36"/>
    </row>
    <row r="1502" spans="1:27">
      <c r="A1502" s="36"/>
      <c r="B1502" s="36"/>
      <c r="C1502" s="36"/>
      <c r="D1502" s="36"/>
      <c r="E1502" s="36"/>
      <c r="F1502" s="36"/>
      <c r="G1502" s="36"/>
      <c r="H1502" s="36"/>
      <c r="I1502" s="36"/>
      <c r="J1502" s="36"/>
      <c r="K1502" s="36"/>
      <c r="L1502" s="40"/>
      <c r="M1502" s="36"/>
      <c r="N1502" s="36"/>
      <c r="O1502" s="36"/>
      <c r="P1502" s="36"/>
      <c r="Q1502" s="36"/>
      <c r="R1502" s="36"/>
      <c r="S1502" s="36"/>
      <c r="T1502" s="36"/>
      <c r="U1502" s="36"/>
      <c r="V1502" s="36"/>
      <c r="W1502" s="36"/>
      <c r="X1502" s="36"/>
      <c r="Y1502" s="36"/>
      <c r="Z1502" s="36"/>
      <c r="AA1502" s="36"/>
    </row>
    <row r="1503" spans="1:27">
      <c r="A1503" s="36"/>
      <c r="B1503" s="36"/>
      <c r="C1503" s="36"/>
      <c r="D1503" s="36"/>
      <c r="E1503" s="36"/>
      <c r="F1503" s="36"/>
      <c r="G1503" s="36"/>
      <c r="H1503" s="36"/>
      <c r="I1503" s="36"/>
      <c r="J1503" s="36"/>
      <c r="K1503" s="36"/>
      <c r="L1503" s="40"/>
      <c r="M1503" s="36"/>
      <c r="N1503" s="36"/>
      <c r="O1503" s="36"/>
      <c r="P1503" s="36"/>
      <c r="Q1503" s="36"/>
      <c r="R1503" s="36"/>
      <c r="S1503" s="36"/>
      <c r="T1503" s="36"/>
      <c r="U1503" s="36"/>
      <c r="V1503" s="36"/>
      <c r="W1503" s="36"/>
      <c r="X1503" s="36"/>
      <c r="Y1503" s="36"/>
      <c r="Z1503" s="36"/>
      <c r="AA1503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BA3223"/>
  <sheetViews>
    <sheetView workbookViewId="0"/>
  </sheetViews>
  <sheetFormatPr baseColWidth="10" defaultColWidth="12.6640625" defaultRowHeight="15" customHeight="1"/>
  <cols>
    <col min="1" max="53" width="24.6640625" customWidth="1"/>
  </cols>
  <sheetData>
    <row r="1" spans="1:53" ht="16">
      <c r="A1" s="52" t="s">
        <v>2820</v>
      </c>
      <c r="B1" s="53" t="s">
        <v>2821</v>
      </c>
      <c r="C1" s="42" t="str">
        <f ca="1">IFERROR(__xludf.DUMMYFUNCTION("QUERY(IMPORTRANGE(""1y_3LleCxvzurbj_vKa53p6-h3HGan0CBvsIGq6qCvKU/edit?gid=1277712770#gid=1277712770"",""DATOSANALISIS!C:AM""),""SELECT Col1, Col4, Col5, Col6, Col7, Col8, Col9, Col13, Col14, Col15, Col16, Col18, Col19, Col21, Col29, Col35, Col36, Col37"","&amp;"1)"),"cód ORL")</f>
        <v>cód ORL</v>
      </c>
      <c r="D1" s="29" t="str">
        <f ca="1">IFERROR(__xludf.DUMMYFUNCTION("""COMPUTED_VALUE"""),"TIPO")</f>
        <v>TIPO</v>
      </c>
      <c r="E1" s="29" t="str">
        <f ca="1">IFERROR(__xludf.DUMMYFUNCTION("""COMPUTED_VALUE"""),"Año Estado")</f>
        <v>Año Estado</v>
      </c>
      <c r="F1" s="29" t="str">
        <f ca="1">IFERROR(__xludf.DUMMYFUNCTION("""COMPUTED_VALUE"""),"Mes Estado")</f>
        <v>Mes Estado</v>
      </c>
      <c r="G1" s="4" t="str">
        <f ca="1">IFERROR(__xludf.DUMMYFUNCTION("""COMPUTED_VALUE"""),"SUCURSAL")</f>
        <v>SUCURSAL</v>
      </c>
      <c r="H1" s="4" t="str">
        <f ca="1">IFERROR(__xludf.DUMMYFUNCTION("""COMPUTED_VALUE"""),"COD CLIENTE")</f>
        <v>COD CLIENTE</v>
      </c>
      <c r="I1" s="4" t="str">
        <f ca="1">IFERROR(__xludf.DUMMYFUNCTION("""COMPUTED_VALUE"""),"NOMBRE CLIENTE")</f>
        <v>NOMBRE CLIENTE</v>
      </c>
      <c r="J1" s="4" t="str">
        <f ca="1">IFERROR(__xludf.DUMMYFUNCTION("""COMPUTED_VALUE"""),"FECHA INICIO OPORTUNIDAD")</f>
        <v>FECHA INICIO OPORTUNIDAD</v>
      </c>
      <c r="K1" s="4" t="str">
        <f ca="1">IFERROR(__xludf.DUMMYFUNCTION("""COMPUTED_VALUE"""),"ESTADO OPORTUNIDAD")</f>
        <v>ESTADO OPORTUNIDAD</v>
      </c>
      <c r="L1" s="4" t="str">
        <f ca="1">IFERROR(__xludf.DUMMYFUNCTION("""COMPUTED_VALUE"""),"FECHA ESTADO OPORTUNIDAD")</f>
        <v>FECHA ESTADO OPORTUNIDAD</v>
      </c>
      <c r="M1" s="4" t="str">
        <f ca="1">IFERROR(__xludf.DUMMYFUNCTION("""COMPUTED_VALUE"""),"RECOMPRA")</f>
        <v>RECOMPRA</v>
      </c>
      <c r="N1" s="4" t="str">
        <f ca="1">IFERROR(__xludf.DUMMYFUNCTION("""COMPUTED_VALUE"""),"NUM AUDIFONOS")</f>
        <v>NUM AUDIFONOS</v>
      </c>
      <c r="O1" s="4" t="str">
        <f ca="1">IFERROR(__xludf.DUMMYFUNCTION("""COMPUTED_VALUE"""),"MODELO (AUDIF 1)")</f>
        <v>MODELO (AUDIF 1)</v>
      </c>
      <c r="P1" s="4" t="str">
        <f ca="1">IFERROR(__xludf.DUMMYFUNCTION("""COMPUTED_VALUE"""),"IMPORTE SIN IVA")</f>
        <v>IMPORTE SIN IVA</v>
      </c>
      <c r="Q1" s="4" t="str">
        <f ca="1">IFERROR(__xludf.DUMMYFUNCTION("""COMPUTED_VALUE"""),"VISITADOR")</f>
        <v>VISITADOR</v>
      </c>
      <c r="R1" s="4" t="str">
        <f ca="1">IFERROR(__xludf.DUMMYFUNCTION("""COMPUTED_VALUE"""),"NOMBRE ORL/CAMPAÑA")</f>
        <v>NOMBRE ORL/CAMPAÑA</v>
      </c>
      <c r="S1" s="4" t="str">
        <f ca="1">IFERROR(__xludf.DUMMYFUNCTION("""COMPUTED_VALUE"""),"CANAL")</f>
        <v>CANAL</v>
      </c>
      <c r="T1" s="4" t="str">
        <f ca="1">IFERROR(__xludf.DUMMYFUNCTION("""COMPUTED_VALUE"""),"SUBCANAL")</f>
        <v>SUBCANAL</v>
      </c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29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</row>
    <row r="2" spans="1:53" ht="16">
      <c r="A2" s="54">
        <v>46119</v>
      </c>
      <c r="B2" s="55" t="str">
        <f t="shared" ref="B2:B256" ca="1" si="0">IF($C2="","",LEFT(C2,3))</f>
        <v>RFV</v>
      </c>
      <c r="C2" s="2" t="str">
        <f ca="1">IFERROR(__xludf.DUMMYFUNCTION("""COMPUTED_VALUE"""),"RFV29")</f>
        <v>RFV29</v>
      </c>
      <c r="D2" s="1" t="str">
        <f ca="1">IFERROR(__xludf.DUMMYFUNCTION("""COMPUTED_VALUE"""),"PROPIOS")</f>
        <v>PROPIOS</v>
      </c>
      <c r="E2" s="1">
        <f ca="1">IFERROR(__xludf.DUMMYFUNCTION("""COMPUTED_VALUE"""),2026)</f>
        <v>2026</v>
      </c>
      <c r="F2" s="56">
        <f ca="1">IFERROR(__xludf.DUMMYFUNCTION("""COMPUTED_VALUE"""),1)</f>
        <v>1</v>
      </c>
      <c r="G2" s="33" t="str">
        <f ca="1">IFERROR(__xludf.DUMMYFUNCTION("""COMPUTED_VALUE"""),"Valencia- Parra")</f>
        <v>Valencia- Parra</v>
      </c>
      <c r="H2" s="33" t="str">
        <f ca="1">IFERROR(__xludf.DUMMYFUNCTION("""COMPUTED_VALUE"""),"C202511592157270489")</f>
        <v>C202511592157270489</v>
      </c>
      <c r="I2" s="33" t="str">
        <f ca="1">IFERROR(__xludf.DUMMYFUNCTION("""COMPUTED_VALUE"""),"HEINZ WIEST")</f>
        <v>HEINZ WIEST</v>
      </c>
      <c r="J2" s="57">
        <f ca="1">IFERROR(__xludf.DUMMYFUNCTION("""COMPUTED_VALUE"""),45966)</f>
        <v>45966</v>
      </c>
      <c r="K2" s="33" t="str">
        <f ca="1">IFERROR(__xludf.DUMMYFUNCTION("""COMPUTED_VALUE"""),"Factura audífonos")</f>
        <v>Factura audífonos</v>
      </c>
      <c r="L2" s="57">
        <f ca="1">IFERROR(__xludf.DUMMYFUNCTION("""COMPUTED_VALUE"""),46024)</f>
        <v>46024</v>
      </c>
      <c r="M2" s="58" t="str">
        <f ca="1">IFERROR(__xludf.DUMMYFUNCTION("""COMPUTED_VALUE"""),"NO")</f>
        <v>NO</v>
      </c>
      <c r="N2" s="56">
        <f ca="1">IFERROR(__xludf.DUMMYFUNCTION("""COMPUTED_VALUE"""),2)</f>
        <v>2</v>
      </c>
      <c r="O2" s="58" t="str">
        <f ca="1">IFERROR(__xludf.DUMMYFUNCTION("""COMPUTED_VALUE"""),"PRO")</f>
        <v>PRO</v>
      </c>
      <c r="P2" s="59">
        <f ca="1">IFERROR(__xludf.DUMMYFUNCTION("""COMPUTED_VALUE"""),4536.36)</f>
        <v>4536.3599999999997</v>
      </c>
      <c r="Q2" s="33" t="str">
        <f ca="1">IFERROR(__xludf.DUMMYFUNCTION("""COMPUTED_VALUE"""),"Ramon Ferrando")</f>
        <v>Ramon Ferrando</v>
      </c>
      <c r="R2" s="60" t="str">
        <f ca="1">IFERROR(__xludf.DUMMYFUNCTION("""COMPUTED_VALUE"""),"Fe Rubio Escolano")</f>
        <v>Fe Rubio Escolano</v>
      </c>
      <c r="S2" s="61" t="str">
        <f ca="1">IFERROR(__xludf.DUMMYFUNCTION("""COMPUTED_VALUE"""),"03 ORL")</f>
        <v>03 ORL</v>
      </c>
      <c r="T2" s="33" t="str">
        <f ca="1">IFERROR(__xludf.DUMMYFUNCTION("""COMPUTED_VALUE"""),"06 ORL")</f>
        <v>06 ORL</v>
      </c>
      <c r="U2" s="62"/>
      <c r="W2" s="62"/>
      <c r="X2" s="62"/>
    </row>
    <row r="3" spans="1:53" ht="16">
      <c r="A3" s="1"/>
      <c r="B3" s="55" t="str">
        <f t="shared" ca="1" si="0"/>
        <v>LRM</v>
      </c>
      <c r="C3" s="63" t="str">
        <f ca="1">IFERROR(__xludf.DUMMYFUNCTION("""COMPUTED_VALUE"""),"LRM240")</f>
        <v>LRM240</v>
      </c>
      <c r="D3" s="33" t="str">
        <f ca="1">IFERROR(__xludf.DUMMYFUNCTION("""COMPUTED_VALUE"""),"ASOCIADOS")</f>
        <v>ASOCIADOS</v>
      </c>
      <c r="E3" s="33">
        <f ca="1">IFERROR(__xludf.DUMMYFUNCTION("""COMPUTED_VALUE"""),2026)</f>
        <v>2026</v>
      </c>
      <c r="F3" s="56">
        <f ca="1">IFERROR(__xludf.DUMMYFUNCTION("""COMPUTED_VALUE"""),1)</f>
        <v>1</v>
      </c>
      <c r="G3" s="33" t="str">
        <f ca="1">IFERROR(__xludf.DUMMYFUNCTION("""COMPUTED_VALUE"""),"Cáceres")</f>
        <v>Cáceres</v>
      </c>
      <c r="H3" s="33" t="str">
        <f ca="1">IFERROR(__xludf.DUMMYFUNCTION("""COMPUTED_VALUE"""),"C202512110551976531")</f>
        <v>C202512110551976531</v>
      </c>
      <c r="I3" s="33" t="str">
        <f ca="1">IFERROR(__xludf.DUMMYFUNCTION("""COMPUTED_VALUE"""),"JUAN MANUEL CORCHERO HIGUERO")</f>
        <v>JUAN MANUEL CORCHERO HIGUERO</v>
      </c>
      <c r="J3" s="57">
        <f ca="1">IFERROR(__xludf.DUMMYFUNCTION("""COMPUTED_VALUE"""),45992)</f>
        <v>45992</v>
      </c>
      <c r="K3" s="33" t="str">
        <f ca="1">IFERROR(__xludf.DUMMYFUNCTION("""COMPUTED_VALUE"""),"Factura audífonos")</f>
        <v>Factura audífonos</v>
      </c>
      <c r="L3" s="57">
        <f ca="1">IFERROR(__xludf.DUMMYFUNCTION("""COMPUTED_VALUE"""),46024)</f>
        <v>46024</v>
      </c>
      <c r="M3" s="58" t="str">
        <f ca="1">IFERROR(__xludf.DUMMYFUNCTION("""COMPUTED_VALUE"""),"NO")</f>
        <v>NO</v>
      </c>
      <c r="N3" s="56">
        <f ca="1">IFERROR(__xludf.DUMMYFUNCTION("""COMPUTED_VALUE"""),2)</f>
        <v>2</v>
      </c>
      <c r="O3" s="64" t="str">
        <f ca="1">IFERROR(__xludf.DUMMYFUNCTION("""COMPUTED_VALUE"""),"QUIET")</f>
        <v>QUIET</v>
      </c>
      <c r="P3" s="59">
        <f ca="1">IFERROR(__xludf.DUMMYFUNCTION("""COMPUTED_VALUE"""),3636.36)</f>
        <v>3636.36</v>
      </c>
      <c r="Q3" s="33" t="str">
        <f ca="1">IFERROR(__xludf.DUMMYFUNCTION("""COMPUTED_VALUE"""),"Lisandro Russian")</f>
        <v>Lisandro Russian</v>
      </c>
      <c r="R3" s="60" t="str">
        <f ca="1">IFERROR(__xludf.DUMMYFUNCTION("""COMPUTED_VALUE"""),"Andrés Paulino Herrera")</f>
        <v>Andrés Paulino Herrera</v>
      </c>
      <c r="S3" s="61" t="str">
        <f ca="1">IFERROR(__xludf.DUMMYFUNCTION("""COMPUTED_VALUE"""),"03 ORL")</f>
        <v>03 ORL</v>
      </c>
      <c r="T3" s="33" t="str">
        <f ca="1">IFERROR(__xludf.DUMMYFUNCTION("""COMPUTED_VALUE"""),"06 ORL")</f>
        <v>06 ORL</v>
      </c>
      <c r="U3" s="62"/>
      <c r="W3" s="62"/>
      <c r="X3" s="62"/>
    </row>
    <row r="4" spans="1:53" ht="16">
      <c r="A4" s="33"/>
      <c r="B4" s="55" t="str">
        <f t="shared" ca="1" si="0"/>
        <v>PSC</v>
      </c>
      <c r="C4" s="64" t="str">
        <f ca="1">IFERROR(__xludf.DUMMYFUNCTION("""COMPUTED_VALUE"""),"PSC06")</f>
        <v>PSC06</v>
      </c>
      <c r="D4" s="33" t="str">
        <f ca="1">IFERROR(__xludf.DUMMYFUNCTION("""COMPUTED_VALUE"""),"ASOCIADOS")</f>
        <v>ASOCIADOS</v>
      </c>
      <c r="E4" s="33">
        <f ca="1">IFERROR(__xludf.DUMMYFUNCTION("""COMPUTED_VALUE"""),2026)</f>
        <v>2026</v>
      </c>
      <c r="F4" s="56">
        <f ca="1">IFERROR(__xludf.DUMMYFUNCTION("""COMPUTED_VALUE"""),1)</f>
        <v>1</v>
      </c>
      <c r="G4" s="33" t="str">
        <f ca="1">IFERROR(__xludf.DUMMYFUNCTION("""COMPUTED_VALUE"""),"Valladolid")</f>
        <v>Valladolid</v>
      </c>
      <c r="H4" s="33" t="str">
        <f ca="1">IFERROR(__xludf.DUMMYFUNCTION("""COMPUTED_VALUE"""),"VLL-474")</f>
        <v>VLL-474</v>
      </c>
      <c r="I4" s="33" t="str">
        <f ca="1">IFERROR(__xludf.DUMMYFUNCTION("""COMPUTED_VALUE"""),"GAUDENCIO GARCIA REGUERO")</f>
        <v>GAUDENCIO GARCIA REGUERO</v>
      </c>
      <c r="J4" s="57">
        <f ca="1">IFERROR(__xludf.DUMMYFUNCTION("""COMPUTED_VALUE"""),45964)</f>
        <v>45964</v>
      </c>
      <c r="K4" s="33" t="str">
        <f ca="1">IFERROR(__xludf.DUMMYFUNCTION("""COMPUTED_VALUE"""),"Factura audífonos")</f>
        <v>Factura audífonos</v>
      </c>
      <c r="L4" s="57">
        <f ca="1">IFERROR(__xludf.DUMMYFUNCTION("""COMPUTED_VALUE"""),46027)</f>
        <v>46027</v>
      </c>
      <c r="M4" s="58" t="str">
        <f ca="1">IFERROR(__xludf.DUMMYFUNCTION("""COMPUTED_VALUE"""),"NO")</f>
        <v>NO</v>
      </c>
      <c r="N4" s="56">
        <f ca="1">IFERROR(__xludf.DUMMYFUNCTION("""COMPUTED_VALUE"""),2)</f>
        <v>2</v>
      </c>
      <c r="O4" s="58" t="str">
        <f ca="1">IFERROR(__xludf.DUMMYFUNCTION("""COMPUTED_VALUE"""),"CONFORT")</f>
        <v>CONFORT</v>
      </c>
      <c r="P4" s="60">
        <f ca="1">IFERROR(__xludf.DUMMYFUNCTION("""COMPUTED_VALUE"""),3522.73)</f>
        <v>3522.73</v>
      </c>
      <c r="Q4" s="33" t="str">
        <f ca="1">IFERROR(__xludf.DUMMYFUNCTION("""COMPUTED_VALUE"""),"Alberto Moreno")</f>
        <v>Alberto Moreno</v>
      </c>
      <c r="R4" s="60" t="str">
        <f ca="1">IFERROR(__xludf.DUMMYFUNCTION("""COMPUTED_VALUE"""),"Carlos Miguel Salvador Martínez")</f>
        <v>Carlos Miguel Salvador Martínez</v>
      </c>
      <c r="S4" s="61" t="str">
        <f ca="1">IFERROR(__xludf.DUMMYFUNCTION("""COMPUTED_VALUE"""),"03 ORL")</f>
        <v>03 ORL</v>
      </c>
      <c r="T4" s="33" t="str">
        <f ca="1">IFERROR(__xludf.DUMMYFUNCTION("""COMPUTED_VALUE"""),"06 ORL")</f>
        <v>06 ORL</v>
      </c>
      <c r="U4" s="62"/>
      <c r="W4" s="62"/>
      <c r="X4" s="62"/>
      <c r="AE4" s="1"/>
    </row>
    <row r="5" spans="1:53" ht="16">
      <c r="A5" s="33"/>
      <c r="B5" s="55" t="str">
        <f t="shared" ca="1" si="0"/>
        <v>MBM</v>
      </c>
      <c r="C5" s="64" t="str">
        <f ca="1">IFERROR(__xludf.DUMMYFUNCTION("""COMPUTED_VALUE"""),"MBM156")</f>
        <v>MBM156</v>
      </c>
      <c r="D5" s="33" t="str">
        <f ca="1">IFERROR(__xludf.DUMMYFUNCTION("""COMPUTED_VALUE"""),"PROPIOS")</f>
        <v>PROPIOS</v>
      </c>
      <c r="E5" s="33">
        <f ca="1">IFERROR(__xludf.DUMMYFUNCTION("""COMPUTED_VALUE"""),2026)</f>
        <v>2026</v>
      </c>
      <c r="F5" s="65">
        <f ca="1">IFERROR(__xludf.DUMMYFUNCTION("""COMPUTED_VALUE"""),1)</f>
        <v>1</v>
      </c>
      <c r="G5" s="33" t="str">
        <f ca="1">IFERROR(__xludf.DUMMYFUNCTION("""COMPUTED_VALUE"""),"Getafe")</f>
        <v>Getafe</v>
      </c>
      <c r="H5" s="33" t="str">
        <f ca="1">IFERROR(__xludf.DUMMYFUNCTION("""COMPUTED_VALUE"""),"C202511141135536493")</f>
        <v>C202511141135536493</v>
      </c>
      <c r="I5" s="33" t="str">
        <f ca="1">IFERROR(__xludf.DUMMYFUNCTION("""COMPUTED_VALUE"""),"ANTONIO CALVETE OLIVA")</f>
        <v>ANTONIO CALVETE OLIVA</v>
      </c>
      <c r="J5" s="57">
        <f ca="1">IFERROR(__xludf.DUMMYFUNCTION("""COMPUTED_VALUE"""),45975)</f>
        <v>45975</v>
      </c>
      <c r="K5" s="33" t="str">
        <f ca="1">IFERROR(__xludf.DUMMYFUNCTION("""COMPUTED_VALUE"""),"Factura audífonos")</f>
        <v>Factura audífonos</v>
      </c>
      <c r="L5" s="57">
        <f ca="1">IFERROR(__xludf.DUMMYFUNCTION("""COMPUTED_VALUE"""),46027)</f>
        <v>46027</v>
      </c>
      <c r="M5" s="58" t="str">
        <f ca="1">IFERROR(__xludf.DUMMYFUNCTION("""COMPUTED_VALUE"""),"NO")</f>
        <v>NO</v>
      </c>
      <c r="N5" s="56">
        <f ca="1">IFERROR(__xludf.DUMMYFUNCTION("""COMPUTED_VALUE"""),1)</f>
        <v>1</v>
      </c>
      <c r="O5" s="64" t="str">
        <f ca="1">IFERROR(__xludf.DUMMYFUNCTION("""COMPUTED_VALUE"""),"CONFORT")</f>
        <v>CONFORT</v>
      </c>
      <c r="P5" s="60">
        <f ca="1">IFERROR(__xludf.DUMMYFUNCTION("""COMPUTED_VALUE"""),2180.91)</f>
        <v>2180.91</v>
      </c>
      <c r="Q5" s="33" t="str">
        <f ca="1">IFERROR(__xludf.DUMMYFUNCTION("""COMPUTED_VALUE"""),"Maika Blázquez")</f>
        <v>Maika Blázquez</v>
      </c>
      <c r="R5" s="60" t="str">
        <f ca="1">IFERROR(__xludf.DUMMYFUNCTION("""COMPUTED_VALUE"""),"Marta Colmenero Ruiz")</f>
        <v>Marta Colmenero Ruiz</v>
      </c>
      <c r="S5" s="61" t="str">
        <f ca="1">IFERROR(__xludf.DUMMYFUNCTION("""COMPUTED_VALUE"""),"03 ORL")</f>
        <v>03 ORL</v>
      </c>
      <c r="T5" s="33" t="str">
        <f ca="1">IFERROR(__xludf.DUMMYFUNCTION("""COMPUTED_VALUE"""),"06 ORL")</f>
        <v>06 ORL</v>
      </c>
      <c r="U5" s="62"/>
      <c r="W5" s="62"/>
      <c r="X5" s="62"/>
      <c r="AE5" s="1"/>
    </row>
    <row r="6" spans="1:53" ht="16">
      <c r="A6" s="33"/>
      <c r="B6" s="55" t="str">
        <f t="shared" ca="1" si="0"/>
        <v>MBM</v>
      </c>
      <c r="C6" s="64" t="str">
        <f ca="1">IFERROR(__xludf.DUMMYFUNCTION("""COMPUTED_VALUE"""),"MBM07")</f>
        <v>MBM07</v>
      </c>
      <c r="D6" s="1" t="str">
        <f ca="1">IFERROR(__xludf.DUMMYFUNCTION("""COMPUTED_VALUE"""),"PARTICIPADOS")</f>
        <v>PARTICIPADOS</v>
      </c>
      <c r="E6" s="1">
        <f ca="1">IFERROR(__xludf.DUMMYFUNCTION("""COMPUTED_VALUE"""),2026)</f>
        <v>2026</v>
      </c>
      <c r="F6" s="56">
        <f ca="1">IFERROR(__xludf.DUMMYFUNCTION("""COMPUTED_VALUE"""),1)</f>
        <v>1</v>
      </c>
      <c r="G6" s="33" t="str">
        <f ca="1">IFERROR(__xludf.DUMMYFUNCTION("""COMPUTED_VALUE"""),"Madrid- La Oca")</f>
        <v>Madrid- La Oca</v>
      </c>
      <c r="H6" s="33" t="str">
        <f ca="1">IFERROR(__xludf.DUMMYFUNCTION("""COMPUTED_VALUE"""),"C202511171016459133")</f>
        <v>C202511171016459133</v>
      </c>
      <c r="I6" s="33" t="str">
        <f ca="1">IFERROR(__xludf.DUMMYFUNCTION("""COMPUTED_VALUE"""),"AMELIA DIAZ VAZQUEZ")</f>
        <v>AMELIA DIAZ VAZQUEZ</v>
      </c>
      <c r="J6" s="57">
        <f ca="1">IFERROR(__xludf.DUMMYFUNCTION("""COMPUTED_VALUE"""),45978)</f>
        <v>45978</v>
      </c>
      <c r="K6" s="33" t="str">
        <f ca="1">IFERROR(__xludf.DUMMYFUNCTION("""COMPUTED_VALUE"""),"Factura audífonos")</f>
        <v>Factura audífonos</v>
      </c>
      <c r="L6" s="57">
        <f ca="1">IFERROR(__xludf.DUMMYFUNCTION("""COMPUTED_VALUE"""),46029)</f>
        <v>46029</v>
      </c>
      <c r="M6" s="58" t="str">
        <f ca="1">IFERROR(__xludf.DUMMYFUNCTION("""COMPUTED_VALUE"""),"NO")</f>
        <v>NO</v>
      </c>
      <c r="N6" s="56">
        <f ca="1">IFERROR(__xludf.DUMMYFUNCTION("""COMPUTED_VALUE"""),2)</f>
        <v>2</v>
      </c>
      <c r="O6" s="58" t="str">
        <f ca="1">IFERROR(__xludf.DUMMYFUNCTION("""COMPUTED_VALUE"""),"QUIET")</f>
        <v>QUIET</v>
      </c>
      <c r="P6" s="59">
        <f ca="1">IFERROR(__xludf.DUMMYFUNCTION("""COMPUTED_VALUE"""),2718.18)</f>
        <v>2718.18</v>
      </c>
      <c r="Q6" s="33" t="str">
        <f ca="1">IFERROR(__xludf.DUMMYFUNCTION("""COMPUTED_VALUE"""),"Maika Blázquez")</f>
        <v>Maika Blázquez</v>
      </c>
      <c r="R6" s="60" t="str">
        <f ca="1">IFERROR(__xludf.DUMMYFUNCTION("""COMPUTED_VALUE"""),"Andreas Schilling Borghesi")</f>
        <v>Andreas Schilling Borghesi</v>
      </c>
      <c r="S6" s="61" t="str">
        <f ca="1">IFERROR(__xludf.DUMMYFUNCTION("""COMPUTED_VALUE"""),"03 ORL")</f>
        <v>03 ORL</v>
      </c>
      <c r="T6" s="33" t="str">
        <f ca="1">IFERROR(__xludf.DUMMYFUNCTION("""COMPUTED_VALUE"""),"06 ORL")</f>
        <v>06 ORL</v>
      </c>
      <c r="U6" s="62"/>
      <c r="W6" s="62"/>
      <c r="X6" s="62"/>
    </row>
    <row r="7" spans="1:53" ht="16">
      <c r="A7" s="33"/>
      <c r="B7" s="55" t="str">
        <f t="shared" ca="1" si="0"/>
        <v>MBM</v>
      </c>
      <c r="C7" s="63" t="str">
        <f ca="1">IFERROR(__xludf.DUMMYFUNCTION("""COMPUTED_VALUE"""),"MBM52")</f>
        <v>MBM52</v>
      </c>
      <c r="D7" s="1" t="str">
        <f ca="1">IFERROR(__xludf.DUMMYFUNCTION("""COMPUTED_VALUE"""),"PARTICIPADOS")</f>
        <v>PARTICIPADOS</v>
      </c>
      <c r="E7" s="1">
        <f ca="1">IFERROR(__xludf.DUMMYFUNCTION("""COMPUTED_VALUE"""),2026)</f>
        <v>2026</v>
      </c>
      <c r="F7" s="56">
        <f ca="1">IFERROR(__xludf.DUMMYFUNCTION("""COMPUTED_VALUE"""),1)</f>
        <v>1</v>
      </c>
      <c r="G7" s="33" t="str">
        <f ca="1">IFERROR(__xludf.DUMMYFUNCTION("""COMPUTED_VALUE"""),"Madrid- La Oca")</f>
        <v>Madrid- La Oca</v>
      </c>
      <c r="H7" s="33" t="str">
        <f ca="1">IFERROR(__xludf.DUMMYFUNCTION("""COMPUTED_VALUE"""),"C202512911304031492")</f>
        <v>C202512911304031492</v>
      </c>
      <c r="I7" s="33" t="str">
        <f ca="1">IFERROR(__xludf.DUMMYFUNCTION("""COMPUTED_VALUE"""),"REMEDIOS  VECINO PRIETO")</f>
        <v>REMEDIOS  VECINO PRIETO</v>
      </c>
      <c r="J7" s="57">
        <f ca="1">IFERROR(__xludf.DUMMYFUNCTION("""COMPUTED_VALUE"""),46000)</f>
        <v>46000</v>
      </c>
      <c r="K7" s="33" t="str">
        <f ca="1">IFERROR(__xludf.DUMMYFUNCTION("""COMPUTED_VALUE"""),"Factura audífonos")</f>
        <v>Factura audífonos</v>
      </c>
      <c r="L7" s="57">
        <f ca="1">IFERROR(__xludf.DUMMYFUNCTION("""COMPUTED_VALUE"""),46030)</f>
        <v>46030</v>
      </c>
      <c r="M7" s="58" t="str">
        <f ca="1">IFERROR(__xludf.DUMMYFUNCTION("""COMPUTED_VALUE"""),"NO")</f>
        <v>NO</v>
      </c>
      <c r="N7" s="56">
        <f ca="1">IFERROR(__xludf.DUMMYFUNCTION("""COMPUTED_VALUE"""),2)</f>
        <v>2</v>
      </c>
      <c r="O7" s="58" t="str">
        <f ca="1">IFERROR(__xludf.DUMMYFUNCTION("""COMPUTED_VALUE"""),"QUIET")</f>
        <v>QUIET</v>
      </c>
      <c r="P7" s="60">
        <f ca="1">IFERROR(__xludf.DUMMYFUNCTION("""COMPUTED_VALUE"""),2718.18)</f>
        <v>2718.18</v>
      </c>
      <c r="Q7" s="33" t="str">
        <f ca="1">IFERROR(__xludf.DUMMYFUNCTION("""COMPUTED_VALUE"""),"Maika Blázquez")</f>
        <v>Maika Blázquez</v>
      </c>
      <c r="R7" s="60" t="str">
        <f ca="1">IFERROR(__xludf.DUMMYFUNCTION("""COMPUTED_VALUE"""),"José Joaquín Gutiérrez Barquín")</f>
        <v>José Joaquín Gutiérrez Barquín</v>
      </c>
      <c r="S7" s="61" t="str">
        <f ca="1">IFERROR(__xludf.DUMMYFUNCTION("""COMPUTED_VALUE"""),"03 ORL")</f>
        <v>03 ORL</v>
      </c>
      <c r="T7" s="33" t="str">
        <f ca="1">IFERROR(__xludf.DUMMYFUNCTION("""COMPUTED_VALUE"""),"06 ORL")</f>
        <v>06 ORL</v>
      </c>
      <c r="U7" s="62"/>
      <c r="W7" s="62"/>
      <c r="X7" s="62"/>
    </row>
    <row r="8" spans="1:53" ht="16">
      <c r="A8" s="33"/>
      <c r="B8" s="55" t="str">
        <f t="shared" si="0"/>
        <v/>
      </c>
      <c r="C8" s="64"/>
      <c r="D8" s="33" t="str">
        <f ca="1">IFERROR(__xludf.DUMMYFUNCTION("""COMPUTED_VALUE"""),"ASOCIADOS")</f>
        <v>ASOCIADOS</v>
      </c>
      <c r="E8" s="33">
        <f ca="1">IFERROR(__xludf.DUMMYFUNCTION("""COMPUTED_VALUE"""),2026)</f>
        <v>2026</v>
      </c>
      <c r="F8" s="56">
        <f ca="1">IFERROR(__xludf.DUMMYFUNCTION("""COMPUTED_VALUE"""),1)</f>
        <v>1</v>
      </c>
      <c r="G8" s="33" t="str">
        <f ca="1">IFERROR(__xludf.DUMMYFUNCTION("""COMPUTED_VALUE"""),"Sevilla- Ciencias")</f>
        <v>Sevilla- Ciencias</v>
      </c>
      <c r="H8" s="33" t="str">
        <f ca="1">IFERROR(__xludf.DUMMYFUNCTION("""COMPUTED_VALUE"""),"C202511201556282288")</f>
        <v>C202511201556282288</v>
      </c>
      <c r="I8" s="33" t="str">
        <f ca="1">IFERROR(__xludf.DUMMYFUNCTION("""COMPUTED_VALUE"""),"CONCEPCION  ORTIZ SANTIAGO")</f>
        <v>CONCEPCION  ORTIZ SANTIAGO</v>
      </c>
      <c r="J8" s="66">
        <f ca="1">IFERROR(__xludf.DUMMYFUNCTION("""COMPUTED_VALUE"""),45981)</f>
        <v>45981</v>
      </c>
      <c r="K8" s="33" t="str">
        <f ca="1">IFERROR(__xludf.DUMMYFUNCTION("""COMPUTED_VALUE"""),"Factura audífonos")</f>
        <v>Factura audífonos</v>
      </c>
      <c r="L8" s="57">
        <f ca="1">IFERROR(__xludf.DUMMYFUNCTION("""COMPUTED_VALUE"""),46030)</f>
        <v>46030</v>
      </c>
      <c r="M8" s="58" t="str">
        <f ca="1">IFERROR(__xludf.DUMMYFUNCTION("""COMPUTED_VALUE"""),"NO")</f>
        <v>NO</v>
      </c>
      <c r="N8" s="56">
        <f ca="1">IFERROR(__xludf.DUMMYFUNCTION("""COMPUTED_VALUE"""),2)</f>
        <v>2</v>
      </c>
      <c r="O8" s="58" t="str">
        <f ca="1">IFERROR(__xludf.DUMMYFUNCTION("""COMPUTED_VALUE"""),"ADVANCED")</f>
        <v>ADVANCED</v>
      </c>
      <c r="P8" s="59">
        <f ca="1">IFERROR(__xludf.DUMMYFUNCTION("""COMPUTED_VALUE"""),4120)</f>
        <v>4120</v>
      </c>
      <c r="Q8" s="33" t="str">
        <f ca="1">IFERROR(__xludf.DUMMYFUNCTION("""COMPUTED_VALUE"""),"Luis Alberto Rodríguez")</f>
        <v>Luis Alberto Rodríguez</v>
      </c>
      <c r="R8" s="60" t="str">
        <f ca="1">IFERROR(__xludf.DUMMYFUNCTION("""COMPUTED_VALUE"""),"No recuerda ORL")</f>
        <v>No recuerda ORL</v>
      </c>
      <c r="S8" s="61" t="str">
        <f ca="1">IFERROR(__xludf.DUMMYFUNCTION("""COMPUTED_VALUE"""),"03 ORL")</f>
        <v>03 ORL</v>
      </c>
      <c r="T8" s="33" t="str">
        <f ca="1">IFERROR(__xludf.DUMMYFUNCTION("""COMPUTED_VALUE"""),"06 ORL")</f>
        <v>06 ORL</v>
      </c>
      <c r="U8" s="62"/>
      <c r="W8" s="62"/>
      <c r="X8" s="62"/>
    </row>
    <row r="9" spans="1:53" ht="16">
      <c r="A9" s="33"/>
      <c r="B9" s="55" t="str">
        <f t="shared" ca="1" si="0"/>
        <v>MBM</v>
      </c>
      <c r="C9" s="64" t="str">
        <f ca="1">IFERROR(__xludf.DUMMYFUNCTION("""COMPUTED_VALUE"""),"MBM156")</f>
        <v>MBM156</v>
      </c>
      <c r="D9" s="33" t="str">
        <f ca="1">IFERROR(__xludf.DUMMYFUNCTION("""COMPUTED_VALUE"""),"PROPIOS")</f>
        <v>PROPIOS</v>
      </c>
      <c r="E9" s="33">
        <f ca="1">IFERROR(__xludf.DUMMYFUNCTION("""COMPUTED_VALUE"""),2026)</f>
        <v>2026</v>
      </c>
      <c r="F9" s="56">
        <f ca="1">IFERROR(__xludf.DUMMYFUNCTION("""COMPUTED_VALUE"""),1)</f>
        <v>1</v>
      </c>
      <c r="G9" s="33" t="str">
        <f ca="1">IFERROR(__xludf.DUMMYFUNCTION("""COMPUTED_VALUE"""),"Getafe")</f>
        <v>Getafe</v>
      </c>
      <c r="H9" s="33" t="str">
        <f ca="1">IFERROR(__xludf.DUMMYFUNCTION("""COMPUTED_VALUE"""),"C202511271003718318")</f>
        <v>C202511271003718318</v>
      </c>
      <c r="I9" s="1" t="str">
        <f ca="1">IFERROR(__xludf.DUMMYFUNCTION("""COMPUTED_VALUE"""),"MARIA ROSA ALONSO GONZÁLEZ")</f>
        <v>MARIA ROSA ALONSO GONZÁLEZ</v>
      </c>
      <c r="J9" s="57">
        <f ca="1">IFERROR(__xludf.DUMMYFUNCTION("""COMPUTED_VALUE"""),45988)</f>
        <v>45988</v>
      </c>
      <c r="K9" s="33" t="str">
        <f ca="1">IFERROR(__xludf.DUMMYFUNCTION("""COMPUTED_VALUE"""),"Factura audífonos")</f>
        <v>Factura audífonos</v>
      </c>
      <c r="L9" s="57">
        <f ca="1">IFERROR(__xludf.DUMMYFUNCTION("""COMPUTED_VALUE"""),46030)</f>
        <v>46030</v>
      </c>
      <c r="M9" s="58" t="str">
        <f ca="1">IFERROR(__xludf.DUMMYFUNCTION("""COMPUTED_VALUE"""),"NO")</f>
        <v>NO</v>
      </c>
      <c r="N9" s="56">
        <f ca="1">IFERROR(__xludf.DUMMYFUNCTION("""COMPUTED_VALUE"""),2)</f>
        <v>2</v>
      </c>
      <c r="O9" s="64" t="str">
        <f ca="1">IFERROR(__xludf.DUMMYFUNCTION("""COMPUTED_VALUE"""),"ADVANCED")</f>
        <v>ADVANCED</v>
      </c>
      <c r="P9" s="59">
        <f ca="1">IFERROR(__xludf.DUMMYFUNCTION("""COMPUTED_VALUE"""),4136.36)</f>
        <v>4136.3599999999997</v>
      </c>
      <c r="Q9" s="33" t="str">
        <f ca="1">IFERROR(__xludf.DUMMYFUNCTION("""COMPUTED_VALUE"""),"Maika Blázquez")</f>
        <v>Maika Blázquez</v>
      </c>
      <c r="R9" s="60" t="str">
        <f ca="1">IFERROR(__xludf.DUMMYFUNCTION("""COMPUTED_VALUE"""),"Marta Colmenero Ruiz")</f>
        <v>Marta Colmenero Ruiz</v>
      </c>
      <c r="S9" s="61" t="str">
        <f ca="1">IFERROR(__xludf.DUMMYFUNCTION("""COMPUTED_VALUE"""),"03 ORL")</f>
        <v>03 ORL</v>
      </c>
      <c r="T9" s="33" t="str">
        <f ca="1">IFERROR(__xludf.DUMMYFUNCTION("""COMPUTED_VALUE"""),"06 ORL")</f>
        <v>06 ORL</v>
      </c>
      <c r="U9" s="62"/>
      <c r="W9" s="62"/>
      <c r="X9" s="62"/>
    </row>
    <row r="10" spans="1:53" ht="16">
      <c r="A10" s="33"/>
      <c r="B10" s="55" t="str">
        <f t="shared" ca="1" si="0"/>
        <v>MBM</v>
      </c>
      <c r="C10" s="63" t="str">
        <f ca="1">IFERROR(__xludf.DUMMYFUNCTION("""COMPUTED_VALUE"""),"MBM45")</f>
        <v>MBM45</v>
      </c>
      <c r="D10" s="33" t="str">
        <f ca="1">IFERROR(__xludf.DUMMYFUNCTION("""COMPUTED_VALUE"""),"PROPIOS")</f>
        <v>PROPIOS</v>
      </c>
      <c r="E10" s="33">
        <f ca="1">IFERROR(__xludf.DUMMYFUNCTION("""COMPUTED_VALUE"""),2026)</f>
        <v>2026</v>
      </c>
      <c r="F10" s="56">
        <f ca="1">IFERROR(__xludf.DUMMYFUNCTION("""COMPUTED_VALUE"""),1)</f>
        <v>1</v>
      </c>
      <c r="G10" s="33" t="str">
        <f ca="1">IFERROR(__xludf.DUMMYFUNCTION("""COMPUTED_VALUE"""),"Madrid- Juan Bravo")</f>
        <v>Madrid- Juan Bravo</v>
      </c>
      <c r="H10" s="33" t="str">
        <f ca="1">IFERROR(__xludf.DUMMYFUNCTION("""COMPUTED_VALUE"""),"JBR-1800")</f>
        <v>JBR-1800</v>
      </c>
      <c r="I10" s="33" t="str">
        <f ca="1">IFERROR(__xludf.DUMMYFUNCTION("""COMPUTED_VALUE"""),"JOSE LUIS RODRIGUEZ SIERRA")</f>
        <v>JOSE LUIS RODRIGUEZ SIERRA</v>
      </c>
      <c r="J10" s="57">
        <f ca="1">IFERROR(__xludf.DUMMYFUNCTION("""COMPUTED_VALUE"""),45058)</f>
        <v>45058</v>
      </c>
      <c r="K10" s="33" t="str">
        <f ca="1">IFERROR(__xludf.DUMMYFUNCTION("""COMPUTED_VALUE"""),"Factura audífonos")</f>
        <v>Factura audífonos</v>
      </c>
      <c r="L10" s="57">
        <f ca="1">IFERROR(__xludf.DUMMYFUNCTION("""COMPUTED_VALUE"""),46030)</f>
        <v>46030</v>
      </c>
      <c r="M10" s="58" t="str">
        <f ca="1">IFERROR(__xludf.DUMMYFUNCTION("""COMPUTED_VALUE"""),"SI")</f>
        <v>SI</v>
      </c>
      <c r="N10" s="56">
        <f ca="1">IFERROR(__xludf.DUMMYFUNCTION("""COMPUTED_VALUE"""),1)</f>
        <v>1</v>
      </c>
      <c r="O10" s="58" t="str">
        <f ca="1">IFERROR(__xludf.DUMMYFUNCTION("""COMPUTED_VALUE"""),"QUIET")</f>
        <v>QUIET</v>
      </c>
      <c r="P10" s="60">
        <f ca="1">IFERROR(__xludf.DUMMYFUNCTION("""COMPUTED_VALUE"""),1543.52)</f>
        <v>1543.52</v>
      </c>
      <c r="Q10" s="33" t="str">
        <f ca="1">IFERROR(__xludf.DUMMYFUNCTION("""COMPUTED_VALUE"""),"Maika Blázquez")</f>
        <v>Maika Blázquez</v>
      </c>
      <c r="R10" s="60" t="str">
        <f ca="1">IFERROR(__xludf.DUMMYFUNCTION("""COMPUTED_VALUE"""),"Joaquín Alacio Casero")</f>
        <v>Joaquín Alacio Casero</v>
      </c>
      <c r="S10" s="61" t="str">
        <f ca="1">IFERROR(__xludf.DUMMYFUNCTION("""COMPUTED_VALUE"""),"04 TIENDA")</f>
        <v>04 TIENDA</v>
      </c>
      <c r="T10" s="33" t="str">
        <f ca="1">IFERROR(__xludf.DUMMYFUNCTION("""COMPUTED_VALUE"""),"10 REVISIÓN POST-VENTA")</f>
        <v>10 REVISIÓN POST-VENTA</v>
      </c>
      <c r="U10" s="62"/>
      <c r="W10" s="62"/>
      <c r="X10" s="62"/>
    </row>
    <row r="11" spans="1:53" ht="16">
      <c r="A11" s="33"/>
      <c r="B11" s="55" t="str">
        <f t="shared" ca="1" si="0"/>
        <v>MBM</v>
      </c>
      <c r="C11" s="63" t="str">
        <f ca="1">IFERROR(__xludf.DUMMYFUNCTION("""COMPUTED_VALUE"""),"MBM45")</f>
        <v>MBM45</v>
      </c>
      <c r="D11" s="33" t="str">
        <f ca="1">IFERROR(__xludf.DUMMYFUNCTION("""COMPUTED_VALUE"""),"PARTICIPADOS")</f>
        <v>PARTICIPADOS</v>
      </c>
      <c r="E11" s="33">
        <f ca="1">IFERROR(__xludf.DUMMYFUNCTION("""COMPUTED_VALUE"""),2026)</f>
        <v>2026</v>
      </c>
      <c r="F11" s="56">
        <f ca="1">IFERROR(__xludf.DUMMYFUNCTION("""COMPUTED_VALUE"""),1)</f>
        <v>1</v>
      </c>
      <c r="G11" s="33" t="str">
        <f ca="1">IFERROR(__xludf.DUMMYFUNCTION("""COMPUTED_VALUE"""),"Madrid- La Oca")</f>
        <v>Madrid- La Oca</v>
      </c>
      <c r="H11" s="33" t="str">
        <f ca="1">IFERROR(__xludf.DUMMYFUNCTION("""COMPUTED_VALUE"""),"C202511241158254265")</f>
        <v>C202511241158254265</v>
      </c>
      <c r="I11" s="33" t="str">
        <f ca="1">IFERROR(__xludf.DUMMYFUNCTION("""COMPUTED_VALUE"""),"MARIA DEL CARMEN GARCIA ROYO")</f>
        <v>MARIA DEL CARMEN GARCIA ROYO</v>
      </c>
      <c r="J11" s="57">
        <f ca="1">IFERROR(__xludf.DUMMYFUNCTION("""COMPUTED_VALUE"""),45985)</f>
        <v>45985</v>
      </c>
      <c r="K11" s="33" t="str">
        <f ca="1">IFERROR(__xludf.DUMMYFUNCTION("""COMPUTED_VALUE"""),"Factura audífonos")</f>
        <v>Factura audífonos</v>
      </c>
      <c r="L11" s="57">
        <f ca="1">IFERROR(__xludf.DUMMYFUNCTION("""COMPUTED_VALUE"""),46031)</f>
        <v>46031</v>
      </c>
      <c r="M11" s="58" t="str">
        <f ca="1">IFERROR(__xludf.DUMMYFUNCTION("""COMPUTED_VALUE"""),"NO")</f>
        <v>NO</v>
      </c>
      <c r="N11" s="56">
        <f ca="1">IFERROR(__xludf.DUMMYFUNCTION("""COMPUTED_VALUE"""),2)</f>
        <v>2</v>
      </c>
      <c r="O11" s="58" t="str">
        <f ca="1">IFERROR(__xludf.DUMMYFUNCTION("""COMPUTED_VALUE"""),"CONFORT")</f>
        <v>CONFORT</v>
      </c>
      <c r="P11" s="60">
        <f ca="1">IFERROR(__xludf.DUMMYFUNCTION("""COMPUTED_VALUE"""),3631.82)</f>
        <v>3631.82</v>
      </c>
      <c r="Q11" s="33" t="str">
        <f ca="1">IFERROR(__xludf.DUMMYFUNCTION("""COMPUTED_VALUE"""),"Maika Blázquez")</f>
        <v>Maika Blázquez</v>
      </c>
      <c r="R11" s="60" t="str">
        <f ca="1">IFERROR(__xludf.DUMMYFUNCTION("""COMPUTED_VALUE"""),"Joaquín Alacio Casero")</f>
        <v>Joaquín Alacio Casero</v>
      </c>
      <c r="S11" s="61" t="str">
        <f ca="1">IFERROR(__xludf.DUMMYFUNCTION("""COMPUTED_VALUE"""),"03 ORL")</f>
        <v>03 ORL</v>
      </c>
      <c r="T11" s="33" t="str">
        <f ca="1">IFERROR(__xludf.DUMMYFUNCTION("""COMPUTED_VALUE"""),"06 ORL")</f>
        <v>06 ORL</v>
      </c>
      <c r="U11" s="62"/>
      <c r="W11" s="62"/>
      <c r="X11" s="62"/>
      <c r="AE11" s="1"/>
    </row>
    <row r="12" spans="1:53" ht="16">
      <c r="A12" s="33"/>
      <c r="B12" s="55" t="str">
        <f t="shared" ca="1" si="0"/>
        <v>LRM</v>
      </c>
      <c r="C12" s="63" t="str">
        <f ca="1">IFERROR(__xludf.DUMMYFUNCTION("""COMPUTED_VALUE"""),"LRM56")</f>
        <v>LRM56</v>
      </c>
      <c r="D12" s="33" t="str">
        <f ca="1">IFERROR(__xludf.DUMMYFUNCTION("""COMPUTED_VALUE"""),"ASOCIADOS")</f>
        <v>ASOCIADOS</v>
      </c>
      <c r="E12" s="33">
        <f ca="1">IFERROR(__xludf.DUMMYFUNCTION("""COMPUTED_VALUE"""),2026)</f>
        <v>2026</v>
      </c>
      <c r="F12" s="56">
        <f ca="1">IFERROR(__xludf.DUMMYFUNCTION("""COMPUTED_VALUE"""),1)</f>
        <v>1</v>
      </c>
      <c r="G12" s="33" t="str">
        <f ca="1">IFERROR(__xludf.DUMMYFUNCTION("""COMPUTED_VALUE"""),"Zaragoza- León XIII")</f>
        <v>Zaragoza- León XIII</v>
      </c>
      <c r="H12" s="33" t="str">
        <f ca="1">IFERROR(__xludf.DUMMYFUNCTION("""COMPUTED_VALUE"""),"C202510711221228")</f>
        <v>C202510711221228</v>
      </c>
      <c r="I12" s="33" t="str">
        <f ca="1">IFERROR(__xludf.DUMMYFUNCTION("""COMPUTED_VALUE"""),"MIGUEL ÁNGEL GASCA SANCHO")</f>
        <v>MIGUEL ÁNGEL GASCA SANCHO</v>
      </c>
      <c r="J12" s="57">
        <f ca="1">IFERROR(__xludf.DUMMYFUNCTION("""COMPUTED_VALUE"""),45932)</f>
        <v>45932</v>
      </c>
      <c r="K12" s="33" t="str">
        <f ca="1">IFERROR(__xludf.DUMMYFUNCTION("""COMPUTED_VALUE"""),"Factura audífonos")</f>
        <v>Factura audífonos</v>
      </c>
      <c r="L12" s="57">
        <f ca="1">IFERROR(__xludf.DUMMYFUNCTION("""COMPUTED_VALUE"""),46031)</f>
        <v>46031</v>
      </c>
      <c r="M12" s="58" t="str">
        <f ca="1">IFERROR(__xludf.DUMMYFUNCTION("""COMPUTED_VALUE"""),"NO")</f>
        <v>NO</v>
      </c>
      <c r="N12" s="56">
        <f ca="1">IFERROR(__xludf.DUMMYFUNCTION("""COMPUTED_VALUE"""),2)</f>
        <v>2</v>
      </c>
      <c r="O12" s="64" t="str">
        <f ca="1">IFERROR(__xludf.DUMMYFUNCTION("""COMPUTED_VALUE"""),"CONFORT")</f>
        <v>CONFORT</v>
      </c>
      <c r="P12" s="59">
        <f ca="1">IFERROR(__xludf.DUMMYFUNCTION("""COMPUTED_VALUE"""),3424.55)</f>
        <v>3424.55</v>
      </c>
      <c r="Q12" s="33" t="str">
        <f ca="1">IFERROR(__xludf.DUMMYFUNCTION("""COMPUTED_VALUE"""),"Mercè Cabrera")</f>
        <v>Mercè Cabrera</v>
      </c>
      <c r="R12" s="60" t="str">
        <f ca="1">IFERROR(__xludf.DUMMYFUNCTION("""COMPUTED_VALUE"""),"Jaime Leache Pueyo")</f>
        <v>Jaime Leache Pueyo</v>
      </c>
      <c r="S12" s="61" t="str">
        <f ca="1">IFERROR(__xludf.DUMMYFUNCTION("""COMPUTED_VALUE"""),"03 ORL")</f>
        <v>03 ORL</v>
      </c>
      <c r="T12" s="33" t="str">
        <f ca="1">IFERROR(__xludf.DUMMYFUNCTION("""COMPUTED_VALUE"""),"06 ORL")</f>
        <v>06 ORL</v>
      </c>
      <c r="U12" s="62"/>
      <c r="W12" s="62"/>
      <c r="X12" s="62"/>
    </row>
    <row r="13" spans="1:53" ht="16">
      <c r="A13" s="33"/>
      <c r="B13" s="55" t="str">
        <f t="shared" ca="1" si="0"/>
        <v>MBM</v>
      </c>
      <c r="C13" s="64" t="str">
        <f ca="1">IFERROR(__xludf.DUMMYFUNCTION("""COMPUTED_VALUE"""),"MBM113")</f>
        <v>MBM113</v>
      </c>
      <c r="D13" s="33" t="str">
        <f ca="1">IFERROR(__xludf.DUMMYFUNCTION("""COMPUTED_VALUE"""),"PROPIOS")</f>
        <v>PROPIOS</v>
      </c>
      <c r="E13" s="33">
        <f ca="1">IFERROR(__xludf.DUMMYFUNCTION("""COMPUTED_VALUE"""),2026)</f>
        <v>2026</v>
      </c>
      <c r="F13" s="56">
        <f ca="1">IFERROR(__xludf.DUMMYFUNCTION("""COMPUTED_VALUE"""),1)</f>
        <v>1</v>
      </c>
      <c r="G13" s="33" t="str">
        <f ca="1">IFERROR(__xludf.DUMMYFUNCTION("""COMPUTED_VALUE"""),"Fuenlabrada")</f>
        <v>Fuenlabrada</v>
      </c>
      <c r="H13" s="33" t="str">
        <f ca="1">IFERROR(__xludf.DUMMYFUNCTION("""COMPUTED_VALUE"""),"C202512151217324826")</f>
        <v>C202512151217324826</v>
      </c>
      <c r="I13" s="33" t="str">
        <f ca="1">IFERROR(__xludf.DUMMYFUNCTION("""COMPUTED_VALUE"""),"Mª CARMEN DELGADO ANTON")</f>
        <v>Mª CARMEN DELGADO ANTON</v>
      </c>
      <c r="J13" s="57">
        <f ca="1">IFERROR(__xludf.DUMMYFUNCTION("""COMPUTED_VALUE"""),46006)</f>
        <v>46006</v>
      </c>
      <c r="K13" s="33" t="str">
        <f ca="1">IFERROR(__xludf.DUMMYFUNCTION("""COMPUTED_VALUE"""),"Factura audífonos")</f>
        <v>Factura audífonos</v>
      </c>
      <c r="L13" s="57">
        <f ca="1">IFERROR(__xludf.DUMMYFUNCTION("""COMPUTED_VALUE"""),46031)</f>
        <v>46031</v>
      </c>
      <c r="M13" s="58" t="str">
        <f ca="1">IFERROR(__xludf.DUMMYFUNCTION("""COMPUTED_VALUE"""),"NO")</f>
        <v>NO</v>
      </c>
      <c r="N13" s="56">
        <f ca="1">IFERROR(__xludf.DUMMYFUNCTION("""COMPUTED_VALUE"""),1)</f>
        <v>1</v>
      </c>
      <c r="O13" s="58" t="str">
        <f ca="1">IFERROR(__xludf.DUMMYFUNCTION("""COMPUTED_VALUE"""),"CONFORT")</f>
        <v>CONFORT</v>
      </c>
      <c r="P13" s="59">
        <f ca="1">IFERROR(__xludf.DUMMYFUNCTION("""COMPUTED_VALUE"""),2180.91)</f>
        <v>2180.91</v>
      </c>
      <c r="Q13" s="33" t="str">
        <f ca="1">IFERROR(__xludf.DUMMYFUNCTION("""COMPUTED_VALUE"""),"Maika Blázquez")</f>
        <v>Maika Blázquez</v>
      </c>
      <c r="R13" s="60" t="str">
        <f ca="1">IFERROR(__xludf.DUMMYFUNCTION("""COMPUTED_VALUE"""),"Estefania Miranda Sánchez")</f>
        <v>Estefania Miranda Sánchez</v>
      </c>
      <c r="S13" s="61" t="str">
        <f ca="1">IFERROR(__xludf.DUMMYFUNCTION("""COMPUTED_VALUE"""),"03 ORL")</f>
        <v>03 ORL</v>
      </c>
      <c r="T13" s="33" t="str">
        <f ca="1">IFERROR(__xludf.DUMMYFUNCTION("""COMPUTED_VALUE"""),"06 ORL")</f>
        <v>06 ORL</v>
      </c>
      <c r="U13" s="62"/>
      <c r="W13" s="62"/>
      <c r="X13" s="62"/>
    </row>
    <row r="14" spans="1:53" ht="16">
      <c r="A14" s="33"/>
      <c r="B14" s="55" t="str">
        <f t="shared" ca="1" si="0"/>
        <v>LAA</v>
      </c>
      <c r="C14" s="64" t="str">
        <f ca="1">IFERROR(__xludf.DUMMYFUNCTION("""COMPUTED_VALUE"""),"LAA54")</f>
        <v>LAA54</v>
      </c>
      <c r="D14" s="33" t="str">
        <f ca="1">IFERROR(__xludf.DUMMYFUNCTION("""COMPUTED_VALUE"""),"PROPIOS")</f>
        <v>PROPIOS</v>
      </c>
      <c r="E14" s="33">
        <f ca="1">IFERROR(__xludf.DUMMYFUNCTION("""COMPUTED_VALUE"""),2026)</f>
        <v>2026</v>
      </c>
      <c r="F14" s="56">
        <f ca="1">IFERROR(__xludf.DUMMYFUNCTION("""COMPUTED_VALUE"""),1)</f>
        <v>1</v>
      </c>
      <c r="G14" s="33" t="str">
        <f ca="1">IFERROR(__xludf.DUMMYFUNCTION("""COMPUTED_VALUE"""),"Sevilla- Montoto")</f>
        <v>Sevilla- Montoto</v>
      </c>
      <c r="H14" s="33" t="str">
        <f ca="1">IFERROR(__xludf.DUMMYFUNCTION("""COMPUTED_VALUE"""),"C2024112910652762")</f>
        <v>C2024112910652762</v>
      </c>
      <c r="I14" s="33" t="str">
        <f ca="1">IFERROR(__xludf.DUMMYFUNCTION("""COMPUTED_VALUE"""),"SONIA SUAREZ FERNANDEZ")</f>
        <v>SONIA SUAREZ FERNANDEZ</v>
      </c>
      <c r="J14" s="57">
        <f ca="1">IFERROR(__xludf.DUMMYFUNCTION("""COMPUTED_VALUE"""),45623)</f>
        <v>45623</v>
      </c>
      <c r="K14" s="33" t="str">
        <f ca="1">IFERROR(__xludf.DUMMYFUNCTION("""COMPUTED_VALUE"""),"Factura audífonos")</f>
        <v>Factura audífonos</v>
      </c>
      <c r="L14" s="57">
        <f ca="1">IFERROR(__xludf.DUMMYFUNCTION("""COMPUTED_VALUE"""),46034)</f>
        <v>46034</v>
      </c>
      <c r="M14" s="58" t="str">
        <f ca="1">IFERROR(__xludf.DUMMYFUNCTION("""COMPUTED_VALUE"""),"NO")</f>
        <v>NO</v>
      </c>
      <c r="N14" s="56">
        <f ca="1">IFERROR(__xludf.DUMMYFUNCTION("""COMPUTED_VALUE"""),1)</f>
        <v>1</v>
      </c>
      <c r="O14" s="64" t="str">
        <f ca="1">IFERROR(__xludf.DUMMYFUNCTION("""COMPUTED_VALUE"""),"CONFORT")</f>
        <v>CONFORT</v>
      </c>
      <c r="P14" s="59">
        <f ca="1">IFERROR(__xludf.DUMMYFUNCTION("""COMPUTED_VALUE"""),2072.73)</f>
        <v>2072.73</v>
      </c>
      <c r="Q14" s="33" t="str">
        <f ca="1">IFERROR(__xludf.DUMMYFUNCTION("""COMPUTED_VALUE"""),"Luis Alberto Rodríguez")</f>
        <v>Luis Alberto Rodríguez</v>
      </c>
      <c r="R14" s="60" t="str">
        <f ca="1">IFERROR(__xludf.DUMMYFUNCTION("""COMPUTED_VALUE"""),"María Luisa Calero Ramos")</f>
        <v>María Luisa Calero Ramos</v>
      </c>
      <c r="S14" s="61" t="str">
        <f ca="1">IFERROR(__xludf.DUMMYFUNCTION("""COMPUTED_VALUE"""),"03 ORL")</f>
        <v>03 ORL</v>
      </c>
      <c r="T14" s="33" t="str">
        <f ca="1">IFERROR(__xludf.DUMMYFUNCTION("""COMPUTED_VALUE"""),"06 ORL")</f>
        <v>06 ORL</v>
      </c>
      <c r="U14" s="62"/>
      <c r="W14" s="62"/>
      <c r="X14" s="62"/>
    </row>
    <row r="15" spans="1:53" ht="16">
      <c r="A15" s="33"/>
      <c r="B15" s="55" t="str">
        <f t="shared" ca="1" si="0"/>
        <v>ISL</v>
      </c>
      <c r="C15" s="64" t="str">
        <f ca="1">IFERROR(__xludf.DUMMYFUNCTION("""COMPUTED_VALUE"""),"ISL99")</f>
        <v>ISL99</v>
      </c>
      <c r="D15" s="33" t="str">
        <f ca="1">IFERROR(__xludf.DUMMYFUNCTION("""COMPUTED_VALUE"""),"PROPIOS")</f>
        <v>PROPIOS</v>
      </c>
      <c r="E15" s="33">
        <f ca="1">IFERROR(__xludf.DUMMYFUNCTION("""COMPUTED_VALUE"""),2026)</f>
        <v>2026</v>
      </c>
      <c r="F15" s="56">
        <f ca="1">IFERROR(__xludf.DUMMYFUNCTION("""COMPUTED_VALUE"""),1)</f>
        <v>1</v>
      </c>
      <c r="G15" s="33" t="str">
        <f ca="1">IFERROR(__xludf.DUMMYFUNCTION("""COMPUTED_VALUE"""),"Alicante")</f>
        <v>Alicante</v>
      </c>
      <c r="H15" s="33" t="str">
        <f ca="1">IFERROR(__xludf.DUMMYFUNCTION("""COMPUTED_VALUE"""),"C202512158433763329")</f>
        <v>C202512158433763329</v>
      </c>
      <c r="I15" s="33" t="str">
        <f ca="1">IFERROR(__xludf.DUMMYFUNCTION("""COMPUTED_VALUE"""),"TERESA VENTURA RODRIGUEZ")</f>
        <v>TERESA VENTURA RODRIGUEZ</v>
      </c>
      <c r="J15" s="57">
        <f ca="1">IFERROR(__xludf.DUMMYFUNCTION("""COMPUTED_VALUE"""),46006)</f>
        <v>46006</v>
      </c>
      <c r="K15" s="33" t="str">
        <f ca="1">IFERROR(__xludf.DUMMYFUNCTION("""COMPUTED_VALUE"""),"Factura audífonos")</f>
        <v>Factura audífonos</v>
      </c>
      <c r="L15" s="57">
        <f ca="1">IFERROR(__xludf.DUMMYFUNCTION("""COMPUTED_VALUE"""),46034)</f>
        <v>46034</v>
      </c>
      <c r="M15" s="58" t="str">
        <f ca="1">IFERROR(__xludf.DUMMYFUNCTION("""COMPUTED_VALUE"""),"NO")</f>
        <v>NO</v>
      </c>
      <c r="N15" s="56">
        <f ca="1">IFERROR(__xludf.DUMMYFUNCTION("""COMPUTED_VALUE"""),2)</f>
        <v>2</v>
      </c>
      <c r="O15" s="64" t="str">
        <f ca="1">IFERROR(__xludf.DUMMYFUNCTION("""COMPUTED_VALUE"""),"QUIET")</f>
        <v>QUIET</v>
      </c>
      <c r="P15" s="59">
        <f ca="1">IFERROR(__xludf.DUMMYFUNCTION("""COMPUTED_VALUE"""),2718.18)</f>
        <v>2718.18</v>
      </c>
      <c r="Q15" s="33" t="str">
        <f ca="1">IFERROR(__xludf.DUMMYFUNCTION("""COMPUTED_VALUE"""),"Iván Sánchez")</f>
        <v>Iván Sánchez</v>
      </c>
      <c r="R15" s="60" t="str">
        <f ca="1">IFERROR(__xludf.DUMMYFUNCTION("""COMPUTED_VALUE"""),"Cristina Muñoz Pinto")</f>
        <v>Cristina Muñoz Pinto</v>
      </c>
      <c r="S15" s="61" t="str">
        <f ca="1">IFERROR(__xludf.DUMMYFUNCTION("""COMPUTED_VALUE"""),"03 ORL")</f>
        <v>03 ORL</v>
      </c>
      <c r="T15" s="33" t="str">
        <f ca="1">IFERROR(__xludf.DUMMYFUNCTION("""COMPUTED_VALUE"""),"06 ORL")</f>
        <v>06 ORL</v>
      </c>
      <c r="U15" s="62"/>
      <c r="W15" s="62"/>
      <c r="X15" s="62"/>
    </row>
    <row r="16" spans="1:53" ht="16">
      <c r="A16" s="33"/>
      <c r="B16" s="55" t="str">
        <f t="shared" ca="1" si="0"/>
        <v>MBM</v>
      </c>
      <c r="C16" s="64" t="str">
        <f ca="1">IFERROR(__xludf.DUMMYFUNCTION("""COMPUTED_VALUE"""),"MBM219")</f>
        <v>MBM219</v>
      </c>
      <c r="D16" s="33" t="str">
        <f ca="1">IFERROR(__xludf.DUMMYFUNCTION("""COMPUTED_VALUE"""),"PROPIOS")</f>
        <v>PROPIOS</v>
      </c>
      <c r="E16" s="33">
        <f ca="1">IFERROR(__xludf.DUMMYFUNCTION("""COMPUTED_VALUE"""),2026)</f>
        <v>2026</v>
      </c>
      <c r="F16" s="56">
        <f ca="1">IFERROR(__xludf.DUMMYFUNCTION("""COMPUTED_VALUE"""),1)</f>
        <v>1</v>
      </c>
      <c r="G16" s="33" t="str">
        <f ca="1">IFERROR(__xludf.DUMMYFUNCTION("""COMPUTED_VALUE"""),"Getafe")</f>
        <v>Getafe</v>
      </c>
      <c r="H16" s="33" t="str">
        <f ca="1">IFERROR(__xludf.DUMMYFUNCTION("""COMPUTED_VALUE"""),"C202511594452200485")</f>
        <v>C202511594452200485</v>
      </c>
      <c r="I16" s="33" t="str">
        <f ca="1">IFERROR(__xludf.DUMMYFUNCTION("""COMPUTED_VALUE"""),"JUAN JESÚS MAYA TORREJÓN")</f>
        <v>JUAN JESÚS MAYA TORREJÓN</v>
      </c>
      <c r="J16" s="57">
        <f ca="1">IFERROR(__xludf.DUMMYFUNCTION("""COMPUTED_VALUE"""),45966)</f>
        <v>45966</v>
      </c>
      <c r="K16" s="33" t="str">
        <f ca="1">IFERROR(__xludf.DUMMYFUNCTION("""COMPUTED_VALUE"""),"Factura audífonos")</f>
        <v>Factura audífonos</v>
      </c>
      <c r="L16" s="57">
        <f ca="1">IFERROR(__xludf.DUMMYFUNCTION("""COMPUTED_VALUE"""),46034)</f>
        <v>46034</v>
      </c>
      <c r="M16" s="58" t="str">
        <f ca="1">IFERROR(__xludf.DUMMYFUNCTION("""COMPUTED_VALUE"""),"NO")</f>
        <v>NO</v>
      </c>
      <c r="N16" s="56">
        <f ca="1">IFERROR(__xludf.DUMMYFUNCTION("""COMPUTED_VALUE"""),1)</f>
        <v>1</v>
      </c>
      <c r="O16" s="58" t="str">
        <f ca="1">IFERROR(__xludf.DUMMYFUNCTION("""COMPUTED_VALUE"""),"ADVANCED")</f>
        <v>ADVANCED</v>
      </c>
      <c r="P16" s="59">
        <f ca="1">IFERROR(__xludf.DUMMYFUNCTION("""COMPUTED_VALUE"""),2481.82)</f>
        <v>2481.8200000000002</v>
      </c>
      <c r="Q16" s="33" t="str">
        <f ca="1">IFERROR(__xludf.DUMMYFUNCTION("""COMPUTED_VALUE"""),"Maika Blázquez")</f>
        <v>Maika Blázquez</v>
      </c>
      <c r="R16" s="60" t="str">
        <f ca="1">IFERROR(__xludf.DUMMYFUNCTION("""COMPUTED_VALUE"""),"Paula Morales Chacchi")</f>
        <v>Paula Morales Chacchi</v>
      </c>
      <c r="S16" s="61" t="str">
        <f ca="1">IFERROR(__xludf.DUMMYFUNCTION("""COMPUTED_VALUE"""),"03 ORL")</f>
        <v>03 ORL</v>
      </c>
      <c r="T16" s="33" t="str">
        <f ca="1">IFERROR(__xludf.DUMMYFUNCTION("""COMPUTED_VALUE"""),"06 ORL")</f>
        <v>06 ORL</v>
      </c>
      <c r="U16" s="62"/>
      <c r="W16" s="62"/>
      <c r="X16" s="62"/>
      <c r="AE16" s="1"/>
    </row>
    <row r="17" spans="1:31" ht="16">
      <c r="A17" s="33"/>
      <c r="B17" s="55" t="str">
        <f t="shared" ca="1" si="0"/>
        <v>LRM</v>
      </c>
      <c r="C17" s="64" t="str">
        <f ca="1">IFERROR(__xludf.DUMMYFUNCTION("""COMPUTED_VALUE"""),"LRM253")</f>
        <v>LRM253</v>
      </c>
      <c r="D17" s="33" t="str">
        <f ca="1">IFERROR(__xludf.DUMMYFUNCTION("""COMPUTED_VALUE"""),"ASOCIADOS")</f>
        <v>ASOCIADOS</v>
      </c>
      <c r="E17" s="33">
        <f ca="1">IFERROR(__xludf.DUMMYFUNCTION("""COMPUTED_VALUE"""),2026)</f>
        <v>2026</v>
      </c>
      <c r="F17" s="56">
        <f ca="1">IFERROR(__xludf.DUMMYFUNCTION("""COMPUTED_VALUE"""),1)</f>
        <v>1</v>
      </c>
      <c r="G17" s="33" t="str">
        <f ca="1">IFERROR(__xludf.DUMMYFUNCTION("""COMPUTED_VALUE"""),"Cáceres")</f>
        <v>Cáceres</v>
      </c>
      <c r="H17" s="33" t="str">
        <f ca="1">IFERROR(__xludf.DUMMYFUNCTION("""COMPUTED_VALUE"""),"C202512594841242568")</f>
        <v>C202512594841242568</v>
      </c>
      <c r="I17" s="33" t="str">
        <f ca="1">IFERROR(__xludf.DUMMYFUNCTION("""COMPUTED_VALUE"""),"MARIA ISABEL GUERRERO CASTRO")</f>
        <v>MARIA ISABEL GUERRERO CASTRO</v>
      </c>
      <c r="J17" s="57">
        <f ca="1">IFERROR(__xludf.DUMMYFUNCTION("""COMPUTED_VALUE"""),45996)</f>
        <v>45996</v>
      </c>
      <c r="K17" s="33" t="str">
        <f ca="1">IFERROR(__xludf.DUMMYFUNCTION("""COMPUTED_VALUE"""),"Factura audífonos")</f>
        <v>Factura audífonos</v>
      </c>
      <c r="L17" s="57">
        <f ca="1">IFERROR(__xludf.DUMMYFUNCTION("""COMPUTED_VALUE"""),46035)</f>
        <v>46035</v>
      </c>
      <c r="M17" s="64" t="str">
        <f ca="1">IFERROR(__xludf.DUMMYFUNCTION("""COMPUTED_VALUE"""),"NO")</f>
        <v>NO</v>
      </c>
      <c r="N17" s="56">
        <f ca="1">IFERROR(__xludf.DUMMYFUNCTION("""COMPUTED_VALUE"""),1)</f>
        <v>1</v>
      </c>
      <c r="O17" s="58" t="str">
        <f ca="1">IFERROR(__xludf.DUMMYFUNCTION("""COMPUTED_VALUE"""),"PRO")</f>
        <v>PRO</v>
      </c>
      <c r="P17" s="60">
        <f ca="1">IFERROR(__xludf.DUMMYFUNCTION("""COMPUTED_VALUE"""),2745)</f>
        <v>2745</v>
      </c>
      <c r="Q17" s="33" t="str">
        <f ca="1">IFERROR(__xludf.DUMMYFUNCTION("""COMPUTED_VALUE"""),"Lisandro Russian")</f>
        <v>Lisandro Russian</v>
      </c>
      <c r="R17" s="60" t="str">
        <f ca="1">IFERROR(__xludf.DUMMYFUNCTION("""COMPUTED_VALUE"""),"Marta García Jiménez")</f>
        <v>Marta García Jiménez</v>
      </c>
      <c r="S17" s="61" t="str">
        <f ca="1">IFERROR(__xludf.DUMMYFUNCTION("""COMPUTED_VALUE"""),"03 ORL")</f>
        <v>03 ORL</v>
      </c>
      <c r="T17" s="33" t="str">
        <f ca="1">IFERROR(__xludf.DUMMYFUNCTION("""COMPUTED_VALUE"""),"06 ORL")</f>
        <v>06 ORL</v>
      </c>
      <c r="U17" s="62"/>
      <c r="W17" s="62"/>
      <c r="X17" s="62"/>
    </row>
    <row r="18" spans="1:31" ht="16">
      <c r="A18" s="33"/>
      <c r="B18" s="55" t="str">
        <f t="shared" ca="1" si="0"/>
        <v>MBM</v>
      </c>
      <c r="C18" s="64" t="str">
        <f ca="1">IFERROR(__xludf.DUMMYFUNCTION("""COMPUTED_VALUE"""),"MBM104")</f>
        <v>MBM104</v>
      </c>
      <c r="D18" s="33" t="str">
        <f ca="1">IFERROR(__xludf.DUMMYFUNCTION("""COMPUTED_VALUE"""),"PROPIOS")</f>
        <v>PROPIOS</v>
      </c>
      <c r="E18" s="33">
        <f ca="1">IFERROR(__xludf.DUMMYFUNCTION("""COMPUTED_VALUE"""),2026)</f>
        <v>2026</v>
      </c>
      <c r="F18" s="56">
        <f ca="1">IFERROR(__xludf.DUMMYFUNCTION("""COMPUTED_VALUE"""),1)</f>
        <v>1</v>
      </c>
      <c r="G18" s="33" t="str">
        <f ca="1">IFERROR(__xludf.DUMMYFUNCTION("""COMPUTED_VALUE"""),"Fuenlabrada")</f>
        <v>Fuenlabrada</v>
      </c>
      <c r="H18" s="33" t="str">
        <f ca="1">IFERROR(__xludf.DUMMYFUNCTION("""COMPUTED_VALUE"""),"C202512179181772442")</f>
        <v>C202512179181772442</v>
      </c>
      <c r="I18" s="33" t="str">
        <f ca="1">IFERROR(__xludf.DUMMYFUNCTION("""COMPUTED_VALUE"""),"CARMEN DIOS CAAMAÑO")</f>
        <v>CARMEN DIOS CAAMAÑO</v>
      </c>
      <c r="J18" s="57">
        <f ca="1">IFERROR(__xludf.DUMMYFUNCTION("""COMPUTED_VALUE"""),46008)</f>
        <v>46008</v>
      </c>
      <c r="K18" s="33" t="str">
        <f ca="1">IFERROR(__xludf.DUMMYFUNCTION("""COMPUTED_VALUE"""),"Factura audífonos")</f>
        <v>Factura audífonos</v>
      </c>
      <c r="L18" s="57">
        <f ca="1">IFERROR(__xludf.DUMMYFUNCTION("""COMPUTED_VALUE"""),46035)</f>
        <v>46035</v>
      </c>
      <c r="M18" s="58" t="str">
        <f ca="1">IFERROR(__xludf.DUMMYFUNCTION("""COMPUTED_VALUE"""),"NO")</f>
        <v>NO</v>
      </c>
      <c r="N18" s="56">
        <f ca="1">IFERROR(__xludf.DUMMYFUNCTION("""COMPUTED_VALUE"""),1)</f>
        <v>1</v>
      </c>
      <c r="O18" s="58" t="str">
        <f ca="1">IFERROR(__xludf.DUMMYFUNCTION("""COMPUTED_VALUE"""),"CONFORT")</f>
        <v>CONFORT</v>
      </c>
      <c r="P18" s="59">
        <f ca="1">IFERROR(__xludf.DUMMYFUNCTION("""COMPUTED_VALUE"""),2180.91)</f>
        <v>2180.91</v>
      </c>
      <c r="Q18" s="33" t="str">
        <f ca="1">IFERROR(__xludf.DUMMYFUNCTION("""COMPUTED_VALUE"""),"Maika Blázquez")</f>
        <v>Maika Blázquez</v>
      </c>
      <c r="R18" s="60" t="str">
        <f ca="1">IFERROR(__xludf.DUMMYFUNCTION("""COMPUTED_VALUE"""),"Concepcion Rodríguez Izquierdo")</f>
        <v>Concepcion Rodríguez Izquierdo</v>
      </c>
      <c r="S18" s="61" t="str">
        <f ca="1">IFERROR(__xludf.DUMMYFUNCTION("""COMPUTED_VALUE"""),"03 ORL")</f>
        <v>03 ORL</v>
      </c>
      <c r="T18" s="33" t="str">
        <f ca="1">IFERROR(__xludf.DUMMYFUNCTION("""COMPUTED_VALUE"""),"06 ORL")</f>
        <v>06 ORL</v>
      </c>
      <c r="U18" s="62"/>
      <c r="W18" s="62"/>
      <c r="X18" s="62"/>
    </row>
    <row r="19" spans="1:31" ht="16">
      <c r="A19" s="33"/>
      <c r="B19" s="55" t="str">
        <f t="shared" ca="1" si="0"/>
        <v>ISL</v>
      </c>
      <c r="C19" s="64" t="str">
        <f ca="1">IFERROR(__xludf.DUMMYFUNCTION("""COMPUTED_VALUE"""),"ISL91")</f>
        <v>ISL91</v>
      </c>
      <c r="D19" s="33" t="str">
        <f ca="1">IFERROR(__xludf.DUMMYFUNCTION("""COMPUTED_VALUE"""),"PROPIOS")</f>
        <v>PROPIOS</v>
      </c>
      <c r="E19" s="33">
        <f ca="1">IFERROR(__xludf.DUMMYFUNCTION("""COMPUTED_VALUE"""),2026)</f>
        <v>2026</v>
      </c>
      <c r="F19" s="56">
        <f ca="1">IFERROR(__xludf.DUMMYFUNCTION("""COMPUTED_VALUE"""),1)</f>
        <v>1</v>
      </c>
      <c r="G19" s="33" t="str">
        <f ca="1">IFERROR(__xludf.DUMMYFUNCTION("""COMPUTED_VALUE"""),"Murcia")</f>
        <v>Murcia</v>
      </c>
      <c r="H19" s="33" t="str">
        <f ca="1">IFERROR(__xludf.DUMMYFUNCTION("""COMPUTED_VALUE"""),"C202512121136583127")</f>
        <v>C202512121136583127</v>
      </c>
      <c r="I19" s="33" t="str">
        <f ca="1">IFERROR(__xludf.DUMMYFUNCTION("""COMPUTED_VALUE"""),"JESUS MORENO LOPEZ")</f>
        <v>JESUS MORENO LOPEZ</v>
      </c>
      <c r="J19" s="57">
        <f ca="1">IFERROR(__xludf.DUMMYFUNCTION("""COMPUTED_VALUE"""),46003)</f>
        <v>46003</v>
      </c>
      <c r="K19" s="33" t="str">
        <f ca="1">IFERROR(__xludf.DUMMYFUNCTION("""COMPUTED_VALUE"""),"Factura audífonos")</f>
        <v>Factura audífonos</v>
      </c>
      <c r="L19" s="57">
        <f ca="1">IFERROR(__xludf.DUMMYFUNCTION("""COMPUTED_VALUE"""),46035)</f>
        <v>46035</v>
      </c>
      <c r="M19" s="58" t="str">
        <f ca="1">IFERROR(__xludf.DUMMYFUNCTION("""COMPUTED_VALUE"""),"NO")</f>
        <v>NO</v>
      </c>
      <c r="N19" s="56">
        <f ca="1">IFERROR(__xludf.DUMMYFUNCTION("""COMPUTED_VALUE"""),2)</f>
        <v>2</v>
      </c>
      <c r="O19" s="64" t="str">
        <f ca="1">IFERROR(__xludf.DUMMYFUNCTION("""COMPUTED_VALUE"""),"QUIET")</f>
        <v>QUIET</v>
      </c>
      <c r="P19" s="60">
        <f ca="1">IFERROR(__xludf.DUMMYFUNCTION("""COMPUTED_VALUE"""),2580.77)</f>
        <v>2580.77</v>
      </c>
      <c r="Q19" s="33" t="str">
        <f ca="1">IFERROR(__xludf.DUMMYFUNCTION("""COMPUTED_VALUE"""),"Iván Sánchez")</f>
        <v>Iván Sánchez</v>
      </c>
      <c r="R19" s="60" t="str">
        <f ca="1">IFERROR(__xludf.DUMMYFUNCTION("""COMPUTED_VALUE"""),"Alejandra Jara Maquilón")</f>
        <v>Alejandra Jara Maquilón</v>
      </c>
      <c r="S19" s="61" t="str">
        <f ca="1">IFERROR(__xludf.DUMMYFUNCTION("""COMPUTED_VALUE"""),"03 ORL")</f>
        <v>03 ORL</v>
      </c>
      <c r="T19" s="33" t="str">
        <f ca="1">IFERROR(__xludf.DUMMYFUNCTION("""COMPUTED_VALUE"""),"06 ORL")</f>
        <v>06 ORL</v>
      </c>
      <c r="U19" s="62"/>
      <c r="W19" s="62"/>
      <c r="X19" s="62"/>
    </row>
    <row r="20" spans="1:31" ht="16">
      <c r="A20" s="33"/>
      <c r="B20" s="55" t="str">
        <f t="shared" ca="1" si="0"/>
        <v>LAA</v>
      </c>
      <c r="C20" s="64" t="str">
        <f ca="1">IFERROR(__xludf.DUMMYFUNCTION("""COMPUTED_VALUE"""),"LAA13")</f>
        <v>LAA13</v>
      </c>
      <c r="D20" s="33" t="str">
        <f ca="1">IFERROR(__xludf.DUMMYFUNCTION("""COMPUTED_VALUE"""),"PROPIOS")</f>
        <v>PROPIOS</v>
      </c>
      <c r="E20" s="33">
        <f ca="1">IFERROR(__xludf.DUMMYFUNCTION("""COMPUTED_VALUE"""),2026)</f>
        <v>2026</v>
      </c>
      <c r="F20" s="56">
        <f ca="1">IFERROR(__xludf.DUMMYFUNCTION("""COMPUTED_VALUE"""),1)</f>
        <v>1</v>
      </c>
      <c r="G20" s="33" t="str">
        <f ca="1">IFERROR(__xludf.DUMMYFUNCTION("""COMPUTED_VALUE"""),"Sevilla- Montoto")</f>
        <v>Sevilla- Montoto</v>
      </c>
      <c r="H20" s="33" t="str">
        <f ca="1">IFERROR(__xludf.DUMMYFUNCTION("""COMPUTED_VALUE"""),"C202511241120341965")</f>
        <v>C202511241120341965</v>
      </c>
      <c r="I20" s="33" t="str">
        <f ca="1">IFERROR(__xludf.DUMMYFUNCTION("""COMPUTED_VALUE"""),"MIGUEL FONTANILLA RABANEDA")</f>
        <v>MIGUEL FONTANILLA RABANEDA</v>
      </c>
      <c r="J20" s="57">
        <f ca="1">IFERROR(__xludf.DUMMYFUNCTION("""COMPUTED_VALUE"""),45985)</f>
        <v>45985</v>
      </c>
      <c r="K20" s="33" t="str">
        <f ca="1">IFERROR(__xludf.DUMMYFUNCTION("""COMPUTED_VALUE"""),"Factura audífonos")</f>
        <v>Factura audífonos</v>
      </c>
      <c r="L20" s="57">
        <f ca="1">IFERROR(__xludf.DUMMYFUNCTION("""COMPUTED_VALUE"""),46036)</f>
        <v>46036</v>
      </c>
      <c r="M20" s="58" t="str">
        <f ca="1">IFERROR(__xludf.DUMMYFUNCTION("""COMPUTED_VALUE"""),"NO")</f>
        <v>NO</v>
      </c>
      <c r="N20" s="56">
        <f ca="1">IFERROR(__xludf.DUMMYFUNCTION("""COMPUTED_VALUE"""),2)</f>
        <v>2</v>
      </c>
      <c r="O20" s="58" t="str">
        <f ca="1">IFERROR(__xludf.DUMMYFUNCTION("""COMPUTED_VALUE"""),"CONFORT")</f>
        <v>CONFORT</v>
      </c>
      <c r="P20" s="59">
        <f ca="1">IFERROR(__xludf.DUMMYFUNCTION("""COMPUTED_VALUE"""),3631.82)</f>
        <v>3631.82</v>
      </c>
      <c r="Q20" s="33" t="str">
        <f ca="1">IFERROR(__xludf.DUMMYFUNCTION("""COMPUTED_VALUE"""),"Luis Alberto Rodríguez")</f>
        <v>Luis Alberto Rodríguez</v>
      </c>
      <c r="R20" s="60" t="str">
        <f ca="1">IFERROR(__xludf.DUMMYFUNCTION("""COMPUTED_VALUE"""),"Francisco Javier Aguilar Vera")</f>
        <v>Francisco Javier Aguilar Vera</v>
      </c>
      <c r="S20" s="61" t="str">
        <f ca="1">IFERROR(__xludf.DUMMYFUNCTION("""COMPUTED_VALUE"""),"01 MARKETING ON LINE")</f>
        <v>01 MARKETING ON LINE</v>
      </c>
      <c r="T20" s="33" t="str">
        <f ca="1">IFERROR(__xludf.DUMMYFUNCTION("""COMPUTED_VALUE"""),"04 AUDIFONO,ES")</f>
        <v>04 AUDIFONO,ES</v>
      </c>
      <c r="U20" s="62"/>
      <c r="W20" s="62"/>
      <c r="X20" s="62"/>
    </row>
    <row r="21" spans="1:31" ht="16">
      <c r="A21" s="33"/>
      <c r="B21" s="55" t="str">
        <f t="shared" ca="1" si="0"/>
        <v>MBM</v>
      </c>
      <c r="C21" s="64" t="str">
        <f ca="1">IFERROR(__xludf.DUMMYFUNCTION("""COMPUTED_VALUE"""),"MBM110")</f>
        <v>MBM110</v>
      </c>
      <c r="D21" s="33" t="str">
        <f ca="1">IFERROR(__xludf.DUMMYFUNCTION("""COMPUTED_VALUE"""),"PARTICIPADOS")</f>
        <v>PARTICIPADOS</v>
      </c>
      <c r="E21" s="33">
        <f ca="1">IFERROR(__xludf.DUMMYFUNCTION("""COMPUTED_VALUE"""),2026)</f>
        <v>2026</v>
      </c>
      <c r="F21" s="56">
        <f ca="1">IFERROR(__xludf.DUMMYFUNCTION("""COMPUTED_VALUE"""),1)</f>
        <v>1</v>
      </c>
      <c r="G21" s="33" t="str">
        <f ca="1">IFERROR(__xludf.DUMMYFUNCTION("""COMPUTED_VALUE"""),"Madrid- La Oca")</f>
        <v>Madrid- La Oca</v>
      </c>
      <c r="H21" s="33" t="str">
        <f ca="1">IFERROR(__xludf.DUMMYFUNCTION("""COMPUTED_VALUE"""),"C202512111114179041")</f>
        <v>C202512111114179041</v>
      </c>
      <c r="I21" s="33" t="str">
        <f ca="1">IFERROR(__xludf.DUMMYFUNCTION("""COMPUTED_VALUE"""),"PEDRO DOMINGO NAVARRO DIAZ")</f>
        <v>PEDRO DOMINGO NAVARRO DIAZ</v>
      </c>
      <c r="J21" s="57">
        <f ca="1">IFERROR(__xludf.DUMMYFUNCTION("""COMPUTED_VALUE"""),46002)</f>
        <v>46002</v>
      </c>
      <c r="K21" s="33" t="str">
        <f ca="1">IFERROR(__xludf.DUMMYFUNCTION("""COMPUTED_VALUE"""),"Factura audífonos")</f>
        <v>Factura audífonos</v>
      </c>
      <c r="L21" s="57">
        <f ca="1">IFERROR(__xludf.DUMMYFUNCTION("""COMPUTED_VALUE"""),46036)</f>
        <v>46036</v>
      </c>
      <c r="M21" s="58" t="str">
        <f ca="1">IFERROR(__xludf.DUMMYFUNCTION("""COMPUTED_VALUE"""),"NO")</f>
        <v>NO</v>
      </c>
      <c r="N21" s="56">
        <f ca="1">IFERROR(__xludf.DUMMYFUNCTION("""COMPUTED_VALUE"""),2)</f>
        <v>2</v>
      </c>
      <c r="O21" s="64" t="str">
        <f ca="1">IFERROR(__xludf.DUMMYFUNCTION("""COMPUTED_VALUE"""),"QUIET")</f>
        <v>QUIET</v>
      </c>
      <c r="P21" s="60">
        <f ca="1">IFERROR(__xludf.DUMMYFUNCTION("""COMPUTED_VALUE"""),2581.82)</f>
        <v>2581.8200000000002</v>
      </c>
      <c r="Q21" s="33" t="str">
        <f ca="1">IFERROR(__xludf.DUMMYFUNCTION("""COMPUTED_VALUE"""),"Maika Blázquez")</f>
        <v>Maika Blázquez</v>
      </c>
      <c r="R21" s="60" t="str">
        <f ca="1">IFERROR(__xludf.DUMMYFUNCTION("""COMPUTED_VALUE"""),"Diana Hernán Pérez")</f>
        <v>Diana Hernán Pérez</v>
      </c>
      <c r="S21" s="61" t="str">
        <f ca="1">IFERROR(__xludf.DUMMYFUNCTION("""COMPUTED_VALUE"""),"03 ORL")</f>
        <v>03 ORL</v>
      </c>
      <c r="T21" s="33" t="str">
        <f ca="1">IFERROR(__xludf.DUMMYFUNCTION("""COMPUTED_VALUE"""),"06 ORL")</f>
        <v>06 ORL</v>
      </c>
      <c r="U21" s="62"/>
      <c r="W21" s="62"/>
      <c r="X21" s="62"/>
    </row>
    <row r="22" spans="1:31" ht="16">
      <c r="A22" s="33"/>
      <c r="B22" s="55" t="str">
        <f t="shared" ca="1" si="0"/>
        <v>ISL</v>
      </c>
      <c r="C22" s="1" t="str">
        <f ca="1">IFERROR(__xludf.DUMMYFUNCTION("""COMPUTED_VALUE"""),"ISL150")</f>
        <v>ISL150</v>
      </c>
      <c r="D22" s="33" t="str">
        <f ca="1">IFERROR(__xludf.DUMMYFUNCTION("""COMPUTED_VALUE"""),"PROPIOS")</f>
        <v>PROPIOS</v>
      </c>
      <c r="E22" s="33">
        <f ca="1">IFERROR(__xludf.DUMMYFUNCTION("""COMPUTED_VALUE"""),2026)</f>
        <v>2026</v>
      </c>
      <c r="F22" s="56">
        <f ca="1">IFERROR(__xludf.DUMMYFUNCTION("""COMPUTED_VALUE"""),1)</f>
        <v>1</v>
      </c>
      <c r="G22" s="33" t="str">
        <f ca="1">IFERROR(__xludf.DUMMYFUNCTION("""COMPUTED_VALUE"""),"Toledo")</f>
        <v>Toledo</v>
      </c>
      <c r="H22" s="33" t="str">
        <f ca="1">IFERROR(__xludf.DUMMYFUNCTION("""COMPUTED_VALUE"""),"C202512231029369451")</f>
        <v>C202512231029369451</v>
      </c>
      <c r="I22" s="33" t="str">
        <f ca="1">IFERROR(__xludf.DUMMYFUNCTION("""COMPUTED_VALUE"""),"Dolores  Sanz Contreras")</f>
        <v>Dolores  Sanz Contreras</v>
      </c>
      <c r="J22" s="57">
        <f ca="1">IFERROR(__xludf.DUMMYFUNCTION("""COMPUTED_VALUE"""),46014)</f>
        <v>46014</v>
      </c>
      <c r="K22" s="33" t="str">
        <f ca="1">IFERROR(__xludf.DUMMYFUNCTION("""COMPUTED_VALUE"""),"Factura audífonos")</f>
        <v>Factura audífonos</v>
      </c>
      <c r="L22" s="57">
        <f ca="1">IFERROR(__xludf.DUMMYFUNCTION("""COMPUTED_VALUE"""),46036)</f>
        <v>46036</v>
      </c>
      <c r="M22" s="58" t="str">
        <f ca="1">IFERROR(__xludf.DUMMYFUNCTION("""COMPUTED_VALUE"""),"NO")</f>
        <v>NO</v>
      </c>
      <c r="N22" s="56">
        <f ca="1">IFERROR(__xludf.DUMMYFUNCTION("""COMPUTED_VALUE"""),1)</f>
        <v>1</v>
      </c>
      <c r="O22" s="58" t="str">
        <f ca="1">IFERROR(__xludf.DUMMYFUNCTION("""COMPUTED_VALUE"""),"QUIET")</f>
        <v>QUIET</v>
      </c>
      <c r="P22" s="60">
        <f ca="1">IFERROR(__xludf.DUMMYFUNCTION("""COMPUTED_VALUE"""),1550.23)</f>
        <v>1550.23</v>
      </c>
      <c r="Q22" s="33" t="str">
        <f ca="1">IFERROR(__xludf.DUMMYFUNCTION("""COMPUTED_VALUE"""),"Lisandro Russian")</f>
        <v>Lisandro Russian</v>
      </c>
      <c r="R22" s="60" t="str">
        <f ca="1">IFERROR(__xludf.DUMMYFUNCTION("""COMPUTED_VALUE"""),"Alejandra Alvarado Namen")</f>
        <v>Alejandra Alvarado Namen</v>
      </c>
      <c r="S22" s="61" t="str">
        <f ca="1">IFERROR(__xludf.DUMMYFUNCTION("""COMPUTED_VALUE"""),"03 ORL")</f>
        <v>03 ORL</v>
      </c>
      <c r="T22" s="33" t="str">
        <f ca="1">IFERROR(__xludf.DUMMYFUNCTION("""COMPUTED_VALUE"""),"06 ORL")</f>
        <v>06 ORL</v>
      </c>
      <c r="U22" s="62"/>
      <c r="W22" s="62"/>
      <c r="X22" s="62"/>
    </row>
    <row r="23" spans="1:31" ht="16">
      <c r="A23" s="33"/>
      <c r="B23" s="55" t="str">
        <f t="shared" ca="1" si="0"/>
        <v>MBM</v>
      </c>
      <c r="C23" s="64" t="str">
        <f ca="1">IFERROR(__xludf.DUMMYFUNCTION("""COMPUTED_VALUE"""),"MBM52")</f>
        <v>MBM52</v>
      </c>
      <c r="D23" s="33" t="str">
        <f ca="1">IFERROR(__xludf.DUMMYFUNCTION("""COMPUTED_VALUE"""),"PARTICIPADOS")</f>
        <v>PARTICIPADOS</v>
      </c>
      <c r="E23" s="33">
        <f ca="1">IFERROR(__xludf.DUMMYFUNCTION("""COMPUTED_VALUE"""),2026)</f>
        <v>2026</v>
      </c>
      <c r="F23" s="56">
        <f ca="1">IFERROR(__xludf.DUMMYFUNCTION("""COMPUTED_VALUE"""),1)</f>
        <v>1</v>
      </c>
      <c r="G23" s="33" t="str">
        <f ca="1">IFERROR(__xludf.DUMMYFUNCTION("""COMPUTED_VALUE"""),"Madrid- La Oca")</f>
        <v>Madrid- La Oca</v>
      </c>
      <c r="H23" s="33" t="str">
        <f ca="1">IFERROR(__xludf.DUMMYFUNCTION("""COMPUTED_VALUE"""),"C202512911118838876")</f>
        <v>C202512911118838876</v>
      </c>
      <c r="I23" s="33" t="str">
        <f ca="1">IFERROR(__xludf.DUMMYFUNCTION("""COMPUTED_VALUE"""),"MARIA JOSEFA DE MELCHOR DIEZ")</f>
        <v>MARIA JOSEFA DE MELCHOR DIEZ</v>
      </c>
      <c r="J23" s="57">
        <f ca="1">IFERROR(__xludf.DUMMYFUNCTION("""COMPUTED_VALUE"""),46000)</f>
        <v>46000</v>
      </c>
      <c r="K23" s="33" t="str">
        <f ca="1">IFERROR(__xludf.DUMMYFUNCTION("""COMPUTED_VALUE"""),"Factura audífonos")</f>
        <v>Factura audífonos</v>
      </c>
      <c r="L23" s="57">
        <f ca="1">IFERROR(__xludf.DUMMYFUNCTION("""COMPUTED_VALUE"""),46036)</f>
        <v>46036</v>
      </c>
      <c r="M23" s="58" t="str">
        <f ca="1">IFERROR(__xludf.DUMMYFUNCTION("""COMPUTED_VALUE"""),"NO")</f>
        <v>NO</v>
      </c>
      <c r="N23" s="56">
        <f ca="1">IFERROR(__xludf.DUMMYFUNCTION("""COMPUTED_VALUE"""),2)</f>
        <v>2</v>
      </c>
      <c r="O23" s="58" t="str">
        <f ca="1">IFERROR(__xludf.DUMMYFUNCTION("""COMPUTED_VALUE"""),"CONFORT")</f>
        <v>CONFORT</v>
      </c>
      <c r="P23" s="60">
        <f ca="1">IFERROR(__xludf.DUMMYFUNCTION("""COMPUTED_VALUE"""),3631.82)</f>
        <v>3631.82</v>
      </c>
      <c r="Q23" s="33" t="str">
        <f ca="1">IFERROR(__xludf.DUMMYFUNCTION("""COMPUTED_VALUE"""),"Maika Blázquez")</f>
        <v>Maika Blázquez</v>
      </c>
      <c r="R23" s="60" t="str">
        <f ca="1">IFERROR(__xludf.DUMMYFUNCTION("""COMPUTED_VALUE"""),"José Joaquín Gutiérrez Barquín")</f>
        <v>José Joaquín Gutiérrez Barquín</v>
      </c>
      <c r="S23" s="61" t="str">
        <f ca="1">IFERROR(__xludf.DUMMYFUNCTION("""COMPUTED_VALUE"""),"03 ORL")</f>
        <v>03 ORL</v>
      </c>
      <c r="T23" s="33" t="str">
        <f ca="1">IFERROR(__xludf.DUMMYFUNCTION("""COMPUTED_VALUE"""),"06 ORL")</f>
        <v>06 ORL</v>
      </c>
      <c r="U23" s="62"/>
      <c r="W23" s="62"/>
      <c r="X23" s="62"/>
      <c r="AE23" s="1"/>
    </row>
    <row r="24" spans="1:31" ht="16">
      <c r="A24" s="33"/>
      <c r="B24" s="55" t="str">
        <f t="shared" ca="1" si="0"/>
        <v>LRM</v>
      </c>
      <c r="C24" s="64" t="str">
        <f ca="1">IFERROR(__xludf.DUMMYFUNCTION("""COMPUTED_VALUE"""),"LRM239")</f>
        <v>LRM239</v>
      </c>
      <c r="D24" s="33" t="str">
        <f ca="1">IFERROR(__xludf.DUMMYFUNCTION("""COMPUTED_VALUE"""),"PROPIOS")</f>
        <v>PROPIOS</v>
      </c>
      <c r="E24" s="33">
        <f ca="1">IFERROR(__xludf.DUMMYFUNCTION("""COMPUTED_VALUE"""),2026)</f>
        <v>2026</v>
      </c>
      <c r="F24" s="56">
        <f ca="1">IFERROR(__xludf.DUMMYFUNCTION("""COMPUTED_VALUE"""),1)</f>
        <v>1</v>
      </c>
      <c r="G24" s="33" t="str">
        <f ca="1">IFERROR(__xludf.DUMMYFUNCTION("""COMPUTED_VALUE"""),"Madrid- Juan Bravo")</f>
        <v>Madrid- Juan Bravo</v>
      </c>
      <c r="H24" s="33" t="str">
        <f ca="1">IFERROR(__xludf.DUMMYFUNCTION("""COMPUTED_VALUE"""),"C202512181052238972")</f>
        <v>C202512181052238972</v>
      </c>
      <c r="I24" s="33" t="str">
        <f ca="1">IFERROR(__xludf.DUMMYFUNCTION("""COMPUTED_VALUE"""),"CONCEPCION FERNANDEZ LOPEZ")</f>
        <v>CONCEPCION FERNANDEZ LOPEZ</v>
      </c>
      <c r="J24" s="57">
        <f ca="1">IFERROR(__xludf.DUMMYFUNCTION("""COMPUTED_VALUE"""),46009)</f>
        <v>46009</v>
      </c>
      <c r="K24" s="33" t="str">
        <f ca="1">IFERROR(__xludf.DUMMYFUNCTION("""COMPUTED_VALUE"""),"Factura audífonos")</f>
        <v>Factura audífonos</v>
      </c>
      <c r="L24" s="57">
        <f ca="1">IFERROR(__xludf.DUMMYFUNCTION("""COMPUTED_VALUE"""),46036)</f>
        <v>46036</v>
      </c>
      <c r="M24" s="58" t="str">
        <f ca="1">IFERROR(__xludf.DUMMYFUNCTION("""COMPUTED_VALUE"""),"NO")</f>
        <v>NO</v>
      </c>
      <c r="N24" s="56">
        <f ca="1">IFERROR(__xludf.DUMMYFUNCTION("""COMPUTED_VALUE"""),2)</f>
        <v>2</v>
      </c>
      <c r="O24" s="64" t="str">
        <f ca="1">IFERROR(__xludf.DUMMYFUNCTION("""COMPUTED_VALUE"""),"ADVANCED")</f>
        <v>ADVANCED</v>
      </c>
      <c r="P24" s="59">
        <f ca="1">IFERROR(__xludf.DUMMYFUNCTION("""COMPUTED_VALUE"""),3929.55)</f>
        <v>3929.55</v>
      </c>
      <c r="Q24" s="33" t="str">
        <f ca="1">IFERROR(__xludf.DUMMYFUNCTION("""COMPUTED_VALUE"""),"Lisandro Russian")</f>
        <v>Lisandro Russian</v>
      </c>
      <c r="R24" s="60" t="str">
        <f ca="1">IFERROR(__xludf.DUMMYFUNCTION("""COMPUTED_VALUE"""),"Carlos Barajas del Rosal")</f>
        <v>Carlos Barajas del Rosal</v>
      </c>
      <c r="S24" s="61" t="str">
        <f ca="1">IFERROR(__xludf.DUMMYFUNCTION("""COMPUTED_VALUE"""),"03 ORL")</f>
        <v>03 ORL</v>
      </c>
      <c r="T24" s="33" t="str">
        <f ca="1">IFERROR(__xludf.DUMMYFUNCTION("""COMPUTED_VALUE"""),"06 ORL")</f>
        <v>06 ORL</v>
      </c>
      <c r="U24" s="62"/>
      <c r="W24" s="62"/>
      <c r="X24" s="62"/>
    </row>
    <row r="25" spans="1:31" ht="16">
      <c r="A25" s="33"/>
      <c r="B25" s="55" t="str">
        <f t="shared" si="0"/>
        <v/>
      </c>
      <c r="C25" s="64"/>
      <c r="D25" s="33" t="str">
        <f ca="1">IFERROR(__xludf.DUMMYFUNCTION("""COMPUTED_VALUE"""),"PARTICIPADOS")</f>
        <v>PARTICIPADOS</v>
      </c>
      <c r="E25" s="33">
        <f ca="1">IFERROR(__xludf.DUMMYFUNCTION("""COMPUTED_VALUE"""),2026)</f>
        <v>2026</v>
      </c>
      <c r="F25" s="56">
        <f ca="1">IFERROR(__xludf.DUMMYFUNCTION("""COMPUTED_VALUE"""),1)</f>
        <v>1</v>
      </c>
      <c r="G25" s="33" t="str">
        <f ca="1">IFERROR(__xludf.DUMMYFUNCTION("""COMPUTED_VALUE"""),"Ourense")</f>
        <v>Ourense</v>
      </c>
      <c r="H25" s="33" t="str">
        <f ca="1">IFERROR(__xludf.DUMMYFUNCTION("""COMPUTED_VALUE"""),"C202511241525371421")</f>
        <v>C202511241525371421</v>
      </c>
      <c r="I25" s="33" t="str">
        <f ca="1">IFERROR(__xludf.DUMMYFUNCTION("""COMPUTED_VALUE"""),"ESTHER CAMINO BLANCO")</f>
        <v>ESTHER CAMINO BLANCO</v>
      </c>
      <c r="J25" s="57">
        <f ca="1">IFERROR(__xludf.DUMMYFUNCTION("""COMPUTED_VALUE"""),45985)</f>
        <v>45985</v>
      </c>
      <c r="K25" s="33" t="str">
        <f ca="1">IFERROR(__xludf.DUMMYFUNCTION("""COMPUTED_VALUE"""),"Factura audífonos")</f>
        <v>Factura audífonos</v>
      </c>
      <c r="L25" s="57">
        <f ca="1">IFERROR(__xludf.DUMMYFUNCTION("""COMPUTED_VALUE"""),46036)</f>
        <v>46036</v>
      </c>
      <c r="M25" s="58" t="str">
        <f ca="1">IFERROR(__xludf.DUMMYFUNCTION("""COMPUTED_VALUE"""),"NO")</f>
        <v>NO</v>
      </c>
      <c r="N25" s="56">
        <f ca="1">IFERROR(__xludf.DUMMYFUNCTION("""COMPUTED_VALUE"""),2)</f>
        <v>2</v>
      </c>
      <c r="O25" s="58" t="str">
        <f ca="1">IFERROR(__xludf.DUMMYFUNCTION("""COMPUTED_VALUE"""),"CONFORT")</f>
        <v>CONFORT</v>
      </c>
      <c r="P25" s="60">
        <f ca="1">IFERROR(__xludf.DUMMYFUNCTION("""COMPUTED_VALUE"""),3631.82)</f>
        <v>3631.82</v>
      </c>
      <c r="Q25" s="33" t="str">
        <f ca="1">IFERROR(__xludf.DUMMYFUNCTION("""COMPUTED_VALUE"""),"Alberto Moreno")</f>
        <v>Alberto Moreno</v>
      </c>
      <c r="R25" s="60" t="str">
        <f ca="1">IFERROR(__xludf.DUMMYFUNCTION("""COMPUTED_VALUE"""),"No recuerda ORL")</f>
        <v>No recuerda ORL</v>
      </c>
      <c r="S25" s="61" t="str">
        <f ca="1">IFERROR(__xludf.DUMMYFUNCTION("""COMPUTED_VALUE"""),"03 ORL")</f>
        <v>03 ORL</v>
      </c>
      <c r="T25" s="33" t="str">
        <f ca="1">IFERROR(__xludf.DUMMYFUNCTION("""COMPUTED_VALUE"""),"06 ORL")</f>
        <v>06 ORL</v>
      </c>
      <c r="U25" s="62"/>
      <c r="W25" s="62"/>
      <c r="X25" s="62"/>
    </row>
    <row r="26" spans="1:31" ht="16">
      <c r="A26" s="33"/>
      <c r="B26" s="55" t="str">
        <f t="shared" ca="1" si="0"/>
        <v>MBM</v>
      </c>
      <c r="C26" s="64" t="str">
        <f ca="1">IFERROR(__xludf.DUMMYFUNCTION("""COMPUTED_VALUE"""),"MBM124")</f>
        <v>MBM124</v>
      </c>
      <c r="D26" s="33" t="str">
        <f ca="1">IFERROR(__xludf.DUMMYFUNCTION("""COMPUTED_VALUE"""),"PROPIOS")</f>
        <v>PROPIOS</v>
      </c>
      <c r="E26" s="33">
        <f ca="1">IFERROR(__xludf.DUMMYFUNCTION("""COMPUTED_VALUE"""),2026)</f>
        <v>2026</v>
      </c>
      <c r="F26" s="56">
        <f ca="1">IFERROR(__xludf.DUMMYFUNCTION("""COMPUTED_VALUE"""),1)</f>
        <v>1</v>
      </c>
      <c r="G26" s="33" t="str">
        <f ca="1">IFERROR(__xludf.DUMMYFUNCTION("""COMPUTED_VALUE"""),"Fuenlabrada")</f>
        <v>Fuenlabrada</v>
      </c>
      <c r="H26" s="33" t="str">
        <f ca="1">IFERROR(__xludf.DUMMYFUNCTION("""COMPUTED_VALUE"""),"C202512171612178703")</f>
        <v>C202512171612178703</v>
      </c>
      <c r="I26" s="33" t="str">
        <f ca="1">IFERROR(__xludf.DUMMYFUNCTION("""COMPUTED_VALUE"""),"EMILIO CAMACHO BALLERO")</f>
        <v>EMILIO CAMACHO BALLERO</v>
      </c>
      <c r="J26" s="57">
        <f ca="1">IFERROR(__xludf.DUMMYFUNCTION("""COMPUTED_VALUE"""),46008)</f>
        <v>46008</v>
      </c>
      <c r="K26" s="33" t="str">
        <f ca="1">IFERROR(__xludf.DUMMYFUNCTION("""COMPUTED_VALUE"""),"Factura audífonos")</f>
        <v>Factura audífonos</v>
      </c>
      <c r="L26" s="57">
        <f ca="1">IFERROR(__xludf.DUMMYFUNCTION("""COMPUTED_VALUE"""),46037)</f>
        <v>46037</v>
      </c>
      <c r="M26" s="58" t="str">
        <f ca="1">IFERROR(__xludf.DUMMYFUNCTION("""COMPUTED_VALUE"""),"NO")</f>
        <v>NO</v>
      </c>
      <c r="N26" s="56">
        <f ca="1">IFERROR(__xludf.DUMMYFUNCTION("""COMPUTED_VALUE"""),2)</f>
        <v>2</v>
      </c>
      <c r="O26" s="58" t="str">
        <f ca="1">IFERROR(__xludf.DUMMYFUNCTION("""COMPUTED_VALUE"""),"PRO")</f>
        <v>PRO</v>
      </c>
      <c r="P26" s="59">
        <f ca="1">IFERROR(__xludf.DUMMYFUNCTION("""COMPUTED_VALUE"""),4536.36)</f>
        <v>4536.3599999999997</v>
      </c>
      <c r="Q26" s="33" t="str">
        <f ca="1">IFERROR(__xludf.DUMMYFUNCTION("""COMPUTED_VALUE"""),"Maika Blázquez")</f>
        <v>Maika Blázquez</v>
      </c>
      <c r="R26" s="60" t="str">
        <f ca="1">IFERROR(__xludf.DUMMYFUNCTION("""COMPUTED_VALUE"""),"Ithzel Maria Villarreal Patiño")</f>
        <v>Ithzel Maria Villarreal Patiño</v>
      </c>
      <c r="S26" s="61" t="str">
        <f ca="1">IFERROR(__xludf.DUMMYFUNCTION("""COMPUTED_VALUE"""),"03 ORL")</f>
        <v>03 ORL</v>
      </c>
      <c r="T26" s="33" t="str">
        <f ca="1">IFERROR(__xludf.DUMMYFUNCTION("""COMPUTED_VALUE"""),"06 ORL")</f>
        <v>06 ORL</v>
      </c>
      <c r="U26" s="62"/>
      <c r="W26" s="62"/>
      <c r="X26" s="62"/>
    </row>
    <row r="27" spans="1:31" ht="16">
      <c r="A27" s="33"/>
      <c r="B27" s="55" t="str">
        <f t="shared" ca="1" si="0"/>
        <v>RPG</v>
      </c>
      <c r="C27" s="64" t="str">
        <f ca="1">IFERROR(__xludf.DUMMYFUNCTION("""COMPUTED_VALUE"""),"RPG30")</f>
        <v>RPG30</v>
      </c>
      <c r="D27" s="33" t="str">
        <f ca="1">IFERROR(__xludf.DUMMYFUNCTION("""COMPUTED_VALUE"""),"PARTICIPADOS")</f>
        <v>PARTICIPADOS</v>
      </c>
      <c r="E27" s="33">
        <f ca="1">IFERROR(__xludf.DUMMYFUNCTION("""COMPUTED_VALUE"""),2026)</f>
        <v>2026</v>
      </c>
      <c r="F27" s="56">
        <f ca="1">IFERROR(__xludf.DUMMYFUNCTION("""COMPUTED_VALUE"""),1)</f>
        <v>1</v>
      </c>
      <c r="G27" s="33" t="str">
        <f ca="1">IFERROR(__xludf.DUMMYFUNCTION("""COMPUTED_VALUE"""),"Lugo")</f>
        <v>Lugo</v>
      </c>
      <c r="H27" s="33" t="str">
        <f ca="1">IFERROR(__xludf.DUMMYFUNCTION("""COMPUTED_VALUE"""),"C202512318124615792")</f>
        <v>C202512318124615792</v>
      </c>
      <c r="I27" s="33" t="str">
        <f ca="1">IFERROR(__xludf.DUMMYFUNCTION("""COMPUTED_VALUE"""),"ANDRES BARREIRO LOIS")</f>
        <v>ANDRES BARREIRO LOIS</v>
      </c>
      <c r="J27" s="57">
        <f ca="1">IFERROR(__xludf.DUMMYFUNCTION("""COMPUTED_VALUE"""),45994)</f>
        <v>45994</v>
      </c>
      <c r="K27" s="33" t="str">
        <f ca="1">IFERROR(__xludf.DUMMYFUNCTION("""COMPUTED_VALUE"""),"Factura audífonos")</f>
        <v>Factura audífonos</v>
      </c>
      <c r="L27" s="57">
        <f ca="1">IFERROR(__xludf.DUMMYFUNCTION("""COMPUTED_VALUE"""),46037)</f>
        <v>46037</v>
      </c>
      <c r="M27" s="58" t="str">
        <f ca="1">IFERROR(__xludf.DUMMYFUNCTION("""COMPUTED_VALUE"""),"NO")</f>
        <v>NO</v>
      </c>
      <c r="N27" s="56">
        <f ca="1">IFERROR(__xludf.DUMMYFUNCTION("""COMPUTED_VALUE"""),2)</f>
        <v>2</v>
      </c>
      <c r="O27" s="64" t="str">
        <f ca="1">IFERROR(__xludf.DUMMYFUNCTION("""COMPUTED_VALUE"""),"ADVANCED")</f>
        <v>ADVANCED</v>
      </c>
      <c r="P27" s="60">
        <f ca="1">IFERROR(__xludf.DUMMYFUNCTION("""COMPUTED_VALUE"""),3929.09)</f>
        <v>3929.09</v>
      </c>
      <c r="Q27" s="33" t="str">
        <f ca="1">IFERROR(__xludf.DUMMYFUNCTION("""COMPUTED_VALUE"""),"Alberto Moreno")</f>
        <v>Alberto Moreno</v>
      </c>
      <c r="R27" s="60" t="str">
        <f ca="1">IFERROR(__xludf.DUMMYFUNCTION("""COMPUTED_VALUE"""),"Pedro Juiz López")</f>
        <v>Pedro Juiz López</v>
      </c>
      <c r="S27" s="61" t="str">
        <f ca="1">IFERROR(__xludf.DUMMYFUNCTION("""COMPUTED_VALUE"""),"03 ORL")</f>
        <v>03 ORL</v>
      </c>
      <c r="T27" s="33" t="str">
        <f ca="1">IFERROR(__xludf.DUMMYFUNCTION("""COMPUTED_VALUE"""),"06 ORL")</f>
        <v>06 ORL</v>
      </c>
      <c r="U27" s="62"/>
      <c r="W27" s="62"/>
      <c r="X27" s="62"/>
    </row>
    <row r="28" spans="1:31" ht="16">
      <c r="A28" s="33"/>
      <c r="B28" s="55" t="str">
        <f t="shared" ca="1" si="0"/>
        <v>MBM</v>
      </c>
      <c r="C28" s="64" t="str">
        <f ca="1">IFERROR(__xludf.DUMMYFUNCTION("""COMPUTED_VALUE"""),"MBM21")</f>
        <v>MBM21</v>
      </c>
      <c r="D28" s="33" t="str">
        <f ca="1">IFERROR(__xludf.DUMMYFUNCTION("""COMPUTED_VALUE"""),"PARTICIPADOS")</f>
        <v>PARTICIPADOS</v>
      </c>
      <c r="E28" s="33">
        <f ca="1">IFERROR(__xludf.DUMMYFUNCTION("""COMPUTED_VALUE"""),2026)</f>
        <v>2026</v>
      </c>
      <c r="F28" s="56">
        <f ca="1">IFERROR(__xludf.DUMMYFUNCTION("""COMPUTED_VALUE"""),1)</f>
        <v>1</v>
      </c>
      <c r="G28" s="33" t="str">
        <f ca="1">IFERROR(__xludf.DUMMYFUNCTION("""COMPUTED_VALUE"""),"Madrid- La Oca")</f>
        <v>Madrid- La Oca</v>
      </c>
      <c r="H28" s="33" t="str">
        <f ca="1">IFERROR(__xludf.DUMMYFUNCTION("""COMPUTED_VALUE"""),"C202511201642289976")</f>
        <v>C202511201642289976</v>
      </c>
      <c r="I28" s="33" t="str">
        <f ca="1">IFERROR(__xludf.DUMMYFUNCTION("""COMPUTED_VALUE"""),"MANUELA LLAMAS DE PAZ")</f>
        <v>MANUELA LLAMAS DE PAZ</v>
      </c>
      <c r="J28" s="57">
        <f ca="1">IFERROR(__xludf.DUMMYFUNCTION("""COMPUTED_VALUE"""),45981)</f>
        <v>45981</v>
      </c>
      <c r="K28" s="33" t="str">
        <f ca="1">IFERROR(__xludf.DUMMYFUNCTION("""COMPUTED_VALUE"""),"Factura audífonos")</f>
        <v>Factura audífonos</v>
      </c>
      <c r="L28" s="57">
        <f ca="1">IFERROR(__xludf.DUMMYFUNCTION("""COMPUTED_VALUE"""),46037)</f>
        <v>46037</v>
      </c>
      <c r="M28" s="58" t="str">
        <f ca="1">IFERROR(__xludf.DUMMYFUNCTION("""COMPUTED_VALUE"""),"NO")</f>
        <v>NO</v>
      </c>
      <c r="N28" s="56">
        <f ca="1">IFERROR(__xludf.DUMMYFUNCTION("""COMPUTED_VALUE"""),2)</f>
        <v>2</v>
      </c>
      <c r="O28" s="64" t="str">
        <f ca="1">IFERROR(__xludf.DUMMYFUNCTION("""COMPUTED_VALUE"""),"QUIET")</f>
        <v>QUIET</v>
      </c>
      <c r="P28" s="59">
        <f ca="1">IFERROR(__xludf.DUMMYFUNCTION("""COMPUTED_VALUE"""),2581.82)</f>
        <v>2581.8200000000002</v>
      </c>
      <c r="Q28" s="33" t="str">
        <f ca="1">IFERROR(__xludf.DUMMYFUNCTION("""COMPUTED_VALUE"""),"Maika Blázquez")</f>
        <v>Maika Blázquez</v>
      </c>
      <c r="R28" s="60" t="str">
        <f ca="1">IFERROR(__xludf.DUMMYFUNCTION("""COMPUTED_VALUE"""),"Félix Rodríguez Paz")</f>
        <v>Félix Rodríguez Paz</v>
      </c>
      <c r="S28" s="61" t="str">
        <f ca="1">IFERROR(__xludf.DUMMYFUNCTION("""COMPUTED_VALUE"""),"03 ORL")</f>
        <v>03 ORL</v>
      </c>
      <c r="T28" s="33" t="str">
        <f ca="1">IFERROR(__xludf.DUMMYFUNCTION("""COMPUTED_VALUE"""),"06 ORL")</f>
        <v>06 ORL</v>
      </c>
      <c r="U28" s="62"/>
      <c r="W28" s="62"/>
      <c r="X28" s="62"/>
      <c r="AE28" s="1"/>
    </row>
    <row r="29" spans="1:31" ht="16">
      <c r="A29" s="33"/>
      <c r="B29" s="55" t="str">
        <f t="shared" ca="1" si="0"/>
        <v>MBM</v>
      </c>
      <c r="C29" s="64" t="str">
        <f ca="1">IFERROR(__xludf.DUMMYFUNCTION("""COMPUTED_VALUE"""),"MBM50")</f>
        <v>MBM50</v>
      </c>
      <c r="D29" s="33" t="str">
        <f ca="1">IFERROR(__xludf.DUMMYFUNCTION("""COMPUTED_VALUE"""),"PROPIOS")</f>
        <v>PROPIOS</v>
      </c>
      <c r="E29" s="33">
        <f ca="1">IFERROR(__xludf.DUMMYFUNCTION("""COMPUTED_VALUE"""),2026)</f>
        <v>2026</v>
      </c>
      <c r="F29" s="56">
        <f ca="1">IFERROR(__xludf.DUMMYFUNCTION("""COMPUTED_VALUE"""),1)</f>
        <v>1</v>
      </c>
      <c r="G29" s="33" t="str">
        <f ca="1">IFERROR(__xludf.DUMMYFUNCTION("""COMPUTED_VALUE"""),"Madrid- Canillas")</f>
        <v>Madrid- Canillas</v>
      </c>
      <c r="H29" s="33" t="str">
        <f ca="1">IFERROR(__xludf.DUMMYFUNCTION("""COMPUTED_VALUE"""),"C202511271715586820")</f>
        <v>C202511271715586820</v>
      </c>
      <c r="I29" s="33" t="str">
        <f ca="1">IFERROR(__xludf.DUMMYFUNCTION("""COMPUTED_VALUE"""),"ROSA DE LA FLOR GONZÁLEZ")</f>
        <v>ROSA DE LA FLOR GONZÁLEZ</v>
      </c>
      <c r="J29" s="57">
        <f ca="1">IFERROR(__xludf.DUMMYFUNCTION("""COMPUTED_VALUE"""),45988)</f>
        <v>45988</v>
      </c>
      <c r="K29" s="33" t="str">
        <f ca="1">IFERROR(__xludf.DUMMYFUNCTION("""COMPUTED_VALUE"""),"Factura audífonos")</f>
        <v>Factura audífonos</v>
      </c>
      <c r="L29" s="57">
        <f ca="1">IFERROR(__xludf.DUMMYFUNCTION("""COMPUTED_VALUE"""),46037)</f>
        <v>46037</v>
      </c>
      <c r="M29" s="58" t="str">
        <f ca="1">IFERROR(__xludf.DUMMYFUNCTION("""COMPUTED_VALUE"""),"NO")</f>
        <v>NO</v>
      </c>
      <c r="N29" s="56">
        <f ca="1">IFERROR(__xludf.DUMMYFUNCTION("""COMPUTED_VALUE"""),2)</f>
        <v>2</v>
      </c>
      <c r="O29" s="64" t="str">
        <f ca="1">IFERROR(__xludf.DUMMYFUNCTION("""COMPUTED_VALUE"""),"QUIET")</f>
        <v>QUIET</v>
      </c>
      <c r="P29" s="59">
        <f ca="1">IFERROR(__xludf.DUMMYFUNCTION("""COMPUTED_VALUE"""),2718.18)</f>
        <v>2718.18</v>
      </c>
      <c r="Q29" s="33" t="str">
        <f ca="1">IFERROR(__xludf.DUMMYFUNCTION("""COMPUTED_VALUE"""),"Maika Blázquez")</f>
        <v>Maika Blázquez</v>
      </c>
      <c r="R29" s="60" t="str">
        <f ca="1">IFERROR(__xludf.DUMMYFUNCTION("""COMPUTED_VALUE"""),"José Gustavo Barroso Braojos")</f>
        <v>José Gustavo Barroso Braojos</v>
      </c>
      <c r="S29" s="61" t="str">
        <f ca="1">IFERROR(__xludf.DUMMYFUNCTION("""COMPUTED_VALUE"""),"03 ORL")</f>
        <v>03 ORL</v>
      </c>
      <c r="T29" s="33" t="str">
        <f ca="1">IFERROR(__xludf.DUMMYFUNCTION("""COMPUTED_VALUE"""),"06 ORL")</f>
        <v>06 ORL</v>
      </c>
      <c r="U29" s="62"/>
      <c r="W29" s="62"/>
      <c r="X29" s="62"/>
    </row>
    <row r="30" spans="1:31" ht="16">
      <c r="A30" s="33"/>
      <c r="B30" s="55" t="str">
        <f t="shared" ca="1" si="0"/>
        <v>MBM</v>
      </c>
      <c r="C30" s="64" t="str">
        <f ca="1">IFERROR(__xludf.DUMMYFUNCTION("""COMPUTED_VALUE"""),"MBM39")</f>
        <v>MBM39</v>
      </c>
      <c r="D30" s="33" t="str">
        <f ca="1">IFERROR(__xludf.DUMMYFUNCTION("""COMPUTED_VALUE"""),"PROPIOS")</f>
        <v>PROPIOS</v>
      </c>
      <c r="E30" s="33">
        <f ca="1">IFERROR(__xludf.DUMMYFUNCTION("""COMPUTED_VALUE"""),2026)</f>
        <v>2026</v>
      </c>
      <c r="F30" s="56">
        <f ca="1">IFERROR(__xludf.DUMMYFUNCTION("""COMPUTED_VALUE"""),1)</f>
        <v>1</v>
      </c>
      <c r="G30" s="33" t="str">
        <f ca="1">IFERROR(__xludf.DUMMYFUNCTION("""COMPUTED_VALUE"""),"Madrid- Juan Bravo")</f>
        <v>Madrid- Juan Bravo</v>
      </c>
      <c r="H30" s="33" t="str">
        <f ca="1">IFERROR(__xludf.DUMMYFUNCTION("""COMPUTED_VALUE"""),"C202512191021357942")</f>
        <v>C202512191021357942</v>
      </c>
      <c r="I30" s="33" t="str">
        <f ca="1">IFERROR(__xludf.DUMMYFUNCTION("""COMPUTED_VALUE"""),"LUCAS ROMERO MILLAN")</f>
        <v>LUCAS ROMERO MILLAN</v>
      </c>
      <c r="J30" s="57">
        <f ca="1">IFERROR(__xludf.DUMMYFUNCTION("""COMPUTED_VALUE"""),46010)</f>
        <v>46010</v>
      </c>
      <c r="K30" s="33" t="str">
        <f ca="1">IFERROR(__xludf.DUMMYFUNCTION("""COMPUTED_VALUE"""),"Factura audífonos")</f>
        <v>Factura audífonos</v>
      </c>
      <c r="L30" s="57">
        <f ca="1">IFERROR(__xludf.DUMMYFUNCTION("""COMPUTED_VALUE"""),46038)</f>
        <v>46038</v>
      </c>
      <c r="M30" s="64" t="str">
        <f ca="1">IFERROR(__xludf.DUMMYFUNCTION("""COMPUTED_VALUE"""),"NO")</f>
        <v>NO</v>
      </c>
      <c r="N30" s="56">
        <f ca="1">IFERROR(__xludf.DUMMYFUNCTION("""COMPUTED_VALUE"""),1)</f>
        <v>1</v>
      </c>
      <c r="O30" s="64" t="str">
        <f ca="1">IFERROR(__xludf.DUMMYFUNCTION("""COMPUTED_VALUE"""),"CONFORT")</f>
        <v>CONFORT</v>
      </c>
      <c r="P30" s="59">
        <f ca="1">IFERROR(__xludf.DUMMYFUNCTION("""COMPUTED_VALUE"""),2180.91)</f>
        <v>2180.91</v>
      </c>
      <c r="Q30" s="33" t="str">
        <f ca="1">IFERROR(__xludf.DUMMYFUNCTION("""COMPUTED_VALUE"""),"Maika Blázquez")</f>
        <v>Maika Blázquez</v>
      </c>
      <c r="R30" s="60" t="str">
        <f ca="1">IFERROR(__xludf.DUMMYFUNCTION("""COMPUTED_VALUE"""),"Javier García Domínguez")</f>
        <v>Javier García Domínguez</v>
      </c>
      <c r="S30" s="61" t="str">
        <f ca="1">IFERROR(__xludf.DUMMYFUNCTION("""COMPUTED_VALUE"""),"03 ORL")</f>
        <v>03 ORL</v>
      </c>
      <c r="T30" s="33" t="str">
        <f ca="1">IFERROR(__xludf.DUMMYFUNCTION("""COMPUTED_VALUE"""),"06 ORL")</f>
        <v>06 ORL</v>
      </c>
      <c r="U30" s="62"/>
      <c r="W30" s="62"/>
      <c r="X30" s="62"/>
    </row>
    <row r="31" spans="1:31" ht="16">
      <c r="A31" s="33"/>
      <c r="B31" s="55" t="str">
        <f t="shared" ca="1" si="0"/>
        <v>LRM</v>
      </c>
      <c r="C31" s="64" t="str">
        <f ca="1">IFERROR(__xludf.DUMMYFUNCTION("""COMPUTED_VALUE"""),"LRM113")</f>
        <v>LRM113</v>
      </c>
      <c r="D31" s="33" t="str">
        <f ca="1">IFERROR(__xludf.DUMMYFUNCTION("""COMPUTED_VALUE"""),"ASOCIADOS")</f>
        <v>ASOCIADOS</v>
      </c>
      <c r="E31" s="33">
        <f ca="1">IFERROR(__xludf.DUMMYFUNCTION("""COMPUTED_VALUE"""),2026)</f>
        <v>2026</v>
      </c>
      <c r="F31" s="56">
        <f ca="1">IFERROR(__xludf.DUMMYFUNCTION("""COMPUTED_VALUE"""),1)</f>
        <v>1</v>
      </c>
      <c r="G31" s="33" t="str">
        <f ca="1">IFERROR(__xludf.DUMMYFUNCTION("""COMPUTED_VALUE"""),"Cáceres")</f>
        <v>Cáceres</v>
      </c>
      <c r="H31" s="33" t="str">
        <f ca="1">IFERROR(__xludf.DUMMYFUNCTION("""COMPUTED_VALUE"""),"C202512161810167638")</f>
        <v>C202512161810167638</v>
      </c>
      <c r="I31" s="33" t="str">
        <f ca="1">IFERROR(__xludf.DUMMYFUNCTION("""COMPUTED_VALUE"""),"PEDRO BARROSO PEREZ")</f>
        <v>PEDRO BARROSO PEREZ</v>
      </c>
      <c r="J31" s="57">
        <f ca="1">IFERROR(__xludf.DUMMYFUNCTION("""COMPUTED_VALUE"""),46007)</f>
        <v>46007</v>
      </c>
      <c r="K31" s="33" t="str">
        <f ca="1">IFERROR(__xludf.DUMMYFUNCTION("""COMPUTED_VALUE"""),"Factura audífonos")</f>
        <v>Factura audífonos</v>
      </c>
      <c r="L31" s="57">
        <f ca="1">IFERROR(__xludf.DUMMYFUNCTION("""COMPUTED_VALUE"""),46038)</f>
        <v>46038</v>
      </c>
      <c r="M31" s="64" t="str">
        <f ca="1">IFERROR(__xludf.DUMMYFUNCTION("""COMPUTED_VALUE"""),"NO")</f>
        <v>NO</v>
      </c>
      <c r="N31" s="56">
        <f ca="1">IFERROR(__xludf.DUMMYFUNCTION("""COMPUTED_VALUE"""),2)</f>
        <v>2</v>
      </c>
      <c r="O31" s="58" t="str">
        <f ca="1">IFERROR(__xludf.DUMMYFUNCTION("""COMPUTED_VALUE"""),"QUIET")</f>
        <v>QUIET</v>
      </c>
      <c r="P31" s="59">
        <f ca="1">IFERROR(__xludf.DUMMYFUNCTION("""COMPUTED_VALUE"""),3583.64)</f>
        <v>3583.64</v>
      </c>
      <c r="Q31" s="33" t="str">
        <f ca="1">IFERROR(__xludf.DUMMYFUNCTION("""COMPUTED_VALUE"""),"Lisandro Russian")</f>
        <v>Lisandro Russian</v>
      </c>
      <c r="R31" s="60" t="str">
        <f ca="1">IFERROR(__xludf.DUMMYFUNCTION("""COMPUTED_VALUE"""),"Raed Maqued El Maqued")</f>
        <v>Raed Maqued El Maqued</v>
      </c>
      <c r="S31" s="61" t="str">
        <f ca="1">IFERROR(__xludf.DUMMYFUNCTION("""COMPUTED_VALUE"""),"03 ORL")</f>
        <v>03 ORL</v>
      </c>
      <c r="T31" s="33" t="str">
        <f ca="1">IFERROR(__xludf.DUMMYFUNCTION("""COMPUTED_VALUE"""),"06 ORL")</f>
        <v>06 ORL</v>
      </c>
      <c r="U31" s="62"/>
      <c r="W31" s="62"/>
      <c r="X31" s="62"/>
    </row>
    <row r="32" spans="1:31" ht="16">
      <c r="A32" s="33"/>
      <c r="B32" s="55" t="str">
        <f t="shared" ca="1" si="0"/>
        <v>MBM</v>
      </c>
      <c r="C32" s="64" t="str">
        <f ca="1">IFERROR(__xludf.DUMMYFUNCTION("""COMPUTED_VALUE"""),"MBM166")</f>
        <v>MBM166</v>
      </c>
      <c r="D32" s="33" t="str">
        <f ca="1">IFERROR(__xludf.DUMMYFUNCTION("""COMPUTED_VALUE"""),"PROPIOS")</f>
        <v>PROPIOS</v>
      </c>
      <c r="E32" s="33">
        <f ca="1">IFERROR(__xludf.DUMMYFUNCTION("""COMPUTED_VALUE"""),2026)</f>
        <v>2026</v>
      </c>
      <c r="F32" s="56">
        <f ca="1">IFERROR(__xludf.DUMMYFUNCTION("""COMPUTED_VALUE"""),1)</f>
        <v>1</v>
      </c>
      <c r="G32" s="33" t="str">
        <f ca="1">IFERROR(__xludf.DUMMYFUNCTION("""COMPUTED_VALUE"""),"Leganés")</f>
        <v>Leganés</v>
      </c>
      <c r="H32" s="33" t="str">
        <f ca="1">IFERROR(__xludf.DUMMYFUNCTION("""COMPUTED_VALUE"""),"C202512112053437517")</f>
        <v>C202512112053437517</v>
      </c>
      <c r="I32" s="33" t="str">
        <f ca="1">IFERROR(__xludf.DUMMYFUNCTION("""COMPUTED_VALUE"""),"MANUEL MANJON CABELLO")</f>
        <v>MANUEL MANJON CABELLO</v>
      </c>
      <c r="J32" s="57">
        <f ca="1">IFERROR(__xludf.DUMMYFUNCTION("""COMPUTED_VALUE"""),45992)</f>
        <v>45992</v>
      </c>
      <c r="K32" s="33" t="str">
        <f ca="1">IFERROR(__xludf.DUMMYFUNCTION("""COMPUTED_VALUE"""),"Factura audífonos")</f>
        <v>Factura audífonos</v>
      </c>
      <c r="L32" s="57">
        <f ca="1">IFERROR(__xludf.DUMMYFUNCTION("""COMPUTED_VALUE"""),46038)</f>
        <v>46038</v>
      </c>
      <c r="M32" s="58" t="str">
        <f ca="1">IFERROR(__xludf.DUMMYFUNCTION("""COMPUTED_VALUE"""),"NO")</f>
        <v>NO</v>
      </c>
      <c r="N32" s="56">
        <f ca="1">IFERROR(__xludf.DUMMYFUNCTION("""COMPUTED_VALUE"""),2)</f>
        <v>2</v>
      </c>
      <c r="O32" s="58" t="str">
        <f ca="1">IFERROR(__xludf.DUMMYFUNCTION("""COMPUTED_VALUE"""),"QUIET")</f>
        <v>QUIET</v>
      </c>
      <c r="P32" s="60">
        <f ca="1">IFERROR(__xludf.DUMMYFUNCTION("""COMPUTED_VALUE"""),2581.82)</f>
        <v>2581.8200000000002</v>
      </c>
      <c r="Q32" s="33" t="str">
        <f ca="1">IFERROR(__xludf.DUMMYFUNCTION("""COMPUTED_VALUE"""),"Maika Blázquez")</f>
        <v>Maika Blázquez</v>
      </c>
      <c r="R32" s="60" t="str">
        <f ca="1">IFERROR(__xludf.DUMMYFUNCTION("""COMPUTED_VALUE"""),"Patricia García Vicente")</f>
        <v>Patricia García Vicente</v>
      </c>
      <c r="S32" s="61" t="str">
        <f ca="1">IFERROR(__xludf.DUMMYFUNCTION("""COMPUTED_VALUE"""),"03 ORL")</f>
        <v>03 ORL</v>
      </c>
      <c r="T32" s="33" t="str">
        <f ca="1">IFERROR(__xludf.DUMMYFUNCTION("""COMPUTED_VALUE"""),"06 ORL")</f>
        <v>06 ORL</v>
      </c>
      <c r="U32" s="62"/>
      <c r="W32" s="62"/>
      <c r="X32" s="62"/>
    </row>
    <row r="33" spans="1:31" ht="16">
      <c r="A33" s="33"/>
      <c r="B33" s="55" t="str">
        <f t="shared" ca="1" si="0"/>
        <v>MBM</v>
      </c>
      <c r="C33" s="64" t="str">
        <f ca="1">IFERROR(__xludf.DUMMYFUNCTION("""COMPUTED_VALUE"""),"MBM129")</f>
        <v>MBM129</v>
      </c>
      <c r="D33" s="33" t="str">
        <f ca="1">IFERROR(__xludf.DUMMYFUNCTION("""COMPUTED_VALUE"""),"PROPIOS")</f>
        <v>PROPIOS</v>
      </c>
      <c r="E33" s="33">
        <f ca="1">IFERROR(__xludf.DUMMYFUNCTION("""COMPUTED_VALUE"""),2026)</f>
        <v>2026</v>
      </c>
      <c r="F33" s="56">
        <f ca="1">IFERROR(__xludf.DUMMYFUNCTION("""COMPUTED_VALUE"""),1)</f>
        <v>1</v>
      </c>
      <c r="G33" s="33" t="str">
        <f ca="1">IFERROR(__xludf.DUMMYFUNCTION("""COMPUTED_VALUE"""),"Alcorcón")</f>
        <v>Alcorcón</v>
      </c>
      <c r="H33" s="33" t="str">
        <f ca="1">IFERROR(__xludf.DUMMYFUNCTION("""COMPUTED_VALUE"""),"C202512183458643917")</f>
        <v>C202512183458643917</v>
      </c>
      <c r="I33" s="33" t="str">
        <f ca="1">IFERROR(__xludf.DUMMYFUNCTION("""COMPUTED_VALUE"""),"VANESA SACRISTAN  HERNÁNDEZ")</f>
        <v>VANESA SACRISTAN  HERNÁNDEZ</v>
      </c>
      <c r="J33" s="57">
        <f ca="1">IFERROR(__xludf.DUMMYFUNCTION("""COMPUTED_VALUE"""),45992)</f>
        <v>45992</v>
      </c>
      <c r="K33" s="33" t="str">
        <f ca="1">IFERROR(__xludf.DUMMYFUNCTION("""COMPUTED_VALUE"""),"Factura audífonos")</f>
        <v>Factura audífonos</v>
      </c>
      <c r="L33" s="57">
        <f ca="1">IFERROR(__xludf.DUMMYFUNCTION("""COMPUTED_VALUE"""),46038)</f>
        <v>46038</v>
      </c>
      <c r="M33" s="58" t="str">
        <f ca="1">IFERROR(__xludf.DUMMYFUNCTION("""COMPUTED_VALUE"""),"NO")</f>
        <v>NO</v>
      </c>
      <c r="N33" s="56">
        <f ca="1">IFERROR(__xludf.DUMMYFUNCTION("""COMPUTED_VALUE"""),1)</f>
        <v>1</v>
      </c>
      <c r="O33" s="58" t="str">
        <f ca="1">IFERROR(__xludf.DUMMYFUNCTION("""COMPUTED_VALUE"""),"CONFORT")</f>
        <v>CONFORT</v>
      </c>
      <c r="P33" s="59">
        <f ca="1">IFERROR(__xludf.DUMMYFUNCTION("""COMPUTED_VALUE"""),2180.91)</f>
        <v>2180.91</v>
      </c>
      <c r="Q33" s="33" t="str">
        <f ca="1">IFERROR(__xludf.DUMMYFUNCTION("""COMPUTED_VALUE"""),"Maika Blázquez")</f>
        <v>Maika Blázquez</v>
      </c>
      <c r="R33" s="60" t="str">
        <f ca="1">IFERROR(__xludf.DUMMYFUNCTION("""COMPUTED_VALUE"""),"Laura del Toro Gil")</f>
        <v>Laura del Toro Gil</v>
      </c>
      <c r="S33" s="61" t="str">
        <f ca="1">IFERROR(__xludf.DUMMYFUNCTION("""COMPUTED_VALUE"""),"03 ORL")</f>
        <v>03 ORL</v>
      </c>
      <c r="T33" s="33" t="str">
        <f ca="1">IFERROR(__xludf.DUMMYFUNCTION("""COMPUTED_VALUE"""),"06 ORL")</f>
        <v>06 ORL</v>
      </c>
      <c r="U33" s="62"/>
      <c r="W33" s="62"/>
      <c r="X33" s="62"/>
    </row>
    <row r="34" spans="1:31" ht="16">
      <c r="A34" s="33"/>
      <c r="B34" s="55" t="str">
        <f t="shared" ca="1" si="0"/>
        <v>MBM</v>
      </c>
      <c r="C34" s="64" t="str">
        <f ca="1">IFERROR(__xludf.DUMMYFUNCTION("""COMPUTED_VALUE"""),"MBM21")</f>
        <v>MBM21</v>
      </c>
      <c r="D34" s="33" t="str">
        <f ca="1">IFERROR(__xludf.DUMMYFUNCTION("""COMPUTED_VALUE"""),"PARTICIPADOS")</f>
        <v>PARTICIPADOS</v>
      </c>
      <c r="E34" s="33">
        <f ca="1">IFERROR(__xludf.DUMMYFUNCTION("""COMPUTED_VALUE"""),2026)</f>
        <v>2026</v>
      </c>
      <c r="F34" s="56">
        <f ca="1">IFERROR(__xludf.DUMMYFUNCTION("""COMPUTED_VALUE"""),1)</f>
        <v>1</v>
      </c>
      <c r="G34" s="33" t="str">
        <f ca="1">IFERROR(__xludf.DUMMYFUNCTION("""COMPUTED_VALUE"""),"Madrid- La Oca")</f>
        <v>Madrid- La Oca</v>
      </c>
      <c r="H34" s="33" t="str">
        <f ca="1">IFERROR(__xludf.DUMMYFUNCTION("""COMPUTED_VALUE"""),"C202511251148389618")</f>
        <v>C202511251148389618</v>
      </c>
      <c r="I34" s="33" t="str">
        <f ca="1">IFERROR(__xludf.DUMMYFUNCTION("""COMPUTED_VALUE"""),"VISITACION RODRIGUEZ PEÑARANDA")</f>
        <v>VISITACION RODRIGUEZ PEÑARANDA</v>
      </c>
      <c r="J34" s="57">
        <f ca="1">IFERROR(__xludf.DUMMYFUNCTION("""COMPUTED_VALUE"""),45986)</f>
        <v>45986</v>
      </c>
      <c r="K34" s="33" t="str">
        <f ca="1">IFERROR(__xludf.DUMMYFUNCTION("""COMPUTED_VALUE"""),"Factura audífonos")</f>
        <v>Factura audífonos</v>
      </c>
      <c r="L34" s="57">
        <f ca="1">IFERROR(__xludf.DUMMYFUNCTION("""COMPUTED_VALUE"""),46038)</f>
        <v>46038</v>
      </c>
      <c r="M34" s="58" t="str">
        <f ca="1">IFERROR(__xludf.DUMMYFUNCTION("""COMPUTED_VALUE"""),"NO")</f>
        <v>NO</v>
      </c>
      <c r="N34" s="56">
        <f ca="1">IFERROR(__xludf.DUMMYFUNCTION("""COMPUTED_VALUE"""),2)</f>
        <v>2</v>
      </c>
      <c r="O34" s="58" t="str">
        <f ca="1">IFERROR(__xludf.DUMMYFUNCTION("""COMPUTED_VALUE"""),"QUIET")</f>
        <v>QUIET</v>
      </c>
      <c r="P34" s="60">
        <f ca="1">IFERROR(__xludf.DUMMYFUNCTION("""COMPUTED_VALUE"""),2718.18)</f>
        <v>2718.18</v>
      </c>
      <c r="Q34" s="33" t="str">
        <f ca="1">IFERROR(__xludf.DUMMYFUNCTION("""COMPUTED_VALUE"""),"Maika Blázquez")</f>
        <v>Maika Blázquez</v>
      </c>
      <c r="R34" s="60" t="str">
        <f ca="1">IFERROR(__xludf.DUMMYFUNCTION("""COMPUTED_VALUE"""),"Félix Rodríguez Paz")</f>
        <v>Félix Rodríguez Paz</v>
      </c>
      <c r="S34" s="61" t="str">
        <f ca="1">IFERROR(__xludf.DUMMYFUNCTION("""COMPUTED_VALUE"""),"03 ORL")</f>
        <v>03 ORL</v>
      </c>
      <c r="T34" s="33" t="str">
        <f ca="1">IFERROR(__xludf.DUMMYFUNCTION("""COMPUTED_VALUE"""),"06 ORL")</f>
        <v>06 ORL</v>
      </c>
      <c r="U34" s="62"/>
      <c r="W34" s="62"/>
      <c r="X34" s="62"/>
    </row>
    <row r="35" spans="1:31" ht="16">
      <c r="A35" s="33"/>
      <c r="B35" s="55" t="str">
        <f t="shared" ca="1" si="0"/>
        <v>ISL</v>
      </c>
      <c r="C35" s="64" t="str">
        <f ca="1">IFERROR(__xludf.DUMMYFUNCTION("""COMPUTED_VALUE"""),"ISL45")</f>
        <v>ISL45</v>
      </c>
      <c r="D35" s="33" t="str">
        <f ca="1">IFERROR(__xludf.DUMMYFUNCTION("""COMPUTED_VALUE"""),"PROPIOS")</f>
        <v>PROPIOS</v>
      </c>
      <c r="E35" s="33">
        <f ca="1">IFERROR(__xludf.DUMMYFUNCTION("""COMPUTED_VALUE"""),2026)</f>
        <v>2026</v>
      </c>
      <c r="F35" s="56">
        <f ca="1">IFERROR(__xludf.DUMMYFUNCTION("""COMPUTED_VALUE"""),1)</f>
        <v>1</v>
      </c>
      <c r="G35" s="33" t="str">
        <f ca="1">IFERROR(__xludf.DUMMYFUNCTION("""COMPUTED_VALUE"""),"Murcia")</f>
        <v>Murcia</v>
      </c>
      <c r="H35" s="33" t="str">
        <f ca="1">IFERROR(__xludf.DUMMYFUNCTION("""COMPUTED_VALUE"""),"C202511201717376391")</f>
        <v>C202511201717376391</v>
      </c>
      <c r="I35" s="33" t="str">
        <f ca="1">IFERROR(__xludf.DUMMYFUNCTION("""COMPUTED_VALUE"""),"ESPERANZA ÁLVAREZ MUÑOZ")</f>
        <v>ESPERANZA ÁLVAREZ MUÑOZ</v>
      </c>
      <c r="J35" s="57">
        <f ca="1">IFERROR(__xludf.DUMMYFUNCTION("""COMPUTED_VALUE"""),45981)</f>
        <v>45981</v>
      </c>
      <c r="K35" s="33" t="str">
        <f ca="1">IFERROR(__xludf.DUMMYFUNCTION("""COMPUTED_VALUE"""),"Factura audífonos")</f>
        <v>Factura audífonos</v>
      </c>
      <c r="L35" s="57">
        <f ca="1">IFERROR(__xludf.DUMMYFUNCTION("""COMPUTED_VALUE"""),46038)</f>
        <v>46038</v>
      </c>
      <c r="M35" s="58" t="str">
        <f ca="1">IFERROR(__xludf.DUMMYFUNCTION("""COMPUTED_VALUE"""),"NO")</f>
        <v>NO</v>
      </c>
      <c r="N35" s="56">
        <f ca="1">IFERROR(__xludf.DUMMYFUNCTION("""COMPUTED_VALUE"""),1)</f>
        <v>1</v>
      </c>
      <c r="O35" s="58" t="str">
        <f ca="1">IFERROR(__xludf.DUMMYFUNCTION("""COMPUTED_VALUE"""),"QUIET")</f>
        <v>QUIET</v>
      </c>
      <c r="P35" s="59">
        <f ca="1">IFERROR(__xludf.DUMMYFUNCTION("""COMPUTED_VALUE"""),1631.73)</f>
        <v>1631.73</v>
      </c>
      <c r="Q35" s="33" t="str">
        <f ca="1">IFERROR(__xludf.DUMMYFUNCTION("""COMPUTED_VALUE"""),"Iván Sánchez")</f>
        <v>Iván Sánchez</v>
      </c>
      <c r="R35" s="60" t="str">
        <f ca="1">IFERROR(__xludf.DUMMYFUNCTION("""COMPUTED_VALUE"""),"Jesús Miguel Iniesta Turpín")</f>
        <v>Jesús Miguel Iniesta Turpín</v>
      </c>
      <c r="S35" s="61" t="str">
        <f ca="1">IFERROR(__xludf.DUMMYFUNCTION("""COMPUTED_VALUE"""),"03 ORL")</f>
        <v>03 ORL</v>
      </c>
      <c r="T35" s="33" t="str">
        <f ca="1">IFERROR(__xludf.DUMMYFUNCTION("""COMPUTED_VALUE"""),"06 ORL")</f>
        <v>06 ORL</v>
      </c>
      <c r="U35" s="62"/>
      <c r="W35" s="62"/>
      <c r="X35" s="62"/>
    </row>
    <row r="36" spans="1:31" ht="16">
      <c r="A36" s="33"/>
      <c r="B36" s="55" t="str">
        <f t="shared" ca="1" si="0"/>
        <v>LRM</v>
      </c>
      <c r="C36" s="64" t="str">
        <f ca="1">IFERROR(__xludf.DUMMYFUNCTION("""COMPUTED_VALUE"""),"LRM151")</f>
        <v>LRM151</v>
      </c>
      <c r="D36" s="33" t="str">
        <f ca="1">IFERROR(__xludf.DUMMYFUNCTION("""COMPUTED_VALUE"""),"PROPIOS")</f>
        <v>PROPIOS</v>
      </c>
      <c r="E36" s="33">
        <f ca="1">IFERROR(__xludf.DUMMYFUNCTION("""COMPUTED_VALUE"""),2026)</f>
        <v>2026</v>
      </c>
      <c r="F36" s="56">
        <f ca="1">IFERROR(__xludf.DUMMYFUNCTION("""COMPUTED_VALUE"""),1)</f>
        <v>1</v>
      </c>
      <c r="G36" s="33" t="str">
        <f ca="1">IFERROR(__xludf.DUMMYFUNCTION("""COMPUTED_VALUE"""),"Logroño")</f>
        <v>Logroño</v>
      </c>
      <c r="H36" s="33" t="str">
        <f ca="1">IFERROR(__xludf.DUMMYFUNCTION("""COMPUTED_VALUE"""),"C202510110530975")</f>
        <v>C202510110530975</v>
      </c>
      <c r="I36" s="33" t="str">
        <f ca="1">IFERROR(__xludf.DUMMYFUNCTION("""COMPUTED_VALUE"""),"SEVERIANA MARIN GOMEZ")</f>
        <v>SEVERIANA MARIN GOMEZ</v>
      </c>
      <c r="J36" s="57">
        <f ca="1">IFERROR(__xludf.DUMMYFUNCTION("""COMPUTED_VALUE"""),45929)</f>
        <v>45929</v>
      </c>
      <c r="K36" s="33" t="str">
        <f ca="1">IFERROR(__xludf.DUMMYFUNCTION("""COMPUTED_VALUE"""),"Factura audífonos")</f>
        <v>Factura audífonos</v>
      </c>
      <c r="L36" s="57">
        <f ca="1">IFERROR(__xludf.DUMMYFUNCTION("""COMPUTED_VALUE"""),46038)</f>
        <v>46038</v>
      </c>
      <c r="M36" s="58" t="str">
        <f ca="1">IFERROR(__xludf.DUMMYFUNCTION("""COMPUTED_VALUE"""),"NO")</f>
        <v>NO</v>
      </c>
      <c r="N36" s="56">
        <f ca="1">IFERROR(__xludf.DUMMYFUNCTION("""COMPUTED_VALUE"""),2)</f>
        <v>2</v>
      </c>
      <c r="O36" s="58" t="str">
        <f ca="1">IFERROR(__xludf.DUMMYFUNCTION("""COMPUTED_VALUE"""),"CONFORT")</f>
        <v>CONFORT</v>
      </c>
      <c r="P36" s="60">
        <f ca="1">IFERROR(__xludf.DUMMYFUNCTION("""COMPUTED_VALUE"""),3604.55)</f>
        <v>3604.55</v>
      </c>
      <c r="Q36" s="33" t="str">
        <f ca="1">IFERROR(__xludf.DUMMYFUNCTION("""COMPUTED_VALUE"""),"Lisandro Russian")</f>
        <v>Lisandro Russian</v>
      </c>
      <c r="R36" s="60" t="str">
        <f ca="1">IFERROR(__xludf.DUMMYFUNCTION("""COMPUTED_VALUE"""),"Cristina Ibañez Muñoz")</f>
        <v>Cristina Ibañez Muñoz</v>
      </c>
      <c r="S36" s="61" t="str">
        <f ca="1">IFERROR(__xludf.DUMMYFUNCTION("""COMPUTED_VALUE"""),"03 ORL")</f>
        <v>03 ORL</v>
      </c>
      <c r="T36" s="33" t="str">
        <f ca="1">IFERROR(__xludf.DUMMYFUNCTION("""COMPUTED_VALUE"""),"06 ORL")</f>
        <v>06 ORL</v>
      </c>
      <c r="U36" s="62"/>
      <c r="W36" s="62"/>
      <c r="X36" s="62"/>
    </row>
    <row r="37" spans="1:31" ht="16">
      <c r="A37" s="33"/>
      <c r="B37" s="55" t="str">
        <f t="shared" ca="1" si="0"/>
        <v>MBM</v>
      </c>
      <c r="C37" s="64" t="str">
        <f ca="1">IFERROR(__xludf.DUMMYFUNCTION("""COMPUTED_VALUE"""),"MBM145")</f>
        <v>MBM145</v>
      </c>
      <c r="D37" s="33" t="str">
        <f ca="1">IFERROR(__xludf.DUMMYFUNCTION("""COMPUTED_VALUE"""),"PROPIOS")</f>
        <v>PROPIOS</v>
      </c>
      <c r="E37" s="33">
        <f ca="1">IFERROR(__xludf.DUMMYFUNCTION("""COMPUTED_VALUE"""),2026)</f>
        <v>2026</v>
      </c>
      <c r="F37" s="56">
        <f ca="1">IFERROR(__xludf.DUMMYFUNCTION("""COMPUTED_VALUE"""),1)</f>
        <v>1</v>
      </c>
      <c r="G37" s="33" t="str">
        <f ca="1">IFERROR(__xludf.DUMMYFUNCTION("""COMPUTED_VALUE"""),"Alcorcón")</f>
        <v>Alcorcón</v>
      </c>
      <c r="H37" s="33" t="str">
        <f ca="1">IFERROR(__xludf.DUMMYFUNCTION("""COMPUTED_VALUE"""),"C202511181813490985")</f>
        <v>C202511181813490985</v>
      </c>
      <c r="I37" s="33" t="str">
        <f ca="1">IFERROR(__xludf.DUMMYFUNCTION("""COMPUTED_VALUE"""),"SUSANA PERUCHO  MARTINEZ")</f>
        <v>SUSANA PERUCHO  MARTINEZ</v>
      </c>
      <c r="J37" s="57">
        <f ca="1">IFERROR(__xludf.DUMMYFUNCTION("""COMPUTED_VALUE"""),45979)</f>
        <v>45979</v>
      </c>
      <c r="K37" s="33" t="str">
        <f ca="1">IFERROR(__xludf.DUMMYFUNCTION("""COMPUTED_VALUE"""),"Factura audífonos")</f>
        <v>Factura audífonos</v>
      </c>
      <c r="L37" s="57">
        <f ca="1">IFERROR(__xludf.DUMMYFUNCTION("""COMPUTED_VALUE"""),46038)</f>
        <v>46038</v>
      </c>
      <c r="M37" s="58" t="str">
        <f ca="1">IFERROR(__xludf.DUMMYFUNCTION("""COMPUTED_VALUE"""),"NO")</f>
        <v>NO</v>
      </c>
      <c r="N37" s="56">
        <f ca="1">IFERROR(__xludf.DUMMYFUNCTION("""COMPUTED_VALUE"""),2)</f>
        <v>2</v>
      </c>
      <c r="O37" s="64" t="str">
        <f ca="1">IFERROR(__xludf.DUMMYFUNCTION("""COMPUTED_VALUE"""),"ADVANCED")</f>
        <v>ADVANCED</v>
      </c>
      <c r="P37" s="59">
        <f ca="1">IFERROR(__xludf.DUMMYFUNCTION("""COMPUTED_VALUE"""),4136.36)</f>
        <v>4136.3599999999997</v>
      </c>
      <c r="Q37" s="33" t="str">
        <f ca="1">IFERROR(__xludf.DUMMYFUNCTION("""COMPUTED_VALUE"""),"Maika Blázquez")</f>
        <v>Maika Blázquez</v>
      </c>
      <c r="R37" s="60" t="str">
        <f ca="1">IFERROR(__xludf.DUMMYFUNCTION("""COMPUTED_VALUE"""),"María del Mar Martínez Ruiz-coello")</f>
        <v>María del Mar Martínez Ruiz-coello</v>
      </c>
      <c r="S37" s="61" t="str">
        <f ca="1">IFERROR(__xludf.DUMMYFUNCTION("""COMPUTED_VALUE"""),"03 ORL")</f>
        <v>03 ORL</v>
      </c>
      <c r="T37" s="33" t="str">
        <f ca="1">IFERROR(__xludf.DUMMYFUNCTION("""COMPUTED_VALUE"""),"06 ORL")</f>
        <v>06 ORL</v>
      </c>
      <c r="U37" s="62"/>
      <c r="W37" s="62"/>
      <c r="X37" s="62"/>
    </row>
    <row r="38" spans="1:31" ht="16">
      <c r="A38" s="33"/>
      <c r="B38" s="55" t="str">
        <f t="shared" si="0"/>
        <v/>
      </c>
      <c r="C38" s="64"/>
      <c r="D38" s="33" t="str">
        <f ca="1">IFERROR(__xludf.DUMMYFUNCTION("""COMPUTED_VALUE"""),"PROPIOS")</f>
        <v>PROPIOS</v>
      </c>
      <c r="E38" s="33">
        <f ca="1">IFERROR(__xludf.DUMMYFUNCTION("""COMPUTED_VALUE"""),2026)</f>
        <v>2026</v>
      </c>
      <c r="F38" s="56">
        <f ca="1">IFERROR(__xludf.DUMMYFUNCTION("""COMPUTED_VALUE"""),1)</f>
        <v>1</v>
      </c>
      <c r="G38" s="33" t="str">
        <f ca="1">IFERROR(__xludf.DUMMYFUNCTION("""COMPUTED_VALUE"""),"Sevilla- Montoto")</f>
        <v>Sevilla- Montoto</v>
      </c>
      <c r="H38" s="33" t="str">
        <f ca="1">IFERROR(__xludf.DUMMYFUNCTION("""COMPUTED_VALUE"""),"C202512191110453673")</f>
        <v>C202512191110453673</v>
      </c>
      <c r="I38" s="33" t="str">
        <f ca="1">IFERROR(__xludf.DUMMYFUNCTION("""COMPUTED_VALUE"""),"JOSE ANTONIO SANCHEZ TORRECILLA")</f>
        <v>JOSE ANTONIO SANCHEZ TORRECILLA</v>
      </c>
      <c r="J38" s="57">
        <f ca="1">IFERROR(__xludf.DUMMYFUNCTION("""COMPUTED_VALUE"""),46010)</f>
        <v>46010</v>
      </c>
      <c r="K38" s="33" t="str">
        <f ca="1">IFERROR(__xludf.DUMMYFUNCTION("""COMPUTED_VALUE"""),"Factura audífonos")</f>
        <v>Factura audífonos</v>
      </c>
      <c r="L38" s="57">
        <f ca="1">IFERROR(__xludf.DUMMYFUNCTION("""COMPUTED_VALUE"""),46038)</f>
        <v>46038</v>
      </c>
      <c r="M38" s="58" t="str">
        <f ca="1">IFERROR(__xludf.DUMMYFUNCTION("""COMPUTED_VALUE"""),"NO")</f>
        <v>NO</v>
      </c>
      <c r="N38" s="56">
        <f ca="1">IFERROR(__xludf.DUMMYFUNCTION("""COMPUTED_VALUE"""),2)</f>
        <v>2</v>
      </c>
      <c r="O38" s="64" t="str">
        <f ca="1">IFERROR(__xludf.DUMMYFUNCTION("""COMPUTED_VALUE"""),"QUIET")</f>
        <v>QUIET</v>
      </c>
      <c r="P38" s="59">
        <f ca="1">IFERROR(__xludf.DUMMYFUNCTION("""COMPUTED_VALUE"""),2718.19)</f>
        <v>2718.19</v>
      </c>
      <c r="Q38" s="33" t="str">
        <f ca="1">IFERROR(__xludf.DUMMYFUNCTION("""COMPUTED_VALUE"""),"Luis Alberto Rodríguez")</f>
        <v>Luis Alberto Rodríguez</v>
      </c>
      <c r="R38" s="60" t="str">
        <f ca="1">IFERROR(__xludf.DUMMYFUNCTION("""COMPUTED_VALUE"""),"No recuerda ORL")</f>
        <v>No recuerda ORL</v>
      </c>
      <c r="S38" s="61" t="str">
        <f ca="1">IFERROR(__xludf.DUMMYFUNCTION("""COMPUTED_VALUE"""),"03 ORL")</f>
        <v>03 ORL</v>
      </c>
      <c r="T38" s="33" t="str">
        <f ca="1">IFERROR(__xludf.DUMMYFUNCTION("""COMPUTED_VALUE"""),"06 ORL")</f>
        <v>06 ORL</v>
      </c>
      <c r="U38" s="62"/>
      <c r="W38" s="62"/>
      <c r="X38" s="62"/>
      <c r="AE38" s="1"/>
    </row>
    <row r="39" spans="1:31" ht="16">
      <c r="A39" s="33"/>
      <c r="B39" s="55" t="str">
        <f t="shared" ca="1" si="0"/>
        <v>LRM</v>
      </c>
      <c r="C39" s="64" t="str">
        <f ca="1">IFERROR(__xludf.DUMMYFUNCTION("""COMPUTED_VALUE"""),"LRM239")</f>
        <v>LRM239</v>
      </c>
      <c r="D39" s="33" t="str">
        <f ca="1">IFERROR(__xludf.DUMMYFUNCTION("""COMPUTED_VALUE"""),"PROPIOS")</f>
        <v>PROPIOS</v>
      </c>
      <c r="E39" s="33">
        <f ca="1">IFERROR(__xludf.DUMMYFUNCTION("""COMPUTED_VALUE"""),2026)</f>
        <v>2026</v>
      </c>
      <c r="F39" s="56">
        <f ca="1">IFERROR(__xludf.DUMMYFUNCTION("""COMPUTED_VALUE"""),1)</f>
        <v>1</v>
      </c>
      <c r="G39" s="33" t="str">
        <f ca="1">IFERROR(__xludf.DUMMYFUNCTION("""COMPUTED_VALUE"""),"Madrid- Juan Bravo")</f>
        <v>Madrid- Juan Bravo</v>
      </c>
      <c r="H39" s="33" t="str">
        <f ca="1">IFERROR(__xludf.DUMMYFUNCTION("""COMPUTED_VALUE"""),"C202561217436304")</f>
        <v>C202561217436304</v>
      </c>
      <c r="I39" s="33" t="str">
        <f ca="1">IFERROR(__xludf.DUMMYFUNCTION("""COMPUTED_VALUE"""),"CATALINA RAMOS MARIN")</f>
        <v>CATALINA RAMOS MARIN</v>
      </c>
      <c r="J39" s="57">
        <f ca="1">IFERROR(__xludf.DUMMYFUNCTION("""COMPUTED_VALUE"""),45814)</f>
        <v>45814</v>
      </c>
      <c r="K39" s="33" t="str">
        <f ca="1">IFERROR(__xludf.DUMMYFUNCTION("""COMPUTED_VALUE"""),"Factura audífonos")</f>
        <v>Factura audífonos</v>
      </c>
      <c r="L39" s="57">
        <f ca="1">IFERROR(__xludf.DUMMYFUNCTION("""COMPUTED_VALUE"""),46041)</f>
        <v>46041</v>
      </c>
      <c r="M39" s="58" t="str">
        <f ca="1">IFERROR(__xludf.DUMMYFUNCTION("""COMPUTED_VALUE"""),"NO")</f>
        <v>NO</v>
      </c>
      <c r="N39" s="56">
        <f ca="1">IFERROR(__xludf.DUMMYFUNCTION("""COMPUTED_VALUE"""),1)</f>
        <v>1</v>
      </c>
      <c r="O39" s="64" t="str">
        <f ca="1">IFERROR(__xludf.DUMMYFUNCTION("""COMPUTED_VALUE"""),"QUIET")</f>
        <v>QUIET</v>
      </c>
      <c r="P39" s="59">
        <f ca="1">IFERROR(__xludf.DUMMYFUNCTION("""COMPUTED_VALUE"""),1631.82)</f>
        <v>1631.82</v>
      </c>
      <c r="Q39" s="33" t="str">
        <f ca="1">IFERROR(__xludf.DUMMYFUNCTION("""COMPUTED_VALUE"""),"Lisandro Russian")</f>
        <v>Lisandro Russian</v>
      </c>
      <c r="R39" s="60" t="str">
        <f ca="1">IFERROR(__xludf.DUMMYFUNCTION("""COMPUTED_VALUE"""),"Carlos Barajas del Rosal")</f>
        <v>Carlos Barajas del Rosal</v>
      </c>
      <c r="S39" s="61" t="str">
        <f ca="1">IFERROR(__xludf.DUMMYFUNCTION("""COMPUTED_VALUE"""),"03 ORL")</f>
        <v>03 ORL</v>
      </c>
      <c r="T39" s="33" t="str">
        <f ca="1">IFERROR(__xludf.DUMMYFUNCTION("""COMPUTED_VALUE"""),"06 ORL")</f>
        <v>06 ORL</v>
      </c>
      <c r="U39" s="62"/>
      <c r="W39" s="62"/>
      <c r="X39" s="62"/>
    </row>
    <row r="40" spans="1:31" ht="16">
      <c r="A40" s="33"/>
      <c r="B40" s="55" t="str">
        <f t="shared" ca="1" si="0"/>
        <v>LRM</v>
      </c>
      <c r="C40" s="64" t="str">
        <f ca="1">IFERROR(__xludf.DUMMYFUNCTION("""COMPUTED_VALUE"""),"LRM58")</f>
        <v>LRM58</v>
      </c>
      <c r="D40" s="33" t="str">
        <f ca="1">IFERROR(__xludf.DUMMYFUNCTION("""COMPUTED_VALUE"""),"ASOCIADOS")</f>
        <v>ASOCIADOS</v>
      </c>
      <c r="E40" s="33">
        <f ca="1">IFERROR(__xludf.DUMMYFUNCTION("""COMPUTED_VALUE"""),2026)</f>
        <v>2026</v>
      </c>
      <c r="F40" s="56">
        <f ca="1">IFERROR(__xludf.DUMMYFUNCTION("""COMPUTED_VALUE"""),1)</f>
        <v>1</v>
      </c>
      <c r="G40" s="33" t="str">
        <f ca="1">IFERROR(__xludf.DUMMYFUNCTION("""COMPUTED_VALUE"""),"Cáceres")</f>
        <v>Cáceres</v>
      </c>
      <c r="H40" s="33" t="str">
        <f ca="1">IFERROR(__xludf.DUMMYFUNCTION("""COMPUTED_VALUE"""),"C202512151041598226")</f>
        <v>C202512151041598226</v>
      </c>
      <c r="I40" s="33" t="str">
        <f ca="1">IFERROR(__xludf.DUMMYFUNCTION("""COMPUTED_VALUE"""),"CLAUDIA MORENO CEBRIAN")</f>
        <v>CLAUDIA MORENO CEBRIAN</v>
      </c>
      <c r="J40" s="57">
        <f ca="1">IFERROR(__xludf.DUMMYFUNCTION("""COMPUTED_VALUE"""),46006)</f>
        <v>46006</v>
      </c>
      <c r="K40" s="33" t="str">
        <f ca="1">IFERROR(__xludf.DUMMYFUNCTION("""COMPUTED_VALUE"""),"Factura audífonos")</f>
        <v>Factura audífonos</v>
      </c>
      <c r="L40" s="57">
        <f ca="1">IFERROR(__xludf.DUMMYFUNCTION("""COMPUTED_VALUE"""),46041)</f>
        <v>46041</v>
      </c>
      <c r="M40" s="58" t="str">
        <f ca="1">IFERROR(__xludf.DUMMYFUNCTION("""COMPUTED_VALUE"""),"NO")</f>
        <v>NO</v>
      </c>
      <c r="N40" s="56">
        <f ca="1">IFERROR(__xludf.DUMMYFUNCTION("""COMPUTED_VALUE"""),2)</f>
        <v>2</v>
      </c>
      <c r="O40" s="58" t="str">
        <f ca="1">IFERROR(__xludf.DUMMYFUNCTION("""COMPUTED_VALUE"""),"ADVANCED")</f>
        <v>ADVANCED</v>
      </c>
      <c r="P40" s="60">
        <f ca="1">IFERROR(__xludf.DUMMYFUNCTION("""COMPUTED_VALUE"""),4500)</f>
        <v>4500</v>
      </c>
      <c r="Q40" s="33" t="str">
        <f ca="1">IFERROR(__xludf.DUMMYFUNCTION("""COMPUTED_VALUE"""),"Lisandro Russian")</f>
        <v>Lisandro Russian</v>
      </c>
      <c r="R40" s="60" t="str">
        <f ca="1">IFERROR(__xludf.DUMMYFUNCTION("""COMPUTED_VALUE"""),"Javier García Gómez")</f>
        <v>Javier García Gómez</v>
      </c>
      <c r="S40" s="61" t="str">
        <f ca="1">IFERROR(__xludf.DUMMYFUNCTION("""COMPUTED_VALUE"""),"03 ORL")</f>
        <v>03 ORL</v>
      </c>
      <c r="T40" s="33" t="str">
        <f ca="1">IFERROR(__xludf.DUMMYFUNCTION("""COMPUTED_VALUE"""),"06 ORL")</f>
        <v>06 ORL</v>
      </c>
      <c r="U40" s="62"/>
      <c r="W40" s="62"/>
      <c r="X40" s="62"/>
    </row>
    <row r="41" spans="1:31" ht="16">
      <c r="A41" s="33"/>
      <c r="B41" s="55" t="str">
        <f t="shared" ca="1" si="0"/>
        <v>MCC</v>
      </c>
      <c r="C41" s="64" t="str">
        <f ca="1">IFERROR(__xludf.DUMMYFUNCTION("""COMPUTED_VALUE"""),"MCC18")</f>
        <v>MCC18</v>
      </c>
      <c r="D41" s="33" t="str">
        <f ca="1">IFERROR(__xludf.DUMMYFUNCTION("""COMPUTED_VALUE"""),"PARTICIPADOS")</f>
        <v>PARTICIPADOS</v>
      </c>
      <c r="E41" s="33">
        <f ca="1">IFERROR(__xludf.DUMMYFUNCTION("""COMPUTED_VALUE"""),2026)</f>
        <v>2026</v>
      </c>
      <c r="F41" s="56">
        <f ca="1">IFERROR(__xludf.DUMMYFUNCTION("""COMPUTED_VALUE"""),1)</f>
        <v>1</v>
      </c>
      <c r="G41" s="33" t="str">
        <f ca="1">IFERROR(__xludf.DUMMYFUNCTION("""COMPUTED_VALUE"""),"Barcelona- Córcega")</f>
        <v>Barcelona- Córcega</v>
      </c>
      <c r="H41" s="33" t="str">
        <f ca="1">IFERROR(__xludf.DUMMYFUNCTION("""COMPUTED_VALUE"""),"C202594115953981")</f>
        <v>C202594115953981</v>
      </c>
      <c r="I41" s="33" t="str">
        <f ca="1">IFERROR(__xludf.DUMMYFUNCTION("""COMPUTED_VALUE"""),"FRANCISCA HERNANDEZ LORENTE")</f>
        <v>FRANCISCA HERNANDEZ LORENTE</v>
      </c>
      <c r="J41" s="57">
        <f ca="1">IFERROR(__xludf.DUMMYFUNCTION("""COMPUTED_VALUE"""),45901)</f>
        <v>45901</v>
      </c>
      <c r="K41" s="33" t="str">
        <f ca="1">IFERROR(__xludf.DUMMYFUNCTION("""COMPUTED_VALUE"""),"Factura audífonos")</f>
        <v>Factura audífonos</v>
      </c>
      <c r="L41" s="57">
        <f ca="1">IFERROR(__xludf.DUMMYFUNCTION("""COMPUTED_VALUE"""),46041)</f>
        <v>46041</v>
      </c>
      <c r="M41" s="58" t="str">
        <f ca="1">IFERROR(__xludf.DUMMYFUNCTION("""COMPUTED_VALUE"""),"NO")</f>
        <v>NO</v>
      </c>
      <c r="N41" s="56">
        <f ca="1">IFERROR(__xludf.DUMMYFUNCTION("""COMPUTED_VALUE"""),1)</f>
        <v>1</v>
      </c>
      <c r="O41" s="58" t="str">
        <f ca="1">IFERROR(__xludf.DUMMYFUNCTION("""COMPUTED_VALUE"""),"ADVANCED")</f>
        <v>ADVANCED</v>
      </c>
      <c r="P41" s="59">
        <f ca="1">IFERROR(__xludf.DUMMYFUNCTION("""COMPUTED_VALUE"""),2268.14)</f>
        <v>2268.14</v>
      </c>
      <c r="Q41" s="33" t="str">
        <f ca="1">IFERROR(__xludf.DUMMYFUNCTION("""COMPUTED_VALUE"""),"Mercè Cabrera")</f>
        <v>Mercè Cabrera</v>
      </c>
      <c r="R41" s="60" t="str">
        <f ca="1">IFERROR(__xludf.DUMMYFUNCTION("""COMPUTED_VALUE"""),"Jesus-Maria Grasa Pérez")</f>
        <v>Jesus-Maria Grasa Pérez</v>
      </c>
      <c r="S41" s="61" t="str">
        <f ca="1">IFERROR(__xludf.DUMMYFUNCTION("""COMPUTED_VALUE"""),"03 ORL")</f>
        <v>03 ORL</v>
      </c>
      <c r="T41" s="33" t="str">
        <f ca="1">IFERROR(__xludf.DUMMYFUNCTION("""COMPUTED_VALUE"""),"06 ORL")</f>
        <v>06 ORL</v>
      </c>
      <c r="U41" s="62"/>
      <c r="W41" s="62"/>
      <c r="X41" s="62"/>
    </row>
    <row r="42" spans="1:31" ht="16">
      <c r="A42" s="33"/>
      <c r="B42" s="55" t="str">
        <f t="shared" ca="1" si="0"/>
        <v>ISL</v>
      </c>
      <c r="C42" s="64" t="str">
        <f ca="1">IFERROR(__xludf.DUMMYFUNCTION("""COMPUTED_VALUE"""),"ISL136")</f>
        <v>ISL136</v>
      </c>
      <c r="D42" s="33" t="str">
        <f ca="1">IFERROR(__xludf.DUMMYFUNCTION("""COMPUTED_VALUE"""),"PROPIOS")</f>
        <v>PROPIOS</v>
      </c>
      <c r="E42" s="33">
        <f ca="1">IFERROR(__xludf.DUMMYFUNCTION("""COMPUTED_VALUE"""),2026)</f>
        <v>2026</v>
      </c>
      <c r="F42" s="56">
        <f ca="1">IFERROR(__xludf.DUMMYFUNCTION("""COMPUTED_VALUE"""),1)</f>
        <v>1</v>
      </c>
      <c r="G42" s="33" t="str">
        <f ca="1">IFERROR(__xludf.DUMMYFUNCTION("""COMPUTED_VALUE"""),"Orihuela")</f>
        <v>Orihuela</v>
      </c>
      <c r="H42" s="33" t="str">
        <f ca="1">IFERROR(__xludf.DUMMYFUNCTION("""COMPUTED_VALUE"""),"C202512101420127206")</f>
        <v>C202512101420127206</v>
      </c>
      <c r="I42" s="33" t="str">
        <f ca="1">IFERROR(__xludf.DUMMYFUNCTION("""COMPUTED_VALUE"""),"CHRISTOPHER HUGH IBBETSON")</f>
        <v>CHRISTOPHER HUGH IBBETSON</v>
      </c>
      <c r="J42" s="57">
        <f ca="1">IFERROR(__xludf.DUMMYFUNCTION("""COMPUTED_VALUE"""),46001)</f>
        <v>46001</v>
      </c>
      <c r="K42" s="33" t="str">
        <f ca="1">IFERROR(__xludf.DUMMYFUNCTION("""COMPUTED_VALUE"""),"Factura audífonos")</f>
        <v>Factura audífonos</v>
      </c>
      <c r="L42" s="57">
        <f ca="1">IFERROR(__xludf.DUMMYFUNCTION("""COMPUTED_VALUE"""),46041)</f>
        <v>46041</v>
      </c>
      <c r="M42" s="58" t="str">
        <f ca="1">IFERROR(__xludf.DUMMYFUNCTION("""COMPUTED_VALUE"""),"NO")</f>
        <v>NO</v>
      </c>
      <c r="N42" s="56">
        <f ca="1">IFERROR(__xludf.DUMMYFUNCTION("""COMPUTED_VALUE"""),2)</f>
        <v>2</v>
      </c>
      <c r="O42" s="58" t="str">
        <f ca="1">IFERROR(__xludf.DUMMYFUNCTION("""COMPUTED_VALUE"""),"CONFORT")</f>
        <v>CONFORT</v>
      </c>
      <c r="P42" s="60">
        <f ca="1">IFERROR(__xludf.DUMMYFUNCTION("""COMPUTED_VALUE"""),3631.82)</f>
        <v>3631.82</v>
      </c>
      <c r="Q42" s="33" t="str">
        <f ca="1">IFERROR(__xludf.DUMMYFUNCTION("""COMPUTED_VALUE"""),"Iván Sánchez")</f>
        <v>Iván Sánchez</v>
      </c>
      <c r="R42" s="60" t="str">
        <f ca="1">IFERROR(__xludf.DUMMYFUNCTION("""COMPUTED_VALUE"""),"Oreana Carolina Camacaro González")</f>
        <v>Oreana Carolina Camacaro González</v>
      </c>
      <c r="S42" s="61" t="str">
        <f ca="1">IFERROR(__xludf.DUMMYFUNCTION("""COMPUTED_VALUE"""),"03 ORL")</f>
        <v>03 ORL</v>
      </c>
      <c r="T42" s="33" t="str">
        <f ca="1">IFERROR(__xludf.DUMMYFUNCTION("""COMPUTED_VALUE"""),"06 ORL")</f>
        <v>06 ORL</v>
      </c>
      <c r="U42" s="62"/>
      <c r="W42" s="62"/>
      <c r="X42" s="62"/>
    </row>
    <row r="43" spans="1:31" ht="16">
      <c r="A43" s="33"/>
      <c r="B43" s="55" t="str">
        <f t="shared" ca="1" si="0"/>
        <v>ISL</v>
      </c>
      <c r="C43" s="64" t="str">
        <f ca="1">IFERROR(__xludf.DUMMYFUNCTION("""COMPUTED_VALUE"""),"ISL122")</f>
        <v>ISL122</v>
      </c>
      <c r="D43" s="33" t="str">
        <f ca="1">IFERROR(__xludf.DUMMYFUNCTION("""COMPUTED_VALUE"""),"PROPIOS")</f>
        <v>PROPIOS</v>
      </c>
      <c r="E43" s="33">
        <f ca="1">IFERROR(__xludf.DUMMYFUNCTION("""COMPUTED_VALUE"""),2026)</f>
        <v>2026</v>
      </c>
      <c r="F43" s="56">
        <f ca="1">IFERROR(__xludf.DUMMYFUNCTION("""COMPUTED_VALUE"""),1)</f>
        <v>1</v>
      </c>
      <c r="G43" s="33" t="str">
        <f ca="1">IFERROR(__xludf.DUMMYFUNCTION("""COMPUTED_VALUE"""),"Murcia")</f>
        <v>Murcia</v>
      </c>
      <c r="H43" s="33" t="str">
        <f ca="1">IFERROR(__xludf.DUMMYFUNCTION("""COMPUTED_VALUE"""),"MUR-1258")</f>
        <v>MUR-1258</v>
      </c>
      <c r="I43" s="33" t="str">
        <f ca="1">IFERROR(__xludf.DUMMYFUNCTION("""COMPUTED_VALUE"""),"JULIA LOPEZ LOPEZ")</f>
        <v>JULIA LOPEZ LOPEZ</v>
      </c>
      <c r="J43" s="57">
        <f ca="1">IFERROR(__xludf.DUMMYFUNCTION("""COMPUTED_VALUE"""),44960)</f>
        <v>44960</v>
      </c>
      <c r="K43" s="33" t="str">
        <f ca="1">IFERROR(__xludf.DUMMYFUNCTION("""COMPUTED_VALUE"""),"Factura audífonos")</f>
        <v>Factura audífonos</v>
      </c>
      <c r="L43" s="57">
        <f ca="1">IFERROR(__xludf.DUMMYFUNCTION("""COMPUTED_VALUE"""),46041)</f>
        <v>46041</v>
      </c>
      <c r="M43" s="58" t="str">
        <f ca="1">IFERROR(__xludf.DUMMYFUNCTION("""COMPUTED_VALUE"""),"NO")</f>
        <v>NO</v>
      </c>
      <c r="N43" s="56">
        <f ca="1">IFERROR(__xludf.DUMMYFUNCTION("""COMPUTED_VALUE"""),2)</f>
        <v>2</v>
      </c>
      <c r="O43" s="58" t="str">
        <f ca="1">IFERROR(__xludf.DUMMYFUNCTION("""COMPUTED_VALUE"""),"QUIET")</f>
        <v>QUIET</v>
      </c>
      <c r="P43" s="59">
        <f ca="1">IFERROR(__xludf.DUMMYFUNCTION("""COMPUTED_VALUE"""),2718.18)</f>
        <v>2718.18</v>
      </c>
      <c r="Q43" s="33" t="str">
        <f ca="1">IFERROR(__xludf.DUMMYFUNCTION("""COMPUTED_VALUE"""),"Iván Sánchez")</f>
        <v>Iván Sánchez</v>
      </c>
      <c r="R43" s="60" t="str">
        <f ca="1">IFERROR(__xludf.DUMMYFUNCTION("""COMPUTED_VALUE"""),"María Agustina Sevilla García")</f>
        <v>María Agustina Sevilla García</v>
      </c>
      <c r="S43" s="61" t="str">
        <f ca="1">IFERROR(__xludf.DUMMYFUNCTION("""COMPUTED_VALUE"""),"03 ORL")</f>
        <v>03 ORL</v>
      </c>
      <c r="T43" s="33" t="str">
        <f ca="1">IFERROR(__xludf.DUMMYFUNCTION("""COMPUTED_VALUE"""),"06 ORL")</f>
        <v>06 ORL</v>
      </c>
      <c r="U43" s="62"/>
      <c r="W43" s="62"/>
      <c r="X43" s="62"/>
    </row>
    <row r="44" spans="1:31" ht="16">
      <c r="A44" s="33"/>
      <c r="B44" s="55" t="str">
        <f t="shared" ca="1" si="0"/>
        <v>MBM</v>
      </c>
      <c r="C44" s="64" t="str">
        <f ca="1">IFERROR(__xludf.DUMMYFUNCTION("""COMPUTED_VALUE"""),"MBM39")</f>
        <v>MBM39</v>
      </c>
      <c r="D44" s="33" t="str">
        <f ca="1">IFERROR(__xludf.DUMMYFUNCTION("""COMPUTED_VALUE"""),"PROPIOS")</f>
        <v>PROPIOS</v>
      </c>
      <c r="E44" s="33">
        <f ca="1">IFERROR(__xludf.DUMMYFUNCTION("""COMPUTED_VALUE"""),2026)</f>
        <v>2026</v>
      </c>
      <c r="F44" s="56">
        <f ca="1">IFERROR(__xludf.DUMMYFUNCTION("""COMPUTED_VALUE"""),1)</f>
        <v>1</v>
      </c>
      <c r="G44" s="33" t="str">
        <f ca="1">IFERROR(__xludf.DUMMYFUNCTION("""COMPUTED_VALUE"""),"Madrid- Moratalaz")</f>
        <v>Madrid- Moratalaz</v>
      </c>
      <c r="H44" s="33" t="str">
        <f ca="1">IFERROR(__xludf.DUMMYFUNCTION("""COMPUTED_VALUE"""),"C202512161155416397")</f>
        <v>C202512161155416397</v>
      </c>
      <c r="I44" s="33" t="str">
        <f ca="1">IFERROR(__xludf.DUMMYFUNCTION("""COMPUTED_VALUE"""),"MARIA DE LOS ANGELES CABAL NUÑEZ DE HOYO")</f>
        <v>MARIA DE LOS ANGELES CABAL NUÑEZ DE HOYO</v>
      </c>
      <c r="J44" s="57">
        <f ca="1">IFERROR(__xludf.DUMMYFUNCTION("""COMPUTED_VALUE"""),46007)</f>
        <v>46007</v>
      </c>
      <c r="K44" s="33" t="str">
        <f ca="1">IFERROR(__xludf.DUMMYFUNCTION("""COMPUTED_VALUE"""),"Factura audífonos")</f>
        <v>Factura audífonos</v>
      </c>
      <c r="L44" s="57">
        <f ca="1">IFERROR(__xludf.DUMMYFUNCTION("""COMPUTED_VALUE"""),46041)</f>
        <v>46041</v>
      </c>
      <c r="M44" s="58" t="str">
        <f ca="1">IFERROR(__xludf.DUMMYFUNCTION("""COMPUTED_VALUE"""),"NO")</f>
        <v>NO</v>
      </c>
      <c r="N44" s="56">
        <f ca="1">IFERROR(__xludf.DUMMYFUNCTION("""COMPUTED_VALUE"""),2)</f>
        <v>2</v>
      </c>
      <c r="O44" s="58" t="str">
        <f ca="1">IFERROR(__xludf.DUMMYFUNCTION("""COMPUTED_VALUE"""),"CONFORT")</f>
        <v>CONFORT</v>
      </c>
      <c r="P44" s="60">
        <f ca="1">IFERROR(__xludf.DUMMYFUNCTION("""COMPUTED_VALUE"""),3377.6)</f>
        <v>3377.6</v>
      </c>
      <c r="Q44" s="33" t="str">
        <f ca="1">IFERROR(__xludf.DUMMYFUNCTION("""COMPUTED_VALUE"""),"Maika Blázquez")</f>
        <v>Maika Blázquez</v>
      </c>
      <c r="R44" s="60" t="str">
        <f ca="1">IFERROR(__xludf.DUMMYFUNCTION("""COMPUTED_VALUE"""),"Javier García Domínguez")</f>
        <v>Javier García Domínguez</v>
      </c>
      <c r="S44" s="61" t="str">
        <f ca="1">IFERROR(__xludf.DUMMYFUNCTION("""COMPUTED_VALUE"""),"03 ORL")</f>
        <v>03 ORL</v>
      </c>
      <c r="T44" s="33" t="str">
        <f ca="1">IFERROR(__xludf.DUMMYFUNCTION("""COMPUTED_VALUE"""),"06 ORL")</f>
        <v>06 ORL</v>
      </c>
      <c r="U44" s="62"/>
      <c r="W44" s="62"/>
      <c r="X44" s="62"/>
    </row>
    <row r="45" spans="1:31" ht="16">
      <c r="A45" s="33"/>
      <c r="B45" s="55" t="str">
        <f t="shared" ca="1" si="0"/>
        <v>MBM</v>
      </c>
      <c r="C45" s="64" t="str">
        <f ca="1">IFERROR(__xludf.DUMMYFUNCTION("""COMPUTED_VALUE"""),"MBM149")</f>
        <v>MBM149</v>
      </c>
      <c r="D45" s="33" t="str">
        <f ca="1">IFERROR(__xludf.DUMMYFUNCTION("""COMPUTED_VALUE"""),"PROPIOS")</f>
        <v>PROPIOS</v>
      </c>
      <c r="E45" s="33">
        <f ca="1">IFERROR(__xludf.DUMMYFUNCTION("""COMPUTED_VALUE"""),2026)</f>
        <v>2026</v>
      </c>
      <c r="F45" s="56">
        <f ca="1">IFERROR(__xludf.DUMMYFUNCTION("""COMPUTED_VALUE"""),1)</f>
        <v>1</v>
      </c>
      <c r="G45" s="33" t="str">
        <f ca="1">IFERROR(__xludf.DUMMYFUNCTION("""COMPUTED_VALUE"""),"Getafe")</f>
        <v>Getafe</v>
      </c>
      <c r="H45" s="33" t="str">
        <f ca="1">IFERROR(__xludf.DUMMYFUNCTION("""COMPUTED_VALUE"""),"C202511171120372888")</f>
        <v>C202511171120372888</v>
      </c>
      <c r="I45" s="33" t="str">
        <f ca="1">IFERROR(__xludf.DUMMYFUNCTION("""COMPUTED_VALUE"""),"PILAR TORREJÓN ALONSO")</f>
        <v>PILAR TORREJÓN ALONSO</v>
      </c>
      <c r="J45" s="57">
        <f ca="1">IFERROR(__xludf.DUMMYFUNCTION("""COMPUTED_VALUE"""),45978)</f>
        <v>45978</v>
      </c>
      <c r="K45" s="33" t="str">
        <f ca="1">IFERROR(__xludf.DUMMYFUNCTION("""COMPUTED_VALUE"""),"Factura audífonos")</f>
        <v>Factura audífonos</v>
      </c>
      <c r="L45" s="57">
        <f ca="1">IFERROR(__xludf.DUMMYFUNCTION("""COMPUTED_VALUE"""),46041)</f>
        <v>46041</v>
      </c>
      <c r="M45" s="64" t="str">
        <f ca="1">IFERROR(__xludf.DUMMYFUNCTION("""COMPUTED_VALUE"""),"NO")</f>
        <v>NO</v>
      </c>
      <c r="N45" s="56">
        <f ca="1">IFERROR(__xludf.DUMMYFUNCTION("""COMPUTED_VALUE"""),2)</f>
        <v>2</v>
      </c>
      <c r="O45" s="58" t="str">
        <f ca="1">IFERROR(__xludf.DUMMYFUNCTION("""COMPUTED_VALUE"""),"CONFORT")</f>
        <v>CONFORT</v>
      </c>
      <c r="P45" s="59">
        <f ca="1">IFERROR(__xludf.DUMMYFUNCTION("""COMPUTED_VALUE"""),3631.82)</f>
        <v>3631.82</v>
      </c>
      <c r="Q45" s="33" t="str">
        <f ca="1">IFERROR(__xludf.DUMMYFUNCTION("""COMPUTED_VALUE"""),"Maika Blázquez")</f>
        <v>Maika Blázquez</v>
      </c>
      <c r="R45" s="60" t="str">
        <f ca="1">IFERROR(__xludf.DUMMYFUNCTION("""COMPUTED_VALUE"""),"María Garrote Garrote")</f>
        <v>María Garrote Garrote</v>
      </c>
      <c r="S45" s="61" t="str">
        <f ca="1">IFERROR(__xludf.DUMMYFUNCTION("""COMPUTED_VALUE"""),"03 ORL")</f>
        <v>03 ORL</v>
      </c>
      <c r="T45" s="33" t="str">
        <f ca="1">IFERROR(__xludf.DUMMYFUNCTION("""COMPUTED_VALUE"""),"06 ORL")</f>
        <v>06 ORL</v>
      </c>
      <c r="U45" s="62"/>
      <c r="W45" s="62"/>
      <c r="X45" s="62"/>
    </row>
    <row r="46" spans="1:31" ht="16">
      <c r="A46" s="33"/>
      <c r="B46" s="55" t="str">
        <f t="shared" ca="1" si="0"/>
        <v>LRM</v>
      </c>
      <c r="C46" s="64" t="str">
        <f ca="1">IFERROR(__xludf.DUMMYFUNCTION("""COMPUTED_VALUE"""),"LRM153")</f>
        <v>LRM153</v>
      </c>
      <c r="D46" s="33" t="str">
        <f ca="1">IFERROR(__xludf.DUMMYFUNCTION("""COMPUTED_VALUE"""),"ASOCIADOS")</f>
        <v>ASOCIADOS</v>
      </c>
      <c r="E46" s="33">
        <f ca="1">IFERROR(__xludf.DUMMYFUNCTION("""COMPUTED_VALUE"""),2026)</f>
        <v>2026</v>
      </c>
      <c r="F46" s="56">
        <f ca="1">IFERROR(__xludf.DUMMYFUNCTION("""COMPUTED_VALUE"""),1)</f>
        <v>1</v>
      </c>
      <c r="G46" s="33" t="str">
        <f ca="1">IFERROR(__xludf.DUMMYFUNCTION("""COMPUTED_VALUE"""),"Cáceres")</f>
        <v>Cáceres</v>
      </c>
      <c r="H46" s="33" t="str">
        <f ca="1">IFERROR(__xludf.DUMMYFUNCTION("""COMPUTED_VALUE"""),"C202512161238444364")</f>
        <v>C202512161238444364</v>
      </c>
      <c r="I46" s="33" t="str">
        <f ca="1">IFERROR(__xludf.DUMMYFUNCTION("""COMPUTED_VALUE"""),"FERMINA ISABEL PIZARRO VALLE")</f>
        <v>FERMINA ISABEL PIZARRO VALLE</v>
      </c>
      <c r="J46" s="57">
        <f ca="1">IFERROR(__xludf.DUMMYFUNCTION("""COMPUTED_VALUE"""),46007)</f>
        <v>46007</v>
      </c>
      <c r="K46" s="33" t="str">
        <f ca="1">IFERROR(__xludf.DUMMYFUNCTION("""COMPUTED_VALUE"""),"Factura audífonos")</f>
        <v>Factura audífonos</v>
      </c>
      <c r="L46" s="57">
        <f ca="1">IFERROR(__xludf.DUMMYFUNCTION("""COMPUTED_VALUE"""),46042)</f>
        <v>46042</v>
      </c>
      <c r="M46" s="58" t="str">
        <f ca="1">IFERROR(__xludf.DUMMYFUNCTION("""COMPUTED_VALUE"""),"NO")</f>
        <v>NO</v>
      </c>
      <c r="N46" s="56">
        <f ca="1">IFERROR(__xludf.DUMMYFUNCTION("""COMPUTED_VALUE"""),2)</f>
        <v>2</v>
      </c>
      <c r="O46" s="64" t="str">
        <f ca="1">IFERROR(__xludf.DUMMYFUNCTION("""COMPUTED_VALUE"""),"PRO")</f>
        <v>PRO</v>
      </c>
      <c r="P46" s="59">
        <f ca="1">IFERROR(__xludf.DUMMYFUNCTION("""COMPUTED_VALUE"""),4990.91)</f>
        <v>4990.91</v>
      </c>
      <c r="Q46" s="33" t="str">
        <f ca="1">IFERROR(__xludf.DUMMYFUNCTION("""COMPUTED_VALUE"""),"Lisandro Russian")</f>
        <v>Lisandro Russian</v>
      </c>
      <c r="R46" s="60" t="str">
        <f ca="1">IFERROR(__xludf.DUMMYFUNCTION("""COMPUTED_VALUE"""),"Daniela Carolina Laguado Bulgheroni")</f>
        <v>Daniela Carolina Laguado Bulgheroni</v>
      </c>
      <c r="S46" s="61" t="str">
        <f ca="1">IFERROR(__xludf.DUMMYFUNCTION("""COMPUTED_VALUE"""),"03 ORL")</f>
        <v>03 ORL</v>
      </c>
      <c r="T46" s="33" t="str">
        <f ca="1">IFERROR(__xludf.DUMMYFUNCTION("""COMPUTED_VALUE"""),"06 ORL")</f>
        <v>06 ORL</v>
      </c>
      <c r="U46" s="62"/>
      <c r="W46" s="62"/>
      <c r="X46" s="62"/>
    </row>
    <row r="47" spans="1:31" ht="16">
      <c r="A47" s="33"/>
      <c r="B47" s="55" t="str">
        <f t="shared" ca="1" si="0"/>
        <v>MCC</v>
      </c>
      <c r="C47" s="64" t="str">
        <f ca="1">IFERROR(__xludf.DUMMYFUNCTION("""COMPUTED_VALUE"""),"MCC30")</f>
        <v>MCC30</v>
      </c>
      <c r="D47" s="33" t="str">
        <f ca="1">IFERROR(__xludf.DUMMYFUNCTION("""COMPUTED_VALUE"""),"ASOCIADOS")</f>
        <v>ASOCIADOS</v>
      </c>
      <c r="E47" s="33">
        <f ca="1">IFERROR(__xludf.DUMMYFUNCTION("""COMPUTED_VALUE"""),2026)</f>
        <v>2026</v>
      </c>
      <c r="F47" s="56">
        <f ca="1">IFERROR(__xludf.DUMMYFUNCTION("""COMPUTED_VALUE"""),1)</f>
        <v>1</v>
      </c>
      <c r="G47" s="33" t="str">
        <f ca="1">IFERROR(__xludf.DUMMYFUNCTION("""COMPUTED_VALUE"""),"Zaragoza- León XIII")</f>
        <v>Zaragoza- León XIII</v>
      </c>
      <c r="H47" s="33" t="str">
        <f ca="1">IFERROR(__xludf.DUMMYFUNCTION("""COMPUTED_VALUE"""),"C202512129125747718")</f>
        <v>C202512129125747718</v>
      </c>
      <c r="I47" s="33" t="str">
        <f ca="1">IFERROR(__xludf.DUMMYFUNCTION("""COMPUTED_VALUE"""),"TOMÁS JAVIER MARTÍNEZ MORENO")</f>
        <v>TOMÁS JAVIER MARTÍNEZ MORENO</v>
      </c>
      <c r="J47" s="57">
        <f ca="1">IFERROR(__xludf.DUMMYFUNCTION("""COMPUTED_VALUE"""),46003)</f>
        <v>46003</v>
      </c>
      <c r="K47" s="33" t="str">
        <f ca="1">IFERROR(__xludf.DUMMYFUNCTION("""COMPUTED_VALUE"""),"Factura audífonos")</f>
        <v>Factura audífonos</v>
      </c>
      <c r="L47" s="57">
        <f ca="1">IFERROR(__xludf.DUMMYFUNCTION("""COMPUTED_VALUE"""),46042)</f>
        <v>46042</v>
      </c>
      <c r="M47" s="64" t="str">
        <f ca="1">IFERROR(__xludf.DUMMYFUNCTION("""COMPUTED_VALUE"""),"NO")</f>
        <v>NO</v>
      </c>
      <c r="N47" s="56">
        <f ca="1">IFERROR(__xludf.DUMMYFUNCTION("""COMPUTED_VALUE"""),2)</f>
        <v>2</v>
      </c>
      <c r="O47" s="58" t="str">
        <f ca="1">IFERROR(__xludf.DUMMYFUNCTION("""COMPUTED_VALUE"""),"CONFORT")</f>
        <v>CONFORT</v>
      </c>
      <c r="P47" s="59">
        <f ca="1">IFERROR(__xludf.DUMMYFUNCTION("""COMPUTED_VALUE"""),3618.27)</f>
        <v>3618.27</v>
      </c>
      <c r="Q47" s="33" t="str">
        <f ca="1">IFERROR(__xludf.DUMMYFUNCTION("""COMPUTED_VALUE"""),"Ignacio Berdejo")</f>
        <v>Ignacio Berdejo</v>
      </c>
      <c r="R47" s="60" t="str">
        <f ca="1">IFERROR(__xludf.DUMMYFUNCTION("""COMPUTED_VALUE"""),"Pedro Gil Paraíso")</f>
        <v>Pedro Gil Paraíso</v>
      </c>
      <c r="S47" s="61" t="str">
        <f ca="1">IFERROR(__xludf.DUMMYFUNCTION("""COMPUTED_VALUE"""),"03 ORL")</f>
        <v>03 ORL</v>
      </c>
      <c r="T47" s="33" t="str">
        <f ca="1">IFERROR(__xludf.DUMMYFUNCTION("""COMPUTED_VALUE"""),"06 ORL")</f>
        <v>06 ORL</v>
      </c>
      <c r="U47" s="62"/>
      <c r="W47" s="62"/>
      <c r="X47" s="62"/>
    </row>
    <row r="48" spans="1:31" ht="16">
      <c r="A48" s="33"/>
      <c r="B48" s="55" t="str">
        <f t="shared" ca="1" si="0"/>
        <v>MBM</v>
      </c>
      <c r="C48" s="64" t="str">
        <f ca="1">IFERROR(__xludf.DUMMYFUNCTION("""COMPUTED_VALUE"""),"MBM34")</f>
        <v>MBM34</v>
      </c>
      <c r="D48" s="33" t="str">
        <f ca="1">IFERROR(__xludf.DUMMYFUNCTION("""COMPUTED_VALUE"""),"PROPIOS")</f>
        <v>PROPIOS</v>
      </c>
      <c r="E48" s="33">
        <f ca="1">IFERROR(__xludf.DUMMYFUNCTION("""COMPUTED_VALUE"""),2026)</f>
        <v>2026</v>
      </c>
      <c r="F48" s="56">
        <f ca="1">IFERROR(__xludf.DUMMYFUNCTION("""COMPUTED_VALUE"""),1)</f>
        <v>1</v>
      </c>
      <c r="G48" s="33" t="str">
        <f ca="1">IFERROR(__xludf.DUMMYFUNCTION("""COMPUTED_VALUE"""),"Madrid- Moratalaz")</f>
        <v>Madrid- Moratalaz</v>
      </c>
      <c r="H48" s="33" t="str">
        <f ca="1">IFERROR(__xludf.DUMMYFUNCTION("""COMPUTED_VALUE"""),"C202512511444323836")</f>
        <v>C202512511444323836</v>
      </c>
      <c r="I48" s="33" t="str">
        <f ca="1">IFERROR(__xludf.DUMMYFUNCTION("""COMPUTED_VALUE"""),"ANTONIA MUÑOZ DURAN")</f>
        <v>ANTONIA MUÑOZ DURAN</v>
      </c>
      <c r="J48" s="57">
        <f ca="1">IFERROR(__xludf.DUMMYFUNCTION("""COMPUTED_VALUE"""),45996)</f>
        <v>45996</v>
      </c>
      <c r="K48" s="33" t="str">
        <f ca="1">IFERROR(__xludf.DUMMYFUNCTION("""COMPUTED_VALUE"""),"Factura audífonos")</f>
        <v>Factura audífonos</v>
      </c>
      <c r="L48" s="57">
        <f ca="1">IFERROR(__xludf.DUMMYFUNCTION("""COMPUTED_VALUE"""),46042)</f>
        <v>46042</v>
      </c>
      <c r="M48" s="58" t="str">
        <f ca="1">IFERROR(__xludf.DUMMYFUNCTION("""COMPUTED_VALUE"""),"NO")</f>
        <v>NO</v>
      </c>
      <c r="N48" s="56">
        <f ca="1">IFERROR(__xludf.DUMMYFUNCTION("""COMPUTED_VALUE"""),2)</f>
        <v>2</v>
      </c>
      <c r="O48" s="64" t="str">
        <f ca="1">IFERROR(__xludf.DUMMYFUNCTION("""COMPUTED_VALUE"""),"ADVANCED")</f>
        <v>ADVANCED</v>
      </c>
      <c r="P48" s="59">
        <f ca="1">IFERROR(__xludf.DUMMYFUNCTION("""COMPUTED_VALUE"""),4136.36)</f>
        <v>4136.3599999999997</v>
      </c>
      <c r="Q48" s="33" t="str">
        <f ca="1">IFERROR(__xludf.DUMMYFUNCTION("""COMPUTED_VALUE"""),"Maika Blázquez")</f>
        <v>Maika Blázquez</v>
      </c>
      <c r="R48" s="60" t="str">
        <f ca="1">IFERROR(__xludf.DUMMYFUNCTION("""COMPUTED_VALUE"""),"Ignacio Aristegui Torrano")</f>
        <v>Ignacio Aristegui Torrano</v>
      </c>
      <c r="S48" s="61" t="str">
        <f ca="1">IFERROR(__xludf.DUMMYFUNCTION("""COMPUTED_VALUE"""),"03 ORL")</f>
        <v>03 ORL</v>
      </c>
      <c r="T48" s="33" t="str">
        <f ca="1">IFERROR(__xludf.DUMMYFUNCTION("""COMPUTED_VALUE"""),"06 ORL")</f>
        <v>06 ORL</v>
      </c>
      <c r="U48" s="62"/>
      <c r="W48" s="62"/>
      <c r="X48" s="62"/>
    </row>
    <row r="49" spans="1:36" ht="16">
      <c r="A49" s="33"/>
      <c r="B49" s="55" t="str">
        <f t="shared" ca="1" si="0"/>
        <v>LAA</v>
      </c>
      <c r="C49" s="64" t="str">
        <f ca="1">IFERROR(__xludf.DUMMYFUNCTION("""COMPUTED_VALUE"""),"LAA47")</f>
        <v>LAA47</v>
      </c>
      <c r="D49" s="33" t="str">
        <f ca="1">IFERROR(__xludf.DUMMYFUNCTION("""COMPUTED_VALUE"""),"PROPIOS")</f>
        <v>PROPIOS</v>
      </c>
      <c r="E49" s="33">
        <f ca="1">IFERROR(__xludf.DUMMYFUNCTION("""COMPUTED_VALUE"""),2026)</f>
        <v>2026</v>
      </c>
      <c r="F49" s="56">
        <f ca="1">IFERROR(__xludf.DUMMYFUNCTION("""COMPUTED_VALUE"""),1)</f>
        <v>1</v>
      </c>
      <c r="G49" s="33" t="str">
        <f ca="1">IFERROR(__xludf.DUMMYFUNCTION("""COMPUTED_VALUE"""),"Sevilla- Montoto")</f>
        <v>Sevilla- Montoto</v>
      </c>
      <c r="H49" s="33" t="str">
        <f ca="1">IFERROR(__xludf.DUMMYFUNCTION("""COMPUTED_VALUE"""),"C202511271216474526")</f>
        <v>C202511271216474526</v>
      </c>
      <c r="I49" s="33" t="str">
        <f ca="1">IFERROR(__xludf.DUMMYFUNCTION("""COMPUTED_VALUE"""),"JAVIER ALGABA GIL")</f>
        <v>JAVIER ALGABA GIL</v>
      </c>
      <c r="J49" s="57">
        <f ca="1">IFERROR(__xludf.DUMMYFUNCTION("""COMPUTED_VALUE"""),45988)</f>
        <v>45988</v>
      </c>
      <c r="K49" s="33" t="str">
        <f ca="1">IFERROR(__xludf.DUMMYFUNCTION("""COMPUTED_VALUE"""),"Factura audífonos")</f>
        <v>Factura audífonos</v>
      </c>
      <c r="L49" s="57">
        <f ca="1">IFERROR(__xludf.DUMMYFUNCTION("""COMPUTED_VALUE"""),46042)</f>
        <v>46042</v>
      </c>
      <c r="M49" s="58" t="str">
        <f ca="1">IFERROR(__xludf.DUMMYFUNCTION("""COMPUTED_VALUE"""),"NO")</f>
        <v>NO</v>
      </c>
      <c r="N49" s="56">
        <f ca="1">IFERROR(__xludf.DUMMYFUNCTION("""COMPUTED_VALUE"""),2)</f>
        <v>2</v>
      </c>
      <c r="O49" s="58" t="str">
        <f ca="1">IFERROR(__xludf.DUMMYFUNCTION("""COMPUTED_VALUE"""),"CONFORT")</f>
        <v>CONFORT</v>
      </c>
      <c r="P49" s="59">
        <f ca="1">IFERROR(__xludf.DUMMYFUNCTION("""COMPUTED_VALUE"""),3630.77)</f>
        <v>3630.77</v>
      </c>
      <c r="Q49" s="33" t="str">
        <f ca="1">IFERROR(__xludf.DUMMYFUNCTION("""COMPUTED_VALUE"""),"Luis Alberto Rodríguez")</f>
        <v>Luis Alberto Rodríguez</v>
      </c>
      <c r="R49" s="60" t="str">
        <f ca="1">IFERROR(__xludf.DUMMYFUNCTION("""COMPUTED_VALUE"""),"Estefanía Berrocal Postigo")</f>
        <v>Estefanía Berrocal Postigo</v>
      </c>
      <c r="S49" s="61" t="str">
        <f ca="1">IFERROR(__xludf.DUMMYFUNCTION("""COMPUTED_VALUE"""),"03 ORL")</f>
        <v>03 ORL</v>
      </c>
      <c r="T49" s="33" t="str">
        <f ca="1">IFERROR(__xludf.DUMMYFUNCTION("""COMPUTED_VALUE"""),"06 ORL")</f>
        <v>06 ORL</v>
      </c>
      <c r="U49" s="62"/>
      <c r="W49" s="62"/>
      <c r="X49" s="62"/>
    </row>
    <row r="50" spans="1:36" ht="16">
      <c r="A50" s="33"/>
      <c r="B50" s="55" t="str">
        <f t="shared" ca="1" si="0"/>
        <v>MBM</v>
      </c>
      <c r="C50" s="64" t="str">
        <f ca="1">IFERROR(__xludf.DUMMYFUNCTION("""COMPUTED_VALUE"""),"MBM149")</f>
        <v>MBM149</v>
      </c>
      <c r="D50" s="33" t="str">
        <f ca="1">IFERROR(__xludf.DUMMYFUNCTION("""COMPUTED_VALUE"""),"PROPIOS")</f>
        <v>PROPIOS</v>
      </c>
      <c r="E50" s="33">
        <f ca="1">IFERROR(__xludf.DUMMYFUNCTION("""COMPUTED_VALUE"""),2026)</f>
        <v>2026</v>
      </c>
      <c r="F50" s="56">
        <f ca="1">IFERROR(__xludf.DUMMYFUNCTION("""COMPUTED_VALUE"""),1)</f>
        <v>1</v>
      </c>
      <c r="G50" s="33" t="str">
        <f ca="1">IFERROR(__xludf.DUMMYFUNCTION("""COMPUTED_VALUE"""),"Toledo")</f>
        <v>Toledo</v>
      </c>
      <c r="H50" s="33" t="str">
        <f ca="1">IFERROR(__xludf.DUMMYFUNCTION("""COMPUTED_VALUE"""),"C202512418122957997")</f>
        <v>C202512418122957997</v>
      </c>
      <c r="I50" s="33" t="str">
        <f ca="1">IFERROR(__xludf.DUMMYFUNCTION("""COMPUTED_VALUE"""),"Maria Isabel  Espinosa Martinez")</f>
        <v>Maria Isabel  Espinosa Martinez</v>
      </c>
      <c r="J50" s="57">
        <f ca="1">IFERROR(__xludf.DUMMYFUNCTION("""COMPUTED_VALUE"""),45995)</f>
        <v>45995</v>
      </c>
      <c r="K50" s="33" t="str">
        <f ca="1">IFERROR(__xludf.DUMMYFUNCTION("""COMPUTED_VALUE"""),"Factura audífonos")</f>
        <v>Factura audífonos</v>
      </c>
      <c r="L50" s="57">
        <f ca="1">IFERROR(__xludf.DUMMYFUNCTION("""COMPUTED_VALUE"""),46042)</f>
        <v>46042</v>
      </c>
      <c r="M50" s="58" t="str">
        <f ca="1">IFERROR(__xludf.DUMMYFUNCTION("""COMPUTED_VALUE"""),"NO")</f>
        <v>NO</v>
      </c>
      <c r="N50" s="56">
        <f ca="1">IFERROR(__xludf.DUMMYFUNCTION("""COMPUTED_VALUE"""),2)</f>
        <v>2</v>
      </c>
      <c r="O50" s="64" t="str">
        <f ca="1">IFERROR(__xludf.DUMMYFUNCTION("""COMPUTED_VALUE"""),"CONFORT")</f>
        <v>CONFORT</v>
      </c>
      <c r="P50" s="59">
        <f ca="1">IFERROR(__xludf.DUMMYFUNCTION("""COMPUTED_VALUE"""),3631.82)</f>
        <v>3631.82</v>
      </c>
      <c r="Q50" s="33" t="str">
        <f ca="1">IFERROR(__xludf.DUMMYFUNCTION("""COMPUTED_VALUE"""),"Maika Blázquez")</f>
        <v>Maika Blázquez</v>
      </c>
      <c r="R50" s="60" t="str">
        <f ca="1">IFERROR(__xludf.DUMMYFUNCTION("""COMPUTED_VALUE"""),"María Garrote Garrote")</f>
        <v>María Garrote Garrote</v>
      </c>
      <c r="S50" s="61" t="str">
        <f ca="1">IFERROR(__xludf.DUMMYFUNCTION("""COMPUTED_VALUE"""),"03 ORL")</f>
        <v>03 ORL</v>
      </c>
      <c r="T50" s="33" t="str">
        <f ca="1">IFERROR(__xludf.DUMMYFUNCTION("""COMPUTED_VALUE"""),"06 ORL")</f>
        <v>06 ORL</v>
      </c>
      <c r="U50" s="62"/>
      <c r="W50" s="62"/>
      <c r="X50" s="62"/>
    </row>
    <row r="51" spans="1:36" ht="16">
      <c r="A51" s="33"/>
      <c r="B51" s="55" t="str">
        <f t="shared" ca="1" si="0"/>
        <v>ISL</v>
      </c>
      <c r="C51" s="64" t="str">
        <f ca="1">IFERROR(__xludf.DUMMYFUNCTION("""COMPUTED_VALUE"""),"ISL37")</f>
        <v>ISL37</v>
      </c>
      <c r="D51" s="33" t="str">
        <f ca="1">IFERROR(__xludf.DUMMYFUNCTION("""COMPUTED_VALUE"""),"PROPIOS")</f>
        <v>PROPIOS</v>
      </c>
      <c r="E51" s="33">
        <f ca="1">IFERROR(__xludf.DUMMYFUNCTION("""COMPUTED_VALUE"""),2026)</f>
        <v>2026</v>
      </c>
      <c r="F51" s="56">
        <f ca="1">IFERROR(__xludf.DUMMYFUNCTION("""COMPUTED_VALUE"""),1)</f>
        <v>1</v>
      </c>
      <c r="G51" s="33" t="str">
        <f ca="1">IFERROR(__xludf.DUMMYFUNCTION("""COMPUTED_VALUE"""),"Alicante")</f>
        <v>Alicante</v>
      </c>
      <c r="H51" s="33" t="str">
        <f ca="1">IFERROR(__xludf.DUMMYFUNCTION("""COMPUTED_VALUE"""),"C202512910126436073")</f>
        <v>C202512910126436073</v>
      </c>
      <c r="I51" s="33" t="str">
        <f ca="1">IFERROR(__xludf.DUMMYFUNCTION("""COMPUTED_VALUE"""),"JERONIMO MACIA MAS")</f>
        <v>JERONIMO MACIA MAS</v>
      </c>
      <c r="J51" s="57">
        <f ca="1">IFERROR(__xludf.DUMMYFUNCTION("""COMPUTED_VALUE"""),46000)</f>
        <v>46000</v>
      </c>
      <c r="K51" s="33" t="str">
        <f ca="1">IFERROR(__xludf.DUMMYFUNCTION("""COMPUTED_VALUE"""),"Factura audífonos")</f>
        <v>Factura audífonos</v>
      </c>
      <c r="L51" s="57">
        <f ca="1">IFERROR(__xludf.DUMMYFUNCTION("""COMPUTED_VALUE"""),46042)</f>
        <v>46042</v>
      </c>
      <c r="M51" s="58" t="str">
        <f ca="1">IFERROR(__xludf.DUMMYFUNCTION("""COMPUTED_VALUE"""),"NO")</f>
        <v>NO</v>
      </c>
      <c r="N51" s="56">
        <f ca="1">IFERROR(__xludf.DUMMYFUNCTION("""COMPUTED_VALUE"""),2)</f>
        <v>2</v>
      </c>
      <c r="O51" s="58" t="str">
        <f ca="1">IFERROR(__xludf.DUMMYFUNCTION("""COMPUTED_VALUE"""),"PRO")</f>
        <v>PRO</v>
      </c>
      <c r="P51" s="59">
        <f ca="1">IFERROR(__xludf.DUMMYFUNCTION("""COMPUTED_VALUE"""),4536.36)</f>
        <v>4536.3599999999997</v>
      </c>
      <c r="Q51" s="33" t="str">
        <f ca="1">IFERROR(__xludf.DUMMYFUNCTION("""COMPUTED_VALUE"""),"Iván Sánchez")</f>
        <v>Iván Sánchez</v>
      </c>
      <c r="R51" s="60" t="str">
        <f ca="1">IFERROR(__xludf.DUMMYFUNCTION("""COMPUTED_VALUE"""),"Guillermo Severá Ferrándiz")</f>
        <v>Guillermo Severá Ferrándiz</v>
      </c>
      <c r="S51" s="61" t="str">
        <f ca="1">IFERROR(__xludf.DUMMYFUNCTION("""COMPUTED_VALUE"""),"03 ORL")</f>
        <v>03 ORL</v>
      </c>
      <c r="T51" s="33" t="str">
        <f ca="1">IFERROR(__xludf.DUMMYFUNCTION("""COMPUTED_VALUE"""),"06 ORL")</f>
        <v>06 ORL</v>
      </c>
      <c r="U51" s="62"/>
      <c r="W51" s="62"/>
      <c r="X51" s="62"/>
      <c r="AE51" s="1"/>
    </row>
    <row r="52" spans="1:36" ht="16">
      <c r="A52" s="33"/>
      <c r="B52" s="55" t="str">
        <f t="shared" ca="1" si="0"/>
        <v>ISL</v>
      </c>
      <c r="C52" s="64" t="str">
        <f ca="1">IFERROR(__xludf.DUMMYFUNCTION("""COMPUTED_VALUE"""),"ISL91")</f>
        <v>ISL91</v>
      </c>
      <c r="D52" s="33" t="str">
        <f ca="1">IFERROR(__xludf.DUMMYFUNCTION("""COMPUTED_VALUE"""),"PROPIOS")</f>
        <v>PROPIOS</v>
      </c>
      <c r="E52" s="33">
        <f ca="1">IFERROR(__xludf.DUMMYFUNCTION("""COMPUTED_VALUE"""),2026)</f>
        <v>2026</v>
      </c>
      <c r="F52" s="56">
        <f ca="1">IFERROR(__xludf.DUMMYFUNCTION("""COMPUTED_VALUE"""),1)</f>
        <v>1</v>
      </c>
      <c r="G52" s="33" t="str">
        <f ca="1">IFERROR(__xludf.DUMMYFUNCTION("""COMPUTED_VALUE"""),"Albacete")</f>
        <v>Albacete</v>
      </c>
      <c r="H52" s="33" t="str">
        <f ca="1">IFERROR(__xludf.DUMMYFUNCTION("""COMPUTED_VALUE"""),"C202512121711459148")</f>
        <v>C202512121711459148</v>
      </c>
      <c r="I52" s="33" t="str">
        <f ca="1">IFERROR(__xludf.DUMMYFUNCTION("""COMPUTED_VALUE"""),"JOSE JUAN AROCA PEREZ")</f>
        <v>JOSE JUAN AROCA PEREZ</v>
      </c>
      <c r="J52" s="57">
        <f ca="1">IFERROR(__xludf.DUMMYFUNCTION("""COMPUTED_VALUE"""),46003)</f>
        <v>46003</v>
      </c>
      <c r="K52" s="33" t="str">
        <f ca="1">IFERROR(__xludf.DUMMYFUNCTION("""COMPUTED_VALUE"""),"Factura audífonos")</f>
        <v>Factura audífonos</v>
      </c>
      <c r="L52" s="57">
        <f ca="1">IFERROR(__xludf.DUMMYFUNCTION("""COMPUTED_VALUE"""),46042)</f>
        <v>46042</v>
      </c>
      <c r="M52" s="58" t="str">
        <f ca="1">IFERROR(__xludf.DUMMYFUNCTION("""COMPUTED_VALUE"""),"NO")</f>
        <v>NO</v>
      </c>
      <c r="N52" s="56">
        <f ca="1">IFERROR(__xludf.DUMMYFUNCTION("""COMPUTED_VALUE"""),2)</f>
        <v>2</v>
      </c>
      <c r="O52" s="58" t="str">
        <f ca="1">IFERROR(__xludf.DUMMYFUNCTION("""COMPUTED_VALUE"""),"QUIET")</f>
        <v>QUIET</v>
      </c>
      <c r="P52" s="60">
        <f ca="1">IFERROR(__xludf.DUMMYFUNCTION("""COMPUTED_VALUE"""),2718.18)</f>
        <v>2718.18</v>
      </c>
      <c r="Q52" s="33" t="str">
        <f ca="1">IFERROR(__xludf.DUMMYFUNCTION("""COMPUTED_VALUE"""),"Iván Sánchez")</f>
        <v>Iván Sánchez</v>
      </c>
      <c r="R52" s="60" t="str">
        <f ca="1">IFERROR(__xludf.DUMMYFUNCTION("""COMPUTED_VALUE"""),"Alejandra Jara Maquilón")</f>
        <v>Alejandra Jara Maquilón</v>
      </c>
      <c r="S52" s="61" t="str">
        <f ca="1">IFERROR(__xludf.DUMMYFUNCTION("""COMPUTED_VALUE"""),"03 ORL")</f>
        <v>03 ORL</v>
      </c>
      <c r="T52" s="33" t="str">
        <f ca="1">IFERROR(__xludf.DUMMYFUNCTION("""COMPUTED_VALUE"""),"06 ORL")</f>
        <v>06 ORL</v>
      </c>
      <c r="U52" s="62"/>
      <c r="W52" s="62"/>
      <c r="X52" s="62"/>
    </row>
    <row r="53" spans="1:36" ht="16">
      <c r="A53" s="33"/>
      <c r="B53" s="55" t="str">
        <f t="shared" ca="1" si="0"/>
        <v>LAA</v>
      </c>
      <c r="C53" s="64" t="str">
        <f ca="1">IFERROR(__xludf.DUMMYFUNCTION("""COMPUTED_VALUE"""),"LAA13")</f>
        <v>LAA13</v>
      </c>
      <c r="D53" s="33" t="str">
        <f ca="1">IFERROR(__xludf.DUMMYFUNCTION("""COMPUTED_VALUE"""),"PROPIOS")</f>
        <v>PROPIOS</v>
      </c>
      <c r="E53" s="33">
        <f ca="1">IFERROR(__xludf.DUMMYFUNCTION("""COMPUTED_VALUE"""),2026)</f>
        <v>2026</v>
      </c>
      <c r="F53" s="56">
        <f ca="1">IFERROR(__xludf.DUMMYFUNCTION("""COMPUTED_VALUE"""),1)</f>
        <v>1</v>
      </c>
      <c r="G53" s="33" t="str">
        <f ca="1">IFERROR(__xludf.DUMMYFUNCTION("""COMPUTED_VALUE"""),"Sevilla- Montoto")</f>
        <v>Sevilla- Montoto</v>
      </c>
      <c r="H53" s="33" t="str">
        <f ca="1">IFERROR(__xludf.DUMMYFUNCTION("""COMPUTED_VALUE"""),"C202510311713966723")</f>
        <v>C202510311713966723</v>
      </c>
      <c r="I53" s="33" t="str">
        <f ca="1">IFERROR(__xludf.DUMMYFUNCTION("""COMPUTED_VALUE"""),"MANUEL LOZANO PADILLA")</f>
        <v>MANUEL LOZANO PADILLA</v>
      </c>
      <c r="J53" s="57">
        <f ca="1">IFERROR(__xludf.DUMMYFUNCTION("""COMPUTED_VALUE"""),45961)</f>
        <v>45961</v>
      </c>
      <c r="K53" s="33" t="str">
        <f ca="1">IFERROR(__xludf.DUMMYFUNCTION("""COMPUTED_VALUE"""),"Factura audífonos")</f>
        <v>Factura audífonos</v>
      </c>
      <c r="L53" s="57">
        <f ca="1">IFERROR(__xludf.DUMMYFUNCTION("""COMPUTED_VALUE"""),46043)</f>
        <v>46043</v>
      </c>
      <c r="M53" s="58" t="str">
        <f ca="1">IFERROR(__xludf.DUMMYFUNCTION("""COMPUTED_VALUE"""),"NO")</f>
        <v>NO</v>
      </c>
      <c r="N53" s="56">
        <f ca="1">IFERROR(__xludf.DUMMYFUNCTION("""COMPUTED_VALUE"""),2)</f>
        <v>2</v>
      </c>
      <c r="O53" s="58" t="str">
        <f ca="1">IFERROR(__xludf.DUMMYFUNCTION("""COMPUTED_VALUE"""),"CONFORT")</f>
        <v>CONFORT</v>
      </c>
      <c r="P53" s="60">
        <f ca="1">IFERROR(__xludf.DUMMYFUNCTION("""COMPUTED_VALUE"""),3631.82)</f>
        <v>3631.82</v>
      </c>
      <c r="Q53" s="33" t="str">
        <f ca="1">IFERROR(__xludf.DUMMYFUNCTION("""COMPUTED_VALUE"""),"Luis Alberto Rodríguez")</f>
        <v>Luis Alberto Rodríguez</v>
      </c>
      <c r="R53" s="60" t="str">
        <f ca="1">IFERROR(__xludf.DUMMYFUNCTION("""COMPUTED_VALUE"""),"Francisco Javier Aguilar Vera")</f>
        <v>Francisco Javier Aguilar Vera</v>
      </c>
      <c r="S53" s="61" t="str">
        <f ca="1">IFERROR(__xludf.DUMMYFUNCTION("""COMPUTED_VALUE"""),"03 ORL")</f>
        <v>03 ORL</v>
      </c>
      <c r="T53" s="33" t="str">
        <f ca="1">IFERROR(__xludf.DUMMYFUNCTION("""COMPUTED_VALUE"""),"06 ORL")</f>
        <v>06 ORL</v>
      </c>
      <c r="U53" s="62"/>
      <c r="W53" s="62"/>
      <c r="X53" s="62"/>
    </row>
    <row r="54" spans="1:36" ht="16">
      <c r="A54" s="33"/>
      <c r="B54" s="55" t="str">
        <f t="shared" ca="1" si="0"/>
        <v>ISL</v>
      </c>
      <c r="C54" s="64" t="str">
        <f ca="1">IFERROR(__xludf.DUMMYFUNCTION("""COMPUTED_VALUE"""),"ISL58")</f>
        <v>ISL58</v>
      </c>
      <c r="D54" s="33" t="str">
        <f ca="1">IFERROR(__xludf.DUMMYFUNCTION("""COMPUTED_VALUE"""),"PROPIOS")</f>
        <v>PROPIOS</v>
      </c>
      <c r="E54" s="33">
        <f ca="1">IFERROR(__xludf.DUMMYFUNCTION("""COMPUTED_VALUE"""),2026)</f>
        <v>2026</v>
      </c>
      <c r="F54" s="56">
        <f ca="1">IFERROR(__xludf.DUMMYFUNCTION("""COMPUTED_VALUE"""),1)</f>
        <v>1</v>
      </c>
      <c r="G54" s="33" t="str">
        <f ca="1">IFERROR(__xludf.DUMMYFUNCTION("""COMPUTED_VALUE"""),"Orihuela")</f>
        <v>Orihuela</v>
      </c>
      <c r="H54" s="33" t="str">
        <f ca="1">IFERROR(__xludf.DUMMYFUNCTION("""COMPUTED_VALUE"""),"C202512311581610869")</f>
        <v>C202512311581610869</v>
      </c>
      <c r="I54" s="33" t="str">
        <f ca="1">IFERROR(__xludf.DUMMYFUNCTION("""COMPUTED_VALUE"""),"JOSÉ EDUARDO DE LA FUENTE FERNANDEZ")</f>
        <v>JOSÉ EDUARDO DE LA FUENTE FERNANDEZ</v>
      </c>
      <c r="J54" s="57">
        <f ca="1">IFERROR(__xludf.DUMMYFUNCTION("""COMPUTED_VALUE"""),45994)</f>
        <v>45994</v>
      </c>
      <c r="K54" s="33" t="str">
        <f ca="1">IFERROR(__xludf.DUMMYFUNCTION("""COMPUTED_VALUE"""),"Factura audífonos")</f>
        <v>Factura audífonos</v>
      </c>
      <c r="L54" s="57">
        <f ca="1">IFERROR(__xludf.DUMMYFUNCTION("""COMPUTED_VALUE"""),46043)</f>
        <v>46043</v>
      </c>
      <c r="M54" s="58" t="str">
        <f ca="1">IFERROR(__xludf.DUMMYFUNCTION("""COMPUTED_VALUE"""),"NO")</f>
        <v>NO</v>
      </c>
      <c r="N54" s="56">
        <f ca="1">IFERROR(__xludf.DUMMYFUNCTION("""COMPUTED_VALUE"""),2)</f>
        <v>2</v>
      </c>
      <c r="O54" s="58" t="str">
        <f ca="1">IFERROR(__xludf.DUMMYFUNCTION("""COMPUTED_VALUE"""),"CONFORT")</f>
        <v>CONFORT</v>
      </c>
      <c r="P54" s="60">
        <f ca="1">IFERROR(__xludf.DUMMYFUNCTION("""COMPUTED_VALUE"""),3631.73)</f>
        <v>3631.73</v>
      </c>
      <c r="Q54" s="33" t="str">
        <f ca="1">IFERROR(__xludf.DUMMYFUNCTION("""COMPUTED_VALUE"""),"Iván Sánchez")</f>
        <v>Iván Sánchez</v>
      </c>
      <c r="R54" s="60" t="str">
        <f ca="1">IFERROR(__xludf.DUMMYFUNCTION("""COMPUTED_VALUE"""),"Juan Javier Álvarez López")</f>
        <v>Juan Javier Álvarez López</v>
      </c>
      <c r="S54" s="61" t="str">
        <f ca="1">IFERROR(__xludf.DUMMYFUNCTION("""COMPUTED_VALUE"""),"03 ORL")</f>
        <v>03 ORL</v>
      </c>
      <c r="T54" s="33" t="str">
        <f ca="1">IFERROR(__xludf.DUMMYFUNCTION("""COMPUTED_VALUE"""),"06 ORL")</f>
        <v>06 ORL</v>
      </c>
      <c r="U54" s="62"/>
      <c r="W54" s="62"/>
      <c r="X54" s="62"/>
    </row>
    <row r="55" spans="1:36" ht="16">
      <c r="A55" s="33"/>
      <c r="B55" s="55" t="str">
        <f t="shared" ca="1" si="0"/>
        <v>MBM</v>
      </c>
      <c r="C55" s="64" t="str">
        <f ca="1">IFERROR(__xludf.DUMMYFUNCTION("""COMPUTED_VALUE"""),"MBM149")</f>
        <v>MBM149</v>
      </c>
      <c r="D55" s="33" t="str">
        <f ca="1">IFERROR(__xludf.DUMMYFUNCTION("""COMPUTED_VALUE"""),"PROPIOS")</f>
        <v>PROPIOS</v>
      </c>
      <c r="E55" s="33">
        <f ca="1">IFERROR(__xludf.DUMMYFUNCTION("""COMPUTED_VALUE"""),2026)</f>
        <v>2026</v>
      </c>
      <c r="F55" s="56">
        <f ca="1">IFERROR(__xludf.DUMMYFUNCTION("""COMPUTED_VALUE"""),1)</f>
        <v>1</v>
      </c>
      <c r="G55" s="33" t="str">
        <f ca="1">IFERROR(__xludf.DUMMYFUNCTION("""COMPUTED_VALUE"""),"Getafe")</f>
        <v>Getafe</v>
      </c>
      <c r="H55" s="33" t="str">
        <f ca="1">IFERROR(__xludf.DUMMYFUNCTION("""COMPUTED_VALUE"""),"C202512595841880689")</f>
        <v>C202512595841880689</v>
      </c>
      <c r="I55" s="33" t="str">
        <f ca="1">IFERROR(__xludf.DUMMYFUNCTION("""COMPUTED_VALUE"""),"MARIA ROSA FELIU CASADO")</f>
        <v>MARIA ROSA FELIU CASADO</v>
      </c>
      <c r="J55" s="57">
        <f ca="1">IFERROR(__xludf.DUMMYFUNCTION("""COMPUTED_VALUE"""),45996)</f>
        <v>45996</v>
      </c>
      <c r="K55" s="33" t="str">
        <f ca="1">IFERROR(__xludf.DUMMYFUNCTION("""COMPUTED_VALUE"""),"Factura audífonos")</f>
        <v>Factura audífonos</v>
      </c>
      <c r="L55" s="57">
        <f ca="1">IFERROR(__xludf.DUMMYFUNCTION("""COMPUTED_VALUE"""),46043)</f>
        <v>46043</v>
      </c>
      <c r="M55" s="58" t="str">
        <f ca="1">IFERROR(__xludf.DUMMYFUNCTION("""COMPUTED_VALUE"""),"NO")</f>
        <v>NO</v>
      </c>
      <c r="N55" s="56">
        <f ca="1">IFERROR(__xludf.DUMMYFUNCTION("""COMPUTED_VALUE"""),2)</f>
        <v>2</v>
      </c>
      <c r="O55" s="58" t="str">
        <f ca="1">IFERROR(__xludf.DUMMYFUNCTION("""COMPUTED_VALUE"""),"QUIET")</f>
        <v>QUIET</v>
      </c>
      <c r="P55" s="60">
        <f ca="1">IFERROR(__xludf.DUMMYFUNCTION("""COMPUTED_VALUE"""),2445.45)</f>
        <v>2445.4499999999998</v>
      </c>
      <c r="Q55" s="33" t="str">
        <f ca="1">IFERROR(__xludf.DUMMYFUNCTION("""COMPUTED_VALUE"""),"Maika Blázquez")</f>
        <v>Maika Blázquez</v>
      </c>
      <c r="R55" s="60" t="str">
        <f ca="1">IFERROR(__xludf.DUMMYFUNCTION("""COMPUTED_VALUE"""),"María Garrote Garrote")</f>
        <v>María Garrote Garrote</v>
      </c>
      <c r="S55" s="61" t="str">
        <f ca="1">IFERROR(__xludf.DUMMYFUNCTION("""COMPUTED_VALUE"""),"03 ORL")</f>
        <v>03 ORL</v>
      </c>
      <c r="T55" s="33" t="str">
        <f ca="1">IFERROR(__xludf.DUMMYFUNCTION("""COMPUTED_VALUE"""),"06 ORL")</f>
        <v>06 ORL</v>
      </c>
      <c r="U55" s="62"/>
      <c r="W55" s="62"/>
      <c r="X55" s="62"/>
    </row>
    <row r="56" spans="1:36" ht="16">
      <c r="A56" s="33"/>
      <c r="B56" s="55" t="str">
        <f t="shared" ca="1" si="0"/>
        <v>ISL</v>
      </c>
      <c r="C56" s="64" t="str">
        <f ca="1">IFERROR(__xludf.DUMMYFUNCTION("""COMPUTED_VALUE"""),"ISL14")</f>
        <v>ISL14</v>
      </c>
      <c r="D56" s="33" t="str">
        <f ca="1">IFERROR(__xludf.DUMMYFUNCTION("""COMPUTED_VALUE"""),"PROPIOS")</f>
        <v>PROPIOS</v>
      </c>
      <c r="E56" s="33">
        <f ca="1">IFERROR(__xludf.DUMMYFUNCTION("""COMPUTED_VALUE"""),2026)</f>
        <v>2026</v>
      </c>
      <c r="F56" s="56">
        <f ca="1">IFERROR(__xludf.DUMMYFUNCTION("""COMPUTED_VALUE"""),1)</f>
        <v>1</v>
      </c>
      <c r="G56" s="33" t="str">
        <f ca="1">IFERROR(__xludf.DUMMYFUNCTION("""COMPUTED_VALUE"""),"Alicante")</f>
        <v>Alicante</v>
      </c>
      <c r="H56" s="33" t="str">
        <f ca="1">IFERROR(__xludf.DUMMYFUNCTION("""COMPUTED_VALUE"""),"C202512169525324632")</f>
        <v>C202512169525324632</v>
      </c>
      <c r="I56" s="33" t="str">
        <f ca="1">IFERROR(__xludf.DUMMYFUNCTION("""COMPUTED_VALUE"""),"MAURIZIO CENCIARELLI")</f>
        <v>MAURIZIO CENCIARELLI</v>
      </c>
      <c r="J56" s="57">
        <f ca="1">IFERROR(__xludf.DUMMYFUNCTION("""COMPUTED_VALUE"""),46007)</f>
        <v>46007</v>
      </c>
      <c r="K56" s="33" t="str">
        <f ca="1">IFERROR(__xludf.DUMMYFUNCTION("""COMPUTED_VALUE"""),"Factura audífonos")</f>
        <v>Factura audífonos</v>
      </c>
      <c r="L56" s="57">
        <f ca="1">IFERROR(__xludf.DUMMYFUNCTION("""COMPUTED_VALUE"""),46044)</f>
        <v>46044</v>
      </c>
      <c r="M56" s="58" t="str">
        <f ca="1">IFERROR(__xludf.DUMMYFUNCTION("""COMPUTED_VALUE"""),"NO")</f>
        <v>NO</v>
      </c>
      <c r="N56" s="56">
        <f ca="1">IFERROR(__xludf.DUMMYFUNCTION("""COMPUTED_VALUE"""),2)</f>
        <v>2</v>
      </c>
      <c r="O56" s="58" t="str">
        <f ca="1">IFERROR(__xludf.DUMMYFUNCTION("""COMPUTED_VALUE"""),"ADVANCED")</f>
        <v>ADVANCED</v>
      </c>
      <c r="P56" s="59">
        <f ca="1">IFERROR(__xludf.DUMMYFUNCTION("""COMPUTED_VALUE"""),4136.36)</f>
        <v>4136.3599999999997</v>
      </c>
      <c r="Q56" s="33" t="str">
        <f ca="1">IFERROR(__xludf.DUMMYFUNCTION("""COMPUTED_VALUE"""),"Iván Sánchez")</f>
        <v>Iván Sánchez</v>
      </c>
      <c r="R56" s="60" t="str">
        <f ca="1">IFERROR(__xludf.DUMMYFUNCTION("""COMPUTED_VALUE"""),"Carlos Velásquez Fermín")</f>
        <v>Carlos Velásquez Fermín</v>
      </c>
      <c r="S56" s="61" t="str">
        <f ca="1">IFERROR(__xludf.DUMMYFUNCTION("""COMPUTED_VALUE"""),"03 ORL")</f>
        <v>03 ORL</v>
      </c>
      <c r="T56" s="33" t="str">
        <f ca="1">IFERROR(__xludf.DUMMYFUNCTION("""COMPUTED_VALUE"""),"06 ORL")</f>
        <v>06 ORL</v>
      </c>
      <c r="U56" s="62"/>
      <c r="W56" s="62"/>
      <c r="X56" s="62"/>
    </row>
    <row r="57" spans="1:36" ht="16">
      <c r="A57" s="33"/>
      <c r="B57" s="55" t="str">
        <f t="shared" ca="1" si="0"/>
        <v>LRM</v>
      </c>
      <c r="C57" s="64" t="str">
        <f ca="1">IFERROR(__xludf.DUMMYFUNCTION("""COMPUTED_VALUE"""),"LRM153")</f>
        <v>LRM153</v>
      </c>
      <c r="D57" s="33" t="str">
        <f ca="1">IFERROR(__xludf.DUMMYFUNCTION("""COMPUTED_VALUE"""),"ASOCIADOS")</f>
        <v>ASOCIADOS</v>
      </c>
      <c r="E57" s="33">
        <f ca="1">IFERROR(__xludf.DUMMYFUNCTION("""COMPUTED_VALUE"""),2026)</f>
        <v>2026</v>
      </c>
      <c r="F57" s="56">
        <f ca="1">IFERROR(__xludf.DUMMYFUNCTION("""COMPUTED_VALUE"""),1)</f>
        <v>1</v>
      </c>
      <c r="G57" s="33" t="str">
        <f ca="1">IFERROR(__xludf.DUMMYFUNCTION("""COMPUTED_VALUE"""),"Cáceres")</f>
        <v>Cáceres</v>
      </c>
      <c r="H57" s="33" t="str">
        <f ca="1">IFERROR(__xludf.DUMMYFUNCTION("""COMPUTED_VALUE"""),"C202512268393761744")</f>
        <v>C202512268393761744</v>
      </c>
      <c r="I57" s="33" t="str">
        <f ca="1">IFERROR(__xludf.DUMMYFUNCTION("""COMPUTED_VALUE"""),"DAVID SOCORRO FERRER")</f>
        <v>DAVID SOCORRO FERRER</v>
      </c>
      <c r="J57" s="57">
        <f ca="1">IFERROR(__xludf.DUMMYFUNCTION("""COMPUTED_VALUE"""),46017)</f>
        <v>46017</v>
      </c>
      <c r="K57" s="33" t="str">
        <f ca="1">IFERROR(__xludf.DUMMYFUNCTION("""COMPUTED_VALUE"""),"Factura audífonos")</f>
        <v>Factura audífonos</v>
      </c>
      <c r="L57" s="57">
        <f ca="1">IFERROR(__xludf.DUMMYFUNCTION("""COMPUTED_VALUE"""),46044)</f>
        <v>46044</v>
      </c>
      <c r="M57" s="33" t="str">
        <f ca="1">IFERROR(__xludf.DUMMYFUNCTION("""COMPUTED_VALUE"""),"NO")</f>
        <v>NO</v>
      </c>
      <c r="N57" s="56">
        <f ca="1">IFERROR(__xludf.DUMMYFUNCTION("""COMPUTED_VALUE"""),2)</f>
        <v>2</v>
      </c>
      <c r="O57" s="33" t="str">
        <f ca="1">IFERROR(__xludf.DUMMYFUNCTION("""COMPUTED_VALUE"""),"QUIET")</f>
        <v>QUIET</v>
      </c>
      <c r="P57" s="60">
        <f ca="1">IFERROR(__xludf.DUMMYFUNCTION("""COMPUTED_VALUE"""),3163.64)</f>
        <v>3163.64</v>
      </c>
      <c r="Q57" s="33" t="str">
        <f ca="1">IFERROR(__xludf.DUMMYFUNCTION("""COMPUTED_VALUE"""),"Lisandro Russian")</f>
        <v>Lisandro Russian</v>
      </c>
      <c r="R57" s="60" t="str">
        <f ca="1">IFERROR(__xludf.DUMMYFUNCTION("""COMPUTED_VALUE"""),"Daniela Carolina Laguado Bulgheroni")</f>
        <v>Daniela Carolina Laguado Bulgheroni</v>
      </c>
      <c r="S57" s="61" t="str">
        <f ca="1">IFERROR(__xludf.DUMMYFUNCTION("""COMPUTED_VALUE"""),"03 ORL")</f>
        <v>03 ORL</v>
      </c>
      <c r="T57" s="33" t="str">
        <f ca="1">IFERROR(__xludf.DUMMYFUNCTION("""COMPUTED_VALUE"""),"06 ORL")</f>
        <v>06 ORL</v>
      </c>
      <c r="U57" s="62"/>
      <c r="W57" s="62"/>
      <c r="X57" s="62"/>
      <c r="AG57" s="60"/>
      <c r="AJ57" s="60"/>
    </row>
    <row r="58" spans="1:36" ht="16">
      <c r="A58" s="33"/>
      <c r="B58" s="55" t="str">
        <f t="shared" ca="1" si="0"/>
        <v>RPG</v>
      </c>
      <c r="C58" s="64" t="str">
        <f ca="1">IFERROR(__xludf.DUMMYFUNCTION("""COMPUTED_VALUE"""),"RPG37")</f>
        <v>RPG37</v>
      </c>
      <c r="D58" s="33" t="str">
        <f ca="1">IFERROR(__xludf.DUMMYFUNCTION("""COMPUTED_VALUE"""),"PARTICIPADOS")</f>
        <v>PARTICIPADOS</v>
      </c>
      <c r="E58" s="33">
        <f ca="1">IFERROR(__xludf.DUMMYFUNCTION("""COMPUTED_VALUE"""),2026)</f>
        <v>2026</v>
      </c>
      <c r="F58" s="56">
        <f ca="1">IFERROR(__xludf.DUMMYFUNCTION("""COMPUTED_VALUE"""),1)</f>
        <v>1</v>
      </c>
      <c r="G58" s="33" t="str">
        <f ca="1">IFERROR(__xludf.DUMMYFUNCTION("""COMPUTED_VALUE"""),"Ourense")</f>
        <v>Ourense</v>
      </c>
      <c r="H58" s="33" t="str">
        <f ca="1">IFERROR(__xludf.DUMMYFUNCTION("""COMPUTED_VALUE"""),"C202512392737668984")</f>
        <v>C202512392737668984</v>
      </c>
      <c r="I58" s="33" t="str">
        <f ca="1">IFERROR(__xludf.DUMMYFUNCTION("""COMPUTED_VALUE"""),"PABLO GOMEZ SEOANE")</f>
        <v>PABLO GOMEZ SEOANE</v>
      </c>
      <c r="J58" s="57">
        <f ca="1">IFERROR(__xludf.DUMMYFUNCTION("""COMPUTED_VALUE"""),45994)</f>
        <v>45994</v>
      </c>
      <c r="K58" s="33" t="str">
        <f ca="1">IFERROR(__xludf.DUMMYFUNCTION("""COMPUTED_VALUE"""),"Factura audífonos")</f>
        <v>Factura audífonos</v>
      </c>
      <c r="L58" s="57">
        <f ca="1">IFERROR(__xludf.DUMMYFUNCTION("""COMPUTED_VALUE"""),46044)</f>
        <v>46044</v>
      </c>
      <c r="M58" s="33" t="str">
        <f ca="1">IFERROR(__xludf.DUMMYFUNCTION("""COMPUTED_VALUE"""),"NO")</f>
        <v>NO</v>
      </c>
      <c r="N58" s="56">
        <f ca="1">IFERROR(__xludf.DUMMYFUNCTION("""COMPUTED_VALUE"""),1)</f>
        <v>1</v>
      </c>
      <c r="O58" s="33" t="str">
        <f ca="1">IFERROR(__xludf.DUMMYFUNCTION("""COMPUTED_VALUE"""),"CONFORT")</f>
        <v>CONFORT</v>
      </c>
      <c r="P58" s="59">
        <f ca="1">IFERROR(__xludf.DUMMYFUNCTION("""COMPUTED_VALUE"""),2180.91)</f>
        <v>2180.91</v>
      </c>
      <c r="Q58" s="33" t="str">
        <f ca="1">IFERROR(__xludf.DUMMYFUNCTION("""COMPUTED_VALUE"""),"Alberto Moreno")</f>
        <v>Alberto Moreno</v>
      </c>
      <c r="R58" s="60" t="str">
        <f ca="1">IFERROR(__xludf.DUMMYFUNCTION("""COMPUTED_VALUE"""),"Ana Quintana Sanjuan")</f>
        <v>Ana Quintana Sanjuan</v>
      </c>
      <c r="S58" s="61" t="str">
        <f ca="1">IFERROR(__xludf.DUMMYFUNCTION("""COMPUTED_VALUE"""),"03 ORL")</f>
        <v>03 ORL</v>
      </c>
      <c r="T58" s="33" t="str">
        <f ca="1">IFERROR(__xludf.DUMMYFUNCTION("""COMPUTED_VALUE"""),"06 ORL")</f>
        <v>06 ORL</v>
      </c>
      <c r="U58" s="62"/>
      <c r="W58" s="62"/>
      <c r="X58" s="62"/>
      <c r="AE58" s="1"/>
      <c r="AG58" s="60"/>
    </row>
    <row r="59" spans="1:36" ht="16">
      <c r="A59" s="33"/>
      <c r="B59" s="55" t="str">
        <f t="shared" ca="1" si="0"/>
        <v>MBM</v>
      </c>
      <c r="C59" s="64" t="str">
        <f ca="1">IFERROR(__xludf.DUMMYFUNCTION("""COMPUTED_VALUE"""),"MBM115")</f>
        <v>MBM115</v>
      </c>
      <c r="D59" s="33" t="str">
        <f ca="1">IFERROR(__xludf.DUMMYFUNCTION("""COMPUTED_VALUE"""),"PARTICIPADOS")</f>
        <v>PARTICIPADOS</v>
      </c>
      <c r="E59" s="33">
        <f ca="1">IFERROR(__xludf.DUMMYFUNCTION("""COMPUTED_VALUE"""),2026)</f>
        <v>2026</v>
      </c>
      <c r="F59" s="56">
        <f ca="1">IFERROR(__xludf.DUMMYFUNCTION("""COMPUTED_VALUE"""),1)</f>
        <v>1</v>
      </c>
      <c r="G59" s="33" t="str">
        <f ca="1">IFERROR(__xludf.DUMMYFUNCTION("""COMPUTED_VALUE"""),"Madrid- La Oca")</f>
        <v>Madrid- La Oca</v>
      </c>
      <c r="H59" s="33" t="str">
        <f ca="1">IFERROR(__xludf.DUMMYFUNCTION("""COMPUTED_VALUE"""),"C20251210112255528")</f>
        <v>C20251210112255528</v>
      </c>
      <c r="I59" s="33" t="str">
        <f ca="1">IFERROR(__xludf.DUMMYFUNCTION("""COMPUTED_VALUE"""),"EMILIO RUIZ-ROSO CASTAÑO")</f>
        <v>EMILIO RUIZ-ROSO CASTAÑO</v>
      </c>
      <c r="J59" s="57">
        <f ca="1">IFERROR(__xludf.DUMMYFUNCTION("""COMPUTED_VALUE"""),45973)</f>
        <v>45973</v>
      </c>
      <c r="K59" s="33" t="str">
        <f ca="1">IFERROR(__xludf.DUMMYFUNCTION("""COMPUTED_VALUE"""),"Factura audífonos")</f>
        <v>Factura audífonos</v>
      </c>
      <c r="L59" s="57">
        <f ca="1">IFERROR(__xludf.DUMMYFUNCTION("""COMPUTED_VALUE"""),46044)</f>
        <v>46044</v>
      </c>
      <c r="M59" s="33" t="str">
        <f ca="1">IFERROR(__xludf.DUMMYFUNCTION("""COMPUTED_VALUE"""),"NO")</f>
        <v>NO</v>
      </c>
      <c r="N59" s="56">
        <f ca="1">IFERROR(__xludf.DUMMYFUNCTION("""COMPUTED_VALUE"""),2)</f>
        <v>2</v>
      </c>
      <c r="O59" s="33" t="str">
        <f ca="1">IFERROR(__xludf.DUMMYFUNCTION("""COMPUTED_VALUE"""),"QUIET")</f>
        <v>QUIET</v>
      </c>
      <c r="P59" s="59">
        <f ca="1">IFERROR(__xludf.DUMMYFUNCTION("""COMPUTED_VALUE"""),2545.45)</f>
        <v>2545.4499999999998</v>
      </c>
      <c r="Q59" s="33" t="str">
        <f ca="1">IFERROR(__xludf.DUMMYFUNCTION("""COMPUTED_VALUE"""),"Maika Blázquez")</f>
        <v>Maika Blázquez</v>
      </c>
      <c r="R59" s="60" t="str">
        <f ca="1">IFERROR(__xludf.DUMMYFUNCTION("""COMPUTED_VALUE"""),"Esther Macon Liquete")</f>
        <v>Esther Macon Liquete</v>
      </c>
      <c r="S59" s="61" t="str">
        <f ca="1">IFERROR(__xludf.DUMMYFUNCTION("""COMPUTED_VALUE"""),"03 ORL")</f>
        <v>03 ORL</v>
      </c>
      <c r="T59" s="33" t="str">
        <f ca="1">IFERROR(__xludf.DUMMYFUNCTION("""COMPUTED_VALUE"""),"06 ORL")</f>
        <v>06 ORL</v>
      </c>
      <c r="U59" s="62"/>
      <c r="W59" s="62"/>
      <c r="X59" s="62"/>
      <c r="AG59" s="60"/>
      <c r="AJ59" s="60"/>
    </row>
    <row r="60" spans="1:36" ht="16">
      <c r="A60" s="33"/>
      <c r="B60" s="55" t="str">
        <f t="shared" si="0"/>
        <v/>
      </c>
      <c r="C60" s="64"/>
      <c r="D60" s="33" t="str">
        <f ca="1">IFERROR(__xludf.DUMMYFUNCTION("""COMPUTED_VALUE"""),"ASOCIADOS")</f>
        <v>ASOCIADOS</v>
      </c>
      <c r="E60" s="33">
        <f ca="1">IFERROR(__xludf.DUMMYFUNCTION("""COMPUTED_VALUE"""),2026)</f>
        <v>2026</v>
      </c>
      <c r="F60" s="56">
        <f ca="1">IFERROR(__xludf.DUMMYFUNCTION("""COMPUTED_VALUE"""),1)</f>
        <v>1</v>
      </c>
      <c r="G60" s="33" t="str">
        <f ca="1">IFERROR(__xludf.DUMMYFUNCTION("""COMPUTED_VALUE"""),"Badajoz")</f>
        <v>Badajoz</v>
      </c>
      <c r="H60" s="33" t="str">
        <f ca="1">IFERROR(__xludf.DUMMYFUNCTION("""COMPUTED_VALUE"""),"BJZE-2540")</f>
        <v>BJZE-2540</v>
      </c>
      <c r="I60" s="33" t="str">
        <f ca="1">IFERROR(__xludf.DUMMYFUNCTION("""COMPUTED_VALUE"""),"MARIA INMACULADA BENAVENTE POZO")</f>
        <v>MARIA INMACULADA BENAVENTE POZO</v>
      </c>
      <c r="J60" s="57">
        <f ca="1">IFERROR(__xludf.DUMMYFUNCTION("""COMPUTED_VALUE"""),45964)</f>
        <v>45964</v>
      </c>
      <c r="K60" s="33" t="str">
        <f ca="1">IFERROR(__xludf.DUMMYFUNCTION("""COMPUTED_VALUE"""),"Factura audífonos")</f>
        <v>Factura audífonos</v>
      </c>
      <c r="L60" s="57">
        <f ca="1">IFERROR(__xludf.DUMMYFUNCTION("""COMPUTED_VALUE"""),46044)</f>
        <v>46044</v>
      </c>
      <c r="M60" s="33" t="str">
        <f ca="1">IFERROR(__xludf.DUMMYFUNCTION("""COMPUTED_VALUE"""),"NO")</f>
        <v>NO</v>
      </c>
      <c r="N60" s="56">
        <f ca="1">IFERROR(__xludf.DUMMYFUNCTION("""COMPUTED_VALUE"""),2)</f>
        <v>2</v>
      </c>
      <c r="O60" s="33" t="str">
        <f ca="1">IFERROR(__xludf.DUMMYFUNCTION("""COMPUTED_VALUE"""),"QUIET")</f>
        <v>QUIET</v>
      </c>
      <c r="P60" s="60">
        <f ca="1">IFERROR(__xludf.DUMMYFUNCTION("""COMPUTED_VALUE"""),3263.64)</f>
        <v>3263.64</v>
      </c>
      <c r="Q60" s="33" t="str">
        <f ca="1">IFERROR(__xludf.DUMMYFUNCTION("""COMPUTED_VALUE"""),"Luis Alberto Rodríguez")</f>
        <v>Luis Alberto Rodríguez</v>
      </c>
      <c r="R60" s="60" t="str">
        <f ca="1">IFERROR(__xludf.DUMMYFUNCTION("""COMPUTED_VALUE"""),"No recuerda ORL")</f>
        <v>No recuerda ORL</v>
      </c>
      <c r="S60" s="61" t="str">
        <f ca="1">IFERROR(__xludf.DUMMYFUNCTION("""COMPUTED_VALUE"""),"03 ORL")</f>
        <v>03 ORL</v>
      </c>
      <c r="T60" s="33" t="str">
        <f ca="1">IFERROR(__xludf.DUMMYFUNCTION("""COMPUTED_VALUE"""),"06 ORL")</f>
        <v>06 ORL</v>
      </c>
      <c r="U60" s="62"/>
      <c r="W60" s="62"/>
      <c r="X60" s="62"/>
      <c r="AG60" s="60"/>
    </row>
    <row r="61" spans="1:36" ht="16">
      <c r="A61" s="33"/>
      <c r="B61" s="55" t="str">
        <f t="shared" ca="1" si="0"/>
        <v>RFV</v>
      </c>
      <c r="C61" s="64" t="str">
        <f ca="1">IFERROR(__xludf.DUMMYFUNCTION("""COMPUTED_VALUE"""),"RFV47")</f>
        <v>RFV47</v>
      </c>
      <c r="D61" s="33" t="str">
        <f ca="1">IFERROR(__xludf.DUMMYFUNCTION("""COMPUTED_VALUE"""),"PROPIOS")</f>
        <v>PROPIOS</v>
      </c>
      <c r="E61" s="33">
        <f ca="1">IFERROR(__xludf.DUMMYFUNCTION("""COMPUTED_VALUE"""),2026)</f>
        <v>2026</v>
      </c>
      <c r="F61" s="56">
        <f ca="1">IFERROR(__xludf.DUMMYFUNCTION("""COMPUTED_VALUE"""),1)</f>
        <v>1</v>
      </c>
      <c r="G61" s="33" t="str">
        <f ca="1">IFERROR(__xludf.DUMMYFUNCTION("""COMPUTED_VALUE"""),"Almería")</f>
        <v>Almería</v>
      </c>
      <c r="H61" s="33" t="str">
        <f ca="1">IFERROR(__xludf.DUMMYFUNCTION("""COMPUTED_VALUE"""),"C202512161837483546")</f>
        <v>C202512161837483546</v>
      </c>
      <c r="I61" s="33" t="str">
        <f ca="1">IFERROR(__xludf.DUMMYFUNCTION("""COMPUTED_VALUE"""),"DIEGO LOPEZ CAYUELA")</f>
        <v>DIEGO LOPEZ CAYUELA</v>
      </c>
      <c r="J61" s="57">
        <f ca="1">IFERROR(__xludf.DUMMYFUNCTION("""COMPUTED_VALUE"""),46007)</f>
        <v>46007</v>
      </c>
      <c r="K61" s="33" t="str">
        <f ca="1">IFERROR(__xludf.DUMMYFUNCTION("""COMPUTED_VALUE"""),"Factura audífonos")</f>
        <v>Factura audífonos</v>
      </c>
      <c r="L61" s="57">
        <f ca="1">IFERROR(__xludf.DUMMYFUNCTION("""COMPUTED_VALUE"""),46044)</f>
        <v>46044</v>
      </c>
      <c r="M61" s="33" t="str">
        <f ca="1">IFERROR(__xludf.DUMMYFUNCTION("""COMPUTED_VALUE"""),"NO")</f>
        <v>NO</v>
      </c>
      <c r="N61" s="56">
        <f ca="1">IFERROR(__xludf.DUMMYFUNCTION("""COMPUTED_VALUE"""),2)</f>
        <v>2</v>
      </c>
      <c r="O61" s="33" t="str">
        <f ca="1">IFERROR(__xludf.DUMMYFUNCTION("""COMPUTED_VALUE"""),"QUIET")</f>
        <v>QUIET</v>
      </c>
      <c r="P61" s="60">
        <f ca="1">IFERROR(__xludf.DUMMYFUNCTION("""COMPUTED_VALUE"""),2718.18)</f>
        <v>2718.18</v>
      </c>
      <c r="Q61" s="33" t="str">
        <f ca="1">IFERROR(__xludf.DUMMYFUNCTION("""COMPUTED_VALUE"""),"Ramon Ferrando")</f>
        <v>Ramon Ferrando</v>
      </c>
      <c r="R61" s="60" t="str">
        <f ca="1">IFERROR(__xludf.DUMMYFUNCTION("""COMPUTED_VALUE"""),"Elisheba Haro Hernández")</f>
        <v>Elisheba Haro Hernández</v>
      </c>
      <c r="S61" s="61" t="str">
        <f ca="1">IFERROR(__xludf.DUMMYFUNCTION("""COMPUTED_VALUE"""),"03 ORL")</f>
        <v>03 ORL</v>
      </c>
      <c r="T61" s="33" t="str">
        <f ca="1">IFERROR(__xludf.DUMMYFUNCTION("""COMPUTED_VALUE"""),"06 ORL")</f>
        <v>06 ORL</v>
      </c>
      <c r="U61" s="62"/>
      <c r="W61" s="62"/>
      <c r="X61" s="62"/>
      <c r="AG61" s="60"/>
      <c r="AJ61" s="60"/>
    </row>
    <row r="62" spans="1:36" ht="16">
      <c r="A62" s="33"/>
      <c r="B62" s="55" t="str">
        <f t="shared" ca="1" si="0"/>
        <v>LRM</v>
      </c>
      <c r="C62" s="64" t="str">
        <f ca="1">IFERROR(__xludf.DUMMYFUNCTION("""COMPUTED_VALUE"""),"LRM253")</f>
        <v>LRM253</v>
      </c>
      <c r="D62" s="33" t="str">
        <f ca="1">IFERROR(__xludf.DUMMYFUNCTION("""COMPUTED_VALUE"""),"ASOCIADOS")</f>
        <v>ASOCIADOS</v>
      </c>
      <c r="E62" s="33">
        <f ca="1">IFERROR(__xludf.DUMMYFUNCTION("""COMPUTED_VALUE"""),2026)</f>
        <v>2026</v>
      </c>
      <c r="F62" s="56">
        <f ca="1">IFERROR(__xludf.DUMMYFUNCTION("""COMPUTED_VALUE"""),1)</f>
        <v>1</v>
      </c>
      <c r="G62" s="33" t="str">
        <f ca="1">IFERROR(__xludf.DUMMYFUNCTION("""COMPUTED_VALUE"""),"Cáceres")</f>
        <v>Cáceres</v>
      </c>
      <c r="H62" s="33" t="str">
        <f ca="1">IFERROR(__xludf.DUMMYFUNCTION("""COMPUTED_VALUE"""),"C202512151640123719")</f>
        <v>C202512151640123719</v>
      </c>
      <c r="I62" s="33" t="str">
        <f ca="1">IFERROR(__xludf.DUMMYFUNCTION("""COMPUTED_VALUE"""),"MARIA DOLORES PIMIENTA ROJAS")</f>
        <v>MARIA DOLORES PIMIENTA ROJAS</v>
      </c>
      <c r="J62" s="57">
        <f ca="1">IFERROR(__xludf.DUMMYFUNCTION("""COMPUTED_VALUE"""),46006)</f>
        <v>46006</v>
      </c>
      <c r="K62" s="33" t="str">
        <f ca="1">IFERROR(__xludf.DUMMYFUNCTION("""COMPUTED_VALUE"""),"Factura audífonos")</f>
        <v>Factura audífonos</v>
      </c>
      <c r="L62" s="57">
        <f ca="1">IFERROR(__xludf.DUMMYFUNCTION("""COMPUTED_VALUE"""),46044)</f>
        <v>46044</v>
      </c>
      <c r="M62" s="33" t="str">
        <f ca="1">IFERROR(__xludf.DUMMYFUNCTION("""COMPUTED_VALUE"""),"NO")</f>
        <v>NO</v>
      </c>
      <c r="N62" s="56">
        <f ca="1">IFERROR(__xludf.DUMMYFUNCTION("""COMPUTED_VALUE"""),2)</f>
        <v>2</v>
      </c>
      <c r="O62" s="33" t="str">
        <f ca="1">IFERROR(__xludf.DUMMYFUNCTION("""COMPUTED_VALUE"""),"ADVANCED")</f>
        <v>ADVANCED</v>
      </c>
      <c r="P62" s="60">
        <f ca="1">IFERROR(__xludf.DUMMYFUNCTION("""COMPUTED_VALUE"""),4227.27)</f>
        <v>4227.2700000000004</v>
      </c>
      <c r="Q62" s="33" t="str">
        <f ca="1">IFERROR(__xludf.DUMMYFUNCTION("""COMPUTED_VALUE"""),"Lisandro Russian")</f>
        <v>Lisandro Russian</v>
      </c>
      <c r="R62" s="60" t="str">
        <f ca="1">IFERROR(__xludf.DUMMYFUNCTION("""COMPUTED_VALUE"""),"Marta García Jiménez")</f>
        <v>Marta García Jiménez</v>
      </c>
      <c r="S62" s="61" t="str">
        <f ca="1">IFERROR(__xludf.DUMMYFUNCTION("""COMPUTED_VALUE"""),"03 ORL")</f>
        <v>03 ORL</v>
      </c>
      <c r="T62" s="33" t="str">
        <f ca="1">IFERROR(__xludf.DUMMYFUNCTION("""COMPUTED_VALUE"""),"06 ORL")</f>
        <v>06 ORL</v>
      </c>
      <c r="U62" s="62"/>
      <c r="W62" s="62"/>
      <c r="X62" s="62"/>
      <c r="AG62" s="60"/>
      <c r="AJ62" s="60"/>
    </row>
    <row r="63" spans="1:36" ht="16">
      <c r="A63" s="33"/>
      <c r="B63" s="55" t="str">
        <f t="shared" ca="1" si="0"/>
        <v>LRM</v>
      </c>
      <c r="C63" s="64" t="str">
        <f ca="1">IFERROR(__xludf.DUMMYFUNCTION("""COMPUTED_VALUE"""),"LRM07")</f>
        <v>LRM07</v>
      </c>
      <c r="D63" s="33" t="str">
        <f ca="1">IFERROR(__xludf.DUMMYFUNCTION("""COMPUTED_VALUE"""),"PROPIOS")</f>
        <v>PROPIOS</v>
      </c>
      <c r="E63" s="33">
        <f ca="1">IFERROR(__xludf.DUMMYFUNCTION("""COMPUTED_VALUE"""),2026)</f>
        <v>2026</v>
      </c>
      <c r="F63" s="56">
        <f ca="1">IFERROR(__xludf.DUMMYFUNCTION("""COMPUTED_VALUE"""),1)</f>
        <v>1</v>
      </c>
      <c r="G63" s="33" t="str">
        <f ca="1">IFERROR(__xludf.DUMMYFUNCTION("""COMPUTED_VALUE"""),"Alcorcón")</f>
        <v>Alcorcón</v>
      </c>
      <c r="H63" s="33" t="str">
        <f ca="1">IFERROR(__xludf.DUMMYFUNCTION("""COMPUTED_VALUE"""),"C202510131556115741")</f>
        <v>C202510131556115741</v>
      </c>
      <c r="I63" s="33" t="str">
        <f ca="1">IFERROR(__xludf.DUMMYFUNCTION("""COMPUTED_VALUE"""),"AMADOR  FRIAS GONZALEZ")</f>
        <v>AMADOR  FRIAS GONZALEZ</v>
      </c>
      <c r="J63" s="57">
        <f ca="1">IFERROR(__xludf.DUMMYFUNCTION("""COMPUTED_VALUE"""),45943)</f>
        <v>45943</v>
      </c>
      <c r="K63" s="33" t="str">
        <f ca="1">IFERROR(__xludf.DUMMYFUNCTION("""COMPUTED_VALUE"""),"Factura audífonos")</f>
        <v>Factura audífonos</v>
      </c>
      <c r="L63" s="57">
        <f ca="1">IFERROR(__xludf.DUMMYFUNCTION("""COMPUTED_VALUE"""),46044)</f>
        <v>46044</v>
      </c>
      <c r="M63" s="33" t="str">
        <f ca="1">IFERROR(__xludf.DUMMYFUNCTION("""COMPUTED_VALUE"""),"NO")</f>
        <v>NO</v>
      </c>
      <c r="N63" s="56">
        <f ca="1">IFERROR(__xludf.DUMMYFUNCTION("""COMPUTED_VALUE"""),2)</f>
        <v>2</v>
      </c>
      <c r="O63" s="33" t="str">
        <f ca="1">IFERROR(__xludf.DUMMYFUNCTION("""COMPUTED_VALUE"""),"QUIET")</f>
        <v>QUIET</v>
      </c>
      <c r="P63" s="59">
        <f ca="1">IFERROR(__xludf.DUMMYFUNCTION("""COMPUTED_VALUE"""),2718.18)</f>
        <v>2718.18</v>
      </c>
      <c r="Q63" s="33" t="str">
        <f ca="1">IFERROR(__xludf.DUMMYFUNCTION("""COMPUTED_VALUE"""),"Lisandro Russian")</f>
        <v>Lisandro Russian</v>
      </c>
      <c r="R63" s="60" t="str">
        <f ca="1">IFERROR(__xludf.DUMMYFUNCTION("""COMPUTED_VALUE"""),"Álvaro Sánchez Álvarez")</f>
        <v>Álvaro Sánchez Álvarez</v>
      </c>
      <c r="S63" s="61" t="str">
        <f ca="1">IFERROR(__xludf.DUMMYFUNCTION("""COMPUTED_VALUE"""),"03 ORL")</f>
        <v>03 ORL</v>
      </c>
      <c r="T63" s="33" t="str">
        <f ca="1">IFERROR(__xludf.DUMMYFUNCTION("""COMPUTED_VALUE"""),"06 ORL")</f>
        <v>06 ORL</v>
      </c>
      <c r="U63" s="62"/>
      <c r="W63" s="62"/>
      <c r="X63" s="62"/>
      <c r="AE63" s="1"/>
      <c r="AG63" s="59"/>
      <c r="AJ63" s="60"/>
    </row>
    <row r="64" spans="1:36" ht="16">
      <c r="A64" s="33"/>
      <c r="B64" s="55" t="str">
        <f t="shared" ca="1" si="0"/>
        <v>LAA</v>
      </c>
      <c r="C64" s="64" t="str">
        <f ca="1">IFERROR(__xludf.DUMMYFUNCTION("""COMPUTED_VALUE"""),"LAA16")</f>
        <v>LAA16</v>
      </c>
      <c r="D64" s="33" t="str">
        <f ca="1">IFERROR(__xludf.DUMMYFUNCTION("""COMPUTED_VALUE"""),"PROPIOS")</f>
        <v>PROPIOS</v>
      </c>
      <c r="E64" s="33">
        <f ca="1">IFERROR(__xludf.DUMMYFUNCTION("""COMPUTED_VALUE"""),2026)</f>
        <v>2026</v>
      </c>
      <c r="F64" s="56">
        <f ca="1">IFERROR(__xludf.DUMMYFUNCTION("""COMPUTED_VALUE"""),1)</f>
        <v>1</v>
      </c>
      <c r="G64" s="33" t="str">
        <f ca="1">IFERROR(__xludf.DUMMYFUNCTION("""COMPUTED_VALUE"""),"Sevilla- Montoto")</f>
        <v>Sevilla- Montoto</v>
      </c>
      <c r="H64" s="33" t="str">
        <f ca="1">IFERROR(__xludf.DUMMYFUNCTION("""COMPUTED_VALUE"""),"C202512111353317097")</f>
        <v>C202512111353317097</v>
      </c>
      <c r="I64" s="33" t="str">
        <f ca="1">IFERROR(__xludf.DUMMYFUNCTION("""COMPUTED_VALUE"""),"CARMEN MANCHA MACIAS")</f>
        <v>CARMEN MANCHA MACIAS</v>
      </c>
      <c r="J64" s="57">
        <f ca="1">IFERROR(__xludf.DUMMYFUNCTION("""COMPUTED_VALUE"""),46002)</f>
        <v>46002</v>
      </c>
      <c r="K64" s="33" t="str">
        <f ca="1">IFERROR(__xludf.DUMMYFUNCTION("""COMPUTED_VALUE"""),"Factura audífonos")</f>
        <v>Factura audífonos</v>
      </c>
      <c r="L64" s="57">
        <f ca="1">IFERROR(__xludf.DUMMYFUNCTION("""COMPUTED_VALUE"""),46044)</f>
        <v>46044</v>
      </c>
      <c r="M64" s="33" t="str">
        <f ca="1">IFERROR(__xludf.DUMMYFUNCTION("""COMPUTED_VALUE"""),"NO")</f>
        <v>NO</v>
      </c>
      <c r="N64" s="56">
        <f ca="1">IFERROR(__xludf.DUMMYFUNCTION("""COMPUTED_VALUE"""),1)</f>
        <v>1</v>
      </c>
      <c r="O64" s="33" t="str">
        <f ca="1">IFERROR(__xludf.DUMMYFUNCTION("""COMPUTED_VALUE"""),"ADVANCED")</f>
        <v>ADVANCED</v>
      </c>
      <c r="P64" s="60">
        <f ca="1">IFERROR(__xludf.DUMMYFUNCTION("""COMPUTED_VALUE"""),2357.73)</f>
        <v>2357.73</v>
      </c>
      <c r="Q64" s="33" t="str">
        <f ca="1">IFERROR(__xludf.DUMMYFUNCTION("""COMPUTED_VALUE"""),"Luis Alberto Rodríguez")</f>
        <v>Luis Alberto Rodríguez</v>
      </c>
      <c r="R64" s="60" t="str">
        <f ca="1">IFERROR(__xludf.DUMMYFUNCTION("""COMPUTED_VALUE"""),"Francisco López Navas")</f>
        <v>Francisco López Navas</v>
      </c>
      <c r="S64" s="61" t="str">
        <f ca="1">IFERROR(__xludf.DUMMYFUNCTION("""COMPUTED_VALUE"""),"03 ORL")</f>
        <v>03 ORL</v>
      </c>
      <c r="T64" s="33" t="str">
        <f ca="1">IFERROR(__xludf.DUMMYFUNCTION("""COMPUTED_VALUE"""),"06 ORL")</f>
        <v>06 ORL</v>
      </c>
      <c r="U64" s="62"/>
      <c r="W64" s="62"/>
      <c r="X64" s="62"/>
      <c r="AG64" s="60"/>
      <c r="AJ64" s="60"/>
    </row>
    <row r="65" spans="1:36" ht="16">
      <c r="A65" s="33"/>
      <c r="B65" s="55" t="str">
        <f t="shared" ca="1" si="0"/>
        <v>ISL</v>
      </c>
      <c r="C65" s="64" t="str">
        <f ca="1">IFERROR(__xludf.DUMMYFUNCTION("""COMPUTED_VALUE"""),"ISL14")</f>
        <v>ISL14</v>
      </c>
      <c r="D65" s="33" t="str">
        <f ca="1">IFERROR(__xludf.DUMMYFUNCTION("""COMPUTED_VALUE"""),"PROPIOS")</f>
        <v>PROPIOS</v>
      </c>
      <c r="E65" s="33">
        <f ca="1">IFERROR(__xludf.DUMMYFUNCTION("""COMPUTED_VALUE"""),2026)</f>
        <v>2026</v>
      </c>
      <c r="F65" s="56">
        <f ca="1">IFERROR(__xludf.DUMMYFUNCTION("""COMPUTED_VALUE"""),1)</f>
        <v>1</v>
      </c>
      <c r="G65" s="33" t="str">
        <f ca="1">IFERROR(__xludf.DUMMYFUNCTION("""COMPUTED_VALUE"""),"Orihuela")</f>
        <v>Orihuela</v>
      </c>
      <c r="H65" s="33" t="str">
        <f ca="1">IFERROR(__xludf.DUMMYFUNCTION("""COMPUTED_VALUE"""),"C202511201113975005")</f>
        <v>C202511201113975005</v>
      </c>
      <c r="I65" s="33" t="str">
        <f ca="1">IFERROR(__xludf.DUMMYFUNCTION("""COMPUTED_VALUE"""),"KAREN GHANDALYAN")</f>
        <v>KAREN GHANDALYAN</v>
      </c>
      <c r="J65" s="57">
        <f ca="1">IFERROR(__xludf.DUMMYFUNCTION("""COMPUTED_VALUE"""),45981)</f>
        <v>45981</v>
      </c>
      <c r="K65" s="33" t="str">
        <f ca="1">IFERROR(__xludf.DUMMYFUNCTION("""COMPUTED_VALUE"""),"Factura audífonos")</f>
        <v>Factura audífonos</v>
      </c>
      <c r="L65" s="57">
        <f ca="1">IFERROR(__xludf.DUMMYFUNCTION("""COMPUTED_VALUE"""),46044)</f>
        <v>46044</v>
      </c>
      <c r="M65" s="33" t="str">
        <f ca="1">IFERROR(__xludf.DUMMYFUNCTION("""COMPUTED_VALUE"""),"NO")</f>
        <v>NO</v>
      </c>
      <c r="N65" s="56">
        <f ca="1">IFERROR(__xludf.DUMMYFUNCTION("""COMPUTED_VALUE"""),1)</f>
        <v>1</v>
      </c>
      <c r="O65" s="33" t="str">
        <f ca="1">IFERROR(__xludf.DUMMYFUNCTION("""COMPUTED_VALUE"""),"ADVANCED")</f>
        <v>ADVANCED</v>
      </c>
      <c r="P65" s="59">
        <f ca="1">IFERROR(__xludf.DUMMYFUNCTION("""COMPUTED_VALUE"""),2481.82)</f>
        <v>2481.8200000000002</v>
      </c>
      <c r="Q65" s="33" t="str">
        <f ca="1">IFERROR(__xludf.DUMMYFUNCTION("""COMPUTED_VALUE"""),"Iván Sánchez")</f>
        <v>Iván Sánchez</v>
      </c>
      <c r="R65" s="60" t="str">
        <f ca="1">IFERROR(__xludf.DUMMYFUNCTION("""COMPUTED_VALUE"""),"Carlos Velásquez Fermín")</f>
        <v>Carlos Velásquez Fermín</v>
      </c>
      <c r="S65" s="61" t="str">
        <f ca="1">IFERROR(__xludf.DUMMYFUNCTION("""COMPUTED_VALUE"""),"03 ORL")</f>
        <v>03 ORL</v>
      </c>
      <c r="T65" s="33" t="str">
        <f ca="1">IFERROR(__xludf.DUMMYFUNCTION("""COMPUTED_VALUE"""),"06 ORL")</f>
        <v>06 ORL</v>
      </c>
      <c r="U65" s="62"/>
      <c r="W65" s="62"/>
      <c r="X65" s="62"/>
      <c r="AE65" s="1"/>
      <c r="AG65" s="60"/>
    </row>
    <row r="66" spans="1:36" ht="16">
      <c r="A66" s="33"/>
      <c r="B66" s="55" t="str">
        <f t="shared" ca="1" si="0"/>
        <v>MBM</v>
      </c>
      <c r="C66" s="64" t="str">
        <f ca="1">IFERROR(__xludf.DUMMYFUNCTION("""COMPUTED_VALUE"""),"MBM184")</f>
        <v>MBM184</v>
      </c>
      <c r="D66" s="33" t="str">
        <f ca="1">IFERROR(__xludf.DUMMYFUNCTION("""COMPUTED_VALUE"""),"PROPIOS")</f>
        <v>PROPIOS</v>
      </c>
      <c r="E66" s="33">
        <f ca="1">IFERROR(__xludf.DUMMYFUNCTION("""COMPUTED_VALUE"""),2026)</f>
        <v>2026</v>
      </c>
      <c r="F66" s="56">
        <f ca="1">IFERROR(__xludf.DUMMYFUNCTION("""COMPUTED_VALUE"""),1)</f>
        <v>1</v>
      </c>
      <c r="G66" s="33" t="str">
        <f ca="1">IFERROR(__xludf.DUMMYFUNCTION("""COMPUTED_VALUE"""),"Madrid- Monforte de Lemos")</f>
        <v>Madrid- Monforte de Lemos</v>
      </c>
      <c r="H66" s="33" t="str">
        <f ca="1">IFERROR(__xludf.DUMMYFUNCTION("""COMPUTED_VALUE"""),"C202512159363301430")</f>
        <v>C202512159363301430</v>
      </c>
      <c r="I66" s="33" t="str">
        <f ca="1">IFERROR(__xludf.DUMMYFUNCTION("""COMPUTED_VALUE"""),"MARIA SAGRARIO  TARANCON DE DIEGO")</f>
        <v>MARIA SAGRARIO  TARANCON DE DIEGO</v>
      </c>
      <c r="J66" s="57">
        <f ca="1">IFERROR(__xludf.DUMMYFUNCTION("""COMPUTED_VALUE"""),46006)</f>
        <v>46006</v>
      </c>
      <c r="K66" s="33" t="str">
        <f ca="1">IFERROR(__xludf.DUMMYFUNCTION("""COMPUTED_VALUE"""),"Factura audífonos")</f>
        <v>Factura audífonos</v>
      </c>
      <c r="L66" s="57">
        <f ca="1">IFERROR(__xludf.DUMMYFUNCTION("""COMPUTED_VALUE"""),46044)</f>
        <v>46044</v>
      </c>
      <c r="M66" s="33" t="str">
        <f ca="1">IFERROR(__xludf.DUMMYFUNCTION("""COMPUTED_VALUE"""),"NO")</f>
        <v>NO</v>
      </c>
      <c r="N66" s="56">
        <f ca="1">IFERROR(__xludf.DUMMYFUNCTION("""COMPUTED_VALUE"""),1)</f>
        <v>1</v>
      </c>
      <c r="O66" s="33" t="str">
        <f ca="1">IFERROR(__xludf.DUMMYFUNCTION("""COMPUTED_VALUE"""),"CONFORT")</f>
        <v>CONFORT</v>
      </c>
      <c r="P66" s="60">
        <f ca="1">IFERROR(__xludf.DUMMYFUNCTION("""COMPUTED_VALUE"""),2180.91)</f>
        <v>2180.91</v>
      </c>
      <c r="Q66" s="33" t="str">
        <f ca="1">IFERROR(__xludf.DUMMYFUNCTION("""COMPUTED_VALUE"""),"Maika Blázquez")</f>
        <v>Maika Blázquez</v>
      </c>
      <c r="R66" s="60" t="str">
        <f ca="1">IFERROR(__xludf.DUMMYFUNCTION("""COMPUTED_VALUE"""),"Victoria García Peces")</f>
        <v>Victoria García Peces</v>
      </c>
      <c r="S66" s="61" t="str">
        <f ca="1">IFERROR(__xludf.DUMMYFUNCTION("""COMPUTED_VALUE"""),"03 ORL")</f>
        <v>03 ORL</v>
      </c>
      <c r="T66" s="33" t="str">
        <f ca="1">IFERROR(__xludf.DUMMYFUNCTION("""COMPUTED_VALUE"""),"06 ORL")</f>
        <v>06 ORL</v>
      </c>
      <c r="U66" s="62"/>
      <c r="W66" s="62"/>
      <c r="X66" s="62"/>
      <c r="AG66" s="60"/>
      <c r="AJ66" s="60"/>
    </row>
    <row r="67" spans="1:36" ht="16">
      <c r="A67" s="33"/>
      <c r="B67" s="55" t="str">
        <f t="shared" ca="1" si="0"/>
        <v>ISL</v>
      </c>
      <c r="C67" s="64" t="str">
        <f ca="1">IFERROR(__xludf.DUMMYFUNCTION("""COMPUTED_VALUE"""),"ISL113")</f>
        <v>ISL113</v>
      </c>
      <c r="D67" s="33" t="str">
        <f ca="1">IFERROR(__xludf.DUMMYFUNCTION("""COMPUTED_VALUE"""),"PROPIOS")</f>
        <v>PROPIOS</v>
      </c>
      <c r="E67" s="33">
        <f ca="1">IFERROR(__xludf.DUMMYFUNCTION("""COMPUTED_VALUE"""),2026)</f>
        <v>2026</v>
      </c>
      <c r="F67" s="56">
        <f ca="1">IFERROR(__xludf.DUMMYFUNCTION("""COMPUTED_VALUE"""),1)</f>
        <v>1</v>
      </c>
      <c r="G67" s="33" t="str">
        <f ca="1">IFERROR(__xludf.DUMMYFUNCTION("""COMPUTED_VALUE"""),"Alicante")</f>
        <v>Alicante</v>
      </c>
      <c r="H67" s="33" t="str">
        <f ca="1">IFERROR(__xludf.DUMMYFUNCTION("""COMPUTED_VALUE"""),"C202512221119249267")</f>
        <v>C202512221119249267</v>
      </c>
      <c r="I67" s="33" t="str">
        <f ca="1">IFERROR(__xludf.DUMMYFUNCTION("""COMPUTED_VALUE"""),"ANTONIA LOPEZ NIETO")</f>
        <v>ANTONIA LOPEZ NIETO</v>
      </c>
      <c r="J67" s="57">
        <f ca="1">IFERROR(__xludf.DUMMYFUNCTION("""COMPUTED_VALUE"""),46013)</f>
        <v>46013</v>
      </c>
      <c r="K67" s="33" t="str">
        <f ca="1">IFERROR(__xludf.DUMMYFUNCTION("""COMPUTED_VALUE"""),"Factura audífonos")</f>
        <v>Factura audífonos</v>
      </c>
      <c r="L67" s="57">
        <f ca="1">IFERROR(__xludf.DUMMYFUNCTION("""COMPUTED_VALUE"""),46044)</f>
        <v>46044</v>
      </c>
      <c r="M67" s="33" t="str">
        <f ca="1">IFERROR(__xludf.DUMMYFUNCTION("""COMPUTED_VALUE"""),"NO")</f>
        <v>NO</v>
      </c>
      <c r="N67" s="56">
        <f ca="1">IFERROR(__xludf.DUMMYFUNCTION("""COMPUTED_VALUE"""),1)</f>
        <v>1</v>
      </c>
      <c r="O67" s="33" t="str">
        <f ca="1">IFERROR(__xludf.DUMMYFUNCTION("""COMPUTED_VALUE"""),"CONFORT")</f>
        <v>CONFORT</v>
      </c>
      <c r="P67" s="59">
        <f ca="1">IFERROR(__xludf.DUMMYFUNCTION("""COMPUTED_VALUE"""),2180.91)</f>
        <v>2180.91</v>
      </c>
      <c r="Q67" s="33" t="str">
        <f ca="1">IFERROR(__xludf.DUMMYFUNCTION("""COMPUTED_VALUE"""),"Iván Sánchez")</f>
        <v>Iván Sánchez</v>
      </c>
      <c r="R67" s="60" t="str">
        <f ca="1">IFERROR(__xludf.DUMMYFUNCTION("""COMPUTED_VALUE"""),"Luisa Payá Pérez")</f>
        <v>Luisa Payá Pérez</v>
      </c>
      <c r="S67" s="61" t="str">
        <f ca="1">IFERROR(__xludf.DUMMYFUNCTION("""COMPUTED_VALUE"""),"03 ORL")</f>
        <v>03 ORL</v>
      </c>
      <c r="T67" s="33" t="str">
        <f ca="1">IFERROR(__xludf.DUMMYFUNCTION("""COMPUTED_VALUE"""),"06 ORL")</f>
        <v>06 ORL</v>
      </c>
      <c r="U67" s="62"/>
      <c r="W67" s="62"/>
      <c r="X67" s="62"/>
      <c r="AG67" s="59"/>
      <c r="AJ67" s="60"/>
    </row>
    <row r="68" spans="1:36" ht="16">
      <c r="A68" s="33"/>
      <c r="B68" s="55" t="str">
        <f t="shared" ca="1" si="0"/>
        <v>ISL</v>
      </c>
      <c r="C68" s="64" t="str">
        <f ca="1">IFERROR(__xludf.DUMMYFUNCTION("""COMPUTED_VALUE"""),"ISL65")</f>
        <v>ISL65</v>
      </c>
      <c r="D68" s="33" t="str">
        <f ca="1">IFERROR(__xludf.DUMMYFUNCTION("""COMPUTED_VALUE"""),"PROPIOS")</f>
        <v>PROPIOS</v>
      </c>
      <c r="E68" s="33">
        <f ca="1">IFERROR(__xludf.DUMMYFUNCTION("""COMPUTED_VALUE"""),2026)</f>
        <v>2026</v>
      </c>
      <c r="F68" s="56">
        <f ca="1">IFERROR(__xludf.DUMMYFUNCTION("""COMPUTED_VALUE"""),1)</f>
        <v>1</v>
      </c>
      <c r="G68" s="33" t="str">
        <f ca="1">IFERROR(__xludf.DUMMYFUNCTION("""COMPUTED_VALUE"""),"Albacete")</f>
        <v>Albacete</v>
      </c>
      <c r="H68" s="33" t="str">
        <f ca="1">IFERROR(__xludf.DUMMYFUNCTION("""COMPUTED_VALUE"""),"C202511271222372314")</f>
        <v>C202511271222372314</v>
      </c>
      <c r="I68" s="33" t="str">
        <f ca="1">IFERROR(__xludf.DUMMYFUNCTION("""COMPUTED_VALUE"""),"JOSE PLAZA BLAZQUEZ")</f>
        <v>JOSE PLAZA BLAZQUEZ</v>
      </c>
      <c r="J68" s="57">
        <f ca="1">IFERROR(__xludf.DUMMYFUNCTION("""COMPUTED_VALUE"""),45988)</f>
        <v>45988</v>
      </c>
      <c r="K68" s="33" t="str">
        <f ca="1">IFERROR(__xludf.DUMMYFUNCTION("""COMPUTED_VALUE"""),"Factura audífonos")</f>
        <v>Factura audífonos</v>
      </c>
      <c r="L68" s="57">
        <f ca="1">IFERROR(__xludf.DUMMYFUNCTION("""COMPUTED_VALUE"""),46045)</f>
        <v>46045</v>
      </c>
      <c r="M68" s="33" t="str">
        <f ca="1">IFERROR(__xludf.DUMMYFUNCTION("""COMPUTED_VALUE"""),"NO")</f>
        <v>NO</v>
      </c>
      <c r="N68" s="56">
        <f ca="1">IFERROR(__xludf.DUMMYFUNCTION("""COMPUTED_VALUE"""),1)</f>
        <v>1</v>
      </c>
      <c r="O68" s="33" t="str">
        <f ca="1">IFERROR(__xludf.DUMMYFUNCTION("""COMPUTED_VALUE"""),"ADVANCED")</f>
        <v>ADVANCED</v>
      </c>
      <c r="P68" s="59">
        <f ca="1">IFERROR(__xludf.DUMMYFUNCTION("""COMPUTED_VALUE"""),2372.73)</f>
        <v>2372.73</v>
      </c>
      <c r="Q68" s="33" t="str">
        <f ca="1">IFERROR(__xludf.DUMMYFUNCTION("""COMPUTED_VALUE"""),"Iván Sánchez")</f>
        <v>Iván Sánchez</v>
      </c>
      <c r="R68" s="60" t="str">
        <f ca="1">IFERROR(__xludf.DUMMYFUNCTION("""COMPUTED_VALUE"""),"Manuel García López")</f>
        <v>Manuel García López</v>
      </c>
      <c r="S68" s="61" t="str">
        <f ca="1">IFERROR(__xludf.DUMMYFUNCTION("""COMPUTED_VALUE"""),"03 ORL")</f>
        <v>03 ORL</v>
      </c>
      <c r="T68" s="33" t="str">
        <f ca="1">IFERROR(__xludf.DUMMYFUNCTION("""COMPUTED_VALUE"""),"22 AUDIOMETRIA CLINICA")</f>
        <v>22 AUDIOMETRIA CLINICA</v>
      </c>
      <c r="U68" s="62"/>
      <c r="W68" s="62"/>
      <c r="X68" s="62"/>
      <c r="AG68" s="59"/>
      <c r="AJ68" s="60"/>
    </row>
    <row r="69" spans="1:36" ht="16">
      <c r="A69" s="33"/>
      <c r="B69" s="55" t="str">
        <f t="shared" ca="1" si="0"/>
        <v>RFV</v>
      </c>
      <c r="C69" s="64" t="str">
        <f ca="1">IFERROR(__xludf.DUMMYFUNCTION("""COMPUTED_VALUE"""),"RFV38")</f>
        <v>RFV38</v>
      </c>
      <c r="D69" s="33" t="str">
        <f ca="1">IFERROR(__xludf.DUMMYFUNCTION("""COMPUTED_VALUE"""),"PROPIOS")</f>
        <v>PROPIOS</v>
      </c>
      <c r="E69" s="33">
        <f ca="1">IFERROR(__xludf.DUMMYFUNCTION("""COMPUTED_VALUE"""),2026)</f>
        <v>2026</v>
      </c>
      <c r="F69" s="56">
        <f ca="1">IFERROR(__xludf.DUMMYFUNCTION("""COMPUTED_VALUE"""),1)</f>
        <v>1</v>
      </c>
      <c r="G69" s="33" t="str">
        <f ca="1">IFERROR(__xludf.DUMMYFUNCTION("""COMPUTED_VALUE"""),"El Albir (Benidorm)")</f>
        <v>El Albir (Benidorm)</v>
      </c>
      <c r="H69" s="33" t="str">
        <f ca="1">IFERROR(__xludf.DUMMYFUNCTION("""COMPUTED_VALUE"""),"C202512183015487201")</f>
        <v>C202512183015487201</v>
      </c>
      <c r="I69" s="33" t="str">
        <f ca="1">IFERROR(__xludf.DUMMYFUNCTION("""COMPUTED_VALUE"""),"BERNABE  SANCHIS SANZ")</f>
        <v>BERNABE  SANCHIS SANZ</v>
      </c>
      <c r="J69" s="57">
        <f ca="1">IFERROR(__xludf.DUMMYFUNCTION("""COMPUTED_VALUE"""),45992)</f>
        <v>45992</v>
      </c>
      <c r="K69" s="33" t="str">
        <f ca="1">IFERROR(__xludf.DUMMYFUNCTION("""COMPUTED_VALUE"""),"Factura audífonos")</f>
        <v>Factura audífonos</v>
      </c>
      <c r="L69" s="57">
        <f ca="1">IFERROR(__xludf.DUMMYFUNCTION("""COMPUTED_VALUE"""),46045)</f>
        <v>46045</v>
      </c>
      <c r="M69" s="33" t="str">
        <f ca="1">IFERROR(__xludf.DUMMYFUNCTION("""COMPUTED_VALUE"""),"NO")</f>
        <v>NO</v>
      </c>
      <c r="N69" s="56">
        <f ca="1">IFERROR(__xludf.DUMMYFUNCTION("""COMPUTED_VALUE"""),2)</f>
        <v>2</v>
      </c>
      <c r="O69" s="33" t="str">
        <f ca="1">IFERROR(__xludf.DUMMYFUNCTION("""COMPUTED_VALUE"""),"CONFORT")</f>
        <v>CONFORT</v>
      </c>
      <c r="P69" s="59">
        <f ca="1">IFERROR(__xludf.DUMMYFUNCTION("""COMPUTED_VALUE"""),3631.82)</f>
        <v>3631.82</v>
      </c>
      <c r="Q69" s="33" t="str">
        <f ca="1">IFERROR(__xludf.DUMMYFUNCTION("""COMPUTED_VALUE"""),"Ramon Ferrando")</f>
        <v>Ramon Ferrando</v>
      </c>
      <c r="R69" s="60" t="str">
        <f ca="1">IFERROR(__xludf.DUMMYFUNCTION("""COMPUTED_VALUE"""),"María Emilia García Ruiz")</f>
        <v>María Emilia García Ruiz</v>
      </c>
      <c r="S69" s="61" t="str">
        <f ca="1">IFERROR(__xludf.DUMMYFUNCTION("""COMPUTED_VALUE"""),"03 ORL")</f>
        <v>03 ORL</v>
      </c>
      <c r="T69" s="33" t="str">
        <f ca="1">IFERROR(__xludf.DUMMYFUNCTION("""COMPUTED_VALUE"""),"06 ORL")</f>
        <v>06 ORL</v>
      </c>
      <c r="U69" s="62"/>
      <c r="W69" s="62"/>
      <c r="X69" s="62"/>
      <c r="AG69" s="59"/>
    </row>
    <row r="70" spans="1:36" ht="16">
      <c r="A70" s="33"/>
      <c r="B70" s="55" t="str">
        <f t="shared" ca="1" si="0"/>
        <v>RFV</v>
      </c>
      <c r="C70" s="64" t="str">
        <f ca="1">IFERROR(__xludf.DUMMYFUNCTION("""COMPUTED_VALUE"""),"RFV49")</f>
        <v>RFV49</v>
      </c>
      <c r="D70" s="33" t="str">
        <f ca="1">IFERROR(__xludf.DUMMYFUNCTION("""COMPUTED_VALUE"""),"PROPIOS")</f>
        <v>PROPIOS</v>
      </c>
      <c r="E70" s="33">
        <f ca="1">IFERROR(__xludf.DUMMYFUNCTION("""COMPUTED_VALUE"""),2026)</f>
        <v>2026</v>
      </c>
      <c r="F70" s="56">
        <f ca="1">IFERROR(__xludf.DUMMYFUNCTION("""COMPUTED_VALUE"""),1)</f>
        <v>1</v>
      </c>
      <c r="G70" s="33" t="str">
        <f ca="1">IFERROR(__xludf.DUMMYFUNCTION("""COMPUTED_VALUE"""),"Valencia- Parra")</f>
        <v>Valencia- Parra</v>
      </c>
      <c r="H70" s="33" t="str">
        <f ca="1">IFERROR(__xludf.DUMMYFUNCTION("""COMPUTED_VALUE"""),"C202511251235490541")</f>
        <v>C202511251235490541</v>
      </c>
      <c r="I70" s="33" t="str">
        <f ca="1">IFERROR(__xludf.DUMMYFUNCTION("""COMPUTED_VALUE"""),"CRISTOBAL SOBREVELA LOPEZ")</f>
        <v>CRISTOBAL SOBREVELA LOPEZ</v>
      </c>
      <c r="J70" s="57">
        <f ca="1">IFERROR(__xludf.DUMMYFUNCTION("""COMPUTED_VALUE"""),45986)</f>
        <v>45986</v>
      </c>
      <c r="K70" s="33" t="str">
        <f ca="1">IFERROR(__xludf.DUMMYFUNCTION("""COMPUTED_VALUE"""),"Factura audífonos")</f>
        <v>Factura audífonos</v>
      </c>
      <c r="L70" s="57">
        <f ca="1">IFERROR(__xludf.DUMMYFUNCTION("""COMPUTED_VALUE"""),46045)</f>
        <v>46045</v>
      </c>
      <c r="M70" s="33" t="str">
        <f ca="1">IFERROR(__xludf.DUMMYFUNCTION("""COMPUTED_VALUE"""),"NO")</f>
        <v>NO</v>
      </c>
      <c r="N70" s="56">
        <f ca="1">IFERROR(__xludf.DUMMYFUNCTION("""COMPUTED_VALUE"""),2)</f>
        <v>2</v>
      </c>
      <c r="O70" s="33" t="str">
        <f ca="1">IFERROR(__xludf.DUMMYFUNCTION("""COMPUTED_VALUE"""),"CONFORT")</f>
        <v>CONFORT</v>
      </c>
      <c r="P70" s="60">
        <f ca="1">IFERROR(__xludf.DUMMYFUNCTION("""COMPUTED_VALUE"""),3631.82)</f>
        <v>3631.82</v>
      </c>
      <c r="Q70" s="33" t="str">
        <f ca="1">IFERROR(__xludf.DUMMYFUNCTION("""COMPUTED_VALUE"""),"Ramon Ferrando")</f>
        <v>Ramon Ferrando</v>
      </c>
      <c r="R70" s="60" t="str">
        <f ca="1">IFERROR(__xludf.DUMMYFUNCTION("""COMPUTED_VALUE"""),"Vladimir Rubio Segarra")</f>
        <v>Vladimir Rubio Segarra</v>
      </c>
      <c r="S70" s="61" t="str">
        <f ca="1">IFERROR(__xludf.DUMMYFUNCTION("""COMPUTED_VALUE"""),"03 ORL")</f>
        <v>03 ORL</v>
      </c>
      <c r="T70" s="33" t="str">
        <f ca="1">IFERROR(__xludf.DUMMYFUNCTION("""COMPUTED_VALUE"""),"06 ORL")</f>
        <v>06 ORL</v>
      </c>
      <c r="U70" s="62"/>
      <c r="W70" s="62"/>
      <c r="X70" s="62"/>
      <c r="AG70" s="60"/>
      <c r="AJ70" s="60"/>
    </row>
    <row r="71" spans="1:36" ht="16">
      <c r="A71" s="33"/>
      <c r="B71" s="55" t="str">
        <f t="shared" ca="1" si="0"/>
        <v>RFV</v>
      </c>
      <c r="C71" s="64" t="str">
        <f ca="1">IFERROR(__xludf.DUMMYFUNCTION("""COMPUTED_VALUE"""),"RFV39")</f>
        <v>RFV39</v>
      </c>
      <c r="D71" s="33" t="str">
        <f ca="1">IFERROR(__xludf.DUMMYFUNCTION("""COMPUTED_VALUE"""),"PROPIOS")</f>
        <v>PROPIOS</v>
      </c>
      <c r="E71" s="33">
        <f ca="1">IFERROR(__xludf.DUMMYFUNCTION("""COMPUTED_VALUE"""),2026)</f>
        <v>2026</v>
      </c>
      <c r="F71" s="56">
        <f ca="1">IFERROR(__xludf.DUMMYFUNCTION("""COMPUTED_VALUE"""),1)</f>
        <v>1</v>
      </c>
      <c r="G71" s="33" t="str">
        <f ca="1">IFERROR(__xludf.DUMMYFUNCTION("""COMPUTED_VALUE"""),"Valencia- Parra")</f>
        <v>Valencia- Parra</v>
      </c>
      <c r="H71" s="33" t="str">
        <f ca="1">IFERROR(__xludf.DUMMYFUNCTION("""COMPUTED_VALUE"""),"C202510201139577779")</f>
        <v>C202510201139577779</v>
      </c>
      <c r="I71" s="33" t="str">
        <f ca="1">IFERROR(__xludf.DUMMYFUNCTION("""COMPUTED_VALUE"""),"MARCOS JUSTO ROMAGUERA")</f>
        <v>MARCOS JUSTO ROMAGUERA</v>
      </c>
      <c r="J71" s="57">
        <f ca="1">IFERROR(__xludf.DUMMYFUNCTION("""COMPUTED_VALUE"""),45950)</f>
        <v>45950</v>
      </c>
      <c r="K71" s="33" t="str">
        <f ca="1">IFERROR(__xludf.DUMMYFUNCTION("""COMPUTED_VALUE"""),"Factura audífonos")</f>
        <v>Factura audífonos</v>
      </c>
      <c r="L71" s="57">
        <f ca="1">IFERROR(__xludf.DUMMYFUNCTION("""COMPUTED_VALUE"""),46045)</f>
        <v>46045</v>
      </c>
      <c r="M71" s="33" t="str">
        <f ca="1">IFERROR(__xludf.DUMMYFUNCTION("""COMPUTED_VALUE"""),"NO")</f>
        <v>NO</v>
      </c>
      <c r="N71" s="56">
        <f ca="1">IFERROR(__xludf.DUMMYFUNCTION("""COMPUTED_VALUE"""),1)</f>
        <v>1</v>
      </c>
      <c r="O71" s="33" t="str">
        <f ca="1">IFERROR(__xludf.DUMMYFUNCTION("""COMPUTED_VALUE"""),"CONFORT")</f>
        <v>CONFORT</v>
      </c>
      <c r="P71" s="60">
        <f ca="1">IFERROR(__xludf.DUMMYFUNCTION("""COMPUTED_VALUE"""),2162.73)</f>
        <v>2162.73</v>
      </c>
      <c r="Q71" s="33" t="str">
        <f ca="1">IFERROR(__xludf.DUMMYFUNCTION("""COMPUTED_VALUE"""),"Ramon Ferrando")</f>
        <v>Ramon Ferrando</v>
      </c>
      <c r="R71" s="60" t="str">
        <f ca="1">IFERROR(__xludf.DUMMYFUNCTION("""COMPUTED_VALUE"""),"Carlos de Paula Vernetta")</f>
        <v>Carlos de Paula Vernetta</v>
      </c>
      <c r="S71" s="61" t="str">
        <f ca="1">IFERROR(__xludf.DUMMYFUNCTION("""COMPUTED_VALUE"""),"03 ORL")</f>
        <v>03 ORL</v>
      </c>
      <c r="T71" s="33" t="str">
        <f ca="1">IFERROR(__xludf.DUMMYFUNCTION("""COMPUTED_VALUE"""),"06 ORL")</f>
        <v>06 ORL</v>
      </c>
      <c r="U71" s="62"/>
      <c r="W71" s="62"/>
      <c r="X71" s="62"/>
      <c r="AG71" s="60"/>
      <c r="AJ71" s="60"/>
    </row>
    <row r="72" spans="1:36" ht="16">
      <c r="A72" s="33"/>
      <c r="B72" s="55" t="str">
        <f t="shared" ca="1" si="0"/>
        <v>LRM</v>
      </c>
      <c r="C72" s="64" t="str">
        <f ca="1">IFERROR(__xludf.DUMMYFUNCTION("""COMPUTED_VALUE"""),"LRM240")</f>
        <v>LRM240</v>
      </c>
      <c r="D72" s="33" t="str">
        <f ca="1">IFERROR(__xludf.DUMMYFUNCTION("""COMPUTED_VALUE"""),"ASOCIADOS")</f>
        <v>ASOCIADOS</v>
      </c>
      <c r="E72" s="33">
        <f ca="1">IFERROR(__xludf.DUMMYFUNCTION("""COMPUTED_VALUE"""),2026)</f>
        <v>2026</v>
      </c>
      <c r="F72" s="56">
        <f ca="1">IFERROR(__xludf.DUMMYFUNCTION("""COMPUTED_VALUE"""),1)</f>
        <v>1</v>
      </c>
      <c r="G72" s="33" t="str">
        <f ca="1">IFERROR(__xludf.DUMMYFUNCTION("""COMPUTED_VALUE"""),"Cáceres")</f>
        <v>Cáceres</v>
      </c>
      <c r="H72" s="33" t="str">
        <f ca="1">IFERROR(__xludf.DUMMYFUNCTION("""COMPUTED_VALUE"""),"C202512231713186578")</f>
        <v>C202512231713186578</v>
      </c>
      <c r="I72" s="33" t="str">
        <f ca="1">IFERROR(__xludf.DUMMYFUNCTION("""COMPUTED_VALUE"""),"DAMIAN DIAZ DOMINGUEZ")</f>
        <v>DAMIAN DIAZ DOMINGUEZ</v>
      </c>
      <c r="J72" s="57">
        <f ca="1">IFERROR(__xludf.DUMMYFUNCTION("""COMPUTED_VALUE"""),46014)</f>
        <v>46014</v>
      </c>
      <c r="K72" s="33" t="str">
        <f ca="1">IFERROR(__xludf.DUMMYFUNCTION("""COMPUTED_VALUE"""),"Factura audífonos")</f>
        <v>Factura audífonos</v>
      </c>
      <c r="L72" s="57">
        <f ca="1">IFERROR(__xludf.DUMMYFUNCTION("""COMPUTED_VALUE"""),46045)</f>
        <v>46045</v>
      </c>
      <c r="M72" s="33" t="str">
        <f ca="1">IFERROR(__xludf.DUMMYFUNCTION("""COMPUTED_VALUE"""),"NO")</f>
        <v>NO</v>
      </c>
      <c r="N72" s="56">
        <f ca="1">IFERROR(__xludf.DUMMYFUNCTION("""COMPUTED_VALUE"""),2)</f>
        <v>2</v>
      </c>
      <c r="O72" s="33" t="str">
        <f ca="1">IFERROR(__xludf.DUMMYFUNCTION("""COMPUTED_VALUE"""),"ADVANCED")</f>
        <v>ADVANCED</v>
      </c>
      <c r="P72" s="59">
        <f ca="1">IFERROR(__xludf.DUMMYFUNCTION("""COMPUTED_VALUE"""),4500)</f>
        <v>4500</v>
      </c>
      <c r="Q72" s="33" t="str">
        <f ca="1">IFERROR(__xludf.DUMMYFUNCTION("""COMPUTED_VALUE"""),"Lisandro Russian")</f>
        <v>Lisandro Russian</v>
      </c>
      <c r="R72" s="60" t="str">
        <f ca="1">IFERROR(__xludf.DUMMYFUNCTION("""COMPUTED_VALUE"""),"Andrés Paulino Herrera")</f>
        <v>Andrés Paulino Herrera</v>
      </c>
      <c r="S72" s="61" t="str">
        <f ca="1">IFERROR(__xludf.DUMMYFUNCTION("""COMPUTED_VALUE"""),"03 ORL")</f>
        <v>03 ORL</v>
      </c>
      <c r="T72" s="33" t="str">
        <f ca="1">IFERROR(__xludf.DUMMYFUNCTION("""COMPUTED_VALUE"""),"06 ORL")</f>
        <v>06 ORL</v>
      </c>
      <c r="U72" s="62"/>
      <c r="W72" s="62"/>
      <c r="X72" s="62"/>
      <c r="AG72" s="59"/>
      <c r="AJ72" s="60"/>
    </row>
    <row r="73" spans="1:36" ht="16">
      <c r="A73" s="33"/>
      <c r="B73" s="55" t="str">
        <f t="shared" ca="1" si="0"/>
        <v>LRM</v>
      </c>
      <c r="C73" s="64" t="str">
        <f ca="1">IFERROR(__xludf.DUMMYFUNCTION("""COMPUTED_VALUE"""),"LRM114")</f>
        <v>LRM114</v>
      </c>
      <c r="D73" s="33" t="str">
        <f ca="1">IFERROR(__xludf.DUMMYFUNCTION("""COMPUTED_VALUE"""),"ASOCIADOS")</f>
        <v>ASOCIADOS</v>
      </c>
      <c r="E73" s="33">
        <f ca="1">IFERROR(__xludf.DUMMYFUNCTION("""COMPUTED_VALUE"""),2026)</f>
        <v>2026</v>
      </c>
      <c r="F73" s="56">
        <f ca="1">IFERROR(__xludf.DUMMYFUNCTION("""COMPUTED_VALUE"""),1)</f>
        <v>1</v>
      </c>
      <c r="G73" s="33" t="str">
        <f ca="1">IFERROR(__xludf.DUMMYFUNCTION("""COMPUTED_VALUE"""),"Zaragoza- León XIII")</f>
        <v>Zaragoza- León XIII</v>
      </c>
      <c r="H73" s="33" t="str">
        <f ca="1">IFERROR(__xludf.DUMMYFUNCTION("""COMPUTED_VALUE"""),"C202512121148341527")</f>
        <v>C202512121148341527</v>
      </c>
      <c r="I73" s="33" t="str">
        <f ca="1">IFERROR(__xludf.DUMMYFUNCTION("""COMPUTED_VALUE"""),"MARIA MERCEDES LÓPEZ CANTOS")</f>
        <v>MARIA MERCEDES LÓPEZ CANTOS</v>
      </c>
      <c r="J73" s="57">
        <f ca="1">IFERROR(__xludf.DUMMYFUNCTION("""COMPUTED_VALUE"""),46003)</f>
        <v>46003</v>
      </c>
      <c r="K73" s="33" t="str">
        <f ca="1">IFERROR(__xludf.DUMMYFUNCTION("""COMPUTED_VALUE"""),"Factura audífonos")</f>
        <v>Factura audífonos</v>
      </c>
      <c r="L73" s="57">
        <f ca="1">IFERROR(__xludf.DUMMYFUNCTION("""COMPUTED_VALUE"""),46046)</f>
        <v>46046</v>
      </c>
      <c r="M73" s="33" t="str">
        <f ca="1">IFERROR(__xludf.DUMMYFUNCTION("""COMPUTED_VALUE"""),"NO")</f>
        <v>NO</v>
      </c>
      <c r="N73" s="56">
        <f ca="1">IFERROR(__xludf.DUMMYFUNCTION("""COMPUTED_VALUE"""),2)</f>
        <v>2</v>
      </c>
      <c r="O73" s="33" t="str">
        <f ca="1">IFERROR(__xludf.DUMMYFUNCTION("""COMPUTED_VALUE"""),"CONFORT")</f>
        <v>CONFORT</v>
      </c>
      <c r="P73" s="60">
        <f ca="1">IFERROR(__xludf.DUMMYFUNCTION("""COMPUTED_VALUE"""),3365.38)</f>
        <v>3365.38</v>
      </c>
      <c r="Q73" s="33" t="str">
        <f ca="1">IFERROR(__xludf.DUMMYFUNCTION("""COMPUTED_VALUE"""),"Ignacio Berdejo")</f>
        <v>Ignacio Berdejo</v>
      </c>
      <c r="R73" s="60" t="str">
        <f ca="1">IFERROR(__xludf.DUMMYFUNCTION("""COMPUTED_VALUE"""),"Rafael Fernández Liesa")</f>
        <v>Rafael Fernández Liesa</v>
      </c>
      <c r="S73" s="61" t="str">
        <f ca="1">IFERROR(__xludf.DUMMYFUNCTION("""COMPUTED_VALUE"""),"03 ORL")</f>
        <v>03 ORL</v>
      </c>
      <c r="T73" s="33" t="str">
        <f ca="1">IFERROR(__xludf.DUMMYFUNCTION("""COMPUTED_VALUE"""),"06 ORL")</f>
        <v>06 ORL</v>
      </c>
      <c r="U73" s="62"/>
      <c r="W73" s="62"/>
      <c r="X73" s="62"/>
      <c r="AG73" s="60"/>
      <c r="AJ73" s="60"/>
    </row>
    <row r="74" spans="1:36" ht="16">
      <c r="A74" s="33"/>
      <c r="B74" s="55" t="str">
        <f t="shared" ca="1" si="0"/>
        <v>MCC</v>
      </c>
      <c r="C74" s="64" t="str">
        <f ca="1">IFERROR(__xludf.DUMMYFUNCTION("""COMPUTED_VALUE"""),"MCC18")</f>
        <v>MCC18</v>
      </c>
      <c r="D74" s="33" t="str">
        <f ca="1">IFERROR(__xludf.DUMMYFUNCTION("""COMPUTED_VALUE"""),"PARTICIPADOS")</f>
        <v>PARTICIPADOS</v>
      </c>
      <c r="E74" s="33">
        <f ca="1">IFERROR(__xludf.DUMMYFUNCTION("""COMPUTED_VALUE"""),2026)</f>
        <v>2026</v>
      </c>
      <c r="F74" s="56">
        <f ca="1">IFERROR(__xludf.DUMMYFUNCTION("""COMPUTED_VALUE"""),1)</f>
        <v>1</v>
      </c>
      <c r="G74" s="33" t="str">
        <f ca="1">IFERROR(__xludf.DUMMYFUNCTION("""COMPUTED_VALUE"""),"Barcelona- Córcega")</f>
        <v>Barcelona- Córcega</v>
      </c>
      <c r="H74" s="33" t="str">
        <f ca="1">IFERROR(__xludf.DUMMYFUNCTION("""COMPUTED_VALUE"""),"C202511261218486321")</f>
        <v>C202511261218486321</v>
      </c>
      <c r="I74" s="33" t="str">
        <f ca="1">IFERROR(__xludf.DUMMYFUNCTION("""COMPUTED_VALUE"""),"Maria Pilar Sanchez Sanchez")</f>
        <v>Maria Pilar Sanchez Sanchez</v>
      </c>
      <c r="J74" s="57">
        <f ca="1">IFERROR(__xludf.DUMMYFUNCTION("""COMPUTED_VALUE"""),45987)</f>
        <v>45987</v>
      </c>
      <c r="K74" s="33" t="str">
        <f ca="1">IFERROR(__xludf.DUMMYFUNCTION("""COMPUTED_VALUE"""),"Factura audífonos")</f>
        <v>Factura audífonos</v>
      </c>
      <c r="L74" s="57">
        <f ca="1">IFERROR(__xludf.DUMMYFUNCTION("""COMPUTED_VALUE"""),46048)</f>
        <v>46048</v>
      </c>
      <c r="M74" s="33" t="str">
        <f ca="1">IFERROR(__xludf.DUMMYFUNCTION("""COMPUTED_VALUE"""),"NO")</f>
        <v>NO</v>
      </c>
      <c r="N74" s="56">
        <f ca="1">IFERROR(__xludf.DUMMYFUNCTION("""COMPUTED_VALUE"""),2)</f>
        <v>2</v>
      </c>
      <c r="O74" s="33" t="str">
        <f ca="1">IFERROR(__xludf.DUMMYFUNCTION("""COMPUTED_VALUE"""),"CONFORT")</f>
        <v>CONFORT</v>
      </c>
      <c r="P74" s="59">
        <f ca="1">IFERROR(__xludf.DUMMYFUNCTION("""COMPUTED_VALUE"""),3631.82)</f>
        <v>3631.82</v>
      </c>
      <c r="Q74" s="33" t="str">
        <f ca="1">IFERROR(__xludf.DUMMYFUNCTION("""COMPUTED_VALUE"""),"Mercè Cabrera")</f>
        <v>Mercè Cabrera</v>
      </c>
      <c r="R74" s="60" t="str">
        <f ca="1">IFERROR(__xludf.DUMMYFUNCTION("""COMPUTED_VALUE"""),"Jesus-Maria Grasa Pérez")</f>
        <v>Jesus-Maria Grasa Pérez</v>
      </c>
      <c r="S74" s="61" t="str">
        <f ca="1">IFERROR(__xludf.DUMMYFUNCTION("""COMPUTED_VALUE"""),"03 ORL")</f>
        <v>03 ORL</v>
      </c>
      <c r="T74" s="33" t="str">
        <f ca="1">IFERROR(__xludf.DUMMYFUNCTION("""COMPUTED_VALUE"""),"06 ORL")</f>
        <v>06 ORL</v>
      </c>
      <c r="U74" s="62"/>
      <c r="W74" s="62"/>
      <c r="X74" s="62"/>
      <c r="AG74" s="59"/>
      <c r="AJ74" s="60"/>
    </row>
    <row r="75" spans="1:36" ht="16">
      <c r="A75" s="33"/>
      <c r="B75" s="55" t="str">
        <f t="shared" ca="1" si="0"/>
        <v>ISL</v>
      </c>
      <c r="C75" s="64" t="str">
        <f ca="1">IFERROR(__xludf.DUMMYFUNCTION("""COMPUTED_VALUE"""),"ISL06")</f>
        <v>ISL06</v>
      </c>
      <c r="D75" s="33" t="str">
        <f ca="1">IFERROR(__xludf.DUMMYFUNCTION("""COMPUTED_VALUE"""),"PROPIOS")</f>
        <v>PROPIOS</v>
      </c>
      <c r="E75" s="33">
        <f ca="1">IFERROR(__xludf.DUMMYFUNCTION("""COMPUTED_VALUE"""),2026)</f>
        <v>2026</v>
      </c>
      <c r="F75" s="56">
        <f ca="1">IFERROR(__xludf.DUMMYFUNCTION("""COMPUTED_VALUE"""),1)</f>
        <v>1</v>
      </c>
      <c r="G75" s="33" t="str">
        <f ca="1">IFERROR(__xludf.DUMMYFUNCTION("""COMPUTED_VALUE"""),"San Javier")</f>
        <v>San Javier</v>
      </c>
      <c r="H75" s="33" t="str">
        <f ca="1">IFERROR(__xludf.DUMMYFUNCTION("""COMPUTED_VALUE"""),"C202512171228417197")</f>
        <v>C202512171228417197</v>
      </c>
      <c r="I75" s="33" t="str">
        <f ca="1">IFERROR(__xludf.DUMMYFUNCTION("""COMPUTED_VALUE"""),"EVA VARELA TOJO")</f>
        <v>EVA VARELA TOJO</v>
      </c>
      <c r="J75" s="57">
        <f ca="1">IFERROR(__xludf.DUMMYFUNCTION("""COMPUTED_VALUE"""),46008)</f>
        <v>46008</v>
      </c>
      <c r="K75" s="33" t="str">
        <f ca="1">IFERROR(__xludf.DUMMYFUNCTION("""COMPUTED_VALUE"""),"Factura audífonos")</f>
        <v>Factura audífonos</v>
      </c>
      <c r="L75" s="57">
        <f ca="1">IFERROR(__xludf.DUMMYFUNCTION("""COMPUTED_VALUE"""),46048)</f>
        <v>46048</v>
      </c>
      <c r="M75" s="33" t="str">
        <f ca="1">IFERROR(__xludf.DUMMYFUNCTION("""COMPUTED_VALUE"""),"NO")</f>
        <v>NO</v>
      </c>
      <c r="N75" s="56">
        <f ca="1">IFERROR(__xludf.DUMMYFUNCTION("""COMPUTED_VALUE"""),2)</f>
        <v>2</v>
      </c>
      <c r="O75" s="33" t="str">
        <f ca="1">IFERROR(__xludf.DUMMYFUNCTION("""COMPUTED_VALUE"""),"CONFORT")</f>
        <v>CONFORT</v>
      </c>
      <c r="P75" s="59">
        <f ca="1">IFERROR(__xludf.DUMMYFUNCTION("""COMPUTED_VALUE"""),3631.82)</f>
        <v>3631.82</v>
      </c>
      <c r="Q75" s="33" t="str">
        <f ca="1">IFERROR(__xludf.DUMMYFUNCTION("""COMPUTED_VALUE"""),"Iván Sánchez")</f>
        <v>Iván Sánchez</v>
      </c>
      <c r="R75" s="60" t="str">
        <f ca="1">IFERROR(__xludf.DUMMYFUNCTION("""COMPUTED_VALUE"""),"Andrés Barrios Recio")</f>
        <v>Andrés Barrios Recio</v>
      </c>
      <c r="S75" s="61" t="str">
        <f ca="1">IFERROR(__xludf.DUMMYFUNCTION("""COMPUTED_VALUE"""),"03 ORL")</f>
        <v>03 ORL</v>
      </c>
      <c r="T75" s="33" t="str">
        <f ca="1">IFERROR(__xludf.DUMMYFUNCTION("""COMPUTED_VALUE"""),"06 ORL")</f>
        <v>06 ORL</v>
      </c>
      <c r="U75" s="62"/>
      <c r="W75" s="62"/>
      <c r="X75" s="62"/>
      <c r="AG75" s="59"/>
      <c r="AJ75" s="60"/>
    </row>
    <row r="76" spans="1:36" ht="16">
      <c r="A76" s="33"/>
      <c r="B76" s="55" t="str">
        <f t="shared" ca="1" si="0"/>
        <v>ISL</v>
      </c>
      <c r="C76" s="64" t="str">
        <f ca="1">IFERROR(__xludf.DUMMYFUNCTION("""COMPUTED_VALUE"""),"ISL94")</f>
        <v>ISL94</v>
      </c>
      <c r="D76" s="33" t="str">
        <f ca="1">IFERROR(__xludf.DUMMYFUNCTION("""COMPUTED_VALUE"""),"PROPIOS")</f>
        <v>PROPIOS</v>
      </c>
      <c r="E76" s="33">
        <f ca="1">IFERROR(__xludf.DUMMYFUNCTION("""COMPUTED_VALUE"""),2026)</f>
        <v>2026</v>
      </c>
      <c r="F76" s="56">
        <f ca="1">IFERROR(__xludf.DUMMYFUNCTION("""COMPUTED_VALUE"""),1)</f>
        <v>1</v>
      </c>
      <c r="G76" s="33" t="str">
        <f ca="1">IFERROR(__xludf.DUMMYFUNCTION("""COMPUTED_VALUE"""),"Murcia")</f>
        <v>Murcia</v>
      </c>
      <c r="H76" s="33" t="str">
        <f ca="1">IFERROR(__xludf.DUMMYFUNCTION("""COMPUTED_VALUE"""),"C202512410121341481")</f>
        <v>C202512410121341481</v>
      </c>
      <c r="I76" s="33" t="str">
        <f ca="1">IFERROR(__xludf.DUMMYFUNCTION("""COMPUTED_VALUE"""),"JULIA MARIA ARQUEROS AMAT")</f>
        <v>JULIA MARIA ARQUEROS AMAT</v>
      </c>
      <c r="J76" s="57">
        <f ca="1">IFERROR(__xludf.DUMMYFUNCTION("""COMPUTED_VALUE"""),45995)</f>
        <v>45995</v>
      </c>
      <c r="K76" s="33" t="str">
        <f ca="1">IFERROR(__xludf.DUMMYFUNCTION("""COMPUTED_VALUE"""),"Factura audífonos")</f>
        <v>Factura audífonos</v>
      </c>
      <c r="L76" s="57">
        <f ca="1">IFERROR(__xludf.DUMMYFUNCTION("""COMPUTED_VALUE"""),46048)</f>
        <v>46048</v>
      </c>
      <c r="M76" s="33" t="str">
        <f ca="1">IFERROR(__xludf.DUMMYFUNCTION("""COMPUTED_VALUE"""),"NO")</f>
        <v>NO</v>
      </c>
      <c r="N76" s="56">
        <f ca="1">IFERROR(__xludf.DUMMYFUNCTION("""COMPUTED_VALUE"""),2)</f>
        <v>2</v>
      </c>
      <c r="O76" s="33" t="str">
        <f ca="1">IFERROR(__xludf.DUMMYFUNCTION("""COMPUTED_VALUE"""),"CONFORT")</f>
        <v>CONFORT</v>
      </c>
      <c r="P76" s="59">
        <f ca="1">IFERROR(__xludf.DUMMYFUNCTION("""COMPUTED_VALUE"""),3631.83)</f>
        <v>3631.83</v>
      </c>
      <c r="Q76" s="33" t="str">
        <f ca="1">IFERROR(__xludf.DUMMYFUNCTION("""COMPUTED_VALUE"""),"Iván Sánchez")</f>
        <v>Iván Sánchez</v>
      </c>
      <c r="R76" s="60" t="str">
        <f ca="1">IFERROR(__xludf.DUMMYFUNCTION("""COMPUTED_VALUE"""),"Beatriz Rodríguez González Herrero")</f>
        <v>Beatriz Rodríguez González Herrero</v>
      </c>
      <c r="S76" s="61" t="str">
        <f ca="1">IFERROR(__xludf.DUMMYFUNCTION("""COMPUTED_VALUE"""),"03 ORL")</f>
        <v>03 ORL</v>
      </c>
      <c r="T76" s="33" t="str">
        <f ca="1">IFERROR(__xludf.DUMMYFUNCTION("""COMPUTED_VALUE"""),"06 ORL")</f>
        <v>06 ORL</v>
      </c>
      <c r="U76" s="62"/>
      <c r="W76" s="62"/>
      <c r="X76" s="62"/>
      <c r="AG76" s="59"/>
      <c r="AJ76" s="60"/>
    </row>
    <row r="77" spans="1:36" ht="16">
      <c r="A77" s="33"/>
      <c r="B77" s="55" t="str">
        <f t="shared" ca="1" si="0"/>
        <v>ISL</v>
      </c>
      <c r="C77" s="64" t="str">
        <f ca="1">IFERROR(__xludf.DUMMYFUNCTION("""COMPUTED_VALUE"""),"ISL62")</f>
        <v>ISL62</v>
      </c>
      <c r="D77" s="33" t="str">
        <f ca="1">IFERROR(__xludf.DUMMYFUNCTION("""COMPUTED_VALUE"""),"PROPIOS")</f>
        <v>PROPIOS</v>
      </c>
      <c r="E77" s="33">
        <f ca="1">IFERROR(__xludf.DUMMYFUNCTION("""COMPUTED_VALUE"""),2026)</f>
        <v>2026</v>
      </c>
      <c r="F77" s="56">
        <f ca="1">IFERROR(__xludf.DUMMYFUNCTION("""COMPUTED_VALUE"""),1)</f>
        <v>1</v>
      </c>
      <c r="G77" s="33" t="str">
        <f ca="1">IFERROR(__xludf.DUMMYFUNCTION("""COMPUTED_VALUE"""),"El Albir (Benidorm)")</f>
        <v>El Albir (Benidorm)</v>
      </c>
      <c r="H77" s="33" t="str">
        <f ca="1">IFERROR(__xludf.DUMMYFUNCTION("""COMPUTED_VALUE"""),"C202512121026113021")</f>
        <v>C202512121026113021</v>
      </c>
      <c r="I77" s="33" t="str">
        <f ca="1">IFERROR(__xludf.DUMMYFUNCTION("""COMPUTED_VALUE"""),"FRANCISCA MATA PEREZ")</f>
        <v>FRANCISCA MATA PEREZ</v>
      </c>
      <c r="J77" s="57">
        <f ca="1">IFERROR(__xludf.DUMMYFUNCTION("""COMPUTED_VALUE"""),46003)</f>
        <v>46003</v>
      </c>
      <c r="K77" s="33" t="str">
        <f ca="1">IFERROR(__xludf.DUMMYFUNCTION("""COMPUTED_VALUE"""),"Factura audífonos")</f>
        <v>Factura audífonos</v>
      </c>
      <c r="L77" s="57">
        <f ca="1">IFERROR(__xludf.DUMMYFUNCTION("""COMPUTED_VALUE"""),46048)</f>
        <v>46048</v>
      </c>
      <c r="M77" s="33" t="str">
        <f ca="1">IFERROR(__xludf.DUMMYFUNCTION("""COMPUTED_VALUE"""),"NO")</f>
        <v>NO</v>
      </c>
      <c r="N77" s="56">
        <f ca="1">IFERROR(__xludf.DUMMYFUNCTION("""COMPUTED_VALUE"""),2)</f>
        <v>2</v>
      </c>
      <c r="O77" s="33" t="str">
        <f ca="1">IFERROR(__xludf.DUMMYFUNCTION("""COMPUTED_VALUE"""),"QUIET")</f>
        <v>QUIET</v>
      </c>
      <c r="P77" s="60">
        <f ca="1">IFERROR(__xludf.DUMMYFUNCTION("""COMPUTED_VALUE"""),2718.18)</f>
        <v>2718.18</v>
      </c>
      <c r="Q77" s="33" t="str">
        <f ca="1">IFERROR(__xludf.DUMMYFUNCTION("""COMPUTED_VALUE"""),"Ramon Ferrando")</f>
        <v>Ramon Ferrando</v>
      </c>
      <c r="R77" s="60" t="str">
        <f ca="1">IFERROR(__xludf.DUMMYFUNCTION("""COMPUTED_VALUE"""),"Lino Enguidanos Hernandorena")</f>
        <v>Lino Enguidanos Hernandorena</v>
      </c>
      <c r="S77" s="61" t="str">
        <f ca="1">IFERROR(__xludf.DUMMYFUNCTION("""COMPUTED_VALUE"""),"03 ORL")</f>
        <v>03 ORL</v>
      </c>
      <c r="T77" s="33" t="str">
        <f ca="1">IFERROR(__xludf.DUMMYFUNCTION("""COMPUTED_VALUE"""),"06 ORL")</f>
        <v>06 ORL</v>
      </c>
      <c r="U77" s="62"/>
      <c r="W77" s="62"/>
      <c r="X77" s="62"/>
      <c r="AG77" s="60"/>
      <c r="AJ77" s="60"/>
    </row>
    <row r="78" spans="1:36" ht="16">
      <c r="A78" s="33"/>
      <c r="B78" s="55" t="str">
        <f t="shared" ca="1" si="0"/>
        <v>MBM</v>
      </c>
      <c r="C78" s="64" t="str">
        <f ca="1">IFERROR(__xludf.DUMMYFUNCTION("""COMPUTED_VALUE"""),"MBM149")</f>
        <v>MBM149</v>
      </c>
      <c r="D78" s="33" t="str">
        <f ca="1">IFERROR(__xludf.DUMMYFUNCTION("""COMPUTED_VALUE"""),"PROPIOS")</f>
        <v>PROPIOS</v>
      </c>
      <c r="E78" s="33">
        <f ca="1">IFERROR(__xludf.DUMMYFUNCTION("""COMPUTED_VALUE"""),2026)</f>
        <v>2026</v>
      </c>
      <c r="F78" s="56">
        <f ca="1">IFERROR(__xludf.DUMMYFUNCTION("""COMPUTED_VALUE"""),1)</f>
        <v>1</v>
      </c>
      <c r="G78" s="33" t="str">
        <f ca="1">IFERROR(__xludf.DUMMYFUNCTION("""COMPUTED_VALUE"""),"Toledo")</f>
        <v>Toledo</v>
      </c>
      <c r="H78" s="33" t="str">
        <f ca="1">IFERROR(__xludf.DUMMYFUNCTION("""COMPUTED_VALUE"""),"C202511269485787430")</f>
        <v>C202511269485787430</v>
      </c>
      <c r="I78" s="33" t="str">
        <f ca="1">IFERROR(__xludf.DUMMYFUNCTION("""COMPUTED_VALUE"""),"Primitivo Garcia Ruiz")</f>
        <v>Primitivo Garcia Ruiz</v>
      </c>
      <c r="J78" s="57">
        <f ca="1">IFERROR(__xludf.DUMMYFUNCTION("""COMPUTED_VALUE"""),45987)</f>
        <v>45987</v>
      </c>
      <c r="K78" s="33" t="str">
        <f ca="1">IFERROR(__xludf.DUMMYFUNCTION("""COMPUTED_VALUE"""),"Factura audífonos")</f>
        <v>Factura audífonos</v>
      </c>
      <c r="L78" s="57">
        <f ca="1">IFERROR(__xludf.DUMMYFUNCTION("""COMPUTED_VALUE"""),46048)</f>
        <v>46048</v>
      </c>
      <c r="M78" s="33" t="str">
        <f ca="1">IFERROR(__xludf.DUMMYFUNCTION("""COMPUTED_VALUE"""),"NO")</f>
        <v>NO</v>
      </c>
      <c r="N78" s="56">
        <f ca="1">IFERROR(__xludf.DUMMYFUNCTION("""COMPUTED_VALUE"""),2)</f>
        <v>2</v>
      </c>
      <c r="O78" s="33" t="str">
        <f ca="1">IFERROR(__xludf.DUMMYFUNCTION("""COMPUTED_VALUE"""),"QUIET")</f>
        <v>QUIET</v>
      </c>
      <c r="P78" s="60">
        <f ca="1">IFERROR(__xludf.DUMMYFUNCTION("""COMPUTED_VALUE"""),2718.18)</f>
        <v>2718.18</v>
      </c>
      <c r="Q78" s="33" t="str">
        <f ca="1">IFERROR(__xludf.DUMMYFUNCTION("""COMPUTED_VALUE"""),"Maika Blázquez")</f>
        <v>Maika Blázquez</v>
      </c>
      <c r="R78" s="60" t="str">
        <f ca="1">IFERROR(__xludf.DUMMYFUNCTION("""COMPUTED_VALUE"""),"María Garrote Garrote")</f>
        <v>María Garrote Garrote</v>
      </c>
      <c r="S78" s="61" t="str">
        <f ca="1">IFERROR(__xludf.DUMMYFUNCTION("""COMPUTED_VALUE"""),"03 ORL")</f>
        <v>03 ORL</v>
      </c>
      <c r="T78" s="33" t="str">
        <f ca="1">IFERROR(__xludf.DUMMYFUNCTION("""COMPUTED_VALUE"""),"06 ORL")</f>
        <v>06 ORL</v>
      </c>
      <c r="U78" s="62"/>
      <c r="W78" s="62"/>
      <c r="X78" s="62"/>
      <c r="AG78" s="60"/>
      <c r="AJ78" s="60"/>
    </row>
    <row r="79" spans="1:36" ht="16">
      <c r="A79" s="33"/>
      <c r="B79" s="55" t="str">
        <f t="shared" ca="1" si="0"/>
        <v>MCC</v>
      </c>
      <c r="C79" s="64" t="str">
        <f ca="1">IFERROR(__xludf.DUMMYFUNCTION("""COMPUTED_VALUE"""),"MCC70")</f>
        <v>MCC70</v>
      </c>
      <c r="D79" s="33" t="str">
        <f ca="1">IFERROR(__xludf.DUMMYFUNCTION("""COMPUTED_VALUE"""),"PARTICIPADOS")</f>
        <v>PARTICIPADOS</v>
      </c>
      <c r="E79" s="33">
        <f ca="1">IFERROR(__xludf.DUMMYFUNCTION("""COMPUTED_VALUE"""),2026)</f>
        <v>2026</v>
      </c>
      <c r="F79" s="56">
        <f ca="1">IFERROR(__xludf.DUMMYFUNCTION("""COMPUTED_VALUE"""),1)</f>
        <v>1</v>
      </c>
      <c r="G79" s="33" t="str">
        <f ca="1">IFERROR(__xludf.DUMMYFUNCTION("""COMPUTED_VALUE"""),"Barcelona- Córcega")</f>
        <v>Barcelona- Córcega</v>
      </c>
      <c r="H79" s="33" t="str">
        <f ca="1">IFERROR(__xludf.DUMMYFUNCTION("""COMPUTED_VALUE"""),"C202617113410376988")</f>
        <v>C202617113410376988</v>
      </c>
      <c r="I79" s="33" t="str">
        <f ca="1">IFERROR(__xludf.DUMMYFUNCTION("""COMPUTED_VALUE"""),"Ana Maria Cano Rafael")</f>
        <v>Ana Maria Cano Rafael</v>
      </c>
      <c r="J79" s="57">
        <f ca="1">IFERROR(__xludf.DUMMYFUNCTION("""COMPUTED_VALUE"""),46029)</f>
        <v>46029</v>
      </c>
      <c r="K79" s="33" t="str">
        <f ca="1">IFERROR(__xludf.DUMMYFUNCTION("""COMPUTED_VALUE"""),"Factura audífonos")</f>
        <v>Factura audífonos</v>
      </c>
      <c r="L79" s="57">
        <f ca="1">IFERROR(__xludf.DUMMYFUNCTION("""COMPUTED_VALUE"""),46048)</f>
        <v>46048</v>
      </c>
      <c r="M79" s="33" t="str">
        <f ca="1">IFERROR(__xludf.DUMMYFUNCTION("""COMPUTED_VALUE"""),"NO")</f>
        <v>NO</v>
      </c>
      <c r="N79" s="56">
        <f ca="1">IFERROR(__xludf.DUMMYFUNCTION("""COMPUTED_VALUE"""),2)</f>
        <v>2</v>
      </c>
      <c r="O79" s="33" t="str">
        <f ca="1">IFERROR(__xludf.DUMMYFUNCTION("""COMPUTED_VALUE"""),"PRO")</f>
        <v>PRO</v>
      </c>
      <c r="P79" s="59">
        <f ca="1">IFERROR(__xludf.DUMMYFUNCTION("""COMPUTED_VALUE"""),4536.36)</f>
        <v>4536.3599999999997</v>
      </c>
      <c r="Q79" s="33" t="str">
        <f ca="1">IFERROR(__xludf.DUMMYFUNCTION("""COMPUTED_VALUE"""),"Mercè Cabrera")</f>
        <v>Mercè Cabrera</v>
      </c>
      <c r="R79" s="60" t="str">
        <f ca="1">IFERROR(__xludf.DUMMYFUNCTION("""COMPUTED_VALUE"""),"Nesly Illely González Sánchez")</f>
        <v>Nesly Illely González Sánchez</v>
      </c>
      <c r="S79" s="61" t="str">
        <f ca="1">IFERROR(__xludf.DUMMYFUNCTION("""COMPUTED_VALUE"""),"03 ORL")</f>
        <v>03 ORL</v>
      </c>
      <c r="T79" s="33" t="str">
        <f ca="1">IFERROR(__xludf.DUMMYFUNCTION("""COMPUTED_VALUE"""),"06 ORL")</f>
        <v>06 ORL</v>
      </c>
      <c r="U79" s="62"/>
      <c r="W79" s="62"/>
      <c r="X79" s="62"/>
      <c r="AG79" s="59"/>
      <c r="AJ79" s="60"/>
    </row>
    <row r="80" spans="1:36" ht="16">
      <c r="A80" s="33"/>
      <c r="B80" s="55" t="str">
        <f t="shared" ca="1" si="0"/>
        <v>LAA</v>
      </c>
      <c r="C80" s="64" t="str">
        <f ca="1">IFERROR(__xludf.DUMMYFUNCTION("""COMPUTED_VALUE"""),"LAA24")</f>
        <v>LAA24</v>
      </c>
      <c r="D80" s="33" t="str">
        <f ca="1">IFERROR(__xludf.DUMMYFUNCTION("""COMPUTED_VALUE"""),"PROPIOS")</f>
        <v>PROPIOS</v>
      </c>
      <c r="E80" s="33">
        <f ca="1">IFERROR(__xludf.DUMMYFUNCTION("""COMPUTED_VALUE"""),2026)</f>
        <v>2026</v>
      </c>
      <c r="F80" s="56">
        <f ca="1">IFERROR(__xludf.DUMMYFUNCTION("""COMPUTED_VALUE"""),1)</f>
        <v>1</v>
      </c>
      <c r="G80" s="33" t="str">
        <f ca="1">IFERROR(__xludf.DUMMYFUNCTION("""COMPUTED_VALUE"""),"Sevilla- Montoto")</f>
        <v>Sevilla- Montoto</v>
      </c>
      <c r="H80" s="33" t="str">
        <f ca="1">IFERROR(__xludf.DUMMYFUNCTION("""COMPUTED_VALUE"""),"C202511121127351007")</f>
        <v>C202511121127351007</v>
      </c>
      <c r="I80" s="33" t="str">
        <f ca="1">IFERROR(__xludf.DUMMYFUNCTION("""COMPUTED_VALUE"""),"MARIA LUISA GRANADOS MAGUILLA")</f>
        <v>MARIA LUISA GRANADOS MAGUILLA</v>
      </c>
      <c r="J80" s="57">
        <f ca="1">IFERROR(__xludf.DUMMYFUNCTION("""COMPUTED_VALUE"""),45973)</f>
        <v>45973</v>
      </c>
      <c r="K80" s="33" t="str">
        <f ca="1">IFERROR(__xludf.DUMMYFUNCTION("""COMPUTED_VALUE"""),"Factura audífonos")</f>
        <v>Factura audífonos</v>
      </c>
      <c r="L80" s="57">
        <f ca="1">IFERROR(__xludf.DUMMYFUNCTION("""COMPUTED_VALUE"""),46048)</f>
        <v>46048</v>
      </c>
      <c r="M80" s="33" t="str">
        <f ca="1">IFERROR(__xludf.DUMMYFUNCTION("""COMPUTED_VALUE"""),"NO")</f>
        <v>NO</v>
      </c>
      <c r="N80" s="56">
        <f ca="1">IFERROR(__xludf.DUMMYFUNCTION("""COMPUTED_VALUE"""),2)</f>
        <v>2</v>
      </c>
      <c r="O80" s="33" t="str">
        <f ca="1">IFERROR(__xludf.DUMMYFUNCTION("""COMPUTED_VALUE"""),"CONFORT")</f>
        <v>CONFORT</v>
      </c>
      <c r="P80" s="60">
        <f ca="1">IFERROR(__xludf.DUMMYFUNCTION("""COMPUTED_VALUE"""),3631.82)</f>
        <v>3631.82</v>
      </c>
      <c r="Q80" s="33" t="str">
        <f ca="1">IFERROR(__xludf.DUMMYFUNCTION("""COMPUTED_VALUE"""),"Luis Alberto Rodríguez")</f>
        <v>Luis Alberto Rodríguez</v>
      </c>
      <c r="R80" s="60" t="str">
        <f ca="1">IFERROR(__xludf.DUMMYFUNCTION("""COMPUTED_VALUE"""),"Jesús Crovato Rojas")</f>
        <v>Jesús Crovato Rojas</v>
      </c>
      <c r="S80" s="61" t="str">
        <f ca="1">IFERROR(__xludf.DUMMYFUNCTION("""COMPUTED_VALUE"""),"03 ORL")</f>
        <v>03 ORL</v>
      </c>
      <c r="T80" s="33" t="str">
        <f ca="1">IFERROR(__xludf.DUMMYFUNCTION("""COMPUTED_VALUE"""),"06 ORL")</f>
        <v>06 ORL</v>
      </c>
      <c r="U80" s="62"/>
      <c r="W80" s="62"/>
      <c r="X80" s="62"/>
      <c r="AG80" s="60"/>
      <c r="AJ80" s="60"/>
    </row>
    <row r="81" spans="1:36" ht="16">
      <c r="A81" s="33"/>
      <c r="B81" s="55" t="str">
        <f t="shared" ca="1" si="0"/>
        <v>ISL</v>
      </c>
      <c r="C81" s="64" t="str">
        <f ca="1">IFERROR(__xludf.DUMMYFUNCTION("""COMPUTED_VALUE"""),"ISL105")</f>
        <v>ISL105</v>
      </c>
      <c r="D81" s="33" t="str">
        <f ca="1">IFERROR(__xludf.DUMMYFUNCTION("""COMPUTED_VALUE"""),"PROPIOS")</f>
        <v>PROPIOS</v>
      </c>
      <c r="E81" s="33">
        <f ca="1">IFERROR(__xludf.DUMMYFUNCTION("""COMPUTED_VALUE"""),2026)</f>
        <v>2026</v>
      </c>
      <c r="F81" s="56">
        <f ca="1">IFERROR(__xludf.DUMMYFUNCTION("""COMPUTED_VALUE"""),1)</f>
        <v>1</v>
      </c>
      <c r="G81" s="33" t="str">
        <f ca="1">IFERROR(__xludf.DUMMYFUNCTION("""COMPUTED_VALUE"""),"Alicante")</f>
        <v>Alicante</v>
      </c>
      <c r="H81" s="33" t="str">
        <f ca="1">IFERROR(__xludf.DUMMYFUNCTION("""COMPUTED_VALUE"""),"C202512261157304222")</f>
        <v>C202512261157304222</v>
      </c>
      <c r="I81" s="33" t="str">
        <f ca="1">IFERROR(__xludf.DUMMYFUNCTION("""COMPUTED_VALUE"""),"PEDRO ESPINOSA SAN NICOLAS")</f>
        <v>PEDRO ESPINOSA SAN NICOLAS</v>
      </c>
      <c r="J81" s="57">
        <f ca="1">IFERROR(__xludf.DUMMYFUNCTION("""COMPUTED_VALUE"""),46017)</f>
        <v>46017</v>
      </c>
      <c r="K81" s="33" t="str">
        <f ca="1">IFERROR(__xludf.DUMMYFUNCTION("""COMPUTED_VALUE"""),"Factura audífonos")</f>
        <v>Factura audífonos</v>
      </c>
      <c r="L81" s="57">
        <f ca="1">IFERROR(__xludf.DUMMYFUNCTION("""COMPUTED_VALUE"""),46049)</f>
        <v>46049</v>
      </c>
      <c r="M81" s="33" t="str">
        <f ca="1">IFERROR(__xludf.DUMMYFUNCTION("""COMPUTED_VALUE"""),"NO")</f>
        <v>NO</v>
      </c>
      <c r="N81" s="56">
        <f ca="1">IFERROR(__xludf.DUMMYFUNCTION("""COMPUTED_VALUE"""),2)</f>
        <v>2</v>
      </c>
      <c r="O81" s="33" t="str">
        <f ca="1">IFERROR(__xludf.DUMMYFUNCTION("""COMPUTED_VALUE"""),"QUIET")</f>
        <v>QUIET</v>
      </c>
      <c r="P81" s="60">
        <f ca="1">IFERROR(__xludf.DUMMYFUNCTION("""COMPUTED_VALUE"""),2718.18)</f>
        <v>2718.18</v>
      </c>
      <c r="Q81" s="33" t="str">
        <f ca="1">IFERROR(__xludf.DUMMYFUNCTION("""COMPUTED_VALUE"""),"Iván Sánchez")</f>
        <v>Iván Sánchez</v>
      </c>
      <c r="R81" s="60" t="str">
        <f ca="1">IFERROR(__xludf.DUMMYFUNCTION("""COMPUTED_VALUE"""),"Karen Rojas Crespo")</f>
        <v>Karen Rojas Crespo</v>
      </c>
      <c r="S81" s="61" t="str">
        <f ca="1">IFERROR(__xludf.DUMMYFUNCTION("""COMPUTED_VALUE"""),"03 ORL")</f>
        <v>03 ORL</v>
      </c>
      <c r="T81" s="33" t="str">
        <f ca="1">IFERROR(__xludf.DUMMYFUNCTION("""COMPUTED_VALUE"""),"06 ORL")</f>
        <v>06 ORL</v>
      </c>
      <c r="U81" s="62"/>
      <c r="W81" s="62"/>
      <c r="X81" s="62"/>
      <c r="AG81" s="60"/>
      <c r="AJ81" s="60"/>
    </row>
    <row r="82" spans="1:36" ht="16">
      <c r="A82" s="33"/>
      <c r="B82" s="55" t="str">
        <f t="shared" ca="1" si="0"/>
        <v>MBM</v>
      </c>
      <c r="C82" s="64" t="str">
        <f ca="1">IFERROR(__xludf.DUMMYFUNCTION("""COMPUTED_VALUE"""),"MBM195")</f>
        <v>MBM195</v>
      </c>
      <c r="D82" s="33" t="str">
        <f ca="1">IFERROR(__xludf.DUMMYFUNCTION("""COMPUTED_VALUE"""),"PROPIOS")</f>
        <v>PROPIOS</v>
      </c>
      <c r="E82" s="33">
        <f ca="1">IFERROR(__xludf.DUMMYFUNCTION("""COMPUTED_VALUE"""),2026)</f>
        <v>2026</v>
      </c>
      <c r="F82" s="56">
        <f ca="1">IFERROR(__xludf.DUMMYFUNCTION("""COMPUTED_VALUE"""),1)</f>
        <v>1</v>
      </c>
      <c r="G82" s="33" t="str">
        <f ca="1">IFERROR(__xludf.DUMMYFUNCTION("""COMPUTED_VALUE"""),"Fuenlabrada")</f>
        <v>Fuenlabrada</v>
      </c>
      <c r="H82" s="33" t="str">
        <f ca="1">IFERROR(__xludf.DUMMYFUNCTION("""COMPUTED_VALUE"""),"C202512121025258882")</f>
        <v>C202512121025258882</v>
      </c>
      <c r="I82" s="33" t="str">
        <f ca="1">IFERROR(__xludf.DUMMYFUNCTION("""COMPUTED_VALUE"""),"TERESA CASTILLO GARCIA")</f>
        <v>TERESA CASTILLO GARCIA</v>
      </c>
      <c r="J82" s="57">
        <f ca="1">IFERROR(__xludf.DUMMYFUNCTION("""COMPUTED_VALUE"""),46003)</f>
        <v>46003</v>
      </c>
      <c r="K82" s="33" t="str">
        <f ca="1">IFERROR(__xludf.DUMMYFUNCTION("""COMPUTED_VALUE"""),"Factura audífonos")</f>
        <v>Factura audífonos</v>
      </c>
      <c r="L82" s="57">
        <f ca="1">IFERROR(__xludf.DUMMYFUNCTION("""COMPUTED_VALUE"""),46049)</f>
        <v>46049</v>
      </c>
      <c r="M82" s="33" t="str">
        <f ca="1">IFERROR(__xludf.DUMMYFUNCTION("""COMPUTED_VALUE"""),"NO")</f>
        <v>NO</v>
      </c>
      <c r="N82" s="56">
        <f ca="1">IFERROR(__xludf.DUMMYFUNCTION("""COMPUTED_VALUE"""),1)</f>
        <v>1</v>
      </c>
      <c r="O82" s="33" t="str">
        <f ca="1">IFERROR(__xludf.DUMMYFUNCTION("""COMPUTED_VALUE"""),"QUIET")</f>
        <v>QUIET</v>
      </c>
      <c r="P82" s="60">
        <f ca="1">IFERROR(__xludf.DUMMYFUNCTION("""COMPUTED_VALUE"""),1631.82)</f>
        <v>1631.82</v>
      </c>
      <c r="Q82" s="33" t="str">
        <f ca="1">IFERROR(__xludf.DUMMYFUNCTION("""COMPUTED_VALUE"""),"Maika Blázquez")</f>
        <v>Maika Blázquez</v>
      </c>
      <c r="R82" s="60" t="str">
        <f ca="1">IFERROR(__xludf.DUMMYFUNCTION("""COMPUTED_VALUE"""),"Anastasiya Audiyuk Martynyuk")</f>
        <v>Anastasiya Audiyuk Martynyuk</v>
      </c>
      <c r="S82" s="61" t="str">
        <f ca="1">IFERROR(__xludf.DUMMYFUNCTION("""COMPUTED_VALUE"""),"03 ORL")</f>
        <v>03 ORL</v>
      </c>
      <c r="T82" s="33" t="str">
        <f ca="1">IFERROR(__xludf.DUMMYFUNCTION("""COMPUTED_VALUE"""),"06 ORL")</f>
        <v>06 ORL</v>
      </c>
      <c r="U82" s="62"/>
      <c r="W82" s="62"/>
      <c r="X82" s="62"/>
      <c r="AG82" s="60"/>
      <c r="AJ82" s="60"/>
    </row>
    <row r="83" spans="1:36" ht="16">
      <c r="A83" s="33"/>
      <c r="B83" s="55" t="str">
        <f t="shared" ca="1" si="0"/>
        <v>MCC</v>
      </c>
      <c r="C83" s="64" t="str">
        <f ca="1">IFERROR(__xludf.DUMMYFUNCTION("""COMPUTED_VALUE"""),"MCC76")</f>
        <v>MCC76</v>
      </c>
      <c r="D83" s="33" t="str">
        <f ca="1">IFERROR(__xludf.DUMMYFUNCTION("""COMPUTED_VALUE"""),"PARTICIPADOS")</f>
        <v>PARTICIPADOS</v>
      </c>
      <c r="E83" s="33">
        <f ca="1">IFERROR(__xludf.DUMMYFUNCTION("""COMPUTED_VALUE"""),2026)</f>
        <v>2026</v>
      </c>
      <c r="F83" s="56">
        <f ca="1">IFERROR(__xludf.DUMMYFUNCTION("""COMPUTED_VALUE"""),1)</f>
        <v>1</v>
      </c>
      <c r="G83" s="33" t="str">
        <f ca="1">IFERROR(__xludf.DUMMYFUNCTION("""COMPUTED_VALUE"""),"Hospitalet de Llobregat")</f>
        <v>Hospitalet de Llobregat</v>
      </c>
      <c r="H83" s="33" t="str">
        <f ca="1">IFERROR(__xludf.DUMMYFUNCTION("""COMPUTED_VALUE"""),"C202511181545320772")</f>
        <v>C202511181545320772</v>
      </c>
      <c r="I83" s="33" t="str">
        <f ca="1">IFERROR(__xludf.DUMMYFUNCTION("""COMPUTED_VALUE"""),"PAULA RUIZ ORTEGA")</f>
        <v>PAULA RUIZ ORTEGA</v>
      </c>
      <c r="J83" s="57">
        <f ca="1">IFERROR(__xludf.DUMMYFUNCTION("""COMPUTED_VALUE"""),45979)</f>
        <v>45979</v>
      </c>
      <c r="K83" s="33" t="str">
        <f ca="1">IFERROR(__xludf.DUMMYFUNCTION("""COMPUTED_VALUE"""),"Factura audífonos")</f>
        <v>Factura audífonos</v>
      </c>
      <c r="L83" s="57">
        <f ca="1">IFERROR(__xludf.DUMMYFUNCTION("""COMPUTED_VALUE"""),46049)</f>
        <v>46049</v>
      </c>
      <c r="M83" s="33" t="str">
        <f ca="1">IFERROR(__xludf.DUMMYFUNCTION("""COMPUTED_VALUE"""),"NO")</f>
        <v>NO</v>
      </c>
      <c r="N83" s="56">
        <f ca="1">IFERROR(__xludf.DUMMYFUNCTION("""COMPUTED_VALUE"""),1)</f>
        <v>1</v>
      </c>
      <c r="O83" s="33" t="str">
        <f ca="1">IFERROR(__xludf.DUMMYFUNCTION("""COMPUTED_VALUE"""),"ADVANCED")</f>
        <v>ADVANCED</v>
      </c>
      <c r="P83" s="59">
        <f ca="1">IFERROR(__xludf.DUMMYFUNCTION("""COMPUTED_VALUE"""),2481.82)</f>
        <v>2481.8200000000002</v>
      </c>
      <c r="Q83" s="33" t="str">
        <f ca="1">IFERROR(__xludf.DUMMYFUNCTION("""COMPUTED_VALUE"""),"Mercè Cabrera")</f>
        <v>Mercè Cabrera</v>
      </c>
      <c r="R83" s="60" t="str">
        <f ca="1">IFERROR(__xludf.DUMMYFUNCTION("""COMPUTED_VALUE"""),"Albert Pla Esperanzi")</f>
        <v>Albert Pla Esperanzi</v>
      </c>
      <c r="S83" s="61" t="str">
        <f ca="1">IFERROR(__xludf.DUMMYFUNCTION("""COMPUTED_VALUE"""),"03 ORL")</f>
        <v>03 ORL</v>
      </c>
      <c r="T83" s="33" t="str">
        <f ca="1">IFERROR(__xludf.DUMMYFUNCTION("""COMPUTED_VALUE"""),"06 ORL")</f>
        <v>06 ORL</v>
      </c>
      <c r="U83" s="62"/>
      <c r="W83" s="62"/>
      <c r="X83" s="62"/>
      <c r="AG83" s="59"/>
      <c r="AJ83" s="60"/>
    </row>
    <row r="84" spans="1:36" ht="16">
      <c r="A84" s="33"/>
      <c r="B84" s="55" t="str">
        <f t="shared" ca="1" si="0"/>
        <v>MBM</v>
      </c>
      <c r="C84" s="64" t="str">
        <f ca="1">IFERROR(__xludf.DUMMYFUNCTION("""COMPUTED_VALUE"""),"MBM39")</f>
        <v>MBM39</v>
      </c>
      <c r="D84" s="33" t="str">
        <f ca="1">IFERROR(__xludf.DUMMYFUNCTION("""COMPUTED_VALUE"""),"PROPIOS")</f>
        <v>PROPIOS</v>
      </c>
      <c r="E84" s="33">
        <f ca="1">IFERROR(__xludf.DUMMYFUNCTION("""COMPUTED_VALUE"""),2026)</f>
        <v>2026</v>
      </c>
      <c r="F84" s="56">
        <f ca="1">IFERROR(__xludf.DUMMYFUNCTION("""COMPUTED_VALUE"""),1)</f>
        <v>1</v>
      </c>
      <c r="G84" s="33" t="str">
        <f ca="1">IFERROR(__xludf.DUMMYFUNCTION("""COMPUTED_VALUE"""),"Madrid- Juan Bravo")</f>
        <v>Madrid- Juan Bravo</v>
      </c>
      <c r="H84" s="33" t="str">
        <f ca="1">IFERROR(__xludf.DUMMYFUNCTION("""COMPUTED_VALUE"""),"C20261292625074298")</f>
        <v>C20261292625074298</v>
      </c>
      <c r="I84" s="33" t="str">
        <f ca="1">IFERROR(__xludf.DUMMYFUNCTION("""COMPUTED_VALUE"""),"JOSEFA GOMEZ DE ENTERRIA SANCHEZ")</f>
        <v>JOSEFA GOMEZ DE ENTERRIA SANCHEZ</v>
      </c>
      <c r="J84" s="57">
        <f ca="1">IFERROR(__xludf.DUMMYFUNCTION("""COMPUTED_VALUE"""),46024)</f>
        <v>46024</v>
      </c>
      <c r="K84" s="33" t="str">
        <f ca="1">IFERROR(__xludf.DUMMYFUNCTION("""COMPUTED_VALUE"""),"Factura audífonos")</f>
        <v>Factura audífonos</v>
      </c>
      <c r="L84" s="57">
        <f ca="1">IFERROR(__xludf.DUMMYFUNCTION("""COMPUTED_VALUE"""),46049)</f>
        <v>46049</v>
      </c>
      <c r="M84" s="33" t="str">
        <f ca="1">IFERROR(__xludf.DUMMYFUNCTION("""COMPUTED_VALUE"""),"NO")</f>
        <v>NO</v>
      </c>
      <c r="N84" s="56">
        <f ca="1">IFERROR(__xludf.DUMMYFUNCTION("""COMPUTED_VALUE"""),2)</f>
        <v>2</v>
      </c>
      <c r="O84" s="33" t="str">
        <f ca="1">IFERROR(__xludf.DUMMYFUNCTION("""COMPUTED_VALUE"""),"PRO")</f>
        <v>PRO</v>
      </c>
      <c r="P84" s="60">
        <f ca="1">IFERROR(__xludf.DUMMYFUNCTION("""COMPUTED_VALUE"""),4536.36)</f>
        <v>4536.3599999999997</v>
      </c>
      <c r="Q84" s="33" t="str">
        <f ca="1">IFERROR(__xludf.DUMMYFUNCTION("""COMPUTED_VALUE"""),"Maika Blázquez")</f>
        <v>Maika Blázquez</v>
      </c>
      <c r="R84" s="60" t="str">
        <f ca="1">IFERROR(__xludf.DUMMYFUNCTION("""COMPUTED_VALUE"""),"Javier García Domínguez")</f>
        <v>Javier García Domínguez</v>
      </c>
      <c r="S84" s="61" t="str">
        <f ca="1">IFERROR(__xludf.DUMMYFUNCTION("""COMPUTED_VALUE"""),"03 ORL")</f>
        <v>03 ORL</v>
      </c>
      <c r="T84" s="33" t="str">
        <f ca="1">IFERROR(__xludf.DUMMYFUNCTION("""COMPUTED_VALUE"""),"06 ORL")</f>
        <v>06 ORL</v>
      </c>
      <c r="U84" s="62"/>
      <c r="W84" s="62"/>
      <c r="X84" s="62"/>
      <c r="AE84" s="1"/>
      <c r="AG84" s="60"/>
    </row>
    <row r="85" spans="1:36" ht="16">
      <c r="A85" s="33"/>
      <c r="B85" s="55" t="str">
        <f t="shared" ca="1" si="0"/>
        <v>MBM</v>
      </c>
      <c r="C85" s="64" t="str">
        <f ca="1">IFERROR(__xludf.DUMMYFUNCTION("""COMPUTED_VALUE"""),"MBM74")</f>
        <v>MBM74</v>
      </c>
      <c r="D85" s="33" t="str">
        <f ca="1">IFERROR(__xludf.DUMMYFUNCTION("""COMPUTED_VALUE"""),"PROPIOS")</f>
        <v>PROPIOS</v>
      </c>
      <c r="E85" s="33">
        <f ca="1">IFERROR(__xludf.DUMMYFUNCTION("""COMPUTED_VALUE"""),2026)</f>
        <v>2026</v>
      </c>
      <c r="F85" s="56">
        <f ca="1">IFERROR(__xludf.DUMMYFUNCTION("""COMPUTED_VALUE"""),1)</f>
        <v>1</v>
      </c>
      <c r="G85" s="33" t="str">
        <f ca="1">IFERROR(__xludf.DUMMYFUNCTION("""COMPUTED_VALUE"""),"Fuenlabrada")</f>
        <v>Fuenlabrada</v>
      </c>
      <c r="H85" s="33" t="str">
        <f ca="1">IFERROR(__xludf.DUMMYFUNCTION("""COMPUTED_VALUE"""),"C202511279152147211")</f>
        <v>C202511279152147211</v>
      </c>
      <c r="I85" s="33" t="str">
        <f ca="1">IFERROR(__xludf.DUMMYFUNCTION("""COMPUTED_VALUE"""),"MARGARITA CORTAZAR VIANCO")</f>
        <v>MARGARITA CORTAZAR VIANCO</v>
      </c>
      <c r="J85" s="57">
        <f ca="1">IFERROR(__xludf.DUMMYFUNCTION("""COMPUTED_VALUE"""),45988)</f>
        <v>45988</v>
      </c>
      <c r="K85" s="33" t="str">
        <f ca="1">IFERROR(__xludf.DUMMYFUNCTION("""COMPUTED_VALUE"""),"Factura audífonos")</f>
        <v>Factura audífonos</v>
      </c>
      <c r="L85" s="57">
        <f ca="1">IFERROR(__xludf.DUMMYFUNCTION("""COMPUTED_VALUE"""),46049)</f>
        <v>46049</v>
      </c>
      <c r="M85" s="33" t="str">
        <f ca="1">IFERROR(__xludf.DUMMYFUNCTION("""COMPUTED_VALUE"""),"NO")</f>
        <v>NO</v>
      </c>
      <c r="N85" s="56">
        <f ca="1">IFERROR(__xludf.DUMMYFUNCTION("""COMPUTED_VALUE"""),1)</f>
        <v>1</v>
      </c>
      <c r="O85" s="33" t="str">
        <f ca="1">IFERROR(__xludf.DUMMYFUNCTION("""COMPUTED_VALUE"""),"PRO")</f>
        <v>PRO</v>
      </c>
      <c r="P85" s="60">
        <f ca="1">IFERROR(__xludf.DUMMYFUNCTION("""COMPUTED_VALUE"""),2722.73)</f>
        <v>2722.73</v>
      </c>
      <c r="Q85" s="33" t="str">
        <f ca="1">IFERROR(__xludf.DUMMYFUNCTION("""COMPUTED_VALUE"""),"Maika Blázquez")</f>
        <v>Maika Blázquez</v>
      </c>
      <c r="R85" s="60" t="str">
        <f ca="1">IFERROR(__xludf.DUMMYFUNCTION("""COMPUTED_VALUE"""),"Raimundo Andres Navarro Mediano")</f>
        <v>Raimundo Andres Navarro Mediano</v>
      </c>
      <c r="S85" s="61" t="str">
        <f ca="1">IFERROR(__xludf.DUMMYFUNCTION("""COMPUTED_VALUE"""),"03 ORL")</f>
        <v>03 ORL</v>
      </c>
      <c r="T85" s="33" t="str">
        <f ca="1">IFERROR(__xludf.DUMMYFUNCTION("""COMPUTED_VALUE"""),"06 ORL")</f>
        <v>06 ORL</v>
      </c>
      <c r="U85" s="62"/>
      <c r="W85" s="62"/>
      <c r="X85" s="62"/>
      <c r="AE85" s="1"/>
      <c r="AG85" s="60"/>
      <c r="AJ85" s="60"/>
    </row>
    <row r="86" spans="1:36" ht="16">
      <c r="A86" s="33"/>
      <c r="B86" s="55" t="str">
        <f t="shared" ca="1" si="0"/>
        <v>LRM</v>
      </c>
      <c r="C86" s="64" t="str">
        <f ca="1">IFERROR(__xludf.DUMMYFUNCTION("""COMPUTED_VALUE"""),"LRM39")</f>
        <v>LRM39</v>
      </c>
      <c r="D86" s="33" t="str">
        <f ca="1">IFERROR(__xludf.DUMMYFUNCTION("""COMPUTED_VALUE"""),"PROPIOS")</f>
        <v>PROPIOS</v>
      </c>
      <c r="E86" s="33">
        <f ca="1">IFERROR(__xludf.DUMMYFUNCTION("""COMPUTED_VALUE"""),2026)</f>
        <v>2026</v>
      </c>
      <c r="F86" s="56">
        <f ca="1">IFERROR(__xludf.DUMMYFUNCTION("""COMPUTED_VALUE"""),1)</f>
        <v>1</v>
      </c>
      <c r="G86" s="33" t="str">
        <f ca="1">IFERROR(__xludf.DUMMYFUNCTION("""COMPUTED_VALUE"""),"Logroño")</f>
        <v>Logroño</v>
      </c>
      <c r="H86" s="33" t="str">
        <f ca="1">IFERROR(__xludf.DUMMYFUNCTION("""COMPUTED_VALUE"""),"C202512158202709477")</f>
        <v>C202512158202709477</v>
      </c>
      <c r="I86" s="33" t="str">
        <f ca="1">IFERROR(__xludf.DUMMYFUNCTION("""COMPUTED_VALUE"""),"JOSE LUIS MARQUINEZ IBAÑEZ")</f>
        <v>JOSE LUIS MARQUINEZ IBAÑEZ</v>
      </c>
      <c r="J86" s="57">
        <f ca="1">IFERROR(__xludf.DUMMYFUNCTION("""COMPUTED_VALUE"""),46006)</f>
        <v>46006</v>
      </c>
      <c r="K86" s="33" t="str">
        <f ca="1">IFERROR(__xludf.DUMMYFUNCTION("""COMPUTED_VALUE"""),"Factura audífonos")</f>
        <v>Factura audífonos</v>
      </c>
      <c r="L86" s="57">
        <f ca="1">IFERROR(__xludf.DUMMYFUNCTION("""COMPUTED_VALUE"""),46049)</f>
        <v>46049</v>
      </c>
      <c r="M86" s="33" t="str">
        <f ca="1">IFERROR(__xludf.DUMMYFUNCTION("""COMPUTED_VALUE"""),"NO")</f>
        <v>NO</v>
      </c>
      <c r="N86" s="56">
        <f ca="1">IFERROR(__xludf.DUMMYFUNCTION("""COMPUTED_VALUE"""),2)</f>
        <v>2</v>
      </c>
      <c r="O86" s="33" t="str">
        <f ca="1">IFERROR(__xludf.DUMMYFUNCTION("""COMPUTED_VALUE"""),"PRO")</f>
        <v>PRO</v>
      </c>
      <c r="P86" s="60">
        <f ca="1">IFERROR(__xludf.DUMMYFUNCTION("""COMPUTED_VALUE"""),4536.36)</f>
        <v>4536.3599999999997</v>
      </c>
      <c r="Q86" s="33" t="str">
        <f ca="1">IFERROR(__xludf.DUMMYFUNCTION("""COMPUTED_VALUE"""),"Lisandro Russian")</f>
        <v>Lisandro Russian</v>
      </c>
      <c r="R86" s="60" t="str">
        <f ca="1">IFERROR(__xludf.DUMMYFUNCTION("""COMPUTED_VALUE"""),"Fernando Salazar Barcelona")</f>
        <v>Fernando Salazar Barcelona</v>
      </c>
      <c r="S86" s="61" t="str">
        <f ca="1">IFERROR(__xludf.DUMMYFUNCTION("""COMPUTED_VALUE"""),"03 ORL")</f>
        <v>03 ORL</v>
      </c>
      <c r="T86" s="33" t="str">
        <f ca="1">IFERROR(__xludf.DUMMYFUNCTION("""COMPUTED_VALUE"""),"06 ORL")</f>
        <v>06 ORL</v>
      </c>
      <c r="U86" s="62"/>
      <c r="W86" s="62"/>
      <c r="X86" s="62"/>
      <c r="AE86" s="1"/>
      <c r="AG86" s="60"/>
    </row>
    <row r="87" spans="1:36" ht="16">
      <c r="A87" s="33"/>
      <c r="B87" s="55" t="str">
        <f t="shared" ca="1" si="0"/>
        <v>LRM</v>
      </c>
      <c r="C87" s="64" t="str">
        <f ca="1">IFERROR(__xludf.DUMMYFUNCTION("""COMPUTED_VALUE"""),"LRM48")</f>
        <v>LRM48</v>
      </c>
      <c r="D87" s="33" t="str">
        <f ca="1">IFERROR(__xludf.DUMMYFUNCTION("""COMPUTED_VALUE"""),"PROPIOS")</f>
        <v>PROPIOS</v>
      </c>
      <c r="E87" s="33">
        <f ca="1">IFERROR(__xludf.DUMMYFUNCTION("""COMPUTED_VALUE"""),2026)</f>
        <v>2026</v>
      </c>
      <c r="F87" s="56">
        <f ca="1">IFERROR(__xludf.DUMMYFUNCTION("""COMPUTED_VALUE"""),1)</f>
        <v>1</v>
      </c>
      <c r="G87" s="33" t="str">
        <f ca="1">IFERROR(__xludf.DUMMYFUNCTION("""COMPUTED_VALUE"""),"Logroño")</f>
        <v>Logroño</v>
      </c>
      <c r="H87" s="33" t="str">
        <f ca="1">IFERROR(__xludf.DUMMYFUNCTION("""COMPUTED_VALUE"""),"C202615112933324246")</f>
        <v>C202615112933324246</v>
      </c>
      <c r="I87" s="33" t="str">
        <f ca="1">IFERROR(__xludf.DUMMYFUNCTION("""COMPUTED_VALUE"""),"GREGORIO ANDRES MURILLO BARTOLOME")</f>
        <v>GREGORIO ANDRES MURILLO BARTOLOME</v>
      </c>
      <c r="J87" s="57">
        <f ca="1">IFERROR(__xludf.DUMMYFUNCTION("""COMPUTED_VALUE"""),46027)</f>
        <v>46027</v>
      </c>
      <c r="K87" s="33" t="str">
        <f ca="1">IFERROR(__xludf.DUMMYFUNCTION("""COMPUTED_VALUE"""),"Factura audífonos")</f>
        <v>Factura audífonos</v>
      </c>
      <c r="L87" s="57">
        <f ca="1">IFERROR(__xludf.DUMMYFUNCTION("""COMPUTED_VALUE"""),46049)</f>
        <v>46049</v>
      </c>
      <c r="M87" s="33" t="str">
        <f ca="1">IFERROR(__xludf.DUMMYFUNCTION("""COMPUTED_VALUE"""),"NO")</f>
        <v>NO</v>
      </c>
      <c r="N87" s="56">
        <f ca="1">IFERROR(__xludf.DUMMYFUNCTION("""COMPUTED_VALUE"""),2)</f>
        <v>2</v>
      </c>
      <c r="O87" s="33" t="str">
        <f ca="1">IFERROR(__xludf.DUMMYFUNCTION("""COMPUTED_VALUE"""),"QUIET")</f>
        <v>QUIET</v>
      </c>
      <c r="P87" s="60">
        <f ca="1">IFERROR(__xludf.DUMMYFUNCTION("""COMPUTED_VALUE"""),2582.27)</f>
        <v>2582.27</v>
      </c>
      <c r="Q87" s="33" t="str">
        <f ca="1">IFERROR(__xludf.DUMMYFUNCTION("""COMPUTED_VALUE"""),"Lisandro Russian")</f>
        <v>Lisandro Russian</v>
      </c>
      <c r="R87" s="60" t="str">
        <f ca="1">IFERROR(__xludf.DUMMYFUNCTION("""COMPUTED_VALUE"""),"Garikoitz Calzada Uriondo")</f>
        <v>Garikoitz Calzada Uriondo</v>
      </c>
      <c r="S87" s="61" t="str">
        <f ca="1">IFERROR(__xludf.DUMMYFUNCTION("""COMPUTED_VALUE"""),"03 ORL")</f>
        <v>03 ORL</v>
      </c>
      <c r="T87" s="33" t="str">
        <f ca="1">IFERROR(__xludf.DUMMYFUNCTION("""COMPUTED_VALUE"""),"06 ORL")</f>
        <v>06 ORL</v>
      </c>
      <c r="U87" s="62"/>
      <c r="W87" s="62"/>
      <c r="X87" s="62"/>
      <c r="AG87" s="60"/>
      <c r="AJ87" s="60"/>
    </row>
    <row r="88" spans="1:36" ht="16">
      <c r="A88" s="33"/>
      <c r="B88" s="55" t="str">
        <f t="shared" ca="1" si="0"/>
        <v>ISL</v>
      </c>
      <c r="C88" s="64" t="str">
        <f ca="1">IFERROR(__xludf.DUMMYFUNCTION("""COMPUTED_VALUE"""),"ISL104")</f>
        <v>ISL104</v>
      </c>
      <c r="D88" s="33" t="str">
        <f ca="1">IFERROR(__xludf.DUMMYFUNCTION("""COMPUTED_VALUE"""),"PROPIOS")</f>
        <v>PROPIOS</v>
      </c>
      <c r="E88" s="33">
        <f ca="1">IFERROR(__xludf.DUMMYFUNCTION("""COMPUTED_VALUE"""),2026)</f>
        <v>2026</v>
      </c>
      <c r="F88" s="56">
        <f ca="1">IFERROR(__xludf.DUMMYFUNCTION("""COMPUTED_VALUE"""),1)</f>
        <v>1</v>
      </c>
      <c r="G88" s="33" t="str">
        <f ca="1">IFERROR(__xludf.DUMMYFUNCTION("""COMPUTED_VALUE"""),"El Albir (Benidorm)")</f>
        <v>El Albir (Benidorm)</v>
      </c>
      <c r="H88" s="33" t="str">
        <f ca="1">IFERROR(__xludf.DUMMYFUNCTION("""COMPUTED_VALUE"""),"C20261785351356795")</f>
        <v>C20261785351356795</v>
      </c>
      <c r="I88" s="33" t="str">
        <f ca="1">IFERROR(__xludf.DUMMYFUNCTION("""COMPUTED_VALUE"""),"FRANCISCO  DOMINGUEZ DONADO")</f>
        <v>FRANCISCO  DOMINGUEZ DONADO</v>
      </c>
      <c r="J88" s="57">
        <f ca="1">IFERROR(__xludf.DUMMYFUNCTION("""COMPUTED_VALUE"""),46029)</f>
        <v>46029</v>
      </c>
      <c r="K88" s="33" t="str">
        <f ca="1">IFERROR(__xludf.DUMMYFUNCTION("""COMPUTED_VALUE"""),"Factura audífonos")</f>
        <v>Factura audífonos</v>
      </c>
      <c r="L88" s="57">
        <f ca="1">IFERROR(__xludf.DUMMYFUNCTION("""COMPUTED_VALUE"""),46049)</f>
        <v>46049</v>
      </c>
      <c r="M88" s="33" t="str">
        <f ca="1">IFERROR(__xludf.DUMMYFUNCTION("""COMPUTED_VALUE"""),"NO")</f>
        <v>NO</v>
      </c>
      <c r="N88" s="56">
        <f ca="1">IFERROR(__xludf.DUMMYFUNCTION("""COMPUTED_VALUE"""),2)</f>
        <v>2</v>
      </c>
      <c r="O88" s="33" t="str">
        <f ca="1">IFERROR(__xludf.DUMMYFUNCTION("""COMPUTED_VALUE"""),"CONFORT")</f>
        <v>CONFORT</v>
      </c>
      <c r="P88" s="59">
        <f ca="1">IFERROR(__xludf.DUMMYFUNCTION("""COMPUTED_VALUE"""),3631.81)</f>
        <v>3631.81</v>
      </c>
      <c r="Q88" s="33" t="str">
        <f ca="1">IFERROR(__xludf.DUMMYFUNCTION("""COMPUTED_VALUE"""),"Ramon Ferrando")</f>
        <v>Ramon Ferrando</v>
      </c>
      <c r="R88" s="60" t="str">
        <f ca="1">IFERROR(__xludf.DUMMYFUNCTION("""COMPUTED_VALUE"""),"Isabel Polo Tomás")</f>
        <v>Isabel Polo Tomás</v>
      </c>
      <c r="S88" s="61" t="str">
        <f ca="1">IFERROR(__xludf.DUMMYFUNCTION("""COMPUTED_VALUE"""),"03 ORL")</f>
        <v>03 ORL</v>
      </c>
      <c r="T88" s="33" t="str">
        <f ca="1">IFERROR(__xludf.DUMMYFUNCTION("""COMPUTED_VALUE"""),"06 ORL")</f>
        <v>06 ORL</v>
      </c>
      <c r="U88" s="62"/>
      <c r="W88" s="62"/>
      <c r="X88" s="62"/>
      <c r="AG88" s="59"/>
    </row>
    <row r="89" spans="1:36" ht="16">
      <c r="A89" s="33"/>
      <c r="B89" s="55" t="str">
        <f t="shared" ca="1" si="0"/>
        <v>ISL</v>
      </c>
      <c r="C89" s="64" t="str">
        <f ca="1">IFERROR(__xludf.DUMMYFUNCTION("""COMPUTED_VALUE"""),"ISL91")</f>
        <v>ISL91</v>
      </c>
      <c r="D89" s="33" t="str">
        <f ca="1">IFERROR(__xludf.DUMMYFUNCTION("""COMPUTED_VALUE"""),"PROPIOS")</f>
        <v>PROPIOS</v>
      </c>
      <c r="E89" s="33">
        <f ca="1">IFERROR(__xludf.DUMMYFUNCTION("""COMPUTED_VALUE"""),2026)</f>
        <v>2026</v>
      </c>
      <c r="F89" s="56">
        <f ca="1">IFERROR(__xludf.DUMMYFUNCTION("""COMPUTED_VALUE"""),1)</f>
        <v>1</v>
      </c>
      <c r="G89" s="33" t="str">
        <f ca="1">IFERROR(__xludf.DUMMYFUNCTION("""COMPUTED_VALUE"""),"Murcia")</f>
        <v>Murcia</v>
      </c>
      <c r="H89" s="33" t="str">
        <f ca="1">IFERROR(__xludf.DUMMYFUNCTION("""COMPUTED_VALUE"""),"C202512191124560708")</f>
        <v>C202512191124560708</v>
      </c>
      <c r="I89" s="33" t="str">
        <f ca="1">IFERROR(__xludf.DUMMYFUNCTION("""COMPUTED_VALUE"""),"RAMON  ANDREU ANDREU")</f>
        <v>RAMON  ANDREU ANDREU</v>
      </c>
      <c r="J89" s="57">
        <f ca="1">IFERROR(__xludf.DUMMYFUNCTION("""COMPUTED_VALUE"""),46010)</f>
        <v>46010</v>
      </c>
      <c r="K89" s="33" t="str">
        <f ca="1">IFERROR(__xludf.DUMMYFUNCTION("""COMPUTED_VALUE"""),"Factura audífonos")</f>
        <v>Factura audífonos</v>
      </c>
      <c r="L89" s="57">
        <f ca="1">IFERROR(__xludf.DUMMYFUNCTION("""COMPUTED_VALUE"""),46049)</f>
        <v>46049</v>
      </c>
      <c r="M89" s="33" t="str">
        <f ca="1">IFERROR(__xludf.DUMMYFUNCTION("""COMPUTED_VALUE"""),"NO")</f>
        <v>NO</v>
      </c>
      <c r="N89" s="56">
        <f ca="1">IFERROR(__xludf.DUMMYFUNCTION("""COMPUTED_VALUE"""),2)</f>
        <v>2</v>
      </c>
      <c r="O89" s="33" t="str">
        <f ca="1">IFERROR(__xludf.DUMMYFUNCTION("""COMPUTED_VALUE"""),"QUIET")</f>
        <v>QUIET</v>
      </c>
      <c r="P89" s="60">
        <f ca="1">IFERROR(__xludf.DUMMYFUNCTION("""COMPUTED_VALUE"""),2718.18)</f>
        <v>2718.18</v>
      </c>
      <c r="Q89" s="33" t="str">
        <f ca="1">IFERROR(__xludf.DUMMYFUNCTION("""COMPUTED_VALUE"""),"Iván Sánchez")</f>
        <v>Iván Sánchez</v>
      </c>
      <c r="R89" s="60" t="str">
        <f ca="1">IFERROR(__xludf.DUMMYFUNCTION("""COMPUTED_VALUE"""),"Alejandra Jara Maquilón")</f>
        <v>Alejandra Jara Maquilón</v>
      </c>
      <c r="S89" s="61" t="str">
        <f ca="1">IFERROR(__xludf.DUMMYFUNCTION("""COMPUTED_VALUE"""),"03 ORL")</f>
        <v>03 ORL</v>
      </c>
      <c r="T89" s="33" t="str">
        <f ca="1">IFERROR(__xludf.DUMMYFUNCTION("""COMPUTED_VALUE"""),"06 ORL")</f>
        <v>06 ORL</v>
      </c>
      <c r="U89" s="62"/>
      <c r="W89" s="62"/>
      <c r="X89" s="62"/>
      <c r="AG89" s="60"/>
    </row>
    <row r="90" spans="1:36" ht="16">
      <c r="A90" s="33"/>
      <c r="B90" s="55" t="str">
        <f t="shared" ca="1" si="0"/>
        <v>MCC</v>
      </c>
      <c r="C90" s="64" t="str">
        <f ca="1">IFERROR(__xludf.DUMMYFUNCTION("""COMPUTED_VALUE"""),"MCC10")</f>
        <v>MCC10</v>
      </c>
      <c r="D90" s="33" t="str">
        <f ca="1">IFERROR(__xludf.DUMMYFUNCTION("""COMPUTED_VALUE"""),"PARTICIPADOS")</f>
        <v>PARTICIPADOS</v>
      </c>
      <c r="E90" s="33">
        <f ca="1">IFERROR(__xludf.DUMMYFUNCTION("""COMPUTED_VALUE"""),2026)</f>
        <v>2026</v>
      </c>
      <c r="F90" s="56">
        <f ca="1">IFERROR(__xludf.DUMMYFUNCTION("""COMPUTED_VALUE"""),1)</f>
        <v>1</v>
      </c>
      <c r="G90" s="33" t="str">
        <f ca="1">IFERROR(__xludf.DUMMYFUNCTION("""COMPUTED_VALUE"""),"Barcelona- Córcega")</f>
        <v>Barcelona- Córcega</v>
      </c>
      <c r="H90" s="33" t="str">
        <f ca="1">IFERROR(__xludf.DUMMYFUNCTION("""COMPUTED_VALUE"""),"C202511141556043637")</f>
        <v>C202511141556043637</v>
      </c>
      <c r="I90" s="33" t="str">
        <f ca="1">IFERROR(__xludf.DUMMYFUNCTION("""COMPUTED_VALUE"""),"MANEL ALCAIDE VILLANUEVA")</f>
        <v>MANEL ALCAIDE VILLANUEVA</v>
      </c>
      <c r="J90" s="57">
        <f ca="1">IFERROR(__xludf.DUMMYFUNCTION("""COMPUTED_VALUE"""),45975)</f>
        <v>45975</v>
      </c>
      <c r="K90" s="33" t="str">
        <f ca="1">IFERROR(__xludf.DUMMYFUNCTION("""COMPUTED_VALUE"""),"Factura audífonos")</f>
        <v>Factura audífonos</v>
      </c>
      <c r="L90" s="57">
        <f ca="1">IFERROR(__xludf.DUMMYFUNCTION("""COMPUTED_VALUE"""),46049)</f>
        <v>46049</v>
      </c>
      <c r="M90" s="33" t="str">
        <f ca="1">IFERROR(__xludf.DUMMYFUNCTION("""COMPUTED_VALUE"""),"NO")</f>
        <v>NO</v>
      </c>
      <c r="N90" s="56">
        <f ca="1">IFERROR(__xludf.DUMMYFUNCTION("""COMPUTED_VALUE"""),2)</f>
        <v>2</v>
      </c>
      <c r="O90" s="33" t="str">
        <f ca="1">IFERROR(__xludf.DUMMYFUNCTION("""COMPUTED_VALUE"""),"PRO")</f>
        <v>PRO</v>
      </c>
      <c r="P90" s="60">
        <f ca="1">IFERROR(__xludf.DUMMYFUNCTION("""COMPUTED_VALUE"""),4536.37)</f>
        <v>4536.37</v>
      </c>
      <c r="Q90" s="33" t="str">
        <f ca="1">IFERROR(__xludf.DUMMYFUNCTION("""COMPUTED_VALUE"""),"Mercè Cabrera")</f>
        <v>Mercè Cabrera</v>
      </c>
      <c r="R90" s="60" t="str">
        <f ca="1">IFERROR(__xludf.DUMMYFUNCTION("""COMPUTED_VALUE"""),"Enrique Romero Van Abeleen")</f>
        <v>Enrique Romero Van Abeleen</v>
      </c>
      <c r="S90" s="61" t="str">
        <f ca="1">IFERROR(__xludf.DUMMYFUNCTION("""COMPUTED_VALUE"""),"03 ORL")</f>
        <v>03 ORL</v>
      </c>
      <c r="T90" s="33" t="str">
        <f ca="1">IFERROR(__xludf.DUMMYFUNCTION("""COMPUTED_VALUE"""),"06 ORL")</f>
        <v>06 ORL</v>
      </c>
      <c r="U90" s="62"/>
      <c r="W90" s="62"/>
      <c r="X90" s="62"/>
      <c r="AG90" s="60"/>
      <c r="AJ90" s="60"/>
    </row>
    <row r="91" spans="1:36" ht="16">
      <c r="A91" s="33"/>
      <c r="B91" s="55" t="str">
        <f t="shared" ca="1" si="0"/>
        <v>MBM</v>
      </c>
      <c r="C91" s="64" t="str">
        <f ca="1">IFERROR(__xludf.DUMMYFUNCTION("""COMPUTED_VALUE"""),"MBM132")</f>
        <v>MBM132</v>
      </c>
      <c r="D91" s="33" t="str">
        <f ca="1">IFERROR(__xludf.DUMMYFUNCTION("""COMPUTED_VALUE"""),"PARTICIPADOS")</f>
        <v>PARTICIPADOS</v>
      </c>
      <c r="E91" s="33">
        <f ca="1">IFERROR(__xludf.DUMMYFUNCTION("""COMPUTED_VALUE"""),2026)</f>
        <v>2026</v>
      </c>
      <c r="F91" s="56">
        <f ca="1">IFERROR(__xludf.DUMMYFUNCTION("""COMPUTED_VALUE"""),1)</f>
        <v>1</v>
      </c>
      <c r="G91" s="33" t="str">
        <f ca="1">IFERROR(__xludf.DUMMYFUNCTION("""COMPUTED_VALUE"""),"Madrid- La Oca")</f>
        <v>Madrid- La Oca</v>
      </c>
      <c r="H91" s="33" t="str">
        <f ca="1">IFERROR(__xludf.DUMMYFUNCTION("""COMPUTED_VALUE"""),"C202511315038757150")</f>
        <v>C202511315038757150</v>
      </c>
      <c r="I91" s="33" t="str">
        <f ca="1">IFERROR(__xludf.DUMMYFUNCTION("""COMPUTED_VALUE"""),"NIEVES  ORDAS FIDALGO")</f>
        <v>NIEVES  ORDAS FIDALGO</v>
      </c>
      <c r="J91" s="57">
        <f ca="1">IFERROR(__xludf.DUMMYFUNCTION("""COMPUTED_VALUE"""),45964)</f>
        <v>45964</v>
      </c>
      <c r="K91" s="33" t="str">
        <f ca="1">IFERROR(__xludf.DUMMYFUNCTION("""COMPUTED_VALUE"""),"Factura audífonos")</f>
        <v>Factura audífonos</v>
      </c>
      <c r="L91" s="57">
        <f ca="1">IFERROR(__xludf.DUMMYFUNCTION("""COMPUTED_VALUE"""),46049)</f>
        <v>46049</v>
      </c>
      <c r="M91" s="33" t="str">
        <f ca="1">IFERROR(__xludf.DUMMYFUNCTION("""COMPUTED_VALUE"""),"NO")</f>
        <v>NO</v>
      </c>
      <c r="N91" s="56">
        <f ca="1">IFERROR(__xludf.DUMMYFUNCTION("""COMPUTED_VALUE"""),2)</f>
        <v>2</v>
      </c>
      <c r="O91" s="33" t="str">
        <f ca="1">IFERROR(__xludf.DUMMYFUNCTION("""COMPUTED_VALUE"""),"QUIET")</f>
        <v>QUIET</v>
      </c>
      <c r="P91" s="59">
        <f ca="1">IFERROR(__xludf.DUMMYFUNCTION("""COMPUTED_VALUE"""),2718.18)</f>
        <v>2718.18</v>
      </c>
      <c r="Q91" s="33" t="str">
        <f ca="1">IFERROR(__xludf.DUMMYFUNCTION("""COMPUTED_VALUE"""),"Maika Blázquez")</f>
        <v>Maika Blázquez</v>
      </c>
      <c r="R91" s="60" t="str">
        <f ca="1">IFERROR(__xludf.DUMMYFUNCTION("""COMPUTED_VALUE"""),"Laura Ruano De Pablo")</f>
        <v>Laura Ruano De Pablo</v>
      </c>
      <c r="S91" s="61" t="str">
        <f ca="1">IFERROR(__xludf.DUMMYFUNCTION("""COMPUTED_VALUE"""),"03 ORL")</f>
        <v>03 ORL</v>
      </c>
      <c r="T91" s="33" t="str">
        <f ca="1">IFERROR(__xludf.DUMMYFUNCTION("""COMPUTED_VALUE"""),"06 ORL")</f>
        <v>06 ORL</v>
      </c>
      <c r="U91" s="62"/>
      <c r="W91" s="62"/>
      <c r="X91" s="62"/>
      <c r="AG91" s="59"/>
    </row>
    <row r="92" spans="1:36" ht="16">
      <c r="A92" s="33"/>
      <c r="B92" s="55" t="str">
        <f t="shared" ca="1" si="0"/>
        <v>LRM</v>
      </c>
      <c r="C92" s="64" t="str">
        <f ca="1">IFERROR(__xludf.DUMMYFUNCTION("""COMPUTED_VALUE"""),"LRM13")</f>
        <v>LRM13</v>
      </c>
      <c r="D92" s="33" t="str">
        <f ca="1">IFERROR(__xludf.DUMMYFUNCTION("""COMPUTED_VALUE"""),"PARTICIPADOS")</f>
        <v>PARTICIPADOS</v>
      </c>
      <c r="E92" s="33">
        <f ca="1">IFERROR(__xludf.DUMMYFUNCTION("""COMPUTED_VALUE"""),2026)</f>
        <v>2026</v>
      </c>
      <c r="F92" s="56">
        <f ca="1">IFERROR(__xludf.DUMMYFUNCTION("""COMPUTED_VALUE"""),1)</f>
        <v>1</v>
      </c>
      <c r="G92" s="33" t="str">
        <f ca="1">IFERROR(__xludf.DUMMYFUNCTION("""COMPUTED_VALUE"""),"Madrid- Costa Rica")</f>
        <v>Madrid- Costa Rica</v>
      </c>
      <c r="H92" s="33" t="str">
        <f ca="1">IFERROR(__xludf.DUMMYFUNCTION("""COMPUTED_VALUE"""),"C202512512211094875")</f>
        <v>C202512512211094875</v>
      </c>
      <c r="I92" s="33" t="str">
        <f ca="1">IFERROR(__xludf.DUMMYFUNCTION("""COMPUTED_VALUE"""),"MICHELE CUNY")</f>
        <v>MICHELE CUNY</v>
      </c>
      <c r="J92" s="57">
        <f ca="1">IFERROR(__xludf.DUMMYFUNCTION("""COMPUTED_VALUE"""),45996)</f>
        <v>45996</v>
      </c>
      <c r="K92" s="33" t="str">
        <f ca="1">IFERROR(__xludf.DUMMYFUNCTION("""COMPUTED_VALUE"""),"Factura audífonos")</f>
        <v>Factura audífonos</v>
      </c>
      <c r="L92" s="57">
        <f ca="1">IFERROR(__xludf.DUMMYFUNCTION("""COMPUTED_VALUE"""),46049)</f>
        <v>46049</v>
      </c>
      <c r="M92" s="33" t="str">
        <f ca="1">IFERROR(__xludf.DUMMYFUNCTION("""COMPUTED_VALUE"""),"NO")</f>
        <v>NO</v>
      </c>
      <c r="N92" s="56">
        <f ca="1">IFERROR(__xludf.DUMMYFUNCTION("""COMPUTED_VALUE"""),2)</f>
        <v>2</v>
      </c>
      <c r="O92" s="33" t="str">
        <f ca="1">IFERROR(__xludf.DUMMYFUNCTION("""COMPUTED_VALUE"""),"QUIET")</f>
        <v>QUIET</v>
      </c>
      <c r="P92" s="59">
        <f ca="1">IFERROR(__xludf.DUMMYFUNCTION("""COMPUTED_VALUE"""),2718.18)</f>
        <v>2718.18</v>
      </c>
      <c r="Q92" s="33" t="str">
        <f ca="1">IFERROR(__xludf.DUMMYFUNCTION("""COMPUTED_VALUE"""),"Lisandro Russian")</f>
        <v>Lisandro Russian</v>
      </c>
      <c r="R92" s="60" t="str">
        <f ca="1">IFERROR(__xludf.DUMMYFUNCTION("""COMPUTED_VALUE"""),"Antonio Bueno Ríos")</f>
        <v>Antonio Bueno Ríos</v>
      </c>
      <c r="S92" s="61" t="str">
        <f ca="1">IFERROR(__xludf.DUMMYFUNCTION("""COMPUTED_VALUE"""),"03 ORL")</f>
        <v>03 ORL</v>
      </c>
      <c r="T92" s="33" t="str">
        <f ca="1">IFERROR(__xludf.DUMMYFUNCTION("""COMPUTED_VALUE"""),"06 ORL")</f>
        <v>06 ORL</v>
      </c>
      <c r="U92" s="62"/>
      <c r="W92" s="62"/>
      <c r="X92" s="62"/>
      <c r="AG92" s="60"/>
      <c r="AJ92" s="60"/>
    </row>
    <row r="93" spans="1:36" ht="16">
      <c r="A93" s="33"/>
      <c r="B93" s="55" t="str">
        <f t="shared" ca="1" si="0"/>
        <v>RPG</v>
      </c>
      <c r="C93" s="64" t="str">
        <f ca="1">IFERROR(__xludf.DUMMYFUNCTION("""COMPUTED_VALUE"""),"RPG51")</f>
        <v>RPG51</v>
      </c>
      <c r="D93" s="33" t="str">
        <f ca="1">IFERROR(__xludf.DUMMYFUNCTION("""COMPUTED_VALUE"""),"PARTICIPADOS")</f>
        <v>PARTICIPADOS</v>
      </c>
      <c r="E93" s="33">
        <f ca="1">IFERROR(__xludf.DUMMYFUNCTION("""COMPUTED_VALUE"""),2026)</f>
        <v>2026</v>
      </c>
      <c r="F93" s="56">
        <f ca="1">IFERROR(__xludf.DUMMYFUNCTION("""COMPUTED_VALUE"""),1)</f>
        <v>1</v>
      </c>
      <c r="G93" s="33" t="str">
        <f ca="1">IFERROR(__xludf.DUMMYFUNCTION("""COMPUTED_VALUE"""),"Ourense")</f>
        <v>Ourense</v>
      </c>
      <c r="H93" s="33" t="str">
        <f ca="1">IFERROR(__xludf.DUMMYFUNCTION("""COMPUTED_VALUE"""),"C202512111122089926")</f>
        <v>C202512111122089926</v>
      </c>
      <c r="I93" s="33" t="str">
        <f ca="1">IFERROR(__xludf.DUMMYFUNCTION("""COMPUTED_VALUE"""),"MARCELINO QUINTAS SUAREZ")</f>
        <v>MARCELINO QUINTAS SUAREZ</v>
      </c>
      <c r="J93" s="57">
        <f ca="1">IFERROR(__xludf.DUMMYFUNCTION("""COMPUTED_VALUE"""),46002)</f>
        <v>46002</v>
      </c>
      <c r="K93" s="33" t="str">
        <f ca="1">IFERROR(__xludf.DUMMYFUNCTION("""COMPUTED_VALUE"""),"Factura audífonos")</f>
        <v>Factura audífonos</v>
      </c>
      <c r="L93" s="57">
        <f ca="1">IFERROR(__xludf.DUMMYFUNCTION("""COMPUTED_VALUE"""),46049)</f>
        <v>46049</v>
      </c>
      <c r="M93" s="33" t="str">
        <f ca="1">IFERROR(__xludf.DUMMYFUNCTION("""COMPUTED_VALUE"""),"NO")</f>
        <v>NO</v>
      </c>
      <c r="N93" s="56">
        <f ca="1">IFERROR(__xludf.DUMMYFUNCTION("""COMPUTED_VALUE"""),1)</f>
        <v>1</v>
      </c>
      <c r="O93" s="33" t="str">
        <f ca="1">IFERROR(__xludf.DUMMYFUNCTION("""COMPUTED_VALUE"""),"CONFORT")</f>
        <v>CONFORT</v>
      </c>
      <c r="P93" s="60">
        <f ca="1">IFERROR(__xludf.DUMMYFUNCTION("""COMPUTED_VALUE"""),2180.91)</f>
        <v>2180.91</v>
      </c>
      <c r="Q93" s="33" t="str">
        <f ca="1">IFERROR(__xludf.DUMMYFUNCTION("""COMPUTED_VALUE"""),"Alberto Moreno")</f>
        <v>Alberto Moreno</v>
      </c>
      <c r="R93" s="60" t="str">
        <f ca="1">IFERROR(__xludf.DUMMYFUNCTION("""COMPUTED_VALUE"""),"María Rey Marcos")</f>
        <v>María Rey Marcos</v>
      </c>
      <c r="S93" s="61" t="str">
        <f ca="1">IFERROR(__xludf.DUMMYFUNCTION("""COMPUTED_VALUE"""),"03 ORL")</f>
        <v>03 ORL</v>
      </c>
      <c r="T93" s="33" t="str">
        <f ca="1">IFERROR(__xludf.DUMMYFUNCTION("""COMPUTED_VALUE"""),"06 ORL")</f>
        <v>06 ORL</v>
      </c>
      <c r="U93" s="62"/>
      <c r="W93" s="62"/>
      <c r="X93" s="62"/>
      <c r="AG93" s="60"/>
      <c r="AJ93" s="60"/>
    </row>
    <row r="94" spans="1:36" ht="16">
      <c r="A94" s="33"/>
      <c r="B94" s="55" t="str">
        <f t="shared" ca="1" si="0"/>
        <v>ISL</v>
      </c>
      <c r="C94" s="64" t="str">
        <f ca="1">IFERROR(__xludf.DUMMYFUNCTION("""COMPUTED_VALUE"""),"ISL94")</f>
        <v>ISL94</v>
      </c>
      <c r="D94" s="33" t="str">
        <f ca="1">IFERROR(__xludf.DUMMYFUNCTION("""COMPUTED_VALUE"""),"PROPIOS")</f>
        <v>PROPIOS</v>
      </c>
      <c r="E94" s="33">
        <f ca="1">IFERROR(__xludf.DUMMYFUNCTION("""COMPUTED_VALUE"""),2026)</f>
        <v>2026</v>
      </c>
      <c r="F94" s="56">
        <f ca="1">IFERROR(__xludf.DUMMYFUNCTION("""COMPUTED_VALUE"""),1)</f>
        <v>1</v>
      </c>
      <c r="G94" s="33" t="str">
        <f ca="1">IFERROR(__xludf.DUMMYFUNCTION("""COMPUTED_VALUE"""),"Murcia")</f>
        <v>Murcia</v>
      </c>
      <c r="H94" s="33" t="str">
        <f ca="1">IFERROR(__xludf.DUMMYFUNCTION("""COMPUTED_VALUE"""),"C202615105031143656")</f>
        <v>C202615105031143656</v>
      </c>
      <c r="I94" s="33" t="str">
        <f ca="1">IFERROR(__xludf.DUMMYFUNCTION("""COMPUTED_VALUE"""),"MARIA ANGELES HERNANDEZ VAZQUEZ")</f>
        <v>MARIA ANGELES HERNANDEZ VAZQUEZ</v>
      </c>
      <c r="J94" s="57">
        <f ca="1">IFERROR(__xludf.DUMMYFUNCTION("""COMPUTED_VALUE"""),46027)</f>
        <v>46027</v>
      </c>
      <c r="K94" s="33" t="str">
        <f ca="1">IFERROR(__xludf.DUMMYFUNCTION("""COMPUTED_VALUE"""),"Factura audífonos")</f>
        <v>Factura audífonos</v>
      </c>
      <c r="L94" s="57">
        <f ca="1">IFERROR(__xludf.DUMMYFUNCTION("""COMPUTED_VALUE"""),46049)</f>
        <v>46049</v>
      </c>
      <c r="M94" s="33" t="str">
        <f ca="1">IFERROR(__xludf.DUMMYFUNCTION("""COMPUTED_VALUE"""),"NO")</f>
        <v>NO</v>
      </c>
      <c r="N94" s="56">
        <f ca="1">IFERROR(__xludf.DUMMYFUNCTION("""COMPUTED_VALUE"""),2)</f>
        <v>2</v>
      </c>
      <c r="O94" s="33" t="str">
        <f ca="1">IFERROR(__xludf.DUMMYFUNCTION("""COMPUTED_VALUE"""),"QUIET")</f>
        <v>QUIET</v>
      </c>
      <c r="P94" s="59">
        <f ca="1">IFERROR(__xludf.DUMMYFUNCTION("""COMPUTED_VALUE"""),2718.18)</f>
        <v>2718.18</v>
      </c>
      <c r="Q94" s="33" t="str">
        <f ca="1">IFERROR(__xludf.DUMMYFUNCTION("""COMPUTED_VALUE"""),"Iván Sánchez")</f>
        <v>Iván Sánchez</v>
      </c>
      <c r="R94" s="60" t="str">
        <f ca="1">IFERROR(__xludf.DUMMYFUNCTION("""COMPUTED_VALUE"""),"Beatriz Rodríguez González Herrero")</f>
        <v>Beatriz Rodríguez González Herrero</v>
      </c>
      <c r="S94" s="61" t="str">
        <f ca="1">IFERROR(__xludf.DUMMYFUNCTION("""COMPUTED_VALUE"""),"03 ORL")</f>
        <v>03 ORL</v>
      </c>
      <c r="T94" s="33" t="str">
        <f ca="1">IFERROR(__xludf.DUMMYFUNCTION("""COMPUTED_VALUE"""),"06 ORL")</f>
        <v>06 ORL</v>
      </c>
      <c r="U94" s="62"/>
      <c r="W94" s="62"/>
      <c r="X94" s="62"/>
      <c r="AG94" s="60"/>
      <c r="AJ94" s="60"/>
    </row>
    <row r="95" spans="1:36" ht="16">
      <c r="A95" s="33"/>
      <c r="B95" s="55" t="str">
        <f t="shared" ca="1" si="0"/>
        <v>LAA</v>
      </c>
      <c r="C95" s="64" t="str">
        <f ca="1">IFERROR(__xludf.DUMMYFUNCTION("""COMPUTED_VALUE"""),"LAA78")</f>
        <v>LAA78</v>
      </c>
      <c r="D95" s="33" t="str">
        <f ca="1">IFERROR(__xludf.DUMMYFUNCTION("""COMPUTED_VALUE"""),"PROPIOS")</f>
        <v>PROPIOS</v>
      </c>
      <c r="E95" s="33">
        <f ca="1">IFERROR(__xludf.DUMMYFUNCTION("""COMPUTED_VALUE"""),2026)</f>
        <v>2026</v>
      </c>
      <c r="F95" s="56">
        <f ca="1">IFERROR(__xludf.DUMMYFUNCTION("""COMPUTED_VALUE"""),1)</f>
        <v>1</v>
      </c>
      <c r="G95" s="33" t="str">
        <f ca="1">IFERROR(__xludf.DUMMYFUNCTION("""COMPUTED_VALUE"""),"Jerez de la Frontera")</f>
        <v>Jerez de la Frontera</v>
      </c>
      <c r="H95" s="33" t="str">
        <f ca="1">IFERROR(__xludf.DUMMYFUNCTION("""COMPUTED_VALUE"""),"C202617145953074840")</f>
        <v>C202617145953074840</v>
      </c>
      <c r="I95" s="33" t="str">
        <f ca="1">IFERROR(__xludf.DUMMYFUNCTION("""COMPUTED_VALUE"""),"herminia CORDERO RODRIGUEZ")</f>
        <v>herminia CORDERO RODRIGUEZ</v>
      </c>
      <c r="J95" s="57">
        <f ca="1">IFERROR(__xludf.DUMMYFUNCTION("""COMPUTED_VALUE"""),46029)</f>
        <v>46029</v>
      </c>
      <c r="K95" s="33" t="str">
        <f ca="1">IFERROR(__xludf.DUMMYFUNCTION("""COMPUTED_VALUE"""),"Factura audífonos")</f>
        <v>Factura audífonos</v>
      </c>
      <c r="L95" s="57">
        <f ca="1">IFERROR(__xludf.DUMMYFUNCTION("""COMPUTED_VALUE"""),46050)</f>
        <v>46050</v>
      </c>
      <c r="M95" s="33" t="str">
        <f ca="1">IFERROR(__xludf.DUMMYFUNCTION("""COMPUTED_VALUE"""),"NO")</f>
        <v>NO</v>
      </c>
      <c r="N95" s="56">
        <f ca="1">IFERROR(__xludf.DUMMYFUNCTION("""COMPUTED_VALUE"""),2)</f>
        <v>2</v>
      </c>
      <c r="O95" s="33" t="str">
        <f ca="1">IFERROR(__xludf.DUMMYFUNCTION("""COMPUTED_VALUE"""),"QUIET")</f>
        <v>QUIET</v>
      </c>
      <c r="P95" s="60">
        <f ca="1">IFERROR(__xludf.DUMMYFUNCTION("""COMPUTED_VALUE"""),2718.18)</f>
        <v>2718.18</v>
      </c>
      <c r="Q95" s="33" t="str">
        <f ca="1">IFERROR(__xludf.DUMMYFUNCTION("""COMPUTED_VALUE"""),"Luis Alberto Rodríguez")</f>
        <v>Luis Alberto Rodríguez</v>
      </c>
      <c r="R95" s="60" t="str">
        <f ca="1">IFERROR(__xludf.DUMMYFUNCTION("""COMPUTED_VALUE"""),"Maria Del Carmen Salom Coveñas")</f>
        <v>Maria Del Carmen Salom Coveñas</v>
      </c>
      <c r="S95" s="61" t="str">
        <f ca="1">IFERROR(__xludf.DUMMYFUNCTION("""COMPUTED_VALUE"""),"03 ORL")</f>
        <v>03 ORL</v>
      </c>
      <c r="T95" s="33" t="str">
        <f ca="1">IFERROR(__xludf.DUMMYFUNCTION("""COMPUTED_VALUE"""),"06 ORL")</f>
        <v>06 ORL</v>
      </c>
      <c r="U95" s="62"/>
      <c r="W95" s="62"/>
      <c r="X95" s="62"/>
      <c r="AG95" s="60"/>
    </row>
    <row r="96" spans="1:36" ht="16">
      <c r="A96" s="33"/>
      <c r="B96" s="55" t="str">
        <f t="shared" ca="1" si="0"/>
        <v>MBM</v>
      </c>
      <c r="C96" s="64" t="str">
        <f ca="1">IFERROR(__xludf.DUMMYFUNCTION("""COMPUTED_VALUE"""),"MBM39")</f>
        <v>MBM39</v>
      </c>
      <c r="D96" s="33" t="str">
        <f ca="1">IFERROR(__xludf.DUMMYFUNCTION("""COMPUTED_VALUE"""),"PROPIOS")</f>
        <v>PROPIOS</v>
      </c>
      <c r="E96" s="33">
        <f ca="1">IFERROR(__xludf.DUMMYFUNCTION("""COMPUTED_VALUE"""),2026)</f>
        <v>2026</v>
      </c>
      <c r="F96" s="56">
        <f ca="1">IFERROR(__xludf.DUMMYFUNCTION("""COMPUTED_VALUE"""),1)</f>
        <v>1</v>
      </c>
      <c r="G96" s="33" t="str">
        <f ca="1">IFERROR(__xludf.DUMMYFUNCTION("""COMPUTED_VALUE"""),"Jerez de la Frontera")</f>
        <v>Jerez de la Frontera</v>
      </c>
      <c r="H96" s="33" t="str">
        <f ca="1">IFERROR(__xludf.DUMMYFUNCTION("""COMPUTED_VALUE"""),"C202512261052210691")</f>
        <v>C202512261052210691</v>
      </c>
      <c r="I96" s="33" t="str">
        <f ca="1">IFERROR(__xludf.DUMMYFUNCTION("""COMPUTED_VALUE"""),"JOSE LUIS MESA RAMIREZ")</f>
        <v>JOSE LUIS MESA RAMIREZ</v>
      </c>
      <c r="J96" s="57">
        <f ca="1">IFERROR(__xludf.DUMMYFUNCTION("""COMPUTED_VALUE"""),46017)</f>
        <v>46017</v>
      </c>
      <c r="K96" s="33" t="str">
        <f ca="1">IFERROR(__xludf.DUMMYFUNCTION("""COMPUTED_VALUE"""),"Factura audífonos")</f>
        <v>Factura audífonos</v>
      </c>
      <c r="L96" s="57">
        <f ca="1">IFERROR(__xludf.DUMMYFUNCTION("""COMPUTED_VALUE"""),46050)</f>
        <v>46050</v>
      </c>
      <c r="M96" s="33" t="str">
        <f ca="1">IFERROR(__xludf.DUMMYFUNCTION("""COMPUTED_VALUE"""),"NO")</f>
        <v>NO</v>
      </c>
      <c r="N96" s="56">
        <f ca="1">IFERROR(__xludf.DUMMYFUNCTION("""COMPUTED_VALUE"""),2)</f>
        <v>2</v>
      </c>
      <c r="O96" s="33" t="str">
        <f ca="1">IFERROR(__xludf.DUMMYFUNCTION("""COMPUTED_VALUE"""),"PRO")</f>
        <v>PRO</v>
      </c>
      <c r="P96" s="60">
        <f ca="1">IFERROR(__xludf.DUMMYFUNCTION("""COMPUTED_VALUE"""),4536.36)</f>
        <v>4536.3599999999997</v>
      </c>
      <c r="Q96" s="33" t="str">
        <f ca="1">IFERROR(__xludf.DUMMYFUNCTION("""COMPUTED_VALUE"""),"Maika Blázquez")</f>
        <v>Maika Blázquez</v>
      </c>
      <c r="R96" s="60" t="str">
        <f ca="1">IFERROR(__xludf.DUMMYFUNCTION("""COMPUTED_VALUE"""),"Javier García Domínguez")</f>
        <v>Javier García Domínguez</v>
      </c>
      <c r="S96" s="61" t="str">
        <f ca="1">IFERROR(__xludf.DUMMYFUNCTION("""COMPUTED_VALUE"""),"03 ORL")</f>
        <v>03 ORL</v>
      </c>
      <c r="T96" s="33" t="str">
        <f ca="1">IFERROR(__xludf.DUMMYFUNCTION("""COMPUTED_VALUE"""),"06 ORL")</f>
        <v>06 ORL</v>
      </c>
      <c r="U96" s="62"/>
      <c r="W96" s="62"/>
      <c r="X96" s="62"/>
      <c r="AG96" s="60"/>
      <c r="AJ96" s="60"/>
    </row>
    <row r="97" spans="1:36" ht="16">
      <c r="A97" s="33"/>
      <c r="B97" s="55" t="str">
        <f t="shared" ca="1" si="0"/>
        <v>LRM</v>
      </c>
      <c r="C97" s="64" t="str">
        <f ca="1">IFERROR(__xludf.DUMMYFUNCTION("""COMPUTED_VALUE"""),"LRM268")</f>
        <v>LRM268</v>
      </c>
      <c r="D97" s="33" t="str">
        <f ca="1">IFERROR(__xludf.DUMMYFUNCTION("""COMPUTED_VALUE"""),"PROPIOS")</f>
        <v>PROPIOS</v>
      </c>
      <c r="E97" s="33">
        <f ca="1">IFERROR(__xludf.DUMMYFUNCTION("""COMPUTED_VALUE"""),2026)</f>
        <v>2026</v>
      </c>
      <c r="F97" s="56">
        <f ca="1">IFERROR(__xludf.DUMMYFUNCTION("""COMPUTED_VALUE"""),1)</f>
        <v>1</v>
      </c>
      <c r="G97" s="33" t="str">
        <f ca="1">IFERROR(__xludf.DUMMYFUNCTION("""COMPUTED_VALUE"""),"Toledo")</f>
        <v>Toledo</v>
      </c>
      <c r="H97" s="33" t="str">
        <f ca="1">IFERROR(__xludf.DUMMYFUNCTION("""COMPUTED_VALUE"""),"C202511411503852607")</f>
        <v>C202511411503852607</v>
      </c>
      <c r="I97" s="33" t="str">
        <f ca="1">IFERROR(__xludf.DUMMYFUNCTION("""COMPUTED_VALUE"""),"Pilar Rojas Sánchez")</f>
        <v>Pilar Rojas Sánchez</v>
      </c>
      <c r="J97" s="57">
        <f ca="1">IFERROR(__xludf.DUMMYFUNCTION("""COMPUTED_VALUE"""),45965)</f>
        <v>45965</v>
      </c>
      <c r="K97" s="33" t="str">
        <f ca="1">IFERROR(__xludf.DUMMYFUNCTION("""COMPUTED_VALUE"""),"Factura audífonos")</f>
        <v>Factura audífonos</v>
      </c>
      <c r="L97" s="57">
        <f ca="1">IFERROR(__xludf.DUMMYFUNCTION("""COMPUTED_VALUE"""),46050)</f>
        <v>46050</v>
      </c>
      <c r="M97" s="33" t="str">
        <f ca="1">IFERROR(__xludf.DUMMYFUNCTION("""COMPUTED_VALUE"""),"NO")</f>
        <v>NO</v>
      </c>
      <c r="N97" s="56">
        <f ca="1">IFERROR(__xludf.DUMMYFUNCTION("""COMPUTED_VALUE"""),2)</f>
        <v>2</v>
      </c>
      <c r="O97" s="33" t="str">
        <f ca="1">IFERROR(__xludf.DUMMYFUNCTION("""COMPUTED_VALUE"""),"CONFORT")</f>
        <v>CONFORT</v>
      </c>
      <c r="P97" s="59">
        <f ca="1">IFERROR(__xludf.DUMMYFUNCTION("""COMPUTED_VALUE"""),3424.32)</f>
        <v>3424.32</v>
      </c>
      <c r="Q97" s="33" t="str">
        <f ca="1">IFERROR(__xludf.DUMMYFUNCTION("""COMPUTED_VALUE"""),"Lisandro Russian")</f>
        <v>Lisandro Russian</v>
      </c>
      <c r="R97" s="60" t="str">
        <f ca="1">IFERROR(__xludf.DUMMYFUNCTION("""COMPUTED_VALUE"""),"Mónica Rueda Vega")</f>
        <v>Mónica Rueda Vega</v>
      </c>
      <c r="S97" s="61" t="str">
        <f ca="1">IFERROR(__xludf.DUMMYFUNCTION("""COMPUTED_VALUE"""),"03 ORL")</f>
        <v>03 ORL</v>
      </c>
      <c r="T97" s="33" t="str">
        <f ca="1">IFERROR(__xludf.DUMMYFUNCTION("""COMPUTED_VALUE"""),"06 ORL")</f>
        <v>06 ORL</v>
      </c>
      <c r="U97" s="62"/>
      <c r="W97" s="62"/>
      <c r="X97" s="62"/>
      <c r="AG97" s="60"/>
      <c r="AJ97" s="60"/>
    </row>
    <row r="98" spans="1:36" ht="16">
      <c r="A98" s="33"/>
      <c r="B98" s="55" t="str">
        <f t="shared" ca="1" si="0"/>
        <v>RFV</v>
      </c>
      <c r="C98" s="64" t="str">
        <f ca="1">IFERROR(__xludf.DUMMYFUNCTION("""COMPUTED_VALUE"""),"RFV01")</f>
        <v>RFV01</v>
      </c>
      <c r="D98" s="33" t="str">
        <f ca="1">IFERROR(__xludf.DUMMYFUNCTION("""COMPUTED_VALUE"""),"PROPIOS")</f>
        <v>PROPIOS</v>
      </c>
      <c r="E98" s="33">
        <f ca="1">IFERROR(__xludf.DUMMYFUNCTION("""COMPUTED_VALUE"""),2026)</f>
        <v>2026</v>
      </c>
      <c r="F98" s="56">
        <f ca="1">IFERROR(__xludf.DUMMYFUNCTION("""COMPUTED_VALUE"""),1)</f>
        <v>1</v>
      </c>
      <c r="G98" s="33" t="str">
        <f ca="1">IFERROR(__xludf.DUMMYFUNCTION("""COMPUTED_VALUE"""),"Almería")</f>
        <v>Almería</v>
      </c>
      <c r="H98" s="33" t="str">
        <f ca="1">IFERROR(__xludf.DUMMYFUNCTION("""COMPUTED_VALUE"""),"C202512101036657690")</f>
        <v>C202512101036657690</v>
      </c>
      <c r="I98" s="33" t="str">
        <f ca="1">IFERROR(__xludf.DUMMYFUNCTION("""COMPUTED_VALUE"""),"EMILIA MARTINEZ MARTINEZ")</f>
        <v>EMILIA MARTINEZ MARTINEZ</v>
      </c>
      <c r="J98" s="57">
        <f ca="1">IFERROR(__xludf.DUMMYFUNCTION("""COMPUTED_VALUE"""),46001)</f>
        <v>46001</v>
      </c>
      <c r="K98" s="33" t="str">
        <f ca="1">IFERROR(__xludf.DUMMYFUNCTION("""COMPUTED_VALUE"""),"Factura audífonos")</f>
        <v>Factura audífonos</v>
      </c>
      <c r="L98" s="57">
        <f ca="1">IFERROR(__xludf.DUMMYFUNCTION("""COMPUTED_VALUE"""),46050)</f>
        <v>46050</v>
      </c>
      <c r="M98" s="33" t="str">
        <f ca="1">IFERROR(__xludf.DUMMYFUNCTION("""COMPUTED_VALUE"""),"NO")</f>
        <v>NO</v>
      </c>
      <c r="N98" s="56">
        <f ca="1">IFERROR(__xludf.DUMMYFUNCTION("""COMPUTED_VALUE"""),2)</f>
        <v>2</v>
      </c>
      <c r="O98" s="33" t="str">
        <f ca="1">IFERROR(__xludf.DUMMYFUNCTION("""COMPUTED_VALUE"""),"ADVANCED")</f>
        <v>ADVANCED</v>
      </c>
      <c r="P98" s="60">
        <f ca="1">IFERROR(__xludf.DUMMYFUNCTION("""COMPUTED_VALUE"""),4136.36)</f>
        <v>4136.3599999999997</v>
      </c>
      <c r="Q98" s="33" t="str">
        <f ca="1">IFERROR(__xludf.DUMMYFUNCTION("""COMPUTED_VALUE"""),"Ramon Ferrando")</f>
        <v>Ramon Ferrando</v>
      </c>
      <c r="R98" s="60" t="str">
        <f ca="1">IFERROR(__xludf.DUMMYFUNCTION("""COMPUTED_VALUE"""),"Antonio José Fernández Pérez")</f>
        <v>Antonio José Fernández Pérez</v>
      </c>
      <c r="S98" s="61" t="str">
        <f ca="1">IFERROR(__xludf.DUMMYFUNCTION("""COMPUTED_VALUE"""),"03 ORL")</f>
        <v>03 ORL</v>
      </c>
      <c r="T98" s="33" t="str">
        <f ca="1">IFERROR(__xludf.DUMMYFUNCTION("""COMPUTED_VALUE"""),"06 ORL")</f>
        <v>06 ORL</v>
      </c>
      <c r="U98" s="62"/>
      <c r="W98" s="62"/>
      <c r="X98" s="62"/>
      <c r="AG98" s="60"/>
      <c r="AJ98" s="60"/>
    </row>
    <row r="99" spans="1:36" ht="16">
      <c r="A99" s="33"/>
      <c r="B99" s="55" t="str">
        <f t="shared" ca="1" si="0"/>
        <v>MBM</v>
      </c>
      <c r="C99" s="64" t="str">
        <f ca="1">IFERROR(__xludf.DUMMYFUNCTION("""COMPUTED_VALUE"""),"MBM109")</f>
        <v>MBM109</v>
      </c>
      <c r="D99" s="33" t="str">
        <f ca="1">IFERROR(__xludf.DUMMYFUNCTION("""COMPUTED_VALUE"""),"PROPIOS")</f>
        <v>PROPIOS</v>
      </c>
      <c r="E99" s="33">
        <f ca="1">IFERROR(__xludf.DUMMYFUNCTION("""COMPUTED_VALUE"""),2026)</f>
        <v>2026</v>
      </c>
      <c r="F99" s="56">
        <f ca="1">IFERROR(__xludf.DUMMYFUNCTION("""COMPUTED_VALUE"""),1)</f>
        <v>1</v>
      </c>
      <c r="G99" s="33" t="str">
        <f ca="1">IFERROR(__xludf.DUMMYFUNCTION("""COMPUTED_VALUE"""),"Leganés")</f>
        <v>Leganés</v>
      </c>
      <c r="H99" s="33" t="str">
        <f ca="1">IFERROR(__xludf.DUMMYFUNCTION("""COMPUTED_VALUE"""),"C202512101653481730")</f>
        <v>C202512101653481730</v>
      </c>
      <c r="I99" s="33" t="str">
        <f ca="1">IFERROR(__xludf.DUMMYFUNCTION("""COMPUTED_VALUE"""),"ALMUDENA ARROGANTE AHIJADO")</f>
        <v>ALMUDENA ARROGANTE AHIJADO</v>
      </c>
      <c r="J99" s="57">
        <f ca="1">IFERROR(__xludf.DUMMYFUNCTION("""COMPUTED_VALUE"""),46001)</f>
        <v>46001</v>
      </c>
      <c r="K99" s="33" t="str">
        <f ca="1">IFERROR(__xludf.DUMMYFUNCTION("""COMPUTED_VALUE"""),"Factura audífonos")</f>
        <v>Factura audífonos</v>
      </c>
      <c r="L99" s="57">
        <f ca="1">IFERROR(__xludf.DUMMYFUNCTION("""COMPUTED_VALUE"""),46050)</f>
        <v>46050</v>
      </c>
      <c r="M99" s="33" t="str">
        <f ca="1">IFERROR(__xludf.DUMMYFUNCTION("""COMPUTED_VALUE"""),"NO")</f>
        <v>NO</v>
      </c>
      <c r="N99" s="56">
        <f ca="1">IFERROR(__xludf.DUMMYFUNCTION("""COMPUTED_VALUE"""),1)</f>
        <v>1</v>
      </c>
      <c r="O99" s="33" t="str">
        <f ca="1">IFERROR(__xludf.DUMMYFUNCTION("""COMPUTED_VALUE"""),"CONFORT")</f>
        <v>CONFORT</v>
      </c>
      <c r="P99" s="59">
        <f ca="1">IFERROR(__xludf.DUMMYFUNCTION("""COMPUTED_VALUE"""),2071.82)</f>
        <v>2071.8200000000002</v>
      </c>
      <c r="Q99" s="33" t="str">
        <f ca="1">IFERROR(__xludf.DUMMYFUNCTION("""COMPUTED_VALUE"""),"Maika Blázquez")</f>
        <v>Maika Blázquez</v>
      </c>
      <c r="R99" s="60" t="str">
        <f ca="1">IFERROR(__xludf.DUMMYFUNCTION("""COMPUTED_VALUE"""),"Desirée Méndez Brenderbache")</f>
        <v>Desirée Méndez Brenderbache</v>
      </c>
      <c r="S99" s="61" t="str">
        <f ca="1">IFERROR(__xludf.DUMMYFUNCTION("""COMPUTED_VALUE"""),"03 ORL")</f>
        <v>03 ORL</v>
      </c>
      <c r="T99" s="33" t="str">
        <f ca="1">IFERROR(__xludf.DUMMYFUNCTION("""COMPUTED_VALUE"""),"06 ORL")</f>
        <v>06 ORL</v>
      </c>
      <c r="U99" s="62"/>
      <c r="W99" s="62"/>
      <c r="X99" s="62"/>
      <c r="AG99" s="59"/>
      <c r="AJ99" s="60"/>
    </row>
    <row r="100" spans="1:36" ht="16">
      <c r="A100" s="33"/>
      <c r="B100" s="55" t="str">
        <f t="shared" ca="1" si="0"/>
        <v>MBM</v>
      </c>
      <c r="C100" s="64" t="str">
        <f ca="1">IFERROR(__xludf.DUMMYFUNCTION("""COMPUTED_VALUE"""),"MBM156")</f>
        <v>MBM156</v>
      </c>
      <c r="D100" s="33" t="str">
        <f ca="1">IFERROR(__xludf.DUMMYFUNCTION("""COMPUTED_VALUE"""),"PROPIOS")</f>
        <v>PROPIOS</v>
      </c>
      <c r="E100" s="33">
        <f ca="1">IFERROR(__xludf.DUMMYFUNCTION("""COMPUTED_VALUE"""),2026)</f>
        <v>2026</v>
      </c>
      <c r="F100" s="56">
        <f ca="1">IFERROR(__xludf.DUMMYFUNCTION("""COMPUTED_VALUE"""),1)</f>
        <v>1</v>
      </c>
      <c r="G100" s="33" t="str">
        <f ca="1">IFERROR(__xludf.DUMMYFUNCTION("""COMPUTED_VALUE"""),"Getafe")</f>
        <v>Getafe</v>
      </c>
      <c r="H100" s="33" t="str">
        <f ca="1">IFERROR(__xludf.DUMMYFUNCTION("""COMPUTED_VALUE"""),"C2025410161942769")</f>
        <v>C2025410161942769</v>
      </c>
      <c r="I100" s="33" t="str">
        <f ca="1">IFERROR(__xludf.DUMMYFUNCTION("""COMPUTED_VALUE"""),"ISABEL YAÑEZ YAÑEZ")</f>
        <v>ISABEL YAÑEZ YAÑEZ</v>
      </c>
      <c r="J100" s="57">
        <f ca="1">IFERROR(__xludf.DUMMYFUNCTION("""COMPUTED_VALUE"""),45757)</f>
        <v>45757</v>
      </c>
      <c r="K100" s="33" t="str">
        <f ca="1">IFERROR(__xludf.DUMMYFUNCTION("""COMPUTED_VALUE"""),"Factura audífonos")</f>
        <v>Factura audífonos</v>
      </c>
      <c r="L100" s="57">
        <f ca="1">IFERROR(__xludf.DUMMYFUNCTION("""COMPUTED_VALUE"""),46050)</f>
        <v>46050</v>
      </c>
      <c r="M100" s="33" t="str">
        <f ca="1">IFERROR(__xludf.DUMMYFUNCTION("""COMPUTED_VALUE"""),"NO")</f>
        <v>NO</v>
      </c>
      <c r="N100" s="56">
        <f ca="1">IFERROR(__xludf.DUMMYFUNCTION("""COMPUTED_VALUE"""),2)</f>
        <v>2</v>
      </c>
      <c r="O100" s="33" t="str">
        <f ca="1">IFERROR(__xludf.DUMMYFUNCTION("""COMPUTED_VALUE"""),"CONFORT")</f>
        <v>CONFORT</v>
      </c>
      <c r="P100" s="59">
        <f ca="1">IFERROR(__xludf.DUMMYFUNCTION("""COMPUTED_VALUE"""),3631.82)</f>
        <v>3631.82</v>
      </c>
      <c r="Q100" s="33" t="str">
        <f ca="1">IFERROR(__xludf.DUMMYFUNCTION("""COMPUTED_VALUE"""),"Maika Blázquez")</f>
        <v>Maika Blázquez</v>
      </c>
      <c r="R100" s="60" t="str">
        <f ca="1">IFERROR(__xludf.DUMMYFUNCTION("""COMPUTED_VALUE"""),"Marta Colmenero Ruiz")</f>
        <v>Marta Colmenero Ruiz</v>
      </c>
      <c r="S100" s="61" t="str">
        <f ca="1">IFERROR(__xludf.DUMMYFUNCTION("""COMPUTED_VALUE"""),"03 ORL")</f>
        <v>03 ORL</v>
      </c>
      <c r="T100" s="33" t="str">
        <f ca="1">IFERROR(__xludf.DUMMYFUNCTION("""COMPUTED_VALUE"""),"06 ORL")</f>
        <v>06 ORL</v>
      </c>
      <c r="U100" s="62"/>
      <c r="W100" s="62"/>
      <c r="X100" s="62"/>
      <c r="AG100" s="60"/>
      <c r="AJ100" s="60"/>
    </row>
    <row r="101" spans="1:36" ht="16">
      <c r="A101" s="33"/>
      <c r="B101" s="55" t="str">
        <f t="shared" ca="1" si="0"/>
        <v>MBM</v>
      </c>
      <c r="C101" s="64" t="str">
        <f ca="1">IFERROR(__xludf.DUMMYFUNCTION("""COMPUTED_VALUE"""),"MBM21")</f>
        <v>MBM21</v>
      </c>
      <c r="D101" s="33" t="str">
        <f ca="1">IFERROR(__xludf.DUMMYFUNCTION("""COMPUTED_VALUE"""),"PARTICIPADOS")</f>
        <v>PARTICIPADOS</v>
      </c>
      <c r="E101" s="33">
        <f ca="1">IFERROR(__xludf.DUMMYFUNCTION("""COMPUTED_VALUE"""),2026)</f>
        <v>2026</v>
      </c>
      <c r="F101" s="56">
        <f ca="1">IFERROR(__xludf.DUMMYFUNCTION("""COMPUTED_VALUE"""),1)</f>
        <v>1</v>
      </c>
      <c r="G101" s="33" t="str">
        <f ca="1">IFERROR(__xludf.DUMMYFUNCTION("""COMPUTED_VALUE"""),"Madrid- La Oca")</f>
        <v>Madrid- La Oca</v>
      </c>
      <c r="H101" s="33" t="str">
        <f ca="1">IFERROR(__xludf.DUMMYFUNCTION("""COMPUTED_VALUE"""),"C202511251257139691")</f>
        <v>C202511251257139691</v>
      </c>
      <c r="I101" s="33" t="str">
        <f ca="1">IFERROR(__xludf.DUMMYFUNCTION("""COMPUTED_VALUE"""),"ROSA MARIA BELINCHON PARIS")</f>
        <v>ROSA MARIA BELINCHON PARIS</v>
      </c>
      <c r="J101" s="57">
        <f ca="1">IFERROR(__xludf.DUMMYFUNCTION("""COMPUTED_VALUE"""),45986)</f>
        <v>45986</v>
      </c>
      <c r="K101" s="33" t="str">
        <f ca="1">IFERROR(__xludf.DUMMYFUNCTION("""COMPUTED_VALUE"""),"Factura audífonos")</f>
        <v>Factura audífonos</v>
      </c>
      <c r="L101" s="57">
        <f ca="1">IFERROR(__xludf.DUMMYFUNCTION("""COMPUTED_VALUE"""),46050)</f>
        <v>46050</v>
      </c>
      <c r="M101" s="33" t="str">
        <f ca="1">IFERROR(__xludf.DUMMYFUNCTION("""COMPUTED_VALUE"""),"NO")</f>
        <v>NO</v>
      </c>
      <c r="N101" s="56">
        <f ca="1">IFERROR(__xludf.DUMMYFUNCTION("""COMPUTED_VALUE"""),2)</f>
        <v>2</v>
      </c>
      <c r="O101" s="33" t="str">
        <f ca="1">IFERROR(__xludf.DUMMYFUNCTION("""COMPUTED_VALUE"""),"CONFORT")</f>
        <v>CONFORT</v>
      </c>
      <c r="P101" s="59">
        <f ca="1">IFERROR(__xludf.DUMMYFUNCTION("""COMPUTED_VALUE"""),3631.82)</f>
        <v>3631.82</v>
      </c>
      <c r="Q101" s="33" t="str">
        <f ca="1">IFERROR(__xludf.DUMMYFUNCTION("""COMPUTED_VALUE"""),"Maika Blázquez")</f>
        <v>Maika Blázquez</v>
      </c>
      <c r="R101" s="60" t="str">
        <f ca="1">IFERROR(__xludf.DUMMYFUNCTION("""COMPUTED_VALUE"""),"Félix Rodríguez Paz")</f>
        <v>Félix Rodríguez Paz</v>
      </c>
      <c r="S101" s="61" t="str">
        <f ca="1">IFERROR(__xludf.DUMMYFUNCTION("""COMPUTED_VALUE"""),"03 ORL")</f>
        <v>03 ORL</v>
      </c>
      <c r="T101" s="33" t="str">
        <f ca="1">IFERROR(__xludf.DUMMYFUNCTION("""COMPUTED_VALUE"""),"06 ORL")</f>
        <v>06 ORL</v>
      </c>
      <c r="U101" s="62"/>
      <c r="W101" s="62"/>
      <c r="X101" s="62"/>
      <c r="AG101" s="59"/>
      <c r="AJ101" s="60"/>
    </row>
    <row r="102" spans="1:36" ht="16">
      <c r="A102" s="33"/>
      <c r="B102" s="55" t="str">
        <f t="shared" ca="1" si="0"/>
        <v>MBM</v>
      </c>
      <c r="C102" s="64" t="str">
        <f ca="1">IFERROR(__xludf.DUMMYFUNCTION("""COMPUTED_VALUE"""),"MBM46")</f>
        <v>MBM46</v>
      </c>
      <c r="D102" s="33" t="str">
        <f ca="1">IFERROR(__xludf.DUMMYFUNCTION("""COMPUTED_VALUE"""),"PROPIOS")</f>
        <v>PROPIOS</v>
      </c>
      <c r="E102" s="33">
        <f ca="1">IFERROR(__xludf.DUMMYFUNCTION("""COMPUTED_VALUE"""),2026)</f>
        <v>2026</v>
      </c>
      <c r="F102" s="56">
        <f ca="1">IFERROR(__xludf.DUMMYFUNCTION("""COMPUTED_VALUE"""),1)</f>
        <v>1</v>
      </c>
      <c r="G102" s="33" t="str">
        <f ca="1">IFERROR(__xludf.DUMMYFUNCTION("""COMPUTED_VALUE"""),"Getafe")</f>
        <v>Getafe</v>
      </c>
      <c r="H102" s="33" t="str">
        <f ca="1">IFERROR(__xludf.DUMMYFUNCTION("""COMPUTED_VALUE"""),"C202512171551118835")</f>
        <v>C202512171551118835</v>
      </c>
      <c r="I102" s="33" t="str">
        <f ca="1">IFERROR(__xludf.DUMMYFUNCTION("""COMPUTED_VALUE"""),"MARIA GEMA MARTIN JIMENEZ")</f>
        <v>MARIA GEMA MARTIN JIMENEZ</v>
      </c>
      <c r="J102" s="57">
        <f ca="1">IFERROR(__xludf.DUMMYFUNCTION("""COMPUTED_VALUE"""),46008)</f>
        <v>46008</v>
      </c>
      <c r="K102" s="33" t="str">
        <f ca="1">IFERROR(__xludf.DUMMYFUNCTION("""COMPUTED_VALUE"""),"Factura audífonos")</f>
        <v>Factura audífonos</v>
      </c>
      <c r="L102" s="57">
        <f ca="1">IFERROR(__xludf.DUMMYFUNCTION("""COMPUTED_VALUE"""),46050)</f>
        <v>46050</v>
      </c>
      <c r="M102" s="33" t="str">
        <f ca="1">IFERROR(__xludf.DUMMYFUNCTION("""COMPUTED_VALUE"""),"NO")</f>
        <v>NO</v>
      </c>
      <c r="N102" s="56">
        <f ca="1">IFERROR(__xludf.DUMMYFUNCTION("""COMPUTED_VALUE"""),2)</f>
        <v>2</v>
      </c>
      <c r="O102" s="33" t="str">
        <f ca="1">IFERROR(__xludf.DUMMYFUNCTION("""COMPUTED_VALUE"""),"ADVANCED")</f>
        <v>ADVANCED</v>
      </c>
      <c r="P102" s="60">
        <f ca="1">IFERROR(__xludf.DUMMYFUNCTION("""COMPUTED_VALUE"""),4136.36)</f>
        <v>4136.3599999999997</v>
      </c>
      <c r="Q102" s="33" t="str">
        <f ca="1">IFERROR(__xludf.DUMMYFUNCTION("""COMPUTED_VALUE"""),"Maika Blázquez")</f>
        <v>Maika Blázquez</v>
      </c>
      <c r="R102" s="60" t="str">
        <f ca="1">IFERROR(__xludf.DUMMYFUNCTION("""COMPUTED_VALUE"""),"Jonathan Esteban Sánchez")</f>
        <v>Jonathan Esteban Sánchez</v>
      </c>
      <c r="S102" s="61" t="str">
        <f ca="1">IFERROR(__xludf.DUMMYFUNCTION("""COMPUTED_VALUE"""),"03 ORL")</f>
        <v>03 ORL</v>
      </c>
      <c r="T102" s="33" t="str">
        <f ca="1">IFERROR(__xludf.DUMMYFUNCTION("""COMPUTED_VALUE"""),"06 ORL")</f>
        <v>06 ORL</v>
      </c>
      <c r="U102" s="62"/>
      <c r="W102" s="62"/>
      <c r="X102" s="62"/>
      <c r="AG102" s="60"/>
      <c r="AJ102" s="60"/>
    </row>
    <row r="103" spans="1:36" ht="16">
      <c r="A103" s="33"/>
      <c r="B103" s="55" t="str">
        <f t="shared" si="0"/>
        <v/>
      </c>
      <c r="C103" s="64"/>
      <c r="D103" s="33" t="str">
        <f ca="1">IFERROR(__xludf.DUMMYFUNCTION("""COMPUTED_VALUE"""),"ASOCIADOS")</f>
        <v>ASOCIADOS</v>
      </c>
      <c r="E103" s="33">
        <f ca="1">IFERROR(__xludf.DUMMYFUNCTION("""COMPUTED_VALUE"""),2026)</f>
        <v>2026</v>
      </c>
      <c r="F103" s="56">
        <f ca="1">IFERROR(__xludf.DUMMYFUNCTION("""COMPUTED_VALUE"""),1)</f>
        <v>1</v>
      </c>
      <c r="G103" s="33" t="str">
        <f ca="1">IFERROR(__xludf.DUMMYFUNCTION("""COMPUTED_VALUE"""),"Sevilla- Ciencias")</f>
        <v>Sevilla- Ciencias</v>
      </c>
      <c r="H103" s="33" t="str">
        <f ca="1">IFERROR(__xludf.DUMMYFUNCTION("""COMPUTED_VALUE"""),"C202512151727496906")</f>
        <v>C202512151727496906</v>
      </c>
      <c r="I103" s="33" t="str">
        <f ca="1">IFERROR(__xludf.DUMMYFUNCTION("""COMPUTED_VALUE"""),"JESICA DE LOS SANTOS MARTINEZ")</f>
        <v>JESICA DE LOS SANTOS MARTINEZ</v>
      </c>
      <c r="J103" s="57">
        <f ca="1">IFERROR(__xludf.DUMMYFUNCTION("""COMPUTED_VALUE"""),46006)</f>
        <v>46006</v>
      </c>
      <c r="K103" s="33" t="str">
        <f ca="1">IFERROR(__xludf.DUMMYFUNCTION("""COMPUTED_VALUE"""),"Factura audífonos")</f>
        <v>Factura audífonos</v>
      </c>
      <c r="L103" s="57">
        <f ca="1">IFERROR(__xludf.DUMMYFUNCTION("""COMPUTED_VALUE"""),46050)</f>
        <v>46050</v>
      </c>
      <c r="M103" s="33" t="str">
        <f ca="1">IFERROR(__xludf.DUMMYFUNCTION("""COMPUTED_VALUE"""),"NO")</f>
        <v>NO</v>
      </c>
      <c r="N103" s="56">
        <f ca="1">IFERROR(__xludf.DUMMYFUNCTION("""COMPUTED_VALUE"""),2)</f>
        <v>2</v>
      </c>
      <c r="O103" s="33" t="str">
        <f ca="1">IFERROR(__xludf.DUMMYFUNCTION("""COMPUTED_VALUE"""),"CONFORT")</f>
        <v>CONFORT</v>
      </c>
      <c r="P103" s="60">
        <f ca="1">IFERROR(__xludf.DUMMYFUNCTION("""COMPUTED_VALUE"""),3730)</f>
        <v>3730</v>
      </c>
      <c r="Q103" s="33" t="str">
        <f ca="1">IFERROR(__xludf.DUMMYFUNCTION("""COMPUTED_VALUE"""),"Luis Alberto Rodríguez")</f>
        <v>Luis Alberto Rodríguez</v>
      </c>
      <c r="R103" s="60" t="str">
        <f ca="1">IFERROR(__xludf.DUMMYFUNCTION("""COMPUTED_VALUE"""),"No recuerda ORL")</f>
        <v>No recuerda ORL</v>
      </c>
      <c r="S103" s="61" t="str">
        <f ca="1">IFERROR(__xludf.DUMMYFUNCTION("""COMPUTED_VALUE"""),"03 ORL")</f>
        <v>03 ORL</v>
      </c>
      <c r="T103" s="33" t="str">
        <f ca="1">IFERROR(__xludf.DUMMYFUNCTION("""COMPUTED_VALUE"""),"06 ORL")</f>
        <v>06 ORL</v>
      </c>
      <c r="U103" s="62"/>
      <c r="W103" s="62"/>
      <c r="X103" s="62"/>
      <c r="AG103" s="60"/>
      <c r="AJ103" s="60"/>
    </row>
    <row r="104" spans="1:36" ht="16">
      <c r="A104" s="33"/>
      <c r="B104" s="55" t="str">
        <f t="shared" ca="1" si="0"/>
        <v>LRM</v>
      </c>
      <c r="C104" s="64" t="str">
        <f ca="1">IFERROR(__xludf.DUMMYFUNCTION("""COMPUTED_VALUE"""),"LRM222")</f>
        <v>LRM222</v>
      </c>
      <c r="D104" s="33" t="str">
        <f ca="1">IFERROR(__xludf.DUMMYFUNCTION("""COMPUTED_VALUE"""),"PROPIOS")</f>
        <v>PROPIOS</v>
      </c>
      <c r="E104" s="33">
        <f ca="1">IFERROR(__xludf.DUMMYFUNCTION("""COMPUTED_VALUE"""),2026)</f>
        <v>2026</v>
      </c>
      <c r="F104" s="56">
        <f ca="1">IFERROR(__xludf.DUMMYFUNCTION("""COMPUTED_VALUE"""),1)</f>
        <v>1</v>
      </c>
      <c r="G104" s="33" t="str">
        <f ca="1">IFERROR(__xludf.DUMMYFUNCTION("""COMPUTED_VALUE"""),"Leganés")</f>
        <v>Leganés</v>
      </c>
      <c r="H104" s="33" t="str">
        <f ca="1">IFERROR(__xludf.DUMMYFUNCTION("""COMPUTED_VALUE"""),"C202512151018164852")</f>
        <v>C202512151018164852</v>
      </c>
      <c r="I104" s="33" t="str">
        <f ca="1">IFERROR(__xludf.DUMMYFUNCTION("""COMPUTED_VALUE"""),"LAURA JARA GONZALEZ")</f>
        <v>LAURA JARA GONZALEZ</v>
      </c>
      <c r="J104" s="57">
        <f ca="1">IFERROR(__xludf.DUMMYFUNCTION("""COMPUTED_VALUE"""),46006)</f>
        <v>46006</v>
      </c>
      <c r="K104" s="33" t="str">
        <f ca="1">IFERROR(__xludf.DUMMYFUNCTION("""COMPUTED_VALUE"""),"Factura audífonos")</f>
        <v>Factura audífonos</v>
      </c>
      <c r="L104" s="57">
        <f ca="1">IFERROR(__xludf.DUMMYFUNCTION("""COMPUTED_VALUE"""),46050)</f>
        <v>46050</v>
      </c>
      <c r="M104" s="33" t="str">
        <f ca="1">IFERROR(__xludf.DUMMYFUNCTION("""COMPUTED_VALUE"""),"NO")</f>
        <v>NO</v>
      </c>
      <c r="N104" s="56">
        <f ca="1">IFERROR(__xludf.DUMMYFUNCTION("""COMPUTED_VALUE"""),2)</f>
        <v>2</v>
      </c>
      <c r="O104" s="33" t="str">
        <f ca="1">IFERROR(__xludf.DUMMYFUNCTION("""COMPUTED_VALUE"""),"CONFORT")</f>
        <v>CONFORT</v>
      </c>
      <c r="P104" s="59">
        <f ca="1">IFERROR(__xludf.DUMMYFUNCTION("""COMPUTED_VALUE"""),3631.82)</f>
        <v>3631.82</v>
      </c>
      <c r="Q104" s="33" t="str">
        <f ca="1">IFERROR(__xludf.DUMMYFUNCTION("""COMPUTED_VALUE"""),"Maika Blázquez")</f>
        <v>Maika Blázquez</v>
      </c>
      <c r="R104" s="60" t="str">
        <f ca="1">IFERROR(__xludf.DUMMYFUNCTION("""COMPUTED_VALUE"""),"Nuria Arnaiz Canora")</f>
        <v>Nuria Arnaiz Canora</v>
      </c>
      <c r="S104" s="61" t="str">
        <f ca="1">IFERROR(__xludf.DUMMYFUNCTION("""COMPUTED_VALUE"""),"03 ORL")</f>
        <v>03 ORL</v>
      </c>
      <c r="T104" s="33" t="str">
        <f ca="1">IFERROR(__xludf.DUMMYFUNCTION("""COMPUTED_VALUE"""),"06 ORL")</f>
        <v>06 ORL</v>
      </c>
      <c r="U104" s="62"/>
      <c r="W104" s="62"/>
      <c r="X104" s="62"/>
      <c r="AG104" s="59"/>
      <c r="AJ104" s="60"/>
    </row>
    <row r="105" spans="1:36" ht="16">
      <c r="A105" s="33"/>
      <c r="B105" s="55" t="str">
        <f t="shared" ca="1" si="0"/>
        <v>MBM</v>
      </c>
      <c r="C105" s="64" t="str">
        <f ca="1">IFERROR(__xludf.DUMMYFUNCTION("""COMPUTED_VALUE"""),"MBM186")</f>
        <v>MBM186</v>
      </c>
      <c r="D105" s="33" t="str">
        <f ca="1">IFERROR(__xludf.DUMMYFUNCTION("""COMPUTED_VALUE"""),"PROPIOS")</f>
        <v>PROPIOS</v>
      </c>
      <c r="E105" s="33">
        <f ca="1">IFERROR(__xludf.DUMMYFUNCTION("""COMPUTED_VALUE"""),2026)</f>
        <v>2026</v>
      </c>
      <c r="F105" s="56">
        <f ca="1">IFERROR(__xludf.DUMMYFUNCTION("""COMPUTED_VALUE"""),1)</f>
        <v>1</v>
      </c>
      <c r="G105" s="33" t="str">
        <f ca="1">IFERROR(__xludf.DUMMYFUNCTION("""COMPUTED_VALUE"""),"Torrejón de Ardoz")</f>
        <v>Torrejón de Ardoz</v>
      </c>
      <c r="H105" s="33" t="str">
        <f ca="1">IFERROR(__xludf.DUMMYFUNCTION("""COMPUTED_VALUE"""),"C202511191019522290")</f>
        <v>C202511191019522290</v>
      </c>
      <c r="I105" s="33" t="str">
        <f ca="1">IFERROR(__xludf.DUMMYFUNCTION("""COMPUTED_VALUE"""),"FELICIDAD MORENA GONZALEZ")</f>
        <v>FELICIDAD MORENA GONZALEZ</v>
      </c>
      <c r="J105" s="57">
        <f ca="1">IFERROR(__xludf.DUMMYFUNCTION("""COMPUTED_VALUE"""),45980)</f>
        <v>45980</v>
      </c>
      <c r="K105" s="33" t="str">
        <f ca="1">IFERROR(__xludf.DUMMYFUNCTION("""COMPUTED_VALUE"""),"Factura audífonos")</f>
        <v>Factura audífonos</v>
      </c>
      <c r="L105" s="57">
        <f ca="1">IFERROR(__xludf.DUMMYFUNCTION("""COMPUTED_VALUE"""),46051)</f>
        <v>46051</v>
      </c>
      <c r="M105" s="33" t="str">
        <f ca="1">IFERROR(__xludf.DUMMYFUNCTION("""COMPUTED_VALUE"""),"NO")</f>
        <v>NO</v>
      </c>
      <c r="N105" s="56">
        <f ca="1">IFERROR(__xludf.DUMMYFUNCTION("""COMPUTED_VALUE"""),2)</f>
        <v>2</v>
      </c>
      <c r="O105" s="33" t="str">
        <f ca="1">IFERROR(__xludf.DUMMYFUNCTION("""COMPUTED_VALUE"""),"QUIET")</f>
        <v>QUIET</v>
      </c>
      <c r="P105" s="59">
        <f ca="1">IFERROR(__xludf.DUMMYFUNCTION("""COMPUTED_VALUE"""),2718.18)</f>
        <v>2718.18</v>
      </c>
      <c r="Q105" s="33" t="str">
        <f ca="1">IFERROR(__xludf.DUMMYFUNCTION("""COMPUTED_VALUE"""),"Maika Blázquez")</f>
        <v>Maika Blázquez</v>
      </c>
      <c r="R105" s="60" t="str">
        <f ca="1">IFERROR(__xludf.DUMMYFUNCTION("""COMPUTED_VALUE"""),"Marta Abad Pascual")</f>
        <v>Marta Abad Pascual</v>
      </c>
      <c r="S105" s="61" t="str">
        <f ca="1">IFERROR(__xludf.DUMMYFUNCTION("""COMPUTED_VALUE"""),"03 ORL")</f>
        <v>03 ORL</v>
      </c>
      <c r="T105" s="33" t="str">
        <f ca="1">IFERROR(__xludf.DUMMYFUNCTION("""COMPUTED_VALUE"""),"06 ORL")</f>
        <v>06 ORL</v>
      </c>
      <c r="U105" s="62"/>
      <c r="W105" s="62"/>
      <c r="X105" s="62"/>
      <c r="AG105" s="59"/>
      <c r="AJ105" s="60"/>
    </row>
    <row r="106" spans="1:36" ht="16">
      <c r="A106" s="33"/>
      <c r="B106" s="55" t="str">
        <f t="shared" ca="1" si="0"/>
        <v>ISL</v>
      </c>
      <c r="C106" s="64" t="str">
        <f ca="1">IFERROR(__xludf.DUMMYFUNCTION("""COMPUTED_VALUE"""),"ISL99")</f>
        <v>ISL99</v>
      </c>
      <c r="D106" s="33" t="str">
        <f ca="1">IFERROR(__xludf.DUMMYFUNCTION("""COMPUTED_VALUE"""),"PROPIOS")</f>
        <v>PROPIOS</v>
      </c>
      <c r="E106" s="33">
        <f ca="1">IFERROR(__xludf.DUMMYFUNCTION("""COMPUTED_VALUE"""),2026)</f>
        <v>2026</v>
      </c>
      <c r="F106" s="56">
        <f ca="1">IFERROR(__xludf.DUMMYFUNCTION("""COMPUTED_VALUE"""),1)</f>
        <v>1</v>
      </c>
      <c r="G106" s="33" t="str">
        <f ca="1">IFERROR(__xludf.DUMMYFUNCTION("""COMPUTED_VALUE"""),"Alicante")</f>
        <v>Alicante</v>
      </c>
      <c r="H106" s="33" t="str">
        <f ca="1">IFERROR(__xludf.DUMMYFUNCTION("""COMPUTED_VALUE"""),"C202612113440763265")</f>
        <v>C202612113440763265</v>
      </c>
      <c r="I106" s="33" t="str">
        <f ca="1">IFERROR(__xludf.DUMMYFUNCTION("""COMPUTED_VALUE"""),"MAGDALENA MENDIETA ESTUDILLO")</f>
        <v>MAGDALENA MENDIETA ESTUDILLO</v>
      </c>
      <c r="J106" s="57">
        <f ca="1">IFERROR(__xludf.DUMMYFUNCTION("""COMPUTED_VALUE"""),46024)</f>
        <v>46024</v>
      </c>
      <c r="K106" s="33" t="str">
        <f ca="1">IFERROR(__xludf.DUMMYFUNCTION("""COMPUTED_VALUE"""),"Factura audífonos")</f>
        <v>Factura audífonos</v>
      </c>
      <c r="L106" s="57">
        <f ca="1">IFERROR(__xludf.DUMMYFUNCTION("""COMPUTED_VALUE"""),46051)</f>
        <v>46051</v>
      </c>
      <c r="M106" s="33" t="str">
        <f ca="1">IFERROR(__xludf.DUMMYFUNCTION("""COMPUTED_VALUE"""),"NO")</f>
        <v>NO</v>
      </c>
      <c r="N106" s="56">
        <f ca="1">IFERROR(__xludf.DUMMYFUNCTION("""COMPUTED_VALUE"""),2)</f>
        <v>2</v>
      </c>
      <c r="O106" s="33" t="str">
        <f ca="1">IFERROR(__xludf.DUMMYFUNCTION("""COMPUTED_VALUE"""),"QUIET")</f>
        <v>QUIET</v>
      </c>
      <c r="P106" s="59">
        <f ca="1">IFERROR(__xludf.DUMMYFUNCTION("""COMPUTED_VALUE"""),2582.27)</f>
        <v>2582.27</v>
      </c>
      <c r="Q106" s="33" t="str">
        <f ca="1">IFERROR(__xludf.DUMMYFUNCTION("""COMPUTED_VALUE"""),"Iván Sánchez")</f>
        <v>Iván Sánchez</v>
      </c>
      <c r="R106" s="60" t="str">
        <f ca="1">IFERROR(__xludf.DUMMYFUNCTION("""COMPUTED_VALUE"""),"Cristina Muñoz Pinto")</f>
        <v>Cristina Muñoz Pinto</v>
      </c>
      <c r="S106" s="61" t="str">
        <f ca="1">IFERROR(__xludf.DUMMYFUNCTION("""COMPUTED_VALUE"""),"03 ORL")</f>
        <v>03 ORL</v>
      </c>
      <c r="T106" s="33" t="str">
        <f ca="1">IFERROR(__xludf.DUMMYFUNCTION("""COMPUTED_VALUE"""),"06 ORL")</f>
        <v>06 ORL</v>
      </c>
      <c r="U106" s="62"/>
      <c r="W106" s="62"/>
      <c r="X106" s="62"/>
      <c r="AG106" s="59"/>
      <c r="AJ106" s="60"/>
    </row>
    <row r="107" spans="1:36" ht="16">
      <c r="A107" s="33"/>
      <c r="B107" s="55" t="str">
        <f t="shared" ca="1" si="0"/>
        <v>MBM</v>
      </c>
      <c r="C107" s="64" t="str">
        <f ca="1">IFERROR(__xludf.DUMMYFUNCTION("""COMPUTED_VALUE"""),"MBM01")</f>
        <v>MBM01</v>
      </c>
      <c r="D107" s="33" t="str">
        <f ca="1">IFERROR(__xludf.DUMMYFUNCTION("""COMPUTED_VALUE"""),"PROPIOS")</f>
        <v>PROPIOS</v>
      </c>
      <c r="E107" s="33">
        <f ca="1">IFERROR(__xludf.DUMMYFUNCTION("""COMPUTED_VALUE"""),2026)</f>
        <v>2026</v>
      </c>
      <c r="F107" s="56">
        <f ca="1">IFERROR(__xludf.DUMMYFUNCTION("""COMPUTED_VALUE"""),1)</f>
        <v>1</v>
      </c>
      <c r="G107" s="33" t="str">
        <f ca="1">IFERROR(__xludf.DUMMYFUNCTION("""COMPUTED_VALUE"""),"Alcorcón")</f>
        <v>Alcorcón</v>
      </c>
      <c r="H107" s="33" t="str">
        <f ca="1">IFERROR(__xludf.DUMMYFUNCTION("""COMPUTED_VALUE"""),"C202512221022206009")</f>
        <v>C202512221022206009</v>
      </c>
      <c r="I107" s="33" t="str">
        <f ca="1">IFERROR(__xludf.DUMMYFUNCTION("""COMPUTED_VALUE"""),"PATRICIA ESTEVEZ")</f>
        <v>PATRICIA ESTEVEZ</v>
      </c>
      <c r="J107" s="57">
        <f ca="1">IFERROR(__xludf.DUMMYFUNCTION("""COMPUTED_VALUE"""),46013)</f>
        <v>46013</v>
      </c>
      <c r="K107" s="33" t="str">
        <f ca="1">IFERROR(__xludf.DUMMYFUNCTION("""COMPUTED_VALUE"""),"Factura audífonos")</f>
        <v>Factura audífonos</v>
      </c>
      <c r="L107" s="57">
        <f ca="1">IFERROR(__xludf.DUMMYFUNCTION("""COMPUTED_VALUE"""),46051)</f>
        <v>46051</v>
      </c>
      <c r="M107" s="33" t="str">
        <f ca="1">IFERROR(__xludf.DUMMYFUNCTION("""COMPUTED_VALUE"""),"NO")</f>
        <v>NO</v>
      </c>
      <c r="N107" s="56">
        <f ca="1">IFERROR(__xludf.DUMMYFUNCTION("""COMPUTED_VALUE"""),2)</f>
        <v>2</v>
      </c>
      <c r="O107" s="33" t="str">
        <f ca="1">IFERROR(__xludf.DUMMYFUNCTION("""COMPUTED_VALUE"""),"QUIET")</f>
        <v>QUIET</v>
      </c>
      <c r="P107" s="59">
        <f ca="1">IFERROR(__xludf.DUMMYFUNCTION("""COMPUTED_VALUE"""),2582.27)</f>
        <v>2582.27</v>
      </c>
      <c r="Q107" s="33" t="str">
        <f ca="1">IFERROR(__xludf.DUMMYFUNCTION("""COMPUTED_VALUE"""),"Maika Blázquez")</f>
        <v>Maika Blázquez</v>
      </c>
      <c r="R107" s="60" t="str">
        <f ca="1">IFERROR(__xludf.DUMMYFUNCTION("""COMPUTED_VALUE"""),"Adolfo Toledano Muñoz")</f>
        <v>Adolfo Toledano Muñoz</v>
      </c>
      <c r="S107" s="61" t="str">
        <f ca="1">IFERROR(__xludf.DUMMYFUNCTION("""COMPUTED_VALUE"""),"03 ORL")</f>
        <v>03 ORL</v>
      </c>
      <c r="T107" s="33" t="str">
        <f ca="1">IFERROR(__xludf.DUMMYFUNCTION("""COMPUTED_VALUE"""),"06 ORL")</f>
        <v>06 ORL</v>
      </c>
      <c r="U107" s="62"/>
      <c r="W107" s="62"/>
      <c r="X107" s="62"/>
      <c r="AG107" s="60"/>
      <c r="AJ107" s="60"/>
    </row>
    <row r="108" spans="1:36" ht="16">
      <c r="A108" s="33"/>
      <c r="B108" s="55" t="str">
        <f t="shared" ca="1" si="0"/>
        <v>RPG</v>
      </c>
      <c r="C108" s="64" t="str">
        <f ca="1">IFERROR(__xludf.DUMMYFUNCTION("""COMPUTED_VALUE"""),"RPG51")</f>
        <v>RPG51</v>
      </c>
      <c r="D108" s="33" t="str">
        <f ca="1">IFERROR(__xludf.DUMMYFUNCTION("""COMPUTED_VALUE"""),"PARTICIPADOS")</f>
        <v>PARTICIPADOS</v>
      </c>
      <c r="E108" s="33">
        <f ca="1">IFERROR(__xludf.DUMMYFUNCTION("""COMPUTED_VALUE"""),2026)</f>
        <v>2026</v>
      </c>
      <c r="F108" s="56">
        <f ca="1">IFERROR(__xludf.DUMMYFUNCTION("""COMPUTED_VALUE"""),1)</f>
        <v>1</v>
      </c>
      <c r="G108" s="33" t="str">
        <f ca="1">IFERROR(__xludf.DUMMYFUNCTION("""COMPUTED_VALUE"""),"Ourense")</f>
        <v>Ourense</v>
      </c>
      <c r="H108" s="33" t="str">
        <f ca="1">IFERROR(__xludf.DUMMYFUNCTION("""COMPUTED_VALUE"""),"C202512910445271491")</f>
        <v>C202512910445271491</v>
      </c>
      <c r="I108" s="33" t="str">
        <f ca="1">IFERROR(__xludf.DUMMYFUNCTION("""COMPUTED_VALUE"""),"VICENTE RODRIGUEZ BLANCO")</f>
        <v>VICENTE RODRIGUEZ BLANCO</v>
      </c>
      <c r="J108" s="57">
        <f ca="1">IFERROR(__xludf.DUMMYFUNCTION("""COMPUTED_VALUE"""),46000)</f>
        <v>46000</v>
      </c>
      <c r="K108" s="33" t="str">
        <f ca="1">IFERROR(__xludf.DUMMYFUNCTION("""COMPUTED_VALUE"""),"Factura audífonos")</f>
        <v>Factura audífonos</v>
      </c>
      <c r="L108" s="57">
        <f ca="1">IFERROR(__xludf.DUMMYFUNCTION("""COMPUTED_VALUE"""),46051)</f>
        <v>46051</v>
      </c>
      <c r="M108" s="33" t="str">
        <f ca="1">IFERROR(__xludf.DUMMYFUNCTION("""COMPUTED_VALUE"""),"NO")</f>
        <v>NO</v>
      </c>
      <c r="N108" s="56">
        <f ca="1">IFERROR(__xludf.DUMMYFUNCTION("""COMPUTED_VALUE"""),1)</f>
        <v>1</v>
      </c>
      <c r="O108" s="33" t="str">
        <f ca="1">IFERROR(__xludf.DUMMYFUNCTION("""COMPUTED_VALUE"""),"CONFORT")</f>
        <v>CONFORT</v>
      </c>
      <c r="P108" s="59">
        <f ca="1">IFERROR(__xludf.DUMMYFUNCTION("""COMPUTED_VALUE"""),2180.91)</f>
        <v>2180.91</v>
      </c>
      <c r="Q108" s="33" t="str">
        <f ca="1">IFERROR(__xludf.DUMMYFUNCTION("""COMPUTED_VALUE"""),"Alberto Moreno")</f>
        <v>Alberto Moreno</v>
      </c>
      <c r="R108" s="60" t="str">
        <f ca="1">IFERROR(__xludf.DUMMYFUNCTION("""COMPUTED_VALUE"""),"María Rey Marcos")</f>
        <v>María Rey Marcos</v>
      </c>
      <c r="S108" s="61" t="str">
        <f ca="1">IFERROR(__xludf.DUMMYFUNCTION("""COMPUTED_VALUE"""),"03 ORL")</f>
        <v>03 ORL</v>
      </c>
      <c r="T108" s="33" t="str">
        <f ca="1">IFERROR(__xludf.DUMMYFUNCTION("""COMPUTED_VALUE"""),"06 ORL")</f>
        <v>06 ORL</v>
      </c>
      <c r="U108" s="62"/>
      <c r="W108" s="62"/>
      <c r="X108" s="62"/>
      <c r="AG108" s="60"/>
      <c r="AJ108" s="60"/>
    </row>
    <row r="109" spans="1:36" ht="16">
      <c r="A109" s="33"/>
      <c r="B109" s="55" t="str">
        <f t="shared" ca="1" si="0"/>
        <v>RFV</v>
      </c>
      <c r="C109" s="64" t="str">
        <f ca="1">IFERROR(__xludf.DUMMYFUNCTION("""COMPUTED_VALUE"""),"RFV38")</f>
        <v>RFV38</v>
      </c>
      <c r="D109" s="33" t="str">
        <f ca="1">IFERROR(__xludf.DUMMYFUNCTION("""COMPUTED_VALUE"""),"PROPIOS")</f>
        <v>PROPIOS</v>
      </c>
      <c r="E109" s="33">
        <f ca="1">IFERROR(__xludf.DUMMYFUNCTION("""COMPUTED_VALUE"""),2026)</f>
        <v>2026</v>
      </c>
      <c r="F109" s="56">
        <f ca="1">IFERROR(__xludf.DUMMYFUNCTION("""COMPUTED_VALUE"""),1)</f>
        <v>1</v>
      </c>
      <c r="G109" s="33" t="str">
        <f ca="1">IFERROR(__xludf.DUMMYFUNCTION("""COMPUTED_VALUE"""),"El Albir (Benidorm)")</f>
        <v>El Albir (Benidorm)</v>
      </c>
      <c r="H109" s="33" t="str">
        <f ca="1">IFERROR(__xludf.DUMMYFUNCTION("""COMPUTED_VALUE"""),"C202512161325384872")</f>
        <v>C202512161325384872</v>
      </c>
      <c r="I109" s="33" t="str">
        <f ca="1">IFERROR(__xludf.DUMMYFUNCTION("""COMPUTED_VALUE"""),"FERNANDO MARTINEZ  LUQUE")</f>
        <v>FERNANDO MARTINEZ  LUQUE</v>
      </c>
      <c r="J109" s="57">
        <f ca="1">IFERROR(__xludf.DUMMYFUNCTION("""COMPUTED_VALUE"""),46007)</f>
        <v>46007</v>
      </c>
      <c r="K109" s="33" t="str">
        <f ca="1">IFERROR(__xludf.DUMMYFUNCTION("""COMPUTED_VALUE"""),"Factura audífonos")</f>
        <v>Factura audífonos</v>
      </c>
      <c r="L109" s="57">
        <f ca="1">IFERROR(__xludf.DUMMYFUNCTION("""COMPUTED_VALUE"""),46051)</f>
        <v>46051</v>
      </c>
      <c r="M109" s="33" t="str">
        <f ca="1">IFERROR(__xludf.DUMMYFUNCTION("""COMPUTED_VALUE"""),"NO")</f>
        <v>NO</v>
      </c>
      <c r="N109" s="56">
        <f ca="1">IFERROR(__xludf.DUMMYFUNCTION("""COMPUTED_VALUE"""),2)</f>
        <v>2</v>
      </c>
      <c r="O109" s="33" t="str">
        <f ca="1">IFERROR(__xludf.DUMMYFUNCTION("""COMPUTED_VALUE"""),"CONFORT")</f>
        <v>CONFORT</v>
      </c>
      <c r="P109" s="59">
        <f ca="1">IFERROR(__xludf.DUMMYFUNCTION("""COMPUTED_VALUE"""),3313.64)</f>
        <v>3313.64</v>
      </c>
      <c r="Q109" s="33" t="str">
        <f ca="1">IFERROR(__xludf.DUMMYFUNCTION("""COMPUTED_VALUE"""),"Ramon Ferrando")</f>
        <v>Ramon Ferrando</v>
      </c>
      <c r="R109" s="60" t="str">
        <f ca="1">IFERROR(__xludf.DUMMYFUNCTION("""COMPUTED_VALUE"""),"María Emilia García Ruiz")</f>
        <v>María Emilia García Ruiz</v>
      </c>
      <c r="S109" s="61" t="str">
        <f ca="1">IFERROR(__xludf.DUMMYFUNCTION("""COMPUTED_VALUE"""),"03 ORL")</f>
        <v>03 ORL</v>
      </c>
      <c r="T109" s="33" t="str">
        <f ca="1">IFERROR(__xludf.DUMMYFUNCTION("""COMPUTED_VALUE"""),"06 ORL")</f>
        <v>06 ORL</v>
      </c>
      <c r="U109" s="62"/>
      <c r="W109" s="62"/>
      <c r="X109" s="62"/>
      <c r="AG109" s="59"/>
    </row>
    <row r="110" spans="1:36" ht="16">
      <c r="A110" s="33"/>
      <c r="B110" s="55" t="str">
        <f t="shared" ca="1" si="0"/>
        <v>LRM</v>
      </c>
      <c r="C110" s="64" t="str">
        <f ca="1">IFERROR(__xludf.DUMMYFUNCTION("""COMPUTED_VALUE"""),"LRM151")</f>
        <v>LRM151</v>
      </c>
      <c r="D110" s="33" t="str">
        <f ca="1">IFERROR(__xludf.DUMMYFUNCTION("""COMPUTED_VALUE"""),"PROPIOS")</f>
        <v>PROPIOS</v>
      </c>
      <c r="E110" s="33">
        <f ca="1">IFERROR(__xludf.DUMMYFUNCTION("""COMPUTED_VALUE"""),2026)</f>
        <v>2026</v>
      </c>
      <c r="F110" s="56">
        <f ca="1">IFERROR(__xludf.DUMMYFUNCTION("""COMPUTED_VALUE"""),1)</f>
        <v>1</v>
      </c>
      <c r="G110" s="33" t="str">
        <f ca="1">IFERROR(__xludf.DUMMYFUNCTION("""COMPUTED_VALUE"""),"Logroño")</f>
        <v>Logroño</v>
      </c>
      <c r="H110" s="33" t="str">
        <f ca="1">IFERROR(__xludf.DUMMYFUNCTION("""COMPUTED_VALUE"""),"C202511289525253331")</f>
        <v>C202511289525253331</v>
      </c>
      <c r="I110" s="33" t="str">
        <f ca="1">IFERROR(__xludf.DUMMYFUNCTION("""COMPUTED_VALUE"""),"ESTRELLA BURGOS IBAÑEZ")</f>
        <v>ESTRELLA BURGOS IBAÑEZ</v>
      </c>
      <c r="J110" s="57">
        <f ca="1">IFERROR(__xludf.DUMMYFUNCTION("""COMPUTED_VALUE"""),45989)</f>
        <v>45989</v>
      </c>
      <c r="K110" s="33" t="str">
        <f ca="1">IFERROR(__xludf.DUMMYFUNCTION("""COMPUTED_VALUE"""),"Factura audífonos")</f>
        <v>Factura audífonos</v>
      </c>
      <c r="L110" s="57">
        <f ca="1">IFERROR(__xludf.DUMMYFUNCTION("""COMPUTED_VALUE"""),46051)</f>
        <v>46051</v>
      </c>
      <c r="M110" s="33" t="str">
        <f ca="1">IFERROR(__xludf.DUMMYFUNCTION("""COMPUTED_VALUE"""),"NO")</f>
        <v>NO</v>
      </c>
      <c r="N110" s="56">
        <f ca="1">IFERROR(__xludf.DUMMYFUNCTION("""COMPUTED_VALUE"""),2)</f>
        <v>2</v>
      </c>
      <c r="O110" s="33" t="str">
        <f ca="1">IFERROR(__xludf.DUMMYFUNCTION("""COMPUTED_VALUE"""),"CONFORT")</f>
        <v>CONFORT</v>
      </c>
      <c r="P110" s="60">
        <f ca="1">IFERROR(__xludf.DUMMYFUNCTION("""COMPUTED_VALUE"""),3450.23)</f>
        <v>3450.23</v>
      </c>
      <c r="Q110" s="33" t="str">
        <f ca="1">IFERROR(__xludf.DUMMYFUNCTION("""COMPUTED_VALUE"""),"Lisandro Russian")</f>
        <v>Lisandro Russian</v>
      </c>
      <c r="R110" s="60" t="str">
        <f ca="1">IFERROR(__xludf.DUMMYFUNCTION("""COMPUTED_VALUE"""),"Cristina Ibañez Muñoz")</f>
        <v>Cristina Ibañez Muñoz</v>
      </c>
      <c r="S110" s="61" t="str">
        <f ca="1">IFERROR(__xludf.DUMMYFUNCTION("""COMPUTED_VALUE"""),"03 ORL")</f>
        <v>03 ORL</v>
      </c>
      <c r="T110" s="33" t="str">
        <f ca="1">IFERROR(__xludf.DUMMYFUNCTION("""COMPUTED_VALUE"""),"06 ORL")</f>
        <v>06 ORL</v>
      </c>
      <c r="U110" s="62"/>
      <c r="W110" s="62"/>
      <c r="X110" s="62"/>
      <c r="AG110" s="59"/>
      <c r="AJ110" s="60"/>
    </row>
    <row r="111" spans="1:36" ht="16">
      <c r="A111" s="33"/>
      <c r="B111" s="55" t="str">
        <f t="shared" si="0"/>
        <v/>
      </c>
      <c r="C111" s="64"/>
      <c r="D111" s="33" t="str">
        <f ca="1">IFERROR(__xludf.DUMMYFUNCTION("""COMPUTED_VALUE"""),"ASOCIADOS")</f>
        <v>ASOCIADOS</v>
      </c>
      <c r="E111" s="33">
        <f ca="1">IFERROR(__xludf.DUMMYFUNCTION("""COMPUTED_VALUE"""),2026)</f>
        <v>2026</v>
      </c>
      <c r="F111" s="56">
        <f ca="1">IFERROR(__xludf.DUMMYFUNCTION("""COMPUTED_VALUE"""),1)</f>
        <v>1</v>
      </c>
      <c r="G111" s="33" t="str">
        <f ca="1">IFERROR(__xludf.DUMMYFUNCTION("""COMPUTED_VALUE"""),"Ponferrada")</f>
        <v>Ponferrada</v>
      </c>
      <c r="H111" s="33" t="str">
        <f ca="1">IFERROR(__xludf.DUMMYFUNCTION("""COMPUTED_VALUE"""),"PON-886")</f>
        <v>PON-886</v>
      </c>
      <c r="I111" s="33" t="str">
        <f ca="1">IFERROR(__xludf.DUMMYFUNCTION("""COMPUTED_VALUE"""),"JOSE PUERTO MARQUES")</f>
        <v>JOSE PUERTO MARQUES</v>
      </c>
      <c r="J111" s="57">
        <f ca="1">IFERROR(__xludf.DUMMYFUNCTION("""COMPUTED_VALUE"""),45714)</f>
        <v>45714</v>
      </c>
      <c r="K111" s="33" t="str">
        <f ca="1">IFERROR(__xludf.DUMMYFUNCTION("""COMPUTED_VALUE"""),"Factura audífonos")</f>
        <v>Factura audífonos</v>
      </c>
      <c r="L111" s="57">
        <f ca="1">IFERROR(__xludf.DUMMYFUNCTION("""COMPUTED_VALUE"""),46051)</f>
        <v>46051</v>
      </c>
      <c r="M111" s="33" t="str">
        <f ca="1">IFERROR(__xludf.DUMMYFUNCTION("""COMPUTED_VALUE"""),"NO")</f>
        <v>NO</v>
      </c>
      <c r="N111" s="56">
        <f ca="1">IFERROR(__xludf.DUMMYFUNCTION("""COMPUTED_VALUE"""),2)</f>
        <v>2</v>
      </c>
      <c r="O111" s="33" t="str">
        <f ca="1">IFERROR(__xludf.DUMMYFUNCTION("""COMPUTED_VALUE"""),"QUIET")</f>
        <v>QUIET</v>
      </c>
      <c r="P111" s="60">
        <f ca="1">IFERROR(__xludf.DUMMYFUNCTION("""COMPUTED_VALUE"""),3545.45)</f>
        <v>3545.45</v>
      </c>
      <c r="Q111" s="33" t="str">
        <f ca="1">IFERROR(__xludf.DUMMYFUNCTION("""COMPUTED_VALUE"""),"Alberto Moreno")</f>
        <v>Alberto Moreno</v>
      </c>
      <c r="R111" s="60" t="str">
        <f ca="1">IFERROR(__xludf.DUMMYFUNCTION("""COMPUTED_VALUE"""),"No recuerda ORL")</f>
        <v>No recuerda ORL</v>
      </c>
      <c r="S111" s="61" t="str">
        <f ca="1">IFERROR(__xludf.DUMMYFUNCTION("""COMPUTED_VALUE"""),"03 ORL")</f>
        <v>03 ORL</v>
      </c>
      <c r="T111" s="33" t="str">
        <f ca="1">IFERROR(__xludf.DUMMYFUNCTION("""COMPUTED_VALUE"""),"06 ORL")</f>
        <v>06 ORL</v>
      </c>
      <c r="U111" s="62"/>
      <c r="W111" s="62"/>
      <c r="X111" s="62"/>
      <c r="AG111" s="60"/>
      <c r="AJ111" s="60"/>
    </row>
    <row r="112" spans="1:36" ht="16">
      <c r="A112" s="33"/>
      <c r="B112" s="55" t="str">
        <f t="shared" ca="1" si="0"/>
        <v>LRM</v>
      </c>
      <c r="C112" s="64" t="str">
        <f ca="1">IFERROR(__xludf.DUMMYFUNCTION("""COMPUTED_VALUE"""),"LRM39")</f>
        <v>LRM39</v>
      </c>
      <c r="D112" s="33" t="str">
        <f ca="1">IFERROR(__xludf.DUMMYFUNCTION("""COMPUTED_VALUE"""),"PROPIOS")</f>
        <v>PROPIOS</v>
      </c>
      <c r="E112" s="33">
        <f ca="1">IFERROR(__xludf.DUMMYFUNCTION("""COMPUTED_VALUE"""),2026)</f>
        <v>2026</v>
      </c>
      <c r="F112" s="56">
        <f ca="1">IFERROR(__xludf.DUMMYFUNCTION("""COMPUTED_VALUE"""),1)</f>
        <v>1</v>
      </c>
      <c r="G112" s="33" t="str">
        <f ca="1">IFERROR(__xludf.DUMMYFUNCTION("""COMPUTED_VALUE"""),"Logroño")</f>
        <v>Logroño</v>
      </c>
      <c r="H112" s="33" t="str">
        <f ca="1">IFERROR(__xludf.DUMMYFUNCTION("""COMPUTED_VALUE"""),"C202611511544719")</f>
        <v>C202611511544719</v>
      </c>
      <c r="I112" s="33" t="str">
        <f ca="1">IFERROR(__xludf.DUMMYFUNCTION("""COMPUTED_VALUE"""),"EMILIA DEL CARMEN IGLESIAS FERNANDEZ")</f>
        <v>EMILIA DEL CARMEN IGLESIAS FERNANDEZ</v>
      </c>
      <c r="J112" s="57">
        <f ca="1">IFERROR(__xludf.DUMMYFUNCTION("""COMPUTED_VALUE"""),46037)</f>
        <v>46037</v>
      </c>
      <c r="K112" s="33" t="str">
        <f ca="1">IFERROR(__xludf.DUMMYFUNCTION("""COMPUTED_VALUE"""),"Factura audífonos")</f>
        <v>Factura audífonos</v>
      </c>
      <c r="L112" s="57">
        <f ca="1">IFERROR(__xludf.DUMMYFUNCTION("""COMPUTED_VALUE"""),46052)</f>
        <v>46052</v>
      </c>
      <c r="M112" s="58" t="str">
        <f ca="1">IFERROR(__xludf.DUMMYFUNCTION("""COMPUTED_VALUE"""),"NO")</f>
        <v>NO</v>
      </c>
      <c r="N112" s="56">
        <f ca="1">IFERROR(__xludf.DUMMYFUNCTION("""COMPUTED_VALUE"""),2)</f>
        <v>2</v>
      </c>
      <c r="O112" s="33" t="str">
        <f ca="1">IFERROR(__xludf.DUMMYFUNCTION("""COMPUTED_VALUE"""),"QUIET")</f>
        <v>QUIET</v>
      </c>
      <c r="P112" s="60">
        <f ca="1">IFERROR(__xludf.DUMMYFUNCTION("""COMPUTED_VALUE"""),3631.82)</f>
        <v>3631.82</v>
      </c>
      <c r="Q112" s="33" t="str">
        <f ca="1">IFERROR(__xludf.DUMMYFUNCTION("""COMPUTED_VALUE"""),"Lisandro Russian")</f>
        <v>Lisandro Russian</v>
      </c>
      <c r="R112" s="60" t="str">
        <f ca="1">IFERROR(__xludf.DUMMYFUNCTION("""COMPUTED_VALUE"""),"Fernando Salazar Barcelona")</f>
        <v>Fernando Salazar Barcelona</v>
      </c>
      <c r="S112" s="61" t="str">
        <f ca="1">IFERROR(__xludf.DUMMYFUNCTION("""COMPUTED_VALUE"""),"03 ORL")</f>
        <v>03 ORL</v>
      </c>
      <c r="T112" s="33" t="str">
        <f ca="1">IFERROR(__xludf.DUMMYFUNCTION("""COMPUTED_VALUE"""),"06 ORL")</f>
        <v>06 ORL</v>
      </c>
      <c r="U112" s="62"/>
      <c r="W112" s="62"/>
      <c r="X112" s="62"/>
      <c r="AE112" s="1"/>
      <c r="AG112" s="59"/>
      <c r="AJ112" s="60"/>
    </row>
    <row r="113" spans="1:36" ht="16">
      <c r="A113" s="33"/>
      <c r="B113" s="55" t="str">
        <f t="shared" ca="1" si="0"/>
        <v>LRM</v>
      </c>
      <c r="C113" s="64" t="str">
        <f ca="1">IFERROR(__xludf.DUMMYFUNCTION("""COMPUTED_VALUE"""),"LRM249")</f>
        <v>LRM249</v>
      </c>
      <c r="D113" s="33" t="str">
        <f ca="1">IFERROR(__xludf.DUMMYFUNCTION("""COMPUTED_VALUE"""),"PROPIOS")</f>
        <v>PROPIOS</v>
      </c>
      <c r="E113" s="33">
        <f ca="1">IFERROR(__xludf.DUMMYFUNCTION("""COMPUTED_VALUE"""),2026)</f>
        <v>2026</v>
      </c>
      <c r="F113" s="56">
        <f ca="1">IFERROR(__xludf.DUMMYFUNCTION("""COMPUTED_VALUE"""),1)</f>
        <v>1</v>
      </c>
      <c r="G113" s="33" t="str">
        <f ca="1">IFERROR(__xludf.DUMMYFUNCTION("""COMPUTED_VALUE"""),"Logroño")</f>
        <v>Logroño</v>
      </c>
      <c r="H113" s="33" t="str">
        <f ca="1">IFERROR(__xludf.DUMMYFUNCTION("""COMPUTED_VALUE"""),"C2025916183327966")</f>
        <v>C2025916183327966</v>
      </c>
      <c r="I113" s="33" t="str">
        <f ca="1">IFERROR(__xludf.DUMMYFUNCTION("""COMPUTED_VALUE"""),"JULIAN MARTINEZ ALMENDARIZ")</f>
        <v>JULIAN MARTINEZ ALMENDARIZ</v>
      </c>
      <c r="J113" s="57">
        <f ca="1">IFERROR(__xludf.DUMMYFUNCTION("""COMPUTED_VALUE"""),45889)</f>
        <v>45889</v>
      </c>
      <c r="K113" s="33" t="str">
        <f ca="1">IFERROR(__xludf.DUMMYFUNCTION("""COMPUTED_VALUE"""),"Factura audífonos")</f>
        <v>Factura audífonos</v>
      </c>
      <c r="L113" s="57">
        <f ca="1">IFERROR(__xludf.DUMMYFUNCTION("""COMPUTED_VALUE"""),46052)</f>
        <v>46052</v>
      </c>
      <c r="M113" s="33" t="str">
        <f ca="1">IFERROR(__xludf.DUMMYFUNCTION("""COMPUTED_VALUE"""),"NO")</f>
        <v>NO</v>
      </c>
      <c r="N113" s="56">
        <f ca="1">IFERROR(__xludf.DUMMYFUNCTION("""COMPUTED_VALUE"""),2)</f>
        <v>2</v>
      </c>
      <c r="O113" s="33" t="str">
        <f ca="1">IFERROR(__xludf.DUMMYFUNCTION("""COMPUTED_VALUE"""),"CONFORT")</f>
        <v>CONFORT</v>
      </c>
      <c r="P113" s="60">
        <f ca="1">IFERROR(__xludf.DUMMYFUNCTION("""COMPUTED_VALUE"""),3631.82)</f>
        <v>3631.82</v>
      </c>
      <c r="Q113" s="33" t="str">
        <f ca="1">IFERROR(__xludf.DUMMYFUNCTION("""COMPUTED_VALUE"""),"Lisandro Russian")</f>
        <v>Lisandro Russian</v>
      </c>
      <c r="R113" s="60" t="str">
        <f ca="1">IFERROR(__xludf.DUMMYFUNCTION("""COMPUTED_VALUE"""),"Daniel Briones Crespo")</f>
        <v>Daniel Briones Crespo</v>
      </c>
      <c r="S113" s="61" t="str">
        <f ca="1">IFERROR(__xludf.DUMMYFUNCTION("""COMPUTED_VALUE"""),"03 ORL")</f>
        <v>03 ORL</v>
      </c>
      <c r="T113" s="33" t="str">
        <f ca="1">IFERROR(__xludf.DUMMYFUNCTION("""COMPUTED_VALUE"""),"06 ORL")</f>
        <v>06 ORL</v>
      </c>
      <c r="U113" s="62"/>
      <c r="W113" s="62"/>
      <c r="X113" s="62"/>
      <c r="AG113" s="60"/>
    </row>
    <row r="114" spans="1:36" ht="16">
      <c r="A114" s="33"/>
      <c r="B114" s="55" t="str">
        <f t="shared" ca="1" si="0"/>
        <v>MBM</v>
      </c>
      <c r="C114" s="64" t="str">
        <f ca="1">IFERROR(__xludf.DUMMYFUNCTION("""COMPUTED_VALUE"""),"MBM11")</f>
        <v>MBM11</v>
      </c>
      <c r="D114" s="33" t="str">
        <f ca="1">IFERROR(__xludf.DUMMYFUNCTION("""COMPUTED_VALUE"""),"PROPIOS")</f>
        <v>PROPIOS</v>
      </c>
      <c r="E114" s="33">
        <f ca="1">IFERROR(__xludf.DUMMYFUNCTION("""COMPUTED_VALUE"""),2026)</f>
        <v>2026</v>
      </c>
      <c r="F114" s="56">
        <f ca="1">IFERROR(__xludf.DUMMYFUNCTION("""COMPUTED_VALUE"""),1)</f>
        <v>1</v>
      </c>
      <c r="G114" s="33" t="str">
        <f ca="1">IFERROR(__xludf.DUMMYFUNCTION("""COMPUTED_VALUE"""),"Getafe")</f>
        <v>Getafe</v>
      </c>
      <c r="H114" s="33" t="str">
        <f ca="1">IFERROR(__xludf.DUMMYFUNCTION("""COMPUTED_VALUE"""),"C2025915112151818")</f>
        <v>C2025915112151818</v>
      </c>
      <c r="I114" s="33" t="str">
        <f ca="1">IFERROR(__xludf.DUMMYFUNCTION("""COMPUTED_VALUE"""),"PILAR GIMENEZ HERNANDEZ")</f>
        <v>PILAR GIMENEZ HERNANDEZ</v>
      </c>
      <c r="J114" s="57">
        <f ca="1">IFERROR(__xludf.DUMMYFUNCTION("""COMPUTED_VALUE"""),45908)</f>
        <v>45908</v>
      </c>
      <c r="K114" s="33" t="str">
        <f ca="1">IFERROR(__xludf.DUMMYFUNCTION("""COMPUTED_VALUE"""),"Factura audífonos")</f>
        <v>Factura audífonos</v>
      </c>
      <c r="L114" s="57">
        <f ca="1">IFERROR(__xludf.DUMMYFUNCTION("""COMPUTED_VALUE"""),46052)</f>
        <v>46052</v>
      </c>
      <c r="M114" s="33" t="str">
        <f ca="1">IFERROR(__xludf.DUMMYFUNCTION("""COMPUTED_VALUE"""),"NO")</f>
        <v>NO</v>
      </c>
      <c r="N114" s="56">
        <f ca="1">IFERROR(__xludf.DUMMYFUNCTION("""COMPUTED_VALUE"""),1)</f>
        <v>1</v>
      </c>
      <c r="O114" s="33" t="str">
        <f ca="1">IFERROR(__xludf.DUMMYFUNCTION("""COMPUTED_VALUE"""),"QUIET")</f>
        <v>QUIET</v>
      </c>
      <c r="P114" s="60">
        <f ca="1">IFERROR(__xludf.DUMMYFUNCTION("""COMPUTED_VALUE"""),1631.82)</f>
        <v>1631.82</v>
      </c>
      <c r="Q114" s="33" t="str">
        <f ca="1">IFERROR(__xludf.DUMMYFUNCTION("""COMPUTED_VALUE"""),"Maika Blázquez")</f>
        <v>Maika Blázquez</v>
      </c>
      <c r="R114" s="60" t="str">
        <f ca="1">IFERROR(__xludf.DUMMYFUNCTION("""COMPUTED_VALUE"""),"Antonio Rodríguez Rivero")</f>
        <v>Antonio Rodríguez Rivero</v>
      </c>
      <c r="S114" s="61" t="str">
        <f ca="1">IFERROR(__xludf.DUMMYFUNCTION("""COMPUTED_VALUE"""),"03 ORL")</f>
        <v>03 ORL</v>
      </c>
      <c r="T114" s="33" t="str">
        <f ca="1">IFERROR(__xludf.DUMMYFUNCTION("""COMPUTED_VALUE"""),"06 ORL")</f>
        <v>06 ORL</v>
      </c>
      <c r="U114" s="62"/>
      <c r="W114" s="62"/>
      <c r="X114" s="62"/>
      <c r="AE114" s="1"/>
      <c r="AG114" s="60"/>
      <c r="AJ114" s="60"/>
    </row>
    <row r="115" spans="1:36" ht="16">
      <c r="A115" s="33"/>
      <c r="B115" s="55" t="str">
        <f t="shared" si="0"/>
        <v/>
      </c>
      <c r="C115" s="64"/>
      <c r="D115" s="33" t="str">
        <f ca="1">IFERROR(__xludf.DUMMYFUNCTION("""COMPUTED_VALUE"""),"ASOCIADOS")</f>
        <v>ASOCIADOS</v>
      </c>
      <c r="E115" s="33">
        <f ca="1">IFERROR(__xludf.DUMMYFUNCTION("""COMPUTED_VALUE"""),2026)</f>
        <v>2026</v>
      </c>
      <c r="F115" s="56">
        <f ca="1">IFERROR(__xludf.DUMMYFUNCTION("""COMPUTED_VALUE"""),1)</f>
        <v>1</v>
      </c>
      <c r="G115" s="33" t="str">
        <f ca="1">IFERROR(__xludf.DUMMYFUNCTION("""COMPUTED_VALUE"""),"Valladolid")</f>
        <v>Valladolid</v>
      </c>
      <c r="H115" s="33" t="str">
        <f ca="1">IFERROR(__xludf.DUMMYFUNCTION("""COMPUTED_VALUE"""),"VLL-486")</f>
        <v>VLL-486</v>
      </c>
      <c r="I115" s="33" t="str">
        <f ca="1">IFERROR(__xludf.DUMMYFUNCTION("""COMPUTED_VALUE"""),"FELISA RODRIGUEZ DE CASTRO")</f>
        <v>FELISA RODRIGUEZ DE CASTRO</v>
      </c>
      <c r="J115" s="57">
        <f ca="1">IFERROR(__xludf.DUMMYFUNCTION("""COMPUTED_VALUE"""),45987)</f>
        <v>45987</v>
      </c>
      <c r="K115" s="33" t="str">
        <f ca="1">IFERROR(__xludf.DUMMYFUNCTION("""COMPUTED_VALUE"""),"Factura audífonos")</f>
        <v>Factura audífonos</v>
      </c>
      <c r="L115" s="57">
        <f ca="1">IFERROR(__xludf.DUMMYFUNCTION("""COMPUTED_VALUE"""),46052)</f>
        <v>46052</v>
      </c>
      <c r="M115" s="33" t="str">
        <f ca="1">IFERROR(__xludf.DUMMYFUNCTION("""COMPUTED_VALUE"""),"NO")</f>
        <v>NO</v>
      </c>
      <c r="N115" s="56">
        <f ca="1">IFERROR(__xludf.DUMMYFUNCTION("""COMPUTED_VALUE"""),2)</f>
        <v>2</v>
      </c>
      <c r="O115" s="33" t="str">
        <f ca="1">IFERROR(__xludf.DUMMYFUNCTION("""COMPUTED_VALUE"""),"CONFORT")</f>
        <v>CONFORT</v>
      </c>
      <c r="P115" s="60">
        <f ca="1">IFERROR(__xludf.DUMMYFUNCTION("""COMPUTED_VALUE"""),3522.73)</f>
        <v>3522.73</v>
      </c>
      <c r="Q115" s="33" t="str">
        <f ca="1">IFERROR(__xludf.DUMMYFUNCTION("""COMPUTED_VALUE"""),"Alberto Moreno")</f>
        <v>Alberto Moreno</v>
      </c>
      <c r="R115" s="60" t="str">
        <f ca="1">IFERROR(__xludf.DUMMYFUNCTION("""COMPUTED_VALUE"""),"No recuerda ORL")</f>
        <v>No recuerda ORL</v>
      </c>
      <c r="S115" s="61" t="str">
        <f ca="1">IFERROR(__xludf.DUMMYFUNCTION("""COMPUTED_VALUE"""),"03 ORL")</f>
        <v>03 ORL</v>
      </c>
      <c r="T115" s="33" t="str">
        <f ca="1">IFERROR(__xludf.DUMMYFUNCTION("""COMPUTED_VALUE"""),"06 ORL")</f>
        <v>06 ORL</v>
      </c>
      <c r="U115" s="62"/>
      <c r="W115" s="62"/>
      <c r="X115" s="62"/>
      <c r="AG115" s="60"/>
      <c r="AJ115" s="60"/>
    </row>
    <row r="116" spans="1:36" ht="16">
      <c r="A116" s="33"/>
      <c r="B116" s="55" t="str">
        <f t="shared" ca="1" si="0"/>
        <v>LRM</v>
      </c>
      <c r="C116" s="64" t="str">
        <f ca="1">IFERROR(__xludf.DUMMYFUNCTION("""COMPUTED_VALUE"""),"LRM269")</f>
        <v>LRM269</v>
      </c>
      <c r="D116" s="33" t="str">
        <f ca="1">IFERROR(__xludf.DUMMYFUNCTION("""COMPUTED_VALUE"""),"PROPIOS")</f>
        <v>PROPIOS</v>
      </c>
      <c r="E116" s="33">
        <f ca="1">IFERROR(__xludf.DUMMYFUNCTION("""COMPUTED_VALUE"""),2026)</f>
        <v>2026</v>
      </c>
      <c r="F116" s="56">
        <f ca="1">IFERROR(__xludf.DUMMYFUNCTION("""COMPUTED_VALUE"""),1)</f>
        <v>1</v>
      </c>
      <c r="G116" s="33" t="str">
        <f ca="1">IFERROR(__xludf.DUMMYFUNCTION("""COMPUTED_VALUE"""),"Toledo")</f>
        <v>Toledo</v>
      </c>
      <c r="H116" s="33" t="str">
        <f ca="1">IFERROR(__xludf.DUMMYFUNCTION("""COMPUTED_VALUE"""),"C202512109641544986")</f>
        <v>C202512109641544986</v>
      </c>
      <c r="I116" s="33" t="str">
        <f ca="1">IFERROR(__xludf.DUMMYFUNCTION("""COMPUTED_VALUE"""),"Vicente Camacho Gonzalez")</f>
        <v>Vicente Camacho Gonzalez</v>
      </c>
      <c r="J116" s="57">
        <f ca="1">IFERROR(__xludf.DUMMYFUNCTION("""COMPUTED_VALUE"""),46001)</f>
        <v>46001</v>
      </c>
      <c r="K116" s="33" t="str">
        <f ca="1">IFERROR(__xludf.DUMMYFUNCTION("""COMPUTED_VALUE"""),"Factura audífonos")</f>
        <v>Factura audífonos</v>
      </c>
      <c r="L116" s="57">
        <f ca="1">IFERROR(__xludf.DUMMYFUNCTION("""COMPUTED_VALUE"""),46052)</f>
        <v>46052</v>
      </c>
      <c r="M116" s="33" t="str">
        <f ca="1">IFERROR(__xludf.DUMMYFUNCTION("""COMPUTED_VALUE"""),"NO")</f>
        <v>NO</v>
      </c>
      <c r="N116" s="56">
        <f ca="1">IFERROR(__xludf.DUMMYFUNCTION("""COMPUTED_VALUE"""),2)</f>
        <v>2</v>
      </c>
      <c r="O116" s="33" t="str">
        <f ca="1">IFERROR(__xludf.DUMMYFUNCTION("""COMPUTED_VALUE"""),"QUIET")</f>
        <v>QUIET</v>
      </c>
      <c r="P116" s="59">
        <f ca="1">IFERROR(__xludf.DUMMYFUNCTION("""COMPUTED_VALUE"""),2582.27)</f>
        <v>2582.27</v>
      </c>
      <c r="Q116" s="33" t="str">
        <f ca="1">IFERROR(__xludf.DUMMYFUNCTION("""COMPUTED_VALUE"""),"Lisandro Russian")</f>
        <v>Lisandro Russian</v>
      </c>
      <c r="R116" s="60" t="str">
        <f ca="1">IFERROR(__xludf.DUMMYFUNCTION("""COMPUTED_VALUE"""),"Bárbara Serrano Calleja")</f>
        <v>Bárbara Serrano Calleja</v>
      </c>
      <c r="S116" s="61" t="str">
        <f ca="1">IFERROR(__xludf.DUMMYFUNCTION("""COMPUTED_VALUE"""),"03 ORL")</f>
        <v>03 ORL</v>
      </c>
      <c r="T116" s="33" t="str">
        <f ca="1">IFERROR(__xludf.DUMMYFUNCTION("""COMPUTED_VALUE"""),"06 ORL")</f>
        <v>06 ORL</v>
      </c>
      <c r="U116" s="62"/>
      <c r="W116" s="62"/>
      <c r="X116" s="62"/>
      <c r="AG116" s="60"/>
      <c r="AJ116" s="60"/>
    </row>
    <row r="117" spans="1:36" ht="16">
      <c r="A117" s="33"/>
      <c r="B117" s="55" t="str">
        <f t="shared" ca="1" si="0"/>
        <v>LAA</v>
      </c>
      <c r="C117" s="64" t="str">
        <f ca="1">IFERROR(__xludf.DUMMYFUNCTION("""COMPUTED_VALUE"""),"LAA81")</f>
        <v>LAA81</v>
      </c>
      <c r="D117" s="33" t="str">
        <f ca="1">IFERROR(__xludf.DUMMYFUNCTION("""COMPUTED_VALUE"""),"PROPIOS")</f>
        <v>PROPIOS</v>
      </c>
      <c r="E117" s="33">
        <f ca="1">IFERROR(__xludf.DUMMYFUNCTION("""COMPUTED_VALUE"""),2026)</f>
        <v>2026</v>
      </c>
      <c r="F117" s="56">
        <f ca="1">IFERROR(__xludf.DUMMYFUNCTION("""COMPUTED_VALUE"""),1)</f>
        <v>1</v>
      </c>
      <c r="G117" s="33" t="str">
        <f ca="1">IFERROR(__xludf.DUMMYFUNCTION("""COMPUTED_VALUE"""),"Jerez de la Frontera")</f>
        <v>Jerez de la Frontera</v>
      </c>
      <c r="H117" s="33" t="str">
        <f ca="1">IFERROR(__xludf.DUMMYFUNCTION("""COMPUTED_VALUE"""),"C202612113045186230")</f>
        <v>C202612113045186230</v>
      </c>
      <c r="I117" s="33" t="str">
        <f ca="1">IFERROR(__xludf.DUMMYFUNCTION("""COMPUTED_VALUE"""),"ELOY JAVIER GONZALEZ PALOMINO")</f>
        <v>ELOY JAVIER GONZALEZ PALOMINO</v>
      </c>
      <c r="J117" s="57">
        <f ca="1">IFERROR(__xludf.DUMMYFUNCTION("""COMPUTED_VALUE"""),46024)</f>
        <v>46024</v>
      </c>
      <c r="K117" s="33" t="str">
        <f ca="1">IFERROR(__xludf.DUMMYFUNCTION("""COMPUTED_VALUE"""),"Factura audífonos")</f>
        <v>Factura audífonos</v>
      </c>
      <c r="L117" s="57">
        <f ca="1">IFERROR(__xludf.DUMMYFUNCTION("""COMPUTED_VALUE"""),46052)</f>
        <v>46052</v>
      </c>
      <c r="M117" s="33" t="str">
        <f ca="1">IFERROR(__xludf.DUMMYFUNCTION("""COMPUTED_VALUE"""),"NO")</f>
        <v>NO</v>
      </c>
      <c r="N117" s="56">
        <f ca="1">IFERROR(__xludf.DUMMYFUNCTION("""COMPUTED_VALUE"""),2)</f>
        <v>2</v>
      </c>
      <c r="O117" s="33" t="str">
        <f ca="1">IFERROR(__xludf.DUMMYFUNCTION("""COMPUTED_VALUE"""),"ADVANCED")</f>
        <v>ADVANCED</v>
      </c>
      <c r="P117" s="60">
        <f ca="1">IFERROR(__xludf.DUMMYFUNCTION("""COMPUTED_VALUE"""),4136.36)</f>
        <v>4136.3599999999997</v>
      </c>
      <c r="Q117" s="33" t="str">
        <f ca="1">IFERROR(__xludf.DUMMYFUNCTION("""COMPUTED_VALUE"""),"Luis Alberto Rodríguez")</f>
        <v>Luis Alberto Rodríguez</v>
      </c>
      <c r="R117" s="60" t="str">
        <f ca="1">IFERROR(__xludf.DUMMYFUNCTION("""COMPUTED_VALUE"""),"Manuel Tucciarone")</f>
        <v>Manuel Tucciarone</v>
      </c>
      <c r="S117" s="61" t="str">
        <f ca="1">IFERROR(__xludf.DUMMYFUNCTION("""COMPUTED_VALUE"""),"03 ORL")</f>
        <v>03 ORL</v>
      </c>
      <c r="T117" s="33" t="str">
        <f ca="1">IFERROR(__xludf.DUMMYFUNCTION("""COMPUTED_VALUE"""),"06 ORL")</f>
        <v>06 ORL</v>
      </c>
      <c r="U117" s="62"/>
      <c r="W117" s="62"/>
      <c r="X117" s="62"/>
      <c r="AG117" s="60"/>
    </row>
    <row r="118" spans="1:36" ht="16">
      <c r="A118" s="33"/>
      <c r="B118" s="55" t="str">
        <f t="shared" ca="1" si="0"/>
        <v>LRM</v>
      </c>
      <c r="C118" s="64" t="str">
        <f ca="1">IFERROR(__xludf.DUMMYFUNCTION("""COMPUTED_VALUE"""),"LRM113")</f>
        <v>LRM113</v>
      </c>
      <c r="D118" s="33" t="str">
        <f ca="1">IFERROR(__xludf.DUMMYFUNCTION("""COMPUTED_VALUE"""),"ASOCIADOS")</f>
        <v>ASOCIADOS</v>
      </c>
      <c r="E118" s="33">
        <f ca="1">IFERROR(__xludf.DUMMYFUNCTION("""COMPUTED_VALUE"""),2026)</f>
        <v>2026</v>
      </c>
      <c r="F118" s="56">
        <f ca="1">IFERROR(__xludf.DUMMYFUNCTION("""COMPUTED_VALUE"""),1)</f>
        <v>1</v>
      </c>
      <c r="G118" s="33" t="str">
        <f ca="1">IFERROR(__xludf.DUMMYFUNCTION("""COMPUTED_VALUE"""),"Cáceres")</f>
        <v>Cáceres</v>
      </c>
      <c r="H118" s="33" t="str">
        <f ca="1">IFERROR(__xludf.DUMMYFUNCTION("""COMPUTED_VALUE"""),"C202512298441794190")</f>
        <v>C202512298441794190</v>
      </c>
      <c r="I118" s="33" t="str">
        <f ca="1">IFERROR(__xludf.DUMMYFUNCTION("""COMPUTED_VALUE"""),"PURIFICACION HOLGADO RODRIGUEZ")</f>
        <v>PURIFICACION HOLGADO RODRIGUEZ</v>
      </c>
      <c r="J118" s="57">
        <f ca="1">IFERROR(__xludf.DUMMYFUNCTION("""COMPUTED_VALUE"""),46020)</f>
        <v>46020</v>
      </c>
      <c r="K118" s="33" t="str">
        <f ca="1">IFERROR(__xludf.DUMMYFUNCTION("""COMPUTED_VALUE"""),"Factura audífonos")</f>
        <v>Factura audífonos</v>
      </c>
      <c r="L118" s="57">
        <f ca="1">IFERROR(__xludf.DUMMYFUNCTION("""COMPUTED_VALUE"""),46052)</f>
        <v>46052</v>
      </c>
      <c r="M118" s="33" t="str">
        <f ca="1">IFERROR(__xludf.DUMMYFUNCTION("""COMPUTED_VALUE"""),"NO")</f>
        <v>NO</v>
      </c>
      <c r="N118" s="56">
        <f ca="1">IFERROR(__xludf.DUMMYFUNCTION("""COMPUTED_VALUE"""),1)</f>
        <v>1</v>
      </c>
      <c r="O118" s="33" t="str">
        <f ca="1">IFERROR(__xludf.DUMMYFUNCTION("""COMPUTED_VALUE"""),"CONFORT")</f>
        <v>CONFORT</v>
      </c>
      <c r="P118" s="59">
        <f ca="1">IFERROR(__xludf.DUMMYFUNCTION("""COMPUTED_VALUE"""),1839.09)</f>
        <v>1839.09</v>
      </c>
      <c r="Q118" s="33" t="str">
        <f ca="1">IFERROR(__xludf.DUMMYFUNCTION("""COMPUTED_VALUE"""),"Lisandro Russian")</f>
        <v>Lisandro Russian</v>
      </c>
      <c r="R118" s="60" t="str">
        <f ca="1">IFERROR(__xludf.DUMMYFUNCTION("""COMPUTED_VALUE"""),"Raed Maqued El Maqued")</f>
        <v>Raed Maqued El Maqued</v>
      </c>
      <c r="S118" s="61" t="str">
        <f ca="1">IFERROR(__xludf.DUMMYFUNCTION("""COMPUTED_VALUE"""),"03 ORL")</f>
        <v>03 ORL</v>
      </c>
      <c r="T118" s="33" t="str">
        <f ca="1">IFERROR(__xludf.DUMMYFUNCTION("""COMPUTED_VALUE"""),"06 ORL")</f>
        <v>06 ORL</v>
      </c>
      <c r="U118" s="62"/>
      <c r="W118" s="62"/>
      <c r="X118" s="62"/>
      <c r="AG118" s="60"/>
      <c r="AJ118" s="60"/>
    </row>
    <row r="119" spans="1:36" ht="16">
      <c r="A119" s="33"/>
      <c r="B119" s="55" t="str">
        <f t="shared" ca="1" si="0"/>
        <v>LRM</v>
      </c>
      <c r="C119" s="64" t="str">
        <f ca="1">IFERROR(__xludf.DUMMYFUNCTION("""COMPUTED_VALUE"""),"LRM263")</f>
        <v>LRM263</v>
      </c>
      <c r="D119" s="33" t="str">
        <f ca="1">IFERROR(__xludf.DUMMYFUNCTION("""COMPUTED_VALUE"""),"PROPIOS")</f>
        <v>PROPIOS</v>
      </c>
      <c r="E119" s="33">
        <f ca="1">IFERROR(__xludf.DUMMYFUNCTION("""COMPUTED_VALUE"""),2026)</f>
        <v>2026</v>
      </c>
      <c r="F119" s="56">
        <f ca="1">IFERROR(__xludf.DUMMYFUNCTION("""COMPUTED_VALUE"""),1)</f>
        <v>1</v>
      </c>
      <c r="G119" s="33" t="str">
        <f ca="1">IFERROR(__xludf.DUMMYFUNCTION("""COMPUTED_VALUE"""),"Alcorcón")</f>
        <v>Alcorcón</v>
      </c>
      <c r="H119" s="33" t="str">
        <f ca="1">IFERROR(__xludf.DUMMYFUNCTION("""COMPUTED_VALUE"""),"C202617112022918814")</f>
        <v>C202617112022918814</v>
      </c>
      <c r="I119" s="33" t="str">
        <f ca="1">IFERROR(__xludf.DUMMYFUNCTION("""COMPUTED_VALUE"""),"ADELAIDA ALVAREZ GONZALEZ")</f>
        <v>ADELAIDA ALVAREZ GONZALEZ</v>
      </c>
      <c r="J119" s="57">
        <f ca="1">IFERROR(__xludf.DUMMYFUNCTION("""COMPUTED_VALUE"""),46029)</f>
        <v>46029</v>
      </c>
      <c r="K119" s="33" t="str">
        <f ca="1">IFERROR(__xludf.DUMMYFUNCTION("""COMPUTED_VALUE"""),"Factura audífonos")</f>
        <v>Factura audífonos</v>
      </c>
      <c r="L119" s="57">
        <f ca="1">IFERROR(__xludf.DUMMYFUNCTION("""COMPUTED_VALUE"""),46052)</f>
        <v>46052</v>
      </c>
      <c r="M119" s="33" t="str">
        <f ca="1">IFERROR(__xludf.DUMMYFUNCTION("""COMPUTED_VALUE"""),"NO")</f>
        <v>NO</v>
      </c>
      <c r="N119" s="56">
        <f ca="1">IFERROR(__xludf.DUMMYFUNCTION("""COMPUTED_VALUE"""),2)</f>
        <v>2</v>
      </c>
      <c r="O119" s="33" t="str">
        <f ca="1">IFERROR(__xludf.DUMMYFUNCTION("""COMPUTED_VALUE"""),"QUIET")</f>
        <v>QUIET</v>
      </c>
      <c r="P119" s="59">
        <f ca="1">IFERROR(__xludf.DUMMYFUNCTION("""COMPUTED_VALUE"""),2718.18)</f>
        <v>2718.18</v>
      </c>
      <c r="Q119" s="33" t="str">
        <f ca="1">IFERROR(__xludf.DUMMYFUNCTION("""COMPUTED_VALUE"""),"Lisandro Russian")</f>
        <v>Lisandro Russian</v>
      </c>
      <c r="R119" s="60" t="str">
        <f ca="1">IFERROR(__xludf.DUMMYFUNCTION("""COMPUTED_VALUE"""),"María Sol Marcos Salazar")</f>
        <v>María Sol Marcos Salazar</v>
      </c>
      <c r="S119" s="61" t="str">
        <f ca="1">IFERROR(__xludf.DUMMYFUNCTION("""COMPUTED_VALUE"""),"03 ORL")</f>
        <v>03 ORL</v>
      </c>
      <c r="T119" s="33" t="str">
        <f ca="1">IFERROR(__xludf.DUMMYFUNCTION("""COMPUTED_VALUE"""),"06 ORL")</f>
        <v>06 ORL</v>
      </c>
      <c r="U119" s="62"/>
      <c r="W119" s="62"/>
      <c r="X119" s="62"/>
      <c r="AG119" s="59"/>
      <c r="AJ119" s="60"/>
    </row>
    <row r="120" spans="1:36" ht="16">
      <c r="A120" s="33"/>
      <c r="B120" s="55" t="str">
        <f t="shared" ca="1" si="0"/>
        <v>LRM</v>
      </c>
      <c r="C120" s="64" t="str">
        <f ca="1">IFERROR(__xludf.DUMMYFUNCTION("""COMPUTED_VALUE"""),"LRM39")</f>
        <v>LRM39</v>
      </c>
      <c r="D120" s="33" t="str">
        <f ca="1">IFERROR(__xludf.DUMMYFUNCTION("""COMPUTED_VALUE"""),"PROPIOS")</f>
        <v>PROPIOS</v>
      </c>
      <c r="E120" s="33">
        <f ca="1">IFERROR(__xludf.DUMMYFUNCTION("""COMPUTED_VALUE"""),2026)</f>
        <v>2026</v>
      </c>
      <c r="F120" s="56">
        <f ca="1">IFERROR(__xludf.DUMMYFUNCTION("""COMPUTED_VALUE"""),1)</f>
        <v>1</v>
      </c>
      <c r="G120" s="33" t="str">
        <f ca="1">IFERROR(__xludf.DUMMYFUNCTION("""COMPUTED_VALUE"""),"Logroño")</f>
        <v>Logroño</v>
      </c>
      <c r="H120" s="33" t="str">
        <f ca="1">IFERROR(__xludf.DUMMYFUNCTION("""COMPUTED_VALUE"""),"C202512101635128085")</f>
        <v>C202512101635128085</v>
      </c>
      <c r="I120" s="33" t="str">
        <f ca="1">IFERROR(__xludf.DUMMYFUNCTION("""COMPUTED_VALUE"""),"ELEUTERIO FERNANDEZ DE PRADO")</f>
        <v>ELEUTERIO FERNANDEZ DE PRADO</v>
      </c>
      <c r="J120" s="57">
        <f ca="1">IFERROR(__xludf.DUMMYFUNCTION("""COMPUTED_VALUE"""),46001)</f>
        <v>46001</v>
      </c>
      <c r="K120" s="33" t="str">
        <f ca="1">IFERROR(__xludf.DUMMYFUNCTION("""COMPUTED_VALUE"""),"Factura audífonos")</f>
        <v>Factura audífonos</v>
      </c>
      <c r="L120" s="57">
        <f ca="1">IFERROR(__xludf.DUMMYFUNCTION("""COMPUTED_VALUE"""),46052)</f>
        <v>46052</v>
      </c>
      <c r="M120" s="33" t="str">
        <f ca="1">IFERROR(__xludf.DUMMYFUNCTION("""COMPUTED_VALUE"""),"NO")</f>
        <v>NO</v>
      </c>
      <c r="N120" s="56">
        <f ca="1">IFERROR(__xludf.DUMMYFUNCTION("""COMPUTED_VALUE"""),1)</f>
        <v>1</v>
      </c>
      <c r="O120" s="33" t="str">
        <f ca="1">IFERROR(__xludf.DUMMYFUNCTION("""COMPUTED_VALUE"""),"ADVANCED")</f>
        <v>ADVANCED</v>
      </c>
      <c r="P120" s="59">
        <f ca="1">IFERROR(__xludf.DUMMYFUNCTION("""COMPUTED_VALUE"""),2294.32)</f>
        <v>2294.3200000000002</v>
      </c>
      <c r="Q120" s="33" t="str">
        <f ca="1">IFERROR(__xludf.DUMMYFUNCTION("""COMPUTED_VALUE"""),"Lisandro Russian")</f>
        <v>Lisandro Russian</v>
      </c>
      <c r="R120" s="60" t="str">
        <f ca="1">IFERROR(__xludf.DUMMYFUNCTION("""COMPUTED_VALUE"""),"Fernando Salazar Barcelona")</f>
        <v>Fernando Salazar Barcelona</v>
      </c>
      <c r="S120" s="61" t="str">
        <f ca="1">IFERROR(__xludf.DUMMYFUNCTION("""COMPUTED_VALUE"""),"03 ORL")</f>
        <v>03 ORL</v>
      </c>
      <c r="T120" s="33" t="str">
        <f ca="1">IFERROR(__xludf.DUMMYFUNCTION("""COMPUTED_VALUE"""),"06 ORL")</f>
        <v>06 ORL</v>
      </c>
      <c r="U120" s="62"/>
      <c r="W120" s="62"/>
      <c r="X120" s="62"/>
      <c r="AG120" s="60"/>
    </row>
    <row r="121" spans="1:36" ht="16">
      <c r="A121" s="33"/>
      <c r="B121" s="55" t="str">
        <f t="shared" ca="1" si="0"/>
        <v>ISL</v>
      </c>
      <c r="C121" s="64" t="str">
        <f ca="1">IFERROR(__xludf.DUMMYFUNCTION("""COMPUTED_VALUE"""),"ISL94")</f>
        <v>ISL94</v>
      </c>
      <c r="D121" s="33" t="str">
        <f ca="1">IFERROR(__xludf.DUMMYFUNCTION("""COMPUTED_VALUE"""),"PROPIOS")</f>
        <v>PROPIOS</v>
      </c>
      <c r="E121" s="33">
        <f ca="1">IFERROR(__xludf.DUMMYFUNCTION("""COMPUTED_VALUE"""),2026)</f>
        <v>2026</v>
      </c>
      <c r="F121" s="56">
        <f ca="1">IFERROR(__xludf.DUMMYFUNCTION("""COMPUTED_VALUE"""),1)</f>
        <v>1</v>
      </c>
      <c r="G121" s="33" t="str">
        <f ca="1">IFERROR(__xludf.DUMMYFUNCTION("""COMPUTED_VALUE"""),"Murcia")</f>
        <v>Murcia</v>
      </c>
      <c r="H121" s="33" t="str">
        <f ca="1">IFERROR(__xludf.DUMMYFUNCTION("""COMPUTED_VALUE"""),"C202611210542515387")</f>
        <v>C202611210542515387</v>
      </c>
      <c r="I121" s="33" t="str">
        <f ca="1">IFERROR(__xludf.DUMMYFUNCTION("""COMPUTED_VALUE"""),"JOSE LOPEZ PEREZ")</f>
        <v>JOSE LOPEZ PEREZ</v>
      </c>
      <c r="J121" s="57">
        <f ca="1">IFERROR(__xludf.DUMMYFUNCTION("""COMPUTED_VALUE"""),46034)</f>
        <v>46034</v>
      </c>
      <c r="K121" s="33" t="str">
        <f ca="1">IFERROR(__xludf.DUMMYFUNCTION("""COMPUTED_VALUE"""),"Factura audífonos")</f>
        <v>Factura audífonos</v>
      </c>
      <c r="L121" s="57">
        <f ca="1">IFERROR(__xludf.DUMMYFUNCTION("""COMPUTED_VALUE"""),46052)</f>
        <v>46052</v>
      </c>
      <c r="M121" s="33" t="str">
        <f ca="1">IFERROR(__xludf.DUMMYFUNCTION("""COMPUTED_VALUE"""),"NO")</f>
        <v>NO</v>
      </c>
      <c r="N121" s="56">
        <f ca="1">IFERROR(__xludf.DUMMYFUNCTION("""COMPUTED_VALUE"""),2)</f>
        <v>2</v>
      </c>
      <c r="O121" s="33" t="str">
        <f ca="1">IFERROR(__xludf.DUMMYFUNCTION("""COMPUTED_VALUE"""),"CONFORT")</f>
        <v>CONFORT</v>
      </c>
      <c r="P121" s="59">
        <f ca="1">IFERROR(__xludf.DUMMYFUNCTION("""COMPUTED_VALUE"""),3631.82)</f>
        <v>3631.82</v>
      </c>
      <c r="Q121" s="33" t="str">
        <f ca="1">IFERROR(__xludf.DUMMYFUNCTION("""COMPUTED_VALUE"""),"Iván Sánchez")</f>
        <v>Iván Sánchez</v>
      </c>
      <c r="R121" s="60" t="str">
        <f ca="1">IFERROR(__xludf.DUMMYFUNCTION("""COMPUTED_VALUE"""),"Beatriz Rodríguez González Herrero")</f>
        <v>Beatriz Rodríguez González Herrero</v>
      </c>
      <c r="S121" s="61" t="str">
        <f ca="1">IFERROR(__xludf.DUMMYFUNCTION("""COMPUTED_VALUE"""),"03 ORL")</f>
        <v>03 ORL</v>
      </c>
      <c r="T121" s="33" t="str">
        <f ca="1">IFERROR(__xludf.DUMMYFUNCTION("""COMPUTED_VALUE"""),"06 ORL")</f>
        <v>06 ORL</v>
      </c>
      <c r="U121" s="62"/>
      <c r="W121" s="62"/>
      <c r="X121" s="62"/>
      <c r="AG121" s="59"/>
      <c r="AJ121" s="60"/>
    </row>
    <row r="122" spans="1:36" ht="16">
      <c r="A122" s="33"/>
      <c r="B122" s="55" t="str">
        <f t="shared" ca="1" si="0"/>
        <v>LRM</v>
      </c>
      <c r="C122" s="64" t="str">
        <f ca="1">IFERROR(__xludf.DUMMYFUNCTION("""COMPUTED_VALUE"""),"LRM151")</f>
        <v>LRM151</v>
      </c>
      <c r="D122" s="33" t="str">
        <f ca="1">IFERROR(__xludf.DUMMYFUNCTION("""COMPUTED_VALUE"""),"PROPIOS")</f>
        <v>PROPIOS</v>
      </c>
      <c r="E122" s="33">
        <f ca="1">IFERROR(__xludf.DUMMYFUNCTION("""COMPUTED_VALUE"""),2026)</f>
        <v>2026</v>
      </c>
      <c r="F122" s="56">
        <f ca="1">IFERROR(__xludf.DUMMYFUNCTION("""COMPUTED_VALUE"""),1)</f>
        <v>1</v>
      </c>
      <c r="G122" s="33" t="str">
        <f ca="1">IFERROR(__xludf.DUMMYFUNCTION("""COMPUTED_VALUE"""),"Logroño")</f>
        <v>Logroño</v>
      </c>
      <c r="H122" s="33" t="str">
        <f ca="1">IFERROR(__xludf.DUMMYFUNCTION("""COMPUTED_VALUE"""),"C202511179197088208")</f>
        <v>C202511179197088208</v>
      </c>
      <c r="I122" s="33" t="str">
        <f ca="1">IFERROR(__xludf.DUMMYFUNCTION("""COMPUTED_VALUE"""),"SUCESO MORENO LOPEZ")</f>
        <v>SUCESO MORENO LOPEZ</v>
      </c>
      <c r="J122" s="57">
        <f ca="1">IFERROR(__xludf.DUMMYFUNCTION("""COMPUTED_VALUE"""),45978)</f>
        <v>45978</v>
      </c>
      <c r="K122" s="33" t="str">
        <f ca="1">IFERROR(__xludf.DUMMYFUNCTION("""COMPUTED_VALUE"""),"Factura audífonos")</f>
        <v>Factura audífonos</v>
      </c>
      <c r="L122" s="57">
        <f ca="1">IFERROR(__xludf.DUMMYFUNCTION("""COMPUTED_VALUE"""),46052)</f>
        <v>46052</v>
      </c>
      <c r="M122" s="33" t="str">
        <f ca="1">IFERROR(__xludf.DUMMYFUNCTION("""COMPUTED_VALUE"""),"NO")</f>
        <v>NO</v>
      </c>
      <c r="N122" s="56">
        <f ca="1">IFERROR(__xludf.DUMMYFUNCTION("""COMPUTED_VALUE"""),2)</f>
        <v>2</v>
      </c>
      <c r="O122" s="33" t="str">
        <f ca="1">IFERROR(__xludf.DUMMYFUNCTION("""COMPUTED_VALUE"""),"CONFORT")</f>
        <v>CONFORT</v>
      </c>
      <c r="P122" s="60">
        <f ca="1">IFERROR(__xludf.DUMMYFUNCTION("""COMPUTED_VALUE"""),3424.32)</f>
        <v>3424.32</v>
      </c>
      <c r="Q122" s="33" t="str">
        <f ca="1">IFERROR(__xludf.DUMMYFUNCTION("""COMPUTED_VALUE"""),"Lisandro Russian")</f>
        <v>Lisandro Russian</v>
      </c>
      <c r="R122" s="60" t="str">
        <f ca="1">IFERROR(__xludf.DUMMYFUNCTION("""COMPUTED_VALUE"""),"Cristina Ibañez Muñoz")</f>
        <v>Cristina Ibañez Muñoz</v>
      </c>
      <c r="S122" s="61" t="str">
        <f ca="1">IFERROR(__xludf.DUMMYFUNCTION("""COMPUTED_VALUE"""),"03 ORL")</f>
        <v>03 ORL</v>
      </c>
      <c r="T122" s="33" t="str">
        <f ca="1">IFERROR(__xludf.DUMMYFUNCTION("""COMPUTED_VALUE"""),"06 ORL")</f>
        <v>06 ORL</v>
      </c>
      <c r="U122" s="62"/>
      <c r="W122" s="62"/>
      <c r="X122" s="62"/>
      <c r="AG122" s="60"/>
      <c r="AJ122" s="60"/>
    </row>
    <row r="123" spans="1:36" ht="16">
      <c r="A123" s="33"/>
      <c r="B123" s="55" t="str">
        <f t="shared" ca="1" si="0"/>
        <v>ISL</v>
      </c>
      <c r="C123" s="64" t="str">
        <f ca="1">IFERROR(__xludf.DUMMYFUNCTION("""COMPUTED_VALUE"""),"ISL24")</f>
        <v>ISL24</v>
      </c>
      <c r="D123" s="33" t="str">
        <f ca="1">IFERROR(__xludf.DUMMYFUNCTION("""COMPUTED_VALUE"""),"PROPIOS")</f>
        <v>PROPIOS</v>
      </c>
      <c r="E123" s="33">
        <f ca="1">IFERROR(__xludf.DUMMYFUNCTION("""COMPUTED_VALUE"""),2026)</f>
        <v>2026</v>
      </c>
      <c r="F123" s="56">
        <f ca="1">IFERROR(__xludf.DUMMYFUNCTION("""COMPUTED_VALUE"""),1)</f>
        <v>1</v>
      </c>
      <c r="G123" s="33" t="str">
        <f ca="1">IFERROR(__xludf.DUMMYFUNCTION("""COMPUTED_VALUE"""),"Murcia")</f>
        <v>Murcia</v>
      </c>
      <c r="H123" s="33" t="str">
        <f ca="1">IFERROR(__xludf.DUMMYFUNCTION("""COMPUTED_VALUE"""),"C202612010574003793")</f>
        <v>C202612010574003793</v>
      </c>
      <c r="I123" s="33" t="str">
        <f ca="1">IFERROR(__xludf.DUMMYFUNCTION("""COMPUTED_VALUE"""),"ANTONIO MARTINEZ FERNANDEZ")</f>
        <v>ANTONIO MARTINEZ FERNANDEZ</v>
      </c>
      <c r="J123" s="57">
        <f ca="1">IFERROR(__xludf.DUMMYFUNCTION("""COMPUTED_VALUE"""),46042)</f>
        <v>46042</v>
      </c>
      <c r="K123" s="33" t="str">
        <f ca="1">IFERROR(__xludf.DUMMYFUNCTION("""COMPUTED_VALUE"""),"Factura audífonos")</f>
        <v>Factura audífonos</v>
      </c>
      <c r="L123" s="57">
        <f ca="1">IFERROR(__xludf.DUMMYFUNCTION("""COMPUTED_VALUE"""),46052)</f>
        <v>46052</v>
      </c>
      <c r="M123" s="33" t="str">
        <f ca="1">IFERROR(__xludf.DUMMYFUNCTION("""COMPUTED_VALUE"""),"NO")</f>
        <v>NO</v>
      </c>
      <c r="N123" s="56">
        <f ca="1">IFERROR(__xludf.DUMMYFUNCTION("""COMPUTED_VALUE"""),1)</f>
        <v>1</v>
      </c>
      <c r="O123" s="33" t="str">
        <f ca="1">IFERROR(__xludf.DUMMYFUNCTION("""COMPUTED_VALUE"""),"ADVANCED")</f>
        <v>ADVANCED</v>
      </c>
      <c r="P123" s="60">
        <f ca="1">IFERROR(__xludf.DUMMYFUNCTION("""COMPUTED_VALUE"""),2481.82)</f>
        <v>2481.8200000000002</v>
      </c>
      <c r="Q123" s="33" t="str">
        <f ca="1">IFERROR(__xludf.DUMMYFUNCTION("""COMPUTED_VALUE"""),"Iván Sánchez")</f>
        <v>Iván Sánchez</v>
      </c>
      <c r="R123" s="60" t="str">
        <f ca="1">IFERROR(__xludf.DUMMYFUNCTION("""COMPUTED_VALUE"""),"Enrique López Meseguer")</f>
        <v>Enrique López Meseguer</v>
      </c>
      <c r="S123" s="61" t="str">
        <f ca="1">IFERROR(__xludf.DUMMYFUNCTION("""COMPUTED_VALUE"""),"03 ORL")</f>
        <v>03 ORL</v>
      </c>
      <c r="T123" s="33" t="str">
        <f ca="1">IFERROR(__xludf.DUMMYFUNCTION("""COMPUTED_VALUE"""),"06 ORL")</f>
        <v>06 ORL</v>
      </c>
      <c r="U123" s="62"/>
      <c r="W123" s="62"/>
      <c r="X123" s="62"/>
      <c r="AG123" s="60"/>
      <c r="AJ123" s="60"/>
    </row>
    <row r="124" spans="1:36" ht="16">
      <c r="A124" s="33"/>
      <c r="B124" s="55" t="str">
        <f t="shared" ca="1" si="0"/>
        <v>MBM</v>
      </c>
      <c r="C124" s="64" t="str">
        <f ca="1">IFERROR(__xludf.DUMMYFUNCTION("""COMPUTED_VALUE"""),"MBM50")</f>
        <v>MBM50</v>
      </c>
      <c r="D124" s="33" t="str">
        <f ca="1">IFERROR(__xludf.DUMMYFUNCTION("""COMPUTED_VALUE"""),"PROPIOS")</f>
        <v>PROPIOS</v>
      </c>
      <c r="E124" s="33">
        <f ca="1">IFERROR(__xludf.DUMMYFUNCTION("""COMPUTED_VALUE"""),2026)</f>
        <v>2026</v>
      </c>
      <c r="F124" s="56">
        <f ca="1">IFERROR(__xludf.DUMMYFUNCTION("""COMPUTED_VALUE"""),1)</f>
        <v>1</v>
      </c>
      <c r="G124" s="33" t="str">
        <f ca="1">IFERROR(__xludf.DUMMYFUNCTION("""COMPUTED_VALUE"""),"Madrid- Canillas")</f>
        <v>Madrid- Canillas</v>
      </c>
      <c r="H124" s="33" t="str">
        <f ca="1">IFERROR(__xludf.DUMMYFUNCTION("""COMPUTED_VALUE"""),"C202611210322038706")</f>
        <v>C202611210322038706</v>
      </c>
      <c r="I124" s="33" t="str">
        <f ca="1">IFERROR(__xludf.DUMMYFUNCTION("""COMPUTED_VALUE"""),"VICTORINA PÉREZ GÓMEZ")</f>
        <v>VICTORINA PÉREZ GÓMEZ</v>
      </c>
      <c r="J124" s="57">
        <f ca="1">IFERROR(__xludf.DUMMYFUNCTION("""COMPUTED_VALUE"""),46034)</f>
        <v>46034</v>
      </c>
      <c r="K124" s="33" t="str">
        <f ca="1">IFERROR(__xludf.DUMMYFUNCTION("""COMPUTED_VALUE"""),"Factura audífonos")</f>
        <v>Factura audífonos</v>
      </c>
      <c r="L124" s="57">
        <f ca="1">IFERROR(__xludf.DUMMYFUNCTION("""COMPUTED_VALUE"""),46052)</f>
        <v>46052</v>
      </c>
      <c r="M124" s="33" t="str">
        <f ca="1">IFERROR(__xludf.DUMMYFUNCTION("""COMPUTED_VALUE"""),"NO")</f>
        <v>NO</v>
      </c>
      <c r="N124" s="56">
        <f ca="1">IFERROR(__xludf.DUMMYFUNCTION("""COMPUTED_VALUE"""),2)</f>
        <v>2</v>
      </c>
      <c r="O124" s="33" t="str">
        <f ca="1">IFERROR(__xludf.DUMMYFUNCTION("""COMPUTED_VALUE"""),"CONFORT")</f>
        <v>CONFORT</v>
      </c>
      <c r="P124" s="60">
        <f ca="1">IFERROR(__xludf.DUMMYFUNCTION("""COMPUTED_VALUE"""),3631.83)</f>
        <v>3631.83</v>
      </c>
      <c r="Q124" s="33" t="str">
        <f ca="1">IFERROR(__xludf.DUMMYFUNCTION("""COMPUTED_VALUE"""),"Maika Blázquez")</f>
        <v>Maika Blázquez</v>
      </c>
      <c r="R124" s="60" t="str">
        <f ca="1">IFERROR(__xludf.DUMMYFUNCTION("""COMPUTED_VALUE"""),"José Gustavo Barroso Braojos")</f>
        <v>José Gustavo Barroso Braojos</v>
      </c>
      <c r="S124" s="61" t="str">
        <f ca="1">IFERROR(__xludf.DUMMYFUNCTION("""COMPUTED_VALUE"""),"03 ORL")</f>
        <v>03 ORL</v>
      </c>
      <c r="T124" s="33" t="str">
        <f ca="1">IFERROR(__xludf.DUMMYFUNCTION("""COMPUTED_VALUE"""),"06 ORL")</f>
        <v>06 ORL</v>
      </c>
      <c r="U124" s="62"/>
      <c r="W124" s="62"/>
      <c r="X124" s="62"/>
      <c r="AG124" s="60"/>
      <c r="AJ124" s="60"/>
    </row>
    <row r="125" spans="1:36" ht="16">
      <c r="A125" s="33"/>
      <c r="B125" s="55" t="str">
        <f t="shared" ca="1" si="0"/>
        <v>MBM</v>
      </c>
      <c r="C125" s="64" t="str">
        <f ca="1">IFERROR(__xludf.DUMMYFUNCTION("""COMPUTED_VALUE"""),"MBM43")</f>
        <v>MBM43</v>
      </c>
      <c r="D125" s="33" t="str">
        <f ca="1">IFERROR(__xludf.DUMMYFUNCTION("""COMPUTED_VALUE"""),"PROPIOS")</f>
        <v>PROPIOS</v>
      </c>
      <c r="E125" s="33">
        <f ca="1">IFERROR(__xludf.DUMMYFUNCTION("""COMPUTED_VALUE"""),2026)</f>
        <v>2026</v>
      </c>
      <c r="F125" s="56">
        <f ca="1">IFERROR(__xludf.DUMMYFUNCTION("""COMPUTED_VALUE"""),1)</f>
        <v>1</v>
      </c>
      <c r="G125" s="33" t="str">
        <f ca="1">IFERROR(__xludf.DUMMYFUNCTION("""COMPUTED_VALUE"""),"Leganés")</f>
        <v>Leganés</v>
      </c>
      <c r="H125" s="33" t="str">
        <f ca="1">IFERROR(__xludf.DUMMYFUNCTION("""COMPUTED_VALUE"""),"C202617104647911770")</f>
        <v>C202617104647911770</v>
      </c>
      <c r="I125" s="33" t="str">
        <f ca="1">IFERROR(__xludf.DUMMYFUNCTION("""COMPUTED_VALUE"""),"TOMAS PICAZO TABERNA")</f>
        <v>TOMAS PICAZO TABERNA</v>
      </c>
      <c r="J125" s="57">
        <f ca="1">IFERROR(__xludf.DUMMYFUNCTION("""COMPUTED_VALUE"""),46029)</f>
        <v>46029</v>
      </c>
      <c r="K125" s="33" t="str">
        <f ca="1">IFERROR(__xludf.DUMMYFUNCTION("""COMPUTED_VALUE"""),"Factura audífonos")</f>
        <v>Factura audífonos</v>
      </c>
      <c r="L125" s="57">
        <f ca="1">IFERROR(__xludf.DUMMYFUNCTION("""COMPUTED_VALUE"""),46052)</f>
        <v>46052</v>
      </c>
      <c r="M125" s="33" t="str">
        <f ca="1">IFERROR(__xludf.DUMMYFUNCTION("""COMPUTED_VALUE"""),"NO")</f>
        <v>NO</v>
      </c>
      <c r="N125" s="56">
        <f ca="1">IFERROR(__xludf.DUMMYFUNCTION("""COMPUTED_VALUE"""),2)</f>
        <v>2</v>
      </c>
      <c r="O125" s="33" t="str">
        <f ca="1">IFERROR(__xludf.DUMMYFUNCTION("""COMPUTED_VALUE"""),"CONFORT")</f>
        <v>CONFORT</v>
      </c>
      <c r="P125" s="60">
        <f ca="1">IFERROR(__xludf.DUMMYFUNCTION("""COMPUTED_VALUE"""),3450)</f>
        <v>3450</v>
      </c>
      <c r="Q125" s="33" t="str">
        <f ca="1">IFERROR(__xludf.DUMMYFUNCTION("""COMPUTED_VALUE"""),"Maika Blázquez")</f>
        <v>Maika Blázquez</v>
      </c>
      <c r="R125" s="60" t="str">
        <f ca="1">IFERROR(__xludf.DUMMYFUNCTION("""COMPUTED_VALUE"""),"Jesús Ramos Fernández")</f>
        <v>Jesús Ramos Fernández</v>
      </c>
      <c r="S125" s="61" t="str">
        <f ca="1">IFERROR(__xludf.DUMMYFUNCTION("""COMPUTED_VALUE"""),"03 ORL")</f>
        <v>03 ORL</v>
      </c>
      <c r="T125" s="33" t="str">
        <f ca="1">IFERROR(__xludf.DUMMYFUNCTION("""COMPUTED_VALUE"""),"06 ORL")</f>
        <v>06 ORL</v>
      </c>
      <c r="U125" s="62"/>
      <c r="W125" s="62"/>
      <c r="X125" s="62"/>
      <c r="AG125" s="60"/>
      <c r="AJ125" s="60"/>
    </row>
    <row r="126" spans="1:36" ht="16">
      <c r="A126" s="33"/>
      <c r="B126" s="55" t="str">
        <f t="shared" ca="1" si="0"/>
        <v>MBM</v>
      </c>
      <c r="C126" s="64" t="str">
        <f ca="1">IFERROR(__xludf.DUMMYFUNCTION("""COMPUTED_VALUE"""),"MBM156")</f>
        <v>MBM156</v>
      </c>
      <c r="D126" s="33" t="str">
        <f ca="1">IFERROR(__xludf.DUMMYFUNCTION("""COMPUTED_VALUE"""),"PROPIOS")</f>
        <v>PROPIOS</v>
      </c>
      <c r="E126" s="33">
        <f ca="1">IFERROR(__xludf.DUMMYFUNCTION("""COMPUTED_VALUE"""),2026)</f>
        <v>2026</v>
      </c>
      <c r="F126" s="56">
        <f ca="1">IFERROR(__xludf.DUMMYFUNCTION("""COMPUTED_VALUE"""),1)</f>
        <v>1</v>
      </c>
      <c r="G126" s="33" t="str">
        <f ca="1">IFERROR(__xludf.DUMMYFUNCTION("""COMPUTED_VALUE"""),"Getafe")</f>
        <v>Getafe</v>
      </c>
      <c r="H126" s="33" t="str">
        <f ca="1">IFERROR(__xludf.DUMMYFUNCTION("""COMPUTED_VALUE"""),"C202511111644133841")</f>
        <v>C202511111644133841</v>
      </c>
      <c r="I126" s="33" t="str">
        <f ca="1">IFERROR(__xludf.DUMMYFUNCTION("""COMPUTED_VALUE"""),"CRESCENCIA MORETA MORALEDA")</f>
        <v>CRESCENCIA MORETA MORALEDA</v>
      </c>
      <c r="J126" s="57">
        <f ca="1">IFERROR(__xludf.DUMMYFUNCTION("""COMPUTED_VALUE"""),45972)</f>
        <v>45972</v>
      </c>
      <c r="K126" s="33" t="str">
        <f ca="1">IFERROR(__xludf.DUMMYFUNCTION("""COMPUTED_VALUE"""),"Factura audífonos")</f>
        <v>Factura audífonos</v>
      </c>
      <c r="L126" s="57">
        <f ca="1">IFERROR(__xludf.DUMMYFUNCTION("""COMPUTED_VALUE"""),46052)</f>
        <v>46052</v>
      </c>
      <c r="M126" s="33" t="str">
        <f ca="1">IFERROR(__xludf.DUMMYFUNCTION("""COMPUTED_VALUE"""),"SI")</f>
        <v>SI</v>
      </c>
      <c r="N126" s="56">
        <f ca="1">IFERROR(__xludf.DUMMYFUNCTION("""COMPUTED_VALUE"""),2)</f>
        <v>2</v>
      </c>
      <c r="O126" s="33" t="str">
        <f ca="1">IFERROR(__xludf.DUMMYFUNCTION("""COMPUTED_VALUE"""),"CONFORT")</f>
        <v>CONFORT</v>
      </c>
      <c r="P126" s="59">
        <f ca="1">IFERROR(__xludf.DUMMYFUNCTION("""COMPUTED_VALUE"""),3450.23)</f>
        <v>3450.23</v>
      </c>
      <c r="Q126" s="33" t="str">
        <f ca="1">IFERROR(__xludf.DUMMYFUNCTION("""COMPUTED_VALUE"""),"Maika Blázquez")</f>
        <v>Maika Blázquez</v>
      </c>
      <c r="R126" s="60" t="str">
        <f ca="1">IFERROR(__xludf.DUMMYFUNCTION("""COMPUTED_VALUE"""),"Marta Colmenero Ruiz")</f>
        <v>Marta Colmenero Ruiz</v>
      </c>
      <c r="S126" s="61" t="str">
        <f ca="1">IFERROR(__xludf.DUMMYFUNCTION("""COMPUTED_VALUE"""),"03 ORL")</f>
        <v>03 ORL</v>
      </c>
      <c r="T126" s="33" t="str">
        <f ca="1">IFERROR(__xludf.DUMMYFUNCTION("""COMPUTED_VALUE"""),"06 ORL")</f>
        <v>06 ORL</v>
      </c>
      <c r="U126" s="62"/>
      <c r="W126" s="62"/>
      <c r="X126" s="62"/>
      <c r="AE126" s="1"/>
      <c r="AG126" s="60"/>
      <c r="AJ126" s="60"/>
    </row>
    <row r="127" spans="1:36" ht="16">
      <c r="A127" s="33"/>
      <c r="B127" s="55" t="str">
        <f t="shared" ca="1" si="0"/>
        <v>ISL</v>
      </c>
      <c r="C127" s="64" t="str">
        <f ca="1">IFERROR(__xludf.DUMMYFUNCTION("""COMPUTED_VALUE"""),"ISL59")</f>
        <v>ISL59</v>
      </c>
      <c r="D127" s="33" t="str">
        <f ca="1">IFERROR(__xludf.DUMMYFUNCTION("""COMPUTED_VALUE"""),"PROPIOS")</f>
        <v>PROPIOS</v>
      </c>
      <c r="E127" s="33">
        <f ca="1">IFERROR(__xludf.DUMMYFUNCTION("""COMPUTED_VALUE"""),2026)</f>
        <v>2026</v>
      </c>
      <c r="F127" s="56">
        <f ca="1">IFERROR(__xludf.DUMMYFUNCTION("""COMPUTED_VALUE"""),1)</f>
        <v>1</v>
      </c>
      <c r="G127" s="33" t="str">
        <f ca="1">IFERROR(__xludf.DUMMYFUNCTION("""COMPUTED_VALUE"""),"Murcia")</f>
        <v>Murcia</v>
      </c>
      <c r="H127" s="33" t="str">
        <f ca="1">IFERROR(__xludf.DUMMYFUNCTION("""COMPUTED_VALUE"""),"C202512261643590551")</f>
        <v>C202512261643590551</v>
      </c>
      <c r="I127" s="33" t="str">
        <f ca="1">IFERROR(__xludf.DUMMYFUNCTION("""COMPUTED_VALUE"""),"INES RAQUEL MADRID ROSA")</f>
        <v>INES RAQUEL MADRID ROSA</v>
      </c>
      <c r="J127" s="57">
        <f ca="1">IFERROR(__xludf.DUMMYFUNCTION("""COMPUTED_VALUE"""),46017)</f>
        <v>46017</v>
      </c>
      <c r="K127" s="33" t="str">
        <f ca="1">IFERROR(__xludf.DUMMYFUNCTION("""COMPUTED_VALUE"""),"Factura audífonos")</f>
        <v>Factura audífonos</v>
      </c>
      <c r="L127" s="57">
        <f ca="1">IFERROR(__xludf.DUMMYFUNCTION("""COMPUTED_VALUE"""),46052)</f>
        <v>46052</v>
      </c>
      <c r="M127" s="33" t="str">
        <f ca="1">IFERROR(__xludf.DUMMYFUNCTION("""COMPUTED_VALUE"""),"NO")</f>
        <v>NO</v>
      </c>
      <c r="N127" s="56">
        <f ca="1">IFERROR(__xludf.DUMMYFUNCTION("""COMPUTED_VALUE"""),2)</f>
        <v>2</v>
      </c>
      <c r="O127" s="33" t="str">
        <f ca="1">IFERROR(__xludf.DUMMYFUNCTION("""COMPUTED_VALUE"""),"ADVANCED")</f>
        <v>ADVANCED</v>
      </c>
      <c r="P127" s="60">
        <f ca="1">IFERROR(__xludf.DUMMYFUNCTION("""COMPUTED_VALUE"""),4136.36)</f>
        <v>4136.3599999999997</v>
      </c>
      <c r="Q127" s="33" t="str">
        <f ca="1">IFERROR(__xludf.DUMMYFUNCTION("""COMPUTED_VALUE"""),"Iván Sánchez")</f>
        <v>Iván Sánchez</v>
      </c>
      <c r="R127" s="60" t="str">
        <f ca="1">IFERROR(__xludf.DUMMYFUNCTION("""COMPUTED_VALUE"""),"Juan Pablo Pelegrín Hernández")</f>
        <v>Juan Pablo Pelegrín Hernández</v>
      </c>
      <c r="S127" s="61" t="str">
        <f ca="1">IFERROR(__xludf.DUMMYFUNCTION("""COMPUTED_VALUE"""),"03 ORL")</f>
        <v>03 ORL</v>
      </c>
      <c r="T127" s="33" t="str">
        <f ca="1">IFERROR(__xludf.DUMMYFUNCTION("""COMPUTED_VALUE"""),"06 ORL")</f>
        <v>06 ORL</v>
      </c>
      <c r="U127" s="62"/>
      <c r="W127" s="62"/>
      <c r="X127" s="62"/>
      <c r="AG127" s="60"/>
      <c r="AJ127" s="60"/>
    </row>
    <row r="128" spans="1:36" ht="16">
      <c r="A128" s="33"/>
      <c r="B128" s="55" t="str">
        <f t="shared" ca="1" si="0"/>
        <v>LRM</v>
      </c>
      <c r="C128" s="64" t="str">
        <f ca="1">IFERROR(__xludf.DUMMYFUNCTION("""COMPUTED_VALUE"""),"LRM141")</f>
        <v>LRM141</v>
      </c>
      <c r="D128" s="33" t="str">
        <f ca="1">IFERROR(__xludf.DUMMYFUNCTION("""COMPUTED_VALUE"""),"PROPIOS")</f>
        <v>PROPIOS</v>
      </c>
      <c r="E128" s="33">
        <f ca="1">IFERROR(__xludf.DUMMYFUNCTION("""COMPUTED_VALUE"""),2026)</f>
        <v>2026</v>
      </c>
      <c r="F128" s="56">
        <f ca="1">IFERROR(__xludf.DUMMYFUNCTION("""COMPUTED_VALUE"""),1)</f>
        <v>1</v>
      </c>
      <c r="G128" s="33" t="str">
        <f ca="1">IFERROR(__xludf.DUMMYFUNCTION("""COMPUTED_VALUE"""),"Madrid- Monforte de Lemos")</f>
        <v>Madrid- Monforte de Lemos</v>
      </c>
      <c r="H128" s="33" t="str">
        <f ca="1">IFERROR(__xludf.DUMMYFUNCTION("""COMPUTED_VALUE"""),"C202611216253638956")</f>
        <v>C202611216253638956</v>
      </c>
      <c r="I128" s="33" t="str">
        <f ca="1">IFERROR(__xludf.DUMMYFUNCTION("""COMPUTED_VALUE"""),"MARIA ANGELES GONZALEZ SAMALEA")</f>
        <v>MARIA ANGELES GONZALEZ SAMALEA</v>
      </c>
      <c r="J128" s="57">
        <f ca="1">IFERROR(__xludf.DUMMYFUNCTION("""COMPUTED_VALUE"""),46034)</f>
        <v>46034</v>
      </c>
      <c r="K128" s="33" t="str">
        <f ca="1">IFERROR(__xludf.DUMMYFUNCTION("""COMPUTED_VALUE"""),"Factura audífonos")</f>
        <v>Factura audífonos</v>
      </c>
      <c r="L128" s="57">
        <f ca="1">IFERROR(__xludf.DUMMYFUNCTION("""COMPUTED_VALUE"""),46052)</f>
        <v>46052</v>
      </c>
      <c r="M128" s="33" t="str">
        <f ca="1">IFERROR(__xludf.DUMMYFUNCTION("""COMPUTED_VALUE"""),"NO")</f>
        <v>NO</v>
      </c>
      <c r="N128" s="56">
        <f ca="1">IFERROR(__xludf.DUMMYFUNCTION("""COMPUTED_VALUE"""),2)</f>
        <v>2</v>
      </c>
      <c r="O128" s="33" t="str">
        <f ca="1">IFERROR(__xludf.DUMMYFUNCTION("""COMPUTED_VALUE"""),"CONFORT")</f>
        <v>CONFORT</v>
      </c>
      <c r="P128" s="59">
        <f ca="1">IFERROR(__xludf.DUMMYFUNCTION("""COMPUTED_VALUE"""),3631.82)</f>
        <v>3631.82</v>
      </c>
      <c r="Q128" s="33" t="str">
        <f ca="1">IFERROR(__xludf.DUMMYFUNCTION("""COMPUTED_VALUE"""),"Lisandro Russian")</f>
        <v>Lisandro Russian</v>
      </c>
      <c r="R128" s="60" t="str">
        <f ca="1">IFERROR(__xludf.DUMMYFUNCTION("""COMPUTED_VALUE"""),"Blanca Mateos Serrano")</f>
        <v>Blanca Mateos Serrano</v>
      </c>
      <c r="S128" s="61" t="str">
        <f ca="1">IFERROR(__xludf.DUMMYFUNCTION("""COMPUTED_VALUE"""),"03 ORL")</f>
        <v>03 ORL</v>
      </c>
      <c r="T128" s="33" t="str">
        <f ca="1">IFERROR(__xludf.DUMMYFUNCTION("""COMPUTED_VALUE"""),"06 ORL")</f>
        <v>06 ORL</v>
      </c>
      <c r="U128" s="62"/>
      <c r="W128" s="62"/>
      <c r="X128" s="62"/>
      <c r="AE128" s="1"/>
      <c r="AG128" s="59"/>
      <c r="AJ128" s="60"/>
    </row>
    <row r="129" spans="1:36" ht="16">
      <c r="A129" s="33"/>
      <c r="B129" s="55" t="str">
        <f t="shared" ca="1" si="0"/>
        <v>PSC</v>
      </c>
      <c r="C129" s="64" t="str">
        <f ca="1">IFERROR(__xludf.DUMMYFUNCTION("""COMPUTED_VALUE"""),"PSC55")</f>
        <v>PSC55</v>
      </c>
      <c r="D129" s="33" t="str">
        <f ca="1">IFERROR(__xludf.DUMMYFUNCTION("""COMPUTED_VALUE"""),"ASOCIADOS")</f>
        <v>ASOCIADOS</v>
      </c>
      <c r="E129" s="33">
        <f ca="1">IFERROR(__xludf.DUMMYFUNCTION("""COMPUTED_VALUE"""),2026)</f>
        <v>2026</v>
      </c>
      <c r="F129" s="56">
        <f ca="1">IFERROR(__xludf.DUMMYFUNCTION("""COMPUTED_VALUE"""),1)</f>
        <v>1</v>
      </c>
      <c r="G129" s="33" t="str">
        <f ca="1">IFERROR(__xludf.DUMMYFUNCTION("""COMPUTED_VALUE"""),"Ponferrada")</f>
        <v>Ponferrada</v>
      </c>
      <c r="H129" s="33" t="str">
        <f ca="1">IFERROR(__xludf.DUMMYFUNCTION("""COMPUTED_VALUE"""),"PON-952")</f>
        <v>PON-952</v>
      </c>
      <c r="I129" s="33" t="str">
        <f ca="1">IFERROR(__xludf.DUMMYFUNCTION("""COMPUTED_VALUE"""),"LEONOR PEREIRA LOPEZ")</f>
        <v>LEONOR PEREIRA LOPEZ</v>
      </c>
      <c r="J129" s="57">
        <f ca="1">IFERROR(__xludf.DUMMYFUNCTION("""COMPUTED_VALUE"""),45862)</f>
        <v>45862</v>
      </c>
      <c r="K129" s="33" t="str">
        <f ca="1">IFERROR(__xludf.DUMMYFUNCTION("""COMPUTED_VALUE"""),"Factura audífonos")</f>
        <v>Factura audífonos</v>
      </c>
      <c r="L129" s="57">
        <f ca="1">IFERROR(__xludf.DUMMYFUNCTION("""COMPUTED_VALUE"""),46052)</f>
        <v>46052</v>
      </c>
      <c r="M129" s="33" t="str">
        <f ca="1">IFERROR(__xludf.DUMMYFUNCTION("""COMPUTED_VALUE"""),"NO")</f>
        <v>NO</v>
      </c>
      <c r="N129" s="56">
        <f ca="1">IFERROR(__xludf.DUMMYFUNCTION("""COMPUTED_VALUE"""),2)</f>
        <v>2</v>
      </c>
      <c r="O129" s="33" t="str">
        <f ca="1">IFERROR(__xludf.DUMMYFUNCTION("""COMPUTED_VALUE"""),"SOCIAL")</f>
        <v>SOCIAL</v>
      </c>
      <c r="P129" s="60">
        <f ca="1">IFERROR(__xludf.DUMMYFUNCTION("""COMPUTED_VALUE"""),2234.85)</f>
        <v>2234.85</v>
      </c>
      <c r="Q129" s="33" t="str">
        <f ca="1">IFERROR(__xludf.DUMMYFUNCTION("""COMPUTED_VALUE"""),"Alberto Moreno")</f>
        <v>Alberto Moreno</v>
      </c>
      <c r="R129" s="60" t="str">
        <f ca="1">IFERROR(__xludf.DUMMYFUNCTION("""COMPUTED_VALUE"""),"Xenia Mota Rojas")</f>
        <v>Xenia Mota Rojas</v>
      </c>
      <c r="S129" s="61" t="str">
        <f ca="1">IFERROR(__xludf.DUMMYFUNCTION("""COMPUTED_VALUE"""),"03 ORL")</f>
        <v>03 ORL</v>
      </c>
      <c r="T129" s="33" t="str">
        <f ca="1">IFERROR(__xludf.DUMMYFUNCTION("""COMPUTED_VALUE"""),"06 ORL")</f>
        <v>06 ORL</v>
      </c>
      <c r="W129" s="62"/>
      <c r="X129" s="62"/>
      <c r="AG129" s="60"/>
    </row>
    <row r="130" spans="1:36" ht="16">
      <c r="A130" s="33"/>
      <c r="B130" s="55" t="str">
        <f t="shared" ca="1" si="0"/>
        <v>LRM</v>
      </c>
      <c r="C130" s="64" t="str">
        <f ca="1">IFERROR(__xludf.DUMMYFUNCTION("""COMPUTED_VALUE"""),"LRM267")</f>
        <v>LRM267</v>
      </c>
      <c r="D130" s="33" t="str">
        <f ca="1">IFERROR(__xludf.DUMMYFUNCTION("""COMPUTED_VALUE"""),"PROPIOS")</f>
        <v>PROPIOS</v>
      </c>
      <c r="E130" s="33">
        <f ca="1">IFERROR(__xludf.DUMMYFUNCTION("""COMPUTED_VALUE"""),2026)</f>
        <v>2026</v>
      </c>
      <c r="F130" s="56">
        <f ca="1">IFERROR(__xludf.DUMMYFUNCTION("""COMPUTED_VALUE"""),1)</f>
        <v>1</v>
      </c>
      <c r="G130" s="33" t="str">
        <f ca="1">IFERROR(__xludf.DUMMYFUNCTION("""COMPUTED_VALUE"""),"Logroño")</f>
        <v>Logroño</v>
      </c>
      <c r="H130" s="33" t="str">
        <f ca="1">IFERROR(__xludf.DUMMYFUNCTION("""COMPUTED_VALUE"""),"C202512191195736605")</f>
        <v>C202512191195736605</v>
      </c>
      <c r="I130" s="33" t="str">
        <f ca="1">IFERROR(__xludf.DUMMYFUNCTION("""COMPUTED_VALUE"""),"ISABEL MAISO SAENZ")</f>
        <v>ISABEL MAISO SAENZ</v>
      </c>
      <c r="J130" s="57">
        <f ca="1">IFERROR(__xludf.DUMMYFUNCTION("""COMPUTED_VALUE"""),46010)</f>
        <v>46010</v>
      </c>
      <c r="K130" s="33" t="str">
        <f ca="1">IFERROR(__xludf.DUMMYFUNCTION("""COMPUTED_VALUE"""),"Factura audífonos")</f>
        <v>Factura audífonos</v>
      </c>
      <c r="L130" s="57">
        <f ca="1">IFERROR(__xludf.DUMMYFUNCTION("""COMPUTED_VALUE"""),46053)</f>
        <v>46053</v>
      </c>
      <c r="M130" s="33" t="str">
        <f ca="1">IFERROR(__xludf.DUMMYFUNCTION("""COMPUTED_VALUE"""),"NO")</f>
        <v>NO</v>
      </c>
      <c r="N130" s="56">
        <f ca="1">IFERROR(__xludf.DUMMYFUNCTION("""COMPUTED_VALUE"""),2)</f>
        <v>2</v>
      </c>
      <c r="O130" s="33" t="str">
        <f ca="1">IFERROR(__xludf.DUMMYFUNCTION("""COMPUTED_VALUE"""),"ADVANCED")</f>
        <v>ADVANCED</v>
      </c>
      <c r="P130" s="59">
        <f ca="1">IFERROR(__xludf.DUMMYFUNCTION("""COMPUTED_VALUE"""),3929.55)</f>
        <v>3929.55</v>
      </c>
      <c r="Q130" s="33" t="str">
        <f ca="1">IFERROR(__xludf.DUMMYFUNCTION("""COMPUTED_VALUE"""),"Lisandro Russian")</f>
        <v>Lisandro Russian</v>
      </c>
      <c r="R130" s="60" t="str">
        <f ca="1">IFERROR(__xludf.DUMMYFUNCTION("""COMPUTED_VALUE"""),"Pablo Luis Vega Gajón")</f>
        <v>Pablo Luis Vega Gajón</v>
      </c>
      <c r="S130" s="61" t="str">
        <f ca="1">IFERROR(__xludf.DUMMYFUNCTION("""COMPUTED_VALUE"""),"03 ORL")</f>
        <v>03 ORL</v>
      </c>
      <c r="T130" s="33" t="str">
        <f ca="1">IFERROR(__xludf.DUMMYFUNCTION("""COMPUTED_VALUE"""),"06 ORL")</f>
        <v>06 ORL</v>
      </c>
      <c r="U130" s="62"/>
      <c r="W130" s="62"/>
      <c r="X130" s="62"/>
      <c r="AG130" s="59"/>
    </row>
    <row r="131" spans="1:36" ht="16">
      <c r="A131" s="33"/>
      <c r="B131" s="55" t="str">
        <f t="shared" ca="1" si="0"/>
        <v>MCC</v>
      </c>
      <c r="C131" s="64" t="str">
        <f ca="1">IFERROR(__xludf.DUMMYFUNCTION("""COMPUTED_VALUE"""),"MCC10")</f>
        <v>MCC10</v>
      </c>
      <c r="D131" s="33" t="str">
        <f ca="1">IFERROR(__xludf.DUMMYFUNCTION("""COMPUTED_VALUE"""),"PARTICIPADOS")</f>
        <v>PARTICIPADOS</v>
      </c>
      <c r="E131" s="33">
        <f ca="1">IFERROR(__xludf.DUMMYFUNCTION("""COMPUTED_VALUE"""),2026)</f>
        <v>2026</v>
      </c>
      <c r="F131" s="56">
        <f ca="1">IFERROR(__xludf.DUMMYFUNCTION("""COMPUTED_VALUE"""),1)</f>
        <v>1</v>
      </c>
      <c r="G131" s="33" t="str">
        <f ca="1">IFERROR(__xludf.DUMMYFUNCTION("""COMPUTED_VALUE"""),"Vilanova")</f>
        <v>Vilanova</v>
      </c>
      <c r="H131" s="33" t="str">
        <f ca="1">IFERROR(__xludf.DUMMYFUNCTION("""COMPUTED_VALUE"""),"C202410189243369")</f>
        <v>C202410189243369</v>
      </c>
      <c r="I131" s="33" t="str">
        <f ca="1">IFERROR(__xludf.DUMMYFUNCTION("""COMPUTED_VALUE"""),"Benito Martínez Rodríguez")</f>
        <v>Benito Martínez Rodríguez</v>
      </c>
      <c r="J131" s="57">
        <f ca="1">IFERROR(__xludf.DUMMYFUNCTION("""COMPUTED_VALUE"""),45579)</f>
        <v>45579</v>
      </c>
      <c r="K131" s="33" t="str">
        <f ca="1">IFERROR(__xludf.DUMMYFUNCTION("""COMPUTED_VALUE"""),"Factura audífonos")</f>
        <v>Factura audífonos</v>
      </c>
      <c r="L131" s="57">
        <f ca="1">IFERROR(__xludf.DUMMYFUNCTION("""COMPUTED_VALUE"""),46053)</f>
        <v>46053</v>
      </c>
      <c r="M131" s="33" t="str">
        <f ca="1">IFERROR(__xludf.DUMMYFUNCTION("""COMPUTED_VALUE"""),"NO")</f>
        <v>NO</v>
      </c>
      <c r="N131" s="56">
        <f ca="1">IFERROR(__xludf.DUMMYFUNCTION("""COMPUTED_VALUE"""),2)</f>
        <v>2</v>
      </c>
      <c r="O131" s="33" t="str">
        <f ca="1">IFERROR(__xludf.DUMMYFUNCTION("""COMPUTED_VALUE"""),"ADVANCED")</f>
        <v>ADVANCED</v>
      </c>
      <c r="P131" s="59">
        <f ca="1">IFERROR(__xludf.DUMMYFUNCTION("""COMPUTED_VALUE"""),4136.36)</f>
        <v>4136.3599999999997</v>
      </c>
      <c r="Q131" s="33" t="str">
        <f ca="1">IFERROR(__xludf.DUMMYFUNCTION("""COMPUTED_VALUE"""),"Mercè Cabrera")</f>
        <v>Mercè Cabrera</v>
      </c>
      <c r="R131" s="60" t="str">
        <f ca="1">IFERROR(__xludf.DUMMYFUNCTION("""COMPUTED_VALUE"""),"Enrique Romero Van Abeleen")</f>
        <v>Enrique Romero Van Abeleen</v>
      </c>
      <c r="S131" s="61" t="str">
        <f ca="1">IFERROR(__xludf.DUMMYFUNCTION("""COMPUTED_VALUE"""),"03 ORL")</f>
        <v>03 ORL</v>
      </c>
      <c r="T131" s="33" t="str">
        <f ca="1">IFERROR(__xludf.DUMMYFUNCTION("""COMPUTED_VALUE"""),"06 ORL")</f>
        <v>06 ORL</v>
      </c>
      <c r="U131" s="62"/>
      <c r="W131" s="62"/>
      <c r="X131" s="62"/>
      <c r="AG131" s="59"/>
      <c r="AJ131" s="60"/>
    </row>
    <row r="132" spans="1:36" ht="16">
      <c r="A132" s="33"/>
      <c r="B132" s="55" t="str">
        <f t="shared" ca="1" si="0"/>
        <v>LRM</v>
      </c>
      <c r="C132" s="64" t="str">
        <f ca="1">IFERROR(__xludf.DUMMYFUNCTION("""COMPUTED_VALUE"""),"LRM58")</f>
        <v>LRM58</v>
      </c>
      <c r="D132" s="33" t="str">
        <f ca="1">IFERROR(__xludf.DUMMYFUNCTION("""COMPUTED_VALUE"""),"ASOCIADOS")</f>
        <v>ASOCIADOS</v>
      </c>
      <c r="E132" s="33">
        <f ca="1">IFERROR(__xludf.DUMMYFUNCTION("""COMPUTED_VALUE"""),2026)</f>
        <v>2026</v>
      </c>
      <c r="F132" s="56">
        <f ca="1">IFERROR(__xludf.DUMMYFUNCTION("""COMPUTED_VALUE"""),2)</f>
        <v>2</v>
      </c>
      <c r="G132" s="33" t="str">
        <f ca="1">IFERROR(__xludf.DUMMYFUNCTION("""COMPUTED_VALUE"""),"Cáceres")</f>
        <v>Cáceres</v>
      </c>
      <c r="H132" s="33" t="str">
        <f ca="1">IFERROR(__xludf.DUMMYFUNCTION("""COMPUTED_VALUE"""),"C202512912351409581")</f>
        <v>C202512912351409581</v>
      </c>
      <c r="I132" s="33" t="str">
        <f ca="1">IFERROR(__xludf.DUMMYFUNCTION("""COMPUTED_VALUE"""),"MARIA LUISA MERCEDES HERNANDEZ NOTARIO")</f>
        <v>MARIA LUISA MERCEDES HERNANDEZ NOTARIO</v>
      </c>
      <c r="J132" s="57">
        <f ca="1">IFERROR(__xludf.DUMMYFUNCTION("""COMPUTED_VALUE"""),46000)</f>
        <v>46000</v>
      </c>
      <c r="K132" s="33" t="str">
        <f ca="1">IFERROR(__xludf.DUMMYFUNCTION("""COMPUTED_VALUE"""),"Factura audífonos")</f>
        <v>Factura audífonos</v>
      </c>
      <c r="L132" s="57">
        <f ca="1">IFERROR(__xludf.DUMMYFUNCTION("""COMPUTED_VALUE"""),46055)</f>
        <v>46055</v>
      </c>
      <c r="M132" s="33" t="str">
        <f ca="1">IFERROR(__xludf.DUMMYFUNCTION("""COMPUTED_VALUE"""),"NO")</f>
        <v>NO</v>
      </c>
      <c r="N132" s="56">
        <f ca="1">IFERROR(__xludf.DUMMYFUNCTION("""COMPUTED_VALUE"""),2)</f>
        <v>2</v>
      </c>
      <c r="O132" s="33" t="str">
        <f ca="1">IFERROR(__xludf.DUMMYFUNCTION("""COMPUTED_VALUE"""),"PRO")</f>
        <v>PRO</v>
      </c>
      <c r="P132" s="60">
        <f ca="1">IFERROR(__xludf.DUMMYFUNCTION("""COMPUTED_VALUE"""),4990.91)</f>
        <v>4990.91</v>
      </c>
      <c r="Q132" s="33" t="str">
        <f ca="1">IFERROR(__xludf.DUMMYFUNCTION("""COMPUTED_VALUE"""),"Lisandro Russian")</f>
        <v>Lisandro Russian</v>
      </c>
      <c r="R132" s="60" t="str">
        <f ca="1">IFERROR(__xludf.DUMMYFUNCTION("""COMPUTED_VALUE"""),"Javier García Gómez")</f>
        <v>Javier García Gómez</v>
      </c>
      <c r="S132" s="61" t="str">
        <f ca="1">IFERROR(__xludf.DUMMYFUNCTION("""COMPUTED_VALUE"""),"03 ORL")</f>
        <v>03 ORL</v>
      </c>
      <c r="T132" s="33" t="str">
        <f ca="1">IFERROR(__xludf.DUMMYFUNCTION("""COMPUTED_VALUE"""),"06 ORL")</f>
        <v>06 ORL</v>
      </c>
      <c r="U132" s="62"/>
      <c r="W132" s="62"/>
      <c r="X132" s="62"/>
      <c r="AG132" s="60"/>
    </row>
    <row r="133" spans="1:36" ht="16">
      <c r="A133" s="33"/>
      <c r="B133" s="55" t="str">
        <f t="shared" ca="1" si="0"/>
        <v>LAA</v>
      </c>
      <c r="C133" s="64" t="str">
        <f ca="1">IFERROR(__xludf.DUMMYFUNCTION("""COMPUTED_VALUE"""),"LAA82")</f>
        <v>LAA82</v>
      </c>
      <c r="D133" s="33" t="str">
        <f ca="1">IFERROR(__xludf.DUMMYFUNCTION("""COMPUTED_VALUE"""),"PROPIOS")</f>
        <v>PROPIOS</v>
      </c>
      <c r="E133" s="33">
        <f ca="1">IFERROR(__xludf.DUMMYFUNCTION("""COMPUTED_VALUE"""),2026)</f>
        <v>2026</v>
      </c>
      <c r="F133" s="56">
        <f ca="1">IFERROR(__xludf.DUMMYFUNCTION("""COMPUTED_VALUE"""),2)</f>
        <v>2</v>
      </c>
      <c r="G133" s="33" t="str">
        <f ca="1">IFERROR(__xludf.DUMMYFUNCTION("""COMPUTED_VALUE"""),"Sevilla- Montoto")</f>
        <v>Sevilla- Montoto</v>
      </c>
      <c r="H133" s="33" t="str">
        <f ca="1">IFERROR(__xludf.DUMMYFUNCTION("""COMPUTED_VALUE"""),"C202611413142736675")</f>
        <v>C202611413142736675</v>
      </c>
      <c r="I133" s="33" t="str">
        <f ca="1">IFERROR(__xludf.DUMMYFUNCTION("""COMPUTED_VALUE"""),"ANDRES MONTERO MALDONADO")</f>
        <v>ANDRES MONTERO MALDONADO</v>
      </c>
      <c r="J133" s="57">
        <f ca="1">IFERROR(__xludf.DUMMYFUNCTION("""COMPUTED_VALUE"""),46036)</f>
        <v>46036</v>
      </c>
      <c r="K133" s="33" t="str">
        <f ca="1">IFERROR(__xludf.DUMMYFUNCTION("""COMPUTED_VALUE"""),"Factura audífonos")</f>
        <v>Factura audífonos</v>
      </c>
      <c r="L133" s="57">
        <f ca="1">IFERROR(__xludf.DUMMYFUNCTION("""COMPUTED_VALUE"""),46056)</f>
        <v>46056</v>
      </c>
      <c r="M133" s="33" t="str">
        <f ca="1">IFERROR(__xludf.DUMMYFUNCTION("""COMPUTED_VALUE"""),"NO")</f>
        <v>NO</v>
      </c>
      <c r="N133" s="56">
        <f ca="1">IFERROR(__xludf.DUMMYFUNCTION("""COMPUTED_VALUE"""),2)</f>
        <v>2</v>
      </c>
      <c r="O133" s="33" t="str">
        <f ca="1">IFERROR(__xludf.DUMMYFUNCTION("""COMPUTED_VALUE"""),"CONFORT")</f>
        <v>CONFORT</v>
      </c>
      <c r="P133" s="60">
        <f ca="1">IFERROR(__xludf.DUMMYFUNCTION("""COMPUTED_VALUE"""),3631.82)</f>
        <v>3631.82</v>
      </c>
      <c r="Q133" s="33" t="str">
        <f ca="1">IFERROR(__xludf.DUMMYFUNCTION("""COMPUTED_VALUE"""),"Luis Alberto Rodríguez")</f>
        <v>Luis Alberto Rodríguez</v>
      </c>
      <c r="R133" s="60" t="str">
        <f ca="1">IFERROR(__xludf.DUMMYFUNCTION("""COMPUTED_VALUE"""),"Marta Álvarez Cendrero")</f>
        <v>Marta Álvarez Cendrero</v>
      </c>
      <c r="S133" s="61" t="str">
        <f ca="1">IFERROR(__xludf.DUMMYFUNCTION("""COMPUTED_VALUE"""),"03 ORL")</f>
        <v>03 ORL</v>
      </c>
      <c r="T133" s="33" t="str">
        <f ca="1">IFERROR(__xludf.DUMMYFUNCTION("""COMPUTED_VALUE"""),"06 ORL")</f>
        <v>06 ORL</v>
      </c>
      <c r="U133" s="62"/>
      <c r="W133" s="62"/>
      <c r="X133" s="62"/>
      <c r="AG133" s="60"/>
      <c r="AJ133" s="60"/>
    </row>
    <row r="134" spans="1:36" ht="16">
      <c r="A134" s="33"/>
      <c r="B134" s="55" t="str">
        <f t="shared" ca="1" si="0"/>
        <v>LAA</v>
      </c>
      <c r="C134" s="64" t="str">
        <f ca="1">IFERROR(__xludf.DUMMYFUNCTION("""COMPUTED_VALUE"""),"LAA60")</f>
        <v>LAA60</v>
      </c>
      <c r="D134" s="33" t="str">
        <f ca="1">IFERROR(__xludf.DUMMYFUNCTION("""COMPUTED_VALUE"""),"ASOCIADOS")</f>
        <v>ASOCIADOS</v>
      </c>
      <c r="E134" s="33">
        <f ca="1">IFERROR(__xludf.DUMMYFUNCTION("""COMPUTED_VALUE"""),2026)</f>
        <v>2026</v>
      </c>
      <c r="F134" s="56">
        <f ca="1">IFERROR(__xludf.DUMMYFUNCTION("""COMPUTED_VALUE"""),2)</f>
        <v>2</v>
      </c>
      <c r="G134" s="33" t="str">
        <f ca="1">IFERROR(__xludf.DUMMYFUNCTION("""COMPUTED_VALUE"""),"Badajoz")</f>
        <v>Badajoz</v>
      </c>
      <c r="H134" s="33" t="str">
        <f ca="1">IFERROR(__xludf.DUMMYFUNCTION("""COMPUTED_VALUE"""),"C202512411361286426")</f>
        <v>C202512411361286426</v>
      </c>
      <c r="I134" s="33" t="str">
        <f ca="1">IFERROR(__xludf.DUMMYFUNCTION("""COMPUTED_VALUE"""),"JESUS ORTEGA SOLIS")</f>
        <v>JESUS ORTEGA SOLIS</v>
      </c>
      <c r="J134" s="57">
        <f ca="1">IFERROR(__xludf.DUMMYFUNCTION("""COMPUTED_VALUE"""),45995)</f>
        <v>45995</v>
      </c>
      <c r="K134" s="33" t="str">
        <f ca="1">IFERROR(__xludf.DUMMYFUNCTION("""COMPUTED_VALUE"""),"Factura audífonos")</f>
        <v>Factura audífonos</v>
      </c>
      <c r="L134" s="57">
        <f ca="1">IFERROR(__xludf.DUMMYFUNCTION("""COMPUTED_VALUE"""),46056)</f>
        <v>46056</v>
      </c>
      <c r="M134" s="33" t="str">
        <f ca="1">IFERROR(__xludf.DUMMYFUNCTION("""COMPUTED_VALUE"""),"NO")</f>
        <v>NO</v>
      </c>
      <c r="N134" s="56">
        <f ca="1">IFERROR(__xludf.DUMMYFUNCTION("""COMPUTED_VALUE"""),2)</f>
        <v>2</v>
      </c>
      <c r="O134" s="33" t="str">
        <f ca="1">IFERROR(__xludf.DUMMYFUNCTION("""COMPUTED_VALUE"""),"PRO")</f>
        <v>PRO</v>
      </c>
      <c r="P134" s="60">
        <f ca="1">IFERROR(__xludf.DUMMYFUNCTION("""COMPUTED_VALUE"""),4536.36)</f>
        <v>4536.3599999999997</v>
      </c>
      <c r="Q134" s="33" t="str">
        <f ca="1">IFERROR(__xludf.DUMMYFUNCTION("""COMPUTED_VALUE"""),"Luis Alberto Rodríguez")</f>
        <v>Luis Alberto Rodríguez</v>
      </c>
      <c r="R134" s="60" t="str">
        <f ca="1">IFERROR(__xludf.DUMMYFUNCTION("""COMPUTED_VALUE"""),"Tomas Mogollon Cano Cortes")</f>
        <v>Tomas Mogollon Cano Cortes</v>
      </c>
      <c r="S134" s="61" t="str">
        <f ca="1">IFERROR(__xludf.DUMMYFUNCTION("""COMPUTED_VALUE"""),"03 ORL")</f>
        <v>03 ORL</v>
      </c>
      <c r="T134" s="33" t="str">
        <f ca="1">IFERROR(__xludf.DUMMYFUNCTION("""COMPUTED_VALUE"""),"06 ORL")</f>
        <v>06 ORL</v>
      </c>
      <c r="U134" s="62"/>
      <c r="W134" s="62"/>
      <c r="X134" s="62"/>
      <c r="AG134" s="60"/>
      <c r="AJ134" s="60"/>
    </row>
    <row r="135" spans="1:36" ht="16">
      <c r="A135" s="33"/>
      <c r="B135" s="55" t="str">
        <f t="shared" ca="1" si="0"/>
        <v>LRM</v>
      </c>
      <c r="C135" s="64" t="str">
        <f ca="1">IFERROR(__xludf.DUMMYFUNCTION("""COMPUTED_VALUE"""),"LRM33")</f>
        <v>LRM33</v>
      </c>
      <c r="D135" s="33" t="str">
        <f ca="1">IFERROR(__xludf.DUMMYFUNCTION("""COMPUTED_VALUE"""),"PROPIOS")</f>
        <v>PROPIOS</v>
      </c>
      <c r="E135" s="33">
        <f ca="1">IFERROR(__xludf.DUMMYFUNCTION("""COMPUTED_VALUE"""),2026)</f>
        <v>2026</v>
      </c>
      <c r="F135" s="56">
        <f ca="1">IFERROR(__xludf.DUMMYFUNCTION("""COMPUTED_VALUE"""),2)</f>
        <v>2</v>
      </c>
      <c r="G135" s="33" t="str">
        <f ca="1">IFERROR(__xludf.DUMMYFUNCTION("""COMPUTED_VALUE"""),"Toledo")</f>
        <v>Toledo</v>
      </c>
      <c r="H135" s="33" t="str">
        <f ca="1">IFERROR(__xludf.DUMMYFUNCTION("""COMPUTED_VALUE"""),"C202511583355498218")</f>
        <v>C202511583355498218</v>
      </c>
      <c r="I135" s="33" t="str">
        <f ca="1">IFERROR(__xludf.DUMMYFUNCTION("""COMPUTED_VALUE"""),"MARÍA DOLORES GUERRA GONZALEZ")</f>
        <v>MARÍA DOLORES GUERRA GONZALEZ</v>
      </c>
      <c r="J135" s="57">
        <f ca="1">IFERROR(__xludf.DUMMYFUNCTION("""COMPUTED_VALUE"""),45966)</f>
        <v>45966</v>
      </c>
      <c r="K135" s="33" t="str">
        <f ca="1">IFERROR(__xludf.DUMMYFUNCTION("""COMPUTED_VALUE"""),"Factura audífonos")</f>
        <v>Factura audífonos</v>
      </c>
      <c r="L135" s="57">
        <f ca="1">IFERROR(__xludf.DUMMYFUNCTION("""COMPUTED_VALUE"""),46056)</f>
        <v>46056</v>
      </c>
      <c r="M135" s="33" t="str">
        <f ca="1">IFERROR(__xludf.DUMMYFUNCTION("""COMPUTED_VALUE"""),"NO")</f>
        <v>NO</v>
      </c>
      <c r="N135" s="56">
        <f ca="1">IFERROR(__xludf.DUMMYFUNCTION("""COMPUTED_VALUE"""),2)</f>
        <v>2</v>
      </c>
      <c r="O135" s="33" t="str">
        <f ca="1">IFERROR(__xludf.DUMMYFUNCTION("""COMPUTED_VALUE"""),"ADVANCED")</f>
        <v>ADVANCED</v>
      </c>
      <c r="P135" s="59">
        <f ca="1">IFERROR(__xludf.DUMMYFUNCTION("""COMPUTED_VALUE"""),4136.36)</f>
        <v>4136.3599999999997</v>
      </c>
      <c r="Q135" s="33" t="str">
        <f ca="1">IFERROR(__xludf.DUMMYFUNCTION("""COMPUTED_VALUE"""),"Lisandro Russian")</f>
        <v>Lisandro Russian</v>
      </c>
      <c r="R135" s="60" t="str">
        <f ca="1">IFERROR(__xludf.DUMMYFUNCTION("""COMPUTED_VALUE"""),"María Eva Ruiz de Gauna Martín")</f>
        <v>María Eva Ruiz de Gauna Martín</v>
      </c>
      <c r="S135" s="61" t="str">
        <f ca="1">IFERROR(__xludf.DUMMYFUNCTION("""COMPUTED_VALUE"""),"01 MARKETING ON LINE")</f>
        <v>01 MARKETING ON LINE</v>
      </c>
      <c r="T135" s="33" t="str">
        <f ca="1">IFERROR(__xludf.DUMMYFUNCTION("""COMPUTED_VALUE"""),"02 GOOGLE")</f>
        <v>02 GOOGLE</v>
      </c>
      <c r="U135" s="62"/>
      <c r="W135" s="62"/>
      <c r="X135" s="62"/>
      <c r="AG135" s="60"/>
      <c r="AJ135" s="60"/>
    </row>
    <row r="136" spans="1:36" ht="16">
      <c r="A136" s="33"/>
      <c r="B136" s="55" t="str">
        <f t="shared" ca="1" si="0"/>
        <v>LRM</v>
      </c>
      <c r="C136" s="64" t="str">
        <f ca="1">IFERROR(__xludf.DUMMYFUNCTION("""COMPUTED_VALUE"""),"LRM230")</f>
        <v>LRM230</v>
      </c>
      <c r="D136" s="33" t="str">
        <f ca="1">IFERROR(__xludf.DUMMYFUNCTION("""COMPUTED_VALUE"""),"PROPIOS")</f>
        <v>PROPIOS</v>
      </c>
      <c r="E136" s="33">
        <f ca="1">IFERROR(__xludf.DUMMYFUNCTION("""COMPUTED_VALUE"""),2026)</f>
        <v>2026</v>
      </c>
      <c r="F136" s="56">
        <f ca="1">IFERROR(__xludf.DUMMYFUNCTION("""COMPUTED_VALUE"""),2)</f>
        <v>2</v>
      </c>
      <c r="G136" s="33" t="str">
        <f ca="1">IFERROR(__xludf.DUMMYFUNCTION("""COMPUTED_VALUE"""),"Logroño")</f>
        <v>Logroño</v>
      </c>
      <c r="H136" s="33" t="str">
        <f ca="1">IFERROR(__xludf.DUMMYFUNCTION("""COMPUTED_VALUE"""),"LOG-985")</f>
        <v>LOG-985</v>
      </c>
      <c r="I136" s="33" t="str">
        <f ca="1">IFERROR(__xludf.DUMMYFUNCTION("""COMPUTED_VALUE"""),"FELIX ÁNGEL GÓMEZ MORENO")</f>
        <v>FELIX ÁNGEL GÓMEZ MORENO</v>
      </c>
      <c r="J136" s="57">
        <f ca="1">IFERROR(__xludf.DUMMYFUNCTION("""COMPUTED_VALUE"""),44862)</f>
        <v>44862</v>
      </c>
      <c r="K136" s="33" t="str">
        <f ca="1">IFERROR(__xludf.DUMMYFUNCTION("""COMPUTED_VALUE"""),"Factura audífonos")</f>
        <v>Factura audífonos</v>
      </c>
      <c r="L136" s="57">
        <f ca="1">IFERROR(__xludf.DUMMYFUNCTION("""COMPUTED_VALUE"""),46058)</f>
        <v>46058</v>
      </c>
      <c r="M136" s="33" t="str">
        <f ca="1">IFERROR(__xludf.DUMMYFUNCTION("""COMPUTED_VALUE"""),"SI")</f>
        <v>SI</v>
      </c>
      <c r="N136" s="56">
        <f ca="1">IFERROR(__xludf.DUMMYFUNCTION("""COMPUTED_VALUE"""),1)</f>
        <v>1</v>
      </c>
      <c r="O136" s="33" t="str">
        <f ca="1">IFERROR(__xludf.DUMMYFUNCTION("""COMPUTED_VALUE"""),"CONFORT")</f>
        <v>CONFORT</v>
      </c>
      <c r="P136" s="59">
        <f ca="1">IFERROR(__xludf.DUMMYFUNCTION("""COMPUTED_VALUE"""),1590.91)</f>
        <v>1590.91</v>
      </c>
      <c r="Q136" s="33" t="str">
        <f ca="1">IFERROR(__xludf.DUMMYFUNCTION("""COMPUTED_VALUE"""),"Lisandro Russian")</f>
        <v>Lisandro Russian</v>
      </c>
      <c r="R136" s="60" t="str">
        <f ca="1">IFERROR(__xludf.DUMMYFUNCTION("""COMPUTED_VALUE"""),"Rebeca Barrios Gonzalo")</f>
        <v>Rebeca Barrios Gonzalo</v>
      </c>
      <c r="S136" s="61" t="str">
        <f ca="1">IFERROR(__xludf.DUMMYFUNCTION("""COMPUTED_VALUE"""),"04 TIENDA")</f>
        <v>04 TIENDA</v>
      </c>
      <c r="T136" s="33" t="str">
        <f ca="1">IFERROR(__xludf.DUMMYFUNCTION("""COMPUTED_VALUE"""),"10 REVISIÓN POST-VENTA")</f>
        <v>10 REVISIÓN POST-VENTA</v>
      </c>
      <c r="U136" s="62"/>
      <c r="W136" s="62"/>
      <c r="X136" s="62"/>
      <c r="AG136" s="59"/>
      <c r="AJ136" s="60"/>
    </row>
    <row r="137" spans="1:36" ht="16">
      <c r="A137" s="33"/>
      <c r="B137" s="55" t="str">
        <f t="shared" si="0"/>
        <v/>
      </c>
      <c r="C137" s="64"/>
      <c r="D137" s="33" t="str">
        <f ca="1">IFERROR(__xludf.DUMMYFUNCTION("""COMPUTED_VALUE"""),"PARTICIPADOS")</f>
        <v>PARTICIPADOS</v>
      </c>
      <c r="E137" s="33">
        <f ca="1">IFERROR(__xludf.DUMMYFUNCTION("""COMPUTED_VALUE"""),2026)</f>
        <v>2026</v>
      </c>
      <c r="F137" s="56">
        <f ca="1">IFERROR(__xludf.DUMMYFUNCTION("""COMPUTED_VALUE"""),2)</f>
        <v>2</v>
      </c>
      <c r="G137" s="33" t="str">
        <f ca="1">IFERROR(__xludf.DUMMYFUNCTION("""COMPUTED_VALUE"""),"Ourense")</f>
        <v>Ourense</v>
      </c>
      <c r="H137" s="33" t="str">
        <f ca="1">IFERROR(__xludf.DUMMYFUNCTION("""COMPUTED_VALUE"""),"C20261814759602992")</f>
        <v>C20261814759602992</v>
      </c>
      <c r="I137" s="33" t="str">
        <f ca="1">IFERROR(__xludf.DUMMYFUNCTION("""COMPUTED_VALUE"""),"LEONILDE DO ESPIRITU SANTO")</f>
        <v>LEONILDE DO ESPIRITU SANTO</v>
      </c>
      <c r="J137" s="57">
        <f ca="1">IFERROR(__xludf.DUMMYFUNCTION("""COMPUTED_VALUE"""),46030)</f>
        <v>46030</v>
      </c>
      <c r="K137" s="33" t="str">
        <f ca="1">IFERROR(__xludf.DUMMYFUNCTION("""COMPUTED_VALUE"""),"Factura audífonos")</f>
        <v>Factura audífonos</v>
      </c>
      <c r="L137" s="57">
        <f ca="1">IFERROR(__xludf.DUMMYFUNCTION("""COMPUTED_VALUE"""),46058)</f>
        <v>46058</v>
      </c>
      <c r="M137" s="33" t="str">
        <f ca="1">IFERROR(__xludf.DUMMYFUNCTION("""COMPUTED_VALUE"""),"NO")</f>
        <v>NO</v>
      </c>
      <c r="N137" s="56">
        <f ca="1">IFERROR(__xludf.DUMMYFUNCTION("""COMPUTED_VALUE"""),2)</f>
        <v>2</v>
      </c>
      <c r="O137" s="33" t="str">
        <f ca="1">IFERROR(__xludf.DUMMYFUNCTION("""COMPUTED_VALUE"""),"QUIET")</f>
        <v>QUIET</v>
      </c>
      <c r="P137" s="60">
        <f ca="1">IFERROR(__xludf.DUMMYFUNCTION("""COMPUTED_VALUE"""),2718.18)</f>
        <v>2718.18</v>
      </c>
      <c r="Q137" s="33" t="str">
        <f ca="1">IFERROR(__xludf.DUMMYFUNCTION("""COMPUTED_VALUE"""),"Kiko Ortega")</f>
        <v>Kiko Ortega</v>
      </c>
      <c r="R137" s="60" t="str">
        <f ca="1">IFERROR(__xludf.DUMMYFUNCTION("""COMPUTED_VALUE"""),"No recuerda ORL")</f>
        <v>No recuerda ORL</v>
      </c>
      <c r="S137" s="61" t="str">
        <f ca="1">IFERROR(__xludf.DUMMYFUNCTION("""COMPUTED_VALUE"""),"03 ORL")</f>
        <v>03 ORL</v>
      </c>
      <c r="T137" s="33" t="str">
        <f ca="1">IFERROR(__xludf.DUMMYFUNCTION("""COMPUTED_VALUE"""),"06 ORL")</f>
        <v>06 ORL</v>
      </c>
      <c r="U137" s="62"/>
      <c r="W137" s="62"/>
      <c r="X137" s="62"/>
      <c r="AG137" s="60"/>
    </row>
    <row r="138" spans="1:36" ht="16">
      <c r="A138" s="33"/>
      <c r="B138" s="55" t="str">
        <f t="shared" ca="1" si="0"/>
        <v>PSC</v>
      </c>
      <c r="C138" s="64" t="str">
        <f ca="1">IFERROR(__xludf.DUMMYFUNCTION("""COMPUTED_VALUE"""),"PSC37")</f>
        <v>PSC37</v>
      </c>
      <c r="D138" s="33" t="str">
        <f ca="1">IFERROR(__xludf.DUMMYFUNCTION("""COMPUTED_VALUE"""),"ASOCIADOS")</f>
        <v>ASOCIADOS</v>
      </c>
      <c r="E138" s="33">
        <f ca="1">IFERROR(__xludf.DUMMYFUNCTION("""COMPUTED_VALUE"""),2026)</f>
        <v>2026</v>
      </c>
      <c r="F138" s="56">
        <f ca="1">IFERROR(__xludf.DUMMYFUNCTION("""COMPUTED_VALUE"""),2)</f>
        <v>2</v>
      </c>
      <c r="G138" s="33" t="str">
        <f ca="1">IFERROR(__xludf.DUMMYFUNCTION("""COMPUTED_VALUE"""),"Ponferrada")</f>
        <v>Ponferrada</v>
      </c>
      <c r="H138" s="33" t="str">
        <f ca="1">IFERROR(__xludf.DUMMYFUNCTION("""COMPUTED_VALUE"""),"PON-168")</f>
        <v>PON-168</v>
      </c>
      <c r="I138" s="33" t="str">
        <f ca="1">IFERROR(__xludf.DUMMYFUNCTION("""COMPUTED_VALUE"""),"CATALINA EXPOSITO ALVES")</f>
        <v>CATALINA EXPOSITO ALVES</v>
      </c>
      <c r="J138" s="57">
        <f ca="1">IFERROR(__xludf.DUMMYFUNCTION("""COMPUTED_VALUE"""),44336)</f>
        <v>44336</v>
      </c>
      <c r="K138" s="33" t="str">
        <f ca="1">IFERROR(__xludf.DUMMYFUNCTION("""COMPUTED_VALUE"""),"Factura audífonos")</f>
        <v>Factura audífonos</v>
      </c>
      <c r="L138" s="57">
        <f ca="1">IFERROR(__xludf.DUMMYFUNCTION("""COMPUTED_VALUE"""),46058)</f>
        <v>46058</v>
      </c>
      <c r="M138" s="33" t="str">
        <f ca="1">IFERROR(__xludf.DUMMYFUNCTION("""COMPUTED_VALUE"""),"SI")</f>
        <v>SI</v>
      </c>
      <c r="N138" s="56">
        <f ca="1">IFERROR(__xludf.DUMMYFUNCTION("""COMPUTED_VALUE"""),2)</f>
        <v>2</v>
      </c>
      <c r="O138" s="33" t="str">
        <f ca="1">IFERROR(__xludf.DUMMYFUNCTION("""COMPUTED_VALUE"""),"BERNAFON")</f>
        <v>BERNAFON</v>
      </c>
      <c r="P138" s="59">
        <f ca="1">IFERROR(__xludf.DUMMYFUNCTION("""COMPUTED_VALUE"""),2454.55)</f>
        <v>2454.5500000000002</v>
      </c>
      <c r="Q138" s="33" t="str">
        <f ca="1">IFERROR(__xludf.DUMMYFUNCTION("""COMPUTED_VALUE"""),"Alberto Moreno")</f>
        <v>Alberto Moreno</v>
      </c>
      <c r="R138" s="60" t="str">
        <f ca="1">IFERROR(__xludf.DUMMYFUNCTION("""COMPUTED_VALUE"""),"Diana Lysbeth Lourido Piedrahita")</f>
        <v>Diana Lysbeth Lourido Piedrahita</v>
      </c>
      <c r="S138" s="61" t="str">
        <f ca="1">IFERROR(__xludf.DUMMYFUNCTION("""COMPUTED_VALUE"""),"03 ORL")</f>
        <v>03 ORL</v>
      </c>
      <c r="T138" s="33" t="str">
        <f ca="1">IFERROR(__xludf.DUMMYFUNCTION("""COMPUTED_VALUE"""),"06 ORL")</f>
        <v>06 ORL</v>
      </c>
      <c r="U138" s="62"/>
      <c r="W138" s="62"/>
      <c r="X138" s="62"/>
      <c r="AG138" s="60"/>
      <c r="AJ138" s="60"/>
    </row>
    <row r="139" spans="1:36" ht="16">
      <c r="A139" s="33"/>
      <c r="B139" s="55" t="str">
        <f t="shared" ca="1" si="0"/>
        <v>PSC</v>
      </c>
      <c r="C139" s="64" t="str">
        <f ca="1">IFERROR(__xludf.DUMMYFUNCTION("""COMPUTED_VALUE"""),"PSC47")</f>
        <v>PSC47</v>
      </c>
      <c r="D139" s="33" t="str">
        <f ca="1">IFERROR(__xludf.DUMMYFUNCTION("""COMPUTED_VALUE"""),"ASOCIADOS")</f>
        <v>ASOCIADOS</v>
      </c>
      <c r="E139" s="33">
        <f ca="1">IFERROR(__xludf.DUMMYFUNCTION("""COMPUTED_VALUE"""),2026)</f>
        <v>2026</v>
      </c>
      <c r="F139" s="56">
        <f ca="1">IFERROR(__xludf.DUMMYFUNCTION("""COMPUTED_VALUE"""),2)</f>
        <v>2</v>
      </c>
      <c r="G139" s="33" t="str">
        <f ca="1">IFERROR(__xludf.DUMMYFUNCTION("""COMPUTED_VALUE"""),"Ponferrada")</f>
        <v>Ponferrada</v>
      </c>
      <c r="H139" s="33" t="str">
        <f ca="1">IFERROR(__xludf.DUMMYFUNCTION("""COMPUTED_VALUE"""),"PON-860")</f>
        <v>PON-860</v>
      </c>
      <c r="I139" s="33" t="str">
        <f ca="1">IFERROR(__xludf.DUMMYFUNCTION("""COMPUTED_VALUE"""),"MARCELO PEREZ PANIZO")</f>
        <v>MARCELO PEREZ PANIZO</v>
      </c>
      <c r="J139" s="57">
        <f ca="1">IFERROR(__xludf.DUMMYFUNCTION("""COMPUTED_VALUE"""),45671)</f>
        <v>45671</v>
      </c>
      <c r="K139" s="33" t="str">
        <f ca="1">IFERROR(__xludf.DUMMYFUNCTION("""COMPUTED_VALUE"""),"Factura audífonos")</f>
        <v>Factura audífonos</v>
      </c>
      <c r="L139" s="57">
        <f ca="1">IFERROR(__xludf.DUMMYFUNCTION("""COMPUTED_VALUE"""),46058)</f>
        <v>46058</v>
      </c>
      <c r="M139" s="33" t="str">
        <f ca="1">IFERROR(__xludf.DUMMYFUNCTION("""COMPUTED_VALUE"""),"SI")</f>
        <v>SI</v>
      </c>
      <c r="N139" s="56">
        <f ca="1">IFERROR(__xludf.DUMMYFUNCTION("""COMPUTED_VALUE"""),1)</f>
        <v>1</v>
      </c>
      <c r="O139" s="33" t="str">
        <f ca="1">IFERROR(__xludf.DUMMYFUNCTION("""COMPUTED_VALUE"""),"CONFORT")</f>
        <v>CONFORT</v>
      </c>
      <c r="P139" s="59">
        <f ca="1">IFERROR(__xludf.DUMMYFUNCTION("""COMPUTED_VALUE"""),709.09)</f>
        <v>709.09</v>
      </c>
      <c r="Q139" s="33" t="str">
        <f ca="1">IFERROR(__xludf.DUMMYFUNCTION("""COMPUTED_VALUE"""),"Alberto Moreno")</f>
        <v>Alberto Moreno</v>
      </c>
      <c r="R139" s="60" t="str">
        <f ca="1">IFERROR(__xludf.DUMMYFUNCTION("""COMPUTED_VALUE"""),"Mónica Granda Rosales")</f>
        <v>Mónica Granda Rosales</v>
      </c>
      <c r="S139" s="61" t="str">
        <f ca="1">IFERROR(__xludf.DUMMYFUNCTION("""COMPUTED_VALUE"""),"04 TIENDA")</f>
        <v>04 TIENDA</v>
      </c>
      <c r="T139" s="33" t="str">
        <f ca="1">IFERROR(__xludf.DUMMYFUNCTION("""COMPUTED_VALUE"""),"19 CLIENTE RECOMPRA ESPONTANEA")</f>
        <v>19 CLIENTE RECOMPRA ESPONTANEA</v>
      </c>
      <c r="U139" s="62"/>
      <c r="W139" s="62"/>
      <c r="X139" s="62"/>
      <c r="AG139" s="59"/>
      <c r="AJ139" s="60"/>
    </row>
    <row r="140" spans="1:36" ht="16">
      <c r="A140" s="33"/>
      <c r="B140" s="55" t="str">
        <f t="shared" ca="1" si="0"/>
        <v>MBM</v>
      </c>
      <c r="C140" s="64" t="str">
        <f ca="1">IFERROR(__xludf.DUMMYFUNCTION("""COMPUTED_VALUE"""),"MBM46")</f>
        <v>MBM46</v>
      </c>
      <c r="D140" s="33" t="str">
        <f ca="1">IFERROR(__xludf.DUMMYFUNCTION("""COMPUTED_VALUE"""),"PROPIOS")</f>
        <v>PROPIOS</v>
      </c>
      <c r="E140" s="33">
        <f ca="1">IFERROR(__xludf.DUMMYFUNCTION("""COMPUTED_VALUE"""),2026)</f>
        <v>2026</v>
      </c>
      <c r="F140" s="56">
        <f ca="1">IFERROR(__xludf.DUMMYFUNCTION("""COMPUTED_VALUE"""),2)</f>
        <v>2</v>
      </c>
      <c r="G140" s="33" t="str">
        <f ca="1">IFERROR(__xludf.DUMMYFUNCTION("""COMPUTED_VALUE"""),"Getafe")</f>
        <v>Getafe</v>
      </c>
      <c r="H140" s="33" t="str">
        <f ca="1">IFERROR(__xludf.DUMMYFUNCTION("""COMPUTED_VALUE"""),"C202619111440167855")</f>
        <v>C202619111440167855</v>
      </c>
      <c r="I140" s="33" t="str">
        <f ca="1">IFERROR(__xludf.DUMMYFUNCTION("""COMPUTED_VALUE"""),"FRANCISCO CARBAJO FERNÁNDEZ")</f>
        <v>FRANCISCO CARBAJO FERNÁNDEZ</v>
      </c>
      <c r="J140" s="57">
        <f ca="1">IFERROR(__xludf.DUMMYFUNCTION("""COMPUTED_VALUE"""),46031)</f>
        <v>46031</v>
      </c>
      <c r="K140" s="33" t="str">
        <f ca="1">IFERROR(__xludf.DUMMYFUNCTION("""COMPUTED_VALUE"""),"Factura audífonos")</f>
        <v>Factura audífonos</v>
      </c>
      <c r="L140" s="57">
        <f ca="1">IFERROR(__xludf.DUMMYFUNCTION("""COMPUTED_VALUE"""),46059)</f>
        <v>46059</v>
      </c>
      <c r="M140" s="33" t="str">
        <f ca="1">IFERROR(__xludf.DUMMYFUNCTION("""COMPUTED_VALUE"""),"NO")</f>
        <v>NO</v>
      </c>
      <c r="N140" s="56">
        <f ca="1">IFERROR(__xludf.DUMMYFUNCTION("""COMPUTED_VALUE"""),2)</f>
        <v>2</v>
      </c>
      <c r="O140" s="33" t="str">
        <f ca="1">IFERROR(__xludf.DUMMYFUNCTION("""COMPUTED_VALUE"""),"CONFORT")</f>
        <v>CONFORT</v>
      </c>
      <c r="P140" s="60">
        <f ca="1">IFERROR(__xludf.DUMMYFUNCTION("""COMPUTED_VALUE"""),3631.81)</f>
        <v>3631.81</v>
      </c>
      <c r="Q140" s="33" t="str">
        <f ca="1">IFERROR(__xludf.DUMMYFUNCTION("""COMPUTED_VALUE"""),"Maika Blázquez")</f>
        <v>Maika Blázquez</v>
      </c>
      <c r="R140" s="60" t="str">
        <f ca="1">IFERROR(__xludf.DUMMYFUNCTION("""COMPUTED_VALUE"""),"Jonathan Esteban Sánchez")</f>
        <v>Jonathan Esteban Sánchez</v>
      </c>
      <c r="S140" s="61" t="str">
        <f ca="1">IFERROR(__xludf.DUMMYFUNCTION("""COMPUTED_VALUE"""),"03 ORL")</f>
        <v>03 ORL</v>
      </c>
      <c r="T140" s="33" t="str">
        <f ca="1">IFERROR(__xludf.DUMMYFUNCTION("""COMPUTED_VALUE"""),"06 ORL")</f>
        <v>06 ORL</v>
      </c>
      <c r="U140" s="62"/>
      <c r="W140" s="62"/>
      <c r="X140" s="62"/>
      <c r="AG140" s="60"/>
      <c r="AJ140" s="60"/>
    </row>
    <row r="141" spans="1:36" ht="16">
      <c r="A141" s="33"/>
      <c r="B141" s="55" t="str">
        <f t="shared" ca="1" si="0"/>
        <v>MBM</v>
      </c>
      <c r="C141" s="64" t="str">
        <f ca="1">IFERROR(__xludf.DUMMYFUNCTION("""COMPUTED_VALUE"""),"MBM132")</f>
        <v>MBM132</v>
      </c>
      <c r="D141" s="33" t="str">
        <f ca="1">IFERROR(__xludf.DUMMYFUNCTION("""COMPUTED_VALUE"""),"PARTICIPADOS")</f>
        <v>PARTICIPADOS</v>
      </c>
      <c r="E141" s="33">
        <f ca="1">IFERROR(__xludf.DUMMYFUNCTION("""COMPUTED_VALUE"""),2026)</f>
        <v>2026</v>
      </c>
      <c r="F141" s="56">
        <f ca="1">IFERROR(__xludf.DUMMYFUNCTION("""COMPUTED_VALUE"""),2)</f>
        <v>2</v>
      </c>
      <c r="G141" s="33" t="str">
        <f ca="1">IFERROR(__xludf.DUMMYFUNCTION("""COMPUTED_VALUE"""),"Madrid- La Oca")</f>
        <v>Madrid- La Oca</v>
      </c>
      <c r="H141" s="33" t="str">
        <f ca="1">IFERROR(__xludf.DUMMYFUNCTION("""COMPUTED_VALUE"""),"C202611217114067532")</f>
        <v>C202611217114067532</v>
      </c>
      <c r="I141" s="33" t="str">
        <f ca="1">IFERROR(__xludf.DUMMYFUNCTION("""COMPUTED_VALUE"""),"MARIA TERESA CASTRO RODRIGUEZ")</f>
        <v>MARIA TERESA CASTRO RODRIGUEZ</v>
      </c>
      <c r="J141" s="57">
        <f ca="1">IFERROR(__xludf.DUMMYFUNCTION("""COMPUTED_VALUE"""),46034)</f>
        <v>46034</v>
      </c>
      <c r="K141" s="33" t="str">
        <f ca="1">IFERROR(__xludf.DUMMYFUNCTION("""COMPUTED_VALUE"""),"Factura audífonos")</f>
        <v>Factura audífonos</v>
      </c>
      <c r="L141" s="57">
        <f ca="1">IFERROR(__xludf.DUMMYFUNCTION("""COMPUTED_VALUE"""),46059)</f>
        <v>46059</v>
      </c>
      <c r="M141" s="33" t="str">
        <f ca="1">IFERROR(__xludf.DUMMYFUNCTION("""COMPUTED_VALUE"""),"NO")</f>
        <v>NO</v>
      </c>
      <c r="N141" s="56">
        <f ca="1">IFERROR(__xludf.DUMMYFUNCTION("""COMPUTED_VALUE"""),2)</f>
        <v>2</v>
      </c>
      <c r="O141" s="33" t="str">
        <f ca="1">IFERROR(__xludf.DUMMYFUNCTION("""COMPUTED_VALUE"""),"QUIET")</f>
        <v>QUIET</v>
      </c>
      <c r="P141" s="59">
        <f ca="1">IFERROR(__xludf.DUMMYFUNCTION("""COMPUTED_VALUE"""),2718.18)</f>
        <v>2718.18</v>
      </c>
      <c r="Q141" s="33" t="str">
        <f ca="1">IFERROR(__xludf.DUMMYFUNCTION("""COMPUTED_VALUE"""),"Maika Blázquez")</f>
        <v>Maika Blázquez</v>
      </c>
      <c r="R141" s="60" t="str">
        <f ca="1">IFERROR(__xludf.DUMMYFUNCTION("""COMPUTED_VALUE"""),"Laura Ruano De Pablo")</f>
        <v>Laura Ruano De Pablo</v>
      </c>
      <c r="S141" s="61" t="str">
        <f ca="1">IFERROR(__xludf.DUMMYFUNCTION("""COMPUTED_VALUE"""),"03 ORL")</f>
        <v>03 ORL</v>
      </c>
      <c r="T141" s="33" t="str">
        <f ca="1">IFERROR(__xludf.DUMMYFUNCTION("""COMPUTED_VALUE"""),"06 ORL")</f>
        <v>06 ORL</v>
      </c>
      <c r="U141" s="62"/>
      <c r="W141" s="62"/>
      <c r="X141" s="62"/>
      <c r="AG141" s="59"/>
      <c r="AJ141" s="60"/>
    </row>
    <row r="142" spans="1:36" ht="16">
      <c r="A142" s="33"/>
      <c r="B142" s="55" t="str">
        <f t="shared" ca="1" si="0"/>
        <v>MBM</v>
      </c>
      <c r="C142" s="64" t="str">
        <f ca="1">IFERROR(__xludf.DUMMYFUNCTION("""COMPUTED_VALUE"""),"MBM50")</f>
        <v>MBM50</v>
      </c>
      <c r="D142" s="33" t="str">
        <f ca="1">IFERROR(__xludf.DUMMYFUNCTION("""COMPUTED_VALUE"""),"PROPIOS")</f>
        <v>PROPIOS</v>
      </c>
      <c r="E142" s="33">
        <f ca="1">IFERROR(__xludf.DUMMYFUNCTION("""COMPUTED_VALUE"""),2026)</f>
        <v>2026</v>
      </c>
      <c r="F142" s="56">
        <f ca="1">IFERROR(__xludf.DUMMYFUNCTION("""COMPUTED_VALUE"""),2)</f>
        <v>2</v>
      </c>
      <c r="G142" s="33" t="str">
        <f ca="1">IFERROR(__xludf.DUMMYFUNCTION("""COMPUTED_VALUE"""),"Madrid- Canillas")</f>
        <v>Madrid- Canillas</v>
      </c>
      <c r="H142" s="33" t="str">
        <f ca="1">IFERROR(__xludf.DUMMYFUNCTION("""COMPUTED_VALUE"""),"C202611511232378449")</f>
        <v>C202611511232378449</v>
      </c>
      <c r="I142" s="33" t="str">
        <f ca="1">IFERROR(__xludf.DUMMYFUNCTION("""COMPUTED_VALUE"""),"OREN ALMENDRO NEVADO")</f>
        <v>OREN ALMENDRO NEVADO</v>
      </c>
      <c r="J142" s="57">
        <f ca="1">IFERROR(__xludf.DUMMYFUNCTION("""COMPUTED_VALUE"""),46037)</f>
        <v>46037</v>
      </c>
      <c r="K142" s="33" t="str">
        <f ca="1">IFERROR(__xludf.DUMMYFUNCTION("""COMPUTED_VALUE"""),"Factura audífonos")</f>
        <v>Factura audífonos</v>
      </c>
      <c r="L142" s="57">
        <f ca="1">IFERROR(__xludf.DUMMYFUNCTION("""COMPUTED_VALUE"""),46059)</f>
        <v>46059</v>
      </c>
      <c r="M142" s="33" t="str">
        <f ca="1">IFERROR(__xludf.DUMMYFUNCTION("""COMPUTED_VALUE"""),"NO")</f>
        <v>NO</v>
      </c>
      <c r="N142" s="56">
        <f ca="1">IFERROR(__xludf.DUMMYFUNCTION("""COMPUTED_VALUE"""),2)</f>
        <v>2</v>
      </c>
      <c r="O142" s="33" t="str">
        <f ca="1">IFERROR(__xludf.DUMMYFUNCTION("""COMPUTED_VALUE"""),"ADVANCED")</f>
        <v>ADVANCED</v>
      </c>
      <c r="P142" s="60">
        <f ca="1">IFERROR(__xludf.DUMMYFUNCTION("""COMPUTED_VALUE"""),3930)</f>
        <v>3930</v>
      </c>
      <c r="Q142" s="33" t="str">
        <f ca="1">IFERROR(__xludf.DUMMYFUNCTION("""COMPUTED_VALUE"""),"Maika Blázquez")</f>
        <v>Maika Blázquez</v>
      </c>
      <c r="R142" s="60" t="str">
        <f ca="1">IFERROR(__xludf.DUMMYFUNCTION("""COMPUTED_VALUE"""),"José Gustavo Barroso Braojos")</f>
        <v>José Gustavo Barroso Braojos</v>
      </c>
      <c r="S142" s="61" t="str">
        <f ca="1">IFERROR(__xludf.DUMMYFUNCTION("""COMPUTED_VALUE"""),"03 ORL")</f>
        <v>03 ORL</v>
      </c>
      <c r="T142" s="33" t="str">
        <f ca="1">IFERROR(__xludf.DUMMYFUNCTION("""COMPUTED_VALUE"""),"06 ORL")</f>
        <v>06 ORL</v>
      </c>
      <c r="U142" s="62"/>
      <c r="W142" s="62"/>
      <c r="X142" s="62"/>
      <c r="AG142" s="60"/>
      <c r="AJ142" s="60"/>
    </row>
    <row r="143" spans="1:36" ht="16">
      <c r="A143" s="33"/>
      <c r="B143" s="55" t="str">
        <f t="shared" ca="1" si="0"/>
        <v>MBM</v>
      </c>
      <c r="C143" s="64" t="str">
        <f ca="1">IFERROR(__xludf.DUMMYFUNCTION("""COMPUTED_VALUE"""),"MBM149")</f>
        <v>MBM149</v>
      </c>
      <c r="D143" s="33" t="str">
        <f ca="1">IFERROR(__xludf.DUMMYFUNCTION("""COMPUTED_VALUE"""),"PROPIOS")</f>
        <v>PROPIOS</v>
      </c>
      <c r="E143" s="33">
        <f ca="1">IFERROR(__xludf.DUMMYFUNCTION("""COMPUTED_VALUE"""),2026)</f>
        <v>2026</v>
      </c>
      <c r="F143" s="56">
        <f ca="1">IFERROR(__xludf.DUMMYFUNCTION("""COMPUTED_VALUE"""),2)</f>
        <v>2</v>
      </c>
      <c r="G143" s="33" t="str">
        <f ca="1">IFERROR(__xludf.DUMMYFUNCTION("""COMPUTED_VALUE"""),"Getafe")</f>
        <v>Getafe</v>
      </c>
      <c r="H143" s="33" t="str">
        <f ca="1">IFERROR(__xludf.DUMMYFUNCTION("""COMPUTED_VALUE"""),"C202512261118280164")</f>
        <v>C202512261118280164</v>
      </c>
      <c r="I143" s="33" t="str">
        <f ca="1">IFERROR(__xludf.DUMMYFUNCTION("""COMPUTED_VALUE"""),"MARÍA PILAR GONZÁLEZ LÓPEZ")</f>
        <v>MARÍA PILAR GONZÁLEZ LÓPEZ</v>
      </c>
      <c r="J143" s="57">
        <f ca="1">IFERROR(__xludf.DUMMYFUNCTION("""COMPUTED_VALUE"""),46017)</f>
        <v>46017</v>
      </c>
      <c r="K143" s="33" t="str">
        <f ca="1">IFERROR(__xludf.DUMMYFUNCTION("""COMPUTED_VALUE"""),"Factura audífonos")</f>
        <v>Factura audífonos</v>
      </c>
      <c r="L143" s="57">
        <f ca="1">IFERROR(__xludf.DUMMYFUNCTION("""COMPUTED_VALUE"""),46059)</f>
        <v>46059</v>
      </c>
      <c r="M143" s="33" t="str">
        <f ca="1">IFERROR(__xludf.DUMMYFUNCTION("""COMPUTED_VALUE"""),"NO")</f>
        <v>NO</v>
      </c>
      <c r="N143" s="56">
        <f ca="1">IFERROR(__xludf.DUMMYFUNCTION("""COMPUTED_VALUE"""),2)</f>
        <v>2</v>
      </c>
      <c r="O143" s="33" t="str">
        <f ca="1">IFERROR(__xludf.DUMMYFUNCTION("""COMPUTED_VALUE"""),"CONFORT")</f>
        <v>CONFORT</v>
      </c>
      <c r="P143" s="60">
        <f ca="1">IFERROR(__xludf.DUMMYFUNCTION("""COMPUTED_VALUE"""),3631.82)</f>
        <v>3631.82</v>
      </c>
      <c r="Q143" s="33" t="str">
        <f ca="1">IFERROR(__xludf.DUMMYFUNCTION("""COMPUTED_VALUE"""),"Maika Blázquez")</f>
        <v>Maika Blázquez</v>
      </c>
      <c r="R143" s="60" t="str">
        <f ca="1">IFERROR(__xludf.DUMMYFUNCTION("""COMPUTED_VALUE"""),"María Garrote Garrote")</f>
        <v>María Garrote Garrote</v>
      </c>
      <c r="S143" s="61" t="str">
        <f ca="1">IFERROR(__xludf.DUMMYFUNCTION("""COMPUTED_VALUE"""),"03 ORL")</f>
        <v>03 ORL</v>
      </c>
      <c r="T143" s="33" t="str">
        <f ca="1">IFERROR(__xludf.DUMMYFUNCTION("""COMPUTED_VALUE"""),"06 ORL")</f>
        <v>06 ORL</v>
      </c>
      <c r="U143" s="62"/>
      <c r="W143" s="62"/>
      <c r="X143" s="62"/>
      <c r="AG143" s="60"/>
      <c r="AJ143" s="60"/>
    </row>
    <row r="144" spans="1:36" ht="16">
      <c r="A144" s="33"/>
      <c r="B144" s="55" t="str">
        <f t="shared" ca="1" si="0"/>
        <v>RFV</v>
      </c>
      <c r="C144" s="64" t="str">
        <f ca="1">IFERROR(__xludf.DUMMYFUNCTION("""COMPUTED_VALUE"""),"RFV40")</f>
        <v>RFV40</v>
      </c>
      <c r="D144" s="33" t="str">
        <f ca="1">IFERROR(__xludf.DUMMYFUNCTION("""COMPUTED_VALUE"""),"PROPIOS")</f>
        <v>PROPIOS</v>
      </c>
      <c r="E144" s="33">
        <f ca="1">IFERROR(__xludf.DUMMYFUNCTION("""COMPUTED_VALUE"""),2026)</f>
        <v>2026</v>
      </c>
      <c r="F144" s="56">
        <f ca="1">IFERROR(__xludf.DUMMYFUNCTION("""COMPUTED_VALUE"""),2)</f>
        <v>2</v>
      </c>
      <c r="G144" s="33" t="str">
        <f ca="1">IFERROR(__xludf.DUMMYFUNCTION("""COMPUTED_VALUE"""),"Almería")</f>
        <v>Almería</v>
      </c>
      <c r="H144" s="33" t="str">
        <f ca="1">IFERROR(__xludf.DUMMYFUNCTION("""COMPUTED_VALUE"""),"C202611510395603360")</f>
        <v>C202611510395603360</v>
      </c>
      <c r="I144" s="33" t="str">
        <f ca="1">IFERROR(__xludf.DUMMYFUNCTION("""COMPUTED_VALUE"""),"CARMEN FERNANDEZ HEREDIA")</f>
        <v>CARMEN FERNANDEZ HEREDIA</v>
      </c>
      <c r="J144" s="57">
        <f ca="1">IFERROR(__xludf.DUMMYFUNCTION("""COMPUTED_VALUE"""),46037)</f>
        <v>46037</v>
      </c>
      <c r="K144" s="33" t="str">
        <f ca="1">IFERROR(__xludf.DUMMYFUNCTION("""COMPUTED_VALUE"""),"Factura audífonos")</f>
        <v>Factura audífonos</v>
      </c>
      <c r="L144" s="57">
        <f ca="1">IFERROR(__xludf.DUMMYFUNCTION("""COMPUTED_VALUE"""),46062)</f>
        <v>46062</v>
      </c>
      <c r="M144" s="33" t="str">
        <f ca="1">IFERROR(__xludf.DUMMYFUNCTION("""COMPUTED_VALUE"""),"NO")</f>
        <v>NO</v>
      </c>
      <c r="N144" s="56">
        <f ca="1">IFERROR(__xludf.DUMMYFUNCTION("""COMPUTED_VALUE"""),2)</f>
        <v>2</v>
      </c>
      <c r="O144" s="33" t="str">
        <f ca="1">IFERROR(__xludf.DUMMYFUNCTION("""COMPUTED_VALUE"""),"CONFORT")</f>
        <v>CONFORT</v>
      </c>
      <c r="P144" s="60">
        <f ca="1">IFERROR(__xludf.DUMMYFUNCTION("""COMPUTED_VALUE"""),3631.82)</f>
        <v>3631.82</v>
      </c>
      <c r="Q144" s="33" t="str">
        <f ca="1">IFERROR(__xludf.DUMMYFUNCTION("""COMPUTED_VALUE"""),"Ramon Ferrando")</f>
        <v>Ramon Ferrando</v>
      </c>
      <c r="R144" s="60" t="str">
        <f ca="1">IFERROR(__xludf.DUMMYFUNCTION("""COMPUTED_VALUE"""),"Javier Padilla Cabello")</f>
        <v>Javier Padilla Cabello</v>
      </c>
      <c r="S144" s="61" t="str">
        <f ca="1">IFERROR(__xludf.DUMMYFUNCTION("""COMPUTED_VALUE"""),"03 ORL")</f>
        <v>03 ORL</v>
      </c>
      <c r="T144" s="33" t="str">
        <f ca="1">IFERROR(__xludf.DUMMYFUNCTION("""COMPUTED_VALUE"""),"06 ORL")</f>
        <v>06 ORL</v>
      </c>
      <c r="U144" s="62"/>
      <c r="W144" s="62"/>
      <c r="X144" s="62"/>
      <c r="AG144" s="60"/>
      <c r="AJ144" s="60"/>
    </row>
    <row r="145" spans="1:36" ht="16">
      <c r="A145" s="33"/>
      <c r="B145" s="55" t="str">
        <f t="shared" ca="1" si="0"/>
        <v>LAA</v>
      </c>
      <c r="C145" s="64" t="str">
        <f ca="1">IFERROR(__xludf.DUMMYFUNCTION("""COMPUTED_VALUE"""),"LAA13")</f>
        <v>LAA13</v>
      </c>
      <c r="D145" s="33" t="str">
        <f ca="1">IFERROR(__xludf.DUMMYFUNCTION("""COMPUTED_VALUE"""),"ASOCIADOS")</f>
        <v>ASOCIADOS</v>
      </c>
      <c r="E145" s="33">
        <f ca="1">IFERROR(__xludf.DUMMYFUNCTION("""COMPUTED_VALUE"""),2026)</f>
        <v>2026</v>
      </c>
      <c r="F145" s="56">
        <f ca="1">IFERROR(__xludf.DUMMYFUNCTION("""COMPUTED_VALUE"""),2)</f>
        <v>2</v>
      </c>
      <c r="G145" s="33" t="str">
        <f ca="1">IFERROR(__xludf.DUMMYFUNCTION("""COMPUTED_VALUE"""),"Sevilla- Ciencias")</f>
        <v>Sevilla- Ciencias</v>
      </c>
      <c r="H145" s="33" t="str">
        <f ca="1">IFERROR(__xludf.DUMMYFUNCTION("""COMPUTED_VALUE"""),"C20261818914658342")</f>
        <v>C20261818914658342</v>
      </c>
      <c r="I145" s="33" t="str">
        <f ca="1">IFERROR(__xludf.DUMMYFUNCTION("""COMPUTED_VALUE"""),"ARACELI HEREDIA SANCHEZ")</f>
        <v>ARACELI HEREDIA SANCHEZ</v>
      </c>
      <c r="J145" s="57">
        <f ca="1">IFERROR(__xludf.DUMMYFUNCTION("""COMPUTED_VALUE"""),46030)</f>
        <v>46030</v>
      </c>
      <c r="K145" s="33" t="str">
        <f ca="1">IFERROR(__xludf.DUMMYFUNCTION("""COMPUTED_VALUE"""),"Factura audífonos")</f>
        <v>Factura audífonos</v>
      </c>
      <c r="L145" s="57">
        <f ca="1">IFERROR(__xludf.DUMMYFUNCTION("""COMPUTED_VALUE"""),46062)</f>
        <v>46062</v>
      </c>
      <c r="M145" s="33" t="str">
        <f ca="1">IFERROR(__xludf.DUMMYFUNCTION("""COMPUTED_VALUE"""),"NO")</f>
        <v>NO</v>
      </c>
      <c r="N145" s="56">
        <f ca="1">IFERROR(__xludf.DUMMYFUNCTION("""COMPUTED_VALUE"""),2)</f>
        <v>2</v>
      </c>
      <c r="O145" s="33" t="str">
        <f ca="1">IFERROR(__xludf.DUMMYFUNCTION("""COMPUTED_VALUE"""),"QUIET")</f>
        <v>QUIET</v>
      </c>
      <c r="P145" s="60">
        <f ca="1">IFERROR(__xludf.DUMMYFUNCTION("""COMPUTED_VALUE"""),2718.19)</f>
        <v>2718.19</v>
      </c>
      <c r="Q145" s="33" t="str">
        <f ca="1">IFERROR(__xludf.DUMMYFUNCTION("""COMPUTED_VALUE"""),"Luis Alberto Rodríguez")</f>
        <v>Luis Alberto Rodríguez</v>
      </c>
      <c r="R145" s="60" t="str">
        <f ca="1">IFERROR(__xludf.DUMMYFUNCTION("""COMPUTED_VALUE"""),"Francisco Javier Aguilar Vera")</f>
        <v>Francisco Javier Aguilar Vera</v>
      </c>
      <c r="S145" s="61" t="str">
        <f ca="1">IFERROR(__xludf.DUMMYFUNCTION("""COMPUTED_VALUE"""),"03 ORL")</f>
        <v>03 ORL</v>
      </c>
      <c r="T145" s="33" t="str">
        <f ca="1">IFERROR(__xludf.DUMMYFUNCTION("""COMPUTED_VALUE"""),"06 ORL")</f>
        <v>06 ORL</v>
      </c>
      <c r="U145" s="62"/>
      <c r="W145" s="62"/>
      <c r="X145" s="62"/>
      <c r="AG145" s="60"/>
      <c r="AJ145" s="60"/>
    </row>
    <row r="146" spans="1:36" ht="16">
      <c r="A146" s="33"/>
      <c r="B146" s="55" t="str">
        <f t="shared" ca="1" si="0"/>
        <v>PSC</v>
      </c>
      <c r="C146" s="64" t="str">
        <f ca="1">IFERROR(__xludf.DUMMYFUNCTION("""COMPUTED_VALUE"""),"PSC30")</f>
        <v>PSC30</v>
      </c>
      <c r="D146" s="33" t="str">
        <f ca="1">IFERROR(__xludf.DUMMYFUNCTION("""COMPUTED_VALUE"""),"ASOCIADOS")</f>
        <v>ASOCIADOS</v>
      </c>
      <c r="E146" s="33">
        <f ca="1">IFERROR(__xludf.DUMMYFUNCTION("""COMPUTED_VALUE"""),2026)</f>
        <v>2026</v>
      </c>
      <c r="F146" s="56">
        <f ca="1">IFERROR(__xludf.DUMMYFUNCTION("""COMPUTED_VALUE"""),2)</f>
        <v>2</v>
      </c>
      <c r="G146" s="33" t="str">
        <f ca="1">IFERROR(__xludf.DUMMYFUNCTION("""COMPUTED_VALUE"""),"León")</f>
        <v>León</v>
      </c>
      <c r="H146" s="33" t="str">
        <f ca="1">IFERROR(__xludf.DUMMYFUNCTION("""COMPUTED_VALUE"""),"C202611317321362954")</f>
        <v>C202611317321362954</v>
      </c>
      <c r="I146" s="33" t="str">
        <f ca="1">IFERROR(__xludf.DUMMYFUNCTION("""COMPUTED_VALUE"""),"Ana Llamazares Gonzalez")</f>
        <v>Ana Llamazares Gonzalez</v>
      </c>
      <c r="J146" s="57">
        <f ca="1">IFERROR(__xludf.DUMMYFUNCTION("""COMPUTED_VALUE"""),46035)</f>
        <v>46035</v>
      </c>
      <c r="K146" s="33" t="str">
        <f ca="1">IFERROR(__xludf.DUMMYFUNCTION("""COMPUTED_VALUE"""),"Factura audífonos")</f>
        <v>Factura audífonos</v>
      </c>
      <c r="L146" s="57">
        <f ca="1">IFERROR(__xludf.DUMMYFUNCTION("""COMPUTED_VALUE"""),46063)</f>
        <v>46063</v>
      </c>
      <c r="M146" s="33" t="str">
        <f ca="1">IFERROR(__xludf.DUMMYFUNCTION("""COMPUTED_VALUE"""),"NO")</f>
        <v>NO</v>
      </c>
      <c r="N146" s="56">
        <f ca="1">IFERROR(__xludf.DUMMYFUNCTION("""COMPUTED_VALUE"""),1)</f>
        <v>1</v>
      </c>
      <c r="O146" s="33" t="str">
        <f ca="1">IFERROR(__xludf.DUMMYFUNCTION("""COMPUTED_VALUE"""),"CONFORT")</f>
        <v>CONFORT</v>
      </c>
      <c r="P146" s="59">
        <f ca="1">IFERROR(__xludf.DUMMYFUNCTION("""COMPUTED_VALUE"""),2045.45)</f>
        <v>2045.45</v>
      </c>
      <c r="Q146" s="33" t="str">
        <f ca="1">IFERROR(__xludf.DUMMYFUNCTION("""COMPUTED_VALUE"""),"Alberto Moreno")</f>
        <v>Alberto Moreno</v>
      </c>
      <c r="R146" s="60" t="str">
        <f ca="1">IFERROR(__xludf.DUMMYFUNCTION("""COMPUTED_VALUE"""),"Rafael Pérez González")</f>
        <v>Rafael Pérez González</v>
      </c>
      <c r="S146" s="61" t="str">
        <f ca="1">IFERROR(__xludf.DUMMYFUNCTION("""COMPUTED_VALUE"""),"01 MARKETING ON LINE")</f>
        <v>01 MARKETING ON LINE</v>
      </c>
      <c r="T146" s="33" t="str">
        <f ca="1">IFERROR(__xludf.DUMMYFUNCTION("""COMPUTED_VALUE"""),"04 AUDIFONO,ES")</f>
        <v>04 AUDIFONO,ES</v>
      </c>
      <c r="U146" s="62"/>
      <c r="W146" s="62"/>
      <c r="X146" s="62"/>
      <c r="AE146" s="1"/>
      <c r="AG146" s="59"/>
    </row>
    <row r="147" spans="1:36" ht="16">
      <c r="A147" s="33"/>
      <c r="B147" s="55" t="str">
        <f t="shared" ca="1" si="0"/>
        <v>ISL</v>
      </c>
      <c r="C147" s="64" t="str">
        <f ca="1">IFERROR(__xludf.DUMMYFUNCTION("""COMPUTED_VALUE"""),"ISL19")</f>
        <v>ISL19</v>
      </c>
      <c r="D147" s="33" t="str">
        <f ca="1">IFERROR(__xludf.DUMMYFUNCTION("""COMPUTED_VALUE"""),"PROPIOS")</f>
        <v>PROPIOS</v>
      </c>
      <c r="E147" s="33">
        <f ca="1">IFERROR(__xludf.DUMMYFUNCTION("""COMPUTED_VALUE"""),2026)</f>
        <v>2026</v>
      </c>
      <c r="F147" s="56">
        <f ca="1">IFERROR(__xludf.DUMMYFUNCTION("""COMPUTED_VALUE"""),2)</f>
        <v>2</v>
      </c>
      <c r="G147" s="33" t="str">
        <f ca="1">IFERROR(__xludf.DUMMYFUNCTION("""COMPUTED_VALUE"""),"San Javier")</f>
        <v>San Javier</v>
      </c>
      <c r="H147" s="33" t="str">
        <f ca="1">IFERROR(__xludf.DUMMYFUNCTION("""COMPUTED_VALUE"""),"C202612382329680169")</f>
        <v>C202612382329680169</v>
      </c>
      <c r="I147" s="33" t="str">
        <f ca="1">IFERROR(__xludf.DUMMYFUNCTION("""COMPUTED_VALUE"""),"PEDRO JOSE MEDINA GARCIA")</f>
        <v>PEDRO JOSE MEDINA GARCIA</v>
      </c>
      <c r="J147" s="57">
        <f ca="1">IFERROR(__xludf.DUMMYFUNCTION("""COMPUTED_VALUE"""),46045)</f>
        <v>46045</v>
      </c>
      <c r="K147" s="33" t="str">
        <f ca="1">IFERROR(__xludf.DUMMYFUNCTION("""COMPUTED_VALUE"""),"Factura audífonos")</f>
        <v>Factura audífonos</v>
      </c>
      <c r="L147" s="57">
        <f ca="1">IFERROR(__xludf.DUMMYFUNCTION("""COMPUTED_VALUE"""),46063)</f>
        <v>46063</v>
      </c>
      <c r="M147" s="33" t="str">
        <f ca="1">IFERROR(__xludf.DUMMYFUNCTION("""COMPUTED_VALUE"""),"NO")</f>
        <v>NO</v>
      </c>
      <c r="N147" s="56">
        <f ca="1">IFERROR(__xludf.DUMMYFUNCTION("""COMPUTED_VALUE"""),2)</f>
        <v>2</v>
      </c>
      <c r="O147" s="33" t="str">
        <f ca="1">IFERROR(__xludf.DUMMYFUNCTION("""COMPUTED_VALUE"""),"QUIET")</f>
        <v>QUIET</v>
      </c>
      <c r="P147" s="60">
        <f ca="1">IFERROR(__xludf.DUMMYFUNCTION("""COMPUTED_VALUE"""),2718.18)</f>
        <v>2718.18</v>
      </c>
      <c r="Q147" s="33" t="str">
        <f ca="1">IFERROR(__xludf.DUMMYFUNCTION("""COMPUTED_VALUE"""),"Iván Sánchez")</f>
        <v>Iván Sánchez</v>
      </c>
      <c r="R147" s="60" t="str">
        <f ca="1">IFERROR(__xludf.DUMMYFUNCTION("""COMPUTED_VALUE"""),"Dinis Antunes Silva")</f>
        <v>Dinis Antunes Silva</v>
      </c>
      <c r="S147" s="61" t="str">
        <f ca="1">IFERROR(__xludf.DUMMYFUNCTION("""COMPUTED_VALUE"""),"03 ORL")</f>
        <v>03 ORL</v>
      </c>
      <c r="T147" s="33" t="str">
        <f ca="1">IFERROR(__xludf.DUMMYFUNCTION("""COMPUTED_VALUE"""),"06 ORL")</f>
        <v>06 ORL</v>
      </c>
      <c r="U147" s="62"/>
      <c r="W147" s="62"/>
      <c r="X147" s="62"/>
      <c r="AG147" s="60"/>
      <c r="AJ147" s="60"/>
    </row>
    <row r="148" spans="1:36" ht="16">
      <c r="A148" s="33"/>
      <c r="B148" s="55" t="str">
        <f t="shared" ca="1" si="0"/>
        <v>ISL</v>
      </c>
      <c r="C148" s="64" t="str">
        <f ca="1">IFERROR(__xludf.DUMMYFUNCTION("""COMPUTED_VALUE"""),"ISL109")</f>
        <v>ISL109</v>
      </c>
      <c r="D148" s="33" t="str">
        <f ca="1">IFERROR(__xludf.DUMMYFUNCTION("""COMPUTED_VALUE"""),"PROPIOS")</f>
        <v>PROPIOS</v>
      </c>
      <c r="E148" s="33">
        <f ca="1">IFERROR(__xludf.DUMMYFUNCTION("""COMPUTED_VALUE"""),2026)</f>
        <v>2026</v>
      </c>
      <c r="F148" s="56">
        <f ca="1">IFERROR(__xludf.DUMMYFUNCTION("""COMPUTED_VALUE"""),2)</f>
        <v>2</v>
      </c>
      <c r="G148" s="33" t="str">
        <f ca="1">IFERROR(__xludf.DUMMYFUNCTION("""COMPUTED_VALUE"""),"Murcia")</f>
        <v>Murcia</v>
      </c>
      <c r="H148" s="33" t="str">
        <f ca="1">IFERROR(__xludf.DUMMYFUNCTION("""COMPUTED_VALUE"""),"C202611495935635852")</f>
        <v>C202611495935635852</v>
      </c>
      <c r="I148" s="33" t="str">
        <f ca="1">IFERROR(__xludf.DUMMYFUNCTION("""COMPUTED_VALUE"""),"MERCEDES GARCIA MARTINEZ")</f>
        <v>MERCEDES GARCIA MARTINEZ</v>
      </c>
      <c r="J148" s="57">
        <f ca="1">IFERROR(__xludf.DUMMYFUNCTION("""COMPUTED_VALUE"""),46036)</f>
        <v>46036</v>
      </c>
      <c r="K148" s="33" t="str">
        <f ca="1">IFERROR(__xludf.DUMMYFUNCTION("""COMPUTED_VALUE"""),"Factura audífonos")</f>
        <v>Factura audífonos</v>
      </c>
      <c r="L148" s="57">
        <f ca="1">IFERROR(__xludf.DUMMYFUNCTION("""COMPUTED_VALUE"""),46063)</f>
        <v>46063</v>
      </c>
      <c r="M148" s="33" t="str">
        <f ca="1">IFERROR(__xludf.DUMMYFUNCTION("""COMPUTED_VALUE"""),"NO")</f>
        <v>NO</v>
      </c>
      <c r="N148" s="56">
        <f ca="1">IFERROR(__xludf.DUMMYFUNCTION("""COMPUTED_VALUE"""),2)</f>
        <v>2</v>
      </c>
      <c r="O148" s="33" t="str">
        <f ca="1">IFERROR(__xludf.DUMMYFUNCTION("""COMPUTED_VALUE"""),"QUIET")</f>
        <v>QUIET</v>
      </c>
      <c r="P148" s="59">
        <f ca="1">IFERROR(__xludf.DUMMYFUNCTION("""COMPUTED_VALUE"""),2581.82)</f>
        <v>2581.8200000000002</v>
      </c>
      <c r="Q148" s="33" t="str">
        <f ca="1">IFERROR(__xludf.DUMMYFUNCTION("""COMPUTED_VALUE"""),"Iván Sánchez")</f>
        <v>Iván Sánchez</v>
      </c>
      <c r="R148" s="60" t="str">
        <f ca="1">IFERROR(__xludf.DUMMYFUNCTION("""COMPUTED_VALUE"""),"Laura Guillamon Vivancos")</f>
        <v>Laura Guillamon Vivancos</v>
      </c>
      <c r="S148" s="61" t="str">
        <f ca="1">IFERROR(__xludf.DUMMYFUNCTION("""COMPUTED_VALUE"""),"03 ORL")</f>
        <v>03 ORL</v>
      </c>
      <c r="T148" s="33" t="str">
        <f ca="1">IFERROR(__xludf.DUMMYFUNCTION("""COMPUTED_VALUE"""),"06 ORL")</f>
        <v>06 ORL</v>
      </c>
      <c r="U148" s="62"/>
      <c r="W148" s="62"/>
      <c r="X148" s="62"/>
      <c r="AG148" s="59"/>
    </row>
    <row r="149" spans="1:36" ht="16">
      <c r="A149" s="33"/>
      <c r="B149" s="55" t="str">
        <f t="shared" ca="1" si="0"/>
        <v>ISL</v>
      </c>
      <c r="C149" s="64" t="str">
        <f ca="1">IFERROR(__xludf.DUMMYFUNCTION("""COMPUTED_VALUE"""),"ISL45")</f>
        <v>ISL45</v>
      </c>
      <c r="D149" s="33" t="str">
        <f ca="1">IFERROR(__xludf.DUMMYFUNCTION("""COMPUTED_VALUE"""),"PROPIOS")</f>
        <v>PROPIOS</v>
      </c>
      <c r="E149" s="33">
        <f ca="1">IFERROR(__xludf.DUMMYFUNCTION("""COMPUTED_VALUE"""),2026)</f>
        <v>2026</v>
      </c>
      <c r="F149" s="56">
        <f ca="1">IFERROR(__xludf.DUMMYFUNCTION("""COMPUTED_VALUE"""),2)</f>
        <v>2</v>
      </c>
      <c r="G149" s="33" t="str">
        <f ca="1">IFERROR(__xludf.DUMMYFUNCTION("""COMPUTED_VALUE"""),"Murcia")</f>
        <v>Murcia</v>
      </c>
      <c r="H149" s="33" t="str">
        <f ca="1">IFERROR(__xludf.DUMMYFUNCTION("""COMPUTED_VALUE"""),"C202611594434141073")</f>
        <v>C202611594434141073</v>
      </c>
      <c r="I149" s="33" t="str">
        <f ca="1">IFERROR(__xludf.DUMMYFUNCTION("""COMPUTED_VALUE"""),"FRANCISCO LOPEZ ZAMBUDIO")</f>
        <v>FRANCISCO LOPEZ ZAMBUDIO</v>
      </c>
      <c r="J149" s="57">
        <f ca="1">IFERROR(__xludf.DUMMYFUNCTION("""COMPUTED_VALUE"""),46037)</f>
        <v>46037</v>
      </c>
      <c r="K149" s="33" t="str">
        <f ca="1">IFERROR(__xludf.DUMMYFUNCTION("""COMPUTED_VALUE"""),"Factura audífonos")</f>
        <v>Factura audífonos</v>
      </c>
      <c r="L149" s="57">
        <f ca="1">IFERROR(__xludf.DUMMYFUNCTION("""COMPUTED_VALUE"""),46063)</f>
        <v>46063</v>
      </c>
      <c r="M149" s="33" t="str">
        <f ca="1">IFERROR(__xludf.DUMMYFUNCTION("""COMPUTED_VALUE"""),"NO")</f>
        <v>NO</v>
      </c>
      <c r="N149" s="56">
        <f ca="1">IFERROR(__xludf.DUMMYFUNCTION("""COMPUTED_VALUE"""),2)</f>
        <v>2</v>
      </c>
      <c r="O149" s="33" t="str">
        <f ca="1">IFERROR(__xludf.DUMMYFUNCTION("""COMPUTED_VALUE"""),"CONFORT")</f>
        <v>CONFORT</v>
      </c>
      <c r="P149" s="59">
        <f ca="1">IFERROR(__xludf.DUMMYFUNCTION("""COMPUTED_VALUE"""),3631.82)</f>
        <v>3631.82</v>
      </c>
      <c r="Q149" s="33" t="str">
        <f ca="1">IFERROR(__xludf.DUMMYFUNCTION("""COMPUTED_VALUE"""),"Iván Sánchez")</f>
        <v>Iván Sánchez</v>
      </c>
      <c r="R149" s="60" t="str">
        <f ca="1">IFERROR(__xludf.DUMMYFUNCTION("""COMPUTED_VALUE"""),"Jesús Miguel Iniesta Turpín")</f>
        <v>Jesús Miguel Iniesta Turpín</v>
      </c>
      <c r="S149" s="61" t="str">
        <f ca="1">IFERROR(__xludf.DUMMYFUNCTION("""COMPUTED_VALUE"""),"03 ORL")</f>
        <v>03 ORL</v>
      </c>
      <c r="T149" s="33" t="str">
        <f ca="1">IFERROR(__xludf.DUMMYFUNCTION("""COMPUTED_VALUE"""),"06 ORL")</f>
        <v>06 ORL</v>
      </c>
      <c r="U149" s="62"/>
      <c r="W149" s="62"/>
      <c r="X149" s="62"/>
      <c r="AG149" s="59"/>
      <c r="AJ149" s="60"/>
    </row>
    <row r="150" spans="1:36" ht="16">
      <c r="A150" s="33"/>
      <c r="B150" s="55" t="str">
        <f t="shared" ca="1" si="0"/>
        <v>LAA</v>
      </c>
      <c r="C150" s="64" t="str">
        <f ca="1">IFERROR(__xludf.DUMMYFUNCTION("""COMPUTED_VALUE"""),"LAA13")</f>
        <v>LAA13</v>
      </c>
      <c r="D150" s="33" t="str">
        <f ca="1">IFERROR(__xludf.DUMMYFUNCTION("""COMPUTED_VALUE"""),"PROPIOS")</f>
        <v>PROPIOS</v>
      </c>
      <c r="E150" s="33">
        <f ca="1">IFERROR(__xludf.DUMMYFUNCTION("""COMPUTED_VALUE"""),2026)</f>
        <v>2026</v>
      </c>
      <c r="F150" s="56">
        <f ca="1">IFERROR(__xludf.DUMMYFUNCTION("""COMPUTED_VALUE"""),2)</f>
        <v>2</v>
      </c>
      <c r="G150" s="33" t="str">
        <f ca="1">IFERROR(__xludf.DUMMYFUNCTION("""COMPUTED_VALUE"""),"Sevilla- Montoto")</f>
        <v>Sevilla- Montoto</v>
      </c>
      <c r="H150" s="33" t="str">
        <f ca="1">IFERROR(__xludf.DUMMYFUNCTION("""COMPUTED_VALUE"""),"C2026116117442")</f>
        <v>C2026116117442</v>
      </c>
      <c r="I150" s="33" t="str">
        <f ca="1">IFERROR(__xludf.DUMMYFUNCTION("""COMPUTED_VALUE"""),"DAVID GALVEZ BERMUDO")</f>
        <v>DAVID GALVEZ BERMUDO</v>
      </c>
      <c r="J150" s="57">
        <f ca="1">IFERROR(__xludf.DUMMYFUNCTION("""COMPUTED_VALUE"""),45684)</f>
        <v>45684</v>
      </c>
      <c r="K150" s="33" t="str">
        <f ca="1">IFERROR(__xludf.DUMMYFUNCTION("""COMPUTED_VALUE"""),"Factura audífonos")</f>
        <v>Factura audífonos</v>
      </c>
      <c r="L150" s="57">
        <f ca="1">IFERROR(__xludf.DUMMYFUNCTION("""COMPUTED_VALUE"""),46063)</f>
        <v>46063</v>
      </c>
      <c r="M150" s="33" t="str">
        <f ca="1">IFERROR(__xludf.DUMMYFUNCTION("""COMPUTED_VALUE"""),"NO")</f>
        <v>NO</v>
      </c>
      <c r="N150" s="56">
        <f ca="1">IFERROR(__xludf.DUMMYFUNCTION("""COMPUTED_VALUE"""),1)</f>
        <v>1</v>
      </c>
      <c r="O150" s="33" t="str">
        <f ca="1">IFERROR(__xludf.DUMMYFUNCTION("""COMPUTED_VALUE"""),"QUIET")</f>
        <v>QUIET</v>
      </c>
      <c r="P150" s="59">
        <f ca="1">IFERROR(__xludf.DUMMYFUNCTION("""COMPUTED_VALUE"""),1631.82)</f>
        <v>1631.82</v>
      </c>
      <c r="Q150" s="33" t="str">
        <f ca="1">IFERROR(__xludf.DUMMYFUNCTION("""COMPUTED_VALUE"""),"Luis Alberto Rodríguez")</f>
        <v>Luis Alberto Rodríguez</v>
      </c>
      <c r="R150" s="60" t="str">
        <f ca="1">IFERROR(__xludf.DUMMYFUNCTION("""COMPUTED_VALUE"""),"Francisco Javier Aguilar Vera")</f>
        <v>Francisco Javier Aguilar Vera</v>
      </c>
      <c r="S150" s="61" t="str">
        <f ca="1">IFERROR(__xludf.DUMMYFUNCTION("""COMPUTED_VALUE"""),"03 ORL")</f>
        <v>03 ORL</v>
      </c>
      <c r="T150" s="33" t="str">
        <f ca="1">IFERROR(__xludf.DUMMYFUNCTION("""COMPUTED_VALUE"""),"06 ORL")</f>
        <v>06 ORL</v>
      </c>
      <c r="U150" s="62"/>
      <c r="W150" s="62"/>
      <c r="X150" s="62"/>
      <c r="AG150" s="59"/>
      <c r="AJ150" s="60"/>
    </row>
    <row r="151" spans="1:36" ht="16">
      <c r="A151" s="33"/>
      <c r="B151" s="55" t="str">
        <f t="shared" ca="1" si="0"/>
        <v>MBM</v>
      </c>
      <c r="C151" s="64" t="str">
        <f ca="1">IFERROR(__xludf.DUMMYFUNCTION("""COMPUTED_VALUE"""),"MBM146")</f>
        <v>MBM146</v>
      </c>
      <c r="D151" s="33" t="str">
        <f ca="1">IFERROR(__xludf.DUMMYFUNCTION("""COMPUTED_VALUE"""),"PROPIOS")</f>
        <v>PROPIOS</v>
      </c>
      <c r="E151" s="33">
        <f ca="1">IFERROR(__xludf.DUMMYFUNCTION("""COMPUTED_VALUE"""),2026)</f>
        <v>2026</v>
      </c>
      <c r="F151" s="56">
        <f ca="1">IFERROR(__xludf.DUMMYFUNCTION("""COMPUTED_VALUE"""),2)</f>
        <v>2</v>
      </c>
      <c r="G151" s="33" t="str">
        <f ca="1">IFERROR(__xludf.DUMMYFUNCTION("""COMPUTED_VALUE"""),"Madrid- Juan Bravo")</f>
        <v>Madrid- Juan Bravo</v>
      </c>
      <c r="H151" s="33" t="str">
        <f ca="1">IFERROR(__xludf.DUMMYFUNCTION("""COMPUTED_VALUE"""),"C202512116211113918")</f>
        <v>C202512116211113918</v>
      </c>
      <c r="I151" s="33" t="str">
        <f ca="1">IFERROR(__xludf.DUMMYFUNCTION("""COMPUTED_VALUE"""),"FERNANDO DIAZ ROLDAN")</f>
        <v>FERNANDO DIAZ ROLDAN</v>
      </c>
      <c r="J151" s="57">
        <f ca="1">IFERROR(__xludf.DUMMYFUNCTION("""COMPUTED_VALUE"""),45992)</f>
        <v>45992</v>
      </c>
      <c r="K151" s="33" t="str">
        <f ca="1">IFERROR(__xludf.DUMMYFUNCTION("""COMPUTED_VALUE"""),"Factura audífonos")</f>
        <v>Factura audífonos</v>
      </c>
      <c r="L151" s="57">
        <f ca="1">IFERROR(__xludf.DUMMYFUNCTION("""COMPUTED_VALUE"""),46063)</f>
        <v>46063</v>
      </c>
      <c r="M151" s="33" t="str">
        <f ca="1">IFERROR(__xludf.DUMMYFUNCTION("""COMPUTED_VALUE"""),"NO")</f>
        <v>NO</v>
      </c>
      <c r="N151" s="56">
        <f ca="1">IFERROR(__xludf.DUMMYFUNCTION("""COMPUTED_VALUE"""),2)</f>
        <v>2</v>
      </c>
      <c r="O151" s="33" t="str">
        <f ca="1">IFERROR(__xludf.DUMMYFUNCTION("""COMPUTED_VALUE"""),"ADVANCED")</f>
        <v>ADVANCED</v>
      </c>
      <c r="P151" s="60">
        <f ca="1">IFERROR(__xludf.DUMMYFUNCTION("""COMPUTED_VALUE"""),3888.64)</f>
        <v>3888.64</v>
      </c>
      <c r="Q151" s="33" t="str">
        <f ca="1">IFERROR(__xludf.DUMMYFUNCTION("""COMPUTED_VALUE"""),"Maika Blázquez")</f>
        <v>Maika Blázquez</v>
      </c>
      <c r="R151" s="1" t="str">
        <f ca="1">IFERROR(__xludf.DUMMYFUNCTION("""COMPUTED_VALUE"""),"María del Mar Medina González")</f>
        <v>María del Mar Medina González</v>
      </c>
      <c r="S151" s="61" t="str">
        <f ca="1">IFERROR(__xludf.DUMMYFUNCTION("""COMPUTED_VALUE"""),"03 ORL")</f>
        <v>03 ORL</v>
      </c>
      <c r="T151" s="33" t="str">
        <f ca="1">IFERROR(__xludf.DUMMYFUNCTION("""COMPUTED_VALUE"""),"06 ORL")</f>
        <v>06 ORL</v>
      </c>
      <c r="U151" s="62"/>
      <c r="W151" s="62"/>
      <c r="X151" s="62"/>
      <c r="AG151" s="60"/>
      <c r="AJ151" s="60"/>
    </row>
    <row r="152" spans="1:36" ht="16">
      <c r="A152" s="33"/>
      <c r="B152" s="55" t="str">
        <f t="shared" ca="1" si="0"/>
        <v>ISL</v>
      </c>
      <c r="C152" s="64" t="str">
        <f ca="1">IFERROR(__xludf.DUMMYFUNCTION("""COMPUTED_VALUE"""),"ISL122")</f>
        <v>ISL122</v>
      </c>
      <c r="D152" s="33" t="str">
        <f ca="1">IFERROR(__xludf.DUMMYFUNCTION("""COMPUTED_VALUE"""),"PROPIOS")</f>
        <v>PROPIOS</v>
      </c>
      <c r="E152" s="33">
        <f ca="1">IFERROR(__xludf.DUMMYFUNCTION("""COMPUTED_VALUE"""),2026)</f>
        <v>2026</v>
      </c>
      <c r="F152" s="56">
        <f ca="1">IFERROR(__xludf.DUMMYFUNCTION("""COMPUTED_VALUE"""),2)</f>
        <v>2</v>
      </c>
      <c r="G152" s="33" t="str">
        <f ca="1">IFERROR(__xludf.DUMMYFUNCTION("""COMPUTED_VALUE"""),"San Javier")</f>
        <v>San Javier</v>
      </c>
      <c r="H152" s="33" t="str">
        <f ca="1">IFERROR(__xludf.DUMMYFUNCTION("""COMPUTED_VALUE"""),"C202612912171931207")</f>
        <v>C202612912171931207</v>
      </c>
      <c r="I152" s="33" t="str">
        <f ca="1">IFERROR(__xludf.DUMMYFUNCTION("""COMPUTED_VALUE"""),"GARETH JOHN PETER SOCKETT")</f>
        <v>GARETH JOHN PETER SOCKETT</v>
      </c>
      <c r="J152" s="57">
        <f ca="1">IFERROR(__xludf.DUMMYFUNCTION("""COMPUTED_VALUE"""),46051)</f>
        <v>46051</v>
      </c>
      <c r="K152" s="33" t="str">
        <f ca="1">IFERROR(__xludf.DUMMYFUNCTION("""COMPUTED_VALUE"""),"Factura audífonos")</f>
        <v>Factura audífonos</v>
      </c>
      <c r="L152" s="57">
        <f ca="1">IFERROR(__xludf.DUMMYFUNCTION("""COMPUTED_VALUE"""),46063)</f>
        <v>46063</v>
      </c>
      <c r="M152" s="33" t="str">
        <f ca="1">IFERROR(__xludf.DUMMYFUNCTION("""COMPUTED_VALUE"""),"NO")</f>
        <v>NO</v>
      </c>
      <c r="N152" s="56">
        <f ca="1">IFERROR(__xludf.DUMMYFUNCTION("""COMPUTED_VALUE"""),2)</f>
        <v>2</v>
      </c>
      <c r="O152" s="33" t="str">
        <f ca="1">IFERROR(__xludf.DUMMYFUNCTION("""COMPUTED_VALUE"""),"CONFORT")</f>
        <v>CONFORT</v>
      </c>
      <c r="P152" s="60">
        <f ca="1">IFERROR(__xludf.DUMMYFUNCTION("""COMPUTED_VALUE"""),3631.82)</f>
        <v>3631.82</v>
      </c>
      <c r="Q152" s="33" t="str">
        <f ca="1">IFERROR(__xludf.DUMMYFUNCTION("""COMPUTED_VALUE"""),"Iván Sánchez")</f>
        <v>Iván Sánchez</v>
      </c>
      <c r="R152" s="60" t="str">
        <f ca="1">IFERROR(__xludf.DUMMYFUNCTION("""COMPUTED_VALUE"""),"María Agustina Sevilla García")</f>
        <v>María Agustina Sevilla García</v>
      </c>
      <c r="S152" s="61" t="str">
        <f ca="1">IFERROR(__xludf.DUMMYFUNCTION("""COMPUTED_VALUE"""),"03 ORL")</f>
        <v>03 ORL</v>
      </c>
      <c r="T152" s="33" t="str">
        <f ca="1">IFERROR(__xludf.DUMMYFUNCTION("""COMPUTED_VALUE"""),"06 ORL")</f>
        <v>06 ORL</v>
      </c>
      <c r="U152" s="62"/>
      <c r="W152" s="62"/>
      <c r="X152" s="62"/>
      <c r="AG152" s="60"/>
    </row>
    <row r="153" spans="1:36" ht="16">
      <c r="A153" s="33"/>
      <c r="B153" s="55" t="str">
        <f t="shared" ca="1" si="0"/>
        <v>LAA</v>
      </c>
      <c r="C153" s="64" t="str">
        <f ca="1">IFERROR(__xludf.DUMMYFUNCTION("""COMPUTED_VALUE"""),"LAA13")</f>
        <v>LAA13</v>
      </c>
      <c r="D153" s="33" t="str">
        <f ca="1">IFERROR(__xludf.DUMMYFUNCTION("""COMPUTED_VALUE"""),"PROPIOS")</f>
        <v>PROPIOS</v>
      </c>
      <c r="E153" s="33">
        <f ca="1">IFERROR(__xludf.DUMMYFUNCTION("""COMPUTED_VALUE"""),2026)</f>
        <v>2026</v>
      </c>
      <c r="F153" s="56">
        <f ca="1">IFERROR(__xludf.DUMMYFUNCTION("""COMPUTED_VALUE"""),2)</f>
        <v>2</v>
      </c>
      <c r="G153" s="33" t="str">
        <f ca="1">IFERROR(__xludf.DUMMYFUNCTION("""COMPUTED_VALUE"""),"Sevilla- Montoto")</f>
        <v>Sevilla- Montoto</v>
      </c>
      <c r="H153" s="33" t="str">
        <f ca="1">IFERROR(__xludf.DUMMYFUNCTION("""COMPUTED_VALUE"""),"C202512171723206010")</f>
        <v>C202512171723206010</v>
      </c>
      <c r="I153" s="33" t="str">
        <f ca="1">IFERROR(__xludf.DUMMYFUNCTION("""COMPUTED_VALUE"""),"MARIA JOSEFA CARRO VALDES-HEVIA")</f>
        <v>MARIA JOSEFA CARRO VALDES-HEVIA</v>
      </c>
      <c r="J153" s="57">
        <f ca="1">IFERROR(__xludf.DUMMYFUNCTION("""COMPUTED_VALUE"""),46008)</f>
        <v>46008</v>
      </c>
      <c r="K153" s="33" t="str">
        <f ca="1">IFERROR(__xludf.DUMMYFUNCTION("""COMPUTED_VALUE"""),"Factura audífonos")</f>
        <v>Factura audífonos</v>
      </c>
      <c r="L153" s="57">
        <f ca="1">IFERROR(__xludf.DUMMYFUNCTION("""COMPUTED_VALUE"""),46063)</f>
        <v>46063</v>
      </c>
      <c r="M153" s="33" t="str">
        <f ca="1">IFERROR(__xludf.DUMMYFUNCTION("""COMPUTED_VALUE"""),"NO")</f>
        <v>NO</v>
      </c>
      <c r="N153" s="56">
        <f ca="1">IFERROR(__xludf.DUMMYFUNCTION("""COMPUTED_VALUE"""),2)</f>
        <v>2</v>
      </c>
      <c r="O153" s="33" t="str">
        <f ca="1">IFERROR(__xludf.DUMMYFUNCTION("""COMPUTED_VALUE"""),"CONFORT")</f>
        <v>CONFORT</v>
      </c>
      <c r="P153" s="60">
        <f ca="1">IFERROR(__xludf.DUMMYFUNCTION("""COMPUTED_VALUE"""),3631.82)</f>
        <v>3631.82</v>
      </c>
      <c r="Q153" s="33" t="str">
        <f ca="1">IFERROR(__xludf.DUMMYFUNCTION("""COMPUTED_VALUE"""),"Luis Alberto Rodríguez")</f>
        <v>Luis Alberto Rodríguez</v>
      </c>
      <c r="R153" s="60" t="str">
        <f ca="1">IFERROR(__xludf.DUMMYFUNCTION("""COMPUTED_VALUE"""),"Francisco Javier Aguilar Vera")</f>
        <v>Francisco Javier Aguilar Vera</v>
      </c>
      <c r="S153" s="61" t="str">
        <f ca="1">IFERROR(__xludf.DUMMYFUNCTION("""COMPUTED_VALUE"""),"03 ORL")</f>
        <v>03 ORL</v>
      </c>
      <c r="T153" s="33" t="str">
        <f ca="1">IFERROR(__xludf.DUMMYFUNCTION("""COMPUTED_VALUE"""),"06 ORL")</f>
        <v>06 ORL</v>
      </c>
      <c r="U153" s="62"/>
      <c r="W153" s="62"/>
      <c r="X153" s="62"/>
      <c r="AG153" s="60"/>
      <c r="AJ153" s="60"/>
    </row>
    <row r="154" spans="1:36" ht="16">
      <c r="A154" s="33"/>
      <c r="B154" s="55" t="str">
        <f t="shared" ca="1" si="0"/>
        <v>LRM</v>
      </c>
      <c r="C154" s="64" t="str">
        <f ca="1">IFERROR(__xludf.DUMMYFUNCTION("""COMPUTED_VALUE"""),"LRM20")</f>
        <v>LRM20</v>
      </c>
      <c r="D154" s="33" t="str">
        <f ca="1">IFERROR(__xludf.DUMMYFUNCTION("""COMPUTED_VALUE"""),"PARTICIPADOS")</f>
        <v>PARTICIPADOS</v>
      </c>
      <c r="E154" s="33">
        <f ca="1">IFERROR(__xludf.DUMMYFUNCTION("""COMPUTED_VALUE"""),2026)</f>
        <v>2026</v>
      </c>
      <c r="F154" s="56">
        <f ca="1">IFERROR(__xludf.DUMMYFUNCTION("""COMPUTED_VALUE"""),2)</f>
        <v>2</v>
      </c>
      <c r="G154" s="33" t="str">
        <f ca="1">IFERROR(__xludf.DUMMYFUNCTION("""COMPUTED_VALUE"""),"Talavera")</f>
        <v>Talavera</v>
      </c>
      <c r="H154" s="33" t="str">
        <f ca="1">IFERROR(__xludf.DUMMYFUNCTION("""COMPUTED_VALUE"""),"C20261810363892932")</f>
        <v>C20261810363892932</v>
      </c>
      <c r="I154" s="33" t="str">
        <f ca="1">IFERROR(__xludf.DUMMYFUNCTION("""COMPUTED_VALUE"""),"PABLO GARCÍA PÉREZ")</f>
        <v>PABLO GARCÍA PÉREZ</v>
      </c>
      <c r="J154" s="57">
        <f ca="1">IFERROR(__xludf.DUMMYFUNCTION("""COMPUTED_VALUE"""),46030)</f>
        <v>46030</v>
      </c>
      <c r="K154" s="33" t="str">
        <f ca="1">IFERROR(__xludf.DUMMYFUNCTION("""COMPUTED_VALUE"""),"Factura audífonos")</f>
        <v>Factura audífonos</v>
      </c>
      <c r="L154" s="57">
        <f ca="1">IFERROR(__xludf.DUMMYFUNCTION("""COMPUTED_VALUE"""),46063)</f>
        <v>46063</v>
      </c>
      <c r="M154" s="33" t="str">
        <f ca="1">IFERROR(__xludf.DUMMYFUNCTION("""COMPUTED_VALUE"""),"NO")</f>
        <v>NO</v>
      </c>
      <c r="N154" s="56">
        <f ca="1">IFERROR(__xludf.DUMMYFUNCTION("""COMPUTED_VALUE"""),2)</f>
        <v>2</v>
      </c>
      <c r="O154" s="33" t="str">
        <f ca="1">IFERROR(__xludf.DUMMYFUNCTION("""COMPUTED_VALUE"""),"QUIET")</f>
        <v>QUIET</v>
      </c>
      <c r="P154" s="59">
        <f ca="1">IFERROR(__xludf.DUMMYFUNCTION("""COMPUTED_VALUE"""),2718.18)</f>
        <v>2718.18</v>
      </c>
      <c r="Q154" s="33" t="str">
        <f ca="1">IFERROR(__xludf.DUMMYFUNCTION("""COMPUTED_VALUE"""),"Lisandro Russian")</f>
        <v>Lisandro Russian</v>
      </c>
      <c r="R154" s="60" t="str">
        <f ca="1">IFERROR(__xludf.DUMMYFUNCTION("""COMPUTED_VALUE"""),"Carlos Félix Asensio Nieto")</f>
        <v>Carlos Félix Asensio Nieto</v>
      </c>
      <c r="S154" s="61" t="str">
        <f ca="1">IFERROR(__xludf.DUMMYFUNCTION("""COMPUTED_VALUE"""),"03 ORL")</f>
        <v>03 ORL</v>
      </c>
      <c r="T154" s="33" t="str">
        <f ca="1">IFERROR(__xludf.DUMMYFUNCTION("""COMPUTED_VALUE"""),"06 ORL")</f>
        <v>06 ORL</v>
      </c>
      <c r="U154" s="62"/>
      <c r="W154" s="62"/>
      <c r="X154" s="62"/>
      <c r="AG154" s="60"/>
      <c r="AJ154" s="60"/>
    </row>
    <row r="155" spans="1:36" ht="16">
      <c r="A155" s="33"/>
      <c r="B155" s="55" t="str">
        <f t="shared" ca="1" si="0"/>
        <v>ISL</v>
      </c>
      <c r="C155" s="64" t="str">
        <f ca="1">IFERROR(__xludf.DUMMYFUNCTION("""COMPUTED_VALUE"""),"ISL58")</f>
        <v>ISL58</v>
      </c>
      <c r="D155" s="33" t="str">
        <f ca="1">IFERROR(__xludf.DUMMYFUNCTION("""COMPUTED_VALUE"""),"PROPIOS")</f>
        <v>PROPIOS</v>
      </c>
      <c r="E155" s="33">
        <f ca="1">IFERROR(__xludf.DUMMYFUNCTION("""COMPUTED_VALUE"""),2026)</f>
        <v>2026</v>
      </c>
      <c r="F155" s="56">
        <f ca="1">IFERROR(__xludf.DUMMYFUNCTION("""COMPUTED_VALUE"""),2)</f>
        <v>2</v>
      </c>
      <c r="G155" s="33" t="str">
        <f ca="1">IFERROR(__xludf.DUMMYFUNCTION("""COMPUTED_VALUE"""),"Orihuela")</f>
        <v>Orihuela</v>
      </c>
      <c r="H155" s="33" t="str">
        <f ca="1">IFERROR(__xludf.DUMMYFUNCTION("""COMPUTED_VALUE"""),"C202512171774713468")</f>
        <v>C202512171774713468</v>
      </c>
      <c r="I155" s="33" t="str">
        <f ca="1">IFERROR(__xludf.DUMMYFUNCTION("""COMPUTED_VALUE"""),"MONICA JIMENEZ ANGULO")</f>
        <v>MONICA JIMENEZ ANGULO</v>
      </c>
      <c r="J155" s="57">
        <f ca="1">IFERROR(__xludf.DUMMYFUNCTION("""COMPUTED_VALUE"""),46008)</f>
        <v>46008</v>
      </c>
      <c r="K155" s="33" t="str">
        <f ca="1">IFERROR(__xludf.DUMMYFUNCTION("""COMPUTED_VALUE"""),"Factura audífonos")</f>
        <v>Factura audífonos</v>
      </c>
      <c r="L155" s="57">
        <f ca="1">IFERROR(__xludf.DUMMYFUNCTION("""COMPUTED_VALUE"""),46064)</f>
        <v>46064</v>
      </c>
      <c r="M155" s="33" t="str">
        <f ca="1">IFERROR(__xludf.DUMMYFUNCTION("""COMPUTED_VALUE"""),"NO")</f>
        <v>NO</v>
      </c>
      <c r="N155" s="56">
        <f ca="1">IFERROR(__xludf.DUMMYFUNCTION("""COMPUTED_VALUE"""),2)</f>
        <v>2</v>
      </c>
      <c r="O155" s="33" t="str">
        <f ca="1">IFERROR(__xludf.DUMMYFUNCTION("""COMPUTED_VALUE"""),"ADVANCED")</f>
        <v>ADVANCED</v>
      </c>
      <c r="P155" s="60">
        <f ca="1">IFERROR(__xludf.DUMMYFUNCTION("""COMPUTED_VALUE"""),4136.36)</f>
        <v>4136.3599999999997</v>
      </c>
      <c r="Q155" s="33" t="str">
        <f ca="1">IFERROR(__xludf.DUMMYFUNCTION("""COMPUTED_VALUE"""),"Iván Sánchez")</f>
        <v>Iván Sánchez</v>
      </c>
      <c r="R155" s="60" t="str">
        <f ca="1">IFERROR(__xludf.DUMMYFUNCTION("""COMPUTED_VALUE"""),"Juan Javier Álvarez López")</f>
        <v>Juan Javier Álvarez López</v>
      </c>
      <c r="S155" s="61" t="str">
        <f ca="1">IFERROR(__xludf.DUMMYFUNCTION("""COMPUTED_VALUE"""),"03 ORL")</f>
        <v>03 ORL</v>
      </c>
      <c r="T155" s="33" t="str">
        <f ca="1">IFERROR(__xludf.DUMMYFUNCTION("""COMPUTED_VALUE"""),"06 ORL")</f>
        <v>06 ORL</v>
      </c>
      <c r="U155" s="62"/>
      <c r="W155" s="62"/>
      <c r="X155" s="62"/>
      <c r="AG155" s="60"/>
    </row>
    <row r="156" spans="1:36" ht="16">
      <c r="A156" s="33"/>
      <c r="B156" s="55" t="str">
        <f t="shared" ca="1" si="0"/>
        <v>LAA</v>
      </c>
      <c r="C156" s="64" t="str">
        <f ca="1">IFERROR(__xludf.DUMMYFUNCTION("""COMPUTED_VALUE"""),"LAA20")</f>
        <v>LAA20</v>
      </c>
      <c r="D156" s="33" t="str">
        <f ca="1">IFERROR(__xludf.DUMMYFUNCTION("""COMPUTED_VALUE"""),"ASOCIADOS")</f>
        <v>ASOCIADOS</v>
      </c>
      <c r="E156" s="33">
        <f ca="1">IFERROR(__xludf.DUMMYFUNCTION("""COMPUTED_VALUE"""),2026)</f>
        <v>2026</v>
      </c>
      <c r="F156" s="56">
        <f ca="1">IFERROR(__xludf.DUMMYFUNCTION("""COMPUTED_VALUE"""),2)</f>
        <v>2</v>
      </c>
      <c r="G156" s="33" t="str">
        <f ca="1">IFERROR(__xludf.DUMMYFUNCTION("""COMPUTED_VALUE"""),"Badajoz")</f>
        <v>Badajoz</v>
      </c>
      <c r="H156" s="33" t="str">
        <f ca="1">IFERROR(__xludf.DUMMYFUNCTION("""COMPUTED_VALUE"""),"C202512178505738777")</f>
        <v>C202512178505738777</v>
      </c>
      <c r="I156" s="33" t="str">
        <f ca="1">IFERROR(__xludf.DUMMYFUNCTION("""COMPUTED_VALUE"""),"CASIMIRA MORENO SANDEZ")</f>
        <v>CASIMIRA MORENO SANDEZ</v>
      </c>
      <c r="J156" s="57">
        <f ca="1">IFERROR(__xludf.DUMMYFUNCTION("""COMPUTED_VALUE"""),46008)</f>
        <v>46008</v>
      </c>
      <c r="K156" s="33" t="str">
        <f ca="1">IFERROR(__xludf.DUMMYFUNCTION("""COMPUTED_VALUE"""),"Factura audífonos")</f>
        <v>Factura audífonos</v>
      </c>
      <c r="L156" s="57">
        <f ca="1">IFERROR(__xludf.DUMMYFUNCTION("""COMPUTED_VALUE"""),46064)</f>
        <v>46064</v>
      </c>
      <c r="M156" s="33" t="str">
        <f ca="1">IFERROR(__xludf.DUMMYFUNCTION("""COMPUTED_VALUE"""),"NO")</f>
        <v>NO</v>
      </c>
      <c r="N156" s="56">
        <f ca="1">IFERROR(__xludf.DUMMYFUNCTION("""COMPUTED_VALUE"""),2)</f>
        <v>2</v>
      </c>
      <c r="O156" s="33" t="str">
        <f ca="1">IFERROR(__xludf.DUMMYFUNCTION("""COMPUTED_VALUE"""),"QUIET")</f>
        <v>QUIET</v>
      </c>
      <c r="P156" s="60">
        <f ca="1">IFERROR(__xludf.DUMMYFUNCTION("""COMPUTED_VALUE"""),3263.64)</f>
        <v>3263.64</v>
      </c>
      <c r="Q156" s="33" t="str">
        <f ca="1">IFERROR(__xludf.DUMMYFUNCTION("""COMPUTED_VALUE"""),"Luis Alberto Rodríguez")</f>
        <v>Luis Alberto Rodríguez</v>
      </c>
      <c r="R156" s="60" t="str">
        <f ca="1">IFERROR(__xludf.DUMMYFUNCTION("""COMPUTED_VALUE"""),"Isidoro Rubio Correa")</f>
        <v>Isidoro Rubio Correa</v>
      </c>
      <c r="S156" s="61" t="str">
        <f ca="1">IFERROR(__xludf.DUMMYFUNCTION("""COMPUTED_VALUE"""),"03 ORL")</f>
        <v>03 ORL</v>
      </c>
      <c r="T156" s="33" t="str">
        <f ca="1">IFERROR(__xludf.DUMMYFUNCTION("""COMPUTED_VALUE"""),"06 ORL")</f>
        <v>06 ORL</v>
      </c>
      <c r="U156" s="62"/>
      <c r="W156" s="62"/>
      <c r="X156" s="62"/>
      <c r="AG156" s="60"/>
      <c r="AJ156" s="60"/>
    </row>
    <row r="157" spans="1:36" ht="16">
      <c r="A157" s="33"/>
      <c r="B157" s="55" t="str">
        <f t="shared" ca="1" si="0"/>
        <v>MBM</v>
      </c>
      <c r="C157" s="64" t="str">
        <f ca="1">IFERROR(__xludf.DUMMYFUNCTION("""COMPUTED_VALUE"""),"MBM03")</f>
        <v>MBM03</v>
      </c>
      <c r="D157" s="33" t="str">
        <f ca="1">IFERROR(__xludf.DUMMYFUNCTION("""COMPUTED_VALUE"""),"PROPIOS")</f>
        <v>PROPIOS</v>
      </c>
      <c r="E157" s="33">
        <f ca="1">IFERROR(__xludf.DUMMYFUNCTION("""COMPUTED_VALUE"""),2026)</f>
        <v>2026</v>
      </c>
      <c r="F157" s="56">
        <f ca="1">IFERROR(__xludf.DUMMYFUNCTION("""COMPUTED_VALUE"""),2)</f>
        <v>2</v>
      </c>
      <c r="G157" s="33" t="str">
        <f ca="1">IFERROR(__xludf.DUMMYFUNCTION("""COMPUTED_VALUE"""),"Torrejón de Ardoz")</f>
        <v>Torrejón de Ardoz</v>
      </c>
      <c r="H157" s="33" t="str">
        <f ca="1">IFERROR(__xludf.DUMMYFUNCTION("""COMPUTED_VALUE"""),"C202510311214327514")</f>
        <v>C202510311214327514</v>
      </c>
      <c r="I157" s="33" t="str">
        <f ca="1">IFERROR(__xludf.DUMMYFUNCTION("""COMPUTED_VALUE"""),"MARGARITA CABALLERO CALVO")</f>
        <v>MARGARITA CABALLERO CALVO</v>
      </c>
      <c r="J157" s="57">
        <f ca="1">IFERROR(__xludf.DUMMYFUNCTION("""COMPUTED_VALUE"""),45961)</f>
        <v>45961</v>
      </c>
      <c r="K157" s="33" t="str">
        <f ca="1">IFERROR(__xludf.DUMMYFUNCTION("""COMPUTED_VALUE"""),"Factura audífonos")</f>
        <v>Factura audífonos</v>
      </c>
      <c r="L157" s="57">
        <f ca="1">IFERROR(__xludf.DUMMYFUNCTION("""COMPUTED_VALUE"""),46065)</f>
        <v>46065</v>
      </c>
      <c r="M157" s="33" t="str">
        <f ca="1">IFERROR(__xludf.DUMMYFUNCTION("""COMPUTED_VALUE"""),"NO")</f>
        <v>NO</v>
      </c>
      <c r="N157" s="56">
        <f ca="1">IFERROR(__xludf.DUMMYFUNCTION("""COMPUTED_VALUE"""),1)</f>
        <v>1</v>
      </c>
      <c r="O157" s="33" t="str">
        <f ca="1">IFERROR(__xludf.DUMMYFUNCTION("""COMPUTED_VALUE"""),"ADVANCED")</f>
        <v>ADVANCED</v>
      </c>
      <c r="P157" s="59">
        <f ca="1">IFERROR(__xludf.DUMMYFUNCTION("""COMPUTED_VALUE"""),2481.82)</f>
        <v>2481.8200000000002</v>
      </c>
      <c r="Q157" s="33" t="str">
        <f ca="1">IFERROR(__xludf.DUMMYFUNCTION("""COMPUTED_VALUE"""),"Maika Blázquez")</f>
        <v>Maika Blázquez</v>
      </c>
      <c r="R157" s="60" t="str">
        <f ca="1">IFERROR(__xludf.DUMMYFUNCTION("""COMPUTED_VALUE"""),"Alejandro Harguindey Antoli-Candela")</f>
        <v>Alejandro Harguindey Antoli-Candela</v>
      </c>
      <c r="S157" s="61" t="str">
        <f ca="1">IFERROR(__xludf.DUMMYFUNCTION("""COMPUTED_VALUE"""),"03 ORL")</f>
        <v>03 ORL</v>
      </c>
      <c r="T157" s="33" t="str">
        <f ca="1">IFERROR(__xludf.DUMMYFUNCTION("""COMPUTED_VALUE"""),"06 ORL")</f>
        <v>06 ORL</v>
      </c>
      <c r="U157" s="62"/>
      <c r="W157" s="62"/>
      <c r="X157" s="62"/>
      <c r="AG157" s="59"/>
      <c r="AJ157" s="60"/>
    </row>
    <row r="158" spans="1:36" ht="16">
      <c r="A158" s="33"/>
      <c r="B158" s="55" t="str">
        <f t="shared" ca="1" si="0"/>
        <v>ISL</v>
      </c>
      <c r="C158" s="64" t="str">
        <f ca="1">IFERROR(__xludf.DUMMYFUNCTION("""COMPUTED_VALUE"""),"ISL83")</f>
        <v>ISL83</v>
      </c>
      <c r="D158" s="33" t="str">
        <f ca="1">IFERROR(__xludf.DUMMYFUNCTION("""COMPUTED_VALUE"""),"PROPIOS")</f>
        <v>PROPIOS</v>
      </c>
      <c r="E158" s="33">
        <f ca="1">IFERROR(__xludf.DUMMYFUNCTION("""COMPUTED_VALUE"""),2026)</f>
        <v>2026</v>
      </c>
      <c r="F158" s="56">
        <f ca="1">IFERROR(__xludf.DUMMYFUNCTION("""COMPUTED_VALUE"""),2)</f>
        <v>2</v>
      </c>
      <c r="G158" s="33" t="str">
        <f ca="1">IFERROR(__xludf.DUMMYFUNCTION("""COMPUTED_VALUE"""),"Murcia")</f>
        <v>Murcia</v>
      </c>
      <c r="H158" s="33" t="str">
        <f ca="1">IFERROR(__xludf.DUMMYFUNCTION("""COMPUTED_VALUE"""),"C202612791443808408")</f>
        <v>C202612791443808408</v>
      </c>
      <c r="I158" s="33" t="str">
        <f ca="1">IFERROR(__xludf.DUMMYFUNCTION("""COMPUTED_VALUE"""),"ANTONIO MOYA GARRIDO")</f>
        <v>ANTONIO MOYA GARRIDO</v>
      </c>
      <c r="J158" s="57">
        <f ca="1">IFERROR(__xludf.DUMMYFUNCTION("""COMPUTED_VALUE"""),46049)</f>
        <v>46049</v>
      </c>
      <c r="K158" s="33" t="str">
        <f ca="1">IFERROR(__xludf.DUMMYFUNCTION("""COMPUTED_VALUE"""),"Factura audífonos")</f>
        <v>Factura audífonos</v>
      </c>
      <c r="L158" s="57">
        <f ca="1">IFERROR(__xludf.DUMMYFUNCTION("""COMPUTED_VALUE"""),46065)</f>
        <v>46065</v>
      </c>
      <c r="M158" s="33" t="str">
        <f ca="1">IFERROR(__xludf.DUMMYFUNCTION("""COMPUTED_VALUE"""),"NO")</f>
        <v>NO</v>
      </c>
      <c r="N158" s="56">
        <f ca="1">IFERROR(__xludf.DUMMYFUNCTION("""COMPUTED_VALUE"""),1)</f>
        <v>1</v>
      </c>
      <c r="O158" s="33" t="str">
        <f ca="1">IFERROR(__xludf.DUMMYFUNCTION("""COMPUTED_VALUE"""),"QUIET")</f>
        <v>QUIET</v>
      </c>
      <c r="P158" s="60">
        <f ca="1">IFERROR(__xludf.DUMMYFUNCTION("""COMPUTED_VALUE"""),1631.82)</f>
        <v>1631.82</v>
      </c>
      <c r="Q158" s="33" t="str">
        <f ca="1">IFERROR(__xludf.DUMMYFUNCTION("""COMPUTED_VALUE"""),"Iván Sánchez")</f>
        <v>Iván Sánchez</v>
      </c>
      <c r="R158" s="60" t="str">
        <f ca="1">IFERROR(__xludf.DUMMYFUNCTION("""COMPUTED_VALUE"""),"Aida Aviñoa Arias")</f>
        <v>Aida Aviñoa Arias</v>
      </c>
      <c r="S158" s="61" t="str">
        <f ca="1">IFERROR(__xludf.DUMMYFUNCTION("""COMPUTED_VALUE"""),"03 ORL")</f>
        <v>03 ORL</v>
      </c>
      <c r="T158" s="33" t="str">
        <f ca="1">IFERROR(__xludf.DUMMYFUNCTION("""COMPUTED_VALUE"""),"06 ORL")</f>
        <v>06 ORL</v>
      </c>
      <c r="U158" s="62"/>
      <c r="W158" s="62"/>
      <c r="X158" s="62"/>
      <c r="AG158" s="60"/>
    </row>
    <row r="159" spans="1:36" ht="16">
      <c r="A159" s="33"/>
      <c r="B159" s="55" t="str">
        <f t="shared" ca="1" si="0"/>
        <v>ISL</v>
      </c>
      <c r="C159" s="64" t="str">
        <f ca="1">IFERROR(__xludf.DUMMYFUNCTION("""COMPUTED_VALUE"""),"ISL76")</f>
        <v>ISL76</v>
      </c>
      <c r="D159" s="33" t="str">
        <f ca="1">IFERROR(__xludf.DUMMYFUNCTION("""COMPUTED_VALUE"""),"PROPIOS")</f>
        <v>PROPIOS</v>
      </c>
      <c r="E159" s="33">
        <f ca="1">IFERROR(__xludf.DUMMYFUNCTION("""COMPUTED_VALUE"""),2026)</f>
        <v>2026</v>
      </c>
      <c r="F159" s="56">
        <f ca="1">IFERROR(__xludf.DUMMYFUNCTION("""COMPUTED_VALUE"""),2)</f>
        <v>2</v>
      </c>
      <c r="G159" s="33" t="str">
        <f ca="1">IFERROR(__xludf.DUMMYFUNCTION("""COMPUTED_VALUE"""),"Albacete")</f>
        <v>Albacete</v>
      </c>
      <c r="H159" s="33" t="str">
        <f ca="1">IFERROR(__xludf.DUMMYFUNCTION("""COMPUTED_VALUE"""),"C20261711017941690")</f>
        <v>C20261711017941690</v>
      </c>
      <c r="I159" s="33" t="str">
        <f ca="1">IFERROR(__xludf.DUMMYFUNCTION("""COMPUTED_VALUE"""),"CECILIA PINA DE YLLANA")</f>
        <v>CECILIA PINA DE YLLANA</v>
      </c>
      <c r="J159" s="57">
        <f ca="1">IFERROR(__xludf.DUMMYFUNCTION("""COMPUTED_VALUE"""),46029)</f>
        <v>46029</v>
      </c>
      <c r="K159" s="33" t="str">
        <f ca="1">IFERROR(__xludf.DUMMYFUNCTION("""COMPUTED_VALUE"""),"Factura audífonos")</f>
        <v>Factura audífonos</v>
      </c>
      <c r="L159" s="57">
        <f ca="1">IFERROR(__xludf.DUMMYFUNCTION("""COMPUTED_VALUE"""),46065)</f>
        <v>46065</v>
      </c>
      <c r="M159" s="33" t="str">
        <f ca="1">IFERROR(__xludf.DUMMYFUNCTION("""COMPUTED_VALUE"""),"NO")</f>
        <v>NO</v>
      </c>
      <c r="N159" s="56">
        <f ca="1">IFERROR(__xludf.DUMMYFUNCTION("""COMPUTED_VALUE"""),2)</f>
        <v>2</v>
      </c>
      <c r="O159" s="33" t="str">
        <f ca="1">IFERROR(__xludf.DUMMYFUNCTION("""COMPUTED_VALUE"""),"ADVANCED")</f>
        <v>ADVANCED</v>
      </c>
      <c r="P159" s="60">
        <f ca="1">IFERROR(__xludf.DUMMYFUNCTION("""COMPUTED_VALUE"""),4136.36)</f>
        <v>4136.3599999999997</v>
      </c>
      <c r="Q159" s="33" t="str">
        <f ca="1">IFERROR(__xludf.DUMMYFUNCTION("""COMPUTED_VALUE"""),"Iván Sánchez")</f>
        <v>Iván Sánchez</v>
      </c>
      <c r="R159" s="60" t="str">
        <f ca="1">IFERROR(__xludf.DUMMYFUNCTION("""COMPUTED_VALUE"""),"Pedro Seguí Moya")</f>
        <v>Pedro Seguí Moya</v>
      </c>
      <c r="S159" s="61" t="str">
        <f ca="1">IFERROR(__xludf.DUMMYFUNCTION("""COMPUTED_VALUE"""),"03 ORL")</f>
        <v>03 ORL</v>
      </c>
      <c r="T159" s="33" t="str">
        <f ca="1">IFERROR(__xludf.DUMMYFUNCTION("""COMPUTED_VALUE"""),"06 ORL")</f>
        <v>06 ORL</v>
      </c>
      <c r="U159" s="62"/>
      <c r="W159" s="62"/>
      <c r="X159" s="62"/>
      <c r="AG159" s="60"/>
      <c r="AJ159" s="60"/>
    </row>
    <row r="160" spans="1:36" ht="16">
      <c r="A160" s="33"/>
      <c r="B160" s="55" t="str">
        <f t="shared" ca="1" si="0"/>
        <v>LAA</v>
      </c>
      <c r="C160" s="64" t="str">
        <f ca="1">IFERROR(__xludf.DUMMYFUNCTION("""COMPUTED_VALUE"""),"LAA63")</f>
        <v>LAA63</v>
      </c>
      <c r="D160" s="33" t="str">
        <f ca="1">IFERROR(__xludf.DUMMYFUNCTION("""COMPUTED_VALUE"""),"PROPIOS")</f>
        <v>PROPIOS</v>
      </c>
      <c r="E160" s="33">
        <f ca="1">IFERROR(__xludf.DUMMYFUNCTION("""COMPUTED_VALUE"""),2026)</f>
        <v>2026</v>
      </c>
      <c r="F160" s="56">
        <f ca="1">IFERROR(__xludf.DUMMYFUNCTION("""COMPUTED_VALUE"""),2)</f>
        <v>2</v>
      </c>
      <c r="G160" s="33" t="str">
        <f ca="1">IFERROR(__xludf.DUMMYFUNCTION("""COMPUTED_VALUE"""),"Madrid- Moratalaz")</f>
        <v>Madrid- Moratalaz</v>
      </c>
      <c r="H160" s="33" t="str">
        <f ca="1">IFERROR(__xludf.DUMMYFUNCTION("""COMPUTED_VALUE"""),"C20261221054127267")</f>
        <v>C20261221054127267</v>
      </c>
      <c r="I160" s="33" t="str">
        <f ca="1">IFERROR(__xludf.DUMMYFUNCTION("""COMPUTED_VALUE"""),"ENRIQUE JIMENEZ TELO")</f>
        <v>ENRIQUE JIMENEZ TELO</v>
      </c>
      <c r="J160" s="57">
        <f ca="1">IFERROR(__xludf.DUMMYFUNCTION("""COMPUTED_VALUE"""),46044)</f>
        <v>46044</v>
      </c>
      <c r="K160" s="33" t="str">
        <f ca="1">IFERROR(__xludf.DUMMYFUNCTION("""COMPUTED_VALUE"""),"Factura audífonos")</f>
        <v>Factura audífonos</v>
      </c>
      <c r="L160" s="57">
        <f ca="1">IFERROR(__xludf.DUMMYFUNCTION("""COMPUTED_VALUE"""),46065)</f>
        <v>46065</v>
      </c>
      <c r="M160" s="33" t="str">
        <f ca="1">IFERROR(__xludf.DUMMYFUNCTION("""COMPUTED_VALUE"""),"NO")</f>
        <v>NO</v>
      </c>
      <c r="N160" s="56">
        <f ca="1">IFERROR(__xludf.DUMMYFUNCTION("""COMPUTED_VALUE"""),2)</f>
        <v>2</v>
      </c>
      <c r="O160" s="33" t="str">
        <f ca="1">IFERROR(__xludf.DUMMYFUNCTION("""COMPUTED_VALUE"""),"ADVANCED")</f>
        <v>ADVANCED</v>
      </c>
      <c r="P160" s="60">
        <f ca="1">IFERROR(__xludf.DUMMYFUNCTION("""COMPUTED_VALUE"""),3722.73)</f>
        <v>3722.73</v>
      </c>
      <c r="Q160" s="33" t="str">
        <f ca="1">IFERROR(__xludf.DUMMYFUNCTION("""COMPUTED_VALUE"""),"Maika Blázquez")</f>
        <v>Maika Blázquez</v>
      </c>
      <c r="R160" s="60" t="str">
        <f ca="1">IFERROR(__xludf.DUMMYFUNCTION("""COMPUTED_VALUE"""),"Julio López Moya")</f>
        <v>Julio López Moya</v>
      </c>
      <c r="S160" s="61" t="str">
        <f ca="1">IFERROR(__xludf.DUMMYFUNCTION("""COMPUTED_VALUE"""),"03 ORL")</f>
        <v>03 ORL</v>
      </c>
      <c r="T160" s="33" t="str">
        <f ca="1">IFERROR(__xludf.DUMMYFUNCTION("""COMPUTED_VALUE"""),"06 ORL")</f>
        <v>06 ORL</v>
      </c>
      <c r="U160" s="62"/>
      <c r="W160" s="62"/>
      <c r="X160" s="62"/>
      <c r="AG160" s="60"/>
      <c r="AJ160" s="60"/>
    </row>
    <row r="161" spans="1:36" ht="16">
      <c r="A161" s="33"/>
      <c r="B161" s="55" t="str">
        <f t="shared" ca="1" si="0"/>
        <v>LAA</v>
      </c>
      <c r="C161" s="64" t="str">
        <f ca="1">IFERROR(__xludf.DUMMYFUNCTION("""COMPUTED_VALUE"""),"LAA78")</f>
        <v>LAA78</v>
      </c>
      <c r="D161" s="33" t="str">
        <f ca="1">IFERROR(__xludf.DUMMYFUNCTION("""COMPUTED_VALUE"""),"PROPIOS")</f>
        <v>PROPIOS</v>
      </c>
      <c r="E161" s="33">
        <f ca="1">IFERROR(__xludf.DUMMYFUNCTION("""COMPUTED_VALUE"""),2026)</f>
        <v>2026</v>
      </c>
      <c r="F161" s="56">
        <f ca="1">IFERROR(__xludf.DUMMYFUNCTION("""COMPUTED_VALUE"""),2)</f>
        <v>2</v>
      </c>
      <c r="G161" s="33" t="str">
        <f ca="1">IFERROR(__xludf.DUMMYFUNCTION("""COMPUTED_VALUE"""),"Jerez de la Frontera")</f>
        <v>Jerez de la Frontera</v>
      </c>
      <c r="H161" s="33" t="str">
        <f ca="1">IFERROR(__xludf.DUMMYFUNCTION("""COMPUTED_VALUE"""),"C202612312344833330")</f>
        <v>C202612312344833330</v>
      </c>
      <c r="I161" s="33" t="str">
        <f ca="1">IFERROR(__xludf.DUMMYFUNCTION("""COMPUTED_VALUE"""),"BORJA GONZALEZ DE RABAGO")</f>
        <v>BORJA GONZALEZ DE RABAGO</v>
      </c>
      <c r="J161" s="57">
        <f ca="1">IFERROR(__xludf.DUMMYFUNCTION("""COMPUTED_VALUE"""),46045)</f>
        <v>46045</v>
      </c>
      <c r="K161" s="33" t="str">
        <f ca="1">IFERROR(__xludf.DUMMYFUNCTION("""COMPUTED_VALUE"""),"Factura audífonos")</f>
        <v>Factura audífonos</v>
      </c>
      <c r="L161" s="57">
        <f ca="1">IFERROR(__xludf.DUMMYFUNCTION("""COMPUTED_VALUE"""),46065)</f>
        <v>46065</v>
      </c>
      <c r="M161" s="33" t="str">
        <f ca="1">IFERROR(__xludf.DUMMYFUNCTION("""COMPUTED_VALUE"""),"NO")</f>
        <v>NO</v>
      </c>
      <c r="N161" s="56">
        <f ca="1">IFERROR(__xludf.DUMMYFUNCTION("""COMPUTED_VALUE"""),2)</f>
        <v>2</v>
      </c>
      <c r="O161" s="33" t="str">
        <f ca="1">IFERROR(__xludf.DUMMYFUNCTION("""COMPUTED_VALUE"""),"QUIET")</f>
        <v>QUIET</v>
      </c>
      <c r="P161" s="59">
        <f ca="1">IFERROR(__xludf.DUMMYFUNCTION("""COMPUTED_VALUE"""),2718.18)</f>
        <v>2718.18</v>
      </c>
      <c r="Q161" s="33" t="str">
        <f ca="1">IFERROR(__xludf.DUMMYFUNCTION("""COMPUTED_VALUE"""),"Luis Alberto Rodríguez")</f>
        <v>Luis Alberto Rodríguez</v>
      </c>
      <c r="R161" s="60" t="str">
        <f ca="1">IFERROR(__xludf.DUMMYFUNCTION("""COMPUTED_VALUE"""),"Maria Del Carmen Salom Coveñas")</f>
        <v>Maria Del Carmen Salom Coveñas</v>
      </c>
      <c r="S161" s="61" t="str">
        <f ca="1">IFERROR(__xludf.DUMMYFUNCTION("""COMPUTED_VALUE"""),"03 ORL")</f>
        <v>03 ORL</v>
      </c>
      <c r="T161" s="33" t="str">
        <f ca="1">IFERROR(__xludf.DUMMYFUNCTION("""COMPUTED_VALUE"""),"06 ORL")</f>
        <v>06 ORL</v>
      </c>
      <c r="U161" s="62"/>
      <c r="W161" s="62"/>
      <c r="X161" s="62"/>
      <c r="AG161" s="59"/>
      <c r="AJ161" s="60"/>
    </row>
    <row r="162" spans="1:36" ht="16">
      <c r="A162" s="33"/>
      <c r="B162" s="55" t="str">
        <f t="shared" ca="1" si="0"/>
        <v>LAA</v>
      </c>
      <c r="C162" s="64" t="str">
        <f ca="1">IFERROR(__xludf.DUMMYFUNCTION("""COMPUTED_VALUE"""),"LAA63")</f>
        <v>LAA63</v>
      </c>
      <c r="D162" s="33" t="str">
        <f ca="1">IFERROR(__xludf.DUMMYFUNCTION("""COMPUTED_VALUE"""),"PROPIOS")</f>
        <v>PROPIOS</v>
      </c>
      <c r="E162" s="33">
        <f ca="1">IFERROR(__xludf.DUMMYFUNCTION("""COMPUTED_VALUE"""),2026)</f>
        <v>2026</v>
      </c>
      <c r="F162" s="56">
        <f ca="1">IFERROR(__xludf.DUMMYFUNCTION("""COMPUTED_VALUE"""),2)</f>
        <v>2</v>
      </c>
      <c r="G162" s="33" t="str">
        <f ca="1">IFERROR(__xludf.DUMMYFUNCTION("""COMPUTED_VALUE"""),"Madrid- Moratalaz")</f>
        <v>Madrid- Moratalaz</v>
      </c>
      <c r="H162" s="33" t="str">
        <f ca="1">IFERROR(__xludf.DUMMYFUNCTION("""COMPUTED_VALUE"""),"C202612210645622394")</f>
        <v>C202612210645622394</v>
      </c>
      <c r="I162" s="33" t="str">
        <f ca="1">IFERROR(__xludf.DUMMYFUNCTION("""COMPUTED_VALUE"""),"MARIA JESUS FERNANDEZ EGUÍLUZ")</f>
        <v>MARIA JESUS FERNANDEZ EGUÍLUZ</v>
      </c>
      <c r="J162" s="57">
        <f ca="1">IFERROR(__xludf.DUMMYFUNCTION("""COMPUTED_VALUE"""),46044)</f>
        <v>46044</v>
      </c>
      <c r="K162" s="33" t="str">
        <f ca="1">IFERROR(__xludf.DUMMYFUNCTION("""COMPUTED_VALUE"""),"Factura audífonos")</f>
        <v>Factura audífonos</v>
      </c>
      <c r="L162" s="57">
        <f ca="1">IFERROR(__xludf.DUMMYFUNCTION("""COMPUTED_VALUE"""),46065)</f>
        <v>46065</v>
      </c>
      <c r="M162" s="33" t="str">
        <f ca="1">IFERROR(__xludf.DUMMYFUNCTION("""COMPUTED_VALUE"""),"NO")</f>
        <v>NO</v>
      </c>
      <c r="N162" s="56">
        <f ca="1">IFERROR(__xludf.DUMMYFUNCTION("""COMPUTED_VALUE"""),2)</f>
        <v>2</v>
      </c>
      <c r="O162" s="33" t="str">
        <f ca="1">IFERROR(__xludf.DUMMYFUNCTION("""COMPUTED_VALUE"""),"ADVANCED")</f>
        <v>ADVANCED</v>
      </c>
      <c r="P162" s="60">
        <f ca="1">IFERROR(__xludf.DUMMYFUNCTION("""COMPUTED_VALUE"""),3722.73)</f>
        <v>3722.73</v>
      </c>
      <c r="Q162" s="33" t="str">
        <f ca="1">IFERROR(__xludf.DUMMYFUNCTION("""COMPUTED_VALUE"""),"Maika Blázquez")</f>
        <v>Maika Blázquez</v>
      </c>
      <c r="R162" s="60" t="str">
        <f ca="1">IFERROR(__xludf.DUMMYFUNCTION("""COMPUTED_VALUE"""),"Julio López Moya")</f>
        <v>Julio López Moya</v>
      </c>
      <c r="S162" s="61" t="str">
        <f ca="1">IFERROR(__xludf.DUMMYFUNCTION("""COMPUTED_VALUE"""),"03 ORL")</f>
        <v>03 ORL</v>
      </c>
      <c r="T162" s="33" t="str">
        <f ca="1">IFERROR(__xludf.DUMMYFUNCTION("""COMPUTED_VALUE"""),"06 ORL")</f>
        <v>06 ORL</v>
      </c>
      <c r="U162" s="62"/>
      <c r="W162" s="62"/>
      <c r="X162" s="62"/>
      <c r="AG162" s="60"/>
      <c r="AJ162" s="60"/>
    </row>
    <row r="163" spans="1:36" ht="16">
      <c r="A163" s="33"/>
      <c r="B163" s="55" t="str">
        <f t="shared" ca="1" si="0"/>
        <v>LRM</v>
      </c>
      <c r="C163" s="64" t="str">
        <f ca="1">IFERROR(__xludf.DUMMYFUNCTION("""COMPUTED_VALUE"""),"LRM125")</f>
        <v>LRM125</v>
      </c>
      <c r="D163" s="33" t="str">
        <f ca="1">IFERROR(__xludf.DUMMYFUNCTION("""COMPUTED_VALUE"""),"PARTICIPADOS")</f>
        <v>PARTICIPADOS</v>
      </c>
      <c r="E163" s="33">
        <f ca="1">IFERROR(__xludf.DUMMYFUNCTION("""COMPUTED_VALUE"""),2026)</f>
        <v>2026</v>
      </c>
      <c r="F163" s="56">
        <f ca="1">IFERROR(__xludf.DUMMYFUNCTION("""COMPUTED_VALUE"""),2)</f>
        <v>2</v>
      </c>
      <c r="G163" s="33" t="str">
        <f ca="1">IFERROR(__xludf.DUMMYFUNCTION("""COMPUTED_VALUE"""),"Talavera")</f>
        <v>Talavera</v>
      </c>
      <c r="H163" s="33" t="str">
        <f ca="1">IFERROR(__xludf.DUMMYFUNCTION("""COMPUTED_VALUE"""),"C202512171752132637")</f>
        <v>C202512171752132637</v>
      </c>
      <c r="I163" s="33" t="str">
        <f ca="1">IFERROR(__xludf.DUMMYFUNCTION("""COMPUTED_VALUE"""),"CAROLINA CORONADO ROPERO")</f>
        <v>CAROLINA CORONADO ROPERO</v>
      </c>
      <c r="J163" s="57">
        <f ca="1">IFERROR(__xludf.DUMMYFUNCTION("""COMPUTED_VALUE"""),46008)</f>
        <v>46008</v>
      </c>
      <c r="K163" s="33" t="str">
        <f ca="1">IFERROR(__xludf.DUMMYFUNCTION("""COMPUTED_VALUE"""),"Factura audífonos")</f>
        <v>Factura audífonos</v>
      </c>
      <c r="L163" s="57">
        <f ca="1">IFERROR(__xludf.DUMMYFUNCTION("""COMPUTED_VALUE"""),46065)</f>
        <v>46065</v>
      </c>
      <c r="M163" s="33" t="str">
        <f ca="1">IFERROR(__xludf.DUMMYFUNCTION("""COMPUTED_VALUE"""),"NO")</f>
        <v>NO</v>
      </c>
      <c r="N163" s="56">
        <f ca="1">IFERROR(__xludf.DUMMYFUNCTION("""COMPUTED_VALUE"""),2)</f>
        <v>2</v>
      </c>
      <c r="O163" s="33" t="str">
        <f ca="1">IFERROR(__xludf.DUMMYFUNCTION("""COMPUTED_VALUE"""),"ADVANCED")</f>
        <v>ADVANCED</v>
      </c>
      <c r="P163" s="60">
        <f ca="1">IFERROR(__xludf.DUMMYFUNCTION("""COMPUTED_VALUE"""),4136.36)</f>
        <v>4136.3599999999997</v>
      </c>
      <c r="Q163" s="33" t="str">
        <f ca="1">IFERROR(__xludf.DUMMYFUNCTION("""COMPUTED_VALUE"""),"Lisandro Russian")</f>
        <v>Lisandro Russian</v>
      </c>
      <c r="R163" s="60" t="str">
        <f ca="1">IFERROR(__xludf.DUMMYFUNCTION("""COMPUTED_VALUE"""),"Ainhoa Moreno Bravo")</f>
        <v>Ainhoa Moreno Bravo</v>
      </c>
      <c r="S163" s="61" t="str">
        <f ca="1">IFERROR(__xludf.DUMMYFUNCTION("""COMPUTED_VALUE"""),"03 ORL")</f>
        <v>03 ORL</v>
      </c>
      <c r="T163" s="33" t="str">
        <f ca="1">IFERROR(__xludf.DUMMYFUNCTION("""COMPUTED_VALUE"""),"06 ORL")</f>
        <v>06 ORL</v>
      </c>
      <c r="U163" s="62"/>
      <c r="W163" s="62"/>
      <c r="X163" s="62"/>
      <c r="AG163" s="60"/>
    </row>
    <row r="164" spans="1:36" ht="16">
      <c r="A164" s="33"/>
      <c r="B164" s="55" t="str">
        <f t="shared" ca="1" si="0"/>
        <v>MBM</v>
      </c>
      <c r="C164" s="64" t="str">
        <f ca="1">IFERROR(__xludf.DUMMYFUNCTION("""COMPUTED_VALUE"""),"MBM01")</f>
        <v>MBM01</v>
      </c>
      <c r="D164" s="33" t="str">
        <f ca="1">IFERROR(__xludf.DUMMYFUNCTION("""COMPUTED_VALUE"""),"PROPIOS")</f>
        <v>PROPIOS</v>
      </c>
      <c r="E164" s="33">
        <f ca="1">IFERROR(__xludf.DUMMYFUNCTION("""COMPUTED_VALUE"""),2026)</f>
        <v>2026</v>
      </c>
      <c r="F164" s="56">
        <f ca="1">IFERROR(__xludf.DUMMYFUNCTION("""COMPUTED_VALUE"""),2)</f>
        <v>2</v>
      </c>
      <c r="G164" s="33" t="str">
        <f ca="1">IFERROR(__xludf.DUMMYFUNCTION("""COMPUTED_VALUE"""),"Fuenlabrada")</f>
        <v>Fuenlabrada</v>
      </c>
      <c r="H164" s="33" t="str">
        <f ca="1">IFERROR(__xludf.DUMMYFUNCTION("""COMPUTED_VALUE"""),"C202552693132758")</f>
        <v>C202552693132758</v>
      </c>
      <c r="I164" s="33" t="str">
        <f ca="1">IFERROR(__xludf.DUMMYFUNCTION("""COMPUTED_VALUE"""),"JOSE ANTONIO QUINTANA LOPEZ")</f>
        <v>JOSE ANTONIO QUINTANA LOPEZ</v>
      </c>
      <c r="J164" s="57">
        <f ca="1">IFERROR(__xludf.DUMMYFUNCTION("""COMPUTED_VALUE"""),45800)</f>
        <v>45800</v>
      </c>
      <c r="K164" s="33" t="str">
        <f ca="1">IFERROR(__xludf.DUMMYFUNCTION("""COMPUTED_VALUE"""),"Factura audífonos")</f>
        <v>Factura audífonos</v>
      </c>
      <c r="L164" s="57">
        <f ca="1">IFERROR(__xludf.DUMMYFUNCTION("""COMPUTED_VALUE"""),46065)</f>
        <v>46065</v>
      </c>
      <c r="M164" s="33" t="str">
        <f ca="1">IFERROR(__xludf.DUMMYFUNCTION("""COMPUTED_VALUE"""),"NO")</f>
        <v>NO</v>
      </c>
      <c r="N164" s="56">
        <f ca="1">IFERROR(__xludf.DUMMYFUNCTION("""COMPUTED_VALUE"""),2)</f>
        <v>2</v>
      </c>
      <c r="O164" s="33" t="str">
        <f ca="1">IFERROR(__xludf.DUMMYFUNCTION("""COMPUTED_VALUE"""),"CONFORT")</f>
        <v>CONFORT</v>
      </c>
      <c r="P164" s="60">
        <f ca="1">IFERROR(__xludf.DUMMYFUNCTION("""COMPUTED_VALUE"""),3450)</f>
        <v>3450</v>
      </c>
      <c r="Q164" s="33" t="str">
        <f ca="1">IFERROR(__xludf.DUMMYFUNCTION("""COMPUTED_VALUE"""),"Maika Blázquez")</f>
        <v>Maika Blázquez</v>
      </c>
      <c r="R164" s="60" t="str">
        <f ca="1">IFERROR(__xludf.DUMMYFUNCTION("""COMPUTED_VALUE"""),"Adolfo Toledano Muñoz")</f>
        <v>Adolfo Toledano Muñoz</v>
      </c>
      <c r="S164" s="61" t="str">
        <f ca="1">IFERROR(__xludf.DUMMYFUNCTION("""COMPUTED_VALUE"""),"03 ORL")</f>
        <v>03 ORL</v>
      </c>
      <c r="T164" s="33" t="str">
        <f ca="1">IFERROR(__xludf.DUMMYFUNCTION("""COMPUTED_VALUE"""),"22 AUDIOMETRIA CLINICA")</f>
        <v>22 AUDIOMETRIA CLINICA</v>
      </c>
      <c r="U164" s="62"/>
      <c r="W164" s="62"/>
      <c r="X164" s="62"/>
      <c r="AG164" s="60"/>
      <c r="AJ164" s="60"/>
    </row>
    <row r="165" spans="1:36" ht="16">
      <c r="A165" s="33"/>
      <c r="B165" s="55" t="str">
        <f t="shared" ca="1" si="0"/>
        <v>LRM</v>
      </c>
      <c r="C165" s="64" t="str">
        <f ca="1">IFERROR(__xludf.DUMMYFUNCTION("""COMPUTED_VALUE"""),"LRM227")</f>
        <v>LRM227</v>
      </c>
      <c r="D165" s="33" t="str">
        <f ca="1">IFERROR(__xludf.DUMMYFUNCTION("""COMPUTED_VALUE"""),"PARTICIPADOS")</f>
        <v>PARTICIPADOS</v>
      </c>
      <c r="E165" s="33">
        <f ca="1">IFERROR(__xludf.DUMMYFUNCTION("""COMPUTED_VALUE"""),2026)</f>
        <v>2026</v>
      </c>
      <c r="F165" s="56">
        <f ca="1">IFERROR(__xludf.DUMMYFUNCTION("""COMPUTED_VALUE"""),2)</f>
        <v>2</v>
      </c>
      <c r="G165" s="33" t="str">
        <f ca="1">IFERROR(__xludf.DUMMYFUNCTION("""COMPUTED_VALUE"""),"Talavera")</f>
        <v>Talavera</v>
      </c>
      <c r="H165" s="33" t="str">
        <f ca="1">IFERROR(__xludf.DUMMYFUNCTION("""COMPUTED_VALUE"""),"C202512311031454328")</f>
        <v>C202512311031454328</v>
      </c>
      <c r="I165" s="33" t="str">
        <f ca="1">IFERROR(__xludf.DUMMYFUNCTION("""COMPUTED_VALUE"""),"ANGEL MUÑOZ JIMENEZ")</f>
        <v>ANGEL MUÑOZ JIMENEZ</v>
      </c>
      <c r="J165" s="57">
        <f ca="1">IFERROR(__xludf.DUMMYFUNCTION("""COMPUTED_VALUE"""),46022)</f>
        <v>46022</v>
      </c>
      <c r="K165" s="33" t="str">
        <f ca="1">IFERROR(__xludf.DUMMYFUNCTION("""COMPUTED_VALUE"""),"Factura audífonos")</f>
        <v>Factura audífonos</v>
      </c>
      <c r="L165" s="57">
        <f ca="1">IFERROR(__xludf.DUMMYFUNCTION("""COMPUTED_VALUE"""),46065)</f>
        <v>46065</v>
      </c>
      <c r="M165" s="33" t="str">
        <f ca="1">IFERROR(__xludf.DUMMYFUNCTION("""COMPUTED_VALUE"""),"NO")</f>
        <v>NO</v>
      </c>
      <c r="N165" s="56">
        <f ca="1">IFERROR(__xludf.DUMMYFUNCTION("""COMPUTED_VALUE"""),2)</f>
        <v>2</v>
      </c>
      <c r="O165" s="33" t="str">
        <f ca="1">IFERROR(__xludf.DUMMYFUNCTION("""COMPUTED_VALUE"""),"QUIET")</f>
        <v>QUIET</v>
      </c>
      <c r="P165" s="60">
        <f ca="1">IFERROR(__xludf.DUMMYFUNCTION("""COMPUTED_VALUE"""),2582.27)</f>
        <v>2582.27</v>
      </c>
      <c r="Q165" s="33" t="str">
        <f ca="1">IFERROR(__xludf.DUMMYFUNCTION("""COMPUTED_VALUE"""),"Lisandro Russian")</f>
        <v>Lisandro Russian</v>
      </c>
      <c r="R165" s="60" t="str">
        <f ca="1">IFERROR(__xludf.DUMMYFUNCTION("""COMPUTED_VALUE"""),"Patricia Ezcurra Hernández")</f>
        <v>Patricia Ezcurra Hernández</v>
      </c>
      <c r="S165" s="61" t="str">
        <f ca="1">IFERROR(__xludf.DUMMYFUNCTION("""COMPUTED_VALUE"""),"03 ORL")</f>
        <v>03 ORL</v>
      </c>
      <c r="T165" s="33" t="str">
        <f ca="1">IFERROR(__xludf.DUMMYFUNCTION("""COMPUTED_VALUE"""),"06 ORL")</f>
        <v>06 ORL</v>
      </c>
      <c r="U165" s="62"/>
      <c r="W165" s="62"/>
      <c r="X165" s="62"/>
      <c r="AG165" s="60"/>
      <c r="AJ165" s="60"/>
    </row>
    <row r="166" spans="1:36" ht="16">
      <c r="A166" s="33"/>
      <c r="B166" s="55" t="str">
        <f t="shared" ca="1" si="0"/>
        <v>LAA</v>
      </c>
      <c r="C166" s="64" t="str">
        <f ca="1">IFERROR(__xludf.DUMMYFUNCTION("""COMPUTED_VALUE"""),"LAA78")</f>
        <v>LAA78</v>
      </c>
      <c r="D166" s="33" t="str">
        <f ca="1">IFERROR(__xludf.DUMMYFUNCTION("""COMPUTED_VALUE"""),"PROPIOS")</f>
        <v>PROPIOS</v>
      </c>
      <c r="E166" s="33">
        <f ca="1">IFERROR(__xludf.DUMMYFUNCTION("""COMPUTED_VALUE"""),2026)</f>
        <v>2026</v>
      </c>
      <c r="F166" s="56">
        <f ca="1">IFERROR(__xludf.DUMMYFUNCTION("""COMPUTED_VALUE"""),2)</f>
        <v>2</v>
      </c>
      <c r="G166" s="33" t="str">
        <f ca="1">IFERROR(__xludf.DUMMYFUNCTION("""COMPUTED_VALUE"""),"Jerez de la Frontera")</f>
        <v>Jerez de la Frontera</v>
      </c>
      <c r="H166" s="33" t="str">
        <f ca="1">IFERROR(__xludf.DUMMYFUNCTION("""COMPUTED_VALUE"""),"C202612216365615147")</f>
        <v>C202612216365615147</v>
      </c>
      <c r="I166" s="33" t="str">
        <f ca="1">IFERROR(__xludf.DUMMYFUNCTION("""COMPUTED_VALUE"""),"ANTONIO MARTINEZ BENAVIDES")</f>
        <v>ANTONIO MARTINEZ BENAVIDES</v>
      </c>
      <c r="J166" s="57">
        <f ca="1">IFERROR(__xludf.DUMMYFUNCTION("""COMPUTED_VALUE"""),46044)</f>
        <v>46044</v>
      </c>
      <c r="K166" s="33" t="str">
        <f ca="1">IFERROR(__xludf.DUMMYFUNCTION("""COMPUTED_VALUE"""),"Factura audífonos")</f>
        <v>Factura audífonos</v>
      </c>
      <c r="L166" s="57">
        <f ca="1">IFERROR(__xludf.DUMMYFUNCTION("""COMPUTED_VALUE"""),46065)</f>
        <v>46065</v>
      </c>
      <c r="M166" s="33" t="str">
        <f ca="1">IFERROR(__xludf.DUMMYFUNCTION("""COMPUTED_VALUE"""),"NO")</f>
        <v>NO</v>
      </c>
      <c r="N166" s="56">
        <f ca="1">IFERROR(__xludf.DUMMYFUNCTION("""COMPUTED_VALUE"""),1)</f>
        <v>1</v>
      </c>
      <c r="O166" s="33" t="str">
        <f ca="1">IFERROR(__xludf.DUMMYFUNCTION("""COMPUTED_VALUE"""),"ADVANCED")</f>
        <v>ADVANCED</v>
      </c>
      <c r="P166" s="60">
        <f ca="1">IFERROR(__xludf.DUMMYFUNCTION("""COMPUTED_VALUE"""),2481.82)</f>
        <v>2481.8200000000002</v>
      </c>
      <c r="Q166" s="33" t="str">
        <f ca="1">IFERROR(__xludf.DUMMYFUNCTION("""COMPUTED_VALUE"""),"Luis Alberto Rodríguez")</f>
        <v>Luis Alberto Rodríguez</v>
      </c>
      <c r="R166" s="60" t="str">
        <f ca="1">IFERROR(__xludf.DUMMYFUNCTION("""COMPUTED_VALUE"""),"Maria Del Carmen Salom Coveñas")</f>
        <v>Maria Del Carmen Salom Coveñas</v>
      </c>
      <c r="S166" s="61" t="str">
        <f ca="1">IFERROR(__xludf.DUMMYFUNCTION("""COMPUTED_VALUE"""),"03 ORL")</f>
        <v>03 ORL</v>
      </c>
      <c r="T166" s="33" t="str">
        <f ca="1">IFERROR(__xludf.DUMMYFUNCTION("""COMPUTED_VALUE"""),"06 ORL")</f>
        <v>06 ORL</v>
      </c>
      <c r="U166" s="62"/>
      <c r="W166" s="62"/>
      <c r="X166" s="62"/>
      <c r="AG166" s="60"/>
    </row>
    <row r="167" spans="1:36" ht="16">
      <c r="A167" s="33"/>
      <c r="B167" s="55" t="str">
        <f t="shared" ca="1" si="0"/>
        <v>RPG</v>
      </c>
      <c r="C167" s="64" t="str">
        <f ca="1">IFERROR(__xludf.DUMMYFUNCTION("""COMPUTED_VALUE"""),"RPG51")</f>
        <v>RPG51</v>
      </c>
      <c r="D167" s="33" t="str">
        <f ca="1">IFERROR(__xludf.DUMMYFUNCTION("""COMPUTED_VALUE"""),"PARTICIPADOS")</f>
        <v>PARTICIPADOS</v>
      </c>
      <c r="E167" s="33">
        <f ca="1">IFERROR(__xludf.DUMMYFUNCTION("""COMPUTED_VALUE"""),2026)</f>
        <v>2026</v>
      </c>
      <c r="F167" s="56">
        <f ca="1">IFERROR(__xludf.DUMMYFUNCTION("""COMPUTED_VALUE"""),2)</f>
        <v>2</v>
      </c>
      <c r="G167" s="33" t="str">
        <f ca="1">IFERROR(__xludf.DUMMYFUNCTION("""COMPUTED_VALUE"""),"Ourense")</f>
        <v>Ourense</v>
      </c>
      <c r="H167" s="33" t="str">
        <f ca="1">IFERROR(__xludf.DUMMYFUNCTION("""COMPUTED_VALUE"""),"C202512291616562251")</f>
        <v>C202512291616562251</v>
      </c>
      <c r="I167" s="33" t="str">
        <f ca="1">IFERROR(__xludf.DUMMYFUNCTION("""COMPUTED_VALUE"""),"DOLORES FERNANDEZ SUAREZ")</f>
        <v>DOLORES FERNANDEZ SUAREZ</v>
      </c>
      <c r="J167" s="57">
        <f ca="1">IFERROR(__xludf.DUMMYFUNCTION("""COMPUTED_VALUE"""),46020)</f>
        <v>46020</v>
      </c>
      <c r="K167" s="33" t="str">
        <f ca="1">IFERROR(__xludf.DUMMYFUNCTION("""COMPUTED_VALUE"""),"Factura audífonos")</f>
        <v>Factura audífonos</v>
      </c>
      <c r="L167" s="57">
        <f ca="1">IFERROR(__xludf.DUMMYFUNCTION("""COMPUTED_VALUE"""),46065)</f>
        <v>46065</v>
      </c>
      <c r="M167" s="33" t="str">
        <f ca="1">IFERROR(__xludf.DUMMYFUNCTION("""COMPUTED_VALUE"""),"NO")</f>
        <v>NO</v>
      </c>
      <c r="N167" s="56">
        <f ca="1">IFERROR(__xludf.DUMMYFUNCTION("""COMPUTED_VALUE"""),1)</f>
        <v>1</v>
      </c>
      <c r="O167" s="33" t="str">
        <f ca="1">IFERROR(__xludf.DUMMYFUNCTION("""COMPUTED_VALUE"""),"QUIET")</f>
        <v>QUIET</v>
      </c>
      <c r="P167" s="60">
        <f ca="1">IFERROR(__xludf.DUMMYFUNCTION("""COMPUTED_VALUE"""),1631.82)</f>
        <v>1631.82</v>
      </c>
      <c r="Q167" s="33" t="str">
        <f ca="1">IFERROR(__xludf.DUMMYFUNCTION("""COMPUTED_VALUE"""),"Kiko Ortega")</f>
        <v>Kiko Ortega</v>
      </c>
      <c r="R167" s="60" t="str">
        <f ca="1">IFERROR(__xludf.DUMMYFUNCTION("""COMPUTED_VALUE"""),"María Rey Marcos")</f>
        <v>María Rey Marcos</v>
      </c>
      <c r="S167" s="61" t="str">
        <f ca="1">IFERROR(__xludf.DUMMYFUNCTION("""COMPUTED_VALUE"""),"03 ORL")</f>
        <v>03 ORL</v>
      </c>
      <c r="T167" s="33" t="str">
        <f ca="1">IFERROR(__xludf.DUMMYFUNCTION("""COMPUTED_VALUE"""),"06 ORL")</f>
        <v>06 ORL</v>
      </c>
      <c r="U167" s="62"/>
      <c r="W167" s="62"/>
      <c r="X167" s="62"/>
      <c r="AG167" s="60"/>
      <c r="AJ167" s="60"/>
    </row>
    <row r="168" spans="1:36" ht="16">
      <c r="A168" s="33"/>
      <c r="B168" s="55" t="str">
        <f t="shared" ca="1" si="0"/>
        <v>LAA</v>
      </c>
      <c r="C168" s="64" t="str">
        <f ca="1">IFERROR(__xludf.DUMMYFUNCTION("""COMPUTED_VALUE"""),"LAA19")</f>
        <v>LAA19</v>
      </c>
      <c r="D168" s="33" t="str">
        <f ca="1">IFERROR(__xludf.DUMMYFUNCTION("""COMPUTED_VALUE"""),"PROPIOS")</f>
        <v>PROPIOS</v>
      </c>
      <c r="E168" s="33">
        <f ca="1">IFERROR(__xludf.DUMMYFUNCTION("""COMPUTED_VALUE"""),2026)</f>
        <v>2026</v>
      </c>
      <c r="F168" s="56">
        <f ca="1">IFERROR(__xludf.DUMMYFUNCTION("""COMPUTED_VALUE"""),2)</f>
        <v>2</v>
      </c>
      <c r="G168" s="33" t="str">
        <f ca="1">IFERROR(__xludf.DUMMYFUNCTION("""COMPUTED_VALUE"""),"Sevilla- Montoto")</f>
        <v>Sevilla- Montoto</v>
      </c>
      <c r="H168" s="33" t="str">
        <f ca="1">IFERROR(__xludf.DUMMYFUNCTION("""COMPUTED_VALUE"""),"C202612618154308409")</f>
        <v>C202612618154308409</v>
      </c>
      <c r="I168" s="33" t="str">
        <f ca="1">IFERROR(__xludf.DUMMYFUNCTION("""COMPUTED_VALUE"""),"MARIA DEL CARMEN MORENO DIAZ")</f>
        <v>MARIA DEL CARMEN MORENO DIAZ</v>
      </c>
      <c r="J168" s="57">
        <f ca="1">IFERROR(__xludf.DUMMYFUNCTION("""COMPUTED_VALUE"""),46048)</f>
        <v>46048</v>
      </c>
      <c r="K168" s="33" t="str">
        <f ca="1">IFERROR(__xludf.DUMMYFUNCTION("""COMPUTED_VALUE"""),"Factura audífonos")</f>
        <v>Factura audífonos</v>
      </c>
      <c r="L168" s="57">
        <f ca="1">IFERROR(__xludf.DUMMYFUNCTION("""COMPUTED_VALUE"""),46065)</f>
        <v>46065</v>
      </c>
      <c r="M168" s="33" t="str">
        <f ca="1">IFERROR(__xludf.DUMMYFUNCTION("""COMPUTED_VALUE"""),"NO")</f>
        <v>NO</v>
      </c>
      <c r="N168" s="56">
        <f ca="1">IFERROR(__xludf.DUMMYFUNCTION("""COMPUTED_VALUE"""),1)</f>
        <v>1</v>
      </c>
      <c r="O168" s="33" t="str">
        <f ca="1">IFERROR(__xludf.DUMMYFUNCTION("""COMPUTED_VALUE"""),"CONFORT")</f>
        <v>CONFORT</v>
      </c>
      <c r="P168" s="60">
        <f ca="1">IFERROR(__xludf.DUMMYFUNCTION("""COMPUTED_VALUE"""),2180.77)</f>
        <v>2180.77</v>
      </c>
      <c r="Q168" s="33" t="str">
        <f ca="1">IFERROR(__xludf.DUMMYFUNCTION("""COMPUTED_VALUE"""),"Luis Alberto Rodríguez")</f>
        <v>Luis Alberto Rodríguez</v>
      </c>
      <c r="R168" s="60" t="str">
        <f ca="1">IFERROR(__xludf.DUMMYFUNCTION("""COMPUTED_VALUE"""),"Gustavo Benavente Bermudo")</f>
        <v>Gustavo Benavente Bermudo</v>
      </c>
      <c r="S168" s="61" t="str">
        <f ca="1">IFERROR(__xludf.DUMMYFUNCTION("""COMPUTED_VALUE"""),"03 ORL")</f>
        <v>03 ORL</v>
      </c>
      <c r="T168" s="33" t="str">
        <f ca="1">IFERROR(__xludf.DUMMYFUNCTION("""COMPUTED_VALUE"""),"06 ORL")</f>
        <v>06 ORL</v>
      </c>
      <c r="U168" s="62"/>
      <c r="W168" s="62"/>
      <c r="X168" s="62"/>
      <c r="AG168" s="60"/>
      <c r="AJ168" s="60"/>
    </row>
    <row r="169" spans="1:36" ht="16">
      <c r="A169" s="33"/>
      <c r="B169" s="55" t="str">
        <f t="shared" ca="1" si="0"/>
        <v>LRM</v>
      </c>
      <c r="C169" s="64" t="str">
        <f ca="1">IFERROR(__xludf.DUMMYFUNCTION("""COMPUTED_VALUE"""),"LRM258")</f>
        <v>LRM258</v>
      </c>
      <c r="D169" s="33" t="str">
        <f ca="1">IFERROR(__xludf.DUMMYFUNCTION("""COMPUTED_VALUE"""),"ASOCIADOS")</f>
        <v>ASOCIADOS</v>
      </c>
      <c r="E169" s="33">
        <f ca="1">IFERROR(__xludf.DUMMYFUNCTION("""COMPUTED_VALUE"""),2026)</f>
        <v>2026</v>
      </c>
      <c r="F169" s="56">
        <f ca="1">IFERROR(__xludf.DUMMYFUNCTION("""COMPUTED_VALUE"""),2)</f>
        <v>2</v>
      </c>
      <c r="G169" s="33" t="str">
        <f ca="1">IFERROR(__xludf.DUMMYFUNCTION("""COMPUTED_VALUE"""),"Cáceres")</f>
        <v>Cáceres</v>
      </c>
      <c r="H169" s="33" t="str">
        <f ca="1">IFERROR(__xludf.DUMMYFUNCTION("""COMPUTED_VALUE"""),"C20261710421168634")</f>
        <v>C20261710421168634</v>
      </c>
      <c r="I169" s="33" t="str">
        <f ca="1">IFERROR(__xludf.DUMMYFUNCTION("""COMPUTED_VALUE"""),"BEATRIZ MORENO TALAVERA")</f>
        <v>BEATRIZ MORENO TALAVERA</v>
      </c>
      <c r="J169" s="57">
        <f ca="1">IFERROR(__xludf.DUMMYFUNCTION("""COMPUTED_VALUE"""),46029)</f>
        <v>46029</v>
      </c>
      <c r="K169" s="33" t="str">
        <f ca="1">IFERROR(__xludf.DUMMYFUNCTION("""COMPUTED_VALUE"""),"Factura audífonos")</f>
        <v>Factura audífonos</v>
      </c>
      <c r="L169" s="57">
        <f ca="1">IFERROR(__xludf.DUMMYFUNCTION("""COMPUTED_VALUE"""),46066)</f>
        <v>46066</v>
      </c>
      <c r="M169" s="33" t="str">
        <f ca="1">IFERROR(__xludf.DUMMYFUNCTION("""COMPUTED_VALUE"""),"NO")</f>
        <v>NO</v>
      </c>
      <c r="N169" s="56">
        <f ca="1">IFERROR(__xludf.DUMMYFUNCTION("""COMPUTED_VALUE"""),2)</f>
        <v>2</v>
      </c>
      <c r="O169" s="33" t="str">
        <f ca="1">IFERROR(__xludf.DUMMYFUNCTION("""COMPUTED_VALUE"""),"CONFORT")</f>
        <v>CONFORT</v>
      </c>
      <c r="P169" s="60">
        <f ca="1">IFERROR(__xludf.DUMMYFUNCTION("""COMPUTED_VALUE"""),3940.91)</f>
        <v>3940.91</v>
      </c>
      <c r="Q169" s="33" t="str">
        <f ca="1">IFERROR(__xludf.DUMMYFUNCTION("""COMPUTED_VALUE"""),"Lisandro Russian")</f>
        <v>Lisandro Russian</v>
      </c>
      <c r="R169" s="60" t="str">
        <f ca="1">IFERROR(__xludf.DUMMYFUNCTION("""COMPUTED_VALUE"""),"Andrea Cifuentes Navas")</f>
        <v>Andrea Cifuentes Navas</v>
      </c>
      <c r="S169" s="61" t="str">
        <f ca="1">IFERROR(__xludf.DUMMYFUNCTION("""COMPUTED_VALUE"""),"03 ORL")</f>
        <v>03 ORL</v>
      </c>
      <c r="T169" s="33" t="str">
        <f ca="1">IFERROR(__xludf.DUMMYFUNCTION("""COMPUTED_VALUE"""),"06 ORL")</f>
        <v>06 ORL</v>
      </c>
      <c r="U169" s="62"/>
      <c r="W169" s="62"/>
      <c r="X169" s="62"/>
      <c r="AG169" s="60"/>
      <c r="AJ169" s="60"/>
    </row>
    <row r="170" spans="1:36" ht="16">
      <c r="A170" s="33"/>
      <c r="B170" s="55" t="str">
        <f t="shared" ca="1" si="0"/>
        <v>LRM</v>
      </c>
      <c r="C170" s="64" t="str">
        <f ca="1">IFERROR(__xludf.DUMMYFUNCTION("""COMPUTED_VALUE"""),"LRM153")</f>
        <v>LRM153</v>
      </c>
      <c r="D170" s="33" t="str">
        <f ca="1">IFERROR(__xludf.DUMMYFUNCTION("""COMPUTED_VALUE"""),"ASOCIADOS")</f>
        <v>ASOCIADOS</v>
      </c>
      <c r="E170" s="33">
        <f ca="1">IFERROR(__xludf.DUMMYFUNCTION("""COMPUTED_VALUE"""),2026)</f>
        <v>2026</v>
      </c>
      <c r="F170" s="56">
        <f ca="1">IFERROR(__xludf.DUMMYFUNCTION("""COMPUTED_VALUE"""),2)</f>
        <v>2</v>
      </c>
      <c r="G170" s="33" t="str">
        <f ca="1">IFERROR(__xludf.DUMMYFUNCTION("""COMPUTED_VALUE"""),"Cáceres")</f>
        <v>Cáceres</v>
      </c>
      <c r="H170" s="33" t="str">
        <f ca="1">IFERROR(__xludf.DUMMYFUNCTION("""COMPUTED_VALUE"""),"C202612317185580520")</f>
        <v>C202612317185580520</v>
      </c>
      <c r="I170" s="33" t="str">
        <f ca="1">IFERROR(__xludf.DUMMYFUNCTION("""COMPUTED_VALUE"""),"MANUELA GOMEZ FERNANDEZ")</f>
        <v>MANUELA GOMEZ FERNANDEZ</v>
      </c>
      <c r="J170" s="57">
        <f ca="1">IFERROR(__xludf.DUMMYFUNCTION("""COMPUTED_VALUE"""),46045)</f>
        <v>46045</v>
      </c>
      <c r="K170" s="33" t="str">
        <f ca="1">IFERROR(__xludf.DUMMYFUNCTION("""COMPUTED_VALUE"""),"Factura audífonos")</f>
        <v>Factura audífonos</v>
      </c>
      <c r="L170" s="57">
        <f ca="1">IFERROR(__xludf.DUMMYFUNCTION("""COMPUTED_VALUE"""),46066)</f>
        <v>46066</v>
      </c>
      <c r="M170" s="33" t="str">
        <f ca="1">IFERROR(__xludf.DUMMYFUNCTION("""COMPUTED_VALUE"""),"NO")</f>
        <v>NO</v>
      </c>
      <c r="N170" s="56">
        <f ca="1">IFERROR(__xludf.DUMMYFUNCTION("""COMPUTED_VALUE"""),2)</f>
        <v>2</v>
      </c>
      <c r="O170" s="33" t="str">
        <f ca="1">IFERROR(__xludf.DUMMYFUNCTION("""COMPUTED_VALUE"""),"QUIET")</f>
        <v>QUIET</v>
      </c>
      <c r="P170" s="59">
        <f ca="1">IFERROR(__xludf.DUMMYFUNCTION("""COMPUTED_VALUE"""),3554.55)</f>
        <v>3554.55</v>
      </c>
      <c r="Q170" s="33" t="str">
        <f ca="1">IFERROR(__xludf.DUMMYFUNCTION("""COMPUTED_VALUE"""),"Lisandro Russian")</f>
        <v>Lisandro Russian</v>
      </c>
      <c r="R170" s="60" t="str">
        <f ca="1">IFERROR(__xludf.DUMMYFUNCTION("""COMPUTED_VALUE"""),"Daniela Carolina Laguado Bulgheroni")</f>
        <v>Daniela Carolina Laguado Bulgheroni</v>
      </c>
      <c r="S170" s="61" t="str">
        <f ca="1">IFERROR(__xludf.DUMMYFUNCTION("""COMPUTED_VALUE"""),"03 ORL")</f>
        <v>03 ORL</v>
      </c>
      <c r="T170" s="33" t="str">
        <f ca="1">IFERROR(__xludf.DUMMYFUNCTION("""COMPUTED_VALUE"""),"06 ORL")</f>
        <v>06 ORL</v>
      </c>
      <c r="U170" s="62"/>
      <c r="W170" s="62"/>
      <c r="X170" s="62"/>
      <c r="AG170" s="60"/>
    </row>
    <row r="171" spans="1:36" ht="16">
      <c r="A171" s="33"/>
      <c r="B171" s="55" t="str">
        <f t="shared" ca="1" si="0"/>
        <v>LRM</v>
      </c>
      <c r="C171" s="64" t="str">
        <f ca="1">IFERROR(__xludf.DUMMYFUNCTION("""COMPUTED_VALUE"""),"LRM253")</f>
        <v>LRM253</v>
      </c>
      <c r="D171" s="33" t="str">
        <f ca="1">IFERROR(__xludf.DUMMYFUNCTION("""COMPUTED_VALUE"""),"ASOCIADOS")</f>
        <v>ASOCIADOS</v>
      </c>
      <c r="E171" s="33">
        <f ca="1">IFERROR(__xludf.DUMMYFUNCTION("""COMPUTED_VALUE"""),2026)</f>
        <v>2026</v>
      </c>
      <c r="F171" s="56">
        <f ca="1">IFERROR(__xludf.DUMMYFUNCTION("""COMPUTED_VALUE"""),2)</f>
        <v>2</v>
      </c>
      <c r="G171" s="33" t="str">
        <f ca="1">IFERROR(__xludf.DUMMYFUNCTION("""COMPUTED_VALUE"""),"Cáceres")</f>
        <v>Cáceres</v>
      </c>
      <c r="H171" s="33" t="str">
        <f ca="1">IFERROR(__xludf.DUMMYFUNCTION("""COMPUTED_VALUE"""),"C202611516415571807")</f>
        <v>C202611516415571807</v>
      </c>
      <c r="I171" s="33" t="str">
        <f ca="1">IFERROR(__xludf.DUMMYFUNCTION("""COMPUTED_VALUE"""),"MARIA DEL CARMEN MANZANO GOMEZ")</f>
        <v>MARIA DEL CARMEN MANZANO GOMEZ</v>
      </c>
      <c r="J171" s="57">
        <f ca="1">IFERROR(__xludf.DUMMYFUNCTION("""COMPUTED_VALUE"""),46037)</f>
        <v>46037</v>
      </c>
      <c r="K171" s="33" t="str">
        <f ca="1">IFERROR(__xludf.DUMMYFUNCTION("""COMPUTED_VALUE"""),"Factura audífonos")</f>
        <v>Factura audífonos</v>
      </c>
      <c r="L171" s="57">
        <f ca="1">IFERROR(__xludf.DUMMYFUNCTION("""COMPUTED_VALUE"""),46066)</f>
        <v>46066</v>
      </c>
      <c r="M171" s="33" t="str">
        <f ca="1">IFERROR(__xludf.DUMMYFUNCTION("""COMPUTED_VALUE"""),"NO")</f>
        <v>NO</v>
      </c>
      <c r="N171" s="56">
        <f ca="1">IFERROR(__xludf.DUMMYFUNCTION("""COMPUTED_VALUE"""),2)</f>
        <v>2</v>
      </c>
      <c r="O171" s="33" t="str">
        <f ca="1">IFERROR(__xludf.DUMMYFUNCTION("""COMPUTED_VALUE"""),"ADVANCED")</f>
        <v>ADVANCED</v>
      </c>
      <c r="P171" s="60">
        <f ca="1">IFERROR(__xludf.DUMMYFUNCTION("""COMPUTED_VALUE"""),4500)</f>
        <v>4500</v>
      </c>
      <c r="Q171" s="33" t="str">
        <f ca="1">IFERROR(__xludf.DUMMYFUNCTION("""COMPUTED_VALUE"""),"Lisandro Russian")</f>
        <v>Lisandro Russian</v>
      </c>
      <c r="R171" s="60" t="str">
        <f ca="1">IFERROR(__xludf.DUMMYFUNCTION("""COMPUTED_VALUE"""),"Marta García Jiménez")</f>
        <v>Marta García Jiménez</v>
      </c>
      <c r="S171" s="61" t="str">
        <f ca="1">IFERROR(__xludf.DUMMYFUNCTION("""COMPUTED_VALUE"""),"03 ORL")</f>
        <v>03 ORL</v>
      </c>
      <c r="T171" s="33" t="str">
        <f ca="1">IFERROR(__xludf.DUMMYFUNCTION("""COMPUTED_VALUE"""),"06 ORL")</f>
        <v>06 ORL</v>
      </c>
      <c r="U171" s="62"/>
      <c r="W171" s="62"/>
      <c r="X171" s="62"/>
      <c r="AE171" s="1"/>
      <c r="AG171" s="60"/>
      <c r="AJ171" s="60"/>
    </row>
    <row r="172" spans="1:36" ht="16">
      <c r="A172" s="33"/>
      <c r="B172" s="55" t="str">
        <f t="shared" ca="1" si="0"/>
        <v>ISL</v>
      </c>
      <c r="C172" s="64" t="str">
        <f ca="1">IFERROR(__xludf.DUMMYFUNCTION("""COMPUTED_VALUE"""),"ISL123")</f>
        <v>ISL123</v>
      </c>
      <c r="D172" s="33" t="str">
        <f ca="1">IFERROR(__xludf.DUMMYFUNCTION("""COMPUTED_VALUE"""),"PROPIOS")</f>
        <v>PROPIOS</v>
      </c>
      <c r="E172" s="33">
        <f ca="1">IFERROR(__xludf.DUMMYFUNCTION("""COMPUTED_VALUE"""),2026)</f>
        <v>2026</v>
      </c>
      <c r="F172" s="56">
        <f ca="1">IFERROR(__xludf.DUMMYFUNCTION("""COMPUTED_VALUE"""),2)</f>
        <v>2</v>
      </c>
      <c r="G172" s="33" t="str">
        <f ca="1">IFERROR(__xludf.DUMMYFUNCTION("""COMPUTED_VALUE"""),"San Javier")</f>
        <v>San Javier</v>
      </c>
      <c r="H172" s="33" t="str">
        <f ca="1">IFERROR(__xludf.DUMMYFUNCTION("""COMPUTED_VALUE"""),"C202512249291842480")</f>
        <v>C202512249291842480</v>
      </c>
      <c r="I172" s="33" t="str">
        <f ca="1">IFERROR(__xludf.DUMMYFUNCTION("""COMPUTED_VALUE"""),"ABDESSLEM TAHROUCHT EDDEAIF")</f>
        <v>ABDESSLEM TAHROUCHT EDDEAIF</v>
      </c>
      <c r="J172" s="57">
        <f ca="1">IFERROR(__xludf.DUMMYFUNCTION("""COMPUTED_VALUE"""),46015)</f>
        <v>46015</v>
      </c>
      <c r="K172" s="33" t="str">
        <f ca="1">IFERROR(__xludf.DUMMYFUNCTION("""COMPUTED_VALUE"""),"Factura audífonos")</f>
        <v>Factura audífonos</v>
      </c>
      <c r="L172" s="57">
        <f ca="1">IFERROR(__xludf.DUMMYFUNCTION("""COMPUTED_VALUE"""),46066)</f>
        <v>46066</v>
      </c>
      <c r="M172" s="33" t="str">
        <f ca="1">IFERROR(__xludf.DUMMYFUNCTION("""COMPUTED_VALUE"""),"NO")</f>
        <v>NO</v>
      </c>
      <c r="N172" s="56">
        <f ca="1">IFERROR(__xludf.DUMMYFUNCTION("""COMPUTED_VALUE"""),1)</f>
        <v>1</v>
      </c>
      <c r="O172" s="33" t="str">
        <f ca="1">IFERROR(__xludf.DUMMYFUNCTION("""COMPUTED_VALUE"""),"QUIET")</f>
        <v>QUIET</v>
      </c>
      <c r="P172" s="60">
        <f ca="1">IFERROR(__xludf.DUMMYFUNCTION("""COMPUTED_VALUE"""),1631.82)</f>
        <v>1631.82</v>
      </c>
      <c r="Q172" s="33" t="str">
        <f ca="1">IFERROR(__xludf.DUMMYFUNCTION("""COMPUTED_VALUE"""),"Iván Sánchez")</f>
        <v>Iván Sánchez</v>
      </c>
      <c r="R172" s="60" t="str">
        <f ca="1">IFERROR(__xludf.DUMMYFUNCTION("""COMPUTED_VALUE"""),"María Teresa Almela Rojo")</f>
        <v>María Teresa Almela Rojo</v>
      </c>
      <c r="S172" s="61" t="str">
        <f ca="1">IFERROR(__xludf.DUMMYFUNCTION("""COMPUTED_VALUE"""),"03 ORL")</f>
        <v>03 ORL</v>
      </c>
      <c r="T172" s="33" t="str">
        <f ca="1">IFERROR(__xludf.DUMMYFUNCTION("""COMPUTED_VALUE"""),"06 ORL")</f>
        <v>06 ORL</v>
      </c>
      <c r="U172" s="62"/>
      <c r="W172" s="62"/>
      <c r="X172" s="62"/>
      <c r="AG172" s="60"/>
      <c r="AJ172" s="60"/>
    </row>
    <row r="173" spans="1:36" ht="16">
      <c r="A173" s="33"/>
      <c r="B173" s="55" t="str">
        <f t="shared" ca="1" si="0"/>
        <v>LRM</v>
      </c>
      <c r="C173" s="64" t="str">
        <f ca="1">IFERROR(__xludf.DUMMYFUNCTION("""COMPUTED_VALUE"""),"LRM39")</f>
        <v>LRM39</v>
      </c>
      <c r="D173" s="33" t="str">
        <f ca="1">IFERROR(__xludf.DUMMYFUNCTION("""COMPUTED_VALUE"""),"PROPIOS")</f>
        <v>PROPIOS</v>
      </c>
      <c r="E173" s="33">
        <f ca="1">IFERROR(__xludf.DUMMYFUNCTION("""COMPUTED_VALUE"""),2026)</f>
        <v>2026</v>
      </c>
      <c r="F173" s="56">
        <f ca="1">IFERROR(__xludf.DUMMYFUNCTION("""COMPUTED_VALUE"""),2)</f>
        <v>2</v>
      </c>
      <c r="G173" s="33" t="str">
        <f ca="1">IFERROR(__xludf.DUMMYFUNCTION("""COMPUTED_VALUE"""),"Logroño")</f>
        <v>Logroño</v>
      </c>
      <c r="H173" s="33" t="str">
        <f ca="1">IFERROR(__xludf.DUMMYFUNCTION("""COMPUTED_VALUE"""),"C20262485022588916")</f>
        <v>C20262485022588916</v>
      </c>
      <c r="I173" s="33" t="str">
        <f ca="1">IFERROR(__xludf.DUMMYFUNCTION("""COMPUTED_VALUE"""),"MARIA SANTOS ZORZANO AROSTEGUI")</f>
        <v>MARIA SANTOS ZORZANO AROSTEGUI</v>
      </c>
      <c r="J173" s="57">
        <f ca="1">IFERROR(__xludf.DUMMYFUNCTION("""COMPUTED_VALUE"""),46057)</f>
        <v>46057</v>
      </c>
      <c r="K173" s="33" t="str">
        <f ca="1">IFERROR(__xludf.DUMMYFUNCTION("""COMPUTED_VALUE"""),"Factura audífonos")</f>
        <v>Factura audífonos</v>
      </c>
      <c r="L173" s="57">
        <f ca="1">IFERROR(__xludf.DUMMYFUNCTION("""COMPUTED_VALUE"""),46066)</f>
        <v>46066</v>
      </c>
      <c r="M173" s="33" t="str">
        <f ca="1">IFERROR(__xludf.DUMMYFUNCTION("""COMPUTED_VALUE"""),"NO")</f>
        <v>NO</v>
      </c>
      <c r="N173" s="56">
        <f ca="1">IFERROR(__xludf.DUMMYFUNCTION("""COMPUTED_VALUE"""),2)</f>
        <v>2</v>
      </c>
      <c r="O173" s="33" t="str">
        <f ca="1">IFERROR(__xludf.DUMMYFUNCTION("""COMPUTED_VALUE"""),"CONFORT")</f>
        <v>CONFORT</v>
      </c>
      <c r="P173" s="60">
        <f ca="1">IFERROR(__xludf.DUMMYFUNCTION("""COMPUTED_VALUE"""),3631.82)</f>
        <v>3631.82</v>
      </c>
      <c r="Q173" s="33" t="str">
        <f ca="1">IFERROR(__xludf.DUMMYFUNCTION("""COMPUTED_VALUE"""),"Lisandro Russian")</f>
        <v>Lisandro Russian</v>
      </c>
      <c r="R173" s="60" t="str">
        <f ca="1">IFERROR(__xludf.DUMMYFUNCTION("""COMPUTED_VALUE"""),"Fernando Salazar Barcelona")</f>
        <v>Fernando Salazar Barcelona</v>
      </c>
      <c r="S173" s="61" t="str">
        <f ca="1">IFERROR(__xludf.DUMMYFUNCTION("""COMPUTED_VALUE"""),"03 ORL")</f>
        <v>03 ORL</v>
      </c>
      <c r="T173" s="33" t="str">
        <f ca="1">IFERROR(__xludf.DUMMYFUNCTION("""COMPUTED_VALUE"""),"06 ORL")</f>
        <v>06 ORL</v>
      </c>
      <c r="U173" s="62"/>
      <c r="W173" s="62"/>
      <c r="X173" s="62"/>
      <c r="AG173" s="60"/>
      <c r="AJ173" s="60"/>
    </row>
    <row r="174" spans="1:36" ht="16">
      <c r="A174" s="33"/>
      <c r="B174" s="55" t="str">
        <f t="shared" ca="1" si="0"/>
        <v>MBM</v>
      </c>
      <c r="C174" s="64" t="str">
        <f ca="1">IFERROR(__xludf.DUMMYFUNCTION("""COMPUTED_VALUE"""),"MBM225")</f>
        <v>MBM225</v>
      </c>
      <c r="D174" s="33" t="str">
        <f ca="1">IFERROR(__xludf.DUMMYFUNCTION("""COMPUTED_VALUE"""),"PROPIOS")</f>
        <v>PROPIOS</v>
      </c>
      <c r="E174" s="33">
        <f ca="1">IFERROR(__xludf.DUMMYFUNCTION("""COMPUTED_VALUE"""),2026)</f>
        <v>2026</v>
      </c>
      <c r="F174" s="56">
        <f ca="1">IFERROR(__xludf.DUMMYFUNCTION("""COMPUTED_VALUE"""),2)</f>
        <v>2</v>
      </c>
      <c r="G174" s="33" t="str">
        <f ca="1">IFERROR(__xludf.DUMMYFUNCTION("""COMPUTED_VALUE"""),"Fuenlabrada")</f>
        <v>Fuenlabrada</v>
      </c>
      <c r="H174" s="33" t="str">
        <f ca="1">IFERROR(__xludf.DUMMYFUNCTION("""COMPUTED_VALUE"""),"C202611417553390982")</f>
        <v>C202611417553390982</v>
      </c>
      <c r="I174" s="33" t="str">
        <f ca="1">IFERROR(__xludf.DUMMYFUNCTION("""COMPUTED_VALUE"""),"RAFAEL DIEZ GARCÍA")</f>
        <v>RAFAEL DIEZ GARCÍA</v>
      </c>
      <c r="J174" s="57">
        <f ca="1">IFERROR(__xludf.DUMMYFUNCTION("""COMPUTED_VALUE"""),46036)</f>
        <v>46036</v>
      </c>
      <c r="K174" s="33" t="str">
        <f ca="1">IFERROR(__xludf.DUMMYFUNCTION("""COMPUTED_VALUE"""),"Factura audífonos")</f>
        <v>Factura audífonos</v>
      </c>
      <c r="L174" s="57">
        <f ca="1">IFERROR(__xludf.DUMMYFUNCTION("""COMPUTED_VALUE"""),46066)</f>
        <v>46066</v>
      </c>
      <c r="M174" s="33" t="str">
        <f ca="1">IFERROR(__xludf.DUMMYFUNCTION("""COMPUTED_VALUE"""),"NO")</f>
        <v>NO</v>
      </c>
      <c r="N174" s="56">
        <f ca="1">IFERROR(__xludf.DUMMYFUNCTION("""COMPUTED_VALUE"""),2)</f>
        <v>2</v>
      </c>
      <c r="O174" s="33" t="str">
        <f ca="1">IFERROR(__xludf.DUMMYFUNCTION("""COMPUTED_VALUE"""),"CONFORT")</f>
        <v>CONFORT</v>
      </c>
      <c r="P174" s="59">
        <f ca="1">IFERROR(__xludf.DUMMYFUNCTION("""COMPUTED_VALUE"""),3631.82)</f>
        <v>3631.82</v>
      </c>
      <c r="Q174" s="33" t="str">
        <f ca="1">IFERROR(__xludf.DUMMYFUNCTION("""COMPUTED_VALUE"""),"Maika Blázquez")</f>
        <v>Maika Blázquez</v>
      </c>
      <c r="R174" s="60" t="str">
        <f ca="1">IFERROR(__xludf.DUMMYFUNCTION("""COMPUTED_VALUE"""),"Fabio Fernández Mateos")</f>
        <v>Fabio Fernández Mateos</v>
      </c>
      <c r="S174" s="61" t="str">
        <f ca="1">IFERROR(__xludf.DUMMYFUNCTION("""COMPUTED_VALUE"""),"03 ORL")</f>
        <v>03 ORL</v>
      </c>
      <c r="T174" s="33" t="str">
        <f ca="1">IFERROR(__xludf.DUMMYFUNCTION("""COMPUTED_VALUE"""),"06 ORL")</f>
        <v>06 ORL</v>
      </c>
      <c r="U174" s="62"/>
      <c r="W174" s="62"/>
      <c r="X174" s="62"/>
      <c r="AG174" s="60"/>
    </row>
    <row r="175" spans="1:36" ht="16">
      <c r="A175" s="33"/>
      <c r="B175" s="55" t="str">
        <f t="shared" ca="1" si="0"/>
        <v>LAA</v>
      </c>
      <c r="C175" s="64" t="str">
        <f ca="1">IFERROR(__xludf.DUMMYFUNCTION("""COMPUTED_VALUE"""),"LAA85")</f>
        <v>LAA85</v>
      </c>
      <c r="D175" s="33" t="str">
        <f ca="1">IFERROR(__xludf.DUMMYFUNCTION("""COMPUTED_VALUE"""),"PROPIOS")</f>
        <v>PROPIOS</v>
      </c>
      <c r="E175" s="33">
        <f ca="1">IFERROR(__xludf.DUMMYFUNCTION("""COMPUTED_VALUE"""),2026)</f>
        <v>2026</v>
      </c>
      <c r="F175" s="56">
        <f ca="1">IFERROR(__xludf.DUMMYFUNCTION("""COMPUTED_VALUE"""),2)</f>
        <v>2</v>
      </c>
      <c r="G175" s="33" t="str">
        <f ca="1">IFERROR(__xludf.DUMMYFUNCTION("""COMPUTED_VALUE"""),"Sevilla- Montoto")</f>
        <v>Sevilla- Montoto</v>
      </c>
      <c r="H175" s="33" t="str">
        <f ca="1">IFERROR(__xludf.DUMMYFUNCTION("""COMPUTED_VALUE"""),"C202512109102071586")</f>
        <v>C202512109102071586</v>
      </c>
      <c r="I175" s="33" t="str">
        <f ca="1">IFERROR(__xludf.DUMMYFUNCTION("""COMPUTED_VALUE"""),"CLAUDIA ATENEA PEREZ PACHECO")</f>
        <v>CLAUDIA ATENEA PEREZ PACHECO</v>
      </c>
      <c r="J175" s="57">
        <f ca="1">IFERROR(__xludf.DUMMYFUNCTION("""COMPUTED_VALUE"""),46001)</f>
        <v>46001</v>
      </c>
      <c r="K175" s="33" t="str">
        <f ca="1">IFERROR(__xludf.DUMMYFUNCTION("""COMPUTED_VALUE"""),"Factura audífonos")</f>
        <v>Factura audífonos</v>
      </c>
      <c r="L175" s="57">
        <f ca="1">IFERROR(__xludf.DUMMYFUNCTION("""COMPUTED_VALUE"""),46066)</f>
        <v>46066</v>
      </c>
      <c r="M175" s="33" t="str">
        <f ca="1">IFERROR(__xludf.DUMMYFUNCTION("""COMPUTED_VALUE"""),"NO")</f>
        <v>NO</v>
      </c>
      <c r="N175" s="56">
        <f ca="1">IFERROR(__xludf.DUMMYFUNCTION("""COMPUTED_VALUE"""),1)</f>
        <v>1</v>
      </c>
      <c r="O175" s="33" t="str">
        <f ca="1">IFERROR(__xludf.DUMMYFUNCTION("""COMPUTED_VALUE"""),"PRO")</f>
        <v>PRO</v>
      </c>
      <c r="P175" s="59">
        <f ca="1">IFERROR(__xludf.DUMMYFUNCTION("""COMPUTED_VALUE"""),2722.73)</f>
        <v>2722.73</v>
      </c>
      <c r="Q175" s="33" t="str">
        <f ca="1">IFERROR(__xludf.DUMMYFUNCTION("""COMPUTED_VALUE"""),"Luis Alberto Rodríguez")</f>
        <v>Luis Alberto Rodríguez</v>
      </c>
      <c r="R175" s="60" t="str">
        <f ca="1">IFERROR(__xludf.DUMMYFUNCTION("""COMPUTED_VALUE"""),"Antonio Medinilla Vallejo")</f>
        <v>Antonio Medinilla Vallejo</v>
      </c>
      <c r="S175" s="61" t="str">
        <f ca="1">IFERROR(__xludf.DUMMYFUNCTION("""COMPUTED_VALUE"""),"01 MARKETING ON LINE")</f>
        <v>01 MARKETING ON LINE</v>
      </c>
      <c r="T175" s="33" t="str">
        <f ca="1">IFERROR(__xludf.DUMMYFUNCTION("""COMPUTED_VALUE"""),"01 WEB AUDICOST")</f>
        <v>01 WEB AUDICOST</v>
      </c>
      <c r="U175" s="62"/>
      <c r="W175" s="62"/>
      <c r="X175" s="62"/>
      <c r="AG175" s="60"/>
      <c r="AJ175" s="60"/>
    </row>
    <row r="176" spans="1:36" ht="16">
      <c r="A176" s="33"/>
      <c r="B176" s="55" t="str">
        <f t="shared" ca="1" si="0"/>
        <v>MBM</v>
      </c>
      <c r="C176" s="64" t="str">
        <f ca="1">IFERROR(__xludf.DUMMYFUNCTION("""COMPUTED_VALUE"""),"MBM52")</f>
        <v>MBM52</v>
      </c>
      <c r="D176" s="33" t="str">
        <f ca="1">IFERROR(__xludf.DUMMYFUNCTION("""COMPUTED_VALUE"""),"PARTICIPADOS")</f>
        <v>PARTICIPADOS</v>
      </c>
      <c r="E176" s="33">
        <f ca="1">IFERROR(__xludf.DUMMYFUNCTION("""COMPUTED_VALUE"""),2026)</f>
        <v>2026</v>
      </c>
      <c r="F176" s="56">
        <f ca="1">IFERROR(__xludf.DUMMYFUNCTION("""COMPUTED_VALUE"""),2)</f>
        <v>2</v>
      </c>
      <c r="G176" s="33" t="str">
        <f ca="1">IFERROR(__xludf.DUMMYFUNCTION("""COMPUTED_VALUE"""),"Madrid- La Oca")</f>
        <v>Madrid- La Oca</v>
      </c>
      <c r="H176" s="33" t="str">
        <f ca="1">IFERROR(__xludf.DUMMYFUNCTION("""COMPUTED_VALUE"""),"C202611211324742365")</f>
        <v>C202611211324742365</v>
      </c>
      <c r="I176" s="33" t="str">
        <f ca="1">IFERROR(__xludf.DUMMYFUNCTION("""COMPUTED_VALUE"""),"ANA MARIA  HERRERO MARTIN")</f>
        <v>ANA MARIA  HERRERO MARTIN</v>
      </c>
      <c r="J176" s="57">
        <f ca="1">IFERROR(__xludf.DUMMYFUNCTION("""COMPUTED_VALUE"""),46034)</f>
        <v>46034</v>
      </c>
      <c r="K176" s="33" t="str">
        <f ca="1">IFERROR(__xludf.DUMMYFUNCTION("""COMPUTED_VALUE"""),"Factura audífonos")</f>
        <v>Factura audífonos</v>
      </c>
      <c r="L176" s="57">
        <f ca="1">IFERROR(__xludf.DUMMYFUNCTION("""COMPUTED_VALUE"""),46069)</f>
        <v>46069</v>
      </c>
      <c r="M176" s="33" t="str">
        <f ca="1">IFERROR(__xludf.DUMMYFUNCTION("""COMPUTED_VALUE"""),"NO")</f>
        <v>NO</v>
      </c>
      <c r="N176" s="56">
        <f ca="1">IFERROR(__xludf.DUMMYFUNCTION("""COMPUTED_VALUE"""),2)</f>
        <v>2</v>
      </c>
      <c r="O176" s="33" t="str">
        <f ca="1">IFERROR(__xludf.DUMMYFUNCTION("""COMPUTED_VALUE"""),"CONFORT")</f>
        <v>CONFORT</v>
      </c>
      <c r="P176" s="59">
        <f ca="1">IFERROR(__xludf.DUMMYFUNCTION("""COMPUTED_VALUE"""),3631.82)</f>
        <v>3631.82</v>
      </c>
      <c r="Q176" s="33" t="str">
        <f ca="1">IFERROR(__xludf.DUMMYFUNCTION("""COMPUTED_VALUE"""),"Maika Blázquez")</f>
        <v>Maika Blázquez</v>
      </c>
      <c r="R176" s="60" t="str">
        <f ca="1">IFERROR(__xludf.DUMMYFUNCTION("""COMPUTED_VALUE"""),"José Joaquín Gutiérrez Barquín")</f>
        <v>José Joaquín Gutiérrez Barquín</v>
      </c>
      <c r="S176" s="61" t="str">
        <f ca="1">IFERROR(__xludf.DUMMYFUNCTION("""COMPUTED_VALUE"""),"03 ORL")</f>
        <v>03 ORL</v>
      </c>
      <c r="T176" s="33" t="str">
        <f ca="1">IFERROR(__xludf.DUMMYFUNCTION("""COMPUTED_VALUE"""),"06 ORL")</f>
        <v>06 ORL</v>
      </c>
      <c r="U176" s="62"/>
      <c r="W176" s="62"/>
      <c r="X176" s="62"/>
      <c r="AG176" s="60"/>
      <c r="AJ176" s="60"/>
    </row>
    <row r="177" spans="1:36" ht="16">
      <c r="A177" s="33"/>
      <c r="B177" s="55" t="str">
        <f t="shared" ca="1" si="0"/>
        <v>RFV</v>
      </c>
      <c r="C177" s="64" t="str">
        <f ca="1">IFERROR(__xludf.DUMMYFUNCTION("""COMPUTED_VALUE"""),"RFV38")</f>
        <v>RFV38</v>
      </c>
      <c r="D177" s="33" t="str">
        <f ca="1">IFERROR(__xludf.DUMMYFUNCTION("""COMPUTED_VALUE"""),"PROPIOS")</f>
        <v>PROPIOS</v>
      </c>
      <c r="E177" s="33">
        <f ca="1">IFERROR(__xludf.DUMMYFUNCTION("""COMPUTED_VALUE"""),2026)</f>
        <v>2026</v>
      </c>
      <c r="F177" s="56">
        <f ca="1">IFERROR(__xludf.DUMMYFUNCTION("""COMPUTED_VALUE"""),2)</f>
        <v>2</v>
      </c>
      <c r="G177" s="33" t="str">
        <f ca="1">IFERROR(__xludf.DUMMYFUNCTION("""COMPUTED_VALUE"""),"El Albir (Benidorm)")</f>
        <v>El Albir (Benidorm)</v>
      </c>
      <c r="H177" s="33" t="str">
        <f ca="1">IFERROR(__xludf.DUMMYFUNCTION("""COMPUTED_VALUE"""),"C202611316565194107")</f>
        <v>C202611316565194107</v>
      </c>
      <c r="I177" s="33" t="str">
        <f ca="1">IFERROR(__xludf.DUMMYFUNCTION("""COMPUTED_VALUE"""),"FRANCISCO JAVIER  FREIJIDO BREA")</f>
        <v>FRANCISCO JAVIER  FREIJIDO BREA</v>
      </c>
      <c r="J177" s="57">
        <f ca="1">IFERROR(__xludf.DUMMYFUNCTION("""COMPUTED_VALUE"""),46035)</f>
        <v>46035</v>
      </c>
      <c r="K177" s="33" t="str">
        <f ca="1">IFERROR(__xludf.DUMMYFUNCTION("""COMPUTED_VALUE"""),"Factura audífonos")</f>
        <v>Factura audífonos</v>
      </c>
      <c r="L177" s="57">
        <f ca="1">IFERROR(__xludf.DUMMYFUNCTION("""COMPUTED_VALUE"""),46069)</f>
        <v>46069</v>
      </c>
      <c r="M177" s="33" t="str">
        <f ca="1">IFERROR(__xludf.DUMMYFUNCTION("""COMPUTED_VALUE"""),"NO")</f>
        <v>NO</v>
      </c>
      <c r="N177" s="56">
        <f ca="1">IFERROR(__xludf.DUMMYFUNCTION("""COMPUTED_VALUE"""),2)</f>
        <v>2</v>
      </c>
      <c r="O177" s="33" t="str">
        <f ca="1">IFERROR(__xludf.DUMMYFUNCTION("""COMPUTED_VALUE"""),"QUIET")</f>
        <v>QUIET</v>
      </c>
      <c r="P177" s="60">
        <f ca="1">IFERROR(__xludf.DUMMYFUNCTION("""COMPUTED_VALUE"""),2718.18)</f>
        <v>2718.18</v>
      </c>
      <c r="Q177" s="33" t="str">
        <f ca="1">IFERROR(__xludf.DUMMYFUNCTION("""COMPUTED_VALUE"""),"Ramon Ferrando")</f>
        <v>Ramon Ferrando</v>
      </c>
      <c r="R177" s="60" t="str">
        <f ca="1">IFERROR(__xludf.DUMMYFUNCTION("""COMPUTED_VALUE"""),"María Emilia García Ruiz")</f>
        <v>María Emilia García Ruiz</v>
      </c>
      <c r="S177" s="61" t="str">
        <f ca="1">IFERROR(__xludf.DUMMYFUNCTION("""COMPUTED_VALUE"""),"04 TIENDA")</f>
        <v>04 TIENDA</v>
      </c>
      <c r="T177" s="33" t="str">
        <f ca="1">IFERROR(__xludf.DUMMYFUNCTION("""COMPUTED_VALUE"""),"07 BOCA/BOCA")</f>
        <v>07 BOCA/BOCA</v>
      </c>
      <c r="U177" s="62"/>
      <c r="W177" s="62"/>
      <c r="X177" s="62"/>
      <c r="AG177" s="60"/>
      <c r="AJ177" s="60"/>
    </row>
    <row r="178" spans="1:36" ht="16">
      <c r="A178" s="33"/>
      <c r="B178" s="55" t="str">
        <f t="shared" ca="1" si="0"/>
        <v>LRM</v>
      </c>
      <c r="C178" s="64" t="str">
        <f ca="1">IFERROR(__xludf.DUMMYFUNCTION("""COMPUTED_VALUE"""),"LRM253")</f>
        <v>LRM253</v>
      </c>
      <c r="D178" s="33" t="str">
        <f ca="1">IFERROR(__xludf.DUMMYFUNCTION("""COMPUTED_VALUE"""),"ASOCIADOS")</f>
        <v>ASOCIADOS</v>
      </c>
      <c r="E178" s="33">
        <f ca="1">IFERROR(__xludf.DUMMYFUNCTION("""COMPUTED_VALUE"""),2026)</f>
        <v>2026</v>
      </c>
      <c r="F178" s="56">
        <f ca="1">IFERROR(__xludf.DUMMYFUNCTION("""COMPUTED_VALUE"""),2)</f>
        <v>2</v>
      </c>
      <c r="G178" s="33" t="str">
        <f ca="1">IFERROR(__xludf.DUMMYFUNCTION("""COMPUTED_VALUE"""),"Cáceres")</f>
        <v>Cáceres</v>
      </c>
      <c r="H178" s="33" t="str">
        <f ca="1">IFERROR(__xludf.DUMMYFUNCTION("""COMPUTED_VALUE"""),"C20261131866025031")</f>
        <v>C20261131866025031</v>
      </c>
      <c r="I178" s="33" t="str">
        <f ca="1">IFERROR(__xludf.DUMMYFUNCTION("""COMPUTED_VALUE"""),"ISABEL PALACIN LEAL")</f>
        <v>ISABEL PALACIN LEAL</v>
      </c>
      <c r="J178" s="57">
        <f ca="1">IFERROR(__xludf.DUMMYFUNCTION("""COMPUTED_VALUE"""),46035)</f>
        <v>46035</v>
      </c>
      <c r="K178" s="33" t="str">
        <f ca="1">IFERROR(__xludf.DUMMYFUNCTION("""COMPUTED_VALUE"""),"Factura audífonos")</f>
        <v>Factura audífonos</v>
      </c>
      <c r="L178" s="57">
        <f ca="1">IFERROR(__xludf.DUMMYFUNCTION("""COMPUTED_VALUE"""),46069)</f>
        <v>46069</v>
      </c>
      <c r="M178" s="33" t="str">
        <f ca="1">IFERROR(__xludf.DUMMYFUNCTION("""COMPUTED_VALUE"""),"NO")</f>
        <v>NO</v>
      </c>
      <c r="N178" s="56">
        <f ca="1">IFERROR(__xludf.DUMMYFUNCTION("""COMPUTED_VALUE"""),2)</f>
        <v>2</v>
      </c>
      <c r="O178" s="33" t="str">
        <f ca="1">IFERROR(__xludf.DUMMYFUNCTION("""COMPUTED_VALUE"""),"CONFORT")</f>
        <v>CONFORT</v>
      </c>
      <c r="P178" s="59">
        <f ca="1">IFERROR(__xludf.DUMMYFUNCTION("""COMPUTED_VALUE"""),3940.91)</f>
        <v>3940.91</v>
      </c>
      <c r="Q178" s="33" t="str">
        <f ca="1">IFERROR(__xludf.DUMMYFUNCTION("""COMPUTED_VALUE"""),"Lisandro Russian")</f>
        <v>Lisandro Russian</v>
      </c>
      <c r="R178" s="60" t="str">
        <f ca="1">IFERROR(__xludf.DUMMYFUNCTION("""COMPUTED_VALUE"""),"Marta García Jiménez")</f>
        <v>Marta García Jiménez</v>
      </c>
      <c r="S178" s="61" t="str">
        <f ca="1">IFERROR(__xludf.DUMMYFUNCTION("""COMPUTED_VALUE"""),"03 ORL")</f>
        <v>03 ORL</v>
      </c>
      <c r="T178" s="33" t="str">
        <f ca="1">IFERROR(__xludf.DUMMYFUNCTION("""COMPUTED_VALUE"""),"06 ORL")</f>
        <v>06 ORL</v>
      </c>
      <c r="U178" s="62"/>
      <c r="W178" s="62"/>
      <c r="X178" s="62"/>
      <c r="AG178" s="60"/>
    </row>
    <row r="179" spans="1:36" ht="16">
      <c r="A179" s="33"/>
      <c r="B179" s="55" t="str">
        <f t="shared" si="0"/>
        <v/>
      </c>
      <c r="C179" s="64"/>
      <c r="D179" s="33" t="str">
        <f ca="1">IFERROR(__xludf.DUMMYFUNCTION("""COMPUTED_VALUE"""),"PARTICIPADOS")</f>
        <v>PARTICIPADOS</v>
      </c>
      <c r="E179" s="33">
        <f ca="1">IFERROR(__xludf.DUMMYFUNCTION("""COMPUTED_VALUE"""),2026)</f>
        <v>2026</v>
      </c>
      <c r="F179" s="56">
        <f ca="1">IFERROR(__xludf.DUMMYFUNCTION("""COMPUTED_VALUE"""),2)</f>
        <v>2</v>
      </c>
      <c r="G179" s="33" t="str">
        <f ca="1">IFERROR(__xludf.DUMMYFUNCTION("""COMPUTED_VALUE"""),"Madrid- La Oca")</f>
        <v>Madrid- La Oca</v>
      </c>
      <c r="H179" s="33" t="str">
        <f ca="1">IFERROR(__xludf.DUMMYFUNCTION("""COMPUTED_VALUE"""),"C202611495954073474")</f>
        <v>C202611495954073474</v>
      </c>
      <c r="I179" s="33" t="str">
        <f ca="1">IFERROR(__xludf.DUMMYFUNCTION("""COMPUTED_VALUE"""),"ALFONSO GONZALEZ-NICOLAS JUNCOS")</f>
        <v>ALFONSO GONZALEZ-NICOLAS JUNCOS</v>
      </c>
      <c r="J179" s="57">
        <f ca="1">IFERROR(__xludf.DUMMYFUNCTION("""COMPUTED_VALUE"""),46036)</f>
        <v>46036</v>
      </c>
      <c r="K179" s="33" t="str">
        <f ca="1">IFERROR(__xludf.DUMMYFUNCTION("""COMPUTED_VALUE"""),"Factura audífonos")</f>
        <v>Factura audífonos</v>
      </c>
      <c r="L179" s="57">
        <f ca="1">IFERROR(__xludf.DUMMYFUNCTION("""COMPUTED_VALUE"""),46069)</f>
        <v>46069</v>
      </c>
      <c r="M179" s="33" t="str">
        <f ca="1">IFERROR(__xludf.DUMMYFUNCTION("""COMPUTED_VALUE"""),"NO")</f>
        <v>NO</v>
      </c>
      <c r="N179" s="56">
        <f ca="1">IFERROR(__xludf.DUMMYFUNCTION("""COMPUTED_VALUE"""),2)</f>
        <v>2</v>
      </c>
      <c r="O179" s="33" t="str">
        <f ca="1">IFERROR(__xludf.DUMMYFUNCTION("""COMPUTED_VALUE"""),"ADVANCED")</f>
        <v>ADVANCED</v>
      </c>
      <c r="P179" s="60">
        <f ca="1">IFERROR(__xludf.DUMMYFUNCTION("""COMPUTED_VALUE"""),4136.36)</f>
        <v>4136.3599999999997</v>
      </c>
      <c r="Q179" s="33" t="str">
        <f ca="1">IFERROR(__xludf.DUMMYFUNCTION("""COMPUTED_VALUE"""),"Maika Blázquez")</f>
        <v>Maika Blázquez</v>
      </c>
      <c r="R179" s="60" t="str">
        <f ca="1">IFERROR(__xludf.DUMMYFUNCTION("""COMPUTED_VALUE"""),"No recuerda ORL")</f>
        <v>No recuerda ORL</v>
      </c>
      <c r="S179" s="61" t="str">
        <f ca="1">IFERROR(__xludf.DUMMYFUNCTION("""COMPUTED_VALUE"""),"03 ORL")</f>
        <v>03 ORL</v>
      </c>
      <c r="T179" s="33" t="str">
        <f ca="1">IFERROR(__xludf.DUMMYFUNCTION("""COMPUTED_VALUE"""),"06 ORL")</f>
        <v>06 ORL</v>
      </c>
      <c r="U179" s="62"/>
      <c r="W179" s="62"/>
      <c r="X179" s="62"/>
      <c r="AG179" s="60"/>
      <c r="AJ179" s="60"/>
    </row>
    <row r="180" spans="1:36" ht="16">
      <c r="A180" s="33"/>
      <c r="B180" s="55" t="str">
        <f t="shared" ca="1" si="0"/>
        <v>ISL</v>
      </c>
      <c r="C180" s="64" t="str">
        <f ca="1">IFERROR(__xludf.DUMMYFUNCTION("""COMPUTED_VALUE"""),"ISL84")</f>
        <v>ISL84</v>
      </c>
      <c r="D180" s="33" t="str">
        <f ca="1">IFERROR(__xludf.DUMMYFUNCTION("""COMPUTED_VALUE"""),"PROPIOS")</f>
        <v>PROPIOS</v>
      </c>
      <c r="E180" s="33">
        <f ca="1">IFERROR(__xludf.DUMMYFUNCTION("""COMPUTED_VALUE"""),2026)</f>
        <v>2026</v>
      </c>
      <c r="F180" s="56">
        <f ca="1">IFERROR(__xludf.DUMMYFUNCTION("""COMPUTED_VALUE"""),2)</f>
        <v>2</v>
      </c>
      <c r="G180" s="33" t="str">
        <f ca="1">IFERROR(__xludf.DUMMYFUNCTION("""COMPUTED_VALUE"""),"San Javier")</f>
        <v>San Javier</v>
      </c>
      <c r="H180" s="33" t="str">
        <f ca="1">IFERROR(__xludf.DUMMYFUNCTION("""COMPUTED_VALUE"""),"C202612015135615894")</f>
        <v>C202612015135615894</v>
      </c>
      <c r="I180" s="33" t="str">
        <f ca="1">IFERROR(__xludf.DUMMYFUNCTION("""COMPUTED_VALUE"""),"CARMEN SANCHEZ HERNANDEZ")</f>
        <v>CARMEN SANCHEZ HERNANDEZ</v>
      </c>
      <c r="J180" s="57">
        <f ca="1">IFERROR(__xludf.DUMMYFUNCTION("""COMPUTED_VALUE"""),46042)</f>
        <v>46042</v>
      </c>
      <c r="K180" s="33" t="str">
        <f ca="1">IFERROR(__xludf.DUMMYFUNCTION("""COMPUTED_VALUE"""),"Factura audífonos")</f>
        <v>Factura audífonos</v>
      </c>
      <c r="L180" s="57">
        <f ca="1">IFERROR(__xludf.DUMMYFUNCTION("""COMPUTED_VALUE"""),46069)</f>
        <v>46069</v>
      </c>
      <c r="M180" s="33" t="str">
        <f ca="1">IFERROR(__xludf.DUMMYFUNCTION("""COMPUTED_VALUE"""),"NO")</f>
        <v>NO</v>
      </c>
      <c r="N180" s="56">
        <f ca="1">IFERROR(__xludf.DUMMYFUNCTION("""COMPUTED_VALUE"""),2)</f>
        <v>2</v>
      </c>
      <c r="O180" s="33" t="str">
        <f ca="1">IFERROR(__xludf.DUMMYFUNCTION("""COMPUTED_VALUE"""),"QUIET")</f>
        <v>QUIET</v>
      </c>
      <c r="P180" s="60">
        <f ca="1">IFERROR(__xludf.DUMMYFUNCTION("""COMPUTED_VALUE"""),2718.18)</f>
        <v>2718.18</v>
      </c>
      <c r="Q180" s="33" t="str">
        <f ca="1">IFERROR(__xludf.DUMMYFUNCTION("""COMPUTED_VALUE"""),"Iván Sánchez")</f>
        <v>Iván Sánchez</v>
      </c>
      <c r="R180" s="60" t="str">
        <f ca="1">IFERROR(__xludf.DUMMYFUNCTION("""COMPUTED_VALUE"""),"Alba Molina Moreno")</f>
        <v>Alba Molina Moreno</v>
      </c>
      <c r="S180" s="61" t="str">
        <f ca="1">IFERROR(__xludf.DUMMYFUNCTION("""COMPUTED_VALUE"""),"03 ORL")</f>
        <v>03 ORL</v>
      </c>
      <c r="T180" s="33" t="str">
        <f ca="1">IFERROR(__xludf.DUMMYFUNCTION("""COMPUTED_VALUE"""),"06 ORL")</f>
        <v>06 ORL</v>
      </c>
      <c r="U180" s="62"/>
      <c r="W180" s="62"/>
      <c r="X180" s="62"/>
      <c r="AG180" s="60"/>
      <c r="AJ180" s="60"/>
    </row>
    <row r="181" spans="1:36" ht="16">
      <c r="A181" s="33"/>
      <c r="B181" s="55" t="str">
        <f t="shared" ca="1" si="0"/>
        <v>ISL</v>
      </c>
      <c r="C181" s="64" t="str">
        <f ca="1">IFERROR(__xludf.DUMMYFUNCTION("""COMPUTED_VALUE"""),"ISL130")</f>
        <v>ISL130</v>
      </c>
      <c r="D181" s="33" t="str">
        <f ca="1">IFERROR(__xludf.DUMMYFUNCTION("""COMPUTED_VALUE"""),"PROPIOS")</f>
        <v>PROPIOS</v>
      </c>
      <c r="E181" s="33">
        <f ca="1">IFERROR(__xludf.DUMMYFUNCTION("""COMPUTED_VALUE"""),2026)</f>
        <v>2026</v>
      </c>
      <c r="F181" s="56">
        <f ca="1">IFERROR(__xludf.DUMMYFUNCTION("""COMPUTED_VALUE"""),2)</f>
        <v>2</v>
      </c>
      <c r="G181" s="33" t="str">
        <f ca="1">IFERROR(__xludf.DUMMYFUNCTION("""COMPUTED_VALUE"""),"Orihuela")</f>
        <v>Orihuela</v>
      </c>
      <c r="H181" s="33" t="str">
        <f ca="1">IFERROR(__xludf.DUMMYFUNCTION("""COMPUTED_VALUE"""),"C202611411820969634")</f>
        <v>C202611411820969634</v>
      </c>
      <c r="I181" s="33" t="str">
        <f ca="1">IFERROR(__xludf.DUMMYFUNCTION("""COMPUTED_VALUE"""),"ALEXANDRA CALLEJA CHAMORRO")</f>
        <v>ALEXANDRA CALLEJA CHAMORRO</v>
      </c>
      <c r="J181" s="57">
        <f ca="1">IFERROR(__xludf.DUMMYFUNCTION("""COMPUTED_VALUE"""),46036)</f>
        <v>46036</v>
      </c>
      <c r="K181" s="33" t="str">
        <f ca="1">IFERROR(__xludf.DUMMYFUNCTION("""COMPUTED_VALUE"""),"Factura audífonos")</f>
        <v>Factura audífonos</v>
      </c>
      <c r="L181" s="57">
        <f ca="1">IFERROR(__xludf.DUMMYFUNCTION("""COMPUTED_VALUE"""),46069)</f>
        <v>46069</v>
      </c>
      <c r="M181" s="33" t="str">
        <f ca="1">IFERROR(__xludf.DUMMYFUNCTION("""COMPUTED_VALUE"""),"NO")</f>
        <v>NO</v>
      </c>
      <c r="N181" s="56">
        <f ca="1">IFERROR(__xludf.DUMMYFUNCTION("""COMPUTED_VALUE"""),1)</f>
        <v>1</v>
      </c>
      <c r="O181" s="33" t="str">
        <f ca="1">IFERROR(__xludf.DUMMYFUNCTION("""COMPUTED_VALUE"""),"CONFORT")</f>
        <v>CONFORT</v>
      </c>
      <c r="P181" s="59">
        <f ca="1">IFERROR(__xludf.DUMMYFUNCTION("""COMPUTED_VALUE"""),2180.77)</f>
        <v>2180.77</v>
      </c>
      <c r="Q181" s="33" t="str">
        <f ca="1">IFERROR(__xludf.DUMMYFUNCTION("""COMPUTED_VALUE"""),"Iván Sánchez")</f>
        <v>Iván Sánchez</v>
      </c>
      <c r="R181" s="60" t="str">
        <f ca="1">IFERROR(__xludf.DUMMYFUNCTION("""COMPUTED_VALUE"""),"Paula Hernández Ruíz")</f>
        <v>Paula Hernández Ruíz</v>
      </c>
      <c r="S181" s="61" t="str">
        <f ca="1">IFERROR(__xludf.DUMMYFUNCTION("""COMPUTED_VALUE"""),"03 ORL")</f>
        <v>03 ORL</v>
      </c>
      <c r="T181" s="33" t="str">
        <f ca="1">IFERROR(__xludf.DUMMYFUNCTION("""COMPUTED_VALUE"""),"06 ORL")</f>
        <v>06 ORL</v>
      </c>
      <c r="U181" s="62"/>
      <c r="W181" s="62"/>
      <c r="X181" s="62"/>
      <c r="AE181" s="1"/>
      <c r="AG181" s="60"/>
      <c r="AJ181" s="60"/>
    </row>
    <row r="182" spans="1:36" ht="16">
      <c r="A182" s="33"/>
      <c r="B182" s="55" t="str">
        <f t="shared" ca="1" si="0"/>
        <v>LAA</v>
      </c>
      <c r="C182" s="64" t="str">
        <f ca="1">IFERROR(__xludf.DUMMYFUNCTION("""COMPUTED_VALUE"""),"LAA28")</f>
        <v>LAA28</v>
      </c>
      <c r="D182" s="33" t="str">
        <f ca="1">IFERROR(__xludf.DUMMYFUNCTION("""COMPUTED_VALUE"""),"ASOCIADOS")</f>
        <v>ASOCIADOS</v>
      </c>
      <c r="E182" s="33">
        <f ca="1">IFERROR(__xludf.DUMMYFUNCTION("""COMPUTED_VALUE"""),2026)</f>
        <v>2026</v>
      </c>
      <c r="F182" s="56">
        <f ca="1">IFERROR(__xludf.DUMMYFUNCTION("""COMPUTED_VALUE"""),2)</f>
        <v>2</v>
      </c>
      <c r="G182" s="33" t="str">
        <f ca="1">IFERROR(__xludf.DUMMYFUNCTION("""COMPUTED_VALUE"""),"Sevilla- Ciencias")</f>
        <v>Sevilla- Ciencias</v>
      </c>
      <c r="H182" s="33" t="str">
        <f ca="1">IFERROR(__xludf.DUMMYFUNCTION("""COMPUTED_VALUE"""),"C202612312273722386")</f>
        <v>C202612312273722386</v>
      </c>
      <c r="I182" s="33" t="str">
        <f ca="1">IFERROR(__xludf.DUMMYFUNCTION("""COMPUTED_VALUE"""),"FRANCISCO VINUESA LIMA")</f>
        <v>FRANCISCO VINUESA LIMA</v>
      </c>
      <c r="J182" s="57">
        <f ca="1">IFERROR(__xludf.DUMMYFUNCTION("""COMPUTED_VALUE"""),46045)</f>
        <v>46045</v>
      </c>
      <c r="K182" s="33" t="str">
        <f ca="1">IFERROR(__xludf.DUMMYFUNCTION("""COMPUTED_VALUE"""),"Factura audífonos")</f>
        <v>Factura audífonos</v>
      </c>
      <c r="L182" s="57">
        <f ca="1">IFERROR(__xludf.DUMMYFUNCTION("""COMPUTED_VALUE"""),46069)</f>
        <v>46069</v>
      </c>
      <c r="M182" s="33" t="str">
        <f ca="1">IFERROR(__xludf.DUMMYFUNCTION("""COMPUTED_VALUE"""),"NO")</f>
        <v>NO</v>
      </c>
      <c r="N182" s="56">
        <f ca="1">IFERROR(__xludf.DUMMYFUNCTION("""COMPUTED_VALUE"""),2)</f>
        <v>2</v>
      </c>
      <c r="O182" s="33" t="str">
        <f ca="1">IFERROR(__xludf.DUMMYFUNCTION("""COMPUTED_VALUE"""),"QUIET")</f>
        <v>QUIET</v>
      </c>
      <c r="P182" s="59">
        <f ca="1">IFERROR(__xludf.DUMMYFUNCTION("""COMPUTED_VALUE"""),2718.18)</f>
        <v>2718.18</v>
      </c>
      <c r="Q182" s="33" t="str">
        <f ca="1">IFERROR(__xludf.DUMMYFUNCTION("""COMPUTED_VALUE"""),"Luis Alberto Rodríguez")</f>
        <v>Luis Alberto Rodríguez</v>
      </c>
      <c r="R182" s="60" t="str">
        <f ca="1">IFERROR(__xludf.DUMMYFUNCTION("""COMPUTED_VALUE"""),"José María Palacios García")</f>
        <v>José María Palacios García</v>
      </c>
      <c r="S182" s="61" t="str">
        <f ca="1">IFERROR(__xludf.DUMMYFUNCTION("""COMPUTED_VALUE"""),"03 ORL")</f>
        <v>03 ORL</v>
      </c>
      <c r="T182" s="33" t="str">
        <f ca="1">IFERROR(__xludf.DUMMYFUNCTION("""COMPUTED_VALUE"""),"06 ORL")</f>
        <v>06 ORL</v>
      </c>
      <c r="U182" s="62"/>
      <c r="W182" s="62"/>
      <c r="X182" s="62"/>
      <c r="AG182" s="59"/>
      <c r="AJ182" s="60"/>
    </row>
    <row r="183" spans="1:36" ht="16">
      <c r="A183" s="33"/>
      <c r="B183" s="55" t="str">
        <f t="shared" ca="1" si="0"/>
        <v>ISL</v>
      </c>
      <c r="C183" s="64" t="str">
        <f ca="1">IFERROR(__xludf.DUMMYFUNCTION("""COMPUTED_VALUE"""),"ISL151")</f>
        <v>ISL151</v>
      </c>
      <c r="D183" s="33" t="str">
        <f ca="1">IFERROR(__xludf.DUMMYFUNCTION("""COMPUTED_VALUE"""),"PROPIOS")</f>
        <v>PROPIOS</v>
      </c>
      <c r="E183" s="33">
        <f ca="1">IFERROR(__xludf.DUMMYFUNCTION("""COMPUTED_VALUE"""),2026)</f>
        <v>2026</v>
      </c>
      <c r="F183" s="56">
        <f ca="1">IFERROR(__xludf.DUMMYFUNCTION("""COMPUTED_VALUE"""),2)</f>
        <v>2</v>
      </c>
      <c r="G183" s="33" t="str">
        <f ca="1">IFERROR(__xludf.DUMMYFUNCTION("""COMPUTED_VALUE"""),"Alicante")</f>
        <v>Alicante</v>
      </c>
      <c r="H183" s="33" t="str">
        <f ca="1">IFERROR(__xludf.DUMMYFUNCTION("""COMPUTED_VALUE"""),"C202611410111286111")</f>
        <v>C202611410111286111</v>
      </c>
      <c r="I183" s="33" t="str">
        <f ca="1">IFERROR(__xludf.DUMMYFUNCTION("""COMPUTED_VALUE"""),"SUSANA ASENSI GARCIA")</f>
        <v>SUSANA ASENSI GARCIA</v>
      </c>
      <c r="J183" s="57">
        <f ca="1">IFERROR(__xludf.DUMMYFUNCTION("""COMPUTED_VALUE"""),46036)</f>
        <v>46036</v>
      </c>
      <c r="K183" s="33" t="str">
        <f ca="1">IFERROR(__xludf.DUMMYFUNCTION("""COMPUTED_VALUE"""),"Factura audífonos")</f>
        <v>Factura audífonos</v>
      </c>
      <c r="L183" s="57">
        <f ca="1">IFERROR(__xludf.DUMMYFUNCTION("""COMPUTED_VALUE"""),46069)</f>
        <v>46069</v>
      </c>
      <c r="M183" s="33" t="str">
        <f ca="1">IFERROR(__xludf.DUMMYFUNCTION("""COMPUTED_VALUE"""),"NO")</f>
        <v>NO</v>
      </c>
      <c r="N183" s="56">
        <f ca="1">IFERROR(__xludf.DUMMYFUNCTION("""COMPUTED_VALUE"""),1)</f>
        <v>1</v>
      </c>
      <c r="O183" s="33" t="str">
        <f ca="1">IFERROR(__xludf.DUMMYFUNCTION("""COMPUTED_VALUE"""),"QUIET")</f>
        <v>QUIET</v>
      </c>
      <c r="P183" s="60">
        <f ca="1">IFERROR(__xludf.DUMMYFUNCTION("""COMPUTED_VALUE"""),1631.82)</f>
        <v>1631.82</v>
      </c>
      <c r="Q183" s="33" t="str">
        <f ca="1">IFERROR(__xludf.DUMMYFUNCTION("""COMPUTED_VALUE"""),"Iván Sánchez")</f>
        <v>Iván Sánchez</v>
      </c>
      <c r="R183" s="60" t="str">
        <f ca="1">IFERROR(__xludf.DUMMYFUNCTION("""COMPUTED_VALUE"""),"Laura Isabel del Amo Martínez")</f>
        <v>Laura Isabel del Amo Martínez</v>
      </c>
      <c r="S183" s="61" t="str">
        <f ca="1">IFERROR(__xludf.DUMMYFUNCTION("""COMPUTED_VALUE"""),"03 ORL")</f>
        <v>03 ORL</v>
      </c>
      <c r="T183" s="33" t="str">
        <f ca="1">IFERROR(__xludf.DUMMYFUNCTION("""COMPUTED_VALUE"""),"06 ORL")</f>
        <v>06 ORL</v>
      </c>
      <c r="U183" s="62"/>
      <c r="W183" s="62"/>
      <c r="X183" s="62"/>
      <c r="AG183" s="60"/>
      <c r="AJ183" s="60"/>
    </row>
    <row r="184" spans="1:36" ht="16">
      <c r="A184" s="33"/>
      <c r="B184" s="55" t="str">
        <f t="shared" ca="1" si="0"/>
        <v>LAA</v>
      </c>
      <c r="C184" s="64" t="str">
        <f ca="1">IFERROR(__xludf.DUMMYFUNCTION("""COMPUTED_VALUE"""),"LAA80")</f>
        <v>LAA80</v>
      </c>
      <c r="D184" s="33" t="str">
        <f ca="1">IFERROR(__xludf.DUMMYFUNCTION("""COMPUTED_VALUE"""),"ASOCIADOS")</f>
        <v>ASOCIADOS</v>
      </c>
      <c r="E184" s="33">
        <f ca="1">IFERROR(__xludf.DUMMYFUNCTION("""COMPUTED_VALUE"""),2026)</f>
        <v>2026</v>
      </c>
      <c r="F184" s="56">
        <f ca="1">IFERROR(__xludf.DUMMYFUNCTION("""COMPUTED_VALUE"""),2)</f>
        <v>2</v>
      </c>
      <c r="G184" s="33" t="str">
        <f ca="1">IFERROR(__xludf.DUMMYFUNCTION("""COMPUTED_VALUE"""),"Badajoz")</f>
        <v>Badajoz</v>
      </c>
      <c r="H184" s="33" t="str">
        <f ca="1">IFERROR(__xludf.DUMMYFUNCTION("""COMPUTED_VALUE"""),"C202512119361746759")</f>
        <v>C202512119361746759</v>
      </c>
      <c r="I184" s="33" t="str">
        <f ca="1">IFERROR(__xludf.DUMMYFUNCTION("""COMPUTED_VALUE"""),"VICTOR HUGO BOTHELO CAPUCHO SIMOES")</f>
        <v>VICTOR HUGO BOTHELO CAPUCHO SIMOES</v>
      </c>
      <c r="J184" s="57">
        <f ca="1">IFERROR(__xludf.DUMMYFUNCTION("""COMPUTED_VALUE"""),45992)</f>
        <v>45992</v>
      </c>
      <c r="K184" s="33" t="str">
        <f ca="1">IFERROR(__xludf.DUMMYFUNCTION("""COMPUTED_VALUE"""),"Factura audífonos")</f>
        <v>Factura audífonos</v>
      </c>
      <c r="L184" s="57">
        <f ca="1">IFERROR(__xludf.DUMMYFUNCTION("""COMPUTED_VALUE"""),46069)</f>
        <v>46069</v>
      </c>
      <c r="M184" s="33" t="str">
        <f ca="1">IFERROR(__xludf.DUMMYFUNCTION("""COMPUTED_VALUE"""),"NO")</f>
        <v>NO</v>
      </c>
      <c r="N184" s="56">
        <f ca="1">IFERROR(__xludf.DUMMYFUNCTION("""COMPUTED_VALUE"""),2)</f>
        <v>2</v>
      </c>
      <c r="O184" s="33" t="str">
        <f ca="1">IFERROR(__xludf.DUMMYFUNCTION("""COMPUTED_VALUE"""),"CONFORT")</f>
        <v>CONFORT</v>
      </c>
      <c r="P184" s="59">
        <f ca="1">IFERROR(__xludf.DUMMYFUNCTION("""COMPUTED_VALUE"""),3635.45)</f>
        <v>3635.45</v>
      </c>
      <c r="Q184" s="33" t="str">
        <f ca="1">IFERROR(__xludf.DUMMYFUNCTION("""COMPUTED_VALUE"""),"Luis Alberto Rodríguez")</f>
        <v>Luis Alberto Rodríguez</v>
      </c>
      <c r="R184" s="60" t="str">
        <f ca="1">IFERROR(__xludf.DUMMYFUNCTION("""COMPUTED_VALUE"""),"Sonia García Díaz")</f>
        <v>Sonia García Díaz</v>
      </c>
      <c r="S184" s="61" t="str">
        <f ca="1">IFERROR(__xludf.DUMMYFUNCTION("""COMPUTED_VALUE"""),"03 ORL")</f>
        <v>03 ORL</v>
      </c>
      <c r="T184" s="33" t="str">
        <f ca="1">IFERROR(__xludf.DUMMYFUNCTION("""COMPUTED_VALUE"""),"06 ORL")</f>
        <v>06 ORL</v>
      </c>
      <c r="U184" s="62"/>
      <c r="W184" s="62"/>
      <c r="X184" s="62"/>
      <c r="AG184" s="60"/>
      <c r="AJ184" s="60"/>
    </row>
    <row r="185" spans="1:36" ht="16">
      <c r="A185" s="33"/>
      <c r="B185" s="55" t="str">
        <f t="shared" ca="1" si="0"/>
        <v>LAA</v>
      </c>
      <c r="C185" s="64" t="str">
        <f ca="1">IFERROR(__xludf.DUMMYFUNCTION("""COMPUTED_VALUE"""),"LAA67")</f>
        <v>LAA67</v>
      </c>
      <c r="D185" s="33" t="str">
        <f ca="1">IFERROR(__xludf.DUMMYFUNCTION("""COMPUTED_VALUE"""),"PROPIOS")</f>
        <v>PROPIOS</v>
      </c>
      <c r="E185" s="33">
        <f ca="1">IFERROR(__xludf.DUMMYFUNCTION("""COMPUTED_VALUE"""),2026)</f>
        <v>2026</v>
      </c>
      <c r="F185" s="56">
        <f ca="1">IFERROR(__xludf.DUMMYFUNCTION("""COMPUTED_VALUE"""),2)</f>
        <v>2</v>
      </c>
      <c r="G185" s="33" t="str">
        <f ca="1">IFERROR(__xludf.DUMMYFUNCTION("""COMPUTED_VALUE"""),"Sevilla- Montoto")</f>
        <v>Sevilla- Montoto</v>
      </c>
      <c r="H185" s="33" t="str">
        <f ca="1">IFERROR(__xludf.DUMMYFUNCTION("""COMPUTED_VALUE"""),"C20261218466529707")</f>
        <v>C20261218466529707</v>
      </c>
      <c r="I185" s="33" t="str">
        <f ca="1">IFERROR(__xludf.DUMMYFUNCTION("""COMPUTED_VALUE"""),"MICHAEL BASSEM NWELATTI")</f>
        <v>MICHAEL BASSEM NWELATTI</v>
      </c>
      <c r="J185" s="57">
        <f ca="1">IFERROR(__xludf.DUMMYFUNCTION("""COMPUTED_VALUE"""),46043)</f>
        <v>46043</v>
      </c>
      <c r="K185" s="33" t="str">
        <f ca="1">IFERROR(__xludf.DUMMYFUNCTION("""COMPUTED_VALUE"""),"Factura audífonos")</f>
        <v>Factura audífonos</v>
      </c>
      <c r="L185" s="57">
        <f ca="1">IFERROR(__xludf.DUMMYFUNCTION("""COMPUTED_VALUE"""),46069)</f>
        <v>46069</v>
      </c>
      <c r="M185" s="33" t="str">
        <f ca="1">IFERROR(__xludf.DUMMYFUNCTION("""COMPUTED_VALUE"""),"NO")</f>
        <v>NO</v>
      </c>
      <c r="N185" s="56">
        <f ca="1">IFERROR(__xludf.DUMMYFUNCTION("""COMPUTED_VALUE"""),2)</f>
        <v>2</v>
      </c>
      <c r="O185" s="33" t="str">
        <f ca="1">IFERROR(__xludf.DUMMYFUNCTION("""COMPUTED_VALUE"""),"ADVANCED")</f>
        <v>ADVANCED</v>
      </c>
      <c r="P185" s="60">
        <f ca="1">IFERROR(__xludf.DUMMYFUNCTION("""COMPUTED_VALUE"""),3643.64)</f>
        <v>3643.64</v>
      </c>
      <c r="Q185" s="33" t="str">
        <f ca="1">IFERROR(__xludf.DUMMYFUNCTION("""COMPUTED_VALUE"""),"Luis Alberto Rodríguez")</f>
        <v>Luis Alberto Rodríguez</v>
      </c>
      <c r="R185" s="60" t="str">
        <f ca="1">IFERROR(__xludf.DUMMYFUNCTION("""COMPUTED_VALUE"""),"Noelia García García")</f>
        <v>Noelia García García</v>
      </c>
      <c r="S185" s="61" t="str">
        <f ca="1">IFERROR(__xludf.DUMMYFUNCTION("""COMPUTED_VALUE"""),"03 ORL")</f>
        <v>03 ORL</v>
      </c>
      <c r="T185" s="33" t="str">
        <f ca="1">IFERROR(__xludf.DUMMYFUNCTION("""COMPUTED_VALUE"""),"06 ORL")</f>
        <v>06 ORL</v>
      </c>
      <c r="U185" s="62"/>
      <c r="W185" s="62"/>
      <c r="X185" s="62"/>
      <c r="AG185" s="60"/>
    </row>
    <row r="186" spans="1:36" ht="16">
      <c r="A186" s="33"/>
      <c r="B186" s="55" t="str">
        <f t="shared" ca="1" si="0"/>
        <v>LRM</v>
      </c>
      <c r="C186" s="64" t="str">
        <f ca="1">IFERROR(__xludf.DUMMYFUNCTION("""COMPUTED_VALUE"""),"LRM94")</f>
        <v>LRM94</v>
      </c>
      <c r="D186" s="33" t="str">
        <f ca="1">IFERROR(__xludf.DUMMYFUNCTION("""COMPUTED_VALUE"""),"PARTICIPADOS")</f>
        <v>PARTICIPADOS</v>
      </c>
      <c r="E186" s="33">
        <f ca="1">IFERROR(__xludf.DUMMYFUNCTION("""COMPUTED_VALUE"""),2026)</f>
        <v>2026</v>
      </c>
      <c r="F186" s="56">
        <f ca="1">IFERROR(__xludf.DUMMYFUNCTION("""COMPUTED_VALUE"""),2)</f>
        <v>2</v>
      </c>
      <c r="G186" s="33" t="str">
        <f ca="1">IFERROR(__xludf.DUMMYFUNCTION("""COMPUTED_VALUE"""),"Madrid- Costa Rica")</f>
        <v>Madrid- Costa Rica</v>
      </c>
      <c r="H186" s="33" t="str">
        <f ca="1">IFERROR(__xludf.DUMMYFUNCTION("""COMPUTED_VALUE"""),"C202511281040236575")</f>
        <v>C202511281040236575</v>
      </c>
      <c r="I186" s="33" t="str">
        <f ca="1">IFERROR(__xludf.DUMMYFUNCTION("""COMPUTED_VALUE"""),"ADELARDO  MORTE CARRILLO")</f>
        <v>ADELARDO  MORTE CARRILLO</v>
      </c>
      <c r="J186" s="57">
        <f ca="1">IFERROR(__xludf.DUMMYFUNCTION("""COMPUTED_VALUE"""),45989)</f>
        <v>45989</v>
      </c>
      <c r="K186" s="33" t="str">
        <f ca="1">IFERROR(__xludf.DUMMYFUNCTION("""COMPUTED_VALUE"""),"Factura audífonos")</f>
        <v>Factura audífonos</v>
      </c>
      <c r="L186" s="57">
        <f ca="1">IFERROR(__xludf.DUMMYFUNCTION("""COMPUTED_VALUE"""),46069)</f>
        <v>46069</v>
      </c>
      <c r="M186" s="64" t="str">
        <f ca="1">IFERROR(__xludf.DUMMYFUNCTION("""COMPUTED_VALUE"""),"NO")</f>
        <v>NO</v>
      </c>
      <c r="N186" s="56">
        <f ca="1">IFERROR(__xludf.DUMMYFUNCTION("""COMPUTED_VALUE"""),2)</f>
        <v>2</v>
      </c>
      <c r="O186" s="33" t="str">
        <f ca="1">IFERROR(__xludf.DUMMYFUNCTION("""COMPUTED_VALUE"""),"QUIET")</f>
        <v>QUIET</v>
      </c>
      <c r="P186" s="60">
        <f ca="1">IFERROR(__xludf.DUMMYFUNCTION("""COMPUTED_VALUE"""),2718.18)</f>
        <v>2718.18</v>
      </c>
      <c r="Q186" s="33" t="str">
        <f ca="1">IFERROR(__xludf.DUMMYFUNCTION("""COMPUTED_VALUE"""),"Lisandro Russian")</f>
        <v>Lisandro Russian</v>
      </c>
      <c r="R186" s="60" t="str">
        <f ca="1">IFERROR(__xludf.DUMMYFUNCTION("""COMPUTED_VALUE"""),"Luis Jiménez Ferreres")</f>
        <v>Luis Jiménez Ferreres</v>
      </c>
      <c r="S186" s="61" t="str">
        <f ca="1">IFERROR(__xludf.DUMMYFUNCTION("""COMPUTED_VALUE"""),"03 ORL")</f>
        <v>03 ORL</v>
      </c>
      <c r="T186" s="33" t="str">
        <f ca="1">IFERROR(__xludf.DUMMYFUNCTION("""COMPUTED_VALUE"""),"06 ORL")</f>
        <v>06 ORL</v>
      </c>
      <c r="U186" s="62"/>
      <c r="W186" s="62"/>
      <c r="X186" s="62"/>
      <c r="AG186" s="60"/>
    </row>
    <row r="187" spans="1:36" ht="16">
      <c r="A187" s="33"/>
      <c r="B187" s="55" t="str">
        <f t="shared" ca="1" si="0"/>
        <v>LRM</v>
      </c>
      <c r="C187" s="64" t="str">
        <f ca="1">IFERROR(__xludf.DUMMYFUNCTION("""COMPUTED_VALUE"""),"LRM253")</f>
        <v>LRM253</v>
      </c>
      <c r="D187" s="33" t="str">
        <f ca="1">IFERROR(__xludf.DUMMYFUNCTION("""COMPUTED_VALUE"""),"ASOCIADOS")</f>
        <v>ASOCIADOS</v>
      </c>
      <c r="E187" s="33">
        <f ca="1">IFERROR(__xludf.DUMMYFUNCTION("""COMPUTED_VALUE"""),2026)</f>
        <v>2026</v>
      </c>
      <c r="F187" s="56">
        <f ca="1">IFERROR(__xludf.DUMMYFUNCTION("""COMPUTED_VALUE"""),2)</f>
        <v>2</v>
      </c>
      <c r="G187" s="33" t="str">
        <f ca="1">IFERROR(__xludf.DUMMYFUNCTION("""COMPUTED_VALUE"""),"Cáceres")</f>
        <v>Cáceres</v>
      </c>
      <c r="H187" s="33" t="str">
        <f ca="1">IFERROR(__xludf.DUMMYFUNCTION("""COMPUTED_VALUE"""),"C202612610453306531")</f>
        <v>C202612610453306531</v>
      </c>
      <c r="I187" s="33" t="str">
        <f ca="1">IFERROR(__xludf.DUMMYFUNCTION("""COMPUTED_VALUE"""),"FRANCISCA CORRALES MORENO")</f>
        <v>FRANCISCA CORRALES MORENO</v>
      </c>
      <c r="J187" s="57">
        <f ca="1">IFERROR(__xludf.DUMMYFUNCTION("""COMPUTED_VALUE"""),46048)</f>
        <v>46048</v>
      </c>
      <c r="K187" s="33" t="str">
        <f ca="1">IFERROR(__xludf.DUMMYFUNCTION("""COMPUTED_VALUE"""),"Factura audífonos")</f>
        <v>Factura audífonos</v>
      </c>
      <c r="L187" s="57">
        <f ca="1">IFERROR(__xludf.DUMMYFUNCTION("""COMPUTED_VALUE"""),46070)</f>
        <v>46070</v>
      </c>
      <c r="M187" s="58" t="str">
        <f ca="1">IFERROR(__xludf.DUMMYFUNCTION("""COMPUTED_VALUE"""),"NO")</f>
        <v>NO</v>
      </c>
      <c r="N187" s="56">
        <f ca="1">IFERROR(__xludf.DUMMYFUNCTION("""COMPUTED_VALUE"""),1)</f>
        <v>1</v>
      </c>
      <c r="O187" s="33" t="str">
        <f ca="1">IFERROR(__xludf.DUMMYFUNCTION("""COMPUTED_VALUE"""),"CONFORT")</f>
        <v>CONFORT</v>
      </c>
      <c r="P187" s="59">
        <f ca="1">IFERROR(__xludf.DUMMYFUNCTION("""COMPUTED_VALUE"""),2101.82)</f>
        <v>2101.8200000000002</v>
      </c>
      <c r="Q187" s="33" t="str">
        <f ca="1">IFERROR(__xludf.DUMMYFUNCTION("""COMPUTED_VALUE"""),"Lisandro Russian")</f>
        <v>Lisandro Russian</v>
      </c>
      <c r="R187" s="60" t="str">
        <f ca="1">IFERROR(__xludf.DUMMYFUNCTION("""COMPUTED_VALUE"""),"Marta García Jiménez")</f>
        <v>Marta García Jiménez</v>
      </c>
      <c r="S187" s="61" t="str">
        <f ca="1">IFERROR(__xludf.DUMMYFUNCTION("""COMPUTED_VALUE"""),"03 ORL")</f>
        <v>03 ORL</v>
      </c>
      <c r="T187" s="33" t="str">
        <f ca="1">IFERROR(__xludf.DUMMYFUNCTION("""COMPUTED_VALUE"""),"06 ORL")</f>
        <v>06 ORL</v>
      </c>
      <c r="U187" s="62"/>
      <c r="W187" s="62"/>
      <c r="X187" s="62"/>
      <c r="AG187" s="59"/>
      <c r="AJ187" s="60"/>
    </row>
    <row r="188" spans="1:36" ht="16">
      <c r="A188" s="33"/>
      <c r="B188" s="55" t="str">
        <f t="shared" ca="1" si="0"/>
        <v>LAA</v>
      </c>
      <c r="C188" s="64" t="str">
        <f ca="1">IFERROR(__xludf.DUMMYFUNCTION("""COMPUTED_VALUE"""),"LAA81")</f>
        <v>LAA81</v>
      </c>
      <c r="D188" s="33" t="str">
        <f ca="1">IFERROR(__xludf.DUMMYFUNCTION("""COMPUTED_VALUE"""),"PROPIOS")</f>
        <v>PROPIOS</v>
      </c>
      <c r="E188" s="33">
        <f ca="1">IFERROR(__xludf.DUMMYFUNCTION("""COMPUTED_VALUE"""),2026)</f>
        <v>2026</v>
      </c>
      <c r="F188" s="56">
        <f ca="1">IFERROR(__xludf.DUMMYFUNCTION("""COMPUTED_VALUE"""),2)</f>
        <v>2</v>
      </c>
      <c r="G188" s="33" t="str">
        <f ca="1">IFERROR(__xludf.DUMMYFUNCTION("""COMPUTED_VALUE"""),"Jerez de la Frontera")</f>
        <v>Jerez de la Frontera</v>
      </c>
      <c r="H188" s="33" t="str">
        <f ca="1">IFERROR(__xludf.DUMMYFUNCTION("""COMPUTED_VALUE"""),"C202511241232424683")</f>
        <v>C202511241232424683</v>
      </c>
      <c r="I188" s="33" t="str">
        <f ca="1">IFERROR(__xludf.DUMMYFUNCTION("""COMPUTED_VALUE"""),"BASILIO MARTINEZ ANDRADE")</f>
        <v>BASILIO MARTINEZ ANDRADE</v>
      </c>
      <c r="J188" s="57">
        <f ca="1">IFERROR(__xludf.DUMMYFUNCTION("""COMPUTED_VALUE"""),45985)</f>
        <v>45985</v>
      </c>
      <c r="K188" s="33" t="str">
        <f ca="1">IFERROR(__xludf.DUMMYFUNCTION("""COMPUTED_VALUE"""),"Factura audífonos")</f>
        <v>Factura audífonos</v>
      </c>
      <c r="L188" s="57">
        <f ca="1">IFERROR(__xludf.DUMMYFUNCTION("""COMPUTED_VALUE"""),46070)</f>
        <v>46070</v>
      </c>
      <c r="M188" s="33" t="str">
        <f ca="1">IFERROR(__xludf.DUMMYFUNCTION("""COMPUTED_VALUE"""),"NO")</f>
        <v>NO</v>
      </c>
      <c r="N188" s="56">
        <f ca="1">IFERROR(__xludf.DUMMYFUNCTION("""COMPUTED_VALUE"""),1)</f>
        <v>1</v>
      </c>
      <c r="O188" s="33" t="str">
        <f ca="1">IFERROR(__xludf.DUMMYFUNCTION("""COMPUTED_VALUE"""),"ADVANCED")</f>
        <v>ADVANCED</v>
      </c>
      <c r="P188" s="60">
        <f ca="1">IFERROR(__xludf.DUMMYFUNCTION("""COMPUTED_VALUE"""),2481.82)</f>
        <v>2481.8200000000002</v>
      </c>
      <c r="Q188" s="33" t="str">
        <f ca="1">IFERROR(__xludf.DUMMYFUNCTION("""COMPUTED_VALUE"""),"Luis Alberto Rodríguez")</f>
        <v>Luis Alberto Rodríguez</v>
      </c>
      <c r="R188" s="60" t="str">
        <f ca="1">IFERROR(__xludf.DUMMYFUNCTION("""COMPUTED_VALUE"""),"Manuel Tucciarone")</f>
        <v>Manuel Tucciarone</v>
      </c>
      <c r="S188" s="61" t="str">
        <f ca="1">IFERROR(__xludf.DUMMYFUNCTION("""COMPUTED_VALUE"""),"03 ORL")</f>
        <v>03 ORL</v>
      </c>
      <c r="T188" s="33" t="str">
        <f ca="1">IFERROR(__xludf.DUMMYFUNCTION("""COMPUTED_VALUE"""),"06 ORL")</f>
        <v>06 ORL</v>
      </c>
      <c r="U188" s="62"/>
      <c r="W188" s="62"/>
      <c r="X188" s="62"/>
      <c r="AG188" s="60"/>
    </row>
    <row r="189" spans="1:36" ht="16">
      <c r="A189" s="33"/>
      <c r="B189" s="55" t="str">
        <f t="shared" ca="1" si="0"/>
        <v>LRM</v>
      </c>
      <c r="C189" s="64" t="str">
        <f ca="1">IFERROR(__xludf.DUMMYFUNCTION("""COMPUTED_VALUE"""),"LRM227")</f>
        <v>LRM227</v>
      </c>
      <c r="D189" s="33" t="str">
        <f ca="1">IFERROR(__xludf.DUMMYFUNCTION("""COMPUTED_VALUE"""),"PARTICIPADOS")</f>
        <v>PARTICIPADOS</v>
      </c>
      <c r="E189" s="33">
        <f ca="1">IFERROR(__xludf.DUMMYFUNCTION("""COMPUTED_VALUE"""),2026)</f>
        <v>2026</v>
      </c>
      <c r="F189" s="56">
        <f ca="1">IFERROR(__xludf.DUMMYFUNCTION("""COMPUTED_VALUE"""),2)</f>
        <v>2</v>
      </c>
      <c r="G189" s="33" t="str">
        <f ca="1">IFERROR(__xludf.DUMMYFUNCTION("""COMPUTED_VALUE"""),"Talavera")</f>
        <v>Talavera</v>
      </c>
      <c r="H189" s="33" t="str">
        <f ca="1">IFERROR(__xludf.DUMMYFUNCTION("""COMPUTED_VALUE"""),"C20251216172816711")</f>
        <v>C20251216172816711</v>
      </c>
      <c r="I189" s="33" t="str">
        <f ca="1">IFERROR(__xludf.DUMMYFUNCTION("""COMPUTED_VALUE"""),"CIRIACO  JABATO AMADO")</f>
        <v>CIRIACO  JABATO AMADO</v>
      </c>
      <c r="J189" s="57">
        <f ca="1">IFERROR(__xludf.DUMMYFUNCTION("""COMPUTED_VALUE"""),45748)</f>
        <v>45748</v>
      </c>
      <c r="K189" s="33" t="str">
        <f ca="1">IFERROR(__xludf.DUMMYFUNCTION("""COMPUTED_VALUE"""),"Factura audífonos")</f>
        <v>Factura audífonos</v>
      </c>
      <c r="L189" s="57">
        <f ca="1">IFERROR(__xludf.DUMMYFUNCTION("""COMPUTED_VALUE"""),46070)</f>
        <v>46070</v>
      </c>
      <c r="M189" s="33" t="str">
        <f ca="1">IFERROR(__xludf.DUMMYFUNCTION("""COMPUTED_VALUE"""),"NO")</f>
        <v>NO</v>
      </c>
      <c r="N189" s="56">
        <f ca="1">IFERROR(__xludf.DUMMYFUNCTION("""COMPUTED_VALUE"""),2)</f>
        <v>2</v>
      </c>
      <c r="O189" s="33" t="str">
        <f ca="1">IFERROR(__xludf.DUMMYFUNCTION("""COMPUTED_VALUE"""),"QUIET")</f>
        <v>QUIET</v>
      </c>
      <c r="P189" s="60">
        <f ca="1">IFERROR(__xludf.DUMMYFUNCTION("""COMPUTED_VALUE"""),2718.18)</f>
        <v>2718.18</v>
      </c>
      <c r="Q189" s="33" t="str">
        <f ca="1">IFERROR(__xludf.DUMMYFUNCTION("""COMPUTED_VALUE"""),"Lisandro Russian")</f>
        <v>Lisandro Russian</v>
      </c>
      <c r="R189" s="60" t="str">
        <f ca="1">IFERROR(__xludf.DUMMYFUNCTION("""COMPUTED_VALUE"""),"Patricia Ezcurra Hernández")</f>
        <v>Patricia Ezcurra Hernández</v>
      </c>
      <c r="S189" s="61" t="str">
        <f ca="1">IFERROR(__xludf.DUMMYFUNCTION("""COMPUTED_VALUE"""),"03 ORL")</f>
        <v>03 ORL</v>
      </c>
      <c r="T189" s="33" t="str">
        <f ca="1">IFERROR(__xludf.DUMMYFUNCTION("""COMPUTED_VALUE"""),"06 ORL")</f>
        <v>06 ORL</v>
      </c>
      <c r="U189" s="62"/>
      <c r="W189" s="62"/>
      <c r="X189" s="62"/>
      <c r="AG189" s="60"/>
      <c r="AJ189" s="60"/>
    </row>
    <row r="190" spans="1:36" ht="16">
      <c r="A190" s="33"/>
      <c r="B190" s="55" t="str">
        <f t="shared" ca="1" si="0"/>
        <v>ISL</v>
      </c>
      <c r="C190" s="64" t="str">
        <f ca="1">IFERROR(__xludf.DUMMYFUNCTION("""COMPUTED_VALUE"""),"ISL01")</f>
        <v>ISL01</v>
      </c>
      <c r="D190" s="33" t="str">
        <f ca="1">IFERROR(__xludf.DUMMYFUNCTION("""COMPUTED_VALUE"""),"PROPIOS")</f>
        <v>PROPIOS</v>
      </c>
      <c r="E190" s="33">
        <f ca="1">IFERROR(__xludf.DUMMYFUNCTION("""COMPUTED_VALUE"""),2026)</f>
        <v>2026</v>
      </c>
      <c r="F190" s="56">
        <f ca="1">IFERROR(__xludf.DUMMYFUNCTION("""COMPUTED_VALUE"""),2)</f>
        <v>2</v>
      </c>
      <c r="G190" s="33" t="str">
        <f ca="1">IFERROR(__xludf.DUMMYFUNCTION("""COMPUTED_VALUE"""),"San Javier")</f>
        <v>San Javier</v>
      </c>
      <c r="H190" s="33" t="str">
        <f ca="1">IFERROR(__xludf.DUMMYFUNCTION("""COMPUTED_VALUE"""),"C202611611441608457")</f>
        <v>C202611611441608457</v>
      </c>
      <c r="I190" s="33" t="str">
        <f ca="1">IFERROR(__xludf.DUMMYFUNCTION("""COMPUTED_VALUE"""),"JOSEFA PEREZ PEREZ")</f>
        <v>JOSEFA PEREZ PEREZ</v>
      </c>
      <c r="J190" s="57">
        <f ca="1">IFERROR(__xludf.DUMMYFUNCTION("""COMPUTED_VALUE"""),46038)</f>
        <v>46038</v>
      </c>
      <c r="K190" s="33" t="str">
        <f ca="1">IFERROR(__xludf.DUMMYFUNCTION("""COMPUTED_VALUE"""),"Factura audífonos")</f>
        <v>Factura audífonos</v>
      </c>
      <c r="L190" s="57">
        <f ca="1">IFERROR(__xludf.DUMMYFUNCTION("""COMPUTED_VALUE"""),46070)</f>
        <v>46070</v>
      </c>
      <c r="M190" s="33" t="str">
        <f ca="1">IFERROR(__xludf.DUMMYFUNCTION("""COMPUTED_VALUE"""),"NO")</f>
        <v>NO</v>
      </c>
      <c r="N190" s="56">
        <f ca="1">IFERROR(__xludf.DUMMYFUNCTION("""COMPUTED_VALUE"""),2)</f>
        <v>2</v>
      </c>
      <c r="O190" s="33" t="str">
        <f ca="1">IFERROR(__xludf.DUMMYFUNCTION("""COMPUTED_VALUE"""),"QUIET")</f>
        <v>QUIET</v>
      </c>
      <c r="P190" s="60">
        <f ca="1">IFERROR(__xludf.DUMMYFUNCTION("""COMPUTED_VALUE"""),2718.18)</f>
        <v>2718.18</v>
      </c>
      <c r="Q190" s="33" t="str">
        <f ca="1">IFERROR(__xludf.DUMMYFUNCTION("""COMPUTED_VALUE"""),"Iván Sánchez")</f>
        <v>Iván Sánchez</v>
      </c>
      <c r="R190" s="60" t="str">
        <f ca="1">IFERROR(__xludf.DUMMYFUNCTION("""COMPUTED_VALUE"""),"Alberto Raposo Jiménez")</f>
        <v>Alberto Raposo Jiménez</v>
      </c>
      <c r="S190" s="61" t="str">
        <f ca="1">IFERROR(__xludf.DUMMYFUNCTION("""COMPUTED_VALUE"""),"03 ORL")</f>
        <v>03 ORL</v>
      </c>
      <c r="T190" s="33" t="str">
        <f ca="1">IFERROR(__xludf.DUMMYFUNCTION("""COMPUTED_VALUE"""),"06 ORL")</f>
        <v>06 ORL</v>
      </c>
      <c r="U190" s="62"/>
      <c r="W190" s="62"/>
      <c r="X190" s="62"/>
      <c r="AG190" s="60"/>
      <c r="AJ190" s="60"/>
    </row>
    <row r="191" spans="1:36" ht="16">
      <c r="A191" s="33"/>
      <c r="B191" s="55" t="str">
        <f t="shared" ca="1" si="0"/>
        <v>ISL</v>
      </c>
      <c r="C191" s="64" t="str">
        <f ca="1">IFERROR(__xludf.DUMMYFUNCTION("""COMPUTED_VALUE"""),"ISL76")</f>
        <v>ISL76</v>
      </c>
      <c r="D191" s="33" t="str">
        <f ca="1">IFERROR(__xludf.DUMMYFUNCTION("""COMPUTED_VALUE"""),"PROPIOS")</f>
        <v>PROPIOS</v>
      </c>
      <c r="E191" s="33">
        <f ca="1">IFERROR(__xludf.DUMMYFUNCTION("""COMPUTED_VALUE"""),2026)</f>
        <v>2026</v>
      </c>
      <c r="F191" s="56">
        <f ca="1">IFERROR(__xludf.DUMMYFUNCTION("""COMPUTED_VALUE"""),2)</f>
        <v>2</v>
      </c>
      <c r="G191" s="33" t="str">
        <f ca="1">IFERROR(__xludf.DUMMYFUNCTION("""COMPUTED_VALUE"""),"Albacete")</f>
        <v>Albacete</v>
      </c>
      <c r="H191" s="33" t="str">
        <f ca="1">IFERROR(__xludf.DUMMYFUNCTION("""COMPUTED_VALUE"""),"C20261141762719795")</f>
        <v>C20261141762719795</v>
      </c>
      <c r="I191" s="33" t="str">
        <f ca="1">IFERROR(__xludf.DUMMYFUNCTION("""COMPUTED_VALUE"""),"MARIA PILAR MORENO ORTEGA")</f>
        <v>MARIA PILAR MORENO ORTEGA</v>
      </c>
      <c r="J191" s="57">
        <f ca="1">IFERROR(__xludf.DUMMYFUNCTION("""COMPUTED_VALUE"""),46036)</f>
        <v>46036</v>
      </c>
      <c r="K191" s="33" t="str">
        <f ca="1">IFERROR(__xludf.DUMMYFUNCTION("""COMPUTED_VALUE"""),"Factura audífonos")</f>
        <v>Factura audífonos</v>
      </c>
      <c r="L191" s="57">
        <f ca="1">IFERROR(__xludf.DUMMYFUNCTION("""COMPUTED_VALUE"""),46070)</f>
        <v>46070</v>
      </c>
      <c r="M191" s="33" t="str">
        <f ca="1">IFERROR(__xludf.DUMMYFUNCTION("""COMPUTED_VALUE"""),"NO")</f>
        <v>NO</v>
      </c>
      <c r="N191" s="56">
        <f ca="1">IFERROR(__xludf.DUMMYFUNCTION("""COMPUTED_VALUE"""),1)</f>
        <v>1</v>
      </c>
      <c r="O191" s="33" t="str">
        <f ca="1">IFERROR(__xludf.DUMMYFUNCTION("""COMPUTED_VALUE"""),"ADVANCED")</f>
        <v>ADVANCED</v>
      </c>
      <c r="P191" s="60">
        <f ca="1">IFERROR(__xludf.DUMMYFUNCTION("""COMPUTED_VALUE"""),2481.82)</f>
        <v>2481.8200000000002</v>
      </c>
      <c r="Q191" s="33" t="str">
        <f ca="1">IFERROR(__xludf.DUMMYFUNCTION("""COMPUTED_VALUE"""),"Iván Sánchez")</f>
        <v>Iván Sánchez</v>
      </c>
      <c r="R191" s="60" t="str">
        <f ca="1">IFERROR(__xludf.DUMMYFUNCTION("""COMPUTED_VALUE"""),"Pedro Seguí Moya")</f>
        <v>Pedro Seguí Moya</v>
      </c>
      <c r="S191" s="61" t="str">
        <f ca="1">IFERROR(__xludf.DUMMYFUNCTION("""COMPUTED_VALUE"""),"03 ORL")</f>
        <v>03 ORL</v>
      </c>
      <c r="T191" s="33" t="str">
        <f ca="1">IFERROR(__xludf.DUMMYFUNCTION("""COMPUTED_VALUE"""),"06 ORL")</f>
        <v>06 ORL</v>
      </c>
      <c r="U191" s="62"/>
      <c r="W191" s="62"/>
      <c r="X191" s="62"/>
      <c r="AG191" s="60"/>
      <c r="AJ191" s="60"/>
    </row>
    <row r="192" spans="1:36" ht="16">
      <c r="A192" s="33"/>
      <c r="B192" s="55" t="str">
        <f t="shared" ca="1" si="0"/>
        <v>ISL</v>
      </c>
      <c r="C192" s="64" t="str">
        <f ca="1">IFERROR(__xludf.DUMMYFUNCTION("""COMPUTED_VALUE"""),"ISL99")</f>
        <v>ISL99</v>
      </c>
      <c r="D192" s="33" t="str">
        <f ca="1">IFERROR(__xludf.DUMMYFUNCTION("""COMPUTED_VALUE"""),"PROPIOS")</f>
        <v>PROPIOS</v>
      </c>
      <c r="E192" s="33">
        <f ca="1">IFERROR(__xludf.DUMMYFUNCTION("""COMPUTED_VALUE"""),2026)</f>
        <v>2026</v>
      </c>
      <c r="F192" s="56">
        <f ca="1">IFERROR(__xludf.DUMMYFUNCTION("""COMPUTED_VALUE"""),2)</f>
        <v>2</v>
      </c>
      <c r="G192" s="33" t="str">
        <f ca="1">IFERROR(__xludf.DUMMYFUNCTION("""COMPUTED_VALUE"""),"Alicante")</f>
        <v>Alicante</v>
      </c>
      <c r="H192" s="33" t="str">
        <f ca="1">IFERROR(__xludf.DUMMYFUNCTION("""COMPUTED_VALUE"""),"C202611316359736174")</f>
        <v>C202611316359736174</v>
      </c>
      <c r="I192" s="33" t="str">
        <f ca="1">IFERROR(__xludf.DUMMYFUNCTION("""COMPUTED_VALUE"""),"ASUNCION SOLER ORTS")</f>
        <v>ASUNCION SOLER ORTS</v>
      </c>
      <c r="J192" s="57">
        <f ca="1">IFERROR(__xludf.DUMMYFUNCTION("""COMPUTED_VALUE"""),46035)</f>
        <v>46035</v>
      </c>
      <c r="K192" s="33" t="str">
        <f ca="1">IFERROR(__xludf.DUMMYFUNCTION("""COMPUTED_VALUE"""),"Factura audífonos")</f>
        <v>Factura audífonos</v>
      </c>
      <c r="L192" s="57">
        <f ca="1">IFERROR(__xludf.DUMMYFUNCTION("""COMPUTED_VALUE"""),46070)</f>
        <v>46070</v>
      </c>
      <c r="M192" s="33" t="str">
        <f ca="1">IFERROR(__xludf.DUMMYFUNCTION("""COMPUTED_VALUE"""),"NO")</f>
        <v>NO</v>
      </c>
      <c r="N192" s="56">
        <f ca="1">IFERROR(__xludf.DUMMYFUNCTION("""COMPUTED_VALUE"""),2)</f>
        <v>2</v>
      </c>
      <c r="O192" s="33" t="str">
        <f ca="1">IFERROR(__xludf.DUMMYFUNCTION("""COMPUTED_VALUE"""),"CONFORT")</f>
        <v>CONFORT</v>
      </c>
      <c r="P192" s="59">
        <f ca="1">IFERROR(__xludf.DUMMYFUNCTION("""COMPUTED_VALUE"""),3631.82)</f>
        <v>3631.82</v>
      </c>
      <c r="Q192" s="33" t="str">
        <f ca="1">IFERROR(__xludf.DUMMYFUNCTION("""COMPUTED_VALUE"""),"Iván Sánchez")</f>
        <v>Iván Sánchez</v>
      </c>
      <c r="R192" s="60" t="str">
        <f ca="1">IFERROR(__xludf.DUMMYFUNCTION("""COMPUTED_VALUE"""),"Cristina Muñoz Pinto")</f>
        <v>Cristina Muñoz Pinto</v>
      </c>
      <c r="S192" s="61" t="str">
        <f ca="1">IFERROR(__xludf.DUMMYFUNCTION("""COMPUTED_VALUE"""),"03 ORL")</f>
        <v>03 ORL</v>
      </c>
      <c r="T192" s="33" t="str">
        <f ca="1">IFERROR(__xludf.DUMMYFUNCTION("""COMPUTED_VALUE"""),"06 ORL")</f>
        <v>06 ORL</v>
      </c>
      <c r="U192" s="62"/>
      <c r="W192" s="62"/>
      <c r="X192" s="62"/>
      <c r="AG192" s="59"/>
    </row>
    <row r="193" spans="1:36" ht="16">
      <c r="A193" s="33"/>
      <c r="B193" s="55" t="str">
        <f t="shared" si="0"/>
        <v/>
      </c>
      <c r="C193" s="64"/>
      <c r="D193" s="33" t="str">
        <f ca="1">IFERROR(__xludf.DUMMYFUNCTION("""COMPUTED_VALUE"""),"PROPIOS")</f>
        <v>PROPIOS</v>
      </c>
      <c r="E193" s="33">
        <f ca="1">IFERROR(__xludf.DUMMYFUNCTION("""COMPUTED_VALUE"""),2026)</f>
        <v>2026</v>
      </c>
      <c r="F193" s="56">
        <f ca="1">IFERROR(__xludf.DUMMYFUNCTION("""COMPUTED_VALUE"""),2)</f>
        <v>2</v>
      </c>
      <c r="G193" s="33" t="str">
        <f ca="1">IFERROR(__xludf.DUMMYFUNCTION("""COMPUTED_VALUE"""),"Getafe")</f>
        <v>Getafe</v>
      </c>
      <c r="H193" s="33" t="str">
        <f ca="1">IFERROR(__xludf.DUMMYFUNCTION("""COMPUTED_VALUE"""),"C202511251623151961")</f>
        <v>C202511251623151961</v>
      </c>
      <c r="I193" s="33" t="str">
        <f ca="1">IFERROR(__xludf.DUMMYFUNCTION("""COMPUTED_VALUE"""),"MARIFE SANCHEZ FOUZ")</f>
        <v>MARIFE SANCHEZ FOUZ</v>
      </c>
      <c r="J193" s="57">
        <f ca="1">IFERROR(__xludf.DUMMYFUNCTION("""COMPUTED_VALUE"""),45986)</f>
        <v>45986</v>
      </c>
      <c r="K193" s="33" t="str">
        <f ca="1">IFERROR(__xludf.DUMMYFUNCTION("""COMPUTED_VALUE"""),"Factura audífonos")</f>
        <v>Factura audífonos</v>
      </c>
      <c r="L193" s="57">
        <f ca="1">IFERROR(__xludf.DUMMYFUNCTION("""COMPUTED_VALUE"""),46071)</f>
        <v>46071</v>
      </c>
      <c r="M193" s="33" t="str">
        <f ca="1">IFERROR(__xludf.DUMMYFUNCTION("""COMPUTED_VALUE"""),"NO")</f>
        <v>NO</v>
      </c>
      <c r="N193" s="56">
        <f ca="1">IFERROR(__xludf.DUMMYFUNCTION("""COMPUTED_VALUE"""),2)</f>
        <v>2</v>
      </c>
      <c r="O193" s="33" t="str">
        <f ca="1">IFERROR(__xludf.DUMMYFUNCTION("""COMPUTED_VALUE"""),"QUIET")</f>
        <v>QUIET</v>
      </c>
      <c r="P193" s="60">
        <f ca="1">IFERROR(__xludf.DUMMYFUNCTION("""COMPUTED_VALUE"""),2718.18)</f>
        <v>2718.18</v>
      </c>
      <c r="Q193" s="33" t="str">
        <f ca="1">IFERROR(__xludf.DUMMYFUNCTION("""COMPUTED_VALUE"""),"Maika Blázquez")</f>
        <v>Maika Blázquez</v>
      </c>
      <c r="R193" s="60" t="str">
        <f ca="1">IFERROR(__xludf.DUMMYFUNCTION("""COMPUTED_VALUE"""),"No recuerda ORL")</f>
        <v>No recuerda ORL</v>
      </c>
      <c r="S193" s="61" t="str">
        <f ca="1">IFERROR(__xludf.DUMMYFUNCTION("""COMPUTED_VALUE"""),"03 ORL")</f>
        <v>03 ORL</v>
      </c>
      <c r="T193" s="33" t="str">
        <f ca="1">IFERROR(__xludf.DUMMYFUNCTION("""COMPUTED_VALUE"""),"06 ORL")</f>
        <v>06 ORL</v>
      </c>
      <c r="U193" s="62"/>
      <c r="W193" s="62"/>
      <c r="X193" s="62"/>
      <c r="AG193" s="60"/>
    </row>
    <row r="194" spans="1:36" ht="16">
      <c r="A194" s="33"/>
      <c r="B194" s="55" t="str">
        <f t="shared" ca="1" si="0"/>
        <v>LRM</v>
      </c>
      <c r="C194" s="64" t="str">
        <f ca="1">IFERROR(__xludf.DUMMYFUNCTION("""COMPUTED_VALUE"""),"LRM253")</f>
        <v>LRM253</v>
      </c>
      <c r="D194" s="33" t="str">
        <f ca="1">IFERROR(__xludf.DUMMYFUNCTION("""COMPUTED_VALUE"""),"ASOCIADOS")</f>
        <v>ASOCIADOS</v>
      </c>
      <c r="E194" s="33">
        <f ca="1">IFERROR(__xludf.DUMMYFUNCTION("""COMPUTED_VALUE"""),2026)</f>
        <v>2026</v>
      </c>
      <c r="F194" s="56">
        <f ca="1">IFERROR(__xludf.DUMMYFUNCTION("""COMPUTED_VALUE"""),2)</f>
        <v>2</v>
      </c>
      <c r="G194" s="33" t="str">
        <f ca="1">IFERROR(__xludf.DUMMYFUNCTION("""COMPUTED_VALUE"""),"Cáceres")</f>
        <v>Cáceres</v>
      </c>
      <c r="H194" s="33" t="str">
        <f ca="1">IFERROR(__xludf.DUMMYFUNCTION("""COMPUTED_VALUE"""),"C20261279438014227")</f>
        <v>C20261279438014227</v>
      </c>
      <c r="I194" s="33" t="str">
        <f ca="1">IFERROR(__xludf.DUMMYFUNCTION("""COMPUTED_VALUE"""),"VICTORIA GOMEZ CORTES")</f>
        <v>VICTORIA GOMEZ CORTES</v>
      </c>
      <c r="J194" s="57">
        <f ca="1">IFERROR(__xludf.DUMMYFUNCTION("""COMPUTED_VALUE"""),46049)</f>
        <v>46049</v>
      </c>
      <c r="K194" s="33" t="str">
        <f ca="1">IFERROR(__xludf.DUMMYFUNCTION("""COMPUTED_VALUE"""),"Factura audífonos")</f>
        <v>Factura audífonos</v>
      </c>
      <c r="L194" s="57">
        <f ca="1">IFERROR(__xludf.DUMMYFUNCTION("""COMPUTED_VALUE"""),46071)</f>
        <v>46071</v>
      </c>
      <c r="M194" s="33" t="str">
        <f ca="1">IFERROR(__xludf.DUMMYFUNCTION("""COMPUTED_VALUE"""),"NO")</f>
        <v>NO</v>
      </c>
      <c r="N194" s="56">
        <f ca="1">IFERROR(__xludf.DUMMYFUNCTION("""COMPUTED_VALUE"""),2)</f>
        <v>2</v>
      </c>
      <c r="O194" s="33" t="str">
        <f ca="1">IFERROR(__xludf.DUMMYFUNCTION("""COMPUTED_VALUE"""),"PRO")</f>
        <v>PRO</v>
      </c>
      <c r="P194" s="59">
        <f ca="1">IFERROR(__xludf.DUMMYFUNCTION("""COMPUTED_VALUE"""),4990.91)</f>
        <v>4990.91</v>
      </c>
      <c r="Q194" s="33" t="str">
        <f ca="1">IFERROR(__xludf.DUMMYFUNCTION("""COMPUTED_VALUE"""),"Lisandro Russian")</f>
        <v>Lisandro Russian</v>
      </c>
      <c r="R194" s="60" t="str">
        <f ca="1">IFERROR(__xludf.DUMMYFUNCTION("""COMPUTED_VALUE"""),"Marta García Jiménez")</f>
        <v>Marta García Jiménez</v>
      </c>
      <c r="S194" s="61" t="str">
        <f ca="1">IFERROR(__xludf.DUMMYFUNCTION("""COMPUTED_VALUE"""),"03 ORL")</f>
        <v>03 ORL</v>
      </c>
      <c r="T194" s="33" t="str">
        <f ca="1">IFERROR(__xludf.DUMMYFUNCTION("""COMPUTED_VALUE"""),"06 ORL")</f>
        <v>06 ORL</v>
      </c>
      <c r="U194" s="62"/>
      <c r="W194" s="62"/>
      <c r="X194" s="62"/>
      <c r="AE194" s="1"/>
      <c r="AG194" s="60"/>
      <c r="AJ194" s="60"/>
    </row>
    <row r="195" spans="1:36" ht="16">
      <c r="A195" s="33"/>
      <c r="B195" s="55" t="str">
        <f t="shared" ca="1" si="0"/>
        <v>MBM</v>
      </c>
      <c r="C195" s="64" t="str">
        <f ca="1">IFERROR(__xludf.DUMMYFUNCTION("""COMPUTED_VALUE"""),"MBM104")</f>
        <v>MBM104</v>
      </c>
      <c r="D195" s="33" t="str">
        <f ca="1">IFERROR(__xludf.DUMMYFUNCTION("""COMPUTED_VALUE"""),"PROPIOS")</f>
        <v>PROPIOS</v>
      </c>
      <c r="E195" s="33">
        <f ca="1">IFERROR(__xludf.DUMMYFUNCTION("""COMPUTED_VALUE"""),2026)</f>
        <v>2026</v>
      </c>
      <c r="F195" s="56">
        <f ca="1">IFERROR(__xludf.DUMMYFUNCTION("""COMPUTED_VALUE"""),2)</f>
        <v>2</v>
      </c>
      <c r="G195" s="33" t="str">
        <f ca="1">IFERROR(__xludf.DUMMYFUNCTION("""COMPUTED_VALUE"""),"Fuenlabrada")</f>
        <v>Fuenlabrada</v>
      </c>
      <c r="H195" s="33" t="str">
        <f ca="1">IFERROR(__xludf.DUMMYFUNCTION("""COMPUTED_VALUE"""),"FNL-3357")</f>
        <v>FNL-3357</v>
      </c>
      <c r="I195" s="33" t="str">
        <f ca="1">IFERROR(__xludf.DUMMYFUNCTION("""COMPUTED_VALUE"""),"JOSE ANTONIO MARTINEZ ANDRES")</f>
        <v>JOSE ANTONIO MARTINEZ ANDRES</v>
      </c>
      <c r="J195" s="57">
        <f ca="1">IFERROR(__xludf.DUMMYFUNCTION("""COMPUTED_VALUE"""),45321)</f>
        <v>45321</v>
      </c>
      <c r="K195" s="33" t="str">
        <f ca="1">IFERROR(__xludf.DUMMYFUNCTION("""COMPUTED_VALUE"""),"Factura audífonos")</f>
        <v>Factura audífonos</v>
      </c>
      <c r="L195" s="57">
        <f ca="1">IFERROR(__xludf.DUMMYFUNCTION("""COMPUTED_VALUE"""),46071)</f>
        <v>46071</v>
      </c>
      <c r="M195" s="33" t="str">
        <f ca="1">IFERROR(__xludf.DUMMYFUNCTION("""COMPUTED_VALUE"""),"NO")</f>
        <v>NO</v>
      </c>
      <c r="N195" s="56">
        <f ca="1">IFERROR(__xludf.DUMMYFUNCTION("""COMPUTED_VALUE"""),1)</f>
        <v>1</v>
      </c>
      <c r="O195" s="33" t="str">
        <f ca="1">IFERROR(__xludf.DUMMYFUNCTION("""COMPUTED_VALUE"""),"CONFORT")</f>
        <v>CONFORT</v>
      </c>
      <c r="P195" s="60">
        <f ca="1">IFERROR(__xludf.DUMMYFUNCTION("""COMPUTED_VALUE"""),2180.91)</f>
        <v>2180.91</v>
      </c>
      <c r="Q195" s="33" t="str">
        <f ca="1">IFERROR(__xludf.DUMMYFUNCTION("""COMPUTED_VALUE"""),"Maika Blázquez")</f>
        <v>Maika Blázquez</v>
      </c>
      <c r="R195" s="60" t="str">
        <f ca="1">IFERROR(__xludf.DUMMYFUNCTION("""COMPUTED_VALUE"""),"Concepcion Rodríguez Izquierdo")</f>
        <v>Concepcion Rodríguez Izquierdo</v>
      </c>
      <c r="S195" s="61" t="str">
        <f ca="1">IFERROR(__xludf.DUMMYFUNCTION("""COMPUTED_VALUE"""),"03 ORL")</f>
        <v>03 ORL</v>
      </c>
      <c r="T195" s="33" t="str">
        <f ca="1">IFERROR(__xludf.DUMMYFUNCTION("""COMPUTED_VALUE"""),"06 ORL")</f>
        <v>06 ORL</v>
      </c>
      <c r="U195" s="62"/>
      <c r="W195" s="62"/>
      <c r="X195" s="62"/>
      <c r="AG195" s="60"/>
      <c r="AJ195" s="60"/>
    </row>
    <row r="196" spans="1:36" ht="16">
      <c r="A196" s="33"/>
      <c r="B196" s="55" t="str">
        <f t="shared" si="0"/>
        <v/>
      </c>
      <c r="C196" s="64"/>
      <c r="D196" s="33" t="str">
        <f ca="1">IFERROR(__xludf.DUMMYFUNCTION("""COMPUTED_VALUE"""),"ASOCIADOS")</f>
        <v>ASOCIADOS</v>
      </c>
      <c r="E196" s="33">
        <f ca="1">IFERROR(__xludf.DUMMYFUNCTION("""COMPUTED_VALUE"""),2026)</f>
        <v>2026</v>
      </c>
      <c r="F196" s="56">
        <f ca="1">IFERROR(__xludf.DUMMYFUNCTION("""COMPUTED_VALUE"""),2)</f>
        <v>2</v>
      </c>
      <c r="G196" s="33" t="str">
        <f ca="1">IFERROR(__xludf.DUMMYFUNCTION("""COMPUTED_VALUE"""),"Salamanca")</f>
        <v>Salamanca</v>
      </c>
      <c r="H196" s="33" t="str">
        <f ca="1">IFERROR(__xludf.DUMMYFUNCTION("""COMPUTED_VALUE"""),"C20261792847389075")</f>
        <v>C20261792847389075</v>
      </c>
      <c r="I196" s="33" t="str">
        <f ca="1">IFERROR(__xludf.DUMMYFUNCTION("""COMPUTED_VALUE"""),"MARIA INMACULADA  GOMEZ MARTIN")</f>
        <v>MARIA INMACULADA  GOMEZ MARTIN</v>
      </c>
      <c r="J196" s="57">
        <f ca="1">IFERROR(__xludf.DUMMYFUNCTION("""COMPUTED_VALUE"""),46029)</f>
        <v>46029</v>
      </c>
      <c r="K196" s="33" t="str">
        <f ca="1">IFERROR(__xludf.DUMMYFUNCTION("""COMPUTED_VALUE"""),"Factura audífonos")</f>
        <v>Factura audífonos</v>
      </c>
      <c r="L196" s="57">
        <f ca="1">IFERROR(__xludf.DUMMYFUNCTION("""COMPUTED_VALUE"""),46071)</f>
        <v>46071</v>
      </c>
      <c r="M196" s="33" t="str">
        <f ca="1">IFERROR(__xludf.DUMMYFUNCTION("""COMPUTED_VALUE"""),"NO")</f>
        <v>NO</v>
      </c>
      <c r="N196" s="56">
        <f ca="1">IFERROR(__xludf.DUMMYFUNCTION("""COMPUTED_VALUE"""),2)</f>
        <v>2</v>
      </c>
      <c r="O196" s="33" t="str">
        <f ca="1">IFERROR(__xludf.DUMMYFUNCTION("""COMPUTED_VALUE"""),"CONFORT")</f>
        <v>CONFORT</v>
      </c>
      <c r="P196" s="60">
        <f ca="1">IFERROR(__xludf.DUMMYFUNCTION("""COMPUTED_VALUE"""),3730)</f>
        <v>3730</v>
      </c>
      <c r="Q196" s="33" t="str">
        <f ca="1">IFERROR(__xludf.DUMMYFUNCTION("""COMPUTED_VALUE"""),"Alberto Moreno")</f>
        <v>Alberto Moreno</v>
      </c>
      <c r="R196" s="60" t="str">
        <f ca="1">IFERROR(__xludf.DUMMYFUNCTION("""COMPUTED_VALUE"""),"No recuerda ORL")</f>
        <v>No recuerda ORL</v>
      </c>
      <c r="S196" s="61" t="str">
        <f ca="1">IFERROR(__xludf.DUMMYFUNCTION("""COMPUTED_VALUE"""),"03 ORL")</f>
        <v>03 ORL</v>
      </c>
      <c r="T196" s="33" t="str">
        <f ca="1">IFERROR(__xludf.DUMMYFUNCTION("""COMPUTED_VALUE"""),"06 ORL")</f>
        <v>06 ORL</v>
      </c>
      <c r="U196" s="62"/>
      <c r="W196" s="62"/>
      <c r="X196" s="62"/>
      <c r="AG196" s="60"/>
    </row>
    <row r="197" spans="1:36" ht="16">
      <c r="A197" s="33"/>
      <c r="B197" s="55" t="str">
        <f t="shared" ca="1" si="0"/>
        <v>LAA</v>
      </c>
      <c r="C197" s="64" t="str">
        <f ca="1">IFERROR(__xludf.DUMMYFUNCTION("""COMPUTED_VALUE"""),"LAA83")</f>
        <v>LAA83</v>
      </c>
      <c r="D197" s="33" t="str">
        <f ca="1">IFERROR(__xludf.DUMMYFUNCTION("""COMPUTED_VALUE"""),"PROPIOS")</f>
        <v>PROPIOS</v>
      </c>
      <c r="E197" s="33">
        <f ca="1">IFERROR(__xludf.DUMMYFUNCTION("""COMPUTED_VALUE"""),2026)</f>
        <v>2026</v>
      </c>
      <c r="F197" s="56">
        <f ca="1">IFERROR(__xludf.DUMMYFUNCTION("""COMPUTED_VALUE"""),2)</f>
        <v>2</v>
      </c>
      <c r="G197" s="33" t="str">
        <f ca="1">IFERROR(__xludf.DUMMYFUNCTION("""COMPUTED_VALUE"""),"Sevilla- Montoto")</f>
        <v>Sevilla- Montoto</v>
      </c>
      <c r="H197" s="33" t="str">
        <f ca="1">IFERROR(__xludf.DUMMYFUNCTION("""COMPUTED_VALUE"""),"C202512231741419868")</f>
        <v>C202512231741419868</v>
      </c>
      <c r="I197" s="33" t="str">
        <f ca="1">IFERROR(__xludf.DUMMYFUNCTION("""COMPUTED_VALUE"""),"JOSE MANUEL ROMERO ALVAREZ")</f>
        <v>JOSE MANUEL ROMERO ALVAREZ</v>
      </c>
      <c r="J197" s="57">
        <f ca="1">IFERROR(__xludf.DUMMYFUNCTION("""COMPUTED_VALUE"""),46014)</f>
        <v>46014</v>
      </c>
      <c r="K197" s="33" t="str">
        <f ca="1">IFERROR(__xludf.DUMMYFUNCTION("""COMPUTED_VALUE"""),"Factura audífonos")</f>
        <v>Factura audífonos</v>
      </c>
      <c r="L197" s="57">
        <f ca="1">IFERROR(__xludf.DUMMYFUNCTION("""COMPUTED_VALUE"""),46071)</f>
        <v>46071</v>
      </c>
      <c r="M197" s="33" t="str">
        <f ca="1">IFERROR(__xludf.DUMMYFUNCTION("""COMPUTED_VALUE"""),"NO")</f>
        <v>NO</v>
      </c>
      <c r="N197" s="56">
        <f ca="1">IFERROR(__xludf.DUMMYFUNCTION("""COMPUTED_VALUE"""),2)</f>
        <v>2</v>
      </c>
      <c r="O197" s="33" t="str">
        <f ca="1">IFERROR(__xludf.DUMMYFUNCTION("""COMPUTED_VALUE"""),"CONFORT")</f>
        <v>CONFORT</v>
      </c>
      <c r="P197" s="60">
        <f ca="1">IFERROR(__xludf.DUMMYFUNCTION("""COMPUTED_VALUE"""),3631.82)</f>
        <v>3631.82</v>
      </c>
      <c r="Q197" s="33" t="str">
        <f ca="1">IFERROR(__xludf.DUMMYFUNCTION("""COMPUTED_VALUE"""),"Luis Alberto Rodríguez")</f>
        <v>Luis Alberto Rodríguez</v>
      </c>
      <c r="R197" s="60" t="str">
        <f ca="1">IFERROR(__xludf.DUMMYFUNCTION("""COMPUTED_VALUE"""),"Alfonso María Pérez Sánchez")</f>
        <v>Alfonso María Pérez Sánchez</v>
      </c>
      <c r="S197" s="61" t="str">
        <f ca="1">IFERROR(__xludf.DUMMYFUNCTION("""COMPUTED_VALUE"""),"03 ORL")</f>
        <v>03 ORL</v>
      </c>
      <c r="T197" s="33" t="str">
        <f ca="1">IFERROR(__xludf.DUMMYFUNCTION("""COMPUTED_VALUE"""),"06 ORL")</f>
        <v>06 ORL</v>
      </c>
      <c r="U197" s="62"/>
      <c r="W197" s="62"/>
      <c r="X197" s="62"/>
      <c r="AG197" s="60"/>
      <c r="AJ197" s="60"/>
    </row>
    <row r="198" spans="1:36" ht="16">
      <c r="A198" s="33"/>
      <c r="B198" s="55" t="str">
        <f t="shared" ca="1" si="0"/>
        <v>ISL</v>
      </c>
      <c r="C198" s="64" t="str">
        <f ca="1">IFERROR(__xludf.DUMMYFUNCTION("""COMPUTED_VALUE"""),"ISL122")</f>
        <v>ISL122</v>
      </c>
      <c r="D198" s="33" t="str">
        <f ca="1">IFERROR(__xludf.DUMMYFUNCTION("""COMPUTED_VALUE"""),"PROPIOS")</f>
        <v>PROPIOS</v>
      </c>
      <c r="E198" s="33">
        <f ca="1">IFERROR(__xludf.DUMMYFUNCTION("""COMPUTED_VALUE"""),2026)</f>
        <v>2026</v>
      </c>
      <c r="F198" s="56">
        <f ca="1">IFERROR(__xludf.DUMMYFUNCTION("""COMPUTED_VALUE"""),2)</f>
        <v>2</v>
      </c>
      <c r="G198" s="33" t="str">
        <f ca="1">IFERROR(__xludf.DUMMYFUNCTION("""COMPUTED_VALUE"""),"Orihuela")</f>
        <v>Orihuela</v>
      </c>
      <c r="H198" s="33" t="str">
        <f ca="1">IFERROR(__xludf.DUMMYFUNCTION("""COMPUTED_VALUE"""),"C202612811201547926")</f>
        <v>C202612811201547926</v>
      </c>
      <c r="I198" s="33" t="str">
        <f ca="1">IFERROR(__xludf.DUMMYFUNCTION("""COMPUTED_VALUE"""),"HANS PETER DECKER")</f>
        <v>HANS PETER DECKER</v>
      </c>
      <c r="J198" s="57">
        <f ca="1">IFERROR(__xludf.DUMMYFUNCTION("""COMPUTED_VALUE"""),46050)</f>
        <v>46050</v>
      </c>
      <c r="K198" s="33" t="str">
        <f ca="1">IFERROR(__xludf.DUMMYFUNCTION("""COMPUTED_VALUE"""),"Factura audífonos")</f>
        <v>Factura audífonos</v>
      </c>
      <c r="L198" s="57">
        <f ca="1">IFERROR(__xludf.DUMMYFUNCTION("""COMPUTED_VALUE"""),46071)</f>
        <v>46071</v>
      </c>
      <c r="M198" s="33" t="str">
        <f ca="1">IFERROR(__xludf.DUMMYFUNCTION("""COMPUTED_VALUE"""),"NO")</f>
        <v>NO</v>
      </c>
      <c r="N198" s="56">
        <f ca="1">IFERROR(__xludf.DUMMYFUNCTION("""COMPUTED_VALUE"""),2)</f>
        <v>2</v>
      </c>
      <c r="O198" s="33" t="str">
        <f ca="1">IFERROR(__xludf.DUMMYFUNCTION("""COMPUTED_VALUE"""),"CONFORT")</f>
        <v>CONFORT</v>
      </c>
      <c r="P198" s="60">
        <f ca="1">IFERROR(__xludf.DUMMYFUNCTION("""COMPUTED_VALUE"""),3631.82)</f>
        <v>3631.82</v>
      </c>
      <c r="Q198" s="33" t="str">
        <f ca="1">IFERROR(__xludf.DUMMYFUNCTION("""COMPUTED_VALUE"""),"Iván Sánchez")</f>
        <v>Iván Sánchez</v>
      </c>
      <c r="R198" s="60" t="str">
        <f ca="1">IFERROR(__xludf.DUMMYFUNCTION("""COMPUTED_VALUE"""),"María Agustina Sevilla García")</f>
        <v>María Agustina Sevilla García</v>
      </c>
      <c r="S198" s="61" t="str">
        <f ca="1">IFERROR(__xludf.DUMMYFUNCTION("""COMPUTED_VALUE"""),"03 ORL")</f>
        <v>03 ORL</v>
      </c>
      <c r="T198" s="33" t="str">
        <f ca="1">IFERROR(__xludf.DUMMYFUNCTION("""COMPUTED_VALUE"""),"06 ORL")</f>
        <v>06 ORL</v>
      </c>
      <c r="U198" s="62"/>
      <c r="W198" s="62"/>
      <c r="X198" s="62"/>
      <c r="AG198" s="60"/>
      <c r="AJ198" s="60"/>
    </row>
    <row r="199" spans="1:36" ht="16">
      <c r="A199" s="33"/>
      <c r="B199" s="55" t="str">
        <f t="shared" ca="1" si="0"/>
        <v>RPG</v>
      </c>
      <c r="C199" s="64" t="str">
        <f ca="1">IFERROR(__xludf.DUMMYFUNCTION("""COMPUTED_VALUE"""),"RPG30")</f>
        <v>RPG30</v>
      </c>
      <c r="D199" s="33" t="str">
        <f ca="1">IFERROR(__xludf.DUMMYFUNCTION("""COMPUTED_VALUE"""),"PARTICIPADOS")</f>
        <v>PARTICIPADOS</v>
      </c>
      <c r="E199" s="33">
        <f ca="1">IFERROR(__xludf.DUMMYFUNCTION("""COMPUTED_VALUE"""),2026)</f>
        <v>2026</v>
      </c>
      <c r="F199" s="56">
        <f ca="1">IFERROR(__xludf.DUMMYFUNCTION("""COMPUTED_VALUE"""),2)</f>
        <v>2</v>
      </c>
      <c r="G199" s="33" t="str">
        <f ca="1">IFERROR(__xludf.DUMMYFUNCTION("""COMPUTED_VALUE"""),"Lugo")</f>
        <v>Lugo</v>
      </c>
      <c r="H199" s="33" t="str">
        <f ca="1">IFERROR(__xludf.DUMMYFUNCTION("""COMPUTED_VALUE"""),"C202611515322507357")</f>
        <v>C202611515322507357</v>
      </c>
      <c r="I199" s="33" t="str">
        <f ca="1">IFERROR(__xludf.DUMMYFUNCTION("""COMPUTED_VALUE"""),"JESUSA BARREIRO MARTINEZ")</f>
        <v>JESUSA BARREIRO MARTINEZ</v>
      </c>
      <c r="J199" s="57">
        <f ca="1">IFERROR(__xludf.DUMMYFUNCTION("""COMPUTED_VALUE"""),46037)</f>
        <v>46037</v>
      </c>
      <c r="K199" s="33" t="str">
        <f ca="1">IFERROR(__xludf.DUMMYFUNCTION("""COMPUTED_VALUE"""),"Factura audífonos")</f>
        <v>Factura audífonos</v>
      </c>
      <c r="L199" s="57">
        <f ca="1">IFERROR(__xludf.DUMMYFUNCTION("""COMPUTED_VALUE"""),46072)</f>
        <v>46072</v>
      </c>
      <c r="M199" s="33" t="str">
        <f ca="1">IFERROR(__xludf.DUMMYFUNCTION("""COMPUTED_VALUE"""),"NO")</f>
        <v>NO</v>
      </c>
      <c r="N199" s="56">
        <f ca="1">IFERROR(__xludf.DUMMYFUNCTION("""COMPUTED_VALUE"""),2)</f>
        <v>2</v>
      </c>
      <c r="O199" s="33" t="str">
        <f ca="1">IFERROR(__xludf.DUMMYFUNCTION("""COMPUTED_VALUE"""),"QUIET")</f>
        <v>QUIET</v>
      </c>
      <c r="P199" s="59">
        <f ca="1">IFERROR(__xludf.DUMMYFUNCTION("""COMPUTED_VALUE"""),2718.18)</f>
        <v>2718.18</v>
      </c>
      <c r="Q199" s="33" t="str">
        <f ca="1">IFERROR(__xludf.DUMMYFUNCTION("""COMPUTED_VALUE"""),"Kiko Ortega")</f>
        <v>Kiko Ortega</v>
      </c>
      <c r="R199" s="60" t="str">
        <f ca="1">IFERROR(__xludf.DUMMYFUNCTION("""COMPUTED_VALUE"""),"Pedro Juiz López")</f>
        <v>Pedro Juiz López</v>
      </c>
      <c r="S199" s="61" t="str">
        <f ca="1">IFERROR(__xludf.DUMMYFUNCTION("""COMPUTED_VALUE"""),"03 ORL")</f>
        <v>03 ORL</v>
      </c>
      <c r="T199" s="33" t="str">
        <f ca="1">IFERROR(__xludf.DUMMYFUNCTION("""COMPUTED_VALUE"""),"06 ORL")</f>
        <v>06 ORL</v>
      </c>
      <c r="U199" s="62"/>
      <c r="W199" s="62"/>
      <c r="X199" s="62"/>
      <c r="AG199" s="59"/>
      <c r="AJ199" s="60"/>
    </row>
    <row r="200" spans="1:36" ht="16">
      <c r="A200" s="33"/>
      <c r="B200" s="55" t="str">
        <f t="shared" ca="1" si="0"/>
        <v>LAA</v>
      </c>
      <c r="C200" s="64" t="str">
        <f ca="1">IFERROR(__xludf.DUMMYFUNCTION("""COMPUTED_VALUE"""),"LAA19")</f>
        <v>LAA19</v>
      </c>
      <c r="D200" s="33" t="str">
        <f ca="1">IFERROR(__xludf.DUMMYFUNCTION("""COMPUTED_VALUE"""),"ASOCIADOS")</f>
        <v>ASOCIADOS</v>
      </c>
      <c r="E200" s="33">
        <f ca="1">IFERROR(__xludf.DUMMYFUNCTION("""COMPUTED_VALUE"""),2026)</f>
        <v>2026</v>
      </c>
      <c r="F200" s="56">
        <f ca="1">IFERROR(__xludf.DUMMYFUNCTION("""COMPUTED_VALUE"""),2)</f>
        <v>2</v>
      </c>
      <c r="G200" s="33" t="str">
        <f ca="1">IFERROR(__xludf.DUMMYFUNCTION("""COMPUTED_VALUE"""),"Sevilla- Ciencias")</f>
        <v>Sevilla- Ciencias</v>
      </c>
      <c r="H200" s="33" t="str">
        <f ca="1">IFERROR(__xludf.DUMMYFUNCTION("""COMPUTED_VALUE"""),"C202611513242917232")</f>
        <v>C202611513242917232</v>
      </c>
      <c r="I200" s="33" t="str">
        <f ca="1">IFERROR(__xludf.DUMMYFUNCTION("""COMPUTED_VALUE"""),"MANUEL ZAMORA CASTRO")</f>
        <v>MANUEL ZAMORA CASTRO</v>
      </c>
      <c r="J200" s="57">
        <f ca="1">IFERROR(__xludf.DUMMYFUNCTION("""COMPUTED_VALUE"""),46037)</f>
        <v>46037</v>
      </c>
      <c r="K200" s="33" t="str">
        <f ca="1">IFERROR(__xludf.DUMMYFUNCTION("""COMPUTED_VALUE"""),"Factura audífonos")</f>
        <v>Factura audífonos</v>
      </c>
      <c r="L200" s="57">
        <f ca="1">IFERROR(__xludf.DUMMYFUNCTION("""COMPUTED_VALUE"""),46072)</f>
        <v>46072</v>
      </c>
      <c r="M200" s="33" t="str">
        <f ca="1">IFERROR(__xludf.DUMMYFUNCTION("""COMPUTED_VALUE"""),"NO")</f>
        <v>NO</v>
      </c>
      <c r="N200" s="56">
        <f ca="1">IFERROR(__xludf.DUMMYFUNCTION("""COMPUTED_VALUE"""),2)</f>
        <v>2</v>
      </c>
      <c r="O200" s="33" t="str">
        <f ca="1">IFERROR(__xludf.DUMMYFUNCTION("""COMPUTED_VALUE"""),"CONFORT")</f>
        <v>CONFORT</v>
      </c>
      <c r="P200" s="59">
        <f ca="1">IFERROR(__xludf.DUMMYFUNCTION("""COMPUTED_VALUE"""),3631.82)</f>
        <v>3631.82</v>
      </c>
      <c r="Q200" s="33" t="str">
        <f ca="1">IFERROR(__xludf.DUMMYFUNCTION("""COMPUTED_VALUE"""),"Luis Alberto Rodríguez")</f>
        <v>Luis Alberto Rodríguez</v>
      </c>
      <c r="R200" s="60" t="str">
        <f ca="1">IFERROR(__xludf.DUMMYFUNCTION("""COMPUTED_VALUE"""),"Gustavo Benavente Bermudo")</f>
        <v>Gustavo Benavente Bermudo</v>
      </c>
      <c r="S200" s="61" t="str">
        <f ca="1">IFERROR(__xludf.DUMMYFUNCTION("""COMPUTED_VALUE"""),"03 ORL")</f>
        <v>03 ORL</v>
      </c>
      <c r="T200" s="33" t="str">
        <f ca="1">IFERROR(__xludf.DUMMYFUNCTION("""COMPUTED_VALUE"""),"06 ORL")</f>
        <v>06 ORL</v>
      </c>
      <c r="U200" s="62"/>
      <c r="W200" s="62"/>
      <c r="X200" s="62"/>
      <c r="AG200" s="59"/>
      <c r="AJ200" s="60"/>
    </row>
    <row r="201" spans="1:36" ht="16">
      <c r="A201" s="33"/>
      <c r="B201" s="55" t="str">
        <f t="shared" ca="1" si="0"/>
        <v>LAA</v>
      </c>
      <c r="C201" s="64" t="str">
        <f ca="1">IFERROR(__xludf.DUMMYFUNCTION("""COMPUTED_VALUE"""),"LAA63")</f>
        <v>LAA63</v>
      </c>
      <c r="D201" s="33" t="str">
        <f ca="1">IFERROR(__xludf.DUMMYFUNCTION("""COMPUTED_VALUE"""),"PARTICIPADOS")</f>
        <v>PARTICIPADOS</v>
      </c>
      <c r="E201" s="33">
        <f ca="1">IFERROR(__xludf.DUMMYFUNCTION("""COMPUTED_VALUE"""),2026)</f>
        <v>2026</v>
      </c>
      <c r="F201" s="56">
        <f ca="1">IFERROR(__xludf.DUMMYFUNCTION("""COMPUTED_VALUE"""),2)</f>
        <v>2</v>
      </c>
      <c r="G201" s="33" t="str">
        <f ca="1">IFERROR(__xludf.DUMMYFUNCTION("""COMPUTED_VALUE"""),"Madrid- La Oca")</f>
        <v>Madrid- La Oca</v>
      </c>
      <c r="H201" s="33" t="str">
        <f ca="1">IFERROR(__xludf.DUMMYFUNCTION("""COMPUTED_VALUE"""),"C202612010113803169")</f>
        <v>C202612010113803169</v>
      </c>
      <c r="I201" s="33" t="str">
        <f ca="1">IFERROR(__xludf.DUMMYFUNCTION("""COMPUTED_VALUE"""),"MARIA ENCARNACION GONZALEZ GALLEGO ESPINOSA")</f>
        <v>MARIA ENCARNACION GONZALEZ GALLEGO ESPINOSA</v>
      </c>
      <c r="J201" s="57">
        <f ca="1">IFERROR(__xludf.DUMMYFUNCTION("""COMPUTED_VALUE"""),46042)</f>
        <v>46042</v>
      </c>
      <c r="K201" s="33" t="str">
        <f ca="1">IFERROR(__xludf.DUMMYFUNCTION("""COMPUTED_VALUE"""),"Factura audífonos")</f>
        <v>Factura audífonos</v>
      </c>
      <c r="L201" s="57">
        <f ca="1">IFERROR(__xludf.DUMMYFUNCTION("""COMPUTED_VALUE"""),46072)</f>
        <v>46072</v>
      </c>
      <c r="M201" s="33" t="str">
        <f ca="1">IFERROR(__xludf.DUMMYFUNCTION("""COMPUTED_VALUE"""),"NO")</f>
        <v>NO</v>
      </c>
      <c r="N201" s="56">
        <f ca="1">IFERROR(__xludf.DUMMYFUNCTION("""COMPUTED_VALUE"""),2)</f>
        <v>2</v>
      </c>
      <c r="O201" s="33" t="str">
        <f ca="1">IFERROR(__xludf.DUMMYFUNCTION("""COMPUTED_VALUE"""),"QUIET")</f>
        <v>QUIET</v>
      </c>
      <c r="P201" s="60">
        <f ca="1">IFERROR(__xludf.DUMMYFUNCTION("""COMPUTED_VALUE"""),2718.18)</f>
        <v>2718.18</v>
      </c>
      <c r="Q201" s="33" t="str">
        <f ca="1">IFERROR(__xludf.DUMMYFUNCTION("""COMPUTED_VALUE"""),"Maika Blázquez")</f>
        <v>Maika Blázquez</v>
      </c>
      <c r="R201" s="60" t="str">
        <f ca="1">IFERROR(__xludf.DUMMYFUNCTION("""COMPUTED_VALUE"""),"Julio López Moya")</f>
        <v>Julio López Moya</v>
      </c>
      <c r="S201" s="61" t="str">
        <f ca="1">IFERROR(__xludf.DUMMYFUNCTION("""COMPUTED_VALUE"""),"03 ORL")</f>
        <v>03 ORL</v>
      </c>
      <c r="T201" s="33" t="str">
        <f ca="1">IFERROR(__xludf.DUMMYFUNCTION("""COMPUTED_VALUE"""),"06 ORL")</f>
        <v>06 ORL</v>
      </c>
      <c r="U201" s="62"/>
      <c r="W201" s="62"/>
      <c r="X201" s="62"/>
      <c r="AG201" s="60"/>
      <c r="AJ201" s="60"/>
    </row>
    <row r="202" spans="1:36" ht="16">
      <c r="A202" s="33"/>
      <c r="B202" s="55" t="str">
        <f t="shared" ca="1" si="0"/>
        <v>ISL</v>
      </c>
      <c r="C202" s="64" t="str">
        <f ca="1">IFERROR(__xludf.DUMMYFUNCTION("""COMPUTED_VALUE"""),"ISL75")</f>
        <v>ISL75</v>
      </c>
      <c r="D202" s="33" t="str">
        <f ca="1">IFERROR(__xludf.DUMMYFUNCTION("""COMPUTED_VALUE"""),"PROPIOS")</f>
        <v>PROPIOS</v>
      </c>
      <c r="E202" s="33">
        <f ca="1">IFERROR(__xludf.DUMMYFUNCTION("""COMPUTED_VALUE"""),2026)</f>
        <v>2026</v>
      </c>
      <c r="F202" s="56">
        <f ca="1">IFERROR(__xludf.DUMMYFUNCTION("""COMPUTED_VALUE"""),2)</f>
        <v>2</v>
      </c>
      <c r="G202" s="33" t="str">
        <f ca="1">IFERROR(__xludf.DUMMYFUNCTION("""COMPUTED_VALUE"""),"Albacete")</f>
        <v>Albacete</v>
      </c>
      <c r="H202" s="33" t="str">
        <f ca="1">IFERROR(__xludf.DUMMYFUNCTION("""COMPUTED_VALUE"""),"C202612312201081452")</f>
        <v>C202612312201081452</v>
      </c>
      <c r="I202" s="33" t="str">
        <f ca="1">IFERROR(__xludf.DUMMYFUNCTION("""COMPUTED_VALUE"""),"ANTONIO GABALDON CANTERO")</f>
        <v>ANTONIO GABALDON CANTERO</v>
      </c>
      <c r="J202" s="57">
        <f ca="1">IFERROR(__xludf.DUMMYFUNCTION("""COMPUTED_VALUE"""),46045)</f>
        <v>46045</v>
      </c>
      <c r="K202" s="33" t="str">
        <f ca="1">IFERROR(__xludf.DUMMYFUNCTION("""COMPUTED_VALUE"""),"Factura audífonos")</f>
        <v>Factura audífonos</v>
      </c>
      <c r="L202" s="57">
        <f ca="1">IFERROR(__xludf.DUMMYFUNCTION("""COMPUTED_VALUE"""),46072)</f>
        <v>46072</v>
      </c>
      <c r="M202" s="33" t="str">
        <f ca="1">IFERROR(__xludf.DUMMYFUNCTION("""COMPUTED_VALUE"""),"NO")</f>
        <v>NO</v>
      </c>
      <c r="N202" s="56">
        <f ca="1">IFERROR(__xludf.DUMMYFUNCTION("""COMPUTED_VALUE"""),1)</f>
        <v>1</v>
      </c>
      <c r="O202" s="33" t="str">
        <f ca="1">IFERROR(__xludf.DUMMYFUNCTION("""COMPUTED_VALUE"""),"QUIET")</f>
        <v>QUIET</v>
      </c>
      <c r="P202" s="59">
        <f ca="1">IFERROR(__xludf.DUMMYFUNCTION("""COMPUTED_VALUE"""),1631.82)</f>
        <v>1631.82</v>
      </c>
      <c r="Q202" s="33" t="str">
        <f ca="1">IFERROR(__xludf.DUMMYFUNCTION("""COMPUTED_VALUE"""),"Iván Sánchez")</f>
        <v>Iván Sánchez</v>
      </c>
      <c r="R202" s="60" t="str">
        <f ca="1">IFERROR(__xludf.DUMMYFUNCTION("""COMPUTED_VALUE"""),"Pedro Masegosa Zapata")</f>
        <v>Pedro Masegosa Zapata</v>
      </c>
      <c r="S202" s="61" t="str">
        <f ca="1">IFERROR(__xludf.DUMMYFUNCTION("""COMPUTED_VALUE"""),"03 ORL")</f>
        <v>03 ORL</v>
      </c>
      <c r="T202" s="33" t="str">
        <f ca="1">IFERROR(__xludf.DUMMYFUNCTION("""COMPUTED_VALUE"""),"06 ORL")</f>
        <v>06 ORL</v>
      </c>
      <c r="U202" s="62"/>
      <c r="W202" s="62"/>
      <c r="X202" s="62"/>
      <c r="AG202" s="59"/>
      <c r="AJ202" s="60"/>
    </row>
    <row r="203" spans="1:36" ht="16">
      <c r="A203" s="33"/>
      <c r="B203" s="55" t="str">
        <f t="shared" ca="1" si="0"/>
        <v>MBM</v>
      </c>
      <c r="C203" s="64" t="str">
        <f ca="1">IFERROR(__xludf.DUMMYFUNCTION("""COMPUTED_VALUE"""),"MBM104")</f>
        <v>MBM104</v>
      </c>
      <c r="D203" s="33" t="str">
        <f ca="1">IFERROR(__xludf.DUMMYFUNCTION("""COMPUTED_VALUE"""),"PROPIOS")</f>
        <v>PROPIOS</v>
      </c>
      <c r="E203" s="33">
        <f ca="1">IFERROR(__xludf.DUMMYFUNCTION("""COMPUTED_VALUE"""),2026)</f>
        <v>2026</v>
      </c>
      <c r="F203" s="56">
        <f ca="1">IFERROR(__xludf.DUMMYFUNCTION("""COMPUTED_VALUE"""),2)</f>
        <v>2</v>
      </c>
      <c r="G203" s="33" t="str">
        <f ca="1">IFERROR(__xludf.DUMMYFUNCTION("""COMPUTED_VALUE"""),"Fuenlabrada")</f>
        <v>Fuenlabrada</v>
      </c>
      <c r="H203" s="33" t="str">
        <f ca="1">IFERROR(__xludf.DUMMYFUNCTION("""COMPUTED_VALUE"""),"C202611417462554800")</f>
        <v>C202611417462554800</v>
      </c>
      <c r="I203" s="33" t="str">
        <f ca="1">IFERROR(__xludf.DUMMYFUNCTION("""COMPUTED_VALUE"""),"MARGARITA GONZALEZ MARTIN")</f>
        <v>MARGARITA GONZALEZ MARTIN</v>
      </c>
      <c r="J203" s="57">
        <f ca="1">IFERROR(__xludf.DUMMYFUNCTION("""COMPUTED_VALUE"""),46036)</f>
        <v>46036</v>
      </c>
      <c r="K203" s="33" t="str">
        <f ca="1">IFERROR(__xludf.DUMMYFUNCTION("""COMPUTED_VALUE"""),"Factura audífonos")</f>
        <v>Factura audífonos</v>
      </c>
      <c r="L203" s="57">
        <f ca="1">IFERROR(__xludf.DUMMYFUNCTION("""COMPUTED_VALUE"""),46072)</f>
        <v>46072</v>
      </c>
      <c r="M203" s="33" t="str">
        <f ca="1">IFERROR(__xludf.DUMMYFUNCTION("""COMPUTED_VALUE"""),"NO")</f>
        <v>NO</v>
      </c>
      <c r="N203" s="56">
        <f ca="1">IFERROR(__xludf.DUMMYFUNCTION("""COMPUTED_VALUE"""),1)</f>
        <v>1</v>
      </c>
      <c r="O203" s="33" t="str">
        <f ca="1">IFERROR(__xludf.DUMMYFUNCTION("""COMPUTED_VALUE"""),"QUIET")</f>
        <v>QUIET</v>
      </c>
      <c r="P203" s="60">
        <f ca="1">IFERROR(__xludf.DUMMYFUNCTION("""COMPUTED_VALUE"""),1631.82)</f>
        <v>1631.82</v>
      </c>
      <c r="Q203" s="33" t="str">
        <f ca="1">IFERROR(__xludf.DUMMYFUNCTION("""COMPUTED_VALUE"""),"Maika Blázquez")</f>
        <v>Maika Blázquez</v>
      </c>
      <c r="R203" s="60" t="str">
        <f ca="1">IFERROR(__xludf.DUMMYFUNCTION("""COMPUTED_VALUE"""),"Concepcion Rodríguez Izquierdo")</f>
        <v>Concepcion Rodríguez Izquierdo</v>
      </c>
      <c r="S203" s="61" t="str">
        <f ca="1">IFERROR(__xludf.DUMMYFUNCTION("""COMPUTED_VALUE"""),"03 ORL")</f>
        <v>03 ORL</v>
      </c>
      <c r="T203" s="33" t="str">
        <f ca="1">IFERROR(__xludf.DUMMYFUNCTION("""COMPUTED_VALUE"""),"06 ORL")</f>
        <v>06 ORL</v>
      </c>
      <c r="U203" s="62"/>
      <c r="W203" s="62"/>
      <c r="X203" s="62"/>
      <c r="AG203" s="60"/>
      <c r="AJ203" s="60"/>
    </row>
    <row r="204" spans="1:36" ht="16">
      <c r="A204" s="33"/>
      <c r="B204" s="55" t="str">
        <f t="shared" ca="1" si="0"/>
        <v>PSC</v>
      </c>
      <c r="C204" s="64" t="str">
        <f ca="1">IFERROR(__xludf.DUMMYFUNCTION("""COMPUTED_VALUE"""),"PSC04")</f>
        <v>PSC04</v>
      </c>
      <c r="D204" s="33" t="str">
        <f ca="1">IFERROR(__xludf.DUMMYFUNCTION("""COMPUTED_VALUE"""),"ASOCIADOS")</f>
        <v>ASOCIADOS</v>
      </c>
      <c r="E204" s="33">
        <f ca="1">IFERROR(__xludf.DUMMYFUNCTION("""COMPUTED_VALUE"""),2026)</f>
        <v>2026</v>
      </c>
      <c r="F204" s="56">
        <f ca="1">IFERROR(__xludf.DUMMYFUNCTION("""COMPUTED_VALUE"""),2)</f>
        <v>2</v>
      </c>
      <c r="G204" s="33" t="str">
        <f ca="1">IFERROR(__xludf.DUMMYFUNCTION("""COMPUTED_VALUE"""),"León")</f>
        <v>León</v>
      </c>
      <c r="H204" s="33" t="str">
        <f ca="1">IFERROR(__xludf.DUMMYFUNCTION("""COMPUTED_VALUE"""),"C20262695038079529")</f>
        <v>C20262695038079529</v>
      </c>
      <c r="I204" s="33" t="str">
        <f ca="1">IFERROR(__xludf.DUMMYFUNCTION("""COMPUTED_VALUE"""),"Erundina Herrero Calvo")</f>
        <v>Erundina Herrero Calvo</v>
      </c>
      <c r="J204" s="57">
        <f ca="1">IFERROR(__xludf.DUMMYFUNCTION("""COMPUTED_VALUE"""),46059)</f>
        <v>46059</v>
      </c>
      <c r="K204" s="33" t="str">
        <f ca="1">IFERROR(__xludf.DUMMYFUNCTION("""COMPUTED_VALUE"""),"Factura audífonos")</f>
        <v>Factura audífonos</v>
      </c>
      <c r="L204" s="57">
        <f ca="1">IFERROR(__xludf.DUMMYFUNCTION("""COMPUTED_VALUE"""),46072)</f>
        <v>46072</v>
      </c>
      <c r="M204" s="33" t="str">
        <f ca="1">IFERROR(__xludf.DUMMYFUNCTION("""COMPUTED_VALUE"""),"NO")</f>
        <v>NO</v>
      </c>
      <c r="N204" s="56">
        <f ca="1">IFERROR(__xludf.DUMMYFUNCTION("""COMPUTED_VALUE"""),2)</f>
        <v>2</v>
      </c>
      <c r="O204" s="33" t="str">
        <f ca="1">IFERROR(__xludf.DUMMYFUNCTION("""COMPUTED_VALUE"""),"CONFORT")</f>
        <v>CONFORT</v>
      </c>
      <c r="P204" s="59">
        <f ca="1">IFERROR(__xludf.DUMMYFUNCTION("""COMPUTED_VALUE"""),4090.91)</f>
        <v>4090.91</v>
      </c>
      <c r="Q204" s="33" t="str">
        <f ca="1">IFERROR(__xludf.DUMMYFUNCTION("""COMPUTED_VALUE"""),"Alberto Moreno")</f>
        <v>Alberto Moreno</v>
      </c>
      <c r="R204" s="60" t="str">
        <f ca="1">IFERROR(__xludf.DUMMYFUNCTION("""COMPUTED_VALUE"""),"Carlos Durán Díez")</f>
        <v>Carlos Durán Díez</v>
      </c>
      <c r="S204" s="61" t="str">
        <f ca="1">IFERROR(__xludf.DUMMYFUNCTION("""COMPUTED_VALUE"""),"03 ORL")</f>
        <v>03 ORL</v>
      </c>
      <c r="T204" s="33" t="str">
        <f ca="1">IFERROR(__xludf.DUMMYFUNCTION("""COMPUTED_VALUE"""),"06 ORL")</f>
        <v>06 ORL</v>
      </c>
      <c r="U204" s="62"/>
      <c r="W204" s="62"/>
      <c r="X204" s="62"/>
      <c r="AG204" s="60"/>
      <c r="AJ204" s="60"/>
    </row>
    <row r="205" spans="1:36" ht="16">
      <c r="A205" s="33"/>
      <c r="B205" s="55" t="str">
        <f t="shared" ca="1" si="0"/>
        <v>MBM</v>
      </c>
      <c r="C205" s="64" t="str">
        <f ca="1">IFERROR(__xludf.DUMMYFUNCTION("""COMPUTED_VALUE"""),"MBM39")</f>
        <v>MBM39</v>
      </c>
      <c r="D205" s="33" t="str">
        <f ca="1">IFERROR(__xludf.DUMMYFUNCTION("""COMPUTED_VALUE"""),"PROPIOS")</f>
        <v>PROPIOS</v>
      </c>
      <c r="E205" s="33">
        <f ca="1">IFERROR(__xludf.DUMMYFUNCTION("""COMPUTED_VALUE"""),2026)</f>
        <v>2026</v>
      </c>
      <c r="F205" s="56">
        <f ca="1">IFERROR(__xludf.DUMMYFUNCTION("""COMPUTED_VALUE"""),2)</f>
        <v>2</v>
      </c>
      <c r="G205" s="33" t="str">
        <f ca="1">IFERROR(__xludf.DUMMYFUNCTION("""COMPUTED_VALUE"""),"Madrid- Juan Bravo")</f>
        <v>Madrid- Juan Bravo</v>
      </c>
      <c r="H205" s="33" t="str">
        <f ca="1">IFERROR(__xludf.DUMMYFUNCTION("""COMPUTED_VALUE"""),"C202612911221958756")</f>
        <v>C202612911221958756</v>
      </c>
      <c r="I205" s="33" t="str">
        <f ca="1">IFERROR(__xludf.DUMMYFUNCTION("""COMPUTED_VALUE"""),"SOFIA MARTINEZ PONCE")</f>
        <v>SOFIA MARTINEZ PONCE</v>
      </c>
      <c r="J205" s="57">
        <f ca="1">IFERROR(__xludf.DUMMYFUNCTION("""COMPUTED_VALUE"""),46051)</f>
        <v>46051</v>
      </c>
      <c r="K205" s="33" t="str">
        <f ca="1">IFERROR(__xludf.DUMMYFUNCTION("""COMPUTED_VALUE"""),"Factura audífonos")</f>
        <v>Factura audífonos</v>
      </c>
      <c r="L205" s="57">
        <f ca="1">IFERROR(__xludf.DUMMYFUNCTION("""COMPUTED_VALUE"""),46072)</f>
        <v>46072</v>
      </c>
      <c r="M205" s="33" t="str">
        <f ca="1">IFERROR(__xludf.DUMMYFUNCTION("""COMPUTED_VALUE"""),"NO")</f>
        <v>NO</v>
      </c>
      <c r="N205" s="56">
        <f ca="1">IFERROR(__xludf.DUMMYFUNCTION("""COMPUTED_VALUE"""),2)</f>
        <v>2</v>
      </c>
      <c r="O205" s="33" t="str">
        <f ca="1">IFERROR(__xludf.DUMMYFUNCTION("""COMPUTED_VALUE"""),"ADVANCED")</f>
        <v>ADVANCED</v>
      </c>
      <c r="P205" s="59">
        <f ca="1">IFERROR(__xludf.DUMMYFUNCTION("""COMPUTED_VALUE"""),4136.36)</f>
        <v>4136.3599999999997</v>
      </c>
      <c r="Q205" s="33" t="str">
        <f ca="1">IFERROR(__xludf.DUMMYFUNCTION("""COMPUTED_VALUE"""),"Maika Blázquez")</f>
        <v>Maika Blázquez</v>
      </c>
      <c r="R205" s="60" t="str">
        <f ca="1">IFERROR(__xludf.DUMMYFUNCTION("""COMPUTED_VALUE"""),"Javier García Domínguez")</f>
        <v>Javier García Domínguez</v>
      </c>
      <c r="S205" s="61" t="str">
        <f ca="1">IFERROR(__xludf.DUMMYFUNCTION("""COMPUTED_VALUE"""),"03 ORL")</f>
        <v>03 ORL</v>
      </c>
      <c r="T205" s="33" t="str">
        <f ca="1">IFERROR(__xludf.DUMMYFUNCTION("""COMPUTED_VALUE"""),"06 ORL")</f>
        <v>06 ORL</v>
      </c>
      <c r="U205" s="62"/>
      <c r="W205" s="61"/>
      <c r="X205" s="62"/>
      <c r="AG205" s="59"/>
    </row>
    <row r="206" spans="1:36" ht="16">
      <c r="A206" s="33"/>
      <c r="B206" s="55" t="str">
        <f t="shared" ca="1" si="0"/>
        <v>MBM</v>
      </c>
      <c r="C206" s="64" t="str">
        <f ca="1">IFERROR(__xludf.DUMMYFUNCTION("""COMPUTED_VALUE"""),"MBM226")</f>
        <v>MBM226</v>
      </c>
      <c r="D206" s="33" t="str">
        <f ca="1">IFERROR(__xludf.DUMMYFUNCTION("""COMPUTED_VALUE"""),"PROPIOS")</f>
        <v>PROPIOS</v>
      </c>
      <c r="E206" s="33">
        <f ca="1">IFERROR(__xludf.DUMMYFUNCTION("""COMPUTED_VALUE"""),2026)</f>
        <v>2026</v>
      </c>
      <c r="F206" s="56">
        <f ca="1">IFERROR(__xludf.DUMMYFUNCTION("""COMPUTED_VALUE"""),2)</f>
        <v>2</v>
      </c>
      <c r="G206" s="33" t="str">
        <f ca="1">IFERROR(__xludf.DUMMYFUNCTION("""COMPUTED_VALUE"""),"Torrejón de Ardoz")</f>
        <v>Torrejón de Ardoz</v>
      </c>
      <c r="H206" s="33" t="str">
        <f ca="1">IFERROR(__xludf.DUMMYFUNCTION("""COMPUTED_VALUE"""),"C20261985450557701")</f>
        <v>C20261985450557701</v>
      </c>
      <c r="I206" s="33" t="str">
        <f ca="1">IFERROR(__xludf.DUMMYFUNCTION("""COMPUTED_VALUE"""),"FRANCISCO JAVIER TRILLA MOCHALES")</f>
        <v>FRANCISCO JAVIER TRILLA MOCHALES</v>
      </c>
      <c r="J206" s="57">
        <f ca="1">IFERROR(__xludf.DUMMYFUNCTION("""COMPUTED_VALUE"""),46031)</f>
        <v>46031</v>
      </c>
      <c r="K206" s="33" t="str">
        <f ca="1">IFERROR(__xludf.DUMMYFUNCTION("""COMPUTED_VALUE"""),"Factura audífonos")</f>
        <v>Factura audífonos</v>
      </c>
      <c r="L206" s="57">
        <f ca="1">IFERROR(__xludf.DUMMYFUNCTION("""COMPUTED_VALUE"""),46073)</f>
        <v>46073</v>
      </c>
      <c r="M206" s="33" t="str">
        <f ca="1">IFERROR(__xludf.DUMMYFUNCTION("""COMPUTED_VALUE"""),"NO")</f>
        <v>NO</v>
      </c>
      <c r="N206" s="56">
        <f ca="1">IFERROR(__xludf.DUMMYFUNCTION("""COMPUTED_VALUE"""),1)</f>
        <v>1</v>
      </c>
      <c r="O206" s="33" t="str">
        <f ca="1">IFERROR(__xludf.DUMMYFUNCTION("""COMPUTED_VALUE"""),"QUIET")</f>
        <v>QUIET</v>
      </c>
      <c r="P206" s="59">
        <f ca="1">IFERROR(__xludf.DUMMYFUNCTION("""COMPUTED_VALUE"""),1550.23)</f>
        <v>1550.23</v>
      </c>
      <c r="Q206" s="33" t="str">
        <f ca="1">IFERROR(__xludf.DUMMYFUNCTION("""COMPUTED_VALUE"""),"Maika Blázquez")</f>
        <v>Maika Blázquez</v>
      </c>
      <c r="R206" s="60" t="str">
        <f ca="1">IFERROR(__xludf.DUMMYFUNCTION("""COMPUTED_VALUE"""),"Cristina Peña Cifuentes")</f>
        <v>Cristina Peña Cifuentes</v>
      </c>
      <c r="S206" s="61" t="str">
        <f ca="1">IFERROR(__xludf.DUMMYFUNCTION("""COMPUTED_VALUE"""),"03 ORL")</f>
        <v>03 ORL</v>
      </c>
      <c r="T206" s="33" t="str">
        <f ca="1">IFERROR(__xludf.DUMMYFUNCTION("""COMPUTED_VALUE"""),"06 ORL")</f>
        <v>06 ORL</v>
      </c>
      <c r="W206" s="62"/>
      <c r="X206" s="62"/>
      <c r="AG206" s="60"/>
      <c r="AJ206" s="60"/>
    </row>
    <row r="207" spans="1:36" ht="16">
      <c r="A207" s="33"/>
      <c r="B207" s="55" t="str">
        <f t="shared" ca="1" si="0"/>
        <v>RFV</v>
      </c>
      <c r="C207" s="64" t="str">
        <f ca="1">IFERROR(__xludf.DUMMYFUNCTION("""COMPUTED_VALUE"""),"RFV08")</f>
        <v>RFV08</v>
      </c>
      <c r="D207" s="33" t="str">
        <f ca="1">IFERROR(__xludf.DUMMYFUNCTION("""COMPUTED_VALUE"""),"PROPIOS")</f>
        <v>PROPIOS</v>
      </c>
      <c r="E207" s="33">
        <f ca="1">IFERROR(__xludf.DUMMYFUNCTION("""COMPUTED_VALUE"""),2026)</f>
        <v>2026</v>
      </c>
      <c r="F207" s="56">
        <f ca="1">IFERROR(__xludf.DUMMYFUNCTION("""COMPUTED_VALUE"""),2)</f>
        <v>2</v>
      </c>
      <c r="G207" s="33" t="str">
        <f ca="1">IFERROR(__xludf.DUMMYFUNCTION("""COMPUTED_VALUE"""),"Valencia- Cádiz")</f>
        <v>Valencia- Cádiz</v>
      </c>
      <c r="H207" s="33" t="str">
        <f ca="1">IFERROR(__xludf.DUMMYFUNCTION("""COMPUTED_VALUE"""),"C202512101755565346")</f>
        <v>C202512101755565346</v>
      </c>
      <c r="I207" s="33" t="str">
        <f ca="1">IFERROR(__xludf.DUMMYFUNCTION("""COMPUTED_VALUE"""),"Maria del Carmen Delhom Costa")</f>
        <v>Maria del Carmen Delhom Costa</v>
      </c>
      <c r="J207" s="57">
        <f ca="1">IFERROR(__xludf.DUMMYFUNCTION("""COMPUTED_VALUE"""),46001)</f>
        <v>46001</v>
      </c>
      <c r="K207" s="33" t="str">
        <f ca="1">IFERROR(__xludf.DUMMYFUNCTION("""COMPUTED_VALUE"""),"Factura audífonos")</f>
        <v>Factura audífonos</v>
      </c>
      <c r="L207" s="57">
        <f ca="1">IFERROR(__xludf.DUMMYFUNCTION("""COMPUTED_VALUE"""),46073)</f>
        <v>46073</v>
      </c>
      <c r="M207" s="33" t="str">
        <f ca="1">IFERROR(__xludf.DUMMYFUNCTION("""COMPUTED_VALUE"""),"NO")</f>
        <v>NO</v>
      </c>
      <c r="N207" s="56">
        <f ca="1">IFERROR(__xludf.DUMMYFUNCTION("""COMPUTED_VALUE"""),2)</f>
        <v>2</v>
      </c>
      <c r="O207" s="33" t="str">
        <f ca="1">IFERROR(__xludf.DUMMYFUNCTION("""COMPUTED_VALUE"""),"QUIET")</f>
        <v>QUIET</v>
      </c>
      <c r="P207" s="59">
        <f ca="1">IFERROR(__xludf.DUMMYFUNCTION("""COMPUTED_VALUE"""),2718.19)</f>
        <v>2718.19</v>
      </c>
      <c r="Q207" s="33" t="str">
        <f ca="1">IFERROR(__xludf.DUMMYFUNCTION("""COMPUTED_VALUE"""),"Ramon Ferrando")</f>
        <v>Ramon Ferrando</v>
      </c>
      <c r="R207" s="60" t="str">
        <f ca="1">IFERROR(__xludf.DUMMYFUNCTION("""COMPUTED_VALUE"""),"Abel Guzmán Calvete")</f>
        <v>Abel Guzmán Calvete</v>
      </c>
      <c r="S207" s="61" t="str">
        <f ca="1">IFERROR(__xludf.DUMMYFUNCTION("""COMPUTED_VALUE"""),"03 ORL")</f>
        <v>03 ORL</v>
      </c>
      <c r="T207" s="33" t="str">
        <f ca="1">IFERROR(__xludf.DUMMYFUNCTION("""COMPUTED_VALUE"""),"06 ORL")</f>
        <v>06 ORL</v>
      </c>
      <c r="U207" s="62"/>
      <c r="W207" s="62"/>
      <c r="X207" s="62"/>
      <c r="AG207" s="60"/>
      <c r="AJ207" s="60"/>
    </row>
    <row r="208" spans="1:36" ht="16">
      <c r="A208" s="33"/>
      <c r="B208" s="55" t="str">
        <f t="shared" ca="1" si="0"/>
        <v>MBM</v>
      </c>
      <c r="C208" s="64" t="str">
        <f ca="1">IFERROR(__xludf.DUMMYFUNCTION("""COMPUTED_VALUE"""),"MBM90")</f>
        <v>MBM90</v>
      </c>
      <c r="D208" s="33" t="str">
        <f ca="1">IFERROR(__xludf.DUMMYFUNCTION("""COMPUTED_VALUE"""),"PROPIOS")</f>
        <v>PROPIOS</v>
      </c>
      <c r="E208" s="33">
        <f ca="1">IFERROR(__xludf.DUMMYFUNCTION("""COMPUTED_VALUE"""),2026)</f>
        <v>2026</v>
      </c>
      <c r="F208" s="56">
        <f ca="1">IFERROR(__xludf.DUMMYFUNCTION("""COMPUTED_VALUE"""),2)</f>
        <v>2</v>
      </c>
      <c r="G208" s="33" t="str">
        <f ca="1">IFERROR(__xludf.DUMMYFUNCTION("""COMPUTED_VALUE"""),"Leganés")</f>
        <v>Leganés</v>
      </c>
      <c r="H208" s="33" t="str">
        <f ca="1">IFERROR(__xludf.DUMMYFUNCTION("""COMPUTED_VALUE"""),"C202611495230842894")</f>
        <v>C202611495230842894</v>
      </c>
      <c r="I208" s="33" t="str">
        <f ca="1">IFERROR(__xludf.DUMMYFUNCTION("""COMPUTED_VALUE"""),"JUAN FIDEL SOTO MARTINEZ")</f>
        <v>JUAN FIDEL SOTO MARTINEZ</v>
      </c>
      <c r="J208" s="57">
        <f ca="1">IFERROR(__xludf.DUMMYFUNCTION("""COMPUTED_VALUE"""),46036)</f>
        <v>46036</v>
      </c>
      <c r="K208" s="33" t="str">
        <f ca="1">IFERROR(__xludf.DUMMYFUNCTION("""COMPUTED_VALUE"""),"Factura audífonos")</f>
        <v>Factura audífonos</v>
      </c>
      <c r="L208" s="57">
        <f ca="1">IFERROR(__xludf.DUMMYFUNCTION("""COMPUTED_VALUE"""),46073)</f>
        <v>46073</v>
      </c>
      <c r="M208" s="33" t="str">
        <f ca="1">IFERROR(__xludf.DUMMYFUNCTION("""COMPUTED_VALUE"""),"NO")</f>
        <v>NO</v>
      </c>
      <c r="N208" s="56">
        <f ca="1">IFERROR(__xludf.DUMMYFUNCTION("""COMPUTED_VALUE"""),1)</f>
        <v>1</v>
      </c>
      <c r="O208" s="33" t="str">
        <f ca="1">IFERROR(__xludf.DUMMYFUNCTION("""COMPUTED_VALUE"""),"QUIET")</f>
        <v>QUIET</v>
      </c>
      <c r="P208" s="59">
        <f ca="1">IFERROR(__xludf.DUMMYFUNCTION("""COMPUTED_VALUE"""),1631.82)</f>
        <v>1631.82</v>
      </c>
      <c r="Q208" s="33" t="str">
        <f ca="1">IFERROR(__xludf.DUMMYFUNCTION("""COMPUTED_VALUE"""),"Maika Blázquez")</f>
        <v>Maika Blázquez</v>
      </c>
      <c r="R208" s="60" t="str">
        <f ca="1">IFERROR(__xludf.DUMMYFUNCTION("""COMPUTED_VALUE"""),"Ana Ruiz Fornells Noreña")</f>
        <v>Ana Ruiz Fornells Noreña</v>
      </c>
      <c r="S208" s="61" t="str">
        <f ca="1">IFERROR(__xludf.DUMMYFUNCTION("""COMPUTED_VALUE"""),"03 ORL")</f>
        <v>03 ORL</v>
      </c>
      <c r="T208" s="33" t="str">
        <f ca="1">IFERROR(__xludf.DUMMYFUNCTION("""COMPUTED_VALUE"""),"06 ORL")</f>
        <v>06 ORL</v>
      </c>
      <c r="U208" s="62"/>
      <c r="W208" s="62"/>
      <c r="X208" s="62"/>
      <c r="AG208" s="59"/>
      <c r="AJ208" s="60"/>
    </row>
    <row r="209" spans="1:36" ht="16">
      <c r="A209" s="33"/>
      <c r="B209" s="55" t="str">
        <f t="shared" ca="1" si="0"/>
        <v>MBM</v>
      </c>
      <c r="C209" s="64" t="str">
        <f ca="1">IFERROR(__xludf.DUMMYFUNCTION("""COMPUTED_VALUE"""),"MBM132")</f>
        <v>MBM132</v>
      </c>
      <c r="D209" s="33" t="str">
        <f ca="1">IFERROR(__xludf.DUMMYFUNCTION("""COMPUTED_VALUE"""),"PROPIOS")</f>
        <v>PROPIOS</v>
      </c>
      <c r="E209" s="33">
        <f ca="1">IFERROR(__xludf.DUMMYFUNCTION("""COMPUTED_VALUE"""),2026)</f>
        <v>2026</v>
      </c>
      <c r="F209" s="56">
        <f ca="1">IFERROR(__xludf.DUMMYFUNCTION("""COMPUTED_VALUE"""),2)</f>
        <v>2</v>
      </c>
      <c r="G209" s="33" t="str">
        <f ca="1">IFERROR(__xludf.DUMMYFUNCTION("""COMPUTED_VALUE"""),"Getafe")</f>
        <v>Getafe</v>
      </c>
      <c r="H209" s="33" t="str">
        <f ca="1">IFERROR(__xludf.DUMMYFUNCTION("""COMPUTED_VALUE"""),"C202512161237501240")</f>
        <v>C202512161237501240</v>
      </c>
      <c r="I209" s="33" t="str">
        <f ca="1">IFERROR(__xludf.DUMMYFUNCTION("""COMPUTED_VALUE"""),"MARIA CONCEPCION GONZALEZ SUAREZ")</f>
        <v>MARIA CONCEPCION GONZALEZ SUAREZ</v>
      </c>
      <c r="J209" s="57">
        <f ca="1">IFERROR(__xludf.DUMMYFUNCTION("""COMPUTED_VALUE"""),46007)</f>
        <v>46007</v>
      </c>
      <c r="K209" s="33" t="str">
        <f ca="1">IFERROR(__xludf.DUMMYFUNCTION("""COMPUTED_VALUE"""),"Factura audífonos")</f>
        <v>Factura audífonos</v>
      </c>
      <c r="L209" s="57">
        <f ca="1">IFERROR(__xludf.DUMMYFUNCTION("""COMPUTED_VALUE"""),46073)</f>
        <v>46073</v>
      </c>
      <c r="M209" s="33" t="str">
        <f ca="1">IFERROR(__xludf.DUMMYFUNCTION("""COMPUTED_VALUE"""),"NO")</f>
        <v>NO</v>
      </c>
      <c r="N209" s="56">
        <f ca="1">IFERROR(__xludf.DUMMYFUNCTION("""COMPUTED_VALUE"""),2)</f>
        <v>2</v>
      </c>
      <c r="O209" s="33" t="str">
        <f ca="1">IFERROR(__xludf.DUMMYFUNCTION("""COMPUTED_VALUE"""),"ADVANCED")</f>
        <v>ADVANCED</v>
      </c>
      <c r="P209" s="60">
        <f ca="1">IFERROR(__xludf.DUMMYFUNCTION("""COMPUTED_VALUE"""),4136.36)</f>
        <v>4136.3599999999997</v>
      </c>
      <c r="Q209" s="33" t="str">
        <f ca="1">IFERROR(__xludf.DUMMYFUNCTION("""COMPUTED_VALUE"""),"Maika Blázquez")</f>
        <v>Maika Blázquez</v>
      </c>
      <c r="R209" s="60" t="str">
        <f ca="1">IFERROR(__xludf.DUMMYFUNCTION("""COMPUTED_VALUE"""),"Laura Ruano De Pablo")</f>
        <v>Laura Ruano De Pablo</v>
      </c>
      <c r="S209" s="61" t="str">
        <f ca="1">IFERROR(__xludf.DUMMYFUNCTION("""COMPUTED_VALUE"""),"03 ORL")</f>
        <v>03 ORL</v>
      </c>
      <c r="T209" s="33" t="str">
        <f ca="1">IFERROR(__xludf.DUMMYFUNCTION("""COMPUTED_VALUE"""),"06 ORL")</f>
        <v>06 ORL</v>
      </c>
      <c r="U209" s="62"/>
      <c r="W209" s="62"/>
      <c r="X209" s="62"/>
      <c r="AG209" s="60"/>
      <c r="AJ209" s="60"/>
    </row>
    <row r="210" spans="1:36" ht="16">
      <c r="A210" s="33"/>
      <c r="B210" s="55" t="str">
        <f t="shared" ca="1" si="0"/>
        <v>MBM</v>
      </c>
      <c r="C210" s="64" t="str">
        <f ca="1">IFERROR(__xludf.DUMMYFUNCTION("""COMPUTED_VALUE"""),"MBM112")</f>
        <v>MBM112</v>
      </c>
      <c r="D210" s="33" t="str">
        <f ca="1">IFERROR(__xludf.DUMMYFUNCTION("""COMPUTED_VALUE"""),"PROPIOS")</f>
        <v>PROPIOS</v>
      </c>
      <c r="E210" s="33">
        <f ca="1">IFERROR(__xludf.DUMMYFUNCTION("""COMPUTED_VALUE"""),2026)</f>
        <v>2026</v>
      </c>
      <c r="F210" s="56">
        <f ca="1">IFERROR(__xludf.DUMMYFUNCTION("""COMPUTED_VALUE"""),2)</f>
        <v>2</v>
      </c>
      <c r="G210" s="33" t="str">
        <f ca="1">IFERROR(__xludf.DUMMYFUNCTION("""COMPUTED_VALUE"""),"Alcorcón")</f>
        <v>Alcorcón</v>
      </c>
      <c r="H210" s="33" t="str">
        <f ca="1">IFERROR(__xludf.DUMMYFUNCTION("""COMPUTED_VALUE"""),"C202611612232415334")</f>
        <v>C202611612232415334</v>
      </c>
      <c r="I210" s="33" t="str">
        <f ca="1">IFERROR(__xludf.DUMMYFUNCTION("""COMPUTED_VALUE"""),"TOMAS  DIAZ DE LA CAMPA GARCIA")</f>
        <v>TOMAS  DIAZ DE LA CAMPA GARCIA</v>
      </c>
      <c r="J210" s="57">
        <f ca="1">IFERROR(__xludf.DUMMYFUNCTION("""COMPUTED_VALUE"""),46038)</f>
        <v>46038</v>
      </c>
      <c r="K210" s="33" t="str">
        <f ca="1">IFERROR(__xludf.DUMMYFUNCTION("""COMPUTED_VALUE"""),"Factura audífonos")</f>
        <v>Factura audífonos</v>
      </c>
      <c r="L210" s="57">
        <f ca="1">IFERROR(__xludf.DUMMYFUNCTION("""COMPUTED_VALUE"""),46073)</f>
        <v>46073</v>
      </c>
      <c r="M210" s="33" t="str">
        <f ca="1">IFERROR(__xludf.DUMMYFUNCTION("""COMPUTED_VALUE"""),"NO")</f>
        <v>NO</v>
      </c>
      <c r="N210" s="56">
        <f ca="1">IFERROR(__xludf.DUMMYFUNCTION("""COMPUTED_VALUE"""),1)</f>
        <v>1</v>
      </c>
      <c r="O210" s="33" t="str">
        <f ca="1">IFERROR(__xludf.DUMMYFUNCTION("""COMPUTED_VALUE"""),"QUIET")</f>
        <v>QUIET</v>
      </c>
      <c r="P210" s="59">
        <f ca="1">IFERROR(__xludf.DUMMYFUNCTION("""COMPUTED_VALUE"""),1631.82)</f>
        <v>1631.82</v>
      </c>
      <c r="Q210" s="33" t="str">
        <f ca="1">IFERROR(__xludf.DUMMYFUNCTION("""COMPUTED_VALUE"""),"Maika Blázquez")</f>
        <v>Maika Blázquez</v>
      </c>
      <c r="R210" s="60" t="str">
        <f ca="1">IFERROR(__xludf.DUMMYFUNCTION("""COMPUTED_VALUE"""),"Elvylins Vargas Yglesia")</f>
        <v>Elvylins Vargas Yglesia</v>
      </c>
      <c r="S210" s="61" t="str">
        <f ca="1">IFERROR(__xludf.DUMMYFUNCTION("""COMPUTED_VALUE"""),"03 ORL")</f>
        <v>03 ORL</v>
      </c>
      <c r="T210" s="33" t="str">
        <f ca="1">IFERROR(__xludf.DUMMYFUNCTION("""COMPUTED_VALUE"""),"22 AUDIOMETRIA CLINICA")</f>
        <v>22 AUDIOMETRIA CLINICA</v>
      </c>
      <c r="U210" s="62"/>
      <c r="W210" s="62"/>
      <c r="X210" s="62"/>
      <c r="AE210" s="1"/>
      <c r="AG210" s="59"/>
      <c r="AJ210" s="60"/>
    </row>
    <row r="211" spans="1:36" ht="16">
      <c r="A211" s="33"/>
      <c r="B211" s="55" t="str">
        <f t="shared" ca="1" si="0"/>
        <v>ISL</v>
      </c>
      <c r="C211" s="64" t="str">
        <f ca="1">IFERROR(__xludf.DUMMYFUNCTION("""COMPUTED_VALUE"""),"ISL45")</f>
        <v>ISL45</v>
      </c>
      <c r="D211" s="33" t="str">
        <f ca="1">IFERROR(__xludf.DUMMYFUNCTION("""COMPUTED_VALUE"""),"PROPIOS")</f>
        <v>PROPIOS</v>
      </c>
      <c r="E211" s="33">
        <f ca="1">IFERROR(__xludf.DUMMYFUNCTION("""COMPUTED_VALUE"""),2026)</f>
        <v>2026</v>
      </c>
      <c r="F211" s="56">
        <f ca="1">IFERROR(__xludf.DUMMYFUNCTION("""COMPUTED_VALUE"""),2)</f>
        <v>2</v>
      </c>
      <c r="G211" s="33" t="str">
        <f ca="1">IFERROR(__xludf.DUMMYFUNCTION("""COMPUTED_VALUE"""),"Murcia")</f>
        <v>Murcia</v>
      </c>
      <c r="H211" s="33" t="str">
        <f ca="1">IFERROR(__xludf.DUMMYFUNCTION("""COMPUTED_VALUE"""),"C202611214373858803")</f>
        <v>C202611214373858803</v>
      </c>
      <c r="I211" s="33" t="str">
        <f ca="1">IFERROR(__xludf.DUMMYFUNCTION("""COMPUTED_VALUE"""),"JOSE FRANCISCO GALVEZ INIESTA")</f>
        <v>JOSE FRANCISCO GALVEZ INIESTA</v>
      </c>
      <c r="J211" s="57">
        <f ca="1">IFERROR(__xludf.DUMMYFUNCTION("""COMPUTED_VALUE"""),46034)</f>
        <v>46034</v>
      </c>
      <c r="K211" s="33" t="str">
        <f ca="1">IFERROR(__xludf.DUMMYFUNCTION("""COMPUTED_VALUE"""),"Factura audífonos")</f>
        <v>Factura audífonos</v>
      </c>
      <c r="L211" s="57">
        <f ca="1">IFERROR(__xludf.DUMMYFUNCTION("""COMPUTED_VALUE"""),46076)</f>
        <v>46076</v>
      </c>
      <c r="M211" s="33" t="str">
        <f ca="1">IFERROR(__xludf.DUMMYFUNCTION("""COMPUTED_VALUE"""),"NO")</f>
        <v>NO</v>
      </c>
      <c r="N211" s="56">
        <f ca="1">IFERROR(__xludf.DUMMYFUNCTION("""COMPUTED_VALUE"""),2)</f>
        <v>2</v>
      </c>
      <c r="O211" s="33" t="str">
        <f ca="1">IFERROR(__xludf.DUMMYFUNCTION("""COMPUTED_VALUE"""),"QUIET")</f>
        <v>QUIET</v>
      </c>
      <c r="P211" s="60">
        <f ca="1">IFERROR(__xludf.DUMMYFUNCTION("""COMPUTED_VALUE"""),2718.18)</f>
        <v>2718.18</v>
      </c>
      <c r="Q211" s="33" t="str">
        <f ca="1">IFERROR(__xludf.DUMMYFUNCTION("""COMPUTED_VALUE"""),"Iván Sánchez")</f>
        <v>Iván Sánchez</v>
      </c>
      <c r="R211" s="60" t="str">
        <f ca="1">IFERROR(__xludf.DUMMYFUNCTION("""COMPUTED_VALUE"""),"Jesús Miguel Iniesta Turpín")</f>
        <v>Jesús Miguel Iniesta Turpín</v>
      </c>
      <c r="S211" s="61" t="str">
        <f ca="1">IFERROR(__xludf.DUMMYFUNCTION("""COMPUTED_VALUE"""),"03 ORL")</f>
        <v>03 ORL</v>
      </c>
      <c r="T211" s="33" t="str">
        <f ca="1">IFERROR(__xludf.DUMMYFUNCTION("""COMPUTED_VALUE"""),"06 ORL")</f>
        <v>06 ORL</v>
      </c>
      <c r="U211" s="62"/>
      <c r="W211" s="62"/>
      <c r="X211" s="62"/>
      <c r="AG211" s="60"/>
      <c r="AJ211" s="60"/>
    </row>
    <row r="212" spans="1:36" ht="16">
      <c r="A212" s="33"/>
      <c r="B212" s="55" t="str">
        <f t="shared" ca="1" si="0"/>
        <v>ISL</v>
      </c>
      <c r="C212" s="64" t="str">
        <f ca="1">IFERROR(__xludf.DUMMYFUNCTION("""COMPUTED_VALUE"""),"ISL58")</f>
        <v>ISL58</v>
      </c>
      <c r="D212" s="33" t="str">
        <f ca="1">IFERROR(__xludf.DUMMYFUNCTION("""COMPUTED_VALUE"""),"PROPIOS")</f>
        <v>PROPIOS</v>
      </c>
      <c r="E212" s="33">
        <f ca="1">IFERROR(__xludf.DUMMYFUNCTION("""COMPUTED_VALUE"""),2026)</f>
        <v>2026</v>
      </c>
      <c r="F212" s="56">
        <f ca="1">IFERROR(__xludf.DUMMYFUNCTION("""COMPUTED_VALUE"""),2)</f>
        <v>2</v>
      </c>
      <c r="G212" s="33" t="str">
        <f ca="1">IFERROR(__xludf.DUMMYFUNCTION("""COMPUTED_VALUE"""),"Orihuela")</f>
        <v>Orihuela</v>
      </c>
      <c r="H212" s="33" t="str">
        <f ca="1">IFERROR(__xludf.DUMMYFUNCTION("""COMPUTED_VALUE"""),"C202613011203270810")</f>
        <v>C202613011203270810</v>
      </c>
      <c r="I212" s="33" t="str">
        <f ca="1">IFERROR(__xludf.DUMMYFUNCTION("""COMPUTED_VALUE"""),"MARINA VARGAS SERRANO")</f>
        <v>MARINA VARGAS SERRANO</v>
      </c>
      <c r="J212" s="57">
        <f ca="1">IFERROR(__xludf.DUMMYFUNCTION("""COMPUTED_VALUE"""),46052)</f>
        <v>46052</v>
      </c>
      <c r="K212" s="33" t="str">
        <f ca="1">IFERROR(__xludf.DUMMYFUNCTION("""COMPUTED_VALUE"""),"Factura audífonos")</f>
        <v>Factura audífonos</v>
      </c>
      <c r="L212" s="57">
        <f ca="1">IFERROR(__xludf.DUMMYFUNCTION("""COMPUTED_VALUE"""),46076)</f>
        <v>46076</v>
      </c>
      <c r="M212" s="33" t="str">
        <f ca="1">IFERROR(__xludf.DUMMYFUNCTION("""COMPUTED_VALUE"""),"NO")</f>
        <v>NO</v>
      </c>
      <c r="N212" s="56">
        <f ca="1">IFERROR(__xludf.DUMMYFUNCTION("""COMPUTED_VALUE"""),2)</f>
        <v>2</v>
      </c>
      <c r="O212" s="33" t="str">
        <f ca="1">IFERROR(__xludf.DUMMYFUNCTION("""COMPUTED_VALUE"""),"CONFORT")</f>
        <v>CONFORT</v>
      </c>
      <c r="P212" s="60">
        <f ca="1">IFERROR(__xludf.DUMMYFUNCTION("""COMPUTED_VALUE"""),3631.82)</f>
        <v>3631.82</v>
      </c>
      <c r="Q212" s="33" t="str">
        <f ca="1">IFERROR(__xludf.DUMMYFUNCTION("""COMPUTED_VALUE"""),"Iván Sánchez")</f>
        <v>Iván Sánchez</v>
      </c>
      <c r="R212" s="60" t="str">
        <f ca="1">IFERROR(__xludf.DUMMYFUNCTION("""COMPUTED_VALUE"""),"Juan Javier Álvarez López")</f>
        <v>Juan Javier Álvarez López</v>
      </c>
      <c r="S212" s="61" t="str">
        <f ca="1">IFERROR(__xludf.DUMMYFUNCTION("""COMPUTED_VALUE"""),"03 ORL")</f>
        <v>03 ORL</v>
      </c>
      <c r="T212" s="33" t="str">
        <f ca="1">IFERROR(__xludf.DUMMYFUNCTION("""COMPUTED_VALUE"""),"06 ORL")</f>
        <v>06 ORL</v>
      </c>
      <c r="U212" s="62"/>
      <c r="W212" s="62"/>
      <c r="X212" s="62"/>
      <c r="AG212" s="60"/>
      <c r="AJ212" s="60"/>
    </row>
    <row r="213" spans="1:36" ht="16">
      <c r="A213" s="33"/>
      <c r="B213" s="55" t="str">
        <f t="shared" ca="1" si="0"/>
        <v>MBM</v>
      </c>
      <c r="C213" s="64" t="str">
        <f ca="1">IFERROR(__xludf.DUMMYFUNCTION("""COMPUTED_VALUE"""),"MBM128")</f>
        <v>MBM128</v>
      </c>
      <c r="D213" s="33" t="str">
        <f ca="1">IFERROR(__xludf.DUMMYFUNCTION("""COMPUTED_VALUE"""),"PROPIOS")</f>
        <v>PROPIOS</v>
      </c>
      <c r="E213" s="33">
        <f ca="1">IFERROR(__xludf.DUMMYFUNCTION("""COMPUTED_VALUE"""),2026)</f>
        <v>2026</v>
      </c>
      <c r="F213" s="56">
        <f ca="1">IFERROR(__xludf.DUMMYFUNCTION("""COMPUTED_VALUE"""),2)</f>
        <v>2</v>
      </c>
      <c r="G213" s="33" t="str">
        <f ca="1">IFERROR(__xludf.DUMMYFUNCTION("""COMPUTED_VALUE"""),"Madrid- Juan Bravo")</f>
        <v>Madrid- Juan Bravo</v>
      </c>
      <c r="H213" s="33" t="str">
        <f ca="1">IFERROR(__xludf.DUMMYFUNCTION("""COMPUTED_VALUE"""),"C202611610349790438")</f>
        <v>C202611610349790438</v>
      </c>
      <c r="I213" s="33" t="str">
        <f ca="1">IFERROR(__xludf.DUMMYFUNCTION("""COMPUTED_VALUE"""),"JUAN CARLOS  DEL VALLE AGUSTIN")</f>
        <v>JUAN CARLOS  DEL VALLE AGUSTIN</v>
      </c>
      <c r="J213" s="57">
        <f ca="1">IFERROR(__xludf.DUMMYFUNCTION("""COMPUTED_VALUE"""),46038)</f>
        <v>46038</v>
      </c>
      <c r="K213" s="33" t="str">
        <f ca="1">IFERROR(__xludf.DUMMYFUNCTION("""COMPUTED_VALUE"""),"Factura audífonos")</f>
        <v>Factura audífonos</v>
      </c>
      <c r="L213" s="57">
        <f ca="1">IFERROR(__xludf.DUMMYFUNCTION("""COMPUTED_VALUE"""),46076)</f>
        <v>46076</v>
      </c>
      <c r="M213" s="33" t="str">
        <f ca="1">IFERROR(__xludf.DUMMYFUNCTION("""COMPUTED_VALUE"""),"NO")</f>
        <v>NO</v>
      </c>
      <c r="N213" s="56">
        <f ca="1">IFERROR(__xludf.DUMMYFUNCTION("""COMPUTED_VALUE"""),2)</f>
        <v>2</v>
      </c>
      <c r="O213" s="33" t="str">
        <f ca="1">IFERROR(__xludf.DUMMYFUNCTION("""COMPUTED_VALUE"""),"PRO")</f>
        <v>PRO</v>
      </c>
      <c r="P213" s="60">
        <f ca="1">IFERROR(__xludf.DUMMYFUNCTION("""COMPUTED_VALUE"""),4309.55)</f>
        <v>4309.55</v>
      </c>
      <c r="Q213" s="33" t="str">
        <f ca="1">IFERROR(__xludf.DUMMYFUNCTION("""COMPUTED_VALUE"""),"Maika Blázquez")</f>
        <v>Maika Blázquez</v>
      </c>
      <c r="R213" s="60" t="str">
        <f ca="1">IFERROR(__xludf.DUMMYFUNCTION("""COMPUTED_VALUE"""),"Karla Natali Montaño Rueda")</f>
        <v>Karla Natali Montaño Rueda</v>
      </c>
      <c r="S213" s="61" t="str">
        <f ca="1">IFERROR(__xludf.DUMMYFUNCTION("""COMPUTED_VALUE"""),"03 ORL")</f>
        <v>03 ORL</v>
      </c>
      <c r="T213" s="33" t="str">
        <f ca="1">IFERROR(__xludf.DUMMYFUNCTION("""COMPUTED_VALUE"""),"06 ORL")</f>
        <v>06 ORL</v>
      </c>
      <c r="U213" s="62"/>
      <c r="W213" s="62"/>
      <c r="X213" s="62"/>
      <c r="AG213" s="60"/>
      <c r="AJ213" s="60"/>
    </row>
    <row r="214" spans="1:36" ht="16">
      <c r="A214" s="33"/>
      <c r="B214" s="55" t="str">
        <f t="shared" ca="1" si="0"/>
        <v>PSC</v>
      </c>
      <c r="C214" s="64" t="str">
        <f ca="1">IFERROR(__xludf.DUMMYFUNCTION("""COMPUTED_VALUE"""),"PSC06")</f>
        <v>PSC06</v>
      </c>
      <c r="D214" s="33" t="str">
        <f ca="1">IFERROR(__xludf.DUMMYFUNCTION("""COMPUTED_VALUE"""),"ASOCIADOS")</f>
        <v>ASOCIADOS</v>
      </c>
      <c r="E214" s="33">
        <f ca="1">IFERROR(__xludf.DUMMYFUNCTION("""COMPUTED_VALUE"""),2026)</f>
        <v>2026</v>
      </c>
      <c r="F214" s="56">
        <f ca="1">IFERROR(__xludf.DUMMYFUNCTION("""COMPUTED_VALUE"""),2)</f>
        <v>2</v>
      </c>
      <c r="G214" s="33" t="str">
        <f ca="1">IFERROR(__xludf.DUMMYFUNCTION("""COMPUTED_VALUE"""),"Valladolid")</f>
        <v>Valladolid</v>
      </c>
      <c r="H214" s="33" t="str">
        <f ca="1">IFERROR(__xludf.DUMMYFUNCTION("""COMPUTED_VALUE"""),"C20261141044350634")</f>
        <v>C20261141044350634</v>
      </c>
      <c r="I214" s="33" t="str">
        <f ca="1">IFERROR(__xludf.DUMMYFUNCTION("""COMPUTED_VALUE"""),"TEOFILO CAPELLAN ALONSO")</f>
        <v>TEOFILO CAPELLAN ALONSO</v>
      </c>
      <c r="J214" s="57">
        <f ca="1">IFERROR(__xludf.DUMMYFUNCTION("""COMPUTED_VALUE"""),46036)</f>
        <v>46036</v>
      </c>
      <c r="K214" s="33" t="str">
        <f ca="1">IFERROR(__xludf.DUMMYFUNCTION("""COMPUTED_VALUE"""),"Factura audífonos")</f>
        <v>Factura audífonos</v>
      </c>
      <c r="L214" s="57">
        <f ca="1">IFERROR(__xludf.DUMMYFUNCTION("""COMPUTED_VALUE"""),46076)</f>
        <v>46076</v>
      </c>
      <c r="M214" s="33" t="str">
        <f ca="1">IFERROR(__xludf.DUMMYFUNCTION("""COMPUTED_VALUE"""),"NO")</f>
        <v>NO</v>
      </c>
      <c r="N214" s="56">
        <f ca="1">IFERROR(__xludf.DUMMYFUNCTION("""COMPUTED_VALUE"""),1)</f>
        <v>1</v>
      </c>
      <c r="O214" s="33" t="str">
        <f ca="1">IFERROR(__xludf.DUMMYFUNCTION("""COMPUTED_VALUE"""),"PRO")</f>
        <v>PRO</v>
      </c>
      <c r="P214" s="60">
        <f ca="1">IFERROR(__xludf.DUMMYFUNCTION("""COMPUTED_VALUE"""),2307.27)</f>
        <v>2307.27</v>
      </c>
      <c r="Q214" s="33" t="str">
        <f ca="1">IFERROR(__xludf.DUMMYFUNCTION("""COMPUTED_VALUE"""),"Alberto Moreno")</f>
        <v>Alberto Moreno</v>
      </c>
      <c r="R214" s="60" t="str">
        <f ca="1">IFERROR(__xludf.DUMMYFUNCTION("""COMPUTED_VALUE"""),"Carlos Miguel Salvador Martínez")</f>
        <v>Carlos Miguel Salvador Martínez</v>
      </c>
      <c r="S214" s="61" t="str">
        <f ca="1">IFERROR(__xludf.DUMMYFUNCTION("""COMPUTED_VALUE"""),"03 ORL")</f>
        <v>03 ORL</v>
      </c>
      <c r="T214" s="33" t="str">
        <f ca="1">IFERROR(__xludf.DUMMYFUNCTION("""COMPUTED_VALUE"""),"06 ORL")</f>
        <v>06 ORL</v>
      </c>
      <c r="U214" s="62"/>
      <c r="W214" s="62"/>
      <c r="X214" s="62"/>
      <c r="AG214" s="60"/>
    </row>
    <row r="215" spans="1:36" ht="16">
      <c r="A215" s="33"/>
      <c r="B215" s="55" t="str">
        <f t="shared" ca="1" si="0"/>
        <v>LRM</v>
      </c>
      <c r="C215" s="64" t="str">
        <f ca="1">IFERROR(__xludf.DUMMYFUNCTION("""COMPUTED_VALUE"""),"LRM253")</f>
        <v>LRM253</v>
      </c>
      <c r="D215" s="33" t="str">
        <f ca="1">IFERROR(__xludf.DUMMYFUNCTION("""COMPUTED_VALUE"""),"ASOCIADOS")</f>
        <v>ASOCIADOS</v>
      </c>
      <c r="E215" s="33">
        <f ca="1">IFERROR(__xludf.DUMMYFUNCTION("""COMPUTED_VALUE"""),2026)</f>
        <v>2026</v>
      </c>
      <c r="F215" s="56">
        <f ca="1">IFERROR(__xludf.DUMMYFUNCTION("""COMPUTED_VALUE"""),2)</f>
        <v>2</v>
      </c>
      <c r="G215" s="33" t="str">
        <f ca="1">IFERROR(__xludf.DUMMYFUNCTION("""COMPUTED_VALUE"""),"Cáceres")</f>
        <v>Cáceres</v>
      </c>
      <c r="H215" s="33" t="str">
        <f ca="1">IFERROR(__xludf.DUMMYFUNCTION("""COMPUTED_VALUE"""),"C202612817343055326")</f>
        <v>C202612817343055326</v>
      </c>
      <c r="I215" s="33" t="str">
        <f ca="1">IFERROR(__xludf.DUMMYFUNCTION("""COMPUTED_VALUE"""),"JAVIER GARCIA VILLALON")</f>
        <v>JAVIER GARCIA VILLALON</v>
      </c>
      <c r="J215" s="57">
        <f ca="1">IFERROR(__xludf.DUMMYFUNCTION("""COMPUTED_VALUE"""),46050)</f>
        <v>46050</v>
      </c>
      <c r="K215" s="33" t="str">
        <f ca="1">IFERROR(__xludf.DUMMYFUNCTION("""COMPUTED_VALUE"""),"Factura audífonos")</f>
        <v>Factura audífonos</v>
      </c>
      <c r="L215" s="57">
        <f ca="1">IFERROR(__xludf.DUMMYFUNCTION("""COMPUTED_VALUE"""),46076)</f>
        <v>46076</v>
      </c>
      <c r="M215" s="33" t="str">
        <f ca="1">IFERROR(__xludf.DUMMYFUNCTION("""COMPUTED_VALUE"""),"NO")</f>
        <v>NO</v>
      </c>
      <c r="N215" s="56">
        <f ca="1">IFERROR(__xludf.DUMMYFUNCTION("""COMPUTED_VALUE"""),2)</f>
        <v>2</v>
      </c>
      <c r="O215" s="33" t="str">
        <f ca="1">IFERROR(__xludf.DUMMYFUNCTION("""COMPUTED_VALUE"""),"CONFORT")</f>
        <v>CONFORT</v>
      </c>
      <c r="P215" s="60">
        <f ca="1">IFERROR(__xludf.DUMMYFUNCTION("""COMPUTED_VALUE"""),3940.91)</f>
        <v>3940.91</v>
      </c>
      <c r="Q215" s="33" t="str">
        <f ca="1">IFERROR(__xludf.DUMMYFUNCTION("""COMPUTED_VALUE"""),"Lisandro Russian")</f>
        <v>Lisandro Russian</v>
      </c>
      <c r="R215" s="60" t="str">
        <f ca="1">IFERROR(__xludf.DUMMYFUNCTION("""COMPUTED_VALUE"""),"Marta García Jiménez")</f>
        <v>Marta García Jiménez</v>
      </c>
      <c r="S215" s="61" t="str">
        <f ca="1">IFERROR(__xludf.DUMMYFUNCTION("""COMPUTED_VALUE"""),"03 ORL")</f>
        <v>03 ORL</v>
      </c>
      <c r="T215" s="33" t="str">
        <f ca="1">IFERROR(__xludf.DUMMYFUNCTION("""COMPUTED_VALUE"""),"06 ORL")</f>
        <v>06 ORL</v>
      </c>
      <c r="U215" s="62"/>
      <c r="W215" s="62"/>
      <c r="X215" s="62"/>
      <c r="AG215" s="60"/>
    </row>
    <row r="216" spans="1:36" ht="16">
      <c r="A216" s="33"/>
      <c r="B216" s="55" t="str">
        <f t="shared" ca="1" si="0"/>
        <v>LAA</v>
      </c>
      <c r="C216" s="64" t="str">
        <f ca="1">IFERROR(__xludf.DUMMYFUNCTION("""COMPUTED_VALUE"""),"LAA63")</f>
        <v>LAA63</v>
      </c>
      <c r="D216" s="33" t="str">
        <f ca="1">IFERROR(__xludf.DUMMYFUNCTION("""COMPUTED_VALUE"""),"PARTICIPADOS")</f>
        <v>PARTICIPADOS</v>
      </c>
      <c r="E216" s="33">
        <f ca="1">IFERROR(__xludf.DUMMYFUNCTION("""COMPUTED_VALUE"""),2026)</f>
        <v>2026</v>
      </c>
      <c r="F216" s="56">
        <f ca="1">IFERROR(__xludf.DUMMYFUNCTION("""COMPUTED_VALUE"""),2)</f>
        <v>2</v>
      </c>
      <c r="G216" s="33" t="str">
        <f ca="1">IFERROR(__xludf.DUMMYFUNCTION("""COMPUTED_VALUE"""),"Madrid- Costa Rica")</f>
        <v>Madrid- Costa Rica</v>
      </c>
      <c r="H216" s="33" t="str">
        <f ca="1">IFERROR(__xludf.DUMMYFUNCTION("""COMPUTED_VALUE"""),"C202512181349346605")</f>
        <v>C202512181349346605</v>
      </c>
      <c r="I216" s="33" t="str">
        <f ca="1">IFERROR(__xludf.DUMMYFUNCTION("""COMPUTED_VALUE"""),"Angeles Llorens Fantova")</f>
        <v>Angeles Llorens Fantova</v>
      </c>
      <c r="J216" s="57">
        <f ca="1">IFERROR(__xludf.DUMMYFUNCTION("""COMPUTED_VALUE"""),46009)</f>
        <v>46009</v>
      </c>
      <c r="K216" s="33" t="str">
        <f ca="1">IFERROR(__xludf.DUMMYFUNCTION("""COMPUTED_VALUE"""),"Factura audífonos")</f>
        <v>Factura audífonos</v>
      </c>
      <c r="L216" s="57">
        <f ca="1">IFERROR(__xludf.DUMMYFUNCTION("""COMPUTED_VALUE"""),46076)</f>
        <v>46076</v>
      </c>
      <c r="M216" s="33" t="str">
        <f ca="1">IFERROR(__xludf.DUMMYFUNCTION("""COMPUTED_VALUE"""),"NO")</f>
        <v>NO</v>
      </c>
      <c r="N216" s="56">
        <f ca="1">IFERROR(__xludf.DUMMYFUNCTION("""COMPUTED_VALUE"""),2)</f>
        <v>2</v>
      </c>
      <c r="O216" s="33" t="str">
        <f ca="1">IFERROR(__xludf.DUMMYFUNCTION("""COMPUTED_VALUE"""),"CONFORT")</f>
        <v>CONFORT</v>
      </c>
      <c r="P216" s="59">
        <f ca="1">IFERROR(__xludf.DUMMYFUNCTION("""COMPUTED_VALUE"""),3631.82)</f>
        <v>3631.82</v>
      </c>
      <c r="Q216" s="33" t="str">
        <f ca="1">IFERROR(__xludf.DUMMYFUNCTION("""COMPUTED_VALUE"""),"Maika Blázquez")</f>
        <v>Maika Blázquez</v>
      </c>
      <c r="R216" s="60" t="str">
        <f ca="1">IFERROR(__xludf.DUMMYFUNCTION("""COMPUTED_VALUE"""),"Julio López Moya")</f>
        <v>Julio López Moya</v>
      </c>
      <c r="S216" s="61" t="str">
        <f ca="1">IFERROR(__xludf.DUMMYFUNCTION("""COMPUTED_VALUE"""),"03 ORL")</f>
        <v>03 ORL</v>
      </c>
      <c r="T216" s="33" t="str">
        <f ca="1">IFERROR(__xludf.DUMMYFUNCTION("""COMPUTED_VALUE"""),"06 ORL")</f>
        <v>06 ORL</v>
      </c>
      <c r="U216" s="62"/>
      <c r="W216" s="62"/>
      <c r="X216" s="62"/>
      <c r="AE216" s="1"/>
      <c r="AG216" s="59"/>
      <c r="AJ216" s="60"/>
    </row>
    <row r="217" spans="1:36" ht="16">
      <c r="A217" s="33"/>
      <c r="B217" s="55" t="str">
        <f t="shared" ca="1" si="0"/>
        <v>RPG</v>
      </c>
      <c r="C217" s="33" t="str">
        <f ca="1">IFERROR(__xludf.DUMMYFUNCTION("""COMPUTED_VALUE"""),"RPG37")</f>
        <v>RPG37</v>
      </c>
      <c r="D217" s="33" t="str">
        <f ca="1">IFERROR(__xludf.DUMMYFUNCTION("""COMPUTED_VALUE"""),"PARTICIPADOS")</f>
        <v>PARTICIPADOS</v>
      </c>
      <c r="E217" s="33">
        <f ca="1">IFERROR(__xludf.DUMMYFUNCTION("""COMPUTED_VALUE"""),2026)</f>
        <v>2026</v>
      </c>
      <c r="F217" s="56">
        <f ca="1">IFERROR(__xludf.DUMMYFUNCTION("""COMPUTED_VALUE"""),2)</f>
        <v>2</v>
      </c>
      <c r="G217" s="33" t="str">
        <f ca="1">IFERROR(__xludf.DUMMYFUNCTION("""COMPUTED_VALUE"""),"Ourense")</f>
        <v>Ourense</v>
      </c>
      <c r="H217" s="33" t="str">
        <f ca="1">IFERROR(__xludf.DUMMYFUNCTION("""COMPUTED_VALUE"""),"C202611413754509934")</f>
        <v>C202611413754509934</v>
      </c>
      <c r="I217" s="33" t="str">
        <f ca="1">IFERROR(__xludf.DUMMYFUNCTION("""COMPUTED_VALUE"""),"MARIA ELISA CEBREIRO FERNANDEZ")</f>
        <v>MARIA ELISA CEBREIRO FERNANDEZ</v>
      </c>
      <c r="J217" s="57">
        <f ca="1">IFERROR(__xludf.DUMMYFUNCTION("""COMPUTED_VALUE"""),46036)</f>
        <v>46036</v>
      </c>
      <c r="K217" s="33" t="str">
        <f ca="1">IFERROR(__xludf.DUMMYFUNCTION("""COMPUTED_VALUE"""),"Factura audífonos")</f>
        <v>Factura audífonos</v>
      </c>
      <c r="L217" s="57">
        <f ca="1">IFERROR(__xludf.DUMMYFUNCTION("""COMPUTED_VALUE"""),46076)</f>
        <v>46076</v>
      </c>
      <c r="M217" s="33" t="str">
        <f ca="1">IFERROR(__xludf.DUMMYFUNCTION("""COMPUTED_VALUE"""),"NO")</f>
        <v>NO</v>
      </c>
      <c r="N217" s="56">
        <f ca="1">IFERROR(__xludf.DUMMYFUNCTION("""COMPUTED_VALUE"""),1)</f>
        <v>1</v>
      </c>
      <c r="O217" s="33" t="str">
        <f ca="1">IFERROR(__xludf.DUMMYFUNCTION("""COMPUTED_VALUE"""),"ADVANCED")</f>
        <v>ADVANCED</v>
      </c>
      <c r="P217" s="60">
        <f ca="1">IFERROR(__xludf.DUMMYFUNCTION("""COMPUTED_VALUE"""),2180.91)</f>
        <v>2180.91</v>
      </c>
      <c r="Q217" s="33" t="str">
        <f ca="1">IFERROR(__xludf.DUMMYFUNCTION("""COMPUTED_VALUE"""),"Kiko Ortega")</f>
        <v>Kiko Ortega</v>
      </c>
      <c r="R217" s="60" t="str">
        <f ca="1">IFERROR(__xludf.DUMMYFUNCTION("""COMPUTED_VALUE"""),"Ana Quintana Sanjuan")</f>
        <v>Ana Quintana Sanjuan</v>
      </c>
      <c r="S217" s="61" t="str">
        <f ca="1">IFERROR(__xludf.DUMMYFUNCTION("""COMPUTED_VALUE"""),"03 ORL")</f>
        <v>03 ORL</v>
      </c>
      <c r="T217" s="33" t="str">
        <f ca="1">IFERROR(__xludf.DUMMYFUNCTION("""COMPUTED_VALUE"""),"06 ORL")</f>
        <v>06 ORL</v>
      </c>
      <c r="U217" s="62"/>
      <c r="W217" s="62"/>
      <c r="X217" s="62"/>
      <c r="AG217" s="60"/>
    </row>
    <row r="218" spans="1:36" ht="16">
      <c r="A218" s="33"/>
      <c r="B218" s="55" t="str">
        <f t="shared" ca="1" si="0"/>
        <v>ISL</v>
      </c>
      <c r="C218" s="64" t="str">
        <f ca="1">IFERROR(__xludf.DUMMYFUNCTION("""COMPUTED_VALUE"""),"ISL91")</f>
        <v>ISL91</v>
      </c>
      <c r="D218" s="33" t="str">
        <f ca="1">IFERROR(__xludf.DUMMYFUNCTION("""COMPUTED_VALUE"""),"PROPIOS")</f>
        <v>PROPIOS</v>
      </c>
      <c r="E218" s="33">
        <f ca="1">IFERROR(__xludf.DUMMYFUNCTION("""COMPUTED_VALUE"""),2026)</f>
        <v>2026</v>
      </c>
      <c r="F218" s="56">
        <f ca="1">IFERROR(__xludf.DUMMYFUNCTION("""COMPUTED_VALUE"""),2)</f>
        <v>2</v>
      </c>
      <c r="G218" s="33" t="str">
        <f ca="1">IFERROR(__xludf.DUMMYFUNCTION("""COMPUTED_VALUE"""),"Albacete")</f>
        <v>Albacete</v>
      </c>
      <c r="H218" s="33" t="str">
        <f ca="1">IFERROR(__xludf.DUMMYFUNCTION("""COMPUTED_VALUE"""),"ALB-517")</f>
        <v>ALB-517</v>
      </c>
      <c r="I218" s="33" t="str">
        <f ca="1">IFERROR(__xludf.DUMMYFUNCTION("""COMPUTED_VALUE"""),"CARLOS ENRIQUE POZUELO SOLER")</f>
        <v>CARLOS ENRIQUE POZUELO SOLER</v>
      </c>
      <c r="J218" s="57">
        <f ca="1">IFERROR(__xludf.DUMMYFUNCTION("""COMPUTED_VALUE"""),44909)</f>
        <v>44909</v>
      </c>
      <c r="K218" s="33" t="str">
        <f ca="1">IFERROR(__xludf.DUMMYFUNCTION("""COMPUTED_VALUE"""),"Factura audífonos")</f>
        <v>Factura audífonos</v>
      </c>
      <c r="L218" s="57">
        <f ca="1">IFERROR(__xludf.DUMMYFUNCTION("""COMPUTED_VALUE"""),46076)</f>
        <v>46076</v>
      </c>
      <c r="M218" s="33" t="str">
        <f ca="1">IFERROR(__xludf.DUMMYFUNCTION("""COMPUTED_VALUE"""),"NO")</f>
        <v>NO</v>
      </c>
      <c r="N218" s="56">
        <f ca="1">IFERROR(__xludf.DUMMYFUNCTION("""COMPUTED_VALUE"""),2)</f>
        <v>2</v>
      </c>
      <c r="O218" s="33" t="str">
        <f ca="1">IFERROR(__xludf.DUMMYFUNCTION("""COMPUTED_VALUE"""),"CONFORT")</f>
        <v>CONFORT</v>
      </c>
      <c r="P218" s="60">
        <f ca="1">IFERROR(__xludf.DUMMYFUNCTION("""COMPUTED_VALUE"""),3631.82)</f>
        <v>3631.82</v>
      </c>
      <c r="Q218" s="33" t="str">
        <f ca="1">IFERROR(__xludf.DUMMYFUNCTION("""COMPUTED_VALUE"""),"Iván Sánchez")</f>
        <v>Iván Sánchez</v>
      </c>
      <c r="R218" s="60" t="str">
        <f ca="1">IFERROR(__xludf.DUMMYFUNCTION("""COMPUTED_VALUE"""),"Alejandra Jara Maquilón")</f>
        <v>Alejandra Jara Maquilón</v>
      </c>
      <c r="S218" s="61" t="str">
        <f ca="1">IFERROR(__xludf.DUMMYFUNCTION("""COMPUTED_VALUE"""),"03 ORL")</f>
        <v>03 ORL</v>
      </c>
      <c r="T218" s="33" t="str">
        <f ca="1">IFERROR(__xludf.DUMMYFUNCTION("""COMPUTED_VALUE"""),"06 ORL")</f>
        <v>06 ORL</v>
      </c>
      <c r="U218" s="62"/>
      <c r="W218" s="62"/>
      <c r="X218" s="62"/>
      <c r="AG218" s="60"/>
    </row>
    <row r="219" spans="1:36" ht="16">
      <c r="A219" s="33"/>
      <c r="B219" s="55" t="str">
        <f t="shared" ca="1" si="0"/>
        <v>LRM</v>
      </c>
      <c r="C219" s="64" t="str">
        <f ca="1">IFERROR(__xludf.DUMMYFUNCTION("""COMPUTED_VALUE"""),"LRM33")</f>
        <v>LRM33</v>
      </c>
      <c r="D219" s="33" t="str">
        <f ca="1">IFERROR(__xludf.DUMMYFUNCTION("""COMPUTED_VALUE"""),"PROPIOS")</f>
        <v>PROPIOS</v>
      </c>
      <c r="E219" s="33">
        <f ca="1">IFERROR(__xludf.DUMMYFUNCTION("""COMPUTED_VALUE"""),2026)</f>
        <v>2026</v>
      </c>
      <c r="F219" s="56">
        <f ca="1">IFERROR(__xludf.DUMMYFUNCTION("""COMPUTED_VALUE"""),2)</f>
        <v>2</v>
      </c>
      <c r="G219" s="33" t="str">
        <f ca="1">IFERROR(__xludf.DUMMYFUNCTION("""COMPUTED_VALUE"""),"Toledo")</f>
        <v>Toledo</v>
      </c>
      <c r="H219" s="33" t="str">
        <f ca="1">IFERROR(__xludf.DUMMYFUNCTION("""COMPUTED_VALUE"""),"C202613012740821037")</f>
        <v>C202613012740821037</v>
      </c>
      <c r="I219" s="33" t="str">
        <f ca="1">IFERROR(__xludf.DUMMYFUNCTION("""COMPUTED_VALUE"""),"Eduardo Segura Paez")</f>
        <v>Eduardo Segura Paez</v>
      </c>
      <c r="J219" s="57">
        <f ca="1">IFERROR(__xludf.DUMMYFUNCTION("""COMPUTED_VALUE"""),46052)</f>
        <v>46052</v>
      </c>
      <c r="K219" s="33" t="str">
        <f ca="1">IFERROR(__xludf.DUMMYFUNCTION("""COMPUTED_VALUE"""),"Factura audífonos")</f>
        <v>Factura audífonos</v>
      </c>
      <c r="L219" s="57">
        <f ca="1">IFERROR(__xludf.DUMMYFUNCTION("""COMPUTED_VALUE"""),46076)</f>
        <v>46076</v>
      </c>
      <c r="M219" s="33" t="str">
        <f ca="1">IFERROR(__xludf.DUMMYFUNCTION("""COMPUTED_VALUE"""),"NO")</f>
        <v>NO</v>
      </c>
      <c r="N219" s="56">
        <f ca="1">IFERROR(__xludf.DUMMYFUNCTION("""COMPUTED_VALUE"""),2)</f>
        <v>2</v>
      </c>
      <c r="O219" s="33" t="str">
        <f ca="1">IFERROR(__xludf.DUMMYFUNCTION("""COMPUTED_VALUE"""),"QUIET")</f>
        <v>QUIET</v>
      </c>
      <c r="P219" s="59">
        <f ca="1">IFERROR(__xludf.DUMMYFUNCTION("""COMPUTED_VALUE"""),2718.18)</f>
        <v>2718.18</v>
      </c>
      <c r="Q219" s="33" t="str">
        <f ca="1">IFERROR(__xludf.DUMMYFUNCTION("""COMPUTED_VALUE"""),"Lisandro Russian")</f>
        <v>Lisandro Russian</v>
      </c>
      <c r="R219" s="60" t="str">
        <f ca="1">IFERROR(__xludf.DUMMYFUNCTION("""COMPUTED_VALUE"""),"María Eva Ruiz de Gauna Martín")</f>
        <v>María Eva Ruiz de Gauna Martín</v>
      </c>
      <c r="S219" s="61" t="str">
        <f ca="1">IFERROR(__xludf.DUMMYFUNCTION("""COMPUTED_VALUE"""),"03 ORL")</f>
        <v>03 ORL</v>
      </c>
      <c r="T219" s="33" t="str">
        <f ca="1">IFERROR(__xludf.DUMMYFUNCTION("""COMPUTED_VALUE"""),"06 ORL")</f>
        <v>06 ORL</v>
      </c>
      <c r="U219" s="62"/>
      <c r="W219" s="62"/>
      <c r="X219" s="62"/>
      <c r="AG219" s="59"/>
      <c r="AJ219" s="60"/>
    </row>
    <row r="220" spans="1:36" ht="16">
      <c r="A220" s="33"/>
      <c r="B220" s="55" t="str">
        <f t="shared" ca="1" si="0"/>
        <v>ISL</v>
      </c>
      <c r="C220" s="64" t="str">
        <f ca="1">IFERROR(__xludf.DUMMYFUNCTION("""COMPUTED_VALUE"""),"ISL14")</f>
        <v>ISL14</v>
      </c>
      <c r="D220" s="33" t="str">
        <f ca="1">IFERROR(__xludf.DUMMYFUNCTION("""COMPUTED_VALUE"""),"PROPIOS")</f>
        <v>PROPIOS</v>
      </c>
      <c r="E220" s="33">
        <f ca="1">IFERROR(__xludf.DUMMYFUNCTION("""COMPUTED_VALUE"""),2026)</f>
        <v>2026</v>
      </c>
      <c r="F220" s="56">
        <f ca="1">IFERROR(__xludf.DUMMYFUNCTION("""COMPUTED_VALUE"""),2)</f>
        <v>2</v>
      </c>
      <c r="G220" s="33" t="str">
        <f ca="1">IFERROR(__xludf.DUMMYFUNCTION("""COMPUTED_VALUE"""),"Orihuela")</f>
        <v>Orihuela</v>
      </c>
      <c r="H220" s="33" t="str">
        <f ca="1">IFERROR(__xludf.DUMMYFUNCTION("""COMPUTED_VALUE"""),"C202512291515125355")</f>
        <v>C202512291515125355</v>
      </c>
      <c r="I220" s="33" t="str">
        <f ca="1">IFERROR(__xludf.DUMMYFUNCTION("""COMPUTED_VALUE"""),"HORST HERMANN KUDERA")</f>
        <v>HORST HERMANN KUDERA</v>
      </c>
      <c r="J220" s="57">
        <f ca="1">IFERROR(__xludf.DUMMYFUNCTION("""COMPUTED_VALUE"""),46020)</f>
        <v>46020</v>
      </c>
      <c r="K220" s="33" t="str">
        <f ca="1">IFERROR(__xludf.DUMMYFUNCTION("""COMPUTED_VALUE"""),"Factura audífonos")</f>
        <v>Factura audífonos</v>
      </c>
      <c r="L220" s="57">
        <f ca="1">IFERROR(__xludf.DUMMYFUNCTION("""COMPUTED_VALUE"""),46076)</f>
        <v>46076</v>
      </c>
      <c r="M220" s="33" t="str">
        <f ca="1">IFERROR(__xludf.DUMMYFUNCTION("""COMPUTED_VALUE"""),"NO")</f>
        <v>NO</v>
      </c>
      <c r="N220" s="56">
        <f ca="1">IFERROR(__xludf.DUMMYFUNCTION("""COMPUTED_VALUE"""),2)</f>
        <v>2</v>
      </c>
      <c r="O220" s="33" t="str">
        <f ca="1">IFERROR(__xludf.DUMMYFUNCTION("""COMPUTED_VALUE"""),"ADVANCED")</f>
        <v>ADVANCED</v>
      </c>
      <c r="P220" s="59">
        <f ca="1">IFERROR(__xludf.DUMMYFUNCTION("""COMPUTED_VALUE"""),4011.82)</f>
        <v>4011.82</v>
      </c>
      <c r="Q220" s="33" t="str">
        <f ca="1">IFERROR(__xludf.DUMMYFUNCTION("""COMPUTED_VALUE"""),"Iván Sánchez")</f>
        <v>Iván Sánchez</v>
      </c>
      <c r="R220" s="60" t="str">
        <f ca="1">IFERROR(__xludf.DUMMYFUNCTION("""COMPUTED_VALUE"""),"Carlos Velásquez Fermín")</f>
        <v>Carlos Velásquez Fermín</v>
      </c>
      <c r="S220" s="61" t="str">
        <f ca="1">IFERROR(__xludf.DUMMYFUNCTION("""COMPUTED_VALUE"""),"03 ORL")</f>
        <v>03 ORL</v>
      </c>
      <c r="T220" s="33" t="str">
        <f ca="1">IFERROR(__xludf.DUMMYFUNCTION("""COMPUTED_VALUE"""),"06 ORL")</f>
        <v>06 ORL</v>
      </c>
      <c r="U220" s="62"/>
      <c r="W220" s="62"/>
      <c r="X220" s="62"/>
      <c r="AG220" s="59"/>
      <c r="AJ220" s="60"/>
    </row>
    <row r="221" spans="1:36" ht="16">
      <c r="A221" s="33"/>
      <c r="B221" s="55" t="str">
        <f t="shared" ca="1" si="0"/>
        <v>LRM</v>
      </c>
      <c r="C221" s="64" t="str">
        <f ca="1">IFERROR(__xludf.DUMMYFUNCTION("""COMPUTED_VALUE"""),"LRM96")</f>
        <v>LRM96</v>
      </c>
      <c r="D221" s="33" t="str">
        <f ca="1">IFERROR(__xludf.DUMMYFUNCTION("""COMPUTED_VALUE"""),"PROPIOS")</f>
        <v>PROPIOS</v>
      </c>
      <c r="E221" s="33">
        <f ca="1">IFERROR(__xludf.DUMMYFUNCTION("""COMPUTED_VALUE"""),2026)</f>
        <v>2026</v>
      </c>
      <c r="F221" s="56">
        <f ca="1">IFERROR(__xludf.DUMMYFUNCTION("""COMPUTED_VALUE"""),2)</f>
        <v>2</v>
      </c>
      <c r="G221" s="33" t="str">
        <f ca="1">IFERROR(__xludf.DUMMYFUNCTION("""COMPUTED_VALUE"""),"Toledo")</f>
        <v>Toledo</v>
      </c>
      <c r="H221" s="33" t="str">
        <f ca="1">IFERROR(__xludf.DUMMYFUNCTION("""COMPUTED_VALUE"""),"TOL-579")</f>
        <v>TOL-579</v>
      </c>
      <c r="I221" s="33" t="str">
        <f ca="1">IFERROR(__xludf.DUMMYFUNCTION("""COMPUTED_VALUE"""),"ELENA CARRASCO RODRÍGUEZ")</f>
        <v>ELENA CARRASCO RODRÍGUEZ</v>
      </c>
      <c r="J221" s="57">
        <f ca="1">IFERROR(__xludf.DUMMYFUNCTION("""COMPUTED_VALUE"""),45280)</f>
        <v>45280</v>
      </c>
      <c r="K221" s="33" t="str">
        <f ca="1">IFERROR(__xludf.DUMMYFUNCTION("""COMPUTED_VALUE"""),"Factura audífonos")</f>
        <v>Factura audífonos</v>
      </c>
      <c r="L221" s="57">
        <f ca="1">IFERROR(__xludf.DUMMYFUNCTION("""COMPUTED_VALUE"""),46076)</f>
        <v>46076</v>
      </c>
      <c r="M221" s="33" t="str">
        <f ca="1">IFERROR(__xludf.DUMMYFUNCTION("""COMPUTED_VALUE"""),"NO")</f>
        <v>NO</v>
      </c>
      <c r="N221" s="56">
        <f ca="1">IFERROR(__xludf.DUMMYFUNCTION("""COMPUTED_VALUE"""),1)</f>
        <v>1</v>
      </c>
      <c r="O221" s="33" t="str">
        <f ca="1">IFERROR(__xludf.DUMMYFUNCTION("""COMPUTED_VALUE"""),"QUIET")</f>
        <v>QUIET</v>
      </c>
      <c r="P221" s="59">
        <f ca="1">IFERROR(__xludf.DUMMYFUNCTION("""COMPUTED_VALUE"""),1446.59)</f>
        <v>1446.59</v>
      </c>
      <c r="Q221" s="33" t="str">
        <f ca="1">IFERROR(__xludf.DUMMYFUNCTION("""COMPUTED_VALUE"""),"Lisandro Russian")</f>
        <v>Lisandro Russian</v>
      </c>
      <c r="R221" s="60" t="str">
        <f ca="1">IFERROR(__xludf.DUMMYFUNCTION("""COMPUTED_VALUE"""),"Luis Miguel Menéndez Colino")</f>
        <v>Luis Miguel Menéndez Colino</v>
      </c>
      <c r="S221" s="61" t="str">
        <f ca="1">IFERROR(__xludf.DUMMYFUNCTION("""COMPUTED_VALUE"""),"03 ORL")</f>
        <v>03 ORL</v>
      </c>
      <c r="T221" s="33" t="str">
        <f ca="1">IFERROR(__xludf.DUMMYFUNCTION("""COMPUTED_VALUE"""),"06 ORL")</f>
        <v>06 ORL</v>
      </c>
      <c r="U221" s="62"/>
      <c r="W221" s="62"/>
      <c r="X221" s="62"/>
      <c r="AG221" s="60"/>
      <c r="AJ221" s="60"/>
    </row>
    <row r="222" spans="1:36" ht="16">
      <c r="A222" s="33"/>
      <c r="B222" s="55" t="str">
        <f t="shared" ca="1" si="0"/>
        <v>PSC</v>
      </c>
      <c r="C222" s="64" t="str">
        <f ca="1">IFERROR(__xludf.DUMMYFUNCTION("""COMPUTED_VALUE"""),"PSC31")</f>
        <v>PSC31</v>
      </c>
      <c r="D222" s="33" t="str">
        <f ca="1">IFERROR(__xludf.DUMMYFUNCTION("""COMPUTED_VALUE"""),"ASOCIADOS")</f>
        <v>ASOCIADOS</v>
      </c>
      <c r="E222" s="33">
        <f ca="1">IFERROR(__xludf.DUMMYFUNCTION("""COMPUTED_VALUE"""),2026)</f>
        <v>2026</v>
      </c>
      <c r="F222" s="56">
        <f ca="1">IFERROR(__xludf.DUMMYFUNCTION("""COMPUTED_VALUE"""),2)</f>
        <v>2</v>
      </c>
      <c r="G222" s="33" t="str">
        <f ca="1">IFERROR(__xludf.DUMMYFUNCTION("""COMPUTED_VALUE"""),"Valladolid")</f>
        <v>Valladolid</v>
      </c>
      <c r="H222" s="33" t="str">
        <f ca="1">IFERROR(__xludf.DUMMYFUNCTION("""COMPUTED_VALUE"""),"C202512291733414502")</f>
        <v>C202512291733414502</v>
      </c>
      <c r="I222" s="33" t="str">
        <f ca="1">IFERROR(__xludf.DUMMYFUNCTION("""COMPUTED_VALUE"""),"MARIA ANGELES NEGRO VALLECILLO")</f>
        <v>MARIA ANGELES NEGRO VALLECILLO</v>
      </c>
      <c r="J222" s="57">
        <f ca="1">IFERROR(__xludf.DUMMYFUNCTION("""COMPUTED_VALUE"""),46020)</f>
        <v>46020</v>
      </c>
      <c r="K222" s="33" t="str">
        <f ca="1">IFERROR(__xludf.DUMMYFUNCTION("""COMPUTED_VALUE"""),"Factura audífonos")</f>
        <v>Factura audífonos</v>
      </c>
      <c r="L222" s="57">
        <f ca="1">IFERROR(__xludf.DUMMYFUNCTION("""COMPUTED_VALUE"""),46076)</f>
        <v>46076</v>
      </c>
      <c r="M222" s="33" t="str">
        <f ca="1">IFERROR(__xludf.DUMMYFUNCTION("""COMPUTED_VALUE"""),"NO")</f>
        <v>NO</v>
      </c>
      <c r="N222" s="56">
        <f ca="1">IFERROR(__xludf.DUMMYFUNCTION("""COMPUTED_VALUE"""),2)</f>
        <v>2</v>
      </c>
      <c r="O222" s="33" t="str">
        <f ca="1">IFERROR(__xludf.DUMMYFUNCTION("""COMPUTED_VALUE"""),"PRO")</f>
        <v>PRO</v>
      </c>
      <c r="P222" s="60">
        <f ca="1">IFERROR(__xludf.DUMMYFUNCTION("""COMPUTED_VALUE"""),4431.82)</f>
        <v>4431.82</v>
      </c>
      <c r="Q222" s="33" t="str">
        <f ca="1">IFERROR(__xludf.DUMMYFUNCTION("""COMPUTED_VALUE"""),"Alberto Moreno")</f>
        <v>Alberto Moreno</v>
      </c>
      <c r="R222" s="60" t="str">
        <f ca="1">IFERROR(__xludf.DUMMYFUNCTION("""COMPUTED_VALUE"""),"Ana Fernández Rodríguez")</f>
        <v>Ana Fernández Rodríguez</v>
      </c>
      <c r="S222" s="61" t="str">
        <f ca="1">IFERROR(__xludf.DUMMYFUNCTION("""COMPUTED_VALUE"""),"03 ORL")</f>
        <v>03 ORL</v>
      </c>
      <c r="T222" s="33" t="str">
        <f ca="1">IFERROR(__xludf.DUMMYFUNCTION("""COMPUTED_VALUE"""),"06 ORL")</f>
        <v>06 ORL</v>
      </c>
      <c r="U222" s="62"/>
      <c r="W222" s="62"/>
      <c r="X222" s="62"/>
      <c r="AG222" s="59"/>
    </row>
    <row r="223" spans="1:36" ht="16">
      <c r="A223" s="33"/>
      <c r="B223" s="55" t="str">
        <f t="shared" ca="1" si="0"/>
        <v>RFV</v>
      </c>
      <c r="C223" s="64" t="str">
        <f ca="1">IFERROR(__xludf.DUMMYFUNCTION("""COMPUTED_VALUE"""),"RFV26")</f>
        <v>RFV26</v>
      </c>
      <c r="D223" s="33" t="str">
        <f ca="1">IFERROR(__xludf.DUMMYFUNCTION("""COMPUTED_VALUE"""),"PROPIOS")</f>
        <v>PROPIOS</v>
      </c>
      <c r="E223" s="33">
        <f ca="1">IFERROR(__xludf.DUMMYFUNCTION("""COMPUTED_VALUE"""),2026)</f>
        <v>2026</v>
      </c>
      <c r="F223" s="56">
        <f ca="1">IFERROR(__xludf.DUMMYFUNCTION("""COMPUTED_VALUE"""),2)</f>
        <v>2</v>
      </c>
      <c r="G223" s="33" t="str">
        <f ca="1">IFERROR(__xludf.DUMMYFUNCTION("""COMPUTED_VALUE"""),"Valencia- Cádiz")</f>
        <v>Valencia- Cádiz</v>
      </c>
      <c r="H223" s="33" t="str">
        <f ca="1">IFERROR(__xludf.DUMMYFUNCTION("""COMPUTED_VALUE"""),"C202611210232134460")</f>
        <v>C202611210232134460</v>
      </c>
      <c r="I223" s="33" t="str">
        <f ca="1">IFERROR(__xludf.DUMMYFUNCTION("""COMPUTED_VALUE"""),"ANTONIO MARTINEZ NAVARRO")</f>
        <v>ANTONIO MARTINEZ NAVARRO</v>
      </c>
      <c r="J223" s="57">
        <f ca="1">IFERROR(__xludf.DUMMYFUNCTION("""COMPUTED_VALUE"""),46034)</f>
        <v>46034</v>
      </c>
      <c r="K223" s="33" t="str">
        <f ca="1">IFERROR(__xludf.DUMMYFUNCTION("""COMPUTED_VALUE"""),"Factura audífonos")</f>
        <v>Factura audífonos</v>
      </c>
      <c r="L223" s="57">
        <f ca="1">IFERROR(__xludf.DUMMYFUNCTION("""COMPUTED_VALUE"""),46076)</f>
        <v>46076</v>
      </c>
      <c r="M223" s="33" t="str">
        <f ca="1">IFERROR(__xludf.DUMMYFUNCTION("""COMPUTED_VALUE"""),"NO")</f>
        <v>NO</v>
      </c>
      <c r="N223" s="56">
        <f ca="1">IFERROR(__xludf.DUMMYFUNCTION("""COMPUTED_VALUE"""),2)</f>
        <v>2</v>
      </c>
      <c r="O223" s="33" t="str">
        <f ca="1">IFERROR(__xludf.DUMMYFUNCTION("""COMPUTED_VALUE"""),"QUIET")</f>
        <v>QUIET</v>
      </c>
      <c r="P223" s="59">
        <f ca="1">IFERROR(__xludf.DUMMYFUNCTION("""COMPUTED_VALUE"""),2718.18)</f>
        <v>2718.18</v>
      </c>
      <c r="Q223" s="33" t="str">
        <f ca="1">IFERROR(__xludf.DUMMYFUNCTION("""COMPUTED_VALUE"""),"Ramon Ferrando")</f>
        <v>Ramon Ferrando</v>
      </c>
      <c r="R223" s="60" t="str">
        <f ca="1">IFERROR(__xludf.DUMMYFUNCTION("""COMPUTED_VALUE"""),"Ainhoa García-Lliberos de Miguel")</f>
        <v>Ainhoa García-Lliberos de Miguel</v>
      </c>
      <c r="S223" s="61" t="str">
        <f ca="1">IFERROR(__xludf.DUMMYFUNCTION("""COMPUTED_VALUE"""),"03 ORL")</f>
        <v>03 ORL</v>
      </c>
      <c r="T223" s="33" t="str">
        <f ca="1">IFERROR(__xludf.DUMMYFUNCTION("""COMPUTED_VALUE"""),"06 ORL")</f>
        <v>06 ORL</v>
      </c>
      <c r="U223" s="62"/>
      <c r="W223" s="62"/>
      <c r="X223" s="62"/>
      <c r="AG223" s="59"/>
      <c r="AJ223" s="60"/>
    </row>
    <row r="224" spans="1:36" ht="16">
      <c r="A224" s="33"/>
      <c r="B224" s="55" t="str">
        <f t="shared" si="0"/>
        <v/>
      </c>
      <c r="C224" s="64"/>
      <c r="D224" s="33" t="str">
        <f ca="1">IFERROR(__xludf.DUMMYFUNCTION("""COMPUTED_VALUE"""),"PROPIOS")</f>
        <v>PROPIOS</v>
      </c>
      <c r="E224" s="33">
        <f ca="1">IFERROR(__xludf.DUMMYFUNCTION("""COMPUTED_VALUE"""),2026)</f>
        <v>2026</v>
      </c>
      <c r="F224" s="56">
        <f ca="1">IFERROR(__xludf.DUMMYFUNCTION("""COMPUTED_VALUE"""),2)</f>
        <v>2</v>
      </c>
      <c r="G224" s="33" t="str">
        <f ca="1">IFERROR(__xludf.DUMMYFUNCTION("""COMPUTED_VALUE"""),"Valencia- Parra")</f>
        <v>Valencia- Parra</v>
      </c>
      <c r="H224" s="33" t="str">
        <f ca="1">IFERROR(__xludf.DUMMYFUNCTION("""COMPUTED_VALUE"""),"C202512159325964174")</f>
        <v>C202512159325964174</v>
      </c>
      <c r="I224" s="33" t="str">
        <f ca="1">IFERROR(__xludf.DUMMYFUNCTION("""COMPUTED_VALUE"""),"ENCARNA GOMEZ LORENTE")</f>
        <v>ENCARNA GOMEZ LORENTE</v>
      </c>
      <c r="J224" s="57">
        <f ca="1">IFERROR(__xludf.DUMMYFUNCTION("""COMPUTED_VALUE"""),46006)</f>
        <v>46006</v>
      </c>
      <c r="K224" s="33" t="str">
        <f ca="1">IFERROR(__xludf.DUMMYFUNCTION("""COMPUTED_VALUE"""),"Factura audífonos")</f>
        <v>Factura audífonos</v>
      </c>
      <c r="L224" s="57">
        <f ca="1">IFERROR(__xludf.DUMMYFUNCTION("""COMPUTED_VALUE"""),46077)</f>
        <v>46077</v>
      </c>
      <c r="M224" s="33" t="str">
        <f ca="1">IFERROR(__xludf.DUMMYFUNCTION("""COMPUTED_VALUE"""),"NO")</f>
        <v>NO</v>
      </c>
      <c r="N224" s="56">
        <f ca="1">IFERROR(__xludf.DUMMYFUNCTION("""COMPUTED_VALUE"""),2)</f>
        <v>2</v>
      </c>
      <c r="O224" s="33" t="str">
        <f ca="1">IFERROR(__xludf.DUMMYFUNCTION("""COMPUTED_VALUE"""),"PRO")</f>
        <v>PRO</v>
      </c>
      <c r="P224" s="60">
        <f ca="1">IFERROR(__xludf.DUMMYFUNCTION("""COMPUTED_VALUE"""),4400)</f>
        <v>4400</v>
      </c>
      <c r="Q224" s="33" t="str">
        <f ca="1">IFERROR(__xludf.DUMMYFUNCTION("""COMPUTED_VALUE"""),"Ramon Ferrando")</f>
        <v>Ramon Ferrando</v>
      </c>
      <c r="R224" s="60" t="str">
        <f ca="1">IFERROR(__xludf.DUMMYFUNCTION("""COMPUTED_VALUE"""),"No recuerda ORL")</f>
        <v>No recuerda ORL</v>
      </c>
      <c r="S224" s="61" t="str">
        <f ca="1">IFERROR(__xludf.DUMMYFUNCTION("""COMPUTED_VALUE"""),"03 ORL")</f>
        <v>03 ORL</v>
      </c>
      <c r="T224" s="33" t="str">
        <f ca="1">IFERROR(__xludf.DUMMYFUNCTION("""COMPUTED_VALUE"""),"06 ORL")</f>
        <v>06 ORL</v>
      </c>
      <c r="U224" s="62"/>
      <c r="W224" s="62"/>
      <c r="X224" s="62"/>
      <c r="AG224" s="60"/>
      <c r="AJ224" s="60"/>
    </row>
    <row r="225" spans="1:33" ht="16">
      <c r="A225" s="33"/>
      <c r="B225" s="55" t="str">
        <f t="shared" ca="1" si="0"/>
        <v>ISL</v>
      </c>
      <c r="C225" s="64" t="str">
        <f ca="1">IFERROR(__xludf.DUMMYFUNCTION("""COMPUTED_VALUE"""),"ISL34")</f>
        <v>ISL34</v>
      </c>
      <c r="D225" s="33" t="str">
        <f ca="1">IFERROR(__xludf.DUMMYFUNCTION("""COMPUTED_VALUE"""),"PROPIOS")</f>
        <v>PROPIOS</v>
      </c>
      <c r="E225" s="33">
        <f ca="1">IFERROR(__xludf.DUMMYFUNCTION("""COMPUTED_VALUE"""),2026)</f>
        <v>2026</v>
      </c>
      <c r="F225" s="56">
        <f ca="1">IFERROR(__xludf.DUMMYFUNCTION("""COMPUTED_VALUE"""),2)</f>
        <v>2</v>
      </c>
      <c r="G225" s="33" t="str">
        <f ca="1">IFERROR(__xludf.DUMMYFUNCTION("""COMPUTED_VALUE"""),"Alicante")</f>
        <v>Alicante</v>
      </c>
      <c r="H225" s="33" t="str">
        <f ca="1">IFERROR(__xludf.DUMMYFUNCTION("""COMPUTED_VALUE"""),"C202612792335023888")</f>
        <v>C202612792335023888</v>
      </c>
      <c r="I225" s="33" t="str">
        <f ca="1">IFERROR(__xludf.DUMMYFUNCTION("""COMPUTED_VALUE"""),"JOSE ANTONIO SERRA AGULLO")</f>
        <v>JOSE ANTONIO SERRA AGULLO</v>
      </c>
      <c r="J225" s="57">
        <f ca="1">IFERROR(__xludf.DUMMYFUNCTION("""COMPUTED_VALUE"""),46049)</f>
        <v>46049</v>
      </c>
      <c r="K225" s="33" t="str">
        <f ca="1">IFERROR(__xludf.DUMMYFUNCTION("""COMPUTED_VALUE"""),"Factura audífonos")</f>
        <v>Factura audífonos</v>
      </c>
      <c r="L225" s="57">
        <f ca="1">IFERROR(__xludf.DUMMYFUNCTION("""COMPUTED_VALUE"""),46077)</f>
        <v>46077</v>
      </c>
      <c r="M225" s="33" t="str">
        <f ca="1">IFERROR(__xludf.DUMMYFUNCTION("""COMPUTED_VALUE"""),"NO")</f>
        <v>NO</v>
      </c>
      <c r="N225" s="56">
        <f ca="1">IFERROR(__xludf.DUMMYFUNCTION("""COMPUTED_VALUE"""),1)</f>
        <v>1</v>
      </c>
      <c r="O225" s="33" t="str">
        <f ca="1">IFERROR(__xludf.DUMMYFUNCTION("""COMPUTED_VALUE"""),"ADVANCED")</f>
        <v>ADVANCED</v>
      </c>
      <c r="P225" s="60">
        <f ca="1">IFERROR(__xludf.DUMMYFUNCTION("""COMPUTED_VALUE"""),2481.82)</f>
        <v>2481.8200000000002</v>
      </c>
      <c r="Q225" s="33" t="str">
        <f ca="1">IFERROR(__xludf.DUMMYFUNCTION("""COMPUTED_VALUE"""),"Iván Sánchez")</f>
        <v>Iván Sánchez</v>
      </c>
      <c r="R225" s="60" t="str">
        <f ca="1">IFERROR(__xludf.DUMMYFUNCTION("""COMPUTED_VALUE"""),"Francisco Pastor Beviá")</f>
        <v>Francisco Pastor Beviá</v>
      </c>
      <c r="S225" s="61" t="str">
        <f ca="1">IFERROR(__xludf.DUMMYFUNCTION("""COMPUTED_VALUE"""),"03 ORL")</f>
        <v>03 ORL</v>
      </c>
      <c r="T225" s="33" t="str">
        <f ca="1">IFERROR(__xludf.DUMMYFUNCTION("""COMPUTED_VALUE"""),"06 ORL")</f>
        <v>06 ORL</v>
      </c>
      <c r="U225" s="62"/>
      <c r="W225" s="62"/>
      <c r="X225" s="62"/>
      <c r="AG225" s="60"/>
    </row>
    <row r="226" spans="1:33" ht="16">
      <c r="A226" s="33"/>
      <c r="B226" s="55" t="str">
        <f t="shared" ca="1" si="0"/>
        <v>ISL</v>
      </c>
      <c r="C226" s="64" t="str">
        <f ca="1">IFERROR(__xludf.DUMMYFUNCTION("""COMPUTED_VALUE"""),"ISL54")</f>
        <v>ISL54</v>
      </c>
      <c r="D226" s="33" t="str">
        <f ca="1">IFERROR(__xludf.DUMMYFUNCTION("""COMPUTED_VALUE"""),"PROPIOS")</f>
        <v>PROPIOS</v>
      </c>
      <c r="E226" s="33">
        <f ca="1">IFERROR(__xludf.DUMMYFUNCTION("""COMPUTED_VALUE"""),2026)</f>
        <v>2026</v>
      </c>
      <c r="F226" s="56">
        <f ca="1">IFERROR(__xludf.DUMMYFUNCTION("""COMPUTED_VALUE"""),2)</f>
        <v>2</v>
      </c>
      <c r="G226" s="33" t="str">
        <f ca="1">IFERROR(__xludf.DUMMYFUNCTION("""COMPUTED_VALUE"""),"El Albir (Benidorm)")</f>
        <v>El Albir (Benidorm)</v>
      </c>
      <c r="H226" s="33" t="str">
        <f ca="1">IFERROR(__xludf.DUMMYFUNCTION("""COMPUTED_VALUE"""),"C202612111181255673")</f>
        <v>C202612111181255673</v>
      </c>
      <c r="I226" s="33" t="str">
        <f ca="1">IFERROR(__xludf.DUMMYFUNCTION("""COMPUTED_VALUE"""),"EUSEBIO DURAN POLAINO")</f>
        <v>EUSEBIO DURAN POLAINO</v>
      </c>
      <c r="J226" s="57">
        <f ca="1">IFERROR(__xludf.DUMMYFUNCTION("""COMPUTED_VALUE"""),46043)</f>
        <v>46043</v>
      </c>
      <c r="K226" s="33" t="str">
        <f ca="1">IFERROR(__xludf.DUMMYFUNCTION("""COMPUTED_VALUE"""),"Factura audífonos")</f>
        <v>Factura audífonos</v>
      </c>
      <c r="L226" s="57">
        <f ca="1">IFERROR(__xludf.DUMMYFUNCTION("""COMPUTED_VALUE"""),46077)</f>
        <v>46077</v>
      </c>
      <c r="M226" s="33" t="str">
        <f ca="1">IFERROR(__xludf.DUMMYFUNCTION("""COMPUTED_VALUE"""),"NO")</f>
        <v>NO</v>
      </c>
      <c r="N226" s="56">
        <f ca="1">IFERROR(__xludf.DUMMYFUNCTION("""COMPUTED_VALUE"""),2)</f>
        <v>2</v>
      </c>
      <c r="O226" s="33" t="str">
        <f ca="1">IFERROR(__xludf.DUMMYFUNCTION("""COMPUTED_VALUE"""),"ADVANCED")</f>
        <v>ADVANCED</v>
      </c>
      <c r="P226" s="60">
        <f ca="1">IFERROR(__xludf.DUMMYFUNCTION("""COMPUTED_VALUE"""),4136.36)</f>
        <v>4136.3599999999997</v>
      </c>
      <c r="Q226" s="33" t="str">
        <f ca="1">IFERROR(__xludf.DUMMYFUNCTION("""COMPUTED_VALUE"""),"Ramon Ferrando")</f>
        <v>Ramon Ferrando</v>
      </c>
      <c r="R226" s="60" t="str">
        <f ca="1">IFERROR(__xludf.DUMMYFUNCTION("""COMPUTED_VALUE"""),"José María Laborda Margolles")</f>
        <v>José María Laborda Margolles</v>
      </c>
      <c r="S226" s="61" t="str">
        <f ca="1">IFERROR(__xludf.DUMMYFUNCTION("""COMPUTED_VALUE"""),"03 ORL")</f>
        <v>03 ORL</v>
      </c>
      <c r="T226" s="33" t="str">
        <f ca="1">IFERROR(__xludf.DUMMYFUNCTION("""COMPUTED_VALUE"""),"06 ORL")</f>
        <v>06 ORL</v>
      </c>
      <c r="U226" s="62"/>
      <c r="W226" s="62"/>
      <c r="X226" s="62"/>
      <c r="AG226" s="60"/>
    </row>
    <row r="227" spans="1:33" ht="16">
      <c r="B227" s="55" t="str">
        <f t="shared" ca="1" si="0"/>
        <v>ISL</v>
      </c>
      <c r="C227" s="64" t="str">
        <f ca="1">IFERROR(__xludf.DUMMYFUNCTION("""COMPUTED_VALUE"""),"ISL19")</f>
        <v>ISL19</v>
      </c>
      <c r="D227" s="33" t="str">
        <f ca="1">IFERROR(__xludf.DUMMYFUNCTION("""COMPUTED_VALUE"""),"PROPIOS")</f>
        <v>PROPIOS</v>
      </c>
      <c r="E227" s="33">
        <f ca="1">IFERROR(__xludf.DUMMYFUNCTION("""COMPUTED_VALUE"""),2026)</f>
        <v>2026</v>
      </c>
      <c r="F227" s="56">
        <f ca="1">IFERROR(__xludf.DUMMYFUNCTION("""COMPUTED_VALUE"""),2)</f>
        <v>2</v>
      </c>
      <c r="G227" s="33" t="str">
        <f ca="1">IFERROR(__xludf.DUMMYFUNCTION("""COMPUTED_VALUE"""),"San Javier")</f>
        <v>San Javier</v>
      </c>
      <c r="H227" s="33" t="str">
        <f ca="1">IFERROR(__xludf.DUMMYFUNCTION("""COMPUTED_VALUE"""),"C20262109335839729")</f>
        <v>C20262109335839729</v>
      </c>
      <c r="I227" s="33" t="str">
        <f ca="1">IFERROR(__xludf.DUMMYFUNCTION("""COMPUTED_VALUE"""),"JOSE ANTONIO SANCHEZ LORCA")</f>
        <v>JOSE ANTONIO SANCHEZ LORCA</v>
      </c>
      <c r="J227" s="57">
        <f ca="1">IFERROR(__xludf.DUMMYFUNCTION("""COMPUTED_VALUE"""),46063)</f>
        <v>46063</v>
      </c>
      <c r="K227" s="33" t="str">
        <f ca="1">IFERROR(__xludf.DUMMYFUNCTION("""COMPUTED_VALUE"""),"Factura audífonos")</f>
        <v>Factura audífonos</v>
      </c>
      <c r="L227" s="57">
        <f ca="1">IFERROR(__xludf.DUMMYFUNCTION("""COMPUTED_VALUE"""),46077)</f>
        <v>46077</v>
      </c>
      <c r="M227" s="64" t="str">
        <f ca="1">IFERROR(__xludf.DUMMYFUNCTION("""COMPUTED_VALUE"""),"NO")</f>
        <v>NO</v>
      </c>
      <c r="N227" s="56">
        <f ca="1">IFERROR(__xludf.DUMMYFUNCTION("""COMPUTED_VALUE"""),2)</f>
        <v>2</v>
      </c>
      <c r="O227" s="64" t="str">
        <f ca="1">IFERROR(__xludf.DUMMYFUNCTION("""COMPUTED_VALUE"""),"CONFORT")</f>
        <v>CONFORT</v>
      </c>
      <c r="P227" s="62">
        <f ca="1">IFERROR(__xludf.DUMMYFUNCTION("""COMPUTED_VALUE"""),3631.82)</f>
        <v>3631.82</v>
      </c>
      <c r="Q227" s="33" t="str">
        <f ca="1">IFERROR(__xludf.DUMMYFUNCTION("""COMPUTED_VALUE"""),"Iván Sánchez")</f>
        <v>Iván Sánchez</v>
      </c>
      <c r="R227" s="33" t="str">
        <f ca="1">IFERROR(__xludf.DUMMYFUNCTION("""COMPUTED_VALUE"""),"Dinis Antunes Silva")</f>
        <v>Dinis Antunes Silva</v>
      </c>
      <c r="S227" s="61" t="str">
        <f ca="1">IFERROR(__xludf.DUMMYFUNCTION("""COMPUTED_VALUE"""),"03 ORL")</f>
        <v>03 ORL</v>
      </c>
      <c r="T227" s="33" t="str">
        <f ca="1">IFERROR(__xludf.DUMMYFUNCTION("""COMPUTED_VALUE"""),"06 ORL")</f>
        <v>06 ORL</v>
      </c>
      <c r="U227" s="62"/>
      <c r="W227" s="62"/>
      <c r="X227" s="62"/>
    </row>
    <row r="228" spans="1:33" ht="16">
      <c r="B228" s="55" t="str">
        <f t="shared" ca="1" si="0"/>
        <v>MBM</v>
      </c>
      <c r="C228" s="64" t="str">
        <f ca="1">IFERROR(__xludf.DUMMYFUNCTION("""COMPUTED_VALUE"""),"MBM117")</f>
        <v>MBM117</v>
      </c>
      <c r="D228" s="33" t="str">
        <f ca="1">IFERROR(__xludf.DUMMYFUNCTION("""COMPUTED_VALUE"""),"PROPIOS")</f>
        <v>PROPIOS</v>
      </c>
      <c r="E228" s="33">
        <f ca="1">IFERROR(__xludf.DUMMYFUNCTION("""COMPUTED_VALUE"""),2026)</f>
        <v>2026</v>
      </c>
      <c r="F228" s="56">
        <f ca="1">IFERROR(__xludf.DUMMYFUNCTION("""COMPUTED_VALUE"""),2)</f>
        <v>2</v>
      </c>
      <c r="G228" s="33" t="str">
        <f ca="1">IFERROR(__xludf.DUMMYFUNCTION("""COMPUTED_VALUE"""),"Madrid- Juan Bravo")</f>
        <v>Madrid- Juan Bravo</v>
      </c>
      <c r="H228" s="33" t="str">
        <f ca="1">IFERROR(__xludf.DUMMYFUNCTION("""COMPUTED_VALUE"""),"C202611283024414467")</f>
        <v>C202611283024414467</v>
      </c>
      <c r="I228" s="33" t="str">
        <f ca="1">IFERROR(__xludf.DUMMYFUNCTION("""COMPUTED_VALUE"""),"MANUELA  PERTIERRA ALVAREZ")</f>
        <v>MANUELA  PERTIERRA ALVAREZ</v>
      </c>
      <c r="J228" s="57">
        <f ca="1">IFERROR(__xludf.DUMMYFUNCTION("""COMPUTED_VALUE"""),46034)</f>
        <v>46034</v>
      </c>
      <c r="K228" s="33" t="str">
        <f ca="1">IFERROR(__xludf.DUMMYFUNCTION("""COMPUTED_VALUE"""),"Factura audífonos")</f>
        <v>Factura audífonos</v>
      </c>
      <c r="L228" s="57">
        <f ca="1">IFERROR(__xludf.DUMMYFUNCTION("""COMPUTED_VALUE"""),46077)</f>
        <v>46077</v>
      </c>
      <c r="M228" s="64" t="str">
        <f ca="1">IFERROR(__xludf.DUMMYFUNCTION("""COMPUTED_VALUE"""),"NO")</f>
        <v>NO</v>
      </c>
      <c r="N228" s="56">
        <f ca="1">IFERROR(__xludf.DUMMYFUNCTION("""COMPUTED_VALUE"""),2)</f>
        <v>2</v>
      </c>
      <c r="O228" s="64" t="str">
        <f ca="1">IFERROR(__xludf.DUMMYFUNCTION("""COMPUTED_VALUE"""),"QUIET")</f>
        <v>QUIET</v>
      </c>
      <c r="P228" s="62">
        <f ca="1">IFERROR(__xludf.DUMMYFUNCTION("""COMPUTED_VALUE"""),2581.82)</f>
        <v>2581.8200000000002</v>
      </c>
      <c r="Q228" s="33" t="str">
        <f ca="1">IFERROR(__xludf.DUMMYFUNCTION("""COMPUTED_VALUE"""),"Maika Blázquez")</f>
        <v>Maika Blázquez</v>
      </c>
      <c r="R228" s="33" t="str">
        <f ca="1">IFERROR(__xludf.DUMMYFUNCTION("""COMPUTED_VALUE"""),"Helena Moreno Pardo")</f>
        <v>Helena Moreno Pardo</v>
      </c>
      <c r="S228" s="61" t="str">
        <f ca="1">IFERROR(__xludf.DUMMYFUNCTION("""COMPUTED_VALUE"""),"03 ORL")</f>
        <v>03 ORL</v>
      </c>
      <c r="T228" s="33" t="str">
        <f ca="1">IFERROR(__xludf.DUMMYFUNCTION("""COMPUTED_VALUE"""),"06 ORL")</f>
        <v>06 ORL</v>
      </c>
      <c r="U228" s="62"/>
      <c r="W228" s="62"/>
      <c r="X228" s="62"/>
    </row>
    <row r="229" spans="1:33" ht="16">
      <c r="B229" s="55" t="str">
        <f t="shared" ca="1" si="0"/>
        <v>ISL</v>
      </c>
      <c r="C229" s="64" t="str">
        <f ca="1">IFERROR(__xludf.DUMMYFUNCTION("""COMPUTED_VALUE"""),"ISL54")</f>
        <v>ISL54</v>
      </c>
      <c r="D229" s="33" t="str">
        <f ca="1">IFERROR(__xludf.DUMMYFUNCTION("""COMPUTED_VALUE"""),"PROPIOS")</f>
        <v>PROPIOS</v>
      </c>
      <c r="E229" s="33">
        <f ca="1">IFERROR(__xludf.DUMMYFUNCTION("""COMPUTED_VALUE"""),2026)</f>
        <v>2026</v>
      </c>
      <c r="F229" s="56">
        <f ca="1">IFERROR(__xludf.DUMMYFUNCTION("""COMPUTED_VALUE"""),2)</f>
        <v>2</v>
      </c>
      <c r="G229" s="33" t="str">
        <f ca="1">IFERROR(__xludf.DUMMYFUNCTION("""COMPUTED_VALUE"""),"El Albir (Benidorm)")</f>
        <v>El Albir (Benidorm)</v>
      </c>
      <c r="H229" s="33" t="str">
        <f ca="1">IFERROR(__xludf.DUMMYFUNCTION("""COMPUTED_VALUE"""),"C202512101113257912")</f>
        <v>C202512101113257912</v>
      </c>
      <c r="I229" s="33" t="str">
        <f ca="1">IFERROR(__xludf.DUMMYFUNCTION("""COMPUTED_VALUE"""),"IVAN  DE LA OSSA RODRIGUEZ")</f>
        <v>IVAN  DE LA OSSA RODRIGUEZ</v>
      </c>
      <c r="J229" s="57">
        <f ca="1">IFERROR(__xludf.DUMMYFUNCTION("""COMPUTED_VALUE"""),46001)</f>
        <v>46001</v>
      </c>
      <c r="K229" s="33" t="str">
        <f ca="1">IFERROR(__xludf.DUMMYFUNCTION("""COMPUTED_VALUE"""),"Factura audífonos")</f>
        <v>Factura audífonos</v>
      </c>
      <c r="L229" s="57">
        <f ca="1">IFERROR(__xludf.DUMMYFUNCTION("""COMPUTED_VALUE"""),46077)</f>
        <v>46077</v>
      </c>
      <c r="M229" s="58" t="str">
        <f ca="1">IFERROR(__xludf.DUMMYFUNCTION("""COMPUTED_VALUE"""),"NO")</f>
        <v>NO</v>
      </c>
      <c r="N229" s="56">
        <f ca="1">IFERROR(__xludf.DUMMYFUNCTION("""COMPUTED_VALUE"""),2)</f>
        <v>2</v>
      </c>
      <c r="O229" s="64" t="str">
        <f ca="1">IFERROR(__xludf.DUMMYFUNCTION("""COMPUTED_VALUE"""),"QUIET")</f>
        <v>QUIET</v>
      </c>
      <c r="P229" s="62">
        <f ca="1">IFERROR(__xludf.DUMMYFUNCTION("""COMPUTED_VALUE"""),2582.27)</f>
        <v>2582.27</v>
      </c>
      <c r="Q229" s="33" t="str">
        <f ca="1">IFERROR(__xludf.DUMMYFUNCTION("""COMPUTED_VALUE"""),"Ramon Ferrando")</f>
        <v>Ramon Ferrando</v>
      </c>
      <c r="R229" s="33" t="str">
        <f ca="1">IFERROR(__xludf.DUMMYFUNCTION("""COMPUTED_VALUE"""),"José María Laborda Margolles")</f>
        <v>José María Laborda Margolles</v>
      </c>
      <c r="S229" s="61" t="str">
        <f ca="1">IFERROR(__xludf.DUMMYFUNCTION("""COMPUTED_VALUE"""),"03 ORL")</f>
        <v>03 ORL</v>
      </c>
      <c r="T229" s="33" t="str">
        <f ca="1">IFERROR(__xludf.DUMMYFUNCTION("""COMPUTED_VALUE"""),"06 ORL")</f>
        <v>06 ORL</v>
      </c>
      <c r="U229" s="62"/>
      <c r="W229" s="62"/>
      <c r="X229" s="62"/>
    </row>
    <row r="230" spans="1:33" ht="16">
      <c r="B230" s="55" t="str">
        <f t="shared" ca="1" si="0"/>
        <v>ISL</v>
      </c>
      <c r="C230" s="64" t="str">
        <f ca="1">IFERROR(__xludf.DUMMYFUNCTION("""COMPUTED_VALUE"""),"ISL122")</f>
        <v>ISL122</v>
      </c>
      <c r="D230" s="33" t="str">
        <f ca="1">IFERROR(__xludf.DUMMYFUNCTION("""COMPUTED_VALUE"""),"PROPIOS")</f>
        <v>PROPIOS</v>
      </c>
      <c r="E230" s="33">
        <f ca="1">IFERROR(__xludf.DUMMYFUNCTION("""COMPUTED_VALUE"""),2026)</f>
        <v>2026</v>
      </c>
      <c r="F230" s="56">
        <f ca="1">IFERROR(__xludf.DUMMYFUNCTION("""COMPUTED_VALUE"""),2)</f>
        <v>2</v>
      </c>
      <c r="G230" s="33" t="str">
        <f ca="1">IFERROR(__xludf.DUMMYFUNCTION("""COMPUTED_VALUE"""),"Murcia")</f>
        <v>Murcia</v>
      </c>
      <c r="H230" s="33" t="str">
        <f ca="1">IFERROR(__xludf.DUMMYFUNCTION("""COMPUTED_VALUE"""),"C202619101846200563")</f>
        <v>C202619101846200563</v>
      </c>
      <c r="I230" s="33" t="str">
        <f ca="1">IFERROR(__xludf.DUMMYFUNCTION("""COMPUTED_VALUE"""),"JUAN ANTONIO PUIG TRULLEN")</f>
        <v>JUAN ANTONIO PUIG TRULLEN</v>
      </c>
      <c r="J230" s="57">
        <f ca="1">IFERROR(__xludf.DUMMYFUNCTION("""COMPUTED_VALUE"""),46031)</f>
        <v>46031</v>
      </c>
      <c r="K230" s="33" t="str">
        <f ca="1">IFERROR(__xludf.DUMMYFUNCTION("""COMPUTED_VALUE"""),"Factura audífonos")</f>
        <v>Factura audífonos</v>
      </c>
      <c r="L230" s="57">
        <f ca="1">IFERROR(__xludf.DUMMYFUNCTION("""COMPUTED_VALUE"""),46077)</f>
        <v>46077</v>
      </c>
      <c r="M230" s="64" t="str">
        <f ca="1">IFERROR(__xludf.DUMMYFUNCTION("""COMPUTED_VALUE"""),"NO")</f>
        <v>NO</v>
      </c>
      <c r="N230" s="56">
        <f ca="1">IFERROR(__xludf.DUMMYFUNCTION("""COMPUTED_VALUE"""),2)</f>
        <v>2</v>
      </c>
      <c r="O230" s="64" t="str">
        <f ca="1">IFERROR(__xludf.DUMMYFUNCTION("""COMPUTED_VALUE"""),"QUIET")</f>
        <v>QUIET</v>
      </c>
      <c r="P230" s="62">
        <f ca="1">IFERROR(__xludf.DUMMYFUNCTION("""COMPUTED_VALUE"""),2718.18)</f>
        <v>2718.18</v>
      </c>
      <c r="Q230" s="33" t="str">
        <f ca="1">IFERROR(__xludf.DUMMYFUNCTION("""COMPUTED_VALUE"""),"Iván Sánchez")</f>
        <v>Iván Sánchez</v>
      </c>
      <c r="R230" s="33" t="str">
        <f ca="1">IFERROR(__xludf.DUMMYFUNCTION("""COMPUTED_VALUE"""),"María Agustina Sevilla García")</f>
        <v>María Agustina Sevilla García</v>
      </c>
      <c r="S230" s="61" t="str">
        <f ca="1">IFERROR(__xludf.DUMMYFUNCTION("""COMPUTED_VALUE"""),"03 ORL")</f>
        <v>03 ORL</v>
      </c>
      <c r="T230" s="33" t="str">
        <f ca="1">IFERROR(__xludf.DUMMYFUNCTION("""COMPUTED_VALUE"""),"06 ORL")</f>
        <v>06 ORL</v>
      </c>
      <c r="U230" s="62"/>
      <c r="W230" s="62"/>
      <c r="X230" s="62"/>
    </row>
    <row r="231" spans="1:33" ht="16">
      <c r="B231" s="55" t="str">
        <f t="shared" ca="1" si="0"/>
        <v>PSC</v>
      </c>
      <c r="C231" s="64" t="str">
        <f ca="1">IFERROR(__xludf.DUMMYFUNCTION("""COMPUTED_VALUE"""),"PSC44")</f>
        <v>PSC44</v>
      </c>
      <c r="D231" s="33" t="str">
        <f ca="1">IFERROR(__xludf.DUMMYFUNCTION("""COMPUTED_VALUE"""),"ASOCIADOS")</f>
        <v>ASOCIADOS</v>
      </c>
      <c r="E231" s="33">
        <f ca="1">IFERROR(__xludf.DUMMYFUNCTION("""COMPUTED_VALUE"""),2026)</f>
        <v>2026</v>
      </c>
      <c r="F231" s="56">
        <f ca="1">IFERROR(__xludf.DUMMYFUNCTION("""COMPUTED_VALUE"""),2)</f>
        <v>2</v>
      </c>
      <c r="G231" s="33" t="str">
        <f ca="1">IFERROR(__xludf.DUMMYFUNCTION("""COMPUTED_VALUE"""),"Valladolid")</f>
        <v>Valladolid</v>
      </c>
      <c r="H231" s="33" t="str">
        <f ca="1">IFERROR(__xludf.DUMMYFUNCTION("""COMPUTED_VALUE"""),"C202512121543130386")</f>
        <v>C202512121543130386</v>
      </c>
      <c r="I231" s="33" t="str">
        <f ca="1">IFERROR(__xludf.DUMMYFUNCTION("""COMPUTED_VALUE"""),"FRANCISCO JAVIER PÉREZ PÉREZ")</f>
        <v>FRANCISCO JAVIER PÉREZ PÉREZ</v>
      </c>
      <c r="J231" s="57">
        <f ca="1">IFERROR(__xludf.DUMMYFUNCTION("""COMPUTED_VALUE"""),46003)</f>
        <v>46003</v>
      </c>
      <c r="K231" s="33" t="str">
        <f ca="1">IFERROR(__xludf.DUMMYFUNCTION("""COMPUTED_VALUE"""),"Factura audífonos")</f>
        <v>Factura audífonos</v>
      </c>
      <c r="L231" s="57">
        <f ca="1">IFERROR(__xludf.DUMMYFUNCTION("""COMPUTED_VALUE"""),46077)</f>
        <v>46077</v>
      </c>
      <c r="M231" s="58" t="str">
        <f ca="1">IFERROR(__xludf.DUMMYFUNCTION("""COMPUTED_VALUE"""),"NO")</f>
        <v>NO</v>
      </c>
      <c r="N231" s="56">
        <f ca="1">IFERROR(__xludf.DUMMYFUNCTION("""COMPUTED_VALUE"""),2)</f>
        <v>2</v>
      </c>
      <c r="O231" s="64" t="str">
        <f ca="1">IFERROR(__xludf.DUMMYFUNCTION("""COMPUTED_VALUE"""),"ADVANCED")</f>
        <v>ADVANCED</v>
      </c>
      <c r="P231" s="62">
        <f ca="1">IFERROR(__xludf.DUMMYFUNCTION("""COMPUTED_VALUE"""),3977.27)</f>
        <v>3977.27</v>
      </c>
      <c r="Q231" s="33" t="str">
        <f ca="1">IFERROR(__xludf.DUMMYFUNCTION("""COMPUTED_VALUE"""),"Alberto Moreno")</f>
        <v>Alberto Moreno</v>
      </c>
      <c r="R231" s="33" t="str">
        <f ca="1">IFERROR(__xludf.DUMMYFUNCTION("""COMPUTED_VALUE"""),"Marina Madrigal Revuelta")</f>
        <v>Marina Madrigal Revuelta</v>
      </c>
      <c r="S231" s="61" t="str">
        <f ca="1">IFERROR(__xludf.DUMMYFUNCTION("""COMPUTED_VALUE"""),"03 ORL")</f>
        <v>03 ORL</v>
      </c>
      <c r="T231" s="33" t="str">
        <f ca="1">IFERROR(__xludf.DUMMYFUNCTION("""COMPUTED_VALUE"""),"06 ORL")</f>
        <v>06 ORL</v>
      </c>
      <c r="U231" s="62"/>
      <c r="W231" s="62"/>
      <c r="X231" s="62"/>
    </row>
    <row r="232" spans="1:33" ht="16">
      <c r="B232" s="55" t="str">
        <f t="shared" ca="1" si="0"/>
        <v>LRM</v>
      </c>
      <c r="C232" s="64" t="str">
        <f ca="1">IFERROR(__xludf.DUMMYFUNCTION("""COMPUTED_VALUE"""),"LRM06")</f>
        <v>LRM06</v>
      </c>
      <c r="D232" s="33" t="str">
        <f ca="1">IFERROR(__xludf.DUMMYFUNCTION("""COMPUTED_VALUE"""),"PARTICIPADOS")</f>
        <v>PARTICIPADOS</v>
      </c>
      <c r="E232" s="33">
        <f ca="1">IFERROR(__xludf.DUMMYFUNCTION("""COMPUTED_VALUE"""),2026)</f>
        <v>2026</v>
      </c>
      <c r="F232" s="56">
        <f ca="1">IFERROR(__xludf.DUMMYFUNCTION("""COMPUTED_VALUE"""),2)</f>
        <v>2</v>
      </c>
      <c r="G232" s="33" t="str">
        <f ca="1">IFERROR(__xludf.DUMMYFUNCTION("""COMPUTED_VALUE"""),"Madrid- La Oca")</f>
        <v>Madrid- La Oca</v>
      </c>
      <c r="H232" s="33" t="str">
        <f ca="1">IFERROR(__xludf.DUMMYFUNCTION("""COMPUTED_VALUE"""),"C202611917564591568")</f>
        <v>C202611917564591568</v>
      </c>
      <c r="I232" s="33" t="str">
        <f ca="1">IFERROR(__xludf.DUMMYFUNCTION("""COMPUTED_VALUE"""),"MANUEL MARTINEZ MARTINEZ")</f>
        <v>MANUEL MARTINEZ MARTINEZ</v>
      </c>
      <c r="J232" s="57">
        <f ca="1">IFERROR(__xludf.DUMMYFUNCTION("""COMPUTED_VALUE"""),46041)</f>
        <v>46041</v>
      </c>
      <c r="K232" s="33" t="str">
        <f ca="1">IFERROR(__xludf.DUMMYFUNCTION("""COMPUTED_VALUE"""),"Factura audífonos")</f>
        <v>Factura audífonos</v>
      </c>
      <c r="L232" s="57">
        <f ca="1">IFERROR(__xludf.DUMMYFUNCTION("""COMPUTED_VALUE"""),46077)</f>
        <v>46077</v>
      </c>
      <c r="M232" s="64" t="str">
        <f ca="1">IFERROR(__xludf.DUMMYFUNCTION("""COMPUTED_VALUE"""),"NO")</f>
        <v>NO</v>
      </c>
      <c r="N232" s="56">
        <f ca="1">IFERROR(__xludf.DUMMYFUNCTION("""COMPUTED_VALUE"""),2)</f>
        <v>2</v>
      </c>
      <c r="O232" s="64" t="str">
        <f ca="1">IFERROR(__xludf.DUMMYFUNCTION("""COMPUTED_VALUE"""),"QUIET")</f>
        <v>QUIET</v>
      </c>
      <c r="P232" s="62">
        <f ca="1">IFERROR(__xludf.DUMMYFUNCTION("""COMPUTED_VALUE"""),2718.18)</f>
        <v>2718.18</v>
      </c>
      <c r="Q232" s="33" t="str">
        <f ca="1">IFERROR(__xludf.DUMMYFUNCTION("""COMPUTED_VALUE"""),"Maika Blázquez")</f>
        <v>Maika Blázquez</v>
      </c>
      <c r="R232" s="33" t="str">
        <f ca="1">IFERROR(__xludf.DUMMYFUNCTION("""COMPUTED_VALUE"""),"Alfonso Plaza López")</f>
        <v>Alfonso Plaza López</v>
      </c>
      <c r="S232" s="61" t="str">
        <f ca="1">IFERROR(__xludf.DUMMYFUNCTION("""COMPUTED_VALUE"""),"01 MARKETING ON LINE")</f>
        <v>01 MARKETING ON LINE</v>
      </c>
      <c r="T232" s="33" t="str">
        <f ca="1">IFERROR(__xludf.DUMMYFUNCTION("""COMPUTED_VALUE"""),"04 AUDIFONO,ES")</f>
        <v>04 AUDIFONO,ES</v>
      </c>
      <c r="U232" s="62"/>
      <c r="W232" s="62"/>
      <c r="X232" s="62"/>
    </row>
    <row r="233" spans="1:33" ht="16">
      <c r="B233" s="55" t="str">
        <f t="shared" ca="1" si="0"/>
        <v>MBM</v>
      </c>
      <c r="C233" s="64" t="str">
        <f ca="1">IFERROR(__xludf.DUMMYFUNCTION("""COMPUTED_VALUE"""),"MBM227")</f>
        <v>MBM227</v>
      </c>
      <c r="D233" s="33" t="str">
        <f ca="1">IFERROR(__xludf.DUMMYFUNCTION("""COMPUTED_VALUE"""),"PROPIOS")</f>
        <v>PROPIOS</v>
      </c>
      <c r="E233" s="33">
        <f ca="1">IFERROR(__xludf.DUMMYFUNCTION("""COMPUTED_VALUE"""),2026)</f>
        <v>2026</v>
      </c>
      <c r="F233" s="56">
        <f ca="1">IFERROR(__xludf.DUMMYFUNCTION("""COMPUTED_VALUE"""),2)</f>
        <v>2</v>
      </c>
      <c r="G233" s="33" t="str">
        <f ca="1">IFERROR(__xludf.DUMMYFUNCTION("""COMPUTED_VALUE"""),"Madrid- Monforte de Lemos")</f>
        <v>Madrid- Monforte de Lemos</v>
      </c>
      <c r="H233" s="33" t="str">
        <f ca="1">IFERROR(__xludf.DUMMYFUNCTION("""COMPUTED_VALUE"""),"C202612217385910574")</f>
        <v>C202612217385910574</v>
      </c>
      <c r="I233" s="33" t="str">
        <f ca="1">IFERROR(__xludf.DUMMYFUNCTION("""COMPUTED_VALUE"""),"MARIA ISABEL GONZALEZ GONZALEZ")</f>
        <v>MARIA ISABEL GONZALEZ GONZALEZ</v>
      </c>
      <c r="J233" s="57">
        <f ca="1">IFERROR(__xludf.DUMMYFUNCTION("""COMPUTED_VALUE"""),46044)</f>
        <v>46044</v>
      </c>
      <c r="K233" s="33" t="str">
        <f ca="1">IFERROR(__xludf.DUMMYFUNCTION("""COMPUTED_VALUE"""),"Factura audífonos")</f>
        <v>Factura audífonos</v>
      </c>
      <c r="L233" s="57">
        <f ca="1">IFERROR(__xludf.DUMMYFUNCTION("""COMPUTED_VALUE"""),46077)</f>
        <v>46077</v>
      </c>
      <c r="M233" s="64" t="str">
        <f ca="1">IFERROR(__xludf.DUMMYFUNCTION("""COMPUTED_VALUE"""),"NO")</f>
        <v>NO</v>
      </c>
      <c r="N233" s="56">
        <f ca="1">IFERROR(__xludf.DUMMYFUNCTION("""COMPUTED_VALUE"""),2)</f>
        <v>2</v>
      </c>
      <c r="O233" s="64" t="str">
        <f ca="1">IFERROR(__xludf.DUMMYFUNCTION("""COMPUTED_VALUE"""),"ADVANCED")</f>
        <v>ADVANCED</v>
      </c>
      <c r="P233" s="62">
        <f ca="1">IFERROR(__xludf.DUMMYFUNCTION("""COMPUTED_VALUE"""),4136.36)</f>
        <v>4136.3599999999997</v>
      </c>
      <c r="Q233" s="33" t="str">
        <f ca="1">IFERROR(__xludf.DUMMYFUNCTION("""COMPUTED_VALUE"""),"Maika Blázquez")</f>
        <v>Maika Blázquez</v>
      </c>
      <c r="R233" s="33" t="str">
        <f ca="1">IFERROR(__xludf.DUMMYFUNCTION("""COMPUTED_VALUE"""),"Esther García González")</f>
        <v>Esther García González</v>
      </c>
      <c r="S233" s="61" t="str">
        <f ca="1">IFERROR(__xludf.DUMMYFUNCTION("""COMPUTED_VALUE"""),"03 ORL")</f>
        <v>03 ORL</v>
      </c>
      <c r="T233" s="33" t="str">
        <f ca="1">IFERROR(__xludf.DUMMYFUNCTION("""COMPUTED_VALUE"""),"06 ORL")</f>
        <v>06 ORL</v>
      </c>
      <c r="U233" s="62"/>
      <c r="W233" s="62"/>
      <c r="X233" s="62"/>
    </row>
    <row r="234" spans="1:33" ht="16">
      <c r="B234" s="55" t="str">
        <f t="shared" ca="1" si="0"/>
        <v>ISL</v>
      </c>
      <c r="C234" s="64" t="str">
        <f ca="1">IFERROR(__xludf.DUMMYFUNCTION("""COMPUTED_VALUE"""),"ISL76")</f>
        <v>ISL76</v>
      </c>
      <c r="D234" s="33" t="str">
        <f ca="1">IFERROR(__xludf.DUMMYFUNCTION("""COMPUTED_VALUE"""),"PROPIOS")</f>
        <v>PROPIOS</v>
      </c>
      <c r="E234" s="33">
        <f ca="1">IFERROR(__xludf.DUMMYFUNCTION("""COMPUTED_VALUE"""),2026)</f>
        <v>2026</v>
      </c>
      <c r="F234" s="56">
        <f ca="1">IFERROR(__xludf.DUMMYFUNCTION("""COMPUTED_VALUE"""),2)</f>
        <v>2</v>
      </c>
      <c r="G234" s="33" t="str">
        <f ca="1">IFERROR(__xludf.DUMMYFUNCTION("""COMPUTED_VALUE"""),"Albacete")</f>
        <v>Albacete</v>
      </c>
      <c r="H234" s="33" t="str">
        <f ca="1">IFERROR(__xludf.DUMMYFUNCTION("""COMPUTED_VALUE"""),"C202612716305911990")</f>
        <v>C202612716305911990</v>
      </c>
      <c r="I234" s="33" t="str">
        <f ca="1">IFERROR(__xludf.DUMMYFUNCTION("""COMPUTED_VALUE"""),"MARIA DEL MAR MARIN BIELSA")</f>
        <v>MARIA DEL MAR MARIN BIELSA</v>
      </c>
      <c r="J234" s="57">
        <f ca="1">IFERROR(__xludf.DUMMYFUNCTION("""COMPUTED_VALUE"""),46049)</f>
        <v>46049</v>
      </c>
      <c r="K234" s="33" t="str">
        <f ca="1">IFERROR(__xludf.DUMMYFUNCTION("""COMPUTED_VALUE"""),"Factura audífonos")</f>
        <v>Factura audífonos</v>
      </c>
      <c r="L234" s="57">
        <f ca="1">IFERROR(__xludf.DUMMYFUNCTION("""COMPUTED_VALUE"""),46077)</f>
        <v>46077</v>
      </c>
      <c r="M234" s="64" t="str">
        <f ca="1">IFERROR(__xludf.DUMMYFUNCTION("""COMPUTED_VALUE"""),"NO")</f>
        <v>NO</v>
      </c>
      <c r="N234" s="56">
        <f ca="1">IFERROR(__xludf.DUMMYFUNCTION("""COMPUTED_VALUE"""),1)</f>
        <v>1</v>
      </c>
      <c r="O234" s="64" t="str">
        <f ca="1">IFERROR(__xludf.DUMMYFUNCTION("""COMPUTED_VALUE"""),"ADVANCED")</f>
        <v>ADVANCED</v>
      </c>
      <c r="P234" s="62">
        <f ca="1">IFERROR(__xludf.DUMMYFUNCTION("""COMPUTED_VALUE"""),2481.82)</f>
        <v>2481.8200000000002</v>
      </c>
      <c r="Q234" s="33" t="str">
        <f ca="1">IFERROR(__xludf.DUMMYFUNCTION("""COMPUTED_VALUE"""),"Iván Sánchez")</f>
        <v>Iván Sánchez</v>
      </c>
      <c r="R234" s="33" t="str">
        <f ca="1">IFERROR(__xludf.DUMMYFUNCTION("""COMPUTED_VALUE"""),"Pedro Seguí Moya")</f>
        <v>Pedro Seguí Moya</v>
      </c>
      <c r="S234" s="61" t="str">
        <f ca="1">IFERROR(__xludf.DUMMYFUNCTION("""COMPUTED_VALUE"""),"03 ORL")</f>
        <v>03 ORL</v>
      </c>
      <c r="T234" s="33" t="str">
        <f ca="1">IFERROR(__xludf.DUMMYFUNCTION("""COMPUTED_VALUE"""),"06 ORL")</f>
        <v>06 ORL</v>
      </c>
      <c r="U234" s="62"/>
      <c r="W234" s="62"/>
      <c r="X234" s="62"/>
    </row>
    <row r="235" spans="1:33" ht="16">
      <c r="B235" s="55" t="str">
        <f t="shared" ca="1" si="0"/>
        <v>ISL</v>
      </c>
      <c r="C235" s="64" t="str">
        <f ca="1">IFERROR(__xludf.DUMMYFUNCTION("""COMPUTED_VALUE"""),"ISL113")</f>
        <v>ISL113</v>
      </c>
      <c r="D235" s="33" t="str">
        <f ca="1">IFERROR(__xludf.DUMMYFUNCTION("""COMPUTED_VALUE"""),"PROPIOS")</f>
        <v>PROPIOS</v>
      </c>
      <c r="E235" s="33">
        <f ca="1">IFERROR(__xludf.DUMMYFUNCTION("""COMPUTED_VALUE"""),2026)</f>
        <v>2026</v>
      </c>
      <c r="F235" s="56">
        <f ca="1">IFERROR(__xludf.DUMMYFUNCTION("""COMPUTED_VALUE"""),2)</f>
        <v>2</v>
      </c>
      <c r="G235" s="33" t="str">
        <f ca="1">IFERROR(__xludf.DUMMYFUNCTION("""COMPUTED_VALUE"""),"Alicante")</f>
        <v>Alicante</v>
      </c>
      <c r="H235" s="33" t="str">
        <f ca="1">IFERROR(__xludf.DUMMYFUNCTION("""COMPUTED_VALUE"""),"C202612812373235514")</f>
        <v>C202612812373235514</v>
      </c>
      <c r="I235" s="33" t="str">
        <f ca="1">IFERROR(__xludf.DUMMYFUNCTION("""COMPUTED_VALUE"""),"CARMEN MAYOR PIQUERAS")</f>
        <v>CARMEN MAYOR PIQUERAS</v>
      </c>
      <c r="J235" s="57">
        <f ca="1">IFERROR(__xludf.DUMMYFUNCTION("""COMPUTED_VALUE"""),46050)</f>
        <v>46050</v>
      </c>
      <c r="K235" s="33" t="str">
        <f ca="1">IFERROR(__xludf.DUMMYFUNCTION("""COMPUTED_VALUE"""),"Factura audífonos")</f>
        <v>Factura audífonos</v>
      </c>
      <c r="L235" s="57">
        <f ca="1">IFERROR(__xludf.DUMMYFUNCTION("""COMPUTED_VALUE"""),46078)</f>
        <v>46078</v>
      </c>
      <c r="M235" s="64" t="str">
        <f ca="1">IFERROR(__xludf.DUMMYFUNCTION("""COMPUTED_VALUE"""),"NO")</f>
        <v>NO</v>
      </c>
      <c r="N235" s="56">
        <f ca="1">IFERROR(__xludf.DUMMYFUNCTION("""COMPUTED_VALUE"""),2)</f>
        <v>2</v>
      </c>
      <c r="O235" s="64" t="str">
        <f ca="1">IFERROR(__xludf.DUMMYFUNCTION("""COMPUTED_VALUE"""),"QUIET")</f>
        <v>QUIET</v>
      </c>
      <c r="P235" s="62">
        <f ca="1">IFERROR(__xludf.DUMMYFUNCTION("""COMPUTED_VALUE"""),2718.18)</f>
        <v>2718.18</v>
      </c>
      <c r="Q235" s="33" t="str">
        <f ca="1">IFERROR(__xludf.DUMMYFUNCTION("""COMPUTED_VALUE"""),"Iván Sánchez")</f>
        <v>Iván Sánchez</v>
      </c>
      <c r="R235" s="33" t="str">
        <f ca="1">IFERROR(__xludf.DUMMYFUNCTION("""COMPUTED_VALUE"""),"Luisa Payá Pérez")</f>
        <v>Luisa Payá Pérez</v>
      </c>
      <c r="S235" s="61" t="str">
        <f ca="1">IFERROR(__xludf.DUMMYFUNCTION("""COMPUTED_VALUE"""),"04 TIENDA")</f>
        <v>04 TIENDA</v>
      </c>
      <c r="T235" s="33" t="str">
        <f ca="1">IFERROR(__xludf.DUMMYFUNCTION("""COMPUTED_VALUE"""),"07 BOCA/BOCA")</f>
        <v>07 BOCA/BOCA</v>
      </c>
      <c r="U235" s="62"/>
      <c r="W235" s="62"/>
      <c r="X235" s="62"/>
    </row>
    <row r="236" spans="1:33" ht="16">
      <c r="B236" s="55" t="str">
        <f t="shared" ca="1" si="0"/>
        <v>MBM</v>
      </c>
      <c r="C236" s="64" t="str">
        <f ca="1">IFERROR(__xludf.DUMMYFUNCTION("""COMPUTED_VALUE"""),"MBM117")</f>
        <v>MBM117</v>
      </c>
      <c r="D236" s="33" t="str">
        <f ca="1">IFERROR(__xludf.DUMMYFUNCTION("""COMPUTED_VALUE"""),"PROPIOS")</f>
        <v>PROPIOS</v>
      </c>
      <c r="E236" s="33">
        <f ca="1">IFERROR(__xludf.DUMMYFUNCTION("""COMPUTED_VALUE"""),2026)</f>
        <v>2026</v>
      </c>
      <c r="F236" s="56">
        <f ca="1">IFERROR(__xludf.DUMMYFUNCTION("""COMPUTED_VALUE"""),2)</f>
        <v>2</v>
      </c>
      <c r="G236" s="33" t="str">
        <f ca="1">IFERROR(__xludf.DUMMYFUNCTION("""COMPUTED_VALUE"""),"Madrid- Canillas")</f>
        <v>Madrid- Canillas</v>
      </c>
      <c r="H236" s="33" t="str">
        <f ca="1">IFERROR(__xludf.DUMMYFUNCTION("""COMPUTED_VALUE"""),"C202612015347354164")</f>
        <v>C202612015347354164</v>
      </c>
      <c r="I236" s="33" t="str">
        <f ca="1">IFERROR(__xludf.DUMMYFUNCTION("""COMPUTED_VALUE"""),"RAFAEL PEREZ-OLLEROS RODRÍGUEZ")</f>
        <v>RAFAEL PEREZ-OLLEROS RODRÍGUEZ</v>
      </c>
      <c r="J236" s="57">
        <f ca="1">IFERROR(__xludf.DUMMYFUNCTION("""COMPUTED_VALUE"""),46042)</f>
        <v>46042</v>
      </c>
      <c r="K236" s="33" t="str">
        <f ca="1">IFERROR(__xludf.DUMMYFUNCTION("""COMPUTED_VALUE"""),"Factura audífonos")</f>
        <v>Factura audífonos</v>
      </c>
      <c r="L236" s="57">
        <f ca="1">IFERROR(__xludf.DUMMYFUNCTION("""COMPUTED_VALUE"""),46078)</f>
        <v>46078</v>
      </c>
      <c r="M236" s="64" t="str">
        <f ca="1">IFERROR(__xludf.DUMMYFUNCTION("""COMPUTED_VALUE"""),"NO")</f>
        <v>NO</v>
      </c>
      <c r="N236" s="56">
        <f ca="1">IFERROR(__xludf.DUMMYFUNCTION("""COMPUTED_VALUE"""),2)</f>
        <v>2</v>
      </c>
      <c r="O236" s="64" t="str">
        <f ca="1">IFERROR(__xludf.DUMMYFUNCTION("""COMPUTED_VALUE"""),"CONFORT")</f>
        <v>CONFORT</v>
      </c>
      <c r="P236" s="62">
        <f ca="1">IFERROR(__xludf.DUMMYFUNCTION("""COMPUTED_VALUE"""),3631.82)</f>
        <v>3631.82</v>
      </c>
      <c r="Q236" s="33" t="str">
        <f ca="1">IFERROR(__xludf.DUMMYFUNCTION("""COMPUTED_VALUE"""),"Maika Blázquez")</f>
        <v>Maika Blázquez</v>
      </c>
      <c r="R236" s="33" t="str">
        <f ca="1">IFERROR(__xludf.DUMMYFUNCTION("""COMPUTED_VALUE"""),"Helena Moreno Pardo")</f>
        <v>Helena Moreno Pardo</v>
      </c>
      <c r="S236" s="61" t="str">
        <f ca="1">IFERROR(__xludf.DUMMYFUNCTION("""COMPUTED_VALUE"""),"03 ORL")</f>
        <v>03 ORL</v>
      </c>
      <c r="T236" s="33" t="str">
        <f ca="1">IFERROR(__xludf.DUMMYFUNCTION("""COMPUTED_VALUE"""),"06 ORL")</f>
        <v>06 ORL</v>
      </c>
      <c r="U236" s="62"/>
      <c r="W236" s="62"/>
      <c r="X236" s="62"/>
    </row>
    <row r="237" spans="1:33" ht="16">
      <c r="B237" s="55" t="str">
        <f t="shared" ca="1" si="0"/>
        <v>MBM</v>
      </c>
      <c r="C237" s="64" t="str">
        <f ca="1">IFERROR(__xludf.DUMMYFUNCTION("""COMPUTED_VALUE"""),"MBM112")</f>
        <v>MBM112</v>
      </c>
      <c r="D237" s="33" t="str">
        <f ca="1">IFERROR(__xludf.DUMMYFUNCTION("""COMPUTED_VALUE"""),"PROPIOS")</f>
        <v>PROPIOS</v>
      </c>
      <c r="E237" s="33">
        <f ca="1">IFERROR(__xludf.DUMMYFUNCTION("""COMPUTED_VALUE"""),2026)</f>
        <v>2026</v>
      </c>
      <c r="F237" s="56">
        <f ca="1">IFERROR(__xludf.DUMMYFUNCTION("""COMPUTED_VALUE"""),2)</f>
        <v>2</v>
      </c>
      <c r="G237" s="33" t="str">
        <f ca="1">IFERROR(__xludf.DUMMYFUNCTION("""COMPUTED_VALUE"""),"Fuenlabrada")</f>
        <v>Fuenlabrada</v>
      </c>
      <c r="H237" s="33" t="str">
        <f ca="1">IFERROR(__xludf.DUMMYFUNCTION("""COMPUTED_VALUE"""),"C202612215343637378")</f>
        <v>C202612215343637378</v>
      </c>
      <c r="I237" s="33" t="str">
        <f ca="1">IFERROR(__xludf.DUMMYFUNCTION("""COMPUTED_VALUE"""),"JOSE LUIS PEREZ MOLINA")</f>
        <v>JOSE LUIS PEREZ MOLINA</v>
      </c>
      <c r="J237" s="57">
        <f ca="1">IFERROR(__xludf.DUMMYFUNCTION("""COMPUTED_VALUE"""),46044)</f>
        <v>46044</v>
      </c>
      <c r="K237" s="33" t="str">
        <f ca="1">IFERROR(__xludf.DUMMYFUNCTION("""COMPUTED_VALUE"""),"Factura audífonos")</f>
        <v>Factura audífonos</v>
      </c>
      <c r="L237" s="57">
        <f ca="1">IFERROR(__xludf.DUMMYFUNCTION("""COMPUTED_VALUE"""),46078)</f>
        <v>46078</v>
      </c>
      <c r="M237" s="64" t="str">
        <f ca="1">IFERROR(__xludf.DUMMYFUNCTION("""COMPUTED_VALUE"""),"NO")</f>
        <v>NO</v>
      </c>
      <c r="N237" s="56">
        <f ca="1">IFERROR(__xludf.DUMMYFUNCTION("""COMPUTED_VALUE"""),2)</f>
        <v>2</v>
      </c>
      <c r="O237" s="58" t="str">
        <f ca="1">IFERROR(__xludf.DUMMYFUNCTION("""COMPUTED_VALUE"""),"QUIET")</f>
        <v>QUIET</v>
      </c>
      <c r="P237" s="62">
        <f ca="1">IFERROR(__xludf.DUMMYFUNCTION("""COMPUTED_VALUE"""),2718.18)</f>
        <v>2718.18</v>
      </c>
      <c r="Q237" s="33" t="str">
        <f ca="1">IFERROR(__xludf.DUMMYFUNCTION("""COMPUTED_VALUE"""),"Maika Blázquez")</f>
        <v>Maika Blázquez</v>
      </c>
      <c r="R237" s="33" t="str">
        <f ca="1">IFERROR(__xludf.DUMMYFUNCTION("""COMPUTED_VALUE"""),"Elvylins Vargas Yglesia")</f>
        <v>Elvylins Vargas Yglesia</v>
      </c>
      <c r="S237" s="61" t="str">
        <f ca="1">IFERROR(__xludf.DUMMYFUNCTION("""COMPUTED_VALUE"""),"03 ORL")</f>
        <v>03 ORL</v>
      </c>
      <c r="T237" s="33" t="str">
        <f ca="1">IFERROR(__xludf.DUMMYFUNCTION("""COMPUTED_VALUE"""),"06 ORL")</f>
        <v>06 ORL</v>
      </c>
      <c r="U237" s="62"/>
      <c r="W237" s="62"/>
      <c r="X237" s="62"/>
    </row>
    <row r="238" spans="1:33" ht="16">
      <c r="B238" s="55" t="str">
        <f t="shared" ca="1" si="0"/>
        <v>MBM</v>
      </c>
      <c r="C238" s="64" t="str">
        <f ca="1">IFERROR(__xludf.DUMMYFUNCTION("""COMPUTED_VALUE"""),"MBM155")</f>
        <v>MBM155</v>
      </c>
      <c r="D238" s="33" t="str">
        <f ca="1">IFERROR(__xludf.DUMMYFUNCTION("""COMPUTED_VALUE"""),"PROPIOS")</f>
        <v>PROPIOS</v>
      </c>
      <c r="E238" s="33">
        <f ca="1">IFERROR(__xludf.DUMMYFUNCTION("""COMPUTED_VALUE"""),2026)</f>
        <v>2026</v>
      </c>
      <c r="F238" s="56">
        <f ca="1">IFERROR(__xludf.DUMMYFUNCTION("""COMPUTED_VALUE"""),2)</f>
        <v>2</v>
      </c>
      <c r="G238" s="33" t="str">
        <f ca="1">IFERROR(__xludf.DUMMYFUNCTION("""COMPUTED_VALUE"""),"Fuenlabrada")</f>
        <v>Fuenlabrada</v>
      </c>
      <c r="H238" s="33" t="str">
        <f ca="1">IFERROR(__xludf.DUMMYFUNCTION("""COMPUTED_VALUE"""),"C2026249239923062")</f>
        <v>C2026249239923062</v>
      </c>
      <c r="I238" s="33" t="str">
        <f ca="1">IFERROR(__xludf.DUMMYFUNCTION("""COMPUTED_VALUE"""),"CESAREO SANCHEZ MARTIN")</f>
        <v>CESAREO SANCHEZ MARTIN</v>
      </c>
      <c r="J238" s="57">
        <f ca="1">IFERROR(__xludf.DUMMYFUNCTION("""COMPUTED_VALUE"""),46057)</f>
        <v>46057</v>
      </c>
      <c r="K238" s="33" t="str">
        <f ca="1">IFERROR(__xludf.DUMMYFUNCTION("""COMPUTED_VALUE"""),"Factura audífonos")</f>
        <v>Factura audífonos</v>
      </c>
      <c r="L238" s="57">
        <f ca="1">IFERROR(__xludf.DUMMYFUNCTION("""COMPUTED_VALUE"""),46078)</f>
        <v>46078</v>
      </c>
      <c r="M238" s="64" t="str">
        <f ca="1">IFERROR(__xludf.DUMMYFUNCTION("""COMPUTED_VALUE"""),"NO")</f>
        <v>NO</v>
      </c>
      <c r="N238" s="56">
        <f ca="1">IFERROR(__xludf.DUMMYFUNCTION("""COMPUTED_VALUE"""),2)</f>
        <v>2</v>
      </c>
      <c r="O238" s="64" t="str">
        <f ca="1">IFERROR(__xludf.DUMMYFUNCTION("""COMPUTED_VALUE"""),"QUIET")</f>
        <v>QUIET</v>
      </c>
      <c r="P238" s="62">
        <f ca="1">IFERROR(__xludf.DUMMYFUNCTION("""COMPUTED_VALUE"""),2718.18)</f>
        <v>2718.18</v>
      </c>
      <c r="Q238" s="33" t="str">
        <f ca="1">IFERROR(__xludf.DUMMYFUNCTION("""COMPUTED_VALUE"""),"Maika Blázquez")</f>
        <v>Maika Blázquez</v>
      </c>
      <c r="R238" s="33" t="str">
        <f ca="1">IFERROR(__xludf.DUMMYFUNCTION("""COMPUTED_VALUE"""),"María Teresa Herrera Mera")</f>
        <v>María Teresa Herrera Mera</v>
      </c>
      <c r="S238" s="61" t="str">
        <f ca="1">IFERROR(__xludf.DUMMYFUNCTION("""COMPUTED_VALUE"""),"03 ORL")</f>
        <v>03 ORL</v>
      </c>
      <c r="T238" s="33" t="str">
        <f ca="1">IFERROR(__xludf.DUMMYFUNCTION("""COMPUTED_VALUE"""),"06 ORL")</f>
        <v>06 ORL</v>
      </c>
      <c r="U238" s="62"/>
      <c r="W238" s="62"/>
      <c r="X238" s="62"/>
    </row>
    <row r="239" spans="1:33" ht="16">
      <c r="B239" s="55" t="str">
        <f t="shared" ca="1" si="0"/>
        <v>ISL</v>
      </c>
      <c r="C239" s="64" t="str">
        <f ca="1">IFERROR(__xludf.DUMMYFUNCTION("""COMPUTED_VALUE"""),"ISL50")</f>
        <v>ISL50</v>
      </c>
      <c r="D239" s="33" t="str">
        <f ca="1">IFERROR(__xludf.DUMMYFUNCTION("""COMPUTED_VALUE"""),"PROPIOS")</f>
        <v>PROPIOS</v>
      </c>
      <c r="E239" s="33">
        <f ca="1">IFERROR(__xludf.DUMMYFUNCTION("""COMPUTED_VALUE"""),2026)</f>
        <v>2026</v>
      </c>
      <c r="F239" s="56">
        <f ca="1">IFERROR(__xludf.DUMMYFUNCTION("""COMPUTED_VALUE"""),2)</f>
        <v>2</v>
      </c>
      <c r="G239" s="33" t="str">
        <f ca="1">IFERROR(__xludf.DUMMYFUNCTION("""COMPUTED_VALUE"""),"Orihuela")</f>
        <v>Orihuela</v>
      </c>
      <c r="H239" s="33" t="str">
        <f ca="1">IFERROR(__xludf.DUMMYFUNCTION("""COMPUTED_VALUE"""),"C202612885730510878")</f>
        <v>C202612885730510878</v>
      </c>
      <c r="I239" s="33" t="str">
        <f ca="1">IFERROR(__xludf.DUMMYFUNCTION("""COMPUTED_VALUE"""),"HEINZ OTTO NEESER")</f>
        <v>HEINZ OTTO NEESER</v>
      </c>
      <c r="J239" s="57">
        <f ca="1">IFERROR(__xludf.DUMMYFUNCTION("""COMPUTED_VALUE"""),46050)</f>
        <v>46050</v>
      </c>
      <c r="K239" s="33" t="str">
        <f ca="1">IFERROR(__xludf.DUMMYFUNCTION("""COMPUTED_VALUE"""),"Factura audífonos")</f>
        <v>Factura audífonos</v>
      </c>
      <c r="L239" s="57">
        <f ca="1">IFERROR(__xludf.DUMMYFUNCTION("""COMPUTED_VALUE"""),46078)</f>
        <v>46078</v>
      </c>
      <c r="M239" s="64" t="str">
        <f ca="1">IFERROR(__xludf.DUMMYFUNCTION("""COMPUTED_VALUE"""),"NO")</f>
        <v>NO</v>
      </c>
      <c r="N239" s="56">
        <f ca="1">IFERROR(__xludf.DUMMYFUNCTION("""COMPUTED_VALUE"""),2)</f>
        <v>2</v>
      </c>
      <c r="O239" s="64" t="str">
        <f ca="1">IFERROR(__xludf.DUMMYFUNCTION("""COMPUTED_VALUE"""),"ADVANCED")</f>
        <v>ADVANCED</v>
      </c>
      <c r="P239" s="62">
        <f ca="1">IFERROR(__xludf.DUMMYFUNCTION("""COMPUTED_VALUE"""),4136.36)</f>
        <v>4136.3599999999997</v>
      </c>
      <c r="Q239" s="33" t="str">
        <f ca="1">IFERROR(__xludf.DUMMYFUNCTION("""COMPUTED_VALUE"""),"Iván Sánchez")</f>
        <v>Iván Sánchez</v>
      </c>
      <c r="R239" s="33" t="str">
        <f ca="1">IFERROR(__xludf.DUMMYFUNCTION("""COMPUTED_VALUE"""),"José García Morillas")</f>
        <v>José García Morillas</v>
      </c>
      <c r="S239" s="61" t="str">
        <f ca="1">IFERROR(__xludf.DUMMYFUNCTION("""COMPUTED_VALUE"""),"01 MARKETING ON LINE")</f>
        <v>01 MARKETING ON LINE</v>
      </c>
      <c r="T239" s="33" t="str">
        <f ca="1">IFERROR(__xludf.DUMMYFUNCTION("""COMPUTED_VALUE"""),"01 WEB AUDICOST")</f>
        <v>01 WEB AUDICOST</v>
      </c>
      <c r="U239" s="62"/>
      <c r="W239" s="62"/>
      <c r="X239" s="62"/>
    </row>
    <row r="240" spans="1:33" ht="16">
      <c r="B240" s="55" t="str">
        <f t="shared" ca="1" si="0"/>
        <v>RFV</v>
      </c>
      <c r="C240" s="64" t="str">
        <f ca="1">IFERROR(__xludf.DUMMYFUNCTION("""COMPUTED_VALUE"""),"RFV07")</f>
        <v>RFV07</v>
      </c>
      <c r="D240" s="33" t="str">
        <f ca="1">IFERROR(__xludf.DUMMYFUNCTION("""COMPUTED_VALUE"""),"PROPIOS")</f>
        <v>PROPIOS</v>
      </c>
      <c r="E240" s="33">
        <f ca="1">IFERROR(__xludf.DUMMYFUNCTION("""COMPUTED_VALUE"""),2026)</f>
        <v>2026</v>
      </c>
      <c r="F240" s="56">
        <f ca="1">IFERROR(__xludf.DUMMYFUNCTION("""COMPUTED_VALUE"""),2)</f>
        <v>2</v>
      </c>
      <c r="G240" s="33" t="str">
        <f ca="1">IFERROR(__xludf.DUMMYFUNCTION("""COMPUTED_VALUE"""),"Almería")</f>
        <v>Almería</v>
      </c>
      <c r="H240" s="33" t="str">
        <f ca="1">IFERROR(__xludf.DUMMYFUNCTION("""COMPUTED_VALUE"""),"C202621612475543331")</f>
        <v>C202621612475543331</v>
      </c>
      <c r="I240" s="33" t="str">
        <f ca="1">IFERROR(__xludf.DUMMYFUNCTION("""COMPUTED_VALUE"""),"ANA ASCENSION GARCIA RUIZ")</f>
        <v>ANA ASCENSION GARCIA RUIZ</v>
      </c>
      <c r="J240" s="57">
        <f ca="1">IFERROR(__xludf.DUMMYFUNCTION("""COMPUTED_VALUE"""),46069)</f>
        <v>46069</v>
      </c>
      <c r="K240" s="33" t="str">
        <f ca="1">IFERROR(__xludf.DUMMYFUNCTION("""COMPUTED_VALUE"""),"Factura audífonos")</f>
        <v>Factura audífonos</v>
      </c>
      <c r="L240" s="57">
        <f ca="1">IFERROR(__xludf.DUMMYFUNCTION("""COMPUTED_VALUE"""),46078)</f>
        <v>46078</v>
      </c>
      <c r="M240" s="58" t="str">
        <f ca="1">IFERROR(__xludf.DUMMYFUNCTION("""COMPUTED_VALUE"""),"NO")</f>
        <v>NO</v>
      </c>
      <c r="N240" s="56">
        <f ca="1">IFERROR(__xludf.DUMMYFUNCTION("""COMPUTED_VALUE"""),1)</f>
        <v>1</v>
      </c>
      <c r="O240" s="58" t="str">
        <f ca="1">IFERROR(__xludf.DUMMYFUNCTION("""COMPUTED_VALUE"""),"QUIET")</f>
        <v>QUIET</v>
      </c>
      <c r="P240" s="62">
        <f ca="1">IFERROR(__xludf.DUMMYFUNCTION("""COMPUTED_VALUE"""),1631.82)</f>
        <v>1631.82</v>
      </c>
      <c r="Q240" s="33" t="str">
        <f ca="1">IFERROR(__xludf.DUMMYFUNCTION("""COMPUTED_VALUE"""),"Ramon Ferrando")</f>
        <v>Ramon Ferrando</v>
      </c>
      <c r="R240" s="33" t="str">
        <f ca="1">IFERROR(__xludf.DUMMYFUNCTION("""COMPUTED_VALUE"""),"María José Gámiz Maroto")</f>
        <v>María José Gámiz Maroto</v>
      </c>
      <c r="S240" s="61" t="str">
        <f ca="1">IFERROR(__xludf.DUMMYFUNCTION("""COMPUTED_VALUE"""),"03 ORL")</f>
        <v>03 ORL</v>
      </c>
      <c r="T240" s="33" t="str">
        <f ca="1">IFERROR(__xludf.DUMMYFUNCTION("""COMPUTED_VALUE"""),"06 ORL")</f>
        <v>06 ORL</v>
      </c>
      <c r="U240" s="62"/>
      <c r="W240" s="62"/>
      <c r="X240" s="62"/>
    </row>
    <row r="241" spans="2:31" ht="16">
      <c r="B241" s="55" t="str">
        <f t="shared" ca="1" si="0"/>
        <v>LAA</v>
      </c>
      <c r="C241" s="64" t="str">
        <f ca="1">IFERROR(__xludf.DUMMYFUNCTION("""COMPUTED_VALUE"""),"LAA08")</f>
        <v>LAA08</v>
      </c>
      <c r="D241" s="33" t="str">
        <f ca="1">IFERROR(__xludf.DUMMYFUNCTION("""COMPUTED_VALUE"""),"PROPIOS")</f>
        <v>PROPIOS</v>
      </c>
      <c r="E241" s="33">
        <f ca="1">IFERROR(__xludf.DUMMYFUNCTION("""COMPUTED_VALUE"""),2026)</f>
        <v>2026</v>
      </c>
      <c r="F241" s="56">
        <f ca="1">IFERROR(__xludf.DUMMYFUNCTION("""COMPUTED_VALUE"""),2)</f>
        <v>2</v>
      </c>
      <c r="G241" s="33" t="str">
        <f ca="1">IFERROR(__xludf.DUMMYFUNCTION("""COMPUTED_VALUE"""),"Sevilla- Montoto")</f>
        <v>Sevilla- Montoto</v>
      </c>
      <c r="H241" s="33" t="str">
        <f ca="1">IFERROR(__xludf.DUMMYFUNCTION("""COMPUTED_VALUE"""),"C202510211025173009")</f>
        <v>C202510211025173009</v>
      </c>
      <c r="I241" s="33" t="str">
        <f ca="1">IFERROR(__xludf.DUMMYFUNCTION("""COMPUTED_VALUE"""),"ADOLFO JESUS CARVAJAL RAMOS")</f>
        <v>ADOLFO JESUS CARVAJAL RAMOS</v>
      </c>
      <c r="J241" s="57">
        <f ca="1">IFERROR(__xludf.DUMMYFUNCTION("""COMPUTED_VALUE"""),45951)</f>
        <v>45951</v>
      </c>
      <c r="K241" s="33" t="str">
        <f ca="1">IFERROR(__xludf.DUMMYFUNCTION("""COMPUTED_VALUE"""),"Factura audífonos")</f>
        <v>Factura audífonos</v>
      </c>
      <c r="L241" s="57">
        <f ca="1">IFERROR(__xludf.DUMMYFUNCTION("""COMPUTED_VALUE"""),46078)</f>
        <v>46078</v>
      </c>
      <c r="M241" s="64" t="str">
        <f ca="1">IFERROR(__xludf.DUMMYFUNCTION("""COMPUTED_VALUE"""),"NO")</f>
        <v>NO</v>
      </c>
      <c r="N241" s="56">
        <f ca="1">IFERROR(__xludf.DUMMYFUNCTION("""COMPUTED_VALUE"""),1)</f>
        <v>1</v>
      </c>
      <c r="O241" s="64" t="str">
        <f ca="1">IFERROR(__xludf.DUMMYFUNCTION("""COMPUTED_VALUE"""),"ADVANCED")</f>
        <v>ADVANCED</v>
      </c>
      <c r="P241" s="62">
        <f ca="1">IFERROR(__xludf.DUMMYFUNCTION("""COMPUTED_VALUE"""),2180.91)</f>
        <v>2180.91</v>
      </c>
      <c r="Q241" s="33" t="str">
        <f ca="1">IFERROR(__xludf.DUMMYFUNCTION("""COMPUTED_VALUE"""),"Luis Alberto Rodríguez")</f>
        <v>Luis Alberto Rodríguez</v>
      </c>
      <c r="R241" s="33" t="str">
        <f ca="1">IFERROR(__xludf.DUMMYFUNCTION("""COMPUTED_VALUE"""),"David Castro Gutiérrez de Agüero")</f>
        <v>David Castro Gutiérrez de Agüero</v>
      </c>
      <c r="S241" s="61" t="str">
        <f ca="1">IFERROR(__xludf.DUMMYFUNCTION("""COMPUTED_VALUE"""),"03 ORL")</f>
        <v>03 ORL</v>
      </c>
      <c r="T241" s="33" t="str">
        <f ca="1">IFERROR(__xludf.DUMMYFUNCTION("""COMPUTED_VALUE"""),"06 ORL")</f>
        <v>06 ORL</v>
      </c>
      <c r="U241" s="62"/>
      <c r="W241" s="62"/>
      <c r="X241" s="62"/>
    </row>
    <row r="242" spans="2:31" ht="16">
      <c r="B242" s="55" t="str">
        <f t="shared" ca="1" si="0"/>
        <v>MBM</v>
      </c>
      <c r="C242" s="64" t="str">
        <f ca="1">IFERROR(__xludf.DUMMYFUNCTION("""COMPUTED_VALUE"""),"MBM186")</f>
        <v>MBM186</v>
      </c>
      <c r="D242" s="33" t="str">
        <f ca="1">IFERROR(__xludf.DUMMYFUNCTION("""COMPUTED_VALUE"""),"PROPIOS")</f>
        <v>PROPIOS</v>
      </c>
      <c r="E242" s="33">
        <f ca="1">IFERROR(__xludf.DUMMYFUNCTION("""COMPUTED_VALUE"""),2026)</f>
        <v>2026</v>
      </c>
      <c r="F242" s="56">
        <f ca="1">IFERROR(__xludf.DUMMYFUNCTION("""COMPUTED_VALUE"""),2)</f>
        <v>2</v>
      </c>
      <c r="G242" s="33" t="str">
        <f ca="1">IFERROR(__xludf.DUMMYFUNCTION("""COMPUTED_VALUE"""),"Torrejón de Ardoz")</f>
        <v>Torrejón de Ardoz</v>
      </c>
      <c r="H242" s="33" t="str">
        <f ca="1">IFERROR(__xludf.DUMMYFUNCTION("""COMPUTED_VALUE"""),"C202511181118436565")</f>
        <v>C202511181118436565</v>
      </c>
      <c r="I242" s="33" t="str">
        <f ca="1">IFERROR(__xludf.DUMMYFUNCTION("""COMPUTED_VALUE"""),"CARMEN GONZALEZ RODRIGUEZ-CARRETERO")</f>
        <v>CARMEN GONZALEZ RODRIGUEZ-CARRETERO</v>
      </c>
      <c r="J242" s="57">
        <f ca="1">IFERROR(__xludf.DUMMYFUNCTION("""COMPUTED_VALUE"""),45979)</f>
        <v>45979</v>
      </c>
      <c r="K242" s="33" t="str">
        <f ca="1">IFERROR(__xludf.DUMMYFUNCTION("""COMPUTED_VALUE"""),"Factura audífonos")</f>
        <v>Factura audífonos</v>
      </c>
      <c r="L242" s="57">
        <f ca="1">IFERROR(__xludf.DUMMYFUNCTION("""COMPUTED_VALUE"""),46078)</f>
        <v>46078</v>
      </c>
      <c r="M242" s="64" t="str">
        <f ca="1">IFERROR(__xludf.DUMMYFUNCTION("""COMPUTED_VALUE"""),"NO")</f>
        <v>NO</v>
      </c>
      <c r="N242" s="56">
        <f ca="1">IFERROR(__xludf.DUMMYFUNCTION("""COMPUTED_VALUE"""),2)</f>
        <v>2</v>
      </c>
      <c r="O242" s="64" t="str">
        <f ca="1">IFERROR(__xludf.DUMMYFUNCTION("""COMPUTED_VALUE"""),"QUIET")</f>
        <v>QUIET</v>
      </c>
      <c r="P242" s="62">
        <f ca="1">IFERROR(__xludf.DUMMYFUNCTION("""COMPUTED_VALUE"""),2718.18)</f>
        <v>2718.18</v>
      </c>
      <c r="Q242" s="33" t="str">
        <f ca="1">IFERROR(__xludf.DUMMYFUNCTION("""COMPUTED_VALUE"""),"Maika Blázquez")</f>
        <v>Maika Blázquez</v>
      </c>
      <c r="R242" s="33" t="str">
        <f ca="1">IFERROR(__xludf.DUMMYFUNCTION("""COMPUTED_VALUE"""),"Marta Abad Pascual")</f>
        <v>Marta Abad Pascual</v>
      </c>
      <c r="S242" s="61" t="str">
        <f ca="1">IFERROR(__xludf.DUMMYFUNCTION("""COMPUTED_VALUE"""),"03 ORL")</f>
        <v>03 ORL</v>
      </c>
      <c r="T242" s="33" t="str">
        <f ca="1">IFERROR(__xludf.DUMMYFUNCTION("""COMPUTED_VALUE"""),"06 ORL")</f>
        <v>06 ORL</v>
      </c>
      <c r="U242" s="62"/>
      <c r="W242" s="62"/>
      <c r="X242" s="62"/>
    </row>
    <row r="243" spans="2:31" ht="16">
      <c r="B243" s="55" t="str">
        <f t="shared" si="0"/>
        <v/>
      </c>
      <c r="C243" s="64"/>
      <c r="D243" s="33" t="str">
        <f ca="1">IFERROR(__xludf.DUMMYFUNCTION("""COMPUTED_VALUE"""),"ASOCIADOS")</f>
        <v>ASOCIADOS</v>
      </c>
      <c r="E243" s="33">
        <f ca="1">IFERROR(__xludf.DUMMYFUNCTION("""COMPUTED_VALUE"""),2026)</f>
        <v>2026</v>
      </c>
      <c r="F243" s="56">
        <f ca="1">IFERROR(__xludf.DUMMYFUNCTION("""COMPUTED_VALUE"""),2)</f>
        <v>2</v>
      </c>
      <c r="G243" s="33" t="str">
        <f ca="1">IFERROR(__xludf.DUMMYFUNCTION("""COMPUTED_VALUE"""),"Salamanca")</f>
        <v>Salamanca</v>
      </c>
      <c r="H243" s="33" t="str">
        <f ca="1">IFERROR(__xludf.DUMMYFUNCTION("""COMPUTED_VALUE"""),"C202612118321337950")</f>
        <v>C202612118321337950</v>
      </c>
      <c r="I243" s="33" t="str">
        <f ca="1">IFERROR(__xludf.DUMMYFUNCTION("""COMPUTED_VALUE"""),"Fernando  Gregorio-Lastra Moreda")</f>
        <v>Fernando  Gregorio-Lastra Moreda</v>
      </c>
      <c r="J243" s="57">
        <f ca="1">IFERROR(__xludf.DUMMYFUNCTION("""COMPUTED_VALUE"""),46043)</f>
        <v>46043</v>
      </c>
      <c r="K243" s="33" t="str">
        <f ca="1">IFERROR(__xludf.DUMMYFUNCTION("""COMPUTED_VALUE"""),"Factura audífonos")</f>
        <v>Factura audífonos</v>
      </c>
      <c r="L243" s="57">
        <f ca="1">IFERROR(__xludf.DUMMYFUNCTION("""COMPUTED_VALUE"""),46078)</f>
        <v>46078</v>
      </c>
      <c r="M243" s="64" t="str">
        <f ca="1">IFERROR(__xludf.DUMMYFUNCTION("""COMPUTED_VALUE"""),"NO")</f>
        <v>NO</v>
      </c>
      <c r="N243" s="56">
        <f ca="1">IFERROR(__xludf.DUMMYFUNCTION("""COMPUTED_VALUE"""),2)</f>
        <v>2</v>
      </c>
      <c r="O243" s="64" t="str">
        <f ca="1">IFERROR(__xludf.DUMMYFUNCTION("""COMPUTED_VALUE"""),"CONFORT")</f>
        <v>CONFORT</v>
      </c>
      <c r="P243" s="62">
        <f ca="1">IFERROR(__xludf.DUMMYFUNCTION("""COMPUTED_VALUE"""),3730)</f>
        <v>3730</v>
      </c>
      <c r="Q243" s="33" t="str">
        <f ca="1">IFERROR(__xludf.DUMMYFUNCTION("""COMPUTED_VALUE"""),"Alberto Moreno")</f>
        <v>Alberto Moreno</v>
      </c>
      <c r="R243" s="33" t="str">
        <f ca="1">IFERROR(__xludf.DUMMYFUNCTION("""COMPUTED_VALUE"""),"No recuerda ORL")</f>
        <v>No recuerda ORL</v>
      </c>
      <c r="S243" s="61" t="str">
        <f ca="1">IFERROR(__xludf.DUMMYFUNCTION("""COMPUTED_VALUE"""),"03 ORL")</f>
        <v>03 ORL</v>
      </c>
      <c r="T243" s="33" t="str">
        <f ca="1">IFERROR(__xludf.DUMMYFUNCTION("""COMPUTED_VALUE"""),"06 ORL")</f>
        <v>06 ORL</v>
      </c>
      <c r="U243" s="62"/>
      <c r="W243" s="62"/>
      <c r="X243" s="62"/>
    </row>
    <row r="244" spans="2:31" ht="16">
      <c r="B244" s="55" t="str">
        <f t="shared" ca="1" si="0"/>
        <v>LRM</v>
      </c>
      <c r="C244" s="64" t="str">
        <f ca="1">IFERROR(__xludf.DUMMYFUNCTION("""COMPUTED_VALUE"""),"LRM115")</f>
        <v>LRM115</v>
      </c>
      <c r="D244" s="33" t="str">
        <f ca="1">IFERROR(__xludf.DUMMYFUNCTION("""COMPUTED_VALUE"""),"ASOCIADOS")</f>
        <v>ASOCIADOS</v>
      </c>
      <c r="E244" s="33">
        <f ca="1">IFERROR(__xludf.DUMMYFUNCTION("""COMPUTED_VALUE"""),2026)</f>
        <v>2026</v>
      </c>
      <c r="F244" s="56">
        <f ca="1">IFERROR(__xludf.DUMMYFUNCTION("""COMPUTED_VALUE"""),2)</f>
        <v>2</v>
      </c>
      <c r="G244" s="33" t="str">
        <f ca="1">IFERROR(__xludf.DUMMYFUNCTION("""COMPUTED_VALUE"""),"Cáceres")</f>
        <v>Cáceres</v>
      </c>
      <c r="H244" s="33" t="str">
        <f ca="1">IFERROR(__xludf.DUMMYFUNCTION("""COMPUTED_VALUE"""),"C202612717262205434")</f>
        <v>C202612717262205434</v>
      </c>
      <c r="I244" s="33" t="str">
        <f ca="1">IFERROR(__xludf.DUMMYFUNCTION("""COMPUTED_VALUE"""),"MARIA DEL PRADO BARRANTES BORRELLA")</f>
        <v>MARIA DEL PRADO BARRANTES BORRELLA</v>
      </c>
      <c r="J244" s="57">
        <f ca="1">IFERROR(__xludf.DUMMYFUNCTION("""COMPUTED_VALUE"""),46049)</f>
        <v>46049</v>
      </c>
      <c r="K244" s="33" t="str">
        <f ca="1">IFERROR(__xludf.DUMMYFUNCTION("""COMPUTED_VALUE"""),"Factura audífonos")</f>
        <v>Factura audífonos</v>
      </c>
      <c r="L244" s="57">
        <f ca="1">IFERROR(__xludf.DUMMYFUNCTION("""COMPUTED_VALUE"""),46078)</f>
        <v>46078</v>
      </c>
      <c r="M244" s="64" t="str">
        <f ca="1">IFERROR(__xludf.DUMMYFUNCTION("""COMPUTED_VALUE"""),"NO")</f>
        <v>NO</v>
      </c>
      <c r="N244" s="56">
        <f ca="1">IFERROR(__xludf.DUMMYFUNCTION("""COMPUTED_VALUE"""),2)</f>
        <v>2</v>
      </c>
      <c r="O244" s="64" t="str">
        <f ca="1">IFERROR(__xludf.DUMMYFUNCTION("""COMPUTED_VALUE"""),"QUIET")</f>
        <v>QUIET</v>
      </c>
      <c r="P244" s="62">
        <f ca="1">IFERROR(__xludf.DUMMYFUNCTION("""COMPUTED_VALUE"""),3454.55)</f>
        <v>3454.55</v>
      </c>
      <c r="Q244" s="33" t="str">
        <f ca="1">IFERROR(__xludf.DUMMYFUNCTION("""COMPUTED_VALUE"""),"Lisandro Russian")</f>
        <v>Lisandro Russian</v>
      </c>
      <c r="R244" s="33" t="str">
        <f ca="1">IFERROR(__xludf.DUMMYFUNCTION("""COMPUTED_VALUE"""),"Rafael Sanz Trenado")</f>
        <v>Rafael Sanz Trenado</v>
      </c>
      <c r="S244" s="61" t="str">
        <f ca="1">IFERROR(__xludf.DUMMYFUNCTION("""COMPUTED_VALUE"""),"01 MARKETING ON LINE")</f>
        <v>01 MARKETING ON LINE</v>
      </c>
      <c r="T244" s="33" t="str">
        <f ca="1">IFERROR(__xludf.DUMMYFUNCTION("""COMPUTED_VALUE"""),"04 AUDIFONO,ES")</f>
        <v>04 AUDIFONO,ES</v>
      </c>
      <c r="U244" s="62"/>
      <c r="W244" s="62"/>
      <c r="X244" s="62"/>
      <c r="AE244" s="1"/>
    </row>
    <row r="245" spans="2:31" ht="16">
      <c r="B245" s="55" t="str">
        <f t="shared" ca="1" si="0"/>
        <v>MBM</v>
      </c>
      <c r="C245" s="64" t="str">
        <f ca="1">IFERROR(__xludf.DUMMYFUNCTION("""COMPUTED_VALUE"""),"MBM166")</f>
        <v>MBM166</v>
      </c>
      <c r="D245" s="33" t="str">
        <f ca="1">IFERROR(__xludf.DUMMYFUNCTION("""COMPUTED_VALUE"""),"PROPIOS")</f>
        <v>PROPIOS</v>
      </c>
      <c r="E245" s="33">
        <f ca="1">IFERROR(__xludf.DUMMYFUNCTION("""COMPUTED_VALUE"""),2026)</f>
        <v>2026</v>
      </c>
      <c r="F245" s="56">
        <f ca="1">IFERROR(__xludf.DUMMYFUNCTION("""COMPUTED_VALUE"""),2)</f>
        <v>2</v>
      </c>
      <c r="G245" s="33" t="str">
        <f ca="1">IFERROR(__xludf.DUMMYFUNCTION("""COMPUTED_VALUE"""),"Leganés")</f>
        <v>Leganés</v>
      </c>
      <c r="H245" s="33" t="str">
        <f ca="1">IFERROR(__xludf.DUMMYFUNCTION("""COMPUTED_VALUE"""),"PQL-1344")</f>
        <v>PQL-1344</v>
      </c>
      <c r="I245" s="33" t="str">
        <f ca="1">IFERROR(__xludf.DUMMYFUNCTION("""COMPUTED_VALUE"""),"JOSE LUIS ABARCA PONCE")</f>
        <v>JOSE LUIS ABARCA PONCE</v>
      </c>
      <c r="J245" s="57">
        <f ca="1">IFERROR(__xludf.DUMMYFUNCTION("""COMPUTED_VALUE"""),44013)</f>
        <v>44013</v>
      </c>
      <c r="K245" s="33" t="str">
        <f ca="1">IFERROR(__xludf.DUMMYFUNCTION("""COMPUTED_VALUE"""),"Factura audífonos")</f>
        <v>Factura audífonos</v>
      </c>
      <c r="L245" s="57">
        <f ca="1">IFERROR(__xludf.DUMMYFUNCTION("""COMPUTED_VALUE"""),46078)</f>
        <v>46078</v>
      </c>
      <c r="M245" s="58" t="str">
        <f ca="1">IFERROR(__xludf.DUMMYFUNCTION("""COMPUTED_VALUE"""),"NO")</f>
        <v>NO</v>
      </c>
      <c r="N245" s="56">
        <f ca="1">IFERROR(__xludf.DUMMYFUNCTION("""COMPUTED_VALUE"""),2)</f>
        <v>2</v>
      </c>
      <c r="O245" s="64" t="str">
        <f ca="1">IFERROR(__xludf.DUMMYFUNCTION("""COMPUTED_VALUE"""),"QUIET")</f>
        <v>QUIET</v>
      </c>
      <c r="P245" s="62">
        <f ca="1">IFERROR(__xludf.DUMMYFUNCTION("""COMPUTED_VALUE"""),2718.18)</f>
        <v>2718.18</v>
      </c>
      <c r="Q245" s="33" t="str">
        <f ca="1">IFERROR(__xludf.DUMMYFUNCTION("""COMPUTED_VALUE"""),"Maika Blázquez")</f>
        <v>Maika Blázquez</v>
      </c>
      <c r="R245" s="33" t="str">
        <f ca="1">IFERROR(__xludf.DUMMYFUNCTION("""COMPUTED_VALUE"""),"Patricia García Vicente")</f>
        <v>Patricia García Vicente</v>
      </c>
      <c r="S245" s="61" t="str">
        <f ca="1">IFERROR(__xludf.DUMMYFUNCTION("""COMPUTED_VALUE"""),"03 ORL")</f>
        <v>03 ORL</v>
      </c>
      <c r="T245" s="33" t="str">
        <f ca="1">IFERROR(__xludf.DUMMYFUNCTION("""COMPUTED_VALUE"""),"06 ORL")</f>
        <v>06 ORL</v>
      </c>
      <c r="U245" s="62"/>
      <c r="W245" s="62"/>
      <c r="X245" s="62"/>
    </row>
    <row r="246" spans="2:31" ht="16">
      <c r="B246" s="55" t="str">
        <f t="shared" ca="1" si="0"/>
        <v>LAA</v>
      </c>
      <c r="C246" s="64" t="str">
        <f ca="1">IFERROR(__xludf.DUMMYFUNCTION("""COMPUTED_VALUE"""),"LAA63")</f>
        <v>LAA63</v>
      </c>
      <c r="D246" s="33" t="str">
        <f ca="1">IFERROR(__xludf.DUMMYFUNCTION("""COMPUTED_VALUE"""),"PROPIOS")</f>
        <v>PROPIOS</v>
      </c>
      <c r="E246" s="33">
        <f ca="1">IFERROR(__xludf.DUMMYFUNCTION("""COMPUTED_VALUE"""),2026)</f>
        <v>2026</v>
      </c>
      <c r="F246" s="56">
        <f ca="1">IFERROR(__xludf.DUMMYFUNCTION("""COMPUTED_VALUE"""),2)</f>
        <v>2</v>
      </c>
      <c r="G246" s="33" t="str">
        <f ca="1">IFERROR(__xludf.DUMMYFUNCTION("""COMPUTED_VALUE"""),"Madrid- Monforte de Lemos")</f>
        <v>Madrid- Monforte de Lemos</v>
      </c>
      <c r="H246" s="33" t="str">
        <f ca="1">IFERROR(__xludf.DUMMYFUNCTION("""COMPUTED_VALUE"""),"C202612216648697539")</f>
        <v>C202612216648697539</v>
      </c>
      <c r="I246" s="33" t="str">
        <f ca="1">IFERROR(__xludf.DUMMYFUNCTION("""COMPUTED_VALUE"""),"MARIA DOLORES JIMENEZ DE LA POZA")</f>
        <v>MARIA DOLORES JIMENEZ DE LA POZA</v>
      </c>
      <c r="J246" s="57">
        <f ca="1">IFERROR(__xludf.DUMMYFUNCTION("""COMPUTED_VALUE"""),46044)</f>
        <v>46044</v>
      </c>
      <c r="K246" s="33" t="str">
        <f ca="1">IFERROR(__xludf.DUMMYFUNCTION("""COMPUTED_VALUE"""),"Factura audífonos")</f>
        <v>Factura audífonos</v>
      </c>
      <c r="L246" s="57">
        <f ca="1">IFERROR(__xludf.DUMMYFUNCTION("""COMPUTED_VALUE"""),46078)</f>
        <v>46078</v>
      </c>
      <c r="M246" s="64" t="str">
        <f ca="1">IFERROR(__xludf.DUMMYFUNCTION("""COMPUTED_VALUE"""),"NO")</f>
        <v>NO</v>
      </c>
      <c r="N246" s="56">
        <f ca="1">IFERROR(__xludf.DUMMYFUNCTION("""COMPUTED_VALUE"""),2)</f>
        <v>2</v>
      </c>
      <c r="O246" s="64" t="str">
        <f ca="1">IFERROR(__xludf.DUMMYFUNCTION("""COMPUTED_VALUE"""),"ADVANCED")</f>
        <v>ADVANCED</v>
      </c>
      <c r="P246" s="62">
        <f ca="1">IFERROR(__xludf.DUMMYFUNCTION("""COMPUTED_VALUE"""),4136.36)</f>
        <v>4136.3599999999997</v>
      </c>
      <c r="Q246" s="33" t="str">
        <f ca="1">IFERROR(__xludf.DUMMYFUNCTION("""COMPUTED_VALUE"""),"Maika Blázquez")</f>
        <v>Maika Blázquez</v>
      </c>
      <c r="R246" s="33" t="str">
        <f ca="1">IFERROR(__xludf.DUMMYFUNCTION("""COMPUTED_VALUE"""),"Julio López Moya")</f>
        <v>Julio López Moya</v>
      </c>
      <c r="S246" s="61" t="str">
        <f ca="1">IFERROR(__xludf.DUMMYFUNCTION("""COMPUTED_VALUE"""),"03 ORL")</f>
        <v>03 ORL</v>
      </c>
      <c r="T246" s="33" t="str">
        <f ca="1">IFERROR(__xludf.DUMMYFUNCTION("""COMPUTED_VALUE"""),"06 ORL")</f>
        <v>06 ORL</v>
      </c>
      <c r="U246" s="62"/>
      <c r="W246" s="62"/>
      <c r="X246" s="62"/>
    </row>
    <row r="247" spans="2:31" ht="16">
      <c r="B247" s="55" t="str">
        <f t="shared" ca="1" si="0"/>
        <v>ISL</v>
      </c>
      <c r="C247" s="64" t="str">
        <f ca="1">IFERROR(__xludf.DUMMYFUNCTION("""COMPUTED_VALUE"""),"ISL45")</f>
        <v>ISL45</v>
      </c>
      <c r="D247" s="33" t="str">
        <f ca="1">IFERROR(__xludf.DUMMYFUNCTION("""COMPUTED_VALUE"""),"PROPIOS")</f>
        <v>PROPIOS</v>
      </c>
      <c r="E247" s="33">
        <f ca="1">IFERROR(__xludf.DUMMYFUNCTION("""COMPUTED_VALUE"""),2026)</f>
        <v>2026</v>
      </c>
      <c r="F247" s="56">
        <f ca="1">IFERROR(__xludf.DUMMYFUNCTION("""COMPUTED_VALUE"""),2)</f>
        <v>2</v>
      </c>
      <c r="G247" s="33" t="str">
        <f ca="1">IFERROR(__xludf.DUMMYFUNCTION("""COMPUTED_VALUE"""),"Murcia")</f>
        <v>Murcia</v>
      </c>
      <c r="H247" s="33" t="str">
        <f ca="1">IFERROR(__xludf.DUMMYFUNCTION("""COMPUTED_VALUE"""),"C202613082451127538")</f>
        <v>C202613082451127538</v>
      </c>
      <c r="I247" s="33" t="str">
        <f ca="1">IFERROR(__xludf.DUMMYFUNCTION("""COMPUTED_VALUE"""),"PURIFICACIÓN GOMEZ GARCIA")</f>
        <v>PURIFICACIÓN GOMEZ GARCIA</v>
      </c>
      <c r="J247" s="57">
        <f ca="1">IFERROR(__xludf.DUMMYFUNCTION("""COMPUTED_VALUE"""),46052)</f>
        <v>46052</v>
      </c>
      <c r="K247" s="33" t="str">
        <f ca="1">IFERROR(__xludf.DUMMYFUNCTION("""COMPUTED_VALUE"""),"Factura audífonos")</f>
        <v>Factura audífonos</v>
      </c>
      <c r="L247" s="57">
        <f ca="1">IFERROR(__xludf.DUMMYFUNCTION("""COMPUTED_VALUE"""),46078)</f>
        <v>46078</v>
      </c>
      <c r="M247" s="64" t="str">
        <f ca="1">IFERROR(__xludf.DUMMYFUNCTION("""COMPUTED_VALUE"""),"NO")</f>
        <v>NO</v>
      </c>
      <c r="N247" s="56">
        <f ca="1">IFERROR(__xludf.DUMMYFUNCTION("""COMPUTED_VALUE"""),2)</f>
        <v>2</v>
      </c>
      <c r="O247" s="58" t="str">
        <f ca="1">IFERROR(__xludf.DUMMYFUNCTION("""COMPUTED_VALUE"""),"QUIET")</f>
        <v>QUIET</v>
      </c>
      <c r="P247" s="62">
        <f ca="1">IFERROR(__xludf.DUMMYFUNCTION("""COMPUTED_VALUE"""),2718.18)</f>
        <v>2718.18</v>
      </c>
      <c r="Q247" s="33" t="str">
        <f ca="1">IFERROR(__xludf.DUMMYFUNCTION("""COMPUTED_VALUE"""),"Iván Sánchez")</f>
        <v>Iván Sánchez</v>
      </c>
      <c r="R247" s="33" t="str">
        <f ca="1">IFERROR(__xludf.DUMMYFUNCTION("""COMPUTED_VALUE"""),"Jesús Miguel Iniesta Turpín")</f>
        <v>Jesús Miguel Iniesta Turpín</v>
      </c>
      <c r="S247" s="61" t="str">
        <f ca="1">IFERROR(__xludf.DUMMYFUNCTION("""COMPUTED_VALUE"""),"03 ORL")</f>
        <v>03 ORL</v>
      </c>
      <c r="T247" s="33" t="str">
        <f ca="1">IFERROR(__xludf.DUMMYFUNCTION("""COMPUTED_VALUE"""),"06 ORL")</f>
        <v>06 ORL</v>
      </c>
      <c r="U247" s="62"/>
      <c r="W247" s="62"/>
      <c r="X247" s="62"/>
    </row>
    <row r="248" spans="2:31" ht="16">
      <c r="B248" s="55" t="str">
        <f t="shared" ca="1" si="0"/>
        <v>LRM</v>
      </c>
      <c r="C248" s="64" t="str">
        <f ca="1">IFERROR(__xludf.DUMMYFUNCTION("""COMPUTED_VALUE"""),"LRM20")</f>
        <v>LRM20</v>
      </c>
      <c r="D248" s="33" t="str">
        <f ca="1">IFERROR(__xludf.DUMMYFUNCTION("""COMPUTED_VALUE"""),"PARTICIPADOS")</f>
        <v>PARTICIPADOS</v>
      </c>
      <c r="E248" s="33">
        <f ca="1">IFERROR(__xludf.DUMMYFUNCTION("""COMPUTED_VALUE"""),2026)</f>
        <v>2026</v>
      </c>
      <c r="F248" s="56">
        <f ca="1">IFERROR(__xludf.DUMMYFUNCTION("""COMPUTED_VALUE"""),2)</f>
        <v>2</v>
      </c>
      <c r="G248" s="33" t="str">
        <f ca="1">IFERROR(__xludf.DUMMYFUNCTION("""COMPUTED_VALUE"""),"Talavera")</f>
        <v>Talavera</v>
      </c>
      <c r="H248" s="33" t="str">
        <f ca="1">IFERROR(__xludf.DUMMYFUNCTION("""COMPUTED_VALUE"""),"C202612917304004894")</f>
        <v>C202612917304004894</v>
      </c>
      <c r="I248" s="33" t="str">
        <f ca="1">IFERROR(__xludf.DUMMYFUNCTION("""COMPUTED_VALUE"""),"MARIA DEL PILAR CHOZAS SERRANO")</f>
        <v>MARIA DEL PILAR CHOZAS SERRANO</v>
      </c>
      <c r="J248" s="57">
        <f ca="1">IFERROR(__xludf.DUMMYFUNCTION("""COMPUTED_VALUE"""),46051)</f>
        <v>46051</v>
      </c>
      <c r="K248" s="33" t="str">
        <f ca="1">IFERROR(__xludf.DUMMYFUNCTION("""COMPUTED_VALUE"""),"Factura audífonos")</f>
        <v>Factura audífonos</v>
      </c>
      <c r="L248" s="57">
        <f ca="1">IFERROR(__xludf.DUMMYFUNCTION("""COMPUTED_VALUE"""),46078)</f>
        <v>46078</v>
      </c>
      <c r="M248" s="64" t="str">
        <f ca="1">IFERROR(__xludf.DUMMYFUNCTION("""COMPUTED_VALUE"""),"NO")</f>
        <v>NO</v>
      </c>
      <c r="N248" s="56">
        <f ca="1">IFERROR(__xludf.DUMMYFUNCTION("""COMPUTED_VALUE"""),2)</f>
        <v>2</v>
      </c>
      <c r="O248" s="64" t="str">
        <f ca="1">IFERROR(__xludf.DUMMYFUNCTION("""COMPUTED_VALUE"""),"CONFORT")</f>
        <v>CONFORT</v>
      </c>
      <c r="P248" s="62">
        <f ca="1">IFERROR(__xludf.DUMMYFUNCTION("""COMPUTED_VALUE"""),3631.82)</f>
        <v>3631.82</v>
      </c>
      <c r="Q248" s="33" t="str">
        <f ca="1">IFERROR(__xludf.DUMMYFUNCTION("""COMPUTED_VALUE"""),"Lisandro Russian")</f>
        <v>Lisandro Russian</v>
      </c>
      <c r="R248" s="33" t="str">
        <f ca="1">IFERROR(__xludf.DUMMYFUNCTION("""COMPUTED_VALUE"""),"Carlos Félix Asensio Nieto")</f>
        <v>Carlos Félix Asensio Nieto</v>
      </c>
      <c r="S248" s="61" t="str">
        <f ca="1">IFERROR(__xludf.DUMMYFUNCTION("""COMPUTED_VALUE"""),"03 ORL")</f>
        <v>03 ORL</v>
      </c>
      <c r="T248" s="33" t="str">
        <f ca="1">IFERROR(__xludf.DUMMYFUNCTION("""COMPUTED_VALUE"""),"06 ORL")</f>
        <v>06 ORL</v>
      </c>
      <c r="U248" s="62"/>
      <c r="W248" s="62"/>
      <c r="X248" s="62"/>
    </row>
    <row r="249" spans="2:31" ht="16">
      <c r="B249" s="55" t="str">
        <f t="shared" ca="1" si="0"/>
        <v>ISL</v>
      </c>
      <c r="C249" s="64" t="str">
        <f ca="1">IFERROR(__xludf.DUMMYFUNCTION("""COMPUTED_VALUE"""),"ISL14")</f>
        <v>ISL14</v>
      </c>
      <c r="D249" s="33" t="str">
        <f ca="1">IFERROR(__xludf.DUMMYFUNCTION("""COMPUTED_VALUE"""),"PROPIOS")</f>
        <v>PROPIOS</v>
      </c>
      <c r="E249" s="33">
        <f ca="1">IFERROR(__xludf.DUMMYFUNCTION("""COMPUTED_VALUE"""),2026)</f>
        <v>2026</v>
      </c>
      <c r="F249" s="56">
        <f ca="1">IFERROR(__xludf.DUMMYFUNCTION("""COMPUTED_VALUE"""),2)</f>
        <v>2</v>
      </c>
      <c r="G249" s="33" t="str">
        <f ca="1">IFERROR(__xludf.DUMMYFUNCTION("""COMPUTED_VALUE"""),"Alicante")</f>
        <v>Alicante</v>
      </c>
      <c r="H249" s="33" t="str">
        <f ca="1">IFERROR(__xludf.DUMMYFUNCTION("""COMPUTED_VALUE"""),"C202612613472119982")</f>
        <v>C202612613472119982</v>
      </c>
      <c r="I249" s="33" t="str">
        <f ca="1">IFERROR(__xludf.DUMMYFUNCTION("""COMPUTED_VALUE"""),"SONIA ARACIL BOIX")</f>
        <v>SONIA ARACIL BOIX</v>
      </c>
      <c r="J249" s="57">
        <f ca="1">IFERROR(__xludf.DUMMYFUNCTION("""COMPUTED_VALUE"""),46048)</f>
        <v>46048</v>
      </c>
      <c r="K249" s="33" t="str">
        <f ca="1">IFERROR(__xludf.DUMMYFUNCTION("""COMPUTED_VALUE"""),"Factura audífonos")</f>
        <v>Factura audífonos</v>
      </c>
      <c r="L249" s="57">
        <f ca="1">IFERROR(__xludf.DUMMYFUNCTION("""COMPUTED_VALUE"""),46079)</f>
        <v>46079</v>
      </c>
      <c r="M249" s="64" t="str">
        <f ca="1">IFERROR(__xludf.DUMMYFUNCTION("""COMPUTED_VALUE"""),"NO")</f>
        <v>NO</v>
      </c>
      <c r="N249" s="56">
        <f ca="1">IFERROR(__xludf.DUMMYFUNCTION("""COMPUTED_VALUE"""),2)</f>
        <v>2</v>
      </c>
      <c r="O249" s="64" t="str">
        <f ca="1">IFERROR(__xludf.DUMMYFUNCTION("""COMPUTED_VALUE"""),"QUIET")</f>
        <v>QUIET</v>
      </c>
      <c r="P249" s="62">
        <f ca="1">IFERROR(__xludf.DUMMYFUNCTION("""COMPUTED_VALUE"""),2718.18)</f>
        <v>2718.18</v>
      </c>
      <c r="Q249" s="33" t="str">
        <f ca="1">IFERROR(__xludf.DUMMYFUNCTION("""COMPUTED_VALUE"""),"Iván Sánchez")</f>
        <v>Iván Sánchez</v>
      </c>
      <c r="R249" s="33" t="str">
        <f ca="1">IFERROR(__xludf.DUMMYFUNCTION("""COMPUTED_VALUE"""),"Carlos Velásquez Fermín")</f>
        <v>Carlos Velásquez Fermín</v>
      </c>
      <c r="S249" s="61" t="str">
        <f ca="1">IFERROR(__xludf.DUMMYFUNCTION("""COMPUTED_VALUE"""),"03 ORL")</f>
        <v>03 ORL</v>
      </c>
      <c r="T249" s="33" t="str">
        <f ca="1">IFERROR(__xludf.DUMMYFUNCTION("""COMPUTED_VALUE"""),"06 ORL")</f>
        <v>06 ORL</v>
      </c>
      <c r="U249" s="62"/>
      <c r="W249" s="62"/>
      <c r="X249" s="62"/>
    </row>
    <row r="250" spans="2:31" ht="16">
      <c r="B250" s="55" t="str">
        <f t="shared" ca="1" si="0"/>
        <v>LRM</v>
      </c>
      <c r="C250" s="64" t="str">
        <f ca="1">IFERROR(__xludf.DUMMYFUNCTION("""COMPUTED_VALUE"""),"LRM52")</f>
        <v>LRM52</v>
      </c>
      <c r="D250" s="33" t="str">
        <f ca="1">IFERROR(__xludf.DUMMYFUNCTION("""COMPUTED_VALUE"""),"ASOCIADOS")</f>
        <v>ASOCIADOS</v>
      </c>
      <c r="E250" s="33">
        <f ca="1">IFERROR(__xludf.DUMMYFUNCTION("""COMPUTED_VALUE"""),2026)</f>
        <v>2026</v>
      </c>
      <c r="F250" s="56">
        <f ca="1">IFERROR(__xludf.DUMMYFUNCTION("""COMPUTED_VALUE"""),2)</f>
        <v>2</v>
      </c>
      <c r="G250" s="33" t="str">
        <f ca="1">IFERROR(__xludf.DUMMYFUNCTION("""COMPUTED_VALUE"""),"Zaragoza- León XIII")</f>
        <v>Zaragoza- León XIII</v>
      </c>
      <c r="H250" s="33" t="str">
        <f ca="1">IFERROR(__xludf.DUMMYFUNCTION("""COMPUTED_VALUE"""),"C202611510254323676")</f>
        <v>C202611510254323676</v>
      </c>
      <c r="I250" s="33" t="str">
        <f ca="1">IFERROR(__xludf.DUMMYFUNCTION("""COMPUTED_VALUE"""),"ANTONIO AGUILAR LAUSÍN")</f>
        <v>ANTONIO AGUILAR LAUSÍN</v>
      </c>
      <c r="J250" s="57">
        <f ca="1">IFERROR(__xludf.DUMMYFUNCTION("""COMPUTED_VALUE"""),46037)</f>
        <v>46037</v>
      </c>
      <c r="K250" s="33" t="str">
        <f ca="1">IFERROR(__xludf.DUMMYFUNCTION("""COMPUTED_VALUE"""),"Factura audífonos")</f>
        <v>Factura audífonos</v>
      </c>
      <c r="L250" s="57">
        <f ca="1">IFERROR(__xludf.DUMMYFUNCTION("""COMPUTED_VALUE"""),46079)</f>
        <v>46079</v>
      </c>
      <c r="M250" s="64" t="str">
        <f ca="1">IFERROR(__xludf.DUMMYFUNCTION("""COMPUTED_VALUE"""),"NO")</f>
        <v>NO</v>
      </c>
      <c r="N250" s="56">
        <f ca="1">IFERROR(__xludf.DUMMYFUNCTION("""COMPUTED_VALUE"""),2)</f>
        <v>2</v>
      </c>
      <c r="O250" s="64" t="str">
        <f ca="1">IFERROR(__xludf.DUMMYFUNCTION("""COMPUTED_VALUE"""),"QUIET")</f>
        <v>QUIET</v>
      </c>
      <c r="P250" s="62">
        <f ca="1">IFERROR(__xludf.DUMMYFUNCTION("""COMPUTED_VALUE"""),2936.78)</f>
        <v>2936.78</v>
      </c>
      <c r="Q250" s="33" t="str">
        <f ca="1">IFERROR(__xludf.DUMMYFUNCTION("""COMPUTED_VALUE"""),"Ignacio Berdejo")</f>
        <v>Ignacio Berdejo</v>
      </c>
      <c r="R250" s="33" t="str">
        <f ca="1">IFERROR(__xludf.DUMMYFUNCTION("""COMPUTED_VALUE"""),"Héctor Vallés Varela")</f>
        <v>Héctor Vallés Varela</v>
      </c>
      <c r="S250" s="61" t="str">
        <f ca="1">IFERROR(__xludf.DUMMYFUNCTION("""COMPUTED_VALUE"""),"03 ORL")</f>
        <v>03 ORL</v>
      </c>
      <c r="T250" s="33" t="str">
        <f ca="1">IFERROR(__xludf.DUMMYFUNCTION("""COMPUTED_VALUE"""),"06 ORL")</f>
        <v>06 ORL</v>
      </c>
      <c r="U250" s="62"/>
      <c r="W250" s="62"/>
      <c r="X250" s="62"/>
    </row>
    <row r="251" spans="2:31" ht="16">
      <c r="B251" s="55" t="str">
        <f t="shared" ca="1" si="0"/>
        <v>ISL</v>
      </c>
      <c r="C251" s="64" t="str">
        <f ca="1">IFERROR(__xludf.DUMMYFUNCTION("""COMPUTED_VALUE"""),"ISL90")</f>
        <v>ISL90</v>
      </c>
      <c r="D251" s="33" t="str">
        <f ca="1">IFERROR(__xludf.DUMMYFUNCTION("""COMPUTED_VALUE"""),"PROPIOS")</f>
        <v>PROPIOS</v>
      </c>
      <c r="E251" s="33">
        <f ca="1">IFERROR(__xludf.DUMMYFUNCTION("""COMPUTED_VALUE"""),2026)</f>
        <v>2026</v>
      </c>
      <c r="F251" s="56">
        <f ca="1">IFERROR(__xludf.DUMMYFUNCTION("""COMPUTED_VALUE"""),2)</f>
        <v>2</v>
      </c>
      <c r="G251" s="33" t="str">
        <f ca="1">IFERROR(__xludf.DUMMYFUNCTION("""COMPUTED_VALUE"""),"San Javier")</f>
        <v>San Javier</v>
      </c>
      <c r="H251" s="33" t="str">
        <f ca="1">IFERROR(__xludf.DUMMYFUNCTION("""COMPUTED_VALUE"""),"C202612617528309365")</f>
        <v>C202612617528309365</v>
      </c>
      <c r="I251" s="33" t="str">
        <f ca="1">IFERROR(__xludf.DUMMYFUNCTION("""COMPUTED_VALUE"""),"LUIS REDONDO NARGANES")</f>
        <v>LUIS REDONDO NARGANES</v>
      </c>
      <c r="J251" s="57">
        <f ca="1">IFERROR(__xludf.DUMMYFUNCTION("""COMPUTED_VALUE"""),46048)</f>
        <v>46048</v>
      </c>
      <c r="K251" s="33" t="str">
        <f ca="1">IFERROR(__xludf.DUMMYFUNCTION("""COMPUTED_VALUE"""),"Factura audífonos")</f>
        <v>Factura audífonos</v>
      </c>
      <c r="L251" s="57">
        <f ca="1">IFERROR(__xludf.DUMMYFUNCTION("""COMPUTED_VALUE"""),46079)</f>
        <v>46079</v>
      </c>
      <c r="M251" s="64" t="str">
        <f ca="1">IFERROR(__xludf.DUMMYFUNCTION("""COMPUTED_VALUE"""),"NO")</f>
        <v>NO</v>
      </c>
      <c r="N251" s="56">
        <f ca="1">IFERROR(__xludf.DUMMYFUNCTION("""COMPUTED_VALUE"""),2)</f>
        <v>2</v>
      </c>
      <c r="O251" s="64" t="str">
        <f ca="1">IFERROR(__xludf.DUMMYFUNCTION("""COMPUTED_VALUE"""),"PRO")</f>
        <v>PRO</v>
      </c>
      <c r="P251" s="62">
        <f ca="1">IFERROR(__xludf.DUMMYFUNCTION("""COMPUTED_VALUE"""),4536.36)</f>
        <v>4536.3599999999997</v>
      </c>
      <c r="Q251" s="33" t="str">
        <f ca="1">IFERROR(__xludf.DUMMYFUNCTION("""COMPUTED_VALUE"""),"Iván Sánchez")</f>
        <v>Iván Sánchez</v>
      </c>
      <c r="R251" s="33" t="str">
        <f ca="1">IFERROR(__xludf.DUMMYFUNCTION("""COMPUTED_VALUE"""),"Ana Giribet Fernández-Pacheco")</f>
        <v>Ana Giribet Fernández-Pacheco</v>
      </c>
      <c r="S251" s="61" t="str">
        <f ca="1">IFERROR(__xludf.DUMMYFUNCTION("""COMPUTED_VALUE"""),"03 ORL")</f>
        <v>03 ORL</v>
      </c>
      <c r="T251" s="33" t="str">
        <f ca="1">IFERROR(__xludf.DUMMYFUNCTION("""COMPUTED_VALUE"""),"06 ORL")</f>
        <v>06 ORL</v>
      </c>
      <c r="U251" s="62"/>
      <c r="W251" s="62"/>
      <c r="X251" s="62"/>
    </row>
    <row r="252" spans="2:31" ht="16">
      <c r="B252" s="55" t="str">
        <f t="shared" ca="1" si="0"/>
        <v>MBM</v>
      </c>
      <c r="C252" s="64" t="str">
        <f ca="1">IFERROR(__xludf.DUMMYFUNCTION("""COMPUTED_VALUE"""),"MBM39")</f>
        <v>MBM39</v>
      </c>
      <c r="D252" s="33" t="str">
        <f ca="1">IFERROR(__xludf.DUMMYFUNCTION("""COMPUTED_VALUE"""),"PROPIOS")</f>
        <v>PROPIOS</v>
      </c>
      <c r="E252" s="33">
        <f ca="1">IFERROR(__xludf.DUMMYFUNCTION("""COMPUTED_VALUE"""),2026)</f>
        <v>2026</v>
      </c>
      <c r="F252" s="56">
        <f ca="1">IFERROR(__xludf.DUMMYFUNCTION("""COMPUTED_VALUE"""),2)</f>
        <v>2</v>
      </c>
      <c r="G252" s="33" t="str">
        <f ca="1">IFERROR(__xludf.DUMMYFUNCTION("""COMPUTED_VALUE"""),"Madrid- Juan Bravo")</f>
        <v>Madrid- Juan Bravo</v>
      </c>
      <c r="H252" s="33" t="str">
        <f ca="1">IFERROR(__xludf.DUMMYFUNCTION("""COMPUTED_VALUE"""),"C202612694221558027")</f>
        <v>C202612694221558027</v>
      </c>
      <c r="I252" s="33" t="str">
        <f ca="1">IFERROR(__xludf.DUMMYFUNCTION("""COMPUTED_VALUE"""),"MARTIN AGUADO BLAZQUEZ")</f>
        <v>MARTIN AGUADO BLAZQUEZ</v>
      </c>
      <c r="J252" s="57">
        <f ca="1">IFERROR(__xludf.DUMMYFUNCTION("""COMPUTED_VALUE"""),46048)</f>
        <v>46048</v>
      </c>
      <c r="K252" s="33" t="str">
        <f ca="1">IFERROR(__xludf.DUMMYFUNCTION("""COMPUTED_VALUE"""),"Factura audífonos")</f>
        <v>Factura audífonos</v>
      </c>
      <c r="L252" s="57">
        <f ca="1">IFERROR(__xludf.DUMMYFUNCTION("""COMPUTED_VALUE"""),46079)</f>
        <v>46079</v>
      </c>
      <c r="M252" s="64" t="str">
        <f ca="1">IFERROR(__xludf.DUMMYFUNCTION("""COMPUTED_VALUE"""),"NO")</f>
        <v>NO</v>
      </c>
      <c r="N252" s="56">
        <f ca="1">IFERROR(__xludf.DUMMYFUNCTION("""COMPUTED_VALUE"""),1)</f>
        <v>1</v>
      </c>
      <c r="O252" s="58" t="str">
        <f ca="1">IFERROR(__xludf.DUMMYFUNCTION("""COMPUTED_VALUE"""),"ADVANCED")</f>
        <v>ADVANCED</v>
      </c>
      <c r="P252" s="62">
        <f ca="1">IFERROR(__xludf.DUMMYFUNCTION("""COMPUTED_VALUE"""),2481.82)</f>
        <v>2481.8200000000002</v>
      </c>
      <c r="Q252" s="33" t="str">
        <f ca="1">IFERROR(__xludf.DUMMYFUNCTION("""COMPUTED_VALUE"""),"Maika Blázquez")</f>
        <v>Maika Blázquez</v>
      </c>
      <c r="R252" s="33" t="str">
        <f ca="1">IFERROR(__xludf.DUMMYFUNCTION("""COMPUTED_VALUE"""),"Javier García Domínguez")</f>
        <v>Javier García Domínguez</v>
      </c>
      <c r="S252" s="61" t="str">
        <f ca="1">IFERROR(__xludf.DUMMYFUNCTION("""COMPUTED_VALUE"""),"03 ORL")</f>
        <v>03 ORL</v>
      </c>
      <c r="T252" s="33" t="str">
        <f ca="1">IFERROR(__xludf.DUMMYFUNCTION("""COMPUTED_VALUE"""),"06 ORL")</f>
        <v>06 ORL</v>
      </c>
      <c r="U252" s="62"/>
      <c r="W252" s="62"/>
      <c r="X252" s="62"/>
    </row>
    <row r="253" spans="2:31" ht="16">
      <c r="B253" s="55" t="str">
        <f t="shared" ca="1" si="0"/>
        <v>#N/</v>
      </c>
      <c r="C253" s="64" t="str">
        <f ca="1">IFERROR(__xludf.DUMMYFUNCTION("""COMPUTED_VALUE"""),"#N/A")</f>
        <v>#N/A</v>
      </c>
      <c r="D253" s="33" t="str">
        <f ca="1">IFERROR(__xludf.DUMMYFUNCTION("""COMPUTED_VALUE"""),"PROPIOS")</f>
        <v>PROPIOS</v>
      </c>
      <c r="E253" s="33">
        <f ca="1">IFERROR(__xludf.DUMMYFUNCTION("""COMPUTED_VALUE"""),2026)</f>
        <v>2026</v>
      </c>
      <c r="F253" s="56">
        <f ca="1">IFERROR(__xludf.DUMMYFUNCTION("""COMPUTED_VALUE"""),2)</f>
        <v>2</v>
      </c>
      <c r="G253" s="33" t="str">
        <f ca="1">IFERROR(__xludf.DUMMYFUNCTION("""COMPUTED_VALUE"""),"San Javier")</f>
        <v>San Javier</v>
      </c>
      <c r="H253" s="33" t="str">
        <f ca="1">IFERROR(__xludf.DUMMYFUNCTION("""COMPUTED_VALUE"""),"C202612215332992198")</f>
        <v>C202612215332992198</v>
      </c>
      <c r="I253" s="33" t="str">
        <f ca="1">IFERROR(__xludf.DUMMYFUNCTION("""COMPUTED_VALUE"""),"FRANCISCA GARCIA LOPEZ")</f>
        <v>FRANCISCA GARCIA LOPEZ</v>
      </c>
      <c r="J253" s="57">
        <f ca="1">IFERROR(__xludf.DUMMYFUNCTION("""COMPUTED_VALUE"""),46044)</f>
        <v>46044</v>
      </c>
      <c r="K253" s="33" t="str">
        <f ca="1">IFERROR(__xludf.DUMMYFUNCTION("""COMPUTED_VALUE"""),"Factura audífonos")</f>
        <v>Factura audífonos</v>
      </c>
      <c r="L253" s="57">
        <f ca="1">IFERROR(__xludf.DUMMYFUNCTION("""COMPUTED_VALUE"""),46079)</f>
        <v>46079</v>
      </c>
      <c r="M253" s="64" t="str">
        <f ca="1">IFERROR(__xludf.DUMMYFUNCTION("""COMPUTED_VALUE"""),"NO")</f>
        <v>NO</v>
      </c>
      <c r="N253" s="56">
        <f ca="1">IFERROR(__xludf.DUMMYFUNCTION("""COMPUTED_VALUE"""),2)</f>
        <v>2</v>
      </c>
      <c r="O253" s="64" t="str">
        <f ca="1">IFERROR(__xludf.DUMMYFUNCTION("""COMPUTED_VALUE"""),"PRO")</f>
        <v>PRO</v>
      </c>
      <c r="P253" s="62">
        <f ca="1">IFERROR(__xludf.DUMMYFUNCTION("""COMPUTED_VALUE"""),4536.36)</f>
        <v>4536.3599999999997</v>
      </c>
      <c r="Q253" s="33" t="str">
        <f ca="1">IFERROR(__xludf.DUMMYFUNCTION("""COMPUTED_VALUE"""),"Iván Sánchez")</f>
        <v>Iván Sánchez</v>
      </c>
      <c r="R253" s="33" t="str">
        <f ca="1">IFERROR(__xludf.DUMMYFUNCTION("""COMPUTED_VALUE"""),"Ángel Onofre Pérez Coll
")</f>
        <v xml:space="preserve">Ángel Onofre Pérez Coll
</v>
      </c>
      <c r="S253" s="61" t="str">
        <f ca="1">IFERROR(__xludf.DUMMYFUNCTION("""COMPUTED_VALUE"""),"03 ORL")</f>
        <v>03 ORL</v>
      </c>
      <c r="T253" s="33" t="str">
        <f ca="1">IFERROR(__xludf.DUMMYFUNCTION("""COMPUTED_VALUE"""),"06 ORL")</f>
        <v>06 ORL</v>
      </c>
      <c r="U253" s="62"/>
      <c r="W253" s="62"/>
      <c r="X253" s="62"/>
    </row>
    <row r="254" spans="2:31" ht="16">
      <c r="B254" s="55" t="str">
        <f t="shared" ca="1" si="0"/>
        <v>ISL</v>
      </c>
      <c r="C254" s="64" t="str">
        <f ca="1">IFERROR(__xludf.DUMMYFUNCTION("""COMPUTED_VALUE"""),"ISL01")</f>
        <v>ISL01</v>
      </c>
      <c r="D254" s="33" t="str">
        <f ca="1">IFERROR(__xludf.DUMMYFUNCTION("""COMPUTED_VALUE"""),"PROPIOS")</f>
        <v>PROPIOS</v>
      </c>
      <c r="E254" s="33">
        <f ca="1">IFERROR(__xludf.DUMMYFUNCTION("""COMPUTED_VALUE"""),2026)</f>
        <v>2026</v>
      </c>
      <c r="F254" s="56">
        <f ca="1">IFERROR(__xludf.DUMMYFUNCTION("""COMPUTED_VALUE"""),2)</f>
        <v>2</v>
      </c>
      <c r="G254" s="33" t="str">
        <f ca="1">IFERROR(__xludf.DUMMYFUNCTION("""COMPUTED_VALUE"""),"San Javier")</f>
        <v>San Javier</v>
      </c>
      <c r="H254" s="33" t="str">
        <f ca="1">IFERROR(__xludf.DUMMYFUNCTION("""COMPUTED_VALUE"""),"C202621391629035747")</f>
        <v>C202621391629035747</v>
      </c>
      <c r="I254" s="33" t="str">
        <f ca="1">IFERROR(__xludf.DUMMYFUNCTION("""COMPUTED_VALUE"""),"MARIA PILAR MARTINEZ GARCERAN")</f>
        <v>MARIA PILAR MARTINEZ GARCERAN</v>
      </c>
      <c r="J254" s="57">
        <f ca="1">IFERROR(__xludf.DUMMYFUNCTION("""COMPUTED_VALUE"""),46066)</f>
        <v>46066</v>
      </c>
      <c r="K254" s="33" t="str">
        <f ca="1">IFERROR(__xludf.DUMMYFUNCTION("""COMPUTED_VALUE"""),"Factura audífonos")</f>
        <v>Factura audífonos</v>
      </c>
      <c r="L254" s="57">
        <f ca="1">IFERROR(__xludf.DUMMYFUNCTION("""COMPUTED_VALUE"""),46079)</f>
        <v>46079</v>
      </c>
      <c r="M254" s="64" t="str">
        <f ca="1">IFERROR(__xludf.DUMMYFUNCTION("""COMPUTED_VALUE"""),"NO")</f>
        <v>NO</v>
      </c>
      <c r="N254" s="56">
        <f ca="1">IFERROR(__xludf.DUMMYFUNCTION("""COMPUTED_VALUE"""),2)</f>
        <v>2</v>
      </c>
      <c r="O254" s="64" t="str">
        <f ca="1">IFERROR(__xludf.DUMMYFUNCTION("""COMPUTED_VALUE"""),"PRO")</f>
        <v>PRO</v>
      </c>
      <c r="P254" s="62">
        <f ca="1">IFERROR(__xludf.DUMMYFUNCTION("""COMPUTED_VALUE"""),4536.36)</f>
        <v>4536.3599999999997</v>
      </c>
      <c r="Q254" s="33" t="str">
        <f ca="1">IFERROR(__xludf.DUMMYFUNCTION("""COMPUTED_VALUE"""),"Iván Sánchez")</f>
        <v>Iván Sánchez</v>
      </c>
      <c r="R254" s="33" t="str">
        <f ca="1">IFERROR(__xludf.DUMMYFUNCTION("""COMPUTED_VALUE"""),"Alberto Raposo Jiménez")</f>
        <v>Alberto Raposo Jiménez</v>
      </c>
      <c r="S254" s="61" t="str">
        <f ca="1">IFERROR(__xludf.DUMMYFUNCTION("""COMPUTED_VALUE"""),"03 ORL")</f>
        <v>03 ORL</v>
      </c>
      <c r="T254" s="33" t="str">
        <f ca="1">IFERROR(__xludf.DUMMYFUNCTION("""COMPUTED_VALUE"""),"06 ORL")</f>
        <v>06 ORL</v>
      </c>
      <c r="U254" s="62"/>
      <c r="W254" s="62"/>
      <c r="X254" s="62"/>
    </row>
    <row r="255" spans="2:31" ht="16">
      <c r="B255" s="55" t="str">
        <f t="shared" ca="1" si="0"/>
        <v>MBM</v>
      </c>
      <c r="C255" s="64" t="str">
        <f ca="1">IFERROR(__xludf.DUMMYFUNCTION("""COMPUTED_VALUE"""),"MBM18")</f>
        <v>MBM18</v>
      </c>
      <c r="D255" s="33" t="str">
        <f ca="1">IFERROR(__xludf.DUMMYFUNCTION("""COMPUTED_VALUE"""),"PROPIOS")</f>
        <v>PROPIOS</v>
      </c>
      <c r="E255" s="33">
        <f ca="1">IFERROR(__xludf.DUMMYFUNCTION("""COMPUTED_VALUE"""),2026)</f>
        <v>2026</v>
      </c>
      <c r="F255" s="56">
        <f ca="1">IFERROR(__xludf.DUMMYFUNCTION("""COMPUTED_VALUE"""),2)</f>
        <v>2</v>
      </c>
      <c r="G255" s="33" t="str">
        <f ca="1">IFERROR(__xludf.DUMMYFUNCTION("""COMPUTED_VALUE"""),"Madrid- Moratalaz")</f>
        <v>Madrid- Moratalaz</v>
      </c>
      <c r="H255" s="33" t="str">
        <f ca="1">IFERROR(__xludf.DUMMYFUNCTION("""COMPUTED_VALUE"""),"C202622085534244744")</f>
        <v>C202622085534244744</v>
      </c>
      <c r="I255" s="33" t="str">
        <f ca="1">IFERROR(__xludf.DUMMYFUNCTION("""COMPUTED_VALUE"""),"MARIA  MATEO HERNANDEZ")</f>
        <v>MARIA  MATEO HERNANDEZ</v>
      </c>
      <c r="J255" s="57">
        <f ca="1">IFERROR(__xludf.DUMMYFUNCTION("""COMPUTED_VALUE"""),46073)</f>
        <v>46073</v>
      </c>
      <c r="K255" s="33" t="str">
        <f ca="1">IFERROR(__xludf.DUMMYFUNCTION("""COMPUTED_VALUE"""),"Factura audífonos")</f>
        <v>Factura audífonos</v>
      </c>
      <c r="L255" s="57">
        <f ca="1">IFERROR(__xludf.DUMMYFUNCTION("""COMPUTED_VALUE"""),46079)</f>
        <v>46079</v>
      </c>
      <c r="M255" s="64" t="str">
        <f ca="1">IFERROR(__xludf.DUMMYFUNCTION("""COMPUTED_VALUE"""),"NO")</f>
        <v>NO</v>
      </c>
      <c r="N255" s="56">
        <f ca="1">IFERROR(__xludf.DUMMYFUNCTION("""COMPUTED_VALUE"""),2)</f>
        <v>2</v>
      </c>
      <c r="O255" s="64" t="str">
        <f ca="1">IFERROR(__xludf.DUMMYFUNCTION("""COMPUTED_VALUE"""),"CONFORT")</f>
        <v>CONFORT</v>
      </c>
      <c r="P255" s="62">
        <f ca="1">IFERROR(__xludf.DUMMYFUNCTION("""COMPUTED_VALUE"""),3631.82)</f>
        <v>3631.82</v>
      </c>
      <c r="Q255" s="33" t="str">
        <f ca="1">IFERROR(__xludf.DUMMYFUNCTION("""COMPUTED_VALUE"""),"Maika Blázquez")</f>
        <v>Maika Blázquez</v>
      </c>
      <c r="R255" s="33" t="str">
        <f ca="1">IFERROR(__xludf.DUMMYFUNCTION("""COMPUTED_VALUE"""),"Esteban Scola Pliego")</f>
        <v>Esteban Scola Pliego</v>
      </c>
      <c r="S255" s="61" t="str">
        <f ca="1">IFERROR(__xludf.DUMMYFUNCTION("""COMPUTED_VALUE"""),"03 ORL")</f>
        <v>03 ORL</v>
      </c>
      <c r="T255" s="33" t="str">
        <f ca="1">IFERROR(__xludf.DUMMYFUNCTION("""COMPUTED_VALUE"""),"06 ORL")</f>
        <v>06 ORL</v>
      </c>
      <c r="U255" s="62"/>
      <c r="W255" s="62"/>
      <c r="X255" s="62"/>
    </row>
    <row r="256" spans="2:31" ht="16">
      <c r="B256" s="55" t="str">
        <f t="shared" ca="1" si="0"/>
        <v>ISL</v>
      </c>
      <c r="C256" s="64" t="str">
        <f ca="1">IFERROR(__xludf.DUMMYFUNCTION("""COMPUTED_VALUE"""),"ISL99")</f>
        <v>ISL99</v>
      </c>
      <c r="D256" s="33" t="str">
        <f ca="1">IFERROR(__xludf.DUMMYFUNCTION("""COMPUTED_VALUE"""),"PROPIOS")</f>
        <v>PROPIOS</v>
      </c>
      <c r="E256" s="33">
        <f ca="1">IFERROR(__xludf.DUMMYFUNCTION("""COMPUTED_VALUE"""),2026)</f>
        <v>2026</v>
      </c>
      <c r="F256" s="56">
        <f ca="1">IFERROR(__xludf.DUMMYFUNCTION("""COMPUTED_VALUE"""),2)</f>
        <v>2</v>
      </c>
      <c r="G256" s="33" t="str">
        <f ca="1">IFERROR(__xludf.DUMMYFUNCTION("""COMPUTED_VALUE"""),"Alicante")</f>
        <v>Alicante</v>
      </c>
      <c r="H256" s="33" t="str">
        <f ca="1">IFERROR(__xludf.DUMMYFUNCTION("""COMPUTED_VALUE"""),"ALC-3827")</f>
        <v>ALC-3827</v>
      </c>
      <c r="I256" s="33" t="str">
        <f ca="1">IFERROR(__xludf.DUMMYFUNCTION("""COMPUTED_VALUE"""),"RICARDO MARTINEZ CABAÑAS ESPAÑOL")</f>
        <v>RICARDO MARTINEZ CABAÑAS ESPAÑOL</v>
      </c>
      <c r="J256" s="57">
        <f ca="1">IFERROR(__xludf.DUMMYFUNCTION("""COMPUTED_VALUE"""),45348)</f>
        <v>45348</v>
      </c>
      <c r="K256" s="33" t="str">
        <f ca="1">IFERROR(__xludf.DUMMYFUNCTION("""COMPUTED_VALUE"""),"Factura audífonos")</f>
        <v>Factura audífonos</v>
      </c>
      <c r="L256" s="57">
        <f ca="1">IFERROR(__xludf.DUMMYFUNCTION("""COMPUTED_VALUE"""),46079)</f>
        <v>46079</v>
      </c>
      <c r="M256" s="64" t="str">
        <f ca="1">IFERROR(__xludf.DUMMYFUNCTION("""COMPUTED_VALUE"""),"NO")</f>
        <v>NO</v>
      </c>
      <c r="N256" s="56">
        <f ca="1">IFERROR(__xludf.DUMMYFUNCTION("""COMPUTED_VALUE"""),2)</f>
        <v>2</v>
      </c>
      <c r="O256" s="64" t="str">
        <f ca="1">IFERROR(__xludf.DUMMYFUNCTION("""COMPUTED_VALUE"""),"CONFORT")</f>
        <v>CONFORT</v>
      </c>
      <c r="P256" s="62">
        <f ca="1">IFERROR(__xludf.DUMMYFUNCTION("""COMPUTED_VALUE"""),3631.82)</f>
        <v>3631.82</v>
      </c>
      <c r="Q256" s="33" t="str">
        <f ca="1">IFERROR(__xludf.DUMMYFUNCTION("""COMPUTED_VALUE"""),"Iván Sánchez")</f>
        <v>Iván Sánchez</v>
      </c>
      <c r="R256" s="33" t="str">
        <f ca="1">IFERROR(__xludf.DUMMYFUNCTION("""COMPUTED_VALUE"""),"Cristina Muñoz Pinto")</f>
        <v>Cristina Muñoz Pinto</v>
      </c>
      <c r="S256" s="61" t="str">
        <f ca="1">IFERROR(__xludf.DUMMYFUNCTION("""COMPUTED_VALUE"""),"03 ORL")</f>
        <v>03 ORL</v>
      </c>
      <c r="T256" s="33" t="str">
        <f ca="1">IFERROR(__xludf.DUMMYFUNCTION("""COMPUTED_VALUE"""),"06 ORL")</f>
        <v>06 ORL</v>
      </c>
      <c r="U256" s="62"/>
      <c r="W256" s="62"/>
      <c r="X256" s="62"/>
      <c r="AE256" s="1"/>
    </row>
    <row r="257" spans="2:31" ht="16">
      <c r="B257" s="55" t="str">
        <f t="shared" ref="B257:B511" ca="1" si="1">IF($C257="","",LEFT(C257,3))</f>
        <v>ISL</v>
      </c>
      <c r="C257" s="64" t="str">
        <f ca="1">IFERROR(__xludf.DUMMYFUNCTION("""COMPUTED_VALUE"""),"ISL104")</f>
        <v>ISL104</v>
      </c>
      <c r="D257" s="33" t="str">
        <f ca="1">IFERROR(__xludf.DUMMYFUNCTION("""COMPUTED_VALUE"""),"PROPIOS")</f>
        <v>PROPIOS</v>
      </c>
      <c r="E257" s="33">
        <f ca="1">IFERROR(__xludf.DUMMYFUNCTION("""COMPUTED_VALUE"""),2026)</f>
        <v>2026</v>
      </c>
      <c r="F257" s="56">
        <f ca="1">IFERROR(__xludf.DUMMYFUNCTION("""COMPUTED_VALUE"""),2)</f>
        <v>2</v>
      </c>
      <c r="G257" s="33" t="str">
        <f ca="1">IFERROR(__xludf.DUMMYFUNCTION("""COMPUTED_VALUE"""),"El Albir (Benidorm)")</f>
        <v>El Albir (Benidorm)</v>
      </c>
      <c r="H257" s="33" t="str">
        <f ca="1">IFERROR(__xludf.DUMMYFUNCTION("""COMPUTED_VALUE"""),"C202512191013203444")</f>
        <v>C202512191013203444</v>
      </c>
      <c r="I257" s="33" t="str">
        <f ca="1">IFERROR(__xludf.DUMMYFUNCTION("""COMPUTED_VALUE"""),"RUTH ESTEVE MARTINEZ")</f>
        <v>RUTH ESTEVE MARTINEZ</v>
      </c>
      <c r="J257" s="57">
        <f ca="1">IFERROR(__xludf.DUMMYFUNCTION("""COMPUTED_VALUE"""),46010)</f>
        <v>46010</v>
      </c>
      <c r="K257" s="33" t="str">
        <f ca="1">IFERROR(__xludf.DUMMYFUNCTION("""COMPUTED_VALUE"""),"Factura audífonos")</f>
        <v>Factura audífonos</v>
      </c>
      <c r="L257" s="57">
        <f ca="1">IFERROR(__xludf.DUMMYFUNCTION("""COMPUTED_VALUE"""),46079)</f>
        <v>46079</v>
      </c>
      <c r="M257" s="58" t="str">
        <f ca="1">IFERROR(__xludf.DUMMYFUNCTION("""COMPUTED_VALUE"""),"NO")</f>
        <v>NO</v>
      </c>
      <c r="N257" s="56">
        <f ca="1">IFERROR(__xludf.DUMMYFUNCTION("""COMPUTED_VALUE"""),1)</f>
        <v>1</v>
      </c>
      <c r="O257" s="64" t="str">
        <f ca="1">IFERROR(__xludf.DUMMYFUNCTION("""COMPUTED_VALUE"""),"CONFORT")</f>
        <v>CONFORT</v>
      </c>
      <c r="P257" s="62">
        <f ca="1">IFERROR(__xludf.DUMMYFUNCTION("""COMPUTED_VALUE"""),2071.86)</f>
        <v>2071.86</v>
      </c>
      <c r="Q257" s="33" t="str">
        <f ca="1">IFERROR(__xludf.DUMMYFUNCTION("""COMPUTED_VALUE"""),"Ramon Ferrando")</f>
        <v>Ramon Ferrando</v>
      </c>
      <c r="R257" s="33" t="str">
        <f ca="1">IFERROR(__xludf.DUMMYFUNCTION("""COMPUTED_VALUE"""),"Isabel Polo Tomás")</f>
        <v>Isabel Polo Tomás</v>
      </c>
      <c r="S257" s="61" t="str">
        <f ca="1">IFERROR(__xludf.DUMMYFUNCTION("""COMPUTED_VALUE"""),"03 ORL")</f>
        <v>03 ORL</v>
      </c>
      <c r="T257" s="33" t="str">
        <f ca="1">IFERROR(__xludf.DUMMYFUNCTION("""COMPUTED_VALUE"""),"06 ORL")</f>
        <v>06 ORL</v>
      </c>
      <c r="U257" s="62"/>
      <c r="W257" s="62"/>
      <c r="X257" s="62"/>
    </row>
    <row r="258" spans="2:31" ht="16">
      <c r="B258" s="55" t="str">
        <f t="shared" ca="1" si="1"/>
        <v>RFV</v>
      </c>
      <c r="C258" s="64" t="str">
        <f ca="1">IFERROR(__xludf.DUMMYFUNCTION("""COMPUTED_VALUE"""),"RFV38")</f>
        <v>RFV38</v>
      </c>
      <c r="D258" s="33" t="str">
        <f ca="1">IFERROR(__xludf.DUMMYFUNCTION("""COMPUTED_VALUE"""),"PROPIOS")</f>
        <v>PROPIOS</v>
      </c>
      <c r="E258" s="33">
        <f ca="1">IFERROR(__xludf.DUMMYFUNCTION("""COMPUTED_VALUE"""),2026)</f>
        <v>2026</v>
      </c>
      <c r="F258" s="56">
        <f ca="1">IFERROR(__xludf.DUMMYFUNCTION("""COMPUTED_VALUE"""),2)</f>
        <v>2</v>
      </c>
      <c r="G258" s="33" t="str">
        <f ca="1">IFERROR(__xludf.DUMMYFUNCTION("""COMPUTED_VALUE"""),"El Albir (Benidorm)")</f>
        <v>El Albir (Benidorm)</v>
      </c>
      <c r="H258" s="33" t="str">
        <f ca="1">IFERROR(__xludf.DUMMYFUNCTION("""COMPUTED_VALUE"""),"C202615125517101826")</f>
        <v>C202615125517101826</v>
      </c>
      <c r="I258" s="33" t="str">
        <f ca="1">IFERROR(__xludf.DUMMYFUNCTION("""COMPUTED_VALUE"""),"MARIA PILAR DIAZ LOPEZ")</f>
        <v>MARIA PILAR DIAZ LOPEZ</v>
      </c>
      <c r="J258" s="57">
        <f ca="1">IFERROR(__xludf.DUMMYFUNCTION("""COMPUTED_VALUE"""),46027)</f>
        <v>46027</v>
      </c>
      <c r="K258" s="33" t="str">
        <f ca="1">IFERROR(__xludf.DUMMYFUNCTION("""COMPUTED_VALUE"""),"Factura audífonos")</f>
        <v>Factura audífonos</v>
      </c>
      <c r="L258" s="57">
        <f ca="1">IFERROR(__xludf.DUMMYFUNCTION("""COMPUTED_VALUE"""),46079)</f>
        <v>46079</v>
      </c>
      <c r="M258" s="64" t="str">
        <f ca="1">IFERROR(__xludf.DUMMYFUNCTION("""COMPUTED_VALUE"""),"NO")</f>
        <v>NO</v>
      </c>
      <c r="N258" s="56">
        <f ca="1">IFERROR(__xludf.DUMMYFUNCTION("""COMPUTED_VALUE"""),1)</f>
        <v>1</v>
      </c>
      <c r="O258" s="58" t="str">
        <f ca="1">IFERROR(__xludf.DUMMYFUNCTION("""COMPUTED_VALUE"""),"CONFORT")</f>
        <v>CONFORT</v>
      </c>
      <c r="P258" s="62">
        <f ca="1">IFERROR(__xludf.DUMMYFUNCTION("""COMPUTED_VALUE"""),2180.91)</f>
        <v>2180.91</v>
      </c>
      <c r="Q258" s="33" t="str">
        <f ca="1">IFERROR(__xludf.DUMMYFUNCTION("""COMPUTED_VALUE"""),"Ramon Ferrando")</f>
        <v>Ramon Ferrando</v>
      </c>
      <c r="R258" s="33" t="str">
        <f ca="1">IFERROR(__xludf.DUMMYFUNCTION("""COMPUTED_VALUE"""),"María Emilia García Ruiz")</f>
        <v>María Emilia García Ruiz</v>
      </c>
      <c r="S258" s="61" t="str">
        <f ca="1">IFERROR(__xludf.DUMMYFUNCTION("""COMPUTED_VALUE"""),"03 ORL")</f>
        <v>03 ORL</v>
      </c>
      <c r="T258" s="33" t="str">
        <f ca="1">IFERROR(__xludf.DUMMYFUNCTION("""COMPUTED_VALUE"""),"06 ORL")</f>
        <v>06 ORL</v>
      </c>
      <c r="U258" s="62"/>
      <c r="W258" s="62"/>
      <c r="X258" s="62"/>
    </row>
    <row r="259" spans="2:31" ht="16">
      <c r="B259" s="55" t="str">
        <f t="shared" ca="1" si="1"/>
        <v>ISL</v>
      </c>
      <c r="C259" s="64" t="str">
        <f ca="1">IFERROR(__xludf.DUMMYFUNCTION("""COMPUTED_VALUE"""),"ISL76")</f>
        <v>ISL76</v>
      </c>
      <c r="D259" s="33" t="str">
        <f ca="1">IFERROR(__xludf.DUMMYFUNCTION("""COMPUTED_VALUE"""),"PROPIOS")</f>
        <v>PROPIOS</v>
      </c>
      <c r="E259" s="33">
        <f ca="1">IFERROR(__xludf.DUMMYFUNCTION("""COMPUTED_VALUE"""),2026)</f>
        <v>2026</v>
      </c>
      <c r="F259" s="56">
        <f ca="1">IFERROR(__xludf.DUMMYFUNCTION("""COMPUTED_VALUE"""),2)</f>
        <v>2</v>
      </c>
      <c r="G259" s="33" t="str">
        <f ca="1">IFERROR(__xludf.DUMMYFUNCTION("""COMPUTED_VALUE"""),"Albacete")</f>
        <v>Albacete</v>
      </c>
      <c r="H259" s="33" t="str">
        <f ca="1">IFERROR(__xludf.DUMMYFUNCTION("""COMPUTED_VALUE"""),"C202612111484650878")</f>
        <v>C202612111484650878</v>
      </c>
      <c r="I259" s="33" t="str">
        <f ca="1">IFERROR(__xludf.DUMMYFUNCTION("""COMPUTED_VALUE"""),"MARIA CARMEN PINA DE YLLANA")</f>
        <v>MARIA CARMEN PINA DE YLLANA</v>
      </c>
      <c r="J259" s="57">
        <f ca="1">IFERROR(__xludf.DUMMYFUNCTION("""COMPUTED_VALUE"""),46043)</f>
        <v>46043</v>
      </c>
      <c r="K259" s="33" t="str">
        <f ca="1">IFERROR(__xludf.DUMMYFUNCTION("""COMPUTED_VALUE"""),"Factura audífonos")</f>
        <v>Factura audífonos</v>
      </c>
      <c r="L259" s="57">
        <f ca="1">IFERROR(__xludf.DUMMYFUNCTION("""COMPUTED_VALUE"""),46079)</f>
        <v>46079</v>
      </c>
      <c r="M259" s="64" t="str">
        <f ca="1">IFERROR(__xludf.DUMMYFUNCTION("""COMPUTED_VALUE"""),"NO")</f>
        <v>NO</v>
      </c>
      <c r="N259" s="56">
        <f ca="1">IFERROR(__xludf.DUMMYFUNCTION("""COMPUTED_VALUE"""),2)</f>
        <v>2</v>
      </c>
      <c r="O259" s="64" t="str">
        <f ca="1">IFERROR(__xludf.DUMMYFUNCTION("""COMPUTED_VALUE"""),"ADVANCED")</f>
        <v>ADVANCED</v>
      </c>
      <c r="P259" s="62">
        <f ca="1">IFERROR(__xludf.DUMMYFUNCTION("""COMPUTED_VALUE"""),4136.36)</f>
        <v>4136.3599999999997</v>
      </c>
      <c r="Q259" s="33" t="str">
        <f ca="1">IFERROR(__xludf.DUMMYFUNCTION("""COMPUTED_VALUE"""),"Iván Sánchez")</f>
        <v>Iván Sánchez</v>
      </c>
      <c r="R259" s="33" t="str">
        <f ca="1">IFERROR(__xludf.DUMMYFUNCTION("""COMPUTED_VALUE"""),"Pedro Seguí Moya")</f>
        <v>Pedro Seguí Moya</v>
      </c>
      <c r="S259" s="61" t="str">
        <f ca="1">IFERROR(__xludf.DUMMYFUNCTION("""COMPUTED_VALUE"""),"03 ORL")</f>
        <v>03 ORL</v>
      </c>
      <c r="T259" s="33" t="str">
        <f ca="1">IFERROR(__xludf.DUMMYFUNCTION("""COMPUTED_VALUE"""),"06 ORL")</f>
        <v>06 ORL</v>
      </c>
      <c r="U259" s="62"/>
      <c r="W259" s="62"/>
      <c r="X259" s="62"/>
    </row>
    <row r="260" spans="2:31" ht="16">
      <c r="B260" s="55" t="str">
        <f t="shared" ca="1" si="1"/>
        <v>ISL</v>
      </c>
      <c r="C260" s="64" t="str">
        <f ca="1">IFERROR(__xludf.DUMMYFUNCTION("""COMPUTED_VALUE"""),"ISL120")</f>
        <v>ISL120</v>
      </c>
      <c r="D260" s="33" t="str">
        <f ca="1">IFERROR(__xludf.DUMMYFUNCTION("""COMPUTED_VALUE"""),"PROPIOS")</f>
        <v>PROPIOS</v>
      </c>
      <c r="E260" s="33">
        <f ca="1">IFERROR(__xludf.DUMMYFUNCTION("""COMPUTED_VALUE"""),2026)</f>
        <v>2026</v>
      </c>
      <c r="F260" s="56">
        <f ca="1">IFERROR(__xludf.DUMMYFUNCTION("""COMPUTED_VALUE"""),2)</f>
        <v>2</v>
      </c>
      <c r="G260" s="33" t="str">
        <f ca="1">IFERROR(__xludf.DUMMYFUNCTION("""COMPUTED_VALUE"""),"Murcia")</f>
        <v>Murcia</v>
      </c>
      <c r="H260" s="33" t="str">
        <f ca="1">IFERROR(__xludf.DUMMYFUNCTION("""COMPUTED_VALUE"""),"C202612912325824973")</f>
        <v>C202612912325824973</v>
      </c>
      <c r="I260" s="33" t="str">
        <f ca="1">IFERROR(__xludf.DUMMYFUNCTION("""COMPUTED_VALUE"""),"FRANCISCO LAZARO NICOLAS")</f>
        <v>FRANCISCO LAZARO NICOLAS</v>
      </c>
      <c r="J260" s="57">
        <f ca="1">IFERROR(__xludf.DUMMYFUNCTION("""COMPUTED_VALUE"""),46051)</f>
        <v>46051</v>
      </c>
      <c r="K260" s="33" t="str">
        <f ca="1">IFERROR(__xludf.DUMMYFUNCTION("""COMPUTED_VALUE"""),"Factura audífonos")</f>
        <v>Factura audífonos</v>
      </c>
      <c r="L260" s="57">
        <f ca="1">IFERROR(__xludf.DUMMYFUNCTION("""COMPUTED_VALUE"""),46079)</f>
        <v>46079</v>
      </c>
      <c r="M260" s="64" t="str">
        <f ca="1">IFERROR(__xludf.DUMMYFUNCTION("""COMPUTED_VALUE"""),"NO")</f>
        <v>NO</v>
      </c>
      <c r="N260" s="56">
        <f ca="1">IFERROR(__xludf.DUMMYFUNCTION("""COMPUTED_VALUE"""),2)</f>
        <v>2</v>
      </c>
      <c r="O260" s="64" t="str">
        <f ca="1">IFERROR(__xludf.DUMMYFUNCTION("""COMPUTED_VALUE"""),"ADVANCED")</f>
        <v>ADVANCED</v>
      </c>
      <c r="P260" s="62">
        <f ca="1">IFERROR(__xludf.DUMMYFUNCTION("""COMPUTED_VALUE"""),4134.62)</f>
        <v>4134.62</v>
      </c>
      <c r="Q260" s="33" t="str">
        <f ca="1">IFERROR(__xludf.DUMMYFUNCTION("""COMPUTED_VALUE"""),"Iván Sánchez")</f>
        <v>Iván Sánchez</v>
      </c>
      <c r="R260" s="33" t="str">
        <f ca="1">IFERROR(__xludf.DUMMYFUNCTION("""COMPUTED_VALUE"""),"María López Robles")</f>
        <v>María López Robles</v>
      </c>
      <c r="S260" s="61" t="str">
        <f ca="1">IFERROR(__xludf.DUMMYFUNCTION("""COMPUTED_VALUE"""),"03 ORL")</f>
        <v>03 ORL</v>
      </c>
      <c r="T260" s="33" t="str">
        <f ca="1">IFERROR(__xludf.DUMMYFUNCTION("""COMPUTED_VALUE"""),"06 ORL")</f>
        <v>06 ORL</v>
      </c>
      <c r="U260" s="62"/>
      <c r="W260" s="62"/>
      <c r="X260" s="62"/>
    </row>
    <row r="261" spans="2:31" ht="16">
      <c r="B261" s="55" t="str">
        <f t="shared" ca="1" si="1"/>
        <v>ISL</v>
      </c>
      <c r="C261" s="64" t="str">
        <f ca="1">IFERROR(__xludf.DUMMYFUNCTION("""COMPUTED_VALUE"""),"ISL25")</f>
        <v>ISL25</v>
      </c>
      <c r="D261" s="33" t="str">
        <f ca="1">IFERROR(__xludf.DUMMYFUNCTION("""COMPUTED_VALUE"""),"PROPIOS")</f>
        <v>PROPIOS</v>
      </c>
      <c r="E261" s="33">
        <f ca="1">IFERROR(__xludf.DUMMYFUNCTION("""COMPUTED_VALUE"""),2026)</f>
        <v>2026</v>
      </c>
      <c r="F261" s="56">
        <f ca="1">IFERROR(__xludf.DUMMYFUNCTION("""COMPUTED_VALUE"""),2)</f>
        <v>2</v>
      </c>
      <c r="G261" s="33" t="str">
        <f ca="1">IFERROR(__xludf.DUMMYFUNCTION("""COMPUTED_VALUE"""),"Murcia")</f>
        <v>Murcia</v>
      </c>
      <c r="H261" s="33" t="str">
        <f ca="1">IFERROR(__xludf.DUMMYFUNCTION("""COMPUTED_VALUE"""),"C20262391419663611")</f>
        <v>C20262391419663611</v>
      </c>
      <c r="I261" s="33" t="str">
        <f ca="1">IFERROR(__xludf.DUMMYFUNCTION("""COMPUTED_VALUE"""),"MARIA TERESA ORBAÑANOS LARROUY")</f>
        <v>MARIA TERESA ORBAÑANOS LARROUY</v>
      </c>
      <c r="J261" s="57">
        <f ca="1">IFERROR(__xludf.DUMMYFUNCTION("""COMPUTED_VALUE"""),46056)</f>
        <v>46056</v>
      </c>
      <c r="K261" s="33" t="str">
        <f ca="1">IFERROR(__xludf.DUMMYFUNCTION("""COMPUTED_VALUE"""),"Factura audífonos")</f>
        <v>Factura audífonos</v>
      </c>
      <c r="L261" s="57">
        <f ca="1">IFERROR(__xludf.DUMMYFUNCTION("""COMPUTED_VALUE"""),46079)</f>
        <v>46079</v>
      </c>
      <c r="M261" s="64" t="str">
        <f ca="1">IFERROR(__xludf.DUMMYFUNCTION("""COMPUTED_VALUE"""),"NO")</f>
        <v>NO</v>
      </c>
      <c r="N261" s="56">
        <f ca="1">IFERROR(__xludf.DUMMYFUNCTION("""COMPUTED_VALUE"""),2)</f>
        <v>2</v>
      </c>
      <c r="O261" s="64" t="str">
        <f ca="1">IFERROR(__xludf.DUMMYFUNCTION("""COMPUTED_VALUE"""),"QUIET")</f>
        <v>QUIET</v>
      </c>
      <c r="P261" s="62">
        <f ca="1">IFERROR(__xludf.DUMMYFUNCTION("""COMPUTED_VALUE"""),2718.18)</f>
        <v>2718.18</v>
      </c>
      <c r="Q261" s="33" t="str">
        <f ca="1">IFERROR(__xludf.DUMMYFUNCTION("""COMPUTED_VALUE"""),"Iván Sánchez")</f>
        <v>Iván Sánchez</v>
      </c>
      <c r="R261" s="33" t="str">
        <f ca="1">IFERROR(__xludf.DUMMYFUNCTION("""COMPUTED_VALUE"""),"Enrique Viviente Rodríguez")</f>
        <v>Enrique Viviente Rodríguez</v>
      </c>
      <c r="S261" s="61" t="str">
        <f ca="1">IFERROR(__xludf.DUMMYFUNCTION("""COMPUTED_VALUE"""),"03 ORL")</f>
        <v>03 ORL</v>
      </c>
      <c r="T261" s="33" t="str">
        <f ca="1">IFERROR(__xludf.DUMMYFUNCTION("""COMPUTED_VALUE"""),"06 ORL")</f>
        <v>06 ORL</v>
      </c>
      <c r="U261" s="62"/>
      <c r="W261" s="62"/>
      <c r="X261" s="62"/>
    </row>
    <row r="262" spans="2:31" ht="16">
      <c r="B262" s="55" t="str">
        <f t="shared" ca="1" si="1"/>
        <v>MBM</v>
      </c>
      <c r="C262" s="64" t="str">
        <f ca="1">IFERROR(__xludf.DUMMYFUNCTION("""COMPUTED_VALUE"""),"MBM165")</f>
        <v>MBM165</v>
      </c>
      <c r="D262" s="33" t="str">
        <f ca="1">IFERROR(__xludf.DUMMYFUNCTION("""COMPUTED_VALUE"""),"PROPIOS")</f>
        <v>PROPIOS</v>
      </c>
      <c r="E262" s="33">
        <f ca="1">IFERROR(__xludf.DUMMYFUNCTION("""COMPUTED_VALUE"""),2026)</f>
        <v>2026</v>
      </c>
      <c r="F262" s="56">
        <f ca="1">IFERROR(__xludf.DUMMYFUNCTION("""COMPUTED_VALUE"""),2)</f>
        <v>2</v>
      </c>
      <c r="G262" s="33" t="str">
        <f ca="1">IFERROR(__xludf.DUMMYFUNCTION("""COMPUTED_VALUE"""),"Getafe")</f>
        <v>Getafe</v>
      </c>
      <c r="H262" s="33" t="str">
        <f ca="1">IFERROR(__xludf.DUMMYFUNCTION("""COMPUTED_VALUE"""),"C202622143610588879")</f>
        <v>C202622143610588879</v>
      </c>
      <c r="I262" s="33" t="str">
        <f ca="1">IFERROR(__xludf.DUMMYFUNCTION("""COMPUTED_VALUE"""),"JOSE LUIS DOMINGUEZ ALONSO")</f>
        <v>JOSE LUIS DOMINGUEZ ALONSO</v>
      </c>
      <c r="J262" s="57">
        <f ca="1">IFERROR(__xludf.DUMMYFUNCTION("""COMPUTED_VALUE"""),46055)</f>
        <v>46055</v>
      </c>
      <c r="K262" s="33" t="str">
        <f ca="1">IFERROR(__xludf.DUMMYFUNCTION("""COMPUTED_VALUE"""),"Factura audífonos")</f>
        <v>Factura audífonos</v>
      </c>
      <c r="L262" s="57">
        <f ca="1">IFERROR(__xludf.DUMMYFUNCTION("""COMPUTED_VALUE"""),46079)</f>
        <v>46079</v>
      </c>
      <c r="M262" s="64" t="str">
        <f ca="1">IFERROR(__xludf.DUMMYFUNCTION("""COMPUTED_VALUE"""),"NO")</f>
        <v>NO</v>
      </c>
      <c r="N262" s="56">
        <f ca="1">IFERROR(__xludf.DUMMYFUNCTION("""COMPUTED_VALUE"""),2)</f>
        <v>2</v>
      </c>
      <c r="O262" s="58" t="str">
        <f ca="1">IFERROR(__xludf.DUMMYFUNCTION("""COMPUTED_VALUE"""),"QUIET")</f>
        <v>QUIET</v>
      </c>
      <c r="P262" s="62">
        <f ca="1">IFERROR(__xludf.DUMMYFUNCTION("""COMPUTED_VALUE"""),2718.18)</f>
        <v>2718.18</v>
      </c>
      <c r="Q262" s="33" t="str">
        <f ca="1">IFERROR(__xludf.DUMMYFUNCTION("""COMPUTED_VALUE"""),"Maika Blázquez")</f>
        <v>Maika Blázquez</v>
      </c>
      <c r="R262" s="33" t="str">
        <f ca="1">IFERROR(__xludf.DUMMYFUNCTION("""COMPUTED_VALUE"""),"Paloma Pinacho Martínez")</f>
        <v>Paloma Pinacho Martínez</v>
      </c>
      <c r="S262" s="61" t="str">
        <f ca="1">IFERROR(__xludf.DUMMYFUNCTION("""COMPUTED_VALUE"""),"03 ORL")</f>
        <v>03 ORL</v>
      </c>
      <c r="T262" s="33" t="str">
        <f ca="1">IFERROR(__xludf.DUMMYFUNCTION("""COMPUTED_VALUE"""),"06 ORL")</f>
        <v>06 ORL</v>
      </c>
      <c r="U262" s="62"/>
      <c r="W262" s="62"/>
      <c r="X262" s="62"/>
    </row>
    <row r="263" spans="2:31" ht="16">
      <c r="B263" s="55" t="str">
        <f t="shared" ca="1" si="1"/>
        <v>ISL</v>
      </c>
      <c r="C263" s="64" t="str">
        <f ca="1">IFERROR(__xludf.DUMMYFUNCTION("""COMPUTED_VALUE"""),"ISL130")</f>
        <v>ISL130</v>
      </c>
      <c r="D263" s="33" t="str">
        <f ca="1">IFERROR(__xludf.DUMMYFUNCTION("""COMPUTED_VALUE"""),"PROPIOS")</f>
        <v>PROPIOS</v>
      </c>
      <c r="E263" s="33">
        <f ca="1">IFERROR(__xludf.DUMMYFUNCTION("""COMPUTED_VALUE"""),2026)</f>
        <v>2026</v>
      </c>
      <c r="F263" s="56">
        <f ca="1">IFERROR(__xludf.DUMMYFUNCTION("""COMPUTED_VALUE"""),2)</f>
        <v>2</v>
      </c>
      <c r="G263" s="33" t="str">
        <f ca="1">IFERROR(__xludf.DUMMYFUNCTION("""COMPUTED_VALUE"""),"Orihuela")</f>
        <v>Orihuela</v>
      </c>
      <c r="H263" s="33" t="str">
        <f ca="1">IFERROR(__xludf.DUMMYFUNCTION("""COMPUTED_VALUE"""),"C2026239206560406")</f>
        <v>C2026239206560406</v>
      </c>
      <c r="I263" s="33" t="str">
        <f ca="1">IFERROR(__xludf.DUMMYFUNCTION("""COMPUTED_VALUE"""),"JANET RICHARDSON")</f>
        <v>JANET RICHARDSON</v>
      </c>
      <c r="J263" s="57">
        <f ca="1">IFERROR(__xludf.DUMMYFUNCTION("""COMPUTED_VALUE"""),46056)</f>
        <v>46056</v>
      </c>
      <c r="K263" s="33" t="str">
        <f ca="1">IFERROR(__xludf.DUMMYFUNCTION("""COMPUTED_VALUE"""),"Factura audífonos")</f>
        <v>Factura audífonos</v>
      </c>
      <c r="L263" s="57">
        <f ca="1">IFERROR(__xludf.DUMMYFUNCTION("""COMPUTED_VALUE"""),46079)</f>
        <v>46079</v>
      </c>
      <c r="M263" s="64" t="str">
        <f ca="1">IFERROR(__xludf.DUMMYFUNCTION("""COMPUTED_VALUE"""),"NO")</f>
        <v>NO</v>
      </c>
      <c r="N263" s="56">
        <f ca="1">IFERROR(__xludf.DUMMYFUNCTION("""COMPUTED_VALUE"""),2)</f>
        <v>2</v>
      </c>
      <c r="O263" s="64" t="str">
        <f ca="1">IFERROR(__xludf.DUMMYFUNCTION("""COMPUTED_VALUE"""),"QUIET")</f>
        <v>QUIET</v>
      </c>
      <c r="P263" s="62">
        <f ca="1">IFERROR(__xludf.DUMMYFUNCTION("""COMPUTED_VALUE"""),2718.18)</f>
        <v>2718.18</v>
      </c>
      <c r="Q263" s="33" t="str">
        <f ca="1">IFERROR(__xludf.DUMMYFUNCTION("""COMPUTED_VALUE"""),"Iván Sánchez")</f>
        <v>Iván Sánchez</v>
      </c>
      <c r="R263" s="33" t="str">
        <f ca="1">IFERROR(__xludf.DUMMYFUNCTION("""COMPUTED_VALUE"""),"Paula Hernández Ruíz")</f>
        <v>Paula Hernández Ruíz</v>
      </c>
      <c r="S263" s="61" t="str">
        <f ca="1">IFERROR(__xludf.DUMMYFUNCTION("""COMPUTED_VALUE"""),"03 ORL")</f>
        <v>03 ORL</v>
      </c>
      <c r="T263" s="33" t="str">
        <f ca="1">IFERROR(__xludf.DUMMYFUNCTION("""COMPUTED_VALUE"""),"06 ORL")</f>
        <v>06 ORL</v>
      </c>
      <c r="U263" s="62"/>
      <c r="W263" s="62"/>
      <c r="X263" s="62"/>
    </row>
    <row r="264" spans="2:31" ht="16">
      <c r="B264" s="55" t="str">
        <f t="shared" ca="1" si="1"/>
        <v>RPG</v>
      </c>
      <c r="C264" s="64" t="str">
        <f ca="1">IFERROR(__xludf.DUMMYFUNCTION("""COMPUTED_VALUE"""),"RPG51")</f>
        <v>RPG51</v>
      </c>
      <c r="D264" s="33" t="str">
        <f ca="1">IFERROR(__xludf.DUMMYFUNCTION("""COMPUTED_VALUE"""),"PARTICIPADOS")</f>
        <v>PARTICIPADOS</v>
      </c>
      <c r="E264" s="33">
        <f ca="1">IFERROR(__xludf.DUMMYFUNCTION("""COMPUTED_VALUE"""),2026)</f>
        <v>2026</v>
      </c>
      <c r="F264" s="56">
        <f ca="1">IFERROR(__xludf.DUMMYFUNCTION("""COMPUTED_VALUE"""),2)</f>
        <v>2</v>
      </c>
      <c r="G264" s="33" t="str">
        <f ca="1">IFERROR(__xludf.DUMMYFUNCTION("""COMPUTED_VALUE"""),"Ourense")</f>
        <v>Ourense</v>
      </c>
      <c r="H264" s="33" t="str">
        <f ca="1">IFERROR(__xludf.DUMMYFUNCTION("""COMPUTED_VALUE"""),"C20261169422835459")</f>
        <v>C20261169422835459</v>
      </c>
      <c r="I264" s="33" t="str">
        <f ca="1">IFERROR(__xludf.DUMMYFUNCTION("""COMPUTED_VALUE"""),"FRANCISCO JAVIER REGUEIRO CACHEIRO")</f>
        <v>FRANCISCO JAVIER REGUEIRO CACHEIRO</v>
      </c>
      <c r="J264" s="57">
        <f ca="1">IFERROR(__xludf.DUMMYFUNCTION("""COMPUTED_VALUE"""),46038)</f>
        <v>46038</v>
      </c>
      <c r="K264" s="33" t="str">
        <f ca="1">IFERROR(__xludf.DUMMYFUNCTION("""COMPUTED_VALUE"""),"Factura audífonos")</f>
        <v>Factura audífonos</v>
      </c>
      <c r="L264" s="57">
        <f ca="1">IFERROR(__xludf.DUMMYFUNCTION("""COMPUTED_VALUE"""),46079)</f>
        <v>46079</v>
      </c>
      <c r="M264" s="64" t="str">
        <f ca="1">IFERROR(__xludf.DUMMYFUNCTION("""COMPUTED_VALUE"""),"NO")</f>
        <v>NO</v>
      </c>
      <c r="N264" s="56">
        <f ca="1">IFERROR(__xludf.DUMMYFUNCTION("""COMPUTED_VALUE"""),2)</f>
        <v>2</v>
      </c>
      <c r="O264" s="64" t="str">
        <f ca="1">IFERROR(__xludf.DUMMYFUNCTION("""COMPUTED_VALUE"""),"CONFORT")</f>
        <v>CONFORT</v>
      </c>
      <c r="P264" s="62">
        <f ca="1">IFERROR(__xludf.DUMMYFUNCTION("""COMPUTED_VALUE"""),3631.82)</f>
        <v>3631.82</v>
      </c>
      <c r="Q264" s="33" t="str">
        <f ca="1">IFERROR(__xludf.DUMMYFUNCTION("""COMPUTED_VALUE"""),"Kiko Ortega")</f>
        <v>Kiko Ortega</v>
      </c>
      <c r="R264" s="33" t="str">
        <f ca="1">IFERROR(__xludf.DUMMYFUNCTION("""COMPUTED_VALUE"""),"María Rey Marcos")</f>
        <v>María Rey Marcos</v>
      </c>
      <c r="S264" s="61" t="str">
        <f ca="1">IFERROR(__xludf.DUMMYFUNCTION("""COMPUTED_VALUE"""),"03 ORL")</f>
        <v>03 ORL</v>
      </c>
      <c r="T264" s="33" t="str">
        <f ca="1">IFERROR(__xludf.DUMMYFUNCTION("""COMPUTED_VALUE"""),"06 ORL")</f>
        <v>06 ORL</v>
      </c>
      <c r="U264" s="62"/>
      <c r="W264" s="62"/>
      <c r="X264" s="62"/>
    </row>
    <row r="265" spans="2:31" ht="16">
      <c r="B265" s="55" t="str">
        <f t="shared" ca="1" si="1"/>
        <v>ISL</v>
      </c>
      <c r="C265" s="64" t="str">
        <f ca="1">IFERROR(__xludf.DUMMYFUNCTION("""COMPUTED_VALUE"""),"ISL99")</f>
        <v>ISL99</v>
      </c>
      <c r="D265" s="33" t="str">
        <f ca="1">IFERROR(__xludf.DUMMYFUNCTION("""COMPUTED_VALUE"""),"PROPIOS")</f>
        <v>PROPIOS</v>
      </c>
      <c r="E265" s="33">
        <f ca="1">IFERROR(__xludf.DUMMYFUNCTION("""COMPUTED_VALUE"""),2026)</f>
        <v>2026</v>
      </c>
      <c r="F265" s="56">
        <f ca="1">IFERROR(__xludf.DUMMYFUNCTION("""COMPUTED_VALUE"""),2)</f>
        <v>2</v>
      </c>
      <c r="G265" s="33" t="str">
        <f ca="1">IFERROR(__xludf.DUMMYFUNCTION("""COMPUTED_VALUE"""),"Alicante")</f>
        <v>Alicante</v>
      </c>
      <c r="H265" s="33" t="str">
        <f ca="1">IFERROR(__xludf.DUMMYFUNCTION("""COMPUTED_VALUE"""),"C20262411338089577")</f>
        <v>C20262411338089577</v>
      </c>
      <c r="I265" s="33" t="str">
        <f ca="1">IFERROR(__xludf.DUMMYFUNCTION("""COMPUTED_VALUE"""),"JUANA COSMEN ALBELDA")</f>
        <v>JUANA COSMEN ALBELDA</v>
      </c>
      <c r="J265" s="57">
        <f ca="1">IFERROR(__xludf.DUMMYFUNCTION("""COMPUTED_VALUE"""),46057)</f>
        <v>46057</v>
      </c>
      <c r="K265" s="33" t="str">
        <f ca="1">IFERROR(__xludf.DUMMYFUNCTION("""COMPUTED_VALUE"""),"Factura audífonos")</f>
        <v>Factura audífonos</v>
      </c>
      <c r="L265" s="57">
        <f ca="1">IFERROR(__xludf.DUMMYFUNCTION("""COMPUTED_VALUE"""),46079)</f>
        <v>46079</v>
      </c>
      <c r="M265" s="64" t="str">
        <f ca="1">IFERROR(__xludf.DUMMYFUNCTION("""COMPUTED_VALUE"""),"NO")</f>
        <v>NO</v>
      </c>
      <c r="N265" s="56">
        <f ca="1">IFERROR(__xludf.DUMMYFUNCTION("""COMPUTED_VALUE"""),2)</f>
        <v>2</v>
      </c>
      <c r="O265" s="58" t="str">
        <f ca="1">IFERROR(__xludf.DUMMYFUNCTION("""COMPUTED_VALUE"""),"QUIET")</f>
        <v>QUIET</v>
      </c>
      <c r="P265" s="62">
        <f ca="1">IFERROR(__xludf.DUMMYFUNCTION("""COMPUTED_VALUE"""),2718.18)</f>
        <v>2718.18</v>
      </c>
      <c r="Q265" s="33" t="str">
        <f ca="1">IFERROR(__xludf.DUMMYFUNCTION("""COMPUTED_VALUE"""),"Iván Sánchez")</f>
        <v>Iván Sánchez</v>
      </c>
      <c r="R265" s="33" t="str">
        <f ca="1">IFERROR(__xludf.DUMMYFUNCTION("""COMPUTED_VALUE"""),"Cristina Muñoz Pinto")</f>
        <v>Cristina Muñoz Pinto</v>
      </c>
      <c r="S265" s="61" t="str">
        <f ca="1">IFERROR(__xludf.DUMMYFUNCTION("""COMPUTED_VALUE"""),"03 ORL")</f>
        <v>03 ORL</v>
      </c>
      <c r="T265" s="33" t="str">
        <f ca="1">IFERROR(__xludf.DUMMYFUNCTION("""COMPUTED_VALUE"""),"06 ORL")</f>
        <v>06 ORL</v>
      </c>
      <c r="U265" s="62"/>
      <c r="W265" s="62"/>
      <c r="X265" s="62"/>
    </row>
    <row r="266" spans="2:31" ht="16">
      <c r="B266" s="55" t="str">
        <f t="shared" ca="1" si="1"/>
        <v>ISL</v>
      </c>
      <c r="C266" s="64" t="str">
        <f ca="1">IFERROR(__xludf.DUMMYFUNCTION("""COMPUTED_VALUE"""),"ISL41")</f>
        <v>ISL41</v>
      </c>
      <c r="D266" s="33" t="str">
        <f ca="1">IFERROR(__xludf.DUMMYFUNCTION("""COMPUTED_VALUE"""),"PROPIOS")</f>
        <v>PROPIOS</v>
      </c>
      <c r="E266" s="33">
        <f ca="1">IFERROR(__xludf.DUMMYFUNCTION("""COMPUTED_VALUE"""),2026)</f>
        <v>2026</v>
      </c>
      <c r="F266" s="56">
        <f ca="1">IFERROR(__xludf.DUMMYFUNCTION("""COMPUTED_VALUE"""),2)</f>
        <v>2</v>
      </c>
      <c r="G266" s="33" t="str">
        <f ca="1">IFERROR(__xludf.DUMMYFUNCTION("""COMPUTED_VALUE"""),"Albacete")</f>
        <v>Albacete</v>
      </c>
      <c r="H266" s="33" t="str">
        <f ca="1">IFERROR(__xludf.DUMMYFUNCTION("""COMPUTED_VALUE"""),"C202612610443744715")</f>
        <v>C202612610443744715</v>
      </c>
      <c r="I266" s="33" t="str">
        <f ca="1">IFERROR(__xludf.DUMMYFUNCTION("""COMPUTED_VALUE"""),"ASCENSION GALERA CAMPOS")</f>
        <v>ASCENSION GALERA CAMPOS</v>
      </c>
      <c r="J266" s="57">
        <f ca="1">IFERROR(__xludf.DUMMYFUNCTION("""COMPUTED_VALUE"""),46048)</f>
        <v>46048</v>
      </c>
      <c r="K266" s="33" t="str">
        <f ca="1">IFERROR(__xludf.DUMMYFUNCTION("""COMPUTED_VALUE"""),"Factura audífonos")</f>
        <v>Factura audífonos</v>
      </c>
      <c r="L266" s="57">
        <f ca="1">IFERROR(__xludf.DUMMYFUNCTION("""COMPUTED_VALUE"""),46079)</f>
        <v>46079</v>
      </c>
      <c r="M266" s="58" t="str">
        <f ca="1">IFERROR(__xludf.DUMMYFUNCTION("""COMPUTED_VALUE"""),"NO")</f>
        <v>NO</v>
      </c>
      <c r="N266" s="56">
        <f ca="1">IFERROR(__xludf.DUMMYFUNCTION("""COMPUTED_VALUE"""),1)</f>
        <v>1</v>
      </c>
      <c r="O266" s="64" t="str">
        <f ca="1">IFERROR(__xludf.DUMMYFUNCTION("""COMPUTED_VALUE"""),"CONFORT")</f>
        <v>CONFORT</v>
      </c>
      <c r="P266" s="62">
        <f ca="1">IFERROR(__xludf.DUMMYFUNCTION("""COMPUTED_VALUE"""),2180.91)</f>
        <v>2180.91</v>
      </c>
      <c r="Q266" s="33" t="str">
        <f ca="1">IFERROR(__xludf.DUMMYFUNCTION("""COMPUTED_VALUE"""),"Iván Sánchez")</f>
        <v>Iván Sánchez</v>
      </c>
      <c r="R266" s="33" t="str">
        <f ca="1">IFERROR(__xludf.DUMMYFUNCTION("""COMPUTED_VALUE"""),"Javier García-Dueñas González")</f>
        <v>Javier García-Dueñas González</v>
      </c>
      <c r="S266" s="61" t="str">
        <f ca="1">IFERROR(__xludf.DUMMYFUNCTION("""COMPUTED_VALUE"""),"03 ORL")</f>
        <v>03 ORL</v>
      </c>
      <c r="T266" s="33" t="str">
        <f ca="1">IFERROR(__xludf.DUMMYFUNCTION("""COMPUTED_VALUE"""),"06 ORL")</f>
        <v>06 ORL</v>
      </c>
      <c r="U266" s="62"/>
      <c r="W266" s="62"/>
      <c r="X266" s="62"/>
    </row>
    <row r="267" spans="2:31" ht="16">
      <c r="B267" s="55" t="str">
        <f t="shared" ca="1" si="1"/>
        <v>LRM</v>
      </c>
      <c r="C267" s="64" t="str">
        <f ca="1">IFERROR(__xludf.DUMMYFUNCTION("""COMPUTED_VALUE"""),"LRM96")</f>
        <v>LRM96</v>
      </c>
      <c r="D267" s="33" t="str">
        <f ca="1">IFERROR(__xludf.DUMMYFUNCTION("""COMPUTED_VALUE"""),"PROPIOS")</f>
        <v>PROPIOS</v>
      </c>
      <c r="E267" s="33">
        <f ca="1">IFERROR(__xludf.DUMMYFUNCTION("""COMPUTED_VALUE"""),2026)</f>
        <v>2026</v>
      </c>
      <c r="F267" s="56">
        <f ca="1">IFERROR(__xludf.DUMMYFUNCTION("""COMPUTED_VALUE"""),2)</f>
        <v>2</v>
      </c>
      <c r="G267" s="33" t="str">
        <f ca="1">IFERROR(__xludf.DUMMYFUNCTION("""COMPUTED_VALUE"""),"Toledo")</f>
        <v>Toledo</v>
      </c>
      <c r="H267" s="33" t="str">
        <f ca="1">IFERROR(__xludf.DUMMYFUNCTION("""COMPUTED_VALUE"""),"C202512101139559327")</f>
        <v>C202512101139559327</v>
      </c>
      <c r="I267" s="33" t="str">
        <f ca="1">IFERROR(__xludf.DUMMYFUNCTION("""COMPUTED_VALUE"""),"Maria Sagrario Velez Segura")</f>
        <v>Maria Sagrario Velez Segura</v>
      </c>
      <c r="J267" s="57">
        <f ca="1">IFERROR(__xludf.DUMMYFUNCTION("""COMPUTED_VALUE"""),46001)</f>
        <v>46001</v>
      </c>
      <c r="K267" s="33" t="str">
        <f ca="1">IFERROR(__xludf.DUMMYFUNCTION("""COMPUTED_VALUE"""),"Factura audífonos")</f>
        <v>Factura audífonos</v>
      </c>
      <c r="L267" s="57">
        <f ca="1">IFERROR(__xludf.DUMMYFUNCTION("""COMPUTED_VALUE"""),46080)</f>
        <v>46080</v>
      </c>
      <c r="M267" s="64" t="str">
        <f ca="1">IFERROR(__xludf.DUMMYFUNCTION("""COMPUTED_VALUE"""),"NO")</f>
        <v>NO</v>
      </c>
      <c r="N267" s="56">
        <f ca="1">IFERROR(__xludf.DUMMYFUNCTION("""COMPUTED_VALUE"""),2)</f>
        <v>2</v>
      </c>
      <c r="O267" s="64" t="str">
        <f ca="1">IFERROR(__xludf.DUMMYFUNCTION("""COMPUTED_VALUE"""),"CONFORT")</f>
        <v>CONFORT</v>
      </c>
      <c r="P267" s="62">
        <f ca="1">IFERROR(__xludf.DUMMYFUNCTION("""COMPUTED_VALUE"""),3631.82)</f>
        <v>3631.82</v>
      </c>
      <c r="Q267" s="33" t="str">
        <f ca="1">IFERROR(__xludf.DUMMYFUNCTION("""COMPUTED_VALUE"""),"Lisandro Russian")</f>
        <v>Lisandro Russian</v>
      </c>
      <c r="R267" s="33" t="str">
        <f ca="1">IFERROR(__xludf.DUMMYFUNCTION("""COMPUTED_VALUE"""),"Luis Miguel Menéndez Colino")</f>
        <v>Luis Miguel Menéndez Colino</v>
      </c>
      <c r="S267" s="61" t="str">
        <f ca="1">IFERROR(__xludf.DUMMYFUNCTION("""COMPUTED_VALUE"""),"03 ORL")</f>
        <v>03 ORL</v>
      </c>
      <c r="T267" s="33" t="str">
        <f ca="1">IFERROR(__xludf.DUMMYFUNCTION("""COMPUTED_VALUE"""),"06 ORL")</f>
        <v>06 ORL</v>
      </c>
      <c r="U267" s="62"/>
      <c r="W267" s="62"/>
      <c r="X267" s="62"/>
    </row>
    <row r="268" spans="2:31" ht="16">
      <c r="B268" s="55" t="str">
        <f t="shared" ca="1" si="1"/>
        <v>LRM</v>
      </c>
      <c r="C268" s="64" t="str">
        <f ca="1">IFERROR(__xludf.DUMMYFUNCTION("""COMPUTED_VALUE"""),"LRM39")</f>
        <v>LRM39</v>
      </c>
      <c r="D268" s="33" t="str">
        <f ca="1">IFERROR(__xludf.DUMMYFUNCTION("""COMPUTED_VALUE"""),"PROPIOS")</f>
        <v>PROPIOS</v>
      </c>
      <c r="E268" s="33">
        <f ca="1">IFERROR(__xludf.DUMMYFUNCTION("""COMPUTED_VALUE"""),2026)</f>
        <v>2026</v>
      </c>
      <c r="F268" s="56">
        <f ca="1">IFERROR(__xludf.DUMMYFUNCTION("""COMPUTED_VALUE"""),2)</f>
        <v>2</v>
      </c>
      <c r="G268" s="33" t="str">
        <f ca="1">IFERROR(__xludf.DUMMYFUNCTION("""COMPUTED_VALUE"""),"Logroño")</f>
        <v>Logroño</v>
      </c>
      <c r="H268" s="33" t="str">
        <f ca="1">IFERROR(__xludf.DUMMYFUNCTION("""COMPUTED_VALUE"""),"C202612611462701422")</f>
        <v>C202612611462701422</v>
      </c>
      <c r="I268" s="33" t="str">
        <f ca="1">IFERROR(__xludf.DUMMYFUNCTION("""COMPUTED_VALUE"""),"MARIA GLORIA LANGARICA LOZANO")</f>
        <v>MARIA GLORIA LANGARICA LOZANO</v>
      </c>
      <c r="J268" s="57">
        <f ca="1">IFERROR(__xludf.DUMMYFUNCTION("""COMPUTED_VALUE"""),46048)</f>
        <v>46048</v>
      </c>
      <c r="K268" s="33" t="str">
        <f ca="1">IFERROR(__xludf.DUMMYFUNCTION("""COMPUTED_VALUE"""),"Factura audífonos")</f>
        <v>Factura audífonos</v>
      </c>
      <c r="L268" s="57">
        <f ca="1">IFERROR(__xludf.DUMMYFUNCTION("""COMPUTED_VALUE"""),46080)</f>
        <v>46080</v>
      </c>
      <c r="M268" s="64" t="str">
        <f ca="1">IFERROR(__xludf.DUMMYFUNCTION("""COMPUTED_VALUE"""),"NO")</f>
        <v>NO</v>
      </c>
      <c r="N268" s="56">
        <f ca="1">IFERROR(__xludf.DUMMYFUNCTION("""COMPUTED_VALUE"""),2)</f>
        <v>2</v>
      </c>
      <c r="O268" s="58" t="str">
        <f ca="1">IFERROR(__xludf.DUMMYFUNCTION("""COMPUTED_VALUE"""),"ADVANCED")</f>
        <v>ADVANCED</v>
      </c>
      <c r="P268" s="62">
        <f ca="1">IFERROR(__xludf.DUMMYFUNCTION("""COMPUTED_VALUE"""),4136.36)</f>
        <v>4136.3599999999997</v>
      </c>
      <c r="Q268" s="33" t="str">
        <f ca="1">IFERROR(__xludf.DUMMYFUNCTION("""COMPUTED_VALUE"""),"Lisandro Russian")</f>
        <v>Lisandro Russian</v>
      </c>
      <c r="R268" s="33" t="str">
        <f ca="1">IFERROR(__xludf.DUMMYFUNCTION("""COMPUTED_VALUE"""),"Fernando Salazar Barcelona")</f>
        <v>Fernando Salazar Barcelona</v>
      </c>
      <c r="S268" s="61" t="str">
        <f ca="1">IFERROR(__xludf.DUMMYFUNCTION("""COMPUTED_VALUE"""),"03 ORL")</f>
        <v>03 ORL</v>
      </c>
      <c r="T268" s="33" t="str">
        <f ca="1">IFERROR(__xludf.DUMMYFUNCTION("""COMPUTED_VALUE"""),"06 ORL")</f>
        <v>06 ORL</v>
      </c>
      <c r="U268" s="62"/>
      <c r="W268" s="62"/>
      <c r="X268" s="62"/>
    </row>
    <row r="269" spans="2:31" ht="16">
      <c r="B269" s="55" t="str">
        <f t="shared" ca="1" si="1"/>
        <v>ISL</v>
      </c>
      <c r="C269" s="64" t="str">
        <f ca="1">IFERROR(__xludf.DUMMYFUNCTION("""COMPUTED_VALUE"""),"ISL71")</f>
        <v>ISL71</v>
      </c>
      <c r="D269" s="33" t="str">
        <f ca="1">IFERROR(__xludf.DUMMYFUNCTION("""COMPUTED_VALUE"""),"PROPIOS")</f>
        <v>PROPIOS</v>
      </c>
      <c r="E269" s="33">
        <f ca="1">IFERROR(__xludf.DUMMYFUNCTION("""COMPUTED_VALUE"""),2026)</f>
        <v>2026</v>
      </c>
      <c r="F269" s="56">
        <f ca="1">IFERROR(__xludf.DUMMYFUNCTION("""COMPUTED_VALUE"""),2)</f>
        <v>2</v>
      </c>
      <c r="G269" s="33" t="str">
        <f ca="1">IFERROR(__xludf.DUMMYFUNCTION("""COMPUTED_VALUE"""),"Albacete")</f>
        <v>Albacete</v>
      </c>
      <c r="H269" s="33" t="str">
        <f ca="1">IFERROR(__xludf.DUMMYFUNCTION("""COMPUTED_VALUE"""),"C202612010227949902")</f>
        <v>C202612010227949902</v>
      </c>
      <c r="I269" s="33" t="str">
        <f ca="1">IFERROR(__xludf.DUMMYFUNCTION("""COMPUTED_VALUE"""),"MARÍA CARMEN LUJAN MOLINA")</f>
        <v>MARÍA CARMEN LUJAN MOLINA</v>
      </c>
      <c r="J269" s="57">
        <f ca="1">IFERROR(__xludf.DUMMYFUNCTION("""COMPUTED_VALUE"""),46042)</f>
        <v>46042</v>
      </c>
      <c r="K269" s="33" t="str">
        <f ca="1">IFERROR(__xludf.DUMMYFUNCTION("""COMPUTED_VALUE"""),"Factura audífonos")</f>
        <v>Factura audífonos</v>
      </c>
      <c r="L269" s="57">
        <f ca="1">IFERROR(__xludf.DUMMYFUNCTION("""COMPUTED_VALUE"""),46080)</f>
        <v>46080</v>
      </c>
      <c r="M269" s="58" t="str">
        <f ca="1">IFERROR(__xludf.DUMMYFUNCTION("""COMPUTED_VALUE"""),"NO")</f>
        <v>NO</v>
      </c>
      <c r="N269" s="56">
        <f ca="1">IFERROR(__xludf.DUMMYFUNCTION("""COMPUTED_VALUE"""),2)</f>
        <v>2</v>
      </c>
      <c r="O269" s="58" t="str">
        <f ca="1">IFERROR(__xludf.DUMMYFUNCTION("""COMPUTED_VALUE"""),"QUIET")</f>
        <v>QUIET</v>
      </c>
      <c r="P269" s="62">
        <f ca="1">IFERROR(__xludf.DUMMYFUNCTION("""COMPUTED_VALUE"""),2918.18)</f>
        <v>2918.18</v>
      </c>
      <c r="Q269" s="33" t="str">
        <f ca="1">IFERROR(__xludf.DUMMYFUNCTION("""COMPUTED_VALUE"""),"Iván Sánchez")</f>
        <v>Iván Sánchez</v>
      </c>
      <c r="R269" s="33" t="str">
        <f ca="1">IFERROR(__xludf.DUMMYFUNCTION("""COMPUTED_VALUE"""),"Máximo Rafael García Rodríguez")</f>
        <v>Máximo Rafael García Rodríguez</v>
      </c>
      <c r="S269" s="61" t="str">
        <f ca="1">IFERROR(__xludf.DUMMYFUNCTION("""COMPUTED_VALUE"""),"03 ORL")</f>
        <v>03 ORL</v>
      </c>
      <c r="T269" s="33" t="str">
        <f ca="1">IFERROR(__xludf.DUMMYFUNCTION("""COMPUTED_VALUE"""),"06 ORL")</f>
        <v>06 ORL</v>
      </c>
      <c r="U269" s="62"/>
      <c r="W269" s="62"/>
      <c r="X269" s="62"/>
    </row>
    <row r="270" spans="2:31" ht="16">
      <c r="B270" s="55" t="str">
        <f t="shared" ca="1" si="1"/>
        <v>ISL</v>
      </c>
      <c r="C270" s="64" t="str">
        <f ca="1">IFERROR(__xludf.DUMMYFUNCTION("""COMPUTED_VALUE"""),"ISL14")</f>
        <v>ISL14</v>
      </c>
      <c r="D270" s="33" t="str">
        <f ca="1">IFERROR(__xludf.DUMMYFUNCTION("""COMPUTED_VALUE"""),"PROPIOS")</f>
        <v>PROPIOS</v>
      </c>
      <c r="E270" s="33">
        <f ca="1">IFERROR(__xludf.DUMMYFUNCTION("""COMPUTED_VALUE"""),2026)</f>
        <v>2026</v>
      </c>
      <c r="F270" s="56">
        <f ca="1">IFERROR(__xludf.DUMMYFUNCTION("""COMPUTED_VALUE"""),2)</f>
        <v>2</v>
      </c>
      <c r="G270" s="33" t="str">
        <f ca="1">IFERROR(__xludf.DUMMYFUNCTION("""COMPUTED_VALUE"""),"Orihuela")</f>
        <v>Orihuela</v>
      </c>
      <c r="H270" s="33" t="str">
        <f ca="1">IFERROR(__xludf.DUMMYFUNCTION("""COMPUTED_VALUE"""),"LZN-450000442")</f>
        <v>LZN-450000442</v>
      </c>
      <c r="I270" s="33" t="str">
        <f ca="1">IFERROR(__xludf.DUMMYFUNCTION("""COMPUTED_VALUE"""),"MICHAEL ALBERT CUNNINGHAM")</f>
        <v>MICHAEL ALBERT CUNNINGHAM</v>
      </c>
      <c r="J270" s="57">
        <f ca="1">IFERROR(__xludf.DUMMYFUNCTION("""COMPUTED_VALUE"""),44957)</f>
        <v>44957</v>
      </c>
      <c r="K270" s="33" t="str">
        <f ca="1">IFERROR(__xludf.DUMMYFUNCTION("""COMPUTED_VALUE"""),"Factura audífonos")</f>
        <v>Factura audífonos</v>
      </c>
      <c r="L270" s="57">
        <f ca="1">IFERROR(__xludf.DUMMYFUNCTION("""COMPUTED_VALUE"""),46080)</f>
        <v>46080</v>
      </c>
      <c r="M270" s="64" t="str">
        <f ca="1">IFERROR(__xludf.DUMMYFUNCTION("""COMPUTED_VALUE"""),"NO")</f>
        <v>NO</v>
      </c>
      <c r="N270" s="56">
        <f ca="1">IFERROR(__xludf.DUMMYFUNCTION("""COMPUTED_VALUE"""),1)</f>
        <v>1</v>
      </c>
      <c r="O270" s="58" t="str">
        <f ca="1">IFERROR(__xludf.DUMMYFUNCTION("""COMPUTED_VALUE"""),"QUIET")</f>
        <v>QUIET</v>
      </c>
      <c r="P270" s="62">
        <f ca="1">IFERROR(__xludf.DUMMYFUNCTION("""COMPUTED_VALUE"""),1631.82)</f>
        <v>1631.82</v>
      </c>
      <c r="Q270" s="33" t="str">
        <f ca="1">IFERROR(__xludf.DUMMYFUNCTION("""COMPUTED_VALUE"""),"Iván Sánchez")</f>
        <v>Iván Sánchez</v>
      </c>
      <c r="R270" s="33" t="str">
        <f ca="1">IFERROR(__xludf.DUMMYFUNCTION("""COMPUTED_VALUE"""),"Carlos Velásquez Fermín")</f>
        <v>Carlos Velásquez Fermín</v>
      </c>
      <c r="S270" s="61" t="str">
        <f ca="1">IFERROR(__xludf.DUMMYFUNCTION("""COMPUTED_VALUE"""),"03 ORL")</f>
        <v>03 ORL</v>
      </c>
      <c r="T270" s="33" t="str">
        <f ca="1">IFERROR(__xludf.DUMMYFUNCTION("""COMPUTED_VALUE"""),"06 ORL")</f>
        <v>06 ORL</v>
      </c>
      <c r="U270" s="62"/>
      <c r="W270" s="62"/>
      <c r="X270" s="62"/>
      <c r="AE270" s="1"/>
    </row>
    <row r="271" spans="2:31" ht="16">
      <c r="B271" s="55" t="str">
        <f t="shared" ca="1" si="1"/>
        <v>ISL</v>
      </c>
      <c r="C271" s="64" t="str">
        <f ca="1">IFERROR(__xludf.DUMMYFUNCTION("""COMPUTED_VALUE"""),"ISL03")</f>
        <v>ISL03</v>
      </c>
      <c r="D271" s="33" t="str">
        <f ca="1">IFERROR(__xludf.DUMMYFUNCTION("""COMPUTED_VALUE"""),"PROPIOS")</f>
        <v>PROPIOS</v>
      </c>
      <c r="E271" s="33">
        <f ca="1">IFERROR(__xludf.DUMMYFUNCTION("""COMPUTED_VALUE"""),2026)</f>
        <v>2026</v>
      </c>
      <c r="F271" s="56">
        <f ca="1">IFERROR(__xludf.DUMMYFUNCTION("""COMPUTED_VALUE"""),2)</f>
        <v>2</v>
      </c>
      <c r="G271" s="33" t="str">
        <f ca="1">IFERROR(__xludf.DUMMYFUNCTION("""COMPUTED_VALUE"""),"Murcia")</f>
        <v>Murcia</v>
      </c>
      <c r="H271" s="33" t="str">
        <f ca="1">IFERROR(__xludf.DUMMYFUNCTION("""COMPUTED_VALUE"""),"C202612716322865727")</f>
        <v>C202612716322865727</v>
      </c>
      <c r="I271" s="33" t="str">
        <f ca="1">IFERROR(__xludf.DUMMYFUNCTION("""COMPUTED_VALUE"""),"DAVID GARCIA DIAZ")</f>
        <v>DAVID GARCIA DIAZ</v>
      </c>
      <c r="J271" s="57">
        <f ca="1">IFERROR(__xludf.DUMMYFUNCTION("""COMPUTED_VALUE"""),46049)</f>
        <v>46049</v>
      </c>
      <c r="K271" s="33" t="str">
        <f ca="1">IFERROR(__xludf.DUMMYFUNCTION("""COMPUTED_VALUE"""),"Factura audífonos")</f>
        <v>Factura audífonos</v>
      </c>
      <c r="L271" s="57">
        <f ca="1">IFERROR(__xludf.DUMMYFUNCTION("""COMPUTED_VALUE"""),46080)</f>
        <v>46080</v>
      </c>
      <c r="M271" s="64" t="str">
        <f ca="1">IFERROR(__xludf.DUMMYFUNCTION("""COMPUTED_VALUE"""),"NO")</f>
        <v>NO</v>
      </c>
      <c r="N271" s="56">
        <f ca="1">IFERROR(__xludf.DUMMYFUNCTION("""COMPUTED_VALUE"""),1)</f>
        <v>1</v>
      </c>
      <c r="O271" s="58" t="str">
        <f ca="1">IFERROR(__xludf.DUMMYFUNCTION("""COMPUTED_VALUE"""),"QUIET")</f>
        <v>QUIET</v>
      </c>
      <c r="P271" s="62">
        <f ca="1">IFERROR(__xludf.DUMMYFUNCTION("""COMPUTED_VALUE"""),1631.82)</f>
        <v>1631.82</v>
      </c>
      <c r="Q271" s="33" t="str">
        <f ca="1">IFERROR(__xludf.DUMMYFUNCTION("""COMPUTED_VALUE"""),"Iván Sánchez")</f>
        <v>Iván Sánchez</v>
      </c>
      <c r="R271" s="33" t="str">
        <f ca="1">IFERROR(__xludf.DUMMYFUNCTION("""COMPUTED_VALUE"""),"Alfonso Capitan Guarnizo")</f>
        <v>Alfonso Capitan Guarnizo</v>
      </c>
      <c r="S271" s="61" t="str">
        <f ca="1">IFERROR(__xludf.DUMMYFUNCTION("""COMPUTED_VALUE"""),"03 ORL")</f>
        <v>03 ORL</v>
      </c>
      <c r="T271" s="33" t="str">
        <f ca="1">IFERROR(__xludf.DUMMYFUNCTION("""COMPUTED_VALUE"""),"06 ORL")</f>
        <v>06 ORL</v>
      </c>
      <c r="U271" s="62"/>
      <c r="W271" s="62"/>
      <c r="X271" s="62"/>
    </row>
    <row r="272" spans="2:31" ht="13.5" customHeight="1">
      <c r="B272" s="55" t="str">
        <f t="shared" ca="1" si="1"/>
        <v>MBM</v>
      </c>
      <c r="C272" s="64" t="str">
        <f ca="1">IFERROR(__xludf.DUMMYFUNCTION("""COMPUTED_VALUE"""),"MBM01")</f>
        <v>MBM01</v>
      </c>
      <c r="D272" s="33" t="str">
        <f ca="1">IFERROR(__xludf.DUMMYFUNCTION("""COMPUTED_VALUE"""),"PROPIOS")</f>
        <v>PROPIOS</v>
      </c>
      <c r="E272" s="33">
        <f ca="1">IFERROR(__xludf.DUMMYFUNCTION("""COMPUTED_VALUE"""),2026)</f>
        <v>2026</v>
      </c>
      <c r="F272" s="56">
        <f ca="1">IFERROR(__xludf.DUMMYFUNCTION("""COMPUTED_VALUE"""),2)</f>
        <v>2</v>
      </c>
      <c r="G272" s="33" t="str">
        <f ca="1">IFERROR(__xludf.DUMMYFUNCTION("""COMPUTED_VALUE"""),"Alcorcón")</f>
        <v>Alcorcón</v>
      </c>
      <c r="H272" s="33" t="str">
        <f ca="1">IFERROR(__xludf.DUMMYFUNCTION("""COMPUTED_VALUE"""),"MAL-867")</f>
        <v>MAL-867</v>
      </c>
      <c r="I272" s="33" t="str">
        <f ca="1">IFERROR(__xludf.DUMMYFUNCTION("""COMPUTED_VALUE"""),"BENITA GARCIA RUIZ")</f>
        <v>BENITA GARCIA RUIZ</v>
      </c>
      <c r="J272" s="57">
        <f ca="1">IFERROR(__xludf.DUMMYFUNCTION("""COMPUTED_VALUE"""),45467)</f>
        <v>45467</v>
      </c>
      <c r="K272" s="33" t="str">
        <f ca="1">IFERROR(__xludf.DUMMYFUNCTION("""COMPUTED_VALUE"""),"Factura audífonos")</f>
        <v>Factura audífonos</v>
      </c>
      <c r="L272" s="57">
        <f ca="1">IFERROR(__xludf.DUMMYFUNCTION("""COMPUTED_VALUE"""),46080)</f>
        <v>46080</v>
      </c>
      <c r="M272" s="58" t="str">
        <f ca="1">IFERROR(__xludf.DUMMYFUNCTION("""COMPUTED_VALUE"""),"NO")</f>
        <v>NO</v>
      </c>
      <c r="N272" s="56">
        <f ca="1">IFERROR(__xludf.DUMMYFUNCTION("""COMPUTED_VALUE"""),2)</f>
        <v>2</v>
      </c>
      <c r="O272" s="58" t="str">
        <f ca="1">IFERROR(__xludf.DUMMYFUNCTION("""COMPUTED_VALUE"""),"CONFORT")</f>
        <v>CONFORT</v>
      </c>
      <c r="P272" s="62">
        <f ca="1">IFERROR(__xludf.DUMMYFUNCTION("""COMPUTED_VALUE"""),3631.82)</f>
        <v>3631.82</v>
      </c>
      <c r="Q272" s="33" t="str">
        <f ca="1">IFERROR(__xludf.DUMMYFUNCTION("""COMPUTED_VALUE"""),"Maika Blázquez")</f>
        <v>Maika Blázquez</v>
      </c>
      <c r="R272" s="33" t="str">
        <f ca="1">IFERROR(__xludf.DUMMYFUNCTION("""COMPUTED_VALUE"""),"Adolfo Toledano Muñoz")</f>
        <v>Adolfo Toledano Muñoz</v>
      </c>
      <c r="S272" s="61" t="str">
        <f ca="1">IFERROR(__xludf.DUMMYFUNCTION("""COMPUTED_VALUE"""),"03 ORL")</f>
        <v>03 ORL</v>
      </c>
      <c r="T272" s="33" t="str">
        <f ca="1">IFERROR(__xludf.DUMMYFUNCTION("""COMPUTED_VALUE"""),"06 ORL")</f>
        <v>06 ORL</v>
      </c>
      <c r="U272" s="62"/>
      <c r="W272" s="62"/>
      <c r="X272" s="62"/>
    </row>
    <row r="273" spans="2:24" ht="16">
      <c r="B273" s="55" t="str">
        <f t="shared" ca="1" si="1"/>
        <v>RFV</v>
      </c>
      <c r="C273" s="64" t="str">
        <f ca="1">IFERROR(__xludf.DUMMYFUNCTION("""COMPUTED_VALUE"""),"RFV38")</f>
        <v>RFV38</v>
      </c>
      <c r="D273" s="33" t="str">
        <f ca="1">IFERROR(__xludf.DUMMYFUNCTION("""COMPUTED_VALUE"""),"PROPIOS")</f>
        <v>PROPIOS</v>
      </c>
      <c r="E273" s="33">
        <f ca="1">IFERROR(__xludf.DUMMYFUNCTION("""COMPUTED_VALUE"""),2026)</f>
        <v>2026</v>
      </c>
      <c r="F273" s="56">
        <f ca="1">IFERROR(__xludf.DUMMYFUNCTION("""COMPUTED_VALUE"""),2)</f>
        <v>2</v>
      </c>
      <c r="G273" s="33" t="str">
        <f ca="1">IFERROR(__xludf.DUMMYFUNCTION("""COMPUTED_VALUE"""),"El Albir (Benidorm)")</f>
        <v>El Albir (Benidorm)</v>
      </c>
      <c r="H273" s="33" t="str">
        <f ca="1">IFERROR(__xludf.DUMMYFUNCTION("""COMPUTED_VALUE"""),"C202612112119316206")</f>
        <v>C202612112119316206</v>
      </c>
      <c r="I273" s="33" t="str">
        <f ca="1">IFERROR(__xludf.DUMMYFUNCTION("""COMPUTED_VALUE"""),"EVA  FONT ROMA")</f>
        <v>EVA  FONT ROMA</v>
      </c>
      <c r="J273" s="57">
        <f ca="1">IFERROR(__xludf.DUMMYFUNCTION("""COMPUTED_VALUE"""),46043)</f>
        <v>46043</v>
      </c>
      <c r="K273" s="33" t="str">
        <f ca="1">IFERROR(__xludf.DUMMYFUNCTION("""COMPUTED_VALUE"""),"Factura audífonos")</f>
        <v>Factura audífonos</v>
      </c>
      <c r="L273" s="57">
        <f ca="1">IFERROR(__xludf.DUMMYFUNCTION("""COMPUTED_VALUE"""),46080)</f>
        <v>46080</v>
      </c>
      <c r="M273" s="64" t="str">
        <f ca="1">IFERROR(__xludf.DUMMYFUNCTION("""COMPUTED_VALUE"""),"NO")</f>
        <v>NO</v>
      </c>
      <c r="N273" s="56">
        <f ca="1">IFERROR(__xludf.DUMMYFUNCTION("""COMPUTED_VALUE"""),2)</f>
        <v>2</v>
      </c>
      <c r="O273" s="58" t="str">
        <f ca="1">IFERROR(__xludf.DUMMYFUNCTION("""COMPUTED_VALUE"""),"ADVANCED")</f>
        <v>ADVANCED</v>
      </c>
      <c r="P273" s="62">
        <f ca="1">IFERROR(__xludf.DUMMYFUNCTION("""COMPUTED_VALUE"""),4136.36)</f>
        <v>4136.3599999999997</v>
      </c>
      <c r="Q273" s="33" t="str">
        <f ca="1">IFERROR(__xludf.DUMMYFUNCTION("""COMPUTED_VALUE"""),"Ramon Ferrando")</f>
        <v>Ramon Ferrando</v>
      </c>
      <c r="R273" s="33" t="str">
        <f ca="1">IFERROR(__xludf.DUMMYFUNCTION("""COMPUTED_VALUE"""),"María Emilia García Ruiz")</f>
        <v>María Emilia García Ruiz</v>
      </c>
      <c r="S273" s="61" t="str">
        <f ca="1">IFERROR(__xludf.DUMMYFUNCTION("""COMPUTED_VALUE"""),"03 ORL")</f>
        <v>03 ORL</v>
      </c>
      <c r="T273" s="33" t="str">
        <f ca="1">IFERROR(__xludf.DUMMYFUNCTION("""COMPUTED_VALUE"""),"06 ORL")</f>
        <v>06 ORL</v>
      </c>
      <c r="U273" s="62"/>
      <c r="W273" s="62"/>
      <c r="X273" s="62"/>
    </row>
    <row r="274" spans="2:24" ht="16">
      <c r="B274" s="55" t="str">
        <f t="shared" si="1"/>
        <v/>
      </c>
      <c r="C274" s="33"/>
      <c r="D274" s="33" t="str">
        <f ca="1">IFERROR(__xludf.DUMMYFUNCTION("""COMPUTED_VALUE"""),"ASOCIADOS")</f>
        <v>ASOCIADOS</v>
      </c>
      <c r="E274" s="33">
        <f ca="1">IFERROR(__xludf.DUMMYFUNCTION("""COMPUTED_VALUE"""),2026)</f>
        <v>2026</v>
      </c>
      <c r="F274" s="56">
        <f ca="1">IFERROR(__xludf.DUMMYFUNCTION("""COMPUTED_VALUE"""),2)</f>
        <v>2</v>
      </c>
      <c r="G274" s="33" t="str">
        <f ca="1">IFERROR(__xludf.DUMMYFUNCTION("""COMPUTED_VALUE"""),"Ponferrada")</f>
        <v>Ponferrada</v>
      </c>
      <c r="H274" s="33" t="str">
        <f ca="1">IFERROR(__xludf.DUMMYFUNCTION("""COMPUTED_VALUE"""),"C202612092032571289")</f>
        <v>C202612092032571289</v>
      </c>
      <c r="I274" s="33" t="str">
        <f ca="1">IFERROR(__xludf.DUMMYFUNCTION("""COMPUTED_VALUE"""),"TOMASA LOPEZ BLANCO")</f>
        <v>TOMASA LOPEZ BLANCO</v>
      </c>
      <c r="J274" s="57">
        <f ca="1">IFERROR(__xludf.DUMMYFUNCTION("""COMPUTED_VALUE"""),46042)</f>
        <v>46042</v>
      </c>
      <c r="K274" s="33" t="str">
        <f ca="1">IFERROR(__xludf.DUMMYFUNCTION("""COMPUTED_VALUE"""),"Factura audífonos")</f>
        <v>Factura audífonos</v>
      </c>
      <c r="L274" s="57">
        <f ca="1">IFERROR(__xludf.DUMMYFUNCTION("""COMPUTED_VALUE"""),46080)</f>
        <v>46080</v>
      </c>
      <c r="M274" s="64" t="str">
        <f ca="1">IFERROR(__xludf.DUMMYFUNCTION("""COMPUTED_VALUE"""),"NO")</f>
        <v>NO</v>
      </c>
      <c r="N274" s="56">
        <f ca="1">IFERROR(__xludf.DUMMYFUNCTION("""COMPUTED_VALUE"""),2)</f>
        <v>2</v>
      </c>
      <c r="O274" s="58" t="str">
        <f ca="1">IFERROR(__xludf.DUMMYFUNCTION("""COMPUTED_VALUE"""),"SOCIAL")</f>
        <v>SOCIAL</v>
      </c>
      <c r="P274" s="62">
        <f ca="1">IFERROR(__xludf.DUMMYFUNCTION("""COMPUTED_VALUE"""),2709.09)</f>
        <v>2709.09</v>
      </c>
      <c r="Q274" s="33" t="str">
        <f ca="1">IFERROR(__xludf.DUMMYFUNCTION("""COMPUTED_VALUE"""),"Alberto Moreno")</f>
        <v>Alberto Moreno</v>
      </c>
      <c r="R274" s="33" t="str">
        <f ca="1">IFERROR(__xludf.DUMMYFUNCTION("""COMPUTED_VALUE"""),"No recuerda ORL")</f>
        <v>No recuerda ORL</v>
      </c>
      <c r="S274" s="61" t="str">
        <f ca="1">IFERROR(__xludf.DUMMYFUNCTION("""COMPUTED_VALUE"""),"03 ORL")</f>
        <v>03 ORL</v>
      </c>
      <c r="T274" s="33" t="str">
        <f ca="1">IFERROR(__xludf.DUMMYFUNCTION("""COMPUTED_VALUE"""),"22 AUDIOMETRIA CLINICA")</f>
        <v>22 AUDIOMETRIA CLINICA</v>
      </c>
      <c r="U274" s="62"/>
      <c r="W274" s="62"/>
      <c r="X274" s="62"/>
    </row>
    <row r="275" spans="2:24" ht="16">
      <c r="B275" s="55" t="str">
        <f t="shared" ca="1" si="1"/>
        <v>MBM</v>
      </c>
      <c r="C275" s="64" t="str">
        <f ca="1">IFERROR(__xludf.DUMMYFUNCTION("""COMPUTED_VALUE"""),"MBM39")</f>
        <v>MBM39</v>
      </c>
      <c r="D275" s="33" t="str">
        <f ca="1">IFERROR(__xludf.DUMMYFUNCTION("""COMPUTED_VALUE"""),"PROPIOS")</f>
        <v>PROPIOS</v>
      </c>
      <c r="E275" s="33">
        <f ca="1">IFERROR(__xludf.DUMMYFUNCTION("""COMPUTED_VALUE"""),2026)</f>
        <v>2026</v>
      </c>
      <c r="F275" s="56">
        <f ca="1">IFERROR(__xludf.DUMMYFUNCTION("""COMPUTED_VALUE"""),2)</f>
        <v>2</v>
      </c>
      <c r="G275" s="33" t="str">
        <f ca="1">IFERROR(__xludf.DUMMYFUNCTION("""COMPUTED_VALUE"""),"Madrid- Juan Bravo")</f>
        <v>Madrid- Juan Bravo</v>
      </c>
      <c r="H275" s="33" t="str">
        <f ca="1">IFERROR(__xludf.DUMMYFUNCTION("""COMPUTED_VALUE"""),"C202612812503320736")</f>
        <v>C202612812503320736</v>
      </c>
      <c r="I275" s="33" t="str">
        <f ca="1">IFERROR(__xludf.DUMMYFUNCTION("""COMPUTED_VALUE"""),"PILAR  GARCIA VALDE-CASAS VALVERDE")</f>
        <v>PILAR  GARCIA VALDE-CASAS VALVERDE</v>
      </c>
      <c r="J275" s="57">
        <f ca="1">IFERROR(__xludf.DUMMYFUNCTION("""COMPUTED_VALUE"""),46050)</f>
        <v>46050</v>
      </c>
      <c r="K275" s="33" t="str">
        <f ca="1">IFERROR(__xludf.DUMMYFUNCTION("""COMPUTED_VALUE"""),"Factura audífonos")</f>
        <v>Factura audífonos</v>
      </c>
      <c r="L275" s="57">
        <f ca="1">IFERROR(__xludf.DUMMYFUNCTION("""COMPUTED_VALUE"""),46080)</f>
        <v>46080</v>
      </c>
      <c r="M275" s="58" t="str">
        <f ca="1">IFERROR(__xludf.DUMMYFUNCTION("""COMPUTED_VALUE"""),"NO")</f>
        <v>NO</v>
      </c>
      <c r="N275" s="56">
        <f ca="1">IFERROR(__xludf.DUMMYFUNCTION("""COMPUTED_VALUE"""),2)</f>
        <v>2</v>
      </c>
      <c r="O275" s="58" t="str">
        <f ca="1">IFERROR(__xludf.DUMMYFUNCTION("""COMPUTED_VALUE"""),"CONFORT")</f>
        <v>CONFORT</v>
      </c>
      <c r="P275" s="62">
        <f ca="1">IFERROR(__xludf.DUMMYFUNCTION("""COMPUTED_VALUE"""),3631.82)</f>
        <v>3631.82</v>
      </c>
      <c r="Q275" s="33" t="str">
        <f ca="1">IFERROR(__xludf.DUMMYFUNCTION("""COMPUTED_VALUE"""),"Maika Blázquez")</f>
        <v>Maika Blázquez</v>
      </c>
      <c r="R275" s="33" t="str">
        <f ca="1">IFERROR(__xludf.DUMMYFUNCTION("""COMPUTED_VALUE"""),"Javier García Domínguez")</f>
        <v>Javier García Domínguez</v>
      </c>
      <c r="S275" s="61" t="str">
        <f ca="1">IFERROR(__xludf.DUMMYFUNCTION("""COMPUTED_VALUE"""),"03 ORL")</f>
        <v>03 ORL</v>
      </c>
      <c r="T275" s="33" t="str">
        <f ca="1">IFERROR(__xludf.DUMMYFUNCTION("""COMPUTED_VALUE"""),"06 ORL")</f>
        <v>06 ORL</v>
      </c>
      <c r="U275" s="62"/>
      <c r="W275" s="62"/>
      <c r="X275" s="62"/>
    </row>
    <row r="276" spans="2:24" ht="16">
      <c r="B276" s="55" t="str">
        <f t="shared" ca="1" si="1"/>
        <v>MBM</v>
      </c>
      <c r="C276" s="64" t="str">
        <f ca="1">IFERROR(__xludf.DUMMYFUNCTION("""COMPUTED_VALUE"""),"MBM113")</f>
        <v>MBM113</v>
      </c>
      <c r="D276" s="33" t="str">
        <f ca="1">IFERROR(__xludf.DUMMYFUNCTION("""COMPUTED_VALUE"""),"PROPIOS")</f>
        <v>PROPIOS</v>
      </c>
      <c r="E276" s="33">
        <f ca="1">IFERROR(__xludf.DUMMYFUNCTION("""COMPUTED_VALUE"""),2026)</f>
        <v>2026</v>
      </c>
      <c r="F276" s="56">
        <f ca="1">IFERROR(__xludf.DUMMYFUNCTION("""COMPUTED_VALUE"""),2)</f>
        <v>2</v>
      </c>
      <c r="G276" s="33" t="str">
        <f ca="1">IFERROR(__xludf.DUMMYFUNCTION("""COMPUTED_VALUE"""),"Fuenlabrada")</f>
        <v>Fuenlabrada</v>
      </c>
      <c r="H276" s="33" t="str">
        <f ca="1">IFERROR(__xludf.DUMMYFUNCTION("""COMPUTED_VALUE"""),"C202612912135937734")</f>
        <v>C202612912135937734</v>
      </c>
      <c r="I276" s="33" t="str">
        <f ca="1">IFERROR(__xludf.DUMMYFUNCTION("""COMPUTED_VALUE"""),"MARIA LUISA GARCIA GARCIA")</f>
        <v>MARIA LUISA GARCIA GARCIA</v>
      </c>
      <c r="J276" s="57">
        <f ca="1">IFERROR(__xludf.DUMMYFUNCTION("""COMPUTED_VALUE"""),46051)</f>
        <v>46051</v>
      </c>
      <c r="K276" s="33" t="str">
        <f ca="1">IFERROR(__xludf.DUMMYFUNCTION("""COMPUTED_VALUE"""),"Factura audífonos")</f>
        <v>Factura audífonos</v>
      </c>
      <c r="L276" s="57">
        <f ca="1">IFERROR(__xludf.DUMMYFUNCTION("""COMPUTED_VALUE"""),46080)</f>
        <v>46080</v>
      </c>
      <c r="M276" s="64" t="str">
        <f ca="1">IFERROR(__xludf.DUMMYFUNCTION("""COMPUTED_VALUE"""),"NO")</f>
        <v>NO</v>
      </c>
      <c r="N276" s="56">
        <f ca="1">IFERROR(__xludf.DUMMYFUNCTION("""COMPUTED_VALUE"""),2)</f>
        <v>2</v>
      </c>
      <c r="O276" s="64" t="str">
        <f ca="1">IFERROR(__xludf.DUMMYFUNCTION("""COMPUTED_VALUE"""),"CONFORT")</f>
        <v>CONFORT</v>
      </c>
      <c r="P276" s="62">
        <f ca="1">IFERROR(__xludf.DUMMYFUNCTION("""COMPUTED_VALUE"""),3636.36)</f>
        <v>3636.36</v>
      </c>
      <c r="Q276" s="33" t="str">
        <f ca="1">IFERROR(__xludf.DUMMYFUNCTION("""COMPUTED_VALUE"""),"Maika Blázquez")</f>
        <v>Maika Blázquez</v>
      </c>
      <c r="R276" s="33" t="str">
        <f ca="1">IFERROR(__xludf.DUMMYFUNCTION("""COMPUTED_VALUE"""),"Estefania Miranda Sánchez")</f>
        <v>Estefania Miranda Sánchez</v>
      </c>
      <c r="S276" s="61" t="str">
        <f ca="1">IFERROR(__xludf.DUMMYFUNCTION("""COMPUTED_VALUE"""),"03 ORL")</f>
        <v>03 ORL</v>
      </c>
      <c r="T276" s="33" t="str">
        <f ca="1">IFERROR(__xludf.DUMMYFUNCTION("""COMPUTED_VALUE"""),"06 ORL")</f>
        <v>06 ORL</v>
      </c>
      <c r="U276" s="62"/>
      <c r="W276" s="62"/>
      <c r="X276" s="62"/>
    </row>
    <row r="277" spans="2:24" ht="16">
      <c r="B277" s="55" t="str">
        <f t="shared" ca="1" si="1"/>
        <v>MBM</v>
      </c>
      <c r="C277" s="64" t="str">
        <f ca="1">IFERROR(__xludf.DUMMYFUNCTION("""COMPUTED_VALUE"""),"MBM218")</f>
        <v>MBM218</v>
      </c>
      <c r="D277" s="33" t="str">
        <f ca="1">IFERROR(__xludf.DUMMYFUNCTION("""COMPUTED_VALUE"""),"PROPIOS")</f>
        <v>PROPIOS</v>
      </c>
      <c r="E277" s="33">
        <f ca="1">IFERROR(__xludf.DUMMYFUNCTION("""COMPUTED_VALUE"""),2026)</f>
        <v>2026</v>
      </c>
      <c r="F277" s="56">
        <f ca="1">IFERROR(__xludf.DUMMYFUNCTION("""COMPUTED_VALUE"""),2)</f>
        <v>2</v>
      </c>
      <c r="G277" s="33" t="str">
        <f ca="1">IFERROR(__xludf.DUMMYFUNCTION("""COMPUTED_VALUE"""),"Madrid- Juan Bravo")</f>
        <v>Madrid- Juan Bravo</v>
      </c>
      <c r="H277" s="33" t="str">
        <f ca="1">IFERROR(__xludf.DUMMYFUNCTION("""COMPUTED_VALUE"""),"C202612612247030125")</f>
        <v>C202612612247030125</v>
      </c>
      <c r="I277" s="33" t="str">
        <f ca="1">IFERROR(__xludf.DUMMYFUNCTION("""COMPUTED_VALUE"""),"ANA MARIA  RAMIRO LANCHAS")</f>
        <v>ANA MARIA  RAMIRO LANCHAS</v>
      </c>
      <c r="J277" s="57">
        <f ca="1">IFERROR(__xludf.DUMMYFUNCTION("""COMPUTED_VALUE"""),46048)</f>
        <v>46048</v>
      </c>
      <c r="K277" s="33" t="str">
        <f ca="1">IFERROR(__xludf.DUMMYFUNCTION("""COMPUTED_VALUE"""),"Factura audífonos")</f>
        <v>Factura audífonos</v>
      </c>
      <c r="L277" s="57">
        <f ca="1">IFERROR(__xludf.DUMMYFUNCTION("""COMPUTED_VALUE"""),46080)</f>
        <v>46080</v>
      </c>
      <c r="M277" s="64" t="str">
        <f ca="1">IFERROR(__xludf.DUMMYFUNCTION("""COMPUTED_VALUE"""),"NO")</f>
        <v>NO</v>
      </c>
      <c r="N277" s="56">
        <f ca="1">IFERROR(__xludf.DUMMYFUNCTION("""COMPUTED_VALUE"""),1)</f>
        <v>1</v>
      </c>
      <c r="O277" s="64" t="str">
        <f ca="1">IFERROR(__xludf.DUMMYFUNCTION("""COMPUTED_VALUE"""),"CONFORT")</f>
        <v>CONFORT</v>
      </c>
      <c r="P277" s="62">
        <f ca="1">IFERROR(__xludf.DUMMYFUNCTION("""COMPUTED_VALUE"""),2180.91)</f>
        <v>2180.91</v>
      </c>
      <c r="Q277" s="33" t="str">
        <f ca="1">IFERROR(__xludf.DUMMYFUNCTION("""COMPUTED_VALUE"""),"Maika Blázquez")</f>
        <v>Maika Blázquez</v>
      </c>
      <c r="R277" s="33" t="str">
        <f ca="1">IFERROR(__xludf.DUMMYFUNCTION("""COMPUTED_VALUE"""),"María Montserrat Asensi Díaz")</f>
        <v>María Montserrat Asensi Díaz</v>
      </c>
      <c r="S277" s="61" t="str">
        <f ca="1">IFERROR(__xludf.DUMMYFUNCTION("""COMPUTED_VALUE"""),"03 ORL")</f>
        <v>03 ORL</v>
      </c>
      <c r="T277" s="33" t="str">
        <f ca="1">IFERROR(__xludf.DUMMYFUNCTION("""COMPUTED_VALUE"""),"06 ORL")</f>
        <v>06 ORL</v>
      </c>
      <c r="U277" s="62"/>
      <c r="W277" s="62"/>
      <c r="X277" s="62"/>
    </row>
    <row r="278" spans="2:24" ht="16">
      <c r="B278" s="55" t="str">
        <f t="shared" ca="1" si="1"/>
        <v>ISL</v>
      </c>
      <c r="C278" s="64" t="str">
        <f ca="1">IFERROR(__xludf.DUMMYFUNCTION("""COMPUTED_VALUE"""),"ISL23")</f>
        <v>ISL23</v>
      </c>
      <c r="D278" s="33" t="str">
        <f ca="1">IFERROR(__xludf.DUMMYFUNCTION("""COMPUTED_VALUE"""),"PROPIOS")</f>
        <v>PROPIOS</v>
      </c>
      <c r="E278" s="33">
        <f ca="1">IFERROR(__xludf.DUMMYFUNCTION("""COMPUTED_VALUE"""),2026)</f>
        <v>2026</v>
      </c>
      <c r="F278" s="56">
        <f ca="1">IFERROR(__xludf.DUMMYFUNCTION("""COMPUTED_VALUE"""),2)</f>
        <v>2</v>
      </c>
      <c r="G278" s="33" t="str">
        <f ca="1">IFERROR(__xludf.DUMMYFUNCTION("""COMPUTED_VALUE"""),"Murcia")</f>
        <v>Murcia</v>
      </c>
      <c r="H278" s="33" t="str">
        <f ca="1">IFERROR(__xludf.DUMMYFUNCTION("""COMPUTED_VALUE"""),"MUR-1648")</f>
        <v>MUR-1648</v>
      </c>
      <c r="I278" s="33" t="str">
        <f ca="1">IFERROR(__xludf.DUMMYFUNCTION("""COMPUTED_VALUE"""),"CLAUDIA MARIA ARAUJO DE OLIVEIRA")</f>
        <v>CLAUDIA MARIA ARAUJO DE OLIVEIRA</v>
      </c>
      <c r="J278" s="57">
        <f ca="1">IFERROR(__xludf.DUMMYFUNCTION("""COMPUTED_VALUE"""),45209)</f>
        <v>45209</v>
      </c>
      <c r="K278" s="33" t="str">
        <f ca="1">IFERROR(__xludf.DUMMYFUNCTION("""COMPUTED_VALUE"""),"Factura audífonos")</f>
        <v>Factura audífonos</v>
      </c>
      <c r="L278" s="57">
        <f ca="1">IFERROR(__xludf.DUMMYFUNCTION("""COMPUTED_VALUE"""),46080)</f>
        <v>46080</v>
      </c>
      <c r="M278" s="64" t="str">
        <f ca="1">IFERROR(__xludf.DUMMYFUNCTION("""COMPUTED_VALUE"""),"NO")</f>
        <v>NO</v>
      </c>
      <c r="N278" s="56">
        <f ca="1">IFERROR(__xludf.DUMMYFUNCTION("""COMPUTED_VALUE"""),1)</f>
        <v>1</v>
      </c>
      <c r="O278" s="64" t="str">
        <f ca="1">IFERROR(__xludf.DUMMYFUNCTION("""COMPUTED_VALUE"""),"ADVANCED")</f>
        <v>ADVANCED</v>
      </c>
      <c r="P278" s="62">
        <f ca="1">IFERROR(__xludf.DUMMYFUNCTION("""COMPUTED_VALUE"""),2481.82)</f>
        <v>2481.8200000000002</v>
      </c>
      <c r="Q278" s="33" t="str">
        <f ca="1">IFERROR(__xludf.DUMMYFUNCTION("""COMPUTED_VALUE"""),"Iván Sánchez")</f>
        <v>Iván Sánchez</v>
      </c>
      <c r="R278" s="33" t="str">
        <f ca="1">IFERROR(__xludf.DUMMYFUNCTION("""COMPUTED_VALUE"""),"Enrique García Zamora")</f>
        <v>Enrique García Zamora</v>
      </c>
      <c r="S278" s="61" t="str">
        <f ca="1">IFERROR(__xludf.DUMMYFUNCTION("""COMPUTED_VALUE"""),"03 ORL")</f>
        <v>03 ORL</v>
      </c>
      <c r="T278" s="33" t="str">
        <f ca="1">IFERROR(__xludf.DUMMYFUNCTION("""COMPUTED_VALUE"""),"06 ORL")</f>
        <v>06 ORL</v>
      </c>
      <c r="U278" s="62"/>
      <c r="W278" s="62"/>
      <c r="X278" s="62"/>
    </row>
    <row r="279" spans="2:24" ht="16">
      <c r="B279" s="55" t="str">
        <f t="shared" ca="1" si="1"/>
        <v>LAA</v>
      </c>
      <c r="C279" s="64" t="str">
        <f ca="1">IFERROR(__xludf.DUMMYFUNCTION("""COMPUTED_VALUE"""),"LAA72")</f>
        <v>LAA72</v>
      </c>
      <c r="D279" s="33" t="str">
        <f ca="1">IFERROR(__xludf.DUMMYFUNCTION("""COMPUTED_VALUE"""),"PROPIOS")</f>
        <v>PROPIOS</v>
      </c>
      <c r="E279" s="33">
        <f ca="1">IFERROR(__xludf.DUMMYFUNCTION("""COMPUTED_VALUE"""),2026)</f>
        <v>2026</v>
      </c>
      <c r="F279" s="56">
        <f ca="1">IFERROR(__xludf.DUMMYFUNCTION("""COMPUTED_VALUE"""),2)</f>
        <v>2</v>
      </c>
      <c r="G279" s="33" t="str">
        <f ca="1">IFERROR(__xludf.DUMMYFUNCTION("""COMPUTED_VALUE"""),"Jerez de la Frontera")</f>
        <v>Jerez de la Frontera</v>
      </c>
      <c r="H279" s="33" t="str">
        <f ca="1">IFERROR(__xludf.DUMMYFUNCTION("""COMPUTED_VALUE"""),"C202612312493748894")</f>
        <v>C202612312493748894</v>
      </c>
      <c r="I279" s="33" t="str">
        <f ca="1">IFERROR(__xludf.DUMMYFUNCTION("""COMPUTED_VALUE"""),"PAQUI ALPRESA GAMEZ")</f>
        <v>PAQUI ALPRESA GAMEZ</v>
      </c>
      <c r="J279" s="57">
        <f ca="1">IFERROR(__xludf.DUMMYFUNCTION("""COMPUTED_VALUE"""),46045)</f>
        <v>46045</v>
      </c>
      <c r="K279" s="33" t="str">
        <f ca="1">IFERROR(__xludf.DUMMYFUNCTION("""COMPUTED_VALUE"""),"Factura audífonos")</f>
        <v>Factura audífonos</v>
      </c>
      <c r="L279" s="57">
        <f ca="1">IFERROR(__xludf.DUMMYFUNCTION("""COMPUTED_VALUE"""),46080)</f>
        <v>46080</v>
      </c>
      <c r="M279" s="58" t="str">
        <f ca="1">IFERROR(__xludf.DUMMYFUNCTION("""COMPUTED_VALUE"""),"NO")</f>
        <v>NO</v>
      </c>
      <c r="N279" s="56">
        <f ca="1">IFERROR(__xludf.DUMMYFUNCTION("""COMPUTED_VALUE"""),1)</f>
        <v>1</v>
      </c>
      <c r="O279" s="58" t="str">
        <f ca="1">IFERROR(__xludf.DUMMYFUNCTION("""COMPUTED_VALUE"""),"ADVANCED")</f>
        <v>ADVANCED</v>
      </c>
      <c r="P279" s="62">
        <f ca="1">IFERROR(__xludf.DUMMYFUNCTION("""COMPUTED_VALUE"""),2481.82)</f>
        <v>2481.8200000000002</v>
      </c>
      <c r="Q279" s="33" t="str">
        <f ca="1">IFERROR(__xludf.DUMMYFUNCTION("""COMPUTED_VALUE"""),"Luis Alberto Rodríguez")</f>
        <v>Luis Alberto Rodríguez</v>
      </c>
      <c r="R279" s="33" t="str">
        <f ca="1">IFERROR(__xludf.DUMMYFUNCTION("""COMPUTED_VALUE"""),"Vicente Mira Escartí")</f>
        <v>Vicente Mira Escartí</v>
      </c>
      <c r="S279" s="61" t="str">
        <f ca="1">IFERROR(__xludf.DUMMYFUNCTION("""COMPUTED_VALUE"""),"03 ORL")</f>
        <v>03 ORL</v>
      </c>
      <c r="T279" s="33" t="str">
        <f ca="1">IFERROR(__xludf.DUMMYFUNCTION("""COMPUTED_VALUE"""),"06 ORL")</f>
        <v>06 ORL</v>
      </c>
      <c r="U279" s="62"/>
      <c r="W279" s="62"/>
      <c r="X279" s="62"/>
    </row>
    <row r="280" spans="2:24" ht="16">
      <c r="B280" s="55" t="str">
        <f t="shared" ca="1" si="1"/>
        <v>MBM</v>
      </c>
      <c r="C280" s="64" t="str">
        <f ca="1">IFERROR(__xludf.DUMMYFUNCTION("""COMPUTED_VALUE"""),"MBM184")</f>
        <v>MBM184</v>
      </c>
      <c r="D280" s="33" t="str">
        <f ca="1">IFERROR(__xludf.DUMMYFUNCTION("""COMPUTED_VALUE"""),"PROPIOS")</f>
        <v>PROPIOS</v>
      </c>
      <c r="E280" s="33">
        <f ca="1">IFERROR(__xludf.DUMMYFUNCTION("""COMPUTED_VALUE"""),2026)</f>
        <v>2026</v>
      </c>
      <c r="F280" s="56">
        <f ca="1">IFERROR(__xludf.DUMMYFUNCTION("""COMPUTED_VALUE"""),2)</f>
        <v>2</v>
      </c>
      <c r="G280" s="33" t="str">
        <f ca="1">IFERROR(__xludf.DUMMYFUNCTION("""COMPUTED_VALUE"""),"Madrid- Monforte de Lemos")</f>
        <v>Madrid- Monforte de Lemos</v>
      </c>
      <c r="H280" s="33" t="str">
        <f ca="1">IFERROR(__xludf.DUMMYFUNCTION("""COMPUTED_VALUE"""),"C202511271747274571")</f>
        <v>C202511271747274571</v>
      </c>
      <c r="I280" s="33" t="str">
        <f ca="1">IFERROR(__xludf.DUMMYFUNCTION("""COMPUTED_VALUE"""),"MARIA ANGELES HERNANDO GONZALEZ")</f>
        <v>MARIA ANGELES HERNANDO GONZALEZ</v>
      </c>
      <c r="J280" s="57">
        <f ca="1">IFERROR(__xludf.DUMMYFUNCTION("""COMPUTED_VALUE"""),45988)</f>
        <v>45988</v>
      </c>
      <c r="K280" s="33" t="str">
        <f ca="1">IFERROR(__xludf.DUMMYFUNCTION("""COMPUTED_VALUE"""),"Factura audífonos")</f>
        <v>Factura audífonos</v>
      </c>
      <c r="L280" s="57">
        <f ca="1">IFERROR(__xludf.DUMMYFUNCTION("""COMPUTED_VALUE"""),46080)</f>
        <v>46080</v>
      </c>
      <c r="M280" s="64" t="str">
        <f ca="1">IFERROR(__xludf.DUMMYFUNCTION("""COMPUTED_VALUE"""),"NO")</f>
        <v>NO</v>
      </c>
      <c r="N280" s="56">
        <f ca="1">IFERROR(__xludf.DUMMYFUNCTION("""COMPUTED_VALUE"""),2)</f>
        <v>2</v>
      </c>
      <c r="O280" s="64" t="str">
        <f ca="1">IFERROR(__xludf.DUMMYFUNCTION("""COMPUTED_VALUE"""),"CONFORT")</f>
        <v>CONFORT</v>
      </c>
      <c r="P280" s="62">
        <f ca="1">IFERROR(__xludf.DUMMYFUNCTION("""COMPUTED_VALUE"""),3631.82)</f>
        <v>3631.82</v>
      </c>
      <c r="Q280" s="33" t="str">
        <f ca="1">IFERROR(__xludf.DUMMYFUNCTION("""COMPUTED_VALUE"""),"Maika Blázquez")</f>
        <v>Maika Blázquez</v>
      </c>
      <c r="R280" s="33" t="str">
        <f ca="1">IFERROR(__xludf.DUMMYFUNCTION("""COMPUTED_VALUE"""),"Victoria García Peces")</f>
        <v>Victoria García Peces</v>
      </c>
      <c r="S280" s="61" t="str">
        <f ca="1">IFERROR(__xludf.DUMMYFUNCTION("""COMPUTED_VALUE"""),"03 ORL")</f>
        <v>03 ORL</v>
      </c>
      <c r="T280" s="33" t="str">
        <f ca="1">IFERROR(__xludf.DUMMYFUNCTION("""COMPUTED_VALUE"""),"06 ORL")</f>
        <v>06 ORL</v>
      </c>
      <c r="U280" s="62"/>
      <c r="W280" s="62"/>
      <c r="X280" s="62"/>
    </row>
    <row r="281" spans="2:24" ht="16">
      <c r="B281" s="55" t="str">
        <f t="shared" ca="1" si="1"/>
        <v>MBM</v>
      </c>
      <c r="C281" s="64" t="str">
        <f ca="1">IFERROR(__xludf.DUMMYFUNCTION("""COMPUTED_VALUE"""),"MBM18")</f>
        <v>MBM18</v>
      </c>
      <c r="D281" s="33" t="str">
        <f ca="1">IFERROR(__xludf.DUMMYFUNCTION("""COMPUTED_VALUE"""),"PROPIOS")</f>
        <v>PROPIOS</v>
      </c>
      <c r="E281" s="33">
        <f ca="1">IFERROR(__xludf.DUMMYFUNCTION("""COMPUTED_VALUE"""),2026)</f>
        <v>2026</v>
      </c>
      <c r="F281" s="56">
        <f ca="1">IFERROR(__xludf.DUMMYFUNCTION("""COMPUTED_VALUE"""),2)</f>
        <v>2</v>
      </c>
      <c r="G281" s="33" t="str">
        <f ca="1">IFERROR(__xludf.DUMMYFUNCTION("""COMPUTED_VALUE"""),"Madrid- Moratalaz")</f>
        <v>Madrid- Moratalaz</v>
      </c>
      <c r="H281" s="33" t="str">
        <f ca="1">IFERROR(__xludf.DUMMYFUNCTION("""COMPUTED_VALUE"""),"C202621816453016654")</f>
        <v>C202621816453016654</v>
      </c>
      <c r="I281" s="33" t="str">
        <f ca="1">IFERROR(__xludf.DUMMYFUNCTION("""COMPUTED_VALUE"""),"GERMANIA AMERICA VEGA QUINDE")</f>
        <v>GERMANIA AMERICA VEGA QUINDE</v>
      </c>
      <c r="J281" s="57">
        <f ca="1">IFERROR(__xludf.DUMMYFUNCTION("""COMPUTED_VALUE"""),46071)</f>
        <v>46071</v>
      </c>
      <c r="K281" s="33" t="str">
        <f ca="1">IFERROR(__xludf.DUMMYFUNCTION("""COMPUTED_VALUE"""),"Factura audífonos")</f>
        <v>Factura audífonos</v>
      </c>
      <c r="L281" s="57">
        <f ca="1">IFERROR(__xludf.DUMMYFUNCTION("""COMPUTED_VALUE"""),46080)</f>
        <v>46080</v>
      </c>
      <c r="M281" s="64" t="str">
        <f ca="1">IFERROR(__xludf.DUMMYFUNCTION("""COMPUTED_VALUE"""),"NO")</f>
        <v>NO</v>
      </c>
      <c r="N281" s="56">
        <f ca="1">IFERROR(__xludf.DUMMYFUNCTION("""COMPUTED_VALUE"""),2)</f>
        <v>2</v>
      </c>
      <c r="O281" s="64" t="str">
        <f ca="1">IFERROR(__xludf.DUMMYFUNCTION("""COMPUTED_VALUE"""),"SOCIAL")</f>
        <v>SOCIAL</v>
      </c>
      <c r="P281" s="62">
        <f ca="1">IFERROR(__xludf.DUMMYFUNCTION("""COMPUTED_VALUE"""),2263.64)</f>
        <v>2263.64</v>
      </c>
      <c r="Q281" s="33" t="str">
        <f ca="1">IFERROR(__xludf.DUMMYFUNCTION("""COMPUTED_VALUE"""),"Maika Blázquez")</f>
        <v>Maika Blázquez</v>
      </c>
      <c r="R281" s="33" t="str">
        <f ca="1">IFERROR(__xludf.DUMMYFUNCTION("""COMPUTED_VALUE"""),"Esteban Scola Pliego")</f>
        <v>Esteban Scola Pliego</v>
      </c>
      <c r="S281" s="61" t="str">
        <f ca="1">IFERROR(__xludf.DUMMYFUNCTION("""COMPUTED_VALUE"""),"03 ORL")</f>
        <v>03 ORL</v>
      </c>
      <c r="T281" s="33" t="str">
        <f ca="1">IFERROR(__xludf.DUMMYFUNCTION("""COMPUTED_VALUE"""),"06 ORL")</f>
        <v>06 ORL</v>
      </c>
      <c r="U281" s="62"/>
      <c r="W281" s="62"/>
      <c r="X281" s="62"/>
    </row>
    <row r="282" spans="2:24" ht="16">
      <c r="B282" s="55" t="str">
        <f t="shared" ca="1" si="1"/>
        <v>RFV</v>
      </c>
      <c r="C282" s="64" t="str">
        <f ca="1">IFERROR(__xludf.DUMMYFUNCTION("""COMPUTED_VALUE"""),"RFV26")</f>
        <v>RFV26</v>
      </c>
      <c r="D282" s="33" t="str">
        <f ca="1">IFERROR(__xludf.DUMMYFUNCTION("""COMPUTED_VALUE"""),"PROPIOS")</f>
        <v>PROPIOS</v>
      </c>
      <c r="E282" s="33">
        <f ca="1">IFERROR(__xludf.DUMMYFUNCTION("""COMPUTED_VALUE"""),2026)</f>
        <v>2026</v>
      </c>
      <c r="F282" s="56">
        <f ca="1">IFERROR(__xludf.DUMMYFUNCTION("""COMPUTED_VALUE"""),2)</f>
        <v>2</v>
      </c>
      <c r="G282" s="33" t="str">
        <f ca="1">IFERROR(__xludf.DUMMYFUNCTION("""COMPUTED_VALUE"""),"Valencia- Cádiz")</f>
        <v>Valencia- Cádiz</v>
      </c>
      <c r="H282" s="33" t="str">
        <f ca="1">IFERROR(__xludf.DUMMYFUNCTION("""COMPUTED_VALUE"""),"C202612094313079021")</f>
        <v>C202612094313079021</v>
      </c>
      <c r="I282" s="33" t="str">
        <f ca="1">IFERROR(__xludf.DUMMYFUNCTION("""COMPUTED_VALUE"""),"JUAN GOMEZ CAPUZ")</f>
        <v>JUAN GOMEZ CAPUZ</v>
      </c>
      <c r="J282" s="57">
        <f ca="1">IFERROR(__xludf.DUMMYFUNCTION("""COMPUTED_VALUE"""),46042)</f>
        <v>46042</v>
      </c>
      <c r="K282" s="33" t="str">
        <f ca="1">IFERROR(__xludf.DUMMYFUNCTION("""COMPUTED_VALUE"""),"Factura audífonos")</f>
        <v>Factura audífonos</v>
      </c>
      <c r="L282" s="57">
        <f ca="1">IFERROR(__xludf.DUMMYFUNCTION("""COMPUTED_VALUE"""),46080)</f>
        <v>46080</v>
      </c>
      <c r="M282" s="58" t="str">
        <f ca="1">IFERROR(__xludf.DUMMYFUNCTION("""COMPUTED_VALUE"""),"NO")</f>
        <v>NO</v>
      </c>
      <c r="N282" s="56">
        <f ca="1">IFERROR(__xludf.DUMMYFUNCTION("""COMPUTED_VALUE"""),2)</f>
        <v>2</v>
      </c>
      <c r="O282" s="64" t="str">
        <f ca="1">IFERROR(__xludf.DUMMYFUNCTION("""COMPUTED_VALUE"""),"ADVANCED")</f>
        <v>ADVANCED</v>
      </c>
      <c r="P282" s="62">
        <f ca="1">IFERROR(__xludf.DUMMYFUNCTION("""COMPUTED_VALUE"""),4136.36)</f>
        <v>4136.3599999999997</v>
      </c>
      <c r="Q282" s="33" t="str">
        <f ca="1">IFERROR(__xludf.DUMMYFUNCTION("""COMPUTED_VALUE"""),"Ramon Ferrando")</f>
        <v>Ramon Ferrando</v>
      </c>
      <c r="R282" s="33" t="str">
        <f ca="1">IFERROR(__xludf.DUMMYFUNCTION("""COMPUTED_VALUE"""),"Ainhoa García-Lliberos de Miguel")</f>
        <v>Ainhoa García-Lliberos de Miguel</v>
      </c>
      <c r="S282" s="61" t="str">
        <f ca="1">IFERROR(__xludf.DUMMYFUNCTION("""COMPUTED_VALUE"""),"03 ORL")</f>
        <v>03 ORL</v>
      </c>
      <c r="T282" s="33" t="str">
        <f ca="1">IFERROR(__xludf.DUMMYFUNCTION("""COMPUTED_VALUE"""),"06 ORL")</f>
        <v>06 ORL</v>
      </c>
      <c r="U282" s="62"/>
      <c r="W282" s="62"/>
      <c r="X282" s="62"/>
    </row>
    <row r="283" spans="2:24" ht="16">
      <c r="B283" s="55" t="str">
        <f t="shared" ca="1" si="1"/>
        <v>RFV</v>
      </c>
      <c r="C283" s="64" t="str">
        <f ca="1">IFERROR(__xludf.DUMMYFUNCTION("""COMPUTED_VALUE"""),"RFV08")</f>
        <v>RFV08</v>
      </c>
      <c r="D283" s="33" t="str">
        <f ca="1">IFERROR(__xludf.DUMMYFUNCTION("""COMPUTED_VALUE"""),"PROPIOS")</f>
        <v>PROPIOS</v>
      </c>
      <c r="E283" s="33">
        <f ca="1">IFERROR(__xludf.DUMMYFUNCTION("""COMPUTED_VALUE"""),2026)</f>
        <v>2026</v>
      </c>
      <c r="F283" s="56">
        <f ca="1">IFERROR(__xludf.DUMMYFUNCTION("""COMPUTED_VALUE"""),2)</f>
        <v>2</v>
      </c>
      <c r="G283" s="33" t="str">
        <f ca="1">IFERROR(__xludf.DUMMYFUNCTION("""COMPUTED_VALUE"""),"Valencia- Cádiz")</f>
        <v>Valencia- Cádiz</v>
      </c>
      <c r="H283" s="33" t="str">
        <f ca="1">IFERROR(__xludf.DUMMYFUNCTION("""COMPUTED_VALUE"""),"C202618174141196214")</f>
        <v>C202618174141196214</v>
      </c>
      <c r="I283" s="33" t="str">
        <f ca="1">IFERROR(__xludf.DUMMYFUNCTION("""COMPUTED_VALUE"""),"RAUL PASTOR MIRALLES")</f>
        <v>RAUL PASTOR MIRALLES</v>
      </c>
      <c r="J283" s="57">
        <f ca="1">IFERROR(__xludf.DUMMYFUNCTION("""COMPUTED_VALUE"""),46030)</f>
        <v>46030</v>
      </c>
      <c r="K283" s="33" t="str">
        <f ca="1">IFERROR(__xludf.DUMMYFUNCTION("""COMPUTED_VALUE"""),"Factura audífonos")</f>
        <v>Factura audífonos</v>
      </c>
      <c r="L283" s="57">
        <f ca="1">IFERROR(__xludf.DUMMYFUNCTION("""COMPUTED_VALUE"""),46080)</f>
        <v>46080</v>
      </c>
      <c r="M283" s="58" t="str">
        <f ca="1">IFERROR(__xludf.DUMMYFUNCTION("""COMPUTED_VALUE"""),"NO")</f>
        <v>NO</v>
      </c>
      <c r="N283" s="56">
        <f ca="1">IFERROR(__xludf.DUMMYFUNCTION("""COMPUTED_VALUE"""),1)</f>
        <v>1</v>
      </c>
      <c r="O283" s="64" t="str">
        <f ca="1">IFERROR(__xludf.DUMMYFUNCTION("""COMPUTED_VALUE"""),"ADVANCED")</f>
        <v>ADVANCED</v>
      </c>
      <c r="P283" s="62">
        <f ca="1">IFERROR(__xludf.DUMMYFUNCTION("""COMPUTED_VALUE"""),2481.82)</f>
        <v>2481.8200000000002</v>
      </c>
      <c r="Q283" s="33" t="str">
        <f ca="1">IFERROR(__xludf.DUMMYFUNCTION("""COMPUTED_VALUE"""),"Ramon Ferrando")</f>
        <v>Ramon Ferrando</v>
      </c>
      <c r="R283" s="33" t="str">
        <f ca="1">IFERROR(__xludf.DUMMYFUNCTION("""COMPUTED_VALUE"""),"Abel Guzmán Calvete")</f>
        <v>Abel Guzmán Calvete</v>
      </c>
      <c r="S283" s="61" t="str">
        <f ca="1">IFERROR(__xludf.DUMMYFUNCTION("""COMPUTED_VALUE"""),"03 ORL")</f>
        <v>03 ORL</v>
      </c>
      <c r="T283" s="33" t="str">
        <f ca="1">IFERROR(__xludf.DUMMYFUNCTION("""COMPUTED_VALUE"""),"06 ORL")</f>
        <v>06 ORL</v>
      </c>
      <c r="U283" s="62"/>
      <c r="W283" s="62"/>
      <c r="X283" s="62"/>
    </row>
    <row r="284" spans="2:24" ht="16">
      <c r="B284" s="55" t="str">
        <f t="shared" si="1"/>
        <v/>
      </c>
      <c r="C284" s="64"/>
      <c r="D284" s="33" t="str">
        <f ca="1">IFERROR(__xludf.DUMMYFUNCTION("""COMPUTED_VALUE"""),"PROPIOS")</f>
        <v>PROPIOS</v>
      </c>
      <c r="E284" s="33">
        <f ca="1">IFERROR(__xludf.DUMMYFUNCTION("""COMPUTED_VALUE"""),2026)</f>
        <v>2026</v>
      </c>
      <c r="F284" s="56">
        <f ca="1">IFERROR(__xludf.DUMMYFUNCTION("""COMPUTED_VALUE"""),2)</f>
        <v>2</v>
      </c>
      <c r="G284" s="33" t="str">
        <f ca="1">IFERROR(__xludf.DUMMYFUNCTION("""COMPUTED_VALUE"""),"Valencia- Cádiz")</f>
        <v>Valencia- Cádiz</v>
      </c>
      <c r="H284" s="33" t="str">
        <f ca="1">IFERROR(__xludf.DUMMYFUNCTION("""COMPUTED_VALUE"""),"C202612010474530470")</f>
        <v>C202612010474530470</v>
      </c>
      <c r="I284" s="33" t="str">
        <f ca="1">IFERROR(__xludf.DUMMYFUNCTION("""COMPUTED_VALUE"""),"RAFAEL CORTINA UREÑA")</f>
        <v>RAFAEL CORTINA UREÑA</v>
      </c>
      <c r="J284" s="57">
        <f ca="1">IFERROR(__xludf.DUMMYFUNCTION("""COMPUTED_VALUE"""),46042)</f>
        <v>46042</v>
      </c>
      <c r="K284" s="33" t="str">
        <f ca="1">IFERROR(__xludf.DUMMYFUNCTION("""COMPUTED_VALUE"""),"Factura audífonos")</f>
        <v>Factura audífonos</v>
      </c>
      <c r="L284" s="57">
        <f ca="1">IFERROR(__xludf.DUMMYFUNCTION("""COMPUTED_VALUE"""),46080)</f>
        <v>46080</v>
      </c>
      <c r="M284" s="64" t="str">
        <f ca="1">IFERROR(__xludf.DUMMYFUNCTION("""COMPUTED_VALUE"""),"NO")</f>
        <v>NO</v>
      </c>
      <c r="N284" s="56">
        <f ca="1">IFERROR(__xludf.DUMMYFUNCTION("""COMPUTED_VALUE"""),2)</f>
        <v>2</v>
      </c>
      <c r="O284" s="64" t="str">
        <f ca="1">IFERROR(__xludf.DUMMYFUNCTION("""COMPUTED_VALUE"""),"ADVANCED")</f>
        <v>ADVANCED</v>
      </c>
      <c r="P284" s="62">
        <f ca="1">IFERROR(__xludf.DUMMYFUNCTION("""COMPUTED_VALUE"""),4136.36)</f>
        <v>4136.3599999999997</v>
      </c>
      <c r="Q284" s="33" t="str">
        <f ca="1">IFERROR(__xludf.DUMMYFUNCTION("""COMPUTED_VALUE"""),"Ramon Ferrando")</f>
        <v>Ramon Ferrando</v>
      </c>
      <c r="R284" s="33" t="str">
        <f ca="1">IFERROR(__xludf.DUMMYFUNCTION("""COMPUTED_VALUE"""),"No recuerda ORL")</f>
        <v>No recuerda ORL</v>
      </c>
      <c r="S284" s="61" t="str">
        <f ca="1">IFERROR(__xludf.DUMMYFUNCTION("""COMPUTED_VALUE"""),"03 ORL")</f>
        <v>03 ORL</v>
      </c>
      <c r="T284" s="33" t="str">
        <f ca="1">IFERROR(__xludf.DUMMYFUNCTION("""COMPUTED_VALUE"""),"06 ORL")</f>
        <v>06 ORL</v>
      </c>
      <c r="U284" s="62"/>
      <c r="W284" s="62"/>
      <c r="X284" s="62"/>
    </row>
    <row r="285" spans="2:24" ht="16.5" customHeight="1">
      <c r="B285" s="55" t="str">
        <f t="shared" ca="1" si="1"/>
        <v>MBM</v>
      </c>
      <c r="C285" s="64" t="str">
        <f ca="1">IFERROR(__xludf.DUMMYFUNCTION("""COMPUTED_VALUE"""),"MBM46")</f>
        <v>MBM46</v>
      </c>
      <c r="D285" s="33" t="str">
        <f ca="1">IFERROR(__xludf.DUMMYFUNCTION("""COMPUTED_VALUE"""),"PROPIOS")</f>
        <v>PROPIOS</v>
      </c>
      <c r="E285" s="33">
        <f ca="1">IFERROR(__xludf.DUMMYFUNCTION("""COMPUTED_VALUE"""),2026)</f>
        <v>2026</v>
      </c>
      <c r="F285" s="56">
        <f ca="1">IFERROR(__xludf.DUMMYFUNCTION("""COMPUTED_VALUE"""),2)</f>
        <v>2</v>
      </c>
      <c r="G285" s="33" t="str">
        <f ca="1">IFERROR(__xludf.DUMMYFUNCTION("""COMPUTED_VALUE"""),"Toledo")</f>
        <v>Toledo</v>
      </c>
      <c r="H285" s="33" t="str">
        <f ca="1">IFERROR(__xludf.DUMMYFUNCTION("""COMPUTED_VALUE"""),"C202611910505946252")</f>
        <v>C202611910505946252</v>
      </c>
      <c r="I285" s="33" t="str">
        <f ca="1">IFERROR(__xludf.DUMMYFUNCTION("""COMPUTED_VALUE"""),"Maria Milagros Sanchez Maestre")</f>
        <v>Maria Milagros Sanchez Maestre</v>
      </c>
      <c r="J285" s="57">
        <f ca="1">IFERROR(__xludf.DUMMYFUNCTION("""COMPUTED_VALUE"""),46041)</f>
        <v>46041</v>
      </c>
      <c r="K285" s="33" t="str">
        <f ca="1">IFERROR(__xludf.DUMMYFUNCTION("""COMPUTED_VALUE"""),"Factura audífonos")</f>
        <v>Factura audífonos</v>
      </c>
      <c r="L285" s="57">
        <f ca="1">IFERROR(__xludf.DUMMYFUNCTION("""COMPUTED_VALUE"""),46080)</f>
        <v>46080</v>
      </c>
      <c r="M285" s="64" t="str">
        <f ca="1">IFERROR(__xludf.DUMMYFUNCTION("""COMPUTED_VALUE"""),"NO")</f>
        <v>NO</v>
      </c>
      <c r="N285" s="56">
        <f ca="1">IFERROR(__xludf.DUMMYFUNCTION("""COMPUTED_VALUE"""),2)</f>
        <v>2</v>
      </c>
      <c r="O285" s="64" t="str">
        <f ca="1">IFERROR(__xludf.DUMMYFUNCTION("""COMPUTED_VALUE"""),"QUIET")</f>
        <v>QUIET</v>
      </c>
      <c r="P285" s="62">
        <f ca="1">IFERROR(__xludf.DUMMYFUNCTION("""COMPUTED_VALUE"""),2718.18)</f>
        <v>2718.18</v>
      </c>
      <c r="Q285" s="33" t="str">
        <f ca="1">IFERROR(__xludf.DUMMYFUNCTION("""COMPUTED_VALUE"""),"Maika Blázquez")</f>
        <v>Maika Blázquez</v>
      </c>
      <c r="R285" s="33" t="str">
        <f ca="1">IFERROR(__xludf.DUMMYFUNCTION("""COMPUTED_VALUE"""),"Jonathan Esteban Sánchez")</f>
        <v>Jonathan Esteban Sánchez</v>
      </c>
      <c r="S285" s="61" t="str">
        <f ca="1">IFERROR(__xludf.DUMMYFUNCTION("""COMPUTED_VALUE"""),"03 ORL")</f>
        <v>03 ORL</v>
      </c>
      <c r="T285" s="33" t="str">
        <f ca="1">IFERROR(__xludf.DUMMYFUNCTION("""COMPUTED_VALUE"""),"06 ORL")</f>
        <v>06 ORL</v>
      </c>
      <c r="U285" s="62"/>
      <c r="W285" s="62"/>
      <c r="X285" s="62"/>
    </row>
    <row r="286" spans="2:24" ht="16">
      <c r="B286" s="55" t="str">
        <f t="shared" ca="1" si="1"/>
        <v>LAA</v>
      </c>
      <c r="C286" s="64" t="str">
        <f ca="1">IFERROR(__xludf.DUMMYFUNCTION("""COMPUTED_VALUE"""),"LAA30")</f>
        <v>LAA30</v>
      </c>
      <c r="D286" s="33" t="str">
        <f ca="1">IFERROR(__xludf.DUMMYFUNCTION("""COMPUTED_VALUE"""),"ASOCIADOS")</f>
        <v>ASOCIADOS</v>
      </c>
      <c r="E286" s="33">
        <f ca="1">IFERROR(__xludf.DUMMYFUNCTION("""COMPUTED_VALUE"""),2026)</f>
        <v>2026</v>
      </c>
      <c r="F286" s="56">
        <f ca="1">IFERROR(__xludf.DUMMYFUNCTION("""COMPUTED_VALUE"""),3)</f>
        <v>3</v>
      </c>
      <c r="G286" s="33" t="str">
        <f ca="1">IFERROR(__xludf.DUMMYFUNCTION("""COMPUTED_VALUE"""),"Sevilla- Ciencias")</f>
        <v>Sevilla- Ciencias</v>
      </c>
      <c r="H286" s="33" t="str">
        <f ca="1">IFERROR(__xludf.DUMMYFUNCTION("""COMPUTED_VALUE"""),"C202622115532416084")</f>
        <v>C202622115532416084</v>
      </c>
      <c r="I286" s="33" t="str">
        <f ca="1">IFERROR(__xludf.DUMMYFUNCTION("""COMPUTED_VALUE"""),"Carmen Flores Atanet")</f>
        <v>Carmen Flores Atanet</v>
      </c>
      <c r="J286" s="57">
        <f ca="1">IFERROR(__xludf.DUMMYFUNCTION("""COMPUTED_VALUE"""),46083)</f>
        <v>46083</v>
      </c>
      <c r="K286" s="33" t="str">
        <f ca="1">IFERROR(__xludf.DUMMYFUNCTION("""COMPUTED_VALUE"""),"Factura audífonos")</f>
        <v>Factura audífonos</v>
      </c>
      <c r="L286" s="57">
        <f ca="1">IFERROR(__xludf.DUMMYFUNCTION("""COMPUTED_VALUE"""),46112)</f>
        <v>46112</v>
      </c>
      <c r="M286" s="64" t="str">
        <f ca="1">IFERROR(__xludf.DUMMYFUNCTION("""COMPUTED_VALUE"""),"NO")</f>
        <v>NO</v>
      </c>
      <c r="N286" s="56">
        <f ca="1">IFERROR(__xludf.DUMMYFUNCTION("""COMPUTED_VALUE"""),2)</f>
        <v>2</v>
      </c>
      <c r="O286" s="64" t="str">
        <f ca="1">IFERROR(__xludf.DUMMYFUNCTION("""COMPUTED_VALUE"""),"ADVANCED")</f>
        <v>ADVANCED</v>
      </c>
      <c r="P286" s="62">
        <f ca="1">IFERROR(__xludf.DUMMYFUNCTION("""COMPUTED_VALUE"""),3632)</f>
        <v>3632</v>
      </c>
      <c r="Q286" s="33" t="str">
        <f ca="1">IFERROR(__xludf.DUMMYFUNCTION("""COMPUTED_VALUE"""),"Luis Alberto Rodríguez")</f>
        <v>Luis Alberto Rodríguez</v>
      </c>
      <c r="R286" s="33" t="str">
        <f ca="1">IFERROR(__xludf.DUMMYFUNCTION("""COMPUTED_VALUE"""),"Juan Pedro Benaixa")</f>
        <v>Juan Pedro Benaixa</v>
      </c>
      <c r="S286" s="61" t="str">
        <f ca="1">IFERROR(__xludf.DUMMYFUNCTION("""COMPUTED_VALUE"""),"03 ORL")</f>
        <v>03 ORL</v>
      </c>
      <c r="T286" s="33" t="str">
        <f ca="1">IFERROR(__xludf.DUMMYFUNCTION("""COMPUTED_VALUE"""),"06 ORL")</f>
        <v>06 ORL</v>
      </c>
      <c r="U286" s="62"/>
      <c r="W286" s="62"/>
      <c r="X286" s="62"/>
    </row>
    <row r="287" spans="2:24" ht="16">
      <c r="B287" s="55" t="str">
        <f t="shared" ca="1" si="1"/>
        <v>LAA</v>
      </c>
      <c r="C287" s="64" t="str">
        <f ca="1">IFERROR(__xludf.DUMMYFUNCTION("""COMPUTED_VALUE"""),"LAA86")</f>
        <v>LAA86</v>
      </c>
      <c r="D287" s="33" t="str">
        <f ca="1">IFERROR(__xludf.DUMMYFUNCTION("""COMPUTED_VALUE"""),"ASOCIADOS")</f>
        <v>ASOCIADOS</v>
      </c>
      <c r="E287" s="33">
        <f ca="1">IFERROR(__xludf.DUMMYFUNCTION("""COMPUTED_VALUE"""),2026)</f>
        <v>2026</v>
      </c>
      <c r="F287" s="56">
        <f ca="1">IFERROR(__xludf.DUMMYFUNCTION("""COMPUTED_VALUE"""),3)</f>
        <v>3</v>
      </c>
      <c r="G287" s="33" t="str">
        <f ca="1">IFERROR(__xludf.DUMMYFUNCTION("""COMPUTED_VALUE"""),"Sevilla- Ciencias")</f>
        <v>Sevilla- Ciencias</v>
      </c>
      <c r="H287" s="33" t="str">
        <f ca="1">IFERROR(__xludf.DUMMYFUNCTION("""COMPUTED_VALUE"""),"C2026221849556447")</f>
        <v>C2026221849556447</v>
      </c>
      <c r="I287" s="33" t="str">
        <f ca="1">IFERROR(__xludf.DUMMYFUNCTION("""COMPUTED_VALUE"""),"Carmen Quiros Cachero")</f>
        <v>Carmen Quiros Cachero</v>
      </c>
      <c r="J287" s="57">
        <f ca="1">IFERROR(__xludf.DUMMYFUNCTION("""COMPUTED_VALUE"""),46083)</f>
        <v>46083</v>
      </c>
      <c r="K287" s="33" t="str">
        <f ca="1">IFERROR(__xludf.DUMMYFUNCTION("""COMPUTED_VALUE"""),"Factura audífonos")</f>
        <v>Factura audífonos</v>
      </c>
      <c r="L287" s="57">
        <f ca="1">IFERROR(__xludf.DUMMYFUNCTION("""COMPUTED_VALUE"""),46112)</f>
        <v>46112</v>
      </c>
      <c r="M287" s="64" t="str">
        <f ca="1">IFERROR(__xludf.DUMMYFUNCTION("""COMPUTED_VALUE"""),"NO")</f>
        <v>NO</v>
      </c>
      <c r="N287" s="56">
        <f ca="1">IFERROR(__xludf.DUMMYFUNCTION("""COMPUTED_VALUE"""),2)</f>
        <v>2</v>
      </c>
      <c r="O287" s="64" t="str">
        <f ca="1">IFERROR(__xludf.DUMMYFUNCTION("""COMPUTED_VALUE"""),"ADVANCED")</f>
        <v>ADVANCED</v>
      </c>
      <c r="P287" s="62">
        <f ca="1">IFERROR(__xludf.DUMMYFUNCTION("""COMPUTED_VALUE"""),3632)</f>
        <v>3632</v>
      </c>
      <c r="Q287" s="33" t="str">
        <f ca="1">IFERROR(__xludf.DUMMYFUNCTION("""COMPUTED_VALUE"""),"Luis Alberto Rodríguez")</f>
        <v>Luis Alberto Rodríguez</v>
      </c>
      <c r="R287" s="33" t="str">
        <f ca="1">IFERROR(__xludf.DUMMYFUNCTION("""COMPUTED_VALUE"""),"María Del Pilar Gómez Tapiador")</f>
        <v>María Del Pilar Gómez Tapiador</v>
      </c>
      <c r="S287" s="61" t="str">
        <f ca="1">IFERROR(__xludf.DUMMYFUNCTION("""COMPUTED_VALUE"""),"03 ORL")</f>
        <v>03 ORL</v>
      </c>
      <c r="T287" s="33" t="str">
        <f ca="1">IFERROR(__xludf.DUMMYFUNCTION("""COMPUTED_VALUE"""),"06 ORL")</f>
        <v>06 ORL</v>
      </c>
      <c r="U287" s="62"/>
      <c r="W287" s="62"/>
      <c r="X287" s="62"/>
    </row>
    <row r="288" spans="2:24" ht="16">
      <c r="B288" s="55" t="str">
        <f t="shared" ca="1" si="1"/>
        <v>LRM</v>
      </c>
      <c r="C288" s="64" t="str">
        <f ca="1">IFERROR(__xludf.DUMMYFUNCTION("""COMPUTED_VALUE"""),"LRM101")</f>
        <v>LRM101</v>
      </c>
      <c r="D288" s="33" t="str">
        <f ca="1">IFERROR(__xludf.DUMMYFUNCTION("""COMPUTED_VALUE"""),"ASOCIADOS")</f>
        <v>ASOCIADOS</v>
      </c>
      <c r="E288" s="33">
        <f ca="1">IFERROR(__xludf.DUMMYFUNCTION("""COMPUTED_VALUE"""),2026)</f>
        <v>2026</v>
      </c>
      <c r="F288" s="56">
        <f ca="1">IFERROR(__xludf.DUMMYFUNCTION("""COMPUTED_VALUE"""),3)</f>
        <v>3</v>
      </c>
      <c r="G288" s="33" t="str">
        <f ca="1">IFERROR(__xludf.DUMMYFUNCTION("""COMPUTED_VALUE"""),"Cáceres")</f>
        <v>Cáceres</v>
      </c>
      <c r="H288" s="33" t="str">
        <f ca="1">IFERROR(__xludf.DUMMYFUNCTION("""COMPUTED_VALUE"""),"C202612611314553565")</f>
        <v>C202612611314553565</v>
      </c>
      <c r="I288" s="33" t="str">
        <f ca="1">IFERROR(__xludf.DUMMYFUNCTION("""COMPUTED_VALUE"""),"MARIA GUADALUPE MORA PEÑA")</f>
        <v>MARIA GUADALUPE MORA PEÑA</v>
      </c>
      <c r="J288" s="57">
        <f ca="1">IFERROR(__xludf.DUMMYFUNCTION("""COMPUTED_VALUE"""),46048)</f>
        <v>46048</v>
      </c>
      <c r="K288" s="33" t="str">
        <f ca="1">IFERROR(__xludf.DUMMYFUNCTION("""COMPUTED_VALUE"""),"Factura audífonos")</f>
        <v>Factura audífonos</v>
      </c>
      <c r="L288" s="57">
        <f ca="1">IFERROR(__xludf.DUMMYFUNCTION("""COMPUTED_VALUE"""),46083)</f>
        <v>46083</v>
      </c>
      <c r="M288" s="64" t="str">
        <f ca="1">IFERROR(__xludf.DUMMYFUNCTION("""COMPUTED_VALUE"""),"NO")</f>
        <v>NO</v>
      </c>
      <c r="N288" s="56">
        <f ca="1">IFERROR(__xludf.DUMMYFUNCTION("""COMPUTED_VALUE"""),2)</f>
        <v>2</v>
      </c>
      <c r="O288" s="58" t="str">
        <f ca="1">IFERROR(__xludf.DUMMYFUNCTION("""COMPUTED_VALUE"""),"CONFORT")</f>
        <v>CONFORT</v>
      </c>
      <c r="P288" s="62">
        <f ca="1">IFERROR(__xludf.DUMMYFUNCTION("""COMPUTED_VALUE"""),3668.18)</f>
        <v>3668.18</v>
      </c>
      <c r="Q288" s="33" t="str">
        <f ca="1">IFERROR(__xludf.DUMMYFUNCTION("""COMPUTED_VALUE"""),"Lisandro Russian")</f>
        <v>Lisandro Russian</v>
      </c>
      <c r="R288" s="33" t="str">
        <f ca="1">IFERROR(__xludf.DUMMYFUNCTION("""COMPUTED_VALUE"""),"Manuel Martí Peña")</f>
        <v>Manuel Martí Peña</v>
      </c>
      <c r="S288" s="61" t="str">
        <f ca="1">IFERROR(__xludf.DUMMYFUNCTION("""COMPUTED_VALUE"""),"03 ORL")</f>
        <v>03 ORL</v>
      </c>
      <c r="T288" s="33" t="str">
        <f ca="1">IFERROR(__xludf.DUMMYFUNCTION("""COMPUTED_VALUE"""),"06 ORL")</f>
        <v>06 ORL</v>
      </c>
      <c r="U288" s="62"/>
      <c r="W288" s="62"/>
      <c r="X288" s="62"/>
    </row>
    <row r="289" spans="2:31" ht="16">
      <c r="B289" s="55" t="str">
        <f t="shared" ca="1" si="1"/>
        <v>LRM</v>
      </c>
      <c r="C289" s="64" t="str">
        <f ca="1">IFERROR(__xludf.DUMMYFUNCTION("""COMPUTED_VALUE"""),"LRM153")</f>
        <v>LRM153</v>
      </c>
      <c r="D289" s="33" t="str">
        <f ca="1">IFERROR(__xludf.DUMMYFUNCTION("""COMPUTED_VALUE"""),"ASOCIADOS")</f>
        <v>ASOCIADOS</v>
      </c>
      <c r="E289" s="33">
        <f ca="1">IFERROR(__xludf.DUMMYFUNCTION("""COMPUTED_VALUE"""),2026)</f>
        <v>2026</v>
      </c>
      <c r="F289" s="56">
        <f ca="1">IFERROR(__xludf.DUMMYFUNCTION("""COMPUTED_VALUE"""),3)</f>
        <v>3</v>
      </c>
      <c r="G289" s="33" t="str">
        <f ca="1">IFERROR(__xludf.DUMMYFUNCTION("""COMPUTED_VALUE"""),"Cáceres")</f>
        <v>Cáceres</v>
      </c>
      <c r="H289" s="33" t="str">
        <f ca="1">IFERROR(__xludf.DUMMYFUNCTION("""COMPUTED_VALUE"""),"C20262293320029948")</f>
        <v>C20262293320029948</v>
      </c>
      <c r="I289" s="33" t="str">
        <f ca="1">IFERROR(__xludf.DUMMYFUNCTION("""COMPUTED_VALUE"""),"FELIPE MENDOZA PIZARRO")</f>
        <v>FELIPE MENDOZA PIZARRO</v>
      </c>
      <c r="J289" s="57">
        <f ca="1">IFERROR(__xludf.DUMMYFUNCTION("""COMPUTED_VALUE"""),46055)</f>
        <v>46055</v>
      </c>
      <c r="K289" s="33" t="str">
        <f ca="1">IFERROR(__xludf.DUMMYFUNCTION("""COMPUTED_VALUE"""),"Factura audífonos")</f>
        <v>Factura audífonos</v>
      </c>
      <c r="L289" s="57">
        <f ca="1">IFERROR(__xludf.DUMMYFUNCTION("""COMPUTED_VALUE"""),46083)</f>
        <v>46083</v>
      </c>
      <c r="M289" s="58" t="str">
        <f ca="1">IFERROR(__xludf.DUMMYFUNCTION("""COMPUTED_VALUE"""),"NO")</f>
        <v>NO</v>
      </c>
      <c r="N289" s="56">
        <f ca="1">IFERROR(__xludf.DUMMYFUNCTION("""COMPUTED_VALUE"""),2)</f>
        <v>2</v>
      </c>
      <c r="O289" s="58" t="str">
        <f ca="1">IFERROR(__xludf.DUMMYFUNCTION("""COMPUTED_VALUE"""),"CONFORT")</f>
        <v>CONFORT</v>
      </c>
      <c r="P289" s="62">
        <f ca="1">IFERROR(__xludf.DUMMYFUNCTION("""COMPUTED_VALUE"""),3940.91)</f>
        <v>3940.91</v>
      </c>
      <c r="Q289" s="33" t="str">
        <f ca="1">IFERROR(__xludf.DUMMYFUNCTION("""COMPUTED_VALUE"""),"Lisandro Russian")</f>
        <v>Lisandro Russian</v>
      </c>
      <c r="R289" s="33" t="str">
        <f ca="1">IFERROR(__xludf.DUMMYFUNCTION("""COMPUTED_VALUE"""),"Daniela Carolina Laguado Bulgheroni")</f>
        <v>Daniela Carolina Laguado Bulgheroni</v>
      </c>
      <c r="S289" s="61" t="str">
        <f ca="1">IFERROR(__xludf.DUMMYFUNCTION("""COMPUTED_VALUE"""),"03 ORL")</f>
        <v>03 ORL</v>
      </c>
      <c r="T289" s="33" t="str">
        <f ca="1">IFERROR(__xludf.DUMMYFUNCTION("""COMPUTED_VALUE"""),"06 ORL")</f>
        <v>06 ORL</v>
      </c>
      <c r="U289" s="62"/>
      <c r="W289" s="62"/>
      <c r="X289" s="62"/>
    </row>
    <row r="290" spans="2:31" ht="16">
      <c r="B290" s="55" t="str">
        <f t="shared" ca="1" si="1"/>
        <v>MBM</v>
      </c>
      <c r="C290" s="64" t="str">
        <f ca="1">IFERROR(__xludf.DUMMYFUNCTION("""COMPUTED_VALUE"""),"MBM184")</f>
        <v>MBM184</v>
      </c>
      <c r="D290" s="33" t="str">
        <f ca="1">IFERROR(__xludf.DUMMYFUNCTION("""COMPUTED_VALUE"""),"PROPIOS")</f>
        <v>PROPIOS</v>
      </c>
      <c r="E290" s="33">
        <f ca="1">IFERROR(__xludf.DUMMYFUNCTION("""COMPUTED_VALUE"""),2026)</f>
        <v>2026</v>
      </c>
      <c r="F290" s="56">
        <f ca="1">IFERROR(__xludf.DUMMYFUNCTION("""COMPUTED_VALUE"""),3)</f>
        <v>3</v>
      </c>
      <c r="G290" s="33" t="str">
        <f ca="1">IFERROR(__xludf.DUMMYFUNCTION("""COMPUTED_VALUE"""),"Madrid- Monforte de Lemos")</f>
        <v>Madrid- Monforte de Lemos</v>
      </c>
      <c r="H290" s="33" t="str">
        <f ca="1">IFERROR(__xludf.DUMMYFUNCTION("""COMPUTED_VALUE"""),"C202618105216372686")</f>
        <v>C202618105216372686</v>
      </c>
      <c r="I290" s="33" t="str">
        <f ca="1">IFERROR(__xludf.DUMMYFUNCTION("""COMPUTED_VALUE"""),"FREDY HERNANDEZ PAQUIRACHI")</f>
        <v>FREDY HERNANDEZ PAQUIRACHI</v>
      </c>
      <c r="J290" s="57">
        <f ca="1">IFERROR(__xludf.DUMMYFUNCTION("""COMPUTED_VALUE"""),46030)</f>
        <v>46030</v>
      </c>
      <c r="K290" s="33" t="str">
        <f ca="1">IFERROR(__xludf.DUMMYFUNCTION("""COMPUTED_VALUE"""),"Factura audífonos")</f>
        <v>Factura audífonos</v>
      </c>
      <c r="L290" s="57">
        <f ca="1">IFERROR(__xludf.DUMMYFUNCTION("""COMPUTED_VALUE"""),46083)</f>
        <v>46083</v>
      </c>
      <c r="M290" s="64" t="str">
        <f ca="1">IFERROR(__xludf.DUMMYFUNCTION("""COMPUTED_VALUE"""),"NO")</f>
        <v>NO</v>
      </c>
      <c r="N290" s="56">
        <f ca="1">IFERROR(__xludf.DUMMYFUNCTION("""COMPUTED_VALUE"""),1)</f>
        <v>1</v>
      </c>
      <c r="O290" s="64" t="str">
        <f ca="1">IFERROR(__xludf.DUMMYFUNCTION("""COMPUTED_VALUE"""),"QUIET")</f>
        <v>QUIET</v>
      </c>
      <c r="P290" s="62">
        <f ca="1">IFERROR(__xludf.DUMMYFUNCTION("""COMPUTED_VALUE"""),1631.82)</f>
        <v>1631.82</v>
      </c>
      <c r="Q290" s="33" t="str">
        <f ca="1">IFERROR(__xludf.DUMMYFUNCTION("""COMPUTED_VALUE"""),"Maika Blázquez")</f>
        <v>Maika Blázquez</v>
      </c>
      <c r="R290" s="33" t="str">
        <f ca="1">IFERROR(__xludf.DUMMYFUNCTION("""COMPUTED_VALUE"""),"Victoria García Peces")</f>
        <v>Victoria García Peces</v>
      </c>
      <c r="S290" s="61" t="str">
        <f ca="1">IFERROR(__xludf.DUMMYFUNCTION("""COMPUTED_VALUE"""),"03 ORL")</f>
        <v>03 ORL</v>
      </c>
      <c r="T290" s="33" t="str">
        <f ca="1">IFERROR(__xludf.DUMMYFUNCTION("""COMPUTED_VALUE"""),"06 ORL")</f>
        <v>06 ORL</v>
      </c>
      <c r="U290" s="62"/>
      <c r="W290" s="62"/>
      <c r="X290" s="62"/>
    </row>
    <row r="291" spans="2:31" ht="16">
      <c r="B291" s="55" t="str">
        <f t="shared" ca="1" si="1"/>
        <v>MBM</v>
      </c>
      <c r="C291" s="64" t="str">
        <f ca="1">IFERROR(__xludf.DUMMYFUNCTION("""COMPUTED_VALUE"""),"MBM132")</f>
        <v>MBM132</v>
      </c>
      <c r="D291" s="33" t="str">
        <f ca="1">IFERROR(__xludf.DUMMYFUNCTION("""COMPUTED_VALUE"""),"PARTICIPADOS")</f>
        <v>PARTICIPADOS</v>
      </c>
      <c r="E291" s="33">
        <f ca="1">IFERROR(__xludf.DUMMYFUNCTION("""COMPUTED_VALUE"""),2026)</f>
        <v>2026</v>
      </c>
      <c r="F291" s="56">
        <f ca="1">IFERROR(__xludf.DUMMYFUNCTION("""COMPUTED_VALUE"""),3)</f>
        <v>3</v>
      </c>
      <c r="G291" s="33" t="str">
        <f ca="1">IFERROR(__xludf.DUMMYFUNCTION("""COMPUTED_VALUE"""),"Madrid- La Oca")</f>
        <v>Madrid- La Oca</v>
      </c>
      <c r="H291" s="33" t="str">
        <f ca="1">IFERROR(__xludf.DUMMYFUNCTION("""COMPUTED_VALUE"""),"C202611916431516801")</f>
        <v>C202611916431516801</v>
      </c>
      <c r="I291" s="33" t="str">
        <f ca="1">IFERROR(__xludf.DUMMYFUNCTION("""COMPUTED_VALUE"""),"JOSE MARIA DIEGO CASTELAO ALBELA")</f>
        <v>JOSE MARIA DIEGO CASTELAO ALBELA</v>
      </c>
      <c r="J291" s="57">
        <f ca="1">IFERROR(__xludf.DUMMYFUNCTION("""COMPUTED_VALUE"""),46041)</f>
        <v>46041</v>
      </c>
      <c r="K291" s="33" t="str">
        <f ca="1">IFERROR(__xludf.DUMMYFUNCTION("""COMPUTED_VALUE"""),"Factura audífonos")</f>
        <v>Factura audífonos</v>
      </c>
      <c r="L291" s="57">
        <f ca="1">IFERROR(__xludf.DUMMYFUNCTION("""COMPUTED_VALUE"""),46083)</f>
        <v>46083</v>
      </c>
      <c r="M291" s="64" t="str">
        <f ca="1">IFERROR(__xludf.DUMMYFUNCTION("""COMPUTED_VALUE"""),"NO")</f>
        <v>NO</v>
      </c>
      <c r="N291" s="56">
        <f ca="1">IFERROR(__xludf.DUMMYFUNCTION("""COMPUTED_VALUE"""),2)</f>
        <v>2</v>
      </c>
      <c r="O291" s="58" t="str">
        <f ca="1">IFERROR(__xludf.DUMMYFUNCTION("""COMPUTED_VALUE"""),"ADVANCED")</f>
        <v>ADVANCED</v>
      </c>
      <c r="P291" s="62">
        <f ca="1">IFERROR(__xludf.DUMMYFUNCTION("""COMPUTED_VALUE"""),4136.36)</f>
        <v>4136.3599999999997</v>
      </c>
      <c r="Q291" s="33" t="str">
        <f ca="1">IFERROR(__xludf.DUMMYFUNCTION("""COMPUTED_VALUE"""),"Maika Blázquez")</f>
        <v>Maika Blázquez</v>
      </c>
      <c r="R291" s="33" t="str">
        <f ca="1">IFERROR(__xludf.DUMMYFUNCTION("""COMPUTED_VALUE"""),"Laura Ruano De Pablo")</f>
        <v>Laura Ruano De Pablo</v>
      </c>
      <c r="S291" s="61" t="str">
        <f ca="1">IFERROR(__xludf.DUMMYFUNCTION("""COMPUTED_VALUE"""),"03 ORL")</f>
        <v>03 ORL</v>
      </c>
      <c r="T291" s="33" t="str">
        <f ca="1">IFERROR(__xludf.DUMMYFUNCTION("""COMPUTED_VALUE"""),"22 AUDIOMETRIA CLINICA")</f>
        <v>22 AUDIOMETRIA CLINICA</v>
      </c>
      <c r="U291" s="62"/>
      <c r="W291" s="62"/>
      <c r="X291" s="62"/>
    </row>
    <row r="292" spans="2:31" ht="16">
      <c r="B292" s="55" t="str">
        <f t="shared" si="1"/>
        <v/>
      </c>
      <c r="C292" s="64"/>
      <c r="D292" s="33" t="str">
        <f ca="1">IFERROR(__xludf.DUMMYFUNCTION("""COMPUTED_VALUE"""),"ASOCIADOS")</f>
        <v>ASOCIADOS</v>
      </c>
      <c r="E292" s="33">
        <f ca="1">IFERROR(__xludf.DUMMYFUNCTION("""COMPUTED_VALUE"""),2026)</f>
        <v>2026</v>
      </c>
      <c r="F292" s="56">
        <f ca="1">IFERROR(__xludf.DUMMYFUNCTION("""COMPUTED_VALUE"""),3)</f>
        <v>3</v>
      </c>
      <c r="G292" s="33" t="str">
        <f ca="1">IFERROR(__xludf.DUMMYFUNCTION("""COMPUTED_VALUE"""),"Ponferrada")</f>
        <v>Ponferrada</v>
      </c>
      <c r="H292" s="33" t="str">
        <f ca="1">IFERROR(__xludf.DUMMYFUNCTION("""COMPUTED_VALUE"""),"PON-1022")</f>
        <v>PON-1022</v>
      </c>
      <c r="I292" s="33" t="str">
        <f ca="1">IFERROR(__xludf.DUMMYFUNCTION("""COMPUTED_VALUE"""),"MARIA PILAR RODRIGUEZ FERNANDEZ")</f>
        <v>MARIA PILAR RODRIGUEZ FERNANDEZ</v>
      </c>
      <c r="J292" s="57">
        <f ca="1">IFERROR(__xludf.DUMMYFUNCTION("""COMPUTED_VALUE"""),45971)</f>
        <v>45971</v>
      </c>
      <c r="K292" s="33" t="str">
        <f ca="1">IFERROR(__xludf.DUMMYFUNCTION("""COMPUTED_VALUE"""),"Factura audífonos")</f>
        <v>Factura audífonos</v>
      </c>
      <c r="L292" s="57">
        <f ca="1">IFERROR(__xludf.DUMMYFUNCTION("""COMPUTED_VALUE"""),46083)</f>
        <v>46083</v>
      </c>
      <c r="M292" s="64" t="str">
        <f ca="1">IFERROR(__xludf.DUMMYFUNCTION("""COMPUTED_VALUE"""),"NO")</f>
        <v>NO</v>
      </c>
      <c r="N292" s="56">
        <f ca="1">IFERROR(__xludf.DUMMYFUNCTION("""COMPUTED_VALUE"""),2)</f>
        <v>2</v>
      </c>
      <c r="O292" s="58" t="str">
        <f ca="1">IFERROR(__xludf.DUMMYFUNCTION("""COMPUTED_VALUE"""),"CONFORT")</f>
        <v>CONFORT</v>
      </c>
      <c r="P292" s="62">
        <f ca="1">IFERROR(__xludf.DUMMYFUNCTION("""COMPUTED_VALUE"""),3909.09)</f>
        <v>3909.09</v>
      </c>
      <c r="Q292" s="33" t="str">
        <f ca="1">IFERROR(__xludf.DUMMYFUNCTION("""COMPUTED_VALUE"""),"Alberto Moreno")</f>
        <v>Alberto Moreno</v>
      </c>
      <c r="R292" s="33" t="str">
        <f ca="1">IFERROR(__xludf.DUMMYFUNCTION("""COMPUTED_VALUE"""),"No recuerda ORL")</f>
        <v>No recuerda ORL</v>
      </c>
      <c r="S292" s="61" t="str">
        <f ca="1">IFERROR(__xludf.DUMMYFUNCTION("""COMPUTED_VALUE"""),"03 ORL")</f>
        <v>03 ORL</v>
      </c>
      <c r="T292" s="33" t="str">
        <f ca="1">IFERROR(__xludf.DUMMYFUNCTION("""COMPUTED_VALUE"""),"06 ORL")</f>
        <v>06 ORL</v>
      </c>
      <c r="U292" s="62"/>
      <c r="W292" s="62"/>
      <c r="X292" s="62"/>
    </row>
    <row r="293" spans="2:31" ht="16">
      <c r="B293" s="55" t="str">
        <f t="shared" ca="1" si="1"/>
        <v>LAA</v>
      </c>
      <c r="C293" s="64" t="str">
        <f ca="1">IFERROR(__xludf.DUMMYFUNCTION("""COMPUTED_VALUE"""),"LAA63")</f>
        <v>LAA63</v>
      </c>
      <c r="D293" s="33" t="str">
        <f ca="1">IFERROR(__xludf.DUMMYFUNCTION("""COMPUTED_VALUE"""),"PROPIOS")</f>
        <v>PROPIOS</v>
      </c>
      <c r="E293" s="33">
        <f ca="1">IFERROR(__xludf.DUMMYFUNCTION("""COMPUTED_VALUE"""),2026)</f>
        <v>2026</v>
      </c>
      <c r="F293" s="56">
        <f ca="1">IFERROR(__xludf.DUMMYFUNCTION("""COMPUTED_VALUE"""),3)</f>
        <v>3</v>
      </c>
      <c r="G293" s="33" t="str">
        <f ca="1">IFERROR(__xludf.DUMMYFUNCTION("""COMPUTED_VALUE"""),"Madrid- Canillas")</f>
        <v>Madrid- Canillas</v>
      </c>
      <c r="H293" s="33" t="str">
        <f ca="1">IFERROR(__xludf.DUMMYFUNCTION("""COMPUTED_VALUE"""),"C20262311251509611")</f>
        <v>C20262311251509611</v>
      </c>
      <c r="I293" s="33" t="str">
        <f ca="1">IFERROR(__xludf.DUMMYFUNCTION("""COMPUTED_VALUE"""),"FELIX DE LA FUENTE SANTERO")</f>
        <v>FELIX DE LA FUENTE SANTERO</v>
      </c>
      <c r="J293" s="57">
        <f ca="1">IFERROR(__xludf.DUMMYFUNCTION("""COMPUTED_VALUE"""),46056)</f>
        <v>46056</v>
      </c>
      <c r="K293" s="33" t="str">
        <f ca="1">IFERROR(__xludf.DUMMYFUNCTION("""COMPUTED_VALUE"""),"Factura audífonos")</f>
        <v>Factura audífonos</v>
      </c>
      <c r="L293" s="57">
        <f ca="1">IFERROR(__xludf.DUMMYFUNCTION("""COMPUTED_VALUE"""),46083)</f>
        <v>46083</v>
      </c>
      <c r="M293" s="64" t="str">
        <f ca="1">IFERROR(__xludf.DUMMYFUNCTION("""COMPUTED_VALUE"""),"NO")</f>
        <v>NO</v>
      </c>
      <c r="N293" s="56">
        <f ca="1">IFERROR(__xludf.DUMMYFUNCTION("""COMPUTED_VALUE"""),2)</f>
        <v>2</v>
      </c>
      <c r="O293" s="64" t="str">
        <f ca="1">IFERROR(__xludf.DUMMYFUNCTION("""COMPUTED_VALUE"""),"QUIET")</f>
        <v>QUIET</v>
      </c>
      <c r="P293" s="62">
        <f ca="1">IFERROR(__xludf.DUMMYFUNCTION("""COMPUTED_VALUE"""),2718.18)</f>
        <v>2718.18</v>
      </c>
      <c r="Q293" s="33" t="str">
        <f ca="1">IFERROR(__xludf.DUMMYFUNCTION("""COMPUTED_VALUE"""),"Maika Blázquez")</f>
        <v>Maika Blázquez</v>
      </c>
      <c r="R293" s="33" t="str">
        <f ca="1">IFERROR(__xludf.DUMMYFUNCTION("""COMPUTED_VALUE"""),"Julio López Moya")</f>
        <v>Julio López Moya</v>
      </c>
      <c r="S293" s="61" t="str">
        <f ca="1">IFERROR(__xludf.DUMMYFUNCTION("""COMPUTED_VALUE"""),"03 ORL")</f>
        <v>03 ORL</v>
      </c>
      <c r="T293" s="33" t="str">
        <f ca="1">IFERROR(__xludf.DUMMYFUNCTION("""COMPUTED_VALUE"""),"06 ORL")</f>
        <v>06 ORL</v>
      </c>
      <c r="U293" s="62"/>
      <c r="W293" s="62"/>
      <c r="X293" s="62"/>
      <c r="AE293" s="1"/>
    </row>
    <row r="294" spans="2:31" ht="16">
      <c r="B294" s="55" t="str">
        <f t="shared" ca="1" si="1"/>
        <v>MBM</v>
      </c>
      <c r="C294" s="64" t="str">
        <f ca="1">IFERROR(__xludf.DUMMYFUNCTION("""COMPUTED_VALUE"""),"MBM39")</f>
        <v>MBM39</v>
      </c>
      <c r="D294" s="33" t="str">
        <f ca="1">IFERROR(__xludf.DUMMYFUNCTION("""COMPUTED_VALUE"""),"PROPIOS")</f>
        <v>PROPIOS</v>
      </c>
      <c r="E294" s="33">
        <f ca="1">IFERROR(__xludf.DUMMYFUNCTION("""COMPUTED_VALUE"""),2026)</f>
        <v>2026</v>
      </c>
      <c r="F294" s="56">
        <f ca="1">IFERROR(__xludf.DUMMYFUNCTION("""COMPUTED_VALUE"""),3)</f>
        <v>3</v>
      </c>
      <c r="G294" s="33" t="str">
        <f ca="1">IFERROR(__xludf.DUMMYFUNCTION("""COMPUTED_VALUE"""),"Sevilla- Montoto")</f>
        <v>Sevilla- Montoto</v>
      </c>
      <c r="H294" s="33" t="str">
        <f ca="1">IFERROR(__xludf.DUMMYFUNCTION("""COMPUTED_VALUE"""),"C202512308404010215")</f>
        <v>C202512308404010215</v>
      </c>
      <c r="I294" s="33" t="str">
        <f ca="1">IFERROR(__xludf.DUMMYFUNCTION("""COMPUTED_VALUE"""),"ROSARIO DORADO JIMENEZ")</f>
        <v>ROSARIO DORADO JIMENEZ</v>
      </c>
      <c r="J294" s="57">
        <f ca="1">IFERROR(__xludf.DUMMYFUNCTION("""COMPUTED_VALUE"""),46021)</f>
        <v>46021</v>
      </c>
      <c r="K294" s="33" t="str">
        <f ca="1">IFERROR(__xludf.DUMMYFUNCTION("""COMPUTED_VALUE"""),"Factura audífonos")</f>
        <v>Factura audífonos</v>
      </c>
      <c r="L294" s="57">
        <f ca="1">IFERROR(__xludf.DUMMYFUNCTION("""COMPUTED_VALUE"""),46083)</f>
        <v>46083</v>
      </c>
      <c r="M294" s="64" t="str">
        <f ca="1">IFERROR(__xludf.DUMMYFUNCTION("""COMPUTED_VALUE"""),"NO")</f>
        <v>NO</v>
      </c>
      <c r="N294" s="56">
        <f ca="1">IFERROR(__xludf.DUMMYFUNCTION("""COMPUTED_VALUE"""),2)</f>
        <v>2</v>
      </c>
      <c r="O294" s="64" t="str">
        <f ca="1">IFERROR(__xludf.DUMMYFUNCTION("""COMPUTED_VALUE"""),"QUIET")</f>
        <v>QUIET</v>
      </c>
      <c r="P294" s="62">
        <f ca="1">IFERROR(__xludf.DUMMYFUNCTION("""COMPUTED_VALUE"""),2174.55)</f>
        <v>2174.5500000000002</v>
      </c>
      <c r="Q294" s="33" t="str">
        <f ca="1">IFERROR(__xludf.DUMMYFUNCTION("""COMPUTED_VALUE"""),"Maika Blázquez")</f>
        <v>Maika Blázquez</v>
      </c>
      <c r="R294" s="33" t="str">
        <f ca="1">IFERROR(__xludf.DUMMYFUNCTION("""COMPUTED_VALUE"""),"Javier García Domínguez")</f>
        <v>Javier García Domínguez</v>
      </c>
      <c r="S294" s="61" t="str">
        <f ca="1">IFERROR(__xludf.DUMMYFUNCTION("""COMPUTED_VALUE"""),"03 ORL")</f>
        <v>03 ORL</v>
      </c>
      <c r="T294" s="33" t="str">
        <f ca="1">IFERROR(__xludf.DUMMYFUNCTION("""COMPUTED_VALUE"""),"06 ORL")</f>
        <v>06 ORL</v>
      </c>
      <c r="U294" s="62"/>
      <c r="W294" s="62"/>
      <c r="X294" s="62"/>
    </row>
    <row r="295" spans="2:31" ht="16">
      <c r="B295" s="55" t="str">
        <f t="shared" ca="1" si="1"/>
        <v>PSC</v>
      </c>
      <c r="C295" s="64" t="str">
        <f ca="1">IFERROR(__xludf.DUMMYFUNCTION("""COMPUTED_VALUE"""),"PSC47")</f>
        <v>PSC47</v>
      </c>
      <c r="D295" s="33" t="str">
        <f ca="1">IFERROR(__xludf.DUMMYFUNCTION("""COMPUTED_VALUE"""),"ASOCIADOS")</f>
        <v>ASOCIADOS</v>
      </c>
      <c r="E295" s="33">
        <f ca="1">IFERROR(__xludf.DUMMYFUNCTION("""COMPUTED_VALUE"""),2026)</f>
        <v>2026</v>
      </c>
      <c r="F295" s="56">
        <f ca="1">IFERROR(__xludf.DUMMYFUNCTION("""COMPUTED_VALUE"""),3)</f>
        <v>3</v>
      </c>
      <c r="G295" s="33" t="str">
        <f ca="1">IFERROR(__xludf.DUMMYFUNCTION("""COMPUTED_VALUE"""),"Ponferrada")</f>
        <v>Ponferrada</v>
      </c>
      <c r="H295" s="33" t="str">
        <f ca="1">IFERROR(__xludf.DUMMYFUNCTION("""COMPUTED_VALUE"""),"PON-1019")</f>
        <v>PON-1019</v>
      </c>
      <c r="I295" s="33" t="str">
        <f ca="1">IFERROR(__xludf.DUMMYFUNCTION("""COMPUTED_VALUE"""),"RICARDO PARRADO SANTOS")</f>
        <v>RICARDO PARRADO SANTOS</v>
      </c>
      <c r="J295" s="57">
        <f ca="1">IFERROR(__xludf.DUMMYFUNCTION("""COMPUTED_VALUE"""),45967)</f>
        <v>45967</v>
      </c>
      <c r="K295" s="33" t="str">
        <f ca="1">IFERROR(__xludf.DUMMYFUNCTION("""COMPUTED_VALUE"""),"Factura audífonos")</f>
        <v>Factura audífonos</v>
      </c>
      <c r="L295" s="57">
        <f ca="1">IFERROR(__xludf.DUMMYFUNCTION("""COMPUTED_VALUE"""),46084)</f>
        <v>46084</v>
      </c>
      <c r="M295" s="64" t="str">
        <f ca="1">IFERROR(__xludf.DUMMYFUNCTION("""COMPUTED_VALUE"""),"NO")</f>
        <v>NO</v>
      </c>
      <c r="N295" s="56">
        <f ca="1">IFERROR(__xludf.DUMMYFUNCTION("""COMPUTED_VALUE"""),2)</f>
        <v>2</v>
      </c>
      <c r="O295" s="64" t="str">
        <f ca="1">IFERROR(__xludf.DUMMYFUNCTION("""COMPUTED_VALUE"""),"CONFORT")</f>
        <v>CONFORT</v>
      </c>
      <c r="P295" s="62">
        <f ca="1">IFERROR(__xludf.DUMMYFUNCTION("""COMPUTED_VALUE"""),3909.09)</f>
        <v>3909.09</v>
      </c>
      <c r="Q295" s="33" t="str">
        <f ca="1">IFERROR(__xludf.DUMMYFUNCTION("""COMPUTED_VALUE"""),"Alberto Moreno")</f>
        <v>Alberto Moreno</v>
      </c>
      <c r="R295" s="33" t="str">
        <f ca="1">IFERROR(__xludf.DUMMYFUNCTION("""COMPUTED_VALUE"""),"Mónica Granda Rosales")</f>
        <v>Mónica Granda Rosales</v>
      </c>
      <c r="S295" s="61" t="str">
        <f ca="1">IFERROR(__xludf.DUMMYFUNCTION("""COMPUTED_VALUE"""),"03 ORL")</f>
        <v>03 ORL</v>
      </c>
      <c r="T295" s="33" t="str">
        <f ca="1">IFERROR(__xludf.DUMMYFUNCTION("""COMPUTED_VALUE"""),"06 ORL")</f>
        <v>06 ORL</v>
      </c>
      <c r="U295" s="62"/>
      <c r="W295" s="62"/>
      <c r="X295" s="62"/>
    </row>
    <row r="296" spans="2:31" ht="16">
      <c r="B296" s="55" t="str">
        <f t="shared" ca="1" si="1"/>
        <v>LRM</v>
      </c>
      <c r="C296" s="64" t="str">
        <f ca="1">IFERROR(__xludf.DUMMYFUNCTION("""COMPUTED_VALUE"""),"LRM253")</f>
        <v>LRM253</v>
      </c>
      <c r="D296" s="33" t="str">
        <f ca="1">IFERROR(__xludf.DUMMYFUNCTION("""COMPUTED_VALUE"""),"ASOCIADOS")</f>
        <v>ASOCIADOS</v>
      </c>
      <c r="E296" s="33">
        <f ca="1">IFERROR(__xludf.DUMMYFUNCTION("""COMPUTED_VALUE"""),2026)</f>
        <v>2026</v>
      </c>
      <c r="F296" s="56">
        <f ca="1">IFERROR(__xludf.DUMMYFUNCTION("""COMPUTED_VALUE"""),3)</f>
        <v>3</v>
      </c>
      <c r="G296" s="33" t="str">
        <f ca="1">IFERROR(__xludf.DUMMYFUNCTION("""COMPUTED_VALUE"""),"Cáceres")</f>
        <v>Cáceres</v>
      </c>
      <c r="H296" s="33" t="str">
        <f ca="1">IFERROR(__xludf.DUMMYFUNCTION("""COMPUTED_VALUE"""),"C202612912533959944")</f>
        <v>C202612912533959944</v>
      </c>
      <c r="I296" s="33" t="str">
        <f ca="1">IFERROR(__xludf.DUMMYFUNCTION("""COMPUTED_VALUE"""),"CARMEN ROLO PEREZ")</f>
        <v>CARMEN ROLO PEREZ</v>
      </c>
      <c r="J296" s="57">
        <f ca="1">IFERROR(__xludf.DUMMYFUNCTION("""COMPUTED_VALUE"""),46051)</f>
        <v>46051</v>
      </c>
      <c r="K296" s="33" t="str">
        <f ca="1">IFERROR(__xludf.DUMMYFUNCTION("""COMPUTED_VALUE"""),"Factura audífonos")</f>
        <v>Factura audífonos</v>
      </c>
      <c r="L296" s="57">
        <f ca="1">IFERROR(__xludf.DUMMYFUNCTION("""COMPUTED_VALUE"""),46084)</f>
        <v>46084</v>
      </c>
      <c r="M296" s="64" t="str">
        <f ca="1">IFERROR(__xludf.DUMMYFUNCTION("""COMPUTED_VALUE"""),"NO")</f>
        <v>NO</v>
      </c>
      <c r="N296" s="56">
        <f ca="1">IFERROR(__xludf.DUMMYFUNCTION("""COMPUTED_VALUE"""),2)</f>
        <v>2</v>
      </c>
      <c r="O296" s="64" t="str">
        <f ca="1">IFERROR(__xludf.DUMMYFUNCTION("""COMPUTED_VALUE"""),"PRO")</f>
        <v>PRO</v>
      </c>
      <c r="P296" s="62">
        <f ca="1">IFERROR(__xludf.DUMMYFUNCTION("""COMPUTED_VALUE"""),4818.18)</f>
        <v>4818.18</v>
      </c>
      <c r="Q296" s="33" t="str">
        <f ca="1">IFERROR(__xludf.DUMMYFUNCTION("""COMPUTED_VALUE"""),"Lisandro Russian")</f>
        <v>Lisandro Russian</v>
      </c>
      <c r="R296" s="33" t="str">
        <f ca="1">IFERROR(__xludf.DUMMYFUNCTION("""COMPUTED_VALUE"""),"Marta García Jiménez")</f>
        <v>Marta García Jiménez</v>
      </c>
      <c r="S296" s="61" t="str">
        <f ca="1">IFERROR(__xludf.DUMMYFUNCTION("""COMPUTED_VALUE"""),"03 ORL")</f>
        <v>03 ORL</v>
      </c>
      <c r="T296" s="33" t="str">
        <f ca="1">IFERROR(__xludf.DUMMYFUNCTION("""COMPUTED_VALUE"""),"06 ORL")</f>
        <v>06 ORL</v>
      </c>
      <c r="U296" s="62"/>
      <c r="W296" s="62"/>
      <c r="X296" s="62"/>
    </row>
    <row r="297" spans="2:31" ht="16">
      <c r="B297" s="55" t="str">
        <f t="shared" ca="1" si="1"/>
        <v>LRM</v>
      </c>
      <c r="C297" s="64" t="str">
        <f ca="1">IFERROR(__xludf.DUMMYFUNCTION("""COMPUTED_VALUE"""),"LRM153")</f>
        <v>LRM153</v>
      </c>
      <c r="D297" s="33" t="str">
        <f ca="1">IFERROR(__xludf.DUMMYFUNCTION("""COMPUTED_VALUE"""),"ASOCIADOS")</f>
        <v>ASOCIADOS</v>
      </c>
      <c r="E297" s="33">
        <f ca="1">IFERROR(__xludf.DUMMYFUNCTION("""COMPUTED_VALUE"""),2026)</f>
        <v>2026</v>
      </c>
      <c r="F297" s="56">
        <f ca="1">IFERROR(__xludf.DUMMYFUNCTION("""COMPUTED_VALUE"""),3)</f>
        <v>3</v>
      </c>
      <c r="G297" s="33" t="str">
        <f ca="1">IFERROR(__xludf.DUMMYFUNCTION("""COMPUTED_VALUE"""),"Cáceres")</f>
        <v>Cáceres</v>
      </c>
      <c r="H297" s="33" t="str">
        <f ca="1">IFERROR(__xludf.DUMMYFUNCTION("""COMPUTED_VALUE"""),"C202612713251872039")</f>
        <v>C202612713251872039</v>
      </c>
      <c r="I297" s="33" t="str">
        <f ca="1">IFERROR(__xludf.DUMMYFUNCTION("""COMPUTED_VALUE"""),"LUIS CARABOT ALVAREZ")</f>
        <v>LUIS CARABOT ALVAREZ</v>
      </c>
      <c r="J297" s="57">
        <f ca="1">IFERROR(__xludf.DUMMYFUNCTION("""COMPUTED_VALUE"""),46049)</f>
        <v>46049</v>
      </c>
      <c r="K297" s="33" t="str">
        <f ca="1">IFERROR(__xludf.DUMMYFUNCTION("""COMPUTED_VALUE"""),"Factura audífonos")</f>
        <v>Factura audífonos</v>
      </c>
      <c r="L297" s="57">
        <f ca="1">IFERROR(__xludf.DUMMYFUNCTION("""COMPUTED_VALUE"""),46084)</f>
        <v>46084</v>
      </c>
      <c r="M297" s="64" t="str">
        <f ca="1">IFERROR(__xludf.DUMMYFUNCTION("""COMPUTED_VALUE"""),"NO")</f>
        <v>NO</v>
      </c>
      <c r="N297" s="56">
        <f ca="1">IFERROR(__xludf.DUMMYFUNCTION("""COMPUTED_VALUE"""),2)</f>
        <v>2</v>
      </c>
      <c r="O297" s="64" t="str">
        <f ca="1">IFERROR(__xludf.DUMMYFUNCTION("""COMPUTED_VALUE"""),"PRO")</f>
        <v>PRO</v>
      </c>
      <c r="P297" s="62">
        <f ca="1">IFERROR(__xludf.DUMMYFUNCTION("""COMPUTED_VALUE"""),4990.91)</f>
        <v>4990.91</v>
      </c>
      <c r="Q297" s="33" t="str">
        <f ca="1">IFERROR(__xludf.DUMMYFUNCTION("""COMPUTED_VALUE"""),"Lisandro Russian")</f>
        <v>Lisandro Russian</v>
      </c>
      <c r="R297" s="33" t="str">
        <f ca="1">IFERROR(__xludf.DUMMYFUNCTION("""COMPUTED_VALUE"""),"Daniela Carolina Laguado Bulgheroni")</f>
        <v>Daniela Carolina Laguado Bulgheroni</v>
      </c>
      <c r="S297" s="61" t="str">
        <f ca="1">IFERROR(__xludf.DUMMYFUNCTION("""COMPUTED_VALUE"""),"03 ORL")</f>
        <v>03 ORL</v>
      </c>
      <c r="T297" s="33" t="str">
        <f ca="1">IFERROR(__xludf.DUMMYFUNCTION("""COMPUTED_VALUE"""),"06 ORL")</f>
        <v>06 ORL</v>
      </c>
      <c r="U297" s="62"/>
      <c r="W297" s="62"/>
      <c r="X297" s="62"/>
    </row>
    <row r="298" spans="2:31" ht="16">
      <c r="B298" s="55" t="str">
        <f t="shared" si="1"/>
        <v/>
      </c>
      <c r="C298" s="64"/>
      <c r="D298" s="33" t="str">
        <f ca="1">IFERROR(__xludf.DUMMYFUNCTION("""COMPUTED_VALUE"""),"PROPIOS")</f>
        <v>PROPIOS</v>
      </c>
      <c r="E298" s="33">
        <f ca="1">IFERROR(__xludf.DUMMYFUNCTION("""COMPUTED_VALUE"""),2026)</f>
        <v>2026</v>
      </c>
      <c r="F298" s="56">
        <f ca="1">IFERROR(__xludf.DUMMYFUNCTION("""COMPUTED_VALUE"""),3)</f>
        <v>3</v>
      </c>
      <c r="G298" s="33" t="str">
        <f ca="1">IFERROR(__xludf.DUMMYFUNCTION("""COMPUTED_VALUE"""),"Madrid- Canillas")</f>
        <v>Madrid- Canillas</v>
      </c>
      <c r="H298" s="33" t="str">
        <f ca="1">IFERROR(__xludf.DUMMYFUNCTION("""COMPUTED_VALUE"""),"C202621016226994416")</f>
        <v>C202621016226994416</v>
      </c>
      <c r="I298" s="33" t="str">
        <f ca="1">IFERROR(__xludf.DUMMYFUNCTION("""COMPUTED_VALUE"""),"CARLOS DURO MELERO")</f>
        <v>CARLOS DURO MELERO</v>
      </c>
      <c r="J298" s="57">
        <f ca="1">IFERROR(__xludf.DUMMYFUNCTION("""COMPUTED_VALUE"""),46063)</f>
        <v>46063</v>
      </c>
      <c r="K298" s="33" t="str">
        <f ca="1">IFERROR(__xludf.DUMMYFUNCTION("""COMPUTED_VALUE"""),"Factura audífonos")</f>
        <v>Factura audífonos</v>
      </c>
      <c r="L298" s="57">
        <f ca="1">IFERROR(__xludf.DUMMYFUNCTION("""COMPUTED_VALUE"""),46084)</f>
        <v>46084</v>
      </c>
      <c r="M298" s="64" t="str">
        <f ca="1">IFERROR(__xludf.DUMMYFUNCTION("""COMPUTED_VALUE"""),"NO")</f>
        <v>NO</v>
      </c>
      <c r="N298" s="56">
        <f ca="1">IFERROR(__xludf.DUMMYFUNCTION("""COMPUTED_VALUE"""),2)</f>
        <v>2</v>
      </c>
      <c r="O298" s="64" t="str">
        <f ca="1">IFERROR(__xludf.DUMMYFUNCTION("""COMPUTED_VALUE"""),"PRO")</f>
        <v>PRO</v>
      </c>
      <c r="P298" s="62">
        <f ca="1">IFERROR(__xludf.DUMMYFUNCTION("""COMPUTED_VALUE"""),4536.36)</f>
        <v>4536.3599999999997</v>
      </c>
      <c r="Q298" s="33" t="str">
        <f ca="1">IFERROR(__xludf.DUMMYFUNCTION("""COMPUTED_VALUE"""),"Maika Blázquez")</f>
        <v>Maika Blázquez</v>
      </c>
      <c r="R298" s="33" t="str">
        <f ca="1">IFERROR(__xludf.DUMMYFUNCTION("""COMPUTED_VALUE"""),"No recuerda ORL")</f>
        <v>No recuerda ORL</v>
      </c>
      <c r="S298" s="61" t="str">
        <f ca="1">IFERROR(__xludf.DUMMYFUNCTION("""COMPUTED_VALUE"""),"03 ORL")</f>
        <v>03 ORL</v>
      </c>
      <c r="T298" s="33" t="str">
        <f ca="1">IFERROR(__xludf.DUMMYFUNCTION("""COMPUTED_VALUE"""),"06 ORL")</f>
        <v>06 ORL</v>
      </c>
      <c r="U298" s="62"/>
      <c r="W298" s="62"/>
      <c r="X298" s="62"/>
    </row>
    <row r="299" spans="2:31" ht="16">
      <c r="B299" s="55" t="str">
        <f t="shared" ca="1" si="1"/>
        <v>ISL</v>
      </c>
      <c r="C299" s="64" t="str">
        <f ca="1">IFERROR(__xludf.DUMMYFUNCTION("""COMPUTED_VALUE"""),"ISL34")</f>
        <v>ISL34</v>
      </c>
      <c r="D299" s="33" t="str">
        <f ca="1">IFERROR(__xludf.DUMMYFUNCTION("""COMPUTED_VALUE"""),"PROPIOS")</f>
        <v>PROPIOS</v>
      </c>
      <c r="E299" s="33">
        <f ca="1">IFERROR(__xludf.DUMMYFUNCTION("""COMPUTED_VALUE"""),2026)</f>
        <v>2026</v>
      </c>
      <c r="F299" s="56">
        <f ca="1">IFERROR(__xludf.DUMMYFUNCTION("""COMPUTED_VALUE"""),3)</f>
        <v>3</v>
      </c>
      <c r="G299" s="33" t="str">
        <f ca="1">IFERROR(__xludf.DUMMYFUNCTION("""COMPUTED_VALUE"""),"Alicante")</f>
        <v>Alicante</v>
      </c>
      <c r="H299" s="33" t="str">
        <f ca="1">IFERROR(__xludf.DUMMYFUNCTION("""COMPUTED_VALUE"""),"C202612682640857253")</f>
        <v>C202612682640857253</v>
      </c>
      <c r="I299" s="33" t="str">
        <f ca="1">IFERROR(__xludf.DUMMYFUNCTION("""COMPUTED_VALUE"""),"JOSE GALLEGO ALBURQUERQUE")</f>
        <v>JOSE GALLEGO ALBURQUERQUE</v>
      </c>
      <c r="J299" s="57">
        <f ca="1">IFERROR(__xludf.DUMMYFUNCTION("""COMPUTED_VALUE"""),46048)</f>
        <v>46048</v>
      </c>
      <c r="K299" s="33" t="str">
        <f ca="1">IFERROR(__xludf.DUMMYFUNCTION("""COMPUTED_VALUE"""),"Factura audífonos")</f>
        <v>Factura audífonos</v>
      </c>
      <c r="L299" s="57">
        <f ca="1">IFERROR(__xludf.DUMMYFUNCTION("""COMPUTED_VALUE"""),46085)</f>
        <v>46085</v>
      </c>
      <c r="M299" s="64" t="str">
        <f ca="1">IFERROR(__xludf.DUMMYFUNCTION("""COMPUTED_VALUE"""),"NO")</f>
        <v>NO</v>
      </c>
      <c r="N299" s="56">
        <f ca="1">IFERROR(__xludf.DUMMYFUNCTION("""COMPUTED_VALUE"""),1)</f>
        <v>1</v>
      </c>
      <c r="O299" s="64" t="str">
        <f ca="1">IFERROR(__xludf.DUMMYFUNCTION("""COMPUTED_VALUE"""),"PRO")</f>
        <v>PRO</v>
      </c>
      <c r="P299" s="62">
        <f ca="1">IFERROR(__xludf.DUMMYFUNCTION("""COMPUTED_VALUE"""),2180.91)</f>
        <v>2180.91</v>
      </c>
      <c r="Q299" s="33" t="str">
        <f ca="1">IFERROR(__xludf.DUMMYFUNCTION("""COMPUTED_VALUE"""),"Iván Sánchez")</f>
        <v>Iván Sánchez</v>
      </c>
      <c r="R299" s="33" t="str">
        <f ca="1">IFERROR(__xludf.DUMMYFUNCTION("""COMPUTED_VALUE"""),"Francisco Pastor Beviá")</f>
        <v>Francisco Pastor Beviá</v>
      </c>
      <c r="S299" s="61" t="str">
        <f ca="1">IFERROR(__xludf.DUMMYFUNCTION("""COMPUTED_VALUE"""),"03 ORL")</f>
        <v>03 ORL</v>
      </c>
      <c r="T299" s="33" t="str">
        <f ca="1">IFERROR(__xludf.DUMMYFUNCTION("""COMPUTED_VALUE"""),"06 ORL")</f>
        <v>06 ORL</v>
      </c>
      <c r="U299" s="62"/>
      <c r="W299" s="62"/>
      <c r="X299" s="62"/>
    </row>
    <row r="300" spans="2:31" ht="16">
      <c r="B300" s="55" t="str">
        <f t="shared" ca="1" si="1"/>
        <v>LAA</v>
      </c>
      <c r="C300" s="64" t="str">
        <f ca="1">IFERROR(__xludf.DUMMYFUNCTION("""COMPUTED_VALUE"""),"LAA17")</f>
        <v>LAA17</v>
      </c>
      <c r="D300" s="33" t="str">
        <f ca="1">IFERROR(__xludf.DUMMYFUNCTION("""COMPUTED_VALUE"""),"PROPIOS")</f>
        <v>PROPIOS</v>
      </c>
      <c r="E300" s="33">
        <f ca="1">IFERROR(__xludf.DUMMYFUNCTION("""COMPUTED_VALUE"""),2026)</f>
        <v>2026</v>
      </c>
      <c r="F300" s="56">
        <f ca="1">IFERROR(__xludf.DUMMYFUNCTION("""COMPUTED_VALUE"""),3)</f>
        <v>3</v>
      </c>
      <c r="G300" s="33" t="str">
        <f ca="1">IFERROR(__xludf.DUMMYFUNCTION("""COMPUTED_VALUE"""),"Sevilla- Montoto")</f>
        <v>Sevilla- Montoto</v>
      </c>
      <c r="H300" s="33" t="str">
        <f ca="1">IFERROR(__xludf.DUMMYFUNCTION("""COMPUTED_VALUE"""),"C202622164933142863")</f>
        <v>C202622164933142863</v>
      </c>
      <c r="I300" s="33" t="str">
        <f ca="1">IFERROR(__xludf.DUMMYFUNCTION("""COMPUTED_VALUE"""),"CARMEN PEREZ ORTEGA")</f>
        <v>CARMEN PEREZ ORTEGA</v>
      </c>
      <c r="J300" s="57">
        <f ca="1">IFERROR(__xludf.DUMMYFUNCTION("""COMPUTED_VALUE"""),46055)</f>
        <v>46055</v>
      </c>
      <c r="K300" s="33" t="str">
        <f ca="1">IFERROR(__xludf.DUMMYFUNCTION("""COMPUTED_VALUE"""),"Factura audífonos")</f>
        <v>Factura audífonos</v>
      </c>
      <c r="L300" s="57">
        <f ca="1">IFERROR(__xludf.DUMMYFUNCTION("""COMPUTED_VALUE"""),46085)</f>
        <v>46085</v>
      </c>
      <c r="M300" s="58" t="str">
        <f ca="1">IFERROR(__xludf.DUMMYFUNCTION("""COMPUTED_VALUE"""),"NO")</f>
        <v>NO</v>
      </c>
      <c r="N300" s="56">
        <f ca="1">IFERROR(__xludf.DUMMYFUNCTION("""COMPUTED_VALUE"""),2)</f>
        <v>2</v>
      </c>
      <c r="O300" s="64" t="str">
        <f ca="1">IFERROR(__xludf.DUMMYFUNCTION("""COMPUTED_VALUE"""),"QUIET")</f>
        <v>QUIET</v>
      </c>
      <c r="P300" s="62">
        <f ca="1">IFERROR(__xludf.DUMMYFUNCTION("""COMPUTED_VALUE"""),2582.27)</f>
        <v>2582.27</v>
      </c>
      <c r="Q300" s="33" t="str">
        <f ca="1">IFERROR(__xludf.DUMMYFUNCTION("""COMPUTED_VALUE"""),"Luis Alberto Rodríguez")</f>
        <v>Luis Alberto Rodríguez</v>
      </c>
      <c r="R300" s="33" t="str">
        <f ca="1">IFERROR(__xludf.DUMMYFUNCTION("""COMPUTED_VALUE"""),"Francisco Ropero Romero")</f>
        <v>Francisco Ropero Romero</v>
      </c>
      <c r="S300" s="61" t="str">
        <f ca="1">IFERROR(__xludf.DUMMYFUNCTION("""COMPUTED_VALUE"""),"03 ORL")</f>
        <v>03 ORL</v>
      </c>
      <c r="T300" s="33" t="str">
        <f ca="1">IFERROR(__xludf.DUMMYFUNCTION("""COMPUTED_VALUE"""),"06 ORL")</f>
        <v>06 ORL</v>
      </c>
      <c r="U300" s="62"/>
      <c r="W300" s="62"/>
      <c r="X300" s="62"/>
    </row>
    <row r="301" spans="2:31" ht="16">
      <c r="B301" s="55" t="str">
        <f t="shared" ca="1" si="1"/>
        <v>MBM</v>
      </c>
      <c r="C301" s="64" t="str">
        <f ca="1">IFERROR(__xludf.DUMMYFUNCTION("""COMPUTED_VALUE"""),"MBM129")</f>
        <v>MBM129</v>
      </c>
      <c r="D301" s="33" t="str">
        <f ca="1">IFERROR(__xludf.DUMMYFUNCTION("""COMPUTED_VALUE"""),"PROPIOS")</f>
        <v>PROPIOS</v>
      </c>
      <c r="E301" s="33">
        <f ca="1">IFERROR(__xludf.DUMMYFUNCTION("""COMPUTED_VALUE"""),2026)</f>
        <v>2026</v>
      </c>
      <c r="F301" s="56">
        <f ca="1">IFERROR(__xludf.DUMMYFUNCTION("""COMPUTED_VALUE"""),3)</f>
        <v>3</v>
      </c>
      <c r="G301" s="33" t="str">
        <f ca="1">IFERROR(__xludf.DUMMYFUNCTION("""COMPUTED_VALUE"""),"Leganés")</f>
        <v>Leganés</v>
      </c>
      <c r="H301" s="33" t="str">
        <f ca="1">IFERROR(__xludf.DUMMYFUNCTION("""COMPUTED_VALUE"""),"C20262910536173084")</f>
        <v>C20262910536173084</v>
      </c>
      <c r="I301" s="33" t="str">
        <f ca="1">IFERROR(__xludf.DUMMYFUNCTION("""COMPUTED_VALUE"""),"MANUEL MEILAN TEIJEIRO")</f>
        <v>MANUEL MEILAN TEIJEIRO</v>
      </c>
      <c r="J301" s="57">
        <f ca="1">IFERROR(__xludf.DUMMYFUNCTION("""COMPUTED_VALUE"""),46062)</f>
        <v>46062</v>
      </c>
      <c r="K301" s="33" t="str">
        <f ca="1">IFERROR(__xludf.DUMMYFUNCTION("""COMPUTED_VALUE"""),"Factura audífonos")</f>
        <v>Factura audífonos</v>
      </c>
      <c r="L301" s="57">
        <f ca="1">IFERROR(__xludf.DUMMYFUNCTION("""COMPUTED_VALUE"""),46085)</f>
        <v>46085</v>
      </c>
      <c r="M301" s="64" t="str">
        <f ca="1">IFERROR(__xludf.DUMMYFUNCTION("""COMPUTED_VALUE"""),"NO")</f>
        <v>NO</v>
      </c>
      <c r="N301" s="56">
        <f ca="1">IFERROR(__xludf.DUMMYFUNCTION("""COMPUTED_VALUE"""),2)</f>
        <v>2</v>
      </c>
      <c r="O301" s="64" t="str">
        <f ca="1">IFERROR(__xludf.DUMMYFUNCTION("""COMPUTED_VALUE"""),"ADVANCED")</f>
        <v>ADVANCED</v>
      </c>
      <c r="P301" s="62">
        <f ca="1">IFERROR(__xludf.DUMMYFUNCTION("""COMPUTED_VALUE"""),3929.09)</f>
        <v>3929.09</v>
      </c>
      <c r="Q301" s="33" t="str">
        <f ca="1">IFERROR(__xludf.DUMMYFUNCTION("""COMPUTED_VALUE"""),"Maika Blázquez")</f>
        <v>Maika Blázquez</v>
      </c>
      <c r="R301" s="33" t="str">
        <f ca="1">IFERROR(__xludf.DUMMYFUNCTION("""COMPUTED_VALUE"""),"Laura del Toro Gil")</f>
        <v>Laura del Toro Gil</v>
      </c>
      <c r="S301" s="61" t="str">
        <f ca="1">IFERROR(__xludf.DUMMYFUNCTION("""COMPUTED_VALUE"""),"01 MARKETING ON LINE")</f>
        <v>01 MARKETING ON LINE</v>
      </c>
      <c r="T301" s="33" t="str">
        <f ca="1">IFERROR(__xludf.DUMMYFUNCTION("""COMPUTED_VALUE"""),"04 AUDIFONO,ES")</f>
        <v>04 AUDIFONO,ES</v>
      </c>
      <c r="U301" s="62"/>
      <c r="W301" s="62"/>
      <c r="X301" s="62"/>
    </row>
    <row r="302" spans="2:31" ht="16">
      <c r="B302" s="55" t="str">
        <f t="shared" ca="1" si="1"/>
        <v>LAA</v>
      </c>
      <c r="C302" s="64" t="str">
        <f ca="1">IFERROR(__xludf.DUMMYFUNCTION("""COMPUTED_VALUE"""),"LAA91")</f>
        <v>LAA91</v>
      </c>
      <c r="D302" s="33" t="str">
        <f ca="1">IFERROR(__xludf.DUMMYFUNCTION("""COMPUTED_VALUE"""),"ASOCIADOS")</f>
        <v>ASOCIADOS</v>
      </c>
      <c r="E302" s="33">
        <f ca="1">IFERROR(__xludf.DUMMYFUNCTION("""COMPUTED_VALUE"""),2026)</f>
        <v>2026</v>
      </c>
      <c r="F302" s="56">
        <f ca="1">IFERROR(__xludf.DUMMYFUNCTION("""COMPUTED_VALUE"""),3)</f>
        <v>3</v>
      </c>
      <c r="G302" s="33" t="str">
        <f ca="1">IFERROR(__xludf.DUMMYFUNCTION("""COMPUTED_VALUE"""),"Sevilla- Ciencias")</f>
        <v>Sevilla- Ciencias</v>
      </c>
      <c r="H302" s="33" t="str">
        <f ca="1">IFERROR(__xludf.DUMMYFUNCTION("""COMPUTED_VALUE"""),"C202612710482835479")</f>
        <v>C202612710482835479</v>
      </c>
      <c r="I302" s="33" t="str">
        <f ca="1">IFERROR(__xludf.DUMMYFUNCTION("""COMPUTED_VALUE"""),"MARIA JOSE  GALVIN CAÑERO")</f>
        <v>MARIA JOSE  GALVIN CAÑERO</v>
      </c>
      <c r="J302" s="57">
        <f ca="1">IFERROR(__xludf.DUMMYFUNCTION("""COMPUTED_VALUE"""),46049)</f>
        <v>46049</v>
      </c>
      <c r="K302" s="33" t="str">
        <f ca="1">IFERROR(__xludf.DUMMYFUNCTION("""COMPUTED_VALUE"""),"Factura audífonos")</f>
        <v>Factura audífonos</v>
      </c>
      <c r="L302" s="57">
        <f ca="1">IFERROR(__xludf.DUMMYFUNCTION("""COMPUTED_VALUE"""),46085)</f>
        <v>46085</v>
      </c>
      <c r="M302" s="64" t="str">
        <f ca="1">IFERROR(__xludf.DUMMYFUNCTION("""COMPUTED_VALUE"""),"NO")</f>
        <v>NO</v>
      </c>
      <c r="N302" s="56">
        <f ca="1">IFERROR(__xludf.DUMMYFUNCTION("""COMPUTED_VALUE"""),2)</f>
        <v>2</v>
      </c>
      <c r="O302" s="64" t="str">
        <f ca="1">IFERROR(__xludf.DUMMYFUNCTION("""COMPUTED_VALUE"""),"QUIET")</f>
        <v>QUIET</v>
      </c>
      <c r="P302" s="62">
        <f ca="1">IFERROR(__xludf.DUMMYFUNCTION("""COMPUTED_VALUE"""),2718.19)</f>
        <v>2718.19</v>
      </c>
      <c r="Q302" s="33" t="str">
        <f ca="1">IFERROR(__xludf.DUMMYFUNCTION("""COMPUTED_VALUE"""),"Luis Alberto Rodríguez")</f>
        <v>Luis Alberto Rodríguez</v>
      </c>
      <c r="R302" s="33" t="str">
        <f ca="1">IFERROR(__xludf.DUMMYFUNCTION("""COMPUTED_VALUE"""),"Julio César Ariza Lizcano")</f>
        <v>Julio César Ariza Lizcano</v>
      </c>
      <c r="S302" s="61" t="str">
        <f ca="1">IFERROR(__xludf.DUMMYFUNCTION("""COMPUTED_VALUE"""),"01 MARKETING ON LINE")</f>
        <v>01 MARKETING ON LINE</v>
      </c>
      <c r="T302" s="33" t="str">
        <f ca="1">IFERROR(__xludf.DUMMYFUNCTION("""COMPUTED_VALUE"""),"36 CENTRO AUDÍFONOS")</f>
        <v>36 CENTRO AUDÍFONOS</v>
      </c>
      <c r="U302" s="62"/>
      <c r="W302" s="62"/>
      <c r="X302" s="62"/>
    </row>
    <row r="303" spans="2:31" ht="16">
      <c r="B303" s="55" t="str">
        <f t="shared" ca="1" si="1"/>
        <v>PSC</v>
      </c>
      <c r="C303" s="64" t="str">
        <f ca="1">IFERROR(__xludf.DUMMYFUNCTION("""COMPUTED_VALUE"""),"PSC22")</f>
        <v>PSC22</v>
      </c>
      <c r="D303" s="33" t="str">
        <f ca="1">IFERROR(__xludf.DUMMYFUNCTION("""COMPUTED_VALUE"""),"ASOCIADOS")</f>
        <v>ASOCIADOS</v>
      </c>
      <c r="E303" s="33">
        <f ca="1">IFERROR(__xludf.DUMMYFUNCTION("""COMPUTED_VALUE"""),2026)</f>
        <v>2026</v>
      </c>
      <c r="F303" s="56">
        <f ca="1">IFERROR(__xludf.DUMMYFUNCTION("""COMPUTED_VALUE"""),3)</f>
        <v>3</v>
      </c>
      <c r="G303" s="33" t="str">
        <f ca="1">IFERROR(__xludf.DUMMYFUNCTION("""COMPUTED_VALUE"""),"Salamanca")</f>
        <v>Salamanca</v>
      </c>
      <c r="H303" s="33" t="str">
        <f ca="1">IFERROR(__xludf.DUMMYFUNCTION("""COMPUTED_VALUE"""),"C202621017151617842")</f>
        <v>C202621017151617842</v>
      </c>
      <c r="I303" s="33" t="str">
        <f ca="1">IFERROR(__xludf.DUMMYFUNCTION("""COMPUTED_VALUE"""),"HILARIO VICENTE DAZA")</f>
        <v>HILARIO VICENTE DAZA</v>
      </c>
      <c r="J303" s="57">
        <f ca="1">IFERROR(__xludf.DUMMYFUNCTION("""COMPUTED_VALUE"""),46063)</f>
        <v>46063</v>
      </c>
      <c r="K303" s="33" t="str">
        <f ca="1">IFERROR(__xludf.DUMMYFUNCTION("""COMPUTED_VALUE"""),"Factura audífonos")</f>
        <v>Factura audífonos</v>
      </c>
      <c r="L303" s="57">
        <f ca="1">IFERROR(__xludf.DUMMYFUNCTION("""COMPUTED_VALUE"""),46085)</f>
        <v>46085</v>
      </c>
      <c r="M303" s="64" t="str">
        <f ca="1">IFERROR(__xludf.DUMMYFUNCTION("""COMPUTED_VALUE"""),"NO")</f>
        <v>NO</v>
      </c>
      <c r="N303" s="56">
        <f ca="1">IFERROR(__xludf.DUMMYFUNCTION("""COMPUTED_VALUE"""),2)</f>
        <v>2</v>
      </c>
      <c r="O303" s="64" t="str">
        <f ca="1">IFERROR(__xludf.DUMMYFUNCTION("""COMPUTED_VALUE"""),"QUIET")</f>
        <v>QUIET</v>
      </c>
      <c r="P303" s="62">
        <f ca="1">IFERROR(__xludf.DUMMYFUNCTION("""COMPUTED_VALUE"""),2974.55)</f>
        <v>2974.55</v>
      </c>
      <c r="Q303" s="33" t="str">
        <f ca="1">IFERROR(__xludf.DUMMYFUNCTION("""COMPUTED_VALUE"""),"Alberto Moreno")</f>
        <v>Alberto Moreno</v>
      </c>
      <c r="R303" s="33" t="str">
        <f ca="1">IFERROR(__xludf.DUMMYFUNCTION("""COMPUTED_VALUE"""),"Luis Miguel Rincón Esteban")</f>
        <v>Luis Miguel Rincón Esteban</v>
      </c>
      <c r="S303" s="61" t="str">
        <f ca="1">IFERROR(__xludf.DUMMYFUNCTION("""COMPUTED_VALUE"""),"03 ORL")</f>
        <v>03 ORL</v>
      </c>
      <c r="T303" s="33" t="str">
        <f ca="1">IFERROR(__xludf.DUMMYFUNCTION("""COMPUTED_VALUE"""),"06 ORL")</f>
        <v>06 ORL</v>
      </c>
      <c r="U303" s="62"/>
      <c r="W303" s="62"/>
      <c r="X303" s="62"/>
    </row>
    <row r="304" spans="2:31" ht="16">
      <c r="B304" s="55" t="str">
        <f t="shared" ca="1" si="1"/>
        <v>MBM</v>
      </c>
      <c r="C304" s="64" t="str">
        <f ca="1">IFERROR(__xludf.DUMMYFUNCTION("""COMPUTED_VALUE"""),"MBM50")</f>
        <v>MBM50</v>
      </c>
      <c r="D304" s="33" t="str">
        <f ca="1">IFERROR(__xludf.DUMMYFUNCTION("""COMPUTED_VALUE"""),"PROPIOS")</f>
        <v>PROPIOS</v>
      </c>
      <c r="E304" s="33">
        <f ca="1">IFERROR(__xludf.DUMMYFUNCTION("""COMPUTED_VALUE"""),2026)</f>
        <v>2026</v>
      </c>
      <c r="F304" s="56">
        <f ca="1">IFERROR(__xludf.DUMMYFUNCTION("""COMPUTED_VALUE"""),3)</f>
        <v>3</v>
      </c>
      <c r="G304" s="33" t="str">
        <f ca="1">IFERROR(__xludf.DUMMYFUNCTION("""COMPUTED_VALUE"""),"Madrid- Canillas")</f>
        <v>Madrid- Canillas</v>
      </c>
      <c r="H304" s="33" t="str">
        <f ca="1">IFERROR(__xludf.DUMMYFUNCTION("""COMPUTED_VALUE"""),"C20262316552057584")</f>
        <v>C20262316552057584</v>
      </c>
      <c r="I304" s="33" t="str">
        <f ca="1">IFERROR(__xludf.DUMMYFUNCTION("""COMPUTED_VALUE"""),"BRAULIA GOMEZ BERMEJO")</f>
        <v>BRAULIA GOMEZ BERMEJO</v>
      </c>
      <c r="J304" s="57">
        <f ca="1">IFERROR(__xludf.DUMMYFUNCTION("""COMPUTED_VALUE"""),46056)</f>
        <v>46056</v>
      </c>
      <c r="K304" s="33" t="str">
        <f ca="1">IFERROR(__xludf.DUMMYFUNCTION("""COMPUTED_VALUE"""),"Factura audífonos")</f>
        <v>Factura audífonos</v>
      </c>
      <c r="L304" s="57">
        <f ca="1">IFERROR(__xludf.DUMMYFUNCTION("""COMPUTED_VALUE"""),46085)</f>
        <v>46085</v>
      </c>
      <c r="M304" s="64" t="str">
        <f ca="1">IFERROR(__xludf.DUMMYFUNCTION("""COMPUTED_VALUE"""),"NO")</f>
        <v>NO</v>
      </c>
      <c r="N304" s="56">
        <f ca="1">IFERROR(__xludf.DUMMYFUNCTION("""COMPUTED_VALUE"""),2)</f>
        <v>2</v>
      </c>
      <c r="O304" s="64" t="str">
        <f ca="1">IFERROR(__xludf.DUMMYFUNCTION("""COMPUTED_VALUE"""),"CONFORT")</f>
        <v>CONFORT</v>
      </c>
      <c r="P304" s="62">
        <f ca="1">IFERROR(__xludf.DUMMYFUNCTION("""COMPUTED_VALUE"""),3631.82)</f>
        <v>3631.82</v>
      </c>
      <c r="Q304" s="33" t="str">
        <f ca="1">IFERROR(__xludf.DUMMYFUNCTION("""COMPUTED_VALUE"""),"Maika Blázquez")</f>
        <v>Maika Blázquez</v>
      </c>
      <c r="R304" s="33" t="str">
        <f ca="1">IFERROR(__xludf.DUMMYFUNCTION("""COMPUTED_VALUE"""),"José Gustavo Barroso Braojos")</f>
        <v>José Gustavo Barroso Braojos</v>
      </c>
      <c r="S304" s="61" t="str">
        <f ca="1">IFERROR(__xludf.DUMMYFUNCTION("""COMPUTED_VALUE"""),"02 MARKETING OFF LINE")</f>
        <v>02 MARKETING OFF LINE</v>
      </c>
      <c r="T304" s="33" t="str">
        <f ca="1">IFERROR(__xludf.DUMMYFUNCTION("""COMPUTED_VALUE"""),"18 ESCAPARATE")</f>
        <v>18 ESCAPARATE</v>
      </c>
      <c r="U304" s="62"/>
      <c r="W304" s="62"/>
      <c r="X304" s="62"/>
    </row>
    <row r="305" spans="2:24" ht="16">
      <c r="B305" s="55" t="str">
        <f t="shared" ca="1" si="1"/>
        <v>MBM</v>
      </c>
      <c r="C305" s="64" t="str">
        <f ca="1">IFERROR(__xludf.DUMMYFUNCTION("""COMPUTED_VALUE"""),"MBM201")</f>
        <v>MBM201</v>
      </c>
      <c r="D305" s="33" t="str">
        <f ca="1">IFERROR(__xludf.DUMMYFUNCTION("""COMPUTED_VALUE"""),"PROPIOS")</f>
        <v>PROPIOS</v>
      </c>
      <c r="E305" s="33">
        <f ca="1">IFERROR(__xludf.DUMMYFUNCTION("""COMPUTED_VALUE"""),2026)</f>
        <v>2026</v>
      </c>
      <c r="F305" s="56">
        <f ca="1">IFERROR(__xludf.DUMMYFUNCTION("""COMPUTED_VALUE"""),3)</f>
        <v>3</v>
      </c>
      <c r="G305" s="33" t="str">
        <f ca="1">IFERROR(__xludf.DUMMYFUNCTION("""COMPUTED_VALUE"""),"Madrid- Moratalaz")</f>
        <v>Madrid- Moratalaz</v>
      </c>
      <c r="H305" s="33" t="str">
        <f ca="1">IFERROR(__xludf.DUMMYFUNCTION("""COMPUTED_VALUE"""),"C202621110313220358")</f>
        <v>C202621110313220358</v>
      </c>
      <c r="I305" s="33" t="str">
        <f ca="1">IFERROR(__xludf.DUMMYFUNCTION("""COMPUTED_VALUE"""),"BERNARDINA  FERNANDEZ POSADA")</f>
        <v>BERNARDINA  FERNANDEZ POSADA</v>
      </c>
      <c r="J305" s="57">
        <f ca="1">IFERROR(__xludf.DUMMYFUNCTION("""COMPUTED_VALUE"""),46064)</f>
        <v>46064</v>
      </c>
      <c r="K305" s="33" t="str">
        <f ca="1">IFERROR(__xludf.DUMMYFUNCTION("""COMPUTED_VALUE"""),"Factura audífonos")</f>
        <v>Factura audífonos</v>
      </c>
      <c r="L305" s="57">
        <f ca="1">IFERROR(__xludf.DUMMYFUNCTION("""COMPUTED_VALUE"""),46085)</f>
        <v>46085</v>
      </c>
      <c r="M305" s="64" t="str">
        <f ca="1">IFERROR(__xludf.DUMMYFUNCTION("""COMPUTED_VALUE"""),"NO")</f>
        <v>NO</v>
      </c>
      <c r="N305" s="56">
        <f ca="1">IFERROR(__xludf.DUMMYFUNCTION("""COMPUTED_VALUE"""),2)</f>
        <v>2</v>
      </c>
      <c r="O305" s="64" t="str">
        <f ca="1">IFERROR(__xludf.DUMMYFUNCTION("""COMPUTED_VALUE"""),"CONFORT")</f>
        <v>CONFORT</v>
      </c>
      <c r="P305" s="62">
        <f ca="1">IFERROR(__xludf.DUMMYFUNCTION("""COMPUTED_VALUE"""),3631.82)</f>
        <v>3631.82</v>
      </c>
      <c r="Q305" s="33" t="str">
        <f ca="1">IFERROR(__xludf.DUMMYFUNCTION("""COMPUTED_VALUE"""),"Maika Blázquez")</f>
        <v>Maika Blázquez</v>
      </c>
      <c r="R305" s="33" t="str">
        <f ca="1">IFERROR(__xludf.DUMMYFUNCTION("""COMPUTED_VALUE"""),"María Cecilia Scola Torres")</f>
        <v>María Cecilia Scola Torres</v>
      </c>
      <c r="S305" s="61" t="str">
        <f ca="1">IFERROR(__xludf.DUMMYFUNCTION("""COMPUTED_VALUE"""),"03 ORL")</f>
        <v>03 ORL</v>
      </c>
      <c r="T305" s="33" t="str">
        <f ca="1">IFERROR(__xludf.DUMMYFUNCTION("""COMPUTED_VALUE"""),"06 ORL")</f>
        <v>06 ORL</v>
      </c>
      <c r="U305" s="62"/>
      <c r="W305" s="62"/>
      <c r="X305" s="62"/>
    </row>
    <row r="306" spans="2:24" ht="16">
      <c r="B306" s="55" t="str">
        <f t="shared" ca="1" si="1"/>
        <v>RFV</v>
      </c>
      <c r="C306" s="64" t="str">
        <f ca="1">IFERROR(__xludf.DUMMYFUNCTION("""COMPUTED_VALUE"""),"RFV22")</f>
        <v>RFV22</v>
      </c>
      <c r="D306" s="33" t="str">
        <f ca="1">IFERROR(__xludf.DUMMYFUNCTION("""COMPUTED_VALUE"""),"PROPIOS")</f>
        <v>PROPIOS</v>
      </c>
      <c r="E306" s="33">
        <f ca="1">IFERROR(__xludf.DUMMYFUNCTION("""COMPUTED_VALUE"""),2026)</f>
        <v>2026</v>
      </c>
      <c r="F306" s="56">
        <f ca="1">IFERROR(__xludf.DUMMYFUNCTION("""COMPUTED_VALUE"""),3)</f>
        <v>3</v>
      </c>
      <c r="G306" s="33" t="str">
        <f ca="1">IFERROR(__xludf.DUMMYFUNCTION("""COMPUTED_VALUE"""),"Valencia- Cádiz")</f>
        <v>Valencia- Cádiz</v>
      </c>
      <c r="H306" s="33" t="str">
        <f ca="1">IFERROR(__xludf.DUMMYFUNCTION("""COMPUTED_VALUE"""),"C202571175228315")</f>
        <v>C202571175228315</v>
      </c>
      <c r="I306" s="33" t="str">
        <f ca="1">IFERROR(__xludf.DUMMYFUNCTION("""COMPUTED_VALUE"""),"CARMEN LORENTE MUÑOZ")</f>
        <v>CARMEN LORENTE MUÑOZ</v>
      </c>
      <c r="J306" s="57">
        <f ca="1">IFERROR(__xludf.DUMMYFUNCTION("""COMPUTED_VALUE"""),45826)</f>
        <v>45826</v>
      </c>
      <c r="K306" s="33" t="str">
        <f ca="1">IFERROR(__xludf.DUMMYFUNCTION("""COMPUTED_VALUE"""),"Factura audífonos")</f>
        <v>Factura audífonos</v>
      </c>
      <c r="L306" s="57">
        <f ca="1">IFERROR(__xludf.DUMMYFUNCTION("""COMPUTED_VALUE"""),46085)</f>
        <v>46085</v>
      </c>
      <c r="M306" s="64" t="str">
        <f ca="1">IFERROR(__xludf.DUMMYFUNCTION("""COMPUTED_VALUE"""),"NO")</f>
        <v>NO</v>
      </c>
      <c r="N306" s="56">
        <f ca="1">IFERROR(__xludf.DUMMYFUNCTION("""COMPUTED_VALUE"""),2)</f>
        <v>2</v>
      </c>
      <c r="O306" s="64" t="str">
        <f ca="1">IFERROR(__xludf.DUMMYFUNCTION("""COMPUTED_VALUE"""),"ADVANCED")</f>
        <v>ADVANCED</v>
      </c>
      <c r="P306" s="62">
        <f ca="1">IFERROR(__xludf.DUMMYFUNCTION("""COMPUTED_VALUE"""),4000)</f>
        <v>4000</v>
      </c>
      <c r="Q306" s="33" t="str">
        <f ca="1">IFERROR(__xludf.DUMMYFUNCTION("""COMPUTED_VALUE"""),"Ramon Ferrando")</f>
        <v>Ramon Ferrando</v>
      </c>
      <c r="R306" s="33" t="str">
        <f ca="1">IFERROR(__xludf.DUMMYFUNCTION("""COMPUTED_VALUE"""),"Martín Eduardo Marcano Acuña")</f>
        <v>Martín Eduardo Marcano Acuña</v>
      </c>
      <c r="S306" s="61" t="str">
        <f ca="1">IFERROR(__xludf.DUMMYFUNCTION("""COMPUTED_VALUE"""),"03 ORL")</f>
        <v>03 ORL</v>
      </c>
      <c r="T306" s="33" t="str">
        <f ca="1">IFERROR(__xludf.DUMMYFUNCTION("""COMPUTED_VALUE"""),"06 ORL")</f>
        <v>06 ORL</v>
      </c>
      <c r="U306" s="62"/>
      <c r="W306" s="62"/>
      <c r="X306" s="62"/>
    </row>
    <row r="307" spans="2:24" ht="16">
      <c r="B307" s="55" t="str">
        <f t="shared" ca="1" si="1"/>
        <v>MBM</v>
      </c>
      <c r="C307" s="64" t="str">
        <f ca="1">IFERROR(__xludf.DUMMYFUNCTION("""COMPUTED_VALUE"""),"MBM15")</f>
        <v>MBM15</v>
      </c>
      <c r="D307" s="33" t="str">
        <f ca="1">IFERROR(__xludf.DUMMYFUNCTION("""COMPUTED_VALUE"""),"PARTICIPADOS")</f>
        <v>PARTICIPADOS</v>
      </c>
      <c r="E307" s="33">
        <f ca="1">IFERROR(__xludf.DUMMYFUNCTION("""COMPUTED_VALUE"""),2026)</f>
        <v>2026</v>
      </c>
      <c r="F307" s="56">
        <f ca="1">IFERROR(__xludf.DUMMYFUNCTION("""COMPUTED_VALUE"""),3)</f>
        <v>3</v>
      </c>
      <c r="G307" s="33" t="str">
        <f ca="1">IFERROR(__xludf.DUMMYFUNCTION("""COMPUTED_VALUE"""),"Madrid- La Oca")</f>
        <v>Madrid- La Oca</v>
      </c>
      <c r="H307" s="33" t="str">
        <f ca="1">IFERROR(__xludf.DUMMYFUNCTION("""COMPUTED_VALUE"""),"C20262694053947352")</f>
        <v>C20262694053947352</v>
      </c>
      <c r="I307" s="33" t="str">
        <f ca="1">IFERROR(__xludf.DUMMYFUNCTION("""COMPUTED_VALUE"""),"JULIO HARO SANCHEZ")</f>
        <v>JULIO HARO SANCHEZ</v>
      </c>
      <c r="J307" s="57">
        <f ca="1">IFERROR(__xludf.DUMMYFUNCTION("""COMPUTED_VALUE"""),46059)</f>
        <v>46059</v>
      </c>
      <c r="K307" s="33" t="str">
        <f ca="1">IFERROR(__xludf.DUMMYFUNCTION("""COMPUTED_VALUE"""),"Factura audífonos")</f>
        <v>Factura audífonos</v>
      </c>
      <c r="L307" s="57">
        <f ca="1">IFERROR(__xludf.DUMMYFUNCTION("""COMPUTED_VALUE"""),46086)</f>
        <v>46086</v>
      </c>
      <c r="M307" s="64" t="str">
        <f ca="1">IFERROR(__xludf.DUMMYFUNCTION("""COMPUTED_VALUE"""),"NO")</f>
        <v>NO</v>
      </c>
      <c r="N307" s="56">
        <f ca="1">IFERROR(__xludf.DUMMYFUNCTION("""COMPUTED_VALUE"""),2)</f>
        <v>2</v>
      </c>
      <c r="O307" s="64" t="str">
        <f ca="1">IFERROR(__xludf.DUMMYFUNCTION("""COMPUTED_VALUE"""),"CONFORT")</f>
        <v>CONFORT</v>
      </c>
      <c r="P307" s="62">
        <f ca="1">IFERROR(__xludf.DUMMYFUNCTION("""COMPUTED_VALUE"""),3631.82)</f>
        <v>3631.82</v>
      </c>
      <c r="Q307" s="33" t="str">
        <f ca="1">IFERROR(__xludf.DUMMYFUNCTION("""COMPUTED_VALUE"""),"Maika Blázquez")</f>
        <v>Maika Blázquez</v>
      </c>
      <c r="R307" s="33" t="str">
        <f ca="1">IFERROR(__xludf.DUMMYFUNCTION("""COMPUTED_VALUE"""),"César Charles Martínez")</f>
        <v>César Charles Martínez</v>
      </c>
      <c r="S307" s="61" t="str">
        <f ca="1">IFERROR(__xludf.DUMMYFUNCTION("""COMPUTED_VALUE"""),"03 ORL")</f>
        <v>03 ORL</v>
      </c>
      <c r="T307" s="33" t="str">
        <f ca="1">IFERROR(__xludf.DUMMYFUNCTION("""COMPUTED_VALUE"""),"06 ORL")</f>
        <v>06 ORL</v>
      </c>
      <c r="U307" s="62"/>
      <c r="W307" s="62"/>
      <c r="X307" s="62"/>
    </row>
    <row r="308" spans="2:24" ht="16">
      <c r="B308" s="55" t="str">
        <f t="shared" ca="1" si="1"/>
        <v>MBM</v>
      </c>
      <c r="C308" s="64" t="str">
        <f ca="1">IFERROR(__xludf.DUMMYFUNCTION("""COMPUTED_VALUE"""),"MBM108")</f>
        <v>MBM108</v>
      </c>
      <c r="D308" s="33" t="str">
        <f ca="1">IFERROR(__xludf.DUMMYFUNCTION("""COMPUTED_VALUE"""),"PROPIOS")</f>
        <v>PROPIOS</v>
      </c>
      <c r="E308" s="33">
        <f ca="1">IFERROR(__xludf.DUMMYFUNCTION("""COMPUTED_VALUE"""),2026)</f>
        <v>2026</v>
      </c>
      <c r="F308" s="56">
        <f ca="1">IFERROR(__xludf.DUMMYFUNCTION("""COMPUTED_VALUE"""),3)</f>
        <v>3</v>
      </c>
      <c r="G308" s="33" t="str">
        <f ca="1">IFERROR(__xludf.DUMMYFUNCTION("""COMPUTED_VALUE"""),"Leganés")</f>
        <v>Leganés</v>
      </c>
      <c r="H308" s="33" t="str">
        <f ca="1">IFERROR(__xludf.DUMMYFUNCTION("""COMPUTED_VALUE"""),"C20261991035083818")</f>
        <v>C20261991035083818</v>
      </c>
      <c r="I308" s="33" t="str">
        <f ca="1">IFERROR(__xludf.DUMMYFUNCTION("""COMPUTED_VALUE"""),"ROSA MARIA CABALLERO GARCIA")</f>
        <v>ROSA MARIA CABALLERO GARCIA</v>
      </c>
      <c r="J308" s="57">
        <f ca="1">IFERROR(__xludf.DUMMYFUNCTION("""COMPUTED_VALUE"""),46031)</f>
        <v>46031</v>
      </c>
      <c r="K308" s="33" t="str">
        <f ca="1">IFERROR(__xludf.DUMMYFUNCTION("""COMPUTED_VALUE"""),"Factura audífonos")</f>
        <v>Factura audífonos</v>
      </c>
      <c r="L308" s="57">
        <f ca="1">IFERROR(__xludf.DUMMYFUNCTION("""COMPUTED_VALUE"""),46086)</f>
        <v>46086</v>
      </c>
      <c r="M308" s="58" t="str">
        <f ca="1">IFERROR(__xludf.DUMMYFUNCTION("""COMPUTED_VALUE"""),"NO")</f>
        <v>NO</v>
      </c>
      <c r="N308" s="56">
        <f ca="1">IFERROR(__xludf.DUMMYFUNCTION("""COMPUTED_VALUE"""),1)</f>
        <v>1</v>
      </c>
      <c r="O308" s="64" t="str">
        <f ca="1">IFERROR(__xludf.DUMMYFUNCTION("""COMPUTED_VALUE"""),"ADVANCED")</f>
        <v>ADVANCED</v>
      </c>
      <c r="P308" s="62">
        <f ca="1">IFERROR(__xludf.DUMMYFUNCTION("""COMPUTED_VALUE"""),2481.82)</f>
        <v>2481.8200000000002</v>
      </c>
      <c r="Q308" s="33" t="str">
        <f ca="1">IFERROR(__xludf.DUMMYFUNCTION("""COMPUTED_VALUE"""),"Maika Blázquez")</f>
        <v>Maika Blázquez</v>
      </c>
      <c r="R308" s="33" t="str">
        <f ca="1">IFERROR(__xludf.DUMMYFUNCTION("""COMPUTED_VALUE"""),"Mar Lasso de la Vega Zamora")</f>
        <v>Mar Lasso de la Vega Zamora</v>
      </c>
      <c r="S308" s="61" t="str">
        <f ca="1">IFERROR(__xludf.DUMMYFUNCTION("""COMPUTED_VALUE"""),"03 ORL")</f>
        <v>03 ORL</v>
      </c>
      <c r="T308" s="33" t="str">
        <f ca="1">IFERROR(__xludf.DUMMYFUNCTION("""COMPUTED_VALUE"""),"06 ORL")</f>
        <v>06 ORL</v>
      </c>
      <c r="U308" s="62"/>
      <c r="W308" s="62"/>
      <c r="X308" s="62"/>
    </row>
    <row r="309" spans="2:24" ht="16">
      <c r="B309" s="55" t="str">
        <f t="shared" ca="1" si="1"/>
        <v>LAA</v>
      </c>
      <c r="C309" s="64" t="str">
        <f ca="1">IFERROR(__xludf.DUMMYFUNCTION("""COMPUTED_VALUE"""),"LAA77")</f>
        <v>LAA77</v>
      </c>
      <c r="D309" s="33" t="str">
        <f ca="1">IFERROR(__xludf.DUMMYFUNCTION("""COMPUTED_VALUE"""),"PROPIOS")</f>
        <v>PROPIOS</v>
      </c>
      <c r="E309" s="33">
        <f ca="1">IFERROR(__xludf.DUMMYFUNCTION("""COMPUTED_VALUE"""),2026)</f>
        <v>2026</v>
      </c>
      <c r="F309" s="56">
        <f ca="1">IFERROR(__xludf.DUMMYFUNCTION("""COMPUTED_VALUE"""),3)</f>
        <v>3</v>
      </c>
      <c r="G309" s="33" t="str">
        <f ca="1">IFERROR(__xludf.DUMMYFUNCTION("""COMPUTED_VALUE"""),"Sevilla- Montoto")</f>
        <v>Sevilla- Montoto</v>
      </c>
      <c r="H309" s="33" t="str">
        <f ca="1">IFERROR(__xludf.DUMMYFUNCTION("""COMPUTED_VALUE"""),"C202621718165514877")</f>
        <v>C202621718165514877</v>
      </c>
      <c r="I309" s="33" t="str">
        <f ca="1">IFERROR(__xludf.DUMMYFUNCTION("""COMPUTED_VALUE"""),"MARIA PAULA ROSALES SALAMANCA")</f>
        <v>MARIA PAULA ROSALES SALAMANCA</v>
      </c>
      <c r="J309" s="57">
        <f ca="1">IFERROR(__xludf.DUMMYFUNCTION("""COMPUTED_VALUE"""),46070)</f>
        <v>46070</v>
      </c>
      <c r="K309" s="33" t="str">
        <f ca="1">IFERROR(__xludf.DUMMYFUNCTION("""COMPUTED_VALUE"""),"Factura audífonos")</f>
        <v>Factura audífonos</v>
      </c>
      <c r="L309" s="57">
        <f ca="1">IFERROR(__xludf.DUMMYFUNCTION("""COMPUTED_VALUE"""),46086)</f>
        <v>46086</v>
      </c>
      <c r="M309" s="64" t="str">
        <f ca="1">IFERROR(__xludf.DUMMYFUNCTION("""COMPUTED_VALUE"""),"NO")</f>
        <v>NO</v>
      </c>
      <c r="N309" s="56">
        <f ca="1">IFERROR(__xludf.DUMMYFUNCTION("""COMPUTED_VALUE"""),2)</f>
        <v>2</v>
      </c>
      <c r="O309" s="64" t="str">
        <f ca="1">IFERROR(__xludf.DUMMYFUNCTION("""COMPUTED_VALUE"""),"CONFORT")</f>
        <v>CONFORT</v>
      </c>
      <c r="P309" s="62">
        <f ca="1">IFERROR(__xludf.DUMMYFUNCTION("""COMPUTED_VALUE"""),3631.82)</f>
        <v>3631.82</v>
      </c>
      <c r="Q309" s="33" t="str">
        <f ca="1">IFERROR(__xludf.DUMMYFUNCTION("""COMPUTED_VALUE"""),"Luis Alberto Rodríguez")</f>
        <v>Luis Alberto Rodríguez</v>
      </c>
      <c r="R309" s="33" t="str">
        <f ca="1">IFERROR(__xludf.DUMMYFUNCTION("""COMPUTED_VALUE"""),"Mercedes Ceballos Cauto")</f>
        <v>Mercedes Ceballos Cauto</v>
      </c>
      <c r="S309" s="61" t="str">
        <f ca="1">IFERROR(__xludf.DUMMYFUNCTION("""COMPUTED_VALUE"""),"03 ORL")</f>
        <v>03 ORL</v>
      </c>
      <c r="T309" s="33" t="str">
        <f ca="1">IFERROR(__xludf.DUMMYFUNCTION("""COMPUTED_VALUE"""),"06 ORL")</f>
        <v>06 ORL</v>
      </c>
      <c r="U309" s="62"/>
      <c r="W309" s="62"/>
      <c r="X309" s="62"/>
    </row>
    <row r="310" spans="2:24" ht="16">
      <c r="B310" s="55" t="str">
        <f t="shared" ca="1" si="1"/>
        <v>LAA</v>
      </c>
      <c r="C310" s="64" t="str">
        <f ca="1">IFERROR(__xludf.DUMMYFUNCTION("""COMPUTED_VALUE"""),"LAA57")</f>
        <v>LAA57</v>
      </c>
      <c r="D310" s="33" t="str">
        <f ca="1">IFERROR(__xludf.DUMMYFUNCTION("""COMPUTED_VALUE"""),"ASOCIADOS")</f>
        <v>ASOCIADOS</v>
      </c>
      <c r="E310" s="33">
        <f ca="1">IFERROR(__xludf.DUMMYFUNCTION("""COMPUTED_VALUE"""),2026)</f>
        <v>2026</v>
      </c>
      <c r="F310" s="56">
        <f ca="1">IFERROR(__xludf.DUMMYFUNCTION("""COMPUTED_VALUE"""),3)</f>
        <v>3</v>
      </c>
      <c r="G310" s="33" t="str">
        <f ca="1">IFERROR(__xludf.DUMMYFUNCTION("""COMPUTED_VALUE"""),"Badajoz")</f>
        <v>Badajoz</v>
      </c>
      <c r="H310" s="33" t="str">
        <f ca="1">IFERROR(__xludf.DUMMYFUNCTION("""COMPUTED_VALUE"""),"C20261261114890876")</f>
        <v>C20261261114890876</v>
      </c>
      <c r="I310" s="33" t="str">
        <f ca="1">IFERROR(__xludf.DUMMYFUNCTION("""COMPUTED_VALUE"""),"JOSE ROYANO MORUJO")</f>
        <v>JOSE ROYANO MORUJO</v>
      </c>
      <c r="J310" s="57">
        <f ca="1">IFERROR(__xludf.DUMMYFUNCTION("""COMPUTED_VALUE"""),46048)</f>
        <v>46048</v>
      </c>
      <c r="K310" s="33" t="str">
        <f ca="1">IFERROR(__xludf.DUMMYFUNCTION("""COMPUTED_VALUE"""),"Factura audífonos")</f>
        <v>Factura audífonos</v>
      </c>
      <c r="L310" s="57">
        <f ca="1">IFERROR(__xludf.DUMMYFUNCTION("""COMPUTED_VALUE"""),46086)</f>
        <v>46086</v>
      </c>
      <c r="M310" s="64" t="str">
        <f ca="1">IFERROR(__xludf.DUMMYFUNCTION("""COMPUTED_VALUE"""),"NO")</f>
        <v>NO</v>
      </c>
      <c r="N310" s="56">
        <f ca="1">IFERROR(__xludf.DUMMYFUNCTION("""COMPUTED_VALUE"""),1)</f>
        <v>1</v>
      </c>
      <c r="O310" s="64" t="str">
        <f ca="1">IFERROR(__xludf.DUMMYFUNCTION("""COMPUTED_VALUE"""),"QUIET")</f>
        <v>QUIET</v>
      </c>
      <c r="P310" s="62">
        <f ca="1">IFERROR(__xludf.DUMMYFUNCTION("""COMPUTED_VALUE"""),1631.82)</f>
        <v>1631.82</v>
      </c>
      <c r="Q310" s="33" t="str">
        <f ca="1">IFERROR(__xludf.DUMMYFUNCTION("""COMPUTED_VALUE"""),"Luis Alberto Rodríguez")</f>
        <v>Luis Alberto Rodríguez</v>
      </c>
      <c r="R310" s="33" t="str">
        <f ca="1">IFERROR(__xludf.DUMMYFUNCTION("""COMPUTED_VALUE"""),"Raquel Solís Vázquez")</f>
        <v>Raquel Solís Vázquez</v>
      </c>
      <c r="S310" s="61" t="str">
        <f ca="1">IFERROR(__xludf.DUMMYFUNCTION("""COMPUTED_VALUE"""),"03 ORL")</f>
        <v>03 ORL</v>
      </c>
      <c r="T310" s="33" t="str">
        <f ca="1">IFERROR(__xludf.DUMMYFUNCTION("""COMPUTED_VALUE"""),"06 ORL")</f>
        <v>06 ORL</v>
      </c>
      <c r="U310" s="62"/>
      <c r="W310" s="62"/>
      <c r="X310" s="62"/>
    </row>
    <row r="311" spans="2:24" ht="16">
      <c r="B311" s="55" t="str">
        <f t="shared" ca="1" si="1"/>
        <v>LAA</v>
      </c>
      <c r="C311" s="64" t="str">
        <f ca="1">IFERROR(__xludf.DUMMYFUNCTION("""COMPUTED_VALUE"""),"LAA57")</f>
        <v>LAA57</v>
      </c>
      <c r="D311" s="33" t="str">
        <f ca="1">IFERROR(__xludf.DUMMYFUNCTION("""COMPUTED_VALUE"""),"ASOCIADOS")</f>
        <v>ASOCIADOS</v>
      </c>
      <c r="E311" s="33">
        <f ca="1">IFERROR(__xludf.DUMMYFUNCTION("""COMPUTED_VALUE"""),2026)</f>
        <v>2026</v>
      </c>
      <c r="F311" s="56">
        <f ca="1">IFERROR(__xludf.DUMMYFUNCTION("""COMPUTED_VALUE"""),3)</f>
        <v>3</v>
      </c>
      <c r="G311" s="33" t="str">
        <f ca="1">IFERROR(__xludf.DUMMYFUNCTION("""COMPUTED_VALUE"""),"Badajoz")</f>
        <v>Badajoz</v>
      </c>
      <c r="H311" s="33" t="str">
        <f ca="1">IFERROR(__xludf.DUMMYFUNCTION("""COMPUTED_VALUE"""),"C202612611454602570")</f>
        <v>C202612611454602570</v>
      </c>
      <c r="I311" s="33" t="str">
        <f ca="1">IFERROR(__xludf.DUMMYFUNCTION("""COMPUTED_VALUE"""),"GLORIA PILAR GOMEZ MARIN")</f>
        <v>GLORIA PILAR GOMEZ MARIN</v>
      </c>
      <c r="J311" s="57">
        <f ca="1">IFERROR(__xludf.DUMMYFUNCTION("""COMPUTED_VALUE"""),46048)</f>
        <v>46048</v>
      </c>
      <c r="K311" s="33" t="str">
        <f ca="1">IFERROR(__xludf.DUMMYFUNCTION("""COMPUTED_VALUE"""),"Factura audífonos")</f>
        <v>Factura audífonos</v>
      </c>
      <c r="L311" s="57">
        <f ca="1">IFERROR(__xludf.DUMMYFUNCTION("""COMPUTED_VALUE"""),46086)</f>
        <v>46086</v>
      </c>
      <c r="M311" s="64" t="str">
        <f ca="1">IFERROR(__xludf.DUMMYFUNCTION("""COMPUTED_VALUE"""),"NO")</f>
        <v>NO</v>
      </c>
      <c r="N311" s="56">
        <f ca="1">IFERROR(__xludf.DUMMYFUNCTION("""COMPUTED_VALUE"""),1)</f>
        <v>1</v>
      </c>
      <c r="O311" s="58" t="str">
        <f ca="1">IFERROR(__xludf.DUMMYFUNCTION("""COMPUTED_VALUE"""),"QUIET")</f>
        <v>QUIET</v>
      </c>
      <c r="P311" s="62">
        <f ca="1">IFERROR(__xludf.DUMMYFUNCTION("""COMPUTED_VALUE"""),1631.82)</f>
        <v>1631.82</v>
      </c>
      <c r="Q311" s="33" t="str">
        <f ca="1">IFERROR(__xludf.DUMMYFUNCTION("""COMPUTED_VALUE"""),"Luis Alberto Rodríguez")</f>
        <v>Luis Alberto Rodríguez</v>
      </c>
      <c r="R311" s="33" t="str">
        <f ca="1">IFERROR(__xludf.DUMMYFUNCTION("""COMPUTED_VALUE"""),"Raquel Solís Vázquez")</f>
        <v>Raquel Solís Vázquez</v>
      </c>
      <c r="S311" s="61" t="str">
        <f ca="1">IFERROR(__xludf.DUMMYFUNCTION("""COMPUTED_VALUE"""),"03 ORL")</f>
        <v>03 ORL</v>
      </c>
      <c r="T311" s="33" t="str">
        <f ca="1">IFERROR(__xludf.DUMMYFUNCTION("""COMPUTED_VALUE"""),"06 ORL")</f>
        <v>06 ORL</v>
      </c>
      <c r="U311" s="62"/>
      <c r="W311" s="62"/>
      <c r="X311" s="62"/>
    </row>
    <row r="312" spans="2:24" ht="16">
      <c r="B312" s="55" t="str">
        <f t="shared" ca="1" si="1"/>
        <v>MBM</v>
      </c>
      <c r="C312" s="64" t="str">
        <f ca="1">IFERROR(__xludf.DUMMYFUNCTION("""COMPUTED_VALUE"""),"MBM11")</f>
        <v>MBM11</v>
      </c>
      <c r="D312" s="33" t="str">
        <f ca="1">IFERROR(__xludf.DUMMYFUNCTION("""COMPUTED_VALUE"""),"PROPIOS")</f>
        <v>PROPIOS</v>
      </c>
      <c r="E312" s="33">
        <f ca="1">IFERROR(__xludf.DUMMYFUNCTION("""COMPUTED_VALUE"""),2026)</f>
        <v>2026</v>
      </c>
      <c r="F312" s="56">
        <f ca="1">IFERROR(__xludf.DUMMYFUNCTION("""COMPUTED_VALUE"""),3)</f>
        <v>3</v>
      </c>
      <c r="G312" s="33" t="str">
        <f ca="1">IFERROR(__xludf.DUMMYFUNCTION("""COMPUTED_VALUE"""),"Madrid- Juan Bravo")</f>
        <v>Madrid- Juan Bravo</v>
      </c>
      <c r="H312" s="33" t="str">
        <f ca="1">IFERROR(__xludf.DUMMYFUNCTION("""COMPUTED_VALUE"""),"C202612194212888765")</f>
        <v>C202612194212888765</v>
      </c>
      <c r="I312" s="33" t="str">
        <f ca="1">IFERROR(__xludf.DUMMYFUNCTION("""COMPUTED_VALUE"""),"JESUS CARLOS BRIZ PINDAO")</f>
        <v>JESUS CARLOS BRIZ PINDAO</v>
      </c>
      <c r="J312" s="57">
        <f ca="1">IFERROR(__xludf.DUMMYFUNCTION("""COMPUTED_VALUE"""),46043)</f>
        <v>46043</v>
      </c>
      <c r="K312" s="33" t="str">
        <f ca="1">IFERROR(__xludf.DUMMYFUNCTION("""COMPUTED_VALUE"""),"Factura audífonos")</f>
        <v>Factura audífonos</v>
      </c>
      <c r="L312" s="57">
        <f ca="1">IFERROR(__xludf.DUMMYFUNCTION("""COMPUTED_VALUE"""),46086)</f>
        <v>46086</v>
      </c>
      <c r="M312" s="64" t="str">
        <f ca="1">IFERROR(__xludf.DUMMYFUNCTION("""COMPUTED_VALUE"""),"NO")</f>
        <v>NO</v>
      </c>
      <c r="N312" s="56">
        <f ca="1">IFERROR(__xludf.DUMMYFUNCTION("""COMPUTED_VALUE"""),2)</f>
        <v>2</v>
      </c>
      <c r="O312" s="64" t="str">
        <f ca="1">IFERROR(__xludf.DUMMYFUNCTION("""COMPUTED_VALUE"""),"QUIET")</f>
        <v>QUIET</v>
      </c>
      <c r="P312" s="62">
        <f ca="1">IFERROR(__xludf.DUMMYFUNCTION("""COMPUTED_VALUE"""),2718.18)</f>
        <v>2718.18</v>
      </c>
      <c r="Q312" s="33" t="str">
        <f ca="1">IFERROR(__xludf.DUMMYFUNCTION("""COMPUTED_VALUE"""),"Maika Blázquez")</f>
        <v>Maika Blázquez</v>
      </c>
      <c r="R312" s="33" t="str">
        <f ca="1">IFERROR(__xludf.DUMMYFUNCTION("""COMPUTED_VALUE"""),"Antonio Rodríguez Rivero")</f>
        <v>Antonio Rodríguez Rivero</v>
      </c>
      <c r="S312" s="61" t="str">
        <f ca="1">IFERROR(__xludf.DUMMYFUNCTION("""COMPUTED_VALUE"""),"03 ORL")</f>
        <v>03 ORL</v>
      </c>
      <c r="T312" s="33" t="str">
        <f ca="1">IFERROR(__xludf.DUMMYFUNCTION("""COMPUTED_VALUE"""),"22 AUDIOMETRIA CLINICA")</f>
        <v>22 AUDIOMETRIA CLINICA</v>
      </c>
      <c r="U312" s="62"/>
      <c r="W312" s="62"/>
      <c r="X312" s="62"/>
    </row>
    <row r="313" spans="2:24" ht="16">
      <c r="B313" s="55" t="str">
        <f t="shared" ca="1" si="1"/>
        <v>RPG</v>
      </c>
      <c r="C313" s="64" t="str">
        <f ca="1">IFERROR(__xludf.DUMMYFUNCTION("""COMPUTED_VALUE"""),"RPG30")</f>
        <v>RPG30</v>
      </c>
      <c r="D313" s="33" t="str">
        <f ca="1">IFERROR(__xludf.DUMMYFUNCTION("""COMPUTED_VALUE"""),"PARTICIPADOS")</f>
        <v>PARTICIPADOS</v>
      </c>
      <c r="E313" s="33">
        <f ca="1">IFERROR(__xludf.DUMMYFUNCTION("""COMPUTED_VALUE"""),2026)</f>
        <v>2026</v>
      </c>
      <c r="F313" s="56">
        <f ca="1">IFERROR(__xludf.DUMMYFUNCTION("""COMPUTED_VALUE"""),3)</f>
        <v>3</v>
      </c>
      <c r="G313" s="33" t="str">
        <f ca="1">IFERROR(__xludf.DUMMYFUNCTION("""COMPUTED_VALUE"""),"Lugo")</f>
        <v>Lugo</v>
      </c>
      <c r="H313" s="33" t="str">
        <f ca="1">IFERROR(__xludf.DUMMYFUNCTION("""COMPUTED_VALUE"""),"C202621010559256864")</f>
        <v>C202621010559256864</v>
      </c>
      <c r="I313" s="33" t="str">
        <f ca="1">IFERROR(__xludf.DUMMYFUNCTION("""COMPUTED_VALUE"""),"ARMANDO VIDAL VILLMARÍN")</f>
        <v>ARMANDO VIDAL VILLMARÍN</v>
      </c>
      <c r="J313" s="57">
        <f ca="1">IFERROR(__xludf.DUMMYFUNCTION("""COMPUTED_VALUE"""),46063)</f>
        <v>46063</v>
      </c>
      <c r="K313" s="33" t="str">
        <f ca="1">IFERROR(__xludf.DUMMYFUNCTION("""COMPUTED_VALUE"""),"Factura audífonos")</f>
        <v>Factura audífonos</v>
      </c>
      <c r="L313" s="57">
        <f ca="1">IFERROR(__xludf.DUMMYFUNCTION("""COMPUTED_VALUE"""),46087)</f>
        <v>46087</v>
      </c>
      <c r="M313" s="64" t="str">
        <f ca="1">IFERROR(__xludf.DUMMYFUNCTION("""COMPUTED_VALUE"""),"NO")</f>
        <v>NO</v>
      </c>
      <c r="N313" s="56">
        <f ca="1">IFERROR(__xludf.DUMMYFUNCTION("""COMPUTED_VALUE"""),2)</f>
        <v>2</v>
      </c>
      <c r="O313" s="64" t="str">
        <f ca="1">IFERROR(__xludf.DUMMYFUNCTION("""COMPUTED_VALUE"""),"QUIET")</f>
        <v>QUIET</v>
      </c>
      <c r="P313" s="62">
        <f ca="1">IFERROR(__xludf.DUMMYFUNCTION("""COMPUTED_VALUE"""),2918.18)</f>
        <v>2918.18</v>
      </c>
      <c r="Q313" s="33" t="str">
        <f ca="1">IFERROR(__xludf.DUMMYFUNCTION("""COMPUTED_VALUE"""),"Kiko Ortega")</f>
        <v>Kiko Ortega</v>
      </c>
      <c r="R313" s="33" t="str">
        <f ca="1">IFERROR(__xludf.DUMMYFUNCTION("""COMPUTED_VALUE"""),"Pedro Juiz López")</f>
        <v>Pedro Juiz López</v>
      </c>
      <c r="S313" s="61" t="str">
        <f ca="1">IFERROR(__xludf.DUMMYFUNCTION("""COMPUTED_VALUE"""),"03 ORL")</f>
        <v>03 ORL</v>
      </c>
      <c r="T313" s="33" t="str">
        <f ca="1">IFERROR(__xludf.DUMMYFUNCTION("""COMPUTED_VALUE"""),"06 ORL")</f>
        <v>06 ORL</v>
      </c>
      <c r="U313" s="62"/>
      <c r="W313" s="62"/>
      <c r="X313" s="62"/>
    </row>
    <row r="314" spans="2:24" ht="16">
      <c r="B314" s="55" t="str">
        <f t="shared" ca="1" si="1"/>
        <v>MBM</v>
      </c>
      <c r="C314" s="64" t="str">
        <f ca="1">IFERROR(__xludf.DUMMYFUNCTION("""COMPUTED_VALUE"""),"MBM29")</f>
        <v>MBM29</v>
      </c>
      <c r="D314" s="33" t="str">
        <f ca="1">IFERROR(__xludf.DUMMYFUNCTION("""COMPUTED_VALUE"""),"PROPIOS")</f>
        <v>PROPIOS</v>
      </c>
      <c r="E314" s="33">
        <f ca="1">IFERROR(__xludf.DUMMYFUNCTION("""COMPUTED_VALUE"""),2026)</f>
        <v>2026</v>
      </c>
      <c r="F314" s="56">
        <f ca="1">IFERROR(__xludf.DUMMYFUNCTION("""COMPUTED_VALUE"""),3)</f>
        <v>3</v>
      </c>
      <c r="G314" s="33" t="str">
        <f ca="1">IFERROR(__xludf.DUMMYFUNCTION("""COMPUTED_VALUE"""),"Leganés")</f>
        <v>Leganés</v>
      </c>
      <c r="H314" s="33" t="str">
        <f ca="1">IFERROR(__xludf.DUMMYFUNCTION("""COMPUTED_VALUE"""),"C202612217611917668")</f>
        <v>C202612217611917668</v>
      </c>
      <c r="I314" s="33" t="str">
        <f ca="1">IFERROR(__xludf.DUMMYFUNCTION("""COMPUTED_VALUE"""),"MARIA JESÚS MANJÓN CABIDA")</f>
        <v>MARIA JESÚS MANJÓN CABIDA</v>
      </c>
      <c r="J314" s="57">
        <f ca="1">IFERROR(__xludf.DUMMYFUNCTION("""COMPUTED_VALUE"""),46044)</f>
        <v>46044</v>
      </c>
      <c r="K314" s="33" t="str">
        <f ca="1">IFERROR(__xludf.DUMMYFUNCTION("""COMPUTED_VALUE"""),"Factura audífonos")</f>
        <v>Factura audífonos</v>
      </c>
      <c r="L314" s="57">
        <f ca="1">IFERROR(__xludf.DUMMYFUNCTION("""COMPUTED_VALUE"""),46087)</f>
        <v>46087</v>
      </c>
      <c r="M314" s="64" t="str">
        <f ca="1">IFERROR(__xludf.DUMMYFUNCTION("""COMPUTED_VALUE"""),"NO")</f>
        <v>NO</v>
      </c>
      <c r="N314" s="56">
        <f ca="1">IFERROR(__xludf.DUMMYFUNCTION("""COMPUTED_VALUE"""),1)</f>
        <v>1</v>
      </c>
      <c r="O314" s="64" t="str">
        <f ca="1">IFERROR(__xludf.DUMMYFUNCTION("""COMPUTED_VALUE"""),"CONFORT")</f>
        <v>CONFORT</v>
      </c>
      <c r="P314" s="62">
        <f ca="1">IFERROR(__xludf.DUMMYFUNCTION("""COMPUTED_VALUE"""),2180.91)</f>
        <v>2180.91</v>
      </c>
      <c r="Q314" s="33" t="str">
        <f ca="1">IFERROR(__xludf.DUMMYFUNCTION("""COMPUTED_VALUE"""),"Maika Blázquez")</f>
        <v>Maika Blázquez</v>
      </c>
      <c r="R314" s="33" t="str">
        <f ca="1">IFERROR(__xludf.DUMMYFUNCTION("""COMPUTED_VALUE"""),"Guillermo Plaza Mayor")</f>
        <v>Guillermo Plaza Mayor</v>
      </c>
      <c r="S314" s="61" t="str">
        <f ca="1">IFERROR(__xludf.DUMMYFUNCTION("""COMPUTED_VALUE"""),"03 ORL")</f>
        <v>03 ORL</v>
      </c>
      <c r="T314" s="33" t="str">
        <f ca="1">IFERROR(__xludf.DUMMYFUNCTION("""COMPUTED_VALUE"""),"06 ORL")</f>
        <v>06 ORL</v>
      </c>
      <c r="U314" s="62"/>
      <c r="W314" s="62"/>
      <c r="X314" s="62"/>
    </row>
    <row r="315" spans="2:24" ht="16">
      <c r="B315" s="55" t="str">
        <f t="shared" ca="1" si="1"/>
        <v>LAA</v>
      </c>
      <c r="C315" s="64" t="str">
        <f ca="1">IFERROR(__xludf.DUMMYFUNCTION("""COMPUTED_VALUE"""),"LAA78")</f>
        <v>LAA78</v>
      </c>
      <c r="D315" s="33" t="str">
        <f ca="1">IFERROR(__xludf.DUMMYFUNCTION("""COMPUTED_VALUE"""),"PROPIOS")</f>
        <v>PROPIOS</v>
      </c>
      <c r="E315" s="33">
        <f ca="1">IFERROR(__xludf.DUMMYFUNCTION("""COMPUTED_VALUE"""),2026)</f>
        <v>2026</v>
      </c>
      <c r="F315" s="56">
        <f ca="1">IFERROR(__xludf.DUMMYFUNCTION("""COMPUTED_VALUE"""),3)</f>
        <v>3</v>
      </c>
      <c r="G315" s="33" t="str">
        <f ca="1">IFERROR(__xludf.DUMMYFUNCTION("""COMPUTED_VALUE"""),"Jerez de la Frontera")</f>
        <v>Jerez de la Frontera</v>
      </c>
      <c r="H315" s="33" t="str">
        <f ca="1">IFERROR(__xludf.DUMMYFUNCTION("""COMPUTED_VALUE"""),"C202622121114157053")</f>
        <v>C202622121114157053</v>
      </c>
      <c r="I315" s="33" t="str">
        <f ca="1">IFERROR(__xludf.DUMMYFUNCTION("""COMPUTED_VALUE"""),"JOSE MARIA RUIZ VEGA")</f>
        <v>JOSE MARIA RUIZ VEGA</v>
      </c>
      <c r="J315" s="57">
        <f ca="1">IFERROR(__xludf.DUMMYFUNCTION("""COMPUTED_VALUE"""),46055)</f>
        <v>46055</v>
      </c>
      <c r="K315" s="33" t="str">
        <f ca="1">IFERROR(__xludf.DUMMYFUNCTION("""COMPUTED_VALUE"""),"Factura audífonos")</f>
        <v>Factura audífonos</v>
      </c>
      <c r="L315" s="57">
        <f ca="1">IFERROR(__xludf.DUMMYFUNCTION("""COMPUTED_VALUE"""),46087)</f>
        <v>46087</v>
      </c>
      <c r="M315" s="64" t="str">
        <f ca="1">IFERROR(__xludf.DUMMYFUNCTION("""COMPUTED_VALUE"""),"NO")</f>
        <v>NO</v>
      </c>
      <c r="N315" s="56">
        <f ca="1">IFERROR(__xludf.DUMMYFUNCTION("""COMPUTED_VALUE"""),2)</f>
        <v>2</v>
      </c>
      <c r="O315" s="64" t="str">
        <f ca="1">IFERROR(__xludf.DUMMYFUNCTION("""COMPUTED_VALUE"""),"CONFORT")</f>
        <v>CONFORT</v>
      </c>
      <c r="P315" s="62">
        <f ca="1">IFERROR(__xludf.DUMMYFUNCTION("""COMPUTED_VALUE"""),3631.82)</f>
        <v>3631.82</v>
      </c>
      <c r="Q315" s="33" t="str">
        <f ca="1">IFERROR(__xludf.DUMMYFUNCTION("""COMPUTED_VALUE"""),"Luis Alberto Rodríguez")</f>
        <v>Luis Alberto Rodríguez</v>
      </c>
      <c r="R315" s="33" t="str">
        <f ca="1">IFERROR(__xludf.DUMMYFUNCTION("""COMPUTED_VALUE"""),"Maria Del Carmen Salom Coveñas")</f>
        <v>Maria Del Carmen Salom Coveñas</v>
      </c>
      <c r="S315" s="61" t="str">
        <f ca="1">IFERROR(__xludf.DUMMYFUNCTION("""COMPUTED_VALUE"""),"03 ORL")</f>
        <v>03 ORL</v>
      </c>
      <c r="T315" s="33" t="str">
        <f ca="1">IFERROR(__xludf.DUMMYFUNCTION("""COMPUTED_VALUE"""),"06 ORL")</f>
        <v>06 ORL</v>
      </c>
      <c r="U315" s="62"/>
      <c r="W315" s="62"/>
      <c r="X315" s="62"/>
    </row>
    <row r="316" spans="2:24" ht="16">
      <c r="B316" s="55" t="str">
        <f t="shared" ca="1" si="1"/>
        <v>RFV</v>
      </c>
      <c r="C316" s="64" t="str">
        <f ca="1">IFERROR(__xludf.DUMMYFUNCTION("""COMPUTED_VALUE"""),"RFV08")</f>
        <v>RFV08</v>
      </c>
      <c r="D316" s="33" t="str">
        <f ca="1">IFERROR(__xludf.DUMMYFUNCTION("""COMPUTED_VALUE"""),"PROPIOS")</f>
        <v>PROPIOS</v>
      </c>
      <c r="E316" s="33">
        <f ca="1">IFERROR(__xludf.DUMMYFUNCTION("""COMPUTED_VALUE"""),2026)</f>
        <v>2026</v>
      </c>
      <c r="F316" s="56">
        <f ca="1">IFERROR(__xludf.DUMMYFUNCTION("""COMPUTED_VALUE"""),3)</f>
        <v>3</v>
      </c>
      <c r="G316" s="33" t="str">
        <f ca="1">IFERROR(__xludf.DUMMYFUNCTION("""COMPUTED_VALUE"""),"Valencia- Cádiz")</f>
        <v>Valencia- Cádiz</v>
      </c>
      <c r="H316" s="33" t="str">
        <f ca="1">IFERROR(__xludf.DUMMYFUNCTION("""COMPUTED_VALUE"""),"C202611593737313090")</f>
        <v>C202611593737313090</v>
      </c>
      <c r="I316" s="33" t="str">
        <f ca="1">IFERROR(__xludf.DUMMYFUNCTION("""COMPUTED_VALUE"""),"JOSEFA PUERTAS FENOLLAR")</f>
        <v>JOSEFA PUERTAS FENOLLAR</v>
      </c>
      <c r="J316" s="57">
        <f ca="1">IFERROR(__xludf.DUMMYFUNCTION("""COMPUTED_VALUE"""),46037)</f>
        <v>46037</v>
      </c>
      <c r="K316" s="33" t="str">
        <f ca="1">IFERROR(__xludf.DUMMYFUNCTION("""COMPUTED_VALUE"""),"Factura audífonos")</f>
        <v>Factura audífonos</v>
      </c>
      <c r="L316" s="57">
        <f ca="1">IFERROR(__xludf.DUMMYFUNCTION("""COMPUTED_VALUE"""),46087)</f>
        <v>46087</v>
      </c>
      <c r="M316" s="64" t="str">
        <f ca="1">IFERROR(__xludf.DUMMYFUNCTION("""COMPUTED_VALUE"""),"NO")</f>
        <v>NO</v>
      </c>
      <c r="N316" s="56">
        <f ca="1">IFERROR(__xludf.DUMMYFUNCTION("""COMPUTED_VALUE"""),2)</f>
        <v>2</v>
      </c>
      <c r="O316" s="58" t="str">
        <f ca="1">IFERROR(__xludf.DUMMYFUNCTION("""COMPUTED_VALUE"""),"QUIET")</f>
        <v>QUIET</v>
      </c>
      <c r="P316" s="62">
        <f ca="1">IFERROR(__xludf.DUMMYFUNCTION("""COMPUTED_VALUE"""),2718.18)</f>
        <v>2718.18</v>
      </c>
      <c r="Q316" s="33" t="str">
        <f ca="1">IFERROR(__xludf.DUMMYFUNCTION("""COMPUTED_VALUE"""),"Ramon Ferrando")</f>
        <v>Ramon Ferrando</v>
      </c>
      <c r="R316" s="33" t="str">
        <f ca="1">IFERROR(__xludf.DUMMYFUNCTION("""COMPUTED_VALUE"""),"Abel Guzmán Calvete")</f>
        <v>Abel Guzmán Calvete</v>
      </c>
      <c r="S316" s="61" t="str">
        <f ca="1">IFERROR(__xludf.DUMMYFUNCTION("""COMPUTED_VALUE"""),"03 ORL")</f>
        <v>03 ORL</v>
      </c>
      <c r="T316" s="33" t="str">
        <f ca="1">IFERROR(__xludf.DUMMYFUNCTION("""COMPUTED_VALUE"""),"06 ORL")</f>
        <v>06 ORL</v>
      </c>
      <c r="U316" s="62"/>
      <c r="W316" s="62"/>
      <c r="X316" s="62"/>
    </row>
    <row r="317" spans="2:24" ht="16">
      <c r="B317" s="55" t="str">
        <f t="shared" ca="1" si="1"/>
        <v>MBM</v>
      </c>
      <c r="C317" s="64" t="str">
        <f ca="1">IFERROR(__xludf.DUMMYFUNCTION("""COMPUTED_VALUE"""),"MBM01")</f>
        <v>MBM01</v>
      </c>
      <c r="D317" s="33" t="str">
        <f ca="1">IFERROR(__xludf.DUMMYFUNCTION("""COMPUTED_VALUE"""),"PROPIOS")</f>
        <v>PROPIOS</v>
      </c>
      <c r="E317" s="33">
        <f ca="1">IFERROR(__xludf.DUMMYFUNCTION("""COMPUTED_VALUE"""),2026)</f>
        <v>2026</v>
      </c>
      <c r="F317" s="56">
        <f ca="1">IFERROR(__xludf.DUMMYFUNCTION("""COMPUTED_VALUE"""),3)</f>
        <v>3</v>
      </c>
      <c r="G317" s="33" t="str">
        <f ca="1">IFERROR(__xludf.DUMMYFUNCTION("""COMPUTED_VALUE"""),"Alcorcón")</f>
        <v>Alcorcón</v>
      </c>
      <c r="H317" s="33" t="str">
        <f ca="1">IFERROR(__xludf.DUMMYFUNCTION("""COMPUTED_VALUE"""),"C2025912124743909")</f>
        <v>C2025912124743909</v>
      </c>
      <c r="I317" s="33" t="str">
        <f ca="1">IFERROR(__xludf.DUMMYFUNCTION("""COMPUTED_VALUE"""),"MARIA CONCEPCION GARROTE HERNANDEZ")</f>
        <v>MARIA CONCEPCION GARROTE HERNANDEZ</v>
      </c>
      <c r="J317" s="57">
        <f ca="1">IFERROR(__xludf.DUMMYFUNCTION("""COMPUTED_VALUE"""),45910)</f>
        <v>45910</v>
      </c>
      <c r="K317" s="33" t="str">
        <f ca="1">IFERROR(__xludf.DUMMYFUNCTION("""COMPUTED_VALUE"""),"Factura audífonos")</f>
        <v>Factura audífonos</v>
      </c>
      <c r="L317" s="57">
        <f ca="1">IFERROR(__xludf.DUMMYFUNCTION("""COMPUTED_VALUE"""),46087)</f>
        <v>46087</v>
      </c>
      <c r="M317" s="64" t="str">
        <f ca="1">IFERROR(__xludf.DUMMYFUNCTION("""COMPUTED_VALUE"""),"NO")</f>
        <v>NO</v>
      </c>
      <c r="N317" s="56">
        <f ca="1">IFERROR(__xludf.DUMMYFUNCTION("""COMPUTED_VALUE"""),1)</f>
        <v>1</v>
      </c>
      <c r="O317" s="64" t="str">
        <f ca="1">IFERROR(__xludf.DUMMYFUNCTION("""COMPUTED_VALUE"""),"ADVANCED")</f>
        <v>ADVANCED</v>
      </c>
      <c r="P317" s="62">
        <f ca="1">IFERROR(__xludf.DUMMYFUNCTION("""COMPUTED_VALUE"""),1240.91)</f>
        <v>1240.9100000000001</v>
      </c>
      <c r="Q317" s="33" t="str">
        <f ca="1">IFERROR(__xludf.DUMMYFUNCTION("""COMPUTED_VALUE"""),"Maika Blázquez")</f>
        <v>Maika Blázquez</v>
      </c>
      <c r="R317" s="33" t="str">
        <f ca="1">IFERROR(__xludf.DUMMYFUNCTION("""COMPUTED_VALUE"""),"Adolfo Toledano Muñoz")</f>
        <v>Adolfo Toledano Muñoz</v>
      </c>
      <c r="S317" s="61" t="str">
        <f ca="1">IFERROR(__xludf.DUMMYFUNCTION("""COMPUTED_VALUE"""),"03 ORL")</f>
        <v>03 ORL</v>
      </c>
      <c r="T317" s="33" t="str">
        <f ca="1">IFERROR(__xludf.DUMMYFUNCTION("""COMPUTED_VALUE"""),"06 ORL")</f>
        <v>06 ORL</v>
      </c>
      <c r="U317" s="62"/>
      <c r="W317" s="62"/>
      <c r="X317" s="62"/>
    </row>
    <row r="318" spans="2:24" ht="16">
      <c r="B318" s="55" t="str">
        <f t="shared" ca="1" si="1"/>
        <v>MBM</v>
      </c>
      <c r="C318" s="64" t="str">
        <f ca="1">IFERROR(__xludf.DUMMYFUNCTION("""COMPUTED_VALUE"""),"MBM30")</f>
        <v>MBM30</v>
      </c>
      <c r="D318" s="33" t="str">
        <f ca="1">IFERROR(__xludf.DUMMYFUNCTION("""COMPUTED_VALUE"""),"PARTICIPADOS")</f>
        <v>PARTICIPADOS</v>
      </c>
      <c r="E318" s="33">
        <f ca="1">IFERROR(__xludf.DUMMYFUNCTION("""COMPUTED_VALUE"""),2026)</f>
        <v>2026</v>
      </c>
      <c r="F318" s="56">
        <f ca="1">IFERROR(__xludf.DUMMYFUNCTION("""COMPUTED_VALUE"""),3)</f>
        <v>3</v>
      </c>
      <c r="G318" s="33" t="str">
        <f ca="1">IFERROR(__xludf.DUMMYFUNCTION("""COMPUTED_VALUE"""),"Madrid- Costa Rica")</f>
        <v>Madrid- Costa Rica</v>
      </c>
      <c r="H318" s="33" t="str">
        <f ca="1">IFERROR(__xludf.DUMMYFUNCTION("""COMPUTED_VALUE"""),"C202611317543889810")</f>
        <v>C202611317543889810</v>
      </c>
      <c r="I318" s="33" t="str">
        <f ca="1">IFERROR(__xludf.DUMMYFUNCTION("""COMPUTED_VALUE"""),"MARIA DEL CARMEN DE CASTRO MOLINERO")</f>
        <v>MARIA DEL CARMEN DE CASTRO MOLINERO</v>
      </c>
      <c r="J318" s="57">
        <f ca="1">IFERROR(__xludf.DUMMYFUNCTION("""COMPUTED_VALUE"""),46035)</f>
        <v>46035</v>
      </c>
      <c r="K318" s="33" t="str">
        <f ca="1">IFERROR(__xludf.DUMMYFUNCTION("""COMPUTED_VALUE"""),"Factura audífonos")</f>
        <v>Factura audífonos</v>
      </c>
      <c r="L318" s="57">
        <f ca="1">IFERROR(__xludf.DUMMYFUNCTION("""COMPUTED_VALUE"""),46087)</f>
        <v>46087</v>
      </c>
      <c r="M318" s="64" t="str">
        <f ca="1">IFERROR(__xludf.DUMMYFUNCTION("""COMPUTED_VALUE"""),"NO")</f>
        <v>NO</v>
      </c>
      <c r="N318" s="56">
        <f ca="1">IFERROR(__xludf.DUMMYFUNCTION("""COMPUTED_VALUE"""),2)</f>
        <v>2</v>
      </c>
      <c r="O318" s="64" t="str">
        <f ca="1">IFERROR(__xludf.DUMMYFUNCTION("""COMPUTED_VALUE"""),"QUIET")</f>
        <v>QUIET</v>
      </c>
      <c r="P318" s="62">
        <f ca="1">IFERROR(__xludf.DUMMYFUNCTION("""COMPUTED_VALUE"""),2718.18)</f>
        <v>2718.18</v>
      </c>
      <c r="Q318" s="33" t="str">
        <f ca="1">IFERROR(__xludf.DUMMYFUNCTION("""COMPUTED_VALUE"""),"Maika Blázquez")</f>
        <v>Maika Blázquez</v>
      </c>
      <c r="R318" s="33" t="str">
        <f ca="1">IFERROR(__xludf.DUMMYFUNCTION("""COMPUTED_VALUE"""),"Guillermo San Juan de la Moreta")</f>
        <v>Guillermo San Juan de la Moreta</v>
      </c>
      <c r="S318" s="61" t="str">
        <f ca="1">IFERROR(__xludf.DUMMYFUNCTION("""COMPUTED_VALUE"""),"03 ORL")</f>
        <v>03 ORL</v>
      </c>
      <c r="T318" s="33" t="str">
        <f ca="1">IFERROR(__xludf.DUMMYFUNCTION("""COMPUTED_VALUE"""),"06 ORL")</f>
        <v>06 ORL</v>
      </c>
      <c r="U318" s="62"/>
      <c r="W318" s="62"/>
      <c r="X318" s="62"/>
    </row>
    <row r="319" spans="2:24" ht="16">
      <c r="B319" s="55" t="str">
        <f t="shared" ca="1" si="1"/>
        <v>PSC</v>
      </c>
      <c r="C319" s="64" t="str">
        <f ca="1">IFERROR(__xludf.DUMMYFUNCTION("""COMPUTED_VALUE"""),"PSC37")</f>
        <v>PSC37</v>
      </c>
      <c r="D319" s="33" t="str">
        <f ca="1">IFERROR(__xludf.DUMMYFUNCTION("""COMPUTED_VALUE"""),"ASOCIADOS")</f>
        <v>ASOCIADOS</v>
      </c>
      <c r="E319" s="33">
        <f ca="1">IFERROR(__xludf.DUMMYFUNCTION("""COMPUTED_VALUE"""),2026)</f>
        <v>2026</v>
      </c>
      <c r="F319" s="56">
        <f ca="1">IFERROR(__xludf.DUMMYFUNCTION("""COMPUTED_VALUE"""),3)</f>
        <v>3</v>
      </c>
      <c r="G319" s="33" t="str">
        <f ca="1">IFERROR(__xludf.DUMMYFUNCTION("""COMPUTED_VALUE"""),"Ponferrada")</f>
        <v>Ponferrada</v>
      </c>
      <c r="H319" s="33" t="str">
        <f ca="1">IFERROR(__xludf.DUMMYFUNCTION("""COMPUTED_VALUE"""),"C202612102311216182")</f>
        <v>C202612102311216182</v>
      </c>
      <c r="I319" s="33" t="str">
        <f ca="1">IFERROR(__xludf.DUMMYFUNCTION("""COMPUTED_VALUE"""),"MARCELINA RODRIGUEZ CASARES")</f>
        <v>MARCELINA RODRIGUEZ CASARES</v>
      </c>
      <c r="J319" s="57">
        <f ca="1">IFERROR(__xludf.DUMMYFUNCTION("""COMPUTED_VALUE"""),46024)</f>
        <v>46024</v>
      </c>
      <c r="K319" s="33" t="str">
        <f ca="1">IFERROR(__xludf.DUMMYFUNCTION("""COMPUTED_VALUE"""),"Factura audífonos")</f>
        <v>Factura audífonos</v>
      </c>
      <c r="L319" s="57">
        <f ca="1">IFERROR(__xludf.DUMMYFUNCTION("""COMPUTED_VALUE"""),46090)</f>
        <v>46090</v>
      </c>
      <c r="M319" s="64" t="str">
        <f ca="1">IFERROR(__xludf.DUMMYFUNCTION("""COMPUTED_VALUE"""),"NO")</f>
        <v>NO</v>
      </c>
      <c r="N319" s="56">
        <f ca="1">IFERROR(__xludf.DUMMYFUNCTION("""COMPUTED_VALUE"""),1)</f>
        <v>1</v>
      </c>
      <c r="O319" s="64" t="str">
        <f ca="1">IFERROR(__xludf.DUMMYFUNCTION("""COMPUTED_VALUE"""),"CONFORT")</f>
        <v>CONFORT</v>
      </c>
      <c r="P319" s="62">
        <f ca="1">IFERROR(__xludf.DUMMYFUNCTION("""COMPUTED_VALUE"""),1909.09)</f>
        <v>1909.09</v>
      </c>
      <c r="Q319" s="33" t="str">
        <f ca="1">IFERROR(__xludf.DUMMYFUNCTION("""COMPUTED_VALUE"""),"Alberto Moreno")</f>
        <v>Alberto Moreno</v>
      </c>
      <c r="R319" s="33" t="str">
        <f ca="1">IFERROR(__xludf.DUMMYFUNCTION("""COMPUTED_VALUE"""),"Diana Lysbeth Lourido Piedrahita")</f>
        <v>Diana Lysbeth Lourido Piedrahita</v>
      </c>
      <c r="S319" s="61" t="str">
        <f ca="1">IFERROR(__xludf.DUMMYFUNCTION("""COMPUTED_VALUE"""),"03 ORL")</f>
        <v>03 ORL</v>
      </c>
      <c r="T319" s="33" t="str">
        <f ca="1">IFERROR(__xludf.DUMMYFUNCTION("""COMPUTED_VALUE"""),"06 ORL")</f>
        <v>06 ORL</v>
      </c>
      <c r="U319" s="62"/>
      <c r="W319" s="62"/>
      <c r="X319" s="62"/>
    </row>
    <row r="320" spans="2:24" ht="16">
      <c r="B320" s="55" t="str">
        <f t="shared" si="1"/>
        <v/>
      </c>
      <c r="C320" s="64"/>
      <c r="D320" s="33" t="str">
        <f ca="1">IFERROR(__xludf.DUMMYFUNCTION("""COMPUTED_VALUE"""),"PROPIOS")</f>
        <v>PROPIOS</v>
      </c>
      <c r="E320" s="33">
        <f ca="1">IFERROR(__xludf.DUMMYFUNCTION("""COMPUTED_VALUE"""),2026)</f>
        <v>2026</v>
      </c>
      <c r="F320" s="56">
        <f ca="1">IFERROR(__xludf.DUMMYFUNCTION("""COMPUTED_VALUE"""),3)</f>
        <v>3</v>
      </c>
      <c r="G320" s="33" t="str">
        <f ca="1">IFERROR(__xludf.DUMMYFUNCTION("""COMPUTED_VALUE"""),"Logroño")</f>
        <v>Logroño</v>
      </c>
      <c r="H320" s="33" t="str">
        <f ca="1">IFERROR(__xludf.DUMMYFUNCTION("""COMPUTED_VALUE"""),"C202632125733295959")</f>
        <v>C202632125733295959</v>
      </c>
      <c r="I320" s="33" t="str">
        <f ca="1">IFERROR(__xludf.DUMMYFUNCTION("""COMPUTED_VALUE"""),"RUFINO JOSE EZQUERRO JULVE")</f>
        <v>RUFINO JOSE EZQUERRO JULVE</v>
      </c>
      <c r="J320" s="57">
        <f ca="1">IFERROR(__xludf.DUMMYFUNCTION("""COMPUTED_VALUE"""),46083)</f>
        <v>46083</v>
      </c>
      <c r="K320" s="33" t="str">
        <f ca="1">IFERROR(__xludf.DUMMYFUNCTION("""COMPUTED_VALUE"""),"Factura audífonos")</f>
        <v>Factura audífonos</v>
      </c>
      <c r="L320" s="57">
        <f ca="1">IFERROR(__xludf.DUMMYFUNCTION("""COMPUTED_VALUE"""),46090)</f>
        <v>46090</v>
      </c>
      <c r="M320" s="58" t="str">
        <f ca="1">IFERROR(__xludf.DUMMYFUNCTION("""COMPUTED_VALUE"""),"NO")</f>
        <v>NO</v>
      </c>
      <c r="N320" s="56">
        <f ca="1">IFERROR(__xludf.DUMMYFUNCTION("""COMPUTED_VALUE"""),1)</f>
        <v>1</v>
      </c>
      <c r="O320" s="58" t="str">
        <f ca="1">IFERROR(__xludf.DUMMYFUNCTION("""COMPUTED_VALUE"""),"CONFORT")</f>
        <v>CONFORT</v>
      </c>
      <c r="P320" s="62">
        <f ca="1">IFERROR(__xludf.DUMMYFUNCTION("""COMPUTED_VALUE"""),2481.82)</f>
        <v>2481.8200000000002</v>
      </c>
      <c r="Q320" s="33" t="str">
        <f ca="1">IFERROR(__xludf.DUMMYFUNCTION("""COMPUTED_VALUE"""),"Lisandro Russian")</f>
        <v>Lisandro Russian</v>
      </c>
      <c r="R320" s="33" t="str">
        <f ca="1">IFERROR(__xludf.DUMMYFUNCTION("""COMPUTED_VALUE"""),"No recuerda ORL")</f>
        <v>No recuerda ORL</v>
      </c>
      <c r="S320" s="61" t="str">
        <f ca="1">IFERROR(__xludf.DUMMYFUNCTION("""COMPUTED_VALUE"""),"03 ORL")</f>
        <v>03 ORL</v>
      </c>
      <c r="T320" s="33" t="str">
        <f ca="1">IFERROR(__xludf.DUMMYFUNCTION("""COMPUTED_VALUE"""),"06 ORL")</f>
        <v>06 ORL</v>
      </c>
      <c r="U320" s="62"/>
      <c r="W320" s="62"/>
      <c r="X320" s="62"/>
    </row>
    <row r="321" spans="2:24" ht="16">
      <c r="B321" s="55" t="str">
        <f t="shared" ca="1" si="1"/>
        <v>PSC</v>
      </c>
      <c r="C321" s="64" t="str">
        <f ca="1">IFERROR(__xludf.DUMMYFUNCTION("""COMPUTED_VALUE"""),"PSC37")</f>
        <v>PSC37</v>
      </c>
      <c r="D321" s="33" t="str">
        <f ca="1">IFERROR(__xludf.DUMMYFUNCTION("""COMPUTED_VALUE"""),"ASOCIADOS")</f>
        <v>ASOCIADOS</v>
      </c>
      <c r="E321" s="33">
        <f ca="1">IFERROR(__xludf.DUMMYFUNCTION("""COMPUTED_VALUE"""),2026)</f>
        <v>2026</v>
      </c>
      <c r="F321" s="56">
        <f ca="1">IFERROR(__xludf.DUMMYFUNCTION("""COMPUTED_VALUE"""),3)</f>
        <v>3</v>
      </c>
      <c r="G321" s="33" t="str">
        <f ca="1">IFERROR(__xludf.DUMMYFUNCTION("""COMPUTED_VALUE"""),"Ponferrada")</f>
        <v>Ponferrada</v>
      </c>
      <c r="H321" s="33" t="str">
        <f ca="1">IFERROR(__xludf.DUMMYFUNCTION("""COMPUTED_VALUE"""),"C202639113431676201")</f>
        <v>C202639113431676201</v>
      </c>
      <c r="I321" s="33" t="str">
        <f ca="1">IFERROR(__xludf.DUMMYFUNCTION("""COMPUTED_VALUE"""),"JOSE MANUEL RODERA PEREZ [CARLA RODERA MARTINEZ]")</f>
        <v>JOSE MANUEL RODERA PEREZ [CARLA RODERA MARTINEZ]</v>
      </c>
      <c r="J321" s="57">
        <f ca="1">IFERROR(__xludf.DUMMYFUNCTION("""COMPUTED_VALUE"""),46090)</f>
        <v>46090</v>
      </c>
      <c r="K321" s="33" t="str">
        <f ca="1">IFERROR(__xludf.DUMMYFUNCTION("""COMPUTED_VALUE"""),"Factura audífonos")</f>
        <v>Factura audífonos</v>
      </c>
      <c r="L321" s="57">
        <f ca="1">IFERROR(__xludf.DUMMYFUNCTION("""COMPUTED_VALUE"""),46090)</f>
        <v>46090</v>
      </c>
      <c r="M321" s="64" t="str">
        <f ca="1">IFERROR(__xludf.DUMMYFUNCTION("""COMPUTED_VALUE"""),"NO")</f>
        <v>NO</v>
      </c>
      <c r="N321" s="56">
        <f ca="1">IFERROR(__xludf.DUMMYFUNCTION("""COMPUTED_VALUE"""),2)</f>
        <v>2</v>
      </c>
      <c r="O321" s="64" t="str">
        <f ca="1">IFERROR(__xludf.DUMMYFUNCTION("""COMPUTED_VALUE"""),"CONFORT")</f>
        <v>CONFORT</v>
      </c>
      <c r="P321" s="62">
        <f ca="1">IFERROR(__xludf.DUMMYFUNCTION("""COMPUTED_VALUE"""),3909.09)</f>
        <v>3909.09</v>
      </c>
      <c r="Q321" s="33" t="str">
        <f ca="1">IFERROR(__xludf.DUMMYFUNCTION("""COMPUTED_VALUE"""),"Alberto Moreno")</f>
        <v>Alberto Moreno</v>
      </c>
      <c r="R321" s="33" t="str">
        <f ca="1">IFERROR(__xludf.DUMMYFUNCTION("""COMPUTED_VALUE"""),"Diana Lysbeth Lourido Piedrahita")</f>
        <v>Diana Lysbeth Lourido Piedrahita</v>
      </c>
      <c r="S321" s="61" t="str">
        <f ca="1">IFERROR(__xludf.DUMMYFUNCTION("""COMPUTED_VALUE"""),"03 ORL")</f>
        <v>03 ORL</v>
      </c>
      <c r="T321" s="33" t="str">
        <f ca="1">IFERROR(__xludf.DUMMYFUNCTION("""COMPUTED_VALUE"""),"06 ORL")</f>
        <v>06 ORL</v>
      </c>
      <c r="U321" s="62"/>
      <c r="W321" s="62"/>
      <c r="X321" s="62"/>
    </row>
    <row r="322" spans="2:24" ht="16">
      <c r="B322" s="55" t="str">
        <f t="shared" ca="1" si="1"/>
        <v>ISL</v>
      </c>
      <c r="C322" s="64" t="str">
        <f ca="1">IFERROR(__xludf.DUMMYFUNCTION("""COMPUTED_VALUE"""),"ISL122")</f>
        <v>ISL122</v>
      </c>
      <c r="D322" s="33" t="str">
        <f ca="1">IFERROR(__xludf.DUMMYFUNCTION("""COMPUTED_VALUE"""),"PROPIOS")</f>
        <v>PROPIOS</v>
      </c>
      <c r="E322" s="33">
        <f ca="1">IFERROR(__xludf.DUMMYFUNCTION("""COMPUTED_VALUE"""),2026)</f>
        <v>2026</v>
      </c>
      <c r="F322" s="56">
        <f ca="1">IFERROR(__xludf.DUMMYFUNCTION("""COMPUTED_VALUE"""),3)</f>
        <v>3</v>
      </c>
      <c r="G322" s="33" t="str">
        <f ca="1">IFERROR(__xludf.DUMMYFUNCTION("""COMPUTED_VALUE"""),"Murcia")</f>
        <v>Murcia</v>
      </c>
      <c r="H322" s="33" t="str">
        <f ca="1">IFERROR(__xludf.DUMMYFUNCTION("""COMPUTED_VALUE"""),"C202611517324913825")</f>
        <v>C202611517324913825</v>
      </c>
      <c r="I322" s="33" t="str">
        <f ca="1">IFERROR(__xludf.DUMMYFUNCTION("""COMPUTED_VALUE"""),"MARIA  RUIZ JIMENEZ")</f>
        <v>MARIA  RUIZ JIMENEZ</v>
      </c>
      <c r="J322" s="57">
        <f ca="1">IFERROR(__xludf.DUMMYFUNCTION("""COMPUTED_VALUE"""),46037)</f>
        <v>46037</v>
      </c>
      <c r="K322" s="33" t="str">
        <f ca="1">IFERROR(__xludf.DUMMYFUNCTION("""COMPUTED_VALUE"""),"Factura audífonos")</f>
        <v>Factura audífonos</v>
      </c>
      <c r="L322" s="57">
        <f ca="1">IFERROR(__xludf.DUMMYFUNCTION("""COMPUTED_VALUE"""),46090)</f>
        <v>46090</v>
      </c>
      <c r="M322" s="64" t="str">
        <f ca="1">IFERROR(__xludf.DUMMYFUNCTION("""COMPUTED_VALUE"""),"NO")</f>
        <v>NO</v>
      </c>
      <c r="N322" s="56">
        <f ca="1">IFERROR(__xludf.DUMMYFUNCTION("""COMPUTED_VALUE"""),1)</f>
        <v>1</v>
      </c>
      <c r="O322" s="64" t="str">
        <f ca="1">IFERROR(__xludf.DUMMYFUNCTION("""COMPUTED_VALUE"""),"ADVANCED")</f>
        <v>ADVANCED</v>
      </c>
      <c r="P322" s="62">
        <f ca="1">IFERROR(__xludf.DUMMYFUNCTION("""COMPUTED_VALUE"""),2481.82)</f>
        <v>2481.8200000000002</v>
      </c>
      <c r="Q322" s="33" t="str">
        <f ca="1">IFERROR(__xludf.DUMMYFUNCTION("""COMPUTED_VALUE"""),"Iván Sánchez")</f>
        <v>Iván Sánchez</v>
      </c>
      <c r="R322" s="33" t="str">
        <f ca="1">IFERROR(__xludf.DUMMYFUNCTION("""COMPUTED_VALUE"""),"María Agustina Sevilla García")</f>
        <v>María Agustina Sevilla García</v>
      </c>
      <c r="S322" s="61" t="str">
        <f ca="1">IFERROR(__xludf.DUMMYFUNCTION("""COMPUTED_VALUE"""),"03 ORL")</f>
        <v>03 ORL</v>
      </c>
      <c r="T322" s="33" t="str">
        <f ca="1">IFERROR(__xludf.DUMMYFUNCTION("""COMPUTED_VALUE"""),"06 ORL")</f>
        <v>06 ORL</v>
      </c>
      <c r="U322" s="62"/>
      <c r="W322" s="62"/>
      <c r="X322" s="62"/>
    </row>
    <row r="323" spans="2:24" ht="16">
      <c r="B323" s="55" t="str">
        <f t="shared" ca="1" si="1"/>
        <v>#N/</v>
      </c>
      <c r="C323" s="64" t="str">
        <f ca="1">IFERROR(__xludf.DUMMYFUNCTION("""COMPUTED_VALUE"""),"#N/A")</f>
        <v>#N/A</v>
      </c>
      <c r="D323" s="33" t="str">
        <f ca="1">IFERROR(__xludf.DUMMYFUNCTION("""COMPUTED_VALUE"""),"PROPIOS")</f>
        <v>PROPIOS</v>
      </c>
      <c r="E323" s="33">
        <f ca="1">IFERROR(__xludf.DUMMYFUNCTION("""COMPUTED_VALUE"""),2026)</f>
        <v>2026</v>
      </c>
      <c r="F323" s="56">
        <f ca="1">IFERROR(__xludf.DUMMYFUNCTION("""COMPUTED_VALUE"""),3)</f>
        <v>3</v>
      </c>
      <c r="G323" s="33" t="str">
        <f ca="1">IFERROR(__xludf.DUMMYFUNCTION("""COMPUTED_VALUE"""),"Móstoles")</f>
        <v>Móstoles</v>
      </c>
      <c r="H323" s="33" t="str">
        <f ca="1">IFERROR(__xludf.DUMMYFUNCTION("""COMPUTED_VALUE"""),"C202622410524405030")</f>
        <v>C202622410524405030</v>
      </c>
      <c r="I323" s="33" t="str">
        <f ca="1">IFERROR(__xludf.DUMMYFUNCTION("""COMPUTED_VALUE"""),"JOAQUIN CARRASCO TAGLE")</f>
        <v>JOAQUIN CARRASCO TAGLE</v>
      </c>
      <c r="J323" s="57">
        <f ca="1">IFERROR(__xludf.DUMMYFUNCTION("""COMPUTED_VALUE"""),46077)</f>
        <v>46077</v>
      </c>
      <c r="K323" s="33" t="str">
        <f ca="1">IFERROR(__xludf.DUMMYFUNCTION("""COMPUTED_VALUE"""),"Factura audífonos")</f>
        <v>Factura audífonos</v>
      </c>
      <c r="L323" s="57">
        <f ca="1">IFERROR(__xludf.DUMMYFUNCTION("""COMPUTED_VALUE"""),46090)</f>
        <v>46090</v>
      </c>
      <c r="M323" s="64" t="str">
        <f ca="1">IFERROR(__xludf.DUMMYFUNCTION("""COMPUTED_VALUE"""),"NO")</f>
        <v>NO</v>
      </c>
      <c r="N323" s="56">
        <f ca="1">IFERROR(__xludf.DUMMYFUNCTION("""COMPUTED_VALUE"""),2)</f>
        <v>2</v>
      </c>
      <c r="O323" s="58" t="str">
        <f ca="1">IFERROR(__xludf.DUMMYFUNCTION("""COMPUTED_VALUE"""),"CONFORT")</f>
        <v>CONFORT</v>
      </c>
      <c r="P323" s="62">
        <f ca="1">IFERROR(__xludf.DUMMYFUNCTION("""COMPUTED_VALUE"""),3631.82)</f>
        <v>3631.82</v>
      </c>
      <c r="Q323" s="33" t="str">
        <f ca="1">IFERROR(__xludf.DUMMYFUNCTION("""COMPUTED_VALUE"""),"Maika Blázquez")</f>
        <v>Maika Blázquez</v>
      </c>
      <c r="R323" s="33" t="str">
        <f ca="1">IFERROR(__xludf.DUMMYFUNCTION("""COMPUTED_VALUE"""),"Doctor Tomas Jesús Hunrubia Parra")</f>
        <v>Doctor Tomas Jesús Hunrubia Parra</v>
      </c>
      <c r="S323" s="61" t="str">
        <f ca="1">IFERROR(__xludf.DUMMYFUNCTION("""COMPUTED_VALUE"""),"03 ORL")</f>
        <v>03 ORL</v>
      </c>
      <c r="T323" s="33" t="str">
        <f ca="1">IFERROR(__xludf.DUMMYFUNCTION("""COMPUTED_VALUE"""),"06 ORL")</f>
        <v>06 ORL</v>
      </c>
      <c r="U323" s="62"/>
      <c r="W323" s="62"/>
      <c r="X323" s="62"/>
    </row>
    <row r="324" spans="2:24" ht="16">
      <c r="B324" s="55" t="str">
        <f t="shared" ca="1" si="1"/>
        <v>LAA</v>
      </c>
      <c r="C324" s="64" t="str">
        <f ca="1">IFERROR(__xludf.DUMMYFUNCTION("""COMPUTED_VALUE"""),"LAA72")</f>
        <v>LAA72</v>
      </c>
      <c r="D324" s="33" t="str">
        <f ca="1">IFERROR(__xludf.DUMMYFUNCTION("""COMPUTED_VALUE"""),"PROPIOS")</f>
        <v>PROPIOS</v>
      </c>
      <c r="E324" s="33">
        <f ca="1">IFERROR(__xludf.DUMMYFUNCTION("""COMPUTED_VALUE"""),2026)</f>
        <v>2026</v>
      </c>
      <c r="F324" s="56">
        <f ca="1">IFERROR(__xludf.DUMMYFUNCTION("""COMPUTED_VALUE"""),3)</f>
        <v>3</v>
      </c>
      <c r="G324" s="33" t="str">
        <f ca="1">IFERROR(__xludf.DUMMYFUNCTION("""COMPUTED_VALUE"""),"Jerez de la Frontera")</f>
        <v>Jerez de la Frontera</v>
      </c>
      <c r="H324" s="33" t="str">
        <f ca="1">IFERROR(__xludf.DUMMYFUNCTION("""COMPUTED_VALUE"""),"C202621313435342663")</f>
        <v>C202621313435342663</v>
      </c>
      <c r="I324" s="33" t="str">
        <f ca="1">IFERROR(__xludf.DUMMYFUNCTION("""COMPUTED_VALUE"""),"FRANCISCO JAVIER FERNANDEZ ORTEGA")</f>
        <v>FRANCISCO JAVIER FERNANDEZ ORTEGA</v>
      </c>
      <c r="J324" s="57">
        <f ca="1">IFERROR(__xludf.DUMMYFUNCTION("""COMPUTED_VALUE"""),46066)</f>
        <v>46066</v>
      </c>
      <c r="K324" s="33" t="str">
        <f ca="1">IFERROR(__xludf.DUMMYFUNCTION("""COMPUTED_VALUE"""),"Factura audífonos")</f>
        <v>Factura audífonos</v>
      </c>
      <c r="L324" s="57">
        <f ca="1">IFERROR(__xludf.DUMMYFUNCTION("""COMPUTED_VALUE"""),46091)</f>
        <v>46091</v>
      </c>
      <c r="M324" s="64" t="str">
        <f ca="1">IFERROR(__xludf.DUMMYFUNCTION("""COMPUTED_VALUE"""),"NO")</f>
        <v>NO</v>
      </c>
      <c r="N324" s="56">
        <f ca="1">IFERROR(__xludf.DUMMYFUNCTION("""COMPUTED_VALUE"""),1)</f>
        <v>1</v>
      </c>
      <c r="O324" s="64" t="str">
        <f ca="1">IFERROR(__xludf.DUMMYFUNCTION("""COMPUTED_VALUE"""),"QUIET")</f>
        <v>QUIET</v>
      </c>
      <c r="P324" s="62">
        <f ca="1">IFERROR(__xludf.DUMMYFUNCTION("""COMPUTED_VALUE"""),1634.62)</f>
        <v>1634.62</v>
      </c>
      <c r="Q324" s="33" t="str">
        <f ca="1">IFERROR(__xludf.DUMMYFUNCTION("""COMPUTED_VALUE"""),"Luis Alberto Rodríguez")</f>
        <v>Luis Alberto Rodríguez</v>
      </c>
      <c r="R324" s="33" t="str">
        <f ca="1">IFERROR(__xludf.DUMMYFUNCTION("""COMPUTED_VALUE"""),"Vicente Mira Escartí")</f>
        <v>Vicente Mira Escartí</v>
      </c>
      <c r="S324" s="61" t="str">
        <f ca="1">IFERROR(__xludf.DUMMYFUNCTION("""COMPUTED_VALUE"""),"03 ORL")</f>
        <v>03 ORL</v>
      </c>
      <c r="T324" s="33" t="str">
        <f ca="1">IFERROR(__xludf.DUMMYFUNCTION("""COMPUTED_VALUE"""),"06 ORL")</f>
        <v>06 ORL</v>
      </c>
      <c r="U324" s="62"/>
      <c r="W324" s="62"/>
      <c r="X324" s="62"/>
    </row>
    <row r="325" spans="2:24" ht="16">
      <c r="B325" s="55" t="str">
        <f t="shared" ca="1" si="1"/>
        <v>ISL</v>
      </c>
      <c r="C325" s="64" t="str">
        <f ca="1">IFERROR(__xludf.DUMMYFUNCTION("""COMPUTED_VALUE"""),"ISL119")</f>
        <v>ISL119</v>
      </c>
      <c r="D325" s="33" t="str">
        <f ca="1">IFERROR(__xludf.DUMMYFUNCTION("""COMPUTED_VALUE"""),"PROPIOS")</f>
        <v>PROPIOS</v>
      </c>
      <c r="E325" s="33">
        <f ca="1">IFERROR(__xludf.DUMMYFUNCTION("""COMPUTED_VALUE"""),2026)</f>
        <v>2026</v>
      </c>
      <c r="F325" s="56">
        <f ca="1">IFERROR(__xludf.DUMMYFUNCTION("""COMPUTED_VALUE"""),3)</f>
        <v>3</v>
      </c>
      <c r="G325" s="33" t="str">
        <f ca="1">IFERROR(__xludf.DUMMYFUNCTION("""COMPUTED_VALUE"""),"Valencia- Parra")</f>
        <v>Valencia- Parra</v>
      </c>
      <c r="H325" s="33" t="str">
        <f ca="1">IFERROR(__xludf.DUMMYFUNCTION("""COMPUTED_VALUE"""),"C202612710171441691")</f>
        <v>C202612710171441691</v>
      </c>
      <c r="I325" s="33" t="str">
        <f ca="1">IFERROR(__xludf.DUMMYFUNCTION("""COMPUTED_VALUE"""),"MONTSERRAT  ORIOL GIMENEZ")</f>
        <v>MONTSERRAT  ORIOL GIMENEZ</v>
      </c>
      <c r="J325" s="57">
        <f ca="1">IFERROR(__xludf.DUMMYFUNCTION("""COMPUTED_VALUE"""),46049)</f>
        <v>46049</v>
      </c>
      <c r="K325" s="33" t="str">
        <f ca="1">IFERROR(__xludf.DUMMYFUNCTION("""COMPUTED_VALUE"""),"Factura audífonos")</f>
        <v>Factura audífonos</v>
      </c>
      <c r="L325" s="57">
        <f ca="1">IFERROR(__xludf.DUMMYFUNCTION("""COMPUTED_VALUE"""),46091)</f>
        <v>46091</v>
      </c>
      <c r="M325" s="64" t="str">
        <f ca="1">IFERROR(__xludf.DUMMYFUNCTION("""COMPUTED_VALUE"""),"NO")</f>
        <v>NO</v>
      </c>
      <c r="N325" s="56">
        <f ca="1">IFERROR(__xludf.DUMMYFUNCTION("""COMPUTED_VALUE"""),2)</f>
        <v>2</v>
      </c>
      <c r="O325" s="64" t="str">
        <f ca="1">IFERROR(__xludf.DUMMYFUNCTION("""COMPUTED_VALUE"""),"CONFORT")</f>
        <v>CONFORT</v>
      </c>
      <c r="P325" s="62">
        <f ca="1">IFERROR(__xludf.DUMMYFUNCTION("""COMPUTED_VALUE"""),3631.82)</f>
        <v>3631.82</v>
      </c>
      <c r="Q325" s="33" t="str">
        <f ca="1">IFERROR(__xludf.DUMMYFUNCTION("""COMPUTED_VALUE"""),"Ramon Ferrando")</f>
        <v>Ramon Ferrando</v>
      </c>
      <c r="R325" s="33" t="str">
        <f ca="1">IFERROR(__xludf.DUMMYFUNCTION("""COMPUTED_VALUE"""),"María José Lesmas Navarro")</f>
        <v>María José Lesmas Navarro</v>
      </c>
      <c r="S325" s="61" t="str">
        <f ca="1">IFERROR(__xludf.DUMMYFUNCTION("""COMPUTED_VALUE"""),"03 ORL")</f>
        <v>03 ORL</v>
      </c>
      <c r="T325" s="33" t="str">
        <f ca="1">IFERROR(__xludf.DUMMYFUNCTION("""COMPUTED_VALUE"""),"06 ORL")</f>
        <v>06 ORL</v>
      </c>
      <c r="U325" s="62"/>
      <c r="W325" s="62"/>
      <c r="X325" s="62"/>
    </row>
    <row r="326" spans="2:24" ht="16">
      <c r="B326" s="55" t="str">
        <f t="shared" ca="1" si="1"/>
        <v>LRM</v>
      </c>
      <c r="C326" s="64" t="str">
        <f ca="1">IFERROR(__xludf.DUMMYFUNCTION("""COMPUTED_VALUE"""),"LRM101")</f>
        <v>LRM101</v>
      </c>
      <c r="D326" s="33" t="str">
        <f ca="1">IFERROR(__xludf.DUMMYFUNCTION("""COMPUTED_VALUE"""),"ASOCIADOS")</f>
        <v>ASOCIADOS</v>
      </c>
      <c r="E326" s="33">
        <f ca="1">IFERROR(__xludf.DUMMYFUNCTION("""COMPUTED_VALUE"""),2026)</f>
        <v>2026</v>
      </c>
      <c r="F326" s="56">
        <f ca="1">IFERROR(__xludf.DUMMYFUNCTION("""COMPUTED_VALUE"""),3)</f>
        <v>3</v>
      </c>
      <c r="G326" s="33" t="str">
        <f ca="1">IFERROR(__xludf.DUMMYFUNCTION("""COMPUTED_VALUE"""),"Cáceres")</f>
        <v>Cáceres</v>
      </c>
      <c r="H326" s="33" t="str">
        <f ca="1">IFERROR(__xludf.DUMMYFUNCTION("""COMPUTED_VALUE"""),"C202625111314903698")</f>
        <v>C202625111314903698</v>
      </c>
      <c r="I326" s="33" t="str">
        <f ca="1">IFERROR(__xludf.DUMMYFUNCTION("""COMPUTED_VALUE"""),"JESUS CAÑAS MURILLO")</f>
        <v>JESUS CAÑAS MURILLO</v>
      </c>
      <c r="J326" s="57">
        <f ca="1">IFERROR(__xludf.DUMMYFUNCTION("""COMPUTED_VALUE"""),46058)</f>
        <v>46058</v>
      </c>
      <c r="K326" s="33" t="str">
        <f ca="1">IFERROR(__xludf.DUMMYFUNCTION("""COMPUTED_VALUE"""),"Factura audífonos")</f>
        <v>Factura audífonos</v>
      </c>
      <c r="L326" s="57">
        <f ca="1">IFERROR(__xludf.DUMMYFUNCTION("""COMPUTED_VALUE"""),46092)</f>
        <v>46092</v>
      </c>
      <c r="M326" s="64" t="str">
        <f ca="1">IFERROR(__xludf.DUMMYFUNCTION("""COMPUTED_VALUE"""),"NO")</f>
        <v>NO</v>
      </c>
      <c r="N326" s="56">
        <f ca="1">IFERROR(__xludf.DUMMYFUNCTION("""COMPUTED_VALUE"""),2)</f>
        <v>2</v>
      </c>
      <c r="O326" s="64" t="str">
        <f ca="1">IFERROR(__xludf.DUMMYFUNCTION("""COMPUTED_VALUE"""),"ADVANCED")</f>
        <v>ADVANCED</v>
      </c>
      <c r="P326" s="62">
        <f ca="1">IFERROR(__xludf.DUMMYFUNCTION("""COMPUTED_VALUE"""),4500)</f>
        <v>4500</v>
      </c>
      <c r="Q326" s="33" t="str">
        <f ca="1">IFERROR(__xludf.DUMMYFUNCTION("""COMPUTED_VALUE"""),"Lisandro Russian")</f>
        <v>Lisandro Russian</v>
      </c>
      <c r="R326" s="33" t="str">
        <f ca="1">IFERROR(__xludf.DUMMYFUNCTION("""COMPUTED_VALUE"""),"Manuel Martí Peña")</f>
        <v>Manuel Martí Peña</v>
      </c>
      <c r="S326" s="61" t="str">
        <f ca="1">IFERROR(__xludf.DUMMYFUNCTION("""COMPUTED_VALUE"""),"03 ORL")</f>
        <v>03 ORL</v>
      </c>
      <c r="T326" s="33" t="str">
        <f ca="1">IFERROR(__xludf.DUMMYFUNCTION("""COMPUTED_VALUE"""),"06 ORL")</f>
        <v>06 ORL</v>
      </c>
      <c r="U326" s="62"/>
      <c r="W326" s="62"/>
      <c r="X326" s="62"/>
    </row>
    <row r="327" spans="2:24" ht="16">
      <c r="B327" s="55" t="str">
        <f t="shared" ca="1" si="1"/>
        <v>LAA</v>
      </c>
      <c r="C327" s="64" t="str">
        <f ca="1">IFERROR(__xludf.DUMMYFUNCTION("""COMPUTED_VALUE"""),"LAA87")</f>
        <v>LAA87</v>
      </c>
      <c r="D327" s="33" t="str">
        <f ca="1">IFERROR(__xludf.DUMMYFUNCTION("""COMPUTED_VALUE"""),"PROPIOS")</f>
        <v>PROPIOS</v>
      </c>
      <c r="E327" s="33">
        <f ca="1">IFERROR(__xludf.DUMMYFUNCTION("""COMPUTED_VALUE"""),2026)</f>
        <v>2026</v>
      </c>
      <c r="F327" s="56">
        <f ca="1">IFERROR(__xludf.DUMMYFUNCTION("""COMPUTED_VALUE"""),3)</f>
        <v>3</v>
      </c>
      <c r="G327" s="33" t="str">
        <f ca="1">IFERROR(__xludf.DUMMYFUNCTION("""COMPUTED_VALUE"""),"Sevilla- Montoto")</f>
        <v>Sevilla- Montoto</v>
      </c>
      <c r="H327" s="33" t="str">
        <f ca="1">IFERROR(__xludf.DUMMYFUNCTION("""COMPUTED_VALUE"""),"C202626161811777206")</f>
        <v>C202626161811777206</v>
      </c>
      <c r="I327" s="33" t="str">
        <f ca="1">IFERROR(__xludf.DUMMYFUNCTION("""COMPUTED_VALUE"""),"NOEMI LEON BOLIVAR")</f>
        <v>NOEMI LEON BOLIVAR</v>
      </c>
      <c r="J327" s="57">
        <f ca="1">IFERROR(__xludf.DUMMYFUNCTION("""COMPUTED_VALUE"""),46059)</f>
        <v>46059</v>
      </c>
      <c r="K327" s="33" t="str">
        <f ca="1">IFERROR(__xludf.DUMMYFUNCTION("""COMPUTED_VALUE"""),"Factura audífonos")</f>
        <v>Factura audífonos</v>
      </c>
      <c r="L327" s="57">
        <f ca="1">IFERROR(__xludf.DUMMYFUNCTION("""COMPUTED_VALUE"""),46092)</f>
        <v>46092</v>
      </c>
      <c r="M327" s="64" t="str">
        <f ca="1">IFERROR(__xludf.DUMMYFUNCTION("""COMPUTED_VALUE"""),"NO")</f>
        <v>NO</v>
      </c>
      <c r="N327" s="56">
        <f ca="1">IFERROR(__xludf.DUMMYFUNCTION("""COMPUTED_VALUE"""),2)</f>
        <v>2</v>
      </c>
      <c r="O327" s="64" t="str">
        <f ca="1">IFERROR(__xludf.DUMMYFUNCTION("""COMPUTED_VALUE"""),"ADVANCED")</f>
        <v>ADVANCED</v>
      </c>
      <c r="P327" s="62">
        <f ca="1">IFERROR(__xludf.DUMMYFUNCTION("""COMPUTED_VALUE"""),3409.09)</f>
        <v>3409.09</v>
      </c>
      <c r="Q327" s="33" t="str">
        <f ca="1">IFERROR(__xludf.DUMMYFUNCTION("""COMPUTED_VALUE"""),"Luis Alberto Rodríguez")</f>
        <v>Luis Alberto Rodríguez</v>
      </c>
      <c r="R327" s="33" t="str">
        <f ca="1">IFERROR(__xludf.DUMMYFUNCTION("""COMPUTED_VALUE"""),"Richard Chávez León")</f>
        <v>Richard Chávez León</v>
      </c>
      <c r="S327" s="61" t="str">
        <f ca="1">IFERROR(__xludf.DUMMYFUNCTION("""COMPUTED_VALUE"""),"03 ORL")</f>
        <v>03 ORL</v>
      </c>
      <c r="T327" s="33" t="str">
        <f ca="1">IFERROR(__xludf.DUMMYFUNCTION("""COMPUTED_VALUE"""),"06 ORL")</f>
        <v>06 ORL</v>
      </c>
      <c r="U327" s="62"/>
      <c r="W327" s="62"/>
      <c r="X327" s="62"/>
    </row>
    <row r="328" spans="2:24" ht="16">
      <c r="B328" s="55" t="str">
        <f t="shared" ca="1" si="1"/>
        <v>PSC</v>
      </c>
      <c r="C328" s="64" t="str">
        <f ca="1">IFERROR(__xludf.DUMMYFUNCTION("""COMPUTED_VALUE"""),"PSC47")</f>
        <v>PSC47</v>
      </c>
      <c r="D328" s="33" t="str">
        <f ca="1">IFERROR(__xludf.DUMMYFUNCTION("""COMPUTED_VALUE"""),"ASOCIADOS")</f>
        <v>ASOCIADOS</v>
      </c>
      <c r="E328" s="33">
        <f ca="1">IFERROR(__xludf.DUMMYFUNCTION("""COMPUTED_VALUE"""),2026)</f>
        <v>2026</v>
      </c>
      <c r="F328" s="56">
        <f ca="1">IFERROR(__xludf.DUMMYFUNCTION("""COMPUTED_VALUE"""),3)</f>
        <v>3</v>
      </c>
      <c r="G328" s="33" t="str">
        <f ca="1">IFERROR(__xludf.DUMMYFUNCTION("""COMPUTED_VALUE"""),"León")</f>
        <v>León</v>
      </c>
      <c r="H328" s="33" t="str">
        <f ca="1">IFERROR(__xludf.DUMMYFUNCTION("""COMPUTED_VALUE"""),"C202632184716530211")</f>
        <v>C202632184716530211</v>
      </c>
      <c r="I328" s="33" t="str">
        <f ca="1">IFERROR(__xludf.DUMMYFUNCTION("""COMPUTED_VALUE"""),"Juan Simon Alija")</f>
        <v>Juan Simon Alija</v>
      </c>
      <c r="J328" s="57">
        <f ca="1">IFERROR(__xludf.DUMMYFUNCTION("""COMPUTED_VALUE"""),46083)</f>
        <v>46083</v>
      </c>
      <c r="K328" s="33" t="str">
        <f ca="1">IFERROR(__xludf.DUMMYFUNCTION("""COMPUTED_VALUE"""),"Factura audífonos")</f>
        <v>Factura audífonos</v>
      </c>
      <c r="L328" s="57">
        <f ca="1">IFERROR(__xludf.DUMMYFUNCTION("""COMPUTED_VALUE"""),46092)</f>
        <v>46092</v>
      </c>
      <c r="M328" s="64" t="str">
        <f ca="1">IFERROR(__xludf.DUMMYFUNCTION("""COMPUTED_VALUE"""),"NO")</f>
        <v>NO</v>
      </c>
      <c r="N328" s="56">
        <f ca="1">IFERROR(__xludf.DUMMYFUNCTION("""COMPUTED_VALUE"""),2)</f>
        <v>2</v>
      </c>
      <c r="O328" s="64" t="str">
        <f ca="1">IFERROR(__xludf.DUMMYFUNCTION("""COMPUTED_VALUE"""),"CONFORT")</f>
        <v>CONFORT</v>
      </c>
      <c r="P328" s="62">
        <f ca="1">IFERROR(__xludf.DUMMYFUNCTION("""COMPUTED_VALUE"""),2045.45)</f>
        <v>2045.45</v>
      </c>
      <c r="Q328" s="33" t="str">
        <f ca="1">IFERROR(__xludf.DUMMYFUNCTION("""COMPUTED_VALUE"""),"Alberto Moreno")</f>
        <v>Alberto Moreno</v>
      </c>
      <c r="R328" s="33" t="str">
        <f ca="1">IFERROR(__xludf.DUMMYFUNCTION("""COMPUTED_VALUE"""),"Mónica Granda Rosales")</f>
        <v>Mónica Granda Rosales</v>
      </c>
      <c r="S328" s="61" t="str">
        <f ca="1">IFERROR(__xludf.DUMMYFUNCTION("""COMPUTED_VALUE"""),"03 ORL")</f>
        <v>03 ORL</v>
      </c>
      <c r="T328" s="33" t="str">
        <f ca="1">IFERROR(__xludf.DUMMYFUNCTION("""COMPUTED_VALUE"""),"06 ORL")</f>
        <v>06 ORL</v>
      </c>
      <c r="U328" s="62"/>
      <c r="W328" s="62"/>
      <c r="X328" s="62"/>
    </row>
    <row r="329" spans="2:24" ht="16">
      <c r="B329" s="55" t="str">
        <f t="shared" si="1"/>
        <v/>
      </c>
      <c r="C329" s="64"/>
      <c r="D329" s="33" t="str">
        <f ca="1">IFERROR(__xludf.DUMMYFUNCTION("""COMPUTED_VALUE"""),"PROPIOS")</f>
        <v>PROPIOS</v>
      </c>
      <c r="E329" s="33">
        <f ca="1">IFERROR(__xludf.DUMMYFUNCTION("""COMPUTED_VALUE"""),2026)</f>
        <v>2026</v>
      </c>
      <c r="F329" s="56">
        <f ca="1">IFERROR(__xludf.DUMMYFUNCTION("""COMPUTED_VALUE"""),3)</f>
        <v>3</v>
      </c>
      <c r="G329" s="33" t="str">
        <f ca="1">IFERROR(__xludf.DUMMYFUNCTION("""COMPUTED_VALUE"""),"Logroño")</f>
        <v>Logroño</v>
      </c>
      <c r="H329" s="33" t="str">
        <f ca="1">IFERROR(__xludf.DUMMYFUNCTION("""COMPUTED_VALUE"""),"C202621716540384597")</f>
        <v>C202621716540384597</v>
      </c>
      <c r="I329" s="33" t="str">
        <f ca="1">IFERROR(__xludf.DUMMYFUNCTION("""COMPUTED_VALUE"""),"Adrián Quesada Sáenz de Jubera")</f>
        <v>Adrián Quesada Sáenz de Jubera</v>
      </c>
      <c r="J329" s="57">
        <f ca="1">IFERROR(__xludf.DUMMYFUNCTION("""COMPUTED_VALUE"""),46070)</f>
        <v>46070</v>
      </c>
      <c r="K329" s="33" t="str">
        <f ca="1">IFERROR(__xludf.DUMMYFUNCTION("""COMPUTED_VALUE"""),"Factura audífonos")</f>
        <v>Factura audífonos</v>
      </c>
      <c r="L329" s="57">
        <f ca="1">IFERROR(__xludf.DUMMYFUNCTION("""COMPUTED_VALUE"""),46092)</f>
        <v>46092</v>
      </c>
      <c r="M329" s="64" t="str">
        <f ca="1">IFERROR(__xludf.DUMMYFUNCTION("""COMPUTED_VALUE"""),"NO")</f>
        <v>NO</v>
      </c>
      <c r="N329" s="56">
        <f ca="1">IFERROR(__xludf.DUMMYFUNCTION("""COMPUTED_VALUE"""),2)</f>
        <v>2</v>
      </c>
      <c r="O329" s="64" t="str">
        <f ca="1">IFERROR(__xludf.DUMMYFUNCTION("""COMPUTED_VALUE"""),"PRO")</f>
        <v>PRO</v>
      </c>
      <c r="P329" s="62">
        <f ca="1">IFERROR(__xludf.DUMMYFUNCTION("""COMPUTED_VALUE"""),4536.36)</f>
        <v>4536.3599999999997</v>
      </c>
      <c r="Q329" s="33" t="str">
        <f ca="1">IFERROR(__xludf.DUMMYFUNCTION("""COMPUTED_VALUE"""),"Lisandro Russian")</f>
        <v>Lisandro Russian</v>
      </c>
      <c r="R329" s="33" t="str">
        <f ca="1">IFERROR(__xludf.DUMMYFUNCTION("""COMPUTED_VALUE"""),"No recuerda ORL")</f>
        <v>No recuerda ORL</v>
      </c>
      <c r="S329" s="61" t="str">
        <f ca="1">IFERROR(__xludf.DUMMYFUNCTION("""COMPUTED_VALUE"""),"03 ORL")</f>
        <v>03 ORL</v>
      </c>
      <c r="T329" s="33" t="str">
        <f ca="1">IFERROR(__xludf.DUMMYFUNCTION("""COMPUTED_VALUE"""),"06 ORL")</f>
        <v>06 ORL</v>
      </c>
      <c r="U329" s="62"/>
      <c r="W329" s="62"/>
      <c r="X329" s="62"/>
    </row>
    <row r="330" spans="2:24" ht="16">
      <c r="B330" s="55" t="str">
        <f t="shared" si="1"/>
        <v/>
      </c>
      <c r="C330" s="64"/>
      <c r="D330" s="33" t="str">
        <f ca="1">IFERROR(__xludf.DUMMYFUNCTION("""COMPUTED_VALUE"""),"PARTICIPADOS")</f>
        <v>PARTICIPADOS</v>
      </c>
      <c r="E330" s="33">
        <f ca="1">IFERROR(__xludf.DUMMYFUNCTION("""COMPUTED_VALUE"""),2026)</f>
        <v>2026</v>
      </c>
      <c r="F330" s="56">
        <f ca="1">IFERROR(__xludf.DUMMYFUNCTION("""COMPUTED_VALUE"""),3)</f>
        <v>3</v>
      </c>
      <c r="G330" s="33" t="str">
        <f ca="1">IFERROR(__xludf.DUMMYFUNCTION("""COMPUTED_VALUE"""),"Madrid- La Oca")</f>
        <v>Madrid- La Oca</v>
      </c>
      <c r="H330" s="33" t="str">
        <f ca="1">IFERROR(__xludf.DUMMYFUNCTION("""COMPUTED_VALUE"""),"C202624152054679765")</f>
        <v>C202624152054679765</v>
      </c>
      <c r="I330" s="33" t="str">
        <f ca="1">IFERROR(__xludf.DUMMYFUNCTION("""COMPUTED_VALUE"""),"MARIA LUZ FERNANDEZ DE ORO")</f>
        <v>MARIA LUZ FERNANDEZ DE ORO</v>
      </c>
      <c r="J330" s="57">
        <f ca="1">IFERROR(__xludf.DUMMYFUNCTION("""COMPUTED_VALUE"""),46057)</f>
        <v>46057</v>
      </c>
      <c r="K330" s="33" t="str">
        <f ca="1">IFERROR(__xludf.DUMMYFUNCTION("""COMPUTED_VALUE"""),"Factura audífonos")</f>
        <v>Factura audífonos</v>
      </c>
      <c r="L330" s="57">
        <f ca="1">IFERROR(__xludf.DUMMYFUNCTION("""COMPUTED_VALUE"""),46092)</f>
        <v>46092</v>
      </c>
      <c r="M330" s="58" t="str">
        <f ca="1">IFERROR(__xludf.DUMMYFUNCTION("""COMPUTED_VALUE"""),"NO")</f>
        <v>NO</v>
      </c>
      <c r="N330" s="56">
        <f ca="1">IFERROR(__xludf.DUMMYFUNCTION("""COMPUTED_VALUE"""),2)</f>
        <v>2</v>
      </c>
      <c r="O330" s="64" t="str">
        <f ca="1">IFERROR(__xludf.DUMMYFUNCTION("""COMPUTED_VALUE"""),"QUIET")</f>
        <v>QUIET</v>
      </c>
      <c r="P330" s="62">
        <f ca="1">IFERROR(__xludf.DUMMYFUNCTION("""COMPUTED_VALUE"""),2718.18)</f>
        <v>2718.18</v>
      </c>
      <c r="Q330" s="33" t="str">
        <f ca="1">IFERROR(__xludf.DUMMYFUNCTION("""COMPUTED_VALUE"""),"Maika Blázquez")</f>
        <v>Maika Blázquez</v>
      </c>
      <c r="R330" s="33" t="str">
        <f ca="1">IFERROR(__xludf.DUMMYFUNCTION("""COMPUTED_VALUE"""),"No recuerda ORL")</f>
        <v>No recuerda ORL</v>
      </c>
      <c r="S330" s="61" t="str">
        <f ca="1">IFERROR(__xludf.DUMMYFUNCTION("""COMPUTED_VALUE"""),"03 ORL")</f>
        <v>03 ORL</v>
      </c>
      <c r="T330" s="33" t="str">
        <f ca="1">IFERROR(__xludf.DUMMYFUNCTION("""COMPUTED_VALUE"""),"06 ORL")</f>
        <v>06 ORL</v>
      </c>
      <c r="U330" s="62"/>
      <c r="W330" s="62"/>
      <c r="X330" s="62"/>
    </row>
    <row r="331" spans="2:24" ht="16">
      <c r="B331" s="55" t="str">
        <f t="shared" ca="1" si="1"/>
        <v>MBM</v>
      </c>
      <c r="C331" s="64" t="str">
        <f ca="1">IFERROR(__xludf.DUMMYFUNCTION("""COMPUTED_VALUE"""),"MBM46")</f>
        <v>MBM46</v>
      </c>
      <c r="D331" s="33" t="str">
        <f ca="1">IFERROR(__xludf.DUMMYFUNCTION("""COMPUTED_VALUE"""),"PARTICIPADOS")</f>
        <v>PARTICIPADOS</v>
      </c>
      <c r="E331" s="33">
        <f ca="1">IFERROR(__xludf.DUMMYFUNCTION("""COMPUTED_VALUE"""),2026)</f>
        <v>2026</v>
      </c>
      <c r="F331" s="56">
        <f ca="1">IFERROR(__xludf.DUMMYFUNCTION("""COMPUTED_VALUE"""),3)</f>
        <v>3</v>
      </c>
      <c r="G331" s="33" t="str">
        <f ca="1">IFERROR(__xludf.DUMMYFUNCTION("""COMPUTED_VALUE"""),"Talavera")</f>
        <v>Talavera</v>
      </c>
      <c r="H331" s="33" t="str">
        <f ca="1">IFERROR(__xludf.DUMMYFUNCTION("""COMPUTED_VALUE"""),"C202612315311030212")</f>
        <v>C202612315311030212</v>
      </c>
      <c r="I331" s="33" t="str">
        <f ca="1">IFERROR(__xludf.DUMMYFUNCTION("""COMPUTED_VALUE"""),"MARIA LUISA GARVÍN MARTÍN")</f>
        <v>MARIA LUISA GARVÍN MARTÍN</v>
      </c>
      <c r="J331" s="57">
        <f ca="1">IFERROR(__xludf.DUMMYFUNCTION("""COMPUTED_VALUE"""),46045)</f>
        <v>46045</v>
      </c>
      <c r="K331" s="33" t="str">
        <f ca="1">IFERROR(__xludf.DUMMYFUNCTION("""COMPUTED_VALUE"""),"Factura audífonos")</f>
        <v>Factura audífonos</v>
      </c>
      <c r="L331" s="57">
        <f ca="1">IFERROR(__xludf.DUMMYFUNCTION("""COMPUTED_VALUE"""),46092)</f>
        <v>46092</v>
      </c>
      <c r="M331" s="64" t="str">
        <f ca="1">IFERROR(__xludf.DUMMYFUNCTION("""COMPUTED_VALUE"""),"NO")</f>
        <v>NO</v>
      </c>
      <c r="N331" s="56">
        <f ca="1">IFERROR(__xludf.DUMMYFUNCTION("""COMPUTED_VALUE"""),2)</f>
        <v>2</v>
      </c>
      <c r="O331" s="64" t="str">
        <f ca="1">IFERROR(__xludf.DUMMYFUNCTION("""COMPUTED_VALUE"""),"CONFORT")</f>
        <v>CONFORT</v>
      </c>
      <c r="P331" s="62">
        <f ca="1">IFERROR(__xludf.DUMMYFUNCTION("""COMPUTED_VALUE"""),3450.23)</f>
        <v>3450.23</v>
      </c>
      <c r="Q331" s="33" t="str">
        <f ca="1">IFERROR(__xludf.DUMMYFUNCTION("""COMPUTED_VALUE"""),"Maika Blázquez")</f>
        <v>Maika Blázquez</v>
      </c>
      <c r="R331" s="33" t="str">
        <f ca="1">IFERROR(__xludf.DUMMYFUNCTION("""COMPUTED_VALUE"""),"Jonathan Esteban Sánchez")</f>
        <v>Jonathan Esteban Sánchez</v>
      </c>
      <c r="S331" s="61" t="str">
        <f ca="1">IFERROR(__xludf.DUMMYFUNCTION("""COMPUTED_VALUE"""),"03 ORL")</f>
        <v>03 ORL</v>
      </c>
      <c r="T331" s="33" t="str">
        <f ca="1">IFERROR(__xludf.DUMMYFUNCTION("""COMPUTED_VALUE"""),"06 ORL")</f>
        <v>06 ORL</v>
      </c>
      <c r="U331" s="62"/>
      <c r="W331" s="62"/>
      <c r="X331" s="62"/>
    </row>
    <row r="332" spans="2:24" ht="16">
      <c r="B332" s="55" t="str">
        <f t="shared" si="1"/>
        <v/>
      </c>
      <c r="C332" s="64"/>
      <c r="D332" s="33" t="str">
        <f ca="1">IFERROR(__xludf.DUMMYFUNCTION("""COMPUTED_VALUE"""),"PROPIOS")</f>
        <v>PROPIOS</v>
      </c>
      <c r="E332" s="33">
        <f ca="1">IFERROR(__xludf.DUMMYFUNCTION("""COMPUTED_VALUE"""),2026)</f>
        <v>2026</v>
      </c>
      <c r="F332" s="56">
        <f ca="1">IFERROR(__xludf.DUMMYFUNCTION("""COMPUTED_VALUE"""),3)</f>
        <v>3</v>
      </c>
      <c r="G332" s="33" t="str">
        <f ca="1">IFERROR(__xludf.DUMMYFUNCTION("""COMPUTED_VALUE"""),"Getafe")</f>
        <v>Getafe</v>
      </c>
      <c r="H332" s="33" t="str">
        <f ca="1">IFERROR(__xludf.DUMMYFUNCTION("""COMPUTED_VALUE"""),"C202629115751490744")</f>
        <v>C202629115751490744</v>
      </c>
      <c r="I332" s="33" t="str">
        <f ca="1">IFERROR(__xludf.DUMMYFUNCTION("""COMPUTED_VALUE"""),"MARIA ISABEL GARCIA TRABAS")</f>
        <v>MARIA ISABEL GARCIA TRABAS</v>
      </c>
      <c r="J332" s="57">
        <f ca="1">IFERROR(__xludf.DUMMYFUNCTION("""COMPUTED_VALUE"""),46062)</f>
        <v>46062</v>
      </c>
      <c r="K332" s="33" t="str">
        <f ca="1">IFERROR(__xludf.DUMMYFUNCTION("""COMPUTED_VALUE"""),"Factura audífonos")</f>
        <v>Factura audífonos</v>
      </c>
      <c r="L332" s="57">
        <f ca="1">IFERROR(__xludf.DUMMYFUNCTION("""COMPUTED_VALUE"""),46092)</f>
        <v>46092</v>
      </c>
      <c r="M332" s="64" t="str">
        <f ca="1">IFERROR(__xludf.DUMMYFUNCTION("""COMPUTED_VALUE"""),"NO")</f>
        <v>NO</v>
      </c>
      <c r="N332" s="56">
        <f ca="1">IFERROR(__xludf.DUMMYFUNCTION("""COMPUTED_VALUE"""),1)</f>
        <v>1</v>
      </c>
      <c r="O332" s="64" t="str">
        <f ca="1">IFERROR(__xludf.DUMMYFUNCTION("""COMPUTED_VALUE"""),"CONFORT")</f>
        <v>CONFORT</v>
      </c>
      <c r="P332" s="62">
        <f ca="1">IFERROR(__xludf.DUMMYFUNCTION("""COMPUTED_VALUE"""),2180.91)</f>
        <v>2180.91</v>
      </c>
      <c r="Q332" s="33" t="str">
        <f ca="1">IFERROR(__xludf.DUMMYFUNCTION("""COMPUTED_VALUE"""),"Maika Blázquez")</f>
        <v>Maika Blázquez</v>
      </c>
      <c r="R332" s="33" t="str">
        <f ca="1">IFERROR(__xludf.DUMMYFUNCTION("""COMPUTED_VALUE"""),"No recuerda ORL")</f>
        <v>No recuerda ORL</v>
      </c>
      <c r="S332" s="61" t="str">
        <f ca="1">IFERROR(__xludf.DUMMYFUNCTION("""COMPUTED_VALUE"""),"03 ORL")</f>
        <v>03 ORL</v>
      </c>
      <c r="T332" s="33" t="str">
        <f ca="1">IFERROR(__xludf.DUMMYFUNCTION("""COMPUTED_VALUE"""),"06 ORL")</f>
        <v>06 ORL</v>
      </c>
      <c r="U332" s="62"/>
      <c r="W332" s="62"/>
      <c r="X332" s="62"/>
    </row>
    <row r="333" spans="2:24" ht="16">
      <c r="B333" s="55" t="str">
        <f t="shared" si="1"/>
        <v/>
      </c>
      <c r="C333" s="64"/>
      <c r="D333" s="33" t="str">
        <f ca="1">IFERROR(__xludf.DUMMYFUNCTION("""COMPUTED_VALUE"""),"PROPIOS")</f>
        <v>PROPIOS</v>
      </c>
      <c r="E333" s="33">
        <f ca="1">IFERROR(__xludf.DUMMYFUNCTION("""COMPUTED_VALUE"""),2026)</f>
        <v>2026</v>
      </c>
      <c r="F333" s="56">
        <f ca="1">IFERROR(__xludf.DUMMYFUNCTION("""COMPUTED_VALUE"""),3)</f>
        <v>3</v>
      </c>
      <c r="G333" s="33" t="str">
        <f ca="1">IFERROR(__xludf.DUMMYFUNCTION("""COMPUTED_VALUE"""),"Getafe")</f>
        <v>Getafe</v>
      </c>
      <c r="H333" s="33" t="str">
        <f ca="1">IFERROR(__xludf.DUMMYFUNCTION("""COMPUTED_VALUE"""),"C202612817105071565")</f>
        <v>C202612817105071565</v>
      </c>
      <c r="I333" s="33" t="str">
        <f ca="1">IFERROR(__xludf.DUMMYFUNCTION("""COMPUTED_VALUE"""),"MARIA LUISA ARROYO HERNÁNDEZ")</f>
        <v>MARIA LUISA ARROYO HERNÁNDEZ</v>
      </c>
      <c r="J333" s="57">
        <f ca="1">IFERROR(__xludf.DUMMYFUNCTION("""COMPUTED_VALUE"""),46050)</f>
        <v>46050</v>
      </c>
      <c r="K333" s="33" t="str">
        <f ca="1">IFERROR(__xludf.DUMMYFUNCTION("""COMPUTED_VALUE"""),"Factura audífonos")</f>
        <v>Factura audífonos</v>
      </c>
      <c r="L333" s="57">
        <f ca="1">IFERROR(__xludf.DUMMYFUNCTION("""COMPUTED_VALUE"""),46092)</f>
        <v>46092</v>
      </c>
      <c r="M333" s="64" t="str">
        <f ca="1">IFERROR(__xludf.DUMMYFUNCTION("""COMPUTED_VALUE"""),"NO")</f>
        <v>NO</v>
      </c>
      <c r="N333" s="56">
        <f ca="1">IFERROR(__xludf.DUMMYFUNCTION("""COMPUTED_VALUE"""),2)</f>
        <v>2</v>
      </c>
      <c r="O333" s="64" t="str">
        <f ca="1">IFERROR(__xludf.DUMMYFUNCTION("""COMPUTED_VALUE"""),"ADVANCED")</f>
        <v>ADVANCED</v>
      </c>
      <c r="P333" s="62">
        <f ca="1">IFERROR(__xludf.DUMMYFUNCTION("""COMPUTED_VALUE"""),4136.36)</f>
        <v>4136.3599999999997</v>
      </c>
      <c r="Q333" s="33" t="str">
        <f ca="1">IFERROR(__xludf.DUMMYFUNCTION("""COMPUTED_VALUE"""),"Maika Blázquez")</f>
        <v>Maika Blázquez</v>
      </c>
      <c r="R333" s="33" t="str">
        <f ca="1">IFERROR(__xludf.DUMMYFUNCTION("""COMPUTED_VALUE"""),"No recuerda ORL")</f>
        <v>No recuerda ORL</v>
      </c>
      <c r="S333" s="61" t="str">
        <f ca="1">IFERROR(__xludf.DUMMYFUNCTION("""COMPUTED_VALUE"""),"03 ORL")</f>
        <v>03 ORL</v>
      </c>
      <c r="T333" s="33" t="str">
        <f ca="1">IFERROR(__xludf.DUMMYFUNCTION("""COMPUTED_VALUE"""),"06 ORL")</f>
        <v>06 ORL</v>
      </c>
      <c r="U333" s="62"/>
      <c r="W333" s="62"/>
      <c r="X333" s="62"/>
    </row>
    <row r="334" spans="2:24" ht="16">
      <c r="B334" s="55" t="str">
        <f t="shared" ca="1" si="1"/>
        <v>#N/</v>
      </c>
      <c r="C334" s="64" t="str">
        <f ca="1">IFERROR(__xludf.DUMMYFUNCTION("""COMPUTED_VALUE"""),"#N/A")</f>
        <v>#N/A</v>
      </c>
      <c r="D334" s="33" t="str">
        <f ca="1">IFERROR(__xludf.DUMMYFUNCTION("""COMPUTED_VALUE"""),"ASOCIADOS")</f>
        <v>ASOCIADOS</v>
      </c>
      <c r="E334" s="33">
        <f ca="1">IFERROR(__xludf.DUMMYFUNCTION("""COMPUTED_VALUE"""),2026)</f>
        <v>2026</v>
      </c>
      <c r="F334" s="56">
        <f ca="1">IFERROR(__xludf.DUMMYFUNCTION("""COMPUTED_VALUE"""),3)</f>
        <v>3</v>
      </c>
      <c r="G334" s="33" t="str">
        <f ca="1">IFERROR(__xludf.DUMMYFUNCTION("""COMPUTED_VALUE"""),"Cáceres")</f>
        <v>Cáceres</v>
      </c>
      <c r="H334" s="33" t="str">
        <f ca="1">IFERROR(__xludf.DUMMYFUNCTION("""COMPUTED_VALUE"""),"C202621010453855460")</f>
        <v>C202621010453855460</v>
      </c>
      <c r="I334" s="33" t="str">
        <f ca="1">IFERROR(__xludf.DUMMYFUNCTION("""COMPUTED_VALUE"""),"ISABEL PULIDO COLLADO")</f>
        <v>ISABEL PULIDO COLLADO</v>
      </c>
      <c r="J334" s="57">
        <f ca="1">IFERROR(__xludf.DUMMYFUNCTION("""COMPUTED_VALUE"""),46063)</f>
        <v>46063</v>
      </c>
      <c r="K334" s="33" t="str">
        <f ca="1">IFERROR(__xludf.DUMMYFUNCTION("""COMPUTED_VALUE"""),"Factura audífonos")</f>
        <v>Factura audífonos</v>
      </c>
      <c r="L334" s="57">
        <f ca="1">IFERROR(__xludf.DUMMYFUNCTION("""COMPUTED_VALUE"""),46093)</f>
        <v>46093</v>
      </c>
      <c r="M334" s="58" t="str">
        <f ca="1">IFERROR(__xludf.DUMMYFUNCTION("""COMPUTED_VALUE"""),"NO")</f>
        <v>NO</v>
      </c>
      <c r="N334" s="56">
        <f ca="1">IFERROR(__xludf.DUMMYFUNCTION("""COMPUTED_VALUE"""),2)</f>
        <v>2</v>
      </c>
      <c r="O334" s="64" t="str">
        <f ca="1">IFERROR(__xludf.DUMMYFUNCTION("""COMPUTED_VALUE"""),"ADVANCED")</f>
        <v>ADVANCED</v>
      </c>
      <c r="P334" s="62">
        <f ca="1">IFERROR(__xludf.DUMMYFUNCTION("""COMPUTED_VALUE"""),4500)</f>
        <v>4500</v>
      </c>
      <c r="Q334" s="33" t="str">
        <f ca="1">IFERROR(__xludf.DUMMYFUNCTION("""COMPUTED_VALUE"""),"Lisandro Russian")</f>
        <v>Lisandro Russian</v>
      </c>
      <c r="R334" s="33" t="str">
        <f ca="1">IFERROR(__xludf.DUMMYFUNCTION("""COMPUTED_VALUE"""),"Isabel Bustillo García")</f>
        <v>Isabel Bustillo García</v>
      </c>
      <c r="S334" s="61" t="str">
        <f ca="1">IFERROR(__xludf.DUMMYFUNCTION("""COMPUTED_VALUE"""),"03 ORL")</f>
        <v>03 ORL</v>
      </c>
      <c r="T334" s="33" t="str">
        <f ca="1">IFERROR(__xludf.DUMMYFUNCTION("""COMPUTED_VALUE"""),"06 ORL")</f>
        <v>06 ORL</v>
      </c>
      <c r="U334" s="62"/>
      <c r="W334" s="62"/>
      <c r="X334" s="62"/>
    </row>
    <row r="335" spans="2:24" ht="16">
      <c r="B335" s="55" t="str">
        <f t="shared" ca="1" si="1"/>
        <v>#N/</v>
      </c>
      <c r="C335" s="64" t="str">
        <f ca="1">IFERROR(__xludf.DUMMYFUNCTION("""COMPUTED_VALUE"""),"#N/A")</f>
        <v>#N/A</v>
      </c>
      <c r="D335" s="33" t="str">
        <f ca="1">IFERROR(__xludf.DUMMYFUNCTION("""COMPUTED_VALUE"""),"PROPIOS")</f>
        <v>PROPIOS</v>
      </c>
      <c r="E335" s="33">
        <f ca="1">IFERROR(__xludf.DUMMYFUNCTION("""COMPUTED_VALUE"""),2026)</f>
        <v>2026</v>
      </c>
      <c r="F335" s="56">
        <f ca="1">IFERROR(__xludf.DUMMYFUNCTION("""COMPUTED_VALUE"""),3)</f>
        <v>3</v>
      </c>
      <c r="G335" s="33" t="str">
        <f ca="1">IFERROR(__xludf.DUMMYFUNCTION("""COMPUTED_VALUE"""),"Alcorcón")</f>
        <v>Alcorcón</v>
      </c>
      <c r="H335" s="33" t="str">
        <f ca="1">IFERROR(__xludf.DUMMYFUNCTION("""COMPUTED_VALUE"""),"C202512221454137699")</f>
        <v>C202512221454137699</v>
      </c>
      <c r="I335" s="33" t="str">
        <f ca="1">IFERROR(__xludf.DUMMYFUNCTION("""COMPUTED_VALUE"""),"JESUS SANCHEZ SANCHEZ")</f>
        <v>JESUS SANCHEZ SANCHEZ</v>
      </c>
      <c r="J335" s="57">
        <f ca="1">IFERROR(__xludf.DUMMYFUNCTION("""COMPUTED_VALUE"""),46013)</f>
        <v>46013</v>
      </c>
      <c r="K335" s="33" t="str">
        <f ca="1">IFERROR(__xludf.DUMMYFUNCTION("""COMPUTED_VALUE"""),"Factura audífonos")</f>
        <v>Factura audífonos</v>
      </c>
      <c r="L335" s="57">
        <f ca="1">IFERROR(__xludf.DUMMYFUNCTION("""COMPUTED_VALUE"""),46093)</f>
        <v>46093</v>
      </c>
      <c r="M335" s="64" t="str">
        <f ca="1">IFERROR(__xludf.DUMMYFUNCTION("""COMPUTED_VALUE"""),"NO")</f>
        <v>NO</v>
      </c>
      <c r="N335" s="56">
        <f ca="1">IFERROR(__xludf.DUMMYFUNCTION("""COMPUTED_VALUE"""),2)</f>
        <v>2</v>
      </c>
      <c r="O335" s="64" t="str">
        <f ca="1">IFERROR(__xludf.DUMMYFUNCTION("""COMPUTED_VALUE"""),"ADVANCED")</f>
        <v>ADVANCED</v>
      </c>
      <c r="P335" s="62">
        <f ca="1">IFERROR(__xludf.DUMMYFUNCTION("""COMPUTED_VALUE"""),3604.55)</f>
        <v>3604.55</v>
      </c>
      <c r="Q335" s="33" t="str">
        <f ca="1">IFERROR(__xludf.DUMMYFUNCTION("""COMPUTED_VALUE"""),"Maika Blázquez")</f>
        <v>Maika Blázquez</v>
      </c>
      <c r="R335" s="33" t="str">
        <f ca="1">IFERROR(__xludf.DUMMYFUNCTION("""COMPUTED_VALUE"""),"Falening Melissa de la Rosa Astacio")</f>
        <v>Falening Melissa de la Rosa Astacio</v>
      </c>
      <c r="S335" s="61" t="str">
        <f ca="1">IFERROR(__xludf.DUMMYFUNCTION("""COMPUTED_VALUE"""),"03 ORL")</f>
        <v>03 ORL</v>
      </c>
      <c r="T335" s="33" t="str">
        <f ca="1">IFERROR(__xludf.DUMMYFUNCTION("""COMPUTED_VALUE"""),"06 ORL")</f>
        <v>06 ORL</v>
      </c>
      <c r="U335" s="62"/>
      <c r="W335" s="62"/>
      <c r="X335" s="62"/>
    </row>
    <row r="336" spans="2:24" ht="16">
      <c r="B336" s="55" t="str">
        <f t="shared" ca="1" si="1"/>
        <v>ISL</v>
      </c>
      <c r="C336" s="64" t="str">
        <f ca="1">IFERROR(__xludf.DUMMYFUNCTION("""COMPUTED_VALUE"""),"ISL131")</f>
        <v>ISL131</v>
      </c>
      <c r="D336" s="33" t="str">
        <f ca="1">IFERROR(__xludf.DUMMYFUNCTION("""COMPUTED_VALUE"""),"PROPIOS")</f>
        <v>PROPIOS</v>
      </c>
      <c r="E336" s="33">
        <f ca="1">IFERROR(__xludf.DUMMYFUNCTION("""COMPUTED_VALUE"""),2026)</f>
        <v>2026</v>
      </c>
      <c r="F336" s="56">
        <f ca="1">IFERROR(__xludf.DUMMYFUNCTION("""COMPUTED_VALUE"""),3)</f>
        <v>3</v>
      </c>
      <c r="G336" s="33" t="str">
        <f ca="1">IFERROR(__xludf.DUMMYFUNCTION("""COMPUTED_VALUE"""),"Alicante")</f>
        <v>Alicante</v>
      </c>
      <c r="H336" s="33" t="str">
        <f ca="1">IFERROR(__xludf.DUMMYFUNCTION("""COMPUTED_VALUE"""),"ALC-1920")</f>
        <v>ALC-1920</v>
      </c>
      <c r="I336" s="33" t="str">
        <f ca="1">IFERROR(__xludf.DUMMYFUNCTION("""COMPUTED_VALUE"""),"JOAN PEREZ LLEDO")</f>
        <v>JOAN PEREZ LLEDO</v>
      </c>
      <c r="J336" s="57">
        <f ca="1">IFERROR(__xludf.DUMMYFUNCTION("""COMPUTED_VALUE"""),43605)</f>
        <v>43605</v>
      </c>
      <c r="K336" s="33" t="str">
        <f ca="1">IFERROR(__xludf.DUMMYFUNCTION("""COMPUTED_VALUE"""),"Factura audífonos")</f>
        <v>Factura audífonos</v>
      </c>
      <c r="L336" s="57">
        <f ca="1">IFERROR(__xludf.DUMMYFUNCTION("""COMPUTED_VALUE"""),46093)</f>
        <v>46093</v>
      </c>
      <c r="M336" s="64" t="str">
        <f ca="1">IFERROR(__xludf.DUMMYFUNCTION("""COMPUTED_VALUE"""),"NO")</f>
        <v>NO</v>
      </c>
      <c r="N336" s="56">
        <f ca="1">IFERROR(__xludf.DUMMYFUNCTION("""COMPUTED_VALUE"""),2)</f>
        <v>2</v>
      </c>
      <c r="O336" s="64" t="str">
        <f ca="1">IFERROR(__xludf.DUMMYFUNCTION("""COMPUTED_VALUE"""),"CONFORT")</f>
        <v>CONFORT</v>
      </c>
      <c r="P336" s="62">
        <f ca="1">IFERROR(__xludf.DUMMYFUNCTION("""COMPUTED_VALUE"""),3631.82)</f>
        <v>3631.82</v>
      </c>
      <c r="Q336" s="33" t="str">
        <f ca="1">IFERROR(__xludf.DUMMYFUNCTION("""COMPUTED_VALUE"""),"Iván Sánchez")</f>
        <v>Iván Sánchez</v>
      </c>
      <c r="R336" s="33" t="str">
        <f ca="1">IFERROR(__xludf.DUMMYFUNCTION("""COMPUTED_VALUE"""),"Pilar Beladiez Romero")</f>
        <v>Pilar Beladiez Romero</v>
      </c>
      <c r="S336" s="61" t="str">
        <f ca="1">IFERROR(__xludf.DUMMYFUNCTION("""COMPUTED_VALUE"""),"03 ORL")</f>
        <v>03 ORL</v>
      </c>
      <c r="T336" s="33" t="str">
        <f ca="1">IFERROR(__xludf.DUMMYFUNCTION("""COMPUTED_VALUE"""),"06 ORL")</f>
        <v>06 ORL</v>
      </c>
      <c r="U336" s="62"/>
      <c r="W336" s="62"/>
      <c r="X336" s="62"/>
    </row>
    <row r="337" spans="2:24" ht="16">
      <c r="B337" s="55" t="str">
        <f t="shared" ca="1" si="1"/>
        <v>RFV</v>
      </c>
      <c r="C337" s="64" t="str">
        <f ca="1">IFERROR(__xludf.DUMMYFUNCTION("""COMPUTED_VALUE"""),"RFV47")</f>
        <v>RFV47</v>
      </c>
      <c r="D337" s="33" t="str">
        <f ca="1">IFERROR(__xludf.DUMMYFUNCTION("""COMPUTED_VALUE"""),"PROPIOS")</f>
        <v>PROPIOS</v>
      </c>
      <c r="E337" s="33">
        <f ca="1">IFERROR(__xludf.DUMMYFUNCTION("""COMPUTED_VALUE"""),2026)</f>
        <v>2026</v>
      </c>
      <c r="F337" s="56">
        <f ca="1">IFERROR(__xludf.DUMMYFUNCTION("""COMPUTED_VALUE"""),3)</f>
        <v>3</v>
      </c>
      <c r="G337" s="33" t="str">
        <f ca="1">IFERROR(__xludf.DUMMYFUNCTION("""COMPUTED_VALUE"""),"Almería")</f>
        <v>Almería</v>
      </c>
      <c r="H337" s="33" t="str">
        <f ca="1">IFERROR(__xludf.DUMMYFUNCTION("""COMPUTED_VALUE"""),"C202622611224941360")</f>
        <v>C202622611224941360</v>
      </c>
      <c r="I337" s="33" t="str">
        <f ca="1">IFERROR(__xludf.DUMMYFUNCTION("""COMPUTED_VALUE"""),"ANTONIA GONZALEZ HERNANDEZ")</f>
        <v>ANTONIA GONZALEZ HERNANDEZ</v>
      </c>
      <c r="J337" s="57">
        <f ca="1">IFERROR(__xludf.DUMMYFUNCTION("""COMPUTED_VALUE"""),46079)</f>
        <v>46079</v>
      </c>
      <c r="K337" s="33" t="str">
        <f ca="1">IFERROR(__xludf.DUMMYFUNCTION("""COMPUTED_VALUE"""),"Factura audífonos")</f>
        <v>Factura audífonos</v>
      </c>
      <c r="L337" s="57">
        <f ca="1">IFERROR(__xludf.DUMMYFUNCTION("""COMPUTED_VALUE"""),46093)</f>
        <v>46093</v>
      </c>
      <c r="M337" s="64" t="str">
        <f ca="1">IFERROR(__xludf.DUMMYFUNCTION("""COMPUTED_VALUE"""),"NO")</f>
        <v>NO</v>
      </c>
      <c r="N337" s="56">
        <f ca="1">IFERROR(__xludf.DUMMYFUNCTION("""COMPUTED_VALUE"""),2)</f>
        <v>2</v>
      </c>
      <c r="O337" s="64" t="str">
        <f ca="1">IFERROR(__xludf.DUMMYFUNCTION("""COMPUTED_VALUE"""),"QUIET")</f>
        <v>QUIET</v>
      </c>
      <c r="P337" s="62">
        <f ca="1">IFERROR(__xludf.DUMMYFUNCTION("""COMPUTED_VALUE"""),2718.18)</f>
        <v>2718.18</v>
      </c>
      <c r="Q337" s="33" t="str">
        <f ca="1">IFERROR(__xludf.DUMMYFUNCTION("""COMPUTED_VALUE"""),"Ramon Ferrando")</f>
        <v>Ramon Ferrando</v>
      </c>
      <c r="R337" s="33" t="str">
        <f ca="1">IFERROR(__xludf.DUMMYFUNCTION("""COMPUTED_VALUE"""),"Elisheba Haro Hernández")</f>
        <v>Elisheba Haro Hernández</v>
      </c>
      <c r="S337" s="61" t="str">
        <f ca="1">IFERROR(__xludf.DUMMYFUNCTION("""COMPUTED_VALUE"""),"03 ORL")</f>
        <v>03 ORL</v>
      </c>
      <c r="T337" s="33" t="str">
        <f ca="1">IFERROR(__xludf.DUMMYFUNCTION("""COMPUTED_VALUE"""),"06 ORL")</f>
        <v>06 ORL</v>
      </c>
      <c r="U337" s="62"/>
      <c r="W337" s="62"/>
      <c r="X337" s="62"/>
    </row>
    <row r="338" spans="2:24" ht="16">
      <c r="B338" s="55" t="str">
        <f t="shared" si="1"/>
        <v/>
      </c>
      <c r="C338" s="64"/>
      <c r="D338" s="33" t="str">
        <f ca="1">IFERROR(__xludf.DUMMYFUNCTION("""COMPUTED_VALUE"""),"ASOCIADOS")</f>
        <v>ASOCIADOS</v>
      </c>
      <c r="E338" s="33">
        <f ca="1">IFERROR(__xludf.DUMMYFUNCTION("""COMPUTED_VALUE"""),2026)</f>
        <v>2026</v>
      </c>
      <c r="F338" s="56">
        <f ca="1">IFERROR(__xludf.DUMMYFUNCTION("""COMPUTED_VALUE"""),3)</f>
        <v>3</v>
      </c>
      <c r="G338" s="33" t="str">
        <f ca="1">IFERROR(__xludf.DUMMYFUNCTION("""COMPUTED_VALUE"""),"Badajoz")</f>
        <v>Badajoz</v>
      </c>
      <c r="H338" s="33" t="str">
        <f ca="1">IFERROR(__xludf.DUMMYFUNCTION("""COMPUTED_VALUE"""),"C202612812525992196")</f>
        <v>C202612812525992196</v>
      </c>
      <c r="I338" s="33" t="str">
        <f ca="1">IFERROR(__xludf.DUMMYFUNCTION("""COMPUTED_VALUE"""),"BELEN VAZQUEZ FALCON")</f>
        <v>BELEN VAZQUEZ FALCON</v>
      </c>
      <c r="J338" s="57">
        <f ca="1">IFERROR(__xludf.DUMMYFUNCTION("""COMPUTED_VALUE"""),46050)</f>
        <v>46050</v>
      </c>
      <c r="K338" s="33" t="str">
        <f ca="1">IFERROR(__xludf.DUMMYFUNCTION("""COMPUTED_VALUE"""),"Factura audífonos")</f>
        <v>Factura audífonos</v>
      </c>
      <c r="L338" s="57">
        <f ca="1">IFERROR(__xludf.DUMMYFUNCTION("""COMPUTED_VALUE"""),46093)</f>
        <v>46093</v>
      </c>
      <c r="M338" s="58" t="str">
        <f ca="1">IFERROR(__xludf.DUMMYFUNCTION("""COMPUTED_VALUE"""),"NO")</f>
        <v>NO</v>
      </c>
      <c r="N338" s="56">
        <f ca="1">IFERROR(__xludf.DUMMYFUNCTION("""COMPUTED_VALUE"""),2)</f>
        <v>2</v>
      </c>
      <c r="O338" s="64" t="str">
        <f ca="1">IFERROR(__xludf.DUMMYFUNCTION("""COMPUTED_VALUE"""),"QUIET")</f>
        <v>QUIET</v>
      </c>
      <c r="P338" s="62">
        <f ca="1">IFERROR(__xludf.DUMMYFUNCTION("""COMPUTED_VALUE"""),3181.82)</f>
        <v>3181.82</v>
      </c>
      <c r="Q338" s="33" t="str">
        <f ca="1">IFERROR(__xludf.DUMMYFUNCTION("""COMPUTED_VALUE"""),"Luis Alberto Rodríguez")</f>
        <v>Luis Alberto Rodríguez</v>
      </c>
      <c r="R338" s="33" t="str">
        <f ca="1">IFERROR(__xludf.DUMMYFUNCTION("""COMPUTED_VALUE"""),"No recuerda ORL")</f>
        <v>No recuerda ORL</v>
      </c>
      <c r="S338" s="61" t="str">
        <f ca="1">IFERROR(__xludf.DUMMYFUNCTION("""COMPUTED_VALUE"""),"03 ORL")</f>
        <v>03 ORL</v>
      </c>
      <c r="T338" s="33" t="str">
        <f ca="1">IFERROR(__xludf.DUMMYFUNCTION("""COMPUTED_VALUE"""),"06 ORL")</f>
        <v>06 ORL</v>
      </c>
      <c r="U338" s="62"/>
      <c r="W338" s="62"/>
      <c r="X338" s="62"/>
    </row>
    <row r="339" spans="2:24" ht="16">
      <c r="B339" s="55" t="str">
        <f t="shared" ca="1" si="1"/>
        <v>ISL</v>
      </c>
      <c r="C339" s="64" t="str">
        <f ca="1">IFERROR(__xludf.DUMMYFUNCTION("""COMPUTED_VALUE"""),"ISL104")</f>
        <v>ISL104</v>
      </c>
      <c r="D339" s="33" t="str">
        <f ca="1">IFERROR(__xludf.DUMMYFUNCTION("""COMPUTED_VALUE"""),"PROPIOS")</f>
        <v>PROPIOS</v>
      </c>
      <c r="E339" s="33">
        <f ca="1">IFERROR(__xludf.DUMMYFUNCTION("""COMPUTED_VALUE"""),2026)</f>
        <v>2026</v>
      </c>
      <c r="F339" s="56">
        <f ca="1">IFERROR(__xludf.DUMMYFUNCTION("""COMPUTED_VALUE"""),3)</f>
        <v>3</v>
      </c>
      <c r="G339" s="33" t="str">
        <f ca="1">IFERROR(__xludf.DUMMYFUNCTION("""COMPUTED_VALUE"""),"El Albir (Benidorm)")</f>
        <v>El Albir (Benidorm)</v>
      </c>
      <c r="H339" s="33" t="str">
        <f ca="1">IFERROR(__xludf.DUMMYFUNCTION("""COMPUTED_VALUE"""),"C202611512533720770")</f>
        <v>C202611512533720770</v>
      </c>
      <c r="I339" s="33" t="str">
        <f ca="1">IFERROR(__xludf.DUMMYFUNCTION("""COMPUTED_VALUE"""),"IVAN CVETANOV CVETANOV")</f>
        <v>IVAN CVETANOV CVETANOV</v>
      </c>
      <c r="J339" s="57">
        <f ca="1">IFERROR(__xludf.DUMMYFUNCTION("""COMPUTED_VALUE"""),46037)</f>
        <v>46037</v>
      </c>
      <c r="K339" s="33" t="str">
        <f ca="1">IFERROR(__xludf.DUMMYFUNCTION("""COMPUTED_VALUE"""),"Factura audífonos")</f>
        <v>Factura audífonos</v>
      </c>
      <c r="L339" s="57">
        <f ca="1">IFERROR(__xludf.DUMMYFUNCTION("""COMPUTED_VALUE"""),46093)</f>
        <v>46093</v>
      </c>
      <c r="M339" s="64" t="str">
        <f ca="1">IFERROR(__xludf.DUMMYFUNCTION("""COMPUTED_VALUE"""),"NO")</f>
        <v>NO</v>
      </c>
      <c r="N339" s="56">
        <f ca="1">IFERROR(__xludf.DUMMYFUNCTION("""COMPUTED_VALUE"""),2)</f>
        <v>2</v>
      </c>
      <c r="O339" s="64" t="str">
        <f ca="1">IFERROR(__xludf.DUMMYFUNCTION("""COMPUTED_VALUE"""),"ADVANCED")</f>
        <v>ADVANCED</v>
      </c>
      <c r="P339" s="62">
        <f ca="1">IFERROR(__xludf.DUMMYFUNCTION("""COMPUTED_VALUE"""),4136.36)</f>
        <v>4136.3599999999997</v>
      </c>
      <c r="Q339" s="33" t="str">
        <f ca="1">IFERROR(__xludf.DUMMYFUNCTION("""COMPUTED_VALUE"""),"Ramon Ferrando")</f>
        <v>Ramon Ferrando</v>
      </c>
      <c r="R339" s="33" t="str">
        <f ca="1">IFERROR(__xludf.DUMMYFUNCTION("""COMPUTED_VALUE"""),"Isabel Polo Tomás")</f>
        <v>Isabel Polo Tomás</v>
      </c>
      <c r="S339" s="61" t="str">
        <f ca="1">IFERROR(__xludf.DUMMYFUNCTION("""COMPUTED_VALUE"""),"03 ORL")</f>
        <v>03 ORL</v>
      </c>
      <c r="T339" s="33" t="str">
        <f ca="1">IFERROR(__xludf.DUMMYFUNCTION("""COMPUTED_VALUE"""),"06 ORL")</f>
        <v>06 ORL</v>
      </c>
      <c r="U339" s="62"/>
      <c r="W339" s="62"/>
      <c r="X339" s="62"/>
    </row>
    <row r="340" spans="2:24" ht="16">
      <c r="B340" s="55" t="str">
        <f t="shared" ca="1" si="1"/>
        <v>MBM</v>
      </c>
      <c r="C340" s="64" t="str">
        <f ca="1">IFERROR(__xludf.DUMMYFUNCTION("""COMPUTED_VALUE"""),"MBM149")</f>
        <v>MBM149</v>
      </c>
      <c r="D340" s="33" t="str">
        <f ca="1">IFERROR(__xludf.DUMMYFUNCTION("""COMPUTED_VALUE"""),"PROPIOS")</f>
        <v>PROPIOS</v>
      </c>
      <c r="E340" s="33">
        <f ca="1">IFERROR(__xludf.DUMMYFUNCTION("""COMPUTED_VALUE"""),2026)</f>
        <v>2026</v>
      </c>
      <c r="F340" s="56">
        <f ca="1">IFERROR(__xludf.DUMMYFUNCTION("""COMPUTED_VALUE"""),3)</f>
        <v>3</v>
      </c>
      <c r="G340" s="33" t="str">
        <f ca="1">IFERROR(__xludf.DUMMYFUNCTION("""COMPUTED_VALUE"""),"Fuenlabrada")</f>
        <v>Fuenlabrada</v>
      </c>
      <c r="H340" s="33" t="str">
        <f ca="1">IFERROR(__xludf.DUMMYFUNCTION("""COMPUTED_VALUE"""),"C20262316461416241")</f>
        <v>C20262316461416241</v>
      </c>
      <c r="I340" s="33" t="str">
        <f ca="1">IFERROR(__xludf.DUMMYFUNCTION("""COMPUTED_VALUE"""),"JESUS  LOPEZ ROMOJARO")</f>
        <v>JESUS  LOPEZ ROMOJARO</v>
      </c>
      <c r="J340" s="57">
        <f ca="1">IFERROR(__xludf.DUMMYFUNCTION("""COMPUTED_VALUE"""),46056)</f>
        <v>46056</v>
      </c>
      <c r="K340" s="33" t="str">
        <f ca="1">IFERROR(__xludf.DUMMYFUNCTION("""COMPUTED_VALUE"""),"Factura audífonos")</f>
        <v>Factura audífonos</v>
      </c>
      <c r="L340" s="57">
        <f ca="1">IFERROR(__xludf.DUMMYFUNCTION("""COMPUTED_VALUE"""),46093)</f>
        <v>46093</v>
      </c>
      <c r="M340" s="64" t="str">
        <f ca="1">IFERROR(__xludf.DUMMYFUNCTION("""COMPUTED_VALUE"""),"NO")</f>
        <v>NO</v>
      </c>
      <c r="N340" s="56">
        <f ca="1">IFERROR(__xludf.DUMMYFUNCTION("""COMPUTED_VALUE"""),2)</f>
        <v>2</v>
      </c>
      <c r="O340" s="64" t="str">
        <f ca="1">IFERROR(__xludf.DUMMYFUNCTION("""COMPUTED_VALUE"""),"CONFORT")</f>
        <v>CONFORT</v>
      </c>
      <c r="P340" s="62">
        <f ca="1">IFERROR(__xludf.DUMMYFUNCTION("""COMPUTED_VALUE"""),3450)</f>
        <v>3450</v>
      </c>
      <c r="Q340" s="33" t="str">
        <f ca="1">IFERROR(__xludf.DUMMYFUNCTION("""COMPUTED_VALUE"""),"Maika Blázquez")</f>
        <v>Maika Blázquez</v>
      </c>
      <c r="R340" s="33" t="str">
        <f ca="1">IFERROR(__xludf.DUMMYFUNCTION("""COMPUTED_VALUE"""),"María Garrote Garrote")</f>
        <v>María Garrote Garrote</v>
      </c>
      <c r="S340" s="61" t="str">
        <f ca="1">IFERROR(__xludf.DUMMYFUNCTION("""COMPUTED_VALUE"""),"03 ORL")</f>
        <v>03 ORL</v>
      </c>
      <c r="T340" s="33" t="str">
        <f ca="1">IFERROR(__xludf.DUMMYFUNCTION("""COMPUTED_VALUE"""),"06 ORL")</f>
        <v>06 ORL</v>
      </c>
      <c r="U340" s="62"/>
      <c r="W340" s="62"/>
      <c r="X340" s="62"/>
    </row>
    <row r="341" spans="2:24" ht="16">
      <c r="B341" s="55" t="str">
        <f t="shared" ca="1" si="1"/>
        <v>MBM</v>
      </c>
      <c r="C341" s="64" t="str">
        <f ca="1">IFERROR(__xludf.DUMMYFUNCTION("""COMPUTED_VALUE"""),"MBM43")</f>
        <v>MBM43</v>
      </c>
      <c r="D341" s="33" t="str">
        <f ca="1">IFERROR(__xludf.DUMMYFUNCTION("""COMPUTED_VALUE"""),"PROPIOS")</f>
        <v>PROPIOS</v>
      </c>
      <c r="E341" s="33">
        <f ca="1">IFERROR(__xludf.DUMMYFUNCTION("""COMPUTED_VALUE"""),2026)</f>
        <v>2026</v>
      </c>
      <c r="F341" s="56">
        <f ca="1">IFERROR(__xludf.DUMMYFUNCTION("""COMPUTED_VALUE"""),3)</f>
        <v>3</v>
      </c>
      <c r="G341" s="33" t="str">
        <f ca="1">IFERROR(__xludf.DUMMYFUNCTION("""COMPUTED_VALUE"""),"Leganés")</f>
        <v>Leganés</v>
      </c>
      <c r="H341" s="33" t="str">
        <f ca="1">IFERROR(__xludf.DUMMYFUNCTION("""COMPUTED_VALUE"""),"C202622164039316792")</f>
        <v>C202622164039316792</v>
      </c>
      <c r="I341" s="33" t="str">
        <f ca="1">IFERROR(__xludf.DUMMYFUNCTION("""COMPUTED_VALUE"""),"ROSARIO SUAREZ LLAMAS")</f>
        <v>ROSARIO SUAREZ LLAMAS</v>
      </c>
      <c r="J341" s="57">
        <f ca="1">IFERROR(__xludf.DUMMYFUNCTION("""COMPUTED_VALUE"""),46055)</f>
        <v>46055</v>
      </c>
      <c r="K341" s="33" t="str">
        <f ca="1">IFERROR(__xludf.DUMMYFUNCTION("""COMPUTED_VALUE"""),"Factura audífonos")</f>
        <v>Factura audífonos</v>
      </c>
      <c r="L341" s="57">
        <f ca="1">IFERROR(__xludf.DUMMYFUNCTION("""COMPUTED_VALUE"""),46093)</f>
        <v>46093</v>
      </c>
      <c r="M341" s="64" t="str">
        <f ca="1">IFERROR(__xludf.DUMMYFUNCTION("""COMPUTED_VALUE"""),"NO")</f>
        <v>NO</v>
      </c>
      <c r="N341" s="56">
        <f ca="1">IFERROR(__xludf.DUMMYFUNCTION("""COMPUTED_VALUE"""),2)</f>
        <v>2</v>
      </c>
      <c r="O341" s="64" t="str">
        <f ca="1">IFERROR(__xludf.DUMMYFUNCTION("""COMPUTED_VALUE"""),"QUIET")</f>
        <v>QUIET</v>
      </c>
      <c r="P341" s="62">
        <f ca="1">IFERROR(__xludf.DUMMYFUNCTION("""COMPUTED_VALUE"""),2718.18)</f>
        <v>2718.18</v>
      </c>
      <c r="Q341" s="33" t="str">
        <f ca="1">IFERROR(__xludf.DUMMYFUNCTION("""COMPUTED_VALUE"""),"Maika Blázquez")</f>
        <v>Maika Blázquez</v>
      </c>
      <c r="R341" s="33" t="str">
        <f ca="1">IFERROR(__xludf.DUMMYFUNCTION("""COMPUTED_VALUE"""),"Jesús Ramos Fernández")</f>
        <v>Jesús Ramos Fernández</v>
      </c>
      <c r="S341" s="61" t="str">
        <f ca="1">IFERROR(__xludf.DUMMYFUNCTION("""COMPUTED_VALUE"""),"03 ORL")</f>
        <v>03 ORL</v>
      </c>
      <c r="T341" s="33" t="str">
        <f ca="1">IFERROR(__xludf.DUMMYFUNCTION("""COMPUTED_VALUE"""),"06 ORL")</f>
        <v>06 ORL</v>
      </c>
      <c r="U341" s="62"/>
      <c r="W341" s="62"/>
      <c r="X341" s="62"/>
    </row>
    <row r="342" spans="2:24" ht="16">
      <c r="B342" s="55" t="str">
        <f t="shared" si="1"/>
        <v/>
      </c>
      <c r="C342" s="64"/>
      <c r="D342" s="33" t="str">
        <f ca="1">IFERROR(__xludf.DUMMYFUNCTION("""COMPUTED_VALUE"""),"PROPIOS")</f>
        <v>PROPIOS</v>
      </c>
      <c r="E342" s="33">
        <f ca="1">IFERROR(__xludf.DUMMYFUNCTION("""COMPUTED_VALUE"""),2026)</f>
        <v>2026</v>
      </c>
      <c r="F342" s="56">
        <f ca="1">IFERROR(__xludf.DUMMYFUNCTION("""COMPUTED_VALUE"""),3)</f>
        <v>3</v>
      </c>
      <c r="G342" s="33" t="str">
        <f ca="1">IFERROR(__xludf.DUMMYFUNCTION("""COMPUTED_VALUE"""),"Leganés")</f>
        <v>Leganés</v>
      </c>
      <c r="H342" s="33" t="str">
        <f ca="1">IFERROR(__xludf.DUMMYFUNCTION("""COMPUTED_VALUE"""),"C202621016352397078")</f>
        <v>C202621016352397078</v>
      </c>
      <c r="I342" s="33" t="str">
        <f ca="1">IFERROR(__xludf.DUMMYFUNCTION("""COMPUTED_VALUE"""),"EUSTAQUIO MARTIN RODRIGUEZ")</f>
        <v>EUSTAQUIO MARTIN RODRIGUEZ</v>
      </c>
      <c r="J342" s="57">
        <f ca="1">IFERROR(__xludf.DUMMYFUNCTION("""COMPUTED_VALUE"""),46063)</f>
        <v>46063</v>
      </c>
      <c r="K342" s="33" t="str">
        <f ca="1">IFERROR(__xludf.DUMMYFUNCTION("""COMPUTED_VALUE"""),"Factura audífonos")</f>
        <v>Factura audífonos</v>
      </c>
      <c r="L342" s="57">
        <f ca="1">IFERROR(__xludf.DUMMYFUNCTION("""COMPUTED_VALUE"""),46093)</f>
        <v>46093</v>
      </c>
      <c r="M342" s="64" t="str">
        <f ca="1">IFERROR(__xludf.DUMMYFUNCTION("""COMPUTED_VALUE"""),"NO")</f>
        <v>NO</v>
      </c>
      <c r="N342" s="56">
        <f ca="1">IFERROR(__xludf.DUMMYFUNCTION("""COMPUTED_VALUE"""),1)</f>
        <v>1</v>
      </c>
      <c r="O342" s="64" t="str">
        <f ca="1">IFERROR(__xludf.DUMMYFUNCTION("""COMPUTED_VALUE"""),"ADVANCED")</f>
        <v>ADVANCED</v>
      </c>
      <c r="P342" s="62">
        <f ca="1">IFERROR(__xludf.DUMMYFUNCTION("""COMPUTED_VALUE"""),2071.82)</f>
        <v>2071.8200000000002</v>
      </c>
      <c r="Q342" s="33" t="str">
        <f ca="1">IFERROR(__xludf.DUMMYFUNCTION("""COMPUTED_VALUE"""),"Maika Blázquez")</f>
        <v>Maika Blázquez</v>
      </c>
      <c r="R342" s="33" t="str">
        <f ca="1">IFERROR(__xludf.DUMMYFUNCTION("""COMPUTED_VALUE"""),"No recuerda ORL")</f>
        <v>No recuerda ORL</v>
      </c>
      <c r="S342" s="61" t="str">
        <f ca="1">IFERROR(__xludf.DUMMYFUNCTION("""COMPUTED_VALUE"""),"03 ORL")</f>
        <v>03 ORL</v>
      </c>
      <c r="T342" s="33" t="str">
        <f ca="1">IFERROR(__xludf.DUMMYFUNCTION("""COMPUTED_VALUE"""),"06 ORL")</f>
        <v>06 ORL</v>
      </c>
      <c r="U342" s="62"/>
      <c r="W342" s="62"/>
      <c r="X342" s="62"/>
    </row>
    <row r="343" spans="2:24" ht="16">
      <c r="B343" s="55" t="str">
        <f t="shared" ca="1" si="1"/>
        <v>MBM</v>
      </c>
      <c r="C343" s="64" t="str">
        <f ca="1">IFERROR(__xludf.DUMMYFUNCTION("""COMPUTED_VALUE"""),"MBM119")</f>
        <v>MBM119</v>
      </c>
      <c r="D343" s="33" t="str">
        <f ca="1">IFERROR(__xludf.DUMMYFUNCTION("""COMPUTED_VALUE"""),"PARTICIPADOS")</f>
        <v>PARTICIPADOS</v>
      </c>
      <c r="E343" s="33">
        <f ca="1">IFERROR(__xludf.DUMMYFUNCTION("""COMPUTED_VALUE"""),2026)</f>
        <v>2026</v>
      </c>
      <c r="F343" s="56">
        <f ca="1">IFERROR(__xludf.DUMMYFUNCTION("""COMPUTED_VALUE"""),3)</f>
        <v>3</v>
      </c>
      <c r="G343" s="33" t="str">
        <f ca="1">IFERROR(__xludf.DUMMYFUNCTION("""COMPUTED_VALUE"""),"Madrid- La Oca")</f>
        <v>Madrid- La Oca</v>
      </c>
      <c r="H343" s="33" t="str">
        <f ca="1">IFERROR(__xludf.DUMMYFUNCTION("""COMPUTED_VALUE"""),"C20262161005416181")</f>
        <v>C20262161005416181</v>
      </c>
      <c r="I343" s="33" t="str">
        <f ca="1">IFERROR(__xludf.DUMMYFUNCTION("""COMPUTED_VALUE"""),"JOSEFA SANCHEZ LILLO")</f>
        <v>JOSEFA SANCHEZ LILLO</v>
      </c>
      <c r="J343" s="57">
        <f ca="1">IFERROR(__xludf.DUMMYFUNCTION("""COMPUTED_VALUE"""),46069)</f>
        <v>46069</v>
      </c>
      <c r="K343" s="33" t="str">
        <f ca="1">IFERROR(__xludf.DUMMYFUNCTION("""COMPUTED_VALUE"""),"Factura audífonos")</f>
        <v>Factura audífonos</v>
      </c>
      <c r="L343" s="57">
        <f ca="1">IFERROR(__xludf.DUMMYFUNCTION("""COMPUTED_VALUE"""),46093)</f>
        <v>46093</v>
      </c>
      <c r="M343" s="64" t="str">
        <f ca="1">IFERROR(__xludf.DUMMYFUNCTION("""COMPUTED_VALUE"""),"NO")</f>
        <v>NO</v>
      </c>
      <c r="N343" s="56">
        <f ca="1">IFERROR(__xludf.DUMMYFUNCTION("""COMPUTED_VALUE"""),2)</f>
        <v>2</v>
      </c>
      <c r="O343" s="64" t="str">
        <f ca="1">IFERROR(__xludf.DUMMYFUNCTION("""COMPUTED_VALUE"""),"QUIET")</f>
        <v>QUIET</v>
      </c>
      <c r="P343" s="62">
        <f ca="1">IFERROR(__xludf.DUMMYFUNCTION("""COMPUTED_VALUE"""),2718.18)</f>
        <v>2718.18</v>
      </c>
      <c r="Q343" s="33" t="str">
        <f ca="1">IFERROR(__xludf.DUMMYFUNCTION("""COMPUTED_VALUE"""),"Maika Blázquez")</f>
        <v>Maika Blázquez</v>
      </c>
      <c r="R343" s="33" t="str">
        <f ca="1">IFERROR(__xludf.DUMMYFUNCTION("""COMPUTED_VALUE"""),"Inmaculada Sancho Martín")</f>
        <v>Inmaculada Sancho Martín</v>
      </c>
      <c r="S343" s="61" t="str">
        <f ca="1">IFERROR(__xludf.DUMMYFUNCTION("""COMPUTED_VALUE"""),"03 ORL")</f>
        <v>03 ORL</v>
      </c>
      <c r="T343" s="33" t="str">
        <f ca="1">IFERROR(__xludf.DUMMYFUNCTION("""COMPUTED_VALUE"""),"06 ORL")</f>
        <v>06 ORL</v>
      </c>
      <c r="U343" s="62"/>
      <c r="W343" s="62"/>
      <c r="X343" s="62"/>
    </row>
    <row r="344" spans="2:24" ht="16">
      <c r="B344" s="55" t="str">
        <f t="shared" si="1"/>
        <v/>
      </c>
      <c r="C344" s="64"/>
      <c r="D344" s="33" t="str">
        <f ca="1">IFERROR(__xludf.DUMMYFUNCTION("""COMPUTED_VALUE"""),"PARTICIPADOS")</f>
        <v>PARTICIPADOS</v>
      </c>
      <c r="E344" s="33">
        <f ca="1">IFERROR(__xludf.DUMMYFUNCTION("""COMPUTED_VALUE"""),2026)</f>
        <v>2026</v>
      </c>
      <c r="F344" s="56">
        <f ca="1">IFERROR(__xludf.DUMMYFUNCTION("""COMPUTED_VALUE"""),3)</f>
        <v>3</v>
      </c>
      <c r="G344" s="33" t="str">
        <f ca="1">IFERROR(__xludf.DUMMYFUNCTION("""COMPUTED_VALUE"""),"Ourense")</f>
        <v>Ourense</v>
      </c>
      <c r="H344" s="33" t="str">
        <f ca="1">IFERROR(__xludf.DUMMYFUNCTION("""COMPUTED_VALUE"""),"C202612394246602895")</f>
        <v>C202612394246602895</v>
      </c>
      <c r="I344" s="33" t="str">
        <f ca="1">IFERROR(__xludf.DUMMYFUNCTION("""COMPUTED_VALUE"""),"MANUEL ARIAS FERNANDEZ")</f>
        <v>MANUEL ARIAS FERNANDEZ</v>
      </c>
      <c r="J344" s="57">
        <f ca="1">IFERROR(__xludf.DUMMYFUNCTION("""COMPUTED_VALUE"""),46045)</f>
        <v>46045</v>
      </c>
      <c r="K344" s="33" t="str">
        <f ca="1">IFERROR(__xludf.DUMMYFUNCTION("""COMPUTED_VALUE"""),"Factura audífonos")</f>
        <v>Factura audífonos</v>
      </c>
      <c r="L344" s="57">
        <f ca="1">IFERROR(__xludf.DUMMYFUNCTION("""COMPUTED_VALUE"""),46093)</f>
        <v>46093</v>
      </c>
      <c r="M344" s="64" t="str">
        <f ca="1">IFERROR(__xludf.DUMMYFUNCTION("""COMPUTED_VALUE"""),"NO")</f>
        <v>NO</v>
      </c>
      <c r="N344" s="56">
        <f ca="1">IFERROR(__xludf.DUMMYFUNCTION("""COMPUTED_VALUE"""),2)</f>
        <v>2</v>
      </c>
      <c r="O344" s="64" t="str">
        <f ca="1">IFERROR(__xludf.DUMMYFUNCTION("""COMPUTED_VALUE"""),"ADVANCED")</f>
        <v>ADVANCED</v>
      </c>
      <c r="P344" s="62">
        <f ca="1">IFERROR(__xludf.DUMMYFUNCTION("""COMPUTED_VALUE"""),4112.5)</f>
        <v>4112.5</v>
      </c>
      <c r="Q344" s="33" t="str">
        <f ca="1">IFERROR(__xludf.DUMMYFUNCTION("""COMPUTED_VALUE"""),"Kiko Ortega")</f>
        <v>Kiko Ortega</v>
      </c>
      <c r="R344" s="33" t="str">
        <f ca="1">IFERROR(__xludf.DUMMYFUNCTION("""COMPUTED_VALUE"""),"No recuerda ORL")</f>
        <v>No recuerda ORL</v>
      </c>
      <c r="S344" s="61" t="str">
        <f ca="1">IFERROR(__xludf.DUMMYFUNCTION("""COMPUTED_VALUE"""),"03 ORL")</f>
        <v>03 ORL</v>
      </c>
      <c r="T344" s="33" t="str">
        <f ca="1">IFERROR(__xludf.DUMMYFUNCTION("""COMPUTED_VALUE"""),"06 ORL")</f>
        <v>06 ORL</v>
      </c>
      <c r="U344" s="62"/>
      <c r="W344" s="62"/>
      <c r="X344" s="62"/>
    </row>
    <row r="345" spans="2:24" ht="16">
      <c r="B345" s="55" t="str">
        <f t="shared" ca="1" si="1"/>
        <v>MBM</v>
      </c>
      <c r="C345" s="64" t="str">
        <f ca="1">IFERROR(__xludf.DUMMYFUNCTION("""COMPUTED_VALUE"""),"MBM186")</f>
        <v>MBM186</v>
      </c>
      <c r="D345" s="33" t="str">
        <f ca="1">IFERROR(__xludf.DUMMYFUNCTION("""COMPUTED_VALUE"""),"PROPIOS")</f>
        <v>PROPIOS</v>
      </c>
      <c r="E345" s="33">
        <f ca="1">IFERROR(__xludf.DUMMYFUNCTION("""COMPUTED_VALUE"""),2026)</f>
        <v>2026</v>
      </c>
      <c r="F345" s="56">
        <f ca="1">IFERROR(__xludf.DUMMYFUNCTION("""COMPUTED_VALUE"""),3)</f>
        <v>3</v>
      </c>
      <c r="G345" s="33" t="str">
        <f ca="1">IFERROR(__xludf.DUMMYFUNCTION("""COMPUTED_VALUE"""),"Torrejón de Ardoz")</f>
        <v>Torrejón de Ardoz</v>
      </c>
      <c r="H345" s="33" t="str">
        <f ca="1">IFERROR(__xludf.DUMMYFUNCTION("""COMPUTED_VALUE"""),"C202512292241175146")</f>
        <v>C202512292241175146</v>
      </c>
      <c r="I345" s="33" t="str">
        <f ca="1">IFERROR(__xludf.DUMMYFUNCTION("""COMPUTED_VALUE"""),"MARIA ISABEL BURGOS GUERRERO")</f>
        <v>MARIA ISABEL BURGOS GUERRERO</v>
      </c>
      <c r="J345" s="57">
        <f ca="1">IFERROR(__xludf.DUMMYFUNCTION("""COMPUTED_VALUE"""),45993)</f>
        <v>45993</v>
      </c>
      <c r="K345" s="33" t="str">
        <f ca="1">IFERROR(__xludf.DUMMYFUNCTION("""COMPUTED_VALUE"""),"Factura audífonos")</f>
        <v>Factura audífonos</v>
      </c>
      <c r="L345" s="57">
        <f ca="1">IFERROR(__xludf.DUMMYFUNCTION("""COMPUTED_VALUE"""),46093)</f>
        <v>46093</v>
      </c>
      <c r="M345" s="64" t="str">
        <f ca="1">IFERROR(__xludf.DUMMYFUNCTION("""COMPUTED_VALUE"""),"NO")</f>
        <v>NO</v>
      </c>
      <c r="N345" s="56">
        <f ca="1">IFERROR(__xludf.DUMMYFUNCTION("""COMPUTED_VALUE"""),1)</f>
        <v>1</v>
      </c>
      <c r="O345" s="64" t="str">
        <f ca="1">IFERROR(__xludf.DUMMYFUNCTION("""COMPUTED_VALUE"""),"ADVANCED")</f>
        <v>ADVANCED</v>
      </c>
      <c r="P345" s="62">
        <f ca="1">IFERROR(__xludf.DUMMYFUNCTION("""COMPUTED_VALUE"""),2481.82)</f>
        <v>2481.8200000000002</v>
      </c>
      <c r="Q345" s="33" t="str">
        <f ca="1">IFERROR(__xludf.DUMMYFUNCTION("""COMPUTED_VALUE"""),"Maika Blázquez")</f>
        <v>Maika Blázquez</v>
      </c>
      <c r="R345" s="33" t="str">
        <f ca="1">IFERROR(__xludf.DUMMYFUNCTION("""COMPUTED_VALUE"""),"Marta Abad Pascual")</f>
        <v>Marta Abad Pascual</v>
      </c>
      <c r="S345" s="61" t="str">
        <f ca="1">IFERROR(__xludf.DUMMYFUNCTION("""COMPUTED_VALUE"""),"03 ORL")</f>
        <v>03 ORL</v>
      </c>
      <c r="T345" s="33" t="str">
        <f ca="1">IFERROR(__xludf.DUMMYFUNCTION("""COMPUTED_VALUE"""),"06 ORL")</f>
        <v>06 ORL</v>
      </c>
      <c r="U345" s="62"/>
      <c r="W345" s="62"/>
      <c r="X345" s="62"/>
    </row>
    <row r="346" spans="2:24" ht="16">
      <c r="B346" s="55" t="str">
        <f t="shared" ca="1" si="1"/>
        <v>PSC</v>
      </c>
      <c r="C346" s="64" t="str">
        <f ca="1">IFERROR(__xludf.DUMMYFUNCTION("""COMPUTED_VALUE"""),"PSC06")</f>
        <v>PSC06</v>
      </c>
      <c r="D346" s="33" t="str">
        <f ca="1">IFERROR(__xludf.DUMMYFUNCTION("""COMPUTED_VALUE"""),"ASOCIADOS")</f>
        <v>ASOCIADOS</v>
      </c>
      <c r="E346" s="33">
        <f ca="1">IFERROR(__xludf.DUMMYFUNCTION("""COMPUTED_VALUE"""),2026)</f>
        <v>2026</v>
      </c>
      <c r="F346" s="56">
        <f ca="1">IFERROR(__xludf.DUMMYFUNCTION("""COMPUTED_VALUE"""),3)</f>
        <v>3</v>
      </c>
      <c r="G346" s="33" t="str">
        <f ca="1">IFERROR(__xludf.DUMMYFUNCTION("""COMPUTED_VALUE"""),"Valladolid")</f>
        <v>Valladolid</v>
      </c>
      <c r="H346" s="33" t="str">
        <f ca="1">IFERROR(__xludf.DUMMYFUNCTION("""COMPUTED_VALUE"""),"C202612711165063565")</f>
        <v>C202612711165063565</v>
      </c>
      <c r="I346" s="33" t="str">
        <f ca="1">IFERROR(__xludf.DUMMYFUNCTION("""COMPUTED_VALUE"""),"RAMIRO SANDONIS ZORITA")</f>
        <v>RAMIRO SANDONIS ZORITA</v>
      </c>
      <c r="J346" s="57">
        <f ca="1">IFERROR(__xludf.DUMMYFUNCTION("""COMPUTED_VALUE"""),46049)</f>
        <v>46049</v>
      </c>
      <c r="K346" s="33" t="str">
        <f ca="1">IFERROR(__xludf.DUMMYFUNCTION("""COMPUTED_VALUE"""),"Factura audífonos")</f>
        <v>Factura audífonos</v>
      </c>
      <c r="L346" s="57">
        <f ca="1">IFERROR(__xludf.DUMMYFUNCTION("""COMPUTED_VALUE"""),46093)</f>
        <v>46093</v>
      </c>
      <c r="M346" s="64" t="str">
        <f ca="1">IFERROR(__xludf.DUMMYFUNCTION("""COMPUTED_VALUE"""),"NO")</f>
        <v>NO</v>
      </c>
      <c r="N346" s="56">
        <f ca="1">IFERROR(__xludf.DUMMYFUNCTION("""COMPUTED_VALUE"""),2)</f>
        <v>2</v>
      </c>
      <c r="O346" s="64" t="str">
        <f ca="1">IFERROR(__xludf.DUMMYFUNCTION("""COMPUTED_VALUE"""),"ADVANCED")</f>
        <v>ADVANCED</v>
      </c>
      <c r="P346" s="62">
        <f ca="1">IFERROR(__xludf.DUMMYFUNCTION("""COMPUTED_VALUE"""),3977.27)</f>
        <v>3977.27</v>
      </c>
      <c r="Q346" s="33" t="str">
        <f ca="1">IFERROR(__xludf.DUMMYFUNCTION("""COMPUTED_VALUE"""),"Alberto Moreno")</f>
        <v>Alberto Moreno</v>
      </c>
      <c r="R346" s="33" t="str">
        <f ca="1">IFERROR(__xludf.DUMMYFUNCTION("""COMPUTED_VALUE"""),"Carlos Miguel Salvador Martínez")</f>
        <v>Carlos Miguel Salvador Martínez</v>
      </c>
      <c r="S346" s="61" t="str">
        <f ca="1">IFERROR(__xludf.DUMMYFUNCTION("""COMPUTED_VALUE"""),"03 ORL")</f>
        <v>03 ORL</v>
      </c>
      <c r="T346" s="33" t="str">
        <f ca="1">IFERROR(__xludf.DUMMYFUNCTION("""COMPUTED_VALUE"""),"06 ORL")</f>
        <v>06 ORL</v>
      </c>
      <c r="U346" s="62"/>
      <c r="W346" s="62"/>
      <c r="X346" s="62"/>
    </row>
    <row r="347" spans="2:24" ht="16">
      <c r="B347" s="55" t="str">
        <f t="shared" ca="1" si="1"/>
        <v>LRM</v>
      </c>
      <c r="C347" s="64" t="str">
        <f ca="1">IFERROR(__xludf.DUMMYFUNCTION("""COMPUTED_VALUE"""),"LRM56")</f>
        <v>LRM56</v>
      </c>
      <c r="D347" s="33" t="str">
        <f ca="1">IFERROR(__xludf.DUMMYFUNCTION("""COMPUTED_VALUE"""),"ASOCIADOS")</f>
        <v>ASOCIADOS</v>
      </c>
      <c r="E347" s="33">
        <f ca="1">IFERROR(__xludf.DUMMYFUNCTION("""COMPUTED_VALUE"""),2026)</f>
        <v>2026</v>
      </c>
      <c r="F347" s="56">
        <f ca="1">IFERROR(__xludf.DUMMYFUNCTION("""COMPUTED_VALUE"""),3)</f>
        <v>3</v>
      </c>
      <c r="G347" s="33" t="str">
        <f ca="1">IFERROR(__xludf.DUMMYFUNCTION("""COMPUTED_VALUE"""),"Zaragoza- León XIII")</f>
        <v>Zaragoza- León XIII</v>
      </c>
      <c r="H347" s="33" t="str">
        <f ca="1">IFERROR(__xludf.DUMMYFUNCTION("""COMPUTED_VALUE"""),"C202621015561480898")</f>
        <v>C202621015561480898</v>
      </c>
      <c r="I347" s="33" t="str">
        <f ca="1">IFERROR(__xludf.DUMMYFUNCTION("""COMPUTED_VALUE"""),"JOSÉ GARCÍA AMORÓS")</f>
        <v>JOSÉ GARCÍA AMORÓS</v>
      </c>
      <c r="J347" s="57">
        <f ca="1">IFERROR(__xludf.DUMMYFUNCTION("""COMPUTED_VALUE"""),46063)</f>
        <v>46063</v>
      </c>
      <c r="K347" s="33" t="str">
        <f ca="1">IFERROR(__xludf.DUMMYFUNCTION("""COMPUTED_VALUE"""),"Factura audífonos")</f>
        <v>Factura audífonos</v>
      </c>
      <c r="L347" s="57">
        <f ca="1">IFERROR(__xludf.DUMMYFUNCTION("""COMPUTED_VALUE"""),46093)</f>
        <v>46093</v>
      </c>
      <c r="M347" s="64" t="str">
        <f ca="1">IFERROR(__xludf.DUMMYFUNCTION("""COMPUTED_VALUE"""),"NO")</f>
        <v>NO</v>
      </c>
      <c r="N347" s="56">
        <f ca="1">IFERROR(__xludf.DUMMYFUNCTION("""COMPUTED_VALUE"""),2)</f>
        <v>2</v>
      </c>
      <c r="O347" s="64" t="str">
        <f ca="1">IFERROR(__xludf.DUMMYFUNCTION("""COMPUTED_VALUE"""),"CONFORT")</f>
        <v>CONFORT</v>
      </c>
      <c r="P347" s="62">
        <f ca="1">IFERROR(__xludf.DUMMYFUNCTION("""COMPUTED_VALUE"""),3627.27)</f>
        <v>3627.27</v>
      </c>
      <c r="Q347" s="33" t="str">
        <f ca="1">IFERROR(__xludf.DUMMYFUNCTION("""COMPUTED_VALUE"""),"Ignacio Berdejo")</f>
        <v>Ignacio Berdejo</v>
      </c>
      <c r="R347" s="33" t="str">
        <f ca="1">IFERROR(__xludf.DUMMYFUNCTION("""COMPUTED_VALUE"""),"Jaime Leache Pueyo")</f>
        <v>Jaime Leache Pueyo</v>
      </c>
      <c r="S347" s="61" t="str">
        <f ca="1">IFERROR(__xludf.DUMMYFUNCTION("""COMPUTED_VALUE"""),"03 ORL")</f>
        <v>03 ORL</v>
      </c>
      <c r="T347" s="33" t="str">
        <f ca="1">IFERROR(__xludf.DUMMYFUNCTION("""COMPUTED_VALUE"""),"06 ORL")</f>
        <v>06 ORL</v>
      </c>
      <c r="U347" s="62"/>
      <c r="W347" s="62"/>
      <c r="X347" s="62"/>
    </row>
    <row r="348" spans="2:24" ht="16">
      <c r="B348" s="55" t="str">
        <f t="shared" ca="1" si="1"/>
        <v>MBM</v>
      </c>
      <c r="C348" s="64" t="str">
        <f ca="1">IFERROR(__xludf.DUMMYFUNCTION("""COMPUTED_VALUE"""),"MBM111")</f>
        <v>MBM111</v>
      </c>
      <c r="D348" s="33" t="str">
        <f ca="1">IFERROR(__xludf.DUMMYFUNCTION("""COMPUTED_VALUE"""),"PROPIOS")</f>
        <v>PROPIOS</v>
      </c>
      <c r="E348" s="33">
        <f ca="1">IFERROR(__xludf.DUMMYFUNCTION("""COMPUTED_VALUE"""),2026)</f>
        <v>2026</v>
      </c>
      <c r="F348" s="56">
        <f ca="1">IFERROR(__xludf.DUMMYFUNCTION("""COMPUTED_VALUE"""),3)</f>
        <v>3</v>
      </c>
      <c r="G348" s="33" t="str">
        <f ca="1">IFERROR(__xludf.DUMMYFUNCTION("""COMPUTED_VALUE"""),"Fuenlabrada")</f>
        <v>Fuenlabrada</v>
      </c>
      <c r="H348" s="33" t="str">
        <f ca="1">IFERROR(__xludf.DUMMYFUNCTION("""COMPUTED_VALUE"""),"C202621011101747504")</f>
        <v>C202621011101747504</v>
      </c>
      <c r="I348" s="33" t="str">
        <f ca="1">IFERROR(__xludf.DUMMYFUNCTION("""COMPUTED_VALUE"""),"VICTORIANA GOMEZ DIAZ")</f>
        <v>VICTORIANA GOMEZ DIAZ</v>
      </c>
      <c r="J348" s="57">
        <f ca="1">IFERROR(__xludf.DUMMYFUNCTION("""COMPUTED_VALUE"""),46063)</f>
        <v>46063</v>
      </c>
      <c r="K348" s="33" t="str">
        <f ca="1">IFERROR(__xludf.DUMMYFUNCTION("""COMPUTED_VALUE"""),"Factura audífonos")</f>
        <v>Factura audífonos</v>
      </c>
      <c r="L348" s="57">
        <f ca="1">IFERROR(__xludf.DUMMYFUNCTION("""COMPUTED_VALUE"""),46094)</f>
        <v>46094</v>
      </c>
      <c r="M348" s="64" t="str">
        <f ca="1">IFERROR(__xludf.DUMMYFUNCTION("""COMPUTED_VALUE"""),"NO")</f>
        <v>NO</v>
      </c>
      <c r="N348" s="56">
        <f ca="1">IFERROR(__xludf.DUMMYFUNCTION("""COMPUTED_VALUE"""),2)</f>
        <v>2</v>
      </c>
      <c r="O348" s="64" t="str">
        <f ca="1">IFERROR(__xludf.DUMMYFUNCTION("""COMPUTED_VALUE"""),"QUIET")</f>
        <v>QUIET</v>
      </c>
      <c r="P348" s="62">
        <f ca="1">IFERROR(__xludf.DUMMYFUNCTION("""COMPUTED_VALUE"""),2718.19)</f>
        <v>2718.19</v>
      </c>
      <c r="Q348" s="33" t="str">
        <f ca="1">IFERROR(__xludf.DUMMYFUNCTION("""COMPUTED_VALUE"""),"Maika Blázquez")</f>
        <v>Maika Blázquez</v>
      </c>
      <c r="R348" s="33" t="str">
        <f ca="1">IFERROR(__xludf.DUMMYFUNCTION("""COMPUTED_VALUE"""),"Elisabeth Amarillo Espitia")</f>
        <v>Elisabeth Amarillo Espitia</v>
      </c>
      <c r="S348" s="61" t="str">
        <f ca="1">IFERROR(__xludf.DUMMYFUNCTION("""COMPUTED_VALUE"""),"03 ORL")</f>
        <v>03 ORL</v>
      </c>
      <c r="T348" s="33" t="str">
        <f ca="1">IFERROR(__xludf.DUMMYFUNCTION("""COMPUTED_VALUE"""),"06 ORL")</f>
        <v>06 ORL</v>
      </c>
      <c r="U348" s="62"/>
      <c r="W348" s="62"/>
      <c r="X348" s="62"/>
    </row>
    <row r="349" spans="2:24" ht="16">
      <c r="B349" s="55" t="str">
        <f t="shared" ca="1" si="1"/>
        <v>LRM</v>
      </c>
      <c r="C349" s="64" t="str">
        <f ca="1">IFERROR(__xludf.DUMMYFUNCTION("""COMPUTED_VALUE"""),"LRM253")</f>
        <v>LRM253</v>
      </c>
      <c r="D349" s="33" t="str">
        <f ca="1">IFERROR(__xludf.DUMMYFUNCTION("""COMPUTED_VALUE"""),"ASOCIADOS")</f>
        <v>ASOCIADOS</v>
      </c>
      <c r="E349" s="33">
        <f ca="1">IFERROR(__xludf.DUMMYFUNCTION("""COMPUTED_VALUE"""),2026)</f>
        <v>2026</v>
      </c>
      <c r="F349" s="56">
        <f ca="1">IFERROR(__xludf.DUMMYFUNCTION("""COMPUTED_VALUE"""),3)</f>
        <v>3</v>
      </c>
      <c r="G349" s="33" t="str">
        <f ca="1">IFERROR(__xludf.DUMMYFUNCTION("""COMPUTED_VALUE"""),"Cáceres")</f>
        <v>Cáceres</v>
      </c>
      <c r="H349" s="33" t="str">
        <f ca="1">IFERROR(__xludf.DUMMYFUNCTION("""COMPUTED_VALUE"""),"C202622011432399380")</f>
        <v>C202622011432399380</v>
      </c>
      <c r="I349" s="33" t="str">
        <f ca="1">IFERROR(__xludf.DUMMYFUNCTION("""COMPUTED_VALUE"""),"FRANCISCA MENA BERMEJO")</f>
        <v>FRANCISCA MENA BERMEJO</v>
      </c>
      <c r="J349" s="57">
        <f ca="1">IFERROR(__xludf.DUMMYFUNCTION("""COMPUTED_VALUE"""),46073)</f>
        <v>46073</v>
      </c>
      <c r="K349" s="33" t="str">
        <f ca="1">IFERROR(__xludf.DUMMYFUNCTION("""COMPUTED_VALUE"""),"Factura audífonos")</f>
        <v>Factura audífonos</v>
      </c>
      <c r="L349" s="57">
        <f ca="1">IFERROR(__xludf.DUMMYFUNCTION("""COMPUTED_VALUE"""),46094)</f>
        <v>46094</v>
      </c>
      <c r="M349" s="58" t="str">
        <f ca="1">IFERROR(__xludf.DUMMYFUNCTION("""COMPUTED_VALUE"""),"NO")</f>
        <v>NO</v>
      </c>
      <c r="N349" s="56">
        <f ca="1">IFERROR(__xludf.DUMMYFUNCTION("""COMPUTED_VALUE"""),2)</f>
        <v>2</v>
      </c>
      <c r="O349" s="64" t="str">
        <f ca="1">IFERROR(__xludf.DUMMYFUNCTION("""COMPUTED_VALUE"""),"QUIET")</f>
        <v>QUIET</v>
      </c>
      <c r="P349" s="62">
        <f ca="1">IFERROR(__xludf.DUMMYFUNCTION("""COMPUTED_VALUE"""),3345.45)</f>
        <v>3345.45</v>
      </c>
      <c r="Q349" s="33" t="str">
        <f ca="1">IFERROR(__xludf.DUMMYFUNCTION("""COMPUTED_VALUE"""),"Lisandro Russian")</f>
        <v>Lisandro Russian</v>
      </c>
      <c r="R349" s="33" t="str">
        <f ca="1">IFERROR(__xludf.DUMMYFUNCTION("""COMPUTED_VALUE"""),"Marta García Jiménez")</f>
        <v>Marta García Jiménez</v>
      </c>
      <c r="S349" s="61" t="str">
        <f ca="1">IFERROR(__xludf.DUMMYFUNCTION("""COMPUTED_VALUE"""),"03 ORL")</f>
        <v>03 ORL</v>
      </c>
      <c r="T349" s="33" t="str">
        <f ca="1">IFERROR(__xludf.DUMMYFUNCTION("""COMPUTED_VALUE"""),"06 ORL")</f>
        <v>06 ORL</v>
      </c>
      <c r="U349" s="62"/>
      <c r="W349" s="62"/>
      <c r="X349" s="62"/>
    </row>
    <row r="350" spans="2:24" ht="16">
      <c r="B350" s="55" t="str">
        <f t="shared" ca="1" si="1"/>
        <v>MBM</v>
      </c>
      <c r="C350" s="64" t="str">
        <f ca="1">IFERROR(__xludf.DUMMYFUNCTION("""COMPUTED_VALUE"""),"MBM164")</f>
        <v>MBM164</v>
      </c>
      <c r="D350" s="33" t="str">
        <f ca="1">IFERROR(__xludf.DUMMYFUNCTION("""COMPUTED_VALUE"""),"PROPIOS")</f>
        <v>PROPIOS</v>
      </c>
      <c r="E350" s="33">
        <f ca="1">IFERROR(__xludf.DUMMYFUNCTION("""COMPUTED_VALUE"""),2026)</f>
        <v>2026</v>
      </c>
      <c r="F350" s="56">
        <f ca="1">IFERROR(__xludf.DUMMYFUNCTION("""COMPUTED_VALUE"""),3)</f>
        <v>3</v>
      </c>
      <c r="G350" s="33" t="str">
        <f ca="1">IFERROR(__xludf.DUMMYFUNCTION("""COMPUTED_VALUE"""),"Fuenlabrada")</f>
        <v>Fuenlabrada</v>
      </c>
      <c r="H350" s="33" t="str">
        <f ca="1">IFERROR(__xludf.DUMMYFUNCTION("""COMPUTED_VALUE"""),"C20261995748626997")</f>
        <v>C20261995748626997</v>
      </c>
      <c r="I350" s="33" t="str">
        <f ca="1">IFERROR(__xludf.DUMMYFUNCTION("""COMPUTED_VALUE"""),"ALFREDO  ANGUERA TEJEDOR")</f>
        <v>ALFREDO  ANGUERA TEJEDOR</v>
      </c>
      <c r="J350" s="57">
        <f ca="1">IFERROR(__xludf.DUMMYFUNCTION("""COMPUTED_VALUE"""),46031)</f>
        <v>46031</v>
      </c>
      <c r="K350" s="33" t="str">
        <f ca="1">IFERROR(__xludf.DUMMYFUNCTION("""COMPUTED_VALUE"""),"Factura audífonos")</f>
        <v>Factura audífonos</v>
      </c>
      <c r="L350" s="57">
        <f ca="1">IFERROR(__xludf.DUMMYFUNCTION("""COMPUTED_VALUE"""),46094)</f>
        <v>46094</v>
      </c>
      <c r="M350" s="64" t="str">
        <f ca="1">IFERROR(__xludf.DUMMYFUNCTION("""COMPUTED_VALUE"""),"NO")</f>
        <v>NO</v>
      </c>
      <c r="N350" s="56">
        <f ca="1">IFERROR(__xludf.DUMMYFUNCTION("""COMPUTED_VALUE"""),2)</f>
        <v>2</v>
      </c>
      <c r="O350" s="64" t="str">
        <f ca="1">IFERROR(__xludf.DUMMYFUNCTION("""COMPUTED_VALUE"""),"QUIET")</f>
        <v>QUIET</v>
      </c>
      <c r="P350" s="62">
        <f ca="1">IFERROR(__xludf.DUMMYFUNCTION("""COMPUTED_VALUE"""),2718.18)</f>
        <v>2718.18</v>
      </c>
      <c r="Q350" s="33" t="str">
        <f ca="1">IFERROR(__xludf.DUMMYFUNCTION("""COMPUTED_VALUE"""),"Maika Blázquez")</f>
        <v>Maika Blázquez</v>
      </c>
      <c r="R350" s="33" t="str">
        <f ca="1">IFERROR(__xludf.DUMMYFUNCTION("""COMPUTED_VALUE"""),"Paloma Martín-Aragón Martín")</f>
        <v>Paloma Martín-Aragón Martín</v>
      </c>
      <c r="S350" s="61" t="str">
        <f ca="1">IFERROR(__xludf.DUMMYFUNCTION("""COMPUTED_VALUE"""),"03 ORL")</f>
        <v>03 ORL</v>
      </c>
      <c r="T350" s="33" t="str">
        <f ca="1">IFERROR(__xludf.DUMMYFUNCTION("""COMPUTED_VALUE"""),"06 ORL")</f>
        <v>06 ORL</v>
      </c>
      <c r="U350" s="62"/>
      <c r="W350" s="62"/>
      <c r="X350" s="62"/>
    </row>
    <row r="351" spans="2:24" ht="16">
      <c r="B351" s="55" t="str">
        <f t="shared" ca="1" si="1"/>
        <v>LAA</v>
      </c>
      <c r="C351" s="64" t="str">
        <f ca="1">IFERROR(__xludf.DUMMYFUNCTION("""COMPUTED_VALUE"""),"LAA20")</f>
        <v>LAA20</v>
      </c>
      <c r="D351" s="33" t="str">
        <f ca="1">IFERROR(__xludf.DUMMYFUNCTION("""COMPUTED_VALUE"""),"ASOCIADOS")</f>
        <v>ASOCIADOS</v>
      </c>
      <c r="E351" s="33">
        <f ca="1">IFERROR(__xludf.DUMMYFUNCTION("""COMPUTED_VALUE"""),2026)</f>
        <v>2026</v>
      </c>
      <c r="F351" s="56">
        <f ca="1">IFERROR(__xludf.DUMMYFUNCTION("""COMPUTED_VALUE"""),3)</f>
        <v>3</v>
      </c>
      <c r="G351" s="33" t="str">
        <f ca="1">IFERROR(__xludf.DUMMYFUNCTION("""COMPUTED_VALUE"""),"Badajoz")</f>
        <v>Badajoz</v>
      </c>
      <c r="H351" s="33" t="str">
        <f ca="1">IFERROR(__xludf.DUMMYFUNCTION("""COMPUTED_VALUE"""),"C202621017524846584")</f>
        <v>C202621017524846584</v>
      </c>
      <c r="I351" s="33" t="str">
        <f ca="1">IFERROR(__xludf.DUMMYFUNCTION("""COMPUTED_VALUE"""),"AGUSTINA  ROAS PLATA")</f>
        <v>AGUSTINA  ROAS PLATA</v>
      </c>
      <c r="J351" s="57">
        <f ca="1">IFERROR(__xludf.DUMMYFUNCTION("""COMPUTED_VALUE"""),46063)</f>
        <v>46063</v>
      </c>
      <c r="K351" s="33" t="str">
        <f ca="1">IFERROR(__xludf.DUMMYFUNCTION("""COMPUTED_VALUE"""),"Factura audífonos")</f>
        <v>Factura audífonos</v>
      </c>
      <c r="L351" s="57">
        <f ca="1">IFERROR(__xludf.DUMMYFUNCTION("""COMPUTED_VALUE"""),46094)</f>
        <v>46094</v>
      </c>
      <c r="M351" s="64" t="str">
        <f ca="1">IFERROR(__xludf.DUMMYFUNCTION("""COMPUTED_VALUE"""),"NO")</f>
        <v>NO</v>
      </c>
      <c r="N351" s="56">
        <f ca="1">IFERROR(__xludf.DUMMYFUNCTION("""COMPUTED_VALUE"""),2)</f>
        <v>2</v>
      </c>
      <c r="O351" s="64" t="str">
        <f ca="1">IFERROR(__xludf.DUMMYFUNCTION("""COMPUTED_VALUE"""),"SOCIAL")</f>
        <v>SOCIAL</v>
      </c>
      <c r="P351" s="62">
        <f ca="1">IFERROR(__xludf.DUMMYFUNCTION("""COMPUTED_VALUE"""),2909.09)</f>
        <v>2909.09</v>
      </c>
      <c r="Q351" s="33" t="str">
        <f ca="1">IFERROR(__xludf.DUMMYFUNCTION("""COMPUTED_VALUE"""),"Luis Alberto Rodríguez")</f>
        <v>Luis Alberto Rodríguez</v>
      </c>
      <c r="R351" s="33" t="str">
        <f ca="1">IFERROR(__xludf.DUMMYFUNCTION("""COMPUTED_VALUE"""),"Isidoro Rubio Correa")</f>
        <v>Isidoro Rubio Correa</v>
      </c>
      <c r="S351" s="61" t="str">
        <f ca="1">IFERROR(__xludf.DUMMYFUNCTION("""COMPUTED_VALUE"""),"03 ORL")</f>
        <v>03 ORL</v>
      </c>
      <c r="T351" s="33" t="str">
        <f ca="1">IFERROR(__xludf.DUMMYFUNCTION("""COMPUTED_VALUE"""),"06 ORL")</f>
        <v>06 ORL</v>
      </c>
      <c r="U351" s="62"/>
      <c r="W351" s="62"/>
      <c r="X351" s="62"/>
    </row>
    <row r="352" spans="2:24" ht="16">
      <c r="B352" s="55" t="str">
        <f t="shared" ca="1" si="1"/>
        <v>ISL</v>
      </c>
      <c r="C352" s="64" t="str">
        <f ca="1">IFERROR(__xludf.DUMMYFUNCTION("""COMPUTED_VALUE"""),"ISL50")</f>
        <v>ISL50</v>
      </c>
      <c r="D352" s="33" t="str">
        <f ca="1">IFERROR(__xludf.DUMMYFUNCTION("""COMPUTED_VALUE"""),"PROPIOS")</f>
        <v>PROPIOS</v>
      </c>
      <c r="E352" s="33">
        <f ca="1">IFERROR(__xludf.DUMMYFUNCTION("""COMPUTED_VALUE"""),2026)</f>
        <v>2026</v>
      </c>
      <c r="F352" s="56">
        <f ca="1">IFERROR(__xludf.DUMMYFUNCTION("""COMPUTED_VALUE"""),3)</f>
        <v>3</v>
      </c>
      <c r="G352" s="33" t="str">
        <f ca="1">IFERROR(__xludf.DUMMYFUNCTION("""COMPUTED_VALUE"""),"Orihuela")</f>
        <v>Orihuela</v>
      </c>
      <c r="H352" s="33" t="str">
        <f ca="1">IFERROR(__xludf.DUMMYFUNCTION("""COMPUTED_VALUE"""),"C202621111234619933")</f>
        <v>C202621111234619933</v>
      </c>
      <c r="I352" s="33" t="str">
        <f ca="1">IFERROR(__xludf.DUMMYFUNCTION("""COMPUTED_VALUE"""),"TREVOR HOWARD BYLES")</f>
        <v>TREVOR HOWARD BYLES</v>
      </c>
      <c r="J352" s="57">
        <f ca="1">IFERROR(__xludf.DUMMYFUNCTION("""COMPUTED_VALUE"""),46064)</f>
        <v>46064</v>
      </c>
      <c r="K352" s="33" t="str">
        <f ca="1">IFERROR(__xludf.DUMMYFUNCTION("""COMPUTED_VALUE"""),"Factura audífonos")</f>
        <v>Factura audífonos</v>
      </c>
      <c r="L352" s="57">
        <f ca="1">IFERROR(__xludf.DUMMYFUNCTION("""COMPUTED_VALUE"""),46094)</f>
        <v>46094</v>
      </c>
      <c r="M352" s="64" t="str">
        <f ca="1">IFERROR(__xludf.DUMMYFUNCTION("""COMPUTED_VALUE"""),"NO")</f>
        <v>NO</v>
      </c>
      <c r="N352" s="56">
        <f ca="1">IFERROR(__xludf.DUMMYFUNCTION("""COMPUTED_VALUE"""),2)</f>
        <v>2</v>
      </c>
      <c r="O352" s="64" t="str">
        <f ca="1">IFERROR(__xludf.DUMMYFUNCTION("""COMPUTED_VALUE"""),"QUIET")</f>
        <v>QUIET</v>
      </c>
      <c r="P352" s="62">
        <f ca="1">IFERROR(__xludf.DUMMYFUNCTION("""COMPUTED_VALUE"""),2718.18)</f>
        <v>2718.18</v>
      </c>
      <c r="Q352" s="33" t="str">
        <f ca="1">IFERROR(__xludf.DUMMYFUNCTION("""COMPUTED_VALUE"""),"Iván Sánchez")</f>
        <v>Iván Sánchez</v>
      </c>
      <c r="R352" s="33" t="str">
        <f ca="1">IFERROR(__xludf.DUMMYFUNCTION("""COMPUTED_VALUE"""),"José García Morillas")</f>
        <v>José García Morillas</v>
      </c>
      <c r="S352" s="61" t="str">
        <f ca="1">IFERROR(__xludf.DUMMYFUNCTION("""COMPUTED_VALUE"""),"03 ORL")</f>
        <v>03 ORL</v>
      </c>
      <c r="T352" s="33" t="str">
        <f ca="1">IFERROR(__xludf.DUMMYFUNCTION("""COMPUTED_VALUE"""),"06 ORL")</f>
        <v>06 ORL</v>
      </c>
      <c r="U352" s="62"/>
      <c r="W352" s="62"/>
      <c r="X352" s="62"/>
    </row>
    <row r="353" spans="2:24" ht="16">
      <c r="B353" s="55" t="str">
        <f t="shared" si="1"/>
        <v/>
      </c>
      <c r="C353" s="64"/>
      <c r="D353" s="33" t="str">
        <f ca="1">IFERROR(__xludf.DUMMYFUNCTION("""COMPUTED_VALUE"""),"PROPIOS")</f>
        <v>PROPIOS</v>
      </c>
      <c r="E353" s="33">
        <f ca="1">IFERROR(__xludf.DUMMYFUNCTION("""COMPUTED_VALUE"""),2026)</f>
        <v>2026</v>
      </c>
      <c r="F353" s="56">
        <f ca="1">IFERROR(__xludf.DUMMYFUNCTION("""COMPUTED_VALUE"""),3)</f>
        <v>3</v>
      </c>
      <c r="G353" s="33" t="str">
        <f ca="1">IFERROR(__xludf.DUMMYFUNCTION("""COMPUTED_VALUE"""),"Leganés")</f>
        <v>Leganés</v>
      </c>
      <c r="H353" s="33" t="str">
        <f ca="1">IFERROR(__xludf.DUMMYFUNCTION("""COMPUTED_VALUE"""),"C202624102735834323")</f>
        <v>C202624102735834323</v>
      </c>
      <c r="I353" s="33" t="str">
        <f ca="1">IFERROR(__xludf.DUMMYFUNCTION("""COMPUTED_VALUE"""),"JACINTO AJENJO BARBADO")</f>
        <v>JACINTO AJENJO BARBADO</v>
      </c>
      <c r="J353" s="57">
        <f ca="1">IFERROR(__xludf.DUMMYFUNCTION("""COMPUTED_VALUE"""),46057)</f>
        <v>46057</v>
      </c>
      <c r="K353" s="33" t="str">
        <f ca="1">IFERROR(__xludf.DUMMYFUNCTION("""COMPUTED_VALUE"""),"Factura audífonos")</f>
        <v>Factura audífonos</v>
      </c>
      <c r="L353" s="57">
        <f ca="1">IFERROR(__xludf.DUMMYFUNCTION("""COMPUTED_VALUE"""),46094)</f>
        <v>46094</v>
      </c>
      <c r="M353" s="64" t="str">
        <f ca="1">IFERROR(__xludf.DUMMYFUNCTION("""COMPUTED_VALUE"""),"NO")</f>
        <v>NO</v>
      </c>
      <c r="N353" s="56">
        <f ca="1">IFERROR(__xludf.DUMMYFUNCTION("""COMPUTED_VALUE"""),2)</f>
        <v>2</v>
      </c>
      <c r="O353" s="64" t="str">
        <f ca="1">IFERROR(__xludf.DUMMYFUNCTION("""COMPUTED_VALUE"""),"QUIET")</f>
        <v>QUIET</v>
      </c>
      <c r="P353" s="62">
        <f ca="1">IFERROR(__xludf.DUMMYFUNCTION("""COMPUTED_VALUE"""),2718.18)</f>
        <v>2718.18</v>
      </c>
      <c r="Q353" s="33" t="str">
        <f ca="1">IFERROR(__xludf.DUMMYFUNCTION("""COMPUTED_VALUE"""),"Maika Blázquez")</f>
        <v>Maika Blázquez</v>
      </c>
      <c r="R353" s="33" t="str">
        <f ca="1">IFERROR(__xludf.DUMMYFUNCTION("""COMPUTED_VALUE"""),"No recuerda ORL")</f>
        <v>No recuerda ORL</v>
      </c>
      <c r="S353" s="61" t="str">
        <f ca="1">IFERROR(__xludf.DUMMYFUNCTION("""COMPUTED_VALUE"""),"03 ORL")</f>
        <v>03 ORL</v>
      </c>
      <c r="T353" s="33" t="str">
        <f ca="1">IFERROR(__xludf.DUMMYFUNCTION("""COMPUTED_VALUE"""),"06 ORL")</f>
        <v>06 ORL</v>
      </c>
      <c r="U353" s="62"/>
      <c r="W353" s="62"/>
      <c r="X353" s="62"/>
    </row>
    <row r="354" spans="2:24" ht="16">
      <c r="B354" s="55" t="str">
        <f t="shared" ca="1" si="1"/>
        <v>ISL</v>
      </c>
      <c r="C354" s="64" t="str">
        <f ca="1">IFERROR(__xludf.DUMMYFUNCTION("""COMPUTED_VALUE"""),"ISL103")</f>
        <v>ISL103</v>
      </c>
      <c r="D354" s="33" t="str">
        <f ca="1">IFERROR(__xludf.DUMMYFUNCTION("""COMPUTED_VALUE"""),"PROPIOS")</f>
        <v>PROPIOS</v>
      </c>
      <c r="E354" s="33">
        <f ca="1">IFERROR(__xludf.DUMMYFUNCTION("""COMPUTED_VALUE"""),2026)</f>
        <v>2026</v>
      </c>
      <c r="F354" s="56">
        <f ca="1">IFERROR(__xludf.DUMMYFUNCTION("""COMPUTED_VALUE"""),3)</f>
        <v>3</v>
      </c>
      <c r="G354" s="33" t="str">
        <f ca="1">IFERROR(__xludf.DUMMYFUNCTION("""COMPUTED_VALUE"""),"Alicante")</f>
        <v>Alicante</v>
      </c>
      <c r="H354" s="33" t="str">
        <f ca="1">IFERROR(__xludf.DUMMYFUNCTION("""COMPUTED_VALUE"""),"C2025128164031616")</f>
        <v>C2025128164031616</v>
      </c>
      <c r="I354" s="33" t="str">
        <f ca="1">IFERROR(__xludf.DUMMYFUNCTION("""COMPUTED_VALUE"""),"YANA BRUNEEL")</f>
        <v>YANA BRUNEEL</v>
      </c>
      <c r="J354" s="57">
        <f ca="1">IFERROR(__xludf.DUMMYFUNCTION("""COMPUTED_VALUE"""),45667)</f>
        <v>45667</v>
      </c>
      <c r="K354" s="33" t="str">
        <f ca="1">IFERROR(__xludf.DUMMYFUNCTION("""COMPUTED_VALUE"""),"Factura audífonos")</f>
        <v>Factura audífonos</v>
      </c>
      <c r="L354" s="57">
        <f ca="1">IFERROR(__xludf.DUMMYFUNCTION("""COMPUTED_VALUE"""),46094)</f>
        <v>46094</v>
      </c>
      <c r="M354" s="64" t="str">
        <f ca="1">IFERROR(__xludf.DUMMYFUNCTION("""COMPUTED_VALUE"""),"NO")</f>
        <v>NO</v>
      </c>
      <c r="N354" s="56">
        <f ca="1">IFERROR(__xludf.DUMMYFUNCTION("""COMPUTED_VALUE"""),2)</f>
        <v>2</v>
      </c>
      <c r="O354" s="64" t="str">
        <f ca="1">IFERROR(__xludf.DUMMYFUNCTION("""COMPUTED_VALUE"""),"QUIET")</f>
        <v>QUIET</v>
      </c>
      <c r="P354" s="62">
        <f ca="1">IFERROR(__xludf.DUMMYFUNCTION("""COMPUTED_VALUE"""),2718.18)</f>
        <v>2718.18</v>
      </c>
      <c r="Q354" s="33" t="str">
        <f ca="1">IFERROR(__xludf.DUMMYFUNCTION("""COMPUTED_VALUE"""),"Iván Sánchez")</f>
        <v>Iván Sánchez</v>
      </c>
      <c r="R354" s="33" t="str">
        <f ca="1">IFERROR(__xludf.DUMMYFUNCTION("""COMPUTED_VALUE"""),"Isabel Menaches Guardiola")</f>
        <v>Isabel Menaches Guardiola</v>
      </c>
      <c r="S354" s="61" t="str">
        <f ca="1">IFERROR(__xludf.DUMMYFUNCTION("""COMPUTED_VALUE"""),"03 ORL")</f>
        <v>03 ORL</v>
      </c>
      <c r="T354" s="33" t="str">
        <f ca="1">IFERROR(__xludf.DUMMYFUNCTION("""COMPUTED_VALUE"""),"06 ORL")</f>
        <v>06 ORL</v>
      </c>
      <c r="U354" s="62"/>
      <c r="W354" s="62"/>
      <c r="X354" s="62"/>
    </row>
    <row r="355" spans="2:24" ht="16">
      <c r="B355" s="55" t="str">
        <f t="shared" ca="1" si="1"/>
        <v>LAA</v>
      </c>
      <c r="C355" s="64" t="str">
        <f ca="1">IFERROR(__xludf.DUMMYFUNCTION("""COMPUTED_VALUE"""),"LAA30")</f>
        <v>LAA30</v>
      </c>
      <c r="D355" s="33" t="str">
        <f ca="1">IFERROR(__xludf.DUMMYFUNCTION("""COMPUTED_VALUE"""),"PROPIOS")</f>
        <v>PROPIOS</v>
      </c>
      <c r="E355" s="33">
        <f ca="1">IFERROR(__xludf.DUMMYFUNCTION("""COMPUTED_VALUE"""),2026)</f>
        <v>2026</v>
      </c>
      <c r="F355" s="56">
        <f ca="1">IFERROR(__xludf.DUMMYFUNCTION("""COMPUTED_VALUE"""),3)</f>
        <v>3</v>
      </c>
      <c r="G355" s="33" t="str">
        <f ca="1">IFERROR(__xludf.DUMMYFUNCTION("""COMPUTED_VALUE"""),"Sevilla- Montoto")</f>
        <v>Sevilla- Montoto</v>
      </c>
      <c r="H355" s="33" t="str">
        <f ca="1">IFERROR(__xludf.DUMMYFUNCTION("""COMPUTED_VALUE"""),"C202621011441871135")</f>
        <v>C202621011441871135</v>
      </c>
      <c r="I355" s="33" t="str">
        <f ca="1">IFERROR(__xludf.DUMMYFUNCTION("""COMPUTED_VALUE"""),"NIDIA ROSA MUÑOZ BEDOLLA")</f>
        <v>NIDIA ROSA MUÑOZ BEDOLLA</v>
      </c>
      <c r="J355" s="57">
        <f ca="1">IFERROR(__xludf.DUMMYFUNCTION("""COMPUTED_VALUE"""),46063)</f>
        <v>46063</v>
      </c>
      <c r="K355" s="33" t="str">
        <f ca="1">IFERROR(__xludf.DUMMYFUNCTION("""COMPUTED_VALUE"""),"Factura audífonos")</f>
        <v>Factura audífonos</v>
      </c>
      <c r="L355" s="57">
        <f ca="1">IFERROR(__xludf.DUMMYFUNCTION("""COMPUTED_VALUE"""),46094)</f>
        <v>46094</v>
      </c>
      <c r="M355" s="64" t="str">
        <f ca="1">IFERROR(__xludf.DUMMYFUNCTION("""COMPUTED_VALUE"""),"NO")</f>
        <v>NO</v>
      </c>
      <c r="N355" s="56">
        <f ca="1">IFERROR(__xludf.DUMMYFUNCTION("""COMPUTED_VALUE"""),2)</f>
        <v>2</v>
      </c>
      <c r="O355" s="64" t="str">
        <f ca="1">IFERROR(__xludf.DUMMYFUNCTION("""COMPUTED_VALUE"""),"QUIET")</f>
        <v>QUIET</v>
      </c>
      <c r="P355" s="62">
        <f ca="1">IFERROR(__xludf.DUMMYFUNCTION("""COMPUTED_VALUE"""),2581.82)</f>
        <v>2581.8200000000002</v>
      </c>
      <c r="Q355" s="33" t="str">
        <f ca="1">IFERROR(__xludf.DUMMYFUNCTION("""COMPUTED_VALUE"""),"Luis Alberto Rodríguez")</f>
        <v>Luis Alberto Rodríguez</v>
      </c>
      <c r="R355" s="33" t="str">
        <f ca="1">IFERROR(__xludf.DUMMYFUNCTION("""COMPUTED_VALUE"""),"Juan Pedro Benaixa")</f>
        <v>Juan Pedro Benaixa</v>
      </c>
      <c r="S355" s="61" t="str">
        <f ca="1">IFERROR(__xludf.DUMMYFUNCTION("""COMPUTED_VALUE"""),"03 ORL")</f>
        <v>03 ORL</v>
      </c>
      <c r="T355" s="33" t="str">
        <f ca="1">IFERROR(__xludf.DUMMYFUNCTION("""COMPUTED_VALUE"""),"06 ORL")</f>
        <v>06 ORL</v>
      </c>
      <c r="U355" s="62"/>
      <c r="W355" s="62"/>
      <c r="X355" s="62"/>
    </row>
    <row r="356" spans="2:24" ht="16">
      <c r="B356" s="55" t="str">
        <f t="shared" ca="1" si="1"/>
        <v>RFV</v>
      </c>
      <c r="C356" s="64" t="str">
        <f ca="1">IFERROR(__xludf.DUMMYFUNCTION("""COMPUTED_VALUE"""),"RFV29")</f>
        <v>RFV29</v>
      </c>
      <c r="D356" s="33" t="str">
        <f ca="1">IFERROR(__xludf.DUMMYFUNCTION("""COMPUTED_VALUE"""),"PROPIOS")</f>
        <v>PROPIOS</v>
      </c>
      <c r="E356" s="33">
        <f ca="1">IFERROR(__xludf.DUMMYFUNCTION("""COMPUTED_VALUE"""),2026)</f>
        <v>2026</v>
      </c>
      <c r="F356" s="56">
        <f ca="1">IFERROR(__xludf.DUMMYFUNCTION("""COMPUTED_VALUE"""),3)</f>
        <v>3</v>
      </c>
      <c r="G356" s="33" t="str">
        <f ca="1">IFERROR(__xludf.DUMMYFUNCTION("""COMPUTED_VALUE"""),"Valencia- Parra")</f>
        <v>Valencia- Parra</v>
      </c>
      <c r="H356" s="33" t="str">
        <f ca="1">IFERROR(__xludf.DUMMYFUNCTION("""COMPUTED_VALUE"""),"C20261308590460009")</f>
        <v>C20261308590460009</v>
      </c>
      <c r="I356" s="33" t="str">
        <f ca="1">IFERROR(__xludf.DUMMYFUNCTION("""COMPUTED_VALUE"""),"VICENTE REAL BENLLOCH")</f>
        <v>VICENTE REAL BENLLOCH</v>
      </c>
      <c r="J356" s="57">
        <f ca="1">IFERROR(__xludf.DUMMYFUNCTION("""COMPUTED_VALUE"""),46052)</f>
        <v>46052</v>
      </c>
      <c r="K356" s="33" t="str">
        <f ca="1">IFERROR(__xludf.DUMMYFUNCTION("""COMPUTED_VALUE"""),"Factura audífonos")</f>
        <v>Factura audífonos</v>
      </c>
      <c r="L356" s="57">
        <f ca="1">IFERROR(__xludf.DUMMYFUNCTION("""COMPUTED_VALUE"""),46094)</f>
        <v>46094</v>
      </c>
      <c r="M356" s="64" t="str">
        <f ca="1">IFERROR(__xludf.DUMMYFUNCTION("""COMPUTED_VALUE"""),"NO")</f>
        <v>NO</v>
      </c>
      <c r="N356" s="56">
        <f ca="1">IFERROR(__xludf.DUMMYFUNCTION("""COMPUTED_VALUE"""),2)</f>
        <v>2</v>
      </c>
      <c r="O356" s="64" t="str">
        <f ca="1">IFERROR(__xludf.DUMMYFUNCTION("""COMPUTED_VALUE"""),"ADVANCED")</f>
        <v>ADVANCED</v>
      </c>
      <c r="P356" s="62">
        <f ca="1">IFERROR(__xludf.DUMMYFUNCTION("""COMPUTED_VALUE"""),4136.36)</f>
        <v>4136.3599999999997</v>
      </c>
      <c r="Q356" s="33" t="str">
        <f ca="1">IFERROR(__xludf.DUMMYFUNCTION("""COMPUTED_VALUE"""),"Ramon Ferrando")</f>
        <v>Ramon Ferrando</v>
      </c>
      <c r="R356" s="33" t="str">
        <f ca="1">IFERROR(__xludf.DUMMYFUNCTION("""COMPUTED_VALUE"""),"Fe Rubio Escolano")</f>
        <v>Fe Rubio Escolano</v>
      </c>
      <c r="S356" s="61" t="str">
        <f ca="1">IFERROR(__xludf.DUMMYFUNCTION("""COMPUTED_VALUE"""),"03 ORL")</f>
        <v>03 ORL</v>
      </c>
      <c r="T356" s="33" t="str">
        <f ca="1">IFERROR(__xludf.DUMMYFUNCTION("""COMPUTED_VALUE"""),"06 ORL")</f>
        <v>06 ORL</v>
      </c>
      <c r="U356" s="62"/>
      <c r="W356" s="62"/>
      <c r="X356" s="62"/>
    </row>
    <row r="357" spans="2:24" ht="16">
      <c r="B357" s="55" t="str">
        <f t="shared" ca="1" si="1"/>
        <v>MBM</v>
      </c>
      <c r="C357" s="64" t="str">
        <f ca="1">IFERROR(__xludf.DUMMYFUNCTION("""COMPUTED_VALUE"""),"MBM85")</f>
        <v>MBM85</v>
      </c>
      <c r="D357" s="33" t="str">
        <f ca="1">IFERROR(__xludf.DUMMYFUNCTION("""COMPUTED_VALUE"""),"PROPIOS")</f>
        <v>PROPIOS</v>
      </c>
      <c r="E357" s="33">
        <f ca="1">IFERROR(__xludf.DUMMYFUNCTION("""COMPUTED_VALUE"""),2026)</f>
        <v>2026</v>
      </c>
      <c r="F357" s="56">
        <f ca="1">IFERROR(__xludf.DUMMYFUNCTION("""COMPUTED_VALUE"""),3)</f>
        <v>3</v>
      </c>
      <c r="G357" s="33" t="str">
        <f ca="1">IFERROR(__xludf.DUMMYFUNCTION("""COMPUTED_VALUE"""),"Móstoles")</f>
        <v>Móstoles</v>
      </c>
      <c r="H357" s="33" t="str">
        <f ca="1">IFERROR(__xludf.DUMMYFUNCTION("""COMPUTED_VALUE"""),"C202621016145893070")</f>
        <v>C202621016145893070</v>
      </c>
      <c r="I357" s="33" t="str">
        <f ca="1">IFERROR(__xludf.DUMMYFUNCTION("""COMPUTED_VALUE"""),"ALEXANDER RINCON OCAMPO")</f>
        <v>ALEXANDER RINCON OCAMPO</v>
      </c>
      <c r="J357" s="57">
        <f ca="1">IFERROR(__xludf.DUMMYFUNCTION("""COMPUTED_VALUE"""),46063)</f>
        <v>46063</v>
      </c>
      <c r="K357" s="33" t="str">
        <f ca="1">IFERROR(__xludf.DUMMYFUNCTION("""COMPUTED_VALUE"""),"Factura audífonos")</f>
        <v>Factura audífonos</v>
      </c>
      <c r="L357" s="57">
        <f ca="1">IFERROR(__xludf.DUMMYFUNCTION("""COMPUTED_VALUE"""),46097)</f>
        <v>46097</v>
      </c>
      <c r="M357" s="64" t="str">
        <f ca="1">IFERROR(__xludf.DUMMYFUNCTION("""COMPUTED_VALUE"""),"NO")</f>
        <v>NO</v>
      </c>
      <c r="N357" s="56">
        <f ca="1">IFERROR(__xludf.DUMMYFUNCTION("""COMPUTED_VALUE"""),2)</f>
        <v>2</v>
      </c>
      <c r="O357" s="64" t="str">
        <f ca="1">IFERROR(__xludf.DUMMYFUNCTION("""COMPUTED_VALUE"""),"QUIET")</f>
        <v>QUIET</v>
      </c>
      <c r="P357" s="62">
        <f ca="1">IFERROR(__xludf.DUMMYFUNCTION("""COMPUTED_VALUE"""),2718.18)</f>
        <v>2718.18</v>
      </c>
      <c r="Q357" s="33" t="str">
        <f ca="1">IFERROR(__xludf.DUMMYFUNCTION("""COMPUTED_VALUE"""),"Maika Blázquez")</f>
        <v>Maika Blázquez</v>
      </c>
      <c r="R357" s="33" t="str">
        <f ca="1">IFERROR(__xludf.DUMMYFUNCTION("""COMPUTED_VALUE"""),"Víctor José González Arias")</f>
        <v>Víctor José González Arias</v>
      </c>
      <c r="S357" s="61" t="str">
        <f ca="1">IFERROR(__xludf.DUMMYFUNCTION("""COMPUTED_VALUE"""),"01 MARKETING ON LINE")</f>
        <v>01 MARKETING ON LINE</v>
      </c>
      <c r="T357" s="33" t="str">
        <f ca="1">IFERROR(__xludf.DUMMYFUNCTION("""COMPUTED_VALUE"""),"01 WEB AUDICOST")</f>
        <v>01 WEB AUDICOST</v>
      </c>
      <c r="U357" s="62"/>
      <c r="W357" s="62"/>
      <c r="X357" s="62"/>
    </row>
    <row r="358" spans="2:24" ht="16">
      <c r="B358" s="55" t="str">
        <f t="shared" ca="1" si="1"/>
        <v>ISL</v>
      </c>
      <c r="C358" s="64" t="str">
        <f ca="1">IFERROR(__xludf.DUMMYFUNCTION("""COMPUTED_VALUE"""),"ISL10")</f>
        <v>ISL10</v>
      </c>
      <c r="D358" s="33" t="str">
        <f ca="1">IFERROR(__xludf.DUMMYFUNCTION("""COMPUTED_VALUE"""),"PROPIOS")</f>
        <v>PROPIOS</v>
      </c>
      <c r="E358" s="33">
        <f ca="1">IFERROR(__xludf.DUMMYFUNCTION("""COMPUTED_VALUE"""),2026)</f>
        <v>2026</v>
      </c>
      <c r="F358" s="56">
        <f ca="1">IFERROR(__xludf.DUMMYFUNCTION("""COMPUTED_VALUE"""),3)</f>
        <v>3</v>
      </c>
      <c r="G358" s="33" t="str">
        <f ca="1">IFERROR(__xludf.DUMMYFUNCTION("""COMPUTED_VALUE"""),"San Javier")</f>
        <v>San Javier</v>
      </c>
      <c r="H358" s="33" t="str">
        <f ca="1">IFERROR(__xludf.DUMMYFUNCTION("""COMPUTED_VALUE"""),"C202612993357512770")</f>
        <v>C202612993357512770</v>
      </c>
      <c r="I358" s="33" t="str">
        <f ca="1">IFERROR(__xludf.DUMMYFUNCTION("""COMPUTED_VALUE"""),"CARMEN FERNANDEZ GURRICHARRI")</f>
        <v>CARMEN FERNANDEZ GURRICHARRI</v>
      </c>
      <c r="J358" s="57">
        <f ca="1">IFERROR(__xludf.DUMMYFUNCTION("""COMPUTED_VALUE"""),46051)</f>
        <v>46051</v>
      </c>
      <c r="K358" s="33" t="str">
        <f ca="1">IFERROR(__xludf.DUMMYFUNCTION("""COMPUTED_VALUE"""),"Factura audífonos")</f>
        <v>Factura audífonos</v>
      </c>
      <c r="L358" s="57">
        <f ca="1">IFERROR(__xludf.DUMMYFUNCTION("""COMPUTED_VALUE"""),46097)</f>
        <v>46097</v>
      </c>
      <c r="M358" s="64" t="str">
        <f ca="1">IFERROR(__xludf.DUMMYFUNCTION("""COMPUTED_VALUE"""),"NO")</f>
        <v>NO</v>
      </c>
      <c r="N358" s="56">
        <f ca="1">IFERROR(__xludf.DUMMYFUNCTION("""COMPUTED_VALUE"""),2)</f>
        <v>2</v>
      </c>
      <c r="O358" s="64" t="str">
        <f ca="1">IFERROR(__xludf.DUMMYFUNCTION("""COMPUTED_VALUE"""),"ADVANCED")</f>
        <v>ADVANCED</v>
      </c>
      <c r="P358" s="62">
        <f ca="1">IFERROR(__xludf.DUMMYFUNCTION("""COMPUTED_VALUE"""),4136.36)</f>
        <v>4136.3599999999997</v>
      </c>
      <c r="Q358" s="33" t="str">
        <f ca="1">IFERROR(__xludf.DUMMYFUNCTION("""COMPUTED_VALUE"""),"Iván Sánchez")</f>
        <v>Iván Sánchez</v>
      </c>
      <c r="R358" s="33" t="str">
        <f ca="1">IFERROR(__xludf.DUMMYFUNCTION("""COMPUTED_VALUE"""),"Antonio Galindo Fernández")</f>
        <v>Antonio Galindo Fernández</v>
      </c>
      <c r="S358" s="61" t="str">
        <f ca="1">IFERROR(__xludf.DUMMYFUNCTION("""COMPUTED_VALUE"""),"03 ORL")</f>
        <v>03 ORL</v>
      </c>
      <c r="T358" s="33" t="str">
        <f ca="1">IFERROR(__xludf.DUMMYFUNCTION("""COMPUTED_VALUE"""),"06 ORL")</f>
        <v>06 ORL</v>
      </c>
      <c r="U358" s="62"/>
      <c r="W358" s="62"/>
      <c r="X358" s="62"/>
    </row>
    <row r="359" spans="2:24" ht="16">
      <c r="B359" s="55" t="str">
        <f t="shared" ca="1" si="1"/>
        <v>PSC</v>
      </c>
      <c r="C359" s="64" t="str">
        <f ca="1">IFERROR(__xludf.DUMMYFUNCTION("""COMPUTED_VALUE"""),"PSC30")</f>
        <v>PSC30</v>
      </c>
      <c r="D359" s="33" t="str">
        <f ca="1">IFERROR(__xludf.DUMMYFUNCTION("""COMPUTED_VALUE"""),"ASOCIADOS")</f>
        <v>ASOCIADOS</v>
      </c>
      <c r="E359" s="33">
        <f ca="1">IFERROR(__xludf.DUMMYFUNCTION("""COMPUTED_VALUE"""),2026)</f>
        <v>2026</v>
      </c>
      <c r="F359" s="56">
        <f ca="1">IFERROR(__xludf.DUMMYFUNCTION("""COMPUTED_VALUE"""),3)</f>
        <v>3</v>
      </c>
      <c r="G359" s="33" t="str">
        <f ca="1">IFERROR(__xludf.DUMMYFUNCTION("""COMPUTED_VALUE"""),"León")</f>
        <v>León</v>
      </c>
      <c r="H359" s="33" t="str">
        <f ca="1">IFERROR(__xludf.DUMMYFUNCTION("""COMPUTED_VALUE"""),"C202622510583014355")</f>
        <v>C202622510583014355</v>
      </c>
      <c r="I359" s="33" t="str">
        <f ca="1">IFERROR(__xludf.DUMMYFUNCTION("""COMPUTED_VALUE"""),"Elina Encarnación Carro Alvarez")</f>
        <v>Elina Encarnación Carro Alvarez</v>
      </c>
      <c r="J359" s="57">
        <f ca="1">IFERROR(__xludf.DUMMYFUNCTION("""COMPUTED_VALUE"""),46078)</f>
        <v>46078</v>
      </c>
      <c r="K359" s="33" t="str">
        <f ca="1">IFERROR(__xludf.DUMMYFUNCTION("""COMPUTED_VALUE"""),"Factura audífonos")</f>
        <v>Factura audífonos</v>
      </c>
      <c r="L359" s="57">
        <f ca="1">IFERROR(__xludf.DUMMYFUNCTION("""COMPUTED_VALUE"""),46097)</f>
        <v>46097</v>
      </c>
      <c r="M359" s="64" t="str">
        <f ca="1">IFERROR(__xludf.DUMMYFUNCTION("""COMPUTED_VALUE"""),"NO")</f>
        <v>NO</v>
      </c>
      <c r="N359" s="56">
        <f ca="1">IFERROR(__xludf.DUMMYFUNCTION("""COMPUTED_VALUE"""),2)</f>
        <v>2</v>
      </c>
      <c r="O359" s="64" t="str">
        <f ca="1">IFERROR(__xludf.DUMMYFUNCTION("""COMPUTED_VALUE"""),"PRO")</f>
        <v>PRO</v>
      </c>
      <c r="P359" s="62">
        <f ca="1">IFERROR(__xludf.DUMMYFUNCTION("""COMPUTED_VALUE"""),5363.64)</f>
        <v>5363.64</v>
      </c>
      <c r="Q359" s="33" t="str">
        <f ca="1">IFERROR(__xludf.DUMMYFUNCTION("""COMPUTED_VALUE"""),"Alberto Moreno")</f>
        <v>Alberto Moreno</v>
      </c>
      <c r="R359" s="33" t="str">
        <f ca="1">IFERROR(__xludf.DUMMYFUNCTION("""COMPUTED_VALUE"""),"Rafael Pérez González")</f>
        <v>Rafael Pérez González</v>
      </c>
      <c r="S359" s="61" t="str">
        <f ca="1">IFERROR(__xludf.DUMMYFUNCTION("""COMPUTED_VALUE"""),"03 ORL")</f>
        <v>03 ORL</v>
      </c>
      <c r="T359" s="33" t="str">
        <f ca="1">IFERROR(__xludf.DUMMYFUNCTION("""COMPUTED_VALUE"""),"06 ORL")</f>
        <v>06 ORL</v>
      </c>
      <c r="U359" s="62"/>
      <c r="W359" s="62"/>
      <c r="X359" s="62"/>
    </row>
    <row r="360" spans="2:24" ht="16">
      <c r="B360" s="55" t="str">
        <f t="shared" ca="1" si="1"/>
        <v>ISL</v>
      </c>
      <c r="C360" s="64" t="str">
        <f ca="1">IFERROR(__xludf.DUMMYFUNCTION("""COMPUTED_VALUE"""),"ISL83")</f>
        <v>ISL83</v>
      </c>
      <c r="D360" s="33" t="str">
        <f ca="1">IFERROR(__xludf.DUMMYFUNCTION("""COMPUTED_VALUE"""),"PROPIOS")</f>
        <v>PROPIOS</v>
      </c>
      <c r="E360" s="33">
        <f ca="1">IFERROR(__xludf.DUMMYFUNCTION("""COMPUTED_VALUE"""),2026)</f>
        <v>2026</v>
      </c>
      <c r="F360" s="56">
        <f ca="1">IFERROR(__xludf.DUMMYFUNCTION("""COMPUTED_VALUE"""),3)</f>
        <v>3</v>
      </c>
      <c r="G360" s="33" t="str">
        <f ca="1">IFERROR(__xludf.DUMMYFUNCTION("""COMPUTED_VALUE"""),"Murcia")</f>
        <v>Murcia</v>
      </c>
      <c r="H360" s="33" t="str">
        <f ca="1">IFERROR(__xludf.DUMMYFUNCTION("""COMPUTED_VALUE"""),"C20262916846685199")</f>
        <v>C20262916846685199</v>
      </c>
      <c r="I360" s="33" t="str">
        <f ca="1">IFERROR(__xludf.DUMMYFUNCTION("""COMPUTED_VALUE"""),"MERCEDES ROS LOPEZ")</f>
        <v>MERCEDES ROS LOPEZ</v>
      </c>
      <c r="J360" s="57">
        <f ca="1">IFERROR(__xludf.DUMMYFUNCTION("""COMPUTED_VALUE"""),46062)</f>
        <v>46062</v>
      </c>
      <c r="K360" s="33" t="str">
        <f ca="1">IFERROR(__xludf.DUMMYFUNCTION("""COMPUTED_VALUE"""),"Factura audífonos")</f>
        <v>Factura audífonos</v>
      </c>
      <c r="L360" s="57">
        <f ca="1">IFERROR(__xludf.DUMMYFUNCTION("""COMPUTED_VALUE"""),46097)</f>
        <v>46097</v>
      </c>
      <c r="M360" s="64" t="str">
        <f ca="1">IFERROR(__xludf.DUMMYFUNCTION("""COMPUTED_VALUE"""),"NO")</f>
        <v>NO</v>
      </c>
      <c r="N360" s="56">
        <f ca="1">IFERROR(__xludf.DUMMYFUNCTION("""COMPUTED_VALUE"""),2)</f>
        <v>2</v>
      </c>
      <c r="O360" s="64" t="str">
        <f ca="1">IFERROR(__xludf.DUMMYFUNCTION("""COMPUTED_VALUE"""),"QUIET")</f>
        <v>QUIET</v>
      </c>
      <c r="P360" s="62">
        <f ca="1">IFERROR(__xludf.DUMMYFUNCTION("""COMPUTED_VALUE"""),2718.18)</f>
        <v>2718.18</v>
      </c>
      <c r="Q360" s="33" t="str">
        <f ca="1">IFERROR(__xludf.DUMMYFUNCTION("""COMPUTED_VALUE"""),"Iván Sánchez")</f>
        <v>Iván Sánchez</v>
      </c>
      <c r="R360" s="33" t="str">
        <f ca="1">IFERROR(__xludf.DUMMYFUNCTION("""COMPUTED_VALUE"""),"Aida Aviñoa Arias")</f>
        <v>Aida Aviñoa Arias</v>
      </c>
      <c r="S360" s="61" t="str">
        <f ca="1">IFERROR(__xludf.DUMMYFUNCTION("""COMPUTED_VALUE"""),"03 ORL")</f>
        <v>03 ORL</v>
      </c>
      <c r="T360" s="33" t="str">
        <f ca="1">IFERROR(__xludf.DUMMYFUNCTION("""COMPUTED_VALUE"""),"06 ORL")</f>
        <v>06 ORL</v>
      </c>
      <c r="U360" s="62"/>
      <c r="W360" s="62"/>
      <c r="X360" s="62"/>
    </row>
    <row r="361" spans="2:24" ht="16">
      <c r="B361" s="55" t="str">
        <f t="shared" ca="1" si="1"/>
        <v>PSC</v>
      </c>
      <c r="C361" s="64" t="str">
        <f ca="1">IFERROR(__xludf.DUMMYFUNCTION("""COMPUTED_VALUE"""),"PSC30")</f>
        <v>PSC30</v>
      </c>
      <c r="D361" s="33" t="str">
        <f ca="1">IFERROR(__xludf.DUMMYFUNCTION("""COMPUTED_VALUE"""),"ASOCIADOS")</f>
        <v>ASOCIADOS</v>
      </c>
      <c r="E361" s="33">
        <f ca="1">IFERROR(__xludf.DUMMYFUNCTION("""COMPUTED_VALUE"""),2026)</f>
        <v>2026</v>
      </c>
      <c r="F361" s="56">
        <f ca="1">IFERROR(__xludf.DUMMYFUNCTION("""COMPUTED_VALUE"""),3)</f>
        <v>3</v>
      </c>
      <c r="G361" s="33" t="str">
        <f ca="1">IFERROR(__xludf.DUMMYFUNCTION("""COMPUTED_VALUE"""),"León")</f>
        <v>León</v>
      </c>
      <c r="H361" s="33" t="str">
        <f ca="1">IFERROR(__xludf.DUMMYFUNCTION("""COMPUTED_VALUE"""),"C202625115344189237")</f>
        <v>C202625115344189237</v>
      </c>
      <c r="I361" s="33" t="str">
        <f ca="1">IFERROR(__xludf.DUMMYFUNCTION("""COMPUTED_VALUE"""),"Roberto Alonso Fernandez")</f>
        <v>Roberto Alonso Fernandez</v>
      </c>
      <c r="J361" s="57">
        <f ca="1">IFERROR(__xludf.DUMMYFUNCTION("""COMPUTED_VALUE"""),46058)</f>
        <v>46058</v>
      </c>
      <c r="K361" s="33" t="str">
        <f ca="1">IFERROR(__xludf.DUMMYFUNCTION("""COMPUTED_VALUE"""),"Factura audífonos")</f>
        <v>Factura audífonos</v>
      </c>
      <c r="L361" s="57">
        <f ca="1">IFERROR(__xludf.DUMMYFUNCTION("""COMPUTED_VALUE"""),46097)</f>
        <v>46097</v>
      </c>
      <c r="M361" s="64" t="str">
        <f ca="1">IFERROR(__xludf.DUMMYFUNCTION("""COMPUTED_VALUE"""),"NO")</f>
        <v>NO</v>
      </c>
      <c r="N361" s="56">
        <f ca="1">IFERROR(__xludf.DUMMYFUNCTION("""COMPUTED_VALUE"""),2)</f>
        <v>2</v>
      </c>
      <c r="O361" s="58" t="str">
        <f ca="1">IFERROR(__xludf.DUMMYFUNCTION("""COMPUTED_VALUE"""),"ADVANCED")</f>
        <v>ADVANCED</v>
      </c>
      <c r="P361" s="62">
        <f ca="1">IFERROR(__xludf.DUMMYFUNCTION("""COMPUTED_VALUE"""),3846.15)</f>
        <v>3846.15</v>
      </c>
      <c r="Q361" s="33" t="str">
        <f ca="1">IFERROR(__xludf.DUMMYFUNCTION("""COMPUTED_VALUE"""),"Alberto Moreno")</f>
        <v>Alberto Moreno</v>
      </c>
      <c r="R361" s="33" t="str">
        <f ca="1">IFERROR(__xludf.DUMMYFUNCTION("""COMPUTED_VALUE"""),"Rafael Pérez González")</f>
        <v>Rafael Pérez González</v>
      </c>
      <c r="S361" s="61" t="str">
        <f ca="1">IFERROR(__xludf.DUMMYFUNCTION("""COMPUTED_VALUE"""),"03 ORL")</f>
        <v>03 ORL</v>
      </c>
      <c r="T361" s="33" t="str">
        <f ca="1">IFERROR(__xludf.DUMMYFUNCTION("""COMPUTED_VALUE"""),"06 ORL")</f>
        <v>06 ORL</v>
      </c>
      <c r="U361" s="62"/>
      <c r="W361" s="62"/>
      <c r="X361" s="62"/>
    </row>
    <row r="362" spans="2:24" ht="16">
      <c r="B362" s="55" t="str">
        <f t="shared" ca="1" si="1"/>
        <v>RFV</v>
      </c>
      <c r="C362" s="64" t="str">
        <f ca="1">IFERROR(__xludf.DUMMYFUNCTION("""COMPUTED_VALUE"""),"RFV38")</f>
        <v>RFV38</v>
      </c>
      <c r="D362" s="33" t="str">
        <f ca="1">IFERROR(__xludf.DUMMYFUNCTION("""COMPUTED_VALUE"""),"PROPIOS")</f>
        <v>PROPIOS</v>
      </c>
      <c r="E362" s="33">
        <f ca="1">IFERROR(__xludf.DUMMYFUNCTION("""COMPUTED_VALUE"""),2026)</f>
        <v>2026</v>
      </c>
      <c r="F362" s="56">
        <f ca="1">IFERROR(__xludf.DUMMYFUNCTION("""COMPUTED_VALUE"""),3)</f>
        <v>3</v>
      </c>
      <c r="G362" s="33" t="str">
        <f ca="1">IFERROR(__xludf.DUMMYFUNCTION("""COMPUTED_VALUE"""),"El Albir (Benidorm)")</f>
        <v>El Albir (Benidorm)</v>
      </c>
      <c r="H362" s="33" t="str">
        <f ca="1">IFERROR(__xludf.DUMMYFUNCTION("""COMPUTED_VALUE"""),"C20262281716801642")</f>
        <v>C20262281716801642</v>
      </c>
      <c r="I362" s="33" t="str">
        <f ca="1">IFERROR(__xludf.DUMMYFUNCTION("""COMPUTED_VALUE"""),"BENITA CONDE SUAREZ")</f>
        <v>BENITA CONDE SUAREZ</v>
      </c>
      <c r="J362" s="57">
        <f ca="1">IFERROR(__xludf.DUMMYFUNCTION("""COMPUTED_VALUE"""),46055)</f>
        <v>46055</v>
      </c>
      <c r="K362" s="33" t="str">
        <f ca="1">IFERROR(__xludf.DUMMYFUNCTION("""COMPUTED_VALUE"""),"Factura audífonos")</f>
        <v>Factura audífonos</v>
      </c>
      <c r="L362" s="57">
        <f ca="1">IFERROR(__xludf.DUMMYFUNCTION("""COMPUTED_VALUE"""),46097)</f>
        <v>46097</v>
      </c>
      <c r="M362" s="64" t="str">
        <f ca="1">IFERROR(__xludf.DUMMYFUNCTION("""COMPUTED_VALUE"""),"NO")</f>
        <v>NO</v>
      </c>
      <c r="N362" s="56">
        <f ca="1">IFERROR(__xludf.DUMMYFUNCTION("""COMPUTED_VALUE"""),2)</f>
        <v>2</v>
      </c>
      <c r="O362" s="64" t="str">
        <f ca="1">IFERROR(__xludf.DUMMYFUNCTION("""COMPUTED_VALUE"""),"ADVANCED")</f>
        <v>ADVANCED</v>
      </c>
      <c r="P362" s="62">
        <f ca="1">IFERROR(__xludf.DUMMYFUNCTION("""COMPUTED_VALUE"""),4136.36)</f>
        <v>4136.3599999999997</v>
      </c>
      <c r="Q362" s="33" t="str">
        <f ca="1">IFERROR(__xludf.DUMMYFUNCTION("""COMPUTED_VALUE"""),"Ramon Ferrando")</f>
        <v>Ramon Ferrando</v>
      </c>
      <c r="R362" s="33" t="str">
        <f ca="1">IFERROR(__xludf.DUMMYFUNCTION("""COMPUTED_VALUE"""),"María Emilia García Ruiz")</f>
        <v>María Emilia García Ruiz</v>
      </c>
      <c r="S362" s="61" t="str">
        <f ca="1">IFERROR(__xludf.DUMMYFUNCTION("""COMPUTED_VALUE"""),"03 ORL")</f>
        <v>03 ORL</v>
      </c>
      <c r="T362" s="33" t="str">
        <f ca="1">IFERROR(__xludf.DUMMYFUNCTION("""COMPUTED_VALUE"""),"06 ORL")</f>
        <v>06 ORL</v>
      </c>
      <c r="W362" s="61"/>
    </row>
    <row r="363" spans="2:24" ht="16">
      <c r="B363" s="55" t="str">
        <f t="shared" ca="1" si="1"/>
        <v>LRM</v>
      </c>
      <c r="C363" s="64" t="str">
        <f ca="1">IFERROR(__xludf.DUMMYFUNCTION("""COMPUTED_VALUE"""),"LRM101")</f>
        <v>LRM101</v>
      </c>
      <c r="D363" s="33" t="str">
        <f ca="1">IFERROR(__xludf.DUMMYFUNCTION("""COMPUTED_VALUE"""),"ASOCIADOS")</f>
        <v>ASOCIADOS</v>
      </c>
      <c r="E363" s="33">
        <f ca="1">IFERROR(__xludf.DUMMYFUNCTION("""COMPUTED_VALUE"""),2026)</f>
        <v>2026</v>
      </c>
      <c r="F363" s="56">
        <f ca="1">IFERROR(__xludf.DUMMYFUNCTION("""COMPUTED_VALUE"""),3)</f>
        <v>3</v>
      </c>
      <c r="G363" s="33" t="str">
        <f ca="1">IFERROR(__xludf.DUMMYFUNCTION("""COMPUTED_VALUE"""),"Cáceres")</f>
        <v>Cáceres</v>
      </c>
      <c r="H363" s="33" t="str">
        <f ca="1">IFERROR(__xludf.DUMMYFUNCTION("""COMPUTED_VALUE"""),"C202621812563506")</f>
        <v>C202621812563506</v>
      </c>
      <c r="I363" s="33" t="str">
        <f ca="1">IFERROR(__xludf.DUMMYFUNCTION("""COMPUTED_VALUE"""),"EVELIA ARIAS MORENO")</f>
        <v>EVELIA ARIAS MORENO</v>
      </c>
      <c r="J363" s="57">
        <f ca="1">IFERROR(__xludf.DUMMYFUNCTION("""COMPUTED_VALUE"""),46071)</f>
        <v>46071</v>
      </c>
      <c r="K363" s="33" t="str">
        <f ca="1">IFERROR(__xludf.DUMMYFUNCTION("""COMPUTED_VALUE"""),"Factura audífonos")</f>
        <v>Factura audífonos</v>
      </c>
      <c r="L363" s="57">
        <f ca="1">IFERROR(__xludf.DUMMYFUNCTION("""COMPUTED_VALUE"""),46098)</f>
        <v>46098</v>
      </c>
      <c r="M363" s="64" t="str">
        <f ca="1">IFERROR(__xludf.DUMMYFUNCTION("""COMPUTED_VALUE"""),"NO")</f>
        <v>NO</v>
      </c>
      <c r="N363" s="56">
        <f ca="1">IFERROR(__xludf.DUMMYFUNCTION("""COMPUTED_VALUE"""),2)</f>
        <v>2</v>
      </c>
      <c r="O363" s="64" t="str">
        <f ca="1">IFERROR(__xludf.DUMMYFUNCTION("""COMPUTED_VALUE"""),"CONFORT")</f>
        <v>CONFORT</v>
      </c>
      <c r="P363" s="62">
        <f ca="1">IFERROR(__xludf.DUMMYFUNCTION("""COMPUTED_VALUE"""),3909.09)</f>
        <v>3909.09</v>
      </c>
      <c r="Q363" s="33" t="str">
        <f ca="1">IFERROR(__xludf.DUMMYFUNCTION("""COMPUTED_VALUE"""),"Lisandro Russian")</f>
        <v>Lisandro Russian</v>
      </c>
      <c r="R363" s="33" t="str">
        <f ca="1">IFERROR(__xludf.DUMMYFUNCTION("""COMPUTED_VALUE"""),"Manuel Martí Peña")</f>
        <v>Manuel Martí Peña</v>
      </c>
      <c r="S363" s="61" t="str">
        <f ca="1">IFERROR(__xludf.DUMMYFUNCTION("""COMPUTED_VALUE"""),"03 ORL")</f>
        <v>03 ORL</v>
      </c>
      <c r="T363" s="33" t="str">
        <f ca="1">IFERROR(__xludf.DUMMYFUNCTION("""COMPUTED_VALUE"""),"06 ORL")</f>
        <v>06 ORL</v>
      </c>
      <c r="U363" s="62"/>
      <c r="W363" s="62"/>
      <c r="X363" s="62"/>
    </row>
    <row r="364" spans="2:24" ht="16">
      <c r="B364" s="55" t="str">
        <f t="shared" ca="1" si="1"/>
        <v>ISL</v>
      </c>
      <c r="C364" s="64" t="str">
        <f ca="1">IFERROR(__xludf.DUMMYFUNCTION("""COMPUTED_VALUE"""),"ISL45")</f>
        <v>ISL45</v>
      </c>
      <c r="D364" s="33" t="str">
        <f ca="1">IFERROR(__xludf.DUMMYFUNCTION("""COMPUTED_VALUE"""),"PROPIOS")</f>
        <v>PROPIOS</v>
      </c>
      <c r="E364" s="33">
        <f ca="1">IFERROR(__xludf.DUMMYFUNCTION("""COMPUTED_VALUE"""),2026)</f>
        <v>2026</v>
      </c>
      <c r="F364" s="56">
        <f ca="1">IFERROR(__xludf.DUMMYFUNCTION("""COMPUTED_VALUE"""),3)</f>
        <v>3</v>
      </c>
      <c r="G364" s="33" t="str">
        <f ca="1">IFERROR(__xludf.DUMMYFUNCTION("""COMPUTED_VALUE"""),"Murcia")</f>
        <v>Murcia</v>
      </c>
      <c r="H364" s="33" t="str">
        <f ca="1">IFERROR(__xludf.DUMMYFUNCTION("""COMPUTED_VALUE"""),"C202621616274682965")</f>
        <v>C202621616274682965</v>
      </c>
      <c r="I364" s="33" t="str">
        <f ca="1">IFERROR(__xludf.DUMMYFUNCTION("""COMPUTED_VALUE"""),"SUSANA ROPERO SANCHEZ")</f>
        <v>SUSANA ROPERO SANCHEZ</v>
      </c>
      <c r="J364" s="57">
        <f ca="1">IFERROR(__xludf.DUMMYFUNCTION("""COMPUTED_VALUE"""),46069)</f>
        <v>46069</v>
      </c>
      <c r="K364" s="33" t="str">
        <f ca="1">IFERROR(__xludf.DUMMYFUNCTION("""COMPUTED_VALUE"""),"Factura audífonos")</f>
        <v>Factura audífonos</v>
      </c>
      <c r="L364" s="57">
        <f ca="1">IFERROR(__xludf.DUMMYFUNCTION("""COMPUTED_VALUE"""),46098)</f>
        <v>46098</v>
      </c>
      <c r="M364" s="64" t="str">
        <f ca="1">IFERROR(__xludf.DUMMYFUNCTION("""COMPUTED_VALUE"""),"NO")</f>
        <v>NO</v>
      </c>
      <c r="N364" s="56">
        <f ca="1">IFERROR(__xludf.DUMMYFUNCTION("""COMPUTED_VALUE"""),2)</f>
        <v>2</v>
      </c>
      <c r="O364" s="64" t="str">
        <f ca="1">IFERROR(__xludf.DUMMYFUNCTION("""COMPUTED_VALUE"""),"QUIET")</f>
        <v>QUIET</v>
      </c>
      <c r="P364" s="62">
        <f ca="1">IFERROR(__xludf.DUMMYFUNCTION("""COMPUTED_VALUE"""),2718.18)</f>
        <v>2718.18</v>
      </c>
      <c r="Q364" s="33" t="str">
        <f ca="1">IFERROR(__xludf.DUMMYFUNCTION("""COMPUTED_VALUE"""),"Iván Sánchez")</f>
        <v>Iván Sánchez</v>
      </c>
      <c r="R364" s="33" t="str">
        <f ca="1">IFERROR(__xludf.DUMMYFUNCTION("""COMPUTED_VALUE"""),"Jesús Miguel Iniesta Turpín")</f>
        <v>Jesús Miguel Iniesta Turpín</v>
      </c>
      <c r="S364" s="61" t="str">
        <f ca="1">IFERROR(__xludf.DUMMYFUNCTION("""COMPUTED_VALUE"""),"03 ORL")</f>
        <v>03 ORL</v>
      </c>
      <c r="T364" s="33" t="str">
        <f ca="1">IFERROR(__xludf.DUMMYFUNCTION("""COMPUTED_VALUE"""),"06 ORL")</f>
        <v>06 ORL</v>
      </c>
      <c r="U364" s="62"/>
      <c r="W364" s="62"/>
      <c r="X364" s="62"/>
    </row>
    <row r="365" spans="2:24" ht="16">
      <c r="B365" s="55" t="str">
        <f t="shared" ca="1" si="1"/>
        <v>MBM</v>
      </c>
      <c r="C365" s="64" t="str">
        <f ca="1">IFERROR(__xludf.DUMMYFUNCTION("""COMPUTED_VALUE"""),"MBM165")</f>
        <v>MBM165</v>
      </c>
      <c r="D365" s="33" t="str">
        <f ca="1">IFERROR(__xludf.DUMMYFUNCTION("""COMPUTED_VALUE"""),"PROPIOS")</f>
        <v>PROPIOS</v>
      </c>
      <c r="E365" s="33">
        <f ca="1">IFERROR(__xludf.DUMMYFUNCTION("""COMPUTED_VALUE"""),2026)</f>
        <v>2026</v>
      </c>
      <c r="F365" s="56">
        <f ca="1">IFERROR(__xludf.DUMMYFUNCTION("""COMPUTED_VALUE"""),3)</f>
        <v>3</v>
      </c>
      <c r="G365" s="33" t="str">
        <f ca="1">IFERROR(__xludf.DUMMYFUNCTION("""COMPUTED_VALUE"""),"Getafe")</f>
        <v>Getafe</v>
      </c>
      <c r="H365" s="33" t="str">
        <f ca="1">IFERROR(__xludf.DUMMYFUNCTION("""COMPUTED_VALUE"""),"C202612114575178474")</f>
        <v>C202612114575178474</v>
      </c>
      <c r="I365" s="33" t="str">
        <f ca="1">IFERROR(__xludf.DUMMYFUNCTION("""COMPUTED_VALUE"""),"MABEL HERRERA DONOSO")</f>
        <v>MABEL HERRERA DONOSO</v>
      </c>
      <c r="J365" s="57">
        <f ca="1">IFERROR(__xludf.DUMMYFUNCTION("""COMPUTED_VALUE"""),46043)</f>
        <v>46043</v>
      </c>
      <c r="K365" s="33" t="str">
        <f ca="1">IFERROR(__xludf.DUMMYFUNCTION("""COMPUTED_VALUE"""),"Factura audífonos")</f>
        <v>Factura audífonos</v>
      </c>
      <c r="L365" s="57">
        <f ca="1">IFERROR(__xludf.DUMMYFUNCTION("""COMPUTED_VALUE"""),46098)</f>
        <v>46098</v>
      </c>
      <c r="M365" s="64" t="str">
        <f ca="1">IFERROR(__xludf.DUMMYFUNCTION("""COMPUTED_VALUE"""),"NO")</f>
        <v>NO</v>
      </c>
      <c r="N365" s="56">
        <f ca="1">IFERROR(__xludf.DUMMYFUNCTION("""COMPUTED_VALUE"""),2)</f>
        <v>2</v>
      </c>
      <c r="O365" s="64" t="str">
        <f ca="1">IFERROR(__xludf.DUMMYFUNCTION("""COMPUTED_VALUE"""),"ADVANCED")</f>
        <v>ADVANCED</v>
      </c>
      <c r="P365" s="62">
        <f ca="1">IFERROR(__xludf.DUMMYFUNCTION("""COMPUTED_VALUE"""),4136.36)</f>
        <v>4136.3599999999997</v>
      </c>
      <c r="Q365" s="33" t="str">
        <f ca="1">IFERROR(__xludf.DUMMYFUNCTION("""COMPUTED_VALUE"""),"Maika Blázquez")</f>
        <v>Maika Blázquez</v>
      </c>
      <c r="R365" s="33" t="str">
        <f ca="1">IFERROR(__xludf.DUMMYFUNCTION("""COMPUTED_VALUE"""),"Paloma Pinacho Martínez")</f>
        <v>Paloma Pinacho Martínez</v>
      </c>
      <c r="S365" s="61" t="str">
        <f ca="1">IFERROR(__xludf.DUMMYFUNCTION("""COMPUTED_VALUE"""),"03 ORL")</f>
        <v>03 ORL</v>
      </c>
      <c r="T365" s="33" t="str">
        <f ca="1">IFERROR(__xludf.DUMMYFUNCTION("""COMPUTED_VALUE"""),"06 ORL")</f>
        <v>06 ORL</v>
      </c>
      <c r="U365" s="62"/>
      <c r="W365" s="62"/>
      <c r="X365" s="62"/>
    </row>
    <row r="366" spans="2:24" ht="16">
      <c r="B366" s="55" t="str">
        <f t="shared" ca="1" si="1"/>
        <v>MBM</v>
      </c>
      <c r="C366" s="64" t="str">
        <f ca="1">IFERROR(__xludf.DUMMYFUNCTION("""COMPUTED_VALUE"""),"MBM45")</f>
        <v>MBM45</v>
      </c>
      <c r="D366" s="33" t="str">
        <f ca="1">IFERROR(__xludf.DUMMYFUNCTION("""COMPUTED_VALUE"""),"PROPIOS")</f>
        <v>PROPIOS</v>
      </c>
      <c r="E366" s="33">
        <f ca="1">IFERROR(__xludf.DUMMYFUNCTION("""COMPUTED_VALUE"""),2026)</f>
        <v>2026</v>
      </c>
      <c r="F366" s="56">
        <f ca="1">IFERROR(__xludf.DUMMYFUNCTION("""COMPUTED_VALUE"""),3)</f>
        <v>3</v>
      </c>
      <c r="G366" s="33" t="str">
        <f ca="1">IFERROR(__xludf.DUMMYFUNCTION("""COMPUTED_VALUE"""),"Madrid- Canillas")</f>
        <v>Madrid- Canillas</v>
      </c>
      <c r="H366" s="33" t="str">
        <f ca="1">IFERROR(__xludf.DUMMYFUNCTION("""COMPUTED_VALUE"""),"C202621718623559730")</f>
        <v>C202621718623559730</v>
      </c>
      <c r="I366" s="33" t="str">
        <f ca="1">IFERROR(__xludf.DUMMYFUNCTION("""COMPUTED_VALUE"""),"RAFAEL RODRIGO CÁMARA")</f>
        <v>RAFAEL RODRIGO CÁMARA</v>
      </c>
      <c r="J366" s="57">
        <f ca="1">IFERROR(__xludf.DUMMYFUNCTION("""COMPUTED_VALUE"""),46070)</f>
        <v>46070</v>
      </c>
      <c r="K366" s="33" t="str">
        <f ca="1">IFERROR(__xludf.DUMMYFUNCTION("""COMPUTED_VALUE"""),"Factura audífonos")</f>
        <v>Factura audífonos</v>
      </c>
      <c r="L366" s="57">
        <f ca="1">IFERROR(__xludf.DUMMYFUNCTION("""COMPUTED_VALUE"""),46098)</f>
        <v>46098</v>
      </c>
      <c r="M366" s="64" t="str">
        <f ca="1">IFERROR(__xludf.DUMMYFUNCTION("""COMPUTED_VALUE"""),"NO")</f>
        <v>NO</v>
      </c>
      <c r="N366" s="56">
        <f ca="1">IFERROR(__xludf.DUMMYFUNCTION("""COMPUTED_VALUE"""),2)</f>
        <v>2</v>
      </c>
      <c r="O366" s="64" t="str">
        <f ca="1">IFERROR(__xludf.DUMMYFUNCTION("""COMPUTED_VALUE"""),"ADVANCED")</f>
        <v>ADVANCED</v>
      </c>
      <c r="P366" s="62">
        <f ca="1">IFERROR(__xludf.DUMMYFUNCTION("""COMPUTED_VALUE"""),3929.55)</f>
        <v>3929.55</v>
      </c>
      <c r="Q366" s="33" t="str">
        <f ca="1">IFERROR(__xludf.DUMMYFUNCTION("""COMPUTED_VALUE"""),"Maika Blázquez")</f>
        <v>Maika Blázquez</v>
      </c>
      <c r="R366" s="33" t="str">
        <f ca="1">IFERROR(__xludf.DUMMYFUNCTION("""COMPUTED_VALUE"""),"Joaquín Alacio Casero")</f>
        <v>Joaquín Alacio Casero</v>
      </c>
      <c r="S366" s="61" t="str">
        <f ca="1">IFERROR(__xludf.DUMMYFUNCTION("""COMPUTED_VALUE"""),"03 ORL")</f>
        <v>03 ORL</v>
      </c>
      <c r="T366" s="33" t="str">
        <f ca="1">IFERROR(__xludf.DUMMYFUNCTION("""COMPUTED_VALUE"""),"06 ORL")</f>
        <v>06 ORL</v>
      </c>
      <c r="U366" s="62"/>
      <c r="W366" s="62"/>
      <c r="X366" s="62"/>
    </row>
    <row r="367" spans="2:24" ht="16">
      <c r="B367" s="55" t="str">
        <f t="shared" ca="1" si="1"/>
        <v>MBM</v>
      </c>
      <c r="C367" s="64" t="str">
        <f ca="1">IFERROR(__xludf.DUMMYFUNCTION("""COMPUTED_VALUE"""),"MBM07")</f>
        <v>MBM07</v>
      </c>
      <c r="D367" s="33" t="str">
        <f ca="1">IFERROR(__xludf.DUMMYFUNCTION("""COMPUTED_VALUE"""),"PARTICIPADOS")</f>
        <v>PARTICIPADOS</v>
      </c>
      <c r="E367" s="33">
        <f ca="1">IFERROR(__xludf.DUMMYFUNCTION("""COMPUTED_VALUE"""),2026)</f>
        <v>2026</v>
      </c>
      <c r="F367" s="56">
        <f ca="1">IFERROR(__xludf.DUMMYFUNCTION("""COMPUTED_VALUE"""),3)</f>
        <v>3</v>
      </c>
      <c r="G367" s="33" t="str">
        <f ca="1">IFERROR(__xludf.DUMMYFUNCTION("""COMPUTED_VALUE"""),"Madrid- La Oca")</f>
        <v>Madrid- La Oca</v>
      </c>
      <c r="H367" s="33" t="str">
        <f ca="1">IFERROR(__xludf.DUMMYFUNCTION("""COMPUTED_VALUE"""),"C202621893610185506")</f>
        <v>C202621893610185506</v>
      </c>
      <c r="I367" s="33" t="str">
        <f ca="1">IFERROR(__xludf.DUMMYFUNCTION("""COMPUTED_VALUE"""),"CARMEN DIEZ MIGUEL")</f>
        <v>CARMEN DIEZ MIGUEL</v>
      </c>
      <c r="J367" s="57">
        <f ca="1">IFERROR(__xludf.DUMMYFUNCTION("""COMPUTED_VALUE"""),46071)</f>
        <v>46071</v>
      </c>
      <c r="K367" s="33" t="str">
        <f ca="1">IFERROR(__xludf.DUMMYFUNCTION("""COMPUTED_VALUE"""),"Factura audífonos")</f>
        <v>Factura audífonos</v>
      </c>
      <c r="L367" s="57">
        <f ca="1">IFERROR(__xludf.DUMMYFUNCTION("""COMPUTED_VALUE"""),46098)</f>
        <v>46098</v>
      </c>
      <c r="M367" s="64" t="str">
        <f ca="1">IFERROR(__xludf.DUMMYFUNCTION("""COMPUTED_VALUE"""),"NO")</f>
        <v>NO</v>
      </c>
      <c r="N367" s="56">
        <f ca="1">IFERROR(__xludf.DUMMYFUNCTION("""COMPUTED_VALUE"""),2)</f>
        <v>2</v>
      </c>
      <c r="O367" s="64" t="str">
        <f ca="1">IFERROR(__xludf.DUMMYFUNCTION("""COMPUTED_VALUE"""),"QUIET")</f>
        <v>QUIET</v>
      </c>
      <c r="P367" s="62">
        <f ca="1">IFERROR(__xludf.DUMMYFUNCTION("""COMPUTED_VALUE"""),2718.18)</f>
        <v>2718.18</v>
      </c>
      <c r="Q367" s="33" t="str">
        <f ca="1">IFERROR(__xludf.DUMMYFUNCTION("""COMPUTED_VALUE"""),"Maika Blázquez")</f>
        <v>Maika Blázquez</v>
      </c>
      <c r="R367" s="33" t="str">
        <f ca="1">IFERROR(__xludf.DUMMYFUNCTION("""COMPUTED_VALUE"""),"Andreas Schilling Borghesi")</f>
        <v>Andreas Schilling Borghesi</v>
      </c>
      <c r="S367" s="61" t="str">
        <f ca="1">IFERROR(__xludf.DUMMYFUNCTION("""COMPUTED_VALUE"""),"03 ORL")</f>
        <v>03 ORL</v>
      </c>
      <c r="T367" s="33" t="str">
        <f ca="1">IFERROR(__xludf.DUMMYFUNCTION("""COMPUTED_VALUE"""),"06 ORL")</f>
        <v>06 ORL</v>
      </c>
      <c r="U367" s="62"/>
      <c r="W367" s="62"/>
      <c r="X367" s="62"/>
    </row>
    <row r="368" spans="2:24" ht="16">
      <c r="B368" s="55" t="str">
        <f t="shared" ca="1" si="1"/>
        <v>#N/</v>
      </c>
      <c r="C368" s="64" t="str">
        <f ca="1">IFERROR(__xludf.DUMMYFUNCTION("""COMPUTED_VALUE"""),"#N/A")</f>
        <v>#N/A</v>
      </c>
      <c r="D368" s="33" t="str">
        <f ca="1">IFERROR(__xludf.DUMMYFUNCTION("""COMPUTED_VALUE"""),"PROPIOS")</f>
        <v>PROPIOS</v>
      </c>
      <c r="E368" s="33">
        <f ca="1">IFERROR(__xludf.DUMMYFUNCTION("""COMPUTED_VALUE"""),2026)</f>
        <v>2026</v>
      </c>
      <c r="F368" s="56">
        <f ca="1">IFERROR(__xludf.DUMMYFUNCTION("""COMPUTED_VALUE"""),3)</f>
        <v>3</v>
      </c>
      <c r="G368" s="33" t="str">
        <f ca="1">IFERROR(__xludf.DUMMYFUNCTION("""COMPUTED_VALUE"""),"Fuenlabrada")</f>
        <v>Fuenlabrada</v>
      </c>
      <c r="H368" s="33" t="str">
        <f ca="1">IFERROR(__xludf.DUMMYFUNCTION("""COMPUTED_VALUE"""),"C202621710526973724")</f>
        <v>C202621710526973724</v>
      </c>
      <c r="I368" s="33" t="str">
        <f ca="1">IFERROR(__xludf.DUMMYFUNCTION("""COMPUTED_VALUE"""),"GERMAN  ENCINAS SANCHEZ")</f>
        <v>GERMAN  ENCINAS SANCHEZ</v>
      </c>
      <c r="J368" s="57">
        <f ca="1">IFERROR(__xludf.DUMMYFUNCTION("""COMPUTED_VALUE"""),46070)</f>
        <v>46070</v>
      </c>
      <c r="K368" s="33" t="str">
        <f ca="1">IFERROR(__xludf.DUMMYFUNCTION("""COMPUTED_VALUE"""),"Factura audífonos")</f>
        <v>Factura audífonos</v>
      </c>
      <c r="L368" s="57">
        <f ca="1">IFERROR(__xludf.DUMMYFUNCTION("""COMPUTED_VALUE"""),46098)</f>
        <v>46098</v>
      </c>
      <c r="M368" s="64" t="str">
        <f ca="1">IFERROR(__xludf.DUMMYFUNCTION("""COMPUTED_VALUE"""),"NO")</f>
        <v>NO</v>
      </c>
      <c r="N368" s="56">
        <f ca="1">IFERROR(__xludf.DUMMYFUNCTION("""COMPUTED_VALUE"""),2)</f>
        <v>2</v>
      </c>
      <c r="O368" s="64" t="str">
        <f ca="1">IFERROR(__xludf.DUMMYFUNCTION("""COMPUTED_VALUE"""),"QUIET")</f>
        <v>QUIET</v>
      </c>
      <c r="P368" s="62">
        <f ca="1">IFERROR(__xludf.DUMMYFUNCTION("""COMPUTED_VALUE"""),2718.18)</f>
        <v>2718.18</v>
      </c>
      <c r="Q368" s="33" t="str">
        <f ca="1">IFERROR(__xludf.DUMMYFUNCTION("""COMPUTED_VALUE"""),"Maika Blázquez")</f>
        <v>Maika Blázquez</v>
      </c>
      <c r="R368" s="33" t="str">
        <f ca="1">IFERROR(__xludf.DUMMYFUNCTION("""COMPUTED_VALUE"""),"Angela Gastañaga Echevarría")</f>
        <v>Angela Gastañaga Echevarría</v>
      </c>
      <c r="S368" s="61" t="str">
        <f ca="1">IFERROR(__xludf.DUMMYFUNCTION("""COMPUTED_VALUE"""),"03 ORL")</f>
        <v>03 ORL</v>
      </c>
      <c r="T368" s="33" t="str">
        <f ca="1">IFERROR(__xludf.DUMMYFUNCTION("""COMPUTED_VALUE"""),"06 ORL")</f>
        <v>06 ORL</v>
      </c>
      <c r="U368" s="62"/>
      <c r="W368" s="62"/>
      <c r="X368" s="62"/>
    </row>
    <row r="369" spans="2:24" ht="16">
      <c r="B369" s="55" t="str">
        <f t="shared" ca="1" si="1"/>
        <v>LRM</v>
      </c>
      <c r="C369" s="64" t="str">
        <f ca="1">IFERROR(__xludf.DUMMYFUNCTION("""COMPUTED_VALUE"""),"LRM55")</f>
        <v>LRM55</v>
      </c>
      <c r="D369" s="33" t="str">
        <f ca="1">IFERROR(__xludf.DUMMYFUNCTION("""COMPUTED_VALUE"""),"PARTICIPADOS")</f>
        <v>PARTICIPADOS</v>
      </c>
      <c r="E369" s="33">
        <f ca="1">IFERROR(__xludf.DUMMYFUNCTION("""COMPUTED_VALUE"""),2026)</f>
        <v>2026</v>
      </c>
      <c r="F369" s="56">
        <f ca="1">IFERROR(__xludf.DUMMYFUNCTION("""COMPUTED_VALUE"""),3)</f>
        <v>3</v>
      </c>
      <c r="G369" s="33" t="str">
        <f ca="1">IFERROR(__xludf.DUMMYFUNCTION("""COMPUTED_VALUE"""),"Madrid- La Oca")</f>
        <v>Madrid- La Oca</v>
      </c>
      <c r="H369" s="33" t="str">
        <f ca="1">IFERROR(__xludf.DUMMYFUNCTION("""COMPUTED_VALUE"""),"C202621893749939587")</f>
        <v>C202621893749939587</v>
      </c>
      <c r="I369" s="33" t="str">
        <f ca="1">IFERROR(__xludf.DUMMYFUNCTION("""COMPUTED_VALUE"""),"JOSE FARO BARREIROS")</f>
        <v>JOSE FARO BARREIROS</v>
      </c>
      <c r="J369" s="57">
        <f ca="1">IFERROR(__xludf.DUMMYFUNCTION("""COMPUTED_VALUE"""),46071)</f>
        <v>46071</v>
      </c>
      <c r="K369" s="33" t="str">
        <f ca="1">IFERROR(__xludf.DUMMYFUNCTION("""COMPUTED_VALUE"""),"Factura audífonos")</f>
        <v>Factura audífonos</v>
      </c>
      <c r="L369" s="57">
        <f ca="1">IFERROR(__xludf.DUMMYFUNCTION("""COMPUTED_VALUE"""),46098)</f>
        <v>46098</v>
      </c>
      <c r="M369" s="64" t="str">
        <f ca="1">IFERROR(__xludf.DUMMYFUNCTION("""COMPUTED_VALUE"""),"NO")</f>
        <v>NO</v>
      </c>
      <c r="N369" s="56">
        <f ca="1">IFERROR(__xludf.DUMMYFUNCTION("""COMPUTED_VALUE"""),2)</f>
        <v>2</v>
      </c>
      <c r="O369" s="58" t="str">
        <f ca="1">IFERROR(__xludf.DUMMYFUNCTION("""COMPUTED_VALUE"""),"QUIET")</f>
        <v>QUIET</v>
      </c>
      <c r="P369" s="62">
        <f ca="1">IFERROR(__xludf.DUMMYFUNCTION("""COMPUTED_VALUE"""),2718.18)</f>
        <v>2718.18</v>
      </c>
      <c r="Q369" s="33" t="str">
        <f ca="1">IFERROR(__xludf.DUMMYFUNCTION("""COMPUTED_VALUE"""),"Maika Blázquez")</f>
        <v>Maika Blázquez</v>
      </c>
      <c r="R369" s="33" t="str">
        <f ca="1">IFERROR(__xludf.DUMMYFUNCTION("""COMPUTED_VALUE"""),"Iván Muerte Moreno")</f>
        <v>Iván Muerte Moreno</v>
      </c>
      <c r="S369" s="61" t="str">
        <f ca="1">IFERROR(__xludf.DUMMYFUNCTION("""COMPUTED_VALUE"""),"03 ORL")</f>
        <v>03 ORL</v>
      </c>
      <c r="T369" s="33" t="str">
        <f ca="1">IFERROR(__xludf.DUMMYFUNCTION("""COMPUTED_VALUE"""),"06 ORL")</f>
        <v>06 ORL</v>
      </c>
      <c r="U369" s="62"/>
      <c r="W369" s="62"/>
      <c r="X369" s="62"/>
    </row>
    <row r="370" spans="2:24" ht="16">
      <c r="B370" s="55" t="str">
        <f t="shared" ca="1" si="1"/>
        <v>ISL</v>
      </c>
      <c r="C370" s="64" t="str">
        <f ca="1">IFERROR(__xludf.DUMMYFUNCTION("""COMPUTED_VALUE"""),"ISL14")</f>
        <v>ISL14</v>
      </c>
      <c r="D370" s="33" t="str">
        <f ca="1">IFERROR(__xludf.DUMMYFUNCTION("""COMPUTED_VALUE"""),"PROPIOS")</f>
        <v>PROPIOS</v>
      </c>
      <c r="E370" s="33">
        <f ca="1">IFERROR(__xludf.DUMMYFUNCTION("""COMPUTED_VALUE"""),2026)</f>
        <v>2026</v>
      </c>
      <c r="F370" s="56">
        <f ca="1">IFERROR(__xludf.DUMMYFUNCTION("""COMPUTED_VALUE"""),3)</f>
        <v>3</v>
      </c>
      <c r="G370" s="33" t="str">
        <f ca="1">IFERROR(__xludf.DUMMYFUNCTION("""COMPUTED_VALUE"""),"Alicante")</f>
        <v>Alicante</v>
      </c>
      <c r="H370" s="33" t="str">
        <f ca="1">IFERROR(__xludf.DUMMYFUNCTION("""COMPUTED_VALUE"""),"C2026317132549990")</f>
        <v>C2026317132549990</v>
      </c>
      <c r="I370" s="33" t="str">
        <f ca="1">IFERROR(__xludf.DUMMYFUNCTION("""COMPUTED_VALUE"""),"AGUSTINA BECERRO MARTIN [JORGE ENRIQUE ESPINOSA DIAZ]")</f>
        <v>AGUSTINA BECERRO MARTIN [JORGE ENRIQUE ESPINOSA DIAZ]</v>
      </c>
      <c r="J370" s="57">
        <f ca="1">IFERROR(__xludf.DUMMYFUNCTION("""COMPUTED_VALUE"""),46098)</f>
        <v>46098</v>
      </c>
      <c r="K370" s="33" t="str">
        <f ca="1">IFERROR(__xludf.DUMMYFUNCTION("""COMPUTED_VALUE"""),"Factura audífonos")</f>
        <v>Factura audífonos</v>
      </c>
      <c r="L370" s="57">
        <f ca="1">IFERROR(__xludf.DUMMYFUNCTION("""COMPUTED_VALUE"""),46098)</f>
        <v>46098</v>
      </c>
      <c r="M370" s="64" t="str">
        <f ca="1">IFERROR(__xludf.DUMMYFUNCTION("""COMPUTED_VALUE"""),"NO")</f>
        <v>NO</v>
      </c>
      <c r="N370" s="56">
        <f ca="1">IFERROR(__xludf.DUMMYFUNCTION("""COMPUTED_VALUE"""),2)</f>
        <v>2</v>
      </c>
      <c r="O370" s="64" t="str">
        <f ca="1">IFERROR(__xludf.DUMMYFUNCTION("""COMPUTED_VALUE"""),"QUIET")</f>
        <v>QUIET</v>
      </c>
      <c r="P370" s="62">
        <f ca="1">IFERROR(__xludf.DUMMYFUNCTION("""COMPUTED_VALUE"""),2718.18)</f>
        <v>2718.18</v>
      </c>
      <c r="Q370" s="33" t="str">
        <f ca="1">IFERROR(__xludf.DUMMYFUNCTION("""COMPUTED_VALUE"""),"Iván Sánchez")</f>
        <v>Iván Sánchez</v>
      </c>
      <c r="R370" s="33" t="str">
        <f ca="1">IFERROR(__xludf.DUMMYFUNCTION("""COMPUTED_VALUE"""),"Carlos Velásquez Fermín")</f>
        <v>Carlos Velásquez Fermín</v>
      </c>
      <c r="S370" s="61" t="str">
        <f ca="1">IFERROR(__xludf.DUMMYFUNCTION("""COMPUTED_VALUE"""),"03 ORL")</f>
        <v>03 ORL</v>
      </c>
      <c r="T370" s="33" t="str">
        <f ca="1">IFERROR(__xludf.DUMMYFUNCTION("""COMPUTED_VALUE"""),"06 ORL")</f>
        <v>06 ORL</v>
      </c>
      <c r="U370" s="62"/>
      <c r="W370" s="62"/>
      <c r="X370" s="62"/>
    </row>
    <row r="371" spans="2:24" ht="16">
      <c r="B371" s="55" t="str">
        <f t="shared" ca="1" si="1"/>
        <v>LAA</v>
      </c>
      <c r="C371" s="64" t="str">
        <f ca="1">IFERROR(__xludf.DUMMYFUNCTION("""COMPUTED_VALUE"""),"LAA63")</f>
        <v>LAA63</v>
      </c>
      <c r="D371" s="33" t="str">
        <f ca="1">IFERROR(__xludf.DUMMYFUNCTION("""COMPUTED_VALUE"""),"PROPIOS")</f>
        <v>PROPIOS</v>
      </c>
      <c r="E371" s="33">
        <f ca="1">IFERROR(__xludf.DUMMYFUNCTION("""COMPUTED_VALUE"""),2026)</f>
        <v>2026</v>
      </c>
      <c r="F371" s="56">
        <f ca="1">IFERROR(__xludf.DUMMYFUNCTION("""COMPUTED_VALUE"""),3)</f>
        <v>3</v>
      </c>
      <c r="G371" s="33" t="str">
        <f ca="1">IFERROR(__xludf.DUMMYFUNCTION("""COMPUTED_VALUE"""),"Getafe")</f>
        <v>Getafe</v>
      </c>
      <c r="H371" s="33" t="str">
        <f ca="1">IFERROR(__xludf.DUMMYFUNCTION("""COMPUTED_VALUE"""),"C20262213438613479")</f>
        <v>C20262213438613479</v>
      </c>
      <c r="I371" s="33" t="str">
        <f ca="1">IFERROR(__xludf.DUMMYFUNCTION("""COMPUTED_VALUE"""),"JUAN GARCIA SANTAMARIA")</f>
        <v>JUAN GARCIA SANTAMARIA</v>
      </c>
      <c r="J371" s="57">
        <f ca="1">IFERROR(__xludf.DUMMYFUNCTION("""COMPUTED_VALUE"""),46055)</f>
        <v>46055</v>
      </c>
      <c r="K371" s="33" t="str">
        <f ca="1">IFERROR(__xludf.DUMMYFUNCTION("""COMPUTED_VALUE"""),"Factura audífonos")</f>
        <v>Factura audífonos</v>
      </c>
      <c r="L371" s="57">
        <f ca="1">IFERROR(__xludf.DUMMYFUNCTION("""COMPUTED_VALUE"""),46098)</f>
        <v>46098</v>
      </c>
      <c r="M371" s="58" t="str">
        <f ca="1">IFERROR(__xludf.DUMMYFUNCTION("""COMPUTED_VALUE"""),"NO")</f>
        <v>NO</v>
      </c>
      <c r="N371" s="56">
        <f ca="1">IFERROR(__xludf.DUMMYFUNCTION("""COMPUTED_VALUE"""),2)</f>
        <v>2</v>
      </c>
      <c r="O371" s="64" t="str">
        <f ca="1">IFERROR(__xludf.DUMMYFUNCTION("""COMPUTED_VALUE"""),"QUIET")</f>
        <v>QUIET</v>
      </c>
      <c r="P371" s="62">
        <f ca="1">IFERROR(__xludf.DUMMYFUNCTION("""COMPUTED_VALUE"""),2581.82)</f>
        <v>2581.8200000000002</v>
      </c>
      <c r="Q371" s="33" t="str">
        <f ca="1">IFERROR(__xludf.DUMMYFUNCTION("""COMPUTED_VALUE"""),"Maika Blázquez")</f>
        <v>Maika Blázquez</v>
      </c>
      <c r="R371" s="33" t="str">
        <f ca="1">IFERROR(__xludf.DUMMYFUNCTION("""COMPUTED_VALUE"""),"Julio López Moya")</f>
        <v>Julio López Moya</v>
      </c>
      <c r="S371" s="61" t="str">
        <f ca="1">IFERROR(__xludf.DUMMYFUNCTION("""COMPUTED_VALUE"""),"03 ORL")</f>
        <v>03 ORL</v>
      </c>
      <c r="T371" s="33" t="str">
        <f ca="1">IFERROR(__xludf.DUMMYFUNCTION("""COMPUTED_VALUE"""),"06 ORL")</f>
        <v>06 ORL</v>
      </c>
      <c r="U371" s="62"/>
      <c r="W371" s="62"/>
      <c r="X371" s="62"/>
    </row>
    <row r="372" spans="2:24" ht="16">
      <c r="B372" s="55" t="str">
        <f t="shared" ca="1" si="1"/>
        <v>LAA</v>
      </c>
      <c r="C372" s="64" t="str">
        <f ca="1">IFERROR(__xludf.DUMMYFUNCTION("""COMPUTED_VALUE"""),"LAA70")</f>
        <v>LAA70</v>
      </c>
      <c r="D372" s="33" t="str">
        <f ca="1">IFERROR(__xludf.DUMMYFUNCTION("""COMPUTED_VALUE"""),"PROPIOS")</f>
        <v>PROPIOS</v>
      </c>
      <c r="E372" s="33">
        <f ca="1">IFERROR(__xludf.DUMMYFUNCTION("""COMPUTED_VALUE"""),2026)</f>
        <v>2026</v>
      </c>
      <c r="F372" s="56">
        <f ca="1">IFERROR(__xludf.DUMMYFUNCTION("""COMPUTED_VALUE"""),3)</f>
        <v>3</v>
      </c>
      <c r="G372" s="33" t="str">
        <f ca="1">IFERROR(__xludf.DUMMYFUNCTION("""COMPUTED_VALUE"""),"Jerez de la Frontera")</f>
        <v>Jerez de la Frontera</v>
      </c>
      <c r="H372" s="33" t="str">
        <f ca="1">IFERROR(__xludf.DUMMYFUNCTION("""COMPUTED_VALUE"""),"C202622594953676825")</f>
        <v>C202622594953676825</v>
      </c>
      <c r="I372" s="33" t="str">
        <f ca="1">IFERROR(__xludf.DUMMYFUNCTION("""COMPUTED_VALUE"""),"SOLEDAD ESPINOSA CASTELLANO")</f>
        <v>SOLEDAD ESPINOSA CASTELLANO</v>
      </c>
      <c r="J372" s="57">
        <f ca="1">IFERROR(__xludf.DUMMYFUNCTION("""COMPUTED_VALUE"""),46078)</f>
        <v>46078</v>
      </c>
      <c r="K372" s="33" t="str">
        <f ca="1">IFERROR(__xludf.DUMMYFUNCTION("""COMPUTED_VALUE"""),"Factura audífonos")</f>
        <v>Factura audífonos</v>
      </c>
      <c r="L372" s="57">
        <f ca="1">IFERROR(__xludf.DUMMYFUNCTION("""COMPUTED_VALUE"""),46099)</f>
        <v>46099</v>
      </c>
      <c r="M372" s="64" t="str">
        <f ca="1">IFERROR(__xludf.DUMMYFUNCTION("""COMPUTED_VALUE"""),"NO")</f>
        <v>NO</v>
      </c>
      <c r="N372" s="56">
        <f ca="1">IFERROR(__xludf.DUMMYFUNCTION("""COMPUTED_VALUE"""),1)</f>
        <v>1</v>
      </c>
      <c r="O372" s="64" t="str">
        <f ca="1">IFERROR(__xludf.DUMMYFUNCTION("""COMPUTED_VALUE"""),"ADVANCED")</f>
        <v>ADVANCED</v>
      </c>
      <c r="P372" s="62">
        <f ca="1">IFERROR(__xludf.DUMMYFUNCTION("""COMPUTED_VALUE"""),2481.82)</f>
        <v>2481.8200000000002</v>
      </c>
      <c r="Q372" s="33" t="str">
        <f ca="1">IFERROR(__xludf.DUMMYFUNCTION("""COMPUTED_VALUE"""),"Luis Alberto Rodríguez")</f>
        <v>Luis Alberto Rodríguez</v>
      </c>
      <c r="R372" s="33" t="str">
        <f ca="1">IFERROR(__xludf.DUMMYFUNCTION("""COMPUTED_VALUE"""),"Guillermo Sierra Galera")</f>
        <v>Guillermo Sierra Galera</v>
      </c>
      <c r="S372" s="61" t="str">
        <f ca="1">IFERROR(__xludf.DUMMYFUNCTION("""COMPUTED_VALUE"""),"03 ORL")</f>
        <v>03 ORL</v>
      </c>
      <c r="T372" s="33" t="str">
        <f ca="1">IFERROR(__xludf.DUMMYFUNCTION("""COMPUTED_VALUE"""),"06 ORL")</f>
        <v>06 ORL</v>
      </c>
      <c r="U372" s="62"/>
      <c r="W372" s="62"/>
      <c r="X372" s="62"/>
    </row>
    <row r="373" spans="2:24" ht="16">
      <c r="B373" s="55" t="str">
        <f t="shared" ca="1" si="1"/>
        <v>MBM</v>
      </c>
      <c r="C373" s="64" t="str">
        <f ca="1">IFERROR(__xludf.DUMMYFUNCTION("""COMPUTED_VALUE"""),"MBM190")</f>
        <v>MBM190</v>
      </c>
      <c r="D373" s="33" t="str">
        <f ca="1">IFERROR(__xludf.DUMMYFUNCTION("""COMPUTED_VALUE"""),"PROPIOS")</f>
        <v>PROPIOS</v>
      </c>
      <c r="E373" s="33">
        <f ca="1">IFERROR(__xludf.DUMMYFUNCTION("""COMPUTED_VALUE"""),2026)</f>
        <v>2026</v>
      </c>
      <c r="F373" s="56">
        <f ca="1">IFERROR(__xludf.DUMMYFUNCTION("""COMPUTED_VALUE"""),3)</f>
        <v>3</v>
      </c>
      <c r="G373" s="33" t="str">
        <f ca="1">IFERROR(__xludf.DUMMYFUNCTION("""COMPUTED_VALUE"""),"Fuenlabrada")</f>
        <v>Fuenlabrada</v>
      </c>
      <c r="H373" s="33" t="str">
        <f ca="1">IFERROR(__xludf.DUMMYFUNCTION("""COMPUTED_VALUE"""),"C202622092248328206")</f>
        <v>C202622092248328206</v>
      </c>
      <c r="I373" s="33" t="str">
        <f ca="1">IFERROR(__xludf.DUMMYFUNCTION("""COMPUTED_VALUE"""),"FRANCISCO POLICARPO VERAS")</f>
        <v>FRANCISCO POLICARPO VERAS</v>
      </c>
      <c r="J373" s="57">
        <f ca="1">IFERROR(__xludf.DUMMYFUNCTION("""COMPUTED_VALUE"""),46073)</f>
        <v>46073</v>
      </c>
      <c r="K373" s="33" t="str">
        <f ca="1">IFERROR(__xludf.DUMMYFUNCTION("""COMPUTED_VALUE"""),"Factura audífonos")</f>
        <v>Factura audífonos</v>
      </c>
      <c r="L373" s="57">
        <f ca="1">IFERROR(__xludf.DUMMYFUNCTION("""COMPUTED_VALUE"""),46099)</f>
        <v>46099</v>
      </c>
      <c r="M373" s="64" t="str">
        <f ca="1">IFERROR(__xludf.DUMMYFUNCTION("""COMPUTED_VALUE"""),"NO")</f>
        <v>NO</v>
      </c>
      <c r="N373" s="56">
        <f ca="1">IFERROR(__xludf.DUMMYFUNCTION("""COMPUTED_VALUE"""),2)</f>
        <v>2</v>
      </c>
      <c r="O373" s="64" t="str">
        <f ca="1">IFERROR(__xludf.DUMMYFUNCTION("""COMPUTED_VALUE"""),"QUIET")</f>
        <v>QUIET</v>
      </c>
      <c r="P373" s="62">
        <f ca="1">IFERROR(__xludf.DUMMYFUNCTION("""COMPUTED_VALUE"""),2718.18)</f>
        <v>2718.18</v>
      </c>
      <c r="Q373" s="33" t="str">
        <f ca="1">IFERROR(__xludf.DUMMYFUNCTION("""COMPUTED_VALUE"""),"Maika Blázquez")</f>
        <v>Maika Blázquez</v>
      </c>
      <c r="R373" s="33" t="str">
        <f ca="1">IFERROR(__xludf.DUMMYFUNCTION("""COMPUTED_VALUE"""),"Cristina García García")</f>
        <v>Cristina García García</v>
      </c>
      <c r="S373" s="61" t="str">
        <f ca="1">IFERROR(__xludf.DUMMYFUNCTION("""COMPUTED_VALUE"""),"03 ORL")</f>
        <v>03 ORL</v>
      </c>
      <c r="T373" s="33" t="str">
        <f ca="1">IFERROR(__xludf.DUMMYFUNCTION("""COMPUTED_VALUE"""),"06 ORL")</f>
        <v>06 ORL</v>
      </c>
      <c r="U373" s="62"/>
      <c r="W373" s="62"/>
      <c r="X373" s="62"/>
    </row>
    <row r="374" spans="2:24" ht="16">
      <c r="B374" s="55" t="str">
        <f t="shared" ca="1" si="1"/>
        <v>MBM</v>
      </c>
      <c r="C374" s="64" t="str">
        <f ca="1">IFERROR(__xludf.DUMMYFUNCTION("""COMPUTED_VALUE"""),"MBM108")</f>
        <v>MBM108</v>
      </c>
      <c r="D374" s="33" t="str">
        <f ca="1">IFERROR(__xludf.DUMMYFUNCTION("""COMPUTED_VALUE"""),"PROPIOS")</f>
        <v>PROPIOS</v>
      </c>
      <c r="E374" s="33">
        <f ca="1">IFERROR(__xludf.DUMMYFUNCTION("""COMPUTED_VALUE"""),2026)</f>
        <v>2026</v>
      </c>
      <c r="F374" s="56">
        <f ca="1">IFERROR(__xludf.DUMMYFUNCTION("""COMPUTED_VALUE"""),3)</f>
        <v>3</v>
      </c>
      <c r="G374" s="33" t="str">
        <f ca="1">IFERROR(__xludf.DUMMYFUNCTION("""COMPUTED_VALUE"""),"Leganés")</f>
        <v>Leganés</v>
      </c>
      <c r="H374" s="33" t="str">
        <f ca="1">IFERROR(__xludf.DUMMYFUNCTION("""COMPUTED_VALUE"""),"C202612092442830153")</f>
        <v>C202612092442830153</v>
      </c>
      <c r="I374" s="33" t="str">
        <f ca="1">IFERROR(__xludf.DUMMYFUNCTION("""COMPUTED_VALUE"""),"ALVARO LADRON DE GUEVARA CUESTA")</f>
        <v>ALVARO LADRON DE GUEVARA CUESTA</v>
      </c>
      <c r="J374" s="57">
        <f ca="1">IFERROR(__xludf.DUMMYFUNCTION("""COMPUTED_VALUE"""),46042)</f>
        <v>46042</v>
      </c>
      <c r="K374" s="33" t="str">
        <f ca="1">IFERROR(__xludf.DUMMYFUNCTION("""COMPUTED_VALUE"""),"Factura audífonos")</f>
        <v>Factura audífonos</v>
      </c>
      <c r="L374" s="57">
        <f ca="1">IFERROR(__xludf.DUMMYFUNCTION("""COMPUTED_VALUE"""),46099)</f>
        <v>46099</v>
      </c>
      <c r="M374" s="64" t="str">
        <f ca="1">IFERROR(__xludf.DUMMYFUNCTION("""COMPUTED_VALUE"""),"NO")</f>
        <v>NO</v>
      </c>
      <c r="N374" s="56">
        <f ca="1">IFERROR(__xludf.DUMMYFUNCTION("""COMPUTED_VALUE"""),1)</f>
        <v>1</v>
      </c>
      <c r="O374" s="64" t="str">
        <f ca="1">IFERROR(__xludf.DUMMYFUNCTION("""COMPUTED_VALUE"""),"ADVANCED")</f>
        <v>ADVANCED</v>
      </c>
      <c r="P374" s="62">
        <f ca="1">IFERROR(__xludf.DUMMYFUNCTION("""COMPUTED_VALUE"""),2481.82)</f>
        <v>2481.8200000000002</v>
      </c>
      <c r="Q374" s="33" t="str">
        <f ca="1">IFERROR(__xludf.DUMMYFUNCTION("""COMPUTED_VALUE"""),"Maika Blázquez")</f>
        <v>Maika Blázquez</v>
      </c>
      <c r="R374" s="33" t="str">
        <f ca="1">IFERROR(__xludf.DUMMYFUNCTION("""COMPUTED_VALUE"""),"Mar Lasso de la Vega Zamora")</f>
        <v>Mar Lasso de la Vega Zamora</v>
      </c>
      <c r="S374" s="61" t="str">
        <f ca="1">IFERROR(__xludf.DUMMYFUNCTION("""COMPUTED_VALUE"""),"03 ORL")</f>
        <v>03 ORL</v>
      </c>
      <c r="T374" s="33" t="str">
        <f ca="1">IFERROR(__xludf.DUMMYFUNCTION("""COMPUTED_VALUE"""),"06 ORL")</f>
        <v>06 ORL</v>
      </c>
      <c r="U374" s="62"/>
      <c r="W374" s="62"/>
      <c r="X374" s="62"/>
    </row>
    <row r="375" spans="2:24" ht="16">
      <c r="B375" s="55" t="str">
        <f t="shared" ca="1" si="1"/>
        <v>PSC</v>
      </c>
      <c r="C375" s="64" t="str">
        <f ca="1">IFERROR(__xludf.DUMMYFUNCTION("""COMPUTED_VALUE"""),"PSC49")</f>
        <v>PSC49</v>
      </c>
      <c r="D375" s="33" t="str">
        <f ca="1">IFERROR(__xludf.DUMMYFUNCTION("""COMPUTED_VALUE"""),"ASOCIADOS")</f>
        <v>ASOCIADOS</v>
      </c>
      <c r="E375" s="33">
        <f ca="1">IFERROR(__xludf.DUMMYFUNCTION("""COMPUTED_VALUE"""),2026)</f>
        <v>2026</v>
      </c>
      <c r="F375" s="56">
        <f ca="1">IFERROR(__xludf.DUMMYFUNCTION("""COMPUTED_VALUE"""),3)</f>
        <v>3</v>
      </c>
      <c r="G375" s="33" t="str">
        <f ca="1">IFERROR(__xludf.DUMMYFUNCTION("""COMPUTED_VALUE"""),"Valladolid")</f>
        <v>Valladolid</v>
      </c>
      <c r="H375" s="33" t="str">
        <f ca="1">IFERROR(__xludf.DUMMYFUNCTION("""COMPUTED_VALUE"""),"VLL-61")</f>
        <v>VLL-61</v>
      </c>
      <c r="I375" s="33" t="str">
        <f ca="1">IFERROR(__xludf.DUMMYFUNCTION("""COMPUTED_VALUE"""),"TOMAS DEL CAMPO LOPEZ")</f>
        <v>TOMAS DEL CAMPO LOPEZ</v>
      </c>
      <c r="J375" s="57">
        <f ca="1">IFERROR(__xludf.DUMMYFUNCTION("""COMPUTED_VALUE"""),45180)</f>
        <v>45180</v>
      </c>
      <c r="K375" s="33" t="str">
        <f ca="1">IFERROR(__xludf.DUMMYFUNCTION("""COMPUTED_VALUE"""),"Factura audífonos")</f>
        <v>Factura audífonos</v>
      </c>
      <c r="L375" s="57">
        <f ca="1">IFERROR(__xludf.DUMMYFUNCTION("""COMPUTED_VALUE"""),46099)</f>
        <v>46099</v>
      </c>
      <c r="M375" s="64" t="str">
        <f ca="1">IFERROR(__xludf.DUMMYFUNCTION("""COMPUTED_VALUE"""),"NO")</f>
        <v>NO</v>
      </c>
      <c r="N375" s="56">
        <f ca="1">IFERROR(__xludf.DUMMYFUNCTION("""COMPUTED_VALUE"""),1)</f>
        <v>1</v>
      </c>
      <c r="O375" s="64" t="str">
        <f ca="1">IFERROR(__xludf.DUMMYFUNCTION("""COMPUTED_VALUE"""),"ADVANCED")</f>
        <v>ADVANCED</v>
      </c>
      <c r="P375" s="62">
        <f ca="1">IFERROR(__xludf.DUMMYFUNCTION("""COMPUTED_VALUE"""),1636.36)</f>
        <v>1636.36</v>
      </c>
      <c r="Q375" s="33" t="str">
        <f ca="1">IFERROR(__xludf.DUMMYFUNCTION("""COMPUTED_VALUE"""),"Alberto Moreno")</f>
        <v>Alberto Moreno</v>
      </c>
      <c r="R375" s="33" t="str">
        <f ca="1">IFERROR(__xludf.DUMMYFUNCTION("""COMPUTED_VALUE"""),"Patricia Viveros Diez")</f>
        <v>Patricia Viveros Diez</v>
      </c>
      <c r="S375" s="61" t="str">
        <f ca="1">IFERROR(__xludf.DUMMYFUNCTION("""COMPUTED_VALUE"""),"03 ORL")</f>
        <v>03 ORL</v>
      </c>
      <c r="T375" s="33" t="str">
        <f ca="1">IFERROR(__xludf.DUMMYFUNCTION("""COMPUTED_VALUE"""),"06 ORL")</f>
        <v>06 ORL</v>
      </c>
      <c r="U375" s="62"/>
      <c r="W375" s="62"/>
      <c r="X375" s="62"/>
    </row>
    <row r="376" spans="2:24" ht="16">
      <c r="B376" s="55" t="str">
        <f t="shared" ca="1" si="1"/>
        <v>MBM</v>
      </c>
      <c r="C376" s="64" t="str">
        <f ca="1">IFERROR(__xludf.DUMMYFUNCTION("""COMPUTED_VALUE"""),"MBM50")</f>
        <v>MBM50</v>
      </c>
      <c r="D376" s="33" t="str">
        <f ca="1">IFERROR(__xludf.DUMMYFUNCTION("""COMPUTED_VALUE"""),"PROPIOS")</f>
        <v>PROPIOS</v>
      </c>
      <c r="E376" s="33">
        <f ca="1">IFERROR(__xludf.DUMMYFUNCTION("""COMPUTED_VALUE"""),2026)</f>
        <v>2026</v>
      </c>
      <c r="F376" s="56">
        <f ca="1">IFERROR(__xludf.DUMMYFUNCTION("""COMPUTED_VALUE"""),3)</f>
        <v>3</v>
      </c>
      <c r="G376" s="33" t="str">
        <f ca="1">IFERROR(__xludf.DUMMYFUNCTION("""COMPUTED_VALUE"""),"Madrid- Canillas")</f>
        <v>Madrid- Canillas</v>
      </c>
      <c r="H376" s="33" t="str">
        <f ca="1">IFERROR(__xludf.DUMMYFUNCTION("""COMPUTED_VALUE"""),"C20262261201663579")</f>
        <v>C20262261201663579</v>
      </c>
      <c r="I376" s="33" t="str">
        <f ca="1">IFERROR(__xludf.DUMMYFUNCTION("""COMPUTED_VALUE"""),"CARMEN ESTEBAN MARTÍNEZ")</f>
        <v>CARMEN ESTEBAN MARTÍNEZ</v>
      </c>
      <c r="J376" s="57">
        <f ca="1">IFERROR(__xludf.DUMMYFUNCTION("""COMPUTED_VALUE"""),46079)</f>
        <v>46079</v>
      </c>
      <c r="K376" s="33" t="str">
        <f ca="1">IFERROR(__xludf.DUMMYFUNCTION("""COMPUTED_VALUE"""),"Factura audífonos")</f>
        <v>Factura audífonos</v>
      </c>
      <c r="L376" s="57">
        <f ca="1">IFERROR(__xludf.DUMMYFUNCTION("""COMPUTED_VALUE"""),46099)</f>
        <v>46099</v>
      </c>
      <c r="M376" s="64" t="str">
        <f ca="1">IFERROR(__xludf.DUMMYFUNCTION("""COMPUTED_VALUE"""),"NO")</f>
        <v>NO</v>
      </c>
      <c r="N376" s="56">
        <f ca="1">IFERROR(__xludf.DUMMYFUNCTION("""COMPUTED_VALUE"""),2)</f>
        <v>2</v>
      </c>
      <c r="O376" s="64" t="str">
        <f ca="1">IFERROR(__xludf.DUMMYFUNCTION("""COMPUTED_VALUE"""),"QUIET")</f>
        <v>QUIET</v>
      </c>
      <c r="P376" s="62">
        <f ca="1">IFERROR(__xludf.DUMMYFUNCTION("""COMPUTED_VALUE"""),2718.18)</f>
        <v>2718.18</v>
      </c>
      <c r="Q376" s="33" t="str">
        <f ca="1">IFERROR(__xludf.DUMMYFUNCTION("""COMPUTED_VALUE"""),"Maika Blázquez")</f>
        <v>Maika Blázquez</v>
      </c>
      <c r="R376" s="33" t="str">
        <f ca="1">IFERROR(__xludf.DUMMYFUNCTION("""COMPUTED_VALUE"""),"José Gustavo Barroso Braojos")</f>
        <v>José Gustavo Barroso Braojos</v>
      </c>
      <c r="S376" s="61" t="str">
        <f ca="1">IFERROR(__xludf.DUMMYFUNCTION("""COMPUTED_VALUE"""),"03 ORL")</f>
        <v>03 ORL</v>
      </c>
      <c r="T376" s="33" t="str">
        <f ca="1">IFERROR(__xludf.DUMMYFUNCTION("""COMPUTED_VALUE"""),"06 ORL")</f>
        <v>06 ORL</v>
      </c>
      <c r="U376" s="62"/>
      <c r="W376" s="62"/>
      <c r="X376" s="62"/>
    </row>
    <row r="377" spans="2:24" ht="16">
      <c r="B377" s="55" t="str">
        <f t="shared" si="1"/>
        <v/>
      </c>
      <c r="C377" s="64"/>
      <c r="D377" s="33" t="str">
        <f ca="1">IFERROR(__xludf.DUMMYFUNCTION("""COMPUTED_VALUE"""),"ASOCIADOS")</f>
        <v>ASOCIADOS</v>
      </c>
      <c r="E377" s="33">
        <f ca="1">IFERROR(__xludf.DUMMYFUNCTION("""COMPUTED_VALUE"""),2026)</f>
        <v>2026</v>
      </c>
      <c r="F377" s="56">
        <f ca="1">IFERROR(__xludf.DUMMYFUNCTION("""COMPUTED_VALUE"""),3)</f>
        <v>3</v>
      </c>
      <c r="G377" s="33" t="str">
        <f ca="1">IFERROR(__xludf.DUMMYFUNCTION("""COMPUTED_VALUE"""),"Ponferrada")</f>
        <v>Ponferrada</v>
      </c>
      <c r="H377" s="33" t="str">
        <f ca="1">IFERROR(__xludf.DUMMYFUNCTION("""COMPUTED_VALUE"""),"C202613011434597541")</f>
        <v>C202613011434597541</v>
      </c>
      <c r="I377" s="33" t="str">
        <f ca="1">IFERROR(__xludf.DUMMYFUNCTION("""COMPUTED_VALUE"""),"PORFILIO ALBA PONCELAS")</f>
        <v>PORFILIO ALBA PONCELAS</v>
      </c>
      <c r="J377" s="57">
        <f ca="1">IFERROR(__xludf.DUMMYFUNCTION("""COMPUTED_VALUE"""),46052)</f>
        <v>46052</v>
      </c>
      <c r="K377" s="33" t="str">
        <f ca="1">IFERROR(__xludf.DUMMYFUNCTION("""COMPUTED_VALUE"""),"Factura audífonos")</f>
        <v>Factura audífonos</v>
      </c>
      <c r="L377" s="57">
        <f ca="1">IFERROR(__xludf.DUMMYFUNCTION("""COMPUTED_VALUE"""),46099)</f>
        <v>46099</v>
      </c>
      <c r="M377" s="64" t="str">
        <f ca="1">IFERROR(__xludf.DUMMYFUNCTION("""COMPUTED_VALUE"""),"NO")</f>
        <v>NO</v>
      </c>
      <c r="N377" s="56">
        <f ca="1">IFERROR(__xludf.DUMMYFUNCTION("""COMPUTED_VALUE"""),2)</f>
        <v>2</v>
      </c>
      <c r="O377" s="64" t="str">
        <f ca="1">IFERROR(__xludf.DUMMYFUNCTION("""COMPUTED_VALUE"""),"ADVANCED")</f>
        <v>ADVANCED</v>
      </c>
      <c r="P377" s="62">
        <f ca="1">IFERROR(__xludf.DUMMYFUNCTION("""COMPUTED_VALUE"""),3909.09)</f>
        <v>3909.09</v>
      </c>
      <c r="Q377" s="33" t="str">
        <f ca="1">IFERROR(__xludf.DUMMYFUNCTION("""COMPUTED_VALUE"""),"Alberto Moreno")</f>
        <v>Alberto Moreno</v>
      </c>
      <c r="R377" s="1" t="str">
        <f ca="1">IFERROR(__xludf.DUMMYFUNCTION("""COMPUTED_VALUE"""),"No recuerda ORL")</f>
        <v>No recuerda ORL</v>
      </c>
      <c r="S377" s="61" t="str">
        <f ca="1">IFERROR(__xludf.DUMMYFUNCTION("""COMPUTED_VALUE"""),"03 ORL")</f>
        <v>03 ORL</v>
      </c>
      <c r="T377" s="33" t="str">
        <f ca="1">IFERROR(__xludf.DUMMYFUNCTION("""COMPUTED_VALUE"""),"22 AUDIOMETRIA CLINICA")</f>
        <v>22 AUDIOMETRIA CLINICA</v>
      </c>
      <c r="U377" s="62"/>
      <c r="W377" s="62"/>
      <c r="X377" s="62"/>
    </row>
    <row r="378" spans="2:24" ht="16">
      <c r="B378" s="55" t="str">
        <f t="shared" ca="1" si="1"/>
        <v>MBM</v>
      </c>
      <c r="C378" s="64" t="str">
        <f ca="1">IFERROR(__xludf.DUMMYFUNCTION("""COMPUTED_VALUE"""),"MBM201")</f>
        <v>MBM201</v>
      </c>
      <c r="D378" s="33" t="str">
        <f ca="1">IFERROR(__xludf.DUMMYFUNCTION("""COMPUTED_VALUE"""),"PROPIOS")</f>
        <v>PROPIOS</v>
      </c>
      <c r="E378" s="33">
        <f ca="1">IFERROR(__xludf.DUMMYFUNCTION("""COMPUTED_VALUE"""),2026)</f>
        <v>2026</v>
      </c>
      <c r="F378" s="56">
        <f ca="1">IFERROR(__xludf.DUMMYFUNCTION("""COMPUTED_VALUE"""),3)</f>
        <v>3</v>
      </c>
      <c r="G378" s="33" t="str">
        <f ca="1">IFERROR(__xludf.DUMMYFUNCTION("""COMPUTED_VALUE"""),"Madrid- Juan Bravo")</f>
        <v>Madrid- Juan Bravo</v>
      </c>
      <c r="H378" s="33" t="str">
        <f ca="1">IFERROR(__xludf.DUMMYFUNCTION("""COMPUTED_VALUE"""),"C202622595331963569")</f>
        <v>C202622595331963569</v>
      </c>
      <c r="I378" s="33" t="str">
        <f ca="1">IFERROR(__xludf.DUMMYFUNCTION("""COMPUTED_VALUE"""),"ALMUDENA HAURIE MENA")</f>
        <v>ALMUDENA HAURIE MENA</v>
      </c>
      <c r="J378" s="57">
        <f ca="1">IFERROR(__xludf.DUMMYFUNCTION("""COMPUTED_VALUE"""),46078)</f>
        <v>46078</v>
      </c>
      <c r="K378" s="33" t="str">
        <f ca="1">IFERROR(__xludf.DUMMYFUNCTION("""COMPUTED_VALUE"""),"Factura audífonos")</f>
        <v>Factura audífonos</v>
      </c>
      <c r="L378" s="57">
        <f ca="1">IFERROR(__xludf.DUMMYFUNCTION("""COMPUTED_VALUE"""),46099)</f>
        <v>46099</v>
      </c>
      <c r="M378" s="64" t="str">
        <f ca="1">IFERROR(__xludf.DUMMYFUNCTION("""COMPUTED_VALUE"""),"NO")</f>
        <v>NO</v>
      </c>
      <c r="N378" s="56">
        <f ca="1">IFERROR(__xludf.DUMMYFUNCTION("""COMPUTED_VALUE"""),2)</f>
        <v>2</v>
      </c>
      <c r="O378" s="64" t="str">
        <f ca="1">IFERROR(__xludf.DUMMYFUNCTION("""COMPUTED_VALUE"""),"QUIET")</f>
        <v>QUIET</v>
      </c>
      <c r="P378" s="62">
        <f ca="1">IFERROR(__xludf.DUMMYFUNCTION("""COMPUTED_VALUE"""),2718.18)</f>
        <v>2718.18</v>
      </c>
      <c r="Q378" s="33" t="str">
        <f ca="1">IFERROR(__xludf.DUMMYFUNCTION("""COMPUTED_VALUE"""),"Maika Blázquez")</f>
        <v>Maika Blázquez</v>
      </c>
      <c r="R378" s="33" t="str">
        <f ca="1">IFERROR(__xludf.DUMMYFUNCTION("""COMPUTED_VALUE"""),"María Cecilia Scola Torres")</f>
        <v>María Cecilia Scola Torres</v>
      </c>
      <c r="S378" s="61" t="str">
        <f ca="1">IFERROR(__xludf.DUMMYFUNCTION("""COMPUTED_VALUE"""),"03 ORL")</f>
        <v>03 ORL</v>
      </c>
      <c r="T378" s="33" t="str">
        <f ca="1">IFERROR(__xludf.DUMMYFUNCTION("""COMPUTED_VALUE"""),"06 ORL")</f>
        <v>06 ORL</v>
      </c>
      <c r="U378" s="62"/>
      <c r="W378" s="62"/>
      <c r="X378" s="62"/>
    </row>
    <row r="379" spans="2:24" ht="16">
      <c r="B379" s="55" t="str">
        <f t="shared" ca="1" si="1"/>
        <v>MBM</v>
      </c>
      <c r="C379" s="64" t="str">
        <f ca="1">IFERROR(__xludf.DUMMYFUNCTION("""COMPUTED_VALUE"""),"MBM03")</f>
        <v>MBM03</v>
      </c>
      <c r="D379" s="33" t="str">
        <f ca="1">IFERROR(__xludf.DUMMYFUNCTION("""COMPUTED_VALUE"""),"PROPIOS")</f>
        <v>PROPIOS</v>
      </c>
      <c r="E379" s="33">
        <f ca="1">IFERROR(__xludf.DUMMYFUNCTION("""COMPUTED_VALUE"""),2026)</f>
        <v>2026</v>
      </c>
      <c r="F379" s="56">
        <f ca="1">IFERROR(__xludf.DUMMYFUNCTION("""COMPUTED_VALUE"""),3)</f>
        <v>3</v>
      </c>
      <c r="G379" s="33" t="str">
        <f ca="1">IFERROR(__xludf.DUMMYFUNCTION("""COMPUTED_VALUE"""),"Getafe")</f>
        <v>Getafe</v>
      </c>
      <c r="H379" s="33" t="str">
        <f ca="1">IFERROR(__xludf.DUMMYFUNCTION("""COMPUTED_VALUE"""),"C202611410423796600")</f>
        <v>C202611410423796600</v>
      </c>
      <c r="I379" s="33" t="str">
        <f ca="1">IFERROR(__xludf.DUMMYFUNCTION("""COMPUTED_VALUE"""),"PILAR SANCHO HERNANDEZ")</f>
        <v>PILAR SANCHO HERNANDEZ</v>
      </c>
      <c r="J379" s="57">
        <f ca="1">IFERROR(__xludf.DUMMYFUNCTION("""COMPUTED_VALUE"""),46036)</f>
        <v>46036</v>
      </c>
      <c r="K379" s="33" t="str">
        <f ca="1">IFERROR(__xludf.DUMMYFUNCTION("""COMPUTED_VALUE"""),"Factura audífonos")</f>
        <v>Factura audífonos</v>
      </c>
      <c r="L379" s="57">
        <f ca="1">IFERROR(__xludf.DUMMYFUNCTION("""COMPUTED_VALUE"""),46099)</f>
        <v>46099</v>
      </c>
      <c r="M379" s="64" t="str">
        <f ca="1">IFERROR(__xludf.DUMMYFUNCTION("""COMPUTED_VALUE"""),"NO")</f>
        <v>NO</v>
      </c>
      <c r="N379" s="56">
        <f ca="1">IFERROR(__xludf.DUMMYFUNCTION("""COMPUTED_VALUE"""),1)</f>
        <v>1</v>
      </c>
      <c r="O379" s="64" t="str">
        <f ca="1">IFERROR(__xludf.DUMMYFUNCTION("""COMPUTED_VALUE"""),"CONFORT")</f>
        <v>CONFORT</v>
      </c>
      <c r="P379" s="62">
        <f ca="1">IFERROR(__xludf.DUMMYFUNCTION("""COMPUTED_VALUE"""),2180.91)</f>
        <v>2180.91</v>
      </c>
      <c r="Q379" s="33" t="str">
        <f ca="1">IFERROR(__xludf.DUMMYFUNCTION("""COMPUTED_VALUE"""),"Maika Blázquez")</f>
        <v>Maika Blázquez</v>
      </c>
      <c r="R379" s="33" t="str">
        <f ca="1">IFERROR(__xludf.DUMMYFUNCTION("""COMPUTED_VALUE"""),"Alejandro Harguindey Antoli-Candela")</f>
        <v>Alejandro Harguindey Antoli-Candela</v>
      </c>
      <c r="S379" s="61" t="str">
        <f ca="1">IFERROR(__xludf.DUMMYFUNCTION("""COMPUTED_VALUE"""),"03 ORL")</f>
        <v>03 ORL</v>
      </c>
      <c r="T379" s="33" t="str">
        <f ca="1">IFERROR(__xludf.DUMMYFUNCTION("""COMPUTED_VALUE"""),"06 ORL")</f>
        <v>06 ORL</v>
      </c>
      <c r="U379" s="62"/>
      <c r="W379" s="62"/>
      <c r="X379" s="62"/>
    </row>
    <row r="380" spans="2:24" ht="16">
      <c r="B380" s="55" t="str">
        <f t="shared" ca="1" si="1"/>
        <v>ISL</v>
      </c>
      <c r="C380" s="64" t="str">
        <f ca="1">IFERROR(__xludf.DUMMYFUNCTION("""COMPUTED_VALUE"""),"ISL128")</f>
        <v>ISL128</v>
      </c>
      <c r="D380" s="33" t="str">
        <f ca="1">IFERROR(__xludf.DUMMYFUNCTION("""COMPUTED_VALUE"""),"PROPIOS")</f>
        <v>PROPIOS</v>
      </c>
      <c r="E380" s="33">
        <f ca="1">IFERROR(__xludf.DUMMYFUNCTION("""COMPUTED_VALUE"""),2026)</f>
        <v>2026</v>
      </c>
      <c r="F380" s="56">
        <f ca="1">IFERROR(__xludf.DUMMYFUNCTION("""COMPUTED_VALUE"""),3)</f>
        <v>3</v>
      </c>
      <c r="G380" s="33" t="str">
        <f ca="1">IFERROR(__xludf.DUMMYFUNCTION("""COMPUTED_VALUE"""),"Murcia")</f>
        <v>Murcia</v>
      </c>
      <c r="H380" s="33" t="str">
        <f ca="1">IFERROR(__xludf.DUMMYFUNCTION("""COMPUTED_VALUE"""),"C202621610292016314")</f>
        <v>C202621610292016314</v>
      </c>
      <c r="I380" s="33" t="str">
        <f ca="1">IFERROR(__xludf.DUMMYFUNCTION("""COMPUTED_VALUE"""),"FRANCISCO MOTOS VELEZ")</f>
        <v>FRANCISCO MOTOS VELEZ</v>
      </c>
      <c r="J380" s="57">
        <f ca="1">IFERROR(__xludf.DUMMYFUNCTION("""COMPUTED_VALUE"""),46069)</f>
        <v>46069</v>
      </c>
      <c r="K380" s="33" t="str">
        <f ca="1">IFERROR(__xludf.DUMMYFUNCTION("""COMPUTED_VALUE"""),"Factura audífonos")</f>
        <v>Factura audífonos</v>
      </c>
      <c r="L380" s="57">
        <f ca="1">IFERROR(__xludf.DUMMYFUNCTION("""COMPUTED_VALUE"""),46099)</f>
        <v>46099</v>
      </c>
      <c r="M380" s="64" t="str">
        <f ca="1">IFERROR(__xludf.DUMMYFUNCTION("""COMPUTED_VALUE"""),"NO")</f>
        <v>NO</v>
      </c>
      <c r="N380" s="56">
        <f ca="1">IFERROR(__xludf.DUMMYFUNCTION("""COMPUTED_VALUE"""),2)</f>
        <v>2</v>
      </c>
      <c r="O380" s="64" t="str">
        <f ca="1">IFERROR(__xludf.DUMMYFUNCTION("""COMPUTED_VALUE"""),"QUIET")</f>
        <v>QUIET</v>
      </c>
      <c r="P380" s="62">
        <f ca="1">IFERROR(__xludf.DUMMYFUNCTION("""COMPUTED_VALUE"""),2717.31)</f>
        <v>2717.31</v>
      </c>
      <c r="Q380" s="33" t="str">
        <f ca="1">IFERROR(__xludf.DUMMYFUNCTION("""COMPUTED_VALUE"""),"Iván Sánchez")</f>
        <v>Iván Sánchez</v>
      </c>
      <c r="R380" s="1" t="str">
        <f ca="1">IFERROR(__xludf.DUMMYFUNCTION("""COMPUTED_VALUE"""),"Nuria Salas Barrio")</f>
        <v>Nuria Salas Barrio</v>
      </c>
      <c r="S380" s="61" t="str">
        <f ca="1">IFERROR(__xludf.DUMMYFUNCTION("""COMPUTED_VALUE"""),"03 ORL")</f>
        <v>03 ORL</v>
      </c>
      <c r="T380" s="33" t="str">
        <f ca="1">IFERROR(__xludf.DUMMYFUNCTION("""COMPUTED_VALUE"""),"06 ORL")</f>
        <v>06 ORL</v>
      </c>
      <c r="U380" s="62"/>
      <c r="W380" s="62"/>
      <c r="X380" s="62"/>
    </row>
    <row r="381" spans="2:24" ht="16">
      <c r="B381" s="55" t="str">
        <f t="shared" ca="1" si="1"/>
        <v>ISL</v>
      </c>
      <c r="C381" s="64" t="str">
        <f ca="1">IFERROR(__xludf.DUMMYFUNCTION("""COMPUTED_VALUE"""),"ISL74")</f>
        <v>ISL74</v>
      </c>
      <c r="D381" s="33" t="str">
        <f ca="1">IFERROR(__xludf.DUMMYFUNCTION("""COMPUTED_VALUE"""),"PROPIOS")</f>
        <v>PROPIOS</v>
      </c>
      <c r="E381" s="33">
        <f ca="1">IFERROR(__xludf.DUMMYFUNCTION("""COMPUTED_VALUE"""),2026)</f>
        <v>2026</v>
      </c>
      <c r="F381" s="56">
        <f ca="1">IFERROR(__xludf.DUMMYFUNCTION("""COMPUTED_VALUE"""),3)</f>
        <v>3</v>
      </c>
      <c r="G381" s="33" t="str">
        <f ca="1">IFERROR(__xludf.DUMMYFUNCTION("""COMPUTED_VALUE"""),"Alicante")</f>
        <v>Alicante</v>
      </c>
      <c r="H381" s="33" t="str">
        <f ca="1">IFERROR(__xludf.DUMMYFUNCTION("""COMPUTED_VALUE"""),"C202621615224716087")</f>
        <v>C202621615224716087</v>
      </c>
      <c r="I381" s="33" t="str">
        <f ca="1">IFERROR(__xludf.DUMMYFUNCTION("""COMPUTED_VALUE"""),"LUIS RAMON MATAIX")</f>
        <v>LUIS RAMON MATAIX</v>
      </c>
      <c r="J381" s="57">
        <f ca="1">IFERROR(__xludf.DUMMYFUNCTION("""COMPUTED_VALUE"""),46069)</f>
        <v>46069</v>
      </c>
      <c r="K381" s="33" t="str">
        <f ca="1">IFERROR(__xludf.DUMMYFUNCTION("""COMPUTED_VALUE"""),"Factura audífonos")</f>
        <v>Factura audífonos</v>
      </c>
      <c r="L381" s="57">
        <f ca="1">IFERROR(__xludf.DUMMYFUNCTION("""COMPUTED_VALUE"""),46099)</f>
        <v>46099</v>
      </c>
      <c r="M381" s="64" t="str">
        <f ca="1">IFERROR(__xludf.DUMMYFUNCTION("""COMPUTED_VALUE"""),"NO")</f>
        <v>NO</v>
      </c>
      <c r="N381" s="56">
        <f ca="1">IFERROR(__xludf.DUMMYFUNCTION("""COMPUTED_VALUE"""),1)</f>
        <v>1</v>
      </c>
      <c r="O381" s="64" t="str">
        <f ca="1">IFERROR(__xludf.DUMMYFUNCTION("""COMPUTED_VALUE"""),"ADVANCED")</f>
        <v>ADVANCED</v>
      </c>
      <c r="P381" s="62">
        <f ca="1">IFERROR(__xludf.DUMMYFUNCTION("""COMPUTED_VALUE"""),2481.82)</f>
        <v>2481.8200000000002</v>
      </c>
      <c r="Q381" s="33" t="str">
        <f ca="1">IFERROR(__xludf.DUMMYFUNCTION("""COMPUTED_VALUE"""),"Iván Sánchez")</f>
        <v>Iván Sánchez</v>
      </c>
      <c r="R381" s="33" t="str">
        <f ca="1">IFERROR(__xludf.DUMMYFUNCTION("""COMPUTED_VALUE"""),"Oscar Alemán López")</f>
        <v>Oscar Alemán López</v>
      </c>
      <c r="S381" s="61" t="str">
        <f ca="1">IFERROR(__xludf.DUMMYFUNCTION("""COMPUTED_VALUE"""),"03 ORL")</f>
        <v>03 ORL</v>
      </c>
      <c r="T381" s="33" t="str">
        <f ca="1">IFERROR(__xludf.DUMMYFUNCTION("""COMPUTED_VALUE"""),"06 ORL")</f>
        <v>06 ORL</v>
      </c>
      <c r="U381" s="62"/>
      <c r="W381" s="62"/>
      <c r="X381" s="62"/>
    </row>
    <row r="382" spans="2:24" ht="16">
      <c r="B382" s="55" t="str">
        <f t="shared" ca="1" si="1"/>
        <v>LRM</v>
      </c>
      <c r="C382" s="64" t="str">
        <f ca="1">IFERROR(__xludf.DUMMYFUNCTION("""COMPUTED_VALUE"""),"LRM117")</f>
        <v>LRM117</v>
      </c>
      <c r="D382" s="33" t="str">
        <f ca="1">IFERROR(__xludf.DUMMYFUNCTION("""COMPUTED_VALUE"""),"PROPIOS")</f>
        <v>PROPIOS</v>
      </c>
      <c r="E382" s="33">
        <f ca="1">IFERROR(__xludf.DUMMYFUNCTION("""COMPUTED_VALUE"""),2026)</f>
        <v>2026</v>
      </c>
      <c r="F382" s="56">
        <f ca="1">IFERROR(__xludf.DUMMYFUNCTION("""COMPUTED_VALUE"""),3)</f>
        <v>3</v>
      </c>
      <c r="G382" s="33" t="str">
        <f ca="1">IFERROR(__xludf.DUMMYFUNCTION("""COMPUTED_VALUE"""),"Fuenlabrada")</f>
        <v>Fuenlabrada</v>
      </c>
      <c r="H382" s="33" t="str">
        <f ca="1">IFERROR(__xludf.DUMMYFUNCTION("""COMPUTED_VALUE"""),"C20262101044647935")</f>
        <v>C20262101044647935</v>
      </c>
      <c r="I382" s="33" t="str">
        <f ca="1">IFERROR(__xludf.DUMMYFUNCTION("""COMPUTED_VALUE"""),"MANUEL COBOS SANCHEZ")</f>
        <v>MANUEL COBOS SANCHEZ</v>
      </c>
      <c r="J382" s="57">
        <f ca="1">IFERROR(__xludf.DUMMYFUNCTION("""COMPUTED_VALUE"""),46063)</f>
        <v>46063</v>
      </c>
      <c r="K382" s="33" t="str">
        <f ca="1">IFERROR(__xludf.DUMMYFUNCTION("""COMPUTED_VALUE"""),"Factura audífonos")</f>
        <v>Factura audífonos</v>
      </c>
      <c r="L382" s="57">
        <f ca="1">IFERROR(__xludf.DUMMYFUNCTION("""COMPUTED_VALUE"""),46100)</f>
        <v>46100</v>
      </c>
      <c r="M382" s="64" t="str">
        <f ca="1">IFERROR(__xludf.DUMMYFUNCTION("""COMPUTED_VALUE"""),"NO")</f>
        <v>NO</v>
      </c>
      <c r="N382" s="56">
        <f ca="1">IFERROR(__xludf.DUMMYFUNCTION("""COMPUTED_VALUE"""),2)</f>
        <v>2</v>
      </c>
      <c r="O382" s="64" t="str">
        <f ca="1">IFERROR(__xludf.DUMMYFUNCTION("""COMPUTED_VALUE"""),"QUIET")</f>
        <v>QUIET</v>
      </c>
      <c r="P382" s="62">
        <f ca="1">IFERROR(__xludf.DUMMYFUNCTION("""COMPUTED_VALUE"""),2528.18)</f>
        <v>2528.1799999999998</v>
      </c>
      <c r="Q382" s="33" t="str">
        <f ca="1">IFERROR(__xludf.DUMMYFUNCTION("""COMPUTED_VALUE"""),"Lisandro Russian")</f>
        <v>Lisandro Russian</v>
      </c>
      <c r="R382" s="33" t="str">
        <f ca="1">IFERROR(__xludf.DUMMYFUNCTION("""COMPUTED_VALUE"""),"Ramón Martínez Carranza")</f>
        <v>Ramón Martínez Carranza</v>
      </c>
      <c r="S382" s="61" t="str">
        <f ca="1">IFERROR(__xludf.DUMMYFUNCTION("""COMPUTED_VALUE"""),"03 ORL")</f>
        <v>03 ORL</v>
      </c>
      <c r="T382" s="33" t="str">
        <f ca="1">IFERROR(__xludf.DUMMYFUNCTION("""COMPUTED_VALUE"""),"06 ORL")</f>
        <v>06 ORL</v>
      </c>
      <c r="U382" s="62"/>
      <c r="W382" s="62"/>
      <c r="X382" s="62"/>
    </row>
    <row r="383" spans="2:24" ht="16">
      <c r="B383" s="55" t="str">
        <f t="shared" ca="1" si="1"/>
        <v>PSC</v>
      </c>
      <c r="C383" s="64" t="str">
        <f ca="1">IFERROR(__xludf.DUMMYFUNCTION("""COMPUTED_VALUE"""),"PSC47")</f>
        <v>PSC47</v>
      </c>
      <c r="D383" s="33" t="str">
        <f ca="1">IFERROR(__xludf.DUMMYFUNCTION("""COMPUTED_VALUE"""),"ASOCIADOS")</f>
        <v>ASOCIADOS</v>
      </c>
      <c r="E383" s="33">
        <f ca="1">IFERROR(__xludf.DUMMYFUNCTION("""COMPUTED_VALUE"""),2026)</f>
        <v>2026</v>
      </c>
      <c r="F383" s="56">
        <f ca="1">IFERROR(__xludf.DUMMYFUNCTION("""COMPUTED_VALUE"""),3)</f>
        <v>3</v>
      </c>
      <c r="G383" s="33" t="str">
        <f ca="1">IFERROR(__xludf.DUMMYFUNCTION("""COMPUTED_VALUE"""),"Ponferrada")</f>
        <v>Ponferrada</v>
      </c>
      <c r="H383" s="33" t="str">
        <f ca="1">IFERROR(__xludf.DUMMYFUNCTION("""COMPUTED_VALUE"""),"C202512191234333691")</f>
        <v>C202512191234333691</v>
      </c>
      <c r="I383" s="33" t="str">
        <f ca="1">IFERROR(__xludf.DUMMYFUNCTION("""COMPUTED_VALUE"""),"ANA CRISTINA   MENDEZ ARIAS")</f>
        <v>ANA CRISTINA   MENDEZ ARIAS</v>
      </c>
      <c r="J383" s="57">
        <f ca="1">IFERROR(__xludf.DUMMYFUNCTION("""COMPUTED_VALUE"""),46010)</f>
        <v>46010</v>
      </c>
      <c r="K383" s="33" t="str">
        <f ca="1">IFERROR(__xludf.DUMMYFUNCTION("""COMPUTED_VALUE"""),"Factura audífonos")</f>
        <v>Factura audífonos</v>
      </c>
      <c r="L383" s="57">
        <f ca="1">IFERROR(__xludf.DUMMYFUNCTION("""COMPUTED_VALUE"""),46100)</f>
        <v>46100</v>
      </c>
      <c r="M383" s="64" t="str">
        <f ca="1">IFERROR(__xludf.DUMMYFUNCTION("""COMPUTED_VALUE"""),"NO")</f>
        <v>NO</v>
      </c>
      <c r="N383" s="56">
        <f ca="1">IFERROR(__xludf.DUMMYFUNCTION("""COMPUTED_VALUE"""),1)</f>
        <v>1</v>
      </c>
      <c r="O383" s="58" t="str">
        <f ca="1">IFERROR(__xludf.DUMMYFUNCTION("""COMPUTED_VALUE"""),"CONFORT")</f>
        <v>CONFORT</v>
      </c>
      <c r="P383" s="62">
        <f ca="1">IFERROR(__xludf.DUMMYFUNCTION("""COMPUTED_VALUE"""),2090.91)</f>
        <v>2090.91</v>
      </c>
      <c r="Q383" s="33" t="str">
        <f ca="1">IFERROR(__xludf.DUMMYFUNCTION("""COMPUTED_VALUE"""),"Alberto Moreno")</f>
        <v>Alberto Moreno</v>
      </c>
      <c r="R383" s="33" t="str">
        <f ca="1">IFERROR(__xludf.DUMMYFUNCTION("""COMPUTED_VALUE"""),"Mónica Granda Rosales")</f>
        <v>Mónica Granda Rosales</v>
      </c>
      <c r="S383" s="61" t="str">
        <f ca="1">IFERROR(__xludf.DUMMYFUNCTION("""COMPUTED_VALUE"""),"03 ORL")</f>
        <v>03 ORL</v>
      </c>
      <c r="T383" s="33" t="str">
        <f ca="1">IFERROR(__xludf.DUMMYFUNCTION("""COMPUTED_VALUE"""),"06 ORL")</f>
        <v>06 ORL</v>
      </c>
      <c r="U383" s="62"/>
      <c r="W383" s="62"/>
      <c r="X383" s="62"/>
    </row>
    <row r="384" spans="2:24" ht="16">
      <c r="B384" s="55" t="str">
        <f t="shared" si="1"/>
        <v/>
      </c>
      <c r="C384" s="64"/>
      <c r="D384" s="33" t="str">
        <f ca="1">IFERROR(__xludf.DUMMYFUNCTION("""COMPUTED_VALUE"""),"PROPIOS")</f>
        <v>PROPIOS</v>
      </c>
      <c r="E384" s="33">
        <f ca="1">IFERROR(__xludf.DUMMYFUNCTION("""COMPUTED_VALUE"""),2026)</f>
        <v>2026</v>
      </c>
      <c r="F384" s="56">
        <f ca="1">IFERROR(__xludf.DUMMYFUNCTION("""COMPUTED_VALUE"""),3)</f>
        <v>3</v>
      </c>
      <c r="G384" s="33" t="str">
        <f ca="1">IFERROR(__xludf.DUMMYFUNCTION("""COMPUTED_VALUE"""),"Logroño")</f>
        <v>Logroño</v>
      </c>
      <c r="H384" s="33" t="str">
        <f ca="1">IFERROR(__xludf.DUMMYFUNCTION("""COMPUTED_VALUE"""),"C202511121113594439")</f>
        <v>C202511121113594439</v>
      </c>
      <c r="I384" s="33" t="str">
        <f ca="1">IFERROR(__xludf.DUMMYFUNCTION("""COMPUTED_VALUE"""),"SILVIA REVUELTO GONZALEZ")</f>
        <v>SILVIA REVUELTO GONZALEZ</v>
      </c>
      <c r="J384" s="57">
        <f ca="1">IFERROR(__xludf.DUMMYFUNCTION("""COMPUTED_VALUE"""),45973)</f>
        <v>45973</v>
      </c>
      <c r="K384" s="33" t="str">
        <f ca="1">IFERROR(__xludf.DUMMYFUNCTION("""COMPUTED_VALUE"""),"Factura audífonos")</f>
        <v>Factura audífonos</v>
      </c>
      <c r="L384" s="57">
        <f ca="1">IFERROR(__xludf.DUMMYFUNCTION("""COMPUTED_VALUE"""),46100)</f>
        <v>46100</v>
      </c>
      <c r="M384" s="64" t="str">
        <f ca="1">IFERROR(__xludf.DUMMYFUNCTION("""COMPUTED_VALUE"""),"NO")</f>
        <v>NO</v>
      </c>
      <c r="N384" s="56">
        <f ca="1">IFERROR(__xludf.DUMMYFUNCTION("""COMPUTED_VALUE"""),1)</f>
        <v>1</v>
      </c>
      <c r="O384" s="64" t="str">
        <f ca="1">IFERROR(__xludf.DUMMYFUNCTION("""COMPUTED_VALUE"""),"QUIET")</f>
        <v>QUIET</v>
      </c>
      <c r="P384" s="62">
        <f ca="1">IFERROR(__xludf.DUMMYFUNCTION("""COMPUTED_VALUE"""),1454.55)</f>
        <v>1454.55</v>
      </c>
      <c r="Q384" s="33" t="str">
        <f ca="1">IFERROR(__xludf.DUMMYFUNCTION("""COMPUTED_VALUE"""),"Lisandro Russian")</f>
        <v>Lisandro Russian</v>
      </c>
      <c r="R384" s="33" t="str">
        <f ca="1">IFERROR(__xludf.DUMMYFUNCTION("""COMPUTED_VALUE"""),"No recuerda ORL")</f>
        <v>No recuerda ORL</v>
      </c>
      <c r="S384" s="61" t="str">
        <f ca="1">IFERROR(__xludf.DUMMYFUNCTION("""COMPUTED_VALUE"""),"03 ORL")</f>
        <v>03 ORL</v>
      </c>
      <c r="T384" s="33" t="str">
        <f ca="1">IFERROR(__xludf.DUMMYFUNCTION("""COMPUTED_VALUE"""),"06 ORL")</f>
        <v>06 ORL</v>
      </c>
      <c r="U384" s="62"/>
      <c r="W384" s="62"/>
      <c r="X384" s="62"/>
    </row>
    <row r="385" spans="2:24" ht="16">
      <c r="B385" s="55" t="str">
        <f t="shared" ca="1" si="1"/>
        <v>MBM</v>
      </c>
      <c r="C385" s="64" t="str">
        <f ca="1">IFERROR(__xludf.DUMMYFUNCTION("""COMPUTED_VALUE"""),"MBM225")</f>
        <v>MBM225</v>
      </c>
      <c r="D385" s="33" t="str">
        <f ca="1">IFERROR(__xludf.DUMMYFUNCTION("""COMPUTED_VALUE"""),"PROPIOS")</f>
        <v>PROPIOS</v>
      </c>
      <c r="E385" s="33">
        <f ca="1">IFERROR(__xludf.DUMMYFUNCTION("""COMPUTED_VALUE"""),2026)</f>
        <v>2026</v>
      </c>
      <c r="F385" s="56">
        <f ca="1">IFERROR(__xludf.DUMMYFUNCTION("""COMPUTED_VALUE"""),3)</f>
        <v>3</v>
      </c>
      <c r="G385" s="33" t="str">
        <f ca="1">IFERROR(__xludf.DUMMYFUNCTION("""COMPUTED_VALUE"""),"Fuenlabrada")</f>
        <v>Fuenlabrada</v>
      </c>
      <c r="H385" s="33" t="str">
        <f ca="1">IFERROR(__xludf.DUMMYFUNCTION("""COMPUTED_VALUE"""),"C202621118050393364")</f>
        <v>C202621118050393364</v>
      </c>
      <c r="I385" s="33" t="str">
        <f ca="1">IFERROR(__xludf.DUMMYFUNCTION("""COMPUTED_VALUE"""),"Mª MAR MENDOZA MARTINEZ")</f>
        <v>Mª MAR MENDOZA MARTINEZ</v>
      </c>
      <c r="J385" s="57">
        <f ca="1">IFERROR(__xludf.DUMMYFUNCTION("""COMPUTED_VALUE"""),46064)</f>
        <v>46064</v>
      </c>
      <c r="K385" s="33" t="str">
        <f ca="1">IFERROR(__xludf.DUMMYFUNCTION("""COMPUTED_VALUE"""),"Factura audífonos")</f>
        <v>Factura audífonos</v>
      </c>
      <c r="L385" s="57">
        <f ca="1">IFERROR(__xludf.DUMMYFUNCTION("""COMPUTED_VALUE"""),46100)</f>
        <v>46100</v>
      </c>
      <c r="M385" s="64" t="str">
        <f ca="1">IFERROR(__xludf.DUMMYFUNCTION("""COMPUTED_VALUE"""),"NO")</f>
        <v>NO</v>
      </c>
      <c r="N385" s="56">
        <f ca="1">IFERROR(__xludf.DUMMYFUNCTION("""COMPUTED_VALUE"""),2)</f>
        <v>2</v>
      </c>
      <c r="O385" s="64" t="str">
        <f ca="1">IFERROR(__xludf.DUMMYFUNCTION("""COMPUTED_VALUE"""),"QUIET")</f>
        <v>QUIET</v>
      </c>
      <c r="P385" s="62">
        <f ca="1">IFERROR(__xludf.DUMMYFUNCTION("""COMPUTED_VALUE"""),2718.19)</f>
        <v>2718.19</v>
      </c>
      <c r="Q385" s="33" t="str">
        <f ca="1">IFERROR(__xludf.DUMMYFUNCTION("""COMPUTED_VALUE"""),"Maika Blázquez")</f>
        <v>Maika Blázquez</v>
      </c>
      <c r="R385" s="33" t="str">
        <f ca="1">IFERROR(__xludf.DUMMYFUNCTION("""COMPUTED_VALUE"""),"Fabio Fernández Mateos")</f>
        <v>Fabio Fernández Mateos</v>
      </c>
      <c r="S385" s="61" t="str">
        <f ca="1">IFERROR(__xludf.DUMMYFUNCTION("""COMPUTED_VALUE"""),"03 ORL")</f>
        <v>03 ORL</v>
      </c>
      <c r="T385" s="33" t="str">
        <f ca="1">IFERROR(__xludf.DUMMYFUNCTION("""COMPUTED_VALUE"""),"06 ORL")</f>
        <v>06 ORL</v>
      </c>
      <c r="U385" s="62"/>
      <c r="W385" s="62"/>
      <c r="X385" s="62"/>
    </row>
    <row r="386" spans="2:24" ht="16">
      <c r="B386" s="55" t="str">
        <f t="shared" ca="1" si="1"/>
        <v>LRM</v>
      </c>
      <c r="C386" s="64" t="str">
        <f ca="1">IFERROR(__xludf.DUMMYFUNCTION("""COMPUTED_VALUE"""),"LRM156")</f>
        <v>LRM156</v>
      </c>
      <c r="D386" s="33" t="str">
        <f ca="1">IFERROR(__xludf.DUMMYFUNCTION("""COMPUTED_VALUE"""),"ASOCIADOS")</f>
        <v>ASOCIADOS</v>
      </c>
      <c r="E386" s="33">
        <f ca="1">IFERROR(__xludf.DUMMYFUNCTION("""COMPUTED_VALUE"""),2026)</f>
        <v>2026</v>
      </c>
      <c r="F386" s="56">
        <f ca="1">IFERROR(__xludf.DUMMYFUNCTION("""COMPUTED_VALUE"""),3)</f>
        <v>3</v>
      </c>
      <c r="G386" s="33" t="str">
        <f ca="1">IFERROR(__xludf.DUMMYFUNCTION("""COMPUTED_VALUE"""),"Cáceres")</f>
        <v>Cáceres</v>
      </c>
      <c r="H386" s="33" t="str">
        <f ca="1">IFERROR(__xludf.DUMMYFUNCTION("""COMPUTED_VALUE"""),"C202624192054929412")</f>
        <v>C202624192054929412</v>
      </c>
      <c r="I386" s="33" t="str">
        <f ca="1">IFERROR(__xludf.DUMMYFUNCTION("""COMPUTED_VALUE"""),"ROMUALDO GRAJERA GUERRA")</f>
        <v>ROMUALDO GRAJERA GUERRA</v>
      </c>
      <c r="J386" s="57">
        <f ca="1">IFERROR(__xludf.DUMMYFUNCTION("""COMPUTED_VALUE"""),46057)</f>
        <v>46057</v>
      </c>
      <c r="K386" s="33" t="str">
        <f ca="1">IFERROR(__xludf.DUMMYFUNCTION("""COMPUTED_VALUE"""),"Factura audífonos")</f>
        <v>Factura audífonos</v>
      </c>
      <c r="L386" s="57">
        <f ca="1">IFERROR(__xludf.DUMMYFUNCTION("""COMPUTED_VALUE"""),46101)</f>
        <v>46101</v>
      </c>
      <c r="M386" s="58" t="str">
        <f ca="1">IFERROR(__xludf.DUMMYFUNCTION("""COMPUTED_VALUE"""),"NO")</f>
        <v>NO</v>
      </c>
      <c r="N386" s="56">
        <f ca="1">IFERROR(__xludf.DUMMYFUNCTION("""COMPUTED_VALUE"""),2)</f>
        <v>2</v>
      </c>
      <c r="O386" s="64" t="str">
        <f ca="1">IFERROR(__xludf.DUMMYFUNCTION("""COMPUTED_VALUE"""),"PRO")</f>
        <v>PRO</v>
      </c>
      <c r="P386" s="62">
        <f ca="1">IFERROR(__xludf.DUMMYFUNCTION("""COMPUTED_VALUE"""),4990.91)</f>
        <v>4990.91</v>
      </c>
      <c r="Q386" s="33" t="str">
        <f ca="1">IFERROR(__xludf.DUMMYFUNCTION("""COMPUTED_VALUE"""),"Lisandro Russian")</f>
        <v>Lisandro Russian</v>
      </c>
      <c r="R386" s="33" t="str">
        <f ca="1">IFERROR(__xludf.DUMMYFUNCTION("""COMPUTED_VALUE"""),"Esther De La O Corrochano")</f>
        <v>Esther De La O Corrochano</v>
      </c>
      <c r="S386" s="61" t="str">
        <f ca="1">IFERROR(__xludf.DUMMYFUNCTION("""COMPUTED_VALUE"""),"03 ORL")</f>
        <v>03 ORL</v>
      </c>
      <c r="T386" s="33" t="str">
        <f ca="1">IFERROR(__xludf.DUMMYFUNCTION("""COMPUTED_VALUE"""),"06 ORL")</f>
        <v>06 ORL</v>
      </c>
      <c r="U386" s="62"/>
      <c r="W386" s="62"/>
      <c r="X386" s="62"/>
    </row>
    <row r="387" spans="2:24" ht="16">
      <c r="B387" s="55" t="str">
        <f t="shared" si="1"/>
        <v/>
      </c>
      <c r="C387" s="64"/>
      <c r="D387" s="33" t="str">
        <f ca="1">IFERROR(__xludf.DUMMYFUNCTION("""COMPUTED_VALUE"""),"PROPIOS")</f>
        <v>PROPIOS</v>
      </c>
      <c r="E387" s="33">
        <f ca="1">IFERROR(__xludf.DUMMYFUNCTION("""COMPUTED_VALUE"""),2026)</f>
        <v>2026</v>
      </c>
      <c r="F387" s="56">
        <f ca="1">IFERROR(__xludf.DUMMYFUNCTION("""COMPUTED_VALUE"""),3)</f>
        <v>3</v>
      </c>
      <c r="G387" s="33" t="str">
        <f ca="1">IFERROR(__xludf.DUMMYFUNCTION("""COMPUTED_VALUE"""),"Valencia- Cádiz")</f>
        <v>Valencia- Cádiz</v>
      </c>
      <c r="H387" s="33" t="str">
        <f ca="1">IFERROR(__xludf.DUMMYFUNCTION("""COMPUTED_VALUE"""),"C202612993442906741")</f>
        <v>C202612993442906741</v>
      </c>
      <c r="I387" s="33" t="str">
        <f ca="1">IFERROR(__xludf.DUMMYFUNCTION("""COMPUTED_VALUE"""),"VICENT  FERRANDIS MAS")</f>
        <v>VICENT  FERRANDIS MAS</v>
      </c>
      <c r="J387" s="57">
        <f ca="1">IFERROR(__xludf.DUMMYFUNCTION("""COMPUTED_VALUE"""),46051)</f>
        <v>46051</v>
      </c>
      <c r="K387" s="33" t="str">
        <f ca="1">IFERROR(__xludf.DUMMYFUNCTION("""COMPUTED_VALUE"""),"Factura audífonos")</f>
        <v>Factura audífonos</v>
      </c>
      <c r="L387" s="57">
        <f ca="1">IFERROR(__xludf.DUMMYFUNCTION("""COMPUTED_VALUE"""),46101)</f>
        <v>46101</v>
      </c>
      <c r="M387" s="64" t="str">
        <f ca="1">IFERROR(__xludf.DUMMYFUNCTION("""COMPUTED_VALUE"""),"NO")</f>
        <v>NO</v>
      </c>
      <c r="N387" s="56">
        <f ca="1">IFERROR(__xludf.DUMMYFUNCTION("""COMPUTED_VALUE"""),1)</f>
        <v>1</v>
      </c>
      <c r="O387" s="64" t="str">
        <f ca="1">IFERROR(__xludf.DUMMYFUNCTION("""COMPUTED_VALUE"""),"ADVANCED")</f>
        <v>ADVANCED</v>
      </c>
      <c r="P387" s="62">
        <f ca="1">IFERROR(__xludf.DUMMYFUNCTION("""COMPUTED_VALUE"""),2481.82)</f>
        <v>2481.8200000000002</v>
      </c>
      <c r="Q387" s="33" t="str">
        <f ca="1">IFERROR(__xludf.DUMMYFUNCTION("""COMPUTED_VALUE"""),"Ramon Ferrando")</f>
        <v>Ramon Ferrando</v>
      </c>
      <c r="R387" s="33" t="str">
        <f ca="1">IFERROR(__xludf.DUMMYFUNCTION("""COMPUTED_VALUE"""),"No recuerda ORL")</f>
        <v>No recuerda ORL</v>
      </c>
      <c r="S387" s="61" t="str">
        <f ca="1">IFERROR(__xludf.DUMMYFUNCTION("""COMPUTED_VALUE"""),"03 ORL")</f>
        <v>03 ORL</v>
      </c>
      <c r="T387" s="33" t="str">
        <f ca="1">IFERROR(__xludf.DUMMYFUNCTION("""COMPUTED_VALUE"""),"06 ORL")</f>
        <v>06 ORL</v>
      </c>
      <c r="U387" s="62"/>
      <c r="W387" s="62"/>
      <c r="X387" s="62"/>
    </row>
    <row r="388" spans="2:24" ht="16">
      <c r="B388" s="55" t="str">
        <f t="shared" ca="1" si="1"/>
        <v>ISL</v>
      </c>
      <c r="C388" s="64" t="str">
        <f ca="1">IFERROR(__xludf.DUMMYFUNCTION("""COMPUTED_VALUE"""),"ISL147")</f>
        <v>ISL147</v>
      </c>
      <c r="D388" s="33" t="str">
        <f ca="1">IFERROR(__xludf.DUMMYFUNCTION("""COMPUTED_VALUE"""),"PROPIOS")</f>
        <v>PROPIOS</v>
      </c>
      <c r="E388" s="33">
        <f ca="1">IFERROR(__xludf.DUMMYFUNCTION("""COMPUTED_VALUE"""),2026)</f>
        <v>2026</v>
      </c>
      <c r="F388" s="56">
        <f ca="1">IFERROR(__xludf.DUMMYFUNCTION("""COMPUTED_VALUE"""),3)</f>
        <v>3</v>
      </c>
      <c r="G388" s="33" t="str">
        <f ca="1">IFERROR(__xludf.DUMMYFUNCTION("""COMPUTED_VALUE"""),"Murcia")</f>
        <v>Murcia</v>
      </c>
      <c r="H388" s="33" t="str">
        <f ca="1">IFERROR(__xludf.DUMMYFUNCTION("""COMPUTED_VALUE"""),"C202611516129372")</f>
        <v>C202611516129372</v>
      </c>
      <c r="I388" s="33" t="str">
        <f ca="1">IFERROR(__xludf.DUMMYFUNCTION("""COMPUTED_VALUE"""),"REMEDIOS LUZ MENDOZA MARTINEZ")</f>
        <v>REMEDIOS LUZ MENDOZA MARTINEZ</v>
      </c>
      <c r="J388" s="57">
        <f ca="1">IFERROR(__xludf.DUMMYFUNCTION("""COMPUTED_VALUE"""),45729)</f>
        <v>45729</v>
      </c>
      <c r="K388" s="33" t="str">
        <f ca="1">IFERROR(__xludf.DUMMYFUNCTION("""COMPUTED_VALUE"""),"Factura audífonos")</f>
        <v>Factura audífonos</v>
      </c>
      <c r="L388" s="57">
        <f ca="1">IFERROR(__xludf.DUMMYFUNCTION("""COMPUTED_VALUE"""),46101)</f>
        <v>46101</v>
      </c>
      <c r="M388" s="64" t="str">
        <f ca="1">IFERROR(__xludf.DUMMYFUNCTION("""COMPUTED_VALUE"""),"NO")</f>
        <v>NO</v>
      </c>
      <c r="N388" s="56">
        <f ca="1">IFERROR(__xludf.DUMMYFUNCTION("""COMPUTED_VALUE"""),2)</f>
        <v>2</v>
      </c>
      <c r="O388" s="64" t="str">
        <f ca="1">IFERROR(__xludf.DUMMYFUNCTION("""COMPUTED_VALUE"""),"QUIET")</f>
        <v>QUIET</v>
      </c>
      <c r="P388" s="62">
        <f ca="1">IFERROR(__xludf.DUMMYFUNCTION("""COMPUTED_VALUE"""),2718.19)</f>
        <v>2718.19</v>
      </c>
      <c r="Q388" s="33" t="str">
        <f ca="1">IFERROR(__xludf.DUMMYFUNCTION("""COMPUTED_VALUE"""),"Iván Sánchez")</f>
        <v>Iván Sánchez</v>
      </c>
      <c r="R388" s="33" t="str">
        <f ca="1">IFERROR(__xludf.DUMMYFUNCTION("""COMPUTED_VALUE"""),"Miguel Lucas Herrera")</f>
        <v>Miguel Lucas Herrera</v>
      </c>
      <c r="S388" s="61" t="str">
        <f ca="1">IFERROR(__xludf.DUMMYFUNCTION("""COMPUTED_VALUE"""),"03 ORL")</f>
        <v>03 ORL</v>
      </c>
      <c r="T388" s="33" t="str">
        <f ca="1">IFERROR(__xludf.DUMMYFUNCTION("""COMPUTED_VALUE"""),"06 ORL")</f>
        <v>06 ORL</v>
      </c>
      <c r="U388" s="62"/>
      <c r="W388" s="62"/>
      <c r="X388" s="62"/>
    </row>
    <row r="389" spans="2:24" ht="16">
      <c r="B389" s="55" t="str">
        <f t="shared" ca="1" si="1"/>
        <v>LRM</v>
      </c>
      <c r="C389" s="64" t="str">
        <f ca="1">IFERROR(__xludf.DUMMYFUNCTION("""COMPUTED_VALUE"""),"LRM56")</f>
        <v>LRM56</v>
      </c>
      <c r="D389" s="33" t="str">
        <f ca="1">IFERROR(__xludf.DUMMYFUNCTION("""COMPUTED_VALUE"""),"ASOCIADOS")</f>
        <v>ASOCIADOS</v>
      </c>
      <c r="E389" s="33">
        <f ca="1">IFERROR(__xludf.DUMMYFUNCTION("""COMPUTED_VALUE"""),2026)</f>
        <v>2026</v>
      </c>
      <c r="F389" s="56">
        <f ca="1">IFERROR(__xludf.DUMMYFUNCTION("""COMPUTED_VALUE"""),3)</f>
        <v>3</v>
      </c>
      <c r="G389" s="33" t="str">
        <f ca="1">IFERROR(__xludf.DUMMYFUNCTION("""COMPUTED_VALUE"""),"Zaragoza- Santander")</f>
        <v>Zaragoza- Santander</v>
      </c>
      <c r="H389" s="33" t="str">
        <f ca="1">IFERROR(__xludf.DUMMYFUNCTION("""COMPUTED_VALUE"""),"C202621716393454417")</f>
        <v>C202621716393454417</v>
      </c>
      <c r="I389" s="33" t="str">
        <f ca="1">IFERROR(__xludf.DUMMYFUNCTION("""COMPUTED_VALUE"""),"RAUL PENA ALPIN")</f>
        <v>RAUL PENA ALPIN</v>
      </c>
      <c r="J389" s="57">
        <f ca="1">IFERROR(__xludf.DUMMYFUNCTION("""COMPUTED_VALUE"""),46070)</f>
        <v>46070</v>
      </c>
      <c r="K389" s="33" t="str">
        <f ca="1">IFERROR(__xludf.DUMMYFUNCTION("""COMPUTED_VALUE"""),"Factura audífonos")</f>
        <v>Factura audífonos</v>
      </c>
      <c r="L389" s="57">
        <f ca="1">IFERROR(__xludf.DUMMYFUNCTION("""COMPUTED_VALUE"""),46101)</f>
        <v>46101</v>
      </c>
      <c r="M389" s="58" t="str">
        <f ca="1">IFERROR(__xludf.DUMMYFUNCTION("""COMPUTED_VALUE"""),"NO")</f>
        <v>NO</v>
      </c>
      <c r="N389" s="56">
        <f ca="1">IFERROR(__xludf.DUMMYFUNCTION("""COMPUTED_VALUE"""),2)</f>
        <v>2</v>
      </c>
      <c r="O389" s="64" t="str">
        <f ca="1">IFERROR(__xludf.DUMMYFUNCTION("""COMPUTED_VALUE"""),"CONFORT")</f>
        <v>CONFORT</v>
      </c>
      <c r="P389" s="62">
        <f ca="1">IFERROR(__xludf.DUMMYFUNCTION("""COMPUTED_VALUE"""),3424.55)</f>
        <v>3424.55</v>
      </c>
      <c r="Q389" s="33" t="str">
        <f ca="1">IFERROR(__xludf.DUMMYFUNCTION("""COMPUTED_VALUE"""),"Ignacio Berdejo")</f>
        <v>Ignacio Berdejo</v>
      </c>
      <c r="R389" s="33" t="str">
        <f ca="1">IFERROR(__xludf.DUMMYFUNCTION("""COMPUTED_VALUE"""),"Jaime Leache Pueyo")</f>
        <v>Jaime Leache Pueyo</v>
      </c>
      <c r="S389" s="61" t="str">
        <f ca="1">IFERROR(__xludf.DUMMYFUNCTION("""COMPUTED_VALUE"""),"03 ORL")</f>
        <v>03 ORL</v>
      </c>
      <c r="T389" s="33" t="str">
        <f ca="1">IFERROR(__xludf.DUMMYFUNCTION("""COMPUTED_VALUE"""),"06 ORL")</f>
        <v>06 ORL</v>
      </c>
      <c r="U389" s="62"/>
      <c r="W389" s="62"/>
      <c r="X389" s="62"/>
    </row>
    <row r="390" spans="2:24" ht="16">
      <c r="B390" s="55" t="str">
        <f t="shared" ca="1" si="1"/>
        <v>LRM</v>
      </c>
      <c r="C390" s="64" t="str">
        <f ca="1">IFERROR(__xludf.DUMMYFUNCTION("""COMPUTED_VALUE"""),"LRM56")</f>
        <v>LRM56</v>
      </c>
      <c r="D390" s="33" t="str">
        <f ca="1">IFERROR(__xludf.DUMMYFUNCTION("""COMPUTED_VALUE"""),"ASOCIADOS")</f>
        <v>ASOCIADOS</v>
      </c>
      <c r="E390" s="33">
        <f ca="1">IFERROR(__xludf.DUMMYFUNCTION("""COMPUTED_VALUE"""),2026)</f>
        <v>2026</v>
      </c>
      <c r="F390" s="56">
        <f ca="1">IFERROR(__xludf.DUMMYFUNCTION("""COMPUTED_VALUE"""),3)</f>
        <v>3</v>
      </c>
      <c r="G390" s="33" t="str">
        <f ca="1">IFERROR(__xludf.DUMMYFUNCTION("""COMPUTED_VALUE"""),"Zaragoza- Santander")</f>
        <v>Zaragoza- Santander</v>
      </c>
      <c r="H390" s="33" t="str">
        <f ca="1">IFERROR(__xludf.DUMMYFUNCTION("""COMPUTED_VALUE"""),"C202621117354786888")</f>
        <v>C202621117354786888</v>
      </c>
      <c r="I390" s="33" t="str">
        <f ca="1">IFERROR(__xludf.DUMMYFUNCTION("""COMPUTED_VALUE"""),"MARIA JESUS ZAPATA QUIRANT")</f>
        <v>MARIA JESUS ZAPATA QUIRANT</v>
      </c>
      <c r="J390" s="57">
        <f ca="1">IFERROR(__xludf.DUMMYFUNCTION("""COMPUTED_VALUE"""),46064)</f>
        <v>46064</v>
      </c>
      <c r="K390" s="33" t="str">
        <f ca="1">IFERROR(__xludf.DUMMYFUNCTION("""COMPUTED_VALUE"""),"Factura audífonos")</f>
        <v>Factura audífonos</v>
      </c>
      <c r="L390" s="57">
        <f ca="1">IFERROR(__xludf.DUMMYFUNCTION("""COMPUTED_VALUE"""),46101)</f>
        <v>46101</v>
      </c>
      <c r="M390" s="64" t="str">
        <f ca="1">IFERROR(__xludf.DUMMYFUNCTION("""COMPUTED_VALUE"""),"NO")</f>
        <v>NO</v>
      </c>
      <c r="N390" s="56">
        <f ca="1">IFERROR(__xludf.DUMMYFUNCTION("""COMPUTED_VALUE"""),2)</f>
        <v>2</v>
      </c>
      <c r="O390" s="64" t="str">
        <f ca="1">IFERROR(__xludf.DUMMYFUNCTION("""COMPUTED_VALUE"""),"CONFORT")</f>
        <v>CONFORT</v>
      </c>
      <c r="P390" s="62">
        <f ca="1">IFERROR(__xludf.DUMMYFUNCTION("""COMPUTED_VALUE"""),3604.55)</f>
        <v>3604.55</v>
      </c>
      <c r="Q390" s="33" t="str">
        <f ca="1">IFERROR(__xludf.DUMMYFUNCTION("""COMPUTED_VALUE"""),"Ignacio Berdejo")</f>
        <v>Ignacio Berdejo</v>
      </c>
      <c r="R390" s="33" t="str">
        <f ca="1">IFERROR(__xludf.DUMMYFUNCTION("""COMPUTED_VALUE"""),"Jaime Leache Pueyo")</f>
        <v>Jaime Leache Pueyo</v>
      </c>
      <c r="S390" s="61" t="str">
        <f ca="1">IFERROR(__xludf.DUMMYFUNCTION("""COMPUTED_VALUE"""),"03 ORL")</f>
        <v>03 ORL</v>
      </c>
      <c r="T390" s="33" t="str">
        <f ca="1">IFERROR(__xludf.DUMMYFUNCTION("""COMPUTED_VALUE"""),"06 ORL")</f>
        <v>06 ORL</v>
      </c>
      <c r="U390" s="62"/>
      <c r="W390" s="62"/>
      <c r="X390" s="62"/>
    </row>
    <row r="391" spans="2:24" ht="16">
      <c r="B391" s="55" t="str">
        <f t="shared" si="1"/>
        <v/>
      </c>
      <c r="C391" s="64"/>
      <c r="D391" s="33" t="str">
        <f ca="1">IFERROR(__xludf.DUMMYFUNCTION("""COMPUTED_VALUE"""),"PROPIOS")</f>
        <v>PROPIOS</v>
      </c>
      <c r="E391" s="33">
        <f ca="1">IFERROR(__xludf.DUMMYFUNCTION("""COMPUTED_VALUE"""),2026)</f>
        <v>2026</v>
      </c>
      <c r="F391" s="56">
        <f ca="1">IFERROR(__xludf.DUMMYFUNCTION("""COMPUTED_VALUE"""),3)</f>
        <v>3</v>
      </c>
      <c r="G391" s="33" t="str">
        <f ca="1">IFERROR(__xludf.DUMMYFUNCTION("""COMPUTED_VALUE"""),"Getafe")</f>
        <v>Getafe</v>
      </c>
      <c r="H391" s="33" t="str">
        <f ca="1">IFERROR(__xludf.DUMMYFUNCTION("""COMPUTED_VALUE"""),"C202622382858055948")</f>
        <v>C202622382858055948</v>
      </c>
      <c r="I391" s="33" t="str">
        <f ca="1">IFERROR(__xludf.DUMMYFUNCTION("""COMPUTED_VALUE"""),"LUIS MANUEL SEGURA DE LA VALLINA")</f>
        <v>LUIS MANUEL SEGURA DE LA VALLINA</v>
      </c>
      <c r="J391" s="57">
        <f ca="1">IFERROR(__xludf.DUMMYFUNCTION("""COMPUTED_VALUE"""),46076)</f>
        <v>46076</v>
      </c>
      <c r="K391" s="33" t="str">
        <f ca="1">IFERROR(__xludf.DUMMYFUNCTION("""COMPUTED_VALUE"""),"Factura audífonos")</f>
        <v>Factura audífonos</v>
      </c>
      <c r="L391" s="57">
        <f ca="1">IFERROR(__xludf.DUMMYFUNCTION("""COMPUTED_VALUE"""),46104)</f>
        <v>46104</v>
      </c>
      <c r="M391" s="64" t="str">
        <f ca="1">IFERROR(__xludf.DUMMYFUNCTION("""COMPUTED_VALUE"""),"NO")</f>
        <v>NO</v>
      </c>
      <c r="N391" s="56">
        <f ca="1">IFERROR(__xludf.DUMMYFUNCTION("""COMPUTED_VALUE"""),2)</f>
        <v>2</v>
      </c>
      <c r="O391" s="64" t="str">
        <f ca="1">IFERROR(__xludf.DUMMYFUNCTION("""COMPUTED_VALUE"""),"QUIET")</f>
        <v>QUIET</v>
      </c>
      <c r="P391" s="62">
        <f ca="1">IFERROR(__xludf.DUMMYFUNCTION("""COMPUTED_VALUE"""),2718.18)</f>
        <v>2718.18</v>
      </c>
      <c r="Q391" s="33" t="str">
        <f ca="1">IFERROR(__xludf.DUMMYFUNCTION("""COMPUTED_VALUE"""),"Maika Blázquez")</f>
        <v>Maika Blázquez</v>
      </c>
      <c r="R391" s="33" t="str">
        <f ca="1">IFERROR(__xludf.DUMMYFUNCTION("""COMPUTED_VALUE"""),"No recuerda ORL")</f>
        <v>No recuerda ORL</v>
      </c>
      <c r="S391" s="61" t="str">
        <f ca="1">IFERROR(__xludf.DUMMYFUNCTION("""COMPUTED_VALUE"""),"03 ORL")</f>
        <v>03 ORL</v>
      </c>
      <c r="T391" s="33" t="str">
        <f ca="1">IFERROR(__xludf.DUMMYFUNCTION("""COMPUTED_VALUE"""),"06 ORL")</f>
        <v>06 ORL</v>
      </c>
      <c r="U391" s="62"/>
      <c r="W391" s="62"/>
      <c r="X391" s="62"/>
    </row>
    <row r="392" spans="2:24" ht="16">
      <c r="B392" s="55" t="str">
        <f t="shared" ca="1" si="1"/>
        <v>MBM</v>
      </c>
      <c r="C392" s="64" t="str">
        <f ca="1">IFERROR(__xludf.DUMMYFUNCTION("""COMPUTED_VALUE"""),"MBM17")</f>
        <v>MBM17</v>
      </c>
      <c r="D392" s="33" t="str">
        <f ca="1">IFERROR(__xludf.DUMMYFUNCTION("""COMPUTED_VALUE"""),"PROPIOS")</f>
        <v>PROPIOS</v>
      </c>
      <c r="E392" s="33">
        <f ca="1">IFERROR(__xludf.DUMMYFUNCTION("""COMPUTED_VALUE"""),2026)</f>
        <v>2026</v>
      </c>
      <c r="F392" s="56">
        <f ca="1">IFERROR(__xludf.DUMMYFUNCTION("""COMPUTED_VALUE"""),3)</f>
        <v>3</v>
      </c>
      <c r="G392" s="33" t="str">
        <f ca="1">IFERROR(__xludf.DUMMYFUNCTION("""COMPUTED_VALUE"""),"Toledo")</f>
        <v>Toledo</v>
      </c>
      <c r="H392" s="33" t="str">
        <f ca="1">IFERROR(__xludf.DUMMYFUNCTION("""COMPUTED_VALUE"""),"C202625181340624")</f>
        <v>C202625181340624</v>
      </c>
      <c r="I392" s="33" t="str">
        <f ca="1">IFERROR(__xludf.DUMMYFUNCTION("""COMPUTED_VALUE"""),"Benito Angel  Valero Conejo")</f>
        <v>Benito Angel  Valero Conejo</v>
      </c>
      <c r="J392" s="57">
        <f ca="1">IFERROR(__xludf.DUMMYFUNCTION("""COMPUTED_VALUE"""),46058)</f>
        <v>46058</v>
      </c>
      <c r="K392" s="33" t="str">
        <f ca="1">IFERROR(__xludf.DUMMYFUNCTION("""COMPUTED_VALUE"""),"Factura audífonos")</f>
        <v>Factura audífonos</v>
      </c>
      <c r="L392" s="57">
        <f ca="1">IFERROR(__xludf.DUMMYFUNCTION("""COMPUTED_VALUE"""),46104)</f>
        <v>46104</v>
      </c>
      <c r="M392" s="64" t="str">
        <f ca="1">IFERROR(__xludf.DUMMYFUNCTION("""COMPUTED_VALUE"""),"NO")</f>
        <v>NO</v>
      </c>
      <c r="N392" s="56">
        <f ca="1">IFERROR(__xludf.DUMMYFUNCTION("""COMPUTED_VALUE"""),2)</f>
        <v>2</v>
      </c>
      <c r="O392" s="64" t="str">
        <f ca="1">IFERROR(__xludf.DUMMYFUNCTION("""COMPUTED_VALUE"""),"CONFORT")</f>
        <v>CONFORT</v>
      </c>
      <c r="P392" s="62">
        <f ca="1">IFERROR(__xludf.DUMMYFUNCTION("""COMPUTED_VALUE"""),3450.24)</f>
        <v>3450.24</v>
      </c>
      <c r="Q392" s="33" t="str">
        <f ca="1">IFERROR(__xludf.DUMMYFUNCTION("""COMPUTED_VALUE"""),"Maika Blázquez")</f>
        <v>Maika Blázquez</v>
      </c>
      <c r="R392" s="33" t="str">
        <f ca="1">IFERROR(__xludf.DUMMYFUNCTION("""COMPUTED_VALUE"""),"Eduardo Martín Sanz")</f>
        <v>Eduardo Martín Sanz</v>
      </c>
      <c r="S392" s="61" t="str">
        <f ca="1">IFERROR(__xludf.DUMMYFUNCTION("""COMPUTED_VALUE"""),"03 ORL")</f>
        <v>03 ORL</v>
      </c>
      <c r="T392" s="33" t="str">
        <f ca="1">IFERROR(__xludf.DUMMYFUNCTION("""COMPUTED_VALUE"""),"06 ORL")</f>
        <v>06 ORL</v>
      </c>
      <c r="U392" s="62"/>
      <c r="W392" s="62"/>
      <c r="X392" s="62"/>
    </row>
    <row r="393" spans="2:24" ht="16">
      <c r="B393" s="55" t="str">
        <f t="shared" ca="1" si="1"/>
        <v>AMM</v>
      </c>
      <c r="C393" s="64" t="str">
        <f ca="1">IFERROR(__xludf.DUMMYFUNCTION("""COMPUTED_VALUE"""),"AMM09")</f>
        <v>AMM09</v>
      </c>
      <c r="D393" s="33" t="str">
        <f ca="1">IFERROR(__xludf.DUMMYFUNCTION("""COMPUTED_VALUE"""),"ASOCIADOS")</f>
        <v>ASOCIADOS</v>
      </c>
      <c r="E393" s="33">
        <f ca="1">IFERROR(__xludf.DUMMYFUNCTION("""COMPUTED_VALUE"""),2026)</f>
        <v>2026</v>
      </c>
      <c r="F393" s="56">
        <f ca="1">IFERROR(__xludf.DUMMYFUNCTION("""COMPUTED_VALUE"""),3)</f>
        <v>3</v>
      </c>
      <c r="G393" s="33" t="str">
        <f ca="1">IFERROR(__xludf.DUMMYFUNCTION("""COMPUTED_VALUE"""),"Vitoria")</f>
        <v>Vitoria</v>
      </c>
      <c r="H393" s="33" t="str">
        <f ca="1">IFERROR(__xludf.DUMMYFUNCTION("""COMPUTED_VALUE"""),"VIT-737")</f>
        <v>VIT-737</v>
      </c>
      <c r="I393" s="33" t="str">
        <f ca="1">IFERROR(__xludf.DUMMYFUNCTION("""COMPUTED_VALUE"""),"CARMEN CAÑO PADILLA")</f>
        <v>CARMEN CAÑO PADILLA</v>
      </c>
      <c r="J393" s="57">
        <f ca="1">IFERROR(__xludf.DUMMYFUNCTION("""COMPUTED_VALUE"""),46058)</f>
        <v>46058</v>
      </c>
      <c r="K393" s="33" t="str">
        <f ca="1">IFERROR(__xludf.DUMMYFUNCTION("""COMPUTED_VALUE"""),"Factura audífonos")</f>
        <v>Factura audífonos</v>
      </c>
      <c r="L393" s="57">
        <f ca="1">IFERROR(__xludf.DUMMYFUNCTION("""COMPUTED_VALUE"""),46104)</f>
        <v>46104</v>
      </c>
      <c r="M393" s="64" t="str">
        <f ca="1">IFERROR(__xludf.DUMMYFUNCTION("""COMPUTED_VALUE"""),"NO")</f>
        <v>NO</v>
      </c>
      <c r="N393" s="56">
        <f ca="1">IFERROR(__xludf.DUMMYFUNCTION("""COMPUTED_VALUE"""),2)</f>
        <v>2</v>
      </c>
      <c r="O393" s="64" t="str">
        <f ca="1">IFERROR(__xludf.DUMMYFUNCTION("""COMPUTED_VALUE"""),"PRO")</f>
        <v>PRO</v>
      </c>
      <c r="P393" s="62">
        <f ca="1">IFERROR(__xludf.DUMMYFUNCTION("""COMPUTED_VALUE"""),4181.82)</f>
        <v>4181.82</v>
      </c>
      <c r="Q393" s="33" t="str">
        <f ca="1">IFERROR(__xludf.DUMMYFUNCTION("""COMPUTED_VALUE"""),"Lisandro Russian")</f>
        <v>Lisandro Russian</v>
      </c>
      <c r="R393" s="33" t="str">
        <f ca="1">IFERROR(__xludf.DUMMYFUNCTION("""COMPUTED_VALUE"""),"José María Anda Fernández")</f>
        <v>José María Anda Fernández</v>
      </c>
      <c r="S393" s="61" t="str">
        <f ca="1">IFERROR(__xludf.DUMMYFUNCTION("""COMPUTED_VALUE"""),"03 ORL")</f>
        <v>03 ORL</v>
      </c>
      <c r="T393" s="33" t="str">
        <f ca="1">IFERROR(__xludf.DUMMYFUNCTION("""COMPUTED_VALUE"""),"06 ORL")</f>
        <v>06 ORL</v>
      </c>
      <c r="U393" s="62"/>
      <c r="W393" s="62"/>
      <c r="X393" s="62"/>
    </row>
    <row r="394" spans="2:24" ht="16">
      <c r="B394" s="55" t="str">
        <f t="shared" ca="1" si="1"/>
        <v>RFV</v>
      </c>
      <c r="C394" s="64" t="str">
        <f ca="1">IFERROR(__xludf.DUMMYFUNCTION("""COMPUTED_VALUE"""),"RFV19")</f>
        <v>RFV19</v>
      </c>
      <c r="D394" s="33" t="str">
        <f ca="1">IFERROR(__xludf.DUMMYFUNCTION("""COMPUTED_VALUE"""),"PROPIOS")</f>
        <v>PROPIOS</v>
      </c>
      <c r="E394" s="33">
        <f ca="1">IFERROR(__xludf.DUMMYFUNCTION("""COMPUTED_VALUE"""),2026)</f>
        <v>2026</v>
      </c>
      <c r="F394" s="56">
        <f ca="1">IFERROR(__xludf.DUMMYFUNCTION("""COMPUTED_VALUE"""),3)</f>
        <v>3</v>
      </c>
      <c r="G394" s="33" t="str">
        <f ca="1">IFERROR(__xludf.DUMMYFUNCTION("""COMPUTED_VALUE"""),"Valencia- Cádiz")</f>
        <v>Valencia- Cádiz</v>
      </c>
      <c r="H394" s="33" t="str">
        <f ca="1">IFERROR(__xludf.DUMMYFUNCTION("""COMPUTED_VALUE"""),"C20262382716053575")</f>
        <v>C20262382716053575</v>
      </c>
      <c r="I394" s="33" t="str">
        <f ca="1">IFERROR(__xludf.DUMMYFUNCTION("""COMPUTED_VALUE"""),"AZUCENA BUJEDO MARTINEZ")</f>
        <v>AZUCENA BUJEDO MARTINEZ</v>
      </c>
      <c r="J394" s="57">
        <f ca="1">IFERROR(__xludf.DUMMYFUNCTION("""COMPUTED_VALUE"""),46056)</f>
        <v>46056</v>
      </c>
      <c r="K394" s="33" t="str">
        <f ca="1">IFERROR(__xludf.DUMMYFUNCTION("""COMPUTED_VALUE"""),"Factura audífonos")</f>
        <v>Factura audífonos</v>
      </c>
      <c r="L394" s="57">
        <f ca="1">IFERROR(__xludf.DUMMYFUNCTION("""COMPUTED_VALUE"""),46104)</f>
        <v>46104</v>
      </c>
      <c r="M394" s="64" t="str">
        <f ca="1">IFERROR(__xludf.DUMMYFUNCTION("""COMPUTED_VALUE"""),"NO")</f>
        <v>NO</v>
      </c>
      <c r="N394" s="56">
        <f ca="1">IFERROR(__xludf.DUMMYFUNCTION("""COMPUTED_VALUE"""),2)</f>
        <v>2</v>
      </c>
      <c r="O394" s="64" t="str">
        <f ca="1">IFERROR(__xludf.DUMMYFUNCTION("""COMPUTED_VALUE"""),"CONFORT")</f>
        <v>CONFORT</v>
      </c>
      <c r="P394" s="62">
        <f ca="1">IFERROR(__xludf.DUMMYFUNCTION("""COMPUTED_VALUE"""),3631.82)</f>
        <v>3631.82</v>
      </c>
      <c r="Q394" s="33" t="str">
        <f ca="1">IFERROR(__xludf.DUMMYFUNCTION("""COMPUTED_VALUE"""),"Ramon Ferrando")</f>
        <v>Ramon Ferrando</v>
      </c>
      <c r="R394" s="33" t="str">
        <f ca="1">IFERROR(__xludf.DUMMYFUNCTION("""COMPUTED_VALUE"""),"Luis Martínez Bernabeu")</f>
        <v>Luis Martínez Bernabeu</v>
      </c>
      <c r="S394" s="61" t="str">
        <f ca="1">IFERROR(__xludf.DUMMYFUNCTION("""COMPUTED_VALUE"""),"03 ORL")</f>
        <v>03 ORL</v>
      </c>
      <c r="T394" s="33" t="str">
        <f ca="1">IFERROR(__xludf.DUMMYFUNCTION("""COMPUTED_VALUE"""),"06 ORL")</f>
        <v>06 ORL</v>
      </c>
      <c r="U394" s="62"/>
      <c r="W394" s="62"/>
      <c r="X394" s="62"/>
    </row>
    <row r="395" spans="2:24" ht="16">
      <c r="B395" s="55" t="str">
        <f t="shared" ca="1" si="1"/>
        <v>MBM</v>
      </c>
      <c r="C395" s="64" t="str">
        <f ca="1">IFERROR(__xludf.DUMMYFUNCTION("""COMPUTED_VALUE"""),"MBM52")</f>
        <v>MBM52</v>
      </c>
      <c r="D395" s="33" t="str">
        <f ca="1">IFERROR(__xludf.DUMMYFUNCTION("""COMPUTED_VALUE"""),"PARTICIPADOS")</f>
        <v>PARTICIPADOS</v>
      </c>
      <c r="E395" s="33">
        <f ca="1">IFERROR(__xludf.DUMMYFUNCTION("""COMPUTED_VALUE"""),2026)</f>
        <v>2026</v>
      </c>
      <c r="F395" s="56">
        <f ca="1">IFERROR(__xludf.DUMMYFUNCTION("""COMPUTED_VALUE"""),3)</f>
        <v>3</v>
      </c>
      <c r="G395" s="33" t="str">
        <f ca="1">IFERROR(__xludf.DUMMYFUNCTION("""COMPUTED_VALUE"""),"Madrid- La Oca")</f>
        <v>Madrid- La Oca</v>
      </c>
      <c r="H395" s="33" t="str">
        <f ca="1">IFERROR(__xludf.DUMMYFUNCTION("""COMPUTED_VALUE"""),"C202411616195766")</f>
        <v>C202411616195766</v>
      </c>
      <c r="I395" s="33" t="str">
        <f ca="1">IFERROR(__xludf.DUMMYFUNCTION("""COMPUTED_VALUE"""),"MANUELA ROCES GARCIA")</f>
        <v>MANUELA ROCES GARCIA</v>
      </c>
      <c r="J395" s="57">
        <f ca="1">IFERROR(__xludf.DUMMYFUNCTION("""COMPUTED_VALUE"""),45602)</f>
        <v>45602</v>
      </c>
      <c r="K395" s="33" t="str">
        <f ca="1">IFERROR(__xludf.DUMMYFUNCTION("""COMPUTED_VALUE"""),"Factura audífonos")</f>
        <v>Factura audífonos</v>
      </c>
      <c r="L395" s="57">
        <f ca="1">IFERROR(__xludf.DUMMYFUNCTION("""COMPUTED_VALUE"""),46104)</f>
        <v>46104</v>
      </c>
      <c r="M395" s="64" t="str">
        <f ca="1">IFERROR(__xludf.DUMMYFUNCTION("""COMPUTED_VALUE"""),"SI")</f>
        <v>SI</v>
      </c>
      <c r="N395" s="56">
        <f ca="1">IFERROR(__xludf.DUMMYFUNCTION("""COMPUTED_VALUE"""),2)</f>
        <v>2</v>
      </c>
      <c r="O395" s="64" t="str">
        <f ca="1">IFERROR(__xludf.DUMMYFUNCTION("""COMPUTED_VALUE"""),"QUIET")</f>
        <v>QUIET</v>
      </c>
      <c r="P395" s="62">
        <f ca="1">IFERROR(__xludf.DUMMYFUNCTION("""COMPUTED_VALUE"""),2446.91)</f>
        <v>2446.91</v>
      </c>
      <c r="Q395" s="33" t="str">
        <f ca="1">IFERROR(__xludf.DUMMYFUNCTION("""COMPUTED_VALUE"""),"Maika Blázquez")</f>
        <v>Maika Blázquez</v>
      </c>
      <c r="R395" s="33" t="str">
        <f ca="1">IFERROR(__xludf.DUMMYFUNCTION("""COMPUTED_VALUE"""),"José Joaquín Gutiérrez Barquín")</f>
        <v>José Joaquín Gutiérrez Barquín</v>
      </c>
      <c r="S395" s="61" t="str">
        <f ca="1">IFERROR(__xludf.DUMMYFUNCTION("""COMPUTED_VALUE"""),"04 TIENDA")</f>
        <v>04 TIENDA</v>
      </c>
      <c r="T395" s="33" t="str">
        <f ca="1">IFERROR(__xludf.DUMMYFUNCTION("""COMPUTED_VALUE"""),"19 CLIENTE RECOMPRA ESPONTANEA")</f>
        <v>19 CLIENTE RECOMPRA ESPONTANEA</v>
      </c>
      <c r="U395" s="62"/>
      <c r="W395" s="62"/>
      <c r="X395" s="62"/>
    </row>
    <row r="396" spans="2:24" ht="16">
      <c r="B396" s="55" t="str">
        <f t="shared" ca="1" si="1"/>
        <v>PSC</v>
      </c>
      <c r="C396" s="64" t="str">
        <f ca="1">IFERROR(__xludf.DUMMYFUNCTION("""COMPUTED_VALUE"""),"PSC02")</f>
        <v>PSC02</v>
      </c>
      <c r="D396" s="33" t="str">
        <f ca="1">IFERROR(__xludf.DUMMYFUNCTION("""COMPUTED_VALUE"""),"ASOCIADOS")</f>
        <v>ASOCIADOS</v>
      </c>
      <c r="E396" s="33">
        <f ca="1">IFERROR(__xludf.DUMMYFUNCTION("""COMPUTED_VALUE"""),2026)</f>
        <v>2026</v>
      </c>
      <c r="F396" s="56">
        <f ca="1">IFERROR(__xludf.DUMMYFUNCTION("""COMPUTED_VALUE"""),3)</f>
        <v>3</v>
      </c>
      <c r="G396" s="33" t="str">
        <f ca="1">IFERROR(__xludf.DUMMYFUNCTION("""COMPUTED_VALUE"""),"Salamanca")</f>
        <v>Salamanca</v>
      </c>
      <c r="H396" s="33" t="str">
        <f ca="1">IFERROR(__xludf.DUMMYFUNCTION("""COMPUTED_VALUE"""),"C202625124123012239")</f>
        <v>C202625124123012239</v>
      </c>
      <c r="I396" s="33" t="str">
        <f ca="1">IFERROR(__xludf.DUMMYFUNCTION("""COMPUTED_VALUE"""),"JAVIER CASADO LEON")</f>
        <v>JAVIER CASADO LEON</v>
      </c>
      <c r="J396" s="57">
        <f ca="1">IFERROR(__xludf.DUMMYFUNCTION("""COMPUTED_VALUE"""),46058)</f>
        <v>46058</v>
      </c>
      <c r="K396" s="33" t="str">
        <f ca="1">IFERROR(__xludf.DUMMYFUNCTION("""COMPUTED_VALUE"""),"Factura audífonos")</f>
        <v>Factura audífonos</v>
      </c>
      <c r="L396" s="57">
        <f ca="1">IFERROR(__xludf.DUMMYFUNCTION("""COMPUTED_VALUE"""),46104)</f>
        <v>46104</v>
      </c>
      <c r="M396" s="64" t="str">
        <f ca="1">IFERROR(__xludf.DUMMYFUNCTION("""COMPUTED_VALUE"""),"NO")</f>
        <v>NO</v>
      </c>
      <c r="N396" s="56">
        <f ca="1">IFERROR(__xludf.DUMMYFUNCTION("""COMPUTED_VALUE"""),1)</f>
        <v>1</v>
      </c>
      <c r="O396" s="64" t="str">
        <f ca="1">IFERROR(__xludf.DUMMYFUNCTION("""COMPUTED_VALUE"""),"QUIET")</f>
        <v>QUIET</v>
      </c>
      <c r="P396" s="62">
        <f ca="1">IFERROR(__xludf.DUMMYFUNCTION("""COMPUTED_VALUE"""),1784.55)</f>
        <v>1784.55</v>
      </c>
      <c r="Q396" s="33" t="str">
        <f ca="1">IFERROR(__xludf.DUMMYFUNCTION("""COMPUTED_VALUE"""),"Alberto Moreno")</f>
        <v>Alberto Moreno</v>
      </c>
      <c r="R396" s="33" t="str">
        <f ca="1">IFERROR(__xludf.DUMMYFUNCTION("""COMPUTED_VALUE"""),"Ángel Muñoz Herrera")</f>
        <v>Ángel Muñoz Herrera</v>
      </c>
      <c r="S396" s="61" t="str">
        <f ca="1">IFERROR(__xludf.DUMMYFUNCTION("""COMPUTED_VALUE"""),"03 ORL")</f>
        <v>03 ORL</v>
      </c>
      <c r="T396" s="33" t="str">
        <f ca="1">IFERROR(__xludf.DUMMYFUNCTION("""COMPUTED_VALUE"""),"06 ORL")</f>
        <v>06 ORL</v>
      </c>
      <c r="U396" s="62"/>
      <c r="W396" s="62"/>
      <c r="X396" s="62"/>
    </row>
    <row r="397" spans="2:24" ht="16">
      <c r="B397" s="55" t="str">
        <f t="shared" ca="1" si="1"/>
        <v>ISL</v>
      </c>
      <c r="C397" s="64" t="str">
        <f ca="1">IFERROR(__xludf.DUMMYFUNCTION("""COMPUTED_VALUE"""),"ISL149")</f>
        <v>ISL149</v>
      </c>
      <c r="D397" s="33" t="str">
        <f ca="1">IFERROR(__xludf.DUMMYFUNCTION("""COMPUTED_VALUE"""),"PROPIOS")</f>
        <v>PROPIOS</v>
      </c>
      <c r="E397" s="33">
        <f ca="1">IFERROR(__xludf.DUMMYFUNCTION("""COMPUTED_VALUE"""),2026)</f>
        <v>2026</v>
      </c>
      <c r="F397" s="56">
        <f ca="1">IFERROR(__xludf.DUMMYFUNCTION("""COMPUTED_VALUE"""),3)</f>
        <v>3</v>
      </c>
      <c r="G397" s="33" t="str">
        <f ca="1">IFERROR(__xludf.DUMMYFUNCTION("""COMPUTED_VALUE"""),"San Javier")</f>
        <v>San Javier</v>
      </c>
      <c r="H397" s="33" t="str">
        <f ca="1">IFERROR(__xludf.DUMMYFUNCTION("""COMPUTED_VALUE"""),"C202621317332705391")</f>
        <v>C202621317332705391</v>
      </c>
      <c r="I397" s="33" t="str">
        <f ca="1">IFERROR(__xludf.DUMMYFUNCTION("""COMPUTED_VALUE"""),"JOSEFA GARCIA MARTINEZ")</f>
        <v>JOSEFA GARCIA MARTINEZ</v>
      </c>
      <c r="J397" s="57">
        <f ca="1">IFERROR(__xludf.DUMMYFUNCTION("""COMPUTED_VALUE"""),46066)</f>
        <v>46066</v>
      </c>
      <c r="K397" s="33" t="str">
        <f ca="1">IFERROR(__xludf.DUMMYFUNCTION("""COMPUTED_VALUE"""),"Factura audífonos")</f>
        <v>Factura audífonos</v>
      </c>
      <c r="L397" s="57">
        <f ca="1">IFERROR(__xludf.DUMMYFUNCTION("""COMPUTED_VALUE"""),46104)</f>
        <v>46104</v>
      </c>
      <c r="M397" s="64" t="str">
        <f ca="1">IFERROR(__xludf.DUMMYFUNCTION("""COMPUTED_VALUE"""),"NO")</f>
        <v>NO</v>
      </c>
      <c r="N397" s="56">
        <f ca="1">IFERROR(__xludf.DUMMYFUNCTION("""COMPUTED_VALUE"""),2)</f>
        <v>2</v>
      </c>
      <c r="O397" s="64" t="str">
        <f ca="1">IFERROR(__xludf.DUMMYFUNCTION("""COMPUTED_VALUE"""),"CONFORT")</f>
        <v>CONFORT</v>
      </c>
      <c r="P397" s="62">
        <f ca="1">IFERROR(__xludf.DUMMYFUNCTION("""COMPUTED_VALUE"""),3631.82)</f>
        <v>3631.82</v>
      </c>
      <c r="Q397" s="33" t="str">
        <f ca="1">IFERROR(__xludf.DUMMYFUNCTION("""COMPUTED_VALUE"""),"Iván Sánchez")</f>
        <v>Iván Sánchez</v>
      </c>
      <c r="R397" s="33" t="str">
        <f ca="1">IFERROR(__xludf.DUMMYFUNCTION("""COMPUTED_VALUE"""),"Ángel Onofre Pérez Coll")</f>
        <v>Ángel Onofre Pérez Coll</v>
      </c>
      <c r="S397" s="61" t="str">
        <f ca="1">IFERROR(__xludf.DUMMYFUNCTION("""COMPUTED_VALUE"""),"03 ORL")</f>
        <v>03 ORL</v>
      </c>
      <c r="T397" s="33" t="str">
        <f ca="1">IFERROR(__xludf.DUMMYFUNCTION("""COMPUTED_VALUE"""),"06 ORL")</f>
        <v>06 ORL</v>
      </c>
      <c r="U397" s="62"/>
      <c r="W397" s="62"/>
      <c r="X397" s="62"/>
    </row>
    <row r="398" spans="2:24" ht="16">
      <c r="B398" s="55" t="str">
        <f t="shared" ca="1" si="1"/>
        <v>MBM</v>
      </c>
      <c r="C398" s="64" t="str">
        <f ca="1">IFERROR(__xludf.DUMMYFUNCTION("""COMPUTED_VALUE"""),"MBM133")</f>
        <v>MBM133</v>
      </c>
      <c r="D398" s="33" t="str">
        <f ca="1">IFERROR(__xludf.DUMMYFUNCTION("""COMPUTED_VALUE"""),"PROPIOS")</f>
        <v>PROPIOS</v>
      </c>
      <c r="E398" s="33">
        <f ca="1">IFERROR(__xludf.DUMMYFUNCTION("""COMPUTED_VALUE"""),2026)</f>
        <v>2026</v>
      </c>
      <c r="F398" s="56">
        <f ca="1">IFERROR(__xludf.DUMMYFUNCTION("""COMPUTED_VALUE"""),3)</f>
        <v>3</v>
      </c>
      <c r="G398" s="33" t="str">
        <f ca="1">IFERROR(__xludf.DUMMYFUNCTION("""COMPUTED_VALUE"""),"Madrid- Moratalaz")</f>
        <v>Madrid- Moratalaz</v>
      </c>
      <c r="H398" s="33" t="str">
        <f ca="1">IFERROR(__xludf.DUMMYFUNCTION("""COMPUTED_VALUE"""),"C202621711017242970")</f>
        <v>C202621711017242970</v>
      </c>
      <c r="I398" s="33" t="str">
        <f ca="1">IFERROR(__xludf.DUMMYFUNCTION("""COMPUTED_VALUE"""),"CARLOS CORNA BUSTOS")</f>
        <v>CARLOS CORNA BUSTOS</v>
      </c>
      <c r="J398" s="57">
        <f ca="1">IFERROR(__xludf.DUMMYFUNCTION("""COMPUTED_VALUE"""),46070)</f>
        <v>46070</v>
      </c>
      <c r="K398" s="33" t="str">
        <f ca="1">IFERROR(__xludf.DUMMYFUNCTION("""COMPUTED_VALUE"""),"Factura audífonos")</f>
        <v>Factura audífonos</v>
      </c>
      <c r="L398" s="57">
        <f ca="1">IFERROR(__xludf.DUMMYFUNCTION("""COMPUTED_VALUE"""),46104)</f>
        <v>46104</v>
      </c>
      <c r="M398" s="58" t="str">
        <f ca="1">IFERROR(__xludf.DUMMYFUNCTION("""COMPUTED_VALUE"""),"NO")</f>
        <v>NO</v>
      </c>
      <c r="N398" s="56">
        <f ca="1">IFERROR(__xludf.DUMMYFUNCTION("""COMPUTED_VALUE"""),2)</f>
        <v>2</v>
      </c>
      <c r="O398" s="64" t="str">
        <f ca="1">IFERROR(__xludf.DUMMYFUNCTION("""COMPUTED_VALUE"""),"CONFORT")</f>
        <v>CONFORT</v>
      </c>
      <c r="P398" s="62">
        <f ca="1">IFERROR(__xludf.DUMMYFUNCTION("""COMPUTED_VALUE"""),3450.22)</f>
        <v>3450.22</v>
      </c>
      <c r="Q398" s="33" t="str">
        <f ca="1">IFERROR(__xludf.DUMMYFUNCTION("""COMPUTED_VALUE"""),"Maika Blázquez")</f>
        <v>Maika Blázquez</v>
      </c>
      <c r="R398" s="33" t="str">
        <f ca="1">IFERROR(__xludf.DUMMYFUNCTION("""COMPUTED_VALUE"""),"Laura Yeguas Ramírez")</f>
        <v>Laura Yeguas Ramírez</v>
      </c>
      <c r="S398" s="61" t="str">
        <f ca="1">IFERROR(__xludf.DUMMYFUNCTION("""COMPUTED_VALUE"""),"03 ORL")</f>
        <v>03 ORL</v>
      </c>
      <c r="T398" s="33" t="str">
        <f ca="1">IFERROR(__xludf.DUMMYFUNCTION("""COMPUTED_VALUE"""),"06 ORL")</f>
        <v>06 ORL</v>
      </c>
      <c r="U398" s="62"/>
      <c r="W398" s="62"/>
      <c r="X398" s="62"/>
    </row>
    <row r="399" spans="2:24" ht="16">
      <c r="B399" s="55" t="str">
        <f t="shared" si="1"/>
        <v/>
      </c>
      <c r="C399" s="64"/>
      <c r="D399" s="33" t="str">
        <f ca="1">IFERROR(__xludf.DUMMYFUNCTION("""COMPUTED_VALUE"""),"PROPIOS")</f>
        <v>PROPIOS</v>
      </c>
      <c r="E399" s="33">
        <f ca="1">IFERROR(__xludf.DUMMYFUNCTION("""COMPUTED_VALUE"""),2026)</f>
        <v>2026</v>
      </c>
      <c r="F399" s="56">
        <f ca="1">IFERROR(__xludf.DUMMYFUNCTION("""COMPUTED_VALUE"""),3)</f>
        <v>3</v>
      </c>
      <c r="G399" s="33" t="str">
        <f ca="1">IFERROR(__xludf.DUMMYFUNCTION("""COMPUTED_VALUE"""),"Logroño")</f>
        <v>Logroño</v>
      </c>
      <c r="H399" s="33" t="str">
        <f ca="1">IFERROR(__xludf.DUMMYFUNCTION("""COMPUTED_VALUE"""),"C20263910389459500")</f>
        <v>C20263910389459500</v>
      </c>
      <c r="I399" s="33" t="str">
        <f ca="1">IFERROR(__xludf.DUMMYFUNCTION("""COMPUTED_VALUE"""),"PRUDENCIO ACEVEDO MARTINEZ")</f>
        <v>PRUDENCIO ACEVEDO MARTINEZ</v>
      </c>
      <c r="J399" s="57">
        <f ca="1">IFERROR(__xludf.DUMMYFUNCTION("""COMPUTED_VALUE"""),46090)</f>
        <v>46090</v>
      </c>
      <c r="K399" s="33" t="str">
        <f ca="1">IFERROR(__xludf.DUMMYFUNCTION("""COMPUTED_VALUE"""),"Factura audífonos")</f>
        <v>Factura audífonos</v>
      </c>
      <c r="L399" s="57">
        <f ca="1">IFERROR(__xludf.DUMMYFUNCTION("""COMPUTED_VALUE"""),46104)</f>
        <v>46104</v>
      </c>
      <c r="M399" s="64" t="str">
        <f ca="1">IFERROR(__xludf.DUMMYFUNCTION("""COMPUTED_VALUE"""),"NO")</f>
        <v>NO</v>
      </c>
      <c r="N399" s="56">
        <f ca="1">IFERROR(__xludf.DUMMYFUNCTION("""COMPUTED_VALUE"""),2)</f>
        <v>2</v>
      </c>
      <c r="O399" s="64" t="str">
        <f ca="1">IFERROR(__xludf.DUMMYFUNCTION("""COMPUTED_VALUE"""),"CONFORT")</f>
        <v>CONFORT</v>
      </c>
      <c r="P399" s="62">
        <f ca="1">IFERROR(__xludf.DUMMYFUNCTION("""COMPUTED_VALUE"""),3631.82)</f>
        <v>3631.82</v>
      </c>
      <c r="Q399" s="33" t="str">
        <f ca="1">IFERROR(__xludf.DUMMYFUNCTION("""COMPUTED_VALUE"""),"Lisandro Russian")</f>
        <v>Lisandro Russian</v>
      </c>
      <c r="R399" s="33" t="str">
        <f ca="1">IFERROR(__xludf.DUMMYFUNCTION("""COMPUTED_VALUE"""),"No recuerda ORL")</f>
        <v>No recuerda ORL</v>
      </c>
      <c r="S399" s="61" t="str">
        <f ca="1">IFERROR(__xludf.DUMMYFUNCTION("""COMPUTED_VALUE"""),"03 ORL")</f>
        <v>03 ORL</v>
      </c>
      <c r="T399" s="33" t="str">
        <f ca="1">IFERROR(__xludf.DUMMYFUNCTION("""COMPUTED_VALUE"""),"06 ORL")</f>
        <v>06 ORL</v>
      </c>
      <c r="U399" s="62"/>
      <c r="W399" s="62"/>
      <c r="X399" s="62"/>
    </row>
    <row r="400" spans="2:24" ht="16">
      <c r="B400" s="55" t="str">
        <f t="shared" ca="1" si="1"/>
        <v>PSC</v>
      </c>
      <c r="C400" s="64" t="str">
        <f ca="1">IFERROR(__xludf.DUMMYFUNCTION("""COMPUTED_VALUE"""),"PSC30")</f>
        <v>PSC30</v>
      </c>
      <c r="D400" s="33" t="str">
        <f ca="1">IFERROR(__xludf.DUMMYFUNCTION("""COMPUTED_VALUE"""),"ASOCIADOS")</f>
        <v>ASOCIADOS</v>
      </c>
      <c r="E400" s="33">
        <f ca="1">IFERROR(__xludf.DUMMYFUNCTION("""COMPUTED_VALUE"""),2026)</f>
        <v>2026</v>
      </c>
      <c r="F400" s="56">
        <f ca="1">IFERROR(__xludf.DUMMYFUNCTION("""COMPUTED_VALUE"""),3)</f>
        <v>3</v>
      </c>
      <c r="G400" s="33" t="str">
        <f ca="1">IFERROR(__xludf.DUMMYFUNCTION("""COMPUTED_VALUE"""),"León")</f>
        <v>León</v>
      </c>
      <c r="H400" s="33" t="str">
        <f ca="1">IFERROR(__xludf.DUMMYFUNCTION("""COMPUTED_VALUE"""),"C202631217351288577")</f>
        <v>C202631217351288577</v>
      </c>
      <c r="I400" s="33" t="str">
        <f ca="1">IFERROR(__xludf.DUMMYFUNCTION("""COMPUTED_VALUE"""),"CELESTINA FERNANDEZ FERNANDEZ")</f>
        <v>CELESTINA FERNANDEZ FERNANDEZ</v>
      </c>
      <c r="J400" s="57">
        <f ca="1">IFERROR(__xludf.DUMMYFUNCTION("""COMPUTED_VALUE"""),46093)</f>
        <v>46093</v>
      </c>
      <c r="K400" s="33" t="str">
        <f ca="1">IFERROR(__xludf.DUMMYFUNCTION("""COMPUTED_VALUE"""),"Factura audífonos")</f>
        <v>Factura audífonos</v>
      </c>
      <c r="L400" s="57">
        <f ca="1">IFERROR(__xludf.DUMMYFUNCTION("""COMPUTED_VALUE"""),46104)</f>
        <v>46104</v>
      </c>
      <c r="M400" s="64" t="str">
        <f ca="1">IFERROR(__xludf.DUMMYFUNCTION("""COMPUTED_VALUE"""),"NO")</f>
        <v>NO</v>
      </c>
      <c r="N400" s="56">
        <f ca="1">IFERROR(__xludf.DUMMYFUNCTION("""COMPUTED_VALUE"""),2)</f>
        <v>2</v>
      </c>
      <c r="O400" s="64" t="str">
        <f ca="1">IFERROR(__xludf.DUMMYFUNCTION("""COMPUTED_VALUE"""),"INTERTON")</f>
        <v>INTERTON</v>
      </c>
      <c r="P400" s="62">
        <f ca="1">IFERROR(__xludf.DUMMYFUNCTION("""COMPUTED_VALUE"""),1909.09)</f>
        <v>1909.09</v>
      </c>
      <c r="Q400" s="33" t="str">
        <f ca="1">IFERROR(__xludf.DUMMYFUNCTION("""COMPUTED_VALUE"""),"Alberto Moreno")</f>
        <v>Alberto Moreno</v>
      </c>
      <c r="R400" s="33" t="str">
        <f ca="1">IFERROR(__xludf.DUMMYFUNCTION("""COMPUTED_VALUE"""),"Rafael Pérez González")</f>
        <v>Rafael Pérez González</v>
      </c>
      <c r="S400" s="61" t="str">
        <f ca="1">IFERROR(__xludf.DUMMYFUNCTION("""COMPUTED_VALUE"""),"03 ORL")</f>
        <v>03 ORL</v>
      </c>
      <c r="T400" s="33" t="str">
        <f ca="1">IFERROR(__xludf.DUMMYFUNCTION("""COMPUTED_VALUE"""),"06 ORL")</f>
        <v>06 ORL</v>
      </c>
      <c r="U400" s="62"/>
      <c r="W400" s="62"/>
      <c r="X400" s="62"/>
    </row>
    <row r="401" spans="2:24" ht="16">
      <c r="B401" s="55" t="str">
        <f t="shared" ca="1" si="1"/>
        <v>#N/</v>
      </c>
      <c r="C401" s="64" t="str">
        <f ca="1">IFERROR(__xludf.DUMMYFUNCTION("""COMPUTED_VALUE"""),"#N/A")</f>
        <v>#N/A</v>
      </c>
      <c r="D401" s="33" t="str">
        <f ca="1">IFERROR(__xludf.DUMMYFUNCTION("""COMPUTED_VALUE"""),"PROPIOS")</f>
        <v>PROPIOS</v>
      </c>
      <c r="E401" s="33">
        <f ca="1">IFERROR(__xludf.DUMMYFUNCTION("""COMPUTED_VALUE"""),2026)</f>
        <v>2026</v>
      </c>
      <c r="F401" s="56">
        <f ca="1">IFERROR(__xludf.DUMMYFUNCTION("""COMPUTED_VALUE"""),3)</f>
        <v>3</v>
      </c>
      <c r="G401" s="33" t="str">
        <f ca="1">IFERROR(__xludf.DUMMYFUNCTION("""COMPUTED_VALUE"""),"Jerez de la Frontera")</f>
        <v>Jerez de la Frontera</v>
      </c>
      <c r="H401" s="33" t="str">
        <f ca="1">IFERROR(__xludf.DUMMYFUNCTION("""COMPUTED_VALUE"""),"C202634164844964727")</f>
        <v>C202634164844964727</v>
      </c>
      <c r="I401" s="33" t="str">
        <f ca="1">IFERROR(__xludf.DUMMYFUNCTION("""COMPUTED_VALUE"""),"BELEN DE LA CUADRA GUERRERO")</f>
        <v>BELEN DE LA CUADRA GUERRERO</v>
      </c>
      <c r="J401" s="57">
        <f ca="1">IFERROR(__xludf.DUMMYFUNCTION("""COMPUTED_VALUE"""),46085)</f>
        <v>46085</v>
      </c>
      <c r="K401" s="33" t="str">
        <f ca="1">IFERROR(__xludf.DUMMYFUNCTION("""COMPUTED_VALUE"""),"Factura audífonos")</f>
        <v>Factura audífonos</v>
      </c>
      <c r="L401" s="57">
        <f ca="1">IFERROR(__xludf.DUMMYFUNCTION("""COMPUTED_VALUE"""),46105)</f>
        <v>46105</v>
      </c>
      <c r="M401" s="64" t="str">
        <f ca="1">IFERROR(__xludf.DUMMYFUNCTION("""COMPUTED_VALUE"""),"NO")</f>
        <v>NO</v>
      </c>
      <c r="N401" s="56">
        <f ca="1">IFERROR(__xludf.DUMMYFUNCTION("""COMPUTED_VALUE"""),1)</f>
        <v>1</v>
      </c>
      <c r="O401" s="64" t="str">
        <f ca="1">IFERROR(__xludf.DUMMYFUNCTION("""COMPUTED_VALUE"""),"PRO")</f>
        <v>PRO</v>
      </c>
      <c r="P401" s="62">
        <f ca="1">IFERROR(__xludf.DUMMYFUNCTION("""COMPUTED_VALUE"""),2722.73)</f>
        <v>2722.73</v>
      </c>
      <c r="Q401" s="33" t="str">
        <f ca="1">IFERROR(__xludf.DUMMYFUNCTION("""COMPUTED_VALUE"""),"Luis Alberto Rodríguez")</f>
        <v>Luis Alberto Rodríguez</v>
      </c>
      <c r="R401" s="33" t="str">
        <f ca="1">IFERROR(__xludf.DUMMYFUNCTION("""COMPUTED_VALUE"""),"Miguel García Teno")</f>
        <v>Miguel García Teno</v>
      </c>
      <c r="S401" s="61" t="str">
        <f ca="1">IFERROR(__xludf.DUMMYFUNCTION("""COMPUTED_VALUE"""),"03 ORL")</f>
        <v>03 ORL</v>
      </c>
      <c r="T401" s="33" t="str">
        <f ca="1">IFERROR(__xludf.DUMMYFUNCTION("""COMPUTED_VALUE"""),"06 ORL")</f>
        <v>06 ORL</v>
      </c>
      <c r="U401" s="62"/>
      <c r="W401" s="62"/>
      <c r="X401" s="62"/>
    </row>
    <row r="402" spans="2:24" ht="16">
      <c r="B402" s="55" t="str">
        <f t="shared" si="1"/>
        <v/>
      </c>
      <c r="C402" s="64"/>
      <c r="D402" s="33" t="str">
        <f ca="1">IFERROR(__xludf.DUMMYFUNCTION("""COMPUTED_VALUE"""),"PROPIOS")</f>
        <v>PROPIOS</v>
      </c>
      <c r="E402" s="33">
        <f ca="1">IFERROR(__xludf.DUMMYFUNCTION("""COMPUTED_VALUE"""),2026)</f>
        <v>2026</v>
      </c>
      <c r="F402" s="56">
        <f ca="1">IFERROR(__xludf.DUMMYFUNCTION("""COMPUTED_VALUE"""),3)</f>
        <v>3</v>
      </c>
      <c r="G402" s="33" t="str">
        <f ca="1">IFERROR(__xludf.DUMMYFUNCTION("""COMPUTED_VALUE"""),"Murcia")</f>
        <v>Murcia</v>
      </c>
      <c r="H402" s="33" t="str">
        <f ca="1">IFERROR(__xludf.DUMMYFUNCTION("""COMPUTED_VALUE"""),"C20261591023671225")</f>
        <v>C20261591023671225</v>
      </c>
      <c r="I402" s="33" t="str">
        <f ca="1">IFERROR(__xludf.DUMMYFUNCTION("""COMPUTED_VALUE"""),"MATILDE MARTINEZ LOPEZ")</f>
        <v>MATILDE MARTINEZ LOPEZ</v>
      </c>
      <c r="J402" s="57">
        <f ca="1">IFERROR(__xludf.DUMMYFUNCTION("""COMPUTED_VALUE"""),46027)</f>
        <v>46027</v>
      </c>
      <c r="K402" s="33" t="str">
        <f ca="1">IFERROR(__xludf.DUMMYFUNCTION("""COMPUTED_VALUE"""),"Factura audífonos")</f>
        <v>Factura audífonos</v>
      </c>
      <c r="L402" s="57">
        <f ca="1">IFERROR(__xludf.DUMMYFUNCTION("""COMPUTED_VALUE"""),46105)</f>
        <v>46105</v>
      </c>
      <c r="M402" s="64" t="str">
        <f ca="1">IFERROR(__xludf.DUMMYFUNCTION("""COMPUTED_VALUE"""),"NO")</f>
        <v>NO</v>
      </c>
      <c r="N402" s="56">
        <f ca="1">IFERROR(__xludf.DUMMYFUNCTION("""COMPUTED_VALUE"""),1)</f>
        <v>1</v>
      </c>
      <c r="O402" s="64" t="str">
        <f ca="1">IFERROR(__xludf.DUMMYFUNCTION("""COMPUTED_VALUE"""),"CONFORT")</f>
        <v>CONFORT</v>
      </c>
      <c r="P402" s="62">
        <f ca="1">IFERROR(__xludf.DUMMYFUNCTION("""COMPUTED_VALUE"""),2180.91)</f>
        <v>2180.91</v>
      </c>
      <c r="Q402" s="33" t="str">
        <f ca="1">IFERROR(__xludf.DUMMYFUNCTION("""COMPUTED_VALUE"""),"Iván Sánchez")</f>
        <v>Iván Sánchez</v>
      </c>
      <c r="R402" s="33" t="str">
        <f ca="1">IFERROR(__xludf.DUMMYFUNCTION("""COMPUTED_VALUE"""),"No recuerda ORL")</f>
        <v>No recuerda ORL</v>
      </c>
      <c r="S402" s="61" t="str">
        <f ca="1">IFERROR(__xludf.DUMMYFUNCTION("""COMPUTED_VALUE"""),"04 TIENDA")</f>
        <v>04 TIENDA</v>
      </c>
      <c r="T402" s="33" t="str">
        <f ca="1">IFERROR(__xludf.DUMMYFUNCTION("""COMPUTED_VALUE"""),"07 BOCA/BOCA")</f>
        <v>07 BOCA/BOCA</v>
      </c>
      <c r="U402" s="62"/>
      <c r="W402" s="62"/>
      <c r="X402" s="62"/>
    </row>
    <row r="403" spans="2:24" ht="16">
      <c r="B403" s="55" t="str">
        <f t="shared" ca="1" si="1"/>
        <v>ISL</v>
      </c>
      <c r="C403" s="64" t="str">
        <f ca="1">IFERROR(__xludf.DUMMYFUNCTION("""COMPUTED_VALUE"""),"ISL24")</f>
        <v>ISL24</v>
      </c>
      <c r="D403" s="33" t="str">
        <f ca="1">IFERROR(__xludf.DUMMYFUNCTION("""COMPUTED_VALUE"""),"PROPIOS")</f>
        <v>PROPIOS</v>
      </c>
      <c r="E403" s="33">
        <f ca="1">IFERROR(__xludf.DUMMYFUNCTION("""COMPUTED_VALUE"""),2026)</f>
        <v>2026</v>
      </c>
      <c r="F403" s="56">
        <f ca="1">IFERROR(__xludf.DUMMYFUNCTION("""COMPUTED_VALUE"""),3)</f>
        <v>3</v>
      </c>
      <c r="G403" s="33" t="str">
        <f ca="1">IFERROR(__xludf.DUMMYFUNCTION("""COMPUTED_VALUE"""),"Murcia")</f>
        <v>Murcia</v>
      </c>
      <c r="H403" s="33" t="str">
        <f ca="1">IFERROR(__xludf.DUMMYFUNCTION("""COMPUTED_VALUE"""),"C202621612391370804")</f>
        <v>C202621612391370804</v>
      </c>
      <c r="I403" s="33" t="str">
        <f ca="1">IFERROR(__xludf.DUMMYFUNCTION("""COMPUTED_VALUE"""),"MARIA DEL PILAR ALEMAN VERA")</f>
        <v>MARIA DEL PILAR ALEMAN VERA</v>
      </c>
      <c r="J403" s="57">
        <f ca="1">IFERROR(__xludf.DUMMYFUNCTION("""COMPUTED_VALUE"""),46069)</f>
        <v>46069</v>
      </c>
      <c r="K403" s="33" t="str">
        <f ca="1">IFERROR(__xludf.DUMMYFUNCTION("""COMPUTED_VALUE"""),"Factura audífonos")</f>
        <v>Factura audífonos</v>
      </c>
      <c r="L403" s="57">
        <f ca="1">IFERROR(__xludf.DUMMYFUNCTION("""COMPUTED_VALUE"""),46105)</f>
        <v>46105</v>
      </c>
      <c r="M403" s="64" t="str">
        <f ca="1">IFERROR(__xludf.DUMMYFUNCTION("""COMPUTED_VALUE"""),"NO")</f>
        <v>NO</v>
      </c>
      <c r="N403" s="56">
        <f ca="1">IFERROR(__xludf.DUMMYFUNCTION("""COMPUTED_VALUE"""),2)</f>
        <v>2</v>
      </c>
      <c r="O403" s="64" t="str">
        <f ca="1">IFERROR(__xludf.DUMMYFUNCTION("""COMPUTED_VALUE"""),"QUIET")</f>
        <v>QUIET</v>
      </c>
      <c r="P403" s="62">
        <f ca="1">IFERROR(__xludf.DUMMYFUNCTION("""COMPUTED_VALUE"""),2718.18)</f>
        <v>2718.18</v>
      </c>
      <c r="Q403" s="33" t="str">
        <f ca="1">IFERROR(__xludf.DUMMYFUNCTION("""COMPUTED_VALUE"""),"Iván Sánchez")</f>
        <v>Iván Sánchez</v>
      </c>
      <c r="R403" s="33" t="str">
        <f ca="1">IFERROR(__xludf.DUMMYFUNCTION("""COMPUTED_VALUE"""),"Enrique López Meseguer")</f>
        <v>Enrique López Meseguer</v>
      </c>
      <c r="S403" s="61" t="str">
        <f ca="1">IFERROR(__xludf.DUMMYFUNCTION("""COMPUTED_VALUE"""),"03 ORL")</f>
        <v>03 ORL</v>
      </c>
      <c r="T403" s="33" t="str">
        <f ca="1">IFERROR(__xludf.DUMMYFUNCTION("""COMPUTED_VALUE"""),"06 ORL")</f>
        <v>06 ORL</v>
      </c>
      <c r="U403" s="62"/>
      <c r="W403" s="62"/>
      <c r="X403" s="62"/>
    </row>
    <row r="404" spans="2:24" ht="16">
      <c r="B404" s="55" t="str">
        <f t="shared" ca="1" si="1"/>
        <v>RFV</v>
      </c>
      <c r="C404" s="64" t="str">
        <f ca="1">IFERROR(__xludf.DUMMYFUNCTION("""COMPUTED_VALUE"""),"RFV15")</f>
        <v>RFV15</v>
      </c>
      <c r="D404" s="33" t="str">
        <f ca="1">IFERROR(__xludf.DUMMYFUNCTION("""COMPUTED_VALUE"""),"PROPIOS")</f>
        <v>PROPIOS</v>
      </c>
      <c r="E404" s="33">
        <f ca="1">IFERROR(__xludf.DUMMYFUNCTION("""COMPUTED_VALUE"""),2026)</f>
        <v>2026</v>
      </c>
      <c r="F404" s="56">
        <f ca="1">IFERROR(__xludf.DUMMYFUNCTION("""COMPUTED_VALUE"""),3)</f>
        <v>3</v>
      </c>
      <c r="G404" s="33" t="str">
        <f ca="1">IFERROR(__xludf.DUMMYFUNCTION("""COMPUTED_VALUE"""),"Valencia- Cádiz")</f>
        <v>Valencia- Cádiz</v>
      </c>
      <c r="H404" s="33" t="str">
        <f ca="1">IFERROR(__xludf.DUMMYFUNCTION("""COMPUTED_VALUE"""),"C202623123339316530")</f>
        <v>C202623123339316530</v>
      </c>
      <c r="I404" s="33" t="str">
        <f ca="1">IFERROR(__xludf.DUMMYFUNCTION("""COMPUTED_VALUE"""),"IDALINA MUNNO")</f>
        <v>IDALINA MUNNO</v>
      </c>
      <c r="J404" s="57">
        <f ca="1">IFERROR(__xludf.DUMMYFUNCTION("""COMPUTED_VALUE"""),46056)</f>
        <v>46056</v>
      </c>
      <c r="K404" s="33" t="str">
        <f ca="1">IFERROR(__xludf.DUMMYFUNCTION("""COMPUTED_VALUE"""),"Factura audífonos")</f>
        <v>Factura audífonos</v>
      </c>
      <c r="L404" s="57">
        <f ca="1">IFERROR(__xludf.DUMMYFUNCTION("""COMPUTED_VALUE"""),46105)</f>
        <v>46105</v>
      </c>
      <c r="M404" s="64" t="str">
        <f ca="1">IFERROR(__xludf.DUMMYFUNCTION("""COMPUTED_VALUE"""),"NO")</f>
        <v>NO</v>
      </c>
      <c r="N404" s="56">
        <f ca="1">IFERROR(__xludf.DUMMYFUNCTION("""COMPUTED_VALUE"""),1)</f>
        <v>1</v>
      </c>
      <c r="O404" s="64" t="str">
        <f ca="1">IFERROR(__xludf.DUMMYFUNCTION("""COMPUTED_VALUE"""),"QUIET")</f>
        <v>QUIET</v>
      </c>
      <c r="P404" s="62">
        <f ca="1">IFERROR(__xludf.DUMMYFUNCTION("""COMPUTED_VALUE"""),1631.82)</f>
        <v>1631.82</v>
      </c>
      <c r="Q404" s="33" t="str">
        <f ca="1">IFERROR(__xludf.DUMMYFUNCTION("""COMPUTED_VALUE"""),"Ramon Ferrando")</f>
        <v>Ramon Ferrando</v>
      </c>
      <c r="R404" s="33" t="str">
        <f ca="1">IFERROR(__xludf.DUMMYFUNCTION("""COMPUTED_VALUE"""),"Jean Franco Intraprendente Martini")</f>
        <v>Jean Franco Intraprendente Martini</v>
      </c>
      <c r="S404" s="61" t="str">
        <f ca="1">IFERROR(__xludf.DUMMYFUNCTION("""COMPUTED_VALUE"""),"03 ORL")</f>
        <v>03 ORL</v>
      </c>
      <c r="T404" s="33" t="str">
        <f ca="1">IFERROR(__xludf.DUMMYFUNCTION("""COMPUTED_VALUE"""),"06 ORL")</f>
        <v>06 ORL</v>
      </c>
      <c r="U404" s="62"/>
      <c r="W404" s="62"/>
      <c r="X404" s="62"/>
    </row>
    <row r="405" spans="2:24" ht="16">
      <c r="B405" s="55" t="str">
        <f t="shared" ca="1" si="1"/>
        <v>LRM</v>
      </c>
      <c r="C405" s="64" t="str">
        <f ca="1">IFERROR(__xludf.DUMMYFUNCTION("""COMPUTED_VALUE"""),"LRM113")</f>
        <v>LRM113</v>
      </c>
      <c r="D405" s="33" t="str">
        <f ca="1">IFERROR(__xludf.DUMMYFUNCTION("""COMPUTED_VALUE"""),"ASOCIADOS")</f>
        <v>ASOCIADOS</v>
      </c>
      <c r="E405" s="33">
        <f ca="1">IFERROR(__xludf.DUMMYFUNCTION("""COMPUTED_VALUE"""),2026)</f>
        <v>2026</v>
      </c>
      <c r="F405" s="56">
        <f ca="1">IFERROR(__xludf.DUMMYFUNCTION("""COMPUTED_VALUE"""),3)</f>
        <v>3</v>
      </c>
      <c r="G405" s="33" t="str">
        <f ca="1">IFERROR(__xludf.DUMMYFUNCTION("""COMPUTED_VALUE"""),"Cáceres")</f>
        <v>Cáceres</v>
      </c>
      <c r="H405" s="33" t="str">
        <f ca="1">IFERROR(__xludf.DUMMYFUNCTION("""COMPUTED_VALUE"""),"C202622418504788966")</f>
        <v>C202622418504788966</v>
      </c>
      <c r="I405" s="33" t="str">
        <f ca="1">IFERROR(__xludf.DUMMYFUNCTION("""COMPUTED_VALUE"""),"JUAN JOSE RICO BORREGUERO")</f>
        <v>JUAN JOSE RICO BORREGUERO</v>
      </c>
      <c r="J405" s="57">
        <f ca="1">IFERROR(__xludf.DUMMYFUNCTION("""COMPUTED_VALUE"""),46077)</f>
        <v>46077</v>
      </c>
      <c r="K405" s="33" t="str">
        <f ca="1">IFERROR(__xludf.DUMMYFUNCTION("""COMPUTED_VALUE"""),"Factura audífonos")</f>
        <v>Factura audífonos</v>
      </c>
      <c r="L405" s="57">
        <f ca="1">IFERROR(__xludf.DUMMYFUNCTION("""COMPUTED_VALUE"""),46105)</f>
        <v>46105</v>
      </c>
      <c r="M405" s="64" t="str">
        <f ca="1">IFERROR(__xludf.DUMMYFUNCTION("""COMPUTED_VALUE"""),"NO")</f>
        <v>NO</v>
      </c>
      <c r="N405" s="56">
        <f ca="1">IFERROR(__xludf.DUMMYFUNCTION("""COMPUTED_VALUE"""),2)</f>
        <v>2</v>
      </c>
      <c r="O405" s="64" t="str">
        <f ca="1">IFERROR(__xludf.DUMMYFUNCTION("""COMPUTED_VALUE"""),"CONFORT")</f>
        <v>CONFORT</v>
      </c>
      <c r="P405" s="62">
        <f ca="1">IFERROR(__xludf.DUMMYFUNCTION("""COMPUTED_VALUE"""),3678.18)</f>
        <v>3678.18</v>
      </c>
      <c r="Q405" s="33" t="str">
        <f ca="1">IFERROR(__xludf.DUMMYFUNCTION("""COMPUTED_VALUE"""),"Lisandro Russian")</f>
        <v>Lisandro Russian</v>
      </c>
      <c r="R405" s="33" t="str">
        <f ca="1">IFERROR(__xludf.DUMMYFUNCTION("""COMPUTED_VALUE"""),"Raed Maqued El Maqued")</f>
        <v>Raed Maqued El Maqued</v>
      </c>
      <c r="S405" s="61" t="str">
        <f ca="1">IFERROR(__xludf.DUMMYFUNCTION("""COMPUTED_VALUE"""),"03 ORL")</f>
        <v>03 ORL</v>
      </c>
      <c r="T405" s="33" t="str">
        <f ca="1">IFERROR(__xludf.DUMMYFUNCTION("""COMPUTED_VALUE"""),"06 ORL")</f>
        <v>06 ORL</v>
      </c>
      <c r="U405" s="62"/>
      <c r="W405" s="62"/>
      <c r="X405" s="62"/>
    </row>
    <row r="406" spans="2:24" ht="16">
      <c r="B406" s="55" t="str">
        <f t="shared" ca="1" si="1"/>
        <v>RFV</v>
      </c>
      <c r="C406" s="64" t="str">
        <f ca="1">IFERROR(__xludf.DUMMYFUNCTION("""COMPUTED_VALUE"""),"RFV16")</f>
        <v>RFV16</v>
      </c>
      <c r="D406" s="33" t="str">
        <f ca="1">IFERROR(__xludf.DUMMYFUNCTION("""COMPUTED_VALUE"""),"PROPIOS")</f>
        <v>PROPIOS</v>
      </c>
      <c r="E406" s="33">
        <f ca="1">IFERROR(__xludf.DUMMYFUNCTION("""COMPUTED_VALUE"""),2026)</f>
        <v>2026</v>
      </c>
      <c r="F406" s="56">
        <f ca="1">IFERROR(__xludf.DUMMYFUNCTION("""COMPUTED_VALUE"""),3)</f>
        <v>3</v>
      </c>
      <c r="G406" s="33" t="str">
        <f ca="1">IFERROR(__xludf.DUMMYFUNCTION("""COMPUTED_VALUE"""),"Valencia- Parra")</f>
        <v>Valencia- Parra</v>
      </c>
      <c r="H406" s="33" t="str">
        <f ca="1">IFERROR(__xludf.DUMMYFUNCTION("""COMPUTED_VALUE"""),"C202621011591130907")</f>
        <v>C202621011591130907</v>
      </c>
      <c r="I406" s="33" t="str">
        <f ca="1">IFERROR(__xludf.DUMMYFUNCTION("""COMPUTED_VALUE"""),"VICTOR PUENTES FENOLLOSA")</f>
        <v>VICTOR PUENTES FENOLLOSA</v>
      </c>
      <c r="J406" s="57">
        <f ca="1">IFERROR(__xludf.DUMMYFUNCTION("""COMPUTED_VALUE"""),46063)</f>
        <v>46063</v>
      </c>
      <c r="K406" s="33" t="str">
        <f ca="1">IFERROR(__xludf.DUMMYFUNCTION("""COMPUTED_VALUE"""),"Factura audífonos")</f>
        <v>Factura audífonos</v>
      </c>
      <c r="L406" s="57">
        <f ca="1">IFERROR(__xludf.DUMMYFUNCTION("""COMPUTED_VALUE"""),46105)</f>
        <v>46105</v>
      </c>
      <c r="M406" s="64" t="str">
        <f ca="1">IFERROR(__xludf.DUMMYFUNCTION("""COMPUTED_VALUE"""),"NO")</f>
        <v>NO</v>
      </c>
      <c r="N406" s="56">
        <f ca="1">IFERROR(__xludf.DUMMYFUNCTION("""COMPUTED_VALUE"""),2)</f>
        <v>2</v>
      </c>
      <c r="O406" s="64" t="str">
        <f ca="1">IFERROR(__xludf.DUMMYFUNCTION("""COMPUTED_VALUE"""),"QUIET")</f>
        <v>QUIET</v>
      </c>
      <c r="P406" s="62">
        <f ca="1">IFERROR(__xludf.DUMMYFUNCTION("""COMPUTED_VALUE"""),2718.18)</f>
        <v>2718.18</v>
      </c>
      <c r="Q406" s="33" t="str">
        <f ca="1">IFERROR(__xludf.DUMMYFUNCTION("""COMPUTED_VALUE"""),"Ramon Ferrando")</f>
        <v>Ramon Ferrando</v>
      </c>
      <c r="R406" s="33" t="str">
        <f ca="1">IFERROR(__xludf.DUMMYFUNCTION("""COMPUTED_VALUE"""),"José Manuel Tamarit Conejeros")</f>
        <v>José Manuel Tamarit Conejeros</v>
      </c>
      <c r="S406" s="61" t="str">
        <f ca="1">IFERROR(__xludf.DUMMYFUNCTION("""COMPUTED_VALUE"""),"03 ORL")</f>
        <v>03 ORL</v>
      </c>
      <c r="T406" s="33" t="str">
        <f ca="1">IFERROR(__xludf.DUMMYFUNCTION("""COMPUTED_VALUE"""),"06 ORL")</f>
        <v>06 ORL</v>
      </c>
      <c r="U406" s="62"/>
      <c r="W406" s="62"/>
      <c r="X406" s="62"/>
    </row>
    <row r="407" spans="2:24" ht="16">
      <c r="B407" s="55" t="str">
        <f t="shared" si="1"/>
        <v/>
      </c>
      <c r="C407" s="64"/>
      <c r="D407" s="33" t="str">
        <f ca="1">IFERROR(__xludf.DUMMYFUNCTION("""COMPUTED_VALUE"""),"PROPIOS")</f>
        <v>PROPIOS</v>
      </c>
      <c r="E407" s="33">
        <f ca="1">IFERROR(__xludf.DUMMYFUNCTION("""COMPUTED_VALUE"""),2026)</f>
        <v>2026</v>
      </c>
      <c r="F407" s="56">
        <f ca="1">IFERROR(__xludf.DUMMYFUNCTION("""COMPUTED_VALUE"""),3)</f>
        <v>3</v>
      </c>
      <c r="G407" s="33" t="str">
        <f ca="1">IFERROR(__xludf.DUMMYFUNCTION("""COMPUTED_VALUE"""),"Madrid- Juan Bravo")</f>
        <v>Madrid- Juan Bravo</v>
      </c>
      <c r="H407" s="33" t="str">
        <f ca="1">IFERROR(__xludf.DUMMYFUNCTION("""COMPUTED_VALUE"""),"C202617182211952993")</f>
        <v>C202617182211952993</v>
      </c>
      <c r="I407" s="33" t="str">
        <f ca="1">IFERROR(__xludf.DUMMYFUNCTION("""COMPUTED_VALUE"""),"LUCIA RUIZ HORCHE")</f>
        <v>LUCIA RUIZ HORCHE</v>
      </c>
      <c r="J407" s="57">
        <f ca="1">IFERROR(__xludf.DUMMYFUNCTION("""COMPUTED_VALUE"""),46029)</f>
        <v>46029</v>
      </c>
      <c r="K407" s="33" t="str">
        <f ca="1">IFERROR(__xludf.DUMMYFUNCTION("""COMPUTED_VALUE"""),"Factura audífonos")</f>
        <v>Factura audífonos</v>
      </c>
      <c r="L407" s="57">
        <f ca="1">IFERROR(__xludf.DUMMYFUNCTION("""COMPUTED_VALUE"""),46105)</f>
        <v>46105</v>
      </c>
      <c r="M407" s="64" t="str">
        <f ca="1">IFERROR(__xludf.DUMMYFUNCTION("""COMPUTED_VALUE"""),"NO")</f>
        <v>NO</v>
      </c>
      <c r="N407" s="56">
        <f ca="1">IFERROR(__xludf.DUMMYFUNCTION("""COMPUTED_VALUE"""),2)</f>
        <v>2</v>
      </c>
      <c r="O407" s="64" t="str">
        <f ca="1">IFERROR(__xludf.DUMMYFUNCTION("""COMPUTED_VALUE"""),"CONFORT")</f>
        <v>CONFORT</v>
      </c>
      <c r="P407" s="62">
        <f ca="1">IFERROR(__xludf.DUMMYFUNCTION("""COMPUTED_VALUE"""),3945.95)</f>
        <v>3945.95</v>
      </c>
      <c r="Q407" s="33" t="str">
        <f ca="1">IFERROR(__xludf.DUMMYFUNCTION("""COMPUTED_VALUE"""),"Maika Blázquez")</f>
        <v>Maika Blázquez</v>
      </c>
      <c r="R407" s="33" t="str">
        <f ca="1">IFERROR(__xludf.DUMMYFUNCTION("""COMPUTED_VALUE"""),"No recuerda ORL")</f>
        <v>No recuerda ORL</v>
      </c>
      <c r="S407" s="61" t="str">
        <f ca="1">IFERROR(__xludf.DUMMYFUNCTION("""COMPUTED_VALUE"""),"03 ORL")</f>
        <v>03 ORL</v>
      </c>
      <c r="T407" s="33" t="str">
        <f ca="1">IFERROR(__xludf.DUMMYFUNCTION("""COMPUTED_VALUE"""),"06 ORL")</f>
        <v>06 ORL</v>
      </c>
      <c r="U407" s="62"/>
      <c r="W407" s="62"/>
      <c r="X407" s="62"/>
    </row>
    <row r="408" spans="2:24" ht="16">
      <c r="B408" s="55" t="str">
        <f t="shared" ca="1" si="1"/>
        <v>LAA</v>
      </c>
      <c r="C408" s="64" t="str">
        <f ca="1">IFERROR(__xludf.DUMMYFUNCTION("""COMPUTED_VALUE"""),"LAA08")</f>
        <v>LAA08</v>
      </c>
      <c r="D408" s="33" t="str">
        <f ca="1">IFERROR(__xludf.DUMMYFUNCTION("""COMPUTED_VALUE"""),"PROPIOS")</f>
        <v>PROPIOS</v>
      </c>
      <c r="E408" s="33">
        <f ca="1">IFERROR(__xludf.DUMMYFUNCTION("""COMPUTED_VALUE"""),2026)</f>
        <v>2026</v>
      </c>
      <c r="F408" s="56">
        <f ca="1">IFERROR(__xludf.DUMMYFUNCTION("""COMPUTED_VALUE"""),3)</f>
        <v>3</v>
      </c>
      <c r="G408" s="33" t="str">
        <f ca="1">IFERROR(__xludf.DUMMYFUNCTION("""COMPUTED_VALUE"""),"Sevilla- Montoto")</f>
        <v>Sevilla- Montoto</v>
      </c>
      <c r="H408" s="33" t="str">
        <f ca="1">IFERROR(__xludf.DUMMYFUNCTION("""COMPUTED_VALUE"""),"C202618111858546960")</f>
        <v>C202618111858546960</v>
      </c>
      <c r="I408" s="33" t="str">
        <f ca="1">IFERROR(__xludf.DUMMYFUNCTION("""COMPUTED_VALUE"""),"ANDREA ROSA BOZADA")</f>
        <v>ANDREA ROSA BOZADA</v>
      </c>
      <c r="J408" s="57">
        <f ca="1">IFERROR(__xludf.DUMMYFUNCTION("""COMPUTED_VALUE"""),46030)</f>
        <v>46030</v>
      </c>
      <c r="K408" s="33" t="str">
        <f ca="1">IFERROR(__xludf.DUMMYFUNCTION("""COMPUTED_VALUE"""),"Factura audífonos")</f>
        <v>Factura audífonos</v>
      </c>
      <c r="L408" s="57">
        <f ca="1">IFERROR(__xludf.DUMMYFUNCTION("""COMPUTED_VALUE"""),46105)</f>
        <v>46105</v>
      </c>
      <c r="M408" s="64" t="str">
        <f ca="1">IFERROR(__xludf.DUMMYFUNCTION("""COMPUTED_VALUE"""),"NO")</f>
        <v>NO</v>
      </c>
      <c r="N408" s="56">
        <f ca="1">IFERROR(__xludf.DUMMYFUNCTION("""COMPUTED_VALUE"""),2)</f>
        <v>2</v>
      </c>
      <c r="O408" s="64" t="str">
        <f ca="1">IFERROR(__xludf.DUMMYFUNCTION("""COMPUTED_VALUE"""),"PRO")</f>
        <v>PRO</v>
      </c>
      <c r="P408" s="62">
        <f ca="1">IFERROR(__xludf.DUMMYFUNCTION("""COMPUTED_VALUE"""),4536.36)</f>
        <v>4536.3599999999997</v>
      </c>
      <c r="Q408" s="33" t="str">
        <f ca="1">IFERROR(__xludf.DUMMYFUNCTION("""COMPUTED_VALUE"""),"Luis Alberto Rodríguez")</f>
        <v>Luis Alberto Rodríguez</v>
      </c>
      <c r="R408" s="33" t="str">
        <f ca="1">IFERROR(__xludf.DUMMYFUNCTION("""COMPUTED_VALUE"""),"David Castro Gutiérrez de Agüero")</f>
        <v>David Castro Gutiérrez de Agüero</v>
      </c>
      <c r="S408" s="61" t="str">
        <f ca="1">IFERROR(__xludf.DUMMYFUNCTION("""COMPUTED_VALUE"""),"03 ORL")</f>
        <v>03 ORL</v>
      </c>
      <c r="T408" s="33" t="str">
        <f ca="1">IFERROR(__xludf.DUMMYFUNCTION("""COMPUTED_VALUE"""),"06 ORL")</f>
        <v>06 ORL</v>
      </c>
      <c r="U408" s="62"/>
      <c r="W408" s="62"/>
      <c r="X408" s="62"/>
    </row>
    <row r="409" spans="2:24" ht="16">
      <c r="B409" s="55" t="str">
        <f t="shared" ca="1" si="1"/>
        <v>LAA</v>
      </c>
      <c r="C409" s="64" t="str">
        <f ca="1">IFERROR(__xludf.DUMMYFUNCTION("""COMPUTED_VALUE"""),"LAA84")</f>
        <v>LAA84</v>
      </c>
      <c r="D409" s="33" t="str">
        <f ca="1">IFERROR(__xludf.DUMMYFUNCTION("""COMPUTED_VALUE"""),"PROPIOS")</f>
        <v>PROPIOS</v>
      </c>
      <c r="E409" s="33">
        <f ca="1">IFERROR(__xludf.DUMMYFUNCTION("""COMPUTED_VALUE"""),2026)</f>
        <v>2026</v>
      </c>
      <c r="F409" s="56">
        <f ca="1">IFERROR(__xludf.DUMMYFUNCTION("""COMPUTED_VALUE"""),3)</f>
        <v>3</v>
      </c>
      <c r="G409" s="33" t="str">
        <f ca="1">IFERROR(__xludf.DUMMYFUNCTION("""COMPUTED_VALUE"""),"Valencia- Cádiz")</f>
        <v>Valencia- Cádiz</v>
      </c>
      <c r="H409" s="33" t="str">
        <f ca="1">IFERROR(__xludf.DUMMYFUNCTION("""COMPUTED_VALUE"""),"C202613010311166949")</f>
        <v>C202613010311166949</v>
      </c>
      <c r="I409" s="33" t="str">
        <f ca="1">IFERROR(__xludf.DUMMYFUNCTION("""COMPUTED_VALUE"""),"ADRIANA  SAILEMA SAILEMA")</f>
        <v>ADRIANA  SAILEMA SAILEMA</v>
      </c>
      <c r="J409" s="57">
        <f ca="1">IFERROR(__xludf.DUMMYFUNCTION("""COMPUTED_VALUE"""),46052)</f>
        <v>46052</v>
      </c>
      <c r="K409" s="33" t="str">
        <f ca="1">IFERROR(__xludf.DUMMYFUNCTION("""COMPUTED_VALUE"""),"Factura audífonos")</f>
        <v>Factura audífonos</v>
      </c>
      <c r="L409" s="57">
        <f ca="1">IFERROR(__xludf.DUMMYFUNCTION("""COMPUTED_VALUE"""),46105)</f>
        <v>46105</v>
      </c>
      <c r="M409" s="64" t="str">
        <f ca="1">IFERROR(__xludf.DUMMYFUNCTION("""COMPUTED_VALUE"""),"NO")</f>
        <v>NO</v>
      </c>
      <c r="N409" s="56">
        <f ca="1">IFERROR(__xludf.DUMMYFUNCTION("""COMPUTED_VALUE"""),1)</f>
        <v>1</v>
      </c>
      <c r="O409" s="64" t="str">
        <f ca="1">IFERROR(__xludf.DUMMYFUNCTION("""COMPUTED_VALUE"""),"CONFORT")</f>
        <v>CONFORT</v>
      </c>
      <c r="P409" s="62">
        <f ca="1">IFERROR(__xludf.DUMMYFUNCTION("""COMPUTED_VALUE"""),2180.91)</f>
        <v>2180.91</v>
      </c>
      <c r="Q409" s="33" t="str">
        <f ca="1">IFERROR(__xludf.DUMMYFUNCTION("""COMPUTED_VALUE"""),"Ramon Ferrando")</f>
        <v>Ramon Ferrando</v>
      </c>
      <c r="R409" s="33" t="str">
        <f ca="1">IFERROR(__xludf.DUMMYFUNCTION("""COMPUTED_VALUE"""),"Catalina Riera Sala")</f>
        <v>Catalina Riera Sala</v>
      </c>
      <c r="S409" s="61" t="str">
        <f ca="1">IFERROR(__xludf.DUMMYFUNCTION("""COMPUTED_VALUE"""),"03 ORL")</f>
        <v>03 ORL</v>
      </c>
      <c r="T409" s="33" t="str">
        <f ca="1">IFERROR(__xludf.DUMMYFUNCTION("""COMPUTED_VALUE"""),"06 ORL")</f>
        <v>06 ORL</v>
      </c>
      <c r="U409" s="62"/>
      <c r="W409" s="62"/>
      <c r="X409" s="62"/>
    </row>
    <row r="410" spans="2:24" ht="16">
      <c r="B410" s="55" t="str">
        <f t="shared" ca="1" si="1"/>
        <v>MBM</v>
      </c>
      <c r="C410" s="64" t="str">
        <f ca="1">IFERROR(__xludf.DUMMYFUNCTION("""COMPUTED_VALUE"""),"MBM90")</f>
        <v>MBM90</v>
      </c>
      <c r="D410" s="33" t="str">
        <f ca="1">IFERROR(__xludf.DUMMYFUNCTION("""COMPUTED_VALUE"""),"PROPIOS")</f>
        <v>PROPIOS</v>
      </c>
      <c r="E410" s="33">
        <f ca="1">IFERROR(__xludf.DUMMYFUNCTION("""COMPUTED_VALUE"""),2026)</f>
        <v>2026</v>
      </c>
      <c r="F410" s="56">
        <f ca="1">IFERROR(__xludf.DUMMYFUNCTION("""COMPUTED_VALUE"""),3)</f>
        <v>3</v>
      </c>
      <c r="G410" s="33" t="str">
        <f ca="1">IFERROR(__xludf.DUMMYFUNCTION("""COMPUTED_VALUE"""),"Leganés")</f>
        <v>Leganés</v>
      </c>
      <c r="H410" s="33" t="str">
        <f ca="1">IFERROR(__xludf.DUMMYFUNCTION("""COMPUTED_VALUE"""),"C202622383152566603")</f>
        <v>C202622383152566603</v>
      </c>
      <c r="I410" s="33" t="str">
        <f ca="1">IFERROR(__xludf.DUMMYFUNCTION("""COMPUTED_VALUE"""),"MARIANO GARCIA MAESO")</f>
        <v>MARIANO GARCIA MAESO</v>
      </c>
      <c r="J410" s="57">
        <f ca="1">IFERROR(__xludf.DUMMYFUNCTION("""COMPUTED_VALUE"""),46076)</f>
        <v>46076</v>
      </c>
      <c r="K410" s="33" t="str">
        <f ca="1">IFERROR(__xludf.DUMMYFUNCTION("""COMPUTED_VALUE"""),"Factura audífonos")</f>
        <v>Factura audífonos</v>
      </c>
      <c r="L410" s="57">
        <f ca="1">IFERROR(__xludf.DUMMYFUNCTION("""COMPUTED_VALUE"""),46105)</f>
        <v>46105</v>
      </c>
      <c r="M410" s="64" t="str">
        <f ca="1">IFERROR(__xludf.DUMMYFUNCTION("""COMPUTED_VALUE"""),"NO")</f>
        <v>NO</v>
      </c>
      <c r="N410" s="56">
        <f ca="1">IFERROR(__xludf.DUMMYFUNCTION("""COMPUTED_VALUE"""),2)</f>
        <v>2</v>
      </c>
      <c r="O410" s="64" t="str">
        <f ca="1">IFERROR(__xludf.DUMMYFUNCTION("""COMPUTED_VALUE"""),"CONFORT")</f>
        <v>CONFORT</v>
      </c>
      <c r="P410" s="62">
        <f ca="1">IFERROR(__xludf.DUMMYFUNCTION("""COMPUTED_VALUE"""),3631.82)</f>
        <v>3631.82</v>
      </c>
      <c r="Q410" s="33" t="str">
        <f ca="1">IFERROR(__xludf.DUMMYFUNCTION("""COMPUTED_VALUE"""),"Maika Blázquez")</f>
        <v>Maika Blázquez</v>
      </c>
      <c r="R410" s="33" t="str">
        <f ca="1">IFERROR(__xludf.DUMMYFUNCTION("""COMPUTED_VALUE"""),"Ana Ruiz Fornells Noreña")</f>
        <v>Ana Ruiz Fornells Noreña</v>
      </c>
      <c r="S410" s="61" t="str">
        <f ca="1">IFERROR(__xludf.DUMMYFUNCTION("""COMPUTED_VALUE"""),"03 ORL")</f>
        <v>03 ORL</v>
      </c>
      <c r="T410" s="33" t="str">
        <f ca="1">IFERROR(__xludf.DUMMYFUNCTION("""COMPUTED_VALUE"""),"06 ORL")</f>
        <v>06 ORL</v>
      </c>
      <c r="U410" s="62"/>
      <c r="W410" s="62"/>
      <c r="X410" s="62"/>
    </row>
    <row r="411" spans="2:24" ht="16">
      <c r="B411" s="55" t="str">
        <f t="shared" ca="1" si="1"/>
        <v>MBM</v>
      </c>
      <c r="C411" s="64" t="str">
        <f ca="1">IFERROR(__xludf.DUMMYFUNCTION("""COMPUTED_VALUE"""),"MBM39")</f>
        <v>MBM39</v>
      </c>
      <c r="D411" s="33" t="str">
        <f ca="1">IFERROR(__xludf.DUMMYFUNCTION("""COMPUTED_VALUE"""),"PROPIOS")</f>
        <v>PROPIOS</v>
      </c>
      <c r="E411" s="33">
        <f ca="1">IFERROR(__xludf.DUMMYFUNCTION("""COMPUTED_VALUE"""),2026)</f>
        <v>2026</v>
      </c>
      <c r="F411" s="56">
        <f ca="1">IFERROR(__xludf.DUMMYFUNCTION("""COMPUTED_VALUE"""),3)</f>
        <v>3</v>
      </c>
      <c r="G411" s="33" t="str">
        <f ca="1">IFERROR(__xludf.DUMMYFUNCTION("""COMPUTED_VALUE"""),"Madrid- Juan Bravo")</f>
        <v>Madrid- Juan Bravo</v>
      </c>
      <c r="H411" s="33" t="str">
        <f ca="1">IFERROR(__xludf.DUMMYFUNCTION("""COMPUTED_VALUE"""),"C202622417564128522")</f>
        <v>C202622417564128522</v>
      </c>
      <c r="I411" s="33" t="str">
        <f ca="1">IFERROR(__xludf.DUMMYFUNCTION("""COMPUTED_VALUE"""),"MERCEDES    DE JUAN GINES")</f>
        <v>MERCEDES    DE JUAN GINES</v>
      </c>
      <c r="J411" s="57">
        <f ca="1">IFERROR(__xludf.DUMMYFUNCTION("""COMPUTED_VALUE"""),46077)</f>
        <v>46077</v>
      </c>
      <c r="K411" s="33" t="str">
        <f ca="1">IFERROR(__xludf.DUMMYFUNCTION("""COMPUTED_VALUE"""),"Factura audífonos")</f>
        <v>Factura audífonos</v>
      </c>
      <c r="L411" s="57">
        <f ca="1">IFERROR(__xludf.DUMMYFUNCTION("""COMPUTED_VALUE"""),46105)</f>
        <v>46105</v>
      </c>
      <c r="M411" s="64" t="str">
        <f ca="1">IFERROR(__xludf.DUMMYFUNCTION("""COMPUTED_VALUE"""),"NO")</f>
        <v>NO</v>
      </c>
      <c r="N411" s="56">
        <f ca="1">IFERROR(__xludf.DUMMYFUNCTION("""COMPUTED_VALUE"""),2)</f>
        <v>2</v>
      </c>
      <c r="O411" s="64" t="str">
        <f ca="1">IFERROR(__xludf.DUMMYFUNCTION("""COMPUTED_VALUE"""),"ADVANCED")</f>
        <v>ADVANCED</v>
      </c>
      <c r="P411" s="62">
        <f ca="1">IFERROR(__xludf.DUMMYFUNCTION("""COMPUTED_VALUE"""),4136.36)</f>
        <v>4136.3599999999997</v>
      </c>
      <c r="Q411" s="33" t="str">
        <f ca="1">IFERROR(__xludf.DUMMYFUNCTION("""COMPUTED_VALUE"""),"Maika Blázquez")</f>
        <v>Maika Blázquez</v>
      </c>
      <c r="R411" s="33" t="str">
        <f ca="1">IFERROR(__xludf.DUMMYFUNCTION("""COMPUTED_VALUE"""),"Javier García Domínguez")</f>
        <v>Javier García Domínguez</v>
      </c>
      <c r="S411" s="61" t="str">
        <f ca="1">IFERROR(__xludf.DUMMYFUNCTION("""COMPUTED_VALUE"""),"03 ORL")</f>
        <v>03 ORL</v>
      </c>
      <c r="T411" s="33" t="str">
        <f ca="1">IFERROR(__xludf.DUMMYFUNCTION("""COMPUTED_VALUE"""),"06 ORL")</f>
        <v>06 ORL</v>
      </c>
      <c r="U411" s="62"/>
      <c r="W411" s="62"/>
      <c r="X411" s="62"/>
    </row>
    <row r="412" spans="2:24" ht="16">
      <c r="B412" s="55" t="str">
        <f t="shared" ca="1" si="1"/>
        <v>MBM</v>
      </c>
      <c r="C412" s="64" t="str">
        <f ca="1">IFERROR(__xludf.DUMMYFUNCTION("""COMPUTED_VALUE"""),"MBM113")</f>
        <v>MBM113</v>
      </c>
      <c r="D412" s="33" t="str">
        <f ca="1">IFERROR(__xludf.DUMMYFUNCTION("""COMPUTED_VALUE"""),"PROPIOS")</f>
        <v>PROPIOS</v>
      </c>
      <c r="E412" s="33">
        <f ca="1">IFERROR(__xludf.DUMMYFUNCTION("""COMPUTED_VALUE"""),2026)</f>
        <v>2026</v>
      </c>
      <c r="F412" s="56">
        <f ca="1">IFERROR(__xludf.DUMMYFUNCTION("""COMPUTED_VALUE"""),3)</f>
        <v>3</v>
      </c>
      <c r="G412" s="33" t="str">
        <f ca="1">IFERROR(__xludf.DUMMYFUNCTION("""COMPUTED_VALUE"""),"Fuenlabrada")</f>
        <v>Fuenlabrada</v>
      </c>
      <c r="H412" s="33" t="str">
        <f ca="1">IFERROR(__xludf.DUMMYFUNCTION("""COMPUTED_VALUE"""),"C202621016017740583")</f>
        <v>C202621016017740583</v>
      </c>
      <c r="I412" s="33" t="str">
        <f ca="1">IFERROR(__xludf.DUMMYFUNCTION("""COMPUTED_VALUE"""),"SOCORRO JIMENEZ LLORENTES")</f>
        <v>SOCORRO JIMENEZ LLORENTES</v>
      </c>
      <c r="J412" s="57">
        <f ca="1">IFERROR(__xludf.DUMMYFUNCTION("""COMPUTED_VALUE"""),46063)</f>
        <v>46063</v>
      </c>
      <c r="K412" s="33" t="str">
        <f ca="1">IFERROR(__xludf.DUMMYFUNCTION("""COMPUTED_VALUE"""),"Factura audífonos")</f>
        <v>Factura audífonos</v>
      </c>
      <c r="L412" s="57">
        <f ca="1">IFERROR(__xludf.DUMMYFUNCTION("""COMPUTED_VALUE"""),46106)</f>
        <v>46106</v>
      </c>
      <c r="M412" s="64" t="str">
        <f ca="1">IFERROR(__xludf.DUMMYFUNCTION("""COMPUTED_VALUE"""),"NO")</f>
        <v>NO</v>
      </c>
      <c r="N412" s="56">
        <f ca="1">IFERROR(__xludf.DUMMYFUNCTION("""COMPUTED_VALUE"""),2)</f>
        <v>2</v>
      </c>
      <c r="O412" s="64" t="str">
        <f ca="1">IFERROR(__xludf.DUMMYFUNCTION("""COMPUTED_VALUE"""),"QUIET")</f>
        <v>QUIET</v>
      </c>
      <c r="P412" s="62">
        <f ca="1">IFERROR(__xludf.DUMMYFUNCTION("""COMPUTED_VALUE"""),2718.18)</f>
        <v>2718.18</v>
      </c>
      <c r="Q412" s="33" t="str">
        <f ca="1">IFERROR(__xludf.DUMMYFUNCTION("""COMPUTED_VALUE"""),"Maika Blázquez")</f>
        <v>Maika Blázquez</v>
      </c>
      <c r="R412" s="33" t="str">
        <f ca="1">IFERROR(__xludf.DUMMYFUNCTION("""COMPUTED_VALUE"""),"Estefania Miranda Sánchez")</f>
        <v>Estefania Miranda Sánchez</v>
      </c>
      <c r="S412" s="61" t="str">
        <f ca="1">IFERROR(__xludf.DUMMYFUNCTION("""COMPUTED_VALUE"""),"03 ORL")</f>
        <v>03 ORL</v>
      </c>
      <c r="T412" s="33" t="str">
        <f ca="1">IFERROR(__xludf.DUMMYFUNCTION("""COMPUTED_VALUE"""),"06 ORL")</f>
        <v>06 ORL</v>
      </c>
      <c r="U412" s="62"/>
      <c r="W412" s="62"/>
      <c r="X412" s="62"/>
    </row>
    <row r="413" spans="2:24" ht="16">
      <c r="B413" s="55" t="str">
        <f t="shared" ca="1" si="1"/>
        <v>ISL</v>
      </c>
      <c r="C413" s="64" t="str">
        <f ca="1">IFERROR(__xludf.DUMMYFUNCTION("""COMPUTED_VALUE"""),"ISL128")</f>
        <v>ISL128</v>
      </c>
      <c r="D413" s="33" t="str">
        <f ca="1">IFERROR(__xludf.DUMMYFUNCTION("""COMPUTED_VALUE"""),"PROPIOS")</f>
        <v>PROPIOS</v>
      </c>
      <c r="E413" s="33">
        <f ca="1">IFERROR(__xludf.DUMMYFUNCTION("""COMPUTED_VALUE"""),2026)</f>
        <v>2026</v>
      </c>
      <c r="F413" s="56">
        <f ca="1">IFERROR(__xludf.DUMMYFUNCTION("""COMPUTED_VALUE"""),3)</f>
        <v>3</v>
      </c>
      <c r="G413" s="33" t="str">
        <f ca="1">IFERROR(__xludf.DUMMYFUNCTION("""COMPUTED_VALUE"""),"Murcia")</f>
        <v>Murcia</v>
      </c>
      <c r="H413" s="33" t="str">
        <f ca="1">IFERROR(__xludf.DUMMYFUNCTION("""COMPUTED_VALUE"""),"C202625152152410682")</f>
        <v>C202625152152410682</v>
      </c>
      <c r="I413" s="33" t="str">
        <f ca="1">IFERROR(__xludf.DUMMYFUNCTION("""COMPUTED_VALUE"""),"ENCARNACION CAMPILLO SOTO")</f>
        <v>ENCARNACION CAMPILLO SOTO</v>
      </c>
      <c r="J413" s="57">
        <f ca="1">IFERROR(__xludf.DUMMYFUNCTION("""COMPUTED_VALUE"""),46058)</f>
        <v>46058</v>
      </c>
      <c r="K413" s="33" t="str">
        <f ca="1">IFERROR(__xludf.DUMMYFUNCTION("""COMPUTED_VALUE"""),"Factura audífonos")</f>
        <v>Factura audífonos</v>
      </c>
      <c r="L413" s="57">
        <f ca="1">IFERROR(__xludf.DUMMYFUNCTION("""COMPUTED_VALUE"""),46106)</f>
        <v>46106</v>
      </c>
      <c r="M413" s="64" t="str">
        <f ca="1">IFERROR(__xludf.DUMMYFUNCTION("""COMPUTED_VALUE"""),"NO")</f>
        <v>NO</v>
      </c>
      <c r="N413" s="56">
        <f ca="1">IFERROR(__xludf.DUMMYFUNCTION("""COMPUTED_VALUE"""),2)</f>
        <v>2</v>
      </c>
      <c r="O413" s="64" t="str">
        <f ca="1">IFERROR(__xludf.DUMMYFUNCTION("""COMPUTED_VALUE"""),"QUIET")</f>
        <v>QUIET</v>
      </c>
      <c r="P413" s="62">
        <f ca="1">IFERROR(__xludf.DUMMYFUNCTION("""COMPUTED_VALUE"""),2718.19)</f>
        <v>2718.19</v>
      </c>
      <c r="Q413" s="33" t="str">
        <f ca="1">IFERROR(__xludf.DUMMYFUNCTION("""COMPUTED_VALUE"""),"Iván Sánchez")</f>
        <v>Iván Sánchez</v>
      </c>
      <c r="R413" s="33" t="str">
        <f ca="1">IFERROR(__xludf.DUMMYFUNCTION("""COMPUTED_VALUE"""),"Nuria Salas Barrio")</f>
        <v>Nuria Salas Barrio</v>
      </c>
      <c r="S413" s="61" t="str">
        <f ca="1">IFERROR(__xludf.DUMMYFUNCTION("""COMPUTED_VALUE"""),"03 ORL")</f>
        <v>03 ORL</v>
      </c>
      <c r="T413" s="33" t="str">
        <f ca="1">IFERROR(__xludf.DUMMYFUNCTION("""COMPUTED_VALUE"""),"06 ORL")</f>
        <v>06 ORL</v>
      </c>
      <c r="U413" s="62"/>
      <c r="W413" s="62"/>
      <c r="X413" s="62"/>
    </row>
    <row r="414" spans="2:24" ht="16">
      <c r="B414" s="55" t="str">
        <f t="shared" ca="1" si="1"/>
        <v>#N/</v>
      </c>
      <c r="C414" s="64" t="str">
        <f ca="1">IFERROR(__xludf.DUMMYFUNCTION("""COMPUTED_VALUE"""),"#N/A")</f>
        <v>#N/A</v>
      </c>
      <c r="D414" s="33" t="str">
        <f ca="1">IFERROR(__xludf.DUMMYFUNCTION("""COMPUTED_VALUE"""),"PROPIOS")</f>
        <v>PROPIOS</v>
      </c>
      <c r="E414" s="33">
        <f ca="1">IFERROR(__xludf.DUMMYFUNCTION("""COMPUTED_VALUE"""),2026)</f>
        <v>2026</v>
      </c>
      <c r="F414" s="56">
        <f ca="1">IFERROR(__xludf.DUMMYFUNCTION("""COMPUTED_VALUE"""),3)</f>
        <v>3</v>
      </c>
      <c r="G414" s="33" t="str">
        <f ca="1">IFERROR(__xludf.DUMMYFUNCTION("""COMPUTED_VALUE"""),"Almería")</f>
        <v>Almería</v>
      </c>
      <c r="H414" s="33" t="str">
        <f ca="1">IFERROR(__xludf.DUMMYFUNCTION("""COMPUTED_VALUE"""),"C202631215153684101")</f>
        <v>C202631215153684101</v>
      </c>
      <c r="I414" s="33" t="str">
        <f ca="1">IFERROR(__xludf.DUMMYFUNCTION("""COMPUTED_VALUE"""),"VICTORIA CAMPOS SANTOS")</f>
        <v>VICTORIA CAMPOS SANTOS</v>
      </c>
      <c r="J414" s="57">
        <f ca="1">IFERROR(__xludf.DUMMYFUNCTION("""COMPUTED_VALUE"""),46093)</f>
        <v>46093</v>
      </c>
      <c r="K414" s="33" t="str">
        <f ca="1">IFERROR(__xludf.DUMMYFUNCTION("""COMPUTED_VALUE"""),"Factura audífonos")</f>
        <v>Factura audífonos</v>
      </c>
      <c r="L414" s="57">
        <f ca="1">IFERROR(__xludf.DUMMYFUNCTION("""COMPUTED_VALUE"""),46106)</f>
        <v>46106</v>
      </c>
      <c r="M414" s="64" t="str">
        <f ca="1">IFERROR(__xludf.DUMMYFUNCTION("""COMPUTED_VALUE"""),"NO")</f>
        <v>NO</v>
      </c>
      <c r="N414" s="56">
        <f ca="1">IFERROR(__xludf.DUMMYFUNCTION("""COMPUTED_VALUE"""),1)</f>
        <v>1</v>
      </c>
      <c r="O414" s="64" t="str">
        <f ca="1">IFERROR(__xludf.DUMMYFUNCTION("""COMPUTED_VALUE"""),"ADVANCED")</f>
        <v>ADVANCED</v>
      </c>
      <c r="P414" s="62">
        <f ca="1">IFERROR(__xludf.DUMMYFUNCTION("""COMPUTED_VALUE"""),2481.82)</f>
        <v>2481.8200000000002</v>
      </c>
      <c r="Q414" s="33" t="str">
        <f ca="1">IFERROR(__xludf.DUMMYFUNCTION("""COMPUTED_VALUE"""),"Ramon Ferrando")</f>
        <v>Ramon Ferrando</v>
      </c>
      <c r="R414" s="33" t="str">
        <f ca="1">IFERROR(__xludf.DUMMYFUNCTION("""COMPUTED_VALUE"""),"Juanjo Góngora Lencina")</f>
        <v>Juanjo Góngora Lencina</v>
      </c>
      <c r="S414" s="61" t="str">
        <f ca="1">IFERROR(__xludf.DUMMYFUNCTION("""COMPUTED_VALUE"""),"01 MARKETING ON LINE")</f>
        <v>01 MARKETING ON LINE</v>
      </c>
      <c r="T414" s="33" t="str">
        <f ca="1">IFERROR(__xludf.DUMMYFUNCTION("""COMPUTED_VALUE"""),"04 AUDIFONO,ES")</f>
        <v>04 AUDIFONO,ES</v>
      </c>
      <c r="U414" s="62"/>
      <c r="W414" s="62"/>
      <c r="X414" s="62"/>
    </row>
    <row r="415" spans="2:24" ht="16">
      <c r="B415" s="55" t="str">
        <f t="shared" ca="1" si="1"/>
        <v>MBM</v>
      </c>
      <c r="C415" s="64" t="str">
        <f ca="1">IFERROR(__xludf.DUMMYFUNCTION("""COMPUTED_VALUE"""),"MBM164")</f>
        <v>MBM164</v>
      </c>
      <c r="D415" s="33" t="str">
        <f ca="1">IFERROR(__xludf.DUMMYFUNCTION("""COMPUTED_VALUE"""),"PROPIOS")</f>
        <v>PROPIOS</v>
      </c>
      <c r="E415" s="33">
        <f ca="1">IFERROR(__xludf.DUMMYFUNCTION("""COMPUTED_VALUE"""),2026)</f>
        <v>2026</v>
      </c>
      <c r="F415" s="56">
        <f ca="1">IFERROR(__xludf.DUMMYFUNCTION("""COMPUTED_VALUE"""),3)</f>
        <v>3</v>
      </c>
      <c r="G415" s="33" t="str">
        <f ca="1">IFERROR(__xludf.DUMMYFUNCTION("""COMPUTED_VALUE"""),"Fuenlabrada")</f>
        <v>Fuenlabrada</v>
      </c>
      <c r="H415" s="33" t="str">
        <f ca="1">IFERROR(__xludf.DUMMYFUNCTION("""COMPUTED_VALUE"""),"C202622011312932276")</f>
        <v>C202622011312932276</v>
      </c>
      <c r="I415" s="33" t="str">
        <f ca="1">IFERROR(__xludf.DUMMYFUNCTION("""COMPUTED_VALUE"""),"VICTORIA LOPEZ DE LA FRANCA GONZALEZ")</f>
        <v>VICTORIA LOPEZ DE LA FRANCA GONZALEZ</v>
      </c>
      <c r="J415" s="57">
        <f ca="1">IFERROR(__xludf.DUMMYFUNCTION("""COMPUTED_VALUE"""),46073)</f>
        <v>46073</v>
      </c>
      <c r="K415" s="33" t="str">
        <f ca="1">IFERROR(__xludf.DUMMYFUNCTION("""COMPUTED_VALUE"""),"Factura audífonos")</f>
        <v>Factura audífonos</v>
      </c>
      <c r="L415" s="57">
        <f ca="1">IFERROR(__xludf.DUMMYFUNCTION("""COMPUTED_VALUE"""),46106)</f>
        <v>46106</v>
      </c>
      <c r="M415" s="64" t="str">
        <f ca="1">IFERROR(__xludf.DUMMYFUNCTION("""COMPUTED_VALUE"""),"NO")</f>
        <v>NO</v>
      </c>
      <c r="N415" s="56">
        <f ca="1">IFERROR(__xludf.DUMMYFUNCTION("""COMPUTED_VALUE"""),1)</f>
        <v>1</v>
      </c>
      <c r="O415" s="64" t="str">
        <f ca="1">IFERROR(__xludf.DUMMYFUNCTION("""COMPUTED_VALUE"""),"CONFORT")</f>
        <v>CONFORT</v>
      </c>
      <c r="P415" s="62">
        <f ca="1">IFERROR(__xludf.DUMMYFUNCTION("""COMPUTED_VALUE"""),2181.73)</f>
        <v>2181.73</v>
      </c>
      <c r="Q415" s="33" t="str">
        <f ca="1">IFERROR(__xludf.DUMMYFUNCTION("""COMPUTED_VALUE"""),"Maika Blázquez")</f>
        <v>Maika Blázquez</v>
      </c>
      <c r="R415" s="33" t="str">
        <f ca="1">IFERROR(__xludf.DUMMYFUNCTION("""COMPUTED_VALUE"""),"Paloma Martín-Aragón Martín")</f>
        <v>Paloma Martín-Aragón Martín</v>
      </c>
      <c r="S415" s="61" t="str">
        <f ca="1">IFERROR(__xludf.DUMMYFUNCTION("""COMPUTED_VALUE"""),"03 ORL")</f>
        <v>03 ORL</v>
      </c>
      <c r="T415" s="33" t="str">
        <f ca="1">IFERROR(__xludf.DUMMYFUNCTION("""COMPUTED_VALUE"""),"06 ORL")</f>
        <v>06 ORL</v>
      </c>
      <c r="U415" s="62"/>
      <c r="W415" s="62"/>
      <c r="X415" s="62"/>
    </row>
    <row r="416" spans="2:24" ht="16">
      <c r="B416" s="55" t="str">
        <f t="shared" ca="1" si="1"/>
        <v>ISL</v>
      </c>
      <c r="C416" s="64" t="str">
        <f ca="1">IFERROR(__xludf.DUMMYFUNCTION("""COMPUTED_VALUE"""),"ISL99")</f>
        <v>ISL99</v>
      </c>
      <c r="D416" s="33" t="str">
        <f ca="1">IFERROR(__xludf.DUMMYFUNCTION("""COMPUTED_VALUE"""),"PROPIOS")</f>
        <v>PROPIOS</v>
      </c>
      <c r="E416" s="33">
        <f ca="1">IFERROR(__xludf.DUMMYFUNCTION("""COMPUTED_VALUE"""),2026)</f>
        <v>2026</v>
      </c>
      <c r="F416" s="56">
        <f ca="1">IFERROR(__xludf.DUMMYFUNCTION("""COMPUTED_VALUE"""),3)</f>
        <v>3</v>
      </c>
      <c r="G416" s="33" t="str">
        <f ca="1">IFERROR(__xludf.DUMMYFUNCTION("""COMPUTED_VALUE"""),"Alicante")</f>
        <v>Alicante</v>
      </c>
      <c r="H416" s="33" t="str">
        <f ca="1">IFERROR(__xludf.DUMMYFUNCTION("""COMPUTED_VALUE"""),"C202622412142688311")</f>
        <v>C202622412142688311</v>
      </c>
      <c r="I416" s="33" t="str">
        <f ca="1">IFERROR(__xludf.DUMMYFUNCTION("""COMPUTED_VALUE"""),"JOSE LUIS ESCOBAR ARROYO")</f>
        <v>JOSE LUIS ESCOBAR ARROYO</v>
      </c>
      <c r="J416" s="57">
        <f ca="1">IFERROR(__xludf.DUMMYFUNCTION("""COMPUTED_VALUE"""),46077)</f>
        <v>46077</v>
      </c>
      <c r="K416" s="33" t="str">
        <f ca="1">IFERROR(__xludf.DUMMYFUNCTION("""COMPUTED_VALUE"""),"Factura audífonos")</f>
        <v>Factura audífonos</v>
      </c>
      <c r="L416" s="57">
        <f ca="1">IFERROR(__xludf.DUMMYFUNCTION("""COMPUTED_VALUE"""),46106)</f>
        <v>46106</v>
      </c>
      <c r="M416" s="64" t="str">
        <f ca="1">IFERROR(__xludf.DUMMYFUNCTION("""COMPUTED_VALUE"""),"NO")</f>
        <v>NO</v>
      </c>
      <c r="N416" s="56">
        <f ca="1">IFERROR(__xludf.DUMMYFUNCTION("""COMPUTED_VALUE"""),2)</f>
        <v>2</v>
      </c>
      <c r="O416" s="64" t="str">
        <f ca="1">IFERROR(__xludf.DUMMYFUNCTION("""COMPUTED_VALUE"""),"CONFORT")</f>
        <v>CONFORT</v>
      </c>
      <c r="P416" s="62">
        <f ca="1">IFERROR(__xludf.DUMMYFUNCTION("""COMPUTED_VALUE"""),3631.82)</f>
        <v>3631.82</v>
      </c>
      <c r="Q416" s="33" t="str">
        <f ca="1">IFERROR(__xludf.DUMMYFUNCTION("""COMPUTED_VALUE"""),"Iván Sánchez")</f>
        <v>Iván Sánchez</v>
      </c>
      <c r="R416" s="33" t="str">
        <f ca="1">IFERROR(__xludf.DUMMYFUNCTION("""COMPUTED_VALUE"""),"Cristina Muñoz Pinto")</f>
        <v>Cristina Muñoz Pinto</v>
      </c>
      <c r="S416" s="61" t="str">
        <f ca="1">IFERROR(__xludf.DUMMYFUNCTION("""COMPUTED_VALUE"""),"03 ORL")</f>
        <v>03 ORL</v>
      </c>
      <c r="T416" s="33" t="str">
        <f ca="1">IFERROR(__xludf.DUMMYFUNCTION("""COMPUTED_VALUE"""),"06 ORL")</f>
        <v>06 ORL</v>
      </c>
      <c r="U416" s="62"/>
      <c r="W416" s="62"/>
      <c r="X416" s="62"/>
    </row>
    <row r="417" spans="2:24" ht="16">
      <c r="B417" s="55" t="str">
        <f t="shared" ca="1" si="1"/>
        <v>ISL</v>
      </c>
      <c r="C417" s="64" t="str">
        <f ca="1">IFERROR(__xludf.DUMMYFUNCTION("""COMPUTED_VALUE"""),"ISL45")</f>
        <v>ISL45</v>
      </c>
      <c r="D417" s="33" t="str">
        <f ca="1">IFERROR(__xludf.DUMMYFUNCTION("""COMPUTED_VALUE"""),"PROPIOS")</f>
        <v>PROPIOS</v>
      </c>
      <c r="E417" s="33">
        <f ca="1">IFERROR(__xludf.DUMMYFUNCTION("""COMPUTED_VALUE"""),2026)</f>
        <v>2026</v>
      </c>
      <c r="F417" s="56">
        <f ca="1">IFERROR(__xludf.DUMMYFUNCTION("""COMPUTED_VALUE"""),3)</f>
        <v>3</v>
      </c>
      <c r="G417" s="33" t="str">
        <f ca="1">IFERROR(__xludf.DUMMYFUNCTION("""COMPUTED_VALUE"""),"Murcia")</f>
        <v>Murcia</v>
      </c>
      <c r="H417" s="33" t="str">
        <f ca="1">IFERROR(__xludf.DUMMYFUNCTION("""COMPUTED_VALUE"""),"C202621794150905684")</f>
        <v>C202621794150905684</v>
      </c>
      <c r="I417" s="33" t="str">
        <f ca="1">IFERROR(__xludf.DUMMYFUNCTION("""COMPUTED_VALUE"""),"IVAN MARTINEZ MILLAN")</f>
        <v>IVAN MARTINEZ MILLAN</v>
      </c>
      <c r="J417" s="57">
        <f ca="1">IFERROR(__xludf.DUMMYFUNCTION("""COMPUTED_VALUE"""),46070)</f>
        <v>46070</v>
      </c>
      <c r="K417" s="33" t="str">
        <f ca="1">IFERROR(__xludf.DUMMYFUNCTION("""COMPUTED_VALUE"""),"Factura audífonos")</f>
        <v>Factura audífonos</v>
      </c>
      <c r="L417" s="57">
        <f ca="1">IFERROR(__xludf.DUMMYFUNCTION("""COMPUTED_VALUE"""),46106)</f>
        <v>46106</v>
      </c>
      <c r="M417" s="64" t="str">
        <f ca="1">IFERROR(__xludf.DUMMYFUNCTION("""COMPUTED_VALUE"""),"NO")</f>
        <v>NO</v>
      </c>
      <c r="N417" s="56">
        <f ca="1">IFERROR(__xludf.DUMMYFUNCTION("""COMPUTED_VALUE"""),2)</f>
        <v>2</v>
      </c>
      <c r="O417" s="64" t="str">
        <f ca="1">IFERROR(__xludf.DUMMYFUNCTION("""COMPUTED_VALUE"""),"PRO")</f>
        <v>PRO</v>
      </c>
      <c r="P417" s="62">
        <f ca="1">IFERROR(__xludf.DUMMYFUNCTION("""COMPUTED_VALUE"""),4536.36)</f>
        <v>4536.3599999999997</v>
      </c>
      <c r="Q417" s="33" t="str">
        <f ca="1">IFERROR(__xludf.DUMMYFUNCTION("""COMPUTED_VALUE"""),"Iván Sánchez")</f>
        <v>Iván Sánchez</v>
      </c>
      <c r="R417" s="33" t="str">
        <f ca="1">IFERROR(__xludf.DUMMYFUNCTION("""COMPUTED_VALUE"""),"Jesús Miguel Iniesta Turpín")</f>
        <v>Jesús Miguel Iniesta Turpín</v>
      </c>
      <c r="S417" s="61" t="str">
        <f ca="1">IFERROR(__xludf.DUMMYFUNCTION("""COMPUTED_VALUE"""),"03 ORL")</f>
        <v>03 ORL</v>
      </c>
      <c r="T417" s="33" t="str">
        <f ca="1">IFERROR(__xludf.DUMMYFUNCTION("""COMPUTED_VALUE"""),"06 ORL")</f>
        <v>06 ORL</v>
      </c>
      <c r="U417" s="62"/>
      <c r="W417" s="62"/>
      <c r="X417" s="62"/>
    </row>
    <row r="418" spans="2:24" ht="16">
      <c r="B418" s="55" t="str">
        <f t="shared" ca="1" si="1"/>
        <v>LRM</v>
      </c>
      <c r="C418" s="64" t="str">
        <f ca="1">IFERROR(__xludf.DUMMYFUNCTION("""COMPUTED_VALUE"""),"LRM09")</f>
        <v>LRM09</v>
      </c>
      <c r="D418" s="33" t="str">
        <f ca="1">IFERROR(__xludf.DUMMYFUNCTION("""COMPUTED_VALUE"""),"PROPIOS")</f>
        <v>PROPIOS</v>
      </c>
      <c r="E418" s="33">
        <f ca="1">IFERROR(__xludf.DUMMYFUNCTION("""COMPUTED_VALUE"""),2026)</f>
        <v>2026</v>
      </c>
      <c r="F418" s="56">
        <f ca="1">IFERROR(__xludf.DUMMYFUNCTION("""COMPUTED_VALUE"""),3)</f>
        <v>3</v>
      </c>
      <c r="G418" s="33" t="str">
        <f ca="1">IFERROR(__xludf.DUMMYFUNCTION("""COMPUTED_VALUE"""),"Madrid- Monforte de Lemos")</f>
        <v>Madrid- Monforte de Lemos</v>
      </c>
      <c r="H418" s="33" t="str">
        <f ca="1">IFERROR(__xludf.DUMMYFUNCTION("""COMPUTED_VALUE"""),"C202631792213452520")</f>
        <v>C202631792213452520</v>
      </c>
      <c r="I418" s="33" t="str">
        <f ca="1">IFERROR(__xludf.DUMMYFUNCTION("""COMPUTED_VALUE"""),"JOAQUIN MUÑOZ COUTO")</f>
        <v>JOAQUIN MUÑOZ COUTO</v>
      </c>
      <c r="J418" s="57">
        <f ca="1">IFERROR(__xludf.DUMMYFUNCTION("""COMPUTED_VALUE"""),46098)</f>
        <v>46098</v>
      </c>
      <c r="K418" s="33" t="str">
        <f ca="1">IFERROR(__xludf.DUMMYFUNCTION("""COMPUTED_VALUE"""),"Factura audífonos")</f>
        <v>Factura audífonos</v>
      </c>
      <c r="L418" s="57">
        <f ca="1">IFERROR(__xludf.DUMMYFUNCTION("""COMPUTED_VALUE"""),46106)</f>
        <v>46106</v>
      </c>
      <c r="M418" s="64" t="str">
        <f ca="1">IFERROR(__xludf.DUMMYFUNCTION("""COMPUTED_VALUE"""),"NO")</f>
        <v>NO</v>
      </c>
      <c r="N418" s="56">
        <f ca="1">IFERROR(__xludf.DUMMYFUNCTION("""COMPUTED_VALUE"""),2)</f>
        <v>2</v>
      </c>
      <c r="O418" s="64" t="str">
        <f ca="1">IFERROR(__xludf.DUMMYFUNCTION("""COMPUTED_VALUE"""),"qUIET")</f>
        <v>qUIET</v>
      </c>
      <c r="P418" s="62">
        <f ca="1">IFERROR(__xludf.DUMMYFUNCTION("""COMPUTED_VALUE"""),2718.18)</f>
        <v>2718.18</v>
      </c>
      <c r="Q418" s="33" t="str">
        <f ca="1">IFERROR(__xludf.DUMMYFUNCTION("""COMPUTED_VALUE"""),"Lisandro Russian")</f>
        <v>Lisandro Russian</v>
      </c>
      <c r="R418" s="33" t="str">
        <f ca="1">IFERROR(__xludf.DUMMYFUNCTION("""COMPUTED_VALUE"""),"Álvaro Sánchez de Arriba")</f>
        <v>Álvaro Sánchez de Arriba</v>
      </c>
      <c r="S418" s="61" t="str">
        <f ca="1">IFERROR(__xludf.DUMMYFUNCTION("""COMPUTED_VALUE"""),"03 ORL")</f>
        <v>03 ORL</v>
      </c>
      <c r="T418" s="33" t="str">
        <f ca="1">IFERROR(__xludf.DUMMYFUNCTION("""COMPUTED_VALUE"""),"06 ORL")</f>
        <v>06 ORL</v>
      </c>
      <c r="U418" s="62"/>
      <c r="W418" s="62"/>
      <c r="X418" s="62"/>
    </row>
    <row r="419" spans="2:24" ht="16">
      <c r="B419" s="55" t="str">
        <f t="shared" si="1"/>
        <v/>
      </c>
      <c r="C419" s="64"/>
      <c r="D419" s="33" t="str">
        <f ca="1">IFERROR(__xludf.DUMMYFUNCTION("""COMPUTED_VALUE"""),"PROPIOS")</f>
        <v>PROPIOS</v>
      </c>
      <c r="E419" s="33">
        <f ca="1">IFERROR(__xludf.DUMMYFUNCTION("""COMPUTED_VALUE"""),2026)</f>
        <v>2026</v>
      </c>
      <c r="F419" s="56">
        <f ca="1">IFERROR(__xludf.DUMMYFUNCTION("""COMPUTED_VALUE"""),3)</f>
        <v>3</v>
      </c>
      <c r="G419" s="33" t="str">
        <f ca="1">IFERROR(__xludf.DUMMYFUNCTION("""COMPUTED_VALUE"""),"Logroño")</f>
        <v>Logroño</v>
      </c>
      <c r="H419" s="33" t="str">
        <f ca="1">IFERROR(__xludf.DUMMYFUNCTION("""COMPUTED_VALUE"""),"C202621094742102979")</f>
        <v>C202621094742102979</v>
      </c>
      <c r="I419" s="33" t="str">
        <f ca="1">IFERROR(__xludf.DUMMYFUNCTION("""COMPUTED_VALUE"""),"Juan Andrés Armesto Fernandez")</f>
        <v>Juan Andrés Armesto Fernandez</v>
      </c>
      <c r="J419" s="57">
        <f ca="1">IFERROR(__xludf.DUMMYFUNCTION("""COMPUTED_VALUE"""),46063)</f>
        <v>46063</v>
      </c>
      <c r="K419" s="33" t="str">
        <f ca="1">IFERROR(__xludf.DUMMYFUNCTION("""COMPUTED_VALUE"""),"Factura audífonos")</f>
        <v>Factura audífonos</v>
      </c>
      <c r="L419" s="57">
        <f ca="1">IFERROR(__xludf.DUMMYFUNCTION("""COMPUTED_VALUE"""),46107)</f>
        <v>46107</v>
      </c>
      <c r="M419" s="64" t="str">
        <f ca="1">IFERROR(__xludf.DUMMYFUNCTION("""COMPUTED_VALUE"""),"NO")</f>
        <v>NO</v>
      </c>
      <c r="N419" s="56">
        <f ca="1">IFERROR(__xludf.DUMMYFUNCTION("""COMPUTED_VALUE"""),2)</f>
        <v>2</v>
      </c>
      <c r="O419" s="64" t="str">
        <f ca="1">IFERROR(__xludf.DUMMYFUNCTION("""COMPUTED_VALUE"""),"ADVANCED")</f>
        <v>ADVANCED</v>
      </c>
      <c r="P419" s="62">
        <f ca="1">IFERROR(__xludf.DUMMYFUNCTION("""COMPUTED_VALUE"""),4136.36)</f>
        <v>4136.3599999999997</v>
      </c>
      <c r="Q419" s="33" t="str">
        <f ca="1">IFERROR(__xludf.DUMMYFUNCTION("""COMPUTED_VALUE"""),"Lisandro Russian")</f>
        <v>Lisandro Russian</v>
      </c>
      <c r="R419" s="33" t="str">
        <f ca="1">IFERROR(__xludf.DUMMYFUNCTION("""COMPUTED_VALUE"""),"No recuerda ORL")</f>
        <v>No recuerda ORL</v>
      </c>
      <c r="S419" s="61" t="str">
        <f ca="1">IFERROR(__xludf.DUMMYFUNCTION("""COMPUTED_VALUE"""),"03 ORL")</f>
        <v>03 ORL</v>
      </c>
      <c r="T419" s="33" t="str">
        <f ca="1">IFERROR(__xludf.DUMMYFUNCTION("""COMPUTED_VALUE"""),"22 AUDIOMETRIA CLINICA")</f>
        <v>22 AUDIOMETRIA CLINICA</v>
      </c>
      <c r="U419" s="62"/>
      <c r="W419" s="62"/>
      <c r="X419" s="62"/>
    </row>
    <row r="420" spans="2:24" ht="16">
      <c r="B420" s="55" t="str">
        <f t="shared" si="1"/>
        <v/>
      </c>
      <c r="C420" s="64"/>
      <c r="D420" s="33" t="str">
        <f ca="1">IFERROR(__xludf.DUMMYFUNCTION("""COMPUTED_VALUE"""),"PROPIOS")</f>
        <v>PROPIOS</v>
      </c>
      <c r="E420" s="33">
        <f ca="1">IFERROR(__xludf.DUMMYFUNCTION("""COMPUTED_VALUE"""),2026)</f>
        <v>2026</v>
      </c>
      <c r="F420" s="56">
        <f ca="1">IFERROR(__xludf.DUMMYFUNCTION("""COMPUTED_VALUE"""),3)</f>
        <v>3</v>
      </c>
      <c r="G420" s="33" t="str">
        <f ca="1">IFERROR(__xludf.DUMMYFUNCTION("""COMPUTED_VALUE"""),"Logroño")</f>
        <v>Logroño</v>
      </c>
      <c r="H420" s="33" t="str">
        <f ca="1">IFERROR(__xludf.DUMMYFUNCTION("""COMPUTED_VALUE"""),"C202634162939043899")</f>
        <v>C202634162939043899</v>
      </c>
      <c r="I420" s="33" t="str">
        <f ca="1">IFERROR(__xludf.DUMMYFUNCTION("""COMPUTED_VALUE"""),"TERESA GONZALEZ PRECIADO")</f>
        <v>TERESA GONZALEZ PRECIADO</v>
      </c>
      <c r="J420" s="57">
        <f ca="1">IFERROR(__xludf.DUMMYFUNCTION("""COMPUTED_VALUE"""),46085)</f>
        <v>46085</v>
      </c>
      <c r="K420" s="33" t="str">
        <f ca="1">IFERROR(__xludf.DUMMYFUNCTION("""COMPUTED_VALUE"""),"Factura audífonos")</f>
        <v>Factura audífonos</v>
      </c>
      <c r="L420" s="57">
        <f ca="1">IFERROR(__xludf.DUMMYFUNCTION("""COMPUTED_VALUE"""),46107)</f>
        <v>46107</v>
      </c>
      <c r="M420" s="64" t="str">
        <f ca="1">IFERROR(__xludf.DUMMYFUNCTION("""COMPUTED_VALUE"""),"NO")</f>
        <v>NO</v>
      </c>
      <c r="N420" s="56">
        <f ca="1">IFERROR(__xludf.DUMMYFUNCTION("""COMPUTED_VALUE"""),2)</f>
        <v>2</v>
      </c>
      <c r="O420" s="58" t="str">
        <f ca="1">IFERROR(__xludf.DUMMYFUNCTION("""COMPUTED_VALUE"""),"CONFORT")</f>
        <v>CONFORT</v>
      </c>
      <c r="P420" s="62">
        <f ca="1">IFERROR(__xludf.DUMMYFUNCTION("""COMPUTED_VALUE"""),3631.82)</f>
        <v>3631.82</v>
      </c>
      <c r="Q420" s="33" t="str">
        <f ca="1">IFERROR(__xludf.DUMMYFUNCTION("""COMPUTED_VALUE"""),"Lisandro Russian")</f>
        <v>Lisandro Russian</v>
      </c>
      <c r="R420" s="33" t="str">
        <f ca="1">IFERROR(__xludf.DUMMYFUNCTION("""COMPUTED_VALUE"""),"No recuerda ORL")</f>
        <v>No recuerda ORL</v>
      </c>
      <c r="S420" s="61" t="str">
        <f ca="1">IFERROR(__xludf.DUMMYFUNCTION("""COMPUTED_VALUE"""),"03 ORL")</f>
        <v>03 ORL</v>
      </c>
      <c r="T420" s="33" t="str">
        <f ca="1">IFERROR(__xludf.DUMMYFUNCTION("""COMPUTED_VALUE"""),"06 ORL")</f>
        <v>06 ORL</v>
      </c>
      <c r="U420" s="62"/>
      <c r="W420" s="62"/>
      <c r="X420" s="62"/>
    </row>
    <row r="421" spans="2:24" ht="16">
      <c r="B421" s="55" t="str">
        <f t="shared" ca="1" si="1"/>
        <v>RFV</v>
      </c>
      <c r="C421" s="64" t="str">
        <f ca="1">IFERROR(__xludf.DUMMYFUNCTION("""COMPUTED_VALUE"""),"RFV01")</f>
        <v>RFV01</v>
      </c>
      <c r="D421" s="33" t="str">
        <f ca="1">IFERROR(__xludf.DUMMYFUNCTION("""COMPUTED_VALUE"""),"PROPIOS")</f>
        <v>PROPIOS</v>
      </c>
      <c r="E421" s="33">
        <f ca="1">IFERROR(__xludf.DUMMYFUNCTION("""COMPUTED_VALUE"""),2026)</f>
        <v>2026</v>
      </c>
      <c r="F421" s="56">
        <f ca="1">IFERROR(__xludf.DUMMYFUNCTION("""COMPUTED_VALUE"""),3)</f>
        <v>3</v>
      </c>
      <c r="G421" s="33" t="str">
        <f ca="1">IFERROR(__xludf.DUMMYFUNCTION("""COMPUTED_VALUE"""),"Almería")</f>
        <v>Almería</v>
      </c>
      <c r="H421" s="33" t="str">
        <f ca="1">IFERROR(__xludf.DUMMYFUNCTION("""COMPUTED_VALUE"""),"C20263511656958322")</f>
        <v>C20263511656958322</v>
      </c>
      <c r="I421" s="33" t="str">
        <f ca="1">IFERROR(__xludf.DUMMYFUNCTION("""COMPUTED_VALUE"""),"ENCARNACIÓN GONZALEZ HERNANDEZ")</f>
        <v>ENCARNACIÓN GONZALEZ HERNANDEZ</v>
      </c>
      <c r="J421" s="57">
        <f ca="1">IFERROR(__xludf.DUMMYFUNCTION("""COMPUTED_VALUE"""),46086)</f>
        <v>46086</v>
      </c>
      <c r="K421" s="33" t="str">
        <f ca="1">IFERROR(__xludf.DUMMYFUNCTION("""COMPUTED_VALUE"""),"Factura audífonos")</f>
        <v>Factura audífonos</v>
      </c>
      <c r="L421" s="57">
        <f ca="1">IFERROR(__xludf.DUMMYFUNCTION("""COMPUTED_VALUE"""),46107)</f>
        <v>46107</v>
      </c>
      <c r="M421" s="64" t="str">
        <f ca="1">IFERROR(__xludf.DUMMYFUNCTION("""COMPUTED_VALUE"""),"NO")</f>
        <v>NO</v>
      </c>
      <c r="N421" s="56">
        <f ca="1">IFERROR(__xludf.DUMMYFUNCTION("""COMPUTED_VALUE"""),1)</f>
        <v>1</v>
      </c>
      <c r="O421" s="64" t="str">
        <f ca="1">IFERROR(__xludf.DUMMYFUNCTION("""COMPUTED_VALUE"""),"QUIET")</f>
        <v>QUIET</v>
      </c>
      <c r="P421" s="62">
        <f ca="1">IFERROR(__xludf.DUMMYFUNCTION("""COMPUTED_VALUE"""),1545.45)</f>
        <v>1545.45</v>
      </c>
      <c r="Q421" s="33" t="str">
        <f ca="1">IFERROR(__xludf.DUMMYFUNCTION("""COMPUTED_VALUE"""),"Ramon Ferrando")</f>
        <v>Ramon Ferrando</v>
      </c>
      <c r="R421" s="33" t="str">
        <f ca="1">IFERROR(__xludf.DUMMYFUNCTION("""COMPUTED_VALUE"""),"Antonio José Fernández Pérez")</f>
        <v>Antonio José Fernández Pérez</v>
      </c>
      <c r="S421" s="61" t="str">
        <f ca="1">IFERROR(__xludf.DUMMYFUNCTION("""COMPUTED_VALUE"""),"03 ORL")</f>
        <v>03 ORL</v>
      </c>
      <c r="T421" s="33" t="str">
        <f ca="1">IFERROR(__xludf.DUMMYFUNCTION("""COMPUTED_VALUE"""),"06 ORL")</f>
        <v>06 ORL</v>
      </c>
      <c r="U421" s="62"/>
      <c r="W421" s="62"/>
      <c r="X421" s="62"/>
    </row>
    <row r="422" spans="2:24" ht="16">
      <c r="B422" s="55" t="str">
        <f t="shared" ca="1" si="1"/>
        <v>LRM</v>
      </c>
      <c r="C422" s="64" t="str">
        <f ca="1">IFERROR(__xludf.DUMMYFUNCTION("""COMPUTED_VALUE"""),"LRM257")</f>
        <v>LRM257</v>
      </c>
      <c r="D422" s="33" t="str">
        <f ca="1">IFERROR(__xludf.DUMMYFUNCTION("""COMPUTED_VALUE"""),"PARTICIPADOS")</f>
        <v>PARTICIPADOS</v>
      </c>
      <c r="E422" s="33">
        <f ca="1">IFERROR(__xludf.DUMMYFUNCTION("""COMPUTED_VALUE"""),2026)</f>
        <v>2026</v>
      </c>
      <c r="F422" s="56">
        <f ca="1">IFERROR(__xludf.DUMMYFUNCTION("""COMPUTED_VALUE"""),3)</f>
        <v>3</v>
      </c>
      <c r="G422" s="33" t="str">
        <f ca="1">IFERROR(__xludf.DUMMYFUNCTION("""COMPUTED_VALUE"""),"Talavera")</f>
        <v>Talavera</v>
      </c>
      <c r="H422" s="33" t="str">
        <f ca="1">IFERROR(__xludf.DUMMYFUNCTION("""COMPUTED_VALUE"""),"C2025411105516909")</f>
        <v>C2025411105516909</v>
      </c>
      <c r="I422" s="33" t="str">
        <f ca="1">IFERROR(__xludf.DUMMYFUNCTION("""COMPUTED_VALUE"""),"JULIA ROBLEDO MARTIN")</f>
        <v>JULIA ROBLEDO MARTIN</v>
      </c>
      <c r="J422" s="57">
        <f ca="1">IFERROR(__xludf.DUMMYFUNCTION("""COMPUTED_VALUE"""),45751)</f>
        <v>45751</v>
      </c>
      <c r="K422" s="33" t="str">
        <f ca="1">IFERROR(__xludf.DUMMYFUNCTION("""COMPUTED_VALUE"""),"Factura audífonos")</f>
        <v>Factura audífonos</v>
      </c>
      <c r="L422" s="57">
        <f ca="1">IFERROR(__xludf.DUMMYFUNCTION("""COMPUTED_VALUE"""),46107)</f>
        <v>46107</v>
      </c>
      <c r="M422" s="64" t="str">
        <f ca="1">IFERROR(__xludf.DUMMYFUNCTION("""COMPUTED_VALUE"""),"NO")</f>
        <v>NO</v>
      </c>
      <c r="N422" s="56">
        <f ca="1">IFERROR(__xludf.DUMMYFUNCTION("""COMPUTED_VALUE"""),2)</f>
        <v>2</v>
      </c>
      <c r="O422" s="64" t="str">
        <f ca="1">IFERROR(__xludf.DUMMYFUNCTION("""COMPUTED_VALUE"""),"QUIET")</f>
        <v>QUIET</v>
      </c>
      <c r="P422" s="62">
        <f ca="1">IFERROR(__xludf.DUMMYFUNCTION("""COMPUTED_VALUE"""),2718.18)</f>
        <v>2718.18</v>
      </c>
      <c r="Q422" s="33" t="str">
        <f ca="1">IFERROR(__xludf.DUMMYFUNCTION("""COMPUTED_VALUE"""),"Lisandro Russian")</f>
        <v>Lisandro Russian</v>
      </c>
      <c r="R422" s="33" t="str">
        <f ca="1">IFERROR(__xludf.DUMMYFUNCTION("""COMPUTED_VALUE"""),"María Del Rocío Lobato Pérez")</f>
        <v>María Del Rocío Lobato Pérez</v>
      </c>
      <c r="S422" s="61" t="str">
        <f ca="1">IFERROR(__xludf.DUMMYFUNCTION("""COMPUTED_VALUE"""),"03 ORL")</f>
        <v>03 ORL</v>
      </c>
      <c r="T422" s="33" t="str">
        <f ca="1">IFERROR(__xludf.DUMMYFUNCTION("""COMPUTED_VALUE"""),"06 ORL")</f>
        <v>06 ORL</v>
      </c>
      <c r="U422" s="62"/>
      <c r="W422" s="62"/>
      <c r="X422" s="62"/>
    </row>
    <row r="423" spans="2:24" ht="16">
      <c r="B423" s="55" t="str">
        <f t="shared" ca="1" si="1"/>
        <v>ISL</v>
      </c>
      <c r="C423" s="64" t="str">
        <f ca="1">IFERROR(__xludf.DUMMYFUNCTION("""COMPUTED_VALUE"""),"ISL104")</f>
        <v>ISL104</v>
      </c>
      <c r="D423" s="33" t="str">
        <f ca="1">IFERROR(__xludf.DUMMYFUNCTION("""COMPUTED_VALUE"""),"PROPIOS")</f>
        <v>PROPIOS</v>
      </c>
      <c r="E423" s="33">
        <f ca="1">IFERROR(__xludf.DUMMYFUNCTION("""COMPUTED_VALUE"""),2026)</f>
        <v>2026</v>
      </c>
      <c r="F423" s="56">
        <f ca="1">IFERROR(__xludf.DUMMYFUNCTION("""COMPUTED_VALUE"""),3)</f>
        <v>3</v>
      </c>
      <c r="G423" s="33" t="str">
        <f ca="1">IFERROR(__xludf.DUMMYFUNCTION("""COMPUTED_VALUE"""),"El Albir (Benidorm)")</f>
        <v>El Albir (Benidorm)</v>
      </c>
      <c r="H423" s="33" t="str">
        <f ca="1">IFERROR(__xludf.DUMMYFUNCTION("""COMPUTED_VALUE"""),"C202621115633636141")</f>
        <v>C202621115633636141</v>
      </c>
      <c r="I423" s="33" t="str">
        <f ca="1">IFERROR(__xludf.DUMMYFUNCTION("""COMPUTED_VALUE"""),"CLARA CORTES LAVIÓS")</f>
        <v>CLARA CORTES LAVIÓS</v>
      </c>
      <c r="J423" s="57">
        <f ca="1">IFERROR(__xludf.DUMMYFUNCTION("""COMPUTED_VALUE"""),46064)</f>
        <v>46064</v>
      </c>
      <c r="K423" s="33" t="str">
        <f ca="1">IFERROR(__xludf.DUMMYFUNCTION("""COMPUTED_VALUE"""),"Factura audífonos")</f>
        <v>Factura audífonos</v>
      </c>
      <c r="L423" s="57">
        <f ca="1">IFERROR(__xludf.DUMMYFUNCTION("""COMPUTED_VALUE"""),46107)</f>
        <v>46107</v>
      </c>
      <c r="M423" s="64" t="str">
        <f ca="1">IFERROR(__xludf.DUMMYFUNCTION("""COMPUTED_VALUE"""),"NO")</f>
        <v>NO</v>
      </c>
      <c r="N423" s="56">
        <f ca="1">IFERROR(__xludf.DUMMYFUNCTION("""COMPUTED_VALUE"""),2)</f>
        <v>2</v>
      </c>
      <c r="O423" s="64" t="str">
        <f ca="1">IFERROR(__xludf.DUMMYFUNCTION("""COMPUTED_VALUE"""),"QUIET")</f>
        <v>QUIET</v>
      </c>
      <c r="P423" s="62">
        <f ca="1">IFERROR(__xludf.DUMMYFUNCTION("""COMPUTED_VALUE"""),2772.27)</f>
        <v>2772.27</v>
      </c>
      <c r="Q423" s="33" t="str">
        <f ca="1">IFERROR(__xludf.DUMMYFUNCTION("""COMPUTED_VALUE"""),"Ramon Ferrando")</f>
        <v>Ramon Ferrando</v>
      </c>
      <c r="R423" s="33" t="str">
        <f ca="1">IFERROR(__xludf.DUMMYFUNCTION("""COMPUTED_VALUE"""),"Isabel Polo Tomás")</f>
        <v>Isabel Polo Tomás</v>
      </c>
      <c r="S423" s="61" t="str">
        <f ca="1">IFERROR(__xludf.DUMMYFUNCTION("""COMPUTED_VALUE"""),"03 ORL")</f>
        <v>03 ORL</v>
      </c>
      <c r="T423" s="33" t="str">
        <f ca="1">IFERROR(__xludf.DUMMYFUNCTION("""COMPUTED_VALUE"""),"06 ORL")</f>
        <v>06 ORL</v>
      </c>
      <c r="U423" s="62"/>
      <c r="W423" s="62"/>
      <c r="X423" s="62"/>
    </row>
    <row r="424" spans="2:24" ht="16">
      <c r="B424" s="55" t="str">
        <f t="shared" ca="1" si="1"/>
        <v>MBM</v>
      </c>
      <c r="C424" s="64" t="str">
        <f ca="1">IFERROR(__xludf.DUMMYFUNCTION("""COMPUTED_VALUE"""),"MBM07")</f>
        <v>MBM07</v>
      </c>
      <c r="D424" s="33" t="str">
        <f ca="1">IFERROR(__xludf.DUMMYFUNCTION("""COMPUTED_VALUE"""),"PARTICIPADOS")</f>
        <v>PARTICIPADOS</v>
      </c>
      <c r="E424" s="33">
        <f ca="1">IFERROR(__xludf.DUMMYFUNCTION("""COMPUTED_VALUE"""),2026)</f>
        <v>2026</v>
      </c>
      <c r="F424" s="56">
        <f ca="1">IFERROR(__xludf.DUMMYFUNCTION("""COMPUTED_VALUE"""),3)</f>
        <v>3</v>
      </c>
      <c r="G424" s="33" t="str">
        <f ca="1">IFERROR(__xludf.DUMMYFUNCTION("""COMPUTED_VALUE"""),"Madrid- La Oca")</f>
        <v>Madrid- La Oca</v>
      </c>
      <c r="H424" s="33" t="str">
        <f ca="1">IFERROR(__xludf.DUMMYFUNCTION("""COMPUTED_VALUE"""),"C202622016312913031")</f>
        <v>C202622016312913031</v>
      </c>
      <c r="I424" s="33" t="str">
        <f ca="1">IFERROR(__xludf.DUMMYFUNCTION("""COMPUTED_VALUE"""),"FERNANDO  CAMUÑAS LAZARO")</f>
        <v>FERNANDO  CAMUÑAS LAZARO</v>
      </c>
      <c r="J424" s="57">
        <f ca="1">IFERROR(__xludf.DUMMYFUNCTION("""COMPUTED_VALUE"""),46073)</f>
        <v>46073</v>
      </c>
      <c r="K424" s="33" t="str">
        <f ca="1">IFERROR(__xludf.DUMMYFUNCTION("""COMPUTED_VALUE"""),"Factura audífonos")</f>
        <v>Factura audífonos</v>
      </c>
      <c r="L424" s="57">
        <f ca="1">IFERROR(__xludf.DUMMYFUNCTION("""COMPUTED_VALUE"""),46107)</f>
        <v>46107</v>
      </c>
      <c r="M424" s="64" t="str">
        <f ca="1">IFERROR(__xludf.DUMMYFUNCTION("""COMPUTED_VALUE"""),"NO")</f>
        <v>NO</v>
      </c>
      <c r="N424" s="56">
        <f ca="1">IFERROR(__xludf.DUMMYFUNCTION("""COMPUTED_VALUE"""),1)</f>
        <v>1</v>
      </c>
      <c r="O424" s="64" t="str">
        <f ca="1">IFERROR(__xludf.DUMMYFUNCTION("""COMPUTED_VALUE"""),"CONFORT")</f>
        <v>CONFORT</v>
      </c>
      <c r="P424" s="62">
        <f ca="1">IFERROR(__xludf.DUMMYFUNCTION("""COMPUTED_VALUE"""),2180.91)</f>
        <v>2180.91</v>
      </c>
      <c r="Q424" s="33" t="str">
        <f ca="1">IFERROR(__xludf.DUMMYFUNCTION("""COMPUTED_VALUE"""),"Maika Blázquez")</f>
        <v>Maika Blázquez</v>
      </c>
      <c r="R424" s="33" t="str">
        <f ca="1">IFERROR(__xludf.DUMMYFUNCTION("""COMPUTED_VALUE"""),"Andreas Schilling Borghesi")</f>
        <v>Andreas Schilling Borghesi</v>
      </c>
      <c r="S424" s="61" t="str">
        <f ca="1">IFERROR(__xludf.DUMMYFUNCTION("""COMPUTED_VALUE"""),"03 ORL")</f>
        <v>03 ORL</v>
      </c>
      <c r="T424" s="33" t="str">
        <f ca="1">IFERROR(__xludf.DUMMYFUNCTION("""COMPUTED_VALUE"""),"06 ORL")</f>
        <v>06 ORL</v>
      </c>
      <c r="U424" s="62"/>
      <c r="W424" s="62"/>
      <c r="X424" s="62"/>
    </row>
    <row r="425" spans="2:24" ht="16">
      <c r="B425" s="55" t="str">
        <f t="shared" ca="1" si="1"/>
        <v>MBM</v>
      </c>
      <c r="C425" s="64" t="str">
        <f ca="1">IFERROR(__xludf.DUMMYFUNCTION("""COMPUTED_VALUE"""),"MBM74")</f>
        <v>MBM74</v>
      </c>
      <c r="D425" s="33" t="str">
        <f ca="1">IFERROR(__xludf.DUMMYFUNCTION("""COMPUTED_VALUE"""),"PROPIOS")</f>
        <v>PROPIOS</v>
      </c>
      <c r="E425" s="33">
        <f ca="1">IFERROR(__xludf.DUMMYFUNCTION("""COMPUTED_VALUE"""),2026)</f>
        <v>2026</v>
      </c>
      <c r="F425" s="56">
        <f ca="1">IFERROR(__xludf.DUMMYFUNCTION("""COMPUTED_VALUE"""),3)</f>
        <v>3</v>
      </c>
      <c r="G425" s="33" t="str">
        <f ca="1">IFERROR(__xludf.DUMMYFUNCTION("""COMPUTED_VALUE"""),"Fuenlabrada")</f>
        <v>Fuenlabrada</v>
      </c>
      <c r="H425" s="33" t="str">
        <f ca="1">IFERROR(__xludf.DUMMYFUNCTION("""COMPUTED_VALUE"""),"C202622511557773529")</f>
        <v>C202622511557773529</v>
      </c>
      <c r="I425" s="33" t="str">
        <f ca="1">IFERROR(__xludf.DUMMYFUNCTION("""COMPUTED_VALUE"""),"CARMEN  CUESTA GARCIA")</f>
        <v>CARMEN  CUESTA GARCIA</v>
      </c>
      <c r="J425" s="57">
        <f ca="1">IFERROR(__xludf.DUMMYFUNCTION("""COMPUTED_VALUE"""),46078)</f>
        <v>46078</v>
      </c>
      <c r="K425" s="33" t="str">
        <f ca="1">IFERROR(__xludf.DUMMYFUNCTION("""COMPUTED_VALUE"""),"Factura audífonos")</f>
        <v>Factura audífonos</v>
      </c>
      <c r="L425" s="57">
        <f ca="1">IFERROR(__xludf.DUMMYFUNCTION("""COMPUTED_VALUE"""),46107)</f>
        <v>46107</v>
      </c>
      <c r="M425" s="58" t="str">
        <f ca="1">IFERROR(__xludf.DUMMYFUNCTION("""COMPUTED_VALUE"""),"NO")</f>
        <v>NO</v>
      </c>
      <c r="N425" s="56">
        <f ca="1">IFERROR(__xludf.DUMMYFUNCTION("""COMPUTED_VALUE"""),1)</f>
        <v>1</v>
      </c>
      <c r="O425" s="64" t="str">
        <f ca="1">IFERROR(__xludf.DUMMYFUNCTION("""COMPUTED_VALUE"""),"CONFORT")</f>
        <v>CONFORT</v>
      </c>
      <c r="P425" s="62">
        <f ca="1">IFERROR(__xludf.DUMMYFUNCTION("""COMPUTED_VALUE"""),2180.91)</f>
        <v>2180.91</v>
      </c>
      <c r="Q425" s="33" t="str">
        <f ca="1">IFERROR(__xludf.DUMMYFUNCTION("""COMPUTED_VALUE"""),"Maika Blázquez")</f>
        <v>Maika Blázquez</v>
      </c>
      <c r="R425" s="33" t="str">
        <f ca="1">IFERROR(__xludf.DUMMYFUNCTION("""COMPUTED_VALUE"""),"Raimundo Andres Navarro Mediano")</f>
        <v>Raimundo Andres Navarro Mediano</v>
      </c>
      <c r="S425" s="61" t="str">
        <f ca="1">IFERROR(__xludf.DUMMYFUNCTION("""COMPUTED_VALUE"""),"03 ORL")</f>
        <v>03 ORL</v>
      </c>
      <c r="T425" s="33" t="str">
        <f ca="1">IFERROR(__xludf.DUMMYFUNCTION("""COMPUTED_VALUE"""),"06 ORL")</f>
        <v>06 ORL</v>
      </c>
      <c r="U425" s="62"/>
      <c r="W425" s="62"/>
      <c r="X425" s="62"/>
    </row>
    <row r="426" spans="2:24" ht="16">
      <c r="B426" s="55" t="str">
        <f t="shared" ca="1" si="1"/>
        <v>ISL</v>
      </c>
      <c r="C426" s="64" t="str">
        <f ca="1">IFERROR(__xludf.DUMMYFUNCTION("""COMPUTED_VALUE"""),"ISL54")</f>
        <v>ISL54</v>
      </c>
      <c r="D426" s="33" t="str">
        <f ca="1">IFERROR(__xludf.DUMMYFUNCTION("""COMPUTED_VALUE"""),"PROPIOS")</f>
        <v>PROPIOS</v>
      </c>
      <c r="E426" s="33">
        <f ca="1">IFERROR(__xludf.DUMMYFUNCTION("""COMPUTED_VALUE"""),2026)</f>
        <v>2026</v>
      </c>
      <c r="F426" s="56">
        <f ca="1">IFERROR(__xludf.DUMMYFUNCTION("""COMPUTED_VALUE"""),3)</f>
        <v>3</v>
      </c>
      <c r="G426" s="33" t="str">
        <f ca="1">IFERROR(__xludf.DUMMYFUNCTION("""COMPUTED_VALUE"""),"El Albir (Benidorm)")</f>
        <v>El Albir (Benidorm)</v>
      </c>
      <c r="H426" s="33" t="str">
        <f ca="1">IFERROR(__xludf.DUMMYFUNCTION("""COMPUTED_VALUE"""),"C20262616184191590")</f>
        <v>C20262616184191590</v>
      </c>
      <c r="I426" s="33" t="str">
        <f ca="1">IFERROR(__xludf.DUMMYFUNCTION("""COMPUTED_VALUE"""),"ANTONIO MUÑOZ VIVANCOS")</f>
        <v>ANTONIO MUÑOZ VIVANCOS</v>
      </c>
      <c r="J426" s="57">
        <f ca="1">IFERROR(__xludf.DUMMYFUNCTION("""COMPUTED_VALUE"""),46059)</f>
        <v>46059</v>
      </c>
      <c r="K426" s="33" t="str">
        <f ca="1">IFERROR(__xludf.DUMMYFUNCTION("""COMPUTED_VALUE"""),"Factura audífonos")</f>
        <v>Factura audífonos</v>
      </c>
      <c r="L426" s="57">
        <f ca="1">IFERROR(__xludf.DUMMYFUNCTION("""COMPUTED_VALUE"""),46107)</f>
        <v>46107</v>
      </c>
      <c r="M426" s="64" t="str">
        <f ca="1">IFERROR(__xludf.DUMMYFUNCTION("""COMPUTED_VALUE"""),"NO")</f>
        <v>NO</v>
      </c>
      <c r="N426" s="56">
        <f ca="1">IFERROR(__xludf.DUMMYFUNCTION("""COMPUTED_VALUE"""),2)</f>
        <v>2</v>
      </c>
      <c r="O426" s="58" t="str">
        <f ca="1">IFERROR(__xludf.DUMMYFUNCTION("""COMPUTED_VALUE"""),"QUIET")</f>
        <v>QUIET</v>
      </c>
      <c r="P426" s="62">
        <f ca="1">IFERROR(__xludf.DUMMYFUNCTION("""COMPUTED_VALUE"""),2718.18)</f>
        <v>2718.18</v>
      </c>
      <c r="Q426" s="33" t="str">
        <f ca="1">IFERROR(__xludf.DUMMYFUNCTION("""COMPUTED_VALUE"""),"Ramon Ferrando")</f>
        <v>Ramon Ferrando</v>
      </c>
      <c r="R426" s="33" t="str">
        <f ca="1">IFERROR(__xludf.DUMMYFUNCTION("""COMPUTED_VALUE"""),"José María Laborda Margolles")</f>
        <v>José María Laborda Margolles</v>
      </c>
      <c r="S426" s="61" t="str">
        <f ca="1">IFERROR(__xludf.DUMMYFUNCTION("""COMPUTED_VALUE"""),"03 ORL")</f>
        <v>03 ORL</v>
      </c>
      <c r="T426" s="33" t="str">
        <f ca="1">IFERROR(__xludf.DUMMYFUNCTION("""COMPUTED_VALUE"""),"06 ORL")</f>
        <v>06 ORL</v>
      </c>
      <c r="U426" s="62"/>
      <c r="W426" s="62"/>
      <c r="X426" s="62"/>
    </row>
    <row r="427" spans="2:24" ht="16">
      <c r="B427" s="55" t="str">
        <f t="shared" ca="1" si="1"/>
        <v>LRM</v>
      </c>
      <c r="C427" s="64" t="str">
        <f ca="1">IFERROR(__xludf.DUMMYFUNCTION("""COMPUTED_VALUE"""),"LRM56")</f>
        <v>LRM56</v>
      </c>
      <c r="D427" s="33" t="str">
        <f ca="1">IFERROR(__xludf.DUMMYFUNCTION("""COMPUTED_VALUE"""),"ASOCIADOS")</f>
        <v>ASOCIADOS</v>
      </c>
      <c r="E427" s="33">
        <f ca="1">IFERROR(__xludf.DUMMYFUNCTION("""COMPUTED_VALUE"""),2026)</f>
        <v>2026</v>
      </c>
      <c r="F427" s="56">
        <f ca="1">IFERROR(__xludf.DUMMYFUNCTION("""COMPUTED_VALUE"""),3)</f>
        <v>3</v>
      </c>
      <c r="G427" s="33" t="str">
        <f ca="1">IFERROR(__xludf.DUMMYFUNCTION("""COMPUTED_VALUE"""),"Zaragoza- Santander")</f>
        <v>Zaragoza- Santander</v>
      </c>
      <c r="H427" s="33" t="str">
        <f ca="1">IFERROR(__xludf.DUMMYFUNCTION("""COMPUTED_VALUE"""),"C202512171782383625")</f>
        <v>C202512171782383625</v>
      </c>
      <c r="I427" s="33" t="str">
        <f ca="1">IFERROR(__xludf.DUMMYFUNCTION("""COMPUTED_VALUE"""),"MARIA ANGELES ROMEO MALO")</f>
        <v>MARIA ANGELES ROMEO MALO</v>
      </c>
      <c r="J427" s="57">
        <f ca="1">IFERROR(__xludf.DUMMYFUNCTION("""COMPUTED_VALUE"""),46008)</f>
        <v>46008</v>
      </c>
      <c r="K427" s="33" t="str">
        <f ca="1">IFERROR(__xludf.DUMMYFUNCTION("""COMPUTED_VALUE"""),"Factura audífonos")</f>
        <v>Factura audífonos</v>
      </c>
      <c r="L427" s="57">
        <f ca="1">IFERROR(__xludf.DUMMYFUNCTION("""COMPUTED_VALUE"""),46107)</f>
        <v>46107</v>
      </c>
      <c r="M427" s="64" t="str">
        <f ca="1">IFERROR(__xludf.DUMMYFUNCTION("""COMPUTED_VALUE"""),"NO")</f>
        <v>NO</v>
      </c>
      <c r="N427" s="56">
        <f ca="1">IFERROR(__xludf.DUMMYFUNCTION("""COMPUTED_VALUE"""),2)</f>
        <v>2</v>
      </c>
      <c r="O427" s="64" t="str">
        <f ca="1">IFERROR(__xludf.DUMMYFUNCTION("""COMPUTED_VALUE"""),"QUIET")</f>
        <v>QUIET</v>
      </c>
      <c r="P427" s="62">
        <f ca="1">IFERROR(__xludf.DUMMYFUNCTION("""COMPUTED_VALUE"""),3136.36)</f>
        <v>3136.36</v>
      </c>
      <c r="Q427" s="33" t="str">
        <f ca="1">IFERROR(__xludf.DUMMYFUNCTION("""COMPUTED_VALUE"""),"Ignacio Berdejo")</f>
        <v>Ignacio Berdejo</v>
      </c>
      <c r="R427" s="33" t="str">
        <f ca="1">IFERROR(__xludf.DUMMYFUNCTION("""COMPUTED_VALUE"""),"Jaime Leache Pueyo")</f>
        <v>Jaime Leache Pueyo</v>
      </c>
      <c r="S427" s="61" t="str">
        <f ca="1">IFERROR(__xludf.DUMMYFUNCTION("""COMPUTED_VALUE"""),"03 ORL")</f>
        <v>03 ORL</v>
      </c>
      <c r="T427" s="33" t="str">
        <f ca="1">IFERROR(__xludf.DUMMYFUNCTION("""COMPUTED_VALUE"""),"06 ORL")</f>
        <v>06 ORL</v>
      </c>
      <c r="U427" s="62"/>
      <c r="W427" s="62"/>
      <c r="X427" s="62"/>
    </row>
    <row r="428" spans="2:24" ht="16">
      <c r="B428" s="55" t="str">
        <f t="shared" ca="1" si="1"/>
        <v>#N/</v>
      </c>
      <c r="C428" s="64" t="str">
        <f ca="1">IFERROR(__xludf.DUMMYFUNCTION("""COMPUTED_VALUE"""),"#N/A")</f>
        <v>#N/A</v>
      </c>
      <c r="D428" s="33" t="str">
        <f ca="1">IFERROR(__xludf.DUMMYFUNCTION("""COMPUTED_VALUE"""),"PROPIOS")</f>
        <v>PROPIOS</v>
      </c>
      <c r="E428" s="33">
        <f ca="1">IFERROR(__xludf.DUMMYFUNCTION("""COMPUTED_VALUE"""),2026)</f>
        <v>2026</v>
      </c>
      <c r="F428" s="56">
        <f ca="1">IFERROR(__xludf.DUMMYFUNCTION("""COMPUTED_VALUE"""),3)</f>
        <v>3</v>
      </c>
      <c r="G428" s="33" t="str">
        <f ca="1">IFERROR(__xludf.DUMMYFUNCTION("""COMPUTED_VALUE"""),"Almería")</f>
        <v>Almería</v>
      </c>
      <c r="H428" s="33" t="str">
        <f ca="1">IFERROR(__xludf.DUMMYFUNCTION("""COMPUTED_VALUE"""),"C202635164147856493")</f>
        <v>C202635164147856493</v>
      </c>
      <c r="I428" s="33" t="str">
        <f ca="1">IFERROR(__xludf.DUMMYFUNCTION("""COMPUTED_VALUE"""),"JOAQUIN MARTIN ALMECIJA")</f>
        <v>JOAQUIN MARTIN ALMECIJA</v>
      </c>
      <c r="J428" s="57">
        <f ca="1">IFERROR(__xludf.DUMMYFUNCTION("""COMPUTED_VALUE"""),46086)</f>
        <v>46086</v>
      </c>
      <c r="K428" s="33" t="str">
        <f ca="1">IFERROR(__xludf.DUMMYFUNCTION("""COMPUTED_VALUE"""),"Factura audífonos")</f>
        <v>Factura audífonos</v>
      </c>
      <c r="L428" s="57">
        <f ca="1">IFERROR(__xludf.DUMMYFUNCTION("""COMPUTED_VALUE"""),46107)</f>
        <v>46107</v>
      </c>
      <c r="M428" s="64" t="str">
        <f ca="1">IFERROR(__xludf.DUMMYFUNCTION("""COMPUTED_VALUE"""),"NO")</f>
        <v>NO</v>
      </c>
      <c r="N428" s="56">
        <f ca="1">IFERROR(__xludf.DUMMYFUNCTION("""COMPUTED_VALUE"""),1)</f>
        <v>1</v>
      </c>
      <c r="O428" s="64" t="str">
        <f ca="1">IFERROR(__xludf.DUMMYFUNCTION("""COMPUTED_VALUE"""),"QUIET")</f>
        <v>QUIET</v>
      </c>
      <c r="P428" s="62">
        <f ca="1">IFERROR(__xludf.DUMMYFUNCTION("""COMPUTED_VALUE"""),1631.82)</f>
        <v>1631.82</v>
      </c>
      <c r="Q428" s="33" t="str">
        <f ca="1">IFERROR(__xludf.DUMMYFUNCTION("""COMPUTED_VALUE"""),"Ramon Ferrando")</f>
        <v>Ramon Ferrando</v>
      </c>
      <c r="R428" s="33" t="str">
        <f ca="1">IFERROR(__xludf.DUMMYFUNCTION("""COMPUTED_VALUE"""),"Daniel Alberto Finol Toro")</f>
        <v>Daniel Alberto Finol Toro</v>
      </c>
      <c r="S428" s="61" t="str">
        <f ca="1">IFERROR(__xludf.DUMMYFUNCTION("""COMPUTED_VALUE"""),"03 ORL")</f>
        <v>03 ORL</v>
      </c>
      <c r="T428" s="33" t="str">
        <f ca="1">IFERROR(__xludf.DUMMYFUNCTION("""COMPUTED_VALUE"""),"06 ORL")</f>
        <v>06 ORL</v>
      </c>
      <c r="U428" s="62"/>
      <c r="W428" s="62"/>
      <c r="X428" s="62"/>
    </row>
    <row r="429" spans="2:24" ht="16">
      <c r="B429" s="55" t="str">
        <f t="shared" ca="1" si="1"/>
        <v>RPG</v>
      </c>
      <c r="C429" s="64" t="str">
        <f ca="1">IFERROR(__xludf.DUMMYFUNCTION("""COMPUTED_VALUE"""),"RPG14")</f>
        <v>RPG14</v>
      </c>
      <c r="D429" s="33" t="str">
        <f ca="1">IFERROR(__xludf.DUMMYFUNCTION("""COMPUTED_VALUE"""),"PARTICIPADOS")</f>
        <v>PARTICIPADOS</v>
      </c>
      <c r="E429" s="33">
        <f ca="1">IFERROR(__xludf.DUMMYFUNCTION("""COMPUTED_VALUE"""),2026)</f>
        <v>2026</v>
      </c>
      <c r="F429" s="56">
        <f ca="1">IFERROR(__xludf.DUMMYFUNCTION("""COMPUTED_VALUE"""),3)</f>
        <v>3</v>
      </c>
      <c r="G429" s="33" t="str">
        <f ca="1">IFERROR(__xludf.DUMMYFUNCTION("""COMPUTED_VALUE"""),"Santiago de Compostela")</f>
        <v>Santiago de Compostela</v>
      </c>
      <c r="H429" s="33" t="str">
        <f ca="1">IFERROR(__xludf.DUMMYFUNCTION("""COMPUTED_VALUE"""),"C20263510319025766")</f>
        <v>C20263510319025766</v>
      </c>
      <c r="I429" s="33" t="str">
        <f ca="1">IFERROR(__xludf.DUMMYFUNCTION("""COMPUTED_VALUE"""),"MARI CARMEN GARCIA GERPE")</f>
        <v>MARI CARMEN GARCIA GERPE</v>
      </c>
      <c r="J429" s="57">
        <f ca="1">IFERROR(__xludf.DUMMYFUNCTION("""COMPUTED_VALUE"""),46086)</f>
        <v>46086</v>
      </c>
      <c r="K429" s="33" t="str">
        <f ca="1">IFERROR(__xludf.DUMMYFUNCTION("""COMPUTED_VALUE"""),"Factura audífonos")</f>
        <v>Factura audífonos</v>
      </c>
      <c r="L429" s="57">
        <f ca="1">IFERROR(__xludf.DUMMYFUNCTION("""COMPUTED_VALUE"""),46107)</f>
        <v>46107</v>
      </c>
      <c r="M429" s="64" t="str">
        <f ca="1">IFERROR(__xludf.DUMMYFUNCTION("""COMPUTED_VALUE"""),"NO")</f>
        <v>NO</v>
      </c>
      <c r="N429" s="56">
        <f ca="1">IFERROR(__xludf.DUMMYFUNCTION("""COMPUTED_VALUE"""),2)</f>
        <v>2</v>
      </c>
      <c r="O429" s="64" t="str">
        <f ca="1">IFERROR(__xludf.DUMMYFUNCTION("""COMPUTED_VALUE"""),"QUIET")</f>
        <v>QUIET</v>
      </c>
      <c r="P429" s="62">
        <f ca="1">IFERROR(__xludf.DUMMYFUNCTION("""COMPUTED_VALUE"""),2918.18)</f>
        <v>2918.18</v>
      </c>
      <c r="Q429" s="33" t="str">
        <f ca="1">IFERROR(__xludf.DUMMYFUNCTION("""COMPUTED_VALUE"""),"Kiko Ortega")</f>
        <v>Kiko Ortega</v>
      </c>
      <c r="R429" s="33" t="str">
        <f ca="1">IFERROR(__xludf.DUMMYFUNCTION("""COMPUTED_VALUE"""),"Gabriel Martínez Capoccini")</f>
        <v>Gabriel Martínez Capoccini</v>
      </c>
      <c r="S429" s="61" t="str">
        <f ca="1">IFERROR(__xludf.DUMMYFUNCTION("""COMPUTED_VALUE"""),"03 ORL")</f>
        <v>03 ORL</v>
      </c>
      <c r="T429" s="33" t="str">
        <f ca="1">IFERROR(__xludf.DUMMYFUNCTION("""COMPUTED_VALUE"""),"06 ORL")</f>
        <v>06 ORL</v>
      </c>
      <c r="U429" s="62"/>
      <c r="W429" s="62"/>
      <c r="X429" s="62"/>
    </row>
    <row r="430" spans="2:24" ht="16">
      <c r="B430" s="55" t="str">
        <f t="shared" ca="1" si="1"/>
        <v>ISL</v>
      </c>
      <c r="C430" s="64" t="str">
        <f ca="1">IFERROR(__xludf.DUMMYFUNCTION("""COMPUTED_VALUE"""),"ISL104")</f>
        <v>ISL104</v>
      </c>
      <c r="D430" s="33" t="str">
        <f ca="1">IFERROR(__xludf.DUMMYFUNCTION("""COMPUTED_VALUE"""),"PROPIOS")</f>
        <v>PROPIOS</v>
      </c>
      <c r="E430" s="33">
        <f ca="1">IFERROR(__xludf.DUMMYFUNCTION("""COMPUTED_VALUE"""),2026)</f>
        <v>2026</v>
      </c>
      <c r="F430" s="56">
        <f ca="1">IFERROR(__xludf.DUMMYFUNCTION("""COMPUTED_VALUE"""),3)</f>
        <v>3</v>
      </c>
      <c r="G430" s="33" t="str">
        <f ca="1">IFERROR(__xludf.DUMMYFUNCTION("""COMPUTED_VALUE"""),"El Albir (Benidorm)")</f>
        <v>El Albir (Benidorm)</v>
      </c>
      <c r="H430" s="33" t="str">
        <f ca="1">IFERROR(__xludf.DUMMYFUNCTION("""COMPUTED_VALUE"""),"C202612111562968731")</f>
        <v>C202612111562968731</v>
      </c>
      <c r="I430" s="33" t="str">
        <f ca="1">IFERROR(__xludf.DUMMYFUNCTION("""COMPUTED_VALUE"""),"ANTONIO ANTON PEINADO")</f>
        <v>ANTONIO ANTON PEINADO</v>
      </c>
      <c r="J430" s="57">
        <f ca="1">IFERROR(__xludf.DUMMYFUNCTION("""COMPUTED_VALUE"""),46043)</f>
        <v>46043</v>
      </c>
      <c r="K430" s="33" t="str">
        <f ca="1">IFERROR(__xludf.DUMMYFUNCTION("""COMPUTED_VALUE"""),"Factura audífonos")</f>
        <v>Factura audífonos</v>
      </c>
      <c r="L430" s="57">
        <f ca="1">IFERROR(__xludf.DUMMYFUNCTION("""COMPUTED_VALUE"""),46107)</f>
        <v>46107</v>
      </c>
      <c r="M430" s="64" t="str">
        <f ca="1">IFERROR(__xludf.DUMMYFUNCTION("""COMPUTED_VALUE"""),"NO")</f>
        <v>NO</v>
      </c>
      <c r="N430" s="56">
        <f ca="1">IFERROR(__xludf.DUMMYFUNCTION("""COMPUTED_VALUE"""),2)</f>
        <v>2</v>
      </c>
      <c r="O430" s="64" t="str">
        <f ca="1">IFERROR(__xludf.DUMMYFUNCTION("""COMPUTED_VALUE"""),"CONFORT")</f>
        <v>CONFORT</v>
      </c>
      <c r="P430" s="62">
        <f ca="1">IFERROR(__xludf.DUMMYFUNCTION("""COMPUTED_VALUE"""),3631.82)</f>
        <v>3631.82</v>
      </c>
      <c r="Q430" s="33" t="str">
        <f ca="1">IFERROR(__xludf.DUMMYFUNCTION("""COMPUTED_VALUE"""),"Ramon Ferrando")</f>
        <v>Ramon Ferrando</v>
      </c>
      <c r="R430" s="33" t="str">
        <f ca="1">IFERROR(__xludf.DUMMYFUNCTION("""COMPUTED_VALUE"""),"Isabel Polo Tomás")</f>
        <v>Isabel Polo Tomás</v>
      </c>
      <c r="S430" s="61" t="str">
        <f ca="1">IFERROR(__xludf.DUMMYFUNCTION("""COMPUTED_VALUE"""),"03 ORL")</f>
        <v>03 ORL</v>
      </c>
      <c r="T430" s="33" t="str">
        <f ca="1">IFERROR(__xludf.DUMMYFUNCTION("""COMPUTED_VALUE"""),"06 ORL")</f>
        <v>06 ORL</v>
      </c>
      <c r="U430" s="62"/>
      <c r="W430" s="62"/>
      <c r="X430" s="62"/>
    </row>
    <row r="431" spans="2:24" ht="16">
      <c r="B431" s="55" t="str">
        <f t="shared" si="1"/>
        <v/>
      </c>
      <c r="C431" s="64"/>
      <c r="D431" s="33" t="str">
        <f ca="1">IFERROR(__xludf.DUMMYFUNCTION("""COMPUTED_VALUE"""),"PROPIOS")</f>
        <v>PROPIOS</v>
      </c>
      <c r="E431" s="33">
        <f ca="1">IFERROR(__xludf.DUMMYFUNCTION("""COMPUTED_VALUE"""),2026)</f>
        <v>2026</v>
      </c>
      <c r="F431" s="56">
        <f ca="1">IFERROR(__xludf.DUMMYFUNCTION("""COMPUTED_VALUE"""),3)</f>
        <v>3</v>
      </c>
      <c r="G431" s="33" t="str">
        <f ca="1">IFERROR(__xludf.DUMMYFUNCTION("""COMPUTED_VALUE"""),"Madrid- Canillas")</f>
        <v>Madrid- Canillas</v>
      </c>
      <c r="H431" s="33" t="str">
        <f ca="1">IFERROR(__xludf.DUMMYFUNCTION("""COMPUTED_VALUE"""),"C20263391426799994")</f>
        <v>C20263391426799994</v>
      </c>
      <c r="I431" s="33" t="str">
        <f ca="1">IFERROR(__xludf.DUMMYFUNCTION("""COMPUTED_VALUE"""),"MARIA ELENA RODRIGUEZ ALULEMA")</f>
        <v>MARIA ELENA RODRIGUEZ ALULEMA</v>
      </c>
      <c r="J431" s="57">
        <f ca="1">IFERROR(__xludf.DUMMYFUNCTION("""COMPUTED_VALUE"""),46084)</f>
        <v>46084</v>
      </c>
      <c r="K431" s="33" t="str">
        <f ca="1">IFERROR(__xludf.DUMMYFUNCTION("""COMPUTED_VALUE"""),"Factura audífonos")</f>
        <v>Factura audífonos</v>
      </c>
      <c r="L431" s="57">
        <f ca="1">IFERROR(__xludf.DUMMYFUNCTION("""COMPUTED_VALUE"""),46107)</f>
        <v>46107</v>
      </c>
      <c r="M431" s="64" t="str">
        <f ca="1">IFERROR(__xludf.DUMMYFUNCTION("""COMPUTED_VALUE"""),"NO")</f>
        <v>NO</v>
      </c>
      <c r="N431" s="56">
        <f ca="1">IFERROR(__xludf.DUMMYFUNCTION("""COMPUTED_VALUE"""),2)</f>
        <v>2</v>
      </c>
      <c r="O431" s="64" t="str">
        <f ca="1">IFERROR(__xludf.DUMMYFUNCTION("""COMPUTED_VALUE"""),"QUIET")</f>
        <v>QUIET</v>
      </c>
      <c r="P431" s="62">
        <f ca="1">IFERROR(__xludf.DUMMYFUNCTION("""COMPUTED_VALUE"""),2718.18)</f>
        <v>2718.18</v>
      </c>
      <c r="Q431" s="33" t="str">
        <f ca="1">IFERROR(__xludf.DUMMYFUNCTION("""COMPUTED_VALUE"""),"Maika Blázquez")</f>
        <v>Maika Blázquez</v>
      </c>
      <c r="R431" s="33" t="str">
        <f ca="1">IFERROR(__xludf.DUMMYFUNCTION("""COMPUTED_VALUE"""),"No recuerda ORL")</f>
        <v>No recuerda ORL</v>
      </c>
      <c r="S431" s="61" t="str">
        <f ca="1">IFERROR(__xludf.DUMMYFUNCTION("""COMPUTED_VALUE"""),"03 ORL")</f>
        <v>03 ORL</v>
      </c>
      <c r="T431" s="33" t="str">
        <f ca="1">IFERROR(__xludf.DUMMYFUNCTION("""COMPUTED_VALUE"""),"06 ORL")</f>
        <v>06 ORL</v>
      </c>
      <c r="U431" s="62"/>
      <c r="W431" s="62"/>
      <c r="X431" s="62"/>
    </row>
    <row r="432" spans="2:24" ht="16">
      <c r="B432" s="55" t="str">
        <f t="shared" ca="1" si="1"/>
        <v>#N/</v>
      </c>
      <c r="C432" s="64" t="str">
        <f ca="1">IFERROR(__xludf.DUMMYFUNCTION("""COMPUTED_VALUE"""),"#N/A")</f>
        <v>#N/A</v>
      </c>
      <c r="D432" s="33" t="str">
        <f ca="1">IFERROR(__xludf.DUMMYFUNCTION("""COMPUTED_VALUE"""),"PROPIOS")</f>
        <v>PROPIOS</v>
      </c>
      <c r="E432" s="33">
        <f ca="1">IFERROR(__xludf.DUMMYFUNCTION("""COMPUTED_VALUE"""),2026)</f>
        <v>2026</v>
      </c>
      <c r="F432" s="56">
        <f ca="1">IFERROR(__xludf.DUMMYFUNCTION("""COMPUTED_VALUE"""),3)</f>
        <v>3</v>
      </c>
      <c r="G432" s="33" t="str">
        <f ca="1">IFERROR(__xludf.DUMMYFUNCTION("""COMPUTED_VALUE"""),"Getafe")</f>
        <v>Getafe</v>
      </c>
      <c r="H432" s="33" t="str">
        <f ca="1">IFERROR(__xludf.DUMMYFUNCTION("""COMPUTED_VALUE"""),"C202622311526574591")</f>
        <v>C202622311526574591</v>
      </c>
      <c r="I432" s="33" t="str">
        <f ca="1">IFERROR(__xludf.DUMMYFUNCTION("""COMPUTED_VALUE"""),"MAGDALENA  LOPEZ MORENA")</f>
        <v>MAGDALENA  LOPEZ MORENA</v>
      </c>
      <c r="J432" s="57">
        <f ca="1">IFERROR(__xludf.DUMMYFUNCTION("""COMPUTED_VALUE"""),46076)</f>
        <v>46076</v>
      </c>
      <c r="K432" s="33" t="str">
        <f ca="1">IFERROR(__xludf.DUMMYFUNCTION("""COMPUTED_VALUE"""),"Factura audífonos")</f>
        <v>Factura audífonos</v>
      </c>
      <c r="L432" s="57">
        <f ca="1">IFERROR(__xludf.DUMMYFUNCTION("""COMPUTED_VALUE"""),46107)</f>
        <v>46107</v>
      </c>
      <c r="M432" s="64" t="str">
        <f ca="1">IFERROR(__xludf.DUMMYFUNCTION("""COMPUTED_VALUE"""),"NO")</f>
        <v>NO</v>
      </c>
      <c r="N432" s="56">
        <f ca="1">IFERROR(__xludf.DUMMYFUNCTION("""COMPUTED_VALUE"""),2)</f>
        <v>2</v>
      </c>
      <c r="O432" s="64" t="str">
        <f ca="1">IFERROR(__xludf.DUMMYFUNCTION("""COMPUTED_VALUE"""),"QUIET")</f>
        <v>QUIET</v>
      </c>
      <c r="P432" s="62">
        <f ca="1">IFERROR(__xludf.DUMMYFUNCTION("""COMPUTED_VALUE"""),2718.19)</f>
        <v>2718.19</v>
      </c>
      <c r="Q432" s="33" t="str">
        <f ca="1">IFERROR(__xludf.DUMMYFUNCTION("""COMPUTED_VALUE"""),"Maika Blázquez")</f>
        <v>Maika Blázquez</v>
      </c>
      <c r="R432" s="33" t="str">
        <f ca="1">IFERROR(__xludf.DUMMYFUNCTION("""COMPUTED_VALUE"""),"Cristina Herrero Fernández")</f>
        <v>Cristina Herrero Fernández</v>
      </c>
      <c r="S432" s="61" t="str">
        <f ca="1">IFERROR(__xludf.DUMMYFUNCTION("""COMPUTED_VALUE"""),"03 ORL")</f>
        <v>03 ORL</v>
      </c>
      <c r="T432" s="33" t="str">
        <f ca="1">IFERROR(__xludf.DUMMYFUNCTION("""COMPUTED_VALUE"""),"06 ORL")</f>
        <v>06 ORL</v>
      </c>
      <c r="U432" s="62"/>
      <c r="W432" s="62"/>
      <c r="X432" s="62"/>
    </row>
    <row r="433" spans="2:24" ht="16">
      <c r="B433" s="55" t="str">
        <f t="shared" ca="1" si="1"/>
        <v>RFV</v>
      </c>
      <c r="C433" s="64" t="str">
        <f ca="1">IFERROR(__xludf.DUMMYFUNCTION("""COMPUTED_VALUE"""),"RFV22")</f>
        <v>RFV22</v>
      </c>
      <c r="D433" s="33" t="str">
        <f ca="1">IFERROR(__xludf.DUMMYFUNCTION("""COMPUTED_VALUE"""),"PROPIOS")</f>
        <v>PROPIOS</v>
      </c>
      <c r="E433" s="33">
        <f ca="1">IFERROR(__xludf.DUMMYFUNCTION("""COMPUTED_VALUE"""),2026)</f>
        <v>2026</v>
      </c>
      <c r="F433" s="56">
        <f ca="1">IFERROR(__xludf.DUMMYFUNCTION("""COMPUTED_VALUE"""),3)</f>
        <v>3</v>
      </c>
      <c r="G433" s="33" t="str">
        <f ca="1">IFERROR(__xludf.DUMMYFUNCTION("""COMPUTED_VALUE"""),"Valencia- Cádiz")</f>
        <v>Valencia- Cádiz</v>
      </c>
      <c r="H433" s="33" t="str">
        <f ca="1">IFERROR(__xludf.DUMMYFUNCTION("""COMPUTED_VALUE"""),"C202618113411407364")</f>
        <v>C202618113411407364</v>
      </c>
      <c r="I433" s="33" t="str">
        <f ca="1">IFERROR(__xludf.DUMMYFUNCTION("""COMPUTED_VALUE"""),"FRANCISCO JESÚS DE FRÍAS LUJÁN")</f>
        <v>FRANCISCO JESÚS DE FRÍAS LUJÁN</v>
      </c>
      <c r="J433" s="57">
        <f ca="1">IFERROR(__xludf.DUMMYFUNCTION("""COMPUTED_VALUE"""),46030)</f>
        <v>46030</v>
      </c>
      <c r="K433" s="33" t="str">
        <f ca="1">IFERROR(__xludf.DUMMYFUNCTION("""COMPUTED_VALUE"""),"Factura audífonos")</f>
        <v>Factura audífonos</v>
      </c>
      <c r="L433" s="57">
        <f ca="1">IFERROR(__xludf.DUMMYFUNCTION("""COMPUTED_VALUE"""),46107)</f>
        <v>46107</v>
      </c>
      <c r="M433" s="64" t="str">
        <f ca="1">IFERROR(__xludf.DUMMYFUNCTION("""COMPUTED_VALUE"""),"NO")</f>
        <v>NO</v>
      </c>
      <c r="N433" s="56">
        <f ca="1">IFERROR(__xludf.DUMMYFUNCTION("""COMPUTED_VALUE"""),1)</f>
        <v>1</v>
      </c>
      <c r="O433" s="64" t="str">
        <f ca="1">IFERROR(__xludf.DUMMYFUNCTION("""COMPUTED_VALUE"""),"ADVANCED")</f>
        <v>ADVANCED</v>
      </c>
      <c r="P433" s="62">
        <f ca="1">IFERROR(__xludf.DUMMYFUNCTION("""COMPUTED_VALUE"""),2481.82)</f>
        <v>2481.8200000000002</v>
      </c>
      <c r="Q433" s="33" t="str">
        <f ca="1">IFERROR(__xludf.DUMMYFUNCTION("""COMPUTED_VALUE"""),"Ramon Ferrando")</f>
        <v>Ramon Ferrando</v>
      </c>
      <c r="R433" s="33" t="str">
        <f ca="1">IFERROR(__xludf.DUMMYFUNCTION("""COMPUTED_VALUE"""),"Martín Eduardo Marcano Acuña")</f>
        <v>Martín Eduardo Marcano Acuña</v>
      </c>
      <c r="S433" s="61" t="str">
        <f ca="1">IFERROR(__xludf.DUMMYFUNCTION("""COMPUTED_VALUE"""),"03 ORL")</f>
        <v>03 ORL</v>
      </c>
      <c r="T433" s="33" t="str">
        <f ca="1">IFERROR(__xludf.DUMMYFUNCTION("""COMPUTED_VALUE"""),"06 ORL")</f>
        <v>06 ORL</v>
      </c>
      <c r="U433" s="62"/>
      <c r="W433" s="62"/>
      <c r="X433" s="62"/>
    </row>
    <row r="434" spans="2:24" ht="16">
      <c r="B434" s="55" t="str">
        <f t="shared" ca="1" si="1"/>
        <v>MBM</v>
      </c>
      <c r="C434" s="64" t="str">
        <f ca="1">IFERROR(__xludf.DUMMYFUNCTION("""COMPUTED_VALUE"""),"MBM42")</f>
        <v>MBM42</v>
      </c>
      <c r="D434" s="33" t="str">
        <f ca="1">IFERROR(__xludf.DUMMYFUNCTION("""COMPUTED_VALUE"""),"PROPIOS")</f>
        <v>PROPIOS</v>
      </c>
      <c r="E434" s="33">
        <f ca="1">IFERROR(__xludf.DUMMYFUNCTION("""COMPUTED_VALUE"""),2026)</f>
        <v>2026</v>
      </c>
      <c r="F434" s="56">
        <f ca="1">IFERROR(__xludf.DUMMYFUNCTION("""COMPUTED_VALUE"""),3)</f>
        <v>3</v>
      </c>
      <c r="G434" s="33" t="str">
        <f ca="1">IFERROR(__xludf.DUMMYFUNCTION("""COMPUTED_VALUE"""),"Leganés")</f>
        <v>Leganés</v>
      </c>
      <c r="H434" s="33" t="str">
        <f ca="1">IFERROR(__xludf.DUMMYFUNCTION("""COMPUTED_VALUE"""),"C202622411404039012")</f>
        <v>C202622411404039012</v>
      </c>
      <c r="I434" s="33" t="str">
        <f ca="1">IFERROR(__xludf.DUMMYFUNCTION("""COMPUTED_VALUE"""),"JESUS ANGEL ORTIZ GONZALEZ")</f>
        <v>JESUS ANGEL ORTIZ GONZALEZ</v>
      </c>
      <c r="J434" s="57">
        <f ca="1">IFERROR(__xludf.DUMMYFUNCTION("""COMPUTED_VALUE"""),46077)</f>
        <v>46077</v>
      </c>
      <c r="K434" s="33" t="str">
        <f ca="1">IFERROR(__xludf.DUMMYFUNCTION("""COMPUTED_VALUE"""),"Factura audífonos")</f>
        <v>Factura audífonos</v>
      </c>
      <c r="L434" s="57">
        <f ca="1">IFERROR(__xludf.DUMMYFUNCTION("""COMPUTED_VALUE"""),46107)</f>
        <v>46107</v>
      </c>
      <c r="M434" s="64" t="str">
        <f ca="1">IFERROR(__xludf.DUMMYFUNCTION("""COMPUTED_VALUE"""),"NO")</f>
        <v>NO</v>
      </c>
      <c r="N434" s="56">
        <f ca="1">IFERROR(__xludf.DUMMYFUNCTION("""COMPUTED_VALUE"""),2)</f>
        <v>2</v>
      </c>
      <c r="O434" s="58" t="str">
        <f ca="1">IFERROR(__xludf.DUMMYFUNCTION("""COMPUTED_VALUE"""),"ADVANCED")</f>
        <v>ADVANCED</v>
      </c>
      <c r="P434" s="62">
        <f ca="1">IFERROR(__xludf.DUMMYFUNCTION("""COMPUTED_VALUE"""),4136.36)</f>
        <v>4136.3599999999997</v>
      </c>
      <c r="Q434" s="33" t="str">
        <f ca="1">IFERROR(__xludf.DUMMYFUNCTION("""COMPUTED_VALUE"""),"Maika Blázquez")</f>
        <v>Maika Blázquez</v>
      </c>
      <c r="R434" s="33" t="str">
        <f ca="1">IFERROR(__xludf.DUMMYFUNCTION("""COMPUTED_VALUE"""),"Jesús Atalaya Díaz")</f>
        <v>Jesús Atalaya Díaz</v>
      </c>
      <c r="S434" s="61" t="str">
        <f ca="1">IFERROR(__xludf.DUMMYFUNCTION("""COMPUTED_VALUE"""),"03 ORL")</f>
        <v>03 ORL</v>
      </c>
      <c r="T434" s="33" t="str">
        <f ca="1">IFERROR(__xludf.DUMMYFUNCTION("""COMPUTED_VALUE"""),"06 ORL")</f>
        <v>06 ORL</v>
      </c>
      <c r="U434" s="62"/>
      <c r="W434" s="62"/>
      <c r="X434" s="62"/>
    </row>
    <row r="435" spans="2:24" ht="16">
      <c r="B435" s="55" t="str">
        <f t="shared" ca="1" si="1"/>
        <v>#N/</v>
      </c>
      <c r="C435" s="64" t="str">
        <f ca="1">IFERROR(__xludf.DUMMYFUNCTION("""COMPUTED_VALUE"""),"#N/A")</f>
        <v>#N/A</v>
      </c>
      <c r="D435" s="33" t="str">
        <f ca="1">IFERROR(__xludf.DUMMYFUNCTION("""COMPUTED_VALUE"""),"PARTICIPADOS")</f>
        <v>PARTICIPADOS</v>
      </c>
      <c r="E435" s="33">
        <f ca="1">IFERROR(__xludf.DUMMYFUNCTION("""COMPUTED_VALUE"""),2026)</f>
        <v>2026</v>
      </c>
      <c r="F435" s="56">
        <f ca="1">IFERROR(__xludf.DUMMYFUNCTION("""COMPUTED_VALUE"""),3)</f>
        <v>3</v>
      </c>
      <c r="G435" s="33" t="str">
        <f ca="1">IFERROR(__xludf.DUMMYFUNCTION("""COMPUTED_VALUE"""),"Madrid- Galileo")</f>
        <v>Madrid- Galileo</v>
      </c>
      <c r="H435" s="33" t="str">
        <f ca="1">IFERROR(__xludf.DUMMYFUNCTION("""COMPUTED_VALUE"""),"C202631217145355254")</f>
        <v>C202631217145355254</v>
      </c>
      <c r="I435" s="33" t="str">
        <f ca="1">IFERROR(__xludf.DUMMYFUNCTION("""COMPUTED_VALUE"""),"ANTONIO PULDAIN BENEYTEZ")</f>
        <v>ANTONIO PULDAIN BENEYTEZ</v>
      </c>
      <c r="J435" s="57">
        <f ca="1">IFERROR(__xludf.DUMMYFUNCTION("""COMPUTED_VALUE"""),46093)</f>
        <v>46093</v>
      </c>
      <c r="K435" s="33" t="str">
        <f ca="1">IFERROR(__xludf.DUMMYFUNCTION("""COMPUTED_VALUE"""),"Factura audífonos")</f>
        <v>Factura audífonos</v>
      </c>
      <c r="L435" s="57">
        <f ca="1">IFERROR(__xludf.DUMMYFUNCTION("""COMPUTED_VALUE"""),46107)</f>
        <v>46107</v>
      </c>
      <c r="M435" s="64" t="str">
        <f ca="1">IFERROR(__xludf.DUMMYFUNCTION("""COMPUTED_VALUE"""),"NO")</f>
        <v>NO</v>
      </c>
      <c r="N435" s="56">
        <f ca="1">IFERROR(__xludf.DUMMYFUNCTION("""COMPUTED_VALUE"""),2)</f>
        <v>2</v>
      </c>
      <c r="O435" s="64" t="str">
        <f ca="1">IFERROR(__xludf.DUMMYFUNCTION("""COMPUTED_VALUE"""),"QUIET")</f>
        <v>QUIET</v>
      </c>
      <c r="P435" s="62">
        <f ca="1">IFERROR(__xludf.DUMMYFUNCTION("""COMPUTED_VALUE"""),2582.27)</f>
        <v>2582.27</v>
      </c>
      <c r="Q435" s="33" t="str">
        <f ca="1">IFERROR(__xludf.DUMMYFUNCTION("""COMPUTED_VALUE"""),"Maika Blázquez")</f>
        <v>Maika Blázquez</v>
      </c>
      <c r="R435" s="33" t="str">
        <f ca="1">IFERROR(__xludf.DUMMYFUNCTION("""COMPUTED_VALUE"""),"Sara Zaldivar Saiz Maza")</f>
        <v>Sara Zaldivar Saiz Maza</v>
      </c>
      <c r="S435" s="61" t="str">
        <f ca="1">IFERROR(__xludf.DUMMYFUNCTION("""COMPUTED_VALUE"""),"03 ORL")</f>
        <v>03 ORL</v>
      </c>
      <c r="T435" s="33" t="str">
        <f ca="1">IFERROR(__xludf.DUMMYFUNCTION("""COMPUTED_VALUE"""),"06 ORL")</f>
        <v>06 ORL</v>
      </c>
      <c r="U435" s="62"/>
      <c r="W435" s="62"/>
      <c r="X435" s="62"/>
    </row>
    <row r="436" spans="2:24" ht="16">
      <c r="B436" s="55" t="str">
        <f t="shared" ca="1" si="1"/>
        <v>MBM</v>
      </c>
      <c r="C436" s="64" t="str">
        <f ca="1">IFERROR(__xludf.DUMMYFUNCTION("""COMPUTED_VALUE"""),"MBM164")</f>
        <v>MBM164</v>
      </c>
      <c r="D436" s="33" t="str">
        <f ca="1">IFERROR(__xludf.DUMMYFUNCTION("""COMPUTED_VALUE"""),"PROPIOS")</f>
        <v>PROPIOS</v>
      </c>
      <c r="E436" s="33">
        <f ca="1">IFERROR(__xludf.DUMMYFUNCTION("""COMPUTED_VALUE"""),2026)</f>
        <v>2026</v>
      </c>
      <c r="F436" s="56">
        <f ca="1">IFERROR(__xludf.DUMMYFUNCTION("""COMPUTED_VALUE"""),3)</f>
        <v>3</v>
      </c>
      <c r="G436" s="33" t="str">
        <f ca="1">IFERROR(__xludf.DUMMYFUNCTION("""COMPUTED_VALUE"""),"Fuenlabrada")</f>
        <v>Fuenlabrada</v>
      </c>
      <c r="H436" s="33" t="str">
        <f ca="1">IFERROR(__xludf.DUMMYFUNCTION("""COMPUTED_VALUE"""),"C202621885342242482")</f>
        <v>C202621885342242482</v>
      </c>
      <c r="I436" s="33" t="str">
        <f ca="1">IFERROR(__xludf.DUMMYFUNCTION("""COMPUTED_VALUE"""),"JUANA CHICA PECHARROMAN")</f>
        <v>JUANA CHICA PECHARROMAN</v>
      </c>
      <c r="J436" s="57">
        <f ca="1">IFERROR(__xludf.DUMMYFUNCTION("""COMPUTED_VALUE"""),46071)</f>
        <v>46071</v>
      </c>
      <c r="K436" s="33" t="str">
        <f ca="1">IFERROR(__xludf.DUMMYFUNCTION("""COMPUTED_VALUE"""),"Factura audífonos")</f>
        <v>Factura audífonos</v>
      </c>
      <c r="L436" s="57">
        <f ca="1">IFERROR(__xludf.DUMMYFUNCTION("""COMPUTED_VALUE"""),46107)</f>
        <v>46107</v>
      </c>
      <c r="M436" s="64" t="str">
        <f ca="1">IFERROR(__xludf.DUMMYFUNCTION("""COMPUTED_VALUE"""),"NO")</f>
        <v>NO</v>
      </c>
      <c r="N436" s="56">
        <f ca="1">IFERROR(__xludf.DUMMYFUNCTION("""COMPUTED_VALUE"""),2)</f>
        <v>2</v>
      </c>
      <c r="O436" s="64" t="str">
        <f ca="1">IFERROR(__xludf.DUMMYFUNCTION("""COMPUTED_VALUE"""),"CONFORT")</f>
        <v>CONFORT</v>
      </c>
      <c r="P436" s="62">
        <f ca="1">IFERROR(__xludf.DUMMYFUNCTION("""COMPUTED_VALUE"""),3631.82)</f>
        <v>3631.82</v>
      </c>
      <c r="Q436" s="33" t="str">
        <f ca="1">IFERROR(__xludf.DUMMYFUNCTION("""COMPUTED_VALUE"""),"Maika Blázquez")</f>
        <v>Maika Blázquez</v>
      </c>
      <c r="R436" s="33" t="str">
        <f ca="1">IFERROR(__xludf.DUMMYFUNCTION("""COMPUTED_VALUE"""),"Paloma Martín-Aragón Martín")</f>
        <v>Paloma Martín-Aragón Martín</v>
      </c>
      <c r="S436" s="61" t="str">
        <f ca="1">IFERROR(__xludf.DUMMYFUNCTION("""COMPUTED_VALUE"""),"03 ORL")</f>
        <v>03 ORL</v>
      </c>
      <c r="T436" s="33" t="str">
        <f ca="1">IFERROR(__xludf.DUMMYFUNCTION("""COMPUTED_VALUE"""),"06 ORL")</f>
        <v>06 ORL</v>
      </c>
      <c r="U436" s="62"/>
      <c r="W436" s="62"/>
      <c r="X436" s="62"/>
    </row>
    <row r="437" spans="2:24" ht="16">
      <c r="B437" s="55" t="str">
        <f t="shared" ca="1" si="1"/>
        <v>ISL</v>
      </c>
      <c r="C437" s="64" t="str">
        <f ca="1">IFERROR(__xludf.DUMMYFUNCTION("""COMPUTED_VALUE"""),"ISL116")</f>
        <v>ISL116</v>
      </c>
      <c r="D437" s="33" t="str">
        <f ca="1">IFERROR(__xludf.DUMMYFUNCTION("""COMPUTED_VALUE"""),"PROPIOS")</f>
        <v>PROPIOS</v>
      </c>
      <c r="E437" s="33">
        <f ca="1">IFERROR(__xludf.DUMMYFUNCTION("""COMPUTED_VALUE"""),2026)</f>
        <v>2026</v>
      </c>
      <c r="F437" s="56">
        <f ca="1">IFERROR(__xludf.DUMMYFUNCTION("""COMPUTED_VALUE"""),3)</f>
        <v>3</v>
      </c>
      <c r="G437" s="33" t="str">
        <f ca="1">IFERROR(__xludf.DUMMYFUNCTION("""COMPUTED_VALUE"""),"Alicante")</f>
        <v>Alicante</v>
      </c>
      <c r="H437" s="33" t="str">
        <f ca="1">IFERROR(__xludf.DUMMYFUNCTION("""COMPUTED_VALUE"""),"C20262269452713570")</f>
        <v>C20262269452713570</v>
      </c>
      <c r="I437" s="33" t="str">
        <f ca="1">IFERROR(__xludf.DUMMYFUNCTION("""COMPUTED_VALUE"""),"ASUNCION PASTOR TORREGROSA")</f>
        <v>ASUNCION PASTOR TORREGROSA</v>
      </c>
      <c r="J437" s="57">
        <f ca="1">IFERROR(__xludf.DUMMYFUNCTION("""COMPUTED_VALUE"""),46079)</f>
        <v>46079</v>
      </c>
      <c r="K437" s="33" t="str">
        <f ca="1">IFERROR(__xludf.DUMMYFUNCTION("""COMPUTED_VALUE"""),"Factura audífonos")</f>
        <v>Factura audífonos</v>
      </c>
      <c r="L437" s="57">
        <f ca="1">IFERROR(__xludf.DUMMYFUNCTION("""COMPUTED_VALUE"""),46107)</f>
        <v>46107</v>
      </c>
      <c r="M437" s="64" t="str">
        <f ca="1">IFERROR(__xludf.DUMMYFUNCTION("""COMPUTED_VALUE"""),"NO")</f>
        <v>NO</v>
      </c>
      <c r="N437" s="56">
        <f ca="1">IFERROR(__xludf.DUMMYFUNCTION("""COMPUTED_VALUE"""),2)</f>
        <v>2</v>
      </c>
      <c r="O437" s="64" t="str">
        <f ca="1">IFERROR(__xludf.DUMMYFUNCTION("""COMPUTED_VALUE"""),"CONFORT")</f>
        <v>CONFORT</v>
      </c>
      <c r="P437" s="62">
        <f ca="1">IFERROR(__xludf.DUMMYFUNCTION("""COMPUTED_VALUE"""),3631.82)</f>
        <v>3631.82</v>
      </c>
      <c r="Q437" s="33" t="str">
        <f ca="1">IFERROR(__xludf.DUMMYFUNCTION("""COMPUTED_VALUE"""),"Iván Sánchez")</f>
        <v>Iván Sánchez</v>
      </c>
      <c r="R437" s="33" t="str">
        <f ca="1">IFERROR(__xludf.DUMMYFUNCTION("""COMPUTED_VALUE"""),"Maria Rosario Ferrandiz García")</f>
        <v>Maria Rosario Ferrandiz García</v>
      </c>
      <c r="S437" s="61" t="str">
        <f ca="1">IFERROR(__xludf.DUMMYFUNCTION("""COMPUTED_VALUE"""),"03 ORL")</f>
        <v>03 ORL</v>
      </c>
      <c r="T437" s="33" t="str">
        <f ca="1">IFERROR(__xludf.DUMMYFUNCTION("""COMPUTED_VALUE"""),"06 ORL")</f>
        <v>06 ORL</v>
      </c>
      <c r="U437" s="62"/>
      <c r="W437" s="62"/>
      <c r="X437" s="62"/>
    </row>
    <row r="438" spans="2:24" ht="16">
      <c r="B438" s="55" t="str">
        <f t="shared" ca="1" si="1"/>
        <v>LRM</v>
      </c>
      <c r="C438" s="64" t="str">
        <f ca="1">IFERROR(__xludf.DUMMYFUNCTION("""COMPUTED_VALUE"""),"LRM39")</f>
        <v>LRM39</v>
      </c>
      <c r="D438" s="33" t="str">
        <f ca="1">IFERROR(__xludf.DUMMYFUNCTION("""COMPUTED_VALUE"""),"PROPIOS")</f>
        <v>PROPIOS</v>
      </c>
      <c r="E438" s="33">
        <f ca="1">IFERROR(__xludf.DUMMYFUNCTION("""COMPUTED_VALUE"""),2026)</f>
        <v>2026</v>
      </c>
      <c r="F438" s="56">
        <f ca="1">IFERROR(__xludf.DUMMYFUNCTION("""COMPUTED_VALUE"""),3)</f>
        <v>3</v>
      </c>
      <c r="G438" s="33" t="str">
        <f ca="1">IFERROR(__xludf.DUMMYFUNCTION("""COMPUTED_VALUE"""),"Logroño")</f>
        <v>Logroño</v>
      </c>
      <c r="H438" s="33" t="str">
        <f ca="1">IFERROR(__xludf.DUMMYFUNCTION("""COMPUTED_VALUE"""),"C202621012291805056")</f>
        <v>C202621012291805056</v>
      </c>
      <c r="I438" s="33" t="str">
        <f ca="1">IFERROR(__xludf.DUMMYFUNCTION("""COMPUTED_VALUE"""),"ANGEL VICTORIANO GOMEZ")</f>
        <v>ANGEL VICTORIANO GOMEZ</v>
      </c>
      <c r="J438" s="57">
        <f ca="1">IFERROR(__xludf.DUMMYFUNCTION("""COMPUTED_VALUE"""),46063)</f>
        <v>46063</v>
      </c>
      <c r="K438" s="33" t="str">
        <f ca="1">IFERROR(__xludf.DUMMYFUNCTION("""COMPUTED_VALUE"""),"Factura audífonos")</f>
        <v>Factura audífonos</v>
      </c>
      <c r="L438" s="57">
        <f ca="1">IFERROR(__xludf.DUMMYFUNCTION("""COMPUTED_VALUE"""),46107)</f>
        <v>46107</v>
      </c>
      <c r="M438" s="64" t="str">
        <f ca="1">IFERROR(__xludf.DUMMYFUNCTION("""COMPUTED_VALUE"""),"NO")</f>
        <v>NO</v>
      </c>
      <c r="N438" s="56">
        <f ca="1">IFERROR(__xludf.DUMMYFUNCTION("""COMPUTED_VALUE"""),2)</f>
        <v>2</v>
      </c>
      <c r="O438" s="64" t="str">
        <f ca="1">IFERROR(__xludf.DUMMYFUNCTION("""COMPUTED_VALUE"""),"CONFORT")</f>
        <v>CONFORT</v>
      </c>
      <c r="P438" s="62">
        <f ca="1">IFERROR(__xludf.DUMMYFUNCTION("""COMPUTED_VALUE"""),3631.82)</f>
        <v>3631.82</v>
      </c>
      <c r="Q438" s="33" t="str">
        <f ca="1">IFERROR(__xludf.DUMMYFUNCTION("""COMPUTED_VALUE"""),"Lisandro Russian")</f>
        <v>Lisandro Russian</v>
      </c>
      <c r="R438" s="33" t="str">
        <f ca="1">IFERROR(__xludf.DUMMYFUNCTION("""COMPUTED_VALUE"""),"Fernando Salazar Barcelona")</f>
        <v>Fernando Salazar Barcelona</v>
      </c>
      <c r="S438" s="61" t="str">
        <f ca="1">IFERROR(__xludf.DUMMYFUNCTION("""COMPUTED_VALUE"""),"03 ORL")</f>
        <v>03 ORL</v>
      </c>
      <c r="T438" s="33" t="str">
        <f ca="1">IFERROR(__xludf.DUMMYFUNCTION("""COMPUTED_VALUE"""),"06 ORL")</f>
        <v>06 ORL</v>
      </c>
      <c r="U438" s="62"/>
      <c r="W438" s="62"/>
      <c r="X438" s="62"/>
    </row>
    <row r="439" spans="2:24" ht="16">
      <c r="B439" s="55" t="str">
        <f t="shared" ca="1" si="1"/>
        <v>#N/</v>
      </c>
      <c r="C439" s="64" t="str">
        <f ca="1">IFERROR(__xludf.DUMMYFUNCTION("""COMPUTED_VALUE"""),"#N/A")</f>
        <v>#N/A</v>
      </c>
      <c r="D439" s="33" t="str">
        <f ca="1">IFERROR(__xludf.DUMMYFUNCTION("""COMPUTED_VALUE"""),"PROPIOS")</f>
        <v>PROPIOS</v>
      </c>
      <c r="E439" s="33">
        <f ca="1">IFERROR(__xludf.DUMMYFUNCTION("""COMPUTED_VALUE"""),2026)</f>
        <v>2026</v>
      </c>
      <c r="F439" s="56">
        <f ca="1">IFERROR(__xludf.DUMMYFUNCTION("""COMPUTED_VALUE"""),3)</f>
        <v>3</v>
      </c>
      <c r="G439" s="33" t="str">
        <f ca="1">IFERROR(__xludf.DUMMYFUNCTION("""COMPUTED_VALUE"""),"Jerez de la Frontera")</f>
        <v>Jerez de la Frontera</v>
      </c>
      <c r="H439" s="33" t="str">
        <f ca="1">IFERROR(__xludf.DUMMYFUNCTION("""COMPUTED_VALUE"""),"C202621912583028008")</f>
        <v>C202621912583028008</v>
      </c>
      <c r="I439" s="33" t="str">
        <f ca="1">IFERROR(__xludf.DUMMYFUNCTION("""COMPUTED_VALUE"""),"JERONIMA MARISCAL RAMIREZ")</f>
        <v>JERONIMA MARISCAL RAMIREZ</v>
      </c>
      <c r="J439" s="57">
        <f ca="1">IFERROR(__xludf.DUMMYFUNCTION("""COMPUTED_VALUE"""),46072)</f>
        <v>46072</v>
      </c>
      <c r="K439" s="33" t="str">
        <f ca="1">IFERROR(__xludf.DUMMYFUNCTION("""COMPUTED_VALUE"""),"Factura audífonos")</f>
        <v>Factura audífonos</v>
      </c>
      <c r="L439" s="57">
        <f ca="1">IFERROR(__xludf.DUMMYFUNCTION("""COMPUTED_VALUE"""),46107)</f>
        <v>46107</v>
      </c>
      <c r="M439" s="64" t="str">
        <f ca="1">IFERROR(__xludf.DUMMYFUNCTION("""COMPUTED_VALUE"""),"NO")</f>
        <v>NO</v>
      </c>
      <c r="N439" s="56">
        <f ca="1">IFERROR(__xludf.DUMMYFUNCTION("""COMPUTED_VALUE"""),2)</f>
        <v>2</v>
      </c>
      <c r="O439" s="64" t="str">
        <f ca="1">IFERROR(__xludf.DUMMYFUNCTION("""COMPUTED_VALUE"""),"QUIET")</f>
        <v>QUIET</v>
      </c>
      <c r="P439" s="62">
        <f ca="1">IFERROR(__xludf.DUMMYFUNCTION("""COMPUTED_VALUE"""),2918.18)</f>
        <v>2918.18</v>
      </c>
      <c r="Q439" s="33" t="str">
        <f ca="1">IFERROR(__xludf.DUMMYFUNCTION("""COMPUTED_VALUE"""),"Luis Alberto Rodríguez")</f>
        <v>Luis Alberto Rodríguez</v>
      </c>
      <c r="R439" s="33" t="str">
        <f ca="1">IFERROR(__xludf.DUMMYFUNCTION("""COMPUTED_VALUE"""),"Miguel Ángel Fernández Andrade")</f>
        <v>Miguel Ángel Fernández Andrade</v>
      </c>
      <c r="S439" s="61" t="str">
        <f ca="1">IFERROR(__xludf.DUMMYFUNCTION("""COMPUTED_VALUE"""),"03 ORL")</f>
        <v>03 ORL</v>
      </c>
      <c r="T439" s="33" t="str">
        <f ca="1">IFERROR(__xludf.DUMMYFUNCTION("""COMPUTED_VALUE"""),"06 ORL")</f>
        <v>06 ORL</v>
      </c>
      <c r="U439" s="62"/>
      <c r="W439" s="62"/>
      <c r="X439" s="62"/>
    </row>
    <row r="440" spans="2:24" ht="16">
      <c r="B440" s="55" t="str">
        <f t="shared" si="1"/>
        <v/>
      </c>
      <c r="C440" s="64"/>
      <c r="D440" s="33" t="str">
        <f ca="1">IFERROR(__xludf.DUMMYFUNCTION("""COMPUTED_VALUE"""),"PROPIOS")</f>
        <v>PROPIOS</v>
      </c>
      <c r="E440" s="33">
        <f ca="1">IFERROR(__xludf.DUMMYFUNCTION("""COMPUTED_VALUE"""),2026)</f>
        <v>2026</v>
      </c>
      <c r="F440" s="56">
        <f ca="1">IFERROR(__xludf.DUMMYFUNCTION("""COMPUTED_VALUE"""),3)</f>
        <v>3</v>
      </c>
      <c r="G440" s="33" t="str">
        <f ca="1">IFERROR(__xludf.DUMMYFUNCTION("""COMPUTED_VALUE"""),"Madrid- Canillas")</f>
        <v>Madrid- Canillas</v>
      </c>
      <c r="H440" s="33" t="str">
        <f ca="1">IFERROR(__xludf.DUMMYFUNCTION("""COMPUTED_VALUE"""),"C202631014553821814")</f>
        <v>C202631014553821814</v>
      </c>
      <c r="I440" s="33" t="str">
        <f ca="1">IFERROR(__xludf.DUMMYFUNCTION("""COMPUTED_VALUE"""),"MARIA CONCEPCION  CASARIEGO CARBALLÉS")</f>
        <v>MARIA CONCEPCION  CASARIEGO CARBALLÉS</v>
      </c>
      <c r="J440" s="57">
        <f ca="1">IFERROR(__xludf.DUMMYFUNCTION("""COMPUTED_VALUE"""),46091)</f>
        <v>46091</v>
      </c>
      <c r="K440" s="33" t="str">
        <f ca="1">IFERROR(__xludf.DUMMYFUNCTION("""COMPUTED_VALUE"""),"Factura audífonos")</f>
        <v>Factura audífonos</v>
      </c>
      <c r="L440" s="57">
        <f ca="1">IFERROR(__xludf.DUMMYFUNCTION("""COMPUTED_VALUE"""),46107)</f>
        <v>46107</v>
      </c>
      <c r="M440" s="64" t="str">
        <f ca="1">IFERROR(__xludf.DUMMYFUNCTION("""COMPUTED_VALUE"""),"NO")</f>
        <v>NO</v>
      </c>
      <c r="N440" s="56">
        <f ca="1">IFERROR(__xludf.DUMMYFUNCTION("""COMPUTED_VALUE"""),2)</f>
        <v>2</v>
      </c>
      <c r="O440" s="64" t="str">
        <f ca="1">IFERROR(__xludf.DUMMYFUNCTION("""COMPUTED_VALUE"""),"QUIET")</f>
        <v>QUIET</v>
      </c>
      <c r="P440" s="62">
        <f ca="1">IFERROR(__xludf.DUMMYFUNCTION("""COMPUTED_VALUE"""),2718.18)</f>
        <v>2718.18</v>
      </c>
      <c r="Q440" s="33" t="str">
        <f ca="1">IFERROR(__xludf.DUMMYFUNCTION("""COMPUTED_VALUE"""),"Maika Blázquez")</f>
        <v>Maika Blázquez</v>
      </c>
      <c r="R440" s="33" t="str">
        <f ca="1">IFERROR(__xludf.DUMMYFUNCTION("""COMPUTED_VALUE"""),"No recuerda ORL")</f>
        <v>No recuerda ORL</v>
      </c>
      <c r="S440" s="61" t="str">
        <f ca="1">IFERROR(__xludf.DUMMYFUNCTION("""COMPUTED_VALUE"""),"03 ORL")</f>
        <v>03 ORL</v>
      </c>
      <c r="T440" s="33" t="str">
        <f ca="1">IFERROR(__xludf.DUMMYFUNCTION("""COMPUTED_VALUE"""),"06 ORL")</f>
        <v>06 ORL</v>
      </c>
      <c r="U440" s="62"/>
      <c r="W440" s="62"/>
      <c r="X440" s="62"/>
    </row>
    <row r="441" spans="2:24" ht="16">
      <c r="B441" s="55" t="str">
        <f t="shared" si="1"/>
        <v/>
      </c>
      <c r="C441" s="64"/>
      <c r="D441" s="33" t="str">
        <f ca="1">IFERROR(__xludf.DUMMYFUNCTION("""COMPUTED_VALUE"""),"PARTICIPADOS")</f>
        <v>PARTICIPADOS</v>
      </c>
      <c r="E441" s="33">
        <f ca="1">IFERROR(__xludf.DUMMYFUNCTION("""COMPUTED_VALUE"""),2026)</f>
        <v>2026</v>
      </c>
      <c r="F441" s="56">
        <f ca="1">IFERROR(__xludf.DUMMYFUNCTION("""COMPUTED_VALUE"""),3)</f>
        <v>3</v>
      </c>
      <c r="G441" s="33" t="str">
        <f ca="1">IFERROR(__xludf.DUMMYFUNCTION("""COMPUTED_VALUE"""),"Ourense")</f>
        <v>Ourense</v>
      </c>
      <c r="H441" s="33" t="str">
        <f ca="1">IFERROR(__xludf.DUMMYFUNCTION("""COMPUTED_VALUE"""),"C20263985829847689")</f>
        <v>C20263985829847689</v>
      </c>
      <c r="I441" s="33" t="str">
        <f ca="1">IFERROR(__xludf.DUMMYFUNCTION("""COMPUTED_VALUE"""),"JOSE CAMIÑA FERNANDEZ")</f>
        <v>JOSE CAMIÑA FERNANDEZ</v>
      </c>
      <c r="J441" s="57">
        <f ca="1">IFERROR(__xludf.DUMMYFUNCTION("""COMPUTED_VALUE"""),46090)</f>
        <v>46090</v>
      </c>
      <c r="K441" s="33" t="str">
        <f ca="1">IFERROR(__xludf.DUMMYFUNCTION("""COMPUTED_VALUE"""),"Factura audífonos")</f>
        <v>Factura audífonos</v>
      </c>
      <c r="L441" s="57">
        <f ca="1">IFERROR(__xludf.DUMMYFUNCTION("""COMPUTED_VALUE"""),46108)</f>
        <v>46108</v>
      </c>
      <c r="M441" s="64" t="str">
        <f ca="1">IFERROR(__xludf.DUMMYFUNCTION("""COMPUTED_VALUE"""),"NO")</f>
        <v>NO</v>
      </c>
      <c r="N441" s="56">
        <f ca="1">IFERROR(__xludf.DUMMYFUNCTION("""COMPUTED_VALUE"""),2)</f>
        <v>2</v>
      </c>
      <c r="O441" s="58" t="str">
        <f ca="1">IFERROR(__xludf.DUMMYFUNCTION("""COMPUTED_VALUE"""),"QUIET")</f>
        <v>QUIET</v>
      </c>
      <c r="P441" s="62">
        <f ca="1">IFERROR(__xludf.DUMMYFUNCTION("""COMPUTED_VALUE"""),2718.18)</f>
        <v>2718.18</v>
      </c>
      <c r="Q441" s="33" t="str">
        <f ca="1">IFERROR(__xludf.DUMMYFUNCTION("""COMPUTED_VALUE"""),"Kiko Ortega")</f>
        <v>Kiko Ortega</v>
      </c>
      <c r="R441" s="33" t="str">
        <f ca="1">IFERROR(__xludf.DUMMYFUNCTION("""COMPUTED_VALUE"""),"No recuerda ORL")</f>
        <v>No recuerda ORL</v>
      </c>
      <c r="S441" s="61" t="str">
        <f ca="1">IFERROR(__xludf.DUMMYFUNCTION("""COMPUTED_VALUE"""),"03 ORL")</f>
        <v>03 ORL</v>
      </c>
      <c r="T441" s="33" t="str">
        <f ca="1">IFERROR(__xludf.DUMMYFUNCTION("""COMPUTED_VALUE"""),"06 ORL")</f>
        <v>06 ORL</v>
      </c>
      <c r="U441" s="62"/>
      <c r="W441" s="62"/>
      <c r="X441" s="62"/>
    </row>
    <row r="442" spans="2:24" ht="16">
      <c r="B442" s="55" t="str">
        <f t="shared" ca="1" si="1"/>
        <v>ISL</v>
      </c>
      <c r="C442" s="64" t="str">
        <f ca="1">IFERROR(__xludf.DUMMYFUNCTION("""COMPUTED_VALUE"""),"ISL122")</f>
        <v>ISL122</v>
      </c>
      <c r="D442" s="33" t="str">
        <f ca="1">IFERROR(__xludf.DUMMYFUNCTION("""COMPUTED_VALUE"""),"PROPIOS")</f>
        <v>PROPIOS</v>
      </c>
      <c r="E442" s="33">
        <f ca="1">IFERROR(__xludf.DUMMYFUNCTION("""COMPUTED_VALUE"""),2026)</f>
        <v>2026</v>
      </c>
      <c r="F442" s="56">
        <f ca="1">IFERROR(__xludf.DUMMYFUNCTION("""COMPUTED_VALUE"""),3)</f>
        <v>3</v>
      </c>
      <c r="G442" s="33" t="str">
        <f ca="1">IFERROR(__xludf.DUMMYFUNCTION("""COMPUTED_VALUE"""),"Murcia")</f>
        <v>Murcia</v>
      </c>
      <c r="H442" s="33" t="str">
        <f ca="1">IFERROR(__xludf.DUMMYFUNCTION("""COMPUTED_VALUE"""),"C20262209496240831")</f>
        <v>C20262209496240831</v>
      </c>
      <c r="I442" s="33" t="str">
        <f ca="1">IFERROR(__xludf.DUMMYFUNCTION("""COMPUTED_VALUE"""),"FRANCISCO MARTINEZ MADRID")</f>
        <v>FRANCISCO MARTINEZ MADRID</v>
      </c>
      <c r="J442" s="57">
        <f ca="1">IFERROR(__xludf.DUMMYFUNCTION("""COMPUTED_VALUE"""),46073)</f>
        <v>46073</v>
      </c>
      <c r="K442" s="33" t="str">
        <f ca="1">IFERROR(__xludf.DUMMYFUNCTION("""COMPUTED_VALUE"""),"Factura audífonos")</f>
        <v>Factura audífonos</v>
      </c>
      <c r="L442" s="57">
        <f ca="1">IFERROR(__xludf.DUMMYFUNCTION("""COMPUTED_VALUE"""),46108)</f>
        <v>46108</v>
      </c>
      <c r="M442" s="64" t="str">
        <f ca="1">IFERROR(__xludf.DUMMYFUNCTION("""COMPUTED_VALUE"""),"NO")</f>
        <v>NO</v>
      </c>
      <c r="N442" s="56">
        <f ca="1">IFERROR(__xludf.DUMMYFUNCTION("""COMPUTED_VALUE"""),2)</f>
        <v>2</v>
      </c>
      <c r="O442" s="64" t="str">
        <f ca="1">IFERROR(__xludf.DUMMYFUNCTION("""COMPUTED_VALUE"""),"PRO")</f>
        <v>PRO</v>
      </c>
      <c r="P442" s="62">
        <f ca="1">IFERROR(__xludf.DUMMYFUNCTION("""COMPUTED_VALUE"""),4309.55)</f>
        <v>4309.55</v>
      </c>
      <c r="Q442" s="33" t="str">
        <f ca="1">IFERROR(__xludf.DUMMYFUNCTION("""COMPUTED_VALUE"""),"Iván Sánchez")</f>
        <v>Iván Sánchez</v>
      </c>
      <c r="R442" s="33" t="str">
        <f ca="1">IFERROR(__xludf.DUMMYFUNCTION("""COMPUTED_VALUE"""),"María Agustina Sevilla García")</f>
        <v>María Agustina Sevilla García</v>
      </c>
      <c r="S442" s="61" t="str">
        <f ca="1">IFERROR(__xludf.DUMMYFUNCTION("""COMPUTED_VALUE"""),"03 ORL")</f>
        <v>03 ORL</v>
      </c>
      <c r="T442" s="33" t="str">
        <f ca="1">IFERROR(__xludf.DUMMYFUNCTION("""COMPUTED_VALUE"""),"06 ORL")</f>
        <v>06 ORL</v>
      </c>
      <c r="U442" s="62"/>
      <c r="W442" s="62"/>
      <c r="X442" s="62"/>
    </row>
    <row r="443" spans="2:24" ht="16">
      <c r="B443" s="55" t="str">
        <f t="shared" ca="1" si="1"/>
        <v>MBM</v>
      </c>
      <c r="C443" s="64" t="str">
        <f ca="1">IFERROR(__xludf.DUMMYFUNCTION("""COMPUTED_VALUE"""),"MBM01")</f>
        <v>MBM01</v>
      </c>
      <c r="D443" s="33" t="str">
        <f ca="1">IFERROR(__xludf.DUMMYFUNCTION("""COMPUTED_VALUE"""),"PROPIOS")</f>
        <v>PROPIOS</v>
      </c>
      <c r="E443" s="33">
        <f ca="1">IFERROR(__xludf.DUMMYFUNCTION("""COMPUTED_VALUE"""),2026)</f>
        <v>2026</v>
      </c>
      <c r="F443" s="56">
        <f ca="1">IFERROR(__xludf.DUMMYFUNCTION("""COMPUTED_VALUE"""),3)</f>
        <v>3</v>
      </c>
      <c r="G443" s="33" t="str">
        <f ca="1">IFERROR(__xludf.DUMMYFUNCTION("""COMPUTED_VALUE"""),"Alcorcón")</f>
        <v>Alcorcón</v>
      </c>
      <c r="H443" s="33" t="str">
        <f ca="1">IFERROR(__xludf.DUMMYFUNCTION("""COMPUTED_VALUE"""),"C202622510242287354")</f>
        <v>C202622510242287354</v>
      </c>
      <c r="I443" s="33" t="str">
        <f ca="1">IFERROR(__xludf.DUMMYFUNCTION("""COMPUTED_VALUE"""),"MARGARITA SANCHEZ DE SANDE")</f>
        <v>MARGARITA SANCHEZ DE SANDE</v>
      </c>
      <c r="J443" s="57">
        <f ca="1">IFERROR(__xludf.DUMMYFUNCTION("""COMPUTED_VALUE"""),46078)</f>
        <v>46078</v>
      </c>
      <c r="K443" s="33" t="str">
        <f ca="1">IFERROR(__xludf.DUMMYFUNCTION("""COMPUTED_VALUE"""),"Factura audífonos")</f>
        <v>Factura audífonos</v>
      </c>
      <c r="L443" s="57">
        <f ca="1">IFERROR(__xludf.DUMMYFUNCTION("""COMPUTED_VALUE"""),46108)</f>
        <v>46108</v>
      </c>
      <c r="M443" s="64" t="str">
        <f ca="1">IFERROR(__xludf.DUMMYFUNCTION("""COMPUTED_VALUE"""),"NO")</f>
        <v>NO</v>
      </c>
      <c r="N443" s="56">
        <f ca="1">IFERROR(__xludf.DUMMYFUNCTION("""COMPUTED_VALUE"""),2)</f>
        <v>2</v>
      </c>
      <c r="O443" s="58" t="str">
        <f ca="1">IFERROR(__xludf.DUMMYFUNCTION("""COMPUTED_VALUE"""),"QUIET")</f>
        <v>QUIET</v>
      </c>
      <c r="P443" s="62">
        <f ca="1">IFERROR(__xludf.DUMMYFUNCTION("""COMPUTED_VALUE"""),2718.18)</f>
        <v>2718.18</v>
      </c>
      <c r="Q443" s="33" t="str">
        <f ca="1">IFERROR(__xludf.DUMMYFUNCTION("""COMPUTED_VALUE"""),"Maika Blázquez")</f>
        <v>Maika Blázquez</v>
      </c>
      <c r="R443" s="33" t="str">
        <f ca="1">IFERROR(__xludf.DUMMYFUNCTION("""COMPUTED_VALUE"""),"Adolfo Toledano Muñoz")</f>
        <v>Adolfo Toledano Muñoz</v>
      </c>
      <c r="S443" s="61" t="str">
        <f ca="1">IFERROR(__xludf.DUMMYFUNCTION("""COMPUTED_VALUE"""),"03 ORL")</f>
        <v>03 ORL</v>
      </c>
      <c r="T443" s="33" t="str">
        <f ca="1">IFERROR(__xludf.DUMMYFUNCTION("""COMPUTED_VALUE"""),"06 ORL")</f>
        <v>06 ORL</v>
      </c>
      <c r="U443" s="62"/>
      <c r="W443" s="62"/>
      <c r="X443" s="62"/>
    </row>
    <row r="444" spans="2:24" ht="16">
      <c r="B444" s="55" t="str">
        <f t="shared" si="1"/>
        <v/>
      </c>
      <c r="C444" s="64"/>
      <c r="D444" s="33" t="str">
        <f ca="1">IFERROR(__xludf.DUMMYFUNCTION("""COMPUTED_VALUE"""),"PROPIOS")</f>
        <v>PROPIOS</v>
      </c>
      <c r="E444" s="33">
        <f ca="1">IFERROR(__xludf.DUMMYFUNCTION("""COMPUTED_VALUE"""),2026)</f>
        <v>2026</v>
      </c>
      <c r="F444" s="56">
        <f ca="1">IFERROR(__xludf.DUMMYFUNCTION("""COMPUTED_VALUE"""),3)</f>
        <v>3</v>
      </c>
      <c r="G444" s="33" t="str">
        <f ca="1">IFERROR(__xludf.DUMMYFUNCTION("""COMPUTED_VALUE"""),"Jerez de la Frontera")</f>
        <v>Jerez de la Frontera</v>
      </c>
      <c r="H444" s="33" t="str">
        <f ca="1">IFERROR(__xludf.DUMMYFUNCTION("""COMPUTED_VALUE"""),"C202631310381793043")</f>
        <v>C202631310381793043</v>
      </c>
      <c r="I444" s="33" t="str">
        <f ca="1">IFERROR(__xludf.DUMMYFUNCTION("""COMPUTED_VALUE"""),"JUAN  RUIZ PEREZ")</f>
        <v>JUAN  RUIZ PEREZ</v>
      </c>
      <c r="J444" s="57">
        <f ca="1">IFERROR(__xludf.DUMMYFUNCTION("""COMPUTED_VALUE"""),46094)</f>
        <v>46094</v>
      </c>
      <c r="K444" s="33" t="str">
        <f ca="1">IFERROR(__xludf.DUMMYFUNCTION("""COMPUTED_VALUE"""),"Factura audífonos")</f>
        <v>Factura audífonos</v>
      </c>
      <c r="L444" s="57">
        <f ca="1">IFERROR(__xludf.DUMMYFUNCTION("""COMPUTED_VALUE"""),46108)</f>
        <v>46108</v>
      </c>
      <c r="M444" s="64" t="str">
        <f ca="1">IFERROR(__xludf.DUMMYFUNCTION("""COMPUTED_VALUE"""),"NO")</f>
        <v>NO</v>
      </c>
      <c r="N444" s="56">
        <f ca="1">IFERROR(__xludf.DUMMYFUNCTION("""COMPUTED_VALUE"""),2)</f>
        <v>2</v>
      </c>
      <c r="O444" s="64" t="str">
        <f ca="1">IFERROR(__xludf.DUMMYFUNCTION("""COMPUTED_VALUE"""),"QUIET")</f>
        <v>QUIET</v>
      </c>
      <c r="P444" s="62">
        <f ca="1">IFERROR(__xludf.DUMMYFUNCTION("""COMPUTED_VALUE"""),2918.18)</f>
        <v>2918.18</v>
      </c>
      <c r="Q444" s="33" t="str">
        <f ca="1">IFERROR(__xludf.DUMMYFUNCTION("""COMPUTED_VALUE"""),"Luis Alberto Rodríguez")</f>
        <v>Luis Alberto Rodríguez</v>
      </c>
      <c r="R444" s="33" t="str">
        <f ca="1">IFERROR(__xludf.DUMMYFUNCTION("""COMPUTED_VALUE"""),"No recuerda ORL")</f>
        <v>No recuerda ORL</v>
      </c>
      <c r="S444" s="61" t="str">
        <f ca="1">IFERROR(__xludf.DUMMYFUNCTION("""COMPUTED_VALUE"""),"03 ORL")</f>
        <v>03 ORL</v>
      </c>
      <c r="T444" s="33" t="str">
        <f ca="1">IFERROR(__xludf.DUMMYFUNCTION("""COMPUTED_VALUE"""),"06 ORL")</f>
        <v>06 ORL</v>
      </c>
      <c r="U444" s="62"/>
      <c r="W444" s="62"/>
      <c r="X444" s="62"/>
    </row>
    <row r="445" spans="2:24" ht="16">
      <c r="B445" s="55" t="str">
        <f t="shared" ca="1" si="1"/>
        <v>MBM</v>
      </c>
      <c r="C445" s="64" t="str">
        <f ca="1">IFERROR(__xludf.DUMMYFUNCTION("""COMPUTED_VALUE"""),"MBM149")</f>
        <v>MBM149</v>
      </c>
      <c r="D445" s="33" t="str">
        <f ca="1">IFERROR(__xludf.DUMMYFUNCTION("""COMPUTED_VALUE"""),"PROPIOS")</f>
        <v>PROPIOS</v>
      </c>
      <c r="E445" s="33">
        <f ca="1">IFERROR(__xludf.DUMMYFUNCTION("""COMPUTED_VALUE"""),2026)</f>
        <v>2026</v>
      </c>
      <c r="F445" s="56">
        <f ca="1">IFERROR(__xludf.DUMMYFUNCTION("""COMPUTED_VALUE"""),3)</f>
        <v>3</v>
      </c>
      <c r="G445" s="33" t="str">
        <f ca="1">IFERROR(__xludf.DUMMYFUNCTION("""COMPUTED_VALUE"""),"Toledo")</f>
        <v>Toledo</v>
      </c>
      <c r="H445" s="33" t="str">
        <f ca="1">IFERROR(__xludf.DUMMYFUNCTION("""COMPUTED_VALUE"""),"C202551611222412")</f>
        <v>C202551611222412</v>
      </c>
      <c r="I445" s="33" t="str">
        <f ca="1">IFERROR(__xludf.DUMMYFUNCTION("""COMPUTED_VALUE"""),"María Josefa  Calvo Aguado")</f>
        <v>María Josefa  Calvo Aguado</v>
      </c>
      <c r="J445" s="57">
        <f ca="1">IFERROR(__xludf.DUMMYFUNCTION("""COMPUTED_VALUE"""),45791)</f>
        <v>45791</v>
      </c>
      <c r="K445" s="33" t="str">
        <f ca="1">IFERROR(__xludf.DUMMYFUNCTION("""COMPUTED_VALUE"""),"Factura audífonos")</f>
        <v>Factura audífonos</v>
      </c>
      <c r="L445" s="57">
        <f ca="1">IFERROR(__xludf.DUMMYFUNCTION("""COMPUTED_VALUE"""),46108)</f>
        <v>46108</v>
      </c>
      <c r="M445" s="64" t="str">
        <f ca="1">IFERROR(__xludf.DUMMYFUNCTION("""COMPUTED_VALUE"""),"NO")</f>
        <v>NO</v>
      </c>
      <c r="N445" s="56">
        <f ca="1">IFERROR(__xludf.DUMMYFUNCTION("""COMPUTED_VALUE"""),2)</f>
        <v>2</v>
      </c>
      <c r="O445" s="64" t="str">
        <f ca="1">IFERROR(__xludf.DUMMYFUNCTION("""COMPUTED_VALUE"""),"QUIET")</f>
        <v>QUIET</v>
      </c>
      <c r="P445" s="62">
        <f ca="1">IFERROR(__xludf.DUMMYFUNCTION("""COMPUTED_VALUE"""),3181.82)</f>
        <v>3181.82</v>
      </c>
      <c r="Q445" s="33" t="str">
        <f ca="1">IFERROR(__xludf.DUMMYFUNCTION("""COMPUTED_VALUE"""),"Maika Blázquez")</f>
        <v>Maika Blázquez</v>
      </c>
      <c r="R445" s="33" t="str">
        <f ca="1">IFERROR(__xludf.DUMMYFUNCTION("""COMPUTED_VALUE"""),"María Garrote Garrote")</f>
        <v>María Garrote Garrote</v>
      </c>
      <c r="S445" s="61" t="str">
        <f ca="1">IFERROR(__xludf.DUMMYFUNCTION("""COMPUTED_VALUE"""),"03 ORL")</f>
        <v>03 ORL</v>
      </c>
      <c r="T445" s="33" t="str">
        <f ca="1">IFERROR(__xludf.DUMMYFUNCTION("""COMPUTED_VALUE"""),"22 AUDIOMETRIA CLINICA")</f>
        <v>22 AUDIOMETRIA CLINICA</v>
      </c>
      <c r="U445" s="62"/>
      <c r="W445" s="62"/>
      <c r="X445" s="62"/>
    </row>
    <row r="446" spans="2:24" ht="16">
      <c r="B446" s="55" t="str">
        <f t="shared" ca="1" si="1"/>
        <v>LRM</v>
      </c>
      <c r="C446" s="64" t="str">
        <f ca="1">IFERROR(__xludf.DUMMYFUNCTION("""COMPUTED_VALUE"""),"LRM239")</f>
        <v>LRM239</v>
      </c>
      <c r="D446" s="33" t="str">
        <f ca="1">IFERROR(__xludf.DUMMYFUNCTION("""COMPUTED_VALUE"""),"PROPIOS")</f>
        <v>PROPIOS</v>
      </c>
      <c r="E446" s="33">
        <f ca="1">IFERROR(__xludf.DUMMYFUNCTION("""COMPUTED_VALUE"""),2026)</f>
        <v>2026</v>
      </c>
      <c r="F446" s="56">
        <f ca="1">IFERROR(__xludf.DUMMYFUNCTION("""COMPUTED_VALUE"""),3)</f>
        <v>3</v>
      </c>
      <c r="G446" s="33" t="str">
        <f ca="1">IFERROR(__xludf.DUMMYFUNCTION("""COMPUTED_VALUE"""),"Madrid- Juan Bravo")</f>
        <v>Madrid- Juan Bravo</v>
      </c>
      <c r="H446" s="33" t="str">
        <f ca="1">IFERROR(__xludf.DUMMYFUNCTION("""COMPUTED_VALUE"""),"C20263393127841723")</f>
        <v>C20263393127841723</v>
      </c>
      <c r="I446" s="33" t="str">
        <f ca="1">IFERROR(__xludf.DUMMYFUNCTION("""COMPUTED_VALUE"""),"ISABEL  HERNANDEZ PEREZ")</f>
        <v>ISABEL  HERNANDEZ PEREZ</v>
      </c>
      <c r="J446" s="57">
        <f ca="1">IFERROR(__xludf.DUMMYFUNCTION("""COMPUTED_VALUE"""),46084)</f>
        <v>46084</v>
      </c>
      <c r="K446" s="33" t="str">
        <f ca="1">IFERROR(__xludf.DUMMYFUNCTION("""COMPUTED_VALUE"""),"Factura audífonos")</f>
        <v>Factura audífonos</v>
      </c>
      <c r="L446" s="57">
        <f ca="1">IFERROR(__xludf.DUMMYFUNCTION("""COMPUTED_VALUE"""),46108)</f>
        <v>46108</v>
      </c>
      <c r="M446" s="64" t="str">
        <f ca="1">IFERROR(__xludf.DUMMYFUNCTION("""COMPUTED_VALUE"""),"NO")</f>
        <v>NO</v>
      </c>
      <c r="N446" s="56">
        <f ca="1">IFERROR(__xludf.DUMMYFUNCTION("""COMPUTED_VALUE"""),1)</f>
        <v>1</v>
      </c>
      <c r="O446" s="64" t="str">
        <f ca="1">IFERROR(__xludf.DUMMYFUNCTION("""COMPUTED_VALUE"""),"ADVANCED")</f>
        <v>ADVANCED</v>
      </c>
      <c r="P446" s="62">
        <f ca="1">IFERROR(__xludf.DUMMYFUNCTION("""COMPUTED_VALUE"""),2481.82)</f>
        <v>2481.8200000000002</v>
      </c>
      <c r="Q446" s="33" t="str">
        <f ca="1">IFERROR(__xludf.DUMMYFUNCTION("""COMPUTED_VALUE"""),"Lisandro Russian")</f>
        <v>Lisandro Russian</v>
      </c>
      <c r="R446" s="33" t="str">
        <f ca="1">IFERROR(__xludf.DUMMYFUNCTION("""COMPUTED_VALUE"""),"Carlos Barajas del Rosal")</f>
        <v>Carlos Barajas del Rosal</v>
      </c>
      <c r="S446" s="61" t="str">
        <f ca="1">IFERROR(__xludf.DUMMYFUNCTION("""COMPUTED_VALUE"""),"03 ORL")</f>
        <v>03 ORL</v>
      </c>
      <c r="T446" s="33" t="str">
        <f ca="1">IFERROR(__xludf.DUMMYFUNCTION("""COMPUTED_VALUE"""),"06 ORL")</f>
        <v>06 ORL</v>
      </c>
      <c r="U446" s="62"/>
      <c r="W446" s="62"/>
      <c r="X446" s="62"/>
    </row>
    <row r="447" spans="2:24" ht="16">
      <c r="B447" s="55" t="str">
        <f t="shared" ca="1" si="1"/>
        <v>ISL</v>
      </c>
      <c r="C447" s="64" t="str">
        <f ca="1">IFERROR(__xludf.DUMMYFUNCTION("""COMPUTED_VALUE"""),"ISL41")</f>
        <v>ISL41</v>
      </c>
      <c r="D447" s="33" t="str">
        <f ca="1">IFERROR(__xludf.DUMMYFUNCTION("""COMPUTED_VALUE"""),"PROPIOS")</f>
        <v>PROPIOS</v>
      </c>
      <c r="E447" s="33">
        <f ca="1">IFERROR(__xludf.DUMMYFUNCTION("""COMPUTED_VALUE"""),2026)</f>
        <v>2026</v>
      </c>
      <c r="F447" s="56">
        <f ca="1">IFERROR(__xludf.DUMMYFUNCTION("""COMPUTED_VALUE"""),3)</f>
        <v>3</v>
      </c>
      <c r="G447" s="33" t="str">
        <f ca="1">IFERROR(__xludf.DUMMYFUNCTION("""COMPUTED_VALUE"""),"Albacete")</f>
        <v>Albacete</v>
      </c>
      <c r="H447" s="33" t="str">
        <f ca="1">IFERROR(__xludf.DUMMYFUNCTION("""COMPUTED_VALUE"""),"C202621917412256555")</f>
        <v>C202621917412256555</v>
      </c>
      <c r="I447" s="33" t="str">
        <f ca="1">IFERROR(__xludf.DUMMYFUNCTION("""COMPUTED_VALUE"""),"JOSE MATIAS ALONSO CASTILLO")</f>
        <v>JOSE MATIAS ALONSO CASTILLO</v>
      </c>
      <c r="J447" s="57">
        <f ca="1">IFERROR(__xludf.DUMMYFUNCTION("""COMPUTED_VALUE"""),46072)</f>
        <v>46072</v>
      </c>
      <c r="K447" s="33" t="str">
        <f ca="1">IFERROR(__xludf.DUMMYFUNCTION("""COMPUTED_VALUE"""),"Factura audífonos")</f>
        <v>Factura audífonos</v>
      </c>
      <c r="L447" s="57">
        <f ca="1">IFERROR(__xludf.DUMMYFUNCTION("""COMPUTED_VALUE"""),46108)</f>
        <v>46108</v>
      </c>
      <c r="M447" s="64" t="str">
        <f ca="1">IFERROR(__xludf.DUMMYFUNCTION("""COMPUTED_VALUE"""),"NO")</f>
        <v>NO</v>
      </c>
      <c r="N447" s="56">
        <f ca="1">IFERROR(__xludf.DUMMYFUNCTION("""COMPUTED_VALUE"""),2)</f>
        <v>2</v>
      </c>
      <c r="O447" s="64" t="str">
        <f ca="1">IFERROR(__xludf.DUMMYFUNCTION("""COMPUTED_VALUE"""),"QUIET")</f>
        <v>QUIET</v>
      </c>
      <c r="P447" s="62">
        <f ca="1">IFERROR(__xludf.DUMMYFUNCTION("""COMPUTED_VALUE"""),2918.18)</f>
        <v>2918.18</v>
      </c>
      <c r="Q447" s="33" t="str">
        <f ca="1">IFERROR(__xludf.DUMMYFUNCTION("""COMPUTED_VALUE"""),"Iván Sánchez")</f>
        <v>Iván Sánchez</v>
      </c>
      <c r="R447" s="33" t="str">
        <f ca="1">IFERROR(__xludf.DUMMYFUNCTION("""COMPUTED_VALUE"""),"Javier García-Dueñas González")</f>
        <v>Javier García-Dueñas González</v>
      </c>
      <c r="S447" s="61" t="str">
        <f ca="1">IFERROR(__xludf.DUMMYFUNCTION("""COMPUTED_VALUE"""),"03 ORL")</f>
        <v>03 ORL</v>
      </c>
      <c r="T447" s="33" t="str">
        <f ca="1">IFERROR(__xludf.DUMMYFUNCTION("""COMPUTED_VALUE"""),"06 ORL")</f>
        <v>06 ORL</v>
      </c>
      <c r="U447" s="62"/>
      <c r="W447" s="62"/>
      <c r="X447" s="62"/>
    </row>
    <row r="448" spans="2:24" ht="16">
      <c r="B448" s="55" t="str">
        <f t="shared" ca="1" si="1"/>
        <v>MBM</v>
      </c>
      <c r="C448" s="64" t="str">
        <f ca="1">IFERROR(__xludf.DUMMYFUNCTION("""COMPUTED_VALUE"""),"MBM50")</f>
        <v>MBM50</v>
      </c>
      <c r="D448" s="33" t="str">
        <f ca="1">IFERROR(__xludf.DUMMYFUNCTION("""COMPUTED_VALUE"""),"PROPIOS")</f>
        <v>PROPIOS</v>
      </c>
      <c r="E448" s="33">
        <f ca="1">IFERROR(__xludf.DUMMYFUNCTION("""COMPUTED_VALUE"""),2026)</f>
        <v>2026</v>
      </c>
      <c r="F448" s="56">
        <f ca="1">IFERROR(__xludf.DUMMYFUNCTION("""COMPUTED_VALUE"""),3)</f>
        <v>3</v>
      </c>
      <c r="G448" s="33" t="str">
        <f ca="1">IFERROR(__xludf.DUMMYFUNCTION("""COMPUTED_VALUE"""),"Madrid- Canillas")</f>
        <v>Madrid- Canillas</v>
      </c>
      <c r="H448" s="33" t="str">
        <f ca="1">IFERROR(__xludf.DUMMYFUNCTION("""COMPUTED_VALUE"""),"C20263410838508549")</f>
        <v>C20263410838508549</v>
      </c>
      <c r="I448" s="33" t="str">
        <f ca="1">IFERROR(__xludf.DUMMYFUNCTION("""COMPUTED_VALUE"""),"MARÍA LÓPEZ SACRISTÁN")</f>
        <v>MARÍA LÓPEZ SACRISTÁN</v>
      </c>
      <c r="J448" s="57">
        <f ca="1">IFERROR(__xludf.DUMMYFUNCTION("""COMPUTED_VALUE"""),46085)</f>
        <v>46085</v>
      </c>
      <c r="K448" s="33" t="str">
        <f ca="1">IFERROR(__xludf.DUMMYFUNCTION("""COMPUTED_VALUE"""),"Factura audífonos")</f>
        <v>Factura audífonos</v>
      </c>
      <c r="L448" s="57">
        <f ca="1">IFERROR(__xludf.DUMMYFUNCTION("""COMPUTED_VALUE"""),46108)</f>
        <v>46108</v>
      </c>
      <c r="M448" s="64" t="str">
        <f ca="1">IFERROR(__xludf.DUMMYFUNCTION("""COMPUTED_VALUE"""),"NO")</f>
        <v>NO</v>
      </c>
      <c r="N448" s="56">
        <f ca="1">IFERROR(__xludf.DUMMYFUNCTION("""COMPUTED_VALUE"""),2)</f>
        <v>2</v>
      </c>
      <c r="O448" s="64" t="str">
        <f ca="1">IFERROR(__xludf.DUMMYFUNCTION("""COMPUTED_VALUE"""),"PRO")</f>
        <v>PRO</v>
      </c>
      <c r="P448" s="62">
        <f ca="1">IFERROR(__xludf.DUMMYFUNCTION("""COMPUTED_VALUE"""),4536.36)</f>
        <v>4536.3599999999997</v>
      </c>
      <c r="Q448" s="33" t="str">
        <f ca="1">IFERROR(__xludf.DUMMYFUNCTION("""COMPUTED_VALUE"""),"Maika Blázquez")</f>
        <v>Maika Blázquez</v>
      </c>
      <c r="R448" s="33" t="str">
        <f ca="1">IFERROR(__xludf.DUMMYFUNCTION("""COMPUTED_VALUE"""),"José Gustavo Barroso Braojos")</f>
        <v>José Gustavo Barroso Braojos</v>
      </c>
      <c r="S448" s="61" t="str">
        <f ca="1">IFERROR(__xludf.DUMMYFUNCTION("""COMPUTED_VALUE"""),"03 ORL")</f>
        <v>03 ORL</v>
      </c>
      <c r="T448" s="33" t="str">
        <f ca="1">IFERROR(__xludf.DUMMYFUNCTION("""COMPUTED_VALUE"""),"06 ORL")</f>
        <v>06 ORL</v>
      </c>
      <c r="U448" s="62"/>
      <c r="W448" s="62"/>
      <c r="X448" s="62"/>
    </row>
    <row r="449" spans="2:24" ht="16">
      <c r="B449" s="55" t="str">
        <f t="shared" ca="1" si="1"/>
        <v>MBM</v>
      </c>
      <c r="C449" s="64" t="str">
        <f ca="1">IFERROR(__xludf.DUMMYFUNCTION("""COMPUTED_VALUE"""),"MBM50")</f>
        <v>MBM50</v>
      </c>
      <c r="D449" s="33" t="str">
        <f ca="1">IFERROR(__xludf.DUMMYFUNCTION("""COMPUTED_VALUE"""),"PROPIOS")</f>
        <v>PROPIOS</v>
      </c>
      <c r="E449" s="33">
        <f ca="1">IFERROR(__xludf.DUMMYFUNCTION("""COMPUTED_VALUE"""),2026)</f>
        <v>2026</v>
      </c>
      <c r="F449" s="56">
        <f ca="1">IFERROR(__xludf.DUMMYFUNCTION("""COMPUTED_VALUE"""),3)</f>
        <v>3</v>
      </c>
      <c r="G449" s="33" t="str">
        <f ca="1">IFERROR(__xludf.DUMMYFUNCTION("""COMPUTED_VALUE"""),"Madrid- Canillas")</f>
        <v>Madrid- Canillas</v>
      </c>
      <c r="H449" s="33" t="str">
        <f ca="1">IFERROR(__xludf.DUMMYFUNCTION("""COMPUTED_VALUE"""),"C202632393140116305")</f>
        <v>C202632393140116305</v>
      </c>
      <c r="I449" s="33" t="str">
        <f ca="1">IFERROR(__xludf.DUMMYFUNCTION("""COMPUTED_VALUE"""),"AVELINO GONZÁLEZ MARTÍNEZ")</f>
        <v>AVELINO GONZÁLEZ MARTÍNEZ</v>
      </c>
      <c r="J449" s="57">
        <f ca="1">IFERROR(__xludf.DUMMYFUNCTION("""COMPUTED_VALUE"""),46104)</f>
        <v>46104</v>
      </c>
      <c r="K449" s="33" t="str">
        <f ca="1">IFERROR(__xludf.DUMMYFUNCTION("""COMPUTED_VALUE"""),"Factura audífonos")</f>
        <v>Factura audífonos</v>
      </c>
      <c r="L449" s="57">
        <f ca="1">IFERROR(__xludf.DUMMYFUNCTION("""COMPUTED_VALUE"""),46108)</f>
        <v>46108</v>
      </c>
      <c r="M449" s="64" t="str">
        <f ca="1">IFERROR(__xludf.DUMMYFUNCTION("""COMPUTED_VALUE"""),"NO")</f>
        <v>NO</v>
      </c>
      <c r="N449" s="56">
        <f ca="1">IFERROR(__xludf.DUMMYFUNCTION("""COMPUTED_VALUE"""),2)</f>
        <v>2</v>
      </c>
      <c r="O449" s="64" t="str">
        <f ca="1">IFERROR(__xludf.DUMMYFUNCTION("""COMPUTED_VALUE"""),"CONFORT")</f>
        <v>CONFORT</v>
      </c>
      <c r="P449" s="62">
        <f ca="1">IFERROR(__xludf.DUMMYFUNCTION("""COMPUTED_VALUE"""),3631.73)</f>
        <v>3631.73</v>
      </c>
      <c r="Q449" s="33" t="str">
        <f ca="1">IFERROR(__xludf.DUMMYFUNCTION("""COMPUTED_VALUE"""),"Maika Blázquez")</f>
        <v>Maika Blázquez</v>
      </c>
      <c r="R449" s="33" t="str">
        <f ca="1">IFERROR(__xludf.DUMMYFUNCTION("""COMPUTED_VALUE"""),"José Gustavo Barroso Braojos")</f>
        <v>José Gustavo Barroso Braojos</v>
      </c>
      <c r="S449" s="61" t="str">
        <f ca="1">IFERROR(__xludf.DUMMYFUNCTION("""COMPUTED_VALUE"""),"03 ORL")</f>
        <v>03 ORL</v>
      </c>
      <c r="T449" s="33" t="str">
        <f ca="1">IFERROR(__xludf.DUMMYFUNCTION("""COMPUTED_VALUE"""),"06 ORL")</f>
        <v>06 ORL</v>
      </c>
      <c r="U449" s="62"/>
      <c r="W449" s="62"/>
      <c r="X449" s="62"/>
    </row>
    <row r="450" spans="2:24" ht="16">
      <c r="B450" s="55" t="str">
        <f t="shared" ca="1" si="1"/>
        <v>MBM</v>
      </c>
      <c r="C450" s="64" t="str">
        <f ca="1">IFERROR(__xludf.DUMMYFUNCTION("""COMPUTED_VALUE"""),"MBM50")</f>
        <v>MBM50</v>
      </c>
      <c r="D450" s="33" t="str">
        <f ca="1">IFERROR(__xludf.DUMMYFUNCTION("""COMPUTED_VALUE"""),"PROPIOS")</f>
        <v>PROPIOS</v>
      </c>
      <c r="E450" s="33">
        <f ca="1">IFERROR(__xludf.DUMMYFUNCTION("""COMPUTED_VALUE"""),2026)</f>
        <v>2026</v>
      </c>
      <c r="F450" s="56">
        <f ca="1">IFERROR(__xludf.DUMMYFUNCTION("""COMPUTED_VALUE"""),3)</f>
        <v>3</v>
      </c>
      <c r="G450" s="33" t="str">
        <f ca="1">IFERROR(__xludf.DUMMYFUNCTION("""COMPUTED_VALUE"""),"Madrid- Monforte de Lemos")</f>
        <v>Madrid- Monforte de Lemos</v>
      </c>
      <c r="H450" s="33" t="str">
        <f ca="1">IFERROR(__xludf.DUMMYFUNCTION("""COMPUTED_VALUE"""),"C2026331215182231")</f>
        <v>C2026331215182231</v>
      </c>
      <c r="I450" s="33" t="str">
        <f ca="1">IFERROR(__xludf.DUMMYFUNCTION("""COMPUTED_VALUE"""),"ANA MARÍA  MUNARRIZ PÉREZ")</f>
        <v>ANA MARÍA  MUNARRIZ PÉREZ</v>
      </c>
      <c r="J450" s="57">
        <f ca="1">IFERROR(__xludf.DUMMYFUNCTION("""COMPUTED_VALUE"""),46084)</f>
        <v>46084</v>
      </c>
      <c r="K450" s="33" t="str">
        <f ca="1">IFERROR(__xludf.DUMMYFUNCTION("""COMPUTED_VALUE"""),"Factura audífonos")</f>
        <v>Factura audífonos</v>
      </c>
      <c r="L450" s="57">
        <f ca="1">IFERROR(__xludf.DUMMYFUNCTION("""COMPUTED_VALUE"""),46108)</f>
        <v>46108</v>
      </c>
      <c r="M450" s="64" t="str">
        <f ca="1">IFERROR(__xludf.DUMMYFUNCTION("""COMPUTED_VALUE"""),"NO")</f>
        <v>NO</v>
      </c>
      <c r="N450" s="56">
        <f ca="1">IFERROR(__xludf.DUMMYFUNCTION("""COMPUTED_VALUE"""),2)</f>
        <v>2</v>
      </c>
      <c r="O450" s="64" t="str">
        <f ca="1">IFERROR(__xludf.DUMMYFUNCTION("""COMPUTED_VALUE"""),"QUIET")</f>
        <v>QUIET</v>
      </c>
      <c r="P450" s="62">
        <f ca="1">IFERROR(__xludf.DUMMYFUNCTION("""COMPUTED_VALUE"""),2718.18)</f>
        <v>2718.18</v>
      </c>
      <c r="Q450" s="33" t="str">
        <f ca="1">IFERROR(__xludf.DUMMYFUNCTION("""COMPUTED_VALUE"""),"Maika Blázquez")</f>
        <v>Maika Blázquez</v>
      </c>
      <c r="R450" s="33" t="str">
        <f ca="1">IFERROR(__xludf.DUMMYFUNCTION("""COMPUTED_VALUE"""),"José Gustavo Barroso Braojos")</f>
        <v>José Gustavo Barroso Braojos</v>
      </c>
      <c r="S450" s="61" t="str">
        <f ca="1">IFERROR(__xludf.DUMMYFUNCTION("""COMPUTED_VALUE"""),"03 ORL")</f>
        <v>03 ORL</v>
      </c>
      <c r="T450" s="33" t="str">
        <f ca="1">IFERROR(__xludf.DUMMYFUNCTION("""COMPUTED_VALUE"""),"06 ORL")</f>
        <v>06 ORL</v>
      </c>
      <c r="U450" s="62"/>
      <c r="W450" s="62"/>
      <c r="X450" s="62"/>
    </row>
    <row r="451" spans="2:24" ht="16">
      <c r="B451" s="55" t="str">
        <f t="shared" ca="1" si="1"/>
        <v>ISL</v>
      </c>
      <c r="C451" s="64" t="str">
        <f ca="1">IFERROR(__xludf.DUMMYFUNCTION("""COMPUTED_VALUE"""),"ISL14")</f>
        <v>ISL14</v>
      </c>
      <c r="D451" s="33" t="str">
        <f ca="1">IFERROR(__xludf.DUMMYFUNCTION("""COMPUTED_VALUE"""),"PARTICIPADOS")</f>
        <v>PARTICIPADOS</v>
      </c>
      <c r="E451" s="33">
        <f ca="1">IFERROR(__xludf.DUMMYFUNCTION("""COMPUTED_VALUE"""),2026)</f>
        <v>2026</v>
      </c>
      <c r="F451" s="56">
        <f ca="1">IFERROR(__xludf.DUMMYFUNCTION("""COMPUTED_VALUE"""),3)</f>
        <v>3</v>
      </c>
      <c r="G451" s="33" t="str">
        <f ca="1">IFERROR(__xludf.DUMMYFUNCTION("""COMPUTED_VALUE"""),"Madrid- Galileo")</f>
        <v>Madrid- Galileo</v>
      </c>
      <c r="H451" s="33" t="str">
        <f ca="1">IFERROR(__xludf.DUMMYFUNCTION("""COMPUTED_VALUE"""),"C202622592914979233")</f>
        <v>C202622592914979233</v>
      </c>
      <c r="I451" s="33" t="str">
        <f ca="1">IFERROR(__xludf.DUMMYFUNCTION("""COMPUTED_VALUE"""),"RUTH VIVAS FERMIN")</f>
        <v>RUTH VIVAS FERMIN</v>
      </c>
      <c r="J451" s="57">
        <f ca="1">IFERROR(__xludf.DUMMYFUNCTION("""COMPUTED_VALUE"""),46078)</f>
        <v>46078</v>
      </c>
      <c r="K451" s="33" t="str">
        <f ca="1">IFERROR(__xludf.DUMMYFUNCTION("""COMPUTED_VALUE"""),"Factura audífonos")</f>
        <v>Factura audífonos</v>
      </c>
      <c r="L451" s="57">
        <f ca="1">IFERROR(__xludf.DUMMYFUNCTION("""COMPUTED_VALUE"""),46108)</f>
        <v>46108</v>
      </c>
      <c r="M451" s="64" t="str">
        <f ca="1">IFERROR(__xludf.DUMMYFUNCTION("""COMPUTED_VALUE"""),"NO")</f>
        <v>NO</v>
      </c>
      <c r="N451" s="56">
        <f ca="1">IFERROR(__xludf.DUMMYFUNCTION("""COMPUTED_VALUE"""),1)</f>
        <v>1</v>
      </c>
      <c r="O451" s="64" t="str">
        <f ca="1">IFERROR(__xludf.DUMMYFUNCTION("""COMPUTED_VALUE"""),"CONFORT")</f>
        <v>CONFORT</v>
      </c>
      <c r="P451" s="62">
        <f ca="1">IFERROR(__xludf.DUMMYFUNCTION("""COMPUTED_VALUE"""),2180.91)</f>
        <v>2180.91</v>
      </c>
      <c r="Q451" s="33" t="str">
        <f ca="1">IFERROR(__xludf.DUMMYFUNCTION("""COMPUTED_VALUE"""),"Iván Sánchez")</f>
        <v>Iván Sánchez</v>
      </c>
      <c r="R451" s="33" t="str">
        <f ca="1">IFERROR(__xludf.DUMMYFUNCTION("""COMPUTED_VALUE"""),"Carlos Velásquez Fermín")</f>
        <v>Carlos Velásquez Fermín</v>
      </c>
      <c r="S451" s="61" t="str">
        <f ca="1">IFERROR(__xludf.DUMMYFUNCTION("""COMPUTED_VALUE"""),"03 ORL")</f>
        <v>03 ORL</v>
      </c>
      <c r="T451" s="33" t="str">
        <f ca="1">IFERROR(__xludf.DUMMYFUNCTION("""COMPUTED_VALUE"""),"06 ORL")</f>
        <v>06 ORL</v>
      </c>
      <c r="U451" s="62"/>
      <c r="W451" s="62"/>
      <c r="X451" s="62"/>
    </row>
    <row r="452" spans="2:24" ht="16">
      <c r="B452" s="55" t="str">
        <f t="shared" ca="1" si="1"/>
        <v>LAA</v>
      </c>
      <c r="C452" s="64" t="str">
        <f ca="1">IFERROR(__xludf.DUMMYFUNCTION("""COMPUTED_VALUE"""),"LAA78")</f>
        <v>LAA78</v>
      </c>
      <c r="D452" s="33" t="str">
        <f ca="1">IFERROR(__xludf.DUMMYFUNCTION("""COMPUTED_VALUE"""),"PROPIOS")</f>
        <v>PROPIOS</v>
      </c>
      <c r="E452" s="33">
        <f ca="1">IFERROR(__xludf.DUMMYFUNCTION("""COMPUTED_VALUE"""),2026)</f>
        <v>2026</v>
      </c>
      <c r="F452" s="56">
        <f ca="1">IFERROR(__xludf.DUMMYFUNCTION("""COMPUTED_VALUE"""),3)</f>
        <v>3</v>
      </c>
      <c r="G452" s="33" t="str">
        <f ca="1">IFERROR(__xludf.DUMMYFUNCTION("""COMPUTED_VALUE"""),"Jerez de la Frontera")</f>
        <v>Jerez de la Frontera</v>
      </c>
      <c r="H452" s="33" t="str">
        <f ca="1">IFERROR(__xludf.DUMMYFUNCTION("""COMPUTED_VALUE"""),"C20263285511881800")</f>
        <v>C20263285511881800</v>
      </c>
      <c r="I452" s="33" t="str">
        <f ca="1">IFERROR(__xludf.DUMMYFUNCTION("""COMPUTED_VALUE"""),"MIGUEL ANGEL  CASTILLEJO LOPEZ")</f>
        <v>MIGUEL ANGEL  CASTILLEJO LOPEZ</v>
      </c>
      <c r="J452" s="57">
        <f ca="1">IFERROR(__xludf.DUMMYFUNCTION("""COMPUTED_VALUE"""),46083)</f>
        <v>46083</v>
      </c>
      <c r="K452" s="33" t="str">
        <f ca="1">IFERROR(__xludf.DUMMYFUNCTION("""COMPUTED_VALUE"""),"Factura audífonos")</f>
        <v>Factura audífonos</v>
      </c>
      <c r="L452" s="57">
        <f ca="1">IFERROR(__xludf.DUMMYFUNCTION("""COMPUTED_VALUE"""),46108)</f>
        <v>46108</v>
      </c>
      <c r="M452" s="64" t="str">
        <f ca="1">IFERROR(__xludf.DUMMYFUNCTION("""COMPUTED_VALUE"""),"NO")</f>
        <v>NO</v>
      </c>
      <c r="N452" s="56">
        <f ca="1">IFERROR(__xludf.DUMMYFUNCTION("""COMPUTED_VALUE"""),1)</f>
        <v>1</v>
      </c>
      <c r="O452" s="64" t="str">
        <f ca="1">IFERROR(__xludf.DUMMYFUNCTION("""COMPUTED_VALUE"""),"PRO")</f>
        <v>PRO</v>
      </c>
      <c r="P452" s="62">
        <f ca="1">IFERROR(__xludf.DUMMYFUNCTION("""COMPUTED_VALUE"""),2722.73)</f>
        <v>2722.73</v>
      </c>
      <c r="Q452" s="33" t="str">
        <f ca="1">IFERROR(__xludf.DUMMYFUNCTION("""COMPUTED_VALUE"""),"Luis Alberto Rodríguez")</f>
        <v>Luis Alberto Rodríguez</v>
      </c>
      <c r="R452" s="33" t="str">
        <f ca="1">IFERROR(__xludf.DUMMYFUNCTION("""COMPUTED_VALUE"""),"Maria Del Carmen Salom Coveñas")</f>
        <v>Maria Del Carmen Salom Coveñas</v>
      </c>
      <c r="S452" s="61" t="str">
        <f ca="1">IFERROR(__xludf.DUMMYFUNCTION("""COMPUTED_VALUE"""),"03 ORL")</f>
        <v>03 ORL</v>
      </c>
      <c r="T452" s="33" t="str">
        <f ca="1">IFERROR(__xludf.DUMMYFUNCTION("""COMPUTED_VALUE"""),"06 ORL")</f>
        <v>06 ORL</v>
      </c>
      <c r="U452" s="62"/>
      <c r="W452" s="62"/>
      <c r="X452" s="62"/>
    </row>
    <row r="453" spans="2:24" ht="16">
      <c r="B453" s="55" t="str">
        <f t="shared" ca="1" si="1"/>
        <v>RFV</v>
      </c>
      <c r="C453" s="64" t="str">
        <f ca="1">IFERROR(__xludf.DUMMYFUNCTION("""COMPUTED_VALUE"""),"RFV24")</f>
        <v>RFV24</v>
      </c>
      <c r="D453" s="33" t="str">
        <f ca="1">IFERROR(__xludf.DUMMYFUNCTION("""COMPUTED_VALUE"""),"PROPIOS")</f>
        <v>PROPIOS</v>
      </c>
      <c r="E453" s="33">
        <f ca="1">IFERROR(__xludf.DUMMYFUNCTION("""COMPUTED_VALUE"""),2026)</f>
        <v>2026</v>
      </c>
      <c r="F453" s="56">
        <f ca="1">IFERROR(__xludf.DUMMYFUNCTION("""COMPUTED_VALUE"""),3)</f>
        <v>3</v>
      </c>
      <c r="G453" s="33" t="str">
        <f ca="1">IFERROR(__xludf.DUMMYFUNCTION("""COMPUTED_VALUE"""),"Valencia- Parra")</f>
        <v>Valencia- Parra</v>
      </c>
      <c r="H453" s="33" t="str">
        <f ca="1">IFERROR(__xludf.DUMMYFUNCTION("""COMPUTED_VALUE"""),"C202612310284907484")</f>
        <v>C202612310284907484</v>
      </c>
      <c r="I453" s="33" t="str">
        <f ca="1">IFERROR(__xludf.DUMMYFUNCTION("""COMPUTED_VALUE"""),"RAUL SORIA PINEL")</f>
        <v>RAUL SORIA PINEL</v>
      </c>
      <c r="J453" s="57">
        <f ca="1">IFERROR(__xludf.DUMMYFUNCTION("""COMPUTED_VALUE"""),46045)</f>
        <v>46045</v>
      </c>
      <c r="K453" s="33" t="str">
        <f ca="1">IFERROR(__xludf.DUMMYFUNCTION("""COMPUTED_VALUE"""),"Factura audífonos")</f>
        <v>Factura audífonos</v>
      </c>
      <c r="L453" s="57">
        <f ca="1">IFERROR(__xludf.DUMMYFUNCTION("""COMPUTED_VALUE"""),46111)</f>
        <v>46111</v>
      </c>
      <c r="M453" s="64" t="str">
        <f ca="1">IFERROR(__xludf.DUMMYFUNCTION("""COMPUTED_VALUE"""),"NO")</f>
        <v>NO</v>
      </c>
      <c r="N453" s="56">
        <f ca="1">IFERROR(__xludf.DUMMYFUNCTION("""COMPUTED_VALUE"""),2)</f>
        <v>2</v>
      </c>
      <c r="O453" s="64" t="str">
        <f ca="1">IFERROR(__xludf.DUMMYFUNCTION("""COMPUTED_VALUE"""),"QUIET")</f>
        <v>QUIET</v>
      </c>
      <c r="P453" s="62">
        <f ca="1">IFERROR(__xludf.DUMMYFUNCTION("""COMPUTED_VALUE"""),2718.18)</f>
        <v>2718.18</v>
      </c>
      <c r="Q453" s="33" t="str">
        <f ca="1">IFERROR(__xludf.DUMMYFUNCTION("""COMPUTED_VALUE"""),"Ramon Ferrando")</f>
        <v>Ramon Ferrando</v>
      </c>
      <c r="R453" s="33" t="str">
        <f ca="1">IFERROR(__xludf.DUMMYFUNCTION("""COMPUTED_VALUE"""),"Raimon García Chillerón")</f>
        <v>Raimon García Chillerón</v>
      </c>
      <c r="S453" s="61" t="str">
        <f ca="1">IFERROR(__xludf.DUMMYFUNCTION("""COMPUTED_VALUE"""),"03 ORL")</f>
        <v>03 ORL</v>
      </c>
      <c r="T453" s="33" t="str">
        <f ca="1">IFERROR(__xludf.DUMMYFUNCTION("""COMPUTED_VALUE"""),"06 ORL")</f>
        <v>06 ORL</v>
      </c>
      <c r="U453" s="62"/>
      <c r="W453" s="62"/>
      <c r="X453" s="62"/>
    </row>
    <row r="454" spans="2:24" ht="16">
      <c r="B454" s="55" t="str">
        <f t="shared" ca="1" si="1"/>
        <v>RFV</v>
      </c>
      <c r="C454" s="64" t="str">
        <f ca="1">IFERROR(__xludf.DUMMYFUNCTION("""COMPUTED_VALUE"""),"RFV42")</f>
        <v>RFV42</v>
      </c>
      <c r="D454" s="33" t="str">
        <f ca="1">IFERROR(__xludf.DUMMYFUNCTION("""COMPUTED_VALUE"""),"PROPIOS")</f>
        <v>PROPIOS</v>
      </c>
      <c r="E454" s="33">
        <f ca="1">IFERROR(__xludf.DUMMYFUNCTION("""COMPUTED_VALUE"""),2026)</f>
        <v>2026</v>
      </c>
      <c r="F454" s="56">
        <f ca="1">IFERROR(__xludf.DUMMYFUNCTION("""COMPUTED_VALUE"""),3)</f>
        <v>3</v>
      </c>
      <c r="G454" s="33" t="str">
        <f ca="1">IFERROR(__xludf.DUMMYFUNCTION("""COMPUTED_VALUE"""),"El Albir (Benidorm)")</f>
        <v>El Albir (Benidorm)</v>
      </c>
      <c r="H454" s="33" t="str">
        <f ca="1">IFERROR(__xludf.DUMMYFUNCTION("""COMPUTED_VALUE"""),"C202618165718382638")</f>
        <v>C202618165718382638</v>
      </c>
      <c r="I454" s="33" t="str">
        <f ca="1">IFERROR(__xludf.DUMMYFUNCTION("""COMPUTED_VALUE"""),"ENCARNA  DIAZ HORTELANO")</f>
        <v>ENCARNA  DIAZ HORTELANO</v>
      </c>
      <c r="J454" s="57">
        <f ca="1">IFERROR(__xludf.DUMMYFUNCTION("""COMPUTED_VALUE"""),46030)</f>
        <v>46030</v>
      </c>
      <c r="K454" s="33" t="str">
        <f ca="1">IFERROR(__xludf.DUMMYFUNCTION("""COMPUTED_VALUE"""),"Factura audífonos")</f>
        <v>Factura audífonos</v>
      </c>
      <c r="L454" s="57">
        <f ca="1">IFERROR(__xludf.DUMMYFUNCTION("""COMPUTED_VALUE"""),46111)</f>
        <v>46111</v>
      </c>
      <c r="M454" s="64" t="str">
        <f ca="1">IFERROR(__xludf.DUMMYFUNCTION("""COMPUTED_VALUE"""),"NO")</f>
        <v>NO</v>
      </c>
      <c r="N454" s="56">
        <f ca="1">IFERROR(__xludf.DUMMYFUNCTION("""COMPUTED_VALUE"""),2)</f>
        <v>2</v>
      </c>
      <c r="O454" s="64" t="str">
        <f ca="1">IFERROR(__xludf.DUMMYFUNCTION("""COMPUTED_VALUE"""),"QUIET")</f>
        <v>QUIET</v>
      </c>
      <c r="P454" s="62">
        <f ca="1">IFERROR(__xludf.DUMMYFUNCTION("""COMPUTED_VALUE"""),2582.27)</f>
        <v>2582.27</v>
      </c>
      <c r="Q454" s="33" t="str">
        <f ca="1">IFERROR(__xludf.DUMMYFUNCTION("""COMPUTED_VALUE"""),"Iván Sánchez")</f>
        <v>Iván Sánchez</v>
      </c>
      <c r="R454" s="33" t="str">
        <f ca="1">IFERROR(__xludf.DUMMYFUNCTION("""COMPUTED_VALUE"""),"Salwa Laraqui Hossini")</f>
        <v>Salwa Laraqui Hossini</v>
      </c>
      <c r="S454" s="61" t="str">
        <f ca="1">IFERROR(__xludf.DUMMYFUNCTION("""COMPUTED_VALUE"""),"03 ORL")</f>
        <v>03 ORL</v>
      </c>
      <c r="T454" s="33" t="str">
        <f ca="1">IFERROR(__xludf.DUMMYFUNCTION("""COMPUTED_VALUE"""),"06 ORL")</f>
        <v>06 ORL</v>
      </c>
      <c r="U454" s="62"/>
      <c r="W454" s="62"/>
      <c r="X454" s="62"/>
    </row>
    <row r="455" spans="2:24" ht="16">
      <c r="B455" s="55" t="str">
        <f t="shared" ca="1" si="1"/>
        <v>ISL</v>
      </c>
      <c r="C455" s="64" t="str">
        <f ca="1">IFERROR(__xludf.DUMMYFUNCTION("""COMPUTED_VALUE"""),"ISL116")</f>
        <v>ISL116</v>
      </c>
      <c r="D455" s="33" t="str">
        <f ca="1">IFERROR(__xludf.DUMMYFUNCTION("""COMPUTED_VALUE"""),"PROPIOS")</f>
        <v>PROPIOS</v>
      </c>
      <c r="E455" s="33">
        <f ca="1">IFERROR(__xludf.DUMMYFUNCTION("""COMPUTED_VALUE"""),2026)</f>
        <v>2026</v>
      </c>
      <c r="F455" s="56">
        <f ca="1">IFERROR(__xludf.DUMMYFUNCTION("""COMPUTED_VALUE"""),3)</f>
        <v>3</v>
      </c>
      <c r="G455" s="33" t="str">
        <f ca="1">IFERROR(__xludf.DUMMYFUNCTION("""COMPUTED_VALUE"""),"Alicante")</f>
        <v>Alicante</v>
      </c>
      <c r="H455" s="33" t="str">
        <f ca="1">IFERROR(__xludf.DUMMYFUNCTION("""COMPUTED_VALUE"""),"C202639162646500411")</f>
        <v>C202639162646500411</v>
      </c>
      <c r="I455" s="33" t="str">
        <f ca="1">IFERROR(__xludf.DUMMYFUNCTION("""COMPUTED_VALUE"""),"MAONNG LI")</f>
        <v>MAONNG LI</v>
      </c>
      <c r="J455" s="57">
        <f ca="1">IFERROR(__xludf.DUMMYFUNCTION("""COMPUTED_VALUE"""),46090)</f>
        <v>46090</v>
      </c>
      <c r="K455" s="33" t="str">
        <f ca="1">IFERROR(__xludf.DUMMYFUNCTION("""COMPUTED_VALUE"""),"Factura audífonos")</f>
        <v>Factura audífonos</v>
      </c>
      <c r="L455" s="57">
        <f ca="1">IFERROR(__xludf.DUMMYFUNCTION("""COMPUTED_VALUE"""),46111)</f>
        <v>46111</v>
      </c>
      <c r="M455" s="64" t="str">
        <f ca="1">IFERROR(__xludf.DUMMYFUNCTION("""COMPUTED_VALUE"""),"NO")</f>
        <v>NO</v>
      </c>
      <c r="N455" s="56">
        <f ca="1">IFERROR(__xludf.DUMMYFUNCTION("""COMPUTED_VALUE"""),2)</f>
        <v>2</v>
      </c>
      <c r="O455" s="64" t="str">
        <f ca="1">IFERROR(__xludf.DUMMYFUNCTION("""COMPUTED_VALUE"""),"QUIET")</f>
        <v>QUIET</v>
      </c>
      <c r="P455" s="62">
        <f ca="1">IFERROR(__xludf.DUMMYFUNCTION("""COMPUTED_VALUE"""),2718.18)</f>
        <v>2718.18</v>
      </c>
      <c r="Q455" s="33" t="str">
        <f ca="1">IFERROR(__xludf.DUMMYFUNCTION("""COMPUTED_VALUE"""),"Iván Sánchez")</f>
        <v>Iván Sánchez</v>
      </c>
      <c r="R455" s="33" t="str">
        <f ca="1">IFERROR(__xludf.DUMMYFUNCTION("""COMPUTED_VALUE"""),"Maria Rosario Ferrandiz García")</f>
        <v>Maria Rosario Ferrandiz García</v>
      </c>
      <c r="S455" s="61" t="str">
        <f ca="1">IFERROR(__xludf.DUMMYFUNCTION("""COMPUTED_VALUE"""),"03 ORL")</f>
        <v>03 ORL</v>
      </c>
      <c r="T455" s="33" t="str">
        <f ca="1">IFERROR(__xludf.DUMMYFUNCTION("""COMPUTED_VALUE"""),"06 ORL")</f>
        <v>06 ORL</v>
      </c>
      <c r="U455" s="62"/>
      <c r="W455" s="62"/>
      <c r="X455" s="62"/>
    </row>
    <row r="456" spans="2:24" ht="16">
      <c r="B456" s="55" t="str">
        <f t="shared" ca="1" si="1"/>
        <v>PSC</v>
      </c>
      <c r="C456" s="64" t="str">
        <f ca="1">IFERROR(__xludf.DUMMYFUNCTION("""COMPUTED_VALUE"""),"PSC31")</f>
        <v>PSC31</v>
      </c>
      <c r="D456" s="33" t="str">
        <f ca="1">IFERROR(__xludf.DUMMYFUNCTION("""COMPUTED_VALUE"""),"ASOCIADOS")</f>
        <v>ASOCIADOS</v>
      </c>
      <c r="E456" s="33">
        <f ca="1">IFERROR(__xludf.DUMMYFUNCTION("""COMPUTED_VALUE"""),2026)</f>
        <v>2026</v>
      </c>
      <c r="F456" s="56">
        <f ca="1">IFERROR(__xludf.DUMMYFUNCTION("""COMPUTED_VALUE"""),3)</f>
        <v>3</v>
      </c>
      <c r="G456" s="33" t="str">
        <f ca="1">IFERROR(__xludf.DUMMYFUNCTION("""COMPUTED_VALUE"""),"Valladolid")</f>
        <v>Valladolid</v>
      </c>
      <c r="H456" s="33" t="str">
        <f ca="1">IFERROR(__xludf.DUMMYFUNCTION("""COMPUTED_VALUE"""),"C202622611395939003")</f>
        <v>C202622611395939003</v>
      </c>
      <c r="I456" s="33" t="str">
        <f ca="1">IFERROR(__xludf.DUMMYFUNCTION("""COMPUTED_VALUE"""),"JUAN  DUARTE CARAVACA")</f>
        <v>JUAN  DUARTE CARAVACA</v>
      </c>
      <c r="J456" s="57">
        <f ca="1">IFERROR(__xludf.DUMMYFUNCTION("""COMPUTED_VALUE"""),46079)</f>
        <v>46079</v>
      </c>
      <c r="K456" s="33" t="str">
        <f ca="1">IFERROR(__xludf.DUMMYFUNCTION("""COMPUTED_VALUE"""),"Factura audífonos")</f>
        <v>Factura audífonos</v>
      </c>
      <c r="L456" s="57">
        <f ca="1">IFERROR(__xludf.DUMMYFUNCTION("""COMPUTED_VALUE"""),46111)</f>
        <v>46111</v>
      </c>
      <c r="M456" s="64" t="str">
        <f ca="1">IFERROR(__xludf.DUMMYFUNCTION("""COMPUTED_VALUE"""),"NO")</f>
        <v>NO</v>
      </c>
      <c r="N456" s="56">
        <f ca="1">IFERROR(__xludf.DUMMYFUNCTION("""COMPUTED_VALUE"""),1)</f>
        <v>1</v>
      </c>
      <c r="O456" s="64" t="str">
        <f ca="1">IFERROR(__xludf.DUMMYFUNCTION("""COMPUTED_VALUE"""),"ADVANCED")</f>
        <v>ADVANCED</v>
      </c>
      <c r="P456" s="62">
        <f ca="1">IFERROR(__xludf.DUMMYFUNCTION("""COMPUTED_VALUE"""),2080)</f>
        <v>2080</v>
      </c>
      <c r="Q456" s="33" t="str">
        <f ca="1">IFERROR(__xludf.DUMMYFUNCTION("""COMPUTED_VALUE"""),"Alberto Moreno")</f>
        <v>Alberto Moreno</v>
      </c>
      <c r="R456" s="33" t="str">
        <f ca="1">IFERROR(__xludf.DUMMYFUNCTION("""COMPUTED_VALUE"""),"Ana Fernández Rodríguez")</f>
        <v>Ana Fernández Rodríguez</v>
      </c>
      <c r="S456" s="61" t="str">
        <f ca="1">IFERROR(__xludf.DUMMYFUNCTION("""COMPUTED_VALUE"""),"03 ORL")</f>
        <v>03 ORL</v>
      </c>
      <c r="T456" s="33" t="str">
        <f ca="1">IFERROR(__xludf.DUMMYFUNCTION("""COMPUTED_VALUE"""),"06 ORL")</f>
        <v>06 ORL</v>
      </c>
      <c r="U456" s="62"/>
      <c r="W456" s="62"/>
      <c r="X456" s="62"/>
    </row>
    <row r="457" spans="2:24" ht="16">
      <c r="B457" s="55" t="str">
        <f t="shared" ca="1" si="1"/>
        <v>MBM</v>
      </c>
      <c r="C457" s="64" t="str">
        <f ca="1">IFERROR(__xludf.DUMMYFUNCTION("""COMPUTED_VALUE"""),"MBM184")</f>
        <v>MBM184</v>
      </c>
      <c r="D457" s="33" t="str">
        <f ca="1">IFERROR(__xludf.DUMMYFUNCTION("""COMPUTED_VALUE"""),"PROPIOS")</f>
        <v>PROPIOS</v>
      </c>
      <c r="E457" s="33">
        <f ca="1">IFERROR(__xludf.DUMMYFUNCTION("""COMPUTED_VALUE"""),2026)</f>
        <v>2026</v>
      </c>
      <c r="F457" s="56">
        <f ca="1">IFERROR(__xludf.DUMMYFUNCTION("""COMPUTED_VALUE"""),3)</f>
        <v>3</v>
      </c>
      <c r="G457" s="33" t="str">
        <f ca="1">IFERROR(__xludf.DUMMYFUNCTION("""COMPUTED_VALUE"""),"Madrid- Monforte de Lemos")</f>
        <v>Madrid- Monforte de Lemos</v>
      </c>
      <c r="H457" s="33" t="str">
        <f ca="1">IFERROR(__xludf.DUMMYFUNCTION("""COMPUTED_VALUE"""),"C202621717342062690")</f>
        <v>C202621717342062690</v>
      </c>
      <c r="I457" s="33" t="str">
        <f ca="1">IFERROR(__xludf.DUMMYFUNCTION("""COMPUTED_VALUE"""),"MARIA ROSA SÁNCHEZ-MONGE LAGUNA DE RINS")</f>
        <v>MARIA ROSA SÁNCHEZ-MONGE LAGUNA DE RINS</v>
      </c>
      <c r="J457" s="57">
        <f ca="1">IFERROR(__xludf.DUMMYFUNCTION("""COMPUTED_VALUE"""),46070)</f>
        <v>46070</v>
      </c>
      <c r="K457" s="33" t="str">
        <f ca="1">IFERROR(__xludf.DUMMYFUNCTION("""COMPUTED_VALUE"""),"Factura audífonos")</f>
        <v>Factura audífonos</v>
      </c>
      <c r="L457" s="57">
        <f ca="1">IFERROR(__xludf.DUMMYFUNCTION("""COMPUTED_VALUE"""),46111)</f>
        <v>46111</v>
      </c>
      <c r="M457" s="64" t="str">
        <f ca="1">IFERROR(__xludf.DUMMYFUNCTION("""COMPUTED_VALUE"""),"NO")</f>
        <v>NO</v>
      </c>
      <c r="N457" s="56">
        <f ca="1">IFERROR(__xludf.DUMMYFUNCTION("""COMPUTED_VALUE"""),2)</f>
        <v>2</v>
      </c>
      <c r="O457" s="64" t="str">
        <f ca="1">IFERROR(__xludf.DUMMYFUNCTION("""COMPUTED_VALUE"""),"QUIET")</f>
        <v>QUIET</v>
      </c>
      <c r="P457" s="62">
        <f ca="1">IFERROR(__xludf.DUMMYFUNCTION("""COMPUTED_VALUE"""),2718.18)</f>
        <v>2718.18</v>
      </c>
      <c r="Q457" s="33" t="str">
        <f ca="1">IFERROR(__xludf.DUMMYFUNCTION("""COMPUTED_VALUE"""),"Maika Blázquez")</f>
        <v>Maika Blázquez</v>
      </c>
      <c r="R457" s="33" t="str">
        <f ca="1">IFERROR(__xludf.DUMMYFUNCTION("""COMPUTED_VALUE"""),"Victoria García Peces")</f>
        <v>Victoria García Peces</v>
      </c>
      <c r="S457" s="61" t="str">
        <f ca="1">IFERROR(__xludf.DUMMYFUNCTION("""COMPUTED_VALUE"""),"03 ORL")</f>
        <v>03 ORL</v>
      </c>
      <c r="T457" s="33" t="str">
        <f ca="1">IFERROR(__xludf.DUMMYFUNCTION("""COMPUTED_VALUE"""),"06 ORL")</f>
        <v>06 ORL</v>
      </c>
      <c r="U457" s="62"/>
      <c r="W457" s="62"/>
      <c r="X457" s="62"/>
    </row>
    <row r="458" spans="2:24" ht="16">
      <c r="B458" s="55" t="str">
        <f t="shared" ca="1" si="1"/>
        <v>LRM</v>
      </c>
      <c r="C458" s="64" t="str">
        <f ca="1">IFERROR(__xludf.DUMMYFUNCTION("""COMPUTED_VALUE"""),"LRM78")</f>
        <v>LRM78</v>
      </c>
      <c r="D458" s="33" t="str">
        <f ca="1">IFERROR(__xludf.DUMMYFUNCTION("""COMPUTED_VALUE"""),"ASOCIADOS")</f>
        <v>ASOCIADOS</v>
      </c>
      <c r="E458" s="33">
        <f ca="1">IFERROR(__xludf.DUMMYFUNCTION("""COMPUTED_VALUE"""),2026)</f>
        <v>2026</v>
      </c>
      <c r="F458" s="56">
        <f ca="1">IFERROR(__xludf.DUMMYFUNCTION("""COMPUTED_VALUE"""),3)</f>
        <v>3</v>
      </c>
      <c r="G458" s="33" t="str">
        <f ca="1">IFERROR(__xludf.DUMMYFUNCTION("""COMPUTED_VALUE"""),"Zaragoza- León XIII")</f>
        <v>Zaragoza- León XIII</v>
      </c>
      <c r="H458" s="33" t="str">
        <f ca="1">IFERROR(__xludf.DUMMYFUNCTION("""COMPUTED_VALUE"""),"C20263210129072148")</f>
        <v>C20263210129072148</v>
      </c>
      <c r="I458" s="33" t="str">
        <f ca="1">IFERROR(__xludf.DUMMYFUNCTION("""COMPUTED_VALUE"""),"LUIS IBAÑEZ GALLEGO")</f>
        <v>LUIS IBAÑEZ GALLEGO</v>
      </c>
      <c r="J458" s="57">
        <f ca="1">IFERROR(__xludf.DUMMYFUNCTION("""COMPUTED_VALUE"""),46083)</f>
        <v>46083</v>
      </c>
      <c r="K458" s="33" t="str">
        <f ca="1">IFERROR(__xludf.DUMMYFUNCTION("""COMPUTED_VALUE"""),"Factura audífonos")</f>
        <v>Factura audífonos</v>
      </c>
      <c r="L458" s="57">
        <f ca="1">IFERROR(__xludf.DUMMYFUNCTION("""COMPUTED_VALUE"""),46111)</f>
        <v>46111</v>
      </c>
      <c r="M458" s="64" t="str">
        <f ca="1">IFERROR(__xludf.DUMMYFUNCTION("""COMPUTED_VALUE"""),"NO")</f>
        <v>NO</v>
      </c>
      <c r="N458" s="56">
        <f ca="1">IFERROR(__xludf.DUMMYFUNCTION("""COMPUTED_VALUE"""),2)</f>
        <v>2</v>
      </c>
      <c r="O458" s="64" t="str">
        <f ca="1">IFERROR(__xludf.DUMMYFUNCTION("""COMPUTED_VALUE"""),"CONFORT")</f>
        <v>CONFORT</v>
      </c>
      <c r="P458" s="62">
        <f ca="1">IFERROR(__xludf.DUMMYFUNCTION("""COMPUTED_VALUE"""),3627.27)</f>
        <v>3627.27</v>
      </c>
      <c r="Q458" s="33" t="str">
        <f ca="1">IFERROR(__xludf.DUMMYFUNCTION("""COMPUTED_VALUE"""),"Ignacio Berdejo")</f>
        <v>Ignacio Berdejo</v>
      </c>
      <c r="R458" s="33" t="str">
        <f ca="1">IFERROR(__xludf.DUMMYFUNCTION("""COMPUTED_VALUE"""),"José Manuel García Solans-Esteras")</f>
        <v>José Manuel García Solans-Esteras</v>
      </c>
      <c r="S458" s="61" t="str">
        <f ca="1">IFERROR(__xludf.DUMMYFUNCTION("""COMPUTED_VALUE"""),"03 ORL")</f>
        <v>03 ORL</v>
      </c>
      <c r="T458" s="33" t="str">
        <f ca="1">IFERROR(__xludf.DUMMYFUNCTION("""COMPUTED_VALUE"""),"06 ORL")</f>
        <v>06 ORL</v>
      </c>
      <c r="U458" s="62"/>
      <c r="W458" s="62"/>
      <c r="X458" s="62"/>
    </row>
    <row r="459" spans="2:24" ht="16">
      <c r="B459" s="55" t="str">
        <f t="shared" ca="1" si="1"/>
        <v>ISL</v>
      </c>
      <c r="C459" s="64" t="str">
        <f ca="1">IFERROR(__xludf.DUMMYFUNCTION("""COMPUTED_VALUE"""),"ISL14")</f>
        <v>ISL14</v>
      </c>
      <c r="D459" s="33" t="str">
        <f ca="1">IFERROR(__xludf.DUMMYFUNCTION("""COMPUTED_VALUE"""),"PROPIOS")</f>
        <v>PROPIOS</v>
      </c>
      <c r="E459" s="33">
        <f ca="1">IFERROR(__xludf.DUMMYFUNCTION("""COMPUTED_VALUE"""),2026)</f>
        <v>2026</v>
      </c>
      <c r="F459" s="56">
        <f ca="1">IFERROR(__xludf.DUMMYFUNCTION("""COMPUTED_VALUE"""),3)</f>
        <v>3</v>
      </c>
      <c r="G459" s="33" t="str">
        <f ca="1">IFERROR(__xludf.DUMMYFUNCTION("""COMPUTED_VALUE"""),"Orihuela")</f>
        <v>Orihuela</v>
      </c>
      <c r="H459" s="33" t="str">
        <f ca="1">IFERROR(__xludf.DUMMYFUNCTION("""COMPUTED_VALUE"""),"C202631610495728359")</f>
        <v>C202631610495728359</v>
      </c>
      <c r="I459" s="33" t="str">
        <f ca="1">IFERROR(__xludf.DUMMYFUNCTION("""COMPUTED_VALUE"""),"INMACULADA RIVES PIC")</f>
        <v>INMACULADA RIVES PIC</v>
      </c>
      <c r="J459" s="57">
        <f ca="1">IFERROR(__xludf.DUMMYFUNCTION("""COMPUTED_VALUE"""),46097)</f>
        <v>46097</v>
      </c>
      <c r="K459" s="33" t="str">
        <f ca="1">IFERROR(__xludf.DUMMYFUNCTION("""COMPUTED_VALUE"""),"Factura audífonos")</f>
        <v>Factura audífonos</v>
      </c>
      <c r="L459" s="57">
        <f ca="1">IFERROR(__xludf.DUMMYFUNCTION("""COMPUTED_VALUE"""),46111)</f>
        <v>46111</v>
      </c>
      <c r="M459" s="64" t="str">
        <f ca="1">IFERROR(__xludf.DUMMYFUNCTION("""COMPUTED_VALUE"""),"NO")</f>
        <v>NO</v>
      </c>
      <c r="N459" s="56">
        <f ca="1">IFERROR(__xludf.DUMMYFUNCTION("""COMPUTED_VALUE"""),2)</f>
        <v>2</v>
      </c>
      <c r="O459" s="64" t="str">
        <f ca="1">IFERROR(__xludf.DUMMYFUNCTION("""COMPUTED_VALUE"""),"CONFORT")</f>
        <v>CONFORT</v>
      </c>
      <c r="P459" s="62">
        <f ca="1">IFERROR(__xludf.DUMMYFUNCTION("""COMPUTED_VALUE"""),3631.82)</f>
        <v>3631.82</v>
      </c>
      <c r="Q459" s="33" t="str">
        <f ca="1">IFERROR(__xludf.DUMMYFUNCTION("""COMPUTED_VALUE"""),"Iván Sánchez")</f>
        <v>Iván Sánchez</v>
      </c>
      <c r="R459" s="33" t="str">
        <f ca="1">IFERROR(__xludf.DUMMYFUNCTION("""COMPUTED_VALUE"""),"Carlos Velásquez Fermín")</f>
        <v>Carlos Velásquez Fermín</v>
      </c>
      <c r="S459" s="61" t="str">
        <f ca="1">IFERROR(__xludf.DUMMYFUNCTION("""COMPUTED_VALUE"""),"03 ORL")</f>
        <v>03 ORL</v>
      </c>
      <c r="T459" s="33" t="str">
        <f ca="1">IFERROR(__xludf.DUMMYFUNCTION("""COMPUTED_VALUE"""),"06 ORL")</f>
        <v>06 ORL</v>
      </c>
      <c r="U459" s="62"/>
      <c r="W459" s="62"/>
      <c r="X459" s="62"/>
    </row>
    <row r="460" spans="2:24" ht="16">
      <c r="B460" s="55" t="str">
        <f t="shared" ca="1" si="1"/>
        <v>ISL</v>
      </c>
      <c r="C460" s="64" t="str">
        <f ca="1">IFERROR(__xludf.DUMMYFUNCTION("""COMPUTED_VALUE"""),"ISL14")</f>
        <v>ISL14</v>
      </c>
      <c r="D460" s="33" t="str">
        <f ca="1">IFERROR(__xludf.DUMMYFUNCTION("""COMPUTED_VALUE"""),"PROPIOS")</f>
        <v>PROPIOS</v>
      </c>
      <c r="E460" s="33">
        <f ca="1">IFERROR(__xludf.DUMMYFUNCTION("""COMPUTED_VALUE"""),2026)</f>
        <v>2026</v>
      </c>
      <c r="F460" s="56">
        <f ca="1">IFERROR(__xludf.DUMMYFUNCTION("""COMPUTED_VALUE"""),3)</f>
        <v>3</v>
      </c>
      <c r="G460" s="33" t="str">
        <f ca="1">IFERROR(__xludf.DUMMYFUNCTION("""COMPUTED_VALUE"""),"Orihuela")</f>
        <v>Orihuela</v>
      </c>
      <c r="H460" s="33" t="str">
        <f ca="1">IFERROR(__xludf.DUMMYFUNCTION("""COMPUTED_VALUE"""),"C202571171834930")</f>
        <v>C202571171834930</v>
      </c>
      <c r="I460" s="33" t="str">
        <f ca="1">IFERROR(__xludf.DUMMYFUNCTION("""COMPUTED_VALUE"""),"SOLANGE LAMIN")</f>
        <v>SOLANGE LAMIN</v>
      </c>
      <c r="J460" s="57">
        <f ca="1">IFERROR(__xludf.DUMMYFUNCTION("""COMPUTED_VALUE"""),45838)</f>
        <v>45838</v>
      </c>
      <c r="K460" s="33" t="str">
        <f ca="1">IFERROR(__xludf.DUMMYFUNCTION("""COMPUTED_VALUE"""),"Factura audífonos")</f>
        <v>Factura audífonos</v>
      </c>
      <c r="L460" s="57">
        <f ca="1">IFERROR(__xludf.DUMMYFUNCTION("""COMPUTED_VALUE"""),46111)</f>
        <v>46111</v>
      </c>
      <c r="M460" s="64" t="str">
        <f ca="1">IFERROR(__xludf.DUMMYFUNCTION("""COMPUTED_VALUE"""),"NO")</f>
        <v>NO</v>
      </c>
      <c r="N460" s="56">
        <f ca="1">IFERROR(__xludf.DUMMYFUNCTION("""COMPUTED_VALUE"""),1)</f>
        <v>1</v>
      </c>
      <c r="O460" s="64" t="str">
        <f ca="1">IFERROR(__xludf.DUMMYFUNCTION("""COMPUTED_VALUE"""),"QUIET")</f>
        <v>QUIET</v>
      </c>
      <c r="P460" s="62">
        <f ca="1">IFERROR(__xludf.DUMMYFUNCTION("""COMPUTED_VALUE"""),1631.82)</f>
        <v>1631.82</v>
      </c>
      <c r="Q460" s="33" t="str">
        <f ca="1">IFERROR(__xludf.DUMMYFUNCTION("""COMPUTED_VALUE"""),"Iván Sánchez")</f>
        <v>Iván Sánchez</v>
      </c>
      <c r="R460" s="33" t="str">
        <f ca="1">IFERROR(__xludf.DUMMYFUNCTION("""COMPUTED_VALUE"""),"Carlos Velásquez Fermín")</f>
        <v>Carlos Velásquez Fermín</v>
      </c>
      <c r="S460" s="61" t="str">
        <f ca="1">IFERROR(__xludf.DUMMYFUNCTION("""COMPUTED_VALUE"""),"03 ORL")</f>
        <v>03 ORL</v>
      </c>
      <c r="T460" s="33" t="str">
        <f ca="1">IFERROR(__xludf.DUMMYFUNCTION("""COMPUTED_VALUE"""),"06 ORL")</f>
        <v>06 ORL</v>
      </c>
      <c r="U460" s="62"/>
      <c r="W460" s="62"/>
      <c r="X460" s="62"/>
    </row>
    <row r="461" spans="2:24" ht="16">
      <c r="B461" s="55" t="str">
        <f t="shared" ca="1" si="1"/>
        <v>LRM</v>
      </c>
      <c r="C461" s="64" t="str">
        <f ca="1">IFERROR(__xludf.DUMMYFUNCTION("""COMPUTED_VALUE"""),"LRM239")</f>
        <v>LRM239</v>
      </c>
      <c r="D461" s="33" t="str">
        <f ca="1">IFERROR(__xludf.DUMMYFUNCTION("""COMPUTED_VALUE"""),"PROPIOS")</f>
        <v>PROPIOS</v>
      </c>
      <c r="E461" s="33">
        <f ca="1">IFERROR(__xludf.DUMMYFUNCTION("""COMPUTED_VALUE"""),2026)</f>
        <v>2026</v>
      </c>
      <c r="F461" s="56">
        <f ca="1">IFERROR(__xludf.DUMMYFUNCTION("""COMPUTED_VALUE"""),3)</f>
        <v>3</v>
      </c>
      <c r="G461" s="33" t="str">
        <f ca="1">IFERROR(__xludf.DUMMYFUNCTION("""COMPUTED_VALUE"""),"Madrid- Juan Bravo")</f>
        <v>Madrid- Juan Bravo</v>
      </c>
      <c r="H461" s="33" t="str">
        <f ca="1">IFERROR(__xludf.DUMMYFUNCTION("""COMPUTED_VALUE"""),"C202622510202918352")</f>
        <v>C202622510202918352</v>
      </c>
      <c r="I461" s="33" t="str">
        <f ca="1">IFERROR(__xludf.DUMMYFUNCTION("""COMPUTED_VALUE"""),"LIBOR  SECKA")</f>
        <v>LIBOR  SECKA</v>
      </c>
      <c r="J461" s="57">
        <f ca="1">IFERROR(__xludf.DUMMYFUNCTION("""COMPUTED_VALUE"""),46078)</f>
        <v>46078</v>
      </c>
      <c r="K461" s="33" t="str">
        <f ca="1">IFERROR(__xludf.DUMMYFUNCTION("""COMPUTED_VALUE"""),"Factura audífonos")</f>
        <v>Factura audífonos</v>
      </c>
      <c r="L461" s="57">
        <f ca="1">IFERROR(__xludf.DUMMYFUNCTION("""COMPUTED_VALUE"""),46111)</f>
        <v>46111</v>
      </c>
      <c r="M461" s="64" t="str">
        <f ca="1">IFERROR(__xludf.DUMMYFUNCTION("""COMPUTED_VALUE"""),"NO")</f>
        <v>NO</v>
      </c>
      <c r="N461" s="56">
        <f ca="1">IFERROR(__xludf.DUMMYFUNCTION("""COMPUTED_VALUE"""),2)</f>
        <v>2</v>
      </c>
      <c r="O461" s="64" t="str">
        <f ca="1">IFERROR(__xludf.DUMMYFUNCTION("""COMPUTED_VALUE"""),"CONFORT")</f>
        <v>CONFORT</v>
      </c>
      <c r="P461" s="62">
        <f ca="1">IFERROR(__xludf.DUMMYFUNCTION("""COMPUTED_VALUE"""),4154.22)</f>
        <v>4154.22</v>
      </c>
      <c r="Q461" s="33" t="str">
        <f ca="1">IFERROR(__xludf.DUMMYFUNCTION("""COMPUTED_VALUE"""),"Lisandro Russian")</f>
        <v>Lisandro Russian</v>
      </c>
      <c r="R461" s="33" t="str">
        <f ca="1">IFERROR(__xludf.DUMMYFUNCTION("""COMPUTED_VALUE"""),"Carlos Barajas del Rosal")</f>
        <v>Carlos Barajas del Rosal</v>
      </c>
      <c r="S461" s="61" t="str">
        <f ca="1">IFERROR(__xludf.DUMMYFUNCTION("""COMPUTED_VALUE"""),"03 ORL")</f>
        <v>03 ORL</v>
      </c>
      <c r="T461" s="33" t="str">
        <f ca="1">IFERROR(__xludf.DUMMYFUNCTION("""COMPUTED_VALUE"""),"06 ORL")</f>
        <v>06 ORL</v>
      </c>
      <c r="U461" s="62"/>
      <c r="W461" s="62"/>
      <c r="X461" s="62"/>
    </row>
    <row r="462" spans="2:24" ht="16">
      <c r="B462" s="55" t="str">
        <f t="shared" ca="1" si="1"/>
        <v>ISL</v>
      </c>
      <c r="C462" s="64" t="str">
        <f ca="1">IFERROR(__xludf.DUMMYFUNCTION("""COMPUTED_VALUE"""),"ISL122")</f>
        <v>ISL122</v>
      </c>
      <c r="D462" s="33" t="str">
        <f ca="1">IFERROR(__xludf.DUMMYFUNCTION("""COMPUTED_VALUE"""),"PROPIOS")</f>
        <v>PROPIOS</v>
      </c>
      <c r="E462" s="33">
        <f ca="1">IFERROR(__xludf.DUMMYFUNCTION("""COMPUTED_VALUE"""),2026)</f>
        <v>2026</v>
      </c>
      <c r="F462" s="56">
        <f ca="1">IFERROR(__xludf.DUMMYFUNCTION("""COMPUTED_VALUE"""),3)</f>
        <v>3</v>
      </c>
      <c r="G462" s="33" t="str">
        <f ca="1">IFERROR(__xludf.DUMMYFUNCTION("""COMPUTED_VALUE"""),"Murcia")</f>
        <v>Murcia</v>
      </c>
      <c r="H462" s="33" t="str">
        <f ca="1">IFERROR(__xludf.DUMMYFUNCTION("""COMPUTED_VALUE"""),"C202622617103051096")</f>
        <v>C202622617103051096</v>
      </c>
      <c r="I462" s="33" t="str">
        <f ca="1">IFERROR(__xludf.DUMMYFUNCTION("""COMPUTED_VALUE"""),"JOSE ALMAGRO MARMOL")</f>
        <v>JOSE ALMAGRO MARMOL</v>
      </c>
      <c r="J462" s="57">
        <f ca="1">IFERROR(__xludf.DUMMYFUNCTION("""COMPUTED_VALUE"""),46079)</f>
        <v>46079</v>
      </c>
      <c r="K462" s="33" t="str">
        <f ca="1">IFERROR(__xludf.DUMMYFUNCTION("""COMPUTED_VALUE"""),"Factura audífonos")</f>
        <v>Factura audífonos</v>
      </c>
      <c r="L462" s="57">
        <f ca="1">IFERROR(__xludf.DUMMYFUNCTION("""COMPUTED_VALUE"""),46111)</f>
        <v>46111</v>
      </c>
      <c r="M462" s="64" t="str">
        <f ca="1">IFERROR(__xludf.DUMMYFUNCTION("""COMPUTED_VALUE"""),"NO")</f>
        <v>NO</v>
      </c>
      <c r="N462" s="56">
        <f ca="1">IFERROR(__xludf.DUMMYFUNCTION("""COMPUTED_VALUE"""),1)</f>
        <v>1</v>
      </c>
      <c r="O462" s="64" t="str">
        <f ca="1">IFERROR(__xludf.DUMMYFUNCTION("""COMPUTED_VALUE"""),"QUIET")</f>
        <v>QUIET</v>
      </c>
      <c r="P462" s="62">
        <f ca="1">IFERROR(__xludf.DUMMYFUNCTION("""COMPUTED_VALUE"""),1631.82)</f>
        <v>1631.82</v>
      </c>
      <c r="Q462" s="33" t="str">
        <f ca="1">IFERROR(__xludf.DUMMYFUNCTION("""COMPUTED_VALUE"""),"Iván Sánchez")</f>
        <v>Iván Sánchez</v>
      </c>
      <c r="R462" s="33" t="str">
        <f ca="1">IFERROR(__xludf.DUMMYFUNCTION("""COMPUTED_VALUE"""),"María Agustina Sevilla García")</f>
        <v>María Agustina Sevilla García</v>
      </c>
      <c r="S462" s="61" t="str">
        <f ca="1">IFERROR(__xludf.DUMMYFUNCTION("""COMPUTED_VALUE"""),"03 ORL")</f>
        <v>03 ORL</v>
      </c>
      <c r="T462" s="33" t="str">
        <f ca="1">IFERROR(__xludf.DUMMYFUNCTION("""COMPUTED_VALUE"""),"06 ORL")</f>
        <v>06 ORL</v>
      </c>
      <c r="U462" s="62"/>
      <c r="W462" s="62"/>
      <c r="X462" s="62"/>
    </row>
    <row r="463" spans="2:24" ht="16">
      <c r="B463" s="55" t="str">
        <f t="shared" si="1"/>
        <v/>
      </c>
      <c r="C463" s="64"/>
      <c r="D463" s="33" t="str">
        <f ca="1">IFERROR(__xludf.DUMMYFUNCTION("""COMPUTED_VALUE"""),"PROPIOS")</f>
        <v>PROPIOS</v>
      </c>
      <c r="E463" s="33">
        <f ca="1">IFERROR(__xludf.DUMMYFUNCTION("""COMPUTED_VALUE"""),2026)</f>
        <v>2026</v>
      </c>
      <c r="F463" s="56">
        <f ca="1">IFERROR(__xludf.DUMMYFUNCTION("""COMPUTED_VALUE"""),3)</f>
        <v>3</v>
      </c>
      <c r="G463" s="33" t="str">
        <f ca="1">IFERROR(__xludf.DUMMYFUNCTION("""COMPUTED_VALUE"""),"Madrid- Moratalaz")</f>
        <v>Madrid- Moratalaz</v>
      </c>
      <c r="H463" s="33" t="str">
        <f ca="1">IFERROR(__xludf.DUMMYFUNCTION("""COMPUTED_VALUE"""),"C202631312144876755")</f>
        <v>C202631312144876755</v>
      </c>
      <c r="I463" s="33" t="str">
        <f ca="1">IFERROR(__xludf.DUMMYFUNCTION("""COMPUTED_VALUE"""),"MARIA CARMONA AVILES")</f>
        <v>MARIA CARMONA AVILES</v>
      </c>
      <c r="J463" s="57">
        <f ca="1">IFERROR(__xludf.DUMMYFUNCTION("""COMPUTED_VALUE"""),46094)</f>
        <v>46094</v>
      </c>
      <c r="K463" s="33" t="str">
        <f ca="1">IFERROR(__xludf.DUMMYFUNCTION("""COMPUTED_VALUE"""),"Factura audífonos")</f>
        <v>Factura audífonos</v>
      </c>
      <c r="L463" s="57">
        <f ca="1">IFERROR(__xludf.DUMMYFUNCTION("""COMPUTED_VALUE"""),46111)</f>
        <v>46111</v>
      </c>
      <c r="M463" s="64" t="str">
        <f ca="1">IFERROR(__xludf.DUMMYFUNCTION("""COMPUTED_VALUE"""),"NO")</f>
        <v>NO</v>
      </c>
      <c r="N463" s="56">
        <f ca="1">IFERROR(__xludf.DUMMYFUNCTION("""COMPUTED_VALUE"""),1)</f>
        <v>1</v>
      </c>
      <c r="O463" s="64" t="str">
        <f ca="1">IFERROR(__xludf.DUMMYFUNCTION("""COMPUTED_VALUE"""),"ADVANCED")</f>
        <v>ADVANCED</v>
      </c>
      <c r="P463" s="62">
        <f ca="1">IFERROR(__xludf.DUMMYFUNCTION("""COMPUTED_VALUE"""),2357.73)</f>
        <v>2357.73</v>
      </c>
      <c r="Q463" s="33" t="str">
        <f ca="1">IFERROR(__xludf.DUMMYFUNCTION("""COMPUTED_VALUE"""),"Maika Blázquez")</f>
        <v>Maika Blázquez</v>
      </c>
      <c r="R463" s="33" t="str">
        <f ca="1">IFERROR(__xludf.DUMMYFUNCTION("""COMPUTED_VALUE"""),"No recuerda ORL")</f>
        <v>No recuerda ORL</v>
      </c>
      <c r="S463" s="61" t="str">
        <f ca="1">IFERROR(__xludf.DUMMYFUNCTION("""COMPUTED_VALUE"""),"03 ORL")</f>
        <v>03 ORL</v>
      </c>
      <c r="T463" s="33" t="str">
        <f ca="1">IFERROR(__xludf.DUMMYFUNCTION("""COMPUTED_VALUE"""),"06 ORL")</f>
        <v>06 ORL</v>
      </c>
      <c r="U463" s="62"/>
      <c r="W463" s="62"/>
      <c r="X463" s="62"/>
    </row>
    <row r="464" spans="2:24" ht="16">
      <c r="B464" s="55" t="str">
        <f t="shared" ca="1" si="1"/>
        <v>MBM</v>
      </c>
      <c r="C464" s="64" t="str">
        <f ca="1">IFERROR(__xludf.DUMMYFUNCTION("""COMPUTED_VALUE"""),"MBM146")</f>
        <v>MBM146</v>
      </c>
      <c r="D464" s="33" t="str">
        <f ca="1">IFERROR(__xludf.DUMMYFUNCTION("""COMPUTED_VALUE"""),"PROPIOS")</f>
        <v>PROPIOS</v>
      </c>
      <c r="E464" s="33">
        <f ca="1">IFERROR(__xludf.DUMMYFUNCTION("""COMPUTED_VALUE"""),2026)</f>
        <v>2026</v>
      </c>
      <c r="F464" s="56">
        <f ca="1">IFERROR(__xludf.DUMMYFUNCTION("""COMPUTED_VALUE"""),3)</f>
        <v>3</v>
      </c>
      <c r="G464" s="33" t="str">
        <f ca="1">IFERROR(__xludf.DUMMYFUNCTION("""COMPUTED_VALUE"""),"Madrid- Canillas")</f>
        <v>Madrid- Canillas</v>
      </c>
      <c r="H464" s="33" t="str">
        <f ca="1">IFERROR(__xludf.DUMMYFUNCTION("""COMPUTED_VALUE"""),"C202621612332097208")</f>
        <v>C202621612332097208</v>
      </c>
      <c r="I464" s="33" t="str">
        <f ca="1">IFERROR(__xludf.DUMMYFUNCTION("""COMPUTED_VALUE"""),"ELENA  GONZALEZ GONZALEZ")</f>
        <v>ELENA  GONZALEZ GONZALEZ</v>
      </c>
      <c r="J464" s="57">
        <f ca="1">IFERROR(__xludf.DUMMYFUNCTION("""COMPUTED_VALUE"""),46069)</f>
        <v>46069</v>
      </c>
      <c r="K464" s="33" t="str">
        <f ca="1">IFERROR(__xludf.DUMMYFUNCTION("""COMPUTED_VALUE"""),"Factura audífonos")</f>
        <v>Factura audífonos</v>
      </c>
      <c r="L464" s="57">
        <f ca="1">IFERROR(__xludf.DUMMYFUNCTION("""COMPUTED_VALUE"""),46111)</f>
        <v>46111</v>
      </c>
      <c r="M464" s="64" t="str">
        <f ca="1">IFERROR(__xludf.DUMMYFUNCTION("""COMPUTED_VALUE"""),"NO")</f>
        <v>NO</v>
      </c>
      <c r="N464" s="56">
        <f ca="1">IFERROR(__xludf.DUMMYFUNCTION("""COMPUTED_VALUE"""),2)</f>
        <v>2</v>
      </c>
      <c r="O464" s="64" t="str">
        <f ca="1">IFERROR(__xludf.DUMMYFUNCTION("""COMPUTED_VALUE"""),"ADVANCED")</f>
        <v>ADVANCED</v>
      </c>
      <c r="P464" s="62">
        <f ca="1">IFERROR(__xludf.DUMMYFUNCTION("""COMPUTED_VALUE"""),4136.36)</f>
        <v>4136.3599999999997</v>
      </c>
      <c r="Q464" s="33" t="str">
        <f ca="1">IFERROR(__xludf.DUMMYFUNCTION("""COMPUTED_VALUE"""),"Maika Blázquez")</f>
        <v>Maika Blázquez</v>
      </c>
      <c r="R464" s="33" t="str">
        <f ca="1">IFERROR(__xludf.DUMMYFUNCTION("""COMPUTED_VALUE"""),"María del Mar Medina González")</f>
        <v>María del Mar Medina González</v>
      </c>
      <c r="S464" s="61" t="str">
        <f ca="1">IFERROR(__xludf.DUMMYFUNCTION("""COMPUTED_VALUE"""),"03 ORL")</f>
        <v>03 ORL</v>
      </c>
      <c r="T464" s="33" t="str">
        <f ca="1">IFERROR(__xludf.DUMMYFUNCTION("""COMPUTED_VALUE"""),"06 ORL")</f>
        <v>06 ORL</v>
      </c>
      <c r="U464" s="62"/>
      <c r="W464" s="62"/>
      <c r="X464" s="62"/>
    </row>
    <row r="465" spans="2:24" ht="16">
      <c r="B465" s="55" t="str">
        <f t="shared" ca="1" si="1"/>
        <v>ISL</v>
      </c>
      <c r="C465" s="64" t="str">
        <f ca="1">IFERROR(__xludf.DUMMYFUNCTION("""COMPUTED_VALUE"""),"ISL06")</f>
        <v>ISL06</v>
      </c>
      <c r="D465" s="33" t="str">
        <f ca="1">IFERROR(__xludf.DUMMYFUNCTION("""COMPUTED_VALUE"""),"PROPIOS")</f>
        <v>PROPIOS</v>
      </c>
      <c r="E465" s="33">
        <f ca="1">IFERROR(__xludf.DUMMYFUNCTION("""COMPUTED_VALUE"""),2026)</f>
        <v>2026</v>
      </c>
      <c r="F465" s="56">
        <f ca="1">IFERROR(__xludf.DUMMYFUNCTION("""COMPUTED_VALUE"""),3)</f>
        <v>3</v>
      </c>
      <c r="G465" s="33" t="str">
        <f ca="1">IFERROR(__xludf.DUMMYFUNCTION("""COMPUTED_VALUE"""),"San Javier")</f>
        <v>San Javier</v>
      </c>
      <c r="H465" s="33" t="str">
        <f ca="1">IFERROR(__xludf.DUMMYFUNCTION("""COMPUTED_VALUE"""),"C202622610047193666")</f>
        <v>C202622610047193666</v>
      </c>
      <c r="I465" s="33" t="str">
        <f ca="1">IFERROR(__xludf.DUMMYFUNCTION("""COMPUTED_VALUE"""),"JOSEFA ISABEL MARIN GARCIA")</f>
        <v>JOSEFA ISABEL MARIN GARCIA</v>
      </c>
      <c r="J465" s="57">
        <f ca="1">IFERROR(__xludf.DUMMYFUNCTION("""COMPUTED_VALUE"""),46079)</f>
        <v>46079</v>
      </c>
      <c r="K465" s="33" t="str">
        <f ca="1">IFERROR(__xludf.DUMMYFUNCTION("""COMPUTED_VALUE"""),"Factura audífonos")</f>
        <v>Factura audífonos</v>
      </c>
      <c r="L465" s="57">
        <f ca="1">IFERROR(__xludf.DUMMYFUNCTION("""COMPUTED_VALUE"""),46111)</f>
        <v>46111</v>
      </c>
      <c r="M465" s="64" t="str">
        <f ca="1">IFERROR(__xludf.DUMMYFUNCTION("""COMPUTED_VALUE"""),"NO")</f>
        <v>NO</v>
      </c>
      <c r="N465" s="56">
        <f ca="1">IFERROR(__xludf.DUMMYFUNCTION("""COMPUTED_VALUE"""),2)</f>
        <v>2</v>
      </c>
      <c r="O465" s="64" t="str">
        <f ca="1">IFERROR(__xludf.DUMMYFUNCTION("""COMPUTED_VALUE"""),"QUIET")</f>
        <v>QUIET</v>
      </c>
      <c r="P465" s="62">
        <f ca="1">IFERROR(__xludf.DUMMYFUNCTION("""COMPUTED_VALUE"""),2718.18)</f>
        <v>2718.18</v>
      </c>
      <c r="Q465" s="33" t="str">
        <f ca="1">IFERROR(__xludf.DUMMYFUNCTION("""COMPUTED_VALUE"""),"Iván Sánchez")</f>
        <v>Iván Sánchez</v>
      </c>
      <c r="R465" s="33" t="str">
        <f ca="1">IFERROR(__xludf.DUMMYFUNCTION("""COMPUTED_VALUE"""),"Andrés Barrios Recio")</f>
        <v>Andrés Barrios Recio</v>
      </c>
      <c r="S465" s="61" t="str">
        <f ca="1">IFERROR(__xludf.DUMMYFUNCTION("""COMPUTED_VALUE"""),"03 ORL")</f>
        <v>03 ORL</v>
      </c>
      <c r="T465" s="33" t="str">
        <f ca="1">IFERROR(__xludf.DUMMYFUNCTION("""COMPUTED_VALUE"""),"06 ORL")</f>
        <v>06 ORL</v>
      </c>
      <c r="U465" s="62"/>
      <c r="W465" s="62"/>
      <c r="X465" s="62"/>
    </row>
    <row r="466" spans="2:24" ht="16">
      <c r="B466" s="55" t="str">
        <f t="shared" si="1"/>
        <v/>
      </c>
      <c r="C466" s="64"/>
      <c r="D466" s="33" t="str">
        <f ca="1">IFERROR(__xludf.DUMMYFUNCTION("""COMPUTED_VALUE"""),"PROPIOS")</f>
        <v>PROPIOS</v>
      </c>
      <c r="E466" s="33">
        <f ca="1">IFERROR(__xludf.DUMMYFUNCTION("""COMPUTED_VALUE"""),2026)</f>
        <v>2026</v>
      </c>
      <c r="F466" s="56">
        <f ca="1">IFERROR(__xludf.DUMMYFUNCTION("""COMPUTED_VALUE"""),3)</f>
        <v>3</v>
      </c>
      <c r="G466" s="33" t="str">
        <f ca="1">IFERROR(__xludf.DUMMYFUNCTION("""COMPUTED_VALUE"""),"Logroño")</f>
        <v>Logroño</v>
      </c>
      <c r="H466" s="33" t="str">
        <f ca="1">IFERROR(__xludf.DUMMYFUNCTION("""COMPUTED_VALUE"""),"C202621692621997748")</f>
        <v>C202621692621997748</v>
      </c>
      <c r="I466" s="33" t="str">
        <f ca="1">IFERROR(__xludf.DUMMYFUNCTION("""COMPUTED_VALUE"""),"TERESA LERIA RUBIO")</f>
        <v>TERESA LERIA RUBIO</v>
      </c>
      <c r="J466" s="57">
        <f ca="1">IFERROR(__xludf.DUMMYFUNCTION("""COMPUTED_VALUE"""),46069)</f>
        <v>46069</v>
      </c>
      <c r="K466" s="33" t="str">
        <f ca="1">IFERROR(__xludf.DUMMYFUNCTION("""COMPUTED_VALUE"""),"Factura audífonos")</f>
        <v>Factura audífonos</v>
      </c>
      <c r="L466" s="57">
        <f ca="1">IFERROR(__xludf.DUMMYFUNCTION("""COMPUTED_VALUE"""),46111)</f>
        <v>46111</v>
      </c>
      <c r="M466" s="64" t="str">
        <f ca="1">IFERROR(__xludf.DUMMYFUNCTION("""COMPUTED_VALUE"""),"NO")</f>
        <v>NO</v>
      </c>
      <c r="N466" s="56">
        <f ca="1">IFERROR(__xludf.DUMMYFUNCTION("""COMPUTED_VALUE"""),2)</f>
        <v>2</v>
      </c>
      <c r="O466" s="64" t="str">
        <f ca="1">IFERROR(__xludf.DUMMYFUNCTION("""COMPUTED_VALUE"""),"ADVANCED")</f>
        <v>ADVANCED</v>
      </c>
      <c r="P466" s="62">
        <f ca="1">IFERROR(__xludf.DUMMYFUNCTION("""COMPUTED_VALUE"""),4136.36)</f>
        <v>4136.3599999999997</v>
      </c>
      <c r="Q466" s="33" t="str">
        <f ca="1">IFERROR(__xludf.DUMMYFUNCTION("""COMPUTED_VALUE"""),"Lisandro Russian")</f>
        <v>Lisandro Russian</v>
      </c>
      <c r="R466" s="33" t="str">
        <f ca="1">IFERROR(__xludf.DUMMYFUNCTION("""COMPUTED_VALUE"""),"No recuerda ORL")</f>
        <v>No recuerda ORL</v>
      </c>
      <c r="S466" s="61" t="str">
        <f ca="1">IFERROR(__xludf.DUMMYFUNCTION("""COMPUTED_VALUE"""),"03 ORL")</f>
        <v>03 ORL</v>
      </c>
      <c r="T466" s="33" t="str">
        <f ca="1">IFERROR(__xludf.DUMMYFUNCTION("""COMPUTED_VALUE"""),"06 ORL")</f>
        <v>06 ORL</v>
      </c>
      <c r="U466" s="62"/>
      <c r="W466" s="62"/>
      <c r="X466" s="62"/>
    </row>
    <row r="467" spans="2:24" ht="16">
      <c r="B467" s="55" t="str">
        <f t="shared" ca="1" si="1"/>
        <v>MBM</v>
      </c>
      <c r="C467" s="64" t="str">
        <f ca="1">IFERROR(__xludf.DUMMYFUNCTION("""COMPUTED_VALUE"""),"MBM03")</f>
        <v>MBM03</v>
      </c>
      <c r="D467" s="33" t="str">
        <f ca="1">IFERROR(__xludf.DUMMYFUNCTION("""COMPUTED_VALUE"""),"ASOCIADOS")</f>
        <v>ASOCIADOS</v>
      </c>
      <c r="E467" s="33">
        <f ca="1">IFERROR(__xludf.DUMMYFUNCTION("""COMPUTED_VALUE"""),2026)</f>
        <v>2026</v>
      </c>
      <c r="F467" s="56">
        <f ca="1">IFERROR(__xludf.DUMMYFUNCTION("""COMPUTED_VALUE"""),3)</f>
        <v>3</v>
      </c>
      <c r="G467" s="33" t="str">
        <f ca="1">IFERROR(__xludf.DUMMYFUNCTION("""COMPUTED_VALUE"""),"León")</f>
        <v>León</v>
      </c>
      <c r="H467" s="33" t="str">
        <f ca="1">IFERROR(__xludf.DUMMYFUNCTION("""COMPUTED_VALUE"""),"C202621216935172983")</f>
        <v>C202621216935172983</v>
      </c>
      <c r="I467" s="33" t="str">
        <f ca="1">IFERROR(__xludf.DUMMYFUNCTION("""COMPUTED_VALUE"""),"Natividad Martinez Torre")</f>
        <v>Natividad Martinez Torre</v>
      </c>
      <c r="J467" s="57">
        <f ca="1">IFERROR(__xludf.DUMMYFUNCTION("""COMPUTED_VALUE"""),46065)</f>
        <v>46065</v>
      </c>
      <c r="K467" s="33" t="str">
        <f ca="1">IFERROR(__xludf.DUMMYFUNCTION("""COMPUTED_VALUE"""),"Factura audífonos")</f>
        <v>Factura audífonos</v>
      </c>
      <c r="L467" s="57">
        <f ca="1">IFERROR(__xludf.DUMMYFUNCTION("""COMPUTED_VALUE"""),46112)</f>
        <v>46112</v>
      </c>
      <c r="M467" s="64" t="str">
        <f ca="1">IFERROR(__xludf.DUMMYFUNCTION("""COMPUTED_VALUE"""),"NO")</f>
        <v>NO</v>
      </c>
      <c r="N467" s="56">
        <f ca="1">IFERROR(__xludf.DUMMYFUNCTION("""COMPUTED_VALUE"""),1)</f>
        <v>1</v>
      </c>
      <c r="O467" s="64" t="str">
        <f ca="1">IFERROR(__xludf.DUMMYFUNCTION("""COMPUTED_VALUE"""),"PRO")</f>
        <v>PRO</v>
      </c>
      <c r="P467" s="62">
        <f ca="1">IFERROR(__xludf.DUMMYFUNCTION("""COMPUTED_VALUE"""),3743.18)</f>
        <v>3743.18</v>
      </c>
      <c r="Q467" s="33" t="str">
        <f ca="1">IFERROR(__xludf.DUMMYFUNCTION("""COMPUTED_VALUE"""),"Maika Blázquez")</f>
        <v>Maika Blázquez</v>
      </c>
      <c r="R467" s="33" t="str">
        <f ca="1">IFERROR(__xludf.DUMMYFUNCTION("""COMPUTED_VALUE"""),"Alejandro Harguindey Antoli-Candela")</f>
        <v>Alejandro Harguindey Antoli-Candela</v>
      </c>
      <c r="S467" s="61" t="str">
        <f ca="1">IFERROR(__xludf.DUMMYFUNCTION("""COMPUTED_VALUE"""),"03 ORL")</f>
        <v>03 ORL</v>
      </c>
      <c r="T467" s="33" t="str">
        <f ca="1">IFERROR(__xludf.DUMMYFUNCTION("""COMPUTED_VALUE"""),"06 ORL")</f>
        <v>06 ORL</v>
      </c>
      <c r="U467" s="62"/>
      <c r="W467" s="62"/>
      <c r="X467" s="62"/>
    </row>
    <row r="468" spans="2:24" ht="16">
      <c r="B468" s="55" t="str">
        <f t="shared" ca="1" si="1"/>
        <v>ISL</v>
      </c>
      <c r="C468" s="64" t="str">
        <f ca="1">IFERROR(__xludf.DUMMYFUNCTION("""COMPUTED_VALUE"""),"ISL128")</f>
        <v>ISL128</v>
      </c>
      <c r="D468" s="33" t="str">
        <f ca="1">IFERROR(__xludf.DUMMYFUNCTION("""COMPUTED_VALUE"""),"PROPIOS")</f>
        <v>PROPIOS</v>
      </c>
      <c r="E468" s="33">
        <f ca="1">IFERROR(__xludf.DUMMYFUNCTION("""COMPUTED_VALUE"""),2026)</f>
        <v>2026</v>
      </c>
      <c r="F468" s="56">
        <f ca="1">IFERROR(__xludf.DUMMYFUNCTION("""COMPUTED_VALUE"""),3)</f>
        <v>3</v>
      </c>
      <c r="G468" s="33" t="str">
        <f ca="1">IFERROR(__xludf.DUMMYFUNCTION("""COMPUTED_VALUE"""),"Murcia")</f>
        <v>Murcia</v>
      </c>
      <c r="H468" s="33" t="str">
        <f ca="1">IFERROR(__xludf.DUMMYFUNCTION("""COMPUTED_VALUE"""),"C202621816286922226")</f>
        <v>C202621816286922226</v>
      </c>
      <c r="I468" s="33" t="str">
        <f ca="1">IFERROR(__xludf.DUMMYFUNCTION("""COMPUTED_VALUE"""),"JOELLE MANTELET")</f>
        <v>JOELLE MANTELET</v>
      </c>
      <c r="J468" s="57">
        <f ca="1">IFERROR(__xludf.DUMMYFUNCTION("""COMPUTED_VALUE"""),46071)</f>
        <v>46071</v>
      </c>
      <c r="K468" s="33" t="str">
        <f ca="1">IFERROR(__xludf.DUMMYFUNCTION("""COMPUTED_VALUE"""),"Factura audífonos")</f>
        <v>Factura audífonos</v>
      </c>
      <c r="L468" s="57">
        <f ca="1">IFERROR(__xludf.DUMMYFUNCTION("""COMPUTED_VALUE"""),46112)</f>
        <v>46112</v>
      </c>
      <c r="M468" s="58" t="str">
        <f ca="1">IFERROR(__xludf.DUMMYFUNCTION("""COMPUTED_VALUE"""),"NO")</f>
        <v>NO</v>
      </c>
      <c r="N468" s="56">
        <f ca="1">IFERROR(__xludf.DUMMYFUNCTION("""COMPUTED_VALUE"""),2)</f>
        <v>2</v>
      </c>
      <c r="O468" s="64" t="str">
        <f ca="1">IFERROR(__xludf.DUMMYFUNCTION("""COMPUTED_VALUE"""),"QUIET")</f>
        <v>QUIET</v>
      </c>
      <c r="P468" s="62">
        <f ca="1">IFERROR(__xludf.DUMMYFUNCTION("""COMPUTED_VALUE"""),2718.18)</f>
        <v>2718.18</v>
      </c>
      <c r="Q468" s="33" t="str">
        <f ca="1">IFERROR(__xludf.DUMMYFUNCTION("""COMPUTED_VALUE"""),"Iván Sánchez")</f>
        <v>Iván Sánchez</v>
      </c>
      <c r="R468" s="33" t="str">
        <f ca="1">IFERROR(__xludf.DUMMYFUNCTION("""COMPUTED_VALUE"""),"Nuria Salas Barrio")</f>
        <v>Nuria Salas Barrio</v>
      </c>
      <c r="S468" s="61" t="str">
        <f ca="1">IFERROR(__xludf.DUMMYFUNCTION("""COMPUTED_VALUE"""),"03 ORL")</f>
        <v>03 ORL</v>
      </c>
      <c r="T468" s="33" t="str">
        <f ca="1">IFERROR(__xludf.DUMMYFUNCTION("""COMPUTED_VALUE"""),"06 ORL")</f>
        <v>06 ORL</v>
      </c>
      <c r="U468" s="62"/>
      <c r="W468" s="62"/>
      <c r="X468" s="62"/>
    </row>
    <row r="469" spans="2:24" ht="16">
      <c r="B469" s="55" t="str">
        <f t="shared" ca="1" si="1"/>
        <v>LRM</v>
      </c>
      <c r="C469" s="64" t="str">
        <f ca="1">IFERROR(__xludf.DUMMYFUNCTION("""COMPUTED_VALUE"""),"LRM94")</f>
        <v>LRM94</v>
      </c>
      <c r="D469" s="33" t="str">
        <f ca="1">IFERROR(__xludf.DUMMYFUNCTION("""COMPUTED_VALUE"""),"PARTICIPADOS")</f>
        <v>PARTICIPADOS</v>
      </c>
      <c r="E469" s="33">
        <f ca="1">IFERROR(__xludf.DUMMYFUNCTION("""COMPUTED_VALUE"""),2026)</f>
        <v>2026</v>
      </c>
      <c r="F469" s="56">
        <f ca="1">IFERROR(__xludf.DUMMYFUNCTION("""COMPUTED_VALUE"""),3)</f>
        <v>3</v>
      </c>
      <c r="G469" s="33" t="str">
        <f ca="1">IFERROR(__xludf.DUMMYFUNCTION("""COMPUTED_VALUE"""),"Madrid- Costa Rica")</f>
        <v>Madrid- Costa Rica</v>
      </c>
      <c r="H469" s="33" t="str">
        <f ca="1">IFERROR(__xludf.DUMMYFUNCTION("""COMPUTED_VALUE"""),"C202511121256727364")</f>
        <v>C202511121256727364</v>
      </c>
      <c r="I469" s="33" t="str">
        <f ca="1">IFERROR(__xludf.DUMMYFUNCTION("""COMPUTED_VALUE"""),"PEDRO  SAEZ GARCIA")</f>
        <v>PEDRO  SAEZ GARCIA</v>
      </c>
      <c r="J469" s="57">
        <f ca="1">IFERROR(__xludf.DUMMYFUNCTION("""COMPUTED_VALUE"""),45973)</f>
        <v>45973</v>
      </c>
      <c r="K469" s="33" t="str">
        <f ca="1">IFERROR(__xludf.DUMMYFUNCTION("""COMPUTED_VALUE"""),"Factura audífonos")</f>
        <v>Factura audífonos</v>
      </c>
      <c r="L469" s="57">
        <f ca="1">IFERROR(__xludf.DUMMYFUNCTION("""COMPUTED_VALUE"""),46112)</f>
        <v>46112</v>
      </c>
      <c r="M469" s="64" t="str">
        <f ca="1">IFERROR(__xludf.DUMMYFUNCTION("""COMPUTED_VALUE"""),"NO")</f>
        <v>NO</v>
      </c>
      <c r="N469" s="56">
        <f ca="1">IFERROR(__xludf.DUMMYFUNCTION("""COMPUTED_VALUE"""),-1)</f>
        <v>-1</v>
      </c>
      <c r="O469" s="64" t="str">
        <f ca="1">IFERROR(__xludf.DUMMYFUNCTION("""COMPUTED_VALUE"""),"CONFORT")</f>
        <v>CONFORT</v>
      </c>
      <c r="P469" s="62">
        <f ca="1">IFERROR(__xludf.DUMMYFUNCTION("""COMPUTED_VALUE"""),-1631.82)</f>
        <v>-1631.82</v>
      </c>
      <c r="Q469" s="33" t="str">
        <f ca="1">IFERROR(__xludf.DUMMYFUNCTION("""COMPUTED_VALUE"""),"Lisandro Russian")</f>
        <v>Lisandro Russian</v>
      </c>
      <c r="R469" s="33" t="str">
        <f ca="1">IFERROR(__xludf.DUMMYFUNCTION("""COMPUTED_VALUE"""),"Luis Jiménez Ferreres")</f>
        <v>Luis Jiménez Ferreres</v>
      </c>
      <c r="S469" s="61" t="str">
        <f ca="1">IFERROR(__xludf.DUMMYFUNCTION("""COMPUTED_VALUE"""),"03 ORL")</f>
        <v>03 ORL</v>
      </c>
      <c r="T469" s="33" t="str">
        <f ca="1">IFERROR(__xludf.DUMMYFUNCTION("""COMPUTED_VALUE"""),"06 ORL")</f>
        <v>06 ORL</v>
      </c>
      <c r="U469" s="62"/>
      <c r="W469" s="62"/>
      <c r="X469" s="62"/>
    </row>
    <row r="470" spans="2:24" ht="16">
      <c r="B470" s="55" t="str">
        <f t="shared" ca="1" si="1"/>
        <v>ISL</v>
      </c>
      <c r="C470" s="64" t="str">
        <f ca="1">IFERROR(__xludf.DUMMYFUNCTION("""COMPUTED_VALUE"""),"ISL91")</f>
        <v>ISL91</v>
      </c>
      <c r="D470" s="33" t="str">
        <f ca="1">IFERROR(__xludf.DUMMYFUNCTION("""COMPUTED_VALUE"""),"PROPIOS")</f>
        <v>PROPIOS</v>
      </c>
      <c r="E470" s="33">
        <f ca="1">IFERROR(__xludf.DUMMYFUNCTION("""COMPUTED_VALUE"""),2026)</f>
        <v>2026</v>
      </c>
      <c r="F470" s="56">
        <f ca="1">IFERROR(__xludf.DUMMYFUNCTION("""COMPUTED_VALUE"""),3)</f>
        <v>3</v>
      </c>
      <c r="G470" s="33" t="str">
        <f ca="1">IFERROR(__xludf.DUMMYFUNCTION("""COMPUTED_VALUE"""),"Albacete")</f>
        <v>Albacete</v>
      </c>
      <c r="H470" s="33" t="str">
        <f ca="1">IFERROR(__xludf.DUMMYFUNCTION("""COMPUTED_VALUE"""),"C202622415411463016")</f>
        <v>C202622415411463016</v>
      </c>
      <c r="I470" s="33" t="str">
        <f ca="1">IFERROR(__xludf.DUMMYFUNCTION("""COMPUTED_VALUE"""),"PALMIRA MUELA AZORIN")</f>
        <v>PALMIRA MUELA AZORIN</v>
      </c>
      <c r="J470" s="57">
        <f ca="1">IFERROR(__xludf.DUMMYFUNCTION("""COMPUTED_VALUE"""),46077)</f>
        <v>46077</v>
      </c>
      <c r="K470" s="33" t="str">
        <f ca="1">IFERROR(__xludf.DUMMYFUNCTION("""COMPUTED_VALUE"""),"Factura audífonos")</f>
        <v>Factura audífonos</v>
      </c>
      <c r="L470" s="57">
        <f ca="1">IFERROR(__xludf.DUMMYFUNCTION("""COMPUTED_VALUE"""),46112)</f>
        <v>46112</v>
      </c>
      <c r="M470" s="64" t="str">
        <f ca="1">IFERROR(__xludf.DUMMYFUNCTION("""COMPUTED_VALUE"""),"NO")</f>
        <v>NO</v>
      </c>
      <c r="N470" s="56">
        <f ca="1">IFERROR(__xludf.DUMMYFUNCTION("""COMPUTED_VALUE"""),2)</f>
        <v>2</v>
      </c>
      <c r="O470" s="64" t="str">
        <f ca="1">IFERROR(__xludf.DUMMYFUNCTION("""COMPUTED_VALUE"""),"QUIET")</f>
        <v>QUIET</v>
      </c>
      <c r="P470" s="62">
        <f ca="1">IFERROR(__xludf.DUMMYFUNCTION("""COMPUTED_VALUE"""),2818.18)</f>
        <v>2818.18</v>
      </c>
      <c r="Q470" s="33" t="str">
        <f ca="1">IFERROR(__xludf.DUMMYFUNCTION("""COMPUTED_VALUE"""),"Iván Sánchez")</f>
        <v>Iván Sánchez</v>
      </c>
      <c r="R470" s="33" t="str">
        <f ca="1">IFERROR(__xludf.DUMMYFUNCTION("""COMPUTED_VALUE"""),"Alejandra Jara Maquilón")</f>
        <v>Alejandra Jara Maquilón</v>
      </c>
      <c r="S470" s="61" t="str">
        <f ca="1">IFERROR(__xludf.DUMMYFUNCTION("""COMPUTED_VALUE"""),"03 ORL")</f>
        <v>03 ORL</v>
      </c>
      <c r="T470" s="33" t="str">
        <f ca="1">IFERROR(__xludf.DUMMYFUNCTION("""COMPUTED_VALUE"""),"06 ORL")</f>
        <v>06 ORL</v>
      </c>
      <c r="U470" s="62"/>
      <c r="W470" s="62"/>
      <c r="X470" s="62"/>
    </row>
    <row r="471" spans="2:24" ht="16">
      <c r="B471" s="55" t="str">
        <f t="shared" ca="1" si="1"/>
        <v>#N/</v>
      </c>
      <c r="C471" s="64" t="str">
        <f ca="1">IFERROR(__xludf.DUMMYFUNCTION("""COMPUTED_VALUE"""),"#N/A")</f>
        <v>#N/A</v>
      </c>
      <c r="D471" s="33" t="str">
        <f ca="1">IFERROR(__xludf.DUMMYFUNCTION("""COMPUTED_VALUE"""),"PROPIOS")</f>
        <v>PROPIOS</v>
      </c>
      <c r="E471" s="33">
        <f ca="1">IFERROR(__xludf.DUMMYFUNCTION("""COMPUTED_VALUE"""),2026)</f>
        <v>2026</v>
      </c>
      <c r="F471" s="56">
        <f ca="1">IFERROR(__xludf.DUMMYFUNCTION("""COMPUTED_VALUE"""),3)</f>
        <v>3</v>
      </c>
      <c r="G471" s="33" t="str">
        <f ca="1">IFERROR(__xludf.DUMMYFUNCTION("""COMPUTED_VALUE"""),"Murcia")</f>
        <v>Murcia</v>
      </c>
      <c r="H471" s="33" t="str">
        <f ca="1">IFERROR(__xludf.DUMMYFUNCTION("""COMPUTED_VALUE"""),"MUR-1812")</f>
        <v>MUR-1812</v>
      </c>
      <c r="I471" s="33" t="str">
        <f ca="1">IFERROR(__xludf.DUMMYFUNCTION("""COMPUTED_VALUE"""),"MARIA PILAR FERNANDEZ-PACHECO PEREZ")</f>
        <v>MARIA PILAR FERNANDEZ-PACHECO PEREZ</v>
      </c>
      <c r="J471" s="57">
        <f ca="1">IFERROR(__xludf.DUMMYFUNCTION("""COMPUTED_VALUE"""),45308)</f>
        <v>45308</v>
      </c>
      <c r="K471" s="33" t="str">
        <f ca="1">IFERROR(__xludf.DUMMYFUNCTION("""COMPUTED_VALUE"""),"Factura audífonos")</f>
        <v>Factura audífonos</v>
      </c>
      <c r="L471" s="57">
        <f ca="1">IFERROR(__xludf.DUMMYFUNCTION("""COMPUTED_VALUE"""),46112)</f>
        <v>46112</v>
      </c>
      <c r="M471" s="64" t="str">
        <f ca="1">IFERROR(__xludf.DUMMYFUNCTION("""COMPUTED_VALUE"""),"NO")</f>
        <v>NO</v>
      </c>
      <c r="N471" s="56">
        <f ca="1">IFERROR(__xludf.DUMMYFUNCTION("""COMPUTED_VALUE"""),1)</f>
        <v>1</v>
      </c>
      <c r="O471" s="64" t="str">
        <f ca="1">IFERROR(__xludf.DUMMYFUNCTION("""COMPUTED_VALUE"""),"ADVANCED")</f>
        <v>ADVANCED</v>
      </c>
      <c r="P471" s="62">
        <f ca="1">IFERROR(__xludf.DUMMYFUNCTION("""COMPUTED_VALUE"""),2482.69)</f>
        <v>2482.69</v>
      </c>
      <c r="Q471" s="33" t="str">
        <f ca="1">IFERROR(__xludf.DUMMYFUNCTION("""COMPUTED_VALUE"""),"Iván Sánchez")</f>
        <v>Iván Sánchez</v>
      </c>
      <c r="R471" s="33" t="str">
        <f ca="1">IFERROR(__xludf.DUMMYFUNCTION("""COMPUTED_VALUE"""),"Ana Giribet Fernandez-Pacheco")</f>
        <v>Ana Giribet Fernandez-Pacheco</v>
      </c>
      <c r="S471" s="61" t="str">
        <f ca="1">IFERROR(__xludf.DUMMYFUNCTION("""COMPUTED_VALUE"""),"03 ORL")</f>
        <v>03 ORL</v>
      </c>
      <c r="T471" s="33" t="str">
        <f ca="1">IFERROR(__xludf.DUMMYFUNCTION("""COMPUTED_VALUE"""),"06 ORL")</f>
        <v>06 ORL</v>
      </c>
      <c r="U471" s="62"/>
      <c r="W471" s="62"/>
      <c r="X471" s="62"/>
    </row>
    <row r="472" spans="2:24" ht="16">
      <c r="B472" s="55" t="str">
        <f t="shared" ca="1" si="1"/>
        <v>#N/</v>
      </c>
      <c r="C472" s="64" t="str">
        <f ca="1">IFERROR(__xludf.DUMMYFUNCTION("""COMPUTED_VALUE"""),"#N/A")</f>
        <v>#N/A</v>
      </c>
      <c r="D472" s="33" t="str">
        <f ca="1">IFERROR(__xludf.DUMMYFUNCTION("""COMPUTED_VALUE"""),"PROPIOS")</f>
        <v>PROPIOS</v>
      </c>
      <c r="E472" s="33">
        <f ca="1">IFERROR(__xludf.DUMMYFUNCTION("""COMPUTED_VALUE"""),2026)</f>
        <v>2026</v>
      </c>
      <c r="F472" s="56">
        <f ca="1">IFERROR(__xludf.DUMMYFUNCTION("""COMPUTED_VALUE"""),3)</f>
        <v>3</v>
      </c>
      <c r="G472" s="33" t="str">
        <f ca="1">IFERROR(__xludf.DUMMYFUNCTION("""COMPUTED_VALUE"""),"Getafe")</f>
        <v>Getafe</v>
      </c>
      <c r="H472" s="33" t="str">
        <f ca="1">IFERROR(__xludf.DUMMYFUNCTION("""COMPUTED_VALUE"""),"C202622510205223542")</f>
        <v>C202622510205223542</v>
      </c>
      <c r="I472" s="33" t="str">
        <f ca="1">IFERROR(__xludf.DUMMYFUNCTION("""COMPUTED_VALUE"""),"ESPERANZA IZQUIERDO LUIS")</f>
        <v>ESPERANZA IZQUIERDO LUIS</v>
      </c>
      <c r="J472" s="57">
        <f ca="1">IFERROR(__xludf.DUMMYFUNCTION("""COMPUTED_VALUE"""),46078)</f>
        <v>46078</v>
      </c>
      <c r="K472" s="33" t="str">
        <f ca="1">IFERROR(__xludf.DUMMYFUNCTION("""COMPUTED_VALUE"""),"Factura audífonos")</f>
        <v>Factura audífonos</v>
      </c>
      <c r="L472" s="57">
        <f ca="1">IFERROR(__xludf.DUMMYFUNCTION("""COMPUTED_VALUE"""),46112)</f>
        <v>46112</v>
      </c>
      <c r="M472" s="64" t="str">
        <f ca="1">IFERROR(__xludf.DUMMYFUNCTION("""COMPUTED_VALUE"""),"NO")</f>
        <v>NO</v>
      </c>
      <c r="N472" s="56">
        <f ca="1">IFERROR(__xludf.DUMMYFUNCTION("""COMPUTED_VALUE"""),2)</f>
        <v>2</v>
      </c>
      <c r="O472" s="64" t="str">
        <f ca="1">IFERROR(__xludf.DUMMYFUNCTION("""COMPUTED_VALUE"""),"TRIAL")</f>
        <v>TRIAL</v>
      </c>
      <c r="P472" s="62">
        <f ca="1">IFERROR(__xludf.DUMMYFUNCTION("""COMPUTED_VALUE"""),3450)</f>
        <v>3450</v>
      </c>
      <c r="Q472" s="33" t="str">
        <f ca="1">IFERROR(__xludf.DUMMYFUNCTION("""COMPUTED_VALUE"""),"Maika Blázquez")</f>
        <v>Maika Blázquez</v>
      </c>
      <c r="R472" s="33" t="str">
        <f ca="1">IFERROR(__xludf.DUMMYFUNCTION("""COMPUTED_VALUE"""),"Cristina Herrero Fernández")</f>
        <v>Cristina Herrero Fernández</v>
      </c>
      <c r="S472" s="61" t="str">
        <f ca="1">IFERROR(__xludf.DUMMYFUNCTION("""COMPUTED_VALUE"""),"03 ORL")</f>
        <v>03 ORL</v>
      </c>
      <c r="T472" s="33" t="str">
        <f ca="1">IFERROR(__xludf.DUMMYFUNCTION("""COMPUTED_VALUE"""),"06 ORL")</f>
        <v>06 ORL</v>
      </c>
      <c r="U472" s="62"/>
      <c r="W472" s="62"/>
      <c r="X472" s="62"/>
    </row>
    <row r="473" spans="2:24" ht="16">
      <c r="B473" s="55" t="str">
        <f t="shared" ca="1" si="1"/>
        <v>MBM</v>
      </c>
      <c r="C473" s="64" t="str">
        <f ca="1">IFERROR(__xludf.DUMMYFUNCTION("""COMPUTED_VALUE"""),"MBM191")</f>
        <v>MBM191</v>
      </c>
      <c r="D473" s="33" t="str">
        <f ca="1">IFERROR(__xludf.DUMMYFUNCTION("""COMPUTED_VALUE"""),"PROPIOS")</f>
        <v>PROPIOS</v>
      </c>
      <c r="E473" s="33">
        <f ca="1">IFERROR(__xludf.DUMMYFUNCTION("""COMPUTED_VALUE"""),2026)</f>
        <v>2026</v>
      </c>
      <c r="F473" s="56">
        <f ca="1">IFERROR(__xludf.DUMMYFUNCTION("""COMPUTED_VALUE"""),3)</f>
        <v>3</v>
      </c>
      <c r="G473" s="33" t="str">
        <f ca="1">IFERROR(__xludf.DUMMYFUNCTION("""COMPUTED_VALUE"""),"Leganés")</f>
        <v>Leganés</v>
      </c>
      <c r="H473" s="33" t="str">
        <f ca="1">IFERROR(__xludf.DUMMYFUNCTION("""COMPUTED_VALUE"""),"C202621718264768381")</f>
        <v>C202621718264768381</v>
      </c>
      <c r="I473" s="33" t="str">
        <f ca="1">IFERROR(__xludf.DUMMYFUNCTION("""COMPUTED_VALUE"""),"TERESA CHAMORRO LÓPEZ")</f>
        <v>TERESA CHAMORRO LÓPEZ</v>
      </c>
      <c r="J473" s="57">
        <f ca="1">IFERROR(__xludf.DUMMYFUNCTION("""COMPUTED_VALUE"""),46070)</f>
        <v>46070</v>
      </c>
      <c r="K473" s="33" t="str">
        <f ca="1">IFERROR(__xludf.DUMMYFUNCTION("""COMPUTED_VALUE"""),"Factura audífonos")</f>
        <v>Factura audífonos</v>
      </c>
      <c r="L473" s="57">
        <f ca="1">IFERROR(__xludf.DUMMYFUNCTION("""COMPUTED_VALUE"""),46112)</f>
        <v>46112</v>
      </c>
      <c r="M473" s="64" t="str">
        <f ca="1">IFERROR(__xludf.DUMMYFUNCTION("""COMPUTED_VALUE"""),"NO")</f>
        <v>NO</v>
      </c>
      <c r="N473" s="56">
        <f ca="1">IFERROR(__xludf.DUMMYFUNCTION("""COMPUTED_VALUE"""),2)</f>
        <v>2</v>
      </c>
      <c r="O473" s="64" t="str">
        <f ca="1">IFERROR(__xludf.DUMMYFUNCTION("""COMPUTED_VALUE"""),"QUIET")</f>
        <v>QUIET</v>
      </c>
      <c r="P473" s="62">
        <f ca="1">IFERROR(__xludf.DUMMYFUNCTION("""COMPUTED_VALUE"""),2718.18)</f>
        <v>2718.18</v>
      </c>
      <c r="Q473" s="33" t="str">
        <f ca="1">IFERROR(__xludf.DUMMYFUNCTION("""COMPUTED_VALUE"""),"Maika Blázquez")</f>
        <v>Maika Blázquez</v>
      </c>
      <c r="R473" s="33" t="str">
        <f ca="1">IFERROR(__xludf.DUMMYFUNCTION("""COMPUTED_VALUE"""),"Elena Martín Bejerano")</f>
        <v>Elena Martín Bejerano</v>
      </c>
      <c r="S473" s="61" t="str">
        <f ca="1">IFERROR(__xludf.DUMMYFUNCTION("""COMPUTED_VALUE"""),"03 ORL")</f>
        <v>03 ORL</v>
      </c>
      <c r="T473" s="33" t="str">
        <f ca="1">IFERROR(__xludf.DUMMYFUNCTION("""COMPUTED_VALUE"""),"06 ORL")</f>
        <v>06 ORL</v>
      </c>
      <c r="U473" s="62"/>
      <c r="W473" s="62"/>
      <c r="X473" s="62"/>
    </row>
    <row r="474" spans="2:24" ht="16">
      <c r="B474" s="55" t="str">
        <f t="shared" ca="1" si="1"/>
        <v>ISL</v>
      </c>
      <c r="C474" s="64" t="str">
        <f ca="1">IFERROR(__xludf.DUMMYFUNCTION("""COMPUTED_VALUE"""),"ISL122")</f>
        <v>ISL122</v>
      </c>
      <c r="D474" s="33" t="str">
        <f ca="1">IFERROR(__xludf.DUMMYFUNCTION("""COMPUTED_VALUE"""),"PROPIOS")</f>
        <v>PROPIOS</v>
      </c>
      <c r="E474" s="33">
        <f ca="1">IFERROR(__xludf.DUMMYFUNCTION("""COMPUTED_VALUE"""),2026)</f>
        <v>2026</v>
      </c>
      <c r="F474" s="56">
        <f ca="1">IFERROR(__xludf.DUMMYFUNCTION("""COMPUTED_VALUE"""),3)</f>
        <v>3</v>
      </c>
      <c r="G474" s="33" t="str">
        <f ca="1">IFERROR(__xludf.DUMMYFUNCTION("""COMPUTED_VALUE"""),"Murcia")</f>
        <v>Murcia</v>
      </c>
      <c r="H474" s="33" t="str">
        <f ca="1">IFERROR(__xludf.DUMMYFUNCTION("""COMPUTED_VALUE"""),"C202623101617395124")</f>
        <v>C202623101617395124</v>
      </c>
      <c r="I474" s="33" t="str">
        <f ca="1">IFERROR(__xludf.DUMMYFUNCTION("""COMPUTED_VALUE"""),"MANUEL FERNANDEZ GALLEGO")</f>
        <v>MANUEL FERNANDEZ GALLEGO</v>
      </c>
      <c r="J474" s="57">
        <f ca="1">IFERROR(__xludf.DUMMYFUNCTION("""COMPUTED_VALUE"""),46056)</f>
        <v>46056</v>
      </c>
      <c r="K474" s="33" t="str">
        <f ca="1">IFERROR(__xludf.DUMMYFUNCTION("""COMPUTED_VALUE"""),"Factura audífonos")</f>
        <v>Factura audífonos</v>
      </c>
      <c r="L474" s="57">
        <f ca="1">IFERROR(__xludf.DUMMYFUNCTION("""COMPUTED_VALUE"""),46112)</f>
        <v>46112</v>
      </c>
      <c r="M474" s="64" t="str">
        <f ca="1">IFERROR(__xludf.DUMMYFUNCTION("""COMPUTED_VALUE"""),"NO")</f>
        <v>NO</v>
      </c>
      <c r="N474" s="56">
        <f ca="1">IFERROR(__xludf.DUMMYFUNCTION("""COMPUTED_VALUE"""),2)</f>
        <v>2</v>
      </c>
      <c r="O474" s="64" t="str">
        <f ca="1">IFERROR(__xludf.DUMMYFUNCTION("""COMPUTED_VALUE"""),"ADVANCED")</f>
        <v>ADVANCED</v>
      </c>
      <c r="P474" s="62">
        <f ca="1">IFERROR(__xludf.DUMMYFUNCTION("""COMPUTED_VALUE"""),4136.36)</f>
        <v>4136.3599999999997</v>
      </c>
      <c r="Q474" s="33" t="str">
        <f ca="1">IFERROR(__xludf.DUMMYFUNCTION("""COMPUTED_VALUE"""),"Iván Sánchez")</f>
        <v>Iván Sánchez</v>
      </c>
      <c r="R474" s="33" t="str">
        <f ca="1">IFERROR(__xludf.DUMMYFUNCTION("""COMPUTED_VALUE"""),"María Agustina Sevilla García")</f>
        <v>María Agustina Sevilla García</v>
      </c>
      <c r="S474" s="61" t="str">
        <f ca="1">IFERROR(__xludf.DUMMYFUNCTION("""COMPUTED_VALUE"""),"03 ORL")</f>
        <v>03 ORL</v>
      </c>
      <c r="T474" s="33" t="str">
        <f ca="1">IFERROR(__xludf.DUMMYFUNCTION("""COMPUTED_VALUE"""),"22 AUDIOMETRIA CLINICA")</f>
        <v>22 AUDIOMETRIA CLINICA</v>
      </c>
      <c r="U474" s="62"/>
      <c r="W474" s="62"/>
      <c r="X474" s="62"/>
    </row>
    <row r="475" spans="2:24" ht="16">
      <c r="B475" s="55" t="str">
        <f t="shared" ca="1" si="1"/>
        <v>PSC</v>
      </c>
      <c r="C475" s="64" t="str">
        <f ca="1">IFERROR(__xludf.DUMMYFUNCTION("""COMPUTED_VALUE"""),"PSC02")</f>
        <v>PSC02</v>
      </c>
      <c r="D475" s="33" t="str">
        <f ca="1">IFERROR(__xludf.DUMMYFUNCTION("""COMPUTED_VALUE"""),"ASOCIADOS")</f>
        <v>ASOCIADOS</v>
      </c>
      <c r="E475" s="33">
        <f ca="1">IFERROR(__xludf.DUMMYFUNCTION("""COMPUTED_VALUE"""),2026)</f>
        <v>2026</v>
      </c>
      <c r="F475" s="56">
        <f ca="1">IFERROR(__xludf.DUMMYFUNCTION("""COMPUTED_VALUE"""),3)</f>
        <v>3</v>
      </c>
      <c r="G475" s="33" t="str">
        <f ca="1">IFERROR(__xludf.DUMMYFUNCTION("""COMPUTED_VALUE"""),"Salamanca")</f>
        <v>Salamanca</v>
      </c>
      <c r="H475" s="33" t="str">
        <f ca="1">IFERROR(__xludf.DUMMYFUNCTION("""COMPUTED_VALUE"""),"C202621812193368454")</f>
        <v>C202621812193368454</v>
      </c>
      <c r="I475" s="33" t="str">
        <f ca="1">IFERROR(__xludf.DUMMYFUNCTION("""COMPUTED_VALUE"""),"Carmen Guinarte Perez")</f>
        <v>Carmen Guinarte Perez</v>
      </c>
      <c r="J475" s="57">
        <f ca="1">IFERROR(__xludf.DUMMYFUNCTION("""COMPUTED_VALUE"""),46071)</f>
        <v>46071</v>
      </c>
      <c r="K475" s="33" t="str">
        <f ca="1">IFERROR(__xludf.DUMMYFUNCTION("""COMPUTED_VALUE"""),"Factura audífonos")</f>
        <v>Factura audífonos</v>
      </c>
      <c r="L475" s="57">
        <f ca="1">IFERROR(__xludf.DUMMYFUNCTION("""COMPUTED_VALUE"""),46112)</f>
        <v>46112</v>
      </c>
      <c r="M475" s="64" t="str">
        <f ca="1">IFERROR(__xludf.DUMMYFUNCTION("""COMPUTED_VALUE"""),"NO")</f>
        <v>NO</v>
      </c>
      <c r="N475" s="56">
        <f ca="1">IFERROR(__xludf.DUMMYFUNCTION("""COMPUTED_VALUE"""),2)</f>
        <v>2</v>
      </c>
      <c r="O475" s="64" t="str">
        <f ca="1">IFERROR(__xludf.DUMMYFUNCTION("""COMPUTED_VALUE"""),"CONFORT")</f>
        <v>CONFORT</v>
      </c>
      <c r="P475" s="62">
        <f ca="1">IFERROR(__xludf.DUMMYFUNCTION("""COMPUTED_VALUE"""),3730)</f>
        <v>3730</v>
      </c>
      <c r="Q475" s="33" t="str">
        <f ca="1">IFERROR(__xludf.DUMMYFUNCTION("""COMPUTED_VALUE"""),"Alberto Moreno")</f>
        <v>Alberto Moreno</v>
      </c>
      <c r="R475" s="33" t="str">
        <f ca="1">IFERROR(__xludf.DUMMYFUNCTION("""COMPUTED_VALUE"""),"Ángel Muñoz Herrera")</f>
        <v>Ángel Muñoz Herrera</v>
      </c>
      <c r="S475" s="61" t="str">
        <f ca="1">IFERROR(__xludf.DUMMYFUNCTION("""COMPUTED_VALUE"""),"03 ORL")</f>
        <v>03 ORL</v>
      </c>
      <c r="T475" s="33" t="str">
        <f ca="1">IFERROR(__xludf.DUMMYFUNCTION("""COMPUTED_VALUE"""),"06 ORL")</f>
        <v>06 ORL</v>
      </c>
      <c r="U475" s="62"/>
      <c r="W475" s="62"/>
      <c r="X475" s="62"/>
    </row>
    <row r="476" spans="2:24" ht="16">
      <c r="B476" s="55" t="str">
        <f t="shared" ca="1" si="1"/>
        <v>LRM</v>
      </c>
      <c r="C476" s="64" t="str">
        <f ca="1">IFERROR(__xludf.DUMMYFUNCTION("""COMPUTED_VALUE"""),"LRM222")</f>
        <v>LRM222</v>
      </c>
      <c r="D476" s="33" t="str">
        <f ca="1">IFERROR(__xludf.DUMMYFUNCTION("""COMPUTED_VALUE"""),"PROPIOS")</f>
        <v>PROPIOS</v>
      </c>
      <c r="E476" s="33">
        <f ca="1">IFERROR(__xludf.DUMMYFUNCTION("""COMPUTED_VALUE"""),2026)</f>
        <v>2026</v>
      </c>
      <c r="F476" s="56">
        <f ca="1">IFERROR(__xludf.DUMMYFUNCTION("""COMPUTED_VALUE"""),3)</f>
        <v>3</v>
      </c>
      <c r="G476" s="33" t="str">
        <f ca="1">IFERROR(__xludf.DUMMYFUNCTION("""COMPUTED_VALUE"""),"Leganés")</f>
        <v>Leganés</v>
      </c>
      <c r="H476" s="33" t="str">
        <f ca="1">IFERROR(__xludf.DUMMYFUNCTION("""COMPUTED_VALUE"""),"C2026399930726458")</f>
        <v>C2026399930726458</v>
      </c>
      <c r="I476" s="33" t="str">
        <f ca="1">IFERROR(__xludf.DUMMYFUNCTION("""COMPUTED_VALUE"""),"FRANCISCO SERRANO RODRIGUEZ DE GUZMAN")</f>
        <v>FRANCISCO SERRANO RODRIGUEZ DE GUZMAN</v>
      </c>
      <c r="J476" s="57">
        <f ca="1">IFERROR(__xludf.DUMMYFUNCTION("""COMPUTED_VALUE"""),46090)</f>
        <v>46090</v>
      </c>
      <c r="K476" s="33" t="str">
        <f ca="1">IFERROR(__xludf.DUMMYFUNCTION("""COMPUTED_VALUE"""),"Factura audífonos")</f>
        <v>Factura audífonos</v>
      </c>
      <c r="L476" s="57">
        <f ca="1">IFERROR(__xludf.DUMMYFUNCTION("""COMPUTED_VALUE"""),46112)</f>
        <v>46112</v>
      </c>
      <c r="M476" s="64" t="str">
        <f ca="1">IFERROR(__xludf.DUMMYFUNCTION("""COMPUTED_VALUE"""),"NO")</f>
        <v>NO</v>
      </c>
      <c r="N476" s="56">
        <f ca="1">IFERROR(__xludf.DUMMYFUNCTION("""COMPUTED_VALUE"""),2)</f>
        <v>2</v>
      </c>
      <c r="O476" s="64" t="str">
        <f ca="1">IFERROR(__xludf.DUMMYFUNCTION("""COMPUTED_VALUE"""),"QUIET")</f>
        <v>QUIET</v>
      </c>
      <c r="P476" s="62">
        <f ca="1">IFERROR(__xludf.DUMMYFUNCTION("""COMPUTED_VALUE"""),2718.18)</f>
        <v>2718.18</v>
      </c>
      <c r="Q476" s="33" t="str">
        <f ca="1">IFERROR(__xludf.DUMMYFUNCTION("""COMPUTED_VALUE"""),"Maika Blázquez")</f>
        <v>Maika Blázquez</v>
      </c>
      <c r="R476" s="33" t="str">
        <f ca="1">IFERROR(__xludf.DUMMYFUNCTION("""COMPUTED_VALUE"""),"Nuria Arnaiz Canora")</f>
        <v>Nuria Arnaiz Canora</v>
      </c>
      <c r="S476" s="61" t="str">
        <f ca="1">IFERROR(__xludf.DUMMYFUNCTION("""COMPUTED_VALUE"""),"03 ORL")</f>
        <v>03 ORL</v>
      </c>
      <c r="T476" s="33" t="str">
        <f ca="1">IFERROR(__xludf.DUMMYFUNCTION("""COMPUTED_VALUE"""),"06 ORL")</f>
        <v>06 ORL</v>
      </c>
      <c r="U476" s="62"/>
      <c r="W476" s="62"/>
      <c r="X476" s="62"/>
    </row>
    <row r="477" spans="2:24" ht="16">
      <c r="B477" s="55" t="str">
        <f t="shared" si="1"/>
        <v/>
      </c>
      <c r="C477" s="64"/>
      <c r="D477" s="33" t="str">
        <f ca="1">IFERROR(__xludf.DUMMYFUNCTION("""COMPUTED_VALUE"""),"PROPIOS")</f>
        <v>PROPIOS</v>
      </c>
      <c r="E477" s="33">
        <f ca="1">IFERROR(__xludf.DUMMYFUNCTION("""COMPUTED_VALUE"""),2026)</f>
        <v>2026</v>
      </c>
      <c r="F477" s="56">
        <f ca="1">IFERROR(__xludf.DUMMYFUNCTION("""COMPUTED_VALUE"""),3)</f>
        <v>3</v>
      </c>
      <c r="G477" s="33" t="str">
        <f ca="1">IFERROR(__xludf.DUMMYFUNCTION("""COMPUTED_VALUE"""),"Logroño")</f>
        <v>Logroño</v>
      </c>
      <c r="H477" s="33" t="str">
        <f ca="1">IFERROR(__xludf.DUMMYFUNCTION("""COMPUTED_VALUE"""),"C2026291005304025")</f>
        <v>C2026291005304025</v>
      </c>
      <c r="I477" s="33" t="str">
        <f ca="1">IFERROR(__xludf.DUMMYFUNCTION("""COMPUTED_VALUE"""),"MARIA LOURDES  FRIAS VITORES")</f>
        <v>MARIA LOURDES  FRIAS VITORES</v>
      </c>
      <c r="J477" s="57">
        <f ca="1">IFERROR(__xludf.DUMMYFUNCTION("""COMPUTED_VALUE"""),46062)</f>
        <v>46062</v>
      </c>
      <c r="K477" s="33" t="str">
        <f ca="1">IFERROR(__xludf.DUMMYFUNCTION("""COMPUTED_VALUE"""),"Factura audífonos")</f>
        <v>Factura audífonos</v>
      </c>
      <c r="L477" s="57">
        <f ca="1">IFERROR(__xludf.DUMMYFUNCTION("""COMPUTED_VALUE"""),46112)</f>
        <v>46112</v>
      </c>
      <c r="M477" s="64" t="str">
        <f ca="1">IFERROR(__xludf.DUMMYFUNCTION("""COMPUTED_VALUE"""),"NO")</f>
        <v>NO</v>
      </c>
      <c r="N477" s="56">
        <f ca="1">IFERROR(__xludf.DUMMYFUNCTION("""COMPUTED_VALUE"""),2)</f>
        <v>2</v>
      </c>
      <c r="O477" s="64" t="str">
        <f ca="1">IFERROR(__xludf.DUMMYFUNCTION("""COMPUTED_VALUE"""),"QUIET")</f>
        <v>QUIET</v>
      </c>
      <c r="P477" s="62">
        <f ca="1">IFERROR(__xludf.DUMMYFUNCTION("""COMPUTED_VALUE"""),2718.18)</f>
        <v>2718.18</v>
      </c>
      <c r="Q477" s="33" t="str">
        <f ca="1">IFERROR(__xludf.DUMMYFUNCTION("""COMPUTED_VALUE"""),"Lisandro Russian")</f>
        <v>Lisandro Russian</v>
      </c>
      <c r="R477" s="33" t="str">
        <f ca="1">IFERROR(__xludf.DUMMYFUNCTION("""COMPUTED_VALUE"""),"No recuerda ORL")</f>
        <v>No recuerda ORL</v>
      </c>
      <c r="S477" s="61" t="str">
        <f ca="1">IFERROR(__xludf.DUMMYFUNCTION("""COMPUTED_VALUE"""),"03 ORL")</f>
        <v>03 ORL</v>
      </c>
      <c r="T477" s="33" t="str">
        <f ca="1">IFERROR(__xludf.DUMMYFUNCTION("""COMPUTED_VALUE"""),"06 ORL")</f>
        <v>06 ORL</v>
      </c>
      <c r="U477" s="62"/>
      <c r="W477" s="62"/>
      <c r="X477" s="62"/>
    </row>
    <row r="478" spans="2:24" ht="16">
      <c r="B478" s="55" t="str">
        <f t="shared" ca="1" si="1"/>
        <v>PSC</v>
      </c>
      <c r="C478" s="64" t="str">
        <f ca="1">IFERROR(__xludf.DUMMYFUNCTION("""COMPUTED_VALUE"""),"PSC31")</f>
        <v>PSC31</v>
      </c>
      <c r="D478" s="33" t="str">
        <f ca="1">IFERROR(__xludf.DUMMYFUNCTION("""COMPUTED_VALUE"""),"ASOCIADOS")</f>
        <v>ASOCIADOS</v>
      </c>
      <c r="E478" s="33">
        <f ca="1">IFERROR(__xludf.DUMMYFUNCTION("""COMPUTED_VALUE"""),2026)</f>
        <v>2026</v>
      </c>
      <c r="F478" s="56">
        <f ca="1">IFERROR(__xludf.DUMMYFUNCTION("""COMPUTED_VALUE"""),3)</f>
        <v>3</v>
      </c>
      <c r="G478" s="33" t="str">
        <f ca="1">IFERROR(__xludf.DUMMYFUNCTION("""COMPUTED_VALUE"""),"Valladolid")</f>
        <v>Valladolid</v>
      </c>
      <c r="H478" s="33" t="str">
        <f ca="1">IFERROR(__xludf.DUMMYFUNCTION("""COMPUTED_VALUE"""),"C202625165834361107")</f>
        <v>C202625165834361107</v>
      </c>
      <c r="I478" s="33" t="str">
        <f ca="1">IFERROR(__xludf.DUMMYFUNCTION("""COMPUTED_VALUE"""),"MARIA DEL CARMEN GARCIA RUA")</f>
        <v>MARIA DEL CARMEN GARCIA RUA</v>
      </c>
      <c r="J478" s="57">
        <f ca="1">IFERROR(__xludf.DUMMYFUNCTION("""COMPUTED_VALUE"""),46058)</f>
        <v>46058</v>
      </c>
      <c r="K478" s="33" t="str">
        <f ca="1">IFERROR(__xludf.DUMMYFUNCTION("""COMPUTED_VALUE"""),"Factura audífonos")</f>
        <v>Factura audífonos</v>
      </c>
      <c r="L478" s="57">
        <f ca="1">IFERROR(__xludf.DUMMYFUNCTION("""COMPUTED_VALUE"""),46112)</f>
        <v>46112</v>
      </c>
      <c r="M478" s="64" t="str">
        <f ca="1">IFERROR(__xludf.DUMMYFUNCTION("""COMPUTED_VALUE"""),"NO")</f>
        <v>NO</v>
      </c>
      <c r="N478" s="56">
        <f ca="1">IFERROR(__xludf.DUMMYFUNCTION("""COMPUTED_VALUE"""),1)</f>
        <v>1</v>
      </c>
      <c r="O478" s="64" t="str">
        <f ca="1">IFERROR(__xludf.DUMMYFUNCTION("""COMPUTED_VALUE"""),"PRO")</f>
        <v>PRO</v>
      </c>
      <c r="P478" s="62">
        <f ca="1">IFERROR(__xludf.DUMMYFUNCTION("""COMPUTED_VALUE"""),2307.27)</f>
        <v>2307.27</v>
      </c>
      <c r="Q478" s="33" t="str">
        <f ca="1">IFERROR(__xludf.DUMMYFUNCTION("""COMPUTED_VALUE"""),"Alberto Moreno")</f>
        <v>Alberto Moreno</v>
      </c>
      <c r="R478" s="33" t="str">
        <f ca="1">IFERROR(__xludf.DUMMYFUNCTION("""COMPUTED_VALUE"""),"Ana Fernández Rodríguez")</f>
        <v>Ana Fernández Rodríguez</v>
      </c>
      <c r="S478" s="61" t="str">
        <f ca="1">IFERROR(__xludf.DUMMYFUNCTION("""COMPUTED_VALUE"""),"03 ORL")</f>
        <v>03 ORL</v>
      </c>
      <c r="T478" s="33" t="str">
        <f ca="1">IFERROR(__xludf.DUMMYFUNCTION("""COMPUTED_VALUE"""),"06 ORL")</f>
        <v>06 ORL</v>
      </c>
      <c r="U478" s="62"/>
      <c r="W478" s="62"/>
      <c r="X478" s="62"/>
    </row>
    <row r="479" spans="2:24" ht="16">
      <c r="B479" s="55" t="str">
        <f t="shared" si="1"/>
        <v/>
      </c>
      <c r="C479" s="64"/>
      <c r="D479" s="33" t="str">
        <f ca="1">IFERROR(__xludf.DUMMYFUNCTION("""COMPUTED_VALUE"""),"PROPIOS")</f>
        <v>PROPIOS</v>
      </c>
      <c r="E479" s="33">
        <f ca="1">IFERROR(__xludf.DUMMYFUNCTION("""COMPUTED_VALUE"""),2026)</f>
        <v>2026</v>
      </c>
      <c r="F479" s="56">
        <f ca="1">IFERROR(__xludf.DUMMYFUNCTION("""COMPUTED_VALUE"""),3)</f>
        <v>3</v>
      </c>
      <c r="G479" s="33" t="str">
        <f ca="1">IFERROR(__xludf.DUMMYFUNCTION("""COMPUTED_VALUE"""),"Logroño")</f>
        <v>Logroño</v>
      </c>
      <c r="H479" s="33" t="str">
        <f ca="1">IFERROR(__xludf.DUMMYFUNCTION("""COMPUTED_VALUE"""),"C20251223192557630")</f>
        <v>C20251223192557630</v>
      </c>
      <c r="I479" s="33" t="str">
        <f ca="1">IFERROR(__xludf.DUMMYFUNCTION("""COMPUTED_VALUE"""),"JULIA CASTELLANOS ZALDIBAR")</f>
        <v>JULIA CASTELLANOS ZALDIBAR</v>
      </c>
      <c r="J479" s="57">
        <f ca="1">IFERROR(__xludf.DUMMYFUNCTION("""COMPUTED_VALUE"""),46014)</f>
        <v>46014</v>
      </c>
      <c r="K479" s="33" t="str">
        <f ca="1">IFERROR(__xludf.DUMMYFUNCTION("""COMPUTED_VALUE"""),"Factura audífonos")</f>
        <v>Factura audífonos</v>
      </c>
      <c r="L479" s="57">
        <f ca="1">IFERROR(__xludf.DUMMYFUNCTION("""COMPUTED_VALUE"""),46112)</f>
        <v>46112</v>
      </c>
      <c r="M479" s="64" t="str">
        <f ca="1">IFERROR(__xludf.DUMMYFUNCTION("""COMPUTED_VALUE"""),"NO")</f>
        <v>NO</v>
      </c>
      <c r="N479" s="56">
        <f ca="1">IFERROR(__xludf.DUMMYFUNCTION("""COMPUTED_VALUE"""),2)</f>
        <v>2</v>
      </c>
      <c r="O479" s="64" t="str">
        <f ca="1">IFERROR(__xludf.DUMMYFUNCTION("""COMPUTED_VALUE"""),"ADVANCED")</f>
        <v>ADVANCED</v>
      </c>
      <c r="P479" s="62">
        <f ca="1">IFERROR(__xludf.DUMMYFUNCTION("""COMPUTED_VALUE"""),4136.36)</f>
        <v>4136.3599999999997</v>
      </c>
      <c r="Q479" s="33" t="str">
        <f ca="1">IFERROR(__xludf.DUMMYFUNCTION("""COMPUTED_VALUE"""),"Lisandro Russian")</f>
        <v>Lisandro Russian</v>
      </c>
      <c r="R479" s="33" t="str">
        <f ca="1">IFERROR(__xludf.DUMMYFUNCTION("""COMPUTED_VALUE"""),"No recuerda ORL")</f>
        <v>No recuerda ORL</v>
      </c>
      <c r="S479" s="61" t="str">
        <f ca="1">IFERROR(__xludf.DUMMYFUNCTION("""COMPUTED_VALUE"""),"03 ORL")</f>
        <v>03 ORL</v>
      </c>
      <c r="T479" s="33" t="str">
        <f ca="1">IFERROR(__xludf.DUMMYFUNCTION("""COMPUTED_VALUE"""),"06 ORL")</f>
        <v>06 ORL</v>
      </c>
      <c r="U479" s="62"/>
      <c r="W479" s="62"/>
      <c r="X479" s="62"/>
    </row>
    <row r="480" spans="2:24" ht="16">
      <c r="B480" s="55" t="str">
        <f t="shared" ca="1" si="1"/>
        <v>LRM</v>
      </c>
      <c r="C480" s="64" t="str">
        <f ca="1">IFERROR(__xludf.DUMMYFUNCTION("""COMPUTED_VALUE"""),"LRM239")</f>
        <v>LRM239</v>
      </c>
      <c r="D480" s="33" t="str">
        <f ca="1">IFERROR(__xludf.DUMMYFUNCTION("""COMPUTED_VALUE"""),"PROPIOS")</f>
        <v>PROPIOS</v>
      </c>
      <c r="E480" s="33">
        <f ca="1">IFERROR(__xludf.DUMMYFUNCTION("""COMPUTED_VALUE"""),2026)</f>
        <v>2026</v>
      </c>
      <c r="F480" s="56">
        <f ca="1">IFERROR(__xludf.DUMMYFUNCTION("""COMPUTED_VALUE"""),3)</f>
        <v>3</v>
      </c>
      <c r="G480" s="33" t="str">
        <f ca="1">IFERROR(__xludf.DUMMYFUNCTION("""COMPUTED_VALUE"""),"Madrid- Juan Bravo")</f>
        <v>Madrid- Juan Bravo</v>
      </c>
      <c r="H480" s="33" t="str">
        <f ca="1">IFERROR(__xludf.DUMMYFUNCTION("""COMPUTED_VALUE"""),"C202612211164410529")</f>
        <v>C202612211164410529</v>
      </c>
      <c r="I480" s="33" t="str">
        <f ca="1">IFERROR(__xludf.DUMMYFUNCTION("""COMPUTED_VALUE"""),"MARGARITA MARIN YECORA")</f>
        <v>MARGARITA MARIN YECORA</v>
      </c>
      <c r="J480" s="57">
        <f ca="1">IFERROR(__xludf.DUMMYFUNCTION("""COMPUTED_VALUE"""),46044)</f>
        <v>46044</v>
      </c>
      <c r="K480" s="33" t="str">
        <f ca="1">IFERROR(__xludf.DUMMYFUNCTION("""COMPUTED_VALUE"""),"Factura audífonos")</f>
        <v>Factura audífonos</v>
      </c>
      <c r="L480" s="57">
        <f ca="1">IFERROR(__xludf.DUMMYFUNCTION("""COMPUTED_VALUE"""),46112)</f>
        <v>46112</v>
      </c>
      <c r="M480" s="64" t="str">
        <f ca="1">IFERROR(__xludf.DUMMYFUNCTION("""COMPUTED_VALUE"""),"NO")</f>
        <v>NO</v>
      </c>
      <c r="N480" s="56">
        <f ca="1">IFERROR(__xludf.DUMMYFUNCTION("""COMPUTED_VALUE"""),2)</f>
        <v>2</v>
      </c>
      <c r="O480" s="64" t="str">
        <f ca="1">IFERROR(__xludf.DUMMYFUNCTION("""COMPUTED_VALUE"""),"CONFORT")</f>
        <v>CONFORT</v>
      </c>
      <c r="P480" s="62">
        <f ca="1">IFERROR(__xludf.DUMMYFUNCTION("""COMPUTED_VALUE"""),3631.82)</f>
        <v>3631.82</v>
      </c>
      <c r="Q480" s="33" t="str">
        <f ca="1">IFERROR(__xludf.DUMMYFUNCTION("""COMPUTED_VALUE"""),"Lisandro Russian")</f>
        <v>Lisandro Russian</v>
      </c>
      <c r="R480" s="33" t="str">
        <f ca="1">IFERROR(__xludf.DUMMYFUNCTION("""COMPUTED_VALUE"""),"Carlos Barajas del Rosal")</f>
        <v>Carlos Barajas del Rosal</v>
      </c>
      <c r="S480" s="61" t="str">
        <f ca="1">IFERROR(__xludf.DUMMYFUNCTION("""COMPUTED_VALUE"""),"03 ORL")</f>
        <v>03 ORL</v>
      </c>
      <c r="T480" s="33" t="str">
        <f ca="1">IFERROR(__xludf.DUMMYFUNCTION("""COMPUTED_VALUE"""),"06 ORL")</f>
        <v>06 ORL</v>
      </c>
      <c r="U480" s="62"/>
      <c r="W480" s="62"/>
      <c r="X480" s="62"/>
    </row>
    <row r="481" spans="2:24" ht="16">
      <c r="B481" s="55" t="str">
        <f t="shared" ca="1" si="1"/>
        <v>#N/</v>
      </c>
      <c r="C481" s="64" t="str">
        <f ca="1">IFERROR(__xludf.DUMMYFUNCTION("""COMPUTED_VALUE"""),"#N/A")</f>
        <v>#N/A</v>
      </c>
      <c r="D481" s="33" t="str">
        <f ca="1">IFERROR(__xludf.DUMMYFUNCTION("""COMPUTED_VALUE"""),"PARTICIPADOS")</f>
        <v>PARTICIPADOS</v>
      </c>
      <c r="E481" s="33">
        <f ca="1">IFERROR(__xludf.DUMMYFUNCTION("""COMPUTED_VALUE"""),2026)</f>
        <v>2026</v>
      </c>
      <c r="F481" s="56">
        <f ca="1">IFERROR(__xludf.DUMMYFUNCTION("""COMPUTED_VALUE"""),3)</f>
        <v>3</v>
      </c>
      <c r="G481" s="33" t="str">
        <f ca="1">IFERROR(__xludf.DUMMYFUNCTION("""COMPUTED_VALUE"""),"Madrid- Costa Rica")</f>
        <v>Madrid- Costa Rica</v>
      </c>
      <c r="H481" s="33" t="str">
        <f ca="1">IFERROR(__xludf.DUMMYFUNCTION("""COMPUTED_VALUE"""),"C202621193144091134")</f>
        <v>C202621193144091134</v>
      </c>
      <c r="I481" s="33" t="str">
        <f ca="1">IFERROR(__xludf.DUMMYFUNCTION("""COMPUTED_VALUE"""),"ANTONIO HUALDE MIGUEL")</f>
        <v>ANTONIO HUALDE MIGUEL</v>
      </c>
      <c r="J481" s="57">
        <f ca="1">IFERROR(__xludf.DUMMYFUNCTION("""COMPUTED_VALUE"""),46064)</f>
        <v>46064</v>
      </c>
      <c r="K481" s="33" t="str">
        <f ca="1">IFERROR(__xludf.DUMMYFUNCTION("""COMPUTED_VALUE"""),"Factura audífonos")</f>
        <v>Factura audífonos</v>
      </c>
      <c r="L481" s="57">
        <f ca="1">IFERROR(__xludf.DUMMYFUNCTION("""COMPUTED_VALUE"""),46112)</f>
        <v>46112</v>
      </c>
      <c r="M481" s="64" t="str">
        <f ca="1">IFERROR(__xludf.DUMMYFUNCTION("""COMPUTED_VALUE"""),"NO")</f>
        <v>NO</v>
      </c>
      <c r="N481" s="56">
        <f ca="1">IFERROR(__xludf.DUMMYFUNCTION("""COMPUTED_VALUE"""),2)</f>
        <v>2</v>
      </c>
      <c r="O481" s="64" t="str">
        <f ca="1">IFERROR(__xludf.DUMMYFUNCTION("""COMPUTED_VALUE"""),"QUIET")</f>
        <v>QUIET</v>
      </c>
      <c r="P481" s="62">
        <f ca="1">IFERROR(__xludf.DUMMYFUNCTION("""COMPUTED_VALUE"""),2718.18)</f>
        <v>2718.18</v>
      </c>
      <c r="Q481" s="33" t="str">
        <f ca="1">IFERROR(__xludf.DUMMYFUNCTION("""COMPUTED_VALUE"""),"Luis Alberto Rodríguez")</f>
        <v>Luis Alberto Rodríguez</v>
      </c>
      <c r="R481" s="33" t="str">
        <f ca="1">IFERROR(__xludf.DUMMYFUNCTION("""COMPUTED_VALUE"""),"Jose Maria Hernandez Hernandez")</f>
        <v>Jose Maria Hernandez Hernandez</v>
      </c>
      <c r="S481" s="61" t="str">
        <f ca="1">IFERROR(__xludf.DUMMYFUNCTION("""COMPUTED_VALUE"""),"03 ORL")</f>
        <v>03 ORL</v>
      </c>
      <c r="T481" s="33" t="str">
        <f ca="1">IFERROR(__xludf.DUMMYFUNCTION("""COMPUTED_VALUE"""),"22 AUDIOMETRIA CLINICA")</f>
        <v>22 AUDIOMETRIA CLINICA</v>
      </c>
      <c r="U481" s="62"/>
      <c r="W481" s="62"/>
      <c r="X481" s="62"/>
    </row>
    <row r="482" spans="2:24" ht="16">
      <c r="B482" s="55" t="str">
        <f t="shared" ca="1" si="1"/>
        <v>PSC</v>
      </c>
      <c r="C482" s="64" t="str">
        <f ca="1">IFERROR(__xludf.DUMMYFUNCTION("""COMPUTED_VALUE"""),"PSC47")</f>
        <v>PSC47</v>
      </c>
      <c r="D482" s="33" t="str">
        <f ca="1">IFERROR(__xludf.DUMMYFUNCTION("""COMPUTED_VALUE"""),"ASOCIADOS")</f>
        <v>ASOCIADOS</v>
      </c>
      <c r="E482" s="33">
        <f ca="1">IFERROR(__xludf.DUMMYFUNCTION("""COMPUTED_VALUE"""),2026)</f>
        <v>2026</v>
      </c>
      <c r="F482" s="56">
        <f ca="1">IFERROR(__xludf.DUMMYFUNCTION("""COMPUTED_VALUE"""),3)</f>
        <v>3</v>
      </c>
      <c r="G482" s="33" t="str">
        <f ca="1">IFERROR(__xludf.DUMMYFUNCTION("""COMPUTED_VALUE"""),"Ponferrada")</f>
        <v>Ponferrada</v>
      </c>
      <c r="H482" s="33" t="str">
        <f ca="1">IFERROR(__xludf.DUMMYFUNCTION("""COMPUTED_VALUE"""),"PON-937")</f>
        <v>PON-937</v>
      </c>
      <c r="I482" s="33" t="str">
        <f ca="1">IFERROR(__xludf.DUMMYFUNCTION("""COMPUTED_VALUE"""),"ANGUSTIAS RODRIGUEZ DIEZ")</f>
        <v>ANGUSTIAS RODRIGUEZ DIEZ</v>
      </c>
      <c r="J482" s="57">
        <f ca="1">IFERROR(__xludf.DUMMYFUNCTION("""COMPUTED_VALUE"""),45819)</f>
        <v>45819</v>
      </c>
      <c r="K482" s="33" t="str">
        <f ca="1">IFERROR(__xludf.DUMMYFUNCTION("""COMPUTED_VALUE"""),"Factura audífonos")</f>
        <v>Factura audífonos</v>
      </c>
      <c r="L482" s="57">
        <f ca="1">IFERROR(__xludf.DUMMYFUNCTION("""COMPUTED_VALUE"""),46112)</f>
        <v>46112</v>
      </c>
      <c r="M482" s="64" t="str">
        <f ca="1">IFERROR(__xludf.DUMMYFUNCTION("""COMPUTED_VALUE"""),"NO")</f>
        <v>NO</v>
      </c>
      <c r="N482" s="56">
        <f ca="1">IFERROR(__xludf.DUMMYFUNCTION("""COMPUTED_VALUE"""),2)</f>
        <v>2</v>
      </c>
      <c r="O482" s="64" t="str">
        <f ca="1">IFERROR(__xludf.DUMMYFUNCTION("""COMPUTED_VALUE"""),"ADVANCED")</f>
        <v>ADVANCED</v>
      </c>
      <c r="P482" s="62">
        <f ca="1">IFERROR(__xludf.DUMMYFUNCTION("""COMPUTED_VALUE"""),3181.82)</f>
        <v>3181.82</v>
      </c>
      <c r="Q482" s="33" t="str">
        <f ca="1">IFERROR(__xludf.DUMMYFUNCTION("""COMPUTED_VALUE"""),"Alberto Moreno")</f>
        <v>Alberto Moreno</v>
      </c>
      <c r="R482" s="33" t="str">
        <f ca="1">IFERROR(__xludf.DUMMYFUNCTION("""COMPUTED_VALUE"""),"Mónica Granda Rosales")</f>
        <v>Mónica Granda Rosales</v>
      </c>
      <c r="S482" s="61" t="str">
        <f ca="1">IFERROR(__xludf.DUMMYFUNCTION("""COMPUTED_VALUE"""),"03 ORL")</f>
        <v>03 ORL</v>
      </c>
      <c r="T482" s="33" t="str">
        <f ca="1">IFERROR(__xludf.DUMMYFUNCTION("""COMPUTED_VALUE"""),"06 ORL")</f>
        <v>06 ORL</v>
      </c>
      <c r="U482" s="62"/>
      <c r="W482" s="62"/>
      <c r="X482" s="62"/>
    </row>
    <row r="483" spans="2:24" ht="16">
      <c r="B483" s="55" t="str">
        <f t="shared" ca="1" si="1"/>
        <v>MBM</v>
      </c>
      <c r="C483" s="64" t="str">
        <f ca="1">IFERROR(__xludf.DUMMYFUNCTION("""COMPUTED_VALUE"""),"MBM104")</f>
        <v>MBM104</v>
      </c>
      <c r="D483" s="33" t="str">
        <f ca="1">IFERROR(__xludf.DUMMYFUNCTION("""COMPUTED_VALUE"""),"PROPIOS")</f>
        <v>PROPIOS</v>
      </c>
      <c r="E483" s="33">
        <f ca="1">IFERROR(__xludf.DUMMYFUNCTION("""COMPUTED_VALUE"""),2026)</f>
        <v>2026</v>
      </c>
      <c r="F483" s="56">
        <f ca="1">IFERROR(__xludf.DUMMYFUNCTION("""COMPUTED_VALUE"""),3)</f>
        <v>3</v>
      </c>
      <c r="G483" s="33" t="str">
        <f ca="1">IFERROR(__xludf.DUMMYFUNCTION("""COMPUTED_VALUE"""),"Fuenlabrada")</f>
        <v>Fuenlabrada</v>
      </c>
      <c r="H483" s="33" t="str">
        <f ca="1">IFERROR(__xludf.DUMMYFUNCTION("""COMPUTED_VALUE"""),"C202632103422747350")</f>
        <v>C202632103422747350</v>
      </c>
      <c r="I483" s="33" t="str">
        <f ca="1">IFERROR(__xludf.DUMMYFUNCTION("""COMPUTED_VALUE"""),"DEMETRIO GOMEZ DE LOS RIOS")</f>
        <v>DEMETRIO GOMEZ DE LOS RIOS</v>
      </c>
      <c r="J483" s="57">
        <f ca="1">IFERROR(__xludf.DUMMYFUNCTION("""COMPUTED_VALUE"""),46083)</f>
        <v>46083</v>
      </c>
      <c r="K483" s="33" t="str">
        <f ca="1">IFERROR(__xludf.DUMMYFUNCTION("""COMPUTED_VALUE"""),"Factura audífonos")</f>
        <v>Factura audífonos</v>
      </c>
      <c r="L483" s="57">
        <f ca="1">IFERROR(__xludf.DUMMYFUNCTION("""COMPUTED_VALUE"""),46112)</f>
        <v>46112</v>
      </c>
      <c r="M483" s="64" t="str">
        <f ca="1">IFERROR(__xludf.DUMMYFUNCTION("""COMPUTED_VALUE"""),"NO")</f>
        <v>NO</v>
      </c>
      <c r="N483" s="56">
        <f ca="1">IFERROR(__xludf.DUMMYFUNCTION("""COMPUTED_VALUE"""),2)</f>
        <v>2</v>
      </c>
      <c r="O483" s="64" t="str">
        <f ca="1">IFERROR(__xludf.DUMMYFUNCTION("""COMPUTED_VALUE"""),"QUIET")</f>
        <v>QUIET</v>
      </c>
      <c r="P483" s="62">
        <f ca="1">IFERROR(__xludf.DUMMYFUNCTION("""COMPUTED_VALUE"""),2718.18)</f>
        <v>2718.18</v>
      </c>
      <c r="Q483" s="33" t="str">
        <f ca="1">IFERROR(__xludf.DUMMYFUNCTION("""COMPUTED_VALUE"""),"Maika Blázquez")</f>
        <v>Maika Blázquez</v>
      </c>
      <c r="R483" s="33" t="str">
        <f ca="1">IFERROR(__xludf.DUMMYFUNCTION("""COMPUTED_VALUE"""),"Concepcion Rodríguez Izquierdo")</f>
        <v>Concepcion Rodríguez Izquierdo</v>
      </c>
      <c r="S483" s="61" t="str">
        <f ca="1">IFERROR(__xludf.DUMMYFUNCTION("""COMPUTED_VALUE"""),"03 ORL")</f>
        <v>03 ORL</v>
      </c>
      <c r="T483" s="33" t="str">
        <f ca="1">IFERROR(__xludf.DUMMYFUNCTION("""COMPUTED_VALUE"""),"06 ORL")</f>
        <v>06 ORL</v>
      </c>
      <c r="U483" s="62"/>
      <c r="W483" s="62"/>
      <c r="X483" s="62"/>
    </row>
    <row r="484" spans="2:24" ht="16">
      <c r="B484" s="55" t="str">
        <f t="shared" ca="1" si="1"/>
        <v>PSC</v>
      </c>
      <c r="C484" s="64" t="str">
        <f ca="1">IFERROR(__xludf.DUMMYFUNCTION("""COMPUTED_VALUE"""),"PSC55")</f>
        <v>PSC55</v>
      </c>
      <c r="D484" s="33" t="str">
        <f ca="1">IFERROR(__xludf.DUMMYFUNCTION("""COMPUTED_VALUE"""),"ASOCIADOS")</f>
        <v>ASOCIADOS</v>
      </c>
      <c r="E484" s="33">
        <f ca="1">IFERROR(__xludf.DUMMYFUNCTION("""COMPUTED_VALUE"""),2026)</f>
        <v>2026</v>
      </c>
      <c r="F484" s="56">
        <f ca="1">IFERROR(__xludf.DUMMYFUNCTION("""COMPUTED_VALUE"""),3)</f>
        <v>3</v>
      </c>
      <c r="G484" s="33" t="str">
        <f ca="1">IFERROR(__xludf.DUMMYFUNCTION("""COMPUTED_VALUE"""),"Ponferrada")</f>
        <v>Ponferrada</v>
      </c>
      <c r="H484" s="33" t="str">
        <f ca="1">IFERROR(__xludf.DUMMYFUNCTION("""COMPUTED_VALUE"""),"C202611915584584535")</f>
        <v>C202611915584584535</v>
      </c>
      <c r="I484" s="33" t="str">
        <f ca="1">IFERROR(__xludf.DUMMYFUNCTION("""COMPUTED_VALUE"""),"HARRISON AVENDAÑO CORREAL")</f>
        <v>HARRISON AVENDAÑO CORREAL</v>
      </c>
      <c r="J484" s="57">
        <f ca="1">IFERROR(__xludf.DUMMYFUNCTION("""COMPUTED_VALUE"""),46041)</f>
        <v>46041</v>
      </c>
      <c r="K484" s="33" t="str">
        <f ca="1">IFERROR(__xludf.DUMMYFUNCTION("""COMPUTED_VALUE"""),"Factura audífonos")</f>
        <v>Factura audífonos</v>
      </c>
      <c r="L484" s="57">
        <f ca="1">IFERROR(__xludf.DUMMYFUNCTION("""COMPUTED_VALUE"""),46112)</f>
        <v>46112</v>
      </c>
      <c r="M484" s="64" t="str">
        <f ca="1">IFERROR(__xludf.DUMMYFUNCTION("""COMPUTED_VALUE"""),"NO")</f>
        <v>NO</v>
      </c>
      <c r="N484" s="56">
        <f ca="1">IFERROR(__xludf.DUMMYFUNCTION("""COMPUTED_VALUE"""),1)</f>
        <v>1</v>
      </c>
      <c r="O484" s="64" t="str">
        <f ca="1">IFERROR(__xludf.DUMMYFUNCTION("""COMPUTED_VALUE"""),"CONFORT")</f>
        <v>CONFORT</v>
      </c>
      <c r="P484" s="62">
        <f ca="1">IFERROR(__xludf.DUMMYFUNCTION("""COMPUTED_VALUE"""),1909.09)</f>
        <v>1909.09</v>
      </c>
      <c r="Q484" s="33" t="str">
        <f ca="1">IFERROR(__xludf.DUMMYFUNCTION("""COMPUTED_VALUE"""),"Alberto Moreno")</f>
        <v>Alberto Moreno</v>
      </c>
      <c r="R484" s="33" t="str">
        <f ca="1">IFERROR(__xludf.DUMMYFUNCTION("""COMPUTED_VALUE"""),"Xenia Mota Rojas")</f>
        <v>Xenia Mota Rojas</v>
      </c>
      <c r="S484" s="61" t="str">
        <f ca="1">IFERROR(__xludf.DUMMYFUNCTION("""COMPUTED_VALUE"""),"03 ORL")</f>
        <v>03 ORL</v>
      </c>
      <c r="T484" s="33" t="str">
        <f ca="1">IFERROR(__xludf.DUMMYFUNCTION("""COMPUTED_VALUE"""),"06 ORL")</f>
        <v>06 ORL</v>
      </c>
      <c r="U484" s="62"/>
      <c r="W484" s="62"/>
      <c r="X484" s="62"/>
    </row>
    <row r="485" spans="2:24" ht="16">
      <c r="B485" s="55" t="str">
        <f t="shared" ca="1" si="1"/>
        <v>LAA</v>
      </c>
      <c r="C485" s="64" t="str">
        <f ca="1">IFERROR(__xludf.DUMMYFUNCTION("""COMPUTED_VALUE"""),"LAA24")</f>
        <v>LAA24</v>
      </c>
      <c r="D485" s="33" t="str">
        <f ca="1">IFERROR(__xludf.DUMMYFUNCTION("""COMPUTED_VALUE"""),"ASOCIADOS")</f>
        <v>ASOCIADOS</v>
      </c>
      <c r="E485" s="33">
        <f ca="1">IFERROR(__xludf.DUMMYFUNCTION("""COMPUTED_VALUE"""),2026)</f>
        <v>2026</v>
      </c>
      <c r="F485" s="56">
        <f ca="1">IFERROR(__xludf.DUMMYFUNCTION("""COMPUTED_VALUE"""),4)</f>
        <v>4</v>
      </c>
      <c r="G485" s="33" t="str">
        <f ca="1">IFERROR(__xludf.DUMMYFUNCTION("""COMPUTED_VALUE"""),"Sevilla- Ciencias")</f>
        <v>Sevilla- Ciencias</v>
      </c>
      <c r="H485" s="33" t="str">
        <f ca="1">IFERROR(__xludf.DUMMYFUNCTION("""COMPUTED_VALUE"""),"C202626122055211056")</f>
        <v>C202626122055211056</v>
      </c>
      <c r="I485" s="33" t="str">
        <f ca="1">IFERROR(__xludf.DUMMYFUNCTION("""COMPUTED_VALUE"""),"MARIA ISABEL GONZALEZ PEREZ")</f>
        <v>MARIA ISABEL GONZALEZ PEREZ</v>
      </c>
      <c r="J485" s="57">
        <f ca="1">IFERROR(__xludf.DUMMYFUNCTION("""COMPUTED_VALUE"""),46059)</f>
        <v>46059</v>
      </c>
      <c r="K485" s="33" t="str">
        <f ca="1">IFERROR(__xludf.DUMMYFUNCTION("""COMPUTED_VALUE"""),"Factura audífonos")</f>
        <v>Factura audífonos</v>
      </c>
      <c r="L485" s="57">
        <f ca="1">IFERROR(__xludf.DUMMYFUNCTION("""COMPUTED_VALUE"""),46113)</f>
        <v>46113</v>
      </c>
      <c r="M485" s="64" t="str">
        <f ca="1">IFERROR(__xludf.DUMMYFUNCTION("""COMPUTED_VALUE"""),"NO")</f>
        <v>NO</v>
      </c>
      <c r="N485" s="56">
        <f ca="1">IFERROR(__xludf.DUMMYFUNCTION("""COMPUTED_VALUE"""),2)</f>
        <v>2</v>
      </c>
      <c r="O485" s="64" t="str">
        <f ca="1">IFERROR(__xludf.DUMMYFUNCTION("""COMPUTED_VALUE"""),"QUIET")</f>
        <v>QUIET</v>
      </c>
      <c r="P485" s="62">
        <f ca="1">IFERROR(__xludf.DUMMYFUNCTION("""COMPUTED_VALUE"""),2718.18)</f>
        <v>2718.18</v>
      </c>
      <c r="Q485" s="33" t="str">
        <f ca="1">IFERROR(__xludf.DUMMYFUNCTION("""COMPUTED_VALUE"""),"Luis Alberto Rodríguez ")</f>
        <v xml:space="preserve">Luis Alberto Rodríguez </v>
      </c>
      <c r="R485" s="33" t="str">
        <f ca="1">IFERROR(__xludf.DUMMYFUNCTION("""COMPUTED_VALUE"""),"Jesús Crovato Rojas")</f>
        <v>Jesús Crovato Rojas</v>
      </c>
      <c r="S485" s="61" t="str">
        <f ca="1">IFERROR(__xludf.DUMMYFUNCTION("""COMPUTED_VALUE"""),"03 ORL")</f>
        <v>03 ORL</v>
      </c>
      <c r="T485" s="33" t="str">
        <f ca="1">IFERROR(__xludf.DUMMYFUNCTION("""COMPUTED_VALUE"""),"06 ORL")</f>
        <v>06 ORL</v>
      </c>
      <c r="U485" s="62"/>
      <c r="W485" s="62"/>
      <c r="X485" s="62"/>
    </row>
    <row r="486" spans="2:24" ht="16">
      <c r="B486" s="55" t="str">
        <f t="shared" ca="1" si="1"/>
        <v>#N/</v>
      </c>
      <c r="C486" s="64" t="str">
        <f ca="1">IFERROR(__xludf.DUMMYFUNCTION("""COMPUTED_VALUE"""),"#N/A")</f>
        <v>#N/A</v>
      </c>
      <c r="D486" s="33" t="str">
        <f ca="1">IFERROR(__xludf.DUMMYFUNCTION("""COMPUTED_VALUE"""),"ASOCIADOS")</f>
        <v>ASOCIADOS</v>
      </c>
      <c r="E486" s="33">
        <f ca="1">IFERROR(__xludf.DUMMYFUNCTION("""COMPUTED_VALUE"""),2026)</f>
        <v>2026</v>
      </c>
      <c r="F486" s="56">
        <f ca="1">IFERROR(__xludf.DUMMYFUNCTION("""COMPUTED_VALUE"""),4)</f>
        <v>4</v>
      </c>
      <c r="G486" s="33" t="str">
        <f ca="1">IFERROR(__xludf.DUMMYFUNCTION("""COMPUTED_VALUE"""),"Cáceres")</f>
        <v>Cáceres</v>
      </c>
      <c r="H486" s="33" t="str">
        <f ca="1">IFERROR(__xludf.DUMMYFUNCTION("""COMPUTED_VALUE"""),"C202621611135700546")</f>
        <v>C202621611135700546</v>
      </c>
      <c r="I486" s="33" t="str">
        <f ca="1">IFERROR(__xludf.DUMMYFUNCTION("""COMPUTED_VALUE"""),"JUANA SANCHEZ BARRERO")</f>
        <v>JUANA SANCHEZ BARRERO</v>
      </c>
      <c r="J486" s="57">
        <f ca="1">IFERROR(__xludf.DUMMYFUNCTION("""COMPUTED_VALUE"""),46069)</f>
        <v>46069</v>
      </c>
      <c r="K486" s="33" t="str">
        <f ca="1">IFERROR(__xludf.DUMMYFUNCTION("""COMPUTED_VALUE"""),"Factura audífonos")</f>
        <v>Factura audífonos</v>
      </c>
      <c r="L486" s="57">
        <f ca="1">IFERROR(__xludf.DUMMYFUNCTION("""COMPUTED_VALUE"""),46113)</f>
        <v>46113</v>
      </c>
      <c r="M486" s="64" t="str">
        <f ca="1">IFERROR(__xludf.DUMMYFUNCTION("""COMPUTED_VALUE"""),"NO")</f>
        <v>NO</v>
      </c>
      <c r="N486" s="56">
        <f ca="1">IFERROR(__xludf.DUMMYFUNCTION("""COMPUTED_VALUE"""),2)</f>
        <v>2</v>
      </c>
      <c r="O486" s="64" t="str">
        <f ca="1">IFERROR(__xludf.DUMMYFUNCTION("""COMPUTED_VALUE"""),"ADVANCED")</f>
        <v>ADVANCED</v>
      </c>
      <c r="P486" s="62">
        <f ca="1">IFERROR(__xludf.DUMMYFUNCTION("""COMPUTED_VALUE"""),4181.82)</f>
        <v>4181.82</v>
      </c>
      <c r="Q486" s="33" t="str">
        <f ca="1">IFERROR(__xludf.DUMMYFUNCTION("""COMPUTED_VALUE"""),"Luis Alberto Rodríguez ")</f>
        <v xml:space="preserve">Luis Alberto Rodríguez </v>
      </c>
      <c r="R486" s="33" t="str">
        <f ca="1">IFERROR(__xludf.DUMMYFUNCTION("""COMPUTED_VALUE"""),"Isabel Bustillo García")</f>
        <v>Isabel Bustillo García</v>
      </c>
      <c r="S486" s="61" t="str">
        <f ca="1">IFERROR(__xludf.DUMMYFUNCTION("""COMPUTED_VALUE"""),"03 ORL")</f>
        <v>03 ORL</v>
      </c>
      <c r="T486" s="33" t="str">
        <f ca="1">IFERROR(__xludf.DUMMYFUNCTION("""COMPUTED_VALUE"""),"06 ORL")</f>
        <v>06 ORL</v>
      </c>
      <c r="U486" s="62"/>
      <c r="W486" s="62"/>
      <c r="X486" s="62"/>
    </row>
    <row r="487" spans="2:24" ht="16">
      <c r="B487" s="55" t="str">
        <f t="shared" ca="1" si="1"/>
        <v>#N/</v>
      </c>
      <c r="C487" s="64" t="str">
        <f ca="1">IFERROR(__xludf.DUMMYFUNCTION("""COMPUTED_VALUE"""),"#N/A")</f>
        <v>#N/A</v>
      </c>
      <c r="D487" s="33" t="str">
        <f ca="1">IFERROR(__xludf.DUMMYFUNCTION("""COMPUTED_VALUE"""),"PROPIOS")</f>
        <v>PROPIOS</v>
      </c>
      <c r="E487" s="33">
        <f ca="1">IFERROR(__xludf.DUMMYFUNCTION("""COMPUTED_VALUE"""),2026)</f>
        <v>2026</v>
      </c>
      <c r="F487" s="56">
        <f ca="1">IFERROR(__xludf.DUMMYFUNCTION("""COMPUTED_VALUE"""),4)</f>
        <v>4</v>
      </c>
      <c r="G487" s="33" t="str">
        <f ca="1">IFERROR(__xludf.DUMMYFUNCTION("""COMPUTED_VALUE"""),"Valencia- Cádiz")</f>
        <v>Valencia- Cádiz</v>
      </c>
      <c r="H487" s="33" t="str">
        <f ca="1">IFERROR(__xludf.DUMMYFUNCTION("""COMPUTED_VALUE"""),"C202621611442285195")</f>
        <v>C202621611442285195</v>
      </c>
      <c r="I487" s="33" t="str">
        <f ca="1">IFERROR(__xludf.DUMMYFUNCTION("""COMPUTED_VALUE"""),"JOSEFA GARCIA TORRES")</f>
        <v>JOSEFA GARCIA TORRES</v>
      </c>
      <c r="J487" s="57">
        <f ca="1">IFERROR(__xludf.DUMMYFUNCTION("""COMPUTED_VALUE"""),46069)</f>
        <v>46069</v>
      </c>
      <c r="K487" s="33" t="str">
        <f ca="1">IFERROR(__xludf.DUMMYFUNCTION("""COMPUTED_VALUE"""),"Factura audífonos")</f>
        <v>Factura audífonos</v>
      </c>
      <c r="L487" s="57">
        <f ca="1">IFERROR(__xludf.DUMMYFUNCTION("""COMPUTED_VALUE"""),46113)</f>
        <v>46113</v>
      </c>
      <c r="M487" s="64" t="str">
        <f ca="1">IFERROR(__xludf.DUMMYFUNCTION("""COMPUTED_VALUE"""),"NO")</f>
        <v>NO</v>
      </c>
      <c r="N487" s="56">
        <f ca="1">IFERROR(__xludf.DUMMYFUNCTION("""COMPUTED_VALUE"""),1)</f>
        <v>1</v>
      </c>
      <c r="O487" s="64" t="str">
        <f ca="1">IFERROR(__xludf.DUMMYFUNCTION("""COMPUTED_VALUE"""),"ADVANCED")</f>
        <v>ADVANCED</v>
      </c>
      <c r="P487" s="62">
        <f ca="1">IFERROR(__xludf.DUMMYFUNCTION("""COMPUTED_VALUE"""),2357.73)</f>
        <v>2357.73</v>
      </c>
      <c r="Q487" s="33" t="str">
        <f ca="1">IFERROR(__xludf.DUMMYFUNCTION("""COMPUTED_VALUE"""),"Ramon Ferrando")</f>
        <v>Ramon Ferrando</v>
      </c>
      <c r="R487" s="33" t="str">
        <f ca="1">IFERROR(__xludf.DUMMYFUNCTION("""COMPUTED_VALUE"""),"Valenzuela Gras")</f>
        <v>Valenzuela Gras</v>
      </c>
      <c r="S487" s="61" t="str">
        <f ca="1">IFERROR(__xludf.DUMMYFUNCTION("""COMPUTED_VALUE"""),"03 ORL")</f>
        <v>03 ORL</v>
      </c>
      <c r="T487" s="33" t="str">
        <f ca="1">IFERROR(__xludf.DUMMYFUNCTION("""COMPUTED_VALUE"""),"06 ORL")</f>
        <v>06 ORL</v>
      </c>
      <c r="U487" s="62"/>
      <c r="W487" s="62"/>
      <c r="X487" s="62"/>
    </row>
    <row r="488" spans="2:24" ht="16">
      <c r="B488" s="55" t="str">
        <f t="shared" si="1"/>
        <v/>
      </c>
      <c r="C488" s="64"/>
      <c r="D488" s="33" t="str">
        <f ca="1">IFERROR(__xludf.DUMMYFUNCTION("""COMPUTED_VALUE"""),"ASOCIADOS")</f>
        <v>ASOCIADOS</v>
      </c>
      <c r="E488" s="33">
        <f ca="1">IFERROR(__xludf.DUMMYFUNCTION("""COMPUTED_VALUE"""),2026)</f>
        <v>2026</v>
      </c>
      <c r="F488" s="56">
        <f ca="1">IFERROR(__xludf.DUMMYFUNCTION("""COMPUTED_VALUE"""),4)</f>
        <v>4</v>
      </c>
      <c r="G488" s="33" t="str">
        <f ca="1">IFERROR(__xludf.DUMMYFUNCTION("""COMPUTED_VALUE"""),"Badajoz")</f>
        <v>Badajoz</v>
      </c>
      <c r="H488" s="33" t="str">
        <f ca="1">IFERROR(__xludf.DUMMYFUNCTION("""COMPUTED_VALUE"""),"C202629111220648003")</f>
        <v>C202629111220648003</v>
      </c>
      <c r="I488" s="33" t="str">
        <f ca="1">IFERROR(__xludf.DUMMYFUNCTION("""COMPUTED_VALUE"""),"JOAQUIN MAURO FERNANDES")</f>
        <v>JOAQUIN MAURO FERNANDES</v>
      </c>
      <c r="J488" s="57">
        <f ca="1">IFERROR(__xludf.DUMMYFUNCTION("""COMPUTED_VALUE"""),46062)</f>
        <v>46062</v>
      </c>
      <c r="K488" s="33" t="str">
        <f ca="1">IFERROR(__xludf.DUMMYFUNCTION("""COMPUTED_VALUE"""),"Factura audífonos")</f>
        <v>Factura audífonos</v>
      </c>
      <c r="L488" s="57">
        <f ca="1">IFERROR(__xludf.DUMMYFUNCTION("""COMPUTED_VALUE"""),46113)</f>
        <v>46113</v>
      </c>
      <c r="M488" s="64" t="str">
        <f ca="1">IFERROR(__xludf.DUMMYFUNCTION("""COMPUTED_VALUE"""),"NO")</f>
        <v>NO</v>
      </c>
      <c r="N488" s="56">
        <f ca="1">IFERROR(__xludf.DUMMYFUNCTION("""COMPUTED_VALUE"""),2)</f>
        <v>2</v>
      </c>
      <c r="O488" s="64" t="str">
        <f ca="1">IFERROR(__xludf.DUMMYFUNCTION("""COMPUTED_VALUE"""),"ADVANCED")</f>
        <v>ADVANCED</v>
      </c>
      <c r="P488" s="62">
        <f ca="1">IFERROR(__xludf.DUMMYFUNCTION("""COMPUTED_VALUE"""),4136.36)</f>
        <v>4136.3599999999997</v>
      </c>
      <c r="Q488" s="33" t="str">
        <f ca="1">IFERROR(__xludf.DUMMYFUNCTION("""COMPUTED_VALUE"""),"Luis Alberto Rodríguez ")</f>
        <v xml:space="preserve">Luis Alberto Rodríguez </v>
      </c>
      <c r="R488" s="33" t="str">
        <f ca="1">IFERROR(__xludf.DUMMYFUNCTION("""COMPUTED_VALUE"""),"No recuerda ORL")</f>
        <v>No recuerda ORL</v>
      </c>
      <c r="S488" s="61" t="str">
        <f ca="1">IFERROR(__xludf.DUMMYFUNCTION("""COMPUTED_VALUE"""),"03 ORL")</f>
        <v>03 ORL</v>
      </c>
      <c r="T488" s="33" t="str">
        <f ca="1">IFERROR(__xludf.DUMMYFUNCTION("""COMPUTED_VALUE"""),"06 ORL")</f>
        <v>06 ORL</v>
      </c>
      <c r="U488" s="62"/>
      <c r="W488" s="62"/>
      <c r="X488" s="62"/>
    </row>
    <row r="489" spans="2:24" ht="16">
      <c r="B489" s="55" t="str">
        <f t="shared" ca="1" si="1"/>
        <v>RFV</v>
      </c>
      <c r="C489" s="64" t="str">
        <f ca="1">IFERROR(__xludf.DUMMYFUNCTION("""COMPUTED_VALUE"""),"RFV27")</f>
        <v>RFV27</v>
      </c>
      <c r="D489" s="33" t="str">
        <f ca="1">IFERROR(__xludf.DUMMYFUNCTION("""COMPUTED_VALUE"""),"PROPIOS")</f>
        <v>PROPIOS</v>
      </c>
      <c r="E489" s="33">
        <f ca="1">IFERROR(__xludf.DUMMYFUNCTION("""COMPUTED_VALUE"""),2026)</f>
        <v>2026</v>
      </c>
      <c r="F489" s="56">
        <f ca="1">IFERROR(__xludf.DUMMYFUNCTION("""COMPUTED_VALUE"""),4)</f>
        <v>4</v>
      </c>
      <c r="G489" s="33" t="str">
        <f ca="1">IFERROR(__xludf.DUMMYFUNCTION("""COMPUTED_VALUE"""),"Valencia- Cádiz")</f>
        <v>Valencia- Cádiz</v>
      </c>
      <c r="H489" s="33" t="str">
        <f ca="1">IFERROR(__xludf.DUMMYFUNCTION("""COMPUTED_VALUE"""),"C20261791325929513")</f>
        <v>C20261791325929513</v>
      </c>
      <c r="I489" s="33" t="str">
        <f ca="1">IFERROR(__xludf.DUMMYFUNCTION("""COMPUTED_VALUE"""),"NEELAM MAHESH SAMTANI")</f>
        <v>NEELAM MAHESH SAMTANI</v>
      </c>
      <c r="J489" s="57">
        <f ca="1">IFERROR(__xludf.DUMMYFUNCTION("""COMPUTED_VALUE"""),46029)</f>
        <v>46029</v>
      </c>
      <c r="K489" s="33" t="str">
        <f ca="1">IFERROR(__xludf.DUMMYFUNCTION("""COMPUTED_VALUE"""),"Factura audífonos")</f>
        <v>Factura audífonos</v>
      </c>
      <c r="L489" s="57">
        <f ca="1">IFERROR(__xludf.DUMMYFUNCTION("""COMPUTED_VALUE"""),46113)</f>
        <v>46113</v>
      </c>
      <c r="M489" s="64" t="str">
        <f ca="1">IFERROR(__xludf.DUMMYFUNCTION("""COMPUTED_VALUE"""),"NO")</f>
        <v>NO</v>
      </c>
      <c r="N489" s="56">
        <f ca="1">IFERROR(__xludf.DUMMYFUNCTION("""COMPUTED_VALUE"""),1)</f>
        <v>1</v>
      </c>
      <c r="O489" s="64" t="str">
        <f ca="1">IFERROR(__xludf.DUMMYFUNCTION("""COMPUTED_VALUE"""),"CONFORT")</f>
        <v>CONFORT</v>
      </c>
      <c r="P489" s="62">
        <f ca="1">IFERROR(__xludf.DUMMYFUNCTION("""COMPUTED_VALUE"""),2180.91)</f>
        <v>2180.91</v>
      </c>
      <c r="Q489" s="33" t="str">
        <f ca="1">IFERROR(__xludf.DUMMYFUNCTION("""COMPUTED_VALUE"""),"Ramon Ferrando")</f>
        <v>Ramon Ferrando</v>
      </c>
      <c r="R489" s="33" t="str">
        <f ca="1">IFERROR(__xludf.DUMMYFUNCTION("""COMPUTED_VALUE"""),"Carmen Comeche Cerverón")</f>
        <v>Carmen Comeche Cerverón</v>
      </c>
      <c r="S489" s="61" t="str">
        <f ca="1">IFERROR(__xludf.DUMMYFUNCTION("""COMPUTED_VALUE"""),"03 ORL")</f>
        <v>03 ORL</v>
      </c>
      <c r="T489" s="33" t="str">
        <f ca="1">IFERROR(__xludf.DUMMYFUNCTION("""COMPUTED_VALUE"""),"06 ORL")</f>
        <v>06 ORL</v>
      </c>
      <c r="U489" s="62"/>
      <c r="W489" s="62"/>
      <c r="X489" s="62"/>
    </row>
    <row r="490" spans="2:24" ht="16">
      <c r="B490" s="55" t="str">
        <f t="shared" ca="1" si="1"/>
        <v>LRM</v>
      </c>
      <c r="C490" s="64" t="str">
        <f ca="1">IFERROR(__xludf.DUMMYFUNCTION("""COMPUTED_VALUE"""),"LRM240")</f>
        <v>LRM240</v>
      </c>
      <c r="D490" s="33" t="str">
        <f ca="1">IFERROR(__xludf.DUMMYFUNCTION("""COMPUTED_VALUE"""),"ASOCIADOS")</f>
        <v>ASOCIADOS</v>
      </c>
      <c r="E490" s="33">
        <f ca="1">IFERROR(__xludf.DUMMYFUNCTION("""COMPUTED_VALUE"""),2026)</f>
        <v>2026</v>
      </c>
      <c r="F490" s="56">
        <f ca="1">IFERROR(__xludf.DUMMYFUNCTION("""COMPUTED_VALUE"""),4)</f>
        <v>4</v>
      </c>
      <c r="G490" s="33" t="str">
        <f ca="1">IFERROR(__xludf.DUMMYFUNCTION("""COMPUTED_VALUE"""),"Cáceres")</f>
        <v>Cáceres</v>
      </c>
      <c r="H490" s="33" t="str">
        <f ca="1">IFERROR(__xludf.DUMMYFUNCTION("""COMPUTED_VALUE"""),"C20262238388559171")</f>
        <v>C20262238388559171</v>
      </c>
      <c r="I490" s="33" t="str">
        <f ca="1">IFERROR(__xludf.DUMMYFUNCTION("""COMPUTED_VALUE"""),"JOSE PORTILLO CAMPOS")</f>
        <v>JOSE PORTILLO CAMPOS</v>
      </c>
      <c r="J490" s="57">
        <f ca="1">IFERROR(__xludf.DUMMYFUNCTION("""COMPUTED_VALUE"""),46076)</f>
        <v>46076</v>
      </c>
      <c r="K490" s="33" t="str">
        <f ca="1">IFERROR(__xludf.DUMMYFUNCTION("""COMPUTED_VALUE"""),"Factura audífonos")</f>
        <v>Factura audífonos</v>
      </c>
      <c r="L490" s="57">
        <f ca="1">IFERROR(__xludf.DUMMYFUNCTION("""COMPUTED_VALUE"""),46113)</f>
        <v>46113</v>
      </c>
      <c r="M490" s="64" t="str">
        <f ca="1">IFERROR(__xludf.DUMMYFUNCTION("""COMPUTED_VALUE"""),"NO")</f>
        <v>NO</v>
      </c>
      <c r="N490" s="56">
        <f ca="1">IFERROR(__xludf.DUMMYFUNCTION("""COMPUTED_VALUE"""),2)</f>
        <v>2</v>
      </c>
      <c r="O490" s="64" t="str">
        <f ca="1">IFERROR(__xludf.DUMMYFUNCTION("""COMPUTED_VALUE"""),"QUIET")</f>
        <v>QUIET</v>
      </c>
      <c r="P490" s="62">
        <f ca="1">IFERROR(__xludf.DUMMYFUNCTION("""COMPUTED_VALUE"""),3345.45)</f>
        <v>3345.45</v>
      </c>
      <c r="Q490" s="33" t="str">
        <f ca="1">IFERROR(__xludf.DUMMYFUNCTION("""COMPUTED_VALUE"""),"Luis Alberto Rodríguez ")</f>
        <v xml:space="preserve">Luis Alberto Rodríguez </v>
      </c>
      <c r="R490" s="33" t="str">
        <f ca="1">IFERROR(__xludf.DUMMYFUNCTION("""COMPUTED_VALUE"""),"Andrés Paulino Herrera")</f>
        <v>Andrés Paulino Herrera</v>
      </c>
      <c r="S490" s="61" t="str">
        <f ca="1">IFERROR(__xludf.DUMMYFUNCTION("""COMPUTED_VALUE"""),"03 ORL")</f>
        <v>03 ORL</v>
      </c>
      <c r="T490" s="33" t="str">
        <f ca="1">IFERROR(__xludf.DUMMYFUNCTION("""COMPUTED_VALUE"""),"06 ORL")</f>
        <v>06 ORL</v>
      </c>
      <c r="U490" s="62"/>
      <c r="W490" s="62"/>
      <c r="X490" s="62"/>
    </row>
    <row r="491" spans="2:24" ht="16">
      <c r="B491" s="55" t="str">
        <f t="shared" ca="1" si="1"/>
        <v>LRM</v>
      </c>
      <c r="C491" s="64" t="str">
        <f ca="1">IFERROR(__xludf.DUMMYFUNCTION("""COMPUTED_VALUE"""),"LRM98")</f>
        <v>LRM98</v>
      </c>
      <c r="D491" s="33" t="str">
        <f ca="1">IFERROR(__xludf.DUMMYFUNCTION("""COMPUTED_VALUE"""),"ASOCIADOS")</f>
        <v>ASOCIADOS</v>
      </c>
      <c r="E491" s="33">
        <f ca="1">IFERROR(__xludf.DUMMYFUNCTION("""COMPUTED_VALUE"""),2026)</f>
        <v>2026</v>
      </c>
      <c r="F491" s="56">
        <f ca="1">IFERROR(__xludf.DUMMYFUNCTION("""COMPUTED_VALUE"""),4)</f>
        <v>4</v>
      </c>
      <c r="G491" s="33" t="str">
        <f ca="1">IFERROR(__xludf.DUMMYFUNCTION("""COMPUTED_VALUE"""),"Cáceres")</f>
        <v>Cáceres</v>
      </c>
      <c r="H491" s="33" t="str">
        <f ca="1">IFERROR(__xludf.DUMMYFUNCTION("""COMPUTED_VALUE"""),"C202636185441845124")</f>
        <v>C202636185441845124</v>
      </c>
      <c r="I491" s="33" t="str">
        <f ca="1">IFERROR(__xludf.DUMMYFUNCTION("""COMPUTED_VALUE"""),"FRANCISCA CANTERO GONZALEZ")</f>
        <v>FRANCISCA CANTERO GONZALEZ</v>
      </c>
      <c r="J491" s="57">
        <f ca="1">IFERROR(__xludf.DUMMYFUNCTION("""COMPUTED_VALUE"""),46087)</f>
        <v>46087</v>
      </c>
      <c r="K491" s="33" t="str">
        <f ca="1">IFERROR(__xludf.DUMMYFUNCTION("""COMPUTED_VALUE"""),"Factura audífonos")</f>
        <v>Factura audífonos</v>
      </c>
      <c r="L491" s="57">
        <f ca="1">IFERROR(__xludf.DUMMYFUNCTION("""COMPUTED_VALUE"""),46113)</f>
        <v>46113</v>
      </c>
      <c r="M491" s="58" t="str">
        <f ca="1">IFERROR(__xludf.DUMMYFUNCTION("""COMPUTED_VALUE"""),"NO")</f>
        <v>NO</v>
      </c>
      <c r="N491" s="56">
        <f ca="1">IFERROR(__xludf.DUMMYFUNCTION("""COMPUTED_VALUE"""),1)</f>
        <v>1</v>
      </c>
      <c r="O491" s="64" t="str">
        <f ca="1">IFERROR(__xludf.DUMMYFUNCTION("""COMPUTED_VALUE"""),"QUIET")</f>
        <v>QUIET</v>
      </c>
      <c r="P491" s="62">
        <f ca="1">IFERROR(__xludf.DUMMYFUNCTION("""COMPUTED_VALUE"""),1772.73)</f>
        <v>1772.73</v>
      </c>
      <c r="Q491" s="33" t="str">
        <f ca="1">IFERROR(__xludf.DUMMYFUNCTION("""COMPUTED_VALUE"""),"Luis Alberto Rodríguez ")</f>
        <v xml:space="preserve">Luis Alberto Rodríguez </v>
      </c>
      <c r="R491" s="33" t="str">
        <f ca="1">IFERROR(__xludf.DUMMYFUNCTION("""COMPUTED_VALUE"""),"Manuel Cañete Domínguez")</f>
        <v>Manuel Cañete Domínguez</v>
      </c>
      <c r="S491" s="61" t="str">
        <f ca="1">IFERROR(__xludf.DUMMYFUNCTION("""COMPUTED_VALUE"""),"03 ORL")</f>
        <v>03 ORL</v>
      </c>
      <c r="T491" s="33" t="str">
        <f ca="1">IFERROR(__xludf.DUMMYFUNCTION("""COMPUTED_VALUE"""),"06 ORL")</f>
        <v>06 ORL</v>
      </c>
      <c r="U491" s="62"/>
      <c r="W491" s="62"/>
      <c r="X491" s="62"/>
    </row>
    <row r="492" spans="2:24" ht="16">
      <c r="B492" s="55" t="str">
        <f t="shared" si="1"/>
        <v/>
      </c>
      <c r="C492" s="64"/>
      <c r="D492" s="33" t="str">
        <f ca="1">IFERROR(__xludf.DUMMYFUNCTION("""COMPUTED_VALUE"""),"PROPIOS")</f>
        <v>PROPIOS</v>
      </c>
      <c r="E492" s="33">
        <f ca="1">IFERROR(__xludf.DUMMYFUNCTION("""COMPUTED_VALUE"""),2026)</f>
        <v>2026</v>
      </c>
      <c r="F492" s="56">
        <f ca="1">IFERROR(__xludf.DUMMYFUNCTION("""COMPUTED_VALUE"""),4)</f>
        <v>4</v>
      </c>
      <c r="G492" s="33" t="str">
        <f ca="1">IFERROR(__xludf.DUMMYFUNCTION("""COMPUTED_VALUE"""),"Logroño")</f>
        <v>Logroño</v>
      </c>
      <c r="H492" s="33" t="str">
        <f ca="1">IFERROR(__xludf.DUMMYFUNCTION("""COMPUTED_VALUE"""),"C202631114123342675")</f>
        <v>C202631114123342675</v>
      </c>
      <c r="I492" s="33" t="str">
        <f ca="1">IFERROR(__xludf.DUMMYFUNCTION("""COMPUTED_VALUE"""),"MARIA DEL PILAR FERNANDEZ MARTINEZ")</f>
        <v>MARIA DEL PILAR FERNANDEZ MARTINEZ</v>
      </c>
      <c r="J492" s="57">
        <f ca="1">IFERROR(__xludf.DUMMYFUNCTION("""COMPUTED_VALUE"""),46092)</f>
        <v>46092</v>
      </c>
      <c r="K492" s="33" t="str">
        <f ca="1">IFERROR(__xludf.DUMMYFUNCTION("""COMPUTED_VALUE"""),"Factura audífonos")</f>
        <v>Factura audífonos</v>
      </c>
      <c r="L492" s="57">
        <f ca="1">IFERROR(__xludf.DUMMYFUNCTION("""COMPUTED_VALUE"""),46113)</f>
        <v>46113</v>
      </c>
      <c r="M492" s="64" t="str">
        <f ca="1">IFERROR(__xludf.DUMMYFUNCTION("""COMPUTED_VALUE"""),"NO")</f>
        <v>NO</v>
      </c>
      <c r="N492" s="56">
        <f ca="1">IFERROR(__xludf.DUMMYFUNCTION("""COMPUTED_VALUE"""),1)</f>
        <v>1</v>
      </c>
      <c r="O492" s="64" t="str">
        <f ca="1">IFERROR(__xludf.DUMMYFUNCTION("""COMPUTED_VALUE"""),"QUIET")</f>
        <v>QUIET</v>
      </c>
      <c r="P492" s="62">
        <f ca="1">IFERROR(__xludf.DUMMYFUNCTION("""COMPUTED_VALUE"""),1631.82)</f>
        <v>1631.82</v>
      </c>
      <c r="Q492" s="33" t="str">
        <f ca="1">IFERROR(__xludf.DUMMYFUNCTION("""COMPUTED_VALUE"""),"Luis Alberto Rodríguez ")</f>
        <v xml:space="preserve">Luis Alberto Rodríguez </v>
      </c>
      <c r="R492" s="33" t="str">
        <f ca="1">IFERROR(__xludf.DUMMYFUNCTION("""COMPUTED_VALUE"""),"No recuerda ORL")</f>
        <v>No recuerda ORL</v>
      </c>
      <c r="S492" s="61" t="str">
        <f ca="1">IFERROR(__xludf.DUMMYFUNCTION("""COMPUTED_VALUE"""),"03 ORL")</f>
        <v>03 ORL</v>
      </c>
      <c r="T492" s="33" t="str">
        <f ca="1">IFERROR(__xludf.DUMMYFUNCTION("""COMPUTED_VALUE"""),"06 ORL")</f>
        <v>06 ORL</v>
      </c>
      <c r="U492" s="62"/>
      <c r="W492" s="62"/>
      <c r="X492" s="62"/>
    </row>
    <row r="493" spans="2:24" ht="16">
      <c r="B493" s="55" t="str">
        <f t="shared" si="1"/>
        <v/>
      </c>
      <c r="C493" s="64"/>
      <c r="D493" s="33" t="str">
        <f ca="1">IFERROR(__xludf.DUMMYFUNCTION("""COMPUTED_VALUE"""),"PROPIOS")</f>
        <v>PROPIOS</v>
      </c>
      <c r="E493" s="33">
        <f ca="1">IFERROR(__xludf.DUMMYFUNCTION("""COMPUTED_VALUE"""),2026)</f>
        <v>2026</v>
      </c>
      <c r="F493" s="56">
        <f ca="1">IFERROR(__xludf.DUMMYFUNCTION("""COMPUTED_VALUE"""),4)</f>
        <v>4</v>
      </c>
      <c r="G493" s="33" t="str">
        <f ca="1">IFERROR(__xludf.DUMMYFUNCTION("""COMPUTED_VALUE"""),"Logroño")</f>
        <v>Logroño</v>
      </c>
      <c r="H493" s="33" t="str">
        <f ca="1">IFERROR(__xludf.DUMMYFUNCTION("""COMPUTED_VALUE"""),"C202633153225937666")</f>
        <v>C202633153225937666</v>
      </c>
      <c r="I493" s="33" t="str">
        <f ca="1">IFERROR(__xludf.DUMMYFUNCTION("""COMPUTED_VALUE"""),"FILOMENA MARIA TRINIDAD GARCIA GARCIA")</f>
        <v>FILOMENA MARIA TRINIDAD GARCIA GARCIA</v>
      </c>
      <c r="J493" s="57">
        <f ca="1">IFERROR(__xludf.DUMMYFUNCTION("""COMPUTED_VALUE"""),46084)</f>
        <v>46084</v>
      </c>
      <c r="K493" s="33" t="str">
        <f ca="1">IFERROR(__xludf.DUMMYFUNCTION("""COMPUTED_VALUE"""),"Factura audífonos")</f>
        <v>Factura audífonos</v>
      </c>
      <c r="L493" s="57">
        <f ca="1">IFERROR(__xludf.DUMMYFUNCTION("""COMPUTED_VALUE"""),46113)</f>
        <v>46113</v>
      </c>
      <c r="M493" s="64" t="str">
        <f ca="1">IFERROR(__xludf.DUMMYFUNCTION("""COMPUTED_VALUE"""),"NO")</f>
        <v>NO</v>
      </c>
      <c r="N493" s="56">
        <f ca="1">IFERROR(__xludf.DUMMYFUNCTION("""COMPUTED_VALUE"""),2)</f>
        <v>2</v>
      </c>
      <c r="O493" s="64" t="str">
        <f ca="1">IFERROR(__xludf.DUMMYFUNCTION("""COMPUTED_VALUE"""),"CONFORT")</f>
        <v>CONFORT</v>
      </c>
      <c r="P493" s="62">
        <f ca="1">IFERROR(__xludf.DUMMYFUNCTION("""COMPUTED_VALUE"""),3450.22)</f>
        <v>3450.22</v>
      </c>
      <c r="Q493" s="33" t="str">
        <f ca="1">IFERROR(__xludf.DUMMYFUNCTION("""COMPUTED_VALUE"""),"Luis Alberto Rodríguez ")</f>
        <v xml:space="preserve">Luis Alberto Rodríguez </v>
      </c>
      <c r="R493" s="33" t="str">
        <f ca="1">IFERROR(__xludf.DUMMYFUNCTION("""COMPUTED_VALUE"""),"No recuerda ORL")</f>
        <v>No recuerda ORL</v>
      </c>
      <c r="S493" s="61" t="str">
        <f ca="1">IFERROR(__xludf.DUMMYFUNCTION("""COMPUTED_VALUE"""),"03 ORL")</f>
        <v>03 ORL</v>
      </c>
      <c r="T493" s="33" t="str">
        <f ca="1">IFERROR(__xludf.DUMMYFUNCTION("""COMPUTED_VALUE"""),"06 ORL")</f>
        <v>06 ORL</v>
      </c>
      <c r="U493" s="62"/>
      <c r="W493" s="62"/>
      <c r="X493" s="62"/>
    </row>
    <row r="494" spans="2:24" ht="16">
      <c r="B494" s="55" t="str">
        <f t="shared" ca="1" si="1"/>
        <v>RPG</v>
      </c>
      <c r="C494" s="64" t="str">
        <f ca="1">IFERROR(__xludf.DUMMYFUNCTION("""COMPUTED_VALUE"""),"RPG37")</f>
        <v>RPG37</v>
      </c>
      <c r="D494" s="33" t="str">
        <f ca="1">IFERROR(__xludf.DUMMYFUNCTION("""COMPUTED_VALUE"""),"PARTICIPADOS")</f>
        <v>PARTICIPADOS</v>
      </c>
      <c r="E494" s="33">
        <f ca="1">IFERROR(__xludf.DUMMYFUNCTION("""COMPUTED_VALUE"""),2026)</f>
        <v>2026</v>
      </c>
      <c r="F494" s="56">
        <f ca="1">IFERROR(__xludf.DUMMYFUNCTION("""COMPUTED_VALUE"""),4)</f>
        <v>4</v>
      </c>
      <c r="G494" s="33" t="str">
        <f ca="1">IFERROR(__xludf.DUMMYFUNCTION("""COMPUTED_VALUE"""),"Ourense")</f>
        <v>Ourense</v>
      </c>
      <c r="H494" s="33" t="str">
        <f ca="1">IFERROR(__xludf.DUMMYFUNCTION("""COMPUTED_VALUE"""),"C202611413754509934")</f>
        <v>C202611413754509934</v>
      </c>
      <c r="I494" s="33" t="str">
        <f ca="1">IFERROR(__xludf.DUMMYFUNCTION("""COMPUTED_VALUE"""),"MARIA ELISA CEBREIRO FERNANDEZ")</f>
        <v>MARIA ELISA CEBREIRO FERNANDEZ</v>
      </c>
      <c r="J494" s="57">
        <f ca="1">IFERROR(__xludf.DUMMYFUNCTION("""COMPUTED_VALUE"""),46036)</f>
        <v>46036</v>
      </c>
      <c r="K494" s="33" t="str">
        <f ca="1">IFERROR(__xludf.DUMMYFUNCTION("""COMPUTED_VALUE"""),"Factura audífonos")</f>
        <v>Factura audífonos</v>
      </c>
      <c r="L494" s="57">
        <f ca="1">IFERROR(__xludf.DUMMYFUNCTION("""COMPUTED_VALUE"""),46113)</f>
        <v>46113</v>
      </c>
      <c r="M494" s="64" t="str">
        <f ca="1">IFERROR(__xludf.DUMMYFUNCTION("""COMPUTED_VALUE"""),"NO")</f>
        <v>NO</v>
      </c>
      <c r="N494" s="56">
        <f ca="1">IFERROR(__xludf.DUMMYFUNCTION("""COMPUTED_VALUE"""),-1)</f>
        <v>-1</v>
      </c>
      <c r="O494" s="64" t="str">
        <f ca="1">IFERROR(__xludf.DUMMYFUNCTION("""COMPUTED_VALUE"""),"ADVANCED")</f>
        <v>ADVANCED</v>
      </c>
      <c r="P494" s="62">
        <f ca="1">IFERROR(__xludf.DUMMYFUNCTION("""COMPUTED_VALUE"""),-2180.91)</f>
        <v>-2180.91</v>
      </c>
      <c r="Q494" s="33" t="str">
        <f ca="1">IFERROR(__xludf.DUMMYFUNCTION("""COMPUTED_VALUE"""),"Kiko Ortega ")</f>
        <v xml:space="preserve">Kiko Ortega </v>
      </c>
      <c r="R494" s="33" t="str">
        <f ca="1">IFERROR(__xludf.DUMMYFUNCTION("""COMPUTED_VALUE"""),"Ana Quintana Sanjuan")</f>
        <v>Ana Quintana Sanjuan</v>
      </c>
      <c r="S494" s="61" t="str">
        <f ca="1">IFERROR(__xludf.DUMMYFUNCTION("""COMPUTED_VALUE"""),"03 ORL")</f>
        <v>03 ORL</v>
      </c>
      <c r="T494" s="33" t="str">
        <f ca="1">IFERROR(__xludf.DUMMYFUNCTION("""COMPUTED_VALUE"""),"06 ORL")</f>
        <v>06 ORL</v>
      </c>
      <c r="U494" s="62"/>
      <c r="W494" s="62"/>
      <c r="X494" s="62"/>
    </row>
    <row r="495" spans="2:24" ht="16">
      <c r="B495" s="55" t="str">
        <f t="shared" ca="1" si="1"/>
        <v>RFV</v>
      </c>
      <c r="C495" s="64" t="str">
        <f ca="1">IFERROR(__xludf.DUMMYFUNCTION("""COMPUTED_VALUE"""),"RFV28")</f>
        <v>RFV28</v>
      </c>
      <c r="D495" s="33" t="str">
        <f ca="1">IFERROR(__xludf.DUMMYFUNCTION("""COMPUTED_VALUE"""),"PROPIOS")</f>
        <v>PROPIOS</v>
      </c>
      <c r="E495" s="33">
        <f ca="1">IFERROR(__xludf.DUMMYFUNCTION("""COMPUTED_VALUE"""),2026)</f>
        <v>2026</v>
      </c>
      <c r="F495" s="56">
        <f ca="1">IFERROR(__xludf.DUMMYFUNCTION("""COMPUTED_VALUE"""),4)</f>
        <v>4</v>
      </c>
      <c r="G495" s="33" t="str">
        <f ca="1">IFERROR(__xludf.DUMMYFUNCTION("""COMPUTED_VALUE"""),"Valencia- Cádiz")</f>
        <v>Valencia- Cádiz</v>
      </c>
      <c r="H495" s="33" t="str">
        <f ca="1">IFERROR(__xludf.DUMMYFUNCTION("""COMPUTED_VALUE"""),"C202612616416828504")</f>
        <v>C202612616416828504</v>
      </c>
      <c r="I495" s="33" t="str">
        <f ca="1">IFERROR(__xludf.DUMMYFUNCTION("""COMPUTED_VALUE"""),"MARIA ANGELES MONTESINOS SANTOS")</f>
        <v>MARIA ANGELES MONTESINOS SANTOS</v>
      </c>
      <c r="J495" s="57">
        <f ca="1">IFERROR(__xludf.DUMMYFUNCTION("""COMPUTED_VALUE"""),46048)</f>
        <v>46048</v>
      </c>
      <c r="K495" s="33" t="str">
        <f ca="1">IFERROR(__xludf.DUMMYFUNCTION("""COMPUTED_VALUE"""),"Factura audífonos")</f>
        <v>Factura audífonos</v>
      </c>
      <c r="L495" s="57">
        <f ca="1">IFERROR(__xludf.DUMMYFUNCTION("""COMPUTED_VALUE"""),46113)</f>
        <v>46113</v>
      </c>
      <c r="M495" s="64" t="str">
        <f ca="1">IFERROR(__xludf.DUMMYFUNCTION("""COMPUTED_VALUE"""),"NO")</f>
        <v>NO</v>
      </c>
      <c r="N495" s="56">
        <f ca="1">IFERROR(__xludf.DUMMYFUNCTION("""COMPUTED_VALUE"""),2)</f>
        <v>2</v>
      </c>
      <c r="O495" s="64" t="str">
        <f ca="1">IFERROR(__xludf.DUMMYFUNCTION("""COMPUTED_VALUE"""),"QUIET")</f>
        <v>QUIET</v>
      </c>
      <c r="P495" s="62">
        <f ca="1">IFERROR(__xludf.DUMMYFUNCTION("""COMPUTED_VALUE"""),2718.18)</f>
        <v>2718.18</v>
      </c>
      <c r="Q495" s="33" t="str">
        <f ca="1">IFERROR(__xludf.DUMMYFUNCTION("""COMPUTED_VALUE"""),"Ramon Ferrando")</f>
        <v>Ramon Ferrando</v>
      </c>
      <c r="R495" s="33" t="str">
        <f ca="1">IFERROR(__xludf.DUMMYFUNCTION("""COMPUTED_VALUE"""),"Celia López Molla")</f>
        <v>Celia López Molla</v>
      </c>
      <c r="S495" s="61" t="str">
        <f ca="1">IFERROR(__xludf.DUMMYFUNCTION("""COMPUTED_VALUE"""),"03 ORL")</f>
        <v>03 ORL</v>
      </c>
      <c r="T495" s="33" t="str">
        <f ca="1">IFERROR(__xludf.DUMMYFUNCTION("""COMPUTED_VALUE"""),"06 ORL")</f>
        <v>06 ORL</v>
      </c>
      <c r="U495" s="62"/>
      <c r="W495" s="62"/>
      <c r="X495" s="62"/>
    </row>
    <row r="496" spans="2:24" ht="16">
      <c r="B496" s="55" t="str">
        <f t="shared" ca="1" si="1"/>
        <v>RFV</v>
      </c>
      <c r="C496" s="64" t="str">
        <f ca="1">IFERROR(__xludf.DUMMYFUNCTION("""COMPUTED_VALUE"""),"RFV21")</f>
        <v>RFV21</v>
      </c>
      <c r="D496" s="33" t="str">
        <f ca="1">IFERROR(__xludf.DUMMYFUNCTION("""COMPUTED_VALUE"""),"PROPIOS")</f>
        <v>PROPIOS</v>
      </c>
      <c r="E496" s="33">
        <f ca="1">IFERROR(__xludf.DUMMYFUNCTION("""COMPUTED_VALUE"""),2026)</f>
        <v>2026</v>
      </c>
      <c r="F496" s="56">
        <f ca="1">IFERROR(__xludf.DUMMYFUNCTION("""COMPUTED_VALUE"""),4)</f>
        <v>4</v>
      </c>
      <c r="G496" s="33" t="str">
        <f ca="1">IFERROR(__xludf.DUMMYFUNCTION("""COMPUTED_VALUE"""),"Valencia- Parra")</f>
        <v>Valencia- Parra</v>
      </c>
      <c r="H496" s="33" t="str">
        <f ca="1">IFERROR(__xludf.DUMMYFUNCTION("""COMPUTED_VALUE"""),"C202634105857508816")</f>
        <v>C202634105857508816</v>
      </c>
      <c r="I496" s="33" t="str">
        <f ca="1">IFERROR(__xludf.DUMMYFUNCTION("""COMPUTED_VALUE"""),"ALEX BOIX DEL OLMO")</f>
        <v>ALEX BOIX DEL OLMO</v>
      </c>
      <c r="J496" s="57">
        <f ca="1">IFERROR(__xludf.DUMMYFUNCTION("""COMPUTED_VALUE"""),46085)</f>
        <v>46085</v>
      </c>
      <c r="K496" s="33" t="str">
        <f ca="1">IFERROR(__xludf.DUMMYFUNCTION("""COMPUTED_VALUE"""),"Factura audífonos")</f>
        <v>Factura audífonos</v>
      </c>
      <c r="L496" s="57">
        <f ca="1">IFERROR(__xludf.DUMMYFUNCTION("""COMPUTED_VALUE"""),46113)</f>
        <v>46113</v>
      </c>
      <c r="M496" s="64" t="str">
        <f ca="1">IFERROR(__xludf.DUMMYFUNCTION("""COMPUTED_VALUE"""),"NO")</f>
        <v>NO</v>
      </c>
      <c r="N496" s="56">
        <f ca="1">IFERROR(__xludf.DUMMYFUNCTION("""COMPUTED_VALUE"""),2)</f>
        <v>2</v>
      </c>
      <c r="O496" s="64" t="str">
        <f ca="1">IFERROR(__xludf.DUMMYFUNCTION("""COMPUTED_VALUE"""),"CONFORT")</f>
        <v>CONFORT</v>
      </c>
      <c r="P496" s="62">
        <f ca="1">IFERROR(__xludf.DUMMYFUNCTION("""COMPUTED_VALUE"""),3631.82)</f>
        <v>3631.82</v>
      </c>
      <c r="Q496" s="33" t="str">
        <f ca="1">IFERROR(__xludf.DUMMYFUNCTION("""COMPUTED_VALUE"""),"Ramon Ferrando")</f>
        <v>Ramon Ferrando</v>
      </c>
      <c r="R496" s="33" t="str">
        <f ca="1">IFERROR(__xludf.DUMMYFUNCTION("""COMPUTED_VALUE"""),"Manuel Mateos Fernández")</f>
        <v>Manuel Mateos Fernández</v>
      </c>
      <c r="S496" s="61" t="str">
        <f ca="1">IFERROR(__xludf.DUMMYFUNCTION("""COMPUTED_VALUE"""),"03 ORL")</f>
        <v>03 ORL</v>
      </c>
      <c r="T496" s="33" t="str">
        <f ca="1">IFERROR(__xludf.DUMMYFUNCTION("""COMPUTED_VALUE"""),"06 ORL")</f>
        <v>06 ORL</v>
      </c>
      <c r="U496" s="62"/>
      <c r="W496" s="62"/>
      <c r="X496" s="62"/>
    </row>
    <row r="497" spans="2:24" ht="16">
      <c r="B497" s="55" t="str">
        <f t="shared" ca="1" si="1"/>
        <v>ISL</v>
      </c>
      <c r="C497" s="64" t="str">
        <f ca="1">IFERROR(__xludf.DUMMYFUNCTION("""COMPUTED_VALUE"""),"ISL119")</f>
        <v>ISL119</v>
      </c>
      <c r="D497" s="33" t="str">
        <f ca="1">IFERROR(__xludf.DUMMYFUNCTION("""COMPUTED_VALUE"""),"PROPIOS")</f>
        <v>PROPIOS</v>
      </c>
      <c r="E497" s="33">
        <f ca="1">IFERROR(__xludf.DUMMYFUNCTION("""COMPUTED_VALUE"""),2026)</f>
        <v>2026</v>
      </c>
      <c r="F497" s="56">
        <f ca="1">IFERROR(__xludf.DUMMYFUNCTION("""COMPUTED_VALUE"""),4)</f>
        <v>4</v>
      </c>
      <c r="G497" s="33" t="str">
        <f ca="1">IFERROR(__xludf.DUMMYFUNCTION("""COMPUTED_VALUE"""),"Valencia- Parra")</f>
        <v>Valencia- Parra</v>
      </c>
      <c r="H497" s="33" t="str">
        <f ca="1">IFERROR(__xludf.DUMMYFUNCTION("""COMPUTED_VALUE"""),"C202621616484989719")</f>
        <v>C202621616484989719</v>
      </c>
      <c r="I497" s="33" t="str">
        <f ca="1">IFERROR(__xludf.DUMMYFUNCTION("""COMPUTED_VALUE"""),"SALVADOR DONIS CORTINA")</f>
        <v>SALVADOR DONIS CORTINA</v>
      </c>
      <c r="J497" s="57">
        <f ca="1">IFERROR(__xludf.DUMMYFUNCTION("""COMPUTED_VALUE"""),46069)</f>
        <v>46069</v>
      </c>
      <c r="K497" s="33" t="str">
        <f ca="1">IFERROR(__xludf.DUMMYFUNCTION("""COMPUTED_VALUE"""),"Factura audífonos")</f>
        <v>Factura audífonos</v>
      </c>
      <c r="L497" s="57">
        <f ca="1">IFERROR(__xludf.DUMMYFUNCTION("""COMPUTED_VALUE"""),46113)</f>
        <v>46113</v>
      </c>
      <c r="M497" s="64" t="str">
        <f ca="1">IFERROR(__xludf.DUMMYFUNCTION("""COMPUTED_VALUE"""),"NO")</f>
        <v>NO</v>
      </c>
      <c r="N497" s="56">
        <f ca="1">IFERROR(__xludf.DUMMYFUNCTION("""COMPUTED_VALUE"""),2)</f>
        <v>2</v>
      </c>
      <c r="O497" s="64" t="str">
        <f ca="1">IFERROR(__xludf.DUMMYFUNCTION("""COMPUTED_VALUE"""),"CONFORT")</f>
        <v>CONFORT</v>
      </c>
      <c r="P497" s="62">
        <f ca="1">IFERROR(__xludf.DUMMYFUNCTION("""COMPUTED_VALUE"""),3631.82)</f>
        <v>3631.82</v>
      </c>
      <c r="Q497" s="33" t="str">
        <f ca="1">IFERROR(__xludf.DUMMYFUNCTION("""COMPUTED_VALUE"""),"Ramon Ferrando")</f>
        <v>Ramon Ferrando</v>
      </c>
      <c r="R497" s="33" t="str">
        <f ca="1">IFERROR(__xludf.DUMMYFUNCTION("""COMPUTED_VALUE"""),"María José Lesmas Navarro")</f>
        <v>María José Lesmas Navarro</v>
      </c>
      <c r="S497" s="61" t="str">
        <f ca="1">IFERROR(__xludf.DUMMYFUNCTION("""COMPUTED_VALUE"""),"03 ORL")</f>
        <v>03 ORL</v>
      </c>
      <c r="T497" s="33" t="str">
        <f ca="1">IFERROR(__xludf.DUMMYFUNCTION("""COMPUTED_VALUE"""),"06 ORL")</f>
        <v>06 ORL</v>
      </c>
      <c r="U497" s="62"/>
      <c r="W497" s="62"/>
      <c r="X497" s="62"/>
    </row>
    <row r="498" spans="2:24" ht="16">
      <c r="B498" s="55" t="str">
        <f t="shared" ca="1" si="1"/>
        <v>ISL</v>
      </c>
      <c r="C498" s="64" t="str">
        <f ca="1">IFERROR(__xludf.DUMMYFUNCTION("""COMPUTED_VALUE"""),"ISL98")</f>
        <v>ISL98</v>
      </c>
      <c r="D498" s="33" t="str">
        <f ca="1">IFERROR(__xludf.DUMMYFUNCTION("""COMPUTED_VALUE"""),"PROPIOS")</f>
        <v>PROPIOS</v>
      </c>
      <c r="E498" s="33">
        <f ca="1">IFERROR(__xludf.DUMMYFUNCTION("""COMPUTED_VALUE"""),2026)</f>
        <v>2026</v>
      </c>
      <c r="F498" s="56">
        <f ca="1">IFERROR(__xludf.DUMMYFUNCTION("""COMPUTED_VALUE"""),4)</f>
        <v>4</v>
      </c>
      <c r="G498" s="33" t="str">
        <f ca="1">IFERROR(__xludf.DUMMYFUNCTION("""COMPUTED_VALUE"""),"Murcia")</f>
        <v>Murcia</v>
      </c>
      <c r="H498" s="33" t="str">
        <f ca="1">IFERROR(__xludf.DUMMYFUNCTION("""COMPUTED_VALUE"""),"C202634122611315393")</f>
        <v>C202634122611315393</v>
      </c>
      <c r="I498" s="33" t="str">
        <f ca="1">IFERROR(__xludf.DUMMYFUNCTION("""COMPUTED_VALUE"""),"MARIA PEREZ PELLICER")</f>
        <v>MARIA PEREZ PELLICER</v>
      </c>
      <c r="J498" s="57">
        <f ca="1">IFERROR(__xludf.DUMMYFUNCTION("""COMPUTED_VALUE"""),46085)</f>
        <v>46085</v>
      </c>
      <c r="K498" s="33" t="str">
        <f ca="1">IFERROR(__xludf.DUMMYFUNCTION("""COMPUTED_VALUE"""),"Factura audífonos")</f>
        <v>Factura audífonos</v>
      </c>
      <c r="L498" s="57">
        <f ca="1">IFERROR(__xludf.DUMMYFUNCTION("""COMPUTED_VALUE"""),46113)</f>
        <v>46113</v>
      </c>
      <c r="M498" s="64" t="str">
        <f ca="1">IFERROR(__xludf.DUMMYFUNCTION("""COMPUTED_VALUE"""),"NO")</f>
        <v>NO</v>
      </c>
      <c r="N498" s="56">
        <f ca="1">IFERROR(__xludf.DUMMYFUNCTION("""COMPUTED_VALUE"""),1)</f>
        <v>1</v>
      </c>
      <c r="O498" s="64" t="str">
        <f ca="1">IFERROR(__xludf.DUMMYFUNCTION("""COMPUTED_VALUE"""),"QUIET")</f>
        <v>QUIET</v>
      </c>
      <c r="P498" s="62">
        <f ca="1">IFERROR(__xludf.DUMMYFUNCTION("""COMPUTED_VALUE"""),1631.82)</f>
        <v>1631.82</v>
      </c>
      <c r="Q498" s="33" t="str">
        <f ca="1">IFERROR(__xludf.DUMMYFUNCTION("""COMPUTED_VALUE"""),"Iván Sánchez ")</f>
        <v xml:space="preserve">Iván Sánchez </v>
      </c>
      <c r="R498" s="33" t="str">
        <f ca="1">IFERROR(__xludf.DUMMYFUNCTION("""COMPUTED_VALUE"""),"Cristina Esther Torregrosa Carrasquer")</f>
        <v>Cristina Esther Torregrosa Carrasquer</v>
      </c>
      <c r="S498" s="61" t="str">
        <f ca="1">IFERROR(__xludf.DUMMYFUNCTION("""COMPUTED_VALUE"""),"03 ORL")</f>
        <v>03 ORL</v>
      </c>
      <c r="T498" s="33" t="str">
        <f ca="1">IFERROR(__xludf.DUMMYFUNCTION("""COMPUTED_VALUE"""),"06 ORL")</f>
        <v>06 ORL</v>
      </c>
      <c r="U498" s="62"/>
      <c r="W498" s="62"/>
      <c r="X498" s="62"/>
    </row>
    <row r="499" spans="2:24" ht="16">
      <c r="B499" s="55" t="str">
        <f t="shared" ca="1" si="1"/>
        <v>ISL</v>
      </c>
      <c r="C499" s="64" t="str">
        <f ca="1">IFERROR(__xludf.DUMMYFUNCTION("""COMPUTED_VALUE"""),"ISL116")</f>
        <v>ISL116</v>
      </c>
      <c r="D499" s="33" t="str">
        <f ca="1">IFERROR(__xludf.DUMMYFUNCTION("""COMPUTED_VALUE"""),"PROPIOS")</f>
        <v>PROPIOS</v>
      </c>
      <c r="E499" s="33">
        <f ca="1">IFERROR(__xludf.DUMMYFUNCTION("""COMPUTED_VALUE"""),2026)</f>
        <v>2026</v>
      </c>
      <c r="F499" s="56">
        <f ca="1">IFERROR(__xludf.DUMMYFUNCTION("""COMPUTED_VALUE"""),4)</f>
        <v>4</v>
      </c>
      <c r="G499" s="33" t="str">
        <f ca="1">IFERROR(__xludf.DUMMYFUNCTION("""COMPUTED_VALUE"""),"Alicante")</f>
        <v>Alicante</v>
      </c>
      <c r="H499" s="33" t="str">
        <f ca="1">IFERROR(__xludf.DUMMYFUNCTION("""COMPUTED_VALUE"""),"ALC-3494")</f>
        <v>ALC-3494</v>
      </c>
      <c r="I499" s="33" t="str">
        <f ca="1">IFERROR(__xludf.DUMMYFUNCTION("""COMPUTED_VALUE"""),"RICHARD JOHNSTON")</f>
        <v>RICHARD JOHNSTON</v>
      </c>
      <c r="J499" s="57">
        <f ca="1">IFERROR(__xludf.DUMMYFUNCTION("""COMPUTED_VALUE"""),45099)</f>
        <v>45099</v>
      </c>
      <c r="K499" s="33" t="str">
        <f ca="1">IFERROR(__xludf.DUMMYFUNCTION("""COMPUTED_VALUE"""),"Factura audífonos")</f>
        <v>Factura audífonos</v>
      </c>
      <c r="L499" s="57">
        <f ca="1">IFERROR(__xludf.DUMMYFUNCTION("""COMPUTED_VALUE"""),46114)</f>
        <v>46114</v>
      </c>
      <c r="M499" s="64" t="str">
        <f ca="1">IFERROR(__xludf.DUMMYFUNCTION("""COMPUTED_VALUE"""),"NO")</f>
        <v>NO</v>
      </c>
      <c r="N499" s="56">
        <f ca="1">IFERROR(__xludf.DUMMYFUNCTION("""COMPUTED_VALUE"""),2)</f>
        <v>2</v>
      </c>
      <c r="O499" s="64" t="str">
        <f ca="1">IFERROR(__xludf.DUMMYFUNCTION("""COMPUTED_VALUE"""),"CONFORT")</f>
        <v>CONFORT</v>
      </c>
      <c r="P499" s="62">
        <f ca="1">IFERROR(__xludf.DUMMYFUNCTION("""COMPUTED_VALUE"""),3087.04)</f>
        <v>3087.04</v>
      </c>
      <c r="Q499" s="33" t="str">
        <f ca="1">IFERROR(__xludf.DUMMYFUNCTION("""COMPUTED_VALUE"""),"Iván Sánchez ")</f>
        <v xml:space="preserve">Iván Sánchez </v>
      </c>
      <c r="R499" s="33" t="str">
        <f ca="1">IFERROR(__xludf.DUMMYFUNCTION("""COMPUTED_VALUE"""),"Maria Rosario Ferrandiz García")</f>
        <v>Maria Rosario Ferrandiz García</v>
      </c>
      <c r="S499" s="61" t="str">
        <f ca="1">IFERROR(__xludf.DUMMYFUNCTION("""COMPUTED_VALUE"""),"03 ORL")</f>
        <v>03 ORL</v>
      </c>
      <c r="T499" s="33" t="str">
        <f ca="1">IFERROR(__xludf.DUMMYFUNCTION("""COMPUTED_VALUE"""),"06 ORL")</f>
        <v>06 ORL</v>
      </c>
      <c r="U499" s="62"/>
      <c r="W499" s="62"/>
      <c r="X499" s="62"/>
    </row>
    <row r="500" spans="2:24" ht="16">
      <c r="B500" s="55" t="str">
        <f t="shared" ca="1" si="1"/>
        <v>ISL</v>
      </c>
      <c r="C500" s="64" t="str">
        <f ca="1">IFERROR(__xludf.DUMMYFUNCTION("""COMPUTED_VALUE"""),"ISL24")</f>
        <v>ISL24</v>
      </c>
      <c r="D500" s="33" t="str">
        <f ca="1">IFERROR(__xludf.DUMMYFUNCTION("""COMPUTED_VALUE"""),"PROPIOS")</f>
        <v>PROPIOS</v>
      </c>
      <c r="E500" s="33">
        <f ca="1">IFERROR(__xludf.DUMMYFUNCTION("""COMPUTED_VALUE"""),2026)</f>
        <v>2026</v>
      </c>
      <c r="F500" s="56">
        <f ca="1">IFERROR(__xludf.DUMMYFUNCTION("""COMPUTED_VALUE"""),4)</f>
        <v>4</v>
      </c>
      <c r="G500" s="33" t="str">
        <f ca="1">IFERROR(__xludf.DUMMYFUNCTION("""COMPUTED_VALUE"""),"San Javier")</f>
        <v>San Javier</v>
      </c>
      <c r="H500" s="33" t="str">
        <f ca="1">IFERROR(__xludf.DUMMYFUNCTION("""COMPUTED_VALUE"""),"C202633183320857874")</f>
        <v>C202633183320857874</v>
      </c>
      <c r="I500" s="33" t="str">
        <f ca="1">IFERROR(__xludf.DUMMYFUNCTION("""COMPUTED_VALUE"""),"TERESA FRUTOS PINTADO")</f>
        <v>TERESA FRUTOS PINTADO</v>
      </c>
      <c r="J500" s="57">
        <f ca="1">IFERROR(__xludf.DUMMYFUNCTION("""COMPUTED_VALUE"""),46084)</f>
        <v>46084</v>
      </c>
      <c r="K500" s="33" t="str">
        <f ca="1">IFERROR(__xludf.DUMMYFUNCTION("""COMPUTED_VALUE"""),"Factura audífonos")</f>
        <v>Factura audífonos</v>
      </c>
      <c r="L500" s="57">
        <f ca="1">IFERROR(__xludf.DUMMYFUNCTION("""COMPUTED_VALUE"""),46118)</f>
        <v>46118</v>
      </c>
      <c r="M500" s="64" t="str">
        <f ca="1">IFERROR(__xludf.DUMMYFUNCTION("""COMPUTED_VALUE"""),"NO")</f>
        <v>NO</v>
      </c>
      <c r="N500" s="56">
        <f ca="1">IFERROR(__xludf.DUMMYFUNCTION("""COMPUTED_VALUE"""),2)</f>
        <v>2</v>
      </c>
      <c r="O500" s="64" t="str">
        <f ca="1">IFERROR(__xludf.DUMMYFUNCTION("""COMPUTED_VALUE"""),"CONFORT")</f>
        <v>CONFORT</v>
      </c>
      <c r="P500" s="62">
        <f ca="1">IFERROR(__xludf.DUMMYFUNCTION("""COMPUTED_VALUE"""),3631.82)</f>
        <v>3631.82</v>
      </c>
      <c r="Q500" s="33" t="str">
        <f ca="1">IFERROR(__xludf.DUMMYFUNCTION("""COMPUTED_VALUE"""),"Iván Sánchez ")</f>
        <v xml:space="preserve">Iván Sánchez </v>
      </c>
      <c r="R500" s="33" t="str">
        <f ca="1">IFERROR(__xludf.DUMMYFUNCTION("""COMPUTED_VALUE"""),"Enrique López Meseguer")</f>
        <v>Enrique López Meseguer</v>
      </c>
      <c r="S500" s="61" t="str">
        <f ca="1">IFERROR(__xludf.DUMMYFUNCTION("""COMPUTED_VALUE"""),"03 ORL")</f>
        <v>03 ORL</v>
      </c>
      <c r="T500" s="33" t="str">
        <f ca="1">IFERROR(__xludf.DUMMYFUNCTION("""COMPUTED_VALUE"""),"06 ORL")</f>
        <v>06 ORL</v>
      </c>
      <c r="U500" s="62"/>
      <c r="W500" s="62"/>
      <c r="X500" s="62"/>
    </row>
    <row r="501" spans="2:24" ht="16">
      <c r="B501" s="55" t="str">
        <f t="shared" ca="1" si="1"/>
        <v>MBM</v>
      </c>
      <c r="C501" s="64" t="str">
        <f ca="1">IFERROR(__xludf.DUMMYFUNCTION("""COMPUTED_VALUE"""),"MBM129")</f>
        <v>MBM129</v>
      </c>
      <c r="D501" s="33" t="str">
        <f ca="1">IFERROR(__xludf.DUMMYFUNCTION("""COMPUTED_VALUE"""),"PROPIOS")</f>
        <v>PROPIOS</v>
      </c>
      <c r="E501" s="33">
        <f ca="1">IFERROR(__xludf.DUMMYFUNCTION("""COMPUTED_VALUE"""),2026)</f>
        <v>2026</v>
      </c>
      <c r="F501" s="56">
        <f ca="1">IFERROR(__xludf.DUMMYFUNCTION("""COMPUTED_VALUE"""),4)</f>
        <v>4</v>
      </c>
      <c r="G501" s="33" t="str">
        <f ca="1">IFERROR(__xludf.DUMMYFUNCTION("""COMPUTED_VALUE"""),"Móstoles")</f>
        <v>Móstoles</v>
      </c>
      <c r="H501" s="33" t="str">
        <f ca="1">IFERROR(__xludf.DUMMYFUNCTION("""COMPUTED_VALUE"""),"C202622616103451654")</f>
        <v>C202622616103451654</v>
      </c>
      <c r="I501" s="33" t="str">
        <f ca="1">IFERROR(__xludf.DUMMYFUNCTION("""COMPUTED_VALUE"""),"JONH ALFRED SABATINI")</f>
        <v>JONH ALFRED SABATINI</v>
      </c>
      <c r="J501" s="57">
        <f ca="1">IFERROR(__xludf.DUMMYFUNCTION("""COMPUTED_VALUE"""),46079)</f>
        <v>46079</v>
      </c>
      <c r="K501" s="33" t="str">
        <f ca="1">IFERROR(__xludf.DUMMYFUNCTION("""COMPUTED_VALUE"""),"Factura audífonos")</f>
        <v>Factura audífonos</v>
      </c>
      <c r="L501" s="57">
        <f ca="1">IFERROR(__xludf.DUMMYFUNCTION("""COMPUTED_VALUE"""),46118)</f>
        <v>46118</v>
      </c>
      <c r="M501" s="64" t="str">
        <f ca="1">IFERROR(__xludf.DUMMYFUNCTION("""COMPUTED_VALUE"""),"NO")</f>
        <v>NO</v>
      </c>
      <c r="N501" s="56">
        <f ca="1">IFERROR(__xludf.DUMMYFUNCTION("""COMPUTED_VALUE"""),2)</f>
        <v>2</v>
      </c>
      <c r="O501" s="64" t="str">
        <f ca="1">IFERROR(__xludf.DUMMYFUNCTION("""COMPUTED_VALUE"""),"CONFORT")</f>
        <v>CONFORT</v>
      </c>
      <c r="P501" s="62">
        <f ca="1">IFERROR(__xludf.DUMMYFUNCTION("""COMPUTED_VALUE"""),3631.82)</f>
        <v>3631.82</v>
      </c>
      <c r="Q501" s="33" t="str">
        <f ca="1">IFERROR(__xludf.DUMMYFUNCTION("""COMPUTED_VALUE"""),"Maika Blázquez ")</f>
        <v xml:space="preserve">Maika Blázquez </v>
      </c>
      <c r="R501" s="33" t="str">
        <f ca="1">IFERROR(__xludf.DUMMYFUNCTION("""COMPUTED_VALUE"""),"Laura del Toro Gil")</f>
        <v>Laura del Toro Gil</v>
      </c>
      <c r="S501" s="61" t="str">
        <f ca="1">IFERROR(__xludf.DUMMYFUNCTION("""COMPUTED_VALUE"""),"03 ORL")</f>
        <v>03 ORL</v>
      </c>
      <c r="T501" s="33" t="str">
        <f ca="1">IFERROR(__xludf.DUMMYFUNCTION("""COMPUTED_VALUE"""),"06 ORL")</f>
        <v>06 ORL</v>
      </c>
      <c r="U501" s="62"/>
      <c r="W501" s="62"/>
      <c r="X501" s="62"/>
    </row>
    <row r="502" spans="2:24" ht="16">
      <c r="B502" s="55" t="str">
        <f t="shared" ca="1" si="1"/>
        <v>LAA</v>
      </c>
      <c r="C502" s="64" t="str">
        <f ca="1">IFERROR(__xludf.DUMMYFUNCTION("""COMPUTED_VALUE"""),"LAA83")</f>
        <v>LAA83</v>
      </c>
      <c r="D502" s="33" t="str">
        <f ca="1">IFERROR(__xludf.DUMMYFUNCTION("""COMPUTED_VALUE"""),"PROPIOS")</f>
        <v>PROPIOS</v>
      </c>
      <c r="E502" s="33">
        <f ca="1">IFERROR(__xludf.DUMMYFUNCTION("""COMPUTED_VALUE"""),2026)</f>
        <v>2026</v>
      </c>
      <c r="F502" s="56">
        <f ca="1">IFERROR(__xludf.DUMMYFUNCTION("""COMPUTED_VALUE"""),4)</f>
        <v>4</v>
      </c>
      <c r="G502" s="33" t="str">
        <f ca="1">IFERROR(__xludf.DUMMYFUNCTION("""COMPUTED_VALUE"""),"Sevilla- Montoto")</f>
        <v>Sevilla- Montoto</v>
      </c>
      <c r="H502" s="33" t="str">
        <f ca="1">IFERROR(__xludf.DUMMYFUNCTION("""COMPUTED_VALUE"""),"C202622612343624663")</f>
        <v>C202622612343624663</v>
      </c>
      <c r="I502" s="33" t="str">
        <f ca="1">IFERROR(__xludf.DUMMYFUNCTION("""COMPUTED_VALUE"""),"FLORA FERNANDEZ RIVAS")</f>
        <v>FLORA FERNANDEZ RIVAS</v>
      </c>
      <c r="J502" s="57">
        <f ca="1">IFERROR(__xludf.DUMMYFUNCTION("""COMPUTED_VALUE"""),46079)</f>
        <v>46079</v>
      </c>
      <c r="K502" s="33" t="str">
        <f ca="1">IFERROR(__xludf.DUMMYFUNCTION("""COMPUTED_VALUE"""),"Factura audífonos")</f>
        <v>Factura audífonos</v>
      </c>
      <c r="L502" s="57">
        <f ca="1">IFERROR(__xludf.DUMMYFUNCTION("""COMPUTED_VALUE"""),46118)</f>
        <v>46118</v>
      </c>
      <c r="M502" s="64" t="str">
        <f ca="1">IFERROR(__xludf.DUMMYFUNCTION("""COMPUTED_VALUE"""),"NO")</f>
        <v>NO</v>
      </c>
      <c r="N502" s="56">
        <f ca="1">IFERROR(__xludf.DUMMYFUNCTION("""COMPUTED_VALUE"""),2)</f>
        <v>2</v>
      </c>
      <c r="O502" s="64" t="str">
        <f ca="1">IFERROR(__xludf.DUMMYFUNCTION("""COMPUTED_VALUE"""),"CONFORT")</f>
        <v>CONFORT</v>
      </c>
      <c r="P502" s="62">
        <f ca="1">IFERROR(__xludf.DUMMYFUNCTION("""COMPUTED_VALUE"""),3450)</f>
        <v>3450</v>
      </c>
      <c r="Q502" s="33" t="str">
        <f ca="1">IFERROR(__xludf.DUMMYFUNCTION("""COMPUTED_VALUE"""),"Luis Alberto Rodríguez ")</f>
        <v xml:space="preserve">Luis Alberto Rodríguez </v>
      </c>
      <c r="R502" s="33" t="str">
        <f ca="1">IFERROR(__xludf.DUMMYFUNCTION("""COMPUTED_VALUE"""),"Alfonso María Pérez Sánchez")</f>
        <v>Alfonso María Pérez Sánchez</v>
      </c>
      <c r="S502" s="61" t="str">
        <f ca="1">IFERROR(__xludf.DUMMYFUNCTION("""COMPUTED_VALUE"""),"03 ORL")</f>
        <v>03 ORL</v>
      </c>
      <c r="T502" s="33" t="str">
        <f ca="1">IFERROR(__xludf.DUMMYFUNCTION("""COMPUTED_VALUE"""),"06 ORL")</f>
        <v>06 ORL</v>
      </c>
      <c r="U502" s="62"/>
      <c r="W502" s="62"/>
      <c r="X502" s="62"/>
    </row>
    <row r="503" spans="2:24" ht="16">
      <c r="B503" s="55" t="str">
        <f t="shared" ca="1" si="1"/>
        <v>PSC</v>
      </c>
      <c r="C503" s="64" t="str">
        <f ca="1">IFERROR(__xludf.DUMMYFUNCTION("""COMPUTED_VALUE"""),"PSC16")</f>
        <v>PSC16</v>
      </c>
      <c r="D503" s="33" t="str">
        <f ca="1">IFERROR(__xludf.DUMMYFUNCTION("""COMPUTED_VALUE"""),"ASOCIADOS")</f>
        <v>ASOCIADOS</v>
      </c>
      <c r="E503" s="33">
        <f ca="1">IFERROR(__xludf.DUMMYFUNCTION("""COMPUTED_VALUE"""),2026)</f>
        <v>2026</v>
      </c>
      <c r="F503" s="56">
        <f ca="1">IFERROR(__xludf.DUMMYFUNCTION("""COMPUTED_VALUE"""),4)</f>
        <v>4</v>
      </c>
      <c r="G503" s="33" t="str">
        <f ca="1">IFERROR(__xludf.DUMMYFUNCTION("""COMPUTED_VALUE"""),"Salamanca")</f>
        <v>Salamanca</v>
      </c>
      <c r="H503" s="33" t="str">
        <f ca="1">IFERROR(__xludf.DUMMYFUNCTION("""COMPUTED_VALUE"""),"C202621617193508468")</f>
        <v>C202621617193508468</v>
      </c>
      <c r="I503" s="33" t="str">
        <f ca="1">IFERROR(__xludf.DUMMYFUNCTION("""COMPUTED_VALUE"""),"JUAN JOSE MARTIN GONZALO")</f>
        <v>JUAN JOSE MARTIN GONZALO</v>
      </c>
      <c r="J503" s="57">
        <f ca="1">IFERROR(__xludf.DUMMYFUNCTION("""COMPUTED_VALUE"""),46069)</f>
        <v>46069</v>
      </c>
      <c r="K503" s="33" t="str">
        <f ca="1">IFERROR(__xludf.DUMMYFUNCTION("""COMPUTED_VALUE"""),"Factura audífonos")</f>
        <v>Factura audífonos</v>
      </c>
      <c r="L503" s="57">
        <f ca="1">IFERROR(__xludf.DUMMYFUNCTION("""COMPUTED_VALUE"""),46118)</f>
        <v>46118</v>
      </c>
      <c r="M503" s="64" t="str">
        <f ca="1">IFERROR(__xludf.DUMMYFUNCTION("""COMPUTED_VALUE"""),"NO")</f>
        <v>NO</v>
      </c>
      <c r="N503" s="56">
        <f ca="1">IFERROR(__xludf.DUMMYFUNCTION("""COMPUTED_VALUE"""),1)</f>
        <v>1</v>
      </c>
      <c r="O503" s="64" t="str">
        <f ca="1">IFERROR(__xludf.DUMMYFUNCTION("""COMPUTED_VALUE"""),"QUIET")</f>
        <v>QUIET</v>
      </c>
      <c r="P503" s="62">
        <f ca="1">IFERROR(__xludf.DUMMYFUNCTION("""COMPUTED_VALUE"""),1784.55)</f>
        <v>1784.55</v>
      </c>
      <c r="Q503" s="33" t="str">
        <f ca="1">IFERROR(__xludf.DUMMYFUNCTION("""COMPUTED_VALUE"""),"Alberto Moreno ")</f>
        <v xml:space="preserve">Alberto Moreno </v>
      </c>
      <c r="R503" s="33" t="str">
        <f ca="1">IFERROR(__xludf.DUMMYFUNCTION("""COMPUTED_VALUE"""),"Jose Antonio Sancipriano Hernández")</f>
        <v>Jose Antonio Sancipriano Hernández</v>
      </c>
      <c r="S503" s="61" t="str">
        <f ca="1">IFERROR(__xludf.DUMMYFUNCTION("""COMPUTED_VALUE"""),"03 ORL")</f>
        <v>03 ORL</v>
      </c>
      <c r="T503" s="33" t="str">
        <f ca="1">IFERROR(__xludf.DUMMYFUNCTION("""COMPUTED_VALUE"""),"06 ORL")</f>
        <v>06 ORL</v>
      </c>
      <c r="U503" s="62"/>
      <c r="W503" s="62"/>
      <c r="X503" s="62"/>
    </row>
    <row r="504" spans="2:24" ht="16">
      <c r="B504" s="55" t="str">
        <f t="shared" ca="1" si="1"/>
        <v>LAA</v>
      </c>
      <c r="C504" s="64" t="str">
        <f ca="1">IFERROR(__xludf.DUMMYFUNCTION("""COMPUTED_VALUE"""),"LAA02")</f>
        <v>LAA02</v>
      </c>
      <c r="D504" s="33" t="str">
        <f ca="1">IFERROR(__xludf.DUMMYFUNCTION("""COMPUTED_VALUE"""),"PROPIOS")</f>
        <v>PROPIOS</v>
      </c>
      <c r="E504" s="33">
        <f ca="1">IFERROR(__xludf.DUMMYFUNCTION("""COMPUTED_VALUE"""),2026)</f>
        <v>2026</v>
      </c>
      <c r="F504" s="56">
        <f ca="1">IFERROR(__xludf.DUMMYFUNCTION("""COMPUTED_VALUE"""),4)</f>
        <v>4</v>
      </c>
      <c r="G504" s="33" t="str">
        <f ca="1">IFERROR(__xludf.DUMMYFUNCTION("""COMPUTED_VALUE"""),"Sevilla- Montoto")</f>
        <v>Sevilla- Montoto</v>
      </c>
      <c r="H504" s="33" t="str">
        <f ca="1">IFERROR(__xludf.DUMMYFUNCTION("""COMPUTED_VALUE"""),"C202617113119363215")</f>
        <v>C202617113119363215</v>
      </c>
      <c r="I504" s="33" t="str">
        <f ca="1">IFERROR(__xludf.DUMMYFUNCTION("""COMPUTED_VALUE"""),"MARIA ANTONIA VILLEGAS MARQUEZ")</f>
        <v>MARIA ANTONIA VILLEGAS MARQUEZ</v>
      </c>
      <c r="J504" s="57">
        <f ca="1">IFERROR(__xludf.DUMMYFUNCTION("""COMPUTED_VALUE"""),46029)</f>
        <v>46029</v>
      </c>
      <c r="K504" s="33" t="str">
        <f ca="1">IFERROR(__xludf.DUMMYFUNCTION("""COMPUTED_VALUE"""),"Factura audífonos")</f>
        <v>Factura audífonos</v>
      </c>
      <c r="L504" s="57">
        <f ca="1">IFERROR(__xludf.DUMMYFUNCTION("""COMPUTED_VALUE"""),46119)</f>
        <v>46119</v>
      </c>
      <c r="M504" s="64" t="str">
        <f ca="1">IFERROR(__xludf.DUMMYFUNCTION("""COMPUTED_VALUE"""),"NO")</f>
        <v>NO</v>
      </c>
      <c r="N504" s="56">
        <f ca="1">IFERROR(__xludf.DUMMYFUNCTION("""COMPUTED_VALUE"""),2)</f>
        <v>2</v>
      </c>
      <c r="O504" s="64" t="str">
        <f ca="1">IFERROR(__xludf.DUMMYFUNCTION("""COMPUTED_VALUE"""),"CONFORT")</f>
        <v>CONFORT</v>
      </c>
      <c r="P504" s="62">
        <f ca="1">IFERROR(__xludf.DUMMYFUNCTION("""COMPUTED_VALUE"""),3631.82)</f>
        <v>3631.82</v>
      </c>
      <c r="Q504" s="33" t="str">
        <f ca="1">IFERROR(__xludf.DUMMYFUNCTION("""COMPUTED_VALUE"""),"Luis Alberto Rodríguez ")</f>
        <v xml:space="preserve">Luis Alberto Rodríguez </v>
      </c>
      <c r="R504" s="33" t="str">
        <f ca="1">IFERROR(__xludf.DUMMYFUNCTION("""COMPUTED_VALUE"""),"Antonio Gandúl Merchán")</f>
        <v>Antonio Gandúl Merchán</v>
      </c>
      <c r="S504" s="61" t="str">
        <f ca="1">IFERROR(__xludf.DUMMYFUNCTION("""COMPUTED_VALUE"""),"03 ORL")</f>
        <v>03 ORL</v>
      </c>
      <c r="T504" s="33" t="str">
        <f ca="1">IFERROR(__xludf.DUMMYFUNCTION("""COMPUTED_VALUE"""),"06 ORL")</f>
        <v>06 ORL</v>
      </c>
      <c r="U504" s="62"/>
      <c r="W504" s="62"/>
      <c r="X504" s="62"/>
    </row>
    <row r="505" spans="2:24" ht="16">
      <c r="B505" s="55" t="str">
        <f t="shared" si="1"/>
        <v/>
      </c>
      <c r="C505" s="64"/>
      <c r="D505" s="33" t="str">
        <f ca="1">IFERROR(__xludf.DUMMYFUNCTION("""COMPUTED_VALUE"""),"PARTICIPADOS")</f>
        <v>PARTICIPADOS</v>
      </c>
      <c r="E505" s="33">
        <f ca="1">IFERROR(__xludf.DUMMYFUNCTION("""COMPUTED_VALUE"""),2026)</f>
        <v>2026</v>
      </c>
      <c r="F505" s="56">
        <f ca="1">IFERROR(__xludf.DUMMYFUNCTION("""COMPUTED_VALUE"""),4)</f>
        <v>4</v>
      </c>
      <c r="G505" s="33" t="str">
        <f ca="1">IFERROR(__xludf.DUMMYFUNCTION("""COMPUTED_VALUE"""),"Ourense")</f>
        <v>Ourense</v>
      </c>
      <c r="H505" s="33" t="str">
        <f ca="1">IFERROR(__xludf.DUMMYFUNCTION("""COMPUTED_VALUE"""),"C202635124418697047")</f>
        <v>C202635124418697047</v>
      </c>
      <c r="I505" s="33" t="str">
        <f ca="1">IFERROR(__xludf.DUMMYFUNCTION("""COMPUTED_VALUE"""),"ROSA FERNANDEZ MORGADE")</f>
        <v>ROSA FERNANDEZ MORGADE</v>
      </c>
      <c r="J505" s="57">
        <f ca="1">IFERROR(__xludf.DUMMYFUNCTION("""COMPUTED_VALUE"""),46086)</f>
        <v>46086</v>
      </c>
      <c r="K505" s="33" t="str">
        <f ca="1">IFERROR(__xludf.DUMMYFUNCTION("""COMPUTED_VALUE"""),"Factura audífonos")</f>
        <v>Factura audífonos</v>
      </c>
      <c r="L505" s="57">
        <f ca="1">IFERROR(__xludf.DUMMYFUNCTION("""COMPUTED_VALUE"""),46119)</f>
        <v>46119</v>
      </c>
      <c r="M505" s="64" t="str">
        <f ca="1">IFERROR(__xludf.DUMMYFUNCTION("""COMPUTED_VALUE"""),"NO")</f>
        <v>NO</v>
      </c>
      <c r="N505" s="56">
        <f ca="1">IFERROR(__xludf.DUMMYFUNCTION("""COMPUTED_VALUE"""),2)</f>
        <v>2</v>
      </c>
      <c r="O505" s="64" t="str">
        <f ca="1">IFERROR(__xludf.DUMMYFUNCTION("""COMPUTED_VALUE"""),"QUIET")</f>
        <v>QUIET</v>
      </c>
      <c r="P505" s="62">
        <f ca="1">IFERROR(__xludf.DUMMYFUNCTION("""COMPUTED_VALUE"""),2718.18)</f>
        <v>2718.18</v>
      </c>
      <c r="Q505" s="33" t="str">
        <f ca="1">IFERROR(__xludf.DUMMYFUNCTION("""COMPUTED_VALUE"""),"Kiko Ortega ")</f>
        <v xml:space="preserve">Kiko Ortega </v>
      </c>
      <c r="R505" s="33" t="str">
        <f ca="1">IFERROR(__xludf.DUMMYFUNCTION("""COMPUTED_VALUE"""),"No recuerda ORL")</f>
        <v>No recuerda ORL</v>
      </c>
      <c r="S505" s="61" t="str">
        <f ca="1">IFERROR(__xludf.DUMMYFUNCTION("""COMPUTED_VALUE"""),"03 ORL")</f>
        <v>03 ORL</v>
      </c>
      <c r="T505" s="33" t="str">
        <f ca="1">IFERROR(__xludf.DUMMYFUNCTION("""COMPUTED_VALUE"""),"06 ORL")</f>
        <v>06 ORL</v>
      </c>
      <c r="U505" s="62"/>
      <c r="W505" s="62"/>
      <c r="X505" s="62"/>
    </row>
    <row r="506" spans="2:24" ht="16">
      <c r="B506" s="55" t="str">
        <f t="shared" ca="1" si="1"/>
        <v>LRM</v>
      </c>
      <c r="C506" s="64" t="str">
        <f ca="1">IFERROR(__xludf.DUMMYFUNCTION("""COMPUTED_VALUE"""),"LRM239")</f>
        <v>LRM239</v>
      </c>
      <c r="D506" s="33" t="str">
        <f ca="1">IFERROR(__xludf.DUMMYFUNCTION("""COMPUTED_VALUE"""),"PROPIOS")</f>
        <v>PROPIOS</v>
      </c>
      <c r="E506" s="33">
        <f ca="1">IFERROR(__xludf.DUMMYFUNCTION("""COMPUTED_VALUE"""),2026)</f>
        <v>2026</v>
      </c>
      <c r="F506" s="56">
        <f ca="1">IFERROR(__xludf.DUMMYFUNCTION("""COMPUTED_VALUE"""),4)</f>
        <v>4</v>
      </c>
      <c r="G506" s="33" t="str">
        <f ca="1">IFERROR(__xludf.DUMMYFUNCTION("""COMPUTED_VALUE"""),"Madrid- Juan Bravo")</f>
        <v>Madrid- Juan Bravo</v>
      </c>
      <c r="H506" s="33" t="str">
        <f ca="1">IFERROR(__xludf.DUMMYFUNCTION("""COMPUTED_VALUE"""),"C202631111595485356")</f>
        <v>C202631111595485356</v>
      </c>
      <c r="I506" s="33" t="str">
        <f ca="1">IFERROR(__xludf.DUMMYFUNCTION("""COMPUTED_VALUE"""),"SERAFIN ARANDA GAMEZ")</f>
        <v>SERAFIN ARANDA GAMEZ</v>
      </c>
      <c r="J506" s="57">
        <f ca="1">IFERROR(__xludf.DUMMYFUNCTION("""COMPUTED_VALUE"""),46092)</f>
        <v>46092</v>
      </c>
      <c r="K506" s="33" t="str">
        <f ca="1">IFERROR(__xludf.DUMMYFUNCTION("""COMPUTED_VALUE"""),"Factura audífonos")</f>
        <v>Factura audífonos</v>
      </c>
      <c r="L506" s="57">
        <f ca="1">IFERROR(__xludf.DUMMYFUNCTION("""COMPUTED_VALUE"""),46119)</f>
        <v>46119</v>
      </c>
      <c r="M506" s="64" t="str">
        <f ca="1">IFERROR(__xludf.DUMMYFUNCTION("""COMPUTED_VALUE"""),"NO")</f>
        <v>NO</v>
      </c>
      <c r="N506" s="56">
        <f ca="1">IFERROR(__xludf.DUMMYFUNCTION("""COMPUTED_VALUE"""),2)</f>
        <v>2</v>
      </c>
      <c r="O506" s="64" t="str">
        <f ca="1">IFERROR(__xludf.DUMMYFUNCTION("""COMPUTED_VALUE"""),"QUIET")</f>
        <v>QUIET</v>
      </c>
      <c r="P506" s="62">
        <f ca="1">IFERROR(__xludf.DUMMYFUNCTION("""COMPUTED_VALUE"""),2718.18)</f>
        <v>2718.18</v>
      </c>
      <c r="Q506" s="33" t="str">
        <f ca="1">IFERROR(__xludf.DUMMYFUNCTION("""COMPUTED_VALUE"""),"Lisandro Russian ")</f>
        <v xml:space="preserve">Lisandro Russian </v>
      </c>
      <c r="R506" s="33" t="str">
        <f ca="1">IFERROR(__xludf.DUMMYFUNCTION("""COMPUTED_VALUE"""),"Carlos Barajas del Rosal")</f>
        <v>Carlos Barajas del Rosal</v>
      </c>
      <c r="S506" s="61" t="str">
        <f ca="1">IFERROR(__xludf.DUMMYFUNCTION("""COMPUTED_VALUE"""),"03 ORL")</f>
        <v>03 ORL</v>
      </c>
      <c r="T506" s="33" t="str">
        <f ca="1">IFERROR(__xludf.DUMMYFUNCTION("""COMPUTED_VALUE"""),"06 ORL")</f>
        <v>06 ORL</v>
      </c>
      <c r="U506" s="62"/>
      <c r="W506" s="62"/>
      <c r="X506" s="62"/>
    </row>
    <row r="507" spans="2:24" ht="16">
      <c r="B507" s="55" t="str">
        <f t="shared" ca="1" si="1"/>
        <v>MBM</v>
      </c>
      <c r="C507" s="64" t="str">
        <f ca="1">IFERROR(__xludf.DUMMYFUNCTION("""COMPUTED_VALUE"""),"MBM18")</f>
        <v>MBM18</v>
      </c>
      <c r="D507" s="33" t="str">
        <f ca="1">IFERROR(__xludf.DUMMYFUNCTION("""COMPUTED_VALUE"""),"PROPIOS")</f>
        <v>PROPIOS</v>
      </c>
      <c r="E507" s="33">
        <f ca="1">IFERROR(__xludf.DUMMYFUNCTION("""COMPUTED_VALUE"""),2026)</f>
        <v>2026</v>
      </c>
      <c r="F507" s="56">
        <f ca="1">IFERROR(__xludf.DUMMYFUNCTION("""COMPUTED_VALUE"""),4)</f>
        <v>4</v>
      </c>
      <c r="G507" s="33" t="str">
        <f ca="1">IFERROR(__xludf.DUMMYFUNCTION("""COMPUTED_VALUE"""),"Madrid- Monforte de Lemos")</f>
        <v>Madrid- Monforte de Lemos</v>
      </c>
      <c r="H507" s="33" t="str">
        <f ca="1">IFERROR(__xludf.DUMMYFUNCTION("""COMPUTED_VALUE"""),"C202631611591040356")</f>
        <v>C202631611591040356</v>
      </c>
      <c r="I507" s="33" t="str">
        <f ca="1">IFERROR(__xludf.DUMMYFUNCTION("""COMPUTED_VALUE"""),"MARIA PILAR BAUTISTA ESQUIVEL")</f>
        <v>MARIA PILAR BAUTISTA ESQUIVEL</v>
      </c>
      <c r="J507" s="57">
        <f ca="1">IFERROR(__xludf.DUMMYFUNCTION("""COMPUTED_VALUE"""),46097)</f>
        <v>46097</v>
      </c>
      <c r="K507" s="33" t="str">
        <f ca="1">IFERROR(__xludf.DUMMYFUNCTION("""COMPUTED_VALUE"""),"Factura audífonos")</f>
        <v>Factura audífonos</v>
      </c>
      <c r="L507" s="57">
        <f ca="1">IFERROR(__xludf.DUMMYFUNCTION("""COMPUTED_VALUE"""),46119)</f>
        <v>46119</v>
      </c>
      <c r="M507" s="64" t="str">
        <f ca="1">IFERROR(__xludf.DUMMYFUNCTION("""COMPUTED_VALUE"""),"NO")</f>
        <v>NO</v>
      </c>
      <c r="N507" s="56">
        <f ca="1">IFERROR(__xludf.DUMMYFUNCTION("""COMPUTED_VALUE"""),2)</f>
        <v>2</v>
      </c>
      <c r="O507" s="64" t="str">
        <f ca="1">IFERROR(__xludf.DUMMYFUNCTION("""COMPUTED_VALUE"""),"QUIET")</f>
        <v>QUIET</v>
      </c>
      <c r="P507" s="62">
        <f ca="1">IFERROR(__xludf.DUMMYFUNCTION("""COMPUTED_VALUE"""),2718.18)</f>
        <v>2718.18</v>
      </c>
      <c r="Q507" s="33" t="str">
        <f ca="1">IFERROR(__xludf.DUMMYFUNCTION("""COMPUTED_VALUE"""),"Maika Blázquez ")</f>
        <v xml:space="preserve">Maika Blázquez </v>
      </c>
      <c r="R507" s="33" t="str">
        <f ca="1">IFERROR(__xludf.DUMMYFUNCTION("""COMPUTED_VALUE"""),"Esteban Scola Pliego")</f>
        <v>Esteban Scola Pliego</v>
      </c>
      <c r="S507" s="61" t="str">
        <f ca="1">IFERROR(__xludf.DUMMYFUNCTION("""COMPUTED_VALUE"""),"03 ORL")</f>
        <v>03 ORL</v>
      </c>
      <c r="T507" s="33" t="str">
        <f ca="1">IFERROR(__xludf.DUMMYFUNCTION("""COMPUTED_VALUE"""),"06 ORL")</f>
        <v>06 ORL</v>
      </c>
      <c r="U507" s="62"/>
      <c r="W507" s="62"/>
      <c r="X507" s="62"/>
    </row>
    <row r="508" spans="2:24" ht="16">
      <c r="B508" s="55" t="str">
        <f t="shared" ca="1" si="1"/>
        <v>#N/</v>
      </c>
      <c r="C508" s="64" t="str">
        <f ca="1">IFERROR(__xludf.DUMMYFUNCTION("""COMPUTED_VALUE"""),"#N/A")</f>
        <v>#N/A</v>
      </c>
      <c r="D508" s="33" t="str">
        <f ca="1">IFERROR(__xludf.DUMMYFUNCTION("""COMPUTED_VALUE"""),"PROPIOS")</f>
        <v>PROPIOS</v>
      </c>
      <c r="E508" s="33">
        <f ca="1">IFERROR(__xludf.DUMMYFUNCTION("""COMPUTED_VALUE"""),2026)</f>
        <v>2026</v>
      </c>
      <c r="F508" s="56">
        <f ca="1">IFERROR(__xludf.DUMMYFUNCTION("""COMPUTED_VALUE"""),3)</f>
        <v>3</v>
      </c>
      <c r="G508" s="33" t="str">
        <f ca="1">IFERROR(__xludf.DUMMYFUNCTION("""COMPUTED_VALUE"""),"Albacete")</f>
        <v>Albacete</v>
      </c>
      <c r="H508" s="33" t="str">
        <f ca="1">IFERROR(__xludf.DUMMYFUNCTION("""COMPUTED_VALUE"""),"C202510149324201427")</f>
        <v>C202510149324201427</v>
      </c>
      <c r="I508" s="33" t="str">
        <f ca="1">IFERROR(__xludf.DUMMYFUNCTION("""COMPUTED_VALUE"""),"ANGEL CUEVAS NUÑEZ")</f>
        <v>ANGEL CUEVAS NUÑEZ</v>
      </c>
      <c r="J508" s="57">
        <f ca="1">IFERROR(__xludf.DUMMYFUNCTION("""COMPUTED_VALUE"""),45944)</f>
        <v>45944</v>
      </c>
      <c r="K508" s="33" t="str">
        <f ca="1">IFERROR(__xludf.DUMMYFUNCTION("""COMPUTED_VALUE"""),"Presupuesto")</f>
        <v>Presupuesto</v>
      </c>
      <c r="L508" s="57">
        <f ca="1">IFERROR(__xludf.DUMMYFUNCTION("""COMPUTED_VALUE"""),46087)</f>
        <v>46087</v>
      </c>
      <c r="M508" s="64" t="str">
        <f ca="1">IFERROR(__xludf.DUMMYFUNCTION("""COMPUTED_VALUE"""),"NO")</f>
        <v>NO</v>
      </c>
      <c r="N508" s="56">
        <f ca="1">IFERROR(__xludf.DUMMYFUNCTION("""COMPUTED_VALUE"""),1)</f>
        <v>1</v>
      </c>
      <c r="O508" s="64" t="str">
        <f ca="1">IFERROR(__xludf.DUMMYFUNCTION("""COMPUTED_VALUE"""),"CONFORT")</f>
        <v>CONFORT</v>
      </c>
      <c r="P508" s="62">
        <f ca="1">IFERROR(__xludf.DUMMYFUNCTION("""COMPUTED_VALUE"""),2180.91)</f>
        <v>2180.91</v>
      </c>
      <c r="Q508" s="33" t="str">
        <f ca="1">IFERROR(__xludf.DUMMYFUNCTION("""COMPUTED_VALUE"""),"Iván Sánchez")</f>
        <v>Iván Sánchez</v>
      </c>
      <c r="R508" s="33" t="str">
        <f ca="1">IFERROR(__xludf.DUMMYFUNCTION("""COMPUTED_VALUE"""),"Dr, Pedro Masegosa Zapata")</f>
        <v>Dr, Pedro Masegosa Zapata</v>
      </c>
      <c r="S508" s="61" t="str">
        <f ca="1">IFERROR(__xludf.DUMMYFUNCTION("""COMPUTED_VALUE"""),"03 ORL")</f>
        <v>03 ORL</v>
      </c>
      <c r="T508" s="33" t="str">
        <f ca="1">IFERROR(__xludf.DUMMYFUNCTION("""COMPUTED_VALUE"""),"06 ORL")</f>
        <v>06 ORL</v>
      </c>
      <c r="U508" s="62"/>
      <c r="W508" s="62"/>
      <c r="X508" s="62"/>
    </row>
    <row r="509" spans="2:24" ht="16">
      <c r="B509" s="55" t="str">
        <f t="shared" ca="1" si="1"/>
        <v>#N/</v>
      </c>
      <c r="C509" s="64" t="str">
        <f ca="1">IFERROR(__xludf.DUMMYFUNCTION("""COMPUTED_VALUE"""),"#N/A")</f>
        <v>#N/A</v>
      </c>
      <c r="D509" s="33" t="str">
        <f ca="1">IFERROR(__xludf.DUMMYFUNCTION("""COMPUTED_VALUE"""),"PROPIOS")</f>
        <v>PROPIOS</v>
      </c>
      <c r="E509" s="33">
        <f ca="1">IFERROR(__xludf.DUMMYFUNCTION("""COMPUTED_VALUE"""),2026)</f>
        <v>2026</v>
      </c>
      <c r="F509" s="56">
        <f ca="1">IFERROR(__xludf.DUMMYFUNCTION("""COMPUTED_VALUE"""),1)</f>
        <v>1</v>
      </c>
      <c r="G509" s="33" t="str">
        <f ca="1">IFERROR(__xludf.DUMMYFUNCTION("""COMPUTED_VALUE"""),"Albacete")</f>
        <v>Albacete</v>
      </c>
      <c r="H509" s="33" t="str">
        <f ca="1">IFERROR(__xludf.DUMMYFUNCTION("""COMPUTED_VALUE"""),"ALB-318")</f>
        <v>ALB-318</v>
      </c>
      <c r="I509" s="33" t="str">
        <f ca="1">IFERROR(__xludf.DUMMYFUNCTION("""COMPUTED_VALUE"""),"EVANGELINA DEFEZ RODRIGUEZ")</f>
        <v>EVANGELINA DEFEZ RODRIGUEZ</v>
      </c>
      <c r="J509" s="57">
        <f ca="1">IFERROR(__xludf.DUMMYFUNCTION("""COMPUTED_VALUE"""),44543)</f>
        <v>44543</v>
      </c>
      <c r="K509" s="33" t="str">
        <f ca="1">IFERROR(__xludf.DUMMYFUNCTION("""COMPUTED_VALUE"""),"Devuelve")</f>
        <v>Devuelve</v>
      </c>
      <c r="L509" s="57">
        <f ca="1">IFERROR(__xludf.DUMMYFUNCTION("""COMPUTED_VALUE"""),46041)</f>
        <v>46041</v>
      </c>
      <c r="M509" s="64" t="str">
        <f ca="1">IFERROR(__xludf.DUMMYFUNCTION("""COMPUTED_VALUE"""),"NO")</f>
        <v>NO</v>
      </c>
      <c r="N509" s="56">
        <f ca="1">IFERROR(__xludf.DUMMYFUNCTION("""COMPUTED_VALUE"""),1)</f>
        <v>1</v>
      </c>
      <c r="O509" s="58" t="str">
        <f ca="1">IFERROR(__xludf.DUMMYFUNCTION("""COMPUTED_VALUE"""),"TRIAL")</f>
        <v>TRIAL</v>
      </c>
      <c r="P509" s="62">
        <f ca="1">IFERROR(__xludf.DUMMYFUNCTION("""COMPUTED_VALUE"""),2481.82)</f>
        <v>2481.8200000000002</v>
      </c>
      <c r="Q509" s="33" t="str">
        <f ca="1">IFERROR(__xludf.DUMMYFUNCTION("""COMPUTED_VALUE"""),"Iván Sánchez")</f>
        <v>Iván Sánchez</v>
      </c>
      <c r="R509" s="33" t="str">
        <f ca="1">IFERROR(__xludf.DUMMYFUNCTION("""COMPUTED_VALUE"""),"Dr, Pedro Masegosa Zapata")</f>
        <v>Dr, Pedro Masegosa Zapata</v>
      </c>
      <c r="S509" s="61" t="str">
        <f ca="1">IFERROR(__xludf.DUMMYFUNCTION("""COMPUTED_VALUE"""),"03 ORL")</f>
        <v>03 ORL</v>
      </c>
      <c r="T509" s="33" t="str">
        <f ca="1">IFERROR(__xludf.DUMMYFUNCTION("""COMPUTED_VALUE"""),"06 ORL")</f>
        <v>06 ORL</v>
      </c>
      <c r="U509" s="62"/>
      <c r="W509" s="62"/>
      <c r="X509" s="62"/>
    </row>
    <row r="510" spans="2:24" ht="16">
      <c r="B510" s="55" t="str">
        <f t="shared" ca="1" si="1"/>
        <v>#N/</v>
      </c>
      <c r="C510" s="64" t="str">
        <f ca="1">IFERROR(__xludf.DUMMYFUNCTION("""COMPUTED_VALUE"""),"#N/A")</f>
        <v>#N/A</v>
      </c>
      <c r="D510" s="33" t="str">
        <f ca="1">IFERROR(__xludf.DUMMYFUNCTION("""COMPUTED_VALUE"""),"PROPIOS")</f>
        <v>PROPIOS</v>
      </c>
      <c r="E510" s="33">
        <f ca="1">IFERROR(__xludf.DUMMYFUNCTION("""COMPUTED_VALUE"""),2026)</f>
        <v>2026</v>
      </c>
      <c r="F510" s="56">
        <f ca="1">IFERROR(__xludf.DUMMYFUNCTION("""COMPUTED_VALUE"""),2)</f>
        <v>2</v>
      </c>
      <c r="G510" s="33" t="str">
        <f ca="1">IFERROR(__xludf.DUMMYFUNCTION("""COMPUTED_VALUE"""),"Albacete")</f>
        <v>Albacete</v>
      </c>
      <c r="H510" s="33" t="str">
        <f ca="1">IFERROR(__xludf.DUMMYFUNCTION("""COMPUTED_VALUE"""),"C20257218832465")</f>
        <v>C20257218832465</v>
      </c>
      <c r="I510" s="33" t="str">
        <f ca="1">IFERROR(__xludf.DUMMYFUNCTION("""COMPUTED_VALUE"""),"ISABEL ALMENDROS ORTEGA")</f>
        <v>ISABEL ALMENDROS ORTEGA</v>
      </c>
      <c r="J510" s="57">
        <f ca="1">IFERROR(__xludf.DUMMYFUNCTION("""COMPUTED_VALUE"""),45840)</f>
        <v>45840</v>
      </c>
      <c r="K510" s="33" t="str">
        <f ca="1">IFERROR(__xludf.DUMMYFUNCTION("""COMPUTED_VALUE"""),"Devuelve")</f>
        <v>Devuelve</v>
      </c>
      <c r="L510" s="57">
        <f ca="1">IFERROR(__xludf.DUMMYFUNCTION("""COMPUTED_VALUE"""),46058)</f>
        <v>46058</v>
      </c>
      <c r="M510" s="64" t="str">
        <f ca="1">IFERROR(__xludf.DUMMYFUNCTION("""COMPUTED_VALUE"""),"NO")</f>
        <v>NO</v>
      </c>
      <c r="N510" s="56">
        <f ca="1">IFERROR(__xludf.DUMMYFUNCTION("""COMPUTED_VALUE"""),2)</f>
        <v>2</v>
      </c>
      <c r="O510" s="64" t="str">
        <f ca="1">IFERROR(__xludf.DUMMYFUNCTION("""COMPUTED_VALUE"""),"TRIAL")</f>
        <v>TRIAL</v>
      </c>
      <c r="P510" s="62">
        <f ca="1">IFERROR(__xludf.DUMMYFUNCTION("""COMPUTED_VALUE"""),3631.82)</f>
        <v>3631.82</v>
      </c>
      <c r="Q510" s="33" t="str">
        <f ca="1">IFERROR(__xludf.DUMMYFUNCTION("""COMPUTED_VALUE"""),"Iván Sánchez")</f>
        <v>Iván Sánchez</v>
      </c>
      <c r="R510" s="33" t="str">
        <f ca="1">IFERROR(__xludf.DUMMYFUNCTION("""COMPUTED_VALUE"""),"Dr, Javier García-Dueñas González")</f>
        <v>Dr, Javier García-Dueñas González</v>
      </c>
      <c r="S510" s="61" t="str">
        <f ca="1">IFERROR(__xludf.DUMMYFUNCTION("""COMPUTED_VALUE"""),"03 ORL")</f>
        <v>03 ORL</v>
      </c>
      <c r="T510" s="33" t="str">
        <f ca="1">IFERROR(__xludf.DUMMYFUNCTION("""COMPUTED_VALUE"""),"06 ORL")</f>
        <v>06 ORL</v>
      </c>
      <c r="U510" s="62"/>
      <c r="W510" s="62"/>
      <c r="X510" s="62"/>
    </row>
    <row r="511" spans="2:24" ht="16">
      <c r="B511" s="55" t="str">
        <f t="shared" ca="1" si="1"/>
        <v>#N/</v>
      </c>
      <c r="C511" s="64" t="str">
        <f ca="1">IFERROR(__xludf.DUMMYFUNCTION("""COMPUTED_VALUE"""),"#N/A")</f>
        <v>#N/A</v>
      </c>
      <c r="D511" s="33" t="str">
        <f ca="1">IFERROR(__xludf.DUMMYFUNCTION("""COMPUTED_VALUE"""),"PROPIOS")</f>
        <v>PROPIOS</v>
      </c>
      <c r="E511" s="33">
        <f ca="1">IFERROR(__xludf.DUMMYFUNCTION("""COMPUTED_VALUE"""),2026)</f>
        <v>2026</v>
      </c>
      <c r="F511" s="56">
        <f ca="1">IFERROR(__xludf.DUMMYFUNCTION("""COMPUTED_VALUE"""),3)</f>
        <v>3</v>
      </c>
      <c r="G511" s="33" t="str">
        <f ca="1">IFERROR(__xludf.DUMMYFUNCTION("""COMPUTED_VALUE"""),"Albacete")</f>
        <v>Albacete</v>
      </c>
      <c r="H511" s="33" t="str">
        <f ca="1">IFERROR(__xludf.DUMMYFUNCTION("""COMPUTED_VALUE"""),"C202631717718647873")</f>
        <v>C202631717718647873</v>
      </c>
      <c r="I511" s="33" t="str">
        <f ca="1">IFERROR(__xludf.DUMMYFUNCTION("""COMPUTED_VALUE"""),"LUIS JIMÉNEZ FERNÁNDEZ")</f>
        <v>LUIS JIMÉNEZ FERNÁNDEZ</v>
      </c>
      <c r="J511" s="57">
        <f ca="1">IFERROR(__xludf.DUMMYFUNCTION("""COMPUTED_VALUE"""),46098)</f>
        <v>46098</v>
      </c>
      <c r="K511" s="33" t="str">
        <f ca="1">IFERROR(__xludf.DUMMYFUNCTION("""COMPUTED_VALUE"""),"Presupuesto")</f>
        <v>Presupuesto</v>
      </c>
      <c r="L511" s="57">
        <f ca="1">IFERROR(__xludf.DUMMYFUNCTION("""COMPUTED_VALUE"""),46111)</f>
        <v>46111</v>
      </c>
      <c r="M511" s="64" t="str">
        <f ca="1">IFERROR(__xludf.DUMMYFUNCTION("""COMPUTED_VALUE"""),"NO")</f>
        <v>NO</v>
      </c>
      <c r="N511" s="56">
        <f ca="1">IFERROR(__xludf.DUMMYFUNCTION("""COMPUTED_VALUE"""),2)</f>
        <v>2</v>
      </c>
      <c r="O511" s="64" t="str">
        <f ca="1">IFERROR(__xludf.DUMMYFUNCTION("""COMPUTED_VALUE"""),"QUIET")</f>
        <v>QUIET</v>
      </c>
      <c r="P511" s="62">
        <f ca="1">IFERROR(__xludf.DUMMYFUNCTION("""COMPUTED_VALUE"""),2918.18)</f>
        <v>2918.18</v>
      </c>
      <c r="Q511" s="33" t="str">
        <f ca="1">IFERROR(__xludf.DUMMYFUNCTION("""COMPUTED_VALUE"""),"Iván Sánchez")</f>
        <v>Iván Sánchez</v>
      </c>
      <c r="R511" s="33" t="str">
        <f ca="1">IFERROR(__xludf.DUMMYFUNCTION("""COMPUTED_VALUE"""),"Dr, Javier García-Dueñas González")</f>
        <v>Dr, Javier García-Dueñas González</v>
      </c>
      <c r="S511" s="61" t="str">
        <f ca="1">IFERROR(__xludf.DUMMYFUNCTION("""COMPUTED_VALUE"""),"03 ORL")</f>
        <v>03 ORL</v>
      </c>
      <c r="T511" s="33" t="str">
        <f ca="1">IFERROR(__xludf.DUMMYFUNCTION("""COMPUTED_VALUE"""),"06 ORL")</f>
        <v>06 ORL</v>
      </c>
      <c r="U511" s="62"/>
      <c r="W511" s="62"/>
      <c r="X511" s="62"/>
    </row>
    <row r="512" spans="2:24" ht="16">
      <c r="B512" s="55" t="str">
        <f t="shared" ref="B512:B536" ca="1" si="2">IF($C512="","",LEFT(C512,3))</f>
        <v>#N/</v>
      </c>
      <c r="C512" s="64" t="str">
        <f ca="1">IFERROR(__xludf.DUMMYFUNCTION("""COMPUTED_VALUE"""),"#N/A")</f>
        <v>#N/A</v>
      </c>
      <c r="D512" s="33" t="str">
        <f ca="1">IFERROR(__xludf.DUMMYFUNCTION("""COMPUTED_VALUE"""),"PROPIOS")</f>
        <v>PROPIOS</v>
      </c>
      <c r="E512" s="33">
        <f ca="1">IFERROR(__xludf.DUMMYFUNCTION("""COMPUTED_VALUE"""),2026)</f>
        <v>2026</v>
      </c>
      <c r="F512" s="56">
        <f ca="1">IFERROR(__xludf.DUMMYFUNCTION("""COMPUTED_VALUE"""),2)</f>
        <v>2</v>
      </c>
      <c r="G512" s="33" t="str">
        <f ca="1">IFERROR(__xludf.DUMMYFUNCTION("""COMPUTED_VALUE"""),"Albacete")</f>
        <v>Albacete</v>
      </c>
      <c r="H512" s="33" t="str">
        <f ca="1">IFERROR(__xludf.DUMMYFUNCTION("""COMPUTED_VALUE"""),"C202621112542679955")</f>
        <v>C202621112542679955</v>
      </c>
      <c r="I512" s="33" t="str">
        <f ca="1">IFERROR(__xludf.DUMMYFUNCTION("""COMPUTED_VALUE"""),"MARGARITA LOPEZ NAVARRO")</f>
        <v>MARGARITA LOPEZ NAVARRO</v>
      </c>
      <c r="J512" s="57">
        <f ca="1">IFERROR(__xludf.DUMMYFUNCTION("""COMPUTED_VALUE"""),46064)</f>
        <v>46064</v>
      </c>
      <c r="K512" s="33" t="str">
        <f ca="1">IFERROR(__xludf.DUMMYFUNCTION("""COMPUTED_VALUE"""),"Prueba")</f>
        <v>Prueba</v>
      </c>
      <c r="L512" s="57">
        <f ca="1">IFERROR(__xludf.DUMMYFUNCTION("""COMPUTED_VALUE"""),46076)</f>
        <v>46076</v>
      </c>
      <c r="M512" s="64" t="str">
        <f ca="1">IFERROR(__xludf.DUMMYFUNCTION("""COMPUTED_VALUE"""),"NO")</f>
        <v>NO</v>
      </c>
      <c r="N512" s="56">
        <f ca="1">IFERROR(__xludf.DUMMYFUNCTION("""COMPUTED_VALUE"""),2)</f>
        <v>2</v>
      </c>
      <c r="O512" s="64" t="str">
        <f ca="1">IFERROR(__xludf.DUMMYFUNCTION("""COMPUTED_VALUE"""),"QUIET")</f>
        <v>QUIET</v>
      </c>
      <c r="P512" s="62">
        <f ca="1">IFERROR(__xludf.DUMMYFUNCTION("""COMPUTED_VALUE"""),2918.18)</f>
        <v>2918.18</v>
      </c>
      <c r="Q512" s="33" t="str">
        <f ca="1">IFERROR(__xludf.DUMMYFUNCTION("""COMPUTED_VALUE"""),"Iván Sánchez")</f>
        <v>Iván Sánchez</v>
      </c>
      <c r="R512" s="33" t="str">
        <f ca="1">IFERROR(__xludf.DUMMYFUNCTION("""COMPUTED_VALUE"""),"Dr, Mario Higuera Rapa")</f>
        <v>Dr, Mario Higuera Rapa</v>
      </c>
      <c r="S512" s="61" t="str">
        <f ca="1">IFERROR(__xludf.DUMMYFUNCTION("""COMPUTED_VALUE"""),"03 ORL")</f>
        <v>03 ORL</v>
      </c>
      <c r="T512" s="33" t="str">
        <f ca="1">IFERROR(__xludf.DUMMYFUNCTION("""COMPUTED_VALUE"""),"06 ORL")</f>
        <v>06 ORL</v>
      </c>
      <c r="U512" s="62"/>
      <c r="W512" s="62"/>
      <c r="X512" s="62"/>
    </row>
    <row r="513" spans="2:24" ht="16">
      <c r="B513" s="55" t="str">
        <f t="shared" ca="1" si="2"/>
        <v>#N/</v>
      </c>
      <c r="C513" s="64" t="str">
        <f ca="1">IFERROR(__xludf.DUMMYFUNCTION("""COMPUTED_VALUE"""),"#N/A")</f>
        <v>#N/A</v>
      </c>
      <c r="D513" s="33" t="str">
        <f ca="1">IFERROR(__xludf.DUMMYFUNCTION("""COMPUTED_VALUE"""),"PROPIOS")</f>
        <v>PROPIOS</v>
      </c>
      <c r="E513" s="33">
        <f ca="1">IFERROR(__xludf.DUMMYFUNCTION("""COMPUTED_VALUE"""),2026)</f>
        <v>2026</v>
      </c>
      <c r="F513" s="56">
        <f ca="1">IFERROR(__xludf.DUMMYFUNCTION("""COMPUTED_VALUE"""),3)</f>
        <v>3</v>
      </c>
      <c r="G513" s="33" t="str">
        <f ca="1">IFERROR(__xludf.DUMMYFUNCTION("""COMPUTED_VALUE"""),"Albacete")</f>
        <v>Albacete</v>
      </c>
      <c r="H513" s="33" t="str">
        <f ca="1">IFERROR(__xludf.DUMMYFUNCTION("""COMPUTED_VALUE"""),"C202631918057217280")</f>
        <v>C202631918057217280</v>
      </c>
      <c r="I513" s="33" t="str">
        <f ca="1">IFERROR(__xludf.DUMMYFUNCTION("""COMPUTED_VALUE"""),"MARÍA ÁNGELES LÓPEZ RODRÍGUEZ")</f>
        <v>MARÍA ÁNGELES LÓPEZ RODRÍGUEZ</v>
      </c>
      <c r="J513" s="57">
        <f ca="1">IFERROR(__xludf.DUMMYFUNCTION("""COMPUTED_VALUE"""),46100)</f>
        <v>46100</v>
      </c>
      <c r="K513" s="33" t="str">
        <f ca="1">IFERROR(__xludf.DUMMYFUNCTION("""COMPUTED_VALUE"""),"Pedido")</f>
        <v>Pedido</v>
      </c>
      <c r="L513" s="57">
        <f ca="1">IFERROR(__xludf.DUMMYFUNCTION("""COMPUTED_VALUE"""),46111)</f>
        <v>46111</v>
      </c>
      <c r="M513" s="64" t="str">
        <f ca="1">IFERROR(__xludf.DUMMYFUNCTION("""COMPUTED_VALUE"""),"NO")</f>
        <v>NO</v>
      </c>
      <c r="N513" s="56">
        <f ca="1">IFERROR(__xludf.DUMMYFUNCTION("""COMPUTED_VALUE"""),1)</f>
        <v>1</v>
      </c>
      <c r="O513" s="64" t="str">
        <f ca="1">IFERROR(__xludf.DUMMYFUNCTION("""COMPUTED_VALUE"""),"CONFORT")</f>
        <v>CONFORT</v>
      </c>
      <c r="P513" s="62">
        <f ca="1">IFERROR(__xludf.DUMMYFUNCTION("""COMPUTED_VALUE"""),2326.34)</f>
        <v>2326.34</v>
      </c>
      <c r="Q513" s="33" t="str">
        <f ca="1">IFERROR(__xludf.DUMMYFUNCTION("""COMPUTED_VALUE"""),"Maika Blázquez")</f>
        <v>Maika Blázquez</v>
      </c>
      <c r="R513" s="33" t="str">
        <f ca="1">IFERROR(__xludf.DUMMYFUNCTION("""COMPUTED_VALUE"""),"Dr, Alejandro Harguindey Antoli-Candela")</f>
        <v>Dr, Alejandro Harguindey Antoli-Candela</v>
      </c>
      <c r="S513" s="61" t="str">
        <f ca="1">IFERROR(__xludf.DUMMYFUNCTION("""COMPUTED_VALUE"""),"03 ORL")</f>
        <v>03 ORL</v>
      </c>
      <c r="T513" s="33" t="str">
        <f ca="1">IFERROR(__xludf.DUMMYFUNCTION("""COMPUTED_VALUE"""),"06 ORL")</f>
        <v>06 ORL</v>
      </c>
      <c r="U513" s="62"/>
      <c r="W513" s="62"/>
      <c r="X513" s="62"/>
    </row>
    <row r="514" spans="2:24" ht="16">
      <c r="B514" s="55" t="str">
        <f t="shared" ca="1" si="2"/>
        <v>#N/</v>
      </c>
      <c r="C514" s="64" t="str">
        <f ca="1">IFERROR(__xludf.DUMMYFUNCTION("""COMPUTED_VALUE"""),"#N/A")</f>
        <v>#N/A</v>
      </c>
      <c r="D514" s="33" t="str">
        <f ca="1">IFERROR(__xludf.DUMMYFUNCTION("""COMPUTED_VALUE"""),"PROPIOS")</f>
        <v>PROPIOS</v>
      </c>
      <c r="E514" s="33">
        <f ca="1">IFERROR(__xludf.DUMMYFUNCTION("""COMPUTED_VALUE"""),2026)</f>
        <v>2026</v>
      </c>
      <c r="F514" s="56">
        <f ca="1">IFERROR(__xludf.DUMMYFUNCTION("""COMPUTED_VALUE"""),1)</f>
        <v>1</v>
      </c>
      <c r="G514" s="33" t="str">
        <f ca="1">IFERROR(__xludf.DUMMYFUNCTION("""COMPUTED_VALUE"""),"Albacete")</f>
        <v>Albacete</v>
      </c>
      <c r="H514" s="33" t="str">
        <f ca="1">IFERROR(__xludf.DUMMYFUNCTION("""COMPUTED_VALUE"""),"C20261912105448")</f>
        <v>C20261912105448</v>
      </c>
      <c r="I514" s="33" t="str">
        <f ca="1">IFERROR(__xludf.DUMMYFUNCTION("""COMPUTED_VALUE"""),"MARIA DOLORES PADILLA SANCHEZ")</f>
        <v>MARIA DOLORES PADILLA SANCHEZ</v>
      </c>
      <c r="J514" s="57">
        <f ca="1">IFERROR(__xludf.DUMMYFUNCTION("""COMPUTED_VALUE"""),46031)</f>
        <v>46031</v>
      </c>
      <c r="K514" s="33" t="str">
        <f ca="1">IFERROR(__xludf.DUMMYFUNCTION("""COMPUTED_VALUE"""),"Presupuesto")</f>
        <v>Presupuesto</v>
      </c>
      <c r="L514" s="57">
        <f ca="1">IFERROR(__xludf.DUMMYFUNCTION("""COMPUTED_VALUE"""),46035)</f>
        <v>46035</v>
      </c>
      <c r="M514" s="64" t="str">
        <f ca="1">IFERROR(__xludf.DUMMYFUNCTION("""COMPUTED_VALUE"""),"NO")</f>
        <v>NO</v>
      </c>
      <c r="N514" s="56">
        <f ca="1">IFERROR(__xludf.DUMMYFUNCTION("""COMPUTED_VALUE"""),2)</f>
        <v>2</v>
      </c>
      <c r="O514" s="64" t="str">
        <f ca="1">IFERROR(__xludf.DUMMYFUNCTION("""COMPUTED_VALUE"""),"QUIET")</f>
        <v>QUIET</v>
      </c>
      <c r="P514" s="62">
        <f ca="1">IFERROR(__xludf.DUMMYFUNCTION("""COMPUTED_VALUE"""),2718.18)</f>
        <v>2718.18</v>
      </c>
      <c r="Q514" s="33" t="str">
        <f ca="1">IFERROR(__xludf.DUMMYFUNCTION("""COMPUTED_VALUE"""),"Iván Sánchez")</f>
        <v>Iván Sánchez</v>
      </c>
      <c r="R514" s="33" t="str">
        <f ca="1">IFERROR(__xludf.DUMMYFUNCTION("""COMPUTED_VALUE"""),"Dr, Pedro Masegosa Zapata")</f>
        <v>Dr, Pedro Masegosa Zapata</v>
      </c>
      <c r="S514" s="61" t="str">
        <f ca="1">IFERROR(__xludf.DUMMYFUNCTION("""COMPUTED_VALUE"""),"03 ORL")</f>
        <v>03 ORL</v>
      </c>
      <c r="T514" s="33" t="str">
        <f ca="1">IFERROR(__xludf.DUMMYFUNCTION("""COMPUTED_VALUE"""),"06 ORL")</f>
        <v>06 ORL</v>
      </c>
      <c r="U514" s="62"/>
      <c r="W514" s="62"/>
      <c r="X514" s="62"/>
    </row>
    <row r="515" spans="2:24" ht="16">
      <c r="B515" s="55" t="str">
        <f t="shared" ca="1" si="2"/>
        <v>#N/</v>
      </c>
      <c r="C515" s="64" t="str">
        <f ca="1">IFERROR(__xludf.DUMMYFUNCTION("""COMPUTED_VALUE"""),"#N/A")</f>
        <v>#N/A</v>
      </c>
      <c r="D515" s="33" t="str">
        <f ca="1">IFERROR(__xludf.DUMMYFUNCTION("""COMPUTED_VALUE"""),"PROPIOS")</f>
        <v>PROPIOS</v>
      </c>
      <c r="E515" s="33">
        <f ca="1">IFERROR(__xludf.DUMMYFUNCTION("""COMPUTED_VALUE"""),2026)</f>
        <v>2026</v>
      </c>
      <c r="F515" s="56">
        <f ca="1">IFERROR(__xludf.DUMMYFUNCTION("""COMPUTED_VALUE"""),3)</f>
        <v>3</v>
      </c>
      <c r="G515" s="33" t="str">
        <f ca="1">IFERROR(__xludf.DUMMYFUNCTION("""COMPUTED_VALUE"""),"Albacete")</f>
        <v>Albacete</v>
      </c>
      <c r="H515" s="33" t="str">
        <f ca="1">IFERROR(__xludf.DUMMYFUNCTION("""COMPUTED_VALUE"""),"C202631612052413545")</f>
        <v>C202631612052413545</v>
      </c>
      <c r="I515" s="33" t="str">
        <f ca="1">IFERROR(__xludf.DUMMYFUNCTION("""COMPUTED_VALUE"""),"MARIA ISABEL PASTOR TARRAGA")</f>
        <v>MARIA ISABEL PASTOR TARRAGA</v>
      </c>
      <c r="J515" s="57">
        <f ca="1">IFERROR(__xludf.DUMMYFUNCTION("""COMPUTED_VALUE"""),46097)</f>
        <v>46097</v>
      </c>
      <c r="K515" s="33" t="str">
        <f ca="1">IFERROR(__xludf.DUMMYFUNCTION("""COMPUTED_VALUE"""),"Presupuesto")</f>
        <v>Presupuesto</v>
      </c>
      <c r="L515" s="57">
        <f ca="1">IFERROR(__xludf.DUMMYFUNCTION("""COMPUTED_VALUE"""),46101)</f>
        <v>46101</v>
      </c>
      <c r="M515" s="64" t="str">
        <f ca="1">IFERROR(__xludf.DUMMYFUNCTION("""COMPUTED_VALUE"""),"NO")</f>
        <v>NO</v>
      </c>
      <c r="N515" s="56">
        <f ca="1">IFERROR(__xludf.DUMMYFUNCTION("""COMPUTED_VALUE"""),1)</f>
        <v>1</v>
      </c>
      <c r="O515" s="64" t="str">
        <f ca="1">IFERROR(__xludf.DUMMYFUNCTION("""COMPUTED_VALUE"""),"QUIET")</f>
        <v>QUIET</v>
      </c>
      <c r="P515" s="62">
        <f ca="1">IFERROR(__xludf.DUMMYFUNCTION("""COMPUTED_VALUE"""),1981.82)</f>
        <v>1981.82</v>
      </c>
      <c r="Q515" s="33" t="str">
        <f ca="1">IFERROR(__xludf.DUMMYFUNCTION("""COMPUTED_VALUE"""),"Iván Sánchez")</f>
        <v>Iván Sánchez</v>
      </c>
      <c r="R515" s="33" t="str">
        <f ca="1">IFERROR(__xludf.DUMMYFUNCTION("""COMPUTED_VALUE"""),"Dra, Alejandra Jara Maquilón")</f>
        <v>Dra, Alejandra Jara Maquilón</v>
      </c>
      <c r="S515" s="61" t="str">
        <f ca="1">IFERROR(__xludf.DUMMYFUNCTION("""COMPUTED_VALUE"""),"03 ORL")</f>
        <v>03 ORL</v>
      </c>
      <c r="T515" s="33" t="str">
        <f ca="1">IFERROR(__xludf.DUMMYFUNCTION("""COMPUTED_VALUE"""),"06 ORL")</f>
        <v>06 ORL</v>
      </c>
      <c r="U515" s="62"/>
      <c r="W515" s="62"/>
      <c r="X515" s="62"/>
    </row>
    <row r="516" spans="2:24" ht="16">
      <c r="B516" s="55" t="str">
        <f t="shared" si="2"/>
        <v/>
      </c>
      <c r="C516" s="64"/>
      <c r="D516" s="33" t="str">
        <f ca="1">IFERROR(__xludf.DUMMYFUNCTION("""COMPUTED_VALUE"""),"PROPIOS")</f>
        <v>PROPIOS</v>
      </c>
      <c r="E516" s="33">
        <f ca="1">IFERROR(__xludf.DUMMYFUNCTION("""COMPUTED_VALUE"""),2026)</f>
        <v>2026</v>
      </c>
      <c r="F516" s="56">
        <f ca="1">IFERROR(__xludf.DUMMYFUNCTION("""COMPUTED_VALUE"""),4)</f>
        <v>4</v>
      </c>
      <c r="G516" s="33" t="str">
        <f ca="1">IFERROR(__xludf.DUMMYFUNCTION("""COMPUTED_VALUE"""),"Alcorcón")</f>
        <v>Alcorcón</v>
      </c>
      <c r="H516" s="33" t="str">
        <f ca="1">IFERROR(__xludf.DUMMYFUNCTION("""COMPUTED_VALUE"""),"C202631710560289541")</f>
        <v>C202631710560289541</v>
      </c>
      <c r="I516" s="33" t="str">
        <f ca="1">IFERROR(__xludf.DUMMYFUNCTION("""COMPUTED_VALUE"""),"AMPARO  RUIZ SERRANO")</f>
        <v>AMPARO  RUIZ SERRANO</v>
      </c>
      <c r="J516" s="57">
        <f ca="1">IFERROR(__xludf.DUMMYFUNCTION("""COMPUTED_VALUE"""),46098)</f>
        <v>46098</v>
      </c>
      <c r="K516" s="33" t="str">
        <f ca="1">IFERROR(__xludf.DUMMYFUNCTION("""COMPUTED_VALUE"""),"Prueba")</f>
        <v>Prueba</v>
      </c>
      <c r="L516" s="57">
        <f ca="1">IFERROR(__xludf.DUMMYFUNCTION("""COMPUTED_VALUE"""),46119)</f>
        <v>46119</v>
      </c>
      <c r="M516" s="64" t="str">
        <f ca="1">IFERROR(__xludf.DUMMYFUNCTION("""COMPUTED_VALUE"""),"NO")</f>
        <v>NO</v>
      </c>
      <c r="N516" s="56">
        <f ca="1">IFERROR(__xludf.DUMMYFUNCTION("""COMPUTED_VALUE"""),2)</f>
        <v>2</v>
      </c>
      <c r="O516" s="64" t="str">
        <f ca="1">IFERROR(__xludf.DUMMYFUNCTION("""COMPUTED_VALUE"""),"QUIET")</f>
        <v>QUIET</v>
      </c>
      <c r="P516" s="62">
        <f ca="1">IFERROR(__xludf.DUMMYFUNCTION("""COMPUTED_VALUE"""),2718.18)</f>
        <v>2718.18</v>
      </c>
      <c r="Q516" s="33" t="str">
        <f ca="1">IFERROR(__xludf.DUMMYFUNCTION("""COMPUTED_VALUE"""),"Maika Blázquez")</f>
        <v>Maika Blázquez</v>
      </c>
      <c r="R516" s="33" t="str">
        <f ca="1">IFERROR(__xludf.DUMMYFUNCTION("""COMPUTED_VALUE"""),"No recuerda ORL")</f>
        <v>No recuerda ORL</v>
      </c>
      <c r="S516" s="61" t="str">
        <f ca="1">IFERROR(__xludf.DUMMYFUNCTION("""COMPUTED_VALUE"""),"03 ORL")</f>
        <v>03 ORL</v>
      </c>
      <c r="T516" s="33" t="str">
        <f ca="1">IFERROR(__xludf.DUMMYFUNCTION("""COMPUTED_VALUE"""),"06 ORL")</f>
        <v>06 ORL</v>
      </c>
      <c r="U516" s="62"/>
      <c r="W516" s="62"/>
      <c r="X516" s="62"/>
    </row>
    <row r="517" spans="2:24" ht="16">
      <c r="B517" s="55" t="str">
        <f t="shared" ca="1" si="2"/>
        <v>#N/</v>
      </c>
      <c r="C517" s="64" t="str">
        <f ca="1">IFERROR(__xludf.DUMMYFUNCTION("""COMPUTED_VALUE"""),"#N/A")</f>
        <v>#N/A</v>
      </c>
      <c r="D517" s="33" t="str">
        <f ca="1">IFERROR(__xludf.DUMMYFUNCTION("""COMPUTED_VALUE"""),"PROPIOS")</f>
        <v>PROPIOS</v>
      </c>
      <c r="E517" s="33">
        <f ca="1">IFERROR(__xludf.DUMMYFUNCTION("""COMPUTED_VALUE"""),2026)</f>
        <v>2026</v>
      </c>
      <c r="F517" s="56">
        <f ca="1">IFERROR(__xludf.DUMMYFUNCTION("""COMPUTED_VALUE"""),3)</f>
        <v>3</v>
      </c>
      <c r="G517" s="33" t="str">
        <f ca="1">IFERROR(__xludf.DUMMYFUNCTION("""COMPUTED_VALUE"""),"Alcorcón")</f>
        <v>Alcorcón</v>
      </c>
      <c r="H517" s="33" t="str">
        <f ca="1">IFERROR(__xludf.DUMMYFUNCTION("""COMPUTED_VALUE"""),"C202622518311809882")</f>
        <v>C202622518311809882</v>
      </c>
      <c r="I517" s="33" t="str">
        <f ca="1">IFERROR(__xludf.DUMMYFUNCTION("""COMPUTED_VALUE"""),"ANGELA ARDISONI GARCIA")</f>
        <v>ANGELA ARDISONI GARCIA</v>
      </c>
      <c r="J517" s="57">
        <f ca="1">IFERROR(__xludf.DUMMYFUNCTION("""COMPUTED_VALUE"""),46078)</f>
        <v>46078</v>
      </c>
      <c r="K517" s="33" t="str">
        <f ca="1">IFERROR(__xludf.DUMMYFUNCTION("""COMPUTED_VALUE"""),"Pedido")</f>
        <v>Pedido</v>
      </c>
      <c r="L517" s="57">
        <f ca="1">IFERROR(__xludf.DUMMYFUNCTION("""COMPUTED_VALUE"""),46085)</f>
        <v>46085</v>
      </c>
      <c r="M517" s="64" t="str">
        <f ca="1">IFERROR(__xludf.DUMMYFUNCTION("""COMPUTED_VALUE"""),"NO")</f>
        <v>NO</v>
      </c>
      <c r="N517" s="56">
        <f ca="1">IFERROR(__xludf.DUMMYFUNCTION("""COMPUTED_VALUE"""),2)</f>
        <v>2</v>
      </c>
      <c r="O517" s="64" t="str">
        <f ca="1">IFERROR(__xludf.DUMMYFUNCTION("""COMPUTED_VALUE"""),"QUIET")</f>
        <v>QUIET</v>
      </c>
      <c r="P517" s="62">
        <f ca="1">IFERROR(__xludf.DUMMYFUNCTION("""COMPUTED_VALUE"""),3302.73)</f>
        <v>3302.73</v>
      </c>
      <c r="Q517" s="33" t="str">
        <f ca="1">IFERROR(__xludf.DUMMYFUNCTION("""COMPUTED_VALUE"""),"Maika Blázquez")</f>
        <v>Maika Blázquez</v>
      </c>
      <c r="R517" s="33" t="str">
        <f ca="1">IFERROR(__xludf.DUMMYFUNCTION("""COMPUTED_VALUE"""),"Dra, María Sol Marcos Salazar")</f>
        <v>Dra, María Sol Marcos Salazar</v>
      </c>
      <c r="S517" s="61" t="str">
        <f ca="1">IFERROR(__xludf.DUMMYFUNCTION("""COMPUTED_VALUE"""),"03 ORL")</f>
        <v>03 ORL</v>
      </c>
      <c r="T517" s="33" t="str">
        <f ca="1">IFERROR(__xludf.DUMMYFUNCTION("""COMPUTED_VALUE"""),"06 ORL")</f>
        <v>06 ORL</v>
      </c>
      <c r="U517" s="62"/>
      <c r="W517" s="62"/>
      <c r="X517" s="62"/>
    </row>
    <row r="518" spans="2:24" ht="16">
      <c r="B518" s="55" t="str">
        <f t="shared" ca="1" si="2"/>
        <v>#N/</v>
      </c>
      <c r="C518" s="64" t="str">
        <f ca="1">IFERROR(__xludf.DUMMYFUNCTION("""COMPUTED_VALUE"""),"#N/A")</f>
        <v>#N/A</v>
      </c>
      <c r="D518" s="33" t="str">
        <f ca="1">IFERROR(__xludf.DUMMYFUNCTION("""COMPUTED_VALUE"""),"PROPIOS")</f>
        <v>PROPIOS</v>
      </c>
      <c r="E518" s="33">
        <f ca="1">IFERROR(__xludf.DUMMYFUNCTION("""COMPUTED_VALUE"""),2026)</f>
        <v>2026</v>
      </c>
      <c r="F518" s="56">
        <f ca="1">IFERROR(__xludf.DUMMYFUNCTION("""COMPUTED_VALUE"""),1)</f>
        <v>1</v>
      </c>
      <c r="G518" s="33" t="str">
        <f ca="1">IFERROR(__xludf.DUMMYFUNCTION("""COMPUTED_VALUE"""),"Alcorcón")</f>
        <v>Alcorcón</v>
      </c>
      <c r="H518" s="33" t="str">
        <f ca="1">IFERROR(__xludf.DUMMYFUNCTION("""COMPUTED_VALUE"""),"C202512291226409951")</f>
        <v>C202512291226409951</v>
      </c>
      <c r="I518" s="33" t="str">
        <f ca="1">IFERROR(__xludf.DUMMYFUNCTION("""COMPUTED_VALUE"""),"CONCEPCION ESCRIBANO ESCRIBANO")</f>
        <v>CONCEPCION ESCRIBANO ESCRIBANO</v>
      </c>
      <c r="J518" s="57">
        <f ca="1">IFERROR(__xludf.DUMMYFUNCTION("""COMPUTED_VALUE"""),46020)</f>
        <v>46020</v>
      </c>
      <c r="K518" s="33" t="str">
        <f ca="1">IFERROR(__xludf.DUMMYFUNCTION("""COMPUTED_VALUE"""),"Pedido")</f>
        <v>Pedido</v>
      </c>
      <c r="L518" s="57">
        <f ca="1">IFERROR(__xludf.DUMMYFUNCTION("""COMPUTED_VALUE"""),46037)</f>
        <v>46037</v>
      </c>
      <c r="M518" s="64" t="str">
        <f ca="1">IFERROR(__xludf.DUMMYFUNCTION("""COMPUTED_VALUE"""),"NO")</f>
        <v>NO</v>
      </c>
      <c r="N518" s="56">
        <f ca="1">IFERROR(__xludf.DUMMYFUNCTION("""COMPUTED_VALUE"""),2)</f>
        <v>2</v>
      </c>
      <c r="O518" s="64" t="str">
        <f ca="1">IFERROR(__xludf.DUMMYFUNCTION("""COMPUTED_VALUE"""),"QUIET")</f>
        <v>QUIET</v>
      </c>
      <c r="P518" s="62">
        <f ca="1">IFERROR(__xludf.DUMMYFUNCTION("""COMPUTED_VALUE"""),2718.18)</f>
        <v>2718.18</v>
      </c>
      <c r="Q518" s="33" t="str">
        <f ca="1">IFERROR(__xludf.DUMMYFUNCTION("""COMPUTED_VALUE"""),"Maika Blázquez")</f>
        <v>Maika Blázquez</v>
      </c>
      <c r="R518" s="33" t="str">
        <f ca="1">IFERROR(__xludf.DUMMYFUNCTION("""COMPUTED_VALUE"""),"Dr, Álvaro Sánchez Álvarez")</f>
        <v>Dr, Álvaro Sánchez Álvarez</v>
      </c>
      <c r="S518" s="61" t="str">
        <f ca="1">IFERROR(__xludf.DUMMYFUNCTION("""COMPUTED_VALUE"""),"03 ORL")</f>
        <v>03 ORL</v>
      </c>
      <c r="T518" s="33" t="str">
        <f ca="1">IFERROR(__xludf.DUMMYFUNCTION("""COMPUTED_VALUE"""),"06 ORL")</f>
        <v>06 ORL</v>
      </c>
      <c r="U518" s="62"/>
      <c r="W518" s="62"/>
      <c r="X518" s="62"/>
    </row>
    <row r="519" spans="2:24" ht="16">
      <c r="B519" s="55" t="str">
        <f t="shared" ca="1" si="2"/>
        <v>#N/</v>
      </c>
      <c r="C519" s="64" t="str">
        <f ca="1">IFERROR(__xludf.DUMMYFUNCTION("""COMPUTED_VALUE"""),"#N/A")</f>
        <v>#N/A</v>
      </c>
      <c r="D519" s="33" t="str">
        <f ca="1">IFERROR(__xludf.DUMMYFUNCTION("""COMPUTED_VALUE"""),"PROPIOS")</f>
        <v>PROPIOS</v>
      </c>
      <c r="E519" s="33">
        <f ca="1">IFERROR(__xludf.DUMMYFUNCTION("""COMPUTED_VALUE"""),2026)</f>
        <v>2026</v>
      </c>
      <c r="F519" s="56">
        <f ca="1">IFERROR(__xludf.DUMMYFUNCTION("""COMPUTED_VALUE"""),1)</f>
        <v>1</v>
      </c>
      <c r="G519" s="33" t="str">
        <f ca="1">IFERROR(__xludf.DUMMYFUNCTION("""COMPUTED_VALUE"""),"Alcorcón")</f>
        <v>Alcorcón</v>
      </c>
      <c r="H519" s="33" t="str">
        <f ca="1">IFERROR(__xludf.DUMMYFUNCTION("""COMPUTED_VALUE"""),"C202611412222897943")</f>
        <v>C202611412222897943</v>
      </c>
      <c r="I519" s="33" t="str">
        <f ca="1">IFERROR(__xludf.DUMMYFUNCTION("""COMPUTED_VALUE"""),"CONSUELO ANGULO SANZ")</f>
        <v>CONSUELO ANGULO SANZ</v>
      </c>
      <c r="J519" s="57">
        <f ca="1">IFERROR(__xludf.DUMMYFUNCTION("""COMPUTED_VALUE"""),46036)</f>
        <v>46036</v>
      </c>
      <c r="K519" s="33" t="str">
        <f ca="1">IFERROR(__xludf.DUMMYFUNCTION("""COMPUTED_VALUE"""),"Devuelve")</f>
        <v>Devuelve</v>
      </c>
      <c r="L519" s="57">
        <f ca="1">IFERROR(__xludf.DUMMYFUNCTION("""COMPUTED_VALUE"""),46049)</f>
        <v>46049</v>
      </c>
      <c r="M519" s="64" t="str">
        <f ca="1">IFERROR(__xludf.DUMMYFUNCTION("""COMPUTED_VALUE"""),"NO")</f>
        <v>NO</v>
      </c>
      <c r="N519" s="56">
        <f ca="1">IFERROR(__xludf.DUMMYFUNCTION("""COMPUTED_VALUE"""),2)</f>
        <v>2</v>
      </c>
      <c r="O519" s="64" t="str">
        <f ca="1">IFERROR(__xludf.DUMMYFUNCTION("""COMPUTED_VALUE"""),"QUIET")</f>
        <v>QUIET</v>
      </c>
      <c r="P519" s="62">
        <f ca="1">IFERROR(__xludf.DUMMYFUNCTION("""COMPUTED_VALUE"""),2718.18)</f>
        <v>2718.18</v>
      </c>
      <c r="Q519" s="33" t="str">
        <f ca="1">IFERROR(__xludf.DUMMYFUNCTION("""COMPUTED_VALUE"""),"Maika Blázquez")</f>
        <v>Maika Blázquez</v>
      </c>
      <c r="R519" s="33" t="str">
        <f ca="1">IFERROR(__xludf.DUMMYFUNCTION("""COMPUTED_VALUE"""),"Dra, Maria Ángeles Mate Bayon")</f>
        <v>Dra, Maria Ángeles Mate Bayon</v>
      </c>
      <c r="S519" s="61" t="str">
        <f ca="1">IFERROR(__xludf.DUMMYFUNCTION("""COMPUTED_VALUE"""),"03 ORL")</f>
        <v>03 ORL</v>
      </c>
      <c r="T519" s="33" t="str">
        <f ca="1">IFERROR(__xludf.DUMMYFUNCTION("""COMPUTED_VALUE"""),"06 ORL")</f>
        <v>06 ORL</v>
      </c>
      <c r="U519" s="62"/>
      <c r="W519" s="62"/>
      <c r="X519" s="62"/>
    </row>
    <row r="520" spans="2:24" ht="16">
      <c r="B520" s="55" t="str">
        <f t="shared" ca="1" si="2"/>
        <v>#N/</v>
      </c>
      <c r="C520" s="64" t="str">
        <f ca="1">IFERROR(__xludf.DUMMYFUNCTION("""COMPUTED_VALUE"""),"#N/A")</f>
        <v>#N/A</v>
      </c>
      <c r="D520" s="33" t="str">
        <f ca="1">IFERROR(__xludf.DUMMYFUNCTION("""COMPUTED_VALUE"""),"PROPIOS")</f>
        <v>PROPIOS</v>
      </c>
      <c r="E520" s="33">
        <f ca="1">IFERROR(__xludf.DUMMYFUNCTION("""COMPUTED_VALUE"""),2026)</f>
        <v>2026</v>
      </c>
      <c r="F520" s="56">
        <f ca="1">IFERROR(__xludf.DUMMYFUNCTION("""COMPUTED_VALUE"""),3)</f>
        <v>3</v>
      </c>
      <c r="G520" s="33" t="str">
        <f ca="1">IFERROR(__xludf.DUMMYFUNCTION("""COMPUTED_VALUE"""),"Alcorcón")</f>
        <v>Alcorcón</v>
      </c>
      <c r="H520" s="33" t="str">
        <f ca="1">IFERROR(__xludf.DUMMYFUNCTION("""COMPUTED_VALUE"""),"C202633123914221063")</f>
        <v>C202633123914221063</v>
      </c>
      <c r="I520" s="33" t="str">
        <f ca="1">IFERROR(__xludf.DUMMYFUNCTION("""COMPUTED_VALUE"""),"LUIS MEDIERO BERMEJO")</f>
        <v>LUIS MEDIERO BERMEJO</v>
      </c>
      <c r="J520" s="57">
        <f ca="1">IFERROR(__xludf.DUMMYFUNCTION("""COMPUTED_VALUE"""),46084)</f>
        <v>46084</v>
      </c>
      <c r="K520" s="33" t="str">
        <f ca="1">IFERROR(__xludf.DUMMYFUNCTION("""COMPUTED_VALUE"""),"Pedido")</f>
        <v>Pedido</v>
      </c>
      <c r="L520" s="57">
        <f ca="1">IFERROR(__xludf.DUMMYFUNCTION("""COMPUTED_VALUE"""),46090)</f>
        <v>46090</v>
      </c>
      <c r="M520" s="64" t="str">
        <f ca="1">IFERROR(__xludf.DUMMYFUNCTION("""COMPUTED_VALUE"""),"NO")</f>
        <v>NO</v>
      </c>
      <c r="N520" s="56">
        <f ca="1">IFERROR(__xludf.DUMMYFUNCTION("""COMPUTED_VALUE"""),2)</f>
        <v>2</v>
      </c>
      <c r="O520" s="64" t="str">
        <f ca="1">IFERROR(__xludf.DUMMYFUNCTION("""COMPUTED_VALUE"""),"QUIET")</f>
        <v>QUIET</v>
      </c>
      <c r="P520" s="62">
        <f ca="1">IFERROR(__xludf.DUMMYFUNCTION("""COMPUTED_VALUE"""),2711.54)</f>
        <v>2711.54</v>
      </c>
      <c r="Q520" s="33" t="str">
        <f ca="1">IFERROR(__xludf.DUMMYFUNCTION("""COMPUTED_VALUE"""),"Maika Blázquez")</f>
        <v>Maika Blázquez</v>
      </c>
      <c r="R520" s="33" t="str">
        <f ca="1">IFERROR(__xludf.DUMMYFUNCTION("""COMPUTED_VALUE"""),"Dra, Esther Macon Liquete")</f>
        <v>Dra, Esther Macon Liquete</v>
      </c>
      <c r="S520" s="61" t="str">
        <f ca="1">IFERROR(__xludf.DUMMYFUNCTION("""COMPUTED_VALUE"""),"03 ORL")</f>
        <v>03 ORL</v>
      </c>
      <c r="T520" s="33" t="str">
        <f ca="1">IFERROR(__xludf.DUMMYFUNCTION("""COMPUTED_VALUE"""),"06 ORL")</f>
        <v>06 ORL</v>
      </c>
      <c r="U520" s="62"/>
      <c r="W520" s="62"/>
      <c r="X520" s="62"/>
    </row>
    <row r="521" spans="2:24" ht="16">
      <c r="B521" s="55" t="str">
        <f t="shared" ca="1" si="2"/>
        <v>#N/</v>
      </c>
      <c r="C521" s="64" t="str">
        <f ca="1">IFERROR(__xludf.DUMMYFUNCTION("""COMPUTED_VALUE"""),"#N/A")</f>
        <v>#N/A</v>
      </c>
      <c r="D521" s="33" t="str">
        <f ca="1">IFERROR(__xludf.DUMMYFUNCTION("""COMPUTED_VALUE"""),"PROPIOS")</f>
        <v>PROPIOS</v>
      </c>
      <c r="E521" s="33">
        <f ca="1">IFERROR(__xludf.DUMMYFUNCTION("""COMPUTED_VALUE"""),2026)</f>
        <v>2026</v>
      </c>
      <c r="F521" s="56">
        <f ca="1">IFERROR(__xludf.DUMMYFUNCTION("""COMPUTED_VALUE"""),3)</f>
        <v>3</v>
      </c>
      <c r="G521" s="33" t="str">
        <f ca="1">IFERROR(__xludf.DUMMYFUNCTION("""COMPUTED_VALUE"""),"Alicante")</f>
        <v>Alicante</v>
      </c>
      <c r="H521" s="33" t="str">
        <f ca="1">IFERROR(__xludf.DUMMYFUNCTION("""COMPUTED_VALUE"""),"C202632311454535913")</f>
        <v>C202632311454535913</v>
      </c>
      <c r="I521" s="33" t="str">
        <f ca="1">IFERROR(__xludf.DUMMYFUNCTION("""COMPUTED_VALUE"""),"AGUSTIN BAJO MONTERO")</f>
        <v>AGUSTIN BAJO MONTERO</v>
      </c>
      <c r="J521" s="57">
        <f ca="1">IFERROR(__xludf.DUMMYFUNCTION("""COMPUTED_VALUE"""),46104)</f>
        <v>46104</v>
      </c>
      <c r="K521" s="33" t="str">
        <f ca="1">IFERROR(__xludf.DUMMYFUNCTION("""COMPUTED_VALUE"""),"Devuelve")</f>
        <v>Devuelve</v>
      </c>
      <c r="L521" s="57">
        <f ca="1">IFERROR(__xludf.DUMMYFUNCTION("""COMPUTED_VALUE"""),46112)</f>
        <v>46112</v>
      </c>
      <c r="M521" s="64" t="str">
        <f ca="1">IFERROR(__xludf.DUMMYFUNCTION("""COMPUTED_VALUE"""),"NO")</f>
        <v>NO</v>
      </c>
      <c r="N521" s="56">
        <f ca="1">IFERROR(__xludf.DUMMYFUNCTION("""COMPUTED_VALUE"""),2)</f>
        <v>2</v>
      </c>
      <c r="O521" s="64" t="str">
        <f ca="1">IFERROR(__xludf.DUMMYFUNCTION("""COMPUTED_VALUE"""),"TRIAL")</f>
        <v>TRIAL</v>
      </c>
      <c r="P521" s="62">
        <f ca="1">IFERROR(__xludf.DUMMYFUNCTION("""COMPUTED_VALUE"""),3631.82)</f>
        <v>3631.82</v>
      </c>
      <c r="Q521" s="33" t="str">
        <f ca="1">IFERROR(__xludf.DUMMYFUNCTION("""COMPUTED_VALUE"""),"Iván Sánchez")</f>
        <v>Iván Sánchez</v>
      </c>
      <c r="R521" s="33" t="str">
        <f ca="1">IFERROR(__xludf.DUMMYFUNCTION("""COMPUTED_VALUE"""),"Dra, Maria Rosario Ferrandiz García")</f>
        <v>Dra, Maria Rosario Ferrandiz García</v>
      </c>
      <c r="S521" s="61" t="str">
        <f ca="1">IFERROR(__xludf.DUMMYFUNCTION("""COMPUTED_VALUE"""),"03 ORL")</f>
        <v>03 ORL</v>
      </c>
      <c r="T521" s="33" t="str">
        <f ca="1">IFERROR(__xludf.DUMMYFUNCTION("""COMPUTED_VALUE"""),"06 ORL")</f>
        <v>06 ORL</v>
      </c>
      <c r="U521" s="62"/>
      <c r="W521" s="62"/>
      <c r="X521" s="62"/>
    </row>
    <row r="522" spans="2:24" ht="16">
      <c r="B522" s="55" t="str">
        <f t="shared" ca="1" si="2"/>
        <v>#N/</v>
      </c>
      <c r="C522" s="64" t="str">
        <f ca="1">IFERROR(__xludf.DUMMYFUNCTION("""COMPUTED_VALUE"""),"#N/A")</f>
        <v>#N/A</v>
      </c>
      <c r="D522" s="33" t="str">
        <f ca="1">IFERROR(__xludf.DUMMYFUNCTION("""COMPUTED_VALUE"""),"PROPIOS")</f>
        <v>PROPIOS</v>
      </c>
      <c r="E522" s="33">
        <f ca="1">IFERROR(__xludf.DUMMYFUNCTION("""COMPUTED_VALUE"""),2026)</f>
        <v>2026</v>
      </c>
      <c r="F522" s="56">
        <f ca="1">IFERROR(__xludf.DUMMYFUNCTION("""COMPUTED_VALUE"""),2)</f>
        <v>2</v>
      </c>
      <c r="G522" s="33" t="str">
        <f ca="1">IFERROR(__xludf.DUMMYFUNCTION("""COMPUTED_VALUE"""),"Alicante")</f>
        <v>Alicante</v>
      </c>
      <c r="H522" s="33" t="str">
        <f ca="1">IFERROR(__xludf.DUMMYFUNCTION("""COMPUTED_VALUE"""),"C202622411183640157")</f>
        <v>C202622411183640157</v>
      </c>
      <c r="I522" s="33" t="str">
        <f ca="1">IFERROR(__xludf.DUMMYFUNCTION("""COMPUTED_VALUE"""),"ANGEL FERREÑO COCHON")</f>
        <v>ANGEL FERREÑO COCHON</v>
      </c>
      <c r="J522" s="57">
        <f ca="1">IFERROR(__xludf.DUMMYFUNCTION("""COMPUTED_VALUE"""),46077)</f>
        <v>46077</v>
      </c>
      <c r="K522" s="33" t="str">
        <f ca="1">IFERROR(__xludf.DUMMYFUNCTION("""COMPUTED_VALUE"""),"Presupuesto")</f>
        <v>Presupuesto</v>
      </c>
      <c r="L522" s="57">
        <f ca="1">IFERROR(__xludf.DUMMYFUNCTION("""COMPUTED_VALUE"""),46080)</f>
        <v>46080</v>
      </c>
      <c r="M522" s="64" t="str">
        <f ca="1">IFERROR(__xludf.DUMMYFUNCTION("""COMPUTED_VALUE"""),"NO")</f>
        <v>NO</v>
      </c>
      <c r="N522" s="56">
        <f ca="1">IFERROR(__xludf.DUMMYFUNCTION("""COMPUTED_VALUE"""),2)</f>
        <v>2</v>
      </c>
      <c r="O522" s="64" t="str">
        <f ca="1">IFERROR(__xludf.DUMMYFUNCTION("""COMPUTED_VALUE"""),"TRIAL")</f>
        <v>TRIAL</v>
      </c>
      <c r="P522" s="62">
        <f ca="1">IFERROR(__xludf.DUMMYFUNCTION("""COMPUTED_VALUE"""),4480.91)</f>
        <v>4480.91</v>
      </c>
      <c r="Q522" s="33" t="str">
        <f ca="1">IFERROR(__xludf.DUMMYFUNCTION("""COMPUTED_VALUE"""),"Iván Sánchez")</f>
        <v>Iván Sánchez</v>
      </c>
      <c r="R522" s="33" t="str">
        <f ca="1">IFERROR(__xludf.DUMMYFUNCTION("""COMPUTED_VALUE"""),"Dr, Alfonso Rodríguez Fabio")</f>
        <v>Dr, Alfonso Rodríguez Fabio</v>
      </c>
      <c r="S522" s="61" t="str">
        <f ca="1">IFERROR(__xludf.DUMMYFUNCTION("""COMPUTED_VALUE"""),"03 ORL")</f>
        <v>03 ORL</v>
      </c>
      <c r="T522" s="33" t="str">
        <f ca="1">IFERROR(__xludf.DUMMYFUNCTION("""COMPUTED_VALUE"""),"06 ORL")</f>
        <v>06 ORL</v>
      </c>
      <c r="U522" s="62"/>
      <c r="W522" s="62"/>
      <c r="X522" s="62"/>
    </row>
    <row r="523" spans="2:24" ht="16">
      <c r="B523" s="55" t="str">
        <f t="shared" ca="1" si="2"/>
        <v>#N/</v>
      </c>
      <c r="C523" s="64" t="str">
        <f ca="1">IFERROR(__xludf.DUMMYFUNCTION("""COMPUTED_VALUE"""),"#N/A")</f>
        <v>#N/A</v>
      </c>
      <c r="D523" s="33" t="str">
        <f ca="1">IFERROR(__xludf.DUMMYFUNCTION("""COMPUTED_VALUE"""),"PROPIOS")</f>
        <v>PROPIOS</v>
      </c>
      <c r="E523" s="33">
        <f ca="1">IFERROR(__xludf.DUMMYFUNCTION("""COMPUTED_VALUE"""),2026)</f>
        <v>2026</v>
      </c>
      <c r="F523" s="56">
        <f ca="1">IFERROR(__xludf.DUMMYFUNCTION("""COMPUTED_VALUE"""),4)</f>
        <v>4</v>
      </c>
      <c r="G523" s="33" t="str">
        <f ca="1">IFERROR(__xludf.DUMMYFUNCTION("""COMPUTED_VALUE"""),"Alicante")</f>
        <v>Alicante</v>
      </c>
      <c r="H523" s="33" t="str">
        <f ca="1">IFERROR(__xludf.DUMMYFUNCTION("""COMPUTED_VALUE"""),"C202632584419178287")</f>
        <v>C202632584419178287</v>
      </c>
      <c r="I523" s="33" t="str">
        <f ca="1">IFERROR(__xludf.DUMMYFUNCTION("""COMPUTED_VALUE"""),"ANGEL MARCO NUÑEZ")</f>
        <v>ANGEL MARCO NUÑEZ</v>
      </c>
      <c r="J523" s="57">
        <f ca="1">IFERROR(__xludf.DUMMYFUNCTION("""COMPUTED_VALUE"""),46106)</f>
        <v>46106</v>
      </c>
      <c r="K523" s="33" t="str">
        <f ca="1">IFERROR(__xludf.DUMMYFUNCTION("""COMPUTED_VALUE"""),"Prueba")</f>
        <v>Prueba</v>
      </c>
      <c r="L523" s="57">
        <f ca="1">IFERROR(__xludf.DUMMYFUNCTION("""COMPUTED_VALUE"""),46113)</f>
        <v>46113</v>
      </c>
      <c r="M523" s="64" t="str">
        <f ca="1">IFERROR(__xludf.DUMMYFUNCTION("""COMPUTED_VALUE"""),"NO")</f>
        <v>NO</v>
      </c>
      <c r="N523" s="56">
        <f ca="1">IFERROR(__xludf.DUMMYFUNCTION("""COMPUTED_VALUE"""),2)</f>
        <v>2</v>
      </c>
      <c r="O523" s="64" t="str">
        <f ca="1">IFERROR(__xludf.DUMMYFUNCTION("""COMPUTED_VALUE"""),"TRIAL")</f>
        <v>TRIAL</v>
      </c>
      <c r="P523" s="62">
        <f ca="1">IFERROR(__xludf.DUMMYFUNCTION("""COMPUTED_VALUE"""),3631.82)</f>
        <v>3631.82</v>
      </c>
      <c r="Q523" s="33" t="str">
        <f ca="1">IFERROR(__xludf.DUMMYFUNCTION("""COMPUTED_VALUE"""),"Iván Sánchez")</f>
        <v>Iván Sánchez</v>
      </c>
      <c r="R523" s="33" t="str">
        <f ca="1">IFERROR(__xludf.DUMMYFUNCTION("""COMPUTED_VALUE"""),"Dra, Mónica Rodríguez Briceño")</f>
        <v>Dra, Mónica Rodríguez Briceño</v>
      </c>
      <c r="S523" s="61" t="str">
        <f ca="1">IFERROR(__xludf.DUMMYFUNCTION("""COMPUTED_VALUE"""),"03 ORL")</f>
        <v>03 ORL</v>
      </c>
      <c r="T523" s="33" t="str">
        <f ca="1">IFERROR(__xludf.DUMMYFUNCTION("""COMPUTED_VALUE"""),"06 ORL")</f>
        <v>06 ORL</v>
      </c>
      <c r="U523" s="62"/>
      <c r="W523" s="62"/>
      <c r="X523" s="62"/>
    </row>
    <row r="524" spans="2:24" ht="16">
      <c r="B524" s="55" t="str">
        <f t="shared" ca="1" si="2"/>
        <v>#N/</v>
      </c>
      <c r="C524" s="64" t="str">
        <f ca="1">IFERROR(__xludf.DUMMYFUNCTION("""COMPUTED_VALUE"""),"#N/A")</f>
        <v>#N/A</v>
      </c>
      <c r="D524" s="33" t="str">
        <f ca="1">IFERROR(__xludf.DUMMYFUNCTION("""COMPUTED_VALUE"""),"PROPIOS")</f>
        <v>PROPIOS</v>
      </c>
      <c r="E524" s="33">
        <f ca="1">IFERROR(__xludf.DUMMYFUNCTION("""COMPUTED_VALUE"""),2026)</f>
        <v>2026</v>
      </c>
      <c r="F524" s="56">
        <f ca="1">IFERROR(__xludf.DUMMYFUNCTION("""COMPUTED_VALUE"""),3)</f>
        <v>3</v>
      </c>
      <c r="G524" s="33" t="str">
        <f ca="1">IFERROR(__xludf.DUMMYFUNCTION("""COMPUTED_VALUE"""),"Alicante")</f>
        <v>Alicante</v>
      </c>
      <c r="H524" s="33" t="str">
        <f ca="1">IFERROR(__xludf.DUMMYFUNCTION("""COMPUTED_VALUE"""),"C202632310183361589")</f>
        <v>C202632310183361589</v>
      </c>
      <c r="I524" s="33" t="str">
        <f ca="1">IFERROR(__xludf.DUMMYFUNCTION("""COMPUTED_VALUE"""),"ANNICA WALLER WALLIN")</f>
        <v>ANNICA WALLER WALLIN</v>
      </c>
      <c r="J524" s="57">
        <f ca="1">IFERROR(__xludf.DUMMYFUNCTION("""COMPUTED_VALUE"""),46104)</f>
        <v>46104</v>
      </c>
      <c r="K524" s="33" t="str">
        <f ca="1">IFERROR(__xludf.DUMMYFUNCTION("""COMPUTED_VALUE"""),"Prueba")</f>
        <v>Prueba</v>
      </c>
      <c r="L524" s="57">
        <f ca="1">IFERROR(__xludf.DUMMYFUNCTION("""COMPUTED_VALUE"""),46111)</f>
        <v>46111</v>
      </c>
      <c r="M524" s="64" t="str">
        <f ca="1">IFERROR(__xludf.DUMMYFUNCTION("""COMPUTED_VALUE"""),"NO")</f>
        <v>NO</v>
      </c>
      <c r="N524" s="56">
        <f ca="1">IFERROR(__xludf.DUMMYFUNCTION("""COMPUTED_VALUE"""),2)</f>
        <v>2</v>
      </c>
      <c r="O524" s="64" t="str">
        <f ca="1">IFERROR(__xludf.DUMMYFUNCTION("""COMPUTED_VALUE"""),"QUIET")</f>
        <v>QUIET</v>
      </c>
      <c r="P524" s="62">
        <f ca="1">IFERROR(__xludf.DUMMYFUNCTION("""COMPUTED_VALUE"""),2718.18)</f>
        <v>2718.18</v>
      </c>
      <c r="Q524" s="33" t="str">
        <f ca="1">IFERROR(__xludf.DUMMYFUNCTION("""COMPUTED_VALUE"""),"Iván Sánchez")</f>
        <v>Iván Sánchez</v>
      </c>
      <c r="R524" s="33" t="str">
        <f ca="1">IFERROR(__xludf.DUMMYFUNCTION("""COMPUTED_VALUE"""),"Dr, Carlos Velásquez Fermín")</f>
        <v>Dr, Carlos Velásquez Fermín</v>
      </c>
      <c r="S524" s="61" t="str">
        <f ca="1">IFERROR(__xludf.DUMMYFUNCTION("""COMPUTED_VALUE"""),"03 ORL")</f>
        <v>03 ORL</v>
      </c>
      <c r="T524" s="33" t="str">
        <f ca="1">IFERROR(__xludf.DUMMYFUNCTION("""COMPUTED_VALUE"""),"06 ORL")</f>
        <v>06 ORL</v>
      </c>
      <c r="U524" s="62"/>
      <c r="W524" s="62"/>
      <c r="X524" s="62"/>
    </row>
    <row r="525" spans="2:24" ht="16">
      <c r="B525" s="55" t="str">
        <f t="shared" ca="1" si="2"/>
        <v>#N/</v>
      </c>
      <c r="C525" s="64" t="str">
        <f ca="1">IFERROR(__xludf.DUMMYFUNCTION("""COMPUTED_VALUE"""),"#N/A")</f>
        <v>#N/A</v>
      </c>
      <c r="D525" s="33" t="str">
        <f ca="1">IFERROR(__xludf.DUMMYFUNCTION("""COMPUTED_VALUE"""),"PROPIOS")</f>
        <v>PROPIOS</v>
      </c>
      <c r="E525" s="33">
        <f ca="1">IFERROR(__xludf.DUMMYFUNCTION("""COMPUTED_VALUE"""),2026)</f>
        <v>2026</v>
      </c>
      <c r="F525" s="56">
        <f ca="1">IFERROR(__xludf.DUMMYFUNCTION("""COMPUTED_VALUE"""),3)</f>
        <v>3</v>
      </c>
      <c r="G525" s="33" t="str">
        <f ca="1">IFERROR(__xludf.DUMMYFUNCTION("""COMPUTED_VALUE"""),"Alicante")</f>
        <v>Alicante</v>
      </c>
      <c r="H525" s="33" t="str">
        <f ca="1">IFERROR(__xludf.DUMMYFUNCTION("""COMPUTED_VALUE"""),"C202633161411704107")</f>
        <v>C202633161411704107</v>
      </c>
      <c r="I525" s="33" t="str">
        <f ca="1">IFERROR(__xludf.DUMMYFUNCTION("""COMPUTED_VALUE"""),"ANTONIO MINGOT BELINCHON")</f>
        <v>ANTONIO MINGOT BELINCHON</v>
      </c>
      <c r="J525" s="57">
        <f ca="1">IFERROR(__xludf.DUMMYFUNCTION("""COMPUTED_VALUE"""),46084)</f>
        <v>46084</v>
      </c>
      <c r="K525" s="33" t="str">
        <f ca="1">IFERROR(__xludf.DUMMYFUNCTION("""COMPUTED_VALUE"""),"Presupuesto")</f>
        <v>Presupuesto</v>
      </c>
      <c r="L525" s="57">
        <f ca="1">IFERROR(__xludf.DUMMYFUNCTION("""COMPUTED_VALUE"""),46087)</f>
        <v>46087</v>
      </c>
      <c r="M525" s="64" t="str">
        <f ca="1">IFERROR(__xludf.DUMMYFUNCTION("""COMPUTED_VALUE"""),"NO")</f>
        <v>NO</v>
      </c>
      <c r="N525" s="56">
        <f ca="1">IFERROR(__xludf.DUMMYFUNCTION("""COMPUTED_VALUE"""),2)</f>
        <v>2</v>
      </c>
      <c r="O525" s="58" t="str">
        <f ca="1">IFERROR(__xludf.DUMMYFUNCTION("""COMPUTED_VALUE"""),"QUIET")</f>
        <v>QUIET</v>
      </c>
      <c r="P525" s="62">
        <f ca="1">IFERROR(__xludf.DUMMYFUNCTION("""COMPUTED_VALUE"""),2718.18)</f>
        <v>2718.18</v>
      </c>
      <c r="Q525" s="33" t="str">
        <f ca="1">IFERROR(__xludf.DUMMYFUNCTION("""COMPUTED_VALUE"""),"Iván Sánchez")</f>
        <v>Iván Sánchez</v>
      </c>
      <c r="R525" s="33" t="str">
        <f ca="1">IFERROR(__xludf.DUMMYFUNCTION("""COMPUTED_VALUE"""),"Dra, Mónica Rodríguez Briceño")</f>
        <v>Dra, Mónica Rodríguez Briceño</v>
      </c>
      <c r="S525" s="61" t="str">
        <f ca="1">IFERROR(__xludf.DUMMYFUNCTION("""COMPUTED_VALUE"""),"03 ORL")</f>
        <v>03 ORL</v>
      </c>
      <c r="T525" s="33" t="str">
        <f ca="1">IFERROR(__xludf.DUMMYFUNCTION("""COMPUTED_VALUE"""),"06 ORL")</f>
        <v>06 ORL</v>
      </c>
      <c r="U525" s="62"/>
      <c r="W525" s="62"/>
      <c r="X525" s="62"/>
    </row>
    <row r="526" spans="2:24" ht="16">
      <c r="B526" s="55" t="str">
        <f t="shared" ca="1" si="2"/>
        <v>#N/</v>
      </c>
      <c r="C526" s="64" t="str">
        <f ca="1">IFERROR(__xludf.DUMMYFUNCTION("""COMPUTED_VALUE"""),"#N/A")</f>
        <v>#N/A</v>
      </c>
      <c r="D526" s="33" t="str">
        <f ca="1">IFERROR(__xludf.DUMMYFUNCTION("""COMPUTED_VALUE"""),"PROPIOS")</f>
        <v>PROPIOS</v>
      </c>
      <c r="E526" s="33">
        <f ca="1">IFERROR(__xludf.DUMMYFUNCTION("""COMPUTED_VALUE"""),2026)</f>
        <v>2026</v>
      </c>
      <c r="F526" s="56">
        <f ca="1">IFERROR(__xludf.DUMMYFUNCTION("""COMPUTED_VALUE"""),3)</f>
        <v>3</v>
      </c>
      <c r="G526" s="33" t="str">
        <f ca="1">IFERROR(__xludf.DUMMYFUNCTION("""COMPUTED_VALUE"""),"Alicante")</f>
        <v>Alicante</v>
      </c>
      <c r="H526" s="33" t="str">
        <f ca="1">IFERROR(__xludf.DUMMYFUNCTION("""COMPUTED_VALUE"""),"C202629115742101249")</f>
        <v>C202629115742101249</v>
      </c>
      <c r="I526" s="33" t="str">
        <f ca="1">IFERROR(__xludf.DUMMYFUNCTION("""COMPUTED_VALUE"""),"DIMYTRO OLEINIKOV")</f>
        <v>DIMYTRO OLEINIKOV</v>
      </c>
      <c r="J526" s="57">
        <f ca="1">IFERROR(__xludf.DUMMYFUNCTION("""COMPUTED_VALUE"""),46062)</f>
        <v>46062</v>
      </c>
      <c r="K526" s="33" t="str">
        <f ca="1">IFERROR(__xludf.DUMMYFUNCTION("""COMPUTED_VALUE"""),"Devuelve")</f>
        <v>Devuelve</v>
      </c>
      <c r="L526" s="57">
        <f ca="1">IFERROR(__xludf.DUMMYFUNCTION("""COMPUTED_VALUE"""),46090)</f>
        <v>46090</v>
      </c>
      <c r="M526" s="64" t="str">
        <f ca="1">IFERROR(__xludf.DUMMYFUNCTION("""COMPUTED_VALUE"""),"NO")</f>
        <v>NO</v>
      </c>
      <c r="N526" s="56">
        <f ca="1">IFERROR(__xludf.DUMMYFUNCTION("""COMPUTED_VALUE"""),1)</f>
        <v>1</v>
      </c>
      <c r="O526" s="64" t="str">
        <f ca="1">IFERROR(__xludf.DUMMYFUNCTION("""COMPUTED_VALUE"""),"CONFORT")</f>
        <v>CONFORT</v>
      </c>
      <c r="P526" s="62">
        <f ca="1">IFERROR(__xludf.DUMMYFUNCTION("""COMPUTED_VALUE"""),2180.91)</f>
        <v>2180.91</v>
      </c>
      <c r="Q526" s="33" t="str">
        <f ca="1">IFERROR(__xludf.DUMMYFUNCTION("""COMPUTED_VALUE"""),"Iván Sánchez")</f>
        <v>Iván Sánchez</v>
      </c>
      <c r="R526" s="33" t="str">
        <f ca="1">IFERROR(__xludf.DUMMYFUNCTION("""COMPUTED_VALUE"""),"Dr, Félix Ruíz de la Cuesta Juste")</f>
        <v>Dr, Félix Ruíz de la Cuesta Juste</v>
      </c>
      <c r="S526" s="61" t="str">
        <f ca="1">IFERROR(__xludf.DUMMYFUNCTION("""COMPUTED_VALUE"""),"03 ORL")</f>
        <v>03 ORL</v>
      </c>
      <c r="T526" s="33" t="str">
        <f ca="1">IFERROR(__xludf.DUMMYFUNCTION("""COMPUTED_VALUE"""),"06 ORL")</f>
        <v>06 ORL</v>
      </c>
      <c r="U526" s="62"/>
      <c r="W526" s="62"/>
      <c r="X526" s="62"/>
    </row>
    <row r="527" spans="2:24" ht="16">
      <c r="B527" s="55" t="str">
        <f t="shared" ca="1" si="2"/>
        <v>#N/</v>
      </c>
      <c r="C527" s="64" t="str">
        <f ca="1">IFERROR(__xludf.DUMMYFUNCTION("""COMPUTED_VALUE"""),"#N/A")</f>
        <v>#N/A</v>
      </c>
      <c r="D527" s="33" t="str">
        <f ca="1">IFERROR(__xludf.DUMMYFUNCTION("""COMPUTED_VALUE"""),"PROPIOS")</f>
        <v>PROPIOS</v>
      </c>
      <c r="E527" s="33">
        <f ca="1">IFERROR(__xludf.DUMMYFUNCTION("""COMPUTED_VALUE"""),2026)</f>
        <v>2026</v>
      </c>
      <c r="F527" s="56">
        <f ca="1">IFERROR(__xludf.DUMMYFUNCTION("""COMPUTED_VALUE"""),1)</f>
        <v>1</v>
      </c>
      <c r="G527" s="33" t="str">
        <f ca="1">IFERROR(__xludf.DUMMYFUNCTION("""COMPUTED_VALUE"""),"Alicante")</f>
        <v>Alicante</v>
      </c>
      <c r="H527" s="33" t="str">
        <f ca="1">IFERROR(__xludf.DUMMYFUNCTION("""COMPUTED_VALUE"""),"C202611911544396155")</f>
        <v>C202611911544396155</v>
      </c>
      <c r="I527" s="33" t="str">
        <f ca="1">IFERROR(__xludf.DUMMYFUNCTION("""COMPUTED_VALUE"""),"EMILIO FERNANDEZ FERNANDEZ")</f>
        <v>EMILIO FERNANDEZ FERNANDEZ</v>
      </c>
      <c r="J527" s="57">
        <f ca="1">IFERROR(__xludf.DUMMYFUNCTION("""COMPUTED_VALUE"""),46041)</f>
        <v>46041</v>
      </c>
      <c r="K527" s="33" t="str">
        <f ca="1">IFERROR(__xludf.DUMMYFUNCTION("""COMPUTED_VALUE"""),"Presupuesto")</f>
        <v>Presupuesto</v>
      </c>
      <c r="L527" s="57">
        <f ca="1">IFERROR(__xludf.DUMMYFUNCTION("""COMPUTED_VALUE"""),46045)</f>
        <v>46045</v>
      </c>
      <c r="M527" s="64" t="str">
        <f ca="1">IFERROR(__xludf.DUMMYFUNCTION("""COMPUTED_VALUE"""),"NO")</f>
        <v>NO</v>
      </c>
      <c r="N527" s="56">
        <f ca="1">IFERROR(__xludf.DUMMYFUNCTION("""COMPUTED_VALUE"""),2)</f>
        <v>2</v>
      </c>
      <c r="O527" s="64" t="str">
        <f ca="1">IFERROR(__xludf.DUMMYFUNCTION("""COMPUTED_VALUE"""),"QUIET")</f>
        <v>QUIET</v>
      </c>
      <c r="P527" s="62">
        <f ca="1">IFERROR(__xludf.DUMMYFUNCTION("""COMPUTED_VALUE"""),2718.18)</f>
        <v>2718.18</v>
      </c>
      <c r="Q527" s="33" t="str">
        <f ca="1">IFERROR(__xludf.DUMMYFUNCTION("""COMPUTED_VALUE"""),"Iván Sánchez")</f>
        <v>Iván Sánchez</v>
      </c>
      <c r="R527" s="33" t="str">
        <f ca="1">IFERROR(__xludf.DUMMYFUNCTION("""COMPUTED_VALUE"""),"Dr, Carlos Velásquez Fermín")</f>
        <v>Dr, Carlos Velásquez Fermín</v>
      </c>
      <c r="S527" s="61" t="str">
        <f ca="1">IFERROR(__xludf.DUMMYFUNCTION("""COMPUTED_VALUE"""),"03 ORL")</f>
        <v>03 ORL</v>
      </c>
      <c r="T527" s="33" t="str">
        <f ca="1">IFERROR(__xludf.DUMMYFUNCTION("""COMPUTED_VALUE"""),"06 ORL")</f>
        <v>06 ORL</v>
      </c>
      <c r="U527" s="62"/>
      <c r="W527" s="62"/>
      <c r="X527" s="62"/>
    </row>
    <row r="528" spans="2:24" ht="16">
      <c r="B528" s="55" t="str">
        <f t="shared" ca="1" si="2"/>
        <v>#N/</v>
      </c>
      <c r="C528" s="64" t="str">
        <f ca="1">IFERROR(__xludf.DUMMYFUNCTION("""COMPUTED_VALUE"""),"#N/A")</f>
        <v>#N/A</v>
      </c>
      <c r="D528" s="33" t="str">
        <f ca="1">IFERROR(__xludf.DUMMYFUNCTION("""COMPUTED_VALUE"""),"PROPIOS")</f>
        <v>PROPIOS</v>
      </c>
      <c r="E528" s="33">
        <f ca="1">IFERROR(__xludf.DUMMYFUNCTION("""COMPUTED_VALUE"""),2026)</f>
        <v>2026</v>
      </c>
      <c r="F528" s="56">
        <f ca="1">IFERROR(__xludf.DUMMYFUNCTION("""COMPUTED_VALUE"""),1)</f>
        <v>1</v>
      </c>
      <c r="G528" s="33" t="str">
        <f ca="1">IFERROR(__xludf.DUMMYFUNCTION("""COMPUTED_VALUE"""),"Alicante")</f>
        <v>Alicante</v>
      </c>
      <c r="H528" s="33" t="str">
        <f ca="1">IFERROR(__xludf.DUMMYFUNCTION("""COMPUTED_VALUE"""),"ALC-2419")</f>
        <v>ALC-2419</v>
      </c>
      <c r="I528" s="33" t="str">
        <f ca="1">IFERROR(__xludf.DUMMYFUNCTION("""COMPUTED_VALUE"""),"ENRIQUE PLAZA MASEDO")</f>
        <v>ENRIQUE PLAZA MASEDO</v>
      </c>
      <c r="J528" s="57">
        <f ca="1">IFERROR(__xludf.DUMMYFUNCTION("""COMPUTED_VALUE"""),44216)</f>
        <v>44216</v>
      </c>
      <c r="K528" s="33" t="str">
        <f ca="1">IFERROR(__xludf.DUMMYFUNCTION("""COMPUTED_VALUE"""),"Devuelve")</f>
        <v>Devuelve</v>
      </c>
      <c r="L528" s="57">
        <f ca="1">IFERROR(__xludf.DUMMYFUNCTION("""COMPUTED_VALUE"""),46041)</f>
        <v>46041</v>
      </c>
      <c r="M528" s="64" t="str">
        <f ca="1">IFERROR(__xludf.DUMMYFUNCTION("""COMPUTED_VALUE"""),"NO")</f>
        <v>NO</v>
      </c>
      <c r="N528" s="56">
        <f ca="1">IFERROR(__xludf.DUMMYFUNCTION("""COMPUTED_VALUE"""),2)</f>
        <v>2</v>
      </c>
      <c r="O528" s="64" t="str">
        <f ca="1">IFERROR(__xludf.DUMMYFUNCTION("""COMPUTED_VALUE"""),"CONFORT")</f>
        <v>CONFORT</v>
      </c>
      <c r="P528" s="62">
        <f ca="1">IFERROR(__xludf.DUMMYFUNCTION("""COMPUTED_VALUE"""),3391.82)</f>
        <v>3391.82</v>
      </c>
      <c r="Q528" s="33" t="str">
        <f ca="1">IFERROR(__xludf.DUMMYFUNCTION("""COMPUTED_VALUE"""),"Iván Sánchez")</f>
        <v>Iván Sánchez</v>
      </c>
      <c r="R528" s="33" t="str">
        <f ca="1">IFERROR(__xludf.DUMMYFUNCTION("""COMPUTED_VALUE"""),"Dra, Cristina Muñoz Pinto")</f>
        <v>Dra, Cristina Muñoz Pinto</v>
      </c>
      <c r="S528" s="61" t="str">
        <f ca="1">IFERROR(__xludf.DUMMYFUNCTION("""COMPUTED_VALUE"""),"03 ORL")</f>
        <v>03 ORL</v>
      </c>
      <c r="T528" s="33" t="str">
        <f ca="1">IFERROR(__xludf.DUMMYFUNCTION("""COMPUTED_VALUE"""),"06 ORL")</f>
        <v>06 ORL</v>
      </c>
      <c r="U528" s="62"/>
      <c r="W528" s="62"/>
      <c r="X528" s="62"/>
    </row>
    <row r="529" spans="2:24" ht="16">
      <c r="B529" s="55" t="str">
        <f t="shared" ca="1" si="2"/>
        <v>#N/</v>
      </c>
      <c r="C529" s="64" t="str">
        <f ca="1">IFERROR(__xludf.DUMMYFUNCTION("""COMPUTED_VALUE"""),"#N/A")</f>
        <v>#N/A</v>
      </c>
      <c r="D529" s="33" t="str">
        <f ca="1">IFERROR(__xludf.DUMMYFUNCTION("""COMPUTED_VALUE"""),"PROPIOS")</f>
        <v>PROPIOS</v>
      </c>
      <c r="E529" s="33">
        <f ca="1">IFERROR(__xludf.DUMMYFUNCTION("""COMPUTED_VALUE"""),2026)</f>
        <v>2026</v>
      </c>
      <c r="F529" s="56">
        <f ca="1">IFERROR(__xludf.DUMMYFUNCTION("""COMPUTED_VALUE"""),4)</f>
        <v>4</v>
      </c>
      <c r="G529" s="33" t="str">
        <f ca="1">IFERROR(__xludf.DUMMYFUNCTION("""COMPUTED_VALUE"""),"Alicante")</f>
        <v>Alicante</v>
      </c>
      <c r="H529" s="33" t="str">
        <f ca="1">IFERROR(__xludf.DUMMYFUNCTION("""COMPUTED_VALUE"""),"C202621916342224467")</f>
        <v>C202621916342224467</v>
      </c>
      <c r="I529" s="33" t="str">
        <f ca="1">IFERROR(__xludf.DUMMYFUNCTION("""COMPUTED_VALUE"""),"FABIO RIVERA YULE")</f>
        <v>FABIO RIVERA YULE</v>
      </c>
      <c r="J529" s="57">
        <f ca="1">IFERROR(__xludf.DUMMYFUNCTION("""COMPUTED_VALUE"""),46072)</f>
        <v>46072</v>
      </c>
      <c r="K529" s="33" t="str">
        <f ca="1">IFERROR(__xludf.DUMMYFUNCTION("""COMPUTED_VALUE"""),"Prueba")</f>
        <v>Prueba</v>
      </c>
      <c r="L529" s="57">
        <f ca="1">IFERROR(__xludf.DUMMYFUNCTION("""COMPUTED_VALUE"""),46113)</f>
        <v>46113</v>
      </c>
      <c r="M529" s="64" t="str">
        <f ca="1">IFERROR(__xludf.DUMMYFUNCTION("""COMPUTED_VALUE"""),"NO")</f>
        <v>NO</v>
      </c>
      <c r="N529" s="56">
        <f ca="1">IFERROR(__xludf.DUMMYFUNCTION("""COMPUTED_VALUE"""),2)</f>
        <v>2</v>
      </c>
      <c r="O529" s="64" t="str">
        <f ca="1">IFERROR(__xludf.DUMMYFUNCTION("""COMPUTED_VALUE"""),"QUIET")</f>
        <v>QUIET</v>
      </c>
      <c r="P529" s="62">
        <f ca="1">IFERROR(__xludf.DUMMYFUNCTION("""COMPUTED_VALUE"""),2718.18)</f>
        <v>2718.18</v>
      </c>
      <c r="Q529" s="33" t="str">
        <f ca="1">IFERROR(__xludf.DUMMYFUNCTION("""COMPUTED_VALUE"""),"Iván Sánchez")</f>
        <v>Iván Sánchez</v>
      </c>
      <c r="R529" s="33" t="str">
        <f ca="1">IFERROR(__xludf.DUMMYFUNCTION("""COMPUTED_VALUE"""),"Dra, Mónica Rodríguez Briceño")</f>
        <v>Dra, Mónica Rodríguez Briceño</v>
      </c>
      <c r="S529" s="61" t="str">
        <f ca="1">IFERROR(__xludf.DUMMYFUNCTION("""COMPUTED_VALUE"""),"03 ORL")</f>
        <v>03 ORL</v>
      </c>
      <c r="T529" s="33" t="str">
        <f ca="1">IFERROR(__xludf.DUMMYFUNCTION("""COMPUTED_VALUE"""),"06 ORL")</f>
        <v>06 ORL</v>
      </c>
      <c r="U529" s="62"/>
      <c r="W529" s="62"/>
      <c r="X529" s="62"/>
    </row>
    <row r="530" spans="2:24" ht="16">
      <c r="B530" s="55" t="str">
        <f t="shared" ca="1" si="2"/>
        <v>#N/</v>
      </c>
      <c r="C530" s="64" t="str">
        <f ca="1">IFERROR(__xludf.DUMMYFUNCTION("""COMPUTED_VALUE"""),"#N/A")</f>
        <v>#N/A</v>
      </c>
      <c r="D530" s="33" t="str">
        <f ca="1">IFERROR(__xludf.DUMMYFUNCTION("""COMPUTED_VALUE"""),"PROPIOS")</f>
        <v>PROPIOS</v>
      </c>
      <c r="E530" s="33">
        <f ca="1">IFERROR(__xludf.DUMMYFUNCTION("""COMPUTED_VALUE"""),2026)</f>
        <v>2026</v>
      </c>
      <c r="F530" s="56">
        <f ca="1">IFERROR(__xludf.DUMMYFUNCTION("""COMPUTED_VALUE"""),2)</f>
        <v>2</v>
      </c>
      <c r="G530" s="33" t="str">
        <f ca="1">IFERROR(__xludf.DUMMYFUNCTION("""COMPUTED_VALUE"""),"Alicante")</f>
        <v>Alicante</v>
      </c>
      <c r="H530" s="33" t="str">
        <f ca="1">IFERROR(__xludf.DUMMYFUNCTION("""COMPUTED_VALUE"""),"ALC-495")</f>
        <v>ALC-495</v>
      </c>
      <c r="I530" s="33" t="str">
        <f ca="1">IFERROR(__xludf.DUMMYFUNCTION("""COMPUTED_VALUE"""),"FAUSTINO SOBRADO FERNANDEZ")</f>
        <v>FAUSTINO SOBRADO FERNANDEZ</v>
      </c>
      <c r="J530" s="57">
        <f ca="1">IFERROR(__xludf.DUMMYFUNCTION("""COMPUTED_VALUE"""),45818)</f>
        <v>45818</v>
      </c>
      <c r="K530" s="33" t="str">
        <f ca="1">IFERROR(__xludf.DUMMYFUNCTION("""COMPUTED_VALUE"""),"Devuelve")</f>
        <v>Devuelve</v>
      </c>
      <c r="L530" s="57">
        <f ca="1">IFERROR(__xludf.DUMMYFUNCTION("""COMPUTED_VALUE"""),46058)</f>
        <v>46058</v>
      </c>
      <c r="M530" s="64" t="str">
        <f ca="1">IFERROR(__xludf.DUMMYFUNCTION("""COMPUTED_VALUE"""),"NO")</f>
        <v>NO</v>
      </c>
      <c r="N530" s="56">
        <f ca="1">IFERROR(__xludf.DUMMYFUNCTION("""COMPUTED_VALUE"""),2)</f>
        <v>2</v>
      </c>
      <c r="O530" s="64" t="str">
        <f ca="1">IFERROR(__xludf.DUMMYFUNCTION("""COMPUTED_VALUE"""),"QUIET")</f>
        <v>QUIET</v>
      </c>
      <c r="P530" s="62">
        <f ca="1">IFERROR(__xludf.DUMMYFUNCTION("""COMPUTED_VALUE"""),2718.18)</f>
        <v>2718.18</v>
      </c>
      <c r="Q530" s="33" t="str">
        <f ca="1">IFERROR(__xludf.DUMMYFUNCTION("""COMPUTED_VALUE"""),"Iván Sánchez")</f>
        <v>Iván Sánchez</v>
      </c>
      <c r="R530" s="33" t="str">
        <f ca="1">IFERROR(__xludf.DUMMYFUNCTION("""COMPUTED_VALUE"""),"Dra, Cristina Muñoz Pinto")</f>
        <v>Dra, Cristina Muñoz Pinto</v>
      </c>
      <c r="S530" s="61" t="str">
        <f ca="1">IFERROR(__xludf.DUMMYFUNCTION("""COMPUTED_VALUE"""),"03 ORL")</f>
        <v>03 ORL</v>
      </c>
      <c r="T530" s="33" t="str">
        <f ca="1">IFERROR(__xludf.DUMMYFUNCTION("""COMPUTED_VALUE"""),"06 ORL")</f>
        <v>06 ORL</v>
      </c>
      <c r="U530" s="62"/>
      <c r="W530" s="62"/>
      <c r="X530" s="62"/>
    </row>
    <row r="531" spans="2:24" ht="16">
      <c r="B531" s="55" t="str">
        <f t="shared" ca="1" si="2"/>
        <v>#N/</v>
      </c>
      <c r="C531" s="64" t="str">
        <f ca="1">IFERROR(__xludf.DUMMYFUNCTION("""COMPUTED_VALUE"""),"#N/A")</f>
        <v>#N/A</v>
      </c>
      <c r="D531" s="33" t="str">
        <f ca="1">IFERROR(__xludf.DUMMYFUNCTION("""COMPUTED_VALUE"""),"PROPIOS")</f>
        <v>PROPIOS</v>
      </c>
      <c r="E531" s="33">
        <f ca="1">IFERROR(__xludf.DUMMYFUNCTION("""COMPUTED_VALUE"""),2026)</f>
        <v>2026</v>
      </c>
      <c r="F531" s="56">
        <f ca="1">IFERROR(__xludf.DUMMYFUNCTION("""COMPUTED_VALUE"""),4)</f>
        <v>4</v>
      </c>
      <c r="G531" s="33" t="str">
        <f ca="1">IFERROR(__xludf.DUMMYFUNCTION("""COMPUTED_VALUE"""),"Alicante")</f>
        <v>Alicante</v>
      </c>
      <c r="H531" s="33" t="str">
        <f ca="1">IFERROR(__xludf.DUMMYFUNCTION("""COMPUTED_VALUE"""),"ALC-1020")</f>
        <v>ALC-1020</v>
      </c>
      <c r="I531" s="33" t="str">
        <f ca="1">IFERROR(__xludf.DUMMYFUNCTION("""COMPUTED_VALUE"""),"FRANCISCA CANOVAS NORTES")</f>
        <v>FRANCISCA CANOVAS NORTES</v>
      </c>
      <c r="J531" s="57">
        <f ca="1">IFERROR(__xludf.DUMMYFUNCTION("""COMPUTED_VALUE"""),46072)</f>
        <v>46072</v>
      </c>
      <c r="K531" s="33" t="str">
        <f ca="1">IFERROR(__xludf.DUMMYFUNCTION("""COMPUTED_VALUE"""),"Prueba")</f>
        <v>Prueba</v>
      </c>
      <c r="L531" s="57">
        <f ca="1">IFERROR(__xludf.DUMMYFUNCTION("""COMPUTED_VALUE"""),46119)</f>
        <v>46119</v>
      </c>
      <c r="M531" s="64" t="str">
        <f ca="1">IFERROR(__xludf.DUMMYFUNCTION("""COMPUTED_VALUE"""),"NO")</f>
        <v>NO</v>
      </c>
      <c r="N531" s="56">
        <f ca="1">IFERROR(__xludf.DUMMYFUNCTION("""COMPUTED_VALUE"""),1)</f>
        <v>1</v>
      </c>
      <c r="O531" s="64" t="str">
        <f ca="1">IFERROR(__xludf.DUMMYFUNCTION("""COMPUTED_VALUE"""),"CONFORT")</f>
        <v>CONFORT</v>
      </c>
      <c r="P531" s="62">
        <f ca="1">IFERROR(__xludf.DUMMYFUNCTION("""COMPUTED_VALUE"""),2180.91)</f>
        <v>2180.91</v>
      </c>
      <c r="Q531" s="33" t="str">
        <f ca="1">IFERROR(__xludf.DUMMYFUNCTION("""COMPUTED_VALUE"""),"Iván Sánchez")</f>
        <v>Iván Sánchez</v>
      </c>
      <c r="R531" s="33" t="str">
        <f ca="1">IFERROR(__xludf.DUMMYFUNCTION("""COMPUTED_VALUE"""),"Dr, Carlos Velásquez Fermín")</f>
        <v>Dr, Carlos Velásquez Fermín</v>
      </c>
      <c r="S531" s="61" t="str">
        <f ca="1">IFERROR(__xludf.DUMMYFUNCTION("""COMPUTED_VALUE"""),"03 ORL")</f>
        <v>03 ORL</v>
      </c>
      <c r="T531" s="33" t="str">
        <f ca="1">IFERROR(__xludf.DUMMYFUNCTION("""COMPUTED_VALUE"""),"06 ORL")</f>
        <v>06 ORL</v>
      </c>
      <c r="U531" s="62"/>
      <c r="W531" s="62"/>
      <c r="X531" s="62"/>
    </row>
    <row r="532" spans="2:24" ht="16">
      <c r="B532" s="55" t="str">
        <f t="shared" ca="1" si="2"/>
        <v>#N/</v>
      </c>
      <c r="C532" s="64" t="str">
        <f ca="1">IFERROR(__xludf.DUMMYFUNCTION("""COMPUTED_VALUE"""),"#N/A")</f>
        <v>#N/A</v>
      </c>
      <c r="D532" s="33" t="str">
        <f ca="1">IFERROR(__xludf.DUMMYFUNCTION("""COMPUTED_VALUE"""),"PROPIOS")</f>
        <v>PROPIOS</v>
      </c>
      <c r="E532" s="33">
        <f ca="1">IFERROR(__xludf.DUMMYFUNCTION("""COMPUTED_VALUE"""),2026)</f>
        <v>2026</v>
      </c>
      <c r="F532" s="56">
        <f ca="1">IFERROR(__xludf.DUMMYFUNCTION("""COMPUTED_VALUE"""),1)</f>
        <v>1</v>
      </c>
      <c r="G532" s="33" t="str">
        <f ca="1">IFERROR(__xludf.DUMMYFUNCTION("""COMPUTED_VALUE"""),"Alicante")</f>
        <v>Alicante</v>
      </c>
      <c r="H532" s="33" t="str">
        <f ca="1">IFERROR(__xludf.DUMMYFUNCTION("""COMPUTED_VALUE"""),"C202512269154334647")</f>
        <v>C202512269154334647</v>
      </c>
      <c r="I532" s="33" t="str">
        <f ca="1">IFERROR(__xludf.DUMMYFUNCTION("""COMPUTED_VALUE"""),"FRANCISCO CRESPO ALONSO")</f>
        <v>FRANCISCO CRESPO ALONSO</v>
      </c>
      <c r="J532" s="57">
        <f ca="1">IFERROR(__xludf.DUMMYFUNCTION("""COMPUTED_VALUE"""),46017)</f>
        <v>46017</v>
      </c>
      <c r="K532" s="33" t="str">
        <f ca="1">IFERROR(__xludf.DUMMYFUNCTION("""COMPUTED_VALUE"""),"Devuelve")</f>
        <v>Devuelve</v>
      </c>
      <c r="L532" s="57">
        <f ca="1">IFERROR(__xludf.DUMMYFUNCTION("""COMPUTED_VALUE"""),46031)</f>
        <v>46031</v>
      </c>
      <c r="M532" s="64" t="str">
        <f ca="1">IFERROR(__xludf.DUMMYFUNCTION("""COMPUTED_VALUE"""),"NO")</f>
        <v>NO</v>
      </c>
      <c r="N532" s="56">
        <f ca="1">IFERROR(__xludf.DUMMYFUNCTION("""COMPUTED_VALUE"""),2)</f>
        <v>2</v>
      </c>
      <c r="O532" s="64" t="str">
        <f ca="1">IFERROR(__xludf.DUMMYFUNCTION("""COMPUTED_VALUE"""),"QUIET")</f>
        <v>QUIET</v>
      </c>
      <c r="P532" s="62">
        <f ca="1">IFERROR(__xludf.DUMMYFUNCTION("""COMPUTED_VALUE"""),2718.18)</f>
        <v>2718.18</v>
      </c>
      <c r="Q532" s="33" t="str">
        <f ca="1">IFERROR(__xludf.DUMMYFUNCTION("""COMPUTED_VALUE"""),"Iván Sánchez")</f>
        <v>Iván Sánchez</v>
      </c>
      <c r="R532" s="33" t="str">
        <f ca="1">IFERROR(__xludf.DUMMYFUNCTION("""COMPUTED_VALUE"""),"Dra, Mónica Rodríguez Briceño")</f>
        <v>Dra, Mónica Rodríguez Briceño</v>
      </c>
      <c r="S532" s="61" t="str">
        <f ca="1">IFERROR(__xludf.DUMMYFUNCTION("""COMPUTED_VALUE"""),"03 ORL")</f>
        <v>03 ORL</v>
      </c>
      <c r="T532" s="33" t="str">
        <f ca="1">IFERROR(__xludf.DUMMYFUNCTION("""COMPUTED_VALUE"""),"06 ORL")</f>
        <v>06 ORL</v>
      </c>
      <c r="U532" s="62"/>
      <c r="W532" s="62"/>
      <c r="X532" s="62"/>
    </row>
    <row r="533" spans="2:24" ht="16">
      <c r="B533" s="55" t="str">
        <f t="shared" ca="1" si="2"/>
        <v>#N/</v>
      </c>
      <c r="C533" s="64" t="str">
        <f ca="1">IFERROR(__xludf.DUMMYFUNCTION("""COMPUTED_VALUE"""),"#N/A")</f>
        <v>#N/A</v>
      </c>
      <c r="D533" s="33" t="str">
        <f ca="1">IFERROR(__xludf.DUMMYFUNCTION("""COMPUTED_VALUE"""),"PROPIOS")</f>
        <v>PROPIOS</v>
      </c>
      <c r="E533" s="33">
        <f ca="1">IFERROR(__xludf.DUMMYFUNCTION("""COMPUTED_VALUE"""),2026)</f>
        <v>2026</v>
      </c>
      <c r="F533" s="56">
        <f ca="1">IFERROR(__xludf.DUMMYFUNCTION("""COMPUTED_VALUE"""),3)</f>
        <v>3</v>
      </c>
      <c r="G533" s="33" t="str">
        <f ca="1">IFERROR(__xludf.DUMMYFUNCTION("""COMPUTED_VALUE"""),"Alicante")</f>
        <v>Alicante</v>
      </c>
      <c r="H533" s="33" t="str">
        <f ca="1">IFERROR(__xludf.DUMMYFUNCTION("""COMPUTED_VALUE"""),"C20262691554877216")</f>
        <v>C20262691554877216</v>
      </c>
      <c r="I533" s="33" t="str">
        <f ca="1">IFERROR(__xludf.DUMMYFUNCTION("""COMPUTED_VALUE"""),"FRANCISCO DE CASTRO CONTRERAS")</f>
        <v>FRANCISCO DE CASTRO CONTRERAS</v>
      </c>
      <c r="J533" s="57">
        <f ca="1">IFERROR(__xludf.DUMMYFUNCTION("""COMPUTED_VALUE"""),46059)</f>
        <v>46059</v>
      </c>
      <c r="K533" s="33" t="str">
        <f ca="1">IFERROR(__xludf.DUMMYFUNCTION("""COMPUTED_VALUE"""),"Devuelve")</f>
        <v>Devuelve</v>
      </c>
      <c r="L533" s="57">
        <f ca="1">IFERROR(__xludf.DUMMYFUNCTION("""COMPUTED_VALUE"""),46086)</f>
        <v>46086</v>
      </c>
      <c r="M533" s="64" t="str">
        <f ca="1">IFERROR(__xludf.DUMMYFUNCTION("""COMPUTED_VALUE"""),"NO")</f>
        <v>NO</v>
      </c>
      <c r="N533" s="56">
        <f ca="1">IFERROR(__xludf.DUMMYFUNCTION("""COMPUTED_VALUE"""),2)</f>
        <v>2</v>
      </c>
      <c r="O533" s="64" t="str">
        <f ca="1">IFERROR(__xludf.DUMMYFUNCTION("""COMPUTED_VALUE"""),"ADVANCED")</f>
        <v>ADVANCED</v>
      </c>
      <c r="P533" s="62">
        <f ca="1">IFERROR(__xludf.DUMMYFUNCTION("""COMPUTED_VALUE"""),4381.27)</f>
        <v>4381.2700000000004</v>
      </c>
      <c r="Q533" s="33" t="str">
        <f ca="1">IFERROR(__xludf.DUMMYFUNCTION("""COMPUTED_VALUE"""),"Iván Sánchez")</f>
        <v>Iván Sánchez</v>
      </c>
      <c r="R533" s="33" t="str">
        <f ca="1">IFERROR(__xludf.DUMMYFUNCTION("""COMPUTED_VALUE"""),"Dra, Cristina Muñoz Pinto")</f>
        <v>Dra, Cristina Muñoz Pinto</v>
      </c>
      <c r="S533" s="61" t="str">
        <f ca="1">IFERROR(__xludf.DUMMYFUNCTION("""COMPUTED_VALUE"""),"03 ORL")</f>
        <v>03 ORL</v>
      </c>
      <c r="T533" s="33" t="str">
        <f ca="1">IFERROR(__xludf.DUMMYFUNCTION("""COMPUTED_VALUE"""),"06 ORL")</f>
        <v>06 ORL</v>
      </c>
      <c r="U533" s="62"/>
      <c r="W533" s="62"/>
      <c r="X533" s="62"/>
    </row>
    <row r="534" spans="2:24" ht="16">
      <c r="B534" s="55" t="str">
        <f t="shared" ca="1" si="2"/>
        <v>#N/</v>
      </c>
      <c r="C534" s="64" t="str">
        <f ca="1">IFERROR(__xludf.DUMMYFUNCTION("""COMPUTED_VALUE"""),"#N/A")</f>
        <v>#N/A</v>
      </c>
      <c r="D534" s="33" t="str">
        <f ca="1">IFERROR(__xludf.DUMMYFUNCTION("""COMPUTED_VALUE"""),"PROPIOS")</f>
        <v>PROPIOS</v>
      </c>
      <c r="E534" s="33">
        <f ca="1">IFERROR(__xludf.DUMMYFUNCTION("""COMPUTED_VALUE"""),2026)</f>
        <v>2026</v>
      </c>
      <c r="F534" s="56">
        <f ca="1">IFERROR(__xludf.DUMMYFUNCTION("""COMPUTED_VALUE"""),4)</f>
        <v>4</v>
      </c>
      <c r="G534" s="33" t="str">
        <f ca="1">IFERROR(__xludf.DUMMYFUNCTION("""COMPUTED_VALUE"""),"Alicante")</f>
        <v>Alicante</v>
      </c>
      <c r="H534" s="33" t="str">
        <f ca="1">IFERROR(__xludf.DUMMYFUNCTION("""COMPUTED_VALUE"""),"C202624105036984181")</f>
        <v>C202624105036984181</v>
      </c>
      <c r="I534" s="33" t="str">
        <f ca="1">IFERROR(__xludf.DUMMYFUNCTION("""COMPUTED_VALUE"""),"JUAN JOSE ALBEROLA PEREZ")</f>
        <v>JUAN JOSE ALBEROLA PEREZ</v>
      </c>
      <c r="J534" s="57">
        <f ca="1">IFERROR(__xludf.DUMMYFUNCTION("""COMPUTED_VALUE"""),46057)</f>
        <v>46057</v>
      </c>
      <c r="K534" s="33" t="str">
        <f ca="1">IFERROR(__xludf.DUMMYFUNCTION("""COMPUTED_VALUE"""),"Prueba")</f>
        <v>Prueba</v>
      </c>
      <c r="L534" s="57">
        <f ca="1">IFERROR(__xludf.DUMMYFUNCTION("""COMPUTED_VALUE"""),46119)</f>
        <v>46119</v>
      </c>
      <c r="M534" s="64" t="str">
        <f ca="1">IFERROR(__xludf.DUMMYFUNCTION("""COMPUTED_VALUE"""),"NO")</f>
        <v>NO</v>
      </c>
      <c r="N534" s="56">
        <f ca="1">IFERROR(__xludf.DUMMYFUNCTION("""COMPUTED_VALUE"""),1)</f>
        <v>1</v>
      </c>
      <c r="O534" s="64" t="str">
        <f ca="1">IFERROR(__xludf.DUMMYFUNCTION("""COMPUTED_VALUE"""),"TRIAL")</f>
        <v>TRIAL</v>
      </c>
      <c r="P534" s="62">
        <f ca="1">IFERROR(__xludf.DUMMYFUNCTION("""COMPUTED_VALUE"""),2629.09)</f>
        <v>2629.09</v>
      </c>
      <c r="Q534" s="33" t="str">
        <f ca="1">IFERROR(__xludf.DUMMYFUNCTION("""COMPUTED_VALUE"""),"Iván Sánchez")</f>
        <v>Iván Sánchez</v>
      </c>
      <c r="R534" s="33" t="str">
        <f ca="1">IFERROR(__xludf.DUMMYFUNCTION("""COMPUTED_VALUE"""),"Dr, Guillermo Severá Ferrándiz")</f>
        <v>Dr, Guillermo Severá Ferrándiz</v>
      </c>
      <c r="S534" s="61" t="str">
        <f ca="1">IFERROR(__xludf.DUMMYFUNCTION("""COMPUTED_VALUE"""),"03 ORL")</f>
        <v>03 ORL</v>
      </c>
      <c r="T534" s="33" t="str">
        <f ca="1">IFERROR(__xludf.DUMMYFUNCTION("""COMPUTED_VALUE"""),"06 ORL")</f>
        <v>06 ORL</v>
      </c>
      <c r="U534" s="62"/>
      <c r="W534" s="62"/>
      <c r="X534" s="62"/>
    </row>
    <row r="535" spans="2:24" ht="16">
      <c r="B535" s="55" t="str">
        <f t="shared" ca="1" si="2"/>
        <v>#N/</v>
      </c>
      <c r="C535" s="64" t="str">
        <f ca="1">IFERROR(__xludf.DUMMYFUNCTION("""COMPUTED_VALUE"""),"#N/A")</f>
        <v>#N/A</v>
      </c>
      <c r="D535" s="33" t="str">
        <f ca="1">IFERROR(__xludf.DUMMYFUNCTION("""COMPUTED_VALUE"""),"PROPIOS")</f>
        <v>PROPIOS</v>
      </c>
      <c r="E535" s="33">
        <f ca="1">IFERROR(__xludf.DUMMYFUNCTION("""COMPUTED_VALUE"""),2026)</f>
        <v>2026</v>
      </c>
      <c r="F535" s="56">
        <f ca="1">IFERROR(__xludf.DUMMYFUNCTION("""COMPUTED_VALUE"""),2)</f>
        <v>2</v>
      </c>
      <c r="G535" s="33" t="str">
        <f ca="1">IFERROR(__xludf.DUMMYFUNCTION("""COMPUTED_VALUE"""),"Alicante")</f>
        <v>Alicante</v>
      </c>
      <c r="H535" s="33" t="str">
        <f ca="1">IFERROR(__xludf.DUMMYFUNCTION("""COMPUTED_VALUE"""),"C20262410397349722")</f>
        <v>C20262410397349722</v>
      </c>
      <c r="I535" s="33" t="str">
        <f ca="1">IFERROR(__xludf.DUMMYFUNCTION("""COMPUTED_VALUE"""),"JUSTO GARCIA ESCALANTE")</f>
        <v>JUSTO GARCIA ESCALANTE</v>
      </c>
      <c r="J535" s="57">
        <f ca="1">IFERROR(__xludf.DUMMYFUNCTION("""COMPUTED_VALUE"""),46057)</f>
        <v>46057</v>
      </c>
      <c r="K535" s="33" t="str">
        <f ca="1">IFERROR(__xludf.DUMMYFUNCTION("""COMPUTED_VALUE"""),"Presupuesto")</f>
        <v>Presupuesto</v>
      </c>
      <c r="L535" s="57">
        <f ca="1">IFERROR(__xludf.DUMMYFUNCTION("""COMPUTED_VALUE"""),46064)</f>
        <v>46064</v>
      </c>
      <c r="M535" s="64" t="str">
        <f ca="1">IFERROR(__xludf.DUMMYFUNCTION("""COMPUTED_VALUE"""),"NO")</f>
        <v>NO</v>
      </c>
      <c r="N535" s="56">
        <f ca="1">IFERROR(__xludf.DUMMYFUNCTION("""COMPUTED_VALUE"""),2)</f>
        <v>2</v>
      </c>
      <c r="O535" s="64" t="str">
        <f ca="1">IFERROR(__xludf.DUMMYFUNCTION("""COMPUTED_VALUE"""),"QUIET")</f>
        <v>QUIET</v>
      </c>
      <c r="P535" s="62">
        <f ca="1">IFERROR(__xludf.DUMMYFUNCTION("""COMPUTED_VALUE"""),2718.18)</f>
        <v>2718.18</v>
      </c>
      <c r="Q535" s="33" t="str">
        <f ca="1">IFERROR(__xludf.DUMMYFUNCTION("""COMPUTED_VALUE"""),"Iván Sánchez")</f>
        <v>Iván Sánchez</v>
      </c>
      <c r="R535" s="33" t="str">
        <f ca="1">IFERROR(__xludf.DUMMYFUNCTION("""COMPUTED_VALUE"""),"Dr, Carlos Velásquez Fermín")</f>
        <v>Dr, Carlos Velásquez Fermín</v>
      </c>
      <c r="S535" s="61" t="str">
        <f ca="1">IFERROR(__xludf.DUMMYFUNCTION("""COMPUTED_VALUE"""),"03 ORL")</f>
        <v>03 ORL</v>
      </c>
      <c r="T535" s="33" t="str">
        <f ca="1">IFERROR(__xludf.DUMMYFUNCTION("""COMPUTED_VALUE"""),"06 ORL")</f>
        <v>06 ORL</v>
      </c>
      <c r="U535" s="62"/>
      <c r="W535" s="62"/>
      <c r="X535" s="62"/>
    </row>
    <row r="536" spans="2:24" ht="16">
      <c r="B536" s="55" t="str">
        <f t="shared" ca="1" si="2"/>
        <v>#N/</v>
      </c>
      <c r="C536" s="64" t="str">
        <f ca="1">IFERROR(__xludf.DUMMYFUNCTION("""COMPUTED_VALUE"""),"#N/A")</f>
        <v>#N/A</v>
      </c>
      <c r="D536" s="33" t="str">
        <f ca="1">IFERROR(__xludf.DUMMYFUNCTION("""COMPUTED_VALUE"""),"PROPIOS")</f>
        <v>PROPIOS</v>
      </c>
      <c r="E536" s="33">
        <f ca="1">IFERROR(__xludf.DUMMYFUNCTION("""COMPUTED_VALUE"""),2026)</f>
        <v>2026</v>
      </c>
      <c r="F536" s="56">
        <f ca="1">IFERROR(__xludf.DUMMYFUNCTION("""COMPUTED_VALUE"""),3)</f>
        <v>3</v>
      </c>
      <c r="G536" s="33" t="str">
        <f ca="1">IFERROR(__xludf.DUMMYFUNCTION("""COMPUTED_VALUE"""),"Alicante")</f>
        <v>Alicante</v>
      </c>
      <c r="H536" s="33" t="str">
        <f ca="1">IFERROR(__xludf.DUMMYFUNCTION("""COMPUTED_VALUE"""),"C202632105557234887")</f>
        <v>C202632105557234887</v>
      </c>
      <c r="I536" s="33" t="str">
        <f ca="1">IFERROR(__xludf.DUMMYFUNCTION("""COMPUTED_VALUE"""),"MANUEL BUTRON LOPEZ")</f>
        <v>MANUEL BUTRON LOPEZ</v>
      </c>
      <c r="J536" s="57">
        <f ca="1">IFERROR(__xludf.DUMMYFUNCTION("""COMPUTED_VALUE"""),46083)</f>
        <v>46083</v>
      </c>
      <c r="K536" s="33" t="str">
        <f ca="1">IFERROR(__xludf.DUMMYFUNCTION("""COMPUTED_VALUE"""),"Presupuesto")</f>
        <v>Presupuesto</v>
      </c>
      <c r="L536" s="57">
        <f ca="1">IFERROR(__xludf.DUMMYFUNCTION("""COMPUTED_VALUE"""),46085)</f>
        <v>46085</v>
      </c>
      <c r="M536" s="64" t="str">
        <f ca="1">IFERROR(__xludf.DUMMYFUNCTION("""COMPUTED_VALUE"""),"NO")</f>
        <v>NO</v>
      </c>
      <c r="N536" s="56">
        <f ca="1">IFERROR(__xludf.DUMMYFUNCTION("""COMPUTED_VALUE"""),2)</f>
        <v>2</v>
      </c>
      <c r="O536" s="64" t="str">
        <f ca="1">IFERROR(__xludf.DUMMYFUNCTION("""COMPUTED_VALUE"""),"QUIET")</f>
        <v>QUIET</v>
      </c>
      <c r="P536" s="62">
        <f ca="1">IFERROR(__xludf.DUMMYFUNCTION("""COMPUTED_VALUE"""),2718.18)</f>
        <v>2718.18</v>
      </c>
      <c r="Q536" s="33" t="str">
        <f ca="1">IFERROR(__xludf.DUMMYFUNCTION("""COMPUTED_VALUE"""),"Iván Sánchez")</f>
        <v>Iván Sánchez</v>
      </c>
      <c r="R536" s="33" t="str">
        <f ca="1">IFERROR(__xludf.DUMMYFUNCTION("""COMPUTED_VALUE"""),"Dra, Laura Isabel del Amo Martínez")</f>
        <v>Dra, Laura Isabel del Amo Martínez</v>
      </c>
      <c r="S536" s="61" t="str">
        <f ca="1">IFERROR(__xludf.DUMMYFUNCTION("""COMPUTED_VALUE"""),"03 ORL")</f>
        <v>03 ORL</v>
      </c>
      <c r="T536" s="33" t="str">
        <f ca="1">IFERROR(__xludf.DUMMYFUNCTION("""COMPUTED_VALUE"""),"06 ORL")</f>
        <v>06 ORL</v>
      </c>
      <c r="U536" s="62"/>
      <c r="W536" s="62"/>
      <c r="X536" s="62"/>
    </row>
    <row r="537" spans="2:24" ht="16">
      <c r="B537" s="67" t="str">
        <f t="shared" ref="B537:B791" ca="1" si="3">IF($H537="","",LEFT(C537,3))</f>
        <v>#N/</v>
      </c>
      <c r="C537" s="64" t="str">
        <f ca="1">IFERROR(__xludf.DUMMYFUNCTION("""COMPUTED_VALUE"""),"#N/A")</f>
        <v>#N/A</v>
      </c>
      <c r="D537" s="33" t="str">
        <f ca="1">IFERROR(__xludf.DUMMYFUNCTION("""COMPUTED_VALUE"""),"PROPIOS")</f>
        <v>PROPIOS</v>
      </c>
      <c r="E537" s="33">
        <f ca="1">IFERROR(__xludf.DUMMYFUNCTION("""COMPUTED_VALUE"""),2026)</f>
        <v>2026</v>
      </c>
      <c r="F537" s="56">
        <f ca="1">IFERROR(__xludf.DUMMYFUNCTION("""COMPUTED_VALUE"""),3)</f>
        <v>3</v>
      </c>
      <c r="G537" s="33" t="str">
        <f ca="1">IFERROR(__xludf.DUMMYFUNCTION("""COMPUTED_VALUE"""),"Alicante")</f>
        <v>Alicante</v>
      </c>
      <c r="H537" s="33" t="str">
        <f ca="1">IFERROR(__xludf.DUMMYFUNCTION("""COMPUTED_VALUE"""),"C202632095841300829")</f>
        <v>C202632095841300829</v>
      </c>
      <c r="I537" s="33" t="str">
        <f ca="1">IFERROR(__xludf.DUMMYFUNCTION("""COMPUTED_VALUE"""),"MANUEL GOMEZ MARQUEZ")</f>
        <v>MANUEL GOMEZ MARQUEZ</v>
      </c>
      <c r="J537" s="57">
        <f ca="1">IFERROR(__xludf.DUMMYFUNCTION("""COMPUTED_VALUE"""),46101)</f>
        <v>46101</v>
      </c>
      <c r="K537" s="33" t="str">
        <f ca="1">IFERROR(__xludf.DUMMYFUNCTION("""COMPUTED_VALUE"""),"Presupuesto")</f>
        <v>Presupuesto</v>
      </c>
      <c r="L537" s="57">
        <f ca="1">IFERROR(__xludf.DUMMYFUNCTION("""COMPUTED_VALUE"""),46112)</f>
        <v>46112</v>
      </c>
      <c r="M537" s="64" t="str">
        <f ca="1">IFERROR(__xludf.DUMMYFUNCTION("""COMPUTED_VALUE"""),"NO")</f>
        <v>NO</v>
      </c>
      <c r="N537" s="56">
        <f ca="1">IFERROR(__xludf.DUMMYFUNCTION("""COMPUTED_VALUE"""),2)</f>
        <v>2</v>
      </c>
      <c r="O537" s="64" t="str">
        <f ca="1">IFERROR(__xludf.DUMMYFUNCTION("""COMPUTED_VALUE"""),"QUIET")</f>
        <v>QUIET</v>
      </c>
      <c r="P537" s="62">
        <f ca="1">IFERROR(__xludf.DUMMYFUNCTION("""COMPUTED_VALUE"""),2718.18)</f>
        <v>2718.18</v>
      </c>
      <c r="Q537" s="33" t="str">
        <f ca="1">IFERROR(__xludf.DUMMYFUNCTION("""COMPUTED_VALUE"""),"Iván Sánchez")</f>
        <v>Iván Sánchez</v>
      </c>
      <c r="R537" s="33" t="str">
        <f ca="1">IFERROR(__xludf.DUMMYFUNCTION("""COMPUTED_VALUE"""),"Dr, Félix Ruíz de la Cuesta Juste")</f>
        <v>Dr, Félix Ruíz de la Cuesta Juste</v>
      </c>
      <c r="S537" s="61" t="str">
        <f ca="1">IFERROR(__xludf.DUMMYFUNCTION("""COMPUTED_VALUE"""),"03 ORL")</f>
        <v>03 ORL</v>
      </c>
      <c r="T537" s="33" t="str">
        <f ca="1">IFERROR(__xludf.DUMMYFUNCTION("""COMPUTED_VALUE"""),"06 ORL")</f>
        <v>06 ORL</v>
      </c>
      <c r="U537" s="62"/>
      <c r="W537" s="62"/>
      <c r="X537" s="62"/>
    </row>
    <row r="538" spans="2:24" ht="16">
      <c r="B538" s="67" t="str">
        <f t="shared" ca="1" si="3"/>
        <v>#N/</v>
      </c>
      <c r="C538" s="64" t="str">
        <f ca="1">IFERROR(__xludf.DUMMYFUNCTION("""COMPUTED_VALUE"""),"#N/A")</f>
        <v>#N/A</v>
      </c>
      <c r="D538" s="33" t="str">
        <f ca="1">IFERROR(__xludf.DUMMYFUNCTION("""COMPUTED_VALUE"""),"PROPIOS")</f>
        <v>PROPIOS</v>
      </c>
      <c r="E538" s="33">
        <f ca="1">IFERROR(__xludf.DUMMYFUNCTION("""COMPUTED_VALUE"""),2026)</f>
        <v>2026</v>
      </c>
      <c r="F538" s="56">
        <f ca="1">IFERROR(__xludf.DUMMYFUNCTION("""COMPUTED_VALUE"""),1)</f>
        <v>1</v>
      </c>
      <c r="G538" s="33" t="str">
        <f ca="1">IFERROR(__xludf.DUMMYFUNCTION("""COMPUTED_VALUE"""),"Alicante")</f>
        <v>Alicante</v>
      </c>
      <c r="H538" s="33" t="str">
        <f ca="1">IFERROR(__xludf.DUMMYFUNCTION("""COMPUTED_VALUE"""),"C202611214398448558")</f>
        <v>C202611214398448558</v>
      </c>
      <c r="I538" s="33" t="str">
        <f ca="1">IFERROR(__xludf.DUMMYFUNCTION("""COMPUTED_VALUE"""),"MARGARITA GEYER DE SOLER")</f>
        <v>MARGARITA GEYER DE SOLER</v>
      </c>
      <c r="J538" s="57">
        <f ca="1">IFERROR(__xludf.DUMMYFUNCTION("""COMPUTED_VALUE"""),46034)</f>
        <v>46034</v>
      </c>
      <c r="K538" s="33" t="str">
        <f ca="1">IFERROR(__xludf.DUMMYFUNCTION("""COMPUTED_VALUE"""),"Devuelve")</f>
        <v>Devuelve</v>
      </c>
      <c r="L538" s="57">
        <f ca="1">IFERROR(__xludf.DUMMYFUNCTION("""COMPUTED_VALUE"""),46036)</f>
        <v>46036</v>
      </c>
      <c r="M538" s="64" t="str">
        <f ca="1">IFERROR(__xludf.DUMMYFUNCTION("""COMPUTED_VALUE"""),"NO")</f>
        <v>NO</v>
      </c>
      <c r="N538" s="56">
        <f ca="1">IFERROR(__xludf.DUMMYFUNCTION("""COMPUTED_VALUE"""),2)</f>
        <v>2</v>
      </c>
      <c r="O538" s="64" t="str">
        <f ca="1">IFERROR(__xludf.DUMMYFUNCTION("""COMPUTED_VALUE"""),"TRIAL")</f>
        <v>TRIAL</v>
      </c>
      <c r="P538" s="62">
        <f ca="1">IFERROR(__xludf.DUMMYFUNCTION("""COMPUTED_VALUE"""),3631.82)</f>
        <v>3631.82</v>
      </c>
      <c r="Q538" s="33" t="str">
        <f ca="1">IFERROR(__xludf.DUMMYFUNCTION("""COMPUTED_VALUE"""),"Iván Sánchez")</f>
        <v>Iván Sánchez</v>
      </c>
      <c r="R538" s="33" t="str">
        <f ca="1">IFERROR(__xludf.DUMMYFUNCTION("""COMPUTED_VALUE"""),"Dr, Carlos Velásquez Fermín")</f>
        <v>Dr, Carlos Velásquez Fermín</v>
      </c>
      <c r="S538" s="61" t="str">
        <f ca="1">IFERROR(__xludf.DUMMYFUNCTION("""COMPUTED_VALUE"""),"03 ORL")</f>
        <v>03 ORL</v>
      </c>
      <c r="T538" s="33" t="str">
        <f ca="1">IFERROR(__xludf.DUMMYFUNCTION("""COMPUTED_VALUE"""),"06 ORL")</f>
        <v>06 ORL</v>
      </c>
      <c r="U538" s="62"/>
      <c r="W538" s="62"/>
      <c r="X538" s="62"/>
    </row>
    <row r="539" spans="2:24" ht="16">
      <c r="B539" s="67" t="str">
        <f t="shared" ca="1" si="3"/>
        <v>#N/</v>
      </c>
      <c r="C539" s="64" t="str">
        <f ca="1">IFERROR(__xludf.DUMMYFUNCTION("""COMPUTED_VALUE"""),"#N/A")</f>
        <v>#N/A</v>
      </c>
      <c r="D539" s="33" t="str">
        <f ca="1">IFERROR(__xludf.DUMMYFUNCTION("""COMPUTED_VALUE"""),"PROPIOS")</f>
        <v>PROPIOS</v>
      </c>
      <c r="E539" s="33">
        <f ca="1">IFERROR(__xludf.DUMMYFUNCTION("""COMPUTED_VALUE"""),2026)</f>
        <v>2026</v>
      </c>
      <c r="F539" s="56">
        <f ca="1">IFERROR(__xludf.DUMMYFUNCTION("""COMPUTED_VALUE"""),1)</f>
        <v>1</v>
      </c>
      <c r="G539" s="33" t="str">
        <f ca="1">IFERROR(__xludf.DUMMYFUNCTION("""COMPUTED_VALUE"""),"Alicante")</f>
        <v>Alicante</v>
      </c>
      <c r="H539" s="33" t="str">
        <f ca="1">IFERROR(__xludf.DUMMYFUNCTION("""COMPUTED_VALUE"""),"C202611610314962662")</f>
        <v>C202611610314962662</v>
      </c>
      <c r="I539" s="33" t="str">
        <f ca="1">IFERROR(__xludf.DUMMYFUNCTION("""COMPUTED_VALUE"""),"MARIA DEL CARMEN AGUD MUÑOZ-CABALLERO")</f>
        <v>MARIA DEL CARMEN AGUD MUÑOZ-CABALLERO</v>
      </c>
      <c r="J539" s="57">
        <f ca="1">IFERROR(__xludf.DUMMYFUNCTION("""COMPUTED_VALUE"""),46038)</f>
        <v>46038</v>
      </c>
      <c r="K539" s="33" t="str">
        <f ca="1">IFERROR(__xludf.DUMMYFUNCTION("""COMPUTED_VALUE"""),"Presupuesto")</f>
        <v>Presupuesto</v>
      </c>
      <c r="L539" s="57">
        <f ca="1">IFERROR(__xludf.DUMMYFUNCTION("""COMPUTED_VALUE"""),46044)</f>
        <v>46044</v>
      </c>
      <c r="M539" s="64" t="str">
        <f ca="1">IFERROR(__xludf.DUMMYFUNCTION("""COMPUTED_VALUE"""),"NO")</f>
        <v>NO</v>
      </c>
      <c r="N539" s="56">
        <f ca="1">IFERROR(__xludf.DUMMYFUNCTION("""COMPUTED_VALUE"""),2)</f>
        <v>2</v>
      </c>
      <c r="O539" s="64" t="str">
        <f ca="1">IFERROR(__xludf.DUMMYFUNCTION("""COMPUTED_VALUE"""),"QUIET")</f>
        <v>QUIET</v>
      </c>
      <c r="P539" s="62">
        <f ca="1">IFERROR(__xludf.DUMMYFUNCTION("""COMPUTED_VALUE"""),2718.18)</f>
        <v>2718.18</v>
      </c>
      <c r="Q539" s="33" t="str">
        <f ca="1">IFERROR(__xludf.DUMMYFUNCTION("""COMPUTED_VALUE"""),"Iván Sánchez")</f>
        <v>Iván Sánchez</v>
      </c>
      <c r="R539" s="33" t="str">
        <f ca="1">IFERROR(__xludf.DUMMYFUNCTION("""COMPUTED_VALUE"""),"Dra, Alicia Mateo Espinosa")</f>
        <v>Dra, Alicia Mateo Espinosa</v>
      </c>
      <c r="S539" s="61" t="str">
        <f ca="1">IFERROR(__xludf.DUMMYFUNCTION("""COMPUTED_VALUE"""),"03 ORL")</f>
        <v>03 ORL</v>
      </c>
      <c r="T539" s="33" t="str">
        <f ca="1">IFERROR(__xludf.DUMMYFUNCTION("""COMPUTED_VALUE"""),"06 ORL")</f>
        <v>06 ORL</v>
      </c>
      <c r="U539" s="62"/>
      <c r="W539" s="62"/>
      <c r="X539" s="62"/>
    </row>
    <row r="540" spans="2:24" ht="16">
      <c r="B540" s="67" t="str">
        <f t="shared" ca="1" si="3"/>
        <v>#N/</v>
      </c>
      <c r="C540" s="64" t="str">
        <f ca="1">IFERROR(__xludf.DUMMYFUNCTION("""COMPUTED_VALUE"""),"#N/A")</f>
        <v>#N/A</v>
      </c>
      <c r="D540" s="33" t="str">
        <f ca="1">IFERROR(__xludf.DUMMYFUNCTION("""COMPUTED_VALUE"""),"PROPIOS")</f>
        <v>PROPIOS</v>
      </c>
      <c r="E540" s="33">
        <f ca="1">IFERROR(__xludf.DUMMYFUNCTION("""COMPUTED_VALUE"""),2026)</f>
        <v>2026</v>
      </c>
      <c r="F540" s="56">
        <f ca="1">IFERROR(__xludf.DUMMYFUNCTION("""COMPUTED_VALUE"""),3)</f>
        <v>3</v>
      </c>
      <c r="G540" s="33" t="str">
        <f ca="1">IFERROR(__xludf.DUMMYFUNCTION("""COMPUTED_VALUE"""),"Alicante")</f>
        <v>Alicante</v>
      </c>
      <c r="H540" s="33" t="str">
        <f ca="1">IFERROR(__xludf.DUMMYFUNCTION("""COMPUTED_VALUE"""),"ALC-3121")</f>
        <v>ALC-3121</v>
      </c>
      <c r="I540" s="33" t="str">
        <f ca="1">IFERROR(__xludf.DUMMYFUNCTION("""COMPUTED_VALUE"""),"MARIA DEL MAR GARCIA MAESTRE")</f>
        <v>MARIA DEL MAR GARCIA MAESTRE</v>
      </c>
      <c r="J540" s="57">
        <f ca="1">IFERROR(__xludf.DUMMYFUNCTION("""COMPUTED_VALUE"""),44823)</f>
        <v>44823</v>
      </c>
      <c r="K540" s="33" t="str">
        <f ca="1">IFERROR(__xludf.DUMMYFUNCTION("""COMPUTED_VALUE"""),"Devuelve")</f>
        <v>Devuelve</v>
      </c>
      <c r="L540" s="57">
        <f ca="1">IFERROR(__xludf.DUMMYFUNCTION("""COMPUTED_VALUE"""),46098)</f>
        <v>46098</v>
      </c>
      <c r="M540" s="64" t="str">
        <f ca="1">IFERROR(__xludf.DUMMYFUNCTION("""COMPUTED_VALUE"""),"NO")</f>
        <v>NO</v>
      </c>
      <c r="N540" s="56">
        <f ca="1">IFERROR(__xludf.DUMMYFUNCTION("""COMPUTED_VALUE"""),2)</f>
        <v>2</v>
      </c>
      <c r="O540" s="64" t="str">
        <f ca="1">IFERROR(__xludf.DUMMYFUNCTION("""COMPUTED_VALUE"""),"QUIET")</f>
        <v>QUIET</v>
      </c>
      <c r="P540" s="62">
        <f ca="1">IFERROR(__xludf.DUMMYFUNCTION("""COMPUTED_VALUE"""),2718.18)</f>
        <v>2718.18</v>
      </c>
      <c r="Q540" s="33" t="str">
        <f ca="1">IFERROR(__xludf.DUMMYFUNCTION("""COMPUTED_VALUE"""),"Iván Sánchez")</f>
        <v>Iván Sánchez</v>
      </c>
      <c r="R540" s="33" t="str">
        <f ca="1">IFERROR(__xludf.DUMMYFUNCTION("""COMPUTED_VALUE"""),"Dra, Maria Rosario Ferrandiz García")</f>
        <v>Dra, Maria Rosario Ferrandiz García</v>
      </c>
      <c r="S540" s="61" t="str">
        <f ca="1">IFERROR(__xludf.DUMMYFUNCTION("""COMPUTED_VALUE"""),"03 ORL")</f>
        <v>03 ORL</v>
      </c>
      <c r="T540" s="33" t="str">
        <f ca="1">IFERROR(__xludf.DUMMYFUNCTION("""COMPUTED_VALUE"""),"06 ORL")</f>
        <v>06 ORL</v>
      </c>
      <c r="U540" s="62"/>
      <c r="W540" s="62"/>
      <c r="X540" s="62"/>
    </row>
    <row r="541" spans="2:24" ht="16">
      <c r="B541" s="67" t="str">
        <f t="shared" ca="1" si="3"/>
        <v>#N/</v>
      </c>
      <c r="C541" s="64" t="str">
        <f ca="1">IFERROR(__xludf.DUMMYFUNCTION("""COMPUTED_VALUE"""),"#N/A")</f>
        <v>#N/A</v>
      </c>
      <c r="D541" s="33" t="str">
        <f ca="1">IFERROR(__xludf.DUMMYFUNCTION("""COMPUTED_VALUE"""),"PROPIOS")</f>
        <v>PROPIOS</v>
      </c>
      <c r="E541" s="33">
        <f ca="1">IFERROR(__xludf.DUMMYFUNCTION("""COMPUTED_VALUE"""),2026)</f>
        <v>2026</v>
      </c>
      <c r="F541" s="56">
        <f ca="1">IFERROR(__xludf.DUMMYFUNCTION("""COMPUTED_VALUE"""),3)</f>
        <v>3</v>
      </c>
      <c r="G541" s="33" t="str">
        <f ca="1">IFERROR(__xludf.DUMMYFUNCTION("""COMPUTED_VALUE"""),"Alicante")</f>
        <v>Alicante</v>
      </c>
      <c r="H541" s="33" t="str">
        <f ca="1">IFERROR(__xludf.DUMMYFUNCTION("""COMPUTED_VALUE"""),"C202635152717320758")</f>
        <v>C202635152717320758</v>
      </c>
      <c r="I541" s="33" t="str">
        <f ca="1">IFERROR(__xludf.DUMMYFUNCTION("""COMPUTED_VALUE"""),"MARIANO GRAU GOMEZ")</f>
        <v>MARIANO GRAU GOMEZ</v>
      </c>
      <c r="J541" s="57">
        <f ca="1">IFERROR(__xludf.DUMMYFUNCTION("""COMPUTED_VALUE"""),46086)</f>
        <v>46086</v>
      </c>
      <c r="K541" s="33" t="str">
        <f ca="1">IFERROR(__xludf.DUMMYFUNCTION("""COMPUTED_VALUE"""),"Prueba")</f>
        <v>Prueba</v>
      </c>
      <c r="L541" s="57">
        <f ca="1">IFERROR(__xludf.DUMMYFUNCTION("""COMPUTED_VALUE"""),46105)</f>
        <v>46105</v>
      </c>
      <c r="M541" s="64" t="str">
        <f ca="1">IFERROR(__xludf.DUMMYFUNCTION("""COMPUTED_VALUE"""),"NO")</f>
        <v>NO</v>
      </c>
      <c r="N541" s="56">
        <f ca="1">IFERROR(__xludf.DUMMYFUNCTION("""COMPUTED_VALUE"""),2)</f>
        <v>2</v>
      </c>
      <c r="O541" s="64" t="str">
        <f ca="1">IFERROR(__xludf.DUMMYFUNCTION("""COMPUTED_VALUE"""),"TRIAL")</f>
        <v>TRIAL</v>
      </c>
      <c r="P541" s="62">
        <f ca="1">IFERROR(__xludf.DUMMYFUNCTION("""COMPUTED_VALUE"""),3631.82)</f>
        <v>3631.82</v>
      </c>
      <c r="Q541" s="33" t="str">
        <f ca="1">IFERROR(__xludf.DUMMYFUNCTION("""COMPUTED_VALUE"""),"Iván Sánchez")</f>
        <v>Iván Sánchez</v>
      </c>
      <c r="R541" s="33" t="str">
        <f ca="1">IFERROR(__xludf.DUMMYFUNCTION("""COMPUTED_VALUE"""),"Dr, Juan Ramón Paredes Osado")</f>
        <v>Dr, Juan Ramón Paredes Osado</v>
      </c>
      <c r="S541" s="61" t="str">
        <f ca="1">IFERROR(__xludf.DUMMYFUNCTION("""COMPUTED_VALUE"""),"03 ORL")</f>
        <v>03 ORL</v>
      </c>
      <c r="T541" s="33" t="str">
        <f ca="1">IFERROR(__xludf.DUMMYFUNCTION("""COMPUTED_VALUE"""),"06 ORL")</f>
        <v>06 ORL</v>
      </c>
      <c r="U541" s="62"/>
      <c r="W541" s="62"/>
      <c r="X541" s="62"/>
    </row>
    <row r="542" spans="2:24" ht="16">
      <c r="B542" s="67" t="str">
        <f t="shared" ca="1" si="3"/>
        <v>#N/</v>
      </c>
      <c r="C542" s="64" t="str">
        <f ca="1">IFERROR(__xludf.DUMMYFUNCTION("""COMPUTED_VALUE"""),"#N/A")</f>
        <v>#N/A</v>
      </c>
      <c r="D542" s="33" t="str">
        <f ca="1">IFERROR(__xludf.DUMMYFUNCTION("""COMPUTED_VALUE"""),"PROPIOS")</f>
        <v>PROPIOS</v>
      </c>
      <c r="E542" s="33">
        <f ca="1">IFERROR(__xludf.DUMMYFUNCTION("""COMPUTED_VALUE"""),2026)</f>
        <v>2026</v>
      </c>
      <c r="F542" s="56">
        <f ca="1">IFERROR(__xludf.DUMMYFUNCTION("""COMPUTED_VALUE"""),4)</f>
        <v>4</v>
      </c>
      <c r="G542" s="33" t="str">
        <f ca="1">IFERROR(__xludf.DUMMYFUNCTION("""COMPUTED_VALUE"""),"Alicante")</f>
        <v>Alicante</v>
      </c>
      <c r="H542" s="33" t="str">
        <f ca="1">IFERROR(__xludf.DUMMYFUNCTION("""COMPUTED_VALUE"""),"C202631715844579063")</f>
        <v>C202631715844579063</v>
      </c>
      <c r="I542" s="33" t="str">
        <f ca="1">IFERROR(__xludf.DUMMYFUNCTION("""COMPUTED_VALUE"""),"MIRIAM ALAMO AREVALO")</f>
        <v>MIRIAM ALAMO AREVALO</v>
      </c>
      <c r="J542" s="57">
        <f ca="1">IFERROR(__xludf.DUMMYFUNCTION("""COMPUTED_VALUE"""),46098)</f>
        <v>46098</v>
      </c>
      <c r="K542" s="33" t="str">
        <f ca="1">IFERROR(__xludf.DUMMYFUNCTION("""COMPUTED_VALUE"""),"Prueba")</f>
        <v>Prueba</v>
      </c>
      <c r="L542" s="57">
        <f ca="1">IFERROR(__xludf.DUMMYFUNCTION("""COMPUTED_VALUE"""),46113)</f>
        <v>46113</v>
      </c>
      <c r="M542" s="64" t="str">
        <f ca="1">IFERROR(__xludf.DUMMYFUNCTION("""COMPUTED_VALUE"""),"NO")</f>
        <v>NO</v>
      </c>
      <c r="N542" s="56">
        <f ca="1">IFERROR(__xludf.DUMMYFUNCTION("""COMPUTED_VALUE"""),2)</f>
        <v>2</v>
      </c>
      <c r="O542" s="64" t="str">
        <f ca="1">IFERROR(__xludf.DUMMYFUNCTION("""COMPUTED_VALUE"""),"QUIET")</f>
        <v>QUIET</v>
      </c>
      <c r="P542" s="62">
        <f ca="1">IFERROR(__xludf.DUMMYFUNCTION("""COMPUTED_VALUE"""),2718.18)</f>
        <v>2718.18</v>
      </c>
      <c r="Q542" s="33" t="str">
        <f ca="1">IFERROR(__xludf.DUMMYFUNCTION("""COMPUTED_VALUE"""),"Iván Sánchez")</f>
        <v>Iván Sánchez</v>
      </c>
      <c r="R542" s="33" t="str">
        <f ca="1">IFERROR(__xludf.DUMMYFUNCTION("""COMPUTED_VALUE"""),"Dr, Félix Ruíz de la Cuesta Juste")</f>
        <v>Dr, Félix Ruíz de la Cuesta Juste</v>
      </c>
      <c r="S542" s="61" t="str">
        <f ca="1">IFERROR(__xludf.DUMMYFUNCTION("""COMPUTED_VALUE"""),"03 ORL")</f>
        <v>03 ORL</v>
      </c>
      <c r="T542" s="33" t="str">
        <f ca="1">IFERROR(__xludf.DUMMYFUNCTION("""COMPUTED_VALUE"""),"06 ORL")</f>
        <v>06 ORL</v>
      </c>
      <c r="U542" s="62"/>
      <c r="W542" s="62"/>
      <c r="X542" s="62"/>
    </row>
    <row r="543" spans="2:24" ht="16">
      <c r="B543" s="67" t="str">
        <f t="shared" ca="1" si="3"/>
        <v>#N/</v>
      </c>
      <c r="C543" s="64" t="str">
        <f ca="1">IFERROR(__xludf.DUMMYFUNCTION("""COMPUTED_VALUE"""),"#N/A")</f>
        <v>#N/A</v>
      </c>
      <c r="D543" s="33" t="str">
        <f ca="1">IFERROR(__xludf.DUMMYFUNCTION("""COMPUTED_VALUE"""),"PROPIOS")</f>
        <v>PROPIOS</v>
      </c>
      <c r="E543" s="33">
        <f ca="1">IFERROR(__xludf.DUMMYFUNCTION("""COMPUTED_VALUE"""),2026)</f>
        <v>2026</v>
      </c>
      <c r="F543" s="56">
        <f ca="1">IFERROR(__xludf.DUMMYFUNCTION("""COMPUTED_VALUE"""),2)</f>
        <v>2</v>
      </c>
      <c r="G543" s="33" t="str">
        <f ca="1">IFERROR(__xludf.DUMMYFUNCTION("""COMPUTED_VALUE"""),"Alicante")</f>
        <v>Alicante</v>
      </c>
      <c r="H543" s="33" t="str">
        <f ca="1">IFERROR(__xludf.DUMMYFUNCTION("""COMPUTED_VALUE"""),"ALC-3890")</f>
        <v>ALC-3890</v>
      </c>
      <c r="I543" s="33" t="str">
        <f ca="1">IFERROR(__xludf.DUMMYFUNCTION("""COMPUTED_VALUE"""),"NURIA SEGURA MONTIEL")</f>
        <v>NURIA SEGURA MONTIEL</v>
      </c>
      <c r="J543" s="57">
        <f ca="1">IFERROR(__xludf.DUMMYFUNCTION("""COMPUTED_VALUE"""),45387)</f>
        <v>45387</v>
      </c>
      <c r="K543" s="33" t="str">
        <f ca="1">IFERROR(__xludf.DUMMYFUNCTION("""COMPUTED_VALUE"""),"Devuelve")</f>
        <v>Devuelve</v>
      </c>
      <c r="L543" s="57">
        <f ca="1">IFERROR(__xludf.DUMMYFUNCTION("""COMPUTED_VALUE"""),46070)</f>
        <v>46070</v>
      </c>
      <c r="M543" s="64" t="str">
        <f ca="1">IFERROR(__xludf.DUMMYFUNCTION("""COMPUTED_VALUE"""),"NO")</f>
        <v>NO</v>
      </c>
      <c r="N543" s="56">
        <f ca="1">IFERROR(__xludf.DUMMYFUNCTION("""COMPUTED_VALUE"""),1)</f>
        <v>1</v>
      </c>
      <c r="O543" s="64" t="str">
        <f ca="1">IFERROR(__xludf.DUMMYFUNCTION("""COMPUTED_VALUE"""),"CONFORT")</f>
        <v>CONFORT</v>
      </c>
      <c r="P543" s="62">
        <f ca="1">IFERROR(__xludf.DUMMYFUNCTION("""COMPUTED_VALUE"""),1977.27)</f>
        <v>1977.27</v>
      </c>
      <c r="Q543" s="33" t="str">
        <f ca="1">IFERROR(__xludf.DUMMYFUNCTION("""COMPUTED_VALUE"""),"Iván Sánchez")</f>
        <v>Iván Sánchez</v>
      </c>
      <c r="R543" s="33" t="str">
        <f ca="1">IFERROR(__xludf.DUMMYFUNCTION("""COMPUTED_VALUE"""),"Dra, Isabel Menaches Guardiola")</f>
        <v>Dra, Isabel Menaches Guardiola</v>
      </c>
      <c r="S543" s="61" t="str">
        <f ca="1">IFERROR(__xludf.DUMMYFUNCTION("""COMPUTED_VALUE"""),"03 ORL")</f>
        <v>03 ORL</v>
      </c>
      <c r="T543" s="33" t="str">
        <f ca="1">IFERROR(__xludf.DUMMYFUNCTION("""COMPUTED_VALUE"""),"06 ORL")</f>
        <v>06 ORL</v>
      </c>
      <c r="U543" s="62"/>
      <c r="W543" s="62"/>
      <c r="X543" s="62"/>
    </row>
    <row r="544" spans="2:24" ht="16">
      <c r="B544" s="67" t="str">
        <f t="shared" ca="1" si="3"/>
        <v>#N/</v>
      </c>
      <c r="C544" s="64" t="str">
        <f ca="1">IFERROR(__xludf.DUMMYFUNCTION("""COMPUTED_VALUE"""),"#N/A")</f>
        <v>#N/A</v>
      </c>
      <c r="D544" s="33" t="str">
        <f ca="1">IFERROR(__xludf.DUMMYFUNCTION("""COMPUTED_VALUE"""),"PROPIOS")</f>
        <v>PROPIOS</v>
      </c>
      <c r="E544" s="33">
        <f ca="1">IFERROR(__xludf.DUMMYFUNCTION("""COMPUTED_VALUE"""),2026)</f>
        <v>2026</v>
      </c>
      <c r="F544" s="56">
        <f ca="1">IFERROR(__xludf.DUMMYFUNCTION("""COMPUTED_VALUE"""),4)</f>
        <v>4</v>
      </c>
      <c r="G544" s="33" t="str">
        <f ca="1">IFERROR(__xludf.DUMMYFUNCTION("""COMPUTED_VALUE"""),"Alicante")</f>
        <v>Alicante</v>
      </c>
      <c r="H544" s="33" t="str">
        <f ca="1">IFERROR(__xludf.DUMMYFUNCTION("""COMPUTED_VALUE"""),"C20263992637638841")</f>
        <v>C20263992637638841</v>
      </c>
      <c r="I544" s="33" t="str">
        <f ca="1">IFERROR(__xludf.DUMMYFUNCTION("""COMPUTED_VALUE"""),"PABLO MORENO MORENO")</f>
        <v>PABLO MORENO MORENO</v>
      </c>
      <c r="J544" s="57">
        <f ca="1">IFERROR(__xludf.DUMMYFUNCTION("""COMPUTED_VALUE"""),46090)</f>
        <v>46090</v>
      </c>
      <c r="K544" s="33" t="str">
        <f ca="1">IFERROR(__xludf.DUMMYFUNCTION("""COMPUTED_VALUE"""),"Prueba")</f>
        <v>Prueba</v>
      </c>
      <c r="L544" s="57">
        <f ca="1">IFERROR(__xludf.DUMMYFUNCTION("""COMPUTED_VALUE"""),46113)</f>
        <v>46113</v>
      </c>
      <c r="M544" s="64" t="str">
        <f ca="1">IFERROR(__xludf.DUMMYFUNCTION("""COMPUTED_VALUE"""),"NO")</f>
        <v>NO</v>
      </c>
      <c r="N544" s="56">
        <f ca="1">IFERROR(__xludf.DUMMYFUNCTION("""COMPUTED_VALUE"""),2)</f>
        <v>2</v>
      </c>
      <c r="O544" s="64" t="str">
        <f ca="1">IFERROR(__xludf.DUMMYFUNCTION("""COMPUTED_VALUE"""),"QUIET")</f>
        <v>QUIET</v>
      </c>
      <c r="P544" s="62">
        <f ca="1">IFERROR(__xludf.DUMMYFUNCTION("""COMPUTED_VALUE"""),3302.98)</f>
        <v>3302.98</v>
      </c>
      <c r="Q544" s="33" t="str">
        <f ca="1">IFERROR(__xludf.DUMMYFUNCTION("""COMPUTED_VALUE"""),"Iván Sánchez")</f>
        <v>Iván Sánchez</v>
      </c>
      <c r="R544" s="33" t="str">
        <f ca="1">IFERROR(__xludf.DUMMYFUNCTION("""COMPUTED_VALUE"""),"Dr, Carlos Velásquez Fermín")</f>
        <v>Dr, Carlos Velásquez Fermín</v>
      </c>
      <c r="S544" s="61" t="str">
        <f ca="1">IFERROR(__xludf.DUMMYFUNCTION("""COMPUTED_VALUE"""),"03 ORL")</f>
        <v>03 ORL</v>
      </c>
      <c r="T544" s="33" t="str">
        <f ca="1">IFERROR(__xludf.DUMMYFUNCTION("""COMPUTED_VALUE"""),"06 ORL")</f>
        <v>06 ORL</v>
      </c>
      <c r="U544" s="62"/>
      <c r="W544" s="62"/>
      <c r="X544" s="62"/>
    </row>
    <row r="545" spans="2:24" ht="16">
      <c r="B545" s="67" t="str">
        <f t="shared" ca="1" si="3"/>
        <v>#N/</v>
      </c>
      <c r="C545" s="64" t="str">
        <f ca="1">IFERROR(__xludf.DUMMYFUNCTION("""COMPUTED_VALUE"""),"#N/A")</f>
        <v>#N/A</v>
      </c>
      <c r="D545" s="33" t="str">
        <f ca="1">IFERROR(__xludf.DUMMYFUNCTION("""COMPUTED_VALUE"""),"PROPIOS")</f>
        <v>PROPIOS</v>
      </c>
      <c r="E545" s="33">
        <f ca="1">IFERROR(__xludf.DUMMYFUNCTION("""COMPUTED_VALUE"""),2026)</f>
        <v>2026</v>
      </c>
      <c r="F545" s="56">
        <f ca="1">IFERROR(__xludf.DUMMYFUNCTION("""COMPUTED_VALUE"""),4)</f>
        <v>4</v>
      </c>
      <c r="G545" s="33" t="str">
        <f ca="1">IFERROR(__xludf.DUMMYFUNCTION("""COMPUTED_VALUE"""),"Alicante")</f>
        <v>Alicante</v>
      </c>
      <c r="H545" s="33" t="str">
        <f ca="1">IFERROR(__xludf.DUMMYFUNCTION("""COMPUTED_VALUE"""),"C202632517125508084")</f>
        <v>C202632517125508084</v>
      </c>
      <c r="I545" s="33" t="str">
        <f ca="1">IFERROR(__xludf.DUMMYFUNCTION("""COMPUTED_VALUE"""),"ROMUALDO SEVA ROMAN")</f>
        <v>ROMUALDO SEVA ROMAN</v>
      </c>
      <c r="J545" s="57">
        <f ca="1">IFERROR(__xludf.DUMMYFUNCTION("""COMPUTED_VALUE"""),46106)</f>
        <v>46106</v>
      </c>
      <c r="K545" s="33" t="str">
        <f ca="1">IFERROR(__xludf.DUMMYFUNCTION("""COMPUTED_VALUE"""),"Pedido")</f>
        <v>Pedido</v>
      </c>
      <c r="L545" s="57">
        <f ca="1">IFERROR(__xludf.DUMMYFUNCTION("""COMPUTED_VALUE"""),46113)</f>
        <v>46113</v>
      </c>
      <c r="M545" s="64" t="str">
        <f ca="1">IFERROR(__xludf.DUMMYFUNCTION("""COMPUTED_VALUE"""),"NO")</f>
        <v>NO</v>
      </c>
      <c r="N545" s="56">
        <f ca="1">IFERROR(__xludf.DUMMYFUNCTION("""COMPUTED_VALUE"""),2)</f>
        <v>2</v>
      </c>
      <c r="O545" s="64" t="str">
        <f ca="1">IFERROR(__xludf.DUMMYFUNCTION("""COMPUTED_VALUE"""),"TRIAL")</f>
        <v>TRIAL</v>
      </c>
      <c r="P545" s="62">
        <f ca="1">IFERROR(__xludf.DUMMYFUNCTION("""COMPUTED_VALUE"""),4136.36)</f>
        <v>4136.3599999999997</v>
      </c>
      <c r="Q545" s="33" t="str">
        <f ca="1">IFERROR(__xludf.DUMMYFUNCTION("""COMPUTED_VALUE"""),"Iván Sánchez")</f>
        <v>Iván Sánchez</v>
      </c>
      <c r="R545" s="33" t="str">
        <f ca="1">IFERROR(__xludf.DUMMYFUNCTION("""COMPUTED_VALUE"""),"Dra, Ana G Jover Espla")</f>
        <v>Dra, Ana G Jover Espla</v>
      </c>
      <c r="S545" s="61" t="str">
        <f ca="1">IFERROR(__xludf.DUMMYFUNCTION("""COMPUTED_VALUE"""),"03 ORL")</f>
        <v>03 ORL</v>
      </c>
      <c r="T545" s="33" t="str">
        <f ca="1">IFERROR(__xludf.DUMMYFUNCTION("""COMPUTED_VALUE"""),"06 ORL")</f>
        <v>06 ORL</v>
      </c>
      <c r="U545" s="62"/>
      <c r="W545" s="62"/>
      <c r="X545" s="62"/>
    </row>
    <row r="546" spans="2:24" ht="16">
      <c r="B546" s="67" t="str">
        <f t="shared" ca="1" si="3"/>
        <v>#N/</v>
      </c>
      <c r="C546" s="64" t="str">
        <f ca="1">IFERROR(__xludf.DUMMYFUNCTION("""COMPUTED_VALUE"""),"#N/A")</f>
        <v>#N/A</v>
      </c>
      <c r="D546" s="33" t="str">
        <f ca="1">IFERROR(__xludf.DUMMYFUNCTION("""COMPUTED_VALUE"""),"PROPIOS")</f>
        <v>PROPIOS</v>
      </c>
      <c r="E546" s="33">
        <f ca="1">IFERROR(__xludf.DUMMYFUNCTION("""COMPUTED_VALUE"""),2026)</f>
        <v>2026</v>
      </c>
      <c r="F546" s="56">
        <f ca="1">IFERROR(__xludf.DUMMYFUNCTION("""COMPUTED_VALUE"""),4)</f>
        <v>4</v>
      </c>
      <c r="G546" s="33" t="str">
        <f ca="1">IFERROR(__xludf.DUMMYFUNCTION("""COMPUTED_VALUE"""),"Alicante")</f>
        <v>Alicante</v>
      </c>
      <c r="H546" s="33" t="str">
        <f ca="1">IFERROR(__xludf.DUMMYFUNCTION("""COMPUTED_VALUE"""),"C20263611626885630")</f>
        <v>C20263611626885630</v>
      </c>
      <c r="I546" s="33" t="str">
        <f ca="1">IFERROR(__xludf.DUMMYFUNCTION("""COMPUTED_VALUE"""),"ROSARIO OROZCO BELTRAN")</f>
        <v>ROSARIO OROZCO BELTRAN</v>
      </c>
      <c r="J546" s="57">
        <f ca="1">IFERROR(__xludf.DUMMYFUNCTION("""COMPUTED_VALUE"""),46087)</f>
        <v>46087</v>
      </c>
      <c r="K546" s="33" t="str">
        <f ca="1">IFERROR(__xludf.DUMMYFUNCTION("""COMPUTED_VALUE"""),"Prueba")</f>
        <v>Prueba</v>
      </c>
      <c r="L546" s="57">
        <f ca="1">IFERROR(__xludf.DUMMYFUNCTION("""COMPUTED_VALUE"""),46113)</f>
        <v>46113</v>
      </c>
      <c r="M546" s="64" t="str">
        <f ca="1">IFERROR(__xludf.DUMMYFUNCTION("""COMPUTED_VALUE"""),"NO")</f>
        <v>NO</v>
      </c>
      <c r="N546" s="56">
        <f ca="1">IFERROR(__xludf.DUMMYFUNCTION("""COMPUTED_VALUE"""),2)</f>
        <v>2</v>
      </c>
      <c r="O546" s="64" t="str">
        <f ca="1">IFERROR(__xludf.DUMMYFUNCTION("""COMPUTED_VALUE"""),"TRIAL")</f>
        <v>TRIAL</v>
      </c>
      <c r="P546" s="62">
        <f ca="1">IFERROR(__xludf.DUMMYFUNCTION("""COMPUTED_VALUE"""),3631.82)</f>
        <v>3631.82</v>
      </c>
      <c r="Q546" s="33" t="str">
        <f ca="1">IFERROR(__xludf.DUMMYFUNCTION("""COMPUTED_VALUE"""),"Iván Sánchez")</f>
        <v>Iván Sánchez</v>
      </c>
      <c r="R546" s="33" t="str">
        <f ca="1">IFERROR(__xludf.DUMMYFUNCTION("""COMPUTED_VALUE"""),"Dr, Guillermo Severá Ferrándiz")</f>
        <v>Dr, Guillermo Severá Ferrándiz</v>
      </c>
      <c r="S546" s="61" t="str">
        <f ca="1">IFERROR(__xludf.DUMMYFUNCTION("""COMPUTED_VALUE"""),"03 ORL")</f>
        <v>03 ORL</v>
      </c>
      <c r="T546" s="33" t="str">
        <f ca="1">IFERROR(__xludf.DUMMYFUNCTION("""COMPUTED_VALUE"""),"06 ORL")</f>
        <v>06 ORL</v>
      </c>
      <c r="U546" s="62"/>
      <c r="W546" s="62"/>
      <c r="X546" s="62"/>
    </row>
    <row r="547" spans="2:24" ht="16">
      <c r="B547" s="67" t="str">
        <f t="shared" ca="1" si="3"/>
        <v>#N/</v>
      </c>
      <c r="C547" s="64" t="str">
        <f ca="1">IFERROR(__xludf.DUMMYFUNCTION("""COMPUTED_VALUE"""),"#N/A")</f>
        <v>#N/A</v>
      </c>
      <c r="D547" s="33" t="str">
        <f ca="1">IFERROR(__xludf.DUMMYFUNCTION("""COMPUTED_VALUE"""),"PROPIOS")</f>
        <v>PROPIOS</v>
      </c>
      <c r="E547" s="33">
        <f ca="1">IFERROR(__xludf.DUMMYFUNCTION("""COMPUTED_VALUE"""),2026)</f>
        <v>2026</v>
      </c>
      <c r="F547" s="56">
        <f ca="1">IFERROR(__xludf.DUMMYFUNCTION("""COMPUTED_VALUE"""),2)</f>
        <v>2</v>
      </c>
      <c r="G547" s="33" t="str">
        <f ca="1">IFERROR(__xludf.DUMMYFUNCTION("""COMPUTED_VALUE"""),"Alicante")</f>
        <v>Alicante</v>
      </c>
      <c r="H547" s="33" t="str">
        <f ca="1">IFERROR(__xludf.DUMMYFUNCTION("""COMPUTED_VALUE"""),"C202612311284804268")</f>
        <v>C202612311284804268</v>
      </c>
      <c r="I547" s="33" t="str">
        <f ca="1">IFERROR(__xludf.DUMMYFUNCTION("""COMPUTED_VALUE"""),"RUBEN NESTOR TOYOS DEAK")</f>
        <v>RUBEN NESTOR TOYOS DEAK</v>
      </c>
      <c r="J547" s="57">
        <f ca="1">IFERROR(__xludf.DUMMYFUNCTION("""COMPUTED_VALUE"""),46045)</f>
        <v>46045</v>
      </c>
      <c r="K547" s="33" t="str">
        <f ca="1">IFERROR(__xludf.DUMMYFUNCTION("""COMPUTED_VALUE"""),"Devuelve")</f>
        <v>Devuelve</v>
      </c>
      <c r="L547" s="57">
        <f ca="1">IFERROR(__xludf.DUMMYFUNCTION("""COMPUTED_VALUE"""),46055)</f>
        <v>46055</v>
      </c>
      <c r="M547" s="64" t="str">
        <f ca="1">IFERROR(__xludf.DUMMYFUNCTION("""COMPUTED_VALUE"""),"NO")</f>
        <v>NO</v>
      </c>
      <c r="N547" s="56">
        <f ca="1">IFERROR(__xludf.DUMMYFUNCTION("""COMPUTED_VALUE"""),2)</f>
        <v>2</v>
      </c>
      <c r="O547" s="64" t="str">
        <f ca="1">IFERROR(__xludf.DUMMYFUNCTION("""COMPUTED_VALUE"""),"TRIAL")</f>
        <v>TRIAL</v>
      </c>
      <c r="P547" s="62">
        <f ca="1">IFERROR(__xludf.DUMMYFUNCTION("""COMPUTED_VALUE"""),4136.36)</f>
        <v>4136.3599999999997</v>
      </c>
      <c r="Q547" s="33" t="str">
        <f ca="1">IFERROR(__xludf.DUMMYFUNCTION("""COMPUTED_VALUE"""),"Iván Sánchez")</f>
        <v>Iván Sánchez</v>
      </c>
      <c r="R547" s="33" t="str">
        <f ca="1">IFERROR(__xludf.DUMMYFUNCTION("""COMPUTED_VALUE"""),"Dra, Isabel Menaches Guardiola")</f>
        <v>Dra, Isabel Menaches Guardiola</v>
      </c>
      <c r="S547" s="61" t="str">
        <f ca="1">IFERROR(__xludf.DUMMYFUNCTION("""COMPUTED_VALUE"""),"03 ORL")</f>
        <v>03 ORL</v>
      </c>
      <c r="T547" s="33" t="str">
        <f ca="1">IFERROR(__xludf.DUMMYFUNCTION("""COMPUTED_VALUE"""),"06 ORL")</f>
        <v>06 ORL</v>
      </c>
      <c r="U547" s="62"/>
      <c r="W547" s="62"/>
      <c r="X547" s="62"/>
    </row>
    <row r="548" spans="2:24" ht="16">
      <c r="B548" s="67" t="str">
        <f t="shared" ca="1" si="3"/>
        <v>#N/</v>
      </c>
      <c r="C548" s="64" t="str">
        <f ca="1">IFERROR(__xludf.DUMMYFUNCTION("""COMPUTED_VALUE"""),"#N/A")</f>
        <v>#N/A</v>
      </c>
      <c r="D548" s="33" t="str">
        <f ca="1">IFERROR(__xludf.DUMMYFUNCTION("""COMPUTED_VALUE"""),"PROPIOS")</f>
        <v>PROPIOS</v>
      </c>
      <c r="E548" s="33">
        <f ca="1">IFERROR(__xludf.DUMMYFUNCTION("""COMPUTED_VALUE"""),2026)</f>
        <v>2026</v>
      </c>
      <c r="F548" s="56">
        <f ca="1">IFERROR(__xludf.DUMMYFUNCTION("""COMPUTED_VALUE"""),2)</f>
        <v>2</v>
      </c>
      <c r="G548" s="33" t="str">
        <f ca="1">IFERROR(__xludf.DUMMYFUNCTION("""COMPUTED_VALUE"""),"Alicante")</f>
        <v>Alicante</v>
      </c>
      <c r="H548" s="33" t="str">
        <f ca="1">IFERROR(__xludf.DUMMYFUNCTION("""COMPUTED_VALUE"""),"C202621015844350672")</f>
        <v>C202621015844350672</v>
      </c>
      <c r="I548" s="33" t="str">
        <f ca="1">IFERROR(__xludf.DUMMYFUNCTION("""COMPUTED_VALUE"""),"TATIANA WILLIAMS")</f>
        <v>TATIANA WILLIAMS</v>
      </c>
      <c r="J548" s="57">
        <f ca="1">IFERROR(__xludf.DUMMYFUNCTION("""COMPUTED_VALUE"""),46063)</f>
        <v>46063</v>
      </c>
      <c r="K548" s="33" t="str">
        <f ca="1">IFERROR(__xludf.DUMMYFUNCTION("""COMPUTED_VALUE"""),"Devuelve")</f>
        <v>Devuelve</v>
      </c>
      <c r="L548" s="57">
        <f ca="1">IFERROR(__xludf.DUMMYFUNCTION("""COMPUTED_VALUE"""),46070)</f>
        <v>46070</v>
      </c>
      <c r="M548" s="64" t="str">
        <f ca="1">IFERROR(__xludf.DUMMYFUNCTION("""COMPUTED_VALUE"""),"NO")</f>
        <v>NO</v>
      </c>
      <c r="N548" s="56">
        <f ca="1">IFERROR(__xludf.DUMMYFUNCTION("""COMPUTED_VALUE"""),1)</f>
        <v>1</v>
      </c>
      <c r="O548" s="64" t="str">
        <f ca="1">IFERROR(__xludf.DUMMYFUNCTION("""COMPUTED_VALUE"""),"QUIET")</f>
        <v>QUIET</v>
      </c>
      <c r="P548" s="62">
        <f ca="1">IFERROR(__xludf.DUMMYFUNCTION("""COMPUTED_VALUE"""),1631.82)</f>
        <v>1631.82</v>
      </c>
      <c r="Q548" s="33" t="str">
        <f ca="1">IFERROR(__xludf.DUMMYFUNCTION("""COMPUTED_VALUE"""),"Iván Sánchez")</f>
        <v>Iván Sánchez</v>
      </c>
      <c r="R548" s="33" t="str">
        <f ca="1">IFERROR(__xludf.DUMMYFUNCTION("""COMPUTED_VALUE"""),"Dr, Carlos Velásquez Fermín")</f>
        <v>Dr, Carlos Velásquez Fermín</v>
      </c>
      <c r="S548" s="61" t="str">
        <f ca="1">IFERROR(__xludf.DUMMYFUNCTION("""COMPUTED_VALUE"""),"03 ORL")</f>
        <v>03 ORL</v>
      </c>
      <c r="T548" s="33" t="str">
        <f ca="1">IFERROR(__xludf.DUMMYFUNCTION("""COMPUTED_VALUE"""),"06 ORL")</f>
        <v>06 ORL</v>
      </c>
      <c r="U548" s="62"/>
      <c r="W548" s="62"/>
      <c r="X548" s="62"/>
    </row>
    <row r="549" spans="2:24" ht="16">
      <c r="B549" s="67" t="str">
        <f t="shared" ca="1" si="3"/>
        <v>#N/</v>
      </c>
      <c r="C549" s="64" t="str">
        <f ca="1">IFERROR(__xludf.DUMMYFUNCTION("""COMPUTED_VALUE"""),"#N/A")</f>
        <v>#N/A</v>
      </c>
      <c r="D549" s="33" t="str">
        <f ca="1">IFERROR(__xludf.DUMMYFUNCTION("""COMPUTED_VALUE"""),"PROPIOS")</f>
        <v>PROPIOS</v>
      </c>
      <c r="E549" s="33">
        <f ca="1">IFERROR(__xludf.DUMMYFUNCTION("""COMPUTED_VALUE"""),2026)</f>
        <v>2026</v>
      </c>
      <c r="F549" s="56">
        <f ca="1">IFERROR(__xludf.DUMMYFUNCTION("""COMPUTED_VALUE"""),2)</f>
        <v>2</v>
      </c>
      <c r="G549" s="33" t="str">
        <f ca="1">IFERROR(__xludf.DUMMYFUNCTION("""COMPUTED_VALUE"""),"Alicante")</f>
        <v>Alicante</v>
      </c>
      <c r="H549" s="33" t="str">
        <f ca="1">IFERROR(__xludf.DUMMYFUNCTION("""COMPUTED_VALUE"""),"ALC-3836")</f>
        <v>ALC-3836</v>
      </c>
      <c r="I549" s="33" t="str">
        <f ca="1">IFERROR(__xludf.DUMMYFUNCTION("""COMPUTED_VALUE"""),"VICTOR ALVAREZ GARCIA")</f>
        <v>VICTOR ALVAREZ GARCIA</v>
      </c>
      <c r="J549" s="57">
        <f ca="1">IFERROR(__xludf.DUMMYFUNCTION("""COMPUTED_VALUE"""),45352)</f>
        <v>45352</v>
      </c>
      <c r="K549" s="33" t="str">
        <f ca="1">IFERROR(__xludf.DUMMYFUNCTION("""COMPUTED_VALUE"""),"Devuelve")</f>
        <v>Devuelve</v>
      </c>
      <c r="L549" s="57">
        <f ca="1">IFERROR(__xludf.DUMMYFUNCTION("""COMPUTED_VALUE"""),46076)</f>
        <v>46076</v>
      </c>
      <c r="M549" s="64" t="str">
        <f ca="1">IFERROR(__xludf.DUMMYFUNCTION("""COMPUTED_VALUE"""),"NO")</f>
        <v>NO</v>
      </c>
      <c r="N549" s="56">
        <f ca="1">IFERROR(__xludf.DUMMYFUNCTION("""COMPUTED_VALUE"""),1)</f>
        <v>1</v>
      </c>
      <c r="O549" s="64" t="str">
        <f ca="1">IFERROR(__xludf.DUMMYFUNCTION("""COMPUTED_VALUE"""),"CONFORT")</f>
        <v>CONFORT</v>
      </c>
      <c r="P549" s="62">
        <f ca="1">IFERROR(__xludf.DUMMYFUNCTION("""COMPUTED_VALUE"""),1977.27)</f>
        <v>1977.27</v>
      </c>
      <c r="Q549" s="33" t="str">
        <f ca="1">IFERROR(__xludf.DUMMYFUNCTION("""COMPUTED_VALUE"""),"Iván Sánchez")</f>
        <v>Iván Sánchez</v>
      </c>
      <c r="R549" s="33" t="str">
        <f ca="1">IFERROR(__xludf.DUMMYFUNCTION("""COMPUTED_VALUE"""),"Dr, Guillermo Severá Ferrandiz")</f>
        <v>Dr, Guillermo Severá Ferrandiz</v>
      </c>
      <c r="S549" s="61" t="str">
        <f ca="1">IFERROR(__xludf.DUMMYFUNCTION("""COMPUTED_VALUE"""),"03 ORL")</f>
        <v>03 ORL</v>
      </c>
      <c r="T549" s="33" t="str">
        <f ca="1">IFERROR(__xludf.DUMMYFUNCTION("""COMPUTED_VALUE"""),"06 ORL")</f>
        <v>06 ORL</v>
      </c>
      <c r="U549" s="62"/>
      <c r="W549" s="62"/>
      <c r="X549" s="62"/>
    </row>
    <row r="550" spans="2:24" ht="16">
      <c r="B550" s="67" t="str">
        <f t="shared" ca="1" si="3"/>
        <v>#N/</v>
      </c>
      <c r="C550" s="64" t="str">
        <f ca="1">IFERROR(__xludf.DUMMYFUNCTION("""COMPUTED_VALUE"""),"#N/A")</f>
        <v>#N/A</v>
      </c>
      <c r="D550" s="33" t="str">
        <f ca="1">IFERROR(__xludf.DUMMYFUNCTION("""COMPUTED_VALUE"""),"PROPIOS")</f>
        <v>PROPIOS</v>
      </c>
      <c r="E550" s="33">
        <f ca="1">IFERROR(__xludf.DUMMYFUNCTION("""COMPUTED_VALUE"""),2026)</f>
        <v>2026</v>
      </c>
      <c r="F550" s="56">
        <f ca="1">IFERROR(__xludf.DUMMYFUNCTION("""COMPUTED_VALUE"""),3)</f>
        <v>3</v>
      </c>
      <c r="G550" s="33" t="str">
        <f ca="1">IFERROR(__xludf.DUMMYFUNCTION("""COMPUTED_VALUE"""),"Alicante")</f>
        <v>Alicante</v>
      </c>
      <c r="H550" s="33" t="str">
        <f ca="1">IFERROR(__xludf.DUMMYFUNCTION("""COMPUTED_VALUE"""),"C202622716385929663")</f>
        <v>C202622716385929663</v>
      </c>
      <c r="I550" s="33" t="str">
        <f ca="1">IFERROR(__xludf.DUMMYFUNCTION("""COMPUTED_VALUE"""),"VIRTUDES ISABEL LLINARES SERRA")</f>
        <v>VIRTUDES ISABEL LLINARES SERRA</v>
      </c>
      <c r="J550" s="57">
        <f ca="1">IFERROR(__xludf.DUMMYFUNCTION("""COMPUTED_VALUE"""),46080)</f>
        <v>46080</v>
      </c>
      <c r="K550" s="33" t="str">
        <f ca="1">IFERROR(__xludf.DUMMYFUNCTION("""COMPUTED_VALUE"""),"Prueba")</f>
        <v>Prueba</v>
      </c>
      <c r="L550" s="57">
        <f ca="1">IFERROR(__xludf.DUMMYFUNCTION("""COMPUTED_VALUE"""),46112)</f>
        <v>46112</v>
      </c>
      <c r="M550" s="64" t="str">
        <f ca="1">IFERROR(__xludf.DUMMYFUNCTION("""COMPUTED_VALUE"""),"NO")</f>
        <v>NO</v>
      </c>
      <c r="N550" s="56">
        <f ca="1">IFERROR(__xludf.DUMMYFUNCTION("""COMPUTED_VALUE"""),2)</f>
        <v>2</v>
      </c>
      <c r="O550" s="64" t="str">
        <f ca="1">IFERROR(__xludf.DUMMYFUNCTION("""COMPUTED_VALUE"""),"TRIAL")</f>
        <v>TRIAL</v>
      </c>
      <c r="P550" s="62">
        <f ca="1">IFERROR(__xludf.DUMMYFUNCTION("""COMPUTED_VALUE"""),4136.36)</f>
        <v>4136.3599999999997</v>
      </c>
      <c r="Q550" s="33" t="str">
        <f ca="1">IFERROR(__xludf.DUMMYFUNCTION("""COMPUTED_VALUE"""),"Iván Sánchez")</f>
        <v>Iván Sánchez</v>
      </c>
      <c r="R550" s="33" t="str">
        <f ca="1">IFERROR(__xludf.DUMMYFUNCTION("""COMPUTED_VALUE"""),"Dra, Cristina Muñoz Pinto")</f>
        <v>Dra, Cristina Muñoz Pinto</v>
      </c>
      <c r="S550" s="61" t="str">
        <f ca="1">IFERROR(__xludf.DUMMYFUNCTION("""COMPUTED_VALUE"""),"03 ORL")</f>
        <v>03 ORL</v>
      </c>
      <c r="T550" s="33" t="str">
        <f ca="1">IFERROR(__xludf.DUMMYFUNCTION("""COMPUTED_VALUE"""),"06 ORL")</f>
        <v>06 ORL</v>
      </c>
      <c r="U550" s="62"/>
      <c r="W550" s="62"/>
      <c r="X550" s="62"/>
    </row>
    <row r="551" spans="2:24" ht="16">
      <c r="B551" s="67" t="str">
        <f t="shared" ca="1" si="3"/>
        <v/>
      </c>
      <c r="C551" s="64"/>
      <c r="D551" s="33" t="str">
        <f ca="1">IFERROR(__xludf.DUMMYFUNCTION("""COMPUTED_VALUE"""),"PROPIOS")</f>
        <v>PROPIOS</v>
      </c>
      <c r="E551" s="33">
        <f ca="1">IFERROR(__xludf.DUMMYFUNCTION("""COMPUTED_VALUE"""),2026)</f>
        <v>2026</v>
      </c>
      <c r="F551" s="56">
        <f ca="1">IFERROR(__xludf.DUMMYFUNCTION("""COMPUTED_VALUE"""),4)</f>
        <v>4</v>
      </c>
      <c r="G551" s="33" t="str">
        <f ca="1">IFERROR(__xludf.DUMMYFUNCTION("""COMPUTED_VALUE"""),"Almería")</f>
        <v>Almería</v>
      </c>
      <c r="H551" s="33" t="str">
        <f ca="1">IFERROR(__xludf.DUMMYFUNCTION("""COMPUTED_VALUE"""),"ALM-1134")</f>
        <v>ALM-1134</v>
      </c>
      <c r="I551" s="33" t="str">
        <f ca="1">IFERROR(__xludf.DUMMYFUNCTION("""COMPUTED_VALUE"""),"JUAN MANUEL FERRE SALAS")</f>
        <v>JUAN MANUEL FERRE SALAS</v>
      </c>
      <c r="J551" s="57">
        <f ca="1">IFERROR(__xludf.DUMMYFUNCTION("""COMPUTED_VALUE"""),45092)</f>
        <v>45092</v>
      </c>
      <c r="K551" s="33" t="str">
        <f ca="1">IFERROR(__xludf.DUMMYFUNCTION("""COMPUTED_VALUE"""),"Prueba")</f>
        <v>Prueba</v>
      </c>
      <c r="L551" s="57">
        <f ca="1">IFERROR(__xludf.DUMMYFUNCTION("""COMPUTED_VALUE"""),46113)</f>
        <v>46113</v>
      </c>
      <c r="M551" s="64" t="str">
        <f ca="1">IFERROR(__xludf.DUMMYFUNCTION("""COMPUTED_VALUE"""),"NO")</f>
        <v>NO</v>
      </c>
      <c r="N551" s="56">
        <f ca="1">IFERROR(__xludf.DUMMYFUNCTION("""COMPUTED_VALUE"""),1)</f>
        <v>1</v>
      </c>
      <c r="O551" s="64" t="str">
        <f ca="1">IFERROR(__xludf.DUMMYFUNCTION("""COMPUTED_VALUE"""),"TRIAL")</f>
        <v>TRIAL</v>
      </c>
      <c r="P551" s="62">
        <f ca="1">IFERROR(__xludf.DUMMYFUNCTION("""COMPUTED_VALUE"""),2180.9)</f>
        <v>2180.9</v>
      </c>
      <c r="Q551" s="33" t="str">
        <f ca="1">IFERROR(__xludf.DUMMYFUNCTION("""COMPUTED_VALUE"""),"Luis Alberto Rodríguez")</f>
        <v>Luis Alberto Rodríguez</v>
      </c>
      <c r="R551" s="33" t="str">
        <f ca="1">IFERROR(__xludf.DUMMYFUNCTION("""COMPUTED_VALUE"""),"No recuerda ORL")</f>
        <v>No recuerda ORL</v>
      </c>
      <c r="S551" s="61" t="str">
        <f ca="1">IFERROR(__xludf.DUMMYFUNCTION("""COMPUTED_VALUE"""),"01 MARKETING ON LINE")</f>
        <v>01 MARKETING ON LINE</v>
      </c>
      <c r="T551" s="33" t="str">
        <f ca="1">IFERROR(__xludf.DUMMYFUNCTION("""COMPUTED_VALUE"""),"04 AUDIFONO,ES")</f>
        <v>04 AUDIFONO,ES</v>
      </c>
      <c r="U551" s="62"/>
      <c r="W551" s="62"/>
      <c r="X551" s="62"/>
    </row>
    <row r="552" spans="2:24" ht="16">
      <c r="B552" s="67" t="str">
        <f t="shared" ca="1" si="3"/>
        <v>#N/</v>
      </c>
      <c r="C552" s="64" t="str">
        <f ca="1">IFERROR(__xludf.DUMMYFUNCTION("""COMPUTED_VALUE"""),"#N/A")</f>
        <v>#N/A</v>
      </c>
      <c r="D552" s="33" t="str">
        <f ca="1">IFERROR(__xludf.DUMMYFUNCTION("""COMPUTED_VALUE"""),"PROPIOS")</f>
        <v>PROPIOS</v>
      </c>
      <c r="E552" s="33">
        <f ca="1">IFERROR(__xludf.DUMMYFUNCTION("""COMPUTED_VALUE"""),2026)</f>
        <v>2026</v>
      </c>
      <c r="F552" s="56">
        <f ca="1">IFERROR(__xludf.DUMMYFUNCTION("""COMPUTED_VALUE"""),4)</f>
        <v>4</v>
      </c>
      <c r="G552" s="33" t="str">
        <f ca="1">IFERROR(__xludf.DUMMYFUNCTION("""COMPUTED_VALUE"""),"Almería")</f>
        <v>Almería</v>
      </c>
      <c r="H552" s="33" t="str">
        <f ca="1">IFERROR(__xludf.DUMMYFUNCTION("""COMPUTED_VALUE"""),"C202633093158350112")</f>
        <v>C202633093158350112</v>
      </c>
      <c r="I552" s="33" t="str">
        <f ca="1">IFERROR(__xludf.DUMMYFUNCTION("""COMPUTED_VALUE"""),"MARIA TERESA IBAÑEZ PARRA")</f>
        <v>MARIA TERESA IBAÑEZ PARRA</v>
      </c>
      <c r="J552" s="57">
        <f ca="1">IFERROR(__xludf.DUMMYFUNCTION("""COMPUTED_VALUE"""),46111)</f>
        <v>46111</v>
      </c>
      <c r="K552" s="33" t="str">
        <f ca="1">IFERROR(__xludf.DUMMYFUNCTION("""COMPUTED_VALUE"""),"Pedido")</f>
        <v>Pedido</v>
      </c>
      <c r="L552" s="57">
        <f ca="1">IFERROR(__xludf.DUMMYFUNCTION("""COMPUTED_VALUE"""),46113)</f>
        <v>46113</v>
      </c>
      <c r="M552" s="64" t="str">
        <f ca="1">IFERROR(__xludf.DUMMYFUNCTION("""COMPUTED_VALUE"""),"NO")</f>
        <v>NO</v>
      </c>
      <c r="N552" s="56">
        <f ca="1">IFERROR(__xludf.DUMMYFUNCTION("""COMPUTED_VALUE"""),2)</f>
        <v>2</v>
      </c>
      <c r="O552" s="64" t="str">
        <f ca="1">IFERROR(__xludf.DUMMYFUNCTION("""COMPUTED_VALUE"""),"TRIAL")</f>
        <v>TRIAL</v>
      </c>
      <c r="P552" s="62">
        <f ca="1">IFERROR(__xludf.DUMMYFUNCTION("""COMPUTED_VALUE"""),4380.9)</f>
        <v>4380.8999999999996</v>
      </c>
      <c r="Q552" s="33" t="str">
        <f ca="1">IFERROR(__xludf.DUMMYFUNCTION("""COMPUTED_VALUE"""),"Ramon Ferrando")</f>
        <v>Ramon Ferrando</v>
      </c>
      <c r="R552" s="33" t="str">
        <f ca="1">IFERROR(__xludf.DUMMYFUNCTION("""COMPUTED_VALUE"""),"Dra, Elisheba Haro Hernández")</f>
        <v>Dra, Elisheba Haro Hernández</v>
      </c>
      <c r="S552" s="61" t="str">
        <f ca="1">IFERROR(__xludf.DUMMYFUNCTION("""COMPUTED_VALUE"""),"03 ORL")</f>
        <v>03 ORL</v>
      </c>
      <c r="T552" s="33" t="str">
        <f ca="1">IFERROR(__xludf.DUMMYFUNCTION("""COMPUTED_VALUE"""),"06 ORL")</f>
        <v>06 ORL</v>
      </c>
      <c r="U552" s="62"/>
      <c r="W552" s="62"/>
      <c r="X552" s="62"/>
    </row>
    <row r="553" spans="2:24" ht="16">
      <c r="B553" s="67" t="str">
        <f t="shared" ca="1" si="3"/>
        <v>#N/</v>
      </c>
      <c r="C553" s="64" t="str">
        <f ca="1">IFERROR(__xludf.DUMMYFUNCTION("""COMPUTED_VALUE"""),"#N/A")</f>
        <v>#N/A</v>
      </c>
      <c r="D553" s="33" t="str">
        <f ca="1">IFERROR(__xludf.DUMMYFUNCTION("""COMPUTED_VALUE"""),"PROPIOS")</f>
        <v>PROPIOS</v>
      </c>
      <c r="E553" s="33">
        <f ca="1">IFERROR(__xludf.DUMMYFUNCTION("""COMPUTED_VALUE"""),2026)</f>
        <v>2026</v>
      </c>
      <c r="F553" s="56">
        <f ca="1">IFERROR(__xludf.DUMMYFUNCTION("""COMPUTED_VALUE"""),4)</f>
        <v>4</v>
      </c>
      <c r="G553" s="33" t="str">
        <f ca="1">IFERROR(__xludf.DUMMYFUNCTION("""COMPUTED_VALUE"""),"Almería")</f>
        <v>Almería</v>
      </c>
      <c r="H553" s="33" t="str">
        <f ca="1">IFERROR(__xludf.DUMMYFUNCTION("""COMPUTED_VALUE"""),"C20263179958983865")</f>
        <v>C20263179958983865</v>
      </c>
      <c r="I553" s="33" t="str">
        <f ca="1">IFERROR(__xludf.DUMMYFUNCTION("""COMPUTED_VALUE"""),"SANDRA REDONDO TERUEL")</f>
        <v>SANDRA REDONDO TERUEL</v>
      </c>
      <c r="J553" s="57">
        <f ca="1">IFERROR(__xludf.DUMMYFUNCTION("""COMPUTED_VALUE"""),46098)</f>
        <v>46098</v>
      </c>
      <c r="K553" s="33" t="str">
        <f ca="1">IFERROR(__xludf.DUMMYFUNCTION("""COMPUTED_VALUE"""),"Prueba")</f>
        <v>Prueba</v>
      </c>
      <c r="L553" s="57">
        <f ca="1">IFERROR(__xludf.DUMMYFUNCTION("""COMPUTED_VALUE"""),46119)</f>
        <v>46119</v>
      </c>
      <c r="M553" s="64" t="str">
        <f ca="1">IFERROR(__xludf.DUMMYFUNCTION("""COMPUTED_VALUE"""),"NO")</f>
        <v>NO</v>
      </c>
      <c r="N553" s="56">
        <f ca="1">IFERROR(__xludf.DUMMYFUNCTION("""COMPUTED_VALUE"""),2)</f>
        <v>2</v>
      </c>
      <c r="O553" s="64" t="str">
        <f ca="1">IFERROR(__xludf.DUMMYFUNCTION("""COMPUTED_VALUE"""),"CONFORT")</f>
        <v>CONFORT</v>
      </c>
      <c r="P553" s="62">
        <f ca="1">IFERROR(__xludf.DUMMYFUNCTION("""COMPUTED_VALUE"""),4154.55)</f>
        <v>4154.55</v>
      </c>
      <c r="Q553" s="33" t="str">
        <f ca="1">IFERROR(__xludf.DUMMYFUNCTION("""COMPUTED_VALUE"""),"Ramon Ferrando")</f>
        <v>Ramon Ferrando</v>
      </c>
      <c r="R553" s="33" t="str">
        <f ca="1">IFERROR(__xludf.DUMMYFUNCTION("""COMPUTED_VALUE"""),"Dr, Juanjo Góngora Lencina")</f>
        <v>Dr, Juanjo Góngora Lencina</v>
      </c>
      <c r="S553" s="61" t="str">
        <f ca="1">IFERROR(__xludf.DUMMYFUNCTION("""COMPUTED_VALUE"""),"01 MARKETING ON LINE")</f>
        <v>01 MARKETING ON LINE</v>
      </c>
      <c r="T553" s="33" t="str">
        <f ca="1">IFERROR(__xludf.DUMMYFUNCTION("""COMPUTED_VALUE"""),"04 AUDIFONO,ES")</f>
        <v>04 AUDIFONO,ES</v>
      </c>
      <c r="U553" s="62"/>
      <c r="W553" s="62"/>
      <c r="X553" s="62"/>
    </row>
    <row r="554" spans="2:24" ht="16">
      <c r="B554" s="67" t="str">
        <f t="shared" ca="1" si="3"/>
        <v/>
      </c>
      <c r="C554" s="64"/>
      <c r="D554" s="33" t="str">
        <f ca="1">IFERROR(__xludf.DUMMYFUNCTION("""COMPUTED_VALUE"""),"ASOCIADOS")</f>
        <v>ASOCIADOS</v>
      </c>
      <c r="E554" s="33">
        <f ca="1">IFERROR(__xludf.DUMMYFUNCTION("""COMPUTED_VALUE"""),2026)</f>
        <v>2026</v>
      </c>
      <c r="F554" s="56">
        <f ca="1">IFERROR(__xludf.DUMMYFUNCTION("""COMPUTED_VALUE"""),2)</f>
        <v>2</v>
      </c>
      <c r="G554" s="33" t="str">
        <f ca="1">IFERROR(__xludf.DUMMYFUNCTION("""COMPUTED_VALUE"""),"Badajoz")</f>
        <v>Badajoz</v>
      </c>
      <c r="H554" s="33" t="str">
        <f ca="1">IFERROR(__xludf.DUMMYFUNCTION("""COMPUTED_VALUE"""),"C202622512271351353")</f>
        <v>C202622512271351353</v>
      </c>
      <c r="I554" s="33" t="str">
        <f ca="1">IFERROR(__xludf.DUMMYFUNCTION("""COMPUTED_VALUE"""),"ANTONIO RODRIGUEZ ARRABAL")</f>
        <v>ANTONIO RODRIGUEZ ARRABAL</v>
      </c>
      <c r="J554" s="57">
        <f ca="1">IFERROR(__xludf.DUMMYFUNCTION("""COMPUTED_VALUE"""),46078)</f>
        <v>46078</v>
      </c>
      <c r="K554" s="33" t="str">
        <f ca="1">IFERROR(__xludf.DUMMYFUNCTION("""COMPUTED_VALUE"""),"Presupuesto")</f>
        <v>Presupuesto</v>
      </c>
      <c r="L554" s="57">
        <f ca="1">IFERROR(__xludf.DUMMYFUNCTION("""COMPUTED_VALUE"""),46079)</f>
        <v>46079</v>
      </c>
      <c r="M554" s="58" t="str">
        <f ca="1">IFERROR(__xludf.DUMMYFUNCTION("""COMPUTED_VALUE"""),"NO")</f>
        <v>NO</v>
      </c>
      <c r="N554" s="56">
        <f ca="1">IFERROR(__xludf.DUMMYFUNCTION("""COMPUTED_VALUE"""),1)</f>
        <v>1</v>
      </c>
      <c r="O554" s="64" t="str">
        <f ca="1">IFERROR(__xludf.DUMMYFUNCTION("""COMPUTED_VALUE"""),"SOCIAL")</f>
        <v>SOCIAL</v>
      </c>
      <c r="P554" s="62">
        <f ca="1">IFERROR(__xludf.DUMMYFUNCTION("""COMPUTED_VALUE"""),1363.64)</f>
        <v>1363.64</v>
      </c>
      <c r="Q554" s="33" t="str">
        <f ca="1">IFERROR(__xludf.DUMMYFUNCTION("""COMPUTED_VALUE"""),"Luis Alberto Rodríguez")</f>
        <v>Luis Alberto Rodríguez</v>
      </c>
      <c r="R554" s="33" t="str">
        <f ca="1">IFERROR(__xludf.DUMMYFUNCTION("""COMPUTED_VALUE"""),"No recuerda ORL")</f>
        <v>No recuerda ORL</v>
      </c>
      <c r="S554" s="61" t="str">
        <f ca="1">IFERROR(__xludf.DUMMYFUNCTION("""COMPUTED_VALUE"""),"03 ORL")</f>
        <v>03 ORL</v>
      </c>
      <c r="T554" s="33" t="str">
        <f ca="1">IFERROR(__xludf.DUMMYFUNCTION("""COMPUTED_VALUE"""),"06 ORL")</f>
        <v>06 ORL</v>
      </c>
      <c r="U554" s="62"/>
      <c r="W554" s="62"/>
      <c r="X554" s="62"/>
    </row>
    <row r="555" spans="2:24" ht="16">
      <c r="B555" s="67" t="str">
        <f t="shared" ca="1" si="3"/>
        <v/>
      </c>
      <c r="C555" s="64"/>
      <c r="D555" s="33" t="str">
        <f ca="1">IFERROR(__xludf.DUMMYFUNCTION("""COMPUTED_VALUE"""),"ASOCIADOS")</f>
        <v>ASOCIADOS</v>
      </c>
      <c r="E555" s="33">
        <f ca="1">IFERROR(__xludf.DUMMYFUNCTION("""COMPUTED_VALUE"""),2026)</f>
        <v>2026</v>
      </c>
      <c r="F555" s="56">
        <f ca="1">IFERROR(__xludf.DUMMYFUNCTION("""COMPUTED_VALUE"""),3)</f>
        <v>3</v>
      </c>
      <c r="G555" s="33" t="str">
        <f ca="1">IFERROR(__xludf.DUMMYFUNCTION("""COMPUTED_VALUE"""),"Badajoz")</f>
        <v>Badajoz</v>
      </c>
      <c r="H555" s="33" t="str">
        <f ca="1">IFERROR(__xludf.DUMMYFUNCTION("""COMPUTED_VALUE"""),"C202512301740208884")</f>
        <v>C202512301740208884</v>
      </c>
      <c r="I555" s="33" t="str">
        <f ca="1">IFERROR(__xludf.DUMMYFUNCTION("""COMPUTED_VALUE"""),"FRANCISCO VENEGAS MOSQUERO")</f>
        <v>FRANCISCO VENEGAS MOSQUERO</v>
      </c>
      <c r="J555" s="57">
        <f ca="1">IFERROR(__xludf.DUMMYFUNCTION("""COMPUTED_VALUE"""),46021)</f>
        <v>46021</v>
      </c>
      <c r="K555" s="33" t="str">
        <f ca="1">IFERROR(__xludf.DUMMYFUNCTION("""COMPUTED_VALUE"""),"Prueba")</f>
        <v>Prueba</v>
      </c>
      <c r="L555" s="57">
        <f ca="1">IFERROR(__xludf.DUMMYFUNCTION("""COMPUTED_VALUE"""),46106)</f>
        <v>46106</v>
      </c>
      <c r="M555" s="64" t="str">
        <f ca="1">IFERROR(__xludf.DUMMYFUNCTION("""COMPUTED_VALUE"""),"NO")</f>
        <v>NO</v>
      </c>
      <c r="N555" s="56">
        <f ca="1">IFERROR(__xludf.DUMMYFUNCTION("""COMPUTED_VALUE"""),2)</f>
        <v>2</v>
      </c>
      <c r="O555" s="64" t="str">
        <f ca="1">IFERROR(__xludf.DUMMYFUNCTION("""COMPUTED_VALUE"""),"QUIET")</f>
        <v>QUIET</v>
      </c>
      <c r="P555" s="62">
        <f ca="1">IFERROR(__xludf.DUMMYFUNCTION("""COMPUTED_VALUE"""),2718.18)</f>
        <v>2718.18</v>
      </c>
      <c r="Q555" s="33" t="str">
        <f ca="1">IFERROR(__xludf.DUMMYFUNCTION("""COMPUTED_VALUE"""),"Luis Alberto Rodríguez")</f>
        <v>Luis Alberto Rodríguez</v>
      </c>
      <c r="R555" s="33" t="str">
        <f ca="1">IFERROR(__xludf.DUMMYFUNCTION("""COMPUTED_VALUE"""),"No recuerda ORL")</f>
        <v>No recuerda ORL</v>
      </c>
      <c r="S555" s="61" t="str">
        <f ca="1">IFERROR(__xludf.DUMMYFUNCTION("""COMPUTED_VALUE"""),"03 ORL")</f>
        <v>03 ORL</v>
      </c>
      <c r="T555" s="33" t="str">
        <f ca="1">IFERROR(__xludf.DUMMYFUNCTION("""COMPUTED_VALUE"""),"06 ORL")</f>
        <v>06 ORL</v>
      </c>
      <c r="U555" s="62"/>
      <c r="W555" s="62"/>
      <c r="X555" s="62"/>
    </row>
    <row r="556" spans="2:24" ht="16">
      <c r="B556" s="67" t="str">
        <f t="shared" ca="1" si="3"/>
        <v>#N/</v>
      </c>
      <c r="C556" s="64" t="str">
        <f ca="1">IFERROR(__xludf.DUMMYFUNCTION("""COMPUTED_VALUE"""),"#N/A")</f>
        <v>#N/A</v>
      </c>
      <c r="D556" s="33" t="str">
        <f ca="1">IFERROR(__xludf.DUMMYFUNCTION("""COMPUTED_VALUE"""),"ASOCIADOS")</f>
        <v>ASOCIADOS</v>
      </c>
      <c r="E556" s="33">
        <f ca="1">IFERROR(__xludf.DUMMYFUNCTION("""COMPUTED_VALUE"""),2026)</f>
        <v>2026</v>
      </c>
      <c r="F556" s="56">
        <f ca="1">IFERROR(__xludf.DUMMYFUNCTION("""COMPUTED_VALUE"""),1)</f>
        <v>1</v>
      </c>
      <c r="G556" s="33" t="str">
        <f ca="1">IFERROR(__xludf.DUMMYFUNCTION("""COMPUTED_VALUE"""),"Badajoz")</f>
        <v>Badajoz</v>
      </c>
      <c r="H556" s="33" t="str">
        <f ca="1">IFERROR(__xludf.DUMMYFUNCTION("""COMPUTED_VALUE"""),"C20261718624565160")</f>
        <v>C20261718624565160</v>
      </c>
      <c r="I556" s="33" t="str">
        <f ca="1">IFERROR(__xludf.DUMMYFUNCTION("""COMPUTED_VALUE"""),"INMACULADA MATEU CALVO")</f>
        <v>INMACULADA MATEU CALVO</v>
      </c>
      <c r="J556" s="57">
        <f ca="1">IFERROR(__xludf.DUMMYFUNCTION("""COMPUTED_VALUE"""),46029)</f>
        <v>46029</v>
      </c>
      <c r="K556" s="33" t="str">
        <f ca="1">IFERROR(__xludf.DUMMYFUNCTION("""COMPUTED_VALUE"""),"Devuelve")</f>
        <v>Devuelve</v>
      </c>
      <c r="L556" s="57">
        <f ca="1">IFERROR(__xludf.DUMMYFUNCTION("""COMPUTED_VALUE"""),46043)</f>
        <v>46043</v>
      </c>
      <c r="M556" s="64" t="str">
        <f ca="1">IFERROR(__xludf.DUMMYFUNCTION("""COMPUTED_VALUE"""),"NO")</f>
        <v>NO</v>
      </c>
      <c r="N556" s="56">
        <f ca="1">IFERROR(__xludf.DUMMYFUNCTION("""COMPUTED_VALUE"""),1)</f>
        <v>1</v>
      </c>
      <c r="O556" s="64" t="str">
        <f ca="1">IFERROR(__xludf.DUMMYFUNCTION("""COMPUTED_VALUE"""),"QUIET")</f>
        <v>QUIET</v>
      </c>
      <c r="P556" s="62">
        <f ca="1">IFERROR(__xludf.DUMMYFUNCTION("""COMPUTED_VALUE"""),1681.82)</f>
        <v>1681.82</v>
      </c>
      <c r="Q556" s="33" t="str">
        <f ca="1">IFERROR(__xludf.DUMMYFUNCTION("""COMPUTED_VALUE"""),"Luis Alberto Rodríguez")</f>
        <v>Luis Alberto Rodríguez</v>
      </c>
      <c r="R556" s="33" t="str">
        <f ca="1">IFERROR(__xludf.DUMMYFUNCTION("""COMPUTED_VALUE"""),"Dr, Sonia García Díaz")</f>
        <v>Dr, Sonia García Díaz</v>
      </c>
      <c r="S556" s="61" t="str">
        <f ca="1">IFERROR(__xludf.DUMMYFUNCTION("""COMPUTED_VALUE"""),"03 ORL")</f>
        <v>03 ORL</v>
      </c>
      <c r="T556" s="33" t="str">
        <f ca="1">IFERROR(__xludf.DUMMYFUNCTION("""COMPUTED_VALUE"""),"06 ORL")</f>
        <v>06 ORL</v>
      </c>
      <c r="U556" s="62"/>
      <c r="W556" s="62"/>
      <c r="X556" s="62"/>
    </row>
    <row r="557" spans="2:24" ht="16">
      <c r="B557" s="67" t="str">
        <f t="shared" ca="1" si="3"/>
        <v>#N/</v>
      </c>
      <c r="C557" s="64" t="str">
        <f ca="1">IFERROR(__xludf.DUMMYFUNCTION("""COMPUTED_VALUE"""),"#N/A")</f>
        <v>#N/A</v>
      </c>
      <c r="D557" s="33" t="str">
        <f ca="1">IFERROR(__xludf.DUMMYFUNCTION("""COMPUTED_VALUE"""),"ASOCIADOS")</f>
        <v>ASOCIADOS</v>
      </c>
      <c r="E557" s="33">
        <f ca="1">IFERROR(__xludf.DUMMYFUNCTION("""COMPUTED_VALUE"""),2026)</f>
        <v>2026</v>
      </c>
      <c r="F557" s="56">
        <f ca="1">IFERROR(__xludf.DUMMYFUNCTION("""COMPUTED_VALUE"""),4)</f>
        <v>4</v>
      </c>
      <c r="G557" s="33" t="str">
        <f ca="1">IFERROR(__xludf.DUMMYFUNCTION("""COMPUTED_VALUE"""),"Badajoz")</f>
        <v>Badajoz</v>
      </c>
      <c r="H557" s="33" t="str">
        <f ca="1">IFERROR(__xludf.DUMMYFUNCTION("""COMPUTED_VALUE"""),"C202622010495182693")</f>
        <v>C202622010495182693</v>
      </c>
      <c r="I557" s="33" t="str">
        <f ca="1">IFERROR(__xludf.DUMMYFUNCTION("""COMPUTED_VALUE"""),"JOSE MANUEL PEREZ DELGADO")</f>
        <v>JOSE MANUEL PEREZ DELGADO</v>
      </c>
      <c r="J557" s="57">
        <f ca="1">IFERROR(__xludf.DUMMYFUNCTION("""COMPUTED_VALUE"""),46073)</f>
        <v>46073</v>
      </c>
      <c r="K557" s="33" t="str">
        <f ca="1">IFERROR(__xludf.DUMMYFUNCTION("""COMPUTED_VALUE"""),"Prueba")</f>
        <v>Prueba</v>
      </c>
      <c r="L557" s="57">
        <f ca="1">IFERROR(__xludf.DUMMYFUNCTION("""COMPUTED_VALUE"""),46118)</f>
        <v>46118</v>
      </c>
      <c r="M557" s="64" t="str">
        <f ca="1">IFERROR(__xludf.DUMMYFUNCTION("""COMPUTED_VALUE"""),"NO")</f>
        <v>NO</v>
      </c>
      <c r="N557" s="56">
        <f ca="1">IFERROR(__xludf.DUMMYFUNCTION("""COMPUTED_VALUE"""),2)</f>
        <v>2</v>
      </c>
      <c r="O557" s="64" t="str">
        <f ca="1">IFERROR(__xludf.DUMMYFUNCTION("""COMPUTED_VALUE"""),"ADVANCED")</f>
        <v>ADVANCED</v>
      </c>
      <c r="P557" s="62">
        <f ca="1">IFERROR(__xludf.DUMMYFUNCTION("""COMPUTED_VALUE"""),2909.09)</f>
        <v>2909.09</v>
      </c>
      <c r="Q557" s="33" t="str">
        <f ca="1">IFERROR(__xludf.DUMMYFUNCTION("""COMPUTED_VALUE"""),"Luis Alberto Rodríguez")</f>
        <v>Luis Alberto Rodríguez</v>
      </c>
      <c r="R557" s="33" t="str">
        <f ca="1">IFERROR(__xludf.DUMMYFUNCTION("""COMPUTED_VALUE"""),"Dr, Sonia García Díaz")</f>
        <v>Dr, Sonia García Díaz</v>
      </c>
      <c r="S557" s="61" t="str">
        <f ca="1">IFERROR(__xludf.DUMMYFUNCTION("""COMPUTED_VALUE"""),"03 ORL")</f>
        <v>03 ORL</v>
      </c>
      <c r="T557" s="33" t="str">
        <f ca="1">IFERROR(__xludf.DUMMYFUNCTION("""COMPUTED_VALUE"""),"06 ORL")</f>
        <v>06 ORL</v>
      </c>
      <c r="U557" s="62"/>
      <c r="W557" s="62"/>
      <c r="X557" s="62"/>
    </row>
    <row r="558" spans="2:24" ht="16">
      <c r="B558" s="67" t="str">
        <f t="shared" ca="1" si="3"/>
        <v/>
      </c>
      <c r="C558" s="64"/>
      <c r="D558" s="33" t="str">
        <f ca="1">IFERROR(__xludf.DUMMYFUNCTION("""COMPUTED_VALUE"""),"ASOCIADOS")</f>
        <v>ASOCIADOS</v>
      </c>
      <c r="E558" s="33">
        <f ca="1">IFERROR(__xludf.DUMMYFUNCTION("""COMPUTED_VALUE"""),2026)</f>
        <v>2026</v>
      </c>
      <c r="F558" s="56">
        <f ca="1">IFERROR(__xludf.DUMMYFUNCTION("""COMPUTED_VALUE"""),3)</f>
        <v>3</v>
      </c>
      <c r="G558" s="33" t="str">
        <f ca="1">IFERROR(__xludf.DUMMYFUNCTION("""COMPUTED_VALUE"""),"Badajoz")</f>
        <v>Badajoz</v>
      </c>
      <c r="H558" s="33" t="str">
        <f ca="1">IFERROR(__xludf.DUMMYFUNCTION("""COMPUTED_VALUE"""),"C202621918202098014")</f>
        <v>C202621918202098014</v>
      </c>
      <c r="I558" s="33" t="str">
        <f ca="1">IFERROR(__xludf.DUMMYFUNCTION("""COMPUTED_VALUE"""),"JOSE MARIA PIZARRO MEDINA")</f>
        <v>JOSE MARIA PIZARRO MEDINA</v>
      </c>
      <c r="J558" s="57">
        <f ca="1">IFERROR(__xludf.DUMMYFUNCTION("""COMPUTED_VALUE"""),46072)</f>
        <v>46072</v>
      </c>
      <c r="K558" s="33" t="str">
        <f ca="1">IFERROR(__xludf.DUMMYFUNCTION("""COMPUTED_VALUE"""),"Prueba")</f>
        <v>Prueba</v>
      </c>
      <c r="L558" s="57">
        <f ca="1">IFERROR(__xludf.DUMMYFUNCTION("""COMPUTED_VALUE"""),46091)</f>
        <v>46091</v>
      </c>
      <c r="M558" s="64" t="str">
        <f ca="1">IFERROR(__xludf.DUMMYFUNCTION("""COMPUTED_VALUE"""),"NO")</f>
        <v>NO</v>
      </c>
      <c r="N558" s="56">
        <f ca="1">IFERROR(__xludf.DUMMYFUNCTION("""COMPUTED_VALUE"""),2)</f>
        <v>2</v>
      </c>
      <c r="O558" s="64" t="str">
        <f ca="1">IFERROR(__xludf.DUMMYFUNCTION("""COMPUTED_VALUE"""),"CONFORT")</f>
        <v>CONFORT</v>
      </c>
      <c r="P558" s="62">
        <f ca="1">IFERROR(__xludf.DUMMYFUNCTION("""COMPUTED_VALUE"""),3604.55)</f>
        <v>3604.55</v>
      </c>
      <c r="Q558" s="33" t="str">
        <f ca="1">IFERROR(__xludf.DUMMYFUNCTION("""COMPUTED_VALUE"""),"Luis Alberto Rodríguez")</f>
        <v>Luis Alberto Rodríguez</v>
      </c>
      <c r="R558" s="33" t="str">
        <f ca="1">IFERROR(__xludf.DUMMYFUNCTION("""COMPUTED_VALUE"""),"No recuerda ORL")</f>
        <v>No recuerda ORL</v>
      </c>
      <c r="S558" s="61" t="str">
        <f ca="1">IFERROR(__xludf.DUMMYFUNCTION("""COMPUTED_VALUE"""),"03 ORL")</f>
        <v>03 ORL</v>
      </c>
      <c r="T558" s="33" t="str">
        <f ca="1">IFERROR(__xludf.DUMMYFUNCTION("""COMPUTED_VALUE"""),"06 ORL")</f>
        <v>06 ORL</v>
      </c>
      <c r="U558" s="62"/>
      <c r="W558" s="62"/>
      <c r="X558" s="62"/>
    </row>
    <row r="559" spans="2:24" ht="16">
      <c r="B559" s="67" t="str">
        <f t="shared" ca="1" si="3"/>
        <v>#N/</v>
      </c>
      <c r="C559" s="64" t="str">
        <f ca="1">IFERROR(__xludf.DUMMYFUNCTION("""COMPUTED_VALUE"""),"#N/A")</f>
        <v>#N/A</v>
      </c>
      <c r="D559" s="33" t="str">
        <f ca="1">IFERROR(__xludf.DUMMYFUNCTION("""COMPUTED_VALUE"""),"ASOCIADOS")</f>
        <v>ASOCIADOS</v>
      </c>
      <c r="E559" s="33">
        <f ca="1">IFERROR(__xludf.DUMMYFUNCTION("""COMPUTED_VALUE"""),2026)</f>
        <v>2026</v>
      </c>
      <c r="F559" s="56">
        <f ca="1">IFERROR(__xludf.DUMMYFUNCTION("""COMPUTED_VALUE"""),3)</f>
        <v>3</v>
      </c>
      <c r="G559" s="33" t="str">
        <f ca="1">IFERROR(__xludf.DUMMYFUNCTION("""COMPUTED_VALUE"""),"Badajoz")</f>
        <v>Badajoz</v>
      </c>
      <c r="H559" s="33" t="str">
        <f ca="1">IFERROR(__xludf.DUMMYFUNCTION("""COMPUTED_VALUE"""),"C202622016344401919")</f>
        <v>C202622016344401919</v>
      </c>
      <c r="I559" s="33" t="str">
        <f ca="1">IFERROR(__xludf.DUMMYFUNCTION("""COMPUTED_VALUE"""),"MARIA JOSE PARRA RODRIGUEZ")</f>
        <v>MARIA JOSE PARRA RODRIGUEZ</v>
      </c>
      <c r="J559" s="57">
        <f ca="1">IFERROR(__xludf.DUMMYFUNCTION("""COMPUTED_VALUE"""),46073)</f>
        <v>46073</v>
      </c>
      <c r="K559" s="33" t="str">
        <f ca="1">IFERROR(__xludf.DUMMYFUNCTION("""COMPUTED_VALUE"""),"Prueba")</f>
        <v>Prueba</v>
      </c>
      <c r="L559" s="57">
        <f ca="1">IFERROR(__xludf.DUMMYFUNCTION("""COMPUTED_VALUE"""),46097)</f>
        <v>46097</v>
      </c>
      <c r="M559" s="64" t="str">
        <f ca="1">IFERROR(__xludf.DUMMYFUNCTION("""COMPUTED_VALUE"""),"NO")</f>
        <v>NO</v>
      </c>
      <c r="N559" s="56">
        <f ca="1">IFERROR(__xludf.DUMMYFUNCTION("""COMPUTED_VALUE"""),2)</f>
        <v>2</v>
      </c>
      <c r="O559" s="64" t="str">
        <f ca="1">IFERROR(__xludf.DUMMYFUNCTION("""COMPUTED_VALUE"""),"PRO")</f>
        <v>PRO</v>
      </c>
      <c r="P559" s="62">
        <f ca="1">IFERROR(__xludf.DUMMYFUNCTION("""COMPUTED_VALUE"""),4536.36)</f>
        <v>4536.3599999999997</v>
      </c>
      <c r="Q559" s="33" t="str">
        <f ca="1">IFERROR(__xludf.DUMMYFUNCTION("""COMPUTED_VALUE"""),"Luis Alberto Rodríguez")</f>
        <v>Luis Alberto Rodríguez</v>
      </c>
      <c r="R559" s="33" t="str">
        <f ca="1">IFERROR(__xludf.DUMMYFUNCTION("""COMPUTED_VALUE"""),"Dr, Tomas Mogollon Cano Cortes")</f>
        <v>Dr, Tomas Mogollon Cano Cortes</v>
      </c>
      <c r="S559" s="61" t="str">
        <f ca="1">IFERROR(__xludf.DUMMYFUNCTION("""COMPUTED_VALUE"""),"03 ORL")</f>
        <v>03 ORL</v>
      </c>
      <c r="T559" s="33" t="str">
        <f ca="1">IFERROR(__xludf.DUMMYFUNCTION("""COMPUTED_VALUE"""),"06 ORL")</f>
        <v>06 ORL</v>
      </c>
      <c r="U559" s="62"/>
      <c r="W559" s="62"/>
      <c r="X559" s="62"/>
    </row>
    <row r="560" spans="2:24" ht="16">
      <c r="B560" s="67" t="str">
        <f t="shared" ca="1" si="3"/>
        <v>#N/</v>
      </c>
      <c r="C560" s="64" t="str">
        <f ca="1">IFERROR(__xludf.DUMMYFUNCTION("""COMPUTED_VALUE"""),"#N/A")</f>
        <v>#N/A</v>
      </c>
      <c r="D560" s="33" t="str">
        <f ca="1">IFERROR(__xludf.DUMMYFUNCTION("""COMPUTED_VALUE"""),"ASOCIADOS")</f>
        <v>ASOCIADOS</v>
      </c>
      <c r="E560" s="33">
        <f ca="1">IFERROR(__xludf.DUMMYFUNCTION("""COMPUTED_VALUE"""),2026)</f>
        <v>2026</v>
      </c>
      <c r="F560" s="56">
        <f ca="1">IFERROR(__xludf.DUMMYFUNCTION("""COMPUTED_VALUE"""),3)</f>
        <v>3</v>
      </c>
      <c r="G560" s="33" t="str">
        <f ca="1">IFERROR(__xludf.DUMMYFUNCTION("""COMPUTED_VALUE"""),"Cáceres")</f>
        <v>Cáceres</v>
      </c>
      <c r="H560" s="33" t="str">
        <f ca="1">IFERROR(__xludf.DUMMYFUNCTION("""COMPUTED_VALUE"""),"C202632512461971910")</f>
        <v>C202632512461971910</v>
      </c>
      <c r="I560" s="33" t="str">
        <f ca="1">IFERROR(__xludf.DUMMYFUNCTION("""COMPUTED_VALUE"""),"BENITO GIL JORDAN")</f>
        <v>BENITO GIL JORDAN</v>
      </c>
      <c r="J560" s="57">
        <f ca="1">IFERROR(__xludf.DUMMYFUNCTION("""COMPUTED_VALUE"""),46106)</f>
        <v>46106</v>
      </c>
      <c r="K560" s="33" t="str">
        <f ca="1">IFERROR(__xludf.DUMMYFUNCTION("""COMPUTED_VALUE"""),"Prueba")</f>
        <v>Prueba</v>
      </c>
      <c r="L560" s="57">
        <f ca="1">IFERROR(__xludf.DUMMYFUNCTION("""COMPUTED_VALUE"""),46108)</f>
        <v>46108</v>
      </c>
      <c r="M560" s="64" t="str">
        <f ca="1">IFERROR(__xludf.DUMMYFUNCTION("""COMPUTED_VALUE"""),"NO")</f>
        <v>NO</v>
      </c>
      <c r="N560" s="56">
        <f ca="1">IFERROR(__xludf.DUMMYFUNCTION("""COMPUTED_VALUE"""),2)</f>
        <v>2</v>
      </c>
      <c r="O560" s="64" t="str">
        <f ca="1">IFERROR(__xludf.DUMMYFUNCTION("""COMPUTED_VALUE"""),"ADVANCED")</f>
        <v>ADVANCED</v>
      </c>
      <c r="P560" s="62">
        <f ca="1">IFERROR(__xludf.DUMMYFUNCTION("""COMPUTED_VALUE"""),4500)</f>
        <v>4500</v>
      </c>
      <c r="Q560" s="33" t="str">
        <f ca="1">IFERROR(__xludf.DUMMYFUNCTION("""COMPUTED_VALUE"""),"Luis Alberto Rodríguez")</f>
        <v>Luis Alberto Rodríguez</v>
      </c>
      <c r="R560" s="33" t="str">
        <f ca="1">IFERROR(__xludf.DUMMYFUNCTION("""COMPUTED_VALUE"""),"Dra, Marta García Jiménez")</f>
        <v>Dra, Marta García Jiménez</v>
      </c>
      <c r="S560" s="61" t="str">
        <f ca="1">IFERROR(__xludf.DUMMYFUNCTION("""COMPUTED_VALUE"""),"03 ORL")</f>
        <v>03 ORL</v>
      </c>
      <c r="T560" s="33" t="str">
        <f ca="1">IFERROR(__xludf.DUMMYFUNCTION("""COMPUTED_VALUE"""),"06 ORL")</f>
        <v>06 ORL</v>
      </c>
      <c r="U560" s="62"/>
      <c r="W560" s="62"/>
      <c r="X560" s="62"/>
    </row>
    <row r="561" spans="2:24" ht="16">
      <c r="B561" s="67" t="str">
        <f t="shared" ca="1" si="3"/>
        <v>#N/</v>
      </c>
      <c r="C561" s="64" t="str">
        <f ca="1">IFERROR(__xludf.DUMMYFUNCTION("""COMPUTED_VALUE"""),"#N/A")</f>
        <v>#N/A</v>
      </c>
      <c r="D561" s="33" t="str">
        <f ca="1">IFERROR(__xludf.DUMMYFUNCTION("""COMPUTED_VALUE"""),"ASOCIADOS")</f>
        <v>ASOCIADOS</v>
      </c>
      <c r="E561" s="33">
        <f ca="1">IFERROR(__xludf.DUMMYFUNCTION("""COMPUTED_VALUE"""),2026)</f>
        <v>2026</v>
      </c>
      <c r="F561" s="56">
        <f ca="1">IFERROR(__xludf.DUMMYFUNCTION("""COMPUTED_VALUE"""),3)</f>
        <v>3</v>
      </c>
      <c r="G561" s="33" t="str">
        <f ca="1">IFERROR(__xludf.DUMMYFUNCTION("""COMPUTED_VALUE"""),"Cáceres")</f>
        <v>Cáceres</v>
      </c>
      <c r="H561" s="33" t="str">
        <f ca="1">IFERROR(__xludf.DUMMYFUNCTION("""COMPUTED_VALUE"""),"C202635174025816042")</f>
        <v>C202635174025816042</v>
      </c>
      <c r="I561" s="33" t="str">
        <f ca="1">IFERROR(__xludf.DUMMYFUNCTION("""COMPUTED_VALUE"""),"CASTO HERRERO COLLADO")</f>
        <v>CASTO HERRERO COLLADO</v>
      </c>
      <c r="J561" s="57">
        <f ca="1">IFERROR(__xludf.DUMMYFUNCTION("""COMPUTED_VALUE"""),46086)</f>
        <v>46086</v>
      </c>
      <c r="K561" s="33" t="str">
        <f ca="1">IFERROR(__xludf.DUMMYFUNCTION("""COMPUTED_VALUE"""),"Devuelve")</f>
        <v>Devuelve</v>
      </c>
      <c r="L561" s="57">
        <f ca="1">IFERROR(__xludf.DUMMYFUNCTION("""COMPUTED_VALUE"""),46094)</f>
        <v>46094</v>
      </c>
      <c r="M561" s="64" t="str">
        <f ca="1">IFERROR(__xludf.DUMMYFUNCTION("""COMPUTED_VALUE"""),"NO")</f>
        <v>NO</v>
      </c>
      <c r="N561" s="56">
        <f ca="1">IFERROR(__xludf.DUMMYFUNCTION("""COMPUTED_VALUE"""),2)</f>
        <v>2</v>
      </c>
      <c r="O561" s="64" t="str">
        <f ca="1">IFERROR(__xludf.DUMMYFUNCTION("""COMPUTED_VALUE"""),"PRO")</f>
        <v>PRO</v>
      </c>
      <c r="P561" s="62">
        <f ca="1">IFERROR(__xludf.DUMMYFUNCTION("""COMPUTED_VALUE"""),4990.91)</f>
        <v>4990.91</v>
      </c>
      <c r="Q561" s="33" t="str">
        <f ca="1">IFERROR(__xludf.DUMMYFUNCTION("""COMPUTED_VALUE"""),"Lisandro Russian")</f>
        <v>Lisandro Russian</v>
      </c>
      <c r="R561" s="33" t="str">
        <f ca="1">IFERROR(__xludf.DUMMYFUNCTION("""COMPUTED_VALUE"""),"Dra, Daniela Carolina Laguado Bulgheroni")</f>
        <v>Dra, Daniela Carolina Laguado Bulgheroni</v>
      </c>
      <c r="S561" s="61" t="str">
        <f ca="1">IFERROR(__xludf.DUMMYFUNCTION("""COMPUTED_VALUE"""),"03 ORL")</f>
        <v>03 ORL</v>
      </c>
      <c r="T561" s="33" t="str">
        <f ca="1">IFERROR(__xludf.DUMMYFUNCTION("""COMPUTED_VALUE"""),"06 ORL")</f>
        <v>06 ORL</v>
      </c>
      <c r="U561" s="62"/>
      <c r="W561" s="62"/>
      <c r="X561" s="62"/>
    </row>
    <row r="562" spans="2:24" ht="16">
      <c r="B562" s="67" t="str">
        <f t="shared" ca="1" si="3"/>
        <v>#N/</v>
      </c>
      <c r="C562" s="64" t="str">
        <f ca="1">IFERROR(__xludf.DUMMYFUNCTION("""COMPUTED_VALUE"""),"#N/A")</f>
        <v>#N/A</v>
      </c>
      <c r="D562" s="33" t="str">
        <f ca="1">IFERROR(__xludf.DUMMYFUNCTION("""COMPUTED_VALUE"""),"ASOCIADOS")</f>
        <v>ASOCIADOS</v>
      </c>
      <c r="E562" s="33">
        <f ca="1">IFERROR(__xludf.DUMMYFUNCTION("""COMPUTED_VALUE"""),2026)</f>
        <v>2026</v>
      </c>
      <c r="F562" s="56">
        <f ca="1">IFERROR(__xludf.DUMMYFUNCTION("""COMPUTED_VALUE"""),3)</f>
        <v>3</v>
      </c>
      <c r="G562" s="33" t="str">
        <f ca="1">IFERROR(__xludf.DUMMYFUNCTION("""COMPUTED_VALUE"""),"Cáceres")</f>
        <v>Cáceres</v>
      </c>
      <c r="H562" s="33" t="str">
        <f ca="1">IFERROR(__xludf.DUMMYFUNCTION("""COMPUTED_VALUE"""),"C202633015471721865")</f>
        <v>C202633015471721865</v>
      </c>
      <c r="I562" s="33" t="str">
        <f ca="1">IFERROR(__xludf.DUMMYFUNCTION("""COMPUTED_VALUE"""),"DIEGO MORENO BACHILLER")</f>
        <v>DIEGO MORENO BACHILLER</v>
      </c>
      <c r="J562" s="57">
        <f ca="1">IFERROR(__xludf.DUMMYFUNCTION("""COMPUTED_VALUE"""),46111)</f>
        <v>46111</v>
      </c>
      <c r="K562" s="33" t="str">
        <f ca="1">IFERROR(__xludf.DUMMYFUNCTION("""COMPUTED_VALUE"""),"Prueba")</f>
        <v>Prueba</v>
      </c>
      <c r="L562" s="57">
        <f ca="1">IFERROR(__xludf.DUMMYFUNCTION("""COMPUTED_VALUE"""),46112)</f>
        <v>46112</v>
      </c>
      <c r="M562" s="64" t="str">
        <f ca="1">IFERROR(__xludf.DUMMYFUNCTION("""COMPUTED_VALUE"""),"NO")</f>
        <v>NO</v>
      </c>
      <c r="N562" s="56">
        <f ca="1">IFERROR(__xludf.DUMMYFUNCTION("""COMPUTED_VALUE"""),2)</f>
        <v>2</v>
      </c>
      <c r="O562" s="64" t="str">
        <f ca="1">IFERROR(__xludf.DUMMYFUNCTION("""COMPUTED_VALUE"""),"ADVANCED")</f>
        <v>ADVANCED</v>
      </c>
      <c r="P562" s="62">
        <f ca="1">IFERROR(__xludf.DUMMYFUNCTION("""COMPUTED_VALUE"""),4500)</f>
        <v>4500</v>
      </c>
      <c r="Q562" s="33" t="str">
        <f ca="1">IFERROR(__xludf.DUMMYFUNCTION("""COMPUTED_VALUE"""),"Lisandro Russian")</f>
        <v>Lisandro Russian</v>
      </c>
      <c r="R562" s="33" t="str">
        <f ca="1">IFERROR(__xludf.DUMMYFUNCTION("""COMPUTED_VALUE"""),"Dr, Raed Maqued El Maqued")</f>
        <v>Dr, Raed Maqued El Maqued</v>
      </c>
      <c r="S562" s="61" t="str">
        <f ca="1">IFERROR(__xludf.DUMMYFUNCTION("""COMPUTED_VALUE"""),"03 ORL")</f>
        <v>03 ORL</v>
      </c>
      <c r="T562" s="33" t="str">
        <f ca="1">IFERROR(__xludf.DUMMYFUNCTION("""COMPUTED_VALUE"""),"06 ORL")</f>
        <v>06 ORL</v>
      </c>
      <c r="U562" s="62"/>
      <c r="W562" s="62"/>
      <c r="X562" s="62"/>
    </row>
    <row r="563" spans="2:24" ht="16">
      <c r="B563" s="67" t="str">
        <f t="shared" ca="1" si="3"/>
        <v>#N/</v>
      </c>
      <c r="C563" s="64" t="str">
        <f ca="1">IFERROR(__xludf.DUMMYFUNCTION("""COMPUTED_VALUE"""),"#N/A")</f>
        <v>#N/A</v>
      </c>
      <c r="D563" s="33" t="str">
        <f ca="1">IFERROR(__xludf.DUMMYFUNCTION("""COMPUTED_VALUE"""),"ASOCIADOS")</f>
        <v>ASOCIADOS</v>
      </c>
      <c r="E563" s="33">
        <f ca="1">IFERROR(__xludf.DUMMYFUNCTION("""COMPUTED_VALUE"""),2026)</f>
        <v>2026</v>
      </c>
      <c r="F563" s="56">
        <f ca="1">IFERROR(__xludf.DUMMYFUNCTION("""COMPUTED_VALUE"""),3)</f>
        <v>3</v>
      </c>
      <c r="G563" s="33" t="str">
        <f ca="1">IFERROR(__xludf.DUMMYFUNCTION("""COMPUTED_VALUE"""),"Cáceres")</f>
        <v>Cáceres</v>
      </c>
      <c r="H563" s="33" t="str">
        <f ca="1">IFERROR(__xludf.DUMMYFUNCTION("""COMPUTED_VALUE"""),"C202631016361394975")</f>
        <v>C202631016361394975</v>
      </c>
      <c r="I563" s="33" t="str">
        <f ca="1">IFERROR(__xludf.DUMMYFUNCTION("""COMPUTED_VALUE"""),"ELOISA HOLGADO GARCIA")</f>
        <v>ELOISA HOLGADO GARCIA</v>
      </c>
      <c r="J563" s="57">
        <f ca="1">IFERROR(__xludf.DUMMYFUNCTION("""COMPUTED_VALUE"""),46091)</f>
        <v>46091</v>
      </c>
      <c r="K563" s="33" t="str">
        <f ca="1">IFERROR(__xludf.DUMMYFUNCTION("""COMPUTED_VALUE"""),"Prueba")</f>
        <v>Prueba</v>
      </c>
      <c r="L563" s="57">
        <f ca="1">IFERROR(__xludf.DUMMYFUNCTION("""COMPUTED_VALUE"""),46098)</f>
        <v>46098</v>
      </c>
      <c r="M563" s="64" t="str">
        <f ca="1">IFERROR(__xludf.DUMMYFUNCTION("""COMPUTED_VALUE"""),"NO")</f>
        <v>NO</v>
      </c>
      <c r="N563" s="56">
        <f ca="1">IFERROR(__xludf.DUMMYFUNCTION("""COMPUTED_VALUE"""),2)</f>
        <v>2</v>
      </c>
      <c r="O563" s="64" t="str">
        <f ca="1">IFERROR(__xludf.DUMMYFUNCTION("""COMPUTED_VALUE"""),"CONFORT")</f>
        <v>CONFORT</v>
      </c>
      <c r="P563" s="62">
        <f ca="1">IFERROR(__xludf.DUMMYFUNCTION("""COMPUTED_VALUE"""),3678.18)</f>
        <v>3678.18</v>
      </c>
      <c r="Q563" s="33" t="str">
        <f ca="1">IFERROR(__xludf.DUMMYFUNCTION("""COMPUTED_VALUE"""),"Luis Alberto Rodríguez")</f>
        <v>Luis Alberto Rodríguez</v>
      </c>
      <c r="R563" s="33" t="str">
        <f ca="1">IFERROR(__xludf.DUMMYFUNCTION("""COMPUTED_VALUE"""),"Dra, Marta García Jiménez")</f>
        <v>Dra, Marta García Jiménez</v>
      </c>
      <c r="S563" s="61" t="str">
        <f ca="1">IFERROR(__xludf.DUMMYFUNCTION("""COMPUTED_VALUE"""),"03 ORL")</f>
        <v>03 ORL</v>
      </c>
      <c r="T563" s="33" t="str">
        <f ca="1">IFERROR(__xludf.DUMMYFUNCTION("""COMPUTED_VALUE"""),"06 ORL")</f>
        <v>06 ORL</v>
      </c>
      <c r="U563" s="62"/>
      <c r="W563" s="62"/>
      <c r="X563" s="62"/>
    </row>
    <row r="564" spans="2:24" ht="16">
      <c r="B564" s="67" t="str">
        <f t="shared" ca="1" si="3"/>
        <v>#N/</v>
      </c>
      <c r="C564" s="64" t="str">
        <f ca="1">IFERROR(__xludf.DUMMYFUNCTION("""COMPUTED_VALUE"""),"#N/A")</f>
        <v>#N/A</v>
      </c>
      <c r="D564" s="33" t="str">
        <f ca="1">IFERROR(__xludf.DUMMYFUNCTION("""COMPUTED_VALUE"""),"ASOCIADOS")</f>
        <v>ASOCIADOS</v>
      </c>
      <c r="E564" s="33">
        <f ca="1">IFERROR(__xludf.DUMMYFUNCTION("""COMPUTED_VALUE"""),2026)</f>
        <v>2026</v>
      </c>
      <c r="F564" s="56">
        <f ca="1">IFERROR(__xludf.DUMMYFUNCTION("""COMPUTED_VALUE"""),3)</f>
        <v>3</v>
      </c>
      <c r="G564" s="33" t="str">
        <f ca="1">IFERROR(__xludf.DUMMYFUNCTION("""COMPUTED_VALUE"""),"Cáceres")</f>
        <v>Cáceres</v>
      </c>
      <c r="H564" s="33" t="str">
        <f ca="1">IFERROR(__xludf.DUMMYFUNCTION("""COMPUTED_VALUE"""),"C20262269245950981")</f>
        <v>C20262269245950981</v>
      </c>
      <c r="I564" s="33" t="str">
        <f ca="1">IFERROR(__xludf.DUMMYFUNCTION("""COMPUTED_VALUE"""),"FELIX  PEREZ BLANCO")</f>
        <v>FELIX  PEREZ BLANCO</v>
      </c>
      <c r="J564" s="57">
        <f ca="1">IFERROR(__xludf.DUMMYFUNCTION("""COMPUTED_VALUE"""),46079)</f>
        <v>46079</v>
      </c>
      <c r="K564" s="33" t="str">
        <f ca="1">IFERROR(__xludf.DUMMYFUNCTION("""COMPUTED_VALUE"""),"Devuelve")</f>
        <v>Devuelve</v>
      </c>
      <c r="L564" s="57">
        <f ca="1">IFERROR(__xludf.DUMMYFUNCTION("""COMPUTED_VALUE"""),46085)</f>
        <v>46085</v>
      </c>
      <c r="M564" s="64" t="str">
        <f ca="1">IFERROR(__xludf.DUMMYFUNCTION("""COMPUTED_VALUE"""),"NO")</f>
        <v>NO</v>
      </c>
      <c r="N564" s="56">
        <f ca="1">IFERROR(__xludf.DUMMYFUNCTION("""COMPUTED_VALUE"""),1)</f>
        <v>1</v>
      </c>
      <c r="O564" s="64" t="str">
        <f ca="1">IFERROR(__xludf.DUMMYFUNCTION("""COMPUTED_VALUE"""),"PRO")</f>
        <v>PRO</v>
      </c>
      <c r="P564" s="62">
        <f ca="1">IFERROR(__xludf.DUMMYFUNCTION("""COMPUTED_VALUE"""),2745)</f>
        <v>2745</v>
      </c>
      <c r="Q564" s="33" t="str">
        <f ca="1">IFERROR(__xludf.DUMMYFUNCTION("""COMPUTED_VALUE"""),"Lisandro Russian")</f>
        <v>Lisandro Russian</v>
      </c>
      <c r="R564" s="33" t="str">
        <f ca="1">IFERROR(__xludf.DUMMYFUNCTION("""COMPUTED_VALUE"""),"Dra, Daniela Carolina Laguado Bulgheroni")</f>
        <v>Dra, Daniela Carolina Laguado Bulgheroni</v>
      </c>
      <c r="S564" s="61" t="str">
        <f ca="1">IFERROR(__xludf.DUMMYFUNCTION("""COMPUTED_VALUE"""),"03 ORL")</f>
        <v>03 ORL</v>
      </c>
      <c r="T564" s="33" t="str">
        <f ca="1">IFERROR(__xludf.DUMMYFUNCTION("""COMPUTED_VALUE"""),"06 ORL")</f>
        <v>06 ORL</v>
      </c>
      <c r="U564" s="62"/>
      <c r="W564" s="61"/>
      <c r="X564" s="62"/>
    </row>
    <row r="565" spans="2:24" ht="16">
      <c r="B565" s="67" t="str">
        <f t="shared" ca="1" si="3"/>
        <v>#N/</v>
      </c>
      <c r="C565" s="64" t="str">
        <f ca="1">IFERROR(__xludf.DUMMYFUNCTION("""COMPUTED_VALUE"""),"#N/A")</f>
        <v>#N/A</v>
      </c>
      <c r="D565" s="33" t="str">
        <f ca="1">IFERROR(__xludf.DUMMYFUNCTION("""COMPUTED_VALUE"""),"ASOCIADOS")</f>
        <v>ASOCIADOS</v>
      </c>
      <c r="E565" s="33">
        <f ca="1">IFERROR(__xludf.DUMMYFUNCTION("""COMPUTED_VALUE"""),2026)</f>
        <v>2026</v>
      </c>
      <c r="F565" s="56">
        <f ca="1">IFERROR(__xludf.DUMMYFUNCTION("""COMPUTED_VALUE"""),3)</f>
        <v>3</v>
      </c>
      <c r="G565" s="33" t="str">
        <f ca="1">IFERROR(__xludf.DUMMYFUNCTION("""COMPUTED_VALUE"""),"Cáceres")</f>
        <v>Cáceres</v>
      </c>
      <c r="H565" s="33" t="str">
        <f ca="1">IFERROR(__xludf.DUMMYFUNCTION("""COMPUTED_VALUE"""),"C202632103617887570")</f>
        <v>C202632103617887570</v>
      </c>
      <c r="I565" s="33" t="str">
        <f ca="1">IFERROR(__xludf.DUMMYFUNCTION("""COMPUTED_VALUE"""),"FRANCISCO PALENCIA REY")</f>
        <v>FRANCISCO PALENCIA REY</v>
      </c>
      <c r="J565" s="57">
        <f ca="1">IFERROR(__xludf.DUMMYFUNCTION("""COMPUTED_VALUE"""),46083)</f>
        <v>46083</v>
      </c>
      <c r="K565" s="33" t="str">
        <f ca="1">IFERROR(__xludf.DUMMYFUNCTION("""COMPUTED_VALUE"""),"Devuelve")</f>
        <v>Devuelve</v>
      </c>
      <c r="L565" s="57">
        <f ca="1">IFERROR(__xludf.DUMMYFUNCTION("""COMPUTED_VALUE"""),46087)</f>
        <v>46087</v>
      </c>
      <c r="M565" s="64" t="str">
        <f ca="1">IFERROR(__xludf.DUMMYFUNCTION("""COMPUTED_VALUE"""),"NO")</f>
        <v>NO</v>
      </c>
      <c r="N565" s="56">
        <f ca="1">IFERROR(__xludf.DUMMYFUNCTION("""COMPUTED_VALUE"""),2)</f>
        <v>2</v>
      </c>
      <c r="O565" s="64" t="str">
        <f ca="1">IFERROR(__xludf.DUMMYFUNCTION("""COMPUTED_VALUE"""),"ADVANCED")</f>
        <v>ADVANCED</v>
      </c>
      <c r="P565" s="62">
        <f ca="1">IFERROR(__xludf.DUMMYFUNCTION("""COMPUTED_VALUE"""),4500)</f>
        <v>4500</v>
      </c>
      <c r="Q565" s="33" t="str">
        <f ca="1">IFERROR(__xludf.DUMMYFUNCTION("""COMPUTED_VALUE"""),"Lisandro Russian")</f>
        <v>Lisandro Russian</v>
      </c>
      <c r="R565" s="33" t="str">
        <f ca="1">IFERROR(__xludf.DUMMYFUNCTION("""COMPUTED_VALUE"""),"Dra, Daniela Carolina Laguado Bulgheroni")</f>
        <v>Dra, Daniela Carolina Laguado Bulgheroni</v>
      </c>
      <c r="S565" s="61" t="str">
        <f ca="1">IFERROR(__xludf.DUMMYFUNCTION("""COMPUTED_VALUE"""),"03 ORL")</f>
        <v>03 ORL</v>
      </c>
      <c r="T565" s="33" t="str">
        <f ca="1">IFERROR(__xludf.DUMMYFUNCTION("""COMPUTED_VALUE"""),"06 ORL")</f>
        <v>06 ORL</v>
      </c>
      <c r="U565" s="62"/>
      <c r="W565" s="61"/>
      <c r="X565" s="62"/>
    </row>
    <row r="566" spans="2:24" ht="16">
      <c r="B566" s="67" t="str">
        <f t="shared" ca="1" si="3"/>
        <v>#N/</v>
      </c>
      <c r="C566" s="64" t="str">
        <f ca="1">IFERROR(__xludf.DUMMYFUNCTION("""COMPUTED_VALUE"""),"#N/A")</f>
        <v>#N/A</v>
      </c>
      <c r="D566" s="33" t="str">
        <f ca="1">IFERROR(__xludf.DUMMYFUNCTION("""COMPUTED_VALUE"""),"ASOCIADOS")</f>
        <v>ASOCIADOS</v>
      </c>
      <c r="E566" s="33">
        <f ca="1">IFERROR(__xludf.DUMMYFUNCTION("""COMPUTED_VALUE"""),2026)</f>
        <v>2026</v>
      </c>
      <c r="F566" s="56">
        <f ca="1">IFERROR(__xludf.DUMMYFUNCTION("""COMPUTED_VALUE"""),3)</f>
        <v>3</v>
      </c>
      <c r="G566" s="33" t="str">
        <f ca="1">IFERROR(__xludf.DUMMYFUNCTION("""COMPUTED_VALUE"""),"Cáceres")</f>
        <v>Cáceres</v>
      </c>
      <c r="H566" s="33" t="str">
        <f ca="1">IFERROR(__xludf.DUMMYFUNCTION("""COMPUTED_VALUE"""),"C202632492822641146")</f>
        <v>C202632492822641146</v>
      </c>
      <c r="I566" s="33" t="str">
        <f ca="1">IFERROR(__xludf.DUMMYFUNCTION("""COMPUTED_VALUE"""),"GASPAR  GAZO LAHOZ")</f>
        <v>GASPAR  GAZO LAHOZ</v>
      </c>
      <c r="J566" s="57">
        <f ca="1">IFERROR(__xludf.DUMMYFUNCTION("""COMPUTED_VALUE"""),46105)</f>
        <v>46105</v>
      </c>
      <c r="K566" s="33" t="str">
        <f ca="1">IFERROR(__xludf.DUMMYFUNCTION("""COMPUTED_VALUE"""),"Prueba")</f>
        <v>Prueba</v>
      </c>
      <c r="L566" s="57">
        <f ca="1">IFERROR(__xludf.DUMMYFUNCTION("""COMPUTED_VALUE"""),46106)</f>
        <v>46106</v>
      </c>
      <c r="M566" s="64" t="str">
        <f ca="1">IFERROR(__xludf.DUMMYFUNCTION("""COMPUTED_VALUE"""),"NO")</f>
        <v>NO</v>
      </c>
      <c r="N566" s="56">
        <f ca="1">IFERROR(__xludf.DUMMYFUNCTION("""COMPUTED_VALUE"""),2)</f>
        <v>2</v>
      </c>
      <c r="O566" s="64" t="str">
        <f ca="1">IFERROR(__xludf.DUMMYFUNCTION("""COMPUTED_VALUE"""),"PRO")</f>
        <v>PRO</v>
      </c>
      <c r="P566" s="62">
        <f ca="1">IFERROR(__xludf.DUMMYFUNCTION("""COMPUTED_VALUE"""),4990.91)</f>
        <v>4990.91</v>
      </c>
      <c r="Q566" s="33" t="str">
        <f ca="1">IFERROR(__xludf.DUMMYFUNCTION("""COMPUTED_VALUE"""),"Luis Alberto Rodríguez")</f>
        <v>Luis Alberto Rodríguez</v>
      </c>
      <c r="R566" s="33" t="str">
        <f ca="1">IFERROR(__xludf.DUMMYFUNCTION("""COMPUTED_VALUE"""),"Dr, Javier García Gómez")</f>
        <v>Dr, Javier García Gómez</v>
      </c>
      <c r="S566" s="61" t="str">
        <f ca="1">IFERROR(__xludf.DUMMYFUNCTION("""COMPUTED_VALUE"""),"03 ORL")</f>
        <v>03 ORL</v>
      </c>
      <c r="T566" s="33" t="str">
        <f ca="1">IFERROR(__xludf.DUMMYFUNCTION("""COMPUTED_VALUE"""),"06 ORL")</f>
        <v>06 ORL</v>
      </c>
      <c r="U566" s="62"/>
      <c r="W566" s="61"/>
      <c r="X566" s="62"/>
    </row>
    <row r="567" spans="2:24" ht="16">
      <c r="B567" s="67" t="str">
        <f t="shared" ca="1" si="3"/>
        <v>#N/</v>
      </c>
      <c r="C567" s="64" t="str">
        <f ca="1">IFERROR(__xludf.DUMMYFUNCTION("""COMPUTED_VALUE"""),"#N/A")</f>
        <v>#N/A</v>
      </c>
      <c r="D567" s="33" t="str">
        <f ca="1">IFERROR(__xludf.DUMMYFUNCTION("""COMPUTED_VALUE"""),"ASOCIADOS")</f>
        <v>ASOCIADOS</v>
      </c>
      <c r="E567" s="33">
        <f ca="1">IFERROR(__xludf.DUMMYFUNCTION("""COMPUTED_VALUE"""),2026)</f>
        <v>2026</v>
      </c>
      <c r="F567" s="56">
        <f ca="1">IFERROR(__xludf.DUMMYFUNCTION("""COMPUTED_VALUE"""),3)</f>
        <v>3</v>
      </c>
      <c r="G567" s="33" t="str">
        <f ca="1">IFERROR(__xludf.DUMMYFUNCTION("""COMPUTED_VALUE"""),"Cáceres")</f>
        <v>Cáceres</v>
      </c>
      <c r="H567" s="33" t="str">
        <f ca="1">IFERROR(__xludf.DUMMYFUNCTION("""COMPUTED_VALUE"""),"C202631392331143617")</f>
        <v>C202631392331143617</v>
      </c>
      <c r="I567" s="33" t="str">
        <f ca="1">IFERROR(__xludf.DUMMYFUNCTION("""COMPUTED_VALUE"""),"INES LOZANO CARRASCO")</f>
        <v>INES LOZANO CARRASCO</v>
      </c>
      <c r="J567" s="57">
        <f ca="1">IFERROR(__xludf.DUMMYFUNCTION("""COMPUTED_VALUE"""),46094)</f>
        <v>46094</v>
      </c>
      <c r="K567" s="33" t="str">
        <f ca="1">IFERROR(__xludf.DUMMYFUNCTION("""COMPUTED_VALUE"""),"Presupuesto")</f>
        <v>Presupuesto</v>
      </c>
      <c r="L567" s="57">
        <f ca="1">IFERROR(__xludf.DUMMYFUNCTION("""COMPUTED_VALUE"""),46101)</f>
        <v>46101</v>
      </c>
      <c r="M567" s="64" t="str">
        <f ca="1">IFERROR(__xludf.DUMMYFUNCTION("""COMPUTED_VALUE"""),"NO")</f>
        <v>NO</v>
      </c>
      <c r="N567" s="56">
        <f ca="1">IFERROR(__xludf.DUMMYFUNCTION("""COMPUTED_VALUE"""),2)</f>
        <v>2</v>
      </c>
      <c r="O567" s="64" t="str">
        <f ca="1">IFERROR(__xludf.DUMMYFUNCTION("""COMPUTED_VALUE"""),"CONFORT")</f>
        <v>CONFORT</v>
      </c>
      <c r="P567" s="62">
        <f ca="1">IFERROR(__xludf.DUMMYFUNCTION("""COMPUTED_VALUE"""),3678.18)</f>
        <v>3678.18</v>
      </c>
      <c r="Q567" s="33" t="str">
        <f ca="1">IFERROR(__xludf.DUMMYFUNCTION("""COMPUTED_VALUE"""),"Lisandro Russian")</f>
        <v>Lisandro Russian</v>
      </c>
      <c r="R567" s="33" t="str">
        <f ca="1">IFERROR(__xludf.DUMMYFUNCTION("""COMPUTED_VALUE"""),"Dr, Javier García Gómez")</f>
        <v>Dr, Javier García Gómez</v>
      </c>
      <c r="S567" s="61" t="str">
        <f ca="1">IFERROR(__xludf.DUMMYFUNCTION("""COMPUTED_VALUE"""),"03 ORL")</f>
        <v>03 ORL</v>
      </c>
      <c r="T567" s="33" t="str">
        <f ca="1">IFERROR(__xludf.DUMMYFUNCTION("""COMPUTED_VALUE"""),"06 ORL")</f>
        <v>06 ORL</v>
      </c>
      <c r="U567" s="62"/>
      <c r="W567" s="61"/>
      <c r="X567" s="62"/>
    </row>
    <row r="568" spans="2:24" ht="16">
      <c r="B568" s="67" t="str">
        <f t="shared" ca="1" si="3"/>
        <v>#N/</v>
      </c>
      <c r="C568" s="64" t="str">
        <f ca="1">IFERROR(__xludf.DUMMYFUNCTION("""COMPUTED_VALUE"""),"#N/A")</f>
        <v>#N/A</v>
      </c>
      <c r="D568" s="33" t="str">
        <f ca="1">IFERROR(__xludf.DUMMYFUNCTION("""COMPUTED_VALUE"""),"ASOCIADOS")</f>
        <v>ASOCIADOS</v>
      </c>
      <c r="E568" s="33">
        <f ca="1">IFERROR(__xludf.DUMMYFUNCTION("""COMPUTED_VALUE"""),2026)</f>
        <v>2026</v>
      </c>
      <c r="F568" s="56">
        <f ca="1">IFERROR(__xludf.DUMMYFUNCTION("""COMPUTED_VALUE"""),3)</f>
        <v>3</v>
      </c>
      <c r="G568" s="33" t="str">
        <f ca="1">IFERROR(__xludf.DUMMYFUNCTION("""COMPUTED_VALUE"""),"Cáceres")</f>
        <v>Cáceres</v>
      </c>
      <c r="H568" s="33" t="str">
        <f ca="1">IFERROR(__xludf.DUMMYFUNCTION("""COMPUTED_VALUE"""),"C202631611358711730")</f>
        <v>C202631611358711730</v>
      </c>
      <c r="I568" s="33" t="str">
        <f ca="1">IFERROR(__xludf.DUMMYFUNCTION("""COMPUTED_VALUE"""),"JACINTO CORTIJO PARRALEJO")</f>
        <v>JACINTO CORTIJO PARRALEJO</v>
      </c>
      <c r="J568" s="57">
        <f ca="1">IFERROR(__xludf.DUMMYFUNCTION("""COMPUTED_VALUE"""),46097)</f>
        <v>46097</v>
      </c>
      <c r="K568" s="33" t="str">
        <f ca="1">IFERROR(__xludf.DUMMYFUNCTION("""COMPUTED_VALUE"""),"Prueba")</f>
        <v>Prueba</v>
      </c>
      <c r="L568" s="57">
        <f ca="1">IFERROR(__xludf.DUMMYFUNCTION("""COMPUTED_VALUE"""),46098)</f>
        <v>46098</v>
      </c>
      <c r="M568" s="64" t="str">
        <f ca="1">IFERROR(__xludf.DUMMYFUNCTION("""COMPUTED_VALUE"""),"NO")</f>
        <v>NO</v>
      </c>
      <c r="N568" s="56">
        <f ca="1">IFERROR(__xludf.DUMMYFUNCTION("""COMPUTED_VALUE"""),1)</f>
        <v>1</v>
      </c>
      <c r="O568" s="64" t="str">
        <f ca="1">IFERROR(__xludf.DUMMYFUNCTION("""COMPUTED_VALUE"""),"PRO")</f>
        <v>PRO</v>
      </c>
      <c r="P568" s="62">
        <f ca="1">IFERROR(__xludf.DUMMYFUNCTION("""COMPUTED_VALUE"""),2745)</f>
        <v>2745</v>
      </c>
      <c r="Q568" s="33" t="str">
        <f ca="1">IFERROR(__xludf.DUMMYFUNCTION("""COMPUTED_VALUE"""),"Luis Alberto Rodríguez")</f>
        <v>Luis Alberto Rodríguez</v>
      </c>
      <c r="R568" s="33" t="str">
        <f ca="1">IFERROR(__xludf.DUMMYFUNCTION("""COMPUTED_VALUE"""),"Dr, Manuel Cañete Domínguez")</f>
        <v>Dr, Manuel Cañete Domínguez</v>
      </c>
      <c r="S568" s="61" t="str">
        <f ca="1">IFERROR(__xludf.DUMMYFUNCTION("""COMPUTED_VALUE"""),"03 ORL")</f>
        <v>03 ORL</v>
      </c>
      <c r="T568" s="33" t="str">
        <f ca="1">IFERROR(__xludf.DUMMYFUNCTION("""COMPUTED_VALUE"""),"06 ORL")</f>
        <v>06 ORL</v>
      </c>
      <c r="U568" s="62"/>
      <c r="W568" s="61"/>
      <c r="X568" s="62"/>
    </row>
    <row r="569" spans="2:24" ht="16">
      <c r="B569" s="67" t="str">
        <f t="shared" ca="1" si="3"/>
        <v>#N/</v>
      </c>
      <c r="C569" s="64" t="str">
        <f ca="1">IFERROR(__xludf.DUMMYFUNCTION("""COMPUTED_VALUE"""),"#N/A")</f>
        <v>#N/A</v>
      </c>
      <c r="D569" s="33" t="str">
        <f ca="1">IFERROR(__xludf.DUMMYFUNCTION("""COMPUTED_VALUE"""),"ASOCIADOS")</f>
        <v>ASOCIADOS</v>
      </c>
      <c r="E569" s="33">
        <f ca="1">IFERROR(__xludf.DUMMYFUNCTION("""COMPUTED_VALUE"""),2026)</f>
        <v>2026</v>
      </c>
      <c r="F569" s="56">
        <f ca="1">IFERROR(__xludf.DUMMYFUNCTION("""COMPUTED_VALUE"""),3)</f>
        <v>3</v>
      </c>
      <c r="G569" s="33" t="str">
        <f ca="1">IFERROR(__xludf.DUMMYFUNCTION("""COMPUTED_VALUE"""),"Cáceres")</f>
        <v>Cáceres</v>
      </c>
      <c r="H569" s="33" t="str">
        <f ca="1">IFERROR(__xludf.DUMMYFUNCTION("""COMPUTED_VALUE"""),"C202631016101596206")</f>
        <v>C202631016101596206</v>
      </c>
      <c r="I569" s="33" t="str">
        <f ca="1">IFERROR(__xludf.DUMMYFUNCTION("""COMPUTED_VALUE"""),"JUAN MARIA MARTIN BRAVO")</f>
        <v>JUAN MARIA MARTIN BRAVO</v>
      </c>
      <c r="J569" s="57">
        <f ca="1">IFERROR(__xludf.DUMMYFUNCTION("""COMPUTED_VALUE"""),46091)</f>
        <v>46091</v>
      </c>
      <c r="K569" s="33" t="str">
        <f ca="1">IFERROR(__xludf.DUMMYFUNCTION("""COMPUTED_VALUE"""),"Devuelve")</f>
        <v>Devuelve</v>
      </c>
      <c r="L569" s="57">
        <f ca="1">IFERROR(__xludf.DUMMYFUNCTION("""COMPUTED_VALUE"""),46093)</f>
        <v>46093</v>
      </c>
      <c r="M569" s="64" t="str">
        <f ca="1">IFERROR(__xludf.DUMMYFUNCTION("""COMPUTED_VALUE"""),"NO")</f>
        <v>NO</v>
      </c>
      <c r="N569" s="56">
        <f ca="1">IFERROR(__xludf.DUMMYFUNCTION("""COMPUTED_VALUE"""),2)</f>
        <v>2</v>
      </c>
      <c r="O569" s="64" t="str">
        <f ca="1">IFERROR(__xludf.DUMMYFUNCTION("""COMPUTED_VALUE"""),"ADVANCED")</f>
        <v>ADVANCED</v>
      </c>
      <c r="P569" s="62">
        <f ca="1">IFERROR(__xludf.DUMMYFUNCTION("""COMPUTED_VALUE"""),4500)</f>
        <v>4500</v>
      </c>
      <c r="Q569" s="33" t="str">
        <f ca="1">IFERROR(__xludf.DUMMYFUNCTION("""COMPUTED_VALUE"""),"Lisandro Russian")</f>
        <v>Lisandro Russian</v>
      </c>
      <c r="R569" s="33" t="str">
        <f ca="1">IFERROR(__xludf.DUMMYFUNCTION("""COMPUTED_VALUE"""),"Dra, María Sánchez Herrero")</f>
        <v>Dra, María Sánchez Herrero</v>
      </c>
      <c r="S569" s="61" t="str">
        <f ca="1">IFERROR(__xludf.DUMMYFUNCTION("""COMPUTED_VALUE"""),"03 ORL")</f>
        <v>03 ORL</v>
      </c>
      <c r="T569" s="33" t="str">
        <f ca="1">IFERROR(__xludf.DUMMYFUNCTION("""COMPUTED_VALUE"""),"06 ORL")</f>
        <v>06 ORL</v>
      </c>
      <c r="U569" s="62"/>
      <c r="W569" s="61"/>
      <c r="X569" s="62"/>
    </row>
    <row r="570" spans="2:24" ht="16">
      <c r="B570" s="67" t="str">
        <f t="shared" ca="1" si="3"/>
        <v>#N/</v>
      </c>
      <c r="C570" s="64" t="str">
        <f ca="1">IFERROR(__xludf.DUMMYFUNCTION("""COMPUTED_VALUE"""),"#N/A")</f>
        <v>#N/A</v>
      </c>
      <c r="D570" s="33" t="str">
        <f ca="1">IFERROR(__xludf.DUMMYFUNCTION("""COMPUTED_VALUE"""),"ASOCIADOS")</f>
        <v>ASOCIADOS</v>
      </c>
      <c r="E570" s="33">
        <f ca="1">IFERROR(__xludf.DUMMYFUNCTION("""COMPUTED_VALUE"""),2026)</f>
        <v>2026</v>
      </c>
      <c r="F570" s="56">
        <f ca="1">IFERROR(__xludf.DUMMYFUNCTION("""COMPUTED_VALUE"""),3)</f>
        <v>3</v>
      </c>
      <c r="G570" s="33" t="str">
        <f ca="1">IFERROR(__xludf.DUMMYFUNCTION("""COMPUTED_VALUE"""),"Cáceres")</f>
        <v>Cáceres</v>
      </c>
      <c r="H570" s="33" t="str">
        <f ca="1">IFERROR(__xludf.DUMMYFUNCTION("""COMPUTED_VALUE"""),"C202632316951683010")</f>
        <v>C202632316951683010</v>
      </c>
      <c r="I570" s="33" t="str">
        <f ca="1">IFERROR(__xludf.DUMMYFUNCTION("""COMPUTED_VALUE"""),"LUZ MARIA SANCHEZ COTALLO")</f>
        <v>LUZ MARIA SANCHEZ COTALLO</v>
      </c>
      <c r="J570" s="57">
        <f ca="1">IFERROR(__xludf.DUMMYFUNCTION("""COMPUTED_VALUE"""),46104)</f>
        <v>46104</v>
      </c>
      <c r="K570" s="33" t="str">
        <f ca="1">IFERROR(__xludf.DUMMYFUNCTION("""COMPUTED_VALUE"""),"Prueba")</f>
        <v>Prueba</v>
      </c>
      <c r="L570" s="57">
        <f ca="1">IFERROR(__xludf.DUMMYFUNCTION("""COMPUTED_VALUE"""),46112)</f>
        <v>46112</v>
      </c>
      <c r="M570" s="64" t="str">
        <f ca="1">IFERROR(__xludf.DUMMYFUNCTION("""COMPUTED_VALUE"""),"NO")</f>
        <v>NO</v>
      </c>
      <c r="N570" s="56">
        <f ca="1">IFERROR(__xludf.DUMMYFUNCTION("""COMPUTED_VALUE"""),1)</f>
        <v>1</v>
      </c>
      <c r="O570" s="64" t="str">
        <f ca="1">IFERROR(__xludf.DUMMYFUNCTION("""COMPUTED_VALUE"""),"PRO")</f>
        <v>PRO</v>
      </c>
      <c r="P570" s="62">
        <f ca="1">IFERROR(__xludf.DUMMYFUNCTION("""COMPUTED_VALUE"""),2495.45)</f>
        <v>2495.4499999999998</v>
      </c>
      <c r="Q570" s="33" t="str">
        <f ca="1">IFERROR(__xludf.DUMMYFUNCTION("""COMPUTED_VALUE"""),"Luis Alberto Rodríguez")</f>
        <v>Luis Alberto Rodríguez</v>
      </c>
      <c r="R570" s="33" t="str">
        <f ca="1">IFERROR(__xludf.DUMMYFUNCTION("""COMPUTED_VALUE"""),"Dr, Rafael Sanz Trenado")</f>
        <v>Dr, Rafael Sanz Trenado</v>
      </c>
      <c r="S570" s="61" t="str">
        <f ca="1">IFERROR(__xludf.DUMMYFUNCTION("""COMPUTED_VALUE"""),"03 ORL")</f>
        <v>03 ORL</v>
      </c>
      <c r="T570" s="33" t="str">
        <f ca="1">IFERROR(__xludf.DUMMYFUNCTION("""COMPUTED_VALUE"""),"06 ORL")</f>
        <v>06 ORL</v>
      </c>
      <c r="U570" s="62"/>
      <c r="W570" s="61"/>
      <c r="X570" s="62"/>
    </row>
    <row r="571" spans="2:24" ht="16">
      <c r="B571" s="67" t="str">
        <f t="shared" ca="1" si="3"/>
        <v>#N/</v>
      </c>
      <c r="C571" s="64" t="str">
        <f ca="1">IFERROR(__xludf.DUMMYFUNCTION("""COMPUTED_VALUE"""),"#N/A")</f>
        <v>#N/A</v>
      </c>
      <c r="D571" s="33" t="str">
        <f ca="1">IFERROR(__xludf.DUMMYFUNCTION("""COMPUTED_VALUE"""),"ASOCIADOS")</f>
        <v>ASOCIADOS</v>
      </c>
      <c r="E571" s="33">
        <f ca="1">IFERROR(__xludf.DUMMYFUNCTION("""COMPUTED_VALUE"""),2026)</f>
        <v>2026</v>
      </c>
      <c r="F571" s="56">
        <f ca="1">IFERROR(__xludf.DUMMYFUNCTION("""COMPUTED_VALUE"""),3)</f>
        <v>3</v>
      </c>
      <c r="G571" s="33" t="str">
        <f ca="1">IFERROR(__xludf.DUMMYFUNCTION("""COMPUTED_VALUE"""),"Cáceres")</f>
        <v>Cáceres</v>
      </c>
      <c r="H571" s="33" t="str">
        <f ca="1">IFERROR(__xludf.DUMMYFUNCTION("""COMPUTED_VALUE"""),"CAC-97")</f>
        <v>CAC-97</v>
      </c>
      <c r="I571" s="33" t="str">
        <f ca="1">IFERROR(__xludf.DUMMYFUNCTION("""COMPUTED_VALUE"""),"MARIA EUGENIA GARCIA CENDAL")</f>
        <v>MARIA EUGENIA GARCIA CENDAL</v>
      </c>
      <c r="J571" s="57">
        <f ca="1">IFERROR(__xludf.DUMMYFUNCTION("""COMPUTED_VALUE"""),45985)</f>
        <v>45985</v>
      </c>
      <c r="K571" s="33" t="str">
        <f ca="1">IFERROR(__xludf.DUMMYFUNCTION("""COMPUTED_VALUE"""),"Prueba")</f>
        <v>Prueba</v>
      </c>
      <c r="L571" s="57">
        <f ca="1">IFERROR(__xludf.DUMMYFUNCTION("""COMPUTED_VALUE"""),46101)</f>
        <v>46101</v>
      </c>
      <c r="M571" s="64" t="str">
        <f ca="1">IFERROR(__xludf.DUMMYFUNCTION("""COMPUTED_VALUE"""),"NO")</f>
        <v>NO</v>
      </c>
      <c r="N571" s="56">
        <f ca="1">IFERROR(__xludf.DUMMYFUNCTION("""COMPUTED_VALUE"""),2)</f>
        <v>2</v>
      </c>
      <c r="O571" s="64" t="str">
        <f ca="1">IFERROR(__xludf.DUMMYFUNCTION("""COMPUTED_VALUE"""),"PRO")</f>
        <v>PRO</v>
      </c>
      <c r="P571" s="62">
        <f ca="1">IFERROR(__xludf.DUMMYFUNCTION("""COMPUTED_VALUE"""),4545.45)</f>
        <v>4545.45</v>
      </c>
      <c r="Q571" s="33" t="str">
        <f ca="1">IFERROR(__xludf.DUMMYFUNCTION("""COMPUTED_VALUE"""),"Luis Alberto Rodríguez")</f>
        <v>Luis Alberto Rodríguez</v>
      </c>
      <c r="R571" s="33" t="str">
        <f ca="1">IFERROR(__xludf.DUMMYFUNCTION("""COMPUTED_VALUE"""),"Dr, Manuel Cañete Domínguez")</f>
        <v>Dr, Manuel Cañete Domínguez</v>
      </c>
      <c r="S571" s="61" t="str">
        <f ca="1">IFERROR(__xludf.DUMMYFUNCTION("""COMPUTED_VALUE"""),"03 ORL")</f>
        <v>03 ORL</v>
      </c>
      <c r="T571" s="33" t="str">
        <f ca="1">IFERROR(__xludf.DUMMYFUNCTION("""COMPUTED_VALUE"""),"06 ORL")</f>
        <v>06 ORL</v>
      </c>
      <c r="U571" s="62"/>
      <c r="W571" s="61"/>
      <c r="X571" s="62"/>
    </row>
    <row r="572" spans="2:24" ht="16">
      <c r="B572" s="67" t="str">
        <f t="shared" ca="1" si="3"/>
        <v>#N/</v>
      </c>
      <c r="C572" s="64" t="str">
        <f ca="1">IFERROR(__xludf.DUMMYFUNCTION("""COMPUTED_VALUE"""),"#N/A")</f>
        <v>#N/A</v>
      </c>
      <c r="D572" s="33" t="str">
        <f ca="1">IFERROR(__xludf.DUMMYFUNCTION("""COMPUTED_VALUE"""),"ASOCIADOS")</f>
        <v>ASOCIADOS</v>
      </c>
      <c r="E572" s="33">
        <f ca="1">IFERROR(__xludf.DUMMYFUNCTION("""COMPUTED_VALUE"""),2026)</f>
        <v>2026</v>
      </c>
      <c r="F572" s="56">
        <f ca="1">IFERROR(__xludf.DUMMYFUNCTION("""COMPUTED_VALUE"""),3)</f>
        <v>3</v>
      </c>
      <c r="G572" s="33" t="str">
        <f ca="1">IFERROR(__xludf.DUMMYFUNCTION("""COMPUTED_VALUE"""),"Cáceres")</f>
        <v>Cáceres</v>
      </c>
      <c r="H572" s="33" t="str">
        <f ca="1">IFERROR(__xludf.DUMMYFUNCTION("""COMPUTED_VALUE"""),"C202631211343536158")</f>
        <v>C202631211343536158</v>
      </c>
      <c r="I572" s="33" t="str">
        <f ca="1">IFERROR(__xludf.DUMMYFUNCTION("""COMPUTED_VALUE"""),"MARIA ISABEL REVERIEGO JIMENEZ")</f>
        <v>MARIA ISABEL REVERIEGO JIMENEZ</v>
      </c>
      <c r="J572" s="57">
        <f ca="1">IFERROR(__xludf.DUMMYFUNCTION("""COMPUTED_VALUE"""),46093)</f>
        <v>46093</v>
      </c>
      <c r="K572" s="33" t="str">
        <f ca="1">IFERROR(__xludf.DUMMYFUNCTION("""COMPUTED_VALUE"""),"Prueba")</f>
        <v>Prueba</v>
      </c>
      <c r="L572" s="57">
        <f ca="1">IFERROR(__xludf.DUMMYFUNCTION("""COMPUTED_VALUE"""),46099)</f>
        <v>46099</v>
      </c>
      <c r="M572" s="64" t="str">
        <f ca="1">IFERROR(__xludf.DUMMYFUNCTION("""COMPUTED_VALUE"""),"NO")</f>
        <v>NO</v>
      </c>
      <c r="N572" s="56">
        <f ca="1">IFERROR(__xludf.DUMMYFUNCTION("""COMPUTED_VALUE"""),2)</f>
        <v>2</v>
      </c>
      <c r="O572" s="64" t="str">
        <f ca="1">IFERROR(__xludf.DUMMYFUNCTION("""COMPUTED_VALUE"""),"PRO")</f>
        <v>PRO</v>
      </c>
      <c r="P572" s="62">
        <f ca="1">IFERROR(__xludf.DUMMYFUNCTION("""COMPUTED_VALUE"""),4990.91)</f>
        <v>4990.91</v>
      </c>
      <c r="Q572" s="33" t="str">
        <f ca="1">IFERROR(__xludf.DUMMYFUNCTION("""COMPUTED_VALUE"""),"Luis Alberto Rodríguez")</f>
        <v>Luis Alberto Rodríguez</v>
      </c>
      <c r="R572" s="33" t="str">
        <f ca="1">IFERROR(__xludf.DUMMYFUNCTION("""COMPUTED_VALUE"""),"Dra, María Romero Marchante")</f>
        <v>Dra, María Romero Marchante</v>
      </c>
      <c r="S572" s="61" t="str">
        <f ca="1">IFERROR(__xludf.DUMMYFUNCTION("""COMPUTED_VALUE"""),"03 ORL")</f>
        <v>03 ORL</v>
      </c>
      <c r="T572" s="33" t="str">
        <f ca="1">IFERROR(__xludf.DUMMYFUNCTION("""COMPUTED_VALUE"""),"06 ORL")</f>
        <v>06 ORL</v>
      </c>
      <c r="U572" s="62"/>
      <c r="W572" s="61"/>
      <c r="X572" s="62"/>
    </row>
    <row r="573" spans="2:24" ht="16">
      <c r="B573" s="67" t="str">
        <f t="shared" ca="1" si="3"/>
        <v>#N/</v>
      </c>
      <c r="C573" s="64" t="str">
        <f ca="1">IFERROR(__xludf.DUMMYFUNCTION("""COMPUTED_VALUE"""),"#N/A")</f>
        <v>#N/A</v>
      </c>
      <c r="D573" s="33" t="str">
        <f ca="1">IFERROR(__xludf.DUMMYFUNCTION("""COMPUTED_VALUE"""),"ASOCIADOS")</f>
        <v>ASOCIADOS</v>
      </c>
      <c r="E573" s="33">
        <f ca="1">IFERROR(__xludf.DUMMYFUNCTION("""COMPUTED_VALUE"""),2026)</f>
        <v>2026</v>
      </c>
      <c r="F573" s="56">
        <f ca="1">IFERROR(__xludf.DUMMYFUNCTION("""COMPUTED_VALUE"""),2)</f>
        <v>2</v>
      </c>
      <c r="G573" s="33" t="str">
        <f ca="1">IFERROR(__xludf.DUMMYFUNCTION("""COMPUTED_VALUE"""),"Cáceres")</f>
        <v>Cáceres</v>
      </c>
      <c r="H573" s="33" t="str">
        <f ca="1">IFERROR(__xludf.DUMMYFUNCTION("""COMPUTED_VALUE"""),"C20262211754409144")</f>
        <v>C20262211754409144</v>
      </c>
      <c r="I573" s="33" t="str">
        <f ca="1">IFERROR(__xludf.DUMMYFUNCTION("""COMPUTED_VALUE"""),"RAQUEL GONZALEZ BORREGA")</f>
        <v>RAQUEL GONZALEZ BORREGA</v>
      </c>
      <c r="J573" s="57">
        <f ca="1">IFERROR(__xludf.DUMMYFUNCTION("""COMPUTED_VALUE"""),46055)</f>
        <v>46055</v>
      </c>
      <c r="K573" s="33" t="str">
        <f ca="1">IFERROR(__xludf.DUMMYFUNCTION("""COMPUTED_VALUE"""),"Presupuesto")</f>
        <v>Presupuesto</v>
      </c>
      <c r="L573" s="57">
        <f ca="1">IFERROR(__xludf.DUMMYFUNCTION("""COMPUTED_VALUE"""),46070)</f>
        <v>46070</v>
      </c>
      <c r="M573" s="64" t="str">
        <f ca="1">IFERROR(__xludf.DUMMYFUNCTION("""COMPUTED_VALUE"""),"NO")</f>
        <v>NO</v>
      </c>
      <c r="N573" s="56">
        <f ca="1">IFERROR(__xludf.DUMMYFUNCTION("""COMPUTED_VALUE"""),2)</f>
        <v>2</v>
      </c>
      <c r="O573" s="64" t="str">
        <f ca="1">IFERROR(__xludf.DUMMYFUNCTION("""COMPUTED_VALUE"""),"PRO")</f>
        <v>PRO</v>
      </c>
      <c r="P573" s="62">
        <f ca="1">IFERROR(__xludf.DUMMYFUNCTION("""COMPUTED_VALUE"""),4990.91)</f>
        <v>4990.91</v>
      </c>
      <c r="Q573" s="33" t="str">
        <f ca="1">IFERROR(__xludf.DUMMYFUNCTION("""COMPUTED_VALUE"""),"Lisandro Russian")</f>
        <v>Lisandro Russian</v>
      </c>
      <c r="R573" s="33" t="str">
        <f ca="1">IFERROR(__xludf.DUMMYFUNCTION("""COMPUTED_VALUE"""),"Dra, Marta García Jiménez")</f>
        <v>Dra, Marta García Jiménez</v>
      </c>
      <c r="S573" s="61" t="str">
        <f ca="1">IFERROR(__xludf.DUMMYFUNCTION("""COMPUTED_VALUE"""),"03 ORL")</f>
        <v>03 ORL</v>
      </c>
      <c r="T573" s="33" t="str">
        <f ca="1">IFERROR(__xludf.DUMMYFUNCTION("""COMPUTED_VALUE"""),"06 ORL")</f>
        <v>06 ORL</v>
      </c>
      <c r="U573" s="62"/>
      <c r="W573" s="61"/>
      <c r="X573" s="62"/>
    </row>
    <row r="574" spans="2:24" ht="16">
      <c r="B574" s="67" t="str">
        <f t="shared" ca="1" si="3"/>
        <v>#N/</v>
      </c>
      <c r="C574" s="64" t="str">
        <f ca="1">IFERROR(__xludf.DUMMYFUNCTION("""COMPUTED_VALUE"""),"#N/A")</f>
        <v>#N/A</v>
      </c>
      <c r="D574" s="33" t="str">
        <f ca="1">IFERROR(__xludf.DUMMYFUNCTION("""COMPUTED_VALUE"""),"ASOCIADOS")</f>
        <v>ASOCIADOS</v>
      </c>
      <c r="E574" s="33">
        <f ca="1">IFERROR(__xludf.DUMMYFUNCTION("""COMPUTED_VALUE"""),2026)</f>
        <v>2026</v>
      </c>
      <c r="F574" s="56">
        <f ca="1">IFERROR(__xludf.DUMMYFUNCTION("""COMPUTED_VALUE"""),3)</f>
        <v>3</v>
      </c>
      <c r="G574" s="33" t="str">
        <f ca="1">IFERROR(__xludf.DUMMYFUNCTION("""COMPUTED_VALUE"""),"Cáceres")</f>
        <v>Cáceres</v>
      </c>
      <c r="H574" s="33" t="str">
        <f ca="1">IFERROR(__xludf.DUMMYFUNCTION("""COMPUTED_VALUE"""),"C202631018143804311")</f>
        <v>C202631018143804311</v>
      </c>
      <c r="I574" s="33" t="str">
        <f ca="1">IFERROR(__xludf.DUMMYFUNCTION("""COMPUTED_VALUE"""),"VICENTE CORDERO TATO")</f>
        <v>VICENTE CORDERO TATO</v>
      </c>
      <c r="J574" s="57">
        <f ca="1">IFERROR(__xludf.DUMMYFUNCTION("""COMPUTED_VALUE"""),46091)</f>
        <v>46091</v>
      </c>
      <c r="K574" s="33" t="str">
        <f ca="1">IFERROR(__xludf.DUMMYFUNCTION("""COMPUTED_VALUE"""),"Presupuesto")</f>
        <v>Presupuesto</v>
      </c>
      <c r="L574" s="57">
        <f ca="1">IFERROR(__xludf.DUMMYFUNCTION("""COMPUTED_VALUE"""),46100)</f>
        <v>46100</v>
      </c>
      <c r="M574" s="64" t="str">
        <f ca="1">IFERROR(__xludf.DUMMYFUNCTION("""COMPUTED_VALUE"""),"NO")</f>
        <v>NO</v>
      </c>
      <c r="N574" s="56">
        <f ca="1">IFERROR(__xludf.DUMMYFUNCTION("""COMPUTED_VALUE"""),2)</f>
        <v>2</v>
      </c>
      <c r="O574" s="64" t="str">
        <f ca="1">IFERROR(__xludf.DUMMYFUNCTION("""COMPUTED_VALUE"""),"QUIET")</f>
        <v>QUIET</v>
      </c>
      <c r="P574" s="62">
        <f ca="1">IFERROR(__xludf.DUMMYFUNCTION("""COMPUTED_VALUE"""),2718.18)</f>
        <v>2718.18</v>
      </c>
      <c r="Q574" s="33" t="str">
        <f ca="1">IFERROR(__xludf.DUMMYFUNCTION("""COMPUTED_VALUE"""),"Lisandro Russian")</f>
        <v>Lisandro Russian</v>
      </c>
      <c r="R574" s="33" t="str">
        <f ca="1">IFERROR(__xludf.DUMMYFUNCTION("""COMPUTED_VALUE"""),"Dr, Manuel Cañete Domínguez")</f>
        <v>Dr, Manuel Cañete Domínguez</v>
      </c>
      <c r="S574" s="61" t="str">
        <f ca="1">IFERROR(__xludf.DUMMYFUNCTION("""COMPUTED_VALUE"""),"03 ORL")</f>
        <v>03 ORL</v>
      </c>
      <c r="T574" s="33" t="str">
        <f ca="1">IFERROR(__xludf.DUMMYFUNCTION("""COMPUTED_VALUE"""),"06 ORL")</f>
        <v>06 ORL</v>
      </c>
      <c r="U574" s="62"/>
      <c r="W574" s="61"/>
      <c r="X574" s="62"/>
    </row>
    <row r="575" spans="2:24" ht="16">
      <c r="B575" s="67" t="str">
        <f t="shared" ca="1" si="3"/>
        <v>#N/</v>
      </c>
      <c r="C575" s="64" t="str">
        <f ca="1">IFERROR(__xludf.DUMMYFUNCTION("""COMPUTED_VALUE"""),"#N/A")</f>
        <v>#N/A</v>
      </c>
      <c r="D575" s="33" t="str">
        <f ca="1">IFERROR(__xludf.DUMMYFUNCTION("""COMPUTED_VALUE"""),"ASOCIADOS")</f>
        <v>ASOCIADOS</v>
      </c>
      <c r="E575" s="33">
        <f ca="1">IFERROR(__xludf.DUMMYFUNCTION("""COMPUTED_VALUE"""),2026)</f>
        <v>2026</v>
      </c>
      <c r="F575" s="56">
        <f ca="1">IFERROR(__xludf.DUMMYFUNCTION("""COMPUTED_VALUE"""),3)</f>
        <v>3</v>
      </c>
      <c r="G575" s="33" t="str">
        <f ca="1">IFERROR(__xludf.DUMMYFUNCTION("""COMPUTED_VALUE"""),"Cáceres")</f>
        <v>Cáceres</v>
      </c>
      <c r="H575" s="33" t="str">
        <f ca="1">IFERROR(__xludf.DUMMYFUNCTION("""COMPUTED_VALUE"""),"C202631118464129056")</f>
        <v>C202631118464129056</v>
      </c>
      <c r="I575" s="33" t="str">
        <f ca="1">IFERROR(__xludf.DUMMYFUNCTION("""COMPUTED_VALUE"""),"VISITACION MATEOS GARCIA")</f>
        <v>VISITACION MATEOS GARCIA</v>
      </c>
      <c r="J575" s="57">
        <f ca="1">IFERROR(__xludf.DUMMYFUNCTION("""COMPUTED_VALUE"""),46092)</f>
        <v>46092</v>
      </c>
      <c r="K575" s="33" t="str">
        <f ca="1">IFERROR(__xludf.DUMMYFUNCTION("""COMPUTED_VALUE"""),"Devuelve")</f>
        <v>Devuelve</v>
      </c>
      <c r="L575" s="57">
        <f ca="1">IFERROR(__xludf.DUMMYFUNCTION("""COMPUTED_VALUE"""),46097)</f>
        <v>46097</v>
      </c>
      <c r="M575" s="64" t="str">
        <f ca="1">IFERROR(__xludf.DUMMYFUNCTION("""COMPUTED_VALUE"""),"NO")</f>
        <v>NO</v>
      </c>
      <c r="N575" s="56">
        <f ca="1">IFERROR(__xludf.DUMMYFUNCTION("""COMPUTED_VALUE"""),2)</f>
        <v>2</v>
      </c>
      <c r="O575" s="64" t="str">
        <f ca="1">IFERROR(__xludf.DUMMYFUNCTION("""COMPUTED_VALUE"""),"ADVANCED")</f>
        <v>ADVANCED</v>
      </c>
      <c r="P575" s="62">
        <f ca="1">IFERROR(__xludf.DUMMYFUNCTION("""COMPUTED_VALUE"""),4500)</f>
        <v>4500</v>
      </c>
      <c r="Q575" s="33" t="str">
        <f ca="1">IFERROR(__xludf.DUMMYFUNCTION("""COMPUTED_VALUE"""),"Lisandro Russian")</f>
        <v>Lisandro Russian</v>
      </c>
      <c r="R575" s="33" t="str">
        <f ca="1">IFERROR(__xludf.DUMMYFUNCTION("""COMPUTED_VALUE"""),"Dra, Daniela Carolina Laguado Bulgheroni")</f>
        <v>Dra, Daniela Carolina Laguado Bulgheroni</v>
      </c>
      <c r="S575" s="61" t="str">
        <f ca="1">IFERROR(__xludf.DUMMYFUNCTION("""COMPUTED_VALUE"""),"03 ORL")</f>
        <v>03 ORL</v>
      </c>
      <c r="T575" s="33" t="str">
        <f ca="1">IFERROR(__xludf.DUMMYFUNCTION("""COMPUTED_VALUE"""),"06 ORL")</f>
        <v>06 ORL</v>
      </c>
      <c r="U575" s="62"/>
      <c r="W575" s="61"/>
      <c r="X575" s="62"/>
    </row>
    <row r="576" spans="2:24" ht="16">
      <c r="B576" s="67" t="str">
        <f t="shared" ca="1" si="3"/>
        <v>#N/</v>
      </c>
      <c r="C576" s="64" t="str">
        <f ca="1">IFERROR(__xludf.DUMMYFUNCTION("""COMPUTED_VALUE"""),"#N/A")</f>
        <v>#N/A</v>
      </c>
      <c r="D576" s="33" t="str">
        <f ca="1">IFERROR(__xludf.DUMMYFUNCTION("""COMPUTED_VALUE"""),"PARTICIPADOS")</f>
        <v>PARTICIPADOS</v>
      </c>
      <c r="E576" s="33">
        <f ca="1">IFERROR(__xludf.DUMMYFUNCTION("""COMPUTED_VALUE"""),2026)</f>
        <v>2026</v>
      </c>
      <c r="F576" s="56">
        <f ca="1">IFERROR(__xludf.DUMMYFUNCTION("""COMPUTED_VALUE"""),4)</f>
        <v>4</v>
      </c>
      <c r="G576" s="33" t="str">
        <f ca="1">IFERROR(__xludf.DUMMYFUNCTION("""COMPUTED_VALUE"""),"Cartagena")</f>
        <v>Cartagena</v>
      </c>
      <c r="H576" s="33" t="str">
        <f ca="1">IFERROR(__xludf.DUMMYFUNCTION("""COMPUTED_VALUE"""),"C20263268586329993")</f>
        <v>C20263268586329993</v>
      </c>
      <c r="I576" s="33" t="str">
        <f ca="1">IFERROR(__xludf.DUMMYFUNCTION("""COMPUTED_VALUE"""),"FULGENCIO ARAGON SOTO")</f>
        <v>FULGENCIO ARAGON SOTO</v>
      </c>
      <c r="J576" s="57">
        <f ca="1">IFERROR(__xludf.DUMMYFUNCTION("""COMPUTED_VALUE"""),46107)</f>
        <v>46107</v>
      </c>
      <c r="K576" s="33" t="str">
        <f ca="1">IFERROR(__xludf.DUMMYFUNCTION("""COMPUTED_VALUE"""),"Presupuesto")</f>
        <v>Presupuesto</v>
      </c>
      <c r="L576" s="57">
        <f ca="1">IFERROR(__xludf.DUMMYFUNCTION("""COMPUTED_VALUE"""),46113)</f>
        <v>46113</v>
      </c>
      <c r="M576" s="64" t="str">
        <f ca="1">IFERROR(__xludf.DUMMYFUNCTION("""COMPUTED_VALUE"""),"NO")</f>
        <v>NO</v>
      </c>
      <c r="N576" s="56">
        <f ca="1">IFERROR(__xludf.DUMMYFUNCTION("""COMPUTED_VALUE"""),2)</f>
        <v>2</v>
      </c>
      <c r="O576" s="64" t="str">
        <f ca="1">IFERROR(__xludf.DUMMYFUNCTION("""COMPUTED_VALUE"""),"CONFORT")</f>
        <v>CONFORT</v>
      </c>
      <c r="P576" s="62">
        <f ca="1">IFERROR(__xludf.DUMMYFUNCTION("""COMPUTED_VALUE"""),3631.82)</f>
        <v>3631.82</v>
      </c>
      <c r="Q576" s="33" t="str">
        <f ca="1">IFERROR(__xludf.DUMMYFUNCTION("""COMPUTED_VALUE"""),"Iván Sánchez")</f>
        <v>Iván Sánchez</v>
      </c>
      <c r="R576" s="33" t="str">
        <f ca="1">IFERROR(__xludf.DUMMYFUNCTION("""COMPUTED_VALUE"""),"Dr,  Javier Lainez Sánchez")</f>
        <v>Dr,  Javier Lainez Sánchez</v>
      </c>
      <c r="S576" s="61" t="str">
        <f ca="1">IFERROR(__xludf.DUMMYFUNCTION("""COMPUTED_VALUE"""),"03 ORL")</f>
        <v>03 ORL</v>
      </c>
      <c r="T576" s="33" t="str">
        <f ca="1">IFERROR(__xludf.DUMMYFUNCTION("""COMPUTED_VALUE"""),"06 ORL")</f>
        <v>06 ORL</v>
      </c>
      <c r="U576" s="62"/>
      <c r="W576" s="61"/>
      <c r="X576" s="62"/>
    </row>
    <row r="577" spans="2:24" ht="16">
      <c r="B577" s="67" t="str">
        <f t="shared" ca="1" si="3"/>
        <v>#N/</v>
      </c>
      <c r="C577" s="64" t="str">
        <f ca="1">IFERROR(__xludf.DUMMYFUNCTION("""COMPUTED_VALUE"""),"#N/A")</f>
        <v>#N/A</v>
      </c>
      <c r="D577" s="33" t="str">
        <f ca="1">IFERROR(__xludf.DUMMYFUNCTION("""COMPUTED_VALUE"""),"PARTICIPADOS")</f>
        <v>PARTICIPADOS</v>
      </c>
      <c r="E577" s="33">
        <f ca="1">IFERROR(__xludf.DUMMYFUNCTION("""COMPUTED_VALUE"""),2026)</f>
        <v>2026</v>
      </c>
      <c r="F577" s="56">
        <f ca="1">IFERROR(__xludf.DUMMYFUNCTION("""COMPUTED_VALUE"""),3)</f>
        <v>3</v>
      </c>
      <c r="G577" s="33" t="str">
        <f ca="1">IFERROR(__xludf.DUMMYFUNCTION("""COMPUTED_VALUE"""),"Cartagena")</f>
        <v>Cartagena</v>
      </c>
      <c r="H577" s="33" t="str">
        <f ca="1">IFERROR(__xludf.DUMMYFUNCTION("""COMPUTED_VALUE"""),"C202631895226489881")</f>
        <v>C202631895226489881</v>
      </c>
      <c r="I577" s="33" t="str">
        <f ca="1">IFERROR(__xludf.DUMMYFUNCTION("""COMPUTED_VALUE"""),"Ian Roland Pragmell")</f>
        <v>Ian Roland Pragmell</v>
      </c>
      <c r="J577" s="57">
        <f ca="1">IFERROR(__xludf.DUMMYFUNCTION("""COMPUTED_VALUE"""),46099)</f>
        <v>46099</v>
      </c>
      <c r="K577" s="33" t="str">
        <f ca="1">IFERROR(__xludf.DUMMYFUNCTION("""COMPUTED_VALUE"""),"Presupuesto")</f>
        <v>Presupuesto</v>
      </c>
      <c r="L577" s="57">
        <f ca="1">IFERROR(__xludf.DUMMYFUNCTION("""COMPUTED_VALUE"""),46106)</f>
        <v>46106</v>
      </c>
      <c r="M577" s="64" t="str">
        <f ca="1">IFERROR(__xludf.DUMMYFUNCTION("""COMPUTED_VALUE"""),"NO")</f>
        <v>NO</v>
      </c>
      <c r="N577" s="56">
        <f ca="1">IFERROR(__xludf.DUMMYFUNCTION("""COMPUTED_VALUE"""),2)</f>
        <v>2</v>
      </c>
      <c r="O577" s="64" t="str">
        <f ca="1">IFERROR(__xludf.DUMMYFUNCTION("""COMPUTED_VALUE"""),"QUIET")</f>
        <v>QUIET</v>
      </c>
      <c r="P577" s="62">
        <f ca="1">IFERROR(__xludf.DUMMYFUNCTION("""COMPUTED_VALUE"""),2718.18)</f>
        <v>2718.18</v>
      </c>
      <c r="Q577" s="33" t="str">
        <f ca="1">IFERROR(__xludf.DUMMYFUNCTION("""COMPUTED_VALUE"""),"Iván Sánchez")</f>
        <v>Iván Sánchez</v>
      </c>
      <c r="R577" s="33" t="str">
        <f ca="1">IFERROR(__xludf.DUMMYFUNCTION("""COMPUTED_VALUE"""),"Dra, María Agustina Sevilla García")</f>
        <v>Dra, María Agustina Sevilla García</v>
      </c>
      <c r="S577" s="61" t="str">
        <f ca="1">IFERROR(__xludf.DUMMYFUNCTION("""COMPUTED_VALUE"""),"03 ORL")</f>
        <v>03 ORL</v>
      </c>
      <c r="T577" s="33" t="str">
        <f ca="1">IFERROR(__xludf.DUMMYFUNCTION("""COMPUTED_VALUE"""),"06 ORL")</f>
        <v>06 ORL</v>
      </c>
      <c r="U577" s="62"/>
      <c r="W577" s="61"/>
      <c r="X577" s="62"/>
    </row>
    <row r="578" spans="2:24" ht="16">
      <c r="B578" s="67" t="str">
        <f t="shared" ca="1" si="3"/>
        <v>#N/</v>
      </c>
      <c r="C578" s="64" t="str">
        <f ca="1">IFERROR(__xludf.DUMMYFUNCTION("""COMPUTED_VALUE"""),"#N/A")</f>
        <v>#N/A</v>
      </c>
      <c r="D578" s="33" t="str">
        <f ca="1">IFERROR(__xludf.DUMMYFUNCTION("""COMPUTED_VALUE"""),"PARTICIPADOS")</f>
        <v>PARTICIPADOS</v>
      </c>
      <c r="E578" s="33">
        <f ca="1">IFERROR(__xludf.DUMMYFUNCTION("""COMPUTED_VALUE"""),2026)</f>
        <v>2026</v>
      </c>
      <c r="F578" s="56">
        <f ca="1">IFERROR(__xludf.DUMMYFUNCTION("""COMPUTED_VALUE"""),3)</f>
        <v>3</v>
      </c>
      <c r="G578" s="33" t="str">
        <f ca="1">IFERROR(__xludf.DUMMYFUNCTION("""COMPUTED_VALUE"""),"Cartagena")</f>
        <v>Cartagena</v>
      </c>
      <c r="H578" s="33" t="str">
        <f ca="1">IFERROR(__xludf.DUMMYFUNCTION("""COMPUTED_VALUE"""),"C202636112622680056")</f>
        <v>C202636112622680056</v>
      </c>
      <c r="I578" s="33" t="str">
        <f ca="1">IFERROR(__xludf.DUMMYFUNCTION("""COMPUTED_VALUE"""),"JUAN JESUS ALBACETE MUÑOZ")</f>
        <v>JUAN JESUS ALBACETE MUÑOZ</v>
      </c>
      <c r="J578" s="57">
        <f ca="1">IFERROR(__xludf.DUMMYFUNCTION("""COMPUTED_VALUE"""),46087)</f>
        <v>46087</v>
      </c>
      <c r="K578" s="33" t="str">
        <f ca="1">IFERROR(__xludf.DUMMYFUNCTION("""COMPUTED_VALUE"""),"Devuelve")</f>
        <v>Devuelve</v>
      </c>
      <c r="L578" s="57">
        <f ca="1">IFERROR(__xludf.DUMMYFUNCTION("""COMPUTED_VALUE"""),46092)</f>
        <v>46092</v>
      </c>
      <c r="M578" s="64" t="str">
        <f ca="1">IFERROR(__xludf.DUMMYFUNCTION("""COMPUTED_VALUE"""),"NO")</f>
        <v>NO</v>
      </c>
      <c r="N578" s="56">
        <f ca="1">IFERROR(__xludf.DUMMYFUNCTION("""COMPUTED_VALUE"""),2)</f>
        <v>2</v>
      </c>
      <c r="O578" s="64" t="str">
        <f ca="1">IFERROR(__xludf.DUMMYFUNCTION("""COMPUTED_VALUE"""),"TRIAL")</f>
        <v>TRIAL</v>
      </c>
      <c r="P578" s="62">
        <f ca="1">IFERROR(__xludf.DUMMYFUNCTION("""COMPUTED_VALUE"""),3631.82)</f>
        <v>3631.82</v>
      </c>
      <c r="Q578" s="33" t="str">
        <f ca="1">IFERROR(__xludf.DUMMYFUNCTION("""COMPUTED_VALUE"""),"Iván Sánchez")</f>
        <v>Iván Sánchez</v>
      </c>
      <c r="R578" s="33" t="str">
        <f ca="1">IFERROR(__xludf.DUMMYFUNCTION("""COMPUTED_VALUE"""),"Dra, María Agustina Sevilla García")</f>
        <v>Dra, María Agustina Sevilla García</v>
      </c>
      <c r="S578" s="61" t="str">
        <f ca="1">IFERROR(__xludf.DUMMYFUNCTION("""COMPUTED_VALUE"""),"03 ORL")</f>
        <v>03 ORL</v>
      </c>
      <c r="T578" s="33" t="str">
        <f ca="1">IFERROR(__xludf.DUMMYFUNCTION("""COMPUTED_VALUE"""),"06 ORL")</f>
        <v>06 ORL</v>
      </c>
      <c r="U578" s="62"/>
      <c r="W578" s="61"/>
      <c r="X578" s="62"/>
    </row>
    <row r="579" spans="2:24" ht="16">
      <c r="B579" s="67" t="str">
        <f t="shared" ca="1" si="3"/>
        <v>#N/</v>
      </c>
      <c r="C579" s="64" t="str">
        <f ca="1">IFERROR(__xludf.DUMMYFUNCTION("""COMPUTED_VALUE"""),"#N/A")</f>
        <v>#N/A</v>
      </c>
      <c r="D579" s="33" t="str">
        <f ca="1">IFERROR(__xludf.DUMMYFUNCTION("""COMPUTED_VALUE"""),"PROPIOS")</f>
        <v>PROPIOS</v>
      </c>
      <c r="E579" s="33">
        <f ca="1">IFERROR(__xludf.DUMMYFUNCTION("""COMPUTED_VALUE"""),2026)</f>
        <v>2026</v>
      </c>
      <c r="F579" s="56">
        <f ca="1">IFERROR(__xludf.DUMMYFUNCTION("""COMPUTED_VALUE"""),1)</f>
        <v>1</v>
      </c>
      <c r="G579" s="33" t="str">
        <f ca="1">IFERROR(__xludf.DUMMYFUNCTION("""COMPUTED_VALUE"""),"El Albir (Benidorm)")</f>
        <v>El Albir (Benidorm)</v>
      </c>
      <c r="H579" s="33" t="str">
        <f ca="1">IFERROR(__xludf.DUMMYFUNCTION("""COMPUTED_VALUE"""),"C202611491634511825")</f>
        <v>C202611491634511825</v>
      </c>
      <c r="I579" s="33" t="str">
        <f ca="1">IFERROR(__xludf.DUMMYFUNCTION("""COMPUTED_VALUE"""),"ANA GRANOVSKY MINSDURG")</f>
        <v>ANA GRANOVSKY MINSDURG</v>
      </c>
      <c r="J579" s="57">
        <f ca="1">IFERROR(__xludf.DUMMYFUNCTION("""COMPUTED_VALUE"""),46036)</f>
        <v>46036</v>
      </c>
      <c r="K579" s="33" t="str">
        <f ca="1">IFERROR(__xludf.DUMMYFUNCTION("""COMPUTED_VALUE"""),"Presupuesto")</f>
        <v>Presupuesto</v>
      </c>
      <c r="L579" s="57">
        <f ca="1">IFERROR(__xludf.DUMMYFUNCTION("""COMPUTED_VALUE"""),46042)</f>
        <v>46042</v>
      </c>
      <c r="M579" s="64" t="str">
        <f ca="1">IFERROR(__xludf.DUMMYFUNCTION("""COMPUTED_VALUE"""),"NO")</f>
        <v>NO</v>
      </c>
      <c r="N579" s="56">
        <f ca="1">IFERROR(__xludf.DUMMYFUNCTION("""COMPUTED_VALUE"""),2)</f>
        <v>2</v>
      </c>
      <c r="O579" s="64" t="str">
        <f ca="1">IFERROR(__xludf.DUMMYFUNCTION("""COMPUTED_VALUE"""),"ADVANCED")</f>
        <v>ADVANCED</v>
      </c>
      <c r="P579" s="62">
        <f ca="1">IFERROR(__xludf.DUMMYFUNCTION("""COMPUTED_VALUE"""),4136.36)</f>
        <v>4136.3599999999997</v>
      </c>
      <c r="Q579" s="33" t="str">
        <f ca="1">IFERROR(__xludf.DUMMYFUNCTION("""COMPUTED_VALUE"""),"Iván Sánchez")</f>
        <v>Iván Sánchez</v>
      </c>
      <c r="R579" s="33" t="str">
        <f ca="1">IFERROR(__xludf.DUMMYFUNCTION("""COMPUTED_VALUE"""),"Dr, Salwa Laraqui Hossini")</f>
        <v>Dr, Salwa Laraqui Hossini</v>
      </c>
      <c r="S579" s="61" t="str">
        <f ca="1">IFERROR(__xludf.DUMMYFUNCTION("""COMPUTED_VALUE"""),"03 ORL")</f>
        <v>03 ORL</v>
      </c>
      <c r="T579" s="33" t="str">
        <f ca="1">IFERROR(__xludf.DUMMYFUNCTION("""COMPUTED_VALUE"""),"06 ORL")</f>
        <v>06 ORL</v>
      </c>
      <c r="U579" s="62"/>
      <c r="W579" s="61"/>
      <c r="X579" s="62"/>
    </row>
    <row r="580" spans="2:24" ht="16">
      <c r="B580" s="67" t="str">
        <f t="shared" ca="1" si="3"/>
        <v>#N/</v>
      </c>
      <c r="C580" s="64" t="str">
        <f ca="1">IFERROR(__xludf.DUMMYFUNCTION("""COMPUTED_VALUE"""),"#N/A")</f>
        <v>#N/A</v>
      </c>
      <c r="D580" s="33" t="str">
        <f ca="1">IFERROR(__xludf.DUMMYFUNCTION("""COMPUTED_VALUE"""),"PROPIOS")</f>
        <v>PROPIOS</v>
      </c>
      <c r="E580" s="33">
        <f ca="1">IFERROR(__xludf.DUMMYFUNCTION("""COMPUTED_VALUE"""),2026)</f>
        <v>2026</v>
      </c>
      <c r="F580" s="56">
        <f ca="1">IFERROR(__xludf.DUMMYFUNCTION("""COMPUTED_VALUE"""),2)</f>
        <v>2</v>
      </c>
      <c r="G580" s="33" t="str">
        <f ca="1">IFERROR(__xludf.DUMMYFUNCTION("""COMPUTED_VALUE"""),"El Albir (Benidorm)")</f>
        <v>El Albir (Benidorm)</v>
      </c>
      <c r="H580" s="33" t="str">
        <f ca="1">IFERROR(__xludf.DUMMYFUNCTION("""COMPUTED_VALUE"""),"C202622310391007170")</f>
        <v>C202622310391007170</v>
      </c>
      <c r="I580" s="33" t="str">
        <f ca="1">IFERROR(__xludf.DUMMYFUNCTION("""COMPUTED_VALUE"""),"ANA LLINARES MOTA")</f>
        <v>ANA LLINARES MOTA</v>
      </c>
      <c r="J580" s="57">
        <f ca="1">IFERROR(__xludf.DUMMYFUNCTION("""COMPUTED_VALUE"""),46076)</f>
        <v>46076</v>
      </c>
      <c r="K580" s="33" t="str">
        <f ca="1">IFERROR(__xludf.DUMMYFUNCTION("""COMPUTED_VALUE"""),"Presupuesto")</f>
        <v>Presupuesto</v>
      </c>
      <c r="L580" s="57">
        <f ca="1">IFERROR(__xludf.DUMMYFUNCTION("""COMPUTED_VALUE"""),46078)</f>
        <v>46078</v>
      </c>
      <c r="M580" s="64" t="str">
        <f ca="1">IFERROR(__xludf.DUMMYFUNCTION("""COMPUTED_VALUE"""),"NO")</f>
        <v>NO</v>
      </c>
      <c r="N580" s="56">
        <f ca="1">IFERROR(__xludf.DUMMYFUNCTION("""COMPUTED_VALUE"""),2)</f>
        <v>2</v>
      </c>
      <c r="O580" s="64" t="str">
        <f ca="1">IFERROR(__xludf.DUMMYFUNCTION("""COMPUTED_VALUE"""),"QUIET")</f>
        <v>QUIET</v>
      </c>
      <c r="P580" s="62">
        <f ca="1">IFERROR(__xludf.DUMMYFUNCTION("""COMPUTED_VALUE"""),2918.18)</f>
        <v>2918.18</v>
      </c>
      <c r="Q580" s="33" t="str">
        <f ca="1">IFERROR(__xludf.DUMMYFUNCTION("""COMPUTED_VALUE"""),"Ramon Ferrando")</f>
        <v>Ramon Ferrando</v>
      </c>
      <c r="R580" s="33" t="str">
        <f ca="1">IFERROR(__xludf.DUMMYFUNCTION("""COMPUTED_VALUE"""),"Dr, José María Laborda Margolles")</f>
        <v>Dr, José María Laborda Margolles</v>
      </c>
      <c r="S580" s="61" t="str">
        <f ca="1">IFERROR(__xludf.DUMMYFUNCTION("""COMPUTED_VALUE"""),"03 ORL")</f>
        <v>03 ORL</v>
      </c>
      <c r="T580" s="33" t="str">
        <f ca="1">IFERROR(__xludf.DUMMYFUNCTION("""COMPUTED_VALUE"""),"06 ORL")</f>
        <v>06 ORL</v>
      </c>
      <c r="U580" s="62"/>
      <c r="W580" s="61"/>
      <c r="X580" s="62"/>
    </row>
    <row r="581" spans="2:24" ht="16">
      <c r="B581" s="67" t="str">
        <f t="shared" ca="1" si="3"/>
        <v>#N/</v>
      </c>
      <c r="C581" s="64" t="str">
        <f ca="1">IFERROR(__xludf.DUMMYFUNCTION("""COMPUTED_VALUE"""),"#N/A")</f>
        <v>#N/A</v>
      </c>
      <c r="D581" s="33" t="str">
        <f ca="1">IFERROR(__xludf.DUMMYFUNCTION("""COMPUTED_VALUE"""),"PROPIOS")</f>
        <v>PROPIOS</v>
      </c>
      <c r="E581" s="33">
        <f ca="1">IFERROR(__xludf.DUMMYFUNCTION("""COMPUTED_VALUE"""),2026)</f>
        <v>2026</v>
      </c>
      <c r="F581" s="56">
        <f ca="1">IFERROR(__xludf.DUMMYFUNCTION("""COMPUTED_VALUE"""),4)</f>
        <v>4</v>
      </c>
      <c r="G581" s="33" t="str">
        <f ca="1">IFERROR(__xludf.DUMMYFUNCTION("""COMPUTED_VALUE"""),"El Albir (Benidorm)")</f>
        <v>El Albir (Benidorm)</v>
      </c>
      <c r="H581" s="33" t="str">
        <f ca="1">IFERROR(__xludf.DUMMYFUNCTION("""COMPUTED_VALUE"""),"C20263239224879252")</f>
        <v>C20263239224879252</v>
      </c>
      <c r="I581" s="33" t="str">
        <f ca="1">IFERROR(__xludf.DUMMYFUNCTION("""COMPUTED_VALUE"""),"ELEN MASSINGHAM GIL")</f>
        <v>ELEN MASSINGHAM GIL</v>
      </c>
      <c r="J581" s="57">
        <f ca="1">IFERROR(__xludf.DUMMYFUNCTION("""COMPUTED_VALUE"""),46104)</f>
        <v>46104</v>
      </c>
      <c r="K581" s="33" t="str">
        <f ca="1">IFERROR(__xludf.DUMMYFUNCTION("""COMPUTED_VALUE"""),"Prueba")</f>
        <v>Prueba</v>
      </c>
      <c r="L581" s="57">
        <f ca="1">IFERROR(__xludf.DUMMYFUNCTION("""COMPUTED_VALUE"""),46119)</f>
        <v>46119</v>
      </c>
      <c r="M581" s="64" t="str">
        <f ca="1">IFERROR(__xludf.DUMMYFUNCTION("""COMPUTED_VALUE"""),"NO")</f>
        <v>NO</v>
      </c>
      <c r="N581" s="56">
        <f ca="1">IFERROR(__xludf.DUMMYFUNCTION("""COMPUTED_VALUE"""),1)</f>
        <v>1</v>
      </c>
      <c r="O581" s="64" t="str">
        <f ca="1">IFERROR(__xludf.DUMMYFUNCTION("""COMPUTED_VALUE"""),"TRIAL")</f>
        <v>TRIAL</v>
      </c>
      <c r="P581" s="62">
        <f ca="1">IFERROR(__xludf.DUMMYFUNCTION("""COMPUTED_VALUE"""),2481.82)</f>
        <v>2481.8200000000002</v>
      </c>
      <c r="Q581" s="33" t="str">
        <f ca="1">IFERROR(__xludf.DUMMYFUNCTION("""COMPUTED_VALUE"""),"Iván Sánchez")</f>
        <v>Iván Sánchez</v>
      </c>
      <c r="R581" s="33" t="str">
        <f ca="1">IFERROR(__xludf.DUMMYFUNCTION("""COMPUTED_VALUE"""),"Dra, Salwa Laraqui Hossini")</f>
        <v>Dra, Salwa Laraqui Hossini</v>
      </c>
      <c r="S581" s="61" t="str">
        <f ca="1">IFERROR(__xludf.DUMMYFUNCTION("""COMPUTED_VALUE"""),"03 ORL")</f>
        <v>03 ORL</v>
      </c>
      <c r="T581" s="33" t="str">
        <f ca="1">IFERROR(__xludf.DUMMYFUNCTION("""COMPUTED_VALUE"""),"06 ORL")</f>
        <v>06 ORL</v>
      </c>
      <c r="U581" s="62"/>
      <c r="W581" s="62"/>
      <c r="X581" s="62"/>
    </row>
    <row r="582" spans="2:24" ht="16">
      <c r="B582" s="67" t="str">
        <f t="shared" ca="1" si="3"/>
        <v>#N/</v>
      </c>
      <c r="C582" s="64" t="str">
        <f ca="1">IFERROR(__xludf.DUMMYFUNCTION("""COMPUTED_VALUE"""),"#N/A")</f>
        <v>#N/A</v>
      </c>
      <c r="D582" s="33" t="str">
        <f ca="1">IFERROR(__xludf.DUMMYFUNCTION("""COMPUTED_VALUE"""),"PROPIOS")</f>
        <v>PROPIOS</v>
      </c>
      <c r="E582" s="33">
        <f ca="1">IFERROR(__xludf.DUMMYFUNCTION("""COMPUTED_VALUE"""),2026)</f>
        <v>2026</v>
      </c>
      <c r="F582" s="56">
        <f ca="1">IFERROR(__xludf.DUMMYFUNCTION("""COMPUTED_VALUE"""),3)</f>
        <v>3</v>
      </c>
      <c r="G582" s="33" t="str">
        <f ca="1">IFERROR(__xludf.DUMMYFUNCTION("""COMPUTED_VALUE"""),"El Albir (Benidorm)")</f>
        <v>El Albir (Benidorm)</v>
      </c>
      <c r="H582" s="33" t="str">
        <f ca="1">IFERROR(__xludf.DUMMYFUNCTION("""COMPUTED_VALUE"""),"C202635112944449051")</f>
        <v>C202635112944449051</v>
      </c>
      <c r="I582" s="33" t="str">
        <f ca="1">IFERROR(__xludf.DUMMYFUNCTION("""COMPUTED_VALUE"""),"FRANCISCA PASTOR TRIGUEROS")</f>
        <v>FRANCISCA PASTOR TRIGUEROS</v>
      </c>
      <c r="J582" s="57">
        <f ca="1">IFERROR(__xludf.DUMMYFUNCTION("""COMPUTED_VALUE"""),46086)</f>
        <v>46086</v>
      </c>
      <c r="K582" s="33" t="str">
        <f ca="1">IFERROR(__xludf.DUMMYFUNCTION("""COMPUTED_VALUE"""),"Prueba")</f>
        <v>Prueba</v>
      </c>
      <c r="L582" s="57">
        <f ca="1">IFERROR(__xludf.DUMMYFUNCTION("""COMPUTED_VALUE"""),46092)</f>
        <v>46092</v>
      </c>
      <c r="M582" s="64" t="str">
        <f ca="1">IFERROR(__xludf.DUMMYFUNCTION("""COMPUTED_VALUE"""),"NO")</f>
        <v>NO</v>
      </c>
      <c r="N582" s="56">
        <f ca="1">IFERROR(__xludf.DUMMYFUNCTION("""COMPUTED_VALUE"""),1)</f>
        <v>1</v>
      </c>
      <c r="O582" s="64" t="str">
        <f ca="1">IFERROR(__xludf.DUMMYFUNCTION("""COMPUTED_VALUE"""),"TRIAL")</f>
        <v>TRIAL</v>
      </c>
      <c r="P582" s="62">
        <f ca="1">IFERROR(__xludf.DUMMYFUNCTION("""COMPUTED_VALUE"""),2180.91)</f>
        <v>2180.91</v>
      </c>
      <c r="Q582" s="33" t="str">
        <f ca="1">IFERROR(__xludf.DUMMYFUNCTION("""COMPUTED_VALUE"""),"Iván Sánchez")</f>
        <v>Iván Sánchez</v>
      </c>
      <c r="R582" s="33" t="str">
        <f ca="1">IFERROR(__xludf.DUMMYFUNCTION("""COMPUTED_VALUE"""),"Dr, Francisco Pastor Beviá")</f>
        <v>Dr, Francisco Pastor Beviá</v>
      </c>
      <c r="S582" s="61" t="str">
        <f ca="1">IFERROR(__xludf.DUMMYFUNCTION("""COMPUTED_VALUE"""),"03 ORL")</f>
        <v>03 ORL</v>
      </c>
      <c r="T582" s="33" t="str">
        <f ca="1">IFERROR(__xludf.DUMMYFUNCTION("""COMPUTED_VALUE"""),"06 ORL")</f>
        <v>06 ORL</v>
      </c>
      <c r="U582" s="62"/>
      <c r="W582" s="61"/>
      <c r="X582" s="62"/>
    </row>
    <row r="583" spans="2:24" ht="16">
      <c r="B583" s="67" t="str">
        <f t="shared" ca="1" si="3"/>
        <v>#N/</v>
      </c>
      <c r="C583" s="64" t="str">
        <f ca="1">IFERROR(__xludf.DUMMYFUNCTION("""COMPUTED_VALUE"""),"#N/A")</f>
        <v>#N/A</v>
      </c>
      <c r="D583" s="33" t="str">
        <f ca="1">IFERROR(__xludf.DUMMYFUNCTION("""COMPUTED_VALUE"""),"PROPIOS")</f>
        <v>PROPIOS</v>
      </c>
      <c r="E583" s="33">
        <f ca="1">IFERROR(__xludf.DUMMYFUNCTION("""COMPUTED_VALUE"""),2026)</f>
        <v>2026</v>
      </c>
      <c r="F583" s="56">
        <f ca="1">IFERROR(__xludf.DUMMYFUNCTION("""COMPUTED_VALUE"""),3)</f>
        <v>3</v>
      </c>
      <c r="G583" s="33" t="str">
        <f ca="1">IFERROR(__xludf.DUMMYFUNCTION("""COMPUTED_VALUE"""),"El Albir (Benidorm)")</f>
        <v>El Albir (Benidorm)</v>
      </c>
      <c r="H583" s="33" t="str">
        <f ca="1">IFERROR(__xludf.DUMMYFUNCTION("""COMPUTED_VALUE"""),"C202631611411419257")</f>
        <v>C202631611411419257</v>
      </c>
      <c r="I583" s="33" t="str">
        <f ca="1">IFERROR(__xludf.DUMMYFUNCTION("""COMPUTED_VALUE"""),"JOSE ANTONIO  DE LA TORRE MARTINEZ")</f>
        <v>JOSE ANTONIO  DE LA TORRE MARTINEZ</v>
      </c>
      <c r="J583" s="57">
        <f ca="1">IFERROR(__xludf.DUMMYFUNCTION("""COMPUTED_VALUE"""),46097)</f>
        <v>46097</v>
      </c>
      <c r="K583" s="33" t="str">
        <f ca="1">IFERROR(__xludf.DUMMYFUNCTION("""COMPUTED_VALUE"""),"Prueba")</f>
        <v>Prueba</v>
      </c>
      <c r="L583" s="57">
        <f ca="1">IFERROR(__xludf.DUMMYFUNCTION("""COMPUTED_VALUE"""),46107)</f>
        <v>46107</v>
      </c>
      <c r="M583" s="64" t="str">
        <f ca="1">IFERROR(__xludf.DUMMYFUNCTION("""COMPUTED_VALUE"""),"NO")</f>
        <v>NO</v>
      </c>
      <c r="N583" s="56">
        <f ca="1">IFERROR(__xludf.DUMMYFUNCTION("""COMPUTED_VALUE"""),2)</f>
        <v>2</v>
      </c>
      <c r="O583" s="64" t="str">
        <f ca="1">IFERROR(__xludf.DUMMYFUNCTION("""COMPUTED_VALUE"""),"QUIET")</f>
        <v>QUIET</v>
      </c>
      <c r="P583" s="62">
        <f ca="1">IFERROR(__xludf.DUMMYFUNCTION("""COMPUTED_VALUE"""),2918.18)</f>
        <v>2918.18</v>
      </c>
      <c r="Q583" s="33" t="str">
        <f ca="1">IFERROR(__xludf.DUMMYFUNCTION("""COMPUTED_VALUE"""),"Iván Sánchez")</f>
        <v>Iván Sánchez</v>
      </c>
      <c r="R583" s="33" t="str">
        <f ca="1">IFERROR(__xludf.DUMMYFUNCTION("""COMPUTED_VALUE"""),"Dra, Salwa Laraqui Hossini")</f>
        <v>Dra, Salwa Laraqui Hossini</v>
      </c>
      <c r="S583" s="61" t="str">
        <f ca="1">IFERROR(__xludf.DUMMYFUNCTION("""COMPUTED_VALUE"""),"03 ORL")</f>
        <v>03 ORL</v>
      </c>
      <c r="T583" s="33" t="str">
        <f ca="1">IFERROR(__xludf.DUMMYFUNCTION("""COMPUTED_VALUE"""),"06 ORL")</f>
        <v>06 ORL</v>
      </c>
      <c r="U583" s="62"/>
      <c r="W583" s="61"/>
      <c r="X583" s="62"/>
    </row>
    <row r="584" spans="2:24" ht="16">
      <c r="B584" s="67" t="str">
        <f t="shared" ca="1" si="3"/>
        <v>#N/</v>
      </c>
      <c r="C584" s="64" t="str">
        <f ca="1">IFERROR(__xludf.DUMMYFUNCTION("""COMPUTED_VALUE"""),"#N/A")</f>
        <v>#N/A</v>
      </c>
      <c r="D584" s="33" t="str">
        <f ca="1">IFERROR(__xludf.DUMMYFUNCTION("""COMPUTED_VALUE"""),"PROPIOS")</f>
        <v>PROPIOS</v>
      </c>
      <c r="E584" s="33">
        <f ca="1">IFERROR(__xludf.DUMMYFUNCTION("""COMPUTED_VALUE"""),2026)</f>
        <v>2026</v>
      </c>
      <c r="F584" s="56">
        <f ca="1">IFERROR(__xludf.DUMMYFUNCTION("""COMPUTED_VALUE"""),4)</f>
        <v>4</v>
      </c>
      <c r="G584" s="33" t="str">
        <f ca="1">IFERROR(__xludf.DUMMYFUNCTION("""COMPUTED_VALUE"""),"El Albir (Benidorm)")</f>
        <v>El Albir (Benidorm)</v>
      </c>
      <c r="H584" s="33" t="str">
        <f ca="1">IFERROR(__xludf.DUMMYFUNCTION("""COMPUTED_VALUE"""),"C202639112324740512")</f>
        <v>C202639112324740512</v>
      </c>
      <c r="I584" s="33" t="str">
        <f ca="1">IFERROR(__xludf.DUMMYFUNCTION("""COMPUTED_VALUE"""),"LIDIA IÑIGO QUARANTA")</f>
        <v>LIDIA IÑIGO QUARANTA</v>
      </c>
      <c r="J584" s="57">
        <f ca="1">IFERROR(__xludf.DUMMYFUNCTION("""COMPUTED_VALUE"""),46090)</f>
        <v>46090</v>
      </c>
      <c r="K584" s="33" t="str">
        <f ca="1">IFERROR(__xludf.DUMMYFUNCTION("""COMPUTED_VALUE"""),"Pedido")</f>
        <v>Pedido</v>
      </c>
      <c r="L584" s="57">
        <f ca="1">IFERROR(__xludf.DUMMYFUNCTION("""COMPUTED_VALUE"""),46113)</f>
        <v>46113</v>
      </c>
      <c r="M584" s="64" t="str">
        <f ca="1">IFERROR(__xludf.DUMMYFUNCTION("""COMPUTED_VALUE"""),"NO")</f>
        <v>NO</v>
      </c>
      <c r="N584" s="56">
        <f ca="1">IFERROR(__xludf.DUMMYFUNCTION("""COMPUTED_VALUE"""),2)</f>
        <v>2</v>
      </c>
      <c r="O584" s="64" t="str">
        <f ca="1">IFERROR(__xludf.DUMMYFUNCTION("""COMPUTED_VALUE"""),"QUIET")</f>
        <v>QUIET</v>
      </c>
      <c r="P584" s="62">
        <f ca="1">IFERROR(__xludf.DUMMYFUNCTION("""COMPUTED_VALUE"""),2918.18)</f>
        <v>2918.18</v>
      </c>
      <c r="Q584" s="33" t="str">
        <f ca="1">IFERROR(__xludf.DUMMYFUNCTION("""COMPUTED_VALUE"""),"Ramon Ferrando")</f>
        <v>Ramon Ferrando</v>
      </c>
      <c r="R584" s="33" t="str">
        <f ca="1">IFERROR(__xludf.DUMMYFUNCTION("""COMPUTED_VALUE"""),"Dra, Isabel Polo Tomás")</f>
        <v>Dra, Isabel Polo Tomás</v>
      </c>
      <c r="S584" s="61" t="str">
        <f ca="1">IFERROR(__xludf.DUMMYFUNCTION("""COMPUTED_VALUE"""),"03 ORL")</f>
        <v>03 ORL</v>
      </c>
      <c r="T584" s="33" t="str">
        <f ca="1">IFERROR(__xludf.DUMMYFUNCTION("""COMPUTED_VALUE"""),"06 ORL")</f>
        <v>06 ORL</v>
      </c>
      <c r="U584" s="62"/>
      <c r="W584" s="61"/>
      <c r="X584" s="62"/>
    </row>
    <row r="585" spans="2:24" ht="16">
      <c r="B585" s="67" t="str">
        <f t="shared" ca="1" si="3"/>
        <v>#N/</v>
      </c>
      <c r="C585" s="64" t="str">
        <f ca="1">IFERROR(__xludf.DUMMYFUNCTION("""COMPUTED_VALUE"""),"#N/A")</f>
        <v>#N/A</v>
      </c>
      <c r="D585" s="33" t="str">
        <f ca="1">IFERROR(__xludf.DUMMYFUNCTION("""COMPUTED_VALUE"""),"PROPIOS")</f>
        <v>PROPIOS</v>
      </c>
      <c r="E585" s="33">
        <f ca="1">IFERROR(__xludf.DUMMYFUNCTION("""COMPUTED_VALUE"""),2026)</f>
        <v>2026</v>
      </c>
      <c r="F585" s="56">
        <f ca="1">IFERROR(__xludf.DUMMYFUNCTION("""COMPUTED_VALUE"""),1)</f>
        <v>1</v>
      </c>
      <c r="G585" s="33" t="str">
        <f ca="1">IFERROR(__xludf.DUMMYFUNCTION("""COMPUTED_VALUE"""),"El Albir (Benidorm)")</f>
        <v>El Albir (Benidorm)</v>
      </c>
      <c r="H585" s="33" t="str">
        <f ca="1">IFERROR(__xludf.DUMMYFUNCTION("""COMPUTED_VALUE"""),"C202618142416911322")</f>
        <v>C202618142416911322</v>
      </c>
      <c r="I585" s="33" t="str">
        <f ca="1">IFERROR(__xludf.DUMMYFUNCTION("""COMPUTED_VALUE"""),"MARIA CONCEPCION  CASTILLO GARCIA")</f>
        <v>MARIA CONCEPCION  CASTILLO GARCIA</v>
      </c>
      <c r="J585" s="57">
        <f ca="1">IFERROR(__xludf.DUMMYFUNCTION("""COMPUTED_VALUE"""),46030)</f>
        <v>46030</v>
      </c>
      <c r="K585" s="33" t="str">
        <f ca="1">IFERROR(__xludf.DUMMYFUNCTION("""COMPUTED_VALUE"""),"Presupuesto")</f>
        <v>Presupuesto</v>
      </c>
      <c r="L585" s="57">
        <f ca="1">IFERROR(__xludf.DUMMYFUNCTION("""COMPUTED_VALUE"""),46035)</f>
        <v>46035</v>
      </c>
      <c r="M585" s="64" t="str">
        <f ca="1">IFERROR(__xludf.DUMMYFUNCTION("""COMPUTED_VALUE"""),"NO")</f>
        <v>NO</v>
      </c>
      <c r="N585" s="56">
        <f ca="1">IFERROR(__xludf.DUMMYFUNCTION("""COMPUTED_VALUE"""),1)</f>
        <v>1</v>
      </c>
      <c r="O585" s="64" t="str">
        <f ca="1">IFERROR(__xludf.DUMMYFUNCTION("""COMPUTED_VALUE"""),"CONFORT")</f>
        <v>CONFORT</v>
      </c>
      <c r="P585" s="62">
        <f ca="1">IFERROR(__xludf.DUMMYFUNCTION("""COMPUTED_VALUE"""),2180.91)</f>
        <v>2180.91</v>
      </c>
      <c r="Q585" s="33" t="str">
        <f ca="1">IFERROR(__xludf.DUMMYFUNCTION("""COMPUTED_VALUE"""),"Ramon Ferrando")</f>
        <v>Ramon Ferrando</v>
      </c>
      <c r="R585" s="33" t="str">
        <f ca="1">IFERROR(__xludf.DUMMYFUNCTION("""COMPUTED_VALUE"""),"Dr, José María Laborda Margolles")</f>
        <v>Dr, José María Laborda Margolles</v>
      </c>
      <c r="S585" s="61" t="str">
        <f ca="1">IFERROR(__xludf.DUMMYFUNCTION("""COMPUTED_VALUE"""),"03 ORL")</f>
        <v>03 ORL</v>
      </c>
      <c r="T585" s="33" t="str">
        <f ca="1">IFERROR(__xludf.DUMMYFUNCTION("""COMPUTED_VALUE"""),"06 ORL")</f>
        <v>06 ORL</v>
      </c>
      <c r="U585" s="62"/>
      <c r="W585" s="61"/>
      <c r="X585" s="62"/>
    </row>
    <row r="586" spans="2:24" ht="16">
      <c r="B586" s="67" t="str">
        <f t="shared" ca="1" si="3"/>
        <v>#N/</v>
      </c>
      <c r="C586" s="64" t="str">
        <f ca="1">IFERROR(__xludf.DUMMYFUNCTION("""COMPUTED_VALUE"""),"#N/A")</f>
        <v>#N/A</v>
      </c>
      <c r="D586" s="33" t="str">
        <f ca="1">IFERROR(__xludf.DUMMYFUNCTION("""COMPUTED_VALUE"""),"PROPIOS")</f>
        <v>PROPIOS</v>
      </c>
      <c r="E586" s="33">
        <f ca="1">IFERROR(__xludf.DUMMYFUNCTION("""COMPUTED_VALUE"""),2026)</f>
        <v>2026</v>
      </c>
      <c r="F586" s="56">
        <f ca="1">IFERROR(__xludf.DUMMYFUNCTION("""COMPUTED_VALUE"""),3)</f>
        <v>3</v>
      </c>
      <c r="G586" s="33" t="str">
        <f ca="1">IFERROR(__xludf.DUMMYFUNCTION("""COMPUTED_VALUE"""),"El Albir (Benidorm)")</f>
        <v>El Albir (Benidorm)</v>
      </c>
      <c r="H586" s="33" t="str">
        <f ca="1">IFERROR(__xludf.DUMMYFUNCTION("""COMPUTED_VALUE"""),"C202634172521295830")</f>
        <v>C202634172521295830</v>
      </c>
      <c r="I586" s="33" t="str">
        <f ca="1">IFERROR(__xludf.DUMMYFUNCTION("""COMPUTED_VALUE"""),"ROSA BLANCA MANZURE")</f>
        <v>ROSA BLANCA MANZURE</v>
      </c>
      <c r="J586" s="57">
        <f ca="1">IFERROR(__xludf.DUMMYFUNCTION("""COMPUTED_VALUE"""),46085)</f>
        <v>46085</v>
      </c>
      <c r="K586" s="33" t="str">
        <f ca="1">IFERROR(__xludf.DUMMYFUNCTION("""COMPUTED_VALUE"""),"Devuelve")</f>
        <v>Devuelve</v>
      </c>
      <c r="L586" s="57">
        <f ca="1">IFERROR(__xludf.DUMMYFUNCTION("""COMPUTED_VALUE"""),46094)</f>
        <v>46094</v>
      </c>
      <c r="M586" s="64" t="str">
        <f ca="1">IFERROR(__xludf.DUMMYFUNCTION("""COMPUTED_VALUE"""),"NO")</f>
        <v>NO</v>
      </c>
      <c r="N586" s="56">
        <f ca="1">IFERROR(__xludf.DUMMYFUNCTION("""COMPUTED_VALUE"""),2)</f>
        <v>2</v>
      </c>
      <c r="O586" s="64" t="str">
        <f ca="1">IFERROR(__xludf.DUMMYFUNCTION("""COMPUTED_VALUE"""),"QUIET")</f>
        <v>QUIET</v>
      </c>
      <c r="P586" s="62">
        <f ca="1">IFERROR(__xludf.DUMMYFUNCTION("""COMPUTED_VALUE"""),2918.18)</f>
        <v>2918.18</v>
      </c>
      <c r="Q586" s="33" t="str">
        <f ca="1">IFERROR(__xludf.DUMMYFUNCTION("""COMPUTED_VALUE"""),"Ramon Ferrando")</f>
        <v>Ramon Ferrando</v>
      </c>
      <c r="R586" s="33" t="str">
        <f ca="1">IFERROR(__xludf.DUMMYFUNCTION("""COMPUTED_VALUE"""),"Dra, Isabel Polo Tomás")</f>
        <v>Dra, Isabel Polo Tomás</v>
      </c>
      <c r="S586" s="61" t="str">
        <f ca="1">IFERROR(__xludf.DUMMYFUNCTION("""COMPUTED_VALUE"""),"03 ORL")</f>
        <v>03 ORL</v>
      </c>
      <c r="T586" s="33" t="str">
        <f ca="1">IFERROR(__xludf.DUMMYFUNCTION("""COMPUTED_VALUE"""),"06 ORL")</f>
        <v>06 ORL</v>
      </c>
      <c r="U586" s="62"/>
      <c r="W586" s="61"/>
      <c r="X586" s="62"/>
    </row>
    <row r="587" spans="2:24" ht="16">
      <c r="B587" s="67" t="str">
        <f t="shared" ca="1" si="3"/>
        <v>#N/</v>
      </c>
      <c r="C587" s="64" t="str">
        <f ca="1">IFERROR(__xludf.DUMMYFUNCTION("""COMPUTED_VALUE"""),"#N/A")</f>
        <v>#N/A</v>
      </c>
      <c r="D587" s="33" t="str">
        <f ca="1">IFERROR(__xludf.DUMMYFUNCTION("""COMPUTED_VALUE"""),"PROPIOS")</f>
        <v>PROPIOS</v>
      </c>
      <c r="E587" s="33">
        <f ca="1">IFERROR(__xludf.DUMMYFUNCTION("""COMPUTED_VALUE"""),2026)</f>
        <v>2026</v>
      </c>
      <c r="F587" s="56">
        <f ca="1">IFERROR(__xludf.DUMMYFUNCTION("""COMPUTED_VALUE"""),4)</f>
        <v>4</v>
      </c>
      <c r="G587" s="33" t="str">
        <f ca="1">IFERROR(__xludf.DUMMYFUNCTION("""COMPUTED_VALUE"""),"El Albir (Benidorm)")</f>
        <v>El Albir (Benidorm)</v>
      </c>
      <c r="H587" s="33" t="str">
        <f ca="1">IFERROR(__xludf.DUMMYFUNCTION("""COMPUTED_VALUE"""),"C202631111595244915")</f>
        <v>C202631111595244915</v>
      </c>
      <c r="I587" s="33" t="str">
        <f ca="1">IFERROR(__xludf.DUMMYFUNCTION("""COMPUTED_VALUE"""),"ROSA RAMOS SANCHEZ")</f>
        <v>ROSA RAMOS SANCHEZ</v>
      </c>
      <c r="J587" s="57">
        <f ca="1">IFERROR(__xludf.DUMMYFUNCTION("""COMPUTED_VALUE"""),46092)</f>
        <v>46092</v>
      </c>
      <c r="K587" s="33" t="str">
        <f ca="1">IFERROR(__xludf.DUMMYFUNCTION("""COMPUTED_VALUE"""),"Pedido")</f>
        <v>Pedido</v>
      </c>
      <c r="L587" s="57">
        <f ca="1">IFERROR(__xludf.DUMMYFUNCTION("""COMPUTED_VALUE"""),46113)</f>
        <v>46113</v>
      </c>
      <c r="M587" s="64" t="str">
        <f ca="1">IFERROR(__xludf.DUMMYFUNCTION("""COMPUTED_VALUE"""),"NO")</f>
        <v>NO</v>
      </c>
      <c r="N587" s="56">
        <f ca="1">IFERROR(__xludf.DUMMYFUNCTION("""COMPUTED_VALUE"""),2)</f>
        <v>2</v>
      </c>
      <c r="O587" s="64" t="str">
        <f ca="1">IFERROR(__xludf.DUMMYFUNCTION("""COMPUTED_VALUE"""),"QUIET")</f>
        <v>QUIET</v>
      </c>
      <c r="P587" s="62">
        <f ca="1">IFERROR(__xludf.DUMMYFUNCTION("""COMPUTED_VALUE"""),2918.18)</f>
        <v>2918.18</v>
      </c>
      <c r="Q587" s="33" t="str">
        <f ca="1">IFERROR(__xludf.DUMMYFUNCTION("""COMPUTED_VALUE"""),"Iván Sánchez")</f>
        <v>Iván Sánchez</v>
      </c>
      <c r="R587" s="33" t="str">
        <f ca="1">IFERROR(__xludf.DUMMYFUNCTION("""COMPUTED_VALUE"""),"Dr, Salwa Laraqui Hossini")</f>
        <v>Dr, Salwa Laraqui Hossini</v>
      </c>
      <c r="S587" s="61" t="str">
        <f ca="1">IFERROR(__xludf.DUMMYFUNCTION("""COMPUTED_VALUE"""),"03 ORL")</f>
        <v>03 ORL</v>
      </c>
      <c r="T587" s="33" t="str">
        <f ca="1">IFERROR(__xludf.DUMMYFUNCTION("""COMPUTED_VALUE"""),"06 ORL")</f>
        <v>06 ORL</v>
      </c>
      <c r="U587" s="62"/>
      <c r="W587" s="61"/>
      <c r="X587" s="62"/>
    </row>
    <row r="588" spans="2:24" ht="16">
      <c r="B588" s="67" t="str">
        <f t="shared" ca="1" si="3"/>
        <v>#N/</v>
      </c>
      <c r="C588" s="64" t="str">
        <f ca="1">IFERROR(__xludf.DUMMYFUNCTION("""COMPUTED_VALUE"""),"#N/A")</f>
        <v>#N/A</v>
      </c>
      <c r="D588" s="33" t="str">
        <f ca="1">IFERROR(__xludf.DUMMYFUNCTION("""COMPUTED_VALUE"""),"PROPIOS")</f>
        <v>PROPIOS</v>
      </c>
      <c r="E588" s="33">
        <f ca="1">IFERROR(__xludf.DUMMYFUNCTION("""COMPUTED_VALUE"""),2026)</f>
        <v>2026</v>
      </c>
      <c r="F588" s="56">
        <f ca="1">IFERROR(__xludf.DUMMYFUNCTION("""COMPUTED_VALUE"""),1)</f>
        <v>1</v>
      </c>
      <c r="G588" s="33" t="str">
        <f ca="1">IFERROR(__xludf.DUMMYFUNCTION("""COMPUTED_VALUE"""),"El Albir (Benidorm)")</f>
        <v>El Albir (Benidorm)</v>
      </c>
      <c r="H588" s="33" t="str">
        <f ca="1">IFERROR(__xludf.DUMMYFUNCTION("""COMPUTED_VALUE"""),"C202512181231533876")</f>
        <v>C202512181231533876</v>
      </c>
      <c r="I588" s="33" t="str">
        <f ca="1">IFERROR(__xludf.DUMMYFUNCTION("""COMPUTED_VALUE"""),"ROSARIO DOMENE MOYA")</f>
        <v>ROSARIO DOMENE MOYA</v>
      </c>
      <c r="J588" s="57">
        <f ca="1">IFERROR(__xludf.DUMMYFUNCTION("""COMPUTED_VALUE"""),46009)</f>
        <v>46009</v>
      </c>
      <c r="K588" s="33" t="str">
        <f ca="1">IFERROR(__xludf.DUMMYFUNCTION("""COMPUTED_VALUE"""),"Pedido")</f>
        <v>Pedido</v>
      </c>
      <c r="L588" s="57">
        <f ca="1">IFERROR(__xludf.DUMMYFUNCTION("""COMPUTED_VALUE"""),46031)</f>
        <v>46031</v>
      </c>
      <c r="M588" s="64" t="str">
        <f ca="1">IFERROR(__xludf.DUMMYFUNCTION("""COMPUTED_VALUE"""),"NO")</f>
        <v>NO</v>
      </c>
      <c r="N588" s="56">
        <f ca="1">IFERROR(__xludf.DUMMYFUNCTION("""COMPUTED_VALUE"""),2)</f>
        <v>2</v>
      </c>
      <c r="O588" s="64" t="str">
        <f ca="1">IFERROR(__xludf.DUMMYFUNCTION("""COMPUTED_VALUE"""),"QUIET")</f>
        <v>QUIET</v>
      </c>
      <c r="P588" s="62">
        <f ca="1">IFERROR(__xludf.DUMMYFUNCTION("""COMPUTED_VALUE"""),2718.18)</f>
        <v>2718.18</v>
      </c>
      <c r="Q588" s="33" t="str">
        <f ca="1">IFERROR(__xludf.DUMMYFUNCTION("""COMPUTED_VALUE"""),"Ramon Ferrando")</f>
        <v>Ramon Ferrando</v>
      </c>
      <c r="R588" s="33" t="str">
        <f ca="1">IFERROR(__xludf.DUMMYFUNCTION("""COMPUTED_VALUE"""),"Dra, María Emilia García Ruiz")</f>
        <v>Dra, María Emilia García Ruiz</v>
      </c>
      <c r="S588" s="61" t="str">
        <f ca="1">IFERROR(__xludf.DUMMYFUNCTION("""COMPUTED_VALUE"""),"03 ORL")</f>
        <v>03 ORL</v>
      </c>
      <c r="T588" s="33" t="str">
        <f ca="1">IFERROR(__xludf.DUMMYFUNCTION("""COMPUTED_VALUE"""),"06 ORL")</f>
        <v>06 ORL</v>
      </c>
      <c r="U588" s="62"/>
      <c r="W588" s="61"/>
      <c r="X588" s="62"/>
    </row>
    <row r="589" spans="2:24" ht="16">
      <c r="B589" s="67" t="str">
        <f t="shared" ca="1" si="3"/>
        <v/>
      </c>
      <c r="C589" s="64"/>
      <c r="D589" s="33" t="str">
        <f ca="1">IFERROR(__xludf.DUMMYFUNCTION("""COMPUTED_VALUE"""),"PROPIOS")</f>
        <v>PROPIOS</v>
      </c>
      <c r="E589" s="33">
        <f ca="1">IFERROR(__xludf.DUMMYFUNCTION("""COMPUTED_VALUE"""),2026)</f>
        <v>2026</v>
      </c>
      <c r="F589" s="56">
        <f ca="1">IFERROR(__xludf.DUMMYFUNCTION("""COMPUTED_VALUE"""),4)</f>
        <v>4</v>
      </c>
      <c r="G589" s="33" t="str">
        <f ca="1">IFERROR(__xludf.DUMMYFUNCTION("""COMPUTED_VALUE"""),"Fuenlabrada")</f>
        <v>Fuenlabrada</v>
      </c>
      <c r="H589" s="33" t="str">
        <f ca="1">IFERROR(__xludf.DUMMYFUNCTION("""COMPUTED_VALUE"""),"C202633116544481365")</f>
        <v>C202633116544481365</v>
      </c>
      <c r="I589" s="33" t="str">
        <f ca="1">IFERROR(__xludf.DUMMYFUNCTION("""COMPUTED_VALUE"""),"ANA TOLEDO MARTOS")</f>
        <v>ANA TOLEDO MARTOS</v>
      </c>
      <c r="J589" s="57">
        <f ca="1">IFERROR(__xludf.DUMMYFUNCTION("""COMPUTED_VALUE"""),46112)</f>
        <v>46112</v>
      </c>
      <c r="K589" s="33" t="str">
        <f ca="1">IFERROR(__xludf.DUMMYFUNCTION("""COMPUTED_VALUE"""),"Pedido")</f>
        <v>Pedido</v>
      </c>
      <c r="L589" s="57">
        <f ca="1">IFERROR(__xludf.DUMMYFUNCTION("""COMPUTED_VALUE"""),46118)</f>
        <v>46118</v>
      </c>
      <c r="M589" s="64" t="str">
        <f ca="1">IFERROR(__xludf.DUMMYFUNCTION("""COMPUTED_VALUE"""),"NO")</f>
        <v>NO</v>
      </c>
      <c r="N589" s="56">
        <f ca="1">IFERROR(__xludf.DUMMYFUNCTION("""COMPUTED_VALUE"""),1)</f>
        <v>1</v>
      </c>
      <c r="O589" s="64" t="str">
        <f ca="1">IFERROR(__xludf.DUMMYFUNCTION("""COMPUTED_VALUE"""),"CONFORT")</f>
        <v>CONFORT</v>
      </c>
      <c r="P589" s="62">
        <f ca="1">IFERROR(__xludf.DUMMYFUNCTION("""COMPUTED_VALUE"""),2899.09)</f>
        <v>2899.09</v>
      </c>
      <c r="Q589" s="33" t="str">
        <f ca="1">IFERROR(__xludf.DUMMYFUNCTION("""COMPUTED_VALUE"""),"Maika Blázquez")</f>
        <v>Maika Blázquez</v>
      </c>
      <c r="R589" s="33" t="str">
        <f ca="1">IFERROR(__xludf.DUMMYFUNCTION("""COMPUTED_VALUE"""),"No recuerda ORL")</f>
        <v>No recuerda ORL</v>
      </c>
      <c r="S589" s="61" t="str">
        <f ca="1">IFERROR(__xludf.DUMMYFUNCTION("""COMPUTED_VALUE"""),"03 ORL")</f>
        <v>03 ORL</v>
      </c>
      <c r="T589" s="33" t="str">
        <f ca="1">IFERROR(__xludf.DUMMYFUNCTION("""COMPUTED_VALUE"""),"06 ORL")</f>
        <v>06 ORL</v>
      </c>
      <c r="U589" s="62"/>
      <c r="W589" s="61"/>
      <c r="X589" s="62"/>
    </row>
    <row r="590" spans="2:24" ht="16">
      <c r="B590" s="67" t="str">
        <f t="shared" ca="1" si="3"/>
        <v/>
      </c>
      <c r="C590" s="64"/>
      <c r="D590" s="33" t="str">
        <f ca="1">IFERROR(__xludf.DUMMYFUNCTION("""COMPUTED_VALUE"""),"PROPIOS")</f>
        <v>PROPIOS</v>
      </c>
      <c r="E590" s="33">
        <f ca="1">IFERROR(__xludf.DUMMYFUNCTION("""COMPUTED_VALUE"""),2026)</f>
        <v>2026</v>
      </c>
      <c r="F590" s="56">
        <f ca="1">IFERROR(__xludf.DUMMYFUNCTION("""COMPUTED_VALUE"""),4)</f>
        <v>4</v>
      </c>
      <c r="G590" s="33" t="str">
        <f ca="1">IFERROR(__xludf.DUMMYFUNCTION("""COMPUTED_VALUE"""),"Fuenlabrada")</f>
        <v>Fuenlabrada</v>
      </c>
      <c r="H590" s="33" t="str">
        <f ca="1">IFERROR(__xludf.DUMMYFUNCTION("""COMPUTED_VALUE"""),"C202631118261576990")</f>
        <v>C202631118261576990</v>
      </c>
      <c r="I590" s="33" t="str">
        <f ca="1">IFERROR(__xludf.DUMMYFUNCTION("""COMPUTED_VALUE"""),"CARLOS  CABALLERO ALCANTARA")</f>
        <v>CARLOS  CABALLERO ALCANTARA</v>
      </c>
      <c r="J590" s="57">
        <f ca="1">IFERROR(__xludf.DUMMYFUNCTION("""COMPUTED_VALUE"""),46092)</f>
        <v>46092</v>
      </c>
      <c r="K590" s="33" t="str">
        <f ca="1">IFERROR(__xludf.DUMMYFUNCTION("""COMPUTED_VALUE"""),"Prueba")</f>
        <v>Prueba</v>
      </c>
      <c r="L590" s="57">
        <f ca="1">IFERROR(__xludf.DUMMYFUNCTION("""COMPUTED_VALUE"""),46113)</f>
        <v>46113</v>
      </c>
      <c r="M590" s="64" t="str">
        <f ca="1">IFERROR(__xludf.DUMMYFUNCTION("""COMPUTED_VALUE"""),"NO")</f>
        <v>NO</v>
      </c>
      <c r="N590" s="56">
        <f ca="1">IFERROR(__xludf.DUMMYFUNCTION("""COMPUTED_VALUE"""),1)</f>
        <v>1</v>
      </c>
      <c r="O590" s="64" t="str">
        <f ca="1">IFERROR(__xludf.DUMMYFUNCTION("""COMPUTED_VALUE"""),"CONFORT")</f>
        <v>CONFORT</v>
      </c>
      <c r="P590" s="62">
        <f ca="1">IFERROR(__xludf.DUMMYFUNCTION("""COMPUTED_VALUE"""),2162.73)</f>
        <v>2162.73</v>
      </c>
      <c r="Q590" s="33" t="str">
        <f ca="1">IFERROR(__xludf.DUMMYFUNCTION("""COMPUTED_VALUE"""),"Maika Blázquez")</f>
        <v>Maika Blázquez</v>
      </c>
      <c r="R590" s="33" t="str">
        <f ca="1">IFERROR(__xludf.DUMMYFUNCTION("""COMPUTED_VALUE"""),"No recuerda ORL")</f>
        <v>No recuerda ORL</v>
      </c>
      <c r="S590" s="61" t="str">
        <f ca="1">IFERROR(__xludf.DUMMYFUNCTION("""COMPUTED_VALUE"""),"03 ORL")</f>
        <v>03 ORL</v>
      </c>
      <c r="T590" s="33" t="str">
        <f ca="1">IFERROR(__xludf.DUMMYFUNCTION("""COMPUTED_VALUE"""),"06 ORL")</f>
        <v>06 ORL</v>
      </c>
      <c r="U590" s="62"/>
      <c r="W590" s="61"/>
      <c r="X590" s="62"/>
    </row>
    <row r="591" spans="2:24" ht="16">
      <c r="B591" s="67" t="str">
        <f t="shared" ca="1" si="3"/>
        <v>#N/</v>
      </c>
      <c r="C591" s="64" t="str">
        <f ca="1">IFERROR(__xludf.DUMMYFUNCTION("""COMPUTED_VALUE"""),"#N/A")</f>
        <v>#N/A</v>
      </c>
      <c r="D591" s="33" t="str">
        <f ca="1">IFERROR(__xludf.DUMMYFUNCTION("""COMPUTED_VALUE"""),"PROPIOS")</f>
        <v>PROPIOS</v>
      </c>
      <c r="E591" s="33">
        <f ca="1">IFERROR(__xludf.DUMMYFUNCTION("""COMPUTED_VALUE"""),2026)</f>
        <v>2026</v>
      </c>
      <c r="F591" s="56">
        <f ca="1">IFERROR(__xludf.DUMMYFUNCTION("""COMPUTED_VALUE"""),2)</f>
        <v>2</v>
      </c>
      <c r="G591" s="33" t="str">
        <f ca="1">IFERROR(__xludf.DUMMYFUNCTION("""COMPUTED_VALUE"""),"Fuenlabrada")</f>
        <v>Fuenlabrada</v>
      </c>
      <c r="H591" s="33" t="str">
        <f ca="1">IFERROR(__xludf.DUMMYFUNCTION("""COMPUTED_VALUE"""),"C202613010174350741")</f>
        <v>C202613010174350741</v>
      </c>
      <c r="I591" s="33" t="str">
        <f ca="1">IFERROR(__xludf.DUMMYFUNCTION("""COMPUTED_VALUE"""),"ENCARNACION  SANCHEZ DUQUE")</f>
        <v>ENCARNACION  SANCHEZ DUQUE</v>
      </c>
      <c r="J591" s="57">
        <f ca="1">IFERROR(__xludf.DUMMYFUNCTION("""COMPUTED_VALUE"""),46052)</f>
        <v>46052</v>
      </c>
      <c r="K591" s="33" t="str">
        <f ca="1">IFERROR(__xludf.DUMMYFUNCTION("""COMPUTED_VALUE"""),"Presupuesto")</f>
        <v>Presupuesto</v>
      </c>
      <c r="L591" s="57">
        <f ca="1">IFERROR(__xludf.DUMMYFUNCTION("""COMPUTED_VALUE"""),46070)</f>
        <v>46070</v>
      </c>
      <c r="M591" s="64" t="str">
        <f ca="1">IFERROR(__xludf.DUMMYFUNCTION("""COMPUTED_VALUE"""),"NO")</f>
        <v>NO</v>
      </c>
      <c r="N591" s="56">
        <f ca="1">IFERROR(__xludf.DUMMYFUNCTION("""COMPUTED_VALUE"""),2)</f>
        <v>2</v>
      </c>
      <c r="O591" s="64" t="str">
        <f ca="1">IFERROR(__xludf.DUMMYFUNCTION("""COMPUTED_VALUE"""),"QUIET")</f>
        <v>QUIET</v>
      </c>
      <c r="P591" s="62">
        <f ca="1">IFERROR(__xludf.DUMMYFUNCTION("""COMPUTED_VALUE"""),2718.18)</f>
        <v>2718.18</v>
      </c>
      <c r="Q591" s="33" t="str">
        <f ca="1">IFERROR(__xludf.DUMMYFUNCTION("""COMPUTED_VALUE"""),"Maika Blázquez")</f>
        <v>Maika Blázquez</v>
      </c>
      <c r="R591" s="33" t="str">
        <f ca="1">IFERROR(__xludf.DUMMYFUNCTION("""COMPUTED_VALUE"""),"Dra, Elisabeth Amarillo Espitia")</f>
        <v>Dra, Elisabeth Amarillo Espitia</v>
      </c>
      <c r="S591" s="61" t="str">
        <f ca="1">IFERROR(__xludf.DUMMYFUNCTION("""COMPUTED_VALUE"""),"03 ORL")</f>
        <v>03 ORL</v>
      </c>
      <c r="T591" s="33" t="str">
        <f ca="1">IFERROR(__xludf.DUMMYFUNCTION("""COMPUTED_VALUE"""),"06 ORL")</f>
        <v>06 ORL</v>
      </c>
      <c r="U591" s="62"/>
      <c r="W591" s="61"/>
      <c r="X591" s="62"/>
    </row>
    <row r="592" spans="2:24" ht="16">
      <c r="B592" s="67" t="str">
        <f t="shared" ca="1" si="3"/>
        <v>#N/</v>
      </c>
      <c r="C592" s="64" t="str">
        <f ca="1">IFERROR(__xludf.DUMMYFUNCTION("""COMPUTED_VALUE"""),"#N/A")</f>
        <v>#N/A</v>
      </c>
      <c r="D592" s="33" t="str">
        <f ca="1">IFERROR(__xludf.DUMMYFUNCTION("""COMPUTED_VALUE"""),"PROPIOS")</f>
        <v>PROPIOS</v>
      </c>
      <c r="E592" s="33">
        <f ca="1">IFERROR(__xludf.DUMMYFUNCTION("""COMPUTED_VALUE"""),2026)</f>
        <v>2026</v>
      </c>
      <c r="F592" s="56">
        <f ca="1">IFERROR(__xludf.DUMMYFUNCTION("""COMPUTED_VALUE"""),1)</f>
        <v>1</v>
      </c>
      <c r="G592" s="33" t="str">
        <f ca="1">IFERROR(__xludf.DUMMYFUNCTION("""COMPUTED_VALUE"""),"Fuenlabrada")</f>
        <v>Fuenlabrada</v>
      </c>
      <c r="H592" s="33" t="str">
        <f ca="1">IFERROR(__xludf.DUMMYFUNCTION("""COMPUTED_VALUE"""),"FNL-02934")</f>
        <v>FNL-02934</v>
      </c>
      <c r="I592" s="33" t="str">
        <f ca="1">IFERROR(__xludf.DUMMYFUNCTION("""COMPUTED_VALUE"""),"FABIOLA MARTINEZ FERNANDEZ")</f>
        <v>FABIOLA MARTINEZ FERNANDEZ</v>
      </c>
      <c r="J592" s="57">
        <f ca="1">IFERROR(__xludf.DUMMYFUNCTION("""COMPUTED_VALUE"""),46021)</f>
        <v>46021</v>
      </c>
      <c r="K592" s="33" t="str">
        <f ca="1">IFERROR(__xludf.DUMMYFUNCTION("""COMPUTED_VALUE"""),"Devuelve")</f>
        <v>Devuelve</v>
      </c>
      <c r="L592" s="57">
        <f ca="1">IFERROR(__xludf.DUMMYFUNCTION("""COMPUTED_VALUE"""),46031)</f>
        <v>46031</v>
      </c>
      <c r="M592" s="64" t="str">
        <f ca="1">IFERROR(__xludf.DUMMYFUNCTION("""COMPUTED_VALUE"""),"NO")</f>
        <v>NO</v>
      </c>
      <c r="N592" s="56">
        <f ca="1">IFERROR(__xludf.DUMMYFUNCTION("""COMPUTED_VALUE"""),1)</f>
        <v>1</v>
      </c>
      <c r="O592" s="64" t="str">
        <f ca="1">IFERROR(__xludf.DUMMYFUNCTION("""COMPUTED_VALUE"""),"TRIAL")</f>
        <v>TRIAL</v>
      </c>
      <c r="P592" s="62">
        <f ca="1">IFERROR(__xludf.DUMMYFUNCTION("""COMPUTED_VALUE"""),2180.91)</f>
        <v>2180.91</v>
      </c>
      <c r="Q592" s="33" t="str">
        <f ca="1">IFERROR(__xludf.DUMMYFUNCTION("""COMPUTED_VALUE"""),"Maika Blázquez")</f>
        <v>Maika Blázquez</v>
      </c>
      <c r="R592" s="33" t="str">
        <f ca="1">IFERROR(__xludf.DUMMYFUNCTION("""COMPUTED_VALUE"""),"Dr, Carlos Barajas del Rosal")</f>
        <v>Dr, Carlos Barajas del Rosal</v>
      </c>
      <c r="S592" s="61" t="str">
        <f ca="1">IFERROR(__xludf.DUMMYFUNCTION("""COMPUTED_VALUE"""),"03 ORL")</f>
        <v>03 ORL</v>
      </c>
      <c r="T592" s="33" t="str">
        <f ca="1">IFERROR(__xludf.DUMMYFUNCTION("""COMPUTED_VALUE"""),"06 ORL")</f>
        <v>06 ORL</v>
      </c>
      <c r="U592" s="62"/>
      <c r="W592" s="61"/>
      <c r="X592" s="62"/>
    </row>
    <row r="593" spans="2:37" ht="16">
      <c r="B593" s="67" t="str">
        <f t="shared" ca="1" si="3"/>
        <v>#N/</v>
      </c>
      <c r="C593" s="64" t="str">
        <f ca="1">IFERROR(__xludf.DUMMYFUNCTION("""COMPUTED_VALUE"""),"#N/A")</f>
        <v>#N/A</v>
      </c>
      <c r="D593" s="33" t="str">
        <f ca="1">IFERROR(__xludf.DUMMYFUNCTION("""COMPUTED_VALUE"""),"PROPIOS")</f>
        <v>PROPIOS</v>
      </c>
      <c r="E593" s="33">
        <f ca="1">IFERROR(__xludf.DUMMYFUNCTION("""COMPUTED_VALUE"""),2026)</f>
        <v>2026</v>
      </c>
      <c r="F593" s="56">
        <f ca="1">IFERROR(__xludf.DUMMYFUNCTION("""COMPUTED_VALUE"""),1)</f>
        <v>1</v>
      </c>
      <c r="G593" s="33" t="str">
        <f ca="1">IFERROR(__xludf.DUMMYFUNCTION("""COMPUTED_VALUE"""),"Fuenlabrada")</f>
        <v>Fuenlabrada</v>
      </c>
      <c r="H593" s="33" t="str">
        <f ca="1">IFERROR(__xludf.DUMMYFUNCTION("""COMPUTED_VALUE"""),"C202611314492864404")</f>
        <v>C202611314492864404</v>
      </c>
      <c r="I593" s="33" t="str">
        <f ca="1">IFERROR(__xludf.DUMMYFUNCTION("""COMPUTED_VALUE"""),"INMACULADA FERNANDEZ FERNANDEZ")</f>
        <v>INMACULADA FERNANDEZ FERNANDEZ</v>
      </c>
      <c r="J593" s="57">
        <f ca="1">IFERROR(__xludf.DUMMYFUNCTION("""COMPUTED_VALUE"""),46035)</f>
        <v>46035</v>
      </c>
      <c r="K593" s="33" t="str">
        <f ca="1">IFERROR(__xludf.DUMMYFUNCTION("""COMPUTED_VALUE"""),"Pedido")</f>
        <v>Pedido</v>
      </c>
      <c r="L593" s="57">
        <f ca="1">IFERROR(__xludf.DUMMYFUNCTION("""COMPUTED_VALUE"""),46036)</f>
        <v>46036</v>
      </c>
      <c r="M593" s="64" t="str">
        <f ca="1">IFERROR(__xludf.DUMMYFUNCTION("""COMPUTED_VALUE"""),"NO")</f>
        <v>NO</v>
      </c>
      <c r="N593" s="56">
        <f ca="1">IFERROR(__xludf.DUMMYFUNCTION("""COMPUTED_VALUE"""),2)</f>
        <v>2</v>
      </c>
      <c r="O593" s="64" t="str">
        <f ca="1">IFERROR(__xludf.DUMMYFUNCTION("""COMPUTED_VALUE"""),"CONFORT")</f>
        <v>CONFORT</v>
      </c>
      <c r="P593" s="62">
        <f ca="1">IFERROR(__xludf.DUMMYFUNCTION("""COMPUTED_VALUE"""),3631.82)</f>
        <v>3631.82</v>
      </c>
      <c r="Q593" s="33" t="str">
        <f ca="1">IFERROR(__xludf.DUMMYFUNCTION("""COMPUTED_VALUE"""),"Maika Blázquez")</f>
        <v>Maika Blázquez</v>
      </c>
      <c r="R593" s="33" t="str">
        <f ca="1">IFERROR(__xludf.DUMMYFUNCTION("""COMPUTED_VALUE"""),"Dr, Adolfo Toledano Muñoz")</f>
        <v>Dr, Adolfo Toledano Muñoz</v>
      </c>
      <c r="S593" s="61" t="str">
        <f ca="1">IFERROR(__xludf.DUMMYFUNCTION("""COMPUTED_VALUE"""),"03 ORL")</f>
        <v>03 ORL</v>
      </c>
      <c r="T593" s="33" t="str">
        <f ca="1">IFERROR(__xludf.DUMMYFUNCTION("""COMPUTED_VALUE"""),"22 AUDIOMETRIA CLINICA")</f>
        <v>22 AUDIOMETRIA CLINICA</v>
      </c>
      <c r="U593" s="62"/>
      <c r="W593" s="61"/>
      <c r="X593" s="62"/>
    </row>
    <row r="594" spans="2:37" ht="16">
      <c r="B594" s="67" t="str">
        <f t="shared" ca="1" si="3"/>
        <v>#N/</v>
      </c>
      <c r="C594" s="64" t="str">
        <f ca="1">IFERROR(__xludf.DUMMYFUNCTION("""COMPUTED_VALUE"""),"#N/A")</f>
        <v>#N/A</v>
      </c>
      <c r="D594" s="33" t="str">
        <f ca="1">IFERROR(__xludf.DUMMYFUNCTION("""COMPUTED_VALUE"""),"PROPIOS")</f>
        <v>PROPIOS</v>
      </c>
      <c r="E594" s="33">
        <f ca="1">IFERROR(__xludf.DUMMYFUNCTION("""COMPUTED_VALUE"""),2026)</f>
        <v>2026</v>
      </c>
      <c r="F594" s="56">
        <f ca="1">IFERROR(__xludf.DUMMYFUNCTION("""COMPUTED_VALUE"""),2)</f>
        <v>2</v>
      </c>
      <c r="G594" s="33" t="str">
        <f ca="1">IFERROR(__xludf.DUMMYFUNCTION("""COMPUTED_VALUE"""),"Fuenlabrada")</f>
        <v>Fuenlabrada</v>
      </c>
      <c r="H594" s="33" t="str">
        <f ca="1">IFERROR(__xludf.DUMMYFUNCTION("""COMPUTED_VALUE"""),"C202612114584280933")</f>
        <v>C202612114584280933</v>
      </c>
      <c r="I594" s="33" t="str">
        <f ca="1">IFERROR(__xludf.DUMMYFUNCTION("""COMPUTED_VALUE"""),"ISIDORA GRANDE DIAZ")</f>
        <v>ISIDORA GRANDE DIAZ</v>
      </c>
      <c r="J594" s="57">
        <f ca="1">IFERROR(__xludf.DUMMYFUNCTION("""COMPUTED_VALUE"""),46043)</f>
        <v>46043</v>
      </c>
      <c r="K594" s="33" t="str">
        <f ca="1">IFERROR(__xludf.DUMMYFUNCTION("""COMPUTED_VALUE"""),"Devuelve")</f>
        <v>Devuelve</v>
      </c>
      <c r="L594" s="57">
        <f ca="1">IFERROR(__xludf.DUMMYFUNCTION("""COMPUTED_VALUE"""),46056)</f>
        <v>46056</v>
      </c>
      <c r="M594" s="64" t="str">
        <f ca="1">IFERROR(__xludf.DUMMYFUNCTION("""COMPUTED_VALUE"""),"NO")</f>
        <v>NO</v>
      </c>
      <c r="N594" s="56">
        <f ca="1">IFERROR(__xludf.DUMMYFUNCTION("""COMPUTED_VALUE"""),2)</f>
        <v>2</v>
      </c>
      <c r="O594" s="64" t="str">
        <f ca="1">IFERROR(__xludf.DUMMYFUNCTION("""COMPUTED_VALUE"""),"TRIAL")</f>
        <v>TRIAL</v>
      </c>
      <c r="P594" s="62">
        <f ca="1">IFERROR(__xludf.DUMMYFUNCTION("""COMPUTED_VALUE"""),3631.82)</f>
        <v>3631.82</v>
      </c>
      <c r="Q594" s="33" t="str">
        <f ca="1">IFERROR(__xludf.DUMMYFUNCTION("""COMPUTED_VALUE"""),"Maika Blázquez")</f>
        <v>Maika Blázquez</v>
      </c>
      <c r="R594" s="33" t="str">
        <f ca="1">IFERROR(__xludf.DUMMYFUNCTION("""COMPUTED_VALUE"""),"Dr, Ramón González Herranz")</f>
        <v>Dr, Ramón González Herranz</v>
      </c>
      <c r="S594" s="61" t="str">
        <f ca="1">IFERROR(__xludf.DUMMYFUNCTION("""COMPUTED_VALUE"""),"03 ORL")</f>
        <v>03 ORL</v>
      </c>
      <c r="T594" s="33" t="str">
        <f ca="1">IFERROR(__xludf.DUMMYFUNCTION("""COMPUTED_VALUE"""),"06 ORL")</f>
        <v>06 ORL</v>
      </c>
      <c r="U594" s="62"/>
      <c r="W594" s="61"/>
      <c r="X594" s="62"/>
    </row>
    <row r="595" spans="2:37" ht="16">
      <c r="B595" s="67" t="str">
        <f t="shared" ca="1" si="3"/>
        <v>#N/</v>
      </c>
      <c r="C595" s="64" t="str">
        <f ca="1">IFERROR(__xludf.DUMMYFUNCTION("""COMPUTED_VALUE"""),"#N/A")</f>
        <v>#N/A</v>
      </c>
      <c r="D595" s="33" t="str">
        <f ca="1">IFERROR(__xludf.DUMMYFUNCTION("""COMPUTED_VALUE"""),"PROPIOS")</f>
        <v>PROPIOS</v>
      </c>
      <c r="E595" s="33">
        <f ca="1">IFERROR(__xludf.DUMMYFUNCTION("""COMPUTED_VALUE"""),2026)</f>
        <v>2026</v>
      </c>
      <c r="F595" s="56">
        <f ca="1">IFERROR(__xludf.DUMMYFUNCTION("""COMPUTED_VALUE"""),3)</f>
        <v>3</v>
      </c>
      <c r="G595" s="33" t="str">
        <f ca="1">IFERROR(__xludf.DUMMYFUNCTION("""COMPUTED_VALUE"""),"Fuenlabrada")</f>
        <v>Fuenlabrada</v>
      </c>
      <c r="H595" s="33" t="str">
        <f ca="1">IFERROR(__xludf.DUMMYFUNCTION("""COMPUTED_VALUE"""),"FNL-2011")</f>
        <v>FNL-2011</v>
      </c>
      <c r="I595" s="33" t="str">
        <f ca="1">IFERROR(__xludf.DUMMYFUNCTION("""COMPUTED_VALUE"""),"ISIDRO MARIN AYALA")</f>
        <v>ISIDRO MARIN AYALA</v>
      </c>
      <c r="J595" s="57">
        <f ca="1">IFERROR(__xludf.DUMMYFUNCTION("""COMPUTED_VALUE"""),46069)</f>
        <v>46069</v>
      </c>
      <c r="K595" s="33" t="str">
        <f ca="1">IFERROR(__xludf.DUMMYFUNCTION("""COMPUTED_VALUE"""),"Devuelve")</f>
        <v>Devuelve</v>
      </c>
      <c r="L595" s="57">
        <f ca="1">IFERROR(__xludf.DUMMYFUNCTION("""COMPUTED_VALUE"""),46094)</f>
        <v>46094</v>
      </c>
      <c r="M595" s="64" t="str">
        <f ca="1">IFERROR(__xludf.DUMMYFUNCTION("""COMPUTED_VALUE"""),"NO")</f>
        <v>NO</v>
      </c>
      <c r="N595" s="56">
        <f ca="1">IFERROR(__xludf.DUMMYFUNCTION("""COMPUTED_VALUE"""),1)</f>
        <v>1</v>
      </c>
      <c r="O595" s="64" t="str">
        <f ca="1">IFERROR(__xludf.DUMMYFUNCTION("""COMPUTED_VALUE"""),"TRIAL")</f>
        <v>TRIAL</v>
      </c>
      <c r="P595" s="62">
        <f ca="1">IFERROR(__xludf.DUMMYFUNCTION("""COMPUTED_VALUE"""),2180.91)</f>
        <v>2180.91</v>
      </c>
      <c r="Q595" s="33" t="str">
        <f ca="1">IFERROR(__xludf.DUMMYFUNCTION("""COMPUTED_VALUE"""),"Maika Blázquez")</f>
        <v>Maika Blázquez</v>
      </c>
      <c r="R595" s="33" t="str">
        <f ca="1">IFERROR(__xludf.DUMMYFUNCTION("""COMPUTED_VALUE"""),"Dra, Concepcion Rodríguez Izquierdo")</f>
        <v>Dra, Concepcion Rodríguez Izquierdo</v>
      </c>
      <c r="S595" s="61" t="str">
        <f ca="1">IFERROR(__xludf.DUMMYFUNCTION("""COMPUTED_VALUE"""),"03 ORL")</f>
        <v>03 ORL</v>
      </c>
      <c r="T595" s="33" t="str">
        <f ca="1">IFERROR(__xludf.DUMMYFUNCTION("""COMPUTED_VALUE"""),"06 ORL")</f>
        <v>06 ORL</v>
      </c>
      <c r="U595" s="62"/>
      <c r="W595" s="61"/>
      <c r="X595" s="62"/>
    </row>
    <row r="596" spans="2:37" ht="16">
      <c r="B596" s="67" t="str">
        <f t="shared" ca="1" si="3"/>
        <v>#N/</v>
      </c>
      <c r="C596" s="64" t="str">
        <f ca="1">IFERROR(__xludf.DUMMYFUNCTION("""COMPUTED_VALUE"""),"#N/A")</f>
        <v>#N/A</v>
      </c>
      <c r="D596" s="33" t="str">
        <f ca="1">IFERROR(__xludf.DUMMYFUNCTION("""COMPUTED_VALUE"""),"PROPIOS")</f>
        <v>PROPIOS</v>
      </c>
      <c r="E596" s="33">
        <f ca="1">IFERROR(__xludf.DUMMYFUNCTION("""COMPUTED_VALUE"""),2026)</f>
        <v>2026</v>
      </c>
      <c r="F596" s="56">
        <f ca="1">IFERROR(__xludf.DUMMYFUNCTION("""COMPUTED_VALUE"""),3)</f>
        <v>3</v>
      </c>
      <c r="G596" s="33" t="str">
        <f ca="1">IFERROR(__xludf.DUMMYFUNCTION("""COMPUTED_VALUE"""),"Fuenlabrada")</f>
        <v>Fuenlabrada</v>
      </c>
      <c r="H596" s="33" t="str">
        <f ca="1">IFERROR(__xludf.DUMMYFUNCTION("""COMPUTED_VALUE"""),"C202631115175006533")</f>
        <v>C202631115175006533</v>
      </c>
      <c r="I596" s="33" t="str">
        <f ca="1">IFERROR(__xludf.DUMMYFUNCTION("""COMPUTED_VALUE"""),"JUAN CARLOS MAYORAL FELIPE")</f>
        <v>JUAN CARLOS MAYORAL FELIPE</v>
      </c>
      <c r="J596" s="57">
        <f ca="1">IFERROR(__xludf.DUMMYFUNCTION("""COMPUTED_VALUE"""),46092)</f>
        <v>46092</v>
      </c>
      <c r="K596" s="33" t="str">
        <f ca="1">IFERROR(__xludf.DUMMYFUNCTION("""COMPUTED_VALUE"""),"Prueba")</f>
        <v>Prueba</v>
      </c>
      <c r="L596" s="57">
        <f ca="1">IFERROR(__xludf.DUMMYFUNCTION("""COMPUTED_VALUE"""),46105)</f>
        <v>46105</v>
      </c>
      <c r="M596" s="64" t="str">
        <f ca="1">IFERROR(__xludf.DUMMYFUNCTION("""COMPUTED_VALUE"""),"NO")</f>
        <v>NO</v>
      </c>
      <c r="N596" s="56">
        <f ca="1">IFERROR(__xludf.DUMMYFUNCTION("""COMPUTED_VALUE"""),1)</f>
        <v>1</v>
      </c>
      <c r="O596" s="64" t="str">
        <f ca="1">IFERROR(__xludf.DUMMYFUNCTION("""COMPUTED_VALUE"""),"CONFORT")</f>
        <v>CONFORT</v>
      </c>
      <c r="P596" s="62">
        <f ca="1">IFERROR(__xludf.DUMMYFUNCTION("""COMPUTED_VALUE"""),2899.09)</f>
        <v>2899.09</v>
      </c>
      <c r="Q596" s="33" t="str">
        <f ca="1">IFERROR(__xludf.DUMMYFUNCTION("""COMPUTED_VALUE"""),"Maika Blázquez")</f>
        <v>Maika Blázquez</v>
      </c>
      <c r="R596" s="33" t="str">
        <f ca="1">IFERROR(__xludf.DUMMYFUNCTION("""COMPUTED_VALUE"""),"Dra, Concepcion Rodríguez Izquierdo")</f>
        <v>Dra, Concepcion Rodríguez Izquierdo</v>
      </c>
      <c r="S596" s="61" t="str">
        <f ca="1">IFERROR(__xludf.DUMMYFUNCTION("""COMPUTED_VALUE"""),"03 ORL")</f>
        <v>03 ORL</v>
      </c>
      <c r="T596" s="33" t="str">
        <f ca="1">IFERROR(__xludf.DUMMYFUNCTION("""COMPUTED_VALUE"""),"06 ORL")</f>
        <v>06 ORL</v>
      </c>
      <c r="U596" s="62"/>
      <c r="W596" s="61"/>
      <c r="X596" s="62"/>
    </row>
    <row r="597" spans="2:37" ht="16">
      <c r="B597" s="67" t="str">
        <f t="shared" ca="1" si="3"/>
        <v>#N/</v>
      </c>
      <c r="C597" s="64" t="str">
        <f ca="1">IFERROR(__xludf.DUMMYFUNCTION("""COMPUTED_VALUE"""),"#N/A")</f>
        <v>#N/A</v>
      </c>
      <c r="D597" s="33" t="str">
        <f ca="1">IFERROR(__xludf.DUMMYFUNCTION("""COMPUTED_VALUE"""),"PROPIOS")</f>
        <v>PROPIOS</v>
      </c>
      <c r="E597" s="33">
        <f ca="1">IFERROR(__xludf.DUMMYFUNCTION("""COMPUTED_VALUE"""),2026)</f>
        <v>2026</v>
      </c>
      <c r="F597" s="56">
        <f ca="1">IFERROR(__xludf.DUMMYFUNCTION("""COMPUTED_VALUE"""),3)</f>
        <v>3</v>
      </c>
      <c r="G597" s="33" t="str">
        <f ca="1">IFERROR(__xludf.DUMMYFUNCTION("""COMPUTED_VALUE"""),"Fuenlabrada")</f>
        <v>Fuenlabrada</v>
      </c>
      <c r="H597" s="33" t="str">
        <f ca="1">IFERROR(__xludf.DUMMYFUNCTION("""COMPUTED_VALUE"""),"C202622416524580028")</f>
        <v>C202622416524580028</v>
      </c>
      <c r="I597" s="33" t="str">
        <f ca="1">IFERROR(__xludf.DUMMYFUNCTION("""COMPUTED_VALUE"""),"LAURA  FERNANDEZ ZAZO")</f>
        <v>LAURA  FERNANDEZ ZAZO</v>
      </c>
      <c r="J597" s="57">
        <f ca="1">IFERROR(__xludf.DUMMYFUNCTION("""COMPUTED_VALUE"""),46077)</f>
        <v>46077</v>
      </c>
      <c r="K597" s="33" t="str">
        <f ca="1">IFERROR(__xludf.DUMMYFUNCTION("""COMPUTED_VALUE"""),"Presupuesto")</f>
        <v>Presupuesto</v>
      </c>
      <c r="L597" s="57">
        <f ca="1">IFERROR(__xludf.DUMMYFUNCTION("""COMPUTED_VALUE"""),46090)</f>
        <v>46090</v>
      </c>
      <c r="M597" s="64" t="str">
        <f ca="1">IFERROR(__xludf.DUMMYFUNCTION("""COMPUTED_VALUE"""),"NO")</f>
        <v>NO</v>
      </c>
      <c r="N597" s="56">
        <f ca="1">IFERROR(__xludf.DUMMYFUNCTION("""COMPUTED_VALUE"""),1)</f>
        <v>1</v>
      </c>
      <c r="O597" s="64" t="str">
        <f ca="1">IFERROR(__xludf.DUMMYFUNCTION("""COMPUTED_VALUE"""),"CONFORT")</f>
        <v>CONFORT</v>
      </c>
      <c r="P597" s="62">
        <f ca="1">IFERROR(__xludf.DUMMYFUNCTION("""COMPUTED_VALUE"""),2180.91)</f>
        <v>2180.91</v>
      </c>
      <c r="Q597" s="33" t="str">
        <f ca="1">IFERROR(__xludf.DUMMYFUNCTION("""COMPUTED_VALUE"""),"Maika Blázquez")</f>
        <v>Maika Blázquez</v>
      </c>
      <c r="R597" s="33" t="str">
        <f ca="1">IFERROR(__xludf.DUMMYFUNCTION("""COMPUTED_VALUE"""),"Dr, Adolfo Toledano Muñoz")</f>
        <v>Dr, Adolfo Toledano Muñoz</v>
      </c>
      <c r="S597" s="61" t="str">
        <f ca="1">IFERROR(__xludf.DUMMYFUNCTION("""COMPUTED_VALUE"""),"03 ORL")</f>
        <v>03 ORL</v>
      </c>
      <c r="T597" s="33" t="str">
        <f ca="1">IFERROR(__xludf.DUMMYFUNCTION("""COMPUTED_VALUE"""),"22 AUDIOMETRIA CLINICA")</f>
        <v>22 AUDIOMETRIA CLINICA</v>
      </c>
      <c r="U597" s="62"/>
      <c r="W597" s="62"/>
      <c r="X597" s="62"/>
    </row>
    <row r="598" spans="2:37" ht="16">
      <c r="B598" s="67" t="str">
        <f t="shared" ca="1" si="3"/>
        <v>#N/</v>
      </c>
      <c r="C598" s="64" t="str">
        <f ca="1">IFERROR(__xludf.DUMMYFUNCTION("""COMPUTED_VALUE"""),"#N/A")</f>
        <v>#N/A</v>
      </c>
      <c r="D598" s="33" t="str">
        <f ca="1">IFERROR(__xludf.DUMMYFUNCTION("""COMPUTED_VALUE"""),"PROPIOS")</f>
        <v>PROPIOS</v>
      </c>
      <c r="E598" s="33">
        <f ca="1">IFERROR(__xludf.DUMMYFUNCTION("""COMPUTED_VALUE"""),2026)</f>
        <v>2026</v>
      </c>
      <c r="F598" s="56">
        <f ca="1">IFERROR(__xludf.DUMMYFUNCTION("""COMPUTED_VALUE"""),3)</f>
        <v>3</v>
      </c>
      <c r="G598" s="33" t="str">
        <f ca="1">IFERROR(__xludf.DUMMYFUNCTION("""COMPUTED_VALUE"""),"Fuenlabrada")</f>
        <v>Fuenlabrada</v>
      </c>
      <c r="H598" s="33" t="str">
        <f ca="1">IFERROR(__xludf.DUMMYFUNCTION("""COMPUTED_VALUE"""),"C202631316536230259")</f>
        <v>C202631316536230259</v>
      </c>
      <c r="I598" s="33" t="str">
        <f ca="1">IFERROR(__xludf.DUMMYFUNCTION("""COMPUTED_VALUE"""),"MIGUEL  GARCIA RODRIGUEZ")</f>
        <v>MIGUEL  GARCIA RODRIGUEZ</v>
      </c>
      <c r="J598" s="57">
        <f ca="1">IFERROR(__xludf.DUMMYFUNCTION("""COMPUTED_VALUE"""),46094)</f>
        <v>46094</v>
      </c>
      <c r="K598" s="33" t="str">
        <f ca="1">IFERROR(__xludf.DUMMYFUNCTION("""COMPUTED_VALUE"""),"Prueba")</f>
        <v>Prueba</v>
      </c>
      <c r="L598" s="57">
        <f ca="1">IFERROR(__xludf.DUMMYFUNCTION("""COMPUTED_VALUE"""),46104)</f>
        <v>46104</v>
      </c>
      <c r="M598" s="64" t="str">
        <f ca="1">IFERROR(__xludf.DUMMYFUNCTION("""COMPUTED_VALUE"""),"NO")</f>
        <v>NO</v>
      </c>
      <c r="N598" s="56">
        <f ca="1">IFERROR(__xludf.DUMMYFUNCTION("""COMPUTED_VALUE"""),2)</f>
        <v>2</v>
      </c>
      <c r="O598" s="64" t="str">
        <f ca="1">IFERROR(__xludf.DUMMYFUNCTION("""COMPUTED_VALUE"""),"QUIET")</f>
        <v>QUIET</v>
      </c>
      <c r="P598" s="62">
        <f ca="1">IFERROR(__xludf.DUMMYFUNCTION("""COMPUTED_VALUE"""),2718.18)</f>
        <v>2718.18</v>
      </c>
      <c r="Q598" s="33" t="str">
        <f ca="1">IFERROR(__xludf.DUMMYFUNCTION("""COMPUTED_VALUE"""),"Maika Blázquez")</f>
        <v>Maika Blázquez</v>
      </c>
      <c r="R598" s="33" t="str">
        <f ca="1">IFERROR(__xludf.DUMMYFUNCTION("""COMPUTED_VALUE"""),"Dra, María Estefanía Hernández García")</f>
        <v>Dra, María Estefanía Hernández García</v>
      </c>
      <c r="S598" s="61" t="str">
        <f ca="1">IFERROR(__xludf.DUMMYFUNCTION("""COMPUTED_VALUE"""),"03 ORL")</f>
        <v>03 ORL</v>
      </c>
      <c r="T598" s="33" t="str">
        <f ca="1">IFERROR(__xludf.DUMMYFUNCTION("""COMPUTED_VALUE"""),"06 ORL")</f>
        <v>06 ORL</v>
      </c>
      <c r="U598" s="62"/>
      <c r="W598" s="61"/>
      <c r="X598" s="62"/>
    </row>
    <row r="599" spans="2:37" ht="16">
      <c r="B599" s="67" t="str">
        <f t="shared" ca="1" si="3"/>
        <v>#N/</v>
      </c>
      <c r="C599" s="64" t="str">
        <f ca="1">IFERROR(__xludf.DUMMYFUNCTION("""COMPUTED_VALUE"""),"#N/A")</f>
        <v>#N/A</v>
      </c>
      <c r="D599" s="33" t="str">
        <f ca="1">IFERROR(__xludf.DUMMYFUNCTION("""COMPUTED_VALUE"""),"PROPIOS")</f>
        <v>PROPIOS</v>
      </c>
      <c r="E599" s="33">
        <f ca="1">IFERROR(__xludf.DUMMYFUNCTION("""COMPUTED_VALUE"""),2026)</f>
        <v>2026</v>
      </c>
      <c r="F599" s="56">
        <f ca="1">IFERROR(__xludf.DUMMYFUNCTION("""COMPUTED_VALUE"""),3)</f>
        <v>3</v>
      </c>
      <c r="G599" s="33" t="str">
        <f ca="1">IFERROR(__xludf.DUMMYFUNCTION("""COMPUTED_VALUE"""),"Fuenlabrada")</f>
        <v>Fuenlabrada</v>
      </c>
      <c r="H599" s="33" t="str">
        <f ca="1">IFERROR(__xludf.DUMMYFUNCTION("""COMPUTED_VALUE"""),"C202512411122579914")</f>
        <v>C202512411122579914</v>
      </c>
      <c r="I599" s="33" t="str">
        <f ca="1">IFERROR(__xludf.DUMMYFUNCTION("""COMPUTED_VALUE"""),"VALERIA FERNANADEZ GARCIA")</f>
        <v>VALERIA FERNANADEZ GARCIA</v>
      </c>
      <c r="J599" s="57">
        <f ca="1">IFERROR(__xludf.DUMMYFUNCTION("""COMPUTED_VALUE"""),45995)</f>
        <v>45995</v>
      </c>
      <c r="K599" s="33" t="str">
        <f ca="1">IFERROR(__xludf.DUMMYFUNCTION("""COMPUTED_VALUE"""),"Prueba")</f>
        <v>Prueba</v>
      </c>
      <c r="L599" s="57">
        <f ca="1">IFERROR(__xludf.DUMMYFUNCTION("""COMPUTED_VALUE"""),46112)</f>
        <v>46112</v>
      </c>
      <c r="M599" s="64" t="str">
        <f ca="1">IFERROR(__xludf.DUMMYFUNCTION("""COMPUTED_VALUE"""),"NO")</f>
        <v>NO</v>
      </c>
      <c r="N599" s="56">
        <f ca="1">IFERROR(__xludf.DUMMYFUNCTION("""COMPUTED_VALUE"""),2)</f>
        <v>2</v>
      </c>
      <c r="O599" s="64" t="str">
        <f ca="1">IFERROR(__xludf.DUMMYFUNCTION("""COMPUTED_VALUE"""),"TRIAL")</f>
        <v>TRIAL</v>
      </c>
      <c r="P599" s="62">
        <f ca="1">IFERROR(__xludf.DUMMYFUNCTION("""COMPUTED_VALUE"""),4136.36)</f>
        <v>4136.3599999999997</v>
      </c>
      <c r="Q599" s="33" t="str">
        <f ca="1">IFERROR(__xludf.DUMMYFUNCTION("""COMPUTED_VALUE"""),"Maika Blázquez")</f>
        <v>Maika Blázquez</v>
      </c>
      <c r="R599" s="33" t="str">
        <f ca="1">IFERROR(__xludf.DUMMYFUNCTION("""COMPUTED_VALUE"""),"Dra, Concepcion Rodríguez Izquierdo")</f>
        <v>Dra, Concepcion Rodríguez Izquierdo</v>
      </c>
      <c r="S599" s="61" t="str">
        <f ca="1">IFERROR(__xludf.DUMMYFUNCTION("""COMPUTED_VALUE"""),"03 ORL")</f>
        <v>03 ORL</v>
      </c>
      <c r="T599" s="33" t="str">
        <f ca="1">IFERROR(__xludf.DUMMYFUNCTION("""COMPUTED_VALUE"""),"06 ORL")</f>
        <v>06 ORL</v>
      </c>
      <c r="U599" s="62"/>
      <c r="W599" s="61"/>
      <c r="X599" s="62"/>
    </row>
    <row r="600" spans="2:37" ht="16">
      <c r="B600" s="67" t="str">
        <f t="shared" ca="1" si="3"/>
        <v>#N/</v>
      </c>
      <c r="C600" s="64" t="str">
        <f ca="1">IFERROR(__xludf.DUMMYFUNCTION("""COMPUTED_VALUE"""),"#N/A")</f>
        <v>#N/A</v>
      </c>
      <c r="D600" s="33" t="str">
        <f ca="1">IFERROR(__xludf.DUMMYFUNCTION("""COMPUTED_VALUE"""),"PROPIOS")</f>
        <v>PROPIOS</v>
      </c>
      <c r="E600" s="33">
        <f ca="1">IFERROR(__xludf.DUMMYFUNCTION("""COMPUTED_VALUE"""),2026)</f>
        <v>2026</v>
      </c>
      <c r="F600" s="56">
        <f ca="1">IFERROR(__xludf.DUMMYFUNCTION("""COMPUTED_VALUE"""),2)</f>
        <v>2</v>
      </c>
      <c r="G600" s="33" t="str">
        <f ca="1">IFERROR(__xludf.DUMMYFUNCTION("""COMPUTED_VALUE"""),"Getafe")</f>
        <v>Getafe</v>
      </c>
      <c r="H600" s="33" t="str">
        <f ca="1">IFERROR(__xludf.DUMMYFUNCTION("""COMPUTED_VALUE"""),"C202613014331066305")</f>
        <v>C202613014331066305</v>
      </c>
      <c r="I600" s="33" t="str">
        <f ca="1">IFERROR(__xludf.DUMMYFUNCTION("""COMPUTED_VALUE"""),"AMPARO ZURRÓN CIFUENTES")</f>
        <v>AMPARO ZURRÓN CIFUENTES</v>
      </c>
      <c r="J600" s="57">
        <f ca="1">IFERROR(__xludf.DUMMYFUNCTION("""COMPUTED_VALUE"""),46052)</f>
        <v>46052</v>
      </c>
      <c r="K600" s="33" t="str">
        <f ca="1">IFERROR(__xludf.DUMMYFUNCTION("""COMPUTED_VALUE"""),"Presupuesto")</f>
        <v>Presupuesto</v>
      </c>
      <c r="L600" s="57">
        <f ca="1">IFERROR(__xludf.DUMMYFUNCTION("""COMPUTED_VALUE"""),46065)</f>
        <v>46065</v>
      </c>
      <c r="M600" s="64" t="str">
        <f ca="1">IFERROR(__xludf.DUMMYFUNCTION("""COMPUTED_VALUE"""),"NO")</f>
        <v>NO</v>
      </c>
      <c r="N600" s="56">
        <f ca="1">IFERROR(__xludf.DUMMYFUNCTION("""COMPUTED_VALUE"""),1)</f>
        <v>1</v>
      </c>
      <c r="O600" s="64" t="str">
        <f ca="1">IFERROR(__xludf.DUMMYFUNCTION("""COMPUTED_VALUE"""),"QUIET")</f>
        <v>QUIET</v>
      </c>
      <c r="P600" s="62">
        <f ca="1">IFERROR(__xludf.DUMMYFUNCTION("""COMPUTED_VALUE"""),1631.82)</f>
        <v>1631.82</v>
      </c>
      <c r="Q600" s="33" t="str">
        <f ca="1">IFERROR(__xludf.DUMMYFUNCTION("""COMPUTED_VALUE"""),"Maika Blázquez")</f>
        <v>Maika Blázquez</v>
      </c>
      <c r="R600" s="33" t="str">
        <f ca="1">IFERROR(__xludf.DUMMYFUNCTION("""COMPUTED_VALUE"""),"Dra, Beatriz Santos Duque")</f>
        <v>Dra, Beatriz Santos Duque</v>
      </c>
      <c r="S600" s="61" t="str">
        <f ca="1">IFERROR(__xludf.DUMMYFUNCTION("""COMPUTED_VALUE"""),"03 ORL")</f>
        <v>03 ORL</v>
      </c>
      <c r="T600" s="33" t="str">
        <f ca="1">IFERROR(__xludf.DUMMYFUNCTION("""COMPUTED_VALUE"""),"06 ORL")</f>
        <v>06 ORL</v>
      </c>
      <c r="U600" s="62"/>
      <c r="W600" s="61"/>
      <c r="X600" s="62"/>
    </row>
    <row r="601" spans="2:37" ht="16">
      <c r="B601" s="67" t="str">
        <f t="shared" ca="1" si="3"/>
        <v/>
      </c>
      <c r="C601" s="64"/>
      <c r="D601" s="33" t="str">
        <f ca="1">IFERROR(__xludf.DUMMYFUNCTION("""COMPUTED_VALUE"""),"PROPIOS")</f>
        <v>PROPIOS</v>
      </c>
      <c r="E601" s="33">
        <f ca="1">IFERROR(__xludf.DUMMYFUNCTION("""COMPUTED_VALUE"""),2026)</f>
        <v>2026</v>
      </c>
      <c r="F601" s="56">
        <f ca="1">IFERROR(__xludf.DUMMYFUNCTION("""COMPUTED_VALUE"""),4)</f>
        <v>4</v>
      </c>
      <c r="G601" s="33" t="str">
        <f ca="1">IFERROR(__xludf.DUMMYFUNCTION("""COMPUTED_VALUE"""),"Getafe")</f>
        <v>Getafe</v>
      </c>
      <c r="H601" s="33" t="str">
        <f ca="1">IFERROR(__xludf.DUMMYFUNCTION("""COMPUTED_VALUE"""),"C202631610588064529")</f>
        <v>C202631610588064529</v>
      </c>
      <c r="I601" s="33" t="str">
        <f ca="1">IFERROR(__xludf.DUMMYFUNCTION("""COMPUTED_VALUE"""),"ANA MARIA  CABRERA HERNANDEZ")</f>
        <v>ANA MARIA  CABRERA HERNANDEZ</v>
      </c>
      <c r="J601" s="57">
        <f ca="1">IFERROR(__xludf.DUMMYFUNCTION("""COMPUTED_VALUE"""),46097)</f>
        <v>46097</v>
      </c>
      <c r="K601" s="33" t="str">
        <f ca="1">IFERROR(__xludf.DUMMYFUNCTION("""COMPUTED_VALUE"""),"Prueba")</f>
        <v>Prueba</v>
      </c>
      <c r="L601" s="57">
        <f ca="1">IFERROR(__xludf.DUMMYFUNCTION("""COMPUTED_VALUE"""),46118)</f>
        <v>46118</v>
      </c>
      <c r="M601" s="64" t="str">
        <f ca="1">IFERROR(__xludf.DUMMYFUNCTION("""COMPUTED_VALUE"""),"NO")</f>
        <v>NO</v>
      </c>
      <c r="N601" s="56">
        <f ca="1">IFERROR(__xludf.DUMMYFUNCTION("""COMPUTED_VALUE"""),2)</f>
        <v>2</v>
      </c>
      <c r="O601" s="64" t="str">
        <f ca="1">IFERROR(__xludf.DUMMYFUNCTION("""COMPUTED_VALUE"""),"SOCIAL")</f>
        <v>SOCIAL</v>
      </c>
      <c r="P601" s="62">
        <f ca="1">IFERROR(__xludf.DUMMYFUNCTION("""COMPUTED_VALUE"""),2363.64)</f>
        <v>2363.64</v>
      </c>
      <c r="Q601" s="33" t="str">
        <f ca="1">IFERROR(__xludf.DUMMYFUNCTION("""COMPUTED_VALUE"""),"Maika Blázquez")</f>
        <v>Maika Blázquez</v>
      </c>
      <c r="R601" s="33" t="str">
        <f ca="1">IFERROR(__xludf.DUMMYFUNCTION("""COMPUTED_VALUE"""),"No recuerda ORL")</f>
        <v>No recuerda ORL</v>
      </c>
      <c r="S601" s="61" t="str">
        <f ca="1">IFERROR(__xludf.DUMMYFUNCTION("""COMPUTED_VALUE"""),"03 ORL")</f>
        <v>03 ORL</v>
      </c>
      <c r="T601" s="33" t="str">
        <f ca="1">IFERROR(__xludf.DUMMYFUNCTION("""COMPUTED_VALUE"""),"06 ORL")</f>
        <v>06 ORL</v>
      </c>
      <c r="U601" s="62"/>
      <c r="W601" s="61"/>
      <c r="X601" s="62"/>
    </row>
    <row r="602" spans="2:37" ht="16">
      <c r="B602" s="67" t="str">
        <f t="shared" ca="1" si="3"/>
        <v/>
      </c>
      <c r="C602" s="64"/>
      <c r="D602" s="33" t="str">
        <f ca="1">IFERROR(__xludf.DUMMYFUNCTION("""COMPUTED_VALUE"""),"PROPIOS")</f>
        <v>PROPIOS</v>
      </c>
      <c r="E602" s="33">
        <f ca="1">IFERROR(__xludf.DUMMYFUNCTION("""COMPUTED_VALUE"""),2026)</f>
        <v>2026</v>
      </c>
      <c r="F602" s="56">
        <f ca="1">IFERROR(__xludf.DUMMYFUNCTION("""COMPUTED_VALUE"""),3)</f>
        <v>3</v>
      </c>
      <c r="G602" s="33" t="str">
        <f ca="1">IFERROR(__xludf.DUMMYFUNCTION("""COMPUTED_VALUE"""),"Getafe")</f>
        <v>Getafe</v>
      </c>
      <c r="H602" s="33" t="str">
        <f ca="1">IFERROR(__xludf.DUMMYFUNCTION("""COMPUTED_VALUE"""),"C20261210121228118")</f>
        <v>C20261210121228118</v>
      </c>
      <c r="I602" s="33" t="str">
        <f ca="1">IFERROR(__xludf.DUMMYFUNCTION("""COMPUTED_VALUE"""),"ANA MARIA FERNANDEZ JIMENEZ")</f>
        <v>ANA MARIA FERNANDEZ JIMENEZ</v>
      </c>
      <c r="J602" s="57">
        <f ca="1">IFERROR(__xludf.DUMMYFUNCTION("""COMPUTED_VALUE"""),46024)</f>
        <v>46024</v>
      </c>
      <c r="K602" s="33" t="str">
        <f ca="1">IFERROR(__xludf.DUMMYFUNCTION("""COMPUTED_VALUE"""),"Pedido")</f>
        <v>Pedido</v>
      </c>
      <c r="L602" s="57">
        <f ca="1">IFERROR(__xludf.DUMMYFUNCTION("""COMPUTED_VALUE"""),46112)</f>
        <v>46112</v>
      </c>
      <c r="M602" s="64" t="str">
        <f ca="1">IFERROR(__xludf.DUMMYFUNCTION("""COMPUTED_VALUE"""),"NO")</f>
        <v>NO</v>
      </c>
      <c r="N602" s="56">
        <f ca="1">IFERROR(__xludf.DUMMYFUNCTION("""COMPUTED_VALUE"""),2)</f>
        <v>2</v>
      </c>
      <c r="O602" s="64" t="str">
        <f ca="1">IFERROR(__xludf.DUMMYFUNCTION("""COMPUTED_VALUE"""),"QUIET")</f>
        <v>QUIET</v>
      </c>
      <c r="P602" s="62">
        <f ca="1">IFERROR(__xludf.DUMMYFUNCTION("""COMPUTED_VALUE"""),2718.19)</f>
        <v>2718.19</v>
      </c>
      <c r="Q602" s="33" t="str">
        <f ca="1">IFERROR(__xludf.DUMMYFUNCTION("""COMPUTED_VALUE"""),"Maika Blázquez")</f>
        <v>Maika Blázquez</v>
      </c>
      <c r="R602" s="33" t="str">
        <f ca="1">IFERROR(__xludf.DUMMYFUNCTION("""COMPUTED_VALUE"""),"No recuerda ORL")</f>
        <v>No recuerda ORL</v>
      </c>
      <c r="S602" s="61" t="str">
        <f ca="1">IFERROR(__xludf.DUMMYFUNCTION("""COMPUTED_VALUE"""),"03 ORL")</f>
        <v>03 ORL</v>
      </c>
      <c r="T602" s="33" t="str">
        <f ca="1">IFERROR(__xludf.DUMMYFUNCTION("""COMPUTED_VALUE"""),"06 ORL")</f>
        <v>06 ORL</v>
      </c>
      <c r="U602" s="62"/>
      <c r="W602" s="61"/>
      <c r="X602" s="62"/>
    </row>
    <row r="603" spans="2:37" ht="16">
      <c r="B603" s="67" t="str">
        <f t="shared" ca="1" si="3"/>
        <v>#N/</v>
      </c>
      <c r="C603" s="64" t="str">
        <f ca="1">IFERROR(__xludf.DUMMYFUNCTION("""COMPUTED_VALUE"""),"#N/A")</f>
        <v>#N/A</v>
      </c>
      <c r="D603" s="33" t="str">
        <f ca="1">IFERROR(__xludf.DUMMYFUNCTION("""COMPUTED_VALUE"""),"PROPIOS")</f>
        <v>PROPIOS</v>
      </c>
      <c r="E603" s="33">
        <f ca="1">IFERROR(__xludf.DUMMYFUNCTION("""COMPUTED_VALUE"""),2026)</f>
        <v>2026</v>
      </c>
      <c r="F603" s="56">
        <f ca="1">IFERROR(__xludf.DUMMYFUNCTION("""COMPUTED_VALUE"""),1)</f>
        <v>1</v>
      </c>
      <c r="G603" s="33" t="str">
        <f ca="1">IFERROR(__xludf.DUMMYFUNCTION("""COMPUTED_VALUE"""),"Getafe")</f>
        <v>Getafe</v>
      </c>
      <c r="H603" s="33" t="str">
        <f ca="1">IFERROR(__xludf.DUMMYFUNCTION("""COMPUTED_VALUE"""),"C202512291134610413")</f>
        <v>C202512291134610413</v>
      </c>
      <c r="I603" s="33" t="str">
        <f ca="1">IFERROR(__xludf.DUMMYFUNCTION("""COMPUTED_VALUE"""),"ANTONIO DURAN DURAN")</f>
        <v>ANTONIO DURAN DURAN</v>
      </c>
      <c r="J603" s="57">
        <f ca="1">IFERROR(__xludf.DUMMYFUNCTION("""COMPUTED_VALUE"""),46020)</f>
        <v>46020</v>
      </c>
      <c r="K603" s="33" t="str">
        <f ca="1">IFERROR(__xludf.DUMMYFUNCTION("""COMPUTED_VALUE"""),"Devuelve")</f>
        <v>Devuelve</v>
      </c>
      <c r="L603" s="57">
        <f ca="1">IFERROR(__xludf.DUMMYFUNCTION("""COMPUTED_VALUE"""),46049)</f>
        <v>46049</v>
      </c>
      <c r="M603" s="58" t="str">
        <f ca="1">IFERROR(__xludf.DUMMYFUNCTION("""COMPUTED_VALUE"""),"NO")</f>
        <v>NO</v>
      </c>
      <c r="N603" s="56">
        <f ca="1">IFERROR(__xludf.DUMMYFUNCTION("""COMPUTED_VALUE"""),2)</f>
        <v>2</v>
      </c>
      <c r="O603" s="64" t="str">
        <f ca="1">IFERROR(__xludf.DUMMYFUNCTION("""COMPUTED_VALUE"""),"TRIAL")</f>
        <v>TRIAL</v>
      </c>
      <c r="P603" s="62">
        <f ca="1">IFERROR(__xludf.DUMMYFUNCTION("""COMPUTED_VALUE"""),3631.81)</f>
        <v>3631.81</v>
      </c>
      <c r="Q603" s="33" t="str">
        <f ca="1">IFERROR(__xludf.DUMMYFUNCTION("""COMPUTED_VALUE"""),"Maika Blázquez")</f>
        <v>Maika Blázquez</v>
      </c>
      <c r="R603" s="33" t="str">
        <f ca="1">IFERROR(__xludf.DUMMYFUNCTION("""COMPUTED_VALUE"""),"Dra, Marta Chaurre Cordero")</f>
        <v>Dra, Marta Chaurre Cordero</v>
      </c>
      <c r="S603" s="61" t="str">
        <f ca="1">IFERROR(__xludf.DUMMYFUNCTION("""COMPUTED_VALUE"""),"03 ORL")</f>
        <v>03 ORL</v>
      </c>
      <c r="T603" s="33" t="str">
        <f ca="1">IFERROR(__xludf.DUMMYFUNCTION("""COMPUTED_VALUE"""),"06 ORL")</f>
        <v>06 ORL</v>
      </c>
      <c r="U603" s="62"/>
      <c r="W603" s="61"/>
      <c r="X603" s="62"/>
    </row>
    <row r="604" spans="2:37" ht="16">
      <c r="B604" s="67" t="str">
        <f t="shared" ca="1" si="3"/>
        <v>#N/</v>
      </c>
      <c r="C604" s="64" t="str">
        <f ca="1">IFERROR(__xludf.DUMMYFUNCTION("""COMPUTED_VALUE"""),"#N/A")</f>
        <v>#N/A</v>
      </c>
      <c r="D604" s="33" t="str">
        <f ca="1">IFERROR(__xludf.DUMMYFUNCTION("""COMPUTED_VALUE"""),"PROPIOS")</f>
        <v>PROPIOS</v>
      </c>
      <c r="E604" s="33">
        <f ca="1">IFERROR(__xludf.DUMMYFUNCTION("""COMPUTED_VALUE"""),2026)</f>
        <v>2026</v>
      </c>
      <c r="F604" s="56">
        <f ca="1">IFERROR(__xludf.DUMMYFUNCTION("""COMPUTED_VALUE"""),3)</f>
        <v>3</v>
      </c>
      <c r="G604" s="33" t="str">
        <f ca="1">IFERROR(__xludf.DUMMYFUNCTION("""COMPUTED_VALUE"""),"Getafe")</f>
        <v>Getafe</v>
      </c>
      <c r="H604" s="33" t="str">
        <f ca="1">IFERROR(__xludf.DUMMYFUNCTION("""COMPUTED_VALUE"""),"C20262294225444400")</f>
        <v>C20262294225444400</v>
      </c>
      <c r="I604" s="33" t="str">
        <f ca="1">IFERROR(__xludf.DUMMYFUNCTION("""COMPUTED_VALUE"""),"CLARA FERREIRO CARBALLEIRA")</f>
        <v>CLARA FERREIRO CARBALLEIRA</v>
      </c>
      <c r="J604" s="57">
        <f ca="1">IFERROR(__xludf.DUMMYFUNCTION("""COMPUTED_VALUE"""),46055)</f>
        <v>46055</v>
      </c>
      <c r="K604" s="33" t="str">
        <f ca="1">IFERROR(__xludf.DUMMYFUNCTION("""COMPUTED_VALUE"""),"Presupuesto")</f>
        <v>Presupuesto</v>
      </c>
      <c r="L604" s="57">
        <f ca="1">IFERROR(__xludf.DUMMYFUNCTION("""COMPUTED_VALUE"""),46084)</f>
        <v>46084</v>
      </c>
      <c r="M604" s="64" t="str">
        <f ca="1">IFERROR(__xludf.DUMMYFUNCTION("""COMPUTED_VALUE"""),"NO")</f>
        <v>NO</v>
      </c>
      <c r="N604" s="56">
        <f ca="1">IFERROR(__xludf.DUMMYFUNCTION("""COMPUTED_VALUE"""),2)</f>
        <v>2</v>
      </c>
      <c r="O604" s="64" t="str">
        <f ca="1">IFERROR(__xludf.DUMMYFUNCTION("""COMPUTED_VALUE"""),"QUIET")</f>
        <v>QUIET</v>
      </c>
      <c r="P604" s="62">
        <f ca="1">IFERROR(__xludf.DUMMYFUNCTION("""COMPUTED_VALUE"""),2718.18)</f>
        <v>2718.18</v>
      </c>
      <c r="Q604" s="33" t="str">
        <f ca="1">IFERROR(__xludf.DUMMYFUNCTION("""COMPUTED_VALUE"""),"Maika Blázquez")</f>
        <v>Maika Blázquez</v>
      </c>
      <c r="R604" s="33" t="str">
        <f ca="1">IFERROR(__xludf.DUMMYFUNCTION("""COMPUTED_VALUE"""),"Dra, Cristina Vaduva")</f>
        <v>Dra, Cristina Vaduva</v>
      </c>
      <c r="S604" s="61" t="str">
        <f ca="1">IFERROR(__xludf.DUMMYFUNCTION("""COMPUTED_VALUE"""),"03 ORL")</f>
        <v>03 ORL</v>
      </c>
      <c r="T604" s="33" t="str">
        <f ca="1">IFERROR(__xludf.DUMMYFUNCTION("""COMPUTED_VALUE"""),"06 ORL")</f>
        <v>06 ORL</v>
      </c>
      <c r="U604" s="62"/>
      <c r="W604" s="61"/>
      <c r="X604" s="62"/>
    </row>
    <row r="605" spans="2:37" ht="16">
      <c r="B605" s="67" t="str">
        <f t="shared" ca="1" si="3"/>
        <v/>
      </c>
      <c r="C605" s="64"/>
      <c r="D605" s="33" t="str">
        <f ca="1">IFERROR(__xludf.DUMMYFUNCTION("""COMPUTED_VALUE"""),"PROPIOS")</f>
        <v>PROPIOS</v>
      </c>
      <c r="E605" s="33">
        <f ca="1">IFERROR(__xludf.DUMMYFUNCTION("""COMPUTED_VALUE"""),2026)</f>
        <v>2026</v>
      </c>
      <c r="F605" s="56">
        <f ca="1">IFERROR(__xludf.DUMMYFUNCTION("""COMPUTED_VALUE"""),3)</f>
        <v>3</v>
      </c>
      <c r="G605" s="33" t="str">
        <f ca="1">IFERROR(__xludf.DUMMYFUNCTION("""COMPUTED_VALUE"""),"Getafe")</f>
        <v>Getafe</v>
      </c>
      <c r="H605" s="33" t="str">
        <f ca="1">IFERROR(__xludf.DUMMYFUNCTION("""COMPUTED_VALUE"""),"C202631016224582244")</f>
        <v>C202631016224582244</v>
      </c>
      <c r="I605" s="33" t="str">
        <f ca="1">IFERROR(__xludf.DUMMYFUNCTION("""COMPUTED_VALUE"""),"FELIX PEREZ GORDO")</f>
        <v>FELIX PEREZ GORDO</v>
      </c>
      <c r="J605" s="57">
        <f ca="1">IFERROR(__xludf.DUMMYFUNCTION("""COMPUTED_VALUE"""),46091)</f>
        <v>46091</v>
      </c>
      <c r="K605" s="33" t="str">
        <f ca="1">IFERROR(__xludf.DUMMYFUNCTION("""COMPUTED_VALUE"""),"Presupuesto")</f>
        <v>Presupuesto</v>
      </c>
      <c r="L605" s="57">
        <f ca="1">IFERROR(__xludf.DUMMYFUNCTION("""COMPUTED_VALUE"""),46101)</f>
        <v>46101</v>
      </c>
      <c r="M605" s="64" t="str">
        <f ca="1">IFERROR(__xludf.DUMMYFUNCTION("""COMPUTED_VALUE"""),"NO")</f>
        <v>NO</v>
      </c>
      <c r="N605" s="56">
        <f ca="1">IFERROR(__xludf.DUMMYFUNCTION("""COMPUTED_VALUE"""),2)</f>
        <v>2</v>
      </c>
      <c r="O605" s="64" t="str">
        <f ca="1">IFERROR(__xludf.DUMMYFUNCTION("""COMPUTED_VALUE"""),"QUIET")</f>
        <v>QUIET</v>
      </c>
      <c r="P605" s="62">
        <f ca="1">IFERROR(__xludf.DUMMYFUNCTION("""COMPUTED_VALUE"""),2718.18)</f>
        <v>2718.18</v>
      </c>
      <c r="Q605" s="33" t="str">
        <f ca="1">IFERROR(__xludf.DUMMYFUNCTION("""COMPUTED_VALUE"""),"Maika Blázquez")</f>
        <v>Maika Blázquez</v>
      </c>
      <c r="R605" s="33" t="str">
        <f ca="1">IFERROR(__xludf.DUMMYFUNCTION("""COMPUTED_VALUE"""),"No recuerda ORL")</f>
        <v>No recuerda ORL</v>
      </c>
      <c r="S605" s="61" t="str">
        <f ca="1">IFERROR(__xludf.DUMMYFUNCTION("""COMPUTED_VALUE"""),"03 ORL")</f>
        <v>03 ORL</v>
      </c>
      <c r="T605" s="33" t="str">
        <f ca="1">IFERROR(__xludf.DUMMYFUNCTION("""COMPUTED_VALUE"""),"06 ORL")</f>
        <v>06 ORL</v>
      </c>
      <c r="U605" s="62"/>
      <c r="W605" s="61"/>
      <c r="X605" s="62"/>
    </row>
    <row r="606" spans="2:37" ht="16">
      <c r="B606" s="67" t="str">
        <f t="shared" ca="1" si="3"/>
        <v>#N/</v>
      </c>
      <c r="C606" s="64" t="str">
        <f ca="1">IFERROR(__xludf.DUMMYFUNCTION("""COMPUTED_VALUE"""),"#N/A")</f>
        <v>#N/A</v>
      </c>
      <c r="D606" s="33" t="str">
        <f ca="1">IFERROR(__xludf.DUMMYFUNCTION("""COMPUTED_VALUE"""),"PROPIOS")</f>
        <v>PROPIOS</v>
      </c>
      <c r="E606" s="33">
        <f ca="1">IFERROR(__xludf.DUMMYFUNCTION("""COMPUTED_VALUE"""),2026)</f>
        <v>2026</v>
      </c>
      <c r="F606" s="56">
        <f ca="1">IFERROR(__xludf.DUMMYFUNCTION("""COMPUTED_VALUE"""),2)</f>
        <v>2</v>
      </c>
      <c r="G606" s="33" t="str">
        <f ca="1">IFERROR(__xludf.DUMMYFUNCTION("""COMPUTED_VALUE"""),"Getafe")</f>
        <v>Getafe</v>
      </c>
      <c r="H606" s="33" t="str">
        <f ca="1">IFERROR(__xludf.DUMMYFUNCTION("""COMPUTED_VALUE"""),"C20261299838642977")</f>
        <v>C20261299838642977</v>
      </c>
      <c r="I606" s="33" t="str">
        <f ca="1">IFERROR(__xludf.DUMMYFUNCTION("""COMPUTED_VALUE"""),"FRANCISCA GOMEZ DEL PULGAR ABAZ")</f>
        <v>FRANCISCA GOMEZ DEL PULGAR ABAZ</v>
      </c>
      <c r="J606" s="57">
        <f ca="1">IFERROR(__xludf.DUMMYFUNCTION("""COMPUTED_VALUE"""),46051)</f>
        <v>46051</v>
      </c>
      <c r="K606" s="33" t="str">
        <f ca="1">IFERROR(__xludf.DUMMYFUNCTION("""COMPUTED_VALUE"""),"Prueba")</f>
        <v>Prueba</v>
      </c>
      <c r="L606" s="57">
        <f ca="1">IFERROR(__xludf.DUMMYFUNCTION("""COMPUTED_VALUE"""),46063)</f>
        <v>46063</v>
      </c>
      <c r="M606" s="64" t="str">
        <f ca="1">IFERROR(__xludf.DUMMYFUNCTION("""COMPUTED_VALUE"""),"NO")</f>
        <v>NO</v>
      </c>
      <c r="N606" s="56">
        <f ca="1">IFERROR(__xludf.DUMMYFUNCTION("""COMPUTED_VALUE"""),2)</f>
        <v>2</v>
      </c>
      <c r="O606" s="64" t="str">
        <f ca="1">IFERROR(__xludf.DUMMYFUNCTION("""COMPUTED_VALUE"""),"QUIET")</f>
        <v>QUIET</v>
      </c>
      <c r="P606" s="62">
        <f ca="1">IFERROR(__xludf.DUMMYFUNCTION("""COMPUTED_VALUE"""),2172.73)</f>
        <v>2172.73</v>
      </c>
      <c r="Q606" s="33" t="str">
        <f ca="1">IFERROR(__xludf.DUMMYFUNCTION("""COMPUTED_VALUE"""),"Maika Blázquez")</f>
        <v>Maika Blázquez</v>
      </c>
      <c r="R606" s="33" t="str">
        <f ca="1">IFERROR(__xludf.DUMMYFUNCTION("""COMPUTED_VALUE"""),"Dra, Alba Domínguez Palos")</f>
        <v>Dra, Alba Domínguez Palos</v>
      </c>
      <c r="S606" s="61" t="str">
        <f ca="1">IFERROR(__xludf.DUMMYFUNCTION("""COMPUTED_VALUE"""),"03 ORL")</f>
        <v>03 ORL</v>
      </c>
      <c r="T606" s="33" t="str">
        <f ca="1">IFERROR(__xludf.DUMMYFUNCTION("""COMPUTED_VALUE"""),"06 ORL")</f>
        <v>06 ORL</v>
      </c>
      <c r="U606" s="62"/>
      <c r="W606" s="61"/>
      <c r="X606" s="62"/>
    </row>
    <row r="607" spans="2:37" ht="16">
      <c r="B607" s="67" t="str">
        <f t="shared" ca="1" si="3"/>
        <v/>
      </c>
      <c r="C607" s="64"/>
      <c r="D607" s="33" t="str">
        <f ca="1">IFERROR(__xludf.DUMMYFUNCTION("""COMPUTED_VALUE"""),"PROPIOS")</f>
        <v>PROPIOS</v>
      </c>
      <c r="E607" s="33">
        <f ca="1">IFERROR(__xludf.DUMMYFUNCTION("""COMPUTED_VALUE"""),2026)</f>
        <v>2026</v>
      </c>
      <c r="F607" s="56">
        <f ca="1">IFERROR(__xludf.DUMMYFUNCTION("""COMPUTED_VALUE"""),3)</f>
        <v>3</v>
      </c>
      <c r="G607" s="33" t="str">
        <f ca="1">IFERROR(__xludf.DUMMYFUNCTION("""COMPUTED_VALUE"""),"Getafe")</f>
        <v>Getafe</v>
      </c>
      <c r="H607" s="33" t="str">
        <f ca="1">IFERROR(__xludf.DUMMYFUNCTION("""COMPUTED_VALUE"""),"C20255169139191")</f>
        <v>C20255169139191</v>
      </c>
      <c r="I607" s="33" t="str">
        <f ca="1">IFERROR(__xludf.DUMMYFUNCTION("""COMPUTED_VALUE"""),"FRANCISCO JAVIER SEOANE GONZALEZ")</f>
        <v>FRANCISCO JAVIER SEOANE GONZALEZ</v>
      </c>
      <c r="J607" s="57">
        <f ca="1">IFERROR(__xludf.DUMMYFUNCTION("""COMPUTED_VALUE"""),45757)</f>
        <v>45757</v>
      </c>
      <c r="K607" s="33" t="str">
        <f ca="1">IFERROR(__xludf.DUMMYFUNCTION("""COMPUTED_VALUE"""),"Prueba")</f>
        <v>Prueba</v>
      </c>
      <c r="L607" s="57">
        <f ca="1">IFERROR(__xludf.DUMMYFUNCTION("""COMPUTED_VALUE"""),46097)</f>
        <v>46097</v>
      </c>
      <c r="M607" s="64" t="str">
        <f ca="1">IFERROR(__xludf.DUMMYFUNCTION("""COMPUTED_VALUE"""),"NO")</f>
        <v>NO</v>
      </c>
      <c r="N607" s="56">
        <f ca="1">IFERROR(__xludf.DUMMYFUNCTION("""COMPUTED_VALUE"""),2)</f>
        <v>2</v>
      </c>
      <c r="O607" s="64" t="str">
        <f ca="1">IFERROR(__xludf.DUMMYFUNCTION("""COMPUTED_VALUE"""),"QUIET")</f>
        <v>QUIET</v>
      </c>
      <c r="P607" s="62">
        <f ca="1">IFERROR(__xludf.DUMMYFUNCTION("""COMPUTED_VALUE"""),2718.18)</f>
        <v>2718.18</v>
      </c>
      <c r="Q607" s="33" t="str">
        <f ca="1">IFERROR(__xludf.DUMMYFUNCTION("""COMPUTED_VALUE"""),"Maika Blázquez")</f>
        <v>Maika Blázquez</v>
      </c>
      <c r="R607" s="33" t="str">
        <f ca="1">IFERROR(__xludf.DUMMYFUNCTION("""COMPUTED_VALUE"""),"No recuerda ORL")</f>
        <v>No recuerda ORL</v>
      </c>
      <c r="S607" s="61" t="str">
        <f ca="1">IFERROR(__xludf.DUMMYFUNCTION("""COMPUTED_VALUE"""),"03 ORL")</f>
        <v>03 ORL</v>
      </c>
      <c r="T607" s="33" t="str">
        <f ca="1">IFERROR(__xludf.DUMMYFUNCTION("""COMPUTED_VALUE"""),"06 ORL")</f>
        <v>06 ORL</v>
      </c>
      <c r="U607" s="62"/>
      <c r="W607" s="61"/>
      <c r="X607" s="62"/>
    </row>
    <row r="608" spans="2:37" ht="16">
      <c r="B608" s="67" t="str">
        <f t="shared" ca="1" si="3"/>
        <v>#N/</v>
      </c>
      <c r="C608" s="64" t="str">
        <f ca="1">IFERROR(__xludf.DUMMYFUNCTION("""COMPUTED_VALUE"""),"#N/A")</f>
        <v>#N/A</v>
      </c>
      <c r="D608" s="33" t="str">
        <f ca="1">IFERROR(__xludf.DUMMYFUNCTION("""COMPUTED_VALUE"""),"PROPIOS")</f>
        <v>PROPIOS</v>
      </c>
      <c r="E608" s="33">
        <f ca="1">IFERROR(__xludf.DUMMYFUNCTION("""COMPUTED_VALUE"""),2026)</f>
        <v>2026</v>
      </c>
      <c r="F608" s="56">
        <f ca="1">IFERROR(__xludf.DUMMYFUNCTION("""COMPUTED_VALUE"""),2)</f>
        <v>2</v>
      </c>
      <c r="G608" s="33" t="str">
        <f ca="1">IFERROR(__xludf.DUMMYFUNCTION("""COMPUTED_VALUE"""),"Getafe")</f>
        <v>Getafe</v>
      </c>
      <c r="H608" s="33" t="str">
        <f ca="1">IFERROR(__xludf.DUMMYFUNCTION("""COMPUTED_VALUE"""),"C202624163226279177")</f>
        <v>C202624163226279177</v>
      </c>
      <c r="I608" s="33" t="str">
        <f ca="1">IFERROR(__xludf.DUMMYFUNCTION("""COMPUTED_VALUE"""),"FRANCISCO SANROMAN SOLIS")</f>
        <v>FRANCISCO SANROMAN SOLIS</v>
      </c>
      <c r="J608" s="57">
        <f ca="1">IFERROR(__xludf.DUMMYFUNCTION("""COMPUTED_VALUE"""),46057)</f>
        <v>46057</v>
      </c>
      <c r="K608" s="33" t="str">
        <f ca="1">IFERROR(__xludf.DUMMYFUNCTION("""COMPUTED_VALUE"""),"Presupuesto")</f>
        <v>Presupuesto</v>
      </c>
      <c r="L608" s="57">
        <f ca="1">IFERROR(__xludf.DUMMYFUNCTION("""COMPUTED_VALUE"""),46071)</f>
        <v>46071</v>
      </c>
      <c r="M608" s="64" t="str">
        <f ca="1">IFERROR(__xludf.DUMMYFUNCTION("""COMPUTED_VALUE"""),"NO")</f>
        <v>NO</v>
      </c>
      <c r="N608" s="56">
        <f ca="1">IFERROR(__xludf.DUMMYFUNCTION("""COMPUTED_VALUE"""),2)</f>
        <v>2</v>
      </c>
      <c r="O608" s="64" t="str">
        <f ca="1">IFERROR(__xludf.DUMMYFUNCTION("""COMPUTED_VALUE"""),"QUIET")</f>
        <v>QUIET</v>
      </c>
      <c r="P608" s="62">
        <f ca="1">IFERROR(__xludf.DUMMYFUNCTION("""COMPUTED_VALUE"""),2718.18)</f>
        <v>2718.18</v>
      </c>
      <c r="Q608" s="33" t="str">
        <f ca="1">IFERROR(__xludf.DUMMYFUNCTION("""COMPUTED_VALUE"""),"Maika Blázquez")</f>
        <v>Maika Blázquez</v>
      </c>
      <c r="R608" s="33" t="str">
        <f ca="1">IFERROR(__xludf.DUMMYFUNCTION("""COMPUTED_VALUE"""),"Dr, Antonio Rodríguez Rivero")</f>
        <v>Dr, Antonio Rodríguez Rivero</v>
      </c>
      <c r="S608" s="61" t="str">
        <f ca="1">IFERROR(__xludf.DUMMYFUNCTION("""COMPUTED_VALUE"""),"03 ORL")</f>
        <v>03 ORL</v>
      </c>
      <c r="T608" s="33" t="str">
        <f ca="1">IFERROR(__xludf.DUMMYFUNCTION("""COMPUTED_VALUE"""),"06 ORL")</f>
        <v>06 ORL</v>
      </c>
      <c r="U608" s="62"/>
      <c r="W608" s="61"/>
      <c r="X608" s="62"/>
      <c r="AK608" s="1"/>
    </row>
    <row r="609" spans="2:24" ht="16">
      <c r="B609" s="67" t="str">
        <f t="shared" ca="1" si="3"/>
        <v>#N/</v>
      </c>
      <c r="C609" s="64" t="str">
        <f ca="1">IFERROR(__xludf.DUMMYFUNCTION("""COMPUTED_VALUE"""),"#N/A")</f>
        <v>#N/A</v>
      </c>
      <c r="D609" s="33" t="str">
        <f ca="1">IFERROR(__xludf.DUMMYFUNCTION("""COMPUTED_VALUE"""),"PROPIOS")</f>
        <v>PROPIOS</v>
      </c>
      <c r="E609" s="33">
        <f ca="1">IFERROR(__xludf.DUMMYFUNCTION("""COMPUTED_VALUE"""),2026)</f>
        <v>2026</v>
      </c>
      <c r="F609" s="56">
        <f ca="1">IFERROR(__xludf.DUMMYFUNCTION("""COMPUTED_VALUE"""),3)</f>
        <v>3</v>
      </c>
      <c r="G609" s="33" t="str">
        <f ca="1">IFERROR(__xludf.DUMMYFUNCTION("""COMPUTED_VALUE"""),"Getafe")</f>
        <v>Getafe</v>
      </c>
      <c r="H609" s="33" t="str">
        <f ca="1">IFERROR(__xludf.DUMMYFUNCTION("""COMPUTED_VALUE"""),"C20262312495116318")</f>
        <v>C20262312495116318</v>
      </c>
      <c r="I609" s="33" t="str">
        <f ca="1">IFERROR(__xludf.DUMMYFUNCTION("""COMPUTED_VALUE"""),"JESUS TOLEDO GOMEZ")</f>
        <v>JESUS TOLEDO GOMEZ</v>
      </c>
      <c r="J609" s="57">
        <f ca="1">IFERROR(__xludf.DUMMYFUNCTION("""COMPUTED_VALUE"""),46056)</f>
        <v>46056</v>
      </c>
      <c r="K609" s="33" t="str">
        <f ca="1">IFERROR(__xludf.DUMMYFUNCTION("""COMPUTED_VALUE"""),"Prueba")</f>
        <v>Prueba</v>
      </c>
      <c r="L609" s="57">
        <f ca="1">IFERROR(__xludf.DUMMYFUNCTION("""COMPUTED_VALUE"""),46112)</f>
        <v>46112</v>
      </c>
      <c r="M609" s="64" t="str">
        <f ca="1">IFERROR(__xludf.DUMMYFUNCTION("""COMPUTED_VALUE"""),"NO")</f>
        <v>NO</v>
      </c>
      <c r="N609" s="56">
        <f ca="1">IFERROR(__xludf.DUMMYFUNCTION("""COMPUTED_VALUE"""),2)</f>
        <v>2</v>
      </c>
      <c r="O609" s="64" t="str">
        <f ca="1">IFERROR(__xludf.DUMMYFUNCTION("""COMPUTED_VALUE"""),"TRIAL")</f>
        <v>TRIAL</v>
      </c>
      <c r="P609" s="62">
        <f ca="1">IFERROR(__xludf.DUMMYFUNCTION("""COMPUTED_VALUE"""),4136.36)</f>
        <v>4136.3599999999997</v>
      </c>
      <c r="Q609" s="33" t="str">
        <f ca="1">IFERROR(__xludf.DUMMYFUNCTION("""COMPUTED_VALUE"""),"Maika Blázquez")</f>
        <v>Maika Blázquez</v>
      </c>
      <c r="R609" s="33" t="str">
        <f ca="1">IFERROR(__xludf.DUMMYFUNCTION("""COMPUTED_VALUE"""),"Dr, Daniel Moreno Jimenez")</f>
        <v>Dr, Daniel Moreno Jimenez</v>
      </c>
      <c r="S609" s="61" t="str">
        <f ca="1">IFERROR(__xludf.DUMMYFUNCTION("""COMPUTED_VALUE"""),"01 MARKETING ON LINE")</f>
        <v>01 MARKETING ON LINE</v>
      </c>
      <c r="T609" s="33" t="str">
        <f ca="1">IFERROR(__xludf.DUMMYFUNCTION("""COMPUTED_VALUE"""),"01 WEB AUDICOST")</f>
        <v>01 WEB AUDICOST</v>
      </c>
      <c r="U609" s="62"/>
      <c r="W609" s="61"/>
      <c r="X609" s="62"/>
    </row>
    <row r="610" spans="2:24" ht="16">
      <c r="B610" s="67" t="str">
        <f t="shared" ca="1" si="3"/>
        <v>#N/</v>
      </c>
      <c r="C610" s="64" t="str">
        <f ca="1">IFERROR(__xludf.DUMMYFUNCTION("""COMPUTED_VALUE"""),"#N/A")</f>
        <v>#N/A</v>
      </c>
      <c r="D610" s="33" t="str">
        <f ca="1">IFERROR(__xludf.DUMMYFUNCTION("""COMPUTED_VALUE"""),"PROPIOS")</f>
        <v>PROPIOS</v>
      </c>
      <c r="E610" s="33">
        <f ca="1">IFERROR(__xludf.DUMMYFUNCTION("""COMPUTED_VALUE"""),2026)</f>
        <v>2026</v>
      </c>
      <c r="F610" s="56">
        <f ca="1">IFERROR(__xludf.DUMMYFUNCTION("""COMPUTED_VALUE"""),3)</f>
        <v>3</v>
      </c>
      <c r="G610" s="33" t="str">
        <f ca="1">IFERROR(__xludf.DUMMYFUNCTION("""COMPUTED_VALUE"""),"Getafe")</f>
        <v>Getafe</v>
      </c>
      <c r="H610" s="33" t="str">
        <f ca="1">IFERROR(__xludf.DUMMYFUNCTION("""COMPUTED_VALUE"""),"C202622415555609543")</f>
        <v>C202622415555609543</v>
      </c>
      <c r="I610" s="33" t="str">
        <f ca="1">IFERROR(__xludf.DUMMYFUNCTION("""COMPUTED_VALUE"""),"JOSE FRANCISCO SANCHEZ GARCIA")</f>
        <v>JOSE FRANCISCO SANCHEZ GARCIA</v>
      </c>
      <c r="J610" s="57">
        <f ca="1">IFERROR(__xludf.DUMMYFUNCTION("""COMPUTED_VALUE"""),46077)</f>
        <v>46077</v>
      </c>
      <c r="K610" s="33" t="str">
        <f ca="1">IFERROR(__xludf.DUMMYFUNCTION("""COMPUTED_VALUE"""),"Prueba")</f>
        <v>Prueba</v>
      </c>
      <c r="L610" s="57">
        <f ca="1">IFERROR(__xludf.DUMMYFUNCTION("""COMPUTED_VALUE"""),46106)</f>
        <v>46106</v>
      </c>
      <c r="M610" s="64" t="str">
        <f ca="1">IFERROR(__xludf.DUMMYFUNCTION("""COMPUTED_VALUE"""),"NO")</f>
        <v>NO</v>
      </c>
      <c r="N610" s="56">
        <f ca="1">IFERROR(__xludf.DUMMYFUNCTION("""COMPUTED_VALUE"""),2)</f>
        <v>2</v>
      </c>
      <c r="O610" s="64" t="str">
        <f ca="1">IFERROR(__xludf.DUMMYFUNCTION("""COMPUTED_VALUE"""),"QUIET")</f>
        <v>QUIET</v>
      </c>
      <c r="P610" s="62">
        <f ca="1">IFERROR(__xludf.DUMMYFUNCTION("""COMPUTED_VALUE"""),2718.18)</f>
        <v>2718.18</v>
      </c>
      <c r="Q610" s="33" t="str">
        <f ca="1">IFERROR(__xludf.DUMMYFUNCTION("""COMPUTED_VALUE"""),"Maika Blázquez")</f>
        <v>Maika Blázquez</v>
      </c>
      <c r="R610" s="33" t="str">
        <f ca="1">IFERROR(__xludf.DUMMYFUNCTION("""COMPUTED_VALUE"""),"Dr, César Charles Martínez")</f>
        <v>Dr, César Charles Martínez</v>
      </c>
      <c r="S610" s="61" t="str">
        <f ca="1">IFERROR(__xludf.DUMMYFUNCTION("""COMPUTED_VALUE"""),"03 ORL")</f>
        <v>03 ORL</v>
      </c>
      <c r="T610" s="33" t="str">
        <f ca="1">IFERROR(__xludf.DUMMYFUNCTION("""COMPUTED_VALUE"""),"06 ORL")</f>
        <v>06 ORL</v>
      </c>
      <c r="U610" s="62"/>
      <c r="W610" s="61"/>
      <c r="X610" s="62"/>
    </row>
    <row r="611" spans="2:24" ht="16">
      <c r="B611" s="67" t="str">
        <f t="shared" ca="1" si="3"/>
        <v>#N/</v>
      </c>
      <c r="C611" s="64" t="str">
        <f ca="1">IFERROR(__xludf.DUMMYFUNCTION("""COMPUTED_VALUE"""),"#N/A")</f>
        <v>#N/A</v>
      </c>
      <c r="D611" s="33" t="str">
        <f ca="1">IFERROR(__xludf.DUMMYFUNCTION("""COMPUTED_VALUE"""),"PROPIOS")</f>
        <v>PROPIOS</v>
      </c>
      <c r="E611" s="33">
        <f ca="1">IFERROR(__xludf.DUMMYFUNCTION("""COMPUTED_VALUE"""),2026)</f>
        <v>2026</v>
      </c>
      <c r="F611" s="56">
        <f ca="1">IFERROR(__xludf.DUMMYFUNCTION("""COMPUTED_VALUE"""),2)</f>
        <v>2</v>
      </c>
      <c r="G611" s="33" t="str">
        <f ca="1">IFERROR(__xludf.DUMMYFUNCTION("""COMPUTED_VALUE"""),"Getafe")</f>
        <v>Getafe</v>
      </c>
      <c r="H611" s="33" t="str">
        <f ca="1">IFERROR(__xludf.DUMMYFUNCTION("""COMPUTED_VALUE"""),"C202621017195383822")</f>
        <v>C202621017195383822</v>
      </c>
      <c r="I611" s="33" t="str">
        <f ca="1">IFERROR(__xludf.DUMMYFUNCTION("""COMPUTED_VALUE"""),"LUCIO ANTONIO FULGENCIO MARTINEZ")</f>
        <v>LUCIO ANTONIO FULGENCIO MARTINEZ</v>
      </c>
      <c r="J611" s="57">
        <f ca="1">IFERROR(__xludf.DUMMYFUNCTION("""COMPUTED_VALUE"""),46063)</f>
        <v>46063</v>
      </c>
      <c r="K611" s="33" t="str">
        <f ca="1">IFERROR(__xludf.DUMMYFUNCTION("""COMPUTED_VALUE"""),"Devuelve")</f>
        <v>Devuelve</v>
      </c>
      <c r="L611" s="57">
        <f ca="1">IFERROR(__xludf.DUMMYFUNCTION("""COMPUTED_VALUE"""),46076)</f>
        <v>46076</v>
      </c>
      <c r="M611" s="64" t="str">
        <f ca="1">IFERROR(__xludf.DUMMYFUNCTION("""COMPUTED_VALUE"""),"NO")</f>
        <v>NO</v>
      </c>
      <c r="N611" s="56">
        <f ca="1">IFERROR(__xludf.DUMMYFUNCTION("""COMPUTED_VALUE"""),2)</f>
        <v>2</v>
      </c>
      <c r="O611" s="64" t="str">
        <f ca="1">IFERROR(__xludf.DUMMYFUNCTION("""COMPUTED_VALUE"""),"QUIET")</f>
        <v>QUIET</v>
      </c>
      <c r="P611" s="62">
        <f ca="1">IFERROR(__xludf.DUMMYFUNCTION("""COMPUTED_VALUE"""),2718.18)</f>
        <v>2718.18</v>
      </c>
      <c r="Q611" s="33" t="str">
        <f ca="1">IFERROR(__xludf.DUMMYFUNCTION("""COMPUTED_VALUE"""),"Maika Blázquez")</f>
        <v>Maika Blázquez</v>
      </c>
      <c r="R611" s="33" t="str">
        <f ca="1">IFERROR(__xludf.DUMMYFUNCTION("""COMPUTED_VALUE"""),"Dra, Marta Colmenero Ruiz")</f>
        <v>Dra, Marta Colmenero Ruiz</v>
      </c>
      <c r="S611" s="61" t="str">
        <f ca="1">IFERROR(__xludf.DUMMYFUNCTION("""COMPUTED_VALUE"""),"03 ORL")</f>
        <v>03 ORL</v>
      </c>
      <c r="T611" s="33" t="str">
        <f ca="1">IFERROR(__xludf.DUMMYFUNCTION("""COMPUTED_VALUE"""),"06 ORL")</f>
        <v>06 ORL</v>
      </c>
      <c r="U611" s="62"/>
      <c r="W611" s="61"/>
      <c r="X611" s="62"/>
    </row>
    <row r="612" spans="2:24" ht="16">
      <c r="B612" s="67" t="str">
        <f t="shared" ca="1" si="3"/>
        <v>#N/</v>
      </c>
      <c r="C612" s="64" t="str">
        <f ca="1">IFERROR(__xludf.DUMMYFUNCTION("""COMPUTED_VALUE"""),"#N/A")</f>
        <v>#N/A</v>
      </c>
      <c r="D612" s="33" t="str">
        <f ca="1">IFERROR(__xludf.DUMMYFUNCTION("""COMPUTED_VALUE"""),"PROPIOS")</f>
        <v>PROPIOS</v>
      </c>
      <c r="E612" s="33">
        <f ca="1">IFERROR(__xludf.DUMMYFUNCTION("""COMPUTED_VALUE"""),2026)</f>
        <v>2026</v>
      </c>
      <c r="F612" s="56">
        <f ca="1">IFERROR(__xludf.DUMMYFUNCTION("""COMPUTED_VALUE"""),3)</f>
        <v>3</v>
      </c>
      <c r="G612" s="33" t="str">
        <f ca="1">IFERROR(__xludf.DUMMYFUNCTION("""COMPUTED_VALUE"""),"Getafe")</f>
        <v>Getafe</v>
      </c>
      <c r="H612" s="33" t="str">
        <f ca="1">IFERROR(__xludf.DUMMYFUNCTION("""COMPUTED_VALUE"""),"C202622412193617255")</f>
        <v>C202622412193617255</v>
      </c>
      <c r="I612" s="33" t="str">
        <f ca="1">IFERROR(__xludf.DUMMYFUNCTION("""COMPUTED_VALUE"""),"MARCELO GOMEZ AGUADO")</f>
        <v>MARCELO GOMEZ AGUADO</v>
      </c>
      <c r="J612" s="57">
        <f ca="1">IFERROR(__xludf.DUMMYFUNCTION("""COMPUTED_VALUE"""),46077)</f>
        <v>46077</v>
      </c>
      <c r="K612" s="33" t="str">
        <f ca="1">IFERROR(__xludf.DUMMYFUNCTION("""COMPUTED_VALUE"""),"Devuelve")</f>
        <v>Devuelve</v>
      </c>
      <c r="L612" s="57">
        <f ca="1">IFERROR(__xludf.DUMMYFUNCTION("""COMPUTED_VALUE"""),46092)</f>
        <v>46092</v>
      </c>
      <c r="M612" s="64" t="str">
        <f ca="1">IFERROR(__xludf.DUMMYFUNCTION("""COMPUTED_VALUE"""),"NO")</f>
        <v>NO</v>
      </c>
      <c r="N612" s="56">
        <f ca="1">IFERROR(__xludf.DUMMYFUNCTION("""COMPUTED_VALUE"""),2)</f>
        <v>2</v>
      </c>
      <c r="O612" s="64" t="str">
        <f ca="1">IFERROR(__xludf.DUMMYFUNCTION("""COMPUTED_VALUE"""),"QUIET")</f>
        <v>QUIET</v>
      </c>
      <c r="P612" s="62">
        <f ca="1">IFERROR(__xludf.DUMMYFUNCTION("""COMPUTED_VALUE"""),2718.18)</f>
        <v>2718.18</v>
      </c>
      <c r="Q612" s="33" t="str">
        <f ca="1">IFERROR(__xludf.DUMMYFUNCTION("""COMPUTED_VALUE"""),"Maika Blázquez")</f>
        <v>Maika Blázquez</v>
      </c>
      <c r="R612" s="33" t="str">
        <f ca="1">IFERROR(__xludf.DUMMYFUNCTION("""COMPUTED_VALUE"""),"Dr, Antonio Rodríguez Rivero")</f>
        <v>Dr, Antonio Rodríguez Rivero</v>
      </c>
      <c r="S612" s="61" t="str">
        <f ca="1">IFERROR(__xludf.DUMMYFUNCTION("""COMPUTED_VALUE"""),"03 ORL")</f>
        <v>03 ORL</v>
      </c>
      <c r="T612" s="33" t="str">
        <f ca="1">IFERROR(__xludf.DUMMYFUNCTION("""COMPUTED_VALUE"""),"06 ORL")</f>
        <v>06 ORL</v>
      </c>
      <c r="U612" s="62"/>
      <c r="W612" s="61"/>
      <c r="X612" s="62"/>
    </row>
    <row r="613" spans="2:24" ht="16">
      <c r="B613" s="67" t="str">
        <f t="shared" ca="1" si="3"/>
        <v>#N/</v>
      </c>
      <c r="C613" s="64" t="str">
        <f ca="1">IFERROR(__xludf.DUMMYFUNCTION("""COMPUTED_VALUE"""),"#N/A")</f>
        <v>#N/A</v>
      </c>
      <c r="D613" s="33" t="str">
        <f ca="1">IFERROR(__xludf.DUMMYFUNCTION("""COMPUTED_VALUE"""),"PROPIOS")</f>
        <v>PROPIOS</v>
      </c>
      <c r="E613" s="33">
        <f ca="1">IFERROR(__xludf.DUMMYFUNCTION("""COMPUTED_VALUE"""),2026)</f>
        <v>2026</v>
      </c>
      <c r="F613" s="56">
        <f ca="1">IFERROR(__xludf.DUMMYFUNCTION("""COMPUTED_VALUE"""),3)</f>
        <v>3</v>
      </c>
      <c r="G613" s="33" t="str">
        <f ca="1">IFERROR(__xludf.DUMMYFUNCTION("""COMPUTED_VALUE"""),"Getafe")</f>
        <v>Getafe</v>
      </c>
      <c r="H613" s="33" t="str">
        <f ca="1">IFERROR(__xludf.DUMMYFUNCTION("""COMPUTED_VALUE"""),"C20263517241965046")</f>
        <v>C20263517241965046</v>
      </c>
      <c r="I613" s="33" t="str">
        <f ca="1">IFERROR(__xludf.DUMMYFUNCTION("""COMPUTED_VALUE"""),"MARIA DEL MAR ALVAREZ VELASCO")</f>
        <v>MARIA DEL MAR ALVAREZ VELASCO</v>
      </c>
      <c r="J613" s="57">
        <f ca="1">IFERROR(__xludf.DUMMYFUNCTION("""COMPUTED_VALUE"""),46086)</f>
        <v>46086</v>
      </c>
      <c r="K613" s="33" t="str">
        <f ca="1">IFERROR(__xludf.DUMMYFUNCTION("""COMPUTED_VALUE"""),"Prueba")</f>
        <v>Prueba</v>
      </c>
      <c r="L613" s="57">
        <f ca="1">IFERROR(__xludf.DUMMYFUNCTION("""COMPUTED_VALUE"""),46111)</f>
        <v>46111</v>
      </c>
      <c r="M613" s="64" t="str">
        <f ca="1">IFERROR(__xludf.DUMMYFUNCTION("""COMPUTED_VALUE"""),"NO")</f>
        <v>NO</v>
      </c>
      <c r="N613" s="56">
        <f ca="1">IFERROR(__xludf.DUMMYFUNCTION("""COMPUTED_VALUE"""),2)</f>
        <v>2</v>
      </c>
      <c r="O613" s="64" t="str">
        <f ca="1">IFERROR(__xludf.DUMMYFUNCTION("""COMPUTED_VALUE"""),"QUIET")</f>
        <v>QUIET</v>
      </c>
      <c r="P613" s="62">
        <f ca="1">IFERROR(__xludf.DUMMYFUNCTION("""COMPUTED_VALUE"""),2718.18)</f>
        <v>2718.18</v>
      </c>
      <c r="Q613" s="33" t="str">
        <f ca="1">IFERROR(__xludf.DUMMYFUNCTION("""COMPUTED_VALUE"""),"Maika Blázquez")</f>
        <v>Maika Blázquez</v>
      </c>
      <c r="R613" s="33" t="str">
        <f ca="1">IFERROR(__xludf.DUMMYFUNCTION("""COMPUTED_VALUE"""),"Dra, María Garrote Garrote")</f>
        <v>Dra, María Garrote Garrote</v>
      </c>
      <c r="S613" s="61" t="str">
        <f ca="1">IFERROR(__xludf.DUMMYFUNCTION("""COMPUTED_VALUE"""),"03 ORL")</f>
        <v>03 ORL</v>
      </c>
      <c r="T613" s="33" t="str">
        <f ca="1">IFERROR(__xludf.DUMMYFUNCTION("""COMPUTED_VALUE"""),"06 ORL")</f>
        <v>06 ORL</v>
      </c>
      <c r="U613" s="62"/>
      <c r="W613" s="61"/>
      <c r="X613" s="62"/>
    </row>
    <row r="614" spans="2:24" ht="16">
      <c r="B614" s="67" t="str">
        <f t="shared" ca="1" si="3"/>
        <v>#N/</v>
      </c>
      <c r="C614" s="64" t="str">
        <f ca="1">IFERROR(__xludf.DUMMYFUNCTION("""COMPUTED_VALUE"""),"#N/A")</f>
        <v>#N/A</v>
      </c>
      <c r="D614" s="33" t="str">
        <f ca="1">IFERROR(__xludf.DUMMYFUNCTION("""COMPUTED_VALUE"""),"PROPIOS")</f>
        <v>PROPIOS</v>
      </c>
      <c r="E614" s="33">
        <f ca="1">IFERROR(__xludf.DUMMYFUNCTION("""COMPUTED_VALUE"""),2026)</f>
        <v>2026</v>
      </c>
      <c r="F614" s="56">
        <f ca="1">IFERROR(__xludf.DUMMYFUNCTION("""COMPUTED_VALUE"""),1)</f>
        <v>1</v>
      </c>
      <c r="G614" s="33" t="str">
        <f ca="1">IFERROR(__xludf.DUMMYFUNCTION("""COMPUTED_VALUE"""),"Getafe")</f>
        <v>Getafe</v>
      </c>
      <c r="H614" s="33" t="str">
        <f ca="1">IFERROR(__xludf.DUMMYFUNCTION("""COMPUTED_VALUE"""),"C202511209435819749")</f>
        <v>C202511209435819749</v>
      </c>
      <c r="I614" s="33" t="str">
        <f ca="1">IFERROR(__xludf.DUMMYFUNCTION("""COMPUTED_VALUE"""),"MARIA SACRAMENTO MARTIN GOMEZ")</f>
        <v>MARIA SACRAMENTO MARTIN GOMEZ</v>
      </c>
      <c r="J614" s="57">
        <f ca="1">IFERROR(__xludf.DUMMYFUNCTION("""COMPUTED_VALUE"""),45981)</f>
        <v>45981</v>
      </c>
      <c r="K614" s="33" t="str">
        <f ca="1">IFERROR(__xludf.DUMMYFUNCTION("""COMPUTED_VALUE"""),"Devuelve")</f>
        <v>Devuelve</v>
      </c>
      <c r="L614" s="57">
        <f ca="1">IFERROR(__xludf.DUMMYFUNCTION("""COMPUTED_VALUE"""),46049)</f>
        <v>46049</v>
      </c>
      <c r="M614" s="64" t="str">
        <f ca="1">IFERROR(__xludf.DUMMYFUNCTION("""COMPUTED_VALUE"""),"NO")</f>
        <v>NO</v>
      </c>
      <c r="N614" s="56">
        <f ca="1">IFERROR(__xludf.DUMMYFUNCTION("""COMPUTED_VALUE"""),2)</f>
        <v>2</v>
      </c>
      <c r="O614" s="64" t="str">
        <f ca="1">IFERROR(__xludf.DUMMYFUNCTION("""COMPUTED_VALUE"""),"QUIET")</f>
        <v>QUIET</v>
      </c>
      <c r="P614" s="62">
        <f ca="1">IFERROR(__xludf.DUMMYFUNCTION("""COMPUTED_VALUE"""),2718.18)</f>
        <v>2718.18</v>
      </c>
      <c r="Q614" s="33" t="str">
        <f ca="1">IFERROR(__xludf.DUMMYFUNCTION("""COMPUTED_VALUE"""),"Maika Blázquez")</f>
        <v>Maika Blázquez</v>
      </c>
      <c r="R614" s="33" t="str">
        <f ca="1">IFERROR(__xludf.DUMMYFUNCTION("""COMPUTED_VALUE"""),"Dr, Antonio Rodríguez Rivero")</f>
        <v>Dr, Antonio Rodríguez Rivero</v>
      </c>
      <c r="S614" s="61" t="str">
        <f ca="1">IFERROR(__xludf.DUMMYFUNCTION("""COMPUTED_VALUE"""),"03 ORL")</f>
        <v>03 ORL</v>
      </c>
      <c r="T614" s="33" t="str">
        <f ca="1">IFERROR(__xludf.DUMMYFUNCTION("""COMPUTED_VALUE"""),"06 ORL")</f>
        <v>06 ORL</v>
      </c>
      <c r="U614" s="62"/>
      <c r="W614" s="61"/>
      <c r="X614" s="62"/>
    </row>
    <row r="615" spans="2:24" ht="16">
      <c r="B615" s="67" t="str">
        <f t="shared" ca="1" si="3"/>
        <v>#N/</v>
      </c>
      <c r="C615" s="64" t="str">
        <f ca="1">IFERROR(__xludf.DUMMYFUNCTION("""COMPUTED_VALUE"""),"#N/A")</f>
        <v>#N/A</v>
      </c>
      <c r="D615" s="33" t="str">
        <f ca="1">IFERROR(__xludf.DUMMYFUNCTION("""COMPUTED_VALUE"""),"PROPIOS")</f>
        <v>PROPIOS</v>
      </c>
      <c r="E615" s="33">
        <f ca="1">IFERROR(__xludf.DUMMYFUNCTION("""COMPUTED_VALUE"""),2026)</f>
        <v>2026</v>
      </c>
      <c r="F615" s="56">
        <f ca="1">IFERROR(__xludf.DUMMYFUNCTION("""COMPUTED_VALUE"""),3)</f>
        <v>3</v>
      </c>
      <c r="G615" s="33" t="str">
        <f ca="1">IFERROR(__xludf.DUMMYFUNCTION("""COMPUTED_VALUE"""),"Getafe")</f>
        <v>Getafe</v>
      </c>
      <c r="H615" s="33" t="str">
        <f ca="1">IFERROR(__xludf.DUMMYFUNCTION("""COMPUTED_VALUE"""),"C202631716451550127")</f>
        <v>C202631716451550127</v>
      </c>
      <c r="I615" s="33" t="str">
        <f ca="1">IFERROR(__xludf.DUMMYFUNCTION("""COMPUTED_VALUE"""),"MARIA TERESA BAYO DEL MORAL")</f>
        <v>MARIA TERESA BAYO DEL MORAL</v>
      </c>
      <c r="J615" s="57">
        <f ca="1">IFERROR(__xludf.DUMMYFUNCTION("""COMPUTED_VALUE"""),46098)</f>
        <v>46098</v>
      </c>
      <c r="K615" s="33" t="str">
        <f ca="1">IFERROR(__xludf.DUMMYFUNCTION("""COMPUTED_VALUE"""),"Pedido")</f>
        <v>Pedido</v>
      </c>
      <c r="L615" s="57">
        <f ca="1">IFERROR(__xludf.DUMMYFUNCTION("""COMPUTED_VALUE"""),46107)</f>
        <v>46107</v>
      </c>
      <c r="M615" s="64" t="str">
        <f ca="1">IFERROR(__xludf.DUMMYFUNCTION("""COMPUTED_VALUE"""),"NO")</f>
        <v>NO</v>
      </c>
      <c r="N615" s="56">
        <f ca="1">IFERROR(__xludf.DUMMYFUNCTION("""COMPUTED_VALUE"""),1)</f>
        <v>1</v>
      </c>
      <c r="O615" s="64" t="str">
        <f ca="1">IFERROR(__xludf.DUMMYFUNCTION("""COMPUTED_VALUE"""),"PRO")</f>
        <v>PRO</v>
      </c>
      <c r="P615" s="62">
        <f ca="1">IFERROR(__xludf.DUMMYFUNCTION("""COMPUTED_VALUE"""),3440.91)</f>
        <v>3440.91</v>
      </c>
      <c r="Q615" s="33" t="str">
        <f ca="1">IFERROR(__xludf.DUMMYFUNCTION("""COMPUTED_VALUE"""),"Maika Blázquez")</f>
        <v>Maika Blázquez</v>
      </c>
      <c r="R615" s="33" t="str">
        <f ca="1">IFERROR(__xludf.DUMMYFUNCTION("""COMPUTED_VALUE"""),"Dr, Antonio Rodríguez Rivero")</f>
        <v>Dr, Antonio Rodríguez Rivero</v>
      </c>
      <c r="S615" s="61" t="str">
        <f ca="1">IFERROR(__xludf.DUMMYFUNCTION("""COMPUTED_VALUE"""),"03 ORL")</f>
        <v>03 ORL</v>
      </c>
      <c r="T615" s="33" t="str">
        <f ca="1">IFERROR(__xludf.DUMMYFUNCTION("""COMPUTED_VALUE"""),"06 ORL")</f>
        <v>06 ORL</v>
      </c>
      <c r="U615" s="62"/>
      <c r="W615" s="61"/>
      <c r="X615" s="62"/>
    </row>
    <row r="616" spans="2:24" ht="16">
      <c r="B616" s="67" t="str">
        <f t="shared" ca="1" si="3"/>
        <v>#N/</v>
      </c>
      <c r="C616" s="64" t="str">
        <f ca="1">IFERROR(__xludf.DUMMYFUNCTION("""COMPUTED_VALUE"""),"#N/A")</f>
        <v>#N/A</v>
      </c>
      <c r="D616" s="33" t="str">
        <f ca="1">IFERROR(__xludf.DUMMYFUNCTION("""COMPUTED_VALUE"""),"PROPIOS")</f>
        <v>PROPIOS</v>
      </c>
      <c r="E616" s="33">
        <f ca="1">IFERROR(__xludf.DUMMYFUNCTION("""COMPUTED_VALUE"""),2026)</f>
        <v>2026</v>
      </c>
      <c r="F616" s="56">
        <f ca="1">IFERROR(__xludf.DUMMYFUNCTION("""COMPUTED_VALUE"""),1)</f>
        <v>1</v>
      </c>
      <c r="G616" s="33" t="str">
        <f ca="1">IFERROR(__xludf.DUMMYFUNCTION("""COMPUTED_VALUE"""),"Getafe")</f>
        <v>Getafe</v>
      </c>
      <c r="H616" s="33" t="str">
        <f ca="1">IFERROR(__xludf.DUMMYFUNCTION("""COMPUTED_VALUE"""),"C202512221033375433")</f>
        <v>C202512221033375433</v>
      </c>
      <c r="I616" s="33" t="str">
        <f ca="1">IFERROR(__xludf.DUMMYFUNCTION("""COMPUTED_VALUE"""),"Pablo Millas López-Romero")</f>
        <v>Pablo Millas López-Romero</v>
      </c>
      <c r="J616" s="57">
        <f ca="1">IFERROR(__xludf.DUMMYFUNCTION("""COMPUTED_VALUE"""),46013)</f>
        <v>46013</v>
      </c>
      <c r="K616" s="33" t="str">
        <f ca="1">IFERROR(__xludf.DUMMYFUNCTION("""COMPUTED_VALUE"""),"Devuelve")</f>
        <v>Devuelve</v>
      </c>
      <c r="L616" s="57">
        <f ca="1">IFERROR(__xludf.DUMMYFUNCTION("""COMPUTED_VALUE"""),46030)</f>
        <v>46030</v>
      </c>
      <c r="M616" s="58" t="str">
        <f ca="1">IFERROR(__xludf.DUMMYFUNCTION("""COMPUTED_VALUE"""),"NO")</f>
        <v>NO</v>
      </c>
      <c r="N616" s="56">
        <f ca="1">IFERROR(__xludf.DUMMYFUNCTION("""COMPUTED_VALUE"""),1)</f>
        <v>1</v>
      </c>
      <c r="O616" s="64" t="str">
        <f ca="1">IFERROR(__xludf.DUMMYFUNCTION("""COMPUTED_VALUE"""),"QUIET")</f>
        <v>QUIET</v>
      </c>
      <c r="P616" s="62">
        <f ca="1">IFERROR(__xludf.DUMMYFUNCTION("""COMPUTED_VALUE"""),1631.82)</f>
        <v>1631.82</v>
      </c>
      <c r="Q616" s="33" t="str">
        <f ca="1">IFERROR(__xludf.DUMMYFUNCTION("""COMPUTED_VALUE"""),"Maika Blázquez")</f>
        <v>Maika Blázquez</v>
      </c>
      <c r="R616" s="33" t="str">
        <f ca="1">IFERROR(__xludf.DUMMYFUNCTION("""COMPUTED_VALUE"""),"Dra, Marta Colmenero Ruiz")</f>
        <v>Dra, Marta Colmenero Ruiz</v>
      </c>
      <c r="S616" s="61" t="str">
        <f ca="1">IFERROR(__xludf.DUMMYFUNCTION("""COMPUTED_VALUE"""),"03 ORL")</f>
        <v>03 ORL</v>
      </c>
      <c r="T616" s="33" t="str">
        <f ca="1">IFERROR(__xludf.DUMMYFUNCTION("""COMPUTED_VALUE"""),"06 ORL")</f>
        <v>06 ORL</v>
      </c>
      <c r="U616" s="62"/>
      <c r="W616" s="61"/>
      <c r="X616" s="62"/>
    </row>
    <row r="617" spans="2:24" ht="16">
      <c r="B617" s="67" t="str">
        <f t="shared" ca="1" si="3"/>
        <v/>
      </c>
      <c r="C617" s="64"/>
      <c r="D617" s="33" t="str">
        <f ca="1">IFERROR(__xludf.DUMMYFUNCTION("""COMPUTED_VALUE"""),"PROPIOS")</f>
        <v>PROPIOS</v>
      </c>
      <c r="E617" s="33">
        <f ca="1">IFERROR(__xludf.DUMMYFUNCTION("""COMPUTED_VALUE"""),2026)</f>
        <v>2026</v>
      </c>
      <c r="F617" s="56">
        <f ca="1">IFERROR(__xludf.DUMMYFUNCTION("""COMPUTED_VALUE"""),1)</f>
        <v>1</v>
      </c>
      <c r="G617" s="33" t="str">
        <f ca="1">IFERROR(__xludf.DUMMYFUNCTION("""COMPUTED_VALUE"""),"Getafe")</f>
        <v>Getafe</v>
      </c>
      <c r="H617" s="33" t="str">
        <f ca="1">IFERROR(__xludf.DUMMYFUNCTION("""COMPUTED_VALUE"""),"C202512412528043568")</f>
        <v>C202512412528043568</v>
      </c>
      <c r="I617" s="33" t="str">
        <f ca="1">IFERROR(__xludf.DUMMYFUNCTION("""COMPUTED_VALUE"""),"PETRA  SAEZ ORTEGA")</f>
        <v>PETRA  SAEZ ORTEGA</v>
      </c>
      <c r="J617" s="57">
        <f ca="1">IFERROR(__xludf.DUMMYFUNCTION("""COMPUTED_VALUE"""),45995)</f>
        <v>45995</v>
      </c>
      <c r="K617" s="33" t="str">
        <f ca="1">IFERROR(__xludf.DUMMYFUNCTION("""COMPUTED_VALUE"""),"Devuelve")</f>
        <v>Devuelve</v>
      </c>
      <c r="L617" s="57">
        <f ca="1">IFERROR(__xludf.DUMMYFUNCTION("""COMPUTED_VALUE"""),46024)</f>
        <v>46024</v>
      </c>
      <c r="M617" s="64" t="str">
        <f ca="1">IFERROR(__xludf.DUMMYFUNCTION("""COMPUTED_VALUE"""),"NO")</f>
        <v>NO</v>
      </c>
      <c r="N617" s="56">
        <f ca="1">IFERROR(__xludf.DUMMYFUNCTION("""COMPUTED_VALUE"""),2)</f>
        <v>2</v>
      </c>
      <c r="O617" s="64" t="str">
        <f ca="1">IFERROR(__xludf.DUMMYFUNCTION("""COMPUTED_VALUE"""),"QUIET")</f>
        <v>QUIET</v>
      </c>
      <c r="P617" s="62">
        <f ca="1">IFERROR(__xludf.DUMMYFUNCTION("""COMPUTED_VALUE"""),2718.18)</f>
        <v>2718.18</v>
      </c>
      <c r="Q617" s="33" t="str">
        <f ca="1">IFERROR(__xludf.DUMMYFUNCTION("""COMPUTED_VALUE"""),"Maika Blázquez")</f>
        <v>Maika Blázquez</v>
      </c>
      <c r="R617" s="33" t="str">
        <f ca="1">IFERROR(__xludf.DUMMYFUNCTION("""COMPUTED_VALUE"""),"No recuerda ORL")</f>
        <v>No recuerda ORL</v>
      </c>
      <c r="S617" s="61" t="str">
        <f ca="1">IFERROR(__xludf.DUMMYFUNCTION("""COMPUTED_VALUE"""),"03 ORL")</f>
        <v>03 ORL</v>
      </c>
      <c r="T617" s="33" t="str">
        <f ca="1">IFERROR(__xludf.DUMMYFUNCTION("""COMPUTED_VALUE"""),"06 ORL")</f>
        <v>06 ORL</v>
      </c>
      <c r="U617" s="62"/>
      <c r="W617" s="61"/>
      <c r="X617" s="62"/>
    </row>
    <row r="618" spans="2:24" ht="16">
      <c r="B618" s="67" t="str">
        <f t="shared" ca="1" si="3"/>
        <v/>
      </c>
      <c r="C618" s="64"/>
      <c r="D618" s="33" t="str">
        <f ca="1">IFERROR(__xludf.DUMMYFUNCTION("""COMPUTED_VALUE"""),"PROPIOS")</f>
        <v>PROPIOS</v>
      </c>
      <c r="E618" s="33">
        <f ca="1">IFERROR(__xludf.DUMMYFUNCTION("""COMPUTED_VALUE"""),2026)</f>
        <v>2026</v>
      </c>
      <c r="F618" s="56">
        <f ca="1">IFERROR(__xludf.DUMMYFUNCTION("""COMPUTED_VALUE"""),2)</f>
        <v>2</v>
      </c>
      <c r="G618" s="33" t="str">
        <f ca="1">IFERROR(__xludf.DUMMYFUNCTION("""COMPUTED_VALUE"""),"Getafe")</f>
        <v>Getafe</v>
      </c>
      <c r="H618" s="33" t="str">
        <f ca="1">IFERROR(__xludf.DUMMYFUNCTION("""COMPUTED_VALUE"""),"C202512111245518864")</f>
        <v>C202512111245518864</v>
      </c>
      <c r="I618" s="33" t="str">
        <f ca="1">IFERROR(__xludf.DUMMYFUNCTION("""COMPUTED_VALUE"""),"ROBERTO MAGANTO TRUJILLO")</f>
        <v>ROBERTO MAGANTO TRUJILLO</v>
      </c>
      <c r="J618" s="57">
        <f ca="1">IFERROR(__xludf.DUMMYFUNCTION("""COMPUTED_VALUE"""),46002)</f>
        <v>46002</v>
      </c>
      <c r="K618" s="33" t="str">
        <f ca="1">IFERROR(__xludf.DUMMYFUNCTION("""COMPUTED_VALUE"""),"Devuelve")</f>
        <v>Devuelve</v>
      </c>
      <c r="L618" s="57">
        <f ca="1">IFERROR(__xludf.DUMMYFUNCTION("""COMPUTED_VALUE"""),46076)</f>
        <v>46076</v>
      </c>
      <c r="M618" s="64" t="str">
        <f ca="1">IFERROR(__xludf.DUMMYFUNCTION("""COMPUTED_VALUE"""),"NO")</f>
        <v>NO</v>
      </c>
      <c r="N618" s="56">
        <f ca="1">IFERROR(__xludf.DUMMYFUNCTION("""COMPUTED_VALUE"""),1)</f>
        <v>1</v>
      </c>
      <c r="O618" s="64" t="str">
        <f ca="1">IFERROR(__xludf.DUMMYFUNCTION("""COMPUTED_VALUE"""),"TRIAL")</f>
        <v>TRIAL</v>
      </c>
      <c r="P618" s="62">
        <f ca="1">IFERROR(__xludf.DUMMYFUNCTION("""COMPUTED_VALUE"""),2180.91)</f>
        <v>2180.91</v>
      </c>
      <c r="Q618" s="33" t="str">
        <f ca="1">IFERROR(__xludf.DUMMYFUNCTION("""COMPUTED_VALUE"""),"Maika Blázquez")</f>
        <v>Maika Blázquez</v>
      </c>
      <c r="R618" s="33" t="str">
        <f ca="1">IFERROR(__xludf.DUMMYFUNCTION("""COMPUTED_VALUE"""),"No recuerda ORL")</f>
        <v>No recuerda ORL</v>
      </c>
      <c r="S618" s="61" t="str">
        <f ca="1">IFERROR(__xludf.DUMMYFUNCTION("""COMPUTED_VALUE"""),"03 ORL")</f>
        <v>03 ORL</v>
      </c>
      <c r="T618" s="33" t="str">
        <f ca="1">IFERROR(__xludf.DUMMYFUNCTION("""COMPUTED_VALUE"""),"22 AUDIOMETRIA CLINICA")</f>
        <v>22 AUDIOMETRIA CLINICA</v>
      </c>
      <c r="U618" s="62"/>
      <c r="W618" s="61"/>
      <c r="X618" s="62"/>
    </row>
    <row r="619" spans="2:24" ht="16">
      <c r="B619" s="67" t="str">
        <f t="shared" ca="1" si="3"/>
        <v>#N/</v>
      </c>
      <c r="C619" s="64" t="str">
        <f ca="1">IFERROR(__xludf.DUMMYFUNCTION("""COMPUTED_VALUE"""),"#N/A")</f>
        <v>#N/A</v>
      </c>
      <c r="D619" s="33" t="str">
        <f ca="1">IFERROR(__xludf.DUMMYFUNCTION("""COMPUTED_VALUE"""),"PROPIOS")</f>
        <v>PROPIOS</v>
      </c>
      <c r="E619" s="33">
        <f ca="1">IFERROR(__xludf.DUMMYFUNCTION("""COMPUTED_VALUE"""),2026)</f>
        <v>2026</v>
      </c>
      <c r="F619" s="56">
        <f ca="1">IFERROR(__xludf.DUMMYFUNCTION("""COMPUTED_VALUE"""),3)</f>
        <v>3</v>
      </c>
      <c r="G619" s="33" t="str">
        <f ca="1">IFERROR(__xludf.DUMMYFUNCTION("""COMPUTED_VALUE"""),"Getafe")</f>
        <v>Getafe</v>
      </c>
      <c r="H619" s="33" t="str">
        <f ca="1">IFERROR(__xludf.DUMMYFUNCTION("""COMPUTED_VALUE"""),"C202632012551603475")</f>
        <v>C202632012551603475</v>
      </c>
      <c r="I619" s="33" t="str">
        <f ca="1">IFERROR(__xludf.DUMMYFUNCTION("""COMPUTED_VALUE"""),"ROSA FERNANDEZ FERNANDEZ")</f>
        <v>ROSA FERNANDEZ FERNANDEZ</v>
      </c>
      <c r="J619" s="57">
        <f ca="1">IFERROR(__xludf.DUMMYFUNCTION("""COMPUTED_VALUE"""),46101)</f>
        <v>46101</v>
      </c>
      <c r="K619" s="33" t="str">
        <f ca="1">IFERROR(__xludf.DUMMYFUNCTION("""COMPUTED_VALUE"""),"Pedido")</f>
        <v>Pedido</v>
      </c>
      <c r="L619" s="57">
        <f ca="1">IFERROR(__xludf.DUMMYFUNCTION("""COMPUTED_VALUE"""),46105)</f>
        <v>46105</v>
      </c>
      <c r="M619" s="64" t="str">
        <f ca="1">IFERROR(__xludf.DUMMYFUNCTION("""COMPUTED_VALUE"""),"NO")</f>
        <v>NO</v>
      </c>
      <c r="N619" s="56">
        <f ca="1">IFERROR(__xludf.DUMMYFUNCTION("""COMPUTED_VALUE"""),2)</f>
        <v>2</v>
      </c>
      <c r="O619" s="64" t="str">
        <f ca="1">IFERROR(__xludf.DUMMYFUNCTION("""COMPUTED_VALUE"""),"QUIET")</f>
        <v>QUIET</v>
      </c>
      <c r="P619" s="62">
        <f ca="1">IFERROR(__xludf.DUMMYFUNCTION("""COMPUTED_VALUE"""),2718.18)</f>
        <v>2718.18</v>
      </c>
      <c r="Q619" s="33" t="str">
        <f ca="1">IFERROR(__xludf.DUMMYFUNCTION("""COMPUTED_VALUE"""),"Maika Blázquez")</f>
        <v>Maika Blázquez</v>
      </c>
      <c r="R619" s="33" t="str">
        <f ca="1">IFERROR(__xludf.DUMMYFUNCTION("""COMPUTED_VALUE"""),"Dra, María Garrote Garrote")</f>
        <v>Dra, María Garrote Garrote</v>
      </c>
      <c r="S619" s="61" t="str">
        <f ca="1">IFERROR(__xludf.DUMMYFUNCTION("""COMPUTED_VALUE"""),"03 ORL")</f>
        <v>03 ORL</v>
      </c>
      <c r="T619" s="33" t="str">
        <f ca="1">IFERROR(__xludf.DUMMYFUNCTION("""COMPUTED_VALUE"""),"06 ORL")</f>
        <v>06 ORL</v>
      </c>
      <c r="U619" s="62"/>
      <c r="W619" s="61"/>
      <c r="X619" s="62"/>
    </row>
    <row r="620" spans="2:24" ht="16">
      <c r="B620" s="67" t="str">
        <f t="shared" ca="1" si="3"/>
        <v>#N/</v>
      </c>
      <c r="C620" s="64" t="str">
        <f ca="1">IFERROR(__xludf.DUMMYFUNCTION("""COMPUTED_VALUE"""),"#N/A")</f>
        <v>#N/A</v>
      </c>
      <c r="D620" s="33" t="str">
        <f ca="1">IFERROR(__xludf.DUMMYFUNCTION("""COMPUTED_VALUE"""),"PROPIOS")</f>
        <v>PROPIOS</v>
      </c>
      <c r="E620" s="33">
        <f ca="1">IFERROR(__xludf.DUMMYFUNCTION("""COMPUTED_VALUE"""),2026)</f>
        <v>2026</v>
      </c>
      <c r="F620" s="56">
        <f ca="1">IFERROR(__xludf.DUMMYFUNCTION("""COMPUTED_VALUE"""),3)</f>
        <v>3</v>
      </c>
      <c r="G620" s="33" t="str">
        <f ca="1">IFERROR(__xludf.DUMMYFUNCTION("""COMPUTED_VALUE"""),"Getafe")</f>
        <v>Getafe</v>
      </c>
      <c r="H620" s="33" t="str">
        <f ca="1">IFERROR(__xludf.DUMMYFUNCTION("""COMPUTED_VALUE"""),"C202632410394553942")</f>
        <v>C202632410394553942</v>
      </c>
      <c r="I620" s="33" t="str">
        <f ca="1">IFERROR(__xludf.DUMMYFUNCTION("""COMPUTED_VALUE"""),"SAGRARIO ARAGONES JIMENEZ")</f>
        <v>SAGRARIO ARAGONES JIMENEZ</v>
      </c>
      <c r="J620" s="57">
        <f ca="1">IFERROR(__xludf.DUMMYFUNCTION("""COMPUTED_VALUE"""),46105)</f>
        <v>46105</v>
      </c>
      <c r="K620" s="33" t="str">
        <f ca="1">IFERROR(__xludf.DUMMYFUNCTION("""COMPUTED_VALUE"""),"Pedido")</f>
        <v>Pedido</v>
      </c>
      <c r="L620" s="57">
        <f ca="1">IFERROR(__xludf.DUMMYFUNCTION("""COMPUTED_VALUE"""),46105)</f>
        <v>46105</v>
      </c>
      <c r="M620" s="64" t="str">
        <f ca="1">IFERROR(__xludf.DUMMYFUNCTION("""COMPUTED_VALUE"""),"NO")</f>
        <v>NO</v>
      </c>
      <c r="N620" s="56">
        <f ca="1">IFERROR(__xludf.DUMMYFUNCTION("""COMPUTED_VALUE"""),2)</f>
        <v>2</v>
      </c>
      <c r="O620" s="64" t="str">
        <f ca="1">IFERROR(__xludf.DUMMYFUNCTION("""COMPUTED_VALUE"""),"QUIET")</f>
        <v>QUIET</v>
      </c>
      <c r="P620" s="62">
        <f ca="1">IFERROR(__xludf.DUMMYFUNCTION("""COMPUTED_VALUE"""),2718.18)</f>
        <v>2718.18</v>
      </c>
      <c r="Q620" s="33" t="str">
        <f ca="1">IFERROR(__xludf.DUMMYFUNCTION("""COMPUTED_VALUE"""),"Maika Blázquez")</f>
        <v>Maika Blázquez</v>
      </c>
      <c r="R620" s="33" t="str">
        <f ca="1">IFERROR(__xludf.DUMMYFUNCTION("""COMPUTED_VALUE"""),"Dra, Paloma Pinacho Martínez")</f>
        <v>Dra, Paloma Pinacho Martínez</v>
      </c>
      <c r="S620" s="61" t="str">
        <f ca="1">IFERROR(__xludf.DUMMYFUNCTION("""COMPUTED_VALUE"""),"03 ORL")</f>
        <v>03 ORL</v>
      </c>
      <c r="T620" s="33" t="str">
        <f ca="1">IFERROR(__xludf.DUMMYFUNCTION("""COMPUTED_VALUE"""),"06 ORL")</f>
        <v>06 ORL</v>
      </c>
      <c r="U620" s="62"/>
      <c r="W620" s="61"/>
      <c r="X620" s="62"/>
    </row>
    <row r="621" spans="2:24" ht="16">
      <c r="B621" s="67" t="str">
        <f t="shared" ca="1" si="3"/>
        <v>#N/</v>
      </c>
      <c r="C621" s="64" t="str">
        <f ca="1">IFERROR(__xludf.DUMMYFUNCTION("""COMPUTED_VALUE"""),"#N/A")</f>
        <v>#N/A</v>
      </c>
      <c r="D621" s="33" t="str">
        <f ca="1">IFERROR(__xludf.DUMMYFUNCTION("""COMPUTED_VALUE"""),"PROPIOS")</f>
        <v>PROPIOS</v>
      </c>
      <c r="E621" s="33">
        <f ca="1">IFERROR(__xludf.DUMMYFUNCTION("""COMPUTED_VALUE"""),2026)</f>
        <v>2026</v>
      </c>
      <c r="F621" s="56">
        <f ca="1">IFERROR(__xludf.DUMMYFUNCTION("""COMPUTED_VALUE"""),3)</f>
        <v>3</v>
      </c>
      <c r="G621" s="33" t="str">
        <f ca="1">IFERROR(__xludf.DUMMYFUNCTION("""COMPUTED_VALUE"""),"Getafe")</f>
        <v>Getafe</v>
      </c>
      <c r="H621" s="33" t="str">
        <f ca="1">IFERROR(__xludf.DUMMYFUNCTION("""COMPUTED_VALUE"""),"C202621712453435416")</f>
        <v>C202621712453435416</v>
      </c>
      <c r="I621" s="33" t="str">
        <f ca="1">IFERROR(__xludf.DUMMYFUNCTION("""COMPUTED_VALUE"""),"SANTIAGO JIMENO ALVAREZ")</f>
        <v>SANTIAGO JIMENO ALVAREZ</v>
      </c>
      <c r="J621" s="57">
        <f ca="1">IFERROR(__xludf.DUMMYFUNCTION("""COMPUTED_VALUE"""),46070)</f>
        <v>46070</v>
      </c>
      <c r="K621" s="33" t="str">
        <f ca="1">IFERROR(__xludf.DUMMYFUNCTION("""COMPUTED_VALUE"""),"Devuelve")</f>
        <v>Devuelve</v>
      </c>
      <c r="L621" s="57">
        <f ca="1">IFERROR(__xludf.DUMMYFUNCTION("""COMPUTED_VALUE"""),46100)</f>
        <v>46100</v>
      </c>
      <c r="M621" s="64" t="str">
        <f ca="1">IFERROR(__xludf.DUMMYFUNCTION("""COMPUTED_VALUE"""),"NO")</f>
        <v>NO</v>
      </c>
      <c r="N621" s="56">
        <f ca="1">IFERROR(__xludf.DUMMYFUNCTION("""COMPUTED_VALUE"""),1)</f>
        <v>1</v>
      </c>
      <c r="O621" s="64" t="str">
        <f ca="1">IFERROR(__xludf.DUMMYFUNCTION("""COMPUTED_VALUE"""),"CONFORT")</f>
        <v>CONFORT</v>
      </c>
      <c r="P621" s="62">
        <f ca="1">IFERROR(__xludf.DUMMYFUNCTION("""COMPUTED_VALUE"""),2509.97)</f>
        <v>2509.9699999999998</v>
      </c>
      <c r="Q621" s="33" t="str">
        <f ca="1">IFERROR(__xludf.DUMMYFUNCTION("""COMPUTED_VALUE"""),"Maika Blázquez")</f>
        <v>Maika Blázquez</v>
      </c>
      <c r="R621" s="33" t="str">
        <f ca="1">IFERROR(__xludf.DUMMYFUNCTION("""COMPUTED_VALUE"""),"Dra, Beatriz Santos Duque")</f>
        <v>Dra, Beatriz Santos Duque</v>
      </c>
      <c r="S621" s="61" t="str">
        <f ca="1">IFERROR(__xludf.DUMMYFUNCTION("""COMPUTED_VALUE"""),"03 ORL")</f>
        <v>03 ORL</v>
      </c>
      <c r="T621" s="33" t="str">
        <f ca="1">IFERROR(__xludf.DUMMYFUNCTION("""COMPUTED_VALUE"""),"06 ORL")</f>
        <v>06 ORL</v>
      </c>
      <c r="U621" s="62"/>
      <c r="W621" s="61"/>
      <c r="X621" s="62"/>
    </row>
    <row r="622" spans="2:24" ht="16">
      <c r="B622" s="67" t="str">
        <f t="shared" ca="1" si="3"/>
        <v>#N/</v>
      </c>
      <c r="C622" s="64" t="str">
        <f ca="1">IFERROR(__xludf.DUMMYFUNCTION("""COMPUTED_VALUE"""),"#N/A")</f>
        <v>#N/A</v>
      </c>
      <c r="D622" s="33" t="str">
        <f ca="1">IFERROR(__xludf.DUMMYFUNCTION("""COMPUTED_VALUE"""),"PROPIOS")</f>
        <v>PROPIOS</v>
      </c>
      <c r="E622" s="33">
        <f ca="1">IFERROR(__xludf.DUMMYFUNCTION("""COMPUTED_VALUE"""),2026)</f>
        <v>2026</v>
      </c>
      <c r="F622" s="56">
        <f ca="1">IFERROR(__xludf.DUMMYFUNCTION("""COMPUTED_VALUE"""),3)</f>
        <v>3</v>
      </c>
      <c r="G622" s="33" t="str">
        <f ca="1">IFERROR(__xludf.DUMMYFUNCTION("""COMPUTED_VALUE"""),"Getafe")</f>
        <v>Getafe</v>
      </c>
      <c r="H622" s="33" t="str">
        <f ca="1">IFERROR(__xludf.DUMMYFUNCTION("""COMPUTED_VALUE"""),"C202622014255307914")</f>
        <v>C202622014255307914</v>
      </c>
      <c r="I622" s="33" t="str">
        <f ca="1">IFERROR(__xludf.DUMMYFUNCTION("""COMPUTED_VALUE"""),"TERESA  AMIGO YLLANA")</f>
        <v>TERESA  AMIGO YLLANA</v>
      </c>
      <c r="J622" s="57">
        <f ca="1">IFERROR(__xludf.DUMMYFUNCTION("""COMPUTED_VALUE"""),46073)</f>
        <v>46073</v>
      </c>
      <c r="K622" s="33" t="str">
        <f ca="1">IFERROR(__xludf.DUMMYFUNCTION("""COMPUTED_VALUE"""),"Presupuesto")</f>
        <v>Presupuesto</v>
      </c>
      <c r="L622" s="57">
        <f ca="1">IFERROR(__xludf.DUMMYFUNCTION("""COMPUTED_VALUE"""),46086)</f>
        <v>46086</v>
      </c>
      <c r="M622" s="64" t="str">
        <f ca="1">IFERROR(__xludf.DUMMYFUNCTION("""COMPUTED_VALUE"""),"NO")</f>
        <v>NO</v>
      </c>
      <c r="N622" s="56">
        <f ca="1">IFERROR(__xludf.DUMMYFUNCTION("""COMPUTED_VALUE"""),2)</f>
        <v>2</v>
      </c>
      <c r="O622" s="64" t="str">
        <f ca="1">IFERROR(__xludf.DUMMYFUNCTION("""COMPUTED_VALUE"""),"QUIET")</f>
        <v>QUIET</v>
      </c>
      <c r="P622" s="62">
        <f ca="1">IFERROR(__xludf.DUMMYFUNCTION("""COMPUTED_VALUE"""),2718.18)</f>
        <v>2718.18</v>
      </c>
      <c r="Q622" s="33" t="str">
        <f ca="1">IFERROR(__xludf.DUMMYFUNCTION("""COMPUTED_VALUE"""),"Maika Blázquez")</f>
        <v>Maika Blázquez</v>
      </c>
      <c r="R622" s="33" t="str">
        <f ca="1">IFERROR(__xludf.DUMMYFUNCTION("""COMPUTED_VALUE"""),"Dr, Juan Ignacio Riestra Ayora")</f>
        <v>Dr, Juan Ignacio Riestra Ayora</v>
      </c>
      <c r="S622" s="61" t="str">
        <f ca="1">IFERROR(__xludf.DUMMYFUNCTION("""COMPUTED_VALUE"""),"03 ORL")</f>
        <v>03 ORL</v>
      </c>
      <c r="T622" s="33" t="str">
        <f ca="1">IFERROR(__xludf.DUMMYFUNCTION("""COMPUTED_VALUE"""),"06 ORL")</f>
        <v>06 ORL</v>
      </c>
      <c r="U622" s="62"/>
      <c r="W622" s="61"/>
      <c r="X622" s="62"/>
    </row>
    <row r="623" spans="2:24" ht="16">
      <c r="B623" s="67" t="str">
        <f t="shared" ca="1" si="3"/>
        <v>#N/</v>
      </c>
      <c r="C623" s="64" t="str">
        <f ca="1">IFERROR(__xludf.DUMMYFUNCTION("""COMPUTED_VALUE"""),"#N/A")</f>
        <v>#N/A</v>
      </c>
      <c r="D623" s="33" t="str">
        <f ca="1">IFERROR(__xludf.DUMMYFUNCTION("""COMPUTED_VALUE"""),"PROPIOS")</f>
        <v>PROPIOS</v>
      </c>
      <c r="E623" s="33">
        <f ca="1">IFERROR(__xludf.DUMMYFUNCTION("""COMPUTED_VALUE"""),2026)</f>
        <v>2026</v>
      </c>
      <c r="F623" s="56">
        <f ca="1">IFERROR(__xludf.DUMMYFUNCTION("""COMPUTED_VALUE"""),3)</f>
        <v>3</v>
      </c>
      <c r="G623" s="33" t="str">
        <f ca="1">IFERROR(__xludf.DUMMYFUNCTION("""COMPUTED_VALUE"""),"Huelva")</f>
        <v>Huelva</v>
      </c>
      <c r="H623" s="33" t="str">
        <f ca="1">IFERROR(__xludf.DUMMYFUNCTION("""COMPUTED_VALUE"""),"C202631017223969188")</f>
        <v>C202631017223969188</v>
      </c>
      <c r="I623" s="33" t="str">
        <f ca="1">IFERROR(__xludf.DUMMYFUNCTION("""COMPUTED_VALUE"""),"DOMINGA CAMPILLO REYES")</f>
        <v>DOMINGA CAMPILLO REYES</v>
      </c>
      <c r="J623" s="57">
        <f ca="1">IFERROR(__xludf.DUMMYFUNCTION("""COMPUTED_VALUE"""),46091)</f>
        <v>46091</v>
      </c>
      <c r="K623" s="33" t="str">
        <f ca="1">IFERROR(__xludf.DUMMYFUNCTION("""COMPUTED_VALUE"""),"Prueba")</f>
        <v>Prueba</v>
      </c>
      <c r="L623" s="57">
        <f ca="1">IFERROR(__xludf.DUMMYFUNCTION("""COMPUTED_VALUE"""),46112)</f>
        <v>46112</v>
      </c>
      <c r="M623" s="64" t="str">
        <f ca="1">IFERROR(__xludf.DUMMYFUNCTION("""COMPUTED_VALUE"""),"NO")</f>
        <v>NO</v>
      </c>
      <c r="N623" s="56">
        <f ca="1">IFERROR(__xludf.DUMMYFUNCTION("""COMPUTED_VALUE"""),2)</f>
        <v>2</v>
      </c>
      <c r="O623" s="64" t="str">
        <f ca="1">IFERROR(__xludf.DUMMYFUNCTION("""COMPUTED_VALUE"""),"QUIET")</f>
        <v>QUIET</v>
      </c>
      <c r="P623" s="62">
        <f ca="1">IFERROR(__xludf.DUMMYFUNCTION("""COMPUTED_VALUE"""),2718.18)</f>
        <v>2718.18</v>
      </c>
      <c r="Q623" s="33" t="str">
        <f ca="1">IFERROR(__xludf.DUMMYFUNCTION("""COMPUTED_VALUE"""),"Luis Alberto Rodríguez")</f>
        <v>Luis Alberto Rodríguez</v>
      </c>
      <c r="R623" s="33" t="str">
        <f ca="1">IFERROR(__xludf.DUMMYFUNCTION("""COMPUTED_VALUE"""),"Dra, Daniela Terán Guamán")</f>
        <v>Dra, Daniela Terán Guamán</v>
      </c>
      <c r="S623" s="61" t="str">
        <f ca="1">IFERROR(__xludf.DUMMYFUNCTION("""COMPUTED_VALUE"""),"03 ORL")</f>
        <v>03 ORL</v>
      </c>
      <c r="T623" s="33" t="str">
        <f ca="1">IFERROR(__xludf.DUMMYFUNCTION("""COMPUTED_VALUE"""),"06 ORL")</f>
        <v>06 ORL</v>
      </c>
      <c r="U623" s="62"/>
      <c r="W623" s="61"/>
      <c r="X623" s="62"/>
    </row>
    <row r="624" spans="2:24" ht="16">
      <c r="B624" s="67" t="str">
        <f t="shared" ca="1" si="3"/>
        <v>#N/</v>
      </c>
      <c r="C624" s="64" t="str">
        <f ca="1">IFERROR(__xludf.DUMMYFUNCTION("""COMPUTED_VALUE"""),"#N/A")</f>
        <v>#N/A</v>
      </c>
      <c r="D624" s="33" t="str">
        <f ca="1">IFERROR(__xludf.DUMMYFUNCTION("""COMPUTED_VALUE"""),"PROPIOS")</f>
        <v>PROPIOS</v>
      </c>
      <c r="E624" s="33">
        <f ca="1">IFERROR(__xludf.DUMMYFUNCTION("""COMPUTED_VALUE"""),2026)</f>
        <v>2026</v>
      </c>
      <c r="F624" s="56">
        <f ca="1">IFERROR(__xludf.DUMMYFUNCTION("""COMPUTED_VALUE"""),2)</f>
        <v>2</v>
      </c>
      <c r="G624" s="33" t="str">
        <f ca="1">IFERROR(__xludf.DUMMYFUNCTION("""COMPUTED_VALUE"""),"Huelva")</f>
        <v>Huelva</v>
      </c>
      <c r="H624" s="33" t="str">
        <f ca="1">IFERROR(__xludf.DUMMYFUNCTION("""COMPUTED_VALUE"""),"C20251219117280858")</f>
        <v>C20251219117280858</v>
      </c>
      <c r="I624" s="33" t="str">
        <f ca="1">IFERROR(__xludf.DUMMYFUNCTION("""COMPUTED_VALUE"""),"ROCIO DE LA TORRE RAMOS")</f>
        <v>ROCIO DE LA TORRE RAMOS</v>
      </c>
      <c r="J624" s="57">
        <f ca="1">IFERROR(__xludf.DUMMYFUNCTION("""COMPUTED_VALUE"""),45992)</f>
        <v>45992</v>
      </c>
      <c r="K624" s="33" t="str">
        <f ca="1">IFERROR(__xludf.DUMMYFUNCTION("""COMPUTED_VALUE"""),"Devuelve")</f>
        <v>Devuelve</v>
      </c>
      <c r="L624" s="57">
        <f ca="1">IFERROR(__xludf.DUMMYFUNCTION("""COMPUTED_VALUE"""),46055)</f>
        <v>46055</v>
      </c>
      <c r="M624" s="64" t="str">
        <f ca="1">IFERROR(__xludf.DUMMYFUNCTION("""COMPUTED_VALUE"""),"NO")</f>
        <v>NO</v>
      </c>
      <c r="N624" s="56">
        <f ca="1">IFERROR(__xludf.DUMMYFUNCTION("""COMPUTED_VALUE"""),2)</f>
        <v>2</v>
      </c>
      <c r="O624" s="64" t="str">
        <f ca="1">IFERROR(__xludf.DUMMYFUNCTION("""COMPUTED_VALUE"""),"ADVANCED")</f>
        <v>ADVANCED</v>
      </c>
      <c r="P624" s="62">
        <f ca="1">IFERROR(__xludf.DUMMYFUNCTION("""COMPUTED_VALUE"""),4136.36)</f>
        <v>4136.3599999999997</v>
      </c>
      <c r="Q624" s="33" t="str">
        <f ca="1">IFERROR(__xludf.DUMMYFUNCTION("""COMPUTED_VALUE"""),"Luis Alberto Rodríguez")</f>
        <v>Luis Alberto Rodríguez</v>
      </c>
      <c r="R624" s="33" t="str">
        <f ca="1">IFERROR(__xludf.DUMMYFUNCTION("""COMPUTED_VALUE"""),"Dra, Estefanía Berrocal Postigo")</f>
        <v>Dra, Estefanía Berrocal Postigo</v>
      </c>
      <c r="S624" s="61" t="str">
        <f ca="1">IFERROR(__xludf.DUMMYFUNCTION("""COMPUTED_VALUE"""),"03 ORL")</f>
        <v>03 ORL</v>
      </c>
      <c r="T624" s="33" t="str">
        <f ca="1">IFERROR(__xludf.DUMMYFUNCTION("""COMPUTED_VALUE"""),"06 ORL")</f>
        <v>06 ORL</v>
      </c>
      <c r="U624" s="62"/>
      <c r="W624" s="61"/>
      <c r="X624" s="62"/>
    </row>
    <row r="625" spans="2:24" ht="16">
      <c r="B625" s="67" t="str">
        <f t="shared" ca="1" si="3"/>
        <v>#N/</v>
      </c>
      <c r="C625" s="64" t="str">
        <f ca="1">IFERROR(__xludf.DUMMYFUNCTION("""COMPUTED_VALUE"""),"#N/A")</f>
        <v>#N/A</v>
      </c>
      <c r="D625" s="33" t="str">
        <f ca="1">IFERROR(__xludf.DUMMYFUNCTION("""COMPUTED_VALUE"""),"PROPIOS")</f>
        <v>PROPIOS</v>
      </c>
      <c r="E625" s="33">
        <f ca="1">IFERROR(__xludf.DUMMYFUNCTION("""COMPUTED_VALUE"""),2026)</f>
        <v>2026</v>
      </c>
      <c r="F625" s="56">
        <f ca="1">IFERROR(__xludf.DUMMYFUNCTION("""COMPUTED_VALUE"""),3)</f>
        <v>3</v>
      </c>
      <c r="G625" s="33" t="str">
        <f ca="1">IFERROR(__xludf.DUMMYFUNCTION("""COMPUTED_VALUE"""),"Jerez de la Frontera")</f>
        <v>Jerez de la Frontera</v>
      </c>
      <c r="H625" s="33" t="str">
        <f ca="1">IFERROR(__xludf.DUMMYFUNCTION("""COMPUTED_VALUE"""),"C202632012495323677")</f>
        <v>C202632012495323677</v>
      </c>
      <c r="I625" s="33" t="str">
        <f ca="1">IFERROR(__xludf.DUMMYFUNCTION("""COMPUTED_VALUE"""),"CARMEN FERNANDEZ ROBLEDO")</f>
        <v>CARMEN FERNANDEZ ROBLEDO</v>
      </c>
      <c r="J625" s="57">
        <f ca="1">IFERROR(__xludf.DUMMYFUNCTION("""COMPUTED_VALUE"""),46101)</f>
        <v>46101</v>
      </c>
      <c r="K625" s="33" t="str">
        <f ca="1">IFERROR(__xludf.DUMMYFUNCTION("""COMPUTED_VALUE"""),"Prueba")</f>
        <v>Prueba</v>
      </c>
      <c r="L625" s="57">
        <f ca="1">IFERROR(__xludf.DUMMYFUNCTION("""COMPUTED_VALUE"""),46108)</f>
        <v>46108</v>
      </c>
      <c r="M625" s="64" t="str">
        <f ca="1">IFERROR(__xludf.DUMMYFUNCTION("""COMPUTED_VALUE"""),"NO")</f>
        <v>NO</v>
      </c>
      <c r="N625" s="56">
        <f ca="1">IFERROR(__xludf.DUMMYFUNCTION("""COMPUTED_VALUE"""),2)</f>
        <v>2</v>
      </c>
      <c r="O625" s="64" t="str">
        <f ca="1">IFERROR(__xludf.DUMMYFUNCTION("""COMPUTED_VALUE"""),"QUIET")</f>
        <v>QUIET</v>
      </c>
      <c r="P625" s="62">
        <f ca="1">IFERROR(__xludf.DUMMYFUNCTION("""COMPUTED_VALUE"""),2918.18)</f>
        <v>2918.18</v>
      </c>
      <c r="Q625" s="33" t="str">
        <f ca="1">IFERROR(__xludf.DUMMYFUNCTION("""COMPUTED_VALUE"""),"Luis Alberto Rodríguez")</f>
        <v>Luis Alberto Rodríguez</v>
      </c>
      <c r="R625" s="33" t="str">
        <f ca="1">IFERROR(__xludf.DUMMYFUNCTION("""COMPUTED_VALUE"""),"Dr, Guillermo Sierra Galera")</f>
        <v>Dr, Guillermo Sierra Galera</v>
      </c>
      <c r="S625" s="61" t="str">
        <f ca="1">IFERROR(__xludf.DUMMYFUNCTION("""COMPUTED_VALUE"""),"03 ORL")</f>
        <v>03 ORL</v>
      </c>
      <c r="T625" s="33" t="str">
        <f ca="1">IFERROR(__xludf.DUMMYFUNCTION("""COMPUTED_VALUE"""),"06 ORL")</f>
        <v>06 ORL</v>
      </c>
      <c r="U625" s="62"/>
      <c r="W625" s="61"/>
      <c r="X625" s="62"/>
    </row>
    <row r="626" spans="2:24" ht="16">
      <c r="B626" s="67" t="str">
        <f t="shared" ca="1" si="3"/>
        <v>#N/</v>
      </c>
      <c r="C626" s="64" t="str">
        <f ca="1">IFERROR(__xludf.DUMMYFUNCTION("""COMPUTED_VALUE"""),"#N/A")</f>
        <v>#N/A</v>
      </c>
      <c r="D626" s="33" t="str">
        <f ca="1">IFERROR(__xludf.DUMMYFUNCTION("""COMPUTED_VALUE"""),"PROPIOS")</f>
        <v>PROPIOS</v>
      </c>
      <c r="E626" s="33">
        <f ca="1">IFERROR(__xludf.DUMMYFUNCTION("""COMPUTED_VALUE"""),2026)</f>
        <v>2026</v>
      </c>
      <c r="F626" s="56">
        <f ca="1">IFERROR(__xludf.DUMMYFUNCTION("""COMPUTED_VALUE"""),2)</f>
        <v>2</v>
      </c>
      <c r="G626" s="33" t="str">
        <f ca="1">IFERROR(__xludf.DUMMYFUNCTION("""COMPUTED_VALUE"""),"Jerez de la Frontera")</f>
        <v>Jerez de la Frontera</v>
      </c>
      <c r="H626" s="33" t="str">
        <f ca="1">IFERROR(__xludf.DUMMYFUNCTION("""COMPUTED_VALUE"""),"C202621684923617955")</f>
        <v>C202621684923617955</v>
      </c>
      <c r="I626" s="33" t="str">
        <f ca="1">IFERROR(__xludf.DUMMYFUNCTION("""COMPUTED_VALUE"""),"FELIPE CASAYA LAGOMAZZINI")</f>
        <v>FELIPE CASAYA LAGOMAZZINI</v>
      </c>
      <c r="J626" s="57">
        <f ca="1">IFERROR(__xludf.DUMMYFUNCTION("""COMPUTED_VALUE"""),46069)</f>
        <v>46069</v>
      </c>
      <c r="K626" s="33" t="str">
        <f ca="1">IFERROR(__xludf.DUMMYFUNCTION("""COMPUTED_VALUE"""),"Prueba")</f>
        <v>Prueba</v>
      </c>
      <c r="L626" s="57">
        <f ca="1">IFERROR(__xludf.DUMMYFUNCTION("""COMPUTED_VALUE"""),46073)</f>
        <v>46073</v>
      </c>
      <c r="M626" s="64" t="str">
        <f ca="1">IFERROR(__xludf.DUMMYFUNCTION("""COMPUTED_VALUE"""),"NO")</f>
        <v>NO</v>
      </c>
      <c r="N626" s="56">
        <f ca="1">IFERROR(__xludf.DUMMYFUNCTION("""COMPUTED_VALUE"""),1)</f>
        <v>1</v>
      </c>
      <c r="O626" s="64" t="str">
        <f ca="1">IFERROR(__xludf.DUMMYFUNCTION("""COMPUTED_VALUE"""),"TRIAL")</f>
        <v>TRIAL</v>
      </c>
      <c r="P626" s="62">
        <f ca="1">IFERROR(__xludf.DUMMYFUNCTION("""COMPUTED_VALUE"""),2481.82)</f>
        <v>2481.8200000000002</v>
      </c>
      <c r="Q626" s="33" t="str">
        <f ca="1">IFERROR(__xludf.DUMMYFUNCTION("""COMPUTED_VALUE"""),"Luis Alberto Rodríguez")</f>
        <v>Luis Alberto Rodríguez</v>
      </c>
      <c r="R626" s="33" t="str">
        <f ca="1">IFERROR(__xludf.DUMMYFUNCTION("""COMPUTED_VALUE"""),"Dr, Gumersindo Jesús Pérez Ortega")</f>
        <v>Dr, Gumersindo Jesús Pérez Ortega</v>
      </c>
      <c r="S626" s="61" t="str">
        <f ca="1">IFERROR(__xludf.DUMMYFUNCTION("""COMPUTED_VALUE"""),"03 ORL")</f>
        <v>03 ORL</v>
      </c>
      <c r="T626" s="33" t="str">
        <f ca="1">IFERROR(__xludf.DUMMYFUNCTION("""COMPUTED_VALUE"""),"06 ORL")</f>
        <v>06 ORL</v>
      </c>
      <c r="U626" s="62"/>
      <c r="W626" s="61"/>
      <c r="X626" s="62"/>
    </row>
    <row r="627" spans="2:24" ht="16">
      <c r="B627" s="67" t="str">
        <f t="shared" ca="1" si="3"/>
        <v>#N/</v>
      </c>
      <c r="C627" s="64" t="str">
        <f ca="1">IFERROR(__xludf.DUMMYFUNCTION("""COMPUTED_VALUE"""),"#N/A")</f>
        <v>#N/A</v>
      </c>
      <c r="D627" s="33" t="str">
        <f ca="1">IFERROR(__xludf.DUMMYFUNCTION("""COMPUTED_VALUE"""),"PROPIOS")</f>
        <v>PROPIOS</v>
      </c>
      <c r="E627" s="33">
        <f ca="1">IFERROR(__xludf.DUMMYFUNCTION("""COMPUTED_VALUE"""),2026)</f>
        <v>2026</v>
      </c>
      <c r="F627" s="56">
        <f ca="1">IFERROR(__xludf.DUMMYFUNCTION("""COMPUTED_VALUE"""),2)</f>
        <v>2</v>
      </c>
      <c r="G627" s="33" t="str">
        <f ca="1">IFERROR(__xludf.DUMMYFUNCTION("""COMPUTED_VALUE"""),"Jerez de la Frontera")</f>
        <v>Jerez de la Frontera</v>
      </c>
      <c r="H627" s="33" t="str">
        <f ca="1">IFERROR(__xludf.DUMMYFUNCTION("""COMPUTED_VALUE"""),"C202612817321524395")</f>
        <v>C202612817321524395</v>
      </c>
      <c r="I627" s="33" t="str">
        <f ca="1">IFERROR(__xludf.DUMMYFUNCTION("""COMPUTED_VALUE"""),"FERNANDO SACRISTAN PEREZ")</f>
        <v>FERNANDO SACRISTAN PEREZ</v>
      </c>
      <c r="J627" s="57">
        <f ca="1">IFERROR(__xludf.DUMMYFUNCTION("""COMPUTED_VALUE"""),46050)</f>
        <v>46050</v>
      </c>
      <c r="K627" s="33" t="str">
        <f ca="1">IFERROR(__xludf.DUMMYFUNCTION("""COMPUTED_VALUE"""),"Devuelve")</f>
        <v>Devuelve</v>
      </c>
      <c r="L627" s="57">
        <f ca="1">IFERROR(__xludf.DUMMYFUNCTION("""COMPUTED_VALUE"""),46056)</f>
        <v>46056</v>
      </c>
      <c r="M627" s="64" t="str">
        <f ca="1">IFERROR(__xludf.DUMMYFUNCTION("""COMPUTED_VALUE"""),"NO")</f>
        <v>NO</v>
      </c>
      <c r="N627" s="56">
        <f ca="1">IFERROR(__xludf.DUMMYFUNCTION("""COMPUTED_VALUE"""),2)</f>
        <v>2</v>
      </c>
      <c r="O627" s="64" t="str">
        <f ca="1">IFERROR(__xludf.DUMMYFUNCTION("""COMPUTED_VALUE"""),"ADVANCED")</f>
        <v>ADVANCED</v>
      </c>
      <c r="P627" s="62">
        <f ca="1">IFERROR(__xludf.DUMMYFUNCTION("""COMPUTED_VALUE"""),4136.36)</f>
        <v>4136.3599999999997</v>
      </c>
      <c r="Q627" s="33" t="str">
        <f ca="1">IFERROR(__xludf.DUMMYFUNCTION("""COMPUTED_VALUE"""),"Maika Blázquez")</f>
        <v>Maika Blázquez</v>
      </c>
      <c r="R627" s="33" t="str">
        <f ca="1">IFERROR(__xludf.DUMMYFUNCTION("""COMPUTED_VALUE"""),"Dr, Juan Rebollo Otal")</f>
        <v>Dr, Juan Rebollo Otal</v>
      </c>
      <c r="S627" s="61" t="str">
        <f ca="1">IFERROR(__xludf.DUMMYFUNCTION("""COMPUTED_VALUE"""),"02 MARKETING OFF LINE")</f>
        <v>02 MARKETING OFF LINE</v>
      </c>
      <c r="T627" s="33" t="str">
        <f ca="1">IFERROR(__xludf.DUMMYFUNCTION("""COMPUTED_VALUE"""),"18 ESCAPARATE")</f>
        <v>18 ESCAPARATE</v>
      </c>
      <c r="U627" s="62"/>
      <c r="W627" s="61"/>
      <c r="X627" s="62"/>
    </row>
    <row r="628" spans="2:24" ht="16">
      <c r="B628" s="67" t="str">
        <f t="shared" ca="1" si="3"/>
        <v/>
      </c>
      <c r="C628" s="64"/>
      <c r="D628" s="33" t="str">
        <f ca="1">IFERROR(__xludf.DUMMYFUNCTION("""COMPUTED_VALUE"""),"PROPIOS")</f>
        <v>PROPIOS</v>
      </c>
      <c r="E628" s="33">
        <f ca="1">IFERROR(__xludf.DUMMYFUNCTION("""COMPUTED_VALUE"""),2026)</f>
        <v>2026</v>
      </c>
      <c r="F628" s="56">
        <f ca="1">IFERROR(__xludf.DUMMYFUNCTION("""COMPUTED_VALUE"""),4)</f>
        <v>4</v>
      </c>
      <c r="G628" s="33" t="str">
        <f ca="1">IFERROR(__xludf.DUMMYFUNCTION("""COMPUTED_VALUE"""),"Jerez de la Frontera")</f>
        <v>Jerez de la Frontera</v>
      </c>
      <c r="H628" s="33" t="str">
        <f ca="1">IFERROR(__xludf.DUMMYFUNCTION("""COMPUTED_VALUE"""),"C202632610541284788")</f>
        <v>C202632610541284788</v>
      </c>
      <c r="I628" s="33" t="str">
        <f ca="1">IFERROR(__xludf.DUMMYFUNCTION("""COMPUTED_VALUE"""),"JOSEFA VARGAS MOLINA")</f>
        <v>JOSEFA VARGAS MOLINA</v>
      </c>
      <c r="J628" s="57">
        <f ca="1">IFERROR(__xludf.DUMMYFUNCTION("""COMPUTED_VALUE"""),46107)</f>
        <v>46107</v>
      </c>
      <c r="K628" s="33" t="str">
        <f ca="1">IFERROR(__xludf.DUMMYFUNCTION("""COMPUTED_VALUE"""),"Pedido")</f>
        <v>Pedido</v>
      </c>
      <c r="L628" s="57">
        <f ca="1">IFERROR(__xludf.DUMMYFUNCTION("""COMPUTED_VALUE"""),46119)</f>
        <v>46119</v>
      </c>
      <c r="M628" s="64" t="str">
        <f ca="1">IFERROR(__xludf.DUMMYFUNCTION("""COMPUTED_VALUE"""),"NO")</f>
        <v>NO</v>
      </c>
      <c r="N628" s="56">
        <f ca="1">IFERROR(__xludf.DUMMYFUNCTION("""COMPUTED_VALUE"""),1)</f>
        <v>1</v>
      </c>
      <c r="O628" s="64" t="str">
        <f ca="1">IFERROR(__xludf.DUMMYFUNCTION("""COMPUTED_VALUE"""),"QUIET")</f>
        <v>QUIET</v>
      </c>
      <c r="P628" s="62">
        <f ca="1">IFERROR(__xludf.DUMMYFUNCTION("""COMPUTED_VALUE"""),1631.82)</f>
        <v>1631.82</v>
      </c>
      <c r="Q628" s="33" t="str">
        <f ca="1">IFERROR(__xludf.DUMMYFUNCTION("""COMPUTED_VALUE"""),"Luis Alberto Rodríguez")</f>
        <v>Luis Alberto Rodríguez</v>
      </c>
      <c r="R628" s="33" t="str">
        <f ca="1">IFERROR(__xludf.DUMMYFUNCTION("""COMPUTED_VALUE"""),"No recuerda ORL")</f>
        <v>No recuerda ORL</v>
      </c>
      <c r="S628" s="61" t="str">
        <f ca="1">IFERROR(__xludf.DUMMYFUNCTION("""COMPUTED_VALUE"""),"03 ORL")</f>
        <v>03 ORL</v>
      </c>
      <c r="T628" s="33" t="str">
        <f ca="1">IFERROR(__xludf.DUMMYFUNCTION("""COMPUTED_VALUE"""),"06 ORL")</f>
        <v>06 ORL</v>
      </c>
      <c r="U628" s="62"/>
      <c r="W628" s="61"/>
      <c r="X628" s="62"/>
    </row>
    <row r="629" spans="2:24" ht="16">
      <c r="B629" s="67" t="str">
        <f t="shared" ca="1" si="3"/>
        <v>#N/</v>
      </c>
      <c r="C629" s="64" t="str">
        <f ca="1">IFERROR(__xludf.DUMMYFUNCTION("""COMPUTED_VALUE"""),"#N/A")</f>
        <v>#N/A</v>
      </c>
      <c r="D629" s="33" t="str">
        <f ca="1">IFERROR(__xludf.DUMMYFUNCTION("""COMPUTED_VALUE"""),"PROPIOS")</f>
        <v>PROPIOS</v>
      </c>
      <c r="E629" s="33">
        <f ca="1">IFERROR(__xludf.DUMMYFUNCTION("""COMPUTED_VALUE"""),2026)</f>
        <v>2026</v>
      </c>
      <c r="F629" s="56">
        <f ca="1">IFERROR(__xludf.DUMMYFUNCTION("""COMPUTED_VALUE"""),3)</f>
        <v>3</v>
      </c>
      <c r="G629" s="33" t="str">
        <f ca="1">IFERROR(__xludf.DUMMYFUNCTION("""COMPUTED_VALUE"""),"Jerez de la Frontera")</f>
        <v>Jerez de la Frontera</v>
      </c>
      <c r="H629" s="33" t="str">
        <f ca="1">IFERROR(__xludf.DUMMYFUNCTION("""COMPUTED_VALUE"""),"C202631217364656100")</f>
        <v>C202631217364656100</v>
      </c>
      <c r="I629" s="33" t="str">
        <f ca="1">IFERROR(__xludf.DUMMYFUNCTION("""COMPUTED_VALUE"""),"JOSE  GARCIA DONAIRE")</f>
        <v>JOSE  GARCIA DONAIRE</v>
      </c>
      <c r="J629" s="57">
        <f ca="1">IFERROR(__xludf.DUMMYFUNCTION("""COMPUTED_VALUE"""),46093)</f>
        <v>46093</v>
      </c>
      <c r="K629" s="33" t="str">
        <f ca="1">IFERROR(__xludf.DUMMYFUNCTION("""COMPUTED_VALUE"""),"Presupuesto")</f>
        <v>Presupuesto</v>
      </c>
      <c r="L629" s="57">
        <f ca="1">IFERROR(__xludf.DUMMYFUNCTION("""COMPUTED_VALUE"""),46099)</f>
        <v>46099</v>
      </c>
      <c r="M629" s="64" t="str">
        <f ca="1">IFERROR(__xludf.DUMMYFUNCTION("""COMPUTED_VALUE"""),"NO")</f>
        <v>NO</v>
      </c>
      <c r="N629" s="56">
        <f ca="1">IFERROR(__xludf.DUMMYFUNCTION("""COMPUTED_VALUE"""),1)</f>
        <v>1</v>
      </c>
      <c r="O629" s="64" t="str">
        <f ca="1">IFERROR(__xludf.DUMMYFUNCTION("""COMPUTED_VALUE"""),"QUIET")</f>
        <v>QUIET</v>
      </c>
      <c r="P629" s="62">
        <f ca="1">IFERROR(__xludf.DUMMYFUNCTION("""COMPUTED_VALUE"""),1631.82)</f>
        <v>1631.82</v>
      </c>
      <c r="Q629" s="33" t="str">
        <f ca="1">IFERROR(__xludf.DUMMYFUNCTION("""COMPUTED_VALUE"""),"Luis Alberto Rodríguez")</f>
        <v>Luis Alberto Rodríguez</v>
      </c>
      <c r="R629" s="33" t="str">
        <f ca="1">IFERROR(__xludf.DUMMYFUNCTION("""COMPUTED_VALUE"""),"Dra, Maria Del Carmen Salom Coveñas")</f>
        <v>Dra, Maria Del Carmen Salom Coveñas</v>
      </c>
      <c r="S629" s="61" t="str">
        <f ca="1">IFERROR(__xludf.DUMMYFUNCTION("""COMPUTED_VALUE"""),"03 ORL")</f>
        <v>03 ORL</v>
      </c>
      <c r="T629" s="33" t="str">
        <f ca="1">IFERROR(__xludf.DUMMYFUNCTION("""COMPUTED_VALUE"""),"06 ORL")</f>
        <v>06 ORL</v>
      </c>
      <c r="U629" s="62"/>
      <c r="W629" s="61"/>
      <c r="X629" s="62"/>
    </row>
    <row r="630" spans="2:24" ht="16">
      <c r="B630" s="67" t="str">
        <f t="shared" ca="1" si="3"/>
        <v>#N/</v>
      </c>
      <c r="C630" s="64" t="str">
        <f ca="1">IFERROR(__xludf.DUMMYFUNCTION("""COMPUTED_VALUE"""),"#N/A")</f>
        <v>#N/A</v>
      </c>
      <c r="D630" s="33" t="str">
        <f ca="1">IFERROR(__xludf.DUMMYFUNCTION("""COMPUTED_VALUE"""),"PROPIOS")</f>
        <v>PROPIOS</v>
      </c>
      <c r="E630" s="33">
        <f ca="1">IFERROR(__xludf.DUMMYFUNCTION("""COMPUTED_VALUE"""),2026)</f>
        <v>2026</v>
      </c>
      <c r="F630" s="56">
        <f ca="1">IFERROR(__xludf.DUMMYFUNCTION("""COMPUTED_VALUE"""),1)</f>
        <v>1</v>
      </c>
      <c r="G630" s="33" t="str">
        <f ca="1">IFERROR(__xludf.DUMMYFUNCTION("""COMPUTED_VALUE"""),"Jerez de la Frontera")</f>
        <v>Jerez de la Frontera</v>
      </c>
      <c r="H630" s="33" t="str">
        <f ca="1">IFERROR(__xludf.DUMMYFUNCTION("""COMPUTED_VALUE"""),"C202611213373311713")</f>
        <v>C202611213373311713</v>
      </c>
      <c r="I630" s="33" t="str">
        <f ca="1">IFERROR(__xludf.DUMMYFUNCTION("""COMPUTED_VALUE"""),"JUANA REINA MORALES")</f>
        <v>JUANA REINA MORALES</v>
      </c>
      <c r="J630" s="57">
        <f ca="1">IFERROR(__xludf.DUMMYFUNCTION("""COMPUTED_VALUE"""),46034)</f>
        <v>46034</v>
      </c>
      <c r="K630" s="33" t="str">
        <f ca="1">IFERROR(__xludf.DUMMYFUNCTION("""COMPUTED_VALUE"""),"Presupuesto")</f>
        <v>Presupuesto</v>
      </c>
      <c r="L630" s="57">
        <f ca="1">IFERROR(__xludf.DUMMYFUNCTION("""COMPUTED_VALUE"""),46036)</f>
        <v>46036</v>
      </c>
      <c r="M630" s="64" t="str">
        <f ca="1">IFERROR(__xludf.DUMMYFUNCTION("""COMPUTED_VALUE"""),"NO")</f>
        <v>NO</v>
      </c>
      <c r="N630" s="56">
        <f ca="1">IFERROR(__xludf.DUMMYFUNCTION("""COMPUTED_VALUE"""),2)</f>
        <v>2</v>
      </c>
      <c r="O630" s="64" t="str">
        <f ca="1">IFERROR(__xludf.DUMMYFUNCTION("""COMPUTED_VALUE"""),"QUIET")</f>
        <v>QUIET</v>
      </c>
      <c r="P630" s="62">
        <f ca="1">IFERROR(__xludf.DUMMYFUNCTION("""COMPUTED_VALUE"""),2718.18)</f>
        <v>2718.18</v>
      </c>
      <c r="Q630" s="33" t="str">
        <f ca="1">IFERROR(__xludf.DUMMYFUNCTION("""COMPUTED_VALUE"""),"Luis Alberto Rodríguez")</f>
        <v>Luis Alberto Rodríguez</v>
      </c>
      <c r="R630" s="33" t="str">
        <f ca="1">IFERROR(__xludf.DUMMYFUNCTION("""COMPUTED_VALUE"""),"Dr, Vicente Mira Escartí")</f>
        <v>Dr, Vicente Mira Escartí</v>
      </c>
      <c r="S630" s="61" t="str">
        <f ca="1">IFERROR(__xludf.DUMMYFUNCTION("""COMPUTED_VALUE"""),"03 ORL")</f>
        <v>03 ORL</v>
      </c>
      <c r="T630" s="33" t="str">
        <f ca="1">IFERROR(__xludf.DUMMYFUNCTION("""COMPUTED_VALUE"""),"06 ORL")</f>
        <v>06 ORL</v>
      </c>
      <c r="U630" s="62"/>
      <c r="W630" s="61"/>
      <c r="X630" s="62"/>
    </row>
    <row r="631" spans="2:24" ht="16">
      <c r="B631" s="67" t="str">
        <f t="shared" ca="1" si="3"/>
        <v>#N/</v>
      </c>
      <c r="C631" s="64" t="str">
        <f ca="1">IFERROR(__xludf.DUMMYFUNCTION("""COMPUTED_VALUE"""),"#N/A")</f>
        <v>#N/A</v>
      </c>
      <c r="D631" s="33" t="str">
        <f ca="1">IFERROR(__xludf.DUMMYFUNCTION("""COMPUTED_VALUE"""),"PROPIOS")</f>
        <v>PROPIOS</v>
      </c>
      <c r="E631" s="33">
        <f ca="1">IFERROR(__xludf.DUMMYFUNCTION("""COMPUTED_VALUE"""),2026)</f>
        <v>2026</v>
      </c>
      <c r="F631" s="56">
        <f ca="1">IFERROR(__xludf.DUMMYFUNCTION("""COMPUTED_VALUE"""),3)</f>
        <v>3</v>
      </c>
      <c r="G631" s="33" t="str">
        <f ca="1">IFERROR(__xludf.DUMMYFUNCTION("""COMPUTED_VALUE"""),"Jerez de la Frontera")</f>
        <v>Jerez de la Frontera</v>
      </c>
      <c r="H631" s="33" t="str">
        <f ca="1">IFERROR(__xludf.DUMMYFUNCTION("""COMPUTED_VALUE"""),"C202631693126908604")</f>
        <v>C202631693126908604</v>
      </c>
      <c r="I631" s="33" t="str">
        <f ca="1">IFERROR(__xludf.DUMMYFUNCTION("""COMPUTED_VALUE"""),"MAGDALENA MARFIL PEREZ DE LA LASTRA")</f>
        <v>MAGDALENA MARFIL PEREZ DE LA LASTRA</v>
      </c>
      <c r="J631" s="57">
        <f ca="1">IFERROR(__xludf.DUMMYFUNCTION("""COMPUTED_VALUE"""),46097)</f>
        <v>46097</v>
      </c>
      <c r="K631" s="33" t="str">
        <f ca="1">IFERROR(__xludf.DUMMYFUNCTION("""COMPUTED_VALUE"""),"Prueba")</f>
        <v>Prueba</v>
      </c>
      <c r="L631" s="57">
        <f ca="1">IFERROR(__xludf.DUMMYFUNCTION("""COMPUTED_VALUE"""),46105)</f>
        <v>46105</v>
      </c>
      <c r="M631" s="64" t="str">
        <f ca="1">IFERROR(__xludf.DUMMYFUNCTION("""COMPUTED_VALUE"""),"NO")</f>
        <v>NO</v>
      </c>
      <c r="N631" s="56">
        <f ca="1">IFERROR(__xludf.DUMMYFUNCTION("""COMPUTED_VALUE"""),2)</f>
        <v>2</v>
      </c>
      <c r="O631" s="64" t="str">
        <f ca="1">IFERROR(__xludf.DUMMYFUNCTION("""COMPUTED_VALUE"""),"PRO")</f>
        <v>PRO</v>
      </c>
      <c r="P631" s="62">
        <f ca="1">IFERROR(__xludf.DUMMYFUNCTION("""COMPUTED_VALUE"""),4736.36)</f>
        <v>4736.3599999999997</v>
      </c>
      <c r="Q631" s="33" t="str">
        <f ca="1">IFERROR(__xludf.DUMMYFUNCTION("""COMPUTED_VALUE"""),"Luis Alberto Rodríguez")</f>
        <v>Luis Alberto Rodríguez</v>
      </c>
      <c r="R631" s="33" t="str">
        <f ca="1">IFERROR(__xludf.DUMMYFUNCTION("""COMPUTED_VALUE"""),"Dr, Francisco Javier Aguilar Vera")</f>
        <v>Dr, Francisco Javier Aguilar Vera</v>
      </c>
      <c r="S631" s="61" t="str">
        <f ca="1">IFERROR(__xludf.DUMMYFUNCTION("""COMPUTED_VALUE"""),"03 ORL")</f>
        <v>03 ORL</v>
      </c>
      <c r="T631" s="33" t="str">
        <f ca="1">IFERROR(__xludf.DUMMYFUNCTION("""COMPUTED_VALUE"""),"06 ORL")</f>
        <v>06 ORL</v>
      </c>
      <c r="U631" s="62"/>
      <c r="W631" s="61"/>
      <c r="X631" s="62"/>
    </row>
    <row r="632" spans="2:24" ht="16">
      <c r="B632" s="67" t="str">
        <f t="shared" ca="1" si="3"/>
        <v>#N/</v>
      </c>
      <c r="C632" s="64" t="str">
        <f ca="1">IFERROR(__xludf.DUMMYFUNCTION("""COMPUTED_VALUE"""),"#N/A")</f>
        <v>#N/A</v>
      </c>
      <c r="D632" s="33" t="str">
        <f ca="1">IFERROR(__xludf.DUMMYFUNCTION("""COMPUTED_VALUE"""),"PROPIOS")</f>
        <v>PROPIOS</v>
      </c>
      <c r="E632" s="33">
        <f ca="1">IFERROR(__xludf.DUMMYFUNCTION("""COMPUTED_VALUE"""),2026)</f>
        <v>2026</v>
      </c>
      <c r="F632" s="56">
        <f ca="1">IFERROR(__xludf.DUMMYFUNCTION("""COMPUTED_VALUE"""),1)</f>
        <v>1</v>
      </c>
      <c r="G632" s="33" t="str">
        <f ca="1">IFERROR(__xludf.DUMMYFUNCTION("""COMPUTED_VALUE"""),"Jerez de la Frontera")</f>
        <v>Jerez de la Frontera</v>
      </c>
      <c r="H632" s="33" t="str">
        <f ca="1">IFERROR(__xludf.DUMMYFUNCTION("""COMPUTED_VALUE"""),"C202511261875668873")</f>
        <v>C202511261875668873</v>
      </c>
      <c r="I632" s="33" t="str">
        <f ca="1">IFERROR(__xludf.DUMMYFUNCTION("""COMPUTED_VALUE"""),"MARIA DEL CARMEN RUIZ GARCIA")</f>
        <v>MARIA DEL CARMEN RUIZ GARCIA</v>
      </c>
      <c r="J632" s="57">
        <f ca="1">IFERROR(__xludf.DUMMYFUNCTION("""COMPUTED_VALUE"""),45987)</f>
        <v>45987</v>
      </c>
      <c r="K632" s="33" t="str">
        <f ca="1">IFERROR(__xludf.DUMMYFUNCTION("""COMPUTED_VALUE"""),"Devuelve")</f>
        <v>Devuelve</v>
      </c>
      <c r="L632" s="57">
        <f ca="1">IFERROR(__xludf.DUMMYFUNCTION("""COMPUTED_VALUE"""),46030)</f>
        <v>46030</v>
      </c>
      <c r="M632" s="64" t="str">
        <f ca="1">IFERROR(__xludf.DUMMYFUNCTION("""COMPUTED_VALUE"""),"NO")</f>
        <v>NO</v>
      </c>
      <c r="N632" s="56">
        <f ca="1">IFERROR(__xludf.DUMMYFUNCTION("""COMPUTED_VALUE"""),1)</f>
        <v>1</v>
      </c>
      <c r="O632" s="64" t="str">
        <f ca="1">IFERROR(__xludf.DUMMYFUNCTION("""COMPUTED_VALUE"""),"ADVANCED")</f>
        <v>ADVANCED</v>
      </c>
      <c r="P632" s="62">
        <f ca="1">IFERROR(__xludf.DUMMYFUNCTION("""COMPUTED_VALUE"""),3200)</f>
        <v>3200</v>
      </c>
      <c r="Q632" s="33" t="str">
        <f ca="1">IFERROR(__xludf.DUMMYFUNCTION("""COMPUTED_VALUE"""),"Luis Alberto Rodríguez")</f>
        <v>Luis Alberto Rodríguez</v>
      </c>
      <c r="R632" s="33" t="str">
        <f ca="1">IFERROR(__xludf.DUMMYFUNCTION("""COMPUTED_VALUE"""),"Dr, Gumersindo Jesús Pérez Ortega")</f>
        <v>Dr, Gumersindo Jesús Pérez Ortega</v>
      </c>
      <c r="S632" s="61" t="str">
        <f ca="1">IFERROR(__xludf.DUMMYFUNCTION("""COMPUTED_VALUE"""),"03 ORL")</f>
        <v>03 ORL</v>
      </c>
      <c r="T632" s="33" t="str">
        <f ca="1">IFERROR(__xludf.DUMMYFUNCTION("""COMPUTED_VALUE"""),"06 ORL")</f>
        <v>06 ORL</v>
      </c>
      <c r="U632" s="62"/>
      <c r="W632" s="61"/>
      <c r="X632" s="62"/>
    </row>
    <row r="633" spans="2:24" ht="16">
      <c r="B633" s="67" t="str">
        <f t="shared" ca="1" si="3"/>
        <v>#N/</v>
      </c>
      <c r="C633" s="64" t="str">
        <f ca="1">IFERROR(__xludf.DUMMYFUNCTION("""COMPUTED_VALUE"""),"#N/A")</f>
        <v>#N/A</v>
      </c>
      <c r="D633" s="33" t="str">
        <f ca="1">IFERROR(__xludf.DUMMYFUNCTION("""COMPUTED_VALUE"""),"PROPIOS")</f>
        <v>PROPIOS</v>
      </c>
      <c r="E633" s="33">
        <f ca="1">IFERROR(__xludf.DUMMYFUNCTION("""COMPUTED_VALUE"""),2026)</f>
        <v>2026</v>
      </c>
      <c r="F633" s="56">
        <f ca="1">IFERROR(__xludf.DUMMYFUNCTION("""COMPUTED_VALUE"""),3)</f>
        <v>3</v>
      </c>
      <c r="G633" s="33" t="str">
        <f ca="1">IFERROR(__xludf.DUMMYFUNCTION("""COMPUTED_VALUE"""),"Jerez de la Frontera")</f>
        <v>Jerez de la Frontera</v>
      </c>
      <c r="H633" s="33" t="str">
        <f ca="1">IFERROR(__xludf.DUMMYFUNCTION("""COMPUTED_VALUE"""),"C202635103639826023")</f>
        <v>C202635103639826023</v>
      </c>
      <c r="I633" s="33" t="str">
        <f ca="1">IFERROR(__xludf.DUMMYFUNCTION("""COMPUTED_VALUE"""),"MONTSERRAT DOMINGUEZ VEGA")</f>
        <v>MONTSERRAT DOMINGUEZ VEGA</v>
      </c>
      <c r="J633" s="57">
        <f ca="1">IFERROR(__xludf.DUMMYFUNCTION("""COMPUTED_VALUE"""),46086)</f>
        <v>46086</v>
      </c>
      <c r="K633" s="33" t="str">
        <f ca="1">IFERROR(__xludf.DUMMYFUNCTION("""COMPUTED_VALUE"""),"Prueba")</f>
        <v>Prueba</v>
      </c>
      <c r="L633" s="57">
        <f ca="1">IFERROR(__xludf.DUMMYFUNCTION("""COMPUTED_VALUE"""),46105)</f>
        <v>46105</v>
      </c>
      <c r="M633" s="64" t="str">
        <f ca="1">IFERROR(__xludf.DUMMYFUNCTION("""COMPUTED_VALUE"""),"NO")</f>
        <v>NO</v>
      </c>
      <c r="N633" s="56">
        <f ca="1">IFERROR(__xludf.DUMMYFUNCTION("""COMPUTED_VALUE"""),2)</f>
        <v>2</v>
      </c>
      <c r="O633" s="64" t="str">
        <f ca="1">IFERROR(__xludf.DUMMYFUNCTION("""COMPUTED_VALUE"""),"ADVANCED")</f>
        <v>ADVANCED</v>
      </c>
      <c r="P633" s="62">
        <f ca="1">IFERROR(__xludf.DUMMYFUNCTION("""COMPUTED_VALUE"""),4136.36)</f>
        <v>4136.3599999999997</v>
      </c>
      <c r="Q633" s="33" t="str">
        <f ca="1">IFERROR(__xludf.DUMMYFUNCTION("""COMPUTED_VALUE"""),"Luis Alberto Rodríguez")</f>
        <v>Luis Alberto Rodríguez</v>
      </c>
      <c r="R633" s="33" t="str">
        <f ca="1">IFERROR(__xludf.DUMMYFUNCTION("""COMPUTED_VALUE"""),"Dra, Maria Del Carmen Salom Coveñas")</f>
        <v>Dra, Maria Del Carmen Salom Coveñas</v>
      </c>
      <c r="S633" s="61" t="str">
        <f ca="1">IFERROR(__xludf.DUMMYFUNCTION("""COMPUTED_VALUE"""),"03 ORL")</f>
        <v>03 ORL</v>
      </c>
      <c r="T633" s="33" t="str">
        <f ca="1">IFERROR(__xludf.DUMMYFUNCTION("""COMPUTED_VALUE"""),"06 ORL")</f>
        <v>06 ORL</v>
      </c>
      <c r="U633" s="62"/>
      <c r="W633" s="61"/>
      <c r="X633" s="62"/>
    </row>
    <row r="634" spans="2:24" ht="16">
      <c r="B634" s="67" t="str">
        <f t="shared" ca="1" si="3"/>
        <v>#N/</v>
      </c>
      <c r="C634" s="64" t="str">
        <f ca="1">IFERROR(__xludf.DUMMYFUNCTION("""COMPUTED_VALUE"""),"#N/A")</f>
        <v>#N/A</v>
      </c>
      <c r="D634" s="33" t="str">
        <f ca="1">IFERROR(__xludf.DUMMYFUNCTION("""COMPUTED_VALUE"""),"PROPIOS")</f>
        <v>PROPIOS</v>
      </c>
      <c r="E634" s="33">
        <f ca="1">IFERROR(__xludf.DUMMYFUNCTION("""COMPUTED_VALUE"""),2026)</f>
        <v>2026</v>
      </c>
      <c r="F634" s="56">
        <f ca="1">IFERROR(__xludf.DUMMYFUNCTION("""COMPUTED_VALUE"""),3)</f>
        <v>3</v>
      </c>
      <c r="G634" s="33" t="str">
        <f ca="1">IFERROR(__xludf.DUMMYFUNCTION("""COMPUTED_VALUE"""),"Leganés")</f>
        <v>Leganés</v>
      </c>
      <c r="H634" s="33" t="str">
        <f ca="1">IFERROR(__xludf.DUMMYFUNCTION("""COMPUTED_VALUE"""),"C202631918223956423")</f>
        <v>C202631918223956423</v>
      </c>
      <c r="I634" s="33" t="str">
        <f ca="1">IFERROR(__xludf.DUMMYFUNCTION("""COMPUTED_VALUE"""),"ANA MARIA GUZMAN JIMENEZ")</f>
        <v>ANA MARIA GUZMAN JIMENEZ</v>
      </c>
      <c r="J634" s="57">
        <f ca="1">IFERROR(__xludf.DUMMYFUNCTION("""COMPUTED_VALUE"""),46100)</f>
        <v>46100</v>
      </c>
      <c r="K634" s="33" t="str">
        <f ca="1">IFERROR(__xludf.DUMMYFUNCTION("""COMPUTED_VALUE"""),"Devuelve")</f>
        <v>Devuelve</v>
      </c>
      <c r="L634" s="57">
        <f ca="1">IFERROR(__xludf.DUMMYFUNCTION("""COMPUTED_VALUE"""),46111)</f>
        <v>46111</v>
      </c>
      <c r="M634" s="64" t="str">
        <f ca="1">IFERROR(__xludf.DUMMYFUNCTION("""COMPUTED_VALUE"""),"NO")</f>
        <v>NO</v>
      </c>
      <c r="N634" s="56">
        <f ca="1">IFERROR(__xludf.DUMMYFUNCTION("""COMPUTED_VALUE"""),2)</f>
        <v>2</v>
      </c>
      <c r="O634" s="64" t="str">
        <f ca="1">IFERROR(__xludf.DUMMYFUNCTION("""COMPUTED_VALUE"""),"QUIET")</f>
        <v>QUIET</v>
      </c>
      <c r="P634" s="62">
        <f ca="1">IFERROR(__xludf.DUMMYFUNCTION("""COMPUTED_VALUE"""),2717.31)</f>
        <v>2717.31</v>
      </c>
      <c r="Q634" s="33" t="str">
        <f ca="1">IFERROR(__xludf.DUMMYFUNCTION("""COMPUTED_VALUE"""),"Maika Blázquez")</f>
        <v>Maika Blázquez</v>
      </c>
      <c r="R634" s="33" t="str">
        <f ca="1">IFERROR(__xludf.DUMMYFUNCTION("""COMPUTED_VALUE"""),"Dra, Cristina Vaduva")</f>
        <v>Dra, Cristina Vaduva</v>
      </c>
      <c r="S634" s="61" t="str">
        <f ca="1">IFERROR(__xludf.DUMMYFUNCTION("""COMPUTED_VALUE"""),"03 ORL")</f>
        <v>03 ORL</v>
      </c>
      <c r="T634" s="33" t="str">
        <f ca="1">IFERROR(__xludf.DUMMYFUNCTION("""COMPUTED_VALUE"""),"06 ORL")</f>
        <v>06 ORL</v>
      </c>
      <c r="U634" s="62"/>
      <c r="W634" s="61"/>
      <c r="X634" s="62"/>
    </row>
    <row r="635" spans="2:24" ht="16">
      <c r="B635" s="67" t="str">
        <f t="shared" ca="1" si="3"/>
        <v/>
      </c>
      <c r="C635" s="64"/>
      <c r="D635" s="33" t="str">
        <f ca="1">IFERROR(__xludf.DUMMYFUNCTION("""COMPUTED_VALUE"""),"PROPIOS")</f>
        <v>PROPIOS</v>
      </c>
      <c r="E635" s="33">
        <f ca="1">IFERROR(__xludf.DUMMYFUNCTION("""COMPUTED_VALUE"""),2026)</f>
        <v>2026</v>
      </c>
      <c r="F635" s="56">
        <f ca="1">IFERROR(__xludf.DUMMYFUNCTION("""COMPUTED_VALUE"""),4)</f>
        <v>4</v>
      </c>
      <c r="G635" s="33" t="str">
        <f ca="1">IFERROR(__xludf.DUMMYFUNCTION("""COMPUTED_VALUE"""),"Leganés")</f>
        <v>Leganés</v>
      </c>
      <c r="H635" s="33" t="str">
        <f ca="1">IFERROR(__xludf.DUMMYFUNCTION("""COMPUTED_VALUE"""),"C202633011125760997")</f>
        <v>C202633011125760997</v>
      </c>
      <c r="I635" s="33" t="str">
        <f ca="1">IFERROR(__xludf.DUMMYFUNCTION("""COMPUTED_VALUE"""),"ANTONIA ROMERO ROMERO")</f>
        <v>ANTONIA ROMERO ROMERO</v>
      </c>
      <c r="J635" s="57">
        <f ca="1">IFERROR(__xludf.DUMMYFUNCTION("""COMPUTED_VALUE"""),46111)</f>
        <v>46111</v>
      </c>
      <c r="K635" s="33" t="str">
        <f ca="1">IFERROR(__xludf.DUMMYFUNCTION("""COMPUTED_VALUE"""),"Pedido")</f>
        <v>Pedido</v>
      </c>
      <c r="L635" s="57">
        <f ca="1">IFERROR(__xludf.DUMMYFUNCTION("""COMPUTED_VALUE"""),46119)</f>
        <v>46119</v>
      </c>
      <c r="M635" s="64" t="str">
        <f ca="1">IFERROR(__xludf.DUMMYFUNCTION("""COMPUTED_VALUE"""),"NO")</f>
        <v>NO</v>
      </c>
      <c r="N635" s="56">
        <f ca="1">IFERROR(__xludf.DUMMYFUNCTION("""COMPUTED_VALUE"""),1)</f>
        <v>1</v>
      </c>
      <c r="O635" s="64" t="str">
        <f ca="1">IFERROR(__xludf.DUMMYFUNCTION("""COMPUTED_VALUE"""),"CONFORT")</f>
        <v>CONFORT</v>
      </c>
      <c r="P635" s="62">
        <f ca="1">IFERROR(__xludf.DUMMYFUNCTION("""COMPUTED_VALUE"""),2180.91)</f>
        <v>2180.91</v>
      </c>
      <c r="Q635" s="33" t="str">
        <f ca="1">IFERROR(__xludf.DUMMYFUNCTION("""COMPUTED_VALUE"""),"Maika Blázquez")</f>
        <v>Maika Blázquez</v>
      </c>
      <c r="R635" s="33" t="str">
        <f ca="1">IFERROR(__xludf.DUMMYFUNCTION("""COMPUTED_VALUE"""),"No recuerda ORL")</f>
        <v>No recuerda ORL</v>
      </c>
      <c r="S635" s="61" t="str">
        <f ca="1">IFERROR(__xludf.DUMMYFUNCTION("""COMPUTED_VALUE"""),"03 ORL")</f>
        <v>03 ORL</v>
      </c>
      <c r="T635" s="33" t="str">
        <f ca="1">IFERROR(__xludf.DUMMYFUNCTION("""COMPUTED_VALUE"""),"06 ORL")</f>
        <v>06 ORL</v>
      </c>
      <c r="U635" s="62"/>
      <c r="W635" s="61"/>
      <c r="X635" s="62"/>
    </row>
    <row r="636" spans="2:24" ht="16">
      <c r="B636" s="67" t="str">
        <f t="shared" ca="1" si="3"/>
        <v>#N/</v>
      </c>
      <c r="C636" s="64" t="str">
        <f ca="1">IFERROR(__xludf.DUMMYFUNCTION("""COMPUTED_VALUE"""),"#N/A")</f>
        <v>#N/A</v>
      </c>
      <c r="D636" s="33" t="str">
        <f ca="1">IFERROR(__xludf.DUMMYFUNCTION("""COMPUTED_VALUE"""),"PROPIOS")</f>
        <v>PROPIOS</v>
      </c>
      <c r="E636" s="33">
        <f ca="1">IFERROR(__xludf.DUMMYFUNCTION("""COMPUTED_VALUE"""),2026)</f>
        <v>2026</v>
      </c>
      <c r="F636" s="56">
        <f ca="1">IFERROR(__xludf.DUMMYFUNCTION("""COMPUTED_VALUE"""),2)</f>
        <v>2</v>
      </c>
      <c r="G636" s="33" t="str">
        <f ca="1">IFERROR(__xludf.DUMMYFUNCTION("""COMPUTED_VALUE"""),"Leganés")</f>
        <v>Leganés</v>
      </c>
      <c r="H636" s="33" t="str">
        <f ca="1">IFERROR(__xludf.DUMMYFUNCTION("""COMPUTED_VALUE"""),"C202612114124384390")</f>
        <v>C202612114124384390</v>
      </c>
      <c r="I636" s="33" t="str">
        <f ca="1">IFERROR(__xludf.DUMMYFUNCTION("""COMPUTED_VALUE"""),"CAMILA GALLEGOS TELLO")</f>
        <v>CAMILA GALLEGOS TELLO</v>
      </c>
      <c r="J636" s="57">
        <f ca="1">IFERROR(__xludf.DUMMYFUNCTION("""COMPUTED_VALUE"""),46043)</f>
        <v>46043</v>
      </c>
      <c r="K636" s="33" t="str">
        <f ca="1">IFERROR(__xludf.DUMMYFUNCTION("""COMPUTED_VALUE"""),"Prueba")</f>
        <v>Prueba</v>
      </c>
      <c r="L636" s="57">
        <f ca="1">IFERROR(__xludf.DUMMYFUNCTION("""COMPUTED_VALUE"""),46077)</f>
        <v>46077</v>
      </c>
      <c r="M636" s="64" t="str">
        <f ca="1">IFERROR(__xludf.DUMMYFUNCTION("""COMPUTED_VALUE"""),"NO")</f>
        <v>NO</v>
      </c>
      <c r="N636" s="56">
        <f ca="1">IFERROR(__xludf.DUMMYFUNCTION("""COMPUTED_VALUE"""),1)</f>
        <v>1</v>
      </c>
      <c r="O636" s="64" t="str">
        <f ca="1">IFERROR(__xludf.DUMMYFUNCTION("""COMPUTED_VALUE"""),"CONFORT")</f>
        <v>CONFORT</v>
      </c>
      <c r="P636" s="62">
        <f ca="1">IFERROR(__xludf.DUMMYFUNCTION("""COMPUTED_VALUE"""),2899.09)</f>
        <v>2899.09</v>
      </c>
      <c r="Q636" s="33" t="str">
        <f ca="1">IFERROR(__xludf.DUMMYFUNCTION("""COMPUTED_VALUE"""),"Maika Blázquez")</f>
        <v>Maika Blázquez</v>
      </c>
      <c r="R636" s="33" t="str">
        <f ca="1">IFERROR(__xludf.DUMMYFUNCTION("""COMPUTED_VALUE"""),"Dr, Carles Heredia Llinás")</f>
        <v>Dr, Carles Heredia Llinás</v>
      </c>
      <c r="S636" s="61" t="str">
        <f ca="1">IFERROR(__xludf.DUMMYFUNCTION("""COMPUTED_VALUE"""),"03 ORL")</f>
        <v>03 ORL</v>
      </c>
      <c r="T636" s="33" t="str">
        <f ca="1">IFERROR(__xludf.DUMMYFUNCTION("""COMPUTED_VALUE"""),"06 ORL")</f>
        <v>06 ORL</v>
      </c>
      <c r="U636" s="62"/>
      <c r="W636" s="61"/>
      <c r="X636" s="62"/>
    </row>
    <row r="637" spans="2:24" ht="16">
      <c r="B637" s="67" t="str">
        <f t="shared" ca="1" si="3"/>
        <v>#N/</v>
      </c>
      <c r="C637" s="64" t="str">
        <f ca="1">IFERROR(__xludf.DUMMYFUNCTION("""COMPUTED_VALUE"""),"#N/A")</f>
        <v>#N/A</v>
      </c>
      <c r="D637" s="33" t="str">
        <f ca="1">IFERROR(__xludf.DUMMYFUNCTION("""COMPUTED_VALUE"""),"PROPIOS")</f>
        <v>PROPIOS</v>
      </c>
      <c r="E637" s="33">
        <f ca="1">IFERROR(__xludf.DUMMYFUNCTION("""COMPUTED_VALUE"""),2026)</f>
        <v>2026</v>
      </c>
      <c r="F637" s="56">
        <f ca="1">IFERROR(__xludf.DUMMYFUNCTION("""COMPUTED_VALUE"""),1)</f>
        <v>1</v>
      </c>
      <c r="G637" s="33" t="str">
        <f ca="1">IFERROR(__xludf.DUMMYFUNCTION("""COMPUTED_VALUE"""),"Leganés")</f>
        <v>Leganés</v>
      </c>
      <c r="H637" s="33" t="str">
        <f ca="1">IFERROR(__xludf.DUMMYFUNCTION("""COMPUTED_VALUE"""),"C202512169582790095")</f>
        <v>C202512169582790095</v>
      </c>
      <c r="I637" s="33" t="str">
        <f ca="1">IFERROR(__xludf.DUMMYFUNCTION("""COMPUTED_VALUE"""),"CARMEN GARCIA FUENTELSAS")</f>
        <v>CARMEN GARCIA FUENTELSAS</v>
      </c>
      <c r="J637" s="57">
        <f ca="1">IFERROR(__xludf.DUMMYFUNCTION("""COMPUTED_VALUE"""),46007)</f>
        <v>46007</v>
      </c>
      <c r="K637" s="33" t="str">
        <f ca="1">IFERROR(__xludf.DUMMYFUNCTION("""COMPUTED_VALUE"""),"Devuelve")</f>
        <v>Devuelve</v>
      </c>
      <c r="L637" s="57">
        <f ca="1">IFERROR(__xludf.DUMMYFUNCTION("""COMPUTED_VALUE"""),46034)</f>
        <v>46034</v>
      </c>
      <c r="M637" s="64" t="str">
        <f ca="1">IFERROR(__xludf.DUMMYFUNCTION("""COMPUTED_VALUE"""),"NO")</f>
        <v>NO</v>
      </c>
      <c r="N637" s="56">
        <f ca="1">IFERROR(__xludf.DUMMYFUNCTION("""COMPUTED_VALUE"""),1)</f>
        <v>1</v>
      </c>
      <c r="O637" s="64" t="str">
        <f ca="1">IFERROR(__xludf.DUMMYFUNCTION("""COMPUTED_VALUE"""),"QUIET")</f>
        <v>QUIET</v>
      </c>
      <c r="P637" s="62">
        <f ca="1">IFERROR(__xludf.DUMMYFUNCTION("""COMPUTED_VALUE"""),1631.82)</f>
        <v>1631.82</v>
      </c>
      <c r="Q637" s="33" t="str">
        <f ca="1">IFERROR(__xludf.DUMMYFUNCTION("""COMPUTED_VALUE"""),"Maika Blázquez")</f>
        <v>Maika Blázquez</v>
      </c>
      <c r="R637" s="33" t="str">
        <f ca="1">IFERROR(__xludf.DUMMYFUNCTION("""COMPUTED_VALUE"""),"Dra, Desirée Méndez Brenderbache")</f>
        <v>Dra, Desirée Méndez Brenderbache</v>
      </c>
      <c r="S637" s="61" t="str">
        <f ca="1">IFERROR(__xludf.DUMMYFUNCTION("""COMPUTED_VALUE"""),"03 ORL")</f>
        <v>03 ORL</v>
      </c>
      <c r="T637" s="33" t="str">
        <f ca="1">IFERROR(__xludf.DUMMYFUNCTION("""COMPUTED_VALUE"""),"06 ORL")</f>
        <v>06 ORL</v>
      </c>
      <c r="U637" s="62"/>
      <c r="W637" s="61"/>
      <c r="X637" s="62"/>
    </row>
    <row r="638" spans="2:24" ht="16">
      <c r="B638" s="67" t="str">
        <f t="shared" ca="1" si="3"/>
        <v/>
      </c>
      <c r="C638" s="64"/>
      <c r="D638" s="33" t="str">
        <f ca="1">IFERROR(__xludf.DUMMYFUNCTION("""COMPUTED_VALUE"""),"PROPIOS")</f>
        <v>PROPIOS</v>
      </c>
      <c r="E638" s="33">
        <f ca="1">IFERROR(__xludf.DUMMYFUNCTION("""COMPUTED_VALUE"""),2026)</f>
        <v>2026</v>
      </c>
      <c r="F638" s="56">
        <f ca="1">IFERROR(__xludf.DUMMYFUNCTION("""COMPUTED_VALUE"""),1)</f>
        <v>1</v>
      </c>
      <c r="G638" s="33" t="str">
        <f ca="1">IFERROR(__xludf.DUMMYFUNCTION("""COMPUTED_VALUE"""),"Leganés")</f>
        <v>Leganés</v>
      </c>
      <c r="H638" s="33" t="str">
        <f ca="1">IFERROR(__xludf.DUMMYFUNCTION("""COMPUTED_VALUE"""),"C202611610222827064")</f>
        <v>C202611610222827064</v>
      </c>
      <c r="I638" s="33" t="str">
        <f ca="1">IFERROR(__xludf.DUMMYFUNCTION("""COMPUTED_VALUE"""),"CARMEN MUÑOZ PULIDO")</f>
        <v>CARMEN MUÑOZ PULIDO</v>
      </c>
      <c r="J638" s="57">
        <f ca="1">IFERROR(__xludf.DUMMYFUNCTION("""COMPUTED_VALUE"""),46038)</f>
        <v>46038</v>
      </c>
      <c r="K638" s="33" t="str">
        <f ca="1">IFERROR(__xludf.DUMMYFUNCTION("""COMPUTED_VALUE"""),"Presupuesto")</f>
        <v>Presupuesto</v>
      </c>
      <c r="L638" s="57">
        <f ca="1">IFERROR(__xludf.DUMMYFUNCTION("""COMPUTED_VALUE"""),46045)</f>
        <v>46045</v>
      </c>
      <c r="M638" s="64" t="str">
        <f ca="1">IFERROR(__xludf.DUMMYFUNCTION("""COMPUTED_VALUE"""),"NO")</f>
        <v>NO</v>
      </c>
      <c r="N638" s="56">
        <f ca="1">IFERROR(__xludf.DUMMYFUNCTION("""COMPUTED_VALUE"""),2)</f>
        <v>2</v>
      </c>
      <c r="O638" s="64" t="str">
        <f ca="1">IFERROR(__xludf.DUMMYFUNCTION("""COMPUTED_VALUE"""),"QUIET")</f>
        <v>QUIET</v>
      </c>
      <c r="P638" s="62">
        <f ca="1">IFERROR(__xludf.DUMMYFUNCTION("""COMPUTED_VALUE"""),2718.18)</f>
        <v>2718.18</v>
      </c>
      <c r="Q638" s="33" t="str">
        <f ca="1">IFERROR(__xludf.DUMMYFUNCTION("""COMPUTED_VALUE"""),"Maika Blázquez")</f>
        <v>Maika Blázquez</v>
      </c>
      <c r="R638" s="33" t="str">
        <f ca="1">IFERROR(__xludf.DUMMYFUNCTION("""COMPUTED_VALUE"""),"No recuerda ORL")</f>
        <v>No recuerda ORL</v>
      </c>
      <c r="S638" s="61" t="str">
        <f ca="1">IFERROR(__xludf.DUMMYFUNCTION("""COMPUTED_VALUE"""),"03 ORL")</f>
        <v>03 ORL</v>
      </c>
      <c r="T638" s="33" t="str">
        <f ca="1">IFERROR(__xludf.DUMMYFUNCTION("""COMPUTED_VALUE"""),"06 ORL")</f>
        <v>06 ORL</v>
      </c>
      <c r="U638" s="62"/>
      <c r="W638" s="61"/>
      <c r="X638" s="62"/>
    </row>
    <row r="639" spans="2:24" ht="16">
      <c r="B639" s="67" t="str">
        <f t="shared" ca="1" si="3"/>
        <v>#N/</v>
      </c>
      <c r="C639" s="64" t="str">
        <f ca="1">IFERROR(__xludf.DUMMYFUNCTION("""COMPUTED_VALUE"""),"#N/A")</f>
        <v>#N/A</v>
      </c>
      <c r="D639" s="33" t="str">
        <f ca="1">IFERROR(__xludf.DUMMYFUNCTION("""COMPUTED_VALUE"""),"PROPIOS")</f>
        <v>PROPIOS</v>
      </c>
      <c r="E639" s="33">
        <f ca="1">IFERROR(__xludf.DUMMYFUNCTION("""COMPUTED_VALUE"""),2026)</f>
        <v>2026</v>
      </c>
      <c r="F639" s="56">
        <f ca="1">IFERROR(__xludf.DUMMYFUNCTION("""COMPUTED_VALUE"""),3)</f>
        <v>3</v>
      </c>
      <c r="G639" s="33" t="str">
        <f ca="1">IFERROR(__xludf.DUMMYFUNCTION("""COMPUTED_VALUE"""),"Leganés")</f>
        <v>Leganés</v>
      </c>
      <c r="H639" s="33" t="str">
        <f ca="1">IFERROR(__xludf.DUMMYFUNCTION("""COMPUTED_VALUE"""),"C202639104738401698")</f>
        <v>C202639104738401698</v>
      </c>
      <c r="I639" s="33" t="str">
        <f ca="1">IFERROR(__xludf.DUMMYFUNCTION("""COMPUTED_VALUE"""),"CONCEPCION APARICIO SERRANO")</f>
        <v>CONCEPCION APARICIO SERRANO</v>
      </c>
      <c r="J639" s="57">
        <f ca="1">IFERROR(__xludf.DUMMYFUNCTION("""COMPUTED_VALUE"""),46090)</f>
        <v>46090</v>
      </c>
      <c r="K639" s="33" t="str">
        <f ca="1">IFERROR(__xludf.DUMMYFUNCTION("""COMPUTED_VALUE"""),"Pedido")</f>
        <v>Pedido</v>
      </c>
      <c r="L639" s="57">
        <f ca="1">IFERROR(__xludf.DUMMYFUNCTION("""COMPUTED_VALUE"""),46107)</f>
        <v>46107</v>
      </c>
      <c r="M639" s="64" t="str">
        <f ca="1">IFERROR(__xludf.DUMMYFUNCTION("""COMPUTED_VALUE"""),"NO")</f>
        <v>NO</v>
      </c>
      <c r="N639" s="56">
        <f ca="1">IFERROR(__xludf.DUMMYFUNCTION("""COMPUTED_VALUE"""),1)</f>
        <v>1</v>
      </c>
      <c r="O639" s="64" t="str">
        <f ca="1">IFERROR(__xludf.DUMMYFUNCTION("""COMPUTED_VALUE"""),"QUIET")</f>
        <v>QUIET</v>
      </c>
      <c r="P639" s="62">
        <f ca="1">IFERROR(__xludf.DUMMYFUNCTION("""COMPUTED_VALUE"""),1631.82)</f>
        <v>1631.82</v>
      </c>
      <c r="Q639" s="33" t="str">
        <f ca="1">IFERROR(__xludf.DUMMYFUNCTION("""COMPUTED_VALUE"""),"Maika Blázquez")</f>
        <v>Maika Blázquez</v>
      </c>
      <c r="R639" s="33" t="str">
        <f ca="1">IFERROR(__xludf.DUMMYFUNCTION("""COMPUTED_VALUE"""),"Dra, Mar Lasso de la Vega Zamora")</f>
        <v>Dra, Mar Lasso de la Vega Zamora</v>
      </c>
      <c r="S639" s="61" t="str">
        <f ca="1">IFERROR(__xludf.DUMMYFUNCTION("""COMPUTED_VALUE"""),"03 ORL")</f>
        <v>03 ORL</v>
      </c>
      <c r="T639" s="33" t="str">
        <f ca="1">IFERROR(__xludf.DUMMYFUNCTION("""COMPUTED_VALUE"""),"06 ORL")</f>
        <v>06 ORL</v>
      </c>
      <c r="U639" s="62"/>
      <c r="W639" s="61"/>
      <c r="X639" s="62"/>
    </row>
    <row r="640" spans="2:24" ht="16">
      <c r="B640" s="67" t="str">
        <f t="shared" ca="1" si="3"/>
        <v>#N/</v>
      </c>
      <c r="C640" s="64" t="str">
        <f ca="1">IFERROR(__xludf.DUMMYFUNCTION("""COMPUTED_VALUE"""),"#N/A")</f>
        <v>#N/A</v>
      </c>
      <c r="D640" s="33" t="str">
        <f ca="1">IFERROR(__xludf.DUMMYFUNCTION("""COMPUTED_VALUE"""),"PROPIOS")</f>
        <v>PROPIOS</v>
      </c>
      <c r="E640" s="33">
        <f ca="1">IFERROR(__xludf.DUMMYFUNCTION("""COMPUTED_VALUE"""),2026)</f>
        <v>2026</v>
      </c>
      <c r="F640" s="56">
        <f ca="1">IFERROR(__xludf.DUMMYFUNCTION("""COMPUTED_VALUE"""),3)</f>
        <v>3</v>
      </c>
      <c r="G640" s="33" t="str">
        <f ca="1">IFERROR(__xludf.DUMMYFUNCTION("""COMPUTED_VALUE"""),"Leganés")</f>
        <v>Leganés</v>
      </c>
      <c r="H640" s="33" t="str">
        <f ca="1">IFERROR(__xludf.DUMMYFUNCTION("""COMPUTED_VALUE"""),"C202621816929154163")</f>
        <v>C202621816929154163</v>
      </c>
      <c r="I640" s="33" t="str">
        <f ca="1">IFERROR(__xludf.DUMMYFUNCTION("""COMPUTED_VALUE"""),"EUGENIA ABANADES SOTOCA")</f>
        <v>EUGENIA ABANADES SOTOCA</v>
      </c>
      <c r="J640" s="57">
        <f ca="1">IFERROR(__xludf.DUMMYFUNCTION("""COMPUTED_VALUE"""),46071)</f>
        <v>46071</v>
      </c>
      <c r="K640" s="33" t="str">
        <f ca="1">IFERROR(__xludf.DUMMYFUNCTION("""COMPUTED_VALUE"""),"Prueba")</f>
        <v>Prueba</v>
      </c>
      <c r="L640" s="57">
        <f ca="1">IFERROR(__xludf.DUMMYFUNCTION("""COMPUTED_VALUE"""),46085)</f>
        <v>46085</v>
      </c>
      <c r="M640" s="64" t="str">
        <f ca="1">IFERROR(__xludf.DUMMYFUNCTION("""COMPUTED_VALUE"""),"NO")</f>
        <v>NO</v>
      </c>
      <c r="N640" s="56">
        <f ca="1">IFERROR(__xludf.DUMMYFUNCTION("""COMPUTED_VALUE"""),2)</f>
        <v>2</v>
      </c>
      <c r="O640" s="64" t="str">
        <f ca="1">IFERROR(__xludf.DUMMYFUNCTION("""COMPUTED_VALUE"""),"TRIAL")</f>
        <v>TRIAL</v>
      </c>
      <c r="P640" s="62">
        <f ca="1">IFERROR(__xludf.DUMMYFUNCTION("""COMPUTED_VALUE"""),3631.82)</f>
        <v>3631.82</v>
      </c>
      <c r="Q640" s="33" t="str">
        <f ca="1">IFERROR(__xludf.DUMMYFUNCTION("""COMPUTED_VALUE"""),"Maika Blázquez")</f>
        <v>Maika Blázquez</v>
      </c>
      <c r="R640" s="33" t="str">
        <f ca="1">IFERROR(__xludf.DUMMYFUNCTION("""COMPUTED_VALUE"""),"Dr, Jesús Ramos Fernández")</f>
        <v>Dr, Jesús Ramos Fernández</v>
      </c>
      <c r="S640" s="61" t="str">
        <f ca="1">IFERROR(__xludf.DUMMYFUNCTION("""COMPUTED_VALUE"""),"03 ORL")</f>
        <v>03 ORL</v>
      </c>
      <c r="T640" s="33" t="str">
        <f ca="1">IFERROR(__xludf.DUMMYFUNCTION("""COMPUTED_VALUE"""),"06 ORL")</f>
        <v>06 ORL</v>
      </c>
      <c r="U640" s="62"/>
      <c r="W640" s="61"/>
      <c r="X640" s="62"/>
    </row>
    <row r="641" spans="2:24" ht="16">
      <c r="B641" s="67" t="str">
        <f t="shared" ca="1" si="3"/>
        <v>#N/</v>
      </c>
      <c r="C641" s="64" t="str">
        <f ca="1">IFERROR(__xludf.DUMMYFUNCTION("""COMPUTED_VALUE"""),"#N/A")</f>
        <v>#N/A</v>
      </c>
      <c r="D641" s="33" t="str">
        <f ca="1">IFERROR(__xludf.DUMMYFUNCTION("""COMPUTED_VALUE"""),"PROPIOS")</f>
        <v>PROPIOS</v>
      </c>
      <c r="E641" s="33">
        <f ca="1">IFERROR(__xludf.DUMMYFUNCTION("""COMPUTED_VALUE"""),2026)</f>
        <v>2026</v>
      </c>
      <c r="F641" s="56">
        <f ca="1">IFERROR(__xludf.DUMMYFUNCTION("""COMPUTED_VALUE"""),3)</f>
        <v>3</v>
      </c>
      <c r="G641" s="33" t="str">
        <f ca="1">IFERROR(__xludf.DUMMYFUNCTION("""COMPUTED_VALUE"""),"Leganés")</f>
        <v>Leganés</v>
      </c>
      <c r="H641" s="33" t="str">
        <f ca="1">IFERROR(__xludf.DUMMYFUNCTION("""COMPUTED_VALUE"""),"C202632085657326631")</f>
        <v>C202632085657326631</v>
      </c>
      <c r="I641" s="33" t="str">
        <f ca="1">IFERROR(__xludf.DUMMYFUNCTION("""COMPUTED_VALUE"""),"FELIPE CARRETERO HERAS")</f>
        <v>FELIPE CARRETERO HERAS</v>
      </c>
      <c r="J641" s="57">
        <f ca="1">IFERROR(__xludf.DUMMYFUNCTION("""COMPUTED_VALUE"""),46101)</f>
        <v>46101</v>
      </c>
      <c r="K641" s="33" t="str">
        <f ca="1">IFERROR(__xludf.DUMMYFUNCTION("""COMPUTED_VALUE"""),"Prueba")</f>
        <v>Prueba</v>
      </c>
      <c r="L641" s="57">
        <f ca="1">IFERROR(__xludf.DUMMYFUNCTION("""COMPUTED_VALUE"""),46111)</f>
        <v>46111</v>
      </c>
      <c r="M641" s="64" t="str">
        <f ca="1">IFERROR(__xludf.DUMMYFUNCTION("""COMPUTED_VALUE"""),"NO")</f>
        <v>NO</v>
      </c>
      <c r="N641" s="56">
        <f ca="1">IFERROR(__xludf.DUMMYFUNCTION("""COMPUTED_VALUE"""),2)</f>
        <v>2</v>
      </c>
      <c r="O641" s="64" t="str">
        <f ca="1">IFERROR(__xludf.DUMMYFUNCTION("""COMPUTED_VALUE"""),"QUIET")</f>
        <v>QUIET</v>
      </c>
      <c r="P641" s="62">
        <f ca="1">IFERROR(__xludf.DUMMYFUNCTION("""COMPUTED_VALUE"""),2717.31)</f>
        <v>2717.31</v>
      </c>
      <c r="Q641" s="33" t="str">
        <f ca="1">IFERROR(__xludf.DUMMYFUNCTION("""COMPUTED_VALUE"""),"Maika Blázquez")</f>
        <v>Maika Blázquez</v>
      </c>
      <c r="R641" s="33" t="str">
        <f ca="1">IFERROR(__xludf.DUMMYFUNCTION("""COMPUTED_VALUE"""),"Dr, Jesús Ramos Fernández")</f>
        <v>Dr, Jesús Ramos Fernández</v>
      </c>
      <c r="S641" s="61" t="str">
        <f ca="1">IFERROR(__xludf.DUMMYFUNCTION("""COMPUTED_VALUE"""),"01 MARKETING ON LINE")</f>
        <v>01 MARKETING ON LINE</v>
      </c>
      <c r="T641" s="33" t="str">
        <f ca="1">IFERROR(__xludf.DUMMYFUNCTION("""COMPUTED_VALUE"""),"36 CENTRO AUDÍFONOS")</f>
        <v>36 CENTRO AUDÍFONOS</v>
      </c>
      <c r="U641" s="62"/>
      <c r="W641" s="61"/>
      <c r="X641" s="62"/>
    </row>
    <row r="642" spans="2:24" ht="16">
      <c r="B642" s="67" t="str">
        <f t="shared" ca="1" si="3"/>
        <v>#N/</v>
      </c>
      <c r="C642" s="64" t="str">
        <f ca="1">IFERROR(__xludf.DUMMYFUNCTION("""COMPUTED_VALUE"""),"#N/A")</f>
        <v>#N/A</v>
      </c>
      <c r="D642" s="33" t="str">
        <f ca="1">IFERROR(__xludf.DUMMYFUNCTION("""COMPUTED_VALUE"""),"PROPIOS")</f>
        <v>PROPIOS</v>
      </c>
      <c r="E642" s="33">
        <f ca="1">IFERROR(__xludf.DUMMYFUNCTION("""COMPUTED_VALUE"""),2026)</f>
        <v>2026</v>
      </c>
      <c r="F642" s="56">
        <f ca="1">IFERROR(__xludf.DUMMYFUNCTION("""COMPUTED_VALUE"""),3)</f>
        <v>3</v>
      </c>
      <c r="G642" s="33" t="str">
        <f ca="1">IFERROR(__xludf.DUMMYFUNCTION("""COMPUTED_VALUE"""),"Leganés")</f>
        <v>Leganés</v>
      </c>
      <c r="H642" s="33" t="str">
        <f ca="1">IFERROR(__xludf.DUMMYFUNCTION("""COMPUTED_VALUE"""),"C202631817474238390")</f>
        <v>C202631817474238390</v>
      </c>
      <c r="I642" s="33" t="str">
        <f ca="1">IFERROR(__xludf.DUMMYFUNCTION("""COMPUTED_VALUE"""),"JIMENA SANCHEZ MUÑOZ")</f>
        <v>JIMENA SANCHEZ MUÑOZ</v>
      </c>
      <c r="J642" s="57">
        <f ca="1">IFERROR(__xludf.DUMMYFUNCTION("""COMPUTED_VALUE"""),46099)</f>
        <v>46099</v>
      </c>
      <c r="K642" s="33" t="str">
        <f ca="1">IFERROR(__xludf.DUMMYFUNCTION("""COMPUTED_VALUE"""),"Presupuesto")</f>
        <v>Presupuesto</v>
      </c>
      <c r="L642" s="57">
        <f ca="1">IFERROR(__xludf.DUMMYFUNCTION("""COMPUTED_VALUE"""),46100)</f>
        <v>46100</v>
      </c>
      <c r="M642" s="64" t="str">
        <f ca="1">IFERROR(__xludf.DUMMYFUNCTION("""COMPUTED_VALUE"""),"NO")</f>
        <v>NO</v>
      </c>
      <c r="N642" s="56">
        <f ca="1">IFERROR(__xludf.DUMMYFUNCTION("""COMPUTED_VALUE"""),2)</f>
        <v>2</v>
      </c>
      <c r="O642" s="64" t="str">
        <f ca="1">IFERROR(__xludf.DUMMYFUNCTION("""COMPUTED_VALUE"""),"QUIET")</f>
        <v>QUIET</v>
      </c>
      <c r="P642" s="62">
        <f ca="1">IFERROR(__xludf.DUMMYFUNCTION("""COMPUTED_VALUE"""),2718.18)</f>
        <v>2718.18</v>
      </c>
      <c r="Q642" s="33" t="str">
        <f ca="1">IFERROR(__xludf.DUMMYFUNCTION("""COMPUTED_VALUE"""),"Maika Blázquez")</f>
        <v>Maika Blázquez</v>
      </c>
      <c r="R642" s="33" t="str">
        <f ca="1">IFERROR(__xludf.DUMMYFUNCTION("""COMPUTED_VALUE"""),"Dra, Nuria Arnaiz Canora")</f>
        <v>Dra, Nuria Arnaiz Canora</v>
      </c>
      <c r="S642" s="61" t="str">
        <f ca="1">IFERROR(__xludf.DUMMYFUNCTION("""COMPUTED_VALUE"""),"03 ORL")</f>
        <v>03 ORL</v>
      </c>
      <c r="T642" s="33" t="str">
        <f ca="1">IFERROR(__xludf.DUMMYFUNCTION("""COMPUTED_VALUE"""),"06 ORL")</f>
        <v>06 ORL</v>
      </c>
      <c r="U642" s="62"/>
      <c r="W642" s="61"/>
      <c r="X642" s="62"/>
    </row>
    <row r="643" spans="2:24" ht="16">
      <c r="B643" s="67" t="str">
        <f t="shared" ca="1" si="3"/>
        <v>#N/</v>
      </c>
      <c r="C643" s="64" t="str">
        <f ca="1">IFERROR(__xludf.DUMMYFUNCTION("""COMPUTED_VALUE"""),"#N/A")</f>
        <v>#N/A</v>
      </c>
      <c r="D643" s="33" t="str">
        <f ca="1">IFERROR(__xludf.DUMMYFUNCTION("""COMPUTED_VALUE"""),"PROPIOS")</f>
        <v>PROPIOS</v>
      </c>
      <c r="E643" s="33">
        <f ca="1">IFERROR(__xludf.DUMMYFUNCTION("""COMPUTED_VALUE"""),2026)</f>
        <v>2026</v>
      </c>
      <c r="F643" s="56">
        <f ca="1">IFERROR(__xludf.DUMMYFUNCTION("""COMPUTED_VALUE"""),1)</f>
        <v>1</v>
      </c>
      <c r="G643" s="33" t="str">
        <f ca="1">IFERROR(__xludf.DUMMYFUNCTION("""COMPUTED_VALUE"""),"Leganés")</f>
        <v>Leganés</v>
      </c>
      <c r="H643" s="33" t="str">
        <f ca="1">IFERROR(__xludf.DUMMYFUNCTION("""COMPUTED_VALUE"""),"C202615141941536025")</f>
        <v>C202615141941536025</v>
      </c>
      <c r="I643" s="33" t="str">
        <f ca="1">IFERROR(__xludf.DUMMYFUNCTION("""COMPUTED_VALUE"""),"JOAQUÍN LOPEZ MOTA")</f>
        <v>JOAQUÍN LOPEZ MOTA</v>
      </c>
      <c r="J643" s="57">
        <f ca="1">IFERROR(__xludf.DUMMYFUNCTION("""COMPUTED_VALUE"""),46027)</f>
        <v>46027</v>
      </c>
      <c r="K643" s="33" t="str">
        <f ca="1">IFERROR(__xludf.DUMMYFUNCTION("""COMPUTED_VALUE"""),"Presupuesto")</f>
        <v>Presupuesto</v>
      </c>
      <c r="L643" s="57">
        <f ca="1">IFERROR(__xludf.DUMMYFUNCTION("""COMPUTED_VALUE"""),46042)</f>
        <v>46042</v>
      </c>
      <c r="M643" s="64" t="str">
        <f ca="1">IFERROR(__xludf.DUMMYFUNCTION("""COMPUTED_VALUE"""),"NO")</f>
        <v>NO</v>
      </c>
      <c r="N643" s="56">
        <f ca="1">IFERROR(__xludf.DUMMYFUNCTION("""COMPUTED_VALUE"""),2)</f>
        <v>2</v>
      </c>
      <c r="O643" s="64" t="str">
        <f ca="1">IFERROR(__xludf.DUMMYFUNCTION("""COMPUTED_VALUE"""),"CONFORT")</f>
        <v>CONFORT</v>
      </c>
      <c r="P643" s="62">
        <f ca="1">IFERROR(__xludf.DUMMYFUNCTION("""COMPUTED_VALUE"""),3631.82)</f>
        <v>3631.82</v>
      </c>
      <c r="Q643" s="33" t="str">
        <f ca="1">IFERROR(__xludf.DUMMYFUNCTION("""COMPUTED_VALUE"""),"Maika Blázquez")</f>
        <v>Maika Blázquez</v>
      </c>
      <c r="R643" s="33" t="str">
        <f ca="1">IFERROR(__xludf.DUMMYFUNCTION("""COMPUTED_VALUE"""),"Dra, Mar Lasso de la Vega Zamora")</f>
        <v>Dra, Mar Lasso de la Vega Zamora</v>
      </c>
      <c r="S643" s="61" t="str">
        <f ca="1">IFERROR(__xludf.DUMMYFUNCTION("""COMPUTED_VALUE"""),"03 ORL")</f>
        <v>03 ORL</v>
      </c>
      <c r="T643" s="33" t="str">
        <f ca="1">IFERROR(__xludf.DUMMYFUNCTION("""COMPUTED_VALUE"""),"06 ORL")</f>
        <v>06 ORL</v>
      </c>
      <c r="U643" s="62"/>
      <c r="W643" s="61"/>
      <c r="X643" s="62"/>
    </row>
    <row r="644" spans="2:24" ht="16">
      <c r="B644" s="67" t="str">
        <f t="shared" ca="1" si="3"/>
        <v>#N/</v>
      </c>
      <c r="C644" s="64" t="str">
        <f ca="1">IFERROR(__xludf.DUMMYFUNCTION("""COMPUTED_VALUE"""),"#N/A")</f>
        <v>#N/A</v>
      </c>
      <c r="D644" s="33" t="str">
        <f ca="1">IFERROR(__xludf.DUMMYFUNCTION("""COMPUTED_VALUE"""),"PROPIOS")</f>
        <v>PROPIOS</v>
      </c>
      <c r="E644" s="33">
        <f ca="1">IFERROR(__xludf.DUMMYFUNCTION("""COMPUTED_VALUE"""),2026)</f>
        <v>2026</v>
      </c>
      <c r="F644" s="56">
        <f ca="1">IFERROR(__xludf.DUMMYFUNCTION("""COMPUTED_VALUE"""),3)</f>
        <v>3</v>
      </c>
      <c r="G644" s="33" t="str">
        <f ca="1">IFERROR(__xludf.DUMMYFUNCTION("""COMPUTED_VALUE"""),"Leganés")</f>
        <v>Leganés</v>
      </c>
      <c r="H644" s="33" t="str">
        <f ca="1">IFERROR(__xludf.DUMMYFUNCTION("""COMPUTED_VALUE"""),"C202622712527037190")</f>
        <v>C202622712527037190</v>
      </c>
      <c r="I644" s="33" t="str">
        <f ca="1">IFERROR(__xludf.DUMMYFUNCTION("""COMPUTED_VALUE"""),"JOSEFA IBAÑEZ CUELLAR")</f>
        <v>JOSEFA IBAÑEZ CUELLAR</v>
      </c>
      <c r="J644" s="57">
        <f ca="1">IFERROR(__xludf.DUMMYFUNCTION("""COMPUTED_VALUE"""),46080)</f>
        <v>46080</v>
      </c>
      <c r="K644" s="33" t="str">
        <f ca="1">IFERROR(__xludf.DUMMYFUNCTION("""COMPUTED_VALUE"""),"Pedido")</f>
        <v>Pedido</v>
      </c>
      <c r="L644" s="57">
        <f ca="1">IFERROR(__xludf.DUMMYFUNCTION("""COMPUTED_VALUE"""),46099)</f>
        <v>46099</v>
      </c>
      <c r="M644" s="64" t="str">
        <f ca="1">IFERROR(__xludf.DUMMYFUNCTION("""COMPUTED_VALUE"""),"NO")</f>
        <v>NO</v>
      </c>
      <c r="N644" s="56">
        <f ca="1">IFERROR(__xludf.DUMMYFUNCTION("""COMPUTED_VALUE"""),2)</f>
        <v>2</v>
      </c>
      <c r="O644" s="64" t="str">
        <f ca="1">IFERROR(__xludf.DUMMYFUNCTION("""COMPUTED_VALUE"""),"ADVANCED")</f>
        <v>ADVANCED</v>
      </c>
      <c r="P644" s="62">
        <f ca="1">IFERROR(__xludf.DUMMYFUNCTION("""COMPUTED_VALUE"""),3604.55)</f>
        <v>3604.55</v>
      </c>
      <c r="Q644" s="33" t="str">
        <f ca="1">IFERROR(__xludf.DUMMYFUNCTION("""COMPUTED_VALUE"""),"Maika Blázquez")</f>
        <v>Maika Blázquez</v>
      </c>
      <c r="R644" s="33" t="str">
        <f ca="1">IFERROR(__xludf.DUMMYFUNCTION("""COMPUTED_VALUE"""),"Dr, Jesús Ramos Fernández")</f>
        <v>Dr, Jesús Ramos Fernández</v>
      </c>
      <c r="S644" s="61" t="str">
        <f ca="1">IFERROR(__xludf.DUMMYFUNCTION("""COMPUTED_VALUE"""),"03 ORL")</f>
        <v>03 ORL</v>
      </c>
      <c r="T644" s="33" t="str">
        <f ca="1">IFERROR(__xludf.DUMMYFUNCTION("""COMPUTED_VALUE"""),"06 ORL")</f>
        <v>06 ORL</v>
      </c>
      <c r="U644" s="62"/>
      <c r="W644" s="61"/>
      <c r="X644" s="62"/>
    </row>
    <row r="645" spans="2:24" ht="16">
      <c r="B645" s="67" t="str">
        <f t="shared" ca="1" si="3"/>
        <v>#N/</v>
      </c>
      <c r="C645" s="64" t="str">
        <f ca="1">IFERROR(__xludf.DUMMYFUNCTION("""COMPUTED_VALUE"""),"#N/A")</f>
        <v>#N/A</v>
      </c>
      <c r="D645" s="33" t="str">
        <f ca="1">IFERROR(__xludf.DUMMYFUNCTION("""COMPUTED_VALUE"""),"PROPIOS")</f>
        <v>PROPIOS</v>
      </c>
      <c r="E645" s="33">
        <f ca="1">IFERROR(__xludf.DUMMYFUNCTION("""COMPUTED_VALUE"""),2026)</f>
        <v>2026</v>
      </c>
      <c r="F645" s="56">
        <f ca="1">IFERROR(__xludf.DUMMYFUNCTION("""COMPUTED_VALUE"""),2)</f>
        <v>2</v>
      </c>
      <c r="G645" s="33" t="str">
        <f ca="1">IFERROR(__xludf.DUMMYFUNCTION("""COMPUTED_VALUE"""),"Leganés")</f>
        <v>Leganés</v>
      </c>
      <c r="H645" s="33" t="str">
        <f ca="1">IFERROR(__xludf.DUMMYFUNCTION("""COMPUTED_VALUE"""),"C202612912109111610")</f>
        <v>C202612912109111610</v>
      </c>
      <c r="I645" s="33" t="str">
        <f ca="1">IFERROR(__xludf.DUMMYFUNCTION("""COMPUTED_VALUE"""),"JUDTIH ECHEVERRY CORTES")</f>
        <v>JUDTIH ECHEVERRY CORTES</v>
      </c>
      <c r="J645" s="57">
        <f ca="1">IFERROR(__xludf.DUMMYFUNCTION("""COMPUTED_VALUE"""),46051)</f>
        <v>46051</v>
      </c>
      <c r="K645" s="33" t="str">
        <f ca="1">IFERROR(__xludf.DUMMYFUNCTION("""COMPUTED_VALUE"""),"Prueba")</f>
        <v>Prueba</v>
      </c>
      <c r="L645" s="57">
        <f ca="1">IFERROR(__xludf.DUMMYFUNCTION("""COMPUTED_VALUE"""),46069)</f>
        <v>46069</v>
      </c>
      <c r="M645" s="64" t="str">
        <f ca="1">IFERROR(__xludf.DUMMYFUNCTION("""COMPUTED_VALUE"""),"NO")</f>
        <v>NO</v>
      </c>
      <c r="N645" s="56">
        <f ca="1">IFERROR(__xludf.DUMMYFUNCTION("""COMPUTED_VALUE"""),1)</f>
        <v>1</v>
      </c>
      <c r="O645" s="64" t="str">
        <f ca="1">IFERROR(__xludf.DUMMYFUNCTION("""COMPUTED_VALUE"""),"TRIAL")</f>
        <v>TRIAL</v>
      </c>
      <c r="P645" s="62">
        <f ca="1">IFERROR(__xludf.DUMMYFUNCTION("""COMPUTED_VALUE"""),2180.91)</f>
        <v>2180.91</v>
      </c>
      <c r="Q645" s="33" t="str">
        <f ca="1">IFERROR(__xludf.DUMMYFUNCTION("""COMPUTED_VALUE"""),"Maika Blázquez")</f>
        <v>Maika Blázquez</v>
      </c>
      <c r="R645" s="33" t="str">
        <f ca="1">IFERROR(__xludf.DUMMYFUNCTION("""COMPUTED_VALUE"""),"Dra, Mar Lasso de la Vega Zamora")</f>
        <v>Dra, Mar Lasso de la Vega Zamora</v>
      </c>
      <c r="S645" s="61" t="str">
        <f ca="1">IFERROR(__xludf.DUMMYFUNCTION("""COMPUTED_VALUE"""),"03 ORL")</f>
        <v>03 ORL</v>
      </c>
      <c r="T645" s="33" t="str">
        <f ca="1">IFERROR(__xludf.DUMMYFUNCTION("""COMPUTED_VALUE"""),"06 ORL")</f>
        <v>06 ORL</v>
      </c>
      <c r="U645" s="62"/>
      <c r="W645" s="61"/>
      <c r="X645" s="62"/>
    </row>
    <row r="646" spans="2:24" ht="16">
      <c r="B646" s="67" t="str">
        <f t="shared" ca="1" si="3"/>
        <v>#N/</v>
      </c>
      <c r="C646" s="64" t="str">
        <f ca="1">IFERROR(__xludf.DUMMYFUNCTION("""COMPUTED_VALUE"""),"#N/A")</f>
        <v>#N/A</v>
      </c>
      <c r="D646" s="33" t="str">
        <f ca="1">IFERROR(__xludf.DUMMYFUNCTION("""COMPUTED_VALUE"""),"PROPIOS")</f>
        <v>PROPIOS</v>
      </c>
      <c r="E646" s="33">
        <f ca="1">IFERROR(__xludf.DUMMYFUNCTION("""COMPUTED_VALUE"""),2026)</f>
        <v>2026</v>
      </c>
      <c r="F646" s="56">
        <f ca="1">IFERROR(__xludf.DUMMYFUNCTION("""COMPUTED_VALUE"""),3)</f>
        <v>3</v>
      </c>
      <c r="G646" s="33" t="str">
        <f ca="1">IFERROR(__xludf.DUMMYFUNCTION("""COMPUTED_VALUE"""),"Leganés")</f>
        <v>Leganés</v>
      </c>
      <c r="H646" s="33" t="str">
        <f ca="1">IFERROR(__xludf.DUMMYFUNCTION("""COMPUTED_VALUE"""),"C202621814742016942")</f>
        <v>C202621814742016942</v>
      </c>
      <c r="I646" s="33" t="str">
        <f ca="1">IFERROR(__xludf.DUMMYFUNCTION("""COMPUTED_VALUE"""),"JULIAN GODINO QUEVEDO")</f>
        <v>JULIAN GODINO QUEVEDO</v>
      </c>
      <c r="J646" s="57">
        <f ca="1">IFERROR(__xludf.DUMMYFUNCTION("""COMPUTED_VALUE"""),46071)</f>
        <v>46071</v>
      </c>
      <c r="K646" s="33" t="str">
        <f ca="1">IFERROR(__xludf.DUMMYFUNCTION("""COMPUTED_VALUE"""),"Devuelve")</f>
        <v>Devuelve</v>
      </c>
      <c r="L646" s="57">
        <f ca="1">IFERROR(__xludf.DUMMYFUNCTION("""COMPUTED_VALUE"""),46087)</f>
        <v>46087</v>
      </c>
      <c r="M646" s="64" t="str">
        <f ca="1">IFERROR(__xludf.DUMMYFUNCTION("""COMPUTED_VALUE"""),"NO")</f>
        <v>NO</v>
      </c>
      <c r="N646" s="56">
        <f ca="1">IFERROR(__xludf.DUMMYFUNCTION("""COMPUTED_VALUE"""),2)</f>
        <v>2</v>
      </c>
      <c r="O646" s="64" t="str">
        <f ca="1">IFERROR(__xludf.DUMMYFUNCTION("""COMPUTED_VALUE"""),"TRIAL")</f>
        <v>TRIAL</v>
      </c>
      <c r="P646" s="62">
        <f ca="1">IFERROR(__xludf.DUMMYFUNCTION("""COMPUTED_VALUE"""),4136.36)</f>
        <v>4136.3599999999997</v>
      </c>
      <c r="Q646" s="33" t="str">
        <f ca="1">IFERROR(__xludf.DUMMYFUNCTION("""COMPUTED_VALUE"""),"Maika Blázquez")</f>
        <v>Maika Blázquez</v>
      </c>
      <c r="R646" s="33" t="str">
        <f ca="1">IFERROR(__xludf.DUMMYFUNCTION("""COMPUTED_VALUE"""),"Dr, Julio López Moya")</f>
        <v>Dr, Julio López Moya</v>
      </c>
      <c r="S646" s="61" t="str">
        <f ca="1">IFERROR(__xludf.DUMMYFUNCTION("""COMPUTED_VALUE"""),"03 ORL")</f>
        <v>03 ORL</v>
      </c>
      <c r="T646" s="33" t="str">
        <f ca="1">IFERROR(__xludf.DUMMYFUNCTION("""COMPUTED_VALUE"""),"06 ORL")</f>
        <v>06 ORL</v>
      </c>
      <c r="U646" s="62"/>
      <c r="W646" s="61"/>
      <c r="X646" s="62"/>
    </row>
    <row r="647" spans="2:24" ht="16">
      <c r="B647" s="67" t="str">
        <f t="shared" ca="1" si="3"/>
        <v>#N/</v>
      </c>
      <c r="C647" s="64" t="str">
        <f ca="1">IFERROR(__xludf.DUMMYFUNCTION("""COMPUTED_VALUE"""),"#N/A")</f>
        <v>#N/A</v>
      </c>
      <c r="D647" s="33" t="str">
        <f ca="1">IFERROR(__xludf.DUMMYFUNCTION("""COMPUTED_VALUE"""),"PROPIOS")</f>
        <v>PROPIOS</v>
      </c>
      <c r="E647" s="33">
        <f ca="1">IFERROR(__xludf.DUMMYFUNCTION("""COMPUTED_VALUE"""),2026)</f>
        <v>2026</v>
      </c>
      <c r="F647" s="56">
        <f ca="1">IFERROR(__xludf.DUMMYFUNCTION("""COMPUTED_VALUE"""),3)</f>
        <v>3</v>
      </c>
      <c r="G647" s="33" t="str">
        <f ca="1">IFERROR(__xludf.DUMMYFUNCTION("""COMPUTED_VALUE"""),"Leganés")</f>
        <v>Leganés</v>
      </c>
      <c r="H647" s="33" t="str">
        <f ca="1">IFERROR(__xludf.DUMMYFUNCTION("""COMPUTED_VALUE"""),"C202621912391036168")</f>
        <v>C202621912391036168</v>
      </c>
      <c r="I647" s="33" t="str">
        <f ca="1">IFERROR(__xludf.DUMMYFUNCTION("""COMPUTED_VALUE"""),"MARGARITA GOMEZ MORILLA")</f>
        <v>MARGARITA GOMEZ MORILLA</v>
      </c>
      <c r="J647" s="57">
        <f ca="1">IFERROR(__xludf.DUMMYFUNCTION("""COMPUTED_VALUE"""),46072)</f>
        <v>46072</v>
      </c>
      <c r="K647" s="33" t="str">
        <f ca="1">IFERROR(__xludf.DUMMYFUNCTION("""COMPUTED_VALUE"""),"Devuelve")</f>
        <v>Devuelve</v>
      </c>
      <c r="L647" s="57">
        <f ca="1">IFERROR(__xludf.DUMMYFUNCTION("""COMPUTED_VALUE"""),46099)</f>
        <v>46099</v>
      </c>
      <c r="M647" s="64" t="str">
        <f ca="1">IFERROR(__xludf.DUMMYFUNCTION("""COMPUTED_VALUE"""),"NO")</f>
        <v>NO</v>
      </c>
      <c r="N647" s="56">
        <f ca="1">IFERROR(__xludf.DUMMYFUNCTION("""COMPUTED_VALUE"""),2)</f>
        <v>2</v>
      </c>
      <c r="O647" s="64" t="str">
        <f ca="1">IFERROR(__xludf.DUMMYFUNCTION("""COMPUTED_VALUE"""),"TRIAL")</f>
        <v>TRIAL</v>
      </c>
      <c r="P647" s="62">
        <f ca="1">IFERROR(__xludf.DUMMYFUNCTION("""COMPUTED_VALUE"""),3631.82)</f>
        <v>3631.82</v>
      </c>
      <c r="Q647" s="33" t="str">
        <f ca="1">IFERROR(__xludf.DUMMYFUNCTION("""COMPUTED_VALUE"""),"Maika Blázquez")</f>
        <v>Maika Blázquez</v>
      </c>
      <c r="R647" s="33" t="str">
        <f ca="1">IFERROR(__xludf.DUMMYFUNCTION("""COMPUTED_VALUE"""),"Dra, Laura Ruano De Pablo")</f>
        <v>Dra, Laura Ruano De Pablo</v>
      </c>
      <c r="S647" s="61" t="str">
        <f ca="1">IFERROR(__xludf.DUMMYFUNCTION("""COMPUTED_VALUE"""),"03 ORL")</f>
        <v>03 ORL</v>
      </c>
      <c r="T647" s="33" t="str">
        <f ca="1">IFERROR(__xludf.DUMMYFUNCTION("""COMPUTED_VALUE"""),"06 ORL")</f>
        <v>06 ORL</v>
      </c>
      <c r="U647" s="62"/>
      <c r="W647" s="61"/>
      <c r="X647" s="62"/>
    </row>
    <row r="648" spans="2:24" ht="16">
      <c r="B648" s="67" t="str">
        <f t="shared" ca="1" si="3"/>
        <v>#N/</v>
      </c>
      <c r="C648" s="64" t="str">
        <f ca="1">IFERROR(__xludf.DUMMYFUNCTION("""COMPUTED_VALUE"""),"#N/A")</f>
        <v>#N/A</v>
      </c>
      <c r="D648" s="33" t="str">
        <f ca="1">IFERROR(__xludf.DUMMYFUNCTION("""COMPUTED_VALUE"""),"PROPIOS")</f>
        <v>PROPIOS</v>
      </c>
      <c r="E648" s="33">
        <f ca="1">IFERROR(__xludf.DUMMYFUNCTION("""COMPUTED_VALUE"""),2026)</f>
        <v>2026</v>
      </c>
      <c r="F648" s="56">
        <f ca="1">IFERROR(__xludf.DUMMYFUNCTION("""COMPUTED_VALUE"""),1)</f>
        <v>1</v>
      </c>
      <c r="G648" s="33" t="str">
        <f ca="1">IFERROR(__xludf.DUMMYFUNCTION("""COMPUTED_VALUE"""),"Leganés")</f>
        <v>Leganés</v>
      </c>
      <c r="H648" s="33" t="str">
        <f ca="1">IFERROR(__xludf.DUMMYFUNCTION("""COMPUTED_VALUE"""),"C202611911244143901")</f>
        <v>C202611911244143901</v>
      </c>
      <c r="I648" s="33" t="str">
        <f ca="1">IFERROR(__xludf.DUMMYFUNCTION("""COMPUTED_VALUE"""),"MARGARITA SANCHEZ ALBADALEJO")</f>
        <v>MARGARITA SANCHEZ ALBADALEJO</v>
      </c>
      <c r="J648" s="57">
        <f ca="1">IFERROR(__xludf.DUMMYFUNCTION("""COMPUTED_VALUE"""),46041)</f>
        <v>46041</v>
      </c>
      <c r="K648" s="33" t="str">
        <f ca="1">IFERROR(__xludf.DUMMYFUNCTION("""COMPUTED_VALUE"""),"Presupuesto")</f>
        <v>Presupuesto</v>
      </c>
      <c r="L648" s="57">
        <f ca="1">IFERROR(__xludf.DUMMYFUNCTION("""COMPUTED_VALUE"""),46048)</f>
        <v>46048</v>
      </c>
      <c r="M648" s="64" t="str">
        <f ca="1">IFERROR(__xludf.DUMMYFUNCTION("""COMPUTED_VALUE"""),"NO")</f>
        <v>NO</v>
      </c>
      <c r="N648" s="56">
        <f ca="1">IFERROR(__xludf.DUMMYFUNCTION("""COMPUTED_VALUE"""),2)</f>
        <v>2</v>
      </c>
      <c r="O648" s="64" t="str">
        <f ca="1">IFERROR(__xludf.DUMMYFUNCTION("""COMPUTED_VALUE"""),"QUIET")</f>
        <v>QUIET</v>
      </c>
      <c r="P648" s="62">
        <f ca="1">IFERROR(__xludf.DUMMYFUNCTION("""COMPUTED_VALUE"""),2718.18)</f>
        <v>2718.18</v>
      </c>
      <c r="Q648" s="33" t="str">
        <f ca="1">IFERROR(__xludf.DUMMYFUNCTION("""COMPUTED_VALUE"""),"Maika Blázquez")</f>
        <v>Maika Blázquez</v>
      </c>
      <c r="R648" s="33" t="str">
        <f ca="1">IFERROR(__xludf.DUMMYFUNCTION("""COMPUTED_VALUE"""),"Dra, Nuria Arnaiz Canora")</f>
        <v>Dra, Nuria Arnaiz Canora</v>
      </c>
      <c r="S648" s="61" t="str">
        <f ca="1">IFERROR(__xludf.DUMMYFUNCTION("""COMPUTED_VALUE"""),"03 ORL")</f>
        <v>03 ORL</v>
      </c>
      <c r="T648" s="33" t="str">
        <f ca="1">IFERROR(__xludf.DUMMYFUNCTION("""COMPUTED_VALUE"""),"06 ORL")</f>
        <v>06 ORL</v>
      </c>
      <c r="U648" s="62"/>
      <c r="W648" s="61"/>
      <c r="X648" s="62"/>
    </row>
    <row r="649" spans="2:24" ht="16">
      <c r="B649" s="67" t="str">
        <f t="shared" ca="1" si="3"/>
        <v>#N/</v>
      </c>
      <c r="C649" s="64" t="str">
        <f ca="1">IFERROR(__xludf.DUMMYFUNCTION("""COMPUTED_VALUE"""),"#N/A")</f>
        <v>#N/A</v>
      </c>
      <c r="D649" s="33" t="str">
        <f ca="1">IFERROR(__xludf.DUMMYFUNCTION("""COMPUTED_VALUE"""),"PROPIOS")</f>
        <v>PROPIOS</v>
      </c>
      <c r="E649" s="33">
        <f ca="1">IFERROR(__xludf.DUMMYFUNCTION("""COMPUTED_VALUE"""),2026)</f>
        <v>2026</v>
      </c>
      <c r="F649" s="56">
        <f ca="1">IFERROR(__xludf.DUMMYFUNCTION("""COMPUTED_VALUE"""),4)</f>
        <v>4</v>
      </c>
      <c r="G649" s="33" t="str">
        <f ca="1">IFERROR(__xludf.DUMMYFUNCTION("""COMPUTED_VALUE"""),"Leganés")</f>
        <v>Leganés</v>
      </c>
      <c r="H649" s="33" t="str">
        <f ca="1">IFERROR(__xludf.DUMMYFUNCTION("""COMPUTED_VALUE"""),"C202631811503165622")</f>
        <v>C202631811503165622</v>
      </c>
      <c r="I649" s="33" t="str">
        <f ca="1">IFERROR(__xludf.DUMMYFUNCTION("""COMPUTED_VALUE"""),"MARIANO JUAREZ SANCHEZ")</f>
        <v>MARIANO JUAREZ SANCHEZ</v>
      </c>
      <c r="J649" s="57">
        <f ca="1">IFERROR(__xludf.DUMMYFUNCTION("""COMPUTED_VALUE"""),46099)</f>
        <v>46099</v>
      </c>
      <c r="K649" s="33" t="str">
        <f ca="1">IFERROR(__xludf.DUMMYFUNCTION("""COMPUTED_VALUE"""),"Prueba")</f>
        <v>Prueba</v>
      </c>
      <c r="L649" s="57">
        <f ca="1">IFERROR(__xludf.DUMMYFUNCTION("""COMPUTED_VALUE"""),46118)</f>
        <v>46118</v>
      </c>
      <c r="M649" s="64" t="str">
        <f ca="1">IFERROR(__xludf.DUMMYFUNCTION("""COMPUTED_VALUE"""),"NO")</f>
        <v>NO</v>
      </c>
      <c r="N649" s="56">
        <f ca="1">IFERROR(__xludf.DUMMYFUNCTION("""COMPUTED_VALUE"""),2)</f>
        <v>2</v>
      </c>
      <c r="O649" s="64" t="str">
        <f ca="1">IFERROR(__xludf.DUMMYFUNCTION("""COMPUTED_VALUE"""),"QUIET")</f>
        <v>QUIET</v>
      </c>
      <c r="P649" s="62">
        <f ca="1">IFERROR(__xludf.DUMMYFUNCTION("""COMPUTED_VALUE"""),2718.18)</f>
        <v>2718.18</v>
      </c>
      <c r="Q649" s="33" t="str">
        <f ca="1">IFERROR(__xludf.DUMMYFUNCTION("""COMPUTED_VALUE"""),"Maika Blázquez")</f>
        <v>Maika Blázquez</v>
      </c>
      <c r="R649" s="33" t="str">
        <f ca="1">IFERROR(__xludf.DUMMYFUNCTION("""COMPUTED_VALUE"""),"Dr, Diana María Hernanperez Hidalgo")</f>
        <v>Dr, Diana María Hernanperez Hidalgo</v>
      </c>
      <c r="S649" s="61" t="str">
        <f ca="1">IFERROR(__xludf.DUMMYFUNCTION("""COMPUTED_VALUE"""),"03 ORL")</f>
        <v>03 ORL</v>
      </c>
      <c r="T649" s="33" t="str">
        <f ca="1">IFERROR(__xludf.DUMMYFUNCTION("""COMPUTED_VALUE"""),"06 ORL")</f>
        <v>06 ORL</v>
      </c>
      <c r="U649" s="62"/>
      <c r="W649" s="61"/>
      <c r="X649" s="62"/>
    </row>
    <row r="650" spans="2:24" ht="16">
      <c r="B650" s="67" t="str">
        <f t="shared" ca="1" si="3"/>
        <v/>
      </c>
      <c r="C650" s="64"/>
      <c r="D650" s="33" t="str">
        <f ca="1">IFERROR(__xludf.DUMMYFUNCTION("""COMPUTED_VALUE"""),"PROPIOS")</f>
        <v>PROPIOS</v>
      </c>
      <c r="E650" s="33">
        <f ca="1">IFERROR(__xludf.DUMMYFUNCTION("""COMPUTED_VALUE"""),2026)</f>
        <v>2026</v>
      </c>
      <c r="F650" s="56">
        <f ca="1">IFERROR(__xludf.DUMMYFUNCTION("""COMPUTED_VALUE"""),4)</f>
        <v>4</v>
      </c>
      <c r="G650" s="33" t="str">
        <f ca="1">IFERROR(__xludf.DUMMYFUNCTION("""COMPUTED_VALUE"""),"Leganés")</f>
        <v>Leganés</v>
      </c>
      <c r="H650" s="33" t="str">
        <f ca="1">IFERROR(__xludf.DUMMYFUNCTION("""COMPUTED_VALUE"""),"C202632511352887091")</f>
        <v>C202632511352887091</v>
      </c>
      <c r="I650" s="33" t="str">
        <f ca="1">IFERROR(__xludf.DUMMYFUNCTION("""COMPUTED_VALUE"""),"MARTINA DIAZ AVILA")</f>
        <v>MARTINA DIAZ AVILA</v>
      </c>
      <c r="J650" s="57">
        <f ca="1">IFERROR(__xludf.DUMMYFUNCTION("""COMPUTED_VALUE"""),46106)</f>
        <v>46106</v>
      </c>
      <c r="K650" s="33" t="str">
        <f ca="1">IFERROR(__xludf.DUMMYFUNCTION("""COMPUTED_VALUE"""),"Prueba")</f>
        <v>Prueba</v>
      </c>
      <c r="L650" s="57">
        <f ca="1">IFERROR(__xludf.DUMMYFUNCTION("""COMPUTED_VALUE"""),46118)</f>
        <v>46118</v>
      </c>
      <c r="M650" s="64" t="str">
        <f ca="1">IFERROR(__xludf.DUMMYFUNCTION("""COMPUTED_VALUE"""),"NO")</f>
        <v>NO</v>
      </c>
      <c r="N650" s="56">
        <f ca="1">IFERROR(__xludf.DUMMYFUNCTION("""COMPUTED_VALUE"""),2)</f>
        <v>2</v>
      </c>
      <c r="O650" s="64" t="str">
        <f ca="1">IFERROR(__xludf.DUMMYFUNCTION("""COMPUTED_VALUE"""),"QUIET")</f>
        <v>QUIET</v>
      </c>
      <c r="P650" s="62">
        <f ca="1">IFERROR(__xludf.DUMMYFUNCTION("""COMPUTED_VALUE"""),2718.18)</f>
        <v>2718.18</v>
      </c>
      <c r="Q650" s="33" t="str">
        <f ca="1">IFERROR(__xludf.DUMMYFUNCTION("""COMPUTED_VALUE"""),"Maika Blázquez")</f>
        <v>Maika Blázquez</v>
      </c>
      <c r="R650" s="33" t="str">
        <f ca="1">IFERROR(__xludf.DUMMYFUNCTION("""COMPUTED_VALUE"""),"No recuerda ORL")</f>
        <v>No recuerda ORL</v>
      </c>
      <c r="S650" s="61" t="str">
        <f ca="1">IFERROR(__xludf.DUMMYFUNCTION("""COMPUTED_VALUE"""),"03 ORL")</f>
        <v>03 ORL</v>
      </c>
      <c r="T650" s="33" t="str">
        <f ca="1">IFERROR(__xludf.DUMMYFUNCTION("""COMPUTED_VALUE"""),"06 ORL")</f>
        <v>06 ORL</v>
      </c>
      <c r="U650" s="62"/>
      <c r="W650" s="61"/>
      <c r="X650" s="62"/>
    </row>
    <row r="651" spans="2:24" ht="16">
      <c r="B651" s="67" t="str">
        <f t="shared" ca="1" si="3"/>
        <v>#N/</v>
      </c>
      <c r="C651" s="64" t="str">
        <f ca="1">IFERROR(__xludf.DUMMYFUNCTION("""COMPUTED_VALUE"""),"#N/A")</f>
        <v>#N/A</v>
      </c>
      <c r="D651" s="33" t="str">
        <f ca="1">IFERROR(__xludf.DUMMYFUNCTION("""COMPUTED_VALUE"""),"PROPIOS")</f>
        <v>PROPIOS</v>
      </c>
      <c r="E651" s="33">
        <f ca="1">IFERROR(__xludf.DUMMYFUNCTION("""COMPUTED_VALUE"""),2026)</f>
        <v>2026</v>
      </c>
      <c r="F651" s="56">
        <f ca="1">IFERROR(__xludf.DUMMYFUNCTION("""COMPUTED_VALUE"""),3)</f>
        <v>3</v>
      </c>
      <c r="G651" s="33" t="str">
        <f ca="1">IFERROR(__xludf.DUMMYFUNCTION("""COMPUTED_VALUE"""),"Leganés")</f>
        <v>Leganés</v>
      </c>
      <c r="H651" s="33" t="str">
        <f ca="1">IFERROR(__xludf.DUMMYFUNCTION("""COMPUTED_VALUE"""),"C20263591554758303")</f>
        <v>C20263591554758303</v>
      </c>
      <c r="I651" s="33" t="str">
        <f ca="1">IFERROR(__xludf.DUMMYFUNCTION("""COMPUTED_VALUE"""),"TOMAS MORENO DIAZ")</f>
        <v>TOMAS MORENO DIAZ</v>
      </c>
      <c r="J651" s="57">
        <f ca="1">IFERROR(__xludf.DUMMYFUNCTION("""COMPUTED_VALUE"""),46086)</f>
        <v>46086</v>
      </c>
      <c r="K651" s="33" t="str">
        <f ca="1">IFERROR(__xludf.DUMMYFUNCTION("""COMPUTED_VALUE"""),"Prueba")</f>
        <v>Prueba</v>
      </c>
      <c r="L651" s="57">
        <f ca="1">IFERROR(__xludf.DUMMYFUNCTION("""COMPUTED_VALUE"""),46101)</f>
        <v>46101</v>
      </c>
      <c r="M651" s="64" t="str">
        <f ca="1">IFERROR(__xludf.DUMMYFUNCTION("""COMPUTED_VALUE"""),"NO")</f>
        <v>NO</v>
      </c>
      <c r="N651" s="56">
        <f ca="1">IFERROR(__xludf.DUMMYFUNCTION("""COMPUTED_VALUE"""),2)</f>
        <v>2</v>
      </c>
      <c r="O651" s="64" t="str">
        <f ca="1">IFERROR(__xludf.DUMMYFUNCTION("""COMPUTED_VALUE"""),"TRIAL")</f>
        <v>TRIAL</v>
      </c>
      <c r="P651" s="62">
        <f ca="1">IFERROR(__xludf.DUMMYFUNCTION("""COMPUTED_VALUE"""),3631.82)</f>
        <v>3631.82</v>
      </c>
      <c r="Q651" s="33" t="str">
        <f ca="1">IFERROR(__xludf.DUMMYFUNCTION("""COMPUTED_VALUE"""),"Maika Blázquez")</f>
        <v>Maika Blázquez</v>
      </c>
      <c r="R651" s="33" t="str">
        <f ca="1">IFERROR(__xludf.DUMMYFUNCTION("""COMPUTED_VALUE"""),"Dra, Inés Pastor Basterra")</f>
        <v>Dra, Inés Pastor Basterra</v>
      </c>
      <c r="S651" s="61" t="str">
        <f ca="1">IFERROR(__xludf.DUMMYFUNCTION("""COMPUTED_VALUE"""),"03 ORL")</f>
        <v>03 ORL</v>
      </c>
      <c r="T651" s="33" t="str">
        <f ca="1">IFERROR(__xludf.DUMMYFUNCTION("""COMPUTED_VALUE"""),"06 ORL")</f>
        <v>06 ORL</v>
      </c>
      <c r="U651" s="62"/>
      <c r="W651" s="61"/>
      <c r="X651" s="62"/>
    </row>
    <row r="652" spans="2:24" ht="16">
      <c r="B652" s="67" t="str">
        <f t="shared" ca="1" si="3"/>
        <v>#N/</v>
      </c>
      <c r="C652" s="64" t="str">
        <f ca="1">IFERROR(__xludf.DUMMYFUNCTION("""COMPUTED_VALUE"""),"#N/A")</f>
        <v>#N/A</v>
      </c>
      <c r="D652" s="33" t="str">
        <f ca="1">IFERROR(__xludf.DUMMYFUNCTION("""COMPUTED_VALUE"""),"ASOCIADOS")</f>
        <v>ASOCIADOS</v>
      </c>
      <c r="E652" s="33">
        <f ca="1">IFERROR(__xludf.DUMMYFUNCTION("""COMPUTED_VALUE"""),2026)</f>
        <v>2026</v>
      </c>
      <c r="F652" s="56">
        <f ca="1">IFERROR(__xludf.DUMMYFUNCTION("""COMPUTED_VALUE"""),2)</f>
        <v>2</v>
      </c>
      <c r="G652" s="33" t="str">
        <f ca="1">IFERROR(__xludf.DUMMYFUNCTION("""COMPUTED_VALUE"""),"León")</f>
        <v>León</v>
      </c>
      <c r="H652" s="33" t="str">
        <f ca="1">IFERROR(__xludf.DUMMYFUNCTION("""COMPUTED_VALUE"""),"C202612217421103552")</f>
        <v>C202612217421103552</v>
      </c>
      <c r="I652" s="33" t="str">
        <f ca="1">IFERROR(__xludf.DUMMYFUNCTION("""COMPUTED_VALUE"""),"Armando Rodriguez Diez")</f>
        <v>Armando Rodriguez Diez</v>
      </c>
      <c r="J652" s="57">
        <f ca="1">IFERROR(__xludf.DUMMYFUNCTION("""COMPUTED_VALUE"""),46044)</f>
        <v>46044</v>
      </c>
      <c r="K652" s="33" t="str">
        <f ca="1">IFERROR(__xludf.DUMMYFUNCTION("""COMPUTED_VALUE"""),"Pedido")</f>
        <v>Pedido</v>
      </c>
      <c r="L652" s="57">
        <f ca="1">IFERROR(__xludf.DUMMYFUNCTION("""COMPUTED_VALUE"""),46062)</f>
        <v>46062</v>
      </c>
      <c r="M652" s="64" t="str">
        <f ca="1">IFERROR(__xludf.DUMMYFUNCTION("""COMPUTED_VALUE"""),"NO")</f>
        <v>NO</v>
      </c>
      <c r="N652" s="56">
        <f ca="1">IFERROR(__xludf.DUMMYFUNCTION("""COMPUTED_VALUE"""),1)</f>
        <v>1</v>
      </c>
      <c r="O652" s="64" t="str">
        <f ca="1">IFERROR(__xludf.DUMMYFUNCTION("""COMPUTED_VALUE"""),"CONFORT")</f>
        <v>CONFORT</v>
      </c>
      <c r="P652" s="62">
        <f ca="1">IFERROR(__xludf.DUMMYFUNCTION("""COMPUTED_VALUE"""),3363.64)</f>
        <v>3363.64</v>
      </c>
      <c r="Q652" s="33" t="str">
        <f ca="1">IFERROR(__xludf.DUMMYFUNCTION("""COMPUTED_VALUE"""),"Ramon Ferrando")</f>
        <v>Ramon Ferrando</v>
      </c>
      <c r="R652" s="33" t="str">
        <f ca="1">IFERROR(__xludf.DUMMYFUNCTION("""COMPUTED_VALUE"""),"Dr, Rafael Pérez González")</f>
        <v>Dr, Rafael Pérez González</v>
      </c>
      <c r="S652" s="61" t="str">
        <f ca="1">IFERROR(__xludf.DUMMYFUNCTION("""COMPUTED_VALUE"""),"03 ORL")</f>
        <v>03 ORL</v>
      </c>
      <c r="T652" s="33" t="str">
        <f ca="1">IFERROR(__xludf.DUMMYFUNCTION("""COMPUTED_VALUE"""),"06 ORL")</f>
        <v>06 ORL</v>
      </c>
      <c r="U652" s="62"/>
      <c r="W652" s="61"/>
      <c r="X652" s="62"/>
    </row>
    <row r="653" spans="2:24" ht="16">
      <c r="B653" s="67" t="str">
        <f t="shared" ca="1" si="3"/>
        <v>#N/</v>
      </c>
      <c r="C653" s="64" t="str">
        <f ca="1">IFERROR(__xludf.DUMMYFUNCTION("""COMPUTED_VALUE"""),"#N/A")</f>
        <v>#N/A</v>
      </c>
      <c r="D653" s="33" t="str">
        <f ca="1">IFERROR(__xludf.DUMMYFUNCTION("""COMPUTED_VALUE"""),"ASOCIADOS")</f>
        <v>ASOCIADOS</v>
      </c>
      <c r="E653" s="33">
        <f ca="1">IFERROR(__xludf.DUMMYFUNCTION("""COMPUTED_VALUE"""),2026)</f>
        <v>2026</v>
      </c>
      <c r="F653" s="56">
        <f ca="1">IFERROR(__xludf.DUMMYFUNCTION("""COMPUTED_VALUE"""),1)</f>
        <v>1</v>
      </c>
      <c r="G653" s="33" t="str">
        <f ca="1">IFERROR(__xludf.DUMMYFUNCTION("""COMPUTED_VALUE"""),"León")</f>
        <v>León</v>
      </c>
      <c r="H653" s="33" t="str">
        <f ca="1">IFERROR(__xludf.DUMMYFUNCTION("""COMPUTED_VALUE"""),"LEO-562")</f>
        <v>LEO-562</v>
      </c>
      <c r="I653" s="33" t="str">
        <f ca="1">IFERROR(__xludf.DUMMYFUNCTION("""COMPUTED_VALUE"""),"BALBINO GONZALEZ GOMEZ")</f>
        <v>BALBINO GONZALEZ GOMEZ</v>
      </c>
      <c r="J653" s="57">
        <f ca="1">IFERROR(__xludf.DUMMYFUNCTION("""COMPUTED_VALUE"""),45987)</f>
        <v>45987</v>
      </c>
      <c r="K653" s="33" t="str">
        <f ca="1">IFERROR(__xludf.DUMMYFUNCTION("""COMPUTED_VALUE"""),"Devuelve")</f>
        <v>Devuelve</v>
      </c>
      <c r="L653" s="57">
        <f ca="1">IFERROR(__xludf.DUMMYFUNCTION("""COMPUTED_VALUE"""),46042)</f>
        <v>46042</v>
      </c>
      <c r="M653" s="58" t="str">
        <f ca="1">IFERROR(__xludf.DUMMYFUNCTION("""COMPUTED_VALUE"""),"NO")</f>
        <v>NO</v>
      </c>
      <c r="N653" s="56">
        <f ca="1">IFERROR(__xludf.DUMMYFUNCTION("""COMPUTED_VALUE"""),0)</f>
        <v>0</v>
      </c>
      <c r="O653" s="64"/>
      <c r="P653" s="62"/>
      <c r="Q653" s="33" t="str">
        <f ca="1">IFERROR(__xludf.DUMMYFUNCTION("""COMPUTED_VALUE"""),"Ramon Ferrando")</f>
        <v>Ramon Ferrando</v>
      </c>
      <c r="R653" s="33" t="str">
        <f ca="1">IFERROR(__xludf.DUMMYFUNCTION("""COMPUTED_VALUE"""),"Dra, Mónica Granda Rosales")</f>
        <v>Dra, Mónica Granda Rosales</v>
      </c>
      <c r="S653" s="61" t="str">
        <f ca="1">IFERROR(__xludf.DUMMYFUNCTION("""COMPUTED_VALUE"""),"03 ORL")</f>
        <v>03 ORL</v>
      </c>
      <c r="T653" s="33" t="str">
        <f ca="1">IFERROR(__xludf.DUMMYFUNCTION("""COMPUTED_VALUE"""),"06 ORL")</f>
        <v>06 ORL</v>
      </c>
      <c r="U653" s="62"/>
      <c r="W653" s="61"/>
      <c r="X653" s="62"/>
    </row>
    <row r="654" spans="2:24" ht="16">
      <c r="B654" s="67" t="str">
        <f t="shared" ca="1" si="3"/>
        <v>#N/</v>
      </c>
      <c r="C654" s="64" t="str">
        <f ca="1">IFERROR(__xludf.DUMMYFUNCTION("""COMPUTED_VALUE"""),"#N/A")</f>
        <v>#N/A</v>
      </c>
      <c r="D654" s="33" t="str">
        <f ca="1">IFERROR(__xludf.DUMMYFUNCTION("""COMPUTED_VALUE"""),"ASOCIADOS")</f>
        <v>ASOCIADOS</v>
      </c>
      <c r="E654" s="33">
        <f ca="1">IFERROR(__xludf.DUMMYFUNCTION("""COMPUTED_VALUE"""),2026)</f>
        <v>2026</v>
      </c>
      <c r="F654" s="56">
        <f ca="1">IFERROR(__xludf.DUMMYFUNCTION("""COMPUTED_VALUE"""),3)</f>
        <v>3</v>
      </c>
      <c r="G654" s="33" t="str">
        <f ca="1">IFERROR(__xludf.DUMMYFUNCTION("""COMPUTED_VALUE"""),"León")</f>
        <v>León</v>
      </c>
      <c r="H654" s="33" t="str">
        <f ca="1">IFERROR(__xludf.DUMMYFUNCTION("""COMPUTED_VALUE"""),"C202632121952078403")</f>
        <v>C202632121952078403</v>
      </c>
      <c r="I654" s="33" t="str">
        <f ca="1">IFERROR(__xludf.DUMMYFUNCTION("""COMPUTED_VALUE"""),"Manuel Leoncio Riesco Garcia")</f>
        <v>Manuel Leoncio Riesco Garcia</v>
      </c>
      <c r="J654" s="57">
        <f ca="1">IFERROR(__xludf.DUMMYFUNCTION("""COMPUTED_VALUE"""),46083)</f>
        <v>46083</v>
      </c>
      <c r="K654" s="33" t="str">
        <f ca="1">IFERROR(__xludf.DUMMYFUNCTION("""COMPUTED_VALUE"""),"Pedido")</f>
        <v>Pedido</v>
      </c>
      <c r="L654" s="57">
        <f ca="1">IFERROR(__xludf.DUMMYFUNCTION("""COMPUTED_VALUE"""),46087)</f>
        <v>46087</v>
      </c>
      <c r="M654" s="64" t="str">
        <f ca="1">IFERROR(__xludf.DUMMYFUNCTION("""COMPUTED_VALUE"""),"NO")</f>
        <v>NO</v>
      </c>
      <c r="N654" s="56">
        <f ca="1">IFERROR(__xludf.DUMMYFUNCTION("""COMPUTED_VALUE"""),1)</f>
        <v>1</v>
      </c>
      <c r="O654" s="64" t="str">
        <f ca="1">IFERROR(__xludf.DUMMYFUNCTION("""COMPUTED_VALUE"""),"ADVANCED")</f>
        <v>ADVANCED</v>
      </c>
      <c r="P654" s="62">
        <f ca="1">IFERROR(__xludf.DUMMYFUNCTION("""COMPUTED_VALUE"""),4284.55)</f>
        <v>4284.55</v>
      </c>
      <c r="Q654" s="33" t="str">
        <f ca="1">IFERROR(__xludf.DUMMYFUNCTION("""COMPUTED_VALUE"""),"Ramon Ferrando")</f>
        <v>Ramon Ferrando</v>
      </c>
      <c r="R654" s="33" t="str">
        <f ca="1">IFERROR(__xludf.DUMMYFUNCTION("""COMPUTED_VALUE"""),"Dr, Rafael Pérez González")</f>
        <v>Dr, Rafael Pérez González</v>
      </c>
      <c r="S654" s="61" t="str">
        <f ca="1">IFERROR(__xludf.DUMMYFUNCTION("""COMPUTED_VALUE"""),"03 ORL")</f>
        <v>03 ORL</v>
      </c>
      <c r="T654" s="33" t="str">
        <f ca="1">IFERROR(__xludf.DUMMYFUNCTION("""COMPUTED_VALUE"""),"06 ORL")</f>
        <v>06 ORL</v>
      </c>
      <c r="U654" s="62"/>
      <c r="W654" s="61"/>
      <c r="X654" s="62"/>
    </row>
    <row r="655" spans="2:24" ht="16">
      <c r="B655" s="67" t="str">
        <f t="shared" ca="1" si="3"/>
        <v>#N/</v>
      </c>
      <c r="C655" s="64" t="str">
        <f ca="1">IFERROR(__xludf.DUMMYFUNCTION("""COMPUTED_VALUE"""),"#N/A")</f>
        <v>#N/A</v>
      </c>
      <c r="D655" s="33" t="str">
        <f ca="1">IFERROR(__xludf.DUMMYFUNCTION("""COMPUTED_VALUE"""),"ASOCIADOS")</f>
        <v>ASOCIADOS</v>
      </c>
      <c r="E655" s="33">
        <f ca="1">IFERROR(__xludf.DUMMYFUNCTION("""COMPUTED_VALUE"""),2026)</f>
        <v>2026</v>
      </c>
      <c r="F655" s="56">
        <f ca="1">IFERROR(__xludf.DUMMYFUNCTION("""COMPUTED_VALUE"""),2)</f>
        <v>2</v>
      </c>
      <c r="G655" s="33" t="str">
        <f ca="1">IFERROR(__xludf.DUMMYFUNCTION("""COMPUTED_VALUE"""),"León")</f>
        <v>León</v>
      </c>
      <c r="H655" s="33" t="str">
        <f ca="1">IFERROR(__xludf.DUMMYFUNCTION("""COMPUTED_VALUE"""),"C202621716172872356")</f>
        <v>C202621716172872356</v>
      </c>
      <c r="I655" s="33" t="str">
        <f ca="1">IFERROR(__xludf.DUMMYFUNCTION("""COMPUTED_VALUE"""),"Maria Jimenez Bermudez")</f>
        <v>Maria Jimenez Bermudez</v>
      </c>
      <c r="J655" s="57">
        <f ca="1">IFERROR(__xludf.DUMMYFUNCTION("""COMPUTED_VALUE"""),46070)</f>
        <v>46070</v>
      </c>
      <c r="K655" s="33" t="str">
        <f ca="1">IFERROR(__xludf.DUMMYFUNCTION("""COMPUTED_VALUE"""),"Presupuesto")</f>
        <v>Presupuesto</v>
      </c>
      <c r="L655" s="57">
        <f ca="1">IFERROR(__xludf.DUMMYFUNCTION("""COMPUTED_VALUE"""),46076)</f>
        <v>46076</v>
      </c>
      <c r="M655" s="64" t="str">
        <f ca="1">IFERROR(__xludf.DUMMYFUNCTION("""COMPUTED_VALUE"""),"NO")</f>
        <v>NO</v>
      </c>
      <c r="N655" s="56">
        <f ca="1">IFERROR(__xludf.DUMMYFUNCTION("""COMPUTED_VALUE"""),2)</f>
        <v>2</v>
      </c>
      <c r="O655" s="64" t="str">
        <f ca="1">IFERROR(__xludf.DUMMYFUNCTION("""COMPUTED_VALUE"""),"SOCIAL")</f>
        <v>SOCIAL</v>
      </c>
      <c r="P655" s="62">
        <f ca="1">IFERROR(__xludf.DUMMYFUNCTION("""COMPUTED_VALUE"""),2709.09)</f>
        <v>2709.09</v>
      </c>
      <c r="Q655" s="33" t="str">
        <f ca="1">IFERROR(__xludf.DUMMYFUNCTION("""COMPUTED_VALUE"""),"Ramon Ferrando")</f>
        <v>Ramon Ferrando</v>
      </c>
      <c r="R655" s="33" t="str">
        <f ca="1">IFERROR(__xludf.DUMMYFUNCTION("""COMPUTED_VALUE"""),"Dra, Carmen Fernández-Cedrón Bermejo")</f>
        <v>Dra, Carmen Fernández-Cedrón Bermejo</v>
      </c>
      <c r="S655" s="61" t="str">
        <f ca="1">IFERROR(__xludf.DUMMYFUNCTION("""COMPUTED_VALUE"""),"03 ORL")</f>
        <v>03 ORL</v>
      </c>
      <c r="T655" s="33" t="str">
        <f ca="1">IFERROR(__xludf.DUMMYFUNCTION("""COMPUTED_VALUE"""),"06 ORL")</f>
        <v>06 ORL</v>
      </c>
      <c r="U655" s="62"/>
      <c r="W655" s="61"/>
      <c r="X655" s="62"/>
    </row>
    <row r="656" spans="2:24" ht="16">
      <c r="B656" s="67" t="str">
        <f t="shared" ca="1" si="3"/>
        <v>#N/</v>
      </c>
      <c r="C656" s="64" t="str">
        <f ca="1">IFERROR(__xludf.DUMMYFUNCTION("""COMPUTED_VALUE"""),"#N/A")</f>
        <v>#N/A</v>
      </c>
      <c r="D656" s="33" t="str">
        <f ca="1">IFERROR(__xludf.DUMMYFUNCTION("""COMPUTED_VALUE"""),"ASOCIADOS")</f>
        <v>ASOCIADOS</v>
      </c>
      <c r="E656" s="33">
        <f ca="1">IFERROR(__xludf.DUMMYFUNCTION("""COMPUTED_VALUE"""),2026)</f>
        <v>2026</v>
      </c>
      <c r="F656" s="56">
        <f ca="1">IFERROR(__xludf.DUMMYFUNCTION("""COMPUTED_VALUE"""),1)</f>
        <v>1</v>
      </c>
      <c r="G656" s="33" t="str">
        <f ca="1">IFERROR(__xludf.DUMMYFUNCTION("""COMPUTED_VALUE"""),"León")</f>
        <v>León</v>
      </c>
      <c r="H656" s="33" t="str">
        <f ca="1">IFERROR(__xludf.DUMMYFUNCTION("""COMPUTED_VALUE"""),"C202612716471450244")</f>
        <v>C202612716471450244</v>
      </c>
      <c r="I656" s="33" t="str">
        <f ca="1">IFERROR(__xludf.DUMMYFUNCTION("""COMPUTED_VALUE"""),"Prudencia Villayandre Gonzalez")</f>
        <v>Prudencia Villayandre Gonzalez</v>
      </c>
      <c r="J656" s="57">
        <f ca="1">IFERROR(__xludf.DUMMYFUNCTION("""COMPUTED_VALUE"""),46049)</f>
        <v>46049</v>
      </c>
      <c r="K656" s="33" t="str">
        <f ca="1">IFERROR(__xludf.DUMMYFUNCTION("""COMPUTED_VALUE"""),"Presupuesto")</f>
        <v>Presupuesto</v>
      </c>
      <c r="L656" s="57">
        <f ca="1">IFERROR(__xludf.DUMMYFUNCTION("""COMPUTED_VALUE"""),46052)</f>
        <v>46052</v>
      </c>
      <c r="M656" s="64" t="str">
        <f ca="1">IFERROR(__xludf.DUMMYFUNCTION("""COMPUTED_VALUE"""),"NO")</f>
        <v>NO</v>
      </c>
      <c r="N656" s="56">
        <f ca="1">IFERROR(__xludf.DUMMYFUNCTION("""COMPUTED_VALUE"""),1)</f>
        <v>1</v>
      </c>
      <c r="O656" s="64" t="str">
        <f ca="1">IFERROR(__xludf.DUMMYFUNCTION("""COMPUTED_VALUE"""),"CONFORT")</f>
        <v>CONFORT</v>
      </c>
      <c r="P656" s="62">
        <f ca="1">IFERROR(__xludf.DUMMYFUNCTION("""COMPUTED_VALUE"""),2613.64)</f>
        <v>2613.64</v>
      </c>
      <c r="Q656" s="33" t="str">
        <f ca="1">IFERROR(__xludf.DUMMYFUNCTION("""COMPUTED_VALUE"""),"Ramon Ferrando")</f>
        <v>Ramon Ferrando</v>
      </c>
      <c r="R656" s="33" t="str">
        <f ca="1">IFERROR(__xludf.DUMMYFUNCTION("""COMPUTED_VALUE"""),"Dr, Rafael Pérez González")</f>
        <v>Dr, Rafael Pérez González</v>
      </c>
      <c r="S656" s="61" t="str">
        <f ca="1">IFERROR(__xludf.DUMMYFUNCTION("""COMPUTED_VALUE"""),"03 ORL")</f>
        <v>03 ORL</v>
      </c>
      <c r="T656" s="33" t="str">
        <f ca="1">IFERROR(__xludf.DUMMYFUNCTION("""COMPUTED_VALUE"""),"06 ORL")</f>
        <v>06 ORL</v>
      </c>
      <c r="U656" s="62"/>
      <c r="W656" s="61"/>
      <c r="X656" s="62"/>
    </row>
    <row r="657" spans="2:24" ht="16">
      <c r="B657" s="67" t="str">
        <f t="shared" ca="1" si="3"/>
        <v>#N/</v>
      </c>
      <c r="C657" s="64" t="str">
        <f ca="1">IFERROR(__xludf.DUMMYFUNCTION("""COMPUTED_VALUE"""),"#N/A")</f>
        <v>#N/A</v>
      </c>
      <c r="D657" s="33" t="str">
        <f ca="1">IFERROR(__xludf.DUMMYFUNCTION("""COMPUTED_VALUE"""),"PROPIOS")</f>
        <v>PROPIOS</v>
      </c>
      <c r="E657" s="33">
        <f ca="1">IFERROR(__xludf.DUMMYFUNCTION("""COMPUTED_VALUE"""),2026)</f>
        <v>2026</v>
      </c>
      <c r="F657" s="56">
        <f ca="1">IFERROR(__xludf.DUMMYFUNCTION("""COMPUTED_VALUE"""),3)</f>
        <v>3</v>
      </c>
      <c r="G657" s="33" t="str">
        <f ca="1">IFERROR(__xludf.DUMMYFUNCTION("""COMPUTED_VALUE"""),"Logroño")</f>
        <v>Logroño</v>
      </c>
      <c r="H657" s="33" t="str">
        <f ca="1">IFERROR(__xludf.DUMMYFUNCTION("""COMPUTED_VALUE"""),"C202631716645428995")</f>
        <v>C202631716645428995</v>
      </c>
      <c r="I657" s="33" t="str">
        <f ca="1">IFERROR(__xludf.DUMMYFUNCTION("""COMPUTED_VALUE"""),"ALBERTO MIGUEL SALINAS SAEZ")</f>
        <v>ALBERTO MIGUEL SALINAS SAEZ</v>
      </c>
      <c r="J657" s="57">
        <f ca="1">IFERROR(__xludf.DUMMYFUNCTION("""COMPUTED_VALUE"""),46098)</f>
        <v>46098</v>
      </c>
      <c r="K657" s="33" t="str">
        <f ca="1">IFERROR(__xludf.DUMMYFUNCTION("""COMPUTED_VALUE"""),"Prueba")</f>
        <v>Prueba</v>
      </c>
      <c r="L657" s="57">
        <f ca="1">IFERROR(__xludf.DUMMYFUNCTION("""COMPUTED_VALUE"""),46111)</f>
        <v>46111</v>
      </c>
      <c r="M657" s="64" t="str">
        <f ca="1">IFERROR(__xludf.DUMMYFUNCTION("""COMPUTED_VALUE"""),"NO")</f>
        <v>NO</v>
      </c>
      <c r="N657" s="56">
        <f ca="1">IFERROR(__xludf.DUMMYFUNCTION("""COMPUTED_VALUE"""),2)</f>
        <v>2</v>
      </c>
      <c r="O657" s="64" t="str">
        <f ca="1">IFERROR(__xludf.DUMMYFUNCTION("""COMPUTED_VALUE"""),"TRIAL")</f>
        <v>TRIAL</v>
      </c>
      <c r="P657" s="62">
        <f ca="1">IFERROR(__xludf.DUMMYFUNCTION("""COMPUTED_VALUE"""),4136.36)</f>
        <v>4136.3599999999997</v>
      </c>
      <c r="Q657" s="33" t="str">
        <f ca="1">IFERROR(__xludf.DUMMYFUNCTION("""COMPUTED_VALUE"""),"Lisandro Russian")</f>
        <v>Lisandro Russian</v>
      </c>
      <c r="R657" s="33" t="str">
        <f ca="1">IFERROR(__xludf.DUMMYFUNCTION("""COMPUTED_VALUE"""),"Dr, Daniel Briones Crespo")</f>
        <v>Dr, Daniel Briones Crespo</v>
      </c>
      <c r="S657" s="61" t="str">
        <f ca="1">IFERROR(__xludf.DUMMYFUNCTION("""COMPUTED_VALUE"""),"03 ORL")</f>
        <v>03 ORL</v>
      </c>
      <c r="T657" s="33" t="str">
        <f ca="1">IFERROR(__xludf.DUMMYFUNCTION("""COMPUTED_VALUE"""),"22 AUDIOMETRIA CLINICA")</f>
        <v>22 AUDIOMETRIA CLINICA</v>
      </c>
      <c r="U657" s="62"/>
      <c r="W657" s="61"/>
      <c r="X657" s="62"/>
    </row>
    <row r="658" spans="2:24" ht="16">
      <c r="B658" s="67" t="str">
        <f t="shared" ca="1" si="3"/>
        <v/>
      </c>
      <c r="C658" s="64"/>
      <c r="D658" s="33" t="str">
        <f ca="1">IFERROR(__xludf.DUMMYFUNCTION("""COMPUTED_VALUE"""),"PROPIOS")</f>
        <v>PROPIOS</v>
      </c>
      <c r="E658" s="33">
        <f ca="1">IFERROR(__xludf.DUMMYFUNCTION("""COMPUTED_VALUE"""),2026)</f>
        <v>2026</v>
      </c>
      <c r="F658" s="56">
        <f ca="1">IFERROR(__xludf.DUMMYFUNCTION("""COMPUTED_VALUE"""),3)</f>
        <v>3</v>
      </c>
      <c r="G658" s="33" t="str">
        <f ca="1">IFERROR(__xludf.DUMMYFUNCTION("""COMPUTED_VALUE"""),"Logroño")</f>
        <v>Logroño</v>
      </c>
      <c r="H658" s="33" t="str">
        <f ca="1">IFERROR(__xludf.DUMMYFUNCTION("""COMPUTED_VALUE"""),"C202622518856347208")</f>
        <v>C202622518856347208</v>
      </c>
      <c r="I658" s="33" t="str">
        <f ca="1">IFERROR(__xludf.DUMMYFUNCTION("""COMPUTED_VALUE"""),"ALEJANDRO  CABRERIZO MARTINEZ DE LA PUENTE")</f>
        <v>ALEJANDRO  CABRERIZO MARTINEZ DE LA PUENTE</v>
      </c>
      <c r="J658" s="57">
        <f ca="1">IFERROR(__xludf.DUMMYFUNCTION("""COMPUTED_VALUE"""),46078)</f>
        <v>46078</v>
      </c>
      <c r="K658" s="33" t="str">
        <f ca="1">IFERROR(__xludf.DUMMYFUNCTION("""COMPUTED_VALUE"""),"Prueba")</f>
        <v>Prueba</v>
      </c>
      <c r="L658" s="57">
        <f ca="1">IFERROR(__xludf.DUMMYFUNCTION("""COMPUTED_VALUE"""),46105)</f>
        <v>46105</v>
      </c>
      <c r="M658" s="58" t="str">
        <f ca="1">IFERROR(__xludf.DUMMYFUNCTION("""COMPUTED_VALUE"""),"NO")</f>
        <v>NO</v>
      </c>
      <c r="N658" s="56">
        <f ca="1">IFERROR(__xludf.DUMMYFUNCTION("""COMPUTED_VALUE"""),1)</f>
        <v>1</v>
      </c>
      <c r="O658" s="64" t="str">
        <f ca="1">IFERROR(__xludf.DUMMYFUNCTION("""COMPUTED_VALUE"""),"ADVANCED")</f>
        <v>ADVANCED</v>
      </c>
      <c r="P658" s="62">
        <f ca="1">IFERROR(__xludf.DUMMYFUNCTION("""COMPUTED_VALUE"""),2481.82)</f>
        <v>2481.8200000000002</v>
      </c>
      <c r="Q658" s="33" t="str">
        <f ca="1">IFERROR(__xludf.DUMMYFUNCTION("""COMPUTED_VALUE"""),"Lisandro Russian")</f>
        <v>Lisandro Russian</v>
      </c>
      <c r="R658" s="33" t="str">
        <f ca="1">IFERROR(__xludf.DUMMYFUNCTION("""COMPUTED_VALUE"""),"No recuerda ORL")</f>
        <v>No recuerda ORL</v>
      </c>
      <c r="S658" s="61" t="str">
        <f ca="1">IFERROR(__xludf.DUMMYFUNCTION("""COMPUTED_VALUE"""),"03 ORL")</f>
        <v>03 ORL</v>
      </c>
      <c r="T658" s="33" t="str">
        <f ca="1">IFERROR(__xludf.DUMMYFUNCTION("""COMPUTED_VALUE"""),"06 ORL")</f>
        <v>06 ORL</v>
      </c>
      <c r="U658" s="62"/>
      <c r="W658" s="61"/>
      <c r="X658" s="62"/>
    </row>
    <row r="659" spans="2:24" ht="16">
      <c r="B659" s="67" t="str">
        <f t="shared" ca="1" si="3"/>
        <v/>
      </c>
      <c r="C659" s="64"/>
      <c r="D659" s="33" t="str">
        <f ca="1">IFERROR(__xludf.DUMMYFUNCTION("""COMPUTED_VALUE"""),"PROPIOS")</f>
        <v>PROPIOS</v>
      </c>
      <c r="E659" s="33">
        <f ca="1">IFERROR(__xludf.DUMMYFUNCTION("""COMPUTED_VALUE"""),2026)</f>
        <v>2026</v>
      </c>
      <c r="F659" s="56">
        <f ca="1">IFERROR(__xludf.DUMMYFUNCTION("""COMPUTED_VALUE"""),3)</f>
        <v>3</v>
      </c>
      <c r="G659" s="33" t="str">
        <f ca="1">IFERROR(__xludf.DUMMYFUNCTION("""COMPUTED_VALUE"""),"Logroño")</f>
        <v>Logroño</v>
      </c>
      <c r="H659" s="33" t="str">
        <f ca="1">IFERROR(__xludf.DUMMYFUNCTION("""COMPUTED_VALUE"""),"C20263695145640568")</f>
        <v>C20263695145640568</v>
      </c>
      <c r="I659" s="33" t="str">
        <f ca="1">IFERROR(__xludf.DUMMYFUNCTION("""COMPUTED_VALUE"""),"ANGEL RODRIGUEZ TEJEDOR")</f>
        <v>ANGEL RODRIGUEZ TEJEDOR</v>
      </c>
      <c r="J659" s="57">
        <f ca="1">IFERROR(__xludf.DUMMYFUNCTION("""COMPUTED_VALUE"""),46087)</f>
        <v>46087</v>
      </c>
      <c r="K659" s="33" t="str">
        <f ca="1">IFERROR(__xludf.DUMMYFUNCTION("""COMPUTED_VALUE"""),"Devuelve")</f>
        <v>Devuelve</v>
      </c>
      <c r="L659" s="57">
        <f ca="1">IFERROR(__xludf.DUMMYFUNCTION("""COMPUTED_VALUE"""),46094)</f>
        <v>46094</v>
      </c>
      <c r="M659" s="64" t="str">
        <f ca="1">IFERROR(__xludf.DUMMYFUNCTION("""COMPUTED_VALUE"""),"NO")</f>
        <v>NO</v>
      </c>
      <c r="N659" s="56">
        <f ca="1">IFERROR(__xludf.DUMMYFUNCTION("""COMPUTED_VALUE"""),2)</f>
        <v>2</v>
      </c>
      <c r="O659" s="64" t="str">
        <f ca="1">IFERROR(__xludf.DUMMYFUNCTION("""COMPUTED_VALUE"""),"ADVANCED")</f>
        <v>ADVANCED</v>
      </c>
      <c r="P659" s="62">
        <f ca="1">IFERROR(__xludf.DUMMYFUNCTION("""COMPUTED_VALUE"""),4136.36)</f>
        <v>4136.3599999999997</v>
      </c>
      <c r="Q659" s="33" t="str">
        <f ca="1">IFERROR(__xludf.DUMMYFUNCTION("""COMPUTED_VALUE"""),"Lisandro Russian")</f>
        <v>Lisandro Russian</v>
      </c>
      <c r="R659" s="33" t="str">
        <f ca="1">IFERROR(__xludf.DUMMYFUNCTION("""COMPUTED_VALUE"""),"No recuerda ORL")</f>
        <v>No recuerda ORL</v>
      </c>
      <c r="S659" s="61" t="str">
        <f ca="1">IFERROR(__xludf.DUMMYFUNCTION("""COMPUTED_VALUE"""),"03 ORL")</f>
        <v>03 ORL</v>
      </c>
      <c r="T659" s="33" t="str">
        <f ca="1">IFERROR(__xludf.DUMMYFUNCTION("""COMPUTED_VALUE"""),"06 ORL")</f>
        <v>06 ORL</v>
      </c>
      <c r="U659" s="62"/>
      <c r="W659" s="61"/>
      <c r="X659" s="62"/>
    </row>
    <row r="660" spans="2:24" ht="16">
      <c r="B660" s="67" t="str">
        <f t="shared" ca="1" si="3"/>
        <v>#N/</v>
      </c>
      <c r="C660" s="64" t="str">
        <f ca="1">IFERROR(__xludf.DUMMYFUNCTION("""COMPUTED_VALUE"""),"#N/A")</f>
        <v>#N/A</v>
      </c>
      <c r="D660" s="33" t="str">
        <f ca="1">IFERROR(__xludf.DUMMYFUNCTION("""COMPUTED_VALUE"""),"PROPIOS")</f>
        <v>PROPIOS</v>
      </c>
      <c r="E660" s="33">
        <f ca="1">IFERROR(__xludf.DUMMYFUNCTION("""COMPUTED_VALUE"""),2026)</f>
        <v>2026</v>
      </c>
      <c r="F660" s="56">
        <f ca="1">IFERROR(__xludf.DUMMYFUNCTION("""COMPUTED_VALUE"""),2)</f>
        <v>2</v>
      </c>
      <c r="G660" s="33" t="str">
        <f ca="1">IFERROR(__xludf.DUMMYFUNCTION("""COMPUTED_VALUE"""),"Logroño")</f>
        <v>Logroño</v>
      </c>
      <c r="H660" s="33" t="str">
        <f ca="1">IFERROR(__xludf.DUMMYFUNCTION("""COMPUTED_VALUE"""),"C2026121130532")</f>
        <v>C2026121130532</v>
      </c>
      <c r="I660" s="33" t="str">
        <f ca="1">IFERROR(__xludf.DUMMYFUNCTION("""COMPUTED_VALUE"""),"ANTONIO ROBERT BARRERA")</f>
        <v>ANTONIO ROBERT BARRERA</v>
      </c>
      <c r="J660" s="57">
        <f ca="1">IFERROR(__xludf.DUMMYFUNCTION("""COMPUTED_VALUE"""),46043)</f>
        <v>46043</v>
      </c>
      <c r="K660" s="33" t="str">
        <f ca="1">IFERROR(__xludf.DUMMYFUNCTION("""COMPUTED_VALUE"""),"Prueba")</f>
        <v>Prueba</v>
      </c>
      <c r="L660" s="57">
        <f ca="1">IFERROR(__xludf.DUMMYFUNCTION("""COMPUTED_VALUE"""),46071)</f>
        <v>46071</v>
      </c>
      <c r="M660" s="64" t="str">
        <f ca="1">IFERROR(__xludf.DUMMYFUNCTION("""COMPUTED_VALUE"""),"NO")</f>
        <v>NO</v>
      </c>
      <c r="N660" s="56">
        <f ca="1">IFERROR(__xludf.DUMMYFUNCTION("""COMPUTED_VALUE"""),2)</f>
        <v>2</v>
      </c>
      <c r="O660" s="64" t="str">
        <f ca="1">IFERROR(__xludf.DUMMYFUNCTION("""COMPUTED_VALUE"""),"TRIAL")</f>
        <v>TRIAL</v>
      </c>
      <c r="P660" s="62">
        <f ca="1">IFERROR(__xludf.DUMMYFUNCTION("""COMPUTED_VALUE"""),3631.82)</f>
        <v>3631.82</v>
      </c>
      <c r="Q660" s="33" t="str">
        <f ca="1">IFERROR(__xludf.DUMMYFUNCTION("""COMPUTED_VALUE"""),"Lisandro Russian")</f>
        <v>Lisandro Russian</v>
      </c>
      <c r="R660" s="33" t="str">
        <f ca="1">IFERROR(__xludf.DUMMYFUNCTION("""COMPUTED_VALUE"""),"Dr, Fernando Salazar Barcelona")</f>
        <v>Dr, Fernando Salazar Barcelona</v>
      </c>
      <c r="S660" s="61" t="str">
        <f ca="1">IFERROR(__xludf.DUMMYFUNCTION("""COMPUTED_VALUE"""),"03 ORL")</f>
        <v>03 ORL</v>
      </c>
      <c r="T660" s="33" t="str">
        <f ca="1">IFERROR(__xludf.DUMMYFUNCTION("""COMPUTED_VALUE"""),"06 ORL")</f>
        <v>06 ORL</v>
      </c>
      <c r="U660" s="62"/>
      <c r="W660" s="61"/>
      <c r="X660" s="62"/>
    </row>
    <row r="661" spans="2:24" ht="16">
      <c r="B661" s="67" t="str">
        <f t="shared" ca="1" si="3"/>
        <v/>
      </c>
      <c r="C661" s="64"/>
      <c r="D661" s="33" t="str">
        <f ca="1">IFERROR(__xludf.DUMMYFUNCTION("""COMPUTED_VALUE"""),"PROPIOS")</f>
        <v>PROPIOS</v>
      </c>
      <c r="E661" s="33">
        <f ca="1">IFERROR(__xludf.DUMMYFUNCTION("""COMPUTED_VALUE"""),2026)</f>
        <v>2026</v>
      </c>
      <c r="F661" s="56">
        <f ca="1">IFERROR(__xludf.DUMMYFUNCTION("""COMPUTED_VALUE"""),3)</f>
        <v>3</v>
      </c>
      <c r="G661" s="33" t="str">
        <f ca="1">IFERROR(__xludf.DUMMYFUNCTION("""COMPUTED_VALUE"""),"Logroño")</f>
        <v>Logroño</v>
      </c>
      <c r="H661" s="33" t="str">
        <f ca="1">IFERROR(__xludf.DUMMYFUNCTION("""COMPUTED_VALUE"""),"C202631617574227092")</f>
        <v>C202631617574227092</v>
      </c>
      <c r="I661" s="33" t="str">
        <f ca="1">IFERROR(__xludf.DUMMYFUNCTION("""COMPUTED_VALUE"""),"MARIA DEL CARMEN SANCHEZ GARCIA")</f>
        <v>MARIA DEL CARMEN SANCHEZ GARCIA</v>
      </c>
      <c r="J661" s="57">
        <f ca="1">IFERROR(__xludf.DUMMYFUNCTION("""COMPUTED_VALUE"""),46097)</f>
        <v>46097</v>
      </c>
      <c r="K661" s="33" t="str">
        <f ca="1">IFERROR(__xludf.DUMMYFUNCTION("""COMPUTED_VALUE"""),"Pedido")</f>
        <v>Pedido</v>
      </c>
      <c r="L661" s="57">
        <f ca="1">IFERROR(__xludf.DUMMYFUNCTION("""COMPUTED_VALUE"""),46108)</f>
        <v>46108</v>
      </c>
      <c r="M661" s="64" t="str">
        <f ca="1">IFERROR(__xludf.DUMMYFUNCTION("""COMPUTED_VALUE"""),"NO")</f>
        <v>NO</v>
      </c>
      <c r="N661" s="56">
        <f ca="1">IFERROR(__xludf.DUMMYFUNCTION("""COMPUTED_VALUE"""),1)</f>
        <v>1</v>
      </c>
      <c r="O661" s="64" t="str">
        <f ca="1">IFERROR(__xludf.DUMMYFUNCTION("""COMPUTED_VALUE"""),"QUIET")</f>
        <v>QUIET</v>
      </c>
      <c r="P661" s="62">
        <f ca="1">IFERROR(__xludf.DUMMYFUNCTION("""COMPUTED_VALUE"""),1631.82)</f>
        <v>1631.82</v>
      </c>
      <c r="Q661" s="33" t="str">
        <f ca="1">IFERROR(__xludf.DUMMYFUNCTION("""COMPUTED_VALUE"""),"Lisandro Russian")</f>
        <v>Lisandro Russian</v>
      </c>
      <c r="R661" s="33" t="str">
        <f ca="1">IFERROR(__xludf.DUMMYFUNCTION("""COMPUTED_VALUE"""),"No recuerda ORL")</f>
        <v>No recuerda ORL</v>
      </c>
      <c r="S661" s="61" t="str">
        <f ca="1">IFERROR(__xludf.DUMMYFUNCTION("""COMPUTED_VALUE"""),"03 ORL")</f>
        <v>03 ORL</v>
      </c>
      <c r="T661" s="33" t="str">
        <f ca="1">IFERROR(__xludf.DUMMYFUNCTION("""COMPUTED_VALUE"""),"06 ORL")</f>
        <v>06 ORL</v>
      </c>
      <c r="U661" s="62"/>
      <c r="W661" s="61"/>
      <c r="X661" s="62"/>
    </row>
    <row r="662" spans="2:24" ht="16">
      <c r="B662" s="67" t="str">
        <f t="shared" ca="1" si="3"/>
        <v>#N/</v>
      </c>
      <c r="C662" s="64" t="str">
        <f ca="1">IFERROR(__xludf.DUMMYFUNCTION("""COMPUTED_VALUE"""),"#N/A")</f>
        <v>#N/A</v>
      </c>
      <c r="D662" s="33" t="str">
        <f ca="1">IFERROR(__xludf.DUMMYFUNCTION("""COMPUTED_VALUE"""),"PROPIOS")</f>
        <v>PROPIOS</v>
      </c>
      <c r="E662" s="33">
        <f ca="1">IFERROR(__xludf.DUMMYFUNCTION("""COMPUTED_VALUE"""),2026)</f>
        <v>2026</v>
      </c>
      <c r="F662" s="56">
        <f ca="1">IFERROR(__xludf.DUMMYFUNCTION("""COMPUTED_VALUE"""),1)</f>
        <v>1</v>
      </c>
      <c r="G662" s="33" t="str">
        <f ca="1">IFERROR(__xludf.DUMMYFUNCTION("""COMPUTED_VALUE"""),"Logroño")</f>
        <v>Logroño</v>
      </c>
      <c r="H662" s="33" t="str">
        <f ca="1">IFERROR(__xludf.DUMMYFUNCTION("""COMPUTED_VALUE"""),"C202511191154559619")</f>
        <v>C202511191154559619</v>
      </c>
      <c r="I662" s="33" t="str">
        <f ca="1">IFERROR(__xludf.DUMMYFUNCTION("""COMPUTED_VALUE"""),"MARIA INES GARCIA GONZALEZ")</f>
        <v>MARIA INES GARCIA GONZALEZ</v>
      </c>
      <c r="J662" s="57">
        <f ca="1">IFERROR(__xludf.DUMMYFUNCTION("""COMPUTED_VALUE"""),45980)</f>
        <v>45980</v>
      </c>
      <c r="K662" s="33" t="str">
        <f ca="1">IFERROR(__xludf.DUMMYFUNCTION("""COMPUTED_VALUE"""),"Pedido")</f>
        <v>Pedido</v>
      </c>
      <c r="L662" s="57">
        <f ca="1">IFERROR(__xludf.DUMMYFUNCTION("""COMPUTED_VALUE"""),46050)</f>
        <v>46050</v>
      </c>
      <c r="M662" s="64" t="str">
        <f ca="1">IFERROR(__xludf.DUMMYFUNCTION("""COMPUTED_VALUE"""),"NO")</f>
        <v>NO</v>
      </c>
      <c r="N662" s="56">
        <f ca="1">IFERROR(__xludf.DUMMYFUNCTION("""COMPUTED_VALUE"""),2)</f>
        <v>2</v>
      </c>
      <c r="O662" s="64" t="str">
        <f ca="1">IFERROR(__xludf.DUMMYFUNCTION("""COMPUTED_VALUE"""),"PRO")</f>
        <v>PRO</v>
      </c>
      <c r="P662" s="62">
        <f ca="1">IFERROR(__xludf.DUMMYFUNCTION("""COMPUTED_VALUE"""),4536.36)</f>
        <v>4536.3599999999997</v>
      </c>
      <c r="Q662" s="33" t="str">
        <f ca="1">IFERROR(__xludf.DUMMYFUNCTION("""COMPUTED_VALUE"""),"Lisandro Russian")</f>
        <v>Lisandro Russian</v>
      </c>
      <c r="R662" s="33" t="str">
        <f ca="1">IFERROR(__xludf.DUMMYFUNCTION("""COMPUTED_VALUE"""),"Dra, Marta García Jiménez")</f>
        <v>Dra, Marta García Jiménez</v>
      </c>
      <c r="S662" s="61" t="str">
        <f ca="1">IFERROR(__xludf.DUMMYFUNCTION("""COMPUTED_VALUE"""),"03 ORL")</f>
        <v>03 ORL</v>
      </c>
      <c r="T662" s="33" t="str">
        <f ca="1">IFERROR(__xludf.DUMMYFUNCTION("""COMPUTED_VALUE"""),"06 ORL")</f>
        <v>06 ORL</v>
      </c>
      <c r="U662" s="62"/>
      <c r="W662" s="61"/>
      <c r="X662" s="62"/>
    </row>
    <row r="663" spans="2:24" ht="16">
      <c r="B663" s="67" t="str">
        <f t="shared" ca="1" si="3"/>
        <v/>
      </c>
      <c r="C663" s="64"/>
      <c r="D663" s="33" t="str">
        <f ca="1">IFERROR(__xludf.DUMMYFUNCTION("""COMPUTED_VALUE"""),"PROPIOS")</f>
        <v>PROPIOS</v>
      </c>
      <c r="E663" s="33">
        <f ca="1">IFERROR(__xludf.DUMMYFUNCTION("""COMPUTED_VALUE"""),2026)</f>
        <v>2026</v>
      </c>
      <c r="F663" s="56">
        <f ca="1">IFERROR(__xludf.DUMMYFUNCTION("""COMPUTED_VALUE"""),3)</f>
        <v>3</v>
      </c>
      <c r="G663" s="33" t="str">
        <f ca="1">IFERROR(__xludf.DUMMYFUNCTION("""COMPUTED_VALUE"""),"Logroño")</f>
        <v>Logroño</v>
      </c>
      <c r="H663" s="33" t="str">
        <f ca="1">IFERROR(__xludf.DUMMYFUNCTION("""COMPUTED_VALUE"""),"C202619122341487692")</f>
        <v>C202619122341487692</v>
      </c>
      <c r="I663" s="33" t="str">
        <f ca="1">IFERROR(__xludf.DUMMYFUNCTION("""COMPUTED_VALUE"""),"MARIA ROSARIO SAENZ GARRIDO")</f>
        <v>MARIA ROSARIO SAENZ GARRIDO</v>
      </c>
      <c r="J663" s="57">
        <f ca="1">IFERROR(__xludf.DUMMYFUNCTION("""COMPUTED_VALUE"""),46031)</f>
        <v>46031</v>
      </c>
      <c r="K663" s="33" t="str">
        <f ca="1">IFERROR(__xludf.DUMMYFUNCTION("""COMPUTED_VALUE"""),"Prueba")</f>
        <v>Prueba</v>
      </c>
      <c r="L663" s="57">
        <f ca="1">IFERROR(__xludf.DUMMYFUNCTION("""COMPUTED_VALUE"""),46098)</f>
        <v>46098</v>
      </c>
      <c r="M663" s="64" t="str">
        <f ca="1">IFERROR(__xludf.DUMMYFUNCTION("""COMPUTED_VALUE"""),"NO")</f>
        <v>NO</v>
      </c>
      <c r="N663" s="56">
        <f ca="1">IFERROR(__xludf.DUMMYFUNCTION("""COMPUTED_VALUE"""),2)</f>
        <v>2</v>
      </c>
      <c r="O663" s="64" t="str">
        <f ca="1">IFERROR(__xludf.DUMMYFUNCTION("""COMPUTED_VALUE"""),"TRIAL")</f>
        <v>TRIAL</v>
      </c>
      <c r="P663" s="62">
        <f ca="1">IFERROR(__xludf.DUMMYFUNCTION("""COMPUTED_VALUE"""),3631.82)</f>
        <v>3631.82</v>
      </c>
      <c r="Q663" s="33" t="str">
        <f ca="1">IFERROR(__xludf.DUMMYFUNCTION("""COMPUTED_VALUE"""),"Lisandro Russian")</f>
        <v>Lisandro Russian</v>
      </c>
      <c r="R663" s="33" t="str">
        <f ca="1">IFERROR(__xludf.DUMMYFUNCTION("""COMPUTED_VALUE"""),"No recuerda ORL")</f>
        <v>No recuerda ORL</v>
      </c>
      <c r="S663" s="61" t="str">
        <f ca="1">IFERROR(__xludf.DUMMYFUNCTION("""COMPUTED_VALUE"""),"03 ORL")</f>
        <v>03 ORL</v>
      </c>
      <c r="T663" s="33" t="str">
        <f ca="1">IFERROR(__xludf.DUMMYFUNCTION("""COMPUTED_VALUE"""),"06 ORL")</f>
        <v>06 ORL</v>
      </c>
      <c r="U663" s="62"/>
      <c r="W663" s="61"/>
      <c r="X663" s="62"/>
    </row>
    <row r="664" spans="2:24" ht="16">
      <c r="B664" s="67" t="str">
        <f t="shared" ca="1" si="3"/>
        <v/>
      </c>
      <c r="C664" s="64"/>
      <c r="D664" s="33" t="str">
        <f ca="1">IFERROR(__xludf.DUMMYFUNCTION("""COMPUTED_VALUE"""),"PROPIOS")</f>
        <v>PROPIOS</v>
      </c>
      <c r="E664" s="33">
        <f ca="1">IFERROR(__xludf.DUMMYFUNCTION("""COMPUTED_VALUE"""),2026)</f>
        <v>2026</v>
      </c>
      <c r="F664" s="56">
        <f ca="1">IFERROR(__xludf.DUMMYFUNCTION("""COMPUTED_VALUE"""),2)</f>
        <v>2</v>
      </c>
      <c r="G664" s="33" t="str">
        <f ca="1">IFERROR(__xludf.DUMMYFUNCTION("""COMPUTED_VALUE"""),"Logroño")</f>
        <v>Logroño</v>
      </c>
      <c r="H664" s="33" t="str">
        <f ca="1">IFERROR(__xludf.DUMMYFUNCTION("""COMPUTED_VALUE"""),"C202512417171406101")</f>
        <v>C202512417171406101</v>
      </c>
      <c r="I664" s="33" t="str">
        <f ca="1">IFERROR(__xludf.DUMMYFUNCTION("""COMPUTED_VALUE"""),"ROSA MARIA RODRIGUEZ ANDOLLO")</f>
        <v>ROSA MARIA RODRIGUEZ ANDOLLO</v>
      </c>
      <c r="J664" s="57">
        <f ca="1">IFERROR(__xludf.DUMMYFUNCTION("""COMPUTED_VALUE"""),45995)</f>
        <v>45995</v>
      </c>
      <c r="K664" s="33" t="str">
        <f ca="1">IFERROR(__xludf.DUMMYFUNCTION("""COMPUTED_VALUE"""),"Devuelve")</f>
        <v>Devuelve</v>
      </c>
      <c r="L664" s="57">
        <f ca="1">IFERROR(__xludf.DUMMYFUNCTION("""COMPUTED_VALUE"""),46064)</f>
        <v>46064</v>
      </c>
      <c r="M664" s="64" t="str">
        <f ca="1">IFERROR(__xludf.DUMMYFUNCTION("""COMPUTED_VALUE"""),"NO")</f>
        <v>NO</v>
      </c>
      <c r="N664" s="56">
        <f ca="1">IFERROR(__xludf.DUMMYFUNCTION("""COMPUTED_VALUE"""),2)</f>
        <v>2</v>
      </c>
      <c r="O664" s="64" t="str">
        <f ca="1">IFERROR(__xludf.DUMMYFUNCTION("""COMPUTED_VALUE"""),"TRIAL")</f>
        <v>TRIAL</v>
      </c>
      <c r="P664" s="62">
        <f ca="1">IFERROR(__xludf.DUMMYFUNCTION("""COMPUTED_VALUE"""),3631.82)</f>
        <v>3631.82</v>
      </c>
      <c r="Q664" s="33" t="str">
        <f ca="1">IFERROR(__xludf.DUMMYFUNCTION("""COMPUTED_VALUE"""),"Lisandro Russian")</f>
        <v>Lisandro Russian</v>
      </c>
      <c r="R664" s="33" t="str">
        <f ca="1">IFERROR(__xludf.DUMMYFUNCTION("""COMPUTED_VALUE"""),"No recuerda ORL")</f>
        <v>No recuerda ORL</v>
      </c>
      <c r="S664" s="61" t="str">
        <f ca="1">IFERROR(__xludf.DUMMYFUNCTION("""COMPUTED_VALUE"""),"03 ORL")</f>
        <v>03 ORL</v>
      </c>
      <c r="T664" s="33" t="str">
        <f ca="1">IFERROR(__xludf.DUMMYFUNCTION("""COMPUTED_VALUE"""),"06 ORL")</f>
        <v>06 ORL</v>
      </c>
      <c r="U664" s="62"/>
      <c r="W664" s="61"/>
      <c r="X664" s="62"/>
    </row>
    <row r="665" spans="2:24" ht="16">
      <c r="B665" s="67" t="str">
        <f t="shared" ca="1" si="3"/>
        <v/>
      </c>
      <c r="C665" s="64"/>
      <c r="D665" s="33" t="str">
        <f ca="1">IFERROR(__xludf.DUMMYFUNCTION("""COMPUTED_VALUE"""),"PROPIOS")</f>
        <v>PROPIOS</v>
      </c>
      <c r="E665" s="33">
        <f ca="1">IFERROR(__xludf.DUMMYFUNCTION("""COMPUTED_VALUE"""),2026)</f>
        <v>2026</v>
      </c>
      <c r="F665" s="56">
        <f ca="1">IFERROR(__xludf.DUMMYFUNCTION("""COMPUTED_VALUE"""),3)</f>
        <v>3</v>
      </c>
      <c r="G665" s="33" t="str">
        <f ca="1">IFERROR(__xludf.DUMMYFUNCTION("""COMPUTED_VALUE"""),"Logroño")</f>
        <v>Logroño</v>
      </c>
      <c r="H665" s="33" t="str">
        <f ca="1">IFERROR(__xludf.DUMMYFUNCTION("""COMPUTED_VALUE"""),"C202631118331928855")</f>
        <v>C202631118331928855</v>
      </c>
      <c r="I665" s="33" t="str">
        <f ca="1">IFERROR(__xludf.DUMMYFUNCTION("""COMPUTED_VALUE"""),"VICENTE SANTIAGO TEJEDOR PINILLOS")</f>
        <v>VICENTE SANTIAGO TEJEDOR PINILLOS</v>
      </c>
      <c r="J665" s="57">
        <f ca="1">IFERROR(__xludf.DUMMYFUNCTION("""COMPUTED_VALUE"""),46092)</f>
        <v>46092</v>
      </c>
      <c r="K665" s="33" t="str">
        <f ca="1">IFERROR(__xludf.DUMMYFUNCTION("""COMPUTED_VALUE"""),"Prueba")</f>
        <v>Prueba</v>
      </c>
      <c r="L665" s="57">
        <f ca="1">IFERROR(__xludf.DUMMYFUNCTION("""COMPUTED_VALUE"""),46098)</f>
        <v>46098</v>
      </c>
      <c r="M665" s="64" t="str">
        <f ca="1">IFERROR(__xludf.DUMMYFUNCTION("""COMPUTED_VALUE"""),"NO")</f>
        <v>NO</v>
      </c>
      <c r="N665" s="56">
        <f ca="1">IFERROR(__xludf.DUMMYFUNCTION("""COMPUTED_VALUE"""),2)</f>
        <v>2</v>
      </c>
      <c r="O665" s="64" t="str">
        <f ca="1">IFERROR(__xludf.DUMMYFUNCTION("""COMPUTED_VALUE"""),"TRIAL")</f>
        <v>TRIAL</v>
      </c>
      <c r="P665" s="62">
        <f ca="1">IFERROR(__xludf.DUMMYFUNCTION("""COMPUTED_VALUE"""),4136.36)</f>
        <v>4136.3599999999997</v>
      </c>
      <c r="Q665" s="33" t="str">
        <f ca="1">IFERROR(__xludf.DUMMYFUNCTION("""COMPUTED_VALUE"""),"Lisandro Russian")</f>
        <v>Lisandro Russian</v>
      </c>
      <c r="R665" s="33" t="str">
        <f ca="1">IFERROR(__xludf.DUMMYFUNCTION("""COMPUTED_VALUE"""),"No recuerda ORL")</f>
        <v>No recuerda ORL</v>
      </c>
      <c r="S665" s="61" t="str">
        <f ca="1">IFERROR(__xludf.DUMMYFUNCTION("""COMPUTED_VALUE"""),"03 ORL")</f>
        <v>03 ORL</v>
      </c>
      <c r="T665" s="33" t="str">
        <f ca="1">IFERROR(__xludf.DUMMYFUNCTION("""COMPUTED_VALUE"""),"06 ORL")</f>
        <v>06 ORL</v>
      </c>
      <c r="U665" s="62"/>
      <c r="W665" s="61"/>
      <c r="X665" s="62"/>
    </row>
    <row r="666" spans="2:24" ht="16">
      <c r="B666" s="67" t="str">
        <f t="shared" ca="1" si="3"/>
        <v/>
      </c>
      <c r="C666" s="64"/>
      <c r="D666" s="33" t="str">
        <f ca="1">IFERROR(__xludf.DUMMYFUNCTION("""COMPUTED_VALUE"""),"PROPIOS")</f>
        <v>PROPIOS</v>
      </c>
      <c r="E666" s="33">
        <f ca="1">IFERROR(__xludf.DUMMYFUNCTION("""COMPUTED_VALUE"""),2026)</f>
        <v>2026</v>
      </c>
      <c r="F666" s="56">
        <f ca="1">IFERROR(__xludf.DUMMYFUNCTION("""COMPUTED_VALUE"""),2)</f>
        <v>2</v>
      </c>
      <c r="G666" s="33" t="str">
        <f ca="1">IFERROR(__xludf.DUMMYFUNCTION("""COMPUTED_VALUE"""),"Logroño")</f>
        <v>Logroño</v>
      </c>
      <c r="H666" s="33" t="str">
        <f ca="1">IFERROR(__xludf.DUMMYFUNCTION("""COMPUTED_VALUE"""),"C202621314401395683")</f>
        <v>C202621314401395683</v>
      </c>
      <c r="I666" s="33" t="str">
        <f ca="1">IFERROR(__xludf.DUMMYFUNCTION("""COMPUTED_VALUE"""),"Virginia Wilma Yujra Baltazar")</f>
        <v>Virginia Wilma Yujra Baltazar</v>
      </c>
      <c r="J666" s="57">
        <f ca="1">IFERROR(__xludf.DUMMYFUNCTION("""COMPUTED_VALUE"""),46066)</f>
        <v>46066</v>
      </c>
      <c r="K666" s="33" t="str">
        <f ca="1">IFERROR(__xludf.DUMMYFUNCTION("""COMPUTED_VALUE"""),"Presupuesto")</f>
        <v>Presupuesto</v>
      </c>
      <c r="L666" s="57">
        <f ca="1">IFERROR(__xludf.DUMMYFUNCTION("""COMPUTED_VALUE"""),46073)</f>
        <v>46073</v>
      </c>
      <c r="M666" s="64" t="str">
        <f ca="1">IFERROR(__xludf.DUMMYFUNCTION("""COMPUTED_VALUE"""),"NO")</f>
        <v>NO</v>
      </c>
      <c r="N666" s="56">
        <f ca="1">IFERROR(__xludf.DUMMYFUNCTION("""COMPUTED_VALUE"""),1)</f>
        <v>1</v>
      </c>
      <c r="O666" s="64" t="str">
        <f ca="1">IFERROR(__xludf.DUMMYFUNCTION("""COMPUTED_VALUE"""),"QUIET")</f>
        <v>QUIET</v>
      </c>
      <c r="P666" s="62">
        <f ca="1">IFERROR(__xludf.DUMMYFUNCTION("""COMPUTED_VALUE"""),1631.82)</f>
        <v>1631.82</v>
      </c>
      <c r="Q666" s="33" t="str">
        <f ca="1">IFERROR(__xludf.DUMMYFUNCTION("""COMPUTED_VALUE"""),"Lisandro Russian")</f>
        <v>Lisandro Russian</v>
      </c>
      <c r="R666" s="33" t="str">
        <f ca="1">IFERROR(__xludf.DUMMYFUNCTION("""COMPUTED_VALUE"""),"No recuerda ORL")</f>
        <v>No recuerda ORL</v>
      </c>
      <c r="S666" s="61" t="str">
        <f ca="1">IFERROR(__xludf.DUMMYFUNCTION("""COMPUTED_VALUE"""),"03 ORL")</f>
        <v>03 ORL</v>
      </c>
      <c r="T666" s="33" t="str">
        <f ca="1">IFERROR(__xludf.DUMMYFUNCTION("""COMPUTED_VALUE"""),"06 ORL")</f>
        <v>06 ORL</v>
      </c>
      <c r="U666" s="62"/>
      <c r="W666" s="61"/>
      <c r="X666" s="62"/>
    </row>
    <row r="667" spans="2:24" ht="16">
      <c r="B667" s="67" t="str">
        <f t="shared" ca="1" si="3"/>
        <v>#N/</v>
      </c>
      <c r="C667" s="64" t="str">
        <f ca="1">IFERROR(__xludf.DUMMYFUNCTION("""COMPUTED_VALUE"""),"#N/A")</f>
        <v>#N/A</v>
      </c>
      <c r="D667" s="33" t="str">
        <f ca="1">IFERROR(__xludf.DUMMYFUNCTION("""COMPUTED_VALUE"""),"PARTICIPADOS")</f>
        <v>PARTICIPADOS</v>
      </c>
      <c r="E667" s="33">
        <f ca="1">IFERROR(__xludf.DUMMYFUNCTION("""COMPUTED_VALUE"""),2026)</f>
        <v>2026</v>
      </c>
      <c r="F667" s="56">
        <f ca="1">IFERROR(__xludf.DUMMYFUNCTION("""COMPUTED_VALUE"""),2)</f>
        <v>2</v>
      </c>
      <c r="G667" s="33" t="str">
        <f ca="1">IFERROR(__xludf.DUMMYFUNCTION("""COMPUTED_VALUE"""),"Lugo")</f>
        <v>Lugo</v>
      </c>
      <c r="H667" s="33" t="str">
        <f ca="1">IFERROR(__xludf.DUMMYFUNCTION("""COMPUTED_VALUE"""),"C202612812333311783")</f>
        <v>C202612812333311783</v>
      </c>
      <c r="I667" s="33" t="str">
        <f ca="1">IFERROR(__xludf.DUMMYFUNCTION("""COMPUTED_VALUE"""),"ERMITAS FERNANDEZ FERNANDEZ")</f>
        <v>ERMITAS FERNANDEZ FERNANDEZ</v>
      </c>
      <c r="J667" s="57">
        <f ca="1">IFERROR(__xludf.DUMMYFUNCTION("""COMPUTED_VALUE"""),46050)</f>
        <v>46050</v>
      </c>
      <c r="K667" s="33" t="str">
        <f ca="1">IFERROR(__xludf.DUMMYFUNCTION("""COMPUTED_VALUE"""),"Devuelve")</f>
        <v>Devuelve</v>
      </c>
      <c r="L667" s="57">
        <f ca="1">IFERROR(__xludf.DUMMYFUNCTION("""COMPUTED_VALUE"""),46064)</f>
        <v>46064</v>
      </c>
      <c r="M667" s="64" t="str">
        <f ca="1">IFERROR(__xludf.DUMMYFUNCTION("""COMPUTED_VALUE"""),"NO")</f>
        <v>NO</v>
      </c>
      <c r="N667" s="56">
        <f ca="1">IFERROR(__xludf.DUMMYFUNCTION("""COMPUTED_VALUE"""),2)</f>
        <v>2</v>
      </c>
      <c r="O667" s="64" t="str">
        <f ca="1">IFERROR(__xludf.DUMMYFUNCTION("""COMPUTED_VALUE"""),"QUIET")</f>
        <v>QUIET</v>
      </c>
      <c r="P667" s="62">
        <f ca="1">IFERROR(__xludf.DUMMYFUNCTION("""COMPUTED_VALUE"""),2718.18)</f>
        <v>2718.18</v>
      </c>
      <c r="Q667" s="33" t="str">
        <f ca="1">IFERROR(__xludf.DUMMYFUNCTION("""COMPUTED_VALUE"""),"KiKo Ortega")</f>
        <v>KiKo Ortega</v>
      </c>
      <c r="R667" s="33" t="str">
        <f ca="1">IFERROR(__xludf.DUMMYFUNCTION("""COMPUTED_VALUE"""),"Dr, Pedro Juiz López")</f>
        <v>Dr, Pedro Juiz López</v>
      </c>
      <c r="S667" s="61" t="str">
        <f ca="1">IFERROR(__xludf.DUMMYFUNCTION("""COMPUTED_VALUE"""),"03 ORL")</f>
        <v>03 ORL</v>
      </c>
      <c r="T667" s="33" t="str">
        <f ca="1">IFERROR(__xludf.DUMMYFUNCTION("""COMPUTED_VALUE"""),"06 ORL")</f>
        <v>06 ORL</v>
      </c>
      <c r="U667" s="62"/>
      <c r="W667" s="61"/>
      <c r="X667" s="62"/>
    </row>
    <row r="668" spans="2:24" ht="16">
      <c r="B668" s="67" t="str">
        <f t="shared" ca="1" si="3"/>
        <v>#N/</v>
      </c>
      <c r="C668" s="64" t="str">
        <f ca="1">IFERROR(__xludf.DUMMYFUNCTION("""COMPUTED_VALUE"""),"#N/A")</f>
        <v>#N/A</v>
      </c>
      <c r="D668" s="33" t="str">
        <f ca="1">IFERROR(__xludf.DUMMYFUNCTION("""COMPUTED_VALUE"""),"PROPIOS")</f>
        <v>PROPIOS</v>
      </c>
      <c r="E668" s="33">
        <f ca="1">IFERROR(__xludf.DUMMYFUNCTION("""COMPUTED_VALUE"""),2026)</f>
        <v>2026</v>
      </c>
      <c r="F668" s="56">
        <f ca="1">IFERROR(__xludf.DUMMYFUNCTION("""COMPUTED_VALUE"""),1)</f>
        <v>1</v>
      </c>
      <c r="G668" s="33" t="str">
        <f ca="1">IFERROR(__xludf.DUMMYFUNCTION("""COMPUTED_VALUE"""),"Madrid- Canillas")</f>
        <v>Madrid- Canillas</v>
      </c>
      <c r="H668" s="33" t="str">
        <f ca="1">IFERROR(__xludf.DUMMYFUNCTION("""COMPUTED_VALUE"""),"C202611410524485266")</f>
        <v>C202611410524485266</v>
      </c>
      <c r="I668" s="33" t="str">
        <f ca="1">IFERROR(__xludf.DUMMYFUNCTION("""COMPUTED_VALUE"""),"ANTONIO RODRÍGUEZ OLAYA")</f>
        <v>ANTONIO RODRÍGUEZ OLAYA</v>
      </c>
      <c r="J668" s="57">
        <f ca="1">IFERROR(__xludf.DUMMYFUNCTION("""COMPUTED_VALUE"""),46036)</f>
        <v>46036</v>
      </c>
      <c r="K668" s="33" t="str">
        <f ca="1">IFERROR(__xludf.DUMMYFUNCTION("""COMPUTED_VALUE"""),"Presupuesto")</f>
        <v>Presupuesto</v>
      </c>
      <c r="L668" s="57">
        <f ca="1">IFERROR(__xludf.DUMMYFUNCTION("""COMPUTED_VALUE"""),46042)</f>
        <v>46042</v>
      </c>
      <c r="M668" s="64" t="str">
        <f ca="1">IFERROR(__xludf.DUMMYFUNCTION("""COMPUTED_VALUE"""),"NO")</f>
        <v>NO</v>
      </c>
      <c r="N668" s="56">
        <f ca="1">IFERROR(__xludf.DUMMYFUNCTION("""COMPUTED_VALUE"""),2)</f>
        <v>2</v>
      </c>
      <c r="O668" s="64" t="str">
        <f ca="1">IFERROR(__xludf.DUMMYFUNCTION("""COMPUTED_VALUE"""),"TRIAL")</f>
        <v>TRIAL</v>
      </c>
      <c r="P668" s="62">
        <f ca="1">IFERROR(__xludf.DUMMYFUNCTION("""COMPUTED_VALUE"""),3631.82)</f>
        <v>3631.82</v>
      </c>
      <c r="Q668" s="33" t="str">
        <f ca="1">IFERROR(__xludf.DUMMYFUNCTION("""COMPUTED_VALUE"""),"Maika Blázquez")</f>
        <v>Maika Blázquez</v>
      </c>
      <c r="R668" s="33" t="str">
        <f ca="1">IFERROR(__xludf.DUMMYFUNCTION("""COMPUTED_VALUE"""),"Dr, José Gustavo Barroso Braojos")</f>
        <v>Dr, José Gustavo Barroso Braojos</v>
      </c>
      <c r="S668" s="61" t="str">
        <f ca="1">IFERROR(__xludf.DUMMYFUNCTION("""COMPUTED_VALUE"""),"03 ORL")</f>
        <v>03 ORL</v>
      </c>
      <c r="T668" s="33" t="str">
        <f ca="1">IFERROR(__xludf.DUMMYFUNCTION("""COMPUTED_VALUE"""),"06 ORL")</f>
        <v>06 ORL</v>
      </c>
      <c r="U668" s="62"/>
      <c r="W668" s="61"/>
      <c r="X668" s="62"/>
    </row>
    <row r="669" spans="2:24" ht="16">
      <c r="B669" s="67" t="str">
        <f t="shared" ca="1" si="3"/>
        <v/>
      </c>
      <c r="C669" s="64"/>
      <c r="D669" s="33" t="str">
        <f ca="1">IFERROR(__xludf.DUMMYFUNCTION("""COMPUTED_VALUE"""),"PROPIOS")</f>
        <v>PROPIOS</v>
      </c>
      <c r="E669" s="33">
        <f ca="1">IFERROR(__xludf.DUMMYFUNCTION("""COMPUTED_VALUE"""),2026)</f>
        <v>2026</v>
      </c>
      <c r="F669" s="56">
        <f ca="1">IFERROR(__xludf.DUMMYFUNCTION("""COMPUTED_VALUE"""),3)</f>
        <v>3</v>
      </c>
      <c r="G669" s="33" t="str">
        <f ca="1">IFERROR(__xludf.DUMMYFUNCTION("""COMPUTED_VALUE"""),"Madrid- Canillas")</f>
        <v>Madrid- Canillas</v>
      </c>
      <c r="H669" s="33" t="str">
        <f ca="1">IFERROR(__xludf.DUMMYFUNCTION("""COMPUTED_VALUE"""),"C202621010363554407")</f>
        <v>C202621010363554407</v>
      </c>
      <c r="I669" s="33" t="str">
        <f ca="1">IFERROR(__xludf.DUMMYFUNCTION("""COMPUTED_VALUE"""),"FRANCINE BORD GARNIER")</f>
        <v>FRANCINE BORD GARNIER</v>
      </c>
      <c r="J669" s="57">
        <f ca="1">IFERROR(__xludf.DUMMYFUNCTION("""COMPUTED_VALUE"""),46063)</f>
        <v>46063</v>
      </c>
      <c r="K669" s="33" t="str">
        <f ca="1">IFERROR(__xludf.DUMMYFUNCTION("""COMPUTED_VALUE"""),"Presupuesto")</f>
        <v>Presupuesto</v>
      </c>
      <c r="L669" s="57">
        <f ca="1">IFERROR(__xludf.DUMMYFUNCTION("""COMPUTED_VALUE"""),46112)</f>
        <v>46112</v>
      </c>
      <c r="M669" s="64" t="str">
        <f ca="1">IFERROR(__xludf.DUMMYFUNCTION("""COMPUTED_VALUE"""),"NO")</f>
        <v>NO</v>
      </c>
      <c r="N669" s="56">
        <f ca="1">IFERROR(__xludf.DUMMYFUNCTION("""COMPUTED_VALUE"""),2)</f>
        <v>2</v>
      </c>
      <c r="O669" s="64" t="str">
        <f ca="1">IFERROR(__xludf.DUMMYFUNCTION("""COMPUTED_VALUE"""),"QUIET")</f>
        <v>QUIET</v>
      </c>
      <c r="P669" s="62">
        <f ca="1">IFERROR(__xludf.DUMMYFUNCTION("""COMPUTED_VALUE"""),2718.18)</f>
        <v>2718.18</v>
      </c>
      <c r="Q669" s="33" t="str">
        <f ca="1">IFERROR(__xludf.DUMMYFUNCTION("""COMPUTED_VALUE"""),"Maika Blázquez")</f>
        <v>Maika Blázquez</v>
      </c>
      <c r="R669" s="33" t="str">
        <f ca="1">IFERROR(__xludf.DUMMYFUNCTION("""COMPUTED_VALUE"""),"No recuerda ORL")</f>
        <v>No recuerda ORL</v>
      </c>
      <c r="S669" s="61" t="str">
        <f ca="1">IFERROR(__xludf.DUMMYFUNCTION("""COMPUTED_VALUE"""),"03 ORL")</f>
        <v>03 ORL</v>
      </c>
      <c r="T669" s="33" t="str">
        <f ca="1">IFERROR(__xludf.DUMMYFUNCTION("""COMPUTED_VALUE"""),"06 ORL")</f>
        <v>06 ORL</v>
      </c>
      <c r="U669" s="62"/>
      <c r="W669" s="61"/>
      <c r="X669" s="62"/>
    </row>
    <row r="670" spans="2:24" ht="16">
      <c r="B670" s="67" t="str">
        <f t="shared" ca="1" si="3"/>
        <v/>
      </c>
      <c r="C670" s="64"/>
      <c r="D670" s="33" t="str">
        <f ca="1">IFERROR(__xludf.DUMMYFUNCTION("""COMPUTED_VALUE"""),"PROPIOS")</f>
        <v>PROPIOS</v>
      </c>
      <c r="E670" s="33">
        <f ca="1">IFERROR(__xludf.DUMMYFUNCTION("""COMPUTED_VALUE"""),2026)</f>
        <v>2026</v>
      </c>
      <c r="F670" s="56">
        <f ca="1">IFERROR(__xludf.DUMMYFUNCTION("""COMPUTED_VALUE"""),2)</f>
        <v>2</v>
      </c>
      <c r="G670" s="33" t="str">
        <f ca="1">IFERROR(__xludf.DUMMYFUNCTION("""COMPUTED_VALUE"""),"Madrid- Canillas")</f>
        <v>Madrid- Canillas</v>
      </c>
      <c r="H670" s="33" t="str">
        <f ca="1">IFERROR(__xludf.DUMMYFUNCTION("""COMPUTED_VALUE"""),"C202621817818380518")</f>
        <v>C202621817818380518</v>
      </c>
      <c r="I670" s="33" t="str">
        <f ca="1">IFERROR(__xludf.DUMMYFUNCTION("""COMPUTED_VALUE"""),"JESUS  DE MIGUEL MUNIESA")</f>
        <v>JESUS  DE MIGUEL MUNIESA</v>
      </c>
      <c r="J670" s="57">
        <f ca="1">IFERROR(__xludf.DUMMYFUNCTION("""COMPUTED_VALUE"""),46071)</f>
        <v>46071</v>
      </c>
      <c r="K670" s="33" t="str">
        <f ca="1">IFERROR(__xludf.DUMMYFUNCTION("""COMPUTED_VALUE"""),"Presupuesto")</f>
        <v>Presupuesto</v>
      </c>
      <c r="L670" s="57">
        <f ca="1">IFERROR(__xludf.DUMMYFUNCTION("""COMPUTED_VALUE"""),46077)</f>
        <v>46077</v>
      </c>
      <c r="M670" s="64" t="str">
        <f ca="1">IFERROR(__xludf.DUMMYFUNCTION("""COMPUTED_VALUE"""),"NO")</f>
        <v>NO</v>
      </c>
      <c r="N670" s="56">
        <f ca="1">IFERROR(__xludf.DUMMYFUNCTION("""COMPUTED_VALUE"""),2)</f>
        <v>2</v>
      </c>
      <c r="O670" s="64" t="str">
        <f ca="1">IFERROR(__xludf.DUMMYFUNCTION("""COMPUTED_VALUE"""),"ADVANCED")</f>
        <v>ADVANCED</v>
      </c>
      <c r="P670" s="62">
        <f ca="1">IFERROR(__xludf.DUMMYFUNCTION("""COMPUTED_VALUE"""),4136.36)</f>
        <v>4136.3599999999997</v>
      </c>
      <c r="Q670" s="33" t="str">
        <f ca="1">IFERROR(__xludf.DUMMYFUNCTION("""COMPUTED_VALUE"""),"Maika Blázquez")</f>
        <v>Maika Blázquez</v>
      </c>
      <c r="R670" s="33" t="str">
        <f ca="1">IFERROR(__xludf.DUMMYFUNCTION("""COMPUTED_VALUE"""),"No recuerda ORL")</f>
        <v>No recuerda ORL</v>
      </c>
      <c r="S670" s="61" t="str">
        <f ca="1">IFERROR(__xludf.DUMMYFUNCTION("""COMPUTED_VALUE"""),"03 ORL")</f>
        <v>03 ORL</v>
      </c>
      <c r="T670" s="33" t="str">
        <f ca="1">IFERROR(__xludf.DUMMYFUNCTION("""COMPUTED_VALUE"""),"06 ORL")</f>
        <v>06 ORL</v>
      </c>
      <c r="U670" s="62"/>
      <c r="W670" s="61"/>
      <c r="X670" s="62"/>
    </row>
    <row r="671" spans="2:24" ht="16">
      <c r="B671" s="67" t="str">
        <f t="shared" ca="1" si="3"/>
        <v>#N/</v>
      </c>
      <c r="C671" s="64" t="str">
        <f ca="1">IFERROR(__xludf.DUMMYFUNCTION("""COMPUTED_VALUE"""),"#N/A")</f>
        <v>#N/A</v>
      </c>
      <c r="D671" s="33" t="str">
        <f ca="1">IFERROR(__xludf.DUMMYFUNCTION("""COMPUTED_VALUE"""),"PROPIOS")</f>
        <v>PROPIOS</v>
      </c>
      <c r="E671" s="33">
        <f ca="1">IFERROR(__xludf.DUMMYFUNCTION("""COMPUTED_VALUE"""),2026)</f>
        <v>2026</v>
      </c>
      <c r="F671" s="56">
        <f ca="1">IFERROR(__xludf.DUMMYFUNCTION("""COMPUTED_VALUE"""),2)</f>
        <v>2</v>
      </c>
      <c r="G671" s="33" t="str">
        <f ca="1">IFERROR(__xludf.DUMMYFUNCTION("""COMPUTED_VALUE"""),"Madrid- Canillas")</f>
        <v>Madrid- Canillas</v>
      </c>
      <c r="H671" s="33" t="str">
        <f ca="1">IFERROR(__xludf.DUMMYFUNCTION("""COMPUTED_VALUE"""),"C202612117450509165")</f>
        <v>C202612117450509165</v>
      </c>
      <c r="I671" s="33" t="str">
        <f ca="1">IFERROR(__xludf.DUMMYFUNCTION("""COMPUTED_VALUE"""),"JOSE LUIS RODRIGUEZ GALINDO")</f>
        <v>JOSE LUIS RODRIGUEZ GALINDO</v>
      </c>
      <c r="J671" s="57">
        <f ca="1">IFERROR(__xludf.DUMMYFUNCTION("""COMPUTED_VALUE"""),46043)</f>
        <v>46043</v>
      </c>
      <c r="K671" s="33" t="str">
        <f ca="1">IFERROR(__xludf.DUMMYFUNCTION("""COMPUTED_VALUE"""),"Presupuesto")</f>
        <v>Presupuesto</v>
      </c>
      <c r="L671" s="57">
        <f ca="1">IFERROR(__xludf.DUMMYFUNCTION("""COMPUTED_VALUE"""),46056)</f>
        <v>46056</v>
      </c>
      <c r="M671" s="64" t="str">
        <f ca="1">IFERROR(__xludf.DUMMYFUNCTION("""COMPUTED_VALUE"""),"NO")</f>
        <v>NO</v>
      </c>
      <c r="N671" s="56">
        <f ca="1">IFERROR(__xludf.DUMMYFUNCTION("""COMPUTED_VALUE"""),2)</f>
        <v>2</v>
      </c>
      <c r="O671" s="64" t="str">
        <f ca="1">IFERROR(__xludf.DUMMYFUNCTION("""COMPUTED_VALUE"""),"ADVANCED")</f>
        <v>ADVANCED</v>
      </c>
      <c r="P671" s="62">
        <f ca="1">IFERROR(__xludf.DUMMYFUNCTION("""COMPUTED_VALUE"""),4136.36)</f>
        <v>4136.3599999999997</v>
      </c>
      <c r="Q671" s="33" t="str">
        <f ca="1">IFERROR(__xludf.DUMMYFUNCTION("""COMPUTED_VALUE"""),"Maika Blázquez")</f>
        <v>Maika Blázquez</v>
      </c>
      <c r="R671" s="33" t="str">
        <f ca="1">IFERROR(__xludf.DUMMYFUNCTION("""COMPUTED_VALUE"""),"Dr, José Gustavo Barroso Braojos")</f>
        <v>Dr, José Gustavo Barroso Braojos</v>
      </c>
      <c r="S671" s="61" t="str">
        <f ca="1">IFERROR(__xludf.DUMMYFUNCTION("""COMPUTED_VALUE"""),"03 ORL")</f>
        <v>03 ORL</v>
      </c>
      <c r="T671" s="33" t="str">
        <f ca="1">IFERROR(__xludf.DUMMYFUNCTION("""COMPUTED_VALUE"""),"06 ORL")</f>
        <v>06 ORL</v>
      </c>
      <c r="U671" s="62"/>
      <c r="W671" s="61"/>
      <c r="X671" s="62"/>
    </row>
    <row r="672" spans="2:24" ht="16">
      <c r="B672" s="67" t="str">
        <f t="shared" ca="1" si="3"/>
        <v>#N/</v>
      </c>
      <c r="C672" s="64" t="str">
        <f ca="1">IFERROR(__xludf.DUMMYFUNCTION("""COMPUTED_VALUE"""),"#N/A")</f>
        <v>#N/A</v>
      </c>
      <c r="D672" s="33" t="str">
        <f ca="1">IFERROR(__xludf.DUMMYFUNCTION("""COMPUTED_VALUE"""),"PROPIOS")</f>
        <v>PROPIOS</v>
      </c>
      <c r="E672" s="33">
        <f ca="1">IFERROR(__xludf.DUMMYFUNCTION("""COMPUTED_VALUE"""),2026)</f>
        <v>2026</v>
      </c>
      <c r="F672" s="56">
        <f ca="1">IFERROR(__xludf.DUMMYFUNCTION("""COMPUTED_VALUE"""),3)</f>
        <v>3</v>
      </c>
      <c r="G672" s="33" t="str">
        <f ca="1">IFERROR(__xludf.DUMMYFUNCTION("""COMPUTED_VALUE"""),"Madrid- Canillas")</f>
        <v>Madrid- Canillas</v>
      </c>
      <c r="H672" s="33" t="str">
        <f ca="1">IFERROR(__xludf.DUMMYFUNCTION("""COMPUTED_VALUE"""),"C202622781821951881")</f>
        <v>C202622781821951881</v>
      </c>
      <c r="I672" s="33" t="str">
        <f ca="1">IFERROR(__xludf.DUMMYFUNCTION("""COMPUTED_VALUE"""),"JULIANA INAREJOS GONZÁLEZ")</f>
        <v>JULIANA INAREJOS GONZÁLEZ</v>
      </c>
      <c r="J672" s="57">
        <f ca="1">IFERROR(__xludf.DUMMYFUNCTION("""COMPUTED_VALUE"""),46080)</f>
        <v>46080</v>
      </c>
      <c r="K672" s="33" t="str">
        <f ca="1">IFERROR(__xludf.DUMMYFUNCTION("""COMPUTED_VALUE"""),"Pedido")</f>
        <v>Pedido</v>
      </c>
      <c r="L672" s="57">
        <f ca="1">IFERROR(__xludf.DUMMYFUNCTION("""COMPUTED_VALUE"""),46090)</f>
        <v>46090</v>
      </c>
      <c r="M672" s="64" t="str">
        <f ca="1">IFERROR(__xludf.DUMMYFUNCTION("""COMPUTED_VALUE"""),"NO")</f>
        <v>NO</v>
      </c>
      <c r="N672" s="56">
        <f ca="1">IFERROR(__xludf.DUMMYFUNCTION("""COMPUTED_VALUE"""),2)</f>
        <v>2</v>
      </c>
      <c r="O672" s="64" t="str">
        <f ca="1">IFERROR(__xludf.DUMMYFUNCTION("""COMPUTED_VALUE"""),"QUIET")</f>
        <v>QUIET</v>
      </c>
      <c r="P672" s="62">
        <f ca="1">IFERROR(__xludf.DUMMYFUNCTION("""COMPUTED_VALUE"""),2718.18)</f>
        <v>2718.18</v>
      </c>
      <c r="Q672" s="33" t="str">
        <f ca="1">IFERROR(__xludf.DUMMYFUNCTION("""COMPUTED_VALUE"""),"Maika Blázquez")</f>
        <v>Maika Blázquez</v>
      </c>
      <c r="R672" s="33" t="str">
        <f ca="1">IFERROR(__xludf.DUMMYFUNCTION("""COMPUTED_VALUE"""),"Dr, José Gustavo Barroso Braojos")</f>
        <v>Dr, José Gustavo Barroso Braojos</v>
      </c>
      <c r="S672" s="61" t="str">
        <f ca="1">IFERROR(__xludf.DUMMYFUNCTION("""COMPUTED_VALUE"""),"03 ORL")</f>
        <v>03 ORL</v>
      </c>
      <c r="T672" s="33" t="str">
        <f ca="1">IFERROR(__xludf.DUMMYFUNCTION("""COMPUTED_VALUE"""),"06 ORL")</f>
        <v>06 ORL</v>
      </c>
      <c r="U672" s="62"/>
      <c r="W672" s="61"/>
      <c r="X672" s="62"/>
    </row>
    <row r="673" spans="2:24" ht="16">
      <c r="B673" s="67" t="str">
        <f t="shared" ca="1" si="3"/>
        <v>#N/</v>
      </c>
      <c r="C673" s="64" t="str">
        <f ca="1">IFERROR(__xludf.DUMMYFUNCTION("""COMPUTED_VALUE"""),"#N/A")</f>
        <v>#N/A</v>
      </c>
      <c r="D673" s="33" t="str">
        <f ca="1">IFERROR(__xludf.DUMMYFUNCTION("""COMPUTED_VALUE"""),"PROPIOS")</f>
        <v>PROPIOS</v>
      </c>
      <c r="E673" s="33">
        <f ca="1">IFERROR(__xludf.DUMMYFUNCTION("""COMPUTED_VALUE"""),2026)</f>
        <v>2026</v>
      </c>
      <c r="F673" s="56">
        <f ca="1">IFERROR(__xludf.DUMMYFUNCTION("""COMPUTED_VALUE"""),3)</f>
        <v>3</v>
      </c>
      <c r="G673" s="33" t="str">
        <f ca="1">IFERROR(__xludf.DUMMYFUNCTION("""COMPUTED_VALUE"""),"Madrid- Canillas")</f>
        <v>Madrid- Canillas</v>
      </c>
      <c r="H673" s="33" t="str">
        <f ca="1">IFERROR(__xludf.DUMMYFUNCTION("""COMPUTED_VALUE"""),"C202634114914815207")</f>
        <v>C202634114914815207</v>
      </c>
      <c r="I673" s="33" t="str">
        <f ca="1">IFERROR(__xludf.DUMMYFUNCTION("""COMPUTED_VALUE"""),"JULIO HERNÁNDEZ GÓMEZ")</f>
        <v>JULIO HERNÁNDEZ GÓMEZ</v>
      </c>
      <c r="J673" s="57">
        <f ca="1">IFERROR(__xludf.DUMMYFUNCTION("""COMPUTED_VALUE"""),46085)</f>
        <v>46085</v>
      </c>
      <c r="K673" s="33" t="str">
        <f ca="1">IFERROR(__xludf.DUMMYFUNCTION("""COMPUTED_VALUE"""),"Presupuesto")</f>
        <v>Presupuesto</v>
      </c>
      <c r="L673" s="57">
        <f ca="1">IFERROR(__xludf.DUMMYFUNCTION("""COMPUTED_VALUE"""),46092)</f>
        <v>46092</v>
      </c>
      <c r="M673" s="64" t="str">
        <f ca="1">IFERROR(__xludf.DUMMYFUNCTION("""COMPUTED_VALUE"""),"NO")</f>
        <v>NO</v>
      </c>
      <c r="N673" s="56">
        <f ca="1">IFERROR(__xludf.DUMMYFUNCTION("""COMPUTED_VALUE"""),2)</f>
        <v>2</v>
      </c>
      <c r="O673" s="64" t="str">
        <f ca="1">IFERROR(__xludf.DUMMYFUNCTION("""COMPUTED_VALUE"""),"ADVANCED")</f>
        <v>ADVANCED</v>
      </c>
      <c r="P673" s="62">
        <f ca="1">IFERROR(__xludf.DUMMYFUNCTION("""COMPUTED_VALUE"""),4136.36)</f>
        <v>4136.3599999999997</v>
      </c>
      <c r="Q673" s="33" t="str">
        <f ca="1">IFERROR(__xludf.DUMMYFUNCTION("""COMPUTED_VALUE"""),"Maika Blázquez")</f>
        <v>Maika Blázquez</v>
      </c>
      <c r="R673" s="33" t="str">
        <f ca="1">IFERROR(__xludf.DUMMYFUNCTION("""COMPUTED_VALUE"""),"Dr, José Gustavo Barroso Braojos")</f>
        <v>Dr, José Gustavo Barroso Braojos</v>
      </c>
      <c r="S673" s="61" t="str">
        <f ca="1">IFERROR(__xludf.DUMMYFUNCTION("""COMPUTED_VALUE"""),"03 ORL")</f>
        <v>03 ORL</v>
      </c>
      <c r="T673" s="33" t="str">
        <f ca="1">IFERROR(__xludf.DUMMYFUNCTION("""COMPUTED_VALUE"""),"06 ORL")</f>
        <v>06 ORL</v>
      </c>
      <c r="U673" s="62"/>
      <c r="W673" s="61"/>
      <c r="X673" s="62"/>
    </row>
    <row r="674" spans="2:24" ht="16">
      <c r="B674" s="67" t="str">
        <f t="shared" ca="1" si="3"/>
        <v>#N/</v>
      </c>
      <c r="C674" s="64" t="str">
        <f ca="1">IFERROR(__xludf.DUMMYFUNCTION("""COMPUTED_VALUE"""),"#N/A")</f>
        <v>#N/A</v>
      </c>
      <c r="D674" s="33" t="str">
        <f ca="1">IFERROR(__xludf.DUMMYFUNCTION("""COMPUTED_VALUE"""),"PROPIOS")</f>
        <v>PROPIOS</v>
      </c>
      <c r="E674" s="33">
        <f ca="1">IFERROR(__xludf.DUMMYFUNCTION("""COMPUTED_VALUE"""),2026)</f>
        <v>2026</v>
      </c>
      <c r="F674" s="56">
        <f ca="1">IFERROR(__xludf.DUMMYFUNCTION("""COMPUTED_VALUE"""),3)</f>
        <v>3</v>
      </c>
      <c r="G674" s="33" t="str">
        <f ca="1">IFERROR(__xludf.DUMMYFUNCTION("""COMPUTED_VALUE"""),"Madrid- Canillas")</f>
        <v>Madrid- Canillas</v>
      </c>
      <c r="H674" s="33" t="str">
        <f ca="1">IFERROR(__xludf.DUMMYFUNCTION("""COMPUTED_VALUE"""),"C20263121238113942")</f>
        <v>C20263121238113942</v>
      </c>
      <c r="I674" s="33" t="str">
        <f ca="1">IFERROR(__xludf.DUMMYFUNCTION("""COMPUTED_VALUE"""),"LUIS CORTÉS RODERO")</f>
        <v>LUIS CORTÉS RODERO</v>
      </c>
      <c r="J674" s="57">
        <f ca="1">IFERROR(__xludf.DUMMYFUNCTION("""COMPUTED_VALUE"""),46093)</f>
        <v>46093</v>
      </c>
      <c r="K674" s="33" t="str">
        <f ca="1">IFERROR(__xludf.DUMMYFUNCTION("""COMPUTED_VALUE"""),"Presupuesto")</f>
        <v>Presupuesto</v>
      </c>
      <c r="L674" s="57">
        <f ca="1">IFERROR(__xludf.DUMMYFUNCTION("""COMPUTED_VALUE"""),46099)</f>
        <v>46099</v>
      </c>
      <c r="M674" s="64" t="str">
        <f ca="1">IFERROR(__xludf.DUMMYFUNCTION("""COMPUTED_VALUE"""),"NO")</f>
        <v>NO</v>
      </c>
      <c r="N674" s="56">
        <f ca="1">IFERROR(__xludf.DUMMYFUNCTION("""COMPUTED_VALUE"""),2)</f>
        <v>2</v>
      </c>
      <c r="O674" s="64" t="str">
        <f ca="1">IFERROR(__xludf.DUMMYFUNCTION("""COMPUTED_VALUE"""),"QUIET")</f>
        <v>QUIET</v>
      </c>
      <c r="P674" s="62">
        <f ca="1">IFERROR(__xludf.DUMMYFUNCTION("""COMPUTED_VALUE"""),2718.18)</f>
        <v>2718.18</v>
      </c>
      <c r="Q674" s="33" t="str">
        <f ca="1">IFERROR(__xludf.DUMMYFUNCTION("""COMPUTED_VALUE"""),"Maika Blázquez")</f>
        <v>Maika Blázquez</v>
      </c>
      <c r="R674" s="33" t="str">
        <f ca="1">IFERROR(__xludf.DUMMYFUNCTION("""COMPUTED_VALUE"""),"Dr, José Gustavo Barroso Braojos")</f>
        <v>Dr, José Gustavo Barroso Braojos</v>
      </c>
      <c r="S674" s="61" t="str">
        <f ca="1">IFERROR(__xludf.DUMMYFUNCTION("""COMPUTED_VALUE"""),"03 ORL")</f>
        <v>03 ORL</v>
      </c>
      <c r="T674" s="33" t="str">
        <f ca="1">IFERROR(__xludf.DUMMYFUNCTION("""COMPUTED_VALUE"""),"06 ORL")</f>
        <v>06 ORL</v>
      </c>
      <c r="U674" s="62"/>
      <c r="W674" s="61"/>
      <c r="X674" s="62"/>
    </row>
    <row r="675" spans="2:24" ht="16">
      <c r="B675" s="67" t="str">
        <f t="shared" ca="1" si="3"/>
        <v/>
      </c>
      <c r="C675" s="64"/>
      <c r="D675" s="33" t="str">
        <f ca="1">IFERROR(__xludf.DUMMYFUNCTION("""COMPUTED_VALUE"""),"PROPIOS")</f>
        <v>PROPIOS</v>
      </c>
      <c r="E675" s="33">
        <f ca="1">IFERROR(__xludf.DUMMYFUNCTION("""COMPUTED_VALUE"""),2026)</f>
        <v>2026</v>
      </c>
      <c r="F675" s="56">
        <f ca="1">IFERROR(__xludf.DUMMYFUNCTION("""COMPUTED_VALUE"""),2)</f>
        <v>2</v>
      </c>
      <c r="G675" s="33" t="str">
        <f ca="1">IFERROR(__xludf.DUMMYFUNCTION("""COMPUTED_VALUE"""),"Madrid- Canillas")</f>
        <v>Madrid- Canillas</v>
      </c>
      <c r="H675" s="33" t="str">
        <f ca="1">IFERROR(__xludf.DUMMYFUNCTION("""COMPUTED_VALUE"""),"C202621815343050568")</f>
        <v>C202621815343050568</v>
      </c>
      <c r="I675" s="33" t="str">
        <f ca="1">IFERROR(__xludf.DUMMYFUNCTION("""COMPUTED_VALUE"""),"MARIA JESUS MERCHAN GARCIA")</f>
        <v>MARIA JESUS MERCHAN GARCIA</v>
      </c>
      <c r="J675" s="57">
        <f ca="1">IFERROR(__xludf.DUMMYFUNCTION("""COMPUTED_VALUE"""),46071)</f>
        <v>46071</v>
      </c>
      <c r="K675" s="33" t="str">
        <f ca="1">IFERROR(__xludf.DUMMYFUNCTION("""COMPUTED_VALUE"""),"Presupuesto")</f>
        <v>Presupuesto</v>
      </c>
      <c r="L675" s="57">
        <f ca="1">IFERROR(__xludf.DUMMYFUNCTION("""COMPUTED_VALUE"""),46079)</f>
        <v>46079</v>
      </c>
      <c r="M675" s="64" t="str">
        <f ca="1">IFERROR(__xludf.DUMMYFUNCTION("""COMPUTED_VALUE"""),"NO")</f>
        <v>NO</v>
      </c>
      <c r="N675" s="56">
        <f ca="1">IFERROR(__xludf.DUMMYFUNCTION("""COMPUTED_VALUE"""),2)</f>
        <v>2</v>
      </c>
      <c r="O675" s="64" t="str">
        <f ca="1">IFERROR(__xludf.DUMMYFUNCTION("""COMPUTED_VALUE"""),"TRIAL")</f>
        <v>TRIAL</v>
      </c>
      <c r="P675" s="62">
        <f ca="1">IFERROR(__xludf.DUMMYFUNCTION("""COMPUTED_VALUE"""),4136.36)</f>
        <v>4136.3599999999997</v>
      </c>
      <c r="Q675" s="33" t="str">
        <f ca="1">IFERROR(__xludf.DUMMYFUNCTION("""COMPUTED_VALUE"""),"Maika Blázquez")</f>
        <v>Maika Blázquez</v>
      </c>
      <c r="R675" s="33" t="str">
        <f ca="1">IFERROR(__xludf.DUMMYFUNCTION("""COMPUTED_VALUE"""),"No recuerda ORL")</f>
        <v>No recuerda ORL</v>
      </c>
      <c r="S675" s="61" t="str">
        <f ca="1">IFERROR(__xludf.DUMMYFUNCTION("""COMPUTED_VALUE"""),"03 ORL")</f>
        <v>03 ORL</v>
      </c>
      <c r="T675" s="33" t="str">
        <f ca="1">IFERROR(__xludf.DUMMYFUNCTION("""COMPUTED_VALUE"""),"06 ORL")</f>
        <v>06 ORL</v>
      </c>
      <c r="U675" s="62"/>
      <c r="W675" s="61"/>
      <c r="X675" s="62"/>
    </row>
    <row r="676" spans="2:24" ht="16">
      <c r="B676" s="67" t="str">
        <f t="shared" ca="1" si="3"/>
        <v>#N/</v>
      </c>
      <c r="C676" s="64" t="str">
        <f ca="1">IFERROR(__xludf.DUMMYFUNCTION("""COMPUTED_VALUE"""),"#N/A")</f>
        <v>#N/A</v>
      </c>
      <c r="D676" s="33" t="str">
        <f ca="1">IFERROR(__xludf.DUMMYFUNCTION("""COMPUTED_VALUE"""),"PARTICIPADOS")</f>
        <v>PARTICIPADOS</v>
      </c>
      <c r="E676" s="33">
        <f ca="1">IFERROR(__xludf.DUMMYFUNCTION("""COMPUTED_VALUE"""),2026)</f>
        <v>2026</v>
      </c>
      <c r="F676" s="56">
        <f ca="1">IFERROR(__xludf.DUMMYFUNCTION("""COMPUTED_VALUE"""),4)</f>
        <v>4</v>
      </c>
      <c r="G676" s="33" t="str">
        <f ca="1">IFERROR(__xludf.DUMMYFUNCTION("""COMPUTED_VALUE"""),"Madrid- Costa Rica")</f>
        <v>Madrid- Costa Rica</v>
      </c>
      <c r="H676" s="33" t="str">
        <f ca="1">IFERROR(__xludf.DUMMYFUNCTION("""COMPUTED_VALUE"""),"C202633015404531630")</f>
        <v>C202633015404531630</v>
      </c>
      <c r="I676" s="33" t="str">
        <f ca="1">IFERROR(__xludf.DUMMYFUNCTION("""COMPUTED_VALUE"""),"CARMEN  ACEDO MANTEOLA")</f>
        <v>CARMEN  ACEDO MANTEOLA</v>
      </c>
      <c r="J676" s="57">
        <f ca="1">IFERROR(__xludf.DUMMYFUNCTION("""COMPUTED_VALUE"""),46111)</f>
        <v>46111</v>
      </c>
      <c r="K676" s="33" t="str">
        <f ca="1">IFERROR(__xludf.DUMMYFUNCTION("""COMPUTED_VALUE"""),"Pedido")</f>
        <v>Pedido</v>
      </c>
      <c r="L676" s="57">
        <f ca="1">IFERROR(__xludf.DUMMYFUNCTION("""COMPUTED_VALUE"""),46118)</f>
        <v>46118</v>
      </c>
      <c r="M676" s="64" t="str">
        <f ca="1">IFERROR(__xludf.DUMMYFUNCTION("""COMPUTED_VALUE"""),"NO")</f>
        <v>NO</v>
      </c>
      <c r="N676" s="56">
        <f ca="1">IFERROR(__xludf.DUMMYFUNCTION("""COMPUTED_VALUE"""),2)</f>
        <v>2</v>
      </c>
      <c r="O676" s="64" t="str">
        <f ca="1">IFERROR(__xludf.DUMMYFUNCTION("""COMPUTED_VALUE"""),"CONFORT")</f>
        <v>CONFORT</v>
      </c>
      <c r="P676" s="62">
        <f ca="1">IFERROR(__xludf.DUMMYFUNCTION("""COMPUTED_VALUE"""),3631.82)</f>
        <v>3631.82</v>
      </c>
      <c r="Q676" s="33" t="str">
        <f ca="1">IFERROR(__xludf.DUMMYFUNCTION("""COMPUTED_VALUE"""),"Maika Blázquez")</f>
        <v>Maika Blázquez</v>
      </c>
      <c r="R676" s="33" t="str">
        <f ca="1">IFERROR(__xludf.DUMMYFUNCTION("""COMPUTED_VALUE"""),"Dr, Guillermo San Juan de la Moreta")</f>
        <v>Dr, Guillermo San Juan de la Moreta</v>
      </c>
      <c r="S676" s="61" t="str">
        <f ca="1">IFERROR(__xludf.DUMMYFUNCTION("""COMPUTED_VALUE"""),"03 ORL")</f>
        <v>03 ORL</v>
      </c>
      <c r="T676" s="33" t="str">
        <f ca="1">IFERROR(__xludf.DUMMYFUNCTION("""COMPUTED_VALUE"""),"06 ORL")</f>
        <v>06 ORL</v>
      </c>
      <c r="U676" s="62"/>
      <c r="W676" s="61"/>
      <c r="X676" s="62"/>
    </row>
    <row r="677" spans="2:24" ht="16">
      <c r="B677" s="67" t="str">
        <f t="shared" ca="1" si="3"/>
        <v>#N/</v>
      </c>
      <c r="C677" s="64" t="str">
        <f ca="1">IFERROR(__xludf.DUMMYFUNCTION("""COMPUTED_VALUE"""),"#N/A")</f>
        <v>#N/A</v>
      </c>
      <c r="D677" s="33" t="str">
        <f ca="1">IFERROR(__xludf.DUMMYFUNCTION("""COMPUTED_VALUE"""),"PARTICIPADOS")</f>
        <v>PARTICIPADOS</v>
      </c>
      <c r="E677" s="33">
        <f ca="1">IFERROR(__xludf.DUMMYFUNCTION("""COMPUTED_VALUE"""),2026)</f>
        <v>2026</v>
      </c>
      <c r="F677" s="56">
        <f ca="1">IFERROR(__xludf.DUMMYFUNCTION("""COMPUTED_VALUE"""),3)</f>
        <v>3</v>
      </c>
      <c r="G677" s="33" t="str">
        <f ca="1">IFERROR(__xludf.DUMMYFUNCTION("""COMPUTED_VALUE"""),"Madrid- Costa Rica")</f>
        <v>Madrid- Costa Rica</v>
      </c>
      <c r="H677" s="33" t="str">
        <f ca="1">IFERROR(__xludf.DUMMYFUNCTION("""COMPUTED_VALUE"""),"C202632312368884490")</f>
        <v>C202632312368884490</v>
      </c>
      <c r="I677" s="33" t="str">
        <f ca="1">IFERROR(__xludf.DUMMYFUNCTION("""COMPUTED_VALUE"""),"CARMEN  DOPEREIRO HALLY")</f>
        <v>CARMEN  DOPEREIRO HALLY</v>
      </c>
      <c r="J677" s="57">
        <f ca="1">IFERROR(__xludf.DUMMYFUNCTION("""COMPUTED_VALUE"""),46104)</f>
        <v>46104</v>
      </c>
      <c r="K677" s="33" t="str">
        <f ca="1">IFERROR(__xludf.DUMMYFUNCTION("""COMPUTED_VALUE"""),"Pedido")</f>
        <v>Pedido</v>
      </c>
      <c r="L677" s="57">
        <f ca="1">IFERROR(__xludf.DUMMYFUNCTION("""COMPUTED_VALUE"""),46112)</f>
        <v>46112</v>
      </c>
      <c r="M677" s="64" t="str">
        <f ca="1">IFERROR(__xludf.DUMMYFUNCTION("""COMPUTED_VALUE"""),"NO")</f>
        <v>NO</v>
      </c>
      <c r="N677" s="56">
        <f ca="1">IFERROR(__xludf.DUMMYFUNCTION("""COMPUTED_VALUE"""),2)</f>
        <v>2</v>
      </c>
      <c r="O677" s="64" t="str">
        <f ca="1">IFERROR(__xludf.DUMMYFUNCTION("""COMPUTED_VALUE"""),"CONFORT")</f>
        <v>CONFORT</v>
      </c>
      <c r="P677" s="62">
        <f ca="1">IFERROR(__xludf.DUMMYFUNCTION("""COMPUTED_VALUE"""),3286.36)</f>
        <v>3286.36</v>
      </c>
      <c r="Q677" s="33" t="str">
        <f ca="1">IFERROR(__xludf.DUMMYFUNCTION("""COMPUTED_VALUE"""),"Maika Blázquez")</f>
        <v>Maika Blázquez</v>
      </c>
      <c r="R677" s="33" t="str">
        <f ca="1">IFERROR(__xludf.DUMMYFUNCTION("""COMPUTED_VALUE"""),"Dr, Antonio Bueno Ríos")</f>
        <v>Dr, Antonio Bueno Ríos</v>
      </c>
      <c r="S677" s="61" t="str">
        <f ca="1">IFERROR(__xludf.DUMMYFUNCTION("""COMPUTED_VALUE"""),"03 ORL")</f>
        <v>03 ORL</v>
      </c>
      <c r="T677" s="33" t="str">
        <f ca="1">IFERROR(__xludf.DUMMYFUNCTION("""COMPUTED_VALUE"""),"06 ORL")</f>
        <v>06 ORL</v>
      </c>
      <c r="U677" s="62"/>
      <c r="W677" s="61"/>
      <c r="X677" s="62"/>
    </row>
    <row r="678" spans="2:24" ht="16">
      <c r="B678" s="67" t="str">
        <f t="shared" ca="1" si="3"/>
        <v>#N/</v>
      </c>
      <c r="C678" s="64" t="str">
        <f ca="1">IFERROR(__xludf.DUMMYFUNCTION("""COMPUTED_VALUE"""),"#N/A")</f>
        <v>#N/A</v>
      </c>
      <c r="D678" s="33" t="str">
        <f ca="1">IFERROR(__xludf.DUMMYFUNCTION("""COMPUTED_VALUE"""),"PARTICIPADOS")</f>
        <v>PARTICIPADOS</v>
      </c>
      <c r="E678" s="33">
        <f ca="1">IFERROR(__xludf.DUMMYFUNCTION("""COMPUTED_VALUE"""),2026)</f>
        <v>2026</v>
      </c>
      <c r="F678" s="56">
        <f ca="1">IFERROR(__xludf.DUMMYFUNCTION("""COMPUTED_VALUE"""),3)</f>
        <v>3</v>
      </c>
      <c r="G678" s="33" t="str">
        <f ca="1">IFERROR(__xludf.DUMMYFUNCTION("""COMPUTED_VALUE"""),"Madrid- Costa Rica")</f>
        <v>Madrid- Costa Rica</v>
      </c>
      <c r="H678" s="33" t="str">
        <f ca="1">IFERROR(__xludf.DUMMYFUNCTION("""COMPUTED_VALUE"""),"C202622313474990442")</f>
        <v>C202622313474990442</v>
      </c>
      <c r="I678" s="33" t="str">
        <f ca="1">IFERROR(__xludf.DUMMYFUNCTION("""COMPUTED_VALUE"""),"FLORENCIO ESTEBAN OLMEDO")</f>
        <v>FLORENCIO ESTEBAN OLMEDO</v>
      </c>
      <c r="J678" s="57">
        <f ca="1">IFERROR(__xludf.DUMMYFUNCTION("""COMPUTED_VALUE"""),46076)</f>
        <v>46076</v>
      </c>
      <c r="K678" s="33" t="str">
        <f ca="1">IFERROR(__xludf.DUMMYFUNCTION("""COMPUTED_VALUE"""),"Pedido")</f>
        <v>Pedido</v>
      </c>
      <c r="L678" s="57">
        <f ca="1">IFERROR(__xludf.DUMMYFUNCTION("""COMPUTED_VALUE"""),46094)</f>
        <v>46094</v>
      </c>
      <c r="M678" s="64" t="str">
        <f ca="1">IFERROR(__xludf.DUMMYFUNCTION("""COMPUTED_VALUE"""),"NO")</f>
        <v>NO</v>
      </c>
      <c r="N678" s="56">
        <f ca="1">IFERROR(__xludf.DUMMYFUNCTION("""COMPUTED_VALUE"""),1)</f>
        <v>1</v>
      </c>
      <c r="O678" s="64" t="str">
        <f ca="1">IFERROR(__xludf.DUMMYFUNCTION("""COMPUTED_VALUE"""),"CONFORT")</f>
        <v>CONFORT</v>
      </c>
      <c r="P678" s="62">
        <f ca="1">IFERROR(__xludf.DUMMYFUNCTION("""COMPUTED_VALUE"""),2162.73)</f>
        <v>2162.73</v>
      </c>
      <c r="Q678" s="33" t="str">
        <f ca="1">IFERROR(__xludf.DUMMYFUNCTION("""COMPUTED_VALUE"""),"Maika Blázquez")</f>
        <v>Maika Blázquez</v>
      </c>
      <c r="R678" s="33" t="str">
        <f ca="1">IFERROR(__xludf.DUMMYFUNCTION("""COMPUTED_VALUE"""),"Dr, Antonio Bueno Ríos")</f>
        <v>Dr, Antonio Bueno Ríos</v>
      </c>
      <c r="S678" s="61" t="str">
        <f ca="1">IFERROR(__xludf.DUMMYFUNCTION("""COMPUTED_VALUE"""),"03 ORL")</f>
        <v>03 ORL</v>
      </c>
      <c r="T678" s="33" t="str">
        <f ca="1">IFERROR(__xludf.DUMMYFUNCTION("""COMPUTED_VALUE"""),"06 ORL")</f>
        <v>06 ORL</v>
      </c>
      <c r="U678" s="62"/>
      <c r="W678" s="61"/>
      <c r="X678" s="62"/>
    </row>
    <row r="679" spans="2:24" ht="16">
      <c r="B679" s="67" t="str">
        <f t="shared" ca="1" si="3"/>
        <v>#N/</v>
      </c>
      <c r="C679" s="64" t="str">
        <f ca="1">IFERROR(__xludf.DUMMYFUNCTION("""COMPUTED_VALUE"""),"#N/A")</f>
        <v>#N/A</v>
      </c>
      <c r="D679" s="33" t="str">
        <f ca="1">IFERROR(__xludf.DUMMYFUNCTION("""COMPUTED_VALUE"""),"PARTICIPADOS")</f>
        <v>PARTICIPADOS</v>
      </c>
      <c r="E679" s="33">
        <f ca="1">IFERROR(__xludf.DUMMYFUNCTION("""COMPUTED_VALUE"""),2026)</f>
        <v>2026</v>
      </c>
      <c r="F679" s="56">
        <f ca="1">IFERROR(__xludf.DUMMYFUNCTION("""COMPUTED_VALUE"""),4)</f>
        <v>4</v>
      </c>
      <c r="G679" s="33" t="str">
        <f ca="1">IFERROR(__xludf.DUMMYFUNCTION("""COMPUTED_VALUE"""),"Madrid- Costa Rica")</f>
        <v>Madrid- Costa Rica</v>
      </c>
      <c r="H679" s="33" t="str">
        <f ca="1">IFERROR(__xludf.DUMMYFUNCTION("""COMPUTED_VALUE"""),"C202632392859381257")</f>
        <v>C202632392859381257</v>
      </c>
      <c r="I679" s="33" t="str">
        <f ca="1">IFERROR(__xludf.DUMMYFUNCTION("""COMPUTED_VALUE"""),"GERARDO RODRIGUEZ RODRIGUEZ")</f>
        <v>GERARDO RODRIGUEZ RODRIGUEZ</v>
      </c>
      <c r="J679" s="57">
        <f ca="1">IFERROR(__xludf.DUMMYFUNCTION("""COMPUTED_VALUE"""),46104)</f>
        <v>46104</v>
      </c>
      <c r="K679" s="33" t="str">
        <f ca="1">IFERROR(__xludf.DUMMYFUNCTION("""COMPUTED_VALUE"""),"Prueba")</f>
        <v>Prueba</v>
      </c>
      <c r="L679" s="57">
        <f ca="1">IFERROR(__xludf.DUMMYFUNCTION("""COMPUTED_VALUE"""),46119)</f>
        <v>46119</v>
      </c>
      <c r="M679" s="64" t="str">
        <f ca="1">IFERROR(__xludf.DUMMYFUNCTION("""COMPUTED_VALUE"""),"NO")</f>
        <v>NO</v>
      </c>
      <c r="N679" s="56">
        <f ca="1">IFERROR(__xludf.DUMMYFUNCTION("""COMPUTED_VALUE"""),2)</f>
        <v>2</v>
      </c>
      <c r="O679" s="64" t="str">
        <f ca="1">IFERROR(__xludf.DUMMYFUNCTION("""COMPUTED_VALUE"""),"QUIET")</f>
        <v>QUIET</v>
      </c>
      <c r="P679" s="62">
        <f ca="1">IFERROR(__xludf.DUMMYFUNCTION("""COMPUTED_VALUE"""),2718.18)</f>
        <v>2718.18</v>
      </c>
      <c r="Q679" s="33" t="str">
        <f ca="1">IFERROR(__xludf.DUMMYFUNCTION("""COMPUTED_VALUE"""),"Maika Blázquez")</f>
        <v>Maika Blázquez</v>
      </c>
      <c r="R679" s="33" t="str">
        <f ca="1">IFERROR(__xludf.DUMMYFUNCTION("""COMPUTED_VALUE"""),"Dr, Coloma Grau Van Laak")</f>
        <v>Dr, Coloma Grau Van Laak</v>
      </c>
      <c r="S679" s="61" t="str">
        <f ca="1">IFERROR(__xludf.DUMMYFUNCTION("""COMPUTED_VALUE"""),"03 ORL")</f>
        <v>03 ORL</v>
      </c>
      <c r="T679" s="33" t="str">
        <f ca="1">IFERROR(__xludf.DUMMYFUNCTION("""COMPUTED_VALUE"""),"06 ORL")</f>
        <v>06 ORL</v>
      </c>
      <c r="U679" s="62"/>
      <c r="W679" s="61"/>
      <c r="X679" s="62"/>
    </row>
    <row r="680" spans="2:24" ht="16">
      <c r="B680" s="67" t="str">
        <f t="shared" ca="1" si="3"/>
        <v>#N/</v>
      </c>
      <c r="C680" s="64" t="str">
        <f ca="1">IFERROR(__xludf.DUMMYFUNCTION("""COMPUTED_VALUE"""),"#N/A")</f>
        <v>#N/A</v>
      </c>
      <c r="D680" s="33" t="str">
        <f ca="1">IFERROR(__xludf.DUMMYFUNCTION("""COMPUTED_VALUE"""),"PARTICIPADOS")</f>
        <v>PARTICIPADOS</v>
      </c>
      <c r="E680" s="33">
        <f ca="1">IFERROR(__xludf.DUMMYFUNCTION("""COMPUTED_VALUE"""),2026)</f>
        <v>2026</v>
      </c>
      <c r="F680" s="56">
        <f ca="1">IFERROR(__xludf.DUMMYFUNCTION("""COMPUTED_VALUE"""),3)</f>
        <v>3</v>
      </c>
      <c r="G680" s="33" t="str">
        <f ca="1">IFERROR(__xludf.DUMMYFUNCTION("""COMPUTED_VALUE"""),"Madrid- Costa Rica")</f>
        <v>Madrid- Costa Rica</v>
      </c>
      <c r="H680" s="33" t="str">
        <f ca="1">IFERROR(__xludf.DUMMYFUNCTION("""COMPUTED_VALUE"""),"C202632135822752774")</f>
        <v>C202632135822752774</v>
      </c>
      <c r="I680" s="33" t="str">
        <f ca="1">IFERROR(__xludf.DUMMYFUNCTION("""COMPUTED_VALUE"""),"JOSEFINA  ALIX TRUEBA")</f>
        <v>JOSEFINA  ALIX TRUEBA</v>
      </c>
      <c r="J680" s="57">
        <f ca="1">IFERROR(__xludf.DUMMYFUNCTION("""COMPUTED_VALUE"""),46083)</f>
        <v>46083</v>
      </c>
      <c r="K680" s="33" t="str">
        <f ca="1">IFERROR(__xludf.DUMMYFUNCTION("""COMPUTED_VALUE"""),"Devuelve")</f>
        <v>Devuelve</v>
      </c>
      <c r="L680" s="57">
        <f ca="1">IFERROR(__xludf.DUMMYFUNCTION("""COMPUTED_VALUE"""),46098)</f>
        <v>46098</v>
      </c>
      <c r="M680" s="64" t="str">
        <f ca="1">IFERROR(__xludf.DUMMYFUNCTION("""COMPUTED_VALUE"""),"NO")</f>
        <v>NO</v>
      </c>
      <c r="N680" s="56">
        <f ca="1">IFERROR(__xludf.DUMMYFUNCTION("""COMPUTED_VALUE"""),2)</f>
        <v>2</v>
      </c>
      <c r="O680" s="64" t="str">
        <f ca="1">IFERROR(__xludf.DUMMYFUNCTION("""COMPUTED_VALUE"""),"QUIET")</f>
        <v>QUIET</v>
      </c>
      <c r="P680" s="62">
        <f ca="1">IFERROR(__xludf.DUMMYFUNCTION("""COMPUTED_VALUE"""),2718.18)</f>
        <v>2718.18</v>
      </c>
      <c r="Q680" s="33" t="str">
        <f ca="1">IFERROR(__xludf.DUMMYFUNCTION("""COMPUTED_VALUE"""),"Maika Blázquez")</f>
        <v>Maika Blázquez</v>
      </c>
      <c r="R680" s="33" t="str">
        <f ca="1">IFERROR(__xludf.DUMMYFUNCTION("""COMPUTED_VALUE"""),"Dr, José Gustavo Barroso Braojos")</f>
        <v>Dr, José Gustavo Barroso Braojos</v>
      </c>
      <c r="S680" s="61" t="str">
        <f ca="1">IFERROR(__xludf.DUMMYFUNCTION("""COMPUTED_VALUE"""),"03 ORL")</f>
        <v>03 ORL</v>
      </c>
      <c r="T680" s="33" t="str">
        <f ca="1">IFERROR(__xludf.DUMMYFUNCTION("""COMPUTED_VALUE"""),"06 ORL")</f>
        <v>06 ORL</v>
      </c>
      <c r="U680" s="62"/>
      <c r="W680" s="61"/>
      <c r="X680" s="62"/>
    </row>
    <row r="681" spans="2:24" ht="16">
      <c r="B681" s="67" t="str">
        <f t="shared" ca="1" si="3"/>
        <v>#N/</v>
      </c>
      <c r="C681" s="64" t="str">
        <f ca="1">IFERROR(__xludf.DUMMYFUNCTION("""COMPUTED_VALUE"""),"#N/A")</f>
        <v>#N/A</v>
      </c>
      <c r="D681" s="33" t="str">
        <f ca="1">IFERROR(__xludf.DUMMYFUNCTION("""COMPUTED_VALUE"""),"PARTICIPADOS")</f>
        <v>PARTICIPADOS</v>
      </c>
      <c r="E681" s="33">
        <f ca="1">IFERROR(__xludf.DUMMYFUNCTION("""COMPUTED_VALUE"""),2026)</f>
        <v>2026</v>
      </c>
      <c r="F681" s="56">
        <f ca="1">IFERROR(__xludf.DUMMYFUNCTION("""COMPUTED_VALUE"""),4)</f>
        <v>4</v>
      </c>
      <c r="G681" s="33" t="str">
        <f ca="1">IFERROR(__xludf.DUMMYFUNCTION("""COMPUTED_VALUE"""),"Madrid- Costa Rica")</f>
        <v>Madrid- Costa Rica</v>
      </c>
      <c r="H681" s="33" t="str">
        <f ca="1">IFERROR(__xludf.DUMMYFUNCTION("""COMPUTED_VALUE"""),"C202632310519898343")</f>
        <v>C202632310519898343</v>
      </c>
      <c r="I681" s="33" t="str">
        <f ca="1">IFERROR(__xludf.DUMMYFUNCTION("""COMPUTED_VALUE"""),"MANUEL PANIZO ACOSTA")</f>
        <v>MANUEL PANIZO ACOSTA</v>
      </c>
      <c r="J681" s="57">
        <f ca="1">IFERROR(__xludf.DUMMYFUNCTION("""COMPUTED_VALUE"""),46104)</f>
        <v>46104</v>
      </c>
      <c r="K681" s="33" t="str">
        <f ca="1">IFERROR(__xludf.DUMMYFUNCTION("""COMPUTED_VALUE"""),"Prueba")</f>
        <v>Prueba</v>
      </c>
      <c r="L681" s="57">
        <f ca="1">IFERROR(__xludf.DUMMYFUNCTION("""COMPUTED_VALUE"""),46119)</f>
        <v>46119</v>
      </c>
      <c r="M681" s="64" t="str">
        <f ca="1">IFERROR(__xludf.DUMMYFUNCTION("""COMPUTED_VALUE"""),"NO")</f>
        <v>NO</v>
      </c>
      <c r="N681" s="56">
        <f ca="1">IFERROR(__xludf.DUMMYFUNCTION("""COMPUTED_VALUE"""),2)</f>
        <v>2</v>
      </c>
      <c r="O681" s="64" t="str">
        <f ca="1">IFERROR(__xludf.DUMMYFUNCTION("""COMPUTED_VALUE"""),"TRIAL")</f>
        <v>TRIAL</v>
      </c>
      <c r="P681" s="62">
        <f ca="1">IFERROR(__xludf.DUMMYFUNCTION("""COMPUTED_VALUE"""),3627.27)</f>
        <v>3627.27</v>
      </c>
      <c r="Q681" s="33" t="str">
        <f ca="1">IFERROR(__xludf.DUMMYFUNCTION("""COMPUTED_VALUE"""),"Maika Blázquez")</f>
        <v>Maika Blázquez</v>
      </c>
      <c r="R681" s="33" t="str">
        <f ca="1">IFERROR(__xludf.DUMMYFUNCTION("""COMPUTED_VALUE"""),"Dr, Jonathan Esteban Sánchez")</f>
        <v>Dr, Jonathan Esteban Sánchez</v>
      </c>
      <c r="S681" s="61" t="str">
        <f ca="1">IFERROR(__xludf.DUMMYFUNCTION("""COMPUTED_VALUE"""),"03 ORL")</f>
        <v>03 ORL</v>
      </c>
      <c r="T681" s="33" t="str">
        <f ca="1">IFERROR(__xludf.DUMMYFUNCTION("""COMPUTED_VALUE"""),"06 ORL")</f>
        <v>06 ORL</v>
      </c>
      <c r="W681" s="61"/>
    </row>
    <row r="682" spans="2:24" ht="16">
      <c r="B682" s="67" t="str">
        <f t="shared" ca="1" si="3"/>
        <v>#N/</v>
      </c>
      <c r="C682" s="64" t="str">
        <f ca="1">IFERROR(__xludf.DUMMYFUNCTION("""COMPUTED_VALUE"""),"#N/A")</f>
        <v>#N/A</v>
      </c>
      <c r="D682" s="33" t="str">
        <f ca="1">IFERROR(__xludf.DUMMYFUNCTION("""COMPUTED_VALUE"""),"PARTICIPADOS")</f>
        <v>PARTICIPADOS</v>
      </c>
      <c r="E682" s="33">
        <f ca="1">IFERROR(__xludf.DUMMYFUNCTION("""COMPUTED_VALUE"""),2026)</f>
        <v>2026</v>
      </c>
      <c r="F682" s="56">
        <f ca="1">IFERROR(__xludf.DUMMYFUNCTION("""COMPUTED_VALUE"""),3)</f>
        <v>3</v>
      </c>
      <c r="G682" s="33" t="str">
        <f ca="1">IFERROR(__xludf.DUMMYFUNCTION("""COMPUTED_VALUE"""),"Madrid- Costa Rica")</f>
        <v>Madrid- Costa Rica</v>
      </c>
      <c r="H682" s="33" t="str">
        <f ca="1">IFERROR(__xludf.DUMMYFUNCTION("""COMPUTED_VALUE"""),"C202621614315746318")</f>
        <v>C202621614315746318</v>
      </c>
      <c r="I682" s="33" t="str">
        <f ca="1">IFERROR(__xludf.DUMMYFUNCTION("""COMPUTED_VALUE"""),"MARIA JOSE ASINS CEBRIAN")</f>
        <v>MARIA JOSE ASINS CEBRIAN</v>
      </c>
      <c r="J682" s="57">
        <f ca="1">IFERROR(__xludf.DUMMYFUNCTION("""COMPUTED_VALUE"""),46069)</f>
        <v>46069</v>
      </c>
      <c r="K682" s="33" t="str">
        <f ca="1">IFERROR(__xludf.DUMMYFUNCTION("""COMPUTED_VALUE"""),"Prueba")</f>
        <v>Prueba</v>
      </c>
      <c r="L682" s="57">
        <f ca="1">IFERROR(__xludf.DUMMYFUNCTION("""COMPUTED_VALUE"""),46101)</f>
        <v>46101</v>
      </c>
      <c r="M682" s="64" t="str">
        <f ca="1">IFERROR(__xludf.DUMMYFUNCTION("""COMPUTED_VALUE"""),"NO")</f>
        <v>NO</v>
      </c>
      <c r="N682" s="56">
        <f ca="1">IFERROR(__xludf.DUMMYFUNCTION("""COMPUTED_VALUE"""),2)</f>
        <v>2</v>
      </c>
      <c r="O682" s="64" t="str">
        <f ca="1">IFERROR(__xludf.DUMMYFUNCTION("""COMPUTED_VALUE"""),"TRIAL")</f>
        <v>TRIAL</v>
      </c>
      <c r="P682" s="62">
        <f ca="1">IFERROR(__xludf.DUMMYFUNCTION("""COMPUTED_VALUE"""),3627.27)</f>
        <v>3627.27</v>
      </c>
      <c r="Q682" s="33" t="str">
        <f ca="1">IFERROR(__xludf.DUMMYFUNCTION("""COMPUTED_VALUE"""),"Maika Blázquez")</f>
        <v>Maika Blázquez</v>
      </c>
      <c r="R682" s="33" t="str">
        <f ca="1">IFERROR(__xludf.DUMMYFUNCTION("""COMPUTED_VALUE"""),"Dr, José María Hernández Hernández")</f>
        <v>Dr, José María Hernández Hernández</v>
      </c>
      <c r="S682" s="61" t="str">
        <f ca="1">IFERROR(__xludf.DUMMYFUNCTION("""COMPUTED_VALUE"""),"03 ORL")</f>
        <v>03 ORL</v>
      </c>
      <c r="T682" s="33" t="str">
        <f ca="1">IFERROR(__xludf.DUMMYFUNCTION("""COMPUTED_VALUE"""),"06 ORL")</f>
        <v>06 ORL</v>
      </c>
      <c r="U682" s="62"/>
      <c r="W682" s="61"/>
      <c r="X682" s="62"/>
    </row>
    <row r="683" spans="2:24" ht="16">
      <c r="B683" s="67" t="str">
        <f t="shared" ca="1" si="3"/>
        <v>#N/</v>
      </c>
      <c r="C683" s="64" t="str">
        <f ca="1">IFERROR(__xludf.DUMMYFUNCTION("""COMPUTED_VALUE"""),"#N/A")</f>
        <v>#N/A</v>
      </c>
      <c r="D683" s="33" t="str">
        <f ca="1">IFERROR(__xludf.DUMMYFUNCTION("""COMPUTED_VALUE"""),"PARTICIPADOS")</f>
        <v>PARTICIPADOS</v>
      </c>
      <c r="E683" s="33">
        <f ca="1">IFERROR(__xludf.DUMMYFUNCTION("""COMPUTED_VALUE"""),2026)</f>
        <v>2026</v>
      </c>
      <c r="F683" s="56">
        <f ca="1">IFERROR(__xludf.DUMMYFUNCTION("""COMPUTED_VALUE"""),2)</f>
        <v>2</v>
      </c>
      <c r="G683" s="33" t="str">
        <f ca="1">IFERROR(__xludf.DUMMYFUNCTION("""COMPUTED_VALUE"""),"Madrid- Costa Rica")</f>
        <v>Madrid- Costa Rica</v>
      </c>
      <c r="H683" s="33" t="str">
        <f ca="1">IFERROR(__xludf.DUMMYFUNCTION("""COMPUTED_VALUE"""),"C202621010715782112")</f>
        <v>C202621010715782112</v>
      </c>
      <c r="I683" s="33" t="str">
        <f ca="1">IFERROR(__xludf.DUMMYFUNCTION("""COMPUTED_VALUE"""),"MARIA JOSE MARTINEZ FERRER")</f>
        <v>MARIA JOSE MARTINEZ FERRER</v>
      </c>
      <c r="J683" s="57">
        <f ca="1">IFERROR(__xludf.DUMMYFUNCTION("""COMPUTED_VALUE"""),46063)</f>
        <v>46063</v>
      </c>
      <c r="K683" s="33" t="str">
        <f ca="1">IFERROR(__xludf.DUMMYFUNCTION("""COMPUTED_VALUE"""),"Prueba")</f>
        <v>Prueba</v>
      </c>
      <c r="L683" s="57">
        <f ca="1">IFERROR(__xludf.DUMMYFUNCTION("""COMPUTED_VALUE"""),46076)</f>
        <v>46076</v>
      </c>
      <c r="M683" s="64" t="str">
        <f ca="1">IFERROR(__xludf.DUMMYFUNCTION("""COMPUTED_VALUE"""),"NO")</f>
        <v>NO</v>
      </c>
      <c r="N683" s="56">
        <f ca="1">IFERROR(__xludf.DUMMYFUNCTION("""COMPUTED_VALUE"""),2)</f>
        <v>2</v>
      </c>
      <c r="O683" s="64" t="str">
        <f ca="1">IFERROR(__xludf.DUMMYFUNCTION("""COMPUTED_VALUE"""),"TRIAL")</f>
        <v>TRIAL</v>
      </c>
      <c r="P683" s="62">
        <f ca="1">IFERROR(__xludf.DUMMYFUNCTION("""COMPUTED_VALUE"""),4136.36)</f>
        <v>4136.3599999999997</v>
      </c>
      <c r="Q683" s="33" t="str">
        <f ca="1">IFERROR(__xludf.DUMMYFUNCTION("""COMPUTED_VALUE"""),"Maika Blázquez")</f>
        <v>Maika Blázquez</v>
      </c>
      <c r="R683" s="33" t="str">
        <f ca="1">IFERROR(__xludf.DUMMYFUNCTION("""COMPUTED_VALUE"""),"Dr, Antonio Bueno Ríos")</f>
        <v>Dr, Antonio Bueno Ríos</v>
      </c>
      <c r="S683" s="61" t="str">
        <f ca="1">IFERROR(__xludf.DUMMYFUNCTION("""COMPUTED_VALUE"""),"03 ORL")</f>
        <v>03 ORL</v>
      </c>
      <c r="T683" s="33" t="str">
        <f ca="1">IFERROR(__xludf.DUMMYFUNCTION("""COMPUTED_VALUE"""),"06 ORL")</f>
        <v>06 ORL</v>
      </c>
      <c r="U683" s="62"/>
      <c r="W683" s="61"/>
      <c r="X683" s="62"/>
    </row>
    <row r="684" spans="2:24" ht="16">
      <c r="B684" s="67" t="str">
        <f t="shared" ca="1" si="3"/>
        <v>#N/</v>
      </c>
      <c r="C684" s="64" t="str">
        <f ca="1">IFERROR(__xludf.DUMMYFUNCTION("""COMPUTED_VALUE"""),"#N/A")</f>
        <v>#N/A</v>
      </c>
      <c r="D684" s="33" t="str">
        <f ca="1">IFERROR(__xludf.DUMMYFUNCTION("""COMPUTED_VALUE"""),"PARTICIPADOS")</f>
        <v>PARTICIPADOS</v>
      </c>
      <c r="E684" s="33">
        <f ca="1">IFERROR(__xludf.DUMMYFUNCTION("""COMPUTED_VALUE"""),2026)</f>
        <v>2026</v>
      </c>
      <c r="F684" s="56">
        <f ca="1">IFERROR(__xludf.DUMMYFUNCTION("""COMPUTED_VALUE"""),3)</f>
        <v>3</v>
      </c>
      <c r="G684" s="33" t="str">
        <f ca="1">IFERROR(__xludf.DUMMYFUNCTION("""COMPUTED_VALUE"""),"Madrid- Costa Rica")</f>
        <v>Madrid- Costa Rica</v>
      </c>
      <c r="H684" s="33" t="str">
        <f ca="1">IFERROR(__xludf.DUMMYFUNCTION("""COMPUTED_VALUE"""),"C202635141748358900")</f>
        <v>C202635141748358900</v>
      </c>
      <c r="I684" s="33" t="str">
        <f ca="1">IFERROR(__xludf.DUMMYFUNCTION("""COMPUTED_VALUE"""),"MARTA CASADO REVUELTA")</f>
        <v>MARTA CASADO REVUELTA</v>
      </c>
      <c r="J684" s="57">
        <f ca="1">IFERROR(__xludf.DUMMYFUNCTION("""COMPUTED_VALUE"""),46086)</f>
        <v>46086</v>
      </c>
      <c r="K684" s="33" t="str">
        <f ca="1">IFERROR(__xludf.DUMMYFUNCTION("""COMPUTED_VALUE"""),"Pedido")</f>
        <v>Pedido</v>
      </c>
      <c r="L684" s="57">
        <f ca="1">IFERROR(__xludf.DUMMYFUNCTION("""COMPUTED_VALUE"""),46097)</f>
        <v>46097</v>
      </c>
      <c r="M684" s="64" t="str">
        <f ca="1">IFERROR(__xludf.DUMMYFUNCTION("""COMPUTED_VALUE"""),"NO")</f>
        <v>NO</v>
      </c>
      <c r="N684" s="56">
        <f ca="1">IFERROR(__xludf.DUMMYFUNCTION("""COMPUTED_VALUE"""),2)</f>
        <v>2</v>
      </c>
      <c r="O684" s="64" t="str">
        <f ca="1">IFERROR(__xludf.DUMMYFUNCTION("""COMPUTED_VALUE"""),"CONFORT")</f>
        <v>CONFORT</v>
      </c>
      <c r="P684" s="62">
        <f ca="1">IFERROR(__xludf.DUMMYFUNCTION("""COMPUTED_VALUE"""),3631.82)</f>
        <v>3631.82</v>
      </c>
      <c r="Q684" s="33" t="str">
        <f ca="1">IFERROR(__xludf.DUMMYFUNCTION("""COMPUTED_VALUE"""),"Maika Blázquez")</f>
        <v>Maika Blázquez</v>
      </c>
      <c r="R684" s="33" t="str">
        <f ca="1">IFERROR(__xludf.DUMMYFUNCTION("""COMPUTED_VALUE"""),"Dr, Esteban Scola Pliego")</f>
        <v>Dr, Esteban Scola Pliego</v>
      </c>
      <c r="S684" s="61" t="str">
        <f ca="1">IFERROR(__xludf.DUMMYFUNCTION("""COMPUTED_VALUE"""),"03 ORL")</f>
        <v>03 ORL</v>
      </c>
      <c r="T684" s="33" t="str">
        <f ca="1">IFERROR(__xludf.DUMMYFUNCTION("""COMPUTED_VALUE"""),"06 ORL")</f>
        <v>06 ORL</v>
      </c>
      <c r="U684" s="62"/>
      <c r="W684" s="61"/>
      <c r="X684" s="62"/>
    </row>
    <row r="685" spans="2:24" ht="16">
      <c r="B685" s="67" t="str">
        <f t="shared" ca="1" si="3"/>
        <v>#N/</v>
      </c>
      <c r="C685" s="64" t="str">
        <f ca="1">IFERROR(__xludf.DUMMYFUNCTION("""COMPUTED_VALUE"""),"#N/A")</f>
        <v>#N/A</v>
      </c>
      <c r="D685" s="33" t="str">
        <f ca="1">IFERROR(__xludf.DUMMYFUNCTION("""COMPUTED_VALUE"""),"PARTICIPADOS")</f>
        <v>PARTICIPADOS</v>
      </c>
      <c r="E685" s="33">
        <f ca="1">IFERROR(__xludf.DUMMYFUNCTION("""COMPUTED_VALUE"""),2026)</f>
        <v>2026</v>
      </c>
      <c r="F685" s="56">
        <f ca="1">IFERROR(__xludf.DUMMYFUNCTION("""COMPUTED_VALUE"""),3)</f>
        <v>3</v>
      </c>
      <c r="G685" s="33" t="str">
        <f ca="1">IFERROR(__xludf.DUMMYFUNCTION("""COMPUTED_VALUE"""),"Madrid- Galileo")</f>
        <v>Madrid- Galileo</v>
      </c>
      <c r="H685" s="33" t="str">
        <f ca="1">IFERROR(__xludf.DUMMYFUNCTION("""COMPUTED_VALUE"""),"C202632316322636069")</f>
        <v>C202632316322636069</v>
      </c>
      <c r="I685" s="33" t="str">
        <f ca="1">IFERROR(__xludf.DUMMYFUNCTION("""COMPUTED_VALUE"""),"ANA MARIA GARCÍA PRADILLO")</f>
        <v>ANA MARIA GARCÍA PRADILLO</v>
      </c>
      <c r="J685" s="57">
        <f ca="1">IFERROR(__xludf.DUMMYFUNCTION("""COMPUTED_VALUE"""),46104)</f>
        <v>46104</v>
      </c>
      <c r="K685" s="33" t="str">
        <f ca="1">IFERROR(__xludf.DUMMYFUNCTION("""COMPUTED_VALUE"""),"Presupuesto")</f>
        <v>Presupuesto</v>
      </c>
      <c r="L685" s="57">
        <f ca="1">IFERROR(__xludf.DUMMYFUNCTION("""COMPUTED_VALUE"""),46108)</f>
        <v>46108</v>
      </c>
      <c r="M685" s="64" t="str">
        <f ca="1">IFERROR(__xludf.DUMMYFUNCTION("""COMPUTED_VALUE"""),"NO")</f>
        <v>NO</v>
      </c>
      <c r="N685" s="56">
        <f ca="1">IFERROR(__xludf.DUMMYFUNCTION("""COMPUTED_VALUE"""),1)</f>
        <v>1</v>
      </c>
      <c r="O685" s="64" t="str">
        <f ca="1">IFERROR(__xludf.DUMMYFUNCTION("""COMPUTED_VALUE"""),"QUIET")</f>
        <v>QUIET</v>
      </c>
      <c r="P685" s="62">
        <f ca="1">IFERROR(__xludf.DUMMYFUNCTION("""COMPUTED_VALUE"""),1631.82)</f>
        <v>1631.82</v>
      </c>
      <c r="Q685" s="33" t="str">
        <f ca="1">IFERROR(__xludf.DUMMYFUNCTION("""COMPUTED_VALUE"""),"Maika Blázquez")</f>
        <v>Maika Blázquez</v>
      </c>
      <c r="R685" s="33" t="str">
        <f ca="1">IFERROR(__xludf.DUMMYFUNCTION("""COMPUTED_VALUE"""),"Dr, José Miguel Aparicio Fernández")</f>
        <v>Dr, José Miguel Aparicio Fernández</v>
      </c>
      <c r="S685" s="61" t="str">
        <f ca="1">IFERROR(__xludf.DUMMYFUNCTION("""COMPUTED_VALUE"""),"03 ORL")</f>
        <v>03 ORL</v>
      </c>
      <c r="T685" s="33" t="str">
        <f ca="1">IFERROR(__xludf.DUMMYFUNCTION("""COMPUTED_VALUE"""),"06 ORL")</f>
        <v>06 ORL</v>
      </c>
      <c r="U685" s="62"/>
      <c r="W685" s="61"/>
      <c r="X685" s="62"/>
    </row>
    <row r="686" spans="2:24" ht="16">
      <c r="B686" s="67" t="str">
        <f t="shared" ca="1" si="3"/>
        <v>#N/</v>
      </c>
      <c r="C686" s="64" t="str">
        <f ca="1">IFERROR(__xludf.DUMMYFUNCTION("""COMPUTED_VALUE"""),"#N/A")</f>
        <v>#N/A</v>
      </c>
      <c r="D686" s="33" t="str">
        <f ca="1">IFERROR(__xludf.DUMMYFUNCTION("""COMPUTED_VALUE"""),"PARTICIPADOS")</f>
        <v>PARTICIPADOS</v>
      </c>
      <c r="E686" s="33">
        <f ca="1">IFERROR(__xludf.DUMMYFUNCTION("""COMPUTED_VALUE"""),2026)</f>
        <v>2026</v>
      </c>
      <c r="F686" s="56">
        <f ca="1">IFERROR(__xludf.DUMMYFUNCTION("""COMPUTED_VALUE"""),2)</f>
        <v>2</v>
      </c>
      <c r="G686" s="33" t="str">
        <f ca="1">IFERROR(__xludf.DUMMYFUNCTION("""COMPUTED_VALUE"""),"Madrid- Galileo")</f>
        <v>Madrid- Galileo</v>
      </c>
      <c r="H686" s="33" t="str">
        <f ca="1">IFERROR(__xludf.DUMMYFUNCTION("""COMPUTED_VALUE"""),"C202621392511783836")</f>
        <v>C202621392511783836</v>
      </c>
      <c r="I686" s="33" t="str">
        <f ca="1">IFERROR(__xludf.DUMMYFUNCTION("""COMPUTED_VALUE"""),"JOSE LUIS PELLICER MIRET")</f>
        <v>JOSE LUIS PELLICER MIRET</v>
      </c>
      <c r="J686" s="57">
        <f ca="1">IFERROR(__xludf.DUMMYFUNCTION("""COMPUTED_VALUE"""),46066)</f>
        <v>46066</v>
      </c>
      <c r="K686" s="33" t="str">
        <f ca="1">IFERROR(__xludf.DUMMYFUNCTION("""COMPUTED_VALUE"""),"Presupuesto")</f>
        <v>Presupuesto</v>
      </c>
      <c r="L686" s="57">
        <f ca="1">IFERROR(__xludf.DUMMYFUNCTION("""COMPUTED_VALUE"""),46069)</f>
        <v>46069</v>
      </c>
      <c r="M686" s="64" t="str">
        <f ca="1">IFERROR(__xludf.DUMMYFUNCTION("""COMPUTED_VALUE"""),"NO")</f>
        <v>NO</v>
      </c>
      <c r="N686" s="56">
        <f ca="1">IFERROR(__xludf.DUMMYFUNCTION("""COMPUTED_VALUE"""),2)</f>
        <v>2</v>
      </c>
      <c r="O686" s="64" t="str">
        <f ca="1">IFERROR(__xludf.DUMMYFUNCTION("""COMPUTED_VALUE"""),"QUIET")</f>
        <v>QUIET</v>
      </c>
      <c r="P686" s="62">
        <f ca="1">IFERROR(__xludf.DUMMYFUNCTION("""COMPUTED_VALUE"""),2918.18)</f>
        <v>2918.18</v>
      </c>
      <c r="Q686" s="33" t="str">
        <f ca="1">IFERROR(__xludf.DUMMYFUNCTION("""COMPUTED_VALUE"""),"Maika Blázquez")</f>
        <v>Maika Blázquez</v>
      </c>
      <c r="R686" s="33" t="str">
        <f ca="1">IFERROR(__xludf.DUMMYFUNCTION("""COMPUTED_VALUE"""),"Dra, María Cecilia Scola Torres")</f>
        <v>Dra, María Cecilia Scola Torres</v>
      </c>
      <c r="S686" s="61" t="str">
        <f ca="1">IFERROR(__xludf.DUMMYFUNCTION("""COMPUTED_VALUE"""),"03 ORL")</f>
        <v>03 ORL</v>
      </c>
      <c r="T686" s="33" t="str">
        <f ca="1">IFERROR(__xludf.DUMMYFUNCTION("""COMPUTED_VALUE"""),"06 ORL")</f>
        <v>06 ORL</v>
      </c>
      <c r="U686" s="62"/>
      <c r="W686" s="61"/>
      <c r="X686" s="62"/>
    </row>
    <row r="687" spans="2:24" ht="16">
      <c r="B687" s="67" t="str">
        <f t="shared" ca="1" si="3"/>
        <v>#N/</v>
      </c>
      <c r="C687" s="64" t="str">
        <f ca="1">IFERROR(__xludf.DUMMYFUNCTION("""COMPUTED_VALUE"""),"#N/A")</f>
        <v>#N/A</v>
      </c>
      <c r="D687" s="33" t="str">
        <f ca="1">IFERROR(__xludf.DUMMYFUNCTION("""COMPUTED_VALUE"""),"PARTICIPADOS")</f>
        <v>PARTICIPADOS</v>
      </c>
      <c r="E687" s="33">
        <f ca="1">IFERROR(__xludf.DUMMYFUNCTION("""COMPUTED_VALUE"""),2026)</f>
        <v>2026</v>
      </c>
      <c r="F687" s="56">
        <f ca="1">IFERROR(__xludf.DUMMYFUNCTION("""COMPUTED_VALUE"""),3)</f>
        <v>3</v>
      </c>
      <c r="G687" s="33" t="str">
        <f ca="1">IFERROR(__xludf.DUMMYFUNCTION("""COMPUTED_VALUE"""),"Madrid- Galileo")</f>
        <v>Madrid- Galileo</v>
      </c>
      <c r="H687" s="33" t="str">
        <f ca="1">IFERROR(__xludf.DUMMYFUNCTION("""COMPUTED_VALUE"""),"C202633152116008520")</f>
        <v>C202633152116008520</v>
      </c>
      <c r="I687" s="33" t="str">
        <f ca="1">IFERROR(__xludf.DUMMYFUNCTION("""COMPUTED_VALUE"""),"JOSE  MUÑOZ FERNANDEZ")</f>
        <v>JOSE  MUÑOZ FERNANDEZ</v>
      </c>
      <c r="J687" s="57">
        <f ca="1">IFERROR(__xludf.DUMMYFUNCTION("""COMPUTED_VALUE"""),46084)</f>
        <v>46084</v>
      </c>
      <c r="K687" s="33" t="str">
        <f ca="1">IFERROR(__xludf.DUMMYFUNCTION("""COMPUTED_VALUE"""),"Prueba")</f>
        <v>Prueba</v>
      </c>
      <c r="L687" s="57">
        <f ca="1">IFERROR(__xludf.DUMMYFUNCTION("""COMPUTED_VALUE"""),46107)</f>
        <v>46107</v>
      </c>
      <c r="M687" s="64" t="str">
        <f ca="1">IFERROR(__xludf.DUMMYFUNCTION("""COMPUTED_VALUE"""),"NO")</f>
        <v>NO</v>
      </c>
      <c r="N687" s="56">
        <f ca="1">IFERROR(__xludf.DUMMYFUNCTION("""COMPUTED_VALUE"""),2)</f>
        <v>2</v>
      </c>
      <c r="O687" s="64" t="str">
        <f ca="1">IFERROR(__xludf.DUMMYFUNCTION("""COMPUTED_VALUE"""),"CONFORT")</f>
        <v>CONFORT</v>
      </c>
      <c r="P687" s="62">
        <f ca="1">IFERROR(__xludf.DUMMYFUNCTION("""COMPUTED_VALUE"""),3080)</f>
        <v>3080</v>
      </c>
      <c r="Q687" s="33" t="str">
        <f ca="1">IFERROR(__xludf.DUMMYFUNCTION("""COMPUTED_VALUE"""),"Maika Blázquez")</f>
        <v>Maika Blázquez</v>
      </c>
      <c r="R687" s="33" t="str">
        <f ca="1">IFERROR(__xludf.DUMMYFUNCTION("""COMPUTED_VALUE"""),"Dra, Isabel Bueno Aventín")</f>
        <v>Dra, Isabel Bueno Aventín</v>
      </c>
      <c r="S687" s="61" t="str">
        <f ca="1">IFERROR(__xludf.DUMMYFUNCTION("""COMPUTED_VALUE"""),"03 ORL")</f>
        <v>03 ORL</v>
      </c>
      <c r="T687" s="33" t="str">
        <f ca="1">IFERROR(__xludf.DUMMYFUNCTION("""COMPUTED_VALUE"""),"06 ORL")</f>
        <v>06 ORL</v>
      </c>
      <c r="U687" s="62"/>
      <c r="W687" s="61"/>
      <c r="X687" s="62"/>
    </row>
    <row r="688" spans="2:24" ht="16">
      <c r="B688" s="67" t="str">
        <f t="shared" ca="1" si="3"/>
        <v>#N/</v>
      </c>
      <c r="C688" s="64" t="str">
        <f ca="1">IFERROR(__xludf.DUMMYFUNCTION("""COMPUTED_VALUE"""),"#N/A")</f>
        <v>#N/A</v>
      </c>
      <c r="D688" s="33" t="str">
        <f ca="1">IFERROR(__xludf.DUMMYFUNCTION("""COMPUTED_VALUE"""),"PROPIOS")</f>
        <v>PROPIOS</v>
      </c>
      <c r="E688" s="33">
        <f ca="1">IFERROR(__xludf.DUMMYFUNCTION("""COMPUTED_VALUE"""),2026)</f>
        <v>2026</v>
      </c>
      <c r="F688" s="56">
        <f ca="1">IFERROR(__xludf.DUMMYFUNCTION("""COMPUTED_VALUE"""),1)</f>
        <v>1</v>
      </c>
      <c r="G688" s="33" t="str">
        <f ca="1">IFERROR(__xludf.DUMMYFUNCTION("""COMPUTED_VALUE"""),"Madrid- Juan Bravo")</f>
        <v>Madrid- Juan Bravo</v>
      </c>
      <c r="H688" s="33" t="str">
        <f ca="1">IFERROR(__xludf.DUMMYFUNCTION("""COMPUTED_VALUE"""),"C202512291626481178")</f>
        <v>C202512291626481178</v>
      </c>
      <c r="I688" s="33" t="str">
        <f ca="1">IFERROR(__xludf.DUMMYFUNCTION("""COMPUTED_VALUE"""),"AMADEO CAMARERO ARRIBAS")</f>
        <v>AMADEO CAMARERO ARRIBAS</v>
      </c>
      <c r="J688" s="57">
        <f ca="1">IFERROR(__xludf.DUMMYFUNCTION("""COMPUTED_VALUE"""),46020)</f>
        <v>46020</v>
      </c>
      <c r="K688" s="33" t="str">
        <f ca="1">IFERROR(__xludf.DUMMYFUNCTION("""COMPUTED_VALUE"""),"Devuelve")</f>
        <v>Devuelve</v>
      </c>
      <c r="L688" s="57">
        <f ca="1">IFERROR(__xludf.DUMMYFUNCTION("""COMPUTED_VALUE"""),46041)</f>
        <v>46041</v>
      </c>
      <c r="M688" s="64" t="str">
        <f ca="1">IFERROR(__xludf.DUMMYFUNCTION("""COMPUTED_VALUE"""),"NO")</f>
        <v>NO</v>
      </c>
      <c r="N688" s="56">
        <f ca="1">IFERROR(__xludf.DUMMYFUNCTION("""COMPUTED_VALUE"""),2)</f>
        <v>2</v>
      </c>
      <c r="O688" s="64" t="str">
        <f ca="1">IFERROR(__xludf.DUMMYFUNCTION("""COMPUTED_VALUE"""),"CONFORT")</f>
        <v>CONFORT</v>
      </c>
      <c r="P688" s="62">
        <f ca="1">IFERROR(__xludf.DUMMYFUNCTION("""COMPUTED_VALUE"""),4136.36)</f>
        <v>4136.3599999999997</v>
      </c>
      <c r="Q688" s="33" t="str">
        <f ca="1">IFERROR(__xludf.DUMMYFUNCTION("""COMPUTED_VALUE"""),"Maika Blázquez")</f>
        <v>Maika Blázquez</v>
      </c>
      <c r="R688" s="33" t="str">
        <f ca="1">IFERROR(__xludf.DUMMYFUNCTION("""COMPUTED_VALUE"""),"Dr, Carlos Barajas del Rosal")</f>
        <v>Dr, Carlos Barajas del Rosal</v>
      </c>
      <c r="S688" s="61" t="str">
        <f ca="1">IFERROR(__xludf.DUMMYFUNCTION("""COMPUTED_VALUE"""),"03 ORL")</f>
        <v>03 ORL</v>
      </c>
      <c r="T688" s="33" t="str">
        <f ca="1">IFERROR(__xludf.DUMMYFUNCTION("""COMPUTED_VALUE"""),"06 ORL")</f>
        <v>06 ORL</v>
      </c>
      <c r="U688" s="62"/>
      <c r="W688" s="61"/>
      <c r="X688" s="62"/>
    </row>
    <row r="689" spans="2:24" ht="16">
      <c r="B689" s="67" t="str">
        <f t="shared" ca="1" si="3"/>
        <v>#N/</v>
      </c>
      <c r="C689" s="64" t="str">
        <f ca="1">IFERROR(__xludf.DUMMYFUNCTION("""COMPUTED_VALUE"""),"#N/A")</f>
        <v>#N/A</v>
      </c>
      <c r="D689" s="33" t="str">
        <f ca="1">IFERROR(__xludf.DUMMYFUNCTION("""COMPUTED_VALUE"""),"PROPIOS")</f>
        <v>PROPIOS</v>
      </c>
      <c r="E689" s="33">
        <f ca="1">IFERROR(__xludf.DUMMYFUNCTION("""COMPUTED_VALUE"""),2026)</f>
        <v>2026</v>
      </c>
      <c r="F689" s="56">
        <f ca="1">IFERROR(__xludf.DUMMYFUNCTION("""COMPUTED_VALUE"""),1)</f>
        <v>1</v>
      </c>
      <c r="G689" s="33" t="str">
        <f ca="1">IFERROR(__xludf.DUMMYFUNCTION("""COMPUTED_VALUE"""),"Madrid- Juan Bravo")</f>
        <v>Madrid- Juan Bravo</v>
      </c>
      <c r="H689" s="33" t="str">
        <f ca="1">IFERROR(__xludf.DUMMYFUNCTION("""COMPUTED_VALUE"""),"C202512191174676302")</f>
        <v>C202512191174676302</v>
      </c>
      <c r="I689" s="33" t="str">
        <f ca="1">IFERROR(__xludf.DUMMYFUNCTION("""COMPUTED_VALUE"""),"AMELIA ROJO GARCIA")</f>
        <v>AMELIA ROJO GARCIA</v>
      </c>
      <c r="J689" s="57">
        <f ca="1">IFERROR(__xludf.DUMMYFUNCTION("""COMPUTED_VALUE"""),46010)</f>
        <v>46010</v>
      </c>
      <c r="K689" s="33" t="str">
        <f ca="1">IFERROR(__xludf.DUMMYFUNCTION("""COMPUTED_VALUE"""),"Devuelve")</f>
        <v>Devuelve</v>
      </c>
      <c r="L689" s="57">
        <f ca="1">IFERROR(__xludf.DUMMYFUNCTION("""COMPUTED_VALUE"""),46042)</f>
        <v>46042</v>
      </c>
      <c r="M689" s="64" t="str">
        <f ca="1">IFERROR(__xludf.DUMMYFUNCTION("""COMPUTED_VALUE"""),"NO")</f>
        <v>NO</v>
      </c>
      <c r="N689" s="56">
        <f ca="1">IFERROR(__xludf.DUMMYFUNCTION("""COMPUTED_VALUE"""),2)</f>
        <v>2</v>
      </c>
      <c r="O689" s="64" t="str">
        <f ca="1">IFERROR(__xludf.DUMMYFUNCTION("""COMPUTED_VALUE"""),"TRIAL")</f>
        <v>TRIAL</v>
      </c>
      <c r="P689" s="62">
        <f ca="1">IFERROR(__xludf.DUMMYFUNCTION("""COMPUTED_VALUE"""),4154.22)</f>
        <v>4154.22</v>
      </c>
      <c r="Q689" s="33" t="str">
        <f ca="1">IFERROR(__xludf.DUMMYFUNCTION("""COMPUTED_VALUE"""),"Maika Blázquez")</f>
        <v>Maika Blázquez</v>
      </c>
      <c r="R689" s="33" t="str">
        <f ca="1">IFERROR(__xludf.DUMMYFUNCTION("""COMPUTED_VALUE"""),"DR, Javier Olarieta Soto")</f>
        <v>DR, Javier Olarieta Soto</v>
      </c>
      <c r="S689" s="61" t="str">
        <f ca="1">IFERROR(__xludf.DUMMYFUNCTION("""COMPUTED_VALUE"""),"03 ORL")</f>
        <v>03 ORL</v>
      </c>
      <c r="T689" s="33" t="str">
        <f ca="1">IFERROR(__xludf.DUMMYFUNCTION("""COMPUTED_VALUE"""),"06 ORL")</f>
        <v>06 ORL</v>
      </c>
      <c r="U689" s="62"/>
      <c r="W689" s="61"/>
      <c r="X689" s="62"/>
    </row>
    <row r="690" spans="2:24" ht="16">
      <c r="B690" s="67" t="str">
        <f t="shared" ca="1" si="3"/>
        <v>#N/</v>
      </c>
      <c r="C690" s="64" t="str">
        <f ca="1">IFERROR(__xludf.DUMMYFUNCTION("""COMPUTED_VALUE"""),"#N/A")</f>
        <v>#N/A</v>
      </c>
      <c r="D690" s="33" t="str">
        <f ca="1">IFERROR(__xludf.DUMMYFUNCTION("""COMPUTED_VALUE"""),"PROPIOS")</f>
        <v>PROPIOS</v>
      </c>
      <c r="E690" s="33">
        <f ca="1">IFERROR(__xludf.DUMMYFUNCTION("""COMPUTED_VALUE"""),2026)</f>
        <v>2026</v>
      </c>
      <c r="F690" s="56">
        <f ca="1">IFERROR(__xludf.DUMMYFUNCTION("""COMPUTED_VALUE"""),3)</f>
        <v>3</v>
      </c>
      <c r="G690" s="33" t="str">
        <f ca="1">IFERROR(__xludf.DUMMYFUNCTION("""COMPUTED_VALUE"""),"Madrid- Juan Bravo")</f>
        <v>Madrid- Juan Bravo</v>
      </c>
      <c r="H690" s="33" t="str">
        <f ca="1">IFERROR(__xludf.DUMMYFUNCTION("""COMPUTED_VALUE"""),"C202631311169449763")</f>
        <v>C202631311169449763</v>
      </c>
      <c r="I690" s="33" t="str">
        <f ca="1">IFERROR(__xludf.DUMMYFUNCTION("""COMPUTED_VALUE"""),"ANTONIO HUALDE GOMEZ")</f>
        <v>ANTONIO HUALDE GOMEZ</v>
      </c>
      <c r="J690" s="57">
        <f ca="1">IFERROR(__xludf.DUMMYFUNCTION("""COMPUTED_VALUE"""),46094)</f>
        <v>46094</v>
      </c>
      <c r="K690" s="33" t="str">
        <f ca="1">IFERROR(__xludf.DUMMYFUNCTION("""COMPUTED_VALUE"""),"Presupuesto")</f>
        <v>Presupuesto</v>
      </c>
      <c r="L690" s="57">
        <f ca="1">IFERROR(__xludf.DUMMYFUNCTION("""COMPUTED_VALUE"""),46100)</f>
        <v>46100</v>
      </c>
      <c r="M690" s="64" t="str">
        <f ca="1">IFERROR(__xludf.DUMMYFUNCTION("""COMPUTED_VALUE"""),"NO")</f>
        <v>NO</v>
      </c>
      <c r="N690" s="56">
        <f ca="1">IFERROR(__xludf.DUMMYFUNCTION("""COMPUTED_VALUE"""),2)</f>
        <v>2</v>
      </c>
      <c r="O690" s="64" t="str">
        <f ca="1">IFERROR(__xludf.DUMMYFUNCTION("""COMPUTED_VALUE"""),"CONFORT")</f>
        <v>CONFORT</v>
      </c>
      <c r="P690" s="62">
        <f ca="1">IFERROR(__xludf.DUMMYFUNCTION("""COMPUTED_VALUE"""),3631.82)</f>
        <v>3631.82</v>
      </c>
      <c r="Q690" s="33" t="str">
        <f ca="1">IFERROR(__xludf.DUMMYFUNCTION("""COMPUTED_VALUE"""),"Maika Blázquez")</f>
        <v>Maika Blázquez</v>
      </c>
      <c r="R690" s="33" t="str">
        <f ca="1">IFERROR(__xludf.DUMMYFUNCTION("""COMPUTED_VALUE"""),"Dr, Joaquín Alacio Casero")</f>
        <v>Dr, Joaquín Alacio Casero</v>
      </c>
      <c r="S690" s="61" t="str">
        <f ca="1">IFERROR(__xludf.DUMMYFUNCTION("""COMPUTED_VALUE"""),"03 ORL")</f>
        <v>03 ORL</v>
      </c>
      <c r="T690" s="33" t="str">
        <f ca="1">IFERROR(__xludf.DUMMYFUNCTION("""COMPUTED_VALUE"""),"06 ORL")</f>
        <v>06 ORL</v>
      </c>
      <c r="U690" s="62"/>
      <c r="W690" s="61"/>
      <c r="X690" s="62"/>
    </row>
    <row r="691" spans="2:24" ht="16">
      <c r="B691" s="67" t="str">
        <f t="shared" ca="1" si="3"/>
        <v>#N/</v>
      </c>
      <c r="C691" s="64" t="str">
        <f ca="1">IFERROR(__xludf.DUMMYFUNCTION("""COMPUTED_VALUE"""),"#N/A")</f>
        <v>#N/A</v>
      </c>
      <c r="D691" s="33" t="str">
        <f ca="1">IFERROR(__xludf.DUMMYFUNCTION("""COMPUTED_VALUE"""),"PROPIOS")</f>
        <v>PROPIOS</v>
      </c>
      <c r="E691" s="33">
        <f ca="1">IFERROR(__xludf.DUMMYFUNCTION("""COMPUTED_VALUE"""),2026)</f>
        <v>2026</v>
      </c>
      <c r="F691" s="56">
        <f ca="1">IFERROR(__xludf.DUMMYFUNCTION("""COMPUTED_VALUE"""),2)</f>
        <v>2</v>
      </c>
      <c r="G691" s="33" t="str">
        <f ca="1">IFERROR(__xludf.DUMMYFUNCTION("""COMPUTED_VALUE"""),"Madrid- Juan Bravo")</f>
        <v>Madrid- Juan Bravo</v>
      </c>
      <c r="H691" s="33" t="str">
        <f ca="1">IFERROR(__xludf.DUMMYFUNCTION("""COMPUTED_VALUE"""),"C20262295125976474")</f>
        <v>C20262295125976474</v>
      </c>
      <c r="I691" s="33" t="str">
        <f ca="1">IFERROR(__xludf.DUMMYFUNCTION("""COMPUTED_VALUE"""),"BUMY  HOLLANDER")</f>
        <v>BUMY  HOLLANDER</v>
      </c>
      <c r="J691" s="57">
        <f ca="1">IFERROR(__xludf.DUMMYFUNCTION("""COMPUTED_VALUE"""),46055)</f>
        <v>46055</v>
      </c>
      <c r="K691" s="33" t="str">
        <f ca="1">IFERROR(__xludf.DUMMYFUNCTION("""COMPUTED_VALUE"""),"Presupuesto")</f>
        <v>Presupuesto</v>
      </c>
      <c r="L691" s="57">
        <f ca="1">IFERROR(__xludf.DUMMYFUNCTION("""COMPUTED_VALUE"""),46062)</f>
        <v>46062</v>
      </c>
      <c r="M691" s="64" t="str">
        <f ca="1">IFERROR(__xludf.DUMMYFUNCTION("""COMPUTED_VALUE"""),"NO")</f>
        <v>NO</v>
      </c>
      <c r="N691" s="56">
        <f ca="1">IFERROR(__xludf.DUMMYFUNCTION("""COMPUTED_VALUE"""),2)</f>
        <v>2</v>
      </c>
      <c r="O691" s="64" t="str">
        <f ca="1">IFERROR(__xludf.DUMMYFUNCTION("""COMPUTED_VALUE"""),"QUIET")</f>
        <v>QUIET</v>
      </c>
      <c r="P691" s="62">
        <f ca="1">IFERROR(__xludf.DUMMYFUNCTION("""COMPUTED_VALUE"""),2718.18)</f>
        <v>2718.18</v>
      </c>
      <c r="Q691" s="33" t="str">
        <f ca="1">IFERROR(__xludf.DUMMYFUNCTION("""COMPUTED_VALUE"""),"Maika Blázquez")</f>
        <v>Maika Blázquez</v>
      </c>
      <c r="R691" s="33" t="str">
        <f ca="1">IFERROR(__xludf.DUMMYFUNCTION("""COMPUTED_VALUE"""),"Dr, Carlos Barajas del Rosal")</f>
        <v>Dr, Carlos Barajas del Rosal</v>
      </c>
      <c r="S691" s="61" t="str">
        <f ca="1">IFERROR(__xludf.DUMMYFUNCTION("""COMPUTED_VALUE"""),"03 ORL")</f>
        <v>03 ORL</v>
      </c>
      <c r="T691" s="33" t="str">
        <f ca="1">IFERROR(__xludf.DUMMYFUNCTION("""COMPUTED_VALUE"""),"06 ORL")</f>
        <v>06 ORL</v>
      </c>
      <c r="U691" s="62"/>
      <c r="W691" s="61"/>
      <c r="X691" s="62"/>
    </row>
    <row r="692" spans="2:24" ht="16">
      <c r="B692" s="67" t="str">
        <f t="shared" ca="1" si="3"/>
        <v>#N/</v>
      </c>
      <c r="C692" s="64" t="str">
        <f ca="1">IFERROR(__xludf.DUMMYFUNCTION("""COMPUTED_VALUE"""),"#N/A")</f>
        <v>#N/A</v>
      </c>
      <c r="D692" s="33" t="str">
        <f ca="1">IFERROR(__xludf.DUMMYFUNCTION("""COMPUTED_VALUE"""),"PROPIOS")</f>
        <v>PROPIOS</v>
      </c>
      <c r="E692" s="33">
        <f ca="1">IFERROR(__xludf.DUMMYFUNCTION("""COMPUTED_VALUE"""),2026)</f>
        <v>2026</v>
      </c>
      <c r="F692" s="56">
        <f ca="1">IFERROR(__xludf.DUMMYFUNCTION("""COMPUTED_VALUE"""),3)</f>
        <v>3</v>
      </c>
      <c r="G692" s="33" t="str">
        <f ca="1">IFERROR(__xludf.DUMMYFUNCTION("""COMPUTED_VALUE"""),"Madrid- Juan Bravo")</f>
        <v>Madrid- Juan Bravo</v>
      </c>
      <c r="H692" s="33" t="str">
        <f ca="1">IFERROR(__xludf.DUMMYFUNCTION("""COMPUTED_VALUE"""),"C202612211512037330")</f>
        <v>C202612211512037330</v>
      </c>
      <c r="I692" s="33" t="str">
        <f ca="1">IFERROR(__xludf.DUMMYFUNCTION("""COMPUTED_VALUE"""),"CARLOS  RODRIGUEZ RAMOS")</f>
        <v>CARLOS  RODRIGUEZ RAMOS</v>
      </c>
      <c r="J692" s="57">
        <f ca="1">IFERROR(__xludf.DUMMYFUNCTION("""COMPUTED_VALUE"""),46044)</f>
        <v>46044</v>
      </c>
      <c r="K692" s="33" t="str">
        <f ca="1">IFERROR(__xludf.DUMMYFUNCTION("""COMPUTED_VALUE"""),"Prueba")</f>
        <v>Prueba</v>
      </c>
      <c r="L692" s="57">
        <f ca="1">IFERROR(__xludf.DUMMYFUNCTION("""COMPUTED_VALUE"""),46105)</f>
        <v>46105</v>
      </c>
      <c r="M692" s="64" t="str">
        <f ca="1">IFERROR(__xludf.DUMMYFUNCTION("""COMPUTED_VALUE"""),"NO")</f>
        <v>NO</v>
      </c>
      <c r="N692" s="56">
        <f ca="1">IFERROR(__xludf.DUMMYFUNCTION("""COMPUTED_VALUE"""),2)</f>
        <v>2</v>
      </c>
      <c r="O692" s="64" t="str">
        <f ca="1">IFERROR(__xludf.DUMMYFUNCTION("""COMPUTED_VALUE"""),"TRIAL")</f>
        <v>TRIAL</v>
      </c>
      <c r="P692" s="62">
        <f ca="1">IFERROR(__xludf.DUMMYFUNCTION("""COMPUTED_VALUE"""),4136.36)</f>
        <v>4136.3599999999997</v>
      </c>
      <c r="Q692" s="33" t="str">
        <f ca="1">IFERROR(__xludf.DUMMYFUNCTION("""COMPUTED_VALUE"""),"Maika Blázquez")</f>
        <v>Maika Blázquez</v>
      </c>
      <c r="R692" s="33" t="str">
        <f ca="1">IFERROR(__xludf.DUMMYFUNCTION("""COMPUTED_VALUE"""),"Dr, Javier García Domínguez")</f>
        <v>Dr, Javier García Domínguez</v>
      </c>
      <c r="S692" s="61" t="str">
        <f ca="1">IFERROR(__xludf.DUMMYFUNCTION("""COMPUTED_VALUE"""),"03 ORL")</f>
        <v>03 ORL</v>
      </c>
      <c r="T692" s="33" t="str">
        <f ca="1">IFERROR(__xludf.DUMMYFUNCTION("""COMPUTED_VALUE"""),"06 ORL")</f>
        <v>06 ORL</v>
      </c>
      <c r="U692" s="62"/>
      <c r="W692" s="61"/>
      <c r="X692" s="62"/>
    </row>
    <row r="693" spans="2:24" ht="16">
      <c r="B693" s="67" t="str">
        <f t="shared" ca="1" si="3"/>
        <v>#N/</v>
      </c>
      <c r="C693" s="64" t="str">
        <f ca="1">IFERROR(__xludf.DUMMYFUNCTION("""COMPUTED_VALUE"""),"#N/A")</f>
        <v>#N/A</v>
      </c>
      <c r="D693" s="33" t="str">
        <f ca="1">IFERROR(__xludf.DUMMYFUNCTION("""COMPUTED_VALUE"""),"PROPIOS")</f>
        <v>PROPIOS</v>
      </c>
      <c r="E693" s="33">
        <f ca="1">IFERROR(__xludf.DUMMYFUNCTION("""COMPUTED_VALUE"""),2026)</f>
        <v>2026</v>
      </c>
      <c r="F693" s="56">
        <f ca="1">IFERROR(__xludf.DUMMYFUNCTION("""COMPUTED_VALUE"""),2)</f>
        <v>2</v>
      </c>
      <c r="G693" s="33" t="str">
        <f ca="1">IFERROR(__xludf.DUMMYFUNCTION("""COMPUTED_VALUE"""),"Madrid- Juan Bravo")</f>
        <v>Madrid- Juan Bravo</v>
      </c>
      <c r="H693" s="33" t="str">
        <f ca="1">IFERROR(__xludf.DUMMYFUNCTION("""COMPUTED_VALUE"""),"C202591510568152")</f>
        <v>C202591510568152</v>
      </c>
      <c r="I693" s="33" t="str">
        <f ca="1">IFERROR(__xludf.DUMMYFUNCTION("""COMPUTED_VALUE"""),"GUADALUPE  SANCHEZ MERINO")</f>
        <v>GUADALUPE  SANCHEZ MERINO</v>
      </c>
      <c r="J693" s="57">
        <f ca="1">IFERROR(__xludf.DUMMYFUNCTION("""COMPUTED_VALUE"""),45909)</f>
        <v>45909</v>
      </c>
      <c r="K693" s="33" t="str">
        <f ca="1">IFERROR(__xludf.DUMMYFUNCTION("""COMPUTED_VALUE"""),"Devuelve")</f>
        <v>Devuelve</v>
      </c>
      <c r="L693" s="57">
        <f ca="1">IFERROR(__xludf.DUMMYFUNCTION("""COMPUTED_VALUE"""),46065)</f>
        <v>46065</v>
      </c>
      <c r="M693" s="64" t="str">
        <f ca="1">IFERROR(__xludf.DUMMYFUNCTION("""COMPUTED_VALUE"""),"NO")</f>
        <v>NO</v>
      </c>
      <c r="N693" s="56">
        <f ca="1">IFERROR(__xludf.DUMMYFUNCTION("""COMPUTED_VALUE"""),2)</f>
        <v>2</v>
      </c>
      <c r="O693" s="64" t="str">
        <f ca="1">IFERROR(__xludf.DUMMYFUNCTION("""COMPUTED_VALUE"""),"TRIAL")</f>
        <v>TRIAL</v>
      </c>
      <c r="P693" s="62">
        <f ca="1">IFERROR(__xludf.DUMMYFUNCTION("""COMPUTED_VALUE"""),4153.64)</f>
        <v>4153.6400000000003</v>
      </c>
      <c r="Q693" s="33" t="str">
        <f ca="1">IFERROR(__xludf.DUMMYFUNCTION("""COMPUTED_VALUE"""),"Maika Blázquez")</f>
        <v>Maika Blázquez</v>
      </c>
      <c r="R693" s="33" t="str">
        <f ca="1">IFERROR(__xludf.DUMMYFUNCTION("""COMPUTED_VALUE"""),"Dr, Antonio Rodríguez Rivero")</f>
        <v>Dr, Antonio Rodríguez Rivero</v>
      </c>
      <c r="S693" s="61" t="str">
        <f ca="1">IFERROR(__xludf.DUMMYFUNCTION("""COMPUTED_VALUE"""),"03 ORL")</f>
        <v>03 ORL</v>
      </c>
      <c r="T693" s="33" t="str">
        <f ca="1">IFERROR(__xludf.DUMMYFUNCTION("""COMPUTED_VALUE"""),"06 ORL")</f>
        <v>06 ORL</v>
      </c>
      <c r="U693" s="62"/>
      <c r="W693" s="61"/>
      <c r="X693" s="62"/>
    </row>
    <row r="694" spans="2:24" ht="16">
      <c r="B694" s="67" t="str">
        <f t="shared" ca="1" si="3"/>
        <v/>
      </c>
      <c r="C694" s="64"/>
      <c r="D694" s="33" t="str">
        <f ca="1">IFERROR(__xludf.DUMMYFUNCTION("""COMPUTED_VALUE"""),"PROPIOS")</f>
        <v>PROPIOS</v>
      </c>
      <c r="E694" s="33">
        <f ca="1">IFERROR(__xludf.DUMMYFUNCTION("""COMPUTED_VALUE"""),2026)</f>
        <v>2026</v>
      </c>
      <c r="F694" s="56">
        <f ca="1">IFERROR(__xludf.DUMMYFUNCTION("""COMPUTED_VALUE"""),4)</f>
        <v>4</v>
      </c>
      <c r="G694" s="33" t="str">
        <f ca="1">IFERROR(__xludf.DUMMYFUNCTION("""COMPUTED_VALUE"""),"Madrid- Juan Bravo")</f>
        <v>Madrid- Juan Bravo</v>
      </c>
      <c r="H694" s="33" t="str">
        <f ca="1">IFERROR(__xludf.DUMMYFUNCTION("""COMPUTED_VALUE"""),"C202622710264839045")</f>
        <v>C202622710264839045</v>
      </c>
      <c r="I694" s="33" t="str">
        <f ca="1">IFERROR(__xludf.DUMMYFUNCTION("""COMPUTED_VALUE"""),"ISIDRO LOPEZ FERNANDEZ")</f>
        <v>ISIDRO LOPEZ FERNANDEZ</v>
      </c>
      <c r="J694" s="57">
        <f ca="1">IFERROR(__xludf.DUMMYFUNCTION("""COMPUTED_VALUE"""),46080)</f>
        <v>46080</v>
      </c>
      <c r="K694" s="33" t="str">
        <f ca="1">IFERROR(__xludf.DUMMYFUNCTION("""COMPUTED_VALUE"""),"Prueba")</f>
        <v>Prueba</v>
      </c>
      <c r="L694" s="57">
        <f ca="1">IFERROR(__xludf.DUMMYFUNCTION("""COMPUTED_VALUE"""),46118)</f>
        <v>46118</v>
      </c>
      <c r="M694" s="64" t="str">
        <f ca="1">IFERROR(__xludf.DUMMYFUNCTION("""COMPUTED_VALUE"""),"NO")</f>
        <v>NO</v>
      </c>
      <c r="N694" s="56">
        <f ca="1">IFERROR(__xludf.DUMMYFUNCTION("""COMPUTED_VALUE"""),2)</f>
        <v>2</v>
      </c>
      <c r="O694" s="64" t="str">
        <f ca="1">IFERROR(__xludf.DUMMYFUNCTION("""COMPUTED_VALUE"""),"TRIAL")</f>
        <v>TRIAL</v>
      </c>
      <c r="P694" s="62">
        <f ca="1">IFERROR(__xludf.DUMMYFUNCTION("""COMPUTED_VALUE"""),3302.98)</f>
        <v>3302.98</v>
      </c>
      <c r="Q694" s="33" t="str">
        <f ca="1">IFERROR(__xludf.DUMMYFUNCTION("""COMPUTED_VALUE"""),"Maika Blázquez")</f>
        <v>Maika Blázquez</v>
      </c>
      <c r="R694" s="33" t="str">
        <f ca="1">IFERROR(__xludf.DUMMYFUNCTION("""COMPUTED_VALUE"""),"No recuerda ORL")</f>
        <v>No recuerda ORL</v>
      </c>
      <c r="S694" s="61" t="str">
        <f ca="1">IFERROR(__xludf.DUMMYFUNCTION("""COMPUTED_VALUE"""),"03 ORL")</f>
        <v>03 ORL</v>
      </c>
      <c r="T694" s="33" t="str">
        <f ca="1">IFERROR(__xludf.DUMMYFUNCTION("""COMPUTED_VALUE"""),"06 ORL")</f>
        <v>06 ORL</v>
      </c>
      <c r="U694" s="62"/>
      <c r="W694" s="61"/>
      <c r="X694" s="62"/>
    </row>
    <row r="695" spans="2:24" ht="16">
      <c r="B695" s="67" t="str">
        <f t="shared" ca="1" si="3"/>
        <v>#N/</v>
      </c>
      <c r="C695" s="64" t="str">
        <f ca="1">IFERROR(__xludf.DUMMYFUNCTION("""COMPUTED_VALUE"""),"#N/A")</f>
        <v>#N/A</v>
      </c>
      <c r="D695" s="33" t="str">
        <f ca="1">IFERROR(__xludf.DUMMYFUNCTION("""COMPUTED_VALUE"""),"PROPIOS")</f>
        <v>PROPIOS</v>
      </c>
      <c r="E695" s="33">
        <f ca="1">IFERROR(__xludf.DUMMYFUNCTION("""COMPUTED_VALUE"""),2026)</f>
        <v>2026</v>
      </c>
      <c r="F695" s="56">
        <f ca="1">IFERROR(__xludf.DUMMYFUNCTION("""COMPUTED_VALUE"""),1)</f>
        <v>1</v>
      </c>
      <c r="G695" s="33" t="str">
        <f ca="1">IFERROR(__xludf.DUMMYFUNCTION("""COMPUTED_VALUE"""),"Madrid- Juan Bravo")</f>
        <v>Madrid- Juan Bravo</v>
      </c>
      <c r="H695" s="33" t="str">
        <f ca="1">IFERROR(__xludf.DUMMYFUNCTION("""COMPUTED_VALUE"""),"C202512298417895332")</f>
        <v>C202512298417895332</v>
      </c>
      <c r="I695" s="33" t="str">
        <f ca="1">IFERROR(__xludf.DUMMYFUNCTION("""COMPUTED_VALUE"""),"JESUS BARRIO BRAVO")</f>
        <v>JESUS BARRIO BRAVO</v>
      </c>
      <c r="J695" s="57">
        <f ca="1">IFERROR(__xludf.DUMMYFUNCTION("""COMPUTED_VALUE"""),46020)</f>
        <v>46020</v>
      </c>
      <c r="K695" s="33" t="str">
        <f ca="1">IFERROR(__xludf.DUMMYFUNCTION("""COMPUTED_VALUE"""),"Presupuesto")</f>
        <v>Presupuesto</v>
      </c>
      <c r="L695" s="57">
        <f ca="1">IFERROR(__xludf.DUMMYFUNCTION("""COMPUTED_VALUE"""),46038)</f>
        <v>46038</v>
      </c>
      <c r="M695" s="64" t="str">
        <f ca="1">IFERROR(__xludf.DUMMYFUNCTION("""COMPUTED_VALUE"""),"NO")</f>
        <v>NO</v>
      </c>
      <c r="N695" s="56">
        <f ca="1">IFERROR(__xludf.DUMMYFUNCTION("""COMPUTED_VALUE"""),2)</f>
        <v>2</v>
      </c>
      <c r="O695" s="64" t="str">
        <f ca="1">IFERROR(__xludf.DUMMYFUNCTION("""COMPUTED_VALUE"""),"QUIET")</f>
        <v>QUIET</v>
      </c>
      <c r="P695" s="62">
        <f ca="1">IFERROR(__xludf.DUMMYFUNCTION("""COMPUTED_VALUE"""),2718.18)</f>
        <v>2718.18</v>
      </c>
      <c r="Q695" s="33" t="str">
        <f ca="1">IFERROR(__xludf.DUMMYFUNCTION("""COMPUTED_VALUE"""),"Maika Blázquez")</f>
        <v>Maika Blázquez</v>
      </c>
      <c r="R695" s="33" t="str">
        <f ca="1">IFERROR(__xludf.DUMMYFUNCTION("""COMPUTED_VALUE"""),"Dr, Antonio Rodríguez Rivero")</f>
        <v>Dr, Antonio Rodríguez Rivero</v>
      </c>
      <c r="S695" s="61" t="str">
        <f ca="1">IFERROR(__xludf.DUMMYFUNCTION("""COMPUTED_VALUE"""),"03 ORL")</f>
        <v>03 ORL</v>
      </c>
      <c r="T695" s="33" t="str">
        <f ca="1">IFERROR(__xludf.DUMMYFUNCTION("""COMPUTED_VALUE"""),"22 AUDIOMETRIA CLINICA")</f>
        <v>22 AUDIOMETRIA CLINICA</v>
      </c>
      <c r="U695" s="62"/>
      <c r="W695" s="61"/>
      <c r="X695" s="62"/>
    </row>
    <row r="696" spans="2:24" ht="16">
      <c r="B696" s="67" t="str">
        <f t="shared" ca="1" si="3"/>
        <v>#N/</v>
      </c>
      <c r="C696" s="64" t="str">
        <f ca="1">IFERROR(__xludf.DUMMYFUNCTION("""COMPUTED_VALUE"""),"#N/A")</f>
        <v>#N/A</v>
      </c>
      <c r="D696" s="33" t="str">
        <f ca="1">IFERROR(__xludf.DUMMYFUNCTION("""COMPUTED_VALUE"""),"PROPIOS")</f>
        <v>PROPIOS</v>
      </c>
      <c r="E696" s="33">
        <f ca="1">IFERROR(__xludf.DUMMYFUNCTION("""COMPUTED_VALUE"""),2026)</f>
        <v>2026</v>
      </c>
      <c r="F696" s="56">
        <f ca="1">IFERROR(__xludf.DUMMYFUNCTION("""COMPUTED_VALUE"""),3)</f>
        <v>3</v>
      </c>
      <c r="G696" s="33" t="str">
        <f ca="1">IFERROR(__xludf.DUMMYFUNCTION("""COMPUTED_VALUE"""),"Madrid- Juan Bravo")</f>
        <v>Madrid- Juan Bravo</v>
      </c>
      <c r="H696" s="33" t="str">
        <f ca="1">IFERROR(__xludf.DUMMYFUNCTION("""COMPUTED_VALUE"""),"C202631711554825061")</f>
        <v>C202631711554825061</v>
      </c>
      <c r="I696" s="33" t="str">
        <f ca="1">IFERROR(__xludf.DUMMYFUNCTION("""COMPUTED_VALUE"""),"JESUS DIAZ RAMIREZ")</f>
        <v>JESUS DIAZ RAMIREZ</v>
      </c>
      <c r="J696" s="57">
        <f ca="1">IFERROR(__xludf.DUMMYFUNCTION("""COMPUTED_VALUE"""),46098)</f>
        <v>46098</v>
      </c>
      <c r="K696" s="33" t="str">
        <f ca="1">IFERROR(__xludf.DUMMYFUNCTION("""COMPUTED_VALUE"""),"Devuelve")</f>
        <v>Devuelve</v>
      </c>
      <c r="L696" s="57">
        <f ca="1">IFERROR(__xludf.DUMMYFUNCTION("""COMPUTED_VALUE"""),46111)</f>
        <v>46111</v>
      </c>
      <c r="M696" s="64" t="str">
        <f ca="1">IFERROR(__xludf.DUMMYFUNCTION("""COMPUTED_VALUE"""),"NO")</f>
        <v>NO</v>
      </c>
      <c r="N696" s="56">
        <f ca="1">IFERROR(__xludf.DUMMYFUNCTION("""COMPUTED_VALUE"""),2)</f>
        <v>2</v>
      </c>
      <c r="O696" s="58" t="str">
        <f ca="1">IFERROR(__xludf.DUMMYFUNCTION("""COMPUTED_VALUE"""),"TRIAL")</f>
        <v>TRIAL</v>
      </c>
      <c r="P696" s="62">
        <f ca="1">IFERROR(__xludf.DUMMYFUNCTION("""COMPUTED_VALUE"""),4381.27)</f>
        <v>4381.2700000000004</v>
      </c>
      <c r="Q696" s="33" t="str">
        <f ca="1">IFERROR(__xludf.DUMMYFUNCTION("""COMPUTED_VALUE"""),"Maika Blázquez")</f>
        <v>Maika Blázquez</v>
      </c>
      <c r="R696" s="33" t="str">
        <f ca="1">IFERROR(__xludf.DUMMYFUNCTION("""COMPUTED_VALUE"""),"Dr, Javier García Domínguez")</f>
        <v>Dr, Javier García Domínguez</v>
      </c>
      <c r="S696" s="61" t="str">
        <f ca="1">IFERROR(__xludf.DUMMYFUNCTION("""COMPUTED_VALUE"""),"03 ORL")</f>
        <v>03 ORL</v>
      </c>
      <c r="T696" s="33" t="str">
        <f ca="1">IFERROR(__xludf.DUMMYFUNCTION("""COMPUTED_VALUE"""),"06 ORL")</f>
        <v>06 ORL</v>
      </c>
      <c r="U696" s="62"/>
      <c r="W696" s="61"/>
      <c r="X696" s="62"/>
    </row>
    <row r="697" spans="2:24" ht="16">
      <c r="B697" s="67" t="str">
        <f t="shared" ca="1" si="3"/>
        <v>#N/</v>
      </c>
      <c r="C697" s="64" t="str">
        <f ca="1">IFERROR(__xludf.DUMMYFUNCTION("""COMPUTED_VALUE"""),"#N/A")</f>
        <v>#N/A</v>
      </c>
      <c r="D697" s="33" t="str">
        <f ca="1">IFERROR(__xludf.DUMMYFUNCTION("""COMPUTED_VALUE"""),"PROPIOS")</f>
        <v>PROPIOS</v>
      </c>
      <c r="E697" s="33">
        <f ca="1">IFERROR(__xludf.DUMMYFUNCTION("""COMPUTED_VALUE"""),2026)</f>
        <v>2026</v>
      </c>
      <c r="F697" s="56">
        <f ca="1">IFERROR(__xludf.DUMMYFUNCTION("""COMPUTED_VALUE"""),4)</f>
        <v>4</v>
      </c>
      <c r="G697" s="33" t="str">
        <f ca="1">IFERROR(__xludf.DUMMYFUNCTION("""COMPUTED_VALUE"""),"Madrid- Juan Bravo")</f>
        <v>Madrid- Juan Bravo</v>
      </c>
      <c r="H697" s="33" t="str">
        <f ca="1">IFERROR(__xludf.DUMMYFUNCTION("""COMPUTED_VALUE"""),"C202631395819188152")</f>
        <v>C202631395819188152</v>
      </c>
      <c r="I697" s="33" t="str">
        <f ca="1">IFERROR(__xludf.DUMMYFUNCTION("""COMPUTED_VALUE"""),"JORGE  IGLESIAS ECHEGOYEN")</f>
        <v>JORGE  IGLESIAS ECHEGOYEN</v>
      </c>
      <c r="J697" s="57">
        <f ca="1">IFERROR(__xludf.DUMMYFUNCTION("""COMPUTED_VALUE"""),46094)</f>
        <v>46094</v>
      </c>
      <c r="K697" s="33" t="str">
        <f ca="1">IFERROR(__xludf.DUMMYFUNCTION("""COMPUTED_VALUE"""),"Prueba")</f>
        <v>Prueba</v>
      </c>
      <c r="L697" s="57">
        <f ca="1">IFERROR(__xludf.DUMMYFUNCTION("""COMPUTED_VALUE"""),46113)</f>
        <v>46113</v>
      </c>
      <c r="M697" s="64" t="str">
        <f ca="1">IFERROR(__xludf.DUMMYFUNCTION("""COMPUTED_VALUE"""),"NO")</f>
        <v>NO</v>
      </c>
      <c r="N697" s="56">
        <f ca="1">IFERROR(__xludf.DUMMYFUNCTION("""COMPUTED_VALUE"""),2)</f>
        <v>2</v>
      </c>
      <c r="O697" s="64" t="str">
        <f ca="1">IFERROR(__xludf.DUMMYFUNCTION("""COMPUTED_VALUE"""),"QUIET")</f>
        <v>QUIET</v>
      </c>
      <c r="P697" s="62">
        <f ca="1">IFERROR(__xludf.DUMMYFUNCTION("""COMPUTED_VALUE"""),2718.18)</f>
        <v>2718.18</v>
      </c>
      <c r="Q697" s="33" t="str">
        <f ca="1">IFERROR(__xludf.DUMMYFUNCTION("""COMPUTED_VALUE"""),"Maika Blázquez")</f>
        <v>Maika Blázquez</v>
      </c>
      <c r="R697" s="33" t="str">
        <f ca="1">IFERROR(__xludf.DUMMYFUNCTION("""COMPUTED_VALUE"""),"Dr, Joaquín Alacio Casero")</f>
        <v>Dr, Joaquín Alacio Casero</v>
      </c>
      <c r="S697" s="61" t="str">
        <f ca="1">IFERROR(__xludf.DUMMYFUNCTION("""COMPUTED_VALUE"""),"03 ORL")</f>
        <v>03 ORL</v>
      </c>
      <c r="T697" s="33" t="str">
        <f ca="1">IFERROR(__xludf.DUMMYFUNCTION("""COMPUTED_VALUE"""),"06 ORL")</f>
        <v>06 ORL</v>
      </c>
      <c r="U697" s="62"/>
      <c r="W697" s="61"/>
      <c r="X697" s="62"/>
    </row>
    <row r="698" spans="2:24" ht="16">
      <c r="B698" s="67" t="str">
        <f t="shared" ca="1" si="3"/>
        <v>#N/</v>
      </c>
      <c r="C698" s="64" t="str">
        <f ca="1">IFERROR(__xludf.DUMMYFUNCTION("""COMPUTED_VALUE"""),"#N/A")</f>
        <v>#N/A</v>
      </c>
      <c r="D698" s="33" t="str">
        <f ca="1">IFERROR(__xludf.DUMMYFUNCTION("""COMPUTED_VALUE"""),"PROPIOS")</f>
        <v>PROPIOS</v>
      </c>
      <c r="E698" s="33">
        <f ca="1">IFERROR(__xludf.DUMMYFUNCTION("""COMPUTED_VALUE"""),2026)</f>
        <v>2026</v>
      </c>
      <c r="F698" s="56">
        <f ca="1">IFERROR(__xludf.DUMMYFUNCTION("""COMPUTED_VALUE"""),3)</f>
        <v>3</v>
      </c>
      <c r="G698" s="33" t="str">
        <f ca="1">IFERROR(__xludf.DUMMYFUNCTION("""COMPUTED_VALUE"""),"Madrid- Juan Bravo")</f>
        <v>Madrid- Juan Bravo</v>
      </c>
      <c r="H698" s="33" t="str">
        <f ca="1">IFERROR(__xludf.DUMMYFUNCTION("""COMPUTED_VALUE"""),"C202633114611813018")</f>
        <v>C202633114611813018</v>
      </c>
      <c r="I698" s="33" t="str">
        <f ca="1">IFERROR(__xludf.DUMMYFUNCTION("""COMPUTED_VALUE"""),"JOSE LUIS MIGUEL CAMARERO")</f>
        <v>JOSE LUIS MIGUEL CAMARERO</v>
      </c>
      <c r="J698" s="57">
        <f ca="1">IFERROR(__xludf.DUMMYFUNCTION("""COMPUTED_VALUE"""),46084)</f>
        <v>46084</v>
      </c>
      <c r="K698" s="33" t="str">
        <f ca="1">IFERROR(__xludf.DUMMYFUNCTION("""COMPUTED_VALUE"""),"Pedido")</f>
        <v>Pedido</v>
      </c>
      <c r="L698" s="57">
        <f ca="1">IFERROR(__xludf.DUMMYFUNCTION("""COMPUTED_VALUE"""),46098)</f>
        <v>46098</v>
      </c>
      <c r="M698" s="58" t="str">
        <f ca="1">IFERROR(__xludf.DUMMYFUNCTION("""COMPUTED_VALUE"""),"NO")</f>
        <v>NO</v>
      </c>
      <c r="N698" s="56">
        <f ca="1">IFERROR(__xludf.DUMMYFUNCTION("""COMPUTED_VALUE"""),2)</f>
        <v>2</v>
      </c>
      <c r="O698" s="64" t="str">
        <f ca="1">IFERROR(__xludf.DUMMYFUNCTION("""COMPUTED_VALUE"""),"CONFORT")</f>
        <v>CONFORT</v>
      </c>
      <c r="P698" s="62">
        <f ca="1">IFERROR(__xludf.DUMMYFUNCTION("""COMPUTED_VALUE"""),4154.22)</f>
        <v>4154.22</v>
      </c>
      <c r="Q698" s="33" t="str">
        <f ca="1">IFERROR(__xludf.DUMMYFUNCTION("""COMPUTED_VALUE"""),"Maika Blázquez")</f>
        <v>Maika Blázquez</v>
      </c>
      <c r="R698" s="33" t="str">
        <f ca="1">IFERROR(__xludf.DUMMYFUNCTION("""COMPUTED_VALUE"""),"Dr, Carlos Barajas del Rosal")</f>
        <v>Dr, Carlos Barajas del Rosal</v>
      </c>
      <c r="S698" s="61" t="str">
        <f ca="1">IFERROR(__xludf.DUMMYFUNCTION("""COMPUTED_VALUE"""),"03 ORL")</f>
        <v>03 ORL</v>
      </c>
      <c r="T698" s="33" t="str">
        <f ca="1">IFERROR(__xludf.DUMMYFUNCTION("""COMPUTED_VALUE"""),"06 ORL")</f>
        <v>06 ORL</v>
      </c>
      <c r="U698" s="62"/>
      <c r="W698" s="61"/>
      <c r="X698" s="62"/>
    </row>
    <row r="699" spans="2:24" ht="16">
      <c r="B699" s="67" t="str">
        <f t="shared" ca="1" si="3"/>
        <v>#N/</v>
      </c>
      <c r="C699" s="64" t="str">
        <f ca="1">IFERROR(__xludf.DUMMYFUNCTION("""COMPUTED_VALUE"""),"#N/A")</f>
        <v>#N/A</v>
      </c>
      <c r="D699" s="33" t="str">
        <f ca="1">IFERROR(__xludf.DUMMYFUNCTION("""COMPUTED_VALUE"""),"PROPIOS")</f>
        <v>PROPIOS</v>
      </c>
      <c r="E699" s="33">
        <f ca="1">IFERROR(__xludf.DUMMYFUNCTION("""COMPUTED_VALUE"""),2026)</f>
        <v>2026</v>
      </c>
      <c r="F699" s="56">
        <f ca="1">IFERROR(__xludf.DUMMYFUNCTION("""COMPUTED_VALUE"""),3)</f>
        <v>3</v>
      </c>
      <c r="G699" s="33" t="str">
        <f ca="1">IFERROR(__xludf.DUMMYFUNCTION("""COMPUTED_VALUE"""),"Madrid- Juan Bravo")</f>
        <v>Madrid- Juan Bravo</v>
      </c>
      <c r="H699" s="33" t="str">
        <f ca="1">IFERROR(__xludf.DUMMYFUNCTION("""COMPUTED_VALUE"""),"C20263416586274798")</f>
        <v>C20263416586274798</v>
      </c>
      <c r="I699" s="33" t="str">
        <f ca="1">IFERROR(__xludf.DUMMYFUNCTION("""COMPUTED_VALUE"""),"JOSE MARIA  BARZANO CABELLO")</f>
        <v>JOSE MARIA  BARZANO CABELLO</v>
      </c>
      <c r="J699" s="57">
        <f ca="1">IFERROR(__xludf.DUMMYFUNCTION("""COMPUTED_VALUE"""),46085)</f>
        <v>46085</v>
      </c>
      <c r="K699" s="33" t="str">
        <f ca="1">IFERROR(__xludf.DUMMYFUNCTION("""COMPUTED_VALUE"""),"Prueba")</f>
        <v>Prueba</v>
      </c>
      <c r="L699" s="57">
        <f ca="1">IFERROR(__xludf.DUMMYFUNCTION("""COMPUTED_VALUE"""),46097)</f>
        <v>46097</v>
      </c>
      <c r="M699" s="64" t="str">
        <f ca="1">IFERROR(__xludf.DUMMYFUNCTION("""COMPUTED_VALUE"""),"NO")</f>
        <v>NO</v>
      </c>
      <c r="N699" s="56">
        <f ca="1">IFERROR(__xludf.DUMMYFUNCTION("""COMPUTED_VALUE"""),2)</f>
        <v>2</v>
      </c>
      <c r="O699" s="64" t="str">
        <f ca="1">IFERROR(__xludf.DUMMYFUNCTION("""COMPUTED_VALUE"""),"QUIET")</f>
        <v>QUIET</v>
      </c>
      <c r="P699" s="62">
        <f ca="1">IFERROR(__xludf.DUMMYFUNCTION("""COMPUTED_VALUE"""),2718.18)</f>
        <v>2718.18</v>
      </c>
      <c r="Q699" s="33" t="str">
        <f ca="1">IFERROR(__xludf.DUMMYFUNCTION("""COMPUTED_VALUE"""),"Maika Blázquez")</f>
        <v>Maika Blázquez</v>
      </c>
      <c r="R699" s="33" t="str">
        <f ca="1">IFERROR(__xludf.DUMMYFUNCTION("""COMPUTED_VALUE"""),"Dr, Ignacio Aristegui Torrano")</f>
        <v>Dr, Ignacio Aristegui Torrano</v>
      </c>
      <c r="S699" s="61" t="str">
        <f ca="1">IFERROR(__xludf.DUMMYFUNCTION("""COMPUTED_VALUE"""),"03 ORL")</f>
        <v>03 ORL</v>
      </c>
      <c r="T699" s="33" t="str">
        <f ca="1">IFERROR(__xludf.DUMMYFUNCTION("""COMPUTED_VALUE"""),"06 ORL")</f>
        <v>06 ORL</v>
      </c>
      <c r="U699" s="62"/>
      <c r="W699" s="61"/>
      <c r="X699" s="62"/>
    </row>
    <row r="700" spans="2:24" ht="16">
      <c r="B700" s="67" t="str">
        <f t="shared" ca="1" si="3"/>
        <v>#N/</v>
      </c>
      <c r="C700" s="64" t="str">
        <f ca="1">IFERROR(__xludf.DUMMYFUNCTION("""COMPUTED_VALUE"""),"#N/A")</f>
        <v>#N/A</v>
      </c>
      <c r="D700" s="33" t="str">
        <f ca="1">IFERROR(__xludf.DUMMYFUNCTION("""COMPUTED_VALUE"""),"PROPIOS")</f>
        <v>PROPIOS</v>
      </c>
      <c r="E700" s="33">
        <f ca="1">IFERROR(__xludf.DUMMYFUNCTION("""COMPUTED_VALUE"""),2026)</f>
        <v>2026</v>
      </c>
      <c r="F700" s="56">
        <f ca="1">IFERROR(__xludf.DUMMYFUNCTION("""COMPUTED_VALUE"""),1)</f>
        <v>1</v>
      </c>
      <c r="G700" s="33" t="str">
        <f ca="1">IFERROR(__xludf.DUMMYFUNCTION("""COMPUTED_VALUE"""),"Madrid- Juan Bravo")</f>
        <v>Madrid- Juan Bravo</v>
      </c>
      <c r="H700" s="33" t="str">
        <f ca="1">IFERROR(__xludf.DUMMYFUNCTION("""COMPUTED_VALUE"""),"C202510168274877025")</f>
        <v>C202510168274877025</v>
      </c>
      <c r="I700" s="33" t="str">
        <f ca="1">IFERROR(__xludf.DUMMYFUNCTION("""COMPUTED_VALUE"""),"JUAN ANTONIO POGGIO ALCALDE")</f>
        <v>JUAN ANTONIO POGGIO ALCALDE</v>
      </c>
      <c r="J700" s="57">
        <f ca="1">IFERROR(__xludf.DUMMYFUNCTION("""COMPUTED_VALUE"""),45946)</f>
        <v>45946</v>
      </c>
      <c r="K700" s="33" t="str">
        <f ca="1">IFERROR(__xludf.DUMMYFUNCTION("""COMPUTED_VALUE"""),"Devuelve")</f>
        <v>Devuelve</v>
      </c>
      <c r="L700" s="57">
        <f ca="1">IFERROR(__xludf.DUMMYFUNCTION("""COMPUTED_VALUE"""),46027)</f>
        <v>46027</v>
      </c>
      <c r="M700" s="64" t="str">
        <f ca="1">IFERROR(__xludf.DUMMYFUNCTION("""COMPUTED_VALUE"""),"NO")</f>
        <v>NO</v>
      </c>
      <c r="N700" s="56">
        <f ca="1">IFERROR(__xludf.DUMMYFUNCTION("""COMPUTED_VALUE"""),1)</f>
        <v>1</v>
      </c>
      <c r="O700" s="64" t="str">
        <f ca="1">IFERROR(__xludf.DUMMYFUNCTION("""COMPUTED_VALUE"""),"TRIAL")</f>
        <v>TRIAL</v>
      </c>
      <c r="P700" s="62">
        <f ca="1">IFERROR(__xludf.DUMMYFUNCTION("""COMPUTED_VALUE"""),2628.76)</f>
        <v>2628.76</v>
      </c>
      <c r="Q700" s="33" t="str">
        <f ca="1">IFERROR(__xludf.DUMMYFUNCTION("""COMPUTED_VALUE"""),"Maika Blázquez")</f>
        <v>Maika Blázquez</v>
      </c>
      <c r="R700" s="33" t="str">
        <f ca="1">IFERROR(__xludf.DUMMYFUNCTION("""COMPUTED_VALUE"""),"Dra, Marta Chaurre Cordero")</f>
        <v>Dra, Marta Chaurre Cordero</v>
      </c>
      <c r="S700" s="61" t="str">
        <f ca="1">IFERROR(__xludf.DUMMYFUNCTION("""COMPUTED_VALUE"""),"03 ORL")</f>
        <v>03 ORL</v>
      </c>
      <c r="T700" s="33" t="str">
        <f ca="1">IFERROR(__xludf.DUMMYFUNCTION("""COMPUTED_VALUE"""),"06 ORL")</f>
        <v>06 ORL</v>
      </c>
      <c r="U700" s="62"/>
      <c r="W700" s="61"/>
      <c r="X700" s="62"/>
    </row>
    <row r="701" spans="2:24" ht="16">
      <c r="B701" s="67" t="str">
        <f t="shared" ca="1" si="3"/>
        <v/>
      </c>
      <c r="C701" s="64"/>
      <c r="D701" s="33" t="str">
        <f ca="1">IFERROR(__xludf.DUMMYFUNCTION("""COMPUTED_VALUE"""),"PROPIOS")</f>
        <v>PROPIOS</v>
      </c>
      <c r="E701" s="33">
        <f ca="1">IFERROR(__xludf.DUMMYFUNCTION("""COMPUTED_VALUE"""),2026)</f>
        <v>2026</v>
      </c>
      <c r="F701" s="56">
        <f ca="1">IFERROR(__xludf.DUMMYFUNCTION("""COMPUTED_VALUE"""),3)</f>
        <v>3</v>
      </c>
      <c r="G701" s="33" t="str">
        <f ca="1">IFERROR(__xludf.DUMMYFUNCTION("""COMPUTED_VALUE"""),"Madrid- Juan Bravo")</f>
        <v>Madrid- Juan Bravo</v>
      </c>
      <c r="H701" s="33" t="str">
        <f ca="1">IFERROR(__xludf.DUMMYFUNCTION("""COMPUTED_VALUE"""),"C202631016514266522")</f>
        <v>C202631016514266522</v>
      </c>
      <c r="I701" s="33" t="str">
        <f ca="1">IFERROR(__xludf.DUMMYFUNCTION("""COMPUTED_VALUE"""),"JUAN JOSE  FUENTES MORALES")</f>
        <v>JUAN JOSE  FUENTES MORALES</v>
      </c>
      <c r="J701" s="57">
        <f ca="1">IFERROR(__xludf.DUMMYFUNCTION("""COMPUTED_VALUE"""),46091)</f>
        <v>46091</v>
      </c>
      <c r="K701" s="33" t="str">
        <f ca="1">IFERROR(__xludf.DUMMYFUNCTION("""COMPUTED_VALUE"""),"Prueba")</f>
        <v>Prueba</v>
      </c>
      <c r="L701" s="57">
        <f ca="1">IFERROR(__xludf.DUMMYFUNCTION("""COMPUTED_VALUE"""),46100)</f>
        <v>46100</v>
      </c>
      <c r="M701" s="64" t="str">
        <f ca="1">IFERROR(__xludf.DUMMYFUNCTION("""COMPUTED_VALUE"""),"NO")</f>
        <v>NO</v>
      </c>
      <c r="N701" s="56">
        <f ca="1">IFERROR(__xludf.DUMMYFUNCTION("""COMPUTED_VALUE"""),2)</f>
        <v>2</v>
      </c>
      <c r="O701" s="64" t="str">
        <f ca="1">IFERROR(__xludf.DUMMYFUNCTION("""COMPUTED_VALUE"""),"TRIAL")</f>
        <v>TRIAL</v>
      </c>
      <c r="P701" s="62">
        <f ca="1">IFERROR(__xludf.DUMMYFUNCTION("""COMPUTED_VALUE"""),3631.82)</f>
        <v>3631.82</v>
      </c>
      <c r="Q701" s="33" t="str">
        <f ca="1">IFERROR(__xludf.DUMMYFUNCTION("""COMPUTED_VALUE"""),"Maika Blázquez")</f>
        <v>Maika Blázquez</v>
      </c>
      <c r="R701" s="33" t="str">
        <f ca="1">IFERROR(__xludf.DUMMYFUNCTION("""COMPUTED_VALUE"""),"No recuerda ORL")</f>
        <v>No recuerda ORL</v>
      </c>
      <c r="S701" s="61" t="str">
        <f ca="1">IFERROR(__xludf.DUMMYFUNCTION("""COMPUTED_VALUE"""),"03 ORL")</f>
        <v>03 ORL</v>
      </c>
      <c r="T701" s="33" t="str">
        <f ca="1">IFERROR(__xludf.DUMMYFUNCTION("""COMPUTED_VALUE"""),"06 ORL")</f>
        <v>06 ORL</v>
      </c>
      <c r="U701" s="62"/>
      <c r="W701" s="61"/>
      <c r="X701" s="62"/>
    </row>
    <row r="702" spans="2:24" ht="16">
      <c r="B702" s="67" t="str">
        <f t="shared" ca="1" si="3"/>
        <v>#N/</v>
      </c>
      <c r="C702" s="64" t="str">
        <f ca="1">IFERROR(__xludf.DUMMYFUNCTION("""COMPUTED_VALUE"""),"#N/A")</f>
        <v>#N/A</v>
      </c>
      <c r="D702" s="33" t="str">
        <f ca="1">IFERROR(__xludf.DUMMYFUNCTION("""COMPUTED_VALUE"""),"PROPIOS")</f>
        <v>PROPIOS</v>
      </c>
      <c r="E702" s="33">
        <f ca="1">IFERROR(__xludf.DUMMYFUNCTION("""COMPUTED_VALUE"""),2026)</f>
        <v>2026</v>
      </c>
      <c r="F702" s="56">
        <f ca="1">IFERROR(__xludf.DUMMYFUNCTION("""COMPUTED_VALUE"""),4)</f>
        <v>4</v>
      </c>
      <c r="G702" s="33" t="str">
        <f ca="1">IFERROR(__xludf.DUMMYFUNCTION("""COMPUTED_VALUE"""),"Madrid- Juan Bravo")</f>
        <v>Madrid- Juan Bravo</v>
      </c>
      <c r="H702" s="33" t="str">
        <f ca="1">IFERROR(__xludf.DUMMYFUNCTION("""COMPUTED_VALUE"""),"C202632411331630417")</f>
        <v>C202632411331630417</v>
      </c>
      <c r="I702" s="33" t="str">
        <f ca="1">IFERROR(__xludf.DUMMYFUNCTION("""COMPUTED_VALUE"""),"LUCILA MARIA RAMOS SALVADOR")</f>
        <v>LUCILA MARIA RAMOS SALVADOR</v>
      </c>
      <c r="J702" s="57">
        <f ca="1">IFERROR(__xludf.DUMMYFUNCTION("""COMPUTED_VALUE"""),46105)</f>
        <v>46105</v>
      </c>
      <c r="K702" s="33" t="str">
        <f ca="1">IFERROR(__xludf.DUMMYFUNCTION("""COMPUTED_VALUE"""),"Prueba")</f>
        <v>Prueba</v>
      </c>
      <c r="L702" s="57">
        <f ca="1">IFERROR(__xludf.DUMMYFUNCTION("""COMPUTED_VALUE"""),46118)</f>
        <v>46118</v>
      </c>
      <c r="M702" s="64" t="str">
        <f ca="1">IFERROR(__xludf.DUMMYFUNCTION("""COMPUTED_VALUE"""),"NO")</f>
        <v>NO</v>
      </c>
      <c r="N702" s="56">
        <f ca="1">IFERROR(__xludf.DUMMYFUNCTION("""COMPUTED_VALUE"""),2)</f>
        <v>2</v>
      </c>
      <c r="O702" s="64" t="str">
        <f ca="1">IFERROR(__xludf.DUMMYFUNCTION("""COMPUTED_VALUE"""),"TRIAL")</f>
        <v>TRIAL</v>
      </c>
      <c r="P702" s="62">
        <f ca="1">IFERROR(__xludf.DUMMYFUNCTION("""COMPUTED_VALUE"""),3631.82)</f>
        <v>3631.82</v>
      </c>
      <c r="Q702" s="33" t="str">
        <f ca="1">IFERROR(__xludf.DUMMYFUNCTION("""COMPUTED_VALUE"""),"Maika Blázquez")</f>
        <v>Maika Blázquez</v>
      </c>
      <c r="R702" s="33" t="str">
        <f ca="1">IFERROR(__xludf.DUMMYFUNCTION("""COMPUTED_VALUE"""),"Dr, Joaquín Alacio Casero")</f>
        <v>Dr, Joaquín Alacio Casero</v>
      </c>
      <c r="S702" s="61" t="str">
        <f ca="1">IFERROR(__xludf.DUMMYFUNCTION("""COMPUTED_VALUE"""),"03 ORL")</f>
        <v>03 ORL</v>
      </c>
      <c r="T702" s="33" t="str">
        <f ca="1">IFERROR(__xludf.DUMMYFUNCTION("""COMPUTED_VALUE"""),"06 ORL")</f>
        <v>06 ORL</v>
      </c>
      <c r="U702" s="62"/>
      <c r="W702" s="61"/>
      <c r="X702" s="62"/>
    </row>
    <row r="703" spans="2:24" ht="16">
      <c r="B703" s="67" t="str">
        <f t="shared" ca="1" si="3"/>
        <v>#N/</v>
      </c>
      <c r="C703" s="64" t="str">
        <f ca="1">IFERROR(__xludf.DUMMYFUNCTION("""COMPUTED_VALUE"""),"#N/A")</f>
        <v>#N/A</v>
      </c>
      <c r="D703" s="33" t="str">
        <f ca="1">IFERROR(__xludf.DUMMYFUNCTION("""COMPUTED_VALUE"""),"PROPIOS")</f>
        <v>PROPIOS</v>
      </c>
      <c r="E703" s="33">
        <f ca="1">IFERROR(__xludf.DUMMYFUNCTION("""COMPUTED_VALUE"""),2026)</f>
        <v>2026</v>
      </c>
      <c r="F703" s="56">
        <f ca="1">IFERROR(__xludf.DUMMYFUNCTION("""COMPUTED_VALUE"""),4)</f>
        <v>4</v>
      </c>
      <c r="G703" s="33" t="str">
        <f ca="1">IFERROR(__xludf.DUMMYFUNCTION("""COMPUTED_VALUE"""),"Madrid- Juan Bravo")</f>
        <v>Madrid- Juan Bravo</v>
      </c>
      <c r="H703" s="33" t="str">
        <f ca="1">IFERROR(__xludf.DUMMYFUNCTION("""COMPUTED_VALUE"""),"C202632516273167255")</f>
        <v>C202632516273167255</v>
      </c>
      <c r="I703" s="33" t="str">
        <f ca="1">IFERROR(__xludf.DUMMYFUNCTION("""COMPUTED_VALUE"""),"MARIA CONCEPCION FERNANDEZ DE VELASCO Y MANRESA")</f>
        <v>MARIA CONCEPCION FERNANDEZ DE VELASCO Y MANRESA</v>
      </c>
      <c r="J703" s="57">
        <f ca="1">IFERROR(__xludf.DUMMYFUNCTION("""COMPUTED_VALUE"""),46106)</f>
        <v>46106</v>
      </c>
      <c r="K703" s="33" t="str">
        <f ca="1">IFERROR(__xludf.DUMMYFUNCTION("""COMPUTED_VALUE"""),"Prueba")</f>
        <v>Prueba</v>
      </c>
      <c r="L703" s="57">
        <f ca="1">IFERROR(__xludf.DUMMYFUNCTION("""COMPUTED_VALUE"""),46119)</f>
        <v>46119</v>
      </c>
      <c r="M703" s="64" t="str">
        <f ca="1">IFERROR(__xludf.DUMMYFUNCTION("""COMPUTED_VALUE"""),"NO")</f>
        <v>NO</v>
      </c>
      <c r="N703" s="56">
        <f ca="1">IFERROR(__xludf.DUMMYFUNCTION("""COMPUTED_VALUE"""),1)</f>
        <v>1</v>
      </c>
      <c r="O703" s="64" t="str">
        <f ca="1">IFERROR(__xludf.DUMMYFUNCTION("""COMPUTED_VALUE"""),"QUIET")</f>
        <v>QUIET</v>
      </c>
      <c r="P703" s="62">
        <f ca="1">IFERROR(__xludf.DUMMYFUNCTION("""COMPUTED_VALUE"""),1631.82)</f>
        <v>1631.82</v>
      </c>
      <c r="Q703" s="33" t="str">
        <f ca="1">IFERROR(__xludf.DUMMYFUNCTION("""COMPUTED_VALUE"""),"Maika Blázquez")</f>
        <v>Maika Blázquez</v>
      </c>
      <c r="R703" s="33" t="str">
        <f ca="1">IFERROR(__xludf.DUMMYFUNCTION("""COMPUTED_VALUE"""),"Dr, José María Relanzón López")</f>
        <v>Dr, José María Relanzón López</v>
      </c>
      <c r="S703" s="61" t="str">
        <f ca="1">IFERROR(__xludf.DUMMYFUNCTION("""COMPUTED_VALUE"""),"03 ORL")</f>
        <v>03 ORL</v>
      </c>
      <c r="T703" s="33" t="str">
        <f ca="1">IFERROR(__xludf.DUMMYFUNCTION("""COMPUTED_VALUE"""),"06 ORL")</f>
        <v>06 ORL</v>
      </c>
      <c r="U703" s="62"/>
      <c r="W703" s="61"/>
      <c r="X703" s="62"/>
    </row>
    <row r="704" spans="2:24" ht="16">
      <c r="B704" s="67" t="str">
        <f t="shared" ca="1" si="3"/>
        <v>#N/</v>
      </c>
      <c r="C704" s="64" t="str">
        <f ca="1">IFERROR(__xludf.DUMMYFUNCTION("""COMPUTED_VALUE"""),"#N/A")</f>
        <v>#N/A</v>
      </c>
      <c r="D704" s="33" t="str">
        <f ca="1">IFERROR(__xludf.DUMMYFUNCTION("""COMPUTED_VALUE"""),"PROPIOS")</f>
        <v>PROPIOS</v>
      </c>
      <c r="E704" s="33">
        <f ca="1">IFERROR(__xludf.DUMMYFUNCTION("""COMPUTED_VALUE"""),2026)</f>
        <v>2026</v>
      </c>
      <c r="F704" s="56">
        <f ca="1">IFERROR(__xludf.DUMMYFUNCTION("""COMPUTED_VALUE"""),3)</f>
        <v>3</v>
      </c>
      <c r="G704" s="33" t="str">
        <f ca="1">IFERROR(__xludf.DUMMYFUNCTION("""COMPUTED_VALUE"""),"Madrid- Juan Bravo")</f>
        <v>Madrid- Juan Bravo</v>
      </c>
      <c r="H704" s="33" t="str">
        <f ca="1">IFERROR(__xludf.DUMMYFUNCTION("""COMPUTED_VALUE"""),"JBR-1447")</f>
        <v>JBR-1447</v>
      </c>
      <c r="I704" s="33" t="str">
        <f ca="1">IFERROR(__xludf.DUMMYFUNCTION("""COMPUTED_VALUE"""),"MARIA DOLORES CASTRO-GIRONA CAMPOS")</f>
        <v>MARIA DOLORES CASTRO-GIRONA CAMPOS</v>
      </c>
      <c r="J704" s="57">
        <f ca="1">IFERROR(__xludf.DUMMYFUNCTION("""COMPUTED_VALUE"""),44477)</f>
        <v>44477</v>
      </c>
      <c r="K704" s="33" t="str">
        <f ca="1">IFERROR(__xludf.DUMMYFUNCTION("""COMPUTED_VALUE"""),"Devuelve")</f>
        <v>Devuelve</v>
      </c>
      <c r="L704" s="57">
        <f ca="1">IFERROR(__xludf.DUMMYFUNCTION("""COMPUTED_VALUE"""),46092)</f>
        <v>46092</v>
      </c>
      <c r="M704" s="64" t="str">
        <f ca="1">IFERROR(__xludf.DUMMYFUNCTION("""COMPUTED_VALUE"""),"NO")</f>
        <v>NO</v>
      </c>
      <c r="N704" s="56">
        <f ca="1">IFERROR(__xludf.DUMMYFUNCTION("""COMPUTED_VALUE"""),2)</f>
        <v>2</v>
      </c>
      <c r="O704" s="64" t="str">
        <f ca="1">IFERROR(__xludf.DUMMYFUNCTION("""COMPUTED_VALUE"""),"TRIAL")</f>
        <v>TRIAL</v>
      </c>
      <c r="P704" s="62">
        <f ca="1">IFERROR(__xludf.DUMMYFUNCTION("""COMPUTED_VALUE"""),0)</f>
        <v>0</v>
      </c>
      <c r="Q704" s="33" t="str">
        <f ca="1">IFERROR(__xludf.DUMMYFUNCTION("""COMPUTED_VALUE"""),"Maika Blázquez")</f>
        <v>Maika Blázquez</v>
      </c>
      <c r="R704" s="33" t="str">
        <f ca="1">IFERROR(__xludf.DUMMYFUNCTION("""COMPUTED_VALUE"""),"Dr, García Domínguez")</f>
        <v>Dr, García Domínguez</v>
      </c>
      <c r="S704" s="61" t="str">
        <f ca="1">IFERROR(__xludf.DUMMYFUNCTION("""COMPUTED_VALUE"""),"03 ORL")</f>
        <v>03 ORL</v>
      </c>
      <c r="T704" s="33" t="str">
        <f ca="1">IFERROR(__xludf.DUMMYFUNCTION("""COMPUTED_VALUE"""),"03 ORL")</f>
        <v>03 ORL</v>
      </c>
      <c r="U704" s="62"/>
      <c r="W704" s="61"/>
      <c r="X704" s="62"/>
    </row>
    <row r="705" spans="2:24" ht="16">
      <c r="B705" s="67" t="str">
        <f t="shared" ca="1" si="3"/>
        <v>#N/</v>
      </c>
      <c r="C705" s="64" t="str">
        <f ca="1">IFERROR(__xludf.DUMMYFUNCTION("""COMPUTED_VALUE"""),"#N/A")</f>
        <v>#N/A</v>
      </c>
      <c r="D705" s="33" t="str">
        <f ca="1">IFERROR(__xludf.DUMMYFUNCTION("""COMPUTED_VALUE"""),"PROPIOS")</f>
        <v>PROPIOS</v>
      </c>
      <c r="E705" s="33">
        <f ca="1">IFERROR(__xludf.DUMMYFUNCTION("""COMPUTED_VALUE"""),2026)</f>
        <v>2026</v>
      </c>
      <c r="F705" s="56">
        <f ca="1">IFERROR(__xludf.DUMMYFUNCTION("""COMPUTED_VALUE"""),3)</f>
        <v>3</v>
      </c>
      <c r="G705" s="33" t="str">
        <f ca="1">IFERROR(__xludf.DUMMYFUNCTION("""COMPUTED_VALUE"""),"Madrid- Juan Bravo")</f>
        <v>Madrid- Juan Bravo</v>
      </c>
      <c r="H705" s="33" t="str">
        <f ca="1">IFERROR(__xludf.DUMMYFUNCTION("""COMPUTED_VALUE"""),"C20263511290483207")</f>
        <v>C20263511290483207</v>
      </c>
      <c r="I705" s="33" t="str">
        <f ca="1">IFERROR(__xludf.DUMMYFUNCTION("""COMPUTED_VALUE"""),"MAXIMO JAVIER  HERREROS VENTOSA")</f>
        <v>MAXIMO JAVIER  HERREROS VENTOSA</v>
      </c>
      <c r="J705" s="57">
        <f ca="1">IFERROR(__xludf.DUMMYFUNCTION("""COMPUTED_VALUE"""),46086)</f>
        <v>46086</v>
      </c>
      <c r="K705" s="33" t="str">
        <f ca="1">IFERROR(__xludf.DUMMYFUNCTION("""COMPUTED_VALUE"""),"Prueba")</f>
        <v>Prueba</v>
      </c>
      <c r="L705" s="57">
        <f ca="1">IFERROR(__xludf.DUMMYFUNCTION("""COMPUTED_VALUE"""),46097)</f>
        <v>46097</v>
      </c>
      <c r="M705" s="64" t="str">
        <f ca="1">IFERROR(__xludf.DUMMYFUNCTION("""COMPUTED_VALUE"""),"NO")</f>
        <v>NO</v>
      </c>
      <c r="N705" s="56">
        <f ca="1">IFERROR(__xludf.DUMMYFUNCTION("""COMPUTED_VALUE"""),1)</f>
        <v>1</v>
      </c>
      <c r="O705" s="64" t="str">
        <f ca="1">IFERROR(__xludf.DUMMYFUNCTION("""COMPUTED_VALUE"""),"TRIAL")</f>
        <v>TRIAL</v>
      </c>
      <c r="P705" s="62">
        <f ca="1">IFERROR(__xludf.DUMMYFUNCTION("""COMPUTED_VALUE"""),2481.82)</f>
        <v>2481.8200000000002</v>
      </c>
      <c r="Q705" s="33" t="str">
        <f ca="1">IFERROR(__xludf.DUMMYFUNCTION("""COMPUTED_VALUE"""),"Maika Blázquez")</f>
        <v>Maika Blázquez</v>
      </c>
      <c r="R705" s="33" t="str">
        <f ca="1">IFERROR(__xludf.DUMMYFUNCTION("""COMPUTED_VALUE"""),"Dr, Carlos Barajas del Rosal")</f>
        <v>Dr, Carlos Barajas del Rosal</v>
      </c>
      <c r="S705" s="61" t="str">
        <f ca="1">IFERROR(__xludf.DUMMYFUNCTION("""COMPUTED_VALUE"""),"03 ORL")</f>
        <v>03 ORL</v>
      </c>
      <c r="T705" s="33" t="str">
        <f ca="1">IFERROR(__xludf.DUMMYFUNCTION("""COMPUTED_VALUE"""),"06 ORL")</f>
        <v>06 ORL</v>
      </c>
      <c r="U705" s="62"/>
      <c r="W705" s="61"/>
      <c r="X705" s="62"/>
    </row>
    <row r="706" spans="2:24" ht="16">
      <c r="B706" s="67" t="str">
        <f t="shared" ca="1" si="3"/>
        <v/>
      </c>
      <c r="C706" s="64"/>
      <c r="D706" s="33" t="str">
        <f ca="1">IFERROR(__xludf.DUMMYFUNCTION("""COMPUTED_VALUE"""),"PROPIOS")</f>
        <v>PROPIOS</v>
      </c>
      <c r="E706" s="33">
        <f ca="1">IFERROR(__xludf.DUMMYFUNCTION("""COMPUTED_VALUE"""),2026)</f>
        <v>2026</v>
      </c>
      <c r="F706" s="56">
        <f ca="1">IFERROR(__xludf.DUMMYFUNCTION("""COMPUTED_VALUE"""),3)</f>
        <v>3</v>
      </c>
      <c r="G706" s="33" t="str">
        <f ca="1">IFERROR(__xludf.DUMMYFUNCTION("""COMPUTED_VALUE"""),"Madrid- Juan Bravo")</f>
        <v>Madrid- Juan Bravo</v>
      </c>
      <c r="H706" s="33" t="str">
        <f ca="1">IFERROR(__xludf.DUMMYFUNCTION("""COMPUTED_VALUE"""),"C20263614581771394")</f>
        <v>C20263614581771394</v>
      </c>
      <c r="I706" s="33" t="str">
        <f ca="1">IFERROR(__xludf.DUMMYFUNCTION("""COMPUTED_VALUE"""),"MERCEDES SERRANO  CADAHIA")</f>
        <v>MERCEDES SERRANO  CADAHIA</v>
      </c>
      <c r="J706" s="57">
        <f ca="1">IFERROR(__xludf.DUMMYFUNCTION("""COMPUTED_VALUE"""),46087)</f>
        <v>46087</v>
      </c>
      <c r="K706" s="33" t="str">
        <f ca="1">IFERROR(__xludf.DUMMYFUNCTION("""COMPUTED_VALUE"""),"Prueba")</f>
        <v>Prueba</v>
      </c>
      <c r="L706" s="57">
        <f ca="1">IFERROR(__xludf.DUMMYFUNCTION("""COMPUTED_VALUE"""),46100)</f>
        <v>46100</v>
      </c>
      <c r="M706" s="64" t="str">
        <f ca="1">IFERROR(__xludf.DUMMYFUNCTION("""COMPUTED_VALUE"""),"NO")</f>
        <v>NO</v>
      </c>
      <c r="N706" s="56">
        <f ca="1">IFERROR(__xludf.DUMMYFUNCTION("""COMPUTED_VALUE"""),2)</f>
        <v>2</v>
      </c>
      <c r="O706" s="64" t="str">
        <f ca="1">IFERROR(__xludf.DUMMYFUNCTION("""COMPUTED_VALUE"""),"TRIAL")</f>
        <v>TRIAL</v>
      </c>
      <c r="P706" s="62">
        <f ca="1">IFERROR(__xludf.DUMMYFUNCTION("""COMPUTED_VALUE"""),3631.82)</f>
        <v>3631.82</v>
      </c>
      <c r="Q706" s="33" t="str">
        <f ca="1">IFERROR(__xludf.DUMMYFUNCTION("""COMPUTED_VALUE"""),"Maika Blázquez")</f>
        <v>Maika Blázquez</v>
      </c>
      <c r="R706" s="33" t="str">
        <f ca="1">IFERROR(__xludf.DUMMYFUNCTION("""COMPUTED_VALUE"""),"No recuerda ORL")</f>
        <v>No recuerda ORL</v>
      </c>
      <c r="S706" s="61" t="str">
        <f ca="1">IFERROR(__xludf.DUMMYFUNCTION("""COMPUTED_VALUE"""),"03 ORL")</f>
        <v>03 ORL</v>
      </c>
      <c r="T706" s="33" t="str">
        <f ca="1">IFERROR(__xludf.DUMMYFUNCTION("""COMPUTED_VALUE"""),"06 ORL")</f>
        <v>06 ORL</v>
      </c>
      <c r="U706" s="62"/>
      <c r="W706" s="61"/>
      <c r="X706" s="62"/>
    </row>
    <row r="707" spans="2:24" ht="16">
      <c r="B707" s="67" t="str">
        <f t="shared" ca="1" si="3"/>
        <v>#N/</v>
      </c>
      <c r="C707" s="64" t="str">
        <f ca="1">IFERROR(__xludf.DUMMYFUNCTION("""COMPUTED_VALUE"""),"#N/A")</f>
        <v>#N/A</v>
      </c>
      <c r="D707" s="33" t="str">
        <f ca="1">IFERROR(__xludf.DUMMYFUNCTION("""COMPUTED_VALUE"""),"PROPIOS")</f>
        <v>PROPIOS</v>
      </c>
      <c r="E707" s="33">
        <f ca="1">IFERROR(__xludf.DUMMYFUNCTION("""COMPUTED_VALUE"""),2026)</f>
        <v>2026</v>
      </c>
      <c r="F707" s="56">
        <f ca="1">IFERROR(__xludf.DUMMYFUNCTION("""COMPUTED_VALUE"""),4)</f>
        <v>4</v>
      </c>
      <c r="G707" s="33" t="str">
        <f ca="1">IFERROR(__xludf.DUMMYFUNCTION("""COMPUTED_VALUE"""),"Madrid- Juan Bravo")</f>
        <v>Madrid- Juan Bravo</v>
      </c>
      <c r="H707" s="33" t="str">
        <f ca="1">IFERROR(__xludf.DUMMYFUNCTION("""COMPUTED_VALUE"""),"C202633192528006857")</f>
        <v>C202633192528006857</v>
      </c>
      <c r="I707" s="33" t="str">
        <f ca="1">IFERROR(__xludf.DUMMYFUNCTION("""COMPUTED_VALUE"""),"NIEVES HUERGA MARTINEZ")</f>
        <v>NIEVES HUERGA MARTINEZ</v>
      </c>
      <c r="J707" s="57">
        <f ca="1">IFERROR(__xludf.DUMMYFUNCTION("""COMPUTED_VALUE"""),46112)</f>
        <v>46112</v>
      </c>
      <c r="K707" s="33" t="str">
        <f ca="1">IFERROR(__xludf.DUMMYFUNCTION("""COMPUTED_VALUE"""),"Prueba")</f>
        <v>Prueba</v>
      </c>
      <c r="L707" s="57">
        <f ca="1">IFERROR(__xludf.DUMMYFUNCTION("""COMPUTED_VALUE"""),46119)</f>
        <v>46119</v>
      </c>
      <c r="M707" s="64" t="str">
        <f ca="1">IFERROR(__xludf.DUMMYFUNCTION("""COMPUTED_VALUE"""),"NO")</f>
        <v>NO</v>
      </c>
      <c r="N707" s="56">
        <f ca="1">IFERROR(__xludf.DUMMYFUNCTION("""COMPUTED_VALUE"""),2)</f>
        <v>2</v>
      </c>
      <c r="O707" s="64" t="str">
        <f ca="1">IFERROR(__xludf.DUMMYFUNCTION("""COMPUTED_VALUE"""),"TRIAL")</f>
        <v>TRIAL</v>
      </c>
      <c r="P707" s="62">
        <f ca="1">IFERROR(__xludf.DUMMYFUNCTION("""COMPUTED_VALUE"""),4375)</f>
        <v>4375</v>
      </c>
      <c r="Q707" s="33" t="str">
        <f ca="1">IFERROR(__xludf.DUMMYFUNCTION("""COMPUTED_VALUE"""),"Maika Blázquez")</f>
        <v>Maika Blázquez</v>
      </c>
      <c r="R707" s="33" t="str">
        <f ca="1">IFERROR(__xludf.DUMMYFUNCTION("""COMPUTED_VALUE"""),"Dr, Joaquín Alacio Casero")</f>
        <v>Dr, Joaquín Alacio Casero</v>
      </c>
      <c r="S707" s="61" t="str">
        <f ca="1">IFERROR(__xludf.DUMMYFUNCTION("""COMPUTED_VALUE"""),"03 ORL")</f>
        <v>03 ORL</v>
      </c>
      <c r="T707" s="33" t="str">
        <f ca="1">IFERROR(__xludf.DUMMYFUNCTION("""COMPUTED_VALUE"""),"06 ORL")</f>
        <v>06 ORL</v>
      </c>
      <c r="U707" s="62"/>
      <c r="W707" s="61"/>
      <c r="X707" s="62"/>
    </row>
    <row r="708" spans="2:24" ht="16">
      <c r="B708" s="67" t="str">
        <f t="shared" ca="1" si="3"/>
        <v>#N/</v>
      </c>
      <c r="C708" s="64" t="str">
        <f ca="1">IFERROR(__xludf.DUMMYFUNCTION("""COMPUTED_VALUE"""),"#N/A")</f>
        <v>#N/A</v>
      </c>
      <c r="D708" s="33" t="str">
        <f ca="1">IFERROR(__xludf.DUMMYFUNCTION("""COMPUTED_VALUE"""),"PROPIOS")</f>
        <v>PROPIOS</v>
      </c>
      <c r="E708" s="33">
        <f ca="1">IFERROR(__xludf.DUMMYFUNCTION("""COMPUTED_VALUE"""),2026)</f>
        <v>2026</v>
      </c>
      <c r="F708" s="56">
        <f ca="1">IFERROR(__xludf.DUMMYFUNCTION("""COMPUTED_VALUE"""),3)</f>
        <v>3</v>
      </c>
      <c r="G708" s="33" t="str">
        <f ca="1">IFERROR(__xludf.DUMMYFUNCTION("""COMPUTED_VALUE"""),"Madrid- Juan Bravo")</f>
        <v>Madrid- Juan Bravo</v>
      </c>
      <c r="H708" s="33" t="str">
        <f ca="1">IFERROR(__xludf.DUMMYFUNCTION("""COMPUTED_VALUE"""),"C202632393051537616")</f>
        <v>C202632393051537616</v>
      </c>
      <c r="I708" s="33" t="str">
        <f ca="1">IFERROR(__xludf.DUMMYFUNCTION("""COMPUTED_VALUE"""),"PALMIRA  JIMENEZ GARCIA")</f>
        <v>PALMIRA  JIMENEZ GARCIA</v>
      </c>
      <c r="J708" s="57">
        <f ca="1">IFERROR(__xludf.DUMMYFUNCTION("""COMPUTED_VALUE"""),46104)</f>
        <v>46104</v>
      </c>
      <c r="K708" s="33" t="str">
        <f ca="1">IFERROR(__xludf.DUMMYFUNCTION("""COMPUTED_VALUE"""),"Presupuesto")</f>
        <v>Presupuesto</v>
      </c>
      <c r="L708" s="57">
        <f ca="1">IFERROR(__xludf.DUMMYFUNCTION("""COMPUTED_VALUE"""),46107)</f>
        <v>46107</v>
      </c>
      <c r="M708" s="64" t="str">
        <f ca="1">IFERROR(__xludf.DUMMYFUNCTION("""COMPUTED_VALUE"""),"NO")</f>
        <v>NO</v>
      </c>
      <c r="N708" s="56">
        <f ca="1">IFERROR(__xludf.DUMMYFUNCTION("""COMPUTED_VALUE"""),2)</f>
        <v>2</v>
      </c>
      <c r="O708" s="64" t="str">
        <f ca="1">IFERROR(__xludf.DUMMYFUNCTION("""COMPUTED_VALUE"""),"QUIET")</f>
        <v>QUIET</v>
      </c>
      <c r="P708" s="62">
        <f ca="1">IFERROR(__xludf.DUMMYFUNCTION("""COMPUTED_VALUE"""),2718.18)</f>
        <v>2718.18</v>
      </c>
      <c r="Q708" s="33" t="str">
        <f ca="1">IFERROR(__xludf.DUMMYFUNCTION("""COMPUTED_VALUE"""),"Maika Blázquez")</f>
        <v>Maika Blázquez</v>
      </c>
      <c r="R708" s="33" t="str">
        <f ca="1">IFERROR(__xludf.DUMMYFUNCTION("""COMPUTED_VALUE"""),"Dr, Javier García Domínguez")</f>
        <v>Dr, Javier García Domínguez</v>
      </c>
      <c r="S708" s="61" t="str">
        <f ca="1">IFERROR(__xludf.DUMMYFUNCTION("""COMPUTED_VALUE"""),"03 ORL")</f>
        <v>03 ORL</v>
      </c>
      <c r="T708" s="33" t="str">
        <f ca="1">IFERROR(__xludf.DUMMYFUNCTION("""COMPUTED_VALUE"""),"06 ORL")</f>
        <v>06 ORL</v>
      </c>
      <c r="U708" s="62"/>
      <c r="W708" s="61"/>
      <c r="X708" s="62"/>
    </row>
    <row r="709" spans="2:24" ht="16">
      <c r="B709" s="67" t="str">
        <f t="shared" ca="1" si="3"/>
        <v>#N/</v>
      </c>
      <c r="C709" s="64" t="str">
        <f ca="1">IFERROR(__xludf.DUMMYFUNCTION("""COMPUTED_VALUE"""),"#N/A")</f>
        <v>#N/A</v>
      </c>
      <c r="D709" s="33" t="str">
        <f ca="1">IFERROR(__xludf.DUMMYFUNCTION("""COMPUTED_VALUE"""),"PROPIOS")</f>
        <v>PROPIOS</v>
      </c>
      <c r="E709" s="33">
        <f ca="1">IFERROR(__xludf.DUMMYFUNCTION("""COMPUTED_VALUE"""),2026)</f>
        <v>2026</v>
      </c>
      <c r="F709" s="56">
        <f ca="1">IFERROR(__xludf.DUMMYFUNCTION("""COMPUTED_VALUE"""),3)</f>
        <v>3</v>
      </c>
      <c r="G709" s="33" t="str">
        <f ca="1">IFERROR(__xludf.DUMMYFUNCTION("""COMPUTED_VALUE"""),"Madrid- Juan Bravo")</f>
        <v>Madrid- Juan Bravo</v>
      </c>
      <c r="H709" s="33" t="str">
        <f ca="1">IFERROR(__xludf.DUMMYFUNCTION("""COMPUTED_VALUE"""),"C202622416585374018")</f>
        <v>C202622416585374018</v>
      </c>
      <c r="I709" s="33" t="str">
        <f ca="1">IFERROR(__xludf.DUMMYFUNCTION("""COMPUTED_VALUE"""),"PILAR JIMENEZ SANCHO")</f>
        <v>PILAR JIMENEZ SANCHO</v>
      </c>
      <c r="J709" s="57">
        <f ca="1">IFERROR(__xludf.DUMMYFUNCTION("""COMPUTED_VALUE"""),46077)</f>
        <v>46077</v>
      </c>
      <c r="K709" s="33" t="str">
        <f ca="1">IFERROR(__xludf.DUMMYFUNCTION("""COMPUTED_VALUE"""),"Presupuesto")</f>
        <v>Presupuesto</v>
      </c>
      <c r="L709" s="57">
        <f ca="1">IFERROR(__xludf.DUMMYFUNCTION("""COMPUTED_VALUE"""),46085)</f>
        <v>46085</v>
      </c>
      <c r="M709" s="64" t="str">
        <f ca="1">IFERROR(__xludf.DUMMYFUNCTION("""COMPUTED_VALUE"""),"NO")</f>
        <v>NO</v>
      </c>
      <c r="N709" s="56">
        <f ca="1">IFERROR(__xludf.DUMMYFUNCTION("""COMPUTED_VALUE"""),1)</f>
        <v>1</v>
      </c>
      <c r="O709" s="64" t="str">
        <f ca="1">IFERROR(__xludf.DUMMYFUNCTION("""COMPUTED_VALUE"""),"QUIET")</f>
        <v>QUIET</v>
      </c>
      <c r="P709" s="62">
        <f ca="1">IFERROR(__xludf.DUMMYFUNCTION("""COMPUTED_VALUE"""),1631.82)</f>
        <v>1631.82</v>
      </c>
      <c r="Q709" s="33" t="str">
        <f ca="1">IFERROR(__xludf.DUMMYFUNCTION("""COMPUTED_VALUE"""),"Maika Blázquez")</f>
        <v>Maika Blázquez</v>
      </c>
      <c r="R709" s="33" t="str">
        <f ca="1">IFERROR(__xludf.DUMMYFUNCTION("""COMPUTED_VALUE"""),"Dr, Carlos Barajas del Rosal")</f>
        <v>Dr, Carlos Barajas del Rosal</v>
      </c>
      <c r="S709" s="61" t="str">
        <f ca="1">IFERROR(__xludf.DUMMYFUNCTION("""COMPUTED_VALUE"""),"03 ORL")</f>
        <v>03 ORL</v>
      </c>
      <c r="T709" s="33" t="str">
        <f ca="1">IFERROR(__xludf.DUMMYFUNCTION("""COMPUTED_VALUE"""),"06 ORL")</f>
        <v>06 ORL</v>
      </c>
      <c r="U709" s="62"/>
      <c r="W709" s="61"/>
      <c r="X709" s="62"/>
    </row>
    <row r="710" spans="2:24" ht="16">
      <c r="B710" s="67" t="str">
        <f t="shared" ca="1" si="3"/>
        <v>#N/</v>
      </c>
      <c r="C710" s="64" t="str">
        <f ca="1">IFERROR(__xludf.DUMMYFUNCTION("""COMPUTED_VALUE"""),"#N/A")</f>
        <v>#N/A</v>
      </c>
      <c r="D710" s="33" t="str">
        <f ca="1">IFERROR(__xludf.DUMMYFUNCTION("""COMPUTED_VALUE"""),"PROPIOS")</f>
        <v>PROPIOS</v>
      </c>
      <c r="E710" s="33">
        <f ca="1">IFERROR(__xludf.DUMMYFUNCTION("""COMPUTED_VALUE"""),2026)</f>
        <v>2026</v>
      </c>
      <c r="F710" s="56">
        <f ca="1">IFERROR(__xludf.DUMMYFUNCTION("""COMPUTED_VALUE"""),4)</f>
        <v>4</v>
      </c>
      <c r="G710" s="33" t="str">
        <f ca="1">IFERROR(__xludf.DUMMYFUNCTION("""COMPUTED_VALUE"""),"Madrid- Juan Bravo")</f>
        <v>Madrid- Juan Bravo</v>
      </c>
      <c r="H710" s="33" t="str">
        <f ca="1">IFERROR(__xludf.DUMMYFUNCTION("""COMPUTED_VALUE"""),"C20263239330667640")</f>
        <v>C20263239330667640</v>
      </c>
      <c r="I710" s="33" t="str">
        <f ca="1">IFERROR(__xludf.DUMMYFUNCTION("""COMPUTED_VALUE"""),"TEOFILO PEREZ DE SANTOS")</f>
        <v>TEOFILO PEREZ DE SANTOS</v>
      </c>
      <c r="J710" s="57">
        <f ca="1">IFERROR(__xludf.DUMMYFUNCTION("""COMPUTED_VALUE"""),46104)</f>
        <v>46104</v>
      </c>
      <c r="K710" s="33" t="str">
        <f ca="1">IFERROR(__xludf.DUMMYFUNCTION("""COMPUTED_VALUE"""),"Prueba")</f>
        <v>Prueba</v>
      </c>
      <c r="L710" s="57">
        <f ca="1">IFERROR(__xludf.DUMMYFUNCTION("""COMPUTED_VALUE"""),46118)</f>
        <v>46118</v>
      </c>
      <c r="M710" s="64" t="str">
        <f ca="1">IFERROR(__xludf.DUMMYFUNCTION("""COMPUTED_VALUE"""),"NO")</f>
        <v>NO</v>
      </c>
      <c r="N710" s="56">
        <f ca="1">IFERROR(__xludf.DUMMYFUNCTION("""COMPUTED_VALUE"""),2)</f>
        <v>2</v>
      </c>
      <c r="O710" s="64" t="str">
        <f ca="1">IFERROR(__xludf.DUMMYFUNCTION("""COMPUTED_VALUE"""),"QUIET")</f>
        <v>QUIET</v>
      </c>
      <c r="P710" s="62">
        <f ca="1">IFERROR(__xludf.DUMMYFUNCTION("""COMPUTED_VALUE"""),2718.18)</f>
        <v>2718.18</v>
      </c>
      <c r="Q710" s="33" t="str">
        <f ca="1">IFERROR(__xludf.DUMMYFUNCTION("""COMPUTED_VALUE"""),"Maika Blázquez")</f>
        <v>Maika Blázquez</v>
      </c>
      <c r="R710" s="33" t="str">
        <f ca="1">IFERROR(__xludf.DUMMYFUNCTION("""COMPUTED_VALUE"""),"Dr, Javier García Domínguez")</f>
        <v>Dr, Javier García Domínguez</v>
      </c>
      <c r="S710" s="61" t="str">
        <f ca="1">IFERROR(__xludf.DUMMYFUNCTION("""COMPUTED_VALUE"""),"03 ORL")</f>
        <v>03 ORL</v>
      </c>
      <c r="T710" s="33" t="str">
        <f ca="1">IFERROR(__xludf.DUMMYFUNCTION("""COMPUTED_VALUE"""),"06 ORL")</f>
        <v>06 ORL</v>
      </c>
      <c r="U710" s="62"/>
      <c r="W710" s="61"/>
      <c r="X710" s="62"/>
    </row>
    <row r="711" spans="2:24" ht="16">
      <c r="B711" s="67" t="str">
        <f t="shared" ca="1" si="3"/>
        <v>#N/</v>
      </c>
      <c r="C711" s="64" t="str">
        <f ca="1">IFERROR(__xludf.DUMMYFUNCTION("""COMPUTED_VALUE"""),"#N/A")</f>
        <v>#N/A</v>
      </c>
      <c r="D711" s="33" t="str">
        <f ca="1">IFERROR(__xludf.DUMMYFUNCTION("""COMPUTED_VALUE"""),"PARTICIPADOS")</f>
        <v>PARTICIPADOS</v>
      </c>
      <c r="E711" s="33">
        <f ca="1">IFERROR(__xludf.DUMMYFUNCTION("""COMPUTED_VALUE"""),2026)</f>
        <v>2026</v>
      </c>
      <c r="F711" s="56">
        <f ca="1">IFERROR(__xludf.DUMMYFUNCTION("""COMPUTED_VALUE"""),3)</f>
        <v>3</v>
      </c>
      <c r="G711" s="33" t="str">
        <f ca="1">IFERROR(__xludf.DUMMYFUNCTION("""COMPUTED_VALUE"""),"Madrid- La Oca")</f>
        <v>Madrid- La Oca</v>
      </c>
      <c r="H711" s="33" t="str">
        <f ca="1">IFERROR(__xludf.DUMMYFUNCTION("""COMPUTED_VALUE"""),"C20263209498725558")</f>
        <v>C20263209498725558</v>
      </c>
      <c r="I711" s="33" t="str">
        <f ca="1">IFERROR(__xludf.DUMMYFUNCTION("""COMPUTED_VALUE"""),"ANTONIA  VARGAS LORENTE")</f>
        <v>ANTONIA  VARGAS LORENTE</v>
      </c>
      <c r="J711" s="57">
        <f ca="1">IFERROR(__xludf.DUMMYFUNCTION("""COMPUTED_VALUE"""),46101)</f>
        <v>46101</v>
      </c>
      <c r="K711" s="33" t="str">
        <f ca="1">IFERROR(__xludf.DUMMYFUNCTION("""COMPUTED_VALUE"""),"Prueba")</f>
        <v>Prueba</v>
      </c>
      <c r="L711" s="57">
        <f ca="1">IFERROR(__xludf.DUMMYFUNCTION("""COMPUTED_VALUE"""),46105)</f>
        <v>46105</v>
      </c>
      <c r="M711" s="64" t="str">
        <f ca="1">IFERROR(__xludf.DUMMYFUNCTION("""COMPUTED_VALUE"""),"NO")</f>
        <v>NO</v>
      </c>
      <c r="N711" s="56">
        <f ca="1">IFERROR(__xludf.DUMMYFUNCTION("""COMPUTED_VALUE"""),1)</f>
        <v>1</v>
      </c>
      <c r="O711" s="64" t="str">
        <f ca="1">IFERROR(__xludf.DUMMYFUNCTION("""COMPUTED_VALUE"""),"QUIET")</f>
        <v>QUIET</v>
      </c>
      <c r="P711" s="62">
        <f ca="1">IFERROR(__xludf.DUMMYFUNCTION("""COMPUTED_VALUE"""),1631.82)</f>
        <v>1631.82</v>
      </c>
      <c r="Q711" s="33" t="str">
        <f ca="1">IFERROR(__xludf.DUMMYFUNCTION("""COMPUTED_VALUE"""),"Maika Blázquez")</f>
        <v>Maika Blázquez</v>
      </c>
      <c r="R711" s="33" t="str">
        <f ca="1">IFERROR(__xludf.DUMMYFUNCTION("""COMPUTED_VALUE"""),"Dr, José Joaquín Gutiérrez Barquín")</f>
        <v>Dr, José Joaquín Gutiérrez Barquín</v>
      </c>
      <c r="S711" s="61" t="str">
        <f ca="1">IFERROR(__xludf.DUMMYFUNCTION("""COMPUTED_VALUE"""),"03 ORL")</f>
        <v>03 ORL</v>
      </c>
      <c r="T711" s="33" t="str">
        <f ca="1">IFERROR(__xludf.DUMMYFUNCTION("""COMPUTED_VALUE"""),"06 ORL")</f>
        <v>06 ORL</v>
      </c>
      <c r="U711" s="62"/>
      <c r="W711" s="61"/>
      <c r="X711" s="62"/>
    </row>
    <row r="712" spans="2:24" ht="16">
      <c r="B712" s="67" t="str">
        <f t="shared" ca="1" si="3"/>
        <v>#N/</v>
      </c>
      <c r="C712" s="64" t="str">
        <f ca="1">IFERROR(__xludf.DUMMYFUNCTION("""COMPUTED_VALUE"""),"#N/A")</f>
        <v>#N/A</v>
      </c>
      <c r="D712" s="33" t="str">
        <f ca="1">IFERROR(__xludf.DUMMYFUNCTION("""COMPUTED_VALUE"""),"PARTICIPADOS")</f>
        <v>PARTICIPADOS</v>
      </c>
      <c r="E712" s="33">
        <f ca="1">IFERROR(__xludf.DUMMYFUNCTION("""COMPUTED_VALUE"""),2026)</f>
        <v>2026</v>
      </c>
      <c r="F712" s="56">
        <f ca="1">IFERROR(__xludf.DUMMYFUNCTION("""COMPUTED_VALUE"""),4)</f>
        <v>4</v>
      </c>
      <c r="G712" s="33" t="str">
        <f ca="1">IFERROR(__xludf.DUMMYFUNCTION("""COMPUTED_VALUE"""),"Madrid- La Oca")</f>
        <v>Madrid- La Oca</v>
      </c>
      <c r="H712" s="33" t="str">
        <f ca="1">IFERROR(__xludf.DUMMYFUNCTION("""COMPUTED_VALUE"""),"C202631912173235032")</f>
        <v>C202631912173235032</v>
      </c>
      <c r="I712" s="33" t="str">
        <f ca="1">IFERROR(__xludf.DUMMYFUNCTION("""COMPUTED_VALUE"""),"CAROLINA MARTIN HERNANDEZ")</f>
        <v>CAROLINA MARTIN HERNANDEZ</v>
      </c>
      <c r="J712" s="57">
        <f ca="1">IFERROR(__xludf.DUMMYFUNCTION("""COMPUTED_VALUE"""),46100)</f>
        <v>46100</v>
      </c>
      <c r="K712" s="33" t="str">
        <f ca="1">IFERROR(__xludf.DUMMYFUNCTION("""COMPUTED_VALUE"""),"Pedido")</f>
        <v>Pedido</v>
      </c>
      <c r="L712" s="57">
        <f ca="1">IFERROR(__xludf.DUMMYFUNCTION("""COMPUTED_VALUE"""),46119)</f>
        <v>46119</v>
      </c>
      <c r="M712" s="64" t="str">
        <f ca="1">IFERROR(__xludf.DUMMYFUNCTION("""COMPUTED_VALUE"""),"NO")</f>
        <v>NO</v>
      </c>
      <c r="N712" s="56">
        <f ca="1">IFERROR(__xludf.DUMMYFUNCTION("""COMPUTED_VALUE"""),2)</f>
        <v>2</v>
      </c>
      <c r="O712" s="64" t="str">
        <f ca="1">IFERROR(__xludf.DUMMYFUNCTION("""COMPUTED_VALUE"""),"ADVANCED")</f>
        <v>ADVANCED</v>
      </c>
      <c r="P712" s="62">
        <f ca="1">IFERROR(__xludf.DUMMYFUNCTION("""COMPUTED_VALUE"""),4381.27)</f>
        <v>4381.2700000000004</v>
      </c>
      <c r="Q712" s="33" t="str">
        <f ca="1">IFERROR(__xludf.DUMMYFUNCTION("""COMPUTED_VALUE"""),"Maika Blázquez")</f>
        <v>Maika Blázquez</v>
      </c>
      <c r="R712" s="33" t="str">
        <f ca="1">IFERROR(__xludf.DUMMYFUNCTION("""COMPUTED_VALUE"""),"Dr, Eviatar Friedlander")</f>
        <v>Dr, Eviatar Friedlander</v>
      </c>
      <c r="S712" s="61" t="str">
        <f ca="1">IFERROR(__xludf.DUMMYFUNCTION("""COMPUTED_VALUE"""),"03 ORL")</f>
        <v>03 ORL</v>
      </c>
      <c r="T712" s="33" t="str">
        <f ca="1">IFERROR(__xludf.DUMMYFUNCTION("""COMPUTED_VALUE"""),"06 ORL")</f>
        <v>06 ORL</v>
      </c>
      <c r="U712" s="62"/>
      <c r="W712" s="61"/>
      <c r="X712" s="62"/>
    </row>
    <row r="713" spans="2:24" ht="16">
      <c r="B713" s="67" t="str">
        <f t="shared" ca="1" si="3"/>
        <v>#N/</v>
      </c>
      <c r="C713" s="64" t="str">
        <f ca="1">IFERROR(__xludf.DUMMYFUNCTION("""COMPUTED_VALUE"""),"#N/A")</f>
        <v>#N/A</v>
      </c>
      <c r="D713" s="33" t="str">
        <f ca="1">IFERROR(__xludf.DUMMYFUNCTION("""COMPUTED_VALUE"""),"PARTICIPADOS")</f>
        <v>PARTICIPADOS</v>
      </c>
      <c r="E713" s="33">
        <f ca="1">IFERROR(__xludf.DUMMYFUNCTION("""COMPUTED_VALUE"""),2026)</f>
        <v>2026</v>
      </c>
      <c r="F713" s="56">
        <f ca="1">IFERROR(__xludf.DUMMYFUNCTION("""COMPUTED_VALUE"""),3)</f>
        <v>3</v>
      </c>
      <c r="G713" s="33" t="str">
        <f ca="1">IFERROR(__xludf.DUMMYFUNCTION("""COMPUTED_VALUE"""),"Madrid- La Oca")</f>
        <v>Madrid- La Oca</v>
      </c>
      <c r="H713" s="33" t="str">
        <f ca="1">IFERROR(__xludf.DUMMYFUNCTION("""COMPUTED_VALUE"""),"C202631210111579218")</f>
        <v>C202631210111579218</v>
      </c>
      <c r="I713" s="33" t="str">
        <f ca="1">IFERROR(__xludf.DUMMYFUNCTION("""COMPUTED_VALUE"""),"FELIPE FAGUNDEZ CALVO")</f>
        <v>FELIPE FAGUNDEZ CALVO</v>
      </c>
      <c r="J713" s="57">
        <f ca="1">IFERROR(__xludf.DUMMYFUNCTION("""COMPUTED_VALUE"""),46093)</f>
        <v>46093</v>
      </c>
      <c r="K713" s="33" t="str">
        <f ca="1">IFERROR(__xludf.DUMMYFUNCTION("""COMPUTED_VALUE"""),"Prueba")</f>
        <v>Prueba</v>
      </c>
      <c r="L713" s="57">
        <f ca="1">IFERROR(__xludf.DUMMYFUNCTION("""COMPUTED_VALUE"""),46105)</f>
        <v>46105</v>
      </c>
      <c r="M713" s="64" t="str">
        <f ca="1">IFERROR(__xludf.DUMMYFUNCTION("""COMPUTED_VALUE"""),"NO")</f>
        <v>NO</v>
      </c>
      <c r="N713" s="56">
        <f ca="1">IFERROR(__xludf.DUMMYFUNCTION("""COMPUTED_VALUE"""),2)</f>
        <v>2</v>
      </c>
      <c r="O713" s="64" t="str">
        <f ca="1">IFERROR(__xludf.DUMMYFUNCTION("""COMPUTED_VALUE"""),"QUIET")</f>
        <v>QUIET</v>
      </c>
      <c r="P713" s="62">
        <f ca="1">IFERROR(__xludf.DUMMYFUNCTION("""COMPUTED_VALUE"""),2718.18)</f>
        <v>2718.18</v>
      </c>
      <c r="Q713" s="33" t="str">
        <f ca="1">IFERROR(__xludf.DUMMYFUNCTION("""COMPUTED_VALUE"""),"Maika Blázquez")</f>
        <v>Maika Blázquez</v>
      </c>
      <c r="R713" s="33" t="str">
        <f ca="1">IFERROR(__xludf.DUMMYFUNCTION("""COMPUTED_VALUE"""),"Dr, José Joaquín Gutiérrez Barquín")</f>
        <v>Dr, José Joaquín Gutiérrez Barquín</v>
      </c>
      <c r="S713" s="61" t="str">
        <f ca="1">IFERROR(__xludf.DUMMYFUNCTION("""COMPUTED_VALUE"""),"03 ORL")</f>
        <v>03 ORL</v>
      </c>
      <c r="T713" s="33" t="str">
        <f ca="1">IFERROR(__xludf.DUMMYFUNCTION("""COMPUTED_VALUE"""),"06 ORL")</f>
        <v>06 ORL</v>
      </c>
      <c r="U713" s="62"/>
      <c r="W713" s="61"/>
      <c r="X713" s="62"/>
    </row>
    <row r="714" spans="2:24" ht="16">
      <c r="B714" s="67" t="str">
        <f t="shared" ca="1" si="3"/>
        <v>#N/</v>
      </c>
      <c r="C714" s="64" t="str">
        <f ca="1">IFERROR(__xludf.DUMMYFUNCTION("""COMPUTED_VALUE"""),"#N/A")</f>
        <v>#N/A</v>
      </c>
      <c r="D714" s="33" t="str">
        <f ca="1">IFERROR(__xludf.DUMMYFUNCTION("""COMPUTED_VALUE"""),"PARTICIPADOS")</f>
        <v>PARTICIPADOS</v>
      </c>
      <c r="E714" s="33">
        <f ca="1">IFERROR(__xludf.DUMMYFUNCTION("""COMPUTED_VALUE"""),2026)</f>
        <v>2026</v>
      </c>
      <c r="F714" s="56">
        <f ca="1">IFERROR(__xludf.DUMMYFUNCTION("""COMPUTED_VALUE"""),3)</f>
        <v>3</v>
      </c>
      <c r="G714" s="33" t="str">
        <f ca="1">IFERROR(__xludf.DUMMYFUNCTION("""COMPUTED_VALUE"""),"Madrid- La Oca")</f>
        <v>Madrid- La Oca</v>
      </c>
      <c r="H714" s="33" t="str">
        <f ca="1">IFERROR(__xludf.DUMMYFUNCTION("""COMPUTED_VALUE"""),"C202631217123359439")</f>
        <v>C202631217123359439</v>
      </c>
      <c r="I714" s="33" t="str">
        <f ca="1">IFERROR(__xludf.DUMMYFUNCTION("""COMPUTED_VALUE"""),"FRANCISCO JAVIER GRANERO PRIETO")</f>
        <v>FRANCISCO JAVIER GRANERO PRIETO</v>
      </c>
      <c r="J714" s="57">
        <f ca="1">IFERROR(__xludf.DUMMYFUNCTION("""COMPUTED_VALUE"""),46093)</f>
        <v>46093</v>
      </c>
      <c r="K714" s="33" t="str">
        <f ca="1">IFERROR(__xludf.DUMMYFUNCTION("""COMPUTED_VALUE"""),"Prueba")</f>
        <v>Prueba</v>
      </c>
      <c r="L714" s="57">
        <f ca="1">IFERROR(__xludf.DUMMYFUNCTION("""COMPUTED_VALUE"""),46106)</f>
        <v>46106</v>
      </c>
      <c r="M714" s="64" t="str">
        <f ca="1">IFERROR(__xludf.DUMMYFUNCTION("""COMPUTED_VALUE"""),"NO")</f>
        <v>NO</v>
      </c>
      <c r="N714" s="56">
        <f ca="1">IFERROR(__xludf.DUMMYFUNCTION("""COMPUTED_VALUE"""),1)</f>
        <v>1</v>
      </c>
      <c r="O714" s="64" t="str">
        <f ca="1">IFERROR(__xludf.DUMMYFUNCTION("""COMPUTED_VALUE"""),"QUIET")</f>
        <v>QUIET</v>
      </c>
      <c r="P714" s="62">
        <f ca="1">IFERROR(__xludf.DUMMYFUNCTION("""COMPUTED_VALUE"""),1631.82)</f>
        <v>1631.82</v>
      </c>
      <c r="Q714" s="33" t="str">
        <f ca="1">IFERROR(__xludf.DUMMYFUNCTION("""COMPUTED_VALUE"""),"Maika Blázquez")</f>
        <v>Maika Blázquez</v>
      </c>
      <c r="R714" s="33" t="str">
        <f ca="1">IFERROR(__xludf.DUMMYFUNCTION("""COMPUTED_VALUE"""),"Dr, Andreas Schilling Borghesi")</f>
        <v>Dr, Andreas Schilling Borghesi</v>
      </c>
      <c r="S714" s="61" t="str">
        <f ca="1">IFERROR(__xludf.DUMMYFUNCTION("""COMPUTED_VALUE"""),"03 ORL")</f>
        <v>03 ORL</v>
      </c>
      <c r="T714" s="33" t="str">
        <f ca="1">IFERROR(__xludf.DUMMYFUNCTION("""COMPUTED_VALUE"""),"06 ORL")</f>
        <v>06 ORL</v>
      </c>
      <c r="U714" s="62"/>
      <c r="W714" s="61"/>
      <c r="X714" s="62"/>
    </row>
    <row r="715" spans="2:24" ht="16">
      <c r="B715" s="67" t="str">
        <f t="shared" ca="1" si="3"/>
        <v>#N/</v>
      </c>
      <c r="C715" s="64" t="str">
        <f ca="1">IFERROR(__xludf.DUMMYFUNCTION("""COMPUTED_VALUE"""),"#N/A")</f>
        <v>#N/A</v>
      </c>
      <c r="D715" s="33" t="str">
        <f ca="1">IFERROR(__xludf.DUMMYFUNCTION("""COMPUTED_VALUE"""),"PARTICIPADOS")</f>
        <v>PARTICIPADOS</v>
      </c>
      <c r="E715" s="33">
        <f ca="1">IFERROR(__xludf.DUMMYFUNCTION("""COMPUTED_VALUE"""),2026)</f>
        <v>2026</v>
      </c>
      <c r="F715" s="56">
        <f ca="1">IFERROR(__xludf.DUMMYFUNCTION("""COMPUTED_VALUE"""),4)</f>
        <v>4</v>
      </c>
      <c r="G715" s="33" t="str">
        <f ca="1">IFERROR(__xludf.DUMMYFUNCTION("""COMPUTED_VALUE"""),"Madrid- La Oca")</f>
        <v>Madrid- La Oca</v>
      </c>
      <c r="H715" s="33" t="str">
        <f ca="1">IFERROR(__xludf.DUMMYFUNCTION("""COMPUTED_VALUE"""),"C202631616393157766")</f>
        <v>C202631616393157766</v>
      </c>
      <c r="I715" s="33" t="str">
        <f ca="1">IFERROR(__xludf.DUMMYFUNCTION("""COMPUTED_VALUE"""),"ISOLINA GOMEZ GIL")</f>
        <v>ISOLINA GOMEZ GIL</v>
      </c>
      <c r="J715" s="57">
        <f ca="1">IFERROR(__xludf.DUMMYFUNCTION("""COMPUTED_VALUE"""),46097)</f>
        <v>46097</v>
      </c>
      <c r="K715" s="33" t="str">
        <f ca="1">IFERROR(__xludf.DUMMYFUNCTION("""COMPUTED_VALUE"""),"Prueba")</f>
        <v>Prueba</v>
      </c>
      <c r="L715" s="57">
        <f ca="1">IFERROR(__xludf.DUMMYFUNCTION("""COMPUTED_VALUE"""),46118)</f>
        <v>46118</v>
      </c>
      <c r="M715" s="64" t="str">
        <f ca="1">IFERROR(__xludf.DUMMYFUNCTION("""COMPUTED_VALUE"""),"NO")</f>
        <v>NO</v>
      </c>
      <c r="N715" s="56">
        <f ca="1">IFERROR(__xludf.DUMMYFUNCTION("""COMPUTED_VALUE"""),2)</f>
        <v>2</v>
      </c>
      <c r="O715" s="64" t="str">
        <f ca="1">IFERROR(__xludf.DUMMYFUNCTION("""COMPUTED_VALUE"""),"CONFORT")</f>
        <v>CONFORT</v>
      </c>
      <c r="P715" s="62">
        <f ca="1">IFERROR(__xludf.DUMMYFUNCTION("""COMPUTED_VALUE"""),3631.82)</f>
        <v>3631.82</v>
      </c>
      <c r="Q715" s="33" t="str">
        <f ca="1">IFERROR(__xludf.DUMMYFUNCTION("""COMPUTED_VALUE"""),"Maika Blázquez")</f>
        <v>Maika Blázquez</v>
      </c>
      <c r="R715" s="33" t="str">
        <f ca="1">IFERROR(__xludf.DUMMYFUNCTION("""COMPUTED_VALUE"""),"Dr, Félix Rodríguez Paz")</f>
        <v>Dr, Félix Rodríguez Paz</v>
      </c>
      <c r="S715" s="61" t="str">
        <f ca="1">IFERROR(__xludf.DUMMYFUNCTION("""COMPUTED_VALUE"""),"03 ORL")</f>
        <v>03 ORL</v>
      </c>
      <c r="T715" s="33" t="str">
        <f ca="1">IFERROR(__xludf.DUMMYFUNCTION("""COMPUTED_VALUE"""),"06 ORL")</f>
        <v>06 ORL</v>
      </c>
      <c r="U715" s="62"/>
      <c r="W715" s="61"/>
      <c r="X715" s="62"/>
    </row>
    <row r="716" spans="2:24" ht="16">
      <c r="B716" s="67" t="str">
        <f t="shared" ca="1" si="3"/>
        <v>#N/</v>
      </c>
      <c r="C716" s="64" t="str">
        <f ca="1">IFERROR(__xludf.DUMMYFUNCTION("""COMPUTED_VALUE"""),"#N/A")</f>
        <v>#N/A</v>
      </c>
      <c r="D716" s="33" t="str">
        <f ca="1">IFERROR(__xludf.DUMMYFUNCTION("""COMPUTED_VALUE"""),"PARTICIPADOS")</f>
        <v>PARTICIPADOS</v>
      </c>
      <c r="E716" s="33">
        <f ca="1">IFERROR(__xludf.DUMMYFUNCTION("""COMPUTED_VALUE"""),2026)</f>
        <v>2026</v>
      </c>
      <c r="F716" s="56">
        <f ca="1">IFERROR(__xludf.DUMMYFUNCTION("""COMPUTED_VALUE"""),1)</f>
        <v>1</v>
      </c>
      <c r="G716" s="33" t="str">
        <f ca="1">IFERROR(__xludf.DUMMYFUNCTION("""COMPUTED_VALUE"""),"Madrid- La Oca")</f>
        <v>Madrid- La Oca</v>
      </c>
      <c r="H716" s="33" t="str">
        <f ca="1">IFERROR(__xludf.DUMMYFUNCTION("""COMPUTED_VALUE"""),"C202511251652173695")</f>
        <v>C202511251652173695</v>
      </c>
      <c r="I716" s="33" t="str">
        <f ca="1">IFERROR(__xludf.DUMMYFUNCTION("""COMPUTED_VALUE"""),"MARIA TERESA LOPEZ JIMENEZ")</f>
        <v>MARIA TERESA LOPEZ JIMENEZ</v>
      </c>
      <c r="J716" s="57">
        <f ca="1">IFERROR(__xludf.DUMMYFUNCTION("""COMPUTED_VALUE"""),45986)</f>
        <v>45986</v>
      </c>
      <c r="K716" s="33" t="str">
        <f ca="1">IFERROR(__xludf.DUMMYFUNCTION("""COMPUTED_VALUE"""),"Devuelve")</f>
        <v>Devuelve</v>
      </c>
      <c r="L716" s="57">
        <f ca="1">IFERROR(__xludf.DUMMYFUNCTION("""COMPUTED_VALUE"""),46027)</f>
        <v>46027</v>
      </c>
      <c r="M716" s="64" t="str">
        <f ca="1">IFERROR(__xludf.DUMMYFUNCTION("""COMPUTED_VALUE"""),"NO")</f>
        <v>NO</v>
      </c>
      <c r="N716" s="56">
        <f ca="1">IFERROR(__xludf.DUMMYFUNCTION("""COMPUTED_VALUE"""),-2)</f>
        <v>-2</v>
      </c>
      <c r="O716" s="58" t="str">
        <f ca="1">IFERROR(__xludf.DUMMYFUNCTION("""COMPUTED_VALUE"""),"CONFORT")</f>
        <v>CONFORT</v>
      </c>
      <c r="P716" s="62">
        <f ca="1">IFERROR(__xludf.DUMMYFUNCTION("""COMPUTED_VALUE"""),-3631.82)</f>
        <v>-3631.82</v>
      </c>
      <c r="Q716" s="33" t="str">
        <f ca="1">IFERROR(__xludf.DUMMYFUNCTION("""COMPUTED_VALUE"""),"Maika Blázquez")</f>
        <v>Maika Blázquez</v>
      </c>
      <c r="R716" s="33" t="str">
        <f ca="1">IFERROR(__xludf.DUMMYFUNCTION("""COMPUTED_VALUE"""),"Dr, José Joaquín Gutiérrez Barquín")</f>
        <v>Dr, José Joaquín Gutiérrez Barquín</v>
      </c>
      <c r="S716" s="61" t="str">
        <f ca="1">IFERROR(__xludf.DUMMYFUNCTION("""COMPUTED_VALUE"""),"03 ORL")</f>
        <v>03 ORL</v>
      </c>
      <c r="T716" s="33" t="str">
        <f ca="1">IFERROR(__xludf.DUMMYFUNCTION("""COMPUTED_VALUE"""),"22 AUDIOMETRIA CLINICA")</f>
        <v>22 AUDIOMETRIA CLINICA</v>
      </c>
      <c r="U716" s="62"/>
      <c r="W716" s="61"/>
      <c r="X716" s="62"/>
    </row>
    <row r="717" spans="2:24" ht="16">
      <c r="B717" s="67" t="str">
        <f t="shared" ca="1" si="3"/>
        <v>#N/</v>
      </c>
      <c r="C717" s="64" t="str">
        <f ca="1">IFERROR(__xludf.DUMMYFUNCTION("""COMPUTED_VALUE"""),"#N/A")</f>
        <v>#N/A</v>
      </c>
      <c r="D717" s="33" t="str">
        <f ca="1">IFERROR(__xludf.DUMMYFUNCTION("""COMPUTED_VALUE"""),"PARTICIPADOS")</f>
        <v>PARTICIPADOS</v>
      </c>
      <c r="E717" s="33">
        <f ca="1">IFERROR(__xludf.DUMMYFUNCTION("""COMPUTED_VALUE"""),2026)</f>
        <v>2026</v>
      </c>
      <c r="F717" s="56">
        <f ca="1">IFERROR(__xludf.DUMMYFUNCTION("""COMPUTED_VALUE"""),2)</f>
        <v>2</v>
      </c>
      <c r="G717" s="33" t="str">
        <f ca="1">IFERROR(__xludf.DUMMYFUNCTION("""COMPUTED_VALUE"""),"Madrid- La Oca")</f>
        <v>Madrid- La Oca</v>
      </c>
      <c r="H717" s="33" t="str">
        <f ca="1">IFERROR(__xludf.DUMMYFUNCTION("""COMPUTED_VALUE"""),"C20262412658724283")</f>
        <v>C20262412658724283</v>
      </c>
      <c r="I717" s="33" t="str">
        <f ca="1">IFERROR(__xludf.DUMMYFUNCTION("""COMPUTED_VALUE"""),"VIRGINIA OLAYA URIAS")</f>
        <v>VIRGINIA OLAYA URIAS</v>
      </c>
      <c r="J717" s="57">
        <f ca="1">IFERROR(__xludf.DUMMYFUNCTION("""COMPUTED_VALUE"""),46057)</f>
        <v>46057</v>
      </c>
      <c r="K717" s="33" t="str">
        <f ca="1">IFERROR(__xludf.DUMMYFUNCTION("""COMPUTED_VALUE"""),"Presupuesto")</f>
        <v>Presupuesto</v>
      </c>
      <c r="L717" s="57">
        <f ca="1">IFERROR(__xludf.DUMMYFUNCTION("""COMPUTED_VALUE"""),46064)</f>
        <v>46064</v>
      </c>
      <c r="M717" s="64" t="str">
        <f ca="1">IFERROR(__xludf.DUMMYFUNCTION("""COMPUTED_VALUE"""),"NO")</f>
        <v>NO</v>
      </c>
      <c r="N717" s="56">
        <f ca="1">IFERROR(__xludf.DUMMYFUNCTION("""COMPUTED_VALUE"""),1)</f>
        <v>1</v>
      </c>
      <c r="O717" s="64" t="str">
        <f ca="1">IFERROR(__xludf.DUMMYFUNCTION("""COMPUTED_VALUE"""),"CONFORT")</f>
        <v>CONFORT</v>
      </c>
      <c r="P717" s="62">
        <f ca="1">IFERROR(__xludf.DUMMYFUNCTION("""COMPUTED_VALUE"""),2180.91)</f>
        <v>2180.91</v>
      </c>
      <c r="Q717" s="33" t="str">
        <f ca="1">IFERROR(__xludf.DUMMYFUNCTION("""COMPUTED_VALUE"""),"Maika Blázquez")</f>
        <v>Maika Blázquez</v>
      </c>
      <c r="R717" s="33" t="str">
        <f ca="1">IFERROR(__xludf.DUMMYFUNCTION("""COMPUTED_VALUE"""),"Dra, Inmaculada Sancho Martín")</f>
        <v>Dra, Inmaculada Sancho Martín</v>
      </c>
      <c r="S717" s="61" t="str">
        <f ca="1">IFERROR(__xludf.DUMMYFUNCTION("""COMPUTED_VALUE"""),"03 ORL")</f>
        <v>03 ORL</v>
      </c>
      <c r="T717" s="33" t="str">
        <f ca="1">IFERROR(__xludf.DUMMYFUNCTION("""COMPUTED_VALUE"""),"06 ORL")</f>
        <v>06 ORL</v>
      </c>
      <c r="U717" s="62"/>
      <c r="W717" s="61"/>
      <c r="X717" s="62"/>
    </row>
    <row r="718" spans="2:24" ht="16">
      <c r="B718" s="67" t="str">
        <f t="shared" ca="1" si="3"/>
        <v>#N/</v>
      </c>
      <c r="C718" s="64" t="str">
        <f ca="1">IFERROR(__xludf.DUMMYFUNCTION("""COMPUTED_VALUE"""),"#N/A")</f>
        <v>#N/A</v>
      </c>
      <c r="D718" s="33" t="str">
        <f ca="1">IFERROR(__xludf.DUMMYFUNCTION("""COMPUTED_VALUE"""),"PROPIOS")</f>
        <v>PROPIOS</v>
      </c>
      <c r="E718" s="33">
        <f ca="1">IFERROR(__xludf.DUMMYFUNCTION("""COMPUTED_VALUE"""),2026)</f>
        <v>2026</v>
      </c>
      <c r="F718" s="56">
        <f ca="1">IFERROR(__xludf.DUMMYFUNCTION("""COMPUTED_VALUE"""),2)</f>
        <v>2</v>
      </c>
      <c r="G718" s="33" t="str">
        <f ca="1">IFERROR(__xludf.DUMMYFUNCTION("""COMPUTED_VALUE"""),"Madrid- Monforte de Lemos")</f>
        <v>Madrid- Monforte de Lemos</v>
      </c>
      <c r="H718" s="33" t="str">
        <f ca="1">IFERROR(__xludf.DUMMYFUNCTION("""COMPUTED_VALUE"""),"VAG-4844")</f>
        <v>VAG-4844</v>
      </c>
      <c r="I718" s="33" t="str">
        <f ca="1">IFERROR(__xludf.DUMMYFUNCTION("""COMPUTED_VALUE"""),"ACISCLO MARTINEZ AGUEDA")</f>
        <v>ACISCLO MARTINEZ AGUEDA</v>
      </c>
      <c r="J718" s="57">
        <f ca="1">IFERROR(__xludf.DUMMYFUNCTION("""COMPUTED_VALUE"""),44973)</f>
        <v>44973</v>
      </c>
      <c r="K718" s="33" t="str">
        <f ca="1">IFERROR(__xludf.DUMMYFUNCTION("""COMPUTED_VALUE"""),"Devuelve")</f>
        <v>Devuelve</v>
      </c>
      <c r="L718" s="57">
        <f ca="1">IFERROR(__xludf.DUMMYFUNCTION("""COMPUTED_VALUE"""),46057)</f>
        <v>46057</v>
      </c>
      <c r="M718" s="64" t="str">
        <f ca="1">IFERROR(__xludf.DUMMYFUNCTION("""COMPUTED_VALUE"""),"NO")</f>
        <v>NO</v>
      </c>
      <c r="N718" s="56">
        <f ca="1">IFERROR(__xludf.DUMMYFUNCTION("""COMPUTED_VALUE"""),2)</f>
        <v>2</v>
      </c>
      <c r="O718" s="64" t="str">
        <f ca="1">IFERROR(__xludf.DUMMYFUNCTION("""COMPUTED_VALUE"""),"ADVANCED")</f>
        <v>ADVANCED</v>
      </c>
      <c r="P718" s="62">
        <f ca="1">IFERROR(__xludf.DUMMYFUNCTION("""COMPUTED_VALUE"""),4000)</f>
        <v>4000</v>
      </c>
      <c r="Q718" s="33" t="str">
        <f ca="1">IFERROR(__xludf.DUMMYFUNCTION("""COMPUTED_VALUE"""),"Maika Blázquez")</f>
        <v>Maika Blázquez</v>
      </c>
      <c r="R718" s="33" t="str">
        <f ca="1">IFERROR(__xludf.DUMMYFUNCTION("""COMPUTED_VALUE"""),"Dr, Gustavo Córdova Ramos")</f>
        <v>Dr, Gustavo Córdova Ramos</v>
      </c>
      <c r="S718" s="61" t="str">
        <f ca="1">IFERROR(__xludf.DUMMYFUNCTION("""COMPUTED_VALUE"""),"03 ORL")</f>
        <v>03 ORL</v>
      </c>
      <c r="T718" s="33" t="str">
        <f ca="1">IFERROR(__xludf.DUMMYFUNCTION("""COMPUTED_VALUE"""),"06 ORL")</f>
        <v>06 ORL</v>
      </c>
      <c r="U718" s="62"/>
      <c r="W718" s="61"/>
      <c r="X718" s="62"/>
    </row>
    <row r="719" spans="2:24" ht="16">
      <c r="B719" s="67" t="str">
        <f t="shared" ca="1" si="3"/>
        <v>#N/</v>
      </c>
      <c r="C719" s="64" t="str">
        <f ca="1">IFERROR(__xludf.DUMMYFUNCTION("""COMPUTED_VALUE"""),"#N/A")</f>
        <v>#N/A</v>
      </c>
      <c r="D719" s="33" t="str">
        <f ca="1">IFERROR(__xludf.DUMMYFUNCTION("""COMPUTED_VALUE"""),"PROPIOS")</f>
        <v>PROPIOS</v>
      </c>
      <c r="E719" s="33">
        <f ca="1">IFERROR(__xludf.DUMMYFUNCTION("""COMPUTED_VALUE"""),2026)</f>
        <v>2026</v>
      </c>
      <c r="F719" s="56">
        <f ca="1">IFERROR(__xludf.DUMMYFUNCTION("""COMPUTED_VALUE"""),2)</f>
        <v>2</v>
      </c>
      <c r="G719" s="33" t="str">
        <f ca="1">IFERROR(__xludf.DUMMYFUNCTION("""COMPUTED_VALUE"""),"Madrid- Monforte de Lemos")</f>
        <v>Madrid- Monforte de Lemos</v>
      </c>
      <c r="H719" s="33" t="str">
        <f ca="1">IFERROR(__xludf.DUMMYFUNCTION("""COMPUTED_VALUE"""),"VAG-2821")</f>
        <v>VAG-2821</v>
      </c>
      <c r="I719" s="33" t="str">
        <f ca="1">IFERROR(__xludf.DUMMYFUNCTION("""COMPUTED_VALUE"""),"ADORACION LOZANO MOLINA")</f>
        <v>ADORACION LOZANO MOLINA</v>
      </c>
      <c r="J719" s="57">
        <f ca="1">IFERROR(__xludf.DUMMYFUNCTION("""COMPUTED_VALUE"""),43497)</f>
        <v>43497</v>
      </c>
      <c r="K719" s="33" t="str">
        <f ca="1">IFERROR(__xludf.DUMMYFUNCTION("""COMPUTED_VALUE"""),"Devuelve")</f>
        <v>Devuelve</v>
      </c>
      <c r="L719" s="57">
        <f ca="1">IFERROR(__xludf.DUMMYFUNCTION("""COMPUTED_VALUE"""),46073)</f>
        <v>46073</v>
      </c>
      <c r="M719" s="64" t="str">
        <f ca="1">IFERROR(__xludf.DUMMYFUNCTION("""COMPUTED_VALUE"""),"NO")</f>
        <v>NO</v>
      </c>
      <c r="N719" s="56">
        <f ca="1">IFERROR(__xludf.DUMMYFUNCTION("""COMPUTED_VALUE"""),1)</f>
        <v>1</v>
      </c>
      <c r="O719" s="64" t="str">
        <f ca="1">IFERROR(__xludf.DUMMYFUNCTION("""COMPUTED_VALUE"""),"CONFORT")</f>
        <v>CONFORT</v>
      </c>
      <c r="P719" s="62">
        <f ca="1">IFERROR(__xludf.DUMMYFUNCTION("""COMPUTED_VALUE"""),2180.91)</f>
        <v>2180.91</v>
      </c>
      <c r="Q719" s="33" t="str">
        <f ca="1">IFERROR(__xludf.DUMMYFUNCTION("""COMPUTED_VALUE"""),"Maika Blázquez")</f>
        <v>Maika Blázquez</v>
      </c>
      <c r="R719" s="33" t="str">
        <f ca="1">IFERROR(__xludf.DUMMYFUNCTION("""COMPUTED_VALUE"""),"Dr, Enrique Melcom Diez")</f>
        <v>Dr, Enrique Melcom Diez</v>
      </c>
      <c r="S719" s="61" t="str">
        <f ca="1">IFERROR(__xludf.DUMMYFUNCTION("""COMPUTED_VALUE"""),"03 ORL")</f>
        <v>03 ORL</v>
      </c>
      <c r="T719" s="33" t="str">
        <f ca="1">IFERROR(__xludf.DUMMYFUNCTION("""COMPUTED_VALUE"""),"06 ORL")</f>
        <v>06 ORL</v>
      </c>
      <c r="U719" s="62"/>
      <c r="W719" s="61"/>
      <c r="X719" s="62"/>
    </row>
    <row r="720" spans="2:24" ht="16">
      <c r="B720" s="67" t="str">
        <f t="shared" ca="1" si="3"/>
        <v>#N/</v>
      </c>
      <c r="C720" s="64" t="str">
        <f ca="1">IFERROR(__xludf.DUMMYFUNCTION("""COMPUTED_VALUE"""),"#N/A")</f>
        <v>#N/A</v>
      </c>
      <c r="D720" s="33" t="str">
        <f ca="1">IFERROR(__xludf.DUMMYFUNCTION("""COMPUTED_VALUE"""),"PROPIOS")</f>
        <v>PROPIOS</v>
      </c>
      <c r="E720" s="33">
        <f ca="1">IFERROR(__xludf.DUMMYFUNCTION("""COMPUTED_VALUE"""),2026)</f>
        <v>2026</v>
      </c>
      <c r="F720" s="56">
        <f ca="1">IFERROR(__xludf.DUMMYFUNCTION("""COMPUTED_VALUE"""),2)</f>
        <v>2</v>
      </c>
      <c r="G720" s="33" t="str">
        <f ca="1">IFERROR(__xludf.DUMMYFUNCTION("""COMPUTED_VALUE"""),"Madrid- Monforte de Lemos")</f>
        <v>Madrid- Monforte de Lemos</v>
      </c>
      <c r="H720" s="33" t="str">
        <f ca="1">IFERROR(__xludf.DUMMYFUNCTION("""COMPUTED_VALUE"""),"C202621615501661659")</f>
        <v>C202621615501661659</v>
      </c>
      <c r="I720" s="33" t="str">
        <f ca="1">IFERROR(__xludf.DUMMYFUNCTION("""COMPUTED_VALUE"""),"AMELIA MANSILLA PRIETO")</f>
        <v>AMELIA MANSILLA PRIETO</v>
      </c>
      <c r="J720" s="57">
        <f ca="1">IFERROR(__xludf.DUMMYFUNCTION("""COMPUTED_VALUE"""),46069)</f>
        <v>46069</v>
      </c>
      <c r="K720" s="33" t="str">
        <f ca="1">IFERROR(__xludf.DUMMYFUNCTION("""COMPUTED_VALUE"""),"Presupuesto")</f>
        <v>Presupuesto</v>
      </c>
      <c r="L720" s="57">
        <f ca="1">IFERROR(__xludf.DUMMYFUNCTION("""COMPUTED_VALUE"""),46078)</f>
        <v>46078</v>
      </c>
      <c r="M720" s="64" t="str">
        <f ca="1">IFERROR(__xludf.DUMMYFUNCTION("""COMPUTED_VALUE"""),"NO")</f>
        <v>NO</v>
      </c>
      <c r="N720" s="56">
        <f ca="1">IFERROR(__xludf.DUMMYFUNCTION("""COMPUTED_VALUE"""),2)</f>
        <v>2</v>
      </c>
      <c r="O720" s="64" t="str">
        <f ca="1">IFERROR(__xludf.DUMMYFUNCTION("""COMPUTED_VALUE"""),"CONFORT")</f>
        <v>CONFORT</v>
      </c>
      <c r="P720" s="62">
        <f ca="1">IFERROR(__xludf.DUMMYFUNCTION("""COMPUTED_VALUE"""),3631.82)</f>
        <v>3631.82</v>
      </c>
      <c r="Q720" s="33" t="str">
        <f ca="1">IFERROR(__xludf.DUMMYFUNCTION("""COMPUTED_VALUE"""),"Maika Blázquez")</f>
        <v>Maika Blázquez</v>
      </c>
      <c r="R720" s="33" t="str">
        <f ca="1">IFERROR(__xludf.DUMMYFUNCTION("""COMPUTED_VALUE"""),"Dr, Guillermo San Juan de la Moreta")</f>
        <v>Dr, Guillermo San Juan de la Moreta</v>
      </c>
      <c r="S720" s="61" t="str">
        <f ca="1">IFERROR(__xludf.DUMMYFUNCTION("""COMPUTED_VALUE"""),"03 ORL")</f>
        <v>03 ORL</v>
      </c>
      <c r="T720" s="33" t="str">
        <f ca="1">IFERROR(__xludf.DUMMYFUNCTION("""COMPUTED_VALUE"""),"06 ORL")</f>
        <v>06 ORL</v>
      </c>
      <c r="U720" s="62"/>
      <c r="W720" s="61"/>
      <c r="X720" s="62"/>
    </row>
    <row r="721" spans="2:24" ht="16">
      <c r="B721" s="67" t="str">
        <f t="shared" ca="1" si="3"/>
        <v>#N/</v>
      </c>
      <c r="C721" s="64" t="str">
        <f ca="1">IFERROR(__xludf.DUMMYFUNCTION("""COMPUTED_VALUE"""),"#N/A")</f>
        <v>#N/A</v>
      </c>
      <c r="D721" s="33" t="str">
        <f ca="1">IFERROR(__xludf.DUMMYFUNCTION("""COMPUTED_VALUE"""),"PROPIOS")</f>
        <v>PROPIOS</v>
      </c>
      <c r="E721" s="33">
        <f ca="1">IFERROR(__xludf.DUMMYFUNCTION("""COMPUTED_VALUE"""),2026)</f>
        <v>2026</v>
      </c>
      <c r="F721" s="56">
        <f ca="1">IFERROR(__xludf.DUMMYFUNCTION("""COMPUTED_VALUE"""),4)</f>
        <v>4</v>
      </c>
      <c r="G721" s="33" t="str">
        <f ca="1">IFERROR(__xludf.DUMMYFUNCTION("""COMPUTED_VALUE"""),"Madrid- Monforte de Lemos")</f>
        <v>Madrid- Monforte de Lemos</v>
      </c>
      <c r="H721" s="33" t="str">
        <f ca="1">IFERROR(__xludf.DUMMYFUNCTION("""COMPUTED_VALUE"""),"C202632511394570290")</f>
        <v>C202632511394570290</v>
      </c>
      <c r="I721" s="33" t="str">
        <f ca="1">IFERROR(__xludf.DUMMYFUNCTION("""COMPUTED_VALUE"""),"ANTONIO PEREZ FERNÁNDEZ")</f>
        <v>ANTONIO PEREZ FERNÁNDEZ</v>
      </c>
      <c r="J721" s="57">
        <f ca="1">IFERROR(__xludf.DUMMYFUNCTION("""COMPUTED_VALUE"""),46106)</f>
        <v>46106</v>
      </c>
      <c r="K721" s="33" t="str">
        <f ca="1">IFERROR(__xludf.DUMMYFUNCTION("""COMPUTED_VALUE"""),"Pedido")</f>
        <v>Pedido</v>
      </c>
      <c r="L721" s="57">
        <f ca="1">IFERROR(__xludf.DUMMYFUNCTION("""COMPUTED_VALUE"""),46119)</f>
        <v>46119</v>
      </c>
      <c r="M721" s="64" t="str">
        <f ca="1">IFERROR(__xludf.DUMMYFUNCTION("""COMPUTED_VALUE"""),"NO")</f>
        <v>NO</v>
      </c>
      <c r="N721" s="56">
        <f ca="1">IFERROR(__xludf.DUMMYFUNCTION("""COMPUTED_VALUE"""),2)</f>
        <v>2</v>
      </c>
      <c r="O721" s="64" t="str">
        <f ca="1">IFERROR(__xludf.DUMMYFUNCTION("""COMPUTED_VALUE"""),"CONFORT")</f>
        <v>CONFORT</v>
      </c>
      <c r="P721" s="62">
        <f ca="1">IFERROR(__xludf.DUMMYFUNCTION("""COMPUTED_VALUE"""),3631.81)</f>
        <v>3631.81</v>
      </c>
      <c r="Q721" s="33" t="str">
        <f ca="1">IFERROR(__xludf.DUMMYFUNCTION("""COMPUTED_VALUE"""),"Maika Blázquez")</f>
        <v>Maika Blázquez</v>
      </c>
      <c r="R721" s="33" t="str">
        <f ca="1">IFERROR(__xludf.DUMMYFUNCTION("""COMPUTED_VALUE"""),"Dra, Victoria García Peces")</f>
        <v>Dra, Victoria García Peces</v>
      </c>
      <c r="S721" s="61" t="str">
        <f ca="1">IFERROR(__xludf.DUMMYFUNCTION("""COMPUTED_VALUE"""),"01 MARKETING ON LINE")</f>
        <v>01 MARKETING ON LINE</v>
      </c>
      <c r="T721" s="33" t="str">
        <f ca="1">IFERROR(__xludf.DUMMYFUNCTION("""COMPUTED_VALUE"""),"33 SILVER ECONOMY SOLUTIONS")</f>
        <v>33 SILVER ECONOMY SOLUTIONS</v>
      </c>
      <c r="U721" s="62"/>
      <c r="W721" s="61"/>
      <c r="X721" s="62"/>
    </row>
    <row r="722" spans="2:24" ht="16">
      <c r="B722" s="67" t="str">
        <f t="shared" ca="1" si="3"/>
        <v>#N/</v>
      </c>
      <c r="C722" s="64" t="str">
        <f ca="1">IFERROR(__xludf.DUMMYFUNCTION("""COMPUTED_VALUE"""),"#N/A")</f>
        <v>#N/A</v>
      </c>
      <c r="D722" s="33" t="str">
        <f ca="1">IFERROR(__xludf.DUMMYFUNCTION("""COMPUTED_VALUE"""),"PROPIOS")</f>
        <v>PROPIOS</v>
      </c>
      <c r="E722" s="33">
        <f ca="1">IFERROR(__xludf.DUMMYFUNCTION("""COMPUTED_VALUE"""),2026)</f>
        <v>2026</v>
      </c>
      <c r="F722" s="56">
        <f ca="1">IFERROR(__xludf.DUMMYFUNCTION("""COMPUTED_VALUE"""),1)</f>
        <v>1</v>
      </c>
      <c r="G722" s="33" t="str">
        <f ca="1">IFERROR(__xludf.DUMMYFUNCTION("""COMPUTED_VALUE"""),"Madrid- Monforte de Lemos")</f>
        <v>Madrid- Monforte de Lemos</v>
      </c>
      <c r="H722" s="33" t="str">
        <f ca="1">IFERROR(__xludf.DUMMYFUNCTION("""COMPUTED_VALUE"""),"C202617151148483786")</f>
        <v>C202617151148483786</v>
      </c>
      <c r="I722" s="33" t="str">
        <f ca="1">IFERROR(__xludf.DUMMYFUNCTION("""COMPUTED_VALUE"""),"ARACELI CASARRUBIOS MARTINEZ-CAVA")</f>
        <v>ARACELI CASARRUBIOS MARTINEZ-CAVA</v>
      </c>
      <c r="J722" s="57">
        <f ca="1">IFERROR(__xludf.DUMMYFUNCTION("""COMPUTED_VALUE"""),46029)</f>
        <v>46029</v>
      </c>
      <c r="K722" s="33" t="str">
        <f ca="1">IFERROR(__xludf.DUMMYFUNCTION("""COMPUTED_VALUE"""),"Devuelve")</f>
        <v>Devuelve</v>
      </c>
      <c r="L722" s="57">
        <f ca="1">IFERROR(__xludf.DUMMYFUNCTION("""COMPUTED_VALUE"""),46042)</f>
        <v>46042</v>
      </c>
      <c r="M722" s="64" t="str">
        <f ca="1">IFERROR(__xludf.DUMMYFUNCTION("""COMPUTED_VALUE"""),"NO")</f>
        <v>NO</v>
      </c>
      <c r="N722" s="56">
        <f ca="1">IFERROR(__xludf.DUMMYFUNCTION("""COMPUTED_VALUE"""),2)</f>
        <v>2</v>
      </c>
      <c r="O722" s="64" t="str">
        <f ca="1">IFERROR(__xludf.DUMMYFUNCTION("""COMPUTED_VALUE"""),"ADVANCED")</f>
        <v>ADVANCED</v>
      </c>
      <c r="P722" s="62">
        <f ca="1">IFERROR(__xludf.DUMMYFUNCTION("""COMPUTED_VALUE"""),4136.36)</f>
        <v>4136.3599999999997</v>
      </c>
      <c r="Q722" s="33" t="str">
        <f ca="1">IFERROR(__xludf.DUMMYFUNCTION("""COMPUTED_VALUE"""),"Maika Blázquez")</f>
        <v>Maika Blázquez</v>
      </c>
      <c r="R722" s="33" t="str">
        <f ca="1">IFERROR(__xludf.DUMMYFUNCTION("""COMPUTED_VALUE"""),"Dra, Beatriz Arana Fernández")</f>
        <v>Dra, Beatriz Arana Fernández</v>
      </c>
      <c r="S722" s="61" t="str">
        <f ca="1">IFERROR(__xludf.DUMMYFUNCTION("""COMPUTED_VALUE"""),"04 TIENDA")</f>
        <v>04 TIENDA</v>
      </c>
      <c r="T722" s="33" t="str">
        <f ca="1">IFERROR(__xludf.DUMMYFUNCTION("""COMPUTED_VALUE"""),"07 BOCA/BOCA")</f>
        <v>07 BOCA/BOCA</v>
      </c>
      <c r="U722" s="62"/>
      <c r="W722" s="61"/>
      <c r="X722" s="62"/>
    </row>
    <row r="723" spans="2:24" ht="16">
      <c r="B723" s="67" t="str">
        <f t="shared" ca="1" si="3"/>
        <v>#N/</v>
      </c>
      <c r="C723" s="64" t="str">
        <f ca="1">IFERROR(__xludf.DUMMYFUNCTION("""COMPUTED_VALUE"""),"#N/A")</f>
        <v>#N/A</v>
      </c>
      <c r="D723" s="33" t="str">
        <f ca="1">IFERROR(__xludf.DUMMYFUNCTION("""COMPUTED_VALUE"""),"PROPIOS")</f>
        <v>PROPIOS</v>
      </c>
      <c r="E723" s="33">
        <f ca="1">IFERROR(__xludf.DUMMYFUNCTION("""COMPUTED_VALUE"""),2026)</f>
        <v>2026</v>
      </c>
      <c r="F723" s="56">
        <f ca="1">IFERROR(__xludf.DUMMYFUNCTION("""COMPUTED_VALUE"""),3)</f>
        <v>3</v>
      </c>
      <c r="G723" s="33" t="str">
        <f ca="1">IFERROR(__xludf.DUMMYFUNCTION("""COMPUTED_VALUE"""),"Madrid- Monforte de Lemos")</f>
        <v>Madrid- Monforte de Lemos</v>
      </c>
      <c r="H723" s="33" t="str">
        <f ca="1">IFERROR(__xludf.DUMMYFUNCTION("""COMPUTED_VALUE"""),"C202622618385874585")</f>
        <v>C202622618385874585</v>
      </c>
      <c r="I723" s="33" t="str">
        <f ca="1">IFERROR(__xludf.DUMMYFUNCTION("""COMPUTED_VALUE"""),"AVELINO FRUTOS GONZÁLEZ")</f>
        <v>AVELINO FRUTOS GONZÁLEZ</v>
      </c>
      <c r="J723" s="57">
        <f ca="1">IFERROR(__xludf.DUMMYFUNCTION("""COMPUTED_VALUE"""),46079)</f>
        <v>46079</v>
      </c>
      <c r="K723" s="33" t="str">
        <f ca="1">IFERROR(__xludf.DUMMYFUNCTION("""COMPUTED_VALUE"""),"Presupuesto")</f>
        <v>Presupuesto</v>
      </c>
      <c r="L723" s="57">
        <f ca="1">IFERROR(__xludf.DUMMYFUNCTION("""COMPUTED_VALUE"""),46084)</f>
        <v>46084</v>
      </c>
      <c r="M723" s="64" t="str">
        <f ca="1">IFERROR(__xludf.DUMMYFUNCTION("""COMPUTED_VALUE"""),"NO")</f>
        <v>NO</v>
      </c>
      <c r="N723" s="56">
        <f ca="1">IFERROR(__xludf.DUMMYFUNCTION("""COMPUTED_VALUE"""),2)</f>
        <v>2</v>
      </c>
      <c r="O723" s="64" t="str">
        <f ca="1">IFERROR(__xludf.DUMMYFUNCTION("""COMPUTED_VALUE"""),"CONFORT")</f>
        <v>CONFORT</v>
      </c>
      <c r="P723" s="62">
        <f ca="1">IFERROR(__xludf.DUMMYFUNCTION("""COMPUTED_VALUE"""),3631.82)</f>
        <v>3631.82</v>
      </c>
      <c r="Q723" s="33" t="str">
        <f ca="1">IFERROR(__xludf.DUMMYFUNCTION("""COMPUTED_VALUE"""),"Maika Blázquez")</f>
        <v>Maika Blázquez</v>
      </c>
      <c r="R723" s="33" t="str">
        <f ca="1">IFERROR(__xludf.DUMMYFUNCTION("""COMPUTED_VALUE"""),"DR, Francisco Javier Guerra")</f>
        <v>DR, Francisco Javier Guerra</v>
      </c>
      <c r="S723" s="61" t="str">
        <f ca="1">IFERROR(__xludf.DUMMYFUNCTION("""COMPUTED_VALUE"""),"03 ORL")</f>
        <v>03 ORL</v>
      </c>
      <c r="T723" s="33" t="str">
        <f ca="1">IFERROR(__xludf.DUMMYFUNCTION("""COMPUTED_VALUE"""),"06 ORL")</f>
        <v>06 ORL</v>
      </c>
      <c r="U723" s="62"/>
      <c r="W723" s="61"/>
      <c r="X723" s="62"/>
    </row>
    <row r="724" spans="2:24" ht="16">
      <c r="B724" s="67" t="str">
        <f t="shared" ca="1" si="3"/>
        <v>#N/</v>
      </c>
      <c r="C724" s="64" t="str">
        <f ca="1">IFERROR(__xludf.DUMMYFUNCTION("""COMPUTED_VALUE"""),"#N/A")</f>
        <v>#N/A</v>
      </c>
      <c r="D724" s="33" t="str">
        <f ca="1">IFERROR(__xludf.DUMMYFUNCTION("""COMPUTED_VALUE"""),"PROPIOS")</f>
        <v>PROPIOS</v>
      </c>
      <c r="E724" s="33">
        <f ca="1">IFERROR(__xludf.DUMMYFUNCTION("""COMPUTED_VALUE"""),2026)</f>
        <v>2026</v>
      </c>
      <c r="F724" s="56">
        <f ca="1">IFERROR(__xludf.DUMMYFUNCTION("""COMPUTED_VALUE"""),2)</f>
        <v>2</v>
      </c>
      <c r="G724" s="33" t="str">
        <f ca="1">IFERROR(__xludf.DUMMYFUNCTION("""COMPUTED_VALUE"""),"Madrid- Monforte de Lemos")</f>
        <v>Madrid- Monforte de Lemos</v>
      </c>
      <c r="H724" s="33" t="str">
        <f ca="1">IFERROR(__xludf.DUMMYFUNCTION("""COMPUTED_VALUE"""),"C20262410538208639")</f>
        <v>C20262410538208639</v>
      </c>
      <c r="I724" s="33" t="str">
        <f ca="1">IFERROR(__xludf.DUMMYFUNCTION("""COMPUTED_VALUE"""),"BEATRIZ GONZALO ALCONADA")</f>
        <v>BEATRIZ GONZALO ALCONADA</v>
      </c>
      <c r="J724" s="57">
        <f ca="1">IFERROR(__xludf.DUMMYFUNCTION("""COMPUTED_VALUE"""),46057)</f>
        <v>46057</v>
      </c>
      <c r="K724" s="33" t="str">
        <f ca="1">IFERROR(__xludf.DUMMYFUNCTION("""COMPUTED_VALUE"""),"Presupuesto")</f>
        <v>Presupuesto</v>
      </c>
      <c r="L724" s="57">
        <f ca="1">IFERROR(__xludf.DUMMYFUNCTION("""COMPUTED_VALUE"""),46059)</f>
        <v>46059</v>
      </c>
      <c r="M724" s="64" t="str">
        <f ca="1">IFERROR(__xludf.DUMMYFUNCTION("""COMPUTED_VALUE"""),"NO")</f>
        <v>NO</v>
      </c>
      <c r="N724" s="56">
        <f ca="1">IFERROR(__xludf.DUMMYFUNCTION("""COMPUTED_VALUE"""),2)</f>
        <v>2</v>
      </c>
      <c r="O724" s="64" t="str">
        <f ca="1">IFERROR(__xludf.DUMMYFUNCTION("""COMPUTED_VALUE"""),"CONFORT")</f>
        <v>CONFORT</v>
      </c>
      <c r="P724" s="62">
        <f ca="1">IFERROR(__xludf.DUMMYFUNCTION("""COMPUTED_VALUE"""),3631.82)</f>
        <v>3631.82</v>
      </c>
      <c r="Q724" s="33" t="str">
        <f ca="1">IFERROR(__xludf.DUMMYFUNCTION("""COMPUTED_VALUE"""),"Maika Blázquez")</f>
        <v>Maika Blázquez</v>
      </c>
      <c r="R724" s="33" t="str">
        <f ca="1">IFERROR(__xludf.DUMMYFUNCTION("""COMPUTED_VALUE"""),"Dra, Victoria García Peces")</f>
        <v>Dra, Victoria García Peces</v>
      </c>
      <c r="S724" s="61" t="str">
        <f ca="1">IFERROR(__xludf.DUMMYFUNCTION("""COMPUTED_VALUE"""),"03 ORL")</f>
        <v>03 ORL</v>
      </c>
      <c r="T724" s="33" t="str">
        <f ca="1">IFERROR(__xludf.DUMMYFUNCTION("""COMPUTED_VALUE"""),"06 ORL")</f>
        <v>06 ORL</v>
      </c>
      <c r="U724" s="62"/>
      <c r="W724" s="61"/>
      <c r="X724" s="62"/>
    </row>
    <row r="725" spans="2:24" ht="16">
      <c r="B725" s="67" t="str">
        <f t="shared" ca="1" si="3"/>
        <v>#N/</v>
      </c>
      <c r="C725" s="64" t="str">
        <f ca="1">IFERROR(__xludf.DUMMYFUNCTION("""COMPUTED_VALUE"""),"#N/A")</f>
        <v>#N/A</v>
      </c>
      <c r="D725" s="33" t="str">
        <f ca="1">IFERROR(__xludf.DUMMYFUNCTION("""COMPUTED_VALUE"""),"PROPIOS")</f>
        <v>PROPIOS</v>
      </c>
      <c r="E725" s="33">
        <f ca="1">IFERROR(__xludf.DUMMYFUNCTION("""COMPUTED_VALUE"""),2026)</f>
        <v>2026</v>
      </c>
      <c r="F725" s="56">
        <f ca="1">IFERROR(__xludf.DUMMYFUNCTION("""COMPUTED_VALUE"""),2)</f>
        <v>2</v>
      </c>
      <c r="G725" s="33" t="str">
        <f ca="1">IFERROR(__xludf.DUMMYFUNCTION("""COMPUTED_VALUE"""),"Madrid- Monforte de Lemos")</f>
        <v>Madrid- Monforte de Lemos</v>
      </c>
      <c r="H725" s="33" t="str">
        <f ca="1">IFERROR(__xludf.DUMMYFUNCTION("""COMPUTED_VALUE"""),"C202622612234598965")</f>
        <v>C202622612234598965</v>
      </c>
      <c r="I725" s="33" t="str">
        <f ca="1">IFERROR(__xludf.DUMMYFUNCTION("""COMPUTED_VALUE"""),"CARMEN RUIZ MARTÍNEZ")</f>
        <v>CARMEN RUIZ MARTÍNEZ</v>
      </c>
      <c r="J725" s="57">
        <f ca="1">IFERROR(__xludf.DUMMYFUNCTION("""COMPUTED_VALUE"""),46079)</f>
        <v>46079</v>
      </c>
      <c r="K725" s="33" t="str">
        <f ca="1">IFERROR(__xludf.DUMMYFUNCTION("""COMPUTED_VALUE"""),"Presupuesto")</f>
        <v>Presupuesto</v>
      </c>
      <c r="L725" s="57">
        <f ca="1">IFERROR(__xludf.DUMMYFUNCTION("""COMPUTED_VALUE"""),46079)</f>
        <v>46079</v>
      </c>
      <c r="M725" s="64" t="str">
        <f ca="1">IFERROR(__xludf.DUMMYFUNCTION("""COMPUTED_VALUE"""),"NO")</f>
        <v>NO</v>
      </c>
      <c r="N725" s="56">
        <f ca="1">IFERROR(__xludf.DUMMYFUNCTION("""COMPUTED_VALUE"""),2)</f>
        <v>2</v>
      </c>
      <c r="O725" s="64" t="str">
        <f ca="1">IFERROR(__xludf.DUMMYFUNCTION("""COMPUTED_VALUE"""),"QUIET")</f>
        <v>QUIET</v>
      </c>
      <c r="P725" s="62">
        <f ca="1">IFERROR(__xludf.DUMMYFUNCTION("""COMPUTED_VALUE"""),2718.18)</f>
        <v>2718.18</v>
      </c>
      <c r="Q725" s="33" t="str">
        <f ca="1">IFERROR(__xludf.DUMMYFUNCTION("""COMPUTED_VALUE"""),"Maika Blázquez")</f>
        <v>Maika Blázquez</v>
      </c>
      <c r="R725" s="33" t="str">
        <f ca="1">IFERROR(__xludf.DUMMYFUNCTION("""COMPUTED_VALUE"""),"Dra, Beatriz Arana Fernández")</f>
        <v>Dra, Beatriz Arana Fernández</v>
      </c>
      <c r="S725" s="61" t="str">
        <f ca="1">IFERROR(__xludf.DUMMYFUNCTION("""COMPUTED_VALUE"""),"03 ORL")</f>
        <v>03 ORL</v>
      </c>
      <c r="T725" s="33" t="str">
        <f ca="1">IFERROR(__xludf.DUMMYFUNCTION("""COMPUTED_VALUE"""),"06 ORL")</f>
        <v>06 ORL</v>
      </c>
      <c r="U725" s="62"/>
      <c r="W725" s="61"/>
      <c r="X725" s="62"/>
    </row>
    <row r="726" spans="2:24" ht="16">
      <c r="B726" s="67" t="str">
        <f t="shared" ca="1" si="3"/>
        <v>#N/</v>
      </c>
      <c r="C726" s="64" t="str">
        <f ca="1">IFERROR(__xludf.DUMMYFUNCTION("""COMPUTED_VALUE"""),"#N/A")</f>
        <v>#N/A</v>
      </c>
      <c r="D726" s="33" t="str">
        <f ca="1">IFERROR(__xludf.DUMMYFUNCTION("""COMPUTED_VALUE"""),"PROPIOS")</f>
        <v>PROPIOS</v>
      </c>
      <c r="E726" s="33">
        <f ca="1">IFERROR(__xludf.DUMMYFUNCTION("""COMPUTED_VALUE"""),2026)</f>
        <v>2026</v>
      </c>
      <c r="F726" s="56">
        <f ca="1">IFERROR(__xludf.DUMMYFUNCTION("""COMPUTED_VALUE"""),4)</f>
        <v>4</v>
      </c>
      <c r="G726" s="33" t="str">
        <f ca="1">IFERROR(__xludf.DUMMYFUNCTION("""COMPUTED_VALUE"""),"Madrid- Monforte de Lemos")</f>
        <v>Madrid- Monforte de Lemos</v>
      </c>
      <c r="H726" s="33" t="str">
        <f ca="1">IFERROR(__xludf.DUMMYFUNCTION("""COMPUTED_VALUE"""),"C202631818273130472")</f>
        <v>C202631818273130472</v>
      </c>
      <c r="I726" s="33" t="str">
        <f ca="1">IFERROR(__xludf.DUMMYFUNCTION("""COMPUTED_VALUE"""),"DOLORES  MORENO RODRIGUEZ")</f>
        <v>DOLORES  MORENO RODRIGUEZ</v>
      </c>
      <c r="J726" s="57">
        <f ca="1">IFERROR(__xludf.DUMMYFUNCTION("""COMPUTED_VALUE"""),46099)</f>
        <v>46099</v>
      </c>
      <c r="K726" s="33" t="str">
        <f ca="1">IFERROR(__xludf.DUMMYFUNCTION("""COMPUTED_VALUE"""),"Pedido")</f>
        <v>Pedido</v>
      </c>
      <c r="L726" s="57">
        <f ca="1">IFERROR(__xludf.DUMMYFUNCTION("""COMPUTED_VALUE"""),46119)</f>
        <v>46119</v>
      </c>
      <c r="M726" s="64" t="str">
        <f ca="1">IFERROR(__xludf.DUMMYFUNCTION("""COMPUTED_VALUE"""),"NO")</f>
        <v>NO</v>
      </c>
      <c r="N726" s="56">
        <f ca="1">IFERROR(__xludf.DUMMYFUNCTION("""COMPUTED_VALUE"""),2)</f>
        <v>2</v>
      </c>
      <c r="O726" s="64" t="str">
        <f ca="1">IFERROR(__xludf.DUMMYFUNCTION("""COMPUTED_VALUE"""),"CONFORT")</f>
        <v>CONFORT</v>
      </c>
      <c r="P726" s="62">
        <f ca="1">IFERROR(__xludf.DUMMYFUNCTION("""COMPUTED_VALUE"""),3631.82)</f>
        <v>3631.82</v>
      </c>
      <c r="Q726" s="33" t="str">
        <f ca="1">IFERROR(__xludf.DUMMYFUNCTION("""COMPUTED_VALUE"""),"Maika Blázquez")</f>
        <v>Maika Blázquez</v>
      </c>
      <c r="R726" s="33" t="str">
        <f ca="1">IFERROR(__xludf.DUMMYFUNCTION("""COMPUTED_VALUE"""),"Dra, Mar Lasso de la Vega Zamora")</f>
        <v>Dra, Mar Lasso de la Vega Zamora</v>
      </c>
      <c r="S726" s="61" t="str">
        <f ca="1">IFERROR(__xludf.DUMMYFUNCTION("""COMPUTED_VALUE"""),"03 ORL")</f>
        <v>03 ORL</v>
      </c>
      <c r="T726" s="33" t="str">
        <f ca="1">IFERROR(__xludf.DUMMYFUNCTION("""COMPUTED_VALUE"""),"06 ORL")</f>
        <v>06 ORL</v>
      </c>
      <c r="U726" s="62"/>
      <c r="W726" s="61"/>
      <c r="X726" s="62"/>
    </row>
    <row r="727" spans="2:24" ht="16">
      <c r="B727" s="67" t="str">
        <f t="shared" ca="1" si="3"/>
        <v/>
      </c>
      <c r="C727" s="64"/>
      <c r="D727" s="33" t="str">
        <f ca="1">IFERROR(__xludf.DUMMYFUNCTION("""COMPUTED_VALUE"""),"PROPIOS")</f>
        <v>PROPIOS</v>
      </c>
      <c r="E727" s="33">
        <f ca="1">IFERROR(__xludf.DUMMYFUNCTION("""COMPUTED_VALUE"""),2026)</f>
        <v>2026</v>
      </c>
      <c r="F727" s="56">
        <f ca="1">IFERROR(__xludf.DUMMYFUNCTION("""COMPUTED_VALUE"""),1)</f>
        <v>1</v>
      </c>
      <c r="G727" s="33" t="str">
        <f ca="1">IFERROR(__xludf.DUMMYFUNCTION("""COMPUTED_VALUE"""),"Madrid- Monforte de Lemos")</f>
        <v>Madrid- Monforte de Lemos</v>
      </c>
      <c r="H727" s="33" t="str">
        <f ca="1">IFERROR(__xludf.DUMMYFUNCTION("""COMPUTED_VALUE"""),"C202512261049411315")</f>
        <v>C202512261049411315</v>
      </c>
      <c r="I727" s="33" t="str">
        <f ca="1">IFERROR(__xludf.DUMMYFUNCTION("""COMPUTED_VALUE"""),"EDUARDO BLASCO DOMINGO")</f>
        <v>EDUARDO BLASCO DOMINGO</v>
      </c>
      <c r="J727" s="57">
        <f ca="1">IFERROR(__xludf.DUMMYFUNCTION("""COMPUTED_VALUE"""),46017)</f>
        <v>46017</v>
      </c>
      <c r="K727" s="33" t="str">
        <f ca="1">IFERROR(__xludf.DUMMYFUNCTION("""COMPUTED_VALUE"""),"Devuelve")</f>
        <v>Devuelve</v>
      </c>
      <c r="L727" s="57">
        <f ca="1">IFERROR(__xludf.DUMMYFUNCTION("""COMPUTED_VALUE"""),46035)</f>
        <v>46035</v>
      </c>
      <c r="M727" s="64" t="str">
        <f ca="1">IFERROR(__xludf.DUMMYFUNCTION("""COMPUTED_VALUE"""),"NO")</f>
        <v>NO</v>
      </c>
      <c r="N727" s="56">
        <f ca="1">IFERROR(__xludf.DUMMYFUNCTION("""COMPUTED_VALUE"""),2)</f>
        <v>2</v>
      </c>
      <c r="O727" s="64" t="str">
        <f ca="1">IFERROR(__xludf.DUMMYFUNCTION("""COMPUTED_VALUE"""),"QUIET")</f>
        <v>QUIET</v>
      </c>
      <c r="P727" s="62">
        <f ca="1">IFERROR(__xludf.DUMMYFUNCTION("""COMPUTED_VALUE"""),2718.18)</f>
        <v>2718.18</v>
      </c>
      <c r="Q727" s="33" t="str">
        <f ca="1">IFERROR(__xludf.DUMMYFUNCTION("""COMPUTED_VALUE"""),"Maika Blázquez")</f>
        <v>Maika Blázquez</v>
      </c>
      <c r="R727" s="33" t="str">
        <f ca="1">IFERROR(__xludf.DUMMYFUNCTION("""COMPUTED_VALUE"""),"No recuerda ORL")</f>
        <v>No recuerda ORL</v>
      </c>
      <c r="S727" s="61" t="str">
        <f ca="1">IFERROR(__xludf.DUMMYFUNCTION("""COMPUTED_VALUE"""),"03 ORL")</f>
        <v>03 ORL</v>
      </c>
      <c r="T727" s="33" t="str">
        <f ca="1">IFERROR(__xludf.DUMMYFUNCTION("""COMPUTED_VALUE"""),"06 ORL")</f>
        <v>06 ORL</v>
      </c>
      <c r="U727" s="62"/>
      <c r="W727" s="61"/>
      <c r="X727" s="62"/>
    </row>
    <row r="728" spans="2:24" ht="16">
      <c r="B728" s="67" t="str">
        <f t="shared" ca="1" si="3"/>
        <v>#N/</v>
      </c>
      <c r="C728" s="64" t="str">
        <f ca="1">IFERROR(__xludf.DUMMYFUNCTION("""COMPUTED_VALUE"""),"#N/A")</f>
        <v>#N/A</v>
      </c>
      <c r="D728" s="33" t="str">
        <f ca="1">IFERROR(__xludf.DUMMYFUNCTION("""COMPUTED_VALUE"""),"PROPIOS")</f>
        <v>PROPIOS</v>
      </c>
      <c r="E728" s="33">
        <f ca="1">IFERROR(__xludf.DUMMYFUNCTION("""COMPUTED_VALUE"""),2026)</f>
        <v>2026</v>
      </c>
      <c r="F728" s="56">
        <f ca="1">IFERROR(__xludf.DUMMYFUNCTION("""COMPUTED_VALUE"""),2)</f>
        <v>2</v>
      </c>
      <c r="G728" s="33" t="str">
        <f ca="1">IFERROR(__xludf.DUMMYFUNCTION("""COMPUTED_VALUE"""),"Madrid- Monforte de Lemos")</f>
        <v>Madrid- Monforte de Lemos</v>
      </c>
      <c r="H728" s="33" t="str">
        <f ca="1">IFERROR(__xludf.DUMMYFUNCTION("""COMPUTED_VALUE"""),"C202612816405477818")</f>
        <v>C202612816405477818</v>
      </c>
      <c r="I728" s="33" t="str">
        <f ca="1">IFERROR(__xludf.DUMMYFUNCTION("""COMPUTED_VALUE"""),"FRANCISCO OLALLA FERNÁNDEZ")</f>
        <v>FRANCISCO OLALLA FERNÁNDEZ</v>
      </c>
      <c r="J728" s="57">
        <f ca="1">IFERROR(__xludf.DUMMYFUNCTION("""COMPUTED_VALUE"""),46050)</f>
        <v>46050</v>
      </c>
      <c r="K728" s="33" t="str">
        <f ca="1">IFERROR(__xludf.DUMMYFUNCTION("""COMPUTED_VALUE"""),"Presupuesto")</f>
        <v>Presupuesto</v>
      </c>
      <c r="L728" s="57">
        <f ca="1">IFERROR(__xludf.DUMMYFUNCTION("""COMPUTED_VALUE"""),46058)</f>
        <v>46058</v>
      </c>
      <c r="M728" s="64" t="str">
        <f ca="1">IFERROR(__xludf.DUMMYFUNCTION("""COMPUTED_VALUE"""),"NO")</f>
        <v>NO</v>
      </c>
      <c r="N728" s="56">
        <f ca="1">IFERROR(__xludf.DUMMYFUNCTION("""COMPUTED_VALUE"""),2)</f>
        <v>2</v>
      </c>
      <c r="O728" s="64" t="str">
        <f ca="1">IFERROR(__xludf.DUMMYFUNCTION("""COMPUTED_VALUE"""),"CONFORT")</f>
        <v>CONFORT</v>
      </c>
      <c r="P728" s="62">
        <f ca="1">IFERROR(__xludf.DUMMYFUNCTION("""COMPUTED_VALUE"""),3631.82)</f>
        <v>3631.82</v>
      </c>
      <c r="Q728" s="33" t="str">
        <f ca="1">IFERROR(__xludf.DUMMYFUNCTION("""COMPUTED_VALUE"""),"Maika Blázquez")</f>
        <v>Maika Blázquez</v>
      </c>
      <c r="R728" s="33" t="str">
        <f ca="1">IFERROR(__xludf.DUMMYFUNCTION("""COMPUTED_VALUE"""),"Dr, Ignacio Sierra Arbide")</f>
        <v>Dr, Ignacio Sierra Arbide</v>
      </c>
      <c r="S728" s="61" t="str">
        <f ca="1">IFERROR(__xludf.DUMMYFUNCTION("""COMPUTED_VALUE"""),"03 ORL")</f>
        <v>03 ORL</v>
      </c>
      <c r="T728" s="33" t="str">
        <f ca="1">IFERROR(__xludf.DUMMYFUNCTION("""COMPUTED_VALUE"""),"06 ORL")</f>
        <v>06 ORL</v>
      </c>
      <c r="U728" s="62"/>
      <c r="W728" s="61"/>
      <c r="X728" s="62"/>
    </row>
    <row r="729" spans="2:24" ht="16">
      <c r="B729" s="67" t="str">
        <f t="shared" ca="1" si="3"/>
        <v>#N/</v>
      </c>
      <c r="C729" s="64" t="str">
        <f ca="1">IFERROR(__xludf.DUMMYFUNCTION("""COMPUTED_VALUE"""),"#N/A")</f>
        <v>#N/A</v>
      </c>
      <c r="D729" s="33" t="str">
        <f ca="1">IFERROR(__xludf.DUMMYFUNCTION("""COMPUTED_VALUE"""),"PROPIOS")</f>
        <v>PROPIOS</v>
      </c>
      <c r="E729" s="33">
        <f ca="1">IFERROR(__xludf.DUMMYFUNCTION("""COMPUTED_VALUE"""),2026)</f>
        <v>2026</v>
      </c>
      <c r="F729" s="56">
        <f ca="1">IFERROR(__xludf.DUMMYFUNCTION("""COMPUTED_VALUE"""),1)</f>
        <v>1</v>
      </c>
      <c r="G729" s="33" t="str">
        <f ca="1">IFERROR(__xludf.DUMMYFUNCTION("""COMPUTED_VALUE"""),"Madrid- Monforte de Lemos")</f>
        <v>Madrid- Monforte de Lemos</v>
      </c>
      <c r="H729" s="33" t="str">
        <f ca="1">IFERROR(__xludf.DUMMYFUNCTION("""COMPUTED_VALUE"""),"C202611214161713806")</f>
        <v>C202611214161713806</v>
      </c>
      <c r="I729" s="33" t="str">
        <f ca="1">IFERROR(__xludf.DUMMYFUNCTION("""COMPUTED_VALUE"""),"GERARDO CHRIST")</f>
        <v>GERARDO CHRIST</v>
      </c>
      <c r="J729" s="57">
        <f ca="1">IFERROR(__xludf.DUMMYFUNCTION("""COMPUTED_VALUE"""),46034)</f>
        <v>46034</v>
      </c>
      <c r="K729" s="33" t="str">
        <f ca="1">IFERROR(__xludf.DUMMYFUNCTION("""COMPUTED_VALUE"""),"Presupuesto")</f>
        <v>Presupuesto</v>
      </c>
      <c r="L729" s="57">
        <f ca="1">IFERROR(__xludf.DUMMYFUNCTION("""COMPUTED_VALUE"""),46036)</f>
        <v>46036</v>
      </c>
      <c r="M729" s="64" t="str">
        <f ca="1">IFERROR(__xludf.DUMMYFUNCTION("""COMPUTED_VALUE"""),"NO")</f>
        <v>NO</v>
      </c>
      <c r="N729" s="56">
        <f ca="1">IFERROR(__xludf.DUMMYFUNCTION("""COMPUTED_VALUE"""),2)</f>
        <v>2</v>
      </c>
      <c r="O729" s="64" t="str">
        <f ca="1">IFERROR(__xludf.DUMMYFUNCTION("""COMPUTED_VALUE"""),"CONFORT")</f>
        <v>CONFORT</v>
      </c>
      <c r="P729" s="62">
        <f ca="1">IFERROR(__xludf.DUMMYFUNCTION("""COMPUTED_VALUE"""),3631.82)</f>
        <v>3631.82</v>
      </c>
      <c r="Q729" s="33" t="str">
        <f ca="1">IFERROR(__xludf.DUMMYFUNCTION("""COMPUTED_VALUE"""),"Maika Blázquez")</f>
        <v>Maika Blázquez</v>
      </c>
      <c r="R729" s="33" t="str">
        <f ca="1">IFERROR(__xludf.DUMMYFUNCTION("""COMPUTED_VALUE"""),"Dr, Álvaro Sánchez de Arriba")</f>
        <v>Dr, Álvaro Sánchez de Arriba</v>
      </c>
      <c r="S729" s="61" t="str">
        <f ca="1">IFERROR(__xludf.DUMMYFUNCTION("""COMPUTED_VALUE"""),"03 ORL")</f>
        <v>03 ORL</v>
      </c>
      <c r="T729" s="33" t="str">
        <f ca="1">IFERROR(__xludf.DUMMYFUNCTION("""COMPUTED_VALUE"""),"06 ORL")</f>
        <v>06 ORL</v>
      </c>
      <c r="U729" s="62"/>
      <c r="W729" s="61"/>
      <c r="X729" s="62"/>
    </row>
    <row r="730" spans="2:24" ht="16">
      <c r="B730" s="67" t="str">
        <f t="shared" ca="1" si="3"/>
        <v>#N/</v>
      </c>
      <c r="C730" s="64" t="str">
        <f ca="1">IFERROR(__xludf.DUMMYFUNCTION("""COMPUTED_VALUE"""),"#N/A")</f>
        <v>#N/A</v>
      </c>
      <c r="D730" s="33" t="str">
        <f ca="1">IFERROR(__xludf.DUMMYFUNCTION("""COMPUTED_VALUE"""),"PROPIOS")</f>
        <v>PROPIOS</v>
      </c>
      <c r="E730" s="33">
        <f ca="1">IFERROR(__xludf.DUMMYFUNCTION("""COMPUTED_VALUE"""),2026)</f>
        <v>2026</v>
      </c>
      <c r="F730" s="56">
        <f ca="1">IFERROR(__xludf.DUMMYFUNCTION("""COMPUTED_VALUE"""),3)</f>
        <v>3</v>
      </c>
      <c r="G730" s="33" t="str">
        <f ca="1">IFERROR(__xludf.DUMMYFUNCTION("""COMPUTED_VALUE"""),"Madrid- Monforte de Lemos")</f>
        <v>Madrid- Monforte de Lemos</v>
      </c>
      <c r="H730" s="33" t="str">
        <f ca="1">IFERROR(__xludf.DUMMYFUNCTION("""COMPUTED_VALUE"""),"C202631211912881375")</f>
        <v>C202631211912881375</v>
      </c>
      <c r="I730" s="33" t="str">
        <f ca="1">IFERROR(__xludf.DUMMYFUNCTION("""COMPUTED_VALUE"""),"MARIA CARMEN ARIAS JATO")</f>
        <v>MARIA CARMEN ARIAS JATO</v>
      </c>
      <c r="J730" s="57">
        <f ca="1">IFERROR(__xludf.DUMMYFUNCTION("""COMPUTED_VALUE"""),46093)</f>
        <v>46093</v>
      </c>
      <c r="K730" s="33" t="str">
        <f ca="1">IFERROR(__xludf.DUMMYFUNCTION("""COMPUTED_VALUE"""),"Pedido")</f>
        <v>Pedido</v>
      </c>
      <c r="L730" s="57">
        <f ca="1">IFERROR(__xludf.DUMMYFUNCTION("""COMPUTED_VALUE"""),46105)</f>
        <v>46105</v>
      </c>
      <c r="M730" s="64" t="str">
        <f ca="1">IFERROR(__xludf.DUMMYFUNCTION("""COMPUTED_VALUE"""),"NO")</f>
        <v>NO</v>
      </c>
      <c r="N730" s="56">
        <f ca="1">IFERROR(__xludf.DUMMYFUNCTION("""COMPUTED_VALUE"""),2)</f>
        <v>2</v>
      </c>
      <c r="O730" s="64" t="str">
        <f ca="1">IFERROR(__xludf.DUMMYFUNCTION("""COMPUTED_VALUE"""),"QUIET")</f>
        <v>QUIET</v>
      </c>
      <c r="P730" s="62">
        <f ca="1">IFERROR(__xludf.DUMMYFUNCTION("""COMPUTED_VALUE"""),2718.19)</f>
        <v>2718.19</v>
      </c>
      <c r="Q730" s="33" t="str">
        <f ca="1">IFERROR(__xludf.DUMMYFUNCTION("""COMPUTED_VALUE"""),"Maika Blázquez")</f>
        <v>Maika Blázquez</v>
      </c>
      <c r="R730" s="33" t="str">
        <f ca="1">IFERROR(__xludf.DUMMYFUNCTION("""COMPUTED_VALUE"""),"Dr, Sergio Zaragoza Guijo")</f>
        <v>Dr, Sergio Zaragoza Guijo</v>
      </c>
      <c r="S730" s="61" t="str">
        <f ca="1">IFERROR(__xludf.DUMMYFUNCTION("""COMPUTED_VALUE"""),"03 ORL")</f>
        <v>03 ORL</v>
      </c>
      <c r="T730" s="33" t="str">
        <f ca="1">IFERROR(__xludf.DUMMYFUNCTION("""COMPUTED_VALUE"""),"06 ORL")</f>
        <v>06 ORL</v>
      </c>
      <c r="U730" s="62"/>
      <c r="W730" s="61"/>
      <c r="X730" s="62"/>
    </row>
    <row r="731" spans="2:24" ht="16">
      <c r="B731" s="67" t="str">
        <f t="shared" ca="1" si="3"/>
        <v/>
      </c>
      <c r="C731" s="64"/>
      <c r="D731" s="33" t="str">
        <f ca="1">IFERROR(__xludf.DUMMYFUNCTION("""COMPUTED_VALUE"""),"PROPIOS")</f>
        <v>PROPIOS</v>
      </c>
      <c r="E731" s="33">
        <f ca="1">IFERROR(__xludf.DUMMYFUNCTION("""COMPUTED_VALUE"""),2026)</f>
        <v>2026</v>
      </c>
      <c r="F731" s="56">
        <f ca="1">IFERROR(__xludf.DUMMYFUNCTION("""COMPUTED_VALUE"""),2)</f>
        <v>2</v>
      </c>
      <c r="G731" s="33" t="str">
        <f ca="1">IFERROR(__xludf.DUMMYFUNCTION("""COMPUTED_VALUE"""),"Madrid- Monforte de Lemos")</f>
        <v>Madrid- Monforte de Lemos</v>
      </c>
      <c r="H731" s="33" t="str">
        <f ca="1">IFERROR(__xludf.DUMMYFUNCTION("""COMPUTED_VALUE"""),"C202621711125628276")</f>
        <v>C202621711125628276</v>
      </c>
      <c r="I731" s="33" t="str">
        <f ca="1">IFERROR(__xludf.DUMMYFUNCTION("""COMPUTED_VALUE"""),"TEODORO  VILLACORTA GARCÍA")</f>
        <v>TEODORO  VILLACORTA GARCÍA</v>
      </c>
      <c r="J731" s="57">
        <f ca="1">IFERROR(__xludf.DUMMYFUNCTION("""COMPUTED_VALUE"""),46070)</f>
        <v>46070</v>
      </c>
      <c r="K731" s="33" t="str">
        <f ca="1">IFERROR(__xludf.DUMMYFUNCTION("""COMPUTED_VALUE"""),"Presupuesto")</f>
        <v>Presupuesto</v>
      </c>
      <c r="L731" s="57">
        <f ca="1">IFERROR(__xludf.DUMMYFUNCTION("""COMPUTED_VALUE"""),46071)</f>
        <v>46071</v>
      </c>
      <c r="M731" s="64" t="str">
        <f ca="1">IFERROR(__xludf.DUMMYFUNCTION("""COMPUTED_VALUE"""),"NO")</f>
        <v>NO</v>
      </c>
      <c r="N731" s="56">
        <f ca="1">IFERROR(__xludf.DUMMYFUNCTION("""COMPUTED_VALUE"""),2)</f>
        <v>2</v>
      </c>
      <c r="O731" s="64" t="str">
        <f ca="1">IFERROR(__xludf.DUMMYFUNCTION("""COMPUTED_VALUE"""),"CONFORT")</f>
        <v>CONFORT</v>
      </c>
      <c r="P731" s="62">
        <f ca="1">IFERROR(__xludf.DUMMYFUNCTION("""COMPUTED_VALUE"""),3631.82)</f>
        <v>3631.82</v>
      </c>
      <c r="Q731" s="33" t="str">
        <f ca="1">IFERROR(__xludf.DUMMYFUNCTION("""COMPUTED_VALUE"""),"Maika Blázquez")</f>
        <v>Maika Blázquez</v>
      </c>
      <c r="R731" s="33" t="str">
        <f ca="1">IFERROR(__xludf.DUMMYFUNCTION("""COMPUTED_VALUE"""),"No recuerda ORL")</f>
        <v>No recuerda ORL</v>
      </c>
      <c r="S731" s="61" t="str">
        <f ca="1">IFERROR(__xludf.DUMMYFUNCTION("""COMPUTED_VALUE"""),"03 ORL")</f>
        <v>03 ORL</v>
      </c>
      <c r="T731" s="33" t="str">
        <f ca="1">IFERROR(__xludf.DUMMYFUNCTION("""COMPUTED_VALUE"""),"06 ORL")</f>
        <v>06 ORL</v>
      </c>
      <c r="U731" s="62"/>
      <c r="W731" s="61"/>
      <c r="X731" s="62"/>
    </row>
    <row r="732" spans="2:24" ht="16">
      <c r="B732" s="67" t="str">
        <f t="shared" ca="1" si="3"/>
        <v>#N/</v>
      </c>
      <c r="C732" s="64" t="str">
        <f ca="1">IFERROR(__xludf.DUMMYFUNCTION("""COMPUTED_VALUE"""),"#N/A")</f>
        <v>#N/A</v>
      </c>
      <c r="D732" s="33" t="str">
        <f ca="1">IFERROR(__xludf.DUMMYFUNCTION("""COMPUTED_VALUE"""),"PROPIOS")</f>
        <v>PROPIOS</v>
      </c>
      <c r="E732" s="33">
        <f ca="1">IFERROR(__xludf.DUMMYFUNCTION("""COMPUTED_VALUE"""),2026)</f>
        <v>2026</v>
      </c>
      <c r="F732" s="56">
        <f ca="1">IFERROR(__xludf.DUMMYFUNCTION("""COMPUTED_VALUE"""),3)</f>
        <v>3</v>
      </c>
      <c r="G732" s="33" t="str">
        <f ca="1">IFERROR(__xludf.DUMMYFUNCTION("""COMPUTED_VALUE"""),"Madrid- Moratalaz")</f>
        <v>Madrid- Moratalaz</v>
      </c>
      <c r="H732" s="33" t="str">
        <f ca="1">IFERROR(__xludf.DUMMYFUNCTION("""COMPUTED_VALUE"""),"C202639114630849380")</f>
        <v>C202639114630849380</v>
      </c>
      <c r="I732" s="33" t="str">
        <f ca="1">IFERROR(__xludf.DUMMYFUNCTION("""COMPUTED_VALUE"""),"ANTONIO JUAREZ ALVAREZ")</f>
        <v>ANTONIO JUAREZ ALVAREZ</v>
      </c>
      <c r="J732" s="57">
        <f ca="1">IFERROR(__xludf.DUMMYFUNCTION("""COMPUTED_VALUE"""),46090)</f>
        <v>46090</v>
      </c>
      <c r="K732" s="33" t="str">
        <f ca="1">IFERROR(__xludf.DUMMYFUNCTION("""COMPUTED_VALUE"""),"Prueba")</f>
        <v>Prueba</v>
      </c>
      <c r="L732" s="57">
        <f ca="1">IFERROR(__xludf.DUMMYFUNCTION("""COMPUTED_VALUE"""),46099)</f>
        <v>46099</v>
      </c>
      <c r="M732" s="64" t="str">
        <f ca="1">IFERROR(__xludf.DUMMYFUNCTION("""COMPUTED_VALUE"""),"NO")</f>
        <v>NO</v>
      </c>
      <c r="N732" s="56">
        <f ca="1">IFERROR(__xludf.DUMMYFUNCTION("""COMPUTED_VALUE"""),2)</f>
        <v>2</v>
      </c>
      <c r="O732" s="64" t="str">
        <f ca="1">IFERROR(__xludf.DUMMYFUNCTION("""COMPUTED_VALUE"""),"TRIAL")</f>
        <v>TRIAL</v>
      </c>
      <c r="P732" s="62">
        <f ca="1">IFERROR(__xludf.DUMMYFUNCTION("""COMPUTED_VALUE"""),4136.36)</f>
        <v>4136.3599999999997</v>
      </c>
      <c r="Q732" s="33" t="str">
        <f ca="1">IFERROR(__xludf.DUMMYFUNCTION("""COMPUTED_VALUE"""),"Maika Blázquez")</f>
        <v>Maika Blázquez</v>
      </c>
      <c r="R732" s="33" t="str">
        <f ca="1">IFERROR(__xludf.DUMMYFUNCTION("""COMPUTED_VALUE"""),"Dra, María Cecilia Scola Torres")</f>
        <v>Dra, María Cecilia Scola Torres</v>
      </c>
      <c r="S732" s="61" t="str">
        <f ca="1">IFERROR(__xludf.DUMMYFUNCTION("""COMPUTED_VALUE"""),"03 ORL")</f>
        <v>03 ORL</v>
      </c>
      <c r="T732" s="33" t="str">
        <f ca="1">IFERROR(__xludf.DUMMYFUNCTION("""COMPUTED_VALUE"""),"06 ORL")</f>
        <v>06 ORL</v>
      </c>
      <c r="U732" s="62"/>
      <c r="W732" s="61"/>
      <c r="X732" s="62"/>
    </row>
    <row r="733" spans="2:24" ht="16">
      <c r="B733" s="67" t="str">
        <f t="shared" ca="1" si="3"/>
        <v>#N/</v>
      </c>
      <c r="C733" s="64" t="str">
        <f ca="1">IFERROR(__xludf.DUMMYFUNCTION("""COMPUTED_VALUE"""),"#N/A")</f>
        <v>#N/A</v>
      </c>
      <c r="D733" s="33" t="str">
        <f ca="1">IFERROR(__xludf.DUMMYFUNCTION("""COMPUTED_VALUE"""),"PROPIOS")</f>
        <v>PROPIOS</v>
      </c>
      <c r="E733" s="33">
        <f ca="1">IFERROR(__xludf.DUMMYFUNCTION("""COMPUTED_VALUE"""),2026)</f>
        <v>2026</v>
      </c>
      <c r="F733" s="56">
        <f ca="1">IFERROR(__xludf.DUMMYFUNCTION("""COMPUTED_VALUE"""),4)</f>
        <v>4</v>
      </c>
      <c r="G733" s="33" t="str">
        <f ca="1">IFERROR(__xludf.DUMMYFUNCTION("""COMPUTED_VALUE"""),"Madrid- Moratalaz")</f>
        <v>Madrid- Moratalaz</v>
      </c>
      <c r="H733" s="33" t="str">
        <f ca="1">IFERROR(__xludf.DUMMYFUNCTION("""COMPUTED_VALUE"""),"C20264693854843573")</f>
        <v>C20264693854843573</v>
      </c>
      <c r="I733" s="33" t="str">
        <f ca="1">IFERROR(__xludf.DUMMYFUNCTION("""COMPUTED_VALUE"""),"CECILIA RODRIGUEZ SAN JOSE")</f>
        <v>CECILIA RODRIGUEZ SAN JOSE</v>
      </c>
      <c r="J733" s="57">
        <f ca="1">IFERROR(__xludf.DUMMYFUNCTION("""COMPUTED_VALUE"""),46118)</f>
        <v>46118</v>
      </c>
      <c r="K733" s="33" t="str">
        <f ca="1">IFERROR(__xludf.DUMMYFUNCTION("""COMPUTED_VALUE"""),"Presupuesto")</f>
        <v>Presupuesto</v>
      </c>
      <c r="L733" s="57">
        <f ca="1">IFERROR(__xludf.DUMMYFUNCTION("""COMPUTED_VALUE"""),46118)</f>
        <v>46118</v>
      </c>
      <c r="M733" s="64" t="str">
        <f ca="1">IFERROR(__xludf.DUMMYFUNCTION("""COMPUTED_VALUE"""),"NO")</f>
        <v>NO</v>
      </c>
      <c r="N733" s="56">
        <f ca="1">IFERROR(__xludf.DUMMYFUNCTION("""COMPUTED_VALUE"""),2)</f>
        <v>2</v>
      </c>
      <c r="O733" s="64" t="str">
        <f ca="1">IFERROR(__xludf.DUMMYFUNCTION("""COMPUTED_VALUE"""),"QUIET")</f>
        <v>QUIET</v>
      </c>
      <c r="P733" s="62">
        <f ca="1">IFERROR(__xludf.DUMMYFUNCTION("""COMPUTED_VALUE"""),2718.18)</f>
        <v>2718.18</v>
      </c>
      <c r="Q733" s="33" t="str">
        <f ca="1">IFERROR(__xludf.DUMMYFUNCTION("""COMPUTED_VALUE"""),"Maika Blázquez")</f>
        <v>Maika Blázquez</v>
      </c>
      <c r="R733" s="33" t="str">
        <f ca="1">IFERROR(__xludf.DUMMYFUNCTION("""COMPUTED_VALUE"""),"Dra, Isabel Bueno Aventín")</f>
        <v>Dra, Isabel Bueno Aventín</v>
      </c>
      <c r="S733" s="61" t="str">
        <f ca="1">IFERROR(__xludf.DUMMYFUNCTION("""COMPUTED_VALUE"""),"03 ORL")</f>
        <v>03 ORL</v>
      </c>
      <c r="T733" s="33" t="str">
        <f ca="1">IFERROR(__xludf.DUMMYFUNCTION("""COMPUTED_VALUE"""),"06 ORL")</f>
        <v>06 ORL</v>
      </c>
      <c r="U733" s="62"/>
      <c r="W733" s="61"/>
      <c r="X733" s="62"/>
    </row>
    <row r="734" spans="2:24" ht="16">
      <c r="B734" s="67" t="str">
        <f t="shared" ca="1" si="3"/>
        <v/>
      </c>
      <c r="C734" s="64"/>
      <c r="D734" s="33" t="str">
        <f ca="1">IFERROR(__xludf.DUMMYFUNCTION("""COMPUTED_VALUE"""),"PROPIOS")</f>
        <v>PROPIOS</v>
      </c>
      <c r="E734" s="33">
        <f ca="1">IFERROR(__xludf.DUMMYFUNCTION("""COMPUTED_VALUE"""),2026)</f>
        <v>2026</v>
      </c>
      <c r="F734" s="56">
        <f ca="1">IFERROR(__xludf.DUMMYFUNCTION("""COMPUTED_VALUE"""),3)</f>
        <v>3</v>
      </c>
      <c r="G734" s="33" t="str">
        <f ca="1">IFERROR(__xludf.DUMMYFUNCTION("""COMPUTED_VALUE"""),"Madrid- Moratalaz")</f>
        <v>Madrid- Moratalaz</v>
      </c>
      <c r="H734" s="33" t="str">
        <f ca="1">IFERROR(__xludf.DUMMYFUNCTION("""COMPUTED_VALUE"""),"C202631011102917804")</f>
        <v>C202631011102917804</v>
      </c>
      <c r="I734" s="33" t="str">
        <f ca="1">IFERROR(__xludf.DUMMYFUNCTION("""COMPUTED_VALUE"""),"IRENE MARTINEZ RUIZ")</f>
        <v>IRENE MARTINEZ RUIZ</v>
      </c>
      <c r="J734" s="57">
        <f ca="1">IFERROR(__xludf.DUMMYFUNCTION("""COMPUTED_VALUE"""),46091)</f>
        <v>46091</v>
      </c>
      <c r="K734" s="33" t="str">
        <f ca="1">IFERROR(__xludf.DUMMYFUNCTION("""COMPUTED_VALUE"""),"Presupuesto")</f>
        <v>Presupuesto</v>
      </c>
      <c r="L734" s="57">
        <f ca="1">IFERROR(__xludf.DUMMYFUNCTION("""COMPUTED_VALUE"""),46097)</f>
        <v>46097</v>
      </c>
      <c r="M734" s="64" t="str">
        <f ca="1">IFERROR(__xludf.DUMMYFUNCTION("""COMPUTED_VALUE"""),"NO")</f>
        <v>NO</v>
      </c>
      <c r="N734" s="56">
        <f ca="1">IFERROR(__xludf.DUMMYFUNCTION("""COMPUTED_VALUE"""),2)</f>
        <v>2</v>
      </c>
      <c r="O734" s="64" t="str">
        <f ca="1">IFERROR(__xludf.DUMMYFUNCTION("""COMPUTED_VALUE"""),"ADVANCED")</f>
        <v>ADVANCED</v>
      </c>
      <c r="P734" s="62">
        <f ca="1">IFERROR(__xludf.DUMMYFUNCTION("""COMPUTED_VALUE"""),4136.36)</f>
        <v>4136.3599999999997</v>
      </c>
      <c r="Q734" s="33" t="str">
        <f ca="1">IFERROR(__xludf.DUMMYFUNCTION("""COMPUTED_VALUE"""),"Maika Blázquez")</f>
        <v>Maika Blázquez</v>
      </c>
      <c r="R734" s="33" t="str">
        <f ca="1">IFERROR(__xludf.DUMMYFUNCTION("""COMPUTED_VALUE"""),"No recuerda ORL")</f>
        <v>No recuerda ORL</v>
      </c>
      <c r="S734" s="61" t="str">
        <f ca="1">IFERROR(__xludf.DUMMYFUNCTION("""COMPUTED_VALUE"""),"03 ORL")</f>
        <v>03 ORL</v>
      </c>
      <c r="T734" s="33" t="str">
        <f ca="1">IFERROR(__xludf.DUMMYFUNCTION("""COMPUTED_VALUE"""),"06 ORL")</f>
        <v>06 ORL</v>
      </c>
      <c r="U734" s="62"/>
      <c r="W734" s="61"/>
      <c r="X734" s="62"/>
    </row>
    <row r="735" spans="2:24" ht="16">
      <c r="B735" s="67" t="str">
        <f t="shared" ca="1" si="3"/>
        <v>#N/</v>
      </c>
      <c r="C735" s="64" t="str">
        <f ca="1">IFERROR(__xludf.DUMMYFUNCTION("""COMPUTED_VALUE"""),"#N/A")</f>
        <v>#N/A</v>
      </c>
      <c r="D735" s="33" t="str">
        <f ca="1">IFERROR(__xludf.DUMMYFUNCTION("""COMPUTED_VALUE"""),"PROPIOS")</f>
        <v>PROPIOS</v>
      </c>
      <c r="E735" s="33">
        <f ca="1">IFERROR(__xludf.DUMMYFUNCTION("""COMPUTED_VALUE"""),2026)</f>
        <v>2026</v>
      </c>
      <c r="F735" s="56">
        <f ca="1">IFERROR(__xludf.DUMMYFUNCTION("""COMPUTED_VALUE"""),4)</f>
        <v>4</v>
      </c>
      <c r="G735" s="33" t="str">
        <f ca="1">IFERROR(__xludf.DUMMYFUNCTION("""COMPUTED_VALUE"""),"Madrid- Moratalaz")</f>
        <v>Madrid- Moratalaz</v>
      </c>
      <c r="H735" s="33" t="str">
        <f ca="1">IFERROR(__xludf.DUMMYFUNCTION("""COMPUTED_VALUE"""),"C20264685427302848")</f>
        <v>C20264685427302848</v>
      </c>
      <c r="I735" s="33" t="str">
        <f ca="1">IFERROR(__xludf.DUMMYFUNCTION("""COMPUTED_VALUE"""),"MARIA LUZ VALDIVIEZO DE LA CRUZ")</f>
        <v>MARIA LUZ VALDIVIEZO DE LA CRUZ</v>
      </c>
      <c r="J735" s="57">
        <f ca="1">IFERROR(__xludf.DUMMYFUNCTION("""COMPUTED_VALUE"""),46118)</f>
        <v>46118</v>
      </c>
      <c r="K735" s="33" t="str">
        <f ca="1">IFERROR(__xludf.DUMMYFUNCTION("""COMPUTED_VALUE"""),"Presupuesto")</f>
        <v>Presupuesto</v>
      </c>
      <c r="L735" s="57">
        <f ca="1">IFERROR(__xludf.DUMMYFUNCTION("""COMPUTED_VALUE"""),46118)</f>
        <v>46118</v>
      </c>
      <c r="M735" s="64" t="str">
        <f ca="1">IFERROR(__xludf.DUMMYFUNCTION("""COMPUTED_VALUE"""),"NO")</f>
        <v>NO</v>
      </c>
      <c r="N735" s="56">
        <f ca="1">IFERROR(__xludf.DUMMYFUNCTION("""COMPUTED_VALUE"""),1)</f>
        <v>1</v>
      </c>
      <c r="O735" s="64" t="str">
        <f ca="1">IFERROR(__xludf.DUMMYFUNCTION("""COMPUTED_VALUE"""),"QUIET")</f>
        <v>QUIET</v>
      </c>
      <c r="P735" s="62">
        <f ca="1">IFERROR(__xludf.DUMMYFUNCTION("""COMPUTED_VALUE"""),1631.82)</f>
        <v>1631.82</v>
      </c>
      <c r="Q735" s="33" t="str">
        <f ca="1">IFERROR(__xludf.DUMMYFUNCTION("""COMPUTED_VALUE"""),"Maika Blázquez")</f>
        <v>Maika Blázquez</v>
      </c>
      <c r="R735" s="33" t="str">
        <f ca="1">IFERROR(__xludf.DUMMYFUNCTION("""COMPUTED_VALUE"""),"Dra, María Cecilia Scola Torres")</f>
        <v>Dra, María Cecilia Scola Torres</v>
      </c>
      <c r="S735" s="61" t="str">
        <f ca="1">IFERROR(__xludf.DUMMYFUNCTION("""COMPUTED_VALUE"""),"03 ORL")</f>
        <v>03 ORL</v>
      </c>
      <c r="T735" s="33" t="str">
        <f ca="1">IFERROR(__xludf.DUMMYFUNCTION("""COMPUTED_VALUE"""),"06 ORL")</f>
        <v>06 ORL</v>
      </c>
      <c r="U735" s="62"/>
      <c r="W735" s="61"/>
      <c r="X735" s="62"/>
    </row>
    <row r="736" spans="2:24" ht="16">
      <c r="B736" s="67" t="str">
        <f t="shared" ca="1" si="3"/>
        <v>#N/</v>
      </c>
      <c r="C736" s="64" t="str">
        <f ca="1">IFERROR(__xludf.DUMMYFUNCTION("""COMPUTED_VALUE"""),"#N/A")</f>
        <v>#N/A</v>
      </c>
      <c r="D736" s="33" t="str">
        <f ca="1">IFERROR(__xludf.DUMMYFUNCTION("""COMPUTED_VALUE"""),"PROPIOS")</f>
        <v>PROPIOS</v>
      </c>
      <c r="E736" s="33">
        <f ca="1">IFERROR(__xludf.DUMMYFUNCTION("""COMPUTED_VALUE"""),2026)</f>
        <v>2026</v>
      </c>
      <c r="F736" s="56">
        <f ca="1">IFERROR(__xludf.DUMMYFUNCTION("""COMPUTED_VALUE"""),3)</f>
        <v>3</v>
      </c>
      <c r="G736" s="33" t="str">
        <f ca="1">IFERROR(__xludf.DUMMYFUNCTION("""COMPUTED_VALUE"""),"Murcia")</f>
        <v>Murcia</v>
      </c>
      <c r="H736" s="33" t="str">
        <f ca="1">IFERROR(__xludf.DUMMYFUNCTION("""COMPUTED_VALUE"""),"C202631110310641371")</f>
        <v>C202631110310641371</v>
      </c>
      <c r="I736" s="33" t="str">
        <f ca="1">IFERROR(__xludf.DUMMYFUNCTION("""COMPUTED_VALUE"""),"AGUSTIN OLMOS ALMANSA")</f>
        <v>AGUSTIN OLMOS ALMANSA</v>
      </c>
      <c r="J736" s="57">
        <f ca="1">IFERROR(__xludf.DUMMYFUNCTION("""COMPUTED_VALUE"""),46092)</f>
        <v>46092</v>
      </c>
      <c r="K736" s="33" t="str">
        <f ca="1">IFERROR(__xludf.DUMMYFUNCTION("""COMPUTED_VALUE"""),"Devuelve")</f>
        <v>Devuelve</v>
      </c>
      <c r="L736" s="57">
        <f ca="1">IFERROR(__xludf.DUMMYFUNCTION("""COMPUTED_VALUE"""),46097)</f>
        <v>46097</v>
      </c>
      <c r="M736" s="64" t="str">
        <f ca="1">IFERROR(__xludf.DUMMYFUNCTION("""COMPUTED_VALUE"""),"NO")</f>
        <v>NO</v>
      </c>
      <c r="N736" s="56">
        <f ca="1">IFERROR(__xludf.DUMMYFUNCTION("""COMPUTED_VALUE"""),1)</f>
        <v>1</v>
      </c>
      <c r="O736" s="64" t="str">
        <f ca="1">IFERROR(__xludf.DUMMYFUNCTION("""COMPUTED_VALUE"""),"QUIET")</f>
        <v>QUIET</v>
      </c>
      <c r="P736" s="62">
        <f ca="1">IFERROR(__xludf.DUMMYFUNCTION("""COMPUTED_VALUE"""),1631.82)</f>
        <v>1631.82</v>
      </c>
      <c r="Q736" s="33" t="str">
        <f ca="1">IFERROR(__xludf.DUMMYFUNCTION("""COMPUTED_VALUE"""),"Iván Sánchez")</f>
        <v>Iván Sánchez</v>
      </c>
      <c r="R736" s="33" t="str">
        <f ca="1">IFERROR(__xludf.DUMMYFUNCTION("""COMPUTED_VALUE"""),"Dra, María Teresa Almela Rojo")</f>
        <v>Dra, María Teresa Almela Rojo</v>
      </c>
      <c r="S736" s="61" t="str">
        <f ca="1">IFERROR(__xludf.DUMMYFUNCTION("""COMPUTED_VALUE"""),"03 ORL")</f>
        <v>03 ORL</v>
      </c>
      <c r="T736" s="33" t="str">
        <f ca="1">IFERROR(__xludf.DUMMYFUNCTION("""COMPUTED_VALUE"""),"06 ORL")</f>
        <v>06 ORL</v>
      </c>
      <c r="U736" s="62"/>
      <c r="W736" s="61"/>
      <c r="X736" s="62"/>
    </row>
    <row r="737" spans="2:24" ht="16">
      <c r="B737" s="67" t="str">
        <f t="shared" ca="1" si="3"/>
        <v>#N/</v>
      </c>
      <c r="C737" s="64" t="str">
        <f ca="1">IFERROR(__xludf.DUMMYFUNCTION("""COMPUTED_VALUE"""),"#N/A")</f>
        <v>#N/A</v>
      </c>
      <c r="D737" s="33" t="str">
        <f ca="1">IFERROR(__xludf.DUMMYFUNCTION("""COMPUTED_VALUE"""),"PROPIOS")</f>
        <v>PROPIOS</v>
      </c>
      <c r="E737" s="33">
        <f ca="1">IFERROR(__xludf.DUMMYFUNCTION("""COMPUTED_VALUE"""),2026)</f>
        <v>2026</v>
      </c>
      <c r="F737" s="56">
        <f ca="1">IFERROR(__xludf.DUMMYFUNCTION("""COMPUTED_VALUE"""),4)</f>
        <v>4</v>
      </c>
      <c r="G737" s="33" t="str">
        <f ca="1">IFERROR(__xludf.DUMMYFUNCTION("""COMPUTED_VALUE"""),"Murcia")</f>
        <v>Murcia</v>
      </c>
      <c r="H737" s="33" t="str">
        <f ca="1">IFERROR(__xludf.DUMMYFUNCTION("""COMPUTED_VALUE"""),"C202631118175675668")</f>
        <v>C202631118175675668</v>
      </c>
      <c r="I737" s="33" t="str">
        <f ca="1">IFERROR(__xludf.DUMMYFUNCTION("""COMPUTED_VALUE"""),"AMANDA DEL SOCORRO VINASCO VINASCO")</f>
        <v>AMANDA DEL SOCORRO VINASCO VINASCO</v>
      </c>
      <c r="J737" s="57">
        <f ca="1">IFERROR(__xludf.DUMMYFUNCTION("""COMPUTED_VALUE"""),46092)</f>
        <v>46092</v>
      </c>
      <c r="K737" s="33" t="str">
        <f ca="1">IFERROR(__xludf.DUMMYFUNCTION("""COMPUTED_VALUE"""),"Prueba")</f>
        <v>Prueba</v>
      </c>
      <c r="L737" s="57">
        <f ca="1">IFERROR(__xludf.DUMMYFUNCTION("""COMPUTED_VALUE"""),46113)</f>
        <v>46113</v>
      </c>
      <c r="M737" s="64" t="str">
        <f ca="1">IFERROR(__xludf.DUMMYFUNCTION("""COMPUTED_VALUE"""),"NO")</f>
        <v>NO</v>
      </c>
      <c r="N737" s="56">
        <f ca="1">IFERROR(__xludf.DUMMYFUNCTION("""COMPUTED_VALUE"""),2)</f>
        <v>2</v>
      </c>
      <c r="O737" s="64" t="str">
        <f ca="1">IFERROR(__xludf.DUMMYFUNCTION("""COMPUTED_VALUE"""),"TRIAL")</f>
        <v>TRIAL</v>
      </c>
      <c r="P737" s="62">
        <f ca="1">IFERROR(__xludf.DUMMYFUNCTION("""COMPUTED_VALUE"""),3631.82)</f>
        <v>3631.82</v>
      </c>
      <c r="Q737" s="33" t="str">
        <f ca="1">IFERROR(__xludf.DUMMYFUNCTION("""COMPUTED_VALUE"""),"Iván Sánchez")</f>
        <v>Iván Sánchez</v>
      </c>
      <c r="R737" s="33" t="str">
        <f ca="1">IFERROR(__xludf.DUMMYFUNCTION("""COMPUTED_VALUE"""),"Dra, María Agustina Sevilla García")</f>
        <v>Dra, María Agustina Sevilla García</v>
      </c>
      <c r="S737" s="61" t="str">
        <f ca="1">IFERROR(__xludf.DUMMYFUNCTION("""COMPUTED_VALUE"""),"03 ORL")</f>
        <v>03 ORL</v>
      </c>
      <c r="T737" s="33" t="str">
        <f ca="1">IFERROR(__xludf.DUMMYFUNCTION("""COMPUTED_VALUE"""),"06 ORL")</f>
        <v>06 ORL</v>
      </c>
      <c r="U737" s="62"/>
      <c r="W737" s="61"/>
      <c r="X737" s="62"/>
    </row>
    <row r="738" spans="2:24" ht="16">
      <c r="B738" s="67" t="str">
        <f t="shared" ca="1" si="3"/>
        <v>#N/</v>
      </c>
      <c r="C738" s="64" t="str">
        <f ca="1">IFERROR(__xludf.DUMMYFUNCTION("""COMPUTED_VALUE"""),"#N/A")</f>
        <v>#N/A</v>
      </c>
      <c r="D738" s="33" t="str">
        <f ca="1">IFERROR(__xludf.DUMMYFUNCTION("""COMPUTED_VALUE"""),"PROPIOS")</f>
        <v>PROPIOS</v>
      </c>
      <c r="E738" s="33">
        <f ca="1">IFERROR(__xludf.DUMMYFUNCTION("""COMPUTED_VALUE"""),2026)</f>
        <v>2026</v>
      </c>
      <c r="F738" s="56">
        <f ca="1">IFERROR(__xludf.DUMMYFUNCTION("""COMPUTED_VALUE"""),3)</f>
        <v>3</v>
      </c>
      <c r="G738" s="33" t="str">
        <f ca="1">IFERROR(__xludf.DUMMYFUNCTION("""COMPUTED_VALUE"""),"Murcia")</f>
        <v>Murcia</v>
      </c>
      <c r="H738" s="33" t="str">
        <f ca="1">IFERROR(__xludf.DUMMYFUNCTION("""COMPUTED_VALUE"""),"C202631115292719467")</f>
        <v>C202631115292719467</v>
      </c>
      <c r="I738" s="33" t="str">
        <f ca="1">IFERROR(__xludf.DUMMYFUNCTION("""COMPUTED_VALUE"""),"ANA DOLORES  ABRIL SANCHEZ")</f>
        <v>ANA DOLORES  ABRIL SANCHEZ</v>
      </c>
      <c r="J738" s="57">
        <f ca="1">IFERROR(__xludf.DUMMYFUNCTION("""COMPUTED_VALUE"""),46092)</f>
        <v>46092</v>
      </c>
      <c r="K738" s="33" t="str">
        <f ca="1">IFERROR(__xludf.DUMMYFUNCTION("""COMPUTED_VALUE"""),"Prueba")</f>
        <v>Prueba</v>
      </c>
      <c r="L738" s="57">
        <f ca="1">IFERROR(__xludf.DUMMYFUNCTION("""COMPUTED_VALUE"""),46111)</f>
        <v>46111</v>
      </c>
      <c r="M738" s="64" t="str">
        <f ca="1">IFERROR(__xludf.DUMMYFUNCTION("""COMPUTED_VALUE"""),"NO")</f>
        <v>NO</v>
      </c>
      <c r="N738" s="56">
        <f ca="1">IFERROR(__xludf.DUMMYFUNCTION("""COMPUTED_VALUE"""),2)</f>
        <v>2</v>
      </c>
      <c r="O738" s="64" t="str">
        <f ca="1">IFERROR(__xludf.DUMMYFUNCTION("""COMPUTED_VALUE"""),"TRIAL")</f>
        <v>TRIAL</v>
      </c>
      <c r="P738" s="62">
        <f ca="1">IFERROR(__xludf.DUMMYFUNCTION("""COMPUTED_VALUE"""),3631.82)</f>
        <v>3631.82</v>
      </c>
      <c r="Q738" s="33" t="str">
        <f ca="1">IFERROR(__xludf.DUMMYFUNCTION("""COMPUTED_VALUE"""),"Iván Sánchez")</f>
        <v>Iván Sánchez</v>
      </c>
      <c r="R738" s="33" t="str">
        <f ca="1">IFERROR(__xludf.DUMMYFUNCTION("""COMPUTED_VALUE"""),"Dra, María Agustina Sevilla García")</f>
        <v>Dra, María Agustina Sevilla García</v>
      </c>
      <c r="S738" s="61" t="str">
        <f ca="1">IFERROR(__xludf.DUMMYFUNCTION("""COMPUTED_VALUE"""),"03 ORL")</f>
        <v>03 ORL</v>
      </c>
      <c r="T738" s="33" t="str">
        <f ca="1">IFERROR(__xludf.DUMMYFUNCTION("""COMPUTED_VALUE"""),"22 AUDIOMETRIA CLINICA")</f>
        <v>22 AUDIOMETRIA CLINICA</v>
      </c>
      <c r="U738" s="62"/>
      <c r="W738" s="61"/>
      <c r="X738" s="62"/>
    </row>
    <row r="739" spans="2:24" ht="16">
      <c r="B739" s="67" t="str">
        <f t="shared" ca="1" si="3"/>
        <v>#N/</v>
      </c>
      <c r="C739" s="64" t="str">
        <f ca="1">IFERROR(__xludf.DUMMYFUNCTION("""COMPUTED_VALUE"""),"#N/A")</f>
        <v>#N/A</v>
      </c>
      <c r="D739" s="33" t="str">
        <f ca="1">IFERROR(__xludf.DUMMYFUNCTION("""COMPUTED_VALUE"""),"PROPIOS")</f>
        <v>PROPIOS</v>
      </c>
      <c r="E739" s="33">
        <f ca="1">IFERROR(__xludf.DUMMYFUNCTION("""COMPUTED_VALUE"""),2026)</f>
        <v>2026</v>
      </c>
      <c r="F739" s="56">
        <f ca="1">IFERROR(__xludf.DUMMYFUNCTION("""COMPUTED_VALUE"""),3)</f>
        <v>3</v>
      </c>
      <c r="G739" s="33" t="str">
        <f ca="1">IFERROR(__xludf.DUMMYFUNCTION("""COMPUTED_VALUE"""),"Murcia")</f>
        <v>Murcia</v>
      </c>
      <c r="H739" s="33" t="str">
        <f ca="1">IFERROR(__xludf.DUMMYFUNCTION("""COMPUTED_VALUE"""),"C202631793058158792")</f>
        <v>C202631793058158792</v>
      </c>
      <c r="I739" s="33" t="str">
        <f ca="1">IFERROR(__xludf.DUMMYFUNCTION("""COMPUTED_VALUE"""),"ANGEL SARRION ALBA")</f>
        <v>ANGEL SARRION ALBA</v>
      </c>
      <c r="J739" s="57">
        <f ca="1">IFERROR(__xludf.DUMMYFUNCTION("""COMPUTED_VALUE"""),46098)</f>
        <v>46098</v>
      </c>
      <c r="K739" s="33" t="str">
        <f ca="1">IFERROR(__xludf.DUMMYFUNCTION("""COMPUTED_VALUE"""),"Prueba")</f>
        <v>Prueba</v>
      </c>
      <c r="L739" s="57">
        <f ca="1">IFERROR(__xludf.DUMMYFUNCTION("""COMPUTED_VALUE"""),46101)</f>
        <v>46101</v>
      </c>
      <c r="M739" s="58" t="str">
        <f ca="1">IFERROR(__xludf.DUMMYFUNCTION("""COMPUTED_VALUE"""),"NO")</f>
        <v>NO</v>
      </c>
      <c r="N739" s="56">
        <f ca="1">IFERROR(__xludf.DUMMYFUNCTION("""COMPUTED_VALUE"""),2)</f>
        <v>2</v>
      </c>
      <c r="O739" s="64" t="str">
        <f ca="1">IFERROR(__xludf.DUMMYFUNCTION("""COMPUTED_VALUE"""),"QUIET")</f>
        <v>QUIET</v>
      </c>
      <c r="P739" s="62">
        <f ca="1">IFERROR(__xludf.DUMMYFUNCTION("""COMPUTED_VALUE"""),2718.18)</f>
        <v>2718.18</v>
      </c>
      <c r="Q739" s="33" t="str">
        <f ca="1">IFERROR(__xludf.DUMMYFUNCTION("""COMPUTED_VALUE"""),"Iván Sánchez")</f>
        <v>Iván Sánchez</v>
      </c>
      <c r="R739" s="33" t="str">
        <f ca="1">IFERROR(__xludf.DUMMYFUNCTION("""COMPUTED_VALUE"""),"Dra, Laura Arias Gómez")</f>
        <v>Dra, Laura Arias Gómez</v>
      </c>
      <c r="S739" s="61" t="str">
        <f ca="1">IFERROR(__xludf.DUMMYFUNCTION("""COMPUTED_VALUE"""),"03 ORL")</f>
        <v>03 ORL</v>
      </c>
      <c r="T739" s="33" t="str">
        <f ca="1">IFERROR(__xludf.DUMMYFUNCTION("""COMPUTED_VALUE"""),"06 ORL")</f>
        <v>06 ORL</v>
      </c>
      <c r="U739" s="62"/>
      <c r="W739" s="61"/>
      <c r="X739" s="62"/>
    </row>
    <row r="740" spans="2:24" ht="16">
      <c r="B740" s="67" t="str">
        <f t="shared" ca="1" si="3"/>
        <v>#N/</v>
      </c>
      <c r="C740" s="64" t="str">
        <f ca="1">IFERROR(__xludf.DUMMYFUNCTION("""COMPUTED_VALUE"""),"#N/A")</f>
        <v>#N/A</v>
      </c>
      <c r="D740" s="33" t="str">
        <f ca="1">IFERROR(__xludf.DUMMYFUNCTION("""COMPUTED_VALUE"""),"PROPIOS")</f>
        <v>PROPIOS</v>
      </c>
      <c r="E740" s="33">
        <f ca="1">IFERROR(__xludf.DUMMYFUNCTION("""COMPUTED_VALUE"""),2026)</f>
        <v>2026</v>
      </c>
      <c r="F740" s="56">
        <f ca="1">IFERROR(__xludf.DUMMYFUNCTION("""COMPUTED_VALUE"""),1)</f>
        <v>1</v>
      </c>
      <c r="G740" s="33" t="str">
        <f ca="1">IFERROR(__xludf.DUMMYFUNCTION("""COMPUTED_VALUE"""),"Murcia")</f>
        <v>Murcia</v>
      </c>
      <c r="H740" s="33" t="str">
        <f ca="1">IFERROR(__xludf.DUMMYFUNCTION("""COMPUTED_VALUE"""),"C202618104423151915")</f>
        <v>C202618104423151915</v>
      </c>
      <c r="I740" s="33" t="str">
        <f ca="1">IFERROR(__xludf.DUMMYFUNCTION("""COMPUTED_VALUE"""),"ANTONIO GRIGNAFFINI")</f>
        <v>ANTONIO GRIGNAFFINI</v>
      </c>
      <c r="J740" s="57">
        <f ca="1">IFERROR(__xludf.DUMMYFUNCTION("""COMPUTED_VALUE"""),46030)</f>
        <v>46030</v>
      </c>
      <c r="K740" s="33" t="str">
        <f ca="1">IFERROR(__xludf.DUMMYFUNCTION("""COMPUTED_VALUE"""),"Presupuesto")</f>
        <v>Presupuesto</v>
      </c>
      <c r="L740" s="57">
        <f ca="1">IFERROR(__xludf.DUMMYFUNCTION("""COMPUTED_VALUE"""),46035)</f>
        <v>46035</v>
      </c>
      <c r="M740" s="64" t="str">
        <f ca="1">IFERROR(__xludf.DUMMYFUNCTION("""COMPUTED_VALUE"""),"NO")</f>
        <v>NO</v>
      </c>
      <c r="N740" s="56">
        <f ca="1">IFERROR(__xludf.DUMMYFUNCTION("""COMPUTED_VALUE"""),2)</f>
        <v>2</v>
      </c>
      <c r="O740" s="64" t="str">
        <f ca="1">IFERROR(__xludf.DUMMYFUNCTION("""COMPUTED_VALUE"""),"QUIET")</f>
        <v>QUIET</v>
      </c>
      <c r="P740" s="62">
        <f ca="1">IFERROR(__xludf.DUMMYFUNCTION("""COMPUTED_VALUE"""),2718.18)</f>
        <v>2718.18</v>
      </c>
      <c r="Q740" s="33" t="str">
        <f ca="1">IFERROR(__xludf.DUMMYFUNCTION("""COMPUTED_VALUE"""),"Iván Sánchez")</f>
        <v>Iván Sánchez</v>
      </c>
      <c r="R740" s="33" t="str">
        <f ca="1">IFERROR(__xludf.DUMMYFUNCTION("""COMPUTED_VALUE"""),"Dra, Alejandra Jara Maquilón")</f>
        <v>Dra, Alejandra Jara Maquilón</v>
      </c>
      <c r="S740" s="61" t="str">
        <f ca="1">IFERROR(__xludf.DUMMYFUNCTION("""COMPUTED_VALUE"""),"03 ORL")</f>
        <v>03 ORL</v>
      </c>
      <c r="T740" s="33" t="str">
        <f ca="1">IFERROR(__xludf.DUMMYFUNCTION("""COMPUTED_VALUE"""),"06 ORL")</f>
        <v>06 ORL</v>
      </c>
      <c r="U740" s="62"/>
      <c r="W740" s="61"/>
      <c r="X740" s="62"/>
    </row>
    <row r="741" spans="2:24" ht="16">
      <c r="B741" s="67" t="str">
        <f t="shared" ca="1" si="3"/>
        <v>#N/</v>
      </c>
      <c r="C741" s="64" t="str">
        <f ca="1">IFERROR(__xludf.DUMMYFUNCTION("""COMPUTED_VALUE"""),"#N/A")</f>
        <v>#N/A</v>
      </c>
      <c r="D741" s="33" t="str">
        <f ca="1">IFERROR(__xludf.DUMMYFUNCTION("""COMPUTED_VALUE"""),"PROPIOS")</f>
        <v>PROPIOS</v>
      </c>
      <c r="E741" s="33">
        <f ca="1">IFERROR(__xludf.DUMMYFUNCTION("""COMPUTED_VALUE"""),2026)</f>
        <v>2026</v>
      </c>
      <c r="F741" s="56">
        <f ca="1">IFERROR(__xludf.DUMMYFUNCTION("""COMPUTED_VALUE"""),3)</f>
        <v>3</v>
      </c>
      <c r="G741" s="33" t="str">
        <f ca="1">IFERROR(__xludf.DUMMYFUNCTION("""COMPUTED_VALUE"""),"Murcia")</f>
        <v>Murcia</v>
      </c>
      <c r="H741" s="33" t="str">
        <f ca="1">IFERROR(__xludf.DUMMYFUNCTION("""COMPUTED_VALUE"""),"C202622411297642785")</f>
        <v>C202622411297642785</v>
      </c>
      <c r="I741" s="33" t="str">
        <f ca="1">IFERROR(__xludf.DUMMYFUNCTION("""COMPUTED_VALUE"""),"ANTONIO MARTINEZ MARTINEZ")</f>
        <v>ANTONIO MARTINEZ MARTINEZ</v>
      </c>
      <c r="J741" s="57">
        <f ca="1">IFERROR(__xludf.DUMMYFUNCTION("""COMPUTED_VALUE"""),46077)</f>
        <v>46077</v>
      </c>
      <c r="K741" s="33" t="str">
        <f ca="1">IFERROR(__xludf.DUMMYFUNCTION("""COMPUTED_VALUE"""),"Devuelve")</f>
        <v>Devuelve</v>
      </c>
      <c r="L741" s="57">
        <f ca="1">IFERROR(__xludf.DUMMYFUNCTION("""COMPUTED_VALUE"""),46105)</f>
        <v>46105</v>
      </c>
      <c r="M741" s="64" t="str">
        <f ca="1">IFERROR(__xludf.DUMMYFUNCTION("""COMPUTED_VALUE"""),"NO")</f>
        <v>NO</v>
      </c>
      <c r="N741" s="56">
        <f ca="1">IFERROR(__xludf.DUMMYFUNCTION("""COMPUTED_VALUE"""),2)</f>
        <v>2</v>
      </c>
      <c r="O741" s="64" t="str">
        <f ca="1">IFERROR(__xludf.DUMMYFUNCTION("""COMPUTED_VALUE"""),"QUIET")</f>
        <v>QUIET</v>
      </c>
      <c r="P741" s="62">
        <f ca="1">IFERROR(__xludf.DUMMYFUNCTION("""COMPUTED_VALUE"""),2718.18)</f>
        <v>2718.18</v>
      </c>
      <c r="Q741" s="33" t="str">
        <f ca="1">IFERROR(__xludf.DUMMYFUNCTION("""COMPUTED_VALUE"""),"Iván Sánchez")</f>
        <v>Iván Sánchez</v>
      </c>
      <c r="R741" s="33" t="str">
        <f ca="1">IFERROR(__xludf.DUMMYFUNCTION("""COMPUTED_VALUE"""),"Dr, Ignacio Albaladejo Devis")</f>
        <v>Dr, Ignacio Albaladejo Devis</v>
      </c>
      <c r="S741" s="61" t="str">
        <f ca="1">IFERROR(__xludf.DUMMYFUNCTION("""COMPUTED_VALUE"""),"03 ORL")</f>
        <v>03 ORL</v>
      </c>
      <c r="T741" s="33" t="str">
        <f ca="1">IFERROR(__xludf.DUMMYFUNCTION("""COMPUTED_VALUE"""),"06 ORL")</f>
        <v>06 ORL</v>
      </c>
      <c r="U741" s="62"/>
      <c r="W741" s="61"/>
      <c r="X741" s="62"/>
    </row>
    <row r="742" spans="2:24" ht="16">
      <c r="B742" s="67" t="str">
        <f t="shared" ca="1" si="3"/>
        <v>#N/</v>
      </c>
      <c r="C742" s="64" t="str">
        <f ca="1">IFERROR(__xludf.DUMMYFUNCTION("""COMPUTED_VALUE"""),"#N/A")</f>
        <v>#N/A</v>
      </c>
      <c r="D742" s="33" t="str">
        <f ca="1">IFERROR(__xludf.DUMMYFUNCTION("""COMPUTED_VALUE"""),"PROPIOS")</f>
        <v>PROPIOS</v>
      </c>
      <c r="E742" s="33">
        <f ca="1">IFERROR(__xludf.DUMMYFUNCTION("""COMPUTED_VALUE"""),2026)</f>
        <v>2026</v>
      </c>
      <c r="F742" s="56">
        <f ca="1">IFERROR(__xludf.DUMMYFUNCTION("""COMPUTED_VALUE"""),2)</f>
        <v>2</v>
      </c>
      <c r="G742" s="33" t="str">
        <f ca="1">IFERROR(__xludf.DUMMYFUNCTION("""COMPUTED_VALUE"""),"Murcia")</f>
        <v>Murcia</v>
      </c>
      <c r="H742" s="33" t="str">
        <f ca="1">IFERROR(__xludf.DUMMYFUNCTION("""COMPUTED_VALUE"""),"C202612717181496620")</f>
        <v>C202612717181496620</v>
      </c>
      <c r="I742" s="33" t="str">
        <f ca="1">IFERROR(__xludf.DUMMYFUNCTION("""COMPUTED_VALUE"""),"AURORA CRERSPO CARRILLO")</f>
        <v>AURORA CRERSPO CARRILLO</v>
      </c>
      <c r="J742" s="57">
        <f ca="1">IFERROR(__xludf.DUMMYFUNCTION("""COMPUTED_VALUE"""),46049)</f>
        <v>46049</v>
      </c>
      <c r="K742" s="33" t="str">
        <f ca="1">IFERROR(__xludf.DUMMYFUNCTION("""COMPUTED_VALUE"""),"Presupuesto")</f>
        <v>Presupuesto</v>
      </c>
      <c r="L742" s="57">
        <f ca="1">IFERROR(__xludf.DUMMYFUNCTION("""COMPUTED_VALUE"""),46055)</f>
        <v>46055</v>
      </c>
      <c r="M742" s="64" t="str">
        <f ca="1">IFERROR(__xludf.DUMMYFUNCTION("""COMPUTED_VALUE"""),"NO")</f>
        <v>NO</v>
      </c>
      <c r="N742" s="56">
        <f ca="1">IFERROR(__xludf.DUMMYFUNCTION("""COMPUTED_VALUE"""),1)</f>
        <v>1</v>
      </c>
      <c r="O742" s="64" t="str">
        <f ca="1">IFERROR(__xludf.DUMMYFUNCTION("""COMPUTED_VALUE"""),"CONFORT")</f>
        <v>CONFORT</v>
      </c>
      <c r="P742" s="62">
        <f ca="1">IFERROR(__xludf.DUMMYFUNCTION("""COMPUTED_VALUE"""),2180.91)</f>
        <v>2180.91</v>
      </c>
      <c r="Q742" s="33" t="str">
        <f ca="1">IFERROR(__xludf.DUMMYFUNCTION("""COMPUTED_VALUE"""),"Iván Sánchez")</f>
        <v>Iván Sánchez</v>
      </c>
      <c r="R742" s="33" t="str">
        <f ca="1">IFERROR(__xludf.DUMMYFUNCTION("""COMPUTED_VALUE"""),"Dra, María Agustina Sevilla García")</f>
        <v>Dra, María Agustina Sevilla García</v>
      </c>
      <c r="S742" s="61" t="str">
        <f ca="1">IFERROR(__xludf.DUMMYFUNCTION("""COMPUTED_VALUE"""),"03 ORL")</f>
        <v>03 ORL</v>
      </c>
      <c r="T742" s="33" t="str">
        <f ca="1">IFERROR(__xludf.DUMMYFUNCTION("""COMPUTED_VALUE"""),"06 ORL")</f>
        <v>06 ORL</v>
      </c>
      <c r="U742" s="62"/>
      <c r="W742" s="61"/>
      <c r="X742" s="62"/>
    </row>
    <row r="743" spans="2:24" ht="16">
      <c r="B743" s="67" t="str">
        <f t="shared" ca="1" si="3"/>
        <v>#N/</v>
      </c>
      <c r="C743" s="64" t="str">
        <f ca="1">IFERROR(__xludf.DUMMYFUNCTION("""COMPUTED_VALUE"""),"#N/A")</f>
        <v>#N/A</v>
      </c>
      <c r="D743" s="33" t="str">
        <f ca="1">IFERROR(__xludf.DUMMYFUNCTION("""COMPUTED_VALUE"""),"PROPIOS")</f>
        <v>PROPIOS</v>
      </c>
      <c r="E743" s="33">
        <f ca="1">IFERROR(__xludf.DUMMYFUNCTION("""COMPUTED_VALUE"""),2026)</f>
        <v>2026</v>
      </c>
      <c r="F743" s="56">
        <f ca="1">IFERROR(__xludf.DUMMYFUNCTION("""COMPUTED_VALUE"""),1)</f>
        <v>1</v>
      </c>
      <c r="G743" s="33" t="str">
        <f ca="1">IFERROR(__xludf.DUMMYFUNCTION("""COMPUTED_VALUE"""),"Murcia")</f>
        <v>Murcia</v>
      </c>
      <c r="H743" s="33" t="str">
        <f ca="1">IFERROR(__xludf.DUMMYFUNCTION("""COMPUTED_VALUE"""),"C202617102020980821")</f>
        <v>C202617102020980821</v>
      </c>
      <c r="I743" s="33" t="str">
        <f ca="1">IFERROR(__xludf.DUMMYFUNCTION("""COMPUTED_VALUE"""),"DIEGO ZABALA DIAZ")</f>
        <v>DIEGO ZABALA DIAZ</v>
      </c>
      <c r="J743" s="57">
        <f ca="1">IFERROR(__xludf.DUMMYFUNCTION("""COMPUTED_VALUE"""),46029)</f>
        <v>46029</v>
      </c>
      <c r="K743" s="33" t="str">
        <f ca="1">IFERROR(__xludf.DUMMYFUNCTION("""COMPUTED_VALUE"""),"Presupuesto")</f>
        <v>Presupuesto</v>
      </c>
      <c r="L743" s="57">
        <f ca="1">IFERROR(__xludf.DUMMYFUNCTION("""COMPUTED_VALUE"""),46030)</f>
        <v>46030</v>
      </c>
      <c r="M743" s="64" t="str">
        <f ca="1">IFERROR(__xludf.DUMMYFUNCTION("""COMPUTED_VALUE"""),"NO")</f>
        <v>NO</v>
      </c>
      <c r="N743" s="56">
        <f ca="1">IFERROR(__xludf.DUMMYFUNCTION("""COMPUTED_VALUE"""),2)</f>
        <v>2</v>
      </c>
      <c r="O743" s="64" t="str">
        <f ca="1">IFERROR(__xludf.DUMMYFUNCTION("""COMPUTED_VALUE"""),"QUIET")</f>
        <v>QUIET</v>
      </c>
      <c r="P743" s="62">
        <f ca="1">IFERROR(__xludf.DUMMYFUNCTION("""COMPUTED_VALUE"""),2718.18)</f>
        <v>2718.18</v>
      </c>
      <c r="Q743" s="33" t="str">
        <f ca="1">IFERROR(__xludf.DUMMYFUNCTION("""COMPUTED_VALUE"""),"Iván Sánchez")</f>
        <v>Iván Sánchez</v>
      </c>
      <c r="R743" s="33" t="str">
        <f ca="1">IFERROR(__xludf.DUMMYFUNCTION("""COMPUTED_VALUE"""),"Dr, Jesús Miguel Iniesta Turpín")</f>
        <v>Dr, Jesús Miguel Iniesta Turpín</v>
      </c>
      <c r="S743" s="61" t="str">
        <f ca="1">IFERROR(__xludf.DUMMYFUNCTION("""COMPUTED_VALUE"""),"03 ORL")</f>
        <v>03 ORL</v>
      </c>
      <c r="T743" s="33" t="str">
        <f ca="1">IFERROR(__xludf.DUMMYFUNCTION("""COMPUTED_VALUE"""),"06 ORL")</f>
        <v>06 ORL</v>
      </c>
      <c r="U743" s="62"/>
      <c r="W743" s="61"/>
      <c r="X743" s="62"/>
    </row>
    <row r="744" spans="2:24" ht="16">
      <c r="B744" s="67" t="str">
        <f t="shared" ca="1" si="3"/>
        <v>#N/</v>
      </c>
      <c r="C744" s="64" t="str">
        <f ca="1">IFERROR(__xludf.DUMMYFUNCTION("""COMPUTED_VALUE"""),"#N/A")</f>
        <v>#N/A</v>
      </c>
      <c r="D744" s="33" t="str">
        <f ca="1">IFERROR(__xludf.DUMMYFUNCTION("""COMPUTED_VALUE"""),"PROPIOS")</f>
        <v>PROPIOS</v>
      </c>
      <c r="E744" s="33">
        <f ca="1">IFERROR(__xludf.DUMMYFUNCTION("""COMPUTED_VALUE"""),2026)</f>
        <v>2026</v>
      </c>
      <c r="F744" s="56">
        <f ca="1">IFERROR(__xludf.DUMMYFUNCTION("""COMPUTED_VALUE"""),3)</f>
        <v>3</v>
      </c>
      <c r="G744" s="33" t="str">
        <f ca="1">IFERROR(__xludf.DUMMYFUNCTION("""COMPUTED_VALUE"""),"Murcia")</f>
        <v>Murcia</v>
      </c>
      <c r="H744" s="33" t="str">
        <f ca="1">IFERROR(__xludf.DUMMYFUNCTION("""COMPUTED_VALUE"""),"C202632510164794857")</f>
        <v>C202632510164794857</v>
      </c>
      <c r="I744" s="33" t="str">
        <f ca="1">IFERROR(__xludf.DUMMYFUNCTION("""COMPUTED_VALUE"""),"DOLORES MANUEL NAVARRO")</f>
        <v>DOLORES MANUEL NAVARRO</v>
      </c>
      <c r="J744" s="57">
        <f ca="1">IFERROR(__xludf.DUMMYFUNCTION("""COMPUTED_VALUE"""),46106)</f>
        <v>46106</v>
      </c>
      <c r="K744" s="33" t="str">
        <f ca="1">IFERROR(__xludf.DUMMYFUNCTION("""COMPUTED_VALUE"""),"Prueba")</f>
        <v>Prueba</v>
      </c>
      <c r="L744" s="57">
        <f ca="1">IFERROR(__xludf.DUMMYFUNCTION("""COMPUTED_VALUE"""),46112)</f>
        <v>46112</v>
      </c>
      <c r="M744" s="64" t="str">
        <f ca="1">IFERROR(__xludf.DUMMYFUNCTION("""COMPUTED_VALUE"""),"NO")</f>
        <v>NO</v>
      </c>
      <c r="N744" s="56">
        <f ca="1">IFERROR(__xludf.DUMMYFUNCTION("""COMPUTED_VALUE"""),2)</f>
        <v>2</v>
      </c>
      <c r="O744" s="64" t="str">
        <f ca="1">IFERROR(__xludf.DUMMYFUNCTION("""COMPUTED_VALUE"""),"QUIET")</f>
        <v>QUIET</v>
      </c>
      <c r="P744" s="62">
        <f ca="1">IFERROR(__xludf.DUMMYFUNCTION("""COMPUTED_VALUE"""),2718.19)</f>
        <v>2718.19</v>
      </c>
      <c r="Q744" s="33" t="str">
        <f ca="1">IFERROR(__xludf.DUMMYFUNCTION("""COMPUTED_VALUE"""),"Iván Sánchez")</f>
        <v>Iván Sánchez</v>
      </c>
      <c r="R744" s="33" t="str">
        <f ca="1">IFERROR(__xludf.DUMMYFUNCTION("""COMPUTED_VALUE"""),"Dra, María López Robles")</f>
        <v>Dra, María López Robles</v>
      </c>
      <c r="S744" s="61" t="str">
        <f ca="1">IFERROR(__xludf.DUMMYFUNCTION("""COMPUTED_VALUE"""),"03 ORL")</f>
        <v>03 ORL</v>
      </c>
      <c r="T744" s="33" t="str">
        <f ca="1">IFERROR(__xludf.DUMMYFUNCTION("""COMPUTED_VALUE"""),"06 ORL")</f>
        <v>06 ORL</v>
      </c>
      <c r="U744" s="62"/>
      <c r="W744" s="61"/>
      <c r="X744" s="62"/>
    </row>
    <row r="745" spans="2:24" ht="16">
      <c r="B745" s="67" t="str">
        <f t="shared" ca="1" si="3"/>
        <v>#N/</v>
      </c>
      <c r="C745" s="64" t="str">
        <f ca="1">IFERROR(__xludf.DUMMYFUNCTION("""COMPUTED_VALUE"""),"#N/A")</f>
        <v>#N/A</v>
      </c>
      <c r="D745" s="33" t="str">
        <f ca="1">IFERROR(__xludf.DUMMYFUNCTION("""COMPUTED_VALUE"""),"PROPIOS")</f>
        <v>PROPIOS</v>
      </c>
      <c r="E745" s="33">
        <f ca="1">IFERROR(__xludf.DUMMYFUNCTION("""COMPUTED_VALUE"""),2026)</f>
        <v>2026</v>
      </c>
      <c r="F745" s="56">
        <f ca="1">IFERROR(__xludf.DUMMYFUNCTION("""COMPUTED_VALUE"""),3)</f>
        <v>3</v>
      </c>
      <c r="G745" s="33" t="str">
        <f ca="1">IFERROR(__xludf.DUMMYFUNCTION("""COMPUTED_VALUE"""),"Murcia")</f>
        <v>Murcia</v>
      </c>
      <c r="H745" s="33" t="str">
        <f ca="1">IFERROR(__xludf.DUMMYFUNCTION("""COMPUTED_VALUE"""),"C202634114159839414")</f>
        <v>C202634114159839414</v>
      </c>
      <c r="I745" s="33" t="str">
        <f ca="1">IFERROR(__xludf.DUMMYFUNCTION("""COMPUTED_VALUE"""),"ENCARNACION FERNANDEZ TAPIA")</f>
        <v>ENCARNACION FERNANDEZ TAPIA</v>
      </c>
      <c r="J745" s="57">
        <f ca="1">IFERROR(__xludf.DUMMYFUNCTION("""COMPUTED_VALUE"""),46085)</f>
        <v>46085</v>
      </c>
      <c r="K745" s="33" t="str">
        <f ca="1">IFERROR(__xludf.DUMMYFUNCTION("""COMPUTED_VALUE"""),"Prueba")</f>
        <v>Prueba</v>
      </c>
      <c r="L745" s="57">
        <f ca="1">IFERROR(__xludf.DUMMYFUNCTION("""COMPUTED_VALUE"""),46106)</f>
        <v>46106</v>
      </c>
      <c r="M745" s="64" t="str">
        <f ca="1">IFERROR(__xludf.DUMMYFUNCTION("""COMPUTED_VALUE"""),"NO")</f>
        <v>NO</v>
      </c>
      <c r="N745" s="56">
        <f ca="1">IFERROR(__xludf.DUMMYFUNCTION("""COMPUTED_VALUE"""),2)</f>
        <v>2</v>
      </c>
      <c r="O745" s="64" t="str">
        <f ca="1">IFERROR(__xludf.DUMMYFUNCTION("""COMPUTED_VALUE"""),"QUIET")</f>
        <v>QUIET</v>
      </c>
      <c r="P745" s="62">
        <f ca="1">IFERROR(__xludf.DUMMYFUNCTION("""COMPUTED_VALUE"""),2718.18)</f>
        <v>2718.18</v>
      </c>
      <c r="Q745" s="33" t="str">
        <f ca="1">IFERROR(__xludf.DUMMYFUNCTION("""COMPUTED_VALUE"""),"Iván Sánchez")</f>
        <v>Iván Sánchez</v>
      </c>
      <c r="R745" s="33" t="str">
        <f ca="1">IFERROR(__xludf.DUMMYFUNCTION("""COMPUTED_VALUE"""),"Dra, María Teresa Almela Rojo")</f>
        <v>Dra, María Teresa Almela Rojo</v>
      </c>
      <c r="S745" s="61" t="str">
        <f ca="1">IFERROR(__xludf.DUMMYFUNCTION("""COMPUTED_VALUE"""),"03 ORL")</f>
        <v>03 ORL</v>
      </c>
      <c r="T745" s="33" t="str">
        <f ca="1">IFERROR(__xludf.DUMMYFUNCTION("""COMPUTED_VALUE"""),"06 ORL")</f>
        <v>06 ORL</v>
      </c>
      <c r="U745" s="62"/>
      <c r="W745" s="61"/>
      <c r="X745" s="62"/>
    </row>
    <row r="746" spans="2:24" ht="16">
      <c r="B746" s="67" t="str">
        <f t="shared" ca="1" si="3"/>
        <v>#N/</v>
      </c>
      <c r="C746" s="64" t="str">
        <f ca="1">IFERROR(__xludf.DUMMYFUNCTION("""COMPUTED_VALUE"""),"#N/A")</f>
        <v>#N/A</v>
      </c>
      <c r="D746" s="33" t="str">
        <f ca="1">IFERROR(__xludf.DUMMYFUNCTION("""COMPUTED_VALUE"""),"PROPIOS")</f>
        <v>PROPIOS</v>
      </c>
      <c r="E746" s="33">
        <f ca="1">IFERROR(__xludf.DUMMYFUNCTION("""COMPUTED_VALUE"""),2026)</f>
        <v>2026</v>
      </c>
      <c r="F746" s="56">
        <f ca="1">IFERROR(__xludf.DUMMYFUNCTION("""COMPUTED_VALUE"""),3)</f>
        <v>3</v>
      </c>
      <c r="G746" s="33" t="str">
        <f ca="1">IFERROR(__xludf.DUMMYFUNCTION("""COMPUTED_VALUE"""),"Murcia")</f>
        <v>Murcia</v>
      </c>
      <c r="H746" s="33" t="str">
        <f ca="1">IFERROR(__xludf.DUMMYFUNCTION("""COMPUTED_VALUE"""),"C202622612810143592")</f>
        <v>C202622612810143592</v>
      </c>
      <c r="I746" s="33" t="str">
        <f ca="1">IFERROR(__xludf.DUMMYFUNCTION("""COMPUTED_VALUE"""),"FRANCISCA PINEDA MORENO")</f>
        <v>FRANCISCA PINEDA MORENO</v>
      </c>
      <c r="J746" s="57">
        <f ca="1">IFERROR(__xludf.DUMMYFUNCTION("""COMPUTED_VALUE"""),46079)</f>
        <v>46079</v>
      </c>
      <c r="K746" s="33" t="str">
        <f ca="1">IFERROR(__xludf.DUMMYFUNCTION("""COMPUTED_VALUE"""),"Presupuesto")</f>
        <v>Presupuesto</v>
      </c>
      <c r="L746" s="57">
        <f ca="1">IFERROR(__xludf.DUMMYFUNCTION("""COMPUTED_VALUE"""),46090)</f>
        <v>46090</v>
      </c>
      <c r="M746" s="64" t="str">
        <f ca="1">IFERROR(__xludf.DUMMYFUNCTION("""COMPUTED_VALUE"""),"NO")</f>
        <v>NO</v>
      </c>
      <c r="N746" s="56">
        <f ca="1">IFERROR(__xludf.DUMMYFUNCTION("""COMPUTED_VALUE"""),2)</f>
        <v>2</v>
      </c>
      <c r="O746" s="64" t="str">
        <f ca="1">IFERROR(__xludf.DUMMYFUNCTION("""COMPUTED_VALUE"""),"TRIAL")</f>
        <v>TRIAL</v>
      </c>
      <c r="P746" s="62">
        <f ca="1">IFERROR(__xludf.DUMMYFUNCTION("""COMPUTED_VALUE"""),3631.82)</f>
        <v>3631.82</v>
      </c>
      <c r="Q746" s="33" t="str">
        <f ca="1">IFERROR(__xludf.DUMMYFUNCTION("""COMPUTED_VALUE"""),"Iván Sánchez")</f>
        <v>Iván Sánchez</v>
      </c>
      <c r="R746" s="33" t="str">
        <f ca="1">IFERROR(__xludf.DUMMYFUNCTION("""COMPUTED_VALUE"""),"Dra, Vania Novoa Juiz")</f>
        <v>Dra, Vania Novoa Juiz</v>
      </c>
      <c r="S746" s="61" t="str">
        <f ca="1">IFERROR(__xludf.DUMMYFUNCTION("""COMPUTED_VALUE"""),"03 ORL")</f>
        <v>03 ORL</v>
      </c>
      <c r="T746" s="33" t="str">
        <f ca="1">IFERROR(__xludf.DUMMYFUNCTION("""COMPUTED_VALUE"""),"06 ORL")</f>
        <v>06 ORL</v>
      </c>
      <c r="U746" s="62"/>
      <c r="W746" s="61"/>
      <c r="X746" s="62"/>
    </row>
    <row r="747" spans="2:24" ht="16">
      <c r="B747" s="67" t="str">
        <f t="shared" ca="1" si="3"/>
        <v>#N/</v>
      </c>
      <c r="C747" s="64" t="str">
        <f ca="1">IFERROR(__xludf.DUMMYFUNCTION("""COMPUTED_VALUE"""),"#N/A")</f>
        <v>#N/A</v>
      </c>
      <c r="D747" s="33" t="str">
        <f ca="1">IFERROR(__xludf.DUMMYFUNCTION("""COMPUTED_VALUE"""),"PROPIOS")</f>
        <v>PROPIOS</v>
      </c>
      <c r="E747" s="33">
        <f ca="1">IFERROR(__xludf.DUMMYFUNCTION("""COMPUTED_VALUE"""),2026)</f>
        <v>2026</v>
      </c>
      <c r="F747" s="56">
        <f ca="1">IFERROR(__xludf.DUMMYFUNCTION("""COMPUTED_VALUE"""),4)</f>
        <v>4</v>
      </c>
      <c r="G747" s="33" t="str">
        <f ca="1">IFERROR(__xludf.DUMMYFUNCTION("""COMPUTED_VALUE"""),"Murcia")</f>
        <v>Murcia</v>
      </c>
      <c r="H747" s="33" t="str">
        <f ca="1">IFERROR(__xludf.DUMMYFUNCTION("""COMPUTED_VALUE"""),"C202621911155422098")</f>
        <v>C202621911155422098</v>
      </c>
      <c r="I747" s="33" t="str">
        <f ca="1">IFERROR(__xludf.DUMMYFUNCTION("""COMPUTED_VALUE"""),"FRANCISCO MOYA ECIJA")</f>
        <v>FRANCISCO MOYA ECIJA</v>
      </c>
      <c r="J747" s="57">
        <f ca="1">IFERROR(__xludf.DUMMYFUNCTION("""COMPUTED_VALUE"""),46072)</f>
        <v>46072</v>
      </c>
      <c r="K747" s="33" t="str">
        <f ca="1">IFERROR(__xludf.DUMMYFUNCTION("""COMPUTED_VALUE"""),"Pedido")</f>
        <v>Pedido</v>
      </c>
      <c r="L747" s="57">
        <f ca="1">IFERROR(__xludf.DUMMYFUNCTION("""COMPUTED_VALUE"""),46118)</f>
        <v>46118</v>
      </c>
      <c r="M747" s="64" t="str">
        <f ca="1">IFERROR(__xludf.DUMMYFUNCTION("""COMPUTED_VALUE"""),"NO")</f>
        <v>NO</v>
      </c>
      <c r="N747" s="56">
        <f ca="1">IFERROR(__xludf.DUMMYFUNCTION("""COMPUTED_VALUE"""),2)</f>
        <v>2</v>
      </c>
      <c r="O747" s="64" t="str">
        <f ca="1">IFERROR(__xludf.DUMMYFUNCTION("""COMPUTED_VALUE"""),"QUIET")</f>
        <v>QUIET</v>
      </c>
      <c r="P747" s="62">
        <f ca="1">IFERROR(__xludf.DUMMYFUNCTION("""COMPUTED_VALUE"""),2718.18)</f>
        <v>2718.18</v>
      </c>
      <c r="Q747" s="33" t="str">
        <f ca="1">IFERROR(__xludf.DUMMYFUNCTION("""COMPUTED_VALUE"""),"Iván Sánchez")</f>
        <v>Iván Sánchez</v>
      </c>
      <c r="R747" s="33" t="str">
        <f ca="1">IFERROR(__xludf.DUMMYFUNCTION("""COMPUTED_VALUE"""),"Dra, María Agustina Sevilla García")</f>
        <v>Dra, María Agustina Sevilla García</v>
      </c>
      <c r="S747" s="61" t="str">
        <f ca="1">IFERROR(__xludf.DUMMYFUNCTION("""COMPUTED_VALUE"""),"03 ORL")</f>
        <v>03 ORL</v>
      </c>
      <c r="T747" s="33" t="str">
        <f ca="1">IFERROR(__xludf.DUMMYFUNCTION("""COMPUTED_VALUE"""),"22 AUDIOMETRIA CLINICA")</f>
        <v>22 AUDIOMETRIA CLINICA</v>
      </c>
      <c r="U747" s="62"/>
      <c r="W747" s="61"/>
      <c r="X747" s="62"/>
    </row>
    <row r="748" spans="2:24" ht="16">
      <c r="B748" s="67" t="str">
        <f t="shared" ca="1" si="3"/>
        <v>#N/</v>
      </c>
      <c r="C748" s="64" t="str">
        <f ca="1">IFERROR(__xludf.DUMMYFUNCTION("""COMPUTED_VALUE"""),"#N/A")</f>
        <v>#N/A</v>
      </c>
      <c r="D748" s="33" t="str">
        <f ca="1">IFERROR(__xludf.DUMMYFUNCTION("""COMPUTED_VALUE"""),"PROPIOS")</f>
        <v>PROPIOS</v>
      </c>
      <c r="E748" s="33">
        <f ca="1">IFERROR(__xludf.DUMMYFUNCTION("""COMPUTED_VALUE"""),2026)</f>
        <v>2026</v>
      </c>
      <c r="F748" s="56">
        <f ca="1">IFERROR(__xludf.DUMMYFUNCTION("""COMPUTED_VALUE"""),1)</f>
        <v>1</v>
      </c>
      <c r="G748" s="33" t="str">
        <f ca="1">IFERROR(__xludf.DUMMYFUNCTION("""COMPUTED_VALUE"""),"Murcia")</f>
        <v>Murcia</v>
      </c>
      <c r="H748" s="33" t="str">
        <f ca="1">IFERROR(__xludf.DUMMYFUNCTION("""COMPUTED_VALUE"""),"C202611492528028349")</f>
        <v>C202611492528028349</v>
      </c>
      <c r="I748" s="33" t="str">
        <f ca="1">IFERROR(__xludf.DUMMYFUNCTION("""COMPUTED_VALUE"""),"FRANCISCO  SANCHEZ FUERTES")</f>
        <v>FRANCISCO  SANCHEZ FUERTES</v>
      </c>
      <c r="J748" s="57">
        <f ca="1">IFERROR(__xludf.DUMMYFUNCTION("""COMPUTED_VALUE"""),46036)</f>
        <v>46036</v>
      </c>
      <c r="K748" s="33" t="str">
        <f ca="1">IFERROR(__xludf.DUMMYFUNCTION("""COMPUTED_VALUE"""),"Devuelve")</f>
        <v>Devuelve</v>
      </c>
      <c r="L748" s="57">
        <f ca="1">IFERROR(__xludf.DUMMYFUNCTION("""COMPUTED_VALUE"""),46042)</f>
        <v>46042</v>
      </c>
      <c r="M748" s="64" t="str">
        <f ca="1">IFERROR(__xludf.DUMMYFUNCTION("""COMPUTED_VALUE"""),"NO")</f>
        <v>NO</v>
      </c>
      <c r="N748" s="56">
        <f ca="1">IFERROR(__xludf.DUMMYFUNCTION("""COMPUTED_VALUE"""),1)</f>
        <v>1</v>
      </c>
      <c r="O748" s="64" t="str">
        <f ca="1">IFERROR(__xludf.DUMMYFUNCTION("""COMPUTED_VALUE"""),"TRIAL")</f>
        <v>TRIAL</v>
      </c>
      <c r="P748" s="62">
        <f ca="1">IFERROR(__xludf.DUMMYFUNCTION("""COMPUTED_VALUE"""),2481.82)</f>
        <v>2481.8200000000002</v>
      </c>
      <c r="Q748" s="33" t="str">
        <f ca="1">IFERROR(__xludf.DUMMYFUNCTION("""COMPUTED_VALUE"""),"Iván Sánchez")</f>
        <v>Iván Sánchez</v>
      </c>
      <c r="R748" s="33" t="str">
        <f ca="1">IFERROR(__xludf.DUMMYFUNCTION("""COMPUTED_VALUE"""),"Dra, María Agustina Sevilla García")</f>
        <v>Dra, María Agustina Sevilla García</v>
      </c>
      <c r="S748" s="61" t="str">
        <f ca="1">IFERROR(__xludf.DUMMYFUNCTION("""COMPUTED_VALUE"""),"03 ORL")</f>
        <v>03 ORL</v>
      </c>
      <c r="T748" s="33" t="str">
        <f ca="1">IFERROR(__xludf.DUMMYFUNCTION("""COMPUTED_VALUE"""),"06 ORL")</f>
        <v>06 ORL</v>
      </c>
      <c r="U748" s="62"/>
      <c r="W748" s="61"/>
      <c r="X748" s="62"/>
    </row>
    <row r="749" spans="2:24" ht="16">
      <c r="B749" s="67" t="str">
        <f t="shared" ca="1" si="3"/>
        <v>#N/</v>
      </c>
      <c r="C749" s="64" t="str">
        <f ca="1">IFERROR(__xludf.DUMMYFUNCTION("""COMPUTED_VALUE"""),"#N/A")</f>
        <v>#N/A</v>
      </c>
      <c r="D749" s="33" t="str">
        <f ca="1">IFERROR(__xludf.DUMMYFUNCTION("""COMPUTED_VALUE"""),"PROPIOS")</f>
        <v>PROPIOS</v>
      </c>
      <c r="E749" s="33">
        <f ca="1">IFERROR(__xludf.DUMMYFUNCTION("""COMPUTED_VALUE"""),2026)</f>
        <v>2026</v>
      </c>
      <c r="F749" s="56">
        <f ca="1">IFERROR(__xludf.DUMMYFUNCTION("""COMPUTED_VALUE"""),2)</f>
        <v>2</v>
      </c>
      <c r="G749" s="33" t="str">
        <f ca="1">IFERROR(__xludf.DUMMYFUNCTION("""COMPUTED_VALUE"""),"Murcia")</f>
        <v>Murcia</v>
      </c>
      <c r="H749" s="33" t="str">
        <f ca="1">IFERROR(__xludf.DUMMYFUNCTION("""COMPUTED_VALUE"""),"C202612611181223730")</f>
        <v>C202612611181223730</v>
      </c>
      <c r="I749" s="33" t="str">
        <f ca="1">IFERROR(__xludf.DUMMYFUNCTION("""COMPUTED_VALUE"""),"FUENSANTA NICOLAS HERNANDEZ")</f>
        <v>FUENSANTA NICOLAS HERNANDEZ</v>
      </c>
      <c r="J749" s="57">
        <f ca="1">IFERROR(__xludf.DUMMYFUNCTION("""COMPUTED_VALUE"""),46048)</f>
        <v>46048</v>
      </c>
      <c r="K749" s="33" t="str">
        <f ca="1">IFERROR(__xludf.DUMMYFUNCTION("""COMPUTED_VALUE"""),"Devuelve")</f>
        <v>Devuelve</v>
      </c>
      <c r="L749" s="57">
        <f ca="1">IFERROR(__xludf.DUMMYFUNCTION("""COMPUTED_VALUE"""),46056)</f>
        <v>46056</v>
      </c>
      <c r="M749" s="64" t="str">
        <f ca="1">IFERROR(__xludf.DUMMYFUNCTION("""COMPUTED_VALUE"""),"NO")</f>
        <v>NO</v>
      </c>
      <c r="N749" s="56">
        <f ca="1">IFERROR(__xludf.DUMMYFUNCTION("""COMPUTED_VALUE"""),2)</f>
        <v>2</v>
      </c>
      <c r="O749" s="64" t="str">
        <f ca="1">IFERROR(__xludf.DUMMYFUNCTION("""COMPUTED_VALUE"""),"TRIAL")</f>
        <v>TRIAL</v>
      </c>
      <c r="P749" s="62">
        <f ca="1">IFERROR(__xludf.DUMMYFUNCTION("""COMPUTED_VALUE"""),3631.82)</f>
        <v>3631.82</v>
      </c>
      <c r="Q749" s="33" t="str">
        <f ca="1">IFERROR(__xludf.DUMMYFUNCTION("""COMPUTED_VALUE"""),"Iván Sánchez")</f>
        <v>Iván Sánchez</v>
      </c>
      <c r="R749" s="33" t="str">
        <f ca="1">IFERROR(__xludf.DUMMYFUNCTION("""COMPUTED_VALUE"""),"Dr, Alberto Guillén Martínez")</f>
        <v>Dr, Alberto Guillén Martínez</v>
      </c>
      <c r="S749" s="61" t="str">
        <f ca="1">IFERROR(__xludf.DUMMYFUNCTION("""COMPUTED_VALUE"""),"03 ORL")</f>
        <v>03 ORL</v>
      </c>
      <c r="T749" s="33" t="str">
        <f ca="1">IFERROR(__xludf.DUMMYFUNCTION("""COMPUTED_VALUE"""),"06 ORL")</f>
        <v>06 ORL</v>
      </c>
      <c r="U749" s="62"/>
      <c r="W749" s="61"/>
      <c r="X749" s="62"/>
    </row>
    <row r="750" spans="2:24" ht="16">
      <c r="B750" s="67" t="str">
        <f t="shared" ca="1" si="3"/>
        <v>#N/</v>
      </c>
      <c r="C750" s="64" t="str">
        <f ca="1">IFERROR(__xludf.DUMMYFUNCTION("""COMPUTED_VALUE"""),"#N/A")</f>
        <v>#N/A</v>
      </c>
      <c r="D750" s="33" t="str">
        <f ca="1">IFERROR(__xludf.DUMMYFUNCTION("""COMPUTED_VALUE"""),"PROPIOS")</f>
        <v>PROPIOS</v>
      </c>
      <c r="E750" s="33">
        <f ca="1">IFERROR(__xludf.DUMMYFUNCTION("""COMPUTED_VALUE"""),2026)</f>
        <v>2026</v>
      </c>
      <c r="F750" s="56">
        <f ca="1">IFERROR(__xludf.DUMMYFUNCTION("""COMPUTED_VALUE"""),3)</f>
        <v>3</v>
      </c>
      <c r="G750" s="33" t="str">
        <f ca="1">IFERROR(__xludf.DUMMYFUNCTION("""COMPUTED_VALUE"""),"Murcia")</f>
        <v>Murcia</v>
      </c>
      <c r="H750" s="33" t="str">
        <f ca="1">IFERROR(__xludf.DUMMYFUNCTION("""COMPUTED_VALUE"""),"C20263495055018342")</f>
        <v>C20263495055018342</v>
      </c>
      <c r="I750" s="33" t="str">
        <f ca="1">IFERROR(__xludf.DUMMYFUNCTION("""COMPUTED_VALUE"""),"ISABEL MARTINEZ LLORENTE")</f>
        <v>ISABEL MARTINEZ LLORENTE</v>
      </c>
      <c r="J750" s="57">
        <f ca="1">IFERROR(__xludf.DUMMYFUNCTION("""COMPUTED_VALUE"""),46085)</f>
        <v>46085</v>
      </c>
      <c r="K750" s="33" t="str">
        <f ca="1">IFERROR(__xludf.DUMMYFUNCTION("""COMPUTED_VALUE"""),"Devuelve")</f>
        <v>Devuelve</v>
      </c>
      <c r="L750" s="57">
        <f ca="1">IFERROR(__xludf.DUMMYFUNCTION("""COMPUTED_VALUE"""),46092)</f>
        <v>46092</v>
      </c>
      <c r="M750" s="64" t="str">
        <f ca="1">IFERROR(__xludf.DUMMYFUNCTION("""COMPUTED_VALUE"""),"NO")</f>
        <v>NO</v>
      </c>
      <c r="N750" s="56">
        <f ca="1">IFERROR(__xludf.DUMMYFUNCTION("""COMPUTED_VALUE"""),2)</f>
        <v>2</v>
      </c>
      <c r="O750" s="64" t="str">
        <f ca="1">IFERROR(__xludf.DUMMYFUNCTION("""COMPUTED_VALUE"""),"QUIET")</f>
        <v>QUIET</v>
      </c>
      <c r="P750" s="62">
        <f ca="1">IFERROR(__xludf.DUMMYFUNCTION("""COMPUTED_VALUE"""),2718.19)</f>
        <v>2718.19</v>
      </c>
      <c r="Q750" s="33" t="str">
        <f ca="1">IFERROR(__xludf.DUMMYFUNCTION("""COMPUTED_VALUE"""),"Iván Sánchez")</f>
        <v>Iván Sánchez</v>
      </c>
      <c r="R750" s="33" t="str">
        <f ca="1">IFERROR(__xludf.DUMMYFUNCTION("""COMPUTED_VALUE"""),"Dra, Beatriz Rodríguez González Herrero")</f>
        <v>Dra, Beatriz Rodríguez González Herrero</v>
      </c>
      <c r="S750" s="61" t="str">
        <f ca="1">IFERROR(__xludf.DUMMYFUNCTION("""COMPUTED_VALUE"""),"03 ORL")</f>
        <v>03 ORL</v>
      </c>
      <c r="T750" s="33" t="str">
        <f ca="1">IFERROR(__xludf.DUMMYFUNCTION("""COMPUTED_VALUE"""),"06 ORL")</f>
        <v>06 ORL</v>
      </c>
      <c r="U750" s="62"/>
      <c r="W750" s="61"/>
      <c r="X750" s="62"/>
    </row>
    <row r="751" spans="2:24" ht="16">
      <c r="B751" s="67" t="str">
        <f t="shared" ca="1" si="3"/>
        <v>#N/</v>
      </c>
      <c r="C751" s="64" t="str">
        <f ca="1">IFERROR(__xludf.DUMMYFUNCTION("""COMPUTED_VALUE"""),"#N/A")</f>
        <v>#N/A</v>
      </c>
      <c r="D751" s="33" t="str">
        <f ca="1">IFERROR(__xludf.DUMMYFUNCTION("""COMPUTED_VALUE"""),"PROPIOS")</f>
        <v>PROPIOS</v>
      </c>
      <c r="E751" s="33">
        <f ca="1">IFERROR(__xludf.DUMMYFUNCTION("""COMPUTED_VALUE"""),2026)</f>
        <v>2026</v>
      </c>
      <c r="F751" s="56">
        <f ca="1">IFERROR(__xludf.DUMMYFUNCTION("""COMPUTED_VALUE"""),3)</f>
        <v>3</v>
      </c>
      <c r="G751" s="33" t="str">
        <f ca="1">IFERROR(__xludf.DUMMYFUNCTION("""COMPUTED_VALUE"""),"Murcia")</f>
        <v>Murcia</v>
      </c>
      <c r="H751" s="33" t="str">
        <f ca="1">IFERROR(__xludf.DUMMYFUNCTION("""COMPUTED_VALUE"""),"MUR-1672")</f>
        <v>MUR-1672</v>
      </c>
      <c r="I751" s="33" t="str">
        <f ca="1">IFERROR(__xludf.DUMMYFUNCTION("""COMPUTED_VALUE"""),"JOSE ANTONIO ALCANTARA JUAREZ")</f>
        <v>JOSE ANTONIO ALCANTARA JUAREZ</v>
      </c>
      <c r="J751" s="57">
        <f ca="1">IFERROR(__xludf.DUMMYFUNCTION("""COMPUTED_VALUE"""),45226)</f>
        <v>45226</v>
      </c>
      <c r="K751" s="33" t="str">
        <f ca="1">IFERROR(__xludf.DUMMYFUNCTION("""COMPUTED_VALUE"""),"Devuelve")</f>
        <v>Devuelve</v>
      </c>
      <c r="L751" s="57">
        <f ca="1">IFERROR(__xludf.DUMMYFUNCTION("""COMPUTED_VALUE"""),46101)</f>
        <v>46101</v>
      </c>
      <c r="M751" s="64" t="str">
        <f ca="1">IFERROR(__xludf.DUMMYFUNCTION("""COMPUTED_VALUE"""),"NO")</f>
        <v>NO</v>
      </c>
      <c r="N751" s="56">
        <f ca="1">IFERROR(__xludf.DUMMYFUNCTION("""COMPUTED_VALUE"""),2)</f>
        <v>2</v>
      </c>
      <c r="O751" s="64" t="str">
        <f ca="1">IFERROR(__xludf.DUMMYFUNCTION("""COMPUTED_VALUE"""),"TRIAL")</f>
        <v>TRIAL</v>
      </c>
      <c r="P751" s="62">
        <f ca="1">IFERROR(__xludf.DUMMYFUNCTION("""COMPUTED_VALUE"""),4136.36)</f>
        <v>4136.3599999999997</v>
      </c>
      <c r="Q751" s="33" t="str">
        <f ca="1">IFERROR(__xludf.DUMMYFUNCTION("""COMPUTED_VALUE"""),"Iván Sánchez")</f>
        <v>Iván Sánchez</v>
      </c>
      <c r="R751" s="33" t="str">
        <f ca="1">IFERROR(__xludf.DUMMYFUNCTION("""COMPUTED_VALUE"""),"Dr, Enrique Viviente Rodríguez")</f>
        <v>Dr, Enrique Viviente Rodríguez</v>
      </c>
      <c r="S751" s="61" t="str">
        <f ca="1">IFERROR(__xludf.DUMMYFUNCTION("""COMPUTED_VALUE"""),"03 ORL")</f>
        <v>03 ORL</v>
      </c>
      <c r="T751" s="33" t="str">
        <f ca="1">IFERROR(__xludf.DUMMYFUNCTION("""COMPUTED_VALUE"""),"06 ORL")</f>
        <v>06 ORL</v>
      </c>
      <c r="U751" s="62"/>
      <c r="W751" s="61"/>
      <c r="X751" s="62"/>
    </row>
    <row r="752" spans="2:24" ht="16">
      <c r="B752" s="67" t="str">
        <f t="shared" ca="1" si="3"/>
        <v/>
      </c>
      <c r="C752" s="64"/>
      <c r="D752" s="33" t="str">
        <f ca="1">IFERROR(__xludf.DUMMYFUNCTION("""COMPUTED_VALUE"""),"PROPIOS")</f>
        <v>PROPIOS</v>
      </c>
      <c r="E752" s="33">
        <f ca="1">IFERROR(__xludf.DUMMYFUNCTION("""COMPUTED_VALUE"""),2026)</f>
        <v>2026</v>
      </c>
      <c r="F752" s="56">
        <f ca="1">IFERROR(__xludf.DUMMYFUNCTION("""COMPUTED_VALUE"""),2)</f>
        <v>2</v>
      </c>
      <c r="G752" s="33" t="str">
        <f ca="1">IFERROR(__xludf.DUMMYFUNCTION("""COMPUTED_VALUE"""),"Murcia")</f>
        <v>Murcia</v>
      </c>
      <c r="H752" s="33" t="str">
        <f ca="1">IFERROR(__xludf.DUMMYFUNCTION("""COMPUTED_VALUE"""),"C202612817503768539")</f>
        <v>C202612817503768539</v>
      </c>
      <c r="I752" s="33" t="str">
        <f ca="1">IFERROR(__xludf.DUMMYFUNCTION("""COMPUTED_VALUE"""),"JOSE ANTONIO BALLESTER COMAS")</f>
        <v>JOSE ANTONIO BALLESTER COMAS</v>
      </c>
      <c r="J752" s="57">
        <f ca="1">IFERROR(__xludf.DUMMYFUNCTION("""COMPUTED_VALUE"""),46050)</f>
        <v>46050</v>
      </c>
      <c r="K752" s="33" t="str">
        <f ca="1">IFERROR(__xludf.DUMMYFUNCTION("""COMPUTED_VALUE"""),"Devuelve")</f>
        <v>Devuelve</v>
      </c>
      <c r="L752" s="57">
        <f ca="1">IFERROR(__xludf.DUMMYFUNCTION("""COMPUTED_VALUE"""),46057)</f>
        <v>46057</v>
      </c>
      <c r="M752" s="64" t="str">
        <f ca="1">IFERROR(__xludf.DUMMYFUNCTION("""COMPUTED_VALUE"""),"NO")</f>
        <v>NO</v>
      </c>
      <c r="N752" s="56">
        <f ca="1">IFERROR(__xludf.DUMMYFUNCTION("""COMPUTED_VALUE"""),2)</f>
        <v>2</v>
      </c>
      <c r="O752" s="64" t="str">
        <f ca="1">IFERROR(__xludf.DUMMYFUNCTION("""COMPUTED_VALUE"""),"QUIET")</f>
        <v>QUIET</v>
      </c>
      <c r="P752" s="62">
        <f ca="1">IFERROR(__xludf.DUMMYFUNCTION("""COMPUTED_VALUE"""),2718.18)</f>
        <v>2718.18</v>
      </c>
      <c r="Q752" s="33" t="str">
        <f ca="1">IFERROR(__xludf.DUMMYFUNCTION("""COMPUTED_VALUE"""),"Iván Sánchez")</f>
        <v>Iván Sánchez</v>
      </c>
      <c r="R752" s="33" t="str">
        <f ca="1">IFERROR(__xludf.DUMMYFUNCTION("""COMPUTED_VALUE"""),"No recuerda ORL")</f>
        <v>No recuerda ORL</v>
      </c>
      <c r="S752" s="61" t="str">
        <f ca="1">IFERROR(__xludf.DUMMYFUNCTION("""COMPUTED_VALUE"""),"03 ORL")</f>
        <v>03 ORL</v>
      </c>
      <c r="T752" s="33" t="str">
        <f ca="1">IFERROR(__xludf.DUMMYFUNCTION("""COMPUTED_VALUE"""),"06 ORL")</f>
        <v>06 ORL</v>
      </c>
      <c r="U752" s="62"/>
      <c r="W752" s="61"/>
      <c r="X752" s="62"/>
    </row>
    <row r="753" spans="2:24" ht="16">
      <c r="B753" s="67" t="str">
        <f t="shared" ca="1" si="3"/>
        <v>#N/</v>
      </c>
      <c r="C753" s="64" t="str">
        <f ca="1">IFERROR(__xludf.DUMMYFUNCTION("""COMPUTED_VALUE"""),"#N/A")</f>
        <v>#N/A</v>
      </c>
      <c r="D753" s="33" t="str">
        <f ca="1">IFERROR(__xludf.DUMMYFUNCTION("""COMPUTED_VALUE"""),"PROPIOS")</f>
        <v>PROPIOS</v>
      </c>
      <c r="E753" s="33">
        <f ca="1">IFERROR(__xludf.DUMMYFUNCTION("""COMPUTED_VALUE"""),2026)</f>
        <v>2026</v>
      </c>
      <c r="F753" s="56">
        <f ca="1">IFERROR(__xludf.DUMMYFUNCTION("""COMPUTED_VALUE"""),3)</f>
        <v>3</v>
      </c>
      <c r="G753" s="33" t="str">
        <f ca="1">IFERROR(__xludf.DUMMYFUNCTION("""COMPUTED_VALUE"""),"Murcia")</f>
        <v>Murcia</v>
      </c>
      <c r="H753" s="33" t="str">
        <f ca="1">IFERROR(__xludf.DUMMYFUNCTION("""COMPUTED_VALUE"""),"C20263215582153673")</f>
        <v>C20263215582153673</v>
      </c>
      <c r="I753" s="33" t="str">
        <f ca="1">IFERROR(__xludf.DUMMYFUNCTION("""COMPUTED_VALUE"""),"JOSEFA MERINO MURCIA")</f>
        <v>JOSEFA MERINO MURCIA</v>
      </c>
      <c r="J753" s="57">
        <f ca="1">IFERROR(__xludf.DUMMYFUNCTION("""COMPUTED_VALUE"""),46083)</f>
        <v>46083</v>
      </c>
      <c r="K753" s="33" t="str">
        <f ca="1">IFERROR(__xludf.DUMMYFUNCTION("""COMPUTED_VALUE"""),"Prueba")</f>
        <v>Prueba</v>
      </c>
      <c r="L753" s="57">
        <f ca="1">IFERROR(__xludf.DUMMYFUNCTION("""COMPUTED_VALUE"""),46101)</f>
        <v>46101</v>
      </c>
      <c r="M753" s="64" t="str">
        <f ca="1">IFERROR(__xludf.DUMMYFUNCTION("""COMPUTED_VALUE"""),"NO")</f>
        <v>NO</v>
      </c>
      <c r="N753" s="56">
        <f ca="1">IFERROR(__xludf.DUMMYFUNCTION("""COMPUTED_VALUE"""),1)</f>
        <v>1</v>
      </c>
      <c r="O753" s="64" t="str">
        <f ca="1">IFERROR(__xludf.DUMMYFUNCTION("""COMPUTED_VALUE"""),"CONFORT")</f>
        <v>CONFORT</v>
      </c>
      <c r="P753" s="62">
        <f ca="1">IFERROR(__xludf.DUMMYFUNCTION("""COMPUTED_VALUE"""),2018.18)</f>
        <v>2018.18</v>
      </c>
      <c r="Q753" s="33" t="str">
        <f ca="1">IFERROR(__xludf.DUMMYFUNCTION("""COMPUTED_VALUE"""),"Iván Sánchez")</f>
        <v>Iván Sánchez</v>
      </c>
      <c r="R753" s="33" t="str">
        <f ca="1">IFERROR(__xludf.DUMMYFUNCTION("""COMPUTED_VALUE"""),"Dr, Jesús Miguel Iniesta Turpín")</f>
        <v>Dr, Jesús Miguel Iniesta Turpín</v>
      </c>
      <c r="S753" s="61" t="str">
        <f ca="1">IFERROR(__xludf.DUMMYFUNCTION("""COMPUTED_VALUE"""),"03 ORL")</f>
        <v>03 ORL</v>
      </c>
      <c r="T753" s="33" t="str">
        <f ca="1">IFERROR(__xludf.DUMMYFUNCTION("""COMPUTED_VALUE"""),"06 ORL")</f>
        <v>06 ORL</v>
      </c>
      <c r="U753" s="62"/>
      <c r="W753" s="61"/>
      <c r="X753" s="62"/>
    </row>
    <row r="754" spans="2:24" ht="16">
      <c r="B754" s="67" t="str">
        <f t="shared" ca="1" si="3"/>
        <v>#N/</v>
      </c>
      <c r="C754" s="64" t="str">
        <f ca="1">IFERROR(__xludf.DUMMYFUNCTION("""COMPUTED_VALUE"""),"#N/A")</f>
        <v>#N/A</v>
      </c>
      <c r="D754" s="33" t="str">
        <f ca="1">IFERROR(__xludf.DUMMYFUNCTION("""COMPUTED_VALUE"""),"PROPIOS")</f>
        <v>PROPIOS</v>
      </c>
      <c r="E754" s="33">
        <f ca="1">IFERROR(__xludf.DUMMYFUNCTION("""COMPUTED_VALUE"""),2026)</f>
        <v>2026</v>
      </c>
      <c r="F754" s="56">
        <f ca="1">IFERROR(__xludf.DUMMYFUNCTION("""COMPUTED_VALUE"""),1)</f>
        <v>1</v>
      </c>
      <c r="G754" s="33" t="str">
        <f ca="1">IFERROR(__xludf.DUMMYFUNCTION("""COMPUTED_VALUE"""),"Murcia")</f>
        <v>Murcia</v>
      </c>
      <c r="H754" s="33" t="str">
        <f ca="1">IFERROR(__xludf.DUMMYFUNCTION("""COMPUTED_VALUE"""),"C20261791252300690")</f>
        <v>C20261791252300690</v>
      </c>
      <c r="I754" s="33" t="str">
        <f ca="1">IFERROR(__xludf.DUMMYFUNCTION("""COMPUTED_VALUE"""),"JOSE GARRIDO MOLINA")</f>
        <v>JOSE GARRIDO MOLINA</v>
      </c>
      <c r="J754" s="57">
        <f ca="1">IFERROR(__xludf.DUMMYFUNCTION("""COMPUTED_VALUE"""),46029)</f>
        <v>46029</v>
      </c>
      <c r="K754" s="33" t="str">
        <f ca="1">IFERROR(__xludf.DUMMYFUNCTION("""COMPUTED_VALUE"""),"Devuelve")</f>
        <v>Devuelve</v>
      </c>
      <c r="L754" s="57">
        <f ca="1">IFERROR(__xludf.DUMMYFUNCTION("""COMPUTED_VALUE"""),46035)</f>
        <v>46035</v>
      </c>
      <c r="M754" s="64" t="str">
        <f ca="1">IFERROR(__xludf.DUMMYFUNCTION("""COMPUTED_VALUE"""),"NO")</f>
        <v>NO</v>
      </c>
      <c r="N754" s="56">
        <f ca="1">IFERROR(__xludf.DUMMYFUNCTION("""COMPUTED_VALUE"""),2)</f>
        <v>2</v>
      </c>
      <c r="O754" s="64" t="str">
        <f ca="1">IFERROR(__xludf.DUMMYFUNCTION("""COMPUTED_VALUE"""),"QUIET")</f>
        <v>QUIET</v>
      </c>
      <c r="P754" s="62">
        <f ca="1">IFERROR(__xludf.DUMMYFUNCTION("""COMPUTED_VALUE"""),2718.18)</f>
        <v>2718.18</v>
      </c>
      <c r="Q754" s="33" t="str">
        <f ca="1">IFERROR(__xludf.DUMMYFUNCTION("""COMPUTED_VALUE"""),"Iván Sánchez")</f>
        <v>Iván Sánchez</v>
      </c>
      <c r="R754" s="33" t="str">
        <f ca="1">IFERROR(__xludf.DUMMYFUNCTION("""COMPUTED_VALUE"""),"Dr, Jesús Miguel Iniesta Turpín")</f>
        <v>Dr, Jesús Miguel Iniesta Turpín</v>
      </c>
      <c r="S754" s="61" t="str">
        <f ca="1">IFERROR(__xludf.DUMMYFUNCTION("""COMPUTED_VALUE"""),"03 ORL")</f>
        <v>03 ORL</v>
      </c>
      <c r="T754" s="33" t="str">
        <f ca="1">IFERROR(__xludf.DUMMYFUNCTION("""COMPUTED_VALUE"""),"06 ORL")</f>
        <v>06 ORL</v>
      </c>
      <c r="U754" s="62"/>
      <c r="W754" s="61"/>
      <c r="X754" s="62"/>
    </row>
    <row r="755" spans="2:24" ht="16">
      <c r="B755" s="67" t="str">
        <f t="shared" ca="1" si="3"/>
        <v>#N/</v>
      </c>
      <c r="C755" s="64" t="str">
        <f ca="1">IFERROR(__xludf.DUMMYFUNCTION("""COMPUTED_VALUE"""),"#N/A")</f>
        <v>#N/A</v>
      </c>
      <c r="D755" s="33" t="str">
        <f ca="1">IFERROR(__xludf.DUMMYFUNCTION("""COMPUTED_VALUE"""),"PROPIOS")</f>
        <v>PROPIOS</v>
      </c>
      <c r="E755" s="33">
        <f ca="1">IFERROR(__xludf.DUMMYFUNCTION("""COMPUTED_VALUE"""),2026)</f>
        <v>2026</v>
      </c>
      <c r="F755" s="56">
        <f ca="1">IFERROR(__xludf.DUMMYFUNCTION("""COMPUTED_VALUE"""),3)</f>
        <v>3</v>
      </c>
      <c r="G755" s="33" t="str">
        <f ca="1">IFERROR(__xludf.DUMMYFUNCTION("""COMPUTED_VALUE"""),"Murcia")</f>
        <v>Murcia</v>
      </c>
      <c r="H755" s="33" t="str">
        <f ca="1">IFERROR(__xludf.DUMMYFUNCTION("""COMPUTED_VALUE"""),"C202635103523747974")</f>
        <v>C202635103523747974</v>
      </c>
      <c r="I755" s="33" t="str">
        <f ca="1">IFERROR(__xludf.DUMMYFUNCTION("""COMPUTED_VALUE"""),"JUAN  LOPEZ FONTES")</f>
        <v>JUAN  LOPEZ FONTES</v>
      </c>
      <c r="J755" s="57">
        <f ca="1">IFERROR(__xludf.DUMMYFUNCTION("""COMPUTED_VALUE"""),46086)</f>
        <v>46086</v>
      </c>
      <c r="K755" s="33" t="str">
        <f ca="1">IFERROR(__xludf.DUMMYFUNCTION("""COMPUTED_VALUE"""),"Presupuesto")</f>
        <v>Presupuesto</v>
      </c>
      <c r="L755" s="57">
        <f ca="1">IFERROR(__xludf.DUMMYFUNCTION("""COMPUTED_VALUE"""),46093)</f>
        <v>46093</v>
      </c>
      <c r="M755" s="64" t="str">
        <f ca="1">IFERROR(__xludf.DUMMYFUNCTION("""COMPUTED_VALUE"""),"NO")</f>
        <v>NO</v>
      </c>
      <c r="N755" s="56">
        <f ca="1">IFERROR(__xludf.DUMMYFUNCTION("""COMPUTED_VALUE"""),1)</f>
        <v>1</v>
      </c>
      <c r="O755" s="64" t="str">
        <f ca="1">IFERROR(__xludf.DUMMYFUNCTION("""COMPUTED_VALUE"""),"ADVANCED")</f>
        <v>ADVANCED</v>
      </c>
      <c r="P755" s="62">
        <f ca="1">IFERROR(__xludf.DUMMYFUNCTION("""COMPUTED_VALUE"""),2481.82)</f>
        <v>2481.8200000000002</v>
      </c>
      <c r="Q755" s="33" t="str">
        <f ca="1">IFERROR(__xludf.DUMMYFUNCTION("""COMPUTED_VALUE"""),"Iván Sánchez")</f>
        <v>Iván Sánchez</v>
      </c>
      <c r="R755" s="33" t="str">
        <f ca="1">IFERROR(__xludf.DUMMYFUNCTION("""COMPUTED_VALUE"""),"Dr, Jesús Miguel Iniesta Turpín")</f>
        <v>Dr, Jesús Miguel Iniesta Turpín</v>
      </c>
      <c r="S755" s="61" t="str">
        <f ca="1">IFERROR(__xludf.DUMMYFUNCTION("""COMPUTED_VALUE"""),"01 MARKETING ON LINE")</f>
        <v>01 MARKETING ON LINE</v>
      </c>
      <c r="T755" s="33" t="str">
        <f ca="1">IFERROR(__xludf.DUMMYFUNCTION("""COMPUTED_VALUE"""),"04 AUDIFONO,ES")</f>
        <v>04 AUDIFONO,ES</v>
      </c>
      <c r="U755" s="62"/>
      <c r="W755" s="61"/>
      <c r="X755" s="62"/>
    </row>
    <row r="756" spans="2:24" ht="16">
      <c r="B756" s="67" t="str">
        <f t="shared" ca="1" si="3"/>
        <v>#N/</v>
      </c>
      <c r="C756" s="64" t="str">
        <f ca="1">IFERROR(__xludf.DUMMYFUNCTION("""COMPUTED_VALUE"""),"#N/A")</f>
        <v>#N/A</v>
      </c>
      <c r="D756" s="33" t="str">
        <f ca="1">IFERROR(__xludf.DUMMYFUNCTION("""COMPUTED_VALUE"""),"PROPIOS")</f>
        <v>PROPIOS</v>
      </c>
      <c r="E756" s="33">
        <f ca="1">IFERROR(__xludf.DUMMYFUNCTION("""COMPUTED_VALUE"""),2026)</f>
        <v>2026</v>
      </c>
      <c r="F756" s="56">
        <f ca="1">IFERROR(__xludf.DUMMYFUNCTION("""COMPUTED_VALUE"""),3)</f>
        <v>3</v>
      </c>
      <c r="G756" s="33" t="str">
        <f ca="1">IFERROR(__xludf.DUMMYFUNCTION("""COMPUTED_VALUE"""),"Murcia")</f>
        <v>Murcia</v>
      </c>
      <c r="H756" s="33" t="str">
        <f ca="1">IFERROR(__xludf.DUMMYFUNCTION("""COMPUTED_VALUE"""),"C202532610155344")</f>
        <v>C202532610155344</v>
      </c>
      <c r="I756" s="33" t="str">
        <f ca="1">IFERROR(__xludf.DUMMYFUNCTION("""COMPUTED_VALUE"""),"JUAN TEODORO BAÑO FRANCO")</f>
        <v>JUAN TEODORO BAÑO FRANCO</v>
      </c>
      <c r="J756" s="57">
        <f ca="1">IFERROR(__xludf.DUMMYFUNCTION("""COMPUTED_VALUE"""),45741)</f>
        <v>45741</v>
      </c>
      <c r="K756" s="33" t="str">
        <f ca="1">IFERROR(__xludf.DUMMYFUNCTION("""COMPUTED_VALUE"""),"Pedido")</f>
        <v>Pedido</v>
      </c>
      <c r="L756" s="57">
        <f ca="1">IFERROR(__xludf.DUMMYFUNCTION("""COMPUTED_VALUE"""),46104)</f>
        <v>46104</v>
      </c>
      <c r="M756" s="64" t="str">
        <f ca="1">IFERROR(__xludf.DUMMYFUNCTION("""COMPUTED_VALUE"""),"NO")</f>
        <v>NO</v>
      </c>
      <c r="N756" s="56">
        <f ca="1">IFERROR(__xludf.DUMMYFUNCTION("""COMPUTED_VALUE"""),1)</f>
        <v>1</v>
      </c>
      <c r="O756" s="64" t="str">
        <f ca="1">IFERROR(__xludf.DUMMYFUNCTION("""COMPUTED_VALUE"""),"ADVANCED")</f>
        <v>ADVANCED</v>
      </c>
      <c r="P756" s="62">
        <f ca="1">IFERROR(__xludf.DUMMYFUNCTION("""COMPUTED_VALUE"""),1720)</f>
        <v>1720</v>
      </c>
      <c r="Q756" s="33" t="str">
        <f ca="1">IFERROR(__xludf.DUMMYFUNCTION("""COMPUTED_VALUE"""),"Iván Sánchez")</f>
        <v>Iván Sánchez</v>
      </c>
      <c r="R756" s="33" t="str">
        <f ca="1">IFERROR(__xludf.DUMMYFUNCTION("""COMPUTED_VALUE"""),"Dra, Aida Aviñoa Arias")</f>
        <v>Dra, Aida Aviñoa Arias</v>
      </c>
      <c r="S756" s="61" t="str">
        <f ca="1">IFERROR(__xludf.DUMMYFUNCTION("""COMPUTED_VALUE"""),"03 ORL")</f>
        <v>03 ORL</v>
      </c>
      <c r="T756" s="33" t="str">
        <f ca="1">IFERROR(__xludf.DUMMYFUNCTION("""COMPUTED_VALUE"""),"06 ORL")</f>
        <v>06 ORL</v>
      </c>
      <c r="U756" s="62"/>
      <c r="W756" s="61"/>
      <c r="X756" s="62"/>
    </row>
    <row r="757" spans="2:24" ht="16">
      <c r="B757" s="67" t="str">
        <f t="shared" ca="1" si="3"/>
        <v>#N/</v>
      </c>
      <c r="C757" s="64" t="str">
        <f ca="1">IFERROR(__xludf.DUMMYFUNCTION("""COMPUTED_VALUE"""),"#N/A")</f>
        <v>#N/A</v>
      </c>
      <c r="D757" s="33" t="str">
        <f ca="1">IFERROR(__xludf.DUMMYFUNCTION("""COMPUTED_VALUE"""),"PROPIOS")</f>
        <v>PROPIOS</v>
      </c>
      <c r="E757" s="33">
        <f ca="1">IFERROR(__xludf.DUMMYFUNCTION("""COMPUTED_VALUE"""),2026)</f>
        <v>2026</v>
      </c>
      <c r="F757" s="56">
        <f ca="1">IFERROR(__xludf.DUMMYFUNCTION("""COMPUTED_VALUE"""),3)</f>
        <v>3</v>
      </c>
      <c r="G757" s="33" t="str">
        <f ca="1">IFERROR(__xludf.DUMMYFUNCTION("""COMPUTED_VALUE"""),"Murcia")</f>
        <v>Murcia</v>
      </c>
      <c r="H757" s="33" t="str">
        <f ca="1">IFERROR(__xludf.DUMMYFUNCTION("""COMPUTED_VALUE"""),"C202621012173213759")</f>
        <v>C202621012173213759</v>
      </c>
      <c r="I757" s="33" t="str">
        <f ca="1">IFERROR(__xludf.DUMMYFUNCTION("""COMPUTED_VALUE"""),"LUCIA PIQUERAS PEREZ")</f>
        <v>LUCIA PIQUERAS PEREZ</v>
      </c>
      <c r="J757" s="57">
        <f ca="1">IFERROR(__xludf.DUMMYFUNCTION("""COMPUTED_VALUE"""),46063)</f>
        <v>46063</v>
      </c>
      <c r="K757" s="33" t="str">
        <f ca="1">IFERROR(__xludf.DUMMYFUNCTION("""COMPUTED_VALUE"""),"Prueba")</f>
        <v>Prueba</v>
      </c>
      <c r="L757" s="57">
        <f ca="1">IFERROR(__xludf.DUMMYFUNCTION("""COMPUTED_VALUE"""),46094)</f>
        <v>46094</v>
      </c>
      <c r="M757" s="64" t="str">
        <f ca="1">IFERROR(__xludf.DUMMYFUNCTION("""COMPUTED_VALUE"""),"NO")</f>
        <v>NO</v>
      </c>
      <c r="N757" s="56">
        <f ca="1">IFERROR(__xludf.DUMMYFUNCTION("""COMPUTED_VALUE"""),2)</f>
        <v>2</v>
      </c>
      <c r="O757" s="64" t="str">
        <f ca="1">IFERROR(__xludf.DUMMYFUNCTION("""COMPUTED_VALUE"""),"ADVANCED")</f>
        <v>ADVANCED</v>
      </c>
      <c r="P757" s="62">
        <f ca="1">IFERROR(__xludf.DUMMYFUNCTION("""COMPUTED_VALUE"""),4136.36)</f>
        <v>4136.3599999999997</v>
      </c>
      <c r="Q757" s="33" t="str">
        <f ca="1">IFERROR(__xludf.DUMMYFUNCTION("""COMPUTED_VALUE"""),"Iván Sánchez")</f>
        <v>Iván Sánchez</v>
      </c>
      <c r="R757" s="33" t="str">
        <f ca="1">IFERROR(__xludf.DUMMYFUNCTION("""COMPUTED_VALUE"""),"Dr, Jesús Miguel Iniesta Turpín")</f>
        <v>Dr, Jesús Miguel Iniesta Turpín</v>
      </c>
      <c r="S757" s="61" t="str">
        <f ca="1">IFERROR(__xludf.DUMMYFUNCTION("""COMPUTED_VALUE"""),"03 ORL")</f>
        <v>03 ORL</v>
      </c>
      <c r="T757" s="33" t="str">
        <f ca="1">IFERROR(__xludf.DUMMYFUNCTION("""COMPUTED_VALUE"""),"06 ORL")</f>
        <v>06 ORL</v>
      </c>
      <c r="U757" s="62"/>
      <c r="W757" s="61"/>
      <c r="X757" s="62"/>
    </row>
    <row r="758" spans="2:24" ht="16">
      <c r="B758" s="67" t="str">
        <f t="shared" ca="1" si="3"/>
        <v>#N/</v>
      </c>
      <c r="C758" s="64" t="str">
        <f ca="1">IFERROR(__xludf.DUMMYFUNCTION("""COMPUTED_VALUE"""),"#N/A")</f>
        <v>#N/A</v>
      </c>
      <c r="D758" s="33" t="str">
        <f ca="1">IFERROR(__xludf.DUMMYFUNCTION("""COMPUTED_VALUE"""),"PROPIOS")</f>
        <v>PROPIOS</v>
      </c>
      <c r="E758" s="33">
        <f ca="1">IFERROR(__xludf.DUMMYFUNCTION("""COMPUTED_VALUE"""),2026)</f>
        <v>2026</v>
      </c>
      <c r="F758" s="56">
        <f ca="1">IFERROR(__xludf.DUMMYFUNCTION("""COMPUTED_VALUE"""),4)</f>
        <v>4</v>
      </c>
      <c r="G758" s="33" t="str">
        <f ca="1">IFERROR(__xludf.DUMMYFUNCTION("""COMPUTED_VALUE"""),"Murcia")</f>
        <v>Murcia</v>
      </c>
      <c r="H758" s="33" t="str">
        <f ca="1">IFERROR(__xludf.DUMMYFUNCTION("""COMPUTED_VALUE"""),"C202622411122311524")</f>
        <v>C202622411122311524</v>
      </c>
      <c r="I758" s="33" t="str">
        <f ca="1">IFERROR(__xludf.DUMMYFUNCTION("""COMPUTED_VALUE"""),"MANUEL MONTOYA PEDREÑO")</f>
        <v>MANUEL MONTOYA PEDREÑO</v>
      </c>
      <c r="J758" s="57">
        <f ca="1">IFERROR(__xludf.DUMMYFUNCTION("""COMPUTED_VALUE"""),46077)</f>
        <v>46077</v>
      </c>
      <c r="K758" s="33" t="str">
        <f ca="1">IFERROR(__xludf.DUMMYFUNCTION("""COMPUTED_VALUE"""),"Pedido")</f>
        <v>Pedido</v>
      </c>
      <c r="L758" s="57">
        <f ca="1">IFERROR(__xludf.DUMMYFUNCTION("""COMPUTED_VALUE"""),46118)</f>
        <v>46118</v>
      </c>
      <c r="M758" s="64" t="str">
        <f ca="1">IFERROR(__xludf.DUMMYFUNCTION("""COMPUTED_VALUE"""),"NO")</f>
        <v>NO</v>
      </c>
      <c r="N758" s="56">
        <f ca="1">IFERROR(__xludf.DUMMYFUNCTION("""COMPUTED_VALUE"""),2)</f>
        <v>2</v>
      </c>
      <c r="O758" s="64" t="str">
        <f ca="1">IFERROR(__xludf.DUMMYFUNCTION("""COMPUTED_VALUE"""),"PRO")</f>
        <v>PRO</v>
      </c>
      <c r="P758" s="62">
        <f ca="1">IFERROR(__xludf.DUMMYFUNCTION("""COMPUTED_VALUE"""),4000)</f>
        <v>4000</v>
      </c>
      <c r="Q758" s="33" t="str">
        <f ca="1">IFERROR(__xludf.DUMMYFUNCTION("""COMPUTED_VALUE"""),"Iván Sánchez")</f>
        <v>Iván Sánchez</v>
      </c>
      <c r="R758" s="33" t="str">
        <f ca="1">IFERROR(__xludf.DUMMYFUNCTION("""COMPUTED_VALUE"""),"Dra, María Agustina Sevilla García")</f>
        <v>Dra, María Agustina Sevilla García</v>
      </c>
      <c r="S758" s="61" t="str">
        <f ca="1">IFERROR(__xludf.DUMMYFUNCTION("""COMPUTED_VALUE"""),"03 ORL")</f>
        <v>03 ORL</v>
      </c>
      <c r="T758" s="33" t="str">
        <f ca="1">IFERROR(__xludf.DUMMYFUNCTION("""COMPUTED_VALUE"""),"06 ORL")</f>
        <v>06 ORL</v>
      </c>
      <c r="U758" s="62"/>
      <c r="W758" s="61"/>
      <c r="X758" s="62"/>
    </row>
    <row r="759" spans="2:24" ht="16">
      <c r="B759" s="67" t="str">
        <f t="shared" ca="1" si="3"/>
        <v>#N/</v>
      </c>
      <c r="C759" s="64" t="str">
        <f ca="1">IFERROR(__xludf.DUMMYFUNCTION("""COMPUTED_VALUE"""),"#N/A")</f>
        <v>#N/A</v>
      </c>
      <c r="D759" s="33" t="str">
        <f ca="1">IFERROR(__xludf.DUMMYFUNCTION("""COMPUTED_VALUE"""),"PROPIOS")</f>
        <v>PROPIOS</v>
      </c>
      <c r="E759" s="33">
        <f ca="1">IFERROR(__xludf.DUMMYFUNCTION("""COMPUTED_VALUE"""),2026)</f>
        <v>2026</v>
      </c>
      <c r="F759" s="56">
        <f ca="1">IFERROR(__xludf.DUMMYFUNCTION("""COMPUTED_VALUE"""),1)</f>
        <v>1</v>
      </c>
      <c r="G759" s="33" t="str">
        <f ca="1">IFERROR(__xludf.DUMMYFUNCTION("""COMPUTED_VALUE"""),"Murcia")</f>
        <v>Murcia</v>
      </c>
      <c r="H759" s="33" t="str">
        <f ca="1">IFERROR(__xludf.DUMMYFUNCTION("""COMPUTED_VALUE"""),"C2024121812922488")</f>
        <v>C2024121812922488</v>
      </c>
      <c r="I759" s="33" t="str">
        <f ca="1">IFERROR(__xludf.DUMMYFUNCTION("""COMPUTED_VALUE"""),"MANUEL VIDAL SANZ")</f>
        <v>MANUEL VIDAL SANZ</v>
      </c>
      <c r="J759" s="57">
        <f ca="1">IFERROR(__xludf.DUMMYFUNCTION("""COMPUTED_VALUE"""),45643)</f>
        <v>45643</v>
      </c>
      <c r="K759" s="33" t="str">
        <f ca="1">IFERROR(__xludf.DUMMYFUNCTION("""COMPUTED_VALUE"""),"Devuelve")</f>
        <v>Devuelve</v>
      </c>
      <c r="L759" s="57">
        <f ca="1">IFERROR(__xludf.DUMMYFUNCTION("""COMPUTED_VALUE"""),46045)</f>
        <v>46045</v>
      </c>
      <c r="M759" s="64" t="str">
        <f ca="1">IFERROR(__xludf.DUMMYFUNCTION("""COMPUTED_VALUE"""),"NO")</f>
        <v>NO</v>
      </c>
      <c r="N759" s="56">
        <f ca="1">IFERROR(__xludf.DUMMYFUNCTION("""COMPUTED_VALUE"""),2)</f>
        <v>2</v>
      </c>
      <c r="O759" s="64" t="str">
        <f ca="1">IFERROR(__xludf.DUMMYFUNCTION("""COMPUTED_VALUE"""),"TRIAL")</f>
        <v>TRIAL</v>
      </c>
      <c r="P759" s="62">
        <f ca="1">IFERROR(__xludf.DUMMYFUNCTION("""COMPUTED_VALUE"""),4536.36)</f>
        <v>4536.3599999999997</v>
      </c>
      <c r="Q759" s="33" t="str">
        <f ca="1">IFERROR(__xludf.DUMMYFUNCTION("""COMPUTED_VALUE"""),"Iván Sánchez")</f>
        <v>Iván Sánchez</v>
      </c>
      <c r="R759" s="33" t="str">
        <f ca="1">IFERROR(__xludf.DUMMYFUNCTION("""COMPUTED_VALUE"""),"Dr, José Miguel Osete Albaladejo")</f>
        <v>Dr, José Miguel Osete Albaladejo</v>
      </c>
      <c r="S759" s="61" t="str">
        <f ca="1">IFERROR(__xludf.DUMMYFUNCTION("""COMPUTED_VALUE"""),"03 ORL")</f>
        <v>03 ORL</v>
      </c>
      <c r="T759" s="33" t="str">
        <f ca="1">IFERROR(__xludf.DUMMYFUNCTION("""COMPUTED_VALUE"""),"06 ORL")</f>
        <v>06 ORL</v>
      </c>
      <c r="U759" s="62"/>
      <c r="W759" s="61"/>
      <c r="X759" s="62"/>
    </row>
    <row r="760" spans="2:24" ht="16">
      <c r="B760" s="67" t="str">
        <f t="shared" ca="1" si="3"/>
        <v>#N/</v>
      </c>
      <c r="C760" s="64" t="str">
        <f ca="1">IFERROR(__xludf.DUMMYFUNCTION("""COMPUTED_VALUE"""),"#N/A")</f>
        <v>#N/A</v>
      </c>
      <c r="D760" s="33" t="str">
        <f ca="1">IFERROR(__xludf.DUMMYFUNCTION("""COMPUTED_VALUE"""),"PROPIOS")</f>
        <v>PROPIOS</v>
      </c>
      <c r="E760" s="33">
        <f ca="1">IFERROR(__xludf.DUMMYFUNCTION("""COMPUTED_VALUE"""),2026)</f>
        <v>2026</v>
      </c>
      <c r="F760" s="56">
        <f ca="1">IFERROR(__xludf.DUMMYFUNCTION("""COMPUTED_VALUE"""),3)</f>
        <v>3</v>
      </c>
      <c r="G760" s="33" t="str">
        <f ca="1">IFERROR(__xludf.DUMMYFUNCTION("""COMPUTED_VALUE"""),"Murcia")</f>
        <v>Murcia</v>
      </c>
      <c r="H760" s="33" t="str">
        <f ca="1">IFERROR(__xludf.DUMMYFUNCTION("""COMPUTED_VALUE"""),"C202632014153712775")</f>
        <v>C202632014153712775</v>
      </c>
      <c r="I760" s="33" t="str">
        <f ca="1">IFERROR(__xludf.DUMMYFUNCTION("""COMPUTED_VALUE"""),"MARIA DOLORES MARTINEZ SANCHEZ")</f>
        <v>MARIA DOLORES MARTINEZ SANCHEZ</v>
      </c>
      <c r="J760" s="57">
        <f ca="1">IFERROR(__xludf.DUMMYFUNCTION("""COMPUTED_VALUE"""),46101)</f>
        <v>46101</v>
      </c>
      <c r="K760" s="33" t="str">
        <f ca="1">IFERROR(__xludf.DUMMYFUNCTION("""COMPUTED_VALUE"""),"Prueba")</f>
        <v>Prueba</v>
      </c>
      <c r="L760" s="57">
        <f ca="1">IFERROR(__xludf.DUMMYFUNCTION("""COMPUTED_VALUE"""),46111)</f>
        <v>46111</v>
      </c>
      <c r="M760" s="64" t="str">
        <f ca="1">IFERROR(__xludf.DUMMYFUNCTION("""COMPUTED_VALUE"""),"NO")</f>
        <v>NO</v>
      </c>
      <c r="N760" s="56">
        <f ca="1">IFERROR(__xludf.DUMMYFUNCTION("""COMPUTED_VALUE"""),1)</f>
        <v>1</v>
      </c>
      <c r="O760" s="64" t="str">
        <f ca="1">IFERROR(__xludf.DUMMYFUNCTION("""COMPUTED_VALUE"""),"TRIAL")</f>
        <v>TRIAL</v>
      </c>
      <c r="P760" s="62">
        <f ca="1">IFERROR(__xludf.DUMMYFUNCTION("""COMPUTED_VALUE"""),2180.91)</f>
        <v>2180.91</v>
      </c>
      <c r="Q760" s="33" t="str">
        <f ca="1">IFERROR(__xludf.DUMMYFUNCTION("""COMPUTED_VALUE"""),"Iván Sánchez")</f>
        <v>Iván Sánchez</v>
      </c>
      <c r="R760" s="33" t="str">
        <f ca="1">IFERROR(__xludf.DUMMYFUNCTION("""COMPUTED_VALUE"""),"Dr, Ignacio Albaladejo Devis")</f>
        <v>Dr, Ignacio Albaladejo Devis</v>
      </c>
      <c r="S760" s="61" t="str">
        <f ca="1">IFERROR(__xludf.DUMMYFUNCTION("""COMPUTED_VALUE"""),"03 ORL")</f>
        <v>03 ORL</v>
      </c>
      <c r="T760" s="33" t="str">
        <f ca="1">IFERROR(__xludf.DUMMYFUNCTION("""COMPUTED_VALUE"""),"06 ORL")</f>
        <v>06 ORL</v>
      </c>
      <c r="U760" s="62"/>
      <c r="W760" s="61"/>
      <c r="X760" s="62"/>
    </row>
    <row r="761" spans="2:24" ht="16">
      <c r="B761" s="67" t="str">
        <f t="shared" ca="1" si="3"/>
        <v>#N/</v>
      </c>
      <c r="C761" s="64" t="str">
        <f ca="1">IFERROR(__xludf.DUMMYFUNCTION("""COMPUTED_VALUE"""),"#N/A")</f>
        <v>#N/A</v>
      </c>
      <c r="D761" s="33" t="str">
        <f ca="1">IFERROR(__xludf.DUMMYFUNCTION("""COMPUTED_VALUE"""),"PROPIOS")</f>
        <v>PROPIOS</v>
      </c>
      <c r="E761" s="33">
        <f ca="1">IFERROR(__xludf.DUMMYFUNCTION("""COMPUTED_VALUE"""),2026)</f>
        <v>2026</v>
      </c>
      <c r="F761" s="56">
        <f ca="1">IFERROR(__xludf.DUMMYFUNCTION("""COMPUTED_VALUE"""),3)</f>
        <v>3</v>
      </c>
      <c r="G761" s="33" t="str">
        <f ca="1">IFERROR(__xludf.DUMMYFUNCTION("""COMPUTED_VALUE"""),"Murcia")</f>
        <v>Murcia</v>
      </c>
      <c r="H761" s="33" t="str">
        <f ca="1">IFERROR(__xludf.DUMMYFUNCTION("""COMPUTED_VALUE"""),"C202621810330890955")</f>
        <v>C202621810330890955</v>
      </c>
      <c r="I761" s="33" t="str">
        <f ca="1">IFERROR(__xludf.DUMMYFUNCTION("""COMPUTED_VALUE"""),"MARIA ENCARNACIÓN LOPEZ MOYA")</f>
        <v>MARIA ENCARNACIÓN LOPEZ MOYA</v>
      </c>
      <c r="J761" s="57">
        <f ca="1">IFERROR(__xludf.DUMMYFUNCTION("""COMPUTED_VALUE"""),46071)</f>
        <v>46071</v>
      </c>
      <c r="K761" s="33" t="str">
        <f ca="1">IFERROR(__xludf.DUMMYFUNCTION("""COMPUTED_VALUE"""),"Devuelve")</f>
        <v>Devuelve</v>
      </c>
      <c r="L761" s="57">
        <f ca="1">IFERROR(__xludf.DUMMYFUNCTION("""COMPUTED_VALUE"""),46083)</f>
        <v>46083</v>
      </c>
      <c r="M761" s="64" t="str">
        <f ca="1">IFERROR(__xludf.DUMMYFUNCTION("""COMPUTED_VALUE"""),"NO")</f>
        <v>NO</v>
      </c>
      <c r="N761" s="56">
        <f ca="1">IFERROR(__xludf.DUMMYFUNCTION("""COMPUTED_VALUE"""),2)</f>
        <v>2</v>
      </c>
      <c r="O761" s="64" t="str">
        <f ca="1">IFERROR(__xludf.DUMMYFUNCTION("""COMPUTED_VALUE"""),"QUIET")</f>
        <v>QUIET</v>
      </c>
      <c r="P761" s="62">
        <f ca="1">IFERROR(__xludf.DUMMYFUNCTION("""COMPUTED_VALUE"""),2711.54)</f>
        <v>2711.54</v>
      </c>
      <c r="Q761" s="33" t="str">
        <f ca="1">IFERROR(__xludf.DUMMYFUNCTION("""COMPUTED_VALUE"""),"Iván Sánchez")</f>
        <v>Iván Sánchez</v>
      </c>
      <c r="R761" s="33" t="str">
        <f ca="1">IFERROR(__xludf.DUMMYFUNCTION("""COMPUTED_VALUE"""),"Dr, Jesús Miguel Iniesta Turpín")</f>
        <v>Dr, Jesús Miguel Iniesta Turpín</v>
      </c>
      <c r="S761" s="61" t="str">
        <f ca="1">IFERROR(__xludf.DUMMYFUNCTION("""COMPUTED_VALUE"""),"03 ORL")</f>
        <v>03 ORL</v>
      </c>
      <c r="T761" s="33" t="str">
        <f ca="1">IFERROR(__xludf.DUMMYFUNCTION("""COMPUTED_VALUE"""),"06 ORL")</f>
        <v>06 ORL</v>
      </c>
      <c r="U761" s="62"/>
      <c r="W761" s="61"/>
      <c r="X761" s="62"/>
    </row>
    <row r="762" spans="2:24" ht="16">
      <c r="B762" s="67" t="str">
        <f t="shared" ca="1" si="3"/>
        <v>#N/</v>
      </c>
      <c r="C762" s="64" t="str">
        <f ca="1">IFERROR(__xludf.DUMMYFUNCTION("""COMPUTED_VALUE"""),"#N/A")</f>
        <v>#N/A</v>
      </c>
      <c r="D762" s="33" t="str">
        <f ca="1">IFERROR(__xludf.DUMMYFUNCTION("""COMPUTED_VALUE"""),"PROPIOS")</f>
        <v>PROPIOS</v>
      </c>
      <c r="E762" s="33">
        <f ca="1">IFERROR(__xludf.DUMMYFUNCTION("""COMPUTED_VALUE"""),2026)</f>
        <v>2026</v>
      </c>
      <c r="F762" s="56">
        <f ca="1">IFERROR(__xludf.DUMMYFUNCTION("""COMPUTED_VALUE"""),3)</f>
        <v>3</v>
      </c>
      <c r="G762" s="33" t="str">
        <f ca="1">IFERROR(__xludf.DUMMYFUNCTION("""COMPUTED_VALUE"""),"Murcia")</f>
        <v>Murcia</v>
      </c>
      <c r="H762" s="33" t="str">
        <f ca="1">IFERROR(__xludf.DUMMYFUNCTION("""COMPUTED_VALUE"""),"C202612710465569203")</f>
        <v>C202612710465569203</v>
      </c>
      <c r="I762" s="33" t="str">
        <f ca="1">IFERROR(__xludf.DUMMYFUNCTION("""COMPUTED_VALUE"""),"MARIA LUCIA SORIANO ORTUÑO")</f>
        <v>MARIA LUCIA SORIANO ORTUÑO</v>
      </c>
      <c r="J762" s="57">
        <f ca="1">IFERROR(__xludf.DUMMYFUNCTION("""COMPUTED_VALUE"""),46049)</f>
        <v>46049</v>
      </c>
      <c r="K762" s="33" t="str">
        <f ca="1">IFERROR(__xludf.DUMMYFUNCTION("""COMPUTED_VALUE"""),"Prueba")</f>
        <v>Prueba</v>
      </c>
      <c r="L762" s="57">
        <f ca="1">IFERROR(__xludf.DUMMYFUNCTION("""COMPUTED_VALUE"""),46084)</f>
        <v>46084</v>
      </c>
      <c r="M762" s="64" t="str">
        <f ca="1">IFERROR(__xludf.DUMMYFUNCTION("""COMPUTED_VALUE"""),"NO")</f>
        <v>NO</v>
      </c>
      <c r="N762" s="56">
        <f ca="1">IFERROR(__xludf.DUMMYFUNCTION("""COMPUTED_VALUE"""),2)</f>
        <v>2</v>
      </c>
      <c r="O762" s="64" t="str">
        <f ca="1">IFERROR(__xludf.DUMMYFUNCTION("""COMPUTED_VALUE"""),"QUIET")</f>
        <v>QUIET</v>
      </c>
      <c r="P762" s="62">
        <f ca="1">IFERROR(__xludf.DUMMYFUNCTION("""COMPUTED_VALUE"""),2718.18)</f>
        <v>2718.18</v>
      </c>
      <c r="Q762" s="33" t="str">
        <f ca="1">IFERROR(__xludf.DUMMYFUNCTION("""COMPUTED_VALUE"""),"Iván Sánchez")</f>
        <v>Iván Sánchez</v>
      </c>
      <c r="R762" s="33" t="str">
        <f ca="1">IFERROR(__xludf.DUMMYFUNCTION("""COMPUTED_VALUE"""),"Dra, María Agustina Sevilla García")</f>
        <v>Dra, María Agustina Sevilla García</v>
      </c>
      <c r="S762" s="61" t="str">
        <f ca="1">IFERROR(__xludf.DUMMYFUNCTION("""COMPUTED_VALUE"""),"03 ORL")</f>
        <v>03 ORL</v>
      </c>
      <c r="T762" s="33" t="str">
        <f ca="1">IFERROR(__xludf.DUMMYFUNCTION("""COMPUTED_VALUE"""),"22 AUDIOMETRIA CLINICA")</f>
        <v>22 AUDIOMETRIA CLINICA</v>
      </c>
      <c r="U762" s="62"/>
      <c r="W762" s="61"/>
      <c r="X762" s="62"/>
    </row>
    <row r="763" spans="2:24" ht="16">
      <c r="B763" s="67" t="str">
        <f t="shared" ca="1" si="3"/>
        <v/>
      </c>
      <c r="C763" s="64"/>
      <c r="D763" s="33" t="str">
        <f ca="1">IFERROR(__xludf.DUMMYFUNCTION("""COMPUTED_VALUE"""),"PROPIOS")</f>
        <v>PROPIOS</v>
      </c>
      <c r="E763" s="33">
        <f ca="1">IFERROR(__xludf.DUMMYFUNCTION("""COMPUTED_VALUE"""),2026)</f>
        <v>2026</v>
      </c>
      <c r="F763" s="56">
        <f ca="1">IFERROR(__xludf.DUMMYFUNCTION("""COMPUTED_VALUE"""),2)</f>
        <v>2</v>
      </c>
      <c r="G763" s="33" t="str">
        <f ca="1">IFERROR(__xludf.DUMMYFUNCTION("""COMPUTED_VALUE"""),"Murcia")</f>
        <v>Murcia</v>
      </c>
      <c r="H763" s="33" t="str">
        <f ca="1">IFERROR(__xludf.DUMMYFUNCTION("""COMPUTED_VALUE"""),"C202612811956622413")</f>
        <v>C202612811956622413</v>
      </c>
      <c r="I763" s="33" t="str">
        <f ca="1">IFERROR(__xludf.DUMMYFUNCTION("""COMPUTED_VALUE"""),"MARIA LUISA SANCHEZ CONESA")</f>
        <v>MARIA LUISA SANCHEZ CONESA</v>
      </c>
      <c r="J763" s="57">
        <f ca="1">IFERROR(__xludf.DUMMYFUNCTION("""COMPUTED_VALUE"""),46050)</f>
        <v>46050</v>
      </c>
      <c r="K763" s="33" t="str">
        <f ca="1">IFERROR(__xludf.DUMMYFUNCTION("""COMPUTED_VALUE"""),"Presupuesto")</f>
        <v>Presupuesto</v>
      </c>
      <c r="L763" s="57">
        <f ca="1">IFERROR(__xludf.DUMMYFUNCTION("""COMPUTED_VALUE"""),46058)</f>
        <v>46058</v>
      </c>
      <c r="M763" s="64" t="str">
        <f ca="1">IFERROR(__xludf.DUMMYFUNCTION("""COMPUTED_VALUE"""),"NO")</f>
        <v>NO</v>
      </c>
      <c r="N763" s="56">
        <f ca="1">IFERROR(__xludf.DUMMYFUNCTION("""COMPUTED_VALUE"""),2)</f>
        <v>2</v>
      </c>
      <c r="O763" s="64" t="str">
        <f ca="1">IFERROR(__xludf.DUMMYFUNCTION("""COMPUTED_VALUE"""),"TRIAL")</f>
        <v>TRIAL</v>
      </c>
      <c r="P763" s="62">
        <f ca="1">IFERROR(__xludf.DUMMYFUNCTION("""COMPUTED_VALUE"""),3631.82)</f>
        <v>3631.82</v>
      </c>
      <c r="Q763" s="33" t="str">
        <f ca="1">IFERROR(__xludf.DUMMYFUNCTION("""COMPUTED_VALUE"""),"Iván Sánchez")</f>
        <v>Iván Sánchez</v>
      </c>
      <c r="R763" s="33" t="str">
        <f ca="1">IFERROR(__xludf.DUMMYFUNCTION("""COMPUTED_VALUE"""),"No recuerda ORL")</f>
        <v>No recuerda ORL</v>
      </c>
      <c r="S763" s="61" t="str">
        <f ca="1">IFERROR(__xludf.DUMMYFUNCTION("""COMPUTED_VALUE"""),"03 ORL")</f>
        <v>03 ORL</v>
      </c>
      <c r="T763" s="33" t="str">
        <f ca="1">IFERROR(__xludf.DUMMYFUNCTION("""COMPUTED_VALUE"""),"06 ORL")</f>
        <v>06 ORL</v>
      </c>
      <c r="U763" s="62"/>
      <c r="W763" s="61"/>
      <c r="X763" s="62"/>
    </row>
    <row r="764" spans="2:24" ht="16">
      <c r="B764" s="67" t="str">
        <f t="shared" ca="1" si="3"/>
        <v>#N/</v>
      </c>
      <c r="C764" s="64" t="str">
        <f ca="1">IFERROR(__xludf.DUMMYFUNCTION("""COMPUTED_VALUE"""),"#N/A")</f>
        <v>#N/A</v>
      </c>
      <c r="D764" s="33" t="str">
        <f ca="1">IFERROR(__xludf.DUMMYFUNCTION("""COMPUTED_VALUE"""),"PROPIOS")</f>
        <v>PROPIOS</v>
      </c>
      <c r="E764" s="33">
        <f ca="1">IFERROR(__xludf.DUMMYFUNCTION("""COMPUTED_VALUE"""),2026)</f>
        <v>2026</v>
      </c>
      <c r="F764" s="56">
        <f ca="1">IFERROR(__xludf.DUMMYFUNCTION("""COMPUTED_VALUE"""),1)</f>
        <v>1</v>
      </c>
      <c r="G764" s="33" t="str">
        <f ca="1">IFERROR(__xludf.DUMMYFUNCTION("""COMPUTED_VALUE"""),"Murcia")</f>
        <v>Murcia</v>
      </c>
      <c r="H764" s="33" t="str">
        <f ca="1">IFERROR(__xludf.DUMMYFUNCTION("""COMPUTED_VALUE"""),"MUR-1140")</f>
        <v>MUR-1140</v>
      </c>
      <c r="I764" s="33" t="str">
        <f ca="1">IFERROR(__xludf.DUMMYFUNCTION("""COMPUTED_VALUE"""),"MARIANO CANTERO SORROCHE")</f>
        <v>MARIANO CANTERO SORROCHE</v>
      </c>
      <c r="J764" s="57">
        <f ca="1">IFERROR(__xludf.DUMMYFUNCTION("""COMPUTED_VALUE"""),44859)</f>
        <v>44859</v>
      </c>
      <c r="K764" s="33" t="str">
        <f ca="1">IFERROR(__xludf.DUMMYFUNCTION("""COMPUTED_VALUE"""),"Presupuesto")</f>
        <v>Presupuesto</v>
      </c>
      <c r="L764" s="57">
        <f ca="1">IFERROR(__xludf.DUMMYFUNCTION("""COMPUTED_VALUE"""),46050)</f>
        <v>46050</v>
      </c>
      <c r="M764" s="64" t="str">
        <f ca="1">IFERROR(__xludf.DUMMYFUNCTION("""COMPUTED_VALUE"""),"NO")</f>
        <v>NO</v>
      </c>
      <c r="N764" s="56">
        <f ca="1">IFERROR(__xludf.DUMMYFUNCTION("""COMPUTED_VALUE"""),1)</f>
        <v>1</v>
      </c>
      <c r="O764" s="64" t="str">
        <f ca="1">IFERROR(__xludf.DUMMYFUNCTION("""COMPUTED_VALUE"""),"QUIET")</f>
        <v>QUIET</v>
      </c>
      <c r="P764" s="62">
        <f ca="1">IFERROR(__xludf.DUMMYFUNCTION("""COMPUTED_VALUE"""),0)</f>
        <v>0</v>
      </c>
      <c r="Q764" s="33" t="str">
        <f ca="1">IFERROR(__xludf.DUMMYFUNCTION("""COMPUTED_VALUE"""),"Iván Sánchez")</f>
        <v>Iván Sánchez</v>
      </c>
      <c r="R764" s="33" t="str">
        <f ca="1">IFERROR(__xludf.DUMMYFUNCTION("""COMPUTED_VALUE"""),"Dra, Beatriz Rodríguez González Herrero")</f>
        <v>Dra, Beatriz Rodríguez González Herrero</v>
      </c>
      <c r="S764" s="61" t="str">
        <f ca="1">IFERROR(__xludf.DUMMYFUNCTION("""COMPUTED_VALUE"""),"03 ORL")</f>
        <v>03 ORL</v>
      </c>
      <c r="T764" s="33" t="str">
        <f ca="1">IFERROR(__xludf.DUMMYFUNCTION("""COMPUTED_VALUE"""),"06 ORL")</f>
        <v>06 ORL</v>
      </c>
      <c r="U764" s="62"/>
      <c r="W764" s="61"/>
      <c r="X764" s="62"/>
    </row>
    <row r="765" spans="2:24" ht="16">
      <c r="B765" s="67" t="str">
        <f t="shared" ca="1" si="3"/>
        <v>#N/</v>
      </c>
      <c r="C765" s="64" t="str">
        <f ca="1">IFERROR(__xludf.DUMMYFUNCTION("""COMPUTED_VALUE"""),"#N/A")</f>
        <v>#N/A</v>
      </c>
      <c r="D765" s="33" t="str">
        <f ca="1">IFERROR(__xludf.DUMMYFUNCTION("""COMPUTED_VALUE"""),"PROPIOS")</f>
        <v>PROPIOS</v>
      </c>
      <c r="E765" s="33">
        <f ca="1">IFERROR(__xludf.DUMMYFUNCTION("""COMPUTED_VALUE"""),2026)</f>
        <v>2026</v>
      </c>
      <c r="F765" s="56">
        <f ca="1">IFERROR(__xludf.DUMMYFUNCTION("""COMPUTED_VALUE"""),3)</f>
        <v>3</v>
      </c>
      <c r="G765" s="33" t="str">
        <f ca="1">IFERROR(__xludf.DUMMYFUNCTION("""COMPUTED_VALUE"""),"Murcia")</f>
        <v>Murcia</v>
      </c>
      <c r="H765" s="33" t="str">
        <f ca="1">IFERROR(__xludf.DUMMYFUNCTION("""COMPUTED_VALUE"""),"C202622791422736215")</f>
        <v>C202622791422736215</v>
      </c>
      <c r="I765" s="33" t="str">
        <f ca="1">IFERROR(__xludf.DUMMYFUNCTION("""COMPUTED_VALUE"""),"MIGUEL ANGEL MARIN GONZALEZ")</f>
        <v>MIGUEL ANGEL MARIN GONZALEZ</v>
      </c>
      <c r="J765" s="57">
        <f ca="1">IFERROR(__xludf.DUMMYFUNCTION("""COMPUTED_VALUE"""),46080)</f>
        <v>46080</v>
      </c>
      <c r="K765" s="33" t="str">
        <f ca="1">IFERROR(__xludf.DUMMYFUNCTION("""COMPUTED_VALUE"""),"Devuelve")</f>
        <v>Devuelve</v>
      </c>
      <c r="L765" s="57">
        <f ca="1">IFERROR(__xludf.DUMMYFUNCTION("""COMPUTED_VALUE"""),46091)</f>
        <v>46091</v>
      </c>
      <c r="M765" s="58" t="str">
        <f ca="1">IFERROR(__xludf.DUMMYFUNCTION("""COMPUTED_VALUE"""),"NO")</f>
        <v>NO</v>
      </c>
      <c r="N765" s="56">
        <f ca="1">IFERROR(__xludf.DUMMYFUNCTION("""COMPUTED_VALUE"""),1)</f>
        <v>1</v>
      </c>
      <c r="O765" s="64" t="str">
        <f ca="1">IFERROR(__xludf.DUMMYFUNCTION("""COMPUTED_VALUE"""),"TRIAL")</f>
        <v>TRIAL</v>
      </c>
      <c r="P765" s="62">
        <f ca="1">IFERROR(__xludf.DUMMYFUNCTION("""COMPUTED_VALUE"""),2467.31)</f>
        <v>2467.31</v>
      </c>
      <c r="Q765" s="33" t="str">
        <f ca="1">IFERROR(__xludf.DUMMYFUNCTION("""COMPUTED_VALUE"""),"Iván Sánchez")</f>
        <v>Iván Sánchez</v>
      </c>
      <c r="R765" s="33" t="str">
        <f ca="1">IFERROR(__xludf.DUMMYFUNCTION("""COMPUTED_VALUE"""),"Dra, Nuria Salas Barrio")</f>
        <v>Dra, Nuria Salas Barrio</v>
      </c>
      <c r="S765" s="61" t="str">
        <f ca="1">IFERROR(__xludf.DUMMYFUNCTION("""COMPUTED_VALUE"""),"03 ORL")</f>
        <v>03 ORL</v>
      </c>
      <c r="T765" s="33" t="str">
        <f ca="1">IFERROR(__xludf.DUMMYFUNCTION("""COMPUTED_VALUE"""),"06 ORL")</f>
        <v>06 ORL</v>
      </c>
      <c r="U765" s="62"/>
      <c r="W765" s="61"/>
      <c r="X765" s="62"/>
    </row>
    <row r="766" spans="2:24" ht="16">
      <c r="B766" s="67" t="str">
        <f t="shared" ca="1" si="3"/>
        <v>#N/</v>
      </c>
      <c r="C766" s="64" t="str">
        <f ca="1">IFERROR(__xludf.DUMMYFUNCTION("""COMPUTED_VALUE"""),"#N/A")</f>
        <v>#N/A</v>
      </c>
      <c r="D766" s="33" t="str">
        <f ca="1">IFERROR(__xludf.DUMMYFUNCTION("""COMPUTED_VALUE"""),"PROPIOS")</f>
        <v>PROPIOS</v>
      </c>
      <c r="E766" s="33">
        <f ca="1">IFERROR(__xludf.DUMMYFUNCTION("""COMPUTED_VALUE"""),2026)</f>
        <v>2026</v>
      </c>
      <c r="F766" s="56">
        <f ca="1">IFERROR(__xludf.DUMMYFUNCTION("""COMPUTED_VALUE"""),3)</f>
        <v>3</v>
      </c>
      <c r="G766" s="33" t="str">
        <f ca="1">IFERROR(__xludf.DUMMYFUNCTION("""COMPUTED_VALUE"""),"Murcia")</f>
        <v>Murcia</v>
      </c>
      <c r="H766" s="33" t="str">
        <f ca="1">IFERROR(__xludf.DUMMYFUNCTION("""COMPUTED_VALUE"""),"C20263594051060275")</f>
        <v>C20263594051060275</v>
      </c>
      <c r="I766" s="1" t="str">
        <f ca="1">IFERROR(__xludf.DUMMYFUNCTION("""COMPUTED_VALUE"""),"MIGUEL GARCIA ANDREU")</f>
        <v>MIGUEL GARCIA ANDREU</v>
      </c>
      <c r="J766" s="57">
        <f ca="1">IFERROR(__xludf.DUMMYFUNCTION("""COMPUTED_VALUE"""),46086)</f>
        <v>46086</v>
      </c>
      <c r="K766" s="33" t="str">
        <f ca="1">IFERROR(__xludf.DUMMYFUNCTION("""COMPUTED_VALUE"""),"Presupuesto")</f>
        <v>Presupuesto</v>
      </c>
      <c r="L766" s="57">
        <f ca="1">IFERROR(__xludf.DUMMYFUNCTION("""COMPUTED_VALUE"""),46093)</f>
        <v>46093</v>
      </c>
      <c r="M766" s="64" t="str">
        <f ca="1">IFERROR(__xludf.DUMMYFUNCTION("""COMPUTED_VALUE"""),"NO")</f>
        <v>NO</v>
      </c>
      <c r="N766" s="56">
        <f ca="1">IFERROR(__xludf.DUMMYFUNCTION("""COMPUTED_VALUE"""),2)</f>
        <v>2</v>
      </c>
      <c r="O766" s="64" t="str">
        <f ca="1">IFERROR(__xludf.DUMMYFUNCTION("""COMPUTED_VALUE"""),"QUIET")</f>
        <v>QUIET</v>
      </c>
      <c r="P766" s="62">
        <f ca="1">IFERROR(__xludf.DUMMYFUNCTION("""COMPUTED_VALUE"""),2718.19)</f>
        <v>2718.19</v>
      </c>
      <c r="Q766" s="33" t="str">
        <f ca="1">IFERROR(__xludf.DUMMYFUNCTION("""COMPUTED_VALUE"""),"Iván Sánchez")</f>
        <v>Iván Sánchez</v>
      </c>
      <c r="R766" s="33" t="str">
        <f ca="1">IFERROR(__xludf.DUMMYFUNCTION("""COMPUTED_VALUE"""),"Dr, Jesús Miguel Iniesta Turpín")</f>
        <v>Dr, Jesús Miguel Iniesta Turpín</v>
      </c>
      <c r="S766" s="61" t="str">
        <f ca="1">IFERROR(__xludf.DUMMYFUNCTION("""COMPUTED_VALUE"""),"03 ORL")</f>
        <v>03 ORL</v>
      </c>
      <c r="T766" s="33" t="str">
        <f ca="1">IFERROR(__xludf.DUMMYFUNCTION("""COMPUTED_VALUE"""),"06 ORL")</f>
        <v>06 ORL</v>
      </c>
      <c r="U766" s="62"/>
      <c r="W766" s="61"/>
      <c r="X766" s="62"/>
    </row>
    <row r="767" spans="2:24" ht="16">
      <c r="B767" s="67" t="str">
        <f t="shared" ca="1" si="3"/>
        <v>#N/</v>
      </c>
      <c r="C767" s="64" t="str">
        <f ca="1">IFERROR(__xludf.DUMMYFUNCTION("""COMPUTED_VALUE"""),"#N/A")</f>
        <v>#N/A</v>
      </c>
      <c r="D767" s="33" t="str">
        <f ca="1">IFERROR(__xludf.DUMMYFUNCTION("""COMPUTED_VALUE"""),"PROPIOS")</f>
        <v>PROPIOS</v>
      </c>
      <c r="E767" s="33">
        <f ca="1">IFERROR(__xludf.DUMMYFUNCTION("""COMPUTED_VALUE"""),2026)</f>
        <v>2026</v>
      </c>
      <c r="F767" s="56">
        <f ca="1">IFERROR(__xludf.DUMMYFUNCTION("""COMPUTED_VALUE"""),3)</f>
        <v>3</v>
      </c>
      <c r="G767" s="33" t="str">
        <f ca="1">IFERROR(__xludf.DUMMYFUNCTION("""COMPUTED_VALUE"""),"Murcia")</f>
        <v>Murcia</v>
      </c>
      <c r="H767" s="33" t="str">
        <f ca="1">IFERROR(__xludf.DUMMYFUNCTION("""COMPUTED_VALUE"""),"MUR-1269")</f>
        <v>MUR-1269</v>
      </c>
      <c r="I767" s="33" t="str">
        <f ca="1">IFERROR(__xludf.DUMMYFUNCTION("""COMPUTED_VALUE"""),"PALOMA CARRILERO BARRIOS")</f>
        <v>PALOMA CARRILERO BARRIOS</v>
      </c>
      <c r="J767" s="57">
        <f ca="1">IFERROR(__xludf.DUMMYFUNCTION("""COMPUTED_VALUE"""),44967)</f>
        <v>44967</v>
      </c>
      <c r="K767" s="33" t="str">
        <f ca="1">IFERROR(__xludf.DUMMYFUNCTION("""COMPUTED_VALUE"""),"Devuelve")</f>
        <v>Devuelve</v>
      </c>
      <c r="L767" s="57">
        <f ca="1">IFERROR(__xludf.DUMMYFUNCTION("""COMPUTED_VALUE"""),46094)</f>
        <v>46094</v>
      </c>
      <c r="M767" s="64" t="str">
        <f ca="1">IFERROR(__xludf.DUMMYFUNCTION("""COMPUTED_VALUE"""),"NO")</f>
        <v>NO</v>
      </c>
      <c r="N767" s="56">
        <f ca="1">IFERROR(__xludf.DUMMYFUNCTION("""COMPUTED_VALUE"""),2)</f>
        <v>2</v>
      </c>
      <c r="O767" s="64" t="str">
        <f ca="1">IFERROR(__xludf.DUMMYFUNCTION("""COMPUTED_VALUE"""),"CONFORT")</f>
        <v>CONFORT</v>
      </c>
      <c r="P767" s="62">
        <f ca="1">IFERROR(__xludf.DUMMYFUNCTION("""COMPUTED_VALUE"""),3631.82)</f>
        <v>3631.82</v>
      </c>
      <c r="Q767" s="33" t="str">
        <f ca="1">IFERROR(__xludf.DUMMYFUNCTION("""COMPUTED_VALUE"""),"Iván Sánchez")</f>
        <v>Iván Sánchez</v>
      </c>
      <c r="R767" s="33" t="str">
        <f ca="1">IFERROR(__xludf.DUMMYFUNCTION("""COMPUTED_VALUE"""),"Dr, Jesús Miguel Iniesta Turpín")</f>
        <v>Dr, Jesús Miguel Iniesta Turpín</v>
      </c>
      <c r="S767" s="61" t="str">
        <f ca="1">IFERROR(__xludf.DUMMYFUNCTION("""COMPUTED_VALUE"""),"03 ORL")</f>
        <v>03 ORL</v>
      </c>
      <c r="T767" s="33" t="str">
        <f ca="1">IFERROR(__xludf.DUMMYFUNCTION("""COMPUTED_VALUE"""),"06 ORL")</f>
        <v>06 ORL</v>
      </c>
      <c r="U767" s="62"/>
      <c r="W767" s="61"/>
      <c r="X767" s="62"/>
    </row>
    <row r="768" spans="2:24" ht="16">
      <c r="B768" s="67" t="str">
        <f t="shared" ca="1" si="3"/>
        <v>#N/</v>
      </c>
      <c r="C768" s="64" t="str">
        <f ca="1">IFERROR(__xludf.DUMMYFUNCTION("""COMPUTED_VALUE"""),"#N/A")</f>
        <v>#N/A</v>
      </c>
      <c r="D768" s="33" t="str">
        <f ca="1">IFERROR(__xludf.DUMMYFUNCTION("""COMPUTED_VALUE"""),"PROPIOS")</f>
        <v>PROPIOS</v>
      </c>
      <c r="E768" s="33">
        <f ca="1">IFERROR(__xludf.DUMMYFUNCTION("""COMPUTED_VALUE"""),2026)</f>
        <v>2026</v>
      </c>
      <c r="F768" s="56">
        <f ca="1">IFERROR(__xludf.DUMMYFUNCTION("""COMPUTED_VALUE"""),1)</f>
        <v>1</v>
      </c>
      <c r="G768" s="33" t="str">
        <f ca="1">IFERROR(__xludf.DUMMYFUNCTION("""COMPUTED_VALUE"""),"Murcia")</f>
        <v>Murcia</v>
      </c>
      <c r="H768" s="33" t="str">
        <f ca="1">IFERROR(__xludf.DUMMYFUNCTION("""COMPUTED_VALUE"""),"C202511251824355019")</f>
        <v>C202511251824355019</v>
      </c>
      <c r="I768" s="33" t="str">
        <f ca="1">IFERROR(__xludf.DUMMYFUNCTION("""COMPUTED_VALUE"""),"PATRICIO MARTINEZ TORTOLA")</f>
        <v>PATRICIO MARTINEZ TORTOLA</v>
      </c>
      <c r="J768" s="57">
        <f ca="1">IFERROR(__xludf.DUMMYFUNCTION("""COMPUTED_VALUE"""),45986)</f>
        <v>45986</v>
      </c>
      <c r="K768" s="33" t="str">
        <f ca="1">IFERROR(__xludf.DUMMYFUNCTION("""COMPUTED_VALUE"""),"Devuelve")</f>
        <v>Devuelve</v>
      </c>
      <c r="L768" s="57">
        <f ca="1">IFERROR(__xludf.DUMMYFUNCTION("""COMPUTED_VALUE"""),46029)</f>
        <v>46029</v>
      </c>
      <c r="M768" s="64" t="str">
        <f ca="1">IFERROR(__xludf.DUMMYFUNCTION("""COMPUTED_VALUE"""),"NO")</f>
        <v>NO</v>
      </c>
      <c r="N768" s="56">
        <f ca="1">IFERROR(__xludf.DUMMYFUNCTION("""COMPUTED_VALUE"""),2)</f>
        <v>2</v>
      </c>
      <c r="O768" s="64" t="str">
        <f ca="1">IFERROR(__xludf.DUMMYFUNCTION("""COMPUTED_VALUE"""),"QUIET")</f>
        <v>QUIET</v>
      </c>
      <c r="P768" s="62">
        <f ca="1">IFERROR(__xludf.DUMMYFUNCTION("""COMPUTED_VALUE"""),2718.18)</f>
        <v>2718.18</v>
      </c>
      <c r="Q768" s="33" t="str">
        <f ca="1">IFERROR(__xludf.DUMMYFUNCTION("""COMPUTED_VALUE"""),"Iván Sánchez")</f>
        <v>Iván Sánchez</v>
      </c>
      <c r="R768" s="33" t="str">
        <f ca="1">IFERROR(__xludf.DUMMYFUNCTION("""COMPUTED_VALUE"""),"Dr, Enrique Viviente Rodríguez")</f>
        <v>Dr, Enrique Viviente Rodríguez</v>
      </c>
      <c r="S768" s="61" t="str">
        <f ca="1">IFERROR(__xludf.DUMMYFUNCTION("""COMPUTED_VALUE"""),"03 ORL")</f>
        <v>03 ORL</v>
      </c>
      <c r="T768" s="33" t="str">
        <f ca="1">IFERROR(__xludf.DUMMYFUNCTION("""COMPUTED_VALUE"""),"06 ORL")</f>
        <v>06 ORL</v>
      </c>
      <c r="U768" s="62"/>
      <c r="W768" s="61"/>
      <c r="X768" s="62"/>
    </row>
    <row r="769" spans="2:24" ht="16">
      <c r="B769" s="67" t="str">
        <f t="shared" ca="1" si="3"/>
        <v>#N/</v>
      </c>
      <c r="C769" s="64" t="str">
        <f ca="1">IFERROR(__xludf.DUMMYFUNCTION("""COMPUTED_VALUE"""),"#N/A")</f>
        <v>#N/A</v>
      </c>
      <c r="D769" s="33" t="str">
        <f ca="1">IFERROR(__xludf.DUMMYFUNCTION("""COMPUTED_VALUE"""),"PROPIOS")</f>
        <v>PROPIOS</v>
      </c>
      <c r="E769" s="33">
        <f ca="1">IFERROR(__xludf.DUMMYFUNCTION("""COMPUTED_VALUE"""),2026)</f>
        <v>2026</v>
      </c>
      <c r="F769" s="56">
        <f ca="1">IFERROR(__xludf.DUMMYFUNCTION("""COMPUTED_VALUE"""),3)</f>
        <v>3</v>
      </c>
      <c r="G769" s="33" t="str">
        <f ca="1">IFERROR(__xludf.DUMMYFUNCTION("""COMPUTED_VALUE"""),"Murcia")</f>
        <v>Murcia</v>
      </c>
      <c r="H769" s="33" t="str">
        <f ca="1">IFERROR(__xludf.DUMMYFUNCTION("""COMPUTED_VALUE"""),"C202532516432291")</f>
        <v>C202532516432291</v>
      </c>
      <c r="I769" s="33" t="str">
        <f ca="1">IFERROR(__xludf.DUMMYFUNCTION("""COMPUTED_VALUE"""),"SONIA MARTINEZ MARTINEZ")</f>
        <v>SONIA MARTINEZ MARTINEZ</v>
      </c>
      <c r="J769" s="57">
        <f ca="1">IFERROR(__xludf.DUMMYFUNCTION("""COMPUTED_VALUE"""),45733)</f>
        <v>45733</v>
      </c>
      <c r="K769" s="33" t="str">
        <f ca="1">IFERROR(__xludf.DUMMYFUNCTION("""COMPUTED_VALUE"""),"Devuelve")</f>
        <v>Devuelve</v>
      </c>
      <c r="L769" s="57">
        <f ca="1">IFERROR(__xludf.DUMMYFUNCTION("""COMPUTED_VALUE"""),46092)</f>
        <v>46092</v>
      </c>
      <c r="M769" s="64" t="str">
        <f ca="1">IFERROR(__xludf.DUMMYFUNCTION("""COMPUTED_VALUE"""),"NO")</f>
        <v>NO</v>
      </c>
      <c r="N769" s="56">
        <f ca="1">IFERROR(__xludf.DUMMYFUNCTION("""COMPUTED_VALUE"""),2)</f>
        <v>2</v>
      </c>
      <c r="O769" s="64" t="str">
        <f ca="1">IFERROR(__xludf.DUMMYFUNCTION("""COMPUTED_VALUE"""),"TRIAL")</f>
        <v>TRIAL</v>
      </c>
      <c r="P769" s="62">
        <f ca="1">IFERROR(__xludf.DUMMYFUNCTION("""COMPUTED_VALUE"""),4136.36)</f>
        <v>4136.3599999999997</v>
      </c>
      <c r="Q769" s="33" t="str">
        <f ca="1">IFERROR(__xludf.DUMMYFUNCTION("""COMPUTED_VALUE"""),"Iván Sánchez")</f>
        <v>Iván Sánchez</v>
      </c>
      <c r="R769" s="33" t="str">
        <f ca="1">IFERROR(__xludf.DUMMYFUNCTION("""COMPUTED_VALUE"""),"Dra, María Agustina Sevilla García")</f>
        <v>Dra, María Agustina Sevilla García</v>
      </c>
      <c r="S769" s="61" t="str">
        <f ca="1">IFERROR(__xludf.DUMMYFUNCTION("""COMPUTED_VALUE"""),"03 ORL")</f>
        <v>03 ORL</v>
      </c>
      <c r="T769" s="33" t="str">
        <f ca="1">IFERROR(__xludf.DUMMYFUNCTION("""COMPUTED_VALUE"""),"22 AUDIOMETRIA CLINICA")</f>
        <v>22 AUDIOMETRIA CLINICA</v>
      </c>
      <c r="U769" s="62"/>
      <c r="W769" s="61"/>
      <c r="X769" s="62"/>
    </row>
    <row r="770" spans="2:24" ht="16">
      <c r="B770" s="67" t="str">
        <f t="shared" ca="1" si="3"/>
        <v>#N/</v>
      </c>
      <c r="C770" s="64" t="str">
        <f ca="1">IFERROR(__xludf.DUMMYFUNCTION("""COMPUTED_VALUE"""),"#N/A")</f>
        <v>#N/A</v>
      </c>
      <c r="D770" s="33" t="str">
        <f ca="1">IFERROR(__xludf.DUMMYFUNCTION("""COMPUTED_VALUE"""),"PROPIOS")</f>
        <v>PROPIOS</v>
      </c>
      <c r="E770" s="33">
        <f ca="1">IFERROR(__xludf.DUMMYFUNCTION("""COMPUTED_VALUE"""),2026)</f>
        <v>2026</v>
      </c>
      <c r="F770" s="56">
        <f ca="1">IFERROR(__xludf.DUMMYFUNCTION("""COMPUTED_VALUE"""),3)</f>
        <v>3</v>
      </c>
      <c r="G770" s="33" t="str">
        <f ca="1">IFERROR(__xludf.DUMMYFUNCTION("""COMPUTED_VALUE"""),"Murcia")</f>
        <v>Murcia</v>
      </c>
      <c r="H770" s="33" t="str">
        <f ca="1">IFERROR(__xludf.DUMMYFUNCTION("""COMPUTED_VALUE"""),"C202632010552830768")</f>
        <v>C202632010552830768</v>
      </c>
      <c r="I770" s="33" t="str">
        <f ca="1">IFERROR(__xludf.DUMMYFUNCTION("""COMPUTED_VALUE"""),"TRINITARIO ALBERT MIRA")</f>
        <v>TRINITARIO ALBERT MIRA</v>
      </c>
      <c r="J770" s="57">
        <f ca="1">IFERROR(__xludf.DUMMYFUNCTION("""COMPUTED_VALUE"""),46101)</f>
        <v>46101</v>
      </c>
      <c r="K770" s="33" t="str">
        <f ca="1">IFERROR(__xludf.DUMMYFUNCTION("""COMPUTED_VALUE"""),"Prueba")</f>
        <v>Prueba</v>
      </c>
      <c r="L770" s="57">
        <f ca="1">IFERROR(__xludf.DUMMYFUNCTION("""COMPUTED_VALUE"""),46107)</f>
        <v>46107</v>
      </c>
      <c r="M770" s="64" t="str">
        <f ca="1">IFERROR(__xludf.DUMMYFUNCTION("""COMPUTED_VALUE"""),"NO")</f>
        <v>NO</v>
      </c>
      <c r="N770" s="56">
        <f ca="1">IFERROR(__xludf.DUMMYFUNCTION("""COMPUTED_VALUE"""),2)</f>
        <v>2</v>
      </c>
      <c r="O770" s="64" t="str">
        <f ca="1">IFERROR(__xludf.DUMMYFUNCTION("""COMPUTED_VALUE"""),"QUIET")</f>
        <v>QUIET</v>
      </c>
      <c r="P770" s="62">
        <f ca="1">IFERROR(__xludf.DUMMYFUNCTION("""COMPUTED_VALUE"""),2718.19)</f>
        <v>2718.19</v>
      </c>
      <c r="Q770" s="33" t="str">
        <f ca="1">IFERROR(__xludf.DUMMYFUNCTION("""COMPUTED_VALUE"""),"Iván Sánchez")</f>
        <v>Iván Sánchez</v>
      </c>
      <c r="R770" s="33" t="str">
        <f ca="1">IFERROR(__xludf.DUMMYFUNCTION("""COMPUTED_VALUE"""),"Dr, Enrique Viviente Rodríguez")</f>
        <v>Dr, Enrique Viviente Rodríguez</v>
      </c>
      <c r="S770" s="61" t="str">
        <f ca="1">IFERROR(__xludf.DUMMYFUNCTION("""COMPUTED_VALUE"""),"03 ORL")</f>
        <v>03 ORL</v>
      </c>
      <c r="T770" s="33" t="str">
        <f ca="1">IFERROR(__xludf.DUMMYFUNCTION("""COMPUTED_VALUE"""),"06 ORL")</f>
        <v>06 ORL</v>
      </c>
      <c r="U770" s="62"/>
      <c r="W770" s="61"/>
      <c r="X770" s="62"/>
    </row>
    <row r="771" spans="2:24" ht="16">
      <c r="B771" s="67" t="str">
        <f t="shared" ca="1" si="3"/>
        <v>#N/</v>
      </c>
      <c r="C771" s="64" t="str">
        <f ca="1">IFERROR(__xludf.DUMMYFUNCTION("""COMPUTED_VALUE"""),"#N/A")</f>
        <v>#N/A</v>
      </c>
      <c r="D771" s="33" t="str">
        <f ca="1">IFERROR(__xludf.DUMMYFUNCTION("""COMPUTED_VALUE"""),"PROPIOS")</f>
        <v>PROPIOS</v>
      </c>
      <c r="E771" s="33">
        <f ca="1">IFERROR(__xludf.DUMMYFUNCTION("""COMPUTED_VALUE"""),2026)</f>
        <v>2026</v>
      </c>
      <c r="F771" s="56">
        <f ca="1">IFERROR(__xludf.DUMMYFUNCTION("""COMPUTED_VALUE"""),1)</f>
        <v>1</v>
      </c>
      <c r="G771" s="33" t="str">
        <f ca="1">IFERROR(__xludf.DUMMYFUNCTION("""COMPUTED_VALUE"""),"Murcia")</f>
        <v>Murcia</v>
      </c>
      <c r="H771" s="33" t="str">
        <f ca="1">IFERROR(__xludf.DUMMYFUNCTION("""COMPUTED_VALUE"""),"C202611614562966323")</f>
        <v>C202611614562966323</v>
      </c>
      <c r="I771" s="33" t="str">
        <f ca="1">IFERROR(__xludf.DUMMYFUNCTION("""COMPUTED_VALUE"""),"WHELAN LIDIJA BORISOVNA")</f>
        <v>WHELAN LIDIJA BORISOVNA</v>
      </c>
      <c r="J771" s="57">
        <f ca="1">IFERROR(__xludf.DUMMYFUNCTION("""COMPUTED_VALUE"""),46038)</f>
        <v>46038</v>
      </c>
      <c r="K771" s="33" t="str">
        <f ca="1">IFERROR(__xludf.DUMMYFUNCTION("""COMPUTED_VALUE"""),"Devuelve")</f>
        <v>Devuelve</v>
      </c>
      <c r="L771" s="57">
        <f ca="1">IFERROR(__xludf.DUMMYFUNCTION("""COMPUTED_VALUE"""),46048)</f>
        <v>46048</v>
      </c>
      <c r="M771" s="64" t="str">
        <f ca="1">IFERROR(__xludf.DUMMYFUNCTION("""COMPUTED_VALUE"""),"NO")</f>
        <v>NO</v>
      </c>
      <c r="N771" s="56">
        <f ca="1">IFERROR(__xludf.DUMMYFUNCTION("""COMPUTED_VALUE"""),2)</f>
        <v>2</v>
      </c>
      <c r="O771" s="64" t="str">
        <f ca="1">IFERROR(__xludf.DUMMYFUNCTION("""COMPUTED_VALUE"""),"TRIAL")</f>
        <v>TRIAL</v>
      </c>
      <c r="P771" s="62">
        <f ca="1">IFERROR(__xludf.DUMMYFUNCTION("""COMPUTED_VALUE"""),3631.82)</f>
        <v>3631.82</v>
      </c>
      <c r="Q771" s="33" t="str">
        <f ca="1">IFERROR(__xludf.DUMMYFUNCTION("""COMPUTED_VALUE"""),"Iván Sánchez")</f>
        <v>Iván Sánchez</v>
      </c>
      <c r="R771" s="33" t="str">
        <f ca="1">IFERROR(__xludf.DUMMYFUNCTION("""COMPUTED_VALUE"""),"Dr, Jesús Miguel Iniesta Turpín")</f>
        <v>Dr, Jesús Miguel Iniesta Turpín</v>
      </c>
      <c r="S771" s="61" t="str">
        <f ca="1">IFERROR(__xludf.DUMMYFUNCTION("""COMPUTED_VALUE"""),"03 ORL")</f>
        <v>03 ORL</v>
      </c>
      <c r="T771" s="33" t="str">
        <f ca="1">IFERROR(__xludf.DUMMYFUNCTION("""COMPUTED_VALUE"""),"06 ORL")</f>
        <v>06 ORL</v>
      </c>
      <c r="U771" s="62"/>
      <c r="W771" s="61"/>
      <c r="X771" s="62"/>
    </row>
    <row r="772" spans="2:24" ht="16">
      <c r="B772" s="67" t="str">
        <f t="shared" ca="1" si="3"/>
        <v>#N/</v>
      </c>
      <c r="C772" s="64" t="str">
        <f ca="1">IFERROR(__xludf.DUMMYFUNCTION("""COMPUTED_VALUE"""),"#N/A")</f>
        <v>#N/A</v>
      </c>
      <c r="D772" s="33" t="str">
        <f ca="1">IFERROR(__xludf.DUMMYFUNCTION("""COMPUTED_VALUE"""),"PROPIOS")</f>
        <v>PROPIOS</v>
      </c>
      <c r="E772" s="33">
        <f ca="1">IFERROR(__xludf.DUMMYFUNCTION("""COMPUTED_VALUE"""),2026)</f>
        <v>2026</v>
      </c>
      <c r="F772" s="56">
        <f ca="1">IFERROR(__xludf.DUMMYFUNCTION("""COMPUTED_VALUE"""),2)</f>
        <v>2</v>
      </c>
      <c r="G772" s="33" t="str">
        <f ca="1">IFERROR(__xludf.DUMMYFUNCTION("""COMPUTED_VALUE"""),"Murcia")</f>
        <v>Murcia</v>
      </c>
      <c r="H772" s="33" t="str">
        <f ca="1">IFERROR(__xludf.DUMMYFUNCTION("""COMPUTED_VALUE"""),"C202510291821465073")</f>
        <v>C202510291821465073</v>
      </c>
      <c r="I772" s="33" t="str">
        <f ca="1">IFERROR(__xludf.DUMMYFUNCTION("""COMPUTED_VALUE"""),"YOLANDA ROSADO LOPEZ")</f>
        <v>YOLANDA ROSADO LOPEZ</v>
      </c>
      <c r="J772" s="57">
        <f ca="1">IFERROR(__xludf.DUMMYFUNCTION("""COMPUTED_VALUE"""),45959)</f>
        <v>45959</v>
      </c>
      <c r="K772" s="33" t="str">
        <f ca="1">IFERROR(__xludf.DUMMYFUNCTION("""COMPUTED_VALUE"""),"Devuelve")</f>
        <v>Devuelve</v>
      </c>
      <c r="L772" s="57">
        <f ca="1">IFERROR(__xludf.DUMMYFUNCTION("""COMPUTED_VALUE"""),46079)</f>
        <v>46079</v>
      </c>
      <c r="M772" s="64" t="str">
        <f ca="1">IFERROR(__xludf.DUMMYFUNCTION("""COMPUTED_VALUE"""),"NO")</f>
        <v>NO</v>
      </c>
      <c r="N772" s="56">
        <f ca="1">IFERROR(__xludf.DUMMYFUNCTION("""COMPUTED_VALUE"""),2)</f>
        <v>2</v>
      </c>
      <c r="O772" s="64" t="str">
        <f ca="1">IFERROR(__xludf.DUMMYFUNCTION("""COMPUTED_VALUE"""),"TRIAL")</f>
        <v>TRIAL</v>
      </c>
      <c r="P772" s="62">
        <f ca="1">IFERROR(__xludf.DUMMYFUNCTION("""COMPUTED_VALUE"""),4136.36)</f>
        <v>4136.3599999999997</v>
      </c>
      <c r="Q772" s="33" t="str">
        <f ca="1">IFERROR(__xludf.DUMMYFUNCTION("""COMPUTED_VALUE"""),"Iván Sánchez")</f>
        <v>Iván Sánchez</v>
      </c>
      <c r="R772" s="33" t="str">
        <f ca="1">IFERROR(__xludf.DUMMYFUNCTION("""COMPUTED_VALUE"""),"Dr, Jesús Miguel Iniesta Turpín")</f>
        <v>Dr, Jesús Miguel Iniesta Turpín</v>
      </c>
      <c r="S772" s="61" t="str">
        <f ca="1">IFERROR(__xludf.DUMMYFUNCTION("""COMPUTED_VALUE"""),"03 ORL")</f>
        <v>03 ORL</v>
      </c>
      <c r="T772" s="33" t="str">
        <f ca="1">IFERROR(__xludf.DUMMYFUNCTION("""COMPUTED_VALUE"""),"22 AUDIOMETRIA CLINICA")</f>
        <v>22 AUDIOMETRIA CLINICA</v>
      </c>
      <c r="U772" s="62"/>
      <c r="W772" s="61"/>
      <c r="X772" s="62"/>
    </row>
    <row r="773" spans="2:24" ht="16">
      <c r="B773" s="67" t="str">
        <f t="shared" ca="1" si="3"/>
        <v/>
      </c>
      <c r="C773" s="64"/>
      <c r="D773" s="33" t="str">
        <f ca="1">IFERROR(__xludf.DUMMYFUNCTION("""COMPUTED_VALUE"""),"ASOCIADOS")</f>
        <v>ASOCIADOS</v>
      </c>
      <c r="E773" s="33">
        <f ca="1">IFERROR(__xludf.DUMMYFUNCTION("""COMPUTED_VALUE"""),2026)</f>
        <v>2026</v>
      </c>
      <c r="F773" s="56">
        <f ca="1">IFERROR(__xludf.DUMMYFUNCTION("""COMPUTED_VALUE"""),2)</f>
        <v>2</v>
      </c>
      <c r="G773" s="33" t="str">
        <f ca="1">IFERROR(__xludf.DUMMYFUNCTION("""COMPUTED_VALUE"""),"O Barco de Valdeorras")</f>
        <v>O Barco de Valdeorras</v>
      </c>
      <c r="H773" s="33" t="str">
        <f ca="1">IFERROR(__xludf.DUMMYFUNCTION("""COMPUTED_VALUE"""),"C20262189014769047")</f>
        <v>C20262189014769047</v>
      </c>
      <c r="I773" s="33" t="str">
        <f ca="1">IFERROR(__xludf.DUMMYFUNCTION("""COMPUTED_VALUE"""),"celestino  lopez lopez")</f>
        <v>celestino  lopez lopez</v>
      </c>
      <c r="J773" s="57">
        <f ca="1">IFERROR(__xludf.DUMMYFUNCTION("""COMPUTED_VALUE"""),46071)</f>
        <v>46071</v>
      </c>
      <c r="K773" s="33" t="str">
        <f ca="1">IFERROR(__xludf.DUMMYFUNCTION("""COMPUTED_VALUE"""),"Pedido")</f>
        <v>Pedido</v>
      </c>
      <c r="L773" s="57">
        <f ca="1">IFERROR(__xludf.DUMMYFUNCTION("""COMPUTED_VALUE"""),46072)</f>
        <v>46072</v>
      </c>
      <c r="M773" s="64" t="str">
        <f ca="1">IFERROR(__xludf.DUMMYFUNCTION("""COMPUTED_VALUE"""),"NO")</f>
        <v>NO</v>
      </c>
      <c r="N773" s="56">
        <f ca="1">IFERROR(__xludf.DUMMYFUNCTION("""COMPUTED_VALUE"""),2)</f>
        <v>2</v>
      </c>
      <c r="O773" s="64" t="str">
        <f ca="1">IFERROR(__xludf.DUMMYFUNCTION("""COMPUTED_VALUE"""),"QUIET")</f>
        <v>QUIET</v>
      </c>
      <c r="P773" s="62">
        <f ca="1">IFERROR(__xludf.DUMMYFUNCTION("""COMPUTED_VALUE"""),3181.82)</f>
        <v>3181.82</v>
      </c>
      <c r="Q773" s="33" t="str">
        <f ca="1">IFERROR(__xludf.DUMMYFUNCTION("""COMPUTED_VALUE"""),"Alberto Moreno")</f>
        <v>Alberto Moreno</v>
      </c>
      <c r="R773" s="33" t="str">
        <f ca="1">IFERROR(__xludf.DUMMYFUNCTION("""COMPUTED_VALUE"""),"No recuerda ORL")</f>
        <v>No recuerda ORL</v>
      </c>
      <c r="S773" s="61" t="str">
        <f ca="1">IFERROR(__xludf.DUMMYFUNCTION("""COMPUTED_VALUE"""),"03 ORL")</f>
        <v>03 ORL</v>
      </c>
      <c r="T773" s="33" t="str">
        <f ca="1">IFERROR(__xludf.DUMMYFUNCTION("""COMPUTED_VALUE"""),"22 AUDIOMETRIA CLINICA")</f>
        <v>22 AUDIOMETRIA CLINICA</v>
      </c>
      <c r="U773" s="62"/>
      <c r="W773" s="61"/>
      <c r="X773" s="62"/>
    </row>
    <row r="774" spans="2:24" ht="16">
      <c r="B774" s="67" t="str">
        <f t="shared" ca="1" si="3"/>
        <v>#N/</v>
      </c>
      <c r="C774" s="64" t="str">
        <f ca="1">IFERROR(__xludf.DUMMYFUNCTION("""COMPUTED_VALUE"""),"#N/A")</f>
        <v>#N/A</v>
      </c>
      <c r="D774" s="33" t="str">
        <f ca="1">IFERROR(__xludf.DUMMYFUNCTION("""COMPUTED_VALUE"""),"PROPIOS")</f>
        <v>PROPIOS</v>
      </c>
      <c r="E774" s="33">
        <f ca="1">IFERROR(__xludf.DUMMYFUNCTION("""COMPUTED_VALUE"""),2026)</f>
        <v>2026</v>
      </c>
      <c r="F774" s="56">
        <f ca="1">IFERROR(__xludf.DUMMYFUNCTION("""COMPUTED_VALUE"""),1)</f>
        <v>1</v>
      </c>
      <c r="G774" s="33" t="str">
        <f ca="1">IFERROR(__xludf.DUMMYFUNCTION("""COMPUTED_VALUE"""),"Orihuela")</f>
        <v>Orihuela</v>
      </c>
      <c r="H774" s="33" t="str">
        <f ca="1">IFERROR(__xludf.DUMMYFUNCTION("""COMPUTED_VALUE"""),"C202512231662888254")</f>
        <v>C202512231662888254</v>
      </c>
      <c r="I774" s="33" t="str">
        <f ca="1">IFERROR(__xludf.DUMMYFUNCTION("""COMPUTED_VALUE"""),"CARLOS MONTESA BERNET")</f>
        <v>CARLOS MONTESA BERNET</v>
      </c>
      <c r="J774" s="57">
        <f ca="1">IFERROR(__xludf.DUMMYFUNCTION("""COMPUTED_VALUE"""),46014)</f>
        <v>46014</v>
      </c>
      <c r="K774" s="33" t="str">
        <f ca="1">IFERROR(__xludf.DUMMYFUNCTION("""COMPUTED_VALUE"""),"Presupuesto")</f>
        <v>Presupuesto</v>
      </c>
      <c r="L774" s="57">
        <f ca="1">IFERROR(__xludf.DUMMYFUNCTION("""COMPUTED_VALUE"""),46029)</f>
        <v>46029</v>
      </c>
      <c r="M774" s="64" t="str">
        <f ca="1">IFERROR(__xludf.DUMMYFUNCTION("""COMPUTED_VALUE"""),"NO")</f>
        <v>NO</v>
      </c>
      <c r="N774" s="56">
        <f ca="1">IFERROR(__xludf.DUMMYFUNCTION("""COMPUTED_VALUE"""),2)</f>
        <v>2</v>
      </c>
      <c r="O774" s="64" t="str">
        <f ca="1">IFERROR(__xludf.DUMMYFUNCTION("""COMPUTED_VALUE"""),"CONFORT")</f>
        <v>CONFORT</v>
      </c>
      <c r="P774" s="62">
        <f ca="1">IFERROR(__xludf.DUMMYFUNCTION("""COMPUTED_VALUE"""),3631.82)</f>
        <v>3631.82</v>
      </c>
      <c r="Q774" s="33" t="str">
        <f ca="1">IFERROR(__xludf.DUMMYFUNCTION("""COMPUTED_VALUE"""),"Iván Sánchez")</f>
        <v>Iván Sánchez</v>
      </c>
      <c r="R774" s="33" t="str">
        <f ca="1">IFERROR(__xludf.DUMMYFUNCTION("""COMPUTED_VALUE"""),"Dr, Santiago Moreno Paredes")</f>
        <v>Dr, Santiago Moreno Paredes</v>
      </c>
      <c r="S774" s="61" t="str">
        <f ca="1">IFERROR(__xludf.DUMMYFUNCTION("""COMPUTED_VALUE"""),"03 ORL")</f>
        <v>03 ORL</v>
      </c>
      <c r="T774" s="33" t="str">
        <f ca="1">IFERROR(__xludf.DUMMYFUNCTION("""COMPUTED_VALUE"""),"06 ORL")</f>
        <v>06 ORL</v>
      </c>
      <c r="U774" s="62"/>
      <c r="W774" s="61"/>
      <c r="X774" s="62"/>
    </row>
    <row r="775" spans="2:24" ht="16">
      <c r="B775" s="67" t="str">
        <f t="shared" ca="1" si="3"/>
        <v/>
      </c>
      <c r="C775" s="64"/>
      <c r="D775" s="33" t="str">
        <f ca="1">IFERROR(__xludf.DUMMYFUNCTION("""COMPUTED_VALUE"""),"PROPIOS")</f>
        <v>PROPIOS</v>
      </c>
      <c r="E775" s="33">
        <f ca="1">IFERROR(__xludf.DUMMYFUNCTION("""COMPUTED_VALUE"""),2026)</f>
        <v>2026</v>
      </c>
      <c r="F775" s="56">
        <f ca="1">IFERROR(__xludf.DUMMYFUNCTION("""COMPUTED_VALUE"""),1)</f>
        <v>1</v>
      </c>
      <c r="G775" s="33" t="str">
        <f ca="1">IFERROR(__xludf.DUMMYFUNCTION("""COMPUTED_VALUE"""),"Orihuela")</f>
        <v>Orihuela</v>
      </c>
      <c r="H775" s="33" t="str">
        <f ca="1">IFERROR(__xludf.DUMMYFUNCTION("""COMPUTED_VALUE"""),"C202611915381671609")</f>
        <v>C202611915381671609</v>
      </c>
      <c r="I775" s="33" t="str">
        <f ca="1">IFERROR(__xludf.DUMMYFUNCTION("""COMPUTED_VALUE"""),"JULIÁN RUZ TREVIÑO")</f>
        <v>JULIÁN RUZ TREVIÑO</v>
      </c>
      <c r="J775" s="57">
        <f ca="1">IFERROR(__xludf.DUMMYFUNCTION("""COMPUTED_VALUE"""),46041)</f>
        <v>46041</v>
      </c>
      <c r="K775" s="33" t="str">
        <f ca="1">IFERROR(__xludf.DUMMYFUNCTION("""COMPUTED_VALUE"""),"Presupuesto")</f>
        <v>Presupuesto</v>
      </c>
      <c r="L775" s="57">
        <f ca="1">IFERROR(__xludf.DUMMYFUNCTION("""COMPUTED_VALUE"""),46045)</f>
        <v>46045</v>
      </c>
      <c r="M775" s="64" t="str">
        <f ca="1">IFERROR(__xludf.DUMMYFUNCTION("""COMPUTED_VALUE"""),"NO")</f>
        <v>NO</v>
      </c>
      <c r="N775" s="56">
        <f ca="1">IFERROR(__xludf.DUMMYFUNCTION("""COMPUTED_VALUE"""),2)</f>
        <v>2</v>
      </c>
      <c r="O775" s="64" t="str">
        <f ca="1">IFERROR(__xludf.DUMMYFUNCTION("""COMPUTED_VALUE"""),"QUIET")</f>
        <v>QUIET</v>
      </c>
      <c r="P775" s="62">
        <f ca="1">IFERROR(__xludf.DUMMYFUNCTION("""COMPUTED_VALUE"""),2718.18)</f>
        <v>2718.18</v>
      </c>
      <c r="Q775" s="33" t="str">
        <f ca="1">IFERROR(__xludf.DUMMYFUNCTION("""COMPUTED_VALUE"""),"Iván Sánchez")</f>
        <v>Iván Sánchez</v>
      </c>
      <c r="R775" s="33" t="str">
        <f ca="1">IFERROR(__xludf.DUMMYFUNCTION("""COMPUTED_VALUE"""),"No recuerda ORL")</f>
        <v>No recuerda ORL</v>
      </c>
      <c r="S775" s="61" t="str">
        <f ca="1">IFERROR(__xludf.DUMMYFUNCTION("""COMPUTED_VALUE"""),"03 ORL")</f>
        <v>03 ORL</v>
      </c>
      <c r="T775" s="33" t="str">
        <f ca="1">IFERROR(__xludf.DUMMYFUNCTION("""COMPUTED_VALUE"""),"06 ORL")</f>
        <v>06 ORL</v>
      </c>
      <c r="U775" s="62"/>
      <c r="W775" s="61"/>
      <c r="X775" s="62"/>
    </row>
    <row r="776" spans="2:24" ht="16">
      <c r="B776" s="67" t="str">
        <f t="shared" ca="1" si="3"/>
        <v>#N/</v>
      </c>
      <c r="C776" s="64" t="str">
        <f ca="1">IFERROR(__xludf.DUMMYFUNCTION("""COMPUTED_VALUE"""),"#N/A")</f>
        <v>#N/A</v>
      </c>
      <c r="D776" s="33" t="str">
        <f ca="1">IFERROR(__xludf.DUMMYFUNCTION("""COMPUTED_VALUE"""),"PROPIOS")</f>
        <v>PROPIOS</v>
      </c>
      <c r="E776" s="33">
        <f ca="1">IFERROR(__xludf.DUMMYFUNCTION("""COMPUTED_VALUE"""),2026)</f>
        <v>2026</v>
      </c>
      <c r="F776" s="56">
        <f ca="1">IFERROR(__xludf.DUMMYFUNCTION("""COMPUTED_VALUE"""),2)</f>
        <v>2</v>
      </c>
      <c r="G776" s="33" t="str">
        <f ca="1">IFERROR(__xludf.DUMMYFUNCTION("""COMPUTED_VALUE"""),"Orihuela")</f>
        <v>Orihuela</v>
      </c>
      <c r="H776" s="33" t="str">
        <f ca="1">IFERROR(__xludf.DUMMYFUNCTION("""COMPUTED_VALUE"""),"C202624162045493638")</f>
        <v>C202624162045493638</v>
      </c>
      <c r="I776" s="33" t="str">
        <f ca="1">IFERROR(__xludf.DUMMYFUNCTION("""COMPUTED_VALUE"""),"LUIS MIGUEL MONTEIRO CORREIA FALEIRO")</f>
        <v>LUIS MIGUEL MONTEIRO CORREIA FALEIRO</v>
      </c>
      <c r="J776" s="57">
        <f ca="1">IFERROR(__xludf.DUMMYFUNCTION("""COMPUTED_VALUE"""),46057)</f>
        <v>46057</v>
      </c>
      <c r="K776" s="33" t="str">
        <f ca="1">IFERROR(__xludf.DUMMYFUNCTION("""COMPUTED_VALUE"""),"Devuelve")</f>
        <v>Devuelve</v>
      </c>
      <c r="L776" s="57">
        <f ca="1">IFERROR(__xludf.DUMMYFUNCTION("""COMPUTED_VALUE"""),46064)</f>
        <v>46064</v>
      </c>
      <c r="M776" s="58" t="str">
        <f ca="1">IFERROR(__xludf.DUMMYFUNCTION("""COMPUTED_VALUE"""),"NO")</f>
        <v>NO</v>
      </c>
      <c r="N776" s="56">
        <f ca="1">IFERROR(__xludf.DUMMYFUNCTION("""COMPUTED_VALUE"""),2)</f>
        <v>2</v>
      </c>
      <c r="O776" s="64" t="str">
        <f ca="1">IFERROR(__xludf.DUMMYFUNCTION("""COMPUTED_VALUE"""),"TRIAL")</f>
        <v>TRIAL</v>
      </c>
      <c r="P776" s="62">
        <f ca="1">IFERROR(__xludf.DUMMYFUNCTION("""COMPUTED_VALUE"""),3631.82)</f>
        <v>3631.82</v>
      </c>
      <c r="Q776" s="33" t="str">
        <f ca="1">IFERROR(__xludf.DUMMYFUNCTION("""COMPUTED_VALUE"""),"Iván Sánchez")</f>
        <v>Iván Sánchez</v>
      </c>
      <c r="R776" s="33" t="str">
        <f ca="1">IFERROR(__xludf.DUMMYFUNCTION("""COMPUTED_VALUE"""),"Dra, Aurora López Llames")</f>
        <v>Dra, Aurora López Llames</v>
      </c>
      <c r="S776" s="61" t="str">
        <f ca="1">IFERROR(__xludf.DUMMYFUNCTION("""COMPUTED_VALUE"""),"03 ORL")</f>
        <v>03 ORL</v>
      </c>
      <c r="T776" s="33" t="str">
        <f ca="1">IFERROR(__xludf.DUMMYFUNCTION("""COMPUTED_VALUE"""),"06 ORL")</f>
        <v>06 ORL</v>
      </c>
      <c r="U776" s="62"/>
      <c r="W776" s="61"/>
      <c r="X776" s="62"/>
    </row>
    <row r="777" spans="2:24" ht="16">
      <c r="B777" s="67" t="str">
        <f t="shared" ca="1" si="3"/>
        <v>#N/</v>
      </c>
      <c r="C777" s="64" t="str">
        <f ca="1">IFERROR(__xludf.DUMMYFUNCTION("""COMPUTED_VALUE"""),"#N/A")</f>
        <v>#N/A</v>
      </c>
      <c r="D777" s="33" t="str">
        <f ca="1">IFERROR(__xludf.DUMMYFUNCTION("""COMPUTED_VALUE"""),"PROPIOS")</f>
        <v>PROPIOS</v>
      </c>
      <c r="E777" s="33">
        <f ca="1">IFERROR(__xludf.DUMMYFUNCTION("""COMPUTED_VALUE"""),2026)</f>
        <v>2026</v>
      </c>
      <c r="F777" s="56">
        <f ca="1">IFERROR(__xludf.DUMMYFUNCTION("""COMPUTED_VALUE"""),2)</f>
        <v>2</v>
      </c>
      <c r="G777" s="33" t="str">
        <f ca="1">IFERROR(__xludf.DUMMYFUNCTION("""COMPUTED_VALUE"""),"Orihuela")</f>
        <v>Orihuela</v>
      </c>
      <c r="H777" s="33" t="str">
        <f ca="1">IFERROR(__xludf.DUMMYFUNCTION("""COMPUTED_VALUE"""),"C20262317314884201")</f>
        <v>C20262317314884201</v>
      </c>
      <c r="I777" s="33" t="str">
        <f ca="1">IFERROR(__xludf.DUMMYFUNCTION("""COMPUTED_VALUE"""),"MONIQUE MARIE KLEIN")</f>
        <v>MONIQUE MARIE KLEIN</v>
      </c>
      <c r="J777" s="57">
        <f ca="1">IFERROR(__xludf.DUMMYFUNCTION("""COMPUTED_VALUE"""),46056)</f>
        <v>46056</v>
      </c>
      <c r="K777" s="33" t="str">
        <f ca="1">IFERROR(__xludf.DUMMYFUNCTION("""COMPUTED_VALUE"""),"Devuelve")</f>
        <v>Devuelve</v>
      </c>
      <c r="L777" s="57">
        <f ca="1">IFERROR(__xludf.DUMMYFUNCTION("""COMPUTED_VALUE"""),46071)</f>
        <v>46071</v>
      </c>
      <c r="M777" s="64" t="str">
        <f ca="1">IFERROR(__xludf.DUMMYFUNCTION("""COMPUTED_VALUE"""),"NO")</f>
        <v>NO</v>
      </c>
      <c r="N777" s="56">
        <f ca="1">IFERROR(__xludf.DUMMYFUNCTION("""COMPUTED_VALUE"""),2)</f>
        <v>2</v>
      </c>
      <c r="O777" s="64" t="str">
        <f ca="1">IFERROR(__xludf.DUMMYFUNCTION("""COMPUTED_VALUE"""),"CONFORT")</f>
        <v>CONFORT</v>
      </c>
      <c r="P777" s="62">
        <f ca="1">IFERROR(__xludf.DUMMYFUNCTION("""COMPUTED_VALUE"""),3631.82)</f>
        <v>3631.82</v>
      </c>
      <c r="Q777" s="33" t="str">
        <f ca="1">IFERROR(__xludf.DUMMYFUNCTION("""COMPUTED_VALUE"""),"Iván Sánchez")</f>
        <v>Iván Sánchez</v>
      </c>
      <c r="R777" s="33" t="str">
        <f ca="1">IFERROR(__xludf.DUMMYFUNCTION("""COMPUTED_VALUE"""),"Dr, Juan Javier Álvarez López")</f>
        <v>Dr, Juan Javier Álvarez López</v>
      </c>
      <c r="S777" s="61" t="str">
        <f ca="1">IFERROR(__xludf.DUMMYFUNCTION("""COMPUTED_VALUE"""),"03 ORL")</f>
        <v>03 ORL</v>
      </c>
      <c r="T777" s="33" t="str">
        <f ca="1">IFERROR(__xludf.DUMMYFUNCTION("""COMPUTED_VALUE"""),"06 ORL")</f>
        <v>06 ORL</v>
      </c>
      <c r="U777" s="62"/>
      <c r="W777" s="61"/>
      <c r="X777" s="62"/>
    </row>
    <row r="778" spans="2:24" ht="16">
      <c r="B778" s="67" t="str">
        <f t="shared" ca="1" si="3"/>
        <v>#N/</v>
      </c>
      <c r="C778" s="64" t="str">
        <f ca="1">IFERROR(__xludf.DUMMYFUNCTION("""COMPUTED_VALUE"""),"#N/A")</f>
        <v>#N/A</v>
      </c>
      <c r="D778" s="33" t="str">
        <f ca="1">IFERROR(__xludf.DUMMYFUNCTION("""COMPUTED_VALUE"""),"PROPIOS")</f>
        <v>PROPIOS</v>
      </c>
      <c r="E778" s="33">
        <f ca="1">IFERROR(__xludf.DUMMYFUNCTION("""COMPUTED_VALUE"""),2026)</f>
        <v>2026</v>
      </c>
      <c r="F778" s="56">
        <f ca="1">IFERROR(__xludf.DUMMYFUNCTION("""COMPUTED_VALUE"""),1)</f>
        <v>1</v>
      </c>
      <c r="G778" s="33" t="str">
        <f ca="1">IFERROR(__xludf.DUMMYFUNCTION("""COMPUTED_VALUE"""),"Orihuela")</f>
        <v>Orihuela</v>
      </c>
      <c r="H778" s="33" t="str">
        <f ca="1">IFERROR(__xludf.DUMMYFUNCTION("""COMPUTED_VALUE"""),"C202512301027322065")</f>
        <v>C202512301027322065</v>
      </c>
      <c r="I778" s="33" t="str">
        <f ca="1">IFERROR(__xludf.DUMMYFUNCTION("""COMPUTED_VALUE"""),"ROBERTO JOAQUÍN DEL MORAL MEZO")</f>
        <v>ROBERTO JOAQUÍN DEL MORAL MEZO</v>
      </c>
      <c r="J778" s="57">
        <f ca="1">IFERROR(__xludf.DUMMYFUNCTION("""COMPUTED_VALUE"""),46021)</f>
        <v>46021</v>
      </c>
      <c r="K778" s="33" t="str">
        <f ca="1">IFERROR(__xludf.DUMMYFUNCTION("""COMPUTED_VALUE"""),"Devuelve")</f>
        <v>Devuelve</v>
      </c>
      <c r="L778" s="57">
        <f ca="1">IFERROR(__xludf.DUMMYFUNCTION("""COMPUTED_VALUE"""),46036)</f>
        <v>46036</v>
      </c>
      <c r="M778" s="64" t="str">
        <f ca="1">IFERROR(__xludf.DUMMYFUNCTION("""COMPUTED_VALUE"""),"NO")</f>
        <v>NO</v>
      </c>
      <c r="N778" s="56">
        <f ca="1">IFERROR(__xludf.DUMMYFUNCTION("""COMPUTED_VALUE"""),2)</f>
        <v>2</v>
      </c>
      <c r="O778" s="64" t="str">
        <f ca="1">IFERROR(__xludf.DUMMYFUNCTION("""COMPUTED_VALUE"""),"QUIET")</f>
        <v>QUIET</v>
      </c>
      <c r="P778" s="62">
        <f ca="1">IFERROR(__xludf.DUMMYFUNCTION("""COMPUTED_VALUE"""),2718.18)</f>
        <v>2718.18</v>
      </c>
      <c r="Q778" s="33" t="str">
        <f ca="1">IFERROR(__xludf.DUMMYFUNCTION("""COMPUTED_VALUE"""),"Iván Sánchez")</f>
        <v>Iván Sánchez</v>
      </c>
      <c r="R778" s="33" t="str">
        <f ca="1">IFERROR(__xludf.DUMMYFUNCTION("""COMPUTED_VALUE"""),"Dr, Juan Javier Álvarez López")</f>
        <v>Dr, Juan Javier Álvarez López</v>
      </c>
      <c r="S778" s="61" t="str">
        <f ca="1">IFERROR(__xludf.DUMMYFUNCTION("""COMPUTED_VALUE"""),"03 ORL")</f>
        <v>03 ORL</v>
      </c>
      <c r="T778" s="33" t="str">
        <f ca="1">IFERROR(__xludf.DUMMYFUNCTION("""COMPUTED_VALUE"""),"06 ORL")</f>
        <v>06 ORL</v>
      </c>
      <c r="U778" s="62"/>
      <c r="W778" s="61"/>
      <c r="X778" s="62"/>
    </row>
    <row r="779" spans="2:24" ht="16">
      <c r="B779" s="67" t="str">
        <f t="shared" ca="1" si="3"/>
        <v>#N/</v>
      </c>
      <c r="C779" s="64" t="str">
        <f ca="1">IFERROR(__xludf.DUMMYFUNCTION("""COMPUTED_VALUE"""),"#N/A")</f>
        <v>#N/A</v>
      </c>
      <c r="D779" s="33" t="str">
        <f ca="1">IFERROR(__xludf.DUMMYFUNCTION("""COMPUTED_VALUE"""),"PROPIOS")</f>
        <v>PROPIOS</v>
      </c>
      <c r="E779" s="33">
        <f ca="1">IFERROR(__xludf.DUMMYFUNCTION("""COMPUTED_VALUE"""),2026)</f>
        <v>2026</v>
      </c>
      <c r="F779" s="56">
        <f ca="1">IFERROR(__xludf.DUMMYFUNCTION("""COMPUTED_VALUE"""),3)</f>
        <v>3</v>
      </c>
      <c r="G779" s="33" t="str">
        <f ca="1">IFERROR(__xludf.DUMMYFUNCTION("""COMPUTED_VALUE"""),"Orihuela")</f>
        <v>Orihuela</v>
      </c>
      <c r="H779" s="33" t="str">
        <f ca="1">IFERROR(__xludf.DUMMYFUNCTION("""COMPUTED_VALUE"""),"C202621810511350282")</f>
        <v>C202621810511350282</v>
      </c>
      <c r="I779" s="33" t="str">
        <f ca="1">IFERROR(__xludf.DUMMYFUNCTION("""COMPUTED_VALUE"""),"SERGEI MISHANKOV")</f>
        <v>SERGEI MISHANKOV</v>
      </c>
      <c r="J779" s="57">
        <f ca="1">IFERROR(__xludf.DUMMYFUNCTION("""COMPUTED_VALUE"""),46071)</f>
        <v>46071</v>
      </c>
      <c r="K779" s="33" t="str">
        <f ca="1">IFERROR(__xludf.DUMMYFUNCTION("""COMPUTED_VALUE"""),"Devuelve")</f>
        <v>Devuelve</v>
      </c>
      <c r="L779" s="57">
        <f ca="1">IFERROR(__xludf.DUMMYFUNCTION("""COMPUTED_VALUE"""),46083)</f>
        <v>46083</v>
      </c>
      <c r="M779" s="64" t="str">
        <f ca="1">IFERROR(__xludf.DUMMYFUNCTION("""COMPUTED_VALUE"""),"NO")</f>
        <v>NO</v>
      </c>
      <c r="N779" s="56">
        <f ca="1">IFERROR(__xludf.DUMMYFUNCTION("""COMPUTED_VALUE"""),2)</f>
        <v>2</v>
      </c>
      <c r="O779" s="64" t="str">
        <f ca="1">IFERROR(__xludf.DUMMYFUNCTION("""COMPUTED_VALUE"""),"QUIET")</f>
        <v>QUIET</v>
      </c>
      <c r="P779" s="62">
        <f ca="1">IFERROR(__xludf.DUMMYFUNCTION("""COMPUTED_VALUE"""),2718.18)</f>
        <v>2718.18</v>
      </c>
      <c r="Q779" s="33" t="str">
        <f ca="1">IFERROR(__xludf.DUMMYFUNCTION("""COMPUTED_VALUE"""),"Iván Sánchez")</f>
        <v>Iván Sánchez</v>
      </c>
      <c r="R779" s="33" t="str">
        <f ca="1">IFERROR(__xludf.DUMMYFUNCTION("""COMPUTED_VALUE"""),"Dr, Carlos Velásquez Fermín")</f>
        <v>Dr, Carlos Velásquez Fermín</v>
      </c>
      <c r="S779" s="61" t="str">
        <f ca="1">IFERROR(__xludf.DUMMYFUNCTION("""COMPUTED_VALUE"""),"03 ORL")</f>
        <v>03 ORL</v>
      </c>
      <c r="T779" s="33" t="str">
        <f ca="1">IFERROR(__xludf.DUMMYFUNCTION("""COMPUTED_VALUE"""),"06 ORL")</f>
        <v>06 ORL</v>
      </c>
      <c r="U779" s="62"/>
      <c r="W779" s="61"/>
      <c r="X779" s="62"/>
    </row>
    <row r="780" spans="2:24" ht="16">
      <c r="B780" s="67" t="str">
        <f t="shared" ca="1" si="3"/>
        <v>#N/</v>
      </c>
      <c r="C780" s="64" t="str">
        <f ca="1">IFERROR(__xludf.DUMMYFUNCTION("""COMPUTED_VALUE"""),"#N/A")</f>
        <v>#N/A</v>
      </c>
      <c r="D780" s="33" t="str">
        <f ca="1">IFERROR(__xludf.DUMMYFUNCTION("""COMPUTED_VALUE"""),"PROPIOS")</f>
        <v>PROPIOS</v>
      </c>
      <c r="E780" s="33">
        <f ca="1">IFERROR(__xludf.DUMMYFUNCTION("""COMPUTED_VALUE"""),2026)</f>
        <v>2026</v>
      </c>
      <c r="F780" s="56">
        <f ca="1">IFERROR(__xludf.DUMMYFUNCTION("""COMPUTED_VALUE"""),3)</f>
        <v>3</v>
      </c>
      <c r="G780" s="33" t="str">
        <f ca="1">IFERROR(__xludf.DUMMYFUNCTION("""COMPUTED_VALUE"""),"Orihuela")</f>
        <v>Orihuela</v>
      </c>
      <c r="H780" s="33" t="str">
        <f ca="1">IFERROR(__xludf.DUMMYFUNCTION("""COMPUTED_VALUE"""),"C2025729174459859")</f>
        <v>C2025729174459859</v>
      </c>
      <c r="I780" s="33" t="str">
        <f ca="1">IFERROR(__xludf.DUMMYFUNCTION("""COMPUTED_VALUE"""),"SERGIO ANTONIO SEGURA PEÑA")</f>
        <v>SERGIO ANTONIO SEGURA PEÑA</v>
      </c>
      <c r="J780" s="57">
        <f ca="1">IFERROR(__xludf.DUMMYFUNCTION("""COMPUTED_VALUE"""),45867)</f>
        <v>45867</v>
      </c>
      <c r="K780" s="33" t="str">
        <f ca="1">IFERROR(__xludf.DUMMYFUNCTION("""COMPUTED_VALUE"""),"Presupuesto")</f>
        <v>Presupuesto</v>
      </c>
      <c r="L780" s="57">
        <f ca="1">IFERROR(__xludf.DUMMYFUNCTION("""COMPUTED_VALUE"""),46083)</f>
        <v>46083</v>
      </c>
      <c r="M780" s="64" t="str">
        <f ca="1">IFERROR(__xludf.DUMMYFUNCTION("""COMPUTED_VALUE"""),"NO")</f>
        <v>NO</v>
      </c>
      <c r="N780" s="56">
        <f ca="1">IFERROR(__xludf.DUMMYFUNCTION("""COMPUTED_VALUE"""),2)</f>
        <v>2</v>
      </c>
      <c r="O780" s="64" t="str">
        <f ca="1">IFERROR(__xludf.DUMMYFUNCTION("""COMPUTED_VALUE"""),"QUIET")</f>
        <v>QUIET</v>
      </c>
      <c r="P780" s="62">
        <f ca="1">IFERROR(__xludf.DUMMYFUNCTION("""COMPUTED_VALUE"""),2718.18)</f>
        <v>2718.18</v>
      </c>
      <c r="Q780" s="33" t="str">
        <f ca="1">IFERROR(__xludf.DUMMYFUNCTION("""COMPUTED_VALUE"""),"Iván Sánchez")</f>
        <v>Iván Sánchez</v>
      </c>
      <c r="R780" s="33" t="str">
        <f ca="1">IFERROR(__xludf.DUMMYFUNCTION("""COMPUTED_VALUE"""),"Dra, Paula Hernández Ruíz")</f>
        <v>Dra, Paula Hernández Ruíz</v>
      </c>
      <c r="S780" s="61" t="str">
        <f ca="1">IFERROR(__xludf.DUMMYFUNCTION("""COMPUTED_VALUE"""),"03 ORL")</f>
        <v>03 ORL</v>
      </c>
      <c r="T780" s="33" t="str">
        <f ca="1">IFERROR(__xludf.DUMMYFUNCTION("""COMPUTED_VALUE"""),"06 ORL")</f>
        <v>06 ORL</v>
      </c>
      <c r="U780" s="62"/>
      <c r="W780" s="61"/>
      <c r="X780" s="62"/>
    </row>
    <row r="781" spans="2:24" ht="16">
      <c r="B781" s="67" t="str">
        <f t="shared" ca="1" si="3"/>
        <v>#N/</v>
      </c>
      <c r="C781" s="64" t="str">
        <f ca="1">IFERROR(__xludf.DUMMYFUNCTION("""COMPUTED_VALUE"""),"#N/A")</f>
        <v>#N/A</v>
      </c>
      <c r="D781" s="33" t="str">
        <f ca="1">IFERROR(__xludf.DUMMYFUNCTION("""COMPUTED_VALUE"""),"PARTICIPADOS")</f>
        <v>PARTICIPADOS</v>
      </c>
      <c r="E781" s="33">
        <f ca="1">IFERROR(__xludf.DUMMYFUNCTION("""COMPUTED_VALUE"""),2026)</f>
        <v>2026</v>
      </c>
      <c r="F781" s="56">
        <f ca="1">IFERROR(__xludf.DUMMYFUNCTION("""COMPUTED_VALUE"""),2)</f>
        <v>2</v>
      </c>
      <c r="G781" s="33" t="str">
        <f ca="1">IFERROR(__xludf.DUMMYFUNCTION("""COMPUTED_VALUE"""),"Ourense")</f>
        <v>Ourense</v>
      </c>
      <c r="H781" s="33" t="str">
        <f ca="1">IFERROR(__xludf.DUMMYFUNCTION("""COMPUTED_VALUE"""),"C202612911333326269")</f>
        <v>C202612911333326269</v>
      </c>
      <c r="I781" s="33" t="str">
        <f ca="1">IFERROR(__xludf.DUMMYFUNCTION("""COMPUTED_VALUE"""),"ALEXAIDA JOSEFINA AGUILAR GONZALEZ")</f>
        <v>ALEXAIDA JOSEFINA AGUILAR GONZALEZ</v>
      </c>
      <c r="J781" s="57">
        <f ca="1">IFERROR(__xludf.DUMMYFUNCTION("""COMPUTED_VALUE"""),46051)</f>
        <v>46051</v>
      </c>
      <c r="K781" s="33" t="str">
        <f ca="1">IFERROR(__xludf.DUMMYFUNCTION("""COMPUTED_VALUE"""),"Devuelve")</f>
        <v>Devuelve</v>
      </c>
      <c r="L781" s="57">
        <f ca="1">IFERROR(__xludf.DUMMYFUNCTION("""COMPUTED_VALUE"""),46059)</f>
        <v>46059</v>
      </c>
      <c r="M781" s="64" t="str">
        <f ca="1">IFERROR(__xludf.DUMMYFUNCTION("""COMPUTED_VALUE"""),"NO")</f>
        <v>NO</v>
      </c>
      <c r="N781" s="56">
        <f ca="1">IFERROR(__xludf.DUMMYFUNCTION("""COMPUTED_VALUE"""),2)</f>
        <v>2</v>
      </c>
      <c r="O781" s="64" t="str">
        <f ca="1">IFERROR(__xludf.DUMMYFUNCTION("""COMPUTED_VALUE"""),"QUIET")</f>
        <v>QUIET</v>
      </c>
      <c r="P781" s="62">
        <f ca="1">IFERROR(__xludf.DUMMYFUNCTION("""COMPUTED_VALUE"""),2718.18)</f>
        <v>2718.18</v>
      </c>
      <c r="Q781" s="33" t="str">
        <f ca="1">IFERROR(__xludf.DUMMYFUNCTION("""COMPUTED_VALUE"""),"KiKo Ortega")</f>
        <v>KiKo Ortega</v>
      </c>
      <c r="R781" s="33" t="str">
        <f ca="1">IFERROR(__xludf.DUMMYFUNCTION("""COMPUTED_VALUE"""),"Dra, María Rey Marcos")</f>
        <v>Dra, María Rey Marcos</v>
      </c>
      <c r="S781" s="61" t="str">
        <f ca="1">IFERROR(__xludf.DUMMYFUNCTION("""COMPUTED_VALUE"""),"01 MARKETING ON LINE")</f>
        <v>01 MARKETING ON LINE</v>
      </c>
      <c r="T781" s="33" t="str">
        <f ca="1">IFERROR(__xludf.DUMMYFUNCTION("""COMPUTED_VALUE"""),"04 AUDIFONO,ES")</f>
        <v>04 AUDIFONO,ES</v>
      </c>
      <c r="U781" s="62"/>
      <c r="W781" s="61"/>
      <c r="X781" s="62"/>
    </row>
    <row r="782" spans="2:24" ht="16">
      <c r="B782" s="67" t="str">
        <f t="shared" ca="1" si="3"/>
        <v>#N/</v>
      </c>
      <c r="C782" s="64" t="str">
        <f ca="1">IFERROR(__xludf.DUMMYFUNCTION("""COMPUTED_VALUE"""),"#N/A")</f>
        <v>#N/A</v>
      </c>
      <c r="D782" s="33" t="str">
        <f ca="1">IFERROR(__xludf.DUMMYFUNCTION("""COMPUTED_VALUE"""),"PARTICIPADOS")</f>
        <v>PARTICIPADOS</v>
      </c>
      <c r="E782" s="33">
        <f ca="1">IFERROR(__xludf.DUMMYFUNCTION("""COMPUTED_VALUE"""),2026)</f>
        <v>2026</v>
      </c>
      <c r="F782" s="56">
        <f ca="1">IFERROR(__xludf.DUMMYFUNCTION("""COMPUTED_VALUE"""),2)</f>
        <v>2</v>
      </c>
      <c r="G782" s="33" t="str">
        <f ca="1">IFERROR(__xludf.DUMMYFUNCTION("""COMPUTED_VALUE"""),"Ourense")</f>
        <v>Ourense</v>
      </c>
      <c r="H782" s="33" t="str">
        <f ca="1">IFERROR(__xludf.DUMMYFUNCTION("""COMPUTED_VALUE"""),"C20262917448200249")</f>
        <v>C20262917448200249</v>
      </c>
      <c r="I782" s="33" t="str">
        <f ca="1">IFERROR(__xludf.DUMMYFUNCTION("""COMPUTED_VALUE"""),"ANGELES BERMEJO GALLARDO")</f>
        <v>ANGELES BERMEJO GALLARDO</v>
      </c>
      <c r="J782" s="57">
        <f ca="1">IFERROR(__xludf.DUMMYFUNCTION("""COMPUTED_VALUE"""),46062)</f>
        <v>46062</v>
      </c>
      <c r="K782" s="33" t="str">
        <f ca="1">IFERROR(__xludf.DUMMYFUNCTION("""COMPUTED_VALUE"""),"Prueba")</f>
        <v>Prueba</v>
      </c>
      <c r="L782" s="57">
        <f ca="1">IFERROR(__xludf.DUMMYFUNCTION("""COMPUTED_VALUE"""),46072)</f>
        <v>46072</v>
      </c>
      <c r="M782" s="64" t="str">
        <f ca="1">IFERROR(__xludf.DUMMYFUNCTION("""COMPUTED_VALUE"""),"NO")</f>
        <v>NO</v>
      </c>
      <c r="N782" s="56">
        <f ca="1">IFERROR(__xludf.DUMMYFUNCTION("""COMPUTED_VALUE"""),2)</f>
        <v>2</v>
      </c>
      <c r="O782" s="64" t="str">
        <f ca="1">IFERROR(__xludf.DUMMYFUNCTION("""COMPUTED_VALUE"""),"TRIAL")</f>
        <v>TRIAL</v>
      </c>
      <c r="P782" s="62">
        <f ca="1">IFERROR(__xludf.DUMMYFUNCTION("""COMPUTED_VALUE"""),3631.82)</f>
        <v>3631.82</v>
      </c>
      <c r="Q782" s="33" t="str">
        <f ca="1">IFERROR(__xludf.DUMMYFUNCTION("""COMPUTED_VALUE"""),"KiKo Ortega")</f>
        <v>KiKo Ortega</v>
      </c>
      <c r="R782" s="33" t="str">
        <f ca="1">IFERROR(__xludf.DUMMYFUNCTION("""COMPUTED_VALUE"""),"Dra, Ana Quintana Sanjuan")</f>
        <v>Dra, Ana Quintana Sanjuan</v>
      </c>
      <c r="S782" s="61" t="str">
        <f ca="1">IFERROR(__xludf.DUMMYFUNCTION("""COMPUTED_VALUE"""),"01 MARKETING ON LINE")</f>
        <v>01 MARKETING ON LINE</v>
      </c>
      <c r="T782" s="33" t="str">
        <f ca="1">IFERROR(__xludf.DUMMYFUNCTION("""COMPUTED_VALUE"""),"04 AUDIFONO,ES")</f>
        <v>04 AUDIFONO,ES</v>
      </c>
      <c r="U782" s="62"/>
      <c r="W782" s="61"/>
      <c r="X782" s="62"/>
    </row>
    <row r="783" spans="2:24" ht="16">
      <c r="B783" s="67" t="str">
        <f t="shared" ca="1" si="3"/>
        <v>#N/</v>
      </c>
      <c r="C783" s="64" t="str">
        <f ca="1">IFERROR(__xludf.DUMMYFUNCTION("""COMPUTED_VALUE"""),"#N/A")</f>
        <v>#N/A</v>
      </c>
      <c r="D783" s="33" t="str">
        <f ca="1">IFERROR(__xludf.DUMMYFUNCTION("""COMPUTED_VALUE"""),"PARTICIPADOS")</f>
        <v>PARTICIPADOS</v>
      </c>
      <c r="E783" s="33">
        <f ca="1">IFERROR(__xludf.DUMMYFUNCTION("""COMPUTED_VALUE"""),2026)</f>
        <v>2026</v>
      </c>
      <c r="F783" s="56">
        <f ca="1">IFERROR(__xludf.DUMMYFUNCTION("""COMPUTED_VALUE"""),1)</f>
        <v>1</v>
      </c>
      <c r="G783" s="33" t="str">
        <f ca="1">IFERROR(__xludf.DUMMYFUNCTION("""COMPUTED_VALUE"""),"Ourense")</f>
        <v>Ourense</v>
      </c>
      <c r="H783" s="33" t="str">
        <f ca="1">IFERROR(__xludf.DUMMYFUNCTION("""COMPUTED_VALUE"""),"C202611293821803687")</f>
        <v>C202611293821803687</v>
      </c>
      <c r="I783" s="33" t="str">
        <f ca="1">IFERROR(__xludf.DUMMYFUNCTION("""COMPUTED_VALUE"""),"CELSA MORGADE PEREZ")</f>
        <v>CELSA MORGADE PEREZ</v>
      </c>
      <c r="J783" s="57">
        <f ca="1">IFERROR(__xludf.DUMMYFUNCTION("""COMPUTED_VALUE"""),46034)</f>
        <v>46034</v>
      </c>
      <c r="K783" s="33" t="str">
        <f ca="1">IFERROR(__xludf.DUMMYFUNCTION("""COMPUTED_VALUE"""),"Devuelve")</f>
        <v>Devuelve</v>
      </c>
      <c r="L783" s="57">
        <f ca="1">IFERROR(__xludf.DUMMYFUNCTION("""COMPUTED_VALUE"""),46038)</f>
        <v>46038</v>
      </c>
      <c r="M783" s="64" t="str">
        <f ca="1">IFERROR(__xludf.DUMMYFUNCTION("""COMPUTED_VALUE"""),"NO")</f>
        <v>NO</v>
      </c>
      <c r="N783" s="56">
        <f ca="1">IFERROR(__xludf.DUMMYFUNCTION("""COMPUTED_VALUE"""),2)</f>
        <v>2</v>
      </c>
      <c r="O783" s="64" t="str">
        <f ca="1">IFERROR(__xludf.DUMMYFUNCTION("""COMPUTED_VALUE"""),"TRIAL")</f>
        <v>TRIAL</v>
      </c>
      <c r="P783" s="62">
        <f ca="1">IFERROR(__xludf.DUMMYFUNCTION("""COMPUTED_VALUE"""),3631.82)</f>
        <v>3631.82</v>
      </c>
      <c r="Q783" s="33" t="str">
        <f ca="1">IFERROR(__xludf.DUMMYFUNCTION("""COMPUTED_VALUE"""),"KiKo Ortega")</f>
        <v>KiKo Ortega</v>
      </c>
      <c r="R783" s="33" t="str">
        <f ca="1">IFERROR(__xludf.DUMMYFUNCTION("""COMPUTED_VALUE"""),"Dra, María Rey Marcos")</f>
        <v>Dra, María Rey Marcos</v>
      </c>
      <c r="S783" s="61" t="str">
        <f ca="1">IFERROR(__xludf.DUMMYFUNCTION("""COMPUTED_VALUE"""),"03 ORL")</f>
        <v>03 ORL</v>
      </c>
      <c r="T783" s="33" t="str">
        <f ca="1">IFERROR(__xludf.DUMMYFUNCTION("""COMPUTED_VALUE"""),"06 ORL")</f>
        <v>06 ORL</v>
      </c>
      <c r="U783" s="62"/>
      <c r="W783" s="61"/>
      <c r="X783" s="62"/>
    </row>
    <row r="784" spans="2:24" ht="16">
      <c r="B784" s="67" t="str">
        <f t="shared" ca="1" si="3"/>
        <v>#N/</v>
      </c>
      <c r="C784" s="64" t="str">
        <f ca="1">IFERROR(__xludf.DUMMYFUNCTION("""COMPUTED_VALUE"""),"#N/A")</f>
        <v>#N/A</v>
      </c>
      <c r="D784" s="33" t="str">
        <f ca="1">IFERROR(__xludf.DUMMYFUNCTION("""COMPUTED_VALUE"""),"PARTICIPADOS")</f>
        <v>PARTICIPADOS</v>
      </c>
      <c r="E784" s="33">
        <f ca="1">IFERROR(__xludf.DUMMYFUNCTION("""COMPUTED_VALUE"""),2026)</f>
        <v>2026</v>
      </c>
      <c r="F784" s="56">
        <f ca="1">IFERROR(__xludf.DUMMYFUNCTION("""COMPUTED_VALUE"""),3)</f>
        <v>3</v>
      </c>
      <c r="G784" s="33" t="str">
        <f ca="1">IFERROR(__xludf.DUMMYFUNCTION("""COMPUTED_VALUE"""),"Ourense")</f>
        <v>Ourense</v>
      </c>
      <c r="H784" s="33" t="str">
        <f ca="1">IFERROR(__xludf.DUMMYFUNCTION("""COMPUTED_VALUE"""),"C202631215272871114")</f>
        <v>C202631215272871114</v>
      </c>
      <c r="I784" s="33" t="str">
        <f ca="1">IFERROR(__xludf.DUMMYFUNCTION("""COMPUTED_VALUE"""),"CONSTANTINO ALMEIDA VELOSO")</f>
        <v>CONSTANTINO ALMEIDA VELOSO</v>
      </c>
      <c r="J784" s="57">
        <f ca="1">IFERROR(__xludf.DUMMYFUNCTION("""COMPUTED_VALUE"""),46093)</f>
        <v>46093</v>
      </c>
      <c r="K784" s="33" t="str">
        <f ca="1">IFERROR(__xludf.DUMMYFUNCTION("""COMPUTED_VALUE"""),"Pedido")</f>
        <v>Pedido</v>
      </c>
      <c r="L784" s="57">
        <f ca="1">IFERROR(__xludf.DUMMYFUNCTION("""COMPUTED_VALUE"""),46107)</f>
        <v>46107</v>
      </c>
      <c r="M784" s="64" t="str">
        <f ca="1">IFERROR(__xludf.DUMMYFUNCTION("""COMPUTED_VALUE"""),"NO")</f>
        <v>NO</v>
      </c>
      <c r="N784" s="56">
        <f ca="1">IFERROR(__xludf.DUMMYFUNCTION("""COMPUTED_VALUE"""),2)</f>
        <v>2</v>
      </c>
      <c r="O784" s="64" t="str">
        <f ca="1">IFERROR(__xludf.DUMMYFUNCTION("""COMPUTED_VALUE"""),"QUIET")</f>
        <v>QUIET</v>
      </c>
      <c r="P784" s="62">
        <f ca="1">IFERROR(__xludf.DUMMYFUNCTION("""COMPUTED_VALUE"""),2718.18)</f>
        <v>2718.18</v>
      </c>
      <c r="Q784" s="33" t="str">
        <f ca="1">IFERROR(__xludf.DUMMYFUNCTION("""COMPUTED_VALUE"""),"KiKo Ortega")</f>
        <v>KiKo Ortega</v>
      </c>
      <c r="R784" s="33" t="str">
        <f ca="1">IFERROR(__xludf.DUMMYFUNCTION("""COMPUTED_VALUE"""),"Dra, María Rey Marcos")</f>
        <v>Dra, María Rey Marcos</v>
      </c>
      <c r="S784" s="61" t="str">
        <f ca="1">IFERROR(__xludf.DUMMYFUNCTION("""COMPUTED_VALUE"""),"03 ORL")</f>
        <v>03 ORL</v>
      </c>
      <c r="T784" s="33" t="str">
        <f ca="1">IFERROR(__xludf.DUMMYFUNCTION("""COMPUTED_VALUE"""),"06 ORL")</f>
        <v>06 ORL</v>
      </c>
      <c r="U784" s="62"/>
      <c r="W784" s="61"/>
      <c r="X784" s="62"/>
    </row>
    <row r="785" spans="2:24" ht="16">
      <c r="B785" s="67" t="str">
        <f t="shared" ca="1" si="3"/>
        <v>#N/</v>
      </c>
      <c r="C785" s="64" t="str">
        <f ca="1">IFERROR(__xludf.DUMMYFUNCTION("""COMPUTED_VALUE"""),"#N/A")</f>
        <v>#N/A</v>
      </c>
      <c r="D785" s="33" t="str">
        <f ca="1">IFERROR(__xludf.DUMMYFUNCTION("""COMPUTED_VALUE"""),"PARTICIPADOS")</f>
        <v>PARTICIPADOS</v>
      </c>
      <c r="E785" s="33">
        <f ca="1">IFERROR(__xludf.DUMMYFUNCTION("""COMPUTED_VALUE"""),2026)</f>
        <v>2026</v>
      </c>
      <c r="F785" s="56">
        <f ca="1">IFERROR(__xludf.DUMMYFUNCTION("""COMPUTED_VALUE"""),3)</f>
        <v>3</v>
      </c>
      <c r="G785" s="33" t="str">
        <f ca="1">IFERROR(__xludf.DUMMYFUNCTION("""COMPUTED_VALUE"""),"Ourense")</f>
        <v>Ourense</v>
      </c>
      <c r="H785" s="33" t="str">
        <f ca="1">IFERROR(__xludf.DUMMYFUNCTION("""COMPUTED_VALUE"""),"C202631093754166070")</f>
        <v>C202631093754166070</v>
      </c>
      <c r="I785" s="33" t="str">
        <f ca="1">IFERROR(__xludf.DUMMYFUNCTION("""COMPUTED_VALUE"""),"ELISARDO OTERO FORMOSO")</f>
        <v>ELISARDO OTERO FORMOSO</v>
      </c>
      <c r="J785" s="57">
        <f ca="1">IFERROR(__xludf.DUMMYFUNCTION("""COMPUTED_VALUE"""),46091)</f>
        <v>46091</v>
      </c>
      <c r="K785" s="33" t="str">
        <f ca="1">IFERROR(__xludf.DUMMYFUNCTION("""COMPUTED_VALUE"""),"Prueba")</f>
        <v>Prueba</v>
      </c>
      <c r="L785" s="57">
        <f ca="1">IFERROR(__xludf.DUMMYFUNCTION("""COMPUTED_VALUE"""),46097)</f>
        <v>46097</v>
      </c>
      <c r="M785" s="64" t="str">
        <f ca="1">IFERROR(__xludf.DUMMYFUNCTION("""COMPUTED_VALUE"""),"NO")</f>
        <v>NO</v>
      </c>
      <c r="N785" s="56">
        <f ca="1">IFERROR(__xludf.DUMMYFUNCTION("""COMPUTED_VALUE"""),1)</f>
        <v>1</v>
      </c>
      <c r="O785" s="64" t="str">
        <f ca="1">IFERROR(__xludf.DUMMYFUNCTION("""COMPUTED_VALUE"""),"ADVANCED")</f>
        <v>ADVANCED</v>
      </c>
      <c r="P785" s="62">
        <f ca="1">IFERROR(__xludf.DUMMYFUNCTION("""COMPUTED_VALUE"""),3200)</f>
        <v>3200</v>
      </c>
      <c r="Q785" s="33" t="str">
        <f ca="1">IFERROR(__xludf.DUMMYFUNCTION("""COMPUTED_VALUE"""),"KiKo Ortega")</f>
        <v>KiKo Ortega</v>
      </c>
      <c r="R785" s="33" t="str">
        <f ca="1">IFERROR(__xludf.DUMMYFUNCTION("""COMPUTED_VALUE"""),"Dra, María Rey Marcos")</f>
        <v>Dra, María Rey Marcos</v>
      </c>
      <c r="S785" s="61" t="str">
        <f ca="1">IFERROR(__xludf.DUMMYFUNCTION("""COMPUTED_VALUE"""),"03 ORL")</f>
        <v>03 ORL</v>
      </c>
      <c r="T785" s="33" t="str">
        <f ca="1">IFERROR(__xludf.DUMMYFUNCTION("""COMPUTED_VALUE"""),"06 ORL")</f>
        <v>06 ORL</v>
      </c>
      <c r="U785" s="62"/>
      <c r="W785" s="61"/>
      <c r="X785" s="62"/>
    </row>
    <row r="786" spans="2:24" ht="16">
      <c r="B786" s="67" t="str">
        <f t="shared" ca="1" si="3"/>
        <v>#N/</v>
      </c>
      <c r="C786" s="64" t="str">
        <f ca="1">IFERROR(__xludf.DUMMYFUNCTION("""COMPUTED_VALUE"""),"#N/A")</f>
        <v>#N/A</v>
      </c>
      <c r="D786" s="33" t="str">
        <f ca="1">IFERROR(__xludf.DUMMYFUNCTION("""COMPUTED_VALUE"""),"PARTICIPADOS")</f>
        <v>PARTICIPADOS</v>
      </c>
      <c r="E786" s="33">
        <f ca="1">IFERROR(__xludf.DUMMYFUNCTION("""COMPUTED_VALUE"""),2026)</f>
        <v>2026</v>
      </c>
      <c r="F786" s="56">
        <f ca="1">IFERROR(__xludf.DUMMYFUNCTION("""COMPUTED_VALUE"""),3)</f>
        <v>3</v>
      </c>
      <c r="G786" s="33" t="str">
        <f ca="1">IFERROR(__xludf.DUMMYFUNCTION("""COMPUTED_VALUE"""),"Ourense")</f>
        <v>Ourense</v>
      </c>
      <c r="H786" s="33" t="str">
        <f ca="1">IFERROR(__xludf.DUMMYFUNCTION("""COMPUTED_VALUE"""),"C20263109218141966")</f>
        <v>C20263109218141966</v>
      </c>
      <c r="I786" s="33" t="str">
        <f ca="1">IFERROR(__xludf.DUMMYFUNCTION("""COMPUTED_VALUE"""),"ELOY CESAR QUINTELA VAZQUEZ")</f>
        <v>ELOY CESAR QUINTELA VAZQUEZ</v>
      </c>
      <c r="J786" s="57">
        <f ca="1">IFERROR(__xludf.DUMMYFUNCTION("""COMPUTED_VALUE"""),46091)</f>
        <v>46091</v>
      </c>
      <c r="K786" s="33" t="str">
        <f ca="1">IFERROR(__xludf.DUMMYFUNCTION("""COMPUTED_VALUE"""),"Prueba")</f>
        <v>Prueba</v>
      </c>
      <c r="L786" s="57">
        <f ca="1">IFERROR(__xludf.DUMMYFUNCTION("""COMPUTED_VALUE"""),46093)</f>
        <v>46093</v>
      </c>
      <c r="M786" s="64" t="str">
        <f ca="1">IFERROR(__xludf.DUMMYFUNCTION("""COMPUTED_VALUE"""),"NO")</f>
        <v>NO</v>
      </c>
      <c r="N786" s="56">
        <f ca="1">IFERROR(__xludf.DUMMYFUNCTION("""COMPUTED_VALUE"""),2)</f>
        <v>2</v>
      </c>
      <c r="O786" s="64" t="str">
        <f ca="1">IFERROR(__xludf.DUMMYFUNCTION("""COMPUTED_VALUE"""),"TRIAL")</f>
        <v>TRIAL</v>
      </c>
      <c r="P786" s="62">
        <f ca="1">IFERROR(__xludf.DUMMYFUNCTION("""COMPUTED_VALUE"""),3631.82)</f>
        <v>3631.82</v>
      </c>
      <c r="Q786" s="33" t="str">
        <f ca="1">IFERROR(__xludf.DUMMYFUNCTION("""COMPUTED_VALUE"""),"KiKo Ortega")</f>
        <v>KiKo Ortega</v>
      </c>
      <c r="R786" s="33" t="str">
        <f ca="1">IFERROR(__xludf.DUMMYFUNCTION("""COMPUTED_VALUE"""),"Dra, María Rey Marcos")</f>
        <v>Dra, María Rey Marcos</v>
      </c>
      <c r="S786" s="61" t="str">
        <f ca="1">IFERROR(__xludf.DUMMYFUNCTION("""COMPUTED_VALUE"""),"03 ORL")</f>
        <v>03 ORL</v>
      </c>
      <c r="T786" s="33" t="str">
        <f ca="1">IFERROR(__xludf.DUMMYFUNCTION("""COMPUTED_VALUE"""),"06 ORL")</f>
        <v>06 ORL</v>
      </c>
      <c r="U786" s="62"/>
      <c r="W786" s="61"/>
      <c r="X786" s="62"/>
    </row>
    <row r="787" spans="2:24" ht="16">
      <c r="B787" s="67" t="str">
        <f t="shared" ca="1" si="3"/>
        <v>#N/</v>
      </c>
      <c r="C787" s="64" t="str">
        <f ca="1">IFERROR(__xludf.DUMMYFUNCTION("""COMPUTED_VALUE"""),"#N/A")</f>
        <v>#N/A</v>
      </c>
      <c r="D787" s="33" t="str">
        <f ca="1">IFERROR(__xludf.DUMMYFUNCTION("""COMPUTED_VALUE"""),"PARTICIPADOS")</f>
        <v>PARTICIPADOS</v>
      </c>
      <c r="E787" s="33">
        <f ca="1">IFERROR(__xludf.DUMMYFUNCTION("""COMPUTED_VALUE"""),2026)</f>
        <v>2026</v>
      </c>
      <c r="F787" s="56">
        <f ca="1">IFERROR(__xludf.DUMMYFUNCTION("""COMPUTED_VALUE"""),2)</f>
        <v>2</v>
      </c>
      <c r="G787" s="33" t="str">
        <f ca="1">IFERROR(__xludf.DUMMYFUNCTION("""COMPUTED_VALUE"""),"Ourense")</f>
        <v>Ourense</v>
      </c>
      <c r="H787" s="33" t="str">
        <f ca="1">IFERROR(__xludf.DUMMYFUNCTION("""COMPUTED_VALUE"""),"ORS-166")</f>
        <v>ORS-166</v>
      </c>
      <c r="I787" s="33" t="str">
        <f ca="1">IFERROR(__xludf.DUMMYFUNCTION("""COMPUTED_VALUE"""),"EVARISTO ATANES ALVAREZ")</f>
        <v>EVARISTO ATANES ALVAREZ</v>
      </c>
      <c r="J787" s="57">
        <f ca="1">IFERROR(__xludf.DUMMYFUNCTION("""COMPUTED_VALUE"""),44868)</f>
        <v>44868</v>
      </c>
      <c r="K787" s="33" t="str">
        <f ca="1">IFERROR(__xludf.DUMMYFUNCTION("""COMPUTED_VALUE"""),"Presupuesto")</f>
        <v>Presupuesto</v>
      </c>
      <c r="L787" s="57">
        <f ca="1">IFERROR(__xludf.DUMMYFUNCTION("""COMPUTED_VALUE"""),46073)</f>
        <v>46073</v>
      </c>
      <c r="M787" s="64" t="str">
        <f ca="1">IFERROR(__xludf.DUMMYFUNCTION("""COMPUTED_VALUE"""),"NO")</f>
        <v>NO</v>
      </c>
      <c r="N787" s="56">
        <f ca="1">IFERROR(__xludf.DUMMYFUNCTION("""COMPUTED_VALUE"""),2)</f>
        <v>2</v>
      </c>
      <c r="O787" s="64" t="str">
        <f ca="1">IFERROR(__xludf.DUMMYFUNCTION("""COMPUTED_VALUE"""),"TRIAL")</f>
        <v>TRIAL</v>
      </c>
      <c r="P787" s="62">
        <f ca="1">IFERROR(__xludf.DUMMYFUNCTION("""COMPUTED_VALUE"""),3454.55)</f>
        <v>3454.55</v>
      </c>
      <c r="Q787" s="33" t="str">
        <f ca="1">IFERROR(__xludf.DUMMYFUNCTION("""COMPUTED_VALUE"""),"KiKo Ortega")</f>
        <v>KiKo Ortega</v>
      </c>
      <c r="R787" s="33" t="str">
        <f ca="1">IFERROR(__xludf.DUMMYFUNCTION("""COMPUTED_VALUE"""),"Dr, Jose Antonio Torre Eiriz")</f>
        <v>Dr, Jose Antonio Torre Eiriz</v>
      </c>
      <c r="S787" s="61" t="str">
        <f ca="1">IFERROR(__xludf.DUMMYFUNCTION("""COMPUTED_VALUE"""),"03 ORL")</f>
        <v>03 ORL</v>
      </c>
      <c r="T787" s="33" t="str">
        <f ca="1">IFERROR(__xludf.DUMMYFUNCTION("""COMPUTED_VALUE"""),"06 ORL")</f>
        <v>06 ORL</v>
      </c>
      <c r="U787" s="62"/>
      <c r="W787" s="61"/>
      <c r="X787" s="62"/>
    </row>
    <row r="788" spans="2:24" ht="16">
      <c r="B788" s="67" t="str">
        <f t="shared" ca="1" si="3"/>
        <v/>
      </c>
      <c r="C788" s="64"/>
      <c r="D788" s="33" t="str">
        <f ca="1">IFERROR(__xludf.DUMMYFUNCTION("""COMPUTED_VALUE"""),"PARTICIPADOS")</f>
        <v>PARTICIPADOS</v>
      </c>
      <c r="E788" s="33">
        <f ca="1">IFERROR(__xludf.DUMMYFUNCTION("""COMPUTED_VALUE"""),2026)</f>
        <v>2026</v>
      </c>
      <c r="F788" s="56">
        <f ca="1">IFERROR(__xludf.DUMMYFUNCTION("""COMPUTED_VALUE"""),3)</f>
        <v>3</v>
      </c>
      <c r="G788" s="33" t="str">
        <f ca="1">IFERROR(__xludf.DUMMYFUNCTION("""COMPUTED_VALUE"""),"Ourense")</f>
        <v>Ourense</v>
      </c>
      <c r="H788" s="33" t="str">
        <f ca="1">IFERROR(__xludf.DUMMYFUNCTION("""COMPUTED_VALUE"""),"C202631015421865120")</f>
        <v>C202631015421865120</v>
      </c>
      <c r="I788" s="33" t="str">
        <f ca="1">IFERROR(__xludf.DUMMYFUNCTION("""COMPUTED_VALUE"""),"FRANCISCO LAZA RODRIGUEZ")</f>
        <v>FRANCISCO LAZA RODRIGUEZ</v>
      </c>
      <c r="J788" s="57">
        <f ca="1">IFERROR(__xludf.DUMMYFUNCTION("""COMPUTED_VALUE"""),46091)</f>
        <v>46091</v>
      </c>
      <c r="K788" s="33" t="str">
        <f ca="1">IFERROR(__xludf.DUMMYFUNCTION("""COMPUTED_VALUE"""),"Prueba")</f>
        <v>Prueba</v>
      </c>
      <c r="L788" s="57">
        <f ca="1">IFERROR(__xludf.DUMMYFUNCTION("""COMPUTED_VALUE"""),46106)</f>
        <v>46106</v>
      </c>
      <c r="M788" s="64" t="str">
        <f ca="1">IFERROR(__xludf.DUMMYFUNCTION("""COMPUTED_VALUE"""),"NO")</f>
        <v>NO</v>
      </c>
      <c r="N788" s="56">
        <f ca="1">IFERROR(__xludf.DUMMYFUNCTION("""COMPUTED_VALUE"""),2)</f>
        <v>2</v>
      </c>
      <c r="O788" s="64" t="str">
        <f ca="1">IFERROR(__xludf.DUMMYFUNCTION("""COMPUTED_VALUE"""),"TRIAL")</f>
        <v>TRIAL</v>
      </c>
      <c r="P788" s="62">
        <f ca="1">IFERROR(__xludf.DUMMYFUNCTION("""COMPUTED_VALUE"""),3631.82)</f>
        <v>3631.82</v>
      </c>
      <c r="Q788" s="33" t="str">
        <f ca="1">IFERROR(__xludf.DUMMYFUNCTION("""COMPUTED_VALUE"""),"KiKo Ortega")</f>
        <v>KiKo Ortega</v>
      </c>
      <c r="R788" s="33" t="str">
        <f ca="1">IFERROR(__xludf.DUMMYFUNCTION("""COMPUTED_VALUE"""),"No recuerda ORL")</f>
        <v>No recuerda ORL</v>
      </c>
      <c r="S788" s="61" t="str">
        <f ca="1">IFERROR(__xludf.DUMMYFUNCTION("""COMPUTED_VALUE"""),"03 ORL")</f>
        <v>03 ORL</v>
      </c>
      <c r="T788" s="33" t="str">
        <f ca="1">IFERROR(__xludf.DUMMYFUNCTION("""COMPUTED_VALUE"""),"06 ORL")</f>
        <v>06 ORL</v>
      </c>
      <c r="U788" s="62"/>
      <c r="W788" s="61"/>
      <c r="X788" s="62"/>
    </row>
    <row r="789" spans="2:24" ht="16">
      <c r="B789" s="67" t="str">
        <f t="shared" ca="1" si="3"/>
        <v/>
      </c>
      <c r="C789" s="64"/>
      <c r="D789" s="33" t="str">
        <f ca="1">IFERROR(__xludf.DUMMYFUNCTION("""COMPUTED_VALUE"""),"PARTICIPADOS")</f>
        <v>PARTICIPADOS</v>
      </c>
      <c r="E789" s="33">
        <f ca="1">IFERROR(__xludf.DUMMYFUNCTION("""COMPUTED_VALUE"""),2026)</f>
        <v>2026</v>
      </c>
      <c r="F789" s="56">
        <f ca="1">IFERROR(__xludf.DUMMYFUNCTION("""COMPUTED_VALUE"""),4)</f>
        <v>4</v>
      </c>
      <c r="G789" s="33" t="str">
        <f ca="1">IFERROR(__xludf.DUMMYFUNCTION("""COMPUTED_VALUE"""),"Ourense")</f>
        <v>Ourense</v>
      </c>
      <c r="H789" s="33" t="str">
        <f ca="1">IFERROR(__xludf.DUMMYFUNCTION("""COMPUTED_VALUE"""),"C202632385751673514")</f>
        <v>C202632385751673514</v>
      </c>
      <c r="I789" s="33" t="str">
        <f ca="1">IFERROR(__xludf.DUMMYFUNCTION("""COMPUTED_VALUE"""),"IRENE OUTEIRIÑO SAL")</f>
        <v>IRENE OUTEIRIÑO SAL</v>
      </c>
      <c r="J789" s="57">
        <f ca="1">IFERROR(__xludf.DUMMYFUNCTION("""COMPUTED_VALUE"""),46104)</f>
        <v>46104</v>
      </c>
      <c r="K789" s="33" t="str">
        <f ca="1">IFERROR(__xludf.DUMMYFUNCTION("""COMPUTED_VALUE"""),"Prueba")</f>
        <v>Prueba</v>
      </c>
      <c r="L789" s="57">
        <f ca="1">IFERROR(__xludf.DUMMYFUNCTION("""COMPUTED_VALUE"""),46113)</f>
        <v>46113</v>
      </c>
      <c r="M789" s="64" t="str">
        <f ca="1">IFERROR(__xludf.DUMMYFUNCTION("""COMPUTED_VALUE"""),"NO")</f>
        <v>NO</v>
      </c>
      <c r="N789" s="56">
        <f ca="1">IFERROR(__xludf.DUMMYFUNCTION("""COMPUTED_VALUE"""),2)</f>
        <v>2</v>
      </c>
      <c r="O789" s="64" t="str">
        <f ca="1">IFERROR(__xludf.DUMMYFUNCTION("""COMPUTED_VALUE"""),"QUIET")</f>
        <v>QUIET</v>
      </c>
      <c r="P789" s="62">
        <f ca="1">IFERROR(__xludf.DUMMYFUNCTION("""COMPUTED_VALUE"""),2718.18)</f>
        <v>2718.18</v>
      </c>
      <c r="Q789" s="33" t="str">
        <f ca="1">IFERROR(__xludf.DUMMYFUNCTION("""COMPUTED_VALUE"""),"KiKo Ortega")</f>
        <v>KiKo Ortega</v>
      </c>
      <c r="R789" s="33" t="str">
        <f ca="1">IFERROR(__xludf.DUMMYFUNCTION("""COMPUTED_VALUE"""),"No recuerda ORL")</f>
        <v>No recuerda ORL</v>
      </c>
      <c r="S789" s="61" t="str">
        <f ca="1">IFERROR(__xludf.DUMMYFUNCTION("""COMPUTED_VALUE"""),"03 ORL")</f>
        <v>03 ORL</v>
      </c>
      <c r="T789" s="33" t="str">
        <f ca="1">IFERROR(__xludf.DUMMYFUNCTION("""COMPUTED_VALUE"""),"06 ORL")</f>
        <v>06 ORL</v>
      </c>
      <c r="U789" s="62"/>
      <c r="W789" s="61"/>
      <c r="X789" s="62"/>
    </row>
    <row r="790" spans="2:24" ht="16">
      <c r="B790" s="67" t="str">
        <f t="shared" ca="1" si="3"/>
        <v>#N/</v>
      </c>
      <c r="C790" s="64" t="str">
        <f ca="1">IFERROR(__xludf.DUMMYFUNCTION("""COMPUTED_VALUE"""),"#N/A")</f>
        <v>#N/A</v>
      </c>
      <c r="D790" s="33" t="str">
        <f ca="1">IFERROR(__xludf.DUMMYFUNCTION("""COMPUTED_VALUE"""),"PARTICIPADOS")</f>
        <v>PARTICIPADOS</v>
      </c>
      <c r="E790" s="33">
        <f ca="1">IFERROR(__xludf.DUMMYFUNCTION("""COMPUTED_VALUE"""),2026)</f>
        <v>2026</v>
      </c>
      <c r="F790" s="56">
        <f ca="1">IFERROR(__xludf.DUMMYFUNCTION("""COMPUTED_VALUE"""),4)</f>
        <v>4</v>
      </c>
      <c r="G790" s="33" t="str">
        <f ca="1">IFERROR(__xludf.DUMMYFUNCTION("""COMPUTED_VALUE"""),"Ourense")</f>
        <v>Ourense</v>
      </c>
      <c r="H790" s="33" t="str">
        <f ca="1">IFERROR(__xludf.DUMMYFUNCTION("""COMPUTED_VALUE"""),"C2025930102229762")</f>
        <v>C2025930102229762</v>
      </c>
      <c r="I790" s="33" t="str">
        <f ca="1">IFERROR(__xludf.DUMMYFUNCTION("""COMPUTED_VALUE"""),"JUAN CARLOS TORREIRO FERNANDEZ")</f>
        <v>JUAN CARLOS TORREIRO FERNANDEZ</v>
      </c>
      <c r="J790" s="57">
        <f ca="1">IFERROR(__xludf.DUMMYFUNCTION("""COMPUTED_VALUE"""),45925)</f>
        <v>45925</v>
      </c>
      <c r="K790" s="33" t="str">
        <f ca="1">IFERROR(__xludf.DUMMYFUNCTION("""COMPUTED_VALUE"""),"Prueba")</f>
        <v>Prueba</v>
      </c>
      <c r="L790" s="57">
        <f ca="1">IFERROR(__xludf.DUMMYFUNCTION("""COMPUTED_VALUE"""),46119)</f>
        <v>46119</v>
      </c>
      <c r="M790" s="64" t="str">
        <f ca="1">IFERROR(__xludf.DUMMYFUNCTION("""COMPUTED_VALUE"""),"NO")</f>
        <v>NO</v>
      </c>
      <c r="N790" s="56">
        <f ca="1">IFERROR(__xludf.DUMMYFUNCTION("""COMPUTED_VALUE"""),1)</f>
        <v>1</v>
      </c>
      <c r="O790" s="64" t="str">
        <f ca="1">IFERROR(__xludf.DUMMYFUNCTION("""COMPUTED_VALUE"""),"TRIAL")</f>
        <v>TRIAL</v>
      </c>
      <c r="P790" s="62">
        <f ca="1">IFERROR(__xludf.DUMMYFUNCTION("""COMPUTED_VALUE"""),2722.73)</f>
        <v>2722.73</v>
      </c>
      <c r="Q790" s="33" t="str">
        <f ca="1">IFERROR(__xludf.DUMMYFUNCTION("""COMPUTED_VALUE"""),"KiKo Ortega")</f>
        <v>KiKo Ortega</v>
      </c>
      <c r="R790" s="33" t="str">
        <f ca="1">IFERROR(__xludf.DUMMYFUNCTION("""COMPUTED_VALUE"""),"Dr, Alejandro Díaz Uña")</f>
        <v>Dr, Alejandro Díaz Uña</v>
      </c>
      <c r="S790" s="61" t="str">
        <f ca="1">IFERROR(__xludf.DUMMYFUNCTION("""COMPUTED_VALUE"""),"03 ORL")</f>
        <v>03 ORL</v>
      </c>
      <c r="T790" s="33" t="str">
        <f ca="1">IFERROR(__xludf.DUMMYFUNCTION("""COMPUTED_VALUE"""),"06 ORL")</f>
        <v>06 ORL</v>
      </c>
      <c r="U790" s="62"/>
      <c r="W790" s="61"/>
      <c r="X790" s="62"/>
    </row>
    <row r="791" spans="2:24" ht="16">
      <c r="B791" s="67" t="str">
        <f t="shared" ca="1" si="3"/>
        <v/>
      </c>
      <c r="C791" s="64"/>
      <c r="D791" s="33" t="str">
        <f ca="1">IFERROR(__xludf.DUMMYFUNCTION("""COMPUTED_VALUE"""),"PARTICIPADOS")</f>
        <v>PARTICIPADOS</v>
      </c>
      <c r="E791" s="33">
        <f ca="1">IFERROR(__xludf.DUMMYFUNCTION("""COMPUTED_VALUE"""),2026)</f>
        <v>2026</v>
      </c>
      <c r="F791" s="56">
        <f ca="1">IFERROR(__xludf.DUMMYFUNCTION("""COMPUTED_VALUE"""),3)</f>
        <v>3</v>
      </c>
      <c r="G791" s="33" t="str">
        <f ca="1">IFERROR(__xludf.DUMMYFUNCTION("""COMPUTED_VALUE"""),"Ourense")</f>
        <v>Ourense</v>
      </c>
      <c r="H791" s="33" t="str">
        <f ca="1">IFERROR(__xludf.DUMMYFUNCTION("""COMPUTED_VALUE"""),"C20263108466439771")</f>
        <v>C20263108466439771</v>
      </c>
      <c r="I791" s="33" t="str">
        <f ca="1">IFERROR(__xludf.DUMMYFUNCTION("""COMPUTED_VALUE"""),"JULIAN BAAMONDE GARRIDO")</f>
        <v>JULIAN BAAMONDE GARRIDO</v>
      </c>
      <c r="J791" s="57">
        <f ca="1">IFERROR(__xludf.DUMMYFUNCTION("""COMPUTED_VALUE"""),46091)</f>
        <v>46091</v>
      </c>
      <c r="K791" s="33" t="str">
        <f ca="1">IFERROR(__xludf.DUMMYFUNCTION("""COMPUTED_VALUE"""),"Prueba")</f>
        <v>Prueba</v>
      </c>
      <c r="L791" s="57">
        <f ca="1">IFERROR(__xludf.DUMMYFUNCTION("""COMPUTED_VALUE"""),46099)</f>
        <v>46099</v>
      </c>
      <c r="M791" s="64" t="str">
        <f ca="1">IFERROR(__xludf.DUMMYFUNCTION("""COMPUTED_VALUE"""),"NO")</f>
        <v>NO</v>
      </c>
      <c r="N791" s="56">
        <f ca="1">IFERROR(__xludf.DUMMYFUNCTION("""COMPUTED_VALUE"""),2)</f>
        <v>2</v>
      </c>
      <c r="O791" s="64" t="str">
        <f ca="1">IFERROR(__xludf.DUMMYFUNCTION("""COMPUTED_VALUE"""),"QUIET")</f>
        <v>QUIET</v>
      </c>
      <c r="P791" s="62">
        <f ca="1">IFERROR(__xludf.DUMMYFUNCTION("""COMPUTED_VALUE"""),2718.18)</f>
        <v>2718.18</v>
      </c>
      <c r="Q791" s="33" t="str">
        <f ca="1">IFERROR(__xludf.DUMMYFUNCTION("""COMPUTED_VALUE"""),"KiKo Ortega")</f>
        <v>KiKo Ortega</v>
      </c>
      <c r="R791" s="33" t="str">
        <f ca="1">IFERROR(__xludf.DUMMYFUNCTION("""COMPUTED_VALUE"""),"No recuerda ORL")</f>
        <v>No recuerda ORL</v>
      </c>
      <c r="S791" s="61" t="str">
        <f ca="1">IFERROR(__xludf.DUMMYFUNCTION("""COMPUTED_VALUE"""),"03 ORL")</f>
        <v>03 ORL</v>
      </c>
      <c r="T791" s="33" t="str">
        <f ca="1">IFERROR(__xludf.DUMMYFUNCTION("""COMPUTED_VALUE"""),"06 ORL")</f>
        <v>06 ORL</v>
      </c>
      <c r="U791" s="62"/>
      <c r="W791" s="61"/>
      <c r="X791" s="62"/>
    </row>
    <row r="792" spans="2:24" ht="16">
      <c r="B792" s="67" t="str">
        <f t="shared" ref="B792:B1046" ca="1" si="4">IF($H792="","",LEFT(C792,3))</f>
        <v>#N/</v>
      </c>
      <c r="C792" s="64" t="str">
        <f ca="1">IFERROR(__xludf.DUMMYFUNCTION("""COMPUTED_VALUE"""),"#N/A")</f>
        <v>#N/A</v>
      </c>
      <c r="D792" s="33" t="str">
        <f ca="1">IFERROR(__xludf.DUMMYFUNCTION("""COMPUTED_VALUE"""),"PARTICIPADOS")</f>
        <v>PARTICIPADOS</v>
      </c>
      <c r="E792" s="33">
        <f ca="1">IFERROR(__xludf.DUMMYFUNCTION("""COMPUTED_VALUE"""),2026)</f>
        <v>2026</v>
      </c>
      <c r="F792" s="56">
        <f ca="1">IFERROR(__xludf.DUMMYFUNCTION("""COMPUTED_VALUE"""),1)</f>
        <v>1</v>
      </c>
      <c r="G792" s="33" t="str">
        <f ca="1">IFERROR(__xludf.DUMMYFUNCTION("""COMPUTED_VALUE"""),"Ourense")</f>
        <v>Ourense</v>
      </c>
      <c r="H792" s="33" t="str">
        <f ca="1">IFERROR(__xludf.DUMMYFUNCTION("""COMPUTED_VALUE"""),"ORS-164")</f>
        <v>ORS-164</v>
      </c>
      <c r="I792" s="33" t="str">
        <f ca="1">IFERROR(__xludf.DUMMYFUNCTION("""COMPUTED_VALUE"""),"MANUEL CANEIRO ALVAREZ")</f>
        <v>MANUEL CANEIRO ALVAREZ</v>
      </c>
      <c r="J792" s="57">
        <f ca="1">IFERROR(__xludf.DUMMYFUNCTION("""COMPUTED_VALUE"""),44851)</f>
        <v>44851</v>
      </c>
      <c r="K792" s="33" t="str">
        <f ca="1">IFERROR(__xludf.DUMMYFUNCTION("""COMPUTED_VALUE"""),"Pedido")</f>
        <v>Pedido</v>
      </c>
      <c r="L792" s="57">
        <f ca="1">IFERROR(__xludf.DUMMYFUNCTION("""COMPUTED_VALUE"""),46042)</f>
        <v>46042</v>
      </c>
      <c r="M792" s="64" t="str">
        <f ca="1">IFERROR(__xludf.DUMMYFUNCTION("""COMPUTED_VALUE"""),"NO")</f>
        <v>NO</v>
      </c>
      <c r="N792" s="56">
        <f ca="1">IFERROR(__xludf.DUMMYFUNCTION("""COMPUTED_VALUE"""),1)</f>
        <v>1</v>
      </c>
      <c r="O792" s="64" t="str">
        <f ca="1">IFERROR(__xludf.DUMMYFUNCTION("""COMPUTED_VALUE"""),"CONFORT")</f>
        <v>CONFORT</v>
      </c>
      <c r="P792" s="62">
        <f ca="1">IFERROR(__xludf.DUMMYFUNCTION("""COMPUTED_VALUE"""),0)</f>
        <v>0</v>
      </c>
      <c r="Q792" s="33" t="str">
        <f ca="1">IFERROR(__xludf.DUMMYFUNCTION("""COMPUTED_VALUE"""),"KiKo Ortega")</f>
        <v>KiKo Ortega</v>
      </c>
      <c r="R792" s="33" t="str">
        <f ca="1">IFERROR(__xludf.DUMMYFUNCTION("""COMPUTED_VALUE"""),"Dra, María Rey Marcos")</f>
        <v>Dra, María Rey Marcos</v>
      </c>
      <c r="S792" s="61" t="str">
        <f ca="1">IFERROR(__xludf.DUMMYFUNCTION("""COMPUTED_VALUE"""),"03 ORL")</f>
        <v>03 ORL</v>
      </c>
      <c r="T792" s="33" t="str">
        <f ca="1">IFERROR(__xludf.DUMMYFUNCTION("""COMPUTED_VALUE"""),"06 ORL")</f>
        <v>06 ORL</v>
      </c>
      <c r="U792" s="62"/>
      <c r="W792" s="61"/>
      <c r="X792" s="62"/>
    </row>
    <row r="793" spans="2:24" ht="16">
      <c r="B793" s="67" t="str">
        <f t="shared" ca="1" si="4"/>
        <v>#N/</v>
      </c>
      <c r="C793" s="64" t="str">
        <f ca="1">IFERROR(__xludf.DUMMYFUNCTION("""COMPUTED_VALUE"""),"#N/A")</f>
        <v>#N/A</v>
      </c>
      <c r="D793" s="33" t="str">
        <f ca="1">IFERROR(__xludf.DUMMYFUNCTION("""COMPUTED_VALUE"""),"PARTICIPADOS")</f>
        <v>PARTICIPADOS</v>
      </c>
      <c r="E793" s="33">
        <f ca="1">IFERROR(__xludf.DUMMYFUNCTION("""COMPUTED_VALUE"""),2026)</f>
        <v>2026</v>
      </c>
      <c r="F793" s="56">
        <f ca="1">IFERROR(__xludf.DUMMYFUNCTION("""COMPUTED_VALUE"""),3)</f>
        <v>3</v>
      </c>
      <c r="G793" s="33" t="str">
        <f ca="1">IFERROR(__xludf.DUMMYFUNCTION("""COMPUTED_VALUE"""),"Ourense")</f>
        <v>Ourense</v>
      </c>
      <c r="H793" s="33" t="str">
        <f ca="1">IFERROR(__xludf.DUMMYFUNCTION("""COMPUTED_VALUE"""),"ORS-332")</f>
        <v>ORS-332</v>
      </c>
      <c r="I793" s="33" t="str">
        <f ca="1">IFERROR(__xludf.DUMMYFUNCTION("""COMPUTED_VALUE"""),"MANUEL GARRIDO GARRIDO")</f>
        <v>MANUEL GARRIDO GARRIDO</v>
      </c>
      <c r="J793" s="57">
        <f ca="1">IFERROR(__xludf.DUMMYFUNCTION("""COMPUTED_VALUE"""),45338)</f>
        <v>45338</v>
      </c>
      <c r="K793" s="33" t="str">
        <f ca="1">IFERROR(__xludf.DUMMYFUNCTION("""COMPUTED_VALUE"""),"Pedido")</f>
        <v>Pedido</v>
      </c>
      <c r="L793" s="57">
        <f ca="1">IFERROR(__xludf.DUMMYFUNCTION("""COMPUTED_VALUE"""),46093)</f>
        <v>46093</v>
      </c>
      <c r="M793" s="64" t="str">
        <f ca="1">IFERROR(__xludf.DUMMYFUNCTION("""COMPUTED_VALUE"""),"NO")</f>
        <v>NO</v>
      </c>
      <c r="N793" s="56">
        <f ca="1">IFERROR(__xludf.DUMMYFUNCTION("""COMPUTED_VALUE"""),1)</f>
        <v>1</v>
      </c>
      <c r="O793" s="64" t="str">
        <f ca="1">IFERROR(__xludf.DUMMYFUNCTION("""COMPUTED_VALUE"""),"CONFORT")</f>
        <v>CONFORT</v>
      </c>
      <c r="P793" s="62">
        <f ca="1">IFERROR(__xludf.DUMMYFUNCTION("""COMPUTED_VALUE"""),0)</f>
        <v>0</v>
      </c>
      <c r="Q793" s="33" t="str">
        <f ca="1">IFERROR(__xludf.DUMMYFUNCTION("""COMPUTED_VALUE"""),"KiKo Ortega")</f>
        <v>KiKo Ortega</v>
      </c>
      <c r="R793" s="33" t="str">
        <f ca="1">IFERROR(__xludf.DUMMYFUNCTION("""COMPUTED_VALUE"""),"Dra, Celia Lendorio Otero")</f>
        <v>Dra, Celia Lendorio Otero</v>
      </c>
      <c r="S793" s="61" t="str">
        <f ca="1">IFERROR(__xludf.DUMMYFUNCTION("""COMPUTED_VALUE"""),"03 ORL")</f>
        <v>03 ORL</v>
      </c>
      <c r="T793" s="33" t="str">
        <f ca="1">IFERROR(__xludf.DUMMYFUNCTION("""COMPUTED_VALUE"""),"06 ORL")</f>
        <v>06 ORL</v>
      </c>
      <c r="U793" s="62"/>
      <c r="W793" s="61"/>
      <c r="X793" s="62"/>
    </row>
    <row r="794" spans="2:24" ht="16">
      <c r="B794" s="67" t="str">
        <f t="shared" ca="1" si="4"/>
        <v>#N/</v>
      </c>
      <c r="C794" s="64" t="str">
        <f ca="1">IFERROR(__xludf.DUMMYFUNCTION("""COMPUTED_VALUE"""),"#N/A")</f>
        <v>#N/A</v>
      </c>
      <c r="D794" s="33" t="str">
        <f ca="1">IFERROR(__xludf.DUMMYFUNCTION("""COMPUTED_VALUE"""),"PARTICIPADOS")</f>
        <v>PARTICIPADOS</v>
      </c>
      <c r="E794" s="33">
        <f ca="1">IFERROR(__xludf.DUMMYFUNCTION("""COMPUTED_VALUE"""),2026)</f>
        <v>2026</v>
      </c>
      <c r="F794" s="56">
        <f ca="1">IFERROR(__xludf.DUMMYFUNCTION("""COMPUTED_VALUE"""),3)</f>
        <v>3</v>
      </c>
      <c r="G794" s="33" t="str">
        <f ca="1">IFERROR(__xludf.DUMMYFUNCTION("""COMPUTED_VALUE"""),"Ourense")</f>
        <v>Ourense</v>
      </c>
      <c r="H794" s="33" t="str">
        <f ca="1">IFERROR(__xludf.DUMMYFUNCTION("""COMPUTED_VALUE"""),"C202631212241553702")</f>
        <v>C202631212241553702</v>
      </c>
      <c r="I794" s="33" t="str">
        <f ca="1">IFERROR(__xludf.DUMMYFUNCTION("""COMPUTED_VALUE"""),"MANUEL GIL RODRIGUEZ")</f>
        <v>MANUEL GIL RODRIGUEZ</v>
      </c>
      <c r="J794" s="57">
        <f ca="1">IFERROR(__xludf.DUMMYFUNCTION("""COMPUTED_VALUE"""),46093)</f>
        <v>46093</v>
      </c>
      <c r="K794" s="33" t="str">
        <f ca="1">IFERROR(__xludf.DUMMYFUNCTION("""COMPUTED_VALUE"""),"Prueba")</f>
        <v>Prueba</v>
      </c>
      <c r="L794" s="57">
        <f ca="1">IFERROR(__xludf.DUMMYFUNCTION("""COMPUTED_VALUE"""),46099)</f>
        <v>46099</v>
      </c>
      <c r="M794" s="64" t="str">
        <f ca="1">IFERROR(__xludf.DUMMYFUNCTION("""COMPUTED_VALUE"""),"NO")</f>
        <v>NO</v>
      </c>
      <c r="N794" s="56">
        <f ca="1">IFERROR(__xludf.DUMMYFUNCTION("""COMPUTED_VALUE"""),2)</f>
        <v>2</v>
      </c>
      <c r="O794" s="64" t="str">
        <f ca="1">IFERROR(__xludf.DUMMYFUNCTION("""COMPUTED_VALUE"""),"QUIET")</f>
        <v>QUIET</v>
      </c>
      <c r="P794" s="62">
        <f ca="1">IFERROR(__xludf.DUMMYFUNCTION("""COMPUTED_VALUE"""),2718.18)</f>
        <v>2718.18</v>
      </c>
      <c r="Q794" s="33" t="str">
        <f ca="1">IFERROR(__xludf.DUMMYFUNCTION("""COMPUTED_VALUE"""),"KiKo Ortega")</f>
        <v>KiKo Ortega</v>
      </c>
      <c r="R794" s="33" t="str">
        <f ca="1">IFERROR(__xludf.DUMMYFUNCTION("""COMPUTED_VALUE"""),"Dra, María Rey Marcos")</f>
        <v>Dra, María Rey Marcos</v>
      </c>
      <c r="S794" s="61" t="str">
        <f ca="1">IFERROR(__xludf.DUMMYFUNCTION("""COMPUTED_VALUE"""),"03 ORL")</f>
        <v>03 ORL</v>
      </c>
      <c r="T794" s="33" t="str">
        <f ca="1">IFERROR(__xludf.DUMMYFUNCTION("""COMPUTED_VALUE"""),"06 ORL")</f>
        <v>06 ORL</v>
      </c>
      <c r="U794" s="62"/>
      <c r="W794" s="61"/>
      <c r="X794" s="62"/>
    </row>
    <row r="795" spans="2:24" ht="16">
      <c r="B795" s="67" t="str">
        <f t="shared" ca="1" si="4"/>
        <v>#N/</v>
      </c>
      <c r="C795" s="64" t="str">
        <f ca="1">IFERROR(__xludf.DUMMYFUNCTION("""COMPUTED_VALUE"""),"#N/A")</f>
        <v>#N/A</v>
      </c>
      <c r="D795" s="33" t="str">
        <f ca="1">IFERROR(__xludf.DUMMYFUNCTION("""COMPUTED_VALUE"""),"PARTICIPADOS")</f>
        <v>PARTICIPADOS</v>
      </c>
      <c r="E795" s="33">
        <f ca="1">IFERROR(__xludf.DUMMYFUNCTION("""COMPUTED_VALUE"""),2026)</f>
        <v>2026</v>
      </c>
      <c r="F795" s="56">
        <f ca="1">IFERROR(__xludf.DUMMYFUNCTION("""COMPUTED_VALUE"""),2)</f>
        <v>2</v>
      </c>
      <c r="G795" s="33" t="str">
        <f ca="1">IFERROR(__xludf.DUMMYFUNCTION("""COMPUTED_VALUE"""),"Ourense")</f>
        <v>Ourense</v>
      </c>
      <c r="H795" s="33" t="str">
        <f ca="1">IFERROR(__xludf.DUMMYFUNCTION("""COMPUTED_VALUE"""),"C202612711512464312")</f>
        <v>C202612711512464312</v>
      </c>
      <c r="I795" s="33" t="str">
        <f ca="1">IFERROR(__xludf.DUMMYFUNCTION("""COMPUTED_VALUE"""),"MARIA DOMINGUEZ BELLO")</f>
        <v>MARIA DOMINGUEZ BELLO</v>
      </c>
      <c r="J795" s="57">
        <f ca="1">IFERROR(__xludf.DUMMYFUNCTION("""COMPUTED_VALUE"""),46049)</f>
        <v>46049</v>
      </c>
      <c r="K795" s="33" t="str">
        <f ca="1">IFERROR(__xludf.DUMMYFUNCTION("""COMPUTED_VALUE"""),"Presupuesto")</f>
        <v>Presupuesto</v>
      </c>
      <c r="L795" s="57">
        <f ca="1">IFERROR(__xludf.DUMMYFUNCTION("""COMPUTED_VALUE"""),46057)</f>
        <v>46057</v>
      </c>
      <c r="M795" s="64" t="str">
        <f ca="1">IFERROR(__xludf.DUMMYFUNCTION("""COMPUTED_VALUE"""),"NO")</f>
        <v>NO</v>
      </c>
      <c r="N795" s="56">
        <f ca="1">IFERROR(__xludf.DUMMYFUNCTION("""COMPUTED_VALUE"""),2)</f>
        <v>2</v>
      </c>
      <c r="O795" s="64" t="str">
        <f ca="1">IFERROR(__xludf.DUMMYFUNCTION("""COMPUTED_VALUE"""),"TRIAL")</f>
        <v>TRIAL</v>
      </c>
      <c r="P795" s="62">
        <f ca="1">IFERROR(__xludf.DUMMYFUNCTION("""COMPUTED_VALUE"""),3631.82)</f>
        <v>3631.82</v>
      </c>
      <c r="Q795" s="33" t="str">
        <f ca="1">IFERROR(__xludf.DUMMYFUNCTION("""COMPUTED_VALUE"""),"KiKo Ortega")</f>
        <v>KiKo Ortega</v>
      </c>
      <c r="R795" s="33" t="str">
        <f ca="1">IFERROR(__xludf.DUMMYFUNCTION("""COMPUTED_VALUE"""),"Dra, María Rey Marcos")</f>
        <v>Dra, María Rey Marcos</v>
      </c>
      <c r="S795" s="61" t="str">
        <f ca="1">IFERROR(__xludf.DUMMYFUNCTION("""COMPUTED_VALUE"""),"03 ORL")</f>
        <v>03 ORL</v>
      </c>
      <c r="T795" s="33" t="str">
        <f ca="1">IFERROR(__xludf.DUMMYFUNCTION("""COMPUTED_VALUE"""),"06 ORL")</f>
        <v>06 ORL</v>
      </c>
      <c r="U795" s="62"/>
      <c r="W795" s="61"/>
      <c r="X795" s="62"/>
    </row>
    <row r="796" spans="2:24" ht="16">
      <c r="B796" s="67" t="str">
        <f t="shared" ca="1" si="4"/>
        <v>#N/</v>
      </c>
      <c r="C796" s="64" t="str">
        <f ca="1">IFERROR(__xludf.DUMMYFUNCTION("""COMPUTED_VALUE"""),"#N/A")</f>
        <v>#N/A</v>
      </c>
      <c r="D796" s="33" t="str">
        <f ca="1">IFERROR(__xludf.DUMMYFUNCTION("""COMPUTED_VALUE"""),"PARTICIPADOS")</f>
        <v>PARTICIPADOS</v>
      </c>
      <c r="E796" s="33">
        <f ca="1">IFERROR(__xludf.DUMMYFUNCTION("""COMPUTED_VALUE"""),2026)</f>
        <v>2026</v>
      </c>
      <c r="F796" s="56">
        <f ca="1">IFERROR(__xludf.DUMMYFUNCTION("""COMPUTED_VALUE"""),2)</f>
        <v>2</v>
      </c>
      <c r="G796" s="33" t="str">
        <f ca="1">IFERROR(__xludf.DUMMYFUNCTION("""COMPUTED_VALUE"""),"Ourense")</f>
        <v>Ourense</v>
      </c>
      <c r="H796" s="33" t="str">
        <f ca="1">IFERROR(__xludf.DUMMYFUNCTION("""COMPUTED_VALUE"""),"C202611413754509934")</f>
        <v>C202611413754509934</v>
      </c>
      <c r="I796" s="33" t="str">
        <f ca="1">IFERROR(__xludf.DUMMYFUNCTION("""COMPUTED_VALUE"""),"MARIA ELISA CEBREIRO FERNANDEZ")</f>
        <v>MARIA ELISA CEBREIRO FERNANDEZ</v>
      </c>
      <c r="J796" s="57">
        <f ca="1">IFERROR(__xludf.DUMMYFUNCTION("""COMPUTED_VALUE"""),46036)</f>
        <v>46036</v>
      </c>
      <c r="K796" s="33" t="str">
        <f ca="1">IFERROR(__xludf.DUMMYFUNCTION("""COMPUTED_VALUE"""),"Devuelve")</f>
        <v>Devuelve</v>
      </c>
      <c r="L796" s="57">
        <f ca="1">IFERROR(__xludf.DUMMYFUNCTION("""COMPUTED_VALUE"""),46076)</f>
        <v>46076</v>
      </c>
      <c r="M796" s="64" t="str">
        <f ca="1">IFERROR(__xludf.DUMMYFUNCTION("""COMPUTED_VALUE"""),"NO")</f>
        <v>NO</v>
      </c>
      <c r="N796" s="56">
        <f ca="1">IFERROR(__xludf.DUMMYFUNCTION("""COMPUTED_VALUE"""),1)</f>
        <v>1</v>
      </c>
      <c r="O796" s="64" t="str">
        <f ca="1">IFERROR(__xludf.DUMMYFUNCTION("""COMPUTED_VALUE"""),"TRIAL")</f>
        <v>TRIAL</v>
      </c>
      <c r="P796" s="62">
        <f ca="1">IFERROR(__xludf.DUMMYFUNCTION("""COMPUTED_VALUE"""),2180.91)</f>
        <v>2180.91</v>
      </c>
      <c r="Q796" s="33" t="str">
        <f ca="1">IFERROR(__xludf.DUMMYFUNCTION("""COMPUTED_VALUE"""),"KiKo Ortega")</f>
        <v>KiKo Ortega</v>
      </c>
      <c r="R796" s="33" t="str">
        <f ca="1">IFERROR(__xludf.DUMMYFUNCTION("""COMPUTED_VALUE"""),"Dra, Ana Quintana Sanjuan")</f>
        <v>Dra, Ana Quintana Sanjuan</v>
      </c>
      <c r="S796" s="61" t="str">
        <f ca="1">IFERROR(__xludf.DUMMYFUNCTION("""COMPUTED_VALUE"""),"03 ORL")</f>
        <v>03 ORL</v>
      </c>
      <c r="T796" s="33" t="str">
        <f ca="1">IFERROR(__xludf.DUMMYFUNCTION("""COMPUTED_VALUE"""),"06 ORL")</f>
        <v>06 ORL</v>
      </c>
      <c r="U796" s="62"/>
      <c r="W796" s="61"/>
      <c r="X796" s="62"/>
    </row>
    <row r="797" spans="2:24" ht="16">
      <c r="B797" s="67" t="str">
        <f t="shared" ca="1" si="4"/>
        <v/>
      </c>
      <c r="C797" s="64"/>
      <c r="D797" s="33" t="str">
        <f ca="1">IFERROR(__xludf.DUMMYFUNCTION("""COMPUTED_VALUE"""),"PARTICIPADOS")</f>
        <v>PARTICIPADOS</v>
      </c>
      <c r="E797" s="33">
        <f ca="1">IFERROR(__xludf.DUMMYFUNCTION("""COMPUTED_VALUE"""),2026)</f>
        <v>2026</v>
      </c>
      <c r="F797" s="56">
        <f ca="1">IFERROR(__xludf.DUMMYFUNCTION("""COMPUTED_VALUE"""),3)</f>
        <v>3</v>
      </c>
      <c r="G797" s="33" t="str">
        <f ca="1">IFERROR(__xludf.DUMMYFUNCTION("""COMPUTED_VALUE"""),"Ourense")</f>
        <v>Ourense</v>
      </c>
      <c r="H797" s="33" t="str">
        <f ca="1">IFERROR(__xludf.DUMMYFUNCTION("""COMPUTED_VALUE"""),"C202632310474154438")</f>
        <v>C202632310474154438</v>
      </c>
      <c r="I797" s="33" t="str">
        <f ca="1">IFERROR(__xludf.DUMMYFUNCTION("""COMPUTED_VALUE"""),"MARIA MARTINEZ ESTEVEZ")</f>
        <v>MARIA MARTINEZ ESTEVEZ</v>
      </c>
      <c r="J797" s="57">
        <f ca="1">IFERROR(__xludf.DUMMYFUNCTION("""COMPUTED_VALUE"""),46104)</f>
        <v>46104</v>
      </c>
      <c r="K797" s="33" t="str">
        <f ca="1">IFERROR(__xludf.DUMMYFUNCTION("""COMPUTED_VALUE"""),"Presupuesto")</f>
        <v>Presupuesto</v>
      </c>
      <c r="L797" s="57">
        <f ca="1">IFERROR(__xludf.DUMMYFUNCTION("""COMPUTED_VALUE"""),46112)</f>
        <v>46112</v>
      </c>
      <c r="M797" s="64" t="str">
        <f ca="1">IFERROR(__xludf.DUMMYFUNCTION("""COMPUTED_VALUE"""),"NO")</f>
        <v>NO</v>
      </c>
      <c r="N797" s="56">
        <f ca="1">IFERROR(__xludf.DUMMYFUNCTION("""COMPUTED_VALUE"""),2)</f>
        <v>2</v>
      </c>
      <c r="O797" s="64" t="str">
        <f ca="1">IFERROR(__xludf.DUMMYFUNCTION("""COMPUTED_VALUE"""),"CONFORT")</f>
        <v>CONFORT</v>
      </c>
      <c r="P797" s="62">
        <f ca="1">IFERROR(__xludf.DUMMYFUNCTION("""COMPUTED_VALUE"""),3631.82)</f>
        <v>3631.82</v>
      </c>
      <c r="Q797" s="33" t="str">
        <f ca="1">IFERROR(__xludf.DUMMYFUNCTION("""COMPUTED_VALUE"""),"KiKo Ortega")</f>
        <v>KiKo Ortega</v>
      </c>
      <c r="R797" s="33" t="str">
        <f ca="1">IFERROR(__xludf.DUMMYFUNCTION("""COMPUTED_VALUE"""),"No recuerda ORL")</f>
        <v>No recuerda ORL</v>
      </c>
      <c r="S797" s="61" t="str">
        <f ca="1">IFERROR(__xludf.DUMMYFUNCTION("""COMPUTED_VALUE"""),"03 ORL")</f>
        <v>03 ORL</v>
      </c>
      <c r="T797" s="33" t="str">
        <f ca="1">IFERROR(__xludf.DUMMYFUNCTION("""COMPUTED_VALUE"""),"06 ORL")</f>
        <v>06 ORL</v>
      </c>
      <c r="U797" s="62"/>
      <c r="W797" s="61"/>
      <c r="X797" s="62"/>
    </row>
    <row r="798" spans="2:24" ht="16">
      <c r="B798" s="67" t="str">
        <f t="shared" ca="1" si="4"/>
        <v>#N/</v>
      </c>
      <c r="C798" s="64" t="str">
        <f ca="1">IFERROR(__xludf.DUMMYFUNCTION("""COMPUTED_VALUE"""),"#N/A")</f>
        <v>#N/A</v>
      </c>
      <c r="D798" s="33" t="str">
        <f ca="1">IFERROR(__xludf.DUMMYFUNCTION("""COMPUTED_VALUE"""),"PARTICIPADOS")</f>
        <v>PARTICIPADOS</v>
      </c>
      <c r="E798" s="33">
        <f ca="1">IFERROR(__xludf.DUMMYFUNCTION("""COMPUTED_VALUE"""),2026)</f>
        <v>2026</v>
      </c>
      <c r="F798" s="56">
        <f ca="1">IFERROR(__xludf.DUMMYFUNCTION("""COMPUTED_VALUE"""),1)</f>
        <v>1</v>
      </c>
      <c r="G798" s="33" t="str">
        <f ca="1">IFERROR(__xludf.DUMMYFUNCTION("""COMPUTED_VALUE"""),"Ourense")</f>
        <v>Ourense</v>
      </c>
      <c r="H798" s="33" t="str">
        <f ca="1">IFERROR(__xludf.DUMMYFUNCTION("""COMPUTED_VALUE"""),"C202512301131984966")</f>
        <v>C202512301131984966</v>
      </c>
      <c r="I798" s="33" t="str">
        <f ca="1">IFERROR(__xludf.DUMMYFUNCTION("""COMPUTED_VALUE"""),"MARIA SUSANA DIAZ RODRIGUEZ")</f>
        <v>MARIA SUSANA DIAZ RODRIGUEZ</v>
      </c>
      <c r="J798" s="57">
        <f ca="1">IFERROR(__xludf.DUMMYFUNCTION("""COMPUTED_VALUE"""),46021)</f>
        <v>46021</v>
      </c>
      <c r="K798" s="33" t="str">
        <f ca="1">IFERROR(__xludf.DUMMYFUNCTION("""COMPUTED_VALUE"""),"Devuelve")</f>
        <v>Devuelve</v>
      </c>
      <c r="L798" s="57">
        <f ca="1">IFERROR(__xludf.DUMMYFUNCTION("""COMPUTED_VALUE"""),46035)</f>
        <v>46035</v>
      </c>
      <c r="M798" s="58" t="str">
        <f ca="1">IFERROR(__xludf.DUMMYFUNCTION("""COMPUTED_VALUE"""),"NO")</f>
        <v>NO</v>
      </c>
      <c r="N798" s="56">
        <f ca="1">IFERROR(__xludf.DUMMYFUNCTION("""COMPUTED_VALUE"""),2)</f>
        <v>2</v>
      </c>
      <c r="O798" s="64" t="str">
        <f ca="1">IFERROR(__xludf.DUMMYFUNCTION("""COMPUTED_VALUE"""),"TRIAL")</f>
        <v>TRIAL</v>
      </c>
      <c r="P798" s="62">
        <f ca="1">IFERROR(__xludf.DUMMYFUNCTION("""COMPUTED_VALUE"""),3631.82)</f>
        <v>3631.82</v>
      </c>
      <c r="Q798" s="33" t="str">
        <f ca="1">IFERROR(__xludf.DUMMYFUNCTION("""COMPUTED_VALUE"""),"KiKo Ortega")</f>
        <v>KiKo Ortega</v>
      </c>
      <c r="R798" s="33" t="str">
        <f ca="1">IFERROR(__xludf.DUMMYFUNCTION("""COMPUTED_VALUE"""),"Dr, Rafael Alfonso Hurtado Ruzza")</f>
        <v>Dr, Rafael Alfonso Hurtado Ruzza</v>
      </c>
      <c r="S798" s="61" t="str">
        <f ca="1">IFERROR(__xludf.DUMMYFUNCTION("""COMPUTED_VALUE"""),"03 ORL")</f>
        <v>03 ORL</v>
      </c>
      <c r="T798" s="33" t="str">
        <f ca="1">IFERROR(__xludf.DUMMYFUNCTION("""COMPUTED_VALUE"""),"06 ORL")</f>
        <v>06 ORL</v>
      </c>
      <c r="U798" s="62"/>
      <c r="W798" s="61"/>
      <c r="X798" s="62"/>
    </row>
    <row r="799" spans="2:24" ht="16">
      <c r="B799" s="67" t="str">
        <f t="shared" ca="1" si="4"/>
        <v>#N/</v>
      </c>
      <c r="C799" s="64" t="str">
        <f ca="1">IFERROR(__xludf.DUMMYFUNCTION("""COMPUTED_VALUE"""),"#N/A")</f>
        <v>#N/A</v>
      </c>
      <c r="D799" s="33" t="str">
        <f ca="1">IFERROR(__xludf.DUMMYFUNCTION("""COMPUTED_VALUE"""),"PARTICIPADOS")</f>
        <v>PARTICIPADOS</v>
      </c>
      <c r="E799" s="33">
        <f ca="1">IFERROR(__xludf.DUMMYFUNCTION("""COMPUTED_VALUE"""),2026)</f>
        <v>2026</v>
      </c>
      <c r="F799" s="56">
        <f ca="1">IFERROR(__xludf.DUMMYFUNCTION("""COMPUTED_VALUE"""),3)</f>
        <v>3</v>
      </c>
      <c r="G799" s="33" t="str">
        <f ca="1">IFERROR(__xludf.DUMMYFUNCTION("""COMPUTED_VALUE"""),"Ourense")</f>
        <v>Ourense</v>
      </c>
      <c r="H799" s="33" t="str">
        <f ca="1">IFERROR(__xludf.DUMMYFUNCTION("""COMPUTED_VALUE"""),"C202639123420059752")</f>
        <v>C202639123420059752</v>
      </c>
      <c r="I799" s="33" t="str">
        <f ca="1">IFERROR(__xludf.DUMMYFUNCTION("""COMPUTED_VALUE"""),"RAMONA FEIJOO QUINTAIROS")</f>
        <v>RAMONA FEIJOO QUINTAIROS</v>
      </c>
      <c r="J799" s="57">
        <f ca="1">IFERROR(__xludf.DUMMYFUNCTION("""COMPUTED_VALUE"""),46090)</f>
        <v>46090</v>
      </c>
      <c r="K799" s="33" t="str">
        <f ca="1">IFERROR(__xludf.DUMMYFUNCTION("""COMPUTED_VALUE"""),"Presupuesto")</f>
        <v>Presupuesto</v>
      </c>
      <c r="L799" s="57">
        <f ca="1">IFERROR(__xludf.DUMMYFUNCTION("""COMPUTED_VALUE"""),46091)</f>
        <v>46091</v>
      </c>
      <c r="M799" s="64" t="str">
        <f ca="1">IFERROR(__xludf.DUMMYFUNCTION("""COMPUTED_VALUE"""),"NO")</f>
        <v>NO</v>
      </c>
      <c r="N799" s="56">
        <f ca="1">IFERROR(__xludf.DUMMYFUNCTION("""COMPUTED_VALUE"""),2)</f>
        <v>2</v>
      </c>
      <c r="O799" s="64" t="str">
        <f ca="1">IFERROR(__xludf.DUMMYFUNCTION("""COMPUTED_VALUE"""),"ADVANCED")</f>
        <v>ADVANCED</v>
      </c>
      <c r="P799" s="62">
        <f ca="1">IFERROR(__xludf.DUMMYFUNCTION("""COMPUTED_VALUE"""),3423.64)</f>
        <v>3423.64</v>
      </c>
      <c r="Q799" s="33" t="str">
        <f ca="1">IFERROR(__xludf.DUMMYFUNCTION("""COMPUTED_VALUE"""),"KiKo Ortega")</f>
        <v>KiKo Ortega</v>
      </c>
      <c r="R799" s="33" t="str">
        <f ca="1">IFERROR(__xludf.DUMMYFUNCTION("""COMPUTED_VALUE"""),"Dra, María Rey Marcos")</f>
        <v>Dra, María Rey Marcos</v>
      </c>
      <c r="S799" s="61" t="str">
        <f ca="1">IFERROR(__xludf.DUMMYFUNCTION("""COMPUTED_VALUE"""),"03 ORL")</f>
        <v>03 ORL</v>
      </c>
      <c r="T799" s="33" t="str">
        <f ca="1">IFERROR(__xludf.DUMMYFUNCTION("""COMPUTED_VALUE"""),"06 ORL")</f>
        <v>06 ORL</v>
      </c>
      <c r="U799" s="62"/>
      <c r="W799" s="61"/>
      <c r="X799" s="62"/>
    </row>
    <row r="800" spans="2:24" ht="16">
      <c r="B800" s="67" t="str">
        <f t="shared" ca="1" si="4"/>
        <v>#N/</v>
      </c>
      <c r="C800" s="64" t="str">
        <f ca="1">IFERROR(__xludf.DUMMYFUNCTION("""COMPUTED_VALUE"""),"#N/A")</f>
        <v>#N/A</v>
      </c>
      <c r="D800" s="33" t="str">
        <f ca="1">IFERROR(__xludf.DUMMYFUNCTION("""COMPUTED_VALUE"""),"PARTICIPADOS")</f>
        <v>PARTICIPADOS</v>
      </c>
      <c r="E800" s="33">
        <f ca="1">IFERROR(__xludf.DUMMYFUNCTION("""COMPUTED_VALUE"""),2026)</f>
        <v>2026</v>
      </c>
      <c r="F800" s="56">
        <f ca="1">IFERROR(__xludf.DUMMYFUNCTION("""COMPUTED_VALUE"""),2)</f>
        <v>2</v>
      </c>
      <c r="G800" s="33" t="str">
        <f ca="1">IFERROR(__xludf.DUMMYFUNCTION("""COMPUTED_VALUE"""),"Palencia")</f>
        <v>Palencia</v>
      </c>
      <c r="H800" s="33" t="str">
        <f ca="1">IFERROR(__xludf.DUMMYFUNCTION("""COMPUTED_VALUE"""),"C202621716335656322")</f>
        <v>C202621716335656322</v>
      </c>
      <c r="I800" s="33" t="str">
        <f ca="1">IFERROR(__xludf.DUMMYFUNCTION("""COMPUTED_VALUE"""),"ANA ISABEL MORRONDO ABRIL")</f>
        <v>ANA ISABEL MORRONDO ABRIL</v>
      </c>
      <c r="J800" s="57">
        <f ca="1">IFERROR(__xludf.DUMMYFUNCTION("""COMPUTED_VALUE"""),46070)</f>
        <v>46070</v>
      </c>
      <c r="K800" s="33" t="str">
        <f ca="1">IFERROR(__xludf.DUMMYFUNCTION("""COMPUTED_VALUE"""),"Devuelve")</f>
        <v>Devuelve</v>
      </c>
      <c r="L800" s="57">
        <f ca="1">IFERROR(__xludf.DUMMYFUNCTION("""COMPUTED_VALUE"""),46077)</f>
        <v>46077</v>
      </c>
      <c r="M800" s="64" t="str">
        <f ca="1">IFERROR(__xludf.DUMMYFUNCTION("""COMPUTED_VALUE"""),"NO")</f>
        <v>NO</v>
      </c>
      <c r="N800" s="56">
        <f ca="1">IFERROR(__xludf.DUMMYFUNCTION("""COMPUTED_VALUE"""),2)</f>
        <v>2</v>
      </c>
      <c r="O800" s="64" t="str">
        <f ca="1">IFERROR(__xludf.DUMMYFUNCTION("""COMPUTED_VALUE"""),"QUIET")</f>
        <v>QUIET</v>
      </c>
      <c r="P800" s="62">
        <f ca="1">IFERROR(__xludf.DUMMYFUNCTION("""COMPUTED_VALUE"""),2918.18)</f>
        <v>2918.18</v>
      </c>
      <c r="Q800" s="33" t="str">
        <f ca="1">IFERROR(__xludf.DUMMYFUNCTION("""COMPUTED_VALUE"""),"Ramon Ferrando")</f>
        <v>Ramon Ferrando</v>
      </c>
      <c r="R800" s="33" t="str">
        <f ca="1">IFERROR(__xludf.DUMMYFUNCTION("""COMPUTED_VALUE"""),"DR, Manuel Acuña García")</f>
        <v>DR, Manuel Acuña García</v>
      </c>
      <c r="S800" s="61" t="str">
        <f ca="1">IFERROR(__xludf.DUMMYFUNCTION("""COMPUTED_VALUE"""),"03 ORL")</f>
        <v>03 ORL</v>
      </c>
      <c r="T800" s="33" t="str">
        <f ca="1">IFERROR(__xludf.DUMMYFUNCTION("""COMPUTED_VALUE"""),"06 ORL")</f>
        <v>06 ORL</v>
      </c>
      <c r="U800" s="62"/>
      <c r="W800" s="61"/>
      <c r="X800" s="62"/>
    </row>
    <row r="801" spans="2:24" ht="16">
      <c r="B801" s="67" t="str">
        <f t="shared" ca="1" si="4"/>
        <v/>
      </c>
      <c r="C801" s="64"/>
      <c r="D801" s="33" t="str">
        <f ca="1">IFERROR(__xludf.DUMMYFUNCTION("""COMPUTED_VALUE"""),"PARTICIPADOS")</f>
        <v>PARTICIPADOS</v>
      </c>
      <c r="E801" s="33">
        <f ca="1">IFERROR(__xludf.DUMMYFUNCTION("""COMPUTED_VALUE"""),2026)</f>
        <v>2026</v>
      </c>
      <c r="F801" s="56">
        <f ca="1">IFERROR(__xludf.DUMMYFUNCTION("""COMPUTED_VALUE"""),3)</f>
        <v>3</v>
      </c>
      <c r="G801" s="33" t="str">
        <f ca="1">IFERROR(__xludf.DUMMYFUNCTION("""COMPUTED_VALUE"""),"Palencia")</f>
        <v>Palencia</v>
      </c>
      <c r="H801" s="33" t="str">
        <f ca="1">IFERROR(__xludf.DUMMYFUNCTION("""COMPUTED_VALUE"""),"C202632412304479474")</f>
        <v>C202632412304479474</v>
      </c>
      <c r="I801" s="33" t="str">
        <f ca="1">IFERROR(__xludf.DUMMYFUNCTION("""COMPUTED_VALUE"""),"MARIA PILAR CUADRADO FERNANDEZ")</f>
        <v>MARIA PILAR CUADRADO FERNANDEZ</v>
      </c>
      <c r="J801" s="57">
        <f ca="1">IFERROR(__xludf.DUMMYFUNCTION("""COMPUTED_VALUE"""),46105)</f>
        <v>46105</v>
      </c>
      <c r="K801" s="33" t="str">
        <f ca="1">IFERROR(__xludf.DUMMYFUNCTION("""COMPUTED_VALUE"""),"Pedido")</f>
        <v>Pedido</v>
      </c>
      <c r="L801" s="57">
        <f ca="1">IFERROR(__xludf.DUMMYFUNCTION("""COMPUTED_VALUE"""),46105)</f>
        <v>46105</v>
      </c>
      <c r="M801" s="64" t="str">
        <f ca="1">IFERROR(__xludf.DUMMYFUNCTION("""COMPUTED_VALUE"""),"NO")</f>
        <v>NO</v>
      </c>
      <c r="N801" s="56">
        <f ca="1">IFERROR(__xludf.DUMMYFUNCTION("""COMPUTED_VALUE"""),2)</f>
        <v>2</v>
      </c>
      <c r="O801" s="64" t="str">
        <f ca="1">IFERROR(__xludf.DUMMYFUNCTION("""COMPUTED_VALUE"""),"QUIET")</f>
        <v>QUIET</v>
      </c>
      <c r="P801" s="62">
        <f ca="1">IFERROR(__xludf.DUMMYFUNCTION("""COMPUTED_VALUE"""),2918.18)</f>
        <v>2918.18</v>
      </c>
      <c r="Q801" s="33" t="str">
        <f ca="1">IFERROR(__xludf.DUMMYFUNCTION("""COMPUTED_VALUE"""),"Alberto Moreno")</f>
        <v>Alberto Moreno</v>
      </c>
      <c r="R801" s="33" t="str">
        <f ca="1">IFERROR(__xludf.DUMMYFUNCTION("""COMPUTED_VALUE"""),"No recuerda ORL")</f>
        <v>No recuerda ORL</v>
      </c>
      <c r="S801" s="61" t="str">
        <f ca="1">IFERROR(__xludf.DUMMYFUNCTION("""COMPUTED_VALUE"""),"03 ORL")</f>
        <v>03 ORL</v>
      </c>
      <c r="T801" s="33" t="str">
        <f ca="1">IFERROR(__xludf.DUMMYFUNCTION("""COMPUTED_VALUE"""),"06 ORL")</f>
        <v>06 ORL</v>
      </c>
      <c r="U801" s="62"/>
      <c r="W801" s="61"/>
      <c r="X801" s="62"/>
    </row>
    <row r="802" spans="2:24" ht="16">
      <c r="B802" s="67" t="str">
        <f t="shared" ca="1" si="4"/>
        <v>#N/</v>
      </c>
      <c r="C802" s="64" t="str">
        <f ca="1">IFERROR(__xludf.DUMMYFUNCTION("""COMPUTED_VALUE"""),"#N/A")</f>
        <v>#N/A</v>
      </c>
      <c r="D802" s="33" t="str">
        <f ca="1">IFERROR(__xludf.DUMMYFUNCTION("""COMPUTED_VALUE"""),"PARTICIPADOS")</f>
        <v>PARTICIPADOS</v>
      </c>
      <c r="E802" s="33">
        <f ca="1">IFERROR(__xludf.DUMMYFUNCTION("""COMPUTED_VALUE"""),2026)</f>
        <v>2026</v>
      </c>
      <c r="F802" s="56">
        <f ca="1">IFERROR(__xludf.DUMMYFUNCTION("""COMPUTED_VALUE"""),1)</f>
        <v>1</v>
      </c>
      <c r="G802" s="33" t="str">
        <f ca="1">IFERROR(__xludf.DUMMYFUNCTION("""COMPUTED_VALUE"""),"Palencia")</f>
        <v>Palencia</v>
      </c>
      <c r="H802" s="33" t="str">
        <f ca="1">IFERROR(__xludf.DUMMYFUNCTION("""COMPUTED_VALUE"""),"PAL-17")</f>
        <v>PAL-17</v>
      </c>
      <c r="I802" s="33" t="str">
        <f ca="1">IFERROR(__xludf.DUMMYFUNCTION("""COMPUTED_VALUE"""),"MERCEDES GARCIA BECOECHEA")</f>
        <v>MERCEDES GARCIA BECOECHEA</v>
      </c>
      <c r="J802" s="57">
        <f ca="1">IFERROR(__xludf.DUMMYFUNCTION("""COMPUTED_VALUE"""),45033)</f>
        <v>45033</v>
      </c>
      <c r="K802" s="33" t="str">
        <f ca="1">IFERROR(__xludf.DUMMYFUNCTION("""COMPUTED_VALUE"""),"Devuelve")</f>
        <v>Devuelve</v>
      </c>
      <c r="L802" s="57">
        <f ca="1">IFERROR(__xludf.DUMMYFUNCTION("""COMPUTED_VALUE"""),46042)</f>
        <v>46042</v>
      </c>
      <c r="M802" s="64" t="str">
        <f ca="1">IFERROR(__xludf.DUMMYFUNCTION("""COMPUTED_VALUE"""),"NO")</f>
        <v>NO</v>
      </c>
      <c r="N802" s="56">
        <f ca="1">IFERROR(__xludf.DUMMYFUNCTION("""COMPUTED_VALUE"""),1)</f>
        <v>1</v>
      </c>
      <c r="O802" s="64" t="str">
        <f ca="1">IFERROR(__xludf.DUMMYFUNCTION("""COMPUTED_VALUE"""),"QUIET")</f>
        <v>QUIET</v>
      </c>
      <c r="P802" s="62">
        <f ca="1">IFERROR(__xludf.DUMMYFUNCTION("""COMPUTED_VALUE"""),0)</f>
        <v>0</v>
      </c>
      <c r="Q802" s="33" t="str">
        <f ca="1">IFERROR(__xludf.DUMMYFUNCTION("""COMPUTED_VALUE"""),"Alberto Moreno")</f>
        <v>Alberto Moreno</v>
      </c>
      <c r="R802" s="33" t="str">
        <f ca="1">IFERROR(__xludf.DUMMYFUNCTION("""COMPUTED_VALUE"""),"Dr, María Jesús Cornejo Domínguez")</f>
        <v>Dr, María Jesús Cornejo Domínguez</v>
      </c>
      <c r="S802" s="61" t="str">
        <f ca="1">IFERROR(__xludf.DUMMYFUNCTION("""COMPUTED_VALUE"""),"03 ORL")</f>
        <v>03 ORL</v>
      </c>
      <c r="T802" s="33" t="str">
        <f ca="1">IFERROR(__xludf.DUMMYFUNCTION("""COMPUTED_VALUE"""),"06 ORL")</f>
        <v>06 ORL</v>
      </c>
      <c r="U802" s="62"/>
      <c r="W802" s="61"/>
      <c r="X802" s="62"/>
    </row>
    <row r="803" spans="2:24" ht="16">
      <c r="B803" s="67" t="str">
        <f t="shared" ca="1" si="4"/>
        <v>#N/</v>
      </c>
      <c r="C803" s="64" t="str">
        <f ca="1">IFERROR(__xludf.DUMMYFUNCTION("""COMPUTED_VALUE"""),"#N/A")</f>
        <v>#N/A</v>
      </c>
      <c r="D803" s="33" t="str">
        <f ca="1">IFERROR(__xludf.DUMMYFUNCTION("""COMPUTED_VALUE"""),"ASOCIADOS")</f>
        <v>ASOCIADOS</v>
      </c>
      <c r="E803" s="33">
        <f ca="1">IFERROR(__xludf.DUMMYFUNCTION("""COMPUTED_VALUE"""),2026)</f>
        <v>2026</v>
      </c>
      <c r="F803" s="56">
        <f ca="1">IFERROR(__xludf.DUMMYFUNCTION("""COMPUTED_VALUE"""),2)</f>
        <v>2</v>
      </c>
      <c r="G803" s="33" t="str">
        <f ca="1">IFERROR(__xludf.DUMMYFUNCTION("""COMPUTED_VALUE"""),"Ponferrada")</f>
        <v>Ponferrada</v>
      </c>
      <c r="H803" s="33" t="str">
        <f ca="1">IFERROR(__xludf.DUMMYFUNCTION("""COMPUTED_VALUE"""),"PON-319")</f>
        <v>PON-319</v>
      </c>
      <c r="I803" s="33" t="str">
        <f ca="1">IFERROR(__xludf.DUMMYFUNCTION("""COMPUTED_VALUE"""),"ALBERTO PEREZ RIBADA")</f>
        <v>ALBERTO PEREZ RIBADA</v>
      </c>
      <c r="J803" s="57">
        <f ca="1">IFERROR(__xludf.DUMMYFUNCTION("""COMPUTED_VALUE"""),45994)</f>
        <v>45994</v>
      </c>
      <c r="K803" s="33" t="str">
        <f ca="1">IFERROR(__xludf.DUMMYFUNCTION("""COMPUTED_VALUE"""),"Prueba")</f>
        <v>Prueba</v>
      </c>
      <c r="L803" s="57">
        <f ca="1">IFERROR(__xludf.DUMMYFUNCTION("""COMPUTED_VALUE"""),46069)</f>
        <v>46069</v>
      </c>
      <c r="M803" s="64" t="str">
        <f ca="1">IFERROR(__xludf.DUMMYFUNCTION("""COMPUTED_VALUE"""),"NO")</f>
        <v>NO</v>
      </c>
      <c r="N803" s="56">
        <f ca="1">IFERROR(__xludf.DUMMYFUNCTION("""COMPUTED_VALUE"""),1)</f>
        <v>1</v>
      </c>
      <c r="O803" s="64" t="str">
        <f ca="1">IFERROR(__xludf.DUMMYFUNCTION("""COMPUTED_VALUE"""),"PRO")</f>
        <v>PRO</v>
      </c>
      <c r="P803" s="62">
        <f ca="1">IFERROR(__xludf.DUMMYFUNCTION("""COMPUTED_VALUE"""),1431.82)</f>
        <v>1431.82</v>
      </c>
      <c r="Q803" s="33" t="str">
        <f ca="1">IFERROR(__xludf.DUMMYFUNCTION("""COMPUTED_VALUE"""),"Ramon Ferrando")</f>
        <v>Ramon Ferrando</v>
      </c>
      <c r="R803" s="33" t="str">
        <f ca="1">IFERROR(__xludf.DUMMYFUNCTION("""COMPUTED_VALUE"""),"Dra, Xenia Mota Rojas")</f>
        <v>Dra, Xenia Mota Rojas</v>
      </c>
      <c r="S803" s="61" t="str">
        <f ca="1">IFERROR(__xludf.DUMMYFUNCTION("""COMPUTED_VALUE"""),"03 ORL")</f>
        <v>03 ORL</v>
      </c>
      <c r="T803" s="33" t="str">
        <f ca="1">IFERROR(__xludf.DUMMYFUNCTION("""COMPUTED_VALUE"""),"06 ORL")</f>
        <v>06 ORL</v>
      </c>
      <c r="U803" s="62"/>
      <c r="W803" s="61"/>
      <c r="X803" s="62"/>
    </row>
    <row r="804" spans="2:24" ht="16">
      <c r="B804" s="67" t="str">
        <f t="shared" ca="1" si="4"/>
        <v>#N/</v>
      </c>
      <c r="C804" s="64" t="str">
        <f ca="1">IFERROR(__xludf.DUMMYFUNCTION("""COMPUTED_VALUE"""),"#N/A")</f>
        <v>#N/A</v>
      </c>
      <c r="D804" s="33" t="str">
        <f ca="1">IFERROR(__xludf.DUMMYFUNCTION("""COMPUTED_VALUE"""),"ASOCIADOS")</f>
        <v>ASOCIADOS</v>
      </c>
      <c r="E804" s="33">
        <f ca="1">IFERROR(__xludf.DUMMYFUNCTION("""COMPUTED_VALUE"""),2026)</f>
        <v>2026</v>
      </c>
      <c r="F804" s="56">
        <f ca="1">IFERROR(__xludf.DUMMYFUNCTION("""COMPUTED_VALUE"""),2)</f>
        <v>2</v>
      </c>
      <c r="G804" s="33" t="str">
        <f ca="1">IFERROR(__xludf.DUMMYFUNCTION("""COMPUTED_VALUE"""),"Ponferrada")</f>
        <v>Ponferrada</v>
      </c>
      <c r="H804" s="33" t="str">
        <f ca="1">IFERROR(__xludf.DUMMYFUNCTION("""COMPUTED_VALUE"""),"PON-566")</f>
        <v>PON-566</v>
      </c>
      <c r="I804" s="33" t="str">
        <f ca="1">IFERROR(__xludf.DUMMYFUNCTION("""COMPUTED_VALUE"""),"ARGENTINA FERNANDEZ ALVAREZ")</f>
        <v>ARGENTINA FERNANDEZ ALVAREZ</v>
      </c>
      <c r="J804" s="57">
        <f ca="1">IFERROR(__xludf.DUMMYFUNCTION("""COMPUTED_VALUE"""),45994)</f>
        <v>45994</v>
      </c>
      <c r="K804" s="33" t="str">
        <f ca="1">IFERROR(__xludf.DUMMYFUNCTION("""COMPUTED_VALUE"""),"Presupuesto")</f>
        <v>Presupuesto</v>
      </c>
      <c r="L804" s="57">
        <f ca="1">IFERROR(__xludf.DUMMYFUNCTION("""COMPUTED_VALUE"""),46066)</f>
        <v>46066</v>
      </c>
      <c r="M804" s="64" t="str">
        <f ca="1">IFERROR(__xludf.DUMMYFUNCTION("""COMPUTED_VALUE"""),"NO")</f>
        <v>NO</v>
      </c>
      <c r="N804" s="56">
        <f ca="1">IFERROR(__xludf.DUMMYFUNCTION("""COMPUTED_VALUE"""),1)</f>
        <v>1</v>
      </c>
      <c r="O804" s="64" t="str">
        <f ca="1">IFERROR(__xludf.DUMMYFUNCTION("""COMPUTED_VALUE"""),"CONFORT")</f>
        <v>CONFORT</v>
      </c>
      <c r="P804" s="62">
        <f ca="1">IFERROR(__xludf.DUMMYFUNCTION("""COMPUTED_VALUE"""),1818.18)</f>
        <v>1818.18</v>
      </c>
      <c r="Q804" s="33" t="str">
        <f ca="1">IFERROR(__xludf.DUMMYFUNCTION("""COMPUTED_VALUE"""),"Ramon Ferrando")</f>
        <v>Ramon Ferrando</v>
      </c>
      <c r="R804" s="33" t="str">
        <f ca="1">IFERROR(__xludf.DUMMYFUNCTION("""COMPUTED_VALUE"""),"Dra, Diana Lysbeth Lourido Piedrahita")</f>
        <v>Dra, Diana Lysbeth Lourido Piedrahita</v>
      </c>
      <c r="S804" s="61" t="str">
        <f ca="1">IFERROR(__xludf.DUMMYFUNCTION("""COMPUTED_VALUE"""),"04 TIENDA")</f>
        <v>04 TIENDA</v>
      </c>
      <c r="T804" s="33" t="str">
        <f ca="1">IFERROR(__xludf.DUMMYFUNCTION("""COMPUTED_VALUE"""),"07 BOCA/BOCA")</f>
        <v>07 BOCA/BOCA</v>
      </c>
      <c r="U804" s="62"/>
      <c r="W804" s="61"/>
      <c r="X804" s="62"/>
    </row>
    <row r="805" spans="2:24" ht="16">
      <c r="B805" s="67" t="str">
        <f t="shared" ca="1" si="4"/>
        <v>#N/</v>
      </c>
      <c r="C805" s="64" t="str">
        <f ca="1">IFERROR(__xludf.DUMMYFUNCTION("""COMPUTED_VALUE"""),"#N/A")</f>
        <v>#N/A</v>
      </c>
      <c r="D805" s="33" t="str">
        <f ca="1">IFERROR(__xludf.DUMMYFUNCTION("""COMPUTED_VALUE"""),"ASOCIADOS")</f>
        <v>ASOCIADOS</v>
      </c>
      <c r="E805" s="33">
        <f ca="1">IFERROR(__xludf.DUMMYFUNCTION("""COMPUTED_VALUE"""),2026)</f>
        <v>2026</v>
      </c>
      <c r="F805" s="56">
        <f ca="1">IFERROR(__xludf.DUMMYFUNCTION("""COMPUTED_VALUE"""),3)</f>
        <v>3</v>
      </c>
      <c r="G805" s="33" t="str">
        <f ca="1">IFERROR(__xludf.DUMMYFUNCTION("""COMPUTED_VALUE"""),"Ponferrada")</f>
        <v>Ponferrada</v>
      </c>
      <c r="H805" s="33" t="str">
        <f ca="1">IFERROR(__xludf.DUMMYFUNCTION("""COMPUTED_VALUE"""),"PON-889")</f>
        <v>PON-889</v>
      </c>
      <c r="I805" s="33" t="str">
        <f ca="1">IFERROR(__xludf.DUMMYFUNCTION("""COMPUTED_VALUE"""),"FEDERICO MARTINEZ VEGA")</f>
        <v>FEDERICO MARTINEZ VEGA</v>
      </c>
      <c r="J805" s="57">
        <f ca="1">IFERROR(__xludf.DUMMYFUNCTION("""COMPUTED_VALUE"""),45994)</f>
        <v>45994</v>
      </c>
      <c r="K805" s="33" t="str">
        <f ca="1">IFERROR(__xludf.DUMMYFUNCTION("""COMPUTED_VALUE"""),"Prueba")</f>
        <v>Prueba</v>
      </c>
      <c r="L805" s="57">
        <f ca="1">IFERROR(__xludf.DUMMYFUNCTION("""COMPUTED_VALUE"""),46099)</f>
        <v>46099</v>
      </c>
      <c r="M805" s="64" t="str">
        <f ca="1">IFERROR(__xludf.DUMMYFUNCTION("""COMPUTED_VALUE"""),"NO")</f>
        <v>NO</v>
      </c>
      <c r="N805" s="56">
        <f ca="1">IFERROR(__xludf.DUMMYFUNCTION("""COMPUTED_VALUE"""),2)</f>
        <v>2</v>
      </c>
      <c r="O805" s="64" t="str">
        <f ca="1">IFERROR(__xludf.DUMMYFUNCTION("""COMPUTED_VALUE"""),"CONFORT")</f>
        <v>CONFORT</v>
      </c>
      <c r="P805" s="62">
        <f ca="1">IFERROR(__xludf.DUMMYFUNCTION("""COMPUTED_VALUE"""),3909.09)</f>
        <v>3909.09</v>
      </c>
      <c r="Q805" s="33" t="str">
        <f ca="1">IFERROR(__xludf.DUMMYFUNCTION("""COMPUTED_VALUE"""),"Ramon Ferrando")</f>
        <v>Ramon Ferrando</v>
      </c>
      <c r="R805" s="33" t="str">
        <f ca="1">IFERROR(__xludf.DUMMYFUNCTION("""COMPUTED_VALUE"""),"Dra, Mónica Granda Rosales")</f>
        <v>Dra, Mónica Granda Rosales</v>
      </c>
      <c r="S805" s="61" t="str">
        <f ca="1">IFERROR(__xludf.DUMMYFUNCTION("""COMPUTED_VALUE"""),"03 ORL")</f>
        <v>03 ORL</v>
      </c>
      <c r="T805" s="33" t="str">
        <f ca="1">IFERROR(__xludf.DUMMYFUNCTION("""COMPUTED_VALUE"""),"06 ORL")</f>
        <v>06 ORL</v>
      </c>
      <c r="U805" s="62"/>
      <c r="W805" s="61"/>
      <c r="X805" s="62"/>
    </row>
    <row r="806" spans="2:24" ht="16">
      <c r="B806" s="67" t="str">
        <f t="shared" ca="1" si="4"/>
        <v/>
      </c>
      <c r="C806" s="64"/>
      <c r="D806" s="33" t="str">
        <f ca="1">IFERROR(__xludf.DUMMYFUNCTION("""COMPUTED_VALUE"""),"ASOCIADOS")</f>
        <v>ASOCIADOS</v>
      </c>
      <c r="E806" s="33">
        <f ca="1">IFERROR(__xludf.DUMMYFUNCTION("""COMPUTED_VALUE"""),2026)</f>
        <v>2026</v>
      </c>
      <c r="F806" s="56">
        <f ca="1">IFERROR(__xludf.DUMMYFUNCTION("""COMPUTED_VALUE"""),3)</f>
        <v>3</v>
      </c>
      <c r="G806" s="33" t="str">
        <f ca="1">IFERROR(__xludf.DUMMYFUNCTION("""COMPUTED_VALUE"""),"Ponferrada")</f>
        <v>Ponferrada</v>
      </c>
      <c r="H806" s="33" t="str">
        <f ca="1">IFERROR(__xludf.DUMMYFUNCTION("""COMPUTED_VALUE"""),"C202622511164101754")</f>
        <v>C202622511164101754</v>
      </c>
      <c r="I806" s="33" t="str">
        <f ca="1">IFERROR(__xludf.DUMMYFUNCTION("""COMPUTED_VALUE"""),"FERMIN RAMON MOREDA")</f>
        <v>FERMIN RAMON MOREDA</v>
      </c>
      <c r="J806" s="57">
        <f ca="1">IFERROR(__xludf.DUMMYFUNCTION("""COMPUTED_VALUE"""),46078)</f>
        <v>46078</v>
      </c>
      <c r="K806" s="33" t="str">
        <f ca="1">IFERROR(__xludf.DUMMYFUNCTION("""COMPUTED_VALUE"""),"Prueba")</f>
        <v>Prueba</v>
      </c>
      <c r="L806" s="57">
        <f ca="1">IFERROR(__xludf.DUMMYFUNCTION("""COMPUTED_VALUE"""),46087)</f>
        <v>46087</v>
      </c>
      <c r="M806" s="64" t="str">
        <f ca="1">IFERROR(__xludf.DUMMYFUNCTION("""COMPUTED_VALUE"""),"NO")</f>
        <v>NO</v>
      </c>
      <c r="N806" s="56">
        <f ca="1">IFERROR(__xludf.DUMMYFUNCTION("""COMPUTED_VALUE"""),2)</f>
        <v>2</v>
      </c>
      <c r="O806" s="64" t="str">
        <f ca="1">IFERROR(__xludf.DUMMYFUNCTION("""COMPUTED_VALUE"""),"QUIET")</f>
        <v>QUIET</v>
      </c>
      <c r="P806" s="62">
        <f ca="1">IFERROR(__xludf.DUMMYFUNCTION("""COMPUTED_VALUE"""),3545.45)</f>
        <v>3545.45</v>
      </c>
      <c r="Q806" s="33" t="str">
        <f ca="1">IFERROR(__xludf.DUMMYFUNCTION("""COMPUTED_VALUE"""),"Alberto Moreno")</f>
        <v>Alberto Moreno</v>
      </c>
      <c r="R806" s="33" t="str">
        <f ca="1">IFERROR(__xludf.DUMMYFUNCTION("""COMPUTED_VALUE"""),"No recuerda ORL")</f>
        <v>No recuerda ORL</v>
      </c>
      <c r="S806" s="61" t="str">
        <f ca="1">IFERROR(__xludf.DUMMYFUNCTION("""COMPUTED_VALUE"""),"03 ORL")</f>
        <v>03 ORL</v>
      </c>
      <c r="T806" s="33" t="str">
        <f ca="1">IFERROR(__xludf.DUMMYFUNCTION("""COMPUTED_VALUE"""),"22 AUDIOMETRIA CLINICA")</f>
        <v>22 AUDIOMETRIA CLINICA</v>
      </c>
      <c r="U806" s="62"/>
      <c r="W806" s="61"/>
      <c r="X806" s="62"/>
    </row>
    <row r="807" spans="2:24" ht="16">
      <c r="B807" s="67" t="str">
        <f t="shared" ca="1" si="4"/>
        <v>#N/</v>
      </c>
      <c r="C807" s="64" t="str">
        <f ca="1">IFERROR(__xludf.DUMMYFUNCTION("""COMPUTED_VALUE"""),"#N/A")</f>
        <v>#N/A</v>
      </c>
      <c r="D807" s="33" t="str">
        <f ca="1">IFERROR(__xludf.DUMMYFUNCTION("""COMPUTED_VALUE"""),"ASOCIADOS")</f>
        <v>ASOCIADOS</v>
      </c>
      <c r="E807" s="33">
        <f ca="1">IFERROR(__xludf.DUMMYFUNCTION("""COMPUTED_VALUE"""),2026)</f>
        <v>2026</v>
      </c>
      <c r="F807" s="56">
        <f ca="1">IFERROR(__xludf.DUMMYFUNCTION("""COMPUTED_VALUE"""),2)</f>
        <v>2</v>
      </c>
      <c r="G807" s="33" t="str">
        <f ca="1">IFERROR(__xludf.DUMMYFUNCTION("""COMPUTED_VALUE"""),"Ponferrada")</f>
        <v>Ponferrada</v>
      </c>
      <c r="H807" s="33" t="str">
        <f ca="1">IFERROR(__xludf.DUMMYFUNCTION("""COMPUTED_VALUE"""),"C202622310102861556")</f>
        <v>C202622310102861556</v>
      </c>
      <c r="I807" s="33" t="str">
        <f ca="1">IFERROR(__xludf.DUMMYFUNCTION("""COMPUTED_VALUE"""),"JOSE LUIS DIÑEIRO DIÑEIRO")</f>
        <v>JOSE LUIS DIÑEIRO DIÑEIRO</v>
      </c>
      <c r="J807" s="57">
        <f ca="1">IFERROR(__xludf.DUMMYFUNCTION("""COMPUTED_VALUE"""),46076)</f>
        <v>46076</v>
      </c>
      <c r="K807" s="33" t="str">
        <f ca="1">IFERROR(__xludf.DUMMYFUNCTION("""COMPUTED_VALUE"""),"Presupuesto")</f>
        <v>Presupuesto</v>
      </c>
      <c r="L807" s="57">
        <f ca="1">IFERROR(__xludf.DUMMYFUNCTION("""COMPUTED_VALUE"""),46079)</f>
        <v>46079</v>
      </c>
      <c r="M807" s="64" t="str">
        <f ca="1">IFERROR(__xludf.DUMMYFUNCTION("""COMPUTED_VALUE"""),"NO")</f>
        <v>NO</v>
      </c>
      <c r="N807" s="56">
        <f ca="1">IFERROR(__xludf.DUMMYFUNCTION("""COMPUTED_VALUE"""),1)</f>
        <v>1</v>
      </c>
      <c r="O807" s="64" t="str">
        <f ca="1">IFERROR(__xludf.DUMMYFUNCTION("""COMPUTED_VALUE"""),"CONFORT")</f>
        <v>CONFORT</v>
      </c>
      <c r="P807" s="62">
        <f ca="1">IFERROR(__xludf.DUMMYFUNCTION("""COMPUTED_VALUE"""),2000)</f>
        <v>2000</v>
      </c>
      <c r="Q807" s="33" t="str">
        <f ca="1">IFERROR(__xludf.DUMMYFUNCTION("""COMPUTED_VALUE"""),"Ramon Ferrando")</f>
        <v>Ramon Ferrando</v>
      </c>
      <c r="R807" s="33" t="str">
        <f ca="1">IFERROR(__xludf.DUMMYFUNCTION("""COMPUTED_VALUE"""),"Dra, Mónica Granda Rosales")</f>
        <v>Dra, Mónica Granda Rosales</v>
      </c>
      <c r="S807" s="61" t="str">
        <f ca="1">IFERROR(__xludf.DUMMYFUNCTION("""COMPUTED_VALUE"""),"03 ORL")</f>
        <v>03 ORL</v>
      </c>
      <c r="T807" s="33" t="str">
        <f ca="1">IFERROR(__xludf.DUMMYFUNCTION("""COMPUTED_VALUE"""),"22 AUDIOMETRIA CLINICA")</f>
        <v>22 AUDIOMETRIA CLINICA</v>
      </c>
      <c r="U807" s="62"/>
      <c r="W807" s="61"/>
      <c r="X807" s="62"/>
    </row>
    <row r="808" spans="2:24" ht="16">
      <c r="B808" s="67" t="str">
        <f t="shared" ca="1" si="4"/>
        <v>#N/</v>
      </c>
      <c r="C808" s="64" t="str">
        <f ca="1">IFERROR(__xludf.DUMMYFUNCTION("""COMPUTED_VALUE"""),"#N/A")</f>
        <v>#N/A</v>
      </c>
      <c r="D808" s="33" t="str">
        <f ca="1">IFERROR(__xludf.DUMMYFUNCTION("""COMPUTED_VALUE"""),"ASOCIADOS")</f>
        <v>ASOCIADOS</v>
      </c>
      <c r="E808" s="33">
        <f ca="1">IFERROR(__xludf.DUMMYFUNCTION("""COMPUTED_VALUE"""),2026)</f>
        <v>2026</v>
      </c>
      <c r="F808" s="56">
        <f ca="1">IFERROR(__xludf.DUMMYFUNCTION("""COMPUTED_VALUE"""),4)</f>
        <v>4</v>
      </c>
      <c r="G808" s="33" t="str">
        <f ca="1">IFERROR(__xludf.DUMMYFUNCTION("""COMPUTED_VALUE"""),"Ponferrada")</f>
        <v>Ponferrada</v>
      </c>
      <c r="H808" s="33" t="str">
        <f ca="1">IFERROR(__xludf.DUMMYFUNCTION("""COMPUTED_VALUE"""),"PON-958")</f>
        <v>PON-958</v>
      </c>
      <c r="I808" s="33" t="str">
        <f ca="1">IFERROR(__xludf.DUMMYFUNCTION("""COMPUTED_VALUE"""),"MARIA LUISA LAINEZ DIEGUEZ")</f>
        <v>MARIA LUISA LAINEZ DIEGUEZ</v>
      </c>
      <c r="J808" s="57">
        <f ca="1">IFERROR(__xludf.DUMMYFUNCTION("""COMPUTED_VALUE"""),45994)</f>
        <v>45994</v>
      </c>
      <c r="K808" s="33" t="str">
        <f ca="1">IFERROR(__xludf.DUMMYFUNCTION("""COMPUTED_VALUE"""),"Prueba")</f>
        <v>Prueba</v>
      </c>
      <c r="L808" s="57">
        <f ca="1">IFERROR(__xludf.DUMMYFUNCTION("""COMPUTED_VALUE"""),46118)</f>
        <v>46118</v>
      </c>
      <c r="M808" s="64" t="str">
        <f ca="1">IFERROR(__xludf.DUMMYFUNCTION("""COMPUTED_VALUE"""),"NO")</f>
        <v>NO</v>
      </c>
      <c r="N808" s="56">
        <f ca="1">IFERROR(__xludf.DUMMYFUNCTION("""COMPUTED_VALUE"""),2)</f>
        <v>2</v>
      </c>
      <c r="O808" s="64" t="str">
        <f ca="1">IFERROR(__xludf.DUMMYFUNCTION("""COMPUTED_VALUE"""),"CONFORT")</f>
        <v>CONFORT</v>
      </c>
      <c r="P808" s="62">
        <f ca="1">IFERROR(__xludf.DUMMYFUNCTION("""COMPUTED_VALUE"""),3545.45)</f>
        <v>3545.45</v>
      </c>
      <c r="Q808" s="33" t="str">
        <f ca="1">IFERROR(__xludf.DUMMYFUNCTION("""COMPUTED_VALUE"""),"Ramon Ferrando")</f>
        <v>Ramon Ferrando</v>
      </c>
      <c r="R808" s="33" t="str">
        <f ca="1">IFERROR(__xludf.DUMMYFUNCTION("""COMPUTED_VALUE"""),"Dra, Mónica Granda Rosales")</f>
        <v>Dra, Mónica Granda Rosales</v>
      </c>
      <c r="S808" s="61" t="str">
        <f ca="1">IFERROR(__xludf.DUMMYFUNCTION("""COMPUTED_VALUE"""),"03 ORL")</f>
        <v>03 ORL</v>
      </c>
      <c r="T808" s="33" t="str">
        <f ca="1">IFERROR(__xludf.DUMMYFUNCTION("""COMPUTED_VALUE"""),"06 ORL")</f>
        <v>06 ORL</v>
      </c>
      <c r="U808" s="62"/>
      <c r="W808" s="61"/>
      <c r="X808" s="62"/>
    </row>
    <row r="809" spans="2:24" ht="16">
      <c r="B809" s="67" t="str">
        <f t="shared" ca="1" si="4"/>
        <v/>
      </c>
      <c r="C809" s="64"/>
      <c r="D809" s="33" t="str">
        <f ca="1">IFERROR(__xludf.DUMMYFUNCTION("""COMPUTED_VALUE"""),"ASOCIADOS")</f>
        <v>ASOCIADOS</v>
      </c>
      <c r="E809" s="33">
        <f ca="1">IFERROR(__xludf.DUMMYFUNCTION("""COMPUTED_VALUE"""),2026)</f>
        <v>2026</v>
      </c>
      <c r="F809" s="56">
        <f ca="1">IFERROR(__xludf.DUMMYFUNCTION("""COMPUTED_VALUE"""),2)</f>
        <v>2</v>
      </c>
      <c r="G809" s="33" t="str">
        <f ca="1">IFERROR(__xludf.DUMMYFUNCTION("""COMPUTED_VALUE"""),"Ponferrada")</f>
        <v>Ponferrada</v>
      </c>
      <c r="H809" s="33" t="str">
        <f ca="1">IFERROR(__xludf.DUMMYFUNCTION("""COMPUTED_VALUE"""),"C202611991151369797")</f>
        <v>C202611991151369797</v>
      </c>
      <c r="I809" s="33" t="str">
        <f ca="1">IFERROR(__xludf.DUMMYFUNCTION("""COMPUTED_VALUE"""),"MARIA TERESA  VERDEAL SILVA")</f>
        <v>MARIA TERESA  VERDEAL SILVA</v>
      </c>
      <c r="J809" s="57">
        <f ca="1">IFERROR(__xludf.DUMMYFUNCTION("""COMPUTED_VALUE"""),46041)</f>
        <v>46041</v>
      </c>
      <c r="K809" s="33" t="str">
        <f ca="1">IFERROR(__xludf.DUMMYFUNCTION("""COMPUTED_VALUE"""),"Prueba")</f>
        <v>Prueba</v>
      </c>
      <c r="L809" s="57">
        <f ca="1">IFERROR(__xludf.DUMMYFUNCTION("""COMPUTED_VALUE"""),46066)</f>
        <v>46066</v>
      </c>
      <c r="M809" s="64" t="str">
        <f ca="1">IFERROR(__xludf.DUMMYFUNCTION("""COMPUTED_VALUE"""),"NO")</f>
        <v>NO</v>
      </c>
      <c r="N809" s="56">
        <f ca="1">IFERROR(__xludf.DUMMYFUNCTION("""COMPUTED_VALUE"""),2)</f>
        <v>2</v>
      </c>
      <c r="O809" s="64" t="str">
        <f ca="1">IFERROR(__xludf.DUMMYFUNCTION("""COMPUTED_VALUE"""),"CONFORT")</f>
        <v>CONFORT</v>
      </c>
      <c r="P809" s="62">
        <f ca="1">IFERROR(__xludf.DUMMYFUNCTION("""COMPUTED_VALUE"""),3818.18)</f>
        <v>3818.18</v>
      </c>
      <c r="Q809" s="33" t="str">
        <f ca="1">IFERROR(__xludf.DUMMYFUNCTION("""COMPUTED_VALUE"""),"Ramon Ferrando")</f>
        <v>Ramon Ferrando</v>
      </c>
      <c r="R809" s="33" t="str">
        <f ca="1">IFERROR(__xludf.DUMMYFUNCTION("""COMPUTED_VALUE"""),"No recuerda ORL")</f>
        <v>No recuerda ORL</v>
      </c>
      <c r="S809" s="61" t="str">
        <f ca="1">IFERROR(__xludf.DUMMYFUNCTION("""COMPUTED_VALUE"""),"03 ORL")</f>
        <v>03 ORL</v>
      </c>
      <c r="T809" s="33" t="str">
        <f ca="1">IFERROR(__xludf.DUMMYFUNCTION("""COMPUTED_VALUE"""),"06 ORL")</f>
        <v>06 ORL</v>
      </c>
      <c r="U809" s="62"/>
      <c r="W809" s="61"/>
      <c r="X809" s="62"/>
    </row>
    <row r="810" spans="2:24" ht="16">
      <c r="B810" s="67" t="str">
        <f t="shared" ca="1" si="4"/>
        <v/>
      </c>
      <c r="C810" s="64"/>
      <c r="D810" s="33" t="str">
        <f ca="1">IFERROR(__xludf.DUMMYFUNCTION("""COMPUTED_VALUE"""),"ASOCIADOS")</f>
        <v>ASOCIADOS</v>
      </c>
      <c r="E810" s="33">
        <f ca="1">IFERROR(__xludf.DUMMYFUNCTION("""COMPUTED_VALUE"""),2026)</f>
        <v>2026</v>
      </c>
      <c r="F810" s="56">
        <f ca="1">IFERROR(__xludf.DUMMYFUNCTION("""COMPUTED_VALUE"""),1)</f>
        <v>1</v>
      </c>
      <c r="G810" s="33" t="str">
        <f ca="1">IFERROR(__xludf.DUMMYFUNCTION("""COMPUTED_VALUE"""),"Ponferrada")</f>
        <v>Ponferrada</v>
      </c>
      <c r="H810" s="33" t="str">
        <f ca="1">IFERROR(__xludf.DUMMYFUNCTION("""COMPUTED_VALUE"""),"PON-1017")</f>
        <v>PON-1017</v>
      </c>
      <c r="I810" s="33" t="str">
        <f ca="1">IFERROR(__xludf.DUMMYFUNCTION("""COMPUTED_VALUE"""),"MATILDA OLAHOVA OLAHOVA")</f>
        <v>MATILDA OLAHOVA OLAHOVA</v>
      </c>
      <c r="J810" s="57">
        <f ca="1">IFERROR(__xludf.DUMMYFUNCTION("""COMPUTED_VALUE"""),45994)</f>
        <v>45994</v>
      </c>
      <c r="K810" s="33" t="str">
        <f ca="1">IFERROR(__xludf.DUMMYFUNCTION("""COMPUTED_VALUE"""),"Devuelve")</f>
        <v>Devuelve</v>
      </c>
      <c r="L810" s="57">
        <f ca="1">IFERROR(__xludf.DUMMYFUNCTION("""COMPUTED_VALUE"""),46044)</f>
        <v>46044</v>
      </c>
      <c r="M810" s="64" t="str">
        <f ca="1">IFERROR(__xludf.DUMMYFUNCTION("""COMPUTED_VALUE"""),"NO")</f>
        <v>NO</v>
      </c>
      <c r="N810" s="56">
        <f ca="1">IFERROR(__xludf.DUMMYFUNCTION("""COMPUTED_VALUE"""),1)</f>
        <v>1</v>
      </c>
      <c r="O810" s="64" t="str">
        <f ca="1">IFERROR(__xludf.DUMMYFUNCTION("""COMPUTED_VALUE"""),"QUIET")</f>
        <v>QUIET</v>
      </c>
      <c r="P810" s="62">
        <f ca="1">IFERROR(__xludf.DUMMYFUNCTION("""COMPUTED_VALUE"""),1727.27)</f>
        <v>1727.27</v>
      </c>
      <c r="Q810" s="33" t="str">
        <f ca="1">IFERROR(__xludf.DUMMYFUNCTION("""COMPUTED_VALUE"""),"Ramon Ferrando")</f>
        <v>Ramon Ferrando</v>
      </c>
      <c r="R810" s="33" t="str">
        <f ca="1">IFERROR(__xludf.DUMMYFUNCTION("""COMPUTED_VALUE"""),"No recuerda ORL")</f>
        <v>No recuerda ORL</v>
      </c>
      <c r="S810" s="61" t="str">
        <f ca="1">IFERROR(__xludf.DUMMYFUNCTION("""COMPUTED_VALUE"""),"03 ORL")</f>
        <v>03 ORL</v>
      </c>
      <c r="T810" s="33" t="str">
        <f ca="1">IFERROR(__xludf.DUMMYFUNCTION("""COMPUTED_VALUE"""),"06 ORL")</f>
        <v>06 ORL</v>
      </c>
      <c r="U810" s="62"/>
      <c r="W810" s="61"/>
      <c r="X810" s="62"/>
    </row>
    <row r="811" spans="2:24" ht="16">
      <c r="B811" s="67" t="str">
        <f t="shared" ca="1" si="4"/>
        <v/>
      </c>
      <c r="C811" s="64"/>
      <c r="D811" s="33" t="str">
        <f ca="1">IFERROR(__xludf.DUMMYFUNCTION("""COMPUTED_VALUE"""),"ASOCIADOS")</f>
        <v>ASOCIADOS</v>
      </c>
      <c r="E811" s="33">
        <f ca="1">IFERROR(__xludf.DUMMYFUNCTION("""COMPUTED_VALUE"""),2026)</f>
        <v>2026</v>
      </c>
      <c r="F811" s="56">
        <f ca="1">IFERROR(__xludf.DUMMYFUNCTION("""COMPUTED_VALUE"""),3)</f>
        <v>3</v>
      </c>
      <c r="G811" s="33" t="str">
        <f ca="1">IFERROR(__xludf.DUMMYFUNCTION("""COMPUTED_VALUE"""),"Ponferrada")</f>
        <v>Ponferrada</v>
      </c>
      <c r="H811" s="33" t="str">
        <f ca="1">IFERROR(__xludf.DUMMYFUNCTION("""COMPUTED_VALUE"""),"C202632174258283182")</f>
        <v>C202632174258283182</v>
      </c>
      <c r="I811" s="33" t="str">
        <f ca="1">IFERROR(__xludf.DUMMYFUNCTION("""COMPUTED_VALUE"""),"OLIVIA AZCORRA PRADA")</f>
        <v>OLIVIA AZCORRA PRADA</v>
      </c>
      <c r="J811" s="57">
        <f ca="1">IFERROR(__xludf.DUMMYFUNCTION("""COMPUTED_VALUE"""),46083)</f>
        <v>46083</v>
      </c>
      <c r="K811" s="33" t="str">
        <f ca="1">IFERROR(__xludf.DUMMYFUNCTION("""COMPUTED_VALUE"""),"Prueba")</f>
        <v>Prueba</v>
      </c>
      <c r="L811" s="57">
        <f ca="1">IFERROR(__xludf.DUMMYFUNCTION("""COMPUTED_VALUE"""),46094)</f>
        <v>46094</v>
      </c>
      <c r="M811" s="64" t="str">
        <f ca="1">IFERROR(__xludf.DUMMYFUNCTION("""COMPUTED_VALUE"""),"NO")</f>
        <v>NO</v>
      </c>
      <c r="N811" s="56">
        <f ca="1">IFERROR(__xludf.DUMMYFUNCTION("""COMPUTED_VALUE"""),1)</f>
        <v>1</v>
      </c>
      <c r="O811" s="64" t="str">
        <f ca="1">IFERROR(__xludf.DUMMYFUNCTION("""COMPUTED_VALUE"""),"CONFORT")</f>
        <v>CONFORT</v>
      </c>
      <c r="P811" s="62">
        <f ca="1">IFERROR(__xludf.DUMMYFUNCTION("""COMPUTED_VALUE"""),2090.91)</f>
        <v>2090.91</v>
      </c>
      <c r="Q811" s="33" t="str">
        <f ca="1">IFERROR(__xludf.DUMMYFUNCTION("""COMPUTED_VALUE"""),"Alberto Moreno")</f>
        <v>Alberto Moreno</v>
      </c>
      <c r="R811" s="33" t="str">
        <f ca="1">IFERROR(__xludf.DUMMYFUNCTION("""COMPUTED_VALUE"""),"No recuerda ORL")</f>
        <v>No recuerda ORL</v>
      </c>
      <c r="S811" s="61" t="str">
        <f ca="1">IFERROR(__xludf.DUMMYFUNCTION("""COMPUTED_VALUE"""),"03 ORL")</f>
        <v>03 ORL</v>
      </c>
      <c r="T811" s="33" t="str">
        <f ca="1">IFERROR(__xludf.DUMMYFUNCTION("""COMPUTED_VALUE"""),"22 AUDIOMETRIA CLINICA")</f>
        <v>22 AUDIOMETRIA CLINICA</v>
      </c>
      <c r="U811" s="62"/>
      <c r="W811" s="61"/>
      <c r="X811" s="62"/>
    </row>
    <row r="812" spans="2:24" ht="16">
      <c r="B812" s="67" t="str">
        <f t="shared" ca="1" si="4"/>
        <v/>
      </c>
      <c r="C812" s="64"/>
      <c r="D812" s="33" t="str">
        <f ca="1">IFERROR(__xludf.DUMMYFUNCTION("""COMPUTED_VALUE"""),"ASOCIADOS")</f>
        <v>ASOCIADOS</v>
      </c>
      <c r="E812" s="33">
        <f ca="1">IFERROR(__xludf.DUMMYFUNCTION("""COMPUTED_VALUE"""),2026)</f>
        <v>2026</v>
      </c>
      <c r="F812" s="56">
        <f ca="1">IFERROR(__xludf.DUMMYFUNCTION("""COMPUTED_VALUE"""),2)</f>
        <v>2</v>
      </c>
      <c r="G812" s="33" t="str">
        <f ca="1">IFERROR(__xludf.DUMMYFUNCTION("""COMPUTED_VALUE"""),"Ponferrada")</f>
        <v>Ponferrada</v>
      </c>
      <c r="H812" s="33" t="str">
        <f ca="1">IFERROR(__xludf.DUMMYFUNCTION("""COMPUTED_VALUE"""),"C202612218453748696")</f>
        <v>C202612218453748696</v>
      </c>
      <c r="I812" s="33" t="str">
        <f ca="1">IFERROR(__xludf.DUMMYFUNCTION("""COMPUTED_VALUE"""),"PURIFICACION  FERNANDEZ SANTIN")</f>
        <v>PURIFICACION  FERNANDEZ SANTIN</v>
      </c>
      <c r="J812" s="57">
        <f ca="1">IFERROR(__xludf.DUMMYFUNCTION("""COMPUTED_VALUE"""),46044)</f>
        <v>46044</v>
      </c>
      <c r="K812" s="33" t="str">
        <f ca="1">IFERROR(__xludf.DUMMYFUNCTION("""COMPUTED_VALUE"""),"Prueba")</f>
        <v>Prueba</v>
      </c>
      <c r="L812" s="57">
        <f ca="1">IFERROR(__xludf.DUMMYFUNCTION("""COMPUTED_VALUE"""),46063)</f>
        <v>46063</v>
      </c>
      <c r="M812" s="64" t="str">
        <f ca="1">IFERROR(__xludf.DUMMYFUNCTION("""COMPUTED_VALUE"""),"NO")</f>
        <v>NO</v>
      </c>
      <c r="N812" s="56">
        <f ca="1">IFERROR(__xludf.DUMMYFUNCTION("""COMPUTED_VALUE"""),2)</f>
        <v>2</v>
      </c>
      <c r="O812" s="64" t="str">
        <f ca="1">IFERROR(__xludf.DUMMYFUNCTION("""COMPUTED_VALUE"""),"QUIET")</f>
        <v>QUIET</v>
      </c>
      <c r="P812" s="62">
        <f ca="1">IFERROR(__xludf.DUMMYFUNCTION("""COMPUTED_VALUE"""),3545.45)</f>
        <v>3545.45</v>
      </c>
      <c r="Q812" s="33" t="str">
        <f ca="1">IFERROR(__xludf.DUMMYFUNCTION("""COMPUTED_VALUE"""),"Ramon Ferrando")</f>
        <v>Ramon Ferrando</v>
      </c>
      <c r="R812" s="33" t="str">
        <f ca="1">IFERROR(__xludf.DUMMYFUNCTION("""COMPUTED_VALUE"""),"No recuerda ORL")</f>
        <v>No recuerda ORL</v>
      </c>
      <c r="S812" s="61" t="str">
        <f ca="1">IFERROR(__xludf.DUMMYFUNCTION("""COMPUTED_VALUE"""),"03 ORL")</f>
        <v>03 ORL</v>
      </c>
      <c r="T812" s="33" t="str">
        <f ca="1">IFERROR(__xludf.DUMMYFUNCTION("""COMPUTED_VALUE"""),"06 ORL")</f>
        <v>06 ORL</v>
      </c>
      <c r="U812" s="62"/>
      <c r="W812" s="61"/>
      <c r="X812" s="62"/>
    </row>
    <row r="813" spans="2:24" ht="16">
      <c r="B813" s="67" t="str">
        <f t="shared" ca="1" si="4"/>
        <v/>
      </c>
      <c r="C813" s="64"/>
      <c r="D813" s="33" t="str">
        <f ca="1">IFERROR(__xludf.DUMMYFUNCTION("""COMPUTED_VALUE"""),"ASOCIADOS")</f>
        <v>ASOCIADOS</v>
      </c>
      <c r="E813" s="33">
        <f ca="1">IFERROR(__xludf.DUMMYFUNCTION("""COMPUTED_VALUE"""),2026)</f>
        <v>2026</v>
      </c>
      <c r="F813" s="56">
        <f ca="1">IFERROR(__xludf.DUMMYFUNCTION("""COMPUTED_VALUE"""),2)</f>
        <v>2</v>
      </c>
      <c r="G813" s="33" t="str">
        <f ca="1">IFERROR(__xludf.DUMMYFUNCTION("""COMPUTED_VALUE"""),"Ponferrada")</f>
        <v>Ponferrada</v>
      </c>
      <c r="H813" s="33" t="str">
        <f ca="1">IFERROR(__xludf.DUMMYFUNCTION("""COMPUTED_VALUE"""),"C202612010384708968")</f>
        <v>C202612010384708968</v>
      </c>
      <c r="I813" s="33" t="str">
        <f ca="1">IFERROR(__xludf.DUMMYFUNCTION("""COMPUTED_VALUE"""),"RAUL ALVAREZ CANEDO")</f>
        <v>RAUL ALVAREZ CANEDO</v>
      </c>
      <c r="J813" s="57">
        <f ca="1">IFERROR(__xludf.DUMMYFUNCTION("""COMPUTED_VALUE"""),46042)</f>
        <v>46042</v>
      </c>
      <c r="K813" s="33" t="str">
        <f ca="1">IFERROR(__xludf.DUMMYFUNCTION("""COMPUTED_VALUE"""),"Devuelve")</f>
        <v>Devuelve</v>
      </c>
      <c r="L813" s="57">
        <f ca="1">IFERROR(__xludf.DUMMYFUNCTION("""COMPUTED_VALUE"""),46055)</f>
        <v>46055</v>
      </c>
      <c r="M813" s="64" t="str">
        <f ca="1">IFERROR(__xludf.DUMMYFUNCTION("""COMPUTED_VALUE"""),"NO")</f>
        <v>NO</v>
      </c>
      <c r="N813" s="56">
        <f ca="1">IFERROR(__xludf.DUMMYFUNCTION("""COMPUTED_VALUE"""),2)</f>
        <v>2</v>
      </c>
      <c r="O813" s="64" t="str">
        <f ca="1">IFERROR(__xludf.DUMMYFUNCTION("""COMPUTED_VALUE"""),"CONFORT")</f>
        <v>CONFORT</v>
      </c>
      <c r="P813" s="62">
        <f ca="1">IFERROR(__xludf.DUMMYFUNCTION("""COMPUTED_VALUE"""),3909.09)</f>
        <v>3909.09</v>
      </c>
      <c r="Q813" s="33" t="str">
        <f ca="1">IFERROR(__xludf.DUMMYFUNCTION("""COMPUTED_VALUE"""),"Alberto Moreno")</f>
        <v>Alberto Moreno</v>
      </c>
      <c r="R813" s="33" t="str">
        <f ca="1">IFERROR(__xludf.DUMMYFUNCTION("""COMPUTED_VALUE"""),"No recuerda ORL")</f>
        <v>No recuerda ORL</v>
      </c>
      <c r="S813" s="61" t="str">
        <f ca="1">IFERROR(__xludf.DUMMYFUNCTION("""COMPUTED_VALUE"""),"03 ORL")</f>
        <v>03 ORL</v>
      </c>
      <c r="T813" s="33" t="str">
        <f ca="1">IFERROR(__xludf.DUMMYFUNCTION("""COMPUTED_VALUE"""),"22 AUDIOMETRIA CLINICA")</f>
        <v>22 AUDIOMETRIA CLINICA</v>
      </c>
      <c r="U813" s="62"/>
      <c r="W813" s="61"/>
      <c r="X813" s="62"/>
    </row>
    <row r="814" spans="2:24" ht="16">
      <c r="B814" s="67" t="str">
        <f t="shared" ca="1" si="4"/>
        <v/>
      </c>
      <c r="C814" s="64"/>
      <c r="D814" s="33" t="str">
        <f ca="1">IFERROR(__xludf.DUMMYFUNCTION("""COMPUTED_VALUE"""),"ASOCIADOS")</f>
        <v>ASOCIADOS</v>
      </c>
      <c r="E814" s="33">
        <f ca="1">IFERROR(__xludf.DUMMYFUNCTION("""COMPUTED_VALUE"""),2026)</f>
        <v>2026</v>
      </c>
      <c r="F814" s="56">
        <f ca="1">IFERROR(__xludf.DUMMYFUNCTION("""COMPUTED_VALUE"""),4)</f>
        <v>4</v>
      </c>
      <c r="G814" s="33" t="str">
        <f ca="1">IFERROR(__xludf.DUMMYFUNCTION("""COMPUTED_VALUE"""),"Ponferrada")</f>
        <v>Ponferrada</v>
      </c>
      <c r="H814" s="33" t="str">
        <f ca="1">IFERROR(__xludf.DUMMYFUNCTION("""COMPUTED_VALUE"""),"C202631010355152400")</f>
        <v>C202631010355152400</v>
      </c>
      <c r="I814" s="33" t="str">
        <f ca="1">IFERROR(__xludf.DUMMYFUNCTION("""COMPUTED_VALUE"""),"SALVADOR SOUSA GONZALEZ")</f>
        <v>SALVADOR SOUSA GONZALEZ</v>
      </c>
      <c r="J814" s="57">
        <f ca="1">IFERROR(__xludf.DUMMYFUNCTION("""COMPUTED_VALUE"""),46091)</f>
        <v>46091</v>
      </c>
      <c r="K814" s="33" t="str">
        <f ca="1">IFERROR(__xludf.DUMMYFUNCTION("""COMPUTED_VALUE"""),"Prueba")</f>
        <v>Prueba</v>
      </c>
      <c r="L814" s="57">
        <f ca="1">IFERROR(__xludf.DUMMYFUNCTION("""COMPUTED_VALUE"""),46113)</f>
        <v>46113</v>
      </c>
      <c r="M814" s="64" t="str">
        <f ca="1">IFERROR(__xludf.DUMMYFUNCTION("""COMPUTED_VALUE"""),"NO")</f>
        <v>NO</v>
      </c>
      <c r="N814" s="56">
        <f ca="1">IFERROR(__xludf.DUMMYFUNCTION("""COMPUTED_VALUE"""),2)</f>
        <v>2</v>
      </c>
      <c r="O814" s="64" t="str">
        <f ca="1">IFERROR(__xludf.DUMMYFUNCTION("""COMPUTED_VALUE"""),"QUIET")</f>
        <v>QUIET</v>
      </c>
      <c r="P814" s="62">
        <f ca="1">IFERROR(__xludf.DUMMYFUNCTION("""COMPUTED_VALUE"""),3545.45)</f>
        <v>3545.45</v>
      </c>
      <c r="Q814" s="33" t="str">
        <f ca="1">IFERROR(__xludf.DUMMYFUNCTION("""COMPUTED_VALUE"""),"Alberto Moreno")</f>
        <v>Alberto Moreno</v>
      </c>
      <c r="R814" s="33" t="str">
        <f ca="1">IFERROR(__xludf.DUMMYFUNCTION("""COMPUTED_VALUE"""),"No recuerda ORL")</f>
        <v>No recuerda ORL</v>
      </c>
      <c r="S814" s="61" t="str">
        <f ca="1">IFERROR(__xludf.DUMMYFUNCTION("""COMPUTED_VALUE"""),"03 ORL")</f>
        <v>03 ORL</v>
      </c>
      <c r="T814" s="33" t="str">
        <f ca="1">IFERROR(__xludf.DUMMYFUNCTION("""COMPUTED_VALUE"""),"22 AUDIOMETRIA CLINICA")</f>
        <v>22 AUDIOMETRIA CLINICA</v>
      </c>
      <c r="U814" s="62"/>
      <c r="W814" s="61"/>
      <c r="X814" s="62"/>
    </row>
    <row r="815" spans="2:24" ht="16">
      <c r="B815" s="67" t="str">
        <f t="shared" ca="1" si="4"/>
        <v>#N/</v>
      </c>
      <c r="C815" s="64" t="str">
        <f ca="1">IFERROR(__xludf.DUMMYFUNCTION("""COMPUTED_VALUE"""),"#N/A")</f>
        <v>#N/A</v>
      </c>
      <c r="D815" s="33" t="str">
        <f ca="1">IFERROR(__xludf.DUMMYFUNCTION("""COMPUTED_VALUE"""),"ASOCIADOS")</f>
        <v>ASOCIADOS</v>
      </c>
      <c r="E815" s="33">
        <f ca="1">IFERROR(__xludf.DUMMYFUNCTION("""COMPUTED_VALUE"""),2026)</f>
        <v>2026</v>
      </c>
      <c r="F815" s="56">
        <f ca="1">IFERROR(__xludf.DUMMYFUNCTION("""COMPUTED_VALUE"""),3)</f>
        <v>3</v>
      </c>
      <c r="G815" s="33" t="str">
        <f ca="1">IFERROR(__xludf.DUMMYFUNCTION("""COMPUTED_VALUE"""),"Ponferrada")</f>
        <v>Ponferrada</v>
      </c>
      <c r="H815" s="33" t="str">
        <f ca="1">IFERROR(__xludf.DUMMYFUNCTION("""COMPUTED_VALUE"""),"PON-1027")</f>
        <v>PON-1027</v>
      </c>
      <c r="I815" s="33" t="str">
        <f ca="1">IFERROR(__xludf.DUMMYFUNCTION("""COMPUTED_VALUE"""),"SANDRA OVIEDO FERNANDEZ")</f>
        <v>SANDRA OVIEDO FERNANDEZ</v>
      </c>
      <c r="J815" s="57">
        <f ca="1">IFERROR(__xludf.DUMMYFUNCTION("""COMPUTED_VALUE"""),45994)</f>
        <v>45994</v>
      </c>
      <c r="K815" s="33" t="str">
        <f ca="1">IFERROR(__xludf.DUMMYFUNCTION("""COMPUTED_VALUE"""),"Devuelve")</f>
        <v>Devuelve</v>
      </c>
      <c r="L815" s="57">
        <f ca="1">IFERROR(__xludf.DUMMYFUNCTION("""COMPUTED_VALUE"""),46085)</f>
        <v>46085</v>
      </c>
      <c r="M815" s="64" t="str">
        <f ca="1">IFERROR(__xludf.DUMMYFUNCTION("""COMPUTED_VALUE"""),"NO")</f>
        <v>NO</v>
      </c>
      <c r="N815" s="56">
        <f ca="1">IFERROR(__xludf.DUMMYFUNCTION("""COMPUTED_VALUE"""),2)</f>
        <v>2</v>
      </c>
      <c r="O815" s="64" t="str">
        <f ca="1">IFERROR(__xludf.DUMMYFUNCTION("""COMPUTED_VALUE"""),"CONFORT")</f>
        <v>CONFORT</v>
      </c>
      <c r="P815" s="62">
        <f ca="1">IFERROR(__xludf.DUMMYFUNCTION("""COMPUTED_VALUE"""),3636.36)</f>
        <v>3636.36</v>
      </c>
      <c r="Q815" s="33" t="str">
        <f ca="1">IFERROR(__xludf.DUMMYFUNCTION("""COMPUTED_VALUE"""),"Ramon Ferrando")</f>
        <v>Ramon Ferrando</v>
      </c>
      <c r="R815" s="33" t="str">
        <f ca="1">IFERROR(__xludf.DUMMYFUNCTION("""COMPUTED_VALUE"""),"Dra, Mónica Granda Rosales")</f>
        <v>Dra, Mónica Granda Rosales</v>
      </c>
      <c r="S815" s="61" t="str">
        <f ca="1">IFERROR(__xludf.DUMMYFUNCTION("""COMPUTED_VALUE"""),"03 ORL")</f>
        <v>03 ORL</v>
      </c>
      <c r="T815" s="33" t="str">
        <f ca="1">IFERROR(__xludf.DUMMYFUNCTION("""COMPUTED_VALUE"""),"06 ORL")</f>
        <v>06 ORL</v>
      </c>
      <c r="U815" s="62"/>
      <c r="W815" s="61"/>
      <c r="X815" s="62"/>
    </row>
    <row r="816" spans="2:24" ht="16">
      <c r="B816" s="67" t="str">
        <f t="shared" ca="1" si="4"/>
        <v>#N/</v>
      </c>
      <c r="C816" s="64" t="str">
        <f ca="1">IFERROR(__xludf.DUMMYFUNCTION("""COMPUTED_VALUE"""),"#N/A")</f>
        <v>#N/A</v>
      </c>
      <c r="D816" s="33" t="str">
        <f ca="1">IFERROR(__xludf.DUMMYFUNCTION("""COMPUTED_VALUE"""),"ASOCIADOS")</f>
        <v>ASOCIADOS</v>
      </c>
      <c r="E816" s="33">
        <f ca="1">IFERROR(__xludf.DUMMYFUNCTION("""COMPUTED_VALUE"""),2026)</f>
        <v>2026</v>
      </c>
      <c r="F816" s="56">
        <f ca="1">IFERROR(__xludf.DUMMYFUNCTION("""COMPUTED_VALUE"""),3)</f>
        <v>3</v>
      </c>
      <c r="G816" s="33" t="str">
        <f ca="1">IFERROR(__xludf.DUMMYFUNCTION("""COMPUTED_VALUE"""),"Ponferrada")</f>
        <v>Ponferrada</v>
      </c>
      <c r="H816" s="33" t="str">
        <f ca="1">IFERROR(__xludf.DUMMYFUNCTION("""COMPUTED_VALUE"""),"PON-933")</f>
        <v>PON-933</v>
      </c>
      <c r="I816" s="33" t="str">
        <f ca="1">IFERROR(__xludf.DUMMYFUNCTION("""COMPUTED_VALUE"""),"SILVANA HERNANDEZ DE PABLO")</f>
        <v>SILVANA HERNANDEZ DE PABLO</v>
      </c>
      <c r="J816" s="57">
        <f ca="1">IFERROR(__xludf.DUMMYFUNCTION("""COMPUTED_VALUE"""),45994)</f>
        <v>45994</v>
      </c>
      <c r="K816" s="33" t="str">
        <f ca="1">IFERROR(__xludf.DUMMYFUNCTION("""COMPUTED_VALUE"""),"Prueba")</f>
        <v>Prueba</v>
      </c>
      <c r="L816" s="57">
        <f ca="1">IFERROR(__xludf.DUMMYFUNCTION("""COMPUTED_VALUE"""),46106)</f>
        <v>46106</v>
      </c>
      <c r="M816" s="64" t="str">
        <f ca="1">IFERROR(__xludf.DUMMYFUNCTION("""COMPUTED_VALUE"""),"NO")</f>
        <v>NO</v>
      </c>
      <c r="N816" s="56">
        <f ca="1">IFERROR(__xludf.DUMMYFUNCTION("""COMPUTED_VALUE"""),2)</f>
        <v>2</v>
      </c>
      <c r="O816" s="64" t="str">
        <f ca="1">IFERROR(__xludf.DUMMYFUNCTION("""COMPUTED_VALUE"""),"CONFORT")</f>
        <v>CONFORT</v>
      </c>
      <c r="P816" s="62">
        <f ca="1">IFERROR(__xludf.DUMMYFUNCTION("""COMPUTED_VALUE"""),0)</f>
        <v>0</v>
      </c>
      <c r="Q816" s="33" t="str">
        <f ca="1">IFERROR(__xludf.DUMMYFUNCTION("""COMPUTED_VALUE"""),"Ramon Ferrando")</f>
        <v>Ramon Ferrando</v>
      </c>
      <c r="R816" s="33" t="str">
        <f ca="1">IFERROR(__xludf.DUMMYFUNCTION("""COMPUTED_VALUE"""),"Dra, Mónica Granda Rosales")</f>
        <v>Dra, Mónica Granda Rosales</v>
      </c>
      <c r="S816" s="61" t="str">
        <f ca="1">IFERROR(__xludf.DUMMYFUNCTION("""COMPUTED_VALUE"""),"03 ORL")</f>
        <v>03 ORL</v>
      </c>
      <c r="T816" s="33" t="str">
        <f ca="1">IFERROR(__xludf.DUMMYFUNCTION("""COMPUTED_VALUE"""),"06 ORL")</f>
        <v>06 ORL</v>
      </c>
      <c r="U816" s="62"/>
      <c r="W816" s="61"/>
      <c r="X816" s="62"/>
    </row>
    <row r="817" spans="2:24" ht="16">
      <c r="B817" s="67" t="str">
        <f t="shared" ca="1" si="4"/>
        <v/>
      </c>
      <c r="C817" s="64"/>
      <c r="D817" s="33" t="str">
        <f ca="1">IFERROR(__xludf.DUMMYFUNCTION("""COMPUTED_VALUE"""),"ASOCIADOS")</f>
        <v>ASOCIADOS</v>
      </c>
      <c r="E817" s="33">
        <f ca="1">IFERROR(__xludf.DUMMYFUNCTION("""COMPUTED_VALUE"""),2026)</f>
        <v>2026</v>
      </c>
      <c r="F817" s="56">
        <f ca="1">IFERROR(__xludf.DUMMYFUNCTION("""COMPUTED_VALUE"""),3)</f>
        <v>3</v>
      </c>
      <c r="G817" s="33" t="str">
        <f ca="1">IFERROR(__xludf.DUMMYFUNCTION("""COMPUTED_VALUE"""),"Ponferrada")</f>
        <v>Ponferrada</v>
      </c>
      <c r="H817" s="33" t="str">
        <f ca="1">IFERROR(__xludf.DUMMYFUNCTION("""COMPUTED_VALUE"""),"C202612210223999532")</f>
        <v>C202612210223999532</v>
      </c>
      <c r="I817" s="33" t="str">
        <f ca="1">IFERROR(__xludf.DUMMYFUNCTION("""COMPUTED_VALUE"""),"SONIA VASALLO MOREDA")</f>
        <v>SONIA VASALLO MOREDA</v>
      </c>
      <c r="J817" s="57">
        <f ca="1">IFERROR(__xludf.DUMMYFUNCTION("""COMPUTED_VALUE"""),46044)</f>
        <v>46044</v>
      </c>
      <c r="K817" s="33" t="str">
        <f ca="1">IFERROR(__xludf.DUMMYFUNCTION("""COMPUTED_VALUE"""),"Devuelve")</f>
        <v>Devuelve</v>
      </c>
      <c r="L817" s="57">
        <f ca="1">IFERROR(__xludf.DUMMYFUNCTION("""COMPUTED_VALUE"""),46084)</f>
        <v>46084</v>
      </c>
      <c r="M817" s="64" t="str">
        <f ca="1">IFERROR(__xludf.DUMMYFUNCTION("""COMPUTED_VALUE"""),"NO")</f>
        <v>NO</v>
      </c>
      <c r="N817" s="56">
        <f ca="1">IFERROR(__xludf.DUMMYFUNCTION("""COMPUTED_VALUE"""),2)</f>
        <v>2</v>
      </c>
      <c r="O817" s="64" t="str">
        <f ca="1">IFERROR(__xludf.DUMMYFUNCTION("""COMPUTED_VALUE"""),"QUIET")</f>
        <v>QUIET</v>
      </c>
      <c r="P817" s="62">
        <f ca="1">IFERROR(__xludf.DUMMYFUNCTION("""COMPUTED_VALUE"""),2727.27)</f>
        <v>2727.27</v>
      </c>
      <c r="Q817" s="33" t="str">
        <f ca="1">IFERROR(__xludf.DUMMYFUNCTION("""COMPUTED_VALUE"""),"Ramon Ferrando")</f>
        <v>Ramon Ferrando</v>
      </c>
      <c r="R817" s="33" t="str">
        <f ca="1">IFERROR(__xludf.DUMMYFUNCTION("""COMPUTED_VALUE"""),"No recuerda ORL")</f>
        <v>No recuerda ORL</v>
      </c>
      <c r="S817" s="61" t="str">
        <f ca="1">IFERROR(__xludf.DUMMYFUNCTION("""COMPUTED_VALUE"""),"03 ORL")</f>
        <v>03 ORL</v>
      </c>
      <c r="T817" s="33" t="str">
        <f ca="1">IFERROR(__xludf.DUMMYFUNCTION("""COMPUTED_VALUE"""),"06 ORL")</f>
        <v>06 ORL</v>
      </c>
      <c r="U817" s="62"/>
      <c r="W817" s="61"/>
      <c r="X817" s="62"/>
    </row>
    <row r="818" spans="2:24" ht="16">
      <c r="B818" s="67" t="str">
        <f t="shared" ca="1" si="4"/>
        <v>#N/</v>
      </c>
      <c r="C818" s="64" t="str">
        <f ca="1">IFERROR(__xludf.DUMMYFUNCTION("""COMPUTED_VALUE"""),"#N/A")</f>
        <v>#N/A</v>
      </c>
      <c r="D818" s="33" t="str">
        <f ca="1">IFERROR(__xludf.DUMMYFUNCTION("""COMPUTED_VALUE"""),"ASOCIADOS")</f>
        <v>ASOCIADOS</v>
      </c>
      <c r="E818" s="33">
        <f ca="1">IFERROR(__xludf.DUMMYFUNCTION("""COMPUTED_VALUE"""),2026)</f>
        <v>2026</v>
      </c>
      <c r="F818" s="56">
        <f ca="1">IFERROR(__xludf.DUMMYFUNCTION("""COMPUTED_VALUE"""),1)</f>
        <v>1</v>
      </c>
      <c r="G818" s="33" t="str">
        <f ca="1">IFERROR(__xludf.DUMMYFUNCTION("""COMPUTED_VALUE"""),"Ponferrada")</f>
        <v>Ponferrada</v>
      </c>
      <c r="H818" s="33" t="str">
        <f ca="1">IFERROR(__xludf.DUMMYFUNCTION("""COMPUTED_VALUE"""),"PON-15")</f>
        <v>PON-15</v>
      </c>
      <c r="I818" s="33" t="str">
        <f ca="1">IFERROR(__xludf.DUMMYFUNCTION("""COMPUTED_VALUE"""),"YOLANDA JESUS APAZA MARCOS")</f>
        <v>YOLANDA JESUS APAZA MARCOS</v>
      </c>
      <c r="J818" s="57">
        <f ca="1">IFERROR(__xludf.DUMMYFUNCTION("""COMPUTED_VALUE"""),45994)</f>
        <v>45994</v>
      </c>
      <c r="K818" s="33" t="str">
        <f ca="1">IFERROR(__xludf.DUMMYFUNCTION("""COMPUTED_VALUE"""),"Prueba")</f>
        <v>Prueba</v>
      </c>
      <c r="L818" s="57">
        <f ca="1">IFERROR(__xludf.DUMMYFUNCTION("""COMPUTED_VALUE"""),46051)</f>
        <v>46051</v>
      </c>
      <c r="M818" s="64" t="str">
        <f ca="1">IFERROR(__xludf.DUMMYFUNCTION("""COMPUTED_VALUE"""),"NO")</f>
        <v>NO</v>
      </c>
      <c r="N818" s="56">
        <f ca="1">IFERROR(__xludf.DUMMYFUNCTION("""COMPUTED_VALUE"""),2)</f>
        <v>2</v>
      </c>
      <c r="O818" s="64" t="str">
        <f ca="1">IFERROR(__xludf.DUMMYFUNCTION("""COMPUTED_VALUE"""),"CONFORT")</f>
        <v>CONFORT</v>
      </c>
      <c r="P818" s="62">
        <f ca="1">IFERROR(__xludf.DUMMYFUNCTION("""COMPUTED_VALUE"""),3545.45)</f>
        <v>3545.45</v>
      </c>
      <c r="Q818" s="33" t="str">
        <f ca="1">IFERROR(__xludf.DUMMYFUNCTION("""COMPUTED_VALUE"""),"Ramon Ferrando")</f>
        <v>Ramon Ferrando</v>
      </c>
      <c r="R818" s="33" t="str">
        <f ca="1">IFERROR(__xludf.DUMMYFUNCTION("""COMPUTED_VALUE"""),"Dra, Diana Lysbeth Lourido Piedrahita")</f>
        <v>Dra, Diana Lysbeth Lourido Piedrahita</v>
      </c>
      <c r="S818" s="61" t="str">
        <f ca="1">IFERROR(__xludf.DUMMYFUNCTION("""COMPUTED_VALUE"""),"03 ORL")</f>
        <v>03 ORL</v>
      </c>
      <c r="T818" s="33" t="str">
        <f ca="1">IFERROR(__xludf.DUMMYFUNCTION("""COMPUTED_VALUE"""),"06 ORL")</f>
        <v>06 ORL</v>
      </c>
      <c r="U818" s="62"/>
      <c r="W818" s="61"/>
      <c r="X818" s="62"/>
    </row>
    <row r="819" spans="2:24" ht="16">
      <c r="B819" s="67" t="str">
        <f t="shared" ca="1" si="4"/>
        <v>#N/</v>
      </c>
      <c r="C819" s="64" t="str">
        <f ca="1">IFERROR(__xludf.DUMMYFUNCTION("""COMPUTED_VALUE"""),"#N/A")</f>
        <v>#N/A</v>
      </c>
      <c r="D819" s="33" t="str">
        <f ca="1">IFERROR(__xludf.DUMMYFUNCTION("""COMPUTED_VALUE"""),"ASOCIADOS")</f>
        <v>ASOCIADOS</v>
      </c>
      <c r="E819" s="33">
        <f ca="1">IFERROR(__xludf.DUMMYFUNCTION("""COMPUTED_VALUE"""),2026)</f>
        <v>2026</v>
      </c>
      <c r="F819" s="56">
        <f ca="1">IFERROR(__xludf.DUMMYFUNCTION("""COMPUTED_VALUE"""),3)</f>
        <v>3</v>
      </c>
      <c r="G819" s="33" t="str">
        <f ca="1">IFERROR(__xludf.DUMMYFUNCTION("""COMPUTED_VALUE"""),"Salamanca")</f>
        <v>Salamanca</v>
      </c>
      <c r="H819" s="33" t="str">
        <f ca="1">IFERROR(__xludf.DUMMYFUNCTION("""COMPUTED_VALUE"""),"C202622011554876570")</f>
        <v>C202622011554876570</v>
      </c>
      <c r="I819" s="33" t="str">
        <f ca="1">IFERROR(__xludf.DUMMYFUNCTION("""COMPUTED_VALUE"""),"DANIEL DEL ARCO GONZALEZ")</f>
        <v>DANIEL DEL ARCO GONZALEZ</v>
      </c>
      <c r="J819" s="57">
        <f ca="1">IFERROR(__xludf.DUMMYFUNCTION("""COMPUTED_VALUE"""),46073)</f>
        <v>46073</v>
      </c>
      <c r="K819" s="33" t="str">
        <f ca="1">IFERROR(__xludf.DUMMYFUNCTION("""COMPUTED_VALUE"""),"Prueba")</f>
        <v>Prueba</v>
      </c>
      <c r="L819" s="57">
        <f ca="1">IFERROR(__xludf.DUMMYFUNCTION("""COMPUTED_VALUE"""),46083)</f>
        <v>46083</v>
      </c>
      <c r="M819" s="64" t="str">
        <f ca="1">IFERROR(__xludf.DUMMYFUNCTION("""COMPUTED_VALUE"""),"NO")</f>
        <v>NO</v>
      </c>
      <c r="N819" s="56">
        <f ca="1">IFERROR(__xludf.DUMMYFUNCTION("""COMPUTED_VALUE"""),2)</f>
        <v>2</v>
      </c>
      <c r="O819" s="64" t="str">
        <f ca="1">IFERROR(__xludf.DUMMYFUNCTION("""COMPUTED_VALUE"""),"CONFORT")</f>
        <v>CONFORT</v>
      </c>
      <c r="P819" s="62">
        <f ca="1">IFERROR(__xludf.DUMMYFUNCTION("""COMPUTED_VALUE"""),3730)</f>
        <v>3730</v>
      </c>
      <c r="Q819" s="33" t="str">
        <f ca="1">IFERROR(__xludf.DUMMYFUNCTION("""COMPUTED_VALUE"""),"Ramon Ferrando")</f>
        <v>Ramon Ferrando</v>
      </c>
      <c r="R819" s="33" t="str">
        <f ca="1">IFERROR(__xludf.DUMMYFUNCTION("""COMPUTED_VALUE"""),"Dr, Luis Miguel Rincón Esteban")</f>
        <v>Dr, Luis Miguel Rincón Esteban</v>
      </c>
      <c r="S819" s="61" t="str">
        <f ca="1">IFERROR(__xludf.DUMMYFUNCTION("""COMPUTED_VALUE"""),"03 ORL")</f>
        <v>03 ORL</v>
      </c>
      <c r="T819" s="33" t="str">
        <f ca="1">IFERROR(__xludf.DUMMYFUNCTION("""COMPUTED_VALUE"""),"06 ORL")</f>
        <v>06 ORL</v>
      </c>
      <c r="U819" s="62"/>
      <c r="W819" s="61"/>
      <c r="X819" s="62"/>
    </row>
    <row r="820" spans="2:24" ht="16">
      <c r="B820" s="67" t="str">
        <f t="shared" ca="1" si="4"/>
        <v>#N/</v>
      </c>
      <c r="C820" s="64" t="str">
        <f ca="1">IFERROR(__xludf.DUMMYFUNCTION("""COMPUTED_VALUE"""),"#N/A")</f>
        <v>#N/A</v>
      </c>
      <c r="D820" s="33" t="str">
        <f ca="1">IFERROR(__xludf.DUMMYFUNCTION("""COMPUTED_VALUE"""),"ASOCIADOS")</f>
        <v>ASOCIADOS</v>
      </c>
      <c r="E820" s="33">
        <f ca="1">IFERROR(__xludf.DUMMYFUNCTION("""COMPUTED_VALUE"""),2026)</f>
        <v>2026</v>
      </c>
      <c r="F820" s="56">
        <f ca="1">IFERROR(__xludf.DUMMYFUNCTION("""COMPUTED_VALUE"""),3)</f>
        <v>3</v>
      </c>
      <c r="G820" s="33" t="str">
        <f ca="1">IFERROR(__xludf.DUMMYFUNCTION("""COMPUTED_VALUE"""),"Salamanca")</f>
        <v>Salamanca</v>
      </c>
      <c r="H820" s="33" t="str">
        <f ca="1">IFERROR(__xludf.DUMMYFUNCTION("""COMPUTED_VALUE"""),"C202622412131567576")</f>
        <v>C202622412131567576</v>
      </c>
      <c r="I820" s="33" t="str">
        <f ca="1">IFERROR(__xludf.DUMMYFUNCTION("""COMPUTED_VALUE"""),"JOSEFA BERNAL CABEZAS")</f>
        <v>JOSEFA BERNAL CABEZAS</v>
      </c>
      <c r="J820" s="57">
        <f ca="1">IFERROR(__xludf.DUMMYFUNCTION("""COMPUTED_VALUE"""),46077)</f>
        <v>46077</v>
      </c>
      <c r="K820" s="33" t="str">
        <f ca="1">IFERROR(__xludf.DUMMYFUNCTION("""COMPUTED_VALUE"""),"Prueba")</f>
        <v>Prueba</v>
      </c>
      <c r="L820" s="57">
        <f ca="1">IFERROR(__xludf.DUMMYFUNCTION("""COMPUTED_VALUE"""),46090)</f>
        <v>46090</v>
      </c>
      <c r="M820" s="64" t="str">
        <f ca="1">IFERROR(__xludf.DUMMYFUNCTION("""COMPUTED_VALUE"""),"NO")</f>
        <v>NO</v>
      </c>
      <c r="N820" s="56">
        <f ca="1">IFERROR(__xludf.DUMMYFUNCTION("""COMPUTED_VALUE"""),2)</f>
        <v>2</v>
      </c>
      <c r="O820" s="64" t="str">
        <f ca="1">IFERROR(__xludf.DUMMYFUNCTION("""COMPUTED_VALUE"""),"CONFORT")</f>
        <v>CONFORT</v>
      </c>
      <c r="P820" s="62">
        <f ca="1">IFERROR(__xludf.DUMMYFUNCTION("""COMPUTED_VALUE"""),3730)</f>
        <v>3730</v>
      </c>
      <c r="Q820" s="33" t="str">
        <f ca="1">IFERROR(__xludf.DUMMYFUNCTION("""COMPUTED_VALUE"""),"Ramon Ferrando")</f>
        <v>Ramon Ferrando</v>
      </c>
      <c r="R820" s="33" t="str">
        <f ca="1">IFERROR(__xludf.DUMMYFUNCTION("""COMPUTED_VALUE"""),"Dr, Ángel Muñoz Herrera")</f>
        <v>Dr, Ángel Muñoz Herrera</v>
      </c>
      <c r="S820" s="61" t="str">
        <f ca="1">IFERROR(__xludf.DUMMYFUNCTION("""COMPUTED_VALUE"""),"03 ORL")</f>
        <v>03 ORL</v>
      </c>
      <c r="T820" s="33" t="str">
        <f ca="1">IFERROR(__xludf.DUMMYFUNCTION("""COMPUTED_VALUE"""),"06 ORL")</f>
        <v>06 ORL</v>
      </c>
      <c r="U820" s="62"/>
      <c r="W820" s="61"/>
      <c r="X820" s="62"/>
    </row>
    <row r="821" spans="2:24" ht="16">
      <c r="B821" s="67" t="str">
        <f t="shared" ca="1" si="4"/>
        <v>#N/</v>
      </c>
      <c r="C821" s="64" t="str">
        <f ca="1">IFERROR(__xludf.DUMMYFUNCTION("""COMPUTED_VALUE"""),"#N/A")</f>
        <v>#N/A</v>
      </c>
      <c r="D821" s="33" t="str">
        <f ca="1">IFERROR(__xludf.DUMMYFUNCTION("""COMPUTED_VALUE"""),"ASOCIADOS")</f>
        <v>ASOCIADOS</v>
      </c>
      <c r="E821" s="33">
        <f ca="1">IFERROR(__xludf.DUMMYFUNCTION("""COMPUTED_VALUE"""),2026)</f>
        <v>2026</v>
      </c>
      <c r="F821" s="56">
        <f ca="1">IFERROR(__xludf.DUMMYFUNCTION("""COMPUTED_VALUE"""),3)</f>
        <v>3</v>
      </c>
      <c r="G821" s="33" t="str">
        <f ca="1">IFERROR(__xludf.DUMMYFUNCTION("""COMPUTED_VALUE"""),"Salamanca")</f>
        <v>Salamanca</v>
      </c>
      <c r="H821" s="33" t="str">
        <f ca="1">IFERROR(__xludf.DUMMYFUNCTION("""COMPUTED_VALUE"""),"C202632511123955340")</f>
        <v>C202632511123955340</v>
      </c>
      <c r="I821" s="33" t="str">
        <f ca="1">IFERROR(__xludf.DUMMYFUNCTION("""COMPUTED_VALUE"""),"JOSE MANUEL FABIAN CAPARROS")</f>
        <v>JOSE MANUEL FABIAN CAPARROS</v>
      </c>
      <c r="J821" s="57">
        <f ca="1">IFERROR(__xludf.DUMMYFUNCTION("""COMPUTED_VALUE"""),46106)</f>
        <v>46106</v>
      </c>
      <c r="K821" s="33" t="str">
        <f ca="1">IFERROR(__xludf.DUMMYFUNCTION("""COMPUTED_VALUE"""),"Prueba")</f>
        <v>Prueba</v>
      </c>
      <c r="L821" s="57">
        <f ca="1">IFERROR(__xludf.DUMMYFUNCTION("""COMPUTED_VALUE"""),46112)</f>
        <v>46112</v>
      </c>
      <c r="M821" s="64" t="str">
        <f ca="1">IFERROR(__xludf.DUMMYFUNCTION("""COMPUTED_VALUE"""),"NO")</f>
        <v>NO</v>
      </c>
      <c r="N821" s="56">
        <f ca="1">IFERROR(__xludf.DUMMYFUNCTION("""COMPUTED_VALUE"""),1)</f>
        <v>1</v>
      </c>
      <c r="O821" s="64" t="str">
        <f ca="1">IFERROR(__xludf.DUMMYFUNCTION("""COMPUTED_VALUE"""),"CONFORT")</f>
        <v>CONFORT</v>
      </c>
      <c r="P821" s="62">
        <f ca="1">IFERROR(__xludf.DUMMYFUNCTION("""COMPUTED_VALUE"""),3020)</f>
        <v>3020</v>
      </c>
      <c r="Q821" s="33" t="str">
        <f ca="1">IFERROR(__xludf.DUMMYFUNCTION("""COMPUTED_VALUE"""),"Ramon Ferrando")</f>
        <v>Ramon Ferrando</v>
      </c>
      <c r="R821" s="33" t="str">
        <f ca="1">IFERROR(__xludf.DUMMYFUNCTION("""COMPUTED_VALUE"""),"Dr, Ángel Muñoz Herrera")</f>
        <v>Dr, Ángel Muñoz Herrera</v>
      </c>
      <c r="S821" s="61" t="str">
        <f ca="1">IFERROR(__xludf.DUMMYFUNCTION("""COMPUTED_VALUE"""),"03 ORL")</f>
        <v>03 ORL</v>
      </c>
      <c r="T821" s="33" t="str">
        <f ca="1">IFERROR(__xludf.DUMMYFUNCTION("""COMPUTED_VALUE"""),"06 ORL")</f>
        <v>06 ORL</v>
      </c>
      <c r="U821" s="62"/>
      <c r="W821" s="61"/>
      <c r="X821" s="62"/>
    </row>
    <row r="822" spans="2:24" ht="16">
      <c r="B822" s="67" t="str">
        <f t="shared" ca="1" si="4"/>
        <v>#N/</v>
      </c>
      <c r="C822" s="64" t="str">
        <f ca="1">IFERROR(__xludf.DUMMYFUNCTION("""COMPUTED_VALUE"""),"#N/A")</f>
        <v>#N/A</v>
      </c>
      <c r="D822" s="33" t="str">
        <f ca="1">IFERROR(__xludf.DUMMYFUNCTION("""COMPUTED_VALUE"""),"ASOCIADOS")</f>
        <v>ASOCIADOS</v>
      </c>
      <c r="E822" s="33">
        <f ca="1">IFERROR(__xludf.DUMMYFUNCTION("""COMPUTED_VALUE"""),2026)</f>
        <v>2026</v>
      </c>
      <c r="F822" s="56">
        <f ca="1">IFERROR(__xludf.DUMMYFUNCTION("""COMPUTED_VALUE"""),2)</f>
        <v>2</v>
      </c>
      <c r="G822" s="33" t="str">
        <f ca="1">IFERROR(__xludf.DUMMYFUNCTION("""COMPUTED_VALUE"""),"Salamanca")</f>
        <v>Salamanca</v>
      </c>
      <c r="H822" s="33" t="str">
        <f ca="1">IFERROR(__xludf.DUMMYFUNCTION("""COMPUTED_VALUE"""),"C202621616125523042")</f>
        <v>C202621616125523042</v>
      </c>
      <c r="I822" s="33" t="str">
        <f ca="1">IFERROR(__xludf.DUMMYFUNCTION("""COMPUTED_VALUE"""),"MARIA DEL MAR BLAZQUEZ TAVERA")</f>
        <v>MARIA DEL MAR BLAZQUEZ TAVERA</v>
      </c>
      <c r="J822" s="57">
        <f ca="1">IFERROR(__xludf.DUMMYFUNCTION("""COMPUTED_VALUE"""),46069)</f>
        <v>46069</v>
      </c>
      <c r="K822" s="33" t="str">
        <f ca="1">IFERROR(__xludf.DUMMYFUNCTION("""COMPUTED_VALUE"""),"Devuelve")</f>
        <v>Devuelve</v>
      </c>
      <c r="L822" s="57">
        <f ca="1">IFERROR(__xludf.DUMMYFUNCTION("""COMPUTED_VALUE"""),46072)</f>
        <v>46072</v>
      </c>
      <c r="M822" s="64" t="str">
        <f ca="1">IFERROR(__xludf.DUMMYFUNCTION("""COMPUTED_VALUE"""),"NO")</f>
        <v>NO</v>
      </c>
      <c r="N822" s="56">
        <f ca="1">IFERROR(__xludf.DUMMYFUNCTION("""COMPUTED_VALUE"""),1)</f>
        <v>1</v>
      </c>
      <c r="O822" s="64" t="str">
        <f ca="1">IFERROR(__xludf.DUMMYFUNCTION("""COMPUTED_VALUE"""),"CONFORT")</f>
        <v>CONFORT</v>
      </c>
      <c r="P822" s="62">
        <f ca="1">IFERROR(__xludf.DUMMYFUNCTION("""COMPUTED_VALUE"""),2328)</f>
        <v>2328</v>
      </c>
      <c r="Q822" s="33" t="str">
        <f ca="1">IFERROR(__xludf.DUMMYFUNCTION("""COMPUTED_VALUE"""),"Maika Blázquez")</f>
        <v>Maika Blázquez</v>
      </c>
      <c r="R822" s="33" t="str">
        <f ca="1">IFERROR(__xludf.DUMMYFUNCTION("""COMPUTED_VALUE"""),"Dr, Alejandro Harguindey Antoli-Candela")</f>
        <v>Dr, Alejandro Harguindey Antoli-Candela</v>
      </c>
      <c r="S822" s="61" t="str">
        <f ca="1">IFERROR(__xludf.DUMMYFUNCTION("""COMPUTED_VALUE"""),"03 ORL")</f>
        <v>03 ORL</v>
      </c>
      <c r="T822" s="33" t="str">
        <f ca="1">IFERROR(__xludf.DUMMYFUNCTION("""COMPUTED_VALUE"""),"06 ORL")</f>
        <v>06 ORL</v>
      </c>
      <c r="U822" s="62"/>
      <c r="W822" s="61"/>
      <c r="X822" s="62"/>
    </row>
    <row r="823" spans="2:24" ht="16">
      <c r="B823" s="67" t="str">
        <f t="shared" ca="1" si="4"/>
        <v>#N/</v>
      </c>
      <c r="C823" s="64" t="str">
        <f ca="1">IFERROR(__xludf.DUMMYFUNCTION("""COMPUTED_VALUE"""),"#N/A")</f>
        <v>#N/A</v>
      </c>
      <c r="D823" s="33" t="str">
        <f ca="1">IFERROR(__xludf.DUMMYFUNCTION("""COMPUTED_VALUE"""),"ASOCIADOS")</f>
        <v>ASOCIADOS</v>
      </c>
      <c r="E823" s="33">
        <f ca="1">IFERROR(__xludf.DUMMYFUNCTION("""COMPUTED_VALUE"""),2026)</f>
        <v>2026</v>
      </c>
      <c r="F823" s="56">
        <f ca="1">IFERROR(__xludf.DUMMYFUNCTION("""COMPUTED_VALUE"""),3)</f>
        <v>3</v>
      </c>
      <c r="G823" s="33" t="str">
        <f ca="1">IFERROR(__xludf.DUMMYFUNCTION("""COMPUTED_VALUE"""),"Salamanca")</f>
        <v>Salamanca</v>
      </c>
      <c r="H823" s="33" t="str">
        <f ca="1">IFERROR(__xludf.DUMMYFUNCTION("""COMPUTED_VALUE"""),"C202622712106452775")</f>
        <v>C202622712106452775</v>
      </c>
      <c r="I823" s="33" t="str">
        <f ca="1">IFERROR(__xludf.DUMMYFUNCTION("""COMPUTED_VALUE"""),"MARIA JESUS MARTIN NIETO")</f>
        <v>MARIA JESUS MARTIN NIETO</v>
      </c>
      <c r="J823" s="57">
        <f ca="1">IFERROR(__xludf.DUMMYFUNCTION("""COMPUTED_VALUE"""),46080)</f>
        <v>46080</v>
      </c>
      <c r="K823" s="33" t="str">
        <f ca="1">IFERROR(__xludf.DUMMYFUNCTION("""COMPUTED_VALUE"""),"Prueba")</f>
        <v>Prueba</v>
      </c>
      <c r="L823" s="57">
        <f ca="1">IFERROR(__xludf.DUMMYFUNCTION("""COMPUTED_VALUE"""),46099)</f>
        <v>46099</v>
      </c>
      <c r="M823" s="64" t="str">
        <f ca="1">IFERROR(__xludf.DUMMYFUNCTION("""COMPUTED_VALUE"""),"NO")</f>
        <v>NO</v>
      </c>
      <c r="N823" s="56">
        <f ca="1">IFERROR(__xludf.DUMMYFUNCTION("""COMPUTED_VALUE"""),2)</f>
        <v>2</v>
      </c>
      <c r="O823" s="64" t="str">
        <f ca="1">IFERROR(__xludf.DUMMYFUNCTION("""COMPUTED_VALUE"""),"CONFORT")</f>
        <v>CONFORT</v>
      </c>
      <c r="P823" s="62">
        <f ca="1">IFERROR(__xludf.DUMMYFUNCTION("""COMPUTED_VALUE"""),3730)</f>
        <v>3730</v>
      </c>
      <c r="Q823" s="33" t="str">
        <f ca="1">IFERROR(__xludf.DUMMYFUNCTION("""COMPUTED_VALUE"""),"Ramon Ferrando")</f>
        <v>Ramon Ferrando</v>
      </c>
      <c r="R823" s="33" t="str">
        <f ca="1">IFERROR(__xludf.DUMMYFUNCTION("""COMPUTED_VALUE"""),"Dr, Luis Miguel Rincón Esteban")</f>
        <v>Dr, Luis Miguel Rincón Esteban</v>
      </c>
      <c r="S823" s="61" t="str">
        <f ca="1">IFERROR(__xludf.DUMMYFUNCTION("""COMPUTED_VALUE"""),"03 ORL")</f>
        <v>03 ORL</v>
      </c>
      <c r="T823" s="33" t="str">
        <f ca="1">IFERROR(__xludf.DUMMYFUNCTION("""COMPUTED_VALUE"""),"06 ORL")</f>
        <v>06 ORL</v>
      </c>
      <c r="U823" s="62"/>
      <c r="W823" s="61"/>
      <c r="X823" s="62"/>
    </row>
    <row r="824" spans="2:24" ht="16">
      <c r="B824" s="67" t="str">
        <f t="shared" ca="1" si="4"/>
        <v/>
      </c>
      <c r="C824" s="64"/>
      <c r="D824" s="33" t="str">
        <f ca="1">IFERROR(__xludf.DUMMYFUNCTION("""COMPUTED_VALUE"""),"ASOCIADOS")</f>
        <v>ASOCIADOS</v>
      </c>
      <c r="E824" s="33">
        <f ca="1">IFERROR(__xludf.DUMMYFUNCTION("""COMPUTED_VALUE"""),2026)</f>
        <v>2026</v>
      </c>
      <c r="F824" s="56">
        <f ca="1">IFERROR(__xludf.DUMMYFUNCTION("""COMPUTED_VALUE"""),3)</f>
        <v>3</v>
      </c>
      <c r="G824" s="33" t="str">
        <f ca="1">IFERROR(__xludf.DUMMYFUNCTION("""COMPUTED_VALUE"""),"Salamanca")</f>
        <v>Salamanca</v>
      </c>
      <c r="H824" s="33" t="str">
        <f ca="1">IFERROR(__xludf.DUMMYFUNCTION("""COMPUTED_VALUE"""),"C202631210363390470")</f>
        <v>C202631210363390470</v>
      </c>
      <c r="I824" s="33" t="str">
        <f ca="1">IFERROR(__xludf.DUMMYFUNCTION("""COMPUTED_VALUE"""),"MARIA LUISA DE LOS DOLORES BLAZQUEZ POLO")</f>
        <v>MARIA LUISA DE LOS DOLORES BLAZQUEZ POLO</v>
      </c>
      <c r="J824" s="57">
        <f ca="1">IFERROR(__xludf.DUMMYFUNCTION("""COMPUTED_VALUE"""),46093)</f>
        <v>46093</v>
      </c>
      <c r="K824" s="33" t="str">
        <f ca="1">IFERROR(__xludf.DUMMYFUNCTION("""COMPUTED_VALUE"""),"Prueba")</f>
        <v>Prueba</v>
      </c>
      <c r="L824" s="57">
        <f ca="1">IFERROR(__xludf.DUMMYFUNCTION("""COMPUTED_VALUE"""),46099)</f>
        <v>46099</v>
      </c>
      <c r="M824" s="64" t="str">
        <f ca="1">IFERROR(__xludf.DUMMYFUNCTION("""COMPUTED_VALUE"""),"NO")</f>
        <v>NO</v>
      </c>
      <c r="N824" s="56">
        <f ca="1">IFERROR(__xludf.DUMMYFUNCTION("""COMPUTED_VALUE"""),2)</f>
        <v>2</v>
      </c>
      <c r="O824" s="64" t="str">
        <f ca="1">IFERROR(__xludf.DUMMYFUNCTION("""COMPUTED_VALUE"""),"CONFORT")</f>
        <v>CONFORT</v>
      </c>
      <c r="P824" s="62">
        <f ca="1">IFERROR(__xludf.DUMMYFUNCTION("""COMPUTED_VALUE"""),3730)</f>
        <v>3730</v>
      </c>
      <c r="Q824" s="33" t="str">
        <f ca="1">IFERROR(__xludf.DUMMYFUNCTION("""COMPUTED_VALUE"""),"Alberto Moreno")</f>
        <v>Alberto Moreno</v>
      </c>
      <c r="R824" s="33" t="str">
        <f ca="1">IFERROR(__xludf.DUMMYFUNCTION("""COMPUTED_VALUE"""),"No recuerda ORL")</f>
        <v>No recuerda ORL</v>
      </c>
      <c r="S824" s="61" t="str">
        <f ca="1">IFERROR(__xludf.DUMMYFUNCTION("""COMPUTED_VALUE"""),"03 ORL")</f>
        <v>03 ORL</v>
      </c>
      <c r="T824" s="33" t="str">
        <f ca="1">IFERROR(__xludf.DUMMYFUNCTION("""COMPUTED_VALUE"""),"06 ORL")</f>
        <v>06 ORL</v>
      </c>
      <c r="U824" s="62"/>
      <c r="W824" s="61"/>
      <c r="X824" s="62"/>
    </row>
    <row r="825" spans="2:24" ht="16">
      <c r="B825" s="67" t="str">
        <f t="shared" ca="1" si="4"/>
        <v>#N/</v>
      </c>
      <c r="C825" s="64" t="str">
        <f ca="1">IFERROR(__xludf.DUMMYFUNCTION("""COMPUTED_VALUE"""),"#N/A")</f>
        <v>#N/A</v>
      </c>
      <c r="D825" s="33" t="str">
        <f ca="1">IFERROR(__xludf.DUMMYFUNCTION("""COMPUTED_VALUE"""),"ASOCIADOS")</f>
        <v>ASOCIADOS</v>
      </c>
      <c r="E825" s="33">
        <f ca="1">IFERROR(__xludf.DUMMYFUNCTION("""COMPUTED_VALUE"""),2026)</f>
        <v>2026</v>
      </c>
      <c r="F825" s="56">
        <f ca="1">IFERROR(__xludf.DUMMYFUNCTION("""COMPUTED_VALUE"""),3)</f>
        <v>3</v>
      </c>
      <c r="G825" s="33" t="str">
        <f ca="1">IFERROR(__xludf.DUMMYFUNCTION("""COMPUTED_VALUE"""),"Salamanca")</f>
        <v>Salamanca</v>
      </c>
      <c r="H825" s="33" t="str">
        <f ca="1">IFERROR(__xludf.DUMMYFUNCTION("""COMPUTED_VALUE"""),"C202631216282745621")</f>
        <v>C202631216282745621</v>
      </c>
      <c r="I825" s="33" t="str">
        <f ca="1">IFERROR(__xludf.DUMMYFUNCTION("""COMPUTED_VALUE"""),"MAXIMA ISABEL ROMERO CHAMORRO")</f>
        <v>MAXIMA ISABEL ROMERO CHAMORRO</v>
      </c>
      <c r="J825" s="57">
        <f ca="1">IFERROR(__xludf.DUMMYFUNCTION("""COMPUTED_VALUE"""),46093)</f>
        <v>46093</v>
      </c>
      <c r="K825" s="33" t="str">
        <f ca="1">IFERROR(__xludf.DUMMYFUNCTION("""COMPUTED_VALUE"""),"Prueba")</f>
        <v>Prueba</v>
      </c>
      <c r="L825" s="57">
        <f ca="1">IFERROR(__xludf.DUMMYFUNCTION("""COMPUTED_VALUE"""),46104)</f>
        <v>46104</v>
      </c>
      <c r="M825" s="64" t="str">
        <f ca="1">IFERROR(__xludf.DUMMYFUNCTION("""COMPUTED_VALUE"""),"NO")</f>
        <v>NO</v>
      </c>
      <c r="N825" s="56">
        <f ca="1">IFERROR(__xludf.DUMMYFUNCTION("""COMPUTED_VALUE"""),2)</f>
        <v>2</v>
      </c>
      <c r="O825" s="64" t="str">
        <f ca="1">IFERROR(__xludf.DUMMYFUNCTION("""COMPUTED_VALUE"""),"CONFORT")</f>
        <v>CONFORT</v>
      </c>
      <c r="P825" s="62">
        <f ca="1">IFERROR(__xludf.DUMMYFUNCTION("""COMPUTED_VALUE"""),3730)</f>
        <v>3730</v>
      </c>
      <c r="Q825" s="33" t="str">
        <f ca="1">IFERROR(__xludf.DUMMYFUNCTION("""COMPUTED_VALUE"""),"Ramon Ferrando")</f>
        <v>Ramon Ferrando</v>
      </c>
      <c r="R825" s="33" t="str">
        <f ca="1">IFERROR(__xludf.DUMMYFUNCTION("""COMPUTED_VALUE"""),"Dra, Marta Calvo Pérez")</f>
        <v>Dra, Marta Calvo Pérez</v>
      </c>
      <c r="S825" s="61" t="str">
        <f ca="1">IFERROR(__xludf.DUMMYFUNCTION("""COMPUTED_VALUE"""),"03 ORL")</f>
        <v>03 ORL</v>
      </c>
      <c r="T825" s="33" t="str">
        <f ca="1">IFERROR(__xludf.DUMMYFUNCTION("""COMPUTED_VALUE"""),"06 ORL")</f>
        <v>06 ORL</v>
      </c>
      <c r="U825" s="62"/>
      <c r="W825" s="61"/>
      <c r="X825" s="62"/>
    </row>
    <row r="826" spans="2:24" ht="16">
      <c r="B826" s="67" t="str">
        <f t="shared" ca="1" si="4"/>
        <v>#N/</v>
      </c>
      <c r="C826" s="64" t="str">
        <f ca="1">IFERROR(__xludf.DUMMYFUNCTION("""COMPUTED_VALUE"""),"#N/A")</f>
        <v>#N/A</v>
      </c>
      <c r="D826" s="33" t="str">
        <f ca="1">IFERROR(__xludf.DUMMYFUNCTION("""COMPUTED_VALUE"""),"ASOCIADOS")</f>
        <v>ASOCIADOS</v>
      </c>
      <c r="E826" s="33">
        <f ca="1">IFERROR(__xludf.DUMMYFUNCTION("""COMPUTED_VALUE"""),2026)</f>
        <v>2026</v>
      </c>
      <c r="F826" s="56">
        <f ca="1">IFERROR(__xludf.DUMMYFUNCTION("""COMPUTED_VALUE"""),3)</f>
        <v>3</v>
      </c>
      <c r="G826" s="33" t="str">
        <f ca="1">IFERROR(__xludf.DUMMYFUNCTION("""COMPUTED_VALUE"""),"Salamanca")</f>
        <v>Salamanca</v>
      </c>
      <c r="H826" s="33" t="str">
        <f ca="1">IFERROR(__xludf.DUMMYFUNCTION("""COMPUTED_VALUE"""),"C202631911493847562")</f>
        <v>C202631911493847562</v>
      </c>
      <c r="I826" s="33" t="str">
        <f ca="1">IFERROR(__xludf.DUMMYFUNCTION("""COMPUTED_VALUE"""),"PEDRO GOMEZ MONJE")</f>
        <v>PEDRO GOMEZ MONJE</v>
      </c>
      <c r="J826" s="57">
        <f ca="1">IFERROR(__xludf.DUMMYFUNCTION("""COMPUTED_VALUE"""),46100)</f>
        <v>46100</v>
      </c>
      <c r="K826" s="33" t="str">
        <f ca="1">IFERROR(__xludf.DUMMYFUNCTION("""COMPUTED_VALUE"""),"Pedido")</f>
        <v>Pedido</v>
      </c>
      <c r="L826" s="57">
        <f ca="1">IFERROR(__xludf.DUMMYFUNCTION("""COMPUTED_VALUE"""),46100)</f>
        <v>46100</v>
      </c>
      <c r="M826" s="64" t="str">
        <f ca="1">IFERROR(__xludf.DUMMYFUNCTION("""COMPUTED_VALUE"""),"NO")</f>
        <v>NO</v>
      </c>
      <c r="N826" s="56">
        <f ca="1">IFERROR(__xludf.DUMMYFUNCTION("""COMPUTED_VALUE"""),0)</f>
        <v>0</v>
      </c>
      <c r="O826" s="64"/>
      <c r="P826" s="62"/>
      <c r="Q826" s="33" t="str">
        <f ca="1">IFERROR(__xludf.DUMMYFUNCTION("""COMPUTED_VALUE"""),"Ramon Ferrando")</f>
        <v>Ramon Ferrando</v>
      </c>
      <c r="R826" s="33" t="str">
        <f ca="1">IFERROR(__xludf.DUMMYFUNCTION("""COMPUTED_VALUE"""),"Dr, Luis Miguel Rincón Esteban")</f>
        <v>Dr, Luis Miguel Rincón Esteban</v>
      </c>
      <c r="S826" s="61" t="str">
        <f ca="1">IFERROR(__xludf.DUMMYFUNCTION("""COMPUTED_VALUE"""),"03 ORL")</f>
        <v>03 ORL</v>
      </c>
      <c r="T826" s="33" t="str">
        <f ca="1">IFERROR(__xludf.DUMMYFUNCTION("""COMPUTED_VALUE"""),"06 ORL")</f>
        <v>06 ORL</v>
      </c>
      <c r="U826" s="62"/>
      <c r="W826" s="61"/>
      <c r="X826" s="62"/>
    </row>
    <row r="827" spans="2:24" ht="16">
      <c r="B827" s="67" t="str">
        <f t="shared" ca="1" si="4"/>
        <v/>
      </c>
      <c r="C827" s="64"/>
      <c r="D827" s="33" t="str">
        <f ca="1">IFERROR(__xludf.DUMMYFUNCTION("""COMPUTED_VALUE"""),"ASOCIADOS")</f>
        <v>ASOCIADOS</v>
      </c>
      <c r="E827" s="33">
        <f ca="1">IFERROR(__xludf.DUMMYFUNCTION("""COMPUTED_VALUE"""),2026)</f>
        <v>2026</v>
      </c>
      <c r="F827" s="56">
        <f ca="1">IFERROR(__xludf.DUMMYFUNCTION("""COMPUTED_VALUE"""),3)</f>
        <v>3</v>
      </c>
      <c r="G827" s="33" t="str">
        <f ca="1">IFERROR(__xludf.DUMMYFUNCTION("""COMPUTED_VALUE"""),"Salamanca")</f>
        <v>Salamanca</v>
      </c>
      <c r="H827" s="33" t="str">
        <f ca="1">IFERROR(__xludf.DUMMYFUNCTION("""COMPUTED_VALUE"""),"C2026329354159683")</f>
        <v>C2026329354159683</v>
      </c>
      <c r="I827" s="33" t="str">
        <f ca="1">IFERROR(__xludf.DUMMYFUNCTION("""COMPUTED_VALUE"""),"VICENTE  REVESADO MATEOS")</f>
        <v>VICENTE  REVESADO MATEOS</v>
      </c>
      <c r="J827" s="57">
        <f ca="1">IFERROR(__xludf.DUMMYFUNCTION("""COMPUTED_VALUE"""),46083)</f>
        <v>46083</v>
      </c>
      <c r="K827" s="33" t="str">
        <f ca="1">IFERROR(__xludf.DUMMYFUNCTION("""COMPUTED_VALUE"""),"Prueba")</f>
        <v>Prueba</v>
      </c>
      <c r="L827" s="57">
        <f ca="1">IFERROR(__xludf.DUMMYFUNCTION("""COMPUTED_VALUE"""),46092)</f>
        <v>46092</v>
      </c>
      <c r="M827" s="64" t="str">
        <f ca="1">IFERROR(__xludf.DUMMYFUNCTION("""COMPUTED_VALUE"""),"NO")</f>
        <v>NO</v>
      </c>
      <c r="N827" s="56">
        <f ca="1">IFERROR(__xludf.DUMMYFUNCTION("""COMPUTED_VALUE"""),2)</f>
        <v>2</v>
      </c>
      <c r="O827" s="64" t="str">
        <f ca="1">IFERROR(__xludf.DUMMYFUNCTION("""COMPUTED_VALUE"""),"CONFORT")</f>
        <v>CONFORT</v>
      </c>
      <c r="P827" s="62">
        <f ca="1">IFERROR(__xludf.DUMMYFUNCTION("""COMPUTED_VALUE"""),3730)</f>
        <v>3730</v>
      </c>
      <c r="Q827" s="33" t="str">
        <f ca="1">IFERROR(__xludf.DUMMYFUNCTION("""COMPUTED_VALUE"""),"Alberto Moreno")</f>
        <v>Alberto Moreno</v>
      </c>
      <c r="R827" s="33" t="str">
        <f ca="1">IFERROR(__xludf.DUMMYFUNCTION("""COMPUTED_VALUE"""),"No recuerda ORL")</f>
        <v>No recuerda ORL</v>
      </c>
      <c r="S827" s="61" t="str">
        <f ca="1">IFERROR(__xludf.DUMMYFUNCTION("""COMPUTED_VALUE"""),"03 ORL")</f>
        <v>03 ORL</v>
      </c>
      <c r="T827" s="33" t="str">
        <f ca="1">IFERROR(__xludf.DUMMYFUNCTION("""COMPUTED_VALUE"""),"06 ORL")</f>
        <v>06 ORL</v>
      </c>
      <c r="U827" s="62"/>
      <c r="W827" s="61"/>
      <c r="X827" s="62"/>
    </row>
    <row r="828" spans="2:24" ht="16">
      <c r="B828" s="67" t="str">
        <f t="shared" ca="1" si="4"/>
        <v>#N/</v>
      </c>
      <c r="C828" s="64" t="str">
        <f ca="1">IFERROR(__xludf.DUMMYFUNCTION("""COMPUTED_VALUE"""),"#N/A")</f>
        <v>#N/A</v>
      </c>
      <c r="D828" s="33" t="str">
        <f ca="1">IFERROR(__xludf.DUMMYFUNCTION("""COMPUTED_VALUE"""),"PROPIOS")</f>
        <v>PROPIOS</v>
      </c>
      <c r="E828" s="33">
        <f ca="1">IFERROR(__xludf.DUMMYFUNCTION("""COMPUTED_VALUE"""),2026)</f>
        <v>2026</v>
      </c>
      <c r="F828" s="56">
        <f ca="1">IFERROR(__xludf.DUMMYFUNCTION("""COMPUTED_VALUE"""),2)</f>
        <v>2</v>
      </c>
      <c r="G828" s="33" t="str">
        <f ca="1">IFERROR(__xludf.DUMMYFUNCTION("""COMPUTED_VALUE"""),"San Javier")</f>
        <v>San Javier</v>
      </c>
      <c r="H828" s="33" t="str">
        <f ca="1">IFERROR(__xludf.DUMMYFUNCTION("""COMPUTED_VALUE"""),"C202624174226578219")</f>
        <v>C202624174226578219</v>
      </c>
      <c r="I828" s="33" t="str">
        <f ca="1">IFERROR(__xludf.DUMMYFUNCTION("""COMPUTED_VALUE"""),"ANGEL DEL VALLE RAIMUNDEZ")</f>
        <v>ANGEL DEL VALLE RAIMUNDEZ</v>
      </c>
      <c r="J828" s="57">
        <f ca="1">IFERROR(__xludf.DUMMYFUNCTION("""COMPUTED_VALUE"""),46057)</f>
        <v>46057</v>
      </c>
      <c r="K828" s="33" t="str">
        <f ca="1">IFERROR(__xludf.DUMMYFUNCTION("""COMPUTED_VALUE"""),"Presupuesto")</f>
        <v>Presupuesto</v>
      </c>
      <c r="L828" s="57">
        <f ca="1">IFERROR(__xludf.DUMMYFUNCTION("""COMPUTED_VALUE"""),46062)</f>
        <v>46062</v>
      </c>
      <c r="M828" s="64" t="str">
        <f ca="1">IFERROR(__xludf.DUMMYFUNCTION("""COMPUTED_VALUE"""),"NO")</f>
        <v>NO</v>
      </c>
      <c r="N828" s="56">
        <f ca="1">IFERROR(__xludf.DUMMYFUNCTION("""COMPUTED_VALUE"""),2)</f>
        <v>2</v>
      </c>
      <c r="O828" s="64" t="str">
        <f ca="1">IFERROR(__xludf.DUMMYFUNCTION("""COMPUTED_VALUE"""),"CONFORT")</f>
        <v>CONFORT</v>
      </c>
      <c r="P828" s="62">
        <f ca="1">IFERROR(__xludf.DUMMYFUNCTION("""COMPUTED_VALUE"""),3631.82)</f>
        <v>3631.82</v>
      </c>
      <c r="Q828" s="33" t="str">
        <f ca="1">IFERROR(__xludf.DUMMYFUNCTION("""COMPUTED_VALUE"""),"Iván Sánchez")</f>
        <v>Iván Sánchez</v>
      </c>
      <c r="R828" s="33" t="str">
        <f ca="1">IFERROR(__xludf.DUMMYFUNCTION("""COMPUTED_VALUE"""),"Dr, Ángel Onofre Pérez Coll")</f>
        <v>Dr, Ángel Onofre Pérez Coll</v>
      </c>
      <c r="S828" s="61" t="str">
        <f ca="1">IFERROR(__xludf.DUMMYFUNCTION("""COMPUTED_VALUE"""),"03 ORL")</f>
        <v>03 ORL</v>
      </c>
      <c r="T828" s="33" t="str">
        <f ca="1">IFERROR(__xludf.DUMMYFUNCTION("""COMPUTED_VALUE"""),"06 ORL")</f>
        <v>06 ORL</v>
      </c>
      <c r="U828" s="62"/>
      <c r="W828" s="61"/>
      <c r="X828" s="62"/>
    </row>
    <row r="829" spans="2:24" ht="16">
      <c r="B829" s="67" t="str">
        <f t="shared" ca="1" si="4"/>
        <v/>
      </c>
      <c r="C829" s="64"/>
      <c r="D829" s="33" t="str">
        <f ca="1">IFERROR(__xludf.DUMMYFUNCTION("""COMPUTED_VALUE"""),"PROPIOS")</f>
        <v>PROPIOS</v>
      </c>
      <c r="E829" s="33">
        <f ca="1">IFERROR(__xludf.DUMMYFUNCTION("""COMPUTED_VALUE"""),2026)</f>
        <v>2026</v>
      </c>
      <c r="F829" s="56">
        <f ca="1">IFERROR(__xludf.DUMMYFUNCTION("""COMPUTED_VALUE"""),3)</f>
        <v>3</v>
      </c>
      <c r="G829" s="33" t="str">
        <f ca="1">IFERROR(__xludf.DUMMYFUNCTION("""COMPUTED_VALUE"""),"San Javier")</f>
        <v>San Javier</v>
      </c>
      <c r="H829" s="33" t="str">
        <f ca="1">IFERROR(__xludf.DUMMYFUNCTION("""COMPUTED_VALUE"""),"C202622414471147598")</f>
        <v>C202622414471147598</v>
      </c>
      <c r="I829" s="33" t="str">
        <f ca="1">IFERROR(__xludf.DUMMYFUNCTION("""COMPUTED_VALUE"""),"ANTONIO SANCHEZ GUIRAO")</f>
        <v>ANTONIO SANCHEZ GUIRAO</v>
      </c>
      <c r="J829" s="57">
        <f ca="1">IFERROR(__xludf.DUMMYFUNCTION("""COMPUTED_VALUE"""),46077)</f>
        <v>46077</v>
      </c>
      <c r="K829" s="33" t="str">
        <f ca="1">IFERROR(__xludf.DUMMYFUNCTION("""COMPUTED_VALUE"""),"Prueba")</f>
        <v>Prueba</v>
      </c>
      <c r="L829" s="57">
        <f ca="1">IFERROR(__xludf.DUMMYFUNCTION("""COMPUTED_VALUE"""),46092)</f>
        <v>46092</v>
      </c>
      <c r="M829" s="64" t="str">
        <f ca="1">IFERROR(__xludf.DUMMYFUNCTION("""COMPUTED_VALUE"""),"NO")</f>
        <v>NO</v>
      </c>
      <c r="N829" s="56">
        <f ca="1">IFERROR(__xludf.DUMMYFUNCTION("""COMPUTED_VALUE"""),2)</f>
        <v>2</v>
      </c>
      <c r="O829" s="64" t="str">
        <f ca="1">IFERROR(__xludf.DUMMYFUNCTION("""COMPUTED_VALUE"""),"TRIAL")</f>
        <v>TRIAL</v>
      </c>
      <c r="P829" s="62">
        <f ca="1">IFERROR(__xludf.DUMMYFUNCTION("""COMPUTED_VALUE"""),4136.36)</f>
        <v>4136.3599999999997</v>
      </c>
      <c r="Q829" s="33" t="str">
        <f ca="1">IFERROR(__xludf.DUMMYFUNCTION("""COMPUTED_VALUE"""),"Iván Sánchez")</f>
        <v>Iván Sánchez</v>
      </c>
      <c r="R829" s="33" t="str">
        <f ca="1">IFERROR(__xludf.DUMMYFUNCTION("""COMPUTED_VALUE"""),"No recuerda ORL")</f>
        <v>No recuerda ORL</v>
      </c>
      <c r="S829" s="61" t="str">
        <f ca="1">IFERROR(__xludf.DUMMYFUNCTION("""COMPUTED_VALUE"""),"03 ORL")</f>
        <v>03 ORL</v>
      </c>
      <c r="T829" s="33" t="str">
        <f ca="1">IFERROR(__xludf.DUMMYFUNCTION("""COMPUTED_VALUE"""),"06 ORL")</f>
        <v>06 ORL</v>
      </c>
      <c r="U829" s="62"/>
      <c r="W829" s="61"/>
      <c r="X829" s="62"/>
    </row>
    <row r="830" spans="2:24" ht="16">
      <c r="B830" s="67" t="str">
        <f t="shared" ca="1" si="4"/>
        <v>#N/</v>
      </c>
      <c r="C830" s="64" t="str">
        <f ca="1">IFERROR(__xludf.DUMMYFUNCTION("""COMPUTED_VALUE"""),"#N/A")</f>
        <v>#N/A</v>
      </c>
      <c r="D830" s="33" t="str">
        <f ca="1">IFERROR(__xludf.DUMMYFUNCTION("""COMPUTED_VALUE"""),"PROPIOS")</f>
        <v>PROPIOS</v>
      </c>
      <c r="E830" s="33">
        <f ca="1">IFERROR(__xludf.DUMMYFUNCTION("""COMPUTED_VALUE"""),2026)</f>
        <v>2026</v>
      </c>
      <c r="F830" s="56">
        <f ca="1">IFERROR(__xludf.DUMMYFUNCTION("""COMPUTED_VALUE"""),1)</f>
        <v>1</v>
      </c>
      <c r="G830" s="33" t="str">
        <f ca="1">IFERROR(__xludf.DUMMYFUNCTION("""COMPUTED_VALUE"""),"San Javier")</f>
        <v>San Javier</v>
      </c>
      <c r="H830" s="33" t="str">
        <f ca="1">IFERROR(__xludf.DUMMYFUNCTION("""COMPUTED_VALUE"""),"C202612010175804158")</f>
        <v>C202612010175804158</v>
      </c>
      <c r="I830" s="33" t="str">
        <f ca="1">IFERROR(__xludf.DUMMYFUNCTION("""COMPUTED_VALUE"""),"DOMINGO JOSE GARCIA GOMEZ")</f>
        <v>DOMINGO JOSE GARCIA GOMEZ</v>
      </c>
      <c r="J830" s="57">
        <f ca="1">IFERROR(__xludf.DUMMYFUNCTION("""COMPUTED_VALUE"""),46042)</f>
        <v>46042</v>
      </c>
      <c r="K830" s="33" t="str">
        <f ca="1">IFERROR(__xludf.DUMMYFUNCTION("""COMPUTED_VALUE"""),"Presupuesto")</f>
        <v>Presupuesto</v>
      </c>
      <c r="L830" s="57">
        <f ca="1">IFERROR(__xludf.DUMMYFUNCTION("""COMPUTED_VALUE"""),46042)</f>
        <v>46042</v>
      </c>
      <c r="M830" s="64" t="str">
        <f ca="1">IFERROR(__xludf.DUMMYFUNCTION("""COMPUTED_VALUE"""),"NO")</f>
        <v>NO</v>
      </c>
      <c r="N830" s="56">
        <f ca="1">IFERROR(__xludf.DUMMYFUNCTION("""COMPUTED_VALUE"""),2)</f>
        <v>2</v>
      </c>
      <c r="O830" s="64" t="str">
        <f ca="1">IFERROR(__xludf.DUMMYFUNCTION("""COMPUTED_VALUE"""),"QUIET")</f>
        <v>QUIET</v>
      </c>
      <c r="P830" s="62">
        <f ca="1">IFERROR(__xludf.DUMMYFUNCTION("""COMPUTED_VALUE"""),2718.18)</f>
        <v>2718.18</v>
      </c>
      <c r="Q830" s="33" t="str">
        <f ca="1">IFERROR(__xludf.DUMMYFUNCTION("""COMPUTED_VALUE"""),"Iván Sánchez")</f>
        <v>Iván Sánchez</v>
      </c>
      <c r="R830" s="33" t="str">
        <f ca="1">IFERROR(__xludf.DUMMYFUNCTION("""COMPUTED_VALUE"""),"Dr, Alberto Raposo Jiménez")</f>
        <v>Dr, Alberto Raposo Jiménez</v>
      </c>
      <c r="S830" s="61" t="str">
        <f ca="1">IFERROR(__xludf.DUMMYFUNCTION("""COMPUTED_VALUE"""),"03 ORL")</f>
        <v>03 ORL</v>
      </c>
      <c r="T830" s="33" t="str">
        <f ca="1">IFERROR(__xludf.DUMMYFUNCTION("""COMPUTED_VALUE"""),"06 ORL")</f>
        <v>06 ORL</v>
      </c>
      <c r="U830" s="62"/>
      <c r="W830" s="61"/>
      <c r="X830" s="62"/>
    </row>
    <row r="831" spans="2:24" ht="16">
      <c r="B831" s="67" t="str">
        <f t="shared" ca="1" si="4"/>
        <v>#N/</v>
      </c>
      <c r="C831" s="64" t="str">
        <f ca="1">IFERROR(__xludf.DUMMYFUNCTION("""COMPUTED_VALUE"""),"#N/A")</f>
        <v>#N/A</v>
      </c>
      <c r="D831" s="33" t="str">
        <f ca="1">IFERROR(__xludf.DUMMYFUNCTION("""COMPUTED_VALUE"""),"PROPIOS")</f>
        <v>PROPIOS</v>
      </c>
      <c r="E831" s="33">
        <f ca="1">IFERROR(__xludf.DUMMYFUNCTION("""COMPUTED_VALUE"""),2026)</f>
        <v>2026</v>
      </c>
      <c r="F831" s="56">
        <f ca="1">IFERROR(__xludf.DUMMYFUNCTION("""COMPUTED_VALUE"""),3)</f>
        <v>3</v>
      </c>
      <c r="G831" s="33" t="str">
        <f ca="1">IFERROR(__xludf.DUMMYFUNCTION("""COMPUTED_VALUE"""),"San Javier")</f>
        <v>San Javier</v>
      </c>
      <c r="H831" s="33" t="str">
        <f ca="1">IFERROR(__xludf.DUMMYFUNCTION("""COMPUTED_VALUE"""),"C202631119273290318")</f>
        <v>C202631119273290318</v>
      </c>
      <c r="I831" s="33" t="str">
        <f ca="1">IFERROR(__xludf.DUMMYFUNCTION("""COMPUTED_VALUE"""),"IULIIA LESNYCHOK")</f>
        <v>IULIIA LESNYCHOK</v>
      </c>
      <c r="J831" s="57">
        <f ca="1">IFERROR(__xludf.DUMMYFUNCTION("""COMPUTED_VALUE"""),46092)</f>
        <v>46092</v>
      </c>
      <c r="K831" s="33" t="str">
        <f ca="1">IFERROR(__xludf.DUMMYFUNCTION("""COMPUTED_VALUE"""),"Prueba")</f>
        <v>Prueba</v>
      </c>
      <c r="L831" s="57">
        <f ca="1">IFERROR(__xludf.DUMMYFUNCTION("""COMPUTED_VALUE"""),46098)</f>
        <v>46098</v>
      </c>
      <c r="M831" s="64" t="str">
        <f ca="1">IFERROR(__xludf.DUMMYFUNCTION("""COMPUTED_VALUE"""),"NO")</f>
        <v>NO</v>
      </c>
      <c r="N831" s="56">
        <f ca="1">IFERROR(__xludf.DUMMYFUNCTION("""COMPUTED_VALUE"""),1)</f>
        <v>1</v>
      </c>
      <c r="O831" s="64" t="str">
        <f ca="1">IFERROR(__xludf.DUMMYFUNCTION("""COMPUTED_VALUE"""),"QUIET")</f>
        <v>QUIET</v>
      </c>
      <c r="P831" s="62">
        <f ca="1">IFERROR(__xludf.DUMMYFUNCTION("""COMPUTED_VALUE"""),1631.82)</f>
        <v>1631.82</v>
      </c>
      <c r="Q831" s="33" t="str">
        <f ca="1">IFERROR(__xludf.DUMMYFUNCTION("""COMPUTED_VALUE"""),"Iván Sánchez")</f>
        <v>Iván Sánchez</v>
      </c>
      <c r="R831" s="33" t="str">
        <f ca="1">IFERROR(__xludf.DUMMYFUNCTION("""COMPUTED_VALUE"""),"Dr, Andrés Barrios Recio")</f>
        <v>Dr, Andrés Barrios Recio</v>
      </c>
      <c r="S831" s="61" t="str">
        <f ca="1">IFERROR(__xludf.DUMMYFUNCTION("""COMPUTED_VALUE"""),"03 ORL")</f>
        <v>03 ORL</v>
      </c>
      <c r="T831" s="33" t="str">
        <f ca="1">IFERROR(__xludf.DUMMYFUNCTION("""COMPUTED_VALUE"""),"06 ORL")</f>
        <v>06 ORL</v>
      </c>
      <c r="U831" s="62"/>
      <c r="W831" s="61"/>
      <c r="X831" s="62"/>
    </row>
    <row r="832" spans="2:24" ht="16">
      <c r="B832" s="67" t="str">
        <f t="shared" ca="1" si="4"/>
        <v>#N/</v>
      </c>
      <c r="C832" s="64" t="str">
        <f ca="1">IFERROR(__xludf.DUMMYFUNCTION("""COMPUTED_VALUE"""),"#N/A")</f>
        <v>#N/A</v>
      </c>
      <c r="D832" s="33" t="str">
        <f ca="1">IFERROR(__xludf.DUMMYFUNCTION("""COMPUTED_VALUE"""),"PROPIOS")</f>
        <v>PROPIOS</v>
      </c>
      <c r="E832" s="33">
        <f ca="1">IFERROR(__xludf.DUMMYFUNCTION("""COMPUTED_VALUE"""),2026)</f>
        <v>2026</v>
      </c>
      <c r="F832" s="56">
        <f ca="1">IFERROR(__xludf.DUMMYFUNCTION("""COMPUTED_VALUE"""),1)</f>
        <v>1</v>
      </c>
      <c r="G832" s="33" t="str">
        <f ca="1">IFERROR(__xludf.DUMMYFUNCTION("""COMPUTED_VALUE"""),"San Javier")</f>
        <v>San Javier</v>
      </c>
      <c r="H832" s="33" t="str">
        <f ca="1">IFERROR(__xludf.DUMMYFUNCTION("""COMPUTED_VALUE"""),"C202619102150510252")</f>
        <v>C202619102150510252</v>
      </c>
      <c r="I832" s="33" t="str">
        <f ca="1">IFERROR(__xludf.DUMMYFUNCTION("""COMPUTED_VALUE"""),"JUAN LAZARO GARCIA")</f>
        <v>JUAN LAZARO GARCIA</v>
      </c>
      <c r="J832" s="57">
        <f ca="1">IFERROR(__xludf.DUMMYFUNCTION("""COMPUTED_VALUE"""),46031)</f>
        <v>46031</v>
      </c>
      <c r="K832" s="33" t="str">
        <f ca="1">IFERROR(__xludf.DUMMYFUNCTION("""COMPUTED_VALUE"""),"Presupuesto")</f>
        <v>Presupuesto</v>
      </c>
      <c r="L832" s="57">
        <f ca="1">IFERROR(__xludf.DUMMYFUNCTION("""COMPUTED_VALUE"""),46035)</f>
        <v>46035</v>
      </c>
      <c r="M832" s="64" t="str">
        <f ca="1">IFERROR(__xludf.DUMMYFUNCTION("""COMPUTED_VALUE"""),"NO")</f>
        <v>NO</v>
      </c>
      <c r="N832" s="56">
        <f ca="1">IFERROR(__xludf.DUMMYFUNCTION("""COMPUTED_VALUE"""),2)</f>
        <v>2</v>
      </c>
      <c r="O832" s="64" t="str">
        <f ca="1">IFERROR(__xludf.DUMMYFUNCTION("""COMPUTED_VALUE"""),"QUIET")</f>
        <v>QUIET</v>
      </c>
      <c r="P832" s="62">
        <f ca="1">IFERROR(__xludf.DUMMYFUNCTION("""COMPUTED_VALUE"""),2718.18)</f>
        <v>2718.18</v>
      </c>
      <c r="Q832" s="33" t="str">
        <f ca="1">IFERROR(__xludf.DUMMYFUNCTION("""COMPUTED_VALUE"""),"Iván Sánchez")</f>
        <v>Iván Sánchez</v>
      </c>
      <c r="R832" s="33" t="str">
        <f ca="1">IFERROR(__xludf.DUMMYFUNCTION("""COMPUTED_VALUE"""),"Dr, Antonio Galindo Fernández")</f>
        <v>Dr, Antonio Galindo Fernández</v>
      </c>
      <c r="S832" s="61" t="str">
        <f ca="1">IFERROR(__xludf.DUMMYFUNCTION("""COMPUTED_VALUE"""),"03 ORL")</f>
        <v>03 ORL</v>
      </c>
      <c r="T832" s="33" t="str">
        <f ca="1">IFERROR(__xludf.DUMMYFUNCTION("""COMPUTED_VALUE"""),"06 ORL")</f>
        <v>06 ORL</v>
      </c>
      <c r="U832" s="62"/>
      <c r="W832" s="61"/>
      <c r="X832" s="62"/>
    </row>
    <row r="833" spans="2:24" ht="16">
      <c r="B833" s="67" t="str">
        <f t="shared" ca="1" si="4"/>
        <v>#N/</v>
      </c>
      <c r="C833" s="64" t="str">
        <f ca="1">IFERROR(__xludf.DUMMYFUNCTION("""COMPUTED_VALUE"""),"#N/A")</f>
        <v>#N/A</v>
      </c>
      <c r="D833" s="33" t="str">
        <f ca="1">IFERROR(__xludf.DUMMYFUNCTION("""COMPUTED_VALUE"""),"PROPIOS")</f>
        <v>PROPIOS</v>
      </c>
      <c r="E833" s="33">
        <f ca="1">IFERROR(__xludf.DUMMYFUNCTION("""COMPUTED_VALUE"""),2026)</f>
        <v>2026</v>
      </c>
      <c r="F833" s="56">
        <f ca="1">IFERROR(__xludf.DUMMYFUNCTION("""COMPUTED_VALUE"""),3)</f>
        <v>3</v>
      </c>
      <c r="G833" s="33" t="str">
        <f ca="1">IFERROR(__xludf.DUMMYFUNCTION("""COMPUTED_VALUE"""),"San Javier")</f>
        <v>San Javier</v>
      </c>
      <c r="H833" s="33" t="str">
        <f ca="1">IFERROR(__xludf.DUMMYFUNCTION("""COMPUTED_VALUE"""),"C202632419538734374")</f>
        <v>C202632419538734374</v>
      </c>
      <c r="I833" s="33" t="str">
        <f ca="1">IFERROR(__xludf.DUMMYFUNCTION("""COMPUTED_VALUE"""),"LAURA MARTINEZ DE GEA")</f>
        <v>LAURA MARTINEZ DE GEA</v>
      </c>
      <c r="J833" s="57">
        <f ca="1">IFERROR(__xludf.DUMMYFUNCTION("""COMPUTED_VALUE"""),46105)</f>
        <v>46105</v>
      </c>
      <c r="K833" s="33" t="str">
        <f ca="1">IFERROR(__xludf.DUMMYFUNCTION("""COMPUTED_VALUE"""),"Presupuesto")</f>
        <v>Presupuesto</v>
      </c>
      <c r="L833" s="57">
        <f ca="1">IFERROR(__xludf.DUMMYFUNCTION("""COMPUTED_VALUE"""),46112)</f>
        <v>46112</v>
      </c>
      <c r="M833" s="64" t="str">
        <f ca="1">IFERROR(__xludf.DUMMYFUNCTION("""COMPUTED_VALUE"""),"NO")</f>
        <v>NO</v>
      </c>
      <c r="N833" s="56">
        <f ca="1">IFERROR(__xludf.DUMMYFUNCTION("""COMPUTED_VALUE"""),1)</f>
        <v>1</v>
      </c>
      <c r="O833" s="64" t="str">
        <f ca="1">IFERROR(__xludf.DUMMYFUNCTION("""COMPUTED_VALUE"""),"CONFORT")</f>
        <v>CONFORT</v>
      </c>
      <c r="P833" s="62">
        <f ca="1">IFERROR(__xludf.DUMMYFUNCTION("""COMPUTED_VALUE"""),2899.09)</f>
        <v>2899.09</v>
      </c>
      <c r="Q833" s="33" t="str">
        <f ca="1">IFERROR(__xludf.DUMMYFUNCTION("""COMPUTED_VALUE"""),"Iván Sánchez")</f>
        <v>Iván Sánchez</v>
      </c>
      <c r="R833" s="33" t="str">
        <f ca="1">IFERROR(__xludf.DUMMYFUNCTION("""COMPUTED_VALUE"""),"Dr, Alberto Guillén Martínez")</f>
        <v>Dr, Alberto Guillén Martínez</v>
      </c>
      <c r="S833" s="61" t="str">
        <f ca="1">IFERROR(__xludf.DUMMYFUNCTION("""COMPUTED_VALUE"""),"03 ORL")</f>
        <v>03 ORL</v>
      </c>
      <c r="T833" s="33" t="str">
        <f ca="1">IFERROR(__xludf.DUMMYFUNCTION("""COMPUTED_VALUE"""),"06 ORL")</f>
        <v>06 ORL</v>
      </c>
      <c r="U833" s="62"/>
      <c r="W833" s="61"/>
      <c r="X833" s="62"/>
    </row>
    <row r="834" spans="2:24" ht="16">
      <c r="B834" s="67" t="str">
        <f t="shared" ca="1" si="4"/>
        <v/>
      </c>
      <c r="C834" s="64"/>
      <c r="D834" s="33" t="str">
        <f ca="1">IFERROR(__xludf.DUMMYFUNCTION("""COMPUTED_VALUE"""),"PROPIOS")</f>
        <v>PROPIOS</v>
      </c>
      <c r="E834" s="33">
        <f ca="1">IFERROR(__xludf.DUMMYFUNCTION("""COMPUTED_VALUE"""),2026)</f>
        <v>2026</v>
      </c>
      <c r="F834" s="56">
        <f ca="1">IFERROR(__xludf.DUMMYFUNCTION("""COMPUTED_VALUE"""),4)</f>
        <v>4</v>
      </c>
      <c r="G834" s="33" t="str">
        <f ca="1">IFERROR(__xludf.DUMMYFUNCTION("""COMPUTED_VALUE"""),"San Javier")</f>
        <v>San Javier</v>
      </c>
      <c r="H834" s="33" t="str">
        <f ca="1">IFERROR(__xludf.DUMMYFUNCTION("""COMPUTED_VALUE"""),"C202632710142102813")</f>
        <v>C202632710142102813</v>
      </c>
      <c r="I834" s="33" t="str">
        <f ca="1">IFERROR(__xludf.DUMMYFUNCTION("""COMPUTED_VALUE"""),"MAGDALENA GARCIA ALONSO")</f>
        <v>MAGDALENA GARCIA ALONSO</v>
      </c>
      <c r="J834" s="57">
        <f ca="1">IFERROR(__xludf.DUMMYFUNCTION("""COMPUTED_VALUE"""),46108)</f>
        <v>46108</v>
      </c>
      <c r="K834" s="33" t="str">
        <f ca="1">IFERROR(__xludf.DUMMYFUNCTION("""COMPUTED_VALUE"""),"Pedido")</f>
        <v>Pedido</v>
      </c>
      <c r="L834" s="57">
        <f ca="1">IFERROR(__xludf.DUMMYFUNCTION("""COMPUTED_VALUE"""),46119)</f>
        <v>46119</v>
      </c>
      <c r="M834" s="64" t="str">
        <f ca="1">IFERROR(__xludf.DUMMYFUNCTION("""COMPUTED_VALUE"""),"NO")</f>
        <v>NO</v>
      </c>
      <c r="N834" s="56">
        <f ca="1">IFERROR(__xludf.DUMMYFUNCTION("""COMPUTED_VALUE"""),2)</f>
        <v>2</v>
      </c>
      <c r="O834" s="64" t="str">
        <f ca="1">IFERROR(__xludf.DUMMYFUNCTION("""COMPUTED_VALUE"""),"PRO")</f>
        <v>PRO</v>
      </c>
      <c r="P834" s="62">
        <f ca="1">IFERROR(__xludf.DUMMYFUNCTION("""COMPUTED_VALUE"""),4536.36)</f>
        <v>4536.3599999999997</v>
      </c>
      <c r="Q834" s="33" t="str">
        <f ca="1">IFERROR(__xludf.DUMMYFUNCTION("""COMPUTED_VALUE"""),"Iván Sánchez")</f>
        <v>Iván Sánchez</v>
      </c>
      <c r="R834" s="33" t="str">
        <f ca="1">IFERROR(__xludf.DUMMYFUNCTION("""COMPUTED_VALUE"""),"No recuerda ORL")</f>
        <v>No recuerda ORL</v>
      </c>
      <c r="S834" s="61" t="str">
        <f ca="1">IFERROR(__xludf.DUMMYFUNCTION("""COMPUTED_VALUE"""),"03 ORL")</f>
        <v>03 ORL</v>
      </c>
      <c r="T834" s="33" t="str">
        <f ca="1">IFERROR(__xludf.DUMMYFUNCTION("""COMPUTED_VALUE"""),"06 ORL")</f>
        <v>06 ORL</v>
      </c>
      <c r="U834" s="62"/>
      <c r="W834" s="61"/>
      <c r="X834" s="62"/>
    </row>
    <row r="835" spans="2:24" ht="16">
      <c r="B835" s="67" t="str">
        <f t="shared" ca="1" si="4"/>
        <v>#N/</v>
      </c>
      <c r="C835" s="64" t="str">
        <f ca="1">IFERROR(__xludf.DUMMYFUNCTION("""COMPUTED_VALUE"""),"#N/A")</f>
        <v>#N/A</v>
      </c>
      <c r="D835" s="33" t="str">
        <f ca="1">IFERROR(__xludf.DUMMYFUNCTION("""COMPUTED_VALUE"""),"PROPIOS")</f>
        <v>PROPIOS</v>
      </c>
      <c r="E835" s="33">
        <f ca="1">IFERROR(__xludf.DUMMYFUNCTION("""COMPUTED_VALUE"""),2026)</f>
        <v>2026</v>
      </c>
      <c r="F835" s="56">
        <f ca="1">IFERROR(__xludf.DUMMYFUNCTION("""COMPUTED_VALUE"""),3)</f>
        <v>3</v>
      </c>
      <c r="G835" s="33" t="str">
        <f ca="1">IFERROR(__xludf.DUMMYFUNCTION("""COMPUTED_VALUE"""),"San Javier")</f>
        <v>San Javier</v>
      </c>
      <c r="H835" s="33" t="str">
        <f ca="1">IFERROR(__xludf.DUMMYFUNCTION("""COMPUTED_VALUE"""),"C202631811473034793")</f>
        <v>C202631811473034793</v>
      </c>
      <c r="I835" s="33" t="str">
        <f ca="1">IFERROR(__xludf.DUMMYFUNCTION("""COMPUTED_VALUE"""),"MARIA ISABEL BELMONTE LOPEZ")</f>
        <v>MARIA ISABEL BELMONTE LOPEZ</v>
      </c>
      <c r="J835" s="57">
        <f ca="1">IFERROR(__xludf.DUMMYFUNCTION("""COMPUTED_VALUE"""),46099)</f>
        <v>46099</v>
      </c>
      <c r="K835" s="33" t="str">
        <f ca="1">IFERROR(__xludf.DUMMYFUNCTION("""COMPUTED_VALUE"""),"Prueba")</f>
        <v>Prueba</v>
      </c>
      <c r="L835" s="57">
        <f ca="1">IFERROR(__xludf.DUMMYFUNCTION("""COMPUTED_VALUE"""),46111)</f>
        <v>46111</v>
      </c>
      <c r="M835" s="64" t="str">
        <f ca="1">IFERROR(__xludf.DUMMYFUNCTION("""COMPUTED_VALUE"""),"NO")</f>
        <v>NO</v>
      </c>
      <c r="N835" s="56">
        <f ca="1">IFERROR(__xludf.DUMMYFUNCTION("""COMPUTED_VALUE"""),2)</f>
        <v>2</v>
      </c>
      <c r="O835" s="64" t="str">
        <f ca="1">IFERROR(__xludf.DUMMYFUNCTION("""COMPUTED_VALUE"""),"TRIAL")</f>
        <v>TRIAL</v>
      </c>
      <c r="P835" s="62">
        <f ca="1">IFERROR(__xludf.DUMMYFUNCTION("""COMPUTED_VALUE"""),3631.82)</f>
        <v>3631.82</v>
      </c>
      <c r="Q835" s="33" t="str">
        <f ca="1">IFERROR(__xludf.DUMMYFUNCTION("""COMPUTED_VALUE"""),"Iván Sánchez")</f>
        <v>Iván Sánchez</v>
      </c>
      <c r="R835" s="33" t="str">
        <f ca="1">IFERROR(__xludf.DUMMYFUNCTION("""COMPUTED_VALUE"""),"Dr, Antonio Galindo Fernández")</f>
        <v>Dr, Antonio Galindo Fernández</v>
      </c>
      <c r="S835" s="61" t="str">
        <f ca="1">IFERROR(__xludf.DUMMYFUNCTION("""COMPUTED_VALUE"""),"03 ORL")</f>
        <v>03 ORL</v>
      </c>
      <c r="T835" s="33" t="str">
        <f ca="1">IFERROR(__xludf.DUMMYFUNCTION("""COMPUTED_VALUE"""),"06 ORL")</f>
        <v>06 ORL</v>
      </c>
      <c r="U835" s="62"/>
      <c r="W835" s="61"/>
      <c r="X835" s="62"/>
    </row>
    <row r="836" spans="2:24" ht="16">
      <c r="B836" s="67" t="str">
        <f t="shared" ca="1" si="4"/>
        <v>#N/</v>
      </c>
      <c r="C836" s="64" t="str">
        <f ca="1">IFERROR(__xludf.DUMMYFUNCTION("""COMPUTED_VALUE"""),"#N/A")</f>
        <v>#N/A</v>
      </c>
      <c r="D836" s="33" t="str">
        <f ca="1">IFERROR(__xludf.DUMMYFUNCTION("""COMPUTED_VALUE"""),"PROPIOS")</f>
        <v>PROPIOS</v>
      </c>
      <c r="E836" s="33">
        <f ca="1">IFERROR(__xludf.DUMMYFUNCTION("""COMPUTED_VALUE"""),2026)</f>
        <v>2026</v>
      </c>
      <c r="F836" s="56">
        <f ca="1">IFERROR(__xludf.DUMMYFUNCTION("""COMPUTED_VALUE"""),4)</f>
        <v>4</v>
      </c>
      <c r="G836" s="33" t="str">
        <f ca="1">IFERROR(__xludf.DUMMYFUNCTION("""COMPUTED_VALUE"""),"San Javier")</f>
        <v>San Javier</v>
      </c>
      <c r="H836" s="33" t="str">
        <f ca="1">IFERROR(__xludf.DUMMYFUNCTION("""COMPUTED_VALUE"""),"C202633094649321590")</f>
        <v>C202633094649321590</v>
      </c>
      <c r="I836" s="33" t="str">
        <f ca="1">IFERROR(__xludf.DUMMYFUNCTION("""COMPUTED_VALUE"""),"RAFAEL SOTO BROCAL")</f>
        <v>RAFAEL SOTO BROCAL</v>
      </c>
      <c r="J836" s="57">
        <f ca="1">IFERROR(__xludf.DUMMYFUNCTION("""COMPUTED_VALUE"""),46111)</f>
        <v>46111</v>
      </c>
      <c r="K836" s="33" t="str">
        <f ca="1">IFERROR(__xludf.DUMMYFUNCTION("""COMPUTED_VALUE"""),"Pedido")</f>
        <v>Pedido</v>
      </c>
      <c r="L836" s="57">
        <f ca="1">IFERROR(__xludf.DUMMYFUNCTION("""COMPUTED_VALUE"""),46119)</f>
        <v>46119</v>
      </c>
      <c r="M836" s="64" t="str">
        <f ca="1">IFERROR(__xludf.DUMMYFUNCTION("""COMPUTED_VALUE"""),"NO")</f>
        <v>NO</v>
      </c>
      <c r="N836" s="56">
        <f ca="1">IFERROR(__xludf.DUMMYFUNCTION("""COMPUTED_VALUE"""),2)</f>
        <v>2</v>
      </c>
      <c r="O836" s="64" t="str">
        <f ca="1">IFERROR(__xludf.DUMMYFUNCTION("""COMPUTED_VALUE"""),"QUIET")</f>
        <v>QUIET</v>
      </c>
      <c r="P836" s="62">
        <f ca="1">IFERROR(__xludf.DUMMYFUNCTION("""COMPUTED_VALUE"""),2718.18)</f>
        <v>2718.18</v>
      </c>
      <c r="Q836" s="33" t="str">
        <f ca="1">IFERROR(__xludf.DUMMYFUNCTION("""COMPUTED_VALUE"""),"Iván Sánchez")</f>
        <v>Iván Sánchez</v>
      </c>
      <c r="R836" s="33" t="str">
        <f ca="1">IFERROR(__xludf.DUMMYFUNCTION("""COMPUTED_VALUE"""),"Dr, Andrés Barrios Recio")</f>
        <v>Dr, Andrés Barrios Recio</v>
      </c>
      <c r="S836" s="61" t="str">
        <f ca="1">IFERROR(__xludf.DUMMYFUNCTION("""COMPUTED_VALUE"""),"03 ORL")</f>
        <v>03 ORL</v>
      </c>
      <c r="T836" s="33" t="str">
        <f ca="1">IFERROR(__xludf.DUMMYFUNCTION("""COMPUTED_VALUE"""),"06 ORL")</f>
        <v>06 ORL</v>
      </c>
      <c r="U836" s="62"/>
      <c r="W836" s="61"/>
      <c r="X836" s="62"/>
    </row>
    <row r="837" spans="2:24" ht="16">
      <c r="B837" s="67" t="str">
        <f t="shared" ca="1" si="4"/>
        <v>#N/</v>
      </c>
      <c r="C837" s="64" t="str">
        <f ca="1">IFERROR(__xludf.DUMMYFUNCTION("""COMPUTED_VALUE"""),"#N/A")</f>
        <v>#N/A</v>
      </c>
      <c r="D837" s="33" t="str">
        <f ca="1">IFERROR(__xludf.DUMMYFUNCTION("""COMPUTED_VALUE"""),"PROPIOS")</f>
        <v>PROPIOS</v>
      </c>
      <c r="E837" s="33">
        <f ca="1">IFERROR(__xludf.DUMMYFUNCTION("""COMPUTED_VALUE"""),2026)</f>
        <v>2026</v>
      </c>
      <c r="F837" s="56">
        <f ca="1">IFERROR(__xludf.DUMMYFUNCTION("""COMPUTED_VALUE"""),3)</f>
        <v>3</v>
      </c>
      <c r="G837" s="33" t="str">
        <f ca="1">IFERROR(__xludf.DUMMYFUNCTION("""COMPUTED_VALUE"""),"San Javier")</f>
        <v>San Javier</v>
      </c>
      <c r="H837" s="33" t="str">
        <f ca="1">IFERROR(__xludf.DUMMYFUNCTION("""COMPUTED_VALUE"""),"C202631211219161293")</f>
        <v>C202631211219161293</v>
      </c>
      <c r="I837" s="33" t="str">
        <f ca="1">IFERROR(__xludf.DUMMYFUNCTION("""COMPUTED_VALUE"""),"SEBASTIAN FRANCISCO MARTINEZ GUILLEN")</f>
        <v>SEBASTIAN FRANCISCO MARTINEZ GUILLEN</v>
      </c>
      <c r="J837" s="57">
        <f ca="1">IFERROR(__xludf.DUMMYFUNCTION("""COMPUTED_VALUE"""),46093)</f>
        <v>46093</v>
      </c>
      <c r="K837" s="33" t="str">
        <f ca="1">IFERROR(__xludf.DUMMYFUNCTION("""COMPUTED_VALUE"""),"Prueba")</f>
        <v>Prueba</v>
      </c>
      <c r="L837" s="57">
        <f ca="1">IFERROR(__xludf.DUMMYFUNCTION("""COMPUTED_VALUE"""),46111)</f>
        <v>46111</v>
      </c>
      <c r="M837" s="64" t="str">
        <f ca="1">IFERROR(__xludf.DUMMYFUNCTION("""COMPUTED_VALUE"""),"NO")</f>
        <v>NO</v>
      </c>
      <c r="N837" s="56">
        <f ca="1">IFERROR(__xludf.DUMMYFUNCTION("""COMPUTED_VALUE"""),1)</f>
        <v>1</v>
      </c>
      <c r="O837" s="64" t="str">
        <f ca="1">IFERROR(__xludf.DUMMYFUNCTION("""COMPUTED_VALUE"""),"QUIET")</f>
        <v>QUIET</v>
      </c>
      <c r="P837" s="62">
        <f ca="1">IFERROR(__xludf.DUMMYFUNCTION("""COMPUTED_VALUE"""),1631.82)</f>
        <v>1631.82</v>
      </c>
      <c r="Q837" s="33" t="str">
        <f ca="1">IFERROR(__xludf.DUMMYFUNCTION("""COMPUTED_VALUE"""),"Iván Sánchez")</f>
        <v>Iván Sánchez</v>
      </c>
      <c r="R837" s="33" t="str">
        <f ca="1">IFERROR(__xludf.DUMMYFUNCTION("""COMPUTED_VALUE"""),"Dra, María Agustina Sevilla García")</f>
        <v>Dra, María Agustina Sevilla García</v>
      </c>
      <c r="S837" s="61" t="str">
        <f ca="1">IFERROR(__xludf.DUMMYFUNCTION("""COMPUTED_VALUE"""),"03 ORL")</f>
        <v>03 ORL</v>
      </c>
      <c r="T837" s="33" t="str">
        <f ca="1">IFERROR(__xludf.DUMMYFUNCTION("""COMPUTED_VALUE"""),"06 ORL")</f>
        <v>06 ORL</v>
      </c>
      <c r="U837" s="62"/>
      <c r="W837" s="61"/>
      <c r="X837" s="62"/>
    </row>
    <row r="838" spans="2:24" ht="16">
      <c r="B838" s="67" t="str">
        <f t="shared" ca="1" si="4"/>
        <v>#N/</v>
      </c>
      <c r="C838" s="64" t="str">
        <f ca="1">IFERROR(__xludf.DUMMYFUNCTION("""COMPUTED_VALUE"""),"#N/A")</f>
        <v>#N/A</v>
      </c>
      <c r="D838" s="33" t="str">
        <f ca="1">IFERROR(__xludf.DUMMYFUNCTION("""COMPUTED_VALUE"""),"PROPIOS")</f>
        <v>PROPIOS</v>
      </c>
      <c r="E838" s="33">
        <f ca="1">IFERROR(__xludf.DUMMYFUNCTION("""COMPUTED_VALUE"""),2026)</f>
        <v>2026</v>
      </c>
      <c r="F838" s="56">
        <f ca="1">IFERROR(__xludf.DUMMYFUNCTION("""COMPUTED_VALUE"""),2)</f>
        <v>2</v>
      </c>
      <c r="G838" s="33" t="str">
        <f ca="1">IFERROR(__xludf.DUMMYFUNCTION("""COMPUTED_VALUE"""),"San Javier")</f>
        <v>San Javier</v>
      </c>
      <c r="H838" s="33" t="str">
        <f ca="1">IFERROR(__xludf.DUMMYFUNCTION("""COMPUTED_VALUE"""),"MSJ-273")</f>
        <v>MSJ-273</v>
      </c>
      <c r="I838" s="33" t="str">
        <f ca="1">IFERROR(__xludf.DUMMYFUNCTION("""COMPUTED_VALUE"""),"VASIL POSESOR")</f>
        <v>VASIL POSESOR</v>
      </c>
      <c r="J838" s="57">
        <f ca="1">IFERROR(__xludf.DUMMYFUNCTION("""COMPUTED_VALUE"""),45275)</f>
        <v>45275</v>
      </c>
      <c r="K838" s="33" t="str">
        <f ca="1">IFERROR(__xludf.DUMMYFUNCTION("""COMPUTED_VALUE"""),"Presupuesto")</f>
        <v>Presupuesto</v>
      </c>
      <c r="L838" s="57">
        <f ca="1">IFERROR(__xludf.DUMMYFUNCTION("""COMPUTED_VALUE"""),46070)</f>
        <v>46070</v>
      </c>
      <c r="M838" s="64" t="str">
        <f ca="1">IFERROR(__xludf.DUMMYFUNCTION("""COMPUTED_VALUE"""),"NO")</f>
        <v>NO</v>
      </c>
      <c r="N838" s="56">
        <f ca="1">IFERROR(__xludf.DUMMYFUNCTION("""COMPUTED_VALUE"""),2)</f>
        <v>2</v>
      </c>
      <c r="O838" s="64" t="str">
        <f ca="1">IFERROR(__xludf.DUMMYFUNCTION("""COMPUTED_VALUE"""),"QUIET")</f>
        <v>QUIET</v>
      </c>
      <c r="P838" s="62">
        <f ca="1">IFERROR(__xludf.DUMMYFUNCTION("""COMPUTED_VALUE"""),2718.18)</f>
        <v>2718.18</v>
      </c>
      <c r="Q838" s="33" t="str">
        <f ca="1">IFERROR(__xludf.DUMMYFUNCTION("""COMPUTED_VALUE"""),"Iván Sánchez")</f>
        <v>Iván Sánchez</v>
      </c>
      <c r="R838" s="33" t="str">
        <f ca="1">IFERROR(__xludf.DUMMYFUNCTION("""COMPUTED_VALUE"""),"Dra, Ana Giribet Fernandez-Pacheco")</f>
        <v>Dra, Ana Giribet Fernandez-Pacheco</v>
      </c>
      <c r="S838" s="61" t="str">
        <f ca="1">IFERROR(__xludf.DUMMYFUNCTION("""COMPUTED_VALUE"""),"03 ORL")</f>
        <v>03 ORL</v>
      </c>
      <c r="T838" s="33" t="str">
        <f ca="1">IFERROR(__xludf.DUMMYFUNCTION("""COMPUTED_VALUE"""),"06 ORL")</f>
        <v>06 ORL</v>
      </c>
      <c r="U838" s="62"/>
      <c r="W838" s="61"/>
      <c r="X838" s="62"/>
    </row>
    <row r="839" spans="2:24" ht="16">
      <c r="B839" s="67" t="str">
        <f t="shared" ca="1" si="4"/>
        <v>#N/</v>
      </c>
      <c r="C839" s="64" t="str">
        <f ca="1">IFERROR(__xludf.DUMMYFUNCTION("""COMPUTED_VALUE"""),"#N/A")</f>
        <v>#N/A</v>
      </c>
      <c r="D839" s="33" t="str">
        <f ca="1">IFERROR(__xludf.DUMMYFUNCTION("""COMPUTED_VALUE"""),"PARTICIPADOS")</f>
        <v>PARTICIPADOS</v>
      </c>
      <c r="E839" s="33">
        <f ca="1">IFERROR(__xludf.DUMMYFUNCTION("""COMPUTED_VALUE"""),2026)</f>
        <v>2026</v>
      </c>
      <c r="F839" s="56">
        <f ca="1">IFERROR(__xludf.DUMMYFUNCTION("""COMPUTED_VALUE"""),3)</f>
        <v>3</v>
      </c>
      <c r="G839" s="33" t="str">
        <f ca="1">IFERROR(__xludf.DUMMYFUNCTION("""COMPUTED_VALUE"""),"Santiago de Compostela")</f>
        <v>Santiago de Compostela</v>
      </c>
      <c r="H839" s="33" t="str">
        <f ca="1">IFERROR(__xludf.DUMMYFUNCTION("""COMPUTED_VALUE"""),"C202632716273025096")</f>
        <v>C202632716273025096</v>
      </c>
      <c r="I839" s="33" t="str">
        <f ca="1">IFERROR(__xludf.DUMMYFUNCTION("""COMPUTED_VALUE"""),"MARIA DEL CARMEN GONZALEZ COUCEIRO")</f>
        <v>MARIA DEL CARMEN GONZALEZ COUCEIRO</v>
      </c>
      <c r="J839" s="57">
        <f ca="1">IFERROR(__xludf.DUMMYFUNCTION("""COMPUTED_VALUE"""),46108)</f>
        <v>46108</v>
      </c>
      <c r="K839" s="33" t="str">
        <f ca="1">IFERROR(__xludf.DUMMYFUNCTION("""COMPUTED_VALUE"""),"Devuelve")</f>
        <v>Devuelve</v>
      </c>
      <c r="L839" s="57">
        <f ca="1">IFERROR(__xludf.DUMMYFUNCTION("""COMPUTED_VALUE"""),46112)</f>
        <v>46112</v>
      </c>
      <c r="M839" s="64" t="str">
        <f ca="1">IFERROR(__xludf.DUMMYFUNCTION("""COMPUTED_VALUE"""),"NO")</f>
        <v>NO</v>
      </c>
      <c r="N839" s="56">
        <f ca="1">IFERROR(__xludf.DUMMYFUNCTION("""COMPUTED_VALUE"""),2)</f>
        <v>2</v>
      </c>
      <c r="O839" s="64" t="str">
        <f ca="1">IFERROR(__xludf.DUMMYFUNCTION("""COMPUTED_VALUE"""),"QUIET")</f>
        <v>QUIET</v>
      </c>
      <c r="P839" s="62">
        <f ca="1">IFERROR(__xludf.DUMMYFUNCTION("""COMPUTED_VALUE"""),2918.18)</f>
        <v>2918.18</v>
      </c>
      <c r="Q839" s="33" t="str">
        <f ca="1">IFERROR(__xludf.DUMMYFUNCTION("""COMPUTED_VALUE"""),"KiKo Ortega")</f>
        <v>KiKo Ortega</v>
      </c>
      <c r="R839" s="33" t="str">
        <f ca="1">IFERROR(__xludf.DUMMYFUNCTION("""COMPUTED_VALUE"""),"Dr, Gabriel Martínez Capoccini")</f>
        <v>Dr, Gabriel Martínez Capoccini</v>
      </c>
      <c r="S839" s="61" t="str">
        <f ca="1">IFERROR(__xludf.DUMMYFUNCTION("""COMPUTED_VALUE"""),"03 ORL")</f>
        <v>03 ORL</v>
      </c>
      <c r="T839" s="33" t="str">
        <f ca="1">IFERROR(__xludf.DUMMYFUNCTION("""COMPUTED_VALUE"""),"06 ORL")</f>
        <v>06 ORL</v>
      </c>
      <c r="U839" s="62"/>
      <c r="W839" s="61"/>
      <c r="X839" s="62"/>
    </row>
    <row r="840" spans="2:24" ht="16">
      <c r="B840" s="67" t="str">
        <f t="shared" ca="1" si="4"/>
        <v>#N/</v>
      </c>
      <c r="C840" s="64" t="str">
        <f ca="1">IFERROR(__xludf.DUMMYFUNCTION("""COMPUTED_VALUE"""),"#N/A")</f>
        <v>#N/A</v>
      </c>
      <c r="D840" s="33" t="str">
        <f ca="1">IFERROR(__xludf.DUMMYFUNCTION("""COMPUTED_VALUE"""),"PARTICIPADOS")</f>
        <v>PARTICIPADOS</v>
      </c>
      <c r="E840" s="33">
        <f ca="1">IFERROR(__xludf.DUMMYFUNCTION("""COMPUTED_VALUE"""),2026)</f>
        <v>2026</v>
      </c>
      <c r="F840" s="56">
        <f ca="1">IFERROR(__xludf.DUMMYFUNCTION("""COMPUTED_VALUE"""),2)</f>
        <v>2</v>
      </c>
      <c r="G840" s="33" t="str">
        <f ca="1">IFERROR(__xludf.DUMMYFUNCTION("""COMPUTED_VALUE"""),"Santiago de Compostela")</f>
        <v>Santiago de Compostela</v>
      </c>
      <c r="H840" s="33" t="str">
        <f ca="1">IFERROR(__xludf.DUMMYFUNCTION("""COMPUTED_VALUE"""),"C202622411389950624")</f>
        <v>C202622411389950624</v>
      </c>
      <c r="I840" s="33" t="str">
        <f ca="1">IFERROR(__xludf.DUMMYFUNCTION("""COMPUTED_VALUE"""),"RAUL DEL RIO CAMBEIRO")</f>
        <v>RAUL DEL RIO CAMBEIRO</v>
      </c>
      <c r="J840" s="57">
        <f ca="1">IFERROR(__xludf.DUMMYFUNCTION("""COMPUTED_VALUE"""),46077)</f>
        <v>46077</v>
      </c>
      <c r="K840" s="33" t="str">
        <f ca="1">IFERROR(__xludf.DUMMYFUNCTION("""COMPUTED_VALUE"""),"Presupuesto")</f>
        <v>Presupuesto</v>
      </c>
      <c r="L840" s="57">
        <f ca="1">IFERROR(__xludf.DUMMYFUNCTION("""COMPUTED_VALUE"""),46078)</f>
        <v>46078</v>
      </c>
      <c r="M840" s="64" t="str">
        <f ca="1">IFERROR(__xludf.DUMMYFUNCTION("""COMPUTED_VALUE"""),"NO")</f>
        <v>NO</v>
      </c>
      <c r="N840" s="56">
        <f ca="1">IFERROR(__xludf.DUMMYFUNCTION("""COMPUTED_VALUE"""),2)</f>
        <v>2</v>
      </c>
      <c r="O840" s="64" t="str">
        <f ca="1">IFERROR(__xludf.DUMMYFUNCTION("""COMPUTED_VALUE"""),"QUIET")</f>
        <v>QUIET</v>
      </c>
      <c r="P840" s="62">
        <f ca="1">IFERROR(__xludf.DUMMYFUNCTION("""COMPUTED_VALUE"""),2918.18)</f>
        <v>2918.18</v>
      </c>
      <c r="Q840" s="33" t="str">
        <f ca="1">IFERROR(__xludf.DUMMYFUNCTION("""COMPUTED_VALUE"""),"KiKo Ortega")</f>
        <v>KiKo Ortega</v>
      </c>
      <c r="R840" s="33" t="str">
        <f ca="1">IFERROR(__xludf.DUMMYFUNCTION("""COMPUTED_VALUE"""),"Dr, Sergio Codina Alonso")</f>
        <v>Dr, Sergio Codina Alonso</v>
      </c>
      <c r="S840" s="61" t="str">
        <f ca="1">IFERROR(__xludf.DUMMYFUNCTION("""COMPUTED_VALUE"""),"03 ORL")</f>
        <v>03 ORL</v>
      </c>
      <c r="T840" s="33" t="str">
        <f ca="1">IFERROR(__xludf.DUMMYFUNCTION("""COMPUTED_VALUE"""),"06 ORL")</f>
        <v>06 ORL</v>
      </c>
      <c r="U840" s="62"/>
      <c r="W840" s="61"/>
      <c r="X840" s="62"/>
    </row>
    <row r="841" spans="2:24" ht="16">
      <c r="B841" s="67" t="str">
        <f t="shared" ca="1" si="4"/>
        <v>#N/</v>
      </c>
      <c r="C841" s="64" t="str">
        <f ca="1">IFERROR(__xludf.DUMMYFUNCTION("""COMPUTED_VALUE"""),"#N/A")</f>
        <v>#N/A</v>
      </c>
      <c r="D841" s="33" t="str">
        <f ca="1">IFERROR(__xludf.DUMMYFUNCTION("""COMPUTED_VALUE"""),"PARTICIPADOS")</f>
        <v>PARTICIPADOS</v>
      </c>
      <c r="E841" s="33">
        <f ca="1">IFERROR(__xludf.DUMMYFUNCTION("""COMPUTED_VALUE"""),2026)</f>
        <v>2026</v>
      </c>
      <c r="F841" s="56">
        <f ca="1">IFERROR(__xludf.DUMMYFUNCTION("""COMPUTED_VALUE"""),3)</f>
        <v>3</v>
      </c>
      <c r="G841" s="33" t="str">
        <f ca="1">IFERROR(__xludf.DUMMYFUNCTION("""COMPUTED_VALUE"""),"Santiago de Compostela")</f>
        <v>Santiago de Compostela</v>
      </c>
      <c r="H841" s="33" t="str">
        <f ca="1">IFERROR(__xludf.DUMMYFUNCTION("""COMPUTED_VALUE"""),"CST-11")</f>
        <v>CST-11</v>
      </c>
      <c r="I841" s="33" t="str">
        <f ca="1">IFERROR(__xludf.DUMMYFUNCTION("""COMPUTED_VALUE"""),"ROGELIO FIGUEREDO JIMENEZ")</f>
        <v>ROGELIO FIGUEREDO JIMENEZ</v>
      </c>
      <c r="J841" s="57">
        <f ca="1">IFERROR(__xludf.DUMMYFUNCTION("""COMPUTED_VALUE"""),45106)</f>
        <v>45106</v>
      </c>
      <c r="K841" s="33" t="str">
        <f ca="1">IFERROR(__xludf.DUMMYFUNCTION("""COMPUTED_VALUE"""),"Presupuesto")</f>
        <v>Presupuesto</v>
      </c>
      <c r="L841" s="57">
        <f ca="1">IFERROR(__xludf.DUMMYFUNCTION("""COMPUTED_VALUE"""),46104)</f>
        <v>46104</v>
      </c>
      <c r="M841" s="64" t="str">
        <f ca="1">IFERROR(__xludf.DUMMYFUNCTION("""COMPUTED_VALUE"""),"NO")</f>
        <v>NO</v>
      </c>
      <c r="N841" s="56">
        <f ca="1">IFERROR(__xludf.DUMMYFUNCTION("""COMPUTED_VALUE"""),2)</f>
        <v>2</v>
      </c>
      <c r="O841" s="64" t="str">
        <f ca="1">IFERROR(__xludf.DUMMYFUNCTION("""COMPUTED_VALUE"""),"QUIET")</f>
        <v>QUIET</v>
      </c>
      <c r="P841" s="62">
        <f ca="1">IFERROR(__xludf.DUMMYFUNCTION("""COMPUTED_VALUE"""),2413.64)</f>
        <v>2413.64</v>
      </c>
      <c r="Q841" s="33" t="str">
        <f ca="1">IFERROR(__xludf.DUMMYFUNCTION("""COMPUTED_VALUE"""),"Iván Sánchez")</f>
        <v>Iván Sánchez</v>
      </c>
      <c r="R841" s="33" t="str">
        <f ca="1">IFERROR(__xludf.DUMMYFUNCTION("""COMPUTED_VALUE"""),"Dr, Borja Boronat Catalá")</f>
        <v>Dr, Borja Boronat Catalá</v>
      </c>
      <c r="S841" s="61" t="str">
        <f ca="1">IFERROR(__xludf.DUMMYFUNCTION("""COMPUTED_VALUE"""),"03 ORL")</f>
        <v>03 ORL</v>
      </c>
      <c r="T841" s="33" t="str">
        <f ca="1">IFERROR(__xludf.DUMMYFUNCTION("""COMPUTED_VALUE"""),"06 ORL")</f>
        <v>06 ORL</v>
      </c>
      <c r="U841" s="62"/>
      <c r="W841" s="61"/>
      <c r="X841" s="62"/>
    </row>
    <row r="842" spans="2:24" ht="16">
      <c r="B842" s="67" t="str">
        <f t="shared" ca="1" si="4"/>
        <v>#N/</v>
      </c>
      <c r="C842" s="64" t="str">
        <f ca="1">IFERROR(__xludf.DUMMYFUNCTION("""COMPUTED_VALUE"""),"#N/A")</f>
        <v>#N/A</v>
      </c>
      <c r="D842" s="33" t="str">
        <f ca="1">IFERROR(__xludf.DUMMYFUNCTION("""COMPUTED_VALUE"""),"ASOCIADOS")</f>
        <v>ASOCIADOS</v>
      </c>
      <c r="E842" s="33">
        <f ca="1">IFERROR(__xludf.DUMMYFUNCTION("""COMPUTED_VALUE"""),2026)</f>
        <v>2026</v>
      </c>
      <c r="F842" s="56">
        <f ca="1">IFERROR(__xludf.DUMMYFUNCTION("""COMPUTED_VALUE"""),3)</f>
        <v>3</v>
      </c>
      <c r="G842" s="33" t="str">
        <f ca="1">IFERROR(__xludf.DUMMYFUNCTION("""COMPUTED_VALUE"""),"Sevilla- Ciencias")</f>
        <v>Sevilla- Ciencias</v>
      </c>
      <c r="H842" s="33" t="str">
        <f ca="1">IFERROR(__xludf.DUMMYFUNCTION("""COMPUTED_VALUE"""),"C202631311575984288")</f>
        <v>C202631311575984288</v>
      </c>
      <c r="I842" s="33" t="str">
        <f ca="1">IFERROR(__xludf.DUMMYFUNCTION("""COMPUTED_VALUE"""),"ANA PINO MESA")</f>
        <v>ANA PINO MESA</v>
      </c>
      <c r="J842" s="57">
        <f ca="1">IFERROR(__xludf.DUMMYFUNCTION("""COMPUTED_VALUE"""),46094)</f>
        <v>46094</v>
      </c>
      <c r="K842" s="33" t="str">
        <f ca="1">IFERROR(__xludf.DUMMYFUNCTION("""COMPUTED_VALUE"""),"Prueba")</f>
        <v>Prueba</v>
      </c>
      <c r="L842" s="57">
        <f ca="1">IFERROR(__xludf.DUMMYFUNCTION("""COMPUTED_VALUE"""),46100)</f>
        <v>46100</v>
      </c>
      <c r="M842" s="64" t="str">
        <f ca="1">IFERROR(__xludf.DUMMYFUNCTION("""COMPUTED_VALUE"""),"NO")</f>
        <v>NO</v>
      </c>
      <c r="N842" s="56">
        <f ca="1">IFERROR(__xludf.DUMMYFUNCTION("""COMPUTED_VALUE"""),2)</f>
        <v>2</v>
      </c>
      <c r="O842" s="64" t="str">
        <f ca="1">IFERROR(__xludf.DUMMYFUNCTION("""COMPUTED_VALUE"""),"QUIET")</f>
        <v>QUIET</v>
      </c>
      <c r="P842" s="62">
        <f ca="1">IFERROR(__xludf.DUMMYFUNCTION("""COMPUTED_VALUE"""),2718.18)</f>
        <v>2718.18</v>
      </c>
      <c r="Q842" s="33" t="str">
        <f ca="1">IFERROR(__xludf.DUMMYFUNCTION("""COMPUTED_VALUE"""),"Luis Alberto Rodríguez")</f>
        <v>Luis Alberto Rodríguez</v>
      </c>
      <c r="R842" s="33" t="str">
        <f ca="1">IFERROR(__xludf.DUMMYFUNCTION("""COMPUTED_VALUE"""),"Dra, Lucia Prieto Sánchez de la Puerta")</f>
        <v>Dra, Lucia Prieto Sánchez de la Puerta</v>
      </c>
      <c r="S842" s="61" t="str">
        <f ca="1">IFERROR(__xludf.DUMMYFUNCTION("""COMPUTED_VALUE"""),"03 ORL")</f>
        <v>03 ORL</v>
      </c>
      <c r="T842" s="33" t="str">
        <f ca="1">IFERROR(__xludf.DUMMYFUNCTION("""COMPUTED_VALUE"""),"06 ORL")</f>
        <v>06 ORL</v>
      </c>
      <c r="U842" s="62"/>
      <c r="W842" s="61"/>
      <c r="X842" s="62"/>
    </row>
    <row r="843" spans="2:24" ht="16">
      <c r="B843" s="67" t="str">
        <f t="shared" ca="1" si="4"/>
        <v/>
      </c>
      <c r="C843" s="64"/>
      <c r="D843" s="33" t="str">
        <f ca="1">IFERROR(__xludf.DUMMYFUNCTION("""COMPUTED_VALUE"""),"ASOCIADOS")</f>
        <v>ASOCIADOS</v>
      </c>
      <c r="E843" s="33">
        <f ca="1">IFERROR(__xludf.DUMMYFUNCTION("""COMPUTED_VALUE"""),2026)</f>
        <v>2026</v>
      </c>
      <c r="F843" s="56">
        <f ca="1">IFERROR(__xludf.DUMMYFUNCTION("""COMPUTED_VALUE"""),1)</f>
        <v>1</v>
      </c>
      <c r="G843" s="33" t="str">
        <f ca="1">IFERROR(__xludf.DUMMYFUNCTION("""COMPUTED_VALUE"""),"Sevilla- Ciencias")</f>
        <v>Sevilla- Ciencias</v>
      </c>
      <c r="H843" s="33" t="str">
        <f ca="1">IFERROR(__xludf.DUMMYFUNCTION("""COMPUTED_VALUE"""),"C202512510153825258")</f>
        <v>C202512510153825258</v>
      </c>
      <c r="I843" s="33" t="str">
        <f ca="1">IFERROR(__xludf.DUMMYFUNCTION("""COMPUTED_VALUE"""),"BELKIS  CONTRERAS DE LOS SANTOS")</f>
        <v>BELKIS  CONTRERAS DE LOS SANTOS</v>
      </c>
      <c r="J843" s="57">
        <f ca="1">IFERROR(__xludf.DUMMYFUNCTION("""COMPUTED_VALUE"""),46044)</f>
        <v>46044</v>
      </c>
      <c r="K843" s="33" t="str">
        <f ca="1">IFERROR(__xludf.DUMMYFUNCTION("""COMPUTED_VALUE"""),"Presupuesto")</f>
        <v>Presupuesto</v>
      </c>
      <c r="L843" s="57">
        <f ca="1">IFERROR(__xludf.DUMMYFUNCTION("""COMPUTED_VALUE"""),46044)</f>
        <v>46044</v>
      </c>
      <c r="M843" s="64" t="str">
        <f ca="1">IFERROR(__xludf.DUMMYFUNCTION("""COMPUTED_VALUE"""),"NO")</f>
        <v>NO</v>
      </c>
      <c r="N843" s="56">
        <f ca="1">IFERROR(__xludf.DUMMYFUNCTION("""COMPUTED_VALUE"""),2)</f>
        <v>2</v>
      </c>
      <c r="O843" s="64" t="str">
        <f ca="1">IFERROR(__xludf.DUMMYFUNCTION("""COMPUTED_VALUE"""),"QUIET")</f>
        <v>QUIET</v>
      </c>
      <c r="P843" s="62">
        <f ca="1">IFERROR(__xludf.DUMMYFUNCTION("""COMPUTED_VALUE"""),2718.18)</f>
        <v>2718.18</v>
      </c>
      <c r="Q843" s="33" t="str">
        <f ca="1">IFERROR(__xludf.DUMMYFUNCTION("""COMPUTED_VALUE"""),"KiKo Ortega")</f>
        <v>KiKo Ortega</v>
      </c>
      <c r="R843" s="33" t="str">
        <f ca="1">IFERROR(__xludf.DUMMYFUNCTION("""COMPUTED_VALUE"""),"No recuerda ORL")</f>
        <v>No recuerda ORL</v>
      </c>
      <c r="S843" s="61" t="str">
        <f ca="1">IFERROR(__xludf.DUMMYFUNCTION("""COMPUTED_VALUE"""),"03 ORL")</f>
        <v>03 ORL</v>
      </c>
      <c r="T843" s="33" t="str">
        <f ca="1">IFERROR(__xludf.DUMMYFUNCTION("""COMPUTED_VALUE"""),"06 ORL")</f>
        <v>06 ORL</v>
      </c>
      <c r="U843" s="62"/>
      <c r="W843" s="61"/>
      <c r="X843" s="62"/>
    </row>
    <row r="844" spans="2:24" ht="16">
      <c r="B844" s="67" t="str">
        <f t="shared" ca="1" si="4"/>
        <v>#N/</v>
      </c>
      <c r="C844" s="64" t="str">
        <f ca="1">IFERROR(__xludf.DUMMYFUNCTION("""COMPUTED_VALUE"""),"#N/A")</f>
        <v>#N/A</v>
      </c>
      <c r="D844" s="33" t="str">
        <f ca="1">IFERROR(__xludf.DUMMYFUNCTION("""COMPUTED_VALUE"""),"ASOCIADOS")</f>
        <v>ASOCIADOS</v>
      </c>
      <c r="E844" s="33">
        <f ca="1">IFERROR(__xludf.DUMMYFUNCTION("""COMPUTED_VALUE"""),2026)</f>
        <v>2026</v>
      </c>
      <c r="F844" s="56">
        <f ca="1">IFERROR(__xludf.DUMMYFUNCTION("""COMPUTED_VALUE"""),3)</f>
        <v>3</v>
      </c>
      <c r="G844" s="33" t="str">
        <f ca="1">IFERROR(__xludf.DUMMYFUNCTION("""COMPUTED_VALUE"""),"Sevilla- Ciencias")</f>
        <v>Sevilla- Ciencias</v>
      </c>
      <c r="H844" s="33" t="str">
        <f ca="1">IFERROR(__xludf.DUMMYFUNCTION("""COMPUTED_VALUE"""),"C20263985046187697")</f>
        <v>C20263985046187697</v>
      </c>
      <c r="I844" s="33" t="str">
        <f ca="1">IFERROR(__xludf.DUMMYFUNCTION("""COMPUTED_VALUE"""),"CARMELO MARQUEZ FLORES")</f>
        <v>CARMELO MARQUEZ FLORES</v>
      </c>
      <c r="J844" s="57">
        <f ca="1">IFERROR(__xludf.DUMMYFUNCTION("""COMPUTED_VALUE"""),46090)</f>
        <v>46090</v>
      </c>
      <c r="K844" s="33" t="str">
        <f ca="1">IFERROR(__xludf.DUMMYFUNCTION("""COMPUTED_VALUE"""),"Prueba")</f>
        <v>Prueba</v>
      </c>
      <c r="L844" s="57">
        <f ca="1">IFERROR(__xludf.DUMMYFUNCTION("""COMPUTED_VALUE"""),46099)</f>
        <v>46099</v>
      </c>
      <c r="M844" s="64" t="str">
        <f ca="1">IFERROR(__xludf.DUMMYFUNCTION("""COMPUTED_VALUE"""),"NO")</f>
        <v>NO</v>
      </c>
      <c r="N844" s="56">
        <f ca="1">IFERROR(__xludf.DUMMYFUNCTION("""COMPUTED_VALUE"""),1)</f>
        <v>1</v>
      </c>
      <c r="O844" s="64" t="str">
        <f ca="1">IFERROR(__xludf.DUMMYFUNCTION("""COMPUTED_VALUE"""),"ADVANCED")</f>
        <v>ADVANCED</v>
      </c>
      <c r="P844" s="62">
        <f ca="1">IFERROR(__xludf.DUMMYFUNCTION("""COMPUTED_VALUE"""),2481.82)</f>
        <v>2481.8200000000002</v>
      </c>
      <c r="Q844" s="33" t="str">
        <f ca="1">IFERROR(__xludf.DUMMYFUNCTION("""COMPUTED_VALUE"""),"Luis Alberto Rodríguez")</f>
        <v>Luis Alberto Rodríguez</v>
      </c>
      <c r="R844" s="33" t="str">
        <f ca="1">IFERROR(__xludf.DUMMYFUNCTION("""COMPUTED_VALUE"""),"Dr, Jesús Crovato Rojas")</f>
        <v>Dr, Jesús Crovato Rojas</v>
      </c>
      <c r="S844" s="61" t="str">
        <f ca="1">IFERROR(__xludf.DUMMYFUNCTION("""COMPUTED_VALUE"""),"03 ORL")</f>
        <v>03 ORL</v>
      </c>
      <c r="T844" s="33" t="str">
        <f ca="1">IFERROR(__xludf.DUMMYFUNCTION("""COMPUTED_VALUE"""),"06 ORL")</f>
        <v>06 ORL</v>
      </c>
      <c r="U844" s="62"/>
      <c r="W844" s="61"/>
      <c r="X844" s="62"/>
    </row>
    <row r="845" spans="2:24" ht="16">
      <c r="B845" s="67" t="str">
        <f t="shared" ca="1" si="4"/>
        <v/>
      </c>
      <c r="C845" s="64"/>
      <c r="D845" s="33" t="str">
        <f ca="1">IFERROR(__xludf.DUMMYFUNCTION("""COMPUTED_VALUE"""),"ASOCIADOS")</f>
        <v>ASOCIADOS</v>
      </c>
      <c r="E845" s="33">
        <f ca="1">IFERROR(__xludf.DUMMYFUNCTION("""COMPUTED_VALUE"""),2026)</f>
        <v>2026</v>
      </c>
      <c r="F845" s="56">
        <f ca="1">IFERROR(__xludf.DUMMYFUNCTION("""COMPUTED_VALUE"""),2)</f>
        <v>2</v>
      </c>
      <c r="G845" s="33" t="str">
        <f ca="1">IFERROR(__xludf.DUMMYFUNCTION("""COMPUTED_VALUE"""),"Sevilla- Ciencias")</f>
        <v>Sevilla- Ciencias</v>
      </c>
      <c r="H845" s="33" t="str">
        <f ca="1">IFERROR(__xludf.DUMMYFUNCTION("""COMPUTED_VALUE"""),"C202612294832478593")</f>
        <v>C202612294832478593</v>
      </c>
      <c r="I845" s="33" t="str">
        <f ca="1">IFERROR(__xludf.DUMMYFUNCTION("""COMPUTED_VALUE"""),"FRANCISCO  FORTE GIL")</f>
        <v>FRANCISCO  FORTE GIL</v>
      </c>
      <c r="J845" s="57">
        <f ca="1">IFERROR(__xludf.DUMMYFUNCTION("""COMPUTED_VALUE"""),46044)</f>
        <v>46044</v>
      </c>
      <c r="K845" s="33" t="str">
        <f ca="1">IFERROR(__xludf.DUMMYFUNCTION("""COMPUTED_VALUE"""),"Devuelve")</f>
        <v>Devuelve</v>
      </c>
      <c r="L845" s="57">
        <f ca="1">IFERROR(__xludf.DUMMYFUNCTION("""COMPUTED_VALUE"""),46064)</f>
        <v>46064</v>
      </c>
      <c r="M845" s="64" t="str">
        <f ca="1">IFERROR(__xludf.DUMMYFUNCTION("""COMPUTED_VALUE"""),"NO")</f>
        <v>NO</v>
      </c>
      <c r="N845" s="56">
        <f ca="1">IFERROR(__xludf.DUMMYFUNCTION("""COMPUTED_VALUE"""),2)</f>
        <v>2</v>
      </c>
      <c r="O845" s="64" t="str">
        <f ca="1">IFERROR(__xludf.DUMMYFUNCTION("""COMPUTED_VALUE"""),"QUIET")</f>
        <v>QUIET</v>
      </c>
      <c r="P845" s="62">
        <f ca="1">IFERROR(__xludf.DUMMYFUNCTION("""COMPUTED_VALUE"""),2718.18)</f>
        <v>2718.18</v>
      </c>
      <c r="Q845" s="33" t="str">
        <f ca="1">IFERROR(__xludf.DUMMYFUNCTION("""COMPUTED_VALUE"""),"KiKo Ortega")</f>
        <v>KiKo Ortega</v>
      </c>
      <c r="R845" s="33" t="str">
        <f ca="1">IFERROR(__xludf.DUMMYFUNCTION("""COMPUTED_VALUE"""),"No recuerda ORL")</f>
        <v>No recuerda ORL</v>
      </c>
      <c r="S845" s="61" t="str">
        <f ca="1">IFERROR(__xludf.DUMMYFUNCTION("""COMPUTED_VALUE"""),"03 ORL")</f>
        <v>03 ORL</v>
      </c>
      <c r="T845" s="33" t="str">
        <f ca="1">IFERROR(__xludf.DUMMYFUNCTION("""COMPUTED_VALUE"""),"06 ORL")</f>
        <v>06 ORL</v>
      </c>
      <c r="U845" s="62"/>
      <c r="W845" s="61"/>
      <c r="X845" s="62"/>
    </row>
    <row r="846" spans="2:24" ht="16">
      <c r="B846" s="67" t="str">
        <f t="shared" ca="1" si="4"/>
        <v>#N/</v>
      </c>
      <c r="C846" s="64" t="str">
        <f ca="1">IFERROR(__xludf.DUMMYFUNCTION("""COMPUTED_VALUE"""),"#N/A")</f>
        <v>#N/A</v>
      </c>
      <c r="D846" s="33" t="str">
        <f ca="1">IFERROR(__xludf.DUMMYFUNCTION("""COMPUTED_VALUE"""),"ASOCIADOS")</f>
        <v>ASOCIADOS</v>
      </c>
      <c r="E846" s="33">
        <f ca="1">IFERROR(__xludf.DUMMYFUNCTION("""COMPUTED_VALUE"""),2026)</f>
        <v>2026</v>
      </c>
      <c r="F846" s="56">
        <f ca="1">IFERROR(__xludf.DUMMYFUNCTION("""COMPUTED_VALUE"""),2)</f>
        <v>2</v>
      </c>
      <c r="G846" s="33" t="str">
        <f ca="1">IFERROR(__xludf.DUMMYFUNCTION("""COMPUTED_VALUE"""),"Sevilla- Ciencias")</f>
        <v>Sevilla- Ciencias</v>
      </c>
      <c r="H846" s="33" t="str">
        <f ca="1">IFERROR(__xludf.DUMMYFUNCTION("""COMPUTED_VALUE"""),"C202625163141339203")</f>
        <v>C202625163141339203</v>
      </c>
      <c r="I846" s="33" t="str">
        <f ca="1">IFERROR(__xludf.DUMMYFUNCTION("""COMPUTED_VALUE"""),"JOSEFA  PEREZ MARTIN")</f>
        <v>JOSEFA  PEREZ MARTIN</v>
      </c>
      <c r="J846" s="57">
        <f ca="1">IFERROR(__xludf.DUMMYFUNCTION("""COMPUTED_VALUE"""),46058)</f>
        <v>46058</v>
      </c>
      <c r="K846" s="33" t="str">
        <f ca="1">IFERROR(__xludf.DUMMYFUNCTION("""COMPUTED_VALUE"""),"Devuelve")</f>
        <v>Devuelve</v>
      </c>
      <c r="L846" s="57">
        <f ca="1">IFERROR(__xludf.DUMMYFUNCTION("""COMPUTED_VALUE"""),46064)</f>
        <v>46064</v>
      </c>
      <c r="M846" s="64" t="str">
        <f ca="1">IFERROR(__xludf.DUMMYFUNCTION("""COMPUTED_VALUE"""),"NO")</f>
        <v>NO</v>
      </c>
      <c r="N846" s="56">
        <f ca="1">IFERROR(__xludf.DUMMYFUNCTION("""COMPUTED_VALUE"""),2)</f>
        <v>2</v>
      </c>
      <c r="O846" s="64" t="str">
        <f ca="1">IFERROR(__xludf.DUMMYFUNCTION("""COMPUTED_VALUE"""),"QUIET")</f>
        <v>QUIET</v>
      </c>
      <c r="P846" s="62">
        <f ca="1">IFERROR(__xludf.DUMMYFUNCTION("""COMPUTED_VALUE"""),2718.18)</f>
        <v>2718.18</v>
      </c>
      <c r="Q846" s="33" t="str">
        <f ca="1">IFERROR(__xludf.DUMMYFUNCTION("""COMPUTED_VALUE"""),"Luis Alberto Rodríguez")</f>
        <v>Luis Alberto Rodríguez</v>
      </c>
      <c r="R846" s="33" t="str">
        <f ca="1">IFERROR(__xludf.DUMMYFUNCTION("""COMPUTED_VALUE"""),"Dr, Ulises Bidón Gómez")</f>
        <v>Dr, Ulises Bidón Gómez</v>
      </c>
      <c r="S846" s="61" t="str">
        <f ca="1">IFERROR(__xludf.DUMMYFUNCTION("""COMPUTED_VALUE"""),"03 ORL")</f>
        <v>03 ORL</v>
      </c>
      <c r="T846" s="33" t="str">
        <f ca="1">IFERROR(__xludf.DUMMYFUNCTION("""COMPUTED_VALUE"""),"06 ORL")</f>
        <v>06 ORL</v>
      </c>
      <c r="U846" s="62"/>
      <c r="W846" s="61"/>
      <c r="X846" s="62"/>
    </row>
    <row r="847" spans="2:24" ht="16">
      <c r="B847" s="67" t="str">
        <f t="shared" ca="1" si="4"/>
        <v>#N/</v>
      </c>
      <c r="C847" s="64" t="str">
        <f ca="1">IFERROR(__xludf.DUMMYFUNCTION("""COMPUTED_VALUE"""),"#N/A")</f>
        <v>#N/A</v>
      </c>
      <c r="D847" s="33" t="str">
        <f ca="1">IFERROR(__xludf.DUMMYFUNCTION("""COMPUTED_VALUE"""),"ASOCIADOS")</f>
        <v>ASOCIADOS</v>
      </c>
      <c r="E847" s="33">
        <f ca="1">IFERROR(__xludf.DUMMYFUNCTION("""COMPUTED_VALUE"""),2026)</f>
        <v>2026</v>
      </c>
      <c r="F847" s="56">
        <f ca="1">IFERROR(__xludf.DUMMYFUNCTION("""COMPUTED_VALUE"""),3)</f>
        <v>3</v>
      </c>
      <c r="G847" s="33" t="str">
        <f ca="1">IFERROR(__xludf.DUMMYFUNCTION("""COMPUTED_VALUE"""),"Sevilla- Ciencias")</f>
        <v>Sevilla- Ciencias</v>
      </c>
      <c r="H847" s="33" t="str">
        <f ca="1">IFERROR(__xludf.DUMMYFUNCTION("""COMPUTED_VALUE"""),"C202639172625101640")</f>
        <v>C202639172625101640</v>
      </c>
      <c r="I847" s="33" t="str">
        <f ca="1">IFERROR(__xludf.DUMMYFUNCTION("""COMPUTED_VALUE"""),"JOSE PIÑA RUBIO")</f>
        <v>JOSE PIÑA RUBIO</v>
      </c>
      <c r="J847" s="57">
        <f ca="1">IFERROR(__xludf.DUMMYFUNCTION("""COMPUTED_VALUE"""),46090)</f>
        <v>46090</v>
      </c>
      <c r="K847" s="33" t="str">
        <f ca="1">IFERROR(__xludf.DUMMYFUNCTION("""COMPUTED_VALUE"""),"Prueba")</f>
        <v>Prueba</v>
      </c>
      <c r="L847" s="57">
        <f ca="1">IFERROR(__xludf.DUMMYFUNCTION("""COMPUTED_VALUE"""),46098)</f>
        <v>46098</v>
      </c>
      <c r="M847" s="64" t="str">
        <f ca="1">IFERROR(__xludf.DUMMYFUNCTION("""COMPUTED_VALUE"""),"NO")</f>
        <v>NO</v>
      </c>
      <c r="N847" s="56">
        <f ca="1">IFERROR(__xludf.DUMMYFUNCTION("""COMPUTED_VALUE"""),2)</f>
        <v>2</v>
      </c>
      <c r="O847" s="64" t="str">
        <f ca="1">IFERROR(__xludf.DUMMYFUNCTION("""COMPUTED_VALUE"""),"QUIET")</f>
        <v>QUIET</v>
      </c>
      <c r="P847" s="62">
        <f ca="1">IFERROR(__xludf.DUMMYFUNCTION("""COMPUTED_VALUE"""),2718.18)</f>
        <v>2718.18</v>
      </c>
      <c r="Q847" s="33" t="str">
        <f ca="1">IFERROR(__xludf.DUMMYFUNCTION("""COMPUTED_VALUE"""),"Luis Alberto Rodríguez")</f>
        <v>Luis Alberto Rodríguez</v>
      </c>
      <c r="R847" s="33" t="str">
        <f ca="1">IFERROR(__xludf.DUMMYFUNCTION("""COMPUTED_VALUE"""),"Dra, Estefanía Berrocal Postigo")</f>
        <v>Dra, Estefanía Berrocal Postigo</v>
      </c>
      <c r="S847" s="61" t="str">
        <f ca="1">IFERROR(__xludf.DUMMYFUNCTION("""COMPUTED_VALUE"""),"03 ORL")</f>
        <v>03 ORL</v>
      </c>
      <c r="T847" s="33" t="str">
        <f ca="1">IFERROR(__xludf.DUMMYFUNCTION("""COMPUTED_VALUE"""),"06 ORL")</f>
        <v>06 ORL</v>
      </c>
      <c r="U847" s="62"/>
      <c r="W847" s="61"/>
      <c r="X847" s="62"/>
    </row>
    <row r="848" spans="2:24" ht="16">
      <c r="B848" s="67" t="str">
        <f t="shared" ca="1" si="4"/>
        <v>#N/</v>
      </c>
      <c r="C848" s="64" t="str">
        <f ca="1">IFERROR(__xludf.DUMMYFUNCTION("""COMPUTED_VALUE"""),"#N/A")</f>
        <v>#N/A</v>
      </c>
      <c r="D848" s="33" t="str">
        <f ca="1">IFERROR(__xludf.DUMMYFUNCTION("""COMPUTED_VALUE"""),"ASOCIADOS")</f>
        <v>ASOCIADOS</v>
      </c>
      <c r="E848" s="33">
        <f ca="1">IFERROR(__xludf.DUMMYFUNCTION("""COMPUTED_VALUE"""),2026)</f>
        <v>2026</v>
      </c>
      <c r="F848" s="56">
        <f ca="1">IFERROR(__xludf.DUMMYFUNCTION("""COMPUTED_VALUE"""),3)</f>
        <v>3</v>
      </c>
      <c r="G848" s="33" t="str">
        <f ca="1">IFERROR(__xludf.DUMMYFUNCTION("""COMPUTED_VALUE"""),"Sevilla- Ciencias")</f>
        <v>Sevilla- Ciencias</v>
      </c>
      <c r="H848" s="33" t="str">
        <f ca="1">IFERROR(__xludf.DUMMYFUNCTION("""COMPUTED_VALUE"""),"C2026221849556447")</f>
        <v>C2026221849556447</v>
      </c>
      <c r="I848" s="33" t="str">
        <f ca="1">IFERROR(__xludf.DUMMYFUNCTION("""COMPUTED_VALUE"""),"MARIA DEL CARMEN  QUIROS CACHERO")</f>
        <v>MARIA DEL CARMEN  QUIROS CACHERO</v>
      </c>
      <c r="J848" s="57">
        <f ca="1">IFERROR(__xludf.DUMMYFUNCTION("""COMPUTED_VALUE"""),46055)</f>
        <v>46055</v>
      </c>
      <c r="K848" s="33" t="str">
        <f ca="1">IFERROR(__xludf.DUMMYFUNCTION("""COMPUTED_VALUE"""),"Prueba")</f>
        <v>Prueba</v>
      </c>
      <c r="L848" s="57">
        <f ca="1">IFERROR(__xludf.DUMMYFUNCTION("""COMPUTED_VALUE"""),46091)</f>
        <v>46091</v>
      </c>
      <c r="M848" s="64" t="str">
        <f ca="1">IFERROR(__xludf.DUMMYFUNCTION("""COMPUTED_VALUE"""),"NO")</f>
        <v>NO</v>
      </c>
      <c r="N848" s="56">
        <f ca="1">IFERROR(__xludf.DUMMYFUNCTION("""COMPUTED_VALUE"""),2)</f>
        <v>2</v>
      </c>
      <c r="O848" s="64" t="str">
        <f ca="1">IFERROR(__xludf.DUMMYFUNCTION("""COMPUTED_VALUE"""),"CONFORT")</f>
        <v>CONFORT</v>
      </c>
      <c r="P848" s="62">
        <f ca="1">IFERROR(__xludf.DUMMYFUNCTION("""COMPUTED_VALUE"""),3631.82)</f>
        <v>3631.82</v>
      </c>
      <c r="Q848" s="33" t="str">
        <f ca="1">IFERROR(__xludf.DUMMYFUNCTION("""COMPUTED_VALUE"""),"Luis Alberto Rodríguez")</f>
        <v>Luis Alberto Rodríguez</v>
      </c>
      <c r="R848" s="33" t="str">
        <f ca="1">IFERROR(__xludf.DUMMYFUNCTION("""COMPUTED_VALUE"""),"Dr, María Del Pilar Gómez Tapiador")</f>
        <v>Dr, María Del Pilar Gómez Tapiador</v>
      </c>
      <c r="S848" s="61" t="str">
        <f ca="1">IFERROR(__xludf.DUMMYFUNCTION("""COMPUTED_VALUE"""),"03 ORL")</f>
        <v>03 ORL</v>
      </c>
      <c r="T848" s="33" t="str">
        <f ca="1">IFERROR(__xludf.DUMMYFUNCTION("""COMPUTED_VALUE"""),"06 ORL")</f>
        <v>06 ORL</v>
      </c>
      <c r="U848" s="62"/>
      <c r="W848" s="61"/>
      <c r="X848" s="62"/>
    </row>
    <row r="849" spans="2:24" ht="16">
      <c r="B849" s="67" t="str">
        <f t="shared" ca="1" si="4"/>
        <v>#N/</v>
      </c>
      <c r="C849" s="64" t="str">
        <f ca="1">IFERROR(__xludf.DUMMYFUNCTION("""COMPUTED_VALUE"""),"#N/A")</f>
        <v>#N/A</v>
      </c>
      <c r="D849" s="33" t="str">
        <f ca="1">IFERROR(__xludf.DUMMYFUNCTION("""COMPUTED_VALUE"""),"ASOCIADOS")</f>
        <v>ASOCIADOS</v>
      </c>
      <c r="E849" s="33">
        <f ca="1">IFERROR(__xludf.DUMMYFUNCTION("""COMPUTED_VALUE"""),2026)</f>
        <v>2026</v>
      </c>
      <c r="F849" s="56">
        <f ca="1">IFERROR(__xludf.DUMMYFUNCTION("""COMPUTED_VALUE"""),4)</f>
        <v>4</v>
      </c>
      <c r="G849" s="33" t="str">
        <f ca="1">IFERROR(__xludf.DUMMYFUNCTION("""COMPUTED_VALUE"""),"Sevilla- Ciencias")</f>
        <v>Sevilla- Ciencias</v>
      </c>
      <c r="H849" s="33" t="str">
        <f ca="1">IFERROR(__xludf.DUMMYFUNCTION("""COMPUTED_VALUE"""),"C202632311104733597")</f>
        <v>C202632311104733597</v>
      </c>
      <c r="I849" s="33" t="str">
        <f ca="1">IFERROR(__xludf.DUMMYFUNCTION("""COMPUTED_VALUE"""),"MARTA CARNEIRO COPADO")</f>
        <v>MARTA CARNEIRO COPADO</v>
      </c>
      <c r="J849" s="57">
        <f ca="1">IFERROR(__xludf.DUMMYFUNCTION("""COMPUTED_VALUE"""),46104)</f>
        <v>46104</v>
      </c>
      <c r="K849" s="33" t="str">
        <f ca="1">IFERROR(__xludf.DUMMYFUNCTION("""COMPUTED_VALUE"""),"Prueba")</f>
        <v>Prueba</v>
      </c>
      <c r="L849" s="57">
        <f ca="1">IFERROR(__xludf.DUMMYFUNCTION("""COMPUTED_VALUE"""),46118)</f>
        <v>46118</v>
      </c>
      <c r="M849" s="64" t="str">
        <f ca="1">IFERROR(__xludf.DUMMYFUNCTION("""COMPUTED_VALUE"""),"NO")</f>
        <v>NO</v>
      </c>
      <c r="N849" s="56">
        <f ca="1">IFERROR(__xludf.DUMMYFUNCTION("""COMPUTED_VALUE"""),1)</f>
        <v>1</v>
      </c>
      <c r="O849" s="64" t="str">
        <f ca="1">IFERROR(__xludf.DUMMYFUNCTION("""COMPUTED_VALUE"""),"CONFORT")</f>
        <v>CONFORT</v>
      </c>
      <c r="P849" s="62">
        <f ca="1">IFERROR(__xludf.DUMMYFUNCTION("""COMPUTED_VALUE"""),2180.91)</f>
        <v>2180.91</v>
      </c>
      <c r="Q849" s="33" t="str">
        <f ca="1">IFERROR(__xludf.DUMMYFUNCTION("""COMPUTED_VALUE"""),"Luis Alberto Rodríguez")</f>
        <v>Luis Alberto Rodríguez</v>
      </c>
      <c r="R849" s="33" t="str">
        <f ca="1">IFERROR(__xludf.DUMMYFUNCTION("""COMPUTED_VALUE"""),"Dr, Francisco Javier Aguilar Vera")</f>
        <v>Dr, Francisco Javier Aguilar Vera</v>
      </c>
      <c r="S849" s="61" t="str">
        <f ca="1">IFERROR(__xludf.DUMMYFUNCTION("""COMPUTED_VALUE"""),"03 ORL")</f>
        <v>03 ORL</v>
      </c>
      <c r="T849" s="33" t="str">
        <f ca="1">IFERROR(__xludf.DUMMYFUNCTION("""COMPUTED_VALUE"""),"06 ORL")</f>
        <v>06 ORL</v>
      </c>
      <c r="U849" s="62"/>
      <c r="W849" s="61"/>
      <c r="X849" s="62"/>
    </row>
    <row r="850" spans="2:24" ht="16">
      <c r="B850" s="67" t="str">
        <f t="shared" ca="1" si="4"/>
        <v>#N/</v>
      </c>
      <c r="C850" s="64" t="str">
        <f ca="1">IFERROR(__xludf.DUMMYFUNCTION("""COMPUTED_VALUE"""),"#N/A")</f>
        <v>#N/A</v>
      </c>
      <c r="D850" s="33" t="str">
        <f ca="1">IFERROR(__xludf.DUMMYFUNCTION("""COMPUTED_VALUE"""),"ASOCIADOS")</f>
        <v>ASOCIADOS</v>
      </c>
      <c r="E850" s="33">
        <f ca="1">IFERROR(__xludf.DUMMYFUNCTION("""COMPUTED_VALUE"""),2026)</f>
        <v>2026</v>
      </c>
      <c r="F850" s="56">
        <f ca="1">IFERROR(__xludf.DUMMYFUNCTION("""COMPUTED_VALUE"""),3)</f>
        <v>3</v>
      </c>
      <c r="G850" s="33" t="str">
        <f ca="1">IFERROR(__xludf.DUMMYFUNCTION("""COMPUTED_VALUE"""),"Sevilla- Ciencias")</f>
        <v>Sevilla- Ciencias</v>
      </c>
      <c r="H850" s="33" t="str">
        <f ca="1">IFERROR(__xludf.DUMMYFUNCTION("""COMPUTED_VALUE"""),"C202612117425843080")</f>
        <v>C202612117425843080</v>
      </c>
      <c r="I850" s="33" t="str">
        <f ca="1">IFERROR(__xludf.DUMMYFUNCTION("""COMPUTED_VALUE"""),"SONIA MARQUEZ PINTO")</f>
        <v>SONIA MARQUEZ PINTO</v>
      </c>
      <c r="J850" s="57">
        <f ca="1">IFERROR(__xludf.DUMMYFUNCTION("""COMPUTED_VALUE"""),46043)</f>
        <v>46043</v>
      </c>
      <c r="K850" s="33" t="str">
        <f ca="1">IFERROR(__xludf.DUMMYFUNCTION("""COMPUTED_VALUE"""),"Prueba")</f>
        <v>Prueba</v>
      </c>
      <c r="L850" s="57">
        <f ca="1">IFERROR(__xludf.DUMMYFUNCTION("""COMPUTED_VALUE"""),46106)</f>
        <v>46106</v>
      </c>
      <c r="M850" s="64" t="str">
        <f ca="1">IFERROR(__xludf.DUMMYFUNCTION("""COMPUTED_VALUE"""),"NO")</f>
        <v>NO</v>
      </c>
      <c r="N850" s="56">
        <f ca="1">IFERROR(__xludf.DUMMYFUNCTION("""COMPUTED_VALUE"""),2)</f>
        <v>2</v>
      </c>
      <c r="O850" s="64" t="str">
        <f ca="1">IFERROR(__xludf.DUMMYFUNCTION("""COMPUTED_VALUE"""),"QUIET")</f>
        <v>QUIET</v>
      </c>
      <c r="P850" s="62">
        <f ca="1">IFERROR(__xludf.DUMMYFUNCTION("""COMPUTED_VALUE"""),2718.18)</f>
        <v>2718.18</v>
      </c>
      <c r="Q850" s="33" t="str">
        <f ca="1">IFERROR(__xludf.DUMMYFUNCTION("""COMPUTED_VALUE"""),"Luis Alberto Rodríguez")</f>
        <v>Luis Alberto Rodríguez</v>
      </c>
      <c r="R850" s="33" t="str">
        <f ca="1">IFERROR(__xludf.DUMMYFUNCTION("""COMPUTED_VALUE"""),"Dr, Manuel Silva Grosso")</f>
        <v>Dr, Manuel Silva Grosso</v>
      </c>
      <c r="S850" s="61" t="str">
        <f ca="1">IFERROR(__xludf.DUMMYFUNCTION("""COMPUTED_VALUE"""),"03 ORL")</f>
        <v>03 ORL</v>
      </c>
      <c r="T850" s="33" t="str">
        <f ca="1">IFERROR(__xludf.DUMMYFUNCTION("""COMPUTED_VALUE"""),"06 ORL")</f>
        <v>06 ORL</v>
      </c>
      <c r="U850" s="62"/>
      <c r="W850" s="61"/>
      <c r="X850" s="62"/>
    </row>
    <row r="851" spans="2:24" ht="16">
      <c r="B851" s="67" t="str">
        <f t="shared" ca="1" si="4"/>
        <v>#N/</v>
      </c>
      <c r="C851" s="64" t="str">
        <f ca="1">IFERROR(__xludf.DUMMYFUNCTION("""COMPUTED_VALUE"""),"#N/A")</f>
        <v>#N/A</v>
      </c>
      <c r="D851" s="33" t="str">
        <f ca="1">IFERROR(__xludf.DUMMYFUNCTION("""COMPUTED_VALUE"""),"PROPIOS")</f>
        <v>PROPIOS</v>
      </c>
      <c r="E851" s="33">
        <f ca="1">IFERROR(__xludf.DUMMYFUNCTION("""COMPUTED_VALUE"""),2026)</f>
        <v>2026</v>
      </c>
      <c r="F851" s="56">
        <f ca="1">IFERROR(__xludf.DUMMYFUNCTION("""COMPUTED_VALUE"""),3)</f>
        <v>3</v>
      </c>
      <c r="G851" s="33" t="str">
        <f ca="1">IFERROR(__xludf.DUMMYFUNCTION("""COMPUTED_VALUE"""),"Sevilla- Montoto")</f>
        <v>Sevilla- Montoto</v>
      </c>
      <c r="H851" s="33" t="str">
        <f ca="1">IFERROR(__xludf.DUMMYFUNCTION("""COMPUTED_VALUE"""),"C20263109217184984")</f>
        <v>C20263109217184984</v>
      </c>
      <c r="I851" s="33" t="str">
        <f ca="1">IFERROR(__xludf.DUMMYFUNCTION("""COMPUTED_VALUE"""),"AGUSTINA CARMONA CALVO")</f>
        <v>AGUSTINA CARMONA CALVO</v>
      </c>
      <c r="J851" s="57">
        <f ca="1">IFERROR(__xludf.DUMMYFUNCTION("""COMPUTED_VALUE"""),46091)</f>
        <v>46091</v>
      </c>
      <c r="K851" s="33" t="str">
        <f ca="1">IFERROR(__xludf.DUMMYFUNCTION("""COMPUTED_VALUE"""),"Prueba")</f>
        <v>Prueba</v>
      </c>
      <c r="L851" s="57">
        <f ca="1">IFERROR(__xludf.DUMMYFUNCTION("""COMPUTED_VALUE"""),46105)</f>
        <v>46105</v>
      </c>
      <c r="M851" s="64" t="str">
        <f ca="1">IFERROR(__xludf.DUMMYFUNCTION("""COMPUTED_VALUE"""),"NO")</f>
        <v>NO</v>
      </c>
      <c r="N851" s="56">
        <f ca="1">IFERROR(__xludf.DUMMYFUNCTION("""COMPUTED_VALUE"""),2)</f>
        <v>2</v>
      </c>
      <c r="O851" s="64" t="str">
        <f ca="1">IFERROR(__xludf.DUMMYFUNCTION("""COMPUTED_VALUE"""),"CONFORT")</f>
        <v>CONFORT</v>
      </c>
      <c r="P851" s="62">
        <f ca="1">IFERROR(__xludf.DUMMYFUNCTION("""COMPUTED_VALUE"""),3631.82)</f>
        <v>3631.82</v>
      </c>
      <c r="Q851" s="33" t="str">
        <f ca="1">IFERROR(__xludf.DUMMYFUNCTION("""COMPUTED_VALUE"""),"Luis Alberto Rodríguez")</f>
        <v>Luis Alberto Rodríguez</v>
      </c>
      <c r="R851" s="33" t="str">
        <f ca="1">IFERROR(__xludf.DUMMYFUNCTION("""COMPUTED_VALUE"""),"Dr, Jesús López Palomo")</f>
        <v>Dr, Jesús López Palomo</v>
      </c>
      <c r="S851" s="61" t="str">
        <f ca="1">IFERROR(__xludf.DUMMYFUNCTION("""COMPUTED_VALUE"""),"03 ORL")</f>
        <v>03 ORL</v>
      </c>
      <c r="T851" s="33" t="str">
        <f ca="1">IFERROR(__xludf.DUMMYFUNCTION("""COMPUTED_VALUE"""),"06 ORL")</f>
        <v>06 ORL</v>
      </c>
      <c r="U851" s="62"/>
      <c r="W851" s="61"/>
      <c r="X851" s="62"/>
    </row>
    <row r="852" spans="2:24" ht="16">
      <c r="B852" s="67" t="str">
        <f t="shared" ca="1" si="4"/>
        <v/>
      </c>
      <c r="C852" s="64"/>
      <c r="D852" s="33" t="str">
        <f ca="1">IFERROR(__xludf.DUMMYFUNCTION("""COMPUTED_VALUE"""),"PROPIOS")</f>
        <v>PROPIOS</v>
      </c>
      <c r="E852" s="33">
        <f ca="1">IFERROR(__xludf.DUMMYFUNCTION("""COMPUTED_VALUE"""),2026)</f>
        <v>2026</v>
      </c>
      <c r="F852" s="56">
        <f ca="1">IFERROR(__xludf.DUMMYFUNCTION("""COMPUTED_VALUE"""),3)</f>
        <v>3</v>
      </c>
      <c r="G852" s="33" t="str">
        <f ca="1">IFERROR(__xludf.DUMMYFUNCTION("""COMPUTED_VALUE"""),"Sevilla- Montoto")</f>
        <v>Sevilla- Montoto</v>
      </c>
      <c r="H852" s="33" t="str">
        <f ca="1">IFERROR(__xludf.DUMMYFUNCTION("""COMPUTED_VALUE"""),"C202632712242970709")</f>
        <v>C202632712242970709</v>
      </c>
      <c r="I852" s="33" t="str">
        <f ca="1">IFERROR(__xludf.DUMMYFUNCTION("""COMPUTED_VALUE"""),"ANDRES ROJANO MOLINA")</f>
        <v>ANDRES ROJANO MOLINA</v>
      </c>
      <c r="J852" s="57">
        <f ca="1">IFERROR(__xludf.DUMMYFUNCTION("""COMPUTED_VALUE"""),46108)</f>
        <v>46108</v>
      </c>
      <c r="K852" s="33" t="str">
        <f ca="1">IFERROR(__xludf.DUMMYFUNCTION("""COMPUTED_VALUE"""),"Prueba")</f>
        <v>Prueba</v>
      </c>
      <c r="L852" s="57">
        <f ca="1">IFERROR(__xludf.DUMMYFUNCTION("""COMPUTED_VALUE"""),46112)</f>
        <v>46112</v>
      </c>
      <c r="M852" s="64" t="str">
        <f ca="1">IFERROR(__xludf.DUMMYFUNCTION("""COMPUTED_VALUE"""),"NO")</f>
        <v>NO</v>
      </c>
      <c r="N852" s="56">
        <f ca="1">IFERROR(__xludf.DUMMYFUNCTION("""COMPUTED_VALUE"""),1)</f>
        <v>1</v>
      </c>
      <c r="O852" s="64" t="str">
        <f ca="1">IFERROR(__xludf.DUMMYFUNCTION("""COMPUTED_VALUE"""),"TRIAL")</f>
        <v>TRIAL</v>
      </c>
      <c r="P852" s="62">
        <f ca="1">IFERROR(__xludf.DUMMYFUNCTION("""COMPUTED_VALUE"""),2481.82)</f>
        <v>2481.8200000000002</v>
      </c>
      <c r="Q852" s="33" t="str">
        <f ca="1">IFERROR(__xludf.DUMMYFUNCTION("""COMPUTED_VALUE"""),"Luis Alberto Rodríguez")</f>
        <v>Luis Alberto Rodríguez</v>
      </c>
      <c r="R852" s="33" t="str">
        <f ca="1">IFERROR(__xludf.DUMMYFUNCTION("""COMPUTED_VALUE"""),"No recuerda ORL")</f>
        <v>No recuerda ORL</v>
      </c>
      <c r="S852" s="61" t="str">
        <f ca="1">IFERROR(__xludf.DUMMYFUNCTION("""COMPUTED_VALUE"""),"03 ORL")</f>
        <v>03 ORL</v>
      </c>
      <c r="T852" s="33" t="str">
        <f ca="1">IFERROR(__xludf.DUMMYFUNCTION("""COMPUTED_VALUE"""),"06 ORL")</f>
        <v>06 ORL</v>
      </c>
      <c r="U852" s="62"/>
      <c r="W852" s="61"/>
      <c r="X852" s="62"/>
    </row>
    <row r="853" spans="2:24" ht="16">
      <c r="B853" s="67" t="str">
        <f t="shared" ca="1" si="4"/>
        <v>#N/</v>
      </c>
      <c r="C853" s="64" t="str">
        <f ca="1">IFERROR(__xludf.DUMMYFUNCTION("""COMPUTED_VALUE"""),"#N/A")</f>
        <v>#N/A</v>
      </c>
      <c r="D853" s="33" t="str">
        <f ca="1">IFERROR(__xludf.DUMMYFUNCTION("""COMPUTED_VALUE"""),"PROPIOS")</f>
        <v>PROPIOS</v>
      </c>
      <c r="E853" s="33">
        <f ca="1">IFERROR(__xludf.DUMMYFUNCTION("""COMPUTED_VALUE"""),2026)</f>
        <v>2026</v>
      </c>
      <c r="F853" s="56">
        <f ca="1">IFERROR(__xludf.DUMMYFUNCTION("""COMPUTED_VALUE"""),3)</f>
        <v>3</v>
      </c>
      <c r="G853" s="33" t="str">
        <f ca="1">IFERROR(__xludf.DUMMYFUNCTION("""COMPUTED_VALUE"""),"Sevilla- Montoto")</f>
        <v>Sevilla- Montoto</v>
      </c>
      <c r="H853" s="33" t="str">
        <f ca="1">IFERROR(__xludf.DUMMYFUNCTION("""COMPUTED_VALUE"""),"C202511261759871050")</f>
        <v>C202511261759871050</v>
      </c>
      <c r="I853" s="33" t="str">
        <f ca="1">IFERROR(__xludf.DUMMYFUNCTION("""COMPUTED_VALUE"""),"ANTONIO MOLINA VALIENTE")</f>
        <v>ANTONIO MOLINA VALIENTE</v>
      </c>
      <c r="J853" s="57">
        <f ca="1">IFERROR(__xludf.DUMMYFUNCTION("""COMPUTED_VALUE"""),45987)</f>
        <v>45987</v>
      </c>
      <c r="K853" s="33" t="str">
        <f ca="1">IFERROR(__xludf.DUMMYFUNCTION("""COMPUTED_VALUE"""),"Pedido")</f>
        <v>Pedido</v>
      </c>
      <c r="L853" s="57">
        <f ca="1">IFERROR(__xludf.DUMMYFUNCTION("""COMPUTED_VALUE"""),46099)</f>
        <v>46099</v>
      </c>
      <c r="M853" s="64" t="str">
        <f ca="1">IFERROR(__xludf.DUMMYFUNCTION("""COMPUTED_VALUE"""),"SI")</f>
        <v>SI</v>
      </c>
      <c r="N853" s="56">
        <f ca="1">IFERROR(__xludf.DUMMYFUNCTION("""COMPUTED_VALUE"""),1)</f>
        <v>1</v>
      </c>
      <c r="O853" s="64" t="str">
        <f ca="1">IFERROR(__xludf.DUMMYFUNCTION("""COMPUTED_VALUE"""),"QUIET")</f>
        <v>QUIET</v>
      </c>
      <c r="P853" s="62">
        <f ca="1">IFERROR(__xludf.DUMMYFUNCTION("""COMPUTED_VALUE"""),1305.45)</f>
        <v>1305.45</v>
      </c>
      <c r="Q853" s="33" t="str">
        <f ca="1">IFERROR(__xludf.DUMMYFUNCTION("""COMPUTED_VALUE"""),"Luis Alberto Rodríguez")</f>
        <v>Luis Alberto Rodríguez</v>
      </c>
      <c r="R853" s="33" t="str">
        <f ca="1">IFERROR(__xludf.DUMMYFUNCTION("""COMPUTED_VALUE"""),"Dra, Estefanía Berrocal Postigo")</f>
        <v>Dra, Estefanía Berrocal Postigo</v>
      </c>
      <c r="S853" s="61" t="str">
        <f ca="1">IFERROR(__xludf.DUMMYFUNCTION("""COMPUTED_VALUE"""),"04 TIENDA")</f>
        <v>04 TIENDA</v>
      </c>
      <c r="T853" s="33" t="str">
        <f ca="1">IFERROR(__xludf.DUMMYFUNCTION("""COMPUTED_VALUE"""),"07 BOCA/BOCA")</f>
        <v>07 BOCA/BOCA</v>
      </c>
      <c r="U853" s="62"/>
      <c r="W853" s="61"/>
      <c r="X853" s="62"/>
    </row>
    <row r="854" spans="2:24" ht="16">
      <c r="B854" s="67" t="str">
        <f t="shared" ca="1" si="4"/>
        <v>#N/</v>
      </c>
      <c r="C854" s="64" t="str">
        <f ca="1">IFERROR(__xludf.DUMMYFUNCTION("""COMPUTED_VALUE"""),"#N/A")</f>
        <v>#N/A</v>
      </c>
      <c r="D854" s="33" t="str">
        <f ca="1">IFERROR(__xludf.DUMMYFUNCTION("""COMPUTED_VALUE"""),"PROPIOS")</f>
        <v>PROPIOS</v>
      </c>
      <c r="E854" s="33">
        <f ca="1">IFERROR(__xludf.DUMMYFUNCTION("""COMPUTED_VALUE"""),2026)</f>
        <v>2026</v>
      </c>
      <c r="F854" s="56">
        <f ca="1">IFERROR(__xludf.DUMMYFUNCTION("""COMPUTED_VALUE"""),3)</f>
        <v>3</v>
      </c>
      <c r="G854" s="33" t="str">
        <f ca="1">IFERROR(__xludf.DUMMYFUNCTION("""COMPUTED_VALUE"""),"Sevilla- Montoto")</f>
        <v>Sevilla- Montoto</v>
      </c>
      <c r="H854" s="33" t="str">
        <f ca="1">IFERROR(__xludf.DUMMYFUNCTION("""COMPUTED_VALUE"""),"C202622316572141724")</f>
        <v>C202622316572141724</v>
      </c>
      <c r="I854" s="33" t="str">
        <f ca="1">IFERROR(__xludf.DUMMYFUNCTION("""COMPUTED_VALUE"""),"ANTONIO PORTILLO FRANCO")</f>
        <v>ANTONIO PORTILLO FRANCO</v>
      </c>
      <c r="J854" s="57">
        <f ca="1">IFERROR(__xludf.DUMMYFUNCTION("""COMPUTED_VALUE"""),46076)</f>
        <v>46076</v>
      </c>
      <c r="K854" s="33" t="str">
        <f ca="1">IFERROR(__xludf.DUMMYFUNCTION("""COMPUTED_VALUE"""),"Devuelve")</f>
        <v>Devuelve</v>
      </c>
      <c r="L854" s="57">
        <f ca="1">IFERROR(__xludf.DUMMYFUNCTION("""COMPUTED_VALUE"""),46093)</f>
        <v>46093</v>
      </c>
      <c r="M854" s="64" t="str">
        <f ca="1">IFERROR(__xludf.DUMMYFUNCTION("""COMPUTED_VALUE"""),"NO")</f>
        <v>NO</v>
      </c>
      <c r="N854" s="56">
        <f ca="1">IFERROR(__xludf.DUMMYFUNCTION("""COMPUTED_VALUE"""),2)</f>
        <v>2</v>
      </c>
      <c r="O854" s="64" t="str">
        <f ca="1">IFERROR(__xludf.DUMMYFUNCTION("""COMPUTED_VALUE"""),"TRIAL")</f>
        <v>TRIAL</v>
      </c>
      <c r="P854" s="62">
        <f ca="1">IFERROR(__xludf.DUMMYFUNCTION("""COMPUTED_VALUE"""),3631.81)</f>
        <v>3631.81</v>
      </c>
      <c r="Q854" s="33" t="str">
        <f ca="1">IFERROR(__xludf.DUMMYFUNCTION("""COMPUTED_VALUE"""),"Luis Alberto Rodríguez")</f>
        <v>Luis Alberto Rodríguez</v>
      </c>
      <c r="R854" s="33" t="str">
        <f ca="1">IFERROR(__xludf.DUMMYFUNCTION("""COMPUTED_VALUE"""),"Dr, Juan Miguel jiménez Morales")</f>
        <v>Dr, Juan Miguel jiménez Morales</v>
      </c>
      <c r="S854" s="61" t="str">
        <f ca="1">IFERROR(__xludf.DUMMYFUNCTION("""COMPUTED_VALUE"""),"03 ORL")</f>
        <v>03 ORL</v>
      </c>
      <c r="T854" s="33" t="str">
        <f ca="1">IFERROR(__xludf.DUMMYFUNCTION("""COMPUTED_VALUE"""),"06 ORL")</f>
        <v>06 ORL</v>
      </c>
      <c r="U854" s="62"/>
      <c r="W854" s="61"/>
      <c r="X854" s="62"/>
    </row>
    <row r="855" spans="2:24" ht="16">
      <c r="B855" s="67" t="str">
        <f t="shared" ca="1" si="4"/>
        <v>#N/</v>
      </c>
      <c r="C855" s="64" t="str">
        <f ca="1">IFERROR(__xludf.DUMMYFUNCTION("""COMPUTED_VALUE"""),"#N/A")</f>
        <v>#N/A</v>
      </c>
      <c r="D855" s="33" t="str">
        <f ca="1">IFERROR(__xludf.DUMMYFUNCTION("""COMPUTED_VALUE"""),"PROPIOS")</f>
        <v>PROPIOS</v>
      </c>
      <c r="E855" s="33">
        <f ca="1">IFERROR(__xludf.DUMMYFUNCTION("""COMPUTED_VALUE"""),2026)</f>
        <v>2026</v>
      </c>
      <c r="F855" s="56">
        <f ca="1">IFERROR(__xludf.DUMMYFUNCTION("""COMPUTED_VALUE"""),4)</f>
        <v>4</v>
      </c>
      <c r="G855" s="33" t="str">
        <f ca="1">IFERROR(__xludf.DUMMYFUNCTION("""COMPUTED_VALUE"""),"Sevilla- Montoto")</f>
        <v>Sevilla- Montoto</v>
      </c>
      <c r="H855" s="33" t="str">
        <f ca="1">IFERROR(__xludf.DUMMYFUNCTION("""COMPUTED_VALUE"""),"C202631010505593561")</f>
        <v>C202631010505593561</v>
      </c>
      <c r="I855" s="33" t="str">
        <f ca="1">IFERROR(__xludf.DUMMYFUNCTION("""COMPUTED_VALUE"""),"FERNANDO GARCIA MARTINEZ")</f>
        <v>FERNANDO GARCIA MARTINEZ</v>
      </c>
      <c r="J855" s="57">
        <f ca="1">IFERROR(__xludf.DUMMYFUNCTION("""COMPUTED_VALUE"""),46091)</f>
        <v>46091</v>
      </c>
      <c r="K855" s="33" t="str">
        <f ca="1">IFERROR(__xludf.DUMMYFUNCTION("""COMPUTED_VALUE"""),"Prueba")</f>
        <v>Prueba</v>
      </c>
      <c r="L855" s="57">
        <f ca="1">IFERROR(__xludf.DUMMYFUNCTION("""COMPUTED_VALUE"""),46119)</f>
        <v>46119</v>
      </c>
      <c r="M855" s="64" t="str">
        <f ca="1">IFERROR(__xludf.DUMMYFUNCTION("""COMPUTED_VALUE"""),"NO")</f>
        <v>NO</v>
      </c>
      <c r="N855" s="56">
        <f ca="1">IFERROR(__xludf.DUMMYFUNCTION("""COMPUTED_VALUE"""),2)</f>
        <v>2</v>
      </c>
      <c r="O855" s="64" t="str">
        <f ca="1">IFERROR(__xludf.DUMMYFUNCTION("""COMPUTED_VALUE"""),"CONFORT")</f>
        <v>CONFORT</v>
      </c>
      <c r="P855" s="62">
        <f ca="1">IFERROR(__xludf.DUMMYFUNCTION("""COMPUTED_VALUE"""),3631.73)</f>
        <v>3631.73</v>
      </c>
      <c r="Q855" s="33" t="str">
        <f ca="1">IFERROR(__xludf.DUMMYFUNCTION("""COMPUTED_VALUE"""),"Luis Alberto Rodríguez")</f>
        <v>Luis Alberto Rodríguez</v>
      </c>
      <c r="R855" s="33" t="str">
        <f ca="1">IFERROR(__xludf.DUMMYFUNCTION("""COMPUTED_VALUE"""),"Dr, David Castro Gutiérrez de Agüero")</f>
        <v>Dr, David Castro Gutiérrez de Agüero</v>
      </c>
      <c r="S855" s="61" t="str">
        <f ca="1">IFERROR(__xludf.DUMMYFUNCTION("""COMPUTED_VALUE"""),"03 ORL")</f>
        <v>03 ORL</v>
      </c>
      <c r="T855" s="33" t="str">
        <f ca="1">IFERROR(__xludf.DUMMYFUNCTION("""COMPUTED_VALUE"""),"06 ORL")</f>
        <v>06 ORL</v>
      </c>
      <c r="U855" s="62"/>
      <c r="W855" s="61"/>
      <c r="X855" s="62"/>
    </row>
    <row r="856" spans="2:24" ht="16">
      <c r="B856" s="67" t="str">
        <f t="shared" ca="1" si="4"/>
        <v>#N/</v>
      </c>
      <c r="C856" s="64" t="str">
        <f ca="1">IFERROR(__xludf.DUMMYFUNCTION("""COMPUTED_VALUE"""),"#N/A")</f>
        <v>#N/A</v>
      </c>
      <c r="D856" s="33" t="str">
        <f ca="1">IFERROR(__xludf.DUMMYFUNCTION("""COMPUTED_VALUE"""),"PROPIOS")</f>
        <v>PROPIOS</v>
      </c>
      <c r="E856" s="33">
        <f ca="1">IFERROR(__xludf.DUMMYFUNCTION("""COMPUTED_VALUE"""),2026)</f>
        <v>2026</v>
      </c>
      <c r="F856" s="56">
        <f ca="1">IFERROR(__xludf.DUMMYFUNCTION("""COMPUTED_VALUE"""),3)</f>
        <v>3</v>
      </c>
      <c r="G856" s="33" t="str">
        <f ca="1">IFERROR(__xludf.DUMMYFUNCTION("""COMPUTED_VALUE"""),"Sevilla- Montoto")</f>
        <v>Sevilla- Montoto</v>
      </c>
      <c r="H856" s="33" t="str">
        <f ca="1">IFERROR(__xludf.DUMMYFUNCTION("""COMPUTED_VALUE"""),"C202639165449340273")</f>
        <v>C202639165449340273</v>
      </c>
      <c r="I856" s="33" t="str">
        <f ca="1">IFERROR(__xludf.DUMMYFUNCTION("""COMPUTED_VALUE"""),"FRANCISCO CHACON BENITEZ")</f>
        <v>FRANCISCO CHACON BENITEZ</v>
      </c>
      <c r="J856" s="57">
        <f ca="1">IFERROR(__xludf.DUMMYFUNCTION("""COMPUTED_VALUE"""),46090)</f>
        <v>46090</v>
      </c>
      <c r="K856" s="33" t="str">
        <f ca="1">IFERROR(__xludf.DUMMYFUNCTION("""COMPUTED_VALUE"""),"Prueba")</f>
        <v>Prueba</v>
      </c>
      <c r="L856" s="57">
        <f ca="1">IFERROR(__xludf.DUMMYFUNCTION("""COMPUTED_VALUE"""),46098)</f>
        <v>46098</v>
      </c>
      <c r="M856" s="64" t="str">
        <f ca="1">IFERROR(__xludf.DUMMYFUNCTION("""COMPUTED_VALUE"""),"NO")</f>
        <v>NO</v>
      </c>
      <c r="N856" s="56">
        <f ca="1">IFERROR(__xludf.DUMMYFUNCTION("""COMPUTED_VALUE"""),2)</f>
        <v>2</v>
      </c>
      <c r="O856" s="64" t="str">
        <f ca="1">IFERROR(__xludf.DUMMYFUNCTION("""COMPUTED_VALUE"""),"QUIET")</f>
        <v>QUIET</v>
      </c>
      <c r="P856" s="62">
        <f ca="1">IFERROR(__xludf.DUMMYFUNCTION("""COMPUTED_VALUE"""),2591.04)</f>
        <v>2591.04</v>
      </c>
      <c r="Q856" s="33" t="str">
        <f ca="1">IFERROR(__xludf.DUMMYFUNCTION("""COMPUTED_VALUE"""),"Luis Alberto Rodríguez")</f>
        <v>Luis Alberto Rodríguez</v>
      </c>
      <c r="R856" s="33" t="str">
        <f ca="1">IFERROR(__xludf.DUMMYFUNCTION("""COMPUTED_VALUE"""),"Dr, Rafael Ruiz Fito")</f>
        <v>Dr, Rafael Ruiz Fito</v>
      </c>
      <c r="S856" s="61" t="str">
        <f ca="1">IFERROR(__xludf.DUMMYFUNCTION("""COMPUTED_VALUE"""),"03 ORL")</f>
        <v>03 ORL</v>
      </c>
      <c r="T856" s="33" t="str">
        <f ca="1">IFERROR(__xludf.DUMMYFUNCTION("""COMPUTED_VALUE"""),"06 ORL")</f>
        <v>06 ORL</v>
      </c>
      <c r="U856" s="62"/>
      <c r="W856" s="61"/>
      <c r="X856" s="62"/>
    </row>
    <row r="857" spans="2:24" ht="16">
      <c r="B857" s="67" t="str">
        <f t="shared" ca="1" si="4"/>
        <v>#N/</v>
      </c>
      <c r="C857" s="64" t="str">
        <f ca="1">IFERROR(__xludf.DUMMYFUNCTION("""COMPUTED_VALUE"""),"#N/A")</f>
        <v>#N/A</v>
      </c>
      <c r="D857" s="33" t="str">
        <f ca="1">IFERROR(__xludf.DUMMYFUNCTION("""COMPUTED_VALUE"""),"PROPIOS")</f>
        <v>PROPIOS</v>
      </c>
      <c r="E857" s="33">
        <f ca="1">IFERROR(__xludf.DUMMYFUNCTION("""COMPUTED_VALUE"""),2026)</f>
        <v>2026</v>
      </c>
      <c r="F857" s="56">
        <f ca="1">IFERROR(__xludf.DUMMYFUNCTION("""COMPUTED_VALUE"""),3)</f>
        <v>3</v>
      </c>
      <c r="G857" s="33" t="str">
        <f ca="1">IFERROR(__xludf.DUMMYFUNCTION("""COMPUTED_VALUE"""),"Sevilla- Montoto")</f>
        <v>Sevilla- Montoto</v>
      </c>
      <c r="H857" s="33" t="str">
        <f ca="1">IFERROR(__xludf.DUMMYFUNCTION("""COMPUTED_VALUE"""),"C202634124431378698")</f>
        <v>C202634124431378698</v>
      </c>
      <c r="I857" s="33" t="str">
        <f ca="1">IFERROR(__xludf.DUMMYFUNCTION("""COMPUTED_VALUE"""),"FRANCISCO MORETE RODRIGUEZ")</f>
        <v>FRANCISCO MORETE RODRIGUEZ</v>
      </c>
      <c r="J857" s="57">
        <f ca="1">IFERROR(__xludf.DUMMYFUNCTION("""COMPUTED_VALUE"""),46085)</f>
        <v>46085</v>
      </c>
      <c r="K857" s="33" t="str">
        <f ca="1">IFERROR(__xludf.DUMMYFUNCTION("""COMPUTED_VALUE"""),"Prueba")</f>
        <v>Prueba</v>
      </c>
      <c r="L857" s="57">
        <f ca="1">IFERROR(__xludf.DUMMYFUNCTION("""COMPUTED_VALUE"""),46097)</f>
        <v>46097</v>
      </c>
      <c r="M857" s="64" t="str">
        <f ca="1">IFERROR(__xludf.DUMMYFUNCTION("""COMPUTED_VALUE"""),"NO")</f>
        <v>NO</v>
      </c>
      <c r="N857" s="56">
        <f ca="1">IFERROR(__xludf.DUMMYFUNCTION("""COMPUTED_VALUE"""),2)</f>
        <v>2</v>
      </c>
      <c r="O857" s="64" t="str">
        <f ca="1">IFERROR(__xludf.DUMMYFUNCTION("""COMPUTED_VALUE"""),"ADVANCED")</f>
        <v>ADVANCED</v>
      </c>
      <c r="P857" s="62">
        <f ca="1">IFERROR(__xludf.DUMMYFUNCTION("""COMPUTED_VALUE"""),4136.36)</f>
        <v>4136.3599999999997</v>
      </c>
      <c r="Q857" s="33" t="str">
        <f ca="1">IFERROR(__xludf.DUMMYFUNCTION("""COMPUTED_VALUE"""),"Luis Alberto Rodríguez")</f>
        <v>Luis Alberto Rodríguez</v>
      </c>
      <c r="R857" s="33" t="str">
        <f ca="1">IFERROR(__xludf.DUMMYFUNCTION("""COMPUTED_VALUE"""),"Dr, Francisco Javier Aguilar Vera")</f>
        <v>Dr, Francisco Javier Aguilar Vera</v>
      </c>
      <c r="S857" s="61" t="str">
        <f ca="1">IFERROR(__xludf.DUMMYFUNCTION("""COMPUTED_VALUE"""),"03 ORL")</f>
        <v>03 ORL</v>
      </c>
      <c r="T857" s="33" t="str">
        <f ca="1">IFERROR(__xludf.DUMMYFUNCTION("""COMPUTED_VALUE"""),"06 ORL")</f>
        <v>06 ORL</v>
      </c>
      <c r="U857" s="62"/>
      <c r="W857" s="61"/>
      <c r="X857" s="62"/>
    </row>
    <row r="858" spans="2:24" ht="16">
      <c r="B858" s="67" t="str">
        <f t="shared" ca="1" si="4"/>
        <v>#N/</v>
      </c>
      <c r="C858" s="64" t="str">
        <f ca="1">IFERROR(__xludf.DUMMYFUNCTION("""COMPUTED_VALUE"""),"#N/A")</f>
        <v>#N/A</v>
      </c>
      <c r="D858" s="33" t="str">
        <f ca="1">IFERROR(__xludf.DUMMYFUNCTION("""COMPUTED_VALUE"""),"PROPIOS")</f>
        <v>PROPIOS</v>
      </c>
      <c r="E858" s="33">
        <f ca="1">IFERROR(__xludf.DUMMYFUNCTION("""COMPUTED_VALUE"""),2026)</f>
        <v>2026</v>
      </c>
      <c r="F858" s="56">
        <f ca="1">IFERROR(__xludf.DUMMYFUNCTION("""COMPUTED_VALUE"""),2)</f>
        <v>2</v>
      </c>
      <c r="G858" s="33" t="str">
        <f ca="1">IFERROR(__xludf.DUMMYFUNCTION("""COMPUTED_VALUE"""),"Sevilla- Montoto")</f>
        <v>Sevilla- Montoto</v>
      </c>
      <c r="H858" s="33" t="str">
        <f ca="1">IFERROR(__xludf.DUMMYFUNCTION("""COMPUTED_VALUE"""),"C202622310210084834")</f>
        <v>C202622310210084834</v>
      </c>
      <c r="I858" s="33" t="str">
        <f ca="1">IFERROR(__xludf.DUMMYFUNCTION("""COMPUTED_VALUE"""),"JOSE ANTONIO GARCIA LOPEZ")</f>
        <v>JOSE ANTONIO GARCIA LOPEZ</v>
      </c>
      <c r="J858" s="57">
        <f ca="1">IFERROR(__xludf.DUMMYFUNCTION("""COMPUTED_VALUE"""),46076)</f>
        <v>46076</v>
      </c>
      <c r="K858" s="33" t="str">
        <f ca="1">IFERROR(__xludf.DUMMYFUNCTION("""COMPUTED_VALUE"""),"Devuelve")</f>
        <v>Devuelve</v>
      </c>
      <c r="L858" s="57">
        <f ca="1">IFERROR(__xludf.DUMMYFUNCTION("""COMPUTED_VALUE"""),46080)</f>
        <v>46080</v>
      </c>
      <c r="M858" s="64" t="str">
        <f ca="1">IFERROR(__xludf.DUMMYFUNCTION("""COMPUTED_VALUE"""),"NO")</f>
        <v>NO</v>
      </c>
      <c r="N858" s="56">
        <f ca="1">IFERROR(__xludf.DUMMYFUNCTION("""COMPUTED_VALUE"""),2)</f>
        <v>2</v>
      </c>
      <c r="O858" s="64" t="str">
        <f ca="1">IFERROR(__xludf.DUMMYFUNCTION("""COMPUTED_VALUE"""),"TRIAL")</f>
        <v>TRIAL</v>
      </c>
      <c r="P858" s="62">
        <f ca="1">IFERROR(__xludf.DUMMYFUNCTION("""COMPUTED_VALUE"""),3631.82)</f>
        <v>3631.82</v>
      </c>
      <c r="Q858" s="33" t="str">
        <f ca="1">IFERROR(__xludf.DUMMYFUNCTION("""COMPUTED_VALUE"""),"Luis Alberto Rodríguez")</f>
        <v>Luis Alberto Rodríguez</v>
      </c>
      <c r="R858" s="33" t="str">
        <f ca="1">IFERROR(__xludf.DUMMYFUNCTION("""COMPUTED_VALUE"""),"Dr, Ulises Bidón Gómez")</f>
        <v>Dr, Ulises Bidón Gómez</v>
      </c>
      <c r="S858" s="61" t="str">
        <f ca="1">IFERROR(__xludf.DUMMYFUNCTION("""COMPUTED_VALUE"""),"03 ORL")</f>
        <v>03 ORL</v>
      </c>
      <c r="T858" s="33" t="str">
        <f ca="1">IFERROR(__xludf.DUMMYFUNCTION("""COMPUTED_VALUE"""),"06 ORL")</f>
        <v>06 ORL</v>
      </c>
      <c r="U858" s="62"/>
      <c r="W858" s="61"/>
      <c r="X858" s="62"/>
    </row>
    <row r="859" spans="2:24" ht="16">
      <c r="B859" s="67" t="str">
        <f t="shared" ca="1" si="4"/>
        <v/>
      </c>
      <c r="C859" s="64"/>
      <c r="D859" s="33" t="str">
        <f ca="1">IFERROR(__xludf.DUMMYFUNCTION("""COMPUTED_VALUE"""),"PROPIOS")</f>
        <v>PROPIOS</v>
      </c>
      <c r="E859" s="33">
        <f ca="1">IFERROR(__xludf.DUMMYFUNCTION("""COMPUTED_VALUE"""),2026)</f>
        <v>2026</v>
      </c>
      <c r="F859" s="56">
        <f ca="1">IFERROR(__xludf.DUMMYFUNCTION("""COMPUTED_VALUE"""),4)</f>
        <v>4</v>
      </c>
      <c r="G859" s="33" t="str">
        <f ca="1">IFERROR(__xludf.DUMMYFUNCTION("""COMPUTED_VALUE"""),"Sevilla- Montoto")</f>
        <v>Sevilla- Montoto</v>
      </c>
      <c r="H859" s="33" t="str">
        <f ca="1">IFERROR(__xludf.DUMMYFUNCTION("""COMPUTED_VALUE"""),"C202633110122460652")</f>
        <v>C202633110122460652</v>
      </c>
      <c r="I859" s="33" t="str">
        <f ca="1">IFERROR(__xludf.DUMMYFUNCTION("""COMPUTED_VALUE"""),"JULIANA PERERA GATA")</f>
        <v>JULIANA PERERA GATA</v>
      </c>
      <c r="J859" s="57">
        <f ca="1">IFERROR(__xludf.DUMMYFUNCTION("""COMPUTED_VALUE"""),46112)</f>
        <v>46112</v>
      </c>
      <c r="K859" s="33" t="str">
        <f ca="1">IFERROR(__xludf.DUMMYFUNCTION("""COMPUTED_VALUE"""),"Pedido")</f>
        <v>Pedido</v>
      </c>
      <c r="L859" s="57">
        <f ca="1">IFERROR(__xludf.DUMMYFUNCTION("""COMPUTED_VALUE"""),46113)</f>
        <v>46113</v>
      </c>
      <c r="M859" s="64" t="str">
        <f ca="1">IFERROR(__xludf.DUMMYFUNCTION("""COMPUTED_VALUE"""),"NO")</f>
        <v>NO</v>
      </c>
      <c r="N859" s="56">
        <f ca="1">IFERROR(__xludf.DUMMYFUNCTION("""COMPUTED_VALUE"""),2)</f>
        <v>2</v>
      </c>
      <c r="O859" s="64" t="str">
        <f ca="1">IFERROR(__xludf.DUMMYFUNCTION("""COMPUTED_VALUE"""),"CONFORT")</f>
        <v>CONFORT</v>
      </c>
      <c r="P859" s="62">
        <f ca="1">IFERROR(__xludf.DUMMYFUNCTION("""COMPUTED_VALUE"""),3631.82)</f>
        <v>3631.82</v>
      </c>
      <c r="Q859" s="33" t="str">
        <f ca="1">IFERROR(__xludf.DUMMYFUNCTION("""COMPUTED_VALUE"""),"Luis Alberto Rodríguez")</f>
        <v>Luis Alberto Rodríguez</v>
      </c>
      <c r="R859" s="33" t="str">
        <f ca="1">IFERROR(__xludf.DUMMYFUNCTION("""COMPUTED_VALUE"""),"No recuerda ORL")</f>
        <v>No recuerda ORL</v>
      </c>
      <c r="S859" s="61" t="str">
        <f ca="1">IFERROR(__xludf.DUMMYFUNCTION("""COMPUTED_VALUE"""),"03 ORL")</f>
        <v>03 ORL</v>
      </c>
      <c r="T859" s="33" t="str">
        <f ca="1">IFERROR(__xludf.DUMMYFUNCTION("""COMPUTED_VALUE"""),"06 ORL")</f>
        <v>06 ORL</v>
      </c>
      <c r="U859" s="62"/>
      <c r="W859" s="61"/>
      <c r="X859" s="62"/>
    </row>
    <row r="860" spans="2:24" ht="16">
      <c r="B860" s="67" t="str">
        <f t="shared" ca="1" si="4"/>
        <v/>
      </c>
      <c r="C860" s="64"/>
      <c r="D860" s="33" t="str">
        <f ca="1">IFERROR(__xludf.DUMMYFUNCTION("""COMPUTED_VALUE"""),"PROPIOS")</f>
        <v>PROPIOS</v>
      </c>
      <c r="E860" s="33">
        <f ca="1">IFERROR(__xludf.DUMMYFUNCTION("""COMPUTED_VALUE"""),2026)</f>
        <v>2026</v>
      </c>
      <c r="F860" s="56">
        <f ca="1">IFERROR(__xludf.DUMMYFUNCTION("""COMPUTED_VALUE"""),4)</f>
        <v>4</v>
      </c>
      <c r="G860" s="33" t="str">
        <f ca="1">IFERROR(__xludf.DUMMYFUNCTION("""COMPUTED_VALUE"""),"Sevilla- Montoto")</f>
        <v>Sevilla- Montoto</v>
      </c>
      <c r="H860" s="33" t="str">
        <f ca="1">IFERROR(__xludf.DUMMYFUNCTION("""COMPUTED_VALUE"""),"C202632618284293288")</f>
        <v>C202632618284293288</v>
      </c>
      <c r="I860" s="33" t="str">
        <f ca="1">IFERROR(__xludf.DUMMYFUNCTION("""COMPUTED_VALUE"""),"MAGDALENA ARJONA CANO")</f>
        <v>MAGDALENA ARJONA CANO</v>
      </c>
      <c r="J860" s="57">
        <f ca="1">IFERROR(__xludf.DUMMYFUNCTION("""COMPUTED_VALUE"""),46107)</f>
        <v>46107</v>
      </c>
      <c r="K860" s="33" t="str">
        <f ca="1">IFERROR(__xludf.DUMMYFUNCTION("""COMPUTED_VALUE"""),"Pedido")</f>
        <v>Pedido</v>
      </c>
      <c r="L860" s="57">
        <f ca="1">IFERROR(__xludf.DUMMYFUNCTION("""COMPUTED_VALUE"""),46119)</f>
        <v>46119</v>
      </c>
      <c r="M860" s="64" t="str">
        <f ca="1">IFERROR(__xludf.DUMMYFUNCTION("""COMPUTED_VALUE"""),"NO")</f>
        <v>NO</v>
      </c>
      <c r="N860" s="56">
        <f ca="1">IFERROR(__xludf.DUMMYFUNCTION("""COMPUTED_VALUE"""),1)</f>
        <v>1</v>
      </c>
      <c r="O860" s="64" t="str">
        <f ca="1">IFERROR(__xludf.DUMMYFUNCTION("""COMPUTED_VALUE"""),"CONFORT")</f>
        <v>CONFORT</v>
      </c>
      <c r="P860" s="62">
        <f ca="1">IFERROR(__xludf.DUMMYFUNCTION("""COMPUTED_VALUE"""),2899.09)</f>
        <v>2899.09</v>
      </c>
      <c r="Q860" s="33" t="str">
        <f ca="1">IFERROR(__xludf.DUMMYFUNCTION("""COMPUTED_VALUE"""),"Luis Alberto Rodríguez")</f>
        <v>Luis Alberto Rodríguez</v>
      </c>
      <c r="R860" s="33" t="str">
        <f ca="1">IFERROR(__xludf.DUMMYFUNCTION("""COMPUTED_VALUE"""),"No recuerda ORL")</f>
        <v>No recuerda ORL</v>
      </c>
      <c r="S860" s="61" t="str">
        <f ca="1">IFERROR(__xludf.DUMMYFUNCTION("""COMPUTED_VALUE"""),"03 ORL")</f>
        <v>03 ORL</v>
      </c>
      <c r="T860" s="33" t="str">
        <f ca="1">IFERROR(__xludf.DUMMYFUNCTION("""COMPUTED_VALUE"""),"06 ORL")</f>
        <v>06 ORL</v>
      </c>
      <c r="U860" s="62"/>
      <c r="W860" s="61"/>
      <c r="X860" s="62"/>
    </row>
    <row r="861" spans="2:24" ht="16">
      <c r="B861" s="67" t="str">
        <f t="shared" ca="1" si="4"/>
        <v>#N/</v>
      </c>
      <c r="C861" s="64" t="str">
        <f ca="1">IFERROR(__xludf.DUMMYFUNCTION("""COMPUTED_VALUE"""),"#N/A")</f>
        <v>#N/A</v>
      </c>
      <c r="D861" s="33" t="str">
        <f ca="1">IFERROR(__xludf.DUMMYFUNCTION("""COMPUTED_VALUE"""),"PROPIOS")</f>
        <v>PROPIOS</v>
      </c>
      <c r="E861" s="33">
        <f ca="1">IFERROR(__xludf.DUMMYFUNCTION("""COMPUTED_VALUE"""),2026)</f>
        <v>2026</v>
      </c>
      <c r="F861" s="56">
        <f ca="1">IFERROR(__xludf.DUMMYFUNCTION("""COMPUTED_VALUE"""),1)</f>
        <v>1</v>
      </c>
      <c r="G861" s="33" t="str">
        <f ca="1">IFERROR(__xludf.DUMMYFUNCTION("""COMPUTED_VALUE"""),"Sevilla- Montoto")</f>
        <v>Sevilla- Montoto</v>
      </c>
      <c r="H861" s="33" t="str">
        <f ca="1">IFERROR(__xludf.DUMMYFUNCTION("""COMPUTED_VALUE"""),"C202612211261416865")</f>
        <v>C202612211261416865</v>
      </c>
      <c r="I861" s="33" t="str">
        <f ca="1">IFERROR(__xludf.DUMMYFUNCTION("""COMPUTED_VALUE"""),"MANUEL JIMENEZ CABRERIZO")</f>
        <v>MANUEL JIMENEZ CABRERIZO</v>
      </c>
      <c r="J861" s="57">
        <f ca="1">IFERROR(__xludf.DUMMYFUNCTION("""COMPUTED_VALUE"""),46044)</f>
        <v>46044</v>
      </c>
      <c r="K861" s="33" t="str">
        <f ca="1">IFERROR(__xludf.DUMMYFUNCTION("""COMPUTED_VALUE"""),"Devuelve")</f>
        <v>Devuelve</v>
      </c>
      <c r="L861" s="57">
        <f ca="1">IFERROR(__xludf.DUMMYFUNCTION("""COMPUTED_VALUE"""),46052)</f>
        <v>46052</v>
      </c>
      <c r="M861" s="64" t="str">
        <f ca="1">IFERROR(__xludf.DUMMYFUNCTION("""COMPUTED_VALUE"""),"NO")</f>
        <v>NO</v>
      </c>
      <c r="N861" s="56">
        <f ca="1">IFERROR(__xludf.DUMMYFUNCTION("""COMPUTED_VALUE"""),2)</f>
        <v>2</v>
      </c>
      <c r="O861" s="64" t="str">
        <f ca="1">IFERROR(__xludf.DUMMYFUNCTION("""COMPUTED_VALUE"""),"QUIET")</f>
        <v>QUIET</v>
      </c>
      <c r="P861" s="62">
        <f ca="1">IFERROR(__xludf.DUMMYFUNCTION("""COMPUTED_VALUE"""),2718.18)</f>
        <v>2718.18</v>
      </c>
      <c r="Q861" s="33" t="str">
        <f ca="1">IFERROR(__xludf.DUMMYFUNCTION("""COMPUTED_VALUE"""),"Luis Alberto Rodríguez")</f>
        <v>Luis Alberto Rodríguez</v>
      </c>
      <c r="R861" s="33" t="str">
        <f ca="1">IFERROR(__xludf.DUMMYFUNCTION("""COMPUTED_VALUE"""),"Dra, María González Menéndez")</f>
        <v>Dra, María González Menéndez</v>
      </c>
      <c r="S861" s="61" t="str">
        <f ca="1">IFERROR(__xludf.DUMMYFUNCTION("""COMPUTED_VALUE"""),"03 ORL")</f>
        <v>03 ORL</v>
      </c>
      <c r="T861" s="33" t="str">
        <f ca="1">IFERROR(__xludf.DUMMYFUNCTION("""COMPUTED_VALUE"""),"06 ORL")</f>
        <v>06 ORL</v>
      </c>
      <c r="U861" s="62"/>
      <c r="W861" s="61"/>
      <c r="X861" s="62"/>
    </row>
    <row r="862" spans="2:24" ht="16">
      <c r="B862" s="67" t="str">
        <f t="shared" ca="1" si="4"/>
        <v>#N/</v>
      </c>
      <c r="C862" s="64" t="str">
        <f ca="1">IFERROR(__xludf.DUMMYFUNCTION("""COMPUTED_VALUE"""),"#N/A")</f>
        <v>#N/A</v>
      </c>
      <c r="D862" s="33" t="str">
        <f ca="1">IFERROR(__xludf.DUMMYFUNCTION("""COMPUTED_VALUE"""),"PROPIOS")</f>
        <v>PROPIOS</v>
      </c>
      <c r="E862" s="33">
        <f ca="1">IFERROR(__xludf.DUMMYFUNCTION("""COMPUTED_VALUE"""),2026)</f>
        <v>2026</v>
      </c>
      <c r="F862" s="56">
        <f ca="1">IFERROR(__xludf.DUMMYFUNCTION("""COMPUTED_VALUE"""),3)</f>
        <v>3</v>
      </c>
      <c r="G862" s="33" t="str">
        <f ca="1">IFERROR(__xludf.DUMMYFUNCTION("""COMPUTED_VALUE"""),"Sevilla- Montoto")</f>
        <v>Sevilla- Montoto</v>
      </c>
      <c r="H862" s="33" t="str">
        <f ca="1">IFERROR(__xludf.DUMMYFUNCTION("""COMPUTED_VALUE"""),"C20263511836027287")</f>
        <v>C20263511836027287</v>
      </c>
      <c r="I862" s="33" t="str">
        <f ca="1">IFERROR(__xludf.DUMMYFUNCTION("""COMPUTED_VALUE"""),"MARIA ISABEL CREMADES SANZ-PASTOR")</f>
        <v>MARIA ISABEL CREMADES SANZ-PASTOR</v>
      </c>
      <c r="J862" s="57">
        <f ca="1">IFERROR(__xludf.DUMMYFUNCTION("""COMPUTED_VALUE"""),46086)</f>
        <v>46086</v>
      </c>
      <c r="K862" s="33" t="str">
        <f ca="1">IFERROR(__xludf.DUMMYFUNCTION("""COMPUTED_VALUE"""),"Presupuesto")</f>
        <v>Presupuesto</v>
      </c>
      <c r="L862" s="57">
        <f ca="1">IFERROR(__xludf.DUMMYFUNCTION("""COMPUTED_VALUE"""),46086)</f>
        <v>46086</v>
      </c>
      <c r="M862" s="64" t="str">
        <f ca="1">IFERROR(__xludf.DUMMYFUNCTION("""COMPUTED_VALUE"""),"NO")</f>
        <v>NO</v>
      </c>
      <c r="N862" s="56">
        <f ca="1">IFERROR(__xludf.DUMMYFUNCTION("""COMPUTED_VALUE"""),1)</f>
        <v>1</v>
      </c>
      <c r="O862" s="64" t="str">
        <f ca="1">IFERROR(__xludf.DUMMYFUNCTION("""COMPUTED_VALUE"""),"CONFORT")</f>
        <v>CONFORT</v>
      </c>
      <c r="P862" s="62">
        <f ca="1">IFERROR(__xludf.DUMMYFUNCTION("""COMPUTED_VALUE"""),2180.91)</f>
        <v>2180.91</v>
      </c>
      <c r="Q862" s="33" t="str">
        <f ca="1">IFERROR(__xludf.DUMMYFUNCTION("""COMPUTED_VALUE"""),"Luis Alberto Rodríguez")</f>
        <v>Luis Alberto Rodríguez</v>
      </c>
      <c r="R862" s="33" t="str">
        <f ca="1">IFERROR(__xludf.DUMMYFUNCTION("""COMPUTED_VALUE"""),"Dr, Francisco Javier Aguilar Vera")</f>
        <v>Dr, Francisco Javier Aguilar Vera</v>
      </c>
      <c r="S862" s="61" t="str">
        <f ca="1">IFERROR(__xludf.DUMMYFUNCTION("""COMPUTED_VALUE"""),"03 ORL")</f>
        <v>03 ORL</v>
      </c>
      <c r="T862" s="33" t="str">
        <f ca="1">IFERROR(__xludf.DUMMYFUNCTION("""COMPUTED_VALUE"""),"06 ORL")</f>
        <v>06 ORL</v>
      </c>
      <c r="U862" s="62"/>
      <c r="W862" s="61"/>
      <c r="X862" s="62"/>
    </row>
    <row r="863" spans="2:24" ht="16">
      <c r="B863" s="67" t="str">
        <f t="shared" ca="1" si="4"/>
        <v>#N/</v>
      </c>
      <c r="C863" s="64" t="str">
        <f ca="1">IFERROR(__xludf.DUMMYFUNCTION("""COMPUTED_VALUE"""),"#N/A")</f>
        <v>#N/A</v>
      </c>
      <c r="D863" s="33" t="str">
        <f ca="1">IFERROR(__xludf.DUMMYFUNCTION("""COMPUTED_VALUE"""),"PROPIOS")</f>
        <v>PROPIOS</v>
      </c>
      <c r="E863" s="33">
        <f ca="1">IFERROR(__xludf.DUMMYFUNCTION("""COMPUTED_VALUE"""),2026)</f>
        <v>2026</v>
      </c>
      <c r="F863" s="56">
        <f ca="1">IFERROR(__xludf.DUMMYFUNCTION("""COMPUTED_VALUE"""),3)</f>
        <v>3</v>
      </c>
      <c r="G863" s="33" t="str">
        <f ca="1">IFERROR(__xludf.DUMMYFUNCTION("""COMPUTED_VALUE"""),"Sevilla- Montoto")</f>
        <v>Sevilla- Montoto</v>
      </c>
      <c r="H863" s="33" t="str">
        <f ca="1">IFERROR(__xludf.DUMMYFUNCTION("""COMPUTED_VALUE"""),"C20263179024356536")</f>
        <v>C20263179024356536</v>
      </c>
      <c r="I863" s="33" t="str">
        <f ca="1">IFERROR(__xludf.DUMMYFUNCTION("""COMPUTED_VALUE"""),"MERCEDES CERRADA CABEZA")</f>
        <v>MERCEDES CERRADA CABEZA</v>
      </c>
      <c r="J863" s="57">
        <f ca="1">IFERROR(__xludf.DUMMYFUNCTION("""COMPUTED_VALUE"""),46098)</f>
        <v>46098</v>
      </c>
      <c r="K863" s="33" t="str">
        <f ca="1">IFERROR(__xludf.DUMMYFUNCTION("""COMPUTED_VALUE"""),"Prueba")</f>
        <v>Prueba</v>
      </c>
      <c r="L863" s="57">
        <f ca="1">IFERROR(__xludf.DUMMYFUNCTION("""COMPUTED_VALUE"""),46105)</f>
        <v>46105</v>
      </c>
      <c r="M863" s="64" t="str">
        <f ca="1">IFERROR(__xludf.DUMMYFUNCTION("""COMPUTED_VALUE"""),"NO")</f>
        <v>NO</v>
      </c>
      <c r="N863" s="56">
        <f ca="1">IFERROR(__xludf.DUMMYFUNCTION("""COMPUTED_VALUE"""),2)</f>
        <v>2</v>
      </c>
      <c r="O863" s="64" t="str">
        <f ca="1">IFERROR(__xludf.DUMMYFUNCTION("""COMPUTED_VALUE"""),"TRIAL")</f>
        <v>TRIAL</v>
      </c>
      <c r="P863" s="62">
        <f ca="1">IFERROR(__xludf.DUMMYFUNCTION("""COMPUTED_VALUE"""),3631.82)</f>
        <v>3631.82</v>
      </c>
      <c r="Q863" s="33" t="str">
        <f ca="1">IFERROR(__xludf.DUMMYFUNCTION("""COMPUTED_VALUE"""),"Luis Alberto Rodríguez")</f>
        <v>Luis Alberto Rodríguez</v>
      </c>
      <c r="R863" s="33" t="str">
        <f ca="1">IFERROR(__xludf.DUMMYFUNCTION("""COMPUTED_VALUE"""),"Dr, Ulises Bidón Gómez")</f>
        <v>Dr, Ulises Bidón Gómez</v>
      </c>
      <c r="S863" s="61" t="str">
        <f ca="1">IFERROR(__xludf.DUMMYFUNCTION("""COMPUTED_VALUE"""),"03 ORL")</f>
        <v>03 ORL</v>
      </c>
      <c r="T863" s="33" t="str">
        <f ca="1">IFERROR(__xludf.DUMMYFUNCTION("""COMPUTED_VALUE"""),"06 ORL")</f>
        <v>06 ORL</v>
      </c>
      <c r="U863" s="62"/>
      <c r="W863" s="61"/>
      <c r="X863" s="62"/>
    </row>
    <row r="864" spans="2:24" ht="16">
      <c r="B864" s="67" t="str">
        <f t="shared" ca="1" si="4"/>
        <v>#N/</v>
      </c>
      <c r="C864" s="64" t="str">
        <f ca="1">IFERROR(__xludf.DUMMYFUNCTION("""COMPUTED_VALUE"""),"#N/A")</f>
        <v>#N/A</v>
      </c>
      <c r="D864" s="33" t="str">
        <f ca="1">IFERROR(__xludf.DUMMYFUNCTION("""COMPUTED_VALUE"""),"PROPIOS")</f>
        <v>PROPIOS</v>
      </c>
      <c r="E864" s="33">
        <f ca="1">IFERROR(__xludf.DUMMYFUNCTION("""COMPUTED_VALUE"""),2026)</f>
        <v>2026</v>
      </c>
      <c r="F864" s="56">
        <f ca="1">IFERROR(__xludf.DUMMYFUNCTION("""COMPUTED_VALUE"""),2)</f>
        <v>2</v>
      </c>
      <c r="G864" s="33" t="str">
        <f ca="1">IFERROR(__xludf.DUMMYFUNCTION("""COMPUTED_VALUE"""),"Sevilla- Montoto")</f>
        <v>Sevilla- Montoto</v>
      </c>
      <c r="H864" s="33" t="str">
        <f ca="1">IFERROR(__xludf.DUMMYFUNCTION("""COMPUTED_VALUE"""),"C202621116294128302")</f>
        <v>C202621116294128302</v>
      </c>
      <c r="I864" s="33" t="str">
        <f ca="1">IFERROR(__xludf.DUMMYFUNCTION("""COMPUTED_VALUE"""),"OSCAR GIL DELGADO")</f>
        <v>OSCAR GIL DELGADO</v>
      </c>
      <c r="J864" s="57">
        <f ca="1">IFERROR(__xludf.DUMMYFUNCTION("""COMPUTED_VALUE"""),46064)</f>
        <v>46064</v>
      </c>
      <c r="K864" s="33" t="str">
        <f ca="1">IFERROR(__xludf.DUMMYFUNCTION("""COMPUTED_VALUE"""),"Presupuesto")</f>
        <v>Presupuesto</v>
      </c>
      <c r="L864" s="57">
        <f ca="1">IFERROR(__xludf.DUMMYFUNCTION("""COMPUTED_VALUE"""),46071)</f>
        <v>46071</v>
      </c>
      <c r="M864" s="64" t="str">
        <f ca="1">IFERROR(__xludf.DUMMYFUNCTION("""COMPUTED_VALUE"""),"NO")</f>
        <v>NO</v>
      </c>
      <c r="N864" s="56">
        <f ca="1">IFERROR(__xludf.DUMMYFUNCTION("""COMPUTED_VALUE"""),2)</f>
        <v>2</v>
      </c>
      <c r="O864" s="64" t="str">
        <f ca="1">IFERROR(__xludf.DUMMYFUNCTION("""COMPUTED_VALUE"""),"QUIET")</f>
        <v>QUIET</v>
      </c>
      <c r="P864" s="62">
        <f ca="1">IFERROR(__xludf.DUMMYFUNCTION("""COMPUTED_VALUE"""),2718.18)</f>
        <v>2718.18</v>
      </c>
      <c r="Q864" s="33" t="str">
        <f ca="1">IFERROR(__xludf.DUMMYFUNCTION("""COMPUTED_VALUE"""),"Luis Alberto Rodríguez")</f>
        <v>Luis Alberto Rodríguez</v>
      </c>
      <c r="R864" s="33" t="str">
        <f ca="1">IFERROR(__xludf.DUMMYFUNCTION("""COMPUTED_VALUE"""),"Dr, Francisco Javier Aguilar Vera")</f>
        <v>Dr, Francisco Javier Aguilar Vera</v>
      </c>
      <c r="S864" s="61" t="str">
        <f ca="1">IFERROR(__xludf.DUMMYFUNCTION("""COMPUTED_VALUE"""),"03 ORL")</f>
        <v>03 ORL</v>
      </c>
      <c r="T864" s="33" t="str">
        <f ca="1">IFERROR(__xludf.DUMMYFUNCTION("""COMPUTED_VALUE"""),"06 ORL")</f>
        <v>06 ORL</v>
      </c>
      <c r="U864" s="62"/>
      <c r="W864" s="61"/>
      <c r="X864" s="62"/>
    </row>
    <row r="865" spans="2:24" ht="16">
      <c r="B865" s="67" t="str">
        <f t="shared" ca="1" si="4"/>
        <v>#N/</v>
      </c>
      <c r="C865" s="64" t="str">
        <f ca="1">IFERROR(__xludf.DUMMYFUNCTION("""COMPUTED_VALUE"""),"#N/A")</f>
        <v>#N/A</v>
      </c>
      <c r="D865" s="33" t="str">
        <f ca="1">IFERROR(__xludf.DUMMYFUNCTION("""COMPUTED_VALUE"""),"PROPIOS")</f>
        <v>PROPIOS</v>
      </c>
      <c r="E865" s="33">
        <f ca="1">IFERROR(__xludf.DUMMYFUNCTION("""COMPUTED_VALUE"""),2026)</f>
        <v>2026</v>
      </c>
      <c r="F865" s="56">
        <f ca="1">IFERROR(__xludf.DUMMYFUNCTION("""COMPUTED_VALUE"""),3)</f>
        <v>3</v>
      </c>
      <c r="G865" s="33" t="str">
        <f ca="1">IFERROR(__xludf.DUMMYFUNCTION("""COMPUTED_VALUE"""),"Sevilla- Montoto")</f>
        <v>Sevilla- Montoto</v>
      </c>
      <c r="H865" s="33" t="str">
        <f ca="1">IFERROR(__xludf.DUMMYFUNCTION("""COMPUTED_VALUE"""),"C20263592910464712")</f>
        <v>C20263592910464712</v>
      </c>
      <c r="I865" s="33" t="str">
        <f ca="1">IFERROR(__xludf.DUMMYFUNCTION("""COMPUTED_VALUE"""),"TERESA BELTRAN INFANTE")</f>
        <v>TERESA BELTRAN INFANTE</v>
      </c>
      <c r="J865" s="57">
        <f ca="1">IFERROR(__xludf.DUMMYFUNCTION("""COMPUTED_VALUE"""),46086)</f>
        <v>46086</v>
      </c>
      <c r="K865" s="33" t="str">
        <f ca="1">IFERROR(__xludf.DUMMYFUNCTION("""COMPUTED_VALUE"""),"Prueba")</f>
        <v>Prueba</v>
      </c>
      <c r="L865" s="57">
        <f ca="1">IFERROR(__xludf.DUMMYFUNCTION("""COMPUTED_VALUE"""),46104)</f>
        <v>46104</v>
      </c>
      <c r="M865" s="64" t="str">
        <f ca="1">IFERROR(__xludf.DUMMYFUNCTION("""COMPUTED_VALUE"""),"NO")</f>
        <v>NO</v>
      </c>
      <c r="N865" s="56">
        <f ca="1">IFERROR(__xludf.DUMMYFUNCTION("""COMPUTED_VALUE"""),2)</f>
        <v>2</v>
      </c>
      <c r="O865" s="64" t="str">
        <f ca="1">IFERROR(__xludf.DUMMYFUNCTION("""COMPUTED_VALUE"""),"QUIET")</f>
        <v>QUIET</v>
      </c>
      <c r="P865" s="62">
        <f ca="1">IFERROR(__xludf.DUMMYFUNCTION("""COMPUTED_VALUE"""),2718.18)</f>
        <v>2718.18</v>
      </c>
      <c r="Q865" s="33" t="str">
        <f ca="1">IFERROR(__xludf.DUMMYFUNCTION("""COMPUTED_VALUE"""),"Luis Alberto Rodríguez")</f>
        <v>Luis Alberto Rodríguez</v>
      </c>
      <c r="R865" s="33" t="str">
        <f ca="1">IFERROR(__xludf.DUMMYFUNCTION("""COMPUTED_VALUE"""),"Dr, Ulises Bidón Gómez")</f>
        <v>Dr, Ulises Bidón Gómez</v>
      </c>
      <c r="S865" s="61" t="str">
        <f ca="1">IFERROR(__xludf.DUMMYFUNCTION("""COMPUTED_VALUE"""),"03 ORL")</f>
        <v>03 ORL</v>
      </c>
      <c r="T865" s="33" t="str">
        <f ca="1">IFERROR(__xludf.DUMMYFUNCTION("""COMPUTED_VALUE"""),"06 ORL")</f>
        <v>06 ORL</v>
      </c>
      <c r="U865" s="62"/>
      <c r="W865" s="61"/>
      <c r="X865" s="62"/>
    </row>
    <row r="866" spans="2:24" ht="16">
      <c r="B866" s="67" t="str">
        <f t="shared" ca="1" si="4"/>
        <v/>
      </c>
      <c r="C866" s="64"/>
      <c r="D866" s="33" t="str">
        <f ca="1">IFERROR(__xludf.DUMMYFUNCTION("""COMPUTED_VALUE"""),"PROPIOS")</f>
        <v>PROPIOS</v>
      </c>
      <c r="E866" s="33">
        <f ca="1">IFERROR(__xludf.DUMMYFUNCTION("""COMPUTED_VALUE"""),2026)</f>
        <v>2026</v>
      </c>
      <c r="F866" s="56">
        <f ca="1">IFERROR(__xludf.DUMMYFUNCTION("""COMPUTED_VALUE"""),4)</f>
        <v>4</v>
      </c>
      <c r="G866" s="33" t="str">
        <f ca="1">IFERROR(__xludf.DUMMYFUNCTION("""COMPUTED_VALUE"""),"Sevilla- Montoto")</f>
        <v>Sevilla- Montoto</v>
      </c>
      <c r="H866" s="33" t="str">
        <f ca="1">IFERROR(__xludf.DUMMYFUNCTION("""COMPUTED_VALUE"""),"C20263231152799123")</f>
        <v>C20263231152799123</v>
      </c>
      <c r="I866" s="33" t="str">
        <f ca="1">IFERROR(__xludf.DUMMYFUNCTION("""COMPUTED_VALUE"""),"VALENTIN CHAMORRO FERNANDEZ")</f>
        <v>VALENTIN CHAMORRO FERNANDEZ</v>
      </c>
      <c r="J866" s="57">
        <f ca="1">IFERROR(__xludf.DUMMYFUNCTION("""COMPUTED_VALUE"""),46104)</f>
        <v>46104</v>
      </c>
      <c r="K866" s="33" t="str">
        <f ca="1">IFERROR(__xludf.DUMMYFUNCTION("""COMPUTED_VALUE"""),"Presupuesto")</f>
        <v>Presupuesto</v>
      </c>
      <c r="L866" s="57">
        <f ca="1">IFERROR(__xludf.DUMMYFUNCTION("""COMPUTED_VALUE"""),46119)</f>
        <v>46119</v>
      </c>
      <c r="M866" s="64" t="str">
        <f ca="1">IFERROR(__xludf.DUMMYFUNCTION("""COMPUTED_VALUE"""),"NO")</f>
        <v>NO</v>
      </c>
      <c r="N866" s="56">
        <f ca="1">IFERROR(__xludf.DUMMYFUNCTION("""COMPUTED_VALUE"""),2)</f>
        <v>2</v>
      </c>
      <c r="O866" s="64" t="str">
        <f ca="1">IFERROR(__xludf.DUMMYFUNCTION("""COMPUTED_VALUE"""),"CONFORT")</f>
        <v>CONFORT</v>
      </c>
      <c r="P866" s="62">
        <f ca="1">IFERROR(__xludf.DUMMYFUNCTION("""COMPUTED_VALUE"""),3631.82)</f>
        <v>3631.82</v>
      </c>
      <c r="Q866" s="33" t="str">
        <f ca="1">IFERROR(__xludf.DUMMYFUNCTION("""COMPUTED_VALUE"""),"Luis Alberto Rodríguez")</f>
        <v>Luis Alberto Rodríguez</v>
      </c>
      <c r="R866" s="33" t="str">
        <f ca="1">IFERROR(__xludf.DUMMYFUNCTION("""COMPUTED_VALUE"""),"No recuerda ORL")</f>
        <v>No recuerda ORL</v>
      </c>
      <c r="S866" s="61" t="str">
        <f ca="1">IFERROR(__xludf.DUMMYFUNCTION("""COMPUTED_VALUE"""),"03 ORL")</f>
        <v>03 ORL</v>
      </c>
      <c r="T866" s="33" t="str">
        <f ca="1">IFERROR(__xludf.DUMMYFUNCTION("""COMPUTED_VALUE"""),"06 ORL")</f>
        <v>06 ORL</v>
      </c>
      <c r="U866" s="62"/>
      <c r="W866" s="61"/>
      <c r="X866" s="62"/>
    </row>
    <row r="867" spans="2:24" ht="16">
      <c r="B867" s="67" t="str">
        <f t="shared" ca="1" si="4"/>
        <v>#N/</v>
      </c>
      <c r="C867" s="64" t="str">
        <f ca="1">IFERROR(__xludf.DUMMYFUNCTION("""COMPUTED_VALUE"""),"#N/A")</f>
        <v>#N/A</v>
      </c>
      <c r="D867" s="33" t="str">
        <f ca="1">IFERROR(__xludf.DUMMYFUNCTION("""COMPUTED_VALUE"""),"PARTICIPADOS")</f>
        <v>PARTICIPADOS</v>
      </c>
      <c r="E867" s="33">
        <f ca="1">IFERROR(__xludf.DUMMYFUNCTION("""COMPUTED_VALUE"""),2026)</f>
        <v>2026</v>
      </c>
      <c r="F867" s="56">
        <f ca="1">IFERROR(__xludf.DUMMYFUNCTION("""COMPUTED_VALUE"""),3)</f>
        <v>3</v>
      </c>
      <c r="G867" s="33" t="str">
        <f ca="1">IFERROR(__xludf.DUMMYFUNCTION("""COMPUTED_VALUE"""),"Talavera")</f>
        <v>Talavera</v>
      </c>
      <c r="H867" s="33" t="str">
        <f ca="1">IFERROR(__xludf.DUMMYFUNCTION("""COMPUTED_VALUE"""),"C202622315523680735")</f>
        <v>C202622315523680735</v>
      </c>
      <c r="I867" s="33" t="str">
        <f ca="1">IFERROR(__xludf.DUMMYFUNCTION("""COMPUTED_VALUE"""),"ANTONIO MURILLO RODRIGUEZ")</f>
        <v>ANTONIO MURILLO RODRIGUEZ</v>
      </c>
      <c r="J867" s="57">
        <f ca="1">IFERROR(__xludf.DUMMYFUNCTION("""COMPUTED_VALUE"""),46076)</f>
        <v>46076</v>
      </c>
      <c r="K867" s="33" t="str">
        <f ca="1">IFERROR(__xludf.DUMMYFUNCTION("""COMPUTED_VALUE"""),"Prueba")</f>
        <v>Prueba</v>
      </c>
      <c r="L867" s="57">
        <f ca="1">IFERROR(__xludf.DUMMYFUNCTION("""COMPUTED_VALUE"""),46086)</f>
        <v>46086</v>
      </c>
      <c r="M867" s="64" t="str">
        <f ca="1">IFERROR(__xludf.DUMMYFUNCTION("""COMPUTED_VALUE"""),"NO")</f>
        <v>NO</v>
      </c>
      <c r="N867" s="56">
        <f ca="1">IFERROR(__xludf.DUMMYFUNCTION("""COMPUTED_VALUE"""),2)</f>
        <v>2</v>
      </c>
      <c r="O867" s="64" t="str">
        <f ca="1">IFERROR(__xludf.DUMMYFUNCTION("""COMPUTED_VALUE"""),"QUIET")</f>
        <v>QUIET</v>
      </c>
      <c r="P867" s="62">
        <f ca="1">IFERROR(__xludf.DUMMYFUNCTION("""COMPUTED_VALUE"""),2918.19)</f>
        <v>2918.19</v>
      </c>
      <c r="Q867" s="33" t="str">
        <f ca="1">IFERROR(__xludf.DUMMYFUNCTION("""COMPUTED_VALUE"""),"Lisandro Russian")</f>
        <v>Lisandro Russian</v>
      </c>
      <c r="R867" s="33" t="str">
        <f ca="1">IFERROR(__xludf.DUMMYFUNCTION("""COMPUTED_VALUE"""),"Dra, Natalia Gisseth Pulido Fonseca")</f>
        <v>Dra, Natalia Gisseth Pulido Fonseca</v>
      </c>
      <c r="S867" s="61" t="str">
        <f ca="1">IFERROR(__xludf.DUMMYFUNCTION("""COMPUTED_VALUE"""),"03 ORL")</f>
        <v>03 ORL</v>
      </c>
      <c r="T867" s="33" t="str">
        <f ca="1">IFERROR(__xludf.DUMMYFUNCTION("""COMPUTED_VALUE"""),"06 ORL")</f>
        <v>06 ORL</v>
      </c>
      <c r="U867" s="62"/>
      <c r="W867" s="61"/>
      <c r="X867" s="62"/>
    </row>
    <row r="868" spans="2:24" ht="16">
      <c r="B868" s="67" t="str">
        <f t="shared" ca="1" si="4"/>
        <v>#N/</v>
      </c>
      <c r="C868" s="64" t="str">
        <f ca="1">IFERROR(__xludf.DUMMYFUNCTION("""COMPUTED_VALUE"""),"#N/A")</f>
        <v>#N/A</v>
      </c>
      <c r="D868" s="33" t="str">
        <f ca="1">IFERROR(__xludf.DUMMYFUNCTION("""COMPUTED_VALUE"""),"PARTICIPADOS")</f>
        <v>PARTICIPADOS</v>
      </c>
      <c r="E868" s="33">
        <f ca="1">IFERROR(__xludf.DUMMYFUNCTION("""COMPUTED_VALUE"""),2026)</f>
        <v>2026</v>
      </c>
      <c r="F868" s="56">
        <f ca="1">IFERROR(__xludf.DUMMYFUNCTION("""COMPUTED_VALUE"""),3)</f>
        <v>3</v>
      </c>
      <c r="G868" s="33" t="str">
        <f ca="1">IFERROR(__xludf.DUMMYFUNCTION("""COMPUTED_VALUE"""),"Talavera")</f>
        <v>Talavera</v>
      </c>
      <c r="H868" s="33" t="str">
        <f ca="1">IFERROR(__xludf.DUMMYFUNCTION("""COMPUTED_VALUE"""),"C202625184726832800")</f>
        <v>C202625184726832800</v>
      </c>
      <c r="I868" s="33" t="str">
        <f ca="1">IFERROR(__xludf.DUMMYFUNCTION("""COMPUTED_VALUE"""),"CARLOS GONZÁLEZ FERNÁNDEZ")</f>
        <v>CARLOS GONZÁLEZ FERNÁNDEZ</v>
      </c>
      <c r="J868" s="57">
        <f ca="1">IFERROR(__xludf.DUMMYFUNCTION("""COMPUTED_VALUE"""),46058)</f>
        <v>46058</v>
      </c>
      <c r="K868" s="33" t="str">
        <f ca="1">IFERROR(__xludf.DUMMYFUNCTION("""COMPUTED_VALUE"""),"Prueba")</f>
        <v>Prueba</v>
      </c>
      <c r="L868" s="57">
        <f ca="1">IFERROR(__xludf.DUMMYFUNCTION("""COMPUTED_VALUE"""),46092)</f>
        <v>46092</v>
      </c>
      <c r="M868" s="64" t="str">
        <f ca="1">IFERROR(__xludf.DUMMYFUNCTION("""COMPUTED_VALUE"""),"NO")</f>
        <v>NO</v>
      </c>
      <c r="N868" s="56">
        <f ca="1">IFERROR(__xludf.DUMMYFUNCTION("""COMPUTED_VALUE"""),2)</f>
        <v>2</v>
      </c>
      <c r="O868" s="64" t="str">
        <f ca="1">IFERROR(__xludf.DUMMYFUNCTION("""COMPUTED_VALUE"""),"QUIET")</f>
        <v>QUIET</v>
      </c>
      <c r="P868" s="62">
        <f ca="1">IFERROR(__xludf.DUMMYFUNCTION("""COMPUTED_VALUE"""),3302.98)</f>
        <v>3302.98</v>
      </c>
      <c r="Q868" s="33" t="str">
        <f ca="1">IFERROR(__xludf.DUMMYFUNCTION("""COMPUTED_VALUE"""),"Lisandro Russian")</f>
        <v>Lisandro Russian</v>
      </c>
      <c r="R868" s="33" t="str">
        <f ca="1">IFERROR(__xludf.DUMMYFUNCTION("""COMPUTED_VALUE"""),"Dr, Carlos Félix Asensio Nieto")</f>
        <v>Dr, Carlos Félix Asensio Nieto</v>
      </c>
      <c r="S868" s="61" t="str">
        <f ca="1">IFERROR(__xludf.DUMMYFUNCTION("""COMPUTED_VALUE"""),"03 ORL")</f>
        <v>03 ORL</v>
      </c>
      <c r="T868" s="33" t="str">
        <f ca="1">IFERROR(__xludf.DUMMYFUNCTION("""COMPUTED_VALUE"""),"06 ORL")</f>
        <v>06 ORL</v>
      </c>
      <c r="U868" s="62"/>
      <c r="W868" s="61"/>
      <c r="X868" s="62"/>
    </row>
    <row r="869" spans="2:24" ht="16">
      <c r="B869" s="67" t="str">
        <f t="shared" ca="1" si="4"/>
        <v>#N/</v>
      </c>
      <c r="C869" s="64" t="str">
        <f ca="1">IFERROR(__xludf.DUMMYFUNCTION("""COMPUTED_VALUE"""),"#N/A")</f>
        <v>#N/A</v>
      </c>
      <c r="D869" s="33" t="str">
        <f ca="1">IFERROR(__xludf.DUMMYFUNCTION("""COMPUTED_VALUE"""),"PARTICIPADOS")</f>
        <v>PARTICIPADOS</v>
      </c>
      <c r="E869" s="33">
        <f ca="1">IFERROR(__xludf.DUMMYFUNCTION("""COMPUTED_VALUE"""),2026)</f>
        <v>2026</v>
      </c>
      <c r="F869" s="56">
        <f ca="1">IFERROR(__xludf.DUMMYFUNCTION("""COMPUTED_VALUE"""),3)</f>
        <v>3</v>
      </c>
      <c r="G869" s="33" t="str">
        <f ca="1">IFERROR(__xludf.DUMMYFUNCTION("""COMPUTED_VALUE"""),"Talavera")</f>
        <v>Talavera</v>
      </c>
      <c r="H869" s="33" t="str">
        <f ca="1">IFERROR(__xludf.DUMMYFUNCTION("""COMPUTED_VALUE"""),"C2025919152854375")</f>
        <v>C2025919152854375</v>
      </c>
      <c r="I869" s="33" t="str">
        <f ca="1">IFERROR(__xludf.DUMMYFUNCTION("""COMPUTED_VALUE"""),"CRISTINA  DIAZ PORTELA")</f>
        <v>CRISTINA  DIAZ PORTELA</v>
      </c>
      <c r="J869" s="57">
        <f ca="1">IFERROR(__xludf.DUMMYFUNCTION("""COMPUTED_VALUE"""),46063)</f>
        <v>46063</v>
      </c>
      <c r="K869" s="33" t="str">
        <f ca="1">IFERROR(__xludf.DUMMYFUNCTION("""COMPUTED_VALUE"""),"Prueba")</f>
        <v>Prueba</v>
      </c>
      <c r="L869" s="57">
        <f ca="1">IFERROR(__xludf.DUMMYFUNCTION("""COMPUTED_VALUE"""),46112)</f>
        <v>46112</v>
      </c>
      <c r="M869" s="64" t="str">
        <f ca="1">IFERROR(__xludf.DUMMYFUNCTION("""COMPUTED_VALUE"""),"SI")</f>
        <v>SI</v>
      </c>
      <c r="N869" s="56">
        <f ca="1">IFERROR(__xludf.DUMMYFUNCTION("""COMPUTED_VALUE"""),1)</f>
        <v>1</v>
      </c>
      <c r="O869" s="64" t="str">
        <f ca="1">IFERROR(__xludf.DUMMYFUNCTION("""COMPUTED_VALUE"""),"PRO")</f>
        <v>PRO</v>
      </c>
      <c r="P869" s="62">
        <f ca="1">IFERROR(__xludf.DUMMYFUNCTION("""COMPUTED_VALUE"""),1904.55)</f>
        <v>1904.55</v>
      </c>
      <c r="Q869" s="33" t="str">
        <f ca="1">IFERROR(__xludf.DUMMYFUNCTION("""COMPUTED_VALUE"""),"Lisandro Russian")</f>
        <v>Lisandro Russian</v>
      </c>
      <c r="R869" s="33" t="str">
        <f ca="1">IFERROR(__xludf.DUMMYFUNCTION("""COMPUTED_VALUE"""),"Dr, Carlos Félix Asensio Nieto")</f>
        <v>Dr, Carlos Félix Asensio Nieto</v>
      </c>
      <c r="S869" s="61" t="str">
        <f ca="1">IFERROR(__xludf.DUMMYFUNCTION("""COMPUTED_VALUE"""),"03 ORL")</f>
        <v>03 ORL</v>
      </c>
      <c r="T869" s="33" t="str">
        <f ca="1">IFERROR(__xludf.DUMMYFUNCTION("""COMPUTED_VALUE"""),"06 ORL")</f>
        <v>06 ORL</v>
      </c>
      <c r="U869" s="62"/>
      <c r="W869" s="61"/>
      <c r="X869" s="62"/>
    </row>
    <row r="870" spans="2:24" ht="16">
      <c r="B870" s="67" t="str">
        <f t="shared" ca="1" si="4"/>
        <v>#N/</v>
      </c>
      <c r="C870" s="64" t="str">
        <f ca="1">IFERROR(__xludf.DUMMYFUNCTION("""COMPUTED_VALUE"""),"#N/A")</f>
        <v>#N/A</v>
      </c>
      <c r="D870" s="33" t="str">
        <f ca="1">IFERROR(__xludf.DUMMYFUNCTION("""COMPUTED_VALUE"""),"PARTICIPADOS")</f>
        <v>PARTICIPADOS</v>
      </c>
      <c r="E870" s="33">
        <f ca="1">IFERROR(__xludf.DUMMYFUNCTION("""COMPUTED_VALUE"""),2026)</f>
        <v>2026</v>
      </c>
      <c r="F870" s="56">
        <f ca="1">IFERROR(__xludf.DUMMYFUNCTION("""COMPUTED_VALUE"""),4)</f>
        <v>4</v>
      </c>
      <c r="G870" s="33" t="str">
        <f ca="1">IFERROR(__xludf.DUMMYFUNCTION("""COMPUTED_VALUE"""),"Talavera")</f>
        <v>Talavera</v>
      </c>
      <c r="H870" s="33" t="str">
        <f ca="1">IFERROR(__xludf.DUMMYFUNCTION("""COMPUTED_VALUE"""),"C202632417381361652")</f>
        <v>C202632417381361652</v>
      </c>
      <c r="I870" s="33" t="str">
        <f ca="1">IFERROR(__xludf.DUMMYFUNCTION("""COMPUTED_VALUE"""),"ELENA MARTÍN DEL MAZO")</f>
        <v>ELENA MARTÍN DEL MAZO</v>
      </c>
      <c r="J870" s="57">
        <f ca="1">IFERROR(__xludf.DUMMYFUNCTION("""COMPUTED_VALUE"""),46105)</f>
        <v>46105</v>
      </c>
      <c r="K870" s="33" t="str">
        <f ca="1">IFERROR(__xludf.DUMMYFUNCTION("""COMPUTED_VALUE"""),"Prueba")</f>
        <v>Prueba</v>
      </c>
      <c r="L870" s="57">
        <f ca="1">IFERROR(__xludf.DUMMYFUNCTION("""COMPUTED_VALUE"""),46113)</f>
        <v>46113</v>
      </c>
      <c r="M870" s="64" t="str">
        <f ca="1">IFERROR(__xludf.DUMMYFUNCTION("""COMPUTED_VALUE"""),"NO")</f>
        <v>NO</v>
      </c>
      <c r="N870" s="56">
        <f ca="1">IFERROR(__xludf.DUMMYFUNCTION("""COMPUTED_VALUE"""),2)</f>
        <v>2</v>
      </c>
      <c r="O870" s="64" t="str">
        <f ca="1">IFERROR(__xludf.DUMMYFUNCTION("""COMPUTED_VALUE"""),"QUIET")</f>
        <v>QUIET</v>
      </c>
      <c r="P870" s="62">
        <f ca="1">IFERROR(__xludf.DUMMYFUNCTION("""COMPUTED_VALUE"""),2918.18)</f>
        <v>2918.18</v>
      </c>
      <c r="Q870" s="33" t="str">
        <f ca="1">IFERROR(__xludf.DUMMYFUNCTION("""COMPUTED_VALUE"""),"Lisandro Russian")</f>
        <v>Lisandro Russian</v>
      </c>
      <c r="R870" s="33" t="str">
        <f ca="1">IFERROR(__xludf.DUMMYFUNCTION("""COMPUTED_VALUE"""),"Dr, Carlos Félix Asensio Nieto")</f>
        <v>Dr, Carlos Félix Asensio Nieto</v>
      </c>
      <c r="S870" s="61" t="str">
        <f ca="1">IFERROR(__xludf.DUMMYFUNCTION("""COMPUTED_VALUE"""),"03 ORL")</f>
        <v>03 ORL</v>
      </c>
      <c r="T870" s="33" t="str">
        <f ca="1">IFERROR(__xludf.DUMMYFUNCTION("""COMPUTED_VALUE"""),"06 ORL")</f>
        <v>06 ORL</v>
      </c>
      <c r="U870" s="62"/>
      <c r="W870" s="61"/>
      <c r="X870" s="62"/>
    </row>
    <row r="871" spans="2:24" ht="16">
      <c r="B871" s="67" t="str">
        <f t="shared" ca="1" si="4"/>
        <v>#N/</v>
      </c>
      <c r="C871" s="64" t="str">
        <f ca="1">IFERROR(__xludf.DUMMYFUNCTION("""COMPUTED_VALUE"""),"#N/A")</f>
        <v>#N/A</v>
      </c>
      <c r="D871" s="33" t="str">
        <f ca="1">IFERROR(__xludf.DUMMYFUNCTION("""COMPUTED_VALUE"""),"PARTICIPADOS")</f>
        <v>PARTICIPADOS</v>
      </c>
      <c r="E871" s="33">
        <f ca="1">IFERROR(__xludf.DUMMYFUNCTION("""COMPUTED_VALUE"""),2026)</f>
        <v>2026</v>
      </c>
      <c r="F871" s="56">
        <f ca="1">IFERROR(__xludf.DUMMYFUNCTION("""COMPUTED_VALUE"""),3)</f>
        <v>3</v>
      </c>
      <c r="G871" s="33" t="str">
        <f ca="1">IFERROR(__xludf.DUMMYFUNCTION("""COMPUTED_VALUE"""),"Talavera")</f>
        <v>Talavera</v>
      </c>
      <c r="H871" s="33" t="str">
        <f ca="1">IFERROR(__xludf.DUMMYFUNCTION("""COMPUTED_VALUE"""),"C20263318331486467")</f>
        <v>C20263318331486467</v>
      </c>
      <c r="I871" s="33" t="str">
        <f ca="1">IFERROR(__xludf.DUMMYFUNCTION("""COMPUTED_VALUE"""),"JOSE LUIS FERNÁNDEZ SÁNCHEZ")</f>
        <v>JOSE LUIS FERNÁNDEZ SÁNCHEZ</v>
      </c>
      <c r="J871" s="57">
        <f ca="1">IFERROR(__xludf.DUMMYFUNCTION("""COMPUTED_VALUE"""),46084)</f>
        <v>46084</v>
      </c>
      <c r="K871" s="33" t="str">
        <f ca="1">IFERROR(__xludf.DUMMYFUNCTION("""COMPUTED_VALUE"""),"Prueba")</f>
        <v>Prueba</v>
      </c>
      <c r="L871" s="57">
        <f ca="1">IFERROR(__xludf.DUMMYFUNCTION("""COMPUTED_VALUE"""),46101)</f>
        <v>46101</v>
      </c>
      <c r="M871" s="64" t="str">
        <f ca="1">IFERROR(__xludf.DUMMYFUNCTION("""COMPUTED_VALUE"""),"NO")</f>
        <v>NO</v>
      </c>
      <c r="N871" s="56">
        <f ca="1">IFERROR(__xludf.DUMMYFUNCTION("""COMPUTED_VALUE"""),2)</f>
        <v>2</v>
      </c>
      <c r="O871" s="64" t="str">
        <f ca="1">IFERROR(__xludf.DUMMYFUNCTION("""COMPUTED_VALUE"""),"QUIET")</f>
        <v>QUIET</v>
      </c>
      <c r="P871" s="62">
        <f ca="1">IFERROR(__xludf.DUMMYFUNCTION("""COMPUTED_VALUE"""),2918.18)</f>
        <v>2918.18</v>
      </c>
      <c r="Q871" s="33" t="str">
        <f ca="1">IFERROR(__xludf.DUMMYFUNCTION("""COMPUTED_VALUE"""),"Lisandro Russian")</f>
        <v>Lisandro Russian</v>
      </c>
      <c r="R871" s="33" t="str">
        <f ca="1">IFERROR(__xludf.DUMMYFUNCTION("""COMPUTED_VALUE"""),"Dr, Carlos Félix Asensio Nieto")</f>
        <v>Dr, Carlos Félix Asensio Nieto</v>
      </c>
      <c r="S871" s="61" t="str">
        <f ca="1">IFERROR(__xludf.DUMMYFUNCTION("""COMPUTED_VALUE"""),"03 ORL")</f>
        <v>03 ORL</v>
      </c>
      <c r="T871" s="33" t="str">
        <f ca="1">IFERROR(__xludf.DUMMYFUNCTION("""COMPUTED_VALUE"""),"06 ORL")</f>
        <v>06 ORL</v>
      </c>
      <c r="U871" s="62"/>
      <c r="W871" s="61"/>
      <c r="X871" s="62"/>
    </row>
    <row r="872" spans="2:24" ht="16">
      <c r="B872" s="67" t="str">
        <f t="shared" ca="1" si="4"/>
        <v/>
      </c>
      <c r="C872" s="64"/>
      <c r="D872" s="33" t="str">
        <f ca="1">IFERROR(__xludf.DUMMYFUNCTION("""COMPUTED_VALUE"""),"PARTICIPADOS")</f>
        <v>PARTICIPADOS</v>
      </c>
      <c r="E872" s="33">
        <f ca="1">IFERROR(__xludf.DUMMYFUNCTION("""COMPUTED_VALUE"""),2026)</f>
        <v>2026</v>
      </c>
      <c r="F872" s="56">
        <f ca="1">IFERROR(__xludf.DUMMYFUNCTION("""COMPUTED_VALUE"""),3)</f>
        <v>3</v>
      </c>
      <c r="G872" s="33" t="str">
        <f ca="1">IFERROR(__xludf.DUMMYFUNCTION("""COMPUTED_VALUE"""),"Talavera")</f>
        <v>Talavera</v>
      </c>
      <c r="H872" s="33" t="str">
        <f ca="1">IFERROR(__xludf.DUMMYFUNCTION("""COMPUTED_VALUE"""),"C202631012563784126")</f>
        <v>C202631012563784126</v>
      </c>
      <c r="I872" s="33" t="str">
        <f ca="1">IFERROR(__xludf.DUMMYFUNCTION("""COMPUTED_VALUE"""),"MARGARITA CALVO ARRÓZPIDE")</f>
        <v>MARGARITA CALVO ARRÓZPIDE</v>
      </c>
      <c r="J872" s="57">
        <f ca="1">IFERROR(__xludf.DUMMYFUNCTION("""COMPUTED_VALUE"""),46091)</f>
        <v>46091</v>
      </c>
      <c r="K872" s="33" t="str">
        <f ca="1">IFERROR(__xludf.DUMMYFUNCTION("""COMPUTED_VALUE"""),"Pedido")</f>
        <v>Pedido</v>
      </c>
      <c r="L872" s="57">
        <f ca="1">IFERROR(__xludf.DUMMYFUNCTION("""COMPUTED_VALUE"""),46099)</f>
        <v>46099</v>
      </c>
      <c r="M872" s="64" t="str">
        <f ca="1">IFERROR(__xludf.DUMMYFUNCTION("""COMPUTED_VALUE"""),"NO")</f>
        <v>NO</v>
      </c>
      <c r="N872" s="56">
        <f ca="1">IFERROR(__xludf.DUMMYFUNCTION("""COMPUTED_VALUE"""),2)</f>
        <v>2</v>
      </c>
      <c r="O872" s="64" t="str">
        <f ca="1">IFERROR(__xludf.DUMMYFUNCTION("""COMPUTED_VALUE"""),"QUIET")</f>
        <v>QUIET</v>
      </c>
      <c r="P872" s="62">
        <f ca="1">IFERROR(__xludf.DUMMYFUNCTION("""COMPUTED_VALUE"""),2918.18)</f>
        <v>2918.18</v>
      </c>
      <c r="Q872" s="33" t="str">
        <f ca="1">IFERROR(__xludf.DUMMYFUNCTION("""COMPUTED_VALUE"""),"Alberto Moreno")</f>
        <v>Alberto Moreno</v>
      </c>
      <c r="R872" s="33" t="str">
        <f ca="1">IFERROR(__xludf.DUMMYFUNCTION("""COMPUTED_VALUE"""),"No recuerda ORL")</f>
        <v>No recuerda ORL</v>
      </c>
      <c r="S872" s="61" t="str">
        <f ca="1">IFERROR(__xludf.DUMMYFUNCTION("""COMPUTED_VALUE"""),"03 ORL")</f>
        <v>03 ORL</v>
      </c>
      <c r="T872" s="33" t="str">
        <f ca="1">IFERROR(__xludf.DUMMYFUNCTION("""COMPUTED_VALUE"""),"06 ORL")</f>
        <v>06 ORL</v>
      </c>
      <c r="U872" s="62"/>
      <c r="W872" s="61"/>
      <c r="X872" s="62"/>
    </row>
    <row r="873" spans="2:24" ht="16">
      <c r="B873" s="67" t="str">
        <f t="shared" ca="1" si="4"/>
        <v>#N/</v>
      </c>
      <c r="C873" s="64" t="str">
        <f ca="1">IFERROR(__xludf.DUMMYFUNCTION("""COMPUTED_VALUE"""),"#N/A")</f>
        <v>#N/A</v>
      </c>
      <c r="D873" s="33" t="str">
        <f ca="1">IFERROR(__xludf.DUMMYFUNCTION("""COMPUTED_VALUE"""),"PARTICIPADOS")</f>
        <v>PARTICIPADOS</v>
      </c>
      <c r="E873" s="33">
        <f ca="1">IFERROR(__xludf.DUMMYFUNCTION("""COMPUTED_VALUE"""),2026)</f>
        <v>2026</v>
      </c>
      <c r="F873" s="56">
        <f ca="1">IFERROR(__xludf.DUMMYFUNCTION("""COMPUTED_VALUE"""),2)</f>
        <v>2</v>
      </c>
      <c r="G873" s="33" t="str">
        <f ca="1">IFERROR(__xludf.DUMMYFUNCTION("""COMPUTED_VALUE"""),"Talavera")</f>
        <v>Talavera</v>
      </c>
      <c r="H873" s="33" t="str">
        <f ca="1">IFERROR(__xludf.DUMMYFUNCTION("""COMPUTED_VALUE"""),"C202612711434072798")</f>
        <v>C202612711434072798</v>
      </c>
      <c r="I873" s="33" t="str">
        <f ca="1">IFERROR(__xludf.DUMMYFUNCTION("""COMPUTED_VALUE"""),"RICARDO JIMÉNEZ ESTÉBAN")</f>
        <v>RICARDO JIMÉNEZ ESTÉBAN</v>
      </c>
      <c r="J873" s="57">
        <f ca="1">IFERROR(__xludf.DUMMYFUNCTION("""COMPUTED_VALUE"""),46049)</f>
        <v>46049</v>
      </c>
      <c r="K873" s="33" t="str">
        <f ca="1">IFERROR(__xludf.DUMMYFUNCTION("""COMPUTED_VALUE"""),"Prueba")</f>
        <v>Prueba</v>
      </c>
      <c r="L873" s="57">
        <f ca="1">IFERROR(__xludf.DUMMYFUNCTION("""COMPUTED_VALUE"""),46057)</f>
        <v>46057</v>
      </c>
      <c r="M873" s="64" t="str">
        <f ca="1">IFERROR(__xludf.DUMMYFUNCTION("""COMPUTED_VALUE"""),"NO")</f>
        <v>NO</v>
      </c>
      <c r="N873" s="56">
        <f ca="1">IFERROR(__xludf.DUMMYFUNCTION("""COMPUTED_VALUE"""),2)</f>
        <v>2</v>
      </c>
      <c r="O873" s="64" t="str">
        <f ca="1">IFERROR(__xludf.DUMMYFUNCTION("""COMPUTED_VALUE"""),"QUIET")</f>
        <v>QUIET</v>
      </c>
      <c r="P873" s="62">
        <f ca="1">IFERROR(__xludf.DUMMYFUNCTION("""COMPUTED_VALUE"""),2718.18)</f>
        <v>2718.18</v>
      </c>
      <c r="Q873" s="33" t="str">
        <f ca="1">IFERROR(__xludf.DUMMYFUNCTION("""COMPUTED_VALUE"""),"Lisandro Russian")</f>
        <v>Lisandro Russian</v>
      </c>
      <c r="R873" s="33" t="str">
        <f ca="1">IFERROR(__xludf.DUMMYFUNCTION("""COMPUTED_VALUE"""),"Dra, Natalia Gisseth Pulido Fonseca")</f>
        <v>Dra, Natalia Gisseth Pulido Fonseca</v>
      </c>
      <c r="S873" s="61" t="str">
        <f ca="1">IFERROR(__xludf.DUMMYFUNCTION("""COMPUTED_VALUE"""),"03 ORL")</f>
        <v>03 ORL</v>
      </c>
      <c r="T873" s="33" t="str">
        <f ca="1">IFERROR(__xludf.DUMMYFUNCTION("""COMPUTED_VALUE"""),"06 ORL")</f>
        <v>06 ORL</v>
      </c>
      <c r="U873" s="62"/>
      <c r="W873" s="61"/>
      <c r="X873" s="62"/>
    </row>
    <row r="874" spans="2:24" ht="16">
      <c r="B874" s="67" t="str">
        <f t="shared" ca="1" si="4"/>
        <v>#N/</v>
      </c>
      <c r="C874" s="64" t="str">
        <f ca="1">IFERROR(__xludf.DUMMYFUNCTION("""COMPUTED_VALUE"""),"#N/A")</f>
        <v>#N/A</v>
      </c>
      <c r="D874" s="33" t="str">
        <f ca="1">IFERROR(__xludf.DUMMYFUNCTION("""COMPUTED_VALUE"""),"PARTICIPADOS")</f>
        <v>PARTICIPADOS</v>
      </c>
      <c r="E874" s="33">
        <f ca="1">IFERROR(__xludf.DUMMYFUNCTION("""COMPUTED_VALUE"""),2026)</f>
        <v>2026</v>
      </c>
      <c r="F874" s="56">
        <f ca="1">IFERROR(__xludf.DUMMYFUNCTION("""COMPUTED_VALUE"""),3)</f>
        <v>3</v>
      </c>
      <c r="G874" s="33" t="str">
        <f ca="1">IFERROR(__xludf.DUMMYFUNCTION("""COMPUTED_VALUE"""),"Talavera")</f>
        <v>Talavera</v>
      </c>
      <c r="H874" s="33" t="str">
        <f ca="1">IFERROR(__xludf.DUMMYFUNCTION("""COMPUTED_VALUE"""),"C202631611271364733")</f>
        <v>C202631611271364733</v>
      </c>
      <c r="I874" s="33" t="str">
        <f ca="1">IFERROR(__xludf.DUMMYFUNCTION("""COMPUTED_VALUE"""),"ROSA MARÍA RAMÍREZ CARRICHES")</f>
        <v>ROSA MARÍA RAMÍREZ CARRICHES</v>
      </c>
      <c r="J874" s="57">
        <f ca="1">IFERROR(__xludf.DUMMYFUNCTION("""COMPUTED_VALUE"""),46097)</f>
        <v>46097</v>
      </c>
      <c r="K874" s="33" t="str">
        <f ca="1">IFERROR(__xludf.DUMMYFUNCTION("""COMPUTED_VALUE"""),"Prueba")</f>
        <v>Prueba</v>
      </c>
      <c r="L874" s="57">
        <f ca="1">IFERROR(__xludf.DUMMYFUNCTION("""COMPUTED_VALUE"""),46106)</f>
        <v>46106</v>
      </c>
      <c r="M874" s="64" t="str">
        <f ca="1">IFERROR(__xludf.DUMMYFUNCTION("""COMPUTED_VALUE"""),"NO")</f>
        <v>NO</v>
      </c>
      <c r="N874" s="56">
        <f ca="1">IFERROR(__xludf.DUMMYFUNCTION("""COMPUTED_VALUE"""),2)</f>
        <v>2</v>
      </c>
      <c r="O874" s="64" t="str">
        <f ca="1">IFERROR(__xludf.DUMMYFUNCTION("""COMPUTED_VALUE"""),"QUIET")</f>
        <v>QUIET</v>
      </c>
      <c r="P874" s="62">
        <f ca="1">IFERROR(__xludf.DUMMYFUNCTION("""COMPUTED_VALUE"""),2918.18)</f>
        <v>2918.18</v>
      </c>
      <c r="Q874" s="33" t="str">
        <f ca="1">IFERROR(__xludf.DUMMYFUNCTION("""COMPUTED_VALUE"""),"Lisandro Russian")</f>
        <v>Lisandro Russian</v>
      </c>
      <c r="R874" s="33" t="str">
        <f ca="1">IFERROR(__xludf.DUMMYFUNCTION("""COMPUTED_VALUE"""),"Dra, Natalia Gisseth Pulido Fonseca")</f>
        <v>Dra, Natalia Gisseth Pulido Fonseca</v>
      </c>
      <c r="S874" s="61" t="str">
        <f ca="1">IFERROR(__xludf.DUMMYFUNCTION("""COMPUTED_VALUE"""),"03 ORL")</f>
        <v>03 ORL</v>
      </c>
      <c r="T874" s="33" t="str">
        <f ca="1">IFERROR(__xludf.DUMMYFUNCTION("""COMPUTED_VALUE"""),"06 ORL")</f>
        <v>06 ORL</v>
      </c>
      <c r="U874" s="62"/>
      <c r="W874" s="61"/>
      <c r="X874" s="62"/>
    </row>
    <row r="875" spans="2:24" ht="16">
      <c r="B875" s="67" t="str">
        <f t="shared" ca="1" si="4"/>
        <v>#N/</v>
      </c>
      <c r="C875" s="64" t="str">
        <f ca="1">IFERROR(__xludf.DUMMYFUNCTION("""COMPUTED_VALUE"""),"#N/A")</f>
        <v>#N/A</v>
      </c>
      <c r="D875" s="33" t="str">
        <f ca="1">IFERROR(__xludf.DUMMYFUNCTION("""COMPUTED_VALUE"""),"PARTICIPADOS")</f>
        <v>PARTICIPADOS</v>
      </c>
      <c r="E875" s="33">
        <f ca="1">IFERROR(__xludf.DUMMYFUNCTION("""COMPUTED_VALUE"""),2026)</f>
        <v>2026</v>
      </c>
      <c r="F875" s="56">
        <f ca="1">IFERROR(__xludf.DUMMYFUNCTION("""COMPUTED_VALUE"""),3)</f>
        <v>3</v>
      </c>
      <c r="G875" s="33" t="str">
        <f ca="1">IFERROR(__xludf.DUMMYFUNCTION("""COMPUTED_VALUE"""),"Talavera")</f>
        <v>Talavera</v>
      </c>
      <c r="H875" s="33" t="str">
        <f ca="1">IFERROR(__xludf.DUMMYFUNCTION("""COMPUTED_VALUE"""),"C202633103114439536")</f>
        <v>C202633103114439536</v>
      </c>
      <c r="I875" s="33" t="str">
        <f ca="1">IFERROR(__xludf.DUMMYFUNCTION("""COMPUTED_VALUE"""),"ROSARIO MARTÍN CORREAS")</f>
        <v>ROSARIO MARTÍN CORREAS</v>
      </c>
      <c r="J875" s="57">
        <f ca="1">IFERROR(__xludf.DUMMYFUNCTION("""COMPUTED_VALUE"""),46084)</f>
        <v>46084</v>
      </c>
      <c r="K875" s="33" t="str">
        <f ca="1">IFERROR(__xludf.DUMMYFUNCTION("""COMPUTED_VALUE"""),"Prueba")</f>
        <v>Prueba</v>
      </c>
      <c r="L875" s="57">
        <f ca="1">IFERROR(__xludf.DUMMYFUNCTION("""COMPUTED_VALUE"""),46093)</f>
        <v>46093</v>
      </c>
      <c r="M875" s="64" t="str">
        <f ca="1">IFERROR(__xludf.DUMMYFUNCTION("""COMPUTED_VALUE"""),"NO")</f>
        <v>NO</v>
      </c>
      <c r="N875" s="56">
        <f ca="1">IFERROR(__xludf.DUMMYFUNCTION("""COMPUTED_VALUE"""),2)</f>
        <v>2</v>
      </c>
      <c r="O875" s="64" t="str">
        <f ca="1">IFERROR(__xludf.DUMMYFUNCTION("""COMPUTED_VALUE"""),"QUIET")</f>
        <v>QUIET</v>
      </c>
      <c r="P875" s="62">
        <f ca="1">IFERROR(__xludf.DUMMYFUNCTION("""COMPUTED_VALUE"""),2918.18)</f>
        <v>2918.18</v>
      </c>
      <c r="Q875" s="33" t="str">
        <f ca="1">IFERROR(__xludf.DUMMYFUNCTION("""COMPUTED_VALUE"""),"Lisandro Russian")</f>
        <v>Lisandro Russian</v>
      </c>
      <c r="R875" s="33" t="str">
        <f ca="1">IFERROR(__xludf.DUMMYFUNCTION("""COMPUTED_VALUE"""),"Dr, Carlos Félix Asensio Nieto")</f>
        <v>Dr, Carlos Félix Asensio Nieto</v>
      </c>
      <c r="S875" s="61" t="str">
        <f ca="1">IFERROR(__xludf.DUMMYFUNCTION("""COMPUTED_VALUE"""),"03 ORL")</f>
        <v>03 ORL</v>
      </c>
      <c r="T875" s="33" t="str">
        <f ca="1">IFERROR(__xludf.DUMMYFUNCTION("""COMPUTED_VALUE"""),"06 ORL")</f>
        <v>06 ORL</v>
      </c>
      <c r="U875" s="62"/>
      <c r="W875" s="61"/>
      <c r="X875" s="62"/>
    </row>
    <row r="876" spans="2:24" ht="16">
      <c r="B876" s="67" t="str">
        <f t="shared" ca="1" si="4"/>
        <v>#N/</v>
      </c>
      <c r="C876" s="64" t="str">
        <f ca="1">IFERROR(__xludf.DUMMYFUNCTION("""COMPUTED_VALUE"""),"#N/A")</f>
        <v>#N/A</v>
      </c>
      <c r="D876" s="33" t="str">
        <f ca="1">IFERROR(__xludf.DUMMYFUNCTION("""COMPUTED_VALUE"""),"PARTICIPADOS")</f>
        <v>PARTICIPADOS</v>
      </c>
      <c r="E876" s="33">
        <f ca="1">IFERROR(__xludf.DUMMYFUNCTION("""COMPUTED_VALUE"""),2026)</f>
        <v>2026</v>
      </c>
      <c r="F876" s="56">
        <f ca="1">IFERROR(__xludf.DUMMYFUNCTION("""COMPUTED_VALUE"""),2)</f>
        <v>2</v>
      </c>
      <c r="G876" s="33" t="str">
        <f ca="1">IFERROR(__xludf.DUMMYFUNCTION("""COMPUTED_VALUE"""),"Talavera")</f>
        <v>Talavera</v>
      </c>
      <c r="H876" s="33" t="str">
        <f ca="1">IFERROR(__xludf.DUMMYFUNCTION("""COMPUTED_VALUE"""),"TAL-3")</f>
        <v>TAL-3</v>
      </c>
      <c r="I876" s="33" t="str">
        <f ca="1">IFERROR(__xludf.DUMMYFUNCTION("""COMPUTED_VALUE"""),"TAMARA IGLESIAS MONTES")</f>
        <v>TAMARA IGLESIAS MONTES</v>
      </c>
      <c r="J876" s="57">
        <f ca="1">IFERROR(__xludf.DUMMYFUNCTION("""COMPUTED_VALUE"""),45014)</f>
        <v>45014</v>
      </c>
      <c r="K876" s="33" t="str">
        <f ca="1">IFERROR(__xludf.DUMMYFUNCTION("""COMPUTED_VALUE"""),"Presupuesto")</f>
        <v>Presupuesto</v>
      </c>
      <c r="L876" s="57">
        <f ca="1">IFERROR(__xludf.DUMMYFUNCTION("""COMPUTED_VALUE"""),46058)</f>
        <v>46058</v>
      </c>
      <c r="M876" s="64" t="str">
        <f ca="1">IFERROR(__xludf.DUMMYFUNCTION("""COMPUTED_VALUE"""),"NO")</f>
        <v>NO</v>
      </c>
      <c r="N876" s="56">
        <f ca="1">IFERROR(__xludf.DUMMYFUNCTION("""COMPUTED_VALUE"""),2)</f>
        <v>2</v>
      </c>
      <c r="O876" s="64" t="str">
        <f ca="1">IFERROR(__xludf.DUMMYFUNCTION("""COMPUTED_VALUE"""),"QUIET")</f>
        <v>QUIET</v>
      </c>
      <c r="P876" s="62">
        <f ca="1">IFERROR(__xludf.DUMMYFUNCTION("""COMPUTED_VALUE"""),2718.18)</f>
        <v>2718.18</v>
      </c>
      <c r="Q876" s="33" t="str">
        <f ca="1">IFERROR(__xludf.DUMMYFUNCTION("""COMPUTED_VALUE"""),"Lisandro Russian")</f>
        <v>Lisandro Russian</v>
      </c>
      <c r="R876" s="33" t="str">
        <f ca="1">IFERROR(__xludf.DUMMYFUNCTION("""COMPUTED_VALUE"""),"Dra, María Del Rocío Lobato Pérez")</f>
        <v>Dra, María Del Rocío Lobato Pérez</v>
      </c>
      <c r="S876" s="61" t="str">
        <f ca="1">IFERROR(__xludf.DUMMYFUNCTION("""COMPUTED_VALUE"""),"01 MARKETING ON LINE")</f>
        <v>01 MARKETING ON LINE</v>
      </c>
      <c r="T876" s="33" t="str">
        <f ca="1">IFERROR(__xludf.DUMMYFUNCTION("""COMPUTED_VALUE"""),"04 AUDIFONO,ES")</f>
        <v>04 AUDIFONO,ES</v>
      </c>
      <c r="U876" s="62"/>
      <c r="W876" s="61"/>
      <c r="X876" s="62"/>
    </row>
    <row r="877" spans="2:24" ht="16">
      <c r="B877" s="67" t="str">
        <f t="shared" ca="1" si="4"/>
        <v>#N/</v>
      </c>
      <c r="C877" s="64" t="str">
        <f ca="1">IFERROR(__xludf.DUMMYFUNCTION("""COMPUTED_VALUE"""),"#N/A")</f>
        <v>#N/A</v>
      </c>
      <c r="D877" s="33" t="str">
        <f ca="1">IFERROR(__xludf.DUMMYFUNCTION("""COMPUTED_VALUE"""),"PROPIOS")</f>
        <v>PROPIOS</v>
      </c>
      <c r="E877" s="33">
        <f ca="1">IFERROR(__xludf.DUMMYFUNCTION("""COMPUTED_VALUE"""),2026)</f>
        <v>2026</v>
      </c>
      <c r="F877" s="56">
        <f ca="1">IFERROR(__xludf.DUMMYFUNCTION("""COMPUTED_VALUE"""),3)</f>
        <v>3</v>
      </c>
      <c r="G877" s="33" t="str">
        <f ca="1">IFERROR(__xludf.DUMMYFUNCTION("""COMPUTED_VALUE"""),"Toledo")</f>
        <v>Toledo</v>
      </c>
      <c r="H877" s="33" t="str">
        <f ca="1">IFERROR(__xludf.DUMMYFUNCTION("""COMPUTED_VALUE"""),"C20241028175125299")</f>
        <v>C20241028175125299</v>
      </c>
      <c r="I877" s="33" t="str">
        <f ca="1">IFERROR(__xludf.DUMMYFUNCTION("""COMPUTED_VALUE"""),"ASCENSION MARTIN RAMIREZ")</f>
        <v>ASCENSION MARTIN RAMIREZ</v>
      </c>
      <c r="J877" s="57">
        <f ca="1">IFERROR(__xludf.DUMMYFUNCTION("""COMPUTED_VALUE"""),45593)</f>
        <v>45593</v>
      </c>
      <c r="K877" s="33" t="str">
        <f ca="1">IFERROR(__xludf.DUMMYFUNCTION("""COMPUTED_VALUE"""),"Devuelve")</f>
        <v>Devuelve</v>
      </c>
      <c r="L877" s="57">
        <f ca="1">IFERROR(__xludf.DUMMYFUNCTION("""COMPUTED_VALUE"""),46091)</f>
        <v>46091</v>
      </c>
      <c r="M877" s="64" t="str">
        <f ca="1">IFERROR(__xludf.DUMMYFUNCTION("""COMPUTED_VALUE"""),"NO")</f>
        <v>NO</v>
      </c>
      <c r="N877" s="56">
        <f ca="1">IFERROR(__xludf.DUMMYFUNCTION("""COMPUTED_VALUE"""),1)</f>
        <v>1</v>
      </c>
      <c r="O877" s="64" t="str">
        <f ca="1">IFERROR(__xludf.DUMMYFUNCTION("""COMPUTED_VALUE"""),"QUIET")</f>
        <v>QUIET</v>
      </c>
      <c r="P877" s="62">
        <f ca="1">IFERROR(__xludf.DUMMYFUNCTION("""COMPUTED_VALUE"""),1631.82)</f>
        <v>1631.82</v>
      </c>
      <c r="Q877" s="33" t="str">
        <f ca="1">IFERROR(__xludf.DUMMYFUNCTION("""COMPUTED_VALUE"""),"Maika Blázquez")</f>
        <v>Maika Blázquez</v>
      </c>
      <c r="R877" s="33" t="str">
        <f ca="1">IFERROR(__xludf.DUMMYFUNCTION("""COMPUTED_VALUE"""),"Dra, María Garrote Garrote")</f>
        <v>Dra, María Garrote Garrote</v>
      </c>
      <c r="S877" s="61" t="str">
        <f ca="1">IFERROR(__xludf.DUMMYFUNCTION("""COMPUTED_VALUE"""),"03 ORL")</f>
        <v>03 ORL</v>
      </c>
      <c r="T877" s="33" t="str">
        <f ca="1">IFERROR(__xludf.DUMMYFUNCTION("""COMPUTED_VALUE"""),"06 ORL")</f>
        <v>06 ORL</v>
      </c>
      <c r="U877" s="62"/>
      <c r="W877" s="61"/>
      <c r="X877" s="62"/>
    </row>
    <row r="878" spans="2:24" ht="16">
      <c r="B878" s="67" t="str">
        <f t="shared" ca="1" si="4"/>
        <v>#N/</v>
      </c>
      <c r="C878" s="64" t="str">
        <f ca="1">IFERROR(__xludf.DUMMYFUNCTION("""COMPUTED_VALUE"""),"#N/A")</f>
        <v>#N/A</v>
      </c>
      <c r="D878" s="33" t="str">
        <f ca="1">IFERROR(__xludf.DUMMYFUNCTION("""COMPUTED_VALUE"""),"PROPIOS")</f>
        <v>PROPIOS</v>
      </c>
      <c r="E878" s="33">
        <f ca="1">IFERROR(__xludf.DUMMYFUNCTION("""COMPUTED_VALUE"""),2026)</f>
        <v>2026</v>
      </c>
      <c r="F878" s="56">
        <f ca="1">IFERROR(__xludf.DUMMYFUNCTION("""COMPUTED_VALUE"""),3)</f>
        <v>3</v>
      </c>
      <c r="G878" s="33" t="str">
        <f ca="1">IFERROR(__xludf.DUMMYFUNCTION("""COMPUTED_VALUE"""),"Toledo")</f>
        <v>Toledo</v>
      </c>
      <c r="H878" s="33" t="str">
        <f ca="1">IFERROR(__xludf.DUMMYFUNCTION("""COMPUTED_VALUE"""),"C202632412305616297")</f>
        <v>C202632412305616297</v>
      </c>
      <c r="I878" s="33" t="str">
        <f ca="1">IFERROR(__xludf.DUMMYFUNCTION("""COMPUTED_VALUE"""),"Juan Eusebio Solana Ortiz")</f>
        <v>Juan Eusebio Solana Ortiz</v>
      </c>
      <c r="J878" s="57">
        <f ca="1">IFERROR(__xludf.DUMMYFUNCTION("""COMPUTED_VALUE"""),46105)</f>
        <v>46105</v>
      </c>
      <c r="K878" s="33" t="str">
        <f ca="1">IFERROR(__xludf.DUMMYFUNCTION("""COMPUTED_VALUE"""),"Prueba")</f>
        <v>Prueba</v>
      </c>
      <c r="L878" s="57">
        <f ca="1">IFERROR(__xludf.DUMMYFUNCTION("""COMPUTED_VALUE"""),46107)</f>
        <v>46107</v>
      </c>
      <c r="M878" s="64" t="str">
        <f ca="1">IFERROR(__xludf.DUMMYFUNCTION("""COMPUTED_VALUE"""),"NO")</f>
        <v>NO</v>
      </c>
      <c r="N878" s="56">
        <f ca="1">IFERROR(__xludf.DUMMYFUNCTION("""COMPUTED_VALUE"""),2)</f>
        <v>2</v>
      </c>
      <c r="O878" s="64" t="str">
        <f ca="1">IFERROR(__xludf.DUMMYFUNCTION("""COMPUTED_VALUE"""),"TRIAL")</f>
        <v>TRIAL</v>
      </c>
      <c r="P878" s="62">
        <f ca="1">IFERROR(__xludf.DUMMYFUNCTION("""COMPUTED_VALUE"""),4536.36)</f>
        <v>4536.3599999999997</v>
      </c>
      <c r="Q878" s="33" t="str">
        <f ca="1">IFERROR(__xludf.DUMMYFUNCTION("""COMPUTED_VALUE"""),"Maika Blázquez")</f>
        <v>Maika Blázquez</v>
      </c>
      <c r="R878" s="33" t="str">
        <f ca="1">IFERROR(__xludf.DUMMYFUNCTION("""COMPUTED_VALUE"""),"Dra, Mónica Rueda Vega")</f>
        <v>Dra, Mónica Rueda Vega</v>
      </c>
      <c r="S878" s="61" t="str">
        <f ca="1">IFERROR(__xludf.DUMMYFUNCTION("""COMPUTED_VALUE"""),"03 ORL")</f>
        <v>03 ORL</v>
      </c>
      <c r="T878" s="33" t="str">
        <f ca="1">IFERROR(__xludf.DUMMYFUNCTION("""COMPUTED_VALUE"""),"06 ORL")</f>
        <v>06 ORL</v>
      </c>
      <c r="U878" s="62"/>
      <c r="W878" s="61"/>
      <c r="X878" s="62"/>
    </row>
    <row r="879" spans="2:24" ht="16">
      <c r="B879" s="67" t="str">
        <f t="shared" ca="1" si="4"/>
        <v>#N/</v>
      </c>
      <c r="C879" s="64" t="str">
        <f ca="1">IFERROR(__xludf.DUMMYFUNCTION("""COMPUTED_VALUE"""),"#N/A")</f>
        <v>#N/A</v>
      </c>
      <c r="D879" s="33" t="str">
        <f ca="1">IFERROR(__xludf.DUMMYFUNCTION("""COMPUTED_VALUE"""),"PROPIOS")</f>
        <v>PROPIOS</v>
      </c>
      <c r="E879" s="33">
        <f ca="1">IFERROR(__xludf.DUMMYFUNCTION("""COMPUTED_VALUE"""),2026)</f>
        <v>2026</v>
      </c>
      <c r="F879" s="56">
        <f ca="1">IFERROR(__xludf.DUMMYFUNCTION("""COMPUTED_VALUE"""),3)</f>
        <v>3</v>
      </c>
      <c r="G879" s="33" t="str">
        <f ca="1">IFERROR(__xludf.DUMMYFUNCTION("""COMPUTED_VALUE"""),"Toledo")</f>
        <v>Toledo</v>
      </c>
      <c r="H879" s="33" t="str">
        <f ca="1">IFERROR(__xludf.DUMMYFUNCTION("""COMPUTED_VALUE"""),"C20262118538154830")</f>
        <v>C20262118538154830</v>
      </c>
      <c r="I879" s="33" t="str">
        <f ca="1">IFERROR(__xludf.DUMMYFUNCTION("""COMPUTED_VALUE"""),"JUAN TOMAS VIDAL")</f>
        <v>JUAN TOMAS VIDAL</v>
      </c>
      <c r="J879" s="57">
        <f ca="1">IFERROR(__xludf.DUMMYFUNCTION("""COMPUTED_VALUE"""),46064)</f>
        <v>46064</v>
      </c>
      <c r="K879" s="33" t="str">
        <f ca="1">IFERROR(__xludf.DUMMYFUNCTION("""COMPUTED_VALUE"""),"Prueba")</f>
        <v>Prueba</v>
      </c>
      <c r="L879" s="57">
        <f ca="1">IFERROR(__xludf.DUMMYFUNCTION("""COMPUTED_VALUE"""),46085)</f>
        <v>46085</v>
      </c>
      <c r="M879" s="64" t="str">
        <f ca="1">IFERROR(__xludf.DUMMYFUNCTION("""COMPUTED_VALUE"""),"NO")</f>
        <v>NO</v>
      </c>
      <c r="N879" s="56">
        <f ca="1">IFERROR(__xludf.DUMMYFUNCTION("""COMPUTED_VALUE"""),2)</f>
        <v>2</v>
      </c>
      <c r="O879" s="64" t="str">
        <f ca="1">IFERROR(__xludf.DUMMYFUNCTION("""COMPUTED_VALUE"""),"PRO")</f>
        <v>PRO</v>
      </c>
      <c r="P879" s="62">
        <f ca="1">IFERROR(__xludf.DUMMYFUNCTION("""COMPUTED_VALUE"""),4536.36)</f>
        <v>4536.3599999999997</v>
      </c>
      <c r="Q879" s="33" t="str">
        <f ca="1">IFERROR(__xludf.DUMMYFUNCTION("""COMPUTED_VALUE"""),"Maika Blázquez")</f>
        <v>Maika Blázquez</v>
      </c>
      <c r="R879" s="33" t="str">
        <f ca="1">IFERROR(__xludf.DUMMYFUNCTION("""COMPUTED_VALUE"""),"Dra, Glendis Reyes de la cruz")</f>
        <v>Dra, Glendis Reyes de la cruz</v>
      </c>
      <c r="S879" s="61" t="str">
        <f ca="1">IFERROR(__xludf.DUMMYFUNCTION("""COMPUTED_VALUE"""),"03 ORL")</f>
        <v>03 ORL</v>
      </c>
      <c r="T879" s="33" t="str">
        <f ca="1">IFERROR(__xludf.DUMMYFUNCTION("""COMPUTED_VALUE"""),"06 ORL")</f>
        <v>06 ORL</v>
      </c>
      <c r="U879" s="62"/>
      <c r="W879" s="61"/>
      <c r="X879" s="62"/>
    </row>
    <row r="880" spans="2:24" ht="16">
      <c r="B880" s="67" t="str">
        <f t="shared" ca="1" si="4"/>
        <v>#N/</v>
      </c>
      <c r="C880" s="64" t="str">
        <f ca="1">IFERROR(__xludf.DUMMYFUNCTION("""COMPUTED_VALUE"""),"#N/A")</f>
        <v>#N/A</v>
      </c>
      <c r="D880" s="33" t="str">
        <f ca="1">IFERROR(__xludf.DUMMYFUNCTION("""COMPUTED_VALUE"""),"PROPIOS")</f>
        <v>PROPIOS</v>
      </c>
      <c r="E880" s="33">
        <f ca="1">IFERROR(__xludf.DUMMYFUNCTION("""COMPUTED_VALUE"""),2026)</f>
        <v>2026</v>
      </c>
      <c r="F880" s="56">
        <f ca="1">IFERROR(__xludf.DUMMYFUNCTION("""COMPUTED_VALUE"""),3)</f>
        <v>3</v>
      </c>
      <c r="G880" s="33" t="str">
        <f ca="1">IFERROR(__xludf.DUMMYFUNCTION("""COMPUTED_VALUE"""),"Toledo")</f>
        <v>Toledo</v>
      </c>
      <c r="H880" s="33" t="str">
        <f ca="1">IFERROR(__xludf.DUMMYFUNCTION("""COMPUTED_VALUE"""),"C202511269485787430")</f>
        <v>C202511269485787430</v>
      </c>
      <c r="I880" s="33" t="str">
        <f ca="1">IFERROR(__xludf.DUMMYFUNCTION("""COMPUTED_VALUE"""),"Primitivo Garcia Ruiz")</f>
        <v>Primitivo Garcia Ruiz</v>
      </c>
      <c r="J880" s="57">
        <f ca="1">IFERROR(__xludf.DUMMYFUNCTION("""COMPUTED_VALUE"""),45987)</f>
        <v>45987</v>
      </c>
      <c r="K880" s="33" t="str">
        <f ca="1">IFERROR(__xludf.DUMMYFUNCTION("""COMPUTED_VALUE"""),"Devuelve")</f>
        <v>Devuelve</v>
      </c>
      <c r="L880" s="57">
        <f ca="1">IFERROR(__xludf.DUMMYFUNCTION("""COMPUTED_VALUE"""),46097)</f>
        <v>46097</v>
      </c>
      <c r="M880" s="64" t="str">
        <f ca="1">IFERROR(__xludf.DUMMYFUNCTION("""COMPUTED_VALUE"""),"NO")</f>
        <v>NO</v>
      </c>
      <c r="N880" s="56">
        <f ca="1">IFERROR(__xludf.DUMMYFUNCTION("""COMPUTED_VALUE"""),2)</f>
        <v>2</v>
      </c>
      <c r="O880" s="64" t="str">
        <f ca="1">IFERROR(__xludf.DUMMYFUNCTION("""COMPUTED_VALUE"""),"ADVANCED")</f>
        <v>ADVANCED</v>
      </c>
      <c r="P880" s="62">
        <f ca="1">IFERROR(__xludf.DUMMYFUNCTION("""COMPUTED_VALUE"""),4000)</f>
        <v>4000</v>
      </c>
      <c r="Q880" s="33" t="str">
        <f ca="1">IFERROR(__xludf.DUMMYFUNCTION("""COMPUTED_VALUE"""),"Maika Blázquez")</f>
        <v>Maika Blázquez</v>
      </c>
      <c r="R880" s="33" t="str">
        <f ca="1">IFERROR(__xludf.DUMMYFUNCTION("""COMPUTED_VALUE"""),"Dra, María Garrote Garrote")</f>
        <v>Dra, María Garrote Garrote</v>
      </c>
      <c r="S880" s="61" t="str">
        <f ca="1">IFERROR(__xludf.DUMMYFUNCTION("""COMPUTED_VALUE"""),"03 ORL")</f>
        <v>03 ORL</v>
      </c>
      <c r="T880" s="33" t="str">
        <f ca="1">IFERROR(__xludf.DUMMYFUNCTION("""COMPUTED_VALUE"""),"06 ORL")</f>
        <v>06 ORL</v>
      </c>
      <c r="U880" s="62"/>
      <c r="W880" s="61"/>
      <c r="X880" s="62"/>
    </row>
    <row r="881" spans="2:24" ht="16">
      <c r="B881" s="67" t="str">
        <f t="shared" ca="1" si="4"/>
        <v>#N/</v>
      </c>
      <c r="C881" s="64" t="str">
        <f ca="1">IFERROR(__xludf.DUMMYFUNCTION("""COMPUTED_VALUE"""),"#N/A")</f>
        <v>#N/A</v>
      </c>
      <c r="D881" s="33" t="str">
        <f ca="1">IFERROR(__xludf.DUMMYFUNCTION("""COMPUTED_VALUE"""),"PROPIOS")</f>
        <v>PROPIOS</v>
      </c>
      <c r="E881" s="33">
        <f ca="1">IFERROR(__xludf.DUMMYFUNCTION("""COMPUTED_VALUE"""),2026)</f>
        <v>2026</v>
      </c>
      <c r="F881" s="56">
        <f ca="1">IFERROR(__xludf.DUMMYFUNCTION("""COMPUTED_VALUE"""),4)</f>
        <v>4</v>
      </c>
      <c r="G881" s="33" t="str">
        <f ca="1">IFERROR(__xludf.DUMMYFUNCTION("""COMPUTED_VALUE"""),"Torrejón de Ardoz")</f>
        <v>Torrejón de Ardoz</v>
      </c>
      <c r="H881" s="33" t="str">
        <f ca="1">IFERROR(__xludf.DUMMYFUNCTION("""COMPUTED_VALUE"""),"C202622394115675771")</f>
        <v>C202622394115675771</v>
      </c>
      <c r="I881" s="33" t="str">
        <f ca="1">IFERROR(__xludf.DUMMYFUNCTION("""COMPUTED_VALUE"""),"ALBERTO  SANTONJA RUBIO")</f>
        <v>ALBERTO  SANTONJA RUBIO</v>
      </c>
      <c r="J881" s="57">
        <f ca="1">IFERROR(__xludf.DUMMYFUNCTION("""COMPUTED_VALUE"""),46076)</f>
        <v>46076</v>
      </c>
      <c r="K881" s="33" t="str">
        <f ca="1">IFERROR(__xludf.DUMMYFUNCTION("""COMPUTED_VALUE"""),"Prueba")</f>
        <v>Prueba</v>
      </c>
      <c r="L881" s="57">
        <f ca="1">IFERROR(__xludf.DUMMYFUNCTION("""COMPUTED_VALUE"""),46118)</f>
        <v>46118</v>
      </c>
      <c r="M881" s="64" t="str">
        <f ca="1">IFERROR(__xludf.DUMMYFUNCTION("""COMPUTED_VALUE"""),"NO")</f>
        <v>NO</v>
      </c>
      <c r="N881" s="56">
        <f ca="1">IFERROR(__xludf.DUMMYFUNCTION("""COMPUTED_VALUE"""),2)</f>
        <v>2</v>
      </c>
      <c r="O881" s="64" t="str">
        <f ca="1">IFERROR(__xludf.DUMMYFUNCTION("""COMPUTED_VALUE"""),"TRIAL")</f>
        <v>TRIAL</v>
      </c>
      <c r="P881" s="62">
        <f ca="1">IFERROR(__xludf.DUMMYFUNCTION("""COMPUTED_VALUE"""),3631.82)</f>
        <v>3631.82</v>
      </c>
      <c r="Q881" s="33" t="str">
        <f ca="1">IFERROR(__xludf.DUMMYFUNCTION("""COMPUTED_VALUE"""),"Maika Blázquez")</f>
        <v>Maika Blázquez</v>
      </c>
      <c r="R881" s="33" t="str">
        <f ca="1">IFERROR(__xludf.DUMMYFUNCTION("""COMPUTED_VALUE"""),"Dra, Marta Abad Pascual")</f>
        <v>Dra, Marta Abad Pascual</v>
      </c>
      <c r="S881" s="61" t="str">
        <f ca="1">IFERROR(__xludf.DUMMYFUNCTION("""COMPUTED_VALUE"""),"03 ORL")</f>
        <v>03 ORL</v>
      </c>
      <c r="T881" s="33" t="str">
        <f ca="1">IFERROR(__xludf.DUMMYFUNCTION("""COMPUTED_VALUE"""),"06 ORL")</f>
        <v>06 ORL</v>
      </c>
      <c r="U881" s="62"/>
      <c r="W881" s="61"/>
      <c r="X881" s="62"/>
    </row>
    <row r="882" spans="2:24" ht="16">
      <c r="B882" s="67" t="str">
        <f t="shared" ca="1" si="4"/>
        <v>#N/</v>
      </c>
      <c r="C882" s="64" t="str">
        <f ca="1">IFERROR(__xludf.DUMMYFUNCTION("""COMPUTED_VALUE"""),"#N/A")</f>
        <v>#N/A</v>
      </c>
      <c r="D882" s="33" t="str">
        <f ca="1">IFERROR(__xludf.DUMMYFUNCTION("""COMPUTED_VALUE"""),"PROPIOS")</f>
        <v>PROPIOS</v>
      </c>
      <c r="E882" s="33">
        <f ca="1">IFERROR(__xludf.DUMMYFUNCTION("""COMPUTED_VALUE"""),2026)</f>
        <v>2026</v>
      </c>
      <c r="F882" s="56">
        <f ca="1">IFERROR(__xludf.DUMMYFUNCTION("""COMPUTED_VALUE"""),4)</f>
        <v>4</v>
      </c>
      <c r="G882" s="33" t="str">
        <f ca="1">IFERROR(__xludf.DUMMYFUNCTION("""COMPUTED_VALUE"""),"Torrejón de Ardoz")</f>
        <v>Torrejón de Ardoz</v>
      </c>
      <c r="H882" s="33" t="str">
        <f ca="1">IFERROR(__xludf.DUMMYFUNCTION("""COMPUTED_VALUE"""),"C202631712612926007")</f>
        <v>C202631712612926007</v>
      </c>
      <c r="I882" s="33" t="str">
        <f ca="1">IFERROR(__xludf.DUMMYFUNCTION("""COMPUTED_VALUE"""),"ANTONIO RODRIGUEZ GONZALEZ")</f>
        <v>ANTONIO RODRIGUEZ GONZALEZ</v>
      </c>
      <c r="J882" s="57">
        <f ca="1">IFERROR(__xludf.DUMMYFUNCTION("""COMPUTED_VALUE"""),46098)</f>
        <v>46098</v>
      </c>
      <c r="K882" s="33" t="str">
        <f ca="1">IFERROR(__xludf.DUMMYFUNCTION("""COMPUTED_VALUE"""),"Pedido")</f>
        <v>Pedido</v>
      </c>
      <c r="L882" s="57">
        <f ca="1">IFERROR(__xludf.DUMMYFUNCTION("""COMPUTED_VALUE"""),46119)</f>
        <v>46119</v>
      </c>
      <c r="M882" s="64" t="str">
        <f ca="1">IFERROR(__xludf.DUMMYFUNCTION("""COMPUTED_VALUE"""),"NO")</f>
        <v>NO</v>
      </c>
      <c r="N882" s="56">
        <f ca="1">IFERROR(__xludf.DUMMYFUNCTION("""COMPUTED_VALUE"""),2)</f>
        <v>2</v>
      </c>
      <c r="O882" s="58" t="str">
        <f ca="1">IFERROR(__xludf.DUMMYFUNCTION("""COMPUTED_VALUE"""),"ADVANCED")</f>
        <v>ADVANCED</v>
      </c>
      <c r="P882" s="62">
        <f ca="1">IFERROR(__xludf.DUMMYFUNCTION("""COMPUTED_VALUE"""),4136.36)</f>
        <v>4136.3599999999997</v>
      </c>
      <c r="Q882" s="33" t="str">
        <f ca="1">IFERROR(__xludf.DUMMYFUNCTION("""COMPUTED_VALUE"""),"Maika Blázquez")</f>
        <v>Maika Blázquez</v>
      </c>
      <c r="R882" s="33" t="str">
        <f ca="1">IFERROR(__xludf.DUMMYFUNCTION("""COMPUTED_VALUE"""),"Dra, Marta Abad Pascual")</f>
        <v>Dra, Marta Abad Pascual</v>
      </c>
      <c r="S882" s="61" t="str">
        <f ca="1">IFERROR(__xludf.DUMMYFUNCTION("""COMPUTED_VALUE"""),"03 ORL")</f>
        <v>03 ORL</v>
      </c>
      <c r="T882" s="33" t="str">
        <f ca="1">IFERROR(__xludf.DUMMYFUNCTION("""COMPUTED_VALUE"""),"06 ORL")</f>
        <v>06 ORL</v>
      </c>
      <c r="U882" s="62"/>
      <c r="W882" s="61"/>
      <c r="X882" s="62"/>
    </row>
    <row r="883" spans="2:24" ht="16">
      <c r="B883" s="67" t="str">
        <f t="shared" ca="1" si="4"/>
        <v>#N/</v>
      </c>
      <c r="C883" s="64" t="str">
        <f ca="1">IFERROR(__xludf.DUMMYFUNCTION("""COMPUTED_VALUE"""),"#N/A")</f>
        <v>#N/A</v>
      </c>
      <c r="D883" s="33" t="str">
        <f ca="1">IFERROR(__xludf.DUMMYFUNCTION("""COMPUTED_VALUE"""),"PROPIOS")</f>
        <v>PROPIOS</v>
      </c>
      <c r="E883" s="33">
        <f ca="1">IFERROR(__xludf.DUMMYFUNCTION("""COMPUTED_VALUE"""),2026)</f>
        <v>2026</v>
      </c>
      <c r="F883" s="56">
        <f ca="1">IFERROR(__xludf.DUMMYFUNCTION("""COMPUTED_VALUE"""),3)</f>
        <v>3</v>
      </c>
      <c r="G883" s="33" t="str">
        <f ca="1">IFERROR(__xludf.DUMMYFUNCTION("""COMPUTED_VALUE"""),"Torrejón de Ardoz")</f>
        <v>Torrejón de Ardoz</v>
      </c>
      <c r="H883" s="33" t="str">
        <f ca="1">IFERROR(__xludf.DUMMYFUNCTION("""COMPUTED_VALUE"""),"C202621118242318508")</f>
        <v>C202621118242318508</v>
      </c>
      <c r="I883" s="33" t="str">
        <f ca="1">IFERROR(__xludf.DUMMYFUNCTION("""COMPUTED_VALUE"""),"ISABEL MARIA GOMEZ LOPEZ")</f>
        <v>ISABEL MARIA GOMEZ LOPEZ</v>
      </c>
      <c r="J883" s="57">
        <f ca="1">IFERROR(__xludf.DUMMYFUNCTION("""COMPUTED_VALUE"""),46064)</f>
        <v>46064</v>
      </c>
      <c r="K883" s="33" t="str">
        <f ca="1">IFERROR(__xludf.DUMMYFUNCTION("""COMPUTED_VALUE"""),"Devuelve")</f>
        <v>Devuelve</v>
      </c>
      <c r="L883" s="57">
        <f ca="1">IFERROR(__xludf.DUMMYFUNCTION("""COMPUTED_VALUE"""),46091)</f>
        <v>46091</v>
      </c>
      <c r="M883" s="64" t="str">
        <f ca="1">IFERROR(__xludf.DUMMYFUNCTION("""COMPUTED_VALUE"""),"NO")</f>
        <v>NO</v>
      </c>
      <c r="N883" s="56">
        <f ca="1">IFERROR(__xludf.DUMMYFUNCTION("""COMPUTED_VALUE"""),1)</f>
        <v>1</v>
      </c>
      <c r="O883" s="64" t="str">
        <f ca="1">IFERROR(__xludf.DUMMYFUNCTION("""COMPUTED_VALUE"""),"ADVANCED")</f>
        <v>ADVANCED</v>
      </c>
      <c r="P883" s="62">
        <f ca="1">IFERROR(__xludf.DUMMYFUNCTION("""COMPUTED_VALUE"""),3200)</f>
        <v>3200</v>
      </c>
      <c r="Q883" s="33" t="str">
        <f ca="1">IFERROR(__xludf.DUMMYFUNCTION("""COMPUTED_VALUE"""),"Maika Blázquez")</f>
        <v>Maika Blázquez</v>
      </c>
      <c r="R883" s="33" t="str">
        <f ca="1">IFERROR(__xludf.DUMMYFUNCTION("""COMPUTED_VALUE"""),"Dr, Alejandro Harguindey Antoli-Candela")</f>
        <v>Dr, Alejandro Harguindey Antoli-Candela</v>
      </c>
      <c r="S883" s="61" t="str">
        <f ca="1">IFERROR(__xludf.DUMMYFUNCTION("""COMPUTED_VALUE"""),"03 ORL")</f>
        <v>03 ORL</v>
      </c>
      <c r="T883" s="33" t="str">
        <f ca="1">IFERROR(__xludf.DUMMYFUNCTION("""COMPUTED_VALUE"""),"06 ORL")</f>
        <v>06 ORL</v>
      </c>
      <c r="U883" s="62"/>
      <c r="W883" s="61"/>
      <c r="X883" s="62"/>
    </row>
    <row r="884" spans="2:24" ht="16">
      <c r="B884" s="67" t="str">
        <f t="shared" ca="1" si="4"/>
        <v>#N/</v>
      </c>
      <c r="C884" s="64" t="str">
        <f ca="1">IFERROR(__xludf.DUMMYFUNCTION("""COMPUTED_VALUE"""),"#N/A")</f>
        <v>#N/A</v>
      </c>
      <c r="D884" s="33" t="str">
        <f ca="1">IFERROR(__xludf.DUMMYFUNCTION("""COMPUTED_VALUE"""),"PROPIOS")</f>
        <v>PROPIOS</v>
      </c>
      <c r="E884" s="33">
        <f ca="1">IFERROR(__xludf.DUMMYFUNCTION("""COMPUTED_VALUE"""),2026)</f>
        <v>2026</v>
      </c>
      <c r="F884" s="56">
        <f ca="1">IFERROR(__xludf.DUMMYFUNCTION("""COMPUTED_VALUE"""),4)</f>
        <v>4</v>
      </c>
      <c r="G884" s="33" t="str">
        <f ca="1">IFERROR(__xludf.DUMMYFUNCTION("""COMPUTED_VALUE"""),"Valencia- Cádiz")</f>
        <v>Valencia- Cádiz</v>
      </c>
      <c r="H884" s="33" t="str">
        <f ca="1">IFERROR(__xludf.DUMMYFUNCTION("""COMPUTED_VALUE"""),"C2026341879163545")</f>
        <v>C2026341879163545</v>
      </c>
      <c r="I884" s="33" t="str">
        <f ca="1">IFERROR(__xludf.DUMMYFUNCTION("""COMPUTED_VALUE"""),"ASCENSION VICEN ROCA")</f>
        <v>ASCENSION VICEN ROCA</v>
      </c>
      <c r="J884" s="57">
        <f ca="1">IFERROR(__xludf.DUMMYFUNCTION("""COMPUTED_VALUE"""),46085)</f>
        <v>46085</v>
      </c>
      <c r="K884" s="33" t="str">
        <f ca="1">IFERROR(__xludf.DUMMYFUNCTION("""COMPUTED_VALUE"""),"Prueba")</f>
        <v>Prueba</v>
      </c>
      <c r="L884" s="57">
        <f ca="1">IFERROR(__xludf.DUMMYFUNCTION("""COMPUTED_VALUE"""),46119)</f>
        <v>46119</v>
      </c>
      <c r="M884" s="64" t="str">
        <f ca="1">IFERROR(__xludf.DUMMYFUNCTION("""COMPUTED_VALUE"""),"NO")</f>
        <v>NO</v>
      </c>
      <c r="N884" s="56">
        <f ca="1">IFERROR(__xludf.DUMMYFUNCTION("""COMPUTED_VALUE"""),2)</f>
        <v>2</v>
      </c>
      <c r="O884" s="64" t="str">
        <f ca="1">IFERROR(__xludf.DUMMYFUNCTION("""COMPUTED_VALUE"""),"QUIET")</f>
        <v>QUIET</v>
      </c>
      <c r="P884" s="62">
        <f ca="1">IFERROR(__xludf.DUMMYFUNCTION("""COMPUTED_VALUE"""),2718.19)</f>
        <v>2718.19</v>
      </c>
      <c r="Q884" s="33" t="str">
        <f ca="1">IFERROR(__xludf.DUMMYFUNCTION("""COMPUTED_VALUE"""),"Ramon Ferrando")</f>
        <v>Ramon Ferrando</v>
      </c>
      <c r="R884" s="33" t="str">
        <f ca="1">IFERROR(__xludf.DUMMYFUNCTION("""COMPUTED_VALUE"""),"Dr, Carlos de Paula Vernetta")</f>
        <v>Dr, Carlos de Paula Vernetta</v>
      </c>
      <c r="S884" s="61" t="str">
        <f ca="1">IFERROR(__xludf.DUMMYFUNCTION("""COMPUTED_VALUE"""),"03 ORL")</f>
        <v>03 ORL</v>
      </c>
      <c r="T884" s="33" t="str">
        <f ca="1">IFERROR(__xludf.DUMMYFUNCTION("""COMPUTED_VALUE"""),"06 ORL")</f>
        <v>06 ORL</v>
      </c>
      <c r="U884" s="62"/>
      <c r="W884" s="61"/>
      <c r="X884" s="62"/>
    </row>
    <row r="885" spans="2:24" ht="16">
      <c r="B885" s="67" t="str">
        <f t="shared" ca="1" si="4"/>
        <v>#N/</v>
      </c>
      <c r="C885" s="64" t="str">
        <f ca="1">IFERROR(__xludf.DUMMYFUNCTION("""COMPUTED_VALUE"""),"#N/A")</f>
        <v>#N/A</v>
      </c>
      <c r="D885" s="33" t="str">
        <f ca="1">IFERROR(__xludf.DUMMYFUNCTION("""COMPUTED_VALUE"""),"PROPIOS")</f>
        <v>PROPIOS</v>
      </c>
      <c r="E885" s="33">
        <f ca="1">IFERROR(__xludf.DUMMYFUNCTION("""COMPUTED_VALUE"""),2026)</f>
        <v>2026</v>
      </c>
      <c r="F885" s="56">
        <f ca="1">IFERROR(__xludf.DUMMYFUNCTION("""COMPUTED_VALUE"""),2)</f>
        <v>2</v>
      </c>
      <c r="G885" s="33" t="str">
        <f ca="1">IFERROR(__xludf.DUMMYFUNCTION("""COMPUTED_VALUE"""),"Valencia- Cádiz")</f>
        <v>Valencia- Cádiz</v>
      </c>
      <c r="H885" s="33" t="str">
        <f ca="1">IFERROR(__xludf.DUMMYFUNCTION("""COMPUTED_VALUE"""),"C202621817531614208")</f>
        <v>C202621817531614208</v>
      </c>
      <c r="I885" s="33" t="str">
        <f ca="1">IFERROR(__xludf.DUMMYFUNCTION("""COMPUTED_VALUE"""),"BENJAMIN MARTINEZ NAVARRO")</f>
        <v>BENJAMIN MARTINEZ NAVARRO</v>
      </c>
      <c r="J885" s="57">
        <f ca="1">IFERROR(__xludf.DUMMYFUNCTION("""COMPUTED_VALUE"""),46071)</f>
        <v>46071</v>
      </c>
      <c r="K885" s="33" t="str">
        <f ca="1">IFERROR(__xludf.DUMMYFUNCTION("""COMPUTED_VALUE"""),"Presupuesto")</f>
        <v>Presupuesto</v>
      </c>
      <c r="L885" s="57">
        <f ca="1">IFERROR(__xludf.DUMMYFUNCTION("""COMPUTED_VALUE"""),46078)</f>
        <v>46078</v>
      </c>
      <c r="M885" s="64" t="str">
        <f ca="1">IFERROR(__xludf.DUMMYFUNCTION("""COMPUTED_VALUE"""),"NO")</f>
        <v>NO</v>
      </c>
      <c r="N885" s="56">
        <f ca="1">IFERROR(__xludf.DUMMYFUNCTION("""COMPUTED_VALUE"""),2)</f>
        <v>2</v>
      </c>
      <c r="O885" s="58" t="str">
        <f ca="1">IFERROR(__xludf.DUMMYFUNCTION("""COMPUTED_VALUE"""),"QUIET")</f>
        <v>QUIET</v>
      </c>
      <c r="P885" s="62">
        <f ca="1">IFERROR(__xludf.DUMMYFUNCTION("""COMPUTED_VALUE"""),2718.18)</f>
        <v>2718.18</v>
      </c>
      <c r="Q885" s="33" t="str">
        <f ca="1">IFERROR(__xludf.DUMMYFUNCTION("""COMPUTED_VALUE"""),"Ramon Ferrando")</f>
        <v>Ramon Ferrando</v>
      </c>
      <c r="R885" s="33" t="str">
        <f ca="1">IFERROR(__xludf.DUMMYFUNCTION("""COMPUTED_VALUE"""),"Dr, Manuel Mateos Fernández")</f>
        <v>Dr, Manuel Mateos Fernández</v>
      </c>
      <c r="S885" s="61" t="str">
        <f ca="1">IFERROR(__xludf.DUMMYFUNCTION("""COMPUTED_VALUE"""),"03 ORL")</f>
        <v>03 ORL</v>
      </c>
      <c r="T885" s="33" t="str">
        <f ca="1">IFERROR(__xludf.DUMMYFUNCTION("""COMPUTED_VALUE"""),"06 ORL")</f>
        <v>06 ORL</v>
      </c>
      <c r="U885" s="62"/>
      <c r="W885" s="61"/>
      <c r="X885" s="62"/>
    </row>
    <row r="886" spans="2:24" ht="16">
      <c r="B886" s="67" t="str">
        <f t="shared" ca="1" si="4"/>
        <v/>
      </c>
      <c r="C886" s="64"/>
      <c r="D886" s="33" t="str">
        <f ca="1">IFERROR(__xludf.DUMMYFUNCTION("""COMPUTED_VALUE"""),"PROPIOS")</f>
        <v>PROPIOS</v>
      </c>
      <c r="E886" s="33">
        <f ca="1">IFERROR(__xludf.DUMMYFUNCTION("""COMPUTED_VALUE"""),2026)</f>
        <v>2026</v>
      </c>
      <c r="F886" s="56">
        <f ca="1">IFERROR(__xludf.DUMMYFUNCTION("""COMPUTED_VALUE"""),3)</f>
        <v>3</v>
      </c>
      <c r="G886" s="33" t="str">
        <f ca="1">IFERROR(__xludf.DUMMYFUNCTION("""COMPUTED_VALUE"""),"Valencia- Cádiz")</f>
        <v>Valencia- Cádiz</v>
      </c>
      <c r="H886" s="33" t="str">
        <f ca="1">IFERROR(__xludf.DUMMYFUNCTION("""COMPUTED_VALUE"""),"C2026399147185429")</f>
        <v>C2026399147185429</v>
      </c>
      <c r="I886" s="33" t="str">
        <f ca="1">IFERROR(__xludf.DUMMYFUNCTION("""COMPUTED_VALUE"""),"BERTINA NAVARRETE JIMENEZ")</f>
        <v>BERTINA NAVARRETE JIMENEZ</v>
      </c>
      <c r="J886" s="57">
        <f ca="1">IFERROR(__xludf.DUMMYFUNCTION("""COMPUTED_VALUE"""),46090)</f>
        <v>46090</v>
      </c>
      <c r="K886" s="33" t="str">
        <f ca="1">IFERROR(__xludf.DUMMYFUNCTION("""COMPUTED_VALUE"""),"Prueba")</f>
        <v>Prueba</v>
      </c>
      <c r="L886" s="57">
        <f ca="1">IFERROR(__xludf.DUMMYFUNCTION("""COMPUTED_VALUE"""),46101)</f>
        <v>46101</v>
      </c>
      <c r="M886" s="64" t="str">
        <f ca="1">IFERROR(__xludf.DUMMYFUNCTION("""COMPUTED_VALUE"""),"NO")</f>
        <v>NO</v>
      </c>
      <c r="N886" s="56">
        <f ca="1">IFERROR(__xludf.DUMMYFUNCTION("""COMPUTED_VALUE"""),1)</f>
        <v>1</v>
      </c>
      <c r="O886" s="58" t="str">
        <f ca="1">IFERROR(__xludf.DUMMYFUNCTION("""COMPUTED_VALUE"""),"TRIAL")</f>
        <v>TRIAL</v>
      </c>
      <c r="P886" s="62">
        <f ca="1">IFERROR(__xludf.DUMMYFUNCTION("""COMPUTED_VALUE"""),2180.91)</f>
        <v>2180.91</v>
      </c>
      <c r="Q886" s="33" t="str">
        <f ca="1">IFERROR(__xludf.DUMMYFUNCTION("""COMPUTED_VALUE"""),"Ramon Ferrando")</f>
        <v>Ramon Ferrando</v>
      </c>
      <c r="R886" s="33" t="str">
        <f ca="1">IFERROR(__xludf.DUMMYFUNCTION("""COMPUTED_VALUE"""),"No recuerda ORL")</f>
        <v>No recuerda ORL</v>
      </c>
      <c r="S886" s="61" t="str">
        <f ca="1">IFERROR(__xludf.DUMMYFUNCTION("""COMPUTED_VALUE"""),"03 ORL")</f>
        <v>03 ORL</v>
      </c>
      <c r="T886" s="33" t="str">
        <f ca="1">IFERROR(__xludf.DUMMYFUNCTION("""COMPUTED_VALUE"""),"06 ORL")</f>
        <v>06 ORL</v>
      </c>
      <c r="U886" s="62"/>
      <c r="W886" s="61"/>
      <c r="X886" s="62"/>
    </row>
    <row r="887" spans="2:24" ht="16">
      <c r="B887" s="67" t="str">
        <f t="shared" ca="1" si="4"/>
        <v>#N/</v>
      </c>
      <c r="C887" s="64" t="str">
        <f ca="1">IFERROR(__xludf.DUMMYFUNCTION("""COMPUTED_VALUE"""),"#N/A")</f>
        <v>#N/A</v>
      </c>
      <c r="D887" s="33" t="str">
        <f ca="1">IFERROR(__xludf.DUMMYFUNCTION("""COMPUTED_VALUE"""),"PROPIOS")</f>
        <v>PROPIOS</v>
      </c>
      <c r="E887" s="33">
        <f ca="1">IFERROR(__xludf.DUMMYFUNCTION("""COMPUTED_VALUE"""),2026)</f>
        <v>2026</v>
      </c>
      <c r="F887" s="56">
        <f ca="1">IFERROR(__xludf.DUMMYFUNCTION("""COMPUTED_VALUE"""),3)</f>
        <v>3</v>
      </c>
      <c r="G887" s="33" t="str">
        <f ca="1">IFERROR(__xludf.DUMMYFUNCTION("""COMPUTED_VALUE"""),"Valencia- Cádiz")</f>
        <v>Valencia- Cádiz</v>
      </c>
      <c r="H887" s="33" t="str">
        <f ca="1">IFERROR(__xludf.DUMMYFUNCTION("""COMPUTED_VALUE"""),"C2026391067984644")</f>
        <v>C2026391067984644</v>
      </c>
      <c r="I887" s="33" t="str">
        <f ca="1">IFERROR(__xludf.DUMMYFUNCTION("""COMPUTED_VALUE"""),"CONCEPCION GARCIA TEVAR")</f>
        <v>CONCEPCION GARCIA TEVAR</v>
      </c>
      <c r="J887" s="57">
        <f ca="1">IFERROR(__xludf.DUMMYFUNCTION("""COMPUTED_VALUE"""),46090)</f>
        <v>46090</v>
      </c>
      <c r="K887" s="33" t="str">
        <f ca="1">IFERROR(__xludf.DUMMYFUNCTION("""COMPUTED_VALUE"""),"Pedido")</f>
        <v>Pedido</v>
      </c>
      <c r="L887" s="57">
        <f ca="1">IFERROR(__xludf.DUMMYFUNCTION("""COMPUTED_VALUE"""),46094)</f>
        <v>46094</v>
      </c>
      <c r="M887" s="64" t="str">
        <f ca="1">IFERROR(__xludf.DUMMYFUNCTION("""COMPUTED_VALUE"""),"NO")</f>
        <v>NO</v>
      </c>
      <c r="N887" s="56">
        <f ca="1">IFERROR(__xludf.DUMMYFUNCTION("""COMPUTED_VALUE"""),2)</f>
        <v>2</v>
      </c>
      <c r="O887" s="58" t="str">
        <f ca="1">IFERROR(__xludf.DUMMYFUNCTION("""COMPUTED_VALUE"""),"QUIET")</f>
        <v>QUIET</v>
      </c>
      <c r="P887" s="62">
        <f ca="1">IFERROR(__xludf.DUMMYFUNCTION("""COMPUTED_VALUE"""),2718.18)</f>
        <v>2718.18</v>
      </c>
      <c r="Q887" s="33" t="str">
        <f ca="1">IFERROR(__xludf.DUMMYFUNCTION("""COMPUTED_VALUE"""),"Ramon Ferrando")</f>
        <v>Ramon Ferrando</v>
      </c>
      <c r="R887" s="33" t="str">
        <f ca="1">IFERROR(__xludf.DUMMYFUNCTION("""COMPUTED_VALUE"""),"Dr, Jean Franco Intraprendente Martini")</f>
        <v>Dr, Jean Franco Intraprendente Martini</v>
      </c>
      <c r="S887" s="61" t="str">
        <f ca="1">IFERROR(__xludf.DUMMYFUNCTION("""COMPUTED_VALUE"""),"03 ORL")</f>
        <v>03 ORL</v>
      </c>
      <c r="T887" s="33" t="str">
        <f ca="1">IFERROR(__xludf.DUMMYFUNCTION("""COMPUTED_VALUE"""),"06 ORL")</f>
        <v>06 ORL</v>
      </c>
      <c r="U887" s="62"/>
      <c r="W887" s="61"/>
      <c r="X887" s="62"/>
    </row>
    <row r="888" spans="2:24" ht="16">
      <c r="B888" s="67" t="str">
        <f t="shared" ca="1" si="4"/>
        <v>#N/</v>
      </c>
      <c r="C888" s="64" t="str">
        <f ca="1">IFERROR(__xludf.DUMMYFUNCTION("""COMPUTED_VALUE"""),"#N/A")</f>
        <v>#N/A</v>
      </c>
      <c r="D888" s="33" t="str">
        <f ca="1">IFERROR(__xludf.DUMMYFUNCTION("""COMPUTED_VALUE"""),"PROPIOS")</f>
        <v>PROPIOS</v>
      </c>
      <c r="E888" s="33">
        <f ca="1">IFERROR(__xludf.DUMMYFUNCTION("""COMPUTED_VALUE"""),2026)</f>
        <v>2026</v>
      </c>
      <c r="F888" s="56">
        <f ca="1">IFERROR(__xludf.DUMMYFUNCTION("""COMPUTED_VALUE"""),1)</f>
        <v>1</v>
      </c>
      <c r="G888" s="33" t="str">
        <f ca="1">IFERROR(__xludf.DUMMYFUNCTION("""COMPUTED_VALUE"""),"Valencia- Cádiz")</f>
        <v>Valencia- Cádiz</v>
      </c>
      <c r="H888" s="33" t="str">
        <f ca="1">IFERROR(__xludf.DUMMYFUNCTION("""COMPUTED_VALUE"""),"VLC-551")</f>
        <v>VLC-551</v>
      </c>
      <c r="I888" s="33" t="str">
        <f ca="1">IFERROR(__xludf.DUMMYFUNCTION("""COMPUTED_VALUE"""),"ELENA PABLO GABARDA")</f>
        <v>ELENA PABLO GABARDA</v>
      </c>
      <c r="J888" s="57">
        <f ca="1">IFERROR(__xludf.DUMMYFUNCTION("""COMPUTED_VALUE"""),44462)</f>
        <v>44462</v>
      </c>
      <c r="K888" s="33" t="str">
        <f ca="1">IFERROR(__xludf.DUMMYFUNCTION("""COMPUTED_VALUE"""),"Devuelve")</f>
        <v>Devuelve</v>
      </c>
      <c r="L888" s="57">
        <f ca="1">IFERROR(__xludf.DUMMYFUNCTION("""COMPUTED_VALUE"""),46052)</f>
        <v>46052</v>
      </c>
      <c r="M888" s="64" t="str">
        <f ca="1">IFERROR(__xludf.DUMMYFUNCTION("""COMPUTED_VALUE"""),"NO")</f>
        <v>NO</v>
      </c>
      <c r="N888" s="56">
        <f ca="1">IFERROR(__xludf.DUMMYFUNCTION("""COMPUTED_VALUE"""),2)</f>
        <v>2</v>
      </c>
      <c r="O888" s="58" t="str">
        <f ca="1">IFERROR(__xludf.DUMMYFUNCTION("""COMPUTED_VALUE"""),"TRIAL")</f>
        <v>TRIAL</v>
      </c>
      <c r="P888" s="62">
        <f ca="1">IFERROR(__xludf.DUMMYFUNCTION("""COMPUTED_VALUE"""),3631.82)</f>
        <v>3631.82</v>
      </c>
      <c r="Q888" s="33" t="str">
        <f ca="1">IFERROR(__xludf.DUMMYFUNCTION("""COMPUTED_VALUE"""),"Ramon Ferrando")</f>
        <v>Ramon Ferrando</v>
      </c>
      <c r="R888" s="33" t="str">
        <f ca="1">IFERROR(__xludf.DUMMYFUNCTION("""COMPUTED_VALUE"""),"Dr, Felipe Ferrer Baixaulí")</f>
        <v>Dr, Felipe Ferrer Baixaulí</v>
      </c>
      <c r="S888" s="61" t="str">
        <f ca="1">IFERROR(__xludf.DUMMYFUNCTION("""COMPUTED_VALUE"""),"03 ORL")</f>
        <v>03 ORL</v>
      </c>
      <c r="T888" s="33" t="str">
        <f ca="1">IFERROR(__xludf.DUMMYFUNCTION("""COMPUTED_VALUE"""),"06 ORL")</f>
        <v>06 ORL</v>
      </c>
      <c r="U888" s="62"/>
      <c r="W888" s="61"/>
      <c r="X888" s="62"/>
    </row>
    <row r="889" spans="2:24" ht="16">
      <c r="B889" s="67" t="str">
        <f t="shared" ca="1" si="4"/>
        <v>#N/</v>
      </c>
      <c r="C889" s="64" t="str">
        <f ca="1">IFERROR(__xludf.DUMMYFUNCTION("""COMPUTED_VALUE"""),"#N/A")</f>
        <v>#N/A</v>
      </c>
      <c r="D889" s="33" t="str">
        <f ca="1">IFERROR(__xludf.DUMMYFUNCTION("""COMPUTED_VALUE"""),"PROPIOS")</f>
        <v>PROPIOS</v>
      </c>
      <c r="E889" s="33">
        <f ca="1">IFERROR(__xludf.DUMMYFUNCTION("""COMPUTED_VALUE"""),2026)</f>
        <v>2026</v>
      </c>
      <c r="F889" s="56">
        <f ca="1">IFERROR(__xludf.DUMMYFUNCTION("""COMPUTED_VALUE"""),4)</f>
        <v>4</v>
      </c>
      <c r="G889" s="33" t="str">
        <f ca="1">IFERROR(__xludf.DUMMYFUNCTION("""COMPUTED_VALUE"""),"Valencia- Cádiz")</f>
        <v>Valencia- Cádiz</v>
      </c>
      <c r="H889" s="33" t="str">
        <f ca="1">IFERROR(__xludf.DUMMYFUNCTION("""COMPUTED_VALUE"""),"C2026317955002362")</f>
        <v>C2026317955002362</v>
      </c>
      <c r="I889" s="33" t="str">
        <f ca="1">IFERROR(__xludf.DUMMYFUNCTION("""COMPUTED_VALUE"""),"ENRIQUE QUILIS IBAÑEZ")</f>
        <v>ENRIQUE QUILIS IBAÑEZ</v>
      </c>
      <c r="J889" s="57">
        <f ca="1">IFERROR(__xludf.DUMMYFUNCTION("""COMPUTED_VALUE"""),46098)</f>
        <v>46098</v>
      </c>
      <c r="K889" s="33" t="str">
        <f ca="1">IFERROR(__xludf.DUMMYFUNCTION("""COMPUTED_VALUE"""),"Prueba")</f>
        <v>Prueba</v>
      </c>
      <c r="L889" s="57">
        <f ca="1">IFERROR(__xludf.DUMMYFUNCTION("""COMPUTED_VALUE"""),46114)</f>
        <v>46114</v>
      </c>
      <c r="M889" s="64" t="str">
        <f ca="1">IFERROR(__xludf.DUMMYFUNCTION("""COMPUTED_VALUE"""),"NO")</f>
        <v>NO</v>
      </c>
      <c r="N889" s="56">
        <f ca="1">IFERROR(__xludf.DUMMYFUNCTION("""COMPUTED_VALUE"""),2)</f>
        <v>2</v>
      </c>
      <c r="O889" s="58" t="str">
        <f ca="1">IFERROR(__xludf.DUMMYFUNCTION("""COMPUTED_VALUE"""),"QUIET")</f>
        <v>QUIET</v>
      </c>
      <c r="P889" s="62">
        <f ca="1">IFERROR(__xludf.DUMMYFUNCTION("""COMPUTED_VALUE"""),2718.18)</f>
        <v>2718.18</v>
      </c>
      <c r="Q889" s="33" t="str">
        <f ca="1">IFERROR(__xludf.DUMMYFUNCTION("""COMPUTED_VALUE"""),"Ramon Ferrando")</f>
        <v>Ramon Ferrando</v>
      </c>
      <c r="R889" s="33" t="str">
        <f ca="1">IFERROR(__xludf.DUMMYFUNCTION("""COMPUTED_VALUE"""),"Dr, Felipe José Domínguez Celis")</f>
        <v>Dr, Felipe José Domínguez Celis</v>
      </c>
      <c r="S889" s="61" t="str">
        <f ca="1">IFERROR(__xludf.DUMMYFUNCTION("""COMPUTED_VALUE"""),"03 ORL")</f>
        <v>03 ORL</v>
      </c>
      <c r="T889" s="33" t="str">
        <f ca="1">IFERROR(__xludf.DUMMYFUNCTION("""COMPUTED_VALUE"""),"06 ORL")</f>
        <v>06 ORL</v>
      </c>
      <c r="U889" s="62"/>
      <c r="W889" s="61"/>
      <c r="X889" s="62"/>
    </row>
    <row r="890" spans="2:24" ht="16">
      <c r="B890" s="67" t="str">
        <f t="shared" ca="1" si="4"/>
        <v>#N/</v>
      </c>
      <c r="C890" s="64" t="str">
        <f ca="1">IFERROR(__xludf.DUMMYFUNCTION("""COMPUTED_VALUE"""),"#N/A")</f>
        <v>#N/A</v>
      </c>
      <c r="D890" s="33" t="str">
        <f ca="1">IFERROR(__xludf.DUMMYFUNCTION("""COMPUTED_VALUE"""),"PROPIOS")</f>
        <v>PROPIOS</v>
      </c>
      <c r="E890" s="33">
        <f ca="1">IFERROR(__xludf.DUMMYFUNCTION("""COMPUTED_VALUE"""),2026)</f>
        <v>2026</v>
      </c>
      <c r="F890" s="56">
        <f ca="1">IFERROR(__xludf.DUMMYFUNCTION("""COMPUTED_VALUE"""),3)</f>
        <v>3</v>
      </c>
      <c r="G890" s="33" t="str">
        <f ca="1">IFERROR(__xludf.DUMMYFUNCTION("""COMPUTED_VALUE"""),"Valencia- Cádiz")</f>
        <v>Valencia- Cádiz</v>
      </c>
      <c r="H890" s="33" t="str">
        <f ca="1">IFERROR(__xludf.DUMMYFUNCTION("""COMPUTED_VALUE"""),"C202611518104105840")</f>
        <v>C202611518104105840</v>
      </c>
      <c r="I890" s="33" t="str">
        <f ca="1">IFERROR(__xludf.DUMMYFUNCTION("""COMPUTED_VALUE"""),"FRANCISCA PEREZ LABAÑA")</f>
        <v>FRANCISCA PEREZ LABAÑA</v>
      </c>
      <c r="J890" s="57">
        <f ca="1">IFERROR(__xludf.DUMMYFUNCTION("""COMPUTED_VALUE"""),46037)</f>
        <v>46037</v>
      </c>
      <c r="K890" s="33" t="str">
        <f ca="1">IFERROR(__xludf.DUMMYFUNCTION("""COMPUTED_VALUE"""),"Pedido")</f>
        <v>Pedido</v>
      </c>
      <c r="L890" s="57">
        <f ca="1">IFERROR(__xludf.DUMMYFUNCTION("""COMPUTED_VALUE"""),46111)</f>
        <v>46111</v>
      </c>
      <c r="M890" s="64" t="str">
        <f ca="1">IFERROR(__xludf.DUMMYFUNCTION("""COMPUTED_VALUE"""),"NO")</f>
        <v>NO</v>
      </c>
      <c r="N890" s="56">
        <f ca="1">IFERROR(__xludf.DUMMYFUNCTION("""COMPUTED_VALUE"""),1)</f>
        <v>1</v>
      </c>
      <c r="O890" s="58" t="str">
        <f ca="1">IFERROR(__xludf.DUMMYFUNCTION("""COMPUTED_VALUE"""),"CONFORT")</f>
        <v>CONFORT</v>
      </c>
      <c r="P890" s="62">
        <f ca="1">IFERROR(__xludf.DUMMYFUNCTION("""COMPUTED_VALUE"""),2071.86)</f>
        <v>2071.86</v>
      </c>
      <c r="Q890" s="33" t="str">
        <f ca="1">IFERROR(__xludf.DUMMYFUNCTION("""COMPUTED_VALUE"""),"Ramon Ferrando")</f>
        <v>Ramon Ferrando</v>
      </c>
      <c r="R890" s="33" t="str">
        <f ca="1">IFERROR(__xludf.DUMMYFUNCTION("""COMPUTED_VALUE"""),"Dr, Martín Eduardo Marcano Acuña")</f>
        <v>Dr, Martín Eduardo Marcano Acuña</v>
      </c>
      <c r="S890" s="61" t="str">
        <f ca="1">IFERROR(__xludf.DUMMYFUNCTION("""COMPUTED_VALUE"""),"03 ORL")</f>
        <v>03 ORL</v>
      </c>
      <c r="T890" s="33" t="str">
        <f ca="1">IFERROR(__xludf.DUMMYFUNCTION("""COMPUTED_VALUE"""),"06 ORL")</f>
        <v>06 ORL</v>
      </c>
      <c r="U890" s="62"/>
      <c r="W890" s="61"/>
      <c r="X890" s="62"/>
    </row>
    <row r="891" spans="2:24" ht="16">
      <c r="B891" s="67" t="str">
        <f t="shared" ca="1" si="4"/>
        <v>#N/</v>
      </c>
      <c r="C891" s="64" t="str">
        <f ca="1">IFERROR(__xludf.DUMMYFUNCTION("""COMPUTED_VALUE"""),"#N/A")</f>
        <v>#N/A</v>
      </c>
      <c r="D891" s="33" t="str">
        <f ca="1">IFERROR(__xludf.DUMMYFUNCTION("""COMPUTED_VALUE"""),"PROPIOS")</f>
        <v>PROPIOS</v>
      </c>
      <c r="E891" s="33">
        <f ca="1">IFERROR(__xludf.DUMMYFUNCTION("""COMPUTED_VALUE"""),2026)</f>
        <v>2026</v>
      </c>
      <c r="F891" s="56">
        <f ca="1">IFERROR(__xludf.DUMMYFUNCTION("""COMPUTED_VALUE"""),2)</f>
        <v>2</v>
      </c>
      <c r="G891" s="33" t="str">
        <f ca="1">IFERROR(__xludf.DUMMYFUNCTION("""COMPUTED_VALUE"""),"Valencia- Cádiz")</f>
        <v>Valencia- Cádiz</v>
      </c>
      <c r="H891" s="33" t="str">
        <f ca="1">IFERROR(__xludf.DUMMYFUNCTION("""COMPUTED_VALUE"""),"C202512171755174167")</f>
        <v>C202512171755174167</v>
      </c>
      <c r="I891" s="33" t="str">
        <f ca="1">IFERROR(__xludf.DUMMYFUNCTION("""COMPUTED_VALUE"""),"Herminio  Sanchez Andrés")</f>
        <v>Herminio  Sanchez Andrés</v>
      </c>
      <c r="J891" s="57">
        <f ca="1">IFERROR(__xludf.DUMMYFUNCTION("""COMPUTED_VALUE"""),46008)</f>
        <v>46008</v>
      </c>
      <c r="K891" s="33" t="str">
        <f ca="1">IFERROR(__xludf.DUMMYFUNCTION("""COMPUTED_VALUE"""),"Devuelve")</f>
        <v>Devuelve</v>
      </c>
      <c r="L891" s="57">
        <f ca="1">IFERROR(__xludf.DUMMYFUNCTION("""COMPUTED_VALUE"""),46062)</f>
        <v>46062</v>
      </c>
      <c r="M891" s="64" t="str">
        <f ca="1">IFERROR(__xludf.DUMMYFUNCTION("""COMPUTED_VALUE"""),"NO")</f>
        <v>NO</v>
      </c>
      <c r="N891" s="56">
        <f ca="1">IFERROR(__xludf.DUMMYFUNCTION("""COMPUTED_VALUE"""),2)</f>
        <v>2</v>
      </c>
      <c r="O891" s="58" t="str">
        <f ca="1">IFERROR(__xludf.DUMMYFUNCTION("""COMPUTED_VALUE"""),"QUIET")</f>
        <v>QUIET</v>
      </c>
      <c r="P891" s="62">
        <f ca="1">IFERROR(__xludf.DUMMYFUNCTION("""COMPUTED_VALUE"""),2718.18)</f>
        <v>2718.18</v>
      </c>
      <c r="Q891" s="33" t="str">
        <f ca="1">IFERROR(__xludf.DUMMYFUNCTION("""COMPUTED_VALUE"""),"Ramon Ferrando")</f>
        <v>Ramon Ferrando</v>
      </c>
      <c r="R891" s="33" t="str">
        <f ca="1">IFERROR(__xludf.DUMMYFUNCTION("""COMPUTED_VALUE"""),"Dr, Martín Eduardo Marcano Acuña")</f>
        <v>Dr, Martín Eduardo Marcano Acuña</v>
      </c>
      <c r="S891" s="61" t="str">
        <f ca="1">IFERROR(__xludf.DUMMYFUNCTION("""COMPUTED_VALUE"""),"03 ORL")</f>
        <v>03 ORL</v>
      </c>
      <c r="T891" s="33" t="str">
        <f ca="1">IFERROR(__xludf.DUMMYFUNCTION("""COMPUTED_VALUE"""),"06 ORL")</f>
        <v>06 ORL</v>
      </c>
      <c r="U891" s="62"/>
      <c r="W891" s="61"/>
      <c r="X891" s="62"/>
    </row>
    <row r="892" spans="2:24" ht="16">
      <c r="B892" s="67" t="str">
        <f t="shared" ca="1" si="4"/>
        <v>#N/</v>
      </c>
      <c r="C892" s="64" t="str">
        <f ca="1">IFERROR(__xludf.DUMMYFUNCTION("""COMPUTED_VALUE"""),"#N/A")</f>
        <v>#N/A</v>
      </c>
      <c r="D892" s="33" t="str">
        <f ca="1">IFERROR(__xludf.DUMMYFUNCTION("""COMPUTED_VALUE"""),"PROPIOS")</f>
        <v>PROPIOS</v>
      </c>
      <c r="E892" s="33">
        <f ca="1">IFERROR(__xludf.DUMMYFUNCTION("""COMPUTED_VALUE"""),2026)</f>
        <v>2026</v>
      </c>
      <c r="F892" s="56">
        <f ca="1">IFERROR(__xludf.DUMMYFUNCTION("""COMPUTED_VALUE"""),1)</f>
        <v>1</v>
      </c>
      <c r="G892" s="33" t="str">
        <f ca="1">IFERROR(__xludf.DUMMYFUNCTION("""COMPUTED_VALUE"""),"Valencia- Cádiz")</f>
        <v>Valencia- Cádiz</v>
      </c>
      <c r="H892" s="33" t="str">
        <f ca="1">IFERROR(__xludf.DUMMYFUNCTION("""COMPUTED_VALUE"""),"C20261231467474280")</f>
        <v>C20261231467474280</v>
      </c>
      <c r="I892" s="33" t="str">
        <f ca="1">IFERROR(__xludf.DUMMYFUNCTION("""COMPUTED_VALUE"""),"JAVIER FERNANDEZ FERRUS")</f>
        <v>JAVIER FERNANDEZ FERRUS</v>
      </c>
      <c r="J892" s="57">
        <f ca="1">IFERROR(__xludf.DUMMYFUNCTION("""COMPUTED_VALUE"""),46045)</f>
        <v>46045</v>
      </c>
      <c r="K892" s="33" t="str">
        <f ca="1">IFERROR(__xludf.DUMMYFUNCTION("""COMPUTED_VALUE"""),"Presupuesto")</f>
        <v>Presupuesto</v>
      </c>
      <c r="L892" s="57">
        <f ca="1">IFERROR(__xludf.DUMMYFUNCTION("""COMPUTED_VALUE"""),46052)</f>
        <v>46052</v>
      </c>
      <c r="M892" s="64" t="str">
        <f ca="1">IFERROR(__xludf.DUMMYFUNCTION("""COMPUTED_VALUE"""),"NO")</f>
        <v>NO</v>
      </c>
      <c r="N892" s="56">
        <f ca="1">IFERROR(__xludf.DUMMYFUNCTION("""COMPUTED_VALUE"""),2)</f>
        <v>2</v>
      </c>
      <c r="O892" s="58" t="str">
        <f ca="1">IFERROR(__xludf.DUMMYFUNCTION("""COMPUTED_VALUE"""),"TRIAL")</f>
        <v>TRIAL</v>
      </c>
      <c r="P892" s="62">
        <f ca="1">IFERROR(__xludf.DUMMYFUNCTION("""COMPUTED_VALUE"""),4136.36)</f>
        <v>4136.3599999999997</v>
      </c>
      <c r="Q892" s="33" t="str">
        <f ca="1">IFERROR(__xludf.DUMMYFUNCTION("""COMPUTED_VALUE"""),"Ramon Ferrando")</f>
        <v>Ramon Ferrando</v>
      </c>
      <c r="R892" s="33" t="str">
        <f ca="1">IFERROR(__xludf.DUMMYFUNCTION("""COMPUTED_VALUE"""),"Dra, Paula Morales Chacchi")</f>
        <v>Dra, Paula Morales Chacchi</v>
      </c>
      <c r="S892" s="61" t="str">
        <f ca="1">IFERROR(__xludf.DUMMYFUNCTION("""COMPUTED_VALUE"""),"03 ORL")</f>
        <v>03 ORL</v>
      </c>
      <c r="T892" s="33" t="str">
        <f ca="1">IFERROR(__xludf.DUMMYFUNCTION("""COMPUTED_VALUE"""),"06 ORL")</f>
        <v>06 ORL</v>
      </c>
      <c r="U892" s="62"/>
      <c r="W892" s="61"/>
      <c r="X892" s="62"/>
    </row>
    <row r="893" spans="2:24" ht="16">
      <c r="B893" s="67" t="str">
        <f t="shared" ca="1" si="4"/>
        <v/>
      </c>
      <c r="C893" s="64"/>
      <c r="D893" s="33" t="str">
        <f ca="1">IFERROR(__xludf.DUMMYFUNCTION("""COMPUTED_VALUE"""),"PROPIOS")</f>
        <v>PROPIOS</v>
      </c>
      <c r="E893" s="33">
        <f ca="1">IFERROR(__xludf.DUMMYFUNCTION("""COMPUTED_VALUE"""),2026)</f>
        <v>2026</v>
      </c>
      <c r="F893" s="56">
        <f ca="1">IFERROR(__xludf.DUMMYFUNCTION("""COMPUTED_VALUE"""),2)</f>
        <v>2</v>
      </c>
      <c r="G893" s="33" t="str">
        <f ca="1">IFERROR(__xludf.DUMMYFUNCTION("""COMPUTED_VALUE"""),"Valencia- Cádiz")</f>
        <v>Valencia- Cádiz</v>
      </c>
      <c r="H893" s="33" t="str">
        <f ca="1">IFERROR(__xludf.DUMMYFUNCTION("""COMPUTED_VALUE"""),"C202512121255416339")</f>
        <v>C202512121255416339</v>
      </c>
      <c r="I893" s="33" t="str">
        <f ca="1">IFERROR(__xludf.DUMMYFUNCTION("""COMPUTED_VALUE"""),"LUIS CASTELL FERNANDEZ")</f>
        <v>LUIS CASTELL FERNANDEZ</v>
      </c>
      <c r="J893" s="57">
        <f ca="1">IFERROR(__xludf.DUMMYFUNCTION("""COMPUTED_VALUE"""),46003)</f>
        <v>46003</v>
      </c>
      <c r="K893" s="33" t="str">
        <f ca="1">IFERROR(__xludf.DUMMYFUNCTION("""COMPUTED_VALUE"""),"Devuelve")</f>
        <v>Devuelve</v>
      </c>
      <c r="L893" s="57">
        <f ca="1">IFERROR(__xludf.DUMMYFUNCTION("""COMPUTED_VALUE"""),46065)</f>
        <v>46065</v>
      </c>
      <c r="M893" s="64" t="str">
        <f ca="1">IFERROR(__xludf.DUMMYFUNCTION("""COMPUTED_VALUE"""),"NO")</f>
        <v>NO</v>
      </c>
      <c r="N893" s="56">
        <f ca="1">IFERROR(__xludf.DUMMYFUNCTION("""COMPUTED_VALUE"""),2)</f>
        <v>2</v>
      </c>
      <c r="O893" s="58" t="str">
        <f ca="1">IFERROR(__xludf.DUMMYFUNCTION("""COMPUTED_VALUE"""),"ADVANCED")</f>
        <v>ADVANCED</v>
      </c>
      <c r="P893" s="62">
        <f ca="1">IFERROR(__xludf.DUMMYFUNCTION("""COMPUTED_VALUE"""),4136.36)</f>
        <v>4136.3599999999997</v>
      </c>
      <c r="Q893" s="33" t="str">
        <f ca="1">IFERROR(__xludf.DUMMYFUNCTION("""COMPUTED_VALUE"""),"Ramon Ferrando")</f>
        <v>Ramon Ferrando</v>
      </c>
      <c r="R893" s="33" t="str">
        <f ca="1">IFERROR(__xludf.DUMMYFUNCTION("""COMPUTED_VALUE"""),"No recuerda ORL")</f>
        <v>No recuerda ORL</v>
      </c>
      <c r="S893" s="61" t="str">
        <f ca="1">IFERROR(__xludf.DUMMYFUNCTION("""COMPUTED_VALUE"""),"03 ORL")</f>
        <v>03 ORL</v>
      </c>
      <c r="T893" s="33" t="str">
        <f ca="1">IFERROR(__xludf.DUMMYFUNCTION("""COMPUTED_VALUE"""),"06 ORL")</f>
        <v>06 ORL</v>
      </c>
      <c r="U893" s="62"/>
      <c r="W893" s="61"/>
      <c r="X893" s="62"/>
    </row>
    <row r="894" spans="2:24" ht="16">
      <c r="B894" s="67" t="str">
        <f t="shared" ca="1" si="4"/>
        <v/>
      </c>
      <c r="C894" s="64"/>
      <c r="D894" s="33" t="str">
        <f ca="1">IFERROR(__xludf.DUMMYFUNCTION("""COMPUTED_VALUE"""),"PROPIOS")</f>
        <v>PROPIOS</v>
      </c>
      <c r="E894" s="33">
        <f ca="1">IFERROR(__xludf.DUMMYFUNCTION("""COMPUTED_VALUE"""),2026)</f>
        <v>2026</v>
      </c>
      <c r="F894" s="56">
        <f ca="1">IFERROR(__xludf.DUMMYFUNCTION("""COMPUTED_VALUE"""),4)</f>
        <v>4</v>
      </c>
      <c r="G894" s="33" t="str">
        <f ca="1">IFERROR(__xludf.DUMMYFUNCTION("""COMPUTED_VALUE"""),"Valencia- Cádiz")</f>
        <v>Valencia- Cádiz</v>
      </c>
      <c r="H894" s="33" t="str">
        <f ca="1">IFERROR(__xludf.DUMMYFUNCTION("""COMPUTED_VALUE"""),"C202632311505403794")</f>
        <v>C202632311505403794</v>
      </c>
      <c r="I894" s="33" t="str">
        <f ca="1">IFERROR(__xludf.DUMMYFUNCTION("""COMPUTED_VALUE"""),"MANUEL MERCÉ SANCHIS")</f>
        <v>MANUEL MERCÉ SANCHIS</v>
      </c>
      <c r="J894" s="57">
        <f ca="1">IFERROR(__xludf.DUMMYFUNCTION("""COMPUTED_VALUE"""),46104)</f>
        <v>46104</v>
      </c>
      <c r="K894" s="33" t="str">
        <f ca="1">IFERROR(__xludf.DUMMYFUNCTION("""COMPUTED_VALUE"""),"Pedido")</f>
        <v>Pedido</v>
      </c>
      <c r="L894" s="57">
        <f ca="1">IFERROR(__xludf.DUMMYFUNCTION("""COMPUTED_VALUE"""),46113)</f>
        <v>46113</v>
      </c>
      <c r="M894" s="64" t="str">
        <f ca="1">IFERROR(__xludf.DUMMYFUNCTION("""COMPUTED_VALUE"""),"NO")</f>
        <v>NO</v>
      </c>
      <c r="N894" s="56">
        <f ca="1">IFERROR(__xludf.DUMMYFUNCTION("""COMPUTED_VALUE"""),2)</f>
        <v>2</v>
      </c>
      <c r="O894" s="58" t="str">
        <f ca="1">IFERROR(__xludf.DUMMYFUNCTION("""COMPUTED_VALUE"""),"CONFORT")</f>
        <v>CONFORT</v>
      </c>
      <c r="P894" s="62">
        <f ca="1">IFERROR(__xludf.DUMMYFUNCTION("""COMPUTED_VALUE"""),3631.82)</f>
        <v>3631.82</v>
      </c>
      <c r="Q894" s="33" t="str">
        <f ca="1">IFERROR(__xludf.DUMMYFUNCTION("""COMPUTED_VALUE"""),"Ramon Ferrando")</f>
        <v>Ramon Ferrando</v>
      </c>
      <c r="R894" s="33" t="str">
        <f ca="1">IFERROR(__xludf.DUMMYFUNCTION("""COMPUTED_VALUE"""),"No recuerda ORL")</f>
        <v>No recuerda ORL</v>
      </c>
      <c r="S894" s="61" t="str">
        <f ca="1">IFERROR(__xludf.DUMMYFUNCTION("""COMPUTED_VALUE"""),"03 ORL")</f>
        <v>03 ORL</v>
      </c>
      <c r="T894" s="33" t="str">
        <f ca="1">IFERROR(__xludf.DUMMYFUNCTION("""COMPUTED_VALUE"""),"06 ORL")</f>
        <v>06 ORL</v>
      </c>
      <c r="U894" s="62"/>
      <c r="W894" s="61"/>
      <c r="X894" s="62"/>
    </row>
    <row r="895" spans="2:24" ht="16">
      <c r="B895" s="67" t="str">
        <f t="shared" ca="1" si="4"/>
        <v>#N/</v>
      </c>
      <c r="C895" s="64" t="str">
        <f ca="1">IFERROR(__xludf.DUMMYFUNCTION("""COMPUTED_VALUE"""),"#N/A")</f>
        <v>#N/A</v>
      </c>
      <c r="D895" s="33" t="str">
        <f ca="1">IFERROR(__xludf.DUMMYFUNCTION("""COMPUTED_VALUE"""),"PROPIOS")</f>
        <v>PROPIOS</v>
      </c>
      <c r="E895" s="33">
        <f ca="1">IFERROR(__xludf.DUMMYFUNCTION("""COMPUTED_VALUE"""),2026)</f>
        <v>2026</v>
      </c>
      <c r="F895" s="56">
        <f ca="1">IFERROR(__xludf.DUMMYFUNCTION("""COMPUTED_VALUE"""),4)</f>
        <v>4</v>
      </c>
      <c r="G895" s="33" t="str">
        <f ca="1">IFERROR(__xludf.DUMMYFUNCTION("""COMPUTED_VALUE"""),"Valencia- Cádiz")</f>
        <v>Valencia- Cádiz</v>
      </c>
      <c r="H895" s="33" t="str">
        <f ca="1">IFERROR(__xludf.DUMMYFUNCTION("""COMPUTED_VALUE"""),"C202632512044314498")</f>
        <v>C202632512044314498</v>
      </c>
      <c r="I895" s="33" t="str">
        <f ca="1">IFERROR(__xludf.DUMMYFUNCTION("""COMPUTED_VALUE"""),"MARIA ANGELES TOMAS PEREZ")</f>
        <v>MARIA ANGELES TOMAS PEREZ</v>
      </c>
      <c r="J895" s="57">
        <f ca="1">IFERROR(__xludf.DUMMYFUNCTION("""COMPUTED_VALUE"""),46106)</f>
        <v>46106</v>
      </c>
      <c r="K895" s="33" t="str">
        <f ca="1">IFERROR(__xludf.DUMMYFUNCTION("""COMPUTED_VALUE"""),"Pedido")</f>
        <v>Pedido</v>
      </c>
      <c r="L895" s="57">
        <f ca="1">IFERROR(__xludf.DUMMYFUNCTION("""COMPUTED_VALUE"""),46114)</f>
        <v>46114</v>
      </c>
      <c r="M895" s="64" t="str">
        <f ca="1">IFERROR(__xludf.DUMMYFUNCTION("""COMPUTED_VALUE"""),"NO")</f>
        <v>NO</v>
      </c>
      <c r="N895" s="56">
        <f ca="1">IFERROR(__xludf.DUMMYFUNCTION("""COMPUTED_VALUE"""),2)</f>
        <v>2</v>
      </c>
      <c r="O895" s="58" t="str">
        <f ca="1">IFERROR(__xludf.DUMMYFUNCTION("""COMPUTED_VALUE"""),"QUIET")</f>
        <v>QUIET</v>
      </c>
      <c r="P895" s="62">
        <f ca="1">IFERROR(__xludf.DUMMYFUNCTION("""COMPUTED_VALUE"""),2718.19)</f>
        <v>2718.19</v>
      </c>
      <c r="Q895" s="33" t="str">
        <f ca="1">IFERROR(__xludf.DUMMYFUNCTION("""COMPUTED_VALUE"""),"Ramon Ferrando")</f>
        <v>Ramon Ferrando</v>
      </c>
      <c r="R895" s="33" t="str">
        <f ca="1">IFERROR(__xludf.DUMMYFUNCTION("""COMPUTED_VALUE"""),"Dr, Felipe José Domínguez Celis")</f>
        <v>Dr, Felipe José Domínguez Celis</v>
      </c>
      <c r="S895" s="61" t="str">
        <f ca="1">IFERROR(__xludf.DUMMYFUNCTION("""COMPUTED_VALUE"""),"03 ORL")</f>
        <v>03 ORL</v>
      </c>
      <c r="T895" s="33" t="str">
        <f ca="1">IFERROR(__xludf.DUMMYFUNCTION("""COMPUTED_VALUE"""),"06 ORL")</f>
        <v>06 ORL</v>
      </c>
      <c r="U895" s="62"/>
      <c r="W895" s="61"/>
      <c r="X895" s="62"/>
    </row>
    <row r="896" spans="2:24" ht="16">
      <c r="B896" s="67" t="str">
        <f t="shared" ca="1" si="4"/>
        <v>#N/</v>
      </c>
      <c r="C896" s="64" t="str">
        <f ca="1">IFERROR(__xludf.DUMMYFUNCTION("""COMPUTED_VALUE"""),"#N/A")</f>
        <v>#N/A</v>
      </c>
      <c r="D896" s="33" t="str">
        <f ca="1">IFERROR(__xludf.DUMMYFUNCTION("""COMPUTED_VALUE"""),"PROPIOS")</f>
        <v>PROPIOS</v>
      </c>
      <c r="E896" s="33">
        <f ca="1">IFERROR(__xludf.DUMMYFUNCTION("""COMPUTED_VALUE"""),2026)</f>
        <v>2026</v>
      </c>
      <c r="F896" s="56">
        <f ca="1">IFERROR(__xludf.DUMMYFUNCTION("""COMPUTED_VALUE"""),3)</f>
        <v>3</v>
      </c>
      <c r="G896" s="33" t="str">
        <f ca="1">IFERROR(__xludf.DUMMYFUNCTION("""COMPUTED_VALUE"""),"Valencia- Cádiz")</f>
        <v>Valencia- Cádiz</v>
      </c>
      <c r="H896" s="33" t="str">
        <f ca="1">IFERROR(__xludf.DUMMYFUNCTION("""COMPUTED_VALUE"""),"C202621818162487866")</f>
        <v>C202621818162487866</v>
      </c>
      <c r="I896" s="33" t="str">
        <f ca="1">IFERROR(__xludf.DUMMYFUNCTION("""COMPUTED_VALUE"""),"MIGUEL EDUARDO MODUGNO PARRA")</f>
        <v>MIGUEL EDUARDO MODUGNO PARRA</v>
      </c>
      <c r="J896" s="57">
        <f ca="1">IFERROR(__xludf.DUMMYFUNCTION("""COMPUTED_VALUE"""),46071)</f>
        <v>46071</v>
      </c>
      <c r="K896" s="33" t="str">
        <f ca="1">IFERROR(__xludf.DUMMYFUNCTION("""COMPUTED_VALUE"""),"Prueba")</f>
        <v>Prueba</v>
      </c>
      <c r="L896" s="57">
        <f ca="1">IFERROR(__xludf.DUMMYFUNCTION("""COMPUTED_VALUE"""),46105)</f>
        <v>46105</v>
      </c>
      <c r="M896" s="64" t="str">
        <f ca="1">IFERROR(__xludf.DUMMYFUNCTION("""COMPUTED_VALUE"""),"NO")</f>
        <v>NO</v>
      </c>
      <c r="N896" s="56">
        <f ca="1">IFERROR(__xludf.DUMMYFUNCTION("""COMPUTED_VALUE"""),1)</f>
        <v>1</v>
      </c>
      <c r="O896" s="58" t="str">
        <f ca="1">IFERROR(__xludf.DUMMYFUNCTION("""COMPUTED_VALUE"""),"TRIAL")</f>
        <v>TRIAL</v>
      </c>
      <c r="P896" s="62">
        <f ca="1">IFERROR(__xludf.DUMMYFUNCTION("""COMPUTED_VALUE"""),2180.9)</f>
        <v>2180.9</v>
      </c>
      <c r="Q896" s="33" t="str">
        <f ca="1">IFERROR(__xludf.DUMMYFUNCTION("""COMPUTED_VALUE"""),"Ramon Ferrando")</f>
        <v>Ramon Ferrando</v>
      </c>
      <c r="R896" s="33" t="str">
        <f ca="1">IFERROR(__xludf.DUMMYFUNCTION("""COMPUTED_VALUE"""),"Dr, Abel Guzmán Calvete")</f>
        <v>Dr, Abel Guzmán Calvete</v>
      </c>
      <c r="S896" s="61" t="str">
        <f ca="1">IFERROR(__xludf.DUMMYFUNCTION("""COMPUTED_VALUE"""),"03 ORL")</f>
        <v>03 ORL</v>
      </c>
      <c r="T896" s="33" t="str">
        <f ca="1">IFERROR(__xludf.DUMMYFUNCTION("""COMPUTED_VALUE"""),"06 ORL")</f>
        <v>06 ORL</v>
      </c>
      <c r="U896" s="62"/>
      <c r="W896" s="61"/>
      <c r="X896" s="62"/>
    </row>
    <row r="897" spans="2:24" ht="16">
      <c r="B897" s="67" t="str">
        <f t="shared" ca="1" si="4"/>
        <v>#N/</v>
      </c>
      <c r="C897" s="64" t="str">
        <f ca="1">IFERROR(__xludf.DUMMYFUNCTION("""COMPUTED_VALUE"""),"#N/A")</f>
        <v>#N/A</v>
      </c>
      <c r="D897" s="33" t="str">
        <f ca="1">IFERROR(__xludf.DUMMYFUNCTION("""COMPUTED_VALUE"""),"PROPIOS")</f>
        <v>PROPIOS</v>
      </c>
      <c r="E897" s="33">
        <f ca="1">IFERROR(__xludf.DUMMYFUNCTION("""COMPUTED_VALUE"""),2026)</f>
        <v>2026</v>
      </c>
      <c r="F897" s="56">
        <f ca="1">IFERROR(__xludf.DUMMYFUNCTION("""COMPUTED_VALUE"""),2)</f>
        <v>2</v>
      </c>
      <c r="G897" s="33" t="str">
        <f ca="1">IFERROR(__xludf.DUMMYFUNCTION("""COMPUTED_VALUE"""),"Valencia- Cádiz")</f>
        <v>Valencia- Cádiz</v>
      </c>
      <c r="H897" s="33" t="str">
        <f ca="1">IFERROR(__xludf.DUMMYFUNCTION("""COMPUTED_VALUE"""),"C202621210343674988")</f>
        <v>C202621210343674988</v>
      </c>
      <c r="I897" s="33" t="str">
        <f ca="1">IFERROR(__xludf.DUMMYFUNCTION("""COMPUTED_VALUE"""),"RAIZA MUCIDA OLIVEIRA")</f>
        <v>RAIZA MUCIDA OLIVEIRA</v>
      </c>
      <c r="J897" s="57">
        <f ca="1">IFERROR(__xludf.DUMMYFUNCTION("""COMPUTED_VALUE"""),46065)</f>
        <v>46065</v>
      </c>
      <c r="K897" s="33" t="str">
        <f ca="1">IFERROR(__xludf.DUMMYFUNCTION("""COMPUTED_VALUE"""),"Devuelve")</f>
        <v>Devuelve</v>
      </c>
      <c r="L897" s="57">
        <f ca="1">IFERROR(__xludf.DUMMYFUNCTION("""COMPUTED_VALUE"""),46078)</f>
        <v>46078</v>
      </c>
      <c r="M897" s="64" t="str">
        <f ca="1">IFERROR(__xludf.DUMMYFUNCTION("""COMPUTED_VALUE"""),"NO")</f>
        <v>NO</v>
      </c>
      <c r="N897" s="56">
        <f ca="1">IFERROR(__xludf.DUMMYFUNCTION("""COMPUTED_VALUE"""),2)</f>
        <v>2</v>
      </c>
      <c r="O897" s="58" t="str">
        <f ca="1">IFERROR(__xludf.DUMMYFUNCTION("""COMPUTED_VALUE"""),"QUIET")</f>
        <v>QUIET</v>
      </c>
      <c r="P897" s="62">
        <f ca="1">IFERROR(__xludf.DUMMYFUNCTION("""COMPUTED_VALUE"""),2718.18)</f>
        <v>2718.18</v>
      </c>
      <c r="Q897" s="33" t="str">
        <f ca="1">IFERROR(__xludf.DUMMYFUNCTION("""COMPUTED_VALUE"""),"Ramon Ferrando")</f>
        <v>Ramon Ferrando</v>
      </c>
      <c r="R897" s="33" t="str">
        <f ca="1">IFERROR(__xludf.DUMMYFUNCTION("""COMPUTED_VALUE"""),"Dr, Jean Franco Intraprendente Martini")</f>
        <v>Dr, Jean Franco Intraprendente Martini</v>
      </c>
      <c r="S897" s="61" t="str">
        <f ca="1">IFERROR(__xludf.DUMMYFUNCTION("""COMPUTED_VALUE"""),"03 ORL")</f>
        <v>03 ORL</v>
      </c>
      <c r="T897" s="33" t="str">
        <f ca="1">IFERROR(__xludf.DUMMYFUNCTION("""COMPUTED_VALUE"""),"06 ORL")</f>
        <v>06 ORL</v>
      </c>
      <c r="U897" s="62"/>
      <c r="W897" s="61"/>
      <c r="X897" s="62"/>
    </row>
    <row r="898" spans="2:24" ht="16">
      <c r="B898" s="67" t="str">
        <f t="shared" ca="1" si="4"/>
        <v/>
      </c>
      <c r="C898" s="64"/>
      <c r="D898" s="33" t="str">
        <f ca="1">IFERROR(__xludf.DUMMYFUNCTION("""COMPUTED_VALUE"""),"PROPIOS")</f>
        <v>PROPIOS</v>
      </c>
      <c r="E898" s="33">
        <f ca="1">IFERROR(__xludf.DUMMYFUNCTION("""COMPUTED_VALUE"""),2026)</f>
        <v>2026</v>
      </c>
      <c r="F898" s="56">
        <f ca="1">IFERROR(__xludf.DUMMYFUNCTION("""COMPUTED_VALUE"""),3)</f>
        <v>3</v>
      </c>
      <c r="G898" s="33" t="str">
        <f ca="1">IFERROR(__xludf.DUMMYFUNCTION("""COMPUTED_VALUE"""),"Valencia- Cádiz")</f>
        <v>Valencia- Cádiz</v>
      </c>
      <c r="H898" s="33" t="str">
        <f ca="1">IFERROR(__xludf.DUMMYFUNCTION("""COMPUTED_VALUE"""),"C202631311265109689")</f>
        <v>C202631311265109689</v>
      </c>
      <c r="I898" s="33" t="str">
        <f ca="1">IFERROR(__xludf.DUMMYFUNCTION("""COMPUTED_VALUE"""),"YANI TRIFONOV KIROV")</f>
        <v>YANI TRIFONOV KIROV</v>
      </c>
      <c r="J898" s="57">
        <f ca="1">IFERROR(__xludf.DUMMYFUNCTION("""COMPUTED_VALUE"""),46094)</f>
        <v>46094</v>
      </c>
      <c r="K898" s="33" t="str">
        <f ca="1">IFERROR(__xludf.DUMMYFUNCTION("""COMPUTED_VALUE"""),"Pedido")</f>
        <v>Pedido</v>
      </c>
      <c r="L898" s="57">
        <f ca="1">IFERROR(__xludf.DUMMYFUNCTION("""COMPUTED_VALUE"""),46108)</f>
        <v>46108</v>
      </c>
      <c r="M898" s="64" t="str">
        <f ca="1">IFERROR(__xludf.DUMMYFUNCTION("""COMPUTED_VALUE"""),"NO")</f>
        <v>NO</v>
      </c>
      <c r="N898" s="56">
        <f ca="1">IFERROR(__xludf.DUMMYFUNCTION("""COMPUTED_VALUE"""),2)</f>
        <v>2</v>
      </c>
      <c r="O898" s="58" t="str">
        <f ca="1">IFERROR(__xludf.DUMMYFUNCTION("""COMPUTED_VALUE"""),"QUIET")</f>
        <v>QUIET</v>
      </c>
      <c r="P898" s="62">
        <f ca="1">IFERROR(__xludf.DUMMYFUNCTION("""COMPUTED_VALUE"""),2718.18)</f>
        <v>2718.18</v>
      </c>
      <c r="Q898" s="33" t="str">
        <f ca="1">IFERROR(__xludf.DUMMYFUNCTION("""COMPUTED_VALUE"""),"Ramon Ferrando")</f>
        <v>Ramon Ferrando</v>
      </c>
      <c r="R898" s="33" t="str">
        <f ca="1">IFERROR(__xludf.DUMMYFUNCTION("""COMPUTED_VALUE"""),"No recuerda ORL")</f>
        <v>No recuerda ORL</v>
      </c>
      <c r="S898" s="61" t="str">
        <f ca="1">IFERROR(__xludf.DUMMYFUNCTION("""COMPUTED_VALUE"""),"03 ORL")</f>
        <v>03 ORL</v>
      </c>
      <c r="T898" s="33" t="str">
        <f ca="1">IFERROR(__xludf.DUMMYFUNCTION("""COMPUTED_VALUE"""),"06 ORL")</f>
        <v>06 ORL</v>
      </c>
      <c r="U898" s="62"/>
      <c r="W898" s="61"/>
      <c r="X898" s="62"/>
    </row>
    <row r="899" spans="2:24" ht="16">
      <c r="B899" s="67" t="str">
        <f t="shared" ca="1" si="4"/>
        <v>#N/</v>
      </c>
      <c r="C899" s="64" t="str">
        <f ca="1">IFERROR(__xludf.DUMMYFUNCTION("""COMPUTED_VALUE"""),"#N/A")</f>
        <v>#N/A</v>
      </c>
      <c r="D899" s="33" t="str">
        <f ca="1">IFERROR(__xludf.DUMMYFUNCTION("""COMPUTED_VALUE"""),"PROPIOS")</f>
        <v>PROPIOS</v>
      </c>
      <c r="E899" s="33">
        <f ca="1">IFERROR(__xludf.DUMMYFUNCTION("""COMPUTED_VALUE"""),2026)</f>
        <v>2026</v>
      </c>
      <c r="F899" s="56">
        <f ca="1">IFERROR(__xludf.DUMMYFUNCTION("""COMPUTED_VALUE"""),1)</f>
        <v>1</v>
      </c>
      <c r="G899" s="33" t="str">
        <f ca="1">IFERROR(__xludf.DUMMYFUNCTION("""COMPUTED_VALUE"""),"Valencia- Parra")</f>
        <v>Valencia- Parra</v>
      </c>
      <c r="H899" s="33" t="str">
        <f ca="1">IFERROR(__xludf.DUMMYFUNCTION("""COMPUTED_VALUE"""),"C202611212203043623")</f>
        <v>C202611212203043623</v>
      </c>
      <c r="I899" s="33" t="str">
        <f ca="1">IFERROR(__xludf.DUMMYFUNCTION("""COMPUTED_VALUE"""),"ABELARDO VENDRELL ORTEGA")</f>
        <v>ABELARDO VENDRELL ORTEGA</v>
      </c>
      <c r="J899" s="57">
        <f ca="1">IFERROR(__xludf.DUMMYFUNCTION("""COMPUTED_VALUE"""),46034)</f>
        <v>46034</v>
      </c>
      <c r="K899" s="33" t="str">
        <f ca="1">IFERROR(__xludf.DUMMYFUNCTION("""COMPUTED_VALUE"""),"Presupuesto")</f>
        <v>Presupuesto</v>
      </c>
      <c r="L899" s="57">
        <f ca="1">IFERROR(__xludf.DUMMYFUNCTION("""COMPUTED_VALUE"""),46043)</f>
        <v>46043</v>
      </c>
      <c r="M899" s="64" t="str">
        <f ca="1">IFERROR(__xludf.DUMMYFUNCTION("""COMPUTED_VALUE"""),"NO")</f>
        <v>NO</v>
      </c>
      <c r="N899" s="56">
        <f ca="1">IFERROR(__xludf.DUMMYFUNCTION("""COMPUTED_VALUE"""),1)</f>
        <v>1</v>
      </c>
      <c r="O899" s="64" t="str">
        <f ca="1">IFERROR(__xludf.DUMMYFUNCTION("""COMPUTED_VALUE"""),"TRIAL")</f>
        <v>TRIAL</v>
      </c>
      <c r="P899" s="62">
        <f ca="1">IFERROR(__xludf.DUMMYFUNCTION("""COMPUTED_VALUE"""),1631.82)</f>
        <v>1631.82</v>
      </c>
      <c r="Q899" s="33" t="str">
        <f ca="1">IFERROR(__xludf.DUMMYFUNCTION("""COMPUTED_VALUE"""),"Ramon Ferrando")</f>
        <v>Ramon Ferrando</v>
      </c>
      <c r="R899" s="33" t="str">
        <f ca="1">IFERROR(__xludf.DUMMYFUNCTION("""COMPUTED_VALUE"""),"Dra, María Begoña Capella Soriano")</f>
        <v>Dra, María Begoña Capella Soriano</v>
      </c>
      <c r="S899" s="61" t="str">
        <f ca="1">IFERROR(__xludf.DUMMYFUNCTION("""COMPUTED_VALUE"""),"03 ORL")</f>
        <v>03 ORL</v>
      </c>
      <c r="T899" s="33" t="str">
        <f ca="1">IFERROR(__xludf.DUMMYFUNCTION("""COMPUTED_VALUE"""),"06 ORL")</f>
        <v>06 ORL</v>
      </c>
      <c r="U899" s="62"/>
      <c r="W899" s="61"/>
      <c r="X899" s="62"/>
    </row>
    <row r="900" spans="2:24" ht="16">
      <c r="B900" s="67" t="str">
        <f t="shared" ca="1" si="4"/>
        <v>#N/</v>
      </c>
      <c r="C900" s="64" t="str">
        <f ca="1">IFERROR(__xludf.DUMMYFUNCTION("""COMPUTED_VALUE"""),"#N/A")</f>
        <v>#N/A</v>
      </c>
      <c r="D900" s="33" t="str">
        <f ca="1">IFERROR(__xludf.DUMMYFUNCTION("""COMPUTED_VALUE"""),"PROPIOS")</f>
        <v>PROPIOS</v>
      </c>
      <c r="E900" s="33">
        <f ca="1">IFERROR(__xludf.DUMMYFUNCTION("""COMPUTED_VALUE"""),2026)</f>
        <v>2026</v>
      </c>
      <c r="F900" s="56">
        <f ca="1">IFERROR(__xludf.DUMMYFUNCTION("""COMPUTED_VALUE"""),3)</f>
        <v>3</v>
      </c>
      <c r="G900" s="33" t="str">
        <f ca="1">IFERROR(__xludf.DUMMYFUNCTION("""COMPUTED_VALUE"""),"Valencia- Parra")</f>
        <v>Valencia- Parra</v>
      </c>
      <c r="H900" s="33" t="str">
        <f ca="1">IFERROR(__xludf.DUMMYFUNCTION("""COMPUTED_VALUE"""),"C202631018173455263")</f>
        <v>C202631018173455263</v>
      </c>
      <c r="I900" s="33" t="str">
        <f ca="1">IFERROR(__xludf.DUMMYFUNCTION("""COMPUTED_VALUE"""),"ANTONIA CALDERÓN RODRIGUEZ")</f>
        <v>ANTONIA CALDERÓN RODRIGUEZ</v>
      </c>
      <c r="J900" s="57">
        <f ca="1">IFERROR(__xludf.DUMMYFUNCTION("""COMPUTED_VALUE"""),46091)</f>
        <v>46091</v>
      </c>
      <c r="K900" s="33" t="str">
        <f ca="1">IFERROR(__xludf.DUMMYFUNCTION("""COMPUTED_VALUE"""),"Pedido")</f>
        <v>Pedido</v>
      </c>
      <c r="L900" s="57">
        <f ca="1">IFERROR(__xludf.DUMMYFUNCTION("""COMPUTED_VALUE"""),46104)</f>
        <v>46104</v>
      </c>
      <c r="M900" s="64" t="str">
        <f ca="1">IFERROR(__xludf.DUMMYFUNCTION("""COMPUTED_VALUE"""),"NO")</f>
        <v>NO</v>
      </c>
      <c r="N900" s="56">
        <f ca="1">IFERROR(__xludf.DUMMYFUNCTION("""COMPUTED_VALUE"""),2)</f>
        <v>2</v>
      </c>
      <c r="O900" s="64" t="str">
        <f ca="1">IFERROR(__xludf.DUMMYFUNCTION("""COMPUTED_VALUE"""),"ADVANCED")</f>
        <v>ADVANCED</v>
      </c>
      <c r="P900" s="62">
        <f ca="1">IFERROR(__xludf.DUMMYFUNCTION("""COMPUTED_VALUE"""),4136.36)</f>
        <v>4136.3599999999997</v>
      </c>
      <c r="Q900" s="33" t="str">
        <f ca="1">IFERROR(__xludf.DUMMYFUNCTION("""COMPUTED_VALUE"""),"Ramon Ferrando")</f>
        <v>Ramon Ferrando</v>
      </c>
      <c r="R900" s="33" t="str">
        <f ca="1">IFERROR(__xludf.DUMMYFUNCTION("""COMPUTED_VALUE"""),"Dr, Manuel Mateos Fernández")</f>
        <v>Dr, Manuel Mateos Fernández</v>
      </c>
      <c r="S900" s="61" t="str">
        <f ca="1">IFERROR(__xludf.DUMMYFUNCTION("""COMPUTED_VALUE"""),"03 ORL")</f>
        <v>03 ORL</v>
      </c>
      <c r="T900" s="33" t="str">
        <f ca="1">IFERROR(__xludf.DUMMYFUNCTION("""COMPUTED_VALUE"""),"06 ORL")</f>
        <v>06 ORL</v>
      </c>
      <c r="U900" s="62"/>
      <c r="W900" s="61"/>
      <c r="X900" s="62"/>
    </row>
    <row r="901" spans="2:24" ht="16">
      <c r="B901" s="67" t="str">
        <f t="shared" ca="1" si="4"/>
        <v>#N/</v>
      </c>
      <c r="C901" s="64" t="str">
        <f ca="1">IFERROR(__xludf.DUMMYFUNCTION("""COMPUTED_VALUE"""),"#N/A")</f>
        <v>#N/A</v>
      </c>
      <c r="D901" s="33" t="str">
        <f ca="1">IFERROR(__xludf.DUMMYFUNCTION("""COMPUTED_VALUE"""),"PROPIOS")</f>
        <v>PROPIOS</v>
      </c>
      <c r="E901" s="33">
        <f ca="1">IFERROR(__xludf.DUMMYFUNCTION("""COMPUTED_VALUE"""),2026)</f>
        <v>2026</v>
      </c>
      <c r="F901" s="56">
        <f ca="1">IFERROR(__xludf.DUMMYFUNCTION("""COMPUTED_VALUE"""),2)</f>
        <v>2</v>
      </c>
      <c r="G901" s="33" t="str">
        <f ca="1">IFERROR(__xludf.DUMMYFUNCTION("""COMPUTED_VALUE"""),"Valencia- Parra")</f>
        <v>Valencia- Parra</v>
      </c>
      <c r="H901" s="33" t="str">
        <f ca="1">IFERROR(__xludf.DUMMYFUNCTION("""COMPUTED_VALUE"""),"C202611916485439894")</f>
        <v>C202611916485439894</v>
      </c>
      <c r="I901" s="33" t="str">
        <f ca="1">IFERROR(__xludf.DUMMYFUNCTION("""COMPUTED_VALUE"""),"BASILIO LOPEZ OLIVARES")</f>
        <v>BASILIO LOPEZ OLIVARES</v>
      </c>
      <c r="J901" s="57">
        <f ca="1">IFERROR(__xludf.DUMMYFUNCTION("""COMPUTED_VALUE"""),46041)</f>
        <v>46041</v>
      </c>
      <c r="K901" s="33" t="str">
        <f ca="1">IFERROR(__xludf.DUMMYFUNCTION("""COMPUTED_VALUE"""),"Presupuesto")</f>
        <v>Presupuesto</v>
      </c>
      <c r="L901" s="57">
        <f ca="1">IFERROR(__xludf.DUMMYFUNCTION("""COMPUTED_VALUE"""),46057)</f>
        <v>46057</v>
      </c>
      <c r="M901" s="64" t="str">
        <f ca="1">IFERROR(__xludf.DUMMYFUNCTION("""COMPUTED_VALUE"""),"NO")</f>
        <v>NO</v>
      </c>
      <c r="N901" s="56">
        <f ca="1">IFERROR(__xludf.DUMMYFUNCTION("""COMPUTED_VALUE"""),2)</f>
        <v>2</v>
      </c>
      <c r="O901" s="64" t="str">
        <f ca="1">IFERROR(__xludf.DUMMYFUNCTION("""COMPUTED_VALUE"""),"TRIAL")</f>
        <v>TRIAL</v>
      </c>
      <c r="P901" s="62">
        <f ca="1">IFERROR(__xludf.DUMMYFUNCTION("""COMPUTED_VALUE"""),3631.82)</f>
        <v>3631.82</v>
      </c>
      <c r="Q901" s="33" t="str">
        <f ca="1">IFERROR(__xludf.DUMMYFUNCTION("""COMPUTED_VALUE"""),"Ramon Ferrando")</f>
        <v>Ramon Ferrando</v>
      </c>
      <c r="R901" s="33" t="str">
        <f ca="1">IFERROR(__xludf.DUMMYFUNCTION("""COMPUTED_VALUE"""),"Dr, Ignacio Llopez Carratalá")</f>
        <v>Dr, Ignacio Llopez Carratalá</v>
      </c>
      <c r="S901" s="61" t="str">
        <f ca="1">IFERROR(__xludf.DUMMYFUNCTION("""COMPUTED_VALUE"""),"03 ORL")</f>
        <v>03 ORL</v>
      </c>
      <c r="T901" s="33" t="str">
        <f ca="1">IFERROR(__xludf.DUMMYFUNCTION("""COMPUTED_VALUE"""),"06 ORL")</f>
        <v>06 ORL</v>
      </c>
      <c r="U901" s="62"/>
      <c r="W901" s="61"/>
      <c r="X901" s="62"/>
    </row>
    <row r="902" spans="2:24" ht="16">
      <c r="B902" s="67" t="str">
        <f t="shared" ca="1" si="4"/>
        <v>#N/</v>
      </c>
      <c r="C902" s="64" t="str">
        <f ca="1">IFERROR(__xludf.DUMMYFUNCTION("""COMPUTED_VALUE"""),"#N/A")</f>
        <v>#N/A</v>
      </c>
      <c r="D902" s="33" t="str">
        <f ca="1">IFERROR(__xludf.DUMMYFUNCTION("""COMPUTED_VALUE"""),"PROPIOS")</f>
        <v>PROPIOS</v>
      </c>
      <c r="E902" s="33">
        <f ca="1">IFERROR(__xludf.DUMMYFUNCTION("""COMPUTED_VALUE"""),2026)</f>
        <v>2026</v>
      </c>
      <c r="F902" s="56">
        <f ca="1">IFERROR(__xludf.DUMMYFUNCTION("""COMPUTED_VALUE"""),3)</f>
        <v>3</v>
      </c>
      <c r="G902" s="33" t="str">
        <f ca="1">IFERROR(__xludf.DUMMYFUNCTION("""COMPUTED_VALUE"""),"Valencia- Parra")</f>
        <v>Valencia- Parra</v>
      </c>
      <c r="H902" s="33" t="str">
        <f ca="1">IFERROR(__xludf.DUMMYFUNCTION("""COMPUTED_VALUE"""),"C202632102035125822")</f>
        <v>C202632102035125822</v>
      </c>
      <c r="I902" s="33" t="str">
        <f ca="1">IFERROR(__xludf.DUMMYFUNCTION("""COMPUTED_VALUE"""),"JULIA MARGAIX TAMARIT")</f>
        <v>JULIA MARGAIX TAMARIT</v>
      </c>
      <c r="J902" s="57">
        <f ca="1">IFERROR(__xludf.DUMMYFUNCTION("""COMPUTED_VALUE"""),46083)</f>
        <v>46083</v>
      </c>
      <c r="K902" s="33" t="str">
        <f ca="1">IFERROR(__xludf.DUMMYFUNCTION("""COMPUTED_VALUE"""),"Prueba")</f>
        <v>Prueba</v>
      </c>
      <c r="L902" s="57">
        <f ca="1">IFERROR(__xludf.DUMMYFUNCTION("""COMPUTED_VALUE"""),46108)</f>
        <v>46108</v>
      </c>
      <c r="M902" s="64" t="str">
        <f ca="1">IFERROR(__xludf.DUMMYFUNCTION("""COMPUTED_VALUE"""),"NO")</f>
        <v>NO</v>
      </c>
      <c r="N902" s="56">
        <f ca="1">IFERROR(__xludf.DUMMYFUNCTION("""COMPUTED_VALUE"""),2)</f>
        <v>2</v>
      </c>
      <c r="O902" s="64" t="str">
        <f ca="1">IFERROR(__xludf.DUMMYFUNCTION("""COMPUTED_VALUE"""),"CONFORT")</f>
        <v>CONFORT</v>
      </c>
      <c r="P902" s="62">
        <f ca="1">IFERROR(__xludf.DUMMYFUNCTION("""COMPUTED_VALUE"""),3631.82)</f>
        <v>3631.82</v>
      </c>
      <c r="Q902" s="33" t="str">
        <f ca="1">IFERROR(__xludf.DUMMYFUNCTION("""COMPUTED_VALUE"""),"Ramon Ferrando")</f>
        <v>Ramon Ferrando</v>
      </c>
      <c r="R902" s="33" t="str">
        <f ca="1">IFERROR(__xludf.DUMMYFUNCTION("""COMPUTED_VALUE"""),"Dr, Jean Franco Intraprendente Martini")</f>
        <v>Dr, Jean Franco Intraprendente Martini</v>
      </c>
      <c r="S902" s="61" t="str">
        <f ca="1">IFERROR(__xludf.DUMMYFUNCTION("""COMPUTED_VALUE"""),"03 ORL")</f>
        <v>03 ORL</v>
      </c>
      <c r="T902" s="33" t="str">
        <f ca="1">IFERROR(__xludf.DUMMYFUNCTION("""COMPUTED_VALUE"""),"06 ORL")</f>
        <v>06 ORL</v>
      </c>
      <c r="U902" s="62"/>
      <c r="W902" s="61"/>
      <c r="X902" s="62"/>
    </row>
    <row r="903" spans="2:24" ht="16">
      <c r="B903" s="67" t="str">
        <f t="shared" ca="1" si="4"/>
        <v/>
      </c>
      <c r="C903" s="64"/>
      <c r="D903" s="33" t="str">
        <f ca="1">IFERROR(__xludf.DUMMYFUNCTION("""COMPUTED_VALUE"""),"PROPIOS")</f>
        <v>PROPIOS</v>
      </c>
      <c r="E903" s="33">
        <f ca="1">IFERROR(__xludf.DUMMYFUNCTION("""COMPUTED_VALUE"""),2026)</f>
        <v>2026</v>
      </c>
      <c r="F903" s="56">
        <f ca="1">IFERROR(__xludf.DUMMYFUNCTION("""COMPUTED_VALUE"""),2)</f>
        <v>2</v>
      </c>
      <c r="G903" s="33" t="str">
        <f ca="1">IFERROR(__xludf.DUMMYFUNCTION("""COMPUTED_VALUE"""),"Valencia- Parra")</f>
        <v>Valencia- Parra</v>
      </c>
      <c r="H903" s="33" t="str">
        <f ca="1">IFERROR(__xludf.DUMMYFUNCTION("""COMPUTED_VALUE"""),"C202629143130819398")</f>
        <v>C202629143130819398</v>
      </c>
      <c r="I903" s="33" t="str">
        <f ca="1">IFERROR(__xludf.DUMMYFUNCTION("""COMPUTED_VALUE"""),"MARIA DEL VALLE TORRES BAUSTISTA")</f>
        <v>MARIA DEL VALLE TORRES BAUSTISTA</v>
      </c>
      <c r="J903" s="57">
        <f ca="1">IFERROR(__xludf.DUMMYFUNCTION("""COMPUTED_VALUE"""),46062)</f>
        <v>46062</v>
      </c>
      <c r="K903" s="33" t="str">
        <f ca="1">IFERROR(__xludf.DUMMYFUNCTION("""COMPUTED_VALUE"""),"Prueba")</f>
        <v>Prueba</v>
      </c>
      <c r="L903" s="57">
        <f ca="1">IFERROR(__xludf.DUMMYFUNCTION("""COMPUTED_VALUE"""),46071)</f>
        <v>46071</v>
      </c>
      <c r="M903" s="64" t="str">
        <f ca="1">IFERROR(__xludf.DUMMYFUNCTION("""COMPUTED_VALUE"""),"NO")</f>
        <v>NO</v>
      </c>
      <c r="N903" s="56">
        <f ca="1">IFERROR(__xludf.DUMMYFUNCTION("""COMPUTED_VALUE"""),2)</f>
        <v>2</v>
      </c>
      <c r="O903" s="64" t="str">
        <f ca="1">IFERROR(__xludf.DUMMYFUNCTION("""COMPUTED_VALUE"""),"TRIAL")</f>
        <v>TRIAL</v>
      </c>
      <c r="P903" s="62">
        <f ca="1">IFERROR(__xludf.DUMMYFUNCTION("""COMPUTED_VALUE"""),3631.82)</f>
        <v>3631.82</v>
      </c>
      <c r="Q903" s="33" t="str">
        <f ca="1">IFERROR(__xludf.DUMMYFUNCTION("""COMPUTED_VALUE"""),"Ramon Ferrando")</f>
        <v>Ramon Ferrando</v>
      </c>
      <c r="R903" s="33" t="str">
        <f ca="1">IFERROR(__xludf.DUMMYFUNCTION("""COMPUTED_VALUE"""),"No recuerda ORL")</f>
        <v>No recuerda ORL</v>
      </c>
      <c r="S903" s="61" t="str">
        <f ca="1">IFERROR(__xludf.DUMMYFUNCTION("""COMPUTED_VALUE"""),"03 ORL")</f>
        <v>03 ORL</v>
      </c>
      <c r="T903" s="33" t="str">
        <f ca="1">IFERROR(__xludf.DUMMYFUNCTION("""COMPUTED_VALUE"""),"06 ORL")</f>
        <v>06 ORL</v>
      </c>
      <c r="U903" s="62"/>
      <c r="W903" s="61"/>
      <c r="X903" s="62"/>
    </row>
    <row r="904" spans="2:24" ht="16">
      <c r="B904" s="67" t="str">
        <f t="shared" ca="1" si="4"/>
        <v>#N/</v>
      </c>
      <c r="C904" s="64" t="str">
        <f ca="1">IFERROR(__xludf.DUMMYFUNCTION("""COMPUTED_VALUE"""),"#N/A")</f>
        <v>#N/A</v>
      </c>
      <c r="D904" s="33" t="str">
        <f ca="1">IFERROR(__xludf.DUMMYFUNCTION("""COMPUTED_VALUE"""),"PROPIOS")</f>
        <v>PROPIOS</v>
      </c>
      <c r="E904" s="33">
        <f ca="1">IFERROR(__xludf.DUMMYFUNCTION("""COMPUTED_VALUE"""),2026)</f>
        <v>2026</v>
      </c>
      <c r="F904" s="56">
        <f ca="1">IFERROR(__xludf.DUMMYFUNCTION("""COMPUTED_VALUE"""),4)</f>
        <v>4</v>
      </c>
      <c r="G904" s="33" t="str">
        <f ca="1">IFERROR(__xludf.DUMMYFUNCTION("""COMPUTED_VALUE"""),"Valencia- Parra")</f>
        <v>Valencia- Parra</v>
      </c>
      <c r="H904" s="33" t="str">
        <f ca="1">IFERROR(__xludf.DUMMYFUNCTION("""COMPUTED_VALUE"""),"C20262279207264232")</f>
        <v>C20262279207264232</v>
      </c>
      <c r="I904" s="33" t="str">
        <f ca="1">IFERROR(__xludf.DUMMYFUNCTION("""COMPUTED_VALUE"""),"ROSA FERNANDEZ BLANCO")</f>
        <v>ROSA FERNANDEZ BLANCO</v>
      </c>
      <c r="J904" s="57">
        <f ca="1">IFERROR(__xludf.DUMMYFUNCTION("""COMPUTED_VALUE"""),46080)</f>
        <v>46080</v>
      </c>
      <c r="K904" s="33" t="str">
        <f ca="1">IFERROR(__xludf.DUMMYFUNCTION("""COMPUTED_VALUE"""),"Prueba")</f>
        <v>Prueba</v>
      </c>
      <c r="L904" s="57">
        <f ca="1">IFERROR(__xludf.DUMMYFUNCTION("""COMPUTED_VALUE"""),46113)</f>
        <v>46113</v>
      </c>
      <c r="M904" s="64" t="str">
        <f ca="1">IFERROR(__xludf.DUMMYFUNCTION("""COMPUTED_VALUE"""),"NO")</f>
        <v>NO</v>
      </c>
      <c r="N904" s="56">
        <f ca="1">IFERROR(__xludf.DUMMYFUNCTION("""COMPUTED_VALUE"""),1)</f>
        <v>1</v>
      </c>
      <c r="O904" s="64" t="str">
        <f ca="1">IFERROR(__xludf.DUMMYFUNCTION("""COMPUTED_VALUE"""),"TRIAL")</f>
        <v>TRIAL</v>
      </c>
      <c r="P904" s="62">
        <f ca="1">IFERROR(__xludf.DUMMYFUNCTION("""COMPUTED_VALUE"""),1631.82)</f>
        <v>1631.82</v>
      </c>
      <c r="Q904" s="33" t="str">
        <f ca="1">IFERROR(__xludf.DUMMYFUNCTION("""COMPUTED_VALUE"""),"Ramon Ferrando")</f>
        <v>Ramon Ferrando</v>
      </c>
      <c r="R904" s="33" t="str">
        <f ca="1">IFERROR(__xludf.DUMMYFUNCTION("""COMPUTED_VALUE"""),"Dr, Martín Eduardo Marcano Acuña")</f>
        <v>Dr, Martín Eduardo Marcano Acuña</v>
      </c>
      <c r="S904" s="61" t="str">
        <f ca="1">IFERROR(__xludf.DUMMYFUNCTION("""COMPUTED_VALUE"""),"03 ORL")</f>
        <v>03 ORL</v>
      </c>
      <c r="T904" s="33" t="str">
        <f ca="1">IFERROR(__xludf.DUMMYFUNCTION("""COMPUTED_VALUE"""),"06 ORL")</f>
        <v>06 ORL</v>
      </c>
      <c r="U904" s="62"/>
      <c r="W904" s="61"/>
      <c r="X904" s="62"/>
    </row>
    <row r="905" spans="2:24" ht="16">
      <c r="B905" s="67" t="str">
        <f t="shared" ca="1" si="4"/>
        <v>#N/</v>
      </c>
      <c r="C905" s="64" t="str">
        <f ca="1">IFERROR(__xludf.DUMMYFUNCTION("""COMPUTED_VALUE"""),"#N/A")</f>
        <v>#N/A</v>
      </c>
      <c r="D905" s="33" t="str">
        <f ca="1">IFERROR(__xludf.DUMMYFUNCTION("""COMPUTED_VALUE"""),"ASOCIADOS")</f>
        <v>ASOCIADOS</v>
      </c>
      <c r="E905" s="33">
        <f ca="1">IFERROR(__xludf.DUMMYFUNCTION("""COMPUTED_VALUE"""),2026)</f>
        <v>2026</v>
      </c>
      <c r="F905" s="56">
        <f ca="1">IFERROR(__xludf.DUMMYFUNCTION("""COMPUTED_VALUE"""),1)</f>
        <v>1</v>
      </c>
      <c r="G905" s="33" t="str">
        <f ca="1">IFERROR(__xludf.DUMMYFUNCTION("""COMPUTED_VALUE"""),"Valladolid")</f>
        <v>Valladolid</v>
      </c>
      <c r="H905" s="33" t="str">
        <f ca="1">IFERROR(__xludf.DUMMYFUNCTION("""COMPUTED_VALUE"""),"C202512151056120313")</f>
        <v>C202512151056120313</v>
      </c>
      <c r="I905" s="33" t="str">
        <f ca="1">IFERROR(__xludf.DUMMYFUNCTION("""COMPUTED_VALUE"""),"AZUCENA  RAMOS MONSALVO")</f>
        <v>AZUCENA  RAMOS MONSALVO</v>
      </c>
      <c r="J905" s="57">
        <f ca="1">IFERROR(__xludf.DUMMYFUNCTION("""COMPUTED_VALUE"""),46006)</f>
        <v>46006</v>
      </c>
      <c r="K905" s="33" t="str">
        <f ca="1">IFERROR(__xludf.DUMMYFUNCTION("""COMPUTED_VALUE"""),"Devuelve")</f>
        <v>Devuelve</v>
      </c>
      <c r="L905" s="57">
        <f ca="1">IFERROR(__xludf.DUMMYFUNCTION("""COMPUTED_VALUE"""),46038)</f>
        <v>46038</v>
      </c>
      <c r="M905" s="64" t="str">
        <f ca="1">IFERROR(__xludf.DUMMYFUNCTION("""COMPUTED_VALUE"""),"NO")</f>
        <v>NO</v>
      </c>
      <c r="N905" s="56">
        <f ca="1">IFERROR(__xludf.DUMMYFUNCTION("""COMPUTED_VALUE"""),1)</f>
        <v>1</v>
      </c>
      <c r="O905" s="64" t="str">
        <f ca="1">IFERROR(__xludf.DUMMYFUNCTION("""COMPUTED_VALUE"""),"ADVANCED")</f>
        <v>ADVANCED</v>
      </c>
      <c r="P905" s="62">
        <f ca="1">IFERROR(__xludf.DUMMYFUNCTION("""COMPUTED_VALUE"""),2080)</f>
        <v>2080</v>
      </c>
      <c r="Q905" s="33" t="str">
        <f ca="1">IFERROR(__xludf.DUMMYFUNCTION("""COMPUTED_VALUE"""),"Ramon Ferrando")</f>
        <v>Ramon Ferrando</v>
      </c>
      <c r="R905" s="33" t="str">
        <f ca="1">IFERROR(__xludf.DUMMYFUNCTION("""COMPUTED_VALUE"""),"Dr, Carlos Miguel Salvador Martínez")</f>
        <v>Dr, Carlos Miguel Salvador Martínez</v>
      </c>
      <c r="S905" s="61" t="str">
        <f ca="1">IFERROR(__xludf.DUMMYFUNCTION("""COMPUTED_VALUE"""),"03 ORL")</f>
        <v>03 ORL</v>
      </c>
      <c r="T905" s="33" t="str">
        <f ca="1">IFERROR(__xludf.DUMMYFUNCTION("""COMPUTED_VALUE"""),"06 ORL")</f>
        <v>06 ORL</v>
      </c>
      <c r="U905" s="62"/>
      <c r="W905" s="61"/>
      <c r="X905" s="62"/>
    </row>
    <row r="906" spans="2:24" ht="16">
      <c r="B906" s="67" t="str">
        <f t="shared" ca="1" si="4"/>
        <v>#N/</v>
      </c>
      <c r="C906" s="64" t="str">
        <f ca="1">IFERROR(__xludf.DUMMYFUNCTION("""COMPUTED_VALUE"""),"#N/A")</f>
        <v>#N/A</v>
      </c>
      <c r="D906" s="33" t="str">
        <f ca="1">IFERROR(__xludf.DUMMYFUNCTION("""COMPUTED_VALUE"""),"ASOCIADOS")</f>
        <v>ASOCIADOS</v>
      </c>
      <c r="E906" s="33">
        <f ca="1">IFERROR(__xludf.DUMMYFUNCTION("""COMPUTED_VALUE"""),2026)</f>
        <v>2026</v>
      </c>
      <c r="F906" s="56">
        <f ca="1">IFERROR(__xludf.DUMMYFUNCTION("""COMPUTED_VALUE"""),3)</f>
        <v>3</v>
      </c>
      <c r="G906" s="33" t="str">
        <f ca="1">IFERROR(__xludf.DUMMYFUNCTION("""COMPUTED_VALUE"""),"Valladolid")</f>
        <v>Valladolid</v>
      </c>
      <c r="H906" s="33" t="str">
        <f ca="1">IFERROR(__xludf.DUMMYFUNCTION("""COMPUTED_VALUE"""),"C202631794531467181")</f>
        <v>C202631794531467181</v>
      </c>
      <c r="I906" s="33" t="str">
        <f ca="1">IFERROR(__xludf.DUMMYFUNCTION("""COMPUTED_VALUE"""),"LUIS MARÍA GOMEZ SANZ")</f>
        <v>LUIS MARÍA GOMEZ SANZ</v>
      </c>
      <c r="J906" s="57">
        <f ca="1">IFERROR(__xludf.DUMMYFUNCTION("""COMPUTED_VALUE"""),46098)</f>
        <v>46098</v>
      </c>
      <c r="K906" s="33" t="str">
        <f ca="1">IFERROR(__xludf.DUMMYFUNCTION("""COMPUTED_VALUE"""),"Pedido")</f>
        <v>Pedido</v>
      </c>
      <c r="L906" s="57">
        <f ca="1">IFERROR(__xludf.DUMMYFUNCTION("""COMPUTED_VALUE"""),46108)</f>
        <v>46108</v>
      </c>
      <c r="M906" s="64" t="str">
        <f ca="1">IFERROR(__xludf.DUMMYFUNCTION("""COMPUTED_VALUE"""),"NO")</f>
        <v>NO</v>
      </c>
      <c r="N906" s="56">
        <f ca="1">IFERROR(__xludf.DUMMYFUNCTION("""COMPUTED_VALUE"""),1)</f>
        <v>1</v>
      </c>
      <c r="O906" s="64" t="str">
        <f ca="1">IFERROR(__xludf.DUMMYFUNCTION("""COMPUTED_VALUE"""),"PRO")</f>
        <v>PRO</v>
      </c>
      <c r="P906" s="62">
        <f ca="1">IFERROR(__xludf.DUMMYFUNCTION("""COMPUTED_VALUE"""),2295.45)</f>
        <v>2295.4499999999998</v>
      </c>
      <c r="Q906" s="33" t="str">
        <f ca="1">IFERROR(__xludf.DUMMYFUNCTION("""COMPUTED_VALUE"""),"Ramon Ferrando")</f>
        <v>Ramon Ferrando</v>
      </c>
      <c r="R906" s="33" t="str">
        <f ca="1">IFERROR(__xludf.DUMMYFUNCTION("""COMPUTED_VALUE"""),"DR, Manuel Acuña García")</f>
        <v>DR, Manuel Acuña García</v>
      </c>
      <c r="S906" s="61" t="str">
        <f ca="1">IFERROR(__xludf.DUMMYFUNCTION("""COMPUTED_VALUE"""),"03 ORL")</f>
        <v>03 ORL</v>
      </c>
      <c r="T906" s="33" t="str">
        <f ca="1">IFERROR(__xludf.DUMMYFUNCTION("""COMPUTED_VALUE"""),"06 ORL")</f>
        <v>06 ORL</v>
      </c>
      <c r="U906" s="62"/>
      <c r="W906" s="61"/>
      <c r="X906" s="62"/>
    </row>
    <row r="907" spans="2:24" ht="16">
      <c r="B907" s="67" t="str">
        <f t="shared" ca="1" si="4"/>
        <v>#N/</v>
      </c>
      <c r="C907" s="64" t="str">
        <f ca="1">IFERROR(__xludf.DUMMYFUNCTION("""COMPUTED_VALUE"""),"#N/A")</f>
        <v>#N/A</v>
      </c>
      <c r="D907" s="33" t="str">
        <f ca="1">IFERROR(__xludf.DUMMYFUNCTION("""COMPUTED_VALUE"""),"ASOCIADOS")</f>
        <v>ASOCIADOS</v>
      </c>
      <c r="E907" s="33">
        <f ca="1">IFERROR(__xludf.DUMMYFUNCTION("""COMPUTED_VALUE"""),2026)</f>
        <v>2026</v>
      </c>
      <c r="F907" s="56">
        <f ca="1">IFERROR(__xludf.DUMMYFUNCTION("""COMPUTED_VALUE"""),3)</f>
        <v>3</v>
      </c>
      <c r="G907" s="33" t="str">
        <f ca="1">IFERROR(__xludf.DUMMYFUNCTION("""COMPUTED_VALUE"""),"Valladolid")</f>
        <v>Valladolid</v>
      </c>
      <c r="H907" s="33" t="str">
        <f ca="1">IFERROR(__xludf.DUMMYFUNCTION("""COMPUTED_VALUE"""),"C202621810375119873")</f>
        <v>C202621810375119873</v>
      </c>
      <c r="I907" s="33" t="str">
        <f ca="1">IFERROR(__xludf.DUMMYFUNCTION("""COMPUTED_VALUE"""),"MARÍA CONCEPCIÓN TAPIA MARTINEZ")</f>
        <v>MARÍA CONCEPCIÓN TAPIA MARTINEZ</v>
      </c>
      <c r="J907" s="57">
        <f ca="1">IFERROR(__xludf.DUMMYFUNCTION("""COMPUTED_VALUE"""),46071)</f>
        <v>46071</v>
      </c>
      <c r="K907" s="33" t="str">
        <f ca="1">IFERROR(__xludf.DUMMYFUNCTION("""COMPUTED_VALUE"""),"Prueba")</f>
        <v>Prueba</v>
      </c>
      <c r="L907" s="57">
        <f ca="1">IFERROR(__xludf.DUMMYFUNCTION("""COMPUTED_VALUE"""),46087)</f>
        <v>46087</v>
      </c>
      <c r="M907" s="64" t="str">
        <f ca="1">IFERROR(__xludf.DUMMYFUNCTION("""COMPUTED_VALUE"""),"NO")</f>
        <v>NO</v>
      </c>
      <c r="N907" s="56">
        <f ca="1">IFERROR(__xludf.DUMMYFUNCTION("""COMPUTED_VALUE"""),2)</f>
        <v>2</v>
      </c>
      <c r="O907" s="64" t="str">
        <f ca="1">IFERROR(__xludf.DUMMYFUNCTION("""COMPUTED_VALUE"""),"PRO")</f>
        <v>PRO</v>
      </c>
      <c r="P907" s="62">
        <f ca="1">IFERROR(__xludf.DUMMYFUNCTION("""COMPUTED_VALUE"""),4431.82)</f>
        <v>4431.82</v>
      </c>
      <c r="Q907" s="33" t="str">
        <f ca="1">IFERROR(__xludf.DUMMYFUNCTION("""COMPUTED_VALUE"""),"Ramon Ferrando")</f>
        <v>Ramon Ferrando</v>
      </c>
      <c r="R907" s="33" t="str">
        <f ca="1">IFERROR(__xludf.DUMMYFUNCTION("""COMPUTED_VALUE"""),"Dr, Carlos Miguel Salvador Martínez")</f>
        <v>Dr, Carlos Miguel Salvador Martínez</v>
      </c>
      <c r="S907" s="61" t="str">
        <f ca="1">IFERROR(__xludf.DUMMYFUNCTION("""COMPUTED_VALUE"""),"03 ORL")</f>
        <v>03 ORL</v>
      </c>
      <c r="T907" s="33" t="str">
        <f ca="1">IFERROR(__xludf.DUMMYFUNCTION("""COMPUTED_VALUE"""),"06 ORL")</f>
        <v>06 ORL</v>
      </c>
      <c r="U907" s="62"/>
      <c r="W907" s="61"/>
      <c r="X907" s="62"/>
    </row>
    <row r="908" spans="2:24" ht="16">
      <c r="B908" s="67" t="str">
        <f t="shared" ca="1" si="4"/>
        <v/>
      </c>
      <c r="C908" s="64"/>
      <c r="D908" s="33" t="str">
        <f ca="1">IFERROR(__xludf.DUMMYFUNCTION("""COMPUTED_VALUE"""),"ASOCIADOS")</f>
        <v>ASOCIADOS</v>
      </c>
      <c r="E908" s="33">
        <f ca="1">IFERROR(__xludf.DUMMYFUNCTION("""COMPUTED_VALUE"""),2026)</f>
        <v>2026</v>
      </c>
      <c r="F908" s="56">
        <f ca="1">IFERROR(__xludf.DUMMYFUNCTION("""COMPUTED_VALUE"""),3)</f>
        <v>3</v>
      </c>
      <c r="G908" s="33" t="str">
        <f ca="1">IFERROR(__xludf.DUMMYFUNCTION("""COMPUTED_VALUE"""),"Valladolid")</f>
        <v>Valladolid</v>
      </c>
      <c r="H908" s="33" t="str">
        <f ca="1">IFERROR(__xludf.DUMMYFUNCTION("""COMPUTED_VALUE"""),"VLL-19")</f>
        <v>VLL-19</v>
      </c>
      <c r="I908" s="33" t="str">
        <f ca="1">IFERROR(__xludf.DUMMYFUNCTION("""COMPUTED_VALUE"""),"MIGUEL ANGEL MORALES BERIHUETE")</f>
        <v>MIGUEL ANGEL MORALES BERIHUETE</v>
      </c>
      <c r="J908" s="57">
        <f ca="1">IFERROR(__xludf.DUMMYFUNCTION("""COMPUTED_VALUE"""),46000)</f>
        <v>46000</v>
      </c>
      <c r="K908" s="33" t="str">
        <f ca="1">IFERROR(__xludf.DUMMYFUNCTION("""COMPUTED_VALUE"""),"Prueba")</f>
        <v>Prueba</v>
      </c>
      <c r="L908" s="57">
        <f ca="1">IFERROR(__xludf.DUMMYFUNCTION("""COMPUTED_VALUE"""),46111)</f>
        <v>46111</v>
      </c>
      <c r="M908" s="64" t="str">
        <f ca="1">IFERROR(__xludf.DUMMYFUNCTION("""COMPUTED_VALUE"""),"NO")</f>
        <v>NO</v>
      </c>
      <c r="N908" s="56">
        <f ca="1">IFERROR(__xludf.DUMMYFUNCTION("""COMPUTED_VALUE"""),2)</f>
        <v>2</v>
      </c>
      <c r="O908" s="64" t="str">
        <f ca="1">IFERROR(__xludf.DUMMYFUNCTION("""COMPUTED_VALUE"""),"PRO")</f>
        <v>PRO</v>
      </c>
      <c r="P908" s="62">
        <f ca="1">IFERROR(__xludf.DUMMYFUNCTION("""COMPUTED_VALUE"""),3977.27)</f>
        <v>3977.27</v>
      </c>
      <c r="Q908" s="33" t="str">
        <f ca="1">IFERROR(__xludf.DUMMYFUNCTION("""COMPUTED_VALUE"""),"Alberto Moreno")</f>
        <v>Alberto Moreno</v>
      </c>
      <c r="R908" s="33" t="str">
        <f ca="1">IFERROR(__xludf.DUMMYFUNCTION("""COMPUTED_VALUE"""),"No recuerda ORL")</f>
        <v>No recuerda ORL</v>
      </c>
      <c r="S908" s="61" t="str">
        <f ca="1">IFERROR(__xludf.DUMMYFUNCTION("""COMPUTED_VALUE"""),"04 TIENDA")</f>
        <v>04 TIENDA</v>
      </c>
      <c r="T908" s="33" t="str">
        <f ca="1">IFERROR(__xludf.DUMMYFUNCTION("""COMPUTED_VALUE"""),"20 AUTOGENERADO")</f>
        <v>20 AUTOGENERADO</v>
      </c>
      <c r="U908" s="62"/>
      <c r="W908" s="61"/>
      <c r="X908" s="62"/>
    </row>
    <row r="909" spans="2:24" ht="16">
      <c r="B909" s="67" t="str">
        <f t="shared" ca="1" si="4"/>
        <v>#N/</v>
      </c>
      <c r="C909" s="64" t="str">
        <f ca="1">IFERROR(__xludf.DUMMYFUNCTION("""COMPUTED_VALUE"""),"#N/A")</f>
        <v>#N/A</v>
      </c>
      <c r="D909" s="33" t="str">
        <f ca="1">IFERROR(__xludf.DUMMYFUNCTION("""COMPUTED_VALUE"""),"ASOCIADOS")</f>
        <v>ASOCIADOS</v>
      </c>
      <c r="E909" s="33">
        <f ca="1">IFERROR(__xludf.DUMMYFUNCTION("""COMPUTED_VALUE"""),2026)</f>
        <v>2026</v>
      </c>
      <c r="F909" s="56">
        <f ca="1">IFERROR(__xludf.DUMMYFUNCTION("""COMPUTED_VALUE"""),1)</f>
        <v>1</v>
      </c>
      <c r="G909" s="33" t="str">
        <f ca="1">IFERROR(__xludf.DUMMYFUNCTION("""COMPUTED_VALUE"""),"Valladolid")</f>
        <v>Valladolid</v>
      </c>
      <c r="H909" s="33" t="str">
        <f ca="1">IFERROR(__xludf.DUMMYFUNCTION("""COMPUTED_VALUE"""),"VLL-473")</f>
        <v>VLL-473</v>
      </c>
      <c r="I909" s="33" t="str">
        <f ca="1">IFERROR(__xludf.DUMMYFUNCTION("""COMPUTED_VALUE"""),"TERESA MORENO ALEJOS")</f>
        <v>TERESA MORENO ALEJOS</v>
      </c>
      <c r="J909" s="57">
        <f ca="1">IFERROR(__xludf.DUMMYFUNCTION("""COMPUTED_VALUE"""),46000)</f>
        <v>46000</v>
      </c>
      <c r="K909" s="33" t="str">
        <f ca="1">IFERROR(__xludf.DUMMYFUNCTION("""COMPUTED_VALUE"""),"Prueba")</f>
        <v>Prueba</v>
      </c>
      <c r="L909" s="57">
        <f ca="1">IFERROR(__xludf.DUMMYFUNCTION("""COMPUTED_VALUE"""),46029)</f>
        <v>46029</v>
      </c>
      <c r="M909" s="64" t="str">
        <f ca="1">IFERROR(__xludf.DUMMYFUNCTION("""COMPUTED_VALUE"""),"NO")</f>
        <v>NO</v>
      </c>
      <c r="N909" s="56">
        <f ca="1">IFERROR(__xludf.DUMMYFUNCTION("""COMPUTED_VALUE"""),2)</f>
        <v>2</v>
      </c>
      <c r="O909" s="64" t="str">
        <f ca="1">IFERROR(__xludf.DUMMYFUNCTION("""COMPUTED_VALUE"""),"CONFORT")</f>
        <v>CONFORT</v>
      </c>
      <c r="P909" s="62">
        <f ca="1">IFERROR(__xludf.DUMMYFUNCTION("""COMPUTED_VALUE"""),3522.73)</f>
        <v>3522.73</v>
      </c>
      <c r="Q909" s="33" t="str">
        <f ca="1">IFERROR(__xludf.DUMMYFUNCTION("""COMPUTED_VALUE"""),"Ramon Ferrando")</f>
        <v>Ramon Ferrando</v>
      </c>
      <c r="R909" s="33" t="str">
        <f ca="1">IFERROR(__xludf.DUMMYFUNCTION("""COMPUTED_VALUE"""),"Dra, Ana Fernández Rodríguez")</f>
        <v>Dra, Ana Fernández Rodríguez</v>
      </c>
      <c r="S909" s="61" t="str">
        <f ca="1">IFERROR(__xludf.DUMMYFUNCTION("""COMPUTED_VALUE"""),"03 ORL")</f>
        <v>03 ORL</v>
      </c>
      <c r="T909" s="33" t="str">
        <f ca="1">IFERROR(__xludf.DUMMYFUNCTION("""COMPUTED_VALUE"""),"06 ORL")</f>
        <v>06 ORL</v>
      </c>
      <c r="U909" s="62"/>
      <c r="W909" s="61"/>
      <c r="X909" s="62"/>
    </row>
    <row r="910" spans="2:24" ht="16">
      <c r="B910" s="67" t="str">
        <f t="shared" ca="1" si="4"/>
        <v>#N/</v>
      </c>
      <c r="C910" s="64" t="str">
        <f ca="1">IFERROR(__xludf.DUMMYFUNCTION("""COMPUTED_VALUE"""),"#N/A")</f>
        <v>#N/A</v>
      </c>
      <c r="D910" s="33" t="str">
        <f ca="1">IFERROR(__xludf.DUMMYFUNCTION("""COMPUTED_VALUE"""),"ASOCIADOS")</f>
        <v>ASOCIADOS</v>
      </c>
      <c r="E910" s="33">
        <f ca="1">IFERROR(__xludf.DUMMYFUNCTION("""COMPUTED_VALUE"""),2026)</f>
        <v>2026</v>
      </c>
      <c r="F910" s="56">
        <f ca="1">IFERROR(__xludf.DUMMYFUNCTION("""COMPUTED_VALUE"""),3)</f>
        <v>3</v>
      </c>
      <c r="G910" s="33" t="str">
        <f ca="1">IFERROR(__xludf.DUMMYFUNCTION("""COMPUTED_VALUE"""),"Valladolid")</f>
        <v>Valladolid</v>
      </c>
      <c r="H910" s="33" t="str">
        <f ca="1">IFERROR(__xludf.DUMMYFUNCTION("""COMPUTED_VALUE"""),"C202631010236353157")</f>
        <v>C202631010236353157</v>
      </c>
      <c r="I910" s="33" t="str">
        <f ca="1">IFERROR(__xludf.DUMMYFUNCTION("""COMPUTED_VALUE"""),"TOMASA FERNANDEZ PAREDES")</f>
        <v>TOMASA FERNANDEZ PAREDES</v>
      </c>
      <c r="J910" s="57">
        <f ca="1">IFERROR(__xludf.DUMMYFUNCTION("""COMPUTED_VALUE"""),46091)</f>
        <v>46091</v>
      </c>
      <c r="K910" s="33" t="str">
        <f ca="1">IFERROR(__xludf.DUMMYFUNCTION("""COMPUTED_VALUE"""),"Prueba")</f>
        <v>Prueba</v>
      </c>
      <c r="L910" s="57">
        <f ca="1">IFERROR(__xludf.DUMMYFUNCTION("""COMPUTED_VALUE"""),46104)</f>
        <v>46104</v>
      </c>
      <c r="M910" s="64" t="str">
        <f ca="1">IFERROR(__xludf.DUMMYFUNCTION("""COMPUTED_VALUE"""),"NO")</f>
        <v>NO</v>
      </c>
      <c r="N910" s="56">
        <f ca="1">IFERROR(__xludf.DUMMYFUNCTION("""COMPUTED_VALUE"""),1)</f>
        <v>1</v>
      </c>
      <c r="O910" s="64" t="str">
        <f ca="1">IFERROR(__xludf.DUMMYFUNCTION("""COMPUTED_VALUE"""),"PRO")</f>
        <v>PRO</v>
      </c>
      <c r="P910" s="62">
        <f ca="1">IFERROR(__xludf.DUMMYFUNCTION("""COMPUTED_VALUE"""),3489.09)</f>
        <v>3489.09</v>
      </c>
      <c r="Q910" s="33" t="str">
        <f ca="1">IFERROR(__xludf.DUMMYFUNCTION("""COMPUTED_VALUE"""),"Ramon Ferrando")</f>
        <v>Ramon Ferrando</v>
      </c>
      <c r="R910" s="33" t="str">
        <f ca="1">IFERROR(__xludf.DUMMYFUNCTION("""COMPUTED_VALUE"""),"Dra, Ana Fernández Rodríguez")</f>
        <v>Dra, Ana Fernández Rodríguez</v>
      </c>
      <c r="S910" s="61" t="str">
        <f ca="1">IFERROR(__xludf.DUMMYFUNCTION("""COMPUTED_VALUE"""),"03 ORL")</f>
        <v>03 ORL</v>
      </c>
      <c r="T910" s="33" t="str">
        <f ca="1">IFERROR(__xludf.DUMMYFUNCTION("""COMPUTED_VALUE"""),"06 ORL")</f>
        <v>06 ORL</v>
      </c>
      <c r="U910" s="62"/>
      <c r="W910" s="61"/>
      <c r="X910" s="62"/>
    </row>
    <row r="911" spans="2:24" ht="16">
      <c r="B911" s="67" t="str">
        <f t="shared" ca="1" si="4"/>
        <v>#N/</v>
      </c>
      <c r="C911" s="64" t="str">
        <f ca="1">IFERROR(__xludf.DUMMYFUNCTION("""COMPUTED_VALUE"""),"#N/A")</f>
        <v>#N/A</v>
      </c>
      <c r="D911" s="33" t="str">
        <f ca="1">IFERROR(__xludf.DUMMYFUNCTION("""COMPUTED_VALUE"""),"ASOCIADOS")</f>
        <v>ASOCIADOS</v>
      </c>
      <c r="E911" s="33">
        <f ca="1">IFERROR(__xludf.DUMMYFUNCTION("""COMPUTED_VALUE"""),2026)</f>
        <v>2026</v>
      </c>
      <c r="F911" s="56">
        <f ca="1">IFERROR(__xludf.DUMMYFUNCTION("""COMPUTED_VALUE"""),2)</f>
        <v>2</v>
      </c>
      <c r="G911" s="33" t="str">
        <f ca="1">IFERROR(__xludf.DUMMYFUNCTION("""COMPUTED_VALUE"""),"Vitoria")</f>
        <v>Vitoria</v>
      </c>
      <c r="H911" s="33" t="str">
        <f ca="1">IFERROR(__xludf.DUMMYFUNCTION("""COMPUTED_VALUE"""),"VIT-741")</f>
        <v>VIT-741</v>
      </c>
      <c r="I911" s="33" t="str">
        <f ca="1">IFERROR(__xludf.DUMMYFUNCTION("""COMPUTED_VALUE"""),"ALVARO GONZALEZ DE HERRERO")</f>
        <v>ALVARO GONZALEZ DE HERRERO</v>
      </c>
      <c r="J911" s="57">
        <f ca="1">IFERROR(__xludf.DUMMYFUNCTION("""COMPUTED_VALUE"""),46077)</f>
        <v>46077</v>
      </c>
      <c r="K911" s="33" t="str">
        <f ca="1">IFERROR(__xludf.DUMMYFUNCTION("""COMPUTED_VALUE"""),"Pedido")</f>
        <v>Pedido</v>
      </c>
      <c r="L911" s="57">
        <f ca="1">IFERROR(__xludf.DUMMYFUNCTION("""COMPUTED_VALUE"""),46064)</f>
        <v>46064</v>
      </c>
      <c r="M911" s="64" t="str">
        <f ca="1">IFERROR(__xludf.DUMMYFUNCTION("""COMPUTED_VALUE"""),"NO")</f>
        <v>NO</v>
      </c>
      <c r="N911" s="56">
        <f ca="1">IFERROR(__xludf.DUMMYFUNCTION("""COMPUTED_VALUE"""),0)</f>
        <v>0</v>
      </c>
      <c r="O911" s="64"/>
      <c r="P911" s="62"/>
      <c r="Q911" s="33" t="str">
        <f ca="1">IFERROR(__xludf.DUMMYFUNCTION("""COMPUTED_VALUE"""),"Lisandro Russian")</f>
        <v>Lisandro Russian</v>
      </c>
      <c r="R911" s="33" t="str">
        <f ca="1">IFERROR(__xludf.DUMMYFUNCTION("""COMPUTED_VALUE"""),"Dr, Andrés González Fernández")</f>
        <v>Dr, Andrés González Fernández</v>
      </c>
      <c r="S911" s="61" t="str">
        <f ca="1">IFERROR(__xludf.DUMMYFUNCTION("""COMPUTED_VALUE"""),"03 ORL")</f>
        <v>03 ORL</v>
      </c>
      <c r="T911" s="33" t="str">
        <f ca="1">IFERROR(__xludf.DUMMYFUNCTION("""COMPUTED_VALUE"""),"06 ORL")</f>
        <v>06 ORL</v>
      </c>
      <c r="U911" s="62"/>
      <c r="W911" s="61"/>
      <c r="X911" s="62"/>
    </row>
    <row r="912" spans="2:24" ht="16">
      <c r="B912" s="67" t="str">
        <f t="shared" ca="1" si="4"/>
        <v>#N/</v>
      </c>
      <c r="C912" s="64" t="str">
        <f ca="1">IFERROR(__xludf.DUMMYFUNCTION("""COMPUTED_VALUE"""),"#N/A")</f>
        <v>#N/A</v>
      </c>
      <c r="D912" s="33" t="str">
        <f ca="1">IFERROR(__xludf.DUMMYFUNCTION("""COMPUTED_VALUE"""),"ASOCIADOS")</f>
        <v>ASOCIADOS</v>
      </c>
      <c r="E912" s="33">
        <f ca="1">IFERROR(__xludf.DUMMYFUNCTION("""COMPUTED_VALUE"""),2026)</f>
        <v>2026</v>
      </c>
      <c r="F912" s="56">
        <f ca="1">IFERROR(__xludf.DUMMYFUNCTION("""COMPUTED_VALUE"""),3)</f>
        <v>3</v>
      </c>
      <c r="G912" s="33" t="str">
        <f ca="1">IFERROR(__xludf.DUMMYFUNCTION("""COMPUTED_VALUE"""),"Vitoria")</f>
        <v>Vitoria</v>
      </c>
      <c r="H912" s="33" t="str">
        <f ca="1">IFERROR(__xludf.DUMMYFUNCTION("""COMPUTED_VALUE"""),"C202632102348371036")</f>
        <v>C202632102348371036</v>
      </c>
      <c r="I912" s="33" t="str">
        <f ca="1">IFERROR(__xludf.DUMMYFUNCTION("""COMPUTED_VALUE"""),"DOMINGO CATEDIANO MARTINEZ")</f>
        <v>DOMINGO CATEDIANO MARTINEZ</v>
      </c>
      <c r="J912" s="57">
        <f ca="1">IFERROR(__xludf.DUMMYFUNCTION("""COMPUTED_VALUE"""),46086)</f>
        <v>46086</v>
      </c>
      <c r="K912" s="33" t="str">
        <f ca="1">IFERROR(__xludf.DUMMYFUNCTION("""COMPUTED_VALUE"""),"Presupuesto")</f>
        <v>Presupuesto</v>
      </c>
      <c r="L912" s="57">
        <f ca="1">IFERROR(__xludf.DUMMYFUNCTION("""COMPUTED_VALUE"""),46086)</f>
        <v>46086</v>
      </c>
      <c r="M912" s="64" t="str">
        <f ca="1">IFERROR(__xludf.DUMMYFUNCTION("""COMPUTED_VALUE"""),"NO")</f>
        <v>NO</v>
      </c>
      <c r="N912" s="56">
        <f ca="1">IFERROR(__xludf.DUMMYFUNCTION("""COMPUTED_VALUE"""),2)</f>
        <v>2</v>
      </c>
      <c r="O912" s="64" t="str">
        <f ca="1">IFERROR(__xludf.DUMMYFUNCTION("""COMPUTED_VALUE"""),"ADVANCED")</f>
        <v>ADVANCED</v>
      </c>
      <c r="P912" s="62">
        <f ca="1">IFERROR(__xludf.DUMMYFUNCTION("""COMPUTED_VALUE"""),4090)</f>
        <v>4090</v>
      </c>
      <c r="Q912" s="33" t="str">
        <f ca="1">IFERROR(__xludf.DUMMYFUNCTION("""COMPUTED_VALUE"""),"Álvaro Mollá")</f>
        <v>Álvaro Mollá</v>
      </c>
      <c r="R912" s="33" t="str">
        <f ca="1">IFERROR(__xludf.DUMMYFUNCTION("""COMPUTED_VALUE"""),"Dr, Andrés González Fernández")</f>
        <v>Dr, Andrés González Fernández</v>
      </c>
      <c r="S912" s="61" t="str">
        <f ca="1">IFERROR(__xludf.DUMMYFUNCTION("""COMPUTED_VALUE"""),"03 ORL")</f>
        <v>03 ORL</v>
      </c>
      <c r="T912" s="33" t="str">
        <f ca="1">IFERROR(__xludf.DUMMYFUNCTION("""COMPUTED_VALUE"""),"06 ORL")</f>
        <v>06 ORL</v>
      </c>
      <c r="U912" s="62"/>
      <c r="W912" s="61"/>
      <c r="X912" s="62"/>
    </row>
    <row r="913" spans="2:24" ht="16">
      <c r="B913" s="67" t="str">
        <f t="shared" ca="1" si="4"/>
        <v>#N/</v>
      </c>
      <c r="C913" s="64" t="str">
        <f ca="1">IFERROR(__xludf.DUMMYFUNCTION("""COMPUTED_VALUE"""),"#N/A")</f>
        <v>#N/A</v>
      </c>
      <c r="D913" s="33" t="str">
        <f ca="1">IFERROR(__xludf.DUMMYFUNCTION("""COMPUTED_VALUE"""),"ASOCIADOS")</f>
        <v>ASOCIADOS</v>
      </c>
      <c r="E913" s="33">
        <f ca="1">IFERROR(__xludf.DUMMYFUNCTION("""COMPUTED_VALUE"""),2026)</f>
        <v>2026</v>
      </c>
      <c r="F913" s="56">
        <f ca="1">IFERROR(__xludf.DUMMYFUNCTION("""COMPUTED_VALUE"""),2)</f>
        <v>2</v>
      </c>
      <c r="G913" s="33" t="str">
        <f ca="1">IFERROR(__xludf.DUMMYFUNCTION("""COMPUTED_VALUE"""),"Vitoria")</f>
        <v>Vitoria</v>
      </c>
      <c r="H913" s="33" t="str">
        <f ca="1">IFERROR(__xludf.DUMMYFUNCTION("""COMPUTED_VALUE"""),"VIT-725")</f>
        <v>VIT-725</v>
      </c>
      <c r="I913" s="33" t="str">
        <f ca="1">IFERROR(__xludf.DUMMYFUNCTION("""COMPUTED_VALUE"""),"JOSE MARIA CELAYA")</f>
        <v>JOSE MARIA CELAYA</v>
      </c>
      <c r="J913" s="57">
        <f ca="1">IFERROR(__xludf.DUMMYFUNCTION("""COMPUTED_VALUE"""),46077)</f>
        <v>46077</v>
      </c>
      <c r="K913" s="33" t="str">
        <f ca="1">IFERROR(__xludf.DUMMYFUNCTION("""COMPUTED_VALUE"""),"Presupuesto")</f>
        <v>Presupuesto</v>
      </c>
      <c r="L913" s="57">
        <f ca="1">IFERROR(__xludf.DUMMYFUNCTION("""COMPUTED_VALUE"""),46063)</f>
        <v>46063</v>
      </c>
      <c r="M913" s="64" t="str">
        <f ca="1">IFERROR(__xludf.DUMMYFUNCTION("""COMPUTED_VALUE"""),"NO")</f>
        <v>NO</v>
      </c>
      <c r="N913" s="56">
        <f ca="1">IFERROR(__xludf.DUMMYFUNCTION("""COMPUTED_VALUE"""),0)</f>
        <v>0</v>
      </c>
      <c r="O913" s="64"/>
      <c r="P913" s="62"/>
      <c r="Q913" s="33" t="str">
        <f ca="1">IFERROR(__xludf.DUMMYFUNCTION("""COMPUTED_VALUE"""),"Maika Blázquez")</f>
        <v>Maika Blázquez</v>
      </c>
      <c r="R913" s="33" t="str">
        <f ca="1">IFERROR(__xludf.DUMMYFUNCTION("""COMPUTED_VALUE"""),"Dr, Juan Riestra Ayora")</f>
        <v>Dr, Juan Riestra Ayora</v>
      </c>
      <c r="S913" s="61" t="str">
        <f ca="1">IFERROR(__xludf.DUMMYFUNCTION("""COMPUTED_VALUE"""),"03 ORL")</f>
        <v>03 ORL</v>
      </c>
      <c r="T913" s="33" t="str">
        <f ca="1">IFERROR(__xludf.DUMMYFUNCTION("""COMPUTED_VALUE"""),"06 ORL")</f>
        <v>06 ORL</v>
      </c>
      <c r="U913" s="62"/>
      <c r="W913" s="61"/>
      <c r="X913" s="62"/>
    </row>
    <row r="914" spans="2:24" ht="16">
      <c r="B914" s="67" t="str">
        <f t="shared" ca="1" si="4"/>
        <v>#N/</v>
      </c>
      <c r="C914" s="64" t="str">
        <f ca="1">IFERROR(__xludf.DUMMYFUNCTION("""COMPUTED_VALUE"""),"#N/A")</f>
        <v>#N/A</v>
      </c>
      <c r="D914" s="33" t="str">
        <f ca="1">IFERROR(__xludf.DUMMYFUNCTION("""COMPUTED_VALUE"""),"ASOCIADOS")</f>
        <v>ASOCIADOS</v>
      </c>
      <c r="E914" s="33">
        <f ca="1">IFERROR(__xludf.DUMMYFUNCTION("""COMPUTED_VALUE"""),2026)</f>
        <v>2026</v>
      </c>
      <c r="F914" s="56">
        <f ca="1">IFERROR(__xludf.DUMMYFUNCTION("""COMPUTED_VALUE"""),3)</f>
        <v>3</v>
      </c>
      <c r="G914" s="33" t="str">
        <f ca="1">IFERROR(__xludf.DUMMYFUNCTION("""COMPUTED_VALUE"""),"Vitoria")</f>
        <v>Vitoria</v>
      </c>
      <c r="H914" s="33" t="str">
        <f ca="1">IFERROR(__xludf.DUMMYFUNCTION("""COMPUTED_VALUE"""),"VIT-740")</f>
        <v>VIT-740</v>
      </c>
      <c r="I914" s="33" t="str">
        <f ca="1">IFERROR(__xludf.DUMMYFUNCTION("""COMPUTED_VALUE"""),"JUAN CALVO GUTIEREZ")</f>
        <v>JUAN CALVO GUTIEREZ</v>
      </c>
      <c r="J914" s="57">
        <f ca="1">IFERROR(__xludf.DUMMYFUNCTION("""COMPUTED_VALUE"""),46077)</f>
        <v>46077</v>
      </c>
      <c r="K914" s="33" t="str">
        <f ca="1">IFERROR(__xludf.DUMMYFUNCTION("""COMPUTED_VALUE"""),"Pedido")</f>
        <v>Pedido</v>
      </c>
      <c r="L914" s="57">
        <f ca="1">IFERROR(__xludf.DUMMYFUNCTION("""COMPUTED_VALUE"""),46111)</f>
        <v>46111</v>
      </c>
      <c r="M914" s="64" t="str">
        <f ca="1">IFERROR(__xludf.DUMMYFUNCTION("""COMPUTED_VALUE"""),"NO")</f>
        <v>NO</v>
      </c>
      <c r="N914" s="56">
        <f ca="1">IFERROR(__xludf.DUMMYFUNCTION("""COMPUTED_VALUE"""),2)</f>
        <v>2</v>
      </c>
      <c r="O914" s="64" t="str">
        <f ca="1">IFERROR(__xludf.DUMMYFUNCTION("""COMPUTED_VALUE"""),"PRO")</f>
        <v>PRO</v>
      </c>
      <c r="P914" s="62">
        <f ca="1">IFERROR(__xludf.DUMMYFUNCTION("""COMPUTED_VALUE"""),4572.73)</f>
        <v>4572.7299999999996</v>
      </c>
      <c r="Q914" s="33" t="str">
        <f ca="1">IFERROR(__xludf.DUMMYFUNCTION("""COMPUTED_VALUE"""),"Lisandro Russian")</f>
        <v>Lisandro Russian</v>
      </c>
      <c r="R914" s="33" t="str">
        <f ca="1">IFERROR(__xludf.DUMMYFUNCTION("""COMPUTED_VALUE"""),"Dr, Andrés González Fernández")</f>
        <v>Dr, Andrés González Fernández</v>
      </c>
      <c r="S914" s="61" t="str">
        <f ca="1">IFERROR(__xludf.DUMMYFUNCTION("""COMPUTED_VALUE"""),"03 ORL")</f>
        <v>03 ORL</v>
      </c>
      <c r="T914" s="33" t="str">
        <f ca="1">IFERROR(__xludf.DUMMYFUNCTION("""COMPUTED_VALUE"""),"06 ORL")</f>
        <v>06 ORL</v>
      </c>
      <c r="U914" s="62"/>
      <c r="W914" s="61"/>
      <c r="X914" s="62"/>
    </row>
    <row r="915" spans="2:24" ht="16">
      <c r="B915" s="67" t="str">
        <f t="shared" ca="1" si="4"/>
        <v>#N/</v>
      </c>
      <c r="C915" s="64" t="str">
        <f ca="1">IFERROR(__xludf.DUMMYFUNCTION("""COMPUTED_VALUE"""),"#N/A")</f>
        <v>#N/A</v>
      </c>
      <c r="D915" s="33" t="str">
        <f ca="1">IFERROR(__xludf.DUMMYFUNCTION("""COMPUTED_VALUE"""),"ASOCIADOS")</f>
        <v>ASOCIADOS</v>
      </c>
      <c r="E915" s="33">
        <f ca="1">IFERROR(__xludf.DUMMYFUNCTION("""COMPUTED_VALUE"""),2026)</f>
        <v>2026</v>
      </c>
      <c r="F915" s="56">
        <f ca="1">IFERROR(__xludf.DUMMYFUNCTION("""COMPUTED_VALUE"""),3)</f>
        <v>3</v>
      </c>
      <c r="G915" s="33" t="str">
        <f ca="1">IFERROR(__xludf.DUMMYFUNCTION("""COMPUTED_VALUE"""),"Vitoria")</f>
        <v>Vitoria</v>
      </c>
      <c r="H915" s="33" t="str">
        <f ca="1">IFERROR(__xludf.DUMMYFUNCTION("""COMPUTED_VALUE"""),"C202632417442642927")</f>
        <v>C202632417442642927</v>
      </c>
      <c r="I915" s="33" t="str">
        <f ca="1">IFERROR(__xludf.DUMMYFUNCTION("""COMPUTED_VALUE"""),"MARIA DE LOS ANGELES PEREZ")</f>
        <v>MARIA DE LOS ANGELES PEREZ</v>
      </c>
      <c r="J915" s="57">
        <f ca="1">IFERROR(__xludf.DUMMYFUNCTION("""COMPUTED_VALUE"""),46105)</f>
        <v>46105</v>
      </c>
      <c r="K915" s="33" t="str">
        <f ca="1">IFERROR(__xludf.DUMMYFUNCTION("""COMPUTED_VALUE"""),"Pedido")</f>
        <v>Pedido</v>
      </c>
      <c r="L915" s="57">
        <f ca="1">IFERROR(__xludf.DUMMYFUNCTION("""COMPUTED_VALUE"""),46105)</f>
        <v>46105</v>
      </c>
      <c r="M915" s="64" t="str">
        <f ca="1">IFERROR(__xludf.DUMMYFUNCTION("""COMPUTED_VALUE"""),"NO")</f>
        <v>NO</v>
      </c>
      <c r="N915" s="56">
        <f ca="1">IFERROR(__xludf.DUMMYFUNCTION("""COMPUTED_VALUE"""),0)</f>
        <v>0</v>
      </c>
      <c r="O915" s="64"/>
      <c r="P915" s="62"/>
      <c r="Q915" s="33" t="str">
        <f ca="1">IFERROR(__xludf.DUMMYFUNCTION("""COMPUTED_VALUE"""),"Álvaro Mollá")</f>
        <v>Álvaro Mollá</v>
      </c>
      <c r="R915" s="33" t="str">
        <f ca="1">IFERROR(__xludf.DUMMYFUNCTION("""COMPUTED_VALUE"""),"Dr, Andrés González Fernández")</f>
        <v>Dr, Andrés González Fernández</v>
      </c>
      <c r="S915" s="61" t="str">
        <f ca="1">IFERROR(__xludf.DUMMYFUNCTION("""COMPUTED_VALUE"""),"03 ORL")</f>
        <v>03 ORL</v>
      </c>
      <c r="T915" s="33" t="str">
        <f ca="1">IFERROR(__xludf.DUMMYFUNCTION("""COMPUTED_VALUE"""),"06 ORL")</f>
        <v>06 ORL</v>
      </c>
      <c r="U915" s="62"/>
      <c r="W915" s="61"/>
      <c r="X915" s="62"/>
    </row>
    <row r="916" spans="2:24" ht="16">
      <c r="B916" s="67" t="str">
        <f t="shared" ca="1" si="4"/>
        <v>#N/</v>
      </c>
      <c r="C916" s="64" t="str">
        <f ca="1">IFERROR(__xludf.DUMMYFUNCTION("""COMPUTED_VALUE"""),"#N/A")</f>
        <v>#N/A</v>
      </c>
      <c r="D916" s="33" t="str">
        <f ca="1">IFERROR(__xludf.DUMMYFUNCTION("""COMPUTED_VALUE"""),"ASOCIADOS")</f>
        <v>ASOCIADOS</v>
      </c>
      <c r="E916" s="33">
        <f ca="1">IFERROR(__xludf.DUMMYFUNCTION("""COMPUTED_VALUE"""),2026)</f>
        <v>2026</v>
      </c>
      <c r="F916" s="56">
        <f ca="1">IFERROR(__xludf.DUMMYFUNCTION("""COMPUTED_VALUE"""),3)</f>
        <v>3</v>
      </c>
      <c r="G916" s="33" t="str">
        <f ca="1">IFERROR(__xludf.DUMMYFUNCTION("""COMPUTED_VALUE"""),"Vitoria")</f>
        <v>Vitoria</v>
      </c>
      <c r="H916" s="33" t="str">
        <f ca="1">IFERROR(__xludf.DUMMYFUNCTION("""COMPUTED_VALUE"""),"VIT-728")</f>
        <v>VIT-728</v>
      </c>
      <c r="I916" s="33" t="str">
        <f ca="1">IFERROR(__xludf.DUMMYFUNCTION("""COMPUTED_VALUE"""),"MILAGROS RUIZ SAN MILLAN")</f>
        <v>MILAGROS RUIZ SAN MILLAN</v>
      </c>
      <c r="J916" s="57">
        <f ca="1">IFERROR(__xludf.DUMMYFUNCTION("""COMPUTED_VALUE"""),46086)</f>
        <v>46086</v>
      </c>
      <c r="K916" s="33" t="str">
        <f ca="1">IFERROR(__xludf.DUMMYFUNCTION("""COMPUTED_VALUE"""),"Presupuesto")</f>
        <v>Presupuesto</v>
      </c>
      <c r="L916" s="57">
        <f ca="1">IFERROR(__xludf.DUMMYFUNCTION("""COMPUTED_VALUE"""),46086)</f>
        <v>46086</v>
      </c>
      <c r="M916" s="64" t="str">
        <f ca="1">IFERROR(__xludf.DUMMYFUNCTION("""COMPUTED_VALUE"""),"NO")</f>
        <v>NO</v>
      </c>
      <c r="N916" s="56">
        <f ca="1">IFERROR(__xludf.DUMMYFUNCTION("""COMPUTED_VALUE"""),2)</f>
        <v>2</v>
      </c>
      <c r="O916" s="64" t="str">
        <f ca="1">IFERROR(__xludf.DUMMYFUNCTION("""COMPUTED_VALUE"""),"QUIET")</f>
        <v>QUIET</v>
      </c>
      <c r="P916" s="62">
        <f ca="1">IFERROR(__xludf.DUMMYFUNCTION("""COMPUTED_VALUE"""),4090)</f>
        <v>4090</v>
      </c>
      <c r="Q916" s="33" t="str">
        <f ca="1">IFERROR(__xludf.DUMMYFUNCTION("""COMPUTED_VALUE"""),"Álvaro Mollá")</f>
        <v>Álvaro Mollá</v>
      </c>
      <c r="R916" s="33" t="str">
        <f ca="1">IFERROR(__xludf.DUMMYFUNCTION("""COMPUTED_VALUE"""),"Dr, Andrés González Fernández")</f>
        <v>Dr, Andrés González Fernández</v>
      </c>
      <c r="S916" s="61" t="str">
        <f ca="1">IFERROR(__xludf.DUMMYFUNCTION("""COMPUTED_VALUE"""),"03 ORL")</f>
        <v>03 ORL</v>
      </c>
      <c r="T916" s="33" t="str">
        <f ca="1">IFERROR(__xludf.DUMMYFUNCTION("""COMPUTED_VALUE"""),"06 ORL")</f>
        <v>06 ORL</v>
      </c>
      <c r="U916" s="62"/>
      <c r="W916" s="61"/>
      <c r="X916" s="62"/>
    </row>
    <row r="917" spans="2:24" ht="16">
      <c r="B917" s="67" t="str">
        <f t="shared" ca="1" si="4"/>
        <v/>
      </c>
      <c r="C917" s="64"/>
      <c r="D917" s="33" t="str">
        <f ca="1">IFERROR(__xludf.DUMMYFUNCTION("""COMPUTED_VALUE"""),"ASOCIADOS")</f>
        <v>ASOCIADOS</v>
      </c>
      <c r="E917" s="33">
        <f ca="1">IFERROR(__xludf.DUMMYFUNCTION("""COMPUTED_VALUE"""),2026)</f>
        <v>2026</v>
      </c>
      <c r="F917" s="56">
        <f ca="1">IFERROR(__xludf.DUMMYFUNCTION("""COMPUTED_VALUE"""),2)</f>
        <v>2</v>
      </c>
      <c r="G917" s="33" t="str">
        <f ca="1">IFERROR(__xludf.DUMMYFUNCTION("""COMPUTED_VALUE"""),"Vitoria")</f>
        <v>Vitoria</v>
      </c>
      <c r="H917" s="33" t="str">
        <f ca="1">IFERROR(__xludf.DUMMYFUNCTION("""COMPUTED_VALUE"""),"VIT-733")</f>
        <v>VIT-733</v>
      </c>
      <c r="I917" s="33" t="str">
        <f ca="1">IFERROR(__xludf.DUMMYFUNCTION("""COMPUTED_VALUE"""),"RAMON BERDUGO MUÑOZ")</f>
        <v>RAMON BERDUGO MUÑOZ</v>
      </c>
      <c r="J917" s="57">
        <f ca="1">IFERROR(__xludf.DUMMYFUNCTION("""COMPUTED_VALUE"""),46077)</f>
        <v>46077</v>
      </c>
      <c r="K917" s="33" t="str">
        <f ca="1">IFERROR(__xludf.DUMMYFUNCTION("""COMPUTED_VALUE"""),"Presupuesto")</f>
        <v>Presupuesto</v>
      </c>
      <c r="L917" s="57">
        <f ca="1">IFERROR(__xludf.DUMMYFUNCTION("""COMPUTED_VALUE"""),46058)</f>
        <v>46058</v>
      </c>
      <c r="M917" s="64" t="str">
        <f ca="1">IFERROR(__xludf.DUMMYFUNCTION("""COMPUTED_VALUE"""),"NO")</f>
        <v>NO</v>
      </c>
      <c r="N917" s="56">
        <f ca="1">IFERROR(__xludf.DUMMYFUNCTION("""COMPUTED_VALUE"""),0)</f>
        <v>0</v>
      </c>
      <c r="O917" s="64"/>
      <c r="P917" s="62"/>
      <c r="Q917" s="33" t="str">
        <f ca="1">IFERROR(__xludf.DUMMYFUNCTION("""COMPUTED_VALUE"""),"Lisandro Russian")</f>
        <v>Lisandro Russian</v>
      </c>
      <c r="R917" s="33" t="str">
        <f ca="1">IFERROR(__xludf.DUMMYFUNCTION("""COMPUTED_VALUE"""),"No recuerda ORL")</f>
        <v>No recuerda ORL</v>
      </c>
      <c r="S917" s="61" t="str">
        <f ca="1">IFERROR(__xludf.DUMMYFUNCTION("""COMPUTED_VALUE"""),"03 ORL")</f>
        <v>03 ORL</v>
      </c>
      <c r="T917" s="33" t="str">
        <f ca="1">IFERROR(__xludf.DUMMYFUNCTION("""COMPUTED_VALUE"""),"06 ORL")</f>
        <v>06 ORL</v>
      </c>
      <c r="U917" s="62"/>
      <c r="W917" s="61"/>
      <c r="X917" s="62"/>
    </row>
    <row r="918" spans="2:24" ht="16">
      <c r="B918" s="67" t="str">
        <f t="shared" ca="1" si="4"/>
        <v>#N/</v>
      </c>
      <c r="C918" s="64" t="str">
        <f ca="1">IFERROR(__xludf.DUMMYFUNCTION("""COMPUTED_VALUE"""),"#N/A")</f>
        <v>#N/A</v>
      </c>
      <c r="D918" s="33" t="str">
        <f ca="1">IFERROR(__xludf.DUMMYFUNCTION("""COMPUTED_VALUE"""),"ASOCIADOS")</f>
        <v>ASOCIADOS</v>
      </c>
      <c r="E918" s="33">
        <f ca="1">IFERROR(__xludf.DUMMYFUNCTION("""COMPUTED_VALUE"""),2026)</f>
        <v>2026</v>
      </c>
      <c r="F918" s="56">
        <f ca="1">IFERROR(__xludf.DUMMYFUNCTION("""COMPUTED_VALUE"""),3)</f>
        <v>3</v>
      </c>
      <c r="G918" s="33" t="str">
        <f ca="1">IFERROR(__xludf.DUMMYFUNCTION("""COMPUTED_VALUE"""),"Zaragoza- León XIII")</f>
        <v>Zaragoza- León XIII</v>
      </c>
      <c r="H918" s="33" t="str">
        <f ca="1">IFERROR(__xludf.DUMMYFUNCTION("""COMPUTED_VALUE"""),"C202621010241789557")</f>
        <v>C202621010241789557</v>
      </c>
      <c r="I918" s="33" t="str">
        <f ca="1">IFERROR(__xludf.DUMMYFUNCTION("""COMPUTED_VALUE"""),"ANA NERIN SESE")</f>
        <v>ANA NERIN SESE</v>
      </c>
      <c r="J918" s="57">
        <f ca="1">IFERROR(__xludf.DUMMYFUNCTION("""COMPUTED_VALUE"""),46063)</f>
        <v>46063</v>
      </c>
      <c r="K918" s="33" t="str">
        <f ca="1">IFERROR(__xludf.DUMMYFUNCTION("""COMPUTED_VALUE"""),"Prueba")</f>
        <v>Prueba</v>
      </c>
      <c r="L918" s="57">
        <f ca="1">IFERROR(__xludf.DUMMYFUNCTION("""COMPUTED_VALUE"""),46091)</f>
        <v>46091</v>
      </c>
      <c r="M918" s="64" t="str">
        <f ca="1">IFERROR(__xludf.DUMMYFUNCTION("""COMPUTED_VALUE"""),"NO")</f>
        <v>NO</v>
      </c>
      <c r="N918" s="56">
        <f ca="1">IFERROR(__xludf.DUMMYFUNCTION("""COMPUTED_VALUE"""),1)</f>
        <v>1</v>
      </c>
      <c r="O918" s="64" t="str">
        <f ca="1">IFERROR(__xludf.DUMMYFUNCTION("""COMPUTED_VALUE"""),"CONFORT")</f>
        <v>CONFORT</v>
      </c>
      <c r="P918" s="62">
        <f ca="1">IFERROR(__xludf.DUMMYFUNCTION("""COMPUTED_VALUE"""),2944.55)</f>
        <v>2944.55</v>
      </c>
      <c r="Q918" s="33" t="str">
        <f ca="1">IFERROR(__xludf.DUMMYFUNCTION("""COMPUTED_VALUE"""),"Ignacio Berdejo")</f>
        <v>Ignacio Berdejo</v>
      </c>
      <c r="R918" s="33" t="str">
        <f ca="1">IFERROR(__xludf.DUMMYFUNCTION("""COMPUTED_VALUE"""),"Dr, Jaime Leache Pueyo")</f>
        <v>Dr, Jaime Leache Pueyo</v>
      </c>
      <c r="S918" s="61" t="str">
        <f ca="1">IFERROR(__xludf.DUMMYFUNCTION("""COMPUTED_VALUE"""),"03 ORL")</f>
        <v>03 ORL</v>
      </c>
      <c r="T918" s="33" t="str">
        <f ca="1">IFERROR(__xludf.DUMMYFUNCTION("""COMPUTED_VALUE"""),"06 ORL")</f>
        <v>06 ORL</v>
      </c>
      <c r="U918" s="62"/>
      <c r="W918" s="61"/>
      <c r="X918" s="62"/>
    </row>
    <row r="919" spans="2:24" ht="16">
      <c r="B919" s="67" t="str">
        <f t="shared" ca="1" si="4"/>
        <v>#N/</v>
      </c>
      <c r="C919" s="64" t="str">
        <f ca="1">IFERROR(__xludf.DUMMYFUNCTION("""COMPUTED_VALUE"""),"#N/A")</f>
        <v>#N/A</v>
      </c>
      <c r="D919" s="33" t="str">
        <f ca="1">IFERROR(__xludf.DUMMYFUNCTION("""COMPUTED_VALUE"""),"ASOCIADOS")</f>
        <v>ASOCIADOS</v>
      </c>
      <c r="E919" s="33">
        <f ca="1">IFERROR(__xludf.DUMMYFUNCTION("""COMPUTED_VALUE"""),2026)</f>
        <v>2026</v>
      </c>
      <c r="F919" s="56">
        <f ca="1">IFERROR(__xludf.DUMMYFUNCTION("""COMPUTED_VALUE"""),3)</f>
        <v>3</v>
      </c>
      <c r="G919" s="33" t="str">
        <f ca="1">IFERROR(__xludf.DUMMYFUNCTION("""COMPUTED_VALUE"""),"Zaragoza- León XIII")</f>
        <v>Zaragoza- León XIII</v>
      </c>
      <c r="H919" s="33" t="str">
        <f ca="1">IFERROR(__xludf.DUMMYFUNCTION("""COMPUTED_VALUE"""),"C202622311553217598")</f>
        <v>C202622311553217598</v>
      </c>
      <c r="I919" s="33" t="str">
        <f ca="1">IFERROR(__xludf.DUMMYFUNCTION("""COMPUTED_VALUE"""),"CONCHITA FUENTES ARNAL")</f>
        <v>CONCHITA FUENTES ARNAL</v>
      </c>
      <c r="J919" s="57">
        <f ca="1">IFERROR(__xludf.DUMMYFUNCTION("""COMPUTED_VALUE"""),46076)</f>
        <v>46076</v>
      </c>
      <c r="K919" s="33" t="str">
        <f ca="1">IFERROR(__xludf.DUMMYFUNCTION("""COMPUTED_VALUE"""),"Prueba")</f>
        <v>Prueba</v>
      </c>
      <c r="L919" s="57">
        <f ca="1">IFERROR(__xludf.DUMMYFUNCTION("""COMPUTED_VALUE"""),46091)</f>
        <v>46091</v>
      </c>
      <c r="M919" s="64" t="str">
        <f ca="1">IFERROR(__xludf.DUMMYFUNCTION("""COMPUTED_VALUE"""),"NO")</f>
        <v>NO</v>
      </c>
      <c r="N919" s="56">
        <f ca="1">IFERROR(__xludf.DUMMYFUNCTION("""COMPUTED_VALUE"""),2)</f>
        <v>2</v>
      </c>
      <c r="O919" s="64" t="str">
        <f ca="1">IFERROR(__xludf.DUMMYFUNCTION("""COMPUTED_VALUE"""),"ADVANCED")</f>
        <v>ADVANCED</v>
      </c>
      <c r="P919" s="62">
        <f ca="1">IFERROR(__xludf.DUMMYFUNCTION("""COMPUTED_VALUE"""),3681.82)</f>
        <v>3681.82</v>
      </c>
      <c r="Q919" s="33" t="str">
        <f ca="1">IFERROR(__xludf.DUMMYFUNCTION("""COMPUTED_VALUE"""),"Ignacio Berdejo")</f>
        <v>Ignacio Berdejo</v>
      </c>
      <c r="R919" s="33" t="str">
        <f ca="1">IFERROR(__xludf.DUMMYFUNCTION("""COMPUTED_VALUE"""),"Dr, Héctor Vallés Varela")</f>
        <v>Dr, Héctor Vallés Varela</v>
      </c>
      <c r="S919" s="61" t="str">
        <f ca="1">IFERROR(__xludf.DUMMYFUNCTION("""COMPUTED_VALUE"""),"03 ORL")</f>
        <v>03 ORL</v>
      </c>
      <c r="T919" s="33" t="str">
        <f ca="1">IFERROR(__xludf.DUMMYFUNCTION("""COMPUTED_VALUE"""),"06 ORL")</f>
        <v>06 ORL</v>
      </c>
      <c r="U919" s="62"/>
      <c r="W919" s="61"/>
      <c r="X919" s="62"/>
    </row>
    <row r="920" spans="2:24" ht="16">
      <c r="B920" s="67" t="str">
        <f t="shared" ca="1" si="4"/>
        <v>#N/</v>
      </c>
      <c r="C920" s="64" t="str">
        <f ca="1">IFERROR(__xludf.DUMMYFUNCTION("""COMPUTED_VALUE"""),"#N/A")</f>
        <v>#N/A</v>
      </c>
      <c r="D920" s="33" t="str">
        <f ca="1">IFERROR(__xludf.DUMMYFUNCTION("""COMPUTED_VALUE"""),"ASOCIADOS")</f>
        <v>ASOCIADOS</v>
      </c>
      <c r="E920" s="33">
        <f ca="1">IFERROR(__xludf.DUMMYFUNCTION("""COMPUTED_VALUE"""),2026)</f>
        <v>2026</v>
      </c>
      <c r="F920" s="56">
        <f ca="1">IFERROR(__xludf.DUMMYFUNCTION("""COMPUTED_VALUE"""),2)</f>
        <v>2</v>
      </c>
      <c r="G920" s="33" t="str">
        <f ca="1">IFERROR(__xludf.DUMMYFUNCTION("""COMPUTED_VALUE"""),"Zaragoza- León XIII")</f>
        <v>Zaragoza- León XIII</v>
      </c>
      <c r="H920" s="33" t="str">
        <f ca="1">IFERROR(__xludf.DUMMYFUNCTION("""COMPUTED_VALUE"""),"C202611518362811865")</f>
        <v>C202611518362811865</v>
      </c>
      <c r="I920" s="33" t="str">
        <f ca="1">IFERROR(__xludf.DUMMYFUNCTION("""COMPUTED_VALUE"""),"GLORIA MENDIETA ZABALA")</f>
        <v>GLORIA MENDIETA ZABALA</v>
      </c>
      <c r="J920" s="57">
        <f ca="1">IFERROR(__xludf.DUMMYFUNCTION("""COMPUTED_VALUE"""),46037)</f>
        <v>46037</v>
      </c>
      <c r="K920" s="33" t="str">
        <f ca="1">IFERROR(__xludf.DUMMYFUNCTION("""COMPUTED_VALUE"""),"Devuelve")</f>
        <v>Devuelve</v>
      </c>
      <c r="L920" s="57">
        <f ca="1">IFERROR(__xludf.DUMMYFUNCTION("""COMPUTED_VALUE"""),46062)</f>
        <v>46062</v>
      </c>
      <c r="M920" s="64" t="str">
        <f ca="1">IFERROR(__xludf.DUMMYFUNCTION("""COMPUTED_VALUE"""),"NO")</f>
        <v>NO</v>
      </c>
      <c r="N920" s="56">
        <f ca="1">IFERROR(__xludf.DUMMYFUNCTION("""COMPUTED_VALUE"""),2)</f>
        <v>2</v>
      </c>
      <c r="O920" s="64" t="str">
        <f ca="1">IFERROR(__xludf.DUMMYFUNCTION("""COMPUTED_VALUE"""),"CONFORT")</f>
        <v>CONFORT</v>
      </c>
      <c r="P920" s="62">
        <f ca="1">IFERROR(__xludf.DUMMYFUNCTION("""COMPUTED_VALUE"""),3818.18)</f>
        <v>3818.18</v>
      </c>
      <c r="Q920" s="33" t="str">
        <f ca="1">IFERROR(__xludf.DUMMYFUNCTION("""COMPUTED_VALUE"""),"Ignacio Berdejo")</f>
        <v>Ignacio Berdejo</v>
      </c>
      <c r="R920" s="33" t="str">
        <f ca="1">IFERROR(__xludf.DUMMYFUNCTION("""COMPUTED_VALUE"""),"Dra, María José Naya Gálvez")</f>
        <v>Dra, María José Naya Gálvez</v>
      </c>
      <c r="S920" s="61" t="str">
        <f ca="1">IFERROR(__xludf.DUMMYFUNCTION("""COMPUTED_VALUE"""),"03 ORL")</f>
        <v>03 ORL</v>
      </c>
      <c r="T920" s="33" t="str">
        <f ca="1">IFERROR(__xludf.DUMMYFUNCTION("""COMPUTED_VALUE"""),"06 ORL")</f>
        <v>06 ORL</v>
      </c>
      <c r="U920" s="62"/>
      <c r="W920" s="61"/>
      <c r="X920" s="62"/>
    </row>
    <row r="921" spans="2:24" ht="16">
      <c r="B921" s="67" t="str">
        <f t="shared" ca="1" si="4"/>
        <v>#N/</v>
      </c>
      <c r="C921" s="64" t="str">
        <f ca="1">IFERROR(__xludf.DUMMYFUNCTION("""COMPUTED_VALUE"""),"#N/A")</f>
        <v>#N/A</v>
      </c>
      <c r="D921" s="33" t="str">
        <f ca="1">IFERROR(__xludf.DUMMYFUNCTION("""COMPUTED_VALUE"""),"ASOCIADOS")</f>
        <v>ASOCIADOS</v>
      </c>
      <c r="E921" s="33">
        <f ca="1">IFERROR(__xludf.DUMMYFUNCTION("""COMPUTED_VALUE"""),2026)</f>
        <v>2026</v>
      </c>
      <c r="F921" s="56">
        <f ca="1">IFERROR(__xludf.DUMMYFUNCTION("""COMPUTED_VALUE"""),3)</f>
        <v>3</v>
      </c>
      <c r="G921" s="33" t="str">
        <f ca="1">IFERROR(__xludf.DUMMYFUNCTION("""COMPUTED_VALUE"""),"Zaragoza- León XIII")</f>
        <v>Zaragoza- León XIII</v>
      </c>
      <c r="H921" s="33" t="str">
        <f ca="1">IFERROR(__xludf.DUMMYFUNCTION("""COMPUTED_VALUE"""),"C202622717342926852")</f>
        <v>C202622717342926852</v>
      </c>
      <c r="I921" s="33" t="str">
        <f ca="1">IFERROR(__xludf.DUMMYFUNCTION("""COMPUTED_VALUE"""),"JULIO EZQUERRA SAINZ-AJA")</f>
        <v>JULIO EZQUERRA SAINZ-AJA</v>
      </c>
      <c r="J921" s="57">
        <f ca="1">IFERROR(__xludf.DUMMYFUNCTION("""COMPUTED_VALUE"""),46080)</f>
        <v>46080</v>
      </c>
      <c r="K921" s="33" t="str">
        <f ca="1">IFERROR(__xludf.DUMMYFUNCTION("""COMPUTED_VALUE"""),"Prueba")</f>
        <v>Prueba</v>
      </c>
      <c r="L921" s="57">
        <f ca="1">IFERROR(__xludf.DUMMYFUNCTION("""COMPUTED_VALUE"""),46105)</f>
        <v>46105</v>
      </c>
      <c r="M921" s="64" t="str">
        <f ca="1">IFERROR(__xludf.DUMMYFUNCTION("""COMPUTED_VALUE"""),"NO")</f>
        <v>NO</v>
      </c>
      <c r="N921" s="56">
        <f ca="1">IFERROR(__xludf.DUMMYFUNCTION("""COMPUTED_VALUE"""),1)</f>
        <v>1</v>
      </c>
      <c r="O921" s="64" t="str">
        <f ca="1">IFERROR(__xludf.DUMMYFUNCTION("""COMPUTED_VALUE"""),"CONFORT")</f>
        <v>CONFORT</v>
      </c>
      <c r="P921" s="62">
        <f ca="1">IFERROR(__xludf.DUMMYFUNCTION("""COMPUTED_VALUE"""),2981.82)</f>
        <v>2981.82</v>
      </c>
      <c r="Q921" s="33" t="str">
        <f ca="1">IFERROR(__xludf.DUMMYFUNCTION("""COMPUTED_VALUE"""),"Ignacio Berdejo")</f>
        <v>Ignacio Berdejo</v>
      </c>
      <c r="R921" s="33" t="str">
        <f ca="1">IFERROR(__xludf.DUMMYFUNCTION("""COMPUTED_VALUE"""),"Dr, José Manuel García-Solans Esteras")</f>
        <v>Dr, José Manuel García-Solans Esteras</v>
      </c>
      <c r="S921" s="61" t="str">
        <f ca="1">IFERROR(__xludf.DUMMYFUNCTION("""COMPUTED_VALUE"""),"03 ORL")</f>
        <v>03 ORL</v>
      </c>
      <c r="T921" s="33" t="str">
        <f ca="1">IFERROR(__xludf.DUMMYFUNCTION("""COMPUTED_VALUE"""),"06 ORL")</f>
        <v>06 ORL</v>
      </c>
      <c r="U921" s="62"/>
      <c r="W921" s="61"/>
      <c r="X921" s="62"/>
    </row>
    <row r="922" spans="2:24" ht="16">
      <c r="B922" s="67" t="str">
        <f t="shared" ca="1" si="4"/>
        <v>#N/</v>
      </c>
      <c r="C922" s="64" t="str">
        <f ca="1">IFERROR(__xludf.DUMMYFUNCTION("""COMPUTED_VALUE"""),"#N/A")</f>
        <v>#N/A</v>
      </c>
      <c r="D922" s="33" t="str">
        <f ca="1">IFERROR(__xludf.DUMMYFUNCTION("""COMPUTED_VALUE"""),"ASOCIADOS")</f>
        <v>ASOCIADOS</v>
      </c>
      <c r="E922" s="33">
        <f ca="1">IFERROR(__xludf.DUMMYFUNCTION("""COMPUTED_VALUE"""),2026)</f>
        <v>2026</v>
      </c>
      <c r="F922" s="56">
        <f ca="1">IFERROR(__xludf.DUMMYFUNCTION("""COMPUTED_VALUE"""),2)</f>
        <v>2</v>
      </c>
      <c r="G922" s="33" t="str">
        <f ca="1">IFERROR(__xludf.DUMMYFUNCTION("""COMPUTED_VALUE"""),"Zaragoza- León XIII")</f>
        <v>Zaragoza- León XIII</v>
      </c>
      <c r="H922" s="33" t="str">
        <f ca="1">IFERROR(__xludf.DUMMYFUNCTION("""COMPUTED_VALUE"""),"C202623162033347890")</f>
        <v>C202623162033347890</v>
      </c>
      <c r="I922" s="33" t="str">
        <f ca="1">IFERROR(__xludf.DUMMYFUNCTION("""COMPUTED_VALUE"""),"MARGA GALVEZ LATORRE")</f>
        <v>MARGA GALVEZ LATORRE</v>
      </c>
      <c r="J922" s="57">
        <f ca="1">IFERROR(__xludf.DUMMYFUNCTION("""COMPUTED_VALUE"""),46056)</f>
        <v>46056</v>
      </c>
      <c r="K922" s="33" t="str">
        <f ca="1">IFERROR(__xludf.DUMMYFUNCTION("""COMPUTED_VALUE"""),"Devuelve")</f>
        <v>Devuelve</v>
      </c>
      <c r="L922" s="57">
        <f ca="1">IFERROR(__xludf.DUMMYFUNCTION("""COMPUTED_VALUE"""),46069)</f>
        <v>46069</v>
      </c>
      <c r="M922" s="64" t="str">
        <f ca="1">IFERROR(__xludf.DUMMYFUNCTION("""COMPUTED_VALUE"""),"NO")</f>
        <v>NO</v>
      </c>
      <c r="N922" s="56">
        <f ca="1">IFERROR(__xludf.DUMMYFUNCTION("""COMPUTED_VALUE"""),2)</f>
        <v>2</v>
      </c>
      <c r="O922" s="64" t="str">
        <f ca="1">IFERROR(__xludf.DUMMYFUNCTION("""COMPUTED_VALUE"""),"CONFORT")</f>
        <v>CONFORT</v>
      </c>
      <c r="P922" s="62">
        <f ca="1">IFERROR(__xludf.DUMMYFUNCTION("""COMPUTED_VALUE"""),3890.91)</f>
        <v>3890.91</v>
      </c>
      <c r="Q922" s="33" t="str">
        <f ca="1">IFERROR(__xludf.DUMMYFUNCTION("""COMPUTED_VALUE"""),"Ignacio Berdejo")</f>
        <v>Ignacio Berdejo</v>
      </c>
      <c r="R922" s="33" t="str">
        <f ca="1">IFERROR(__xludf.DUMMYFUNCTION("""COMPUTED_VALUE"""),"Dr, José Manuel García Solans-Esteras")</f>
        <v>Dr, José Manuel García Solans-Esteras</v>
      </c>
      <c r="S922" s="61" t="str">
        <f ca="1">IFERROR(__xludf.DUMMYFUNCTION("""COMPUTED_VALUE"""),"01 MARKETING ON LINE")</f>
        <v>01 MARKETING ON LINE</v>
      </c>
      <c r="T922" s="33" t="str">
        <f ca="1">IFERROR(__xludf.DUMMYFUNCTION("""COMPUTED_VALUE"""),"04 AUDIFONO,ES")</f>
        <v>04 AUDIFONO,ES</v>
      </c>
      <c r="U922" s="62"/>
      <c r="W922" s="61"/>
      <c r="X922" s="62"/>
    </row>
    <row r="923" spans="2:24" ht="16">
      <c r="B923" s="67" t="str">
        <f t="shared" ca="1" si="4"/>
        <v>#N/</v>
      </c>
      <c r="C923" s="64" t="str">
        <f ca="1">IFERROR(__xludf.DUMMYFUNCTION("""COMPUTED_VALUE"""),"#N/A")</f>
        <v>#N/A</v>
      </c>
      <c r="D923" s="33" t="str">
        <f ca="1">IFERROR(__xludf.DUMMYFUNCTION("""COMPUTED_VALUE"""),"ASOCIADOS")</f>
        <v>ASOCIADOS</v>
      </c>
      <c r="E923" s="33">
        <f ca="1">IFERROR(__xludf.DUMMYFUNCTION("""COMPUTED_VALUE"""),2026)</f>
        <v>2026</v>
      </c>
      <c r="F923" s="56">
        <f ca="1">IFERROR(__xludf.DUMMYFUNCTION("""COMPUTED_VALUE"""),2)</f>
        <v>2</v>
      </c>
      <c r="G923" s="33" t="str">
        <f ca="1">IFERROR(__xludf.DUMMYFUNCTION("""COMPUTED_VALUE"""),"Zaragoza- León XIII")</f>
        <v>Zaragoza- León XIII</v>
      </c>
      <c r="H923" s="33" t="str">
        <f ca="1">IFERROR(__xludf.DUMMYFUNCTION("""COMPUTED_VALUE"""),"ZRG-645")</f>
        <v>ZRG-645</v>
      </c>
      <c r="I923" s="33" t="str">
        <f ca="1">IFERROR(__xludf.DUMMYFUNCTION("""COMPUTED_VALUE"""),"MARIA DE LOS ANGELES ALADREN GIL")</f>
        <v>MARIA DE LOS ANGELES ALADREN GIL</v>
      </c>
      <c r="J923" s="57">
        <f ca="1">IFERROR(__xludf.DUMMYFUNCTION("""COMPUTED_VALUE"""),45804)</f>
        <v>45804</v>
      </c>
      <c r="K923" s="33" t="str">
        <f ca="1">IFERROR(__xludf.DUMMYFUNCTION("""COMPUTED_VALUE"""),"Devuelve")</f>
        <v>Devuelve</v>
      </c>
      <c r="L923" s="57">
        <f ca="1">IFERROR(__xludf.DUMMYFUNCTION("""COMPUTED_VALUE"""),46066)</f>
        <v>46066</v>
      </c>
      <c r="M923" s="64" t="str">
        <f ca="1">IFERROR(__xludf.DUMMYFUNCTION("""COMPUTED_VALUE"""),"NO")</f>
        <v>NO</v>
      </c>
      <c r="N923" s="56">
        <f ca="1">IFERROR(__xludf.DUMMYFUNCTION("""COMPUTED_VALUE"""),1)</f>
        <v>1</v>
      </c>
      <c r="O923" s="64" t="str">
        <f ca="1">IFERROR(__xludf.DUMMYFUNCTION("""COMPUTED_VALUE"""),"PRO")</f>
        <v>PRO</v>
      </c>
      <c r="P923" s="62">
        <f ca="1">IFERROR(__xludf.DUMMYFUNCTION("""COMPUTED_VALUE"""),1983.64)</f>
        <v>1983.64</v>
      </c>
      <c r="Q923" s="33" t="str">
        <f ca="1">IFERROR(__xludf.DUMMYFUNCTION("""COMPUTED_VALUE"""),"Ignacio Berdejo")</f>
        <v>Ignacio Berdejo</v>
      </c>
      <c r="R923" s="33" t="str">
        <f ca="1">IFERROR(__xludf.DUMMYFUNCTION("""COMPUTED_VALUE"""),"Dr, Julio Knaster Del Olmo")</f>
        <v>Dr, Julio Knaster Del Olmo</v>
      </c>
      <c r="S923" s="61" t="str">
        <f ca="1">IFERROR(__xludf.DUMMYFUNCTION("""COMPUTED_VALUE"""),"03 ORL")</f>
        <v>03 ORL</v>
      </c>
      <c r="T923" s="33" t="str">
        <f ca="1">IFERROR(__xludf.DUMMYFUNCTION("""COMPUTED_VALUE"""),"06 ORL")</f>
        <v>06 ORL</v>
      </c>
      <c r="U923" s="62"/>
      <c r="W923" s="61"/>
      <c r="X923" s="62"/>
    </row>
    <row r="924" spans="2:24" ht="16">
      <c r="B924" s="67" t="str">
        <f t="shared" ca="1" si="4"/>
        <v>#N/</v>
      </c>
      <c r="C924" s="64" t="str">
        <f ca="1">IFERROR(__xludf.DUMMYFUNCTION("""COMPUTED_VALUE"""),"#N/A")</f>
        <v>#N/A</v>
      </c>
      <c r="D924" s="33" t="str">
        <f ca="1">IFERROR(__xludf.DUMMYFUNCTION("""COMPUTED_VALUE"""),"ASOCIADOS")</f>
        <v>ASOCIADOS</v>
      </c>
      <c r="E924" s="33">
        <f ca="1">IFERROR(__xludf.DUMMYFUNCTION("""COMPUTED_VALUE"""),2026)</f>
        <v>2026</v>
      </c>
      <c r="F924" s="56">
        <f ca="1">IFERROR(__xludf.DUMMYFUNCTION("""COMPUTED_VALUE"""),2)</f>
        <v>2</v>
      </c>
      <c r="G924" s="33" t="str">
        <f ca="1">IFERROR(__xludf.DUMMYFUNCTION("""COMPUTED_VALUE"""),"Zaragoza- Santander")</f>
        <v>Zaragoza- Santander</v>
      </c>
      <c r="H924" s="33" t="str">
        <f ca="1">IFERROR(__xludf.DUMMYFUNCTION("""COMPUTED_VALUE"""),"C202621616478150088")</f>
        <v>C202621616478150088</v>
      </c>
      <c r="I924" s="33" t="str">
        <f ca="1">IFERROR(__xludf.DUMMYFUNCTION("""COMPUTED_VALUE"""),"AGUSTINA MARIA JOSE  RANERA FRAUCA")</f>
        <v>AGUSTINA MARIA JOSE  RANERA FRAUCA</v>
      </c>
      <c r="J924" s="57">
        <f ca="1">IFERROR(__xludf.DUMMYFUNCTION("""COMPUTED_VALUE"""),46069)</f>
        <v>46069</v>
      </c>
      <c r="K924" s="33" t="str">
        <f ca="1">IFERROR(__xludf.DUMMYFUNCTION("""COMPUTED_VALUE"""),"Presupuesto")</f>
        <v>Presupuesto</v>
      </c>
      <c r="L924" s="57">
        <f ca="1">IFERROR(__xludf.DUMMYFUNCTION("""COMPUTED_VALUE"""),46073)</f>
        <v>46073</v>
      </c>
      <c r="M924" s="64" t="str">
        <f ca="1">IFERROR(__xludf.DUMMYFUNCTION("""COMPUTED_VALUE"""),"NO")</f>
        <v>NO</v>
      </c>
      <c r="N924" s="56">
        <f ca="1">IFERROR(__xludf.DUMMYFUNCTION("""COMPUTED_VALUE"""),0)</f>
        <v>0</v>
      </c>
      <c r="O924" s="64"/>
      <c r="P924" s="62"/>
      <c r="Q924" s="33" t="str">
        <f ca="1">IFERROR(__xludf.DUMMYFUNCTION("""COMPUTED_VALUE"""),"Ignacio Berdejo")</f>
        <v>Ignacio Berdejo</v>
      </c>
      <c r="R924" s="33" t="str">
        <f ca="1">IFERROR(__xludf.DUMMYFUNCTION("""COMPUTED_VALUE"""),"Dr, Jaime Leache Pueyo")</f>
        <v>Dr, Jaime Leache Pueyo</v>
      </c>
      <c r="S924" s="61" t="str">
        <f ca="1">IFERROR(__xludf.DUMMYFUNCTION("""COMPUTED_VALUE"""),"03 ORL")</f>
        <v>03 ORL</v>
      </c>
      <c r="T924" s="33" t="str">
        <f ca="1">IFERROR(__xludf.DUMMYFUNCTION("""COMPUTED_VALUE"""),"06 ORL")</f>
        <v>06 ORL</v>
      </c>
      <c r="U924" s="62"/>
      <c r="W924" s="61"/>
      <c r="X924" s="62"/>
    </row>
    <row r="925" spans="2:24" ht="16">
      <c r="B925" s="67" t="str">
        <f t="shared" ca="1" si="4"/>
        <v>#N/</v>
      </c>
      <c r="C925" s="64" t="str">
        <f ca="1">IFERROR(__xludf.DUMMYFUNCTION("""COMPUTED_VALUE"""),"#N/A")</f>
        <v>#N/A</v>
      </c>
      <c r="D925" s="33" t="str">
        <f ca="1">IFERROR(__xludf.DUMMYFUNCTION("""COMPUTED_VALUE"""),"PROPIOS")</f>
        <v>PROPIOS</v>
      </c>
      <c r="E925" s="33">
        <f ca="1">IFERROR(__xludf.DUMMYFUNCTION("""COMPUTED_VALUE"""),2026)</f>
        <v>2026</v>
      </c>
      <c r="F925" s="56">
        <f ca="1">IFERROR(__xludf.DUMMYFUNCTION("""COMPUTED_VALUE"""),2)</f>
        <v>2</v>
      </c>
      <c r="G925" s="33" t="str">
        <f ca="1">IFERROR(__xludf.DUMMYFUNCTION("""COMPUTED_VALUE"""),"Albacete")</f>
        <v>Albacete</v>
      </c>
      <c r="H925" s="33" t="str">
        <f ca="1">IFERROR(__xludf.DUMMYFUNCTION("""COMPUTED_VALUE"""),"C202621610939942291")</f>
        <v>C202621610939942291</v>
      </c>
      <c r="I925" s="33" t="str">
        <f ca="1">IFERROR(__xludf.DUMMYFUNCTION("""COMPUTED_VALUE"""),"DAVID URREA MARTINEZ")</f>
        <v>DAVID URREA MARTINEZ</v>
      </c>
      <c r="J925" s="57">
        <f ca="1">IFERROR(__xludf.DUMMYFUNCTION("""COMPUTED_VALUE"""),46069)</f>
        <v>46069</v>
      </c>
      <c r="K925" s="33" t="str">
        <f ca="1">IFERROR(__xludf.DUMMYFUNCTION("""COMPUTED_VALUE"""),"Leve")</f>
        <v>Leve</v>
      </c>
      <c r="L925" s="57">
        <f ca="1">IFERROR(__xludf.DUMMYFUNCTION("""COMPUTED_VALUE"""),46069)</f>
        <v>46069</v>
      </c>
      <c r="M925" s="64" t="str">
        <f ca="1">IFERROR(__xludf.DUMMYFUNCTION("""COMPUTED_VALUE"""),"NO")</f>
        <v>NO</v>
      </c>
      <c r="N925" s="56">
        <f ca="1">IFERROR(__xludf.DUMMYFUNCTION("""COMPUTED_VALUE"""),0)</f>
        <v>0</v>
      </c>
      <c r="O925" s="64"/>
      <c r="P925" s="62"/>
      <c r="Q925" s="33" t="str">
        <f ca="1">IFERROR(__xludf.DUMMYFUNCTION("""COMPUTED_VALUE"""),"Iván Sánchez")</f>
        <v>Iván Sánchez</v>
      </c>
      <c r="R925" s="33" t="str">
        <f ca="1">IFERROR(__xludf.DUMMYFUNCTION("""COMPUTED_VALUE"""),"Dr, Máximo Rafael García Rodríguez")</f>
        <v>Dr, Máximo Rafael García Rodríguez</v>
      </c>
      <c r="S925" s="61" t="str">
        <f ca="1">IFERROR(__xludf.DUMMYFUNCTION("""COMPUTED_VALUE"""),"03 ORL")</f>
        <v>03 ORL</v>
      </c>
      <c r="T925" s="33" t="str">
        <f ca="1">IFERROR(__xludf.DUMMYFUNCTION("""COMPUTED_VALUE"""),"06 ORL")</f>
        <v>06 ORL</v>
      </c>
      <c r="U925" s="62"/>
      <c r="W925" s="61"/>
      <c r="X925" s="62"/>
    </row>
    <row r="926" spans="2:24" ht="16">
      <c r="B926" s="67" t="str">
        <f t="shared" ca="1" si="4"/>
        <v>#N/</v>
      </c>
      <c r="C926" s="64" t="str">
        <f ca="1">IFERROR(__xludf.DUMMYFUNCTION("""COMPUTED_VALUE"""),"#N/A")</f>
        <v>#N/A</v>
      </c>
      <c r="D926" s="33" t="str">
        <f ca="1">IFERROR(__xludf.DUMMYFUNCTION("""COMPUTED_VALUE"""),"PROPIOS")</f>
        <v>PROPIOS</v>
      </c>
      <c r="E926" s="33">
        <f ca="1">IFERROR(__xludf.DUMMYFUNCTION("""COMPUTED_VALUE"""),2026)</f>
        <v>2026</v>
      </c>
      <c r="F926" s="56">
        <f ca="1">IFERROR(__xludf.DUMMYFUNCTION("""COMPUTED_VALUE"""),3)</f>
        <v>3</v>
      </c>
      <c r="G926" s="33" t="str">
        <f ca="1">IFERROR(__xludf.DUMMYFUNCTION("""COMPUTED_VALUE"""),"Albacete")</f>
        <v>Albacete</v>
      </c>
      <c r="H926" s="33" t="str">
        <f ca="1">IFERROR(__xludf.DUMMYFUNCTION("""COMPUTED_VALUE"""),"C2026359311675922")</f>
        <v>C2026359311675922</v>
      </c>
      <c r="I926" s="33" t="str">
        <f ca="1">IFERROR(__xludf.DUMMYFUNCTION("""COMPUTED_VALUE"""),"VICTORIA TOBARRA JIMENEZ")</f>
        <v>VICTORIA TOBARRA JIMENEZ</v>
      </c>
      <c r="J926" s="57">
        <f ca="1">IFERROR(__xludf.DUMMYFUNCTION("""COMPUTED_VALUE"""),46086)</f>
        <v>46086</v>
      </c>
      <c r="K926" s="33" t="str">
        <f ca="1">IFERROR(__xludf.DUMMYFUNCTION("""COMPUTED_VALUE"""),"Leve")</f>
        <v>Leve</v>
      </c>
      <c r="L926" s="57">
        <f ca="1">IFERROR(__xludf.DUMMYFUNCTION("""COMPUTED_VALUE"""),46086)</f>
        <v>46086</v>
      </c>
      <c r="M926" s="64" t="str">
        <f ca="1">IFERROR(__xludf.DUMMYFUNCTION("""COMPUTED_VALUE"""),"NO")</f>
        <v>NO</v>
      </c>
      <c r="N926" s="56">
        <f ca="1">IFERROR(__xludf.DUMMYFUNCTION("""COMPUTED_VALUE"""),0)</f>
        <v>0</v>
      </c>
      <c r="O926" s="64"/>
      <c r="P926" s="62"/>
      <c r="Q926" s="33" t="str">
        <f ca="1">IFERROR(__xludf.DUMMYFUNCTION("""COMPUTED_VALUE"""),"Iván Sánchez")</f>
        <v>Iván Sánchez</v>
      </c>
      <c r="R926" s="33" t="str">
        <f ca="1">IFERROR(__xludf.DUMMYFUNCTION("""COMPUTED_VALUE"""),"Dr, Máximo Rafael García Rodríguez")</f>
        <v>Dr, Máximo Rafael García Rodríguez</v>
      </c>
      <c r="S926" s="61" t="str">
        <f ca="1">IFERROR(__xludf.DUMMYFUNCTION("""COMPUTED_VALUE"""),"03 ORL")</f>
        <v>03 ORL</v>
      </c>
      <c r="T926" s="33" t="str">
        <f ca="1">IFERROR(__xludf.DUMMYFUNCTION("""COMPUTED_VALUE"""),"06 ORL")</f>
        <v>06 ORL</v>
      </c>
      <c r="U926" s="62"/>
      <c r="W926" s="61"/>
      <c r="X926" s="62"/>
    </row>
    <row r="927" spans="2:24" ht="16">
      <c r="B927" s="67" t="str">
        <f t="shared" ca="1" si="4"/>
        <v/>
      </c>
      <c r="C927" s="64"/>
      <c r="D927" s="33" t="str">
        <f ca="1">IFERROR(__xludf.DUMMYFUNCTION("""COMPUTED_VALUE"""),"PROPIOS")</f>
        <v>PROPIOS</v>
      </c>
      <c r="E927" s="33">
        <f ca="1">IFERROR(__xludf.DUMMYFUNCTION("""COMPUTED_VALUE"""),2026)</f>
        <v>2026</v>
      </c>
      <c r="F927" s="56">
        <f ca="1">IFERROR(__xludf.DUMMYFUNCTION("""COMPUTED_VALUE"""),2)</f>
        <v>2</v>
      </c>
      <c r="G927" s="33" t="str">
        <f ca="1">IFERROR(__xludf.DUMMYFUNCTION("""COMPUTED_VALUE"""),"El Albir (Benidorm)")</f>
        <v>El Albir (Benidorm)</v>
      </c>
      <c r="H927" s="33" t="str">
        <f ca="1">IFERROR(__xludf.DUMMYFUNCTION("""COMPUTED_VALUE"""),"C202622515160087609")</f>
        <v>C202622515160087609</v>
      </c>
      <c r="I927" s="33" t="str">
        <f ca="1">IFERROR(__xludf.DUMMYFUNCTION("""COMPUTED_VALUE"""),"LUIS  CASADIEGO SANCHEZ")</f>
        <v>LUIS  CASADIEGO SANCHEZ</v>
      </c>
      <c r="J927" s="57">
        <f ca="1">IFERROR(__xludf.DUMMYFUNCTION("""COMPUTED_VALUE"""),46078)</f>
        <v>46078</v>
      </c>
      <c r="K927" s="33" t="str">
        <f ca="1">IFERROR(__xludf.DUMMYFUNCTION("""COMPUTED_VALUE"""),"Leve")</f>
        <v>Leve</v>
      </c>
      <c r="L927" s="57">
        <f ca="1">IFERROR(__xludf.DUMMYFUNCTION("""COMPUTED_VALUE"""),46078)</f>
        <v>46078</v>
      </c>
      <c r="M927" s="64" t="str">
        <f ca="1">IFERROR(__xludf.DUMMYFUNCTION("""COMPUTED_VALUE"""),"NO")</f>
        <v>NO</v>
      </c>
      <c r="N927" s="56">
        <f ca="1">IFERROR(__xludf.DUMMYFUNCTION("""COMPUTED_VALUE"""),0)</f>
        <v>0</v>
      </c>
      <c r="O927" s="64"/>
      <c r="P927" s="62"/>
      <c r="Q927" s="33" t="str">
        <f ca="1">IFERROR(__xludf.DUMMYFUNCTION("""COMPUTED_VALUE"""),"Ramon Ferrando")</f>
        <v>Ramon Ferrando</v>
      </c>
      <c r="R927" s="33" t="str">
        <f ca="1">IFERROR(__xludf.DUMMYFUNCTION("""COMPUTED_VALUE"""),"No recuerda ORL")</f>
        <v>No recuerda ORL</v>
      </c>
      <c r="S927" s="61" t="str">
        <f ca="1">IFERROR(__xludf.DUMMYFUNCTION("""COMPUTED_VALUE"""),"03 ORL")</f>
        <v>03 ORL</v>
      </c>
      <c r="T927" s="33" t="str">
        <f ca="1">IFERROR(__xludf.DUMMYFUNCTION("""COMPUTED_VALUE"""),"06 ORL")</f>
        <v>06 ORL</v>
      </c>
      <c r="U927" s="62"/>
      <c r="W927" s="61"/>
      <c r="X927" s="62"/>
    </row>
    <row r="928" spans="2:24" ht="16">
      <c r="B928" s="67" t="str">
        <f t="shared" ca="1" si="4"/>
        <v/>
      </c>
      <c r="C928" s="64"/>
      <c r="D928" s="33" t="str">
        <f ca="1">IFERROR(__xludf.DUMMYFUNCTION("""COMPUTED_VALUE"""),"PROPIOS")</f>
        <v>PROPIOS</v>
      </c>
      <c r="E928" s="33">
        <f ca="1">IFERROR(__xludf.DUMMYFUNCTION("""COMPUTED_VALUE"""),2026)</f>
        <v>2026</v>
      </c>
      <c r="F928" s="56">
        <f ca="1">IFERROR(__xludf.DUMMYFUNCTION("""COMPUTED_VALUE"""),2)</f>
        <v>2</v>
      </c>
      <c r="G928" s="33" t="str">
        <f ca="1">IFERROR(__xludf.DUMMYFUNCTION("""COMPUTED_VALUE"""),"Logroño")</f>
        <v>Logroño</v>
      </c>
      <c r="H928" s="33" t="str">
        <f ca="1">IFERROR(__xludf.DUMMYFUNCTION("""COMPUTED_VALUE"""),"C202621916363532718")</f>
        <v>C202621916363532718</v>
      </c>
      <c r="I928" s="33" t="str">
        <f ca="1">IFERROR(__xludf.DUMMYFUNCTION("""COMPUTED_VALUE"""),"Ana Marta Arambarri hervías")</f>
        <v>Ana Marta Arambarri hervías</v>
      </c>
      <c r="J928" s="57">
        <f ca="1">IFERROR(__xludf.DUMMYFUNCTION("""COMPUTED_VALUE"""),46072)</f>
        <v>46072</v>
      </c>
      <c r="K928" s="33" t="str">
        <f ca="1">IFERROR(__xludf.DUMMYFUNCTION("""COMPUTED_VALUE"""),"Leve")</f>
        <v>Leve</v>
      </c>
      <c r="L928" s="57">
        <f ca="1">IFERROR(__xludf.DUMMYFUNCTION("""COMPUTED_VALUE"""),46072)</f>
        <v>46072</v>
      </c>
      <c r="M928" s="64" t="str">
        <f ca="1">IFERROR(__xludf.DUMMYFUNCTION("""COMPUTED_VALUE"""),"NO")</f>
        <v>NO</v>
      </c>
      <c r="N928" s="56">
        <f ca="1">IFERROR(__xludf.DUMMYFUNCTION("""COMPUTED_VALUE"""),0)</f>
        <v>0</v>
      </c>
      <c r="O928" s="64"/>
      <c r="P928" s="62"/>
      <c r="Q928" s="33" t="str">
        <f ca="1">IFERROR(__xludf.DUMMYFUNCTION("""COMPUTED_VALUE"""),"Lisandro Russian")</f>
        <v>Lisandro Russian</v>
      </c>
      <c r="R928" s="33" t="str">
        <f ca="1">IFERROR(__xludf.DUMMYFUNCTION("""COMPUTED_VALUE"""),"No recuerda ORL")</f>
        <v>No recuerda ORL</v>
      </c>
      <c r="S928" s="61" t="str">
        <f ca="1">IFERROR(__xludf.DUMMYFUNCTION("""COMPUTED_VALUE"""),"03 ORL")</f>
        <v>03 ORL</v>
      </c>
      <c r="T928" s="33" t="str">
        <f ca="1">IFERROR(__xludf.DUMMYFUNCTION("""COMPUTED_VALUE"""),"06 ORL")</f>
        <v>06 ORL</v>
      </c>
      <c r="U928" s="62"/>
      <c r="W928" s="61"/>
      <c r="X928" s="62"/>
    </row>
    <row r="929" spans="2:24" ht="16">
      <c r="B929" s="67" t="str">
        <f t="shared" ca="1" si="4"/>
        <v>#N/</v>
      </c>
      <c r="C929" s="64" t="str">
        <f ca="1">IFERROR(__xludf.DUMMYFUNCTION("""COMPUTED_VALUE"""),"#N/A")</f>
        <v>#N/A</v>
      </c>
      <c r="D929" s="33" t="str">
        <f ca="1">IFERROR(__xludf.DUMMYFUNCTION("""COMPUTED_VALUE"""),"PROPIOS")</f>
        <v>PROPIOS</v>
      </c>
      <c r="E929" s="33">
        <f ca="1">IFERROR(__xludf.DUMMYFUNCTION("""COMPUTED_VALUE"""),2026)</f>
        <v>2026</v>
      </c>
      <c r="F929" s="56">
        <f ca="1">IFERROR(__xludf.DUMMYFUNCTION("""COMPUTED_VALUE"""),1)</f>
        <v>1</v>
      </c>
      <c r="G929" s="33" t="str">
        <f ca="1">IFERROR(__xludf.DUMMYFUNCTION("""COMPUTED_VALUE"""),"Madrid- Juan Bravo")</f>
        <v>Madrid- Juan Bravo</v>
      </c>
      <c r="H929" s="33" t="str">
        <f ca="1">IFERROR(__xludf.DUMMYFUNCTION("""COMPUTED_VALUE"""),"C202612812563499408")</f>
        <v>C202612812563499408</v>
      </c>
      <c r="I929" s="33" t="str">
        <f ca="1">IFERROR(__xludf.DUMMYFUNCTION("""COMPUTED_VALUE"""),"JULIAN   CEREZO MORENO")</f>
        <v>JULIAN   CEREZO MORENO</v>
      </c>
      <c r="J929" s="57">
        <f ca="1">IFERROR(__xludf.DUMMYFUNCTION("""COMPUTED_VALUE"""),46050)</f>
        <v>46050</v>
      </c>
      <c r="K929" s="33" t="str">
        <f ca="1">IFERROR(__xludf.DUMMYFUNCTION("""COMPUTED_VALUE"""),"Leve")</f>
        <v>Leve</v>
      </c>
      <c r="L929" s="57">
        <f ca="1">IFERROR(__xludf.DUMMYFUNCTION("""COMPUTED_VALUE"""),46050)</f>
        <v>46050</v>
      </c>
      <c r="M929" s="64" t="str">
        <f ca="1">IFERROR(__xludf.DUMMYFUNCTION("""COMPUTED_VALUE"""),"NO")</f>
        <v>NO</v>
      </c>
      <c r="N929" s="56">
        <f ca="1">IFERROR(__xludf.DUMMYFUNCTION("""COMPUTED_VALUE"""),0)</f>
        <v>0</v>
      </c>
      <c r="O929" s="64"/>
      <c r="P929" s="62"/>
      <c r="Q929" s="33" t="str">
        <f ca="1">IFERROR(__xludf.DUMMYFUNCTION("""COMPUTED_VALUE"""),"Maika Blázquez")</f>
        <v>Maika Blázquez</v>
      </c>
      <c r="R929" s="33" t="str">
        <f ca="1">IFERROR(__xludf.DUMMYFUNCTION("""COMPUTED_VALUE"""),"Dr, Carlos Barajas del Rosal")</f>
        <v>Dr, Carlos Barajas del Rosal</v>
      </c>
      <c r="S929" s="61" t="str">
        <f ca="1">IFERROR(__xludf.DUMMYFUNCTION("""COMPUTED_VALUE"""),"03 ORL")</f>
        <v>03 ORL</v>
      </c>
      <c r="T929" s="33" t="str">
        <f ca="1">IFERROR(__xludf.DUMMYFUNCTION("""COMPUTED_VALUE"""),"06 ORL")</f>
        <v>06 ORL</v>
      </c>
      <c r="U929" s="62"/>
      <c r="W929" s="61"/>
      <c r="X929" s="62"/>
    </row>
    <row r="930" spans="2:24" ht="16">
      <c r="B930" s="67" t="str">
        <f t="shared" ca="1" si="4"/>
        <v>#N/</v>
      </c>
      <c r="C930" s="64" t="str">
        <f ca="1">IFERROR(__xludf.DUMMYFUNCTION("""COMPUTED_VALUE"""),"#N/A")</f>
        <v>#N/A</v>
      </c>
      <c r="D930" s="33" t="str">
        <f ca="1">IFERROR(__xludf.DUMMYFUNCTION("""COMPUTED_VALUE"""),"PROPIOS")</f>
        <v>PROPIOS</v>
      </c>
      <c r="E930" s="33">
        <f ca="1">IFERROR(__xludf.DUMMYFUNCTION("""COMPUTED_VALUE"""),2026)</f>
        <v>2026</v>
      </c>
      <c r="F930" s="56">
        <f ca="1">IFERROR(__xludf.DUMMYFUNCTION("""COMPUTED_VALUE"""),3)</f>
        <v>3</v>
      </c>
      <c r="G930" s="33" t="str">
        <f ca="1">IFERROR(__xludf.DUMMYFUNCTION("""COMPUTED_VALUE"""),"Murcia")</f>
        <v>Murcia</v>
      </c>
      <c r="H930" s="33" t="str">
        <f ca="1">IFERROR(__xludf.DUMMYFUNCTION("""COMPUTED_VALUE"""),"C202631311506007583")</f>
        <v>C202631311506007583</v>
      </c>
      <c r="I930" s="33" t="str">
        <f ca="1">IFERROR(__xludf.DUMMYFUNCTION("""COMPUTED_VALUE"""),"ALEJANDRO SANTA MARIA FERNANDEZ-LUNA")</f>
        <v>ALEJANDRO SANTA MARIA FERNANDEZ-LUNA</v>
      </c>
      <c r="J930" s="57">
        <f ca="1">IFERROR(__xludf.DUMMYFUNCTION("""COMPUTED_VALUE"""),46094)</f>
        <v>46094</v>
      </c>
      <c r="K930" s="33" t="str">
        <f ca="1">IFERROR(__xludf.DUMMYFUNCTION("""COMPUTED_VALUE"""),"Leve")</f>
        <v>Leve</v>
      </c>
      <c r="L930" s="57">
        <f ca="1">IFERROR(__xludf.DUMMYFUNCTION("""COMPUTED_VALUE"""),46094)</f>
        <v>46094</v>
      </c>
      <c r="M930" s="64" t="str">
        <f ca="1">IFERROR(__xludf.DUMMYFUNCTION("""COMPUTED_VALUE"""),"NO")</f>
        <v>NO</v>
      </c>
      <c r="N930" s="56">
        <f ca="1">IFERROR(__xludf.DUMMYFUNCTION("""COMPUTED_VALUE"""),0)</f>
        <v>0</v>
      </c>
      <c r="O930" s="64"/>
      <c r="P930" s="62"/>
      <c r="Q930" s="33" t="str">
        <f ca="1">IFERROR(__xludf.DUMMYFUNCTION("""COMPUTED_VALUE"""),"Iván Sánchez")</f>
        <v>Iván Sánchez</v>
      </c>
      <c r="R930" s="33" t="str">
        <f ca="1">IFERROR(__xludf.DUMMYFUNCTION("""COMPUTED_VALUE"""),"Dra, María Agustina Sevilla García")</f>
        <v>Dra, María Agustina Sevilla García</v>
      </c>
      <c r="S930" s="61" t="str">
        <f ca="1">IFERROR(__xludf.DUMMYFUNCTION("""COMPUTED_VALUE"""),"03 ORL")</f>
        <v>03 ORL</v>
      </c>
      <c r="T930" s="33" t="str">
        <f ca="1">IFERROR(__xludf.DUMMYFUNCTION("""COMPUTED_VALUE"""),"06 ORL")</f>
        <v>06 ORL</v>
      </c>
      <c r="U930" s="62"/>
      <c r="W930" s="61"/>
      <c r="X930" s="62"/>
    </row>
    <row r="931" spans="2:24" ht="16">
      <c r="B931" s="67" t="str">
        <f t="shared" ca="1" si="4"/>
        <v>#N/</v>
      </c>
      <c r="C931" s="64" t="str">
        <f ca="1">IFERROR(__xludf.DUMMYFUNCTION("""COMPUTED_VALUE"""),"#N/A")</f>
        <v>#N/A</v>
      </c>
      <c r="D931" s="33" t="str">
        <f ca="1">IFERROR(__xludf.DUMMYFUNCTION("""COMPUTED_VALUE"""),"PROPIOS")</f>
        <v>PROPIOS</v>
      </c>
      <c r="E931" s="33">
        <f ca="1">IFERROR(__xludf.DUMMYFUNCTION("""COMPUTED_VALUE"""),2026)</f>
        <v>2026</v>
      </c>
      <c r="F931" s="56">
        <f ca="1">IFERROR(__xludf.DUMMYFUNCTION("""COMPUTED_VALUE"""),3)</f>
        <v>3</v>
      </c>
      <c r="G931" s="33" t="str">
        <f ca="1">IFERROR(__xludf.DUMMYFUNCTION("""COMPUTED_VALUE"""),"Murcia")</f>
        <v>Murcia</v>
      </c>
      <c r="H931" s="33" t="str">
        <f ca="1">IFERROR(__xludf.DUMMYFUNCTION("""COMPUTED_VALUE"""),"C20263911821215672")</f>
        <v>C20263911821215672</v>
      </c>
      <c r="I931" s="33" t="str">
        <f ca="1">IFERROR(__xludf.DUMMYFUNCTION("""COMPUTED_VALUE"""),"CLAUDIO ENRIQUE MAYER")</f>
        <v>CLAUDIO ENRIQUE MAYER</v>
      </c>
      <c r="J931" s="57">
        <f ca="1">IFERROR(__xludf.DUMMYFUNCTION("""COMPUTED_VALUE"""),46090)</f>
        <v>46090</v>
      </c>
      <c r="K931" s="33" t="str">
        <f ca="1">IFERROR(__xludf.DUMMYFUNCTION("""COMPUTED_VALUE"""),"Leve")</f>
        <v>Leve</v>
      </c>
      <c r="L931" s="57">
        <f ca="1">IFERROR(__xludf.DUMMYFUNCTION("""COMPUTED_VALUE"""),46090)</f>
        <v>46090</v>
      </c>
      <c r="M931" s="64" t="str">
        <f ca="1">IFERROR(__xludf.DUMMYFUNCTION("""COMPUTED_VALUE"""),"NO")</f>
        <v>NO</v>
      </c>
      <c r="N931" s="56">
        <f ca="1">IFERROR(__xludf.DUMMYFUNCTION("""COMPUTED_VALUE"""),0)</f>
        <v>0</v>
      </c>
      <c r="O931" s="64"/>
      <c r="P931" s="62"/>
      <c r="Q931" s="33" t="str">
        <f ca="1">IFERROR(__xludf.DUMMYFUNCTION("""COMPUTED_VALUE"""),"Iván Sánchez")</f>
        <v>Iván Sánchez</v>
      </c>
      <c r="R931" s="33" t="str">
        <f ca="1">IFERROR(__xludf.DUMMYFUNCTION("""COMPUTED_VALUE"""),"Dra, María Teresa Almela Rojo")</f>
        <v>Dra, María Teresa Almela Rojo</v>
      </c>
      <c r="S931" s="61" t="str">
        <f ca="1">IFERROR(__xludf.DUMMYFUNCTION("""COMPUTED_VALUE"""),"03 ORL")</f>
        <v>03 ORL</v>
      </c>
      <c r="T931" s="33" t="str">
        <f ca="1">IFERROR(__xludf.DUMMYFUNCTION("""COMPUTED_VALUE"""),"06 ORL")</f>
        <v>06 ORL</v>
      </c>
      <c r="U931" s="62"/>
      <c r="W931" s="61"/>
      <c r="X931" s="62"/>
    </row>
    <row r="932" spans="2:24" ht="16">
      <c r="B932" s="67" t="str">
        <f t="shared" ca="1" si="4"/>
        <v>#N/</v>
      </c>
      <c r="C932" s="64" t="str">
        <f ca="1">IFERROR(__xludf.DUMMYFUNCTION("""COMPUTED_VALUE"""),"#N/A")</f>
        <v>#N/A</v>
      </c>
      <c r="D932" s="33" t="str">
        <f ca="1">IFERROR(__xludf.DUMMYFUNCTION("""COMPUTED_VALUE"""),"PROPIOS")</f>
        <v>PROPIOS</v>
      </c>
      <c r="E932" s="33">
        <f ca="1">IFERROR(__xludf.DUMMYFUNCTION("""COMPUTED_VALUE"""),2026)</f>
        <v>2026</v>
      </c>
      <c r="F932" s="56">
        <f ca="1">IFERROR(__xludf.DUMMYFUNCTION("""COMPUTED_VALUE"""),1)</f>
        <v>1</v>
      </c>
      <c r="G932" s="33" t="str">
        <f ca="1">IFERROR(__xludf.DUMMYFUNCTION("""COMPUTED_VALUE"""),"Orihuela")</f>
        <v>Orihuela</v>
      </c>
      <c r="H932" s="33" t="str">
        <f ca="1">IFERROR(__xludf.DUMMYFUNCTION("""COMPUTED_VALUE"""),"C202612910485471241")</f>
        <v>C202612910485471241</v>
      </c>
      <c r="I932" s="33" t="str">
        <f ca="1">IFERROR(__xludf.DUMMYFUNCTION("""COMPUTED_VALUE"""),"VYTAUTAS VASILIAUSKAS")</f>
        <v>VYTAUTAS VASILIAUSKAS</v>
      </c>
      <c r="J932" s="57">
        <f ca="1">IFERROR(__xludf.DUMMYFUNCTION("""COMPUTED_VALUE"""),46051)</f>
        <v>46051</v>
      </c>
      <c r="K932" s="33" t="str">
        <f ca="1">IFERROR(__xludf.DUMMYFUNCTION("""COMPUTED_VALUE"""),"Leve")</f>
        <v>Leve</v>
      </c>
      <c r="L932" s="57">
        <f ca="1">IFERROR(__xludf.DUMMYFUNCTION("""COMPUTED_VALUE"""),46051)</f>
        <v>46051</v>
      </c>
      <c r="M932" s="64" t="str">
        <f ca="1">IFERROR(__xludf.DUMMYFUNCTION("""COMPUTED_VALUE"""),"NO")</f>
        <v>NO</v>
      </c>
      <c r="N932" s="56">
        <f ca="1">IFERROR(__xludf.DUMMYFUNCTION("""COMPUTED_VALUE"""),0)</f>
        <v>0</v>
      </c>
      <c r="O932" s="64"/>
      <c r="P932" s="62"/>
      <c r="Q932" s="33" t="str">
        <f ca="1">IFERROR(__xludf.DUMMYFUNCTION("""COMPUTED_VALUE"""),"Iván Sánchez")</f>
        <v>Iván Sánchez</v>
      </c>
      <c r="R932" s="33" t="str">
        <f ca="1">IFERROR(__xludf.DUMMYFUNCTION("""COMPUTED_VALUE"""),"Dr, Juan Javier Álvarez López")</f>
        <v>Dr, Juan Javier Álvarez López</v>
      </c>
      <c r="S932" s="61" t="str">
        <f ca="1">IFERROR(__xludf.DUMMYFUNCTION("""COMPUTED_VALUE"""),"03 ORL")</f>
        <v>03 ORL</v>
      </c>
      <c r="T932" s="33" t="str">
        <f ca="1">IFERROR(__xludf.DUMMYFUNCTION("""COMPUTED_VALUE"""),"06 ORL")</f>
        <v>06 ORL</v>
      </c>
      <c r="U932" s="62"/>
      <c r="W932" s="61"/>
      <c r="X932" s="62"/>
    </row>
    <row r="933" spans="2:24" ht="16">
      <c r="B933" s="67" t="str">
        <f t="shared" ca="1" si="4"/>
        <v>#N/</v>
      </c>
      <c r="C933" s="64" t="str">
        <f ca="1">IFERROR(__xludf.DUMMYFUNCTION("""COMPUTED_VALUE"""),"#N/A")</f>
        <v>#N/A</v>
      </c>
      <c r="D933" s="33" t="str">
        <f ca="1">IFERROR(__xludf.DUMMYFUNCTION("""COMPUTED_VALUE"""),"PROPIOS")</f>
        <v>PROPIOS</v>
      </c>
      <c r="E933" s="33">
        <f ca="1">IFERROR(__xludf.DUMMYFUNCTION("""COMPUTED_VALUE"""),2026)</f>
        <v>2026</v>
      </c>
      <c r="F933" s="56">
        <f ca="1">IFERROR(__xludf.DUMMYFUNCTION("""COMPUTED_VALUE"""),1)</f>
        <v>1</v>
      </c>
      <c r="G933" s="33" t="str">
        <f ca="1">IFERROR(__xludf.DUMMYFUNCTION("""COMPUTED_VALUE"""),"Torrejón de Ardoz")</f>
        <v>Torrejón de Ardoz</v>
      </c>
      <c r="H933" s="33" t="str">
        <f ca="1">IFERROR(__xludf.DUMMYFUNCTION("""COMPUTED_VALUE"""),"C202611910485555732")</f>
        <v>C202611910485555732</v>
      </c>
      <c r="I933" s="33" t="str">
        <f ca="1">IFERROR(__xludf.DUMMYFUNCTION("""COMPUTED_VALUE"""),"MANUEL ANDRADES MEDINA")</f>
        <v>MANUEL ANDRADES MEDINA</v>
      </c>
      <c r="J933" s="57">
        <f ca="1">IFERROR(__xludf.DUMMYFUNCTION("""COMPUTED_VALUE"""),46041)</f>
        <v>46041</v>
      </c>
      <c r="K933" s="33" t="str">
        <f ca="1">IFERROR(__xludf.DUMMYFUNCTION("""COMPUTED_VALUE"""),"Leve")</f>
        <v>Leve</v>
      </c>
      <c r="L933" s="57">
        <f ca="1">IFERROR(__xludf.DUMMYFUNCTION("""COMPUTED_VALUE"""),46041)</f>
        <v>46041</v>
      </c>
      <c r="M933" s="64" t="str">
        <f ca="1">IFERROR(__xludf.DUMMYFUNCTION("""COMPUTED_VALUE"""),"NO")</f>
        <v>NO</v>
      </c>
      <c r="N933" s="56">
        <f ca="1">IFERROR(__xludf.DUMMYFUNCTION("""COMPUTED_VALUE"""),0)</f>
        <v>0</v>
      </c>
      <c r="O933" s="64"/>
      <c r="P933" s="62"/>
      <c r="Q933" s="33" t="str">
        <f ca="1">IFERROR(__xludf.DUMMYFUNCTION("""COMPUTED_VALUE"""),"Maika Blázquez")</f>
        <v>Maika Blázquez</v>
      </c>
      <c r="R933" s="33" t="str">
        <f ca="1">IFERROR(__xludf.DUMMYFUNCTION("""COMPUTED_VALUE"""),"Dra, Marta Abad Pascual")</f>
        <v>Dra, Marta Abad Pascual</v>
      </c>
      <c r="S933" s="61" t="str">
        <f ca="1">IFERROR(__xludf.DUMMYFUNCTION("""COMPUTED_VALUE"""),"03 ORL")</f>
        <v>03 ORL</v>
      </c>
      <c r="T933" s="33" t="str">
        <f ca="1">IFERROR(__xludf.DUMMYFUNCTION("""COMPUTED_VALUE"""),"06 ORL")</f>
        <v>06 ORL</v>
      </c>
      <c r="U933" s="62"/>
      <c r="W933" s="61"/>
      <c r="X933" s="62"/>
    </row>
    <row r="934" spans="2:24" ht="16">
      <c r="B934" s="67" t="str">
        <f t="shared" ca="1" si="4"/>
        <v>#N/</v>
      </c>
      <c r="C934" s="64" t="str">
        <f ca="1">IFERROR(__xludf.DUMMYFUNCTION("""COMPUTED_VALUE"""),"#N/A")</f>
        <v>#N/A</v>
      </c>
      <c r="D934" s="33" t="str">
        <f ca="1">IFERROR(__xludf.DUMMYFUNCTION("""COMPUTED_VALUE"""),"PROPIOS")</f>
        <v>PROPIOS</v>
      </c>
      <c r="E934" s="33">
        <f ca="1">IFERROR(__xludf.DUMMYFUNCTION("""COMPUTED_VALUE"""),2026)</f>
        <v>2026</v>
      </c>
      <c r="F934" s="56">
        <f ca="1">IFERROR(__xludf.DUMMYFUNCTION("""COMPUTED_VALUE"""),2)</f>
        <v>2</v>
      </c>
      <c r="G934" s="33" t="str">
        <f ca="1">IFERROR(__xludf.DUMMYFUNCTION("""COMPUTED_VALUE"""),"Valencia- Cádiz")</f>
        <v>Valencia- Cádiz</v>
      </c>
      <c r="H934" s="33" t="str">
        <f ca="1">IFERROR(__xludf.DUMMYFUNCTION("""COMPUTED_VALUE"""),"C20262614197979615")</f>
        <v>C20262614197979615</v>
      </c>
      <c r="I934" s="33" t="str">
        <f ca="1">IFERROR(__xludf.DUMMYFUNCTION("""COMPUTED_VALUE"""),"JOSE LUIS MARTINEZ NAVARRETE")</f>
        <v>JOSE LUIS MARTINEZ NAVARRETE</v>
      </c>
      <c r="J934" s="57">
        <f ca="1">IFERROR(__xludf.DUMMYFUNCTION("""COMPUTED_VALUE"""),46059)</f>
        <v>46059</v>
      </c>
      <c r="K934" s="33" t="str">
        <f ca="1">IFERROR(__xludf.DUMMYFUNCTION("""COMPUTED_VALUE"""),"Leve")</f>
        <v>Leve</v>
      </c>
      <c r="L934" s="57">
        <f ca="1">IFERROR(__xludf.DUMMYFUNCTION("""COMPUTED_VALUE"""),46059)</f>
        <v>46059</v>
      </c>
      <c r="M934" s="64" t="str">
        <f ca="1">IFERROR(__xludf.DUMMYFUNCTION("""COMPUTED_VALUE"""),"NO")</f>
        <v>NO</v>
      </c>
      <c r="N934" s="56">
        <f ca="1">IFERROR(__xludf.DUMMYFUNCTION("""COMPUTED_VALUE"""),0)</f>
        <v>0</v>
      </c>
      <c r="O934" s="64"/>
      <c r="P934" s="62"/>
      <c r="Q934" s="33" t="str">
        <f ca="1">IFERROR(__xludf.DUMMYFUNCTION("""COMPUTED_VALUE"""),"Ramon Ferrando")</f>
        <v>Ramon Ferrando</v>
      </c>
      <c r="R934" s="33" t="str">
        <f ca="1">IFERROR(__xludf.DUMMYFUNCTION("""COMPUTED_VALUE"""),"Dr, Luis Martínez Bernabeu")</f>
        <v>Dr, Luis Martínez Bernabeu</v>
      </c>
      <c r="S934" s="61" t="str">
        <f ca="1">IFERROR(__xludf.DUMMYFUNCTION("""COMPUTED_VALUE"""),"03 ORL")</f>
        <v>03 ORL</v>
      </c>
      <c r="T934" s="33" t="str">
        <f ca="1">IFERROR(__xludf.DUMMYFUNCTION("""COMPUTED_VALUE"""),"06 ORL")</f>
        <v>06 ORL</v>
      </c>
      <c r="U934" s="62"/>
      <c r="W934" s="61"/>
      <c r="X934" s="62"/>
    </row>
    <row r="935" spans="2:24" ht="16">
      <c r="B935" s="67" t="str">
        <f t="shared" ca="1" si="4"/>
        <v>#N/</v>
      </c>
      <c r="C935" s="64" t="str">
        <f ca="1">IFERROR(__xludf.DUMMYFUNCTION("""COMPUTED_VALUE"""),"#N/A")</f>
        <v>#N/A</v>
      </c>
      <c r="D935" s="33" t="str">
        <f ca="1">IFERROR(__xludf.DUMMYFUNCTION("""COMPUTED_VALUE"""),"PROPIOS")</f>
        <v>PROPIOS</v>
      </c>
      <c r="E935" s="33">
        <f ca="1">IFERROR(__xludf.DUMMYFUNCTION("""COMPUTED_VALUE"""),2026)</f>
        <v>2026</v>
      </c>
      <c r="F935" s="56">
        <f ca="1">IFERROR(__xludf.DUMMYFUNCTION("""COMPUTED_VALUE"""),3)</f>
        <v>3</v>
      </c>
      <c r="G935" s="33" t="str">
        <f ca="1">IFERROR(__xludf.DUMMYFUNCTION("""COMPUTED_VALUE"""),"Sevilla- Montoto")</f>
        <v>Sevilla- Montoto</v>
      </c>
      <c r="H935" s="33" t="str">
        <f ca="1">IFERROR(__xludf.DUMMYFUNCTION("""COMPUTED_VALUE"""),"C202631910395406201")</f>
        <v>C202631910395406201</v>
      </c>
      <c r="I935" s="33" t="str">
        <f ca="1">IFERROR(__xludf.DUMMYFUNCTION("""COMPUTED_VALUE"""),"MARIA MORILLO ALES")</f>
        <v>MARIA MORILLO ALES</v>
      </c>
      <c r="J935" s="57">
        <f ca="1">IFERROR(__xludf.DUMMYFUNCTION("""COMPUTED_VALUE"""),46100)</f>
        <v>46100</v>
      </c>
      <c r="K935" s="33" t="str">
        <f ca="1">IFERROR(__xludf.DUMMYFUNCTION("""COMPUTED_VALUE"""),"Leve")</f>
        <v>Leve</v>
      </c>
      <c r="L935" s="57">
        <f ca="1">IFERROR(__xludf.DUMMYFUNCTION("""COMPUTED_VALUE"""),46100)</f>
        <v>46100</v>
      </c>
      <c r="M935" s="64" t="str">
        <f ca="1">IFERROR(__xludf.DUMMYFUNCTION("""COMPUTED_VALUE"""),"NO")</f>
        <v>NO</v>
      </c>
      <c r="N935" s="56">
        <f ca="1">IFERROR(__xludf.DUMMYFUNCTION("""COMPUTED_VALUE"""),0)</f>
        <v>0</v>
      </c>
      <c r="O935" s="64"/>
      <c r="P935" s="62"/>
      <c r="Q935" s="33" t="str">
        <f ca="1">IFERROR(__xludf.DUMMYFUNCTION("""COMPUTED_VALUE"""),"Luis Alberto Rodríguez")</f>
        <v>Luis Alberto Rodríguez</v>
      </c>
      <c r="R935" s="33" t="str">
        <f ca="1">IFERROR(__xludf.DUMMYFUNCTION("""COMPUTED_VALUE"""),"Dr, Francisco López Navas")</f>
        <v>Dr, Francisco López Navas</v>
      </c>
      <c r="S935" s="61" t="str">
        <f ca="1">IFERROR(__xludf.DUMMYFUNCTION("""COMPUTED_VALUE"""),"03 ORL")</f>
        <v>03 ORL</v>
      </c>
      <c r="T935" s="33" t="str">
        <f ca="1">IFERROR(__xludf.DUMMYFUNCTION("""COMPUTED_VALUE"""),"06 ORL")</f>
        <v>06 ORL</v>
      </c>
      <c r="U935" s="62"/>
      <c r="W935" s="61"/>
      <c r="X935" s="62"/>
    </row>
    <row r="936" spans="2:24" ht="16">
      <c r="B936" s="67" t="str">
        <f t="shared" si="4"/>
        <v/>
      </c>
      <c r="C936" s="64"/>
      <c r="D936" s="33"/>
      <c r="E936" s="33"/>
      <c r="F936" s="56"/>
      <c r="G936" s="33"/>
      <c r="H936" s="33"/>
      <c r="I936" s="33"/>
      <c r="J936" s="57"/>
      <c r="K936" s="33"/>
      <c r="L936" s="57"/>
      <c r="M936" s="64"/>
      <c r="N936" s="56"/>
      <c r="O936" s="64"/>
      <c r="P936" s="62"/>
      <c r="Q936" s="33"/>
      <c r="R936" s="33"/>
      <c r="S936" s="61"/>
      <c r="T936" s="33"/>
      <c r="U936" s="62"/>
      <c r="W936" s="61"/>
      <c r="X936" s="62"/>
    </row>
    <row r="937" spans="2:24" ht="16">
      <c r="B937" s="67" t="str">
        <f t="shared" si="4"/>
        <v/>
      </c>
      <c r="C937" s="64"/>
      <c r="D937" s="33"/>
      <c r="E937" s="33"/>
      <c r="F937" s="56"/>
      <c r="G937" s="33"/>
      <c r="H937" s="33"/>
      <c r="I937" s="33"/>
      <c r="J937" s="57"/>
      <c r="K937" s="33"/>
      <c r="L937" s="57"/>
      <c r="M937" s="64"/>
      <c r="N937" s="56"/>
      <c r="O937" s="64"/>
      <c r="P937" s="62"/>
      <c r="Q937" s="33"/>
      <c r="R937" s="33"/>
      <c r="S937" s="61"/>
      <c r="T937" s="33"/>
      <c r="U937" s="62"/>
      <c r="W937" s="61"/>
      <c r="X937" s="62"/>
    </row>
    <row r="938" spans="2:24" ht="16">
      <c r="B938" s="67" t="str">
        <f t="shared" si="4"/>
        <v/>
      </c>
      <c r="C938" s="64"/>
      <c r="D938" s="33"/>
      <c r="E938" s="33"/>
      <c r="F938" s="56"/>
      <c r="G938" s="33"/>
      <c r="H938" s="33"/>
      <c r="I938" s="33"/>
      <c r="J938" s="57"/>
      <c r="K938" s="33"/>
      <c r="L938" s="57"/>
      <c r="M938" s="64"/>
      <c r="N938" s="56"/>
      <c r="O938" s="64"/>
      <c r="P938" s="62"/>
      <c r="Q938" s="33"/>
      <c r="R938" s="33"/>
      <c r="S938" s="61"/>
      <c r="T938" s="33"/>
      <c r="U938" s="62"/>
      <c r="W938" s="61"/>
      <c r="X938" s="62"/>
    </row>
    <row r="939" spans="2:24" ht="16">
      <c r="B939" s="67" t="str">
        <f t="shared" si="4"/>
        <v/>
      </c>
      <c r="C939" s="64"/>
      <c r="D939" s="33"/>
      <c r="E939" s="33"/>
      <c r="F939" s="56"/>
      <c r="G939" s="33"/>
      <c r="H939" s="33"/>
      <c r="I939" s="33"/>
      <c r="J939" s="57"/>
      <c r="K939" s="33"/>
      <c r="L939" s="57"/>
      <c r="M939" s="64"/>
      <c r="N939" s="56"/>
      <c r="O939" s="64"/>
      <c r="P939" s="62"/>
      <c r="Q939" s="33"/>
      <c r="R939" s="33"/>
      <c r="S939" s="61"/>
      <c r="T939" s="33"/>
      <c r="U939" s="62"/>
      <c r="W939" s="61"/>
      <c r="X939" s="62"/>
    </row>
    <row r="940" spans="2:24" ht="16">
      <c r="B940" s="67" t="str">
        <f t="shared" si="4"/>
        <v/>
      </c>
      <c r="C940" s="64"/>
      <c r="D940" s="33"/>
      <c r="E940" s="33"/>
      <c r="F940" s="56"/>
      <c r="G940" s="33"/>
      <c r="H940" s="33"/>
      <c r="I940" s="33"/>
      <c r="J940" s="57"/>
      <c r="K940" s="33"/>
      <c r="L940" s="57"/>
      <c r="M940" s="64"/>
      <c r="N940" s="56"/>
      <c r="O940" s="64"/>
      <c r="P940" s="62"/>
      <c r="Q940" s="33"/>
      <c r="R940" s="33"/>
      <c r="S940" s="61"/>
      <c r="T940" s="33"/>
      <c r="U940" s="62"/>
      <c r="W940" s="61"/>
      <c r="X940" s="62"/>
    </row>
    <row r="941" spans="2:24" ht="16">
      <c r="B941" s="67" t="str">
        <f t="shared" si="4"/>
        <v/>
      </c>
      <c r="C941" s="64"/>
      <c r="D941" s="33"/>
      <c r="E941" s="33"/>
      <c r="F941" s="56"/>
      <c r="G941" s="33"/>
      <c r="H941" s="33"/>
      <c r="I941" s="33"/>
      <c r="J941" s="57"/>
      <c r="K941" s="33"/>
      <c r="L941" s="57"/>
      <c r="M941" s="64"/>
      <c r="N941" s="56"/>
      <c r="O941" s="64"/>
      <c r="P941" s="62"/>
      <c r="Q941" s="33"/>
      <c r="R941" s="33"/>
      <c r="S941" s="61"/>
      <c r="T941" s="33"/>
      <c r="U941" s="62"/>
      <c r="W941" s="61"/>
      <c r="X941" s="62"/>
    </row>
    <row r="942" spans="2:24" ht="16">
      <c r="B942" s="67" t="str">
        <f t="shared" si="4"/>
        <v/>
      </c>
      <c r="C942" s="64"/>
      <c r="D942" s="33"/>
      <c r="E942" s="33"/>
      <c r="F942" s="56"/>
      <c r="G942" s="33"/>
      <c r="H942" s="33"/>
      <c r="I942" s="33"/>
      <c r="J942" s="57"/>
      <c r="K942" s="33"/>
      <c r="L942" s="57"/>
      <c r="M942" s="64"/>
      <c r="N942" s="56"/>
      <c r="O942" s="64"/>
      <c r="P942" s="62"/>
      <c r="Q942" s="33"/>
      <c r="R942" s="33"/>
      <c r="S942" s="61"/>
      <c r="T942" s="33"/>
      <c r="U942" s="62"/>
      <c r="W942" s="61"/>
      <c r="X942" s="62"/>
    </row>
    <row r="943" spans="2:24" ht="16">
      <c r="B943" s="67" t="str">
        <f t="shared" si="4"/>
        <v/>
      </c>
      <c r="C943" s="64"/>
      <c r="D943" s="33"/>
      <c r="E943" s="33"/>
      <c r="F943" s="56"/>
      <c r="G943" s="33"/>
      <c r="H943" s="33"/>
      <c r="I943" s="33"/>
      <c r="J943" s="57"/>
      <c r="K943" s="33"/>
      <c r="L943" s="57"/>
      <c r="M943" s="64"/>
      <c r="N943" s="56"/>
      <c r="O943" s="64"/>
      <c r="P943" s="62"/>
      <c r="Q943" s="33"/>
      <c r="R943" s="33"/>
      <c r="S943" s="61"/>
      <c r="T943" s="33"/>
      <c r="U943" s="62"/>
      <c r="W943" s="61"/>
      <c r="X943" s="62"/>
    </row>
    <row r="944" spans="2:24" ht="16">
      <c r="B944" s="67" t="str">
        <f t="shared" si="4"/>
        <v/>
      </c>
      <c r="C944" s="64"/>
      <c r="D944" s="33"/>
      <c r="E944" s="33"/>
      <c r="F944" s="56"/>
      <c r="G944" s="33"/>
      <c r="H944" s="33"/>
      <c r="I944" s="33"/>
      <c r="J944" s="57"/>
      <c r="K944" s="33"/>
      <c r="L944" s="57"/>
      <c r="M944" s="64"/>
      <c r="N944" s="56"/>
      <c r="O944" s="64"/>
      <c r="P944" s="62"/>
      <c r="Q944" s="33"/>
      <c r="R944" s="33"/>
      <c r="S944" s="61"/>
      <c r="T944" s="33"/>
      <c r="U944" s="62"/>
      <c r="W944" s="61"/>
      <c r="X944" s="62"/>
    </row>
    <row r="945" spans="2:24" ht="16">
      <c r="B945" s="67" t="str">
        <f t="shared" si="4"/>
        <v/>
      </c>
      <c r="C945" s="64"/>
      <c r="D945" s="33"/>
      <c r="E945" s="33"/>
      <c r="F945" s="56"/>
      <c r="G945" s="33"/>
      <c r="H945" s="33"/>
      <c r="I945" s="33"/>
      <c r="J945" s="57"/>
      <c r="K945" s="33"/>
      <c r="L945" s="57"/>
      <c r="M945" s="64"/>
      <c r="N945" s="56"/>
      <c r="O945" s="64"/>
      <c r="P945" s="62"/>
      <c r="Q945" s="33"/>
      <c r="R945" s="33"/>
      <c r="S945" s="61"/>
      <c r="T945" s="33"/>
      <c r="U945" s="62"/>
      <c r="W945" s="61"/>
      <c r="X945" s="62"/>
    </row>
    <row r="946" spans="2:24" ht="16">
      <c r="B946" s="67" t="str">
        <f t="shared" si="4"/>
        <v/>
      </c>
      <c r="C946" s="64"/>
      <c r="D946" s="33"/>
      <c r="E946" s="33"/>
      <c r="F946" s="56"/>
      <c r="G946" s="33"/>
      <c r="H946" s="33"/>
      <c r="I946" s="33"/>
      <c r="J946" s="57"/>
      <c r="K946" s="33"/>
      <c r="L946" s="57"/>
      <c r="M946" s="64"/>
      <c r="N946" s="56"/>
      <c r="O946" s="64"/>
      <c r="P946" s="62"/>
      <c r="Q946" s="33"/>
      <c r="R946" s="33"/>
      <c r="S946" s="61"/>
      <c r="T946" s="33"/>
      <c r="U946" s="62"/>
      <c r="W946" s="61"/>
      <c r="X946" s="62"/>
    </row>
    <row r="947" spans="2:24" ht="16">
      <c r="B947" s="67" t="str">
        <f t="shared" si="4"/>
        <v/>
      </c>
      <c r="C947" s="64"/>
      <c r="D947" s="33"/>
      <c r="E947" s="33"/>
      <c r="F947" s="56"/>
      <c r="G947" s="33"/>
      <c r="H947" s="33"/>
      <c r="I947" s="33"/>
      <c r="J947" s="57"/>
      <c r="K947" s="33"/>
      <c r="L947" s="57"/>
      <c r="M947" s="64"/>
      <c r="N947" s="56"/>
      <c r="O947" s="64"/>
      <c r="P947" s="62"/>
      <c r="Q947" s="33"/>
      <c r="R947" s="33"/>
      <c r="S947" s="61"/>
      <c r="T947" s="33"/>
      <c r="U947" s="62"/>
      <c r="W947" s="61"/>
      <c r="X947" s="62"/>
    </row>
    <row r="948" spans="2:24" ht="16">
      <c r="B948" s="67" t="str">
        <f t="shared" si="4"/>
        <v/>
      </c>
      <c r="C948" s="64"/>
      <c r="D948" s="33"/>
      <c r="E948" s="33"/>
      <c r="F948" s="56"/>
      <c r="G948" s="33"/>
      <c r="H948" s="33"/>
      <c r="I948" s="33"/>
      <c r="J948" s="57"/>
      <c r="K948" s="33"/>
      <c r="L948" s="57"/>
      <c r="M948" s="64"/>
      <c r="N948" s="56"/>
      <c r="O948" s="64"/>
      <c r="P948" s="62"/>
      <c r="Q948" s="33"/>
      <c r="R948" s="33"/>
      <c r="S948" s="61"/>
      <c r="T948" s="33"/>
      <c r="U948" s="62"/>
      <c r="W948" s="61"/>
      <c r="X948" s="62"/>
    </row>
    <row r="949" spans="2:24" ht="16">
      <c r="B949" s="67" t="str">
        <f t="shared" si="4"/>
        <v/>
      </c>
      <c r="C949" s="64"/>
      <c r="D949" s="33"/>
      <c r="E949" s="33"/>
      <c r="F949" s="56"/>
      <c r="G949" s="33"/>
      <c r="H949" s="33"/>
      <c r="I949" s="33"/>
      <c r="J949" s="57"/>
      <c r="K949" s="33"/>
      <c r="L949" s="57"/>
      <c r="M949" s="64"/>
      <c r="N949" s="56"/>
      <c r="O949" s="64"/>
      <c r="P949" s="62"/>
      <c r="Q949" s="33"/>
      <c r="R949" s="33"/>
      <c r="S949" s="61"/>
      <c r="T949" s="33"/>
      <c r="U949" s="62"/>
      <c r="W949" s="61"/>
      <c r="X949" s="62"/>
    </row>
    <row r="950" spans="2:24" ht="16">
      <c r="B950" s="67" t="str">
        <f t="shared" si="4"/>
        <v/>
      </c>
      <c r="C950" s="64"/>
      <c r="D950" s="33"/>
      <c r="E950" s="33"/>
      <c r="F950" s="56"/>
      <c r="G950" s="33"/>
      <c r="H950" s="33"/>
      <c r="I950" s="33"/>
      <c r="J950" s="57"/>
      <c r="K950" s="33"/>
      <c r="L950" s="57"/>
      <c r="M950" s="64"/>
      <c r="N950" s="56"/>
      <c r="O950" s="64"/>
      <c r="P950" s="62"/>
      <c r="Q950" s="33"/>
      <c r="R950" s="33"/>
      <c r="S950" s="61"/>
      <c r="T950" s="33"/>
      <c r="U950" s="62"/>
      <c r="W950" s="61"/>
      <c r="X950" s="62"/>
    </row>
    <row r="951" spans="2:24" ht="16">
      <c r="B951" s="67" t="str">
        <f t="shared" si="4"/>
        <v/>
      </c>
      <c r="C951" s="64"/>
      <c r="D951" s="33"/>
      <c r="E951" s="33"/>
      <c r="F951" s="56"/>
      <c r="G951" s="33"/>
      <c r="H951" s="33"/>
      <c r="I951" s="33"/>
      <c r="J951" s="57"/>
      <c r="K951" s="33"/>
      <c r="L951" s="57"/>
      <c r="M951" s="64"/>
      <c r="N951" s="56"/>
      <c r="O951" s="64"/>
      <c r="P951" s="62"/>
      <c r="Q951" s="33"/>
      <c r="R951" s="33"/>
      <c r="S951" s="61"/>
      <c r="T951" s="33"/>
      <c r="U951" s="62"/>
      <c r="W951" s="61"/>
      <c r="X951" s="62"/>
    </row>
    <row r="952" spans="2:24" ht="16">
      <c r="B952" s="67" t="str">
        <f t="shared" si="4"/>
        <v/>
      </c>
      <c r="C952" s="64"/>
      <c r="D952" s="33"/>
      <c r="E952" s="33"/>
      <c r="F952" s="56"/>
      <c r="G952" s="33"/>
      <c r="H952" s="33"/>
      <c r="I952" s="33"/>
      <c r="J952" s="57"/>
      <c r="K952" s="33"/>
      <c r="L952" s="57"/>
      <c r="M952" s="64"/>
      <c r="N952" s="56"/>
      <c r="O952" s="64"/>
      <c r="P952" s="62"/>
      <c r="Q952" s="33"/>
      <c r="R952" s="33"/>
      <c r="S952" s="61"/>
      <c r="T952" s="33"/>
      <c r="U952" s="62"/>
      <c r="W952" s="61"/>
      <c r="X952" s="62"/>
    </row>
    <row r="953" spans="2:24" ht="16">
      <c r="B953" s="67" t="str">
        <f t="shared" si="4"/>
        <v/>
      </c>
      <c r="C953" s="64"/>
      <c r="D953" s="33"/>
      <c r="E953" s="33"/>
      <c r="F953" s="56"/>
      <c r="G953" s="33"/>
      <c r="H953" s="33"/>
      <c r="I953" s="33"/>
      <c r="J953" s="57"/>
      <c r="K953" s="33"/>
      <c r="L953" s="57"/>
      <c r="M953" s="64"/>
      <c r="N953" s="56"/>
      <c r="O953" s="64"/>
      <c r="P953" s="62"/>
      <c r="Q953" s="33"/>
      <c r="R953" s="33"/>
      <c r="S953" s="61"/>
      <c r="T953" s="33"/>
      <c r="U953" s="62"/>
      <c r="W953" s="61"/>
      <c r="X953" s="62"/>
    </row>
    <row r="954" spans="2:24" ht="16">
      <c r="B954" s="67" t="str">
        <f t="shared" si="4"/>
        <v/>
      </c>
      <c r="C954" s="64"/>
      <c r="D954" s="33"/>
      <c r="E954" s="33"/>
      <c r="F954" s="56"/>
      <c r="G954" s="33"/>
      <c r="H954" s="33"/>
      <c r="I954" s="33"/>
      <c r="J954" s="57"/>
      <c r="K954" s="33"/>
      <c r="L954" s="57"/>
      <c r="M954" s="64"/>
      <c r="N954" s="56"/>
      <c r="O954" s="64"/>
      <c r="P954" s="62"/>
      <c r="Q954" s="33"/>
      <c r="R954" s="33"/>
      <c r="S954" s="61"/>
      <c r="T954" s="33"/>
      <c r="U954" s="62"/>
      <c r="W954" s="61"/>
      <c r="X954" s="62"/>
    </row>
    <row r="955" spans="2:24" ht="16">
      <c r="B955" s="67" t="str">
        <f t="shared" si="4"/>
        <v/>
      </c>
      <c r="C955" s="64"/>
      <c r="D955" s="33"/>
      <c r="E955" s="33"/>
      <c r="F955" s="56"/>
      <c r="G955" s="33"/>
      <c r="H955" s="33"/>
      <c r="I955" s="33"/>
      <c r="J955" s="57"/>
      <c r="K955" s="33"/>
      <c r="L955" s="57"/>
      <c r="M955" s="64"/>
      <c r="N955" s="56"/>
      <c r="O955" s="64"/>
      <c r="P955" s="62"/>
      <c r="Q955" s="33"/>
      <c r="R955" s="33"/>
      <c r="S955" s="61"/>
      <c r="T955" s="33"/>
      <c r="U955" s="62"/>
      <c r="W955" s="61"/>
      <c r="X955" s="62"/>
    </row>
    <row r="956" spans="2:24" ht="16">
      <c r="B956" s="67" t="str">
        <f t="shared" si="4"/>
        <v/>
      </c>
      <c r="C956" s="64"/>
      <c r="D956" s="33"/>
      <c r="E956" s="33"/>
      <c r="F956" s="56"/>
      <c r="G956" s="33"/>
      <c r="H956" s="33"/>
      <c r="I956" s="33"/>
      <c r="J956" s="57"/>
      <c r="K956" s="33"/>
      <c r="L956" s="57"/>
      <c r="M956" s="64"/>
      <c r="N956" s="56"/>
      <c r="O956" s="64"/>
      <c r="P956" s="62"/>
      <c r="Q956" s="33"/>
      <c r="R956" s="33"/>
      <c r="S956" s="61"/>
      <c r="T956" s="33"/>
      <c r="U956" s="62"/>
      <c r="W956" s="61"/>
      <c r="X956" s="62"/>
    </row>
    <row r="957" spans="2:24" ht="16">
      <c r="B957" s="67" t="str">
        <f t="shared" si="4"/>
        <v/>
      </c>
      <c r="C957" s="64"/>
      <c r="D957" s="33"/>
      <c r="E957" s="33"/>
      <c r="F957" s="56"/>
      <c r="G957" s="33"/>
      <c r="H957" s="33"/>
      <c r="I957" s="33"/>
      <c r="J957" s="57"/>
      <c r="K957" s="33"/>
      <c r="L957" s="57"/>
      <c r="M957" s="64"/>
      <c r="N957" s="56"/>
      <c r="O957" s="64"/>
      <c r="P957" s="62"/>
      <c r="Q957" s="33"/>
      <c r="R957" s="33"/>
      <c r="S957" s="61"/>
      <c r="T957" s="33"/>
      <c r="U957" s="62"/>
      <c r="W957" s="61"/>
      <c r="X957" s="62"/>
    </row>
    <row r="958" spans="2:24" ht="16">
      <c r="B958" s="67" t="str">
        <f t="shared" si="4"/>
        <v/>
      </c>
      <c r="C958" s="64"/>
      <c r="D958" s="33"/>
      <c r="E958" s="33"/>
      <c r="F958" s="56"/>
      <c r="G958" s="33"/>
      <c r="H958" s="33"/>
      <c r="I958" s="33"/>
      <c r="J958" s="57"/>
      <c r="K958" s="33"/>
      <c r="L958" s="57"/>
      <c r="M958" s="64"/>
      <c r="N958" s="56"/>
      <c r="O958" s="64"/>
      <c r="P958" s="62"/>
      <c r="Q958" s="33"/>
      <c r="R958" s="33"/>
      <c r="S958" s="61"/>
      <c r="T958" s="33"/>
      <c r="U958" s="62"/>
      <c r="W958" s="61"/>
      <c r="X958" s="62"/>
    </row>
    <row r="959" spans="2:24" ht="16">
      <c r="B959" s="67" t="str">
        <f t="shared" si="4"/>
        <v/>
      </c>
      <c r="C959" s="64"/>
      <c r="D959" s="33"/>
      <c r="E959" s="33"/>
      <c r="F959" s="56"/>
      <c r="G959" s="33"/>
      <c r="H959" s="33"/>
      <c r="I959" s="33"/>
      <c r="J959" s="57"/>
      <c r="K959" s="33"/>
      <c r="L959" s="57"/>
      <c r="M959" s="64"/>
      <c r="N959" s="56"/>
      <c r="O959" s="64"/>
      <c r="P959" s="62"/>
      <c r="Q959" s="33"/>
      <c r="R959" s="33"/>
      <c r="S959" s="61"/>
      <c r="T959" s="33"/>
      <c r="U959" s="62"/>
      <c r="W959" s="61"/>
      <c r="X959" s="62"/>
    </row>
    <row r="960" spans="2:24" ht="16">
      <c r="B960" s="67" t="str">
        <f t="shared" si="4"/>
        <v/>
      </c>
      <c r="C960" s="64"/>
      <c r="D960" s="33"/>
      <c r="E960" s="33"/>
      <c r="F960" s="56"/>
      <c r="G960" s="33"/>
      <c r="H960" s="33"/>
      <c r="I960" s="33"/>
      <c r="J960" s="57"/>
      <c r="K960" s="33"/>
      <c r="L960" s="57"/>
      <c r="M960" s="64"/>
      <c r="N960" s="56"/>
      <c r="O960" s="64"/>
      <c r="P960" s="62"/>
      <c r="Q960" s="33"/>
      <c r="R960" s="33"/>
      <c r="S960" s="61"/>
      <c r="T960" s="33"/>
      <c r="U960" s="62"/>
      <c r="W960" s="61"/>
      <c r="X960" s="62"/>
    </row>
    <row r="961" spans="2:31" ht="16">
      <c r="B961" s="67" t="str">
        <f t="shared" si="4"/>
        <v/>
      </c>
      <c r="C961" s="64"/>
      <c r="D961" s="33"/>
      <c r="E961" s="33"/>
      <c r="F961" s="56"/>
      <c r="G961" s="33"/>
      <c r="H961" s="33"/>
      <c r="I961" s="33"/>
      <c r="J961" s="57"/>
      <c r="K961" s="33"/>
      <c r="L961" s="57"/>
      <c r="M961" s="64"/>
      <c r="N961" s="56"/>
      <c r="O961" s="64"/>
      <c r="P961" s="62"/>
      <c r="Q961" s="33"/>
      <c r="R961" s="33"/>
      <c r="S961" s="61"/>
      <c r="T961" s="33"/>
      <c r="U961" s="62"/>
      <c r="W961" s="61"/>
      <c r="X961" s="62"/>
    </row>
    <row r="962" spans="2:31" ht="16">
      <c r="B962" s="67" t="str">
        <f t="shared" si="4"/>
        <v/>
      </c>
      <c r="C962" s="64"/>
      <c r="D962" s="33"/>
      <c r="E962" s="33"/>
      <c r="F962" s="56"/>
      <c r="G962" s="33"/>
      <c r="H962" s="33"/>
      <c r="I962" s="33"/>
      <c r="J962" s="57"/>
      <c r="K962" s="33"/>
      <c r="L962" s="57"/>
      <c r="M962" s="64"/>
      <c r="N962" s="56"/>
      <c r="O962" s="64"/>
      <c r="P962" s="62"/>
      <c r="Q962" s="33"/>
      <c r="R962" s="33"/>
      <c r="S962" s="61"/>
      <c r="T962" s="33"/>
      <c r="U962" s="62"/>
      <c r="W962" s="61"/>
      <c r="X962" s="62"/>
    </row>
    <row r="963" spans="2:31" ht="16">
      <c r="B963" s="67" t="str">
        <f t="shared" si="4"/>
        <v/>
      </c>
      <c r="C963" s="64"/>
      <c r="D963" s="33"/>
      <c r="E963" s="33"/>
      <c r="F963" s="56"/>
      <c r="G963" s="33"/>
      <c r="H963" s="33"/>
      <c r="I963" s="33"/>
      <c r="J963" s="57"/>
      <c r="K963" s="33"/>
      <c r="L963" s="57"/>
      <c r="M963" s="64"/>
      <c r="N963" s="56"/>
      <c r="O963" s="64"/>
      <c r="P963" s="62"/>
      <c r="Q963" s="33"/>
      <c r="R963" s="33"/>
      <c r="S963" s="61"/>
      <c r="T963" s="33"/>
      <c r="U963" s="62"/>
      <c r="W963" s="61"/>
      <c r="X963" s="62"/>
    </row>
    <row r="964" spans="2:31" ht="16">
      <c r="B964" s="67" t="str">
        <f t="shared" si="4"/>
        <v/>
      </c>
      <c r="C964" s="64"/>
      <c r="D964" s="33"/>
      <c r="E964" s="33"/>
      <c r="F964" s="56"/>
      <c r="G964" s="33"/>
      <c r="H964" s="33"/>
      <c r="I964" s="33"/>
      <c r="J964" s="57"/>
      <c r="K964" s="33"/>
      <c r="L964" s="57"/>
      <c r="M964" s="64"/>
      <c r="N964" s="56"/>
      <c r="O964" s="64"/>
      <c r="P964" s="62"/>
      <c r="Q964" s="33"/>
      <c r="R964" s="33"/>
      <c r="S964" s="61"/>
      <c r="T964" s="33"/>
      <c r="U964" s="62"/>
      <c r="W964" s="61"/>
      <c r="X964" s="62"/>
    </row>
    <row r="965" spans="2:31" ht="16">
      <c r="B965" s="67" t="str">
        <f t="shared" si="4"/>
        <v/>
      </c>
      <c r="C965" s="64"/>
      <c r="D965" s="33"/>
      <c r="E965" s="33"/>
      <c r="F965" s="56"/>
      <c r="G965" s="33"/>
      <c r="H965" s="33"/>
      <c r="I965" s="33"/>
      <c r="J965" s="57"/>
      <c r="K965" s="33"/>
      <c r="L965" s="57"/>
      <c r="M965" s="64"/>
      <c r="N965" s="56"/>
      <c r="O965" s="64"/>
      <c r="P965" s="62"/>
      <c r="Q965" s="33"/>
      <c r="R965" s="33"/>
      <c r="S965" s="61"/>
      <c r="T965" s="33"/>
      <c r="U965" s="62"/>
      <c r="W965" s="61"/>
      <c r="X965" s="62"/>
    </row>
    <row r="966" spans="2:31" ht="16">
      <c r="B966" s="67" t="str">
        <f t="shared" si="4"/>
        <v/>
      </c>
      <c r="C966" s="64"/>
      <c r="D966" s="33"/>
      <c r="E966" s="33"/>
      <c r="F966" s="56"/>
      <c r="G966" s="33"/>
      <c r="H966" s="33"/>
      <c r="I966" s="33"/>
      <c r="J966" s="57"/>
      <c r="K966" s="33"/>
      <c r="L966" s="57"/>
      <c r="M966" s="64"/>
      <c r="N966" s="56"/>
      <c r="O966" s="64"/>
      <c r="P966" s="62"/>
      <c r="Q966" s="33"/>
      <c r="R966" s="33"/>
      <c r="S966" s="61"/>
      <c r="T966" s="33"/>
      <c r="U966" s="62"/>
      <c r="W966" s="61"/>
      <c r="X966" s="62"/>
    </row>
    <row r="967" spans="2:31" ht="16">
      <c r="B967" s="67" t="str">
        <f t="shared" si="4"/>
        <v/>
      </c>
      <c r="C967" s="64"/>
      <c r="D967" s="33"/>
      <c r="E967" s="33"/>
      <c r="F967" s="56"/>
      <c r="G967" s="33"/>
      <c r="H967" s="33"/>
      <c r="I967" s="33"/>
      <c r="J967" s="57"/>
      <c r="K967" s="33"/>
      <c r="L967" s="57"/>
      <c r="M967" s="64"/>
      <c r="N967" s="56"/>
      <c r="O967" s="64"/>
      <c r="P967" s="62"/>
      <c r="Q967" s="33"/>
      <c r="R967" s="33"/>
      <c r="S967" s="61"/>
      <c r="T967" s="33"/>
      <c r="U967" s="62"/>
      <c r="W967" s="61"/>
      <c r="X967" s="62"/>
    </row>
    <row r="968" spans="2:31" ht="16">
      <c r="B968" s="67" t="str">
        <f t="shared" si="4"/>
        <v/>
      </c>
      <c r="C968" s="64"/>
      <c r="D968" s="33"/>
      <c r="E968" s="33"/>
      <c r="F968" s="56"/>
      <c r="G968" s="33"/>
      <c r="H968" s="33"/>
      <c r="I968" s="33"/>
      <c r="J968" s="57"/>
      <c r="K968" s="33"/>
      <c r="L968" s="57"/>
      <c r="M968" s="64"/>
      <c r="N968" s="56"/>
      <c r="O968" s="64"/>
      <c r="P968" s="62"/>
      <c r="Q968" s="33"/>
      <c r="R968" s="33"/>
      <c r="S968" s="61"/>
      <c r="T968" s="33"/>
      <c r="U968" s="62"/>
      <c r="W968" s="61"/>
      <c r="X968" s="62"/>
    </row>
    <row r="969" spans="2:31" ht="16">
      <c r="B969" s="67" t="str">
        <f t="shared" si="4"/>
        <v/>
      </c>
      <c r="C969" s="64"/>
      <c r="D969" s="33"/>
      <c r="E969" s="33"/>
      <c r="F969" s="56"/>
      <c r="G969" s="33"/>
      <c r="H969" s="33"/>
      <c r="I969" s="33"/>
      <c r="J969" s="57"/>
      <c r="K969" s="33"/>
      <c r="L969" s="57"/>
      <c r="M969" s="64"/>
      <c r="N969" s="56"/>
      <c r="O969" s="64"/>
      <c r="P969" s="62"/>
      <c r="Q969" s="33"/>
      <c r="R969" s="33"/>
      <c r="S969" s="61"/>
      <c r="T969" s="33"/>
      <c r="U969" s="62"/>
      <c r="W969" s="61"/>
      <c r="X969" s="62"/>
    </row>
    <row r="970" spans="2:31" ht="16">
      <c r="B970" s="67" t="str">
        <f t="shared" si="4"/>
        <v/>
      </c>
      <c r="C970" s="64"/>
      <c r="D970" s="33"/>
      <c r="E970" s="33"/>
      <c r="F970" s="56"/>
      <c r="G970" s="33"/>
      <c r="H970" s="33"/>
      <c r="I970" s="33"/>
      <c r="J970" s="57"/>
      <c r="K970" s="33"/>
      <c r="L970" s="57"/>
      <c r="M970" s="64"/>
      <c r="N970" s="56"/>
      <c r="O970" s="64"/>
      <c r="P970" s="62"/>
      <c r="Q970" s="33"/>
      <c r="R970" s="33"/>
      <c r="S970" s="61"/>
      <c r="T970" s="33"/>
      <c r="U970" s="62"/>
      <c r="W970" s="61"/>
      <c r="X970" s="62"/>
    </row>
    <row r="971" spans="2:31" ht="16">
      <c r="B971" s="67" t="str">
        <f t="shared" si="4"/>
        <v/>
      </c>
      <c r="C971" s="64"/>
      <c r="D971" s="33"/>
      <c r="E971" s="33"/>
      <c r="F971" s="56"/>
      <c r="G971" s="33"/>
      <c r="H971" s="33"/>
      <c r="I971" s="33"/>
      <c r="J971" s="57"/>
      <c r="K971" s="33"/>
      <c r="L971" s="57"/>
      <c r="M971" s="64"/>
      <c r="N971" s="56"/>
      <c r="O971" s="64"/>
      <c r="P971" s="62"/>
      <c r="Q971" s="33"/>
      <c r="R971" s="33"/>
      <c r="S971" s="61"/>
      <c r="T971" s="33"/>
      <c r="U971" s="62"/>
      <c r="W971" s="61"/>
      <c r="X971" s="62"/>
      <c r="AE971" s="1"/>
    </row>
    <row r="972" spans="2:31" ht="16">
      <c r="B972" s="67" t="str">
        <f t="shared" si="4"/>
        <v/>
      </c>
      <c r="C972" s="64"/>
      <c r="D972" s="33"/>
      <c r="E972" s="33"/>
      <c r="F972" s="56"/>
      <c r="G972" s="33"/>
      <c r="H972" s="33"/>
      <c r="I972" s="33"/>
      <c r="J972" s="57"/>
      <c r="K972" s="33"/>
      <c r="L972" s="57"/>
      <c r="M972" s="64"/>
      <c r="N972" s="56"/>
      <c r="O972" s="64"/>
      <c r="P972" s="62"/>
      <c r="Q972" s="33"/>
      <c r="R972" s="33"/>
      <c r="S972" s="61"/>
      <c r="T972" s="33"/>
      <c r="U972" s="62"/>
      <c r="W972" s="61"/>
      <c r="X972" s="62"/>
    </row>
    <row r="973" spans="2:31" ht="16">
      <c r="B973" s="67" t="str">
        <f t="shared" si="4"/>
        <v/>
      </c>
      <c r="C973" s="64"/>
      <c r="D973" s="33"/>
      <c r="E973" s="33"/>
      <c r="F973" s="56"/>
      <c r="G973" s="33"/>
      <c r="H973" s="33"/>
      <c r="I973" s="33"/>
      <c r="J973" s="57"/>
      <c r="K973" s="33"/>
      <c r="L973" s="57"/>
      <c r="M973" s="64"/>
      <c r="N973" s="56"/>
      <c r="O973" s="64"/>
      <c r="P973" s="62"/>
      <c r="Q973" s="33"/>
      <c r="R973" s="33"/>
      <c r="S973" s="61"/>
      <c r="T973" s="33"/>
      <c r="U973" s="62"/>
      <c r="W973" s="61"/>
      <c r="X973" s="62"/>
    </row>
    <row r="974" spans="2:31" ht="16">
      <c r="B974" s="67" t="str">
        <f t="shared" si="4"/>
        <v/>
      </c>
      <c r="C974" s="64"/>
      <c r="D974" s="33"/>
      <c r="E974" s="33"/>
      <c r="F974" s="56"/>
      <c r="G974" s="33"/>
      <c r="H974" s="33"/>
      <c r="I974" s="33"/>
      <c r="J974" s="57"/>
      <c r="K974" s="33"/>
      <c r="L974" s="57"/>
      <c r="M974" s="64"/>
      <c r="N974" s="56"/>
      <c r="O974" s="64"/>
      <c r="P974" s="62"/>
      <c r="Q974" s="33"/>
      <c r="R974" s="33"/>
      <c r="S974" s="61"/>
      <c r="T974" s="33"/>
      <c r="U974" s="62"/>
      <c r="W974" s="61"/>
      <c r="X974" s="62"/>
    </row>
    <row r="975" spans="2:31" ht="16">
      <c r="B975" s="67" t="str">
        <f t="shared" si="4"/>
        <v/>
      </c>
      <c r="C975" s="64"/>
      <c r="D975" s="33"/>
      <c r="E975" s="33"/>
      <c r="F975" s="56"/>
      <c r="G975" s="33"/>
      <c r="H975" s="33"/>
      <c r="I975" s="33"/>
      <c r="J975" s="57"/>
      <c r="K975" s="33"/>
      <c r="L975" s="57"/>
      <c r="M975" s="64"/>
      <c r="N975" s="56"/>
      <c r="O975" s="64"/>
      <c r="P975" s="62"/>
      <c r="Q975" s="33"/>
      <c r="R975" s="33"/>
      <c r="S975" s="61"/>
      <c r="T975" s="33"/>
      <c r="U975" s="62"/>
      <c r="W975" s="61"/>
      <c r="X975" s="62"/>
    </row>
    <row r="976" spans="2:31" ht="16">
      <c r="B976" s="67" t="str">
        <f t="shared" si="4"/>
        <v/>
      </c>
      <c r="C976" s="64"/>
      <c r="D976" s="33"/>
      <c r="E976" s="33"/>
      <c r="F976" s="56"/>
      <c r="G976" s="33"/>
      <c r="H976" s="33"/>
      <c r="I976" s="33"/>
      <c r="J976" s="57"/>
      <c r="K976" s="33"/>
      <c r="L976" s="57"/>
      <c r="M976" s="64"/>
      <c r="N976" s="56"/>
      <c r="O976" s="64"/>
      <c r="P976" s="62"/>
      <c r="Q976" s="33"/>
      <c r="R976" s="33"/>
      <c r="S976" s="61"/>
      <c r="T976" s="33"/>
      <c r="U976" s="62"/>
      <c r="W976" s="61"/>
      <c r="X976" s="62"/>
    </row>
    <row r="977" spans="2:24" ht="16">
      <c r="B977" s="67" t="str">
        <f t="shared" si="4"/>
        <v/>
      </c>
      <c r="C977" s="64"/>
      <c r="D977" s="33"/>
      <c r="E977" s="33"/>
      <c r="F977" s="56"/>
      <c r="G977" s="33"/>
      <c r="H977" s="33"/>
      <c r="I977" s="33"/>
      <c r="J977" s="57"/>
      <c r="K977" s="33"/>
      <c r="L977" s="57"/>
      <c r="M977" s="64"/>
      <c r="N977" s="56"/>
      <c r="O977" s="64"/>
      <c r="P977" s="62"/>
      <c r="Q977" s="33"/>
      <c r="R977" s="33"/>
      <c r="S977" s="61"/>
      <c r="T977" s="33"/>
      <c r="U977" s="62"/>
      <c r="W977" s="61"/>
      <c r="X977" s="62"/>
    </row>
    <row r="978" spans="2:24" ht="16">
      <c r="B978" s="67" t="str">
        <f t="shared" si="4"/>
        <v/>
      </c>
      <c r="C978" s="64"/>
      <c r="D978" s="33"/>
      <c r="E978" s="33"/>
      <c r="F978" s="56"/>
      <c r="G978" s="33"/>
      <c r="H978" s="33"/>
      <c r="I978" s="33"/>
      <c r="J978" s="57"/>
      <c r="K978" s="33"/>
      <c r="L978" s="57"/>
      <c r="M978" s="58"/>
      <c r="N978" s="56"/>
      <c r="O978" s="64"/>
      <c r="P978" s="62"/>
      <c r="Q978" s="33"/>
      <c r="R978" s="33"/>
      <c r="S978" s="61"/>
      <c r="T978" s="33"/>
      <c r="U978" s="62"/>
      <c r="W978" s="61"/>
      <c r="X978" s="62"/>
    </row>
    <row r="979" spans="2:24" ht="16">
      <c r="B979" s="67" t="str">
        <f t="shared" si="4"/>
        <v/>
      </c>
      <c r="C979" s="64"/>
      <c r="D979" s="33"/>
      <c r="E979" s="33"/>
      <c r="F979" s="56"/>
      <c r="G979" s="33"/>
      <c r="H979" s="33"/>
      <c r="I979" s="33"/>
      <c r="J979" s="57"/>
      <c r="K979" s="33"/>
      <c r="L979" s="57"/>
      <c r="M979" s="64"/>
      <c r="N979" s="56"/>
      <c r="O979" s="64"/>
      <c r="P979" s="62"/>
      <c r="Q979" s="33"/>
      <c r="R979" s="33"/>
      <c r="S979" s="61"/>
      <c r="T979" s="33"/>
      <c r="U979" s="62"/>
      <c r="W979" s="61"/>
      <c r="X979" s="62"/>
    </row>
    <row r="980" spans="2:24" ht="16">
      <c r="B980" s="67" t="str">
        <f t="shared" si="4"/>
        <v/>
      </c>
      <c r="C980" s="64"/>
      <c r="D980" s="33"/>
      <c r="E980" s="33"/>
      <c r="F980" s="56"/>
      <c r="G980" s="33"/>
      <c r="H980" s="33"/>
      <c r="I980" s="33"/>
      <c r="J980" s="57"/>
      <c r="K980" s="33"/>
      <c r="L980" s="57"/>
      <c r="M980" s="64"/>
      <c r="N980" s="56"/>
      <c r="O980" s="64"/>
      <c r="P980" s="62"/>
      <c r="Q980" s="33"/>
      <c r="R980" s="33"/>
      <c r="S980" s="61"/>
      <c r="T980" s="33"/>
      <c r="W980" s="61"/>
    </row>
    <row r="981" spans="2:24" ht="16">
      <c r="B981" s="67" t="str">
        <f t="shared" si="4"/>
        <v/>
      </c>
      <c r="C981" s="64"/>
      <c r="D981" s="33"/>
      <c r="E981" s="33"/>
      <c r="F981" s="56"/>
      <c r="G981" s="33"/>
      <c r="H981" s="33"/>
      <c r="I981" s="33"/>
      <c r="J981" s="57"/>
      <c r="K981" s="33"/>
      <c r="L981" s="57"/>
      <c r="M981" s="64"/>
      <c r="N981" s="56"/>
      <c r="O981" s="64"/>
      <c r="P981" s="62"/>
      <c r="Q981" s="33"/>
      <c r="R981" s="33"/>
      <c r="S981" s="61"/>
      <c r="T981" s="33"/>
      <c r="U981" s="62"/>
      <c r="W981" s="61"/>
      <c r="X981" s="62"/>
    </row>
    <row r="982" spans="2:24" ht="16">
      <c r="B982" s="67" t="str">
        <f t="shared" si="4"/>
        <v/>
      </c>
      <c r="C982" s="64"/>
      <c r="D982" s="33"/>
      <c r="E982" s="33"/>
      <c r="F982" s="56"/>
      <c r="G982" s="33"/>
      <c r="H982" s="33"/>
      <c r="I982" s="33"/>
      <c r="J982" s="57"/>
      <c r="K982" s="33"/>
      <c r="L982" s="57"/>
      <c r="M982" s="64"/>
      <c r="N982" s="56"/>
      <c r="O982" s="64"/>
      <c r="P982" s="62"/>
      <c r="Q982" s="33"/>
      <c r="R982" s="33"/>
      <c r="S982" s="61"/>
      <c r="T982" s="33"/>
      <c r="U982" s="62"/>
      <c r="W982" s="61"/>
      <c r="X982" s="62"/>
    </row>
    <row r="983" spans="2:24" ht="16">
      <c r="B983" s="67" t="str">
        <f t="shared" si="4"/>
        <v/>
      </c>
      <c r="C983" s="64"/>
      <c r="D983" s="33"/>
      <c r="E983" s="33"/>
      <c r="F983" s="56"/>
      <c r="G983" s="33"/>
      <c r="H983" s="33"/>
      <c r="I983" s="33"/>
      <c r="J983" s="57"/>
      <c r="K983" s="33"/>
      <c r="L983" s="57"/>
      <c r="M983" s="64"/>
      <c r="N983" s="56"/>
      <c r="O983" s="64"/>
      <c r="P983" s="62"/>
      <c r="Q983" s="33"/>
      <c r="R983" s="33"/>
      <c r="S983" s="61"/>
      <c r="T983" s="33"/>
      <c r="U983" s="62"/>
      <c r="W983" s="61"/>
      <c r="X983" s="62"/>
    </row>
    <row r="984" spans="2:24" ht="16">
      <c r="B984" s="67" t="str">
        <f t="shared" si="4"/>
        <v/>
      </c>
      <c r="C984" s="64"/>
      <c r="D984" s="33"/>
      <c r="E984" s="33"/>
      <c r="F984" s="56"/>
      <c r="G984" s="33"/>
      <c r="H984" s="33"/>
      <c r="I984" s="33"/>
      <c r="J984" s="57"/>
      <c r="K984" s="33"/>
      <c r="L984" s="57"/>
      <c r="M984" s="64"/>
      <c r="N984" s="56"/>
      <c r="O984" s="64"/>
      <c r="P984" s="62"/>
      <c r="Q984" s="33"/>
      <c r="R984" s="33"/>
      <c r="S984" s="61"/>
      <c r="T984" s="33"/>
      <c r="U984" s="62"/>
      <c r="W984" s="61"/>
      <c r="X984" s="62"/>
    </row>
    <row r="985" spans="2:24" ht="16">
      <c r="B985" s="67" t="str">
        <f t="shared" si="4"/>
        <v/>
      </c>
      <c r="C985" s="64"/>
      <c r="D985" s="33"/>
      <c r="E985" s="33"/>
      <c r="F985" s="56"/>
      <c r="G985" s="33"/>
      <c r="H985" s="33"/>
      <c r="I985" s="33"/>
      <c r="J985" s="57"/>
      <c r="K985" s="33"/>
      <c r="L985" s="57"/>
      <c r="M985" s="64"/>
      <c r="N985" s="56"/>
      <c r="O985" s="64"/>
      <c r="P985" s="62"/>
      <c r="Q985" s="33"/>
      <c r="R985" s="33"/>
      <c r="S985" s="61"/>
      <c r="T985" s="33"/>
      <c r="U985" s="62"/>
      <c r="W985" s="61"/>
      <c r="X985" s="62"/>
    </row>
    <row r="986" spans="2:24" ht="16">
      <c r="B986" s="67" t="str">
        <f t="shared" si="4"/>
        <v/>
      </c>
      <c r="C986" s="64"/>
      <c r="D986" s="33"/>
      <c r="E986" s="33"/>
      <c r="F986" s="56"/>
      <c r="G986" s="33"/>
      <c r="H986" s="33"/>
      <c r="I986" s="33"/>
      <c r="J986" s="57"/>
      <c r="K986" s="33"/>
      <c r="L986" s="57"/>
      <c r="M986" s="64"/>
      <c r="N986" s="56"/>
      <c r="O986" s="64"/>
      <c r="P986" s="62"/>
      <c r="Q986" s="33"/>
      <c r="R986" s="33"/>
      <c r="S986" s="61"/>
      <c r="T986" s="33"/>
      <c r="U986" s="62"/>
      <c r="W986" s="61"/>
      <c r="X986" s="62"/>
    </row>
    <row r="987" spans="2:24" ht="16">
      <c r="B987" s="67" t="str">
        <f t="shared" si="4"/>
        <v/>
      </c>
      <c r="C987" s="64"/>
      <c r="D987" s="33"/>
      <c r="E987" s="33"/>
      <c r="F987" s="56"/>
      <c r="G987" s="33"/>
      <c r="H987" s="33"/>
      <c r="I987" s="33"/>
      <c r="J987" s="57"/>
      <c r="K987" s="33"/>
      <c r="L987" s="57"/>
      <c r="M987" s="64"/>
      <c r="N987" s="56"/>
      <c r="O987" s="64"/>
      <c r="P987" s="62"/>
      <c r="Q987" s="33"/>
      <c r="R987" s="33"/>
      <c r="S987" s="61"/>
      <c r="T987" s="33"/>
      <c r="U987" s="62"/>
      <c r="W987" s="61"/>
      <c r="X987" s="62"/>
    </row>
    <row r="988" spans="2:24" ht="16">
      <c r="B988" s="67" t="str">
        <f t="shared" si="4"/>
        <v/>
      </c>
      <c r="C988" s="64"/>
      <c r="D988" s="33"/>
      <c r="E988" s="33"/>
      <c r="F988" s="56"/>
      <c r="G988" s="33"/>
      <c r="H988" s="33"/>
      <c r="I988" s="33"/>
      <c r="J988" s="57"/>
      <c r="K988" s="33"/>
      <c r="L988" s="57"/>
      <c r="M988" s="64"/>
      <c r="N988" s="56"/>
      <c r="O988" s="64"/>
      <c r="P988" s="62"/>
      <c r="Q988" s="33"/>
      <c r="R988" s="33"/>
      <c r="S988" s="61"/>
      <c r="T988" s="33"/>
      <c r="U988" s="62"/>
      <c r="W988" s="61"/>
      <c r="X988" s="62"/>
    </row>
    <row r="989" spans="2:24" ht="16">
      <c r="B989" s="67" t="str">
        <f t="shared" si="4"/>
        <v/>
      </c>
      <c r="C989" s="64"/>
      <c r="D989" s="33"/>
      <c r="E989" s="33"/>
      <c r="F989" s="56"/>
      <c r="G989" s="33"/>
      <c r="H989" s="33"/>
      <c r="I989" s="33"/>
      <c r="J989" s="57"/>
      <c r="K989" s="33"/>
      <c r="L989" s="57"/>
      <c r="M989" s="64"/>
      <c r="N989" s="56"/>
      <c r="O989" s="64"/>
      <c r="P989" s="62"/>
      <c r="Q989" s="33"/>
      <c r="R989" s="33"/>
      <c r="S989" s="61"/>
      <c r="T989" s="33"/>
      <c r="U989" s="62"/>
      <c r="W989" s="61"/>
      <c r="X989" s="62"/>
    </row>
    <row r="990" spans="2:24" ht="16">
      <c r="B990" s="67" t="str">
        <f t="shared" si="4"/>
        <v/>
      </c>
      <c r="C990" s="64"/>
      <c r="D990" s="33"/>
      <c r="E990" s="33"/>
      <c r="F990" s="56"/>
      <c r="G990" s="33"/>
      <c r="H990" s="33"/>
      <c r="I990" s="33"/>
      <c r="J990" s="57"/>
      <c r="K990" s="33"/>
      <c r="L990" s="57"/>
      <c r="M990" s="64"/>
      <c r="N990" s="56"/>
      <c r="O990" s="64"/>
      <c r="P990" s="62"/>
      <c r="Q990" s="33"/>
      <c r="R990" s="33"/>
      <c r="S990" s="61"/>
      <c r="T990" s="33"/>
      <c r="U990" s="62"/>
      <c r="W990" s="61"/>
      <c r="X990" s="62"/>
    </row>
    <row r="991" spans="2:24" ht="16">
      <c r="B991" s="67" t="str">
        <f t="shared" si="4"/>
        <v/>
      </c>
      <c r="C991" s="64"/>
      <c r="D991" s="33"/>
      <c r="E991" s="33"/>
      <c r="F991" s="56"/>
      <c r="G991" s="33"/>
      <c r="H991" s="33"/>
      <c r="I991" s="33"/>
      <c r="J991" s="57"/>
      <c r="K991" s="33"/>
      <c r="L991" s="57"/>
      <c r="M991" s="64"/>
      <c r="N991" s="56"/>
      <c r="O991" s="64"/>
      <c r="P991" s="62"/>
      <c r="Q991" s="33"/>
      <c r="R991" s="33"/>
      <c r="S991" s="61"/>
      <c r="T991" s="33"/>
      <c r="U991" s="62"/>
      <c r="W991" s="61"/>
      <c r="X991" s="62"/>
    </row>
    <row r="992" spans="2:24" ht="16">
      <c r="B992" s="67" t="str">
        <f t="shared" si="4"/>
        <v/>
      </c>
      <c r="C992" s="64"/>
      <c r="D992" s="33"/>
      <c r="E992" s="33"/>
      <c r="F992" s="56"/>
      <c r="G992" s="33"/>
      <c r="H992" s="33"/>
      <c r="I992" s="33"/>
      <c r="J992" s="57"/>
      <c r="K992" s="33"/>
      <c r="L992" s="57"/>
      <c r="M992" s="64"/>
      <c r="N992" s="56"/>
      <c r="O992" s="64"/>
      <c r="P992" s="62"/>
      <c r="Q992" s="33"/>
      <c r="R992" s="33"/>
      <c r="S992" s="61"/>
      <c r="T992" s="33"/>
      <c r="U992" s="62"/>
      <c r="W992" s="61"/>
      <c r="X992" s="62"/>
    </row>
    <row r="993" spans="2:24" ht="16">
      <c r="B993" s="67" t="str">
        <f t="shared" si="4"/>
        <v/>
      </c>
      <c r="C993" s="64"/>
      <c r="D993" s="33"/>
      <c r="E993" s="33"/>
      <c r="F993" s="56"/>
      <c r="G993" s="33"/>
      <c r="H993" s="33"/>
      <c r="I993" s="33"/>
      <c r="J993" s="57"/>
      <c r="K993" s="33"/>
      <c r="L993" s="57"/>
      <c r="M993" s="64"/>
      <c r="N993" s="56"/>
      <c r="O993" s="64"/>
      <c r="P993" s="62"/>
      <c r="Q993" s="33"/>
      <c r="R993" s="33"/>
      <c r="S993" s="61"/>
      <c r="T993" s="33"/>
      <c r="U993" s="62"/>
      <c r="W993" s="61"/>
      <c r="X993" s="62"/>
    </row>
    <row r="994" spans="2:24" ht="16">
      <c r="B994" s="67" t="str">
        <f t="shared" si="4"/>
        <v/>
      </c>
      <c r="C994" s="64"/>
      <c r="D994" s="33"/>
      <c r="E994" s="33"/>
      <c r="F994" s="56"/>
      <c r="G994" s="33"/>
      <c r="H994" s="33"/>
      <c r="I994" s="33"/>
      <c r="J994" s="57"/>
      <c r="K994" s="33"/>
      <c r="L994" s="57"/>
      <c r="M994" s="64"/>
      <c r="N994" s="56"/>
      <c r="O994" s="64"/>
      <c r="P994" s="62"/>
      <c r="Q994" s="33"/>
      <c r="R994" s="33"/>
      <c r="S994" s="61"/>
      <c r="T994" s="33"/>
      <c r="U994" s="62"/>
      <c r="W994" s="61"/>
      <c r="X994" s="62"/>
    </row>
    <row r="995" spans="2:24" ht="16">
      <c r="B995" s="67" t="str">
        <f t="shared" si="4"/>
        <v/>
      </c>
      <c r="C995" s="64"/>
      <c r="D995" s="33"/>
      <c r="E995" s="33"/>
      <c r="F995" s="56"/>
      <c r="G995" s="33"/>
      <c r="H995" s="33"/>
      <c r="I995" s="33"/>
      <c r="J995" s="57"/>
      <c r="K995" s="33"/>
      <c r="L995" s="57"/>
      <c r="M995" s="64"/>
      <c r="N995" s="56"/>
      <c r="O995" s="64"/>
      <c r="P995" s="62"/>
      <c r="Q995" s="33"/>
      <c r="R995" s="33"/>
      <c r="S995" s="61"/>
      <c r="T995" s="33"/>
      <c r="U995" s="62"/>
      <c r="W995" s="61"/>
      <c r="X995" s="62"/>
    </row>
    <row r="996" spans="2:24" ht="16">
      <c r="B996" s="67" t="str">
        <f t="shared" si="4"/>
        <v/>
      </c>
      <c r="C996" s="64"/>
      <c r="D996" s="33"/>
      <c r="E996" s="33"/>
      <c r="F996" s="56"/>
      <c r="G996" s="33"/>
      <c r="H996" s="33"/>
      <c r="I996" s="33"/>
      <c r="J996" s="57"/>
      <c r="K996" s="33"/>
      <c r="L996" s="57"/>
      <c r="M996" s="64"/>
      <c r="N996" s="56"/>
      <c r="O996" s="64"/>
      <c r="P996" s="62"/>
      <c r="Q996" s="33"/>
      <c r="R996" s="33"/>
      <c r="S996" s="61"/>
      <c r="T996" s="33"/>
      <c r="U996" s="62"/>
      <c r="W996" s="61"/>
      <c r="X996" s="62"/>
    </row>
    <row r="997" spans="2:24" ht="16">
      <c r="B997" s="67" t="str">
        <f t="shared" si="4"/>
        <v/>
      </c>
      <c r="C997" s="64"/>
      <c r="D997" s="33"/>
      <c r="E997" s="33"/>
      <c r="F997" s="56"/>
      <c r="G997" s="33"/>
      <c r="H997" s="33"/>
      <c r="I997" s="33"/>
      <c r="J997" s="57"/>
      <c r="K997" s="33"/>
      <c r="L997" s="57"/>
      <c r="M997" s="64"/>
      <c r="N997" s="56"/>
      <c r="O997" s="64"/>
      <c r="P997" s="62"/>
      <c r="Q997" s="33"/>
      <c r="R997" s="33"/>
      <c r="S997" s="61"/>
      <c r="T997" s="33"/>
      <c r="U997" s="62"/>
      <c r="W997" s="61"/>
      <c r="X997" s="62"/>
    </row>
    <row r="998" spans="2:24" ht="16">
      <c r="B998" s="67" t="str">
        <f t="shared" si="4"/>
        <v/>
      </c>
      <c r="C998" s="64"/>
      <c r="D998" s="33"/>
      <c r="E998" s="33"/>
      <c r="F998" s="56"/>
      <c r="G998" s="33"/>
      <c r="H998" s="33"/>
      <c r="I998" s="33"/>
      <c r="J998" s="57"/>
      <c r="K998" s="33"/>
      <c r="L998" s="57"/>
      <c r="M998" s="64"/>
      <c r="N998" s="56"/>
      <c r="O998" s="64"/>
      <c r="P998" s="62"/>
      <c r="Q998" s="33"/>
      <c r="R998" s="33"/>
      <c r="S998" s="61"/>
      <c r="T998" s="33"/>
      <c r="U998" s="62"/>
      <c r="W998" s="61"/>
      <c r="X998" s="62"/>
    </row>
    <row r="999" spans="2:24" ht="16">
      <c r="B999" s="67" t="str">
        <f t="shared" si="4"/>
        <v/>
      </c>
      <c r="C999" s="64"/>
      <c r="D999" s="33"/>
      <c r="E999" s="33"/>
      <c r="F999" s="56"/>
      <c r="G999" s="33"/>
      <c r="H999" s="33"/>
      <c r="I999" s="33"/>
      <c r="J999" s="57"/>
      <c r="K999" s="33"/>
      <c r="L999" s="57"/>
      <c r="M999" s="64"/>
      <c r="N999" s="56"/>
      <c r="O999" s="64"/>
      <c r="P999" s="62"/>
      <c r="Q999" s="33"/>
      <c r="R999" s="33"/>
      <c r="S999" s="61"/>
      <c r="T999" s="33"/>
      <c r="U999" s="62"/>
      <c r="W999" s="61"/>
      <c r="X999" s="62"/>
    </row>
    <row r="1000" spans="2:24" ht="16">
      <c r="B1000" s="67" t="str">
        <f t="shared" si="4"/>
        <v/>
      </c>
      <c r="C1000" s="64"/>
      <c r="D1000" s="33"/>
      <c r="E1000" s="33"/>
      <c r="F1000" s="56"/>
      <c r="G1000" s="33"/>
      <c r="H1000" s="33"/>
      <c r="I1000" s="33"/>
      <c r="J1000" s="57"/>
      <c r="K1000" s="33"/>
      <c r="L1000" s="57"/>
      <c r="M1000" s="64"/>
      <c r="N1000" s="56"/>
      <c r="O1000" s="64"/>
      <c r="P1000" s="62"/>
      <c r="Q1000" s="33"/>
      <c r="R1000" s="33"/>
      <c r="S1000" s="61"/>
      <c r="T1000" s="33"/>
      <c r="U1000" s="62"/>
      <c r="W1000" s="61"/>
      <c r="X1000" s="62"/>
    </row>
    <row r="1001" spans="2:24" ht="16">
      <c r="B1001" s="67" t="str">
        <f t="shared" si="4"/>
        <v/>
      </c>
      <c r="C1001" s="64"/>
      <c r="D1001" s="33"/>
      <c r="E1001" s="33"/>
      <c r="F1001" s="56"/>
      <c r="G1001" s="33"/>
      <c r="H1001" s="33"/>
      <c r="I1001" s="33"/>
      <c r="J1001" s="57"/>
      <c r="K1001" s="33"/>
      <c r="L1001" s="57"/>
      <c r="M1001" s="64"/>
      <c r="N1001" s="56"/>
      <c r="O1001" s="64"/>
      <c r="P1001" s="62"/>
      <c r="Q1001" s="33"/>
      <c r="R1001" s="33"/>
      <c r="S1001" s="61"/>
      <c r="T1001" s="33"/>
      <c r="U1001" s="62"/>
      <c r="W1001" s="61"/>
      <c r="X1001" s="62"/>
    </row>
    <row r="1002" spans="2:24" ht="16">
      <c r="B1002" s="67" t="str">
        <f t="shared" si="4"/>
        <v/>
      </c>
      <c r="C1002" s="64"/>
      <c r="D1002" s="33"/>
      <c r="E1002" s="33"/>
      <c r="F1002" s="56"/>
      <c r="G1002" s="33"/>
      <c r="H1002" s="33"/>
      <c r="I1002" s="33"/>
      <c r="J1002" s="57"/>
      <c r="K1002" s="33"/>
      <c r="L1002" s="57"/>
      <c r="M1002" s="64"/>
      <c r="N1002" s="56"/>
      <c r="O1002" s="64"/>
      <c r="P1002" s="62"/>
      <c r="Q1002" s="33"/>
      <c r="R1002" s="33"/>
      <c r="S1002" s="61"/>
      <c r="T1002" s="33"/>
      <c r="U1002" s="62"/>
      <c r="W1002" s="61"/>
      <c r="X1002" s="62"/>
    </row>
    <row r="1003" spans="2:24" ht="16">
      <c r="B1003" s="67" t="str">
        <f t="shared" si="4"/>
        <v/>
      </c>
      <c r="C1003" s="64"/>
      <c r="D1003" s="33"/>
      <c r="E1003" s="33"/>
      <c r="F1003" s="56"/>
      <c r="G1003" s="33"/>
      <c r="H1003" s="33"/>
      <c r="I1003" s="33"/>
      <c r="J1003" s="57"/>
      <c r="K1003" s="33"/>
      <c r="L1003" s="57"/>
      <c r="M1003" s="64"/>
      <c r="N1003" s="56"/>
      <c r="O1003" s="64"/>
      <c r="P1003" s="62"/>
      <c r="Q1003" s="33"/>
      <c r="R1003" s="33"/>
      <c r="S1003" s="61"/>
      <c r="T1003" s="33"/>
      <c r="U1003" s="62"/>
      <c r="W1003" s="61"/>
      <c r="X1003" s="62"/>
    </row>
    <row r="1004" spans="2:24" ht="16">
      <c r="B1004" s="67" t="str">
        <f t="shared" si="4"/>
        <v/>
      </c>
      <c r="C1004" s="64"/>
      <c r="D1004" s="33"/>
      <c r="E1004" s="33"/>
      <c r="F1004" s="56"/>
      <c r="G1004" s="33"/>
      <c r="H1004" s="33"/>
      <c r="I1004" s="33"/>
      <c r="J1004" s="57"/>
      <c r="K1004" s="33"/>
      <c r="L1004" s="57"/>
      <c r="M1004" s="64"/>
      <c r="N1004" s="56"/>
      <c r="O1004" s="64"/>
      <c r="P1004" s="62"/>
      <c r="Q1004" s="33"/>
      <c r="R1004" s="33"/>
      <c r="S1004" s="61"/>
      <c r="T1004" s="33"/>
      <c r="U1004" s="62"/>
      <c r="W1004" s="61"/>
      <c r="X1004" s="62"/>
    </row>
    <row r="1005" spans="2:24" ht="16">
      <c r="B1005" s="67" t="str">
        <f t="shared" si="4"/>
        <v/>
      </c>
      <c r="C1005" s="64"/>
      <c r="D1005" s="33"/>
      <c r="E1005" s="33"/>
      <c r="F1005" s="56"/>
      <c r="G1005" s="33"/>
      <c r="H1005" s="33"/>
      <c r="I1005" s="33"/>
      <c r="J1005" s="57"/>
      <c r="K1005" s="33"/>
      <c r="L1005" s="57"/>
      <c r="M1005" s="64"/>
      <c r="N1005" s="56"/>
      <c r="O1005" s="64"/>
      <c r="P1005" s="62"/>
      <c r="Q1005" s="33"/>
      <c r="R1005" s="33"/>
      <c r="S1005" s="61"/>
      <c r="T1005" s="33"/>
      <c r="U1005" s="62"/>
      <c r="W1005" s="61"/>
      <c r="X1005" s="62"/>
    </row>
    <row r="1006" spans="2:24" ht="16">
      <c r="B1006" s="67" t="str">
        <f t="shared" si="4"/>
        <v/>
      </c>
      <c r="C1006" s="64"/>
      <c r="D1006" s="33"/>
      <c r="E1006" s="33"/>
      <c r="F1006" s="56"/>
      <c r="G1006" s="33"/>
      <c r="H1006" s="33"/>
      <c r="I1006" s="33"/>
      <c r="J1006" s="57"/>
      <c r="K1006" s="33"/>
      <c r="L1006" s="57"/>
      <c r="M1006" s="64"/>
      <c r="N1006" s="56"/>
      <c r="O1006" s="64"/>
      <c r="P1006" s="62"/>
      <c r="Q1006" s="33"/>
      <c r="R1006" s="33"/>
      <c r="S1006" s="61"/>
      <c r="T1006" s="33"/>
      <c r="U1006" s="62"/>
      <c r="W1006" s="61"/>
      <c r="X1006" s="62"/>
    </row>
    <row r="1007" spans="2:24" ht="16">
      <c r="B1007" s="67" t="str">
        <f t="shared" si="4"/>
        <v/>
      </c>
      <c r="C1007" s="64"/>
      <c r="D1007" s="33"/>
      <c r="E1007" s="33"/>
      <c r="F1007" s="56"/>
      <c r="G1007" s="33"/>
      <c r="H1007" s="33"/>
      <c r="I1007" s="33"/>
      <c r="J1007" s="57"/>
      <c r="K1007" s="33"/>
      <c r="L1007" s="57"/>
      <c r="M1007" s="64"/>
      <c r="N1007" s="56"/>
      <c r="O1007" s="64"/>
      <c r="P1007" s="62"/>
      <c r="Q1007" s="33"/>
      <c r="R1007" s="33"/>
      <c r="S1007" s="61"/>
      <c r="T1007" s="33"/>
      <c r="U1007" s="62"/>
      <c r="W1007" s="61"/>
      <c r="X1007" s="62"/>
    </row>
    <row r="1008" spans="2:24" ht="16">
      <c r="B1008" s="67" t="str">
        <f t="shared" si="4"/>
        <v/>
      </c>
      <c r="C1008" s="64"/>
      <c r="D1008" s="33"/>
      <c r="E1008" s="33"/>
      <c r="F1008" s="56"/>
      <c r="G1008" s="33"/>
      <c r="H1008" s="33"/>
      <c r="I1008" s="33"/>
      <c r="J1008" s="57"/>
      <c r="K1008" s="33"/>
      <c r="L1008" s="57"/>
      <c r="M1008" s="64"/>
      <c r="N1008" s="56"/>
      <c r="O1008" s="64"/>
      <c r="P1008" s="62"/>
      <c r="Q1008" s="33"/>
      <c r="R1008" s="33"/>
      <c r="S1008" s="61"/>
      <c r="T1008" s="33"/>
      <c r="U1008" s="62"/>
      <c r="W1008" s="61"/>
      <c r="X1008" s="62"/>
    </row>
    <row r="1009" spans="2:24" ht="16">
      <c r="B1009" s="67" t="str">
        <f t="shared" si="4"/>
        <v/>
      </c>
      <c r="C1009" s="64"/>
      <c r="D1009" s="33"/>
      <c r="E1009" s="33"/>
      <c r="F1009" s="56"/>
      <c r="G1009" s="33"/>
      <c r="H1009" s="33"/>
      <c r="I1009" s="33"/>
      <c r="J1009" s="57"/>
      <c r="K1009" s="33"/>
      <c r="L1009" s="57"/>
      <c r="M1009" s="64"/>
      <c r="N1009" s="56"/>
      <c r="O1009" s="64"/>
      <c r="P1009" s="62"/>
      <c r="Q1009" s="33"/>
      <c r="R1009" s="33"/>
      <c r="S1009" s="61"/>
      <c r="T1009" s="33"/>
      <c r="U1009" s="62"/>
      <c r="W1009" s="61"/>
      <c r="X1009" s="62"/>
    </row>
    <row r="1010" spans="2:24" ht="16">
      <c r="B1010" s="67" t="str">
        <f t="shared" si="4"/>
        <v/>
      </c>
      <c r="C1010" s="64"/>
      <c r="D1010" s="33"/>
      <c r="E1010" s="33"/>
      <c r="F1010" s="56"/>
      <c r="G1010" s="33"/>
      <c r="H1010" s="33"/>
      <c r="I1010" s="33"/>
      <c r="J1010" s="57"/>
      <c r="K1010" s="33"/>
      <c r="L1010" s="57"/>
      <c r="M1010" s="64"/>
      <c r="N1010" s="56"/>
      <c r="O1010" s="64"/>
      <c r="P1010" s="62"/>
      <c r="Q1010" s="33"/>
      <c r="R1010" s="33"/>
      <c r="S1010" s="61"/>
      <c r="T1010" s="33"/>
      <c r="U1010" s="62"/>
      <c r="W1010" s="61"/>
      <c r="X1010" s="62"/>
    </row>
    <row r="1011" spans="2:24" ht="16">
      <c r="B1011" s="67" t="str">
        <f t="shared" si="4"/>
        <v/>
      </c>
      <c r="C1011" s="64"/>
      <c r="D1011" s="33"/>
      <c r="E1011" s="33"/>
      <c r="F1011" s="56"/>
      <c r="G1011" s="33"/>
      <c r="H1011" s="33"/>
      <c r="I1011" s="33"/>
      <c r="J1011" s="57"/>
      <c r="K1011" s="33"/>
      <c r="L1011" s="57"/>
      <c r="M1011" s="64"/>
      <c r="N1011" s="56"/>
      <c r="O1011" s="64"/>
      <c r="P1011" s="62"/>
      <c r="Q1011" s="33"/>
      <c r="R1011" s="33"/>
      <c r="S1011" s="61"/>
      <c r="T1011" s="33"/>
      <c r="U1011" s="62"/>
      <c r="W1011" s="61"/>
      <c r="X1011" s="62"/>
    </row>
    <row r="1012" spans="2:24" ht="16">
      <c r="B1012" s="67" t="str">
        <f t="shared" si="4"/>
        <v/>
      </c>
      <c r="C1012" s="64"/>
      <c r="D1012" s="33"/>
      <c r="E1012" s="33"/>
      <c r="F1012" s="56"/>
      <c r="G1012" s="33"/>
      <c r="H1012" s="33"/>
      <c r="I1012" s="33"/>
      <c r="J1012" s="57"/>
      <c r="K1012" s="33"/>
      <c r="L1012" s="57"/>
      <c r="M1012" s="64"/>
      <c r="N1012" s="56"/>
      <c r="O1012" s="64"/>
      <c r="P1012" s="62"/>
      <c r="Q1012" s="33"/>
      <c r="R1012" s="33"/>
      <c r="S1012" s="61"/>
      <c r="T1012" s="33"/>
      <c r="U1012" s="62"/>
      <c r="W1012" s="61"/>
      <c r="X1012" s="62"/>
    </row>
    <row r="1013" spans="2:24" ht="16">
      <c r="B1013" s="67" t="str">
        <f t="shared" si="4"/>
        <v/>
      </c>
      <c r="C1013" s="64"/>
      <c r="D1013" s="33"/>
      <c r="E1013" s="33"/>
      <c r="F1013" s="56"/>
      <c r="G1013" s="33"/>
      <c r="H1013" s="33"/>
      <c r="I1013" s="33"/>
      <c r="J1013" s="57"/>
      <c r="K1013" s="33"/>
      <c r="L1013" s="57"/>
      <c r="M1013" s="64"/>
      <c r="N1013" s="56"/>
      <c r="O1013" s="64"/>
      <c r="P1013" s="62"/>
      <c r="Q1013" s="33"/>
      <c r="R1013" s="33"/>
      <c r="S1013" s="61"/>
      <c r="T1013" s="33"/>
      <c r="U1013" s="62"/>
      <c r="W1013" s="61"/>
      <c r="X1013" s="62"/>
    </row>
    <row r="1014" spans="2:24" ht="16">
      <c r="B1014" s="67" t="str">
        <f t="shared" si="4"/>
        <v/>
      </c>
      <c r="C1014" s="64"/>
      <c r="D1014" s="33"/>
      <c r="E1014" s="33"/>
      <c r="F1014" s="56"/>
      <c r="G1014" s="33"/>
      <c r="H1014" s="33"/>
      <c r="I1014" s="33"/>
      <c r="J1014" s="57"/>
      <c r="K1014" s="33"/>
      <c r="L1014" s="57"/>
      <c r="M1014" s="64"/>
      <c r="N1014" s="56"/>
      <c r="O1014" s="64"/>
      <c r="P1014" s="62"/>
      <c r="Q1014" s="33"/>
      <c r="R1014" s="33"/>
      <c r="S1014" s="61"/>
      <c r="T1014" s="33"/>
      <c r="U1014" s="62"/>
      <c r="W1014" s="61"/>
      <c r="X1014" s="62"/>
    </row>
    <row r="1015" spans="2:24" ht="16">
      <c r="B1015" s="67" t="str">
        <f t="shared" si="4"/>
        <v/>
      </c>
      <c r="C1015" s="64"/>
      <c r="D1015" s="33"/>
      <c r="E1015" s="33"/>
      <c r="F1015" s="56"/>
      <c r="G1015" s="33"/>
      <c r="H1015" s="33"/>
      <c r="I1015" s="33"/>
      <c r="J1015" s="57"/>
      <c r="K1015" s="33"/>
      <c r="L1015" s="57"/>
      <c r="M1015" s="64"/>
      <c r="N1015" s="56"/>
      <c r="O1015" s="64"/>
      <c r="P1015" s="62"/>
      <c r="Q1015" s="33"/>
      <c r="R1015" s="33"/>
      <c r="S1015" s="61"/>
      <c r="T1015" s="33"/>
      <c r="U1015" s="62"/>
      <c r="W1015" s="61"/>
      <c r="X1015" s="62"/>
    </row>
    <row r="1016" spans="2:24" ht="16">
      <c r="B1016" s="67" t="str">
        <f t="shared" si="4"/>
        <v/>
      </c>
      <c r="C1016" s="64"/>
      <c r="D1016" s="33"/>
      <c r="E1016" s="33"/>
      <c r="F1016" s="56"/>
      <c r="G1016" s="33"/>
      <c r="H1016" s="33"/>
      <c r="I1016" s="33"/>
      <c r="J1016" s="57"/>
      <c r="K1016" s="33"/>
      <c r="L1016" s="57"/>
      <c r="M1016" s="64"/>
      <c r="N1016" s="56"/>
      <c r="O1016" s="64"/>
      <c r="P1016" s="62"/>
      <c r="Q1016" s="33"/>
      <c r="R1016" s="33"/>
      <c r="S1016" s="61"/>
      <c r="T1016" s="33"/>
      <c r="U1016" s="62"/>
      <c r="W1016" s="61"/>
      <c r="X1016" s="62"/>
    </row>
    <row r="1017" spans="2:24" ht="16">
      <c r="B1017" s="67" t="str">
        <f t="shared" si="4"/>
        <v/>
      </c>
      <c r="C1017" s="64"/>
      <c r="D1017" s="33"/>
      <c r="E1017" s="33"/>
      <c r="F1017" s="56"/>
      <c r="G1017" s="33"/>
      <c r="H1017" s="33"/>
      <c r="I1017" s="33"/>
      <c r="J1017" s="57"/>
      <c r="K1017" s="33"/>
      <c r="L1017" s="57"/>
      <c r="M1017" s="64"/>
      <c r="N1017" s="56"/>
      <c r="O1017" s="64"/>
      <c r="P1017" s="62"/>
      <c r="Q1017" s="33"/>
      <c r="R1017" s="33"/>
      <c r="S1017" s="61"/>
      <c r="T1017" s="33"/>
      <c r="U1017" s="62"/>
      <c r="W1017" s="61"/>
      <c r="X1017" s="62"/>
    </row>
    <row r="1018" spans="2:24" ht="16.5" customHeight="1">
      <c r="B1018" s="67" t="str">
        <f t="shared" si="4"/>
        <v/>
      </c>
      <c r="C1018" s="64"/>
      <c r="D1018" s="33"/>
      <c r="E1018" s="33"/>
      <c r="F1018" s="56"/>
      <c r="G1018" s="33"/>
      <c r="H1018" s="33"/>
      <c r="I1018" s="33"/>
      <c r="J1018" s="57"/>
      <c r="K1018" s="33"/>
      <c r="L1018" s="57"/>
      <c r="M1018" s="64"/>
      <c r="N1018" s="56"/>
      <c r="O1018" s="64"/>
      <c r="P1018" s="62"/>
      <c r="Q1018" s="33"/>
      <c r="R1018" s="33"/>
      <c r="S1018" s="61"/>
      <c r="T1018" s="33"/>
      <c r="U1018" s="62"/>
      <c r="W1018" s="61"/>
      <c r="X1018" s="62"/>
    </row>
    <row r="1019" spans="2:24" ht="16">
      <c r="B1019" s="67" t="str">
        <f t="shared" si="4"/>
        <v/>
      </c>
      <c r="C1019" s="64"/>
      <c r="D1019" s="33"/>
      <c r="E1019" s="33"/>
      <c r="F1019" s="56"/>
      <c r="G1019" s="33"/>
      <c r="H1019" s="33"/>
      <c r="I1019" s="33"/>
      <c r="J1019" s="57"/>
      <c r="K1019" s="33"/>
      <c r="L1019" s="57"/>
      <c r="M1019" s="64"/>
      <c r="N1019" s="56"/>
      <c r="O1019" s="64"/>
      <c r="P1019" s="62"/>
      <c r="Q1019" s="33"/>
      <c r="R1019" s="33"/>
      <c r="S1019" s="61"/>
      <c r="T1019" s="33"/>
      <c r="U1019" s="62"/>
      <c r="W1019" s="61"/>
      <c r="X1019" s="62"/>
    </row>
    <row r="1020" spans="2:24" ht="16">
      <c r="B1020" s="67" t="str">
        <f t="shared" si="4"/>
        <v/>
      </c>
      <c r="C1020" s="64"/>
      <c r="D1020" s="33"/>
      <c r="E1020" s="33"/>
      <c r="F1020" s="56"/>
      <c r="G1020" s="33"/>
      <c r="H1020" s="33"/>
      <c r="I1020" s="33"/>
      <c r="J1020" s="57"/>
      <c r="K1020" s="33"/>
      <c r="L1020" s="57"/>
      <c r="M1020" s="64"/>
      <c r="N1020" s="56"/>
      <c r="O1020" s="64"/>
      <c r="P1020" s="62"/>
      <c r="Q1020" s="33"/>
      <c r="R1020" s="33"/>
      <c r="S1020" s="61"/>
      <c r="T1020" s="33"/>
      <c r="U1020" s="62"/>
      <c r="W1020" s="61"/>
      <c r="X1020" s="62"/>
    </row>
    <row r="1021" spans="2:24" ht="16">
      <c r="B1021" s="67" t="str">
        <f t="shared" si="4"/>
        <v/>
      </c>
      <c r="C1021" s="64"/>
      <c r="D1021" s="33"/>
      <c r="E1021" s="33"/>
      <c r="F1021" s="56"/>
      <c r="G1021" s="33"/>
      <c r="H1021" s="33"/>
      <c r="I1021" s="33"/>
      <c r="J1021" s="57"/>
      <c r="K1021" s="33"/>
      <c r="L1021" s="57"/>
      <c r="M1021" s="64"/>
      <c r="N1021" s="56"/>
      <c r="O1021" s="64"/>
      <c r="P1021" s="62"/>
      <c r="Q1021" s="33"/>
      <c r="R1021" s="33"/>
      <c r="S1021" s="61"/>
      <c r="T1021" s="33"/>
      <c r="U1021" s="62"/>
      <c r="W1021" s="61"/>
      <c r="X1021" s="62"/>
    </row>
    <row r="1022" spans="2:24" ht="16">
      <c r="B1022" s="67" t="str">
        <f t="shared" si="4"/>
        <v/>
      </c>
      <c r="C1022" s="64"/>
      <c r="D1022" s="33"/>
      <c r="E1022" s="33"/>
      <c r="F1022" s="56"/>
      <c r="G1022" s="33"/>
      <c r="H1022" s="33"/>
      <c r="I1022" s="33"/>
      <c r="J1022" s="57"/>
      <c r="K1022" s="33"/>
      <c r="L1022" s="57"/>
      <c r="M1022" s="64"/>
      <c r="N1022" s="56"/>
      <c r="O1022" s="64"/>
      <c r="P1022" s="62"/>
      <c r="Q1022" s="33"/>
      <c r="R1022" s="33"/>
      <c r="S1022" s="61"/>
      <c r="T1022" s="33"/>
      <c r="U1022" s="62"/>
      <c r="W1022" s="61"/>
      <c r="X1022" s="62"/>
    </row>
    <row r="1023" spans="2:24" ht="16">
      <c r="B1023" s="67" t="str">
        <f t="shared" si="4"/>
        <v/>
      </c>
      <c r="C1023" s="64"/>
      <c r="D1023" s="33"/>
      <c r="E1023" s="33"/>
      <c r="F1023" s="56"/>
      <c r="G1023" s="33"/>
      <c r="H1023" s="33"/>
      <c r="I1023" s="33"/>
      <c r="J1023" s="57"/>
      <c r="K1023" s="33"/>
      <c r="L1023" s="57"/>
      <c r="M1023" s="64"/>
      <c r="N1023" s="56"/>
      <c r="O1023" s="64"/>
      <c r="P1023" s="62"/>
      <c r="Q1023" s="33"/>
      <c r="R1023" s="33"/>
      <c r="S1023" s="61"/>
      <c r="T1023" s="33"/>
      <c r="U1023" s="62"/>
      <c r="W1023" s="61"/>
      <c r="X1023" s="62"/>
    </row>
    <row r="1024" spans="2:24" ht="16">
      <c r="B1024" s="67" t="str">
        <f t="shared" si="4"/>
        <v/>
      </c>
      <c r="C1024" s="64"/>
      <c r="D1024" s="33"/>
      <c r="E1024" s="33"/>
      <c r="F1024" s="56"/>
      <c r="G1024" s="33"/>
      <c r="H1024" s="33"/>
      <c r="I1024" s="33"/>
      <c r="J1024" s="57"/>
      <c r="K1024" s="33"/>
      <c r="L1024" s="57"/>
      <c r="M1024" s="64"/>
      <c r="N1024" s="56"/>
      <c r="O1024" s="64"/>
      <c r="P1024" s="62"/>
      <c r="Q1024" s="33"/>
      <c r="R1024" s="33"/>
      <c r="S1024" s="61"/>
      <c r="T1024" s="33"/>
      <c r="U1024" s="62"/>
      <c r="W1024" s="61"/>
      <c r="X1024" s="62"/>
    </row>
    <row r="1025" spans="2:24" ht="16">
      <c r="B1025" s="67" t="str">
        <f t="shared" si="4"/>
        <v/>
      </c>
      <c r="C1025" s="64"/>
      <c r="D1025" s="33"/>
      <c r="E1025" s="33"/>
      <c r="F1025" s="56"/>
      <c r="G1025" s="33"/>
      <c r="H1025" s="33"/>
      <c r="I1025" s="33"/>
      <c r="J1025" s="57"/>
      <c r="K1025" s="33"/>
      <c r="L1025" s="57"/>
      <c r="M1025" s="64"/>
      <c r="N1025" s="56"/>
      <c r="O1025" s="64"/>
      <c r="P1025" s="62"/>
      <c r="Q1025" s="33"/>
      <c r="R1025" s="33"/>
      <c r="S1025" s="61"/>
      <c r="T1025" s="33"/>
      <c r="U1025" s="62"/>
      <c r="W1025" s="61"/>
      <c r="X1025" s="62"/>
    </row>
    <row r="1026" spans="2:24" ht="16">
      <c r="B1026" s="67" t="str">
        <f t="shared" si="4"/>
        <v/>
      </c>
      <c r="C1026" s="64"/>
      <c r="D1026" s="33"/>
      <c r="E1026" s="33"/>
      <c r="F1026" s="56"/>
      <c r="G1026" s="33"/>
      <c r="H1026" s="33"/>
      <c r="I1026" s="33"/>
      <c r="J1026" s="57"/>
      <c r="K1026" s="33"/>
      <c r="L1026" s="57"/>
      <c r="M1026" s="64"/>
      <c r="N1026" s="56"/>
      <c r="O1026" s="64"/>
      <c r="P1026" s="62"/>
      <c r="Q1026" s="33"/>
      <c r="R1026" s="33"/>
      <c r="S1026" s="61"/>
      <c r="T1026" s="33"/>
      <c r="U1026" s="62"/>
      <c r="W1026" s="61"/>
      <c r="X1026" s="62"/>
    </row>
    <row r="1027" spans="2:24" ht="16">
      <c r="B1027" s="67" t="str">
        <f t="shared" si="4"/>
        <v/>
      </c>
      <c r="C1027" s="64"/>
      <c r="D1027" s="33"/>
      <c r="E1027" s="33"/>
      <c r="F1027" s="56"/>
      <c r="G1027" s="33"/>
      <c r="H1027" s="33"/>
      <c r="I1027" s="33"/>
      <c r="J1027" s="57"/>
      <c r="K1027" s="33"/>
      <c r="L1027" s="57"/>
      <c r="M1027" s="64"/>
      <c r="N1027" s="56"/>
      <c r="O1027" s="64"/>
      <c r="P1027" s="62"/>
      <c r="Q1027" s="33"/>
      <c r="R1027" s="33"/>
      <c r="S1027" s="61"/>
      <c r="T1027" s="33"/>
      <c r="U1027" s="62"/>
      <c r="W1027" s="61"/>
      <c r="X1027" s="62"/>
    </row>
    <row r="1028" spans="2:24" ht="16">
      <c r="B1028" s="67" t="str">
        <f t="shared" si="4"/>
        <v/>
      </c>
      <c r="C1028" s="64"/>
      <c r="D1028" s="33"/>
      <c r="E1028" s="33"/>
      <c r="F1028" s="56"/>
      <c r="G1028" s="33"/>
      <c r="H1028" s="33"/>
      <c r="I1028" s="33"/>
      <c r="J1028" s="57"/>
      <c r="K1028" s="33"/>
      <c r="L1028" s="57"/>
      <c r="M1028" s="64"/>
      <c r="N1028" s="56"/>
      <c r="O1028" s="64"/>
      <c r="P1028" s="62"/>
      <c r="Q1028" s="33"/>
      <c r="R1028" s="33"/>
      <c r="S1028" s="61"/>
      <c r="T1028" s="33"/>
      <c r="U1028" s="62"/>
      <c r="W1028" s="61"/>
      <c r="X1028" s="62"/>
    </row>
    <row r="1029" spans="2:24" ht="16">
      <c r="B1029" s="67" t="str">
        <f t="shared" si="4"/>
        <v/>
      </c>
      <c r="C1029" s="64"/>
      <c r="D1029" s="33"/>
      <c r="E1029" s="33"/>
      <c r="F1029" s="56"/>
      <c r="G1029" s="33"/>
      <c r="H1029" s="33"/>
      <c r="I1029" s="33"/>
      <c r="J1029" s="57"/>
      <c r="K1029" s="33"/>
      <c r="L1029" s="57"/>
      <c r="M1029" s="64"/>
      <c r="N1029" s="56"/>
      <c r="O1029" s="64"/>
      <c r="P1029" s="62"/>
      <c r="Q1029" s="33"/>
      <c r="R1029" s="33"/>
      <c r="S1029" s="61"/>
      <c r="T1029" s="33"/>
      <c r="U1029" s="62"/>
      <c r="W1029" s="61"/>
      <c r="X1029" s="62"/>
    </row>
    <row r="1030" spans="2:24" ht="16">
      <c r="B1030" s="67" t="str">
        <f t="shared" si="4"/>
        <v/>
      </c>
      <c r="C1030" s="64"/>
      <c r="D1030" s="33"/>
      <c r="E1030" s="33"/>
      <c r="F1030" s="56"/>
      <c r="G1030" s="33"/>
      <c r="H1030" s="33"/>
      <c r="I1030" s="33"/>
      <c r="J1030" s="57"/>
      <c r="K1030" s="33"/>
      <c r="L1030" s="57"/>
      <c r="M1030" s="64"/>
      <c r="N1030" s="56"/>
      <c r="O1030" s="64"/>
      <c r="P1030" s="62"/>
      <c r="Q1030" s="33"/>
      <c r="R1030" s="33"/>
      <c r="S1030" s="61"/>
      <c r="T1030" s="33"/>
      <c r="U1030" s="62"/>
      <c r="W1030" s="61"/>
      <c r="X1030" s="62"/>
    </row>
    <row r="1031" spans="2:24" ht="16">
      <c r="B1031" s="67" t="str">
        <f t="shared" si="4"/>
        <v/>
      </c>
      <c r="C1031" s="64"/>
      <c r="D1031" s="33"/>
      <c r="E1031" s="33"/>
      <c r="F1031" s="56"/>
      <c r="G1031" s="33"/>
      <c r="H1031" s="33"/>
      <c r="I1031" s="33"/>
      <c r="J1031" s="57"/>
      <c r="K1031" s="33"/>
      <c r="L1031" s="57"/>
      <c r="M1031" s="64"/>
      <c r="N1031" s="56"/>
      <c r="O1031" s="64"/>
      <c r="P1031" s="62"/>
      <c r="Q1031" s="33"/>
      <c r="R1031" s="33"/>
      <c r="S1031" s="61"/>
      <c r="T1031" s="33"/>
      <c r="U1031" s="62"/>
      <c r="W1031" s="61"/>
      <c r="X1031" s="62"/>
    </row>
    <row r="1032" spans="2:24" ht="16">
      <c r="B1032" s="67" t="str">
        <f t="shared" si="4"/>
        <v/>
      </c>
      <c r="C1032" s="64"/>
      <c r="D1032" s="33"/>
      <c r="E1032" s="33"/>
      <c r="F1032" s="56"/>
      <c r="G1032" s="33"/>
      <c r="H1032" s="33"/>
      <c r="I1032" s="33"/>
      <c r="J1032" s="57"/>
      <c r="K1032" s="33"/>
      <c r="L1032" s="57"/>
      <c r="M1032" s="64"/>
      <c r="N1032" s="56"/>
      <c r="O1032" s="64"/>
      <c r="P1032" s="62"/>
      <c r="Q1032" s="33"/>
      <c r="R1032" s="33"/>
      <c r="S1032" s="61"/>
      <c r="T1032" s="33"/>
      <c r="U1032" s="62"/>
      <c r="W1032" s="61"/>
      <c r="X1032" s="62"/>
    </row>
    <row r="1033" spans="2:24" ht="16">
      <c r="B1033" s="67" t="str">
        <f t="shared" si="4"/>
        <v/>
      </c>
      <c r="C1033" s="64"/>
      <c r="D1033" s="33"/>
      <c r="E1033" s="33"/>
      <c r="F1033" s="56"/>
      <c r="G1033" s="33"/>
      <c r="H1033" s="33"/>
      <c r="I1033" s="33"/>
      <c r="J1033" s="57"/>
      <c r="K1033" s="33"/>
      <c r="L1033" s="57"/>
      <c r="M1033" s="64"/>
      <c r="N1033" s="56"/>
      <c r="O1033" s="64"/>
      <c r="P1033" s="62"/>
      <c r="Q1033" s="33"/>
      <c r="R1033" s="33"/>
      <c r="S1033" s="61"/>
      <c r="T1033" s="33"/>
      <c r="U1033" s="62"/>
      <c r="W1033" s="61"/>
      <c r="X1033" s="62"/>
    </row>
    <row r="1034" spans="2:24" ht="16">
      <c r="B1034" s="67" t="str">
        <f t="shared" si="4"/>
        <v/>
      </c>
      <c r="C1034" s="64"/>
      <c r="D1034" s="33"/>
      <c r="E1034" s="33"/>
      <c r="F1034" s="56"/>
      <c r="G1034" s="33"/>
      <c r="H1034" s="33"/>
      <c r="I1034" s="33"/>
      <c r="J1034" s="57"/>
      <c r="K1034" s="33"/>
      <c r="L1034" s="57"/>
      <c r="M1034" s="64"/>
      <c r="N1034" s="56"/>
      <c r="O1034" s="64"/>
      <c r="P1034" s="62"/>
      <c r="Q1034" s="33"/>
      <c r="R1034" s="33"/>
      <c r="S1034" s="61"/>
      <c r="T1034" s="33"/>
      <c r="U1034" s="62"/>
      <c r="W1034" s="61"/>
      <c r="X1034" s="62"/>
    </row>
    <row r="1035" spans="2:24" ht="16">
      <c r="B1035" s="67" t="str">
        <f t="shared" si="4"/>
        <v/>
      </c>
      <c r="C1035" s="64"/>
      <c r="D1035" s="33"/>
      <c r="E1035" s="33"/>
      <c r="F1035" s="56"/>
      <c r="G1035" s="33"/>
      <c r="H1035" s="33"/>
      <c r="I1035" s="33"/>
      <c r="J1035" s="57"/>
      <c r="K1035" s="33"/>
      <c r="L1035" s="57"/>
      <c r="M1035" s="64"/>
      <c r="N1035" s="56"/>
      <c r="O1035" s="64"/>
      <c r="P1035" s="62"/>
      <c r="Q1035" s="33"/>
      <c r="R1035" s="33"/>
      <c r="S1035" s="61"/>
      <c r="T1035" s="33"/>
      <c r="U1035" s="62"/>
      <c r="W1035" s="61"/>
      <c r="X1035" s="62"/>
    </row>
    <row r="1036" spans="2:24" ht="16">
      <c r="B1036" s="67" t="str">
        <f t="shared" si="4"/>
        <v/>
      </c>
      <c r="C1036" s="64"/>
      <c r="D1036" s="33"/>
      <c r="E1036" s="33"/>
      <c r="F1036" s="56"/>
      <c r="G1036" s="33"/>
      <c r="H1036" s="33"/>
      <c r="I1036" s="33"/>
      <c r="J1036" s="57"/>
      <c r="K1036" s="33"/>
      <c r="L1036" s="57"/>
      <c r="M1036" s="64"/>
      <c r="N1036" s="56"/>
      <c r="O1036" s="64"/>
      <c r="P1036" s="62"/>
      <c r="Q1036" s="33"/>
      <c r="R1036" s="33"/>
      <c r="S1036" s="61"/>
      <c r="T1036" s="33"/>
      <c r="U1036" s="62"/>
      <c r="W1036" s="61"/>
      <c r="X1036" s="62"/>
    </row>
    <row r="1037" spans="2:24" ht="16">
      <c r="B1037" s="67" t="str">
        <f t="shared" si="4"/>
        <v/>
      </c>
      <c r="C1037" s="64"/>
      <c r="D1037" s="33"/>
      <c r="E1037" s="33"/>
      <c r="F1037" s="56"/>
      <c r="G1037" s="33"/>
      <c r="H1037" s="33"/>
      <c r="I1037" s="33"/>
      <c r="J1037" s="57"/>
      <c r="K1037" s="33"/>
      <c r="L1037" s="57"/>
      <c r="M1037" s="64"/>
      <c r="N1037" s="56"/>
      <c r="O1037" s="64"/>
      <c r="P1037" s="62"/>
      <c r="Q1037" s="33"/>
      <c r="R1037" s="33"/>
      <c r="S1037" s="61"/>
      <c r="T1037" s="33"/>
      <c r="U1037" s="62"/>
      <c r="W1037" s="61"/>
      <c r="X1037" s="62"/>
    </row>
    <row r="1038" spans="2:24" ht="16">
      <c r="B1038" s="67" t="str">
        <f t="shared" si="4"/>
        <v/>
      </c>
      <c r="C1038" s="64"/>
      <c r="D1038" s="33"/>
      <c r="E1038" s="33"/>
      <c r="F1038" s="56"/>
      <c r="G1038" s="33"/>
      <c r="H1038" s="33"/>
      <c r="I1038" s="33"/>
      <c r="J1038" s="57"/>
      <c r="K1038" s="33"/>
      <c r="L1038" s="57"/>
      <c r="M1038" s="64"/>
      <c r="N1038" s="56"/>
      <c r="O1038" s="64"/>
      <c r="P1038" s="62"/>
      <c r="Q1038" s="33"/>
      <c r="R1038" s="33"/>
      <c r="S1038" s="61"/>
      <c r="T1038" s="33"/>
      <c r="U1038" s="62"/>
      <c r="W1038" s="61"/>
      <c r="X1038" s="62"/>
    </row>
    <row r="1039" spans="2:24" ht="16">
      <c r="B1039" s="67" t="str">
        <f t="shared" si="4"/>
        <v/>
      </c>
      <c r="C1039" s="64"/>
      <c r="D1039" s="33"/>
      <c r="E1039" s="33"/>
      <c r="F1039" s="56"/>
      <c r="G1039" s="33"/>
      <c r="H1039" s="33"/>
      <c r="I1039" s="33"/>
      <c r="J1039" s="57"/>
      <c r="K1039" s="33"/>
      <c r="L1039" s="57"/>
      <c r="M1039" s="64"/>
      <c r="N1039" s="56"/>
      <c r="O1039" s="64"/>
      <c r="P1039" s="62"/>
      <c r="Q1039" s="33"/>
      <c r="R1039" s="33"/>
      <c r="S1039" s="61"/>
      <c r="T1039" s="33"/>
      <c r="U1039" s="62"/>
      <c r="W1039" s="61"/>
      <c r="X1039" s="62"/>
    </row>
    <row r="1040" spans="2:24" ht="16">
      <c r="B1040" s="67" t="str">
        <f t="shared" si="4"/>
        <v/>
      </c>
      <c r="C1040" s="64"/>
      <c r="D1040" s="33"/>
      <c r="E1040" s="33"/>
      <c r="F1040" s="56"/>
      <c r="G1040" s="33"/>
      <c r="H1040" s="33"/>
      <c r="I1040" s="33"/>
      <c r="J1040" s="57"/>
      <c r="K1040" s="33"/>
      <c r="L1040" s="57"/>
      <c r="M1040" s="58"/>
      <c r="N1040" s="56"/>
      <c r="O1040" s="64"/>
      <c r="P1040" s="62"/>
      <c r="Q1040" s="33"/>
      <c r="R1040" s="33"/>
      <c r="S1040" s="61"/>
      <c r="T1040" s="33"/>
      <c r="U1040" s="62"/>
      <c r="W1040" s="61"/>
      <c r="X1040" s="62"/>
    </row>
    <row r="1041" spans="2:24" ht="16">
      <c r="B1041" s="67" t="str">
        <f t="shared" si="4"/>
        <v/>
      </c>
      <c r="C1041" s="64"/>
      <c r="D1041" s="33"/>
      <c r="E1041" s="33"/>
      <c r="F1041" s="56"/>
      <c r="G1041" s="33"/>
      <c r="H1041" s="33"/>
      <c r="I1041" s="33"/>
      <c r="J1041" s="57"/>
      <c r="K1041" s="33"/>
      <c r="L1041" s="57"/>
      <c r="M1041" s="64"/>
      <c r="N1041" s="56"/>
      <c r="O1041" s="64"/>
      <c r="P1041" s="62"/>
      <c r="Q1041" s="33"/>
      <c r="R1041" s="33"/>
      <c r="S1041" s="61"/>
      <c r="T1041" s="33"/>
      <c r="U1041" s="62"/>
      <c r="W1041" s="61"/>
      <c r="X1041" s="62"/>
    </row>
    <row r="1042" spans="2:24" ht="16">
      <c r="B1042" s="67" t="str">
        <f t="shared" si="4"/>
        <v/>
      </c>
      <c r="C1042" s="64"/>
      <c r="D1042" s="33"/>
      <c r="E1042" s="33"/>
      <c r="F1042" s="56"/>
      <c r="G1042" s="33"/>
      <c r="H1042" s="33"/>
      <c r="I1042" s="33"/>
      <c r="J1042" s="57"/>
      <c r="K1042" s="33"/>
      <c r="L1042" s="57"/>
      <c r="M1042" s="64"/>
      <c r="N1042" s="56"/>
      <c r="O1042" s="64"/>
      <c r="P1042" s="62"/>
      <c r="Q1042" s="33"/>
      <c r="R1042" s="33"/>
      <c r="S1042" s="61"/>
      <c r="T1042" s="33"/>
      <c r="U1042" s="62"/>
      <c r="W1042" s="61"/>
      <c r="X1042" s="62"/>
    </row>
    <row r="1043" spans="2:24" ht="16">
      <c r="B1043" s="67" t="str">
        <f t="shared" si="4"/>
        <v/>
      </c>
      <c r="C1043" s="64"/>
      <c r="D1043" s="33"/>
      <c r="E1043" s="33"/>
      <c r="F1043" s="56"/>
      <c r="G1043" s="33"/>
      <c r="H1043" s="33"/>
      <c r="I1043" s="33"/>
      <c r="J1043" s="57"/>
      <c r="K1043" s="33"/>
      <c r="L1043" s="57"/>
      <c r="M1043" s="64"/>
      <c r="N1043" s="56"/>
      <c r="O1043" s="64"/>
      <c r="P1043" s="62"/>
      <c r="Q1043" s="33"/>
      <c r="R1043" s="33"/>
      <c r="S1043" s="61"/>
      <c r="T1043" s="33"/>
      <c r="U1043" s="62"/>
      <c r="W1043" s="61"/>
      <c r="X1043" s="62"/>
    </row>
    <row r="1044" spans="2:24" ht="16">
      <c r="B1044" s="67" t="str">
        <f t="shared" si="4"/>
        <v/>
      </c>
      <c r="C1044" s="64"/>
      <c r="D1044" s="33"/>
      <c r="E1044" s="33"/>
      <c r="F1044" s="56"/>
      <c r="G1044" s="33"/>
      <c r="H1044" s="33"/>
      <c r="I1044" s="33"/>
      <c r="J1044" s="57"/>
      <c r="K1044" s="33"/>
      <c r="L1044" s="57"/>
      <c r="M1044" s="64"/>
      <c r="N1044" s="56"/>
      <c r="O1044" s="64"/>
      <c r="P1044" s="62"/>
      <c r="Q1044" s="33"/>
      <c r="R1044" s="33"/>
      <c r="S1044" s="61"/>
      <c r="T1044" s="33"/>
      <c r="U1044" s="62"/>
      <c r="W1044" s="61"/>
      <c r="X1044" s="62"/>
    </row>
    <row r="1045" spans="2:24" ht="16">
      <c r="B1045" s="67" t="str">
        <f t="shared" si="4"/>
        <v/>
      </c>
      <c r="C1045" s="64"/>
      <c r="D1045" s="33"/>
      <c r="E1045" s="33"/>
      <c r="F1045" s="56"/>
      <c r="G1045" s="33"/>
      <c r="H1045" s="33"/>
      <c r="I1045" s="33"/>
      <c r="J1045" s="57"/>
      <c r="K1045" s="33"/>
      <c r="L1045" s="57"/>
      <c r="M1045" s="64"/>
      <c r="N1045" s="56"/>
      <c r="O1045" s="64"/>
      <c r="P1045" s="62"/>
      <c r="Q1045" s="33"/>
      <c r="R1045" s="33"/>
      <c r="S1045" s="61"/>
      <c r="T1045" s="33"/>
      <c r="U1045" s="62"/>
      <c r="W1045" s="61"/>
      <c r="X1045" s="62"/>
    </row>
    <row r="1046" spans="2:24" ht="16">
      <c r="B1046" s="67" t="str">
        <f t="shared" si="4"/>
        <v/>
      </c>
      <c r="C1046" s="64"/>
      <c r="D1046" s="33"/>
      <c r="E1046" s="33"/>
      <c r="F1046" s="56"/>
      <c r="G1046" s="33"/>
      <c r="H1046" s="33"/>
      <c r="I1046" s="33"/>
      <c r="J1046" s="57"/>
      <c r="K1046" s="33"/>
      <c r="L1046" s="57"/>
      <c r="M1046" s="64"/>
      <c r="N1046" s="56"/>
      <c r="O1046" s="64"/>
      <c r="P1046" s="62"/>
      <c r="Q1046" s="33"/>
      <c r="R1046" s="33"/>
      <c r="S1046" s="61"/>
      <c r="T1046" s="33"/>
      <c r="U1046" s="62"/>
      <c r="W1046" s="61"/>
      <c r="X1046" s="62"/>
    </row>
    <row r="1047" spans="2:24" ht="16">
      <c r="B1047" s="67" t="str">
        <f t="shared" ref="B1047:B1301" si="5">IF($H1047="","",LEFT(C1047,3))</f>
        <v/>
      </c>
      <c r="C1047" s="64"/>
      <c r="D1047" s="33"/>
      <c r="E1047" s="33"/>
      <c r="F1047" s="56"/>
      <c r="G1047" s="33"/>
      <c r="H1047" s="33"/>
      <c r="I1047" s="33"/>
      <c r="J1047" s="57"/>
      <c r="K1047" s="33"/>
      <c r="L1047" s="57"/>
      <c r="M1047" s="64"/>
      <c r="N1047" s="56"/>
      <c r="O1047" s="64"/>
      <c r="P1047" s="62"/>
      <c r="Q1047" s="33"/>
      <c r="R1047" s="33"/>
      <c r="S1047" s="61"/>
      <c r="T1047" s="33"/>
      <c r="U1047" s="62"/>
      <c r="W1047" s="61"/>
      <c r="X1047" s="62"/>
    </row>
    <row r="1048" spans="2:24" ht="16">
      <c r="B1048" s="67" t="str">
        <f t="shared" si="5"/>
        <v/>
      </c>
      <c r="C1048" s="64"/>
      <c r="D1048" s="33"/>
      <c r="E1048" s="33"/>
      <c r="F1048" s="56"/>
      <c r="G1048" s="33"/>
      <c r="H1048" s="33"/>
      <c r="I1048" s="33"/>
      <c r="J1048" s="57"/>
      <c r="K1048" s="33"/>
      <c r="L1048" s="57"/>
      <c r="M1048" s="64"/>
      <c r="N1048" s="56"/>
      <c r="O1048" s="64"/>
      <c r="P1048" s="62"/>
      <c r="Q1048" s="33"/>
      <c r="R1048" s="33"/>
      <c r="S1048" s="61"/>
      <c r="T1048" s="33"/>
      <c r="U1048" s="62"/>
      <c r="W1048" s="61"/>
      <c r="X1048" s="62"/>
    </row>
    <row r="1049" spans="2:24" ht="16">
      <c r="B1049" s="67" t="str">
        <f t="shared" si="5"/>
        <v/>
      </c>
      <c r="C1049" s="64"/>
      <c r="D1049" s="33"/>
      <c r="E1049" s="33"/>
      <c r="F1049" s="56"/>
      <c r="G1049" s="33"/>
      <c r="H1049" s="33"/>
      <c r="I1049" s="33"/>
      <c r="J1049" s="57"/>
      <c r="K1049" s="33"/>
      <c r="L1049" s="57"/>
      <c r="M1049" s="64"/>
      <c r="N1049" s="56"/>
      <c r="O1049" s="64"/>
      <c r="P1049" s="62"/>
      <c r="Q1049" s="33"/>
      <c r="R1049" s="33"/>
      <c r="S1049" s="61"/>
      <c r="T1049" s="33"/>
      <c r="U1049" s="62"/>
      <c r="W1049" s="61"/>
      <c r="X1049" s="62"/>
    </row>
    <row r="1050" spans="2:24" ht="16">
      <c r="B1050" s="67" t="str">
        <f t="shared" si="5"/>
        <v/>
      </c>
      <c r="C1050" s="64"/>
      <c r="D1050" s="33"/>
      <c r="E1050" s="33"/>
      <c r="F1050" s="56"/>
      <c r="G1050" s="33"/>
      <c r="H1050" s="33"/>
      <c r="I1050" s="33"/>
      <c r="J1050" s="57"/>
      <c r="K1050" s="33"/>
      <c r="L1050" s="57"/>
      <c r="M1050" s="64"/>
      <c r="N1050" s="56"/>
      <c r="O1050" s="64"/>
      <c r="P1050" s="62"/>
      <c r="Q1050" s="33"/>
      <c r="R1050" s="33"/>
      <c r="S1050" s="61"/>
      <c r="T1050" s="33"/>
      <c r="U1050" s="62"/>
      <c r="W1050" s="61"/>
      <c r="X1050" s="62"/>
    </row>
    <row r="1051" spans="2:24" ht="16">
      <c r="B1051" s="67" t="str">
        <f t="shared" si="5"/>
        <v/>
      </c>
      <c r="C1051" s="64"/>
      <c r="D1051" s="33"/>
      <c r="E1051" s="33"/>
      <c r="F1051" s="56"/>
      <c r="G1051" s="33"/>
      <c r="H1051" s="33"/>
      <c r="I1051" s="33"/>
      <c r="J1051" s="57"/>
      <c r="K1051" s="33"/>
      <c r="L1051" s="57"/>
      <c r="M1051" s="64"/>
      <c r="N1051" s="56"/>
      <c r="O1051" s="64"/>
      <c r="P1051" s="62"/>
      <c r="Q1051" s="33"/>
      <c r="R1051" s="33"/>
      <c r="S1051" s="61"/>
      <c r="T1051" s="33"/>
      <c r="U1051" s="62"/>
      <c r="W1051" s="61"/>
      <c r="X1051" s="62"/>
    </row>
    <row r="1052" spans="2:24" ht="16">
      <c r="B1052" s="67" t="str">
        <f t="shared" si="5"/>
        <v/>
      </c>
      <c r="C1052" s="64"/>
      <c r="D1052" s="33"/>
      <c r="E1052" s="33"/>
      <c r="F1052" s="56"/>
      <c r="G1052" s="33"/>
      <c r="H1052" s="33"/>
      <c r="I1052" s="33"/>
      <c r="J1052" s="57"/>
      <c r="K1052" s="33"/>
      <c r="L1052" s="57"/>
      <c r="M1052" s="64"/>
      <c r="N1052" s="56"/>
      <c r="O1052" s="64"/>
      <c r="P1052" s="62"/>
      <c r="Q1052" s="33"/>
      <c r="R1052" s="33"/>
      <c r="S1052" s="61"/>
      <c r="T1052" s="33"/>
      <c r="U1052" s="62"/>
      <c r="W1052" s="61"/>
      <c r="X1052" s="62"/>
    </row>
    <row r="1053" spans="2:24" ht="16">
      <c r="B1053" s="67" t="str">
        <f t="shared" si="5"/>
        <v/>
      </c>
      <c r="C1053" s="64"/>
      <c r="D1053" s="33"/>
      <c r="E1053" s="33"/>
      <c r="F1053" s="56"/>
      <c r="G1053" s="33"/>
      <c r="H1053" s="33"/>
      <c r="I1053" s="33"/>
      <c r="J1053" s="57"/>
      <c r="K1053" s="33"/>
      <c r="L1053" s="57"/>
      <c r="M1053" s="64"/>
      <c r="N1053" s="56"/>
      <c r="O1053" s="64"/>
      <c r="P1053" s="62"/>
      <c r="Q1053" s="33"/>
      <c r="R1053" s="33"/>
      <c r="S1053" s="61"/>
      <c r="T1053" s="33"/>
      <c r="U1053" s="62"/>
      <c r="W1053" s="61"/>
      <c r="X1053" s="62"/>
    </row>
    <row r="1054" spans="2:24" ht="16">
      <c r="B1054" s="67" t="str">
        <f t="shared" si="5"/>
        <v/>
      </c>
      <c r="C1054" s="64"/>
      <c r="D1054" s="33"/>
      <c r="E1054" s="33"/>
      <c r="F1054" s="56"/>
      <c r="G1054" s="33"/>
      <c r="H1054" s="33"/>
      <c r="I1054" s="33"/>
      <c r="J1054" s="57"/>
      <c r="K1054" s="33"/>
      <c r="L1054" s="57"/>
      <c r="M1054" s="64"/>
      <c r="N1054" s="56"/>
      <c r="O1054" s="64"/>
      <c r="P1054" s="62"/>
      <c r="Q1054" s="33"/>
      <c r="R1054" s="33"/>
      <c r="S1054" s="61"/>
      <c r="T1054" s="33"/>
      <c r="U1054" s="62"/>
      <c r="W1054" s="61"/>
      <c r="X1054" s="62"/>
    </row>
    <row r="1055" spans="2:24" ht="16">
      <c r="B1055" s="67" t="str">
        <f t="shared" si="5"/>
        <v/>
      </c>
      <c r="C1055" s="64"/>
      <c r="D1055" s="33"/>
      <c r="E1055" s="33"/>
      <c r="F1055" s="56"/>
      <c r="G1055" s="33"/>
      <c r="H1055" s="33"/>
      <c r="I1055" s="33"/>
      <c r="J1055" s="57"/>
      <c r="K1055" s="33"/>
      <c r="L1055" s="57"/>
      <c r="M1055" s="64"/>
      <c r="N1055" s="56"/>
      <c r="O1055" s="64"/>
      <c r="P1055" s="62"/>
      <c r="Q1055" s="33"/>
      <c r="R1055" s="33"/>
      <c r="S1055" s="61"/>
      <c r="T1055" s="33"/>
      <c r="U1055" s="62"/>
      <c r="W1055" s="61"/>
      <c r="X1055" s="62"/>
    </row>
    <row r="1056" spans="2:24" ht="16">
      <c r="B1056" s="67" t="str">
        <f t="shared" si="5"/>
        <v/>
      </c>
      <c r="C1056" s="64"/>
      <c r="D1056" s="33"/>
      <c r="E1056" s="33"/>
      <c r="F1056" s="56"/>
      <c r="G1056" s="33"/>
      <c r="H1056" s="33"/>
      <c r="I1056" s="33"/>
      <c r="J1056" s="57"/>
      <c r="K1056" s="33"/>
      <c r="L1056" s="57"/>
      <c r="M1056" s="64"/>
      <c r="N1056" s="56"/>
      <c r="O1056" s="64"/>
      <c r="P1056" s="62"/>
      <c r="Q1056" s="33"/>
      <c r="R1056" s="33"/>
      <c r="S1056" s="61"/>
      <c r="T1056" s="33"/>
      <c r="U1056" s="62"/>
      <c r="W1056" s="61"/>
      <c r="X1056" s="62"/>
    </row>
    <row r="1057" spans="2:24" ht="16">
      <c r="B1057" s="67" t="str">
        <f t="shared" si="5"/>
        <v/>
      </c>
      <c r="C1057" s="64"/>
      <c r="D1057" s="33"/>
      <c r="E1057" s="33"/>
      <c r="F1057" s="56"/>
      <c r="G1057" s="33"/>
      <c r="H1057" s="33"/>
      <c r="I1057" s="33"/>
      <c r="J1057" s="57"/>
      <c r="K1057" s="33"/>
      <c r="L1057" s="57"/>
      <c r="M1057" s="64"/>
      <c r="N1057" s="56"/>
      <c r="O1057" s="64"/>
      <c r="P1057" s="62"/>
      <c r="Q1057" s="33"/>
      <c r="R1057" s="33"/>
      <c r="S1057" s="61"/>
      <c r="T1057" s="33"/>
      <c r="U1057" s="62"/>
      <c r="W1057" s="61"/>
      <c r="X1057" s="62"/>
    </row>
    <row r="1058" spans="2:24" ht="16">
      <c r="B1058" s="67" t="str">
        <f t="shared" si="5"/>
        <v/>
      </c>
      <c r="C1058" s="64"/>
      <c r="D1058" s="33"/>
      <c r="E1058" s="33"/>
      <c r="F1058" s="56"/>
      <c r="G1058" s="33"/>
      <c r="H1058" s="33"/>
      <c r="I1058" s="33"/>
      <c r="J1058" s="57"/>
      <c r="K1058" s="33"/>
      <c r="L1058" s="57"/>
      <c r="M1058" s="64"/>
      <c r="N1058" s="56"/>
      <c r="O1058" s="64"/>
      <c r="P1058" s="62"/>
      <c r="Q1058" s="33"/>
      <c r="R1058" s="33"/>
      <c r="S1058" s="61"/>
      <c r="T1058" s="33"/>
      <c r="U1058" s="62"/>
      <c r="W1058" s="61"/>
      <c r="X1058" s="62"/>
    </row>
    <row r="1059" spans="2:24" ht="16">
      <c r="B1059" s="67" t="str">
        <f t="shared" si="5"/>
        <v/>
      </c>
      <c r="C1059" s="64"/>
      <c r="D1059" s="33"/>
      <c r="E1059" s="33"/>
      <c r="F1059" s="56"/>
      <c r="G1059" s="33"/>
      <c r="H1059" s="33"/>
      <c r="I1059" s="33"/>
      <c r="J1059" s="57"/>
      <c r="K1059" s="33"/>
      <c r="L1059" s="57"/>
      <c r="M1059" s="64"/>
      <c r="N1059" s="56"/>
      <c r="O1059" s="64"/>
      <c r="P1059" s="62"/>
      <c r="Q1059" s="33"/>
      <c r="R1059" s="33"/>
      <c r="S1059" s="61"/>
      <c r="T1059" s="33"/>
      <c r="U1059" s="62"/>
      <c r="W1059" s="61"/>
      <c r="X1059" s="62"/>
    </row>
    <row r="1060" spans="2:24" ht="16">
      <c r="B1060" s="67" t="str">
        <f t="shared" si="5"/>
        <v/>
      </c>
      <c r="C1060" s="64"/>
      <c r="D1060" s="33"/>
      <c r="E1060" s="33"/>
      <c r="F1060" s="56"/>
      <c r="G1060" s="33"/>
      <c r="H1060" s="33"/>
      <c r="I1060" s="33"/>
      <c r="J1060" s="57"/>
      <c r="K1060" s="33"/>
      <c r="L1060" s="57"/>
      <c r="M1060" s="64"/>
      <c r="N1060" s="56"/>
      <c r="O1060" s="64"/>
      <c r="P1060" s="62"/>
      <c r="Q1060" s="33"/>
      <c r="R1060" s="33"/>
      <c r="S1060" s="61"/>
      <c r="T1060" s="33"/>
      <c r="U1060" s="62"/>
      <c r="W1060" s="61"/>
      <c r="X1060" s="62"/>
    </row>
    <row r="1061" spans="2:24" ht="16">
      <c r="B1061" s="67" t="str">
        <f t="shared" si="5"/>
        <v/>
      </c>
      <c r="C1061" s="64"/>
      <c r="D1061" s="33"/>
      <c r="E1061" s="33"/>
      <c r="F1061" s="56"/>
      <c r="G1061" s="33"/>
      <c r="H1061" s="33"/>
      <c r="I1061" s="33"/>
      <c r="J1061" s="57"/>
      <c r="K1061" s="33"/>
      <c r="L1061" s="57"/>
      <c r="M1061" s="64"/>
      <c r="N1061" s="56"/>
      <c r="O1061" s="64"/>
      <c r="P1061" s="62"/>
      <c r="Q1061" s="33"/>
      <c r="R1061" s="33"/>
      <c r="S1061" s="61"/>
      <c r="T1061" s="33"/>
      <c r="U1061" s="62"/>
      <c r="W1061" s="61"/>
      <c r="X1061" s="62"/>
    </row>
    <row r="1062" spans="2:24" ht="16">
      <c r="B1062" s="67" t="str">
        <f t="shared" si="5"/>
        <v/>
      </c>
      <c r="C1062" s="64"/>
      <c r="D1062" s="33"/>
      <c r="E1062" s="33"/>
      <c r="F1062" s="56"/>
      <c r="G1062" s="33"/>
      <c r="H1062" s="33"/>
      <c r="I1062" s="33"/>
      <c r="J1062" s="57"/>
      <c r="K1062" s="33"/>
      <c r="L1062" s="57"/>
      <c r="M1062" s="64"/>
      <c r="N1062" s="56"/>
      <c r="O1062" s="64"/>
      <c r="P1062" s="62"/>
      <c r="Q1062" s="33"/>
      <c r="R1062" s="33"/>
      <c r="S1062" s="61"/>
      <c r="T1062" s="33"/>
      <c r="U1062" s="62"/>
      <c r="W1062" s="61"/>
      <c r="X1062" s="62"/>
    </row>
    <row r="1063" spans="2:24" ht="16">
      <c r="B1063" s="67" t="str">
        <f t="shared" si="5"/>
        <v/>
      </c>
      <c r="C1063" s="64"/>
      <c r="D1063" s="33"/>
      <c r="E1063" s="33"/>
      <c r="F1063" s="56"/>
      <c r="G1063" s="33"/>
      <c r="H1063" s="33"/>
      <c r="I1063" s="33"/>
      <c r="J1063" s="57"/>
      <c r="K1063" s="33"/>
      <c r="L1063" s="57"/>
      <c r="M1063" s="64"/>
      <c r="N1063" s="56"/>
      <c r="O1063" s="64"/>
      <c r="P1063" s="62"/>
      <c r="Q1063" s="33"/>
      <c r="R1063" s="33"/>
      <c r="S1063" s="61"/>
      <c r="T1063" s="33"/>
      <c r="U1063" s="62"/>
      <c r="W1063" s="61"/>
      <c r="X1063" s="62"/>
    </row>
    <row r="1064" spans="2:24" ht="16">
      <c r="B1064" s="67" t="str">
        <f t="shared" si="5"/>
        <v/>
      </c>
      <c r="C1064" s="64"/>
      <c r="D1064" s="33"/>
      <c r="E1064" s="33"/>
      <c r="F1064" s="56"/>
      <c r="G1064" s="33"/>
      <c r="H1064" s="33"/>
      <c r="I1064" s="33"/>
      <c r="J1064" s="57"/>
      <c r="K1064" s="33"/>
      <c r="L1064" s="57"/>
      <c r="M1064" s="64"/>
      <c r="N1064" s="56"/>
      <c r="O1064" s="64"/>
      <c r="P1064" s="62"/>
      <c r="Q1064" s="33"/>
      <c r="R1064" s="33"/>
      <c r="S1064" s="61"/>
      <c r="T1064" s="33"/>
      <c r="U1064" s="62"/>
      <c r="W1064" s="61"/>
      <c r="X1064" s="62"/>
    </row>
    <row r="1065" spans="2:24" ht="16">
      <c r="B1065" s="67" t="str">
        <f t="shared" si="5"/>
        <v/>
      </c>
      <c r="C1065" s="64"/>
      <c r="D1065" s="33"/>
      <c r="E1065" s="33"/>
      <c r="F1065" s="56"/>
      <c r="G1065" s="33"/>
      <c r="H1065" s="33"/>
      <c r="I1065" s="33"/>
      <c r="J1065" s="57"/>
      <c r="K1065" s="33"/>
      <c r="L1065" s="57"/>
      <c r="M1065" s="64"/>
      <c r="N1065" s="56"/>
      <c r="O1065" s="64"/>
      <c r="P1065" s="62"/>
      <c r="Q1065" s="33"/>
      <c r="R1065" s="33"/>
      <c r="S1065" s="61"/>
      <c r="T1065" s="33"/>
      <c r="U1065" s="62"/>
      <c r="W1065" s="61"/>
      <c r="X1065" s="62"/>
    </row>
    <row r="1066" spans="2:24" ht="16">
      <c r="B1066" s="67" t="str">
        <f t="shared" si="5"/>
        <v/>
      </c>
      <c r="C1066" s="64"/>
      <c r="D1066" s="33"/>
      <c r="E1066" s="33"/>
      <c r="F1066" s="56"/>
      <c r="G1066" s="33"/>
      <c r="H1066" s="33"/>
      <c r="I1066" s="33"/>
      <c r="J1066" s="57"/>
      <c r="K1066" s="33"/>
      <c r="L1066" s="57"/>
      <c r="M1066" s="64"/>
      <c r="N1066" s="56"/>
      <c r="O1066" s="64"/>
      <c r="P1066" s="62"/>
      <c r="Q1066" s="33"/>
      <c r="R1066" s="33"/>
      <c r="S1066" s="61"/>
      <c r="T1066" s="33"/>
      <c r="U1066" s="62"/>
      <c r="W1066" s="61"/>
      <c r="X1066" s="62"/>
    </row>
    <row r="1067" spans="2:24" ht="16">
      <c r="B1067" s="67" t="str">
        <f t="shared" si="5"/>
        <v/>
      </c>
      <c r="C1067" s="64"/>
      <c r="D1067" s="33"/>
      <c r="E1067" s="33"/>
      <c r="F1067" s="56"/>
      <c r="G1067" s="33"/>
      <c r="H1067" s="33"/>
      <c r="I1067" s="33"/>
      <c r="J1067" s="57"/>
      <c r="K1067" s="33"/>
      <c r="L1067" s="57"/>
      <c r="M1067" s="64"/>
      <c r="N1067" s="56"/>
      <c r="O1067" s="64"/>
      <c r="P1067" s="62"/>
      <c r="Q1067" s="33"/>
      <c r="R1067" s="33"/>
      <c r="S1067" s="61"/>
      <c r="T1067" s="33"/>
      <c r="U1067" s="62"/>
      <c r="W1067" s="61"/>
      <c r="X1067" s="62"/>
    </row>
    <row r="1068" spans="2:24" ht="16">
      <c r="B1068" s="67" t="str">
        <f t="shared" si="5"/>
        <v/>
      </c>
      <c r="C1068" s="64"/>
      <c r="D1068" s="33"/>
      <c r="E1068" s="33"/>
      <c r="F1068" s="56"/>
      <c r="G1068" s="33"/>
      <c r="H1068" s="33"/>
      <c r="I1068" s="33"/>
      <c r="J1068" s="57"/>
      <c r="K1068" s="33"/>
      <c r="L1068" s="57"/>
      <c r="M1068" s="64"/>
      <c r="N1068" s="56"/>
      <c r="O1068" s="64"/>
      <c r="P1068" s="62"/>
      <c r="Q1068" s="33"/>
      <c r="R1068" s="33"/>
      <c r="S1068" s="61"/>
      <c r="T1068" s="33"/>
      <c r="U1068" s="62"/>
      <c r="W1068" s="61"/>
      <c r="X1068" s="62"/>
    </row>
    <row r="1069" spans="2:24" ht="16">
      <c r="B1069" s="67" t="str">
        <f t="shared" si="5"/>
        <v/>
      </c>
      <c r="C1069" s="64"/>
      <c r="D1069" s="33"/>
      <c r="E1069" s="33"/>
      <c r="F1069" s="56"/>
      <c r="G1069" s="33"/>
      <c r="H1069" s="33"/>
      <c r="I1069" s="33"/>
      <c r="J1069" s="57"/>
      <c r="K1069" s="33"/>
      <c r="L1069" s="57"/>
      <c r="M1069" s="64"/>
      <c r="N1069" s="56"/>
      <c r="O1069" s="64"/>
      <c r="P1069" s="62"/>
      <c r="Q1069" s="33"/>
      <c r="R1069" s="33"/>
      <c r="S1069" s="61"/>
      <c r="T1069" s="33"/>
      <c r="U1069" s="62"/>
      <c r="W1069" s="61"/>
      <c r="X1069" s="62"/>
    </row>
    <row r="1070" spans="2:24" ht="16">
      <c r="B1070" s="67" t="str">
        <f t="shared" si="5"/>
        <v/>
      </c>
      <c r="C1070" s="64"/>
      <c r="D1070" s="33"/>
      <c r="E1070" s="33"/>
      <c r="F1070" s="56"/>
      <c r="G1070" s="33"/>
      <c r="H1070" s="33"/>
      <c r="I1070" s="33"/>
      <c r="J1070" s="57"/>
      <c r="K1070" s="33"/>
      <c r="L1070" s="57"/>
      <c r="M1070" s="64"/>
      <c r="N1070" s="56"/>
      <c r="O1070" s="64"/>
      <c r="P1070" s="62"/>
      <c r="Q1070" s="33"/>
      <c r="R1070" s="33"/>
      <c r="S1070" s="61"/>
      <c r="T1070" s="33"/>
      <c r="U1070" s="62"/>
      <c r="W1070" s="61"/>
      <c r="X1070" s="62"/>
    </row>
    <row r="1071" spans="2:24" ht="16">
      <c r="B1071" s="67" t="str">
        <f t="shared" si="5"/>
        <v/>
      </c>
      <c r="C1071" s="64"/>
      <c r="D1071" s="33"/>
      <c r="E1071" s="33"/>
      <c r="F1071" s="56"/>
      <c r="G1071" s="33"/>
      <c r="H1071" s="33"/>
      <c r="I1071" s="33"/>
      <c r="J1071" s="57"/>
      <c r="K1071" s="33"/>
      <c r="L1071" s="57"/>
      <c r="M1071" s="64"/>
      <c r="N1071" s="56"/>
      <c r="O1071" s="64"/>
      <c r="P1071" s="62"/>
      <c r="Q1071" s="33"/>
      <c r="R1071" s="33"/>
      <c r="S1071" s="61"/>
      <c r="T1071" s="33"/>
      <c r="U1071" s="62"/>
      <c r="W1071" s="61"/>
      <c r="X1071" s="62"/>
    </row>
    <row r="1072" spans="2:24" ht="16">
      <c r="B1072" s="67" t="str">
        <f t="shared" si="5"/>
        <v/>
      </c>
      <c r="C1072" s="64"/>
      <c r="D1072" s="33"/>
      <c r="E1072" s="33"/>
      <c r="F1072" s="56"/>
      <c r="G1072" s="33"/>
      <c r="H1072" s="33"/>
      <c r="I1072" s="33"/>
      <c r="J1072" s="57"/>
      <c r="K1072" s="33"/>
      <c r="L1072" s="57"/>
      <c r="M1072" s="64"/>
      <c r="N1072" s="56"/>
      <c r="O1072" s="64"/>
      <c r="P1072" s="62"/>
      <c r="Q1072" s="33"/>
      <c r="R1072" s="33"/>
      <c r="S1072" s="61"/>
      <c r="T1072" s="33"/>
      <c r="U1072" s="62"/>
      <c r="W1072" s="61"/>
      <c r="X1072" s="62"/>
    </row>
    <row r="1073" spans="2:31" ht="16">
      <c r="B1073" s="67" t="str">
        <f t="shared" si="5"/>
        <v/>
      </c>
      <c r="C1073" s="64"/>
      <c r="D1073" s="33"/>
      <c r="E1073" s="33"/>
      <c r="F1073" s="56"/>
      <c r="G1073" s="33"/>
      <c r="H1073" s="33"/>
      <c r="I1073" s="33"/>
      <c r="J1073" s="57"/>
      <c r="K1073" s="33"/>
      <c r="L1073" s="57"/>
      <c r="M1073" s="64"/>
      <c r="N1073" s="56"/>
      <c r="O1073" s="64"/>
      <c r="P1073" s="62"/>
      <c r="Q1073" s="33"/>
      <c r="R1073" s="33"/>
      <c r="S1073" s="61"/>
      <c r="T1073" s="33"/>
      <c r="U1073" s="62"/>
      <c r="W1073" s="61"/>
      <c r="X1073" s="62"/>
    </row>
    <row r="1074" spans="2:31" ht="16">
      <c r="B1074" s="67" t="str">
        <f t="shared" si="5"/>
        <v/>
      </c>
      <c r="C1074" s="64"/>
      <c r="D1074" s="33"/>
      <c r="E1074" s="33"/>
      <c r="F1074" s="56"/>
      <c r="G1074" s="33"/>
      <c r="H1074" s="33"/>
      <c r="I1074" s="33"/>
      <c r="J1074" s="57"/>
      <c r="K1074" s="33"/>
      <c r="L1074" s="57"/>
      <c r="M1074" s="64"/>
      <c r="N1074" s="56"/>
      <c r="O1074" s="64"/>
      <c r="P1074" s="62"/>
      <c r="Q1074" s="33"/>
      <c r="R1074" s="33"/>
      <c r="S1074" s="61"/>
      <c r="T1074" s="33"/>
      <c r="U1074" s="62"/>
      <c r="W1074" s="61"/>
      <c r="X1074" s="62"/>
    </row>
    <row r="1075" spans="2:31" ht="16">
      <c r="B1075" s="67" t="str">
        <f t="shared" si="5"/>
        <v/>
      </c>
      <c r="C1075" s="64"/>
      <c r="D1075" s="33"/>
      <c r="E1075" s="33"/>
      <c r="F1075" s="56"/>
      <c r="G1075" s="33"/>
      <c r="H1075" s="33"/>
      <c r="I1075" s="33"/>
      <c r="J1075" s="57"/>
      <c r="K1075" s="33"/>
      <c r="L1075" s="57"/>
      <c r="M1075" s="64"/>
      <c r="N1075" s="56"/>
      <c r="O1075" s="64"/>
      <c r="P1075" s="62"/>
      <c r="Q1075" s="33"/>
      <c r="R1075" s="33"/>
      <c r="S1075" s="61"/>
      <c r="T1075" s="33"/>
      <c r="U1075" s="62"/>
      <c r="W1075" s="61"/>
      <c r="X1075" s="62"/>
    </row>
    <row r="1076" spans="2:31" ht="16">
      <c r="B1076" s="67" t="str">
        <f t="shared" si="5"/>
        <v/>
      </c>
      <c r="C1076" s="64"/>
      <c r="D1076" s="33"/>
      <c r="E1076" s="33"/>
      <c r="F1076" s="56"/>
      <c r="G1076" s="33"/>
      <c r="H1076" s="33"/>
      <c r="I1076" s="33"/>
      <c r="J1076" s="57"/>
      <c r="K1076" s="33"/>
      <c r="L1076" s="57"/>
      <c r="M1076" s="64"/>
      <c r="N1076" s="56"/>
      <c r="O1076" s="64"/>
      <c r="P1076" s="62"/>
      <c r="Q1076" s="33"/>
      <c r="R1076" s="33"/>
      <c r="S1076" s="61"/>
      <c r="T1076" s="33"/>
      <c r="U1076" s="62"/>
      <c r="W1076" s="61"/>
      <c r="X1076" s="62"/>
    </row>
    <row r="1077" spans="2:31" ht="16">
      <c r="B1077" s="67" t="str">
        <f t="shared" si="5"/>
        <v/>
      </c>
      <c r="C1077" s="64"/>
      <c r="D1077" s="33"/>
      <c r="E1077" s="33"/>
      <c r="F1077" s="56"/>
      <c r="G1077" s="33"/>
      <c r="H1077" s="33"/>
      <c r="I1077" s="33"/>
      <c r="J1077" s="57"/>
      <c r="K1077" s="33"/>
      <c r="L1077" s="57"/>
      <c r="M1077" s="64"/>
      <c r="N1077" s="56"/>
      <c r="O1077" s="64"/>
      <c r="P1077" s="62"/>
      <c r="Q1077" s="33"/>
      <c r="R1077" s="33"/>
      <c r="S1077" s="61"/>
      <c r="T1077" s="33"/>
      <c r="U1077" s="62"/>
      <c r="W1077" s="61"/>
      <c r="X1077" s="62"/>
    </row>
    <row r="1078" spans="2:31" ht="16">
      <c r="B1078" s="67" t="str">
        <f t="shared" si="5"/>
        <v/>
      </c>
      <c r="C1078" s="64"/>
      <c r="D1078" s="33"/>
      <c r="E1078" s="33"/>
      <c r="F1078" s="56"/>
      <c r="G1078" s="33"/>
      <c r="H1078" s="33"/>
      <c r="I1078" s="33"/>
      <c r="J1078" s="57"/>
      <c r="K1078" s="33"/>
      <c r="L1078" s="57"/>
      <c r="M1078" s="58"/>
      <c r="N1078" s="56"/>
      <c r="O1078" s="64"/>
      <c r="P1078" s="62"/>
      <c r="Q1078" s="33"/>
      <c r="R1078" s="33"/>
      <c r="S1078" s="61"/>
      <c r="T1078" s="33"/>
      <c r="U1078" s="62"/>
      <c r="W1078" s="61"/>
      <c r="X1078" s="62"/>
    </row>
    <row r="1079" spans="2:31" ht="16">
      <c r="B1079" s="67" t="str">
        <f t="shared" si="5"/>
        <v/>
      </c>
      <c r="C1079" s="64"/>
      <c r="D1079" s="33"/>
      <c r="E1079" s="33"/>
      <c r="F1079" s="56"/>
      <c r="G1079" s="33"/>
      <c r="H1079" s="33"/>
      <c r="I1079" s="33"/>
      <c r="J1079" s="57"/>
      <c r="K1079" s="33"/>
      <c r="L1079" s="57"/>
      <c r="M1079" s="64"/>
      <c r="N1079" s="56"/>
      <c r="O1079" s="64"/>
      <c r="P1079" s="62"/>
      <c r="Q1079" s="33"/>
      <c r="R1079" s="33"/>
      <c r="S1079" s="61"/>
      <c r="T1079" s="33"/>
      <c r="U1079" s="62"/>
      <c r="W1079" s="61"/>
      <c r="X1079" s="62"/>
    </row>
    <row r="1080" spans="2:31" ht="16">
      <c r="B1080" s="67" t="str">
        <f t="shared" si="5"/>
        <v/>
      </c>
      <c r="C1080" s="64"/>
      <c r="D1080" s="33"/>
      <c r="E1080" s="33"/>
      <c r="F1080" s="56"/>
      <c r="G1080" s="33"/>
      <c r="H1080" s="33"/>
      <c r="I1080" s="33"/>
      <c r="J1080" s="57"/>
      <c r="K1080" s="33"/>
      <c r="L1080" s="57"/>
      <c r="M1080" s="64"/>
      <c r="N1080" s="56"/>
      <c r="O1080" s="64"/>
      <c r="P1080" s="62"/>
      <c r="Q1080" s="33"/>
      <c r="R1080" s="33"/>
      <c r="S1080" s="61"/>
      <c r="T1080" s="33"/>
      <c r="U1080" s="62"/>
      <c r="W1080" s="61"/>
      <c r="X1080" s="62"/>
    </row>
    <row r="1081" spans="2:31" ht="16">
      <c r="B1081" s="67" t="str">
        <f t="shared" si="5"/>
        <v/>
      </c>
      <c r="C1081" s="64"/>
      <c r="D1081" s="33"/>
      <c r="E1081" s="33"/>
      <c r="F1081" s="56"/>
      <c r="G1081" s="33"/>
      <c r="H1081" s="33"/>
      <c r="I1081" s="33"/>
      <c r="J1081" s="57"/>
      <c r="K1081" s="33"/>
      <c r="L1081" s="57"/>
      <c r="M1081" s="64"/>
      <c r="N1081" s="56"/>
      <c r="O1081" s="64"/>
      <c r="P1081" s="62"/>
      <c r="Q1081" s="33"/>
      <c r="R1081" s="33"/>
      <c r="S1081" s="61"/>
      <c r="T1081" s="33"/>
      <c r="U1081" s="62"/>
      <c r="W1081" s="61"/>
      <c r="X1081" s="62"/>
    </row>
    <row r="1082" spans="2:31" ht="16">
      <c r="B1082" s="67" t="str">
        <f t="shared" si="5"/>
        <v/>
      </c>
      <c r="C1082" s="64"/>
      <c r="D1082" s="33"/>
      <c r="E1082" s="33"/>
      <c r="F1082" s="56"/>
      <c r="G1082" s="33"/>
      <c r="H1082" s="33"/>
      <c r="I1082" s="33"/>
      <c r="J1082" s="57"/>
      <c r="K1082" s="33"/>
      <c r="L1082" s="57"/>
      <c r="M1082" s="64"/>
      <c r="N1082" s="56"/>
      <c r="O1082" s="64"/>
      <c r="P1082" s="62"/>
      <c r="Q1082" s="33"/>
      <c r="R1082" s="33"/>
      <c r="S1082" s="61"/>
      <c r="T1082" s="33"/>
      <c r="U1082" s="62"/>
      <c r="W1082" s="61"/>
      <c r="X1082" s="62"/>
      <c r="AE1082" s="1"/>
    </row>
    <row r="1083" spans="2:31" ht="16">
      <c r="B1083" s="67" t="str">
        <f t="shared" si="5"/>
        <v/>
      </c>
      <c r="C1083" s="64"/>
      <c r="D1083" s="33"/>
      <c r="E1083" s="33"/>
      <c r="F1083" s="56"/>
      <c r="G1083" s="33"/>
      <c r="H1083" s="33"/>
      <c r="I1083" s="33"/>
      <c r="J1083" s="57"/>
      <c r="K1083" s="33"/>
      <c r="L1083" s="57"/>
      <c r="M1083" s="64"/>
      <c r="N1083" s="56"/>
      <c r="O1083" s="64"/>
      <c r="P1083" s="62"/>
      <c r="Q1083" s="33"/>
      <c r="R1083" s="33"/>
      <c r="S1083" s="61"/>
      <c r="T1083" s="33"/>
      <c r="U1083" s="62"/>
      <c r="W1083" s="61"/>
      <c r="X1083" s="62"/>
    </row>
    <row r="1084" spans="2:31" ht="16">
      <c r="B1084" s="67" t="str">
        <f t="shared" si="5"/>
        <v/>
      </c>
      <c r="C1084" s="64"/>
      <c r="D1084" s="33"/>
      <c r="E1084" s="33"/>
      <c r="F1084" s="56"/>
      <c r="G1084" s="33"/>
      <c r="H1084" s="33"/>
      <c r="I1084" s="33"/>
      <c r="J1084" s="57"/>
      <c r="K1084" s="33"/>
      <c r="L1084" s="57"/>
      <c r="M1084" s="64"/>
      <c r="N1084" s="56"/>
      <c r="O1084" s="64"/>
      <c r="P1084" s="62"/>
      <c r="Q1084" s="33"/>
      <c r="R1084" s="33"/>
      <c r="S1084" s="61"/>
      <c r="T1084" s="33"/>
      <c r="U1084" s="62"/>
      <c r="W1084" s="61"/>
      <c r="X1084" s="62"/>
    </row>
    <row r="1085" spans="2:31" ht="16">
      <c r="B1085" s="67" t="str">
        <f t="shared" si="5"/>
        <v/>
      </c>
      <c r="C1085" s="64"/>
      <c r="D1085" s="33"/>
      <c r="E1085" s="33"/>
      <c r="F1085" s="56"/>
      <c r="G1085" s="33"/>
      <c r="H1085" s="33"/>
      <c r="I1085" s="33"/>
      <c r="J1085" s="57"/>
      <c r="K1085" s="33"/>
      <c r="L1085" s="57"/>
      <c r="M1085" s="64"/>
      <c r="N1085" s="56"/>
      <c r="O1085" s="64"/>
      <c r="P1085" s="62"/>
      <c r="Q1085" s="33"/>
      <c r="R1085" s="33"/>
      <c r="S1085" s="61"/>
      <c r="T1085" s="33"/>
      <c r="U1085" s="62"/>
      <c r="W1085" s="61"/>
      <c r="X1085" s="62"/>
    </row>
    <row r="1086" spans="2:31" ht="16">
      <c r="B1086" s="67" t="str">
        <f t="shared" si="5"/>
        <v/>
      </c>
      <c r="C1086" s="64"/>
      <c r="D1086" s="33"/>
      <c r="E1086" s="33"/>
      <c r="F1086" s="56"/>
      <c r="G1086" s="33"/>
      <c r="H1086" s="33"/>
      <c r="I1086" s="33"/>
      <c r="J1086" s="57"/>
      <c r="K1086" s="33"/>
      <c r="L1086" s="57"/>
      <c r="M1086" s="64"/>
      <c r="N1086" s="56"/>
      <c r="O1086" s="64"/>
      <c r="P1086" s="62"/>
      <c r="Q1086" s="33"/>
      <c r="R1086" s="33"/>
      <c r="S1086" s="61"/>
      <c r="T1086" s="33"/>
      <c r="U1086" s="62"/>
      <c r="W1086" s="61"/>
      <c r="X1086" s="62"/>
    </row>
    <row r="1087" spans="2:31" ht="16">
      <c r="B1087" s="67" t="str">
        <f t="shared" si="5"/>
        <v/>
      </c>
      <c r="C1087" s="64"/>
      <c r="D1087" s="33"/>
      <c r="E1087" s="33"/>
      <c r="F1087" s="56"/>
      <c r="G1087" s="33"/>
      <c r="H1087" s="33"/>
      <c r="I1087" s="33"/>
      <c r="J1087" s="57"/>
      <c r="K1087" s="33"/>
      <c r="L1087" s="57"/>
      <c r="M1087" s="64"/>
      <c r="N1087" s="56"/>
      <c r="O1087" s="64"/>
      <c r="P1087" s="62"/>
      <c r="Q1087" s="33"/>
      <c r="R1087" s="33"/>
      <c r="S1087" s="61"/>
      <c r="T1087" s="33"/>
      <c r="U1087" s="62"/>
      <c r="W1087" s="61"/>
      <c r="X1087" s="62"/>
    </row>
    <row r="1088" spans="2:31" ht="16">
      <c r="B1088" s="67" t="str">
        <f t="shared" si="5"/>
        <v/>
      </c>
      <c r="C1088" s="64"/>
      <c r="D1088" s="33"/>
      <c r="E1088" s="33"/>
      <c r="F1088" s="56"/>
      <c r="G1088" s="33"/>
      <c r="H1088" s="33"/>
      <c r="I1088" s="33"/>
      <c r="J1088" s="57"/>
      <c r="K1088" s="33"/>
      <c r="L1088" s="57"/>
      <c r="M1088" s="64"/>
      <c r="N1088" s="56"/>
      <c r="O1088" s="64"/>
      <c r="P1088" s="62"/>
      <c r="Q1088" s="33"/>
      <c r="R1088" s="33"/>
      <c r="S1088" s="61"/>
      <c r="T1088" s="33"/>
      <c r="U1088" s="62"/>
      <c r="W1088" s="61"/>
      <c r="X1088" s="62"/>
    </row>
    <row r="1089" spans="2:31" ht="16">
      <c r="B1089" s="67" t="str">
        <f t="shared" si="5"/>
        <v/>
      </c>
      <c r="C1089" s="64"/>
      <c r="D1089" s="33"/>
      <c r="E1089" s="33"/>
      <c r="F1089" s="56"/>
      <c r="G1089" s="33"/>
      <c r="H1089" s="33"/>
      <c r="I1089" s="33"/>
      <c r="J1089" s="57"/>
      <c r="K1089" s="33"/>
      <c r="L1089" s="57"/>
      <c r="M1089" s="64"/>
      <c r="N1089" s="56"/>
      <c r="O1089" s="64"/>
      <c r="P1089" s="62"/>
      <c r="Q1089" s="33"/>
      <c r="R1089" s="33"/>
      <c r="S1089" s="61"/>
      <c r="T1089" s="33"/>
      <c r="U1089" s="62"/>
      <c r="W1089" s="61"/>
      <c r="X1089" s="62"/>
    </row>
    <row r="1090" spans="2:31" ht="16">
      <c r="B1090" s="67" t="str">
        <f t="shared" si="5"/>
        <v/>
      </c>
      <c r="C1090" s="64"/>
      <c r="D1090" s="33"/>
      <c r="E1090" s="33"/>
      <c r="F1090" s="56"/>
      <c r="G1090" s="33"/>
      <c r="H1090" s="33"/>
      <c r="I1090" s="33"/>
      <c r="J1090" s="57"/>
      <c r="K1090" s="33"/>
      <c r="L1090" s="57"/>
      <c r="M1090" s="64"/>
      <c r="N1090" s="56"/>
      <c r="O1090" s="64"/>
      <c r="P1090" s="62"/>
      <c r="Q1090" s="33"/>
      <c r="R1090" s="33"/>
      <c r="S1090" s="61"/>
      <c r="T1090" s="33"/>
      <c r="U1090" s="62"/>
      <c r="W1090" s="61"/>
      <c r="X1090" s="62"/>
    </row>
    <row r="1091" spans="2:31" ht="16">
      <c r="B1091" s="67" t="str">
        <f t="shared" si="5"/>
        <v/>
      </c>
      <c r="C1091" s="64"/>
      <c r="D1091" s="33"/>
      <c r="E1091" s="33"/>
      <c r="F1091" s="56"/>
      <c r="G1091" s="33"/>
      <c r="H1091" s="33"/>
      <c r="I1091" s="33"/>
      <c r="J1091" s="57"/>
      <c r="K1091" s="33"/>
      <c r="L1091" s="57"/>
      <c r="M1091" s="64"/>
      <c r="N1091" s="56"/>
      <c r="O1091" s="64"/>
      <c r="P1091" s="62"/>
      <c r="Q1091" s="33"/>
      <c r="R1091" s="33"/>
      <c r="S1091" s="61"/>
      <c r="T1091" s="33"/>
      <c r="U1091" s="62"/>
      <c r="W1091" s="61"/>
      <c r="X1091" s="62"/>
    </row>
    <row r="1092" spans="2:31" ht="16">
      <c r="B1092" s="67" t="str">
        <f t="shared" si="5"/>
        <v/>
      </c>
      <c r="C1092" s="64"/>
      <c r="D1092" s="33"/>
      <c r="E1092" s="33"/>
      <c r="F1092" s="56"/>
      <c r="G1092" s="33"/>
      <c r="H1092" s="33"/>
      <c r="I1092" s="33"/>
      <c r="J1092" s="57"/>
      <c r="K1092" s="33"/>
      <c r="L1092" s="57"/>
      <c r="M1092" s="64"/>
      <c r="N1092" s="56"/>
      <c r="O1092" s="64"/>
      <c r="P1092" s="62"/>
      <c r="Q1092" s="33"/>
      <c r="R1092" s="33"/>
      <c r="S1092" s="61"/>
      <c r="T1092" s="33"/>
      <c r="U1092" s="62"/>
      <c r="W1092" s="61"/>
      <c r="X1092" s="62"/>
    </row>
    <row r="1093" spans="2:31" ht="16">
      <c r="B1093" s="67" t="str">
        <f t="shared" si="5"/>
        <v/>
      </c>
      <c r="C1093" s="64"/>
      <c r="D1093" s="33"/>
      <c r="E1093" s="33"/>
      <c r="F1093" s="56"/>
      <c r="G1093" s="33"/>
      <c r="H1093" s="33"/>
      <c r="I1093" s="33"/>
      <c r="J1093" s="57"/>
      <c r="K1093" s="33"/>
      <c r="L1093" s="57"/>
      <c r="M1093" s="64"/>
      <c r="N1093" s="56"/>
      <c r="O1093" s="64"/>
      <c r="P1093" s="62"/>
      <c r="Q1093" s="33"/>
      <c r="R1093" s="33"/>
      <c r="S1093" s="61"/>
      <c r="T1093" s="33"/>
      <c r="U1093" s="62"/>
      <c r="W1093" s="61"/>
      <c r="X1093" s="62"/>
    </row>
    <row r="1094" spans="2:31" ht="16">
      <c r="B1094" s="67" t="str">
        <f t="shared" si="5"/>
        <v/>
      </c>
      <c r="C1094" s="64"/>
      <c r="D1094" s="33"/>
      <c r="E1094" s="33"/>
      <c r="F1094" s="56"/>
      <c r="G1094" s="33"/>
      <c r="H1094" s="33"/>
      <c r="I1094" s="33"/>
      <c r="J1094" s="57"/>
      <c r="K1094" s="33"/>
      <c r="L1094" s="57"/>
      <c r="M1094" s="64"/>
      <c r="N1094" s="56"/>
      <c r="O1094" s="64"/>
      <c r="P1094" s="62"/>
      <c r="Q1094" s="33"/>
      <c r="R1094" s="33"/>
      <c r="S1094" s="61"/>
      <c r="T1094" s="33"/>
      <c r="U1094" s="62"/>
      <c r="W1094" s="61"/>
      <c r="X1094" s="62"/>
    </row>
    <row r="1095" spans="2:31" ht="16">
      <c r="B1095" s="67" t="str">
        <f t="shared" si="5"/>
        <v/>
      </c>
      <c r="C1095" s="64"/>
      <c r="D1095" s="33"/>
      <c r="E1095" s="33"/>
      <c r="F1095" s="56"/>
      <c r="G1095" s="33"/>
      <c r="H1095" s="33"/>
      <c r="I1095" s="33"/>
      <c r="J1095" s="57"/>
      <c r="K1095" s="33"/>
      <c r="L1095" s="57"/>
      <c r="M1095" s="64"/>
      <c r="N1095" s="56"/>
      <c r="O1095" s="64"/>
      <c r="P1095" s="62"/>
      <c r="Q1095" s="33"/>
      <c r="R1095" s="33"/>
      <c r="S1095" s="61"/>
      <c r="T1095" s="33"/>
      <c r="U1095" s="62"/>
      <c r="W1095" s="61"/>
      <c r="X1095" s="62"/>
      <c r="AE1095" s="1"/>
    </row>
    <row r="1096" spans="2:31" ht="16">
      <c r="B1096" s="67" t="str">
        <f t="shared" si="5"/>
        <v/>
      </c>
      <c r="C1096" s="64"/>
      <c r="D1096" s="33"/>
      <c r="E1096" s="33"/>
      <c r="F1096" s="56"/>
      <c r="G1096" s="33"/>
      <c r="H1096" s="33"/>
      <c r="I1096" s="33"/>
      <c r="J1096" s="57"/>
      <c r="K1096" s="33"/>
      <c r="L1096" s="57"/>
      <c r="M1096" s="64"/>
      <c r="N1096" s="56"/>
      <c r="O1096" s="64"/>
      <c r="P1096" s="62"/>
      <c r="Q1096" s="33"/>
      <c r="R1096" s="33"/>
      <c r="S1096" s="61"/>
      <c r="T1096" s="33"/>
      <c r="U1096" s="62"/>
      <c r="W1096" s="61"/>
      <c r="X1096" s="62"/>
    </row>
    <row r="1097" spans="2:31" ht="16">
      <c r="B1097" s="67" t="str">
        <f t="shared" si="5"/>
        <v/>
      </c>
      <c r="C1097" s="64"/>
      <c r="D1097" s="33"/>
      <c r="E1097" s="33"/>
      <c r="F1097" s="56"/>
      <c r="G1097" s="33"/>
      <c r="H1097" s="33"/>
      <c r="I1097" s="33"/>
      <c r="J1097" s="57"/>
      <c r="K1097" s="33"/>
      <c r="L1097" s="57"/>
      <c r="M1097" s="64"/>
      <c r="N1097" s="56"/>
      <c r="O1097" s="64"/>
      <c r="P1097" s="62"/>
      <c r="Q1097" s="33"/>
      <c r="R1097" s="33"/>
      <c r="S1097" s="61"/>
      <c r="T1097" s="33"/>
      <c r="U1097" s="62"/>
      <c r="W1097" s="61"/>
      <c r="X1097" s="62"/>
    </row>
    <row r="1098" spans="2:31" ht="16">
      <c r="B1098" s="67" t="str">
        <f t="shared" si="5"/>
        <v/>
      </c>
      <c r="C1098" s="64"/>
      <c r="D1098" s="33"/>
      <c r="E1098" s="33"/>
      <c r="F1098" s="56"/>
      <c r="G1098" s="33"/>
      <c r="H1098" s="33"/>
      <c r="I1098" s="33"/>
      <c r="J1098" s="57"/>
      <c r="K1098" s="33"/>
      <c r="L1098" s="57"/>
      <c r="M1098" s="64"/>
      <c r="N1098" s="56"/>
      <c r="O1098" s="64"/>
      <c r="P1098" s="62"/>
      <c r="Q1098" s="33"/>
      <c r="R1098" s="33"/>
      <c r="S1098" s="61"/>
      <c r="T1098" s="33"/>
      <c r="U1098" s="62"/>
      <c r="W1098" s="61"/>
      <c r="X1098" s="62"/>
    </row>
    <row r="1099" spans="2:31" ht="16">
      <c r="B1099" s="67" t="str">
        <f t="shared" si="5"/>
        <v/>
      </c>
      <c r="C1099" s="33"/>
      <c r="D1099" s="33"/>
      <c r="E1099" s="33"/>
      <c r="F1099" s="56"/>
      <c r="G1099" s="33"/>
      <c r="H1099" s="33"/>
      <c r="I1099" s="33"/>
      <c r="J1099" s="57"/>
      <c r="K1099" s="33"/>
      <c r="L1099" s="57"/>
      <c r="M1099" s="64"/>
      <c r="N1099" s="56"/>
      <c r="O1099" s="64"/>
      <c r="P1099" s="62"/>
      <c r="Q1099" s="33"/>
      <c r="R1099" s="33"/>
      <c r="S1099" s="61"/>
      <c r="T1099" s="33"/>
      <c r="U1099" s="62"/>
      <c r="W1099" s="61"/>
      <c r="X1099" s="62"/>
    </row>
    <row r="1100" spans="2:31" ht="16">
      <c r="B1100" s="67" t="str">
        <f t="shared" si="5"/>
        <v/>
      </c>
      <c r="C1100" s="64"/>
      <c r="D1100" s="33"/>
      <c r="E1100" s="33"/>
      <c r="F1100" s="56"/>
      <c r="G1100" s="33"/>
      <c r="H1100" s="33"/>
      <c r="I1100" s="33"/>
      <c r="J1100" s="57"/>
      <c r="K1100" s="33"/>
      <c r="L1100" s="57"/>
      <c r="M1100" s="64"/>
      <c r="N1100" s="56"/>
      <c r="O1100" s="64"/>
      <c r="P1100" s="62"/>
      <c r="Q1100" s="33"/>
      <c r="R1100" s="33"/>
      <c r="S1100" s="61"/>
      <c r="T1100" s="33"/>
      <c r="U1100" s="62"/>
      <c r="W1100" s="61"/>
      <c r="X1100" s="62"/>
    </row>
    <row r="1101" spans="2:31" ht="16">
      <c r="B1101" s="67" t="str">
        <f t="shared" si="5"/>
        <v/>
      </c>
      <c r="C1101" s="64"/>
      <c r="D1101" s="33"/>
      <c r="E1101" s="33"/>
      <c r="F1101" s="56"/>
      <c r="G1101" s="33"/>
      <c r="H1101" s="33"/>
      <c r="I1101" s="33"/>
      <c r="J1101" s="57"/>
      <c r="K1101" s="33"/>
      <c r="L1101" s="57"/>
      <c r="M1101" s="64"/>
      <c r="N1101" s="56"/>
      <c r="O1101" s="64"/>
      <c r="P1101" s="62"/>
      <c r="Q1101" s="33"/>
      <c r="R1101" s="33"/>
      <c r="S1101" s="61"/>
      <c r="T1101" s="33"/>
      <c r="U1101" s="62"/>
      <c r="W1101" s="61"/>
      <c r="X1101" s="62"/>
    </row>
    <row r="1102" spans="2:31" ht="16">
      <c r="B1102" s="67" t="str">
        <f t="shared" si="5"/>
        <v/>
      </c>
      <c r="C1102" s="64"/>
      <c r="D1102" s="33"/>
      <c r="E1102" s="33"/>
      <c r="F1102" s="56"/>
      <c r="G1102" s="33"/>
      <c r="H1102" s="33"/>
      <c r="I1102" s="33"/>
      <c r="J1102" s="57"/>
      <c r="K1102" s="33"/>
      <c r="L1102" s="57"/>
      <c r="M1102" s="64"/>
      <c r="N1102" s="56"/>
      <c r="O1102" s="64"/>
      <c r="P1102" s="62"/>
      <c r="Q1102" s="33"/>
      <c r="R1102" s="33"/>
      <c r="S1102" s="61"/>
      <c r="T1102" s="33"/>
      <c r="U1102" s="62"/>
      <c r="W1102" s="61"/>
      <c r="X1102" s="62"/>
    </row>
    <row r="1103" spans="2:31" ht="16">
      <c r="B1103" s="67" t="str">
        <f t="shared" si="5"/>
        <v/>
      </c>
      <c r="C1103" s="64"/>
      <c r="D1103" s="33"/>
      <c r="E1103" s="33"/>
      <c r="F1103" s="56"/>
      <c r="G1103" s="33"/>
      <c r="H1103" s="33"/>
      <c r="I1103" s="33"/>
      <c r="J1103" s="57"/>
      <c r="K1103" s="33"/>
      <c r="L1103" s="57"/>
      <c r="M1103" s="64"/>
      <c r="N1103" s="56"/>
      <c r="O1103" s="64"/>
      <c r="P1103" s="62"/>
      <c r="Q1103" s="33"/>
      <c r="R1103" s="33"/>
      <c r="S1103" s="61"/>
      <c r="T1103" s="33"/>
      <c r="U1103" s="62"/>
      <c r="W1103" s="61"/>
      <c r="X1103" s="62"/>
    </row>
    <row r="1104" spans="2:31" ht="16">
      <c r="B1104" s="67" t="str">
        <f t="shared" si="5"/>
        <v/>
      </c>
      <c r="C1104" s="64"/>
      <c r="D1104" s="33"/>
      <c r="E1104" s="33"/>
      <c r="F1104" s="56"/>
      <c r="G1104" s="33"/>
      <c r="H1104" s="33"/>
      <c r="I1104" s="33"/>
      <c r="J1104" s="57"/>
      <c r="K1104" s="33"/>
      <c r="L1104" s="57"/>
      <c r="M1104" s="64"/>
      <c r="N1104" s="56"/>
      <c r="O1104" s="64"/>
      <c r="P1104" s="62"/>
      <c r="Q1104" s="33"/>
      <c r="R1104" s="33"/>
      <c r="S1104" s="61"/>
      <c r="T1104" s="33"/>
      <c r="U1104" s="62"/>
      <c r="W1104" s="61"/>
      <c r="X1104" s="62"/>
    </row>
    <row r="1105" spans="2:24" ht="16">
      <c r="B1105" s="67" t="str">
        <f t="shared" si="5"/>
        <v/>
      </c>
      <c r="C1105" s="64"/>
      <c r="D1105" s="33"/>
      <c r="E1105" s="33"/>
      <c r="F1105" s="56"/>
      <c r="G1105" s="33"/>
      <c r="H1105" s="33"/>
      <c r="I1105" s="33"/>
      <c r="J1105" s="57"/>
      <c r="K1105" s="33"/>
      <c r="L1105" s="57"/>
      <c r="M1105" s="64"/>
      <c r="N1105" s="56"/>
      <c r="O1105" s="64"/>
      <c r="P1105" s="62"/>
      <c r="Q1105" s="33"/>
      <c r="R1105" s="33"/>
      <c r="S1105" s="61"/>
      <c r="T1105" s="33"/>
      <c r="U1105" s="62"/>
      <c r="W1105" s="61"/>
      <c r="X1105" s="62"/>
    </row>
    <row r="1106" spans="2:24" ht="16">
      <c r="B1106" s="67" t="str">
        <f t="shared" si="5"/>
        <v/>
      </c>
      <c r="C1106" s="64"/>
      <c r="D1106" s="33"/>
      <c r="E1106" s="33"/>
      <c r="F1106" s="56"/>
      <c r="G1106" s="33"/>
      <c r="H1106" s="33"/>
      <c r="I1106" s="33"/>
      <c r="J1106" s="57"/>
      <c r="K1106" s="33"/>
      <c r="L1106" s="57"/>
      <c r="M1106" s="64"/>
      <c r="N1106" s="56"/>
      <c r="O1106" s="64"/>
      <c r="P1106" s="62"/>
      <c r="Q1106" s="33"/>
      <c r="R1106" s="33"/>
      <c r="S1106" s="61"/>
      <c r="T1106" s="33"/>
      <c r="U1106" s="62"/>
      <c r="W1106" s="61"/>
      <c r="X1106" s="62"/>
    </row>
    <row r="1107" spans="2:24" ht="16">
      <c r="B1107" s="67" t="str">
        <f t="shared" si="5"/>
        <v/>
      </c>
      <c r="C1107" s="64"/>
      <c r="D1107" s="33"/>
      <c r="E1107" s="33"/>
      <c r="F1107" s="56"/>
      <c r="G1107" s="33"/>
      <c r="H1107" s="33"/>
      <c r="I1107" s="33"/>
      <c r="J1107" s="57"/>
      <c r="K1107" s="33"/>
      <c r="L1107" s="57"/>
      <c r="M1107" s="64"/>
      <c r="N1107" s="56"/>
      <c r="O1107" s="64"/>
      <c r="P1107" s="62"/>
      <c r="Q1107" s="33"/>
      <c r="R1107" s="33"/>
      <c r="S1107" s="61"/>
      <c r="T1107" s="33"/>
      <c r="U1107" s="62"/>
      <c r="W1107" s="61"/>
      <c r="X1107" s="62"/>
    </row>
    <row r="1108" spans="2:24" ht="16">
      <c r="B1108" s="67" t="str">
        <f t="shared" si="5"/>
        <v/>
      </c>
      <c r="C1108" s="64"/>
      <c r="D1108" s="33"/>
      <c r="E1108" s="33"/>
      <c r="F1108" s="56"/>
      <c r="G1108" s="33"/>
      <c r="H1108" s="33"/>
      <c r="I1108" s="33"/>
      <c r="J1108" s="57"/>
      <c r="K1108" s="33"/>
      <c r="L1108" s="57"/>
      <c r="M1108" s="64"/>
      <c r="N1108" s="56"/>
      <c r="O1108" s="64"/>
      <c r="P1108" s="62"/>
      <c r="Q1108" s="33"/>
      <c r="R1108" s="33"/>
      <c r="S1108" s="61"/>
      <c r="T1108" s="33"/>
      <c r="U1108" s="62"/>
      <c r="W1108" s="61"/>
      <c r="X1108" s="62"/>
    </row>
    <row r="1109" spans="2:24" ht="16">
      <c r="B1109" s="67" t="str">
        <f t="shared" si="5"/>
        <v/>
      </c>
      <c r="C1109" s="64"/>
      <c r="D1109" s="33"/>
      <c r="E1109" s="33"/>
      <c r="F1109" s="56"/>
      <c r="G1109" s="33"/>
      <c r="H1109" s="33"/>
      <c r="I1109" s="33"/>
      <c r="J1109" s="57"/>
      <c r="K1109" s="33"/>
      <c r="L1109" s="57"/>
      <c r="M1109" s="64"/>
      <c r="N1109" s="56"/>
      <c r="O1109" s="64"/>
      <c r="P1109" s="62"/>
      <c r="Q1109" s="33"/>
      <c r="R1109" s="33"/>
      <c r="S1109" s="61"/>
      <c r="T1109" s="33"/>
      <c r="U1109" s="62"/>
      <c r="W1109" s="61"/>
      <c r="X1109" s="62"/>
    </row>
    <row r="1110" spans="2:24" ht="16">
      <c r="B1110" s="67" t="str">
        <f t="shared" si="5"/>
        <v/>
      </c>
      <c r="C1110" s="64"/>
      <c r="D1110" s="33"/>
      <c r="E1110" s="33"/>
      <c r="F1110" s="56"/>
      <c r="G1110" s="33"/>
      <c r="H1110" s="33"/>
      <c r="I1110" s="33"/>
      <c r="J1110" s="57"/>
      <c r="K1110" s="33"/>
      <c r="L1110" s="57"/>
      <c r="M1110" s="64"/>
      <c r="N1110" s="56"/>
      <c r="O1110" s="64"/>
      <c r="P1110" s="62"/>
      <c r="Q1110" s="33"/>
      <c r="R1110" s="33"/>
      <c r="S1110" s="61"/>
      <c r="T1110" s="33"/>
      <c r="U1110" s="62"/>
      <c r="W1110" s="61"/>
      <c r="X1110" s="62"/>
    </row>
    <row r="1111" spans="2:24" ht="16">
      <c r="B1111" s="67" t="str">
        <f t="shared" si="5"/>
        <v/>
      </c>
      <c r="C1111" s="64"/>
      <c r="D1111" s="33"/>
      <c r="E1111" s="33"/>
      <c r="F1111" s="56"/>
      <c r="G1111" s="33"/>
      <c r="H1111" s="33"/>
      <c r="I1111" s="33"/>
      <c r="J1111" s="57"/>
      <c r="K1111" s="33"/>
      <c r="L1111" s="57"/>
      <c r="M1111" s="64"/>
      <c r="N1111" s="56"/>
      <c r="O1111" s="64"/>
      <c r="P1111" s="62"/>
      <c r="Q1111" s="33"/>
      <c r="R1111" s="33"/>
      <c r="S1111" s="61"/>
      <c r="T1111" s="33"/>
      <c r="U1111" s="62"/>
      <c r="W1111" s="61"/>
      <c r="X1111" s="62"/>
    </row>
    <row r="1112" spans="2:24" ht="16">
      <c r="B1112" s="67" t="str">
        <f t="shared" si="5"/>
        <v/>
      </c>
      <c r="C1112" s="64"/>
      <c r="D1112" s="33"/>
      <c r="E1112" s="33"/>
      <c r="F1112" s="56"/>
      <c r="G1112" s="33"/>
      <c r="H1112" s="33"/>
      <c r="I1112" s="33"/>
      <c r="J1112" s="57"/>
      <c r="K1112" s="33"/>
      <c r="L1112" s="57"/>
      <c r="M1112" s="64"/>
      <c r="N1112" s="56"/>
      <c r="O1112" s="64"/>
      <c r="P1112" s="62"/>
      <c r="Q1112" s="33"/>
      <c r="R1112" s="33"/>
      <c r="S1112" s="61"/>
      <c r="T1112" s="33"/>
      <c r="U1112" s="62"/>
      <c r="W1112" s="61"/>
      <c r="X1112" s="62"/>
    </row>
    <row r="1113" spans="2:24" ht="16">
      <c r="B1113" s="67" t="str">
        <f t="shared" si="5"/>
        <v/>
      </c>
      <c r="C1113" s="64"/>
      <c r="D1113" s="33"/>
      <c r="E1113" s="33"/>
      <c r="F1113" s="56"/>
      <c r="G1113" s="33"/>
      <c r="H1113" s="33"/>
      <c r="I1113" s="33"/>
      <c r="J1113" s="57"/>
      <c r="K1113" s="33"/>
      <c r="L1113" s="57"/>
      <c r="M1113" s="64"/>
      <c r="N1113" s="56"/>
      <c r="O1113" s="64"/>
      <c r="P1113" s="62"/>
      <c r="Q1113" s="33"/>
      <c r="R1113" s="33"/>
      <c r="S1113" s="61"/>
      <c r="T1113" s="33"/>
      <c r="U1113" s="62"/>
      <c r="W1113" s="61"/>
      <c r="X1113" s="62"/>
    </row>
    <row r="1114" spans="2:24" ht="16">
      <c r="B1114" s="67" t="str">
        <f t="shared" si="5"/>
        <v/>
      </c>
      <c r="C1114" s="64"/>
      <c r="D1114" s="33"/>
      <c r="E1114" s="33"/>
      <c r="F1114" s="56"/>
      <c r="G1114" s="33"/>
      <c r="H1114" s="33"/>
      <c r="I1114" s="33"/>
      <c r="J1114" s="57"/>
      <c r="K1114" s="33"/>
      <c r="L1114" s="57"/>
      <c r="M1114" s="64"/>
      <c r="N1114" s="56"/>
      <c r="O1114" s="64"/>
      <c r="P1114" s="62"/>
      <c r="Q1114" s="33"/>
      <c r="R1114" s="33"/>
      <c r="S1114" s="61"/>
      <c r="T1114" s="33"/>
      <c r="U1114" s="62"/>
      <c r="W1114" s="61"/>
      <c r="X1114" s="62"/>
    </row>
    <row r="1115" spans="2:24" ht="16">
      <c r="B1115" s="67" t="str">
        <f t="shared" si="5"/>
        <v/>
      </c>
      <c r="C1115" s="64"/>
      <c r="D1115" s="33"/>
      <c r="E1115" s="33"/>
      <c r="F1115" s="56"/>
      <c r="G1115" s="33"/>
      <c r="H1115" s="33"/>
      <c r="I1115" s="33"/>
      <c r="J1115" s="57"/>
      <c r="K1115" s="33"/>
      <c r="L1115" s="57"/>
      <c r="M1115" s="64"/>
      <c r="N1115" s="56"/>
      <c r="O1115" s="64"/>
      <c r="P1115" s="62"/>
      <c r="Q1115" s="33"/>
      <c r="R1115" s="33"/>
      <c r="S1115" s="61"/>
      <c r="T1115" s="33"/>
      <c r="U1115" s="62"/>
      <c r="W1115" s="61"/>
      <c r="X1115" s="62"/>
    </row>
    <row r="1116" spans="2:24" ht="16">
      <c r="B1116" s="67" t="str">
        <f t="shared" si="5"/>
        <v/>
      </c>
      <c r="C1116" s="64"/>
      <c r="D1116" s="33"/>
      <c r="E1116" s="33"/>
      <c r="F1116" s="56"/>
      <c r="G1116" s="33"/>
      <c r="H1116" s="33"/>
      <c r="I1116" s="33"/>
      <c r="J1116" s="57"/>
      <c r="K1116" s="33"/>
      <c r="L1116" s="57"/>
      <c r="M1116" s="64"/>
      <c r="N1116" s="56"/>
      <c r="O1116" s="64"/>
      <c r="P1116" s="62"/>
      <c r="Q1116" s="33"/>
      <c r="R1116" s="33"/>
      <c r="S1116" s="61"/>
      <c r="T1116" s="33"/>
      <c r="U1116" s="62"/>
      <c r="W1116" s="61"/>
      <c r="X1116" s="62"/>
    </row>
    <row r="1117" spans="2:24" ht="16">
      <c r="B1117" s="67" t="str">
        <f t="shared" si="5"/>
        <v/>
      </c>
      <c r="C1117" s="64"/>
      <c r="D1117" s="33"/>
      <c r="E1117" s="33"/>
      <c r="F1117" s="56"/>
      <c r="G1117" s="33"/>
      <c r="H1117" s="33"/>
      <c r="I1117" s="33"/>
      <c r="J1117" s="57"/>
      <c r="K1117" s="33"/>
      <c r="L1117" s="57"/>
      <c r="M1117" s="64"/>
      <c r="N1117" s="56"/>
      <c r="O1117" s="64"/>
      <c r="P1117" s="62"/>
      <c r="Q1117" s="33"/>
      <c r="R1117" s="33"/>
      <c r="S1117" s="61"/>
      <c r="T1117" s="33"/>
      <c r="U1117" s="62"/>
      <c r="W1117" s="61"/>
      <c r="X1117" s="62"/>
    </row>
    <row r="1118" spans="2:24" ht="16">
      <c r="B1118" s="67" t="str">
        <f t="shared" si="5"/>
        <v/>
      </c>
      <c r="C1118" s="64"/>
      <c r="D1118" s="33"/>
      <c r="E1118" s="33"/>
      <c r="F1118" s="56"/>
      <c r="G1118" s="33"/>
      <c r="H1118" s="33"/>
      <c r="I1118" s="33"/>
      <c r="J1118" s="57"/>
      <c r="K1118" s="33"/>
      <c r="L1118" s="57"/>
      <c r="M1118" s="64"/>
      <c r="N1118" s="56"/>
      <c r="O1118" s="64"/>
      <c r="P1118" s="62"/>
      <c r="Q1118" s="33"/>
      <c r="R1118" s="33"/>
      <c r="S1118" s="61"/>
      <c r="T1118" s="33"/>
      <c r="U1118" s="62"/>
      <c r="W1118" s="61"/>
      <c r="X1118" s="62"/>
    </row>
    <row r="1119" spans="2:24" ht="16">
      <c r="B1119" s="67" t="str">
        <f t="shared" si="5"/>
        <v/>
      </c>
      <c r="C1119" s="64"/>
      <c r="D1119" s="33"/>
      <c r="E1119" s="33"/>
      <c r="F1119" s="56"/>
      <c r="G1119" s="33"/>
      <c r="H1119" s="33"/>
      <c r="I1119" s="33"/>
      <c r="J1119" s="57"/>
      <c r="K1119" s="33"/>
      <c r="L1119" s="57"/>
      <c r="M1119" s="64"/>
      <c r="N1119" s="56"/>
      <c r="O1119" s="64"/>
      <c r="P1119" s="62"/>
      <c r="Q1119" s="33"/>
      <c r="R1119" s="33"/>
      <c r="S1119" s="61"/>
      <c r="T1119" s="33"/>
      <c r="U1119" s="62"/>
      <c r="W1119" s="61"/>
      <c r="X1119" s="62"/>
    </row>
    <row r="1120" spans="2:24" ht="16">
      <c r="B1120" s="67" t="str">
        <f t="shared" si="5"/>
        <v/>
      </c>
      <c r="C1120" s="64"/>
      <c r="D1120" s="33"/>
      <c r="E1120" s="33"/>
      <c r="F1120" s="56"/>
      <c r="G1120" s="33"/>
      <c r="H1120" s="33"/>
      <c r="I1120" s="33"/>
      <c r="J1120" s="57"/>
      <c r="K1120" s="33"/>
      <c r="L1120" s="57"/>
      <c r="M1120" s="64"/>
      <c r="N1120" s="56"/>
      <c r="O1120" s="64"/>
      <c r="P1120" s="62"/>
      <c r="Q1120" s="33"/>
      <c r="R1120" s="33"/>
      <c r="S1120" s="61"/>
      <c r="T1120" s="33"/>
      <c r="U1120" s="62"/>
      <c r="W1120" s="61"/>
      <c r="X1120" s="62"/>
    </row>
    <row r="1121" spans="2:24" ht="16">
      <c r="B1121" s="67" t="str">
        <f t="shared" si="5"/>
        <v/>
      </c>
      <c r="C1121" s="64"/>
      <c r="D1121" s="33"/>
      <c r="E1121" s="33"/>
      <c r="F1121" s="56"/>
      <c r="G1121" s="33"/>
      <c r="H1121" s="33"/>
      <c r="I1121" s="33"/>
      <c r="J1121" s="57"/>
      <c r="K1121" s="33"/>
      <c r="L1121" s="57"/>
      <c r="M1121" s="64"/>
      <c r="N1121" s="56"/>
      <c r="O1121" s="64"/>
      <c r="P1121" s="62"/>
      <c r="Q1121" s="33"/>
      <c r="R1121" s="33"/>
      <c r="S1121" s="61"/>
      <c r="T1121" s="33"/>
      <c r="U1121" s="62"/>
      <c r="W1121" s="61"/>
      <c r="X1121" s="62"/>
    </row>
    <row r="1122" spans="2:24" ht="16">
      <c r="B1122" s="67" t="str">
        <f t="shared" si="5"/>
        <v/>
      </c>
      <c r="C1122" s="64"/>
      <c r="D1122" s="33"/>
      <c r="E1122" s="33"/>
      <c r="F1122" s="56"/>
      <c r="G1122" s="33"/>
      <c r="H1122" s="33"/>
      <c r="I1122" s="33"/>
      <c r="J1122" s="57"/>
      <c r="K1122" s="33"/>
      <c r="L1122" s="57"/>
      <c r="M1122" s="64"/>
      <c r="N1122" s="56"/>
      <c r="O1122" s="64"/>
      <c r="P1122" s="62"/>
      <c r="Q1122" s="33"/>
      <c r="R1122" s="33"/>
      <c r="S1122" s="61"/>
      <c r="T1122" s="33"/>
      <c r="U1122" s="62"/>
      <c r="W1122" s="61"/>
      <c r="X1122" s="62"/>
    </row>
    <row r="1123" spans="2:24" ht="16">
      <c r="B1123" s="67" t="str">
        <f t="shared" si="5"/>
        <v/>
      </c>
      <c r="C1123" s="64"/>
      <c r="D1123" s="33"/>
      <c r="E1123" s="33"/>
      <c r="F1123" s="56"/>
      <c r="G1123" s="33"/>
      <c r="H1123" s="33"/>
      <c r="I1123" s="33"/>
      <c r="J1123" s="57"/>
      <c r="K1123" s="33"/>
      <c r="L1123" s="57"/>
      <c r="M1123" s="64"/>
      <c r="N1123" s="56"/>
      <c r="O1123" s="64"/>
      <c r="P1123" s="62"/>
      <c r="Q1123" s="33"/>
      <c r="R1123" s="33"/>
      <c r="S1123" s="61"/>
      <c r="T1123" s="33"/>
      <c r="U1123" s="62"/>
      <c r="W1123" s="61"/>
      <c r="X1123" s="62"/>
    </row>
    <row r="1124" spans="2:24" ht="16">
      <c r="B1124" s="67" t="str">
        <f t="shared" si="5"/>
        <v/>
      </c>
      <c r="C1124" s="64"/>
      <c r="D1124" s="33"/>
      <c r="E1124" s="33"/>
      <c r="F1124" s="56"/>
      <c r="G1124" s="33"/>
      <c r="H1124" s="33"/>
      <c r="I1124" s="33"/>
      <c r="J1124" s="57"/>
      <c r="K1124" s="33"/>
      <c r="L1124" s="57"/>
      <c r="M1124" s="64"/>
      <c r="N1124" s="56"/>
      <c r="O1124" s="64"/>
      <c r="P1124" s="62"/>
      <c r="Q1124" s="33"/>
      <c r="R1124" s="33"/>
      <c r="S1124" s="61"/>
      <c r="T1124" s="33"/>
      <c r="U1124" s="62"/>
      <c r="W1124" s="61"/>
      <c r="X1124" s="62"/>
    </row>
    <row r="1125" spans="2:24" ht="16">
      <c r="B1125" s="67" t="str">
        <f t="shared" si="5"/>
        <v/>
      </c>
      <c r="C1125" s="64"/>
      <c r="D1125" s="33"/>
      <c r="E1125" s="33"/>
      <c r="F1125" s="56"/>
      <c r="G1125" s="33"/>
      <c r="H1125" s="33"/>
      <c r="I1125" s="33"/>
      <c r="J1125" s="57"/>
      <c r="K1125" s="33"/>
      <c r="L1125" s="57"/>
      <c r="M1125" s="64"/>
      <c r="N1125" s="56"/>
      <c r="O1125" s="64"/>
      <c r="P1125" s="62"/>
      <c r="Q1125" s="33"/>
      <c r="R1125" s="33"/>
      <c r="S1125" s="61"/>
      <c r="T1125" s="33"/>
      <c r="U1125" s="62"/>
      <c r="W1125" s="61"/>
      <c r="X1125" s="62"/>
    </row>
    <row r="1126" spans="2:24" ht="16">
      <c r="B1126" s="67" t="str">
        <f t="shared" si="5"/>
        <v/>
      </c>
      <c r="C1126" s="64"/>
      <c r="D1126" s="33"/>
      <c r="E1126" s="33"/>
      <c r="F1126" s="56"/>
      <c r="G1126" s="33"/>
      <c r="H1126" s="33"/>
      <c r="I1126" s="33"/>
      <c r="J1126" s="57"/>
      <c r="K1126" s="33"/>
      <c r="L1126" s="57"/>
      <c r="M1126" s="64"/>
      <c r="N1126" s="56"/>
      <c r="O1126" s="64"/>
      <c r="P1126" s="62"/>
      <c r="Q1126" s="33"/>
      <c r="R1126" s="33"/>
      <c r="S1126" s="61"/>
      <c r="T1126" s="33"/>
      <c r="U1126" s="62"/>
      <c r="W1126" s="61"/>
      <c r="X1126" s="62"/>
    </row>
    <row r="1127" spans="2:24" ht="16">
      <c r="B1127" s="67" t="str">
        <f t="shared" si="5"/>
        <v/>
      </c>
      <c r="C1127" s="64"/>
      <c r="D1127" s="33"/>
      <c r="E1127" s="33"/>
      <c r="F1127" s="56"/>
      <c r="G1127" s="33"/>
      <c r="H1127" s="33"/>
      <c r="I1127" s="33"/>
      <c r="J1127" s="57"/>
      <c r="K1127" s="33"/>
      <c r="L1127" s="57"/>
      <c r="M1127" s="64"/>
      <c r="N1127" s="56"/>
      <c r="O1127" s="64"/>
      <c r="P1127" s="62"/>
      <c r="Q1127" s="33"/>
      <c r="R1127" s="33"/>
      <c r="S1127" s="61"/>
      <c r="T1127" s="33"/>
      <c r="U1127" s="62"/>
      <c r="W1127" s="61"/>
      <c r="X1127" s="62"/>
    </row>
    <row r="1128" spans="2:24" ht="16">
      <c r="B1128" s="67" t="str">
        <f t="shared" si="5"/>
        <v/>
      </c>
      <c r="C1128" s="64"/>
      <c r="D1128" s="33"/>
      <c r="E1128" s="33"/>
      <c r="F1128" s="56"/>
      <c r="G1128" s="33"/>
      <c r="H1128" s="33"/>
      <c r="I1128" s="33"/>
      <c r="J1128" s="57"/>
      <c r="K1128" s="33"/>
      <c r="L1128" s="57"/>
      <c r="M1128" s="64"/>
      <c r="N1128" s="56"/>
      <c r="O1128" s="64"/>
      <c r="P1128" s="62"/>
      <c r="Q1128" s="33"/>
      <c r="R1128" s="33"/>
      <c r="S1128" s="61"/>
      <c r="T1128" s="33"/>
      <c r="U1128" s="62"/>
      <c r="W1128" s="61"/>
      <c r="X1128" s="62"/>
    </row>
    <row r="1129" spans="2:24" ht="16">
      <c r="B1129" s="67" t="str">
        <f t="shared" si="5"/>
        <v/>
      </c>
      <c r="C1129" s="64"/>
      <c r="D1129" s="33"/>
      <c r="E1129" s="33"/>
      <c r="F1129" s="56"/>
      <c r="G1129" s="33"/>
      <c r="H1129" s="33"/>
      <c r="I1129" s="33"/>
      <c r="J1129" s="57"/>
      <c r="K1129" s="33"/>
      <c r="L1129" s="57"/>
      <c r="M1129" s="64"/>
      <c r="N1129" s="56"/>
      <c r="O1129" s="64"/>
      <c r="P1129" s="62"/>
      <c r="Q1129" s="33"/>
      <c r="R1129" s="33"/>
      <c r="S1129" s="61"/>
      <c r="T1129" s="33"/>
      <c r="U1129" s="62"/>
      <c r="W1129" s="61"/>
      <c r="X1129" s="62"/>
    </row>
    <row r="1130" spans="2:24" ht="16">
      <c r="B1130" s="67" t="str">
        <f t="shared" si="5"/>
        <v/>
      </c>
      <c r="C1130" s="64"/>
      <c r="D1130" s="33"/>
      <c r="E1130" s="33"/>
      <c r="F1130" s="56"/>
      <c r="G1130" s="33"/>
      <c r="H1130" s="33"/>
      <c r="I1130" s="33"/>
      <c r="J1130" s="57"/>
      <c r="K1130" s="33"/>
      <c r="L1130" s="57"/>
      <c r="M1130" s="64"/>
      <c r="N1130" s="56"/>
      <c r="O1130" s="64"/>
      <c r="P1130" s="62"/>
      <c r="Q1130" s="33"/>
      <c r="R1130" s="33"/>
      <c r="S1130" s="61"/>
      <c r="T1130" s="33"/>
      <c r="U1130" s="62"/>
      <c r="W1130" s="61"/>
      <c r="X1130" s="62"/>
    </row>
    <row r="1131" spans="2:24" ht="16">
      <c r="B1131" s="67" t="str">
        <f t="shared" si="5"/>
        <v/>
      </c>
      <c r="C1131" s="64"/>
      <c r="D1131" s="33"/>
      <c r="E1131" s="33"/>
      <c r="F1131" s="56"/>
      <c r="G1131" s="33"/>
      <c r="H1131" s="33"/>
      <c r="I1131" s="33"/>
      <c r="J1131" s="57"/>
      <c r="K1131" s="33"/>
      <c r="L1131" s="57"/>
      <c r="M1131" s="64"/>
      <c r="N1131" s="56"/>
      <c r="O1131" s="64"/>
      <c r="P1131" s="62"/>
      <c r="Q1131" s="33"/>
      <c r="R1131" s="33"/>
      <c r="S1131" s="61"/>
      <c r="T1131" s="33"/>
      <c r="U1131" s="62"/>
      <c r="W1131" s="61"/>
      <c r="X1131" s="62"/>
    </row>
    <row r="1132" spans="2:24" ht="16">
      <c r="B1132" s="67" t="str">
        <f t="shared" si="5"/>
        <v/>
      </c>
      <c r="C1132" s="64"/>
      <c r="D1132" s="33"/>
      <c r="E1132" s="33"/>
      <c r="F1132" s="56"/>
      <c r="G1132" s="33"/>
      <c r="H1132" s="33"/>
      <c r="I1132" s="33"/>
      <c r="J1132" s="57"/>
      <c r="K1132" s="33"/>
      <c r="L1132" s="57"/>
      <c r="M1132" s="64"/>
      <c r="N1132" s="56"/>
      <c r="O1132" s="64"/>
      <c r="P1132" s="62"/>
      <c r="Q1132" s="33"/>
      <c r="R1132" s="33"/>
      <c r="S1132" s="61"/>
      <c r="T1132" s="33"/>
      <c r="U1132" s="62"/>
      <c r="W1132" s="61"/>
      <c r="X1132" s="62"/>
    </row>
    <row r="1133" spans="2:24" ht="16">
      <c r="B1133" s="67" t="str">
        <f t="shared" si="5"/>
        <v/>
      </c>
      <c r="C1133" s="64"/>
      <c r="D1133" s="33"/>
      <c r="E1133" s="33"/>
      <c r="F1133" s="56"/>
      <c r="G1133" s="33"/>
      <c r="H1133" s="33"/>
      <c r="I1133" s="33"/>
      <c r="J1133" s="57"/>
      <c r="K1133" s="33"/>
      <c r="L1133" s="57"/>
      <c r="M1133" s="64"/>
      <c r="N1133" s="56"/>
      <c r="O1133" s="64"/>
      <c r="P1133" s="62"/>
      <c r="Q1133" s="33"/>
      <c r="R1133" s="33"/>
      <c r="S1133" s="61"/>
      <c r="T1133" s="33"/>
      <c r="U1133" s="62"/>
      <c r="W1133" s="61"/>
      <c r="X1133" s="62"/>
    </row>
    <row r="1134" spans="2:24" ht="16">
      <c r="B1134" s="67" t="str">
        <f t="shared" si="5"/>
        <v/>
      </c>
      <c r="C1134" s="64"/>
      <c r="D1134" s="33"/>
      <c r="E1134" s="33"/>
      <c r="F1134" s="56"/>
      <c r="G1134" s="33"/>
      <c r="H1134" s="33"/>
      <c r="I1134" s="33"/>
      <c r="J1134" s="57"/>
      <c r="K1134" s="33"/>
      <c r="L1134" s="57"/>
      <c r="M1134" s="64"/>
      <c r="N1134" s="56"/>
      <c r="O1134" s="64"/>
      <c r="P1134" s="62"/>
      <c r="Q1134" s="33"/>
      <c r="R1134" s="33"/>
      <c r="S1134" s="61"/>
      <c r="T1134" s="33"/>
      <c r="U1134" s="62"/>
      <c r="W1134" s="61"/>
      <c r="X1134" s="62"/>
    </row>
    <row r="1135" spans="2:24" ht="16">
      <c r="B1135" s="67" t="str">
        <f t="shared" si="5"/>
        <v/>
      </c>
      <c r="C1135" s="64"/>
      <c r="D1135" s="33"/>
      <c r="E1135" s="33"/>
      <c r="F1135" s="56"/>
      <c r="G1135" s="33"/>
      <c r="H1135" s="33"/>
      <c r="I1135" s="33"/>
      <c r="J1135" s="57"/>
      <c r="K1135" s="33"/>
      <c r="L1135" s="57"/>
      <c r="M1135" s="64"/>
      <c r="N1135" s="56"/>
      <c r="O1135" s="64"/>
      <c r="P1135" s="62"/>
      <c r="Q1135" s="33"/>
      <c r="R1135" s="33"/>
      <c r="S1135" s="61"/>
      <c r="T1135" s="33"/>
      <c r="U1135" s="62"/>
      <c r="W1135" s="61"/>
      <c r="X1135" s="62"/>
    </row>
    <row r="1136" spans="2:24" ht="16">
      <c r="B1136" s="67" t="str">
        <f t="shared" si="5"/>
        <v/>
      </c>
      <c r="C1136" s="64"/>
      <c r="D1136" s="33"/>
      <c r="E1136" s="33"/>
      <c r="F1136" s="56"/>
      <c r="G1136" s="33"/>
      <c r="H1136" s="33"/>
      <c r="I1136" s="33"/>
      <c r="J1136" s="57"/>
      <c r="K1136" s="33"/>
      <c r="L1136" s="57"/>
      <c r="M1136" s="64"/>
      <c r="N1136" s="56"/>
      <c r="O1136" s="64"/>
      <c r="P1136" s="62"/>
      <c r="Q1136" s="33"/>
      <c r="R1136" s="33"/>
      <c r="S1136" s="61"/>
      <c r="T1136" s="33"/>
      <c r="U1136" s="62"/>
      <c r="W1136" s="61"/>
      <c r="X1136" s="62"/>
    </row>
    <row r="1137" spans="2:24" ht="16">
      <c r="B1137" s="67" t="str">
        <f t="shared" si="5"/>
        <v/>
      </c>
      <c r="C1137" s="64"/>
      <c r="D1137" s="33"/>
      <c r="E1137" s="33"/>
      <c r="F1137" s="56"/>
      <c r="G1137" s="33"/>
      <c r="H1137" s="33"/>
      <c r="I1137" s="33"/>
      <c r="J1137" s="57"/>
      <c r="K1137" s="33"/>
      <c r="L1137" s="57"/>
      <c r="M1137" s="64"/>
      <c r="N1137" s="56"/>
      <c r="O1137" s="64"/>
      <c r="P1137" s="62"/>
      <c r="Q1137" s="33"/>
      <c r="R1137" s="33"/>
      <c r="S1137" s="61"/>
      <c r="T1137" s="33"/>
      <c r="U1137" s="62"/>
      <c r="W1137" s="61"/>
      <c r="X1137" s="62"/>
    </row>
    <row r="1138" spans="2:24" ht="16">
      <c r="B1138" s="67" t="str">
        <f t="shared" si="5"/>
        <v/>
      </c>
      <c r="C1138" s="64"/>
      <c r="D1138" s="33"/>
      <c r="E1138" s="33"/>
      <c r="F1138" s="56"/>
      <c r="G1138" s="33"/>
      <c r="H1138" s="33"/>
      <c r="I1138" s="33"/>
      <c r="J1138" s="57"/>
      <c r="K1138" s="33"/>
      <c r="L1138" s="57"/>
      <c r="M1138" s="64"/>
      <c r="N1138" s="56"/>
      <c r="O1138" s="64"/>
      <c r="P1138" s="62"/>
      <c r="Q1138" s="33"/>
      <c r="R1138" s="33"/>
      <c r="S1138" s="61"/>
      <c r="T1138" s="33"/>
      <c r="U1138" s="62"/>
      <c r="W1138" s="61"/>
      <c r="X1138" s="62"/>
    </row>
    <row r="1139" spans="2:24" ht="16">
      <c r="B1139" s="67" t="str">
        <f t="shared" si="5"/>
        <v/>
      </c>
      <c r="C1139" s="64"/>
      <c r="D1139" s="33"/>
      <c r="E1139" s="33"/>
      <c r="F1139" s="56"/>
      <c r="G1139" s="33"/>
      <c r="H1139" s="33"/>
      <c r="I1139" s="33"/>
      <c r="J1139" s="57"/>
      <c r="K1139" s="33"/>
      <c r="L1139" s="57"/>
      <c r="M1139" s="64"/>
      <c r="N1139" s="56"/>
      <c r="O1139" s="64"/>
      <c r="P1139" s="62"/>
      <c r="Q1139" s="33"/>
      <c r="R1139" s="33"/>
      <c r="S1139" s="61"/>
      <c r="T1139" s="33"/>
      <c r="U1139" s="62"/>
      <c r="W1139" s="61"/>
      <c r="X1139" s="62"/>
    </row>
    <row r="1140" spans="2:24" ht="16">
      <c r="B1140" s="67" t="str">
        <f t="shared" si="5"/>
        <v/>
      </c>
      <c r="C1140" s="64"/>
      <c r="D1140" s="33"/>
      <c r="E1140" s="33"/>
      <c r="F1140" s="56"/>
      <c r="G1140" s="33"/>
      <c r="H1140" s="33"/>
      <c r="I1140" s="33"/>
      <c r="J1140" s="57"/>
      <c r="K1140" s="33"/>
      <c r="L1140" s="57"/>
      <c r="M1140" s="64"/>
      <c r="N1140" s="56"/>
      <c r="O1140" s="64"/>
      <c r="P1140" s="62"/>
      <c r="Q1140" s="33"/>
      <c r="R1140" s="33"/>
      <c r="S1140" s="61"/>
      <c r="T1140" s="33"/>
      <c r="U1140" s="62"/>
      <c r="W1140" s="61"/>
      <c r="X1140" s="62"/>
    </row>
    <row r="1141" spans="2:24" ht="16">
      <c r="B1141" s="67" t="str">
        <f t="shared" si="5"/>
        <v/>
      </c>
      <c r="C1141" s="64"/>
      <c r="D1141" s="33"/>
      <c r="E1141" s="33"/>
      <c r="F1141" s="56"/>
      <c r="G1141" s="33"/>
      <c r="H1141" s="33"/>
      <c r="I1141" s="33"/>
      <c r="J1141" s="57"/>
      <c r="K1141" s="33"/>
      <c r="L1141" s="57"/>
      <c r="M1141" s="64"/>
      <c r="N1141" s="56"/>
      <c r="O1141" s="64"/>
      <c r="P1141" s="62"/>
      <c r="Q1141" s="33"/>
      <c r="R1141" s="33"/>
      <c r="S1141" s="61"/>
      <c r="T1141" s="33"/>
      <c r="U1141" s="62"/>
      <c r="W1141" s="61"/>
      <c r="X1141" s="62"/>
    </row>
    <row r="1142" spans="2:24" ht="16">
      <c r="B1142" s="67" t="str">
        <f t="shared" si="5"/>
        <v/>
      </c>
      <c r="C1142" s="64"/>
      <c r="D1142" s="33"/>
      <c r="E1142" s="33"/>
      <c r="F1142" s="56"/>
      <c r="G1142" s="33"/>
      <c r="H1142" s="33"/>
      <c r="I1142" s="33"/>
      <c r="J1142" s="57"/>
      <c r="K1142" s="33"/>
      <c r="L1142" s="57"/>
      <c r="M1142" s="64"/>
      <c r="N1142" s="56"/>
      <c r="O1142" s="64"/>
      <c r="P1142" s="62"/>
      <c r="Q1142" s="33"/>
      <c r="R1142" s="33"/>
      <c r="S1142" s="61"/>
      <c r="T1142" s="33"/>
      <c r="U1142" s="62"/>
      <c r="W1142" s="61"/>
      <c r="X1142" s="62"/>
    </row>
    <row r="1143" spans="2:24" ht="16">
      <c r="B1143" s="67" t="str">
        <f t="shared" si="5"/>
        <v/>
      </c>
      <c r="C1143" s="64"/>
      <c r="D1143" s="33"/>
      <c r="E1143" s="33"/>
      <c r="F1143" s="56"/>
      <c r="G1143" s="33"/>
      <c r="H1143" s="33"/>
      <c r="I1143" s="33"/>
      <c r="J1143" s="57"/>
      <c r="K1143" s="33"/>
      <c r="L1143" s="57"/>
      <c r="M1143" s="64"/>
      <c r="N1143" s="56"/>
      <c r="O1143" s="64"/>
      <c r="P1143" s="62"/>
      <c r="Q1143" s="33"/>
      <c r="R1143" s="33"/>
      <c r="S1143" s="61"/>
      <c r="T1143" s="33"/>
      <c r="U1143" s="62"/>
      <c r="W1143" s="61"/>
      <c r="X1143" s="62"/>
    </row>
    <row r="1144" spans="2:24" ht="16">
      <c r="B1144" s="67" t="str">
        <f t="shared" si="5"/>
        <v/>
      </c>
      <c r="C1144" s="64"/>
      <c r="D1144" s="33"/>
      <c r="E1144" s="33"/>
      <c r="F1144" s="56"/>
      <c r="G1144" s="33"/>
      <c r="H1144" s="33"/>
      <c r="I1144" s="33"/>
      <c r="J1144" s="57"/>
      <c r="K1144" s="33"/>
      <c r="L1144" s="57"/>
      <c r="M1144" s="64"/>
      <c r="N1144" s="56"/>
      <c r="O1144" s="64"/>
      <c r="P1144" s="62"/>
      <c r="Q1144" s="33"/>
      <c r="R1144" s="33"/>
      <c r="S1144" s="61"/>
      <c r="T1144" s="33"/>
      <c r="U1144" s="62"/>
      <c r="W1144" s="61"/>
      <c r="X1144" s="62"/>
    </row>
    <row r="1145" spans="2:24" ht="16">
      <c r="B1145" s="67" t="str">
        <f t="shared" si="5"/>
        <v/>
      </c>
      <c r="C1145" s="64"/>
      <c r="D1145" s="33"/>
      <c r="E1145" s="33"/>
      <c r="F1145" s="56"/>
      <c r="G1145" s="33"/>
      <c r="H1145" s="33"/>
      <c r="I1145" s="33"/>
      <c r="J1145" s="57"/>
      <c r="K1145" s="33"/>
      <c r="L1145" s="57"/>
      <c r="M1145" s="64"/>
      <c r="N1145" s="56"/>
      <c r="O1145" s="64"/>
      <c r="P1145" s="62"/>
      <c r="Q1145" s="33"/>
      <c r="R1145" s="33"/>
      <c r="S1145" s="61"/>
      <c r="T1145" s="33"/>
      <c r="U1145" s="62"/>
      <c r="W1145" s="61"/>
      <c r="X1145" s="62"/>
    </row>
    <row r="1146" spans="2:24" ht="16">
      <c r="B1146" s="67" t="str">
        <f t="shared" si="5"/>
        <v/>
      </c>
      <c r="C1146" s="64"/>
      <c r="D1146" s="33"/>
      <c r="E1146" s="33"/>
      <c r="F1146" s="56"/>
      <c r="G1146" s="33"/>
      <c r="H1146" s="33"/>
      <c r="I1146" s="33"/>
      <c r="J1146" s="57"/>
      <c r="K1146" s="33"/>
      <c r="L1146" s="57"/>
      <c r="M1146" s="64"/>
      <c r="N1146" s="56"/>
      <c r="O1146" s="64"/>
      <c r="P1146" s="62"/>
      <c r="Q1146" s="33"/>
      <c r="R1146" s="33"/>
      <c r="S1146" s="61"/>
      <c r="T1146" s="33"/>
      <c r="U1146" s="62"/>
      <c r="W1146" s="61"/>
      <c r="X1146" s="62"/>
    </row>
    <row r="1147" spans="2:24" ht="16">
      <c r="B1147" s="67" t="str">
        <f t="shared" si="5"/>
        <v/>
      </c>
      <c r="C1147" s="64"/>
      <c r="D1147" s="33"/>
      <c r="E1147" s="33"/>
      <c r="F1147" s="56"/>
      <c r="G1147" s="33"/>
      <c r="H1147" s="33"/>
      <c r="I1147" s="33"/>
      <c r="J1147" s="57"/>
      <c r="K1147" s="33"/>
      <c r="L1147" s="57"/>
      <c r="M1147" s="64"/>
      <c r="N1147" s="56"/>
      <c r="O1147" s="64"/>
      <c r="P1147" s="62"/>
      <c r="Q1147" s="33"/>
      <c r="R1147" s="33"/>
      <c r="S1147" s="61"/>
      <c r="T1147" s="33"/>
      <c r="U1147" s="62"/>
      <c r="W1147" s="61"/>
      <c r="X1147" s="62"/>
    </row>
    <row r="1148" spans="2:24" ht="16">
      <c r="B1148" s="67" t="str">
        <f t="shared" si="5"/>
        <v/>
      </c>
      <c r="C1148" s="64"/>
      <c r="D1148" s="33"/>
      <c r="E1148" s="33"/>
      <c r="F1148" s="56"/>
      <c r="G1148" s="33"/>
      <c r="H1148" s="33"/>
      <c r="I1148" s="33"/>
      <c r="J1148" s="57"/>
      <c r="K1148" s="33"/>
      <c r="L1148" s="57"/>
      <c r="M1148" s="64"/>
      <c r="N1148" s="56"/>
      <c r="O1148" s="64"/>
      <c r="P1148" s="62"/>
      <c r="Q1148" s="33"/>
      <c r="R1148" s="33"/>
      <c r="S1148" s="61"/>
      <c r="T1148" s="33"/>
      <c r="U1148" s="62"/>
      <c r="W1148" s="61"/>
      <c r="X1148" s="62"/>
    </row>
    <row r="1149" spans="2:24" ht="16">
      <c r="B1149" s="67" t="str">
        <f t="shared" si="5"/>
        <v/>
      </c>
      <c r="C1149" s="64"/>
      <c r="D1149" s="33"/>
      <c r="E1149" s="33"/>
      <c r="F1149" s="56"/>
      <c r="G1149" s="33"/>
      <c r="H1149" s="33"/>
      <c r="I1149" s="33"/>
      <c r="J1149" s="57"/>
      <c r="K1149" s="33"/>
      <c r="L1149" s="57"/>
      <c r="M1149" s="64"/>
      <c r="N1149" s="56"/>
      <c r="O1149" s="64"/>
      <c r="P1149" s="62"/>
      <c r="Q1149" s="33"/>
      <c r="R1149" s="33"/>
      <c r="S1149" s="61"/>
      <c r="T1149" s="33"/>
      <c r="U1149" s="62"/>
      <c r="W1149" s="61"/>
      <c r="X1149" s="62"/>
    </row>
    <row r="1150" spans="2:24" ht="16">
      <c r="B1150" s="67" t="str">
        <f t="shared" si="5"/>
        <v/>
      </c>
      <c r="C1150" s="64"/>
      <c r="D1150" s="33"/>
      <c r="E1150" s="33"/>
      <c r="F1150" s="56"/>
      <c r="G1150" s="33"/>
      <c r="H1150" s="33"/>
      <c r="I1150" s="33"/>
      <c r="J1150" s="57"/>
      <c r="K1150" s="33"/>
      <c r="L1150" s="57"/>
      <c r="M1150" s="64"/>
      <c r="N1150" s="56"/>
      <c r="O1150" s="64"/>
      <c r="P1150" s="62"/>
      <c r="Q1150" s="33"/>
      <c r="R1150" s="33"/>
      <c r="S1150" s="61"/>
      <c r="T1150" s="33"/>
      <c r="U1150" s="62"/>
      <c r="W1150" s="61"/>
      <c r="X1150" s="62"/>
    </row>
    <row r="1151" spans="2:24" ht="16">
      <c r="B1151" s="67" t="str">
        <f t="shared" si="5"/>
        <v/>
      </c>
      <c r="C1151" s="64"/>
      <c r="D1151" s="33"/>
      <c r="E1151" s="33"/>
      <c r="F1151" s="56"/>
      <c r="G1151" s="33"/>
      <c r="H1151" s="33"/>
      <c r="I1151" s="33"/>
      <c r="J1151" s="57"/>
      <c r="K1151" s="33"/>
      <c r="L1151" s="57"/>
      <c r="M1151" s="64"/>
      <c r="N1151" s="56"/>
      <c r="O1151" s="64"/>
      <c r="P1151" s="62"/>
      <c r="Q1151" s="33"/>
      <c r="R1151" s="33"/>
      <c r="S1151" s="61"/>
      <c r="T1151" s="33"/>
      <c r="U1151" s="62"/>
      <c r="W1151" s="61"/>
      <c r="X1151" s="62"/>
    </row>
    <row r="1152" spans="2:24" ht="16">
      <c r="B1152" s="67" t="str">
        <f t="shared" si="5"/>
        <v/>
      </c>
      <c r="C1152" s="64"/>
      <c r="D1152" s="33"/>
      <c r="E1152" s="33"/>
      <c r="F1152" s="56"/>
      <c r="G1152" s="33"/>
      <c r="H1152" s="33"/>
      <c r="I1152" s="33"/>
      <c r="J1152" s="57"/>
      <c r="K1152" s="33"/>
      <c r="L1152" s="57"/>
      <c r="M1152" s="64"/>
      <c r="N1152" s="56"/>
      <c r="O1152" s="64"/>
      <c r="P1152" s="62"/>
      <c r="Q1152" s="33"/>
      <c r="R1152" s="33"/>
      <c r="S1152" s="61"/>
      <c r="T1152" s="33"/>
      <c r="U1152" s="62"/>
      <c r="W1152" s="61"/>
      <c r="X1152" s="62"/>
    </row>
    <row r="1153" spans="2:31" ht="16">
      <c r="B1153" s="67" t="str">
        <f t="shared" si="5"/>
        <v/>
      </c>
      <c r="C1153" s="64"/>
      <c r="D1153" s="33"/>
      <c r="E1153" s="33"/>
      <c r="F1153" s="56"/>
      <c r="G1153" s="33"/>
      <c r="H1153" s="33"/>
      <c r="I1153" s="33"/>
      <c r="J1153" s="57"/>
      <c r="K1153" s="33"/>
      <c r="L1153" s="57"/>
      <c r="M1153" s="64"/>
      <c r="N1153" s="56"/>
      <c r="O1153" s="64"/>
      <c r="P1153" s="62"/>
      <c r="Q1153" s="33"/>
      <c r="R1153" s="33"/>
      <c r="S1153" s="61"/>
      <c r="T1153" s="33"/>
      <c r="U1153" s="62"/>
      <c r="W1153" s="61"/>
      <c r="X1153" s="62"/>
    </row>
    <row r="1154" spans="2:31" ht="16">
      <c r="B1154" s="67" t="str">
        <f t="shared" si="5"/>
        <v/>
      </c>
      <c r="C1154" s="64"/>
      <c r="D1154" s="33"/>
      <c r="E1154" s="33"/>
      <c r="F1154" s="56"/>
      <c r="G1154" s="33"/>
      <c r="H1154" s="33"/>
      <c r="I1154" s="33"/>
      <c r="J1154" s="57"/>
      <c r="K1154" s="33"/>
      <c r="L1154" s="57"/>
      <c r="M1154" s="64"/>
      <c r="N1154" s="56"/>
      <c r="O1154" s="64"/>
      <c r="P1154" s="62"/>
      <c r="Q1154" s="33"/>
      <c r="R1154" s="33"/>
      <c r="S1154" s="61"/>
      <c r="T1154" s="33"/>
      <c r="U1154" s="62"/>
      <c r="W1154" s="61"/>
      <c r="X1154" s="62"/>
    </row>
    <row r="1155" spans="2:31" ht="16">
      <c r="B1155" s="67" t="str">
        <f t="shared" si="5"/>
        <v/>
      </c>
      <c r="C1155" s="64"/>
      <c r="D1155" s="33"/>
      <c r="E1155" s="33"/>
      <c r="F1155" s="56"/>
      <c r="G1155" s="33"/>
      <c r="H1155" s="33"/>
      <c r="I1155" s="33"/>
      <c r="J1155" s="57"/>
      <c r="K1155" s="33"/>
      <c r="L1155" s="57"/>
      <c r="M1155" s="64"/>
      <c r="N1155" s="56"/>
      <c r="O1155" s="64"/>
      <c r="P1155" s="62"/>
      <c r="Q1155" s="33"/>
      <c r="R1155" s="33"/>
      <c r="S1155" s="61"/>
      <c r="T1155" s="33"/>
      <c r="U1155" s="62"/>
      <c r="W1155" s="61"/>
      <c r="X1155" s="62"/>
    </row>
    <row r="1156" spans="2:31" ht="16">
      <c r="B1156" s="67" t="str">
        <f t="shared" si="5"/>
        <v/>
      </c>
      <c r="C1156" s="64"/>
      <c r="D1156" s="33"/>
      <c r="E1156" s="33"/>
      <c r="F1156" s="56"/>
      <c r="G1156" s="33"/>
      <c r="H1156" s="33"/>
      <c r="I1156" s="33"/>
      <c r="J1156" s="57"/>
      <c r="K1156" s="33"/>
      <c r="L1156" s="57"/>
      <c r="M1156" s="64"/>
      <c r="N1156" s="56"/>
      <c r="O1156" s="64"/>
      <c r="P1156" s="62"/>
      <c r="Q1156" s="33"/>
      <c r="R1156" s="33"/>
      <c r="S1156" s="61"/>
      <c r="T1156" s="33"/>
      <c r="U1156" s="62"/>
      <c r="W1156" s="61"/>
      <c r="X1156" s="62"/>
    </row>
    <row r="1157" spans="2:31" ht="16">
      <c r="B1157" s="67" t="str">
        <f t="shared" si="5"/>
        <v/>
      </c>
      <c r="C1157" s="64"/>
      <c r="D1157" s="33"/>
      <c r="E1157" s="33"/>
      <c r="F1157" s="56"/>
      <c r="G1157" s="33"/>
      <c r="H1157" s="33"/>
      <c r="I1157" s="33"/>
      <c r="J1157" s="57"/>
      <c r="K1157" s="33"/>
      <c r="L1157" s="57"/>
      <c r="M1157" s="64"/>
      <c r="N1157" s="56"/>
      <c r="O1157" s="64"/>
      <c r="P1157" s="62"/>
      <c r="Q1157" s="33"/>
      <c r="R1157" s="33"/>
      <c r="S1157" s="61"/>
      <c r="T1157" s="33"/>
      <c r="U1157" s="62"/>
      <c r="W1157" s="61"/>
      <c r="X1157" s="62"/>
    </row>
    <row r="1158" spans="2:31" ht="16">
      <c r="B1158" s="67" t="str">
        <f t="shared" si="5"/>
        <v/>
      </c>
      <c r="C1158" s="64"/>
      <c r="D1158" s="33"/>
      <c r="E1158" s="33"/>
      <c r="F1158" s="56"/>
      <c r="G1158" s="33"/>
      <c r="H1158" s="33"/>
      <c r="I1158" s="33"/>
      <c r="J1158" s="57"/>
      <c r="K1158" s="33"/>
      <c r="L1158" s="57"/>
      <c r="M1158" s="64"/>
      <c r="N1158" s="56"/>
      <c r="O1158" s="64"/>
      <c r="P1158" s="62"/>
      <c r="Q1158" s="33"/>
      <c r="R1158" s="33"/>
      <c r="S1158" s="61"/>
      <c r="T1158" s="33"/>
      <c r="U1158" s="62"/>
      <c r="W1158" s="61"/>
      <c r="X1158" s="62"/>
    </row>
    <row r="1159" spans="2:31" ht="16">
      <c r="B1159" s="67" t="str">
        <f t="shared" si="5"/>
        <v/>
      </c>
      <c r="C1159" s="64"/>
      <c r="D1159" s="33"/>
      <c r="E1159" s="33"/>
      <c r="F1159" s="56"/>
      <c r="G1159" s="33"/>
      <c r="H1159" s="33"/>
      <c r="I1159" s="33"/>
      <c r="J1159" s="57"/>
      <c r="K1159" s="33"/>
      <c r="L1159" s="57"/>
      <c r="M1159" s="64"/>
      <c r="N1159" s="56"/>
      <c r="O1159" s="64"/>
      <c r="P1159" s="62"/>
      <c r="Q1159" s="33"/>
      <c r="R1159" s="33"/>
      <c r="S1159" s="61"/>
      <c r="T1159" s="33"/>
      <c r="U1159" s="62"/>
      <c r="W1159" s="61"/>
      <c r="X1159" s="62"/>
    </row>
    <row r="1160" spans="2:31" ht="16">
      <c r="B1160" s="67" t="str">
        <f t="shared" si="5"/>
        <v/>
      </c>
      <c r="C1160" s="64"/>
      <c r="D1160" s="33"/>
      <c r="E1160" s="33"/>
      <c r="F1160" s="56"/>
      <c r="G1160" s="33"/>
      <c r="H1160" s="33"/>
      <c r="I1160" s="33"/>
      <c r="J1160" s="57"/>
      <c r="K1160" s="33"/>
      <c r="L1160" s="57"/>
      <c r="M1160" s="64"/>
      <c r="N1160" s="56"/>
      <c r="O1160" s="64"/>
      <c r="P1160" s="62"/>
      <c r="Q1160" s="33"/>
      <c r="R1160" s="33"/>
      <c r="S1160" s="61"/>
      <c r="T1160" s="33"/>
      <c r="U1160" s="62"/>
      <c r="W1160" s="61"/>
      <c r="X1160" s="62"/>
      <c r="AE1160" s="1"/>
    </row>
    <row r="1161" spans="2:31" ht="16">
      <c r="B1161" s="67" t="str">
        <f t="shared" si="5"/>
        <v/>
      </c>
      <c r="C1161" s="64"/>
      <c r="D1161" s="33"/>
      <c r="E1161" s="33"/>
      <c r="F1161" s="56"/>
      <c r="G1161" s="33"/>
      <c r="H1161" s="33"/>
      <c r="I1161" s="33"/>
      <c r="J1161" s="57"/>
      <c r="K1161" s="33"/>
      <c r="L1161" s="57"/>
      <c r="M1161" s="64"/>
      <c r="N1161" s="56"/>
      <c r="O1161" s="64"/>
      <c r="P1161" s="62"/>
      <c r="Q1161" s="33"/>
      <c r="R1161" s="33"/>
      <c r="S1161" s="61"/>
      <c r="T1161" s="33"/>
      <c r="U1161" s="62"/>
      <c r="W1161" s="61"/>
      <c r="X1161" s="62"/>
      <c r="AE1161" s="1"/>
    </row>
    <row r="1162" spans="2:31" ht="16">
      <c r="B1162" s="67" t="str">
        <f t="shared" si="5"/>
        <v/>
      </c>
      <c r="C1162" s="64"/>
      <c r="D1162" s="33"/>
      <c r="E1162" s="33"/>
      <c r="F1162" s="56"/>
      <c r="G1162" s="33"/>
      <c r="H1162" s="33"/>
      <c r="I1162" s="33"/>
      <c r="J1162" s="57"/>
      <c r="K1162" s="33"/>
      <c r="L1162" s="57"/>
      <c r="M1162" s="64"/>
      <c r="N1162" s="56"/>
      <c r="O1162" s="64"/>
      <c r="P1162" s="62"/>
      <c r="Q1162" s="33"/>
      <c r="R1162" s="33"/>
      <c r="S1162" s="61"/>
      <c r="T1162" s="33"/>
      <c r="U1162" s="62"/>
      <c r="W1162" s="61"/>
      <c r="X1162" s="62"/>
    </row>
    <row r="1163" spans="2:31" ht="16">
      <c r="B1163" s="67" t="str">
        <f t="shared" si="5"/>
        <v/>
      </c>
      <c r="C1163" s="64"/>
      <c r="D1163" s="33"/>
      <c r="E1163" s="33"/>
      <c r="F1163" s="56"/>
      <c r="G1163" s="33"/>
      <c r="H1163" s="33"/>
      <c r="I1163" s="33"/>
      <c r="J1163" s="57"/>
      <c r="K1163" s="33"/>
      <c r="L1163" s="57"/>
      <c r="M1163" s="64"/>
      <c r="N1163" s="56"/>
      <c r="O1163" s="64"/>
      <c r="P1163" s="62"/>
      <c r="Q1163" s="33"/>
      <c r="R1163" s="33"/>
      <c r="S1163" s="61"/>
      <c r="T1163" s="33"/>
      <c r="U1163" s="62"/>
      <c r="W1163" s="61"/>
      <c r="X1163" s="62"/>
    </row>
    <row r="1164" spans="2:31" ht="16">
      <c r="B1164" s="67" t="str">
        <f t="shared" si="5"/>
        <v/>
      </c>
      <c r="C1164" s="64"/>
      <c r="D1164" s="33"/>
      <c r="E1164" s="33"/>
      <c r="F1164" s="56"/>
      <c r="G1164" s="33"/>
      <c r="H1164" s="33"/>
      <c r="I1164" s="33"/>
      <c r="J1164" s="57"/>
      <c r="K1164" s="33"/>
      <c r="L1164" s="57"/>
      <c r="M1164" s="64"/>
      <c r="N1164" s="56"/>
      <c r="O1164" s="64"/>
      <c r="P1164" s="62"/>
      <c r="Q1164" s="33"/>
      <c r="R1164" s="33"/>
      <c r="S1164" s="61"/>
      <c r="T1164" s="33"/>
      <c r="U1164" s="62"/>
      <c r="W1164" s="61"/>
      <c r="X1164" s="62"/>
    </row>
    <row r="1165" spans="2:31" ht="16">
      <c r="B1165" s="67" t="str">
        <f t="shared" si="5"/>
        <v/>
      </c>
      <c r="C1165" s="64"/>
      <c r="D1165" s="33"/>
      <c r="E1165" s="33"/>
      <c r="F1165" s="56"/>
      <c r="G1165" s="33"/>
      <c r="H1165" s="33"/>
      <c r="I1165" s="33"/>
      <c r="J1165" s="57"/>
      <c r="K1165" s="33"/>
      <c r="L1165" s="57"/>
      <c r="M1165" s="64"/>
      <c r="N1165" s="56"/>
      <c r="O1165" s="64"/>
      <c r="P1165" s="62"/>
      <c r="Q1165" s="33"/>
      <c r="R1165" s="33"/>
      <c r="S1165" s="61"/>
      <c r="T1165" s="33"/>
      <c r="U1165" s="62"/>
      <c r="W1165" s="61"/>
      <c r="X1165" s="62"/>
    </row>
    <row r="1166" spans="2:31" ht="16">
      <c r="B1166" s="67" t="str">
        <f t="shared" si="5"/>
        <v/>
      </c>
      <c r="C1166" s="64"/>
      <c r="D1166" s="33"/>
      <c r="E1166" s="33"/>
      <c r="F1166" s="56"/>
      <c r="G1166" s="33"/>
      <c r="H1166" s="33"/>
      <c r="I1166" s="33"/>
      <c r="J1166" s="57"/>
      <c r="K1166" s="33"/>
      <c r="L1166" s="57"/>
      <c r="M1166" s="64"/>
      <c r="N1166" s="56"/>
      <c r="O1166" s="64"/>
      <c r="P1166" s="62"/>
      <c r="Q1166" s="33"/>
      <c r="R1166" s="33"/>
      <c r="S1166" s="61"/>
      <c r="T1166" s="33"/>
      <c r="U1166" s="62"/>
      <c r="W1166" s="61"/>
      <c r="X1166" s="62"/>
    </row>
    <row r="1167" spans="2:31" ht="16">
      <c r="B1167" s="67" t="str">
        <f t="shared" si="5"/>
        <v/>
      </c>
      <c r="C1167" s="64"/>
      <c r="D1167" s="33"/>
      <c r="E1167" s="33"/>
      <c r="F1167" s="56"/>
      <c r="G1167" s="33"/>
      <c r="H1167" s="33"/>
      <c r="I1167" s="33"/>
      <c r="J1167" s="57"/>
      <c r="K1167" s="33"/>
      <c r="L1167" s="57"/>
      <c r="M1167" s="64"/>
      <c r="N1167" s="56"/>
      <c r="O1167" s="64"/>
      <c r="P1167" s="62"/>
      <c r="Q1167" s="33"/>
      <c r="R1167" s="33"/>
      <c r="S1167" s="61"/>
      <c r="T1167" s="33"/>
      <c r="U1167" s="62"/>
      <c r="W1167" s="61"/>
      <c r="X1167" s="62"/>
    </row>
    <row r="1168" spans="2:31" ht="16">
      <c r="B1168" s="67" t="str">
        <f t="shared" si="5"/>
        <v/>
      </c>
      <c r="C1168" s="64"/>
      <c r="D1168" s="33"/>
      <c r="E1168" s="33"/>
      <c r="F1168" s="56"/>
      <c r="G1168" s="33"/>
      <c r="H1168" s="33"/>
      <c r="I1168" s="33"/>
      <c r="J1168" s="57"/>
      <c r="K1168" s="33"/>
      <c r="L1168" s="57"/>
      <c r="M1168" s="64"/>
      <c r="N1168" s="56"/>
      <c r="O1168" s="64"/>
      <c r="P1168" s="62"/>
      <c r="Q1168" s="33"/>
      <c r="R1168" s="33"/>
      <c r="S1168" s="61"/>
      <c r="T1168" s="33"/>
      <c r="U1168" s="62"/>
      <c r="W1168" s="61"/>
      <c r="X1168" s="62"/>
    </row>
    <row r="1169" spans="2:24" ht="16">
      <c r="B1169" s="67" t="str">
        <f t="shared" si="5"/>
        <v/>
      </c>
      <c r="C1169" s="64"/>
      <c r="D1169" s="33"/>
      <c r="E1169" s="33"/>
      <c r="F1169" s="56"/>
      <c r="G1169" s="33"/>
      <c r="H1169" s="33"/>
      <c r="I1169" s="33"/>
      <c r="J1169" s="57"/>
      <c r="K1169" s="33"/>
      <c r="L1169" s="57"/>
      <c r="M1169" s="64"/>
      <c r="N1169" s="56"/>
      <c r="O1169" s="64"/>
      <c r="P1169" s="62"/>
      <c r="Q1169" s="33"/>
      <c r="R1169" s="33"/>
      <c r="S1169" s="61"/>
      <c r="T1169" s="33"/>
      <c r="U1169" s="62"/>
      <c r="W1169" s="61"/>
      <c r="X1169" s="62"/>
    </row>
    <row r="1170" spans="2:24" ht="16">
      <c r="B1170" s="67" t="str">
        <f t="shared" si="5"/>
        <v/>
      </c>
      <c r="C1170" s="64"/>
      <c r="D1170" s="33"/>
      <c r="E1170" s="33"/>
      <c r="F1170" s="56"/>
      <c r="G1170" s="33"/>
      <c r="H1170" s="33"/>
      <c r="I1170" s="33"/>
      <c r="J1170" s="57"/>
      <c r="K1170" s="33"/>
      <c r="L1170" s="57"/>
      <c r="M1170" s="64"/>
      <c r="N1170" s="56"/>
      <c r="O1170" s="64"/>
      <c r="P1170" s="62"/>
      <c r="Q1170" s="33"/>
      <c r="R1170" s="33"/>
      <c r="S1170" s="61"/>
      <c r="T1170" s="33"/>
      <c r="U1170" s="62"/>
      <c r="W1170" s="61"/>
      <c r="X1170" s="62"/>
    </row>
    <row r="1171" spans="2:24" ht="16">
      <c r="B1171" s="67" t="str">
        <f t="shared" si="5"/>
        <v/>
      </c>
      <c r="C1171" s="64"/>
      <c r="D1171" s="33"/>
      <c r="E1171" s="33"/>
      <c r="F1171" s="56"/>
      <c r="G1171" s="33"/>
      <c r="H1171" s="33"/>
      <c r="I1171" s="33"/>
      <c r="J1171" s="57"/>
      <c r="K1171" s="33"/>
      <c r="L1171" s="57"/>
      <c r="M1171" s="64"/>
      <c r="N1171" s="56"/>
      <c r="O1171" s="64"/>
      <c r="P1171" s="62"/>
      <c r="Q1171" s="33"/>
      <c r="R1171" s="33"/>
      <c r="S1171" s="61"/>
      <c r="T1171" s="33"/>
      <c r="U1171" s="62"/>
      <c r="W1171" s="61"/>
      <c r="X1171" s="62"/>
    </row>
    <row r="1172" spans="2:24" ht="16">
      <c r="B1172" s="67" t="str">
        <f t="shared" si="5"/>
        <v/>
      </c>
      <c r="C1172" s="64"/>
      <c r="D1172" s="33"/>
      <c r="E1172" s="33"/>
      <c r="F1172" s="56"/>
      <c r="G1172" s="33"/>
      <c r="H1172" s="33"/>
      <c r="I1172" s="33"/>
      <c r="J1172" s="57"/>
      <c r="K1172" s="33"/>
      <c r="L1172" s="57"/>
      <c r="M1172" s="64"/>
      <c r="N1172" s="56"/>
      <c r="O1172" s="64"/>
      <c r="P1172" s="62"/>
      <c r="Q1172" s="33"/>
      <c r="R1172" s="33"/>
      <c r="S1172" s="61"/>
      <c r="T1172" s="33"/>
      <c r="U1172" s="62"/>
      <c r="W1172" s="61"/>
      <c r="X1172" s="62"/>
    </row>
    <row r="1173" spans="2:24" ht="16">
      <c r="B1173" s="67" t="str">
        <f t="shared" si="5"/>
        <v/>
      </c>
      <c r="C1173" s="64"/>
      <c r="D1173" s="33"/>
      <c r="E1173" s="33"/>
      <c r="F1173" s="56"/>
      <c r="G1173" s="33"/>
      <c r="H1173" s="33"/>
      <c r="I1173" s="33"/>
      <c r="J1173" s="57"/>
      <c r="K1173" s="33"/>
      <c r="L1173" s="57"/>
      <c r="M1173" s="64"/>
      <c r="N1173" s="56"/>
      <c r="O1173" s="64"/>
      <c r="P1173" s="62"/>
      <c r="Q1173" s="33"/>
      <c r="R1173" s="33"/>
      <c r="S1173" s="61"/>
      <c r="T1173" s="33"/>
      <c r="U1173" s="62"/>
      <c r="W1173" s="61"/>
      <c r="X1173" s="62"/>
    </row>
    <row r="1174" spans="2:24" ht="16">
      <c r="B1174" s="67" t="str">
        <f t="shared" si="5"/>
        <v/>
      </c>
      <c r="C1174" s="64"/>
      <c r="D1174" s="33"/>
      <c r="E1174" s="33"/>
      <c r="F1174" s="56"/>
      <c r="G1174" s="33"/>
      <c r="H1174" s="33"/>
      <c r="I1174" s="33"/>
      <c r="J1174" s="57"/>
      <c r="K1174" s="33"/>
      <c r="L1174" s="57"/>
      <c r="M1174" s="64"/>
      <c r="N1174" s="56"/>
      <c r="O1174" s="64"/>
      <c r="P1174" s="62"/>
      <c r="Q1174" s="33"/>
      <c r="R1174" s="33"/>
      <c r="S1174" s="61"/>
      <c r="T1174" s="33"/>
      <c r="W1174" s="61"/>
    </row>
    <row r="1175" spans="2:24" ht="16">
      <c r="B1175" s="67" t="str">
        <f t="shared" si="5"/>
        <v/>
      </c>
      <c r="C1175" s="64"/>
      <c r="D1175" s="33"/>
      <c r="E1175" s="33"/>
      <c r="F1175" s="56"/>
      <c r="G1175" s="33"/>
      <c r="H1175" s="33"/>
      <c r="I1175" s="33"/>
      <c r="J1175" s="57"/>
      <c r="K1175" s="33"/>
      <c r="L1175" s="57"/>
      <c r="M1175" s="64"/>
      <c r="N1175" s="56"/>
      <c r="O1175" s="64"/>
      <c r="P1175" s="62"/>
      <c r="Q1175" s="33"/>
      <c r="R1175" s="33"/>
      <c r="S1175" s="61"/>
      <c r="T1175" s="33"/>
      <c r="U1175" s="62"/>
      <c r="W1175" s="61"/>
      <c r="X1175" s="62"/>
    </row>
    <row r="1176" spans="2:24" ht="16">
      <c r="B1176" s="67" t="str">
        <f t="shared" si="5"/>
        <v/>
      </c>
      <c r="C1176" s="64"/>
      <c r="D1176" s="33"/>
      <c r="E1176" s="33"/>
      <c r="F1176" s="56"/>
      <c r="G1176" s="33"/>
      <c r="H1176" s="33"/>
      <c r="I1176" s="33"/>
      <c r="J1176" s="57"/>
      <c r="K1176" s="33"/>
      <c r="L1176" s="57"/>
      <c r="M1176" s="64"/>
      <c r="N1176" s="56"/>
      <c r="O1176" s="64"/>
      <c r="P1176" s="62"/>
      <c r="Q1176" s="33"/>
      <c r="R1176" s="33"/>
      <c r="S1176" s="61"/>
      <c r="T1176" s="33"/>
      <c r="U1176" s="62"/>
      <c r="W1176" s="61"/>
      <c r="X1176" s="62"/>
    </row>
    <row r="1177" spans="2:24" ht="16">
      <c r="B1177" s="67" t="str">
        <f t="shared" si="5"/>
        <v/>
      </c>
      <c r="C1177" s="64"/>
      <c r="D1177" s="33"/>
      <c r="E1177" s="33"/>
      <c r="F1177" s="56"/>
      <c r="G1177" s="33"/>
      <c r="H1177" s="33"/>
      <c r="I1177" s="33"/>
      <c r="J1177" s="57"/>
      <c r="K1177" s="33"/>
      <c r="L1177" s="57"/>
      <c r="M1177" s="64"/>
      <c r="N1177" s="56"/>
      <c r="O1177" s="64"/>
      <c r="P1177" s="62"/>
      <c r="Q1177" s="33"/>
      <c r="R1177" s="33"/>
      <c r="S1177" s="61"/>
      <c r="T1177" s="33"/>
      <c r="U1177" s="62"/>
      <c r="W1177" s="61"/>
      <c r="X1177" s="62"/>
    </row>
    <row r="1178" spans="2:24" ht="16">
      <c r="B1178" s="67" t="str">
        <f t="shared" si="5"/>
        <v/>
      </c>
      <c r="C1178" s="64"/>
      <c r="D1178" s="33"/>
      <c r="E1178" s="33"/>
      <c r="F1178" s="56"/>
      <c r="G1178" s="33"/>
      <c r="H1178" s="33"/>
      <c r="I1178" s="33"/>
      <c r="J1178" s="57"/>
      <c r="K1178" s="33"/>
      <c r="L1178" s="57"/>
      <c r="M1178" s="64"/>
      <c r="N1178" s="56"/>
      <c r="O1178" s="64"/>
      <c r="P1178" s="62"/>
      <c r="Q1178" s="33"/>
      <c r="R1178" s="33"/>
      <c r="S1178" s="61"/>
      <c r="T1178" s="33"/>
      <c r="U1178" s="62"/>
      <c r="W1178" s="61"/>
      <c r="X1178" s="62"/>
    </row>
    <row r="1179" spans="2:24" ht="16">
      <c r="B1179" s="67" t="str">
        <f t="shared" si="5"/>
        <v/>
      </c>
      <c r="C1179" s="64"/>
      <c r="D1179" s="33"/>
      <c r="E1179" s="33"/>
      <c r="F1179" s="56"/>
      <c r="G1179" s="33"/>
      <c r="H1179" s="33"/>
      <c r="I1179" s="33"/>
      <c r="J1179" s="57"/>
      <c r="K1179" s="33"/>
      <c r="L1179" s="57"/>
      <c r="M1179" s="64"/>
      <c r="N1179" s="56"/>
      <c r="O1179" s="64"/>
      <c r="P1179" s="62"/>
      <c r="Q1179" s="33"/>
      <c r="R1179" s="33"/>
      <c r="S1179" s="61"/>
      <c r="T1179" s="33"/>
      <c r="U1179" s="62"/>
      <c r="W1179" s="61"/>
      <c r="X1179" s="62"/>
    </row>
    <row r="1180" spans="2:24" ht="16">
      <c r="B1180" s="67" t="str">
        <f t="shared" si="5"/>
        <v/>
      </c>
      <c r="C1180" s="64"/>
      <c r="D1180" s="33"/>
      <c r="E1180" s="33"/>
      <c r="F1180" s="56"/>
      <c r="G1180" s="33"/>
      <c r="H1180" s="33"/>
      <c r="I1180" s="33"/>
      <c r="J1180" s="57"/>
      <c r="K1180" s="33"/>
      <c r="L1180" s="57"/>
      <c r="M1180" s="64"/>
      <c r="N1180" s="56"/>
      <c r="O1180" s="64"/>
      <c r="P1180" s="62"/>
      <c r="Q1180" s="33"/>
      <c r="R1180" s="33"/>
      <c r="S1180" s="61"/>
      <c r="T1180" s="33"/>
      <c r="U1180" s="62"/>
      <c r="W1180" s="61"/>
      <c r="X1180" s="62"/>
    </row>
    <row r="1181" spans="2:24" ht="16">
      <c r="B1181" s="67" t="str">
        <f t="shared" si="5"/>
        <v/>
      </c>
      <c r="C1181" s="64"/>
      <c r="D1181" s="33"/>
      <c r="E1181" s="33"/>
      <c r="F1181" s="56"/>
      <c r="G1181" s="33"/>
      <c r="H1181" s="33"/>
      <c r="I1181" s="33"/>
      <c r="J1181" s="57"/>
      <c r="K1181" s="33"/>
      <c r="L1181" s="57"/>
      <c r="M1181" s="64"/>
      <c r="N1181" s="56"/>
      <c r="O1181" s="64"/>
      <c r="P1181" s="62"/>
      <c r="Q1181" s="33"/>
      <c r="R1181" s="33"/>
      <c r="S1181" s="61"/>
      <c r="T1181" s="33"/>
      <c r="U1181" s="62"/>
      <c r="W1181" s="61"/>
      <c r="X1181" s="62"/>
    </row>
    <row r="1182" spans="2:24" ht="16">
      <c r="B1182" s="67" t="str">
        <f t="shared" si="5"/>
        <v/>
      </c>
      <c r="C1182" s="64"/>
      <c r="D1182" s="33"/>
      <c r="E1182" s="33"/>
      <c r="F1182" s="56"/>
      <c r="G1182" s="33"/>
      <c r="H1182" s="33"/>
      <c r="I1182" s="33"/>
      <c r="J1182" s="57"/>
      <c r="K1182" s="33"/>
      <c r="L1182" s="57"/>
      <c r="M1182" s="64"/>
      <c r="N1182" s="56"/>
      <c r="O1182" s="64"/>
      <c r="P1182" s="62"/>
      <c r="Q1182" s="33"/>
      <c r="R1182" s="33"/>
      <c r="S1182" s="61"/>
      <c r="T1182" s="33"/>
      <c r="U1182" s="62"/>
      <c r="W1182" s="61"/>
      <c r="X1182" s="62"/>
    </row>
    <row r="1183" spans="2:24" ht="16">
      <c r="B1183" s="67" t="str">
        <f t="shared" si="5"/>
        <v/>
      </c>
      <c r="C1183" s="64"/>
      <c r="D1183" s="33"/>
      <c r="E1183" s="33"/>
      <c r="F1183" s="56"/>
      <c r="G1183" s="33"/>
      <c r="H1183" s="33"/>
      <c r="I1183" s="33"/>
      <c r="J1183" s="57"/>
      <c r="K1183" s="33"/>
      <c r="L1183" s="57"/>
      <c r="M1183" s="64"/>
      <c r="N1183" s="56"/>
      <c r="O1183" s="64"/>
      <c r="P1183" s="62"/>
      <c r="Q1183" s="33"/>
      <c r="R1183" s="33"/>
      <c r="S1183" s="61"/>
      <c r="T1183" s="33"/>
      <c r="U1183" s="62"/>
      <c r="W1183" s="61"/>
      <c r="X1183" s="62"/>
    </row>
    <row r="1184" spans="2:24" ht="16">
      <c r="B1184" s="67" t="str">
        <f t="shared" si="5"/>
        <v/>
      </c>
      <c r="C1184" s="64"/>
      <c r="D1184" s="33"/>
      <c r="E1184" s="33"/>
      <c r="F1184" s="56"/>
      <c r="G1184" s="33"/>
      <c r="H1184" s="33"/>
      <c r="I1184" s="33"/>
      <c r="J1184" s="57"/>
      <c r="K1184" s="33"/>
      <c r="L1184" s="57"/>
      <c r="M1184" s="64"/>
      <c r="N1184" s="56"/>
      <c r="O1184" s="64"/>
      <c r="P1184" s="62"/>
      <c r="Q1184" s="33"/>
      <c r="R1184" s="33"/>
      <c r="S1184" s="61"/>
      <c r="T1184" s="33"/>
      <c r="U1184" s="62"/>
      <c r="W1184" s="61"/>
      <c r="X1184" s="62"/>
    </row>
    <row r="1185" spans="2:24" ht="16">
      <c r="B1185" s="67" t="str">
        <f t="shared" si="5"/>
        <v/>
      </c>
      <c r="C1185" s="64"/>
      <c r="D1185" s="33"/>
      <c r="E1185" s="33"/>
      <c r="F1185" s="56"/>
      <c r="G1185" s="33"/>
      <c r="H1185" s="33"/>
      <c r="I1185" s="33"/>
      <c r="J1185" s="57"/>
      <c r="K1185" s="33"/>
      <c r="L1185" s="57"/>
      <c r="M1185" s="64"/>
      <c r="N1185" s="56"/>
      <c r="O1185" s="64"/>
      <c r="P1185" s="62"/>
      <c r="Q1185" s="33"/>
      <c r="R1185" s="33"/>
      <c r="S1185" s="61"/>
      <c r="T1185" s="33"/>
      <c r="U1185" s="62"/>
      <c r="W1185" s="61"/>
      <c r="X1185" s="62"/>
    </row>
    <row r="1186" spans="2:24" ht="16">
      <c r="B1186" s="67" t="str">
        <f t="shared" si="5"/>
        <v/>
      </c>
      <c r="C1186" s="64"/>
      <c r="D1186" s="33"/>
      <c r="E1186" s="33"/>
      <c r="F1186" s="56"/>
      <c r="G1186" s="33"/>
      <c r="H1186" s="33"/>
      <c r="I1186" s="33"/>
      <c r="J1186" s="57"/>
      <c r="K1186" s="33"/>
      <c r="L1186" s="57"/>
      <c r="M1186" s="64"/>
      <c r="N1186" s="56"/>
      <c r="O1186" s="64"/>
      <c r="P1186" s="62"/>
      <c r="Q1186" s="33"/>
      <c r="R1186" s="33"/>
      <c r="S1186" s="61"/>
      <c r="T1186" s="33"/>
      <c r="U1186" s="62"/>
      <c r="W1186" s="61"/>
      <c r="X1186" s="62"/>
    </row>
    <row r="1187" spans="2:24" ht="16">
      <c r="B1187" s="67" t="str">
        <f t="shared" si="5"/>
        <v/>
      </c>
      <c r="C1187" s="64"/>
      <c r="D1187" s="33"/>
      <c r="E1187" s="33"/>
      <c r="F1187" s="56"/>
      <c r="G1187" s="33"/>
      <c r="H1187" s="33"/>
      <c r="I1187" s="33"/>
      <c r="J1187" s="57"/>
      <c r="K1187" s="33"/>
      <c r="L1187" s="57"/>
      <c r="M1187" s="64"/>
      <c r="N1187" s="56"/>
      <c r="O1187" s="64"/>
      <c r="P1187" s="62"/>
      <c r="Q1187" s="33"/>
      <c r="R1187" s="33"/>
      <c r="S1187" s="61"/>
      <c r="T1187" s="33"/>
      <c r="U1187" s="62"/>
      <c r="W1187" s="61"/>
      <c r="X1187" s="62"/>
    </row>
    <row r="1188" spans="2:24" ht="16">
      <c r="B1188" s="67" t="str">
        <f t="shared" si="5"/>
        <v/>
      </c>
      <c r="C1188" s="64"/>
      <c r="D1188" s="33"/>
      <c r="E1188" s="33"/>
      <c r="F1188" s="56"/>
      <c r="G1188" s="33"/>
      <c r="H1188" s="33"/>
      <c r="I1188" s="33"/>
      <c r="J1188" s="57"/>
      <c r="K1188" s="33"/>
      <c r="L1188" s="57"/>
      <c r="M1188" s="64"/>
      <c r="N1188" s="56"/>
      <c r="O1188" s="64"/>
      <c r="P1188" s="62"/>
      <c r="Q1188" s="33"/>
      <c r="R1188" s="33"/>
      <c r="S1188" s="61"/>
      <c r="T1188" s="33"/>
      <c r="U1188" s="62"/>
      <c r="W1188" s="61"/>
      <c r="X1188" s="62"/>
    </row>
    <row r="1189" spans="2:24" ht="16">
      <c r="B1189" s="67" t="str">
        <f t="shared" si="5"/>
        <v/>
      </c>
      <c r="C1189" s="64"/>
      <c r="D1189" s="33"/>
      <c r="E1189" s="33"/>
      <c r="F1189" s="56"/>
      <c r="G1189" s="33"/>
      <c r="H1189" s="33"/>
      <c r="I1189" s="33"/>
      <c r="J1189" s="57"/>
      <c r="K1189" s="33"/>
      <c r="L1189" s="57"/>
      <c r="M1189" s="64"/>
      <c r="N1189" s="56"/>
      <c r="O1189" s="64"/>
      <c r="P1189" s="62"/>
      <c r="Q1189" s="33"/>
      <c r="R1189" s="33"/>
      <c r="S1189" s="61"/>
      <c r="T1189" s="33"/>
      <c r="U1189" s="62"/>
      <c r="W1189" s="61"/>
      <c r="X1189" s="62"/>
    </row>
    <row r="1190" spans="2:24" ht="16">
      <c r="B1190" s="67" t="str">
        <f t="shared" si="5"/>
        <v/>
      </c>
      <c r="C1190" s="64"/>
      <c r="D1190" s="33"/>
      <c r="E1190" s="33"/>
      <c r="F1190" s="56"/>
      <c r="G1190" s="33"/>
      <c r="H1190" s="33"/>
      <c r="I1190" s="33"/>
      <c r="J1190" s="57"/>
      <c r="K1190" s="33"/>
      <c r="L1190" s="57"/>
      <c r="M1190" s="64"/>
      <c r="N1190" s="56"/>
      <c r="O1190" s="64"/>
      <c r="P1190" s="62"/>
      <c r="Q1190" s="33"/>
      <c r="R1190" s="33"/>
      <c r="S1190" s="61"/>
      <c r="T1190" s="33"/>
      <c r="U1190" s="62"/>
      <c r="W1190" s="61"/>
      <c r="X1190" s="62"/>
    </row>
    <row r="1191" spans="2:24" ht="16">
      <c r="B1191" s="67" t="str">
        <f t="shared" si="5"/>
        <v/>
      </c>
      <c r="C1191" s="64"/>
      <c r="D1191" s="33"/>
      <c r="E1191" s="33"/>
      <c r="F1191" s="56"/>
      <c r="G1191" s="33"/>
      <c r="H1191" s="33"/>
      <c r="I1191" s="33"/>
      <c r="J1191" s="57"/>
      <c r="K1191" s="33"/>
      <c r="L1191" s="57"/>
      <c r="M1191" s="64"/>
      <c r="N1191" s="56"/>
      <c r="O1191" s="64"/>
      <c r="P1191" s="62"/>
      <c r="Q1191" s="33"/>
      <c r="R1191" s="33"/>
      <c r="S1191" s="61"/>
      <c r="T1191" s="33"/>
      <c r="U1191" s="62"/>
      <c r="W1191" s="61"/>
      <c r="X1191" s="62"/>
    </row>
    <row r="1192" spans="2:24" ht="16">
      <c r="B1192" s="67" t="str">
        <f t="shared" si="5"/>
        <v/>
      </c>
      <c r="C1192" s="33"/>
      <c r="D1192" s="33"/>
      <c r="E1192" s="33"/>
      <c r="F1192" s="56"/>
      <c r="G1192" s="33"/>
      <c r="H1192" s="33"/>
      <c r="I1192" s="33"/>
      <c r="J1192" s="57"/>
      <c r="K1192" s="33"/>
      <c r="L1192" s="57"/>
      <c r="M1192" s="64"/>
      <c r="N1192" s="56"/>
      <c r="O1192" s="64"/>
      <c r="P1192" s="62"/>
      <c r="Q1192" s="33"/>
      <c r="R1192" s="33"/>
      <c r="S1192" s="61"/>
      <c r="T1192" s="33"/>
      <c r="U1192" s="62"/>
      <c r="W1192" s="61"/>
      <c r="X1192" s="62"/>
    </row>
    <row r="1193" spans="2:24" ht="16">
      <c r="B1193" s="67" t="str">
        <f t="shared" si="5"/>
        <v/>
      </c>
      <c r="C1193" s="33"/>
      <c r="D1193" s="33"/>
      <c r="E1193" s="33"/>
      <c r="F1193" s="56"/>
      <c r="G1193" s="33"/>
      <c r="H1193" s="33"/>
      <c r="I1193" s="33"/>
      <c r="J1193" s="57"/>
      <c r="K1193" s="33"/>
      <c r="L1193" s="57"/>
      <c r="M1193" s="64"/>
      <c r="N1193" s="56"/>
      <c r="O1193" s="64"/>
      <c r="P1193" s="62"/>
      <c r="Q1193" s="33"/>
      <c r="R1193" s="33"/>
      <c r="S1193" s="61"/>
      <c r="T1193" s="33"/>
      <c r="U1193" s="62"/>
      <c r="W1193" s="61"/>
      <c r="X1193" s="62"/>
    </row>
    <row r="1194" spans="2:24" ht="16">
      <c r="B1194" s="67" t="str">
        <f t="shared" si="5"/>
        <v/>
      </c>
      <c r="C1194" s="33"/>
      <c r="D1194" s="33"/>
      <c r="E1194" s="33"/>
      <c r="F1194" s="56"/>
      <c r="G1194" s="33"/>
      <c r="H1194" s="33"/>
      <c r="I1194" s="33"/>
      <c r="J1194" s="57"/>
      <c r="K1194" s="33"/>
      <c r="L1194" s="57"/>
      <c r="M1194" s="64"/>
      <c r="N1194" s="56"/>
      <c r="O1194" s="64"/>
      <c r="P1194" s="62"/>
      <c r="Q1194" s="33"/>
      <c r="R1194" s="33"/>
      <c r="S1194" s="61"/>
      <c r="T1194" s="33"/>
      <c r="U1194" s="62"/>
      <c r="W1194" s="61"/>
      <c r="X1194" s="62"/>
    </row>
    <row r="1195" spans="2:24" ht="16">
      <c r="B1195" s="67" t="str">
        <f t="shared" si="5"/>
        <v/>
      </c>
      <c r="C1195" s="33"/>
      <c r="D1195" s="33"/>
      <c r="E1195" s="33"/>
      <c r="F1195" s="56"/>
      <c r="G1195" s="33"/>
      <c r="H1195" s="33"/>
      <c r="I1195" s="33"/>
      <c r="J1195" s="57"/>
      <c r="K1195" s="33"/>
      <c r="L1195" s="57"/>
      <c r="M1195" s="64"/>
      <c r="N1195" s="56"/>
      <c r="O1195" s="64"/>
      <c r="P1195" s="62"/>
      <c r="Q1195" s="33"/>
      <c r="R1195" s="33"/>
      <c r="S1195" s="61"/>
      <c r="T1195" s="33"/>
      <c r="U1195" s="62"/>
      <c r="W1195" s="61"/>
      <c r="X1195" s="62"/>
    </row>
    <row r="1196" spans="2:24" ht="16">
      <c r="B1196" s="67" t="str">
        <f t="shared" si="5"/>
        <v/>
      </c>
      <c r="C1196" s="33"/>
      <c r="D1196" s="33"/>
      <c r="E1196" s="33"/>
      <c r="F1196" s="56"/>
      <c r="G1196" s="33"/>
      <c r="H1196" s="33"/>
      <c r="I1196" s="33"/>
      <c r="J1196" s="57"/>
      <c r="K1196" s="33"/>
      <c r="L1196" s="57"/>
      <c r="M1196" s="64"/>
      <c r="N1196" s="56"/>
      <c r="O1196" s="64"/>
      <c r="P1196" s="62"/>
      <c r="Q1196" s="33"/>
      <c r="R1196" s="33"/>
      <c r="S1196" s="61"/>
      <c r="T1196" s="33"/>
      <c r="U1196" s="62"/>
      <c r="W1196" s="61"/>
      <c r="X1196" s="62"/>
    </row>
    <row r="1197" spans="2:24" ht="16">
      <c r="B1197" s="67" t="str">
        <f t="shared" si="5"/>
        <v/>
      </c>
      <c r="C1197" s="33"/>
      <c r="D1197" s="33"/>
      <c r="E1197" s="33"/>
      <c r="F1197" s="56"/>
      <c r="G1197" s="33"/>
      <c r="H1197" s="33"/>
      <c r="I1197" s="33"/>
      <c r="J1197" s="57"/>
      <c r="K1197" s="33"/>
      <c r="L1197" s="57"/>
      <c r="M1197" s="58"/>
      <c r="N1197" s="56"/>
      <c r="O1197" s="64"/>
      <c r="P1197" s="62"/>
      <c r="Q1197" s="33"/>
      <c r="R1197" s="33"/>
      <c r="S1197" s="61"/>
      <c r="T1197" s="33"/>
      <c r="U1197" s="62"/>
      <c r="W1197" s="61"/>
      <c r="X1197" s="62"/>
    </row>
    <row r="1198" spans="2:24" ht="16">
      <c r="B1198" s="67" t="str">
        <f t="shared" si="5"/>
        <v/>
      </c>
      <c r="C1198" s="33"/>
      <c r="D1198" s="33"/>
      <c r="E1198" s="33"/>
      <c r="F1198" s="56"/>
      <c r="G1198" s="33"/>
      <c r="H1198" s="33"/>
      <c r="I1198" s="33"/>
      <c r="J1198" s="57"/>
      <c r="K1198" s="33"/>
      <c r="L1198" s="57"/>
      <c r="M1198" s="64"/>
      <c r="N1198" s="56"/>
      <c r="O1198" s="64"/>
      <c r="P1198" s="62"/>
      <c r="Q1198" s="33"/>
      <c r="R1198" s="33"/>
      <c r="S1198" s="61"/>
      <c r="T1198" s="33"/>
      <c r="U1198" s="62"/>
      <c r="W1198" s="61"/>
      <c r="X1198" s="62"/>
    </row>
    <row r="1199" spans="2:24" ht="16">
      <c r="B1199" s="67" t="str">
        <f t="shared" si="5"/>
        <v/>
      </c>
      <c r="C1199" s="33"/>
      <c r="D1199" s="33"/>
      <c r="E1199" s="33"/>
      <c r="F1199" s="56"/>
      <c r="G1199" s="33"/>
      <c r="H1199" s="33"/>
      <c r="I1199" s="33"/>
      <c r="J1199" s="57"/>
      <c r="K1199" s="33"/>
      <c r="L1199" s="57"/>
      <c r="M1199" s="64"/>
      <c r="N1199" s="56"/>
      <c r="O1199" s="64"/>
      <c r="P1199" s="62"/>
      <c r="Q1199" s="33"/>
      <c r="R1199" s="33"/>
      <c r="S1199" s="61"/>
      <c r="T1199" s="33"/>
      <c r="U1199" s="62"/>
      <c r="W1199" s="61"/>
      <c r="X1199" s="62"/>
    </row>
    <row r="1200" spans="2:24" ht="16">
      <c r="B1200" s="67" t="str">
        <f t="shared" si="5"/>
        <v/>
      </c>
      <c r="C1200" s="33"/>
      <c r="D1200" s="33"/>
      <c r="E1200" s="33"/>
      <c r="F1200" s="56"/>
      <c r="G1200" s="33"/>
      <c r="H1200" s="33"/>
      <c r="I1200" s="33"/>
      <c r="J1200" s="57"/>
      <c r="K1200" s="33"/>
      <c r="L1200" s="57"/>
      <c r="M1200" s="64"/>
      <c r="N1200" s="56"/>
      <c r="O1200" s="64"/>
      <c r="P1200" s="62"/>
      <c r="Q1200" s="33"/>
      <c r="R1200" s="33"/>
      <c r="S1200" s="61"/>
      <c r="T1200" s="33"/>
      <c r="U1200" s="62"/>
      <c r="W1200" s="61"/>
      <c r="X1200" s="62"/>
    </row>
    <row r="1201" spans="2:24" ht="16">
      <c r="B1201" s="67" t="str">
        <f t="shared" si="5"/>
        <v/>
      </c>
      <c r="C1201" s="33"/>
      <c r="D1201" s="33"/>
      <c r="E1201" s="33"/>
      <c r="F1201" s="56"/>
      <c r="G1201" s="33"/>
      <c r="H1201" s="33"/>
      <c r="I1201" s="33"/>
      <c r="J1201" s="57"/>
      <c r="K1201" s="33"/>
      <c r="L1201" s="57"/>
      <c r="M1201" s="64"/>
      <c r="N1201" s="56"/>
      <c r="O1201" s="64"/>
      <c r="P1201" s="62"/>
      <c r="Q1201" s="33"/>
      <c r="R1201" s="33"/>
      <c r="S1201" s="61"/>
      <c r="T1201" s="33"/>
      <c r="U1201" s="62"/>
      <c r="W1201" s="61"/>
      <c r="X1201" s="62"/>
    </row>
    <row r="1202" spans="2:24" ht="16">
      <c r="B1202" s="67" t="str">
        <f t="shared" si="5"/>
        <v/>
      </c>
      <c r="C1202" s="33"/>
      <c r="D1202" s="33"/>
      <c r="E1202" s="33"/>
      <c r="F1202" s="56"/>
      <c r="G1202" s="33"/>
      <c r="H1202" s="33"/>
      <c r="I1202" s="33"/>
      <c r="J1202" s="57"/>
      <c r="K1202" s="33"/>
      <c r="L1202" s="57"/>
      <c r="M1202" s="64"/>
      <c r="N1202" s="56"/>
      <c r="O1202" s="64"/>
      <c r="P1202" s="62"/>
      <c r="Q1202" s="33"/>
      <c r="R1202" s="33"/>
      <c r="S1202" s="61"/>
      <c r="T1202" s="33"/>
      <c r="U1202" s="62"/>
      <c r="W1202" s="61"/>
      <c r="X1202" s="62"/>
    </row>
    <row r="1203" spans="2:24" ht="16">
      <c r="B1203" s="67" t="str">
        <f t="shared" si="5"/>
        <v/>
      </c>
      <c r="C1203" s="33"/>
      <c r="D1203" s="33"/>
      <c r="E1203" s="33"/>
      <c r="F1203" s="56"/>
      <c r="G1203" s="33"/>
      <c r="H1203" s="33"/>
      <c r="I1203" s="33"/>
      <c r="J1203" s="57"/>
      <c r="K1203" s="33"/>
      <c r="L1203" s="57"/>
      <c r="M1203" s="64"/>
      <c r="N1203" s="56"/>
      <c r="O1203" s="64"/>
      <c r="P1203" s="62"/>
      <c r="Q1203" s="33"/>
      <c r="R1203" s="33"/>
      <c r="S1203" s="61"/>
      <c r="T1203" s="33"/>
      <c r="U1203" s="62"/>
      <c r="W1203" s="61"/>
      <c r="X1203" s="62"/>
    </row>
    <row r="1204" spans="2:24" ht="16">
      <c r="B1204" s="67" t="str">
        <f t="shared" si="5"/>
        <v/>
      </c>
      <c r="C1204" s="33"/>
      <c r="D1204" s="33"/>
      <c r="E1204" s="33"/>
      <c r="F1204" s="56"/>
      <c r="G1204" s="33"/>
      <c r="H1204" s="33"/>
      <c r="I1204" s="33"/>
      <c r="J1204" s="57"/>
      <c r="K1204" s="33"/>
      <c r="L1204" s="57"/>
      <c r="M1204" s="64"/>
      <c r="N1204" s="56"/>
      <c r="O1204" s="64"/>
      <c r="P1204" s="62"/>
      <c r="Q1204" s="33"/>
      <c r="R1204" s="33"/>
      <c r="S1204" s="61"/>
      <c r="T1204" s="33"/>
      <c r="U1204" s="62"/>
      <c r="W1204" s="61"/>
      <c r="X1204" s="62"/>
    </row>
    <row r="1205" spans="2:24" ht="16">
      <c r="B1205" s="67" t="str">
        <f t="shared" si="5"/>
        <v/>
      </c>
      <c r="C1205" s="33"/>
      <c r="D1205" s="33"/>
      <c r="E1205" s="33"/>
      <c r="F1205" s="56"/>
      <c r="G1205" s="33"/>
      <c r="H1205" s="33"/>
      <c r="I1205" s="33"/>
      <c r="J1205" s="57"/>
      <c r="K1205" s="33"/>
      <c r="L1205" s="57"/>
      <c r="M1205" s="64"/>
      <c r="N1205" s="56"/>
      <c r="O1205" s="64"/>
      <c r="P1205" s="62"/>
      <c r="Q1205" s="33"/>
      <c r="R1205" s="33"/>
      <c r="S1205" s="61"/>
      <c r="T1205" s="33"/>
      <c r="U1205" s="62"/>
      <c r="W1205" s="61"/>
      <c r="X1205" s="62"/>
    </row>
    <row r="1206" spans="2:24" ht="16">
      <c r="B1206" s="67" t="str">
        <f t="shared" si="5"/>
        <v/>
      </c>
      <c r="C1206" s="33"/>
      <c r="D1206" s="33"/>
      <c r="E1206" s="33"/>
      <c r="F1206" s="56"/>
      <c r="G1206" s="33"/>
      <c r="H1206" s="33"/>
      <c r="I1206" s="33"/>
      <c r="J1206" s="57"/>
      <c r="K1206" s="33"/>
      <c r="L1206" s="57"/>
      <c r="M1206" s="64"/>
      <c r="N1206" s="56"/>
      <c r="O1206" s="64"/>
      <c r="P1206" s="62"/>
      <c r="Q1206" s="33"/>
      <c r="R1206" s="33"/>
      <c r="S1206" s="61"/>
      <c r="T1206" s="33"/>
      <c r="U1206" s="62"/>
      <c r="W1206" s="61"/>
      <c r="X1206" s="62"/>
    </row>
    <row r="1207" spans="2:24" ht="16">
      <c r="B1207" s="67" t="str">
        <f t="shared" si="5"/>
        <v/>
      </c>
      <c r="C1207" s="33"/>
      <c r="D1207" s="33"/>
      <c r="E1207" s="33"/>
      <c r="F1207" s="56"/>
      <c r="G1207" s="33"/>
      <c r="H1207" s="33"/>
      <c r="I1207" s="33"/>
      <c r="J1207" s="57"/>
      <c r="K1207" s="33"/>
      <c r="L1207" s="57"/>
      <c r="M1207" s="64"/>
      <c r="N1207" s="56"/>
      <c r="O1207" s="64"/>
      <c r="P1207" s="62"/>
      <c r="Q1207" s="33"/>
      <c r="R1207" s="33"/>
      <c r="S1207" s="61"/>
      <c r="T1207" s="33"/>
      <c r="U1207" s="62"/>
      <c r="W1207" s="61"/>
      <c r="X1207" s="62"/>
    </row>
    <row r="1208" spans="2:24" ht="16">
      <c r="B1208" s="67" t="str">
        <f t="shared" si="5"/>
        <v/>
      </c>
      <c r="C1208" s="33"/>
      <c r="D1208" s="33"/>
      <c r="E1208" s="33"/>
      <c r="F1208" s="56"/>
      <c r="G1208" s="33"/>
      <c r="H1208" s="33"/>
      <c r="I1208" s="33"/>
      <c r="J1208" s="57"/>
      <c r="K1208" s="33"/>
      <c r="L1208" s="57"/>
      <c r="M1208" s="64"/>
      <c r="N1208" s="56"/>
      <c r="O1208" s="64"/>
      <c r="P1208" s="62"/>
      <c r="Q1208" s="33"/>
      <c r="R1208" s="33"/>
      <c r="S1208" s="61"/>
      <c r="T1208" s="33"/>
      <c r="U1208" s="62"/>
      <c r="W1208" s="61"/>
      <c r="X1208" s="62"/>
    </row>
    <row r="1209" spans="2:24" ht="16">
      <c r="B1209" s="67" t="str">
        <f t="shared" si="5"/>
        <v/>
      </c>
      <c r="C1209" s="33"/>
      <c r="D1209" s="33"/>
      <c r="E1209" s="33"/>
      <c r="F1209" s="56"/>
      <c r="G1209" s="33"/>
      <c r="H1209" s="33"/>
      <c r="I1209" s="33"/>
      <c r="J1209" s="57"/>
      <c r="K1209" s="33"/>
      <c r="L1209" s="57"/>
      <c r="M1209" s="64"/>
      <c r="N1209" s="56"/>
      <c r="O1209" s="64"/>
      <c r="P1209" s="62"/>
      <c r="Q1209" s="33"/>
      <c r="R1209" s="33"/>
      <c r="S1209" s="61"/>
      <c r="T1209" s="33"/>
      <c r="U1209" s="62"/>
      <c r="W1209" s="61"/>
      <c r="X1209" s="62"/>
    </row>
    <row r="1210" spans="2:24" ht="16">
      <c r="B1210" s="67" t="str">
        <f t="shared" si="5"/>
        <v/>
      </c>
      <c r="C1210" s="33"/>
      <c r="D1210" s="33"/>
      <c r="E1210" s="33"/>
      <c r="F1210" s="56"/>
      <c r="G1210" s="33"/>
      <c r="H1210" s="33"/>
      <c r="I1210" s="33"/>
      <c r="J1210" s="57"/>
      <c r="K1210" s="33"/>
      <c r="L1210" s="57"/>
      <c r="M1210" s="64"/>
      <c r="N1210" s="56"/>
      <c r="O1210" s="64"/>
      <c r="P1210" s="62"/>
      <c r="Q1210" s="33"/>
      <c r="R1210" s="33"/>
      <c r="S1210" s="61"/>
      <c r="T1210" s="33"/>
      <c r="U1210" s="62"/>
      <c r="W1210" s="61"/>
      <c r="X1210" s="62"/>
    </row>
    <row r="1211" spans="2:24" ht="16">
      <c r="B1211" s="67" t="str">
        <f t="shared" si="5"/>
        <v/>
      </c>
      <c r="C1211" s="33"/>
      <c r="D1211" s="33"/>
      <c r="E1211" s="33"/>
      <c r="F1211" s="56"/>
      <c r="G1211" s="33"/>
      <c r="H1211" s="33"/>
      <c r="I1211" s="33"/>
      <c r="J1211" s="57"/>
      <c r="K1211" s="33"/>
      <c r="L1211" s="57"/>
      <c r="M1211" s="58"/>
      <c r="N1211" s="56"/>
      <c r="O1211" s="64"/>
      <c r="P1211" s="62"/>
      <c r="Q1211" s="33"/>
      <c r="R1211" s="33"/>
      <c r="S1211" s="61"/>
      <c r="T1211" s="33"/>
      <c r="U1211" s="62"/>
      <c r="W1211" s="61"/>
      <c r="X1211" s="62"/>
    </row>
    <row r="1212" spans="2:24" ht="16">
      <c r="B1212" s="67" t="str">
        <f t="shared" si="5"/>
        <v/>
      </c>
      <c r="C1212" s="33"/>
      <c r="D1212" s="33"/>
      <c r="E1212" s="33"/>
      <c r="F1212" s="56"/>
      <c r="G1212" s="33"/>
      <c r="H1212" s="33"/>
      <c r="I1212" s="33"/>
      <c r="J1212" s="57"/>
      <c r="K1212" s="33"/>
      <c r="L1212" s="57"/>
      <c r="M1212" s="64"/>
      <c r="N1212" s="56"/>
      <c r="O1212" s="64"/>
      <c r="P1212" s="62"/>
      <c r="Q1212" s="33"/>
      <c r="R1212" s="33"/>
      <c r="S1212" s="61"/>
      <c r="T1212" s="33"/>
      <c r="U1212" s="62"/>
      <c r="W1212" s="61"/>
      <c r="X1212" s="62"/>
    </row>
    <row r="1213" spans="2:24" ht="16">
      <c r="B1213" s="67" t="str">
        <f t="shared" si="5"/>
        <v/>
      </c>
      <c r="C1213" s="33"/>
      <c r="D1213" s="33"/>
      <c r="E1213" s="33"/>
      <c r="F1213" s="56"/>
      <c r="G1213" s="33"/>
      <c r="H1213" s="33"/>
      <c r="I1213" s="33"/>
      <c r="J1213" s="57"/>
      <c r="K1213" s="33"/>
      <c r="L1213" s="57"/>
      <c r="M1213" s="64"/>
      <c r="N1213" s="56"/>
      <c r="O1213" s="64"/>
      <c r="P1213" s="62"/>
      <c r="Q1213" s="33"/>
      <c r="R1213" s="33"/>
      <c r="S1213" s="61"/>
      <c r="T1213" s="33"/>
      <c r="U1213" s="62"/>
      <c r="W1213" s="61"/>
      <c r="X1213" s="62"/>
    </row>
    <row r="1214" spans="2:24" ht="16">
      <c r="B1214" s="67" t="str">
        <f t="shared" si="5"/>
        <v/>
      </c>
      <c r="C1214" s="33"/>
      <c r="D1214" s="33"/>
      <c r="E1214" s="33"/>
      <c r="F1214" s="56"/>
      <c r="G1214" s="33"/>
      <c r="H1214" s="33"/>
      <c r="I1214" s="33"/>
      <c r="J1214" s="57"/>
      <c r="K1214" s="33"/>
      <c r="L1214" s="57"/>
      <c r="M1214" s="64"/>
      <c r="N1214" s="56"/>
      <c r="O1214" s="64"/>
      <c r="P1214" s="62"/>
      <c r="Q1214" s="33"/>
      <c r="R1214" s="33"/>
      <c r="S1214" s="61"/>
      <c r="T1214" s="33"/>
      <c r="U1214" s="62"/>
      <c r="W1214" s="61"/>
      <c r="X1214" s="62"/>
    </row>
    <row r="1215" spans="2:24" ht="16">
      <c r="B1215" s="67" t="str">
        <f t="shared" si="5"/>
        <v/>
      </c>
      <c r="C1215" s="33"/>
      <c r="D1215" s="33"/>
      <c r="E1215" s="33"/>
      <c r="F1215" s="56"/>
      <c r="G1215" s="33"/>
      <c r="H1215" s="33"/>
      <c r="I1215" s="33"/>
      <c r="J1215" s="57"/>
      <c r="K1215" s="33"/>
      <c r="L1215" s="57"/>
      <c r="M1215" s="64"/>
      <c r="N1215" s="56"/>
      <c r="O1215" s="64"/>
      <c r="P1215" s="62"/>
      <c r="Q1215" s="33"/>
      <c r="R1215" s="33"/>
      <c r="S1215" s="61"/>
      <c r="T1215" s="33"/>
      <c r="U1215" s="62"/>
      <c r="W1215" s="61"/>
      <c r="X1215" s="62"/>
    </row>
    <row r="1216" spans="2:24" ht="16">
      <c r="B1216" s="67" t="str">
        <f t="shared" si="5"/>
        <v/>
      </c>
      <c r="C1216" s="33"/>
      <c r="D1216" s="33"/>
      <c r="E1216" s="33"/>
      <c r="F1216" s="56"/>
      <c r="G1216" s="33"/>
      <c r="H1216" s="33"/>
      <c r="I1216" s="33"/>
      <c r="J1216" s="57"/>
      <c r="K1216" s="33"/>
      <c r="L1216" s="57"/>
      <c r="M1216" s="64"/>
      <c r="N1216" s="56"/>
      <c r="O1216" s="64"/>
      <c r="P1216" s="62"/>
      <c r="Q1216" s="33"/>
      <c r="R1216" s="33"/>
      <c r="S1216" s="61"/>
      <c r="T1216" s="33"/>
      <c r="U1216" s="62"/>
      <c r="W1216" s="61"/>
      <c r="X1216" s="62"/>
    </row>
    <row r="1217" spans="2:24" ht="16">
      <c r="B1217" s="67" t="str">
        <f t="shared" si="5"/>
        <v/>
      </c>
      <c r="C1217" s="33"/>
      <c r="D1217" s="33"/>
      <c r="E1217" s="33"/>
      <c r="F1217" s="56"/>
      <c r="G1217" s="33"/>
      <c r="H1217" s="33"/>
      <c r="I1217" s="33"/>
      <c r="J1217" s="57"/>
      <c r="K1217" s="33"/>
      <c r="L1217" s="57"/>
      <c r="M1217" s="64"/>
      <c r="N1217" s="56"/>
      <c r="O1217" s="64"/>
      <c r="P1217" s="62"/>
      <c r="Q1217" s="33"/>
      <c r="R1217" s="33"/>
      <c r="S1217" s="61"/>
      <c r="T1217" s="33"/>
      <c r="U1217" s="62"/>
      <c r="W1217" s="61"/>
      <c r="X1217" s="62"/>
    </row>
    <row r="1218" spans="2:24" ht="16">
      <c r="B1218" s="67" t="str">
        <f t="shared" si="5"/>
        <v/>
      </c>
      <c r="C1218" s="33"/>
      <c r="D1218" s="33"/>
      <c r="E1218" s="33"/>
      <c r="F1218" s="56"/>
      <c r="G1218" s="33"/>
      <c r="H1218" s="33"/>
      <c r="I1218" s="33"/>
      <c r="J1218" s="57"/>
      <c r="K1218" s="33"/>
      <c r="L1218" s="57"/>
      <c r="M1218" s="64"/>
      <c r="N1218" s="56"/>
      <c r="O1218" s="64"/>
      <c r="P1218" s="62"/>
      <c r="Q1218" s="33"/>
      <c r="R1218" s="33"/>
      <c r="S1218" s="61"/>
      <c r="T1218" s="33"/>
      <c r="U1218" s="62"/>
      <c r="W1218" s="61"/>
      <c r="X1218" s="62"/>
    </row>
    <row r="1219" spans="2:24" ht="16">
      <c r="B1219" s="67" t="str">
        <f t="shared" si="5"/>
        <v/>
      </c>
      <c r="C1219" s="33"/>
      <c r="D1219" s="33"/>
      <c r="E1219" s="33"/>
      <c r="F1219" s="56"/>
      <c r="G1219" s="33"/>
      <c r="H1219" s="33"/>
      <c r="I1219" s="33"/>
      <c r="J1219" s="57"/>
      <c r="K1219" s="33"/>
      <c r="L1219" s="57"/>
      <c r="M1219" s="64"/>
      <c r="N1219" s="56"/>
      <c r="O1219" s="64"/>
      <c r="P1219" s="62"/>
      <c r="Q1219" s="33"/>
      <c r="R1219" s="33"/>
      <c r="S1219" s="61"/>
      <c r="T1219" s="33"/>
      <c r="U1219" s="62"/>
      <c r="W1219" s="61"/>
      <c r="X1219" s="62"/>
    </row>
    <row r="1220" spans="2:24" ht="16">
      <c r="B1220" s="67" t="str">
        <f t="shared" si="5"/>
        <v/>
      </c>
      <c r="C1220" s="33"/>
      <c r="D1220" s="33"/>
      <c r="E1220" s="33"/>
      <c r="F1220" s="56"/>
      <c r="G1220" s="33"/>
      <c r="H1220" s="33"/>
      <c r="I1220" s="33"/>
      <c r="J1220" s="57"/>
      <c r="K1220" s="33"/>
      <c r="L1220" s="57"/>
      <c r="M1220" s="64"/>
      <c r="N1220" s="56"/>
      <c r="O1220" s="64"/>
      <c r="P1220" s="62"/>
      <c r="Q1220" s="33"/>
      <c r="R1220" s="33"/>
      <c r="S1220" s="61"/>
      <c r="T1220" s="33"/>
      <c r="U1220" s="62"/>
      <c r="W1220" s="61"/>
      <c r="X1220" s="62"/>
    </row>
    <row r="1221" spans="2:24" ht="16">
      <c r="B1221" s="67" t="str">
        <f t="shared" si="5"/>
        <v/>
      </c>
      <c r="C1221" s="33"/>
      <c r="D1221" s="33"/>
      <c r="E1221" s="33"/>
      <c r="F1221" s="56"/>
      <c r="G1221" s="33"/>
      <c r="H1221" s="33"/>
      <c r="I1221" s="33"/>
      <c r="J1221" s="57"/>
      <c r="K1221" s="33"/>
      <c r="L1221" s="57"/>
      <c r="M1221" s="64"/>
      <c r="N1221" s="56"/>
      <c r="O1221" s="64"/>
      <c r="P1221" s="62"/>
      <c r="Q1221" s="33"/>
      <c r="R1221" s="33"/>
      <c r="S1221" s="61"/>
      <c r="T1221" s="33"/>
      <c r="U1221" s="62"/>
      <c r="W1221" s="61"/>
      <c r="X1221" s="62"/>
    </row>
    <row r="1222" spans="2:24" ht="16">
      <c r="B1222" s="67" t="str">
        <f t="shared" si="5"/>
        <v/>
      </c>
      <c r="C1222" s="33"/>
      <c r="D1222" s="33"/>
      <c r="E1222" s="33"/>
      <c r="F1222" s="56"/>
      <c r="G1222" s="33"/>
      <c r="H1222" s="33"/>
      <c r="I1222" s="33"/>
      <c r="J1222" s="57"/>
      <c r="K1222" s="33"/>
      <c r="L1222" s="57"/>
      <c r="M1222" s="64"/>
      <c r="N1222" s="56"/>
      <c r="O1222" s="64"/>
      <c r="P1222" s="62"/>
      <c r="Q1222" s="33"/>
      <c r="R1222" s="33"/>
      <c r="S1222" s="61"/>
      <c r="T1222" s="33"/>
      <c r="U1222" s="62"/>
      <c r="W1222" s="61"/>
      <c r="X1222" s="62"/>
    </row>
    <row r="1223" spans="2:24" ht="16">
      <c r="B1223" s="67" t="str">
        <f t="shared" si="5"/>
        <v/>
      </c>
      <c r="C1223" s="33"/>
      <c r="D1223" s="33"/>
      <c r="E1223" s="33"/>
      <c r="F1223" s="56"/>
      <c r="G1223" s="33"/>
      <c r="H1223" s="33"/>
      <c r="I1223" s="33"/>
      <c r="J1223" s="57"/>
      <c r="K1223" s="33"/>
      <c r="L1223" s="57"/>
      <c r="M1223" s="64"/>
      <c r="N1223" s="56"/>
      <c r="O1223" s="64"/>
      <c r="P1223" s="62"/>
      <c r="Q1223" s="33"/>
      <c r="R1223" s="33"/>
      <c r="S1223" s="61"/>
      <c r="T1223" s="33"/>
      <c r="U1223" s="62"/>
      <c r="W1223" s="61"/>
      <c r="X1223" s="62"/>
    </row>
    <row r="1224" spans="2:24" ht="16">
      <c r="B1224" s="67" t="str">
        <f t="shared" si="5"/>
        <v/>
      </c>
      <c r="C1224" s="33"/>
      <c r="D1224" s="33"/>
      <c r="E1224" s="33"/>
      <c r="F1224" s="56"/>
      <c r="G1224" s="33"/>
      <c r="H1224" s="33"/>
      <c r="I1224" s="33"/>
      <c r="J1224" s="57"/>
      <c r="K1224" s="33"/>
      <c r="L1224" s="57"/>
      <c r="M1224" s="64"/>
      <c r="N1224" s="56"/>
      <c r="O1224" s="64"/>
      <c r="P1224" s="62"/>
      <c r="Q1224" s="33"/>
      <c r="R1224" s="33"/>
      <c r="S1224" s="61"/>
      <c r="T1224" s="33"/>
      <c r="U1224" s="62"/>
      <c r="W1224" s="61"/>
      <c r="X1224" s="62"/>
    </row>
    <row r="1225" spans="2:24" ht="16">
      <c r="B1225" s="67" t="str">
        <f t="shared" si="5"/>
        <v/>
      </c>
      <c r="C1225" s="33"/>
      <c r="D1225" s="33"/>
      <c r="E1225" s="33"/>
      <c r="F1225" s="56"/>
      <c r="G1225" s="33"/>
      <c r="H1225" s="33"/>
      <c r="I1225" s="33"/>
      <c r="J1225" s="57"/>
      <c r="K1225" s="33"/>
      <c r="L1225" s="57"/>
      <c r="M1225" s="64"/>
      <c r="N1225" s="56"/>
      <c r="O1225" s="64"/>
      <c r="P1225" s="62"/>
      <c r="Q1225" s="33"/>
      <c r="R1225" s="33"/>
      <c r="S1225" s="61"/>
      <c r="T1225" s="33"/>
      <c r="U1225" s="62"/>
      <c r="W1225" s="61"/>
      <c r="X1225" s="62"/>
    </row>
    <row r="1226" spans="2:24" ht="16">
      <c r="B1226" s="67" t="str">
        <f t="shared" si="5"/>
        <v/>
      </c>
      <c r="C1226" s="33"/>
      <c r="D1226" s="33"/>
      <c r="E1226" s="33"/>
      <c r="F1226" s="56"/>
      <c r="G1226" s="33"/>
      <c r="H1226" s="33"/>
      <c r="I1226" s="33"/>
      <c r="J1226" s="57"/>
      <c r="K1226" s="33"/>
      <c r="L1226" s="57"/>
      <c r="M1226" s="64"/>
      <c r="N1226" s="56"/>
      <c r="O1226" s="64"/>
      <c r="P1226" s="62"/>
      <c r="Q1226" s="33"/>
      <c r="R1226" s="33"/>
      <c r="S1226" s="61"/>
      <c r="T1226" s="33"/>
      <c r="U1226" s="62"/>
      <c r="W1226" s="61"/>
      <c r="X1226" s="62"/>
    </row>
    <row r="1227" spans="2:24" ht="16">
      <c r="B1227" s="67" t="str">
        <f t="shared" si="5"/>
        <v/>
      </c>
      <c r="C1227" s="33"/>
      <c r="D1227" s="33"/>
      <c r="E1227" s="33"/>
      <c r="F1227" s="56"/>
      <c r="G1227" s="33"/>
      <c r="H1227" s="33"/>
      <c r="I1227" s="33"/>
      <c r="J1227" s="57"/>
      <c r="K1227" s="33"/>
      <c r="L1227" s="57"/>
      <c r="M1227" s="64"/>
      <c r="N1227" s="56"/>
      <c r="O1227" s="64"/>
      <c r="P1227" s="62"/>
      <c r="Q1227" s="33"/>
      <c r="R1227" s="33"/>
      <c r="S1227" s="61"/>
      <c r="T1227" s="33"/>
      <c r="U1227" s="62"/>
      <c r="W1227" s="61"/>
      <c r="X1227" s="62"/>
    </row>
    <row r="1228" spans="2:24" ht="16">
      <c r="B1228" s="67" t="str">
        <f t="shared" si="5"/>
        <v/>
      </c>
      <c r="C1228" s="33"/>
      <c r="D1228" s="33"/>
      <c r="E1228" s="33"/>
      <c r="F1228" s="56"/>
      <c r="G1228" s="33"/>
      <c r="H1228" s="33"/>
      <c r="I1228" s="33"/>
      <c r="J1228" s="57"/>
      <c r="K1228" s="33"/>
      <c r="L1228" s="57"/>
      <c r="M1228" s="64"/>
      <c r="N1228" s="56"/>
      <c r="O1228" s="64"/>
      <c r="P1228" s="62"/>
      <c r="Q1228" s="33"/>
      <c r="R1228" s="33"/>
      <c r="S1228" s="61"/>
      <c r="T1228" s="33"/>
      <c r="U1228" s="62"/>
      <c r="W1228" s="61"/>
      <c r="X1228" s="62"/>
    </row>
    <row r="1229" spans="2:24" ht="16">
      <c r="B1229" s="67" t="str">
        <f t="shared" si="5"/>
        <v/>
      </c>
      <c r="C1229" s="33"/>
      <c r="D1229" s="33"/>
      <c r="E1229" s="33"/>
      <c r="F1229" s="56"/>
      <c r="G1229" s="33"/>
      <c r="H1229" s="33"/>
      <c r="I1229" s="33"/>
      <c r="J1229" s="57"/>
      <c r="K1229" s="33"/>
      <c r="L1229" s="57"/>
      <c r="M1229" s="64"/>
      <c r="N1229" s="56"/>
      <c r="O1229" s="64"/>
      <c r="P1229" s="62"/>
      <c r="Q1229" s="33"/>
      <c r="R1229" s="33"/>
      <c r="S1229" s="61"/>
      <c r="T1229" s="33"/>
      <c r="U1229" s="62"/>
      <c r="W1229" s="61"/>
      <c r="X1229" s="62"/>
    </row>
    <row r="1230" spans="2:24" ht="16">
      <c r="B1230" s="67" t="str">
        <f t="shared" si="5"/>
        <v/>
      </c>
      <c r="C1230" s="33"/>
      <c r="D1230" s="33"/>
      <c r="E1230" s="33"/>
      <c r="F1230" s="56"/>
      <c r="G1230" s="33"/>
      <c r="H1230" s="33"/>
      <c r="I1230" s="33"/>
      <c r="J1230" s="57"/>
      <c r="K1230" s="33"/>
      <c r="L1230" s="57"/>
      <c r="M1230" s="64"/>
      <c r="N1230" s="56"/>
      <c r="O1230" s="64"/>
      <c r="P1230" s="62"/>
      <c r="Q1230" s="33"/>
      <c r="R1230" s="33"/>
      <c r="S1230" s="61"/>
      <c r="T1230" s="33"/>
      <c r="U1230" s="62"/>
      <c r="W1230" s="61"/>
      <c r="X1230" s="62"/>
    </row>
    <row r="1231" spans="2:24" ht="16">
      <c r="B1231" s="67" t="str">
        <f t="shared" si="5"/>
        <v/>
      </c>
      <c r="C1231" s="33"/>
      <c r="D1231" s="33"/>
      <c r="E1231" s="33"/>
      <c r="F1231" s="56"/>
      <c r="G1231" s="33"/>
      <c r="H1231" s="33"/>
      <c r="I1231" s="33"/>
      <c r="J1231" s="57"/>
      <c r="K1231" s="33"/>
      <c r="L1231" s="57"/>
      <c r="M1231" s="64"/>
      <c r="N1231" s="56"/>
      <c r="O1231" s="64"/>
      <c r="P1231" s="62"/>
      <c r="Q1231" s="33"/>
      <c r="R1231" s="33"/>
      <c r="S1231" s="61"/>
      <c r="T1231" s="33"/>
      <c r="U1231" s="62"/>
      <c r="W1231" s="61"/>
      <c r="X1231" s="62"/>
    </row>
    <row r="1232" spans="2:24" ht="16">
      <c r="B1232" s="67" t="str">
        <f t="shared" si="5"/>
        <v/>
      </c>
      <c r="C1232" s="33"/>
      <c r="D1232" s="33"/>
      <c r="E1232" s="33"/>
      <c r="F1232" s="56"/>
      <c r="G1232" s="33"/>
      <c r="H1232" s="33"/>
      <c r="I1232" s="33"/>
      <c r="J1232" s="57"/>
      <c r="K1232" s="33"/>
      <c r="L1232" s="57"/>
      <c r="M1232" s="64"/>
      <c r="N1232" s="56"/>
      <c r="O1232" s="64"/>
      <c r="P1232" s="62"/>
      <c r="Q1232" s="33"/>
      <c r="R1232" s="33"/>
      <c r="S1232" s="61"/>
      <c r="T1232" s="33"/>
      <c r="U1232" s="62"/>
      <c r="W1232" s="61"/>
      <c r="X1232" s="62"/>
    </row>
    <row r="1233" spans="2:24" ht="16">
      <c r="B1233" s="67" t="str">
        <f t="shared" si="5"/>
        <v/>
      </c>
      <c r="C1233" s="33"/>
      <c r="D1233" s="33"/>
      <c r="E1233" s="33"/>
      <c r="F1233" s="56"/>
      <c r="G1233" s="33"/>
      <c r="H1233" s="33"/>
      <c r="I1233" s="33"/>
      <c r="J1233" s="57"/>
      <c r="K1233" s="33"/>
      <c r="L1233" s="57"/>
      <c r="M1233" s="64"/>
      <c r="N1233" s="56"/>
      <c r="O1233" s="64"/>
      <c r="P1233" s="62"/>
      <c r="Q1233" s="33"/>
      <c r="R1233" s="33"/>
      <c r="S1233" s="61"/>
      <c r="T1233" s="33"/>
      <c r="U1233" s="62"/>
      <c r="W1233" s="61"/>
      <c r="X1233" s="62"/>
    </row>
    <row r="1234" spans="2:24" ht="16">
      <c r="B1234" s="67" t="str">
        <f t="shared" si="5"/>
        <v/>
      </c>
      <c r="C1234" s="33"/>
      <c r="D1234" s="33"/>
      <c r="E1234" s="33"/>
      <c r="F1234" s="56"/>
      <c r="G1234" s="33"/>
      <c r="H1234" s="33"/>
      <c r="I1234" s="33"/>
      <c r="J1234" s="57"/>
      <c r="K1234" s="33"/>
      <c r="L1234" s="57"/>
      <c r="M1234" s="64"/>
      <c r="N1234" s="56"/>
      <c r="O1234" s="64"/>
      <c r="P1234" s="62"/>
      <c r="Q1234" s="33"/>
      <c r="R1234" s="33"/>
      <c r="S1234" s="61"/>
      <c r="T1234" s="33"/>
      <c r="U1234" s="62"/>
      <c r="W1234" s="61"/>
      <c r="X1234" s="62"/>
    </row>
    <row r="1235" spans="2:24" ht="16">
      <c r="B1235" s="67" t="str">
        <f t="shared" si="5"/>
        <v/>
      </c>
      <c r="C1235" s="33"/>
      <c r="D1235" s="33"/>
      <c r="E1235" s="33"/>
      <c r="F1235" s="56"/>
      <c r="G1235" s="33"/>
      <c r="H1235" s="33"/>
      <c r="I1235" s="33"/>
      <c r="J1235" s="57"/>
      <c r="K1235" s="33"/>
      <c r="L1235" s="57"/>
      <c r="M1235" s="64"/>
      <c r="N1235" s="56"/>
      <c r="O1235" s="64"/>
      <c r="P1235" s="62"/>
      <c r="Q1235" s="33"/>
      <c r="R1235" s="33"/>
      <c r="S1235" s="61"/>
      <c r="T1235" s="33"/>
      <c r="U1235" s="62"/>
      <c r="W1235" s="61"/>
      <c r="X1235" s="62"/>
    </row>
    <row r="1236" spans="2:24" ht="16">
      <c r="B1236" s="67" t="str">
        <f t="shared" si="5"/>
        <v/>
      </c>
      <c r="C1236" s="64"/>
      <c r="D1236" s="33"/>
      <c r="E1236" s="33"/>
      <c r="F1236" s="56"/>
      <c r="G1236" s="33"/>
      <c r="H1236" s="33"/>
      <c r="I1236" s="33"/>
      <c r="J1236" s="57"/>
      <c r="K1236" s="33"/>
      <c r="L1236" s="57"/>
      <c r="M1236" s="64"/>
      <c r="N1236" s="56"/>
      <c r="O1236" s="64"/>
      <c r="P1236" s="62"/>
      <c r="Q1236" s="33"/>
      <c r="R1236" s="33"/>
      <c r="S1236" s="61"/>
      <c r="T1236" s="33"/>
      <c r="W1236" s="61"/>
    </row>
    <row r="1237" spans="2:24" ht="16">
      <c r="B1237" s="67" t="str">
        <f t="shared" si="5"/>
        <v/>
      </c>
      <c r="C1237" s="33"/>
      <c r="D1237" s="33"/>
      <c r="E1237" s="33"/>
      <c r="F1237" s="56"/>
      <c r="G1237" s="33"/>
      <c r="H1237" s="33"/>
      <c r="I1237" s="33"/>
      <c r="J1237" s="57"/>
      <c r="K1237" s="33"/>
      <c r="L1237" s="57"/>
      <c r="M1237" s="64"/>
      <c r="N1237" s="56"/>
      <c r="O1237" s="64"/>
      <c r="P1237" s="62"/>
      <c r="Q1237" s="33"/>
      <c r="R1237" s="33"/>
      <c r="S1237" s="61"/>
      <c r="T1237" s="33"/>
      <c r="U1237" s="62"/>
      <c r="W1237" s="61"/>
      <c r="X1237" s="62"/>
    </row>
    <row r="1238" spans="2:24" ht="16">
      <c r="B1238" s="67" t="str">
        <f t="shared" si="5"/>
        <v/>
      </c>
      <c r="C1238" s="33"/>
      <c r="D1238" s="33"/>
      <c r="E1238" s="33"/>
      <c r="F1238" s="56"/>
      <c r="G1238" s="33"/>
      <c r="H1238" s="33"/>
      <c r="I1238" s="33"/>
      <c r="J1238" s="57"/>
      <c r="K1238" s="33"/>
      <c r="L1238" s="57"/>
      <c r="M1238" s="64"/>
      <c r="N1238" s="56"/>
      <c r="O1238" s="64"/>
      <c r="P1238" s="62"/>
      <c r="Q1238" s="33"/>
      <c r="R1238" s="33"/>
      <c r="S1238" s="61"/>
      <c r="T1238" s="33"/>
      <c r="U1238" s="62"/>
      <c r="W1238" s="61"/>
      <c r="X1238" s="62"/>
    </row>
    <row r="1239" spans="2:24" ht="16">
      <c r="B1239" s="67" t="str">
        <f t="shared" si="5"/>
        <v/>
      </c>
      <c r="C1239" s="33"/>
      <c r="D1239" s="33"/>
      <c r="E1239" s="33"/>
      <c r="F1239" s="56"/>
      <c r="G1239" s="33"/>
      <c r="H1239" s="33"/>
      <c r="I1239" s="33"/>
      <c r="J1239" s="57"/>
      <c r="K1239" s="33"/>
      <c r="L1239" s="57"/>
      <c r="M1239" s="64"/>
      <c r="N1239" s="56"/>
      <c r="O1239" s="64"/>
      <c r="P1239" s="62"/>
      <c r="Q1239" s="33"/>
      <c r="R1239" s="33"/>
      <c r="S1239" s="61"/>
      <c r="T1239" s="33"/>
      <c r="U1239" s="62"/>
      <c r="W1239" s="61"/>
      <c r="X1239" s="62"/>
    </row>
    <row r="1240" spans="2:24" ht="16">
      <c r="B1240" s="67" t="str">
        <f t="shared" si="5"/>
        <v/>
      </c>
      <c r="C1240" s="33"/>
      <c r="D1240" s="33"/>
      <c r="E1240" s="33"/>
      <c r="F1240" s="56"/>
      <c r="G1240" s="33"/>
      <c r="H1240" s="33"/>
      <c r="I1240" s="33"/>
      <c r="J1240" s="57"/>
      <c r="K1240" s="33"/>
      <c r="L1240" s="57"/>
      <c r="M1240" s="64"/>
      <c r="N1240" s="56"/>
      <c r="O1240" s="64"/>
      <c r="P1240" s="62"/>
      <c r="Q1240" s="33"/>
      <c r="R1240" s="33"/>
      <c r="S1240" s="61"/>
      <c r="T1240" s="33"/>
      <c r="U1240" s="62"/>
      <c r="W1240" s="61"/>
      <c r="X1240" s="62"/>
    </row>
    <row r="1241" spans="2:24" ht="16">
      <c r="B1241" s="67" t="str">
        <f t="shared" si="5"/>
        <v/>
      </c>
      <c r="C1241" s="33"/>
      <c r="D1241" s="33"/>
      <c r="E1241" s="33"/>
      <c r="F1241" s="56"/>
      <c r="G1241" s="33"/>
      <c r="H1241" s="33"/>
      <c r="I1241" s="33"/>
      <c r="J1241" s="57"/>
      <c r="K1241" s="33"/>
      <c r="L1241" s="57"/>
      <c r="M1241" s="64"/>
      <c r="N1241" s="56"/>
      <c r="O1241" s="64"/>
      <c r="P1241" s="62"/>
      <c r="Q1241" s="33"/>
      <c r="R1241" s="33"/>
      <c r="S1241" s="61"/>
      <c r="T1241" s="33"/>
      <c r="U1241" s="62"/>
      <c r="W1241" s="61"/>
      <c r="X1241" s="62"/>
    </row>
    <row r="1242" spans="2:24" ht="16">
      <c r="B1242" s="67" t="str">
        <f t="shared" si="5"/>
        <v/>
      </c>
      <c r="C1242" s="33"/>
      <c r="D1242" s="33"/>
      <c r="E1242" s="33"/>
      <c r="F1242" s="56"/>
      <c r="G1242" s="33"/>
      <c r="H1242" s="33"/>
      <c r="I1242" s="33"/>
      <c r="J1242" s="57"/>
      <c r="K1242" s="33"/>
      <c r="L1242" s="57"/>
      <c r="M1242" s="64"/>
      <c r="N1242" s="56"/>
      <c r="O1242" s="64"/>
      <c r="P1242" s="62"/>
      <c r="Q1242" s="33"/>
      <c r="R1242" s="33"/>
      <c r="S1242" s="61"/>
      <c r="T1242" s="33"/>
      <c r="U1242" s="62"/>
      <c r="W1242" s="61"/>
      <c r="X1242" s="62"/>
    </row>
    <row r="1243" spans="2:24" ht="16">
      <c r="B1243" s="67" t="str">
        <f t="shared" si="5"/>
        <v/>
      </c>
      <c r="C1243" s="33"/>
      <c r="D1243" s="33"/>
      <c r="E1243" s="33"/>
      <c r="F1243" s="56"/>
      <c r="G1243" s="33"/>
      <c r="H1243" s="33"/>
      <c r="I1243" s="33"/>
      <c r="J1243" s="57"/>
      <c r="K1243" s="33"/>
      <c r="L1243" s="57"/>
      <c r="M1243" s="64"/>
      <c r="N1243" s="56"/>
      <c r="O1243" s="64"/>
      <c r="P1243" s="62"/>
      <c r="Q1243" s="33"/>
      <c r="R1243" s="33"/>
      <c r="S1243" s="61"/>
      <c r="T1243" s="33"/>
      <c r="U1243" s="62"/>
      <c r="W1243" s="61"/>
      <c r="X1243" s="62"/>
    </row>
    <row r="1244" spans="2:24" ht="16">
      <c r="B1244" s="67" t="str">
        <f t="shared" si="5"/>
        <v/>
      </c>
      <c r="C1244" s="33"/>
      <c r="D1244" s="33"/>
      <c r="E1244" s="33"/>
      <c r="F1244" s="56"/>
      <c r="G1244" s="33"/>
      <c r="H1244" s="33"/>
      <c r="I1244" s="33"/>
      <c r="J1244" s="57"/>
      <c r="K1244" s="33"/>
      <c r="L1244" s="57"/>
      <c r="M1244" s="64"/>
      <c r="N1244" s="56"/>
      <c r="O1244" s="64"/>
      <c r="P1244" s="62"/>
      <c r="Q1244" s="33"/>
      <c r="R1244" s="33"/>
      <c r="S1244" s="61"/>
      <c r="T1244" s="33"/>
      <c r="U1244" s="62"/>
      <c r="W1244" s="61"/>
      <c r="X1244" s="62"/>
    </row>
    <row r="1245" spans="2:24" ht="16">
      <c r="B1245" s="67" t="str">
        <f t="shared" si="5"/>
        <v/>
      </c>
      <c r="C1245" s="33"/>
      <c r="D1245" s="33"/>
      <c r="E1245" s="33"/>
      <c r="F1245" s="56"/>
      <c r="G1245" s="33"/>
      <c r="H1245" s="33"/>
      <c r="I1245" s="33"/>
      <c r="J1245" s="57"/>
      <c r="K1245" s="33"/>
      <c r="L1245" s="57"/>
      <c r="M1245" s="64"/>
      <c r="N1245" s="56"/>
      <c r="O1245" s="64"/>
      <c r="P1245" s="62"/>
      <c r="Q1245" s="33"/>
      <c r="R1245" s="33"/>
      <c r="S1245" s="61"/>
      <c r="T1245" s="33"/>
      <c r="U1245" s="62"/>
      <c r="W1245" s="61"/>
      <c r="X1245" s="62"/>
    </row>
    <row r="1246" spans="2:24" ht="16">
      <c r="B1246" s="67" t="str">
        <f t="shared" si="5"/>
        <v/>
      </c>
      <c r="C1246" s="33"/>
      <c r="D1246" s="33"/>
      <c r="E1246" s="33"/>
      <c r="F1246" s="56"/>
      <c r="G1246" s="33"/>
      <c r="H1246" s="33"/>
      <c r="I1246" s="33"/>
      <c r="J1246" s="57"/>
      <c r="K1246" s="33"/>
      <c r="L1246" s="57"/>
      <c r="M1246" s="64"/>
      <c r="N1246" s="56"/>
      <c r="O1246" s="64"/>
      <c r="P1246" s="62"/>
      <c r="Q1246" s="33"/>
      <c r="R1246" s="33"/>
      <c r="S1246" s="61"/>
      <c r="T1246" s="33"/>
      <c r="U1246" s="62"/>
      <c r="W1246" s="61"/>
      <c r="X1246" s="62"/>
    </row>
    <row r="1247" spans="2:24" ht="16">
      <c r="B1247" s="67" t="str">
        <f t="shared" si="5"/>
        <v/>
      </c>
      <c r="C1247" s="33"/>
      <c r="D1247" s="33"/>
      <c r="E1247" s="33"/>
      <c r="F1247" s="56"/>
      <c r="G1247" s="33"/>
      <c r="H1247" s="33"/>
      <c r="I1247" s="33"/>
      <c r="J1247" s="57"/>
      <c r="K1247" s="33"/>
      <c r="L1247" s="57"/>
      <c r="M1247" s="64"/>
      <c r="N1247" s="56"/>
      <c r="O1247" s="64"/>
      <c r="P1247" s="62"/>
      <c r="Q1247" s="33"/>
      <c r="R1247" s="33"/>
      <c r="S1247" s="61"/>
      <c r="T1247" s="33"/>
      <c r="U1247" s="62"/>
      <c r="W1247" s="61"/>
      <c r="X1247" s="62"/>
    </row>
    <row r="1248" spans="2:24" ht="16">
      <c r="B1248" s="67" t="str">
        <f t="shared" si="5"/>
        <v/>
      </c>
      <c r="C1248" s="33"/>
      <c r="D1248" s="33"/>
      <c r="E1248" s="33"/>
      <c r="F1248" s="56"/>
      <c r="G1248" s="33"/>
      <c r="H1248" s="33"/>
      <c r="I1248" s="33"/>
      <c r="J1248" s="57"/>
      <c r="K1248" s="33"/>
      <c r="L1248" s="57"/>
      <c r="M1248" s="64"/>
      <c r="N1248" s="56"/>
      <c r="O1248" s="64"/>
      <c r="P1248" s="62"/>
      <c r="Q1248" s="33"/>
      <c r="R1248" s="33"/>
      <c r="S1248" s="61"/>
      <c r="T1248" s="33"/>
      <c r="U1248" s="62"/>
      <c r="W1248" s="61"/>
      <c r="X1248" s="62"/>
    </row>
    <row r="1249" spans="2:24" ht="16">
      <c r="B1249" s="67" t="str">
        <f t="shared" si="5"/>
        <v/>
      </c>
      <c r="C1249" s="33"/>
      <c r="D1249" s="33"/>
      <c r="E1249" s="33"/>
      <c r="F1249" s="56"/>
      <c r="G1249" s="33"/>
      <c r="H1249" s="33"/>
      <c r="I1249" s="33"/>
      <c r="J1249" s="57"/>
      <c r="K1249" s="33"/>
      <c r="L1249" s="57"/>
      <c r="M1249" s="64"/>
      <c r="N1249" s="56"/>
      <c r="O1249" s="64"/>
      <c r="P1249" s="62"/>
      <c r="Q1249" s="33"/>
      <c r="R1249" s="33"/>
      <c r="S1249" s="61"/>
      <c r="T1249" s="33"/>
      <c r="U1249" s="62"/>
      <c r="W1249" s="61"/>
      <c r="X1249" s="62"/>
    </row>
    <row r="1250" spans="2:24" ht="16">
      <c r="B1250" s="67" t="str">
        <f t="shared" si="5"/>
        <v/>
      </c>
      <c r="C1250" s="33"/>
      <c r="D1250" s="33"/>
      <c r="E1250" s="33"/>
      <c r="F1250" s="56"/>
      <c r="G1250" s="33"/>
      <c r="H1250" s="33"/>
      <c r="I1250" s="33"/>
      <c r="J1250" s="57"/>
      <c r="K1250" s="33"/>
      <c r="L1250" s="57"/>
      <c r="M1250" s="58"/>
      <c r="N1250" s="56"/>
      <c r="O1250" s="64"/>
      <c r="P1250" s="62"/>
      <c r="Q1250" s="33"/>
      <c r="R1250" s="33"/>
      <c r="S1250" s="61"/>
      <c r="T1250" s="33"/>
      <c r="U1250" s="62"/>
      <c r="W1250" s="61"/>
      <c r="X1250" s="62"/>
    </row>
    <row r="1251" spans="2:24" ht="16">
      <c r="B1251" s="67" t="str">
        <f t="shared" si="5"/>
        <v/>
      </c>
      <c r="C1251" s="33"/>
      <c r="D1251" s="33"/>
      <c r="E1251" s="33"/>
      <c r="F1251" s="56"/>
      <c r="G1251" s="33"/>
      <c r="H1251" s="33"/>
      <c r="I1251" s="33"/>
      <c r="J1251" s="57"/>
      <c r="K1251" s="33"/>
      <c r="L1251" s="57"/>
      <c r="M1251" s="64"/>
      <c r="N1251" s="56"/>
      <c r="O1251" s="64"/>
      <c r="P1251" s="62"/>
      <c r="Q1251" s="33"/>
      <c r="R1251" s="33"/>
      <c r="S1251" s="61"/>
      <c r="T1251" s="33"/>
      <c r="U1251" s="62"/>
      <c r="W1251" s="61"/>
      <c r="X1251" s="62"/>
    </row>
    <row r="1252" spans="2:24" ht="16">
      <c r="B1252" s="67" t="str">
        <f t="shared" si="5"/>
        <v/>
      </c>
      <c r="C1252" s="33"/>
      <c r="D1252" s="33"/>
      <c r="E1252" s="33"/>
      <c r="F1252" s="56"/>
      <c r="G1252" s="33"/>
      <c r="H1252" s="33"/>
      <c r="I1252" s="33"/>
      <c r="J1252" s="57"/>
      <c r="K1252" s="33"/>
      <c r="L1252" s="57"/>
      <c r="M1252" s="64"/>
      <c r="N1252" s="56"/>
      <c r="O1252" s="64"/>
      <c r="P1252" s="62"/>
      <c r="Q1252" s="33"/>
      <c r="R1252" s="33"/>
      <c r="S1252" s="61"/>
      <c r="T1252" s="33"/>
      <c r="U1252" s="62"/>
      <c r="W1252" s="61"/>
      <c r="X1252" s="62"/>
    </row>
    <row r="1253" spans="2:24" ht="16">
      <c r="B1253" s="67" t="str">
        <f t="shared" si="5"/>
        <v/>
      </c>
      <c r="C1253" s="33"/>
      <c r="D1253" s="33"/>
      <c r="E1253" s="33"/>
      <c r="F1253" s="56"/>
      <c r="G1253" s="33"/>
      <c r="H1253" s="33"/>
      <c r="I1253" s="33"/>
      <c r="J1253" s="57"/>
      <c r="K1253" s="33"/>
      <c r="L1253" s="57"/>
      <c r="M1253" s="64"/>
      <c r="N1253" s="56"/>
      <c r="O1253" s="64"/>
      <c r="P1253" s="62"/>
      <c r="Q1253" s="33"/>
      <c r="R1253" s="33"/>
      <c r="S1253" s="61"/>
      <c r="T1253" s="33"/>
      <c r="U1253" s="62"/>
      <c r="W1253" s="61"/>
      <c r="X1253" s="62"/>
    </row>
    <row r="1254" spans="2:24" ht="16">
      <c r="B1254" s="67" t="str">
        <f t="shared" si="5"/>
        <v/>
      </c>
      <c r="C1254" s="33"/>
      <c r="D1254" s="33"/>
      <c r="E1254" s="33"/>
      <c r="F1254" s="56"/>
      <c r="G1254" s="33"/>
      <c r="H1254" s="33"/>
      <c r="I1254" s="33"/>
      <c r="J1254" s="57"/>
      <c r="K1254" s="33"/>
      <c r="L1254" s="57"/>
      <c r="M1254" s="64"/>
      <c r="N1254" s="56"/>
      <c r="O1254" s="64"/>
      <c r="P1254" s="62"/>
      <c r="Q1254" s="33"/>
      <c r="R1254" s="33"/>
      <c r="S1254" s="61"/>
      <c r="T1254" s="33"/>
      <c r="U1254" s="62"/>
      <c r="W1254" s="61"/>
      <c r="X1254" s="62"/>
    </row>
    <row r="1255" spans="2:24" ht="16">
      <c r="B1255" s="67" t="str">
        <f t="shared" si="5"/>
        <v/>
      </c>
      <c r="C1255" s="33"/>
      <c r="D1255" s="33"/>
      <c r="E1255" s="33"/>
      <c r="F1255" s="56"/>
      <c r="G1255" s="33"/>
      <c r="H1255" s="33"/>
      <c r="I1255" s="33"/>
      <c r="J1255" s="57"/>
      <c r="K1255" s="33"/>
      <c r="L1255" s="57"/>
      <c r="M1255" s="64"/>
      <c r="N1255" s="56"/>
      <c r="O1255" s="64"/>
      <c r="P1255" s="62"/>
      <c r="Q1255" s="33"/>
      <c r="R1255" s="33"/>
      <c r="S1255" s="61"/>
      <c r="T1255" s="33"/>
      <c r="U1255" s="62"/>
      <c r="W1255" s="61"/>
      <c r="X1255" s="62"/>
    </row>
    <row r="1256" spans="2:24" ht="16">
      <c r="B1256" s="67" t="str">
        <f t="shared" si="5"/>
        <v/>
      </c>
      <c r="C1256" s="33"/>
      <c r="D1256" s="33"/>
      <c r="E1256" s="33"/>
      <c r="F1256" s="56"/>
      <c r="G1256" s="33"/>
      <c r="H1256" s="33"/>
      <c r="I1256" s="33"/>
      <c r="J1256" s="57"/>
      <c r="K1256" s="33"/>
      <c r="L1256" s="57"/>
      <c r="M1256" s="64"/>
      <c r="N1256" s="56"/>
      <c r="O1256" s="64"/>
      <c r="P1256" s="62"/>
      <c r="Q1256" s="33"/>
      <c r="R1256" s="33"/>
      <c r="S1256" s="61"/>
      <c r="T1256" s="33"/>
      <c r="U1256" s="62"/>
      <c r="W1256" s="61"/>
      <c r="X1256" s="62"/>
    </row>
    <row r="1257" spans="2:24" ht="16">
      <c r="B1257" s="67" t="str">
        <f t="shared" si="5"/>
        <v/>
      </c>
      <c r="C1257" s="33"/>
      <c r="D1257" s="33"/>
      <c r="E1257" s="33"/>
      <c r="F1257" s="56"/>
      <c r="G1257" s="33"/>
      <c r="H1257" s="33"/>
      <c r="I1257" s="33"/>
      <c r="J1257" s="57"/>
      <c r="K1257" s="33"/>
      <c r="L1257" s="57"/>
      <c r="M1257" s="64"/>
      <c r="N1257" s="56"/>
      <c r="O1257" s="64"/>
      <c r="P1257" s="62"/>
      <c r="Q1257" s="33"/>
      <c r="R1257" s="33"/>
      <c r="S1257" s="61"/>
      <c r="T1257" s="33"/>
      <c r="U1257" s="62"/>
      <c r="W1257" s="61"/>
      <c r="X1257" s="62"/>
    </row>
    <row r="1258" spans="2:24" ht="16">
      <c r="B1258" s="67" t="str">
        <f t="shared" si="5"/>
        <v/>
      </c>
      <c r="C1258" s="33"/>
      <c r="D1258" s="33"/>
      <c r="E1258" s="33"/>
      <c r="F1258" s="56"/>
      <c r="G1258" s="33"/>
      <c r="H1258" s="33"/>
      <c r="I1258" s="33"/>
      <c r="J1258" s="57"/>
      <c r="K1258" s="33"/>
      <c r="L1258" s="57"/>
      <c r="M1258" s="64"/>
      <c r="N1258" s="56"/>
      <c r="O1258" s="64"/>
      <c r="P1258" s="62"/>
      <c r="Q1258" s="33"/>
      <c r="R1258" s="33"/>
      <c r="S1258" s="61"/>
      <c r="T1258" s="33"/>
      <c r="U1258" s="62"/>
      <c r="W1258" s="61"/>
      <c r="X1258" s="62"/>
    </row>
    <row r="1259" spans="2:24" ht="16">
      <c r="B1259" s="67" t="str">
        <f t="shared" si="5"/>
        <v/>
      </c>
      <c r="C1259" s="33"/>
      <c r="D1259" s="33"/>
      <c r="E1259" s="33"/>
      <c r="F1259" s="56"/>
      <c r="G1259" s="33"/>
      <c r="H1259" s="33"/>
      <c r="I1259" s="33"/>
      <c r="J1259" s="57"/>
      <c r="K1259" s="33"/>
      <c r="L1259" s="57"/>
      <c r="M1259" s="58"/>
      <c r="N1259" s="56"/>
      <c r="O1259" s="64"/>
      <c r="P1259" s="62"/>
      <c r="Q1259" s="33"/>
      <c r="R1259" s="33"/>
      <c r="S1259" s="61"/>
      <c r="T1259" s="33"/>
      <c r="U1259" s="62"/>
      <c r="W1259" s="61"/>
      <c r="X1259" s="62"/>
    </row>
    <row r="1260" spans="2:24" ht="16">
      <c r="B1260" s="67" t="str">
        <f t="shared" si="5"/>
        <v/>
      </c>
      <c r="C1260" s="33"/>
      <c r="D1260" s="33"/>
      <c r="E1260" s="33"/>
      <c r="F1260" s="56"/>
      <c r="G1260" s="33"/>
      <c r="H1260" s="33"/>
      <c r="I1260" s="33"/>
      <c r="J1260" s="57"/>
      <c r="K1260" s="33"/>
      <c r="L1260" s="57"/>
      <c r="M1260" s="58"/>
      <c r="N1260" s="56"/>
      <c r="O1260" s="64"/>
      <c r="P1260" s="62"/>
      <c r="Q1260" s="33"/>
      <c r="R1260" s="33"/>
      <c r="S1260" s="61"/>
      <c r="T1260" s="33"/>
      <c r="U1260" s="62"/>
      <c r="W1260" s="61"/>
      <c r="X1260" s="62"/>
    </row>
    <row r="1261" spans="2:24" ht="16">
      <c r="B1261" s="67" t="str">
        <f t="shared" si="5"/>
        <v/>
      </c>
      <c r="C1261" s="33"/>
      <c r="D1261" s="33"/>
      <c r="E1261" s="33"/>
      <c r="F1261" s="56"/>
      <c r="G1261" s="33"/>
      <c r="H1261" s="33"/>
      <c r="I1261" s="33"/>
      <c r="J1261" s="57"/>
      <c r="K1261" s="33"/>
      <c r="L1261" s="57"/>
      <c r="M1261" s="58"/>
      <c r="N1261" s="56"/>
      <c r="O1261" s="64"/>
      <c r="P1261" s="62"/>
      <c r="Q1261" s="33"/>
      <c r="R1261" s="33"/>
      <c r="S1261" s="61"/>
      <c r="T1261" s="33"/>
      <c r="U1261" s="62"/>
      <c r="W1261" s="61"/>
      <c r="X1261" s="62"/>
    </row>
    <row r="1262" spans="2:24" ht="16">
      <c r="B1262" s="67" t="str">
        <f t="shared" si="5"/>
        <v/>
      </c>
      <c r="C1262" s="33"/>
      <c r="D1262" s="33"/>
      <c r="E1262" s="33"/>
      <c r="F1262" s="56"/>
      <c r="G1262" s="33"/>
      <c r="H1262" s="33"/>
      <c r="I1262" s="33"/>
      <c r="J1262" s="57"/>
      <c r="K1262" s="33"/>
      <c r="L1262" s="57"/>
      <c r="M1262" s="64"/>
      <c r="N1262" s="56"/>
      <c r="O1262" s="64"/>
      <c r="P1262" s="62"/>
      <c r="Q1262" s="33"/>
      <c r="R1262" s="33"/>
      <c r="S1262" s="61"/>
      <c r="T1262" s="33"/>
      <c r="U1262" s="62"/>
      <c r="W1262" s="61"/>
      <c r="X1262" s="62"/>
    </row>
    <row r="1263" spans="2:24" ht="16">
      <c r="B1263" s="67" t="str">
        <f t="shared" si="5"/>
        <v/>
      </c>
      <c r="C1263" s="33"/>
      <c r="D1263" s="33"/>
      <c r="E1263" s="33"/>
      <c r="F1263" s="56"/>
      <c r="G1263" s="33"/>
      <c r="H1263" s="33"/>
      <c r="I1263" s="33"/>
      <c r="J1263" s="57"/>
      <c r="K1263" s="33"/>
      <c r="L1263" s="57"/>
      <c r="M1263" s="64"/>
      <c r="N1263" s="56"/>
      <c r="O1263" s="64"/>
      <c r="P1263" s="62"/>
      <c r="Q1263" s="33"/>
      <c r="R1263" s="33"/>
      <c r="S1263" s="61"/>
      <c r="T1263" s="33"/>
      <c r="U1263" s="62"/>
      <c r="W1263" s="61"/>
      <c r="X1263" s="62"/>
    </row>
    <row r="1264" spans="2:24" ht="16">
      <c r="B1264" s="67" t="str">
        <f t="shared" si="5"/>
        <v/>
      </c>
      <c r="C1264" s="33"/>
      <c r="D1264" s="33"/>
      <c r="E1264" s="33"/>
      <c r="F1264" s="56"/>
      <c r="G1264" s="33"/>
      <c r="H1264" s="33"/>
      <c r="I1264" s="33"/>
      <c r="J1264" s="57"/>
      <c r="K1264" s="33"/>
      <c r="L1264" s="57"/>
      <c r="M1264" s="64"/>
      <c r="N1264" s="56"/>
      <c r="O1264" s="64"/>
      <c r="P1264" s="62"/>
      <c r="Q1264" s="33"/>
      <c r="R1264" s="33"/>
      <c r="S1264" s="61"/>
      <c r="T1264" s="33"/>
      <c r="U1264" s="62"/>
      <c r="W1264" s="61"/>
      <c r="X1264" s="62"/>
    </row>
    <row r="1265" spans="2:24" ht="16">
      <c r="B1265" s="67" t="str">
        <f t="shared" si="5"/>
        <v/>
      </c>
      <c r="C1265" s="33"/>
      <c r="D1265" s="33"/>
      <c r="E1265" s="33"/>
      <c r="F1265" s="56"/>
      <c r="G1265" s="33"/>
      <c r="H1265" s="33"/>
      <c r="I1265" s="33"/>
      <c r="J1265" s="57"/>
      <c r="K1265" s="33"/>
      <c r="L1265" s="57"/>
      <c r="M1265" s="64"/>
      <c r="N1265" s="56"/>
      <c r="O1265" s="64"/>
      <c r="P1265" s="62"/>
      <c r="Q1265" s="33"/>
      <c r="R1265" s="33"/>
      <c r="S1265" s="61"/>
      <c r="T1265" s="33"/>
      <c r="U1265" s="62"/>
      <c r="W1265" s="61"/>
      <c r="X1265" s="62"/>
    </row>
    <row r="1266" spans="2:24" ht="16">
      <c r="B1266" s="67" t="str">
        <f t="shared" si="5"/>
        <v/>
      </c>
      <c r="C1266" s="33"/>
      <c r="D1266" s="33"/>
      <c r="E1266" s="33"/>
      <c r="F1266" s="56"/>
      <c r="G1266" s="33"/>
      <c r="H1266" s="33"/>
      <c r="I1266" s="33"/>
      <c r="J1266" s="57"/>
      <c r="K1266" s="33"/>
      <c r="L1266" s="57"/>
      <c r="M1266" s="64"/>
      <c r="N1266" s="56"/>
      <c r="O1266" s="64"/>
      <c r="P1266" s="62"/>
      <c r="Q1266" s="33"/>
      <c r="R1266" s="33"/>
      <c r="S1266" s="61"/>
      <c r="T1266" s="33"/>
      <c r="U1266" s="62"/>
      <c r="W1266" s="61"/>
      <c r="X1266" s="62"/>
    </row>
    <row r="1267" spans="2:24" ht="16">
      <c r="B1267" s="67" t="str">
        <f t="shared" si="5"/>
        <v/>
      </c>
      <c r="C1267" s="33"/>
      <c r="D1267" s="33"/>
      <c r="E1267" s="33"/>
      <c r="F1267" s="56"/>
      <c r="G1267" s="33"/>
      <c r="H1267" s="33"/>
      <c r="I1267" s="33"/>
      <c r="J1267" s="57"/>
      <c r="K1267" s="33"/>
      <c r="L1267" s="57"/>
      <c r="M1267" s="64"/>
      <c r="N1267" s="56"/>
      <c r="O1267" s="64"/>
      <c r="P1267" s="62"/>
      <c r="Q1267" s="33"/>
      <c r="R1267" s="33"/>
      <c r="S1267" s="61"/>
      <c r="T1267" s="33"/>
      <c r="U1267" s="62"/>
      <c r="W1267" s="61"/>
      <c r="X1267" s="62"/>
    </row>
    <row r="1268" spans="2:24" ht="16">
      <c r="B1268" s="67" t="str">
        <f t="shared" si="5"/>
        <v/>
      </c>
      <c r="C1268" s="33"/>
      <c r="D1268" s="33"/>
      <c r="E1268" s="33"/>
      <c r="F1268" s="56"/>
      <c r="G1268" s="33"/>
      <c r="H1268" s="33"/>
      <c r="I1268" s="33"/>
      <c r="J1268" s="57"/>
      <c r="K1268" s="33"/>
      <c r="L1268" s="57"/>
      <c r="M1268" s="64"/>
      <c r="N1268" s="56"/>
      <c r="O1268" s="64"/>
      <c r="P1268" s="62"/>
      <c r="Q1268" s="33"/>
      <c r="R1268" s="33"/>
      <c r="S1268" s="61"/>
      <c r="T1268" s="33"/>
      <c r="U1268" s="62"/>
      <c r="W1268" s="61"/>
      <c r="X1268" s="62"/>
    </row>
    <row r="1269" spans="2:24" ht="16">
      <c r="B1269" s="67" t="str">
        <f t="shared" si="5"/>
        <v/>
      </c>
      <c r="C1269" s="33"/>
      <c r="D1269" s="33"/>
      <c r="E1269" s="33"/>
      <c r="F1269" s="56"/>
      <c r="G1269" s="33"/>
      <c r="H1269" s="33"/>
      <c r="I1269" s="33"/>
      <c r="J1269" s="57"/>
      <c r="K1269" s="33"/>
      <c r="L1269" s="57"/>
      <c r="M1269" s="64"/>
      <c r="N1269" s="56"/>
      <c r="O1269" s="64"/>
      <c r="P1269" s="62"/>
      <c r="Q1269" s="33"/>
      <c r="R1269" s="33"/>
      <c r="S1269" s="61"/>
      <c r="T1269" s="33"/>
      <c r="U1269" s="62"/>
      <c r="W1269" s="61"/>
      <c r="X1269" s="62"/>
    </row>
    <row r="1270" spans="2:24" ht="16">
      <c r="B1270" s="67" t="str">
        <f t="shared" si="5"/>
        <v/>
      </c>
      <c r="C1270" s="33"/>
      <c r="D1270" s="33"/>
      <c r="E1270" s="33"/>
      <c r="F1270" s="56"/>
      <c r="G1270" s="33"/>
      <c r="H1270" s="33"/>
      <c r="I1270" s="33"/>
      <c r="J1270" s="57"/>
      <c r="K1270" s="33"/>
      <c r="L1270" s="57"/>
      <c r="M1270" s="64"/>
      <c r="N1270" s="56"/>
      <c r="O1270" s="64"/>
      <c r="P1270" s="62"/>
      <c r="Q1270" s="33"/>
      <c r="R1270" s="33"/>
      <c r="S1270" s="61"/>
      <c r="T1270" s="33"/>
      <c r="U1270" s="62"/>
      <c r="W1270" s="61"/>
      <c r="X1270" s="62"/>
    </row>
    <row r="1271" spans="2:24" ht="16">
      <c r="B1271" s="67" t="str">
        <f t="shared" si="5"/>
        <v/>
      </c>
      <c r="C1271" s="33"/>
      <c r="D1271" s="33"/>
      <c r="E1271" s="33"/>
      <c r="F1271" s="56"/>
      <c r="G1271" s="33"/>
      <c r="H1271" s="33"/>
      <c r="I1271" s="33"/>
      <c r="J1271" s="57"/>
      <c r="K1271" s="33"/>
      <c r="L1271" s="57"/>
      <c r="M1271" s="64"/>
      <c r="N1271" s="56"/>
      <c r="O1271" s="64"/>
      <c r="P1271" s="62"/>
      <c r="Q1271" s="33"/>
      <c r="R1271" s="33"/>
      <c r="S1271" s="61"/>
      <c r="T1271" s="33"/>
      <c r="U1271" s="62"/>
      <c r="W1271" s="61"/>
      <c r="X1271" s="62"/>
    </row>
    <row r="1272" spans="2:24" ht="16">
      <c r="B1272" s="67" t="str">
        <f t="shared" si="5"/>
        <v/>
      </c>
      <c r="C1272" s="33"/>
      <c r="D1272" s="33"/>
      <c r="E1272" s="33"/>
      <c r="F1272" s="56"/>
      <c r="G1272" s="33"/>
      <c r="H1272" s="33"/>
      <c r="I1272" s="33"/>
      <c r="J1272" s="57"/>
      <c r="K1272" s="33"/>
      <c r="L1272" s="57"/>
      <c r="M1272" s="64"/>
      <c r="N1272" s="56"/>
      <c r="O1272" s="64"/>
      <c r="P1272" s="62"/>
      <c r="Q1272" s="33"/>
      <c r="R1272" s="33"/>
      <c r="S1272" s="61"/>
      <c r="T1272" s="33"/>
      <c r="U1272" s="62"/>
      <c r="W1272" s="61"/>
      <c r="X1272" s="62"/>
    </row>
    <row r="1273" spans="2:24" ht="16">
      <c r="B1273" s="67" t="str">
        <f t="shared" si="5"/>
        <v/>
      </c>
      <c r="C1273" s="33"/>
      <c r="D1273" s="33"/>
      <c r="E1273" s="33"/>
      <c r="F1273" s="56"/>
      <c r="G1273" s="33"/>
      <c r="H1273" s="33"/>
      <c r="I1273" s="33"/>
      <c r="J1273" s="57"/>
      <c r="K1273" s="33"/>
      <c r="L1273" s="57"/>
      <c r="M1273" s="64"/>
      <c r="N1273" s="56"/>
      <c r="O1273" s="64"/>
      <c r="P1273" s="62"/>
      <c r="Q1273" s="33"/>
      <c r="R1273" s="33"/>
      <c r="S1273" s="61"/>
      <c r="T1273" s="33"/>
      <c r="U1273" s="62"/>
      <c r="W1273" s="61"/>
      <c r="X1273" s="62"/>
    </row>
    <row r="1274" spans="2:24" ht="16">
      <c r="B1274" s="67" t="str">
        <f t="shared" si="5"/>
        <v/>
      </c>
      <c r="C1274" s="33"/>
      <c r="D1274" s="33"/>
      <c r="E1274" s="33"/>
      <c r="F1274" s="56"/>
      <c r="G1274" s="33"/>
      <c r="H1274" s="33"/>
      <c r="I1274" s="33"/>
      <c r="J1274" s="57"/>
      <c r="K1274" s="33"/>
      <c r="L1274" s="57"/>
      <c r="M1274" s="64"/>
      <c r="N1274" s="56"/>
      <c r="O1274" s="64"/>
      <c r="P1274" s="62"/>
      <c r="Q1274" s="33"/>
      <c r="R1274" s="33"/>
      <c r="S1274" s="61"/>
      <c r="T1274" s="33"/>
      <c r="U1274" s="62"/>
      <c r="W1274" s="61"/>
      <c r="X1274" s="62"/>
    </row>
    <row r="1275" spans="2:24" ht="16">
      <c r="B1275" s="67" t="str">
        <f t="shared" si="5"/>
        <v/>
      </c>
      <c r="C1275" s="33"/>
      <c r="D1275" s="33"/>
      <c r="E1275" s="33"/>
      <c r="F1275" s="56"/>
      <c r="G1275" s="33"/>
      <c r="H1275" s="33"/>
      <c r="I1275" s="33"/>
      <c r="J1275" s="57"/>
      <c r="K1275" s="33"/>
      <c r="L1275" s="57"/>
      <c r="M1275" s="64"/>
      <c r="N1275" s="56"/>
      <c r="O1275" s="64"/>
      <c r="P1275" s="62"/>
      <c r="Q1275" s="33"/>
      <c r="R1275" s="33"/>
      <c r="S1275" s="61"/>
      <c r="T1275" s="33"/>
      <c r="U1275" s="62"/>
      <c r="W1275" s="61"/>
      <c r="X1275" s="62"/>
    </row>
    <row r="1276" spans="2:24" ht="16">
      <c r="B1276" s="67" t="str">
        <f t="shared" si="5"/>
        <v/>
      </c>
      <c r="C1276" s="64"/>
      <c r="D1276" s="33"/>
      <c r="E1276" s="33"/>
      <c r="F1276" s="56"/>
      <c r="G1276" s="33"/>
      <c r="H1276" s="33"/>
      <c r="I1276" s="33"/>
      <c r="J1276" s="57"/>
      <c r="K1276" s="33"/>
      <c r="L1276" s="57"/>
      <c r="M1276" s="64"/>
      <c r="N1276" s="56"/>
      <c r="O1276" s="64"/>
      <c r="P1276" s="62"/>
      <c r="Q1276" s="33"/>
      <c r="R1276" s="33"/>
      <c r="S1276" s="61"/>
      <c r="T1276" s="33"/>
      <c r="W1276" s="61"/>
    </row>
    <row r="1277" spans="2:24" ht="16">
      <c r="B1277" s="67" t="str">
        <f t="shared" si="5"/>
        <v/>
      </c>
      <c r="C1277" s="33"/>
      <c r="D1277" s="33"/>
      <c r="E1277" s="33"/>
      <c r="F1277" s="56"/>
      <c r="G1277" s="33"/>
      <c r="H1277" s="33"/>
      <c r="I1277" s="33"/>
      <c r="J1277" s="57"/>
      <c r="K1277" s="33"/>
      <c r="L1277" s="57"/>
      <c r="M1277" s="64"/>
      <c r="N1277" s="56"/>
      <c r="O1277" s="64"/>
      <c r="P1277" s="62"/>
      <c r="Q1277" s="33"/>
      <c r="R1277" s="33"/>
      <c r="S1277" s="61"/>
      <c r="T1277" s="33"/>
      <c r="U1277" s="62"/>
      <c r="W1277" s="61"/>
      <c r="X1277" s="62"/>
    </row>
    <row r="1278" spans="2:24" ht="16">
      <c r="B1278" s="67" t="str">
        <f t="shared" si="5"/>
        <v/>
      </c>
      <c r="C1278" s="33"/>
      <c r="D1278" s="33"/>
      <c r="E1278" s="33"/>
      <c r="F1278" s="56"/>
      <c r="G1278" s="33"/>
      <c r="H1278" s="33"/>
      <c r="I1278" s="33"/>
      <c r="J1278" s="57"/>
      <c r="K1278" s="33"/>
      <c r="L1278" s="57"/>
      <c r="M1278" s="64"/>
      <c r="N1278" s="56"/>
      <c r="O1278" s="64"/>
      <c r="P1278" s="62"/>
      <c r="Q1278" s="33"/>
      <c r="R1278" s="33"/>
      <c r="S1278" s="61"/>
      <c r="T1278" s="33"/>
      <c r="U1278" s="62"/>
      <c r="W1278" s="61"/>
      <c r="X1278" s="62"/>
    </row>
    <row r="1279" spans="2:24" ht="16">
      <c r="B1279" s="67" t="str">
        <f t="shared" si="5"/>
        <v/>
      </c>
      <c r="C1279" s="33"/>
      <c r="D1279" s="33"/>
      <c r="E1279" s="33"/>
      <c r="F1279" s="56"/>
      <c r="G1279" s="33"/>
      <c r="H1279" s="33"/>
      <c r="I1279" s="33"/>
      <c r="J1279" s="57"/>
      <c r="K1279" s="33"/>
      <c r="L1279" s="57"/>
      <c r="M1279" s="64"/>
      <c r="N1279" s="56"/>
      <c r="O1279" s="64"/>
      <c r="P1279" s="62"/>
      <c r="Q1279" s="33"/>
      <c r="R1279" s="33"/>
      <c r="S1279" s="61"/>
      <c r="T1279" s="33"/>
      <c r="U1279" s="62"/>
      <c r="W1279" s="61"/>
      <c r="X1279" s="62"/>
    </row>
    <row r="1280" spans="2:24" ht="16">
      <c r="B1280" s="67" t="str">
        <f t="shared" si="5"/>
        <v/>
      </c>
      <c r="C1280" s="33"/>
      <c r="D1280" s="33"/>
      <c r="E1280" s="33"/>
      <c r="F1280" s="56"/>
      <c r="G1280" s="33"/>
      <c r="H1280" s="33"/>
      <c r="I1280" s="33"/>
      <c r="J1280" s="57"/>
      <c r="K1280" s="33"/>
      <c r="L1280" s="57"/>
      <c r="M1280" s="64"/>
      <c r="N1280" s="56"/>
      <c r="O1280" s="64"/>
      <c r="P1280" s="62"/>
      <c r="Q1280" s="33"/>
      <c r="R1280" s="33"/>
      <c r="S1280" s="61"/>
      <c r="T1280" s="33"/>
      <c r="U1280" s="62"/>
      <c r="W1280" s="61"/>
      <c r="X1280" s="62"/>
    </row>
    <row r="1281" spans="2:24" ht="16">
      <c r="B1281" s="67" t="str">
        <f t="shared" si="5"/>
        <v/>
      </c>
      <c r="C1281" s="33"/>
      <c r="D1281" s="33"/>
      <c r="E1281" s="33"/>
      <c r="F1281" s="56"/>
      <c r="G1281" s="33"/>
      <c r="H1281" s="33"/>
      <c r="I1281" s="33"/>
      <c r="J1281" s="57"/>
      <c r="K1281" s="33"/>
      <c r="L1281" s="57"/>
      <c r="M1281" s="64"/>
      <c r="N1281" s="56"/>
      <c r="O1281" s="64"/>
      <c r="P1281" s="62"/>
      <c r="Q1281" s="33"/>
      <c r="R1281" s="33"/>
      <c r="S1281" s="61"/>
      <c r="T1281" s="33"/>
      <c r="U1281" s="62"/>
      <c r="W1281" s="61"/>
      <c r="X1281" s="62"/>
    </row>
    <row r="1282" spans="2:24" ht="16">
      <c r="B1282" s="67" t="str">
        <f t="shared" si="5"/>
        <v/>
      </c>
      <c r="C1282" s="33"/>
      <c r="D1282" s="33"/>
      <c r="E1282" s="33"/>
      <c r="F1282" s="56"/>
      <c r="G1282" s="33"/>
      <c r="H1282" s="33"/>
      <c r="I1282" s="33"/>
      <c r="J1282" s="57"/>
      <c r="K1282" s="33"/>
      <c r="L1282" s="57"/>
      <c r="M1282" s="64"/>
      <c r="N1282" s="56"/>
      <c r="O1282" s="64"/>
      <c r="P1282" s="62"/>
      <c r="Q1282" s="33"/>
      <c r="R1282" s="33"/>
      <c r="S1282" s="61"/>
      <c r="T1282" s="33"/>
      <c r="U1282" s="62"/>
      <c r="W1282" s="61"/>
      <c r="X1282" s="62"/>
    </row>
    <row r="1283" spans="2:24" ht="16">
      <c r="B1283" s="67" t="str">
        <f t="shared" si="5"/>
        <v/>
      </c>
      <c r="C1283" s="33"/>
      <c r="D1283" s="33"/>
      <c r="E1283" s="33"/>
      <c r="F1283" s="56"/>
      <c r="G1283" s="33"/>
      <c r="H1283" s="33"/>
      <c r="I1283" s="33"/>
      <c r="J1283" s="57"/>
      <c r="K1283" s="33"/>
      <c r="L1283" s="57"/>
      <c r="M1283" s="64"/>
      <c r="N1283" s="56"/>
      <c r="O1283" s="64"/>
      <c r="P1283" s="62"/>
      <c r="Q1283" s="33"/>
      <c r="R1283" s="33"/>
      <c r="S1283" s="61"/>
      <c r="T1283" s="33"/>
      <c r="U1283" s="62"/>
      <c r="W1283" s="61"/>
      <c r="X1283" s="62"/>
    </row>
    <row r="1284" spans="2:24" ht="16">
      <c r="B1284" s="67" t="str">
        <f t="shared" si="5"/>
        <v/>
      </c>
      <c r="C1284" s="33"/>
      <c r="D1284" s="33"/>
      <c r="E1284" s="33"/>
      <c r="F1284" s="56"/>
      <c r="G1284" s="33"/>
      <c r="H1284" s="33"/>
      <c r="I1284" s="33"/>
      <c r="J1284" s="57"/>
      <c r="K1284" s="33"/>
      <c r="L1284" s="57"/>
      <c r="M1284" s="64"/>
      <c r="N1284" s="56"/>
      <c r="O1284" s="64"/>
      <c r="P1284" s="62"/>
      <c r="Q1284" s="33"/>
      <c r="R1284" s="33"/>
      <c r="S1284" s="61"/>
      <c r="T1284" s="33"/>
      <c r="U1284" s="62"/>
      <c r="W1284" s="61"/>
      <c r="X1284" s="62"/>
    </row>
    <row r="1285" spans="2:24" ht="16">
      <c r="B1285" s="67" t="str">
        <f t="shared" si="5"/>
        <v/>
      </c>
      <c r="C1285" s="33"/>
      <c r="D1285" s="33"/>
      <c r="E1285" s="33"/>
      <c r="F1285" s="56"/>
      <c r="G1285" s="33"/>
      <c r="H1285" s="33"/>
      <c r="I1285" s="33"/>
      <c r="J1285" s="57"/>
      <c r="K1285" s="33"/>
      <c r="L1285" s="57"/>
      <c r="M1285" s="64"/>
      <c r="N1285" s="56"/>
      <c r="O1285" s="64"/>
      <c r="P1285" s="62"/>
      <c r="Q1285" s="33"/>
      <c r="R1285" s="33"/>
      <c r="S1285" s="61"/>
      <c r="T1285" s="33"/>
      <c r="U1285" s="62"/>
      <c r="W1285" s="61"/>
      <c r="X1285" s="62"/>
    </row>
    <row r="1286" spans="2:24" ht="16">
      <c r="B1286" s="67" t="str">
        <f t="shared" si="5"/>
        <v/>
      </c>
      <c r="C1286" s="33"/>
      <c r="D1286" s="33"/>
      <c r="E1286" s="33"/>
      <c r="F1286" s="56"/>
      <c r="G1286" s="33"/>
      <c r="H1286" s="33"/>
      <c r="I1286" s="33"/>
      <c r="J1286" s="57"/>
      <c r="K1286" s="33"/>
      <c r="L1286" s="57"/>
      <c r="M1286" s="64"/>
      <c r="N1286" s="56"/>
      <c r="O1286" s="64"/>
      <c r="P1286" s="62"/>
      <c r="Q1286" s="33"/>
      <c r="R1286" s="33"/>
      <c r="S1286" s="61"/>
      <c r="T1286" s="33"/>
      <c r="U1286" s="62"/>
      <c r="W1286" s="61"/>
      <c r="X1286" s="62"/>
    </row>
    <row r="1287" spans="2:24" ht="16">
      <c r="B1287" s="67" t="str">
        <f t="shared" si="5"/>
        <v/>
      </c>
      <c r="C1287" s="33"/>
      <c r="D1287" s="33"/>
      <c r="E1287" s="33"/>
      <c r="F1287" s="56"/>
      <c r="G1287" s="33"/>
      <c r="H1287" s="33"/>
      <c r="I1287" s="33"/>
      <c r="J1287" s="57"/>
      <c r="K1287" s="33"/>
      <c r="L1287" s="57"/>
      <c r="M1287" s="64"/>
      <c r="N1287" s="56"/>
      <c r="O1287" s="64"/>
      <c r="P1287" s="62"/>
      <c r="Q1287" s="33"/>
      <c r="R1287" s="33"/>
      <c r="S1287" s="61"/>
      <c r="T1287" s="33"/>
      <c r="U1287" s="62"/>
      <c r="W1287" s="61"/>
      <c r="X1287" s="62"/>
    </row>
    <row r="1288" spans="2:24" ht="16">
      <c r="B1288" s="67" t="str">
        <f t="shared" si="5"/>
        <v/>
      </c>
      <c r="C1288" s="33"/>
      <c r="D1288" s="33"/>
      <c r="E1288" s="33"/>
      <c r="F1288" s="56"/>
      <c r="G1288" s="33"/>
      <c r="H1288" s="33"/>
      <c r="I1288" s="33"/>
      <c r="J1288" s="57"/>
      <c r="K1288" s="33"/>
      <c r="L1288" s="57"/>
      <c r="M1288" s="64"/>
      <c r="N1288" s="56"/>
      <c r="O1288" s="64"/>
      <c r="P1288" s="62"/>
      <c r="Q1288" s="33"/>
      <c r="R1288" s="33"/>
      <c r="S1288" s="61"/>
      <c r="T1288" s="33"/>
      <c r="U1288" s="62"/>
      <c r="W1288" s="61"/>
      <c r="X1288" s="62"/>
    </row>
    <row r="1289" spans="2:24" ht="16">
      <c r="B1289" s="67" t="str">
        <f t="shared" si="5"/>
        <v/>
      </c>
      <c r="C1289" s="33"/>
      <c r="D1289" s="33"/>
      <c r="E1289" s="33"/>
      <c r="F1289" s="56"/>
      <c r="G1289" s="33"/>
      <c r="H1289" s="33"/>
      <c r="I1289" s="33"/>
      <c r="J1289" s="57"/>
      <c r="K1289" s="33"/>
      <c r="L1289" s="57"/>
      <c r="M1289" s="64"/>
      <c r="N1289" s="56"/>
      <c r="O1289" s="64"/>
      <c r="P1289" s="62"/>
      <c r="Q1289" s="33"/>
      <c r="R1289" s="33"/>
      <c r="S1289" s="61"/>
      <c r="T1289" s="33"/>
      <c r="U1289" s="62"/>
      <c r="W1289" s="61"/>
      <c r="X1289" s="62"/>
    </row>
    <row r="1290" spans="2:24" ht="16">
      <c r="B1290" s="67" t="str">
        <f t="shared" si="5"/>
        <v/>
      </c>
      <c r="C1290" s="33"/>
      <c r="D1290" s="33"/>
      <c r="E1290" s="33"/>
      <c r="F1290" s="56"/>
      <c r="G1290" s="33"/>
      <c r="H1290" s="33"/>
      <c r="I1290" s="33"/>
      <c r="J1290" s="57"/>
      <c r="K1290" s="33"/>
      <c r="L1290" s="57"/>
      <c r="M1290" s="64"/>
      <c r="N1290" s="56"/>
      <c r="O1290" s="64"/>
      <c r="P1290" s="62"/>
      <c r="Q1290" s="33"/>
      <c r="R1290" s="33"/>
      <c r="S1290" s="61"/>
      <c r="T1290" s="33"/>
      <c r="U1290" s="62"/>
      <c r="W1290" s="61"/>
      <c r="X1290" s="62"/>
    </row>
    <row r="1291" spans="2:24" ht="16">
      <c r="B1291" s="67" t="str">
        <f t="shared" si="5"/>
        <v/>
      </c>
      <c r="C1291" s="33"/>
      <c r="D1291" s="33"/>
      <c r="E1291" s="33"/>
      <c r="F1291" s="56"/>
      <c r="G1291" s="33"/>
      <c r="H1291" s="33"/>
      <c r="I1291" s="33"/>
      <c r="J1291" s="57"/>
      <c r="K1291" s="33"/>
      <c r="L1291" s="57"/>
      <c r="M1291" s="64"/>
      <c r="N1291" s="56"/>
      <c r="O1291" s="64"/>
      <c r="P1291" s="62"/>
      <c r="Q1291" s="33"/>
      <c r="R1291" s="33"/>
      <c r="S1291" s="61"/>
      <c r="T1291" s="33"/>
      <c r="U1291" s="62"/>
      <c r="W1291" s="61"/>
      <c r="X1291" s="62"/>
    </row>
    <row r="1292" spans="2:24" ht="16">
      <c r="B1292" s="67" t="str">
        <f t="shared" si="5"/>
        <v/>
      </c>
      <c r="C1292" s="33"/>
      <c r="D1292" s="33"/>
      <c r="E1292" s="33"/>
      <c r="F1292" s="56"/>
      <c r="G1292" s="33"/>
      <c r="H1292" s="33"/>
      <c r="I1292" s="33"/>
      <c r="J1292" s="57"/>
      <c r="K1292" s="33"/>
      <c r="L1292" s="57"/>
      <c r="M1292" s="58"/>
      <c r="N1292" s="56"/>
      <c r="O1292" s="64"/>
      <c r="P1292" s="62"/>
      <c r="Q1292" s="33"/>
      <c r="R1292" s="33"/>
      <c r="S1292" s="61"/>
      <c r="T1292" s="33"/>
      <c r="U1292" s="62"/>
      <c r="W1292" s="61"/>
      <c r="X1292" s="62"/>
    </row>
    <row r="1293" spans="2:24" ht="16">
      <c r="B1293" s="67" t="str">
        <f t="shared" si="5"/>
        <v/>
      </c>
      <c r="C1293" s="33"/>
      <c r="D1293" s="33"/>
      <c r="E1293" s="33"/>
      <c r="F1293" s="56"/>
      <c r="G1293" s="33"/>
      <c r="H1293" s="33"/>
      <c r="I1293" s="33"/>
      <c r="J1293" s="57"/>
      <c r="K1293" s="33"/>
      <c r="L1293" s="57"/>
      <c r="M1293" s="64"/>
      <c r="N1293" s="56"/>
      <c r="O1293" s="64"/>
      <c r="P1293" s="62"/>
      <c r="Q1293" s="33"/>
      <c r="R1293" s="33"/>
      <c r="S1293" s="61"/>
      <c r="T1293" s="33"/>
      <c r="U1293" s="62"/>
      <c r="W1293" s="61"/>
      <c r="X1293" s="62"/>
    </row>
    <row r="1294" spans="2:24" ht="16">
      <c r="B1294" s="67" t="str">
        <f t="shared" si="5"/>
        <v/>
      </c>
      <c r="C1294" s="33"/>
      <c r="D1294" s="33"/>
      <c r="E1294" s="33"/>
      <c r="F1294" s="56"/>
      <c r="G1294" s="33"/>
      <c r="H1294" s="33"/>
      <c r="I1294" s="33"/>
      <c r="J1294" s="57"/>
      <c r="K1294" s="33"/>
      <c r="L1294" s="57"/>
      <c r="M1294" s="64"/>
      <c r="N1294" s="56"/>
      <c r="O1294" s="64"/>
      <c r="P1294" s="62"/>
      <c r="Q1294" s="33"/>
      <c r="R1294" s="33"/>
      <c r="S1294" s="61"/>
      <c r="T1294" s="33"/>
      <c r="U1294" s="62"/>
      <c r="W1294" s="61"/>
      <c r="X1294" s="62"/>
    </row>
    <row r="1295" spans="2:24" ht="16">
      <c r="B1295" s="67" t="str">
        <f t="shared" si="5"/>
        <v/>
      </c>
      <c r="C1295" s="33"/>
      <c r="D1295" s="33"/>
      <c r="E1295" s="33"/>
      <c r="F1295" s="56"/>
      <c r="G1295" s="33"/>
      <c r="H1295" s="33"/>
      <c r="I1295" s="33"/>
      <c r="J1295" s="57"/>
      <c r="K1295" s="33"/>
      <c r="L1295" s="57"/>
      <c r="M1295" s="64"/>
      <c r="N1295" s="56"/>
      <c r="O1295" s="64"/>
      <c r="P1295" s="62"/>
      <c r="Q1295" s="33"/>
      <c r="R1295" s="33"/>
      <c r="S1295" s="61"/>
      <c r="T1295" s="33"/>
      <c r="U1295" s="62"/>
      <c r="W1295" s="61"/>
      <c r="X1295" s="62"/>
    </row>
    <row r="1296" spans="2:24" ht="16">
      <c r="B1296" s="67" t="str">
        <f t="shared" si="5"/>
        <v/>
      </c>
      <c r="C1296" s="33"/>
      <c r="D1296" s="33"/>
      <c r="E1296" s="33"/>
      <c r="F1296" s="56"/>
      <c r="G1296" s="33"/>
      <c r="H1296" s="33"/>
      <c r="I1296" s="33"/>
      <c r="J1296" s="57"/>
      <c r="K1296" s="33"/>
      <c r="L1296" s="57"/>
      <c r="M1296" s="64"/>
      <c r="N1296" s="56"/>
      <c r="O1296" s="64"/>
      <c r="P1296" s="62"/>
      <c r="Q1296" s="33"/>
      <c r="R1296" s="33"/>
      <c r="S1296" s="61"/>
      <c r="T1296" s="33"/>
      <c r="U1296" s="62"/>
      <c r="W1296" s="61"/>
      <c r="X1296" s="62"/>
    </row>
    <row r="1297" spans="2:24" ht="16">
      <c r="B1297" s="67" t="str">
        <f t="shared" si="5"/>
        <v/>
      </c>
      <c r="C1297" s="33"/>
      <c r="D1297" s="33"/>
      <c r="E1297" s="33"/>
      <c r="F1297" s="56"/>
      <c r="G1297" s="33"/>
      <c r="H1297" s="33"/>
      <c r="I1297" s="33"/>
      <c r="J1297" s="57"/>
      <c r="K1297" s="33"/>
      <c r="L1297" s="57"/>
      <c r="M1297" s="64"/>
      <c r="N1297" s="56"/>
      <c r="O1297" s="64"/>
      <c r="P1297" s="62"/>
      <c r="Q1297" s="33"/>
      <c r="R1297" s="33"/>
      <c r="S1297" s="61"/>
      <c r="T1297" s="33"/>
      <c r="U1297" s="62"/>
      <c r="W1297" s="61"/>
      <c r="X1297" s="62"/>
    </row>
    <row r="1298" spans="2:24" ht="16">
      <c r="B1298" s="67" t="str">
        <f t="shared" si="5"/>
        <v/>
      </c>
      <c r="C1298" s="33"/>
      <c r="D1298" s="33"/>
      <c r="E1298" s="33"/>
      <c r="F1298" s="56"/>
      <c r="G1298" s="33"/>
      <c r="H1298" s="33"/>
      <c r="I1298" s="33"/>
      <c r="J1298" s="57"/>
      <c r="K1298" s="33"/>
      <c r="L1298" s="57"/>
      <c r="M1298" s="64"/>
      <c r="N1298" s="56"/>
      <c r="O1298" s="64"/>
      <c r="P1298" s="62"/>
      <c r="Q1298" s="33"/>
      <c r="R1298" s="33"/>
      <c r="S1298" s="61"/>
      <c r="T1298" s="33"/>
      <c r="U1298" s="62"/>
      <c r="W1298" s="61"/>
      <c r="X1298" s="62"/>
    </row>
    <row r="1299" spans="2:24" ht="16">
      <c r="B1299" s="67" t="str">
        <f t="shared" si="5"/>
        <v/>
      </c>
      <c r="C1299" s="33"/>
      <c r="D1299" s="33"/>
      <c r="E1299" s="33"/>
      <c r="F1299" s="56"/>
      <c r="G1299" s="33"/>
      <c r="H1299" s="33"/>
      <c r="I1299" s="33"/>
      <c r="J1299" s="57"/>
      <c r="K1299" s="33"/>
      <c r="L1299" s="57"/>
      <c r="M1299" s="58"/>
      <c r="N1299" s="56"/>
      <c r="O1299" s="64"/>
      <c r="P1299" s="62"/>
      <c r="Q1299" s="33"/>
      <c r="R1299" s="33"/>
      <c r="S1299" s="61"/>
      <c r="T1299" s="33"/>
      <c r="U1299" s="62"/>
      <c r="W1299" s="61"/>
      <c r="X1299" s="62"/>
    </row>
    <row r="1300" spans="2:24" ht="16">
      <c r="B1300" s="67" t="str">
        <f t="shared" si="5"/>
        <v/>
      </c>
      <c r="C1300" s="33"/>
      <c r="D1300" s="33"/>
      <c r="E1300" s="33"/>
      <c r="F1300" s="56"/>
      <c r="G1300" s="33"/>
      <c r="H1300" s="33"/>
      <c r="I1300" s="33"/>
      <c r="J1300" s="57"/>
      <c r="K1300" s="33"/>
      <c r="L1300" s="57"/>
      <c r="M1300" s="64"/>
      <c r="N1300" s="56"/>
      <c r="O1300" s="64"/>
      <c r="P1300" s="62"/>
      <c r="Q1300" s="33"/>
      <c r="R1300" s="33"/>
      <c r="S1300" s="61"/>
      <c r="T1300" s="33"/>
      <c r="U1300" s="62"/>
      <c r="W1300" s="61"/>
      <c r="X1300" s="62"/>
    </row>
    <row r="1301" spans="2:24" ht="16">
      <c r="B1301" s="67" t="str">
        <f t="shared" si="5"/>
        <v/>
      </c>
      <c r="C1301" s="33"/>
      <c r="D1301" s="33"/>
      <c r="E1301" s="33"/>
      <c r="F1301" s="56"/>
      <c r="G1301" s="33"/>
      <c r="H1301" s="33"/>
      <c r="I1301" s="33"/>
      <c r="J1301" s="57"/>
      <c r="K1301" s="33"/>
      <c r="L1301" s="57"/>
      <c r="M1301" s="64"/>
      <c r="N1301" s="56"/>
      <c r="O1301" s="64"/>
      <c r="P1301" s="62"/>
      <c r="Q1301" s="33"/>
      <c r="R1301" s="33"/>
      <c r="S1301" s="61"/>
      <c r="T1301" s="33"/>
      <c r="U1301" s="62"/>
      <c r="W1301" s="61"/>
      <c r="X1301" s="62"/>
    </row>
    <row r="1302" spans="2:24" ht="16">
      <c r="B1302" s="67" t="str">
        <f t="shared" ref="B1302:B1556" si="6">IF($H1302="","",LEFT(C1302,3))</f>
        <v/>
      </c>
      <c r="C1302" s="33"/>
      <c r="D1302" s="33"/>
      <c r="E1302" s="33"/>
      <c r="F1302" s="56"/>
      <c r="G1302" s="33"/>
      <c r="H1302" s="33"/>
      <c r="I1302" s="33"/>
      <c r="J1302" s="57"/>
      <c r="K1302" s="33"/>
      <c r="L1302" s="57"/>
      <c r="M1302" s="64"/>
      <c r="N1302" s="56"/>
      <c r="O1302" s="64"/>
      <c r="P1302" s="62"/>
      <c r="Q1302" s="33"/>
      <c r="R1302" s="33"/>
      <c r="S1302" s="61"/>
      <c r="T1302" s="33"/>
      <c r="U1302" s="62"/>
      <c r="W1302" s="61"/>
      <c r="X1302" s="62"/>
    </row>
    <row r="1303" spans="2:24" ht="16">
      <c r="B1303" s="67" t="str">
        <f t="shared" si="6"/>
        <v/>
      </c>
      <c r="C1303" s="33"/>
      <c r="D1303" s="33"/>
      <c r="E1303" s="33"/>
      <c r="F1303" s="56"/>
      <c r="G1303" s="33"/>
      <c r="H1303" s="33"/>
      <c r="I1303" s="33"/>
      <c r="J1303" s="57"/>
      <c r="K1303" s="33"/>
      <c r="L1303" s="57"/>
      <c r="M1303" s="64"/>
      <c r="N1303" s="56"/>
      <c r="O1303" s="64"/>
      <c r="P1303" s="62"/>
      <c r="Q1303" s="33"/>
      <c r="R1303" s="33"/>
      <c r="S1303" s="61"/>
      <c r="T1303" s="33"/>
      <c r="U1303" s="62"/>
      <c r="W1303" s="61"/>
      <c r="X1303" s="62"/>
    </row>
    <row r="1304" spans="2:24" ht="16">
      <c r="B1304" s="67" t="str">
        <f t="shared" si="6"/>
        <v/>
      </c>
      <c r="C1304" s="33"/>
      <c r="D1304" s="33"/>
      <c r="E1304" s="33"/>
      <c r="F1304" s="56"/>
      <c r="G1304" s="33"/>
      <c r="H1304" s="33"/>
      <c r="I1304" s="33"/>
      <c r="J1304" s="57"/>
      <c r="K1304" s="33"/>
      <c r="L1304" s="57"/>
      <c r="M1304" s="64"/>
      <c r="N1304" s="56"/>
      <c r="O1304" s="64"/>
      <c r="P1304" s="62"/>
      <c r="Q1304" s="33"/>
      <c r="R1304" s="33"/>
      <c r="S1304" s="61"/>
      <c r="T1304" s="33"/>
      <c r="U1304" s="62"/>
      <c r="W1304" s="61"/>
      <c r="X1304" s="62"/>
    </row>
    <row r="1305" spans="2:24" ht="16">
      <c r="B1305" s="67" t="str">
        <f t="shared" si="6"/>
        <v/>
      </c>
      <c r="C1305" s="33"/>
      <c r="D1305" s="33"/>
      <c r="E1305" s="33"/>
      <c r="F1305" s="56"/>
      <c r="G1305" s="33"/>
      <c r="H1305" s="33"/>
      <c r="I1305" s="33"/>
      <c r="J1305" s="57"/>
      <c r="K1305" s="33"/>
      <c r="L1305" s="57"/>
      <c r="M1305" s="58"/>
      <c r="N1305" s="56"/>
      <c r="O1305" s="64"/>
      <c r="P1305" s="62"/>
      <c r="Q1305" s="33"/>
      <c r="R1305" s="33"/>
      <c r="S1305" s="61"/>
      <c r="T1305" s="33"/>
      <c r="U1305" s="62"/>
      <c r="W1305" s="61"/>
      <c r="X1305" s="62"/>
    </row>
    <row r="1306" spans="2:24" ht="16">
      <c r="B1306" s="67" t="str">
        <f t="shared" si="6"/>
        <v/>
      </c>
      <c r="C1306" s="33"/>
      <c r="D1306" s="33"/>
      <c r="E1306" s="33"/>
      <c r="F1306" s="56"/>
      <c r="G1306" s="33"/>
      <c r="H1306" s="33"/>
      <c r="I1306" s="33"/>
      <c r="J1306" s="57"/>
      <c r="K1306" s="33"/>
      <c r="L1306" s="57"/>
      <c r="M1306" s="64"/>
      <c r="N1306" s="56"/>
      <c r="O1306" s="64"/>
      <c r="P1306" s="62"/>
      <c r="Q1306" s="33"/>
      <c r="R1306" s="33"/>
      <c r="S1306" s="61"/>
      <c r="T1306" s="33"/>
      <c r="U1306" s="62"/>
      <c r="W1306" s="61"/>
      <c r="X1306" s="62"/>
    </row>
    <row r="1307" spans="2:24" ht="16">
      <c r="B1307" s="67" t="str">
        <f t="shared" si="6"/>
        <v/>
      </c>
      <c r="C1307" s="33"/>
      <c r="D1307" s="33"/>
      <c r="E1307" s="33"/>
      <c r="F1307" s="56"/>
      <c r="G1307" s="33"/>
      <c r="H1307" s="33"/>
      <c r="I1307" s="33"/>
      <c r="J1307" s="57"/>
      <c r="K1307" s="33"/>
      <c r="L1307" s="57"/>
      <c r="M1307" s="64"/>
      <c r="N1307" s="56"/>
      <c r="O1307" s="64"/>
      <c r="P1307" s="62"/>
      <c r="Q1307" s="33"/>
      <c r="R1307" s="33"/>
      <c r="S1307" s="61"/>
      <c r="T1307" s="33"/>
      <c r="U1307" s="62"/>
      <c r="W1307" s="61"/>
      <c r="X1307" s="62"/>
    </row>
    <row r="1308" spans="2:24" ht="16">
      <c r="B1308" s="67" t="str">
        <f t="shared" si="6"/>
        <v/>
      </c>
      <c r="C1308" s="33"/>
      <c r="D1308" s="33"/>
      <c r="E1308" s="33"/>
      <c r="F1308" s="56"/>
      <c r="G1308" s="33"/>
      <c r="H1308" s="33"/>
      <c r="I1308" s="33"/>
      <c r="J1308" s="57"/>
      <c r="K1308" s="33"/>
      <c r="L1308" s="57"/>
      <c r="M1308" s="58"/>
      <c r="N1308" s="56"/>
      <c r="O1308" s="64"/>
      <c r="P1308" s="62"/>
      <c r="Q1308" s="33"/>
      <c r="R1308" s="33"/>
      <c r="S1308" s="61"/>
      <c r="T1308" s="33"/>
      <c r="U1308" s="62"/>
      <c r="W1308" s="61"/>
      <c r="X1308" s="62"/>
    </row>
    <row r="1309" spans="2:24" ht="16">
      <c r="B1309" s="67" t="str">
        <f t="shared" si="6"/>
        <v/>
      </c>
      <c r="C1309" s="33"/>
      <c r="D1309" s="33"/>
      <c r="E1309" s="33"/>
      <c r="F1309" s="56"/>
      <c r="G1309" s="33"/>
      <c r="H1309" s="33"/>
      <c r="I1309" s="33"/>
      <c r="J1309" s="57"/>
      <c r="K1309" s="33"/>
      <c r="L1309" s="57"/>
      <c r="M1309" s="64"/>
      <c r="N1309" s="56"/>
      <c r="O1309" s="64"/>
      <c r="P1309" s="62"/>
      <c r="Q1309" s="33"/>
      <c r="R1309" s="33"/>
      <c r="S1309" s="61"/>
      <c r="T1309" s="33"/>
      <c r="U1309" s="62"/>
      <c r="W1309" s="61"/>
      <c r="X1309" s="62"/>
    </row>
    <row r="1310" spans="2:24" ht="16">
      <c r="B1310" s="67" t="str">
        <f t="shared" si="6"/>
        <v/>
      </c>
      <c r="C1310" s="33"/>
      <c r="D1310" s="33"/>
      <c r="E1310" s="33"/>
      <c r="F1310" s="56"/>
      <c r="G1310" s="33"/>
      <c r="H1310" s="33"/>
      <c r="I1310" s="33"/>
      <c r="J1310" s="57"/>
      <c r="K1310" s="33"/>
      <c r="L1310" s="57"/>
      <c r="M1310" s="58"/>
      <c r="N1310" s="56"/>
      <c r="O1310" s="64"/>
      <c r="P1310" s="62"/>
      <c r="Q1310" s="33"/>
      <c r="R1310" s="33"/>
      <c r="S1310" s="61"/>
      <c r="T1310" s="33"/>
      <c r="U1310" s="62"/>
      <c r="W1310" s="61"/>
      <c r="X1310" s="62"/>
    </row>
    <row r="1311" spans="2:24" ht="16">
      <c r="B1311" s="67" t="str">
        <f t="shared" si="6"/>
        <v/>
      </c>
      <c r="C1311" s="33"/>
      <c r="D1311" s="33"/>
      <c r="E1311" s="33"/>
      <c r="F1311" s="56"/>
      <c r="G1311" s="33"/>
      <c r="H1311" s="33"/>
      <c r="I1311" s="33"/>
      <c r="J1311" s="57"/>
      <c r="K1311" s="33"/>
      <c r="L1311" s="57"/>
      <c r="M1311" s="58"/>
      <c r="N1311" s="56"/>
      <c r="O1311" s="64"/>
      <c r="P1311" s="62"/>
      <c r="Q1311" s="33"/>
      <c r="R1311" s="33"/>
      <c r="S1311" s="61"/>
      <c r="T1311" s="33"/>
      <c r="U1311" s="62"/>
      <c r="W1311" s="61"/>
      <c r="X1311" s="62"/>
    </row>
    <row r="1312" spans="2:24" ht="16">
      <c r="B1312" s="67" t="str">
        <f t="shared" si="6"/>
        <v/>
      </c>
      <c r="C1312" s="33"/>
      <c r="D1312" s="33"/>
      <c r="E1312" s="33"/>
      <c r="F1312" s="56"/>
      <c r="G1312" s="33"/>
      <c r="H1312" s="33"/>
      <c r="I1312" s="33"/>
      <c r="J1312" s="57"/>
      <c r="K1312" s="33"/>
      <c r="L1312" s="57"/>
      <c r="M1312" s="64"/>
      <c r="N1312" s="56"/>
      <c r="O1312" s="64"/>
      <c r="P1312" s="62"/>
      <c r="Q1312" s="33"/>
      <c r="R1312" s="33"/>
      <c r="S1312" s="61"/>
      <c r="T1312" s="33"/>
      <c r="U1312" s="62"/>
      <c r="W1312" s="61"/>
      <c r="X1312" s="62"/>
    </row>
    <row r="1313" spans="2:24" ht="16">
      <c r="B1313" s="67" t="str">
        <f t="shared" si="6"/>
        <v/>
      </c>
      <c r="C1313" s="33"/>
      <c r="D1313" s="33"/>
      <c r="E1313" s="33"/>
      <c r="F1313" s="56"/>
      <c r="G1313" s="33"/>
      <c r="H1313" s="33"/>
      <c r="I1313" s="33"/>
      <c r="J1313" s="57"/>
      <c r="K1313" s="33"/>
      <c r="L1313" s="57"/>
      <c r="M1313" s="64"/>
      <c r="N1313" s="56"/>
      <c r="O1313" s="64"/>
      <c r="P1313" s="62"/>
      <c r="Q1313" s="33"/>
      <c r="R1313" s="33"/>
      <c r="S1313" s="61"/>
      <c r="T1313" s="33"/>
      <c r="U1313" s="62"/>
      <c r="W1313" s="61"/>
      <c r="X1313" s="62"/>
    </row>
    <row r="1314" spans="2:24" ht="16">
      <c r="B1314" s="67" t="str">
        <f t="shared" si="6"/>
        <v/>
      </c>
      <c r="C1314" s="33"/>
      <c r="D1314" s="33"/>
      <c r="E1314" s="33"/>
      <c r="F1314" s="56"/>
      <c r="G1314" s="33"/>
      <c r="H1314" s="33"/>
      <c r="I1314" s="33"/>
      <c r="J1314" s="57"/>
      <c r="K1314" s="33"/>
      <c r="L1314" s="57"/>
      <c r="M1314" s="64"/>
      <c r="N1314" s="56"/>
      <c r="O1314" s="64"/>
      <c r="P1314" s="62"/>
      <c r="Q1314" s="33"/>
      <c r="R1314" s="33"/>
      <c r="S1314" s="61"/>
      <c r="T1314" s="33"/>
      <c r="U1314" s="62"/>
      <c r="W1314" s="61"/>
      <c r="X1314" s="62"/>
    </row>
    <row r="1315" spans="2:24" ht="16">
      <c r="B1315" s="67" t="str">
        <f t="shared" si="6"/>
        <v/>
      </c>
      <c r="C1315" s="33"/>
      <c r="D1315" s="33"/>
      <c r="E1315" s="33"/>
      <c r="F1315" s="56"/>
      <c r="G1315" s="33"/>
      <c r="H1315" s="33"/>
      <c r="I1315" s="33"/>
      <c r="J1315" s="57"/>
      <c r="K1315" s="33"/>
      <c r="L1315" s="57"/>
      <c r="M1315" s="64"/>
      <c r="N1315" s="56"/>
      <c r="O1315" s="64"/>
      <c r="P1315" s="62"/>
      <c r="Q1315" s="33"/>
      <c r="R1315" s="33"/>
      <c r="S1315" s="61"/>
      <c r="T1315" s="33"/>
      <c r="U1315" s="62"/>
      <c r="W1315" s="61"/>
      <c r="X1315" s="62"/>
    </row>
    <row r="1316" spans="2:24" ht="16">
      <c r="B1316" s="67" t="str">
        <f t="shared" si="6"/>
        <v/>
      </c>
      <c r="C1316" s="33"/>
      <c r="D1316" s="33"/>
      <c r="E1316" s="33"/>
      <c r="F1316" s="56"/>
      <c r="G1316" s="33"/>
      <c r="H1316" s="33"/>
      <c r="I1316" s="33"/>
      <c r="J1316" s="57"/>
      <c r="K1316" s="33"/>
      <c r="L1316" s="57"/>
      <c r="M1316" s="64"/>
      <c r="N1316" s="56"/>
      <c r="O1316" s="64"/>
      <c r="P1316" s="62"/>
      <c r="Q1316" s="33"/>
      <c r="R1316" s="33"/>
      <c r="S1316" s="61"/>
      <c r="T1316" s="33"/>
      <c r="U1316" s="62"/>
      <c r="W1316" s="61"/>
      <c r="X1316" s="62"/>
    </row>
    <row r="1317" spans="2:24" ht="16">
      <c r="B1317" s="67" t="str">
        <f t="shared" si="6"/>
        <v/>
      </c>
      <c r="C1317" s="33"/>
      <c r="D1317" s="33"/>
      <c r="E1317" s="33"/>
      <c r="F1317" s="56"/>
      <c r="G1317" s="33"/>
      <c r="H1317" s="33"/>
      <c r="I1317" s="33"/>
      <c r="J1317" s="57"/>
      <c r="K1317" s="33"/>
      <c r="L1317" s="57"/>
      <c r="M1317" s="64"/>
      <c r="N1317" s="56"/>
      <c r="O1317" s="64"/>
      <c r="P1317" s="62"/>
      <c r="Q1317" s="33"/>
      <c r="R1317" s="33"/>
      <c r="S1317" s="61"/>
      <c r="T1317" s="33"/>
      <c r="U1317" s="62"/>
      <c r="W1317" s="61"/>
      <c r="X1317" s="62"/>
    </row>
    <row r="1318" spans="2:24" ht="16">
      <c r="B1318" s="67" t="str">
        <f t="shared" si="6"/>
        <v/>
      </c>
      <c r="C1318" s="33"/>
      <c r="D1318" s="33"/>
      <c r="E1318" s="33"/>
      <c r="F1318" s="56"/>
      <c r="G1318" s="33"/>
      <c r="H1318" s="33"/>
      <c r="I1318" s="33"/>
      <c r="J1318" s="57"/>
      <c r="K1318" s="33"/>
      <c r="L1318" s="57"/>
      <c r="M1318" s="64"/>
      <c r="N1318" s="56"/>
      <c r="O1318" s="64"/>
      <c r="P1318" s="62"/>
      <c r="Q1318" s="33"/>
      <c r="R1318" s="33"/>
      <c r="S1318" s="61"/>
      <c r="T1318" s="33"/>
      <c r="U1318" s="62"/>
      <c r="W1318" s="61"/>
      <c r="X1318" s="62"/>
    </row>
    <row r="1319" spans="2:24" ht="16">
      <c r="B1319" s="67" t="str">
        <f t="shared" si="6"/>
        <v/>
      </c>
      <c r="C1319" s="33"/>
      <c r="D1319" s="33"/>
      <c r="E1319" s="33"/>
      <c r="F1319" s="56"/>
      <c r="G1319" s="33"/>
      <c r="H1319" s="33"/>
      <c r="I1319" s="33"/>
      <c r="J1319" s="57"/>
      <c r="K1319" s="33"/>
      <c r="L1319" s="57"/>
      <c r="M1319" s="64"/>
      <c r="N1319" s="56"/>
      <c r="O1319" s="64"/>
      <c r="P1319" s="62"/>
      <c r="Q1319" s="33"/>
      <c r="R1319" s="33"/>
      <c r="S1319" s="61"/>
      <c r="T1319" s="33"/>
      <c r="U1319" s="62"/>
      <c r="W1319" s="61"/>
      <c r="X1319" s="62"/>
    </row>
    <row r="1320" spans="2:24" ht="16">
      <c r="B1320" s="67" t="str">
        <f t="shared" si="6"/>
        <v/>
      </c>
      <c r="C1320" s="33"/>
      <c r="D1320" s="33"/>
      <c r="E1320" s="33"/>
      <c r="F1320" s="56"/>
      <c r="G1320" s="33"/>
      <c r="H1320" s="33"/>
      <c r="I1320" s="33"/>
      <c r="J1320" s="57"/>
      <c r="K1320" s="33"/>
      <c r="L1320" s="57"/>
      <c r="M1320" s="64"/>
      <c r="N1320" s="56"/>
      <c r="O1320" s="64"/>
      <c r="P1320" s="62"/>
      <c r="Q1320" s="33"/>
      <c r="R1320" s="33"/>
      <c r="S1320" s="61"/>
      <c r="T1320" s="33"/>
      <c r="U1320" s="62"/>
      <c r="W1320" s="61"/>
      <c r="X1320" s="62"/>
    </row>
    <row r="1321" spans="2:24" ht="16">
      <c r="B1321" s="67" t="str">
        <f t="shared" si="6"/>
        <v/>
      </c>
      <c r="C1321" s="33"/>
      <c r="D1321" s="33"/>
      <c r="E1321" s="33"/>
      <c r="F1321" s="56"/>
      <c r="G1321" s="33"/>
      <c r="H1321" s="33"/>
      <c r="I1321" s="33"/>
      <c r="J1321" s="57"/>
      <c r="K1321" s="33"/>
      <c r="L1321" s="57"/>
      <c r="M1321" s="64"/>
      <c r="N1321" s="56"/>
      <c r="O1321" s="64"/>
      <c r="P1321" s="62"/>
      <c r="Q1321" s="33"/>
      <c r="R1321" s="33"/>
      <c r="S1321" s="61"/>
      <c r="T1321" s="33"/>
      <c r="U1321" s="62"/>
      <c r="W1321" s="61"/>
      <c r="X1321" s="62"/>
    </row>
    <row r="1322" spans="2:24" ht="16">
      <c r="B1322" s="67" t="str">
        <f t="shared" si="6"/>
        <v/>
      </c>
      <c r="C1322" s="33"/>
      <c r="D1322" s="33"/>
      <c r="E1322" s="33"/>
      <c r="F1322" s="56"/>
      <c r="G1322" s="33"/>
      <c r="H1322" s="33"/>
      <c r="I1322" s="33"/>
      <c r="J1322" s="57"/>
      <c r="K1322" s="33"/>
      <c r="L1322" s="57"/>
      <c r="M1322" s="64"/>
      <c r="N1322" s="56"/>
      <c r="O1322" s="64"/>
      <c r="P1322" s="62"/>
      <c r="Q1322" s="33"/>
      <c r="R1322" s="33"/>
      <c r="S1322" s="61"/>
      <c r="T1322" s="33"/>
      <c r="U1322" s="62"/>
      <c r="W1322" s="61"/>
      <c r="X1322" s="62"/>
    </row>
    <row r="1323" spans="2:24" ht="16">
      <c r="B1323" s="67" t="str">
        <f t="shared" si="6"/>
        <v/>
      </c>
      <c r="C1323" s="33"/>
      <c r="D1323" s="33"/>
      <c r="E1323" s="33"/>
      <c r="F1323" s="56"/>
      <c r="G1323" s="33"/>
      <c r="H1323" s="33"/>
      <c r="I1323" s="33"/>
      <c r="J1323" s="57"/>
      <c r="K1323" s="33"/>
      <c r="L1323" s="57"/>
      <c r="M1323" s="64"/>
      <c r="N1323" s="56"/>
      <c r="O1323" s="64"/>
      <c r="P1323" s="62"/>
      <c r="Q1323" s="33"/>
      <c r="R1323" s="33"/>
      <c r="S1323" s="61"/>
      <c r="T1323" s="33"/>
      <c r="U1323" s="62"/>
      <c r="W1323" s="61"/>
      <c r="X1323" s="62"/>
    </row>
    <row r="1324" spans="2:24" ht="16">
      <c r="B1324" s="67" t="str">
        <f t="shared" si="6"/>
        <v/>
      </c>
      <c r="C1324" s="33"/>
      <c r="D1324" s="33"/>
      <c r="E1324" s="33"/>
      <c r="F1324" s="56"/>
      <c r="G1324" s="33"/>
      <c r="H1324" s="33"/>
      <c r="I1324" s="33"/>
      <c r="J1324" s="57"/>
      <c r="K1324" s="33"/>
      <c r="L1324" s="57"/>
      <c r="M1324" s="64"/>
      <c r="N1324" s="56"/>
      <c r="O1324" s="64"/>
      <c r="P1324" s="62"/>
      <c r="Q1324" s="33"/>
      <c r="R1324" s="33"/>
      <c r="S1324" s="61"/>
      <c r="T1324" s="33"/>
      <c r="U1324" s="62"/>
      <c r="W1324" s="61"/>
      <c r="X1324" s="62"/>
    </row>
    <row r="1325" spans="2:24" ht="16">
      <c r="B1325" s="67" t="str">
        <f t="shared" si="6"/>
        <v/>
      </c>
      <c r="C1325" s="33"/>
      <c r="D1325" s="33"/>
      <c r="E1325" s="33"/>
      <c r="F1325" s="56"/>
      <c r="G1325" s="33"/>
      <c r="H1325" s="33"/>
      <c r="I1325" s="33"/>
      <c r="J1325" s="57"/>
      <c r="K1325" s="33"/>
      <c r="L1325" s="57"/>
      <c r="M1325" s="58"/>
      <c r="N1325" s="56"/>
      <c r="O1325" s="64"/>
      <c r="P1325" s="62"/>
      <c r="Q1325" s="33"/>
      <c r="R1325" s="33"/>
      <c r="S1325" s="61"/>
      <c r="T1325" s="33"/>
      <c r="U1325" s="62"/>
      <c r="W1325" s="61"/>
      <c r="X1325" s="62"/>
    </row>
    <row r="1326" spans="2:24" ht="16">
      <c r="B1326" s="67" t="str">
        <f t="shared" si="6"/>
        <v/>
      </c>
      <c r="C1326" s="33"/>
      <c r="D1326" s="33"/>
      <c r="E1326" s="33"/>
      <c r="F1326" s="56"/>
      <c r="G1326" s="33"/>
      <c r="H1326" s="33"/>
      <c r="I1326" s="33"/>
      <c r="J1326" s="57"/>
      <c r="K1326" s="33"/>
      <c r="L1326" s="57"/>
      <c r="M1326" s="64"/>
      <c r="N1326" s="56"/>
      <c r="O1326" s="64"/>
      <c r="P1326" s="62"/>
      <c r="Q1326" s="33"/>
      <c r="R1326" s="33"/>
      <c r="S1326" s="61"/>
      <c r="T1326" s="33"/>
      <c r="U1326" s="62"/>
      <c r="W1326" s="61"/>
      <c r="X1326" s="62"/>
    </row>
    <row r="1327" spans="2:24" ht="16">
      <c r="B1327" s="67" t="str">
        <f t="shared" si="6"/>
        <v/>
      </c>
      <c r="C1327" s="33"/>
      <c r="D1327" s="33"/>
      <c r="E1327" s="33"/>
      <c r="F1327" s="56"/>
      <c r="G1327" s="33"/>
      <c r="H1327" s="33"/>
      <c r="I1327" s="33"/>
      <c r="J1327" s="57"/>
      <c r="K1327" s="33"/>
      <c r="L1327" s="57"/>
      <c r="M1327" s="64"/>
      <c r="N1327" s="56"/>
      <c r="O1327" s="64"/>
      <c r="P1327" s="62"/>
      <c r="Q1327" s="33"/>
      <c r="R1327" s="33"/>
      <c r="S1327" s="61"/>
      <c r="T1327" s="33"/>
      <c r="U1327" s="62"/>
      <c r="W1327" s="61"/>
      <c r="X1327" s="62"/>
    </row>
    <row r="1328" spans="2:24" ht="16">
      <c r="B1328" s="67" t="str">
        <f t="shared" si="6"/>
        <v/>
      </c>
      <c r="C1328" s="33"/>
      <c r="D1328" s="33"/>
      <c r="E1328" s="33"/>
      <c r="F1328" s="56"/>
      <c r="G1328" s="33"/>
      <c r="H1328" s="33"/>
      <c r="I1328" s="33"/>
      <c r="J1328" s="57"/>
      <c r="K1328" s="33"/>
      <c r="L1328" s="57"/>
      <c r="M1328" s="64"/>
      <c r="N1328" s="56"/>
      <c r="O1328" s="64"/>
      <c r="P1328" s="62"/>
      <c r="Q1328" s="33"/>
      <c r="R1328" s="33"/>
      <c r="S1328" s="61"/>
      <c r="T1328" s="33"/>
      <c r="U1328" s="62"/>
      <c r="W1328" s="61"/>
      <c r="X1328" s="62"/>
    </row>
    <row r="1329" spans="2:24" ht="16">
      <c r="B1329" s="67" t="str">
        <f t="shared" si="6"/>
        <v/>
      </c>
      <c r="C1329" s="33"/>
      <c r="D1329" s="33"/>
      <c r="E1329" s="33"/>
      <c r="F1329" s="56"/>
      <c r="G1329" s="33"/>
      <c r="H1329" s="33"/>
      <c r="I1329" s="33"/>
      <c r="J1329" s="57"/>
      <c r="K1329" s="33"/>
      <c r="L1329" s="57"/>
      <c r="M1329" s="58"/>
      <c r="N1329" s="56"/>
      <c r="O1329" s="64"/>
      <c r="P1329" s="62"/>
      <c r="Q1329" s="33"/>
      <c r="R1329" s="33"/>
      <c r="S1329" s="61"/>
      <c r="T1329" s="33"/>
      <c r="U1329" s="62"/>
      <c r="W1329" s="61"/>
      <c r="X1329" s="62"/>
    </row>
    <row r="1330" spans="2:24" ht="16">
      <c r="B1330" s="67" t="str">
        <f t="shared" si="6"/>
        <v/>
      </c>
      <c r="C1330" s="33"/>
      <c r="D1330" s="33"/>
      <c r="E1330" s="33"/>
      <c r="F1330" s="56"/>
      <c r="G1330" s="33"/>
      <c r="H1330" s="33"/>
      <c r="I1330" s="33"/>
      <c r="J1330" s="57"/>
      <c r="K1330" s="33"/>
      <c r="L1330" s="57"/>
      <c r="M1330" s="58"/>
      <c r="N1330" s="56"/>
      <c r="O1330" s="64"/>
      <c r="P1330" s="62"/>
      <c r="Q1330" s="33"/>
      <c r="R1330" s="33"/>
      <c r="S1330" s="61"/>
      <c r="T1330" s="33"/>
      <c r="U1330" s="62"/>
      <c r="W1330" s="61"/>
      <c r="X1330" s="62"/>
    </row>
    <row r="1331" spans="2:24" ht="16">
      <c r="B1331" s="67" t="str">
        <f t="shared" si="6"/>
        <v/>
      </c>
      <c r="C1331" s="33"/>
      <c r="D1331" s="33"/>
      <c r="E1331" s="33"/>
      <c r="F1331" s="56"/>
      <c r="G1331" s="33"/>
      <c r="H1331" s="33"/>
      <c r="I1331" s="33"/>
      <c r="J1331" s="57"/>
      <c r="K1331" s="33"/>
      <c r="L1331" s="57"/>
      <c r="M1331" s="64"/>
      <c r="N1331" s="56"/>
      <c r="O1331" s="64"/>
      <c r="P1331" s="62"/>
      <c r="Q1331" s="33"/>
      <c r="R1331" s="33"/>
      <c r="S1331" s="61"/>
      <c r="T1331" s="33"/>
      <c r="U1331" s="62"/>
      <c r="W1331" s="61"/>
      <c r="X1331" s="62"/>
    </row>
    <row r="1332" spans="2:24" ht="16">
      <c r="B1332" s="67" t="str">
        <f t="shared" si="6"/>
        <v/>
      </c>
      <c r="C1332" s="33"/>
      <c r="D1332" s="33"/>
      <c r="E1332" s="33"/>
      <c r="F1332" s="56"/>
      <c r="G1332" s="33"/>
      <c r="H1332" s="33"/>
      <c r="I1332" s="33"/>
      <c r="J1332" s="57"/>
      <c r="K1332" s="33"/>
      <c r="L1332" s="57"/>
      <c r="M1332" s="64"/>
      <c r="N1332" s="56"/>
      <c r="O1332" s="64"/>
      <c r="P1332" s="62"/>
      <c r="Q1332" s="33"/>
      <c r="R1332" s="33"/>
      <c r="S1332" s="61"/>
      <c r="T1332" s="33"/>
      <c r="U1332" s="62"/>
      <c r="W1332" s="61"/>
      <c r="X1332" s="62"/>
    </row>
    <row r="1333" spans="2:24" ht="16">
      <c r="B1333" s="67" t="str">
        <f t="shared" si="6"/>
        <v/>
      </c>
      <c r="C1333" s="33"/>
      <c r="D1333" s="33"/>
      <c r="E1333" s="33"/>
      <c r="F1333" s="56"/>
      <c r="G1333" s="33"/>
      <c r="H1333" s="33"/>
      <c r="I1333" s="33"/>
      <c r="J1333" s="57"/>
      <c r="K1333" s="33"/>
      <c r="L1333" s="57"/>
      <c r="M1333" s="58"/>
      <c r="N1333" s="56"/>
      <c r="O1333" s="64"/>
      <c r="P1333" s="62"/>
      <c r="Q1333" s="33"/>
      <c r="R1333" s="33"/>
      <c r="S1333" s="61"/>
      <c r="T1333" s="33"/>
      <c r="U1333" s="62"/>
      <c r="W1333" s="61"/>
      <c r="X1333" s="62"/>
    </row>
    <row r="1334" spans="2:24" ht="16">
      <c r="B1334" s="67" t="str">
        <f t="shared" si="6"/>
        <v/>
      </c>
      <c r="C1334" s="33"/>
      <c r="D1334" s="33"/>
      <c r="E1334" s="33"/>
      <c r="F1334" s="56"/>
      <c r="G1334" s="33"/>
      <c r="H1334" s="33"/>
      <c r="I1334" s="33"/>
      <c r="J1334" s="57"/>
      <c r="K1334" s="33"/>
      <c r="L1334" s="57"/>
      <c r="M1334" s="64"/>
      <c r="N1334" s="56"/>
      <c r="O1334" s="64"/>
      <c r="P1334" s="62"/>
      <c r="Q1334" s="33"/>
      <c r="R1334" s="33"/>
      <c r="S1334" s="61"/>
      <c r="T1334" s="33"/>
      <c r="U1334" s="62"/>
      <c r="W1334" s="61"/>
      <c r="X1334" s="62"/>
    </row>
    <row r="1335" spans="2:24" ht="16">
      <c r="B1335" s="67" t="str">
        <f t="shared" si="6"/>
        <v/>
      </c>
      <c r="C1335" s="33"/>
      <c r="D1335" s="33"/>
      <c r="E1335" s="33"/>
      <c r="F1335" s="56"/>
      <c r="G1335" s="33"/>
      <c r="H1335" s="33"/>
      <c r="I1335" s="33"/>
      <c r="J1335" s="57"/>
      <c r="K1335" s="33"/>
      <c r="L1335" s="57"/>
      <c r="M1335" s="64"/>
      <c r="N1335" s="56"/>
      <c r="O1335" s="64"/>
      <c r="P1335" s="62"/>
      <c r="Q1335" s="33"/>
      <c r="R1335" s="33"/>
      <c r="S1335" s="61"/>
      <c r="T1335" s="33"/>
      <c r="U1335" s="62"/>
      <c r="W1335" s="61"/>
      <c r="X1335" s="62"/>
    </row>
    <row r="1336" spans="2:24" ht="16">
      <c r="B1336" s="67" t="str">
        <f t="shared" si="6"/>
        <v/>
      </c>
      <c r="C1336" s="33"/>
      <c r="D1336" s="33"/>
      <c r="E1336" s="33"/>
      <c r="F1336" s="56"/>
      <c r="G1336" s="33"/>
      <c r="H1336" s="33"/>
      <c r="I1336" s="33"/>
      <c r="J1336" s="57"/>
      <c r="K1336" s="33"/>
      <c r="L1336" s="57"/>
      <c r="M1336" s="64"/>
      <c r="N1336" s="56"/>
      <c r="O1336" s="64"/>
      <c r="P1336" s="62"/>
      <c r="Q1336" s="33"/>
      <c r="R1336" s="33"/>
      <c r="S1336" s="61"/>
      <c r="T1336" s="33"/>
      <c r="U1336" s="62"/>
      <c r="W1336" s="61"/>
      <c r="X1336" s="62"/>
    </row>
    <row r="1337" spans="2:24" ht="16">
      <c r="B1337" s="67" t="str">
        <f t="shared" si="6"/>
        <v/>
      </c>
      <c r="C1337" s="33"/>
      <c r="D1337" s="33"/>
      <c r="E1337" s="33"/>
      <c r="F1337" s="56"/>
      <c r="G1337" s="33"/>
      <c r="H1337" s="33"/>
      <c r="I1337" s="33"/>
      <c r="J1337" s="57"/>
      <c r="K1337" s="33"/>
      <c r="L1337" s="57"/>
      <c r="M1337" s="64"/>
      <c r="N1337" s="56"/>
      <c r="O1337" s="64"/>
      <c r="P1337" s="62"/>
      <c r="Q1337" s="33"/>
      <c r="R1337" s="33"/>
      <c r="S1337" s="61"/>
      <c r="T1337" s="33"/>
      <c r="U1337" s="62"/>
      <c r="W1337" s="61"/>
      <c r="X1337" s="62"/>
    </row>
    <row r="1338" spans="2:24" ht="16">
      <c r="B1338" s="67" t="str">
        <f t="shared" si="6"/>
        <v/>
      </c>
      <c r="C1338" s="33"/>
      <c r="D1338" s="33"/>
      <c r="E1338" s="33"/>
      <c r="F1338" s="56"/>
      <c r="G1338" s="33"/>
      <c r="H1338" s="33"/>
      <c r="I1338" s="33"/>
      <c r="J1338" s="57"/>
      <c r="K1338" s="33"/>
      <c r="L1338" s="57"/>
      <c r="M1338" s="58"/>
      <c r="N1338" s="56"/>
      <c r="O1338" s="64"/>
      <c r="P1338" s="62"/>
      <c r="Q1338" s="33"/>
      <c r="R1338" s="33"/>
      <c r="S1338" s="61"/>
      <c r="T1338" s="33"/>
      <c r="U1338" s="62"/>
      <c r="W1338" s="61"/>
      <c r="X1338" s="62"/>
    </row>
    <row r="1339" spans="2:24" ht="16">
      <c r="B1339" s="67" t="str">
        <f t="shared" si="6"/>
        <v/>
      </c>
      <c r="C1339" s="33"/>
      <c r="D1339" s="33"/>
      <c r="E1339" s="33"/>
      <c r="F1339" s="56"/>
      <c r="G1339" s="33"/>
      <c r="H1339" s="33"/>
      <c r="I1339" s="33"/>
      <c r="J1339" s="57"/>
      <c r="K1339" s="33"/>
      <c r="L1339" s="57"/>
      <c r="M1339" s="64"/>
      <c r="N1339" s="56"/>
      <c r="O1339" s="64"/>
      <c r="P1339" s="62"/>
      <c r="Q1339" s="33"/>
      <c r="R1339" s="33"/>
      <c r="S1339" s="61"/>
      <c r="T1339" s="33"/>
      <c r="U1339" s="62"/>
      <c r="W1339" s="61"/>
      <c r="X1339" s="62"/>
    </row>
    <row r="1340" spans="2:24" ht="16">
      <c r="B1340" s="67" t="str">
        <f t="shared" si="6"/>
        <v/>
      </c>
      <c r="C1340" s="33"/>
      <c r="D1340" s="33"/>
      <c r="E1340" s="33"/>
      <c r="F1340" s="56"/>
      <c r="G1340" s="33"/>
      <c r="H1340" s="33"/>
      <c r="I1340" s="33"/>
      <c r="J1340" s="57"/>
      <c r="K1340" s="33"/>
      <c r="L1340" s="57"/>
      <c r="M1340" s="64"/>
      <c r="N1340" s="56"/>
      <c r="O1340" s="64"/>
      <c r="P1340" s="62"/>
      <c r="Q1340" s="33"/>
      <c r="R1340" s="33"/>
      <c r="S1340" s="61"/>
      <c r="T1340" s="33"/>
      <c r="U1340" s="62"/>
      <c r="W1340" s="61"/>
      <c r="X1340" s="62"/>
    </row>
    <row r="1341" spans="2:24" ht="16">
      <c r="B1341" s="67" t="str">
        <f t="shared" si="6"/>
        <v/>
      </c>
      <c r="C1341" s="33"/>
      <c r="D1341" s="33"/>
      <c r="E1341" s="33"/>
      <c r="F1341" s="56"/>
      <c r="G1341" s="33"/>
      <c r="H1341" s="33"/>
      <c r="I1341" s="33"/>
      <c r="J1341" s="57"/>
      <c r="K1341" s="33"/>
      <c r="L1341" s="57"/>
      <c r="M1341" s="58"/>
      <c r="N1341" s="56"/>
      <c r="O1341" s="64"/>
      <c r="P1341" s="62"/>
      <c r="Q1341" s="33"/>
      <c r="R1341" s="33"/>
      <c r="S1341" s="61"/>
      <c r="T1341" s="33"/>
      <c r="U1341" s="62"/>
      <c r="W1341" s="61"/>
      <c r="X1341" s="62"/>
    </row>
    <row r="1342" spans="2:24" ht="16">
      <c r="B1342" s="67" t="str">
        <f t="shared" si="6"/>
        <v/>
      </c>
      <c r="C1342" s="33"/>
      <c r="D1342" s="33"/>
      <c r="E1342" s="33"/>
      <c r="F1342" s="56"/>
      <c r="G1342" s="33"/>
      <c r="H1342" s="33"/>
      <c r="I1342" s="33"/>
      <c r="J1342" s="57"/>
      <c r="K1342" s="33"/>
      <c r="L1342" s="57"/>
      <c r="M1342" s="64"/>
      <c r="N1342" s="56"/>
      <c r="O1342" s="64"/>
      <c r="P1342" s="62"/>
      <c r="Q1342" s="33"/>
      <c r="R1342" s="33"/>
      <c r="S1342" s="61"/>
      <c r="T1342" s="33"/>
      <c r="U1342" s="62"/>
      <c r="W1342" s="61"/>
      <c r="X1342" s="62"/>
    </row>
    <row r="1343" spans="2:24" ht="16">
      <c r="B1343" s="67" t="str">
        <f t="shared" si="6"/>
        <v/>
      </c>
      <c r="C1343" s="33"/>
      <c r="D1343" s="33"/>
      <c r="E1343" s="33"/>
      <c r="F1343" s="56"/>
      <c r="G1343" s="33"/>
      <c r="H1343" s="33"/>
      <c r="I1343" s="33"/>
      <c r="J1343" s="57"/>
      <c r="K1343" s="33"/>
      <c r="L1343" s="57"/>
      <c r="M1343" s="64"/>
      <c r="N1343" s="56"/>
      <c r="O1343" s="64"/>
      <c r="P1343" s="62"/>
      <c r="Q1343" s="33"/>
      <c r="R1343" s="33"/>
      <c r="S1343" s="61"/>
      <c r="T1343" s="33"/>
      <c r="U1343" s="62"/>
      <c r="W1343" s="61"/>
      <c r="X1343" s="62"/>
    </row>
    <row r="1344" spans="2:24" ht="16">
      <c r="B1344" s="67" t="str">
        <f t="shared" si="6"/>
        <v/>
      </c>
      <c r="C1344" s="33"/>
      <c r="D1344" s="33"/>
      <c r="E1344" s="33"/>
      <c r="F1344" s="56"/>
      <c r="G1344" s="33"/>
      <c r="H1344" s="33"/>
      <c r="I1344" s="33"/>
      <c r="J1344" s="57"/>
      <c r="K1344" s="33"/>
      <c r="L1344" s="57"/>
      <c r="M1344" s="64"/>
      <c r="N1344" s="56"/>
      <c r="O1344" s="64"/>
      <c r="P1344" s="62"/>
      <c r="Q1344" s="33"/>
      <c r="R1344" s="33"/>
      <c r="S1344" s="61"/>
      <c r="T1344" s="33"/>
      <c r="U1344" s="62"/>
      <c r="W1344" s="61"/>
      <c r="X1344" s="62"/>
    </row>
    <row r="1345" spans="2:24" ht="16">
      <c r="B1345" s="67" t="str">
        <f t="shared" si="6"/>
        <v/>
      </c>
      <c r="C1345" s="33"/>
      <c r="D1345" s="33"/>
      <c r="E1345" s="33"/>
      <c r="F1345" s="56"/>
      <c r="G1345" s="33"/>
      <c r="H1345" s="33"/>
      <c r="I1345" s="33"/>
      <c r="J1345" s="57"/>
      <c r="K1345" s="33"/>
      <c r="L1345" s="57"/>
      <c r="M1345" s="64"/>
      <c r="N1345" s="56"/>
      <c r="O1345" s="64"/>
      <c r="P1345" s="62"/>
      <c r="Q1345" s="33"/>
      <c r="R1345" s="33"/>
      <c r="S1345" s="61"/>
      <c r="T1345" s="33"/>
      <c r="U1345" s="62"/>
      <c r="W1345" s="61"/>
      <c r="X1345" s="62"/>
    </row>
    <row r="1346" spans="2:24" ht="16">
      <c r="B1346" s="67" t="str">
        <f t="shared" si="6"/>
        <v/>
      </c>
      <c r="C1346" s="33"/>
      <c r="D1346" s="33"/>
      <c r="E1346" s="33"/>
      <c r="F1346" s="56"/>
      <c r="G1346" s="33"/>
      <c r="H1346" s="33"/>
      <c r="I1346" s="33"/>
      <c r="J1346" s="57"/>
      <c r="K1346" s="33"/>
      <c r="L1346" s="57"/>
      <c r="M1346" s="64"/>
      <c r="N1346" s="56"/>
      <c r="O1346" s="64"/>
      <c r="P1346" s="62"/>
      <c r="Q1346" s="33"/>
      <c r="R1346" s="33"/>
      <c r="S1346" s="61"/>
      <c r="T1346" s="33"/>
      <c r="U1346" s="62"/>
      <c r="W1346" s="61"/>
      <c r="X1346" s="62"/>
    </row>
    <row r="1347" spans="2:24" ht="16">
      <c r="B1347" s="67" t="str">
        <f t="shared" si="6"/>
        <v/>
      </c>
      <c r="C1347" s="33"/>
      <c r="D1347" s="33"/>
      <c r="E1347" s="33"/>
      <c r="F1347" s="56"/>
      <c r="G1347" s="33"/>
      <c r="H1347" s="33"/>
      <c r="I1347" s="33"/>
      <c r="J1347" s="57"/>
      <c r="K1347" s="33"/>
      <c r="L1347" s="57"/>
      <c r="M1347" s="58"/>
      <c r="N1347" s="56"/>
      <c r="O1347" s="64"/>
      <c r="P1347" s="62"/>
      <c r="Q1347" s="33"/>
      <c r="R1347" s="33"/>
      <c r="S1347" s="61"/>
      <c r="T1347" s="33"/>
      <c r="U1347" s="62"/>
      <c r="W1347" s="61"/>
      <c r="X1347" s="62"/>
    </row>
    <row r="1348" spans="2:24" ht="16">
      <c r="B1348" s="67" t="str">
        <f t="shared" si="6"/>
        <v/>
      </c>
      <c r="C1348" s="33"/>
      <c r="D1348" s="33"/>
      <c r="E1348" s="33"/>
      <c r="F1348" s="56"/>
      <c r="G1348" s="33"/>
      <c r="H1348" s="33"/>
      <c r="I1348" s="33"/>
      <c r="J1348" s="57"/>
      <c r="K1348" s="33"/>
      <c r="L1348" s="57"/>
      <c r="M1348" s="58"/>
      <c r="N1348" s="56"/>
      <c r="O1348" s="64"/>
      <c r="P1348" s="62"/>
      <c r="Q1348" s="33"/>
      <c r="R1348" s="33"/>
      <c r="S1348" s="61"/>
      <c r="T1348" s="33"/>
      <c r="U1348" s="62"/>
      <c r="W1348" s="61"/>
      <c r="X1348" s="62"/>
    </row>
    <row r="1349" spans="2:24" ht="16">
      <c r="B1349" s="67" t="str">
        <f t="shared" si="6"/>
        <v/>
      </c>
      <c r="C1349" s="33"/>
      <c r="D1349" s="33"/>
      <c r="E1349" s="33"/>
      <c r="F1349" s="56"/>
      <c r="G1349" s="33"/>
      <c r="H1349" s="33"/>
      <c r="I1349" s="33"/>
      <c r="J1349" s="57"/>
      <c r="K1349" s="33"/>
      <c r="L1349" s="57"/>
      <c r="M1349" s="64"/>
      <c r="N1349" s="56"/>
      <c r="O1349" s="64"/>
      <c r="P1349" s="62"/>
      <c r="Q1349" s="33"/>
      <c r="R1349" s="33"/>
      <c r="S1349" s="61"/>
      <c r="T1349" s="33"/>
      <c r="U1349" s="62"/>
      <c r="W1349" s="61"/>
      <c r="X1349" s="62"/>
    </row>
    <row r="1350" spans="2:24" ht="16">
      <c r="B1350" s="67" t="str">
        <f t="shared" si="6"/>
        <v/>
      </c>
      <c r="C1350" s="33"/>
      <c r="D1350" s="33"/>
      <c r="E1350" s="33"/>
      <c r="F1350" s="56"/>
      <c r="G1350" s="33"/>
      <c r="H1350" s="33"/>
      <c r="I1350" s="33"/>
      <c r="J1350" s="57"/>
      <c r="K1350" s="33"/>
      <c r="L1350" s="57"/>
      <c r="M1350" s="58"/>
      <c r="N1350" s="56"/>
      <c r="O1350" s="64"/>
      <c r="P1350" s="62"/>
      <c r="Q1350" s="33"/>
      <c r="R1350" s="33"/>
      <c r="S1350" s="61"/>
      <c r="T1350" s="33"/>
      <c r="U1350" s="62"/>
      <c r="W1350" s="61"/>
      <c r="X1350" s="62"/>
    </row>
    <row r="1351" spans="2:24" ht="16">
      <c r="B1351" s="67" t="str">
        <f t="shared" si="6"/>
        <v/>
      </c>
      <c r="C1351" s="33"/>
      <c r="D1351" s="33"/>
      <c r="E1351" s="33"/>
      <c r="F1351" s="56"/>
      <c r="G1351" s="33"/>
      <c r="H1351" s="33"/>
      <c r="I1351" s="33"/>
      <c r="J1351" s="57"/>
      <c r="K1351" s="33"/>
      <c r="L1351" s="57"/>
      <c r="M1351" s="64"/>
      <c r="N1351" s="56"/>
      <c r="O1351" s="64"/>
      <c r="P1351" s="62"/>
      <c r="Q1351" s="33"/>
      <c r="R1351" s="33"/>
      <c r="S1351" s="61"/>
      <c r="T1351" s="33"/>
      <c r="U1351" s="62"/>
      <c r="W1351" s="61"/>
      <c r="X1351" s="62"/>
    </row>
    <row r="1352" spans="2:24" ht="16">
      <c r="B1352" s="67" t="str">
        <f t="shared" si="6"/>
        <v/>
      </c>
      <c r="C1352" s="33"/>
      <c r="D1352" s="33"/>
      <c r="E1352" s="33"/>
      <c r="F1352" s="56"/>
      <c r="G1352" s="33"/>
      <c r="H1352" s="33"/>
      <c r="I1352" s="33"/>
      <c r="J1352" s="57"/>
      <c r="K1352" s="33"/>
      <c r="L1352" s="57"/>
      <c r="M1352" s="58"/>
      <c r="N1352" s="56"/>
      <c r="O1352" s="64"/>
      <c r="P1352" s="62"/>
      <c r="Q1352" s="33"/>
      <c r="R1352" s="33"/>
      <c r="S1352" s="61"/>
      <c r="T1352" s="33"/>
      <c r="U1352" s="62"/>
      <c r="W1352" s="61"/>
      <c r="X1352" s="62"/>
    </row>
    <row r="1353" spans="2:24" ht="16">
      <c r="B1353" s="67" t="str">
        <f t="shared" si="6"/>
        <v/>
      </c>
      <c r="C1353" s="33"/>
      <c r="D1353" s="33"/>
      <c r="E1353" s="33"/>
      <c r="F1353" s="56"/>
      <c r="G1353" s="33"/>
      <c r="H1353" s="33"/>
      <c r="I1353" s="33"/>
      <c r="J1353" s="57"/>
      <c r="K1353" s="33"/>
      <c r="L1353" s="57"/>
      <c r="M1353" s="64"/>
      <c r="N1353" s="56"/>
      <c r="O1353" s="64"/>
      <c r="P1353" s="62"/>
      <c r="Q1353" s="33"/>
      <c r="R1353" s="33"/>
      <c r="S1353" s="61"/>
      <c r="T1353" s="33"/>
      <c r="U1353" s="62"/>
      <c r="W1353" s="61"/>
      <c r="X1353" s="62"/>
    </row>
    <row r="1354" spans="2:24" ht="16">
      <c r="B1354" s="67" t="str">
        <f t="shared" si="6"/>
        <v/>
      </c>
      <c r="C1354" s="33"/>
      <c r="D1354" s="33"/>
      <c r="E1354" s="33"/>
      <c r="F1354" s="56"/>
      <c r="G1354" s="33"/>
      <c r="H1354" s="33"/>
      <c r="I1354" s="33"/>
      <c r="J1354" s="57"/>
      <c r="K1354" s="33"/>
      <c r="L1354" s="57"/>
      <c r="M1354" s="58"/>
      <c r="N1354" s="56"/>
      <c r="O1354" s="64"/>
      <c r="P1354" s="62"/>
      <c r="Q1354" s="33"/>
      <c r="R1354" s="33"/>
      <c r="S1354" s="61"/>
      <c r="T1354" s="33"/>
      <c r="U1354" s="62"/>
      <c r="W1354" s="61"/>
      <c r="X1354" s="62"/>
    </row>
    <row r="1355" spans="2:24" ht="16">
      <c r="B1355" s="67" t="str">
        <f t="shared" si="6"/>
        <v/>
      </c>
      <c r="C1355" s="33"/>
      <c r="D1355" s="33"/>
      <c r="E1355" s="33"/>
      <c r="F1355" s="56"/>
      <c r="G1355" s="33"/>
      <c r="H1355" s="33"/>
      <c r="I1355" s="33"/>
      <c r="J1355" s="57"/>
      <c r="K1355" s="33"/>
      <c r="L1355" s="57"/>
      <c r="M1355" s="64"/>
      <c r="N1355" s="56"/>
      <c r="O1355" s="64"/>
      <c r="P1355" s="62"/>
      <c r="Q1355" s="33"/>
      <c r="R1355" s="33"/>
      <c r="S1355" s="61"/>
      <c r="T1355" s="33"/>
      <c r="U1355" s="62"/>
      <c r="W1355" s="61"/>
      <c r="X1355" s="62"/>
    </row>
    <row r="1356" spans="2:24" ht="16">
      <c r="B1356" s="67" t="str">
        <f t="shared" si="6"/>
        <v/>
      </c>
      <c r="C1356" s="33"/>
      <c r="D1356" s="33"/>
      <c r="E1356" s="33"/>
      <c r="F1356" s="56"/>
      <c r="G1356" s="33"/>
      <c r="H1356" s="33"/>
      <c r="I1356" s="33"/>
      <c r="J1356" s="57"/>
      <c r="K1356" s="33"/>
      <c r="L1356" s="57"/>
      <c r="M1356" s="64"/>
      <c r="N1356" s="56"/>
      <c r="O1356" s="64"/>
      <c r="P1356" s="62"/>
      <c r="Q1356" s="33"/>
      <c r="R1356" s="33"/>
      <c r="S1356" s="61"/>
      <c r="T1356" s="33"/>
      <c r="U1356" s="62"/>
      <c r="W1356" s="61"/>
      <c r="X1356" s="62"/>
    </row>
    <row r="1357" spans="2:24" ht="16">
      <c r="B1357" s="67" t="str">
        <f t="shared" si="6"/>
        <v/>
      </c>
      <c r="C1357" s="33"/>
      <c r="D1357" s="33"/>
      <c r="E1357" s="33"/>
      <c r="F1357" s="56"/>
      <c r="G1357" s="33"/>
      <c r="H1357" s="33"/>
      <c r="I1357" s="33"/>
      <c r="J1357" s="57"/>
      <c r="K1357" s="33"/>
      <c r="L1357" s="57"/>
      <c r="M1357" s="64"/>
      <c r="N1357" s="56"/>
      <c r="O1357" s="64"/>
      <c r="P1357" s="62"/>
      <c r="Q1357" s="33"/>
      <c r="R1357" s="33"/>
      <c r="S1357" s="61"/>
      <c r="T1357" s="33"/>
      <c r="U1357" s="62"/>
      <c r="W1357" s="61"/>
      <c r="X1357" s="62"/>
    </row>
    <row r="1358" spans="2:24" ht="16">
      <c r="B1358" s="67" t="str">
        <f t="shared" si="6"/>
        <v/>
      </c>
      <c r="C1358" s="33"/>
      <c r="D1358" s="33"/>
      <c r="E1358" s="33"/>
      <c r="F1358" s="56"/>
      <c r="G1358" s="33"/>
      <c r="H1358" s="33"/>
      <c r="I1358" s="33"/>
      <c r="J1358" s="57"/>
      <c r="K1358" s="33"/>
      <c r="L1358" s="57"/>
      <c r="M1358" s="64"/>
      <c r="N1358" s="56"/>
      <c r="O1358" s="64"/>
      <c r="P1358" s="62"/>
      <c r="Q1358" s="33"/>
      <c r="R1358" s="33"/>
      <c r="S1358" s="61"/>
      <c r="T1358" s="33"/>
      <c r="U1358" s="62"/>
      <c r="W1358" s="61"/>
      <c r="X1358" s="62"/>
    </row>
    <row r="1359" spans="2:24" ht="16">
      <c r="B1359" s="67" t="str">
        <f t="shared" si="6"/>
        <v/>
      </c>
      <c r="C1359" s="33"/>
      <c r="D1359" s="33"/>
      <c r="E1359" s="33"/>
      <c r="F1359" s="56"/>
      <c r="G1359" s="33"/>
      <c r="H1359" s="33"/>
      <c r="I1359" s="33"/>
      <c r="J1359" s="57"/>
      <c r="K1359" s="33"/>
      <c r="L1359" s="57"/>
      <c r="M1359" s="58"/>
      <c r="N1359" s="56"/>
      <c r="O1359" s="64"/>
      <c r="P1359" s="62"/>
      <c r="Q1359" s="33"/>
      <c r="R1359" s="33"/>
      <c r="S1359" s="61"/>
      <c r="T1359" s="33"/>
      <c r="U1359" s="62"/>
      <c r="W1359" s="61"/>
      <c r="X1359" s="62"/>
    </row>
    <row r="1360" spans="2:24" ht="16">
      <c r="B1360" s="67" t="str">
        <f t="shared" si="6"/>
        <v/>
      </c>
      <c r="C1360" s="33"/>
      <c r="D1360" s="33"/>
      <c r="E1360" s="33"/>
      <c r="F1360" s="56"/>
      <c r="G1360" s="33"/>
      <c r="H1360" s="33"/>
      <c r="I1360" s="33"/>
      <c r="J1360" s="57"/>
      <c r="K1360" s="33"/>
      <c r="L1360" s="57"/>
      <c r="M1360" s="64"/>
      <c r="N1360" s="56"/>
      <c r="O1360" s="64"/>
      <c r="P1360" s="62"/>
      <c r="Q1360" s="33"/>
      <c r="R1360" s="33"/>
      <c r="S1360" s="61"/>
      <c r="T1360" s="33"/>
      <c r="U1360" s="62"/>
      <c r="W1360" s="61"/>
      <c r="X1360" s="62"/>
    </row>
    <row r="1361" spans="2:33" ht="16">
      <c r="B1361" s="67" t="str">
        <f t="shared" si="6"/>
        <v/>
      </c>
      <c r="C1361" s="33"/>
      <c r="D1361" s="33"/>
      <c r="E1361" s="33"/>
      <c r="F1361" s="56"/>
      <c r="G1361" s="33"/>
      <c r="H1361" s="33"/>
      <c r="I1361" s="33"/>
      <c r="J1361" s="57"/>
      <c r="K1361" s="33"/>
      <c r="L1361" s="57"/>
      <c r="M1361" s="64"/>
      <c r="N1361" s="56"/>
      <c r="O1361" s="64"/>
      <c r="P1361" s="62"/>
      <c r="Q1361" s="33"/>
      <c r="R1361" s="33"/>
      <c r="S1361" s="61"/>
      <c r="T1361" s="33"/>
      <c r="U1361" s="62"/>
      <c r="W1361" s="61"/>
      <c r="X1361" s="62"/>
    </row>
    <row r="1362" spans="2:33" ht="16">
      <c r="B1362" s="67" t="str">
        <f t="shared" si="6"/>
        <v/>
      </c>
      <c r="C1362" s="33"/>
      <c r="D1362" s="33"/>
      <c r="E1362" s="33"/>
      <c r="F1362" s="56"/>
      <c r="G1362" s="33"/>
      <c r="H1362" s="33"/>
      <c r="I1362" s="33"/>
      <c r="J1362" s="57"/>
      <c r="K1362" s="33"/>
      <c r="L1362" s="57"/>
      <c r="M1362" s="64"/>
      <c r="N1362" s="56"/>
      <c r="O1362" s="64"/>
      <c r="P1362" s="62"/>
      <c r="Q1362" s="33"/>
      <c r="R1362" s="33"/>
      <c r="S1362" s="61"/>
      <c r="T1362" s="33"/>
      <c r="U1362" s="62"/>
      <c r="W1362" s="61"/>
      <c r="X1362" s="62"/>
    </row>
    <row r="1363" spans="2:33" ht="16">
      <c r="B1363" s="67" t="str">
        <f t="shared" si="6"/>
        <v/>
      </c>
      <c r="C1363" s="33"/>
      <c r="D1363" s="33"/>
      <c r="E1363" s="33"/>
      <c r="F1363" s="56"/>
      <c r="G1363" s="33"/>
      <c r="H1363" s="33"/>
      <c r="I1363" s="33"/>
      <c r="J1363" s="57"/>
      <c r="K1363" s="33"/>
      <c r="L1363" s="57"/>
      <c r="M1363" s="64"/>
      <c r="N1363" s="56"/>
      <c r="O1363" s="64"/>
      <c r="P1363" s="62"/>
      <c r="Q1363" s="33"/>
      <c r="R1363" s="33"/>
      <c r="S1363" s="61"/>
      <c r="T1363" s="33"/>
      <c r="U1363" s="62"/>
      <c r="W1363" s="61"/>
      <c r="X1363" s="62"/>
    </row>
    <row r="1364" spans="2:33" ht="16">
      <c r="B1364" s="67" t="str">
        <f t="shared" si="6"/>
        <v/>
      </c>
      <c r="C1364" s="33"/>
      <c r="D1364" s="33"/>
      <c r="E1364" s="33"/>
      <c r="F1364" s="56"/>
      <c r="G1364" s="33"/>
      <c r="H1364" s="33"/>
      <c r="I1364" s="33"/>
      <c r="J1364" s="57"/>
      <c r="K1364" s="33"/>
      <c r="L1364" s="57"/>
      <c r="M1364" s="64"/>
      <c r="N1364" s="56"/>
      <c r="O1364" s="64"/>
      <c r="P1364" s="62"/>
      <c r="Q1364" s="33"/>
      <c r="R1364" s="33"/>
      <c r="S1364" s="61"/>
      <c r="T1364" s="33"/>
      <c r="U1364" s="62"/>
      <c r="W1364" s="61"/>
      <c r="X1364" s="62"/>
    </row>
    <row r="1365" spans="2:33" ht="16">
      <c r="B1365" s="67" t="str">
        <f t="shared" si="6"/>
        <v/>
      </c>
      <c r="C1365" s="33"/>
      <c r="D1365" s="33"/>
      <c r="E1365" s="33"/>
      <c r="F1365" s="56"/>
      <c r="G1365" s="33"/>
      <c r="H1365" s="33"/>
      <c r="I1365" s="33"/>
      <c r="J1365" s="57"/>
      <c r="K1365" s="33"/>
      <c r="L1365" s="57"/>
      <c r="M1365" s="58"/>
      <c r="N1365" s="56"/>
      <c r="O1365" s="64"/>
      <c r="P1365" s="62"/>
      <c r="Q1365" s="33"/>
      <c r="R1365" s="33"/>
      <c r="S1365" s="61"/>
      <c r="T1365" s="33"/>
      <c r="U1365" s="62"/>
      <c r="W1365" s="61"/>
      <c r="X1365" s="62"/>
    </row>
    <row r="1366" spans="2:33" ht="16">
      <c r="B1366" s="67" t="str">
        <f t="shared" si="6"/>
        <v/>
      </c>
      <c r="C1366" s="33"/>
      <c r="D1366" s="33"/>
      <c r="E1366" s="33"/>
      <c r="F1366" s="56"/>
      <c r="G1366" s="33"/>
      <c r="H1366" s="33"/>
      <c r="I1366" s="33"/>
      <c r="J1366" s="57"/>
      <c r="K1366" s="33"/>
      <c r="L1366" s="57"/>
      <c r="M1366" s="58"/>
      <c r="N1366" s="56"/>
      <c r="O1366" s="64"/>
      <c r="P1366" s="62"/>
      <c r="Q1366" s="33"/>
      <c r="R1366" s="33"/>
      <c r="S1366" s="61"/>
      <c r="T1366" s="33"/>
      <c r="U1366" s="62"/>
      <c r="W1366" s="61"/>
      <c r="X1366" s="62"/>
    </row>
    <row r="1367" spans="2:33" ht="16">
      <c r="B1367" s="67" t="str">
        <f t="shared" si="6"/>
        <v/>
      </c>
      <c r="C1367" s="33"/>
      <c r="D1367" s="33"/>
      <c r="E1367" s="33"/>
      <c r="F1367" s="56"/>
      <c r="G1367" s="33"/>
      <c r="H1367" s="33"/>
      <c r="I1367" s="33"/>
      <c r="J1367" s="57"/>
      <c r="K1367" s="33"/>
      <c r="L1367" s="57"/>
      <c r="M1367" s="58"/>
      <c r="N1367" s="56"/>
      <c r="O1367" s="64"/>
      <c r="P1367" s="62"/>
      <c r="Q1367" s="33"/>
      <c r="R1367" s="33"/>
      <c r="S1367" s="61"/>
      <c r="T1367" s="33"/>
      <c r="U1367" s="62"/>
      <c r="W1367" s="61"/>
      <c r="X1367" s="62"/>
    </row>
    <row r="1368" spans="2:33" ht="16">
      <c r="B1368" s="67" t="str">
        <f t="shared" si="6"/>
        <v/>
      </c>
      <c r="C1368" s="33"/>
      <c r="D1368" s="33"/>
      <c r="E1368" s="33"/>
      <c r="F1368" s="56"/>
      <c r="G1368" s="33"/>
      <c r="H1368" s="33"/>
      <c r="I1368" s="33"/>
      <c r="J1368" s="57"/>
      <c r="K1368" s="33"/>
      <c r="L1368" s="57"/>
      <c r="M1368" s="64"/>
      <c r="N1368" s="56"/>
      <c r="O1368" s="64"/>
      <c r="P1368" s="62"/>
      <c r="Q1368" s="33"/>
      <c r="R1368" s="33"/>
      <c r="S1368" s="61"/>
      <c r="T1368" s="33"/>
      <c r="U1368" s="62"/>
      <c r="W1368" s="61"/>
      <c r="X1368" s="62"/>
    </row>
    <row r="1369" spans="2:33" ht="16">
      <c r="B1369" s="67" t="str">
        <f t="shared" si="6"/>
        <v/>
      </c>
      <c r="C1369" s="33"/>
      <c r="D1369" s="33"/>
      <c r="E1369" s="33"/>
      <c r="F1369" s="56"/>
      <c r="G1369" s="33"/>
      <c r="H1369" s="33"/>
      <c r="I1369" s="33"/>
      <c r="J1369" s="57"/>
      <c r="K1369" s="33"/>
      <c r="L1369" s="57"/>
      <c r="M1369" s="64"/>
      <c r="N1369" s="56"/>
      <c r="O1369" s="64"/>
      <c r="P1369" s="62"/>
      <c r="Q1369" s="33"/>
      <c r="R1369" s="33"/>
      <c r="S1369" s="61"/>
      <c r="T1369" s="33"/>
      <c r="U1369" s="62"/>
      <c r="W1369" s="61"/>
      <c r="X1369" s="62"/>
    </row>
    <row r="1370" spans="2:33" ht="16">
      <c r="B1370" s="67" t="str">
        <f t="shared" si="6"/>
        <v/>
      </c>
      <c r="C1370" s="33"/>
      <c r="D1370" s="33"/>
      <c r="E1370" s="33"/>
      <c r="F1370" s="56"/>
      <c r="G1370" s="33"/>
      <c r="H1370" s="33"/>
      <c r="I1370" s="33"/>
      <c r="J1370" s="57"/>
      <c r="K1370" s="33"/>
      <c r="L1370" s="57"/>
      <c r="M1370" s="64"/>
      <c r="N1370" s="56"/>
      <c r="O1370" s="58"/>
      <c r="P1370" s="62"/>
      <c r="Q1370" s="33"/>
      <c r="R1370" s="33"/>
      <c r="S1370" s="61"/>
      <c r="T1370" s="33"/>
      <c r="U1370" s="62"/>
      <c r="W1370" s="61"/>
      <c r="X1370" s="62"/>
      <c r="AG1370" s="58"/>
    </row>
    <row r="1371" spans="2:33" ht="16">
      <c r="B1371" s="67" t="str">
        <f t="shared" si="6"/>
        <v/>
      </c>
      <c r="C1371" s="33"/>
      <c r="D1371" s="33"/>
      <c r="E1371" s="33"/>
      <c r="F1371" s="56"/>
      <c r="G1371" s="33"/>
      <c r="H1371" s="33"/>
      <c r="I1371" s="33"/>
      <c r="J1371" s="57"/>
      <c r="K1371" s="33"/>
      <c r="L1371" s="57"/>
      <c r="M1371" s="64"/>
      <c r="N1371" s="56"/>
      <c r="O1371" s="58"/>
      <c r="P1371" s="62"/>
      <c r="Q1371" s="33"/>
      <c r="R1371" s="33"/>
      <c r="S1371" s="61"/>
      <c r="T1371" s="33"/>
      <c r="U1371" s="62"/>
      <c r="W1371" s="61"/>
      <c r="X1371" s="62"/>
      <c r="AG1371" s="64"/>
    </row>
    <row r="1372" spans="2:33" ht="16">
      <c r="B1372" s="67" t="str">
        <f t="shared" si="6"/>
        <v/>
      </c>
      <c r="C1372" s="33"/>
      <c r="D1372" s="33"/>
      <c r="E1372" s="33"/>
      <c r="F1372" s="56"/>
      <c r="G1372" s="33"/>
      <c r="H1372" s="33"/>
      <c r="I1372" s="33"/>
      <c r="J1372" s="57"/>
      <c r="K1372" s="33"/>
      <c r="L1372" s="57"/>
      <c r="M1372" s="64"/>
      <c r="N1372" s="56"/>
      <c r="O1372" s="58"/>
      <c r="P1372" s="62"/>
      <c r="Q1372" s="33"/>
      <c r="R1372" s="33"/>
      <c r="S1372" s="61"/>
      <c r="T1372" s="33"/>
      <c r="U1372" s="62"/>
      <c r="W1372" s="61"/>
      <c r="X1372" s="62"/>
      <c r="AG1372" s="58"/>
    </row>
    <row r="1373" spans="2:33" ht="16">
      <c r="B1373" s="67" t="str">
        <f t="shared" si="6"/>
        <v/>
      </c>
      <c r="C1373" s="33"/>
      <c r="D1373" s="33"/>
      <c r="E1373" s="33"/>
      <c r="F1373" s="56"/>
      <c r="G1373" s="33"/>
      <c r="H1373" s="33"/>
      <c r="I1373" s="33"/>
      <c r="J1373" s="57"/>
      <c r="K1373" s="33"/>
      <c r="L1373" s="57"/>
      <c r="M1373" s="58"/>
      <c r="N1373" s="56"/>
      <c r="O1373" s="58"/>
      <c r="P1373" s="62"/>
      <c r="Q1373" s="33"/>
      <c r="R1373" s="33"/>
      <c r="S1373" s="61"/>
      <c r="T1373" s="33"/>
      <c r="U1373" s="62"/>
      <c r="W1373" s="61"/>
      <c r="X1373" s="62"/>
      <c r="AG1373" s="64"/>
    </row>
    <row r="1374" spans="2:33" ht="16">
      <c r="B1374" s="67" t="str">
        <f t="shared" si="6"/>
        <v/>
      </c>
      <c r="C1374" s="33"/>
      <c r="D1374" s="33"/>
      <c r="E1374" s="33"/>
      <c r="F1374" s="56"/>
      <c r="G1374" s="33"/>
      <c r="H1374" s="33"/>
      <c r="I1374" s="33"/>
      <c r="J1374" s="57"/>
      <c r="K1374" s="33"/>
      <c r="L1374" s="57"/>
      <c r="M1374" s="64"/>
      <c r="N1374" s="56"/>
      <c r="O1374" s="58"/>
      <c r="P1374" s="62"/>
      <c r="Q1374" s="33"/>
      <c r="R1374" s="33"/>
      <c r="S1374" s="61"/>
      <c r="T1374" s="33"/>
      <c r="U1374" s="62"/>
      <c r="W1374" s="61"/>
      <c r="X1374" s="62"/>
      <c r="AG1374" s="64"/>
    </row>
    <row r="1375" spans="2:33" ht="16">
      <c r="B1375" s="67" t="str">
        <f t="shared" si="6"/>
        <v/>
      </c>
      <c r="C1375" s="33"/>
      <c r="D1375" s="33"/>
      <c r="E1375" s="33"/>
      <c r="F1375" s="56"/>
      <c r="G1375" s="33"/>
      <c r="H1375" s="33"/>
      <c r="I1375" s="33"/>
      <c r="J1375" s="57"/>
      <c r="K1375" s="33"/>
      <c r="L1375" s="57"/>
      <c r="M1375" s="64"/>
      <c r="N1375" s="56"/>
      <c r="O1375" s="58"/>
      <c r="P1375" s="62"/>
      <c r="Q1375" s="33"/>
      <c r="R1375" s="33"/>
      <c r="S1375" s="61"/>
      <c r="T1375" s="33"/>
      <c r="U1375" s="62"/>
      <c r="W1375" s="61"/>
      <c r="X1375" s="62"/>
      <c r="AG1375" s="64"/>
    </row>
    <row r="1376" spans="2:33" ht="16">
      <c r="B1376" s="67" t="str">
        <f t="shared" si="6"/>
        <v/>
      </c>
      <c r="C1376" s="33"/>
      <c r="D1376" s="33"/>
      <c r="E1376" s="33"/>
      <c r="F1376" s="56"/>
      <c r="G1376" s="33"/>
      <c r="H1376" s="33"/>
      <c r="I1376" s="33"/>
      <c r="J1376" s="57"/>
      <c r="K1376" s="33"/>
      <c r="L1376" s="57"/>
      <c r="M1376" s="58"/>
      <c r="N1376" s="56"/>
      <c r="O1376" s="58"/>
      <c r="P1376" s="62"/>
      <c r="Q1376" s="33"/>
      <c r="R1376" s="33"/>
      <c r="S1376" s="61"/>
      <c r="T1376" s="33"/>
      <c r="U1376" s="62"/>
      <c r="W1376" s="61"/>
      <c r="X1376" s="62"/>
      <c r="AG1376" s="64"/>
    </row>
    <row r="1377" spans="2:33" ht="16">
      <c r="B1377" s="67" t="str">
        <f t="shared" si="6"/>
        <v/>
      </c>
      <c r="C1377" s="33"/>
      <c r="D1377" s="33"/>
      <c r="E1377" s="33"/>
      <c r="F1377" s="56"/>
      <c r="G1377" s="33"/>
      <c r="H1377" s="33"/>
      <c r="I1377" s="33"/>
      <c r="J1377" s="57"/>
      <c r="K1377" s="33"/>
      <c r="L1377" s="57"/>
      <c r="M1377" s="58"/>
      <c r="N1377" s="56"/>
      <c r="O1377" s="58"/>
      <c r="P1377" s="62"/>
      <c r="Q1377" s="33"/>
      <c r="R1377" s="33"/>
      <c r="S1377" s="61"/>
      <c r="T1377" s="33"/>
      <c r="U1377" s="62"/>
      <c r="W1377" s="61"/>
      <c r="X1377" s="62"/>
      <c r="AG1377" s="64"/>
    </row>
    <row r="1378" spans="2:33" ht="16">
      <c r="B1378" s="67" t="str">
        <f t="shared" si="6"/>
        <v/>
      </c>
      <c r="C1378" s="33"/>
      <c r="D1378" s="33"/>
      <c r="E1378" s="33"/>
      <c r="F1378" s="56"/>
      <c r="G1378" s="33"/>
      <c r="H1378" s="33"/>
      <c r="I1378" s="33"/>
      <c r="J1378" s="57"/>
      <c r="K1378" s="33"/>
      <c r="L1378" s="57"/>
      <c r="M1378" s="58"/>
      <c r="N1378" s="56"/>
      <c r="O1378" s="58"/>
      <c r="P1378" s="62"/>
      <c r="Q1378" s="33"/>
      <c r="R1378" s="33"/>
      <c r="S1378" s="61"/>
      <c r="T1378" s="33"/>
      <c r="U1378" s="62"/>
      <c r="W1378" s="61"/>
      <c r="X1378" s="62"/>
      <c r="AG1378" s="64"/>
    </row>
    <row r="1379" spans="2:33" ht="16">
      <c r="B1379" s="67" t="str">
        <f t="shared" si="6"/>
        <v/>
      </c>
      <c r="C1379" s="33"/>
      <c r="D1379" s="33"/>
      <c r="E1379" s="33"/>
      <c r="F1379" s="56"/>
      <c r="G1379" s="33"/>
      <c r="H1379" s="33"/>
      <c r="I1379" s="33"/>
      <c r="J1379" s="57"/>
      <c r="K1379" s="33"/>
      <c r="L1379" s="57"/>
      <c r="M1379" s="58"/>
      <c r="N1379" s="56"/>
      <c r="O1379" s="58"/>
      <c r="P1379" s="62"/>
      <c r="Q1379" s="33"/>
      <c r="R1379" s="33"/>
      <c r="S1379" s="61"/>
      <c r="T1379" s="33"/>
      <c r="U1379" s="62"/>
      <c r="W1379" s="61"/>
      <c r="X1379" s="62"/>
      <c r="AG1379" s="58"/>
    </row>
    <row r="1380" spans="2:33" ht="16">
      <c r="B1380" s="67" t="str">
        <f t="shared" si="6"/>
        <v/>
      </c>
      <c r="C1380" s="33"/>
      <c r="D1380" s="33"/>
      <c r="E1380" s="33"/>
      <c r="F1380" s="56"/>
      <c r="G1380" s="33"/>
      <c r="H1380" s="33"/>
      <c r="I1380" s="33"/>
      <c r="J1380" s="57"/>
      <c r="K1380" s="33"/>
      <c r="L1380" s="57"/>
      <c r="M1380" s="64"/>
      <c r="N1380" s="56"/>
      <c r="O1380" s="58"/>
      <c r="P1380" s="62"/>
      <c r="Q1380" s="33"/>
      <c r="R1380" s="33"/>
      <c r="S1380" s="61"/>
      <c r="T1380" s="33"/>
      <c r="U1380" s="62"/>
      <c r="W1380" s="61"/>
      <c r="X1380" s="62"/>
      <c r="AG1380" s="64"/>
    </row>
    <row r="1381" spans="2:33" ht="16">
      <c r="B1381" s="67" t="str">
        <f t="shared" si="6"/>
        <v/>
      </c>
      <c r="C1381" s="33"/>
      <c r="D1381" s="33"/>
      <c r="E1381" s="33"/>
      <c r="F1381" s="56"/>
      <c r="G1381" s="33"/>
      <c r="H1381" s="33"/>
      <c r="I1381" s="33"/>
      <c r="J1381" s="57"/>
      <c r="K1381" s="33"/>
      <c r="L1381" s="57"/>
      <c r="M1381" s="64"/>
      <c r="N1381" s="56"/>
      <c r="O1381" s="58"/>
      <c r="P1381" s="62"/>
      <c r="Q1381" s="33"/>
      <c r="R1381" s="33"/>
      <c r="S1381" s="61"/>
      <c r="T1381" s="33"/>
      <c r="U1381" s="62"/>
      <c r="W1381" s="61"/>
      <c r="X1381" s="62"/>
      <c r="AG1381" s="64"/>
    </row>
    <row r="1382" spans="2:33" ht="16">
      <c r="B1382" s="67" t="str">
        <f t="shared" si="6"/>
        <v/>
      </c>
      <c r="C1382" s="33"/>
      <c r="D1382" s="33"/>
      <c r="E1382" s="33"/>
      <c r="F1382" s="56"/>
      <c r="G1382" s="33"/>
      <c r="H1382" s="33"/>
      <c r="I1382" s="33"/>
      <c r="J1382" s="57"/>
      <c r="K1382" s="33"/>
      <c r="L1382" s="57"/>
      <c r="M1382" s="64"/>
      <c r="N1382" s="56"/>
      <c r="O1382" s="58"/>
      <c r="P1382" s="62"/>
      <c r="Q1382" s="33"/>
      <c r="R1382" s="33"/>
      <c r="S1382" s="61"/>
      <c r="T1382" s="33"/>
      <c r="U1382" s="62"/>
      <c r="W1382" s="61"/>
      <c r="X1382" s="62"/>
      <c r="AG1382" s="64"/>
    </row>
    <row r="1383" spans="2:33" ht="16">
      <c r="B1383" s="67" t="str">
        <f t="shared" si="6"/>
        <v/>
      </c>
      <c r="C1383" s="33"/>
      <c r="D1383" s="33"/>
      <c r="E1383" s="33"/>
      <c r="F1383" s="56"/>
      <c r="G1383" s="33"/>
      <c r="H1383" s="33"/>
      <c r="I1383" s="33"/>
      <c r="J1383" s="57"/>
      <c r="K1383" s="33"/>
      <c r="L1383" s="57"/>
      <c r="M1383" s="64"/>
      <c r="N1383" s="56"/>
      <c r="O1383" s="58"/>
      <c r="P1383" s="62"/>
      <c r="Q1383" s="33"/>
      <c r="R1383" s="33"/>
      <c r="S1383" s="61"/>
      <c r="T1383" s="33"/>
      <c r="U1383" s="62"/>
      <c r="W1383" s="61"/>
      <c r="X1383" s="62"/>
      <c r="AG1383" s="64"/>
    </row>
    <row r="1384" spans="2:33" ht="16">
      <c r="B1384" s="67" t="str">
        <f t="shared" si="6"/>
        <v/>
      </c>
      <c r="C1384" s="33"/>
      <c r="D1384" s="33"/>
      <c r="E1384" s="33"/>
      <c r="F1384" s="56"/>
      <c r="G1384" s="33"/>
      <c r="H1384" s="33"/>
      <c r="I1384" s="33"/>
      <c r="J1384" s="57"/>
      <c r="K1384" s="33"/>
      <c r="L1384" s="57"/>
      <c r="M1384" s="64"/>
      <c r="N1384" s="56"/>
      <c r="O1384" s="58"/>
      <c r="P1384" s="62"/>
      <c r="Q1384" s="33"/>
      <c r="R1384" s="33"/>
      <c r="S1384" s="61"/>
      <c r="T1384" s="33"/>
      <c r="U1384" s="62"/>
      <c r="W1384" s="61"/>
      <c r="X1384" s="62"/>
      <c r="AG1384" s="64"/>
    </row>
    <row r="1385" spans="2:33" ht="16">
      <c r="B1385" s="67" t="str">
        <f t="shared" si="6"/>
        <v/>
      </c>
      <c r="C1385" s="33"/>
      <c r="D1385" s="33"/>
      <c r="E1385" s="33"/>
      <c r="F1385" s="56"/>
      <c r="G1385" s="33"/>
      <c r="H1385" s="33"/>
      <c r="I1385" s="33"/>
      <c r="J1385" s="57"/>
      <c r="K1385" s="33"/>
      <c r="L1385" s="57"/>
      <c r="M1385" s="58"/>
      <c r="N1385" s="56"/>
      <c r="O1385" s="58"/>
      <c r="P1385" s="62"/>
      <c r="Q1385" s="33"/>
      <c r="R1385" s="33"/>
      <c r="S1385" s="61"/>
      <c r="T1385" s="33"/>
      <c r="U1385" s="62"/>
      <c r="W1385" s="61"/>
      <c r="X1385" s="62"/>
      <c r="AG1385" s="64"/>
    </row>
    <row r="1386" spans="2:33" ht="16">
      <c r="B1386" s="67" t="str">
        <f t="shared" si="6"/>
        <v/>
      </c>
      <c r="C1386" s="33"/>
      <c r="D1386" s="33"/>
      <c r="E1386" s="33"/>
      <c r="F1386" s="56"/>
      <c r="G1386" s="33"/>
      <c r="H1386" s="33"/>
      <c r="I1386" s="33"/>
      <c r="J1386" s="57"/>
      <c r="K1386" s="33"/>
      <c r="L1386" s="57"/>
      <c r="M1386" s="64"/>
      <c r="N1386" s="56"/>
      <c r="O1386" s="58"/>
      <c r="P1386" s="62"/>
      <c r="Q1386" s="33"/>
      <c r="R1386" s="33"/>
      <c r="S1386" s="61"/>
      <c r="T1386" s="33"/>
      <c r="U1386" s="62"/>
      <c r="W1386" s="61"/>
      <c r="X1386" s="62"/>
      <c r="AG1386" s="64"/>
    </row>
    <row r="1387" spans="2:33" ht="16">
      <c r="B1387" s="67" t="str">
        <f t="shared" si="6"/>
        <v/>
      </c>
      <c r="C1387" s="33"/>
      <c r="D1387" s="33"/>
      <c r="E1387" s="33"/>
      <c r="F1387" s="56"/>
      <c r="G1387" s="33"/>
      <c r="H1387" s="33"/>
      <c r="I1387" s="33"/>
      <c r="J1387" s="57"/>
      <c r="K1387" s="33"/>
      <c r="L1387" s="57"/>
      <c r="M1387" s="64"/>
      <c r="N1387" s="56"/>
      <c r="O1387" s="58"/>
      <c r="P1387" s="62"/>
      <c r="Q1387" s="33"/>
      <c r="R1387" s="33"/>
      <c r="S1387" s="61"/>
      <c r="T1387" s="33"/>
      <c r="U1387" s="62"/>
      <c r="W1387" s="61"/>
      <c r="X1387" s="62"/>
      <c r="AG1387" s="64"/>
    </row>
    <row r="1388" spans="2:33" ht="16">
      <c r="B1388" s="67" t="str">
        <f t="shared" si="6"/>
        <v/>
      </c>
      <c r="C1388" s="33"/>
      <c r="D1388" s="33"/>
      <c r="E1388" s="33"/>
      <c r="F1388" s="56"/>
      <c r="G1388" s="33"/>
      <c r="H1388" s="33"/>
      <c r="I1388" s="33"/>
      <c r="J1388" s="57"/>
      <c r="K1388" s="33"/>
      <c r="L1388" s="57"/>
      <c r="M1388" s="64"/>
      <c r="N1388" s="56"/>
      <c r="O1388" s="58"/>
      <c r="P1388" s="62"/>
      <c r="Q1388" s="33"/>
      <c r="R1388" s="33"/>
      <c r="S1388" s="61"/>
      <c r="T1388" s="33"/>
      <c r="U1388" s="62"/>
      <c r="W1388" s="61"/>
      <c r="X1388" s="62"/>
      <c r="AG1388" s="64"/>
    </row>
    <row r="1389" spans="2:33" ht="16">
      <c r="B1389" s="67" t="str">
        <f t="shared" si="6"/>
        <v/>
      </c>
      <c r="C1389" s="33"/>
      <c r="D1389" s="33"/>
      <c r="E1389" s="33"/>
      <c r="F1389" s="56"/>
      <c r="G1389" s="33"/>
      <c r="H1389" s="33"/>
      <c r="I1389" s="33"/>
      <c r="J1389" s="57"/>
      <c r="K1389" s="33"/>
      <c r="L1389" s="57"/>
      <c r="M1389" s="58"/>
      <c r="N1389" s="56"/>
      <c r="O1389" s="58"/>
      <c r="P1389" s="62"/>
      <c r="Q1389" s="33"/>
      <c r="R1389" s="33"/>
      <c r="S1389" s="61"/>
      <c r="T1389" s="33"/>
      <c r="U1389" s="62"/>
      <c r="W1389" s="61"/>
      <c r="X1389" s="62"/>
      <c r="AG1389" s="64"/>
    </row>
    <row r="1390" spans="2:33" ht="16">
      <c r="B1390" s="67" t="str">
        <f t="shared" si="6"/>
        <v/>
      </c>
      <c r="C1390" s="64"/>
      <c r="D1390" s="33"/>
      <c r="E1390" s="33"/>
      <c r="F1390" s="56"/>
      <c r="G1390" s="33"/>
      <c r="H1390" s="33"/>
      <c r="I1390" s="33"/>
      <c r="J1390" s="57"/>
      <c r="K1390" s="33"/>
      <c r="L1390" s="57"/>
      <c r="M1390" s="64"/>
      <c r="N1390" s="56"/>
      <c r="O1390" s="58"/>
      <c r="P1390" s="62"/>
      <c r="Q1390" s="33"/>
      <c r="R1390" s="33"/>
      <c r="S1390" s="61"/>
      <c r="T1390" s="33"/>
      <c r="U1390" s="62"/>
      <c r="W1390" s="61"/>
      <c r="X1390" s="62"/>
      <c r="AG1390" s="64"/>
    </row>
    <row r="1391" spans="2:33" ht="16">
      <c r="B1391" s="67" t="str">
        <f t="shared" si="6"/>
        <v/>
      </c>
      <c r="C1391" s="33"/>
      <c r="D1391" s="33"/>
      <c r="E1391" s="33"/>
      <c r="F1391" s="56"/>
      <c r="G1391" s="33"/>
      <c r="H1391" s="33"/>
      <c r="I1391" s="33"/>
      <c r="J1391" s="57"/>
      <c r="K1391" s="33"/>
      <c r="L1391" s="57"/>
      <c r="M1391" s="58"/>
      <c r="N1391" s="56"/>
      <c r="O1391" s="58"/>
      <c r="P1391" s="62"/>
      <c r="Q1391" s="33"/>
      <c r="R1391" s="33"/>
      <c r="S1391" s="61"/>
      <c r="T1391" s="33"/>
      <c r="U1391" s="62"/>
      <c r="W1391" s="61"/>
      <c r="X1391" s="62"/>
      <c r="AG1391" s="64"/>
    </row>
    <row r="1392" spans="2:33" ht="16">
      <c r="B1392" s="67" t="str">
        <f t="shared" si="6"/>
        <v/>
      </c>
      <c r="C1392" s="33"/>
      <c r="D1392" s="33"/>
      <c r="E1392" s="33"/>
      <c r="F1392" s="56"/>
      <c r="G1392" s="33"/>
      <c r="H1392" s="33"/>
      <c r="I1392" s="33"/>
      <c r="J1392" s="57"/>
      <c r="K1392" s="33"/>
      <c r="L1392" s="57"/>
      <c r="M1392" s="64"/>
      <c r="N1392" s="56"/>
      <c r="O1392" s="58"/>
      <c r="P1392" s="62"/>
      <c r="Q1392" s="33"/>
      <c r="R1392" s="33"/>
      <c r="S1392" s="61"/>
      <c r="T1392" s="33"/>
      <c r="U1392" s="62"/>
      <c r="W1392" s="61"/>
      <c r="X1392" s="62"/>
      <c r="AG1392" s="58"/>
    </row>
    <row r="1393" spans="2:33" ht="16">
      <c r="B1393" s="67" t="str">
        <f t="shared" si="6"/>
        <v/>
      </c>
      <c r="C1393" s="33"/>
      <c r="D1393" s="33"/>
      <c r="E1393" s="33"/>
      <c r="F1393" s="56"/>
      <c r="G1393" s="33"/>
      <c r="H1393" s="33"/>
      <c r="I1393" s="33"/>
      <c r="J1393" s="57"/>
      <c r="K1393" s="33"/>
      <c r="L1393" s="57"/>
      <c r="M1393" s="58"/>
      <c r="N1393" s="56"/>
      <c r="O1393" s="58"/>
      <c r="P1393" s="62"/>
      <c r="Q1393" s="33"/>
      <c r="R1393" s="33"/>
      <c r="S1393" s="61"/>
      <c r="T1393" s="33"/>
      <c r="U1393" s="62"/>
      <c r="W1393" s="61"/>
      <c r="X1393" s="62"/>
      <c r="AG1393" s="64"/>
    </row>
    <row r="1394" spans="2:33" ht="16">
      <c r="B1394" s="67" t="str">
        <f t="shared" si="6"/>
        <v/>
      </c>
      <c r="C1394" s="64"/>
      <c r="D1394" s="33"/>
      <c r="E1394" s="33"/>
      <c r="F1394" s="56"/>
      <c r="G1394" s="33"/>
      <c r="H1394" s="33"/>
      <c r="I1394" s="33"/>
      <c r="J1394" s="57"/>
      <c r="K1394" s="33"/>
      <c r="L1394" s="57"/>
      <c r="M1394" s="58"/>
      <c r="N1394" s="56"/>
      <c r="O1394" s="58"/>
      <c r="P1394" s="62"/>
      <c r="Q1394" s="33"/>
      <c r="R1394" s="33"/>
      <c r="S1394" s="61"/>
      <c r="T1394" s="33"/>
      <c r="U1394" s="62"/>
      <c r="W1394" s="61"/>
      <c r="X1394" s="62"/>
      <c r="AG1394" s="64"/>
    </row>
    <row r="1395" spans="2:33" ht="16">
      <c r="B1395" s="67" t="str">
        <f t="shared" si="6"/>
        <v/>
      </c>
      <c r="C1395" s="33"/>
      <c r="D1395" s="33"/>
      <c r="E1395" s="33"/>
      <c r="F1395" s="56"/>
      <c r="G1395" s="33"/>
      <c r="H1395" s="33"/>
      <c r="I1395" s="33"/>
      <c r="J1395" s="57"/>
      <c r="K1395" s="33"/>
      <c r="L1395" s="57"/>
      <c r="M1395" s="58"/>
      <c r="N1395" s="56"/>
      <c r="O1395" s="58"/>
      <c r="P1395" s="62"/>
      <c r="Q1395" s="33"/>
      <c r="R1395" s="33"/>
      <c r="S1395" s="61"/>
      <c r="T1395" s="33"/>
      <c r="U1395" s="62"/>
      <c r="W1395" s="61"/>
      <c r="X1395" s="62"/>
      <c r="AG1395" s="64"/>
    </row>
    <row r="1396" spans="2:33" ht="16">
      <c r="B1396" s="67" t="str">
        <f t="shared" si="6"/>
        <v/>
      </c>
      <c r="C1396" s="33"/>
      <c r="D1396" s="33"/>
      <c r="E1396" s="33"/>
      <c r="F1396" s="56"/>
      <c r="G1396" s="33"/>
      <c r="H1396" s="33"/>
      <c r="I1396" s="33"/>
      <c r="J1396" s="57"/>
      <c r="K1396" s="33"/>
      <c r="L1396" s="57"/>
      <c r="M1396" s="58"/>
      <c r="N1396" s="56"/>
      <c r="O1396" s="58"/>
      <c r="P1396" s="62"/>
      <c r="Q1396" s="33"/>
      <c r="R1396" s="33"/>
      <c r="S1396" s="61"/>
      <c r="T1396" s="33"/>
      <c r="U1396" s="62"/>
      <c r="W1396" s="61"/>
      <c r="X1396" s="62"/>
      <c r="AG1396" s="58"/>
    </row>
    <row r="1397" spans="2:33" ht="16">
      <c r="B1397" s="67" t="str">
        <f t="shared" si="6"/>
        <v/>
      </c>
      <c r="C1397" s="33"/>
      <c r="D1397" s="33"/>
      <c r="E1397" s="33"/>
      <c r="F1397" s="56"/>
      <c r="G1397" s="33"/>
      <c r="H1397" s="33"/>
      <c r="I1397" s="33"/>
      <c r="J1397" s="57"/>
      <c r="K1397" s="33"/>
      <c r="L1397" s="57"/>
      <c r="M1397" s="58"/>
      <c r="N1397" s="56"/>
      <c r="O1397" s="58"/>
      <c r="P1397" s="62"/>
      <c r="Q1397" s="33"/>
      <c r="R1397" s="33"/>
      <c r="S1397" s="61"/>
      <c r="T1397" s="33"/>
      <c r="U1397" s="62"/>
      <c r="W1397" s="61"/>
      <c r="X1397" s="62"/>
      <c r="AG1397" s="58"/>
    </row>
    <row r="1398" spans="2:33" ht="16">
      <c r="B1398" s="67" t="str">
        <f t="shared" si="6"/>
        <v/>
      </c>
      <c r="C1398" s="33"/>
      <c r="D1398" s="33"/>
      <c r="E1398" s="33"/>
      <c r="F1398" s="56"/>
      <c r="G1398" s="33"/>
      <c r="H1398" s="33"/>
      <c r="I1398" s="33"/>
      <c r="J1398" s="57"/>
      <c r="K1398" s="33"/>
      <c r="L1398" s="57"/>
      <c r="M1398" s="58"/>
      <c r="N1398" s="56"/>
      <c r="O1398" s="58"/>
      <c r="P1398" s="62"/>
      <c r="Q1398" s="33"/>
      <c r="R1398" s="33"/>
      <c r="S1398" s="61"/>
      <c r="T1398" s="33"/>
      <c r="U1398" s="62"/>
      <c r="W1398" s="61"/>
      <c r="X1398" s="62"/>
      <c r="AG1398" s="64"/>
    </row>
    <row r="1399" spans="2:33" ht="16">
      <c r="B1399" s="67" t="str">
        <f t="shared" si="6"/>
        <v/>
      </c>
      <c r="C1399" s="33"/>
      <c r="D1399" s="33"/>
      <c r="E1399" s="33"/>
      <c r="F1399" s="56"/>
      <c r="G1399" s="33"/>
      <c r="H1399" s="33"/>
      <c r="I1399" s="33"/>
      <c r="J1399" s="57"/>
      <c r="K1399" s="33"/>
      <c r="L1399" s="57"/>
      <c r="M1399" s="64"/>
      <c r="N1399" s="56"/>
      <c r="O1399" s="58"/>
      <c r="P1399" s="62"/>
      <c r="Q1399" s="33"/>
      <c r="R1399" s="33"/>
      <c r="S1399" s="61"/>
      <c r="T1399" s="33"/>
      <c r="U1399" s="62"/>
      <c r="W1399" s="61"/>
      <c r="X1399" s="62"/>
      <c r="AG1399" s="58"/>
    </row>
    <row r="1400" spans="2:33" ht="16">
      <c r="B1400" s="67" t="str">
        <f t="shared" si="6"/>
        <v/>
      </c>
      <c r="C1400" s="33"/>
      <c r="D1400" s="33"/>
      <c r="E1400" s="33"/>
      <c r="F1400" s="56"/>
      <c r="G1400" s="33"/>
      <c r="H1400" s="33"/>
      <c r="I1400" s="33"/>
      <c r="J1400" s="57"/>
      <c r="K1400" s="33"/>
      <c r="L1400" s="57"/>
      <c r="M1400" s="58"/>
      <c r="N1400" s="56"/>
      <c r="O1400" s="58"/>
      <c r="P1400" s="62"/>
      <c r="Q1400" s="33"/>
      <c r="R1400" s="33"/>
      <c r="S1400" s="61"/>
      <c r="T1400" s="33"/>
      <c r="U1400" s="62"/>
      <c r="W1400" s="61"/>
      <c r="X1400" s="62"/>
      <c r="AG1400" s="64"/>
    </row>
    <row r="1401" spans="2:33" ht="16">
      <c r="B1401" s="67" t="str">
        <f t="shared" si="6"/>
        <v/>
      </c>
      <c r="C1401" s="33"/>
      <c r="D1401" s="33"/>
      <c r="E1401" s="33"/>
      <c r="F1401" s="56"/>
      <c r="G1401" s="33"/>
      <c r="H1401" s="33"/>
      <c r="I1401" s="33"/>
      <c r="J1401" s="57"/>
      <c r="K1401" s="33"/>
      <c r="L1401" s="57"/>
      <c r="M1401" s="64"/>
      <c r="N1401" s="56"/>
      <c r="O1401" s="58"/>
      <c r="P1401" s="62"/>
      <c r="Q1401" s="33"/>
      <c r="R1401" s="33"/>
      <c r="S1401" s="61"/>
      <c r="T1401" s="33"/>
      <c r="W1401" s="61"/>
      <c r="X1401" s="62"/>
      <c r="AG1401" s="64"/>
    </row>
    <row r="1402" spans="2:33" ht="16">
      <c r="B1402" s="67" t="str">
        <f t="shared" si="6"/>
        <v/>
      </c>
      <c r="C1402" s="33"/>
      <c r="D1402" s="33"/>
      <c r="E1402" s="33"/>
      <c r="F1402" s="56"/>
      <c r="G1402" s="33"/>
      <c r="H1402" s="33"/>
      <c r="I1402" s="33"/>
      <c r="J1402" s="57"/>
      <c r="K1402" s="33"/>
      <c r="L1402" s="57"/>
      <c r="M1402" s="58"/>
      <c r="N1402" s="56"/>
      <c r="O1402" s="58"/>
      <c r="P1402" s="62"/>
      <c r="Q1402" s="33"/>
      <c r="R1402" s="33"/>
      <c r="S1402" s="61"/>
      <c r="T1402" s="33"/>
      <c r="U1402" s="62"/>
      <c r="W1402" s="61"/>
      <c r="X1402" s="62"/>
      <c r="AG1402" s="58"/>
    </row>
    <row r="1403" spans="2:33" ht="16">
      <c r="B1403" s="67" t="str">
        <f t="shared" si="6"/>
        <v/>
      </c>
      <c r="C1403" s="33"/>
      <c r="D1403" s="33"/>
      <c r="E1403" s="33"/>
      <c r="F1403" s="56"/>
      <c r="G1403" s="33"/>
      <c r="H1403" s="33"/>
      <c r="I1403" s="33"/>
      <c r="J1403" s="57"/>
      <c r="K1403" s="33"/>
      <c r="L1403" s="57"/>
      <c r="M1403" s="64"/>
      <c r="N1403" s="56"/>
      <c r="O1403" s="58"/>
      <c r="P1403" s="62"/>
      <c r="Q1403" s="33"/>
      <c r="R1403" s="33"/>
      <c r="S1403" s="61"/>
      <c r="T1403" s="33"/>
      <c r="U1403" s="62"/>
      <c r="W1403" s="61"/>
      <c r="X1403" s="62"/>
      <c r="AG1403" s="64"/>
    </row>
    <row r="1404" spans="2:33" ht="16">
      <c r="B1404" s="67" t="str">
        <f t="shared" si="6"/>
        <v/>
      </c>
      <c r="C1404" s="33"/>
      <c r="D1404" s="33"/>
      <c r="E1404" s="33"/>
      <c r="F1404" s="56"/>
      <c r="G1404" s="33"/>
      <c r="H1404" s="33"/>
      <c r="I1404" s="33"/>
      <c r="J1404" s="57"/>
      <c r="K1404" s="33"/>
      <c r="L1404" s="57"/>
      <c r="M1404" s="58"/>
      <c r="N1404" s="56"/>
      <c r="O1404" s="58"/>
      <c r="P1404" s="62"/>
      <c r="Q1404" s="33"/>
      <c r="R1404" s="33"/>
      <c r="S1404" s="61"/>
      <c r="T1404" s="33"/>
      <c r="U1404" s="62"/>
      <c r="W1404" s="61"/>
      <c r="X1404" s="62"/>
      <c r="AG1404" s="64"/>
    </row>
    <row r="1405" spans="2:33" ht="16">
      <c r="B1405" s="67" t="str">
        <f t="shared" si="6"/>
        <v/>
      </c>
      <c r="C1405" s="33"/>
      <c r="D1405" s="33"/>
      <c r="E1405" s="33"/>
      <c r="F1405" s="56"/>
      <c r="G1405" s="33"/>
      <c r="H1405" s="33"/>
      <c r="I1405" s="33"/>
      <c r="J1405" s="57"/>
      <c r="K1405" s="33"/>
      <c r="L1405" s="57"/>
      <c r="M1405" s="58"/>
      <c r="N1405" s="56"/>
      <c r="O1405" s="58"/>
      <c r="P1405" s="62"/>
      <c r="Q1405" s="33"/>
      <c r="R1405" s="33"/>
      <c r="S1405" s="61"/>
      <c r="T1405" s="33"/>
      <c r="U1405" s="62"/>
      <c r="W1405" s="61"/>
      <c r="X1405" s="62"/>
      <c r="AG1405" s="64"/>
    </row>
    <row r="1406" spans="2:33" ht="16">
      <c r="B1406" s="67" t="str">
        <f t="shared" si="6"/>
        <v/>
      </c>
      <c r="C1406" s="33"/>
      <c r="D1406" s="33"/>
      <c r="E1406" s="33"/>
      <c r="F1406" s="56"/>
      <c r="G1406" s="33"/>
      <c r="H1406" s="33"/>
      <c r="I1406" s="33"/>
      <c r="J1406" s="57"/>
      <c r="K1406" s="33"/>
      <c r="L1406" s="57"/>
      <c r="M1406" s="58"/>
      <c r="N1406" s="56"/>
      <c r="O1406" s="58"/>
      <c r="P1406" s="62"/>
      <c r="Q1406" s="33"/>
      <c r="R1406" s="33"/>
      <c r="S1406" s="61"/>
      <c r="T1406" s="33"/>
      <c r="U1406" s="62"/>
      <c r="W1406" s="61"/>
      <c r="X1406" s="62"/>
      <c r="AG1406" s="64"/>
    </row>
    <row r="1407" spans="2:33" ht="16">
      <c r="B1407" s="67" t="str">
        <f t="shared" si="6"/>
        <v/>
      </c>
      <c r="C1407" s="33"/>
      <c r="D1407" s="33"/>
      <c r="E1407" s="33"/>
      <c r="F1407" s="56"/>
      <c r="G1407" s="33"/>
      <c r="H1407" s="33"/>
      <c r="I1407" s="33"/>
      <c r="J1407" s="57"/>
      <c r="K1407" s="33"/>
      <c r="L1407" s="57"/>
      <c r="M1407" s="64"/>
      <c r="N1407" s="56"/>
      <c r="O1407" s="58"/>
      <c r="P1407" s="62"/>
      <c r="Q1407" s="33"/>
      <c r="R1407" s="33"/>
      <c r="S1407" s="61"/>
      <c r="T1407" s="33"/>
      <c r="U1407" s="62"/>
      <c r="W1407" s="61"/>
      <c r="X1407" s="62"/>
      <c r="AG1407" s="64"/>
    </row>
    <row r="1408" spans="2:33" ht="16">
      <c r="B1408" s="67" t="str">
        <f t="shared" si="6"/>
        <v/>
      </c>
      <c r="C1408" s="33"/>
      <c r="D1408" s="33"/>
      <c r="E1408" s="33"/>
      <c r="F1408" s="56"/>
      <c r="G1408" s="33"/>
      <c r="H1408" s="33"/>
      <c r="I1408" s="33"/>
      <c r="J1408" s="57"/>
      <c r="K1408" s="33"/>
      <c r="L1408" s="57"/>
      <c r="M1408" s="58"/>
      <c r="N1408" s="56"/>
      <c r="O1408" s="58"/>
      <c r="P1408" s="62"/>
      <c r="Q1408" s="33"/>
      <c r="R1408" s="33"/>
      <c r="S1408" s="61"/>
      <c r="T1408" s="33"/>
      <c r="U1408" s="62"/>
      <c r="W1408" s="61"/>
      <c r="X1408" s="62"/>
      <c r="AG1408" s="64"/>
    </row>
    <row r="1409" spans="2:33" ht="16">
      <c r="B1409" s="67" t="str">
        <f t="shared" si="6"/>
        <v/>
      </c>
      <c r="C1409" s="33"/>
      <c r="D1409" s="33"/>
      <c r="E1409" s="33"/>
      <c r="F1409" s="56"/>
      <c r="G1409" s="33"/>
      <c r="H1409" s="33"/>
      <c r="I1409" s="33"/>
      <c r="J1409" s="57"/>
      <c r="K1409" s="33"/>
      <c r="L1409" s="57"/>
      <c r="M1409" s="58"/>
      <c r="N1409" s="56"/>
      <c r="O1409" s="58"/>
      <c r="P1409" s="62"/>
      <c r="Q1409" s="33"/>
      <c r="R1409" s="33"/>
      <c r="S1409" s="61"/>
      <c r="T1409" s="33"/>
      <c r="U1409" s="62"/>
      <c r="W1409" s="61"/>
      <c r="X1409" s="62"/>
      <c r="AG1409" s="58"/>
    </row>
    <row r="1410" spans="2:33" ht="16">
      <c r="B1410" s="67" t="str">
        <f t="shared" si="6"/>
        <v/>
      </c>
      <c r="C1410" s="33"/>
      <c r="D1410" s="33"/>
      <c r="E1410" s="33"/>
      <c r="F1410" s="56"/>
      <c r="G1410" s="33"/>
      <c r="H1410" s="33"/>
      <c r="I1410" s="33"/>
      <c r="J1410" s="57"/>
      <c r="K1410" s="33"/>
      <c r="L1410" s="57"/>
      <c r="M1410" s="58"/>
      <c r="N1410" s="56"/>
      <c r="O1410" s="58"/>
      <c r="P1410" s="62"/>
      <c r="Q1410" s="33"/>
      <c r="R1410" s="33"/>
      <c r="S1410" s="61"/>
      <c r="T1410" s="33"/>
      <c r="U1410" s="62"/>
      <c r="W1410" s="61"/>
      <c r="X1410" s="62"/>
      <c r="AG1410" s="58"/>
    </row>
    <row r="1411" spans="2:33" ht="16">
      <c r="B1411" s="67" t="str">
        <f t="shared" si="6"/>
        <v/>
      </c>
      <c r="C1411" s="33"/>
      <c r="D1411" s="33"/>
      <c r="E1411" s="33"/>
      <c r="F1411" s="56"/>
      <c r="G1411" s="33"/>
      <c r="H1411" s="33"/>
      <c r="I1411" s="33"/>
      <c r="J1411" s="57"/>
      <c r="K1411" s="33"/>
      <c r="L1411" s="57"/>
      <c r="M1411" s="58"/>
      <c r="N1411" s="56"/>
      <c r="O1411" s="58"/>
      <c r="P1411" s="62"/>
      <c r="Q1411" s="33"/>
      <c r="R1411" s="33"/>
      <c r="S1411" s="61"/>
      <c r="T1411" s="33"/>
      <c r="U1411" s="62"/>
      <c r="W1411" s="61"/>
      <c r="X1411" s="62"/>
      <c r="AG1411" s="58"/>
    </row>
    <row r="1412" spans="2:33" ht="16">
      <c r="B1412" s="67" t="str">
        <f t="shared" si="6"/>
        <v/>
      </c>
      <c r="C1412" s="33"/>
      <c r="D1412" s="33"/>
      <c r="E1412" s="33"/>
      <c r="F1412" s="56"/>
      <c r="G1412" s="33"/>
      <c r="H1412" s="33"/>
      <c r="I1412" s="33"/>
      <c r="J1412" s="57"/>
      <c r="K1412" s="33"/>
      <c r="L1412" s="57"/>
      <c r="M1412" s="64"/>
      <c r="N1412" s="56"/>
      <c r="O1412" s="58"/>
      <c r="P1412" s="62"/>
      <c r="Q1412" s="33"/>
      <c r="R1412" s="33"/>
      <c r="S1412" s="61"/>
      <c r="T1412" s="33"/>
      <c r="U1412" s="62"/>
      <c r="W1412" s="61"/>
      <c r="X1412" s="62"/>
      <c r="AG1412" s="64"/>
    </row>
    <row r="1413" spans="2:33" ht="16">
      <c r="B1413" s="67" t="str">
        <f t="shared" si="6"/>
        <v/>
      </c>
      <c r="C1413" s="33"/>
      <c r="D1413" s="33"/>
      <c r="E1413" s="33"/>
      <c r="F1413" s="56"/>
      <c r="G1413" s="33"/>
      <c r="H1413" s="33"/>
      <c r="I1413" s="33"/>
      <c r="J1413" s="57"/>
      <c r="K1413" s="33"/>
      <c r="L1413" s="57"/>
      <c r="M1413" s="58"/>
      <c r="N1413" s="56"/>
      <c r="O1413" s="58"/>
      <c r="P1413" s="62"/>
      <c r="Q1413" s="33"/>
      <c r="R1413" s="33"/>
      <c r="S1413" s="61"/>
      <c r="T1413" s="33"/>
      <c r="U1413" s="62"/>
      <c r="W1413" s="61"/>
      <c r="X1413" s="62"/>
      <c r="AG1413" s="64"/>
    </row>
    <row r="1414" spans="2:33" ht="16">
      <c r="B1414" s="67" t="str">
        <f t="shared" si="6"/>
        <v/>
      </c>
      <c r="C1414" s="33"/>
      <c r="D1414" s="33"/>
      <c r="E1414" s="33"/>
      <c r="F1414" s="56"/>
      <c r="G1414" s="33"/>
      <c r="H1414" s="33"/>
      <c r="I1414" s="33"/>
      <c r="J1414" s="57"/>
      <c r="K1414" s="33"/>
      <c r="L1414" s="57"/>
      <c r="M1414" s="64"/>
      <c r="N1414" s="56"/>
      <c r="O1414" s="58"/>
      <c r="P1414" s="62"/>
      <c r="Q1414" s="33"/>
      <c r="R1414" s="33"/>
      <c r="S1414" s="61"/>
      <c r="T1414" s="33"/>
      <c r="U1414" s="62"/>
      <c r="W1414" s="61"/>
      <c r="X1414" s="62"/>
      <c r="AG1414" s="64"/>
    </row>
    <row r="1415" spans="2:33" ht="16">
      <c r="B1415" s="67" t="str">
        <f t="shared" si="6"/>
        <v/>
      </c>
      <c r="C1415" s="33"/>
      <c r="D1415" s="33"/>
      <c r="E1415" s="33"/>
      <c r="F1415" s="56"/>
      <c r="G1415" s="33"/>
      <c r="H1415" s="33"/>
      <c r="I1415" s="33"/>
      <c r="J1415" s="57"/>
      <c r="K1415" s="33"/>
      <c r="L1415" s="57"/>
      <c r="M1415" s="58"/>
      <c r="N1415" s="56"/>
      <c r="O1415" s="58"/>
      <c r="P1415" s="62"/>
      <c r="Q1415" s="33"/>
      <c r="R1415" s="33"/>
      <c r="S1415" s="61"/>
      <c r="T1415" s="33"/>
      <c r="U1415" s="62"/>
      <c r="W1415" s="61"/>
      <c r="X1415" s="62"/>
      <c r="AG1415" s="64"/>
    </row>
    <row r="1416" spans="2:33" ht="16">
      <c r="B1416" s="67" t="str">
        <f t="shared" si="6"/>
        <v/>
      </c>
      <c r="C1416" s="33"/>
      <c r="D1416" s="33"/>
      <c r="E1416" s="33"/>
      <c r="F1416" s="56"/>
      <c r="G1416" s="33"/>
      <c r="H1416" s="33"/>
      <c r="I1416" s="33"/>
      <c r="J1416" s="57"/>
      <c r="K1416" s="33"/>
      <c r="L1416" s="57"/>
      <c r="M1416" s="64"/>
      <c r="N1416" s="56"/>
      <c r="O1416" s="58"/>
      <c r="P1416" s="62"/>
      <c r="Q1416" s="33"/>
      <c r="R1416" s="33"/>
      <c r="S1416" s="61"/>
      <c r="T1416" s="33"/>
      <c r="U1416" s="62"/>
      <c r="W1416" s="61"/>
      <c r="X1416" s="62"/>
      <c r="AG1416" s="64"/>
    </row>
    <row r="1417" spans="2:33" ht="16">
      <c r="B1417" s="67" t="str">
        <f t="shared" si="6"/>
        <v/>
      </c>
      <c r="C1417" s="33"/>
      <c r="D1417" s="33"/>
      <c r="E1417" s="33"/>
      <c r="F1417" s="56"/>
      <c r="G1417" s="33"/>
      <c r="H1417" s="33"/>
      <c r="I1417" s="33"/>
      <c r="J1417" s="57"/>
      <c r="K1417" s="33"/>
      <c r="L1417" s="57"/>
      <c r="M1417" s="64"/>
      <c r="N1417" s="56"/>
      <c r="O1417" s="58"/>
      <c r="P1417" s="62"/>
      <c r="Q1417" s="33"/>
      <c r="R1417" s="33"/>
      <c r="S1417" s="61"/>
      <c r="T1417" s="33"/>
      <c r="U1417" s="62"/>
      <c r="W1417" s="61"/>
      <c r="X1417" s="62"/>
      <c r="AG1417" s="58"/>
    </row>
    <row r="1418" spans="2:33" ht="16">
      <c r="B1418" s="67" t="str">
        <f t="shared" si="6"/>
        <v/>
      </c>
      <c r="C1418" s="33"/>
      <c r="D1418" s="33"/>
      <c r="E1418" s="33"/>
      <c r="F1418" s="56"/>
      <c r="G1418" s="33"/>
      <c r="H1418" s="33"/>
      <c r="I1418" s="33"/>
      <c r="J1418" s="57"/>
      <c r="K1418" s="33"/>
      <c r="L1418" s="57"/>
      <c r="M1418" s="58"/>
      <c r="N1418" s="56"/>
      <c r="O1418" s="58"/>
      <c r="P1418" s="62"/>
      <c r="Q1418" s="33"/>
      <c r="R1418" s="33"/>
      <c r="S1418" s="61"/>
      <c r="T1418" s="33"/>
      <c r="U1418" s="62"/>
      <c r="W1418" s="61"/>
      <c r="X1418" s="62"/>
      <c r="AG1418" s="64"/>
    </row>
    <row r="1419" spans="2:33" ht="16">
      <c r="B1419" s="67" t="str">
        <f t="shared" si="6"/>
        <v/>
      </c>
      <c r="C1419" s="33"/>
      <c r="D1419" s="33"/>
      <c r="E1419" s="33"/>
      <c r="F1419" s="56"/>
      <c r="G1419" s="33"/>
      <c r="H1419" s="33"/>
      <c r="I1419" s="33"/>
      <c r="J1419" s="57"/>
      <c r="K1419" s="33"/>
      <c r="L1419" s="57"/>
      <c r="M1419" s="64"/>
      <c r="N1419" s="56"/>
      <c r="O1419" s="58"/>
      <c r="P1419" s="62"/>
      <c r="Q1419" s="33"/>
      <c r="R1419" s="33"/>
      <c r="S1419" s="61"/>
      <c r="T1419" s="33"/>
      <c r="U1419" s="62"/>
      <c r="W1419" s="61"/>
      <c r="X1419" s="62"/>
      <c r="AG1419" s="64"/>
    </row>
    <row r="1420" spans="2:33" ht="16">
      <c r="B1420" s="67" t="str">
        <f t="shared" si="6"/>
        <v/>
      </c>
      <c r="C1420" s="33"/>
      <c r="D1420" s="33"/>
      <c r="E1420" s="33"/>
      <c r="F1420" s="56"/>
      <c r="G1420" s="33"/>
      <c r="H1420" s="33"/>
      <c r="I1420" s="33"/>
      <c r="J1420" s="57"/>
      <c r="K1420" s="33"/>
      <c r="L1420" s="57"/>
      <c r="M1420" s="64"/>
      <c r="N1420" s="56"/>
      <c r="O1420" s="58"/>
      <c r="P1420" s="62"/>
      <c r="Q1420" s="33"/>
      <c r="R1420" s="33"/>
      <c r="S1420" s="61"/>
      <c r="T1420" s="33"/>
      <c r="U1420" s="62"/>
      <c r="W1420" s="61"/>
      <c r="X1420" s="62"/>
      <c r="AG1420" s="64"/>
    </row>
    <row r="1421" spans="2:33" ht="16">
      <c r="B1421" s="67" t="str">
        <f t="shared" si="6"/>
        <v/>
      </c>
      <c r="C1421" s="33"/>
      <c r="D1421" s="33"/>
      <c r="E1421" s="33"/>
      <c r="F1421" s="56"/>
      <c r="G1421" s="33"/>
      <c r="H1421" s="33"/>
      <c r="I1421" s="33"/>
      <c r="J1421" s="57"/>
      <c r="K1421" s="33"/>
      <c r="L1421" s="57"/>
      <c r="M1421" s="58"/>
      <c r="N1421" s="56"/>
      <c r="O1421" s="58"/>
      <c r="P1421" s="62"/>
      <c r="Q1421" s="33"/>
      <c r="R1421" s="33"/>
      <c r="S1421" s="61"/>
      <c r="T1421" s="33"/>
      <c r="U1421" s="62"/>
      <c r="W1421" s="61"/>
      <c r="X1421" s="62"/>
      <c r="AG1421" s="58"/>
    </row>
    <row r="1422" spans="2:33" ht="16">
      <c r="B1422" s="67" t="str">
        <f t="shared" si="6"/>
        <v/>
      </c>
      <c r="C1422" s="33"/>
      <c r="D1422" s="33"/>
      <c r="E1422" s="33"/>
      <c r="F1422" s="56"/>
      <c r="G1422" s="33"/>
      <c r="H1422" s="33"/>
      <c r="I1422" s="33"/>
      <c r="J1422" s="57"/>
      <c r="K1422" s="33"/>
      <c r="L1422" s="57"/>
      <c r="M1422" s="64"/>
      <c r="N1422" s="56"/>
      <c r="O1422" s="58"/>
      <c r="P1422" s="62"/>
      <c r="Q1422" s="33"/>
      <c r="R1422" s="33"/>
      <c r="S1422" s="61"/>
      <c r="T1422" s="33"/>
      <c r="U1422" s="62"/>
      <c r="W1422" s="61"/>
      <c r="X1422" s="62"/>
      <c r="AG1422" s="64"/>
    </row>
    <row r="1423" spans="2:33" ht="16">
      <c r="B1423" s="67" t="str">
        <f t="shared" si="6"/>
        <v/>
      </c>
      <c r="C1423" s="33"/>
      <c r="D1423" s="33"/>
      <c r="E1423" s="33"/>
      <c r="F1423" s="56"/>
      <c r="G1423" s="33"/>
      <c r="H1423" s="33"/>
      <c r="I1423" s="33"/>
      <c r="J1423" s="57"/>
      <c r="K1423" s="33"/>
      <c r="L1423" s="57"/>
      <c r="M1423" s="58"/>
      <c r="N1423" s="56"/>
      <c r="O1423" s="58"/>
      <c r="P1423" s="62"/>
      <c r="Q1423" s="33"/>
      <c r="R1423" s="33"/>
      <c r="S1423" s="61"/>
      <c r="T1423" s="33"/>
      <c r="U1423" s="62"/>
      <c r="W1423" s="61"/>
      <c r="X1423" s="62"/>
      <c r="AG1423" s="58"/>
    </row>
    <row r="1424" spans="2:33" ht="16">
      <c r="B1424" s="67" t="str">
        <f t="shared" si="6"/>
        <v/>
      </c>
      <c r="C1424" s="33"/>
      <c r="D1424" s="33"/>
      <c r="E1424" s="33"/>
      <c r="F1424" s="56"/>
      <c r="G1424" s="33"/>
      <c r="H1424" s="33"/>
      <c r="I1424" s="33"/>
      <c r="J1424" s="57"/>
      <c r="K1424" s="33"/>
      <c r="L1424" s="57"/>
      <c r="M1424" s="64"/>
      <c r="N1424" s="56"/>
      <c r="O1424" s="58"/>
      <c r="P1424" s="62"/>
      <c r="Q1424" s="33"/>
      <c r="R1424" s="33"/>
      <c r="S1424" s="61"/>
      <c r="T1424" s="33"/>
      <c r="U1424" s="62"/>
      <c r="W1424" s="61"/>
      <c r="X1424" s="62"/>
      <c r="AG1424" s="64"/>
    </row>
    <row r="1425" spans="2:33" ht="16">
      <c r="B1425" s="67" t="str">
        <f t="shared" si="6"/>
        <v/>
      </c>
      <c r="C1425" s="33"/>
      <c r="D1425" s="33"/>
      <c r="E1425" s="33"/>
      <c r="F1425" s="56"/>
      <c r="G1425" s="33"/>
      <c r="H1425" s="33"/>
      <c r="I1425" s="33"/>
      <c r="J1425" s="57"/>
      <c r="K1425" s="33"/>
      <c r="L1425" s="57"/>
      <c r="M1425" s="58"/>
      <c r="N1425" s="56"/>
      <c r="O1425" s="58"/>
      <c r="P1425" s="62"/>
      <c r="Q1425" s="33"/>
      <c r="R1425" s="33"/>
      <c r="S1425" s="61"/>
      <c r="T1425" s="33"/>
      <c r="U1425" s="62"/>
      <c r="W1425" s="61"/>
      <c r="X1425" s="62"/>
      <c r="AG1425" s="64"/>
    </row>
    <row r="1426" spans="2:33" ht="16">
      <c r="B1426" s="67" t="str">
        <f t="shared" si="6"/>
        <v/>
      </c>
      <c r="C1426" s="33"/>
      <c r="D1426" s="33"/>
      <c r="E1426" s="33"/>
      <c r="F1426" s="56"/>
      <c r="G1426" s="33"/>
      <c r="H1426" s="33"/>
      <c r="I1426" s="33"/>
      <c r="J1426" s="57"/>
      <c r="K1426" s="33"/>
      <c r="L1426" s="57"/>
      <c r="M1426" s="58"/>
      <c r="N1426" s="56"/>
      <c r="O1426" s="58"/>
      <c r="P1426" s="62"/>
      <c r="Q1426" s="33"/>
      <c r="R1426" s="33"/>
      <c r="S1426" s="61"/>
      <c r="T1426" s="33"/>
      <c r="U1426" s="62"/>
      <c r="W1426" s="61"/>
      <c r="X1426" s="62"/>
      <c r="AG1426" s="64"/>
    </row>
    <row r="1427" spans="2:33" ht="16">
      <c r="B1427" s="67" t="str">
        <f t="shared" si="6"/>
        <v/>
      </c>
      <c r="C1427" s="33"/>
      <c r="D1427" s="33"/>
      <c r="E1427" s="33"/>
      <c r="F1427" s="56"/>
      <c r="G1427" s="33"/>
      <c r="H1427" s="33"/>
      <c r="I1427" s="33"/>
      <c r="J1427" s="57"/>
      <c r="K1427" s="33"/>
      <c r="L1427" s="57"/>
      <c r="M1427" s="64"/>
      <c r="N1427" s="56"/>
      <c r="O1427" s="58"/>
      <c r="P1427" s="62"/>
      <c r="Q1427" s="33"/>
      <c r="R1427" s="33"/>
      <c r="S1427" s="61"/>
      <c r="T1427" s="33"/>
      <c r="U1427" s="62"/>
      <c r="W1427" s="61"/>
      <c r="X1427" s="62"/>
      <c r="AG1427" s="58"/>
    </row>
    <row r="1428" spans="2:33" ht="16">
      <c r="B1428" s="67" t="str">
        <f t="shared" si="6"/>
        <v/>
      </c>
      <c r="C1428" s="33"/>
      <c r="D1428" s="33"/>
      <c r="E1428" s="33"/>
      <c r="F1428" s="56"/>
      <c r="G1428" s="33"/>
      <c r="H1428" s="33"/>
      <c r="I1428" s="33"/>
      <c r="J1428" s="57"/>
      <c r="K1428" s="33"/>
      <c r="L1428" s="57"/>
      <c r="M1428" s="58"/>
      <c r="N1428" s="56"/>
      <c r="O1428" s="58"/>
      <c r="P1428" s="62"/>
      <c r="Q1428" s="33"/>
      <c r="R1428" s="33"/>
      <c r="S1428" s="61"/>
      <c r="T1428" s="33"/>
      <c r="U1428" s="62"/>
      <c r="W1428" s="61"/>
      <c r="X1428" s="62"/>
      <c r="AG1428" s="64"/>
    </row>
    <row r="1429" spans="2:33" ht="16">
      <c r="B1429" s="67" t="str">
        <f t="shared" si="6"/>
        <v/>
      </c>
      <c r="C1429" s="33"/>
      <c r="D1429" s="33"/>
      <c r="E1429" s="33"/>
      <c r="F1429" s="56"/>
      <c r="G1429" s="33"/>
      <c r="H1429" s="33"/>
      <c r="I1429" s="33"/>
      <c r="J1429" s="57"/>
      <c r="K1429" s="33"/>
      <c r="L1429" s="57"/>
      <c r="M1429" s="58"/>
      <c r="N1429" s="56"/>
      <c r="O1429" s="58"/>
      <c r="P1429" s="62"/>
      <c r="Q1429" s="33"/>
      <c r="R1429" s="33"/>
      <c r="S1429" s="61"/>
      <c r="T1429" s="33"/>
      <c r="U1429" s="62"/>
      <c r="W1429" s="61"/>
      <c r="X1429" s="62"/>
      <c r="AG1429" s="64"/>
    </row>
    <row r="1430" spans="2:33" ht="16">
      <c r="B1430" s="67" t="str">
        <f t="shared" si="6"/>
        <v/>
      </c>
      <c r="C1430" s="33"/>
      <c r="D1430" s="33"/>
      <c r="E1430" s="33"/>
      <c r="F1430" s="56"/>
      <c r="G1430" s="33"/>
      <c r="H1430" s="33"/>
      <c r="I1430" s="33"/>
      <c r="J1430" s="57"/>
      <c r="K1430" s="33"/>
      <c r="L1430" s="57"/>
      <c r="M1430" s="58"/>
      <c r="N1430" s="56"/>
      <c r="O1430" s="58"/>
      <c r="P1430" s="62"/>
      <c r="Q1430" s="33"/>
      <c r="R1430" s="33"/>
      <c r="S1430" s="61"/>
      <c r="T1430" s="33"/>
      <c r="U1430" s="62"/>
      <c r="W1430" s="61"/>
      <c r="X1430" s="62"/>
      <c r="AG1430" s="64"/>
    </row>
    <row r="1431" spans="2:33" ht="16">
      <c r="B1431" s="67" t="str">
        <f t="shared" si="6"/>
        <v/>
      </c>
      <c r="C1431" s="33"/>
      <c r="D1431" s="33"/>
      <c r="E1431" s="33"/>
      <c r="F1431" s="56"/>
      <c r="G1431" s="33"/>
      <c r="H1431" s="33"/>
      <c r="I1431" s="33"/>
      <c r="J1431" s="57"/>
      <c r="K1431" s="33"/>
      <c r="L1431" s="57"/>
      <c r="M1431" s="58"/>
      <c r="N1431" s="56"/>
      <c r="O1431" s="58"/>
      <c r="P1431" s="62"/>
      <c r="Q1431" s="33"/>
      <c r="R1431" s="33"/>
      <c r="S1431" s="61"/>
      <c r="T1431" s="33"/>
      <c r="U1431" s="62"/>
      <c r="W1431" s="61"/>
      <c r="X1431" s="62"/>
      <c r="AG1431" s="64"/>
    </row>
    <row r="1432" spans="2:33" ht="16">
      <c r="B1432" s="67" t="str">
        <f t="shared" si="6"/>
        <v/>
      </c>
      <c r="C1432" s="33"/>
      <c r="D1432" s="33"/>
      <c r="E1432" s="33"/>
      <c r="F1432" s="56"/>
      <c r="G1432" s="33"/>
      <c r="H1432" s="33"/>
      <c r="I1432" s="33"/>
      <c r="J1432" s="57"/>
      <c r="K1432" s="33"/>
      <c r="L1432" s="57"/>
      <c r="M1432" s="58"/>
      <c r="N1432" s="56"/>
      <c r="O1432" s="58"/>
      <c r="P1432" s="62"/>
      <c r="Q1432" s="33"/>
      <c r="R1432" s="33"/>
      <c r="S1432" s="61"/>
      <c r="T1432" s="33"/>
      <c r="U1432" s="62"/>
      <c r="W1432" s="61"/>
      <c r="X1432" s="62"/>
      <c r="AG1432" s="64"/>
    </row>
    <row r="1433" spans="2:33" ht="16">
      <c r="B1433" s="67" t="str">
        <f t="shared" si="6"/>
        <v/>
      </c>
      <c r="C1433" s="33"/>
      <c r="D1433" s="33"/>
      <c r="E1433" s="33"/>
      <c r="F1433" s="56"/>
      <c r="G1433" s="33"/>
      <c r="H1433" s="33"/>
      <c r="I1433" s="33"/>
      <c r="J1433" s="57"/>
      <c r="K1433" s="33"/>
      <c r="L1433" s="57"/>
      <c r="M1433" s="58"/>
      <c r="N1433" s="56"/>
      <c r="O1433" s="58"/>
      <c r="P1433" s="62"/>
      <c r="Q1433" s="33"/>
      <c r="R1433" s="33"/>
      <c r="S1433" s="61"/>
      <c r="T1433" s="33"/>
      <c r="U1433" s="62"/>
      <c r="W1433" s="61"/>
      <c r="X1433" s="62"/>
      <c r="AG1433" s="64"/>
    </row>
    <row r="1434" spans="2:33" ht="16">
      <c r="B1434" s="67" t="str">
        <f t="shared" si="6"/>
        <v/>
      </c>
      <c r="C1434" s="33"/>
      <c r="D1434" s="33"/>
      <c r="E1434" s="33"/>
      <c r="F1434" s="56"/>
      <c r="G1434" s="33"/>
      <c r="H1434" s="33"/>
      <c r="I1434" s="33"/>
      <c r="J1434" s="57"/>
      <c r="K1434" s="33"/>
      <c r="L1434" s="57"/>
      <c r="M1434" s="64"/>
      <c r="N1434" s="56"/>
      <c r="O1434" s="58"/>
      <c r="P1434" s="62"/>
      <c r="Q1434" s="33"/>
      <c r="R1434" s="33"/>
      <c r="S1434" s="61"/>
      <c r="T1434" s="33"/>
      <c r="U1434" s="62"/>
      <c r="W1434" s="61"/>
      <c r="X1434" s="62"/>
      <c r="AG1434" s="64"/>
    </row>
    <row r="1435" spans="2:33" ht="16">
      <c r="B1435" s="67" t="str">
        <f t="shared" si="6"/>
        <v/>
      </c>
      <c r="C1435" s="33"/>
      <c r="D1435" s="33"/>
      <c r="E1435" s="33"/>
      <c r="F1435" s="56"/>
      <c r="G1435" s="33"/>
      <c r="H1435" s="33"/>
      <c r="I1435" s="33"/>
      <c r="J1435" s="57"/>
      <c r="K1435" s="33"/>
      <c r="L1435" s="57"/>
      <c r="M1435" s="64"/>
      <c r="N1435" s="56"/>
      <c r="O1435" s="58"/>
      <c r="P1435" s="62"/>
      <c r="Q1435" s="33"/>
      <c r="R1435" s="33"/>
      <c r="S1435" s="61"/>
      <c r="T1435" s="33"/>
      <c r="U1435" s="62"/>
      <c r="W1435" s="61"/>
      <c r="X1435" s="62"/>
      <c r="AG1435" s="64"/>
    </row>
    <row r="1436" spans="2:33" ht="16">
      <c r="B1436" s="67" t="str">
        <f t="shared" si="6"/>
        <v/>
      </c>
      <c r="C1436" s="33"/>
      <c r="D1436" s="33"/>
      <c r="E1436" s="33"/>
      <c r="F1436" s="56"/>
      <c r="G1436" s="33"/>
      <c r="H1436" s="33"/>
      <c r="I1436" s="33"/>
      <c r="J1436" s="57"/>
      <c r="K1436" s="33"/>
      <c r="L1436" s="57"/>
      <c r="M1436" s="58"/>
      <c r="N1436" s="56"/>
      <c r="O1436" s="58"/>
      <c r="P1436" s="62"/>
      <c r="Q1436" s="33"/>
      <c r="R1436" s="33"/>
      <c r="S1436" s="61"/>
      <c r="T1436" s="33"/>
      <c r="U1436" s="62"/>
      <c r="W1436" s="61"/>
      <c r="X1436" s="62"/>
      <c r="AG1436" s="64"/>
    </row>
    <row r="1437" spans="2:33" ht="16">
      <c r="B1437" s="67" t="str">
        <f t="shared" si="6"/>
        <v/>
      </c>
      <c r="C1437" s="33"/>
      <c r="D1437" s="33"/>
      <c r="E1437" s="33"/>
      <c r="F1437" s="56"/>
      <c r="G1437" s="33"/>
      <c r="H1437" s="33"/>
      <c r="I1437" s="33"/>
      <c r="J1437" s="57"/>
      <c r="K1437" s="33"/>
      <c r="L1437" s="57"/>
      <c r="M1437" s="58"/>
      <c r="N1437" s="56"/>
      <c r="O1437" s="58"/>
      <c r="P1437" s="62"/>
      <c r="Q1437" s="33"/>
      <c r="R1437" s="33"/>
      <c r="S1437" s="61"/>
      <c r="T1437" s="33"/>
      <c r="U1437" s="62"/>
      <c r="W1437" s="61"/>
      <c r="X1437" s="62"/>
      <c r="AG1437" s="64"/>
    </row>
    <row r="1438" spans="2:33" ht="16">
      <c r="B1438" s="67" t="str">
        <f t="shared" si="6"/>
        <v/>
      </c>
      <c r="C1438" s="33"/>
      <c r="D1438" s="33"/>
      <c r="E1438" s="33"/>
      <c r="F1438" s="56"/>
      <c r="G1438" s="33"/>
      <c r="H1438" s="33"/>
      <c r="I1438" s="33"/>
      <c r="J1438" s="57"/>
      <c r="K1438" s="33"/>
      <c r="L1438" s="57"/>
      <c r="M1438" s="58"/>
      <c r="N1438" s="56"/>
      <c r="O1438" s="58"/>
      <c r="P1438" s="62"/>
      <c r="Q1438" s="33"/>
      <c r="R1438" s="33"/>
      <c r="S1438" s="61"/>
      <c r="T1438" s="33"/>
      <c r="U1438" s="62"/>
      <c r="W1438" s="61"/>
      <c r="X1438" s="62"/>
      <c r="AG1438" s="64"/>
    </row>
    <row r="1439" spans="2:33" ht="16">
      <c r="B1439" s="67" t="str">
        <f t="shared" si="6"/>
        <v/>
      </c>
      <c r="C1439" s="33"/>
      <c r="D1439" s="33"/>
      <c r="E1439" s="33"/>
      <c r="F1439" s="56"/>
      <c r="G1439" s="33"/>
      <c r="H1439" s="33"/>
      <c r="I1439" s="33"/>
      <c r="J1439" s="57"/>
      <c r="K1439" s="33"/>
      <c r="L1439" s="57"/>
      <c r="M1439" s="58"/>
      <c r="N1439" s="56"/>
      <c r="O1439" s="58"/>
      <c r="P1439" s="62"/>
      <c r="Q1439" s="33"/>
      <c r="R1439" s="33"/>
      <c r="S1439" s="61"/>
      <c r="T1439" s="33"/>
      <c r="U1439" s="62"/>
      <c r="W1439" s="61"/>
      <c r="X1439" s="62"/>
      <c r="AG1439" s="58"/>
    </row>
    <row r="1440" spans="2:33" ht="16">
      <c r="B1440" s="67" t="str">
        <f t="shared" si="6"/>
        <v/>
      </c>
      <c r="C1440" s="33"/>
      <c r="D1440" s="33"/>
      <c r="E1440" s="33"/>
      <c r="F1440" s="56"/>
      <c r="G1440" s="33"/>
      <c r="H1440" s="33"/>
      <c r="I1440" s="33"/>
      <c r="J1440" s="57"/>
      <c r="K1440" s="33"/>
      <c r="L1440" s="57"/>
      <c r="M1440" s="58"/>
      <c r="N1440" s="56"/>
      <c r="O1440" s="58"/>
      <c r="P1440" s="62"/>
      <c r="Q1440" s="33"/>
      <c r="R1440" s="33"/>
      <c r="S1440" s="61"/>
      <c r="T1440" s="33"/>
      <c r="U1440" s="62"/>
      <c r="W1440" s="61"/>
      <c r="X1440" s="62"/>
      <c r="AG1440" s="64"/>
    </row>
    <row r="1441" spans="2:33" ht="16">
      <c r="B1441" s="67" t="str">
        <f t="shared" si="6"/>
        <v/>
      </c>
      <c r="C1441" s="33"/>
      <c r="D1441" s="33"/>
      <c r="E1441" s="33"/>
      <c r="F1441" s="56"/>
      <c r="G1441" s="33"/>
      <c r="H1441" s="33"/>
      <c r="I1441" s="33"/>
      <c r="J1441" s="57"/>
      <c r="K1441" s="33"/>
      <c r="L1441" s="57"/>
      <c r="M1441" s="64"/>
      <c r="N1441" s="56"/>
      <c r="O1441" s="58"/>
      <c r="P1441" s="62"/>
      <c r="Q1441" s="33"/>
      <c r="R1441" s="33"/>
      <c r="S1441" s="61"/>
      <c r="T1441" s="33"/>
      <c r="U1441" s="62"/>
      <c r="W1441" s="61"/>
      <c r="X1441" s="62"/>
      <c r="AG1441" s="58"/>
    </row>
    <row r="1442" spans="2:33" ht="16">
      <c r="B1442" s="67" t="str">
        <f t="shared" si="6"/>
        <v/>
      </c>
      <c r="C1442" s="33"/>
      <c r="D1442" s="33"/>
      <c r="E1442" s="33"/>
      <c r="F1442" s="56"/>
      <c r="G1442" s="33"/>
      <c r="H1442" s="33"/>
      <c r="I1442" s="33"/>
      <c r="J1442" s="57"/>
      <c r="K1442" s="33"/>
      <c r="L1442" s="57"/>
      <c r="M1442" s="58"/>
      <c r="N1442" s="56"/>
      <c r="O1442" s="58"/>
      <c r="P1442" s="62"/>
      <c r="Q1442" s="33"/>
      <c r="R1442" s="33"/>
      <c r="S1442" s="61"/>
      <c r="T1442" s="33"/>
      <c r="U1442" s="62"/>
      <c r="W1442" s="61"/>
      <c r="X1442" s="62"/>
      <c r="AG1442" s="58"/>
    </row>
    <row r="1443" spans="2:33" ht="16">
      <c r="B1443" s="67" t="str">
        <f t="shared" si="6"/>
        <v/>
      </c>
      <c r="C1443" s="33"/>
      <c r="D1443" s="33"/>
      <c r="E1443" s="33"/>
      <c r="F1443" s="56"/>
      <c r="G1443" s="33"/>
      <c r="H1443" s="33"/>
      <c r="I1443" s="33"/>
      <c r="J1443" s="57"/>
      <c r="K1443" s="33"/>
      <c r="L1443" s="57"/>
      <c r="M1443" s="58"/>
      <c r="N1443" s="56"/>
      <c r="O1443" s="58"/>
      <c r="P1443" s="62"/>
      <c r="Q1443" s="33"/>
      <c r="R1443" s="33"/>
      <c r="S1443" s="61"/>
      <c r="T1443" s="33"/>
      <c r="U1443" s="62"/>
      <c r="W1443" s="61"/>
      <c r="X1443" s="62"/>
      <c r="AG1443" s="64"/>
    </row>
    <row r="1444" spans="2:33" ht="16">
      <c r="B1444" s="67" t="str">
        <f t="shared" si="6"/>
        <v/>
      </c>
      <c r="C1444" s="33"/>
      <c r="D1444" s="33"/>
      <c r="E1444" s="33"/>
      <c r="F1444" s="56"/>
      <c r="G1444" s="33"/>
      <c r="H1444" s="33"/>
      <c r="I1444" s="33"/>
      <c r="J1444" s="57"/>
      <c r="K1444" s="33"/>
      <c r="L1444" s="57"/>
      <c r="M1444" s="64"/>
      <c r="N1444" s="56"/>
      <c r="O1444" s="58"/>
      <c r="P1444" s="62"/>
      <c r="Q1444" s="33"/>
      <c r="R1444" s="33"/>
      <c r="S1444" s="61"/>
      <c r="T1444" s="33"/>
      <c r="U1444" s="62"/>
      <c r="W1444" s="61"/>
      <c r="X1444" s="62"/>
      <c r="AG1444" s="58"/>
    </row>
    <row r="1445" spans="2:33" ht="16">
      <c r="B1445" s="67" t="str">
        <f t="shared" si="6"/>
        <v/>
      </c>
      <c r="C1445" s="33"/>
      <c r="D1445" s="33"/>
      <c r="E1445" s="33"/>
      <c r="F1445" s="56"/>
      <c r="G1445" s="33"/>
      <c r="H1445" s="33"/>
      <c r="I1445" s="33"/>
      <c r="J1445" s="57"/>
      <c r="K1445" s="33"/>
      <c r="L1445" s="57"/>
      <c r="M1445" s="64"/>
      <c r="N1445" s="56"/>
      <c r="O1445" s="58"/>
      <c r="P1445" s="62"/>
      <c r="Q1445" s="33"/>
      <c r="R1445" s="33"/>
      <c r="S1445" s="61"/>
      <c r="T1445" s="33"/>
      <c r="U1445" s="62"/>
      <c r="W1445" s="61"/>
      <c r="X1445" s="62"/>
      <c r="AG1445" s="64"/>
    </row>
    <row r="1446" spans="2:33" ht="16">
      <c r="B1446" s="67" t="str">
        <f t="shared" si="6"/>
        <v/>
      </c>
      <c r="C1446" s="33"/>
      <c r="D1446" s="33"/>
      <c r="E1446" s="33"/>
      <c r="F1446" s="56"/>
      <c r="G1446" s="33"/>
      <c r="H1446" s="33"/>
      <c r="I1446" s="33"/>
      <c r="J1446" s="57"/>
      <c r="K1446" s="33"/>
      <c r="L1446" s="57"/>
      <c r="M1446" s="58"/>
      <c r="N1446" s="56"/>
      <c r="O1446" s="58"/>
      <c r="P1446" s="62"/>
      <c r="Q1446" s="33"/>
      <c r="R1446" s="33"/>
      <c r="S1446" s="61"/>
      <c r="T1446" s="33"/>
      <c r="U1446" s="62"/>
      <c r="W1446" s="61"/>
      <c r="X1446" s="62"/>
      <c r="AG1446" s="64"/>
    </row>
    <row r="1447" spans="2:33" ht="16">
      <c r="B1447" s="67" t="str">
        <f t="shared" si="6"/>
        <v/>
      </c>
      <c r="C1447" s="33"/>
      <c r="D1447" s="33"/>
      <c r="E1447" s="33"/>
      <c r="F1447" s="56"/>
      <c r="G1447" s="33"/>
      <c r="H1447" s="33"/>
      <c r="I1447" s="33"/>
      <c r="J1447" s="57"/>
      <c r="K1447" s="33"/>
      <c r="L1447" s="57"/>
      <c r="M1447" s="58"/>
      <c r="N1447" s="56"/>
      <c r="O1447" s="58"/>
      <c r="P1447" s="62"/>
      <c r="Q1447" s="33"/>
      <c r="R1447" s="33"/>
      <c r="S1447" s="61"/>
      <c r="T1447" s="33"/>
      <c r="U1447" s="62"/>
      <c r="W1447" s="61"/>
      <c r="X1447" s="62"/>
      <c r="AG1447" s="64"/>
    </row>
    <row r="1448" spans="2:33" ht="16">
      <c r="B1448" s="67" t="str">
        <f t="shared" si="6"/>
        <v/>
      </c>
      <c r="C1448" s="33"/>
      <c r="D1448" s="33"/>
      <c r="E1448" s="33"/>
      <c r="F1448" s="56"/>
      <c r="G1448" s="33"/>
      <c r="H1448" s="33"/>
      <c r="I1448" s="33"/>
      <c r="J1448" s="57"/>
      <c r="K1448" s="33"/>
      <c r="L1448" s="57"/>
      <c r="M1448" s="58"/>
      <c r="N1448" s="56"/>
      <c r="O1448" s="58"/>
      <c r="P1448" s="62"/>
      <c r="Q1448" s="33"/>
      <c r="R1448" s="33"/>
      <c r="S1448" s="61"/>
      <c r="T1448" s="33"/>
      <c r="U1448" s="62"/>
      <c r="W1448" s="61"/>
      <c r="X1448" s="62"/>
      <c r="AG1448" s="64"/>
    </row>
    <row r="1449" spans="2:33" ht="16">
      <c r="B1449" s="67" t="str">
        <f t="shared" si="6"/>
        <v/>
      </c>
      <c r="C1449" s="33"/>
      <c r="D1449" s="33"/>
      <c r="E1449" s="33"/>
      <c r="F1449" s="56"/>
      <c r="G1449" s="33"/>
      <c r="H1449" s="33"/>
      <c r="I1449" s="33"/>
      <c r="J1449" s="57"/>
      <c r="K1449" s="33"/>
      <c r="L1449" s="57"/>
      <c r="M1449" s="58"/>
      <c r="N1449" s="56"/>
      <c r="O1449" s="58"/>
      <c r="P1449" s="62"/>
      <c r="Q1449" s="33"/>
      <c r="R1449" s="33"/>
      <c r="S1449" s="61"/>
      <c r="T1449" s="33"/>
      <c r="U1449" s="62"/>
      <c r="W1449" s="61"/>
      <c r="X1449" s="62"/>
      <c r="AG1449" s="64"/>
    </row>
    <row r="1450" spans="2:33" ht="16">
      <c r="B1450" s="67" t="str">
        <f t="shared" si="6"/>
        <v/>
      </c>
      <c r="C1450" s="33"/>
      <c r="D1450" s="33"/>
      <c r="E1450" s="33"/>
      <c r="F1450" s="56"/>
      <c r="G1450" s="33"/>
      <c r="H1450" s="33"/>
      <c r="I1450" s="33"/>
      <c r="J1450" s="57"/>
      <c r="K1450" s="33"/>
      <c r="L1450" s="57"/>
      <c r="M1450" s="58"/>
      <c r="N1450" s="56"/>
      <c r="O1450" s="58"/>
      <c r="P1450" s="62"/>
      <c r="Q1450" s="33"/>
      <c r="R1450" s="33"/>
      <c r="S1450" s="61"/>
      <c r="T1450" s="33"/>
      <c r="U1450" s="62"/>
      <c r="W1450" s="61"/>
      <c r="X1450" s="62"/>
      <c r="AG1450" s="64"/>
    </row>
    <row r="1451" spans="2:33" ht="16">
      <c r="B1451" s="67" t="str">
        <f t="shared" si="6"/>
        <v/>
      </c>
      <c r="C1451" s="33"/>
      <c r="D1451" s="33"/>
      <c r="E1451" s="33"/>
      <c r="F1451" s="56"/>
      <c r="G1451" s="33"/>
      <c r="H1451" s="33"/>
      <c r="I1451" s="33"/>
      <c r="J1451" s="57"/>
      <c r="K1451" s="33"/>
      <c r="L1451" s="57"/>
      <c r="M1451" s="64"/>
      <c r="N1451" s="56"/>
      <c r="O1451" s="58"/>
      <c r="P1451" s="62"/>
      <c r="Q1451" s="33"/>
      <c r="R1451" s="33"/>
      <c r="S1451" s="61"/>
      <c r="T1451" s="33"/>
      <c r="U1451" s="62"/>
      <c r="W1451" s="61"/>
      <c r="X1451" s="62"/>
      <c r="AG1451" s="58"/>
    </row>
    <row r="1452" spans="2:33" ht="16">
      <c r="B1452" s="67" t="str">
        <f t="shared" si="6"/>
        <v/>
      </c>
      <c r="C1452" s="33"/>
      <c r="D1452" s="33"/>
      <c r="E1452" s="33"/>
      <c r="F1452" s="56"/>
      <c r="G1452" s="33"/>
      <c r="H1452" s="33"/>
      <c r="I1452" s="33"/>
      <c r="J1452" s="57"/>
      <c r="K1452" s="33"/>
      <c r="L1452" s="57"/>
      <c r="M1452" s="58"/>
      <c r="N1452" s="56"/>
      <c r="O1452" s="58"/>
      <c r="P1452" s="62"/>
      <c r="Q1452" s="33"/>
      <c r="R1452" s="33"/>
      <c r="S1452" s="61"/>
      <c r="T1452" s="33"/>
      <c r="U1452" s="62"/>
      <c r="W1452" s="61"/>
      <c r="X1452" s="62"/>
      <c r="AG1452" s="64"/>
    </row>
    <row r="1453" spans="2:33" ht="16">
      <c r="B1453" s="67" t="str">
        <f t="shared" si="6"/>
        <v/>
      </c>
      <c r="C1453" s="33"/>
      <c r="D1453" s="33"/>
      <c r="E1453" s="33"/>
      <c r="F1453" s="56"/>
      <c r="G1453" s="33"/>
      <c r="H1453" s="33"/>
      <c r="I1453" s="33"/>
      <c r="J1453" s="57"/>
      <c r="K1453" s="33"/>
      <c r="L1453" s="57"/>
      <c r="M1453" s="58"/>
      <c r="N1453" s="56"/>
      <c r="O1453" s="58"/>
      <c r="P1453" s="62"/>
      <c r="Q1453" s="33"/>
      <c r="R1453" s="33"/>
      <c r="S1453" s="61"/>
      <c r="T1453" s="33"/>
      <c r="U1453" s="62"/>
      <c r="W1453" s="61"/>
      <c r="X1453" s="62"/>
      <c r="AG1453" s="64"/>
    </row>
    <row r="1454" spans="2:33" ht="16">
      <c r="B1454" s="67" t="str">
        <f t="shared" si="6"/>
        <v/>
      </c>
      <c r="C1454" s="33"/>
      <c r="D1454" s="33"/>
      <c r="E1454" s="33"/>
      <c r="F1454" s="56"/>
      <c r="G1454" s="33"/>
      <c r="H1454" s="33"/>
      <c r="I1454" s="33"/>
      <c r="J1454" s="57"/>
      <c r="K1454" s="33"/>
      <c r="L1454" s="57"/>
      <c r="M1454" s="64"/>
      <c r="N1454" s="56"/>
      <c r="O1454" s="58"/>
      <c r="P1454" s="62"/>
      <c r="Q1454" s="33"/>
      <c r="R1454" s="33"/>
      <c r="S1454" s="61"/>
      <c r="T1454" s="33"/>
      <c r="U1454" s="62"/>
      <c r="W1454" s="61"/>
      <c r="X1454" s="62"/>
      <c r="AG1454" s="64"/>
    </row>
    <row r="1455" spans="2:33" ht="16">
      <c r="B1455" s="67" t="str">
        <f t="shared" si="6"/>
        <v/>
      </c>
      <c r="C1455" s="33"/>
      <c r="D1455" s="33"/>
      <c r="E1455" s="33"/>
      <c r="F1455" s="56"/>
      <c r="G1455" s="33"/>
      <c r="H1455" s="33"/>
      <c r="I1455" s="33"/>
      <c r="J1455" s="57"/>
      <c r="K1455" s="33"/>
      <c r="L1455" s="57"/>
      <c r="M1455" s="58"/>
      <c r="N1455" s="56"/>
      <c r="O1455" s="58"/>
      <c r="P1455" s="62"/>
      <c r="Q1455" s="33"/>
      <c r="R1455" s="33"/>
      <c r="S1455" s="61"/>
      <c r="T1455" s="33"/>
      <c r="U1455" s="62"/>
      <c r="W1455" s="61"/>
      <c r="X1455" s="62"/>
      <c r="AG1455" s="58"/>
    </row>
    <row r="1456" spans="2:33" ht="16">
      <c r="B1456" s="67" t="str">
        <f t="shared" si="6"/>
        <v/>
      </c>
      <c r="C1456" s="33"/>
      <c r="D1456" s="33"/>
      <c r="E1456" s="33"/>
      <c r="F1456" s="56"/>
      <c r="G1456" s="33"/>
      <c r="H1456" s="33"/>
      <c r="I1456" s="33"/>
      <c r="J1456" s="57"/>
      <c r="K1456" s="33"/>
      <c r="L1456" s="57"/>
      <c r="M1456" s="58"/>
      <c r="N1456" s="56"/>
      <c r="O1456" s="58"/>
      <c r="P1456" s="62"/>
      <c r="Q1456" s="33"/>
      <c r="R1456" s="33"/>
      <c r="S1456" s="61"/>
      <c r="T1456" s="33"/>
      <c r="U1456" s="62"/>
      <c r="W1456" s="61"/>
      <c r="X1456" s="62"/>
      <c r="AG1456" s="58"/>
    </row>
    <row r="1457" spans="2:33" ht="16">
      <c r="B1457" s="67" t="str">
        <f t="shared" si="6"/>
        <v/>
      </c>
      <c r="C1457" s="33"/>
      <c r="D1457" s="33"/>
      <c r="E1457" s="33"/>
      <c r="F1457" s="56"/>
      <c r="G1457" s="33"/>
      <c r="H1457" s="33"/>
      <c r="I1457" s="33"/>
      <c r="J1457" s="57"/>
      <c r="K1457" s="33"/>
      <c r="L1457" s="57"/>
      <c r="M1457" s="58"/>
      <c r="N1457" s="56"/>
      <c r="O1457" s="58"/>
      <c r="P1457" s="62"/>
      <c r="Q1457" s="33"/>
      <c r="R1457" s="33"/>
      <c r="S1457" s="61"/>
      <c r="T1457" s="33"/>
      <c r="U1457" s="62"/>
      <c r="W1457" s="61"/>
      <c r="X1457" s="62"/>
      <c r="AG1457" s="58"/>
    </row>
    <row r="1458" spans="2:33" ht="16">
      <c r="B1458" s="67" t="str">
        <f t="shared" si="6"/>
        <v/>
      </c>
      <c r="C1458" s="33"/>
      <c r="D1458" s="33"/>
      <c r="E1458" s="33"/>
      <c r="F1458" s="56"/>
      <c r="G1458" s="33"/>
      <c r="H1458" s="33"/>
      <c r="I1458" s="33"/>
      <c r="J1458" s="57"/>
      <c r="K1458" s="33"/>
      <c r="L1458" s="57"/>
      <c r="M1458" s="58"/>
      <c r="N1458" s="56"/>
      <c r="O1458" s="58"/>
      <c r="P1458" s="62"/>
      <c r="Q1458" s="33"/>
      <c r="R1458" s="33"/>
      <c r="S1458" s="61"/>
      <c r="T1458" s="33"/>
      <c r="U1458" s="62"/>
      <c r="W1458" s="61"/>
      <c r="X1458" s="62"/>
      <c r="AG1458" s="58"/>
    </row>
    <row r="1459" spans="2:33" ht="16">
      <c r="B1459" s="67" t="str">
        <f t="shared" si="6"/>
        <v/>
      </c>
      <c r="C1459" s="33"/>
      <c r="D1459" s="33"/>
      <c r="E1459" s="33"/>
      <c r="F1459" s="56"/>
      <c r="G1459" s="33"/>
      <c r="H1459" s="33"/>
      <c r="I1459" s="33"/>
      <c r="J1459" s="57"/>
      <c r="K1459" s="33"/>
      <c r="L1459" s="57"/>
      <c r="M1459" s="58"/>
      <c r="N1459" s="56"/>
      <c r="O1459" s="58"/>
      <c r="P1459" s="62"/>
      <c r="Q1459" s="33"/>
      <c r="R1459" s="33"/>
      <c r="S1459" s="61"/>
      <c r="T1459" s="33"/>
      <c r="U1459" s="62"/>
      <c r="W1459" s="61"/>
      <c r="X1459" s="62"/>
      <c r="AG1459" s="64"/>
    </row>
    <row r="1460" spans="2:33" ht="16">
      <c r="B1460" s="67" t="str">
        <f t="shared" si="6"/>
        <v/>
      </c>
      <c r="C1460" s="33"/>
      <c r="D1460" s="33"/>
      <c r="E1460" s="33"/>
      <c r="F1460" s="56"/>
      <c r="G1460" s="33"/>
      <c r="H1460" s="33"/>
      <c r="I1460" s="33"/>
      <c r="J1460" s="57"/>
      <c r="K1460" s="33"/>
      <c r="L1460" s="57"/>
      <c r="M1460" s="58"/>
      <c r="N1460" s="56"/>
      <c r="O1460" s="58"/>
      <c r="P1460" s="62"/>
      <c r="Q1460" s="33"/>
      <c r="R1460" s="33"/>
      <c r="S1460" s="61"/>
      <c r="T1460" s="33"/>
      <c r="U1460" s="62"/>
      <c r="W1460" s="61"/>
      <c r="X1460" s="62"/>
      <c r="AG1460" s="64"/>
    </row>
    <row r="1461" spans="2:33" ht="16">
      <c r="B1461" s="67" t="str">
        <f t="shared" si="6"/>
        <v/>
      </c>
      <c r="C1461" s="33"/>
      <c r="D1461" s="33"/>
      <c r="E1461" s="33"/>
      <c r="F1461" s="56"/>
      <c r="G1461" s="33"/>
      <c r="H1461" s="33"/>
      <c r="I1461" s="33"/>
      <c r="J1461" s="57"/>
      <c r="K1461" s="33"/>
      <c r="L1461" s="57"/>
      <c r="M1461" s="58"/>
      <c r="N1461" s="56"/>
      <c r="O1461" s="58"/>
      <c r="P1461" s="62"/>
      <c r="Q1461" s="33"/>
      <c r="R1461" s="33"/>
      <c r="S1461" s="61"/>
      <c r="T1461" s="33"/>
      <c r="U1461" s="62"/>
      <c r="W1461" s="61"/>
      <c r="X1461" s="62"/>
      <c r="AG1461" s="64"/>
    </row>
    <row r="1462" spans="2:33" ht="16">
      <c r="B1462" s="67" t="str">
        <f t="shared" si="6"/>
        <v/>
      </c>
      <c r="C1462" s="33"/>
      <c r="D1462" s="33"/>
      <c r="E1462" s="33"/>
      <c r="F1462" s="56"/>
      <c r="G1462" s="33"/>
      <c r="H1462" s="33"/>
      <c r="I1462" s="33"/>
      <c r="J1462" s="57"/>
      <c r="K1462" s="33"/>
      <c r="L1462" s="57"/>
      <c r="M1462" s="58"/>
      <c r="N1462" s="56"/>
      <c r="O1462" s="58"/>
      <c r="P1462" s="62"/>
      <c r="Q1462" s="33"/>
      <c r="R1462" s="33"/>
      <c r="S1462" s="61"/>
      <c r="T1462" s="33"/>
      <c r="U1462" s="62"/>
      <c r="W1462" s="61"/>
      <c r="X1462" s="62"/>
      <c r="AG1462" s="64"/>
    </row>
    <row r="1463" spans="2:33" ht="16">
      <c r="B1463" s="67" t="str">
        <f t="shared" si="6"/>
        <v/>
      </c>
      <c r="C1463" s="33"/>
      <c r="D1463" s="33"/>
      <c r="E1463" s="33"/>
      <c r="F1463" s="56"/>
      <c r="G1463" s="33"/>
      <c r="H1463" s="33"/>
      <c r="I1463" s="33"/>
      <c r="J1463" s="57"/>
      <c r="K1463" s="33"/>
      <c r="L1463" s="57"/>
      <c r="M1463" s="58"/>
      <c r="N1463" s="56"/>
      <c r="O1463" s="58"/>
      <c r="P1463" s="62"/>
      <c r="Q1463" s="33"/>
      <c r="R1463" s="33"/>
      <c r="S1463" s="61"/>
      <c r="T1463" s="33"/>
      <c r="U1463" s="62"/>
      <c r="W1463" s="61"/>
      <c r="X1463" s="62"/>
      <c r="AG1463" s="64"/>
    </row>
    <row r="1464" spans="2:33" ht="16">
      <c r="B1464" s="67" t="str">
        <f t="shared" si="6"/>
        <v/>
      </c>
      <c r="C1464" s="33"/>
      <c r="D1464" s="33"/>
      <c r="E1464" s="33"/>
      <c r="F1464" s="56"/>
      <c r="G1464" s="33"/>
      <c r="H1464" s="33"/>
      <c r="I1464" s="33"/>
      <c r="J1464" s="57"/>
      <c r="K1464" s="33"/>
      <c r="L1464" s="57"/>
      <c r="M1464" s="58"/>
      <c r="N1464" s="56"/>
      <c r="O1464" s="58"/>
      <c r="P1464" s="62"/>
      <c r="Q1464" s="33"/>
      <c r="R1464" s="33"/>
      <c r="S1464" s="61"/>
      <c r="T1464" s="33"/>
      <c r="U1464" s="62"/>
      <c r="W1464" s="61"/>
      <c r="X1464" s="62"/>
      <c r="AG1464" s="64"/>
    </row>
    <row r="1465" spans="2:33" ht="16">
      <c r="B1465" s="67" t="str">
        <f t="shared" si="6"/>
        <v/>
      </c>
      <c r="C1465" s="33"/>
      <c r="D1465" s="33"/>
      <c r="E1465" s="33"/>
      <c r="F1465" s="56"/>
      <c r="G1465" s="33"/>
      <c r="H1465" s="33"/>
      <c r="I1465" s="33"/>
      <c r="J1465" s="57"/>
      <c r="K1465" s="33"/>
      <c r="L1465" s="57"/>
      <c r="M1465" s="64"/>
      <c r="N1465" s="56"/>
      <c r="O1465" s="58"/>
      <c r="P1465" s="62"/>
      <c r="Q1465" s="33"/>
      <c r="R1465" s="33"/>
      <c r="S1465" s="61"/>
      <c r="T1465" s="33"/>
      <c r="U1465" s="62"/>
      <c r="W1465" s="61"/>
      <c r="X1465" s="62"/>
      <c r="AG1465" s="64"/>
    </row>
    <row r="1466" spans="2:33" ht="16">
      <c r="B1466" s="67" t="str">
        <f t="shared" si="6"/>
        <v/>
      </c>
      <c r="C1466" s="33"/>
      <c r="D1466" s="33"/>
      <c r="E1466" s="33"/>
      <c r="F1466" s="56"/>
      <c r="G1466" s="33"/>
      <c r="H1466" s="33"/>
      <c r="I1466" s="33"/>
      <c r="J1466" s="57"/>
      <c r="K1466" s="33"/>
      <c r="L1466" s="57"/>
      <c r="M1466" s="58"/>
      <c r="N1466" s="56"/>
      <c r="O1466" s="58"/>
      <c r="P1466" s="62"/>
      <c r="Q1466" s="33"/>
      <c r="R1466" s="33"/>
      <c r="S1466" s="61"/>
      <c r="T1466" s="33"/>
      <c r="U1466" s="62"/>
      <c r="W1466" s="61"/>
      <c r="X1466" s="62"/>
      <c r="AG1466" s="64"/>
    </row>
    <row r="1467" spans="2:33" ht="16">
      <c r="B1467" s="67" t="str">
        <f t="shared" si="6"/>
        <v/>
      </c>
      <c r="C1467" s="33"/>
      <c r="D1467" s="33"/>
      <c r="E1467" s="33"/>
      <c r="F1467" s="56"/>
      <c r="G1467" s="33"/>
      <c r="H1467" s="33"/>
      <c r="I1467" s="33"/>
      <c r="J1467" s="57"/>
      <c r="K1467" s="33"/>
      <c r="L1467" s="57"/>
      <c r="M1467" s="58"/>
      <c r="N1467" s="56"/>
      <c r="O1467" s="58"/>
      <c r="P1467" s="62"/>
      <c r="Q1467" s="33"/>
      <c r="R1467" s="33"/>
      <c r="S1467" s="61"/>
      <c r="T1467" s="33"/>
      <c r="U1467" s="62"/>
      <c r="W1467" s="61"/>
      <c r="X1467" s="62"/>
      <c r="AG1467" s="64"/>
    </row>
    <row r="1468" spans="2:33" ht="16">
      <c r="B1468" s="67" t="str">
        <f t="shared" si="6"/>
        <v/>
      </c>
      <c r="C1468" s="33"/>
      <c r="D1468" s="33"/>
      <c r="E1468" s="33"/>
      <c r="F1468" s="56"/>
      <c r="G1468" s="33"/>
      <c r="H1468" s="33"/>
      <c r="I1468" s="33"/>
      <c r="J1468" s="57"/>
      <c r="K1468" s="33"/>
      <c r="L1468" s="57"/>
      <c r="M1468" s="58"/>
      <c r="N1468" s="56"/>
      <c r="O1468" s="58"/>
      <c r="P1468" s="62"/>
      <c r="Q1468" s="33"/>
      <c r="R1468" s="33"/>
      <c r="S1468" s="61"/>
      <c r="T1468" s="33"/>
      <c r="U1468" s="62"/>
      <c r="W1468" s="61"/>
      <c r="X1468" s="62"/>
      <c r="AG1468" s="64"/>
    </row>
    <row r="1469" spans="2:33" ht="16">
      <c r="B1469" s="67" t="str">
        <f t="shared" si="6"/>
        <v/>
      </c>
      <c r="C1469" s="33"/>
      <c r="D1469" s="33"/>
      <c r="E1469" s="33"/>
      <c r="F1469" s="56"/>
      <c r="G1469" s="33"/>
      <c r="H1469" s="33"/>
      <c r="I1469" s="33"/>
      <c r="J1469" s="57"/>
      <c r="K1469" s="33"/>
      <c r="L1469" s="57"/>
      <c r="M1469" s="58"/>
      <c r="N1469" s="56"/>
      <c r="O1469" s="58"/>
      <c r="P1469" s="62"/>
      <c r="Q1469" s="33"/>
      <c r="R1469" s="33"/>
      <c r="S1469" s="61"/>
      <c r="T1469" s="33"/>
      <c r="U1469" s="62"/>
      <c r="W1469" s="61"/>
      <c r="X1469" s="62"/>
      <c r="AG1469" s="64"/>
    </row>
    <row r="1470" spans="2:33" ht="16">
      <c r="B1470" s="67" t="str">
        <f t="shared" si="6"/>
        <v/>
      </c>
      <c r="C1470" s="33"/>
      <c r="D1470" s="33"/>
      <c r="E1470" s="33"/>
      <c r="F1470" s="56"/>
      <c r="G1470" s="33"/>
      <c r="H1470" s="33"/>
      <c r="I1470" s="33"/>
      <c r="J1470" s="57"/>
      <c r="K1470" s="33"/>
      <c r="L1470" s="57"/>
      <c r="M1470" s="58"/>
      <c r="N1470" s="56"/>
      <c r="O1470" s="58"/>
      <c r="P1470" s="62"/>
      <c r="Q1470" s="33"/>
      <c r="R1470" s="33"/>
      <c r="S1470" s="61"/>
      <c r="T1470" s="33"/>
      <c r="U1470" s="62"/>
      <c r="W1470" s="61"/>
      <c r="X1470" s="62"/>
      <c r="AG1470" s="64"/>
    </row>
    <row r="1471" spans="2:33" ht="16">
      <c r="B1471" s="67" t="str">
        <f t="shared" si="6"/>
        <v/>
      </c>
      <c r="C1471" s="33"/>
      <c r="D1471" s="33"/>
      <c r="E1471" s="33"/>
      <c r="F1471" s="56"/>
      <c r="G1471" s="33"/>
      <c r="H1471" s="33"/>
      <c r="I1471" s="33"/>
      <c r="J1471" s="57"/>
      <c r="K1471" s="33"/>
      <c r="L1471" s="57"/>
      <c r="M1471" s="58"/>
      <c r="N1471" s="56"/>
      <c r="O1471" s="58"/>
      <c r="P1471" s="62"/>
      <c r="Q1471" s="33"/>
      <c r="R1471" s="33"/>
      <c r="S1471" s="61"/>
      <c r="T1471" s="33"/>
      <c r="U1471" s="62"/>
      <c r="W1471" s="61"/>
      <c r="X1471" s="62"/>
      <c r="AG1471" s="64"/>
    </row>
    <row r="1472" spans="2:33" ht="16">
      <c r="B1472" s="67" t="str">
        <f t="shared" si="6"/>
        <v/>
      </c>
      <c r="C1472" s="33"/>
      <c r="D1472" s="33"/>
      <c r="E1472" s="33"/>
      <c r="F1472" s="56"/>
      <c r="G1472" s="33"/>
      <c r="H1472" s="33"/>
      <c r="I1472" s="33"/>
      <c r="J1472" s="57"/>
      <c r="K1472" s="33"/>
      <c r="L1472" s="57"/>
      <c r="M1472" s="58"/>
      <c r="N1472" s="56"/>
      <c r="O1472" s="58"/>
      <c r="P1472" s="62"/>
      <c r="Q1472" s="33"/>
      <c r="R1472" s="33"/>
      <c r="S1472" s="61"/>
      <c r="T1472" s="33"/>
      <c r="U1472" s="62"/>
      <c r="W1472" s="61"/>
      <c r="X1472" s="62"/>
      <c r="AG1472" s="64"/>
    </row>
    <row r="1473" spans="2:33" ht="16">
      <c r="B1473" s="67" t="str">
        <f t="shared" si="6"/>
        <v/>
      </c>
      <c r="C1473" s="33"/>
      <c r="D1473" s="33"/>
      <c r="E1473" s="33"/>
      <c r="F1473" s="56"/>
      <c r="G1473" s="33"/>
      <c r="H1473" s="33"/>
      <c r="I1473" s="33"/>
      <c r="J1473" s="57"/>
      <c r="K1473" s="33"/>
      <c r="L1473" s="57"/>
      <c r="M1473" s="58"/>
      <c r="N1473" s="56"/>
      <c r="O1473" s="58"/>
      <c r="P1473" s="62"/>
      <c r="Q1473" s="33"/>
      <c r="R1473" s="33"/>
      <c r="S1473" s="61"/>
      <c r="T1473" s="33"/>
      <c r="U1473" s="62"/>
      <c r="W1473" s="61"/>
      <c r="X1473" s="62"/>
      <c r="AG1473" s="64"/>
    </row>
    <row r="1474" spans="2:33" ht="16">
      <c r="B1474" s="67" t="str">
        <f t="shared" si="6"/>
        <v/>
      </c>
      <c r="C1474" s="33"/>
      <c r="D1474" s="33"/>
      <c r="E1474" s="33"/>
      <c r="F1474" s="56"/>
      <c r="G1474" s="33"/>
      <c r="H1474" s="33"/>
      <c r="I1474" s="33"/>
      <c r="J1474" s="57"/>
      <c r="K1474" s="33"/>
      <c r="L1474" s="57"/>
      <c r="M1474" s="58"/>
      <c r="N1474" s="56"/>
      <c r="O1474" s="58"/>
      <c r="P1474" s="62"/>
      <c r="Q1474" s="33"/>
      <c r="R1474" s="33"/>
      <c r="S1474" s="61"/>
      <c r="T1474" s="33"/>
      <c r="U1474" s="62"/>
      <c r="W1474" s="61"/>
      <c r="X1474" s="62"/>
      <c r="AG1474" s="64"/>
    </row>
    <row r="1475" spans="2:33" ht="16">
      <c r="B1475" s="67" t="str">
        <f t="shared" si="6"/>
        <v/>
      </c>
      <c r="C1475" s="33"/>
      <c r="D1475" s="33"/>
      <c r="E1475" s="33"/>
      <c r="F1475" s="56"/>
      <c r="G1475" s="33"/>
      <c r="H1475" s="33"/>
      <c r="I1475" s="33"/>
      <c r="J1475" s="57"/>
      <c r="K1475" s="33"/>
      <c r="L1475" s="57"/>
      <c r="M1475" s="58"/>
      <c r="N1475" s="56"/>
      <c r="O1475" s="58"/>
      <c r="P1475" s="62"/>
      <c r="Q1475" s="33"/>
      <c r="R1475" s="33"/>
      <c r="S1475" s="61"/>
      <c r="T1475" s="33"/>
      <c r="U1475" s="62"/>
      <c r="W1475" s="61"/>
      <c r="X1475" s="62"/>
      <c r="AG1475" s="64"/>
    </row>
    <row r="1476" spans="2:33" ht="16">
      <c r="B1476" s="67" t="str">
        <f t="shared" si="6"/>
        <v/>
      </c>
      <c r="C1476" s="33"/>
      <c r="D1476" s="33"/>
      <c r="E1476" s="33"/>
      <c r="F1476" s="56"/>
      <c r="G1476" s="33"/>
      <c r="H1476" s="33"/>
      <c r="I1476" s="33"/>
      <c r="J1476" s="57"/>
      <c r="K1476" s="33"/>
      <c r="L1476" s="57"/>
      <c r="M1476" s="58"/>
      <c r="N1476" s="56"/>
      <c r="O1476" s="58"/>
      <c r="P1476" s="62"/>
      <c r="Q1476" s="33"/>
      <c r="R1476" s="33"/>
      <c r="S1476" s="61"/>
      <c r="T1476" s="33"/>
      <c r="U1476" s="62"/>
      <c r="W1476" s="61"/>
      <c r="X1476" s="62"/>
      <c r="AG1476" s="64"/>
    </row>
    <row r="1477" spans="2:33" ht="16">
      <c r="B1477" s="67" t="str">
        <f t="shared" si="6"/>
        <v/>
      </c>
      <c r="C1477" s="33"/>
      <c r="D1477" s="33"/>
      <c r="E1477" s="33"/>
      <c r="F1477" s="56"/>
      <c r="G1477" s="33"/>
      <c r="H1477" s="33"/>
      <c r="I1477" s="33"/>
      <c r="J1477" s="57"/>
      <c r="K1477" s="33"/>
      <c r="L1477" s="57"/>
      <c r="M1477" s="58"/>
      <c r="N1477" s="56"/>
      <c r="O1477" s="58"/>
      <c r="P1477" s="62"/>
      <c r="Q1477" s="33"/>
      <c r="R1477" s="33"/>
      <c r="S1477" s="61"/>
      <c r="T1477" s="33"/>
      <c r="U1477" s="62"/>
      <c r="W1477" s="61"/>
      <c r="X1477" s="62"/>
      <c r="AG1477" s="64"/>
    </row>
    <row r="1478" spans="2:33" ht="16">
      <c r="B1478" s="67" t="str">
        <f t="shared" si="6"/>
        <v/>
      </c>
      <c r="C1478" s="33"/>
      <c r="D1478" s="33"/>
      <c r="E1478" s="33"/>
      <c r="F1478" s="56"/>
      <c r="G1478" s="33"/>
      <c r="H1478" s="33"/>
      <c r="I1478" s="33"/>
      <c r="J1478" s="57"/>
      <c r="K1478" s="33"/>
      <c r="L1478" s="57"/>
      <c r="M1478" s="58"/>
      <c r="N1478" s="56"/>
      <c r="O1478" s="58"/>
      <c r="P1478" s="62"/>
      <c r="Q1478" s="33"/>
      <c r="R1478" s="33"/>
      <c r="S1478" s="61"/>
      <c r="T1478" s="33"/>
      <c r="U1478" s="62"/>
      <c r="W1478" s="61"/>
      <c r="X1478" s="62"/>
      <c r="AG1478" s="64"/>
    </row>
    <row r="1479" spans="2:33" ht="16">
      <c r="B1479" s="67" t="str">
        <f t="shared" si="6"/>
        <v/>
      </c>
      <c r="C1479" s="33"/>
      <c r="D1479" s="33"/>
      <c r="E1479" s="33"/>
      <c r="F1479" s="56"/>
      <c r="G1479" s="33"/>
      <c r="H1479" s="33"/>
      <c r="I1479" s="33"/>
      <c r="J1479" s="57"/>
      <c r="K1479" s="33"/>
      <c r="L1479" s="57"/>
      <c r="M1479" s="58"/>
      <c r="N1479" s="56"/>
      <c r="O1479" s="58"/>
      <c r="P1479" s="62"/>
      <c r="Q1479" s="33"/>
      <c r="R1479" s="33"/>
      <c r="S1479" s="61"/>
      <c r="T1479" s="33"/>
      <c r="U1479" s="62"/>
      <c r="W1479" s="61"/>
      <c r="X1479" s="62"/>
      <c r="AG1479" s="64"/>
    </row>
    <row r="1480" spans="2:33" ht="16">
      <c r="B1480" s="67" t="str">
        <f t="shared" si="6"/>
        <v/>
      </c>
      <c r="C1480" s="33"/>
      <c r="D1480" s="33"/>
      <c r="E1480" s="33"/>
      <c r="F1480" s="56"/>
      <c r="G1480" s="33"/>
      <c r="H1480" s="33"/>
      <c r="I1480" s="33"/>
      <c r="J1480" s="57"/>
      <c r="K1480" s="33"/>
      <c r="L1480" s="57"/>
      <c r="M1480" s="58"/>
      <c r="N1480" s="56"/>
      <c r="O1480" s="58"/>
      <c r="P1480" s="62"/>
      <c r="Q1480" s="33"/>
      <c r="R1480" s="33"/>
      <c r="S1480" s="61"/>
      <c r="T1480" s="33"/>
      <c r="U1480" s="62"/>
      <c r="W1480" s="61"/>
      <c r="X1480" s="62"/>
      <c r="AG1480" s="64"/>
    </row>
    <row r="1481" spans="2:33" ht="16">
      <c r="B1481" s="67" t="str">
        <f t="shared" si="6"/>
        <v/>
      </c>
      <c r="C1481" s="33"/>
      <c r="D1481" s="33"/>
      <c r="E1481" s="33"/>
      <c r="F1481" s="56"/>
      <c r="G1481" s="33"/>
      <c r="H1481" s="33"/>
      <c r="I1481" s="33"/>
      <c r="J1481" s="57"/>
      <c r="K1481" s="33"/>
      <c r="L1481" s="57"/>
      <c r="M1481" s="58"/>
      <c r="N1481" s="56"/>
      <c r="O1481" s="58"/>
      <c r="P1481" s="62"/>
      <c r="Q1481" s="33"/>
      <c r="R1481" s="33"/>
      <c r="S1481" s="61"/>
      <c r="T1481" s="33"/>
      <c r="U1481" s="62"/>
      <c r="W1481" s="61"/>
      <c r="X1481" s="62"/>
      <c r="AG1481" s="64"/>
    </row>
    <row r="1482" spans="2:33" ht="16">
      <c r="B1482" s="67" t="str">
        <f t="shared" si="6"/>
        <v/>
      </c>
      <c r="C1482" s="33"/>
      <c r="D1482" s="33"/>
      <c r="E1482" s="33"/>
      <c r="F1482" s="56"/>
      <c r="G1482" s="33"/>
      <c r="H1482" s="33"/>
      <c r="I1482" s="33"/>
      <c r="J1482" s="57"/>
      <c r="K1482" s="33"/>
      <c r="L1482" s="57"/>
      <c r="M1482" s="58"/>
      <c r="N1482" s="56"/>
      <c r="O1482" s="58"/>
      <c r="P1482" s="62"/>
      <c r="Q1482" s="33"/>
      <c r="R1482" s="33"/>
      <c r="S1482" s="61"/>
      <c r="T1482" s="33"/>
      <c r="U1482" s="62"/>
      <c r="W1482" s="61"/>
      <c r="X1482" s="62"/>
      <c r="AG1482" s="64"/>
    </row>
    <row r="1483" spans="2:33" ht="16">
      <c r="B1483" s="67" t="str">
        <f t="shared" si="6"/>
        <v/>
      </c>
      <c r="C1483" s="33"/>
      <c r="D1483" s="33"/>
      <c r="E1483" s="33"/>
      <c r="F1483" s="56"/>
      <c r="G1483" s="33"/>
      <c r="H1483" s="33"/>
      <c r="I1483" s="33"/>
      <c r="J1483" s="57"/>
      <c r="K1483" s="33"/>
      <c r="L1483" s="57"/>
      <c r="M1483" s="58"/>
      <c r="N1483" s="56"/>
      <c r="O1483" s="58"/>
      <c r="P1483" s="62"/>
      <c r="Q1483" s="33"/>
      <c r="R1483" s="33"/>
      <c r="S1483" s="61"/>
      <c r="T1483" s="33"/>
      <c r="U1483" s="62"/>
      <c r="W1483" s="61"/>
      <c r="X1483" s="62"/>
      <c r="AG1483" s="64"/>
    </row>
    <row r="1484" spans="2:33" ht="16">
      <c r="B1484" s="67" t="str">
        <f t="shared" si="6"/>
        <v/>
      </c>
      <c r="C1484" s="33"/>
      <c r="D1484" s="33"/>
      <c r="E1484" s="33"/>
      <c r="F1484" s="56"/>
      <c r="G1484" s="33"/>
      <c r="H1484" s="33"/>
      <c r="I1484" s="33"/>
      <c r="J1484" s="57"/>
      <c r="K1484" s="33"/>
      <c r="L1484" s="57"/>
      <c r="M1484" s="58"/>
      <c r="N1484" s="56"/>
      <c r="O1484" s="58"/>
      <c r="P1484" s="62"/>
      <c r="Q1484" s="33"/>
      <c r="R1484" s="33"/>
      <c r="S1484" s="61"/>
      <c r="T1484" s="33"/>
      <c r="U1484" s="62"/>
      <c r="W1484" s="61"/>
      <c r="X1484" s="62"/>
      <c r="AG1484" s="64"/>
    </row>
    <row r="1485" spans="2:33" ht="16">
      <c r="B1485" s="67" t="str">
        <f t="shared" si="6"/>
        <v/>
      </c>
      <c r="C1485" s="33"/>
      <c r="D1485" s="33"/>
      <c r="E1485" s="33"/>
      <c r="F1485" s="56"/>
      <c r="G1485" s="33"/>
      <c r="H1485" s="33"/>
      <c r="I1485" s="33"/>
      <c r="J1485" s="57"/>
      <c r="K1485" s="33"/>
      <c r="L1485" s="57"/>
      <c r="M1485" s="64"/>
      <c r="N1485" s="56"/>
      <c r="O1485" s="58"/>
      <c r="P1485" s="62"/>
      <c r="Q1485" s="33"/>
      <c r="R1485" s="33"/>
      <c r="S1485" s="61"/>
      <c r="T1485" s="33"/>
      <c r="U1485" s="62"/>
      <c r="W1485" s="61"/>
      <c r="X1485" s="62"/>
      <c r="AG1485" s="64"/>
    </row>
    <row r="1486" spans="2:33" ht="16">
      <c r="B1486" s="67" t="str">
        <f t="shared" si="6"/>
        <v/>
      </c>
      <c r="C1486" s="33"/>
      <c r="D1486" s="33"/>
      <c r="E1486" s="33"/>
      <c r="F1486" s="56"/>
      <c r="G1486" s="33"/>
      <c r="H1486" s="33"/>
      <c r="I1486" s="33"/>
      <c r="J1486" s="57"/>
      <c r="K1486" s="33"/>
      <c r="L1486" s="57"/>
      <c r="M1486" s="58"/>
      <c r="N1486" s="56"/>
      <c r="O1486" s="58"/>
      <c r="P1486" s="62"/>
      <c r="Q1486" s="33"/>
      <c r="R1486" s="33"/>
      <c r="S1486" s="61"/>
      <c r="T1486" s="33"/>
      <c r="U1486" s="62"/>
      <c r="W1486" s="61"/>
      <c r="X1486" s="62"/>
      <c r="AG1486" s="58"/>
    </row>
    <row r="1487" spans="2:33" ht="16">
      <c r="B1487" s="67" t="str">
        <f t="shared" si="6"/>
        <v/>
      </c>
      <c r="C1487" s="33"/>
      <c r="D1487" s="33"/>
      <c r="E1487" s="33"/>
      <c r="F1487" s="56"/>
      <c r="G1487" s="33"/>
      <c r="H1487" s="33"/>
      <c r="I1487" s="33"/>
      <c r="J1487" s="57"/>
      <c r="K1487" s="33"/>
      <c r="L1487" s="57"/>
      <c r="M1487" s="64"/>
      <c r="N1487" s="56"/>
      <c r="O1487" s="58"/>
      <c r="P1487" s="62"/>
      <c r="Q1487" s="33"/>
      <c r="R1487" s="33"/>
      <c r="S1487" s="61"/>
      <c r="T1487" s="33"/>
      <c r="U1487" s="62"/>
      <c r="W1487" s="61"/>
      <c r="X1487" s="62"/>
      <c r="AG1487" s="64"/>
    </row>
    <row r="1488" spans="2:33" ht="16">
      <c r="B1488" s="67" t="str">
        <f t="shared" si="6"/>
        <v/>
      </c>
      <c r="C1488" s="33"/>
      <c r="D1488" s="33"/>
      <c r="E1488" s="33"/>
      <c r="F1488" s="56"/>
      <c r="G1488" s="33"/>
      <c r="H1488" s="33"/>
      <c r="I1488" s="33"/>
      <c r="J1488" s="57"/>
      <c r="K1488" s="33"/>
      <c r="L1488" s="57"/>
      <c r="M1488" s="58"/>
      <c r="N1488" s="56"/>
      <c r="O1488" s="58"/>
      <c r="P1488" s="62"/>
      <c r="Q1488" s="33"/>
      <c r="R1488" s="33"/>
      <c r="S1488" s="61"/>
      <c r="T1488" s="33"/>
      <c r="U1488" s="62"/>
      <c r="W1488" s="61"/>
      <c r="X1488" s="62"/>
      <c r="AG1488" s="64"/>
    </row>
    <row r="1489" spans="2:33" ht="16">
      <c r="B1489" s="67" t="str">
        <f t="shared" si="6"/>
        <v/>
      </c>
      <c r="C1489" s="33"/>
      <c r="D1489" s="33"/>
      <c r="E1489" s="33"/>
      <c r="F1489" s="56"/>
      <c r="G1489" s="33"/>
      <c r="H1489" s="33"/>
      <c r="I1489" s="33"/>
      <c r="J1489" s="57"/>
      <c r="K1489" s="33"/>
      <c r="L1489" s="57"/>
      <c r="M1489" s="58"/>
      <c r="N1489" s="56"/>
      <c r="O1489" s="58"/>
      <c r="P1489" s="62"/>
      <c r="Q1489" s="33"/>
      <c r="R1489" s="33"/>
      <c r="S1489" s="61"/>
      <c r="T1489" s="33"/>
      <c r="U1489" s="62"/>
      <c r="W1489" s="61"/>
      <c r="X1489" s="62"/>
      <c r="AG1489" s="64"/>
    </row>
    <row r="1490" spans="2:33" ht="16">
      <c r="B1490" s="67" t="str">
        <f t="shared" si="6"/>
        <v/>
      </c>
      <c r="C1490" s="33"/>
      <c r="D1490" s="33"/>
      <c r="E1490" s="33"/>
      <c r="F1490" s="56"/>
      <c r="G1490" s="33"/>
      <c r="H1490" s="33"/>
      <c r="I1490" s="33"/>
      <c r="J1490" s="57"/>
      <c r="K1490" s="33"/>
      <c r="L1490" s="57"/>
      <c r="M1490" s="64"/>
      <c r="N1490" s="56"/>
      <c r="O1490" s="58"/>
      <c r="P1490" s="62"/>
      <c r="Q1490" s="33"/>
      <c r="R1490" s="33"/>
      <c r="S1490" s="61"/>
      <c r="T1490" s="33"/>
      <c r="U1490" s="62"/>
      <c r="W1490" s="61"/>
      <c r="X1490" s="62"/>
      <c r="AG1490" s="64"/>
    </row>
    <row r="1491" spans="2:33" ht="16">
      <c r="B1491" s="67" t="str">
        <f t="shared" si="6"/>
        <v/>
      </c>
      <c r="C1491" s="33"/>
      <c r="D1491" s="33"/>
      <c r="E1491" s="33"/>
      <c r="F1491" s="56"/>
      <c r="G1491" s="33"/>
      <c r="H1491" s="33"/>
      <c r="I1491" s="33"/>
      <c r="J1491" s="57"/>
      <c r="K1491" s="33"/>
      <c r="L1491" s="57"/>
      <c r="M1491" s="58"/>
      <c r="N1491" s="56"/>
      <c r="O1491" s="58"/>
      <c r="P1491" s="62"/>
      <c r="Q1491" s="33"/>
      <c r="R1491" s="33"/>
      <c r="S1491" s="61"/>
      <c r="T1491" s="33"/>
      <c r="U1491" s="62"/>
      <c r="W1491" s="61"/>
      <c r="X1491" s="62"/>
      <c r="AG1491" s="64"/>
    </row>
    <row r="1492" spans="2:33" ht="16">
      <c r="B1492" s="67" t="str">
        <f t="shared" si="6"/>
        <v/>
      </c>
      <c r="C1492" s="33"/>
      <c r="D1492" s="33"/>
      <c r="E1492" s="33"/>
      <c r="F1492" s="56"/>
      <c r="G1492" s="33"/>
      <c r="H1492" s="33"/>
      <c r="I1492" s="33"/>
      <c r="J1492" s="57"/>
      <c r="K1492" s="33"/>
      <c r="L1492" s="57"/>
      <c r="M1492" s="58"/>
      <c r="N1492" s="56"/>
      <c r="O1492" s="58"/>
      <c r="P1492" s="62"/>
      <c r="Q1492" s="33"/>
      <c r="R1492" s="33"/>
      <c r="S1492" s="61"/>
      <c r="T1492" s="33"/>
      <c r="U1492" s="62"/>
      <c r="W1492" s="61"/>
      <c r="X1492" s="62"/>
      <c r="AG1492" s="64"/>
    </row>
    <row r="1493" spans="2:33" ht="16">
      <c r="B1493" s="67" t="str">
        <f t="shared" si="6"/>
        <v/>
      </c>
      <c r="C1493" s="33"/>
      <c r="D1493" s="33"/>
      <c r="E1493" s="33"/>
      <c r="F1493" s="56"/>
      <c r="G1493" s="33"/>
      <c r="H1493" s="33"/>
      <c r="I1493" s="33"/>
      <c r="J1493" s="57"/>
      <c r="K1493" s="33"/>
      <c r="L1493" s="57"/>
      <c r="M1493" s="58"/>
      <c r="N1493" s="56"/>
      <c r="O1493" s="58"/>
      <c r="P1493" s="62"/>
      <c r="Q1493" s="33"/>
      <c r="R1493" s="33"/>
      <c r="S1493" s="61"/>
      <c r="T1493" s="33"/>
      <c r="U1493" s="62"/>
      <c r="W1493" s="61"/>
      <c r="X1493" s="62"/>
      <c r="AG1493" s="64"/>
    </row>
    <row r="1494" spans="2:33" ht="16">
      <c r="B1494" s="67" t="str">
        <f t="shared" si="6"/>
        <v/>
      </c>
      <c r="C1494" s="33"/>
      <c r="D1494" s="33"/>
      <c r="E1494" s="33"/>
      <c r="F1494" s="56"/>
      <c r="G1494" s="33"/>
      <c r="H1494" s="33"/>
      <c r="I1494" s="33"/>
      <c r="J1494" s="57"/>
      <c r="K1494" s="33"/>
      <c r="L1494" s="57"/>
      <c r="M1494" s="58"/>
      <c r="N1494" s="56"/>
      <c r="O1494" s="58"/>
      <c r="P1494" s="62"/>
      <c r="Q1494" s="33"/>
      <c r="R1494" s="33"/>
      <c r="S1494" s="61"/>
      <c r="T1494" s="33"/>
      <c r="U1494" s="62"/>
      <c r="W1494" s="61"/>
      <c r="X1494" s="62"/>
      <c r="AG1494" s="64"/>
    </row>
    <row r="1495" spans="2:33" ht="16">
      <c r="B1495" s="67" t="str">
        <f t="shared" si="6"/>
        <v/>
      </c>
      <c r="C1495" s="33"/>
      <c r="D1495" s="33"/>
      <c r="E1495" s="33"/>
      <c r="F1495" s="56"/>
      <c r="G1495" s="33"/>
      <c r="H1495" s="33"/>
      <c r="I1495" s="33"/>
      <c r="J1495" s="57"/>
      <c r="K1495" s="33"/>
      <c r="L1495" s="57"/>
      <c r="M1495" s="64"/>
      <c r="N1495" s="56"/>
      <c r="O1495" s="58"/>
      <c r="P1495" s="62"/>
      <c r="Q1495" s="33"/>
      <c r="R1495" s="33"/>
      <c r="S1495" s="61"/>
      <c r="T1495" s="33"/>
      <c r="U1495" s="62"/>
      <c r="W1495" s="61"/>
      <c r="X1495" s="62"/>
      <c r="AG1495" s="64"/>
    </row>
    <row r="1496" spans="2:33" ht="16">
      <c r="B1496" s="67" t="str">
        <f t="shared" si="6"/>
        <v/>
      </c>
      <c r="C1496" s="33"/>
      <c r="D1496" s="33"/>
      <c r="E1496" s="33"/>
      <c r="F1496" s="56"/>
      <c r="G1496" s="33"/>
      <c r="H1496" s="33"/>
      <c r="I1496" s="33"/>
      <c r="J1496" s="57"/>
      <c r="K1496" s="33"/>
      <c r="L1496" s="57"/>
      <c r="M1496" s="64"/>
      <c r="N1496" s="56"/>
      <c r="O1496" s="58"/>
      <c r="P1496" s="62"/>
      <c r="Q1496" s="33"/>
      <c r="R1496" s="33"/>
      <c r="S1496" s="61"/>
      <c r="T1496" s="33"/>
      <c r="U1496" s="62"/>
      <c r="W1496" s="61"/>
      <c r="X1496" s="62"/>
      <c r="AG1496" s="64"/>
    </row>
    <row r="1497" spans="2:33" ht="16">
      <c r="B1497" s="67" t="str">
        <f t="shared" si="6"/>
        <v/>
      </c>
      <c r="C1497" s="33"/>
      <c r="D1497" s="33"/>
      <c r="E1497" s="33"/>
      <c r="F1497" s="56"/>
      <c r="G1497" s="33"/>
      <c r="H1497" s="33"/>
      <c r="I1497" s="33"/>
      <c r="J1497" s="57"/>
      <c r="K1497" s="33"/>
      <c r="L1497" s="57"/>
      <c r="M1497" s="58"/>
      <c r="N1497" s="56"/>
      <c r="O1497" s="58"/>
      <c r="P1497" s="62"/>
      <c r="Q1497" s="33"/>
      <c r="R1497" s="33"/>
      <c r="S1497" s="61"/>
      <c r="T1497" s="33"/>
      <c r="U1497" s="62"/>
      <c r="W1497" s="61"/>
      <c r="X1497" s="62"/>
      <c r="AG1497" s="64"/>
    </row>
    <row r="1498" spans="2:33" ht="16">
      <c r="B1498" s="67" t="str">
        <f t="shared" si="6"/>
        <v/>
      </c>
      <c r="C1498" s="33"/>
      <c r="D1498" s="33"/>
      <c r="E1498" s="33"/>
      <c r="F1498" s="56"/>
      <c r="G1498" s="33"/>
      <c r="H1498" s="33"/>
      <c r="I1498" s="33"/>
      <c r="J1498" s="57"/>
      <c r="K1498" s="33"/>
      <c r="L1498" s="57"/>
      <c r="M1498" s="58"/>
      <c r="N1498" s="56"/>
      <c r="O1498" s="58"/>
      <c r="P1498" s="62"/>
      <c r="Q1498" s="33"/>
      <c r="R1498" s="33"/>
      <c r="S1498" s="61"/>
      <c r="T1498" s="33"/>
      <c r="U1498" s="62"/>
      <c r="W1498" s="61"/>
      <c r="X1498" s="62"/>
      <c r="AG1498" s="64"/>
    </row>
    <row r="1499" spans="2:33" ht="16">
      <c r="B1499" s="67" t="str">
        <f t="shared" si="6"/>
        <v/>
      </c>
      <c r="C1499" s="33"/>
      <c r="D1499" s="33"/>
      <c r="E1499" s="33"/>
      <c r="F1499" s="56"/>
      <c r="G1499" s="33"/>
      <c r="H1499" s="33"/>
      <c r="I1499" s="33"/>
      <c r="J1499" s="57"/>
      <c r="K1499" s="33"/>
      <c r="L1499" s="57"/>
      <c r="M1499" s="58"/>
      <c r="N1499" s="56"/>
      <c r="O1499" s="58"/>
      <c r="P1499" s="62"/>
      <c r="Q1499" s="33"/>
      <c r="R1499" s="33"/>
      <c r="S1499" s="61"/>
      <c r="T1499" s="33"/>
      <c r="U1499" s="62"/>
      <c r="W1499" s="61"/>
      <c r="X1499" s="62"/>
      <c r="AG1499" s="64"/>
    </row>
    <row r="1500" spans="2:33" ht="16">
      <c r="B1500" s="67" t="str">
        <f t="shared" si="6"/>
        <v/>
      </c>
      <c r="C1500" s="33"/>
      <c r="D1500" s="33"/>
      <c r="E1500" s="33"/>
      <c r="F1500" s="56"/>
      <c r="G1500" s="33"/>
      <c r="H1500" s="33"/>
      <c r="I1500" s="33"/>
      <c r="J1500" s="57"/>
      <c r="K1500" s="33"/>
      <c r="L1500" s="57"/>
      <c r="M1500" s="58"/>
      <c r="N1500" s="56"/>
      <c r="O1500" s="58"/>
      <c r="P1500" s="62"/>
      <c r="Q1500" s="33"/>
      <c r="R1500" s="33"/>
      <c r="S1500" s="61"/>
      <c r="T1500" s="33"/>
      <c r="U1500" s="62"/>
      <c r="W1500" s="61"/>
      <c r="X1500" s="62"/>
      <c r="AG1500" s="64"/>
    </row>
    <row r="1501" spans="2:33" ht="16">
      <c r="B1501" s="67" t="str">
        <f t="shared" si="6"/>
        <v/>
      </c>
      <c r="C1501" s="33"/>
      <c r="D1501" s="33"/>
      <c r="E1501" s="33"/>
      <c r="F1501" s="56"/>
      <c r="G1501" s="33"/>
      <c r="H1501" s="33"/>
      <c r="I1501" s="33"/>
      <c r="J1501" s="57"/>
      <c r="K1501" s="33"/>
      <c r="L1501" s="57"/>
      <c r="M1501" s="58"/>
      <c r="N1501" s="56"/>
      <c r="O1501" s="58"/>
      <c r="P1501" s="62"/>
      <c r="Q1501" s="33"/>
      <c r="R1501" s="33"/>
      <c r="S1501" s="61"/>
      <c r="T1501" s="33"/>
      <c r="U1501" s="62"/>
      <c r="W1501" s="61"/>
      <c r="X1501" s="62"/>
      <c r="AG1501" s="64"/>
    </row>
    <row r="1502" spans="2:33" ht="16">
      <c r="B1502" s="67" t="str">
        <f t="shared" si="6"/>
        <v/>
      </c>
      <c r="C1502" s="33"/>
      <c r="D1502" s="33"/>
      <c r="E1502" s="33"/>
      <c r="F1502" s="56"/>
      <c r="G1502" s="33"/>
      <c r="H1502" s="33"/>
      <c r="I1502" s="33"/>
      <c r="J1502" s="57"/>
      <c r="K1502" s="33"/>
      <c r="L1502" s="57"/>
      <c r="M1502" s="58"/>
      <c r="N1502" s="56"/>
      <c r="O1502" s="58"/>
      <c r="P1502" s="62"/>
      <c r="Q1502" s="33"/>
      <c r="R1502" s="33"/>
      <c r="S1502" s="61"/>
      <c r="T1502" s="33"/>
      <c r="U1502" s="62"/>
      <c r="W1502" s="61"/>
      <c r="X1502" s="62"/>
      <c r="AG1502" s="64"/>
    </row>
    <row r="1503" spans="2:33" ht="16">
      <c r="B1503" s="67" t="str">
        <f t="shared" si="6"/>
        <v/>
      </c>
      <c r="C1503" s="33"/>
      <c r="D1503" s="33"/>
      <c r="E1503" s="33"/>
      <c r="F1503" s="56"/>
      <c r="G1503" s="33"/>
      <c r="H1503" s="33"/>
      <c r="I1503" s="33"/>
      <c r="J1503" s="57"/>
      <c r="K1503" s="33"/>
      <c r="L1503" s="57"/>
      <c r="M1503" s="58"/>
      <c r="N1503" s="56"/>
      <c r="O1503" s="58"/>
      <c r="P1503" s="62"/>
      <c r="Q1503" s="33"/>
      <c r="R1503" s="33"/>
      <c r="S1503" s="61"/>
      <c r="T1503" s="33"/>
      <c r="U1503" s="62"/>
      <c r="W1503" s="61"/>
      <c r="X1503" s="62"/>
      <c r="AG1503" s="64"/>
    </row>
    <row r="1504" spans="2:33" ht="16">
      <c r="B1504" s="67" t="str">
        <f t="shared" si="6"/>
        <v/>
      </c>
      <c r="C1504" s="33"/>
      <c r="D1504" s="33"/>
      <c r="E1504" s="33"/>
      <c r="F1504" s="56"/>
      <c r="G1504" s="33"/>
      <c r="H1504" s="33"/>
      <c r="I1504" s="33"/>
      <c r="J1504" s="57"/>
      <c r="K1504" s="33"/>
      <c r="L1504" s="57"/>
      <c r="M1504" s="58"/>
      <c r="N1504" s="56"/>
      <c r="O1504" s="58"/>
      <c r="P1504" s="62"/>
      <c r="Q1504" s="33"/>
      <c r="R1504" s="33"/>
      <c r="S1504" s="61"/>
      <c r="T1504" s="33"/>
      <c r="U1504" s="62"/>
      <c r="W1504" s="61"/>
      <c r="X1504" s="62"/>
      <c r="AG1504" s="64"/>
    </row>
    <row r="1505" spans="2:33" ht="16">
      <c r="B1505" s="67" t="str">
        <f t="shared" si="6"/>
        <v/>
      </c>
      <c r="C1505" s="33"/>
      <c r="D1505" s="33"/>
      <c r="E1505" s="33"/>
      <c r="F1505" s="56"/>
      <c r="G1505" s="33"/>
      <c r="H1505" s="33"/>
      <c r="I1505" s="33"/>
      <c r="J1505" s="57"/>
      <c r="K1505" s="33"/>
      <c r="L1505" s="57"/>
      <c r="M1505" s="58"/>
      <c r="N1505" s="56"/>
      <c r="O1505" s="58"/>
      <c r="P1505" s="62"/>
      <c r="Q1505" s="33"/>
      <c r="R1505" s="33"/>
      <c r="S1505" s="61"/>
      <c r="T1505" s="33"/>
      <c r="U1505" s="62"/>
      <c r="W1505" s="61"/>
      <c r="X1505" s="62"/>
      <c r="AG1505" s="58"/>
    </row>
    <row r="1506" spans="2:33" ht="16">
      <c r="B1506" s="67" t="str">
        <f t="shared" si="6"/>
        <v/>
      </c>
      <c r="C1506" s="33"/>
      <c r="D1506" s="33"/>
      <c r="E1506" s="33"/>
      <c r="F1506" s="56"/>
      <c r="G1506" s="33"/>
      <c r="H1506" s="33"/>
      <c r="I1506" s="33"/>
      <c r="J1506" s="57"/>
      <c r="K1506" s="33"/>
      <c r="L1506" s="57"/>
      <c r="M1506" s="58"/>
      <c r="N1506" s="56"/>
      <c r="O1506" s="58"/>
      <c r="P1506" s="62"/>
      <c r="Q1506" s="33"/>
      <c r="R1506" s="33"/>
      <c r="S1506" s="61"/>
      <c r="T1506" s="33"/>
      <c r="U1506" s="62"/>
      <c r="W1506" s="61"/>
      <c r="X1506" s="62"/>
      <c r="AG1506" s="64"/>
    </row>
    <row r="1507" spans="2:33" ht="16">
      <c r="B1507" s="67" t="str">
        <f t="shared" si="6"/>
        <v/>
      </c>
      <c r="C1507" s="33"/>
      <c r="D1507" s="33"/>
      <c r="E1507" s="33"/>
      <c r="F1507" s="56"/>
      <c r="G1507" s="33"/>
      <c r="H1507" s="33"/>
      <c r="I1507" s="33"/>
      <c r="J1507" s="57"/>
      <c r="K1507" s="33"/>
      <c r="L1507" s="57"/>
      <c r="M1507" s="58"/>
      <c r="N1507" s="56"/>
      <c r="O1507" s="58"/>
      <c r="P1507" s="62"/>
      <c r="Q1507" s="33"/>
      <c r="R1507" s="33"/>
      <c r="S1507" s="61"/>
      <c r="T1507" s="33"/>
      <c r="U1507" s="62"/>
      <c r="W1507" s="61"/>
      <c r="X1507" s="62"/>
      <c r="AG1507" s="64"/>
    </row>
    <row r="1508" spans="2:33" ht="16">
      <c r="B1508" s="67" t="str">
        <f t="shared" si="6"/>
        <v/>
      </c>
      <c r="C1508" s="33"/>
      <c r="D1508" s="33"/>
      <c r="E1508" s="33"/>
      <c r="F1508" s="56"/>
      <c r="G1508" s="33"/>
      <c r="H1508" s="33"/>
      <c r="I1508" s="33"/>
      <c r="J1508" s="57"/>
      <c r="K1508" s="33"/>
      <c r="L1508" s="57"/>
      <c r="M1508" s="58"/>
      <c r="N1508" s="56"/>
      <c r="O1508" s="58"/>
      <c r="P1508" s="62"/>
      <c r="Q1508" s="33"/>
      <c r="R1508" s="33"/>
      <c r="S1508" s="61"/>
      <c r="T1508" s="33"/>
      <c r="U1508" s="62"/>
      <c r="W1508" s="61"/>
      <c r="X1508" s="62"/>
      <c r="AG1508" s="64"/>
    </row>
    <row r="1509" spans="2:33" ht="16">
      <c r="B1509" s="67" t="str">
        <f t="shared" si="6"/>
        <v/>
      </c>
      <c r="C1509" s="33"/>
      <c r="D1509" s="33"/>
      <c r="E1509" s="33"/>
      <c r="F1509" s="56"/>
      <c r="G1509" s="33"/>
      <c r="H1509" s="33"/>
      <c r="I1509" s="33"/>
      <c r="J1509" s="57"/>
      <c r="K1509" s="33"/>
      <c r="L1509" s="57"/>
      <c r="M1509" s="58"/>
      <c r="N1509" s="56"/>
      <c r="O1509" s="58"/>
      <c r="P1509" s="62"/>
      <c r="Q1509" s="33"/>
      <c r="R1509" s="33"/>
      <c r="S1509" s="61"/>
      <c r="T1509" s="33"/>
      <c r="U1509" s="62"/>
      <c r="W1509" s="61"/>
      <c r="X1509" s="62"/>
      <c r="AG1509" s="58"/>
    </row>
    <row r="1510" spans="2:33" ht="16">
      <c r="B1510" s="67" t="str">
        <f t="shared" si="6"/>
        <v/>
      </c>
      <c r="C1510" s="33"/>
      <c r="D1510" s="33"/>
      <c r="E1510" s="33"/>
      <c r="F1510" s="56"/>
      <c r="G1510" s="33"/>
      <c r="H1510" s="33"/>
      <c r="I1510" s="33"/>
      <c r="J1510" s="57"/>
      <c r="K1510" s="33"/>
      <c r="L1510" s="57"/>
      <c r="M1510" s="58"/>
      <c r="N1510" s="56"/>
      <c r="O1510" s="58"/>
      <c r="P1510" s="62"/>
      <c r="Q1510" s="33"/>
      <c r="R1510" s="33"/>
      <c r="S1510" s="61"/>
      <c r="T1510" s="33"/>
      <c r="U1510" s="62"/>
      <c r="W1510" s="61"/>
      <c r="X1510" s="62"/>
      <c r="AG1510" s="64"/>
    </row>
    <row r="1511" spans="2:33" ht="16">
      <c r="B1511" s="67" t="str">
        <f t="shared" si="6"/>
        <v/>
      </c>
      <c r="C1511" s="33"/>
      <c r="D1511" s="33"/>
      <c r="E1511" s="33"/>
      <c r="F1511" s="56"/>
      <c r="G1511" s="33"/>
      <c r="H1511" s="33"/>
      <c r="I1511" s="33"/>
      <c r="J1511" s="57"/>
      <c r="K1511" s="33"/>
      <c r="L1511" s="57"/>
      <c r="M1511" s="58"/>
      <c r="N1511" s="56"/>
      <c r="O1511" s="58"/>
      <c r="P1511" s="62"/>
      <c r="Q1511" s="33"/>
      <c r="R1511" s="33"/>
      <c r="S1511" s="61"/>
      <c r="T1511" s="33"/>
      <c r="U1511" s="62"/>
      <c r="W1511" s="61"/>
      <c r="X1511" s="62"/>
      <c r="AG1511" s="58"/>
    </row>
    <row r="1512" spans="2:33" ht="16">
      <c r="B1512" s="67" t="str">
        <f t="shared" si="6"/>
        <v/>
      </c>
      <c r="C1512" s="33"/>
      <c r="D1512" s="33"/>
      <c r="E1512" s="33"/>
      <c r="F1512" s="56"/>
      <c r="G1512" s="33"/>
      <c r="H1512" s="33"/>
      <c r="I1512" s="33"/>
      <c r="J1512" s="57"/>
      <c r="K1512" s="33"/>
      <c r="L1512" s="57"/>
      <c r="M1512" s="64"/>
      <c r="N1512" s="56"/>
      <c r="O1512" s="58"/>
      <c r="P1512" s="62"/>
      <c r="Q1512" s="33"/>
      <c r="R1512" s="33"/>
      <c r="S1512" s="61"/>
      <c r="T1512" s="33"/>
      <c r="U1512" s="62"/>
      <c r="W1512" s="61"/>
      <c r="X1512" s="62"/>
      <c r="AG1512" s="64"/>
    </row>
    <row r="1513" spans="2:33" ht="16">
      <c r="B1513" s="67" t="str">
        <f t="shared" si="6"/>
        <v/>
      </c>
      <c r="C1513" s="33"/>
      <c r="D1513" s="33"/>
      <c r="E1513" s="33"/>
      <c r="F1513" s="56"/>
      <c r="G1513" s="33"/>
      <c r="H1513" s="33"/>
      <c r="I1513" s="33"/>
      <c r="J1513" s="57"/>
      <c r="K1513" s="33"/>
      <c r="L1513" s="57"/>
      <c r="M1513" s="58"/>
      <c r="N1513" s="56"/>
      <c r="O1513" s="58"/>
      <c r="P1513" s="62"/>
      <c r="Q1513" s="33"/>
      <c r="R1513" s="33"/>
      <c r="S1513" s="61"/>
      <c r="T1513" s="33"/>
      <c r="U1513" s="62"/>
      <c r="W1513" s="61"/>
      <c r="X1513" s="62"/>
      <c r="AG1513" s="64"/>
    </row>
    <row r="1514" spans="2:33" ht="16">
      <c r="B1514" s="67" t="str">
        <f t="shared" si="6"/>
        <v/>
      </c>
      <c r="C1514" s="33"/>
      <c r="D1514" s="33"/>
      <c r="E1514" s="33"/>
      <c r="F1514" s="56"/>
      <c r="G1514" s="33"/>
      <c r="H1514" s="33"/>
      <c r="I1514" s="33"/>
      <c r="J1514" s="57"/>
      <c r="K1514" s="33"/>
      <c r="L1514" s="57"/>
      <c r="M1514" s="58"/>
      <c r="N1514" s="56"/>
      <c r="O1514" s="58"/>
      <c r="P1514" s="62"/>
      <c r="Q1514" s="33"/>
      <c r="R1514" s="33"/>
      <c r="S1514" s="61"/>
      <c r="T1514" s="33"/>
      <c r="U1514" s="62"/>
      <c r="W1514" s="61"/>
      <c r="X1514" s="62"/>
      <c r="AG1514" s="64"/>
    </row>
    <row r="1515" spans="2:33" ht="16">
      <c r="B1515" s="67" t="str">
        <f t="shared" si="6"/>
        <v/>
      </c>
      <c r="C1515" s="33"/>
      <c r="D1515" s="33"/>
      <c r="E1515" s="33"/>
      <c r="F1515" s="56"/>
      <c r="G1515" s="33"/>
      <c r="H1515" s="33"/>
      <c r="I1515" s="33"/>
      <c r="J1515" s="57"/>
      <c r="K1515" s="33"/>
      <c r="L1515" s="57"/>
      <c r="M1515" s="58"/>
      <c r="N1515" s="56"/>
      <c r="O1515" s="58"/>
      <c r="P1515" s="62"/>
      <c r="Q1515" s="33"/>
      <c r="R1515" s="33"/>
      <c r="S1515" s="61"/>
      <c r="T1515" s="33"/>
      <c r="U1515" s="62"/>
      <c r="W1515" s="61"/>
      <c r="X1515" s="62"/>
      <c r="AG1515" s="64"/>
    </row>
    <row r="1516" spans="2:33" ht="16">
      <c r="B1516" s="67" t="str">
        <f t="shared" si="6"/>
        <v/>
      </c>
      <c r="C1516" s="33"/>
      <c r="D1516" s="33"/>
      <c r="E1516" s="33"/>
      <c r="F1516" s="56"/>
      <c r="G1516" s="33"/>
      <c r="H1516" s="33"/>
      <c r="I1516" s="33"/>
      <c r="J1516" s="57"/>
      <c r="K1516" s="33"/>
      <c r="L1516" s="57"/>
      <c r="M1516" s="58"/>
      <c r="N1516" s="56"/>
      <c r="O1516" s="58"/>
      <c r="P1516" s="62"/>
      <c r="Q1516" s="33"/>
      <c r="R1516" s="33"/>
      <c r="S1516" s="61"/>
      <c r="T1516" s="33"/>
      <c r="U1516" s="62"/>
      <c r="W1516" s="61"/>
      <c r="X1516" s="62"/>
      <c r="AG1516" s="58"/>
    </row>
    <row r="1517" spans="2:33" ht="16">
      <c r="B1517" s="67" t="str">
        <f t="shared" si="6"/>
        <v/>
      </c>
      <c r="C1517" s="33"/>
      <c r="D1517" s="33"/>
      <c r="E1517" s="33"/>
      <c r="F1517" s="56"/>
      <c r="G1517" s="33"/>
      <c r="H1517" s="33"/>
      <c r="I1517" s="33"/>
      <c r="J1517" s="57"/>
      <c r="K1517" s="33"/>
      <c r="L1517" s="57"/>
      <c r="M1517" s="58"/>
      <c r="N1517" s="56"/>
      <c r="O1517" s="58"/>
      <c r="P1517" s="62"/>
      <c r="Q1517" s="33"/>
      <c r="R1517" s="33"/>
      <c r="S1517" s="61"/>
      <c r="T1517" s="33"/>
      <c r="U1517" s="62"/>
      <c r="W1517" s="61"/>
      <c r="X1517" s="62"/>
      <c r="AG1517" s="64"/>
    </row>
    <row r="1518" spans="2:33" ht="16">
      <c r="B1518" s="67" t="str">
        <f t="shared" si="6"/>
        <v/>
      </c>
      <c r="C1518" s="33"/>
      <c r="D1518" s="33"/>
      <c r="E1518" s="33"/>
      <c r="F1518" s="56"/>
      <c r="G1518" s="33"/>
      <c r="H1518" s="33"/>
      <c r="I1518" s="33"/>
      <c r="J1518" s="57"/>
      <c r="K1518" s="33"/>
      <c r="L1518" s="57"/>
      <c r="M1518" s="64"/>
      <c r="N1518" s="56"/>
      <c r="O1518" s="58"/>
      <c r="P1518" s="62"/>
      <c r="Q1518" s="33"/>
      <c r="R1518" s="33"/>
      <c r="S1518" s="61"/>
      <c r="T1518" s="33"/>
      <c r="U1518" s="62"/>
      <c r="W1518" s="61"/>
      <c r="X1518" s="62"/>
      <c r="AG1518" s="64"/>
    </row>
    <row r="1519" spans="2:33" ht="16">
      <c r="B1519" s="67" t="str">
        <f t="shared" si="6"/>
        <v/>
      </c>
      <c r="C1519" s="33"/>
      <c r="D1519" s="33"/>
      <c r="E1519" s="33"/>
      <c r="F1519" s="56"/>
      <c r="G1519" s="33"/>
      <c r="H1519" s="33"/>
      <c r="I1519" s="33"/>
      <c r="J1519" s="57"/>
      <c r="K1519" s="33"/>
      <c r="L1519" s="57"/>
      <c r="M1519" s="64"/>
      <c r="N1519" s="56"/>
      <c r="O1519" s="58"/>
      <c r="P1519" s="62"/>
      <c r="Q1519" s="33"/>
      <c r="R1519" s="33"/>
      <c r="S1519" s="61"/>
      <c r="T1519" s="33"/>
      <c r="U1519" s="62"/>
      <c r="W1519" s="61"/>
      <c r="X1519" s="62"/>
      <c r="AG1519" s="64"/>
    </row>
    <row r="1520" spans="2:33" ht="16">
      <c r="B1520" s="67" t="str">
        <f t="shared" si="6"/>
        <v/>
      </c>
      <c r="C1520" s="33"/>
      <c r="D1520" s="33"/>
      <c r="E1520" s="33"/>
      <c r="F1520" s="56"/>
      <c r="G1520" s="33"/>
      <c r="H1520" s="33"/>
      <c r="I1520" s="33"/>
      <c r="J1520" s="57"/>
      <c r="K1520" s="33"/>
      <c r="L1520" s="57"/>
      <c r="M1520" s="58"/>
      <c r="N1520" s="56"/>
      <c r="O1520" s="58"/>
      <c r="P1520" s="62"/>
      <c r="Q1520" s="33"/>
      <c r="R1520" s="33"/>
      <c r="S1520" s="61"/>
      <c r="T1520" s="33"/>
      <c r="U1520" s="62"/>
      <c r="W1520" s="61"/>
      <c r="X1520" s="62"/>
      <c r="AG1520" s="64"/>
    </row>
    <row r="1521" spans="2:33" ht="16">
      <c r="B1521" s="67" t="str">
        <f t="shared" si="6"/>
        <v/>
      </c>
      <c r="C1521" s="33"/>
      <c r="D1521" s="33"/>
      <c r="E1521" s="33"/>
      <c r="F1521" s="56"/>
      <c r="G1521" s="33"/>
      <c r="H1521" s="33"/>
      <c r="I1521" s="33"/>
      <c r="J1521" s="57"/>
      <c r="K1521" s="33"/>
      <c r="L1521" s="57"/>
      <c r="M1521" s="58"/>
      <c r="N1521" s="56"/>
      <c r="O1521" s="58"/>
      <c r="P1521" s="62"/>
      <c r="Q1521" s="33"/>
      <c r="R1521" s="33"/>
      <c r="S1521" s="61"/>
      <c r="T1521" s="33"/>
      <c r="U1521" s="62"/>
      <c r="W1521" s="61"/>
      <c r="X1521" s="62"/>
      <c r="AG1521" s="64"/>
    </row>
    <row r="1522" spans="2:33" ht="16">
      <c r="B1522" s="67" t="str">
        <f t="shared" si="6"/>
        <v/>
      </c>
      <c r="C1522" s="33"/>
      <c r="D1522" s="33"/>
      <c r="E1522" s="33"/>
      <c r="F1522" s="56"/>
      <c r="G1522" s="33"/>
      <c r="H1522" s="33"/>
      <c r="I1522" s="33"/>
      <c r="J1522" s="57"/>
      <c r="K1522" s="33"/>
      <c r="L1522" s="57"/>
      <c r="M1522" s="58"/>
      <c r="N1522" s="56"/>
      <c r="O1522" s="58"/>
      <c r="P1522" s="62"/>
      <c r="Q1522" s="33"/>
      <c r="R1522" s="33"/>
      <c r="S1522" s="61"/>
      <c r="T1522" s="33"/>
      <c r="U1522" s="62"/>
      <c r="W1522" s="61"/>
      <c r="X1522" s="62"/>
      <c r="AG1522" s="64"/>
    </row>
    <row r="1523" spans="2:33" ht="16">
      <c r="B1523" s="67" t="str">
        <f t="shared" si="6"/>
        <v/>
      </c>
      <c r="C1523" s="33"/>
      <c r="D1523" s="33"/>
      <c r="E1523" s="33"/>
      <c r="F1523" s="56"/>
      <c r="G1523" s="33"/>
      <c r="H1523" s="33"/>
      <c r="I1523" s="33"/>
      <c r="J1523" s="57"/>
      <c r="K1523" s="33"/>
      <c r="L1523" s="57"/>
      <c r="M1523" s="58"/>
      <c r="N1523" s="56"/>
      <c r="O1523" s="58"/>
      <c r="P1523" s="62"/>
      <c r="Q1523" s="33"/>
      <c r="R1523" s="33"/>
      <c r="S1523" s="61"/>
      <c r="T1523" s="33"/>
      <c r="U1523" s="62"/>
      <c r="W1523" s="61"/>
      <c r="X1523" s="62"/>
      <c r="AG1523" s="64"/>
    </row>
    <row r="1524" spans="2:33" ht="16">
      <c r="B1524" s="67" t="str">
        <f t="shared" si="6"/>
        <v/>
      </c>
      <c r="C1524" s="33"/>
      <c r="D1524" s="33"/>
      <c r="E1524" s="33"/>
      <c r="F1524" s="56"/>
      <c r="G1524" s="33"/>
      <c r="H1524" s="33"/>
      <c r="I1524" s="33"/>
      <c r="J1524" s="57"/>
      <c r="K1524" s="33"/>
      <c r="L1524" s="57"/>
      <c r="M1524" s="64"/>
      <c r="N1524" s="56"/>
      <c r="O1524" s="58"/>
      <c r="P1524" s="62"/>
      <c r="Q1524" s="33"/>
      <c r="R1524" s="33"/>
      <c r="S1524" s="61"/>
      <c r="T1524" s="33"/>
      <c r="U1524" s="62"/>
      <c r="W1524" s="61"/>
      <c r="X1524" s="62"/>
      <c r="AG1524" s="64"/>
    </row>
    <row r="1525" spans="2:33" ht="16">
      <c r="B1525" s="67" t="str">
        <f t="shared" si="6"/>
        <v/>
      </c>
      <c r="C1525" s="33"/>
      <c r="D1525" s="33"/>
      <c r="E1525" s="33"/>
      <c r="F1525" s="56"/>
      <c r="G1525" s="33"/>
      <c r="H1525" s="33"/>
      <c r="I1525" s="33"/>
      <c r="J1525" s="57"/>
      <c r="K1525" s="33"/>
      <c r="L1525" s="57"/>
      <c r="M1525" s="58"/>
      <c r="N1525" s="56"/>
      <c r="O1525" s="58"/>
      <c r="P1525" s="62"/>
      <c r="Q1525" s="33"/>
      <c r="R1525" s="33"/>
      <c r="S1525" s="61"/>
      <c r="T1525" s="33"/>
      <c r="U1525" s="62"/>
      <c r="W1525" s="61"/>
      <c r="X1525" s="62"/>
      <c r="AG1525" s="64"/>
    </row>
    <row r="1526" spans="2:33" ht="16">
      <c r="B1526" s="67" t="str">
        <f t="shared" si="6"/>
        <v/>
      </c>
      <c r="C1526" s="33"/>
      <c r="D1526" s="33"/>
      <c r="E1526" s="33"/>
      <c r="F1526" s="56"/>
      <c r="G1526" s="33"/>
      <c r="H1526" s="33"/>
      <c r="I1526" s="33"/>
      <c r="J1526" s="57"/>
      <c r="K1526" s="33"/>
      <c r="L1526" s="57"/>
      <c r="M1526" s="58"/>
      <c r="N1526" s="56"/>
      <c r="O1526" s="58"/>
      <c r="P1526" s="62"/>
      <c r="Q1526" s="33"/>
      <c r="R1526" s="33"/>
      <c r="S1526" s="61"/>
      <c r="T1526" s="33"/>
      <c r="U1526" s="62"/>
      <c r="W1526" s="61"/>
      <c r="X1526" s="62"/>
      <c r="AG1526" s="64"/>
    </row>
    <row r="1527" spans="2:33" ht="16">
      <c r="B1527" s="67" t="str">
        <f t="shared" si="6"/>
        <v/>
      </c>
      <c r="C1527" s="33"/>
      <c r="D1527" s="33"/>
      <c r="E1527" s="33"/>
      <c r="F1527" s="56"/>
      <c r="G1527" s="33"/>
      <c r="H1527" s="33"/>
      <c r="I1527" s="33"/>
      <c r="J1527" s="57"/>
      <c r="K1527" s="33"/>
      <c r="L1527" s="57"/>
      <c r="M1527" s="58"/>
      <c r="N1527" s="56"/>
      <c r="O1527" s="58"/>
      <c r="P1527" s="62"/>
      <c r="Q1527" s="33"/>
      <c r="R1527" s="33"/>
      <c r="S1527" s="61"/>
      <c r="T1527" s="33"/>
      <c r="U1527" s="62"/>
      <c r="W1527" s="61"/>
      <c r="X1527" s="62"/>
      <c r="AG1527" s="64"/>
    </row>
    <row r="1528" spans="2:33" ht="16">
      <c r="B1528" s="67" t="str">
        <f t="shared" si="6"/>
        <v/>
      </c>
      <c r="C1528" s="33"/>
      <c r="D1528" s="33"/>
      <c r="E1528" s="33"/>
      <c r="F1528" s="56"/>
      <c r="G1528" s="33"/>
      <c r="H1528" s="33"/>
      <c r="I1528" s="33"/>
      <c r="J1528" s="57"/>
      <c r="K1528" s="33"/>
      <c r="L1528" s="57"/>
      <c r="M1528" s="58"/>
      <c r="N1528" s="56"/>
      <c r="O1528" s="58"/>
      <c r="P1528" s="62"/>
      <c r="Q1528" s="33"/>
      <c r="R1528" s="33"/>
      <c r="S1528" s="61"/>
      <c r="T1528" s="33"/>
      <c r="U1528" s="62"/>
      <c r="W1528" s="61"/>
      <c r="X1528" s="62"/>
      <c r="AG1528" s="64"/>
    </row>
    <row r="1529" spans="2:33" ht="16">
      <c r="B1529" s="67" t="str">
        <f t="shared" si="6"/>
        <v/>
      </c>
      <c r="C1529" s="33"/>
      <c r="D1529" s="33"/>
      <c r="E1529" s="33"/>
      <c r="F1529" s="56"/>
      <c r="G1529" s="33"/>
      <c r="H1529" s="33"/>
      <c r="I1529" s="33"/>
      <c r="J1529" s="57"/>
      <c r="K1529" s="33"/>
      <c r="L1529" s="57"/>
      <c r="M1529" s="58"/>
      <c r="N1529" s="56"/>
      <c r="O1529" s="58"/>
      <c r="P1529" s="62"/>
      <c r="Q1529" s="33"/>
      <c r="R1529" s="33"/>
      <c r="S1529" s="61"/>
      <c r="T1529" s="33"/>
      <c r="U1529" s="62"/>
      <c r="W1529" s="61"/>
      <c r="X1529" s="62"/>
      <c r="AG1529" s="58"/>
    </row>
    <row r="1530" spans="2:33" ht="16">
      <c r="B1530" s="67" t="str">
        <f t="shared" si="6"/>
        <v/>
      </c>
      <c r="C1530" s="33"/>
      <c r="D1530" s="33"/>
      <c r="E1530" s="33"/>
      <c r="F1530" s="56"/>
      <c r="G1530" s="33"/>
      <c r="H1530" s="33"/>
      <c r="I1530" s="33"/>
      <c r="J1530" s="57"/>
      <c r="K1530" s="33"/>
      <c r="L1530" s="57"/>
      <c r="M1530" s="58"/>
      <c r="N1530" s="56"/>
      <c r="O1530" s="58"/>
      <c r="P1530" s="62"/>
      <c r="Q1530" s="33"/>
      <c r="R1530" s="33"/>
      <c r="S1530" s="61"/>
      <c r="T1530" s="33"/>
      <c r="U1530" s="62"/>
      <c r="W1530" s="61"/>
      <c r="X1530" s="62"/>
      <c r="AG1530" s="58"/>
    </row>
    <row r="1531" spans="2:33" ht="16">
      <c r="B1531" s="67" t="str">
        <f t="shared" si="6"/>
        <v/>
      </c>
      <c r="C1531" s="33"/>
      <c r="D1531" s="33"/>
      <c r="E1531" s="33"/>
      <c r="F1531" s="56"/>
      <c r="G1531" s="33"/>
      <c r="H1531" s="33"/>
      <c r="I1531" s="33"/>
      <c r="J1531" s="57"/>
      <c r="K1531" s="33"/>
      <c r="L1531" s="57"/>
      <c r="M1531" s="58"/>
      <c r="N1531" s="56"/>
      <c r="O1531" s="58"/>
      <c r="P1531" s="62"/>
      <c r="Q1531" s="33"/>
      <c r="R1531" s="33"/>
      <c r="S1531" s="61"/>
      <c r="T1531" s="33"/>
      <c r="U1531" s="62"/>
      <c r="W1531" s="61"/>
      <c r="X1531" s="62"/>
      <c r="AG1531" s="64"/>
    </row>
    <row r="1532" spans="2:33" ht="16">
      <c r="B1532" s="67" t="str">
        <f t="shared" si="6"/>
        <v/>
      </c>
      <c r="C1532" s="33"/>
      <c r="D1532" s="33"/>
      <c r="E1532" s="33"/>
      <c r="F1532" s="56"/>
      <c r="G1532" s="33"/>
      <c r="H1532" s="33"/>
      <c r="I1532" s="33"/>
      <c r="J1532" s="57"/>
      <c r="K1532" s="33"/>
      <c r="L1532" s="57"/>
      <c r="M1532" s="58"/>
      <c r="N1532" s="56"/>
      <c r="O1532" s="58"/>
      <c r="P1532" s="62"/>
      <c r="Q1532" s="33"/>
      <c r="R1532" s="33"/>
      <c r="S1532" s="61"/>
      <c r="T1532" s="33"/>
      <c r="U1532" s="62"/>
      <c r="W1532" s="61"/>
      <c r="X1532" s="62"/>
      <c r="AG1532" s="58"/>
    </row>
    <row r="1533" spans="2:33" ht="16">
      <c r="B1533" s="67" t="str">
        <f t="shared" si="6"/>
        <v/>
      </c>
      <c r="C1533" s="33"/>
      <c r="D1533" s="33"/>
      <c r="E1533" s="33"/>
      <c r="F1533" s="56"/>
      <c r="G1533" s="33"/>
      <c r="H1533" s="33"/>
      <c r="I1533" s="33"/>
      <c r="J1533" s="57"/>
      <c r="K1533" s="33"/>
      <c r="L1533" s="57"/>
      <c r="M1533" s="58"/>
      <c r="N1533" s="56"/>
      <c r="O1533" s="58"/>
      <c r="P1533" s="62"/>
      <c r="Q1533" s="33"/>
      <c r="R1533" s="33"/>
      <c r="S1533" s="61"/>
      <c r="T1533" s="33"/>
      <c r="U1533" s="62"/>
      <c r="W1533" s="61"/>
      <c r="X1533" s="62"/>
      <c r="AG1533" s="64"/>
    </row>
    <row r="1534" spans="2:33" ht="16">
      <c r="B1534" s="67" t="str">
        <f t="shared" si="6"/>
        <v/>
      </c>
      <c r="C1534" s="33"/>
      <c r="D1534" s="33"/>
      <c r="E1534" s="33"/>
      <c r="F1534" s="56"/>
      <c r="G1534" s="33"/>
      <c r="H1534" s="33"/>
      <c r="I1534" s="33"/>
      <c r="J1534" s="57"/>
      <c r="K1534" s="33"/>
      <c r="L1534" s="57"/>
      <c r="M1534" s="58"/>
      <c r="N1534" s="56"/>
      <c r="O1534" s="58"/>
      <c r="P1534" s="62"/>
      <c r="Q1534" s="33"/>
      <c r="R1534" s="33"/>
      <c r="S1534" s="61"/>
      <c r="T1534" s="33"/>
      <c r="U1534" s="62"/>
      <c r="W1534" s="61"/>
      <c r="X1534" s="62"/>
      <c r="AG1534" s="64"/>
    </row>
    <row r="1535" spans="2:33" ht="16">
      <c r="B1535" s="67" t="str">
        <f t="shared" si="6"/>
        <v/>
      </c>
      <c r="C1535" s="33"/>
      <c r="D1535" s="33"/>
      <c r="E1535" s="33"/>
      <c r="F1535" s="56"/>
      <c r="G1535" s="33"/>
      <c r="H1535" s="33"/>
      <c r="I1535" s="33"/>
      <c r="J1535" s="57"/>
      <c r="K1535" s="33"/>
      <c r="L1535" s="57"/>
      <c r="M1535" s="58"/>
      <c r="N1535" s="56"/>
      <c r="O1535" s="58"/>
      <c r="P1535" s="62"/>
      <c r="Q1535" s="33"/>
      <c r="R1535" s="33"/>
      <c r="S1535" s="61"/>
      <c r="T1535" s="33"/>
      <c r="U1535" s="62"/>
      <c r="W1535" s="61"/>
      <c r="X1535" s="62"/>
      <c r="AG1535" s="58"/>
    </row>
    <row r="1536" spans="2:33" ht="16">
      <c r="B1536" s="67" t="str">
        <f t="shared" si="6"/>
        <v/>
      </c>
      <c r="C1536" s="33"/>
      <c r="D1536" s="33"/>
      <c r="E1536" s="33"/>
      <c r="F1536" s="56"/>
      <c r="G1536" s="33"/>
      <c r="H1536" s="33"/>
      <c r="I1536" s="33"/>
      <c r="J1536" s="57"/>
      <c r="K1536" s="33"/>
      <c r="L1536" s="57"/>
      <c r="M1536" s="64"/>
      <c r="N1536" s="56"/>
      <c r="O1536" s="58"/>
      <c r="P1536" s="62"/>
      <c r="Q1536" s="33"/>
      <c r="R1536" s="33"/>
      <c r="S1536" s="61"/>
      <c r="T1536" s="33"/>
      <c r="U1536" s="62"/>
      <c r="W1536" s="61"/>
      <c r="X1536" s="62"/>
      <c r="AG1536" s="58"/>
    </row>
    <row r="1537" spans="2:33" ht="16">
      <c r="B1537" s="67" t="str">
        <f t="shared" si="6"/>
        <v/>
      </c>
      <c r="C1537" s="33"/>
      <c r="D1537" s="33"/>
      <c r="E1537" s="33"/>
      <c r="F1537" s="56"/>
      <c r="G1537" s="33"/>
      <c r="H1537" s="33"/>
      <c r="I1537" s="33"/>
      <c r="J1537" s="57"/>
      <c r="K1537" s="33"/>
      <c r="L1537" s="57"/>
      <c r="M1537" s="58"/>
      <c r="N1537" s="56"/>
      <c r="O1537" s="58"/>
      <c r="P1537" s="62"/>
      <c r="Q1537" s="33"/>
      <c r="R1537" s="33"/>
      <c r="S1537" s="61"/>
      <c r="T1537" s="33"/>
      <c r="U1537" s="62"/>
      <c r="W1537" s="61"/>
      <c r="X1537" s="62"/>
      <c r="AG1537" s="64"/>
    </row>
    <row r="1538" spans="2:33" ht="16">
      <c r="B1538" s="67" t="str">
        <f t="shared" si="6"/>
        <v/>
      </c>
      <c r="C1538" s="33"/>
      <c r="D1538" s="33"/>
      <c r="E1538" s="33"/>
      <c r="F1538" s="56"/>
      <c r="G1538" s="33"/>
      <c r="H1538" s="33"/>
      <c r="I1538" s="33"/>
      <c r="J1538" s="57"/>
      <c r="K1538" s="33"/>
      <c r="L1538" s="57"/>
      <c r="M1538" s="58"/>
      <c r="N1538" s="56"/>
      <c r="O1538" s="58"/>
      <c r="P1538" s="62"/>
      <c r="Q1538" s="33"/>
      <c r="R1538" s="33"/>
      <c r="S1538" s="61"/>
      <c r="T1538" s="33"/>
      <c r="U1538" s="62"/>
      <c r="W1538" s="61"/>
      <c r="X1538" s="62"/>
      <c r="AG1538" s="64"/>
    </row>
    <row r="1539" spans="2:33" ht="16">
      <c r="B1539" s="67" t="str">
        <f t="shared" si="6"/>
        <v/>
      </c>
      <c r="C1539" s="33"/>
      <c r="D1539" s="33"/>
      <c r="E1539" s="33"/>
      <c r="F1539" s="56"/>
      <c r="G1539" s="33"/>
      <c r="H1539" s="33"/>
      <c r="I1539" s="33"/>
      <c r="J1539" s="57"/>
      <c r="K1539" s="33"/>
      <c r="L1539" s="57"/>
      <c r="M1539" s="58"/>
      <c r="N1539" s="56"/>
      <c r="O1539" s="58"/>
      <c r="P1539" s="62"/>
      <c r="Q1539" s="33"/>
      <c r="R1539" s="33"/>
      <c r="S1539" s="61"/>
      <c r="T1539" s="33"/>
      <c r="U1539" s="62"/>
      <c r="W1539" s="61"/>
      <c r="X1539" s="62"/>
      <c r="AG1539" s="64"/>
    </row>
    <row r="1540" spans="2:33" ht="16">
      <c r="B1540" s="67" t="str">
        <f t="shared" si="6"/>
        <v/>
      </c>
      <c r="C1540" s="33"/>
      <c r="D1540" s="33"/>
      <c r="E1540" s="33"/>
      <c r="F1540" s="56"/>
      <c r="G1540" s="33"/>
      <c r="H1540" s="33"/>
      <c r="I1540" s="33"/>
      <c r="J1540" s="57"/>
      <c r="K1540" s="33"/>
      <c r="L1540" s="57"/>
      <c r="M1540" s="58"/>
      <c r="N1540" s="56"/>
      <c r="O1540" s="58"/>
      <c r="P1540" s="62"/>
      <c r="Q1540" s="33"/>
      <c r="R1540" s="33"/>
      <c r="S1540" s="61"/>
      <c r="T1540" s="33"/>
      <c r="U1540" s="62"/>
      <c r="W1540" s="61"/>
      <c r="X1540" s="62"/>
      <c r="AG1540" s="64"/>
    </row>
    <row r="1541" spans="2:33" ht="16">
      <c r="B1541" s="67" t="str">
        <f t="shared" si="6"/>
        <v/>
      </c>
      <c r="C1541" s="33"/>
      <c r="D1541" s="33"/>
      <c r="E1541" s="33"/>
      <c r="F1541" s="56"/>
      <c r="G1541" s="33"/>
      <c r="H1541" s="33"/>
      <c r="I1541" s="33"/>
      <c r="J1541" s="57"/>
      <c r="K1541" s="33"/>
      <c r="L1541" s="57"/>
      <c r="M1541" s="58"/>
      <c r="N1541" s="56"/>
      <c r="O1541" s="58"/>
      <c r="P1541" s="62"/>
      <c r="Q1541" s="33"/>
      <c r="R1541" s="33"/>
      <c r="S1541" s="61"/>
      <c r="T1541" s="33"/>
      <c r="U1541" s="62"/>
      <c r="W1541" s="61"/>
      <c r="X1541" s="62"/>
      <c r="AG1541" s="64"/>
    </row>
    <row r="1542" spans="2:33" ht="16">
      <c r="B1542" s="67" t="str">
        <f t="shared" si="6"/>
        <v/>
      </c>
      <c r="C1542" s="33"/>
      <c r="D1542" s="33"/>
      <c r="E1542" s="33"/>
      <c r="F1542" s="56"/>
      <c r="G1542" s="33"/>
      <c r="H1542" s="33"/>
      <c r="I1542" s="33"/>
      <c r="J1542" s="57"/>
      <c r="K1542" s="33"/>
      <c r="L1542" s="57"/>
      <c r="M1542" s="58"/>
      <c r="N1542" s="56"/>
      <c r="O1542" s="58"/>
      <c r="P1542" s="62"/>
      <c r="Q1542" s="33"/>
      <c r="R1542" s="33"/>
      <c r="S1542" s="61"/>
      <c r="T1542" s="33"/>
      <c r="U1542" s="62"/>
      <c r="W1542" s="61"/>
      <c r="X1542" s="62"/>
      <c r="AG1542" s="64"/>
    </row>
    <row r="1543" spans="2:33" ht="16">
      <c r="B1543" s="67" t="str">
        <f t="shared" si="6"/>
        <v/>
      </c>
      <c r="C1543" s="33"/>
      <c r="D1543" s="33"/>
      <c r="E1543" s="33"/>
      <c r="F1543" s="56"/>
      <c r="G1543" s="33"/>
      <c r="H1543" s="33"/>
      <c r="I1543" s="33"/>
      <c r="J1543" s="57"/>
      <c r="K1543" s="33"/>
      <c r="L1543" s="57"/>
      <c r="M1543" s="58"/>
      <c r="N1543" s="56"/>
      <c r="O1543" s="58"/>
      <c r="P1543" s="62"/>
      <c r="Q1543" s="33"/>
      <c r="R1543" s="33"/>
      <c r="S1543" s="61"/>
      <c r="T1543" s="33"/>
      <c r="U1543" s="62"/>
      <c r="W1543" s="61"/>
      <c r="X1543" s="62"/>
      <c r="AG1543" s="64"/>
    </row>
    <row r="1544" spans="2:33" ht="16">
      <c r="B1544" s="67" t="str">
        <f t="shared" si="6"/>
        <v/>
      </c>
      <c r="C1544" s="33"/>
      <c r="D1544" s="33"/>
      <c r="E1544" s="33"/>
      <c r="F1544" s="56"/>
      <c r="G1544" s="33"/>
      <c r="H1544" s="33"/>
      <c r="I1544" s="33"/>
      <c r="J1544" s="57"/>
      <c r="K1544" s="33"/>
      <c r="L1544" s="57"/>
      <c r="M1544" s="58"/>
      <c r="N1544" s="56"/>
      <c r="O1544" s="58"/>
      <c r="P1544" s="62"/>
      <c r="Q1544" s="33"/>
      <c r="R1544" s="33"/>
      <c r="S1544" s="61"/>
      <c r="T1544" s="33"/>
      <c r="U1544" s="62"/>
      <c r="W1544" s="61"/>
      <c r="X1544" s="62"/>
      <c r="AG1544" s="58"/>
    </row>
    <row r="1545" spans="2:33" ht="16">
      <c r="B1545" s="67" t="str">
        <f t="shared" si="6"/>
        <v/>
      </c>
      <c r="C1545" s="33"/>
      <c r="D1545" s="33"/>
      <c r="E1545" s="33"/>
      <c r="F1545" s="56"/>
      <c r="G1545" s="33"/>
      <c r="H1545" s="33"/>
      <c r="I1545" s="33"/>
      <c r="J1545" s="57"/>
      <c r="K1545" s="33"/>
      <c r="L1545" s="57"/>
      <c r="M1545" s="58"/>
      <c r="N1545" s="56"/>
      <c r="O1545" s="58"/>
      <c r="P1545" s="62"/>
      <c r="Q1545" s="33"/>
      <c r="R1545" s="33"/>
      <c r="S1545" s="61"/>
      <c r="T1545" s="33"/>
      <c r="U1545" s="62"/>
      <c r="W1545" s="61"/>
      <c r="X1545" s="62"/>
      <c r="AG1545" s="64"/>
    </row>
    <row r="1546" spans="2:33" ht="16">
      <c r="B1546" s="67" t="str">
        <f t="shared" si="6"/>
        <v/>
      </c>
      <c r="C1546" s="33"/>
      <c r="D1546" s="33"/>
      <c r="E1546" s="33"/>
      <c r="F1546" s="56"/>
      <c r="G1546" s="33"/>
      <c r="H1546" s="33"/>
      <c r="I1546" s="33"/>
      <c r="J1546" s="57"/>
      <c r="K1546" s="33"/>
      <c r="L1546" s="57"/>
      <c r="M1546" s="58"/>
      <c r="N1546" s="56"/>
      <c r="O1546" s="58"/>
      <c r="P1546" s="62"/>
      <c r="Q1546" s="33"/>
      <c r="R1546" s="33"/>
      <c r="S1546" s="61"/>
      <c r="T1546" s="33"/>
      <c r="U1546" s="62"/>
      <c r="W1546" s="61"/>
      <c r="X1546" s="62"/>
      <c r="AG1546" s="58"/>
    </row>
    <row r="1547" spans="2:33" ht="16">
      <c r="B1547" s="67" t="str">
        <f t="shared" si="6"/>
        <v/>
      </c>
      <c r="C1547" s="33"/>
      <c r="D1547" s="33"/>
      <c r="E1547" s="33"/>
      <c r="F1547" s="56"/>
      <c r="G1547" s="33"/>
      <c r="H1547" s="33"/>
      <c r="I1547" s="33"/>
      <c r="J1547" s="57"/>
      <c r="K1547" s="33"/>
      <c r="L1547" s="57"/>
      <c r="M1547" s="64"/>
      <c r="N1547" s="56"/>
      <c r="O1547" s="58"/>
      <c r="P1547" s="62"/>
      <c r="Q1547" s="33"/>
      <c r="R1547" s="33"/>
      <c r="S1547" s="61"/>
      <c r="T1547" s="33"/>
      <c r="U1547" s="62"/>
      <c r="W1547" s="61"/>
      <c r="X1547" s="62"/>
      <c r="AG1547" s="64"/>
    </row>
    <row r="1548" spans="2:33" ht="16">
      <c r="B1548" s="67" t="str">
        <f t="shared" si="6"/>
        <v/>
      </c>
      <c r="C1548" s="33"/>
      <c r="D1548" s="33"/>
      <c r="E1548" s="33"/>
      <c r="F1548" s="56"/>
      <c r="G1548" s="33"/>
      <c r="H1548" s="33"/>
      <c r="I1548" s="33"/>
      <c r="J1548" s="57"/>
      <c r="K1548" s="33"/>
      <c r="L1548" s="57"/>
      <c r="M1548" s="58"/>
      <c r="N1548" s="56"/>
      <c r="O1548" s="58"/>
      <c r="P1548" s="62"/>
      <c r="Q1548" s="33"/>
      <c r="R1548" s="33"/>
      <c r="S1548" s="61"/>
      <c r="T1548" s="33"/>
      <c r="U1548" s="62"/>
      <c r="W1548" s="61"/>
      <c r="X1548" s="62"/>
      <c r="AG1548" s="58"/>
    </row>
    <row r="1549" spans="2:33" ht="16">
      <c r="B1549" s="67" t="str">
        <f t="shared" si="6"/>
        <v/>
      </c>
      <c r="C1549" s="33"/>
      <c r="D1549" s="33"/>
      <c r="E1549" s="33"/>
      <c r="F1549" s="56"/>
      <c r="G1549" s="33"/>
      <c r="H1549" s="33"/>
      <c r="I1549" s="33"/>
      <c r="J1549" s="57"/>
      <c r="K1549" s="33"/>
      <c r="L1549" s="57"/>
      <c r="M1549" s="58"/>
      <c r="N1549" s="56"/>
      <c r="O1549" s="58"/>
      <c r="P1549" s="62"/>
      <c r="Q1549" s="33"/>
      <c r="R1549" s="33"/>
      <c r="S1549" s="61"/>
      <c r="T1549" s="33"/>
      <c r="U1549" s="62"/>
      <c r="W1549" s="61"/>
      <c r="X1549" s="62"/>
      <c r="AG1549" s="64"/>
    </row>
    <row r="1550" spans="2:33" ht="16">
      <c r="B1550" s="67" t="str">
        <f t="shared" si="6"/>
        <v/>
      </c>
      <c r="C1550" s="33"/>
      <c r="D1550" s="33"/>
      <c r="E1550" s="33"/>
      <c r="F1550" s="56"/>
      <c r="G1550" s="33"/>
      <c r="H1550" s="33"/>
      <c r="I1550" s="33"/>
      <c r="J1550" s="57"/>
      <c r="K1550" s="33"/>
      <c r="L1550" s="57"/>
      <c r="M1550" s="58"/>
      <c r="N1550" s="56"/>
      <c r="O1550" s="58"/>
      <c r="P1550" s="62"/>
      <c r="Q1550" s="33"/>
      <c r="R1550" s="33"/>
      <c r="S1550" s="61"/>
      <c r="T1550" s="33"/>
      <c r="U1550" s="62"/>
      <c r="W1550" s="61"/>
      <c r="X1550" s="62"/>
      <c r="AG1550" s="58"/>
    </row>
    <row r="1551" spans="2:33" ht="16">
      <c r="B1551" s="67" t="str">
        <f t="shared" si="6"/>
        <v/>
      </c>
      <c r="C1551" s="33"/>
      <c r="D1551" s="33"/>
      <c r="E1551" s="33"/>
      <c r="F1551" s="56"/>
      <c r="G1551" s="33"/>
      <c r="H1551" s="33"/>
      <c r="I1551" s="33"/>
      <c r="J1551" s="57"/>
      <c r="K1551" s="33"/>
      <c r="L1551" s="57"/>
      <c r="M1551" s="58"/>
      <c r="N1551" s="56"/>
      <c r="O1551" s="58"/>
      <c r="P1551" s="62"/>
      <c r="Q1551" s="33"/>
      <c r="R1551" s="33"/>
      <c r="S1551" s="61"/>
      <c r="T1551" s="33"/>
      <c r="U1551" s="62"/>
      <c r="W1551" s="61"/>
      <c r="X1551" s="62"/>
      <c r="AG1551" s="64"/>
    </row>
    <row r="1552" spans="2:33" ht="16">
      <c r="B1552" s="67" t="str">
        <f t="shared" si="6"/>
        <v/>
      </c>
      <c r="C1552" s="33"/>
      <c r="D1552" s="33"/>
      <c r="E1552" s="33"/>
      <c r="F1552" s="56"/>
      <c r="G1552" s="33"/>
      <c r="H1552" s="33"/>
      <c r="I1552" s="33"/>
      <c r="J1552" s="57"/>
      <c r="K1552" s="33"/>
      <c r="L1552" s="57"/>
      <c r="M1552" s="58"/>
      <c r="N1552" s="56"/>
      <c r="O1552" s="58"/>
      <c r="P1552" s="62"/>
      <c r="Q1552" s="33"/>
      <c r="R1552" s="33"/>
      <c r="S1552" s="61"/>
      <c r="T1552" s="33"/>
      <c r="U1552" s="62"/>
      <c r="W1552" s="61"/>
      <c r="X1552" s="62"/>
      <c r="AG1552" s="64"/>
    </row>
    <row r="1553" spans="2:33" ht="16">
      <c r="B1553" s="67" t="str">
        <f t="shared" si="6"/>
        <v/>
      </c>
      <c r="C1553" s="33"/>
      <c r="D1553" s="33"/>
      <c r="E1553" s="33"/>
      <c r="F1553" s="56"/>
      <c r="G1553" s="33"/>
      <c r="H1553" s="33"/>
      <c r="I1553" s="33"/>
      <c r="J1553" s="57"/>
      <c r="K1553" s="33"/>
      <c r="L1553" s="57"/>
      <c r="M1553" s="58"/>
      <c r="N1553" s="56"/>
      <c r="O1553" s="58"/>
      <c r="P1553" s="62"/>
      <c r="Q1553" s="33"/>
      <c r="R1553" s="33"/>
      <c r="S1553" s="61"/>
      <c r="T1553" s="33"/>
      <c r="U1553" s="62"/>
      <c r="W1553" s="61"/>
      <c r="X1553" s="62"/>
      <c r="AG1553" s="64"/>
    </row>
    <row r="1554" spans="2:33" ht="16">
      <c r="B1554" s="67" t="str">
        <f t="shared" si="6"/>
        <v/>
      </c>
      <c r="C1554" s="33"/>
      <c r="D1554" s="33"/>
      <c r="E1554" s="33"/>
      <c r="F1554" s="56"/>
      <c r="G1554" s="33"/>
      <c r="H1554" s="33"/>
      <c r="I1554" s="33"/>
      <c r="J1554" s="57"/>
      <c r="K1554" s="33"/>
      <c r="L1554" s="57"/>
      <c r="M1554" s="58"/>
      <c r="N1554" s="56"/>
      <c r="O1554" s="58"/>
      <c r="P1554" s="62"/>
      <c r="Q1554" s="33"/>
      <c r="R1554" s="33"/>
      <c r="S1554" s="61"/>
      <c r="T1554" s="33"/>
      <c r="U1554" s="62"/>
      <c r="W1554" s="61"/>
      <c r="X1554" s="62"/>
      <c r="AG1554" s="58"/>
    </row>
    <row r="1555" spans="2:33" ht="16">
      <c r="B1555" s="67" t="str">
        <f t="shared" si="6"/>
        <v/>
      </c>
      <c r="C1555" s="33"/>
      <c r="D1555" s="33"/>
      <c r="E1555" s="33"/>
      <c r="F1555" s="56"/>
      <c r="G1555" s="33"/>
      <c r="H1555" s="33"/>
      <c r="I1555" s="33"/>
      <c r="J1555" s="57"/>
      <c r="K1555" s="33"/>
      <c r="L1555" s="57"/>
      <c r="M1555" s="58"/>
      <c r="N1555" s="56"/>
      <c r="O1555" s="58"/>
      <c r="P1555" s="62"/>
      <c r="Q1555" s="33"/>
      <c r="R1555" s="33"/>
      <c r="S1555" s="61"/>
      <c r="T1555" s="33"/>
      <c r="U1555" s="62"/>
      <c r="W1555" s="61"/>
      <c r="X1555" s="62"/>
      <c r="AG1555" s="64"/>
    </row>
    <row r="1556" spans="2:33" ht="16">
      <c r="B1556" s="67" t="str">
        <f t="shared" si="6"/>
        <v/>
      </c>
      <c r="C1556" s="33"/>
      <c r="D1556" s="33"/>
      <c r="E1556" s="33"/>
      <c r="F1556" s="56"/>
      <c r="G1556" s="33"/>
      <c r="H1556" s="33"/>
      <c r="I1556" s="33"/>
      <c r="J1556" s="57"/>
      <c r="K1556" s="33"/>
      <c r="L1556" s="57"/>
      <c r="M1556" s="58"/>
      <c r="N1556" s="56"/>
      <c r="O1556" s="58"/>
      <c r="P1556" s="62"/>
      <c r="Q1556" s="33"/>
      <c r="R1556" s="33"/>
      <c r="S1556" s="61"/>
      <c r="T1556" s="33"/>
      <c r="U1556" s="62"/>
      <c r="W1556" s="61"/>
      <c r="X1556" s="62"/>
      <c r="AG1556" s="64"/>
    </row>
    <row r="1557" spans="2:33" ht="16">
      <c r="B1557" s="67" t="str">
        <f t="shared" ref="B1557:B1811" si="7">IF($H1557="","",LEFT(C1557,3))</f>
        <v/>
      </c>
      <c r="C1557" s="33"/>
      <c r="D1557" s="33"/>
      <c r="E1557" s="33"/>
      <c r="F1557" s="56"/>
      <c r="G1557" s="33"/>
      <c r="H1557" s="33"/>
      <c r="I1557" s="33"/>
      <c r="J1557" s="57"/>
      <c r="K1557" s="33"/>
      <c r="L1557" s="57"/>
      <c r="M1557" s="58"/>
      <c r="N1557" s="56"/>
      <c r="O1557" s="58"/>
      <c r="P1557" s="62"/>
      <c r="Q1557" s="33"/>
      <c r="R1557" s="33"/>
      <c r="S1557" s="61"/>
      <c r="T1557" s="33"/>
      <c r="U1557" s="62"/>
      <c r="W1557" s="61"/>
      <c r="X1557" s="62"/>
      <c r="AG1557" s="64"/>
    </row>
    <row r="1558" spans="2:33" ht="16">
      <c r="B1558" s="67" t="str">
        <f t="shared" si="7"/>
        <v/>
      </c>
      <c r="C1558" s="33"/>
      <c r="D1558" s="33"/>
      <c r="E1558" s="33"/>
      <c r="F1558" s="56"/>
      <c r="G1558" s="33"/>
      <c r="H1558" s="33"/>
      <c r="I1558" s="33"/>
      <c r="J1558" s="57"/>
      <c r="K1558" s="33"/>
      <c r="L1558" s="57"/>
      <c r="M1558" s="58"/>
      <c r="N1558" s="56"/>
      <c r="O1558" s="58"/>
      <c r="P1558" s="62"/>
      <c r="Q1558" s="33"/>
      <c r="R1558" s="33"/>
      <c r="S1558" s="61"/>
      <c r="T1558" s="33"/>
      <c r="U1558" s="62"/>
      <c r="W1558" s="61"/>
      <c r="X1558" s="62"/>
      <c r="AG1558" s="58"/>
    </row>
    <row r="1559" spans="2:33" ht="16">
      <c r="B1559" s="67" t="str">
        <f t="shared" si="7"/>
        <v/>
      </c>
      <c r="C1559" s="33"/>
      <c r="D1559" s="33"/>
      <c r="E1559" s="33"/>
      <c r="F1559" s="56"/>
      <c r="G1559" s="33"/>
      <c r="H1559" s="33"/>
      <c r="I1559" s="33"/>
      <c r="J1559" s="57"/>
      <c r="K1559" s="33"/>
      <c r="L1559" s="57"/>
      <c r="M1559" s="58"/>
      <c r="N1559" s="56"/>
      <c r="O1559" s="58"/>
      <c r="P1559" s="62"/>
      <c r="Q1559" s="33"/>
      <c r="R1559" s="33"/>
      <c r="S1559" s="61"/>
      <c r="T1559" s="33"/>
      <c r="U1559" s="62"/>
      <c r="W1559" s="61"/>
      <c r="X1559" s="62"/>
      <c r="AG1559" s="64"/>
    </row>
    <row r="1560" spans="2:33" ht="16">
      <c r="B1560" s="67" t="str">
        <f t="shared" si="7"/>
        <v/>
      </c>
      <c r="C1560" s="33"/>
      <c r="D1560" s="33"/>
      <c r="E1560" s="33"/>
      <c r="F1560" s="56"/>
      <c r="G1560" s="33"/>
      <c r="H1560" s="33"/>
      <c r="I1560" s="33"/>
      <c r="J1560" s="57"/>
      <c r="K1560" s="33"/>
      <c r="L1560" s="57"/>
      <c r="M1560" s="58"/>
      <c r="N1560" s="56"/>
      <c r="O1560" s="58"/>
      <c r="P1560" s="62"/>
      <c r="Q1560" s="33"/>
      <c r="R1560" s="33"/>
      <c r="S1560" s="61"/>
      <c r="T1560" s="33"/>
      <c r="U1560" s="62"/>
      <c r="W1560" s="61"/>
      <c r="X1560" s="62"/>
      <c r="AG1560" s="64"/>
    </row>
    <row r="1561" spans="2:33" ht="16">
      <c r="B1561" s="67" t="str">
        <f t="shared" si="7"/>
        <v/>
      </c>
      <c r="C1561" s="33"/>
      <c r="D1561" s="33"/>
      <c r="E1561" s="33"/>
      <c r="F1561" s="56"/>
      <c r="G1561" s="33"/>
      <c r="H1561" s="33"/>
      <c r="I1561" s="33"/>
      <c r="J1561" s="57"/>
      <c r="K1561" s="33"/>
      <c r="L1561" s="57"/>
      <c r="M1561" s="58"/>
      <c r="N1561" s="56"/>
      <c r="O1561" s="58"/>
      <c r="P1561" s="62"/>
      <c r="Q1561" s="33"/>
      <c r="R1561" s="33"/>
      <c r="S1561" s="61"/>
      <c r="T1561" s="33"/>
      <c r="U1561" s="62"/>
      <c r="W1561" s="61"/>
      <c r="X1561" s="62"/>
      <c r="AG1561" s="64"/>
    </row>
    <row r="1562" spans="2:33" ht="16">
      <c r="B1562" s="67" t="str">
        <f t="shared" si="7"/>
        <v/>
      </c>
      <c r="C1562" s="33"/>
      <c r="D1562" s="33"/>
      <c r="E1562" s="33"/>
      <c r="F1562" s="56"/>
      <c r="G1562" s="33"/>
      <c r="H1562" s="33"/>
      <c r="I1562" s="33"/>
      <c r="J1562" s="57"/>
      <c r="K1562" s="33"/>
      <c r="L1562" s="57"/>
      <c r="M1562" s="58"/>
      <c r="N1562" s="56"/>
      <c r="O1562" s="58"/>
      <c r="P1562" s="62"/>
      <c r="Q1562" s="33"/>
      <c r="R1562" s="33"/>
      <c r="S1562" s="61"/>
      <c r="T1562" s="33"/>
      <c r="U1562" s="62"/>
      <c r="W1562" s="61"/>
      <c r="X1562" s="62"/>
      <c r="AG1562" s="64"/>
    </row>
    <row r="1563" spans="2:33" ht="16">
      <c r="B1563" s="67" t="str">
        <f t="shared" si="7"/>
        <v/>
      </c>
      <c r="C1563" s="33"/>
      <c r="D1563" s="33"/>
      <c r="E1563" s="33"/>
      <c r="F1563" s="56"/>
      <c r="G1563" s="33"/>
      <c r="H1563" s="33"/>
      <c r="I1563" s="33"/>
      <c r="J1563" s="57"/>
      <c r="K1563" s="33"/>
      <c r="L1563" s="57"/>
      <c r="M1563" s="58"/>
      <c r="N1563" s="56"/>
      <c r="O1563" s="58"/>
      <c r="P1563" s="62"/>
      <c r="Q1563" s="33"/>
      <c r="R1563" s="33"/>
      <c r="S1563" s="61"/>
      <c r="T1563" s="33"/>
      <c r="U1563" s="62"/>
      <c r="W1563" s="61"/>
      <c r="X1563" s="62"/>
      <c r="AG1563" s="58"/>
    </row>
    <row r="1564" spans="2:33" ht="16">
      <c r="B1564" s="67" t="str">
        <f t="shared" si="7"/>
        <v/>
      </c>
      <c r="C1564" s="33"/>
      <c r="D1564" s="33"/>
      <c r="E1564" s="33"/>
      <c r="F1564" s="56"/>
      <c r="G1564" s="33"/>
      <c r="H1564" s="33"/>
      <c r="I1564" s="33"/>
      <c r="J1564" s="57"/>
      <c r="K1564" s="33"/>
      <c r="L1564" s="57"/>
      <c r="M1564" s="58"/>
      <c r="N1564" s="56"/>
      <c r="O1564" s="58"/>
      <c r="P1564" s="62"/>
      <c r="Q1564" s="33"/>
      <c r="R1564" s="33"/>
      <c r="S1564" s="61"/>
      <c r="T1564" s="33"/>
      <c r="U1564" s="62"/>
      <c r="W1564" s="61"/>
      <c r="X1564" s="62"/>
      <c r="AG1564" s="64"/>
    </row>
    <row r="1565" spans="2:33" ht="16">
      <c r="B1565" s="67" t="str">
        <f t="shared" si="7"/>
        <v/>
      </c>
      <c r="C1565" s="33"/>
      <c r="D1565" s="33"/>
      <c r="E1565" s="33"/>
      <c r="F1565" s="56"/>
      <c r="G1565" s="33"/>
      <c r="H1565" s="33"/>
      <c r="I1565" s="33"/>
      <c r="J1565" s="57"/>
      <c r="K1565" s="33"/>
      <c r="L1565" s="57"/>
      <c r="M1565" s="58"/>
      <c r="N1565" s="56"/>
      <c r="O1565" s="58"/>
      <c r="P1565" s="62"/>
      <c r="Q1565" s="33"/>
      <c r="R1565" s="33"/>
      <c r="S1565" s="61"/>
      <c r="T1565" s="33"/>
      <c r="U1565" s="62"/>
      <c r="W1565" s="61"/>
      <c r="X1565" s="62"/>
      <c r="AG1565" s="64"/>
    </row>
    <row r="1566" spans="2:33" ht="16">
      <c r="B1566" s="67" t="str">
        <f t="shared" si="7"/>
        <v/>
      </c>
      <c r="C1566" s="33"/>
      <c r="D1566" s="33"/>
      <c r="E1566" s="33"/>
      <c r="F1566" s="56"/>
      <c r="G1566" s="33"/>
      <c r="H1566" s="33"/>
      <c r="I1566" s="33"/>
      <c r="J1566" s="57"/>
      <c r="K1566" s="33"/>
      <c r="L1566" s="57"/>
      <c r="M1566" s="58"/>
      <c r="N1566" s="56"/>
      <c r="O1566" s="58"/>
      <c r="P1566" s="62"/>
      <c r="Q1566" s="33"/>
      <c r="R1566" s="33"/>
      <c r="S1566" s="61"/>
      <c r="T1566" s="33"/>
      <c r="U1566" s="62"/>
      <c r="W1566" s="61"/>
      <c r="X1566" s="62"/>
      <c r="AG1566" s="64"/>
    </row>
    <row r="1567" spans="2:33" ht="16">
      <c r="B1567" s="67" t="str">
        <f t="shared" si="7"/>
        <v/>
      </c>
      <c r="C1567" s="33"/>
      <c r="D1567" s="33"/>
      <c r="E1567" s="33"/>
      <c r="F1567" s="56"/>
      <c r="G1567" s="33"/>
      <c r="H1567" s="33"/>
      <c r="I1567" s="33"/>
      <c r="J1567" s="57"/>
      <c r="K1567" s="33"/>
      <c r="L1567" s="57"/>
      <c r="M1567" s="58"/>
      <c r="N1567" s="56"/>
      <c r="O1567" s="58"/>
      <c r="P1567" s="62"/>
      <c r="Q1567" s="33"/>
      <c r="R1567" s="33"/>
      <c r="S1567" s="61"/>
      <c r="T1567" s="33"/>
      <c r="U1567" s="62"/>
      <c r="W1567" s="61"/>
      <c r="X1567" s="62"/>
      <c r="AG1567" s="64"/>
    </row>
    <row r="1568" spans="2:33" ht="16">
      <c r="B1568" s="67" t="str">
        <f t="shared" si="7"/>
        <v/>
      </c>
      <c r="C1568" s="33"/>
      <c r="D1568" s="33"/>
      <c r="E1568" s="33"/>
      <c r="F1568" s="56"/>
      <c r="G1568" s="33"/>
      <c r="H1568" s="33"/>
      <c r="I1568" s="33"/>
      <c r="J1568" s="57"/>
      <c r="K1568" s="33"/>
      <c r="L1568" s="57"/>
      <c r="M1568" s="58"/>
      <c r="N1568" s="56"/>
      <c r="O1568" s="58"/>
      <c r="P1568" s="62"/>
      <c r="Q1568" s="33"/>
      <c r="R1568" s="33"/>
      <c r="S1568" s="61"/>
      <c r="T1568" s="33"/>
      <c r="U1568" s="62"/>
      <c r="W1568" s="61"/>
      <c r="X1568" s="62"/>
      <c r="AG1568" s="58"/>
    </row>
    <row r="1569" spans="2:33" ht="16">
      <c r="B1569" s="67" t="str">
        <f t="shared" si="7"/>
        <v/>
      </c>
      <c r="C1569" s="33"/>
      <c r="D1569" s="33"/>
      <c r="E1569" s="33"/>
      <c r="F1569" s="56"/>
      <c r="G1569" s="33"/>
      <c r="H1569" s="33"/>
      <c r="I1569" s="33"/>
      <c r="J1569" s="57"/>
      <c r="K1569" s="33"/>
      <c r="L1569" s="57"/>
      <c r="M1569" s="58"/>
      <c r="N1569" s="56"/>
      <c r="O1569" s="58"/>
      <c r="P1569" s="62"/>
      <c r="Q1569" s="33"/>
      <c r="R1569" s="33"/>
      <c r="S1569" s="61"/>
      <c r="T1569" s="33"/>
      <c r="U1569" s="62"/>
      <c r="W1569" s="61"/>
      <c r="X1569" s="62"/>
      <c r="AG1569" s="64"/>
    </row>
    <row r="1570" spans="2:33" ht="16">
      <c r="B1570" s="67" t="str">
        <f t="shared" si="7"/>
        <v/>
      </c>
      <c r="C1570" s="33"/>
      <c r="D1570" s="33"/>
      <c r="E1570" s="33"/>
      <c r="F1570" s="56"/>
      <c r="G1570" s="33"/>
      <c r="H1570" s="33"/>
      <c r="I1570" s="33"/>
      <c r="J1570" s="57"/>
      <c r="K1570" s="33"/>
      <c r="L1570" s="57"/>
      <c r="M1570" s="58"/>
      <c r="N1570" s="56"/>
      <c r="O1570" s="58"/>
      <c r="P1570" s="62"/>
      <c r="Q1570" s="33"/>
      <c r="R1570" s="33"/>
      <c r="S1570" s="61"/>
      <c r="T1570" s="33"/>
      <c r="U1570" s="62"/>
      <c r="W1570" s="61"/>
      <c r="X1570" s="62"/>
      <c r="AG1570" s="64"/>
    </row>
    <row r="1571" spans="2:33" ht="16">
      <c r="B1571" s="67" t="str">
        <f t="shared" si="7"/>
        <v/>
      </c>
      <c r="C1571" s="33"/>
      <c r="D1571" s="33"/>
      <c r="E1571" s="33"/>
      <c r="F1571" s="56"/>
      <c r="G1571" s="33"/>
      <c r="H1571" s="33"/>
      <c r="I1571" s="33"/>
      <c r="J1571" s="57"/>
      <c r="K1571" s="33"/>
      <c r="L1571" s="57"/>
      <c r="M1571" s="58"/>
      <c r="N1571" s="56"/>
      <c r="O1571" s="58"/>
      <c r="P1571" s="62"/>
      <c r="Q1571" s="33"/>
      <c r="R1571" s="33"/>
      <c r="S1571" s="61"/>
      <c r="T1571" s="33"/>
      <c r="U1571" s="62"/>
      <c r="W1571" s="61"/>
      <c r="X1571" s="62"/>
      <c r="AG1571" s="64"/>
    </row>
    <row r="1572" spans="2:33" ht="16">
      <c r="B1572" s="67" t="str">
        <f t="shared" si="7"/>
        <v/>
      </c>
      <c r="C1572" s="33"/>
      <c r="D1572" s="33"/>
      <c r="E1572" s="33"/>
      <c r="F1572" s="56"/>
      <c r="G1572" s="33"/>
      <c r="H1572" s="33"/>
      <c r="I1572" s="33"/>
      <c r="J1572" s="57"/>
      <c r="K1572" s="33"/>
      <c r="L1572" s="57"/>
      <c r="M1572" s="64"/>
      <c r="N1572" s="56"/>
      <c r="O1572" s="58"/>
      <c r="P1572" s="62"/>
      <c r="Q1572" s="33"/>
      <c r="R1572" s="33"/>
      <c r="S1572" s="61"/>
      <c r="T1572" s="33"/>
      <c r="U1572" s="62"/>
      <c r="W1572" s="61"/>
      <c r="X1572" s="62"/>
      <c r="AG1572" s="64"/>
    </row>
    <row r="1573" spans="2:33" ht="16">
      <c r="B1573" s="67" t="str">
        <f t="shared" si="7"/>
        <v/>
      </c>
      <c r="C1573" s="33"/>
      <c r="D1573" s="33"/>
      <c r="E1573" s="33"/>
      <c r="F1573" s="56"/>
      <c r="G1573" s="33"/>
      <c r="H1573" s="33"/>
      <c r="I1573" s="33"/>
      <c r="J1573" s="57"/>
      <c r="K1573" s="33"/>
      <c r="L1573" s="57"/>
      <c r="M1573" s="58"/>
      <c r="N1573" s="56"/>
      <c r="O1573" s="58"/>
      <c r="P1573" s="62"/>
      <c r="Q1573" s="33"/>
      <c r="R1573" s="33"/>
      <c r="S1573" s="61"/>
      <c r="T1573" s="33"/>
      <c r="U1573" s="62"/>
      <c r="W1573" s="61"/>
      <c r="X1573" s="62"/>
      <c r="AG1573" s="64"/>
    </row>
    <row r="1574" spans="2:33" ht="16">
      <c r="B1574" s="67" t="str">
        <f t="shared" si="7"/>
        <v/>
      </c>
      <c r="C1574" s="33"/>
      <c r="D1574" s="33"/>
      <c r="E1574" s="33"/>
      <c r="F1574" s="56"/>
      <c r="G1574" s="33"/>
      <c r="H1574" s="33"/>
      <c r="I1574" s="33"/>
      <c r="J1574" s="57"/>
      <c r="K1574" s="33"/>
      <c r="L1574" s="57"/>
      <c r="M1574" s="58"/>
      <c r="N1574" s="56"/>
      <c r="O1574" s="58"/>
      <c r="P1574" s="62"/>
      <c r="Q1574" s="33"/>
      <c r="R1574" s="33"/>
      <c r="S1574" s="61"/>
      <c r="T1574" s="33"/>
      <c r="U1574" s="62"/>
      <c r="W1574" s="61"/>
      <c r="X1574" s="62"/>
      <c r="AG1574" s="64"/>
    </row>
    <row r="1575" spans="2:33" ht="16">
      <c r="B1575" s="67" t="str">
        <f t="shared" si="7"/>
        <v/>
      </c>
      <c r="C1575" s="33"/>
      <c r="D1575" s="33"/>
      <c r="E1575" s="33"/>
      <c r="F1575" s="56"/>
      <c r="G1575" s="33"/>
      <c r="H1575" s="33"/>
      <c r="I1575" s="33"/>
      <c r="J1575" s="57"/>
      <c r="K1575" s="33"/>
      <c r="L1575" s="57"/>
      <c r="M1575" s="64"/>
      <c r="N1575" s="56"/>
      <c r="O1575" s="58"/>
      <c r="P1575" s="62"/>
      <c r="Q1575" s="33"/>
      <c r="R1575" s="33"/>
      <c r="S1575" s="61"/>
      <c r="T1575" s="33"/>
      <c r="U1575" s="62"/>
      <c r="W1575" s="61"/>
      <c r="X1575" s="62"/>
      <c r="AG1575" s="64"/>
    </row>
    <row r="1576" spans="2:33" ht="16">
      <c r="B1576" s="67" t="str">
        <f t="shared" si="7"/>
        <v/>
      </c>
      <c r="C1576" s="33"/>
      <c r="D1576" s="33"/>
      <c r="E1576" s="33"/>
      <c r="F1576" s="56"/>
      <c r="G1576" s="33"/>
      <c r="H1576" s="33"/>
      <c r="I1576" s="33"/>
      <c r="J1576" s="57"/>
      <c r="K1576" s="33"/>
      <c r="L1576" s="57"/>
      <c r="M1576" s="58"/>
      <c r="N1576" s="56"/>
      <c r="O1576" s="58"/>
      <c r="P1576" s="62"/>
      <c r="Q1576" s="33"/>
      <c r="R1576" s="33"/>
      <c r="S1576" s="61"/>
      <c r="T1576" s="33"/>
      <c r="U1576" s="62"/>
      <c r="W1576" s="61"/>
      <c r="X1576" s="62"/>
      <c r="AG1576" s="64"/>
    </row>
    <row r="1577" spans="2:33" ht="16">
      <c r="B1577" s="67" t="str">
        <f t="shared" si="7"/>
        <v/>
      </c>
      <c r="C1577" s="33"/>
      <c r="D1577" s="33"/>
      <c r="E1577" s="33"/>
      <c r="F1577" s="56"/>
      <c r="G1577" s="33"/>
      <c r="H1577" s="33"/>
      <c r="I1577" s="33"/>
      <c r="J1577" s="57"/>
      <c r="K1577" s="33"/>
      <c r="L1577" s="57"/>
      <c r="M1577" s="58"/>
      <c r="N1577" s="56"/>
      <c r="O1577" s="58"/>
      <c r="P1577" s="62"/>
      <c r="Q1577" s="33"/>
      <c r="R1577" s="33"/>
      <c r="S1577" s="61"/>
      <c r="T1577" s="33"/>
      <c r="U1577" s="62"/>
      <c r="W1577" s="61"/>
      <c r="X1577" s="62"/>
      <c r="AG1577" s="58"/>
    </row>
    <row r="1578" spans="2:33" ht="16">
      <c r="B1578" s="67" t="str">
        <f t="shared" si="7"/>
        <v/>
      </c>
      <c r="C1578" s="33"/>
      <c r="D1578" s="33"/>
      <c r="E1578" s="33"/>
      <c r="F1578" s="56"/>
      <c r="G1578" s="33"/>
      <c r="H1578" s="33"/>
      <c r="I1578" s="33"/>
      <c r="J1578" s="57"/>
      <c r="K1578" s="33"/>
      <c r="L1578" s="57"/>
      <c r="M1578" s="58"/>
      <c r="N1578" s="56"/>
      <c r="O1578" s="58"/>
      <c r="P1578" s="62"/>
      <c r="Q1578" s="33"/>
      <c r="R1578" s="33"/>
      <c r="S1578" s="61"/>
      <c r="T1578" s="33"/>
      <c r="U1578" s="62"/>
      <c r="W1578" s="61"/>
      <c r="X1578" s="62"/>
      <c r="AG1578" s="64"/>
    </row>
    <row r="1579" spans="2:33" ht="16">
      <c r="B1579" s="67" t="str">
        <f t="shared" si="7"/>
        <v/>
      </c>
      <c r="C1579" s="33"/>
      <c r="D1579" s="33"/>
      <c r="E1579" s="33"/>
      <c r="F1579" s="56"/>
      <c r="G1579" s="33"/>
      <c r="H1579" s="33"/>
      <c r="I1579" s="33"/>
      <c r="J1579" s="57"/>
      <c r="K1579" s="33"/>
      <c r="L1579" s="57"/>
      <c r="M1579" s="58"/>
      <c r="N1579" s="56"/>
      <c r="O1579" s="58"/>
      <c r="P1579" s="62"/>
      <c r="Q1579" s="33"/>
      <c r="R1579" s="33"/>
      <c r="S1579" s="61"/>
      <c r="T1579" s="33"/>
      <c r="U1579" s="62"/>
      <c r="W1579" s="61"/>
      <c r="X1579" s="62"/>
      <c r="AG1579" s="64"/>
    </row>
    <row r="1580" spans="2:33" ht="16">
      <c r="B1580" s="67" t="str">
        <f t="shared" si="7"/>
        <v/>
      </c>
      <c r="C1580" s="33"/>
      <c r="D1580" s="33"/>
      <c r="E1580" s="33"/>
      <c r="F1580" s="56"/>
      <c r="G1580" s="33"/>
      <c r="H1580" s="33"/>
      <c r="I1580" s="33"/>
      <c r="J1580" s="57"/>
      <c r="K1580" s="33"/>
      <c r="L1580" s="57"/>
      <c r="M1580" s="58"/>
      <c r="N1580" s="56"/>
      <c r="O1580" s="58"/>
      <c r="P1580" s="62"/>
      <c r="Q1580" s="33"/>
      <c r="R1580" s="33"/>
      <c r="S1580" s="61"/>
      <c r="T1580" s="33"/>
      <c r="U1580" s="62"/>
      <c r="W1580" s="61"/>
      <c r="X1580" s="62"/>
      <c r="AG1580" s="58"/>
    </row>
    <row r="1581" spans="2:33" ht="16">
      <c r="B1581" s="67" t="str">
        <f t="shared" si="7"/>
        <v/>
      </c>
      <c r="C1581" s="33"/>
      <c r="D1581" s="33"/>
      <c r="E1581" s="33"/>
      <c r="F1581" s="56"/>
      <c r="G1581" s="33"/>
      <c r="H1581" s="33"/>
      <c r="I1581" s="33"/>
      <c r="J1581" s="57"/>
      <c r="K1581" s="33"/>
      <c r="L1581" s="57"/>
      <c r="M1581" s="58"/>
      <c r="N1581" s="56"/>
      <c r="O1581" s="58"/>
      <c r="P1581" s="62"/>
      <c r="Q1581" s="33"/>
      <c r="R1581" s="33"/>
      <c r="S1581" s="61"/>
      <c r="T1581" s="33"/>
      <c r="U1581" s="62"/>
      <c r="W1581" s="61"/>
      <c r="X1581" s="62"/>
      <c r="AG1581" s="64"/>
    </row>
    <row r="1582" spans="2:33" ht="16">
      <c r="B1582" s="67" t="str">
        <f t="shared" si="7"/>
        <v/>
      </c>
      <c r="C1582" s="33"/>
      <c r="D1582" s="33"/>
      <c r="E1582" s="33"/>
      <c r="F1582" s="56"/>
      <c r="G1582" s="33"/>
      <c r="H1582" s="33"/>
      <c r="I1582" s="33"/>
      <c r="J1582" s="57"/>
      <c r="K1582" s="33"/>
      <c r="L1582" s="57"/>
      <c r="M1582" s="58"/>
      <c r="N1582" s="56"/>
      <c r="O1582" s="58"/>
      <c r="P1582" s="62"/>
      <c r="Q1582" s="33"/>
      <c r="R1582" s="33"/>
      <c r="S1582" s="61"/>
      <c r="T1582" s="33"/>
      <c r="U1582" s="62"/>
      <c r="W1582" s="61"/>
      <c r="X1582" s="62"/>
      <c r="AG1582" s="58"/>
    </row>
    <row r="1583" spans="2:33" ht="16">
      <c r="B1583" s="67" t="str">
        <f t="shared" si="7"/>
        <v/>
      </c>
      <c r="C1583" s="33"/>
      <c r="D1583" s="33"/>
      <c r="E1583" s="33"/>
      <c r="F1583" s="56"/>
      <c r="G1583" s="33"/>
      <c r="H1583" s="33"/>
      <c r="I1583" s="33"/>
      <c r="J1583" s="57"/>
      <c r="K1583" s="33"/>
      <c r="L1583" s="57"/>
      <c r="M1583" s="64"/>
      <c r="N1583" s="56"/>
      <c r="O1583" s="58"/>
      <c r="P1583" s="62"/>
      <c r="Q1583" s="33"/>
      <c r="R1583" s="33"/>
      <c r="S1583" s="61"/>
      <c r="T1583" s="33"/>
      <c r="U1583" s="62"/>
      <c r="W1583" s="61"/>
      <c r="X1583" s="62"/>
      <c r="AG1583" s="58"/>
    </row>
    <row r="1584" spans="2:33" ht="16">
      <c r="B1584" s="67" t="str">
        <f t="shared" si="7"/>
        <v/>
      </c>
      <c r="C1584" s="33"/>
      <c r="D1584" s="33"/>
      <c r="E1584" s="33"/>
      <c r="F1584" s="56"/>
      <c r="G1584" s="33"/>
      <c r="H1584" s="33"/>
      <c r="I1584" s="33"/>
      <c r="J1584" s="57"/>
      <c r="K1584" s="33"/>
      <c r="L1584" s="57"/>
      <c r="M1584" s="58"/>
      <c r="N1584" s="56"/>
      <c r="O1584" s="58"/>
      <c r="P1584" s="62"/>
      <c r="Q1584" s="33"/>
      <c r="R1584" s="33"/>
      <c r="S1584" s="61"/>
      <c r="T1584" s="33"/>
      <c r="U1584" s="62"/>
      <c r="W1584" s="61"/>
      <c r="X1584" s="62"/>
      <c r="AG1584" s="64"/>
    </row>
    <row r="1585" spans="2:33" ht="16">
      <c r="B1585" s="67" t="str">
        <f t="shared" si="7"/>
        <v/>
      </c>
      <c r="C1585" s="33"/>
      <c r="D1585" s="33"/>
      <c r="E1585" s="33"/>
      <c r="F1585" s="56"/>
      <c r="G1585" s="33"/>
      <c r="H1585" s="33"/>
      <c r="I1585" s="33"/>
      <c r="J1585" s="57"/>
      <c r="K1585" s="33"/>
      <c r="L1585" s="57"/>
      <c r="M1585" s="58"/>
      <c r="N1585" s="56"/>
      <c r="O1585" s="58"/>
      <c r="P1585" s="62"/>
      <c r="Q1585" s="33"/>
      <c r="R1585" s="33"/>
      <c r="S1585" s="61"/>
      <c r="T1585" s="33"/>
      <c r="U1585" s="62"/>
      <c r="W1585" s="61"/>
      <c r="X1585" s="62"/>
      <c r="AG1585" s="64"/>
    </row>
    <row r="1586" spans="2:33" ht="16">
      <c r="B1586" s="67" t="str">
        <f t="shared" si="7"/>
        <v/>
      </c>
      <c r="C1586" s="33"/>
      <c r="D1586" s="33"/>
      <c r="E1586" s="33"/>
      <c r="F1586" s="56"/>
      <c r="G1586" s="33"/>
      <c r="H1586" s="33"/>
      <c r="I1586" s="33"/>
      <c r="J1586" s="57"/>
      <c r="K1586" s="33"/>
      <c r="L1586" s="57"/>
      <c r="M1586" s="58"/>
      <c r="N1586" s="56"/>
      <c r="O1586" s="58"/>
      <c r="P1586" s="62"/>
      <c r="Q1586" s="33"/>
      <c r="R1586" s="33"/>
      <c r="S1586" s="61"/>
      <c r="T1586" s="33"/>
      <c r="U1586" s="62"/>
      <c r="W1586" s="61"/>
      <c r="X1586" s="62"/>
      <c r="AG1586" s="64"/>
    </row>
    <row r="1587" spans="2:33" ht="16">
      <c r="B1587" s="67" t="str">
        <f t="shared" si="7"/>
        <v/>
      </c>
      <c r="C1587" s="33"/>
      <c r="D1587" s="33"/>
      <c r="E1587" s="33"/>
      <c r="F1587" s="56"/>
      <c r="G1587" s="33"/>
      <c r="H1587" s="33"/>
      <c r="I1587" s="33"/>
      <c r="J1587" s="57"/>
      <c r="K1587" s="33"/>
      <c r="L1587" s="57"/>
      <c r="M1587" s="58"/>
      <c r="N1587" s="56"/>
      <c r="O1587" s="58"/>
      <c r="P1587" s="62"/>
      <c r="Q1587" s="33"/>
      <c r="R1587" s="33"/>
      <c r="S1587" s="61"/>
      <c r="T1587" s="33"/>
      <c r="U1587" s="62"/>
      <c r="W1587" s="61"/>
      <c r="X1587" s="62"/>
      <c r="AG1587" s="64"/>
    </row>
    <row r="1588" spans="2:33" ht="16">
      <c r="B1588" s="67" t="str">
        <f t="shared" si="7"/>
        <v/>
      </c>
      <c r="C1588" s="33"/>
      <c r="D1588" s="33"/>
      <c r="E1588" s="33"/>
      <c r="F1588" s="56"/>
      <c r="G1588" s="33"/>
      <c r="H1588" s="33"/>
      <c r="I1588" s="33"/>
      <c r="J1588" s="57"/>
      <c r="K1588" s="33"/>
      <c r="L1588" s="57"/>
      <c r="M1588" s="64"/>
      <c r="N1588" s="56"/>
      <c r="O1588" s="58"/>
      <c r="P1588" s="62"/>
      <c r="Q1588" s="33"/>
      <c r="R1588" s="33"/>
      <c r="S1588" s="61"/>
      <c r="T1588" s="33"/>
      <c r="U1588" s="62"/>
      <c r="W1588" s="61"/>
      <c r="X1588" s="62"/>
      <c r="AG1588" s="64"/>
    </row>
    <row r="1589" spans="2:33" ht="16">
      <c r="B1589" s="67" t="str">
        <f t="shared" si="7"/>
        <v/>
      </c>
      <c r="C1589" s="33"/>
      <c r="D1589" s="33"/>
      <c r="E1589" s="33"/>
      <c r="F1589" s="56"/>
      <c r="G1589" s="33"/>
      <c r="H1589" s="33"/>
      <c r="I1589" s="33"/>
      <c r="J1589" s="57"/>
      <c r="K1589" s="33"/>
      <c r="L1589" s="57"/>
      <c r="M1589" s="58"/>
      <c r="N1589" s="56"/>
      <c r="O1589" s="58"/>
      <c r="P1589" s="62"/>
      <c r="Q1589" s="33"/>
      <c r="R1589" s="33"/>
      <c r="S1589" s="61"/>
      <c r="T1589" s="33"/>
      <c r="U1589" s="62"/>
      <c r="W1589" s="61"/>
      <c r="X1589" s="62"/>
      <c r="AG1589" s="64"/>
    </row>
    <row r="1590" spans="2:33" ht="16">
      <c r="B1590" s="67" t="str">
        <f t="shared" si="7"/>
        <v/>
      </c>
      <c r="C1590" s="33"/>
      <c r="D1590" s="33"/>
      <c r="E1590" s="33"/>
      <c r="F1590" s="56"/>
      <c r="G1590" s="33"/>
      <c r="H1590" s="33"/>
      <c r="I1590" s="33"/>
      <c r="J1590" s="57"/>
      <c r="K1590" s="33"/>
      <c r="L1590" s="57"/>
      <c r="M1590" s="58"/>
      <c r="N1590" s="56"/>
      <c r="O1590" s="58"/>
      <c r="P1590" s="62"/>
      <c r="Q1590" s="33"/>
      <c r="R1590" s="33"/>
      <c r="S1590" s="61"/>
      <c r="T1590" s="33"/>
      <c r="U1590" s="62"/>
      <c r="W1590" s="61"/>
      <c r="X1590" s="62"/>
      <c r="AG1590" s="64"/>
    </row>
    <row r="1591" spans="2:33" ht="16">
      <c r="B1591" s="67" t="str">
        <f t="shared" si="7"/>
        <v/>
      </c>
      <c r="C1591" s="33"/>
      <c r="D1591" s="33"/>
      <c r="E1591" s="33"/>
      <c r="F1591" s="56"/>
      <c r="G1591" s="33"/>
      <c r="H1591" s="33"/>
      <c r="I1591" s="33"/>
      <c r="J1591" s="57"/>
      <c r="K1591" s="33"/>
      <c r="L1591" s="57"/>
      <c r="M1591" s="64"/>
      <c r="N1591" s="56"/>
      <c r="O1591" s="58"/>
      <c r="P1591" s="62"/>
      <c r="Q1591" s="33"/>
      <c r="R1591" s="33"/>
      <c r="S1591" s="61"/>
      <c r="T1591" s="33"/>
      <c r="U1591" s="62"/>
      <c r="W1591" s="61"/>
      <c r="X1591" s="62"/>
      <c r="AG1591" s="64"/>
    </row>
    <row r="1592" spans="2:33" ht="16">
      <c r="B1592" s="67" t="str">
        <f t="shared" si="7"/>
        <v/>
      </c>
      <c r="C1592" s="33"/>
      <c r="D1592" s="33"/>
      <c r="E1592" s="33"/>
      <c r="F1592" s="56"/>
      <c r="G1592" s="33"/>
      <c r="H1592" s="33"/>
      <c r="I1592" s="33"/>
      <c r="J1592" s="57"/>
      <c r="K1592" s="33"/>
      <c r="L1592" s="57"/>
      <c r="M1592" s="64"/>
      <c r="N1592" s="56"/>
      <c r="O1592" s="58"/>
      <c r="P1592" s="62"/>
      <c r="Q1592" s="33"/>
      <c r="R1592" s="33"/>
      <c r="S1592" s="61"/>
      <c r="T1592" s="33"/>
      <c r="U1592" s="62"/>
      <c r="W1592" s="61"/>
      <c r="X1592" s="62"/>
      <c r="AG1592" s="58"/>
    </row>
    <row r="1593" spans="2:33" ht="16">
      <c r="B1593" s="67" t="str">
        <f t="shared" si="7"/>
        <v/>
      </c>
      <c r="C1593" s="33"/>
      <c r="D1593" s="33"/>
      <c r="E1593" s="33"/>
      <c r="F1593" s="56"/>
      <c r="G1593" s="33"/>
      <c r="H1593" s="33"/>
      <c r="I1593" s="33"/>
      <c r="J1593" s="57"/>
      <c r="K1593" s="33"/>
      <c r="L1593" s="57"/>
      <c r="M1593" s="58"/>
      <c r="N1593" s="56"/>
      <c r="O1593" s="58"/>
      <c r="P1593" s="62"/>
      <c r="Q1593" s="33"/>
      <c r="R1593" s="33"/>
      <c r="S1593" s="61"/>
      <c r="T1593" s="33"/>
      <c r="U1593" s="62"/>
      <c r="W1593" s="61"/>
      <c r="X1593" s="62"/>
      <c r="AG1593" s="64"/>
    </row>
    <row r="1594" spans="2:33" ht="16">
      <c r="B1594" s="67" t="str">
        <f t="shared" si="7"/>
        <v/>
      </c>
      <c r="C1594" s="33"/>
      <c r="D1594" s="33"/>
      <c r="E1594" s="33"/>
      <c r="F1594" s="56"/>
      <c r="G1594" s="33"/>
      <c r="H1594" s="33"/>
      <c r="I1594" s="33"/>
      <c r="J1594" s="57"/>
      <c r="K1594" s="33"/>
      <c r="L1594" s="57"/>
      <c r="M1594" s="58"/>
      <c r="N1594" s="56"/>
      <c r="O1594" s="58"/>
      <c r="P1594" s="62"/>
      <c r="Q1594" s="33"/>
      <c r="R1594" s="33"/>
      <c r="S1594" s="61"/>
      <c r="T1594" s="33"/>
      <c r="U1594" s="62"/>
      <c r="W1594" s="61"/>
      <c r="X1594" s="62"/>
      <c r="AG1594" s="64"/>
    </row>
    <row r="1595" spans="2:33" ht="16">
      <c r="B1595" s="67" t="str">
        <f t="shared" si="7"/>
        <v/>
      </c>
      <c r="C1595" s="33"/>
      <c r="D1595" s="33"/>
      <c r="E1595" s="33"/>
      <c r="F1595" s="56"/>
      <c r="G1595" s="33"/>
      <c r="H1595" s="33"/>
      <c r="I1595" s="33"/>
      <c r="J1595" s="57"/>
      <c r="K1595" s="33"/>
      <c r="L1595" s="57"/>
      <c r="M1595" s="58"/>
      <c r="N1595" s="56"/>
      <c r="O1595" s="58"/>
      <c r="P1595" s="62"/>
      <c r="Q1595" s="33"/>
      <c r="R1595" s="33"/>
      <c r="S1595" s="61"/>
      <c r="T1595" s="33"/>
      <c r="U1595" s="62"/>
      <c r="W1595" s="61"/>
      <c r="X1595" s="62"/>
      <c r="AG1595" s="58"/>
    </row>
    <row r="1596" spans="2:33" ht="16">
      <c r="B1596" s="67" t="str">
        <f t="shared" si="7"/>
        <v/>
      </c>
      <c r="C1596" s="33"/>
      <c r="D1596" s="33"/>
      <c r="E1596" s="33"/>
      <c r="F1596" s="56"/>
      <c r="G1596" s="33"/>
      <c r="H1596" s="33"/>
      <c r="I1596" s="33"/>
      <c r="J1596" s="57"/>
      <c r="K1596" s="33"/>
      <c r="L1596" s="57"/>
      <c r="M1596" s="58"/>
      <c r="N1596" s="56"/>
      <c r="O1596" s="58"/>
      <c r="P1596" s="62"/>
      <c r="Q1596" s="33"/>
      <c r="R1596" s="33"/>
      <c r="S1596" s="61"/>
      <c r="T1596" s="33"/>
      <c r="U1596" s="62"/>
      <c r="W1596" s="61"/>
      <c r="X1596" s="62"/>
      <c r="AG1596" s="64"/>
    </row>
    <row r="1597" spans="2:33" ht="16">
      <c r="B1597" s="67" t="str">
        <f t="shared" si="7"/>
        <v/>
      </c>
      <c r="C1597" s="33"/>
      <c r="D1597" s="33"/>
      <c r="E1597" s="33"/>
      <c r="F1597" s="56"/>
      <c r="G1597" s="33"/>
      <c r="H1597" s="33"/>
      <c r="I1597" s="33"/>
      <c r="J1597" s="57"/>
      <c r="K1597" s="33"/>
      <c r="L1597" s="57"/>
      <c r="M1597" s="64"/>
      <c r="N1597" s="56"/>
      <c r="O1597" s="58"/>
      <c r="P1597" s="62"/>
      <c r="Q1597" s="33"/>
      <c r="R1597" s="33"/>
      <c r="S1597" s="61"/>
      <c r="T1597" s="33"/>
      <c r="U1597" s="62"/>
      <c r="W1597" s="61"/>
      <c r="X1597" s="62"/>
      <c r="AG1597" s="64"/>
    </row>
    <row r="1598" spans="2:33" ht="16">
      <c r="B1598" s="67" t="str">
        <f t="shared" si="7"/>
        <v/>
      </c>
      <c r="C1598" s="33"/>
      <c r="D1598" s="33"/>
      <c r="E1598" s="33"/>
      <c r="F1598" s="56"/>
      <c r="G1598" s="33"/>
      <c r="H1598" s="33"/>
      <c r="I1598" s="33"/>
      <c r="J1598" s="57"/>
      <c r="K1598" s="33"/>
      <c r="L1598" s="57"/>
      <c r="M1598" s="58"/>
      <c r="N1598" s="56"/>
      <c r="O1598" s="58"/>
      <c r="P1598" s="62"/>
      <c r="Q1598" s="33"/>
      <c r="R1598" s="33"/>
      <c r="S1598" s="61"/>
      <c r="T1598" s="33"/>
      <c r="U1598" s="62"/>
      <c r="W1598" s="61"/>
      <c r="X1598" s="62"/>
      <c r="AG1598" s="64"/>
    </row>
    <row r="1599" spans="2:33" ht="16">
      <c r="B1599" s="67" t="str">
        <f t="shared" si="7"/>
        <v/>
      </c>
      <c r="C1599" s="33"/>
      <c r="D1599" s="33"/>
      <c r="E1599" s="33"/>
      <c r="F1599" s="56"/>
      <c r="G1599" s="33"/>
      <c r="H1599" s="33"/>
      <c r="I1599" s="33"/>
      <c r="J1599" s="57"/>
      <c r="K1599" s="33"/>
      <c r="L1599" s="57"/>
      <c r="M1599" s="58"/>
      <c r="N1599" s="56"/>
      <c r="O1599" s="58"/>
      <c r="P1599" s="62"/>
      <c r="Q1599" s="33"/>
      <c r="R1599" s="33"/>
      <c r="S1599" s="61"/>
      <c r="T1599" s="33"/>
      <c r="U1599" s="62"/>
      <c r="W1599" s="61"/>
      <c r="X1599" s="62"/>
      <c r="AG1599" s="64"/>
    </row>
    <row r="1600" spans="2:33" ht="16">
      <c r="B1600" s="67" t="str">
        <f t="shared" si="7"/>
        <v/>
      </c>
      <c r="C1600" s="33"/>
      <c r="D1600" s="33"/>
      <c r="E1600" s="33"/>
      <c r="F1600" s="56"/>
      <c r="G1600" s="33"/>
      <c r="H1600" s="33"/>
      <c r="I1600" s="33"/>
      <c r="J1600" s="57"/>
      <c r="K1600" s="33"/>
      <c r="L1600" s="57"/>
      <c r="M1600" s="58"/>
      <c r="N1600" s="56"/>
      <c r="O1600" s="58"/>
      <c r="P1600" s="62"/>
      <c r="Q1600" s="33"/>
      <c r="R1600" s="33"/>
      <c r="S1600" s="61"/>
      <c r="T1600" s="33"/>
      <c r="U1600" s="62"/>
      <c r="W1600" s="61"/>
      <c r="X1600" s="62"/>
      <c r="AG1600" s="64"/>
    </row>
    <row r="1601" spans="2:33" ht="16">
      <c r="B1601" s="67" t="str">
        <f t="shared" si="7"/>
        <v/>
      </c>
      <c r="C1601" s="33"/>
      <c r="D1601" s="33"/>
      <c r="E1601" s="33"/>
      <c r="F1601" s="56"/>
      <c r="G1601" s="33"/>
      <c r="H1601" s="33"/>
      <c r="I1601" s="33"/>
      <c r="J1601" s="57"/>
      <c r="K1601" s="33"/>
      <c r="L1601" s="57"/>
      <c r="M1601" s="58"/>
      <c r="N1601" s="56"/>
      <c r="O1601" s="58"/>
      <c r="P1601" s="62"/>
      <c r="Q1601" s="33"/>
      <c r="R1601" s="33"/>
      <c r="S1601" s="61"/>
      <c r="T1601" s="33"/>
      <c r="U1601" s="62"/>
      <c r="W1601" s="61"/>
      <c r="X1601" s="62"/>
      <c r="AG1601" s="64"/>
    </row>
    <row r="1602" spans="2:33" ht="16">
      <c r="B1602" s="67" t="str">
        <f t="shared" si="7"/>
        <v/>
      </c>
      <c r="C1602" s="33"/>
      <c r="D1602" s="33"/>
      <c r="E1602" s="33"/>
      <c r="F1602" s="56"/>
      <c r="G1602" s="33"/>
      <c r="H1602" s="33"/>
      <c r="I1602" s="33"/>
      <c r="J1602" s="57"/>
      <c r="K1602" s="33"/>
      <c r="L1602" s="57"/>
      <c r="M1602" s="58"/>
      <c r="N1602" s="56"/>
      <c r="O1602" s="58"/>
      <c r="P1602" s="62"/>
      <c r="Q1602" s="33"/>
      <c r="R1602" s="33"/>
      <c r="S1602" s="61"/>
      <c r="T1602" s="33"/>
      <c r="U1602" s="62"/>
      <c r="W1602" s="61"/>
      <c r="X1602" s="62"/>
      <c r="AG1602" s="64"/>
    </row>
    <row r="1603" spans="2:33" ht="16">
      <c r="B1603" s="67" t="str">
        <f t="shared" si="7"/>
        <v/>
      </c>
      <c r="C1603" s="33"/>
      <c r="D1603" s="33"/>
      <c r="E1603" s="33"/>
      <c r="F1603" s="56"/>
      <c r="G1603" s="33"/>
      <c r="H1603" s="33"/>
      <c r="I1603" s="33"/>
      <c r="J1603" s="57"/>
      <c r="K1603" s="33"/>
      <c r="L1603" s="57"/>
      <c r="M1603" s="58"/>
      <c r="N1603" s="56"/>
      <c r="O1603" s="58"/>
      <c r="P1603" s="62"/>
      <c r="Q1603" s="33"/>
      <c r="R1603" s="33"/>
      <c r="S1603" s="61"/>
      <c r="T1603" s="33"/>
      <c r="U1603" s="62"/>
      <c r="W1603" s="61"/>
      <c r="X1603" s="62"/>
      <c r="AG1603" s="64"/>
    </row>
    <row r="1604" spans="2:33" ht="16">
      <c r="B1604" s="67" t="str">
        <f t="shared" si="7"/>
        <v/>
      </c>
      <c r="C1604" s="33"/>
      <c r="D1604" s="33"/>
      <c r="E1604" s="33"/>
      <c r="F1604" s="56"/>
      <c r="G1604" s="33"/>
      <c r="H1604" s="33"/>
      <c r="I1604" s="33"/>
      <c r="J1604" s="57"/>
      <c r="K1604" s="33"/>
      <c r="L1604" s="57"/>
      <c r="M1604" s="58"/>
      <c r="N1604" s="56"/>
      <c r="O1604" s="58"/>
      <c r="P1604" s="62"/>
      <c r="Q1604" s="33"/>
      <c r="R1604" s="33"/>
      <c r="S1604" s="61"/>
      <c r="T1604" s="33"/>
      <c r="U1604" s="62"/>
      <c r="W1604" s="61"/>
      <c r="X1604" s="62"/>
      <c r="AG1604" s="64"/>
    </row>
    <row r="1605" spans="2:33" ht="16">
      <c r="B1605" s="67" t="str">
        <f t="shared" si="7"/>
        <v/>
      </c>
      <c r="C1605" s="33"/>
      <c r="D1605" s="33"/>
      <c r="E1605" s="33"/>
      <c r="F1605" s="56"/>
      <c r="G1605" s="33"/>
      <c r="H1605" s="33"/>
      <c r="I1605" s="33"/>
      <c r="J1605" s="57"/>
      <c r="K1605" s="33"/>
      <c r="L1605" s="57"/>
      <c r="M1605" s="58"/>
      <c r="N1605" s="56"/>
      <c r="O1605" s="58"/>
      <c r="P1605" s="62"/>
      <c r="Q1605" s="33"/>
      <c r="R1605" s="33"/>
      <c r="S1605" s="61"/>
      <c r="T1605" s="33"/>
      <c r="U1605" s="62"/>
      <c r="W1605" s="61"/>
      <c r="X1605" s="62"/>
      <c r="AG1605" s="64"/>
    </row>
    <row r="1606" spans="2:33" ht="16">
      <c r="B1606" s="67" t="str">
        <f t="shared" si="7"/>
        <v/>
      </c>
      <c r="C1606" s="33"/>
      <c r="D1606" s="33"/>
      <c r="E1606" s="33"/>
      <c r="F1606" s="56"/>
      <c r="G1606" s="33"/>
      <c r="H1606" s="33"/>
      <c r="I1606" s="33"/>
      <c r="J1606" s="57"/>
      <c r="K1606" s="33"/>
      <c r="L1606" s="57"/>
      <c r="M1606" s="64"/>
      <c r="N1606" s="56"/>
      <c r="O1606" s="58"/>
      <c r="P1606" s="62"/>
      <c r="Q1606" s="33"/>
      <c r="R1606" s="33"/>
      <c r="S1606" s="61"/>
      <c r="T1606" s="33"/>
      <c r="U1606" s="62"/>
      <c r="W1606" s="61"/>
      <c r="X1606" s="62"/>
      <c r="AG1606" s="64"/>
    </row>
    <row r="1607" spans="2:33" ht="16">
      <c r="B1607" s="67" t="str">
        <f t="shared" si="7"/>
        <v/>
      </c>
      <c r="C1607" s="33"/>
      <c r="D1607" s="33"/>
      <c r="E1607" s="33"/>
      <c r="F1607" s="56"/>
      <c r="G1607" s="33"/>
      <c r="H1607" s="33"/>
      <c r="I1607" s="33"/>
      <c r="J1607" s="57"/>
      <c r="K1607" s="33"/>
      <c r="L1607" s="57"/>
      <c r="M1607" s="58"/>
      <c r="N1607" s="56"/>
      <c r="O1607" s="58"/>
      <c r="P1607" s="62"/>
      <c r="Q1607" s="33"/>
      <c r="R1607" s="33"/>
      <c r="S1607" s="61"/>
      <c r="T1607" s="33"/>
      <c r="U1607" s="62"/>
      <c r="W1607" s="61"/>
      <c r="X1607" s="62"/>
      <c r="AG1607" s="64"/>
    </row>
    <row r="1608" spans="2:33" ht="16">
      <c r="B1608" s="67" t="str">
        <f t="shared" si="7"/>
        <v/>
      </c>
      <c r="C1608" s="33"/>
      <c r="D1608" s="33"/>
      <c r="E1608" s="33"/>
      <c r="F1608" s="56"/>
      <c r="G1608" s="33"/>
      <c r="H1608" s="33"/>
      <c r="I1608" s="33"/>
      <c r="J1608" s="57"/>
      <c r="K1608" s="33"/>
      <c r="L1608" s="57"/>
      <c r="M1608" s="58"/>
      <c r="N1608" s="56"/>
      <c r="O1608" s="58"/>
      <c r="P1608" s="62"/>
      <c r="Q1608" s="33"/>
      <c r="R1608" s="33"/>
      <c r="S1608" s="61"/>
      <c r="T1608" s="33"/>
      <c r="U1608" s="62"/>
      <c r="W1608" s="61"/>
      <c r="X1608" s="62"/>
      <c r="AG1608" s="64"/>
    </row>
    <row r="1609" spans="2:33" ht="16">
      <c r="B1609" s="67" t="str">
        <f t="shared" si="7"/>
        <v/>
      </c>
      <c r="C1609" s="33"/>
      <c r="D1609" s="33"/>
      <c r="E1609" s="33"/>
      <c r="F1609" s="56"/>
      <c r="G1609" s="33"/>
      <c r="H1609" s="33"/>
      <c r="I1609" s="33"/>
      <c r="J1609" s="57"/>
      <c r="K1609" s="33"/>
      <c r="L1609" s="57"/>
      <c r="M1609" s="58"/>
      <c r="N1609" s="56"/>
      <c r="O1609" s="58"/>
      <c r="P1609" s="62"/>
      <c r="Q1609" s="33"/>
      <c r="R1609" s="33"/>
      <c r="S1609" s="61"/>
      <c r="T1609" s="33"/>
      <c r="U1609" s="62"/>
      <c r="W1609" s="61"/>
      <c r="X1609" s="62"/>
      <c r="AG1609" s="64"/>
    </row>
    <row r="1610" spans="2:33" ht="16">
      <c r="B1610" s="67" t="str">
        <f t="shared" si="7"/>
        <v/>
      </c>
      <c r="C1610" s="33"/>
      <c r="D1610" s="33"/>
      <c r="E1610" s="33"/>
      <c r="F1610" s="56"/>
      <c r="G1610" s="33"/>
      <c r="H1610" s="33"/>
      <c r="I1610" s="33"/>
      <c r="J1610" s="57"/>
      <c r="K1610" s="33"/>
      <c r="L1610" s="57"/>
      <c r="M1610" s="58"/>
      <c r="N1610" s="56"/>
      <c r="O1610" s="58"/>
      <c r="P1610" s="62"/>
      <c r="Q1610" s="33"/>
      <c r="R1610" s="33"/>
      <c r="S1610" s="61"/>
      <c r="T1610" s="33"/>
      <c r="U1610" s="62"/>
      <c r="W1610" s="61"/>
      <c r="X1610" s="62"/>
      <c r="AG1610" s="64"/>
    </row>
    <row r="1611" spans="2:33" ht="16">
      <c r="B1611" s="67" t="str">
        <f t="shared" si="7"/>
        <v/>
      </c>
      <c r="C1611" s="33"/>
      <c r="D1611" s="33"/>
      <c r="E1611" s="33"/>
      <c r="F1611" s="56"/>
      <c r="G1611" s="33"/>
      <c r="H1611" s="33"/>
      <c r="I1611" s="33"/>
      <c r="J1611" s="57"/>
      <c r="K1611" s="33"/>
      <c r="L1611" s="57"/>
      <c r="M1611" s="58"/>
      <c r="N1611" s="56"/>
      <c r="O1611" s="58"/>
      <c r="P1611" s="62"/>
      <c r="Q1611" s="33"/>
      <c r="R1611" s="33"/>
      <c r="S1611" s="61"/>
      <c r="T1611" s="33"/>
      <c r="U1611" s="62"/>
      <c r="W1611" s="61"/>
      <c r="X1611" s="62"/>
      <c r="AG1611" s="64"/>
    </row>
    <row r="1612" spans="2:33" ht="16">
      <c r="B1612" s="67" t="str">
        <f t="shared" si="7"/>
        <v/>
      </c>
      <c r="C1612" s="33"/>
      <c r="D1612" s="33"/>
      <c r="E1612" s="33"/>
      <c r="F1612" s="56"/>
      <c r="G1612" s="33"/>
      <c r="H1612" s="33"/>
      <c r="I1612" s="33"/>
      <c r="J1612" s="57"/>
      <c r="K1612" s="33"/>
      <c r="L1612" s="57"/>
      <c r="M1612" s="64"/>
      <c r="N1612" s="56"/>
      <c r="O1612" s="58"/>
      <c r="P1612" s="62"/>
      <c r="Q1612" s="33"/>
      <c r="R1612" s="33"/>
      <c r="S1612" s="61"/>
      <c r="T1612" s="33"/>
      <c r="U1612" s="62"/>
      <c r="W1612" s="61"/>
      <c r="X1612" s="62"/>
      <c r="AG1612" s="64"/>
    </row>
    <row r="1613" spans="2:33" ht="16">
      <c r="B1613" s="67" t="str">
        <f t="shared" si="7"/>
        <v/>
      </c>
      <c r="C1613" s="33"/>
      <c r="D1613" s="33"/>
      <c r="E1613" s="33"/>
      <c r="F1613" s="56"/>
      <c r="G1613" s="33"/>
      <c r="H1613" s="33"/>
      <c r="I1613" s="33"/>
      <c r="J1613" s="57"/>
      <c r="K1613" s="33"/>
      <c r="L1613" s="57"/>
      <c r="M1613" s="58"/>
      <c r="N1613" s="56"/>
      <c r="O1613" s="58"/>
      <c r="P1613" s="62"/>
      <c r="Q1613" s="33"/>
      <c r="R1613" s="33"/>
      <c r="S1613" s="61"/>
      <c r="T1613" s="33"/>
      <c r="U1613" s="62"/>
      <c r="W1613" s="61"/>
      <c r="X1613" s="62"/>
      <c r="AG1613" s="64"/>
    </row>
    <row r="1614" spans="2:33" ht="16">
      <c r="B1614" s="67" t="str">
        <f t="shared" si="7"/>
        <v/>
      </c>
      <c r="C1614" s="33"/>
      <c r="D1614" s="33"/>
      <c r="E1614" s="33"/>
      <c r="F1614" s="56"/>
      <c r="G1614" s="33"/>
      <c r="H1614" s="33"/>
      <c r="I1614" s="33"/>
      <c r="J1614" s="57"/>
      <c r="K1614" s="33"/>
      <c r="L1614" s="57"/>
      <c r="M1614" s="58"/>
      <c r="N1614" s="56"/>
      <c r="O1614" s="58"/>
      <c r="P1614" s="62"/>
      <c r="Q1614" s="33"/>
      <c r="R1614" s="33"/>
      <c r="S1614" s="61"/>
      <c r="T1614" s="33"/>
      <c r="U1614" s="62"/>
      <c r="W1614" s="61"/>
      <c r="X1614" s="62"/>
      <c r="AG1614" s="58"/>
    </row>
    <row r="1615" spans="2:33" ht="16">
      <c r="B1615" s="67" t="str">
        <f t="shared" si="7"/>
        <v/>
      </c>
      <c r="C1615" s="33"/>
      <c r="D1615" s="33"/>
      <c r="E1615" s="33"/>
      <c r="F1615" s="56"/>
      <c r="G1615" s="33"/>
      <c r="H1615" s="33"/>
      <c r="I1615" s="33"/>
      <c r="J1615" s="57"/>
      <c r="K1615" s="33"/>
      <c r="L1615" s="57"/>
      <c r="M1615" s="58"/>
      <c r="N1615" s="56"/>
      <c r="O1615" s="58"/>
      <c r="P1615" s="62"/>
      <c r="Q1615" s="33"/>
      <c r="R1615" s="33"/>
      <c r="S1615" s="61"/>
      <c r="T1615" s="33"/>
      <c r="U1615" s="62"/>
      <c r="W1615" s="61"/>
      <c r="X1615" s="62"/>
      <c r="AG1615" s="58"/>
    </row>
    <row r="1616" spans="2:33" ht="16">
      <c r="B1616" s="67" t="str">
        <f t="shared" si="7"/>
        <v/>
      </c>
      <c r="C1616" s="33"/>
      <c r="D1616" s="33"/>
      <c r="E1616" s="33"/>
      <c r="F1616" s="56"/>
      <c r="G1616" s="33"/>
      <c r="H1616" s="33"/>
      <c r="I1616" s="33"/>
      <c r="J1616" s="57"/>
      <c r="K1616" s="33"/>
      <c r="L1616" s="57"/>
      <c r="M1616" s="58"/>
      <c r="N1616" s="56"/>
      <c r="O1616" s="58"/>
      <c r="P1616" s="62"/>
      <c r="Q1616" s="33"/>
      <c r="R1616" s="33"/>
      <c r="S1616" s="61"/>
      <c r="T1616" s="33"/>
      <c r="U1616" s="62"/>
      <c r="W1616" s="61"/>
      <c r="X1616" s="62"/>
      <c r="AG1616" s="64"/>
    </row>
    <row r="1617" spans="2:33" ht="16">
      <c r="B1617" s="67" t="str">
        <f t="shared" si="7"/>
        <v/>
      </c>
      <c r="C1617" s="33"/>
      <c r="D1617" s="33"/>
      <c r="E1617" s="33"/>
      <c r="F1617" s="56"/>
      <c r="G1617" s="33"/>
      <c r="H1617" s="33"/>
      <c r="I1617" s="33"/>
      <c r="J1617" s="57"/>
      <c r="K1617" s="33"/>
      <c r="L1617" s="57"/>
      <c r="M1617" s="58"/>
      <c r="N1617" s="56"/>
      <c r="O1617" s="58"/>
      <c r="P1617" s="62"/>
      <c r="Q1617" s="33"/>
      <c r="R1617" s="33"/>
      <c r="S1617" s="61"/>
      <c r="T1617" s="33"/>
      <c r="U1617" s="62"/>
      <c r="W1617" s="61"/>
      <c r="X1617" s="62"/>
      <c r="AG1617" s="64"/>
    </row>
    <row r="1618" spans="2:33" ht="16">
      <c r="B1618" s="67" t="str">
        <f t="shared" si="7"/>
        <v/>
      </c>
      <c r="C1618" s="64"/>
      <c r="D1618" s="33"/>
      <c r="E1618" s="33"/>
      <c r="F1618" s="56"/>
      <c r="G1618" s="33"/>
      <c r="H1618" s="33"/>
      <c r="I1618" s="33"/>
      <c r="J1618" s="57"/>
      <c r="K1618" s="33"/>
      <c r="L1618" s="57"/>
      <c r="M1618" s="58"/>
      <c r="N1618" s="56"/>
      <c r="O1618" s="58"/>
      <c r="P1618" s="62"/>
      <c r="Q1618" s="33"/>
      <c r="R1618" s="33"/>
      <c r="S1618" s="61"/>
      <c r="T1618" s="33"/>
      <c r="U1618" s="62"/>
      <c r="W1618" s="61"/>
      <c r="X1618" s="62"/>
      <c r="AG1618" s="64"/>
    </row>
    <row r="1619" spans="2:33" ht="16">
      <c r="B1619" s="67" t="str">
        <f t="shared" si="7"/>
        <v/>
      </c>
      <c r="C1619" s="33"/>
      <c r="D1619" s="33"/>
      <c r="E1619" s="33"/>
      <c r="F1619" s="56"/>
      <c r="G1619" s="33"/>
      <c r="H1619" s="33"/>
      <c r="I1619" s="33"/>
      <c r="J1619" s="57"/>
      <c r="K1619" s="33"/>
      <c r="L1619" s="57"/>
      <c r="M1619" s="58"/>
      <c r="N1619" s="56"/>
      <c r="O1619" s="58"/>
      <c r="P1619" s="62"/>
      <c r="Q1619" s="33"/>
      <c r="R1619" s="33"/>
      <c r="S1619" s="61"/>
      <c r="T1619" s="33"/>
      <c r="U1619" s="62"/>
      <c r="W1619" s="61"/>
      <c r="X1619" s="62"/>
      <c r="AD1619" s="58"/>
      <c r="AG1619" s="64"/>
    </row>
    <row r="1620" spans="2:33" ht="16">
      <c r="B1620" s="67" t="str">
        <f t="shared" si="7"/>
        <v/>
      </c>
      <c r="C1620" s="33"/>
      <c r="D1620" s="33"/>
      <c r="E1620" s="33"/>
      <c r="F1620" s="56"/>
      <c r="G1620" s="33"/>
      <c r="H1620" s="33"/>
      <c r="I1620" s="33"/>
      <c r="J1620" s="57"/>
      <c r="K1620" s="33"/>
      <c r="L1620" s="57"/>
      <c r="M1620" s="64"/>
      <c r="N1620" s="56"/>
      <c r="O1620" s="64"/>
      <c r="P1620" s="62"/>
      <c r="Q1620" s="33"/>
      <c r="R1620" s="33"/>
      <c r="S1620" s="61"/>
      <c r="T1620" s="33"/>
      <c r="U1620" s="62"/>
      <c r="W1620" s="61"/>
      <c r="X1620" s="62"/>
      <c r="AD1620" s="64"/>
      <c r="AG1620" s="64"/>
    </row>
    <row r="1621" spans="2:33" ht="16">
      <c r="B1621" s="67" t="str">
        <f t="shared" si="7"/>
        <v/>
      </c>
      <c r="C1621" s="33"/>
      <c r="D1621" s="33"/>
      <c r="E1621" s="33"/>
      <c r="F1621" s="56"/>
      <c r="G1621" s="33"/>
      <c r="H1621" s="33"/>
      <c r="I1621" s="33"/>
      <c r="J1621" s="57"/>
      <c r="K1621" s="33"/>
      <c r="L1621" s="57"/>
      <c r="M1621" s="64"/>
      <c r="N1621" s="56"/>
      <c r="O1621" s="64"/>
      <c r="P1621" s="62"/>
      <c r="Q1621" s="33"/>
      <c r="R1621" s="33"/>
      <c r="S1621" s="61"/>
      <c r="T1621" s="33"/>
      <c r="U1621" s="62"/>
      <c r="W1621" s="61"/>
      <c r="X1621" s="62"/>
      <c r="AD1621" s="64"/>
      <c r="AG1621" s="64"/>
    </row>
    <row r="1622" spans="2:33" ht="16">
      <c r="B1622" s="67" t="str">
        <f t="shared" si="7"/>
        <v/>
      </c>
      <c r="C1622" s="33"/>
      <c r="D1622" s="33"/>
      <c r="E1622" s="33"/>
      <c r="F1622" s="56"/>
      <c r="G1622" s="33"/>
      <c r="H1622" s="33"/>
      <c r="I1622" s="33"/>
      <c r="J1622" s="57"/>
      <c r="K1622" s="33"/>
      <c r="L1622" s="57"/>
      <c r="M1622" s="64"/>
      <c r="N1622" s="56"/>
      <c r="O1622" s="64"/>
      <c r="P1622" s="62"/>
      <c r="Q1622" s="33"/>
      <c r="R1622" s="33"/>
      <c r="S1622" s="61"/>
      <c r="T1622" s="33"/>
      <c r="U1622" s="62"/>
      <c r="W1622" s="61"/>
      <c r="X1622" s="62"/>
      <c r="AG1622" s="64"/>
    </row>
    <row r="1623" spans="2:33" ht="16">
      <c r="B1623" s="67" t="str">
        <f t="shared" si="7"/>
        <v/>
      </c>
      <c r="C1623" s="33"/>
      <c r="D1623" s="33"/>
      <c r="E1623" s="33"/>
      <c r="F1623" s="56"/>
      <c r="G1623" s="33"/>
      <c r="H1623" s="33"/>
      <c r="I1623" s="33"/>
      <c r="J1623" s="57"/>
      <c r="K1623" s="33"/>
      <c r="L1623" s="57"/>
      <c r="M1623" s="64"/>
      <c r="N1623" s="56"/>
      <c r="O1623" s="64"/>
      <c r="P1623" s="62"/>
      <c r="Q1623" s="33"/>
      <c r="R1623" s="33"/>
      <c r="S1623" s="61"/>
      <c r="T1623" s="33"/>
      <c r="U1623" s="62"/>
      <c r="W1623" s="61"/>
      <c r="X1623" s="62"/>
      <c r="AG1623" s="64"/>
    </row>
    <row r="1624" spans="2:33" ht="16">
      <c r="B1624" s="67" t="str">
        <f t="shared" si="7"/>
        <v/>
      </c>
      <c r="C1624" s="33"/>
      <c r="D1624" s="33"/>
      <c r="E1624" s="33"/>
      <c r="F1624" s="56"/>
      <c r="G1624" s="33"/>
      <c r="H1624" s="33"/>
      <c r="I1624" s="33"/>
      <c r="J1624" s="57"/>
      <c r="K1624" s="33"/>
      <c r="L1624" s="57"/>
      <c r="M1624" s="64"/>
      <c r="N1624" s="56"/>
      <c r="O1624" s="64"/>
      <c r="P1624" s="62"/>
      <c r="Q1624" s="33"/>
      <c r="R1624" s="33"/>
      <c r="S1624" s="61"/>
      <c r="T1624" s="33"/>
      <c r="U1624" s="62"/>
      <c r="W1624" s="61"/>
      <c r="X1624" s="62"/>
      <c r="AG1624" s="64"/>
    </row>
    <row r="1625" spans="2:33" ht="16">
      <c r="B1625" s="67" t="str">
        <f t="shared" si="7"/>
        <v/>
      </c>
      <c r="C1625" s="33"/>
      <c r="D1625" s="33"/>
      <c r="E1625" s="33"/>
      <c r="F1625" s="56"/>
      <c r="G1625" s="33"/>
      <c r="H1625" s="33"/>
      <c r="I1625" s="33"/>
      <c r="J1625" s="57"/>
      <c r="K1625" s="33"/>
      <c r="L1625" s="57"/>
      <c r="M1625" s="64"/>
      <c r="N1625" s="56"/>
      <c r="O1625" s="64"/>
      <c r="P1625" s="62"/>
      <c r="Q1625" s="33"/>
      <c r="R1625" s="33"/>
      <c r="S1625" s="61"/>
      <c r="T1625" s="33"/>
      <c r="U1625" s="62"/>
      <c r="W1625" s="61"/>
      <c r="X1625" s="62"/>
      <c r="AD1625" s="64"/>
      <c r="AG1625" s="64"/>
    </row>
    <row r="1626" spans="2:33" ht="16">
      <c r="B1626" s="67" t="str">
        <f t="shared" si="7"/>
        <v/>
      </c>
      <c r="C1626" s="33"/>
      <c r="D1626" s="33"/>
      <c r="E1626" s="33"/>
      <c r="F1626" s="56"/>
      <c r="G1626" s="33"/>
      <c r="H1626" s="33"/>
      <c r="I1626" s="33"/>
      <c r="J1626" s="57"/>
      <c r="K1626" s="33"/>
      <c r="L1626" s="57"/>
      <c r="M1626" s="64"/>
      <c r="N1626" s="56"/>
      <c r="O1626" s="64"/>
      <c r="P1626" s="62"/>
      <c r="Q1626" s="33"/>
      <c r="R1626" s="33"/>
      <c r="S1626" s="61"/>
      <c r="T1626" s="33"/>
      <c r="U1626" s="62"/>
      <c r="W1626" s="61"/>
      <c r="X1626" s="62"/>
      <c r="AD1626" s="64"/>
      <c r="AG1626" s="64"/>
    </row>
    <row r="1627" spans="2:33" ht="16">
      <c r="B1627" s="67" t="str">
        <f t="shared" si="7"/>
        <v/>
      </c>
      <c r="C1627" s="33"/>
      <c r="D1627" s="33"/>
      <c r="E1627" s="33"/>
      <c r="F1627" s="56"/>
      <c r="G1627" s="33"/>
      <c r="H1627" s="33"/>
      <c r="I1627" s="33"/>
      <c r="J1627" s="57"/>
      <c r="K1627" s="33"/>
      <c r="L1627" s="57"/>
      <c r="M1627" s="64"/>
      <c r="N1627" s="56"/>
      <c r="O1627" s="64"/>
      <c r="P1627" s="62"/>
      <c r="Q1627" s="33"/>
      <c r="R1627" s="33"/>
      <c r="S1627" s="61"/>
      <c r="T1627" s="33"/>
      <c r="U1627" s="62"/>
      <c r="W1627" s="61"/>
      <c r="X1627" s="62"/>
      <c r="AG1627" s="58"/>
    </row>
    <row r="1628" spans="2:33" ht="16">
      <c r="B1628" s="67" t="str">
        <f t="shared" si="7"/>
        <v/>
      </c>
      <c r="C1628" s="33"/>
      <c r="D1628" s="33"/>
      <c r="E1628" s="33"/>
      <c r="F1628" s="56"/>
      <c r="G1628" s="33"/>
      <c r="H1628" s="33"/>
      <c r="I1628" s="33"/>
      <c r="J1628" s="57"/>
      <c r="K1628" s="33"/>
      <c r="L1628" s="57"/>
      <c r="M1628" s="58"/>
      <c r="N1628" s="56"/>
      <c r="O1628" s="64"/>
      <c r="P1628" s="62"/>
      <c r="Q1628" s="33"/>
      <c r="R1628" s="33"/>
      <c r="S1628" s="61"/>
      <c r="T1628" s="33"/>
      <c r="U1628" s="62"/>
      <c r="W1628" s="61"/>
      <c r="X1628" s="62"/>
      <c r="AD1628" s="58"/>
      <c r="AG1628" s="64"/>
    </row>
    <row r="1629" spans="2:33" ht="16">
      <c r="B1629" s="67" t="str">
        <f t="shared" si="7"/>
        <v/>
      </c>
      <c r="C1629" s="33"/>
      <c r="D1629" s="33"/>
      <c r="E1629" s="33"/>
      <c r="F1629" s="56"/>
      <c r="G1629" s="33"/>
      <c r="H1629" s="33"/>
      <c r="I1629" s="33"/>
      <c r="J1629" s="57"/>
      <c r="K1629" s="33"/>
      <c r="L1629" s="57"/>
      <c r="M1629" s="58"/>
      <c r="N1629" s="56"/>
      <c r="O1629" s="58"/>
      <c r="P1629" s="62"/>
      <c r="Q1629" s="33"/>
      <c r="R1629" s="33"/>
      <c r="S1629" s="61"/>
      <c r="T1629" s="33"/>
      <c r="U1629" s="62"/>
      <c r="W1629" s="61"/>
      <c r="X1629" s="62"/>
      <c r="AG1629" s="64"/>
    </row>
    <row r="1630" spans="2:33" ht="16">
      <c r="B1630" s="67" t="str">
        <f t="shared" si="7"/>
        <v/>
      </c>
      <c r="C1630" s="33"/>
      <c r="D1630" s="33"/>
      <c r="E1630" s="33"/>
      <c r="F1630" s="56"/>
      <c r="G1630" s="33"/>
      <c r="H1630" s="33"/>
      <c r="I1630" s="33"/>
      <c r="J1630" s="57"/>
      <c r="K1630" s="33"/>
      <c r="L1630" s="57"/>
      <c r="M1630" s="58"/>
      <c r="N1630" s="56"/>
      <c r="O1630" s="58"/>
      <c r="P1630" s="62"/>
      <c r="Q1630" s="33"/>
      <c r="R1630" s="33"/>
      <c r="S1630" s="61"/>
      <c r="T1630" s="33"/>
      <c r="U1630" s="62"/>
      <c r="W1630" s="61"/>
      <c r="X1630" s="62"/>
      <c r="AD1630" s="64"/>
      <c r="AG1630" s="64"/>
    </row>
    <row r="1631" spans="2:33" ht="16">
      <c r="B1631" s="67" t="str">
        <f t="shared" si="7"/>
        <v/>
      </c>
      <c r="C1631" s="33"/>
      <c r="D1631" s="33"/>
      <c r="E1631" s="33"/>
      <c r="F1631" s="56"/>
      <c r="G1631" s="33"/>
      <c r="H1631" s="33"/>
      <c r="I1631" s="33"/>
      <c r="J1631" s="57"/>
      <c r="K1631" s="33"/>
      <c r="L1631" s="57"/>
      <c r="M1631" s="64"/>
      <c r="N1631" s="56"/>
      <c r="O1631" s="64"/>
      <c r="P1631" s="62"/>
      <c r="Q1631" s="33"/>
      <c r="R1631" s="33"/>
      <c r="S1631" s="61"/>
      <c r="T1631" s="33"/>
      <c r="U1631" s="62"/>
      <c r="W1631" s="61"/>
      <c r="X1631" s="62"/>
      <c r="AG1631" s="64"/>
    </row>
    <row r="1632" spans="2:33" ht="16">
      <c r="B1632" s="67" t="str">
        <f t="shared" si="7"/>
        <v/>
      </c>
      <c r="C1632" s="33"/>
      <c r="D1632" s="33"/>
      <c r="E1632" s="33"/>
      <c r="F1632" s="56"/>
      <c r="G1632" s="33"/>
      <c r="H1632" s="33"/>
      <c r="I1632" s="33"/>
      <c r="J1632" s="57"/>
      <c r="K1632" s="33"/>
      <c r="L1632" s="57"/>
      <c r="M1632" s="64"/>
      <c r="N1632" s="56"/>
      <c r="O1632" s="64"/>
      <c r="P1632" s="62"/>
      <c r="Q1632" s="33"/>
      <c r="R1632" s="33"/>
      <c r="S1632" s="61"/>
      <c r="T1632" s="33"/>
      <c r="U1632" s="62"/>
      <c r="W1632" s="61"/>
      <c r="X1632" s="62"/>
      <c r="AG1632" s="64"/>
    </row>
    <row r="1633" spans="2:33" ht="16">
      <c r="B1633" s="67" t="str">
        <f t="shared" si="7"/>
        <v/>
      </c>
      <c r="C1633" s="33"/>
      <c r="D1633" s="33"/>
      <c r="E1633" s="33"/>
      <c r="F1633" s="56"/>
      <c r="G1633" s="33"/>
      <c r="H1633" s="33"/>
      <c r="I1633" s="33"/>
      <c r="J1633" s="57"/>
      <c r="K1633" s="33"/>
      <c r="L1633" s="57"/>
      <c r="M1633" s="64"/>
      <c r="N1633" s="56"/>
      <c r="O1633" s="64"/>
      <c r="P1633" s="62"/>
      <c r="Q1633" s="33"/>
      <c r="R1633" s="33"/>
      <c r="S1633" s="61"/>
      <c r="T1633" s="33"/>
      <c r="U1633" s="62"/>
      <c r="W1633" s="61"/>
      <c r="X1633" s="62"/>
      <c r="AG1633" s="58"/>
    </row>
    <row r="1634" spans="2:33" ht="16">
      <c r="B1634" s="67" t="str">
        <f t="shared" si="7"/>
        <v/>
      </c>
      <c r="C1634" s="33"/>
      <c r="D1634" s="33"/>
      <c r="E1634" s="33"/>
      <c r="F1634" s="56"/>
      <c r="G1634" s="33"/>
      <c r="H1634" s="33"/>
      <c r="I1634" s="33"/>
      <c r="J1634" s="57"/>
      <c r="K1634" s="33"/>
      <c r="L1634" s="57"/>
      <c r="M1634" s="64"/>
      <c r="N1634" s="56"/>
      <c r="O1634" s="64"/>
      <c r="P1634" s="62"/>
      <c r="Q1634" s="33"/>
      <c r="R1634" s="33"/>
      <c r="S1634" s="61"/>
      <c r="T1634" s="33"/>
      <c r="U1634" s="62"/>
      <c r="W1634" s="61"/>
      <c r="X1634" s="62"/>
      <c r="AG1634" s="64"/>
    </row>
    <row r="1635" spans="2:33" ht="16">
      <c r="B1635" s="67" t="str">
        <f t="shared" si="7"/>
        <v/>
      </c>
      <c r="C1635" s="33"/>
      <c r="D1635" s="33"/>
      <c r="E1635" s="33"/>
      <c r="F1635" s="56"/>
      <c r="G1635" s="33"/>
      <c r="H1635" s="33"/>
      <c r="I1635" s="33"/>
      <c r="J1635" s="57"/>
      <c r="K1635" s="33"/>
      <c r="L1635" s="57"/>
      <c r="M1635" s="64"/>
      <c r="N1635" s="56"/>
      <c r="O1635" s="64"/>
      <c r="P1635" s="62"/>
      <c r="Q1635" s="33"/>
      <c r="R1635" s="33"/>
      <c r="S1635" s="61"/>
      <c r="T1635" s="33"/>
      <c r="U1635" s="62"/>
      <c r="W1635" s="61"/>
      <c r="X1635" s="62"/>
      <c r="AD1635" s="64"/>
      <c r="AG1635" s="64"/>
    </row>
    <row r="1636" spans="2:33" ht="16">
      <c r="B1636" s="67" t="str">
        <f t="shared" si="7"/>
        <v/>
      </c>
      <c r="C1636" s="33"/>
      <c r="D1636" s="33"/>
      <c r="E1636" s="33"/>
      <c r="F1636" s="56"/>
      <c r="G1636" s="33"/>
      <c r="H1636" s="33"/>
      <c r="I1636" s="33"/>
      <c r="J1636" s="57"/>
      <c r="K1636" s="33"/>
      <c r="L1636" s="57"/>
      <c r="M1636" s="64"/>
      <c r="N1636" s="56"/>
      <c r="O1636" s="64"/>
      <c r="P1636" s="62"/>
      <c r="Q1636" s="33"/>
      <c r="R1636" s="33"/>
      <c r="S1636" s="61"/>
      <c r="T1636" s="33"/>
      <c r="U1636" s="62"/>
      <c r="W1636" s="61"/>
      <c r="X1636" s="62"/>
      <c r="AG1636" s="64"/>
    </row>
    <row r="1637" spans="2:33" ht="16">
      <c r="B1637" s="67" t="str">
        <f t="shared" si="7"/>
        <v/>
      </c>
      <c r="C1637" s="33"/>
      <c r="D1637" s="33"/>
      <c r="E1637" s="33"/>
      <c r="F1637" s="56"/>
      <c r="G1637" s="33"/>
      <c r="H1637" s="33"/>
      <c r="I1637" s="33"/>
      <c r="J1637" s="57"/>
      <c r="K1637" s="33"/>
      <c r="L1637" s="57"/>
      <c r="M1637" s="64"/>
      <c r="N1637" s="56"/>
      <c r="O1637" s="64"/>
      <c r="P1637" s="62"/>
      <c r="Q1637" s="33"/>
      <c r="R1637" s="33"/>
      <c r="S1637" s="61"/>
      <c r="T1637" s="33"/>
      <c r="U1637" s="62"/>
      <c r="W1637" s="61"/>
      <c r="X1637" s="62"/>
      <c r="AD1637" s="64"/>
      <c r="AG1637" s="64"/>
    </row>
    <row r="1638" spans="2:33" ht="16">
      <c r="B1638" s="67" t="str">
        <f t="shared" si="7"/>
        <v/>
      </c>
      <c r="C1638" s="33"/>
      <c r="D1638" s="33"/>
      <c r="E1638" s="33"/>
      <c r="F1638" s="56"/>
      <c r="G1638" s="33"/>
      <c r="H1638" s="33"/>
      <c r="I1638" s="33"/>
      <c r="J1638" s="57"/>
      <c r="K1638" s="33"/>
      <c r="L1638" s="57"/>
      <c r="M1638" s="64"/>
      <c r="N1638" s="56"/>
      <c r="O1638" s="64"/>
      <c r="P1638" s="62"/>
      <c r="Q1638" s="33"/>
      <c r="R1638" s="33"/>
      <c r="S1638" s="61"/>
      <c r="T1638" s="33"/>
      <c r="U1638" s="62"/>
      <c r="W1638" s="61"/>
      <c r="X1638" s="62"/>
      <c r="AG1638" s="64"/>
    </row>
    <row r="1639" spans="2:33" ht="16">
      <c r="B1639" s="67" t="str">
        <f t="shared" si="7"/>
        <v/>
      </c>
      <c r="C1639" s="33"/>
      <c r="D1639" s="33"/>
      <c r="E1639" s="33"/>
      <c r="F1639" s="56"/>
      <c r="G1639" s="33"/>
      <c r="H1639" s="33"/>
      <c r="I1639" s="33"/>
      <c r="J1639" s="57"/>
      <c r="K1639" s="33"/>
      <c r="L1639" s="57"/>
      <c r="M1639" s="64"/>
      <c r="N1639" s="56"/>
      <c r="O1639" s="64"/>
      <c r="P1639" s="62"/>
      <c r="Q1639" s="33"/>
      <c r="R1639" s="33"/>
      <c r="S1639" s="61"/>
      <c r="T1639" s="33"/>
      <c r="U1639" s="62"/>
      <c r="W1639" s="61"/>
      <c r="X1639" s="62"/>
      <c r="AG1639" s="64"/>
    </row>
    <row r="1640" spans="2:33" ht="16">
      <c r="B1640" s="67" t="str">
        <f t="shared" si="7"/>
        <v/>
      </c>
      <c r="C1640" s="33"/>
      <c r="D1640" s="33"/>
      <c r="E1640" s="33"/>
      <c r="F1640" s="56"/>
      <c r="G1640" s="33"/>
      <c r="H1640" s="33"/>
      <c r="I1640" s="33"/>
      <c r="J1640" s="57"/>
      <c r="K1640" s="33"/>
      <c r="L1640" s="57"/>
      <c r="M1640" s="64"/>
      <c r="N1640" s="56"/>
      <c r="O1640" s="64"/>
      <c r="P1640" s="62"/>
      <c r="Q1640" s="33"/>
      <c r="R1640" s="33"/>
      <c r="S1640" s="61"/>
      <c r="T1640" s="33"/>
      <c r="U1640" s="62"/>
      <c r="W1640" s="61"/>
      <c r="X1640" s="62"/>
      <c r="AG1640" s="64"/>
    </row>
    <row r="1641" spans="2:33" ht="16">
      <c r="B1641" s="67" t="str">
        <f t="shared" si="7"/>
        <v/>
      </c>
      <c r="C1641" s="33"/>
      <c r="D1641" s="33"/>
      <c r="E1641" s="33"/>
      <c r="F1641" s="56"/>
      <c r="G1641" s="33"/>
      <c r="H1641" s="33"/>
      <c r="I1641" s="33"/>
      <c r="J1641" s="57"/>
      <c r="K1641" s="33"/>
      <c r="L1641" s="57"/>
      <c r="M1641" s="58"/>
      <c r="N1641" s="56"/>
      <c r="O1641" s="58"/>
      <c r="P1641" s="62"/>
      <c r="Q1641" s="33"/>
      <c r="R1641" s="33"/>
      <c r="S1641" s="61"/>
      <c r="T1641" s="33"/>
      <c r="U1641" s="62"/>
      <c r="W1641" s="61"/>
      <c r="X1641" s="62"/>
      <c r="AG1641" s="64"/>
    </row>
    <row r="1642" spans="2:33" ht="16">
      <c r="B1642" s="67" t="str">
        <f t="shared" si="7"/>
        <v/>
      </c>
      <c r="C1642" s="33"/>
      <c r="D1642" s="33"/>
      <c r="E1642" s="33"/>
      <c r="F1642" s="56"/>
      <c r="G1642" s="33"/>
      <c r="H1642" s="33"/>
      <c r="I1642" s="33"/>
      <c r="J1642" s="57"/>
      <c r="K1642" s="33"/>
      <c r="L1642" s="57"/>
      <c r="M1642" s="64"/>
      <c r="N1642" s="56"/>
      <c r="O1642" s="64"/>
      <c r="P1642" s="62"/>
      <c r="Q1642" s="33"/>
      <c r="R1642" s="33"/>
      <c r="S1642" s="61"/>
      <c r="T1642" s="33"/>
      <c r="U1642" s="62"/>
      <c r="W1642" s="61"/>
      <c r="X1642" s="62"/>
      <c r="AG1642" s="58"/>
    </row>
    <row r="1643" spans="2:33" ht="16">
      <c r="B1643" s="67" t="str">
        <f t="shared" si="7"/>
        <v/>
      </c>
      <c r="C1643" s="33"/>
      <c r="D1643" s="33"/>
      <c r="E1643" s="33"/>
      <c r="F1643" s="56"/>
      <c r="G1643" s="33"/>
      <c r="H1643" s="33"/>
      <c r="I1643" s="33"/>
      <c r="J1643" s="57"/>
      <c r="K1643" s="33"/>
      <c r="L1643" s="57"/>
      <c r="M1643" s="64"/>
      <c r="N1643" s="56"/>
      <c r="O1643" s="64"/>
      <c r="P1643" s="62"/>
      <c r="Q1643" s="33"/>
      <c r="R1643" s="33"/>
      <c r="S1643" s="61"/>
      <c r="T1643" s="33"/>
      <c r="U1643" s="62"/>
      <c r="W1643" s="61"/>
      <c r="X1643" s="62"/>
      <c r="AG1643" s="64"/>
    </row>
    <row r="1644" spans="2:33" ht="16">
      <c r="B1644" s="67" t="str">
        <f t="shared" si="7"/>
        <v/>
      </c>
      <c r="C1644" s="33"/>
      <c r="D1644" s="33"/>
      <c r="E1644" s="33"/>
      <c r="F1644" s="56"/>
      <c r="G1644" s="33"/>
      <c r="H1644" s="33"/>
      <c r="I1644" s="33"/>
      <c r="J1644" s="57"/>
      <c r="K1644" s="33"/>
      <c r="L1644" s="57"/>
      <c r="M1644" s="64"/>
      <c r="N1644" s="56"/>
      <c r="O1644" s="58"/>
      <c r="P1644" s="62"/>
      <c r="Q1644" s="33"/>
      <c r="R1644" s="33"/>
      <c r="S1644" s="61"/>
      <c r="T1644" s="33"/>
      <c r="U1644" s="62"/>
      <c r="W1644" s="61"/>
      <c r="X1644" s="62"/>
      <c r="AD1644" s="64"/>
      <c r="AG1644" s="58"/>
    </row>
    <row r="1645" spans="2:33" ht="16">
      <c r="B1645" s="67" t="str">
        <f t="shared" si="7"/>
        <v/>
      </c>
      <c r="C1645" s="33"/>
      <c r="D1645" s="33"/>
      <c r="E1645" s="33"/>
      <c r="F1645" s="56"/>
      <c r="G1645" s="33"/>
      <c r="H1645" s="33"/>
      <c r="I1645" s="33"/>
      <c r="J1645" s="57"/>
      <c r="K1645" s="33"/>
      <c r="L1645" s="57"/>
      <c r="M1645" s="58"/>
      <c r="N1645" s="56"/>
      <c r="O1645" s="58"/>
      <c r="P1645" s="62"/>
      <c r="Q1645" s="33"/>
      <c r="R1645" s="33"/>
      <c r="S1645" s="61"/>
      <c r="T1645" s="33"/>
      <c r="U1645" s="62"/>
      <c r="W1645" s="61"/>
      <c r="X1645" s="62"/>
      <c r="AG1645" s="58"/>
    </row>
    <row r="1646" spans="2:33" ht="16">
      <c r="B1646" s="67" t="str">
        <f t="shared" si="7"/>
        <v/>
      </c>
      <c r="C1646" s="33"/>
      <c r="D1646" s="33"/>
      <c r="E1646" s="33"/>
      <c r="F1646" s="56"/>
      <c r="G1646" s="33"/>
      <c r="H1646" s="33"/>
      <c r="I1646" s="33"/>
      <c r="J1646" s="57"/>
      <c r="K1646" s="33"/>
      <c r="L1646" s="57"/>
      <c r="M1646" s="58"/>
      <c r="N1646" s="56"/>
      <c r="O1646" s="58"/>
      <c r="P1646" s="62"/>
      <c r="Q1646" s="33"/>
      <c r="R1646" s="33"/>
      <c r="S1646" s="61"/>
      <c r="T1646" s="33"/>
      <c r="U1646" s="62"/>
      <c r="W1646" s="61"/>
      <c r="X1646" s="62"/>
      <c r="AG1646" s="64"/>
    </row>
    <row r="1647" spans="2:33" ht="16">
      <c r="B1647" s="67" t="str">
        <f t="shared" si="7"/>
        <v/>
      </c>
      <c r="C1647" s="33"/>
      <c r="D1647" s="33"/>
      <c r="E1647" s="33"/>
      <c r="F1647" s="56"/>
      <c r="G1647" s="33"/>
      <c r="H1647" s="33"/>
      <c r="I1647" s="33"/>
      <c r="J1647" s="57"/>
      <c r="K1647" s="33"/>
      <c r="L1647" s="57"/>
      <c r="M1647" s="64"/>
      <c r="N1647" s="56"/>
      <c r="O1647" s="64"/>
      <c r="P1647" s="62"/>
      <c r="Q1647" s="33"/>
      <c r="R1647" s="33"/>
      <c r="S1647" s="61"/>
      <c r="T1647" s="33"/>
      <c r="U1647" s="62"/>
      <c r="W1647" s="61"/>
      <c r="X1647" s="62"/>
      <c r="AG1647" s="64"/>
    </row>
    <row r="1648" spans="2:33" ht="16">
      <c r="B1648" s="67" t="str">
        <f t="shared" si="7"/>
        <v/>
      </c>
      <c r="C1648" s="33"/>
      <c r="D1648" s="33"/>
      <c r="E1648" s="33"/>
      <c r="F1648" s="56"/>
      <c r="G1648" s="33"/>
      <c r="H1648" s="33"/>
      <c r="I1648" s="33"/>
      <c r="J1648" s="57"/>
      <c r="K1648" s="33"/>
      <c r="L1648" s="57"/>
      <c r="M1648" s="58"/>
      <c r="N1648" s="56"/>
      <c r="O1648" s="58"/>
      <c r="P1648" s="62"/>
      <c r="Q1648" s="33"/>
      <c r="R1648" s="33"/>
      <c r="S1648" s="61"/>
      <c r="T1648" s="33"/>
      <c r="U1648" s="62"/>
      <c r="W1648" s="61"/>
      <c r="X1648" s="62"/>
      <c r="AD1648" s="58"/>
      <c r="AG1648" s="64"/>
    </row>
    <row r="1649" spans="2:33" ht="16">
      <c r="B1649" s="67" t="str">
        <f t="shared" si="7"/>
        <v/>
      </c>
      <c r="C1649" s="33"/>
      <c r="D1649" s="33"/>
      <c r="E1649" s="33"/>
      <c r="F1649" s="56"/>
      <c r="G1649" s="33"/>
      <c r="H1649" s="33"/>
      <c r="I1649" s="33"/>
      <c r="J1649" s="57"/>
      <c r="K1649" s="33"/>
      <c r="L1649" s="57"/>
      <c r="M1649" s="58"/>
      <c r="N1649" s="56"/>
      <c r="O1649" s="64"/>
      <c r="P1649" s="62"/>
      <c r="Q1649" s="33"/>
      <c r="R1649" s="33"/>
      <c r="S1649" s="61"/>
      <c r="T1649" s="33"/>
      <c r="U1649" s="62"/>
      <c r="W1649" s="61"/>
      <c r="X1649" s="62"/>
      <c r="AD1649" s="58"/>
      <c r="AG1649" s="64"/>
    </row>
    <row r="1650" spans="2:33" ht="16">
      <c r="B1650" s="67" t="str">
        <f t="shared" si="7"/>
        <v/>
      </c>
      <c r="C1650" s="33"/>
      <c r="D1650" s="33"/>
      <c r="E1650" s="33"/>
      <c r="F1650" s="56"/>
      <c r="G1650" s="33"/>
      <c r="H1650" s="33"/>
      <c r="I1650" s="33"/>
      <c r="J1650" s="57"/>
      <c r="K1650" s="33"/>
      <c r="L1650" s="57"/>
      <c r="M1650" s="64"/>
      <c r="N1650" s="56"/>
      <c r="O1650" s="64"/>
      <c r="P1650" s="62"/>
      <c r="Q1650" s="33"/>
      <c r="R1650" s="33"/>
      <c r="S1650" s="61"/>
      <c r="T1650" s="33"/>
      <c r="U1650" s="62"/>
      <c r="W1650" s="61"/>
      <c r="X1650" s="62"/>
      <c r="AD1650" s="58"/>
      <c r="AG1650" s="64"/>
    </row>
    <row r="1651" spans="2:33" ht="16">
      <c r="B1651" s="67" t="str">
        <f t="shared" si="7"/>
        <v/>
      </c>
      <c r="C1651" s="33"/>
      <c r="D1651" s="33"/>
      <c r="E1651" s="33"/>
      <c r="F1651" s="56"/>
      <c r="G1651" s="33"/>
      <c r="H1651" s="33"/>
      <c r="I1651" s="33"/>
      <c r="J1651" s="57"/>
      <c r="K1651" s="33"/>
      <c r="L1651" s="57"/>
      <c r="M1651" s="64"/>
      <c r="N1651" s="56"/>
      <c r="O1651" s="64"/>
      <c r="P1651" s="62"/>
      <c r="Q1651" s="33"/>
      <c r="R1651" s="33"/>
      <c r="S1651" s="61"/>
      <c r="T1651" s="33"/>
      <c r="U1651" s="62"/>
      <c r="W1651" s="61"/>
      <c r="X1651" s="62"/>
      <c r="AD1651" s="64"/>
      <c r="AG1651" s="58"/>
    </row>
    <row r="1652" spans="2:33" ht="16">
      <c r="B1652" s="67" t="str">
        <f t="shared" si="7"/>
        <v/>
      </c>
      <c r="C1652" s="33"/>
      <c r="D1652" s="33"/>
      <c r="E1652" s="33"/>
      <c r="F1652" s="56"/>
      <c r="G1652" s="33"/>
      <c r="H1652" s="33"/>
      <c r="I1652" s="33"/>
      <c r="J1652" s="57"/>
      <c r="K1652" s="33"/>
      <c r="L1652" s="57"/>
      <c r="M1652" s="58"/>
      <c r="N1652" s="56"/>
      <c r="O1652" s="58"/>
      <c r="P1652" s="62"/>
      <c r="Q1652" s="33"/>
      <c r="R1652" s="33"/>
      <c r="S1652" s="61"/>
      <c r="T1652" s="33"/>
      <c r="U1652" s="62"/>
      <c r="W1652" s="61"/>
      <c r="X1652" s="62"/>
      <c r="AD1652" s="58"/>
      <c r="AG1652" s="64"/>
    </row>
    <row r="1653" spans="2:33" ht="16">
      <c r="B1653" s="67" t="str">
        <f t="shared" si="7"/>
        <v/>
      </c>
      <c r="C1653" s="33"/>
      <c r="D1653" s="33"/>
      <c r="E1653" s="33"/>
      <c r="F1653" s="56"/>
      <c r="G1653" s="33"/>
      <c r="H1653" s="33"/>
      <c r="I1653" s="33"/>
      <c r="J1653" s="57"/>
      <c r="K1653" s="33"/>
      <c r="L1653" s="57"/>
      <c r="M1653" s="58"/>
      <c r="N1653" s="56"/>
      <c r="O1653" s="58"/>
      <c r="P1653" s="62"/>
      <c r="Q1653" s="33"/>
      <c r="R1653" s="33"/>
      <c r="S1653" s="61"/>
      <c r="T1653" s="33"/>
      <c r="U1653" s="62"/>
      <c r="W1653" s="61"/>
      <c r="X1653" s="62"/>
      <c r="AG1653" s="64"/>
    </row>
    <row r="1654" spans="2:33" ht="16">
      <c r="B1654" s="67" t="str">
        <f t="shared" si="7"/>
        <v/>
      </c>
      <c r="C1654" s="33"/>
      <c r="D1654" s="33"/>
      <c r="E1654" s="33"/>
      <c r="F1654" s="56"/>
      <c r="G1654" s="33"/>
      <c r="H1654" s="33"/>
      <c r="I1654" s="33"/>
      <c r="J1654" s="57"/>
      <c r="K1654" s="33"/>
      <c r="L1654" s="57"/>
      <c r="M1654" s="64"/>
      <c r="N1654" s="56"/>
      <c r="O1654" s="58"/>
      <c r="P1654" s="62"/>
      <c r="Q1654" s="33"/>
      <c r="R1654" s="33"/>
      <c r="S1654" s="61"/>
      <c r="T1654" s="33"/>
      <c r="U1654" s="62"/>
      <c r="W1654" s="61"/>
      <c r="X1654" s="62"/>
      <c r="AG1654" s="64"/>
    </row>
    <row r="1655" spans="2:33" ht="16">
      <c r="B1655" s="67" t="str">
        <f t="shared" si="7"/>
        <v/>
      </c>
      <c r="C1655" s="33"/>
      <c r="D1655" s="33"/>
      <c r="E1655" s="33"/>
      <c r="F1655" s="56"/>
      <c r="G1655" s="33"/>
      <c r="H1655" s="33"/>
      <c r="I1655" s="33"/>
      <c r="J1655" s="57"/>
      <c r="K1655" s="33"/>
      <c r="L1655" s="57"/>
      <c r="M1655" s="64"/>
      <c r="N1655" s="56"/>
      <c r="O1655" s="64"/>
      <c r="P1655" s="62"/>
      <c r="Q1655" s="33"/>
      <c r="R1655" s="33"/>
      <c r="S1655" s="61"/>
      <c r="T1655" s="33"/>
      <c r="U1655" s="62"/>
      <c r="W1655" s="61"/>
      <c r="X1655" s="62"/>
      <c r="AD1655" s="64"/>
      <c r="AG1655" s="64"/>
    </row>
    <row r="1656" spans="2:33" ht="16">
      <c r="B1656" s="67" t="str">
        <f t="shared" si="7"/>
        <v/>
      </c>
      <c r="C1656" s="33"/>
      <c r="D1656" s="33"/>
      <c r="E1656" s="33"/>
      <c r="F1656" s="56"/>
      <c r="G1656" s="33"/>
      <c r="H1656" s="33"/>
      <c r="I1656" s="33"/>
      <c r="J1656" s="57"/>
      <c r="K1656" s="33"/>
      <c r="L1656" s="57"/>
      <c r="M1656" s="58"/>
      <c r="N1656" s="56"/>
      <c r="O1656" s="64"/>
      <c r="P1656" s="62"/>
      <c r="Q1656" s="33"/>
      <c r="R1656" s="33"/>
      <c r="S1656" s="61"/>
      <c r="T1656" s="33"/>
      <c r="U1656" s="62"/>
      <c r="W1656" s="61"/>
      <c r="X1656" s="62"/>
      <c r="AG1656" s="64"/>
    </row>
    <row r="1657" spans="2:33" ht="16">
      <c r="B1657" s="67" t="str">
        <f t="shared" si="7"/>
        <v/>
      </c>
      <c r="C1657" s="33"/>
      <c r="D1657" s="33"/>
      <c r="E1657" s="33"/>
      <c r="F1657" s="56"/>
      <c r="G1657" s="33"/>
      <c r="H1657" s="33"/>
      <c r="I1657" s="33"/>
      <c r="J1657" s="57"/>
      <c r="K1657" s="33"/>
      <c r="L1657" s="57"/>
      <c r="M1657" s="64"/>
      <c r="N1657" s="56"/>
      <c r="O1657" s="64"/>
      <c r="P1657" s="62"/>
      <c r="Q1657" s="33"/>
      <c r="R1657" s="33"/>
      <c r="S1657" s="61"/>
      <c r="T1657" s="33"/>
      <c r="U1657" s="62"/>
      <c r="W1657" s="61"/>
      <c r="X1657" s="62"/>
      <c r="AG1657" s="64"/>
    </row>
    <row r="1658" spans="2:33" ht="16">
      <c r="B1658" s="67" t="str">
        <f t="shared" si="7"/>
        <v/>
      </c>
      <c r="C1658" s="33"/>
      <c r="D1658" s="33"/>
      <c r="E1658" s="33"/>
      <c r="F1658" s="56"/>
      <c r="G1658" s="33"/>
      <c r="H1658" s="33"/>
      <c r="I1658" s="33"/>
      <c r="J1658" s="57"/>
      <c r="K1658" s="33"/>
      <c r="L1658" s="57"/>
      <c r="M1658" s="64"/>
      <c r="N1658" s="56"/>
      <c r="O1658" s="58"/>
      <c r="P1658" s="62"/>
      <c r="Q1658" s="33"/>
      <c r="R1658" s="33"/>
      <c r="S1658" s="61"/>
      <c r="T1658" s="33"/>
      <c r="U1658" s="62"/>
      <c r="W1658" s="61"/>
      <c r="X1658" s="62"/>
      <c r="AD1658" s="64"/>
      <c r="AG1658" s="64"/>
    </row>
    <row r="1659" spans="2:33" ht="16">
      <c r="B1659" s="67" t="str">
        <f t="shared" si="7"/>
        <v/>
      </c>
      <c r="C1659" s="33"/>
      <c r="D1659" s="33"/>
      <c r="E1659" s="33"/>
      <c r="F1659" s="56"/>
      <c r="G1659" s="33"/>
      <c r="H1659" s="33"/>
      <c r="I1659" s="33"/>
      <c r="J1659" s="57"/>
      <c r="K1659" s="33"/>
      <c r="L1659" s="57"/>
      <c r="M1659" s="64"/>
      <c r="N1659" s="56"/>
      <c r="O1659" s="64"/>
      <c r="P1659" s="62"/>
      <c r="Q1659" s="33"/>
      <c r="R1659" s="33"/>
      <c r="S1659" s="61"/>
      <c r="T1659" s="33"/>
      <c r="U1659" s="62"/>
      <c r="W1659" s="61"/>
      <c r="X1659" s="62"/>
      <c r="AD1659" s="64"/>
      <c r="AG1659" s="64"/>
    </row>
    <row r="1660" spans="2:33" ht="16">
      <c r="B1660" s="67" t="str">
        <f t="shared" si="7"/>
        <v/>
      </c>
      <c r="C1660" s="33"/>
      <c r="D1660" s="33"/>
      <c r="E1660" s="33"/>
      <c r="F1660" s="56"/>
      <c r="G1660" s="33"/>
      <c r="H1660" s="33"/>
      <c r="I1660" s="33"/>
      <c r="J1660" s="57"/>
      <c r="K1660" s="33"/>
      <c r="L1660" s="57"/>
      <c r="M1660" s="64"/>
      <c r="N1660" s="56"/>
      <c r="O1660" s="64"/>
      <c r="P1660" s="62"/>
      <c r="Q1660" s="33"/>
      <c r="R1660" s="33"/>
      <c r="S1660" s="61"/>
      <c r="T1660" s="33"/>
      <c r="U1660" s="62"/>
      <c r="W1660" s="61"/>
      <c r="X1660" s="62"/>
      <c r="AD1660" s="58"/>
      <c r="AG1660" s="64"/>
    </row>
    <row r="1661" spans="2:33" ht="16">
      <c r="B1661" s="67" t="str">
        <f t="shared" si="7"/>
        <v/>
      </c>
      <c r="C1661" s="33"/>
      <c r="D1661" s="33"/>
      <c r="E1661" s="33"/>
      <c r="F1661" s="56"/>
      <c r="G1661" s="33"/>
      <c r="H1661" s="33"/>
      <c r="I1661" s="33"/>
      <c r="J1661" s="57"/>
      <c r="K1661" s="33"/>
      <c r="L1661" s="57"/>
      <c r="M1661" s="64"/>
      <c r="N1661" s="56"/>
      <c r="O1661" s="58"/>
      <c r="P1661" s="62"/>
      <c r="Q1661" s="33"/>
      <c r="R1661" s="33"/>
      <c r="S1661" s="61"/>
      <c r="T1661" s="33"/>
      <c r="U1661" s="62"/>
      <c r="W1661" s="61"/>
      <c r="X1661" s="62"/>
      <c r="AG1661" s="64"/>
    </row>
    <row r="1662" spans="2:33" ht="16">
      <c r="B1662" s="67" t="str">
        <f t="shared" si="7"/>
        <v/>
      </c>
      <c r="C1662" s="33"/>
      <c r="D1662" s="33"/>
      <c r="E1662" s="33"/>
      <c r="F1662" s="56"/>
      <c r="G1662" s="33"/>
      <c r="H1662" s="33"/>
      <c r="I1662" s="33"/>
      <c r="J1662" s="57"/>
      <c r="K1662" s="33"/>
      <c r="L1662" s="57"/>
      <c r="M1662" s="58"/>
      <c r="N1662" s="56"/>
      <c r="O1662" s="58"/>
      <c r="P1662" s="62"/>
      <c r="Q1662" s="33"/>
      <c r="R1662" s="33"/>
      <c r="S1662" s="61"/>
      <c r="T1662" s="33"/>
      <c r="U1662" s="62"/>
      <c r="W1662" s="61"/>
      <c r="X1662" s="62"/>
      <c r="AG1662" s="58"/>
    </row>
    <row r="1663" spans="2:33" ht="16">
      <c r="B1663" s="67" t="str">
        <f t="shared" si="7"/>
        <v/>
      </c>
      <c r="C1663" s="33"/>
      <c r="D1663" s="33"/>
      <c r="E1663" s="33"/>
      <c r="F1663" s="56"/>
      <c r="G1663" s="33"/>
      <c r="H1663" s="33"/>
      <c r="I1663" s="33"/>
      <c r="J1663" s="57"/>
      <c r="K1663" s="33"/>
      <c r="L1663" s="57"/>
      <c r="M1663" s="58"/>
      <c r="N1663" s="56"/>
      <c r="O1663" s="58"/>
      <c r="P1663" s="62"/>
      <c r="Q1663" s="33"/>
      <c r="R1663" s="33"/>
      <c r="S1663" s="61"/>
      <c r="T1663" s="33"/>
      <c r="U1663" s="62"/>
      <c r="W1663" s="61"/>
      <c r="X1663" s="62"/>
      <c r="AG1663" s="58"/>
    </row>
    <row r="1664" spans="2:33" ht="16">
      <c r="B1664" s="67" t="str">
        <f t="shared" si="7"/>
        <v/>
      </c>
      <c r="C1664" s="33"/>
      <c r="D1664" s="33"/>
      <c r="E1664" s="33"/>
      <c r="F1664" s="56"/>
      <c r="G1664" s="33"/>
      <c r="H1664" s="33"/>
      <c r="I1664" s="33"/>
      <c r="J1664" s="57"/>
      <c r="K1664" s="33"/>
      <c r="L1664" s="57"/>
      <c r="M1664" s="58"/>
      <c r="N1664" s="56"/>
      <c r="O1664" s="58"/>
      <c r="P1664" s="62"/>
      <c r="Q1664" s="33"/>
      <c r="R1664" s="33"/>
      <c r="S1664" s="61"/>
      <c r="T1664" s="33"/>
      <c r="U1664" s="62"/>
      <c r="W1664" s="61"/>
      <c r="X1664" s="62"/>
      <c r="AG1664" s="64"/>
    </row>
    <row r="1665" spans="2:33" ht="16">
      <c r="B1665" s="67" t="str">
        <f t="shared" si="7"/>
        <v/>
      </c>
      <c r="C1665" s="33"/>
      <c r="D1665" s="33"/>
      <c r="E1665" s="33"/>
      <c r="F1665" s="56"/>
      <c r="G1665" s="33"/>
      <c r="H1665" s="33"/>
      <c r="I1665" s="33"/>
      <c r="J1665" s="57"/>
      <c r="K1665" s="33"/>
      <c r="L1665" s="57"/>
      <c r="M1665" s="58"/>
      <c r="N1665" s="56"/>
      <c r="O1665" s="58"/>
      <c r="P1665" s="62"/>
      <c r="Q1665" s="33"/>
      <c r="R1665" s="33"/>
      <c r="S1665" s="61"/>
      <c r="T1665" s="33"/>
      <c r="U1665" s="62"/>
      <c r="W1665" s="61"/>
      <c r="X1665" s="62"/>
      <c r="AG1665" s="64"/>
    </row>
    <row r="1666" spans="2:33" ht="16">
      <c r="B1666" s="67" t="str">
        <f t="shared" si="7"/>
        <v/>
      </c>
      <c r="C1666" s="33"/>
      <c r="D1666" s="33"/>
      <c r="E1666" s="33"/>
      <c r="F1666" s="56"/>
      <c r="G1666" s="33"/>
      <c r="H1666" s="33"/>
      <c r="I1666" s="33"/>
      <c r="J1666" s="57"/>
      <c r="K1666" s="33"/>
      <c r="L1666" s="57"/>
      <c r="M1666" s="64"/>
      <c r="N1666" s="56"/>
      <c r="O1666" s="58"/>
      <c r="P1666" s="62"/>
      <c r="Q1666" s="33"/>
      <c r="R1666" s="33"/>
      <c r="S1666" s="61"/>
      <c r="T1666" s="33"/>
      <c r="U1666" s="62"/>
      <c r="W1666" s="61"/>
      <c r="X1666" s="62"/>
      <c r="AG1666" s="64"/>
    </row>
    <row r="1667" spans="2:33" ht="16">
      <c r="B1667" s="67" t="str">
        <f t="shared" si="7"/>
        <v/>
      </c>
      <c r="C1667" s="33"/>
      <c r="D1667" s="33"/>
      <c r="E1667" s="33"/>
      <c r="F1667" s="56"/>
      <c r="G1667" s="33"/>
      <c r="H1667" s="33"/>
      <c r="I1667" s="33"/>
      <c r="J1667" s="57"/>
      <c r="K1667" s="33"/>
      <c r="L1667" s="57"/>
      <c r="M1667" s="58"/>
      <c r="N1667" s="56"/>
      <c r="O1667" s="58"/>
      <c r="P1667" s="62"/>
      <c r="Q1667" s="33"/>
      <c r="R1667" s="33"/>
      <c r="S1667" s="61"/>
      <c r="T1667" s="33"/>
      <c r="U1667" s="62"/>
      <c r="W1667" s="61"/>
      <c r="X1667" s="62"/>
      <c r="AG1667" s="58"/>
    </row>
    <row r="1668" spans="2:33" ht="16">
      <c r="B1668" s="67" t="str">
        <f t="shared" si="7"/>
        <v/>
      </c>
      <c r="C1668" s="33"/>
      <c r="D1668" s="33"/>
      <c r="E1668" s="33"/>
      <c r="F1668" s="56"/>
      <c r="G1668" s="33"/>
      <c r="H1668" s="33"/>
      <c r="I1668" s="33"/>
      <c r="J1668" s="57"/>
      <c r="K1668" s="33"/>
      <c r="L1668" s="57"/>
      <c r="M1668" s="64"/>
      <c r="N1668" s="56"/>
      <c r="O1668" s="58"/>
      <c r="P1668" s="62"/>
      <c r="Q1668" s="33"/>
      <c r="R1668" s="33"/>
      <c r="S1668" s="61"/>
      <c r="T1668" s="33"/>
      <c r="U1668" s="62"/>
      <c r="W1668" s="61"/>
      <c r="X1668" s="62"/>
      <c r="AG1668" s="64"/>
    </row>
    <row r="1669" spans="2:33" ht="16">
      <c r="B1669" s="67" t="str">
        <f t="shared" si="7"/>
        <v/>
      </c>
      <c r="C1669" s="33"/>
      <c r="D1669" s="33"/>
      <c r="E1669" s="33"/>
      <c r="F1669" s="56"/>
      <c r="G1669" s="33"/>
      <c r="H1669" s="33"/>
      <c r="I1669" s="33"/>
      <c r="J1669" s="57"/>
      <c r="K1669" s="33"/>
      <c r="L1669" s="57"/>
      <c r="M1669" s="58"/>
      <c r="N1669" s="56"/>
      <c r="O1669" s="58"/>
      <c r="P1669" s="62"/>
      <c r="Q1669" s="33"/>
      <c r="R1669" s="33"/>
      <c r="S1669" s="61"/>
      <c r="T1669" s="33"/>
      <c r="U1669" s="62"/>
      <c r="W1669" s="61"/>
      <c r="X1669" s="62"/>
      <c r="AG1669" s="64"/>
    </row>
    <row r="1670" spans="2:33" ht="16">
      <c r="B1670" s="67" t="str">
        <f t="shared" si="7"/>
        <v/>
      </c>
      <c r="C1670" s="33"/>
      <c r="D1670" s="33"/>
      <c r="E1670" s="33"/>
      <c r="F1670" s="56"/>
      <c r="G1670" s="33"/>
      <c r="H1670" s="33"/>
      <c r="I1670" s="33"/>
      <c r="J1670" s="57"/>
      <c r="K1670" s="33"/>
      <c r="L1670" s="57"/>
      <c r="M1670" s="64"/>
      <c r="N1670" s="56"/>
      <c r="O1670" s="58"/>
      <c r="P1670" s="62"/>
      <c r="Q1670" s="33"/>
      <c r="R1670" s="33"/>
      <c r="S1670" s="61"/>
      <c r="T1670" s="33"/>
      <c r="U1670" s="62"/>
      <c r="W1670" s="61"/>
      <c r="X1670" s="62"/>
      <c r="AG1670" s="58"/>
    </row>
    <row r="1671" spans="2:33" ht="16">
      <c r="B1671" s="67" t="str">
        <f t="shared" si="7"/>
        <v/>
      </c>
      <c r="C1671" s="33"/>
      <c r="D1671" s="33"/>
      <c r="E1671" s="33"/>
      <c r="F1671" s="56"/>
      <c r="G1671" s="33"/>
      <c r="H1671" s="33"/>
      <c r="I1671" s="33"/>
      <c r="J1671" s="57"/>
      <c r="K1671" s="33"/>
      <c r="L1671" s="57"/>
      <c r="M1671" s="64"/>
      <c r="N1671" s="56"/>
      <c r="O1671" s="58"/>
      <c r="P1671" s="62"/>
      <c r="Q1671" s="33"/>
      <c r="R1671" s="33"/>
      <c r="S1671" s="61"/>
      <c r="T1671" s="33"/>
      <c r="U1671" s="62"/>
      <c r="W1671" s="61"/>
      <c r="X1671" s="62"/>
      <c r="AG1671" s="64"/>
    </row>
    <row r="1672" spans="2:33" ht="16">
      <c r="B1672" s="67" t="str">
        <f t="shared" si="7"/>
        <v/>
      </c>
      <c r="C1672" s="33"/>
      <c r="D1672" s="33"/>
      <c r="E1672" s="33"/>
      <c r="F1672" s="56"/>
      <c r="G1672" s="33"/>
      <c r="H1672" s="33"/>
      <c r="I1672" s="33"/>
      <c r="J1672" s="57"/>
      <c r="K1672" s="33"/>
      <c r="L1672" s="57"/>
      <c r="M1672" s="58"/>
      <c r="N1672" s="56"/>
      <c r="O1672" s="58"/>
      <c r="P1672" s="62"/>
      <c r="Q1672" s="33"/>
      <c r="R1672" s="33"/>
      <c r="S1672" s="61"/>
      <c r="T1672" s="33"/>
      <c r="U1672" s="62"/>
      <c r="W1672" s="61"/>
      <c r="X1672" s="62"/>
      <c r="AG1672" s="58"/>
    </row>
    <row r="1673" spans="2:33" ht="16">
      <c r="B1673" s="67" t="str">
        <f t="shared" si="7"/>
        <v/>
      </c>
      <c r="C1673" s="33"/>
      <c r="D1673" s="33"/>
      <c r="E1673" s="33"/>
      <c r="F1673" s="56"/>
      <c r="G1673" s="33"/>
      <c r="H1673" s="33"/>
      <c r="I1673" s="33"/>
      <c r="J1673" s="57"/>
      <c r="K1673" s="33"/>
      <c r="L1673" s="57"/>
      <c r="M1673" s="58"/>
      <c r="N1673" s="56"/>
      <c r="O1673" s="58"/>
      <c r="P1673" s="62"/>
      <c r="Q1673" s="33"/>
      <c r="R1673" s="33"/>
      <c r="S1673" s="61"/>
      <c r="T1673" s="33"/>
      <c r="U1673" s="62"/>
      <c r="W1673" s="61"/>
      <c r="X1673" s="62"/>
      <c r="AG1673" s="64"/>
    </row>
    <row r="1674" spans="2:33" ht="16">
      <c r="B1674" s="67" t="str">
        <f t="shared" si="7"/>
        <v/>
      </c>
      <c r="C1674" s="33"/>
      <c r="D1674" s="33"/>
      <c r="E1674" s="33"/>
      <c r="F1674" s="56"/>
      <c r="G1674" s="33"/>
      <c r="H1674" s="33"/>
      <c r="I1674" s="33"/>
      <c r="J1674" s="57"/>
      <c r="K1674" s="33"/>
      <c r="L1674" s="57"/>
      <c r="M1674" s="64"/>
      <c r="N1674" s="56"/>
      <c r="O1674" s="58"/>
      <c r="P1674" s="62"/>
      <c r="Q1674" s="33"/>
      <c r="R1674" s="33"/>
      <c r="S1674" s="61"/>
      <c r="T1674" s="33"/>
      <c r="U1674" s="62"/>
      <c r="W1674" s="61"/>
      <c r="X1674" s="62"/>
      <c r="AG1674" s="64"/>
    </row>
    <row r="1675" spans="2:33" ht="16">
      <c r="B1675" s="67" t="str">
        <f t="shared" si="7"/>
        <v/>
      </c>
      <c r="C1675" s="33"/>
      <c r="D1675" s="33"/>
      <c r="E1675" s="33"/>
      <c r="F1675" s="56"/>
      <c r="G1675" s="33"/>
      <c r="H1675" s="33"/>
      <c r="I1675" s="33"/>
      <c r="J1675" s="57"/>
      <c r="K1675" s="33"/>
      <c r="L1675" s="57"/>
      <c r="M1675" s="58"/>
      <c r="N1675" s="56"/>
      <c r="O1675" s="58"/>
      <c r="P1675" s="62"/>
      <c r="Q1675" s="33"/>
      <c r="R1675" s="33"/>
      <c r="S1675" s="61"/>
      <c r="T1675" s="33"/>
      <c r="U1675" s="62"/>
      <c r="W1675" s="61"/>
      <c r="X1675" s="62"/>
      <c r="AD1675" s="64"/>
      <c r="AG1675" s="64"/>
    </row>
    <row r="1676" spans="2:33" ht="16">
      <c r="B1676" s="67" t="str">
        <f t="shared" si="7"/>
        <v/>
      </c>
      <c r="C1676" s="33"/>
      <c r="D1676" s="33"/>
      <c r="E1676" s="33"/>
      <c r="F1676" s="56"/>
      <c r="G1676" s="33"/>
      <c r="H1676" s="33"/>
      <c r="I1676" s="33"/>
      <c r="J1676" s="57"/>
      <c r="K1676" s="33"/>
      <c r="L1676" s="57"/>
      <c r="M1676" s="58"/>
      <c r="N1676" s="56"/>
      <c r="O1676" s="58"/>
      <c r="P1676" s="62"/>
      <c r="Q1676" s="33"/>
      <c r="R1676" s="33"/>
      <c r="S1676" s="61"/>
      <c r="T1676" s="33"/>
      <c r="U1676" s="62"/>
      <c r="W1676" s="61"/>
      <c r="X1676" s="62"/>
      <c r="AG1676" s="64"/>
    </row>
    <row r="1677" spans="2:33" ht="16">
      <c r="B1677" s="67" t="str">
        <f t="shared" si="7"/>
        <v/>
      </c>
      <c r="C1677" s="33"/>
      <c r="D1677" s="33"/>
      <c r="E1677" s="33"/>
      <c r="F1677" s="56"/>
      <c r="G1677" s="33"/>
      <c r="H1677" s="33"/>
      <c r="I1677" s="33"/>
      <c r="J1677" s="57"/>
      <c r="K1677" s="33"/>
      <c r="L1677" s="57"/>
      <c r="M1677" s="58"/>
      <c r="N1677" s="56"/>
      <c r="O1677" s="58"/>
      <c r="P1677" s="62"/>
      <c r="Q1677" s="33"/>
      <c r="R1677" s="33"/>
      <c r="S1677" s="61"/>
      <c r="T1677" s="33"/>
      <c r="U1677" s="62"/>
      <c r="W1677" s="61"/>
      <c r="X1677" s="62"/>
      <c r="AG1677" s="64"/>
    </row>
    <row r="1678" spans="2:33" ht="16">
      <c r="B1678" s="67" t="str">
        <f t="shared" si="7"/>
        <v/>
      </c>
      <c r="C1678" s="33"/>
      <c r="D1678" s="33"/>
      <c r="E1678" s="33"/>
      <c r="F1678" s="56"/>
      <c r="G1678" s="33"/>
      <c r="H1678" s="33"/>
      <c r="I1678" s="33"/>
      <c r="J1678" s="57"/>
      <c r="K1678" s="33"/>
      <c r="L1678" s="57"/>
      <c r="M1678" s="58"/>
      <c r="N1678" s="56"/>
      <c r="O1678" s="58"/>
      <c r="P1678" s="62"/>
      <c r="Q1678" s="33"/>
      <c r="R1678" s="33"/>
      <c r="S1678" s="61"/>
      <c r="T1678" s="33"/>
      <c r="U1678" s="62"/>
      <c r="W1678" s="61"/>
      <c r="X1678" s="62"/>
      <c r="AG1678" s="64"/>
    </row>
    <row r="1679" spans="2:33" ht="16">
      <c r="B1679" s="67" t="str">
        <f t="shared" si="7"/>
        <v/>
      </c>
      <c r="C1679" s="33"/>
      <c r="D1679" s="33"/>
      <c r="E1679" s="33"/>
      <c r="F1679" s="56"/>
      <c r="G1679" s="33"/>
      <c r="H1679" s="33"/>
      <c r="I1679" s="33"/>
      <c r="J1679" s="57"/>
      <c r="K1679" s="33"/>
      <c r="L1679" s="57"/>
      <c r="M1679" s="58"/>
      <c r="N1679" s="56"/>
      <c r="O1679" s="58"/>
      <c r="P1679" s="62"/>
      <c r="Q1679" s="33"/>
      <c r="R1679" s="33"/>
      <c r="S1679" s="61"/>
      <c r="T1679" s="33"/>
      <c r="U1679" s="62"/>
      <c r="W1679" s="61"/>
      <c r="X1679" s="62"/>
      <c r="AG1679" s="58"/>
    </row>
    <row r="1680" spans="2:33" ht="16">
      <c r="B1680" s="67" t="str">
        <f t="shared" si="7"/>
        <v/>
      </c>
      <c r="C1680" s="64"/>
      <c r="D1680" s="33"/>
      <c r="E1680" s="33"/>
      <c r="F1680" s="56"/>
      <c r="G1680" s="33"/>
      <c r="H1680" s="33"/>
      <c r="I1680" s="33"/>
      <c r="J1680" s="57"/>
      <c r="K1680" s="33"/>
      <c r="L1680" s="57"/>
      <c r="M1680" s="58"/>
      <c r="N1680" s="56"/>
      <c r="O1680" s="58"/>
      <c r="P1680" s="62"/>
      <c r="Q1680" s="33"/>
      <c r="R1680" s="33"/>
      <c r="S1680" s="61"/>
      <c r="T1680" s="33"/>
      <c r="U1680" s="62"/>
      <c r="W1680" s="61"/>
      <c r="X1680" s="62"/>
      <c r="AG1680" s="64"/>
    </row>
    <row r="1681" spans="2:33" ht="16">
      <c r="B1681" s="67" t="str">
        <f t="shared" si="7"/>
        <v/>
      </c>
      <c r="C1681" s="33"/>
      <c r="D1681" s="33"/>
      <c r="E1681" s="33"/>
      <c r="F1681" s="56"/>
      <c r="G1681" s="33"/>
      <c r="H1681" s="33"/>
      <c r="I1681" s="33"/>
      <c r="J1681" s="57"/>
      <c r="K1681" s="33"/>
      <c r="L1681" s="57"/>
      <c r="M1681" s="58"/>
      <c r="N1681" s="56"/>
      <c r="O1681" s="58"/>
      <c r="P1681" s="62"/>
      <c r="Q1681" s="33"/>
      <c r="R1681" s="33"/>
      <c r="S1681" s="61"/>
      <c r="T1681" s="33"/>
      <c r="U1681" s="62"/>
      <c r="W1681" s="61"/>
      <c r="X1681" s="62"/>
      <c r="AG1681" s="64"/>
    </row>
    <row r="1682" spans="2:33" ht="16">
      <c r="B1682" s="67" t="str">
        <f t="shared" si="7"/>
        <v/>
      </c>
      <c r="C1682" s="33"/>
      <c r="D1682" s="33"/>
      <c r="E1682" s="33"/>
      <c r="F1682" s="56"/>
      <c r="G1682" s="33"/>
      <c r="H1682" s="33"/>
      <c r="I1682" s="33"/>
      <c r="J1682" s="57"/>
      <c r="K1682" s="33"/>
      <c r="L1682" s="57"/>
      <c r="M1682" s="64"/>
      <c r="N1682" s="56"/>
      <c r="O1682" s="58"/>
      <c r="P1682" s="62"/>
      <c r="Q1682" s="33"/>
      <c r="R1682" s="33"/>
      <c r="S1682" s="61"/>
      <c r="T1682" s="33"/>
      <c r="U1682" s="62"/>
      <c r="W1682" s="61"/>
      <c r="X1682" s="62"/>
      <c r="AG1682" s="64"/>
    </row>
    <row r="1683" spans="2:33" ht="16">
      <c r="B1683" s="67" t="str">
        <f t="shared" si="7"/>
        <v/>
      </c>
      <c r="C1683" s="33"/>
      <c r="D1683" s="33"/>
      <c r="E1683" s="33"/>
      <c r="F1683" s="56"/>
      <c r="G1683" s="33"/>
      <c r="H1683" s="33"/>
      <c r="I1683" s="33"/>
      <c r="J1683" s="57"/>
      <c r="K1683" s="33"/>
      <c r="L1683" s="57"/>
      <c r="M1683" s="58"/>
      <c r="N1683" s="56"/>
      <c r="O1683" s="58"/>
      <c r="P1683" s="62"/>
      <c r="Q1683" s="33"/>
      <c r="R1683" s="33"/>
      <c r="S1683" s="61"/>
      <c r="T1683" s="33"/>
      <c r="U1683" s="62"/>
      <c r="W1683" s="61"/>
      <c r="X1683" s="62"/>
      <c r="AG1683" s="58"/>
    </row>
    <row r="1684" spans="2:33" ht="16">
      <c r="B1684" s="67" t="str">
        <f t="shared" si="7"/>
        <v/>
      </c>
      <c r="C1684" s="33"/>
      <c r="D1684" s="33"/>
      <c r="E1684" s="33"/>
      <c r="F1684" s="56"/>
      <c r="G1684" s="33"/>
      <c r="H1684" s="33"/>
      <c r="I1684" s="33"/>
      <c r="J1684" s="57"/>
      <c r="K1684" s="33"/>
      <c r="L1684" s="57"/>
      <c r="M1684" s="58"/>
      <c r="N1684" s="56"/>
      <c r="O1684" s="58"/>
      <c r="P1684" s="62"/>
      <c r="Q1684" s="33"/>
      <c r="R1684" s="33"/>
      <c r="S1684" s="61"/>
      <c r="T1684" s="33"/>
      <c r="U1684" s="62"/>
      <c r="W1684" s="61"/>
      <c r="X1684" s="62"/>
      <c r="AD1684" s="64"/>
      <c r="AG1684" s="64"/>
    </row>
    <row r="1685" spans="2:33" ht="16">
      <c r="B1685" s="67" t="str">
        <f t="shared" si="7"/>
        <v/>
      </c>
      <c r="C1685" s="33"/>
      <c r="D1685" s="33"/>
      <c r="E1685" s="33"/>
      <c r="F1685" s="56"/>
      <c r="G1685" s="33"/>
      <c r="H1685" s="33"/>
      <c r="I1685" s="33"/>
      <c r="J1685" s="57"/>
      <c r="K1685" s="33"/>
      <c r="L1685" s="57"/>
      <c r="M1685" s="58"/>
      <c r="N1685" s="56"/>
      <c r="O1685" s="58"/>
      <c r="P1685" s="62"/>
      <c r="Q1685" s="33"/>
      <c r="R1685" s="33"/>
      <c r="S1685" s="61"/>
      <c r="T1685" s="33"/>
      <c r="U1685" s="62"/>
      <c r="W1685" s="61"/>
      <c r="X1685" s="62"/>
      <c r="AG1685" s="58"/>
    </row>
    <row r="1686" spans="2:33" ht="16">
      <c r="B1686" s="67" t="str">
        <f t="shared" si="7"/>
        <v/>
      </c>
      <c r="C1686" s="33"/>
      <c r="D1686" s="33"/>
      <c r="E1686" s="33"/>
      <c r="F1686" s="56"/>
      <c r="G1686" s="33"/>
      <c r="H1686" s="33"/>
      <c r="I1686" s="33"/>
      <c r="J1686" s="57"/>
      <c r="K1686" s="33"/>
      <c r="L1686" s="57"/>
      <c r="M1686" s="58"/>
      <c r="N1686" s="56"/>
      <c r="O1686" s="58"/>
      <c r="P1686" s="62"/>
      <c r="Q1686" s="33"/>
      <c r="R1686" s="33"/>
      <c r="S1686" s="61"/>
      <c r="T1686" s="33"/>
      <c r="U1686" s="62"/>
      <c r="W1686" s="61"/>
      <c r="X1686" s="62"/>
      <c r="AG1686" s="64"/>
    </row>
    <row r="1687" spans="2:33" ht="16">
      <c r="B1687" s="67" t="str">
        <f t="shared" si="7"/>
        <v/>
      </c>
      <c r="C1687" s="33"/>
      <c r="D1687" s="33"/>
      <c r="E1687" s="33"/>
      <c r="F1687" s="56"/>
      <c r="G1687" s="33"/>
      <c r="H1687" s="33"/>
      <c r="I1687" s="33"/>
      <c r="J1687" s="57"/>
      <c r="K1687" s="33"/>
      <c r="L1687" s="57"/>
      <c r="M1687" s="58"/>
      <c r="N1687" s="56"/>
      <c r="O1687" s="58"/>
      <c r="P1687" s="62"/>
      <c r="Q1687" s="33"/>
      <c r="R1687" s="33"/>
      <c r="S1687" s="61"/>
      <c r="T1687" s="33"/>
      <c r="U1687" s="62"/>
      <c r="W1687" s="61"/>
      <c r="X1687" s="62"/>
      <c r="AG1687" s="64"/>
    </row>
    <row r="1688" spans="2:33" ht="16">
      <c r="B1688" s="67" t="str">
        <f t="shared" si="7"/>
        <v/>
      </c>
      <c r="C1688" s="33"/>
      <c r="D1688" s="33"/>
      <c r="E1688" s="33"/>
      <c r="F1688" s="56"/>
      <c r="G1688" s="33"/>
      <c r="H1688" s="33"/>
      <c r="I1688" s="33"/>
      <c r="J1688" s="57"/>
      <c r="K1688" s="33"/>
      <c r="L1688" s="57"/>
      <c r="M1688" s="58"/>
      <c r="N1688" s="56"/>
      <c r="O1688" s="58"/>
      <c r="P1688" s="62"/>
      <c r="Q1688" s="33"/>
      <c r="R1688" s="33"/>
      <c r="S1688" s="61"/>
      <c r="T1688" s="33"/>
      <c r="U1688" s="62"/>
      <c r="W1688" s="61"/>
      <c r="X1688" s="62"/>
      <c r="AG1688" s="64"/>
    </row>
    <row r="1689" spans="2:33" ht="16">
      <c r="B1689" s="67" t="str">
        <f t="shared" si="7"/>
        <v/>
      </c>
      <c r="C1689" s="33"/>
      <c r="D1689" s="33"/>
      <c r="E1689" s="33"/>
      <c r="F1689" s="56"/>
      <c r="G1689" s="33"/>
      <c r="H1689" s="33"/>
      <c r="I1689" s="33"/>
      <c r="J1689" s="57"/>
      <c r="K1689" s="33"/>
      <c r="L1689" s="57"/>
      <c r="M1689" s="58"/>
      <c r="N1689" s="56"/>
      <c r="O1689" s="58"/>
      <c r="P1689" s="62"/>
      <c r="Q1689" s="33"/>
      <c r="R1689" s="33"/>
      <c r="S1689" s="61"/>
      <c r="T1689" s="33"/>
      <c r="U1689" s="62"/>
      <c r="W1689" s="61"/>
      <c r="X1689" s="62"/>
      <c r="AG1689" s="64"/>
    </row>
    <row r="1690" spans="2:33" ht="16">
      <c r="B1690" s="67" t="str">
        <f t="shared" si="7"/>
        <v/>
      </c>
      <c r="C1690" s="33"/>
      <c r="D1690" s="33"/>
      <c r="E1690" s="33"/>
      <c r="F1690" s="56"/>
      <c r="G1690" s="33"/>
      <c r="H1690" s="33"/>
      <c r="I1690" s="33"/>
      <c r="J1690" s="57"/>
      <c r="K1690" s="33"/>
      <c r="L1690" s="57"/>
      <c r="M1690" s="64"/>
      <c r="N1690" s="56"/>
      <c r="O1690" s="58"/>
      <c r="P1690" s="62"/>
      <c r="Q1690" s="33"/>
      <c r="R1690" s="33"/>
      <c r="S1690" s="61"/>
      <c r="T1690" s="33"/>
      <c r="U1690" s="62"/>
      <c r="W1690" s="61"/>
      <c r="X1690" s="62"/>
      <c r="AG1690" s="64"/>
    </row>
    <row r="1691" spans="2:33" ht="16">
      <c r="B1691" s="67" t="str">
        <f t="shared" si="7"/>
        <v/>
      </c>
      <c r="C1691" s="33"/>
      <c r="D1691" s="33"/>
      <c r="E1691" s="33"/>
      <c r="F1691" s="56"/>
      <c r="G1691" s="33"/>
      <c r="H1691" s="33"/>
      <c r="I1691" s="33"/>
      <c r="J1691" s="57"/>
      <c r="K1691" s="33"/>
      <c r="L1691" s="57"/>
      <c r="M1691" s="58"/>
      <c r="N1691" s="56"/>
      <c r="O1691" s="58"/>
      <c r="P1691" s="62"/>
      <c r="Q1691" s="33"/>
      <c r="R1691" s="33"/>
      <c r="S1691" s="61"/>
      <c r="T1691" s="33"/>
      <c r="U1691" s="62"/>
      <c r="W1691" s="61"/>
      <c r="X1691" s="62"/>
      <c r="AG1691" s="64"/>
    </row>
    <row r="1692" spans="2:33" ht="16">
      <c r="B1692" s="67" t="str">
        <f t="shared" si="7"/>
        <v/>
      </c>
      <c r="C1692" s="33"/>
      <c r="D1692" s="33"/>
      <c r="E1692" s="33"/>
      <c r="F1692" s="56"/>
      <c r="G1692" s="33"/>
      <c r="H1692" s="33"/>
      <c r="I1692" s="33"/>
      <c r="J1692" s="57"/>
      <c r="K1692" s="33"/>
      <c r="L1692" s="57"/>
      <c r="M1692" s="58"/>
      <c r="N1692" s="56"/>
      <c r="O1692" s="58"/>
      <c r="P1692" s="62"/>
      <c r="Q1692" s="33"/>
      <c r="R1692" s="33"/>
      <c r="S1692" s="61"/>
      <c r="T1692" s="33"/>
      <c r="U1692" s="62"/>
      <c r="W1692" s="61"/>
      <c r="X1692" s="62"/>
      <c r="AG1692" s="58"/>
    </row>
    <row r="1693" spans="2:33" ht="16">
      <c r="B1693" s="67" t="str">
        <f t="shared" si="7"/>
        <v/>
      </c>
      <c r="C1693" s="33"/>
      <c r="D1693" s="33"/>
      <c r="E1693" s="33"/>
      <c r="F1693" s="56"/>
      <c r="G1693" s="33"/>
      <c r="H1693" s="33"/>
      <c r="I1693" s="33"/>
      <c r="J1693" s="57"/>
      <c r="K1693" s="33"/>
      <c r="L1693" s="57"/>
      <c r="M1693" s="64"/>
      <c r="N1693" s="56"/>
      <c r="O1693" s="58"/>
      <c r="P1693" s="62"/>
      <c r="Q1693" s="33"/>
      <c r="R1693" s="33"/>
      <c r="S1693" s="61"/>
      <c r="T1693" s="33"/>
      <c r="U1693" s="62"/>
      <c r="W1693" s="61"/>
      <c r="X1693" s="62"/>
      <c r="AG1693" s="58"/>
    </row>
    <row r="1694" spans="2:33" ht="16">
      <c r="B1694" s="67" t="str">
        <f t="shared" si="7"/>
        <v/>
      </c>
      <c r="C1694" s="33"/>
      <c r="D1694" s="33"/>
      <c r="E1694" s="33"/>
      <c r="F1694" s="56"/>
      <c r="G1694" s="33"/>
      <c r="H1694" s="33"/>
      <c r="I1694" s="33"/>
      <c r="J1694" s="57"/>
      <c r="K1694" s="33"/>
      <c r="L1694" s="57"/>
      <c r="M1694" s="58"/>
      <c r="N1694" s="56"/>
      <c r="O1694" s="58"/>
      <c r="P1694" s="62"/>
      <c r="Q1694" s="33"/>
      <c r="R1694" s="33"/>
      <c r="S1694" s="61"/>
      <c r="T1694" s="33"/>
      <c r="U1694" s="62"/>
      <c r="W1694" s="61"/>
      <c r="X1694" s="62"/>
      <c r="AG1694" s="64"/>
    </row>
    <row r="1695" spans="2:33" ht="16">
      <c r="B1695" s="67" t="str">
        <f t="shared" si="7"/>
        <v/>
      </c>
      <c r="C1695" s="33"/>
      <c r="D1695" s="33"/>
      <c r="E1695" s="33"/>
      <c r="F1695" s="56"/>
      <c r="G1695" s="33"/>
      <c r="H1695" s="33"/>
      <c r="I1695" s="33"/>
      <c r="J1695" s="57"/>
      <c r="K1695" s="33"/>
      <c r="L1695" s="57"/>
      <c r="M1695" s="64"/>
      <c r="N1695" s="56"/>
      <c r="O1695" s="58"/>
      <c r="P1695" s="62"/>
      <c r="Q1695" s="33"/>
      <c r="R1695" s="33"/>
      <c r="S1695" s="61"/>
      <c r="T1695" s="33"/>
      <c r="U1695" s="62"/>
      <c r="W1695" s="61"/>
      <c r="X1695" s="62"/>
      <c r="AG1695" s="64"/>
    </row>
    <row r="1696" spans="2:33" ht="16">
      <c r="B1696" s="67" t="str">
        <f t="shared" si="7"/>
        <v/>
      </c>
      <c r="C1696" s="33"/>
      <c r="D1696" s="33"/>
      <c r="E1696" s="33"/>
      <c r="F1696" s="56"/>
      <c r="G1696" s="33"/>
      <c r="H1696" s="33"/>
      <c r="I1696" s="33"/>
      <c r="J1696" s="57"/>
      <c r="K1696" s="33"/>
      <c r="L1696" s="57"/>
      <c r="M1696" s="64"/>
      <c r="N1696" s="56"/>
      <c r="O1696" s="58"/>
      <c r="P1696" s="62"/>
      <c r="Q1696" s="33"/>
      <c r="R1696" s="33"/>
      <c r="S1696" s="61"/>
      <c r="T1696" s="33"/>
      <c r="U1696" s="62"/>
      <c r="W1696" s="61"/>
      <c r="X1696" s="62"/>
      <c r="AG1696" s="64"/>
    </row>
    <row r="1697" spans="2:33" ht="16">
      <c r="B1697" s="67" t="str">
        <f t="shared" si="7"/>
        <v/>
      </c>
      <c r="C1697" s="33"/>
      <c r="D1697" s="33"/>
      <c r="E1697" s="33"/>
      <c r="F1697" s="56"/>
      <c r="G1697" s="33"/>
      <c r="H1697" s="33"/>
      <c r="I1697" s="33"/>
      <c r="J1697" s="57"/>
      <c r="K1697" s="33"/>
      <c r="L1697" s="57"/>
      <c r="M1697" s="58"/>
      <c r="N1697" s="56"/>
      <c r="O1697" s="58"/>
      <c r="P1697" s="62"/>
      <c r="Q1697" s="33"/>
      <c r="R1697" s="33"/>
      <c r="S1697" s="61"/>
      <c r="T1697" s="33"/>
      <c r="U1697" s="62"/>
      <c r="W1697" s="61"/>
      <c r="X1697" s="62"/>
      <c r="AG1697" s="58"/>
    </row>
    <row r="1698" spans="2:33" ht="16">
      <c r="B1698" s="67" t="str">
        <f t="shared" si="7"/>
        <v/>
      </c>
      <c r="C1698" s="33"/>
      <c r="D1698" s="33"/>
      <c r="E1698" s="33"/>
      <c r="F1698" s="56"/>
      <c r="G1698" s="33"/>
      <c r="H1698" s="33"/>
      <c r="I1698" s="33"/>
      <c r="J1698" s="57"/>
      <c r="K1698" s="33"/>
      <c r="L1698" s="57"/>
      <c r="M1698" s="58"/>
      <c r="N1698" s="56"/>
      <c r="O1698" s="58"/>
      <c r="P1698" s="62"/>
      <c r="Q1698" s="33"/>
      <c r="R1698" s="33"/>
      <c r="S1698" s="61"/>
      <c r="T1698" s="33"/>
      <c r="U1698" s="62"/>
      <c r="W1698" s="61"/>
      <c r="X1698" s="62"/>
      <c r="AG1698" s="64"/>
    </row>
    <row r="1699" spans="2:33" ht="16">
      <c r="B1699" s="67" t="str">
        <f t="shared" si="7"/>
        <v/>
      </c>
      <c r="C1699" s="33"/>
      <c r="D1699" s="33"/>
      <c r="E1699" s="33"/>
      <c r="F1699" s="56"/>
      <c r="G1699" s="33"/>
      <c r="H1699" s="33"/>
      <c r="I1699" s="33"/>
      <c r="J1699" s="57"/>
      <c r="K1699" s="33"/>
      <c r="L1699" s="57"/>
      <c r="M1699" s="58"/>
      <c r="N1699" s="56"/>
      <c r="O1699" s="58"/>
      <c r="P1699" s="62"/>
      <c r="Q1699" s="33"/>
      <c r="R1699" s="33"/>
      <c r="S1699" s="61"/>
      <c r="T1699" s="33"/>
      <c r="U1699" s="62"/>
      <c r="W1699" s="61"/>
      <c r="X1699" s="62"/>
      <c r="AG1699" s="64"/>
    </row>
    <row r="1700" spans="2:33" ht="16">
      <c r="B1700" s="67" t="str">
        <f t="shared" si="7"/>
        <v/>
      </c>
      <c r="C1700" s="33"/>
      <c r="D1700" s="33"/>
      <c r="E1700" s="33"/>
      <c r="F1700" s="56"/>
      <c r="G1700" s="33"/>
      <c r="H1700" s="33"/>
      <c r="I1700" s="33"/>
      <c r="J1700" s="57"/>
      <c r="K1700" s="33"/>
      <c r="L1700" s="57"/>
      <c r="M1700" s="58"/>
      <c r="N1700" s="56"/>
      <c r="O1700" s="58"/>
      <c r="P1700" s="62"/>
      <c r="Q1700" s="33"/>
      <c r="R1700" s="33"/>
      <c r="S1700" s="61"/>
      <c r="T1700" s="33"/>
      <c r="U1700" s="62"/>
      <c r="W1700" s="61"/>
      <c r="X1700" s="62"/>
      <c r="AG1700" s="64"/>
    </row>
    <row r="1701" spans="2:33" ht="16">
      <c r="B1701" s="67" t="str">
        <f t="shared" si="7"/>
        <v/>
      </c>
      <c r="C1701" s="33"/>
      <c r="D1701" s="33"/>
      <c r="E1701" s="33"/>
      <c r="F1701" s="56"/>
      <c r="G1701" s="33"/>
      <c r="H1701" s="33"/>
      <c r="I1701" s="33"/>
      <c r="J1701" s="57"/>
      <c r="K1701" s="33"/>
      <c r="L1701" s="57"/>
      <c r="M1701" s="58"/>
      <c r="N1701" s="56"/>
      <c r="O1701" s="58"/>
      <c r="P1701" s="62"/>
      <c r="Q1701" s="33"/>
      <c r="R1701" s="33"/>
      <c r="S1701" s="61"/>
      <c r="T1701" s="33"/>
      <c r="U1701" s="62"/>
      <c r="W1701" s="61"/>
      <c r="X1701" s="62"/>
      <c r="AG1701" s="64"/>
    </row>
    <row r="1702" spans="2:33" ht="16">
      <c r="B1702" s="67" t="str">
        <f t="shared" si="7"/>
        <v/>
      </c>
      <c r="C1702" s="33"/>
      <c r="D1702" s="33"/>
      <c r="E1702" s="33"/>
      <c r="F1702" s="56"/>
      <c r="G1702" s="33"/>
      <c r="H1702" s="33"/>
      <c r="I1702" s="33"/>
      <c r="J1702" s="57"/>
      <c r="K1702" s="33"/>
      <c r="L1702" s="57"/>
      <c r="M1702" s="58"/>
      <c r="N1702" s="56"/>
      <c r="O1702" s="58"/>
      <c r="P1702" s="62"/>
      <c r="Q1702" s="33"/>
      <c r="R1702" s="33"/>
      <c r="S1702" s="61"/>
      <c r="T1702" s="33"/>
      <c r="U1702" s="62"/>
      <c r="W1702" s="61"/>
      <c r="X1702" s="62"/>
      <c r="AG1702" s="64"/>
    </row>
    <row r="1703" spans="2:33" ht="16">
      <c r="B1703" s="67" t="str">
        <f t="shared" si="7"/>
        <v/>
      </c>
      <c r="C1703" s="33"/>
      <c r="D1703" s="33"/>
      <c r="E1703" s="33"/>
      <c r="F1703" s="56"/>
      <c r="G1703" s="33"/>
      <c r="H1703" s="33"/>
      <c r="I1703" s="33"/>
      <c r="J1703" s="57"/>
      <c r="K1703" s="33"/>
      <c r="L1703" s="57"/>
      <c r="M1703" s="58"/>
      <c r="N1703" s="56"/>
      <c r="O1703" s="58"/>
      <c r="P1703" s="62"/>
      <c r="Q1703" s="33"/>
      <c r="R1703" s="33"/>
      <c r="S1703" s="61"/>
      <c r="T1703" s="33"/>
      <c r="U1703" s="62"/>
      <c r="W1703" s="61"/>
      <c r="X1703" s="62"/>
      <c r="AG1703" s="64"/>
    </row>
    <row r="1704" spans="2:33" ht="16">
      <c r="B1704" s="67" t="str">
        <f t="shared" si="7"/>
        <v/>
      </c>
      <c r="C1704" s="33"/>
      <c r="D1704" s="33"/>
      <c r="E1704" s="33"/>
      <c r="F1704" s="56"/>
      <c r="G1704" s="33"/>
      <c r="H1704" s="33"/>
      <c r="I1704" s="33"/>
      <c r="J1704" s="57"/>
      <c r="K1704" s="33"/>
      <c r="L1704" s="57"/>
      <c r="M1704" s="58"/>
      <c r="N1704" s="56"/>
      <c r="O1704" s="58"/>
      <c r="P1704" s="62"/>
      <c r="Q1704" s="33"/>
      <c r="R1704" s="33"/>
      <c r="S1704" s="61"/>
      <c r="T1704" s="33"/>
      <c r="U1704" s="62"/>
      <c r="W1704" s="61"/>
      <c r="X1704" s="62"/>
      <c r="AG1704" s="64"/>
    </row>
    <row r="1705" spans="2:33" ht="16">
      <c r="B1705" s="67" t="str">
        <f t="shared" si="7"/>
        <v/>
      </c>
      <c r="C1705" s="33"/>
      <c r="D1705" s="33"/>
      <c r="E1705" s="33"/>
      <c r="F1705" s="56"/>
      <c r="G1705" s="33"/>
      <c r="H1705" s="33"/>
      <c r="I1705" s="33"/>
      <c r="J1705" s="57"/>
      <c r="K1705" s="33"/>
      <c r="L1705" s="57"/>
      <c r="M1705" s="64"/>
      <c r="N1705" s="56"/>
      <c r="O1705" s="58"/>
      <c r="P1705" s="62"/>
      <c r="Q1705" s="33"/>
      <c r="R1705" s="33"/>
      <c r="S1705" s="61"/>
      <c r="T1705" s="33"/>
      <c r="U1705" s="62"/>
      <c r="W1705" s="61"/>
      <c r="X1705" s="62"/>
      <c r="AG1705" s="64"/>
    </row>
    <row r="1706" spans="2:33" ht="16">
      <c r="B1706" s="67" t="str">
        <f t="shared" si="7"/>
        <v/>
      </c>
      <c r="C1706" s="33"/>
      <c r="D1706" s="33"/>
      <c r="E1706" s="33"/>
      <c r="F1706" s="56"/>
      <c r="G1706" s="33"/>
      <c r="H1706" s="33"/>
      <c r="I1706" s="33"/>
      <c r="J1706" s="57"/>
      <c r="K1706" s="33"/>
      <c r="L1706" s="57"/>
      <c r="M1706" s="64"/>
      <c r="N1706" s="56"/>
      <c r="O1706" s="58"/>
      <c r="P1706" s="62"/>
      <c r="Q1706" s="33"/>
      <c r="R1706" s="33"/>
      <c r="S1706" s="61"/>
      <c r="T1706" s="33"/>
      <c r="U1706" s="62"/>
      <c r="W1706" s="61"/>
      <c r="X1706" s="62"/>
      <c r="AG1706" s="64"/>
    </row>
    <row r="1707" spans="2:33" ht="16">
      <c r="B1707" s="67" t="str">
        <f t="shared" si="7"/>
        <v/>
      </c>
      <c r="C1707" s="33"/>
      <c r="D1707" s="33"/>
      <c r="E1707" s="33"/>
      <c r="F1707" s="56"/>
      <c r="G1707" s="33"/>
      <c r="H1707" s="33"/>
      <c r="I1707" s="33"/>
      <c r="J1707" s="57"/>
      <c r="K1707" s="33"/>
      <c r="L1707" s="57"/>
      <c r="M1707" s="58"/>
      <c r="N1707" s="56"/>
      <c r="O1707" s="58"/>
      <c r="P1707" s="62"/>
      <c r="Q1707" s="33"/>
      <c r="R1707" s="33"/>
      <c r="S1707" s="61"/>
      <c r="T1707" s="33"/>
      <c r="U1707" s="62"/>
      <c r="W1707" s="61"/>
      <c r="X1707" s="62"/>
      <c r="AG1707" s="64"/>
    </row>
    <row r="1708" spans="2:33" ht="16">
      <c r="B1708" s="67" t="str">
        <f t="shared" si="7"/>
        <v/>
      </c>
      <c r="C1708" s="33"/>
      <c r="D1708" s="33"/>
      <c r="E1708" s="33"/>
      <c r="F1708" s="56"/>
      <c r="G1708" s="33"/>
      <c r="H1708" s="33"/>
      <c r="I1708" s="33"/>
      <c r="J1708" s="57"/>
      <c r="K1708" s="33"/>
      <c r="L1708" s="57"/>
      <c r="M1708" s="58"/>
      <c r="N1708" s="56"/>
      <c r="O1708" s="58"/>
      <c r="P1708" s="62"/>
      <c r="Q1708" s="33"/>
      <c r="R1708" s="33"/>
      <c r="S1708" s="61"/>
      <c r="T1708" s="33"/>
      <c r="U1708" s="62"/>
      <c r="W1708" s="61"/>
      <c r="X1708" s="62"/>
      <c r="AG1708" s="64"/>
    </row>
    <row r="1709" spans="2:33" ht="16">
      <c r="B1709" s="67" t="str">
        <f t="shared" si="7"/>
        <v/>
      </c>
      <c r="C1709" s="33"/>
      <c r="D1709" s="33"/>
      <c r="E1709" s="33"/>
      <c r="F1709" s="56"/>
      <c r="G1709" s="33"/>
      <c r="H1709" s="33"/>
      <c r="I1709" s="33"/>
      <c r="J1709" s="57"/>
      <c r="K1709" s="33"/>
      <c r="L1709" s="57"/>
      <c r="M1709" s="64"/>
      <c r="N1709" s="56"/>
      <c r="O1709" s="58"/>
      <c r="P1709" s="62"/>
      <c r="Q1709" s="33"/>
      <c r="R1709" s="33"/>
      <c r="S1709" s="61"/>
      <c r="T1709" s="33"/>
      <c r="U1709" s="62"/>
      <c r="W1709" s="61"/>
      <c r="X1709" s="62"/>
      <c r="AG1709" s="64"/>
    </row>
    <row r="1710" spans="2:33" ht="16">
      <c r="B1710" s="67" t="str">
        <f t="shared" si="7"/>
        <v/>
      </c>
      <c r="C1710" s="33"/>
      <c r="D1710" s="33"/>
      <c r="E1710" s="33"/>
      <c r="F1710" s="56"/>
      <c r="G1710" s="33"/>
      <c r="H1710" s="33"/>
      <c r="I1710" s="33"/>
      <c r="J1710" s="57"/>
      <c r="K1710" s="33"/>
      <c r="L1710" s="57"/>
      <c r="M1710" s="58"/>
      <c r="N1710" s="56"/>
      <c r="O1710" s="58"/>
      <c r="P1710" s="62"/>
      <c r="Q1710" s="33"/>
      <c r="R1710" s="33"/>
      <c r="S1710" s="61"/>
      <c r="T1710" s="33"/>
      <c r="U1710" s="62"/>
      <c r="W1710" s="61"/>
      <c r="X1710" s="62"/>
      <c r="AD1710" s="64"/>
      <c r="AG1710" s="64"/>
    </row>
    <row r="1711" spans="2:33" ht="16">
      <c r="B1711" s="67" t="str">
        <f t="shared" si="7"/>
        <v/>
      </c>
      <c r="C1711" s="33"/>
      <c r="D1711" s="33"/>
      <c r="E1711" s="33"/>
      <c r="F1711" s="56"/>
      <c r="G1711" s="33"/>
      <c r="H1711" s="33"/>
      <c r="I1711" s="33"/>
      <c r="J1711" s="57"/>
      <c r="K1711" s="33"/>
      <c r="L1711" s="57"/>
      <c r="M1711" s="58"/>
      <c r="N1711" s="56"/>
      <c r="O1711" s="58"/>
      <c r="P1711" s="62"/>
      <c r="Q1711" s="33"/>
      <c r="R1711" s="33"/>
      <c r="S1711" s="61"/>
      <c r="T1711" s="33"/>
      <c r="U1711" s="62"/>
      <c r="W1711" s="61"/>
      <c r="X1711" s="62"/>
      <c r="AG1711" s="64"/>
    </row>
    <row r="1712" spans="2:33" ht="16">
      <c r="B1712" s="67" t="str">
        <f t="shared" si="7"/>
        <v/>
      </c>
      <c r="C1712" s="33"/>
      <c r="D1712" s="33"/>
      <c r="E1712" s="33"/>
      <c r="F1712" s="56"/>
      <c r="G1712" s="33"/>
      <c r="H1712" s="33"/>
      <c r="I1712" s="33"/>
      <c r="J1712" s="57"/>
      <c r="K1712" s="33"/>
      <c r="L1712" s="57"/>
      <c r="M1712" s="64"/>
      <c r="N1712" s="56"/>
      <c r="O1712" s="58"/>
      <c r="P1712" s="62"/>
      <c r="Q1712" s="33"/>
      <c r="R1712" s="33"/>
      <c r="S1712" s="61"/>
      <c r="T1712" s="33"/>
      <c r="U1712" s="62"/>
      <c r="W1712" s="61"/>
      <c r="X1712" s="62"/>
      <c r="AE1712" s="1"/>
      <c r="AG1712" s="58"/>
    </row>
    <row r="1713" spans="2:33" ht="16">
      <c r="B1713" s="67" t="str">
        <f t="shared" si="7"/>
        <v/>
      </c>
      <c r="C1713" s="33"/>
      <c r="D1713" s="33"/>
      <c r="E1713" s="33"/>
      <c r="F1713" s="56"/>
      <c r="G1713" s="33"/>
      <c r="H1713" s="33"/>
      <c r="I1713" s="33"/>
      <c r="J1713" s="57"/>
      <c r="K1713" s="33"/>
      <c r="L1713" s="57"/>
      <c r="M1713" s="58"/>
      <c r="N1713" s="56"/>
      <c r="O1713" s="58"/>
      <c r="P1713" s="62"/>
      <c r="Q1713" s="33"/>
      <c r="R1713" s="33"/>
      <c r="S1713" s="61"/>
      <c r="T1713" s="33"/>
      <c r="U1713" s="62"/>
      <c r="W1713" s="61"/>
      <c r="X1713" s="62"/>
      <c r="AG1713" s="64"/>
    </row>
    <row r="1714" spans="2:33" ht="16">
      <c r="B1714" s="67" t="str">
        <f t="shared" si="7"/>
        <v/>
      </c>
      <c r="C1714" s="33"/>
      <c r="D1714" s="33"/>
      <c r="E1714" s="33"/>
      <c r="F1714" s="56"/>
      <c r="G1714" s="33"/>
      <c r="H1714" s="33"/>
      <c r="I1714" s="33"/>
      <c r="J1714" s="57"/>
      <c r="K1714" s="33"/>
      <c r="L1714" s="57"/>
      <c r="M1714" s="58"/>
      <c r="N1714" s="56"/>
      <c r="O1714" s="58"/>
      <c r="P1714" s="62"/>
      <c r="Q1714" s="33"/>
      <c r="R1714" s="33"/>
      <c r="S1714" s="61"/>
      <c r="T1714" s="33"/>
      <c r="U1714" s="62"/>
      <c r="W1714" s="61"/>
      <c r="X1714" s="62"/>
      <c r="AE1714" s="1"/>
      <c r="AG1714" s="64"/>
    </row>
    <row r="1715" spans="2:33" ht="16">
      <c r="B1715" s="67" t="str">
        <f t="shared" si="7"/>
        <v/>
      </c>
      <c r="C1715" s="33"/>
      <c r="D1715" s="33"/>
      <c r="E1715" s="33"/>
      <c r="F1715" s="56"/>
      <c r="G1715" s="33"/>
      <c r="H1715" s="33"/>
      <c r="I1715" s="33"/>
      <c r="J1715" s="57"/>
      <c r="K1715" s="33"/>
      <c r="L1715" s="57"/>
      <c r="M1715" s="64"/>
      <c r="N1715" s="56"/>
      <c r="O1715" s="58"/>
      <c r="P1715" s="62"/>
      <c r="Q1715" s="33"/>
      <c r="R1715" s="33"/>
      <c r="S1715" s="61"/>
      <c r="T1715" s="33"/>
      <c r="U1715" s="62"/>
      <c r="W1715" s="61"/>
      <c r="X1715" s="62"/>
      <c r="AG1715" s="64"/>
    </row>
    <row r="1716" spans="2:33" ht="16">
      <c r="B1716" s="67" t="str">
        <f t="shared" si="7"/>
        <v/>
      </c>
      <c r="C1716" s="33"/>
      <c r="D1716" s="33"/>
      <c r="E1716" s="33"/>
      <c r="F1716" s="56"/>
      <c r="G1716" s="33"/>
      <c r="H1716" s="33"/>
      <c r="I1716" s="33"/>
      <c r="J1716" s="57"/>
      <c r="K1716" s="33"/>
      <c r="L1716" s="57"/>
      <c r="M1716" s="58"/>
      <c r="N1716" s="56"/>
      <c r="O1716" s="58"/>
      <c r="P1716" s="62"/>
      <c r="Q1716" s="33"/>
      <c r="R1716" s="33"/>
      <c r="S1716" s="61"/>
      <c r="T1716" s="33"/>
      <c r="U1716" s="62"/>
      <c r="W1716" s="61"/>
      <c r="X1716" s="62"/>
      <c r="AG1716" s="64"/>
    </row>
    <row r="1717" spans="2:33" ht="16">
      <c r="B1717" s="67" t="str">
        <f t="shared" si="7"/>
        <v/>
      </c>
      <c r="C1717" s="33"/>
      <c r="D1717" s="33"/>
      <c r="E1717" s="33"/>
      <c r="F1717" s="56"/>
      <c r="G1717" s="33"/>
      <c r="H1717" s="33"/>
      <c r="I1717" s="33"/>
      <c r="J1717" s="57"/>
      <c r="K1717" s="33"/>
      <c r="L1717" s="57"/>
      <c r="M1717" s="58"/>
      <c r="N1717" s="56"/>
      <c r="O1717" s="58"/>
      <c r="P1717" s="62"/>
      <c r="Q1717" s="33"/>
      <c r="R1717" s="33"/>
      <c r="S1717" s="61"/>
      <c r="T1717" s="33"/>
      <c r="U1717" s="62"/>
      <c r="W1717" s="61"/>
      <c r="X1717" s="62"/>
      <c r="AG1717" s="64"/>
    </row>
    <row r="1718" spans="2:33" ht="16">
      <c r="B1718" s="67" t="str">
        <f t="shared" si="7"/>
        <v/>
      </c>
      <c r="C1718" s="33"/>
      <c r="D1718" s="33"/>
      <c r="E1718" s="33"/>
      <c r="F1718" s="56"/>
      <c r="G1718" s="33"/>
      <c r="H1718" s="33"/>
      <c r="I1718" s="33"/>
      <c r="J1718" s="57"/>
      <c r="K1718" s="33"/>
      <c r="L1718" s="57"/>
      <c r="M1718" s="58"/>
      <c r="N1718" s="56"/>
      <c r="O1718" s="58"/>
      <c r="P1718" s="62"/>
      <c r="Q1718" s="33"/>
      <c r="R1718" s="33"/>
      <c r="S1718" s="61"/>
      <c r="T1718" s="33"/>
      <c r="U1718" s="62"/>
      <c r="W1718" s="61"/>
      <c r="X1718" s="62"/>
      <c r="AG1718" s="58"/>
    </row>
    <row r="1719" spans="2:33" ht="16">
      <c r="B1719" s="67" t="str">
        <f t="shared" si="7"/>
        <v/>
      </c>
      <c r="C1719" s="33"/>
      <c r="D1719" s="33"/>
      <c r="E1719" s="33"/>
      <c r="F1719" s="56"/>
      <c r="G1719" s="33"/>
      <c r="H1719" s="33"/>
      <c r="I1719" s="33"/>
      <c r="J1719" s="57"/>
      <c r="K1719" s="33"/>
      <c r="L1719" s="57"/>
      <c r="M1719" s="58"/>
      <c r="N1719" s="56"/>
      <c r="O1719" s="58"/>
      <c r="P1719" s="62"/>
      <c r="Q1719" s="33"/>
      <c r="R1719" s="33"/>
      <c r="S1719" s="61"/>
      <c r="T1719" s="33"/>
      <c r="U1719" s="62"/>
      <c r="W1719" s="61"/>
      <c r="X1719" s="62"/>
      <c r="AG1719" s="64"/>
    </row>
    <row r="1720" spans="2:33" ht="16">
      <c r="B1720" s="67" t="str">
        <f t="shared" si="7"/>
        <v/>
      </c>
      <c r="C1720" s="33"/>
      <c r="D1720" s="33"/>
      <c r="E1720" s="33"/>
      <c r="F1720" s="56"/>
      <c r="G1720" s="33"/>
      <c r="H1720" s="33"/>
      <c r="I1720" s="33"/>
      <c r="J1720" s="57"/>
      <c r="K1720" s="33"/>
      <c r="L1720" s="57"/>
      <c r="M1720" s="64"/>
      <c r="N1720" s="56"/>
      <c r="O1720" s="58"/>
      <c r="P1720" s="62"/>
      <c r="Q1720" s="33"/>
      <c r="R1720" s="33"/>
      <c r="S1720" s="61"/>
      <c r="T1720" s="33"/>
      <c r="U1720" s="62"/>
      <c r="W1720" s="61"/>
      <c r="X1720" s="62"/>
      <c r="AG1720" s="64"/>
    </row>
    <row r="1721" spans="2:33" ht="16">
      <c r="B1721" s="67" t="str">
        <f t="shared" si="7"/>
        <v/>
      </c>
      <c r="C1721" s="33"/>
      <c r="D1721" s="33"/>
      <c r="E1721" s="33"/>
      <c r="F1721" s="56"/>
      <c r="G1721" s="33"/>
      <c r="H1721" s="33"/>
      <c r="I1721" s="33"/>
      <c r="J1721" s="57"/>
      <c r="K1721" s="33"/>
      <c r="L1721" s="57"/>
      <c r="M1721" s="58"/>
      <c r="N1721" s="56"/>
      <c r="O1721" s="58"/>
      <c r="P1721" s="62"/>
      <c r="Q1721" s="33"/>
      <c r="R1721" s="33"/>
      <c r="S1721" s="61"/>
      <c r="T1721" s="33"/>
      <c r="U1721" s="62"/>
      <c r="W1721" s="61"/>
      <c r="X1721" s="62"/>
      <c r="AG1721" s="64"/>
    </row>
    <row r="1722" spans="2:33" ht="16">
      <c r="B1722" s="67" t="str">
        <f t="shared" si="7"/>
        <v/>
      </c>
      <c r="C1722" s="33"/>
      <c r="D1722" s="33"/>
      <c r="E1722" s="33"/>
      <c r="F1722" s="56"/>
      <c r="G1722" s="33"/>
      <c r="H1722" s="33"/>
      <c r="I1722" s="33"/>
      <c r="J1722" s="57"/>
      <c r="K1722" s="33"/>
      <c r="L1722" s="57"/>
      <c r="M1722" s="64"/>
      <c r="N1722" s="56"/>
      <c r="O1722" s="58"/>
      <c r="P1722" s="62"/>
      <c r="Q1722" s="33"/>
      <c r="R1722" s="33"/>
      <c r="S1722" s="61"/>
      <c r="T1722" s="33"/>
      <c r="U1722" s="62"/>
      <c r="W1722" s="61"/>
      <c r="X1722" s="62"/>
      <c r="AG1722" s="64"/>
    </row>
    <row r="1723" spans="2:33" ht="16">
      <c r="B1723" s="67" t="str">
        <f t="shared" si="7"/>
        <v/>
      </c>
      <c r="C1723" s="33"/>
      <c r="D1723" s="33"/>
      <c r="E1723" s="33"/>
      <c r="F1723" s="56"/>
      <c r="G1723" s="33"/>
      <c r="H1723" s="33"/>
      <c r="I1723" s="33"/>
      <c r="J1723" s="57"/>
      <c r="K1723" s="33"/>
      <c r="L1723" s="57"/>
      <c r="M1723" s="58"/>
      <c r="N1723" s="56"/>
      <c r="O1723" s="58"/>
      <c r="P1723" s="62"/>
      <c r="Q1723" s="33"/>
      <c r="R1723" s="33"/>
      <c r="S1723" s="61"/>
      <c r="T1723" s="33"/>
      <c r="U1723" s="62"/>
      <c r="W1723" s="61"/>
      <c r="X1723" s="62"/>
      <c r="AG1723" s="64"/>
    </row>
    <row r="1724" spans="2:33" ht="16">
      <c r="B1724" s="67" t="str">
        <f t="shared" si="7"/>
        <v/>
      </c>
      <c r="C1724" s="33"/>
      <c r="D1724" s="33"/>
      <c r="E1724" s="33"/>
      <c r="F1724" s="56"/>
      <c r="G1724" s="33"/>
      <c r="H1724" s="33"/>
      <c r="I1724" s="33"/>
      <c r="J1724" s="57"/>
      <c r="K1724" s="33"/>
      <c r="L1724" s="57"/>
      <c r="M1724" s="64"/>
      <c r="N1724" s="56"/>
      <c r="O1724" s="58"/>
      <c r="P1724" s="62"/>
      <c r="Q1724" s="33"/>
      <c r="R1724" s="33"/>
      <c r="S1724" s="61"/>
      <c r="T1724" s="33"/>
      <c r="U1724" s="62"/>
      <c r="W1724" s="61"/>
      <c r="X1724" s="62"/>
      <c r="AG1724" s="58"/>
    </row>
    <row r="1725" spans="2:33" ht="16">
      <c r="B1725" s="67" t="str">
        <f t="shared" si="7"/>
        <v/>
      </c>
      <c r="C1725" s="33"/>
      <c r="D1725" s="33"/>
      <c r="E1725" s="33"/>
      <c r="F1725" s="56"/>
      <c r="G1725" s="33"/>
      <c r="H1725" s="33"/>
      <c r="I1725" s="33"/>
      <c r="J1725" s="57"/>
      <c r="K1725" s="33"/>
      <c r="L1725" s="57"/>
      <c r="M1725" s="58"/>
      <c r="N1725" s="56"/>
      <c r="O1725" s="58"/>
      <c r="P1725" s="62"/>
      <c r="Q1725" s="33"/>
      <c r="R1725" s="33"/>
      <c r="S1725" s="61"/>
      <c r="T1725" s="33"/>
      <c r="U1725" s="62"/>
      <c r="W1725" s="61"/>
      <c r="X1725" s="62"/>
      <c r="AG1725" s="64"/>
    </row>
    <row r="1726" spans="2:33" ht="16">
      <c r="B1726" s="67" t="str">
        <f t="shared" si="7"/>
        <v/>
      </c>
      <c r="C1726" s="33"/>
      <c r="D1726" s="33"/>
      <c r="E1726" s="33"/>
      <c r="F1726" s="56"/>
      <c r="G1726" s="33"/>
      <c r="H1726" s="33"/>
      <c r="I1726" s="33"/>
      <c r="J1726" s="57"/>
      <c r="K1726" s="33"/>
      <c r="L1726" s="57"/>
      <c r="M1726" s="58"/>
      <c r="N1726" s="56"/>
      <c r="O1726" s="58"/>
      <c r="P1726" s="62"/>
      <c r="Q1726" s="33"/>
      <c r="R1726" s="33"/>
      <c r="S1726" s="61"/>
      <c r="T1726" s="33"/>
      <c r="U1726" s="62"/>
      <c r="W1726" s="61"/>
      <c r="X1726" s="62"/>
      <c r="AG1726" s="64"/>
    </row>
    <row r="1727" spans="2:33" ht="16">
      <c r="B1727" s="67" t="str">
        <f t="shared" si="7"/>
        <v/>
      </c>
      <c r="C1727" s="33"/>
      <c r="D1727" s="33"/>
      <c r="E1727" s="33"/>
      <c r="F1727" s="56"/>
      <c r="G1727" s="33"/>
      <c r="H1727" s="33"/>
      <c r="I1727" s="33"/>
      <c r="J1727" s="57"/>
      <c r="K1727" s="33"/>
      <c r="L1727" s="57"/>
      <c r="M1727" s="58"/>
      <c r="N1727" s="56"/>
      <c r="O1727" s="58"/>
      <c r="P1727" s="62"/>
      <c r="Q1727" s="33"/>
      <c r="R1727" s="33"/>
      <c r="S1727" s="61"/>
      <c r="T1727" s="33"/>
      <c r="U1727" s="62"/>
      <c r="W1727" s="61"/>
      <c r="X1727" s="62"/>
      <c r="AG1727" s="64"/>
    </row>
    <row r="1728" spans="2:33" ht="16">
      <c r="B1728" s="67" t="str">
        <f t="shared" si="7"/>
        <v/>
      </c>
      <c r="C1728" s="33"/>
      <c r="D1728" s="33"/>
      <c r="E1728" s="33"/>
      <c r="F1728" s="56"/>
      <c r="G1728" s="33"/>
      <c r="H1728" s="33"/>
      <c r="I1728" s="33"/>
      <c r="J1728" s="57"/>
      <c r="K1728" s="33"/>
      <c r="L1728" s="57"/>
      <c r="M1728" s="58"/>
      <c r="N1728" s="56"/>
      <c r="O1728" s="58"/>
      <c r="P1728" s="62"/>
      <c r="Q1728" s="33"/>
      <c r="R1728" s="33"/>
      <c r="S1728" s="61"/>
      <c r="T1728" s="33"/>
      <c r="U1728" s="62"/>
      <c r="W1728" s="61"/>
      <c r="X1728" s="62"/>
      <c r="AG1728" s="64"/>
    </row>
    <row r="1729" spans="2:33" ht="16">
      <c r="B1729" s="67" t="str">
        <f t="shared" si="7"/>
        <v/>
      </c>
      <c r="C1729" s="33"/>
      <c r="D1729" s="33"/>
      <c r="E1729" s="33"/>
      <c r="F1729" s="56"/>
      <c r="G1729" s="33"/>
      <c r="H1729" s="33"/>
      <c r="I1729" s="33"/>
      <c r="J1729" s="57"/>
      <c r="K1729" s="33"/>
      <c r="L1729" s="57"/>
      <c r="M1729" s="64"/>
      <c r="N1729" s="56"/>
      <c r="O1729" s="58"/>
      <c r="P1729" s="62"/>
      <c r="Q1729" s="33"/>
      <c r="R1729" s="33"/>
      <c r="S1729" s="61"/>
      <c r="T1729" s="33"/>
      <c r="U1729" s="62"/>
      <c r="W1729" s="61"/>
      <c r="X1729" s="62"/>
      <c r="AG1729" s="58"/>
    </row>
    <row r="1730" spans="2:33" ht="16">
      <c r="B1730" s="67" t="str">
        <f t="shared" si="7"/>
        <v/>
      </c>
      <c r="C1730" s="33"/>
      <c r="D1730" s="33"/>
      <c r="E1730" s="33"/>
      <c r="F1730" s="56"/>
      <c r="G1730" s="33"/>
      <c r="H1730" s="33"/>
      <c r="I1730" s="33"/>
      <c r="J1730" s="57"/>
      <c r="K1730" s="33"/>
      <c r="L1730" s="57"/>
      <c r="M1730" s="64"/>
      <c r="N1730" s="56"/>
      <c r="O1730" s="64"/>
      <c r="P1730" s="62"/>
      <c r="Q1730" s="33"/>
      <c r="R1730" s="33"/>
      <c r="S1730" s="61"/>
      <c r="T1730" s="33"/>
      <c r="U1730" s="62"/>
      <c r="W1730" s="61"/>
      <c r="X1730" s="62"/>
      <c r="AD1730" s="64"/>
      <c r="AG1730" s="64"/>
    </row>
    <row r="1731" spans="2:33" ht="16">
      <c r="B1731" s="67" t="str">
        <f t="shared" si="7"/>
        <v/>
      </c>
      <c r="C1731" s="33"/>
      <c r="D1731" s="33"/>
      <c r="E1731" s="33"/>
      <c r="F1731" s="56"/>
      <c r="G1731" s="33"/>
      <c r="H1731" s="33"/>
      <c r="I1731" s="33"/>
      <c r="J1731" s="57"/>
      <c r="K1731" s="33"/>
      <c r="L1731" s="57"/>
      <c r="M1731" s="64"/>
      <c r="N1731" s="56"/>
      <c r="O1731" s="64"/>
      <c r="P1731" s="62"/>
      <c r="Q1731" s="33"/>
      <c r="R1731" s="33"/>
      <c r="S1731" s="61"/>
      <c r="T1731" s="33"/>
      <c r="U1731" s="62"/>
      <c r="W1731" s="61"/>
      <c r="X1731" s="62"/>
      <c r="AD1731" s="64"/>
      <c r="AG1731" s="64"/>
    </row>
    <row r="1732" spans="2:33" ht="16">
      <c r="B1732" s="67" t="str">
        <f t="shared" si="7"/>
        <v/>
      </c>
      <c r="C1732" s="33"/>
      <c r="D1732" s="33"/>
      <c r="E1732" s="33"/>
      <c r="F1732" s="56"/>
      <c r="G1732" s="33"/>
      <c r="H1732" s="33"/>
      <c r="I1732" s="33"/>
      <c r="J1732" s="57"/>
      <c r="K1732" s="33"/>
      <c r="L1732" s="57"/>
      <c r="M1732" s="64"/>
      <c r="N1732" s="56"/>
      <c r="O1732" s="64"/>
      <c r="P1732" s="62"/>
      <c r="Q1732" s="33"/>
      <c r="R1732" s="33"/>
      <c r="S1732" s="61"/>
      <c r="T1732" s="33"/>
      <c r="U1732" s="62"/>
      <c r="W1732" s="61"/>
      <c r="X1732" s="62"/>
      <c r="AD1732" s="58"/>
      <c r="AG1732" s="64"/>
    </row>
    <row r="1733" spans="2:33" ht="16">
      <c r="B1733" s="67" t="str">
        <f t="shared" si="7"/>
        <v/>
      </c>
      <c r="C1733" s="64"/>
      <c r="D1733" s="33"/>
      <c r="E1733" s="33"/>
      <c r="F1733" s="56"/>
      <c r="G1733" s="33"/>
      <c r="H1733" s="33"/>
      <c r="I1733" s="33"/>
      <c r="J1733" s="57"/>
      <c r="K1733" s="33"/>
      <c r="L1733" s="57"/>
      <c r="M1733" s="64"/>
      <c r="N1733" s="56"/>
      <c r="O1733" s="64"/>
      <c r="P1733" s="62"/>
      <c r="Q1733" s="33"/>
      <c r="R1733" s="33"/>
      <c r="S1733" s="61"/>
      <c r="T1733" s="33"/>
      <c r="U1733" s="62"/>
      <c r="W1733" s="61"/>
      <c r="X1733" s="62"/>
      <c r="AD1733" s="64"/>
      <c r="AG1733" s="64"/>
    </row>
    <row r="1734" spans="2:33" ht="16">
      <c r="B1734" s="67" t="str">
        <f t="shared" si="7"/>
        <v/>
      </c>
      <c r="C1734" s="33"/>
      <c r="D1734" s="33"/>
      <c r="E1734" s="33"/>
      <c r="F1734" s="56"/>
      <c r="G1734" s="33"/>
      <c r="H1734" s="33"/>
      <c r="I1734" s="33"/>
      <c r="J1734" s="57"/>
      <c r="K1734" s="33"/>
      <c r="L1734" s="57"/>
      <c r="M1734" s="64"/>
      <c r="N1734" s="56"/>
      <c r="O1734" s="64"/>
      <c r="P1734" s="62"/>
      <c r="Q1734" s="33"/>
      <c r="R1734" s="33"/>
      <c r="S1734" s="61"/>
      <c r="T1734" s="33"/>
      <c r="U1734" s="62"/>
      <c r="W1734" s="61"/>
      <c r="X1734" s="62"/>
      <c r="AD1734" s="64"/>
      <c r="AG1734" s="64"/>
    </row>
    <row r="1735" spans="2:33" ht="16">
      <c r="B1735" s="67" t="str">
        <f t="shared" si="7"/>
        <v/>
      </c>
      <c r="C1735" s="33"/>
      <c r="D1735" s="33"/>
      <c r="E1735" s="33"/>
      <c r="F1735" s="56"/>
      <c r="G1735" s="33"/>
      <c r="H1735" s="33"/>
      <c r="I1735" s="33"/>
      <c r="J1735" s="57"/>
      <c r="K1735" s="33"/>
      <c r="L1735" s="57"/>
      <c r="M1735" s="64"/>
      <c r="N1735" s="56"/>
      <c r="O1735" s="64"/>
      <c r="P1735" s="62"/>
      <c r="Q1735" s="33"/>
      <c r="R1735" s="33"/>
      <c r="S1735" s="61"/>
      <c r="T1735" s="33"/>
      <c r="U1735" s="62"/>
      <c r="W1735" s="61"/>
      <c r="X1735" s="62"/>
      <c r="AD1735" s="64"/>
      <c r="AG1735" s="64"/>
    </row>
    <row r="1736" spans="2:33" ht="16">
      <c r="B1736" s="67" t="str">
        <f t="shared" si="7"/>
        <v/>
      </c>
      <c r="C1736" s="33"/>
      <c r="D1736" s="33"/>
      <c r="E1736" s="33"/>
      <c r="F1736" s="56"/>
      <c r="G1736" s="33"/>
      <c r="H1736" s="33"/>
      <c r="I1736" s="33"/>
      <c r="J1736" s="57"/>
      <c r="K1736" s="33"/>
      <c r="L1736" s="57"/>
      <c r="M1736" s="64"/>
      <c r="N1736" s="56"/>
      <c r="O1736" s="64"/>
      <c r="P1736" s="62"/>
      <c r="Q1736" s="33"/>
      <c r="R1736" s="33"/>
      <c r="S1736" s="61"/>
      <c r="T1736" s="33"/>
      <c r="U1736" s="62"/>
      <c r="W1736" s="61"/>
      <c r="X1736" s="62"/>
      <c r="AD1736" s="64"/>
      <c r="AE1736" s="1"/>
      <c r="AG1736" s="64"/>
    </row>
    <row r="1737" spans="2:33" ht="16">
      <c r="B1737" s="67" t="str">
        <f t="shared" si="7"/>
        <v/>
      </c>
      <c r="C1737" s="33"/>
      <c r="D1737" s="33"/>
      <c r="E1737" s="33"/>
      <c r="F1737" s="56"/>
      <c r="G1737" s="33"/>
      <c r="H1737" s="33"/>
      <c r="I1737" s="33"/>
      <c r="J1737" s="57"/>
      <c r="K1737" s="33"/>
      <c r="L1737" s="57"/>
      <c r="M1737" s="64"/>
      <c r="N1737" s="56"/>
      <c r="O1737" s="64"/>
      <c r="P1737" s="62"/>
      <c r="Q1737" s="33"/>
      <c r="R1737" s="33"/>
      <c r="S1737" s="61"/>
      <c r="T1737" s="33"/>
      <c r="U1737" s="62"/>
      <c r="W1737" s="61"/>
      <c r="X1737" s="62"/>
      <c r="AD1737" s="64"/>
      <c r="AG1737" s="64"/>
    </row>
    <row r="1738" spans="2:33" ht="16">
      <c r="B1738" s="67" t="str">
        <f t="shared" si="7"/>
        <v/>
      </c>
      <c r="C1738" s="33"/>
      <c r="D1738" s="33"/>
      <c r="E1738" s="33"/>
      <c r="F1738" s="56"/>
      <c r="G1738" s="33"/>
      <c r="H1738" s="33"/>
      <c r="I1738" s="33"/>
      <c r="J1738" s="57"/>
      <c r="K1738" s="33"/>
      <c r="L1738" s="57"/>
      <c r="M1738" s="58"/>
      <c r="N1738" s="56"/>
      <c r="O1738" s="64"/>
      <c r="P1738" s="62"/>
      <c r="Q1738" s="33"/>
      <c r="R1738" s="33"/>
      <c r="S1738" s="61"/>
      <c r="T1738" s="33"/>
      <c r="U1738" s="62"/>
      <c r="W1738" s="61"/>
      <c r="X1738" s="62"/>
      <c r="AD1738" s="58"/>
      <c r="AG1738" s="58"/>
    </row>
    <row r="1739" spans="2:33" ht="16">
      <c r="B1739" s="67" t="str">
        <f t="shared" si="7"/>
        <v/>
      </c>
      <c r="C1739" s="33"/>
      <c r="D1739" s="33"/>
      <c r="E1739" s="33"/>
      <c r="F1739" s="56"/>
      <c r="G1739" s="33"/>
      <c r="H1739" s="33"/>
      <c r="I1739" s="33"/>
      <c r="J1739" s="57"/>
      <c r="K1739" s="33"/>
      <c r="L1739" s="57"/>
      <c r="M1739" s="58"/>
      <c r="N1739" s="56"/>
      <c r="O1739" s="58"/>
      <c r="P1739" s="62"/>
      <c r="Q1739" s="33"/>
      <c r="R1739" s="33"/>
      <c r="S1739" s="61"/>
      <c r="T1739" s="33"/>
      <c r="U1739" s="62"/>
      <c r="W1739" s="61"/>
      <c r="X1739" s="62"/>
      <c r="AD1739" s="58"/>
      <c r="AG1739" s="58"/>
    </row>
    <row r="1740" spans="2:33" ht="16">
      <c r="B1740" s="67" t="str">
        <f t="shared" si="7"/>
        <v/>
      </c>
      <c r="C1740" s="33"/>
      <c r="D1740" s="33"/>
      <c r="E1740" s="33"/>
      <c r="F1740" s="56"/>
      <c r="G1740" s="33"/>
      <c r="H1740" s="33"/>
      <c r="I1740" s="33"/>
      <c r="J1740" s="57"/>
      <c r="K1740" s="33"/>
      <c r="L1740" s="57"/>
      <c r="M1740" s="58"/>
      <c r="N1740" s="56"/>
      <c r="O1740" s="58"/>
      <c r="P1740" s="62"/>
      <c r="Q1740" s="33"/>
      <c r="R1740" s="33"/>
      <c r="S1740" s="61"/>
      <c r="T1740" s="33"/>
      <c r="U1740" s="62"/>
      <c r="W1740" s="61"/>
      <c r="X1740" s="62"/>
      <c r="AD1740" s="58"/>
      <c r="AG1740" s="58"/>
    </row>
    <row r="1741" spans="2:33" ht="16">
      <c r="B1741" s="67" t="str">
        <f t="shared" si="7"/>
        <v/>
      </c>
      <c r="C1741" s="33"/>
      <c r="D1741" s="33"/>
      <c r="E1741" s="33"/>
      <c r="F1741" s="56"/>
      <c r="G1741" s="33"/>
      <c r="H1741" s="33"/>
      <c r="I1741" s="33"/>
      <c r="J1741" s="57"/>
      <c r="K1741" s="33"/>
      <c r="L1741" s="57"/>
      <c r="M1741" s="58"/>
      <c r="N1741" s="56"/>
      <c r="O1741" s="58"/>
      <c r="P1741" s="62"/>
      <c r="Q1741" s="33"/>
      <c r="R1741" s="33"/>
      <c r="S1741" s="61"/>
      <c r="T1741" s="33"/>
      <c r="U1741" s="62"/>
      <c r="W1741" s="61"/>
      <c r="X1741" s="62"/>
      <c r="AD1741" s="64"/>
      <c r="AG1741" s="64"/>
    </row>
    <row r="1742" spans="2:33" ht="16">
      <c r="B1742" s="67" t="str">
        <f t="shared" si="7"/>
        <v/>
      </c>
      <c r="C1742" s="33"/>
      <c r="D1742" s="33"/>
      <c r="E1742" s="33"/>
      <c r="F1742" s="56"/>
      <c r="G1742" s="33"/>
      <c r="H1742" s="33"/>
      <c r="I1742" s="33"/>
      <c r="J1742" s="57"/>
      <c r="K1742" s="33"/>
      <c r="L1742" s="57"/>
      <c r="M1742" s="64"/>
      <c r="N1742" s="56"/>
      <c r="O1742" s="64"/>
      <c r="P1742" s="62"/>
      <c r="Q1742" s="33"/>
      <c r="R1742" s="33"/>
      <c r="S1742" s="61"/>
      <c r="T1742" s="33"/>
      <c r="U1742" s="62"/>
      <c r="W1742" s="61"/>
      <c r="X1742" s="62"/>
      <c r="AD1742" s="64"/>
      <c r="AG1742" s="58"/>
    </row>
    <row r="1743" spans="2:33" ht="16">
      <c r="B1743" s="67" t="str">
        <f t="shared" si="7"/>
        <v/>
      </c>
      <c r="C1743" s="33"/>
      <c r="D1743" s="33"/>
      <c r="E1743" s="33"/>
      <c r="F1743" s="56"/>
      <c r="G1743" s="33"/>
      <c r="H1743" s="33"/>
      <c r="I1743" s="33"/>
      <c r="J1743" s="57"/>
      <c r="K1743" s="33"/>
      <c r="L1743" s="57"/>
      <c r="M1743" s="64"/>
      <c r="N1743" s="56"/>
      <c r="O1743" s="64"/>
      <c r="P1743" s="62"/>
      <c r="Q1743" s="33"/>
      <c r="R1743" s="33"/>
      <c r="S1743" s="61"/>
      <c r="T1743" s="33"/>
      <c r="U1743" s="62"/>
      <c r="W1743" s="61"/>
      <c r="X1743" s="62"/>
      <c r="AD1743" s="64"/>
      <c r="AG1743" s="64"/>
    </row>
    <row r="1744" spans="2:33" ht="16">
      <c r="B1744" s="67" t="str">
        <f t="shared" si="7"/>
        <v/>
      </c>
      <c r="C1744" s="33"/>
      <c r="D1744" s="33"/>
      <c r="E1744" s="33"/>
      <c r="F1744" s="56"/>
      <c r="G1744" s="33"/>
      <c r="H1744" s="33"/>
      <c r="I1744" s="33"/>
      <c r="J1744" s="57"/>
      <c r="K1744" s="33"/>
      <c r="L1744" s="57"/>
      <c r="M1744" s="64"/>
      <c r="N1744" s="56"/>
      <c r="O1744" s="64"/>
      <c r="P1744" s="62"/>
      <c r="Q1744" s="33"/>
      <c r="R1744" s="33"/>
      <c r="S1744" s="61"/>
      <c r="T1744" s="33"/>
      <c r="U1744" s="62"/>
      <c r="W1744" s="61"/>
      <c r="X1744" s="62"/>
      <c r="AD1744" s="58"/>
      <c r="AG1744" s="64"/>
    </row>
    <row r="1745" spans="2:33" ht="16">
      <c r="B1745" s="67" t="str">
        <f t="shared" si="7"/>
        <v/>
      </c>
      <c r="C1745" s="33"/>
      <c r="D1745" s="33"/>
      <c r="E1745" s="33"/>
      <c r="F1745" s="56"/>
      <c r="G1745" s="33"/>
      <c r="H1745" s="33"/>
      <c r="I1745" s="33"/>
      <c r="J1745" s="57"/>
      <c r="K1745" s="33"/>
      <c r="L1745" s="57"/>
      <c r="M1745" s="64"/>
      <c r="N1745" s="56"/>
      <c r="O1745" s="64"/>
      <c r="P1745" s="62"/>
      <c r="Q1745" s="33"/>
      <c r="R1745" s="33"/>
      <c r="S1745" s="61"/>
      <c r="T1745" s="33"/>
      <c r="U1745" s="62"/>
      <c r="W1745" s="61"/>
      <c r="X1745" s="62"/>
      <c r="AD1745" s="64"/>
      <c r="AG1745" s="64"/>
    </row>
    <row r="1746" spans="2:33" ht="16">
      <c r="B1746" s="67" t="str">
        <f t="shared" si="7"/>
        <v/>
      </c>
      <c r="C1746" s="33"/>
      <c r="D1746" s="33"/>
      <c r="E1746" s="33"/>
      <c r="F1746" s="56"/>
      <c r="G1746" s="33"/>
      <c r="H1746" s="33"/>
      <c r="I1746" s="33"/>
      <c r="J1746" s="57"/>
      <c r="K1746" s="33"/>
      <c r="L1746" s="57"/>
      <c r="M1746" s="64"/>
      <c r="N1746" s="56"/>
      <c r="O1746" s="64"/>
      <c r="P1746" s="62"/>
      <c r="Q1746" s="33"/>
      <c r="R1746" s="33"/>
      <c r="S1746" s="61"/>
      <c r="T1746" s="33"/>
      <c r="U1746" s="62"/>
      <c r="W1746" s="61"/>
      <c r="X1746" s="62"/>
      <c r="AD1746" s="58"/>
      <c r="AG1746" s="64"/>
    </row>
    <row r="1747" spans="2:33" ht="16">
      <c r="B1747" s="67" t="str">
        <f t="shared" si="7"/>
        <v/>
      </c>
      <c r="C1747" s="33"/>
      <c r="D1747" s="33"/>
      <c r="E1747" s="33"/>
      <c r="F1747" s="56"/>
      <c r="G1747" s="33"/>
      <c r="H1747" s="33"/>
      <c r="I1747" s="33"/>
      <c r="J1747" s="57"/>
      <c r="K1747" s="33"/>
      <c r="L1747" s="57"/>
      <c r="M1747" s="64"/>
      <c r="N1747" s="56"/>
      <c r="O1747" s="64"/>
      <c r="P1747" s="62"/>
      <c r="Q1747" s="33"/>
      <c r="R1747" s="33"/>
      <c r="S1747" s="61"/>
      <c r="T1747" s="33"/>
      <c r="U1747" s="62"/>
      <c r="W1747" s="61"/>
      <c r="X1747" s="62"/>
      <c r="AD1747" s="64"/>
      <c r="AG1747" s="64"/>
    </row>
    <row r="1748" spans="2:33" ht="16">
      <c r="B1748" s="67" t="str">
        <f t="shared" si="7"/>
        <v/>
      </c>
      <c r="C1748" s="33"/>
      <c r="D1748" s="33"/>
      <c r="E1748" s="33"/>
      <c r="F1748" s="56"/>
      <c r="G1748" s="33"/>
      <c r="H1748" s="33"/>
      <c r="I1748" s="33"/>
      <c r="J1748" s="57"/>
      <c r="K1748" s="33"/>
      <c r="L1748" s="57"/>
      <c r="M1748" s="64"/>
      <c r="N1748" s="56"/>
      <c r="O1748" s="64"/>
      <c r="P1748" s="62"/>
      <c r="Q1748" s="33"/>
      <c r="R1748" s="33"/>
      <c r="S1748" s="61"/>
      <c r="T1748" s="33"/>
      <c r="U1748" s="62"/>
      <c r="W1748" s="61"/>
      <c r="X1748" s="62"/>
      <c r="AD1748" s="64"/>
      <c r="AG1748" s="64"/>
    </row>
    <row r="1749" spans="2:33" ht="16">
      <c r="B1749" s="67" t="str">
        <f t="shared" si="7"/>
        <v/>
      </c>
      <c r="C1749" s="33"/>
      <c r="D1749" s="33"/>
      <c r="E1749" s="33"/>
      <c r="F1749" s="56"/>
      <c r="G1749" s="33"/>
      <c r="H1749" s="33"/>
      <c r="I1749" s="33"/>
      <c r="J1749" s="57"/>
      <c r="K1749" s="33"/>
      <c r="L1749" s="57"/>
      <c r="M1749" s="64"/>
      <c r="N1749" s="56"/>
      <c r="O1749" s="64"/>
      <c r="P1749" s="62"/>
      <c r="Q1749" s="33"/>
      <c r="R1749" s="33"/>
      <c r="S1749" s="61"/>
      <c r="T1749" s="33"/>
      <c r="U1749" s="62"/>
      <c r="W1749" s="61"/>
      <c r="X1749" s="62"/>
      <c r="AD1749" s="64"/>
      <c r="AG1749" s="64"/>
    </row>
    <row r="1750" spans="2:33" ht="16">
      <c r="B1750" s="67" t="str">
        <f t="shared" si="7"/>
        <v/>
      </c>
      <c r="C1750" s="33"/>
      <c r="D1750" s="33"/>
      <c r="E1750" s="33"/>
      <c r="F1750" s="56"/>
      <c r="G1750" s="33"/>
      <c r="H1750" s="33"/>
      <c r="I1750" s="33"/>
      <c r="J1750" s="57"/>
      <c r="K1750" s="33"/>
      <c r="L1750" s="57"/>
      <c r="M1750" s="64"/>
      <c r="N1750" s="56"/>
      <c r="O1750" s="64"/>
      <c r="P1750" s="62"/>
      <c r="Q1750" s="33"/>
      <c r="R1750" s="33"/>
      <c r="S1750" s="61"/>
      <c r="T1750" s="33"/>
      <c r="U1750" s="62"/>
      <c r="W1750" s="61"/>
      <c r="X1750" s="62"/>
      <c r="AD1750" s="64"/>
      <c r="AG1750" s="58"/>
    </row>
    <row r="1751" spans="2:33" ht="16">
      <c r="B1751" s="67" t="str">
        <f t="shared" si="7"/>
        <v/>
      </c>
      <c r="C1751" s="33"/>
      <c r="D1751" s="33"/>
      <c r="E1751" s="33"/>
      <c r="F1751" s="56"/>
      <c r="G1751" s="33"/>
      <c r="H1751" s="33"/>
      <c r="I1751" s="33"/>
      <c r="J1751" s="57"/>
      <c r="K1751" s="33"/>
      <c r="L1751" s="57"/>
      <c r="M1751" s="64"/>
      <c r="N1751" s="56"/>
      <c r="O1751" s="64"/>
      <c r="P1751" s="62"/>
      <c r="Q1751" s="33"/>
      <c r="R1751" s="33"/>
      <c r="S1751" s="61"/>
      <c r="T1751" s="33"/>
      <c r="U1751" s="62"/>
      <c r="W1751" s="61"/>
      <c r="X1751" s="62"/>
      <c r="AD1751" s="64"/>
      <c r="AG1751" s="64"/>
    </row>
    <row r="1752" spans="2:33" ht="17.25" customHeight="1">
      <c r="B1752" s="67" t="str">
        <f t="shared" si="7"/>
        <v/>
      </c>
      <c r="C1752" s="33"/>
      <c r="D1752" s="33"/>
      <c r="E1752" s="33"/>
      <c r="F1752" s="56"/>
      <c r="G1752" s="33"/>
      <c r="H1752" s="33"/>
      <c r="I1752" s="33"/>
      <c r="J1752" s="57"/>
      <c r="K1752" s="33"/>
      <c r="L1752" s="57"/>
      <c r="M1752" s="64"/>
      <c r="N1752" s="56"/>
      <c r="O1752" s="64"/>
      <c r="P1752" s="62"/>
      <c r="Q1752" s="33"/>
      <c r="R1752" s="33"/>
      <c r="S1752" s="61"/>
      <c r="T1752" s="33"/>
      <c r="U1752" s="62"/>
      <c r="W1752" s="61"/>
      <c r="X1752" s="62"/>
      <c r="AD1752" s="64"/>
      <c r="AG1752" s="64"/>
    </row>
    <row r="1753" spans="2:33" ht="16">
      <c r="B1753" s="67" t="str">
        <f t="shared" si="7"/>
        <v/>
      </c>
      <c r="C1753" s="33"/>
      <c r="D1753" s="33"/>
      <c r="E1753" s="33"/>
      <c r="F1753" s="56"/>
      <c r="G1753" s="33"/>
      <c r="H1753" s="33"/>
      <c r="I1753" s="33"/>
      <c r="J1753" s="57"/>
      <c r="K1753" s="33"/>
      <c r="L1753" s="57"/>
      <c r="M1753" s="58"/>
      <c r="N1753" s="56"/>
      <c r="O1753" s="64"/>
      <c r="P1753" s="62"/>
      <c r="Q1753" s="33"/>
      <c r="R1753" s="33"/>
      <c r="S1753" s="61"/>
      <c r="T1753" s="33"/>
      <c r="U1753" s="62"/>
      <c r="W1753" s="61"/>
      <c r="X1753" s="62"/>
      <c r="AD1753" s="58"/>
      <c r="AG1753" s="58"/>
    </row>
    <row r="1754" spans="2:33" ht="16">
      <c r="B1754" s="67" t="str">
        <f t="shared" si="7"/>
        <v/>
      </c>
      <c r="C1754" s="33"/>
      <c r="D1754" s="33"/>
      <c r="E1754" s="33"/>
      <c r="F1754" s="56"/>
      <c r="G1754" s="33"/>
      <c r="H1754" s="33"/>
      <c r="I1754" s="33"/>
      <c r="J1754" s="57"/>
      <c r="K1754" s="33"/>
      <c r="L1754" s="57"/>
      <c r="M1754" s="64"/>
      <c r="N1754" s="56"/>
      <c r="O1754" s="64"/>
      <c r="P1754" s="62"/>
      <c r="Q1754" s="33"/>
      <c r="R1754" s="33"/>
      <c r="S1754" s="61"/>
      <c r="T1754" s="33"/>
      <c r="U1754" s="62"/>
      <c r="W1754" s="61"/>
      <c r="X1754" s="62"/>
      <c r="AD1754" s="64"/>
      <c r="AG1754" s="64"/>
    </row>
    <row r="1755" spans="2:33" ht="16">
      <c r="B1755" s="67" t="str">
        <f t="shared" si="7"/>
        <v/>
      </c>
      <c r="C1755" s="33"/>
      <c r="D1755" s="33"/>
      <c r="E1755" s="33"/>
      <c r="F1755" s="56"/>
      <c r="G1755" s="33"/>
      <c r="H1755" s="33"/>
      <c r="I1755" s="33"/>
      <c r="J1755" s="57"/>
      <c r="K1755" s="33"/>
      <c r="L1755" s="57"/>
      <c r="M1755" s="64"/>
      <c r="N1755" s="56"/>
      <c r="O1755" s="64"/>
      <c r="P1755" s="62"/>
      <c r="Q1755" s="33"/>
      <c r="R1755" s="33"/>
      <c r="S1755" s="61"/>
      <c r="T1755" s="33"/>
      <c r="U1755" s="62"/>
      <c r="W1755" s="61"/>
      <c r="X1755" s="62"/>
      <c r="AD1755" s="64"/>
      <c r="AG1755" s="58"/>
    </row>
    <row r="1756" spans="2:33" ht="16">
      <c r="B1756" s="67" t="str">
        <f t="shared" si="7"/>
        <v/>
      </c>
      <c r="C1756" s="33"/>
      <c r="D1756" s="33"/>
      <c r="E1756" s="33"/>
      <c r="F1756" s="56"/>
      <c r="G1756" s="33"/>
      <c r="H1756" s="33"/>
      <c r="I1756" s="33"/>
      <c r="J1756" s="57"/>
      <c r="K1756" s="33"/>
      <c r="L1756" s="57"/>
      <c r="M1756" s="58"/>
      <c r="N1756" s="56"/>
      <c r="O1756" s="58"/>
      <c r="P1756" s="62"/>
      <c r="Q1756" s="33"/>
      <c r="R1756" s="33"/>
      <c r="S1756" s="61"/>
      <c r="T1756" s="33"/>
      <c r="U1756" s="62"/>
      <c r="W1756" s="61"/>
      <c r="X1756" s="62"/>
      <c r="AD1756" s="58"/>
      <c r="AG1756" s="64"/>
    </row>
    <row r="1757" spans="2:33" ht="16">
      <c r="B1757" s="67" t="str">
        <f t="shared" si="7"/>
        <v/>
      </c>
      <c r="C1757" s="33"/>
      <c r="D1757" s="33"/>
      <c r="E1757" s="33"/>
      <c r="F1757" s="56"/>
      <c r="G1757" s="33"/>
      <c r="H1757" s="33"/>
      <c r="I1757" s="33"/>
      <c r="J1757" s="57"/>
      <c r="K1757" s="33"/>
      <c r="L1757" s="57"/>
      <c r="M1757" s="58"/>
      <c r="N1757" s="56"/>
      <c r="O1757" s="58"/>
      <c r="P1757" s="62"/>
      <c r="Q1757" s="33"/>
      <c r="R1757" s="33"/>
      <c r="S1757" s="61"/>
      <c r="T1757" s="33"/>
      <c r="U1757" s="62"/>
      <c r="W1757" s="61"/>
      <c r="X1757" s="62"/>
      <c r="AD1757" s="58"/>
      <c r="AG1757" s="64"/>
    </row>
    <row r="1758" spans="2:33" ht="16">
      <c r="B1758" s="67" t="str">
        <f t="shared" si="7"/>
        <v/>
      </c>
      <c r="C1758" s="33"/>
      <c r="D1758" s="33"/>
      <c r="E1758" s="33"/>
      <c r="F1758" s="56"/>
      <c r="G1758" s="33"/>
      <c r="H1758" s="33"/>
      <c r="I1758" s="33"/>
      <c r="J1758" s="57"/>
      <c r="K1758" s="33"/>
      <c r="L1758" s="57"/>
      <c r="M1758" s="64"/>
      <c r="N1758" s="56"/>
      <c r="O1758" s="64"/>
      <c r="P1758" s="62"/>
      <c r="Q1758" s="33"/>
      <c r="R1758" s="33"/>
      <c r="S1758" s="61"/>
      <c r="T1758" s="33"/>
      <c r="U1758" s="62"/>
      <c r="W1758" s="61"/>
      <c r="X1758" s="62"/>
      <c r="AD1758" s="64"/>
      <c r="AG1758" s="64"/>
    </row>
    <row r="1759" spans="2:33" ht="16">
      <c r="B1759" s="67" t="str">
        <f t="shared" si="7"/>
        <v/>
      </c>
      <c r="C1759" s="33"/>
      <c r="D1759" s="33"/>
      <c r="E1759" s="33"/>
      <c r="F1759" s="56"/>
      <c r="G1759" s="33"/>
      <c r="H1759" s="33"/>
      <c r="I1759" s="33"/>
      <c r="J1759" s="57"/>
      <c r="K1759" s="33"/>
      <c r="L1759" s="57"/>
      <c r="M1759" s="58"/>
      <c r="N1759" s="56"/>
      <c r="O1759" s="58"/>
      <c r="P1759" s="62"/>
      <c r="Q1759" s="33"/>
      <c r="R1759" s="33"/>
      <c r="S1759" s="61"/>
      <c r="T1759" s="33"/>
      <c r="U1759" s="62"/>
      <c r="W1759" s="61"/>
      <c r="X1759" s="62"/>
      <c r="AD1759" s="58"/>
      <c r="AG1759" s="64"/>
    </row>
    <row r="1760" spans="2:33" ht="16">
      <c r="B1760" s="67" t="str">
        <f t="shared" si="7"/>
        <v/>
      </c>
      <c r="C1760" s="33"/>
      <c r="D1760" s="33"/>
      <c r="E1760" s="33"/>
      <c r="F1760" s="56"/>
      <c r="G1760" s="33"/>
      <c r="H1760" s="33"/>
      <c r="I1760" s="33"/>
      <c r="J1760" s="57"/>
      <c r="K1760" s="33"/>
      <c r="L1760" s="57"/>
      <c r="M1760" s="58"/>
      <c r="N1760" s="56"/>
      <c r="O1760" s="64"/>
      <c r="P1760" s="62"/>
      <c r="Q1760" s="33"/>
      <c r="R1760" s="33"/>
      <c r="S1760" s="61"/>
      <c r="T1760" s="33"/>
      <c r="U1760" s="62"/>
      <c r="W1760" s="61"/>
      <c r="X1760" s="62"/>
      <c r="AD1760" s="58"/>
      <c r="AG1760" s="64"/>
    </row>
    <row r="1761" spans="2:33" ht="16">
      <c r="B1761" s="67" t="str">
        <f t="shared" si="7"/>
        <v/>
      </c>
      <c r="C1761" s="33"/>
      <c r="D1761" s="33"/>
      <c r="E1761" s="33"/>
      <c r="F1761" s="56"/>
      <c r="G1761" s="33"/>
      <c r="H1761" s="33"/>
      <c r="I1761" s="33"/>
      <c r="J1761" s="57"/>
      <c r="K1761" s="33"/>
      <c r="L1761" s="57"/>
      <c r="M1761" s="58"/>
      <c r="N1761" s="56"/>
      <c r="O1761" s="58"/>
      <c r="P1761" s="62"/>
      <c r="Q1761" s="33"/>
      <c r="R1761" s="33"/>
      <c r="S1761" s="61"/>
      <c r="T1761" s="33"/>
      <c r="U1761" s="62"/>
      <c r="W1761" s="61"/>
      <c r="X1761" s="62"/>
      <c r="AD1761" s="58"/>
      <c r="AG1761" s="64"/>
    </row>
    <row r="1762" spans="2:33" ht="16">
      <c r="B1762" s="67" t="str">
        <f t="shared" si="7"/>
        <v/>
      </c>
      <c r="C1762" s="33"/>
      <c r="D1762" s="33"/>
      <c r="E1762" s="33"/>
      <c r="F1762" s="56"/>
      <c r="G1762" s="33"/>
      <c r="H1762" s="33"/>
      <c r="I1762" s="33"/>
      <c r="J1762" s="57"/>
      <c r="K1762" s="33"/>
      <c r="L1762" s="57"/>
      <c r="M1762" s="64"/>
      <c r="N1762" s="56"/>
      <c r="O1762" s="64"/>
      <c r="P1762" s="62"/>
      <c r="Q1762" s="33"/>
      <c r="R1762" s="33"/>
      <c r="S1762" s="61"/>
      <c r="T1762" s="33"/>
      <c r="U1762" s="62"/>
      <c r="W1762" s="61"/>
      <c r="X1762" s="62"/>
      <c r="AD1762" s="64"/>
      <c r="AG1762" s="58"/>
    </row>
    <row r="1763" spans="2:33" ht="16">
      <c r="B1763" s="67" t="str">
        <f t="shared" si="7"/>
        <v/>
      </c>
      <c r="C1763" s="33"/>
      <c r="D1763" s="33"/>
      <c r="E1763" s="33"/>
      <c r="F1763" s="56"/>
      <c r="G1763" s="33"/>
      <c r="H1763" s="33"/>
      <c r="I1763" s="33"/>
      <c r="J1763" s="57"/>
      <c r="K1763" s="33"/>
      <c r="L1763" s="57"/>
      <c r="M1763" s="64"/>
      <c r="N1763" s="56"/>
      <c r="O1763" s="64"/>
      <c r="P1763" s="62"/>
      <c r="Q1763" s="33"/>
      <c r="R1763" s="33"/>
      <c r="S1763" s="61"/>
      <c r="T1763" s="33"/>
      <c r="U1763" s="62"/>
      <c r="W1763" s="61"/>
      <c r="X1763" s="62"/>
      <c r="AD1763" s="64"/>
      <c r="AG1763" s="58"/>
    </row>
    <row r="1764" spans="2:33" ht="16">
      <c r="B1764" s="67" t="str">
        <f t="shared" si="7"/>
        <v/>
      </c>
      <c r="C1764" s="33"/>
      <c r="D1764" s="33"/>
      <c r="E1764" s="33"/>
      <c r="F1764" s="56"/>
      <c r="G1764" s="33"/>
      <c r="H1764" s="33"/>
      <c r="I1764" s="33"/>
      <c r="J1764" s="57"/>
      <c r="K1764" s="33"/>
      <c r="L1764" s="57"/>
      <c r="M1764" s="58"/>
      <c r="N1764" s="56"/>
      <c r="O1764" s="58"/>
      <c r="P1764" s="62"/>
      <c r="Q1764" s="33"/>
      <c r="R1764" s="33"/>
      <c r="S1764" s="61"/>
      <c r="T1764" s="33"/>
      <c r="U1764" s="62"/>
      <c r="W1764" s="61"/>
      <c r="X1764" s="62"/>
      <c r="AD1764" s="58"/>
      <c r="AG1764" s="58"/>
    </row>
    <row r="1765" spans="2:33" ht="16">
      <c r="B1765" s="67" t="str">
        <f t="shared" si="7"/>
        <v/>
      </c>
      <c r="C1765" s="33"/>
      <c r="D1765" s="33"/>
      <c r="E1765" s="33"/>
      <c r="F1765" s="56"/>
      <c r="G1765" s="33"/>
      <c r="H1765" s="33"/>
      <c r="I1765" s="33"/>
      <c r="J1765" s="57"/>
      <c r="K1765" s="33"/>
      <c r="L1765" s="57"/>
      <c r="M1765" s="58"/>
      <c r="N1765" s="56"/>
      <c r="O1765" s="58"/>
      <c r="P1765" s="62"/>
      <c r="Q1765" s="33"/>
      <c r="R1765" s="33"/>
      <c r="S1765" s="61"/>
      <c r="T1765" s="33"/>
      <c r="U1765" s="62"/>
      <c r="W1765" s="61"/>
      <c r="X1765" s="62"/>
      <c r="AD1765" s="58"/>
      <c r="AG1765" s="58"/>
    </row>
    <row r="1766" spans="2:33" ht="16">
      <c r="B1766" s="67" t="str">
        <f t="shared" si="7"/>
        <v/>
      </c>
      <c r="C1766" s="33"/>
      <c r="D1766" s="33"/>
      <c r="E1766" s="33"/>
      <c r="F1766" s="56"/>
      <c r="G1766" s="33"/>
      <c r="H1766" s="33"/>
      <c r="I1766" s="33"/>
      <c r="J1766" s="57"/>
      <c r="K1766" s="33"/>
      <c r="L1766" s="57"/>
      <c r="M1766" s="64"/>
      <c r="N1766" s="56"/>
      <c r="O1766" s="58"/>
      <c r="P1766" s="62"/>
      <c r="Q1766" s="33"/>
      <c r="R1766" s="33"/>
      <c r="S1766" s="61"/>
      <c r="T1766" s="33"/>
      <c r="U1766" s="62"/>
      <c r="W1766" s="61"/>
      <c r="X1766" s="62"/>
      <c r="AD1766" s="64"/>
      <c r="AG1766" s="64"/>
    </row>
    <row r="1767" spans="2:33" ht="16">
      <c r="B1767" s="67" t="str">
        <f t="shared" si="7"/>
        <v/>
      </c>
      <c r="C1767" s="33"/>
      <c r="D1767" s="33"/>
      <c r="E1767" s="33"/>
      <c r="F1767" s="56"/>
      <c r="G1767" s="33"/>
      <c r="H1767" s="33"/>
      <c r="I1767" s="33"/>
      <c r="J1767" s="57"/>
      <c r="K1767" s="33"/>
      <c r="L1767" s="57"/>
      <c r="M1767" s="64"/>
      <c r="N1767" s="56"/>
      <c r="O1767" s="58"/>
      <c r="P1767" s="62"/>
      <c r="Q1767" s="33"/>
      <c r="R1767" s="33"/>
      <c r="S1767" s="61"/>
      <c r="T1767" s="33"/>
      <c r="U1767" s="62"/>
      <c r="W1767" s="61"/>
      <c r="X1767" s="62"/>
      <c r="AD1767" s="64"/>
      <c r="AG1767" s="58"/>
    </row>
    <row r="1768" spans="2:33" ht="16">
      <c r="B1768" s="67" t="str">
        <f t="shared" si="7"/>
        <v/>
      </c>
      <c r="C1768" s="33"/>
      <c r="D1768" s="33"/>
      <c r="E1768" s="33"/>
      <c r="F1768" s="56"/>
      <c r="G1768" s="33"/>
      <c r="H1768" s="33"/>
      <c r="I1768" s="33"/>
      <c r="J1768" s="57"/>
      <c r="K1768" s="33"/>
      <c r="L1768" s="57"/>
      <c r="M1768" s="58"/>
      <c r="N1768" s="56"/>
      <c r="O1768" s="64"/>
      <c r="P1768" s="62"/>
      <c r="Q1768" s="33"/>
      <c r="R1768" s="33"/>
      <c r="S1768" s="61"/>
      <c r="T1768" s="33"/>
      <c r="U1768" s="62"/>
      <c r="W1768" s="61"/>
      <c r="X1768" s="62"/>
      <c r="AD1768" s="64"/>
      <c r="AG1768" s="64"/>
    </row>
    <row r="1769" spans="2:33" ht="16">
      <c r="B1769" s="67" t="str">
        <f t="shared" si="7"/>
        <v/>
      </c>
      <c r="C1769" s="33"/>
      <c r="D1769" s="33"/>
      <c r="E1769" s="33"/>
      <c r="F1769" s="56"/>
      <c r="G1769" s="33"/>
      <c r="H1769" s="33"/>
      <c r="I1769" s="33"/>
      <c r="J1769" s="57"/>
      <c r="K1769" s="33"/>
      <c r="L1769" s="57"/>
      <c r="M1769" s="64"/>
      <c r="N1769" s="56"/>
      <c r="O1769" s="64"/>
      <c r="P1769" s="62"/>
      <c r="Q1769" s="33"/>
      <c r="R1769" s="33"/>
      <c r="S1769" s="61"/>
      <c r="T1769" s="33"/>
      <c r="U1769" s="62"/>
      <c r="W1769" s="61"/>
      <c r="X1769" s="62"/>
      <c r="AD1769" s="64"/>
      <c r="AG1769" s="64"/>
    </row>
    <row r="1770" spans="2:33" ht="16">
      <c r="B1770" s="67" t="str">
        <f t="shared" si="7"/>
        <v/>
      </c>
      <c r="C1770" s="33"/>
      <c r="D1770" s="33"/>
      <c r="E1770" s="33"/>
      <c r="F1770" s="56"/>
      <c r="G1770" s="33"/>
      <c r="H1770" s="33"/>
      <c r="I1770" s="33"/>
      <c r="J1770" s="57"/>
      <c r="K1770" s="33"/>
      <c r="L1770" s="57"/>
      <c r="M1770" s="64"/>
      <c r="N1770" s="56"/>
      <c r="O1770" s="58"/>
      <c r="P1770" s="62"/>
      <c r="Q1770" s="33"/>
      <c r="R1770" s="33"/>
      <c r="S1770" s="61"/>
      <c r="T1770" s="33"/>
      <c r="U1770" s="62"/>
      <c r="W1770" s="61"/>
      <c r="X1770" s="62"/>
      <c r="AD1770" s="64"/>
      <c r="AG1770" s="64"/>
    </row>
    <row r="1771" spans="2:33" ht="16">
      <c r="B1771" s="67" t="str">
        <f t="shared" si="7"/>
        <v/>
      </c>
      <c r="C1771" s="33"/>
      <c r="D1771" s="33"/>
      <c r="E1771" s="33"/>
      <c r="F1771" s="56"/>
      <c r="G1771" s="33"/>
      <c r="H1771" s="33"/>
      <c r="I1771" s="33"/>
      <c r="J1771" s="57"/>
      <c r="K1771" s="33"/>
      <c r="L1771" s="57"/>
      <c r="M1771" s="64"/>
      <c r="N1771" s="56"/>
      <c r="O1771" s="64"/>
      <c r="P1771" s="62"/>
      <c r="Q1771" s="33"/>
      <c r="R1771" s="33"/>
      <c r="S1771" s="61"/>
      <c r="T1771" s="33"/>
      <c r="U1771" s="62"/>
      <c r="W1771" s="61"/>
      <c r="X1771" s="62"/>
      <c r="AD1771" s="64"/>
      <c r="AG1771" s="58"/>
    </row>
    <row r="1772" spans="2:33" ht="16">
      <c r="B1772" s="67" t="str">
        <f t="shared" si="7"/>
        <v/>
      </c>
      <c r="C1772" s="33"/>
      <c r="D1772" s="33"/>
      <c r="E1772" s="33"/>
      <c r="F1772" s="56"/>
      <c r="G1772" s="33"/>
      <c r="H1772" s="33"/>
      <c r="I1772" s="33"/>
      <c r="J1772" s="57"/>
      <c r="K1772" s="33"/>
      <c r="L1772" s="57"/>
      <c r="M1772" s="64"/>
      <c r="N1772" s="56"/>
      <c r="O1772" s="64"/>
      <c r="P1772" s="62"/>
      <c r="Q1772" s="33"/>
      <c r="R1772" s="33"/>
      <c r="S1772" s="61"/>
      <c r="T1772" s="33"/>
      <c r="U1772" s="62"/>
      <c r="W1772" s="61"/>
      <c r="X1772" s="62"/>
      <c r="AD1772" s="58"/>
      <c r="AG1772" s="64"/>
    </row>
    <row r="1773" spans="2:33" ht="16">
      <c r="B1773" s="67" t="str">
        <f t="shared" si="7"/>
        <v/>
      </c>
      <c r="C1773" s="33"/>
      <c r="D1773" s="33"/>
      <c r="E1773" s="33"/>
      <c r="F1773" s="56"/>
      <c r="G1773" s="33"/>
      <c r="H1773" s="33"/>
      <c r="I1773" s="33"/>
      <c r="J1773" s="57"/>
      <c r="K1773" s="33"/>
      <c r="L1773" s="57"/>
      <c r="M1773" s="64"/>
      <c r="N1773" s="56"/>
      <c r="O1773" s="58"/>
      <c r="P1773" s="62"/>
      <c r="Q1773" s="33"/>
      <c r="R1773" s="33"/>
      <c r="S1773" s="61"/>
      <c r="T1773" s="33"/>
      <c r="U1773" s="62"/>
      <c r="W1773" s="61"/>
      <c r="X1773" s="62"/>
      <c r="AD1773" s="64"/>
      <c r="AG1773" s="64"/>
    </row>
    <row r="1774" spans="2:33" ht="16">
      <c r="B1774" s="67" t="str">
        <f t="shared" si="7"/>
        <v/>
      </c>
      <c r="C1774" s="33"/>
      <c r="D1774" s="33"/>
      <c r="E1774" s="33"/>
      <c r="F1774" s="56"/>
      <c r="G1774" s="33"/>
      <c r="H1774" s="33"/>
      <c r="I1774" s="33"/>
      <c r="J1774" s="57"/>
      <c r="K1774" s="33"/>
      <c r="L1774" s="57"/>
      <c r="M1774" s="58"/>
      <c r="N1774" s="56"/>
      <c r="O1774" s="58"/>
      <c r="P1774" s="62"/>
      <c r="Q1774" s="33"/>
      <c r="R1774" s="33"/>
      <c r="S1774" s="61"/>
      <c r="T1774" s="33"/>
      <c r="U1774" s="62"/>
      <c r="W1774" s="61"/>
      <c r="X1774" s="62"/>
      <c r="AD1774" s="58"/>
      <c r="AG1774" s="64"/>
    </row>
    <row r="1775" spans="2:33" ht="16">
      <c r="B1775" s="67" t="str">
        <f t="shared" si="7"/>
        <v/>
      </c>
      <c r="C1775" s="33"/>
      <c r="D1775" s="33"/>
      <c r="E1775" s="33"/>
      <c r="F1775" s="56"/>
      <c r="G1775" s="33"/>
      <c r="H1775" s="33"/>
      <c r="I1775" s="33"/>
      <c r="J1775" s="57"/>
      <c r="K1775" s="33"/>
      <c r="L1775" s="57"/>
      <c r="M1775" s="64"/>
      <c r="N1775" s="56"/>
      <c r="O1775" s="58"/>
      <c r="P1775" s="62"/>
      <c r="Q1775" s="33"/>
      <c r="R1775" s="33"/>
      <c r="S1775" s="61"/>
      <c r="T1775" s="33"/>
      <c r="U1775" s="62"/>
      <c r="W1775" s="61"/>
      <c r="X1775" s="62"/>
      <c r="AD1775" s="58"/>
      <c r="AG1775" s="64"/>
    </row>
    <row r="1776" spans="2:33" ht="16">
      <c r="B1776" s="67" t="str">
        <f t="shared" si="7"/>
        <v/>
      </c>
      <c r="C1776" s="33"/>
      <c r="D1776" s="33"/>
      <c r="E1776" s="33"/>
      <c r="F1776" s="56"/>
      <c r="G1776" s="33"/>
      <c r="H1776" s="33"/>
      <c r="I1776" s="33"/>
      <c r="J1776" s="57"/>
      <c r="K1776" s="33"/>
      <c r="L1776" s="57"/>
      <c r="M1776" s="64"/>
      <c r="N1776" s="56"/>
      <c r="O1776" s="64"/>
      <c r="P1776" s="62"/>
      <c r="Q1776" s="33"/>
      <c r="R1776" s="33"/>
      <c r="S1776" s="61"/>
      <c r="T1776" s="33"/>
      <c r="U1776" s="62"/>
      <c r="W1776" s="61"/>
      <c r="X1776" s="62"/>
      <c r="AD1776" s="64"/>
      <c r="AG1776" s="64"/>
    </row>
    <row r="1777" spans="2:33" ht="16">
      <c r="B1777" s="67" t="str">
        <f t="shared" si="7"/>
        <v/>
      </c>
      <c r="C1777" s="33"/>
      <c r="D1777" s="33"/>
      <c r="E1777" s="33"/>
      <c r="F1777" s="56"/>
      <c r="G1777" s="33"/>
      <c r="H1777" s="33"/>
      <c r="I1777" s="33"/>
      <c r="J1777" s="57"/>
      <c r="K1777" s="33"/>
      <c r="L1777" s="57"/>
      <c r="M1777" s="64"/>
      <c r="N1777" s="56"/>
      <c r="O1777" s="64"/>
      <c r="P1777" s="62"/>
      <c r="Q1777" s="33"/>
      <c r="R1777" s="33"/>
      <c r="S1777" s="61"/>
      <c r="T1777" s="33"/>
      <c r="U1777" s="62"/>
      <c r="W1777" s="61"/>
      <c r="X1777" s="62"/>
      <c r="AD1777" s="64"/>
      <c r="AG1777" s="64"/>
    </row>
    <row r="1778" spans="2:33" ht="16">
      <c r="B1778" s="67" t="str">
        <f t="shared" si="7"/>
        <v/>
      </c>
      <c r="C1778" s="33"/>
      <c r="D1778" s="33"/>
      <c r="E1778" s="33"/>
      <c r="F1778" s="56"/>
      <c r="G1778" s="33"/>
      <c r="H1778" s="33"/>
      <c r="I1778" s="33"/>
      <c r="J1778" s="57"/>
      <c r="K1778" s="33"/>
      <c r="L1778" s="57"/>
      <c r="M1778" s="64"/>
      <c r="N1778" s="56"/>
      <c r="O1778" s="64"/>
      <c r="P1778" s="62"/>
      <c r="Q1778" s="33"/>
      <c r="R1778" s="33"/>
      <c r="S1778" s="61"/>
      <c r="T1778" s="33"/>
      <c r="U1778" s="62"/>
      <c r="W1778" s="61"/>
      <c r="X1778" s="62"/>
      <c r="AD1778" s="64"/>
      <c r="AG1778" s="64"/>
    </row>
    <row r="1779" spans="2:33" ht="16">
      <c r="B1779" s="67" t="str">
        <f t="shared" si="7"/>
        <v/>
      </c>
      <c r="C1779" s="33"/>
      <c r="D1779" s="33"/>
      <c r="E1779" s="33"/>
      <c r="F1779" s="56"/>
      <c r="G1779" s="33"/>
      <c r="H1779" s="33"/>
      <c r="I1779" s="33"/>
      <c r="J1779" s="57"/>
      <c r="K1779" s="33"/>
      <c r="L1779" s="57"/>
      <c r="M1779" s="64"/>
      <c r="N1779" s="56"/>
      <c r="O1779" s="64"/>
      <c r="P1779" s="62"/>
      <c r="Q1779" s="33"/>
      <c r="R1779" s="33"/>
      <c r="S1779" s="61"/>
      <c r="T1779" s="33"/>
      <c r="U1779" s="62"/>
      <c r="W1779" s="61"/>
      <c r="X1779" s="62"/>
      <c r="AD1779" s="64"/>
      <c r="AG1779" s="58"/>
    </row>
    <row r="1780" spans="2:33" ht="16">
      <c r="B1780" s="67" t="str">
        <f t="shared" si="7"/>
        <v/>
      </c>
      <c r="C1780" s="33"/>
      <c r="D1780" s="33"/>
      <c r="E1780" s="33"/>
      <c r="F1780" s="56"/>
      <c r="G1780" s="33"/>
      <c r="H1780" s="33"/>
      <c r="I1780" s="33"/>
      <c r="J1780" s="57"/>
      <c r="K1780" s="33"/>
      <c r="L1780" s="57"/>
      <c r="M1780" s="64"/>
      <c r="N1780" s="56"/>
      <c r="O1780" s="64"/>
      <c r="P1780" s="62"/>
      <c r="Q1780" s="33"/>
      <c r="R1780" s="33"/>
      <c r="S1780" s="61"/>
      <c r="T1780" s="33"/>
      <c r="U1780" s="62"/>
      <c r="W1780" s="61"/>
      <c r="X1780" s="62"/>
      <c r="AD1780" s="64"/>
      <c r="AG1780" s="58"/>
    </row>
    <row r="1781" spans="2:33" ht="16">
      <c r="B1781" s="67" t="str">
        <f t="shared" si="7"/>
        <v/>
      </c>
      <c r="C1781" s="33"/>
      <c r="D1781" s="33"/>
      <c r="E1781" s="33"/>
      <c r="F1781" s="56"/>
      <c r="G1781" s="33"/>
      <c r="H1781" s="33"/>
      <c r="I1781" s="33"/>
      <c r="J1781" s="57"/>
      <c r="K1781" s="33"/>
      <c r="L1781" s="57"/>
      <c r="M1781" s="64"/>
      <c r="N1781" s="56"/>
      <c r="O1781" s="64"/>
      <c r="P1781" s="62"/>
      <c r="Q1781" s="33"/>
      <c r="R1781" s="33"/>
      <c r="S1781" s="61"/>
      <c r="T1781" s="33"/>
      <c r="U1781" s="62"/>
      <c r="W1781" s="61"/>
      <c r="X1781" s="62"/>
      <c r="AD1781" s="64"/>
      <c r="AG1781" s="64"/>
    </row>
    <row r="1782" spans="2:33" ht="16">
      <c r="B1782" s="67" t="str">
        <f t="shared" si="7"/>
        <v/>
      </c>
      <c r="C1782" s="33"/>
      <c r="D1782" s="33"/>
      <c r="E1782" s="33"/>
      <c r="F1782" s="56"/>
      <c r="G1782" s="33"/>
      <c r="H1782" s="33"/>
      <c r="I1782" s="33"/>
      <c r="J1782" s="57"/>
      <c r="K1782" s="33"/>
      <c r="L1782" s="57"/>
      <c r="M1782" s="64"/>
      <c r="N1782" s="56"/>
      <c r="O1782" s="58"/>
      <c r="P1782" s="62"/>
      <c r="Q1782" s="33"/>
      <c r="R1782" s="33"/>
      <c r="S1782" s="61"/>
      <c r="T1782" s="33"/>
      <c r="U1782" s="62"/>
      <c r="W1782" s="61"/>
      <c r="X1782" s="62"/>
      <c r="AD1782" s="64"/>
      <c r="AG1782" s="64"/>
    </row>
    <row r="1783" spans="2:33" ht="16">
      <c r="B1783" s="67" t="str">
        <f t="shared" si="7"/>
        <v/>
      </c>
      <c r="C1783" s="33"/>
      <c r="D1783" s="33"/>
      <c r="E1783" s="33"/>
      <c r="F1783" s="56"/>
      <c r="G1783" s="33"/>
      <c r="H1783" s="33"/>
      <c r="I1783" s="33"/>
      <c r="J1783" s="57"/>
      <c r="K1783" s="33"/>
      <c r="L1783" s="57"/>
      <c r="M1783" s="64"/>
      <c r="N1783" s="56"/>
      <c r="O1783" s="64"/>
      <c r="P1783" s="62"/>
      <c r="Q1783" s="33"/>
      <c r="R1783" s="33"/>
      <c r="S1783" s="61"/>
      <c r="T1783" s="33"/>
      <c r="U1783" s="62"/>
      <c r="W1783" s="61"/>
      <c r="X1783" s="62"/>
      <c r="AD1783" s="64"/>
      <c r="AG1783" s="64"/>
    </row>
    <row r="1784" spans="2:33" ht="16">
      <c r="B1784" s="67" t="str">
        <f t="shared" si="7"/>
        <v/>
      </c>
      <c r="C1784" s="33"/>
      <c r="D1784" s="33"/>
      <c r="E1784" s="33"/>
      <c r="F1784" s="56"/>
      <c r="G1784" s="33"/>
      <c r="H1784" s="33"/>
      <c r="I1784" s="33"/>
      <c r="J1784" s="57"/>
      <c r="K1784" s="33"/>
      <c r="L1784" s="57"/>
      <c r="M1784" s="58"/>
      <c r="N1784" s="56"/>
      <c r="O1784" s="58"/>
      <c r="P1784" s="62"/>
      <c r="Q1784" s="33"/>
      <c r="R1784" s="33"/>
      <c r="S1784" s="61"/>
      <c r="T1784" s="33"/>
      <c r="U1784" s="62"/>
      <c r="W1784" s="61"/>
      <c r="X1784" s="62"/>
      <c r="AD1784" s="58"/>
      <c r="AG1784" s="58"/>
    </row>
    <row r="1785" spans="2:33" ht="16">
      <c r="B1785" s="67" t="str">
        <f t="shared" si="7"/>
        <v/>
      </c>
      <c r="C1785" s="33"/>
      <c r="D1785" s="33"/>
      <c r="E1785" s="33"/>
      <c r="F1785" s="56"/>
      <c r="G1785" s="33"/>
      <c r="H1785" s="33"/>
      <c r="I1785" s="33"/>
      <c r="J1785" s="57"/>
      <c r="K1785" s="33"/>
      <c r="L1785" s="57"/>
      <c r="M1785" s="64"/>
      <c r="N1785" s="56"/>
      <c r="O1785" s="64"/>
      <c r="P1785" s="62"/>
      <c r="Q1785" s="33"/>
      <c r="R1785" s="33"/>
      <c r="S1785" s="61"/>
      <c r="T1785" s="33"/>
      <c r="U1785" s="62"/>
      <c r="W1785" s="61"/>
      <c r="X1785" s="62"/>
      <c r="AD1785" s="64"/>
      <c r="AG1785" s="64"/>
    </row>
    <row r="1786" spans="2:33" ht="16">
      <c r="B1786" s="67" t="str">
        <f t="shared" si="7"/>
        <v/>
      </c>
      <c r="C1786" s="33"/>
      <c r="D1786" s="33"/>
      <c r="E1786" s="33"/>
      <c r="F1786" s="56"/>
      <c r="G1786" s="33"/>
      <c r="H1786" s="33"/>
      <c r="I1786" s="33"/>
      <c r="J1786" s="57"/>
      <c r="K1786" s="33"/>
      <c r="L1786" s="57"/>
      <c r="M1786" s="64"/>
      <c r="N1786" s="56"/>
      <c r="O1786" s="64"/>
      <c r="P1786" s="62"/>
      <c r="Q1786" s="33"/>
      <c r="R1786" s="33"/>
      <c r="S1786" s="61"/>
      <c r="T1786" s="33"/>
      <c r="U1786" s="62"/>
      <c r="W1786" s="61"/>
      <c r="X1786" s="62"/>
      <c r="AD1786" s="64"/>
      <c r="AG1786" s="58"/>
    </row>
    <row r="1787" spans="2:33" ht="16">
      <c r="B1787" s="67" t="str">
        <f t="shared" si="7"/>
        <v/>
      </c>
      <c r="C1787" s="33"/>
      <c r="D1787" s="33"/>
      <c r="E1787" s="33"/>
      <c r="F1787" s="56"/>
      <c r="G1787" s="33"/>
      <c r="H1787" s="33"/>
      <c r="I1787" s="33"/>
      <c r="J1787" s="57"/>
      <c r="K1787" s="33"/>
      <c r="L1787" s="57"/>
      <c r="M1787" s="64"/>
      <c r="N1787" s="56"/>
      <c r="O1787" s="64"/>
      <c r="P1787" s="62"/>
      <c r="Q1787" s="33"/>
      <c r="R1787" s="33"/>
      <c r="S1787" s="61"/>
      <c r="T1787" s="33"/>
      <c r="U1787" s="62"/>
      <c r="W1787" s="61"/>
      <c r="X1787" s="62"/>
      <c r="AD1787" s="64"/>
      <c r="AG1787" s="58"/>
    </row>
    <row r="1788" spans="2:33" ht="16">
      <c r="B1788" s="67" t="str">
        <f t="shared" si="7"/>
        <v/>
      </c>
      <c r="C1788" s="33"/>
      <c r="D1788" s="33"/>
      <c r="E1788" s="33"/>
      <c r="F1788" s="56"/>
      <c r="G1788" s="33"/>
      <c r="H1788" s="33"/>
      <c r="I1788" s="33"/>
      <c r="J1788" s="57"/>
      <c r="K1788" s="33"/>
      <c r="L1788" s="57"/>
      <c r="M1788" s="64"/>
      <c r="N1788" s="56"/>
      <c r="O1788" s="64"/>
      <c r="P1788" s="62"/>
      <c r="Q1788" s="33"/>
      <c r="R1788" s="33"/>
      <c r="S1788" s="61"/>
      <c r="T1788" s="33"/>
      <c r="U1788" s="62"/>
      <c r="W1788" s="61"/>
      <c r="X1788" s="62"/>
      <c r="AD1788" s="64"/>
      <c r="AG1788" s="64"/>
    </row>
    <row r="1789" spans="2:33" ht="16">
      <c r="B1789" s="67" t="str">
        <f t="shared" si="7"/>
        <v/>
      </c>
      <c r="C1789" s="33"/>
      <c r="D1789" s="33"/>
      <c r="E1789" s="33"/>
      <c r="F1789" s="56"/>
      <c r="G1789" s="33"/>
      <c r="H1789" s="33"/>
      <c r="I1789" s="33"/>
      <c r="J1789" s="57"/>
      <c r="K1789" s="33"/>
      <c r="L1789" s="57"/>
      <c r="M1789" s="64"/>
      <c r="N1789" s="56"/>
      <c r="O1789" s="64"/>
      <c r="P1789" s="62"/>
      <c r="Q1789" s="33"/>
      <c r="R1789" s="33"/>
      <c r="S1789" s="61"/>
      <c r="T1789" s="33"/>
      <c r="U1789" s="62"/>
      <c r="W1789" s="61"/>
      <c r="X1789" s="62"/>
      <c r="AD1789" s="58"/>
      <c r="AG1789" s="64"/>
    </row>
    <row r="1790" spans="2:33" ht="16">
      <c r="B1790" s="67" t="str">
        <f t="shared" si="7"/>
        <v/>
      </c>
      <c r="C1790" s="33"/>
      <c r="D1790" s="33"/>
      <c r="E1790" s="33"/>
      <c r="F1790" s="56"/>
      <c r="G1790" s="33"/>
      <c r="H1790" s="33"/>
      <c r="I1790" s="33"/>
      <c r="J1790" s="57"/>
      <c r="K1790" s="33"/>
      <c r="L1790" s="57"/>
      <c r="M1790" s="58"/>
      <c r="N1790" s="56"/>
      <c r="O1790" s="64"/>
      <c r="P1790" s="62"/>
      <c r="Q1790" s="33"/>
      <c r="R1790" s="33"/>
      <c r="S1790" s="61"/>
      <c r="T1790" s="33"/>
      <c r="U1790" s="62"/>
      <c r="W1790" s="61"/>
      <c r="X1790" s="62"/>
      <c r="AD1790" s="64"/>
      <c r="AG1790" s="58"/>
    </row>
    <row r="1791" spans="2:33" ht="16">
      <c r="B1791" s="67" t="str">
        <f t="shared" si="7"/>
        <v/>
      </c>
      <c r="C1791" s="33"/>
      <c r="D1791" s="33"/>
      <c r="E1791" s="33"/>
      <c r="F1791" s="56"/>
      <c r="G1791" s="33"/>
      <c r="H1791" s="33"/>
      <c r="I1791" s="33"/>
      <c r="J1791" s="57"/>
      <c r="K1791" s="33"/>
      <c r="L1791" s="57"/>
      <c r="M1791" s="64"/>
      <c r="N1791" s="56"/>
      <c r="O1791" s="58"/>
      <c r="P1791" s="62"/>
      <c r="Q1791" s="33"/>
      <c r="R1791" s="33"/>
      <c r="S1791" s="61"/>
      <c r="T1791" s="33"/>
      <c r="U1791" s="62"/>
      <c r="W1791" s="61"/>
      <c r="X1791" s="62"/>
      <c r="AD1791" s="58"/>
      <c r="AG1791" s="64"/>
    </row>
    <row r="1792" spans="2:33" ht="16">
      <c r="B1792" s="67" t="str">
        <f t="shared" si="7"/>
        <v/>
      </c>
      <c r="C1792" s="33"/>
      <c r="D1792" s="33"/>
      <c r="E1792" s="33"/>
      <c r="F1792" s="56"/>
      <c r="G1792" s="33"/>
      <c r="H1792" s="33"/>
      <c r="I1792" s="33"/>
      <c r="J1792" s="57"/>
      <c r="K1792" s="33"/>
      <c r="L1792" s="57"/>
      <c r="M1792" s="64"/>
      <c r="N1792" s="56"/>
      <c r="O1792" s="64"/>
      <c r="P1792" s="62"/>
      <c r="Q1792" s="33"/>
      <c r="R1792" s="33"/>
      <c r="S1792" s="61"/>
      <c r="T1792" s="33"/>
      <c r="U1792" s="62"/>
      <c r="W1792" s="61"/>
      <c r="X1792" s="62"/>
      <c r="AD1792" s="64"/>
      <c r="AG1792" s="58"/>
    </row>
    <row r="1793" spans="2:33" ht="16">
      <c r="B1793" s="67" t="str">
        <f t="shared" si="7"/>
        <v/>
      </c>
      <c r="C1793" s="33"/>
      <c r="D1793" s="33"/>
      <c r="E1793" s="33"/>
      <c r="F1793" s="56"/>
      <c r="G1793" s="33"/>
      <c r="H1793" s="33"/>
      <c r="I1793" s="33"/>
      <c r="J1793" s="57"/>
      <c r="K1793" s="33"/>
      <c r="L1793" s="57"/>
      <c r="M1793" s="64"/>
      <c r="N1793" s="56"/>
      <c r="O1793" s="64"/>
      <c r="P1793" s="62"/>
      <c r="Q1793" s="33"/>
      <c r="R1793" s="33"/>
      <c r="S1793" s="61"/>
      <c r="T1793" s="33"/>
      <c r="U1793" s="62"/>
      <c r="W1793" s="61"/>
      <c r="X1793" s="62"/>
      <c r="AD1793" s="64"/>
      <c r="AG1793" s="58"/>
    </row>
    <row r="1794" spans="2:33" ht="16">
      <c r="B1794" s="67" t="str">
        <f t="shared" si="7"/>
        <v/>
      </c>
      <c r="C1794" s="33"/>
      <c r="D1794" s="33"/>
      <c r="E1794" s="33"/>
      <c r="F1794" s="56"/>
      <c r="G1794" s="33"/>
      <c r="H1794" s="33"/>
      <c r="I1794" s="33"/>
      <c r="J1794" s="57"/>
      <c r="K1794" s="33"/>
      <c r="L1794" s="57"/>
      <c r="M1794" s="64"/>
      <c r="N1794" s="56"/>
      <c r="O1794" s="64"/>
      <c r="P1794" s="62"/>
      <c r="Q1794" s="33"/>
      <c r="R1794" s="33"/>
      <c r="S1794" s="61"/>
      <c r="T1794" s="33"/>
      <c r="U1794" s="62"/>
      <c r="W1794" s="61"/>
      <c r="X1794" s="62"/>
      <c r="AD1794" s="64"/>
      <c r="AG1794" s="58"/>
    </row>
    <row r="1795" spans="2:33" ht="16">
      <c r="B1795" s="67" t="str">
        <f t="shared" si="7"/>
        <v/>
      </c>
      <c r="C1795" s="33"/>
      <c r="D1795" s="33"/>
      <c r="E1795" s="33"/>
      <c r="F1795" s="56"/>
      <c r="G1795" s="33"/>
      <c r="H1795" s="33"/>
      <c r="I1795" s="33"/>
      <c r="J1795" s="57"/>
      <c r="K1795" s="33"/>
      <c r="L1795" s="57"/>
      <c r="M1795" s="64"/>
      <c r="N1795" s="56"/>
      <c r="O1795" s="64"/>
      <c r="P1795" s="62"/>
      <c r="Q1795" s="33"/>
      <c r="R1795" s="33"/>
      <c r="S1795" s="61"/>
      <c r="T1795" s="33"/>
      <c r="U1795" s="62"/>
      <c r="W1795" s="61"/>
      <c r="X1795" s="62"/>
      <c r="AD1795" s="64"/>
      <c r="AG1795" s="64"/>
    </row>
    <row r="1796" spans="2:33" ht="16">
      <c r="B1796" s="67" t="str">
        <f t="shared" si="7"/>
        <v/>
      </c>
      <c r="C1796" s="33"/>
      <c r="D1796" s="33"/>
      <c r="E1796" s="33"/>
      <c r="F1796" s="56"/>
      <c r="G1796" s="33"/>
      <c r="H1796" s="33"/>
      <c r="I1796" s="33"/>
      <c r="J1796" s="57"/>
      <c r="K1796" s="33"/>
      <c r="L1796" s="57"/>
      <c r="M1796" s="64"/>
      <c r="N1796" s="56"/>
      <c r="O1796" s="64"/>
      <c r="P1796" s="62"/>
      <c r="Q1796" s="33"/>
      <c r="R1796" s="33"/>
      <c r="S1796" s="61"/>
      <c r="T1796" s="33"/>
      <c r="U1796" s="62"/>
      <c r="W1796" s="61"/>
      <c r="X1796" s="62"/>
      <c r="AD1796" s="64"/>
      <c r="AG1796" s="64"/>
    </row>
    <row r="1797" spans="2:33" ht="16">
      <c r="B1797" s="67" t="str">
        <f t="shared" si="7"/>
        <v/>
      </c>
      <c r="C1797" s="33"/>
      <c r="D1797" s="33"/>
      <c r="E1797" s="33"/>
      <c r="F1797" s="56"/>
      <c r="G1797" s="33"/>
      <c r="H1797" s="33"/>
      <c r="I1797" s="33"/>
      <c r="J1797" s="57"/>
      <c r="K1797" s="33"/>
      <c r="L1797" s="57"/>
      <c r="M1797" s="64"/>
      <c r="N1797" s="56"/>
      <c r="O1797" s="64"/>
      <c r="P1797" s="62"/>
      <c r="Q1797" s="33"/>
      <c r="R1797" s="33"/>
      <c r="S1797" s="61"/>
      <c r="T1797" s="33"/>
      <c r="U1797" s="62"/>
      <c r="W1797" s="61"/>
      <c r="X1797" s="62"/>
      <c r="AD1797" s="64"/>
      <c r="AG1797" s="64"/>
    </row>
    <row r="1798" spans="2:33" ht="16">
      <c r="B1798" s="67" t="str">
        <f t="shared" si="7"/>
        <v/>
      </c>
      <c r="C1798" s="33"/>
      <c r="D1798" s="33"/>
      <c r="E1798" s="33"/>
      <c r="F1798" s="56"/>
      <c r="G1798" s="33"/>
      <c r="H1798" s="33"/>
      <c r="I1798" s="33"/>
      <c r="J1798" s="57"/>
      <c r="K1798" s="33"/>
      <c r="L1798" s="57"/>
      <c r="M1798" s="64"/>
      <c r="N1798" s="56"/>
      <c r="O1798" s="64"/>
      <c r="P1798" s="62"/>
      <c r="Q1798" s="33"/>
      <c r="R1798" s="33"/>
      <c r="S1798" s="61"/>
      <c r="T1798" s="33"/>
      <c r="U1798" s="62"/>
      <c r="W1798" s="61"/>
      <c r="X1798" s="62"/>
      <c r="AD1798" s="64"/>
      <c r="AG1798" s="64"/>
    </row>
    <row r="1799" spans="2:33" ht="16">
      <c r="B1799" s="67" t="str">
        <f t="shared" si="7"/>
        <v/>
      </c>
      <c r="C1799" s="64"/>
      <c r="D1799" s="33"/>
      <c r="E1799" s="33"/>
      <c r="F1799" s="56"/>
      <c r="G1799" s="33"/>
      <c r="H1799" s="33"/>
      <c r="I1799" s="33"/>
      <c r="J1799" s="57"/>
      <c r="K1799" s="33"/>
      <c r="L1799" s="57"/>
      <c r="M1799" s="64"/>
      <c r="N1799" s="56"/>
      <c r="O1799" s="64"/>
      <c r="P1799" s="62"/>
      <c r="Q1799" s="33"/>
      <c r="R1799" s="33"/>
      <c r="S1799" s="61"/>
      <c r="T1799" s="33"/>
      <c r="U1799" s="62"/>
      <c r="W1799" s="61"/>
      <c r="X1799" s="62"/>
      <c r="AD1799" s="64"/>
      <c r="AG1799" s="64"/>
    </row>
    <row r="1800" spans="2:33" ht="16">
      <c r="B1800" s="67" t="str">
        <f t="shared" si="7"/>
        <v/>
      </c>
      <c r="C1800" s="33"/>
      <c r="D1800" s="33"/>
      <c r="E1800" s="33"/>
      <c r="F1800" s="56"/>
      <c r="G1800" s="33"/>
      <c r="H1800" s="33"/>
      <c r="I1800" s="33"/>
      <c r="J1800" s="57"/>
      <c r="K1800" s="33"/>
      <c r="L1800" s="57"/>
      <c r="M1800" s="64"/>
      <c r="N1800" s="56"/>
      <c r="O1800" s="64"/>
      <c r="P1800" s="62"/>
      <c r="Q1800" s="33"/>
      <c r="R1800" s="33"/>
      <c r="S1800" s="61"/>
      <c r="T1800" s="33"/>
      <c r="U1800" s="62"/>
      <c r="W1800" s="61"/>
      <c r="X1800" s="62"/>
      <c r="AD1800" s="64"/>
      <c r="AG1800" s="58"/>
    </row>
    <row r="1801" spans="2:33" ht="16">
      <c r="B1801" s="67" t="str">
        <f t="shared" si="7"/>
        <v/>
      </c>
      <c r="C1801" s="33"/>
      <c r="D1801" s="33"/>
      <c r="E1801" s="33"/>
      <c r="F1801" s="56"/>
      <c r="G1801" s="33"/>
      <c r="H1801" s="33"/>
      <c r="I1801" s="33"/>
      <c r="J1801" s="57"/>
      <c r="K1801" s="33"/>
      <c r="L1801" s="57"/>
      <c r="M1801" s="64"/>
      <c r="N1801" s="56"/>
      <c r="O1801" s="64"/>
      <c r="P1801" s="62"/>
      <c r="Q1801" s="33"/>
      <c r="R1801" s="33"/>
      <c r="S1801" s="61"/>
      <c r="T1801" s="33"/>
      <c r="U1801" s="62"/>
      <c r="W1801" s="61"/>
      <c r="X1801" s="62"/>
      <c r="AD1801" s="64"/>
      <c r="AG1801" s="64"/>
    </row>
    <row r="1802" spans="2:33" ht="16">
      <c r="B1802" s="67" t="str">
        <f t="shared" si="7"/>
        <v/>
      </c>
      <c r="C1802" s="33"/>
      <c r="D1802" s="33"/>
      <c r="E1802" s="33"/>
      <c r="F1802" s="56"/>
      <c r="G1802" s="33"/>
      <c r="H1802" s="33"/>
      <c r="I1802" s="33"/>
      <c r="J1802" s="57"/>
      <c r="K1802" s="33"/>
      <c r="L1802" s="57"/>
      <c r="M1802" s="58"/>
      <c r="N1802" s="56"/>
      <c r="O1802" s="58"/>
      <c r="P1802" s="62"/>
      <c r="Q1802" s="33"/>
      <c r="R1802" s="33"/>
      <c r="S1802" s="61"/>
      <c r="T1802" s="33"/>
      <c r="U1802" s="62"/>
      <c r="W1802" s="61"/>
      <c r="X1802" s="62"/>
      <c r="AD1802" s="58"/>
      <c r="AG1802" s="58"/>
    </row>
    <row r="1803" spans="2:33" ht="16">
      <c r="B1803" s="67" t="str">
        <f t="shared" si="7"/>
        <v/>
      </c>
      <c r="C1803" s="33"/>
      <c r="D1803" s="33"/>
      <c r="E1803" s="33"/>
      <c r="F1803" s="56"/>
      <c r="G1803" s="33"/>
      <c r="H1803" s="33"/>
      <c r="I1803" s="33"/>
      <c r="J1803" s="57"/>
      <c r="K1803" s="33"/>
      <c r="L1803" s="57"/>
      <c r="M1803" s="64"/>
      <c r="N1803" s="56"/>
      <c r="O1803" s="64"/>
      <c r="P1803" s="62"/>
      <c r="Q1803" s="33"/>
      <c r="R1803" s="33"/>
      <c r="S1803" s="61"/>
      <c r="T1803" s="33"/>
      <c r="U1803" s="62"/>
      <c r="W1803" s="61"/>
      <c r="X1803" s="62"/>
      <c r="AD1803" s="64"/>
      <c r="AG1803" s="64"/>
    </row>
    <row r="1804" spans="2:33" ht="16">
      <c r="B1804" s="67" t="str">
        <f t="shared" si="7"/>
        <v/>
      </c>
      <c r="C1804" s="33"/>
      <c r="D1804" s="33"/>
      <c r="E1804" s="33"/>
      <c r="F1804" s="56"/>
      <c r="G1804" s="33"/>
      <c r="H1804" s="33"/>
      <c r="I1804" s="33"/>
      <c r="J1804" s="57"/>
      <c r="K1804" s="33"/>
      <c r="L1804" s="57"/>
      <c r="M1804" s="58"/>
      <c r="N1804" s="56"/>
      <c r="O1804" s="58"/>
      <c r="P1804" s="62"/>
      <c r="Q1804" s="33"/>
      <c r="R1804" s="33"/>
      <c r="S1804" s="61"/>
      <c r="T1804" s="33"/>
      <c r="U1804" s="62"/>
      <c r="W1804" s="61"/>
      <c r="X1804" s="62"/>
      <c r="AD1804" s="58"/>
      <c r="AG1804" s="64"/>
    </row>
    <row r="1805" spans="2:33" ht="16">
      <c r="B1805" s="67" t="str">
        <f t="shared" si="7"/>
        <v/>
      </c>
      <c r="C1805" s="33"/>
      <c r="D1805" s="33"/>
      <c r="E1805" s="33"/>
      <c r="F1805" s="56"/>
      <c r="G1805" s="33"/>
      <c r="H1805" s="33"/>
      <c r="I1805" s="33"/>
      <c r="J1805" s="57"/>
      <c r="K1805" s="33"/>
      <c r="L1805" s="57"/>
      <c r="M1805" s="64"/>
      <c r="N1805" s="56"/>
      <c r="O1805" s="58"/>
      <c r="P1805" s="62"/>
      <c r="Q1805" s="33"/>
      <c r="R1805" s="33"/>
      <c r="S1805" s="61"/>
      <c r="T1805" s="33"/>
      <c r="U1805" s="62"/>
      <c r="W1805" s="61"/>
      <c r="X1805" s="62"/>
      <c r="AD1805" s="58"/>
      <c r="AG1805" s="64"/>
    </row>
    <row r="1806" spans="2:33" ht="16">
      <c r="B1806" s="67" t="str">
        <f t="shared" si="7"/>
        <v/>
      </c>
      <c r="C1806" s="33"/>
      <c r="D1806" s="33"/>
      <c r="E1806" s="33"/>
      <c r="F1806" s="56"/>
      <c r="G1806" s="33"/>
      <c r="H1806" s="33"/>
      <c r="I1806" s="33"/>
      <c r="J1806" s="57"/>
      <c r="K1806" s="33"/>
      <c r="L1806" s="57"/>
      <c r="M1806" s="58"/>
      <c r="N1806" s="56"/>
      <c r="O1806" s="58"/>
      <c r="P1806" s="62"/>
      <c r="Q1806" s="33"/>
      <c r="R1806" s="33"/>
      <c r="S1806" s="61"/>
      <c r="T1806" s="33"/>
      <c r="U1806" s="62"/>
      <c r="W1806" s="61"/>
      <c r="X1806" s="62"/>
      <c r="AD1806" s="58"/>
      <c r="AG1806" s="64"/>
    </row>
    <row r="1807" spans="2:33" ht="16">
      <c r="B1807" s="67" t="str">
        <f t="shared" si="7"/>
        <v/>
      </c>
      <c r="C1807" s="33"/>
      <c r="D1807" s="33"/>
      <c r="E1807" s="33"/>
      <c r="F1807" s="56"/>
      <c r="G1807" s="33"/>
      <c r="H1807" s="33"/>
      <c r="I1807" s="33"/>
      <c r="J1807" s="57"/>
      <c r="K1807" s="33"/>
      <c r="L1807" s="57"/>
      <c r="M1807" s="64"/>
      <c r="N1807" s="56"/>
      <c r="O1807" s="64"/>
      <c r="P1807" s="62"/>
      <c r="Q1807" s="33"/>
      <c r="R1807" s="33"/>
      <c r="S1807" s="61"/>
      <c r="T1807" s="33"/>
      <c r="U1807" s="62"/>
      <c r="W1807" s="61"/>
      <c r="X1807" s="62"/>
      <c r="AD1807" s="64"/>
      <c r="AG1807" s="58"/>
    </row>
    <row r="1808" spans="2:33" ht="16">
      <c r="B1808" s="67" t="str">
        <f t="shared" si="7"/>
        <v/>
      </c>
      <c r="C1808" s="33"/>
      <c r="D1808" s="33"/>
      <c r="E1808" s="33"/>
      <c r="F1808" s="56"/>
      <c r="G1808" s="33"/>
      <c r="H1808" s="33"/>
      <c r="I1808" s="33"/>
      <c r="J1808" s="57"/>
      <c r="K1808" s="33"/>
      <c r="L1808" s="57"/>
      <c r="M1808" s="64"/>
      <c r="N1808" s="56"/>
      <c r="O1808" s="64"/>
      <c r="P1808" s="62"/>
      <c r="Q1808" s="33"/>
      <c r="R1808" s="33"/>
      <c r="S1808" s="61"/>
      <c r="T1808" s="33"/>
      <c r="U1808" s="62"/>
      <c r="W1808" s="61"/>
      <c r="X1808" s="62"/>
      <c r="AD1808" s="64"/>
      <c r="AG1808" s="58"/>
    </row>
    <row r="1809" spans="2:33" ht="16">
      <c r="B1809" s="67" t="str">
        <f t="shared" si="7"/>
        <v/>
      </c>
      <c r="C1809" s="33"/>
      <c r="D1809" s="33"/>
      <c r="E1809" s="33"/>
      <c r="F1809" s="56"/>
      <c r="G1809" s="33"/>
      <c r="H1809" s="33"/>
      <c r="I1809" s="33"/>
      <c r="J1809" s="57"/>
      <c r="K1809" s="33"/>
      <c r="L1809" s="57"/>
      <c r="M1809" s="64"/>
      <c r="N1809" s="56"/>
      <c r="O1809" s="64"/>
      <c r="P1809" s="62"/>
      <c r="Q1809" s="33"/>
      <c r="R1809" s="33"/>
      <c r="S1809" s="61"/>
      <c r="T1809" s="33"/>
      <c r="U1809" s="62"/>
      <c r="W1809" s="61"/>
      <c r="X1809" s="62"/>
      <c r="AD1809" s="64"/>
      <c r="AG1809" s="58"/>
    </row>
    <row r="1810" spans="2:33" ht="16">
      <c r="B1810" s="67" t="str">
        <f t="shared" si="7"/>
        <v/>
      </c>
      <c r="C1810" s="33"/>
      <c r="D1810" s="33"/>
      <c r="E1810" s="33"/>
      <c r="F1810" s="56"/>
      <c r="G1810" s="33"/>
      <c r="H1810" s="33"/>
      <c r="I1810" s="33"/>
      <c r="J1810" s="57"/>
      <c r="K1810" s="33"/>
      <c r="L1810" s="57"/>
      <c r="M1810" s="58"/>
      <c r="N1810" s="56"/>
      <c r="O1810" s="58"/>
      <c r="P1810" s="62"/>
      <c r="Q1810" s="33"/>
      <c r="R1810" s="33"/>
      <c r="S1810" s="61"/>
      <c r="T1810" s="33"/>
      <c r="U1810" s="62"/>
      <c r="W1810" s="61"/>
      <c r="X1810" s="62"/>
      <c r="AD1810" s="58"/>
      <c r="AG1810" s="64"/>
    </row>
    <row r="1811" spans="2:33" ht="16">
      <c r="B1811" s="67" t="str">
        <f t="shared" si="7"/>
        <v/>
      </c>
      <c r="C1811" s="33"/>
      <c r="D1811" s="33"/>
      <c r="E1811" s="33"/>
      <c r="F1811" s="56"/>
      <c r="G1811" s="33"/>
      <c r="H1811" s="33"/>
      <c r="I1811" s="33"/>
      <c r="J1811" s="57"/>
      <c r="K1811" s="33"/>
      <c r="L1811" s="57"/>
      <c r="M1811" s="64"/>
      <c r="N1811" s="56"/>
      <c r="O1811" s="64"/>
      <c r="P1811" s="62"/>
      <c r="Q1811" s="33"/>
      <c r="R1811" s="33"/>
      <c r="S1811" s="61"/>
      <c r="T1811" s="33"/>
      <c r="U1811" s="62"/>
      <c r="W1811" s="61"/>
      <c r="X1811" s="62"/>
      <c r="AD1811" s="64"/>
      <c r="AG1811" s="58"/>
    </row>
    <row r="1812" spans="2:33" ht="16">
      <c r="B1812" s="67" t="str">
        <f t="shared" ref="B1812:B2066" si="8">IF($H1812="","",LEFT(C1812,3))</f>
        <v/>
      </c>
      <c r="C1812" s="33"/>
      <c r="D1812" s="33"/>
      <c r="E1812" s="33"/>
      <c r="F1812" s="56"/>
      <c r="G1812" s="33"/>
      <c r="H1812" s="33"/>
      <c r="I1812" s="33"/>
      <c r="J1812" s="57"/>
      <c r="K1812" s="33"/>
      <c r="L1812" s="57"/>
      <c r="M1812" s="64"/>
      <c r="N1812" s="56"/>
      <c r="O1812" s="64"/>
      <c r="P1812" s="62"/>
      <c r="Q1812" s="33"/>
      <c r="R1812" s="33"/>
      <c r="S1812" s="61"/>
      <c r="T1812" s="33"/>
      <c r="U1812" s="62"/>
      <c r="W1812" s="61"/>
      <c r="X1812" s="62"/>
      <c r="AD1812" s="64"/>
      <c r="AG1812" s="58"/>
    </row>
    <row r="1813" spans="2:33" ht="16">
      <c r="B1813" s="67" t="str">
        <f t="shared" si="8"/>
        <v/>
      </c>
      <c r="C1813" s="33"/>
      <c r="D1813" s="33"/>
      <c r="E1813" s="33"/>
      <c r="F1813" s="56"/>
      <c r="G1813" s="33"/>
      <c r="H1813" s="33"/>
      <c r="I1813" s="33"/>
      <c r="J1813" s="57"/>
      <c r="K1813" s="33"/>
      <c r="L1813" s="57"/>
      <c r="M1813" s="64"/>
      <c r="N1813" s="56"/>
      <c r="O1813" s="64"/>
      <c r="P1813" s="62"/>
      <c r="Q1813" s="33"/>
      <c r="R1813" s="33"/>
      <c r="S1813" s="61"/>
      <c r="T1813" s="33"/>
      <c r="U1813" s="62"/>
      <c r="W1813" s="61"/>
      <c r="X1813" s="62"/>
      <c r="AD1813" s="64"/>
      <c r="AG1813" s="58"/>
    </row>
    <row r="1814" spans="2:33" ht="16">
      <c r="B1814" s="67" t="str">
        <f t="shared" si="8"/>
        <v/>
      </c>
      <c r="C1814" s="33"/>
      <c r="D1814" s="33"/>
      <c r="E1814" s="33"/>
      <c r="F1814" s="56"/>
      <c r="G1814" s="33"/>
      <c r="H1814" s="33"/>
      <c r="I1814" s="33"/>
      <c r="J1814" s="57"/>
      <c r="K1814" s="33"/>
      <c r="L1814" s="57"/>
      <c r="M1814" s="64"/>
      <c r="N1814" s="56"/>
      <c r="O1814" s="64"/>
      <c r="P1814" s="62"/>
      <c r="Q1814" s="33"/>
      <c r="R1814" s="33"/>
      <c r="S1814" s="61"/>
      <c r="T1814" s="33"/>
      <c r="U1814" s="62"/>
      <c r="W1814" s="61"/>
      <c r="X1814" s="62"/>
      <c r="AD1814" s="64"/>
      <c r="AG1814" s="64"/>
    </row>
    <row r="1815" spans="2:33" ht="16">
      <c r="B1815" s="67" t="str">
        <f t="shared" si="8"/>
        <v/>
      </c>
      <c r="C1815" s="33"/>
      <c r="D1815" s="33"/>
      <c r="E1815" s="33"/>
      <c r="F1815" s="56"/>
      <c r="G1815" s="33"/>
      <c r="H1815" s="33"/>
      <c r="I1815" s="33"/>
      <c r="J1815" s="57"/>
      <c r="K1815" s="33"/>
      <c r="L1815" s="57"/>
      <c r="M1815" s="64"/>
      <c r="N1815" s="56"/>
      <c r="O1815" s="64"/>
      <c r="P1815" s="62"/>
      <c r="Q1815" s="33"/>
      <c r="R1815" s="33"/>
      <c r="S1815" s="61"/>
      <c r="T1815" s="33"/>
      <c r="U1815" s="62"/>
      <c r="W1815" s="61"/>
      <c r="X1815" s="62"/>
      <c r="AD1815" s="58"/>
      <c r="AG1815" s="64"/>
    </row>
    <row r="1816" spans="2:33" ht="16">
      <c r="B1816" s="67" t="str">
        <f t="shared" si="8"/>
        <v/>
      </c>
      <c r="C1816" s="33"/>
      <c r="D1816" s="33"/>
      <c r="E1816" s="33"/>
      <c r="F1816" s="56"/>
      <c r="G1816" s="33"/>
      <c r="H1816" s="33"/>
      <c r="I1816" s="33"/>
      <c r="J1816" s="57"/>
      <c r="K1816" s="33"/>
      <c r="L1816" s="57"/>
      <c r="M1816" s="58"/>
      <c r="N1816" s="56"/>
      <c r="O1816" s="58"/>
      <c r="P1816" s="62"/>
      <c r="Q1816" s="33"/>
      <c r="R1816" s="33"/>
      <c r="S1816" s="61"/>
      <c r="T1816" s="33"/>
      <c r="U1816" s="62"/>
      <c r="W1816" s="61"/>
      <c r="X1816" s="62"/>
      <c r="AD1816" s="58"/>
      <c r="AG1816" s="64"/>
    </row>
    <row r="1817" spans="2:33" ht="16">
      <c r="B1817" s="67" t="str">
        <f t="shared" si="8"/>
        <v/>
      </c>
      <c r="C1817" s="33"/>
      <c r="D1817" s="33"/>
      <c r="E1817" s="33"/>
      <c r="F1817" s="56"/>
      <c r="G1817" s="33"/>
      <c r="H1817" s="33"/>
      <c r="I1817" s="33"/>
      <c r="J1817" s="57"/>
      <c r="K1817" s="33"/>
      <c r="L1817" s="57"/>
      <c r="M1817" s="58"/>
      <c r="N1817" s="56"/>
      <c r="O1817" s="64"/>
      <c r="P1817" s="62"/>
      <c r="Q1817" s="33"/>
      <c r="R1817" s="33"/>
      <c r="S1817" s="61"/>
      <c r="T1817" s="33"/>
      <c r="U1817" s="62"/>
      <c r="W1817" s="61"/>
      <c r="X1817" s="62"/>
      <c r="AD1817" s="58"/>
      <c r="AG1817" s="64"/>
    </row>
    <row r="1818" spans="2:33" ht="16">
      <c r="B1818" s="67" t="str">
        <f t="shared" si="8"/>
        <v/>
      </c>
      <c r="C1818" s="33"/>
      <c r="D1818" s="33"/>
      <c r="E1818" s="33"/>
      <c r="F1818" s="56"/>
      <c r="G1818" s="33"/>
      <c r="H1818" s="33"/>
      <c r="I1818" s="33"/>
      <c r="J1818" s="57"/>
      <c r="K1818" s="33"/>
      <c r="L1818" s="57"/>
      <c r="M1818" s="64"/>
      <c r="N1818" s="56"/>
      <c r="O1818" s="64"/>
      <c r="P1818" s="62"/>
      <c r="Q1818" s="33"/>
      <c r="R1818" s="33"/>
      <c r="S1818" s="61"/>
      <c r="T1818" s="33"/>
      <c r="U1818" s="62"/>
      <c r="W1818" s="61"/>
      <c r="X1818" s="62"/>
      <c r="AD1818" s="64"/>
      <c r="AG1818" s="64"/>
    </row>
    <row r="1819" spans="2:33" ht="16">
      <c r="B1819" s="67" t="str">
        <f t="shared" si="8"/>
        <v/>
      </c>
      <c r="C1819" s="33"/>
      <c r="D1819" s="33"/>
      <c r="E1819" s="33"/>
      <c r="F1819" s="56"/>
      <c r="G1819" s="33"/>
      <c r="H1819" s="33"/>
      <c r="I1819" s="33"/>
      <c r="J1819" s="57"/>
      <c r="K1819" s="33"/>
      <c r="L1819" s="57"/>
      <c r="M1819" s="58"/>
      <c r="N1819" s="56"/>
      <c r="O1819" s="58"/>
      <c r="P1819" s="62"/>
      <c r="Q1819" s="33"/>
      <c r="R1819" s="33"/>
      <c r="S1819" s="61"/>
      <c r="T1819" s="33"/>
      <c r="U1819" s="62"/>
      <c r="W1819" s="61"/>
      <c r="X1819" s="62"/>
      <c r="AD1819" s="58"/>
      <c r="AG1819" s="64"/>
    </row>
    <row r="1820" spans="2:33" ht="16">
      <c r="B1820" s="67" t="str">
        <f t="shared" si="8"/>
        <v/>
      </c>
      <c r="C1820" s="33"/>
      <c r="D1820" s="33"/>
      <c r="E1820" s="33"/>
      <c r="F1820" s="56"/>
      <c r="G1820" s="33"/>
      <c r="H1820" s="33"/>
      <c r="I1820" s="33"/>
      <c r="J1820" s="57"/>
      <c r="K1820" s="33"/>
      <c r="L1820" s="57"/>
      <c r="M1820" s="64"/>
      <c r="N1820" s="56"/>
      <c r="O1820" s="64"/>
      <c r="P1820" s="62"/>
      <c r="Q1820" s="33"/>
      <c r="R1820" s="33"/>
      <c r="S1820" s="61"/>
      <c r="T1820" s="33"/>
      <c r="U1820" s="62"/>
      <c r="W1820" s="61"/>
      <c r="X1820" s="62"/>
      <c r="AD1820" s="64"/>
      <c r="AG1820" s="64"/>
    </row>
    <row r="1821" spans="2:33" ht="16">
      <c r="B1821" s="67" t="str">
        <f t="shared" si="8"/>
        <v/>
      </c>
      <c r="C1821" s="33"/>
      <c r="D1821" s="33"/>
      <c r="E1821" s="33"/>
      <c r="F1821" s="56"/>
      <c r="G1821" s="33"/>
      <c r="H1821" s="33"/>
      <c r="I1821" s="33"/>
      <c r="J1821" s="57"/>
      <c r="K1821" s="33"/>
      <c r="L1821" s="57"/>
      <c r="M1821" s="64"/>
      <c r="N1821" s="56"/>
      <c r="O1821" s="64"/>
      <c r="P1821" s="62"/>
      <c r="Q1821" s="33"/>
      <c r="R1821" s="33"/>
      <c r="S1821" s="61"/>
      <c r="T1821" s="33"/>
      <c r="U1821" s="62"/>
      <c r="W1821" s="61"/>
      <c r="X1821" s="62"/>
      <c r="AD1821" s="64"/>
      <c r="AG1821" s="64"/>
    </row>
    <row r="1822" spans="2:33" ht="16">
      <c r="B1822" s="67" t="str">
        <f t="shared" si="8"/>
        <v/>
      </c>
      <c r="C1822" s="33"/>
      <c r="D1822" s="33"/>
      <c r="E1822" s="33"/>
      <c r="F1822" s="56"/>
      <c r="G1822" s="33"/>
      <c r="H1822" s="33"/>
      <c r="I1822" s="33"/>
      <c r="J1822" s="57"/>
      <c r="K1822" s="33"/>
      <c r="L1822" s="57"/>
      <c r="M1822" s="64"/>
      <c r="N1822" s="56"/>
      <c r="O1822" s="64"/>
      <c r="P1822" s="62"/>
      <c r="Q1822" s="33"/>
      <c r="R1822" s="33"/>
      <c r="S1822" s="61"/>
      <c r="T1822" s="33"/>
      <c r="U1822" s="62"/>
      <c r="W1822" s="61"/>
      <c r="X1822" s="62"/>
      <c r="AD1822" s="64"/>
      <c r="AG1822" s="58"/>
    </row>
    <row r="1823" spans="2:33" ht="16">
      <c r="B1823" s="67" t="str">
        <f t="shared" si="8"/>
        <v/>
      </c>
      <c r="C1823" s="33"/>
      <c r="D1823" s="33"/>
      <c r="E1823" s="33"/>
      <c r="F1823" s="56"/>
      <c r="G1823" s="33"/>
      <c r="H1823" s="33"/>
      <c r="I1823" s="33"/>
      <c r="J1823" s="57"/>
      <c r="K1823" s="33"/>
      <c r="L1823" s="57"/>
      <c r="M1823" s="64"/>
      <c r="N1823" s="56"/>
      <c r="O1823" s="64"/>
      <c r="P1823" s="62"/>
      <c r="Q1823" s="33"/>
      <c r="R1823" s="33"/>
      <c r="S1823" s="61"/>
      <c r="T1823" s="33"/>
      <c r="U1823" s="62"/>
      <c r="W1823" s="61"/>
      <c r="X1823" s="62"/>
      <c r="AD1823" s="64"/>
      <c r="AG1823" s="64"/>
    </row>
    <row r="1824" spans="2:33" ht="16">
      <c r="B1824" s="67" t="str">
        <f t="shared" si="8"/>
        <v/>
      </c>
      <c r="C1824" s="33"/>
      <c r="D1824" s="33"/>
      <c r="E1824" s="33"/>
      <c r="F1824" s="56"/>
      <c r="G1824" s="33"/>
      <c r="H1824" s="33"/>
      <c r="I1824" s="33"/>
      <c r="J1824" s="57"/>
      <c r="K1824" s="33"/>
      <c r="L1824" s="57"/>
      <c r="M1824" s="64"/>
      <c r="N1824" s="56"/>
      <c r="O1824" s="64"/>
      <c r="P1824" s="62"/>
      <c r="Q1824" s="33"/>
      <c r="R1824" s="33"/>
      <c r="S1824" s="61"/>
      <c r="T1824" s="33"/>
      <c r="U1824" s="62"/>
      <c r="W1824" s="61"/>
      <c r="X1824" s="62"/>
      <c r="AD1824" s="64"/>
      <c r="AG1824" s="64"/>
    </row>
    <row r="1825" spans="2:33" ht="16">
      <c r="B1825" s="67" t="str">
        <f t="shared" si="8"/>
        <v/>
      </c>
      <c r="C1825" s="33"/>
      <c r="D1825" s="33"/>
      <c r="E1825" s="33"/>
      <c r="F1825" s="56"/>
      <c r="G1825" s="33"/>
      <c r="H1825" s="33"/>
      <c r="I1825" s="33"/>
      <c r="J1825" s="57"/>
      <c r="K1825" s="33"/>
      <c r="L1825" s="57"/>
      <c r="M1825" s="64"/>
      <c r="N1825" s="56"/>
      <c r="O1825" s="64"/>
      <c r="P1825" s="62"/>
      <c r="Q1825" s="33"/>
      <c r="R1825" s="33"/>
      <c r="S1825" s="61"/>
      <c r="T1825" s="33"/>
      <c r="U1825" s="62"/>
      <c r="W1825" s="61"/>
      <c r="X1825" s="62"/>
      <c r="AD1825" s="64"/>
      <c r="AG1825" s="64"/>
    </row>
    <row r="1826" spans="2:33" ht="16">
      <c r="B1826" s="67" t="str">
        <f t="shared" si="8"/>
        <v/>
      </c>
      <c r="C1826" s="33"/>
      <c r="D1826" s="33"/>
      <c r="E1826" s="33"/>
      <c r="F1826" s="56"/>
      <c r="G1826" s="33"/>
      <c r="H1826" s="33"/>
      <c r="I1826" s="33"/>
      <c r="J1826" s="57"/>
      <c r="K1826" s="33"/>
      <c r="L1826" s="57"/>
      <c r="M1826" s="64"/>
      <c r="N1826" s="56"/>
      <c r="O1826" s="64"/>
      <c r="P1826" s="62"/>
      <c r="Q1826" s="33"/>
      <c r="R1826" s="33"/>
      <c r="S1826" s="61"/>
      <c r="T1826" s="33"/>
      <c r="U1826" s="62"/>
      <c r="W1826" s="61"/>
      <c r="X1826" s="62"/>
      <c r="AD1826" s="64"/>
      <c r="AG1826" s="58"/>
    </row>
    <row r="1827" spans="2:33" ht="16">
      <c r="B1827" s="67" t="str">
        <f t="shared" si="8"/>
        <v/>
      </c>
      <c r="C1827" s="64"/>
      <c r="D1827" s="33"/>
      <c r="E1827" s="33"/>
      <c r="F1827" s="56"/>
      <c r="G1827" s="33"/>
      <c r="H1827" s="33"/>
      <c r="I1827" s="33"/>
      <c r="J1827" s="57"/>
      <c r="K1827" s="33"/>
      <c r="L1827" s="57"/>
      <c r="M1827" s="64"/>
      <c r="N1827" s="56"/>
      <c r="O1827" s="64"/>
      <c r="P1827" s="62"/>
      <c r="Q1827" s="33"/>
      <c r="R1827" s="33"/>
      <c r="S1827" s="61"/>
      <c r="T1827" s="33"/>
      <c r="U1827" s="62"/>
      <c r="W1827" s="61"/>
      <c r="X1827" s="62"/>
      <c r="AD1827" s="64"/>
      <c r="AG1827" s="64"/>
    </row>
    <row r="1828" spans="2:33" ht="16">
      <c r="B1828" s="67" t="str">
        <f t="shared" si="8"/>
        <v/>
      </c>
      <c r="C1828" s="33"/>
      <c r="D1828" s="33"/>
      <c r="E1828" s="33"/>
      <c r="F1828" s="56"/>
      <c r="G1828" s="33"/>
      <c r="H1828" s="33"/>
      <c r="I1828" s="33"/>
      <c r="J1828" s="57"/>
      <c r="K1828" s="33"/>
      <c r="L1828" s="57"/>
      <c r="M1828" s="64"/>
      <c r="N1828" s="56"/>
      <c r="O1828" s="64"/>
      <c r="P1828" s="62"/>
      <c r="Q1828" s="33"/>
      <c r="R1828" s="33"/>
      <c r="S1828" s="61"/>
      <c r="T1828" s="33"/>
      <c r="U1828" s="62"/>
      <c r="W1828" s="61"/>
      <c r="X1828" s="62"/>
      <c r="AD1828" s="64"/>
      <c r="AG1828" s="64"/>
    </row>
    <row r="1829" spans="2:33" ht="16">
      <c r="B1829" s="67" t="str">
        <f t="shared" si="8"/>
        <v/>
      </c>
      <c r="C1829" s="33"/>
      <c r="D1829" s="33"/>
      <c r="E1829" s="33"/>
      <c r="F1829" s="56"/>
      <c r="G1829" s="33"/>
      <c r="H1829" s="33"/>
      <c r="I1829" s="33"/>
      <c r="J1829" s="57"/>
      <c r="K1829" s="33"/>
      <c r="L1829" s="57"/>
      <c r="M1829" s="58"/>
      <c r="N1829" s="56"/>
      <c r="O1829" s="58"/>
      <c r="P1829" s="62"/>
      <c r="Q1829" s="33"/>
      <c r="R1829" s="33"/>
      <c r="S1829" s="61"/>
      <c r="T1829" s="33"/>
      <c r="U1829" s="62"/>
      <c r="W1829" s="61"/>
      <c r="X1829" s="62"/>
      <c r="AD1829" s="58"/>
      <c r="AG1829" s="64"/>
    </row>
    <row r="1830" spans="2:33" ht="16">
      <c r="B1830" s="67" t="str">
        <f t="shared" si="8"/>
        <v/>
      </c>
      <c r="C1830" s="33"/>
      <c r="D1830" s="33"/>
      <c r="E1830" s="33"/>
      <c r="F1830" s="56"/>
      <c r="G1830" s="33"/>
      <c r="H1830" s="33"/>
      <c r="I1830" s="33"/>
      <c r="J1830" s="57"/>
      <c r="K1830" s="33"/>
      <c r="L1830" s="57"/>
      <c r="M1830" s="58"/>
      <c r="N1830" s="56"/>
      <c r="O1830" s="58"/>
      <c r="P1830" s="62"/>
      <c r="Q1830" s="33"/>
      <c r="R1830" s="33"/>
      <c r="S1830" s="61"/>
      <c r="T1830" s="33"/>
      <c r="U1830" s="62"/>
      <c r="W1830" s="61"/>
      <c r="X1830" s="62"/>
      <c r="AD1830" s="58"/>
      <c r="AG1830" s="58"/>
    </row>
    <row r="1831" spans="2:33" ht="16">
      <c r="B1831" s="67" t="str">
        <f t="shared" si="8"/>
        <v/>
      </c>
      <c r="C1831" s="33"/>
      <c r="D1831" s="33"/>
      <c r="E1831" s="33"/>
      <c r="F1831" s="56"/>
      <c r="G1831" s="33"/>
      <c r="H1831" s="33"/>
      <c r="I1831" s="33"/>
      <c r="J1831" s="57"/>
      <c r="K1831" s="33"/>
      <c r="L1831" s="57"/>
      <c r="M1831" s="58"/>
      <c r="N1831" s="56"/>
      <c r="O1831" s="58"/>
      <c r="P1831" s="62"/>
      <c r="Q1831" s="33"/>
      <c r="R1831" s="33"/>
      <c r="S1831" s="61"/>
      <c r="T1831" s="33"/>
      <c r="U1831" s="62"/>
      <c r="W1831" s="61"/>
      <c r="X1831" s="62"/>
      <c r="AD1831" s="58"/>
      <c r="AG1831" s="58"/>
    </row>
    <row r="1832" spans="2:33" ht="16">
      <c r="B1832" s="67" t="str">
        <f t="shared" si="8"/>
        <v/>
      </c>
      <c r="C1832" s="33"/>
      <c r="D1832" s="33"/>
      <c r="E1832" s="33"/>
      <c r="F1832" s="56"/>
      <c r="G1832" s="33"/>
      <c r="H1832" s="33"/>
      <c r="I1832" s="33"/>
      <c r="J1832" s="57"/>
      <c r="K1832" s="33"/>
      <c r="L1832" s="57"/>
      <c r="M1832" s="64"/>
      <c r="N1832" s="56"/>
      <c r="O1832" s="64"/>
      <c r="P1832" s="62"/>
      <c r="Q1832" s="33"/>
      <c r="R1832" s="33"/>
      <c r="S1832" s="61"/>
      <c r="T1832" s="33"/>
      <c r="U1832" s="62"/>
      <c r="W1832" s="61"/>
      <c r="X1832" s="62"/>
      <c r="AD1832" s="64"/>
      <c r="AG1832" s="64"/>
    </row>
    <row r="1833" spans="2:33" ht="16">
      <c r="B1833" s="67" t="str">
        <f t="shared" si="8"/>
        <v/>
      </c>
      <c r="C1833" s="33"/>
      <c r="D1833" s="33"/>
      <c r="E1833" s="33"/>
      <c r="F1833" s="56"/>
      <c r="G1833" s="33"/>
      <c r="H1833" s="33"/>
      <c r="I1833" s="33"/>
      <c r="J1833" s="57"/>
      <c r="K1833" s="33"/>
      <c r="L1833" s="57"/>
      <c r="M1833" s="64"/>
      <c r="N1833" s="56"/>
      <c r="O1833" s="64"/>
      <c r="P1833" s="62"/>
      <c r="Q1833" s="33"/>
      <c r="R1833" s="33"/>
      <c r="S1833" s="61"/>
      <c r="T1833" s="33"/>
      <c r="U1833" s="62"/>
      <c r="W1833" s="61"/>
      <c r="X1833" s="62"/>
      <c r="AD1833" s="58"/>
      <c r="AG1833" s="58"/>
    </row>
    <row r="1834" spans="2:33" ht="16">
      <c r="B1834" s="67" t="str">
        <f t="shared" si="8"/>
        <v/>
      </c>
      <c r="C1834" s="33"/>
      <c r="D1834" s="33"/>
      <c r="E1834" s="33"/>
      <c r="F1834" s="56"/>
      <c r="G1834" s="33"/>
      <c r="H1834" s="33"/>
      <c r="I1834" s="33"/>
      <c r="J1834" s="57"/>
      <c r="K1834" s="33"/>
      <c r="L1834" s="57"/>
      <c r="M1834" s="58"/>
      <c r="N1834" s="56"/>
      <c r="O1834" s="58"/>
      <c r="P1834" s="62"/>
      <c r="Q1834" s="33"/>
      <c r="R1834" s="33"/>
      <c r="S1834" s="61"/>
      <c r="T1834" s="33"/>
      <c r="U1834" s="62"/>
      <c r="W1834" s="61"/>
      <c r="X1834" s="62"/>
      <c r="AD1834" s="64"/>
      <c r="AG1834" s="64"/>
    </row>
    <row r="1835" spans="2:33" ht="16">
      <c r="B1835" s="67" t="str">
        <f t="shared" si="8"/>
        <v/>
      </c>
      <c r="C1835" s="33"/>
      <c r="D1835" s="33"/>
      <c r="E1835" s="33"/>
      <c r="F1835" s="56"/>
      <c r="G1835" s="33"/>
      <c r="H1835" s="33"/>
      <c r="I1835" s="33"/>
      <c r="J1835" s="57"/>
      <c r="K1835" s="33"/>
      <c r="L1835" s="57"/>
      <c r="M1835" s="64"/>
      <c r="N1835" s="56"/>
      <c r="O1835" s="64"/>
      <c r="P1835" s="62"/>
      <c r="Q1835" s="33"/>
      <c r="R1835" s="33"/>
      <c r="S1835" s="61"/>
      <c r="T1835" s="33"/>
      <c r="U1835" s="62"/>
      <c r="W1835" s="61"/>
      <c r="X1835" s="62"/>
      <c r="AD1835" s="64"/>
      <c r="AG1835" s="64"/>
    </row>
    <row r="1836" spans="2:33" ht="16">
      <c r="B1836" s="67" t="str">
        <f t="shared" si="8"/>
        <v/>
      </c>
      <c r="C1836" s="33"/>
      <c r="D1836" s="33"/>
      <c r="E1836" s="33"/>
      <c r="F1836" s="56"/>
      <c r="G1836" s="33"/>
      <c r="H1836" s="33"/>
      <c r="I1836" s="33"/>
      <c r="J1836" s="57"/>
      <c r="K1836" s="33"/>
      <c r="L1836" s="57"/>
      <c r="M1836" s="64"/>
      <c r="N1836" s="56"/>
      <c r="O1836" s="58"/>
      <c r="P1836" s="62"/>
      <c r="Q1836" s="33"/>
      <c r="R1836" s="33"/>
      <c r="S1836" s="61"/>
      <c r="T1836" s="33"/>
      <c r="U1836" s="62"/>
      <c r="W1836" s="61"/>
      <c r="X1836" s="62"/>
      <c r="AD1836" s="64"/>
      <c r="AG1836" s="64"/>
    </row>
    <row r="1837" spans="2:33" ht="16">
      <c r="B1837" s="67" t="str">
        <f t="shared" si="8"/>
        <v/>
      </c>
      <c r="C1837" s="33"/>
      <c r="D1837" s="33"/>
      <c r="E1837" s="33"/>
      <c r="F1837" s="56"/>
      <c r="G1837" s="33"/>
      <c r="H1837" s="33"/>
      <c r="I1837" s="33"/>
      <c r="J1837" s="57"/>
      <c r="K1837" s="33"/>
      <c r="L1837" s="57"/>
      <c r="M1837" s="64"/>
      <c r="N1837" s="56"/>
      <c r="O1837" s="64"/>
      <c r="P1837" s="62"/>
      <c r="Q1837" s="33"/>
      <c r="R1837" s="33"/>
      <c r="S1837" s="61"/>
      <c r="T1837" s="33"/>
      <c r="U1837" s="62"/>
      <c r="W1837" s="61"/>
      <c r="X1837" s="62"/>
      <c r="AD1837" s="64"/>
      <c r="AG1837" s="58"/>
    </row>
    <row r="1838" spans="2:33" ht="16">
      <c r="B1838" s="67" t="str">
        <f t="shared" si="8"/>
        <v/>
      </c>
      <c r="C1838" s="33"/>
      <c r="D1838" s="33"/>
      <c r="E1838" s="33"/>
      <c r="F1838" s="56"/>
      <c r="G1838" s="33"/>
      <c r="H1838" s="33"/>
      <c r="I1838" s="33"/>
      <c r="J1838" s="57"/>
      <c r="K1838" s="33"/>
      <c r="L1838" s="57"/>
      <c r="M1838" s="64"/>
      <c r="N1838" s="56"/>
      <c r="O1838" s="64"/>
      <c r="P1838" s="62"/>
      <c r="Q1838" s="33"/>
      <c r="R1838" s="33"/>
      <c r="S1838" s="61"/>
      <c r="T1838" s="33"/>
      <c r="U1838" s="62"/>
      <c r="W1838" s="61"/>
      <c r="X1838" s="62"/>
      <c r="AD1838" s="64"/>
      <c r="AG1838" s="64"/>
    </row>
    <row r="1839" spans="2:33" ht="16">
      <c r="B1839" s="67" t="str">
        <f t="shared" si="8"/>
        <v/>
      </c>
      <c r="C1839" s="33"/>
      <c r="D1839" s="33"/>
      <c r="E1839" s="33"/>
      <c r="F1839" s="56"/>
      <c r="G1839" s="33"/>
      <c r="H1839" s="33"/>
      <c r="I1839" s="33"/>
      <c r="J1839" s="57"/>
      <c r="K1839" s="33"/>
      <c r="L1839" s="57"/>
      <c r="M1839" s="64"/>
      <c r="N1839" s="56"/>
      <c r="O1839" s="64"/>
      <c r="P1839" s="62"/>
      <c r="Q1839" s="33"/>
      <c r="R1839" s="33"/>
      <c r="S1839" s="61"/>
      <c r="T1839" s="33"/>
      <c r="U1839" s="62"/>
      <c r="W1839" s="61"/>
      <c r="X1839" s="62"/>
      <c r="AD1839" s="64"/>
      <c r="AG1839" s="64"/>
    </row>
    <row r="1840" spans="2:33" ht="16">
      <c r="B1840" s="67" t="str">
        <f t="shared" si="8"/>
        <v/>
      </c>
      <c r="C1840" s="33"/>
      <c r="D1840" s="33"/>
      <c r="E1840" s="33"/>
      <c r="F1840" s="56"/>
      <c r="G1840" s="33"/>
      <c r="H1840" s="33"/>
      <c r="I1840" s="33"/>
      <c r="J1840" s="57"/>
      <c r="K1840" s="33"/>
      <c r="L1840" s="57"/>
      <c r="M1840" s="64"/>
      <c r="N1840" s="56"/>
      <c r="O1840" s="58"/>
      <c r="P1840" s="62"/>
      <c r="Q1840" s="33"/>
      <c r="R1840" s="33"/>
      <c r="S1840" s="61"/>
      <c r="T1840" s="33"/>
      <c r="U1840" s="62"/>
      <c r="W1840" s="61"/>
      <c r="X1840" s="62"/>
      <c r="AD1840" s="64"/>
      <c r="AG1840" s="64"/>
    </row>
    <row r="1841" spans="2:33" ht="16">
      <c r="B1841" s="67" t="str">
        <f t="shared" si="8"/>
        <v/>
      </c>
      <c r="C1841" s="33"/>
      <c r="D1841" s="33"/>
      <c r="E1841" s="33"/>
      <c r="F1841" s="56"/>
      <c r="G1841" s="33"/>
      <c r="H1841" s="33"/>
      <c r="I1841" s="33"/>
      <c r="J1841" s="57"/>
      <c r="K1841" s="33"/>
      <c r="L1841" s="57"/>
      <c r="M1841" s="64"/>
      <c r="N1841" s="56"/>
      <c r="O1841" s="64"/>
      <c r="P1841" s="62"/>
      <c r="Q1841" s="33"/>
      <c r="R1841" s="33"/>
      <c r="S1841" s="61"/>
      <c r="T1841" s="33"/>
      <c r="U1841" s="62"/>
      <c r="W1841" s="61"/>
      <c r="X1841" s="62"/>
      <c r="AD1841" s="64"/>
      <c r="AG1841" s="64"/>
    </row>
    <row r="1842" spans="2:33" ht="16">
      <c r="B1842" s="67" t="str">
        <f t="shared" si="8"/>
        <v/>
      </c>
      <c r="C1842" s="33"/>
      <c r="D1842" s="33"/>
      <c r="E1842" s="33"/>
      <c r="F1842" s="56"/>
      <c r="G1842" s="33"/>
      <c r="H1842" s="33"/>
      <c r="I1842" s="33"/>
      <c r="J1842" s="57"/>
      <c r="K1842" s="33"/>
      <c r="L1842" s="57"/>
      <c r="M1842" s="64"/>
      <c r="N1842" s="56"/>
      <c r="O1842" s="64"/>
      <c r="P1842" s="62"/>
      <c r="Q1842" s="33"/>
      <c r="R1842" s="33"/>
      <c r="S1842" s="61"/>
      <c r="T1842" s="33"/>
      <c r="U1842" s="62"/>
      <c r="W1842" s="61"/>
      <c r="X1842" s="62"/>
      <c r="AD1842" s="64"/>
      <c r="AG1842" s="64"/>
    </row>
    <row r="1843" spans="2:33" ht="16">
      <c r="B1843" s="67" t="str">
        <f t="shared" si="8"/>
        <v/>
      </c>
      <c r="C1843" s="33"/>
      <c r="D1843" s="33"/>
      <c r="E1843" s="33"/>
      <c r="F1843" s="56"/>
      <c r="G1843" s="33"/>
      <c r="H1843" s="33"/>
      <c r="I1843" s="33"/>
      <c r="J1843" s="57"/>
      <c r="K1843" s="33"/>
      <c r="L1843" s="57"/>
      <c r="M1843" s="58"/>
      <c r="N1843" s="56"/>
      <c r="O1843" s="58"/>
      <c r="P1843" s="62"/>
      <c r="Q1843" s="33"/>
      <c r="R1843" s="33"/>
      <c r="S1843" s="61"/>
      <c r="T1843" s="33"/>
      <c r="U1843" s="62"/>
      <c r="W1843" s="61"/>
      <c r="X1843" s="62"/>
      <c r="AD1843" s="58"/>
      <c r="AG1843" s="58"/>
    </row>
    <row r="1844" spans="2:33" ht="16">
      <c r="B1844" s="67" t="str">
        <f t="shared" si="8"/>
        <v/>
      </c>
      <c r="C1844" s="33"/>
      <c r="D1844" s="33"/>
      <c r="E1844" s="33"/>
      <c r="F1844" s="56"/>
      <c r="G1844" s="33"/>
      <c r="H1844" s="33"/>
      <c r="I1844" s="33"/>
      <c r="J1844" s="57"/>
      <c r="K1844" s="33"/>
      <c r="L1844" s="57"/>
      <c r="M1844" s="64"/>
      <c r="N1844" s="56"/>
      <c r="O1844" s="64"/>
      <c r="P1844" s="62"/>
      <c r="Q1844" s="33"/>
      <c r="R1844" s="33"/>
      <c r="S1844" s="61"/>
      <c r="T1844" s="33"/>
      <c r="U1844" s="62"/>
      <c r="W1844" s="61"/>
      <c r="X1844" s="62"/>
      <c r="AD1844" s="64"/>
      <c r="AG1844" s="58"/>
    </row>
    <row r="1845" spans="2:33" ht="16">
      <c r="B1845" s="67" t="str">
        <f t="shared" si="8"/>
        <v/>
      </c>
      <c r="C1845" s="33"/>
      <c r="D1845" s="33"/>
      <c r="E1845" s="33"/>
      <c r="F1845" s="56"/>
      <c r="G1845" s="33"/>
      <c r="H1845" s="33"/>
      <c r="I1845" s="33"/>
      <c r="J1845" s="57"/>
      <c r="K1845" s="33"/>
      <c r="L1845" s="57"/>
      <c r="M1845" s="58"/>
      <c r="N1845" s="56"/>
      <c r="O1845" s="58"/>
      <c r="P1845" s="62"/>
      <c r="Q1845" s="33"/>
      <c r="R1845" s="33"/>
      <c r="S1845" s="61"/>
      <c r="T1845" s="33"/>
      <c r="U1845" s="62"/>
      <c r="W1845" s="61"/>
      <c r="X1845" s="62"/>
      <c r="AD1845" s="58"/>
      <c r="AG1845" s="64"/>
    </row>
    <row r="1846" spans="2:33" ht="16">
      <c r="B1846" s="67" t="str">
        <f t="shared" si="8"/>
        <v/>
      </c>
      <c r="C1846" s="33"/>
      <c r="D1846" s="33"/>
      <c r="E1846" s="33"/>
      <c r="F1846" s="56"/>
      <c r="G1846" s="33"/>
      <c r="H1846" s="33"/>
      <c r="I1846" s="33"/>
      <c r="J1846" s="57"/>
      <c r="K1846" s="33"/>
      <c r="L1846" s="57"/>
      <c r="M1846" s="58"/>
      <c r="N1846" s="56"/>
      <c r="O1846" s="64"/>
      <c r="P1846" s="62"/>
      <c r="Q1846" s="33"/>
      <c r="R1846" s="33"/>
      <c r="S1846" s="61"/>
      <c r="T1846" s="33"/>
      <c r="U1846" s="62"/>
      <c r="W1846" s="61"/>
      <c r="X1846" s="62"/>
      <c r="AD1846" s="64"/>
      <c r="AG1846" s="58"/>
    </row>
    <row r="1847" spans="2:33" ht="16">
      <c r="B1847" s="67" t="str">
        <f t="shared" si="8"/>
        <v/>
      </c>
      <c r="C1847" s="33"/>
      <c r="D1847" s="33"/>
      <c r="E1847" s="33"/>
      <c r="F1847" s="56"/>
      <c r="G1847" s="33"/>
      <c r="H1847" s="33"/>
      <c r="I1847" s="33"/>
      <c r="J1847" s="57"/>
      <c r="K1847" s="33"/>
      <c r="L1847" s="57"/>
      <c r="M1847" s="64"/>
      <c r="N1847" s="56"/>
      <c r="O1847" s="58"/>
      <c r="P1847" s="62"/>
      <c r="Q1847" s="33"/>
      <c r="R1847" s="33"/>
      <c r="S1847" s="61"/>
      <c r="T1847" s="33"/>
      <c r="U1847" s="62"/>
      <c r="W1847" s="61"/>
      <c r="X1847" s="62"/>
      <c r="AD1847" s="64"/>
      <c r="AG1847" s="64"/>
    </row>
    <row r="1848" spans="2:33" ht="16">
      <c r="B1848" s="67" t="str">
        <f t="shared" si="8"/>
        <v/>
      </c>
      <c r="C1848" s="33"/>
      <c r="D1848" s="33"/>
      <c r="E1848" s="33"/>
      <c r="F1848" s="56"/>
      <c r="G1848" s="33"/>
      <c r="H1848" s="33"/>
      <c r="I1848" s="33"/>
      <c r="J1848" s="57"/>
      <c r="K1848" s="33"/>
      <c r="L1848" s="57"/>
      <c r="M1848" s="64"/>
      <c r="N1848" s="56"/>
      <c r="O1848" s="64"/>
      <c r="P1848" s="62"/>
      <c r="Q1848" s="33"/>
      <c r="R1848" s="33"/>
      <c r="S1848" s="61"/>
      <c r="T1848" s="33"/>
      <c r="U1848" s="62"/>
      <c r="W1848" s="61"/>
      <c r="X1848" s="62"/>
      <c r="AD1848" s="64"/>
      <c r="AG1848" s="58"/>
    </row>
    <row r="1849" spans="2:33" ht="16">
      <c r="B1849" s="67" t="str">
        <f t="shared" si="8"/>
        <v/>
      </c>
      <c r="C1849" s="33"/>
      <c r="D1849" s="33"/>
      <c r="E1849" s="33"/>
      <c r="F1849" s="56"/>
      <c r="G1849" s="33"/>
      <c r="H1849" s="33"/>
      <c r="I1849" s="33"/>
      <c r="J1849" s="57"/>
      <c r="K1849" s="33"/>
      <c r="L1849" s="57"/>
      <c r="M1849" s="58"/>
      <c r="N1849" s="56"/>
      <c r="O1849" s="58"/>
      <c r="P1849" s="62"/>
      <c r="Q1849" s="33"/>
      <c r="R1849" s="33"/>
      <c r="S1849" s="61"/>
      <c r="T1849" s="33"/>
      <c r="U1849" s="62"/>
      <c r="W1849" s="61"/>
      <c r="X1849" s="62"/>
      <c r="AD1849" s="64"/>
      <c r="AG1849" s="64"/>
    </row>
    <row r="1850" spans="2:33" ht="16">
      <c r="B1850" s="67" t="str">
        <f t="shared" si="8"/>
        <v/>
      </c>
      <c r="C1850" s="33"/>
      <c r="D1850" s="33"/>
      <c r="E1850" s="33"/>
      <c r="F1850" s="56"/>
      <c r="G1850" s="33"/>
      <c r="H1850" s="33"/>
      <c r="I1850" s="33"/>
      <c r="J1850" s="57"/>
      <c r="K1850" s="33"/>
      <c r="L1850" s="57"/>
      <c r="M1850" s="58"/>
      <c r="N1850" s="56"/>
      <c r="O1850" s="58"/>
      <c r="P1850" s="62"/>
      <c r="Q1850" s="33"/>
      <c r="R1850" s="33"/>
      <c r="S1850" s="61"/>
      <c r="T1850" s="33"/>
      <c r="U1850" s="62"/>
      <c r="W1850" s="61"/>
      <c r="X1850" s="62"/>
      <c r="AD1850" s="64"/>
      <c r="AG1850" s="64"/>
    </row>
    <row r="1851" spans="2:33" ht="16">
      <c r="B1851" s="67" t="str">
        <f t="shared" si="8"/>
        <v/>
      </c>
      <c r="C1851" s="33"/>
      <c r="D1851" s="33"/>
      <c r="E1851" s="33"/>
      <c r="F1851" s="56"/>
      <c r="G1851" s="33"/>
      <c r="H1851" s="33"/>
      <c r="I1851" s="33"/>
      <c r="J1851" s="57"/>
      <c r="K1851" s="33"/>
      <c r="L1851" s="57"/>
      <c r="M1851" s="58"/>
      <c r="N1851" s="56"/>
      <c r="O1851" s="64"/>
      <c r="P1851" s="62"/>
      <c r="Q1851" s="33"/>
      <c r="R1851" s="33"/>
      <c r="S1851" s="61"/>
      <c r="T1851" s="33"/>
      <c r="U1851" s="62"/>
      <c r="W1851" s="61"/>
      <c r="X1851" s="62"/>
      <c r="AD1851" s="64"/>
      <c r="AG1851" s="58"/>
    </row>
    <row r="1852" spans="2:33" ht="16">
      <c r="B1852" s="67" t="str">
        <f t="shared" si="8"/>
        <v/>
      </c>
      <c r="C1852" s="33"/>
      <c r="D1852" s="33"/>
      <c r="E1852" s="33"/>
      <c r="F1852" s="56"/>
      <c r="G1852" s="33"/>
      <c r="H1852" s="33"/>
      <c r="I1852" s="33"/>
      <c r="J1852" s="57"/>
      <c r="K1852" s="33"/>
      <c r="L1852" s="57"/>
      <c r="M1852" s="64"/>
      <c r="N1852" s="56"/>
      <c r="O1852" s="58"/>
      <c r="P1852" s="62"/>
      <c r="Q1852" s="33"/>
      <c r="R1852" s="33"/>
      <c r="S1852" s="61"/>
      <c r="T1852" s="33"/>
      <c r="U1852" s="62"/>
      <c r="W1852" s="61"/>
      <c r="X1852" s="62"/>
      <c r="AD1852" s="58"/>
      <c r="AG1852" s="58"/>
    </row>
    <row r="1853" spans="2:33" ht="16">
      <c r="B1853" s="67" t="str">
        <f t="shared" si="8"/>
        <v/>
      </c>
      <c r="C1853" s="33"/>
      <c r="D1853" s="33"/>
      <c r="E1853" s="33"/>
      <c r="F1853" s="56"/>
      <c r="G1853" s="33"/>
      <c r="H1853" s="33"/>
      <c r="I1853" s="33"/>
      <c r="J1853" s="57"/>
      <c r="K1853" s="33"/>
      <c r="L1853" s="57"/>
      <c r="M1853" s="64"/>
      <c r="N1853" s="56"/>
      <c r="O1853" s="64"/>
      <c r="P1853" s="62"/>
      <c r="Q1853" s="33"/>
      <c r="R1853" s="33"/>
      <c r="S1853" s="61"/>
      <c r="T1853" s="33"/>
      <c r="U1853" s="62"/>
      <c r="W1853" s="61"/>
      <c r="X1853" s="62"/>
      <c r="AD1853" s="64"/>
      <c r="AG1853" s="64"/>
    </row>
    <row r="1854" spans="2:33" ht="16">
      <c r="B1854" s="67" t="str">
        <f t="shared" si="8"/>
        <v/>
      </c>
      <c r="C1854" s="33"/>
      <c r="D1854" s="33"/>
      <c r="E1854" s="33"/>
      <c r="F1854" s="56"/>
      <c r="G1854" s="33"/>
      <c r="H1854" s="33"/>
      <c r="I1854" s="33"/>
      <c r="J1854" s="57"/>
      <c r="K1854" s="33"/>
      <c r="L1854" s="57"/>
      <c r="M1854" s="64"/>
      <c r="N1854" s="56"/>
      <c r="O1854" s="64"/>
      <c r="P1854" s="62"/>
      <c r="Q1854" s="33"/>
      <c r="R1854" s="33"/>
      <c r="S1854" s="61"/>
      <c r="T1854" s="33"/>
      <c r="U1854" s="62"/>
      <c r="W1854" s="61"/>
      <c r="X1854" s="62"/>
      <c r="AD1854" s="58"/>
      <c r="AG1854" s="58"/>
    </row>
    <row r="1855" spans="2:33" ht="16">
      <c r="B1855" s="67" t="str">
        <f t="shared" si="8"/>
        <v/>
      </c>
      <c r="C1855" s="33"/>
      <c r="D1855" s="33"/>
      <c r="E1855" s="33"/>
      <c r="F1855" s="56"/>
      <c r="G1855" s="33"/>
      <c r="H1855" s="33"/>
      <c r="I1855" s="33"/>
      <c r="J1855" s="57"/>
      <c r="K1855" s="33"/>
      <c r="L1855" s="57"/>
      <c r="M1855" s="64"/>
      <c r="N1855" s="56"/>
      <c r="O1855" s="64"/>
      <c r="P1855" s="62"/>
      <c r="Q1855" s="33"/>
      <c r="R1855" s="33"/>
      <c r="S1855" s="61"/>
      <c r="T1855" s="33"/>
      <c r="U1855" s="62"/>
      <c r="W1855" s="61"/>
      <c r="X1855" s="62"/>
      <c r="AD1855" s="64"/>
      <c r="AG1855" s="58"/>
    </row>
    <row r="1856" spans="2:33" ht="16">
      <c r="B1856" s="67" t="str">
        <f t="shared" si="8"/>
        <v/>
      </c>
      <c r="C1856" s="33"/>
      <c r="D1856" s="33"/>
      <c r="E1856" s="33"/>
      <c r="F1856" s="56"/>
      <c r="G1856" s="33"/>
      <c r="H1856" s="33"/>
      <c r="I1856" s="33"/>
      <c r="J1856" s="57"/>
      <c r="K1856" s="33"/>
      <c r="L1856" s="57"/>
      <c r="M1856" s="64"/>
      <c r="N1856" s="56"/>
      <c r="O1856" s="64"/>
      <c r="P1856" s="62"/>
      <c r="Q1856" s="33"/>
      <c r="R1856" s="33"/>
      <c r="S1856" s="61"/>
      <c r="T1856" s="33"/>
      <c r="U1856" s="62"/>
      <c r="W1856" s="61"/>
      <c r="X1856" s="62"/>
      <c r="AD1856" s="58"/>
      <c r="AG1856" s="58"/>
    </row>
    <row r="1857" spans="2:33" ht="16">
      <c r="B1857" s="67" t="str">
        <f t="shared" si="8"/>
        <v/>
      </c>
      <c r="C1857" s="33"/>
      <c r="D1857" s="33"/>
      <c r="E1857" s="33"/>
      <c r="F1857" s="56"/>
      <c r="G1857" s="33"/>
      <c r="H1857" s="33"/>
      <c r="I1857" s="33"/>
      <c r="J1857" s="57"/>
      <c r="K1857" s="33"/>
      <c r="L1857" s="57"/>
      <c r="M1857" s="64"/>
      <c r="N1857" s="56"/>
      <c r="O1857" s="64"/>
      <c r="P1857" s="62"/>
      <c r="Q1857" s="33"/>
      <c r="R1857" s="33"/>
      <c r="S1857" s="61"/>
      <c r="T1857" s="33"/>
      <c r="U1857" s="62"/>
      <c r="W1857" s="61"/>
      <c r="X1857" s="62"/>
      <c r="AD1857" s="64"/>
      <c r="AG1857" s="64"/>
    </row>
    <row r="1858" spans="2:33" ht="16">
      <c r="B1858" s="67" t="str">
        <f t="shared" si="8"/>
        <v/>
      </c>
      <c r="C1858" s="64"/>
      <c r="D1858" s="33"/>
      <c r="E1858" s="33"/>
      <c r="F1858" s="56"/>
      <c r="G1858" s="33"/>
      <c r="H1858" s="33"/>
      <c r="I1858" s="33"/>
      <c r="J1858" s="57"/>
      <c r="K1858" s="33"/>
      <c r="L1858" s="57"/>
      <c r="M1858" s="64"/>
      <c r="N1858" s="56"/>
      <c r="O1858" s="64"/>
      <c r="P1858" s="62"/>
      <c r="Q1858" s="33"/>
      <c r="R1858" s="33"/>
      <c r="S1858" s="61"/>
      <c r="T1858" s="33"/>
      <c r="U1858" s="62"/>
      <c r="W1858" s="61"/>
      <c r="X1858" s="62"/>
      <c r="AD1858" s="64"/>
      <c r="AG1858" s="64"/>
    </row>
    <row r="1859" spans="2:33" ht="16">
      <c r="B1859" s="67" t="str">
        <f t="shared" si="8"/>
        <v/>
      </c>
      <c r="C1859" s="33"/>
      <c r="D1859" s="33"/>
      <c r="E1859" s="33"/>
      <c r="F1859" s="56"/>
      <c r="G1859" s="33"/>
      <c r="H1859" s="33"/>
      <c r="I1859" s="33"/>
      <c r="J1859" s="57"/>
      <c r="K1859" s="33"/>
      <c r="L1859" s="57"/>
      <c r="M1859" s="64"/>
      <c r="N1859" s="56"/>
      <c r="O1859" s="64"/>
      <c r="P1859" s="62"/>
      <c r="Q1859" s="33"/>
      <c r="R1859" s="33"/>
      <c r="S1859" s="61"/>
      <c r="T1859" s="33"/>
      <c r="U1859" s="62"/>
      <c r="W1859" s="61"/>
      <c r="X1859" s="62"/>
      <c r="AD1859" s="64"/>
      <c r="AG1859" s="64"/>
    </row>
    <row r="1860" spans="2:33" ht="16">
      <c r="B1860" s="67" t="str">
        <f t="shared" si="8"/>
        <v/>
      </c>
      <c r="C1860" s="33"/>
      <c r="D1860" s="33"/>
      <c r="E1860" s="33"/>
      <c r="F1860" s="56"/>
      <c r="G1860" s="33"/>
      <c r="H1860" s="33"/>
      <c r="I1860" s="33"/>
      <c r="J1860" s="57"/>
      <c r="K1860" s="33"/>
      <c r="L1860" s="57"/>
      <c r="M1860" s="64"/>
      <c r="N1860" s="56"/>
      <c r="O1860" s="64"/>
      <c r="P1860" s="62"/>
      <c r="Q1860" s="33"/>
      <c r="R1860" s="33"/>
      <c r="S1860" s="61"/>
      <c r="T1860" s="33"/>
      <c r="U1860" s="62"/>
      <c r="W1860" s="61"/>
      <c r="X1860" s="62"/>
      <c r="AD1860" s="64"/>
      <c r="AG1860" s="58"/>
    </row>
    <row r="1861" spans="2:33" ht="16">
      <c r="B1861" s="67" t="str">
        <f t="shared" si="8"/>
        <v/>
      </c>
      <c r="C1861" s="33"/>
      <c r="D1861" s="33"/>
      <c r="E1861" s="33"/>
      <c r="F1861" s="56"/>
      <c r="G1861" s="33"/>
      <c r="H1861" s="33"/>
      <c r="I1861" s="33"/>
      <c r="J1861" s="57"/>
      <c r="K1861" s="33"/>
      <c r="L1861" s="57"/>
      <c r="M1861" s="64"/>
      <c r="N1861" s="56"/>
      <c r="O1861" s="58"/>
      <c r="P1861" s="62"/>
      <c r="Q1861" s="33"/>
      <c r="R1861" s="33"/>
      <c r="S1861" s="61"/>
      <c r="T1861" s="33"/>
      <c r="U1861" s="62"/>
      <c r="W1861" s="61"/>
      <c r="X1861" s="62"/>
      <c r="AD1861" s="64"/>
      <c r="AG1861" s="58"/>
    </row>
    <row r="1862" spans="2:33" ht="16">
      <c r="B1862" s="67" t="str">
        <f t="shared" si="8"/>
        <v/>
      </c>
      <c r="C1862" s="33"/>
      <c r="D1862" s="33"/>
      <c r="E1862" s="33"/>
      <c r="F1862" s="56"/>
      <c r="G1862" s="33"/>
      <c r="H1862" s="33"/>
      <c r="I1862" s="33"/>
      <c r="J1862" s="57"/>
      <c r="K1862" s="33"/>
      <c r="L1862" s="57"/>
      <c r="M1862" s="64"/>
      <c r="N1862" s="56"/>
      <c r="O1862" s="64"/>
      <c r="P1862" s="62"/>
      <c r="Q1862" s="33"/>
      <c r="R1862" s="33"/>
      <c r="S1862" s="61"/>
      <c r="T1862" s="33"/>
      <c r="U1862" s="62"/>
      <c r="W1862" s="61"/>
      <c r="X1862" s="62"/>
      <c r="AD1862" s="58"/>
      <c r="AG1862" s="64"/>
    </row>
    <row r="1863" spans="2:33" ht="16">
      <c r="B1863" s="67" t="str">
        <f t="shared" si="8"/>
        <v/>
      </c>
      <c r="C1863" s="33"/>
      <c r="D1863" s="33"/>
      <c r="E1863" s="33"/>
      <c r="F1863" s="56"/>
      <c r="G1863" s="33"/>
      <c r="H1863" s="33"/>
      <c r="I1863" s="33"/>
      <c r="J1863" s="57"/>
      <c r="K1863" s="33"/>
      <c r="L1863" s="57"/>
      <c r="M1863" s="64"/>
      <c r="N1863" s="56"/>
      <c r="O1863" s="64"/>
      <c r="P1863" s="62"/>
      <c r="Q1863" s="33"/>
      <c r="R1863" s="33"/>
      <c r="S1863" s="61"/>
      <c r="T1863" s="33"/>
      <c r="U1863" s="62"/>
      <c r="W1863" s="61"/>
      <c r="X1863" s="62"/>
      <c r="AD1863" s="58"/>
      <c r="AG1863" s="58"/>
    </row>
    <row r="1864" spans="2:33" ht="16">
      <c r="B1864" s="67" t="str">
        <f t="shared" si="8"/>
        <v/>
      </c>
      <c r="C1864" s="33"/>
      <c r="D1864" s="33"/>
      <c r="E1864" s="33"/>
      <c r="F1864" s="56"/>
      <c r="G1864" s="33"/>
      <c r="H1864" s="33"/>
      <c r="I1864" s="33"/>
      <c r="J1864" s="57"/>
      <c r="K1864" s="33"/>
      <c r="L1864" s="57"/>
      <c r="M1864" s="64"/>
      <c r="N1864" s="56"/>
      <c r="O1864" s="64"/>
      <c r="P1864" s="62"/>
      <c r="Q1864" s="33"/>
      <c r="R1864" s="33"/>
      <c r="S1864" s="61"/>
      <c r="T1864" s="33"/>
      <c r="U1864" s="62"/>
      <c r="W1864" s="61"/>
      <c r="X1864" s="62"/>
      <c r="AD1864" s="64"/>
      <c r="AG1864" s="58"/>
    </row>
    <row r="1865" spans="2:33" ht="16">
      <c r="B1865" s="67" t="str">
        <f t="shared" si="8"/>
        <v/>
      </c>
      <c r="C1865" s="33"/>
      <c r="D1865" s="33"/>
      <c r="E1865" s="33"/>
      <c r="F1865" s="56"/>
      <c r="G1865" s="33"/>
      <c r="H1865" s="33"/>
      <c r="I1865" s="33"/>
      <c r="J1865" s="57"/>
      <c r="K1865" s="33"/>
      <c r="L1865" s="57"/>
      <c r="M1865" s="64"/>
      <c r="N1865" s="56"/>
      <c r="O1865" s="64"/>
      <c r="P1865" s="62"/>
      <c r="Q1865" s="33"/>
      <c r="R1865" s="33"/>
      <c r="S1865" s="61"/>
      <c r="T1865" s="33"/>
      <c r="U1865" s="62"/>
      <c r="W1865" s="61"/>
      <c r="X1865" s="62"/>
      <c r="AD1865" s="64"/>
      <c r="AG1865" s="58"/>
    </row>
    <row r="1866" spans="2:33" ht="16">
      <c r="B1866" s="67" t="str">
        <f t="shared" si="8"/>
        <v/>
      </c>
      <c r="C1866" s="33"/>
      <c r="D1866" s="33"/>
      <c r="E1866" s="33"/>
      <c r="F1866" s="56"/>
      <c r="G1866" s="33"/>
      <c r="H1866" s="33"/>
      <c r="I1866" s="33"/>
      <c r="J1866" s="57"/>
      <c r="K1866" s="33"/>
      <c r="L1866" s="57"/>
      <c r="M1866" s="64"/>
      <c r="N1866" s="56"/>
      <c r="O1866" s="64"/>
      <c r="P1866" s="62"/>
      <c r="Q1866" s="33"/>
      <c r="R1866" s="33"/>
      <c r="S1866" s="61"/>
      <c r="T1866" s="33"/>
      <c r="U1866" s="62"/>
      <c r="W1866" s="61"/>
      <c r="X1866" s="62"/>
      <c r="AD1866" s="58"/>
      <c r="AG1866" s="58"/>
    </row>
    <row r="1867" spans="2:33" ht="16">
      <c r="B1867" s="67" t="str">
        <f t="shared" si="8"/>
        <v/>
      </c>
      <c r="C1867" s="33"/>
      <c r="D1867" s="33"/>
      <c r="E1867" s="33"/>
      <c r="F1867" s="56"/>
      <c r="G1867" s="33"/>
      <c r="H1867" s="33"/>
      <c r="I1867" s="33"/>
      <c r="J1867" s="57"/>
      <c r="K1867" s="33"/>
      <c r="L1867" s="57"/>
      <c r="M1867" s="64"/>
      <c r="N1867" s="56"/>
      <c r="O1867" s="64"/>
      <c r="P1867" s="62"/>
      <c r="Q1867" s="33"/>
      <c r="R1867" s="33"/>
      <c r="S1867" s="61"/>
      <c r="T1867" s="33"/>
      <c r="U1867" s="62"/>
      <c r="W1867" s="61"/>
      <c r="X1867" s="62"/>
      <c r="AD1867" s="58"/>
      <c r="AG1867" s="58"/>
    </row>
    <row r="1868" spans="2:33" ht="16">
      <c r="B1868" s="67" t="str">
        <f t="shared" si="8"/>
        <v/>
      </c>
      <c r="C1868" s="33"/>
      <c r="D1868" s="33"/>
      <c r="E1868" s="33"/>
      <c r="F1868" s="56"/>
      <c r="G1868" s="33"/>
      <c r="H1868" s="33"/>
      <c r="I1868" s="33"/>
      <c r="J1868" s="57"/>
      <c r="K1868" s="33"/>
      <c r="L1868" s="57"/>
      <c r="M1868" s="64"/>
      <c r="N1868" s="56"/>
      <c r="O1868" s="64"/>
      <c r="P1868" s="62"/>
      <c r="Q1868" s="33"/>
      <c r="R1868" s="33"/>
      <c r="S1868" s="61"/>
      <c r="T1868" s="33"/>
      <c r="U1868" s="62"/>
      <c r="W1868" s="61"/>
      <c r="X1868" s="62"/>
      <c r="AD1868" s="64"/>
      <c r="AG1868" s="58"/>
    </row>
    <row r="1869" spans="2:33" ht="16">
      <c r="B1869" s="67" t="str">
        <f t="shared" si="8"/>
        <v/>
      </c>
      <c r="C1869" s="33"/>
      <c r="D1869" s="33"/>
      <c r="E1869" s="33"/>
      <c r="F1869" s="56"/>
      <c r="G1869" s="33"/>
      <c r="H1869" s="33"/>
      <c r="I1869" s="33"/>
      <c r="J1869" s="57"/>
      <c r="K1869" s="33"/>
      <c r="L1869" s="57"/>
      <c r="M1869" s="64"/>
      <c r="N1869" s="56"/>
      <c r="O1869" s="64"/>
      <c r="P1869" s="62"/>
      <c r="Q1869" s="33"/>
      <c r="R1869" s="33"/>
      <c r="S1869" s="61"/>
      <c r="T1869" s="33"/>
      <c r="U1869" s="62"/>
      <c r="W1869" s="61"/>
      <c r="X1869" s="62"/>
      <c r="AD1869" s="58"/>
      <c r="AG1869" s="58"/>
    </row>
    <row r="1870" spans="2:33" ht="16">
      <c r="B1870" s="67" t="str">
        <f t="shared" si="8"/>
        <v/>
      </c>
      <c r="C1870" s="33"/>
      <c r="D1870" s="33"/>
      <c r="E1870" s="33"/>
      <c r="F1870" s="56"/>
      <c r="G1870" s="33"/>
      <c r="H1870" s="33"/>
      <c r="I1870" s="33"/>
      <c r="J1870" s="57"/>
      <c r="K1870" s="33"/>
      <c r="L1870" s="57"/>
      <c r="M1870" s="64"/>
      <c r="N1870" s="56"/>
      <c r="O1870" s="64"/>
      <c r="P1870" s="62"/>
      <c r="Q1870" s="33"/>
      <c r="R1870" s="33"/>
      <c r="S1870" s="61"/>
      <c r="T1870" s="33"/>
      <c r="U1870" s="62"/>
      <c r="W1870" s="61"/>
      <c r="X1870" s="62"/>
      <c r="AD1870" s="64"/>
      <c r="AG1870" s="64"/>
    </row>
    <row r="1871" spans="2:33" ht="16">
      <c r="B1871" s="67" t="str">
        <f t="shared" si="8"/>
        <v/>
      </c>
      <c r="C1871" s="33"/>
      <c r="D1871" s="33"/>
      <c r="E1871" s="33"/>
      <c r="F1871" s="56"/>
      <c r="G1871" s="33"/>
      <c r="H1871" s="33"/>
      <c r="I1871" s="33"/>
      <c r="J1871" s="57"/>
      <c r="K1871" s="33"/>
      <c r="L1871" s="57"/>
      <c r="M1871" s="64"/>
      <c r="N1871" s="56"/>
      <c r="O1871" s="64"/>
      <c r="P1871" s="62"/>
      <c r="Q1871" s="33"/>
      <c r="R1871" s="33"/>
      <c r="S1871" s="61"/>
      <c r="T1871" s="33"/>
      <c r="U1871" s="62"/>
      <c r="W1871" s="61"/>
      <c r="X1871" s="62"/>
      <c r="AD1871" s="64"/>
      <c r="AG1871" s="64"/>
    </row>
    <row r="1872" spans="2:33" ht="16">
      <c r="B1872" s="67" t="str">
        <f t="shared" si="8"/>
        <v/>
      </c>
      <c r="C1872" s="33"/>
      <c r="D1872" s="33"/>
      <c r="E1872" s="33"/>
      <c r="F1872" s="56"/>
      <c r="G1872" s="33"/>
      <c r="H1872" s="33"/>
      <c r="I1872" s="33"/>
      <c r="J1872" s="57"/>
      <c r="K1872" s="33"/>
      <c r="L1872" s="57"/>
      <c r="M1872" s="64"/>
      <c r="N1872" s="56"/>
      <c r="O1872" s="58"/>
      <c r="P1872" s="62"/>
      <c r="Q1872" s="33"/>
      <c r="R1872" s="33"/>
      <c r="S1872" s="61"/>
      <c r="T1872" s="33"/>
      <c r="U1872" s="62"/>
      <c r="W1872" s="61"/>
      <c r="X1872" s="62"/>
      <c r="AD1872" s="64"/>
      <c r="AG1872" s="64"/>
    </row>
    <row r="1873" spans="2:33" ht="16">
      <c r="B1873" s="67" t="str">
        <f t="shared" si="8"/>
        <v/>
      </c>
      <c r="C1873" s="33"/>
      <c r="D1873" s="33"/>
      <c r="E1873" s="33"/>
      <c r="F1873" s="56"/>
      <c r="G1873" s="33"/>
      <c r="H1873" s="33"/>
      <c r="I1873" s="33"/>
      <c r="J1873" s="57"/>
      <c r="K1873" s="33"/>
      <c r="L1873" s="57"/>
      <c r="M1873" s="64"/>
      <c r="N1873" s="56"/>
      <c r="O1873" s="64"/>
      <c r="P1873" s="62"/>
      <c r="Q1873" s="33"/>
      <c r="R1873" s="33"/>
      <c r="S1873" s="61"/>
      <c r="T1873" s="33"/>
      <c r="U1873" s="62"/>
      <c r="W1873" s="61"/>
      <c r="X1873" s="62"/>
      <c r="AD1873" s="64"/>
      <c r="AG1873" s="64"/>
    </row>
    <row r="1874" spans="2:33" ht="16">
      <c r="B1874" s="67" t="str">
        <f t="shared" si="8"/>
        <v/>
      </c>
      <c r="C1874" s="33"/>
      <c r="D1874" s="33"/>
      <c r="E1874" s="33"/>
      <c r="F1874" s="56"/>
      <c r="G1874" s="33"/>
      <c r="H1874" s="33"/>
      <c r="I1874" s="33"/>
      <c r="J1874" s="57"/>
      <c r="K1874" s="33"/>
      <c r="L1874" s="57"/>
      <c r="M1874" s="58"/>
      <c r="N1874" s="56"/>
      <c r="O1874" s="58"/>
      <c r="P1874" s="62"/>
      <c r="Q1874" s="33"/>
      <c r="R1874" s="33"/>
      <c r="S1874" s="61"/>
      <c r="T1874" s="33"/>
      <c r="U1874" s="62"/>
      <c r="W1874" s="61"/>
      <c r="X1874" s="62"/>
      <c r="AD1874" s="58"/>
      <c r="AG1874" s="64"/>
    </row>
    <row r="1875" spans="2:33" ht="16">
      <c r="B1875" s="67" t="str">
        <f t="shared" si="8"/>
        <v/>
      </c>
      <c r="C1875" s="33"/>
      <c r="D1875" s="33"/>
      <c r="E1875" s="33"/>
      <c r="F1875" s="56"/>
      <c r="G1875" s="33"/>
      <c r="H1875" s="33"/>
      <c r="I1875" s="33"/>
      <c r="J1875" s="57"/>
      <c r="K1875" s="33"/>
      <c r="L1875" s="57"/>
      <c r="M1875" s="64"/>
      <c r="N1875" s="56"/>
      <c r="O1875" s="64"/>
      <c r="P1875" s="62"/>
      <c r="Q1875" s="33"/>
      <c r="R1875" s="33"/>
      <c r="S1875" s="61"/>
      <c r="T1875" s="33"/>
      <c r="U1875" s="62"/>
      <c r="W1875" s="61"/>
      <c r="X1875" s="62"/>
      <c r="AD1875" s="64"/>
      <c r="AG1875" s="64"/>
    </row>
    <row r="1876" spans="2:33" ht="16">
      <c r="B1876" s="67" t="str">
        <f t="shared" si="8"/>
        <v/>
      </c>
      <c r="C1876" s="33"/>
      <c r="D1876" s="33"/>
      <c r="E1876" s="33"/>
      <c r="F1876" s="56"/>
      <c r="G1876" s="33"/>
      <c r="H1876" s="33"/>
      <c r="I1876" s="33"/>
      <c r="J1876" s="57"/>
      <c r="K1876" s="33"/>
      <c r="L1876" s="57"/>
      <c r="M1876" s="64"/>
      <c r="N1876" s="56"/>
      <c r="O1876" s="64"/>
      <c r="P1876" s="62"/>
      <c r="Q1876" s="33"/>
      <c r="R1876" s="33"/>
      <c r="S1876" s="61"/>
      <c r="T1876" s="33"/>
      <c r="U1876" s="62"/>
      <c r="W1876" s="61"/>
      <c r="X1876" s="62"/>
      <c r="AD1876" s="64"/>
      <c r="AG1876" s="64"/>
    </row>
    <row r="1877" spans="2:33" ht="16">
      <c r="B1877" s="67" t="str">
        <f t="shared" si="8"/>
        <v/>
      </c>
      <c r="C1877" s="33"/>
      <c r="D1877" s="33"/>
      <c r="E1877" s="33"/>
      <c r="F1877" s="56"/>
      <c r="G1877" s="33"/>
      <c r="H1877" s="33"/>
      <c r="I1877" s="33"/>
      <c r="J1877" s="57"/>
      <c r="K1877" s="33"/>
      <c r="L1877" s="57"/>
      <c r="M1877" s="64"/>
      <c r="N1877" s="56"/>
      <c r="O1877" s="58"/>
      <c r="P1877" s="62"/>
      <c r="Q1877" s="33"/>
      <c r="R1877" s="33"/>
      <c r="S1877" s="61"/>
      <c r="T1877" s="33"/>
      <c r="U1877" s="62"/>
      <c r="W1877" s="61"/>
      <c r="X1877" s="62"/>
      <c r="AD1877" s="58"/>
      <c r="AG1877" s="64"/>
    </row>
    <row r="1878" spans="2:33" ht="16">
      <c r="B1878" s="67" t="str">
        <f t="shared" si="8"/>
        <v/>
      </c>
      <c r="C1878" s="33"/>
      <c r="D1878" s="33"/>
      <c r="E1878" s="33"/>
      <c r="F1878" s="56"/>
      <c r="G1878" s="33"/>
      <c r="H1878" s="33"/>
      <c r="I1878" s="33"/>
      <c r="J1878" s="57"/>
      <c r="K1878" s="33"/>
      <c r="L1878" s="57"/>
      <c r="M1878" s="64"/>
      <c r="N1878" s="56"/>
      <c r="O1878" s="64"/>
      <c r="P1878" s="62"/>
      <c r="Q1878" s="33"/>
      <c r="R1878" s="33"/>
      <c r="S1878" s="61"/>
      <c r="T1878" s="33"/>
      <c r="U1878" s="62"/>
      <c r="W1878" s="61"/>
      <c r="X1878" s="62"/>
      <c r="AD1878" s="64"/>
      <c r="AG1878" s="58"/>
    </row>
    <row r="1879" spans="2:33" ht="16">
      <c r="B1879" s="67" t="str">
        <f t="shared" si="8"/>
        <v/>
      </c>
      <c r="C1879" s="33"/>
      <c r="D1879" s="33"/>
      <c r="E1879" s="33"/>
      <c r="F1879" s="56"/>
      <c r="G1879" s="33"/>
      <c r="H1879" s="33"/>
      <c r="I1879" s="33"/>
      <c r="J1879" s="57"/>
      <c r="K1879" s="33"/>
      <c r="L1879" s="57"/>
      <c r="M1879" s="58"/>
      <c r="N1879" s="56"/>
      <c r="O1879" s="64"/>
      <c r="P1879" s="62"/>
      <c r="Q1879" s="33"/>
      <c r="R1879" s="33"/>
      <c r="S1879" s="61"/>
      <c r="T1879" s="33"/>
      <c r="U1879" s="62"/>
      <c r="W1879" s="61"/>
      <c r="X1879" s="62"/>
      <c r="AD1879" s="64"/>
      <c r="AG1879" s="58"/>
    </row>
    <row r="1880" spans="2:33" ht="16">
      <c r="B1880" s="67" t="str">
        <f t="shared" si="8"/>
        <v/>
      </c>
      <c r="C1880" s="33"/>
      <c r="D1880" s="33"/>
      <c r="E1880" s="33"/>
      <c r="F1880" s="56"/>
      <c r="G1880" s="33"/>
      <c r="H1880" s="33"/>
      <c r="I1880" s="33"/>
      <c r="J1880" s="57"/>
      <c r="K1880" s="33"/>
      <c r="L1880" s="57"/>
      <c r="M1880" s="64"/>
      <c r="N1880" s="56"/>
      <c r="O1880" s="64"/>
      <c r="P1880" s="62"/>
      <c r="Q1880" s="33"/>
      <c r="R1880" s="33"/>
      <c r="S1880" s="61"/>
      <c r="T1880" s="33"/>
      <c r="U1880" s="62"/>
      <c r="W1880" s="61"/>
      <c r="X1880" s="62"/>
      <c r="AD1880" s="58"/>
      <c r="AG1880" s="64"/>
    </row>
    <row r="1881" spans="2:33" ht="16">
      <c r="B1881" s="67" t="str">
        <f t="shared" si="8"/>
        <v/>
      </c>
      <c r="C1881" s="33"/>
      <c r="D1881" s="33"/>
      <c r="E1881" s="33"/>
      <c r="F1881" s="56"/>
      <c r="G1881" s="33"/>
      <c r="H1881" s="33"/>
      <c r="I1881" s="33"/>
      <c r="J1881" s="57"/>
      <c r="K1881" s="33"/>
      <c r="L1881" s="57"/>
      <c r="M1881" s="64"/>
      <c r="N1881" s="56"/>
      <c r="O1881" s="64"/>
      <c r="P1881" s="62"/>
      <c r="Q1881" s="33"/>
      <c r="R1881" s="33"/>
      <c r="S1881" s="61"/>
      <c r="T1881" s="33"/>
      <c r="U1881" s="62"/>
      <c r="W1881" s="61"/>
      <c r="X1881" s="62"/>
      <c r="AD1881" s="64"/>
      <c r="AG1881" s="64"/>
    </row>
    <row r="1882" spans="2:33" ht="16">
      <c r="B1882" s="67" t="str">
        <f t="shared" si="8"/>
        <v/>
      </c>
      <c r="C1882" s="33"/>
      <c r="D1882" s="33"/>
      <c r="E1882" s="33"/>
      <c r="F1882" s="56"/>
      <c r="G1882" s="33"/>
      <c r="H1882" s="33"/>
      <c r="I1882" s="33"/>
      <c r="J1882" s="57"/>
      <c r="K1882" s="33"/>
      <c r="L1882" s="57"/>
      <c r="M1882" s="64"/>
      <c r="N1882" s="56"/>
      <c r="O1882" s="64"/>
      <c r="P1882" s="62"/>
      <c r="Q1882" s="33"/>
      <c r="R1882" s="33"/>
      <c r="S1882" s="61"/>
      <c r="T1882" s="33"/>
      <c r="U1882" s="62"/>
      <c r="W1882" s="61"/>
      <c r="X1882" s="62"/>
      <c r="AD1882" s="58"/>
      <c r="AG1882" s="64"/>
    </row>
    <row r="1883" spans="2:33" ht="16">
      <c r="B1883" s="67" t="str">
        <f t="shared" si="8"/>
        <v/>
      </c>
      <c r="C1883" s="33"/>
      <c r="D1883" s="33"/>
      <c r="E1883" s="33"/>
      <c r="F1883" s="56"/>
      <c r="G1883" s="33"/>
      <c r="H1883" s="33"/>
      <c r="I1883" s="33"/>
      <c r="J1883" s="57"/>
      <c r="K1883" s="33"/>
      <c r="L1883" s="57"/>
      <c r="M1883" s="64"/>
      <c r="N1883" s="56"/>
      <c r="O1883" s="64"/>
      <c r="P1883" s="62"/>
      <c r="Q1883" s="33"/>
      <c r="R1883" s="33"/>
      <c r="S1883" s="61"/>
      <c r="T1883" s="33"/>
      <c r="U1883" s="62"/>
      <c r="W1883" s="61"/>
      <c r="X1883" s="62"/>
      <c r="AD1883" s="64"/>
      <c r="AG1883" s="64"/>
    </row>
    <row r="1884" spans="2:33" ht="16">
      <c r="B1884" s="67" t="str">
        <f t="shared" si="8"/>
        <v/>
      </c>
      <c r="C1884" s="33"/>
      <c r="D1884" s="33"/>
      <c r="E1884" s="33"/>
      <c r="F1884" s="56"/>
      <c r="G1884" s="33"/>
      <c r="H1884" s="33"/>
      <c r="I1884" s="33"/>
      <c r="J1884" s="57"/>
      <c r="K1884" s="33"/>
      <c r="L1884" s="57"/>
      <c r="M1884" s="64"/>
      <c r="N1884" s="56"/>
      <c r="O1884" s="64"/>
      <c r="P1884" s="62"/>
      <c r="Q1884" s="33"/>
      <c r="R1884" s="33"/>
      <c r="S1884" s="61"/>
      <c r="T1884" s="33"/>
      <c r="U1884" s="62"/>
      <c r="W1884" s="61"/>
      <c r="X1884" s="62"/>
      <c r="AD1884" s="64"/>
      <c r="AG1884" s="64"/>
    </row>
    <row r="1885" spans="2:33" ht="16">
      <c r="B1885" s="67" t="str">
        <f t="shared" si="8"/>
        <v/>
      </c>
      <c r="C1885" s="33"/>
      <c r="D1885" s="33"/>
      <c r="E1885" s="33"/>
      <c r="F1885" s="56"/>
      <c r="G1885" s="33"/>
      <c r="H1885" s="33"/>
      <c r="I1885" s="33"/>
      <c r="J1885" s="57"/>
      <c r="K1885" s="33"/>
      <c r="L1885" s="57"/>
      <c r="M1885" s="64"/>
      <c r="N1885" s="56"/>
      <c r="O1885" s="64"/>
      <c r="P1885" s="62"/>
      <c r="Q1885" s="33"/>
      <c r="R1885" s="33"/>
      <c r="S1885" s="61"/>
      <c r="T1885" s="33"/>
      <c r="U1885" s="62"/>
      <c r="W1885" s="61"/>
      <c r="X1885" s="62"/>
      <c r="AD1885" s="64"/>
      <c r="AG1885" s="58"/>
    </row>
    <row r="1886" spans="2:33" ht="16">
      <c r="B1886" s="67" t="str">
        <f t="shared" si="8"/>
        <v/>
      </c>
      <c r="C1886" s="33"/>
      <c r="D1886" s="33"/>
      <c r="E1886" s="33"/>
      <c r="F1886" s="56"/>
      <c r="G1886" s="33"/>
      <c r="H1886" s="33"/>
      <c r="I1886" s="33"/>
      <c r="J1886" s="57"/>
      <c r="K1886" s="33"/>
      <c r="L1886" s="57"/>
      <c r="M1886" s="64"/>
      <c r="N1886" s="56"/>
      <c r="O1886" s="58"/>
      <c r="P1886" s="62"/>
      <c r="Q1886" s="33"/>
      <c r="R1886" s="33"/>
      <c r="S1886" s="61"/>
      <c r="T1886" s="33"/>
      <c r="U1886" s="62"/>
      <c r="W1886" s="61"/>
      <c r="X1886" s="62"/>
      <c r="AD1886" s="58"/>
      <c r="AG1886" s="64"/>
    </row>
    <row r="1887" spans="2:33" ht="16">
      <c r="B1887" s="67" t="str">
        <f t="shared" si="8"/>
        <v/>
      </c>
      <c r="C1887" s="33"/>
      <c r="D1887" s="33"/>
      <c r="E1887" s="33"/>
      <c r="F1887" s="56"/>
      <c r="G1887" s="33"/>
      <c r="H1887" s="33"/>
      <c r="I1887" s="33"/>
      <c r="J1887" s="57"/>
      <c r="K1887" s="33"/>
      <c r="L1887" s="57"/>
      <c r="M1887" s="58"/>
      <c r="N1887" s="56"/>
      <c r="O1887" s="58"/>
      <c r="P1887" s="62"/>
      <c r="Q1887" s="33"/>
      <c r="R1887" s="33"/>
      <c r="S1887" s="61"/>
      <c r="T1887" s="33"/>
      <c r="U1887" s="62"/>
      <c r="W1887" s="61"/>
      <c r="X1887" s="62"/>
      <c r="AG1887" s="64"/>
    </row>
    <row r="1888" spans="2:33" ht="16">
      <c r="B1888" s="67" t="str">
        <f t="shared" si="8"/>
        <v/>
      </c>
      <c r="C1888" s="33"/>
      <c r="D1888" s="33"/>
      <c r="E1888" s="33"/>
      <c r="F1888" s="56"/>
      <c r="G1888" s="33"/>
      <c r="H1888" s="33"/>
      <c r="I1888" s="33"/>
      <c r="J1888" s="57"/>
      <c r="K1888" s="33"/>
      <c r="L1888" s="57"/>
      <c r="M1888" s="58"/>
      <c r="N1888" s="56"/>
      <c r="O1888" s="64"/>
      <c r="P1888" s="62"/>
      <c r="Q1888" s="33"/>
      <c r="R1888" s="33"/>
      <c r="S1888" s="61"/>
      <c r="T1888" s="33"/>
      <c r="U1888" s="62"/>
      <c r="W1888" s="61"/>
      <c r="X1888" s="62"/>
      <c r="AG1888" s="64"/>
    </row>
    <row r="1889" spans="2:33" ht="16">
      <c r="B1889" s="67" t="str">
        <f t="shared" si="8"/>
        <v/>
      </c>
      <c r="C1889" s="33"/>
      <c r="D1889" s="33"/>
      <c r="E1889" s="33"/>
      <c r="F1889" s="56"/>
      <c r="G1889" s="33"/>
      <c r="H1889" s="33"/>
      <c r="I1889" s="33"/>
      <c r="J1889" s="57"/>
      <c r="K1889" s="33"/>
      <c r="L1889" s="57"/>
      <c r="M1889" s="58"/>
      <c r="N1889" s="56"/>
      <c r="O1889" s="64"/>
      <c r="P1889" s="62"/>
      <c r="Q1889" s="33"/>
      <c r="R1889" s="33"/>
      <c r="S1889" s="61"/>
      <c r="T1889" s="33"/>
      <c r="U1889" s="62"/>
      <c r="W1889" s="61"/>
      <c r="X1889" s="62"/>
      <c r="AG1889" s="64"/>
    </row>
    <row r="1890" spans="2:33" ht="16">
      <c r="B1890" s="67" t="str">
        <f t="shared" si="8"/>
        <v/>
      </c>
      <c r="C1890" s="33"/>
      <c r="D1890" s="33"/>
      <c r="E1890" s="33"/>
      <c r="F1890" s="56"/>
      <c r="G1890" s="33"/>
      <c r="H1890" s="33"/>
      <c r="I1890" s="33"/>
      <c r="J1890" s="57"/>
      <c r="K1890" s="33"/>
      <c r="L1890" s="57"/>
      <c r="M1890" s="58"/>
      <c r="N1890" s="56"/>
      <c r="O1890" s="64"/>
      <c r="P1890" s="62"/>
      <c r="Q1890" s="33"/>
      <c r="R1890" s="33"/>
      <c r="S1890" s="61"/>
      <c r="T1890" s="33"/>
      <c r="U1890" s="62"/>
      <c r="W1890" s="61"/>
      <c r="X1890" s="62"/>
      <c r="AG1890" s="64"/>
    </row>
    <row r="1891" spans="2:33" ht="16">
      <c r="B1891" s="67" t="str">
        <f t="shared" si="8"/>
        <v/>
      </c>
      <c r="C1891" s="33"/>
      <c r="D1891" s="33"/>
      <c r="E1891" s="33"/>
      <c r="F1891" s="56"/>
      <c r="G1891" s="33"/>
      <c r="H1891" s="33"/>
      <c r="I1891" s="33"/>
      <c r="J1891" s="57"/>
      <c r="K1891" s="33"/>
      <c r="L1891" s="57"/>
      <c r="M1891" s="58"/>
      <c r="N1891" s="56"/>
      <c r="O1891" s="58"/>
      <c r="P1891" s="62"/>
      <c r="Q1891" s="33"/>
      <c r="R1891" s="33"/>
      <c r="S1891" s="61"/>
      <c r="T1891" s="33"/>
      <c r="U1891" s="62"/>
      <c r="W1891" s="61"/>
      <c r="X1891" s="62"/>
      <c r="AG1891" s="64"/>
    </row>
    <row r="1892" spans="2:33" ht="16">
      <c r="B1892" s="67" t="str">
        <f t="shared" si="8"/>
        <v/>
      </c>
      <c r="C1892" s="33"/>
      <c r="D1892" s="33"/>
      <c r="E1892" s="33"/>
      <c r="F1892" s="56"/>
      <c r="G1892" s="33"/>
      <c r="H1892" s="33"/>
      <c r="I1892" s="33"/>
      <c r="J1892" s="57"/>
      <c r="K1892" s="33"/>
      <c r="L1892" s="57"/>
      <c r="M1892" s="58"/>
      <c r="N1892" s="56"/>
      <c r="O1892" s="64"/>
      <c r="P1892" s="62"/>
      <c r="Q1892" s="33"/>
      <c r="R1892" s="33"/>
      <c r="S1892" s="61"/>
      <c r="T1892" s="33"/>
      <c r="U1892" s="62"/>
      <c r="W1892" s="61"/>
      <c r="X1892" s="62"/>
      <c r="AG1892" s="64"/>
    </row>
    <row r="1893" spans="2:33" ht="16">
      <c r="B1893" s="67" t="str">
        <f t="shared" si="8"/>
        <v/>
      </c>
      <c r="C1893" s="33"/>
      <c r="D1893" s="33"/>
      <c r="E1893" s="33"/>
      <c r="F1893" s="56"/>
      <c r="G1893" s="33"/>
      <c r="H1893" s="33"/>
      <c r="I1893" s="33"/>
      <c r="J1893" s="57"/>
      <c r="K1893" s="33"/>
      <c r="L1893" s="57"/>
      <c r="M1893" s="58"/>
      <c r="N1893" s="56"/>
      <c r="O1893" s="64"/>
      <c r="P1893" s="62"/>
      <c r="Q1893" s="33"/>
      <c r="R1893" s="33"/>
      <c r="S1893" s="61"/>
      <c r="T1893" s="33"/>
      <c r="U1893" s="62"/>
      <c r="W1893" s="61"/>
      <c r="X1893" s="62"/>
      <c r="AG1893" s="64"/>
    </row>
    <row r="1894" spans="2:33" ht="16">
      <c r="B1894" s="67" t="str">
        <f t="shared" si="8"/>
        <v/>
      </c>
      <c r="C1894" s="33"/>
      <c r="D1894" s="33"/>
      <c r="E1894" s="33"/>
      <c r="F1894" s="56"/>
      <c r="G1894" s="33"/>
      <c r="H1894" s="33"/>
      <c r="I1894" s="33"/>
      <c r="J1894" s="57"/>
      <c r="K1894" s="33"/>
      <c r="L1894" s="57"/>
      <c r="M1894" s="58"/>
      <c r="N1894" s="56"/>
      <c r="O1894" s="58"/>
      <c r="P1894" s="62"/>
      <c r="Q1894" s="33"/>
      <c r="R1894" s="33"/>
      <c r="S1894" s="61"/>
      <c r="T1894" s="33"/>
      <c r="U1894" s="62"/>
      <c r="W1894" s="61"/>
      <c r="X1894" s="62"/>
      <c r="AD1894" s="58"/>
      <c r="AG1894" s="64"/>
    </row>
    <row r="1895" spans="2:33" ht="16">
      <c r="B1895" s="67" t="str">
        <f t="shared" si="8"/>
        <v/>
      </c>
      <c r="C1895" s="33"/>
      <c r="D1895" s="33"/>
      <c r="E1895" s="33"/>
      <c r="F1895" s="56"/>
      <c r="G1895" s="33"/>
      <c r="H1895" s="33"/>
      <c r="I1895" s="33"/>
      <c r="J1895" s="57"/>
      <c r="K1895" s="33"/>
      <c r="L1895" s="57"/>
      <c r="M1895" s="58"/>
      <c r="N1895" s="56"/>
      <c r="O1895" s="58"/>
      <c r="P1895" s="62"/>
      <c r="Q1895" s="33"/>
      <c r="R1895" s="33"/>
      <c r="S1895" s="61"/>
      <c r="T1895" s="33"/>
      <c r="U1895" s="62"/>
      <c r="W1895" s="61"/>
      <c r="X1895" s="62"/>
      <c r="AD1895" s="58"/>
      <c r="AG1895" s="64"/>
    </row>
    <row r="1896" spans="2:33" ht="16">
      <c r="B1896" s="67" t="str">
        <f t="shared" si="8"/>
        <v/>
      </c>
      <c r="C1896" s="33"/>
      <c r="D1896" s="33"/>
      <c r="E1896" s="33"/>
      <c r="F1896" s="56"/>
      <c r="G1896" s="33"/>
      <c r="H1896" s="33"/>
      <c r="I1896" s="33"/>
      <c r="J1896" s="57"/>
      <c r="K1896" s="33"/>
      <c r="L1896" s="57"/>
      <c r="M1896" s="58"/>
      <c r="N1896" s="56"/>
      <c r="O1896" s="58"/>
      <c r="P1896" s="62"/>
      <c r="Q1896" s="33"/>
      <c r="R1896" s="33"/>
      <c r="S1896" s="61"/>
      <c r="T1896" s="33"/>
      <c r="U1896" s="62"/>
      <c r="W1896" s="61"/>
      <c r="X1896" s="62"/>
      <c r="AD1896" s="58"/>
      <c r="AG1896" s="64"/>
    </row>
    <row r="1897" spans="2:33" ht="16">
      <c r="B1897" s="67" t="str">
        <f t="shared" si="8"/>
        <v/>
      </c>
      <c r="C1897" s="33"/>
      <c r="D1897" s="33"/>
      <c r="E1897" s="33"/>
      <c r="F1897" s="56"/>
      <c r="G1897" s="33"/>
      <c r="H1897" s="33"/>
      <c r="I1897" s="33"/>
      <c r="J1897" s="57"/>
      <c r="K1897" s="33"/>
      <c r="L1897" s="57"/>
      <c r="M1897" s="58"/>
      <c r="N1897" s="56"/>
      <c r="O1897" s="64"/>
      <c r="P1897" s="62"/>
      <c r="Q1897" s="33"/>
      <c r="R1897" s="33"/>
      <c r="S1897" s="61"/>
      <c r="T1897" s="33"/>
      <c r="U1897" s="62"/>
      <c r="W1897" s="61"/>
      <c r="X1897" s="62"/>
      <c r="AG1897" s="64"/>
    </row>
    <row r="1898" spans="2:33" ht="16">
      <c r="B1898" s="67" t="str">
        <f t="shared" si="8"/>
        <v/>
      </c>
      <c r="C1898" s="33"/>
      <c r="D1898" s="33"/>
      <c r="E1898" s="33"/>
      <c r="F1898" s="56"/>
      <c r="G1898" s="33"/>
      <c r="H1898" s="33"/>
      <c r="I1898" s="33"/>
      <c r="J1898" s="57"/>
      <c r="K1898" s="33"/>
      <c r="L1898" s="57"/>
      <c r="M1898" s="58"/>
      <c r="N1898" s="56"/>
      <c r="O1898" s="64"/>
      <c r="P1898" s="62"/>
      <c r="Q1898" s="33"/>
      <c r="R1898" s="33"/>
      <c r="S1898" s="61"/>
      <c r="T1898" s="33"/>
      <c r="U1898" s="62"/>
      <c r="W1898" s="61"/>
      <c r="X1898" s="62"/>
      <c r="AG1898" s="64"/>
    </row>
    <row r="1899" spans="2:33" ht="16">
      <c r="B1899" s="67" t="str">
        <f t="shared" si="8"/>
        <v/>
      </c>
      <c r="C1899" s="33"/>
      <c r="D1899" s="33"/>
      <c r="E1899" s="33"/>
      <c r="F1899" s="56"/>
      <c r="G1899" s="33"/>
      <c r="H1899" s="33"/>
      <c r="I1899" s="33"/>
      <c r="J1899" s="57"/>
      <c r="K1899" s="33"/>
      <c r="L1899" s="57"/>
      <c r="M1899" s="58"/>
      <c r="N1899" s="56"/>
      <c r="O1899" s="58"/>
      <c r="P1899" s="62"/>
      <c r="Q1899" s="33"/>
      <c r="R1899" s="33"/>
      <c r="S1899" s="61"/>
      <c r="T1899" s="33"/>
      <c r="U1899" s="62"/>
      <c r="W1899" s="61"/>
      <c r="X1899" s="62"/>
      <c r="AD1899" s="58"/>
      <c r="AG1899" s="64"/>
    </row>
    <row r="1900" spans="2:33" ht="16">
      <c r="B1900" s="67" t="str">
        <f t="shared" si="8"/>
        <v/>
      </c>
      <c r="C1900" s="33"/>
      <c r="D1900" s="33"/>
      <c r="E1900" s="33"/>
      <c r="F1900" s="56"/>
      <c r="G1900" s="33"/>
      <c r="H1900" s="33"/>
      <c r="I1900" s="33"/>
      <c r="J1900" s="57"/>
      <c r="K1900" s="33"/>
      <c r="L1900" s="57"/>
      <c r="M1900" s="58"/>
      <c r="N1900" s="56"/>
      <c r="O1900" s="58"/>
      <c r="P1900" s="62"/>
      <c r="Q1900" s="33"/>
      <c r="R1900" s="33"/>
      <c r="S1900" s="61"/>
      <c r="T1900" s="33"/>
      <c r="U1900" s="62"/>
      <c r="W1900" s="61"/>
      <c r="X1900" s="62"/>
      <c r="AG1900" s="64"/>
    </row>
    <row r="1901" spans="2:33" ht="16">
      <c r="B1901" s="67" t="str">
        <f t="shared" si="8"/>
        <v/>
      </c>
      <c r="C1901" s="33"/>
      <c r="D1901" s="33"/>
      <c r="E1901" s="33"/>
      <c r="F1901" s="56"/>
      <c r="G1901" s="33"/>
      <c r="H1901" s="33"/>
      <c r="I1901" s="33"/>
      <c r="J1901" s="57"/>
      <c r="K1901" s="33"/>
      <c r="L1901" s="57"/>
      <c r="M1901" s="58"/>
      <c r="N1901" s="56"/>
      <c r="O1901" s="58"/>
      <c r="P1901" s="62"/>
      <c r="Q1901" s="33"/>
      <c r="R1901" s="33"/>
      <c r="S1901" s="61"/>
      <c r="T1901" s="33"/>
      <c r="U1901" s="62"/>
      <c r="W1901" s="61"/>
      <c r="X1901" s="62"/>
      <c r="AD1901" s="58"/>
      <c r="AG1901" s="64"/>
    </row>
    <row r="1902" spans="2:33" ht="16">
      <c r="B1902" s="67" t="str">
        <f t="shared" si="8"/>
        <v/>
      </c>
      <c r="C1902" s="33"/>
      <c r="D1902" s="33"/>
      <c r="E1902" s="33"/>
      <c r="F1902" s="56"/>
      <c r="G1902" s="33"/>
      <c r="H1902" s="33"/>
      <c r="I1902" s="33"/>
      <c r="J1902" s="57"/>
      <c r="K1902" s="33"/>
      <c r="L1902" s="57"/>
      <c r="M1902" s="58"/>
      <c r="N1902" s="56"/>
      <c r="O1902" s="58"/>
      <c r="P1902" s="62"/>
      <c r="Q1902" s="33"/>
      <c r="R1902" s="33"/>
      <c r="S1902" s="61"/>
      <c r="T1902" s="33"/>
      <c r="U1902" s="62"/>
      <c r="W1902" s="61"/>
      <c r="X1902" s="62"/>
      <c r="AG1902" s="64"/>
    </row>
    <row r="1903" spans="2:33" ht="16">
      <c r="B1903" s="67" t="str">
        <f t="shared" si="8"/>
        <v/>
      </c>
      <c r="C1903" s="33"/>
      <c r="D1903" s="33"/>
      <c r="E1903" s="33"/>
      <c r="F1903" s="56"/>
      <c r="G1903" s="33"/>
      <c r="H1903" s="33"/>
      <c r="I1903" s="33"/>
      <c r="J1903" s="57"/>
      <c r="K1903" s="33"/>
      <c r="L1903" s="57"/>
      <c r="M1903" s="58"/>
      <c r="N1903" s="56"/>
      <c r="O1903" s="64"/>
      <c r="P1903" s="62"/>
      <c r="Q1903" s="33"/>
      <c r="R1903" s="33"/>
      <c r="S1903" s="61"/>
      <c r="T1903" s="33"/>
      <c r="U1903" s="62"/>
      <c r="W1903" s="61"/>
      <c r="X1903" s="62"/>
      <c r="AD1903" s="58"/>
      <c r="AG1903" s="64"/>
    </row>
    <row r="1904" spans="2:33" ht="16">
      <c r="B1904" s="67" t="str">
        <f t="shared" si="8"/>
        <v/>
      </c>
      <c r="C1904" s="33"/>
      <c r="D1904" s="33"/>
      <c r="E1904" s="33"/>
      <c r="F1904" s="56"/>
      <c r="G1904" s="33"/>
      <c r="H1904" s="33"/>
      <c r="I1904" s="33"/>
      <c r="J1904" s="57"/>
      <c r="K1904" s="33"/>
      <c r="L1904" s="57"/>
      <c r="M1904" s="58"/>
      <c r="N1904" s="56"/>
      <c r="O1904" s="64"/>
      <c r="P1904" s="62"/>
      <c r="Q1904" s="33"/>
      <c r="R1904" s="33"/>
      <c r="S1904" s="61"/>
      <c r="T1904" s="33"/>
      <c r="U1904" s="62"/>
      <c r="W1904" s="61"/>
      <c r="X1904" s="62"/>
      <c r="AG1904" s="64"/>
    </row>
    <row r="1905" spans="2:33" ht="16">
      <c r="B1905" s="67" t="str">
        <f t="shared" si="8"/>
        <v/>
      </c>
      <c r="C1905" s="33"/>
      <c r="D1905" s="33"/>
      <c r="E1905" s="33"/>
      <c r="F1905" s="56"/>
      <c r="G1905" s="33"/>
      <c r="H1905" s="33"/>
      <c r="I1905" s="33"/>
      <c r="J1905" s="57"/>
      <c r="K1905" s="33"/>
      <c r="L1905" s="57"/>
      <c r="M1905" s="58"/>
      <c r="N1905" s="56"/>
      <c r="O1905" s="58"/>
      <c r="P1905" s="62"/>
      <c r="Q1905" s="33"/>
      <c r="R1905" s="33"/>
      <c r="S1905" s="61"/>
      <c r="T1905" s="33"/>
      <c r="U1905" s="62"/>
      <c r="W1905" s="61"/>
      <c r="X1905" s="62"/>
      <c r="AG1905" s="64"/>
    </row>
    <row r="1906" spans="2:33" ht="16">
      <c r="B1906" s="67" t="str">
        <f t="shared" si="8"/>
        <v/>
      </c>
      <c r="C1906" s="33"/>
      <c r="D1906" s="33"/>
      <c r="E1906" s="33"/>
      <c r="F1906" s="56"/>
      <c r="G1906" s="33"/>
      <c r="H1906" s="33"/>
      <c r="I1906" s="33"/>
      <c r="J1906" s="57"/>
      <c r="K1906" s="33"/>
      <c r="L1906" s="57"/>
      <c r="M1906" s="58"/>
      <c r="N1906" s="56"/>
      <c r="O1906" s="64"/>
      <c r="P1906" s="62"/>
      <c r="Q1906" s="33"/>
      <c r="R1906" s="33"/>
      <c r="S1906" s="61"/>
      <c r="T1906" s="33"/>
      <c r="U1906" s="62"/>
      <c r="W1906" s="61"/>
      <c r="X1906" s="62"/>
      <c r="AG1906" s="64"/>
    </row>
    <row r="1907" spans="2:33" ht="16">
      <c r="B1907" s="67" t="str">
        <f t="shared" si="8"/>
        <v/>
      </c>
      <c r="C1907" s="33"/>
      <c r="D1907" s="33"/>
      <c r="E1907" s="33"/>
      <c r="F1907" s="56"/>
      <c r="G1907" s="33"/>
      <c r="H1907" s="33"/>
      <c r="I1907" s="33"/>
      <c r="J1907" s="57"/>
      <c r="K1907" s="33"/>
      <c r="L1907" s="57"/>
      <c r="M1907" s="58"/>
      <c r="N1907" s="56"/>
      <c r="O1907" s="58"/>
      <c r="P1907" s="62"/>
      <c r="Q1907" s="33"/>
      <c r="R1907" s="33"/>
      <c r="S1907" s="61"/>
      <c r="T1907" s="33"/>
      <c r="U1907" s="62"/>
      <c r="W1907" s="61"/>
      <c r="X1907" s="62"/>
      <c r="AG1907" s="58"/>
    </row>
    <row r="1908" spans="2:33" ht="16">
      <c r="B1908" s="67" t="str">
        <f t="shared" si="8"/>
        <v/>
      </c>
      <c r="C1908" s="33"/>
      <c r="D1908" s="33"/>
      <c r="E1908" s="33"/>
      <c r="F1908" s="56"/>
      <c r="G1908" s="33"/>
      <c r="H1908" s="33"/>
      <c r="I1908" s="33"/>
      <c r="J1908" s="57"/>
      <c r="K1908" s="33"/>
      <c r="L1908" s="57"/>
      <c r="M1908" s="58"/>
      <c r="N1908" s="56"/>
      <c r="O1908" s="64"/>
      <c r="P1908" s="62"/>
      <c r="Q1908" s="33"/>
      <c r="R1908" s="33"/>
      <c r="S1908" s="61"/>
      <c r="T1908" s="33"/>
      <c r="U1908" s="62"/>
      <c r="W1908" s="61"/>
      <c r="X1908" s="62"/>
      <c r="AG1908" s="64"/>
    </row>
    <row r="1909" spans="2:33" ht="16">
      <c r="B1909" s="67" t="str">
        <f t="shared" si="8"/>
        <v/>
      </c>
      <c r="C1909" s="33"/>
      <c r="D1909" s="33"/>
      <c r="E1909" s="33"/>
      <c r="F1909" s="56"/>
      <c r="G1909" s="33"/>
      <c r="H1909" s="33"/>
      <c r="I1909" s="33"/>
      <c r="J1909" s="57"/>
      <c r="K1909" s="33"/>
      <c r="L1909" s="57"/>
      <c r="M1909" s="58"/>
      <c r="N1909" s="56"/>
      <c r="O1909" s="58"/>
      <c r="P1909" s="62"/>
      <c r="Q1909" s="33"/>
      <c r="R1909" s="33"/>
      <c r="S1909" s="61"/>
      <c r="T1909" s="33"/>
      <c r="U1909" s="62"/>
      <c r="W1909" s="61"/>
      <c r="X1909" s="62"/>
      <c r="AD1909" s="58"/>
      <c r="AG1909" s="64"/>
    </row>
    <row r="1910" spans="2:33" ht="16">
      <c r="B1910" s="67" t="str">
        <f t="shared" si="8"/>
        <v/>
      </c>
      <c r="C1910" s="33"/>
      <c r="D1910" s="33"/>
      <c r="E1910" s="33"/>
      <c r="F1910" s="56"/>
      <c r="G1910" s="33"/>
      <c r="H1910" s="33"/>
      <c r="I1910" s="33"/>
      <c r="J1910" s="57"/>
      <c r="K1910" s="33"/>
      <c r="L1910" s="57"/>
      <c r="M1910" s="58"/>
      <c r="N1910" s="56"/>
      <c r="O1910" s="64"/>
      <c r="P1910" s="62"/>
      <c r="Q1910" s="33"/>
      <c r="R1910" s="33"/>
      <c r="S1910" s="61"/>
      <c r="T1910" s="33"/>
      <c r="U1910" s="62"/>
      <c r="W1910" s="61"/>
      <c r="X1910" s="62"/>
      <c r="AG1910" s="58"/>
    </row>
    <row r="1911" spans="2:33" ht="16">
      <c r="B1911" s="67" t="str">
        <f t="shared" si="8"/>
        <v/>
      </c>
      <c r="C1911" s="33"/>
      <c r="D1911" s="33"/>
      <c r="E1911" s="33"/>
      <c r="F1911" s="56"/>
      <c r="G1911" s="33"/>
      <c r="H1911" s="33"/>
      <c r="I1911" s="33"/>
      <c r="J1911" s="57"/>
      <c r="K1911" s="33"/>
      <c r="L1911" s="57"/>
      <c r="M1911" s="58"/>
      <c r="N1911" s="56"/>
      <c r="O1911" s="64"/>
      <c r="P1911" s="62"/>
      <c r="Q1911" s="33"/>
      <c r="R1911" s="33"/>
      <c r="S1911" s="61"/>
      <c r="T1911" s="33"/>
      <c r="U1911" s="62"/>
      <c r="W1911" s="61"/>
      <c r="X1911" s="62"/>
      <c r="AG1911" s="64"/>
    </row>
    <row r="1912" spans="2:33" ht="16">
      <c r="B1912" s="67" t="str">
        <f t="shared" si="8"/>
        <v/>
      </c>
      <c r="C1912" s="33"/>
      <c r="D1912" s="33"/>
      <c r="E1912" s="33"/>
      <c r="F1912" s="56"/>
      <c r="G1912" s="33"/>
      <c r="H1912" s="33"/>
      <c r="I1912" s="33"/>
      <c r="J1912" s="57"/>
      <c r="K1912" s="33"/>
      <c r="L1912" s="57"/>
      <c r="M1912" s="64"/>
      <c r="N1912" s="56"/>
      <c r="O1912" s="58"/>
      <c r="P1912" s="62"/>
      <c r="Q1912" s="33"/>
      <c r="R1912" s="33"/>
      <c r="S1912" s="61"/>
      <c r="T1912" s="33"/>
      <c r="U1912" s="62"/>
      <c r="W1912" s="61"/>
      <c r="X1912" s="62"/>
      <c r="AD1912" s="64"/>
      <c r="AG1912" s="58"/>
    </row>
    <row r="1913" spans="2:33" ht="16">
      <c r="B1913" s="67" t="str">
        <f t="shared" si="8"/>
        <v/>
      </c>
      <c r="C1913" s="33"/>
      <c r="D1913" s="33"/>
      <c r="E1913" s="33"/>
      <c r="F1913" s="56"/>
      <c r="G1913" s="33"/>
      <c r="H1913" s="33"/>
      <c r="I1913" s="33"/>
      <c r="J1913" s="57"/>
      <c r="K1913" s="33"/>
      <c r="L1913" s="57"/>
      <c r="M1913" s="58"/>
      <c r="N1913" s="56"/>
      <c r="O1913" s="64"/>
      <c r="P1913" s="62"/>
      <c r="Q1913" s="33"/>
      <c r="R1913" s="33"/>
      <c r="S1913" s="61"/>
      <c r="T1913" s="33"/>
      <c r="U1913" s="62"/>
      <c r="W1913" s="61"/>
      <c r="X1913" s="62"/>
      <c r="AG1913" s="64"/>
    </row>
    <row r="1914" spans="2:33" ht="16">
      <c r="B1914" s="67" t="str">
        <f t="shared" si="8"/>
        <v/>
      </c>
      <c r="C1914" s="33"/>
      <c r="D1914" s="33"/>
      <c r="E1914" s="33"/>
      <c r="F1914" s="56"/>
      <c r="G1914" s="33"/>
      <c r="H1914" s="33"/>
      <c r="I1914" s="33"/>
      <c r="J1914" s="57"/>
      <c r="K1914" s="33"/>
      <c r="L1914" s="57"/>
      <c r="M1914" s="58"/>
      <c r="N1914" s="56"/>
      <c r="O1914" s="64"/>
      <c r="P1914" s="62"/>
      <c r="Q1914" s="33"/>
      <c r="R1914" s="33"/>
      <c r="S1914" s="61"/>
      <c r="T1914" s="33"/>
      <c r="U1914" s="62"/>
      <c r="W1914" s="61"/>
      <c r="X1914" s="62"/>
      <c r="AG1914" s="64"/>
    </row>
    <row r="1915" spans="2:33" ht="16">
      <c r="B1915" s="67" t="str">
        <f t="shared" si="8"/>
        <v/>
      </c>
      <c r="C1915" s="33"/>
      <c r="D1915" s="33"/>
      <c r="E1915" s="33"/>
      <c r="F1915" s="56"/>
      <c r="G1915" s="33"/>
      <c r="H1915" s="33"/>
      <c r="I1915" s="33"/>
      <c r="J1915" s="57"/>
      <c r="K1915" s="33"/>
      <c r="L1915" s="57"/>
      <c r="M1915" s="58"/>
      <c r="N1915" s="56"/>
      <c r="O1915" s="58"/>
      <c r="P1915" s="62"/>
      <c r="Q1915" s="33"/>
      <c r="R1915" s="33"/>
      <c r="S1915" s="61"/>
      <c r="T1915" s="33"/>
      <c r="U1915" s="62"/>
      <c r="W1915" s="61"/>
      <c r="X1915" s="62"/>
      <c r="AG1915" s="64"/>
    </row>
    <row r="1916" spans="2:33" ht="16">
      <c r="B1916" s="67" t="str">
        <f t="shared" si="8"/>
        <v/>
      </c>
      <c r="C1916" s="33"/>
      <c r="D1916" s="33"/>
      <c r="E1916" s="33"/>
      <c r="F1916" s="56"/>
      <c r="G1916" s="33"/>
      <c r="H1916" s="33"/>
      <c r="I1916" s="33"/>
      <c r="J1916" s="57"/>
      <c r="K1916" s="33"/>
      <c r="L1916" s="57"/>
      <c r="M1916" s="58"/>
      <c r="N1916" s="56"/>
      <c r="O1916" s="64"/>
      <c r="P1916" s="62"/>
      <c r="Q1916" s="33"/>
      <c r="R1916" s="33"/>
      <c r="S1916" s="61"/>
      <c r="T1916" s="33"/>
      <c r="U1916" s="62"/>
      <c r="W1916" s="61"/>
      <c r="X1916" s="62"/>
      <c r="AG1916" s="64"/>
    </row>
    <row r="1917" spans="2:33" ht="16">
      <c r="B1917" s="67" t="str">
        <f t="shared" si="8"/>
        <v/>
      </c>
      <c r="C1917" s="33"/>
      <c r="D1917" s="33"/>
      <c r="E1917" s="33"/>
      <c r="F1917" s="56"/>
      <c r="G1917" s="33"/>
      <c r="H1917" s="33"/>
      <c r="I1917" s="33"/>
      <c r="J1917" s="57"/>
      <c r="K1917" s="33"/>
      <c r="L1917" s="57"/>
      <c r="M1917" s="58"/>
      <c r="N1917" s="56"/>
      <c r="O1917" s="58"/>
      <c r="P1917" s="62"/>
      <c r="Q1917" s="33"/>
      <c r="R1917" s="33"/>
      <c r="S1917" s="61"/>
      <c r="T1917" s="33"/>
      <c r="U1917" s="62"/>
      <c r="W1917" s="61"/>
      <c r="X1917" s="62"/>
      <c r="AD1917" s="58"/>
      <c r="AG1917" s="64"/>
    </row>
    <row r="1918" spans="2:33" ht="16">
      <c r="B1918" s="67" t="str">
        <f t="shared" si="8"/>
        <v/>
      </c>
      <c r="C1918" s="33"/>
      <c r="D1918" s="33"/>
      <c r="E1918" s="33"/>
      <c r="F1918" s="56"/>
      <c r="G1918" s="33"/>
      <c r="H1918" s="33"/>
      <c r="I1918" s="33"/>
      <c r="J1918" s="57"/>
      <c r="K1918" s="33"/>
      <c r="L1918" s="57"/>
      <c r="M1918" s="58"/>
      <c r="N1918" s="56"/>
      <c r="O1918" s="58"/>
      <c r="P1918" s="62"/>
      <c r="Q1918" s="33"/>
      <c r="R1918" s="33"/>
      <c r="S1918" s="61"/>
      <c r="T1918" s="33"/>
      <c r="U1918" s="62"/>
      <c r="W1918" s="61"/>
      <c r="X1918" s="62"/>
      <c r="AD1918" s="58"/>
      <c r="AG1918" s="64"/>
    </row>
    <row r="1919" spans="2:33" ht="16">
      <c r="B1919" s="67" t="str">
        <f t="shared" si="8"/>
        <v/>
      </c>
      <c r="C1919" s="33"/>
      <c r="D1919" s="33"/>
      <c r="E1919" s="33"/>
      <c r="F1919" s="56"/>
      <c r="G1919" s="33"/>
      <c r="H1919" s="33"/>
      <c r="I1919" s="33"/>
      <c r="J1919" s="57"/>
      <c r="K1919" s="33"/>
      <c r="L1919" s="57"/>
      <c r="M1919" s="58"/>
      <c r="N1919" s="56"/>
      <c r="O1919" s="58"/>
      <c r="P1919" s="62"/>
      <c r="Q1919" s="33"/>
      <c r="R1919" s="33"/>
      <c r="S1919" s="61"/>
      <c r="T1919" s="33"/>
      <c r="U1919" s="62"/>
      <c r="W1919" s="61"/>
      <c r="X1919" s="62"/>
      <c r="AG1919" s="64"/>
    </row>
    <row r="1920" spans="2:33" ht="16">
      <c r="B1920" s="67" t="str">
        <f t="shared" si="8"/>
        <v/>
      </c>
      <c r="C1920" s="33"/>
      <c r="D1920" s="33"/>
      <c r="E1920" s="33"/>
      <c r="F1920" s="56"/>
      <c r="G1920" s="33"/>
      <c r="H1920" s="33"/>
      <c r="I1920" s="33"/>
      <c r="J1920" s="57"/>
      <c r="K1920" s="33"/>
      <c r="L1920" s="57"/>
      <c r="M1920" s="58"/>
      <c r="N1920" s="56"/>
      <c r="O1920" s="64"/>
      <c r="P1920" s="62"/>
      <c r="Q1920" s="33"/>
      <c r="R1920" s="33"/>
      <c r="S1920" s="61"/>
      <c r="T1920" s="33"/>
      <c r="U1920" s="62"/>
      <c r="W1920" s="61"/>
      <c r="X1920" s="62"/>
      <c r="AG1920" s="64"/>
    </row>
    <row r="1921" spans="2:33" ht="16">
      <c r="B1921" s="67" t="str">
        <f t="shared" si="8"/>
        <v/>
      </c>
      <c r="C1921" s="33"/>
      <c r="D1921" s="33"/>
      <c r="E1921" s="33"/>
      <c r="F1921" s="56"/>
      <c r="G1921" s="33"/>
      <c r="H1921" s="33"/>
      <c r="I1921" s="33"/>
      <c r="J1921" s="57"/>
      <c r="K1921" s="33"/>
      <c r="L1921" s="57"/>
      <c r="M1921" s="58"/>
      <c r="N1921" s="56"/>
      <c r="O1921" s="64"/>
      <c r="P1921" s="62"/>
      <c r="Q1921" s="33"/>
      <c r="R1921" s="33"/>
      <c r="S1921" s="61"/>
      <c r="T1921" s="33"/>
      <c r="U1921" s="62"/>
      <c r="W1921" s="61"/>
      <c r="X1921" s="62"/>
      <c r="AG1921" s="64"/>
    </row>
    <row r="1922" spans="2:33" ht="16">
      <c r="B1922" s="67" t="str">
        <f t="shared" si="8"/>
        <v/>
      </c>
      <c r="C1922" s="33"/>
      <c r="D1922" s="33"/>
      <c r="E1922" s="33"/>
      <c r="F1922" s="56"/>
      <c r="G1922" s="33"/>
      <c r="H1922" s="33"/>
      <c r="I1922" s="33"/>
      <c r="J1922" s="57"/>
      <c r="K1922" s="33"/>
      <c r="L1922" s="57"/>
      <c r="M1922" s="58"/>
      <c r="N1922" s="56"/>
      <c r="O1922" s="58"/>
      <c r="P1922" s="62"/>
      <c r="Q1922" s="33"/>
      <c r="R1922" s="33"/>
      <c r="S1922" s="61"/>
      <c r="T1922" s="33"/>
      <c r="U1922" s="62"/>
      <c r="W1922" s="61"/>
      <c r="X1922" s="62"/>
      <c r="AD1922" s="58"/>
      <c r="AG1922" s="64"/>
    </row>
    <row r="1923" spans="2:33" ht="16">
      <c r="B1923" s="67" t="str">
        <f t="shared" si="8"/>
        <v/>
      </c>
      <c r="C1923" s="33"/>
      <c r="D1923" s="33"/>
      <c r="E1923" s="33"/>
      <c r="F1923" s="56"/>
      <c r="G1923" s="33"/>
      <c r="H1923" s="33"/>
      <c r="I1923" s="33"/>
      <c r="J1923" s="57"/>
      <c r="K1923" s="33"/>
      <c r="L1923" s="57"/>
      <c r="M1923" s="58"/>
      <c r="N1923" s="56"/>
      <c r="O1923" s="64"/>
      <c r="P1923" s="62"/>
      <c r="Q1923" s="33"/>
      <c r="R1923" s="33"/>
      <c r="S1923" s="61"/>
      <c r="T1923" s="33"/>
      <c r="U1923" s="62"/>
      <c r="W1923" s="61"/>
      <c r="X1923" s="62"/>
      <c r="AG1923" s="58"/>
    </row>
    <row r="1924" spans="2:33" ht="16">
      <c r="B1924" s="67" t="str">
        <f t="shared" si="8"/>
        <v/>
      </c>
      <c r="C1924" s="33"/>
      <c r="D1924" s="33"/>
      <c r="E1924" s="33"/>
      <c r="F1924" s="56"/>
      <c r="G1924" s="33"/>
      <c r="H1924" s="33"/>
      <c r="I1924" s="33"/>
      <c r="J1924" s="57"/>
      <c r="K1924" s="33"/>
      <c r="L1924" s="57"/>
      <c r="M1924" s="64"/>
      <c r="N1924" s="56"/>
      <c r="O1924" s="58"/>
      <c r="P1924" s="62"/>
      <c r="Q1924" s="33"/>
      <c r="R1924" s="33"/>
      <c r="S1924" s="61"/>
      <c r="T1924" s="33"/>
      <c r="U1924" s="62"/>
      <c r="W1924" s="61"/>
      <c r="X1924" s="62"/>
      <c r="AD1924" s="58"/>
      <c r="AG1924" s="64"/>
    </row>
    <row r="1925" spans="2:33" ht="16">
      <c r="B1925" s="67" t="str">
        <f t="shared" si="8"/>
        <v/>
      </c>
      <c r="C1925" s="33"/>
      <c r="D1925" s="33"/>
      <c r="E1925" s="33"/>
      <c r="F1925" s="56"/>
      <c r="G1925" s="33"/>
      <c r="H1925" s="33"/>
      <c r="I1925" s="33"/>
      <c r="J1925" s="57"/>
      <c r="K1925" s="33"/>
      <c r="L1925" s="57"/>
      <c r="M1925" s="58"/>
      <c r="N1925" s="56"/>
      <c r="O1925" s="58"/>
      <c r="P1925" s="62"/>
      <c r="Q1925" s="33"/>
      <c r="R1925" s="33"/>
      <c r="S1925" s="61"/>
      <c r="T1925" s="33"/>
      <c r="U1925" s="62"/>
      <c r="W1925" s="61"/>
      <c r="X1925" s="62"/>
      <c r="AG1925" s="64"/>
    </row>
    <row r="1926" spans="2:33" ht="16">
      <c r="B1926" s="67" t="str">
        <f t="shared" si="8"/>
        <v/>
      </c>
      <c r="C1926" s="33"/>
      <c r="D1926" s="33"/>
      <c r="E1926" s="33"/>
      <c r="F1926" s="56"/>
      <c r="G1926" s="33"/>
      <c r="H1926" s="33"/>
      <c r="I1926" s="33"/>
      <c r="J1926" s="57"/>
      <c r="K1926" s="33"/>
      <c r="L1926" s="57"/>
      <c r="M1926" s="58"/>
      <c r="N1926" s="56"/>
      <c r="O1926" s="58"/>
      <c r="P1926" s="62"/>
      <c r="Q1926" s="33"/>
      <c r="R1926" s="33"/>
      <c r="S1926" s="61"/>
      <c r="T1926" s="33"/>
      <c r="U1926" s="62"/>
      <c r="W1926" s="61"/>
      <c r="X1926" s="62"/>
      <c r="AG1926" s="64"/>
    </row>
    <row r="1927" spans="2:33" ht="16">
      <c r="B1927" s="67" t="str">
        <f t="shared" si="8"/>
        <v/>
      </c>
      <c r="C1927" s="33"/>
      <c r="D1927" s="33"/>
      <c r="E1927" s="33"/>
      <c r="F1927" s="56"/>
      <c r="G1927" s="33"/>
      <c r="H1927" s="33"/>
      <c r="I1927" s="33"/>
      <c r="J1927" s="57"/>
      <c r="K1927" s="33"/>
      <c r="L1927" s="57"/>
      <c r="M1927" s="58"/>
      <c r="N1927" s="56"/>
      <c r="O1927" s="64"/>
      <c r="P1927" s="62"/>
      <c r="Q1927" s="33"/>
      <c r="R1927" s="33"/>
      <c r="S1927" s="61"/>
      <c r="T1927" s="33"/>
      <c r="U1927" s="62"/>
      <c r="W1927" s="61"/>
      <c r="X1927" s="62"/>
      <c r="AG1927" s="58"/>
    </row>
    <row r="1928" spans="2:33" ht="15" customHeight="1">
      <c r="B1928" s="67" t="str">
        <f t="shared" si="8"/>
        <v/>
      </c>
      <c r="C1928" s="33"/>
      <c r="D1928" s="33"/>
      <c r="E1928" s="33"/>
      <c r="F1928" s="56"/>
      <c r="G1928" s="33"/>
      <c r="H1928" s="33"/>
      <c r="I1928" s="33"/>
      <c r="J1928" s="57"/>
      <c r="K1928" s="33"/>
      <c r="L1928" s="57"/>
      <c r="M1928" s="58"/>
      <c r="N1928" s="56"/>
      <c r="O1928" s="64"/>
      <c r="P1928" s="62"/>
      <c r="Q1928" s="33"/>
      <c r="R1928" s="33"/>
      <c r="S1928" s="61"/>
      <c r="T1928" s="33"/>
      <c r="U1928" s="62"/>
      <c r="W1928" s="61"/>
      <c r="X1928" s="62"/>
      <c r="AG1928" s="64"/>
    </row>
    <row r="1929" spans="2:33" ht="16">
      <c r="B1929" s="67" t="str">
        <f t="shared" si="8"/>
        <v/>
      </c>
      <c r="C1929" s="33"/>
      <c r="D1929" s="33"/>
      <c r="E1929" s="33"/>
      <c r="F1929" s="56"/>
      <c r="G1929" s="33"/>
      <c r="H1929" s="33"/>
      <c r="I1929" s="33"/>
      <c r="J1929" s="57"/>
      <c r="K1929" s="33"/>
      <c r="L1929" s="57"/>
      <c r="M1929" s="58"/>
      <c r="N1929" s="56"/>
      <c r="O1929" s="64"/>
      <c r="P1929" s="62"/>
      <c r="Q1929" s="33"/>
      <c r="R1929" s="33"/>
      <c r="S1929" s="61"/>
      <c r="T1929" s="33"/>
      <c r="U1929" s="62"/>
      <c r="W1929" s="61"/>
      <c r="X1929" s="62"/>
      <c r="AG1929" s="64"/>
    </row>
    <row r="1930" spans="2:33" ht="16">
      <c r="B1930" s="67" t="str">
        <f t="shared" si="8"/>
        <v/>
      </c>
      <c r="C1930" s="33"/>
      <c r="D1930" s="33"/>
      <c r="E1930" s="33"/>
      <c r="F1930" s="56"/>
      <c r="G1930" s="33"/>
      <c r="H1930" s="33"/>
      <c r="I1930" s="33"/>
      <c r="J1930" s="57"/>
      <c r="K1930" s="33"/>
      <c r="L1930" s="57"/>
      <c r="M1930" s="58"/>
      <c r="N1930" s="56"/>
      <c r="O1930" s="64"/>
      <c r="P1930" s="62"/>
      <c r="Q1930" s="33"/>
      <c r="R1930" s="33"/>
      <c r="S1930" s="61"/>
      <c r="T1930" s="33"/>
      <c r="U1930" s="62"/>
      <c r="W1930" s="61"/>
      <c r="X1930" s="62"/>
      <c r="AD1930" s="64"/>
      <c r="AG1930" s="64"/>
    </row>
    <row r="1931" spans="2:33" ht="16">
      <c r="B1931" s="67" t="str">
        <f t="shared" si="8"/>
        <v/>
      </c>
      <c r="C1931" s="33"/>
      <c r="D1931" s="33"/>
      <c r="E1931" s="33"/>
      <c r="F1931" s="56"/>
      <c r="G1931" s="33"/>
      <c r="H1931" s="33"/>
      <c r="I1931" s="33"/>
      <c r="J1931" s="57"/>
      <c r="K1931" s="33"/>
      <c r="L1931" s="57"/>
      <c r="M1931" s="58"/>
      <c r="N1931" s="56"/>
      <c r="O1931" s="64"/>
      <c r="P1931" s="62"/>
      <c r="Q1931" s="33"/>
      <c r="R1931" s="33"/>
      <c r="S1931" s="61"/>
      <c r="T1931" s="33"/>
      <c r="U1931" s="62"/>
      <c r="W1931" s="61"/>
      <c r="X1931" s="62"/>
      <c r="AG1931" s="58"/>
    </row>
    <row r="1932" spans="2:33" ht="16">
      <c r="B1932" s="67" t="str">
        <f t="shared" si="8"/>
        <v/>
      </c>
      <c r="C1932" s="33"/>
      <c r="D1932" s="33"/>
      <c r="E1932" s="33"/>
      <c r="F1932" s="56"/>
      <c r="G1932" s="33"/>
      <c r="H1932" s="33"/>
      <c r="I1932" s="33"/>
      <c r="J1932" s="57"/>
      <c r="K1932" s="33"/>
      <c r="L1932" s="57"/>
      <c r="M1932" s="58"/>
      <c r="N1932" s="56"/>
      <c r="O1932" s="58"/>
      <c r="P1932" s="62"/>
      <c r="Q1932" s="33"/>
      <c r="R1932" s="33"/>
      <c r="S1932" s="61"/>
      <c r="T1932" s="33"/>
      <c r="U1932" s="62"/>
      <c r="W1932" s="61"/>
      <c r="X1932" s="62"/>
      <c r="AG1932" s="58"/>
    </row>
    <row r="1933" spans="2:33" ht="16">
      <c r="B1933" s="67" t="str">
        <f t="shared" si="8"/>
        <v/>
      </c>
      <c r="C1933" s="33"/>
      <c r="D1933" s="33"/>
      <c r="E1933" s="33"/>
      <c r="F1933" s="56"/>
      <c r="G1933" s="33"/>
      <c r="H1933" s="33"/>
      <c r="I1933" s="33"/>
      <c r="J1933" s="57"/>
      <c r="K1933" s="33"/>
      <c r="L1933" s="57"/>
      <c r="M1933" s="58"/>
      <c r="N1933" s="56"/>
      <c r="O1933" s="58"/>
      <c r="P1933" s="62"/>
      <c r="Q1933" s="33"/>
      <c r="R1933" s="33"/>
      <c r="S1933" s="61"/>
      <c r="T1933" s="33"/>
      <c r="U1933" s="62"/>
      <c r="W1933" s="61"/>
      <c r="X1933" s="62"/>
      <c r="AD1933" s="58"/>
      <c r="AG1933" s="58"/>
    </row>
    <row r="1934" spans="2:33" ht="16">
      <c r="B1934" s="67" t="str">
        <f t="shared" si="8"/>
        <v/>
      </c>
      <c r="C1934" s="33"/>
      <c r="D1934" s="33"/>
      <c r="E1934" s="33"/>
      <c r="F1934" s="56"/>
      <c r="G1934" s="33"/>
      <c r="H1934" s="33"/>
      <c r="I1934" s="33"/>
      <c r="J1934" s="57"/>
      <c r="K1934" s="33"/>
      <c r="L1934" s="57"/>
      <c r="M1934" s="58"/>
      <c r="N1934" s="56"/>
      <c r="O1934" s="58"/>
      <c r="P1934" s="62"/>
      <c r="Q1934" s="33"/>
      <c r="R1934" s="33"/>
      <c r="S1934" s="61"/>
      <c r="T1934" s="33"/>
      <c r="U1934" s="62"/>
      <c r="W1934" s="61"/>
      <c r="X1934" s="62"/>
      <c r="AD1934" s="58"/>
      <c r="AG1934" s="58"/>
    </row>
    <row r="1935" spans="2:33" ht="16">
      <c r="B1935" s="67" t="str">
        <f t="shared" si="8"/>
        <v/>
      </c>
      <c r="C1935" s="33"/>
      <c r="D1935" s="33"/>
      <c r="E1935" s="33"/>
      <c r="F1935" s="56"/>
      <c r="G1935" s="33"/>
      <c r="H1935" s="33"/>
      <c r="I1935" s="33"/>
      <c r="J1935" s="57"/>
      <c r="K1935" s="33"/>
      <c r="L1935" s="57"/>
      <c r="M1935" s="58"/>
      <c r="N1935" s="56"/>
      <c r="O1935" s="58"/>
      <c r="P1935" s="62"/>
      <c r="Q1935" s="33"/>
      <c r="R1935" s="33"/>
      <c r="S1935" s="61"/>
      <c r="T1935" s="33"/>
      <c r="W1935" s="61"/>
      <c r="X1935" s="62"/>
      <c r="AG1935" s="64"/>
    </row>
    <row r="1936" spans="2:33" ht="16">
      <c r="B1936" s="67" t="str">
        <f t="shared" si="8"/>
        <v/>
      </c>
      <c r="C1936" s="33"/>
      <c r="D1936" s="33"/>
      <c r="E1936" s="33"/>
      <c r="F1936" s="56"/>
      <c r="G1936" s="33"/>
      <c r="H1936" s="33"/>
      <c r="I1936" s="33"/>
      <c r="J1936" s="57"/>
      <c r="K1936" s="33"/>
      <c r="L1936" s="57"/>
      <c r="M1936" s="58"/>
      <c r="N1936" s="56"/>
      <c r="O1936" s="58"/>
      <c r="P1936" s="62"/>
      <c r="Q1936" s="33"/>
      <c r="R1936" s="33"/>
      <c r="S1936" s="61"/>
      <c r="T1936" s="33"/>
      <c r="U1936" s="62"/>
      <c r="W1936" s="61"/>
      <c r="X1936" s="62"/>
      <c r="AG1936" s="64"/>
    </row>
    <row r="1937" spans="2:33" ht="16">
      <c r="B1937" s="67" t="str">
        <f t="shared" si="8"/>
        <v/>
      </c>
      <c r="C1937" s="33"/>
      <c r="D1937" s="33"/>
      <c r="E1937" s="33"/>
      <c r="F1937" s="56"/>
      <c r="G1937" s="33"/>
      <c r="H1937" s="33"/>
      <c r="I1937" s="33"/>
      <c r="J1937" s="57"/>
      <c r="K1937" s="33"/>
      <c r="L1937" s="57"/>
      <c r="M1937" s="58"/>
      <c r="N1937" s="56"/>
      <c r="O1937" s="58"/>
      <c r="P1937" s="62"/>
      <c r="Q1937" s="33"/>
      <c r="R1937" s="33"/>
      <c r="S1937" s="61"/>
      <c r="T1937" s="33"/>
      <c r="U1937" s="62"/>
      <c r="W1937" s="61"/>
      <c r="X1937" s="62"/>
      <c r="AG1937" s="64"/>
    </row>
    <row r="1938" spans="2:33" ht="16">
      <c r="B1938" s="67" t="str">
        <f t="shared" si="8"/>
        <v/>
      </c>
      <c r="C1938" s="33"/>
      <c r="D1938" s="33"/>
      <c r="E1938" s="33"/>
      <c r="F1938" s="56"/>
      <c r="G1938" s="33"/>
      <c r="H1938" s="33"/>
      <c r="I1938" s="33"/>
      <c r="J1938" s="57"/>
      <c r="K1938" s="33"/>
      <c r="L1938" s="57"/>
      <c r="M1938" s="64"/>
      <c r="N1938" s="56"/>
      <c r="O1938" s="64"/>
      <c r="P1938" s="62"/>
      <c r="Q1938" s="33"/>
      <c r="R1938" s="33"/>
      <c r="S1938" s="61"/>
      <c r="T1938" s="33"/>
      <c r="U1938" s="62"/>
      <c r="W1938" s="61"/>
      <c r="X1938" s="62"/>
      <c r="AD1938" s="64"/>
      <c r="AG1938" s="64"/>
    </row>
    <row r="1939" spans="2:33" ht="16">
      <c r="B1939" s="67" t="str">
        <f t="shared" si="8"/>
        <v/>
      </c>
      <c r="C1939" s="33"/>
      <c r="D1939" s="33"/>
      <c r="E1939" s="33"/>
      <c r="F1939" s="56"/>
      <c r="G1939" s="33"/>
      <c r="H1939" s="33"/>
      <c r="I1939" s="33"/>
      <c r="J1939" s="57"/>
      <c r="K1939" s="33"/>
      <c r="L1939" s="57"/>
      <c r="M1939" s="64"/>
      <c r="N1939" s="56"/>
      <c r="O1939" s="58"/>
      <c r="P1939" s="62"/>
      <c r="Q1939" s="33"/>
      <c r="R1939" s="33"/>
      <c r="S1939" s="61"/>
      <c r="T1939" s="33"/>
      <c r="U1939" s="62"/>
      <c r="W1939" s="61"/>
      <c r="X1939" s="62"/>
      <c r="AD1939" s="58"/>
      <c r="AG1939" s="64"/>
    </row>
    <row r="1940" spans="2:33" ht="16">
      <c r="B1940" s="67" t="str">
        <f t="shared" si="8"/>
        <v/>
      </c>
      <c r="C1940" s="33"/>
      <c r="D1940" s="33"/>
      <c r="E1940" s="33"/>
      <c r="F1940" s="56"/>
      <c r="G1940" s="33"/>
      <c r="H1940" s="33"/>
      <c r="I1940" s="33"/>
      <c r="J1940" s="57"/>
      <c r="K1940" s="33"/>
      <c r="L1940" s="57"/>
      <c r="M1940" s="64"/>
      <c r="N1940" s="56"/>
      <c r="O1940" s="58"/>
      <c r="P1940" s="62"/>
      <c r="Q1940" s="33"/>
      <c r="R1940" s="33"/>
      <c r="S1940" s="61"/>
      <c r="T1940" s="33"/>
      <c r="U1940" s="62"/>
      <c r="W1940" s="61"/>
      <c r="X1940" s="62"/>
      <c r="AD1940" s="64"/>
      <c r="AG1940" s="64"/>
    </row>
    <row r="1941" spans="2:33" ht="16">
      <c r="B1941" s="67" t="str">
        <f t="shared" si="8"/>
        <v/>
      </c>
      <c r="C1941" s="33"/>
      <c r="D1941" s="33"/>
      <c r="E1941" s="33"/>
      <c r="F1941" s="56"/>
      <c r="G1941" s="33"/>
      <c r="H1941" s="33"/>
      <c r="I1941" s="33"/>
      <c r="J1941" s="57"/>
      <c r="K1941" s="33"/>
      <c r="L1941" s="57"/>
      <c r="M1941" s="64"/>
      <c r="N1941" s="56"/>
      <c r="O1941" s="64"/>
      <c r="P1941" s="62"/>
      <c r="Q1941" s="33"/>
      <c r="R1941" s="33"/>
      <c r="S1941" s="61"/>
      <c r="T1941" s="33"/>
      <c r="U1941" s="62"/>
      <c r="W1941" s="61"/>
      <c r="X1941" s="62"/>
      <c r="AD1941" s="64"/>
      <c r="AG1941" s="64"/>
    </row>
    <row r="1942" spans="2:33" ht="16">
      <c r="B1942" s="67" t="str">
        <f t="shared" si="8"/>
        <v/>
      </c>
      <c r="C1942" s="33"/>
      <c r="D1942" s="33"/>
      <c r="E1942" s="33"/>
      <c r="F1942" s="56"/>
      <c r="G1942" s="33"/>
      <c r="H1942" s="33"/>
      <c r="I1942" s="33"/>
      <c r="J1942" s="57"/>
      <c r="K1942" s="33"/>
      <c r="L1942" s="57"/>
      <c r="M1942" s="58"/>
      <c r="N1942" s="56"/>
      <c r="O1942" s="58"/>
      <c r="P1942" s="62"/>
      <c r="Q1942" s="33"/>
      <c r="R1942" s="33"/>
      <c r="S1942" s="61"/>
      <c r="T1942" s="33"/>
      <c r="U1942" s="62"/>
      <c r="W1942" s="61"/>
      <c r="X1942" s="62"/>
      <c r="AD1942" s="58"/>
      <c r="AG1942" s="64"/>
    </row>
    <row r="1943" spans="2:33" ht="16">
      <c r="B1943" s="67" t="str">
        <f t="shared" si="8"/>
        <v/>
      </c>
      <c r="C1943" s="33"/>
      <c r="D1943" s="33"/>
      <c r="E1943" s="33"/>
      <c r="F1943" s="56"/>
      <c r="G1943" s="33"/>
      <c r="H1943" s="33"/>
      <c r="I1943" s="33"/>
      <c r="J1943" s="57"/>
      <c r="K1943" s="33"/>
      <c r="L1943" s="57"/>
      <c r="M1943" s="64"/>
      <c r="N1943" s="56"/>
      <c r="O1943" s="64"/>
      <c r="P1943" s="62"/>
      <c r="Q1943" s="33"/>
      <c r="R1943" s="33"/>
      <c r="S1943" s="61"/>
      <c r="T1943" s="33"/>
      <c r="U1943" s="62"/>
      <c r="W1943" s="61"/>
      <c r="X1943" s="62"/>
      <c r="AD1943" s="64"/>
      <c r="AG1943" s="64"/>
    </row>
    <row r="1944" spans="2:33" ht="16">
      <c r="B1944" s="67" t="str">
        <f t="shared" si="8"/>
        <v/>
      </c>
      <c r="C1944" s="33"/>
      <c r="D1944" s="33"/>
      <c r="E1944" s="33"/>
      <c r="F1944" s="56"/>
      <c r="G1944" s="33"/>
      <c r="H1944" s="33"/>
      <c r="I1944" s="33"/>
      <c r="J1944" s="57"/>
      <c r="K1944" s="33"/>
      <c r="L1944" s="57"/>
      <c r="M1944" s="64"/>
      <c r="N1944" s="56"/>
      <c r="O1944" s="64"/>
      <c r="P1944" s="62"/>
      <c r="Q1944" s="33"/>
      <c r="R1944" s="33"/>
      <c r="S1944" s="61"/>
      <c r="T1944" s="33"/>
      <c r="U1944" s="62"/>
      <c r="W1944" s="61"/>
      <c r="X1944" s="62"/>
      <c r="AD1944" s="64"/>
      <c r="AG1944" s="64"/>
    </row>
    <row r="1945" spans="2:33" ht="16">
      <c r="B1945" s="67" t="str">
        <f t="shared" si="8"/>
        <v/>
      </c>
      <c r="C1945" s="33"/>
      <c r="D1945" s="33"/>
      <c r="E1945" s="33"/>
      <c r="F1945" s="56"/>
      <c r="G1945" s="33"/>
      <c r="H1945" s="33"/>
      <c r="I1945" s="33"/>
      <c r="J1945" s="57"/>
      <c r="K1945" s="33"/>
      <c r="L1945" s="57"/>
      <c r="M1945" s="58"/>
      <c r="N1945" s="56"/>
      <c r="O1945" s="58"/>
      <c r="P1945" s="62"/>
      <c r="Q1945" s="33"/>
      <c r="R1945" s="33"/>
      <c r="S1945" s="61"/>
      <c r="T1945" s="33"/>
      <c r="U1945" s="62"/>
      <c r="W1945" s="61"/>
      <c r="X1945" s="62"/>
      <c r="AD1945" s="58"/>
      <c r="AG1945" s="64"/>
    </row>
    <row r="1946" spans="2:33" ht="16">
      <c r="B1946" s="67" t="str">
        <f t="shared" si="8"/>
        <v/>
      </c>
      <c r="C1946" s="33"/>
      <c r="D1946" s="33"/>
      <c r="E1946" s="33"/>
      <c r="F1946" s="56"/>
      <c r="G1946" s="33"/>
      <c r="H1946" s="33"/>
      <c r="I1946" s="33"/>
      <c r="J1946" s="57"/>
      <c r="K1946" s="33"/>
      <c r="L1946" s="57"/>
      <c r="M1946" s="58"/>
      <c r="N1946" s="56"/>
      <c r="O1946" s="58"/>
      <c r="P1946" s="62"/>
      <c r="Q1946" s="33"/>
      <c r="R1946" s="33"/>
      <c r="S1946" s="61"/>
      <c r="T1946" s="33"/>
      <c r="U1946" s="62"/>
      <c r="W1946" s="61"/>
      <c r="X1946" s="62"/>
      <c r="AD1946" s="58"/>
      <c r="AG1946" s="58"/>
    </row>
    <row r="1947" spans="2:33" ht="16">
      <c r="B1947" s="67" t="str">
        <f t="shared" si="8"/>
        <v/>
      </c>
      <c r="C1947" s="33"/>
      <c r="D1947" s="33"/>
      <c r="E1947" s="33"/>
      <c r="F1947" s="56"/>
      <c r="G1947" s="33"/>
      <c r="H1947" s="33"/>
      <c r="I1947" s="33"/>
      <c r="J1947" s="57"/>
      <c r="K1947" s="33"/>
      <c r="L1947" s="57"/>
      <c r="M1947" s="58"/>
      <c r="N1947" s="56"/>
      <c r="O1947" s="58"/>
      <c r="P1947" s="62"/>
      <c r="Q1947" s="33"/>
      <c r="R1947" s="33"/>
      <c r="S1947" s="61"/>
      <c r="T1947" s="33"/>
      <c r="U1947" s="62"/>
      <c r="W1947" s="61"/>
      <c r="X1947" s="62"/>
      <c r="AD1947" s="58"/>
      <c r="AG1947" s="64"/>
    </row>
    <row r="1948" spans="2:33" ht="16">
      <c r="B1948" s="67" t="str">
        <f t="shared" si="8"/>
        <v/>
      </c>
      <c r="C1948" s="33"/>
      <c r="D1948" s="33"/>
      <c r="E1948" s="33"/>
      <c r="F1948" s="56"/>
      <c r="G1948" s="33"/>
      <c r="H1948" s="33"/>
      <c r="I1948" s="33"/>
      <c r="J1948" s="57"/>
      <c r="K1948" s="33"/>
      <c r="L1948" s="57"/>
      <c r="M1948" s="64"/>
      <c r="N1948" s="56"/>
      <c r="O1948" s="64"/>
      <c r="P1948" s="62"/>
      <c r="Q1948" s="33"/>
      <c r="R1948" s="33"/>
      <c r="S1948" s="61"/>
      <c r="T1948" s="33"/>
      <c r="U1948" s="62"/>
      <c r="W1948" s="61"/>
      <c r="X1948" s="62"/>
      <c r="AD1948" s="64"/>
      <c r="AG1948" s="64"/>
    </row>
    <row r="1949" spans="2:33" ht="16">
      <c r="B1949" s="67" t="str">
        <f t="shared" si="8"/>
        <v/>
      </c>
      <c r="C1949" s="33"/>
      <c r="D1949" s="33"/>
      <c r="E1949" s="33"/>
      <c r="F1949" s="56"/>
      <c r="G1949" s="33"/>
      <c r="H1949" s="33"/>
      <c r="I1949" s="33"/>
      <c r="J1949" s="57"/>
      <c r="K1949" s="33"/>
      <c r="L1949" s="57"/>
      <c r="M1949" s="58"/>
      <c r="N1949" s="56"/>
      <c r="O1949" s="58"/>
      <c r="P1949" s="62"/>
      <c r="Q1949" s="33"/>
      <c r="R1949" s="33"/>
      <c r="S1949" s="61"/>
      <c r="T1949" s="33"/>
      <c r="U1949" s="62"/>
      <c r="W1949" s="61"/>
      <c r="X1949" s="62"/>
      <c r="AD1949" s="58"/>
      <c r="AG1949" s="64"/>
    </row>
    <row r="1950" spans="2:33" ht="16">
      <c r="B1950" s="67" t="str">
        <f t="shared" si="8"/>
        <v/>
      </c>
      <c r="C1950" s="33"/>
      <c r="D1950" s="33"/>
      <c r="E1950" s="33"/>
      <c r="F1950" s="56"/>
      <c r="G1950" s="33"/>
      <c r="H1950" s="33"/>
      <c r="I1950" s="33"/>
      <c r="J1950" s="57"/>
      <c r="K1950" s="33"/>
      <c r="L1950" s="57"/>
      <c r="M1950" s="64"/>
      <c r="N1950" s="56"/>
      <c r="O1950" s="64"/>
      <c r="P1950" s="62"/>
      <c r="Q1950" s="33"/>
      <c r="R1950" s="33"/>
      <c r="S1950" s="61"/>
      <c r="T1950" s="33"/>
      <c r="U1950" s="62"/>
      <c r="W1950" s="61"/>
      <c r="X1950" s="62"/>
      <c r="AD1950" s="64"/>
      <c r="AG1950" s="64"/>
    </row>
    <row r="1951" spans="2:33" ht="16">
      <c r="B1951" s="67" t="str">
        <f t="shared" si="8"/>
        <v/>
      </c>
      <c r="C1951" s="33"/>
      <c r="D1951" s="33"/>
      <c r="E1951" s="33"/>
      <c r="F1951" s="56"/>
      <c r="G1951" s="33"/>
      <c r="H1951" s="33"/>
      <c r="I1951" s="33"/>
      <c r="J1951" s="57"/>
      <c r="K1951" s="33"/>
      <c r="L1951" s="57"/>
      <c r="M1951" s="64"/>
      <c r="N1951" s="56"/>
      <c r="O1951" s="64"/>
      <c r="P1951" s="62"/>
      <c r="Q1951" s="33"/>
      <c r="R1951" s="33"/>
      <c r="S1951" s="61"/>
      <c r="T1951" s="33"/>
      <c r="U1951" s="62"/>
      <c r="W1951" s="61"/>
      <c r="X1951" s="62"/>
      <c r="AD1951" s="64"/>
      <c r="AG1951" s="58"/>
    </row>
    <row r="1952" spans="2:33" ht="16">
      <c r="B1952" s="67" t="str">
        <f t="shared" si="8"/>
        <v/>
      </c>
      <c r="C1952" s="64"/>
      <c r="D1952" s="33"/>
      <c r="E1952" s="33"/>
      <c r="F1952" s="56"/>
      <c r="G1952" s="33"/>
      <c r="H1952" s="33"/>
      <c r="I1952" s="33"/>
      <c r="J1952" s="57"/>
      <c r="K1952" s="33"/>
      <c r="L1952" s="57"/>
      <c r="M1952" s="64"/>
      <c r="N1952" s="56"/>
      <c r="O1952" s="64"/>
      <c r="P1952" s="62"/>
      <c r="Q1952" s="33"/>
      <c r="R1952" s="33"/>
      <c r="S1952" s="61"/>
      <c r="T1952" s="33"/>
      <c r="U1952" s="62"/>
      <c r="W1952" s="61"/>
      <c r="X1952" s="62"/>
      <c r="AD1952" s="64"/>
      <c r="AG1952" s="64"/>
    </row>
    <row r="1953" spans="2:33" ht="16">
      <c r="B1953" s="67" t="str">
        <f t="shared" si="8"/>
        <v/>
      </c>
      <c r="C1953" s="33"/>
      <c r="D1953" s="33"/>
      <c r="E1953" s="33"/>
      <c r="F1953" s="56"/>
      <c r="G1953" s="33"/>
      <c r="H1953" s="33"/>
      <c r="I1953" s="33"/>
      <c r="J1953" s="57"/>
      <c r="K1953" s="33"/>
      <c r="L1953" s="57"/>
      <c r="M1953" s="64"/>
      <c r="N1953" s="56"/>
      <c r="O1953" s="64"/>
      <c r="P1953" s="62"/>
      <c r="Q1953" s="33"/>
      <c r="R1953" s="33"/>
      <c r="S1953" s="61"/>
      <c r="T1953" s="33"/>
      <c r="U1953" s="62"/>
      <c r="W1953" s="61"/>
      <c r="X1953" s="62"/>
      <c r="AD1953" s="58"/>
      <c r="AG1953" s="64"/>
    </row>
    <row r="1954" spans="2:33" ht="16">
      <c r="B1954" s="67" t="str">
        <f t="shared" si="8"/>
        <v/>
      </c>
      <c r="C1954" s="33"/>
      <c r="D1954" s="33"/>
      <c r="E1954" s="33"/>
      <c r="F1954" s="56"/>
      <c r="G1954" s="33"/>
      <c r="H1954" s="33"/>
      <c r="I1954" s="33"/>
      <c r="J1954" s="57"/>
      <c r="K1954" s="33"/>
      <c r="L1954" s="57"/>
      <c r="M1954" s="64"/>
      <c r="N1954" s="56"/>
      <c r="O1954" s="64"/>
      <c r="P1954" s="62"/>
      <c r="Q1954" s="33"/>
      <c r="R1954" s="33"/>
      <c r="S1954" s="61"/>
      <c r="T1954" s="33"/>
      <c r="U1954" s="62"/>
      <c r="W1954" s="61"/>
      <c r="X1954" s="62"/>
      <c r="AD1954" s="64"/>
      <c r="AG1954" s="58"/>
    </row>
    <row r="1955" spans="2:33" ht="16">
      <c r="B1955" s="67" t="str">
        <f t="shared" si="8"/>
        <v/>
      </c>
      <c r="C1955" s="33"/>
      <c r="D1955" s="33"/>
      <c r="E1955" s="33"/>
      <c r="F1955" s="56"/>
      <c r="G1955" s="33"/>
      <c r="H1955" s="33"/>
      <c r="I1955" s="33"/>
      <c r="J1955" s="57"/>
      <c r="K1955" s="33"/>
      <c r="L1955" s="57"/>
      <c r="M1955" s="64"/>
      <c r="N1955" s="56"/>
      <c r="O1955" s="64"/>
      <c r="P1955" s="62"/>
      <c r="Q1955" s="33"/>
      <c r="R1955" s="33"/>
      <c r="S1955" s="61"/>
      <c r="T1955" s="33"/>
      <c r="U1955" s="62"/>
      <c r="W1955" s="61"/>
      <c r="X1955" s="62"/>
      <c r="AD1955" s="64"/>
      <c r="AG1955" s="64"/>
    </row>
    <row r="1956" spans="2:33" ht="16">
      <c r="B1956" s="67" t="str">
        <f t="shared" si="8"/>
        <v/>
      </c>
      <c r="C1956" s="33"/>
      <c r="D1956" s="33"/>
      <c r="E1956" s="33"/>
      <c r="F1956" s="56"/>
      <c r="G1956" s="33"/>
      <c r="H1956" s="33"/>
      <c r="I1956" s="33"/>
      <c r="J1956" s="57"/>
      <c r="K1956" s="33"/>
      <c r="L1956" s="57"/>
      <c r="M1956" s="64"/>
      <c r="N1956" s="56"/>
      <c r="O1956" s="64"/>
      <c r="P1956" s="62"/>
      <c r="Q1956" s="33"/>
      <c r="R1956" s="33"/>
      <c r="S1956" s="61"/>
      <c r="T1956" s="33"/>
      <c r="U1956" s="62"/>
      <c r="W1956" s="61"/>
      <c r="X1956" s="62"/>
      <c r="AD1956" s="64"/>
      <c r="AG1956" s="64"/>
    </row>
    <row r="1957" spans="2:33" ht="16">
      <c r="B1957" s="67" t="str">
        <f t="shared" si="8"/>
        <v/>
      </c>
      <c r="C1957" s="33"/>
      <c r="D1957" s="33"/>
      <c r="E1957" s="33"/>
      <c r="F1957" s="56"/>
      <c r="G1957" s="33"/>
      <c r="H1957" s="33"/>
      <c r="I1957" s="33"/>
      <c r="J1957" s="57"/>
      <c r="K1957" s="33"/>
      <c r="L1957" s="57"/>
      <c r="M1957" s="58"/>
      <c r="N1957" s="56"/>
      <c r="O1957" s="64"/>
      <c r="P1957" s="62"/>
      <c r="Q1957" s="33"/>
      <c r="R1957" s="33"/>
      <c r="S1957" s="61"/>
      <c r="T1957" s="33"/>
      <c r="U1957" s="62"/>
      <c r="W1957" s="61"/>
      <c r="X1957" s="62"/>
      <c r="AD1957" s="58"/>
      <c r="AG1957" s="64"/>
    </row>
    <row r="1958" spans="2:33" ht="16">
      <c r="B1958" s="67" t="str">
        <f t="shared" si="8"/>
        <v/>
      </c>
      <c r="C1958" s="33"/>
      <c r="D1958" s="33"/>
      <c r="E1958" s="33"/>
      <c r="F1958" s="56"/>
      <c r="G1958" s="33"/>
      <c r="H1958" s="33"/>
      <c r="I1958" s="33"/>
      <c r="J1958" s="57"/>
      <c r="K1958" s="33"/>
      <c r="L1958" s="57"/>
      <c r="M1958" s="64"/>
      <c r="N1958" s="56"/>
      <c r="O1958" s="64"/>
      <c r="P1958" s="62"/>
      <c r="Q1958" s="33"/>
      <c r="R1958" s="33"/>
      <c r="S1958" s="61"/>
      <c r="T1958" s="33"/>
      <c r="U1958" s="62"/>
      <c r="W1958" s="61"/>
      <c r="X1958" s="62"/>
      <c r="AD1958" s="64"/>
      <c r="AG1958" s="64"/>
    </row>
    <row r="1959" spans="2:33" ht="16">
      <c r="B1959" s="67" t="str">
        <f t="shared" si="8"/>
        <v/>
      </c>
      <c r="C1959" s="33"/>
      <c r="D1959" s="33"/>
      <c r="E1959" s="33"/>
      <c r="F1959" s="56"/>
      <c r="G1959" s="33"/>
      <c r="H1959" s="33"/>
      <c r="I1959" s="33"/>
      <c r="J1959" s="57"/>
      <c r="K1959" s="33"/>
      <c r="L1959" s="57"/>
      <c r="M1959" s="58"/>
      <c r="N1959" s="56"/>
      <c r="O1959" s="58"/>
      <c r="P1959" s="62"/>
      <c r="Q1959" s="33"/>
      <c r="R1959" s="33"/>
      <c r="S1959" s="61"/>
      <c r="T1959" s="33"/>
      <c r="U1959" s="62"/>
      <c r="W1959" s="61"/>
      <c r="X1959" s="62"/>
      <c r="AD1959" s="58"/>
      <c r="AG1959" s="64"/>
    </row>
    <row r="1960" spans="2:33" ht="16">
      <c r="B1960" s="67" t="str">
        <f t="shared" si="8"/>
        <v/>
      </c>
      <c r="C1960" s="33"/>
      <c r="D1960" s="33"/>
      <c r="E1960" s="33"/>
      <c r="F1960" s="56"/>
      <c r="G1960" s="33"/>
      <c r="H1960" s="33"/>
      <c r="I1960" s="33"/>
      <c r="J1960" s="57"/>
      <c r="K1960" s="33"/>
      <c r="L1960" s="57"/>
      <c r="M1960" s="64"/>
      <c r="N1960" s="56"/>
      <c r="O1960" s="64"/>
      <c r="P1960" s="62"/>
      <c r="Q1960" s="33"/>
      <c r="R1960" s="33"/>
      <c r="S1960" s="61"/>
      <c r="T1960" s="33"/>
      <c r="U1960" s="62"/>
      <c r="W1960" s="61"/>
      <c r="X1960" s="62"/>
      <c r="AD1960" s="64"/>
      <c r="AG1960" s="64"/>
    </row>
    <row r="1961" spans="2:33" ht="16">
      <c r="B1961" s="67" t="str">
        <f t="shared" si="8"/>
        <v/>
      </c>
      <c r="C1961" s="33"/>
      <c r="D1961" s="33"/>
      <c r="E1961" s="33"/>
      <c r="F1961" s="56"/>
      <c r="G1961" s="33"/>
      <c r="H1961" s="33"/>
      <c r="I1961" s="33"/>
      <c r="J1961" s="57"/>
      <c r="K1961" s="33"/>
      <c r="L1961" s="57"/>
      <c r="M1961" s="64"/>
      <c r="N1961" s="56"/>
      <c r="O1961" s="64"/>
      <c r="P1961" s="62"/>
      <c r="Q1961" s="33"/>
      <c r="R1961" s="33"/>
      <c r="S1961" s="61"/>
      <c r="T1961" s="33"/>
      <c r="U1961" s="62"/>
      <c r="W1961" s="61"/>
      <c r="X1961" s="62"/>
      <c r="AD1961" s="64"/>
      <c r="AG1961" s="58"/>
    </row>
    <row r="1962" spans="2:33" ht="16">
      <c r="B1962" s="67" t="str">
        <f t="shared" si="8"/>
        <v/>
      </c>
      <c r="C1962" s="33"/>
      <c r="D1962" s="33"/>
      <c r="E1962" s="33"/>
      <c r="F1962" s="56"/>
      <c r="G1962" s="33"/>
      <c r="H1962" s="33"/>
      <c r="I1962" s="33"/>
      <c r="J1962" s="57"/>
      <c r="K1962" s="33"/>
      <c r="L1962" s="57"/>
      <c r="M1962" s="64"/>
      <c r="N1962" s="56"/>
      <c r="O1962" s="64"/>
      <c r="P1962" s="62"/>
      <c r="Q1962" s="33"/>
      <c r="R1962" s="33"/>
      <c r="S1962" s="61"/>
      <c r="T1962" s="33"/>
      <c r="U1962" s="62"/>
      <c r="W1962" s="61"/>
      <c r="X1962" s="62"/>
      <c r="AD1962" s="64"/>
      <c r="AG1962" s="64"/>
    </row>
    <row r="1963" spans="2:33" ht="16">
      <c r="B1963" s="67" t="str">
        <f t="shared" si="8"/>
        <v/>
      </c>
      <c r="C1963" s="33"/>
      <c r="D1963" s="33"/>
      <c r="E1963" s="33"/>
      <c r="F1963" s="56"/>
      <c r="G1963" s="33"/>
      <c r="H1963" s="33"/>
      <c r="I1963" s="33"/>
      <c r="J1963" s="57"/>
      <c r="K1963" s="33"/>
      <c r="L1963" s="57"/>
      <c r="M1963" s="64"/>
      <c r="N1963" s="56"/>
      <c r="O1963" s="64"/>
      <c r="P1963" s="62"/>
      <c r="Q1963" s="33"/>
      <c r="R1963" s="33"/>
      <c r="S1963" s="61"/>
      <c r="T1963" s="33"/>
      <c r="U1963" s="62"/>
      <c r="W1963" s="61"/>
      <c r="X1963" s="62"/>
      <c r="AD1963" s="58"/>
      <c r="AG1963" s="64"/>
    </row>
    <row r="1964" spans="2:33" ht="16">
      <c r="B1964" s="67" t="str">
        <f t="shared" si="8"/>
        <v/>
      </c>
      <c r="C1964" s="33"/>
      <c r="D1964" s="33"/>
      <c r="E1964" s="33"/>
      <c r="F1964" s="56"/>
      <c r="G1964" s="33"/>
      <c r="H1964" s="33"/>
      <c r="I1964" s="33"/>
      <c r="J1964" s="57"/>
      <c r="K1964" s="33"/>
      <c r="L1964" s="57"/>
      <c r="M1964" s="64"/>
      <c r="N1964" s="56"/>
      <c r="O1964" s="64"/>
      <c r="P1964" s="62"/>
      <c r="Q1964" s="33"/>
      <c r="R1964" s="33"/>
      <c r="S1964" s="61"/>
      <c r="T1964" s="33"/>
      <c r="U1964" s="62"/>
      <c r="W1964" s="61"/>
      <c r="X1964" s="62"/>
      <c r="AD1964" s="64"/>
      <c r="AG1964" s="64"/>
    </row>
    <row r="1965" spans="2:33" ht="16">
      <c r="B1965" s="67" t="str">
        <f t="shared" si="8"/>
        <v/>
      </c>
      <c r="C1965" s="33"/>
      <c r="D1965" s="33"/>
      <c r="E1965" s="33"/>
      <c r="F1965" s="56"/>
      <c r="G1965" s="33"/>
      <c r="H1965" s="33"/>
      <c r="I1965" s="33"/>
      <c r="J1965" s="57"/>
      <c r="K1965" s="33"/>
      <c r="L1965" s="57"/>
      <c r="M1965" s="64"/>
      <c r="N1965" s="56"/>
      <c r="O1965" s="64"/>
      <c r="P1965" s="62"/>
      <c r="Q1965" s="33"/>
      <c r="R1965" s="33"/>
      <c r="S1965" s="61"/>
      <c r="T1965" s="33"/>
      <c r="U1965" s="62"/>
      <c r="W1965" s="61"/>
      <c r="X1965" s="62"/>
      <c r="AD1965" s="64"/>
      <c r="AG1965" s="58"/>
    </row>
    <row r="1966" spans="2:33" ht="16">
      <c r="B1966" s="67" t="str">
        <f t="shared" si="8"/>
        <v/>
      </c>
      <c r="C1966" s="33"/>
      <c r="D1966" s="33"/>
      <c r="E1966" s="33"/>
      <c r="F1966" s="56"/>
      <c r="G1966" s="33"/>
      <c r="H1966" s="33"/>
      <c r="I1966" s="33"/>
      <c r="J1966" s="57"/>
      <c r="K1966" s="33"/>
      <c r="L1966" s="57"/>
      <c r="M1966" s="64"/>
      <c r="N1966" s="56"/>
      <c r="O1966" s="64"/>
      <c r="P1966" s="62"/>
      <c r="Q1966" s="33"/>
      <c r="R1966" s="33"/>
      <c r="S1966" s="61"/>
      <c r="T1966" s="33"/>
      <c r="U1966" s="62"/>
      <c r="W1966" s="61"/>
      <c r="X1966" s="62"/>
      <c r="AD1966" s="64"/>
      <c r="AG1966" s="58"/>
    </row>
    <row r="1967" spans="2:33" ht="16">
      <c r="B1967" s="67" t="str">
        <f t="shared" si="8"/>
        <v/>
      </c>
      <c r="C1967" s="33"/>
      <c r="D1967" s="33"/>
      <c r="E1967" s="33"/>
      <c r="F1967" s="56"/>
      <c r="G1967" s="33"/>
      <c r="H1967" s="33"/>
      <c r="I1967" s="33"/>
      <c r="J1967" s="57"/>
      <c r="K1967" s="33"/>
      <c r="L1967" s="57"/>
      <c r="M1967" s="64"/>
      <c r="N1967" s="56"/>
      <c r="O1967" s="64"/>
      <c r="P1967" s="62"/>
      <c r="Q1967" s="33"/>
      <c r="R1967" s="33"/>
      <c r="S1967" s="61"/>
      <c r="T1967" s="33"/>
      <c r="U1967" s="62"/>
      <c r="W1967" s="61"/>
      <c r="X1967" s="62"/>
      <c r="AD1967" s="64"/>
      <c r="AG1967" s="64"/>
    </row>
    <row r="1968" spans="2:33" ht="16">
      <c r="B1968" s="67" t="str">
        <f t="shared" si="8"/>
        <v/>
      </c>
      <c r="C1968" s="33"/>
      <c r="D1968" s="33"/>
      <c r="E1968" s="33"/>
      <c r="F1968" s="56"/>
      <c r="G1968" s="33"/>
      <c r="H1968" s="33"/>
      <c r="I1968" s="33"/>
      <c r="J1968" s="57"/>
      <c r="K1968" s="33"/>
      <c r="L1968" s="57"/>
      <c r="M1968" s="58"/>
      <c r="N1968" s="56"/>
      <c r="O1968" s="64"/>
      <c r="P1968" s="62"/>
      <c r="Q1968" s="33"/>
      <c r="R1968" s="33"/>
      <c r="S1968" s="61"/>
      <c r="T1968" s="33"/>
      <c r="U1968" s="62"/>
      <c r="W1968" s="61"/>
      <c r="X1968" s="62"/>
      <c r="AD1968" s="58"/>
      <c r="AG1968" s="64"/>
    </row>
    <row r="1969" spans="2:33" ht="16">
      <c r="B1969" s="67" t="str">
        <f t="shared" si="8"/>
        <v/>
      </c>
      <c r="C1969" s="33"/>
      <c r="D1969" s="33"/>
      <c r="E1969" s="33"/>
      <c r="F1969" s="56"/>
      <c r="G1969" s="33"/>
      <c r="H1969" s="33"/>
      <c r="I1969" s="33"/>
      <c r="J1969" s="57"/>
      <c r="K1969" s="33"/>
      <c r="L1969" s="57"/>
      <c r="M1969" s="58"/>
      <c r="N1969" s="56"/>
      <c r="O1969" s="58"/>
      <c r="P1969" s="62"/>
      <c r="Q1969" s="33"/>
      <c r="R1969" s="33"/>
      <c r="S1969" s="61"/>
      <c r="T1969" s="33"/>
      <c r="U1969" s="62"/>
      <c r="W1969" s="61"/>
      <c r="X1969" s="62"/>
      <c r="AD1969" s="58"/>
      <c r="AG1969" s="64"/>
    </row>
    <row r="1970" spans="2:33" ht="16">
      <c r="B1970" s="67" t="str">
        <f t="shared" si="8"/>
        <v/>
      </c>
      <c r="C1970" s="33"/>
      <c r="D1970" s="33"/>
      <c r="E1970" s="33"/>
      <c r="F1970" s="56"/>
      <c r="G1970" s="33"/>
      <c r="H1970" s="33"/>
      <c r="I1970" s="33"/>
      <c r="J1970" s="57"/>
      <c r="K1970" s="33"/>
      <c r="L1970" s="57"/>
      <c r="M1970" s="64"/>
      <c r="N1970" s="56"/>
      <c r="O1970" s="64"/>
      <c r="P1970" s="62"/>
      <c r="Q1970" s="33"/>
      <c r="R1970" s="33"/>
      <c r="S1970" s="61"/>
      <c r="T1970" s="33"/>
      <c r="U1970" s="62"/>
      <c r="W1970" s="61"/>
      <c r="X1970" s="62"/>
      <c r="AD1970" s="64"/>
      <c r="AG1970" s="64"/>
    </row>
    <row r="1971" spans="2:33" ht="16">
      <c r="B1971" s="67" t="str">
        <f t="shared" si="8"/>
        <v/>
      </c>
      <c r="C1971" s="33"/>
      <c r="D1971" s="33"/>
      <c r="E1971" s="33"/>
      <c r="F1971" s="56"/>
      <c r="G1971" s="33"/>
      <c r="H1971" s="33"/>
      <c r="I1971" s="33"/>
      <c r="J1971" s="57"/>
      <c r="K1971" s="33"/>
      <c r="L1971" s="57"/>
      <c r="M1971" s="64"/>
      <c r="N1971" s="56"/>
      <c r="O1971" s="64"/>
      <c r="P1971" s="62"/>
      <c r="Q1971" s="33"/>
      <c r="R1971" s="33"/>
      <c r="S1971" s="61"/>
      <c r="T1971" s="33"/>
      <c r="U1971" s="62"/>
      <c r="W1971" s="61"/>
      <c r="X1971" s="62"/>
      <c r="AD1971" s="64"/>
      <c r="AG1971" s="64"/>
    </row>
    <row r="1972" spans="2:33" ht="16">
      <c r="B1972" s="67" t="str">
        <f t="shared" si="8"/>
        <v/>
      </c>
      <c r="C1972" s="33"/>
      <c r="D1972" s="33"/>
      <c r="E1972" s="33"/>
      <c r="F1972" s="56"/>
      <c r="G1972" s="33"/>
      <c r="H1972" s="33"/>
      <c r="I1972" s="33"/>
      <c r="J1972" s="57"/>
      <c r="K1972" s="33"/>
      <c r="L1972" s="57"/>
      <c r="M1972" s="64"/>
      <c r="N1972" s="56"/>
      <c r="O1972" s="64"/>
      <c r="P1972" s="62"/>
      <c r="Q1972" s="33"/>
      <c r="R1972" s="33"/>
      <c r="S1972" s="61"/>
      <c r="T1972" s="33"/>
      <c r="U1972" s="62"/>
      <c r="W1972" s="61"/>
      <c r="X1972" s="62"/>
      <c r="AD1972" s="64"/>
      <c r="AG1972" s="64"/>
    </row>
    <row r="1973" spans="2:33" ht="16">
      <c r="B1973" s="67" t="str">
        <f t="shared" si="8"/>
        <v/>
      </c>
      <c r="C1973" s="33"/>
      <c r="D1973" s="33"/>
      <c r="E1973" s="33"/>
      <c r="F1973" s="56"/>
      <c r="G1973" s="33"/>
      <c r="H1973" s="33"/>
      <c r="I1973" s="33"/>
      <c r="J1973" s="57"/>
      <c r="K1973" s="33"/>
      <c r="L1973" s="57"/>
      <c r="M1973" s="64"/>
      <c r="N1973" s="56"/>
      <c r="O1973" s="64"/>
      <c r="P1973" s="62"/>
      <c r="Q1973" s="33"/>
      <c r="R1973" s="33"/>
      <c r="S1973" s="61"/>
      <c r="T1973" s="33"/>
      <c r="U1973" s="62"/>
      <c r="W1973" s="61"/>
      <c r="X1973" s="62"/>
      <c r="AD1973" s="64"/>
      <c r="AG1973" s="64"/>
    </row>
    <row r="1974" spans="2:33" ht="16">
      <c r="B1974" s="67" t="str">
        <f t="shared" si="8"/>
        <v/>
      </c>
      <c r="C1974" s="33"/>
      <c r="D1974" s="33"/>
      <c r="E1974" s="33"/>
      <c r="F1974" s="56"/>
      <c r="G1974" s="33"/>
      <c r="H1974" s="33"/>
      <c r="I1974" s="33"/>
      <c r="J1974" s="57"/>
      <c r="K1974" s="33"/>
      <c r="L1974" s="57"/>
      <c r="M1974" s="64"/>
      <c r="N1974" s="56"/>
      <c r="O1974" s="64"/>
      <c r="P1974" s="62"/>
      <c r="Q1974" s="33"/>
      <c r="R1974" s="33"/>
      <c r="S1974" s="61"/>
      <c r="T1974" s="33"/>
      <c r="U1974" s="62"/>
      <c r="W1974" s="61"/>
      <c r="X1974" s="62"/>
      <c r="AD1974" s="64"/>
      <c r="AG1974" s="64"/>
    </row>
    <row r="1975" spans="2:33" ht="16">
      <c r="B1975" s="67" t="str">
        <f t="shared" si="8"/>
        <v/>
      </c>
      <c r="C1975" s="33"/>
      <c r="D1975" s="33"/>
      <c r="E1975" s="33"/>
      <c r="F1975" s="56"/>
      <c r="G1975" s="33"/>
      <c r="H1975" s="33"/>
      <c r="I1975" s="33"/>
      <c r="J1975" s="57"/>
      <c r="K1975" s="33"/>
      <c r="L1975" s="57"/>
      <c r="M1975" s="64"/>
      <c r="N1975" s="56"/>
      <c r="O1975" s="64"/>
      <c r="P1975" s="62"/>
      <c r="Q1975" s="33"/>
      <c r="R1975" s="33"/>
      <c r="S1975" s="61"/>
      <c r="T1975" s="33"/>
      <c r="U1975" s="62"/>
      <c r="W1975" s="61"/>
      <c r="X1975" s="62"/>
      <c r="AD1975" s="64"/>
      <c r="AG1975" s="64"/>
    </row>
    <row r="1976" spans="2:33" ht="16">
      <c r="B1976" s="67" t="str">
        <f t="shared" si="8"/>
        <v/>
      </c>
      <c r="C1976" s="33"/>
      <c r="D1976" s="33"/>
      <c r="E1976" s="33"/>
      <c r="F1976" s="56"/>
      <c r="G1976" s="33"/>
      <c r="H1976" s="33"/>
      <c r="I1976" s="33"/>
      <c r="J1976" s="57"/>
      <c r="K1976" s="33"/>
      <c r="L1976" s="57"/>
      <c r="M1976" s="64"/>
      <c r="N1976" s="56"/>
      <c r="O1976" s="64"/>
      <c r="P1976" s="62"/>
      <c r="Q1976" s="33"/>
      <c r="R1976" s="33"/>
      <c r="S1976" s="61"/>
      <c r="T1976" s="33"/>
      <c r="U1976" s="62"/>
      <c r="W1976" s="61"/>
      <c r="X1976" s="62"/>
      <c r="AD1976" s="64"/>
      <c r="AG1976" s="58"/>
    </row>
    <row r="1977" spans="2:33" ht="16">
      <c r="B1977" s="67" t="str">
        <f t="shared" si="8"/>
        <v/>
      </c>
      <c r="C1977" s="33"/>
      <c r="D1977" s="33"/>
      <c r="E1977" s="33"/>
      <c r="F1977" s="56"/>
      <c r="G1977" s="33"/>
      <c r="H1977" s="33"/>
      <c r="I1977" s="33"/>
      <c r="J1977" s="57"/>
      <c r="K1977" s="33"/>
      <c r="L1977" s="57"/>
      <c r="M1977" s="58"/>
      <c r="N1977" s="56"/>
      <c r="O1977" s="58"/>
      <c r="P1977" s="62"/>
      <c r="Q1977" s="33"/>
      <c r="R1977" s="33"/>
      <c r="S1977" s="61"/>
      <c r="T1977" s="33"/>
      <c r="U1977" s="62"/>
      <c r="W1977" s="61"/>
      <c r="X1977" s="62"/>
      <c r="AD1977" s="58"/>
      <c r="AG1977" s="64"/>
    </row>
    <row r="1978" spans="2:33" ht="16">
      <c r="B1978" s="67" t="str">
        <f t="shared" si="8"/>
        <v/>
      </c>
      <c r="C1978" s="33"/>
      <c r="D1978" s="33"/>
      <c r="E1978" s="33"/>
      <c r="F1978" s="56"/>
      <c r="G1978" s="33"/>
      <c r="H1978" s="33"/>
      <c r="I1978" s="33"/>
      <c r="J1978" s="57"/>
      <c r="K1978" s="33"/>
      <c r="L1978" s="57"/>
      <c r="M1978" s="64"/>
      <c r="N1978" s="56"/>
      <c r="O1978" s="64"/>
      <c r="P1978" s="62"/>
      <c r="Q1978" s="33"/>
      <c r="R1978" s="33"/>
      <c r="S1978" s="61"/>
      <c r="T1978" s="33"/>
      <c r="U1978" s="62"/>
      <c r="W1978" s="61"/>
      <c r="X1978" s="62"/>
      <c r="AD1978" s="64"/>
      <c r="AG1978" s="64"/>
    </row>
    <row r="1979" spans="2:33" ht="16">
      <c r="B1979" s="67" t="str">
        <f t="shared" si="8"/>
        <v/>
      </c>
      <c r="C1979" s="33"/>
      <c r="D1979" s="33"/>
      <c r="E1979" s="33"/>
      <c r="F1979" s="56"/>
      <c r="G1979" s="33"/>
      <c r="H1979" s="33"/>
      <c r="I1979" s="33"/>
      <c r="J1979" s="57"/>
      <c r="K1979" s="33"/>
      <c r="L1979" s="57"/>
      <c r="M1979" s="64"/>
      <c r="N1979" s="56"/>
      <c r="O1979" s="64"/>
      <c r="P1979" s="62"/>
      <c r="Q1979" s="33"/>
      <c r="R1979" s="33"/>
      <c r="S1979" s="61"/>
      <c r="T1979" s="33"/>
      <c r="U1979" s="62"/>
      <c r="W1979" s="61"/>
      <c r="X1979" s="62"/>
      <c r="AD1979" s="64"/>
      <c r="AG1979" s="58"/>
    </row>
    <row r="1980" spans="2:33" ht="16">
      <c r="B1980" s="67" t="str">
        <f t="shared" si="8"/>
        <v/>
      </c>
      <c r="C1980" s="33"/>
      <c r="D1980" s="33"/>
      <c r="E1980" s="33"/>
      <c r="F1980" s="56"/>
      <c r="G1980" s="33"/>
      <c r="H1980" s="33"/>
      <c r="I1980" s="33"/>
      <c r="J1980" s="57"/>
      <c r="K1980" s="33"/>
      <c r="L1980" s="57"/>
      <c r="M1980" s="58"/>
      <c r="N1980" s="56"/>
      <c r="O1980" s="64"/>
      <c r="P1980" s="62"/>
      <c r="Q1980" s="33"/>
      <c r="R1980" s="33"/>
      <c r="S1980" s="61"/>
      <c r="T1980" s="33"/>
      <c r="U1980" s="62"/>
      <c r="W1980" s="61"/>
      <c r="X1980" s="62"/>
      <c r="AD1980" s="58"/>
      <c r="AG1980" s="64"/>
    </row>
    <row r="1981" spans="2:33" ht="16">
      <c r="B1981" s="67" t="str">
        <f t="shared" si="8"/>
        <v/>
      </c>
      <c r="C1981" s="33"/>
      <c r="D1981" s="33"/>
      <c r="E1981" s="33"/>
      <c r="F1981" s="56"/>
      <c r="G1981" s="33"/>
      <c r="H1981" s="33"/>
      <c r="I1981" s="33"/>
      <c r="J1981" s="57"/>
      <c r="K1981" s="33"/>
      <c r="L1981" s="57"/>
      <c r="M1981" s="64"/>
      <c r="N1981" s="56"/>
      <c r="O1981" s="58"/>
      <c r="P1981" s="62"/>
      <c r="Q1981" s="33"/>
      <c r="R1981" s="33"/>
      <c r="S1981" s="61"/>
      <c r="T1981" s="33"/>
      <c r="U1981" s="62"/>
      <c r="W1981" s="61"/>
      <c r="X1981" s="62"/>
      <c r="AD1981" s="58"/>
      <c r="AG1981" s="64"/>
    </row>
    <row r="1982" spans="2:33" ht="16">
      <c r="B1982" s="67" t="str">
        <f t="shared" si="8"/>
        <v/>
      </c>
      <c r="C1982" s="33"/>
      <c r="D1982" s="33"/>
      <c r="E1982" s="33"/>
      <c r="F1982" s="56"/>
      <c r="G1982" s="33"/>
      <c r="H1982" s="33"/>
      <c r="I1982" s="33"/>
      <c r="J1982" s="57"/>
      <c r="K1982" s="33"/>
      <c r="L1982" s="57"/>
      <c r="M1982" s="64"/>
      <c r="N1982" s="56"/>
      <c r="O1982" s="64"/>
      <c r="P1982" s="62"/>
      <c r="Q1982" s="33"/>
      <c r="R1982" s="33"/>
      <c r="S1982" s="61"/>
      <c r="T1982" s="33"/>
      <c r="U1982" s="62"/>
      <c r="W1982" s="61"/>
      <c r="X1982" s="62"/>
      <c r="AD1982" s="64"/>
      <c r="AG1982" s="64"/>
    </row>
    <row r="1983" spans="2:33" ht="16">
      <c r="B1983" s="67" t="str">
        <f t="shared" si="8"/>
        <v/>
      </c>
      <c r="C1983" s="33"/>
      <c r="D1983" s="33"/>
      <c r="E1983" s="33"/>
      <c r="F1983" s="56"/>
      <c r="G1983" s="33"/>
      <c r="H1983" s="33"/>
      <c r="I1983" s="33"/>
      <c r="J1983" s="57"/>
      <c r="K1983" s="33"/>
      <c r="L1983" s="57"/>
      <c r="M1983" s="64"/>
      <c r="N1983" s="56"/>
      <c r="O1983" s="64"/>
      <c r="P1983" s="62"/>
      <c r="Q1983" s="33"/>
      <c r="R1983" s="33"/>
      <c r="S1983" s="61"/>
      <c r="T1983" s="33"/>
      <c r="U1983" s="62"/>
      <c r="W1983" s="61"/>
      <c r="X1983" s="62"/>
      <c r="AD1983" s="64"/>
      <c r="AG1983" s="64"/>
    </row>
    <row r="1984" spans="2:33" ht="16">
      <c r="B1984" s="67" t="str">
        <f t="shared" si="8"/>
        <v/>
      </c>
      <c r="C1984" s="33"/>
      <c r="D1984" s="33"/>
      <c r="E1984" s="33"/>
      <c r="F1984" s="56"/>
      <c r="G1984" s="33"/>
      <c r="H1984" s="33"/>
      <c r="I1984" s="33"/>
      <c r="J1984" s="57"/>
      <c r="K1984" s="33"/>
      <c r="L1984" s="57"/>
      <c r="M1984" s="64"/>
      <c r="N1984" s="56"/>
      <c r="O1984" s="64"/>
      <c r="P1984" s="62"/>
      <c r="Q1984" s="33"/>
      <c r="R1984" s="33"/>
      <c r="S1984" s="61"/>
      <c r="T1984" s="33"/>
      <c r="U1984" s="62"/>
      <c r="W1984" s="61"/>
      <c r="X1984" s="62"/>
      <c r="AD1984" s="64"/>
      <c r="AG1984" s="64"/>
    </row>
    <row r="1985" spans="2:33" ht="16">
      <c r="B1985" s="67" t="str">
        <f t="shared" si="8"/>
        <v/>
      </c>
      <c r="C1985" s="33"/>
      <c r="D1985" s="33"/>
      <c r="E1985" s="33"/>
      <c r="F1985" s="56"/>
      <c r="G1985" s="33"/>
      <c r="H1985" s="33"/>
      <c r="I1985" s="33"/>
      <c r="J1985" s="57"/>
      <c r="K1985" s="33"/>
      <c r="L1985" s="57"/>
      <c r="M1985" s="64"/>
      <c r="N1985" s="56"/>
      <c r="O1985" s="64"/>
      <c r="P1985" s="62"/>
      <c r="Q1985" s="33"/>
      <c r="R1985" s="33"/>
      <c r="S1985" s="61"/>
      <c r="T1985" s="33"/>
      <c r="U1985" s="62"/>
      <c r="W1985" s="61"/>
      <c r="X1985" s="62"/>
      <c r="AD1985" s="64"/>
      <c r="AG1985" s="58"/>
    </row>
    <row r="1986" spans="2:33" ht="16">
      <c r="B1986" s="67" t="str">
        <f t="shared" si="8"/>
        <v/>
      </c>
      <c r="C1986" s="33"/>
      <c r="D1986" s="33"/>
      <c r="E1986" s="33"/>
      <c r="F1986" s="56"/>
      <c r="G1986" s="33"/>
      <c r="H1986" s="33"/>
      <c r="I1986" s="33"/>
      <c r="J1986" s="57"/>
      <c r="K1986" s="33"/>
      <c r="L1986" s="57"/>
      <c r="M1986" s="64"/>
      <c r="N1986" s="56"/>
      <c r="O1986" s="64"/>
      <c r="P1986" s="62"/>
      <c r="Q1986" s="33"/>
      <c r="R1986" s="33"/>
      <c r="S1986" s="61"/>
      <c r="T1986" s="33"/>
      <c r="U1986" s="62"/>
      <c r="W1986" s="61"/>
      <c r="X1986" s="62"/>
      <c r="AD1986" s="64"/>
      <c r="AG1986" s="64"/>
    </row>
    <row r="1987" spans="2:33" ht="16">
      <c r="B1987" s="67" t="str">
        <f t="shared" si="8"/>
        <v/>
      </c>
      <c r="C1987" s="33"/>
      <c r="D1987" s="33"/>
      <c r="E1987" s="33"/>
      <c r="F1987" s="56"/>
      <c r="G1987" s="33"/>
      <c r="H1987" s="33"/>
      <c r="I1987" s="33"/>
      <c r="J1987" s="57"/>
      <c r="K1987" s="33"/>
      <c r="L1987" s="57"/>
      <c r="M1987" s="64"/>
      <c r="N1987" s="56"/>
      <c r="O1987" s="64"/>
      <c r="P1987" s="62"/>
      <c r="Q1987" s="33"/>
      <c r="R1987" s="33"/>
      <c r="S1987" s="61"/>
      <c r="T1987" s="33"/>
      <c r="U1987" s="62"/>
      <c r="W1987" s="61"/>
      <c r="X1987" s="62"/>
      <c r="AD1987" s="64"/>
      <c r="AG1987" s="58"/>
    </row>
    <row r="1988" spans="2:33" ht="16">
      <c r="B1988" s="67" t="str">
        <f t="shared" si="8"/>
        <v/>
      </c>
      <c r="C1988" s="33"/>
      <c r="D1988" s="33"/>
      <c r="E1988" s="33"/>
      <c r="F1988" s="56"/>
      <c r="G1988" s="33"/>
      <c r="H1988" s="33"/>
      <c r="I1988" s="33"/>
      <c r="J1988" s="57"/>
      <c r="K1988" s="33"/>
      <c r="L1988" s="57"/>
      <c r="M1988" s="58"/>
      <c r="N1988" s="56"/>
      <c r="O1988" s="58"/>
      <c r="P1988" s="62"/>
      <c r="Q1988" s="33"/>
      <c r="R1988" s="33"/>
      <c r="S1988" s="61"/>
      <c r="T1988" s="33"/>
      <c r="U1988" s="62"/>
      <c r="W1988" s="61"/>
      <c r="X1988" s="62"/>
      <c r="AD1988" s="58"/>
      <c r="AG1988" s="64"/>
    </row>
    <row r="1989" spans="2:33" ht="16">
      <c r="B1989" s="67" t="str">
        <f t="shared" si="8"/>
        <v/>
      </c>
      <c r="C1989" s="33"/>
      <c r="D1989" s="33"/>
      <c r="E1989" s="33"/>
      <c r="F1989" s="56"/>
      <c r="G1989" s="33"/>
      <c r="H1989" s="33"/>
      <c r="I1989" s="33"/>
      <c r="J1989" s="57"/>
      <c r="K1989" s="33"/>
      <c r="L1989" s="57"/>
      <c r="M1989" s="64"/>
      <c r="N1989" s="56"/>
      <c r="O1989" s="64"/>
      <c r="P1989" s="62"/>
      <c r="Q1989" s="33"/>
      <c r="R1989" s="33"/>
      <c r="S1989" s="61"/>
      <c r="T1989" s="33"/>
      <c r="U1989" s="62"/>
      <c r="W1989" s="61"/>
      <c r="X1989" s="62"/>
      <c r="AD1989" s="64"/>
      <c r="AG1989" s="64"/>
    </row>
    <row r="1990" spans="2:33" ht="16">
      <c r="B1990" s="67" t="str">
        <f t="shared" si="8"/>
        <v/>
      </c>
      <c r="C1990" s="33"/>
      <c r="D1990" s="33"/>
      <c r="E1990" s="33"/>
      <c r="F1990" s="56"/>
      <c r="G1990" s="33"/>
      <c r="H1990" s="33"/>
      <c r="I1990" s="33"/>
      <c r="J1990" s="57"/>
      <c r="K1990" s="33"/>
      <c r="L1990" s="57"/>
      <c r="M1990" s="58"/>
      <c r="N1990" s="56"/>
      <c r="O1990" s="58"/>
      <c r="P1990" s="62"/>
      <c r="Q1990" s="33"/>
      <c r="R1990" s="33"/>
      <c r="S1990" s="61"/>
      <c r="T1990" s="33"/>
      <c r="U1990" s="62"/>
      <c r="W1990" s="61"/>
      <c r="X1990" s="62"/>
      <c r="AD1990" s="58"/>
      <c r="AG1990" s="64"/>
    </row>
    <row r="1991" spans="2:33" ht="16">
      <c r="B1991" s="67" t="str">
        <f t="shared" si="8"/>
        <v/>
      </c>
      <c r="C1991" s="33"/>
      <c r="D1991" s="33"/>
      <c r="E1991" s="33"/>
      <c r="F1991" s="56"/>
      <c r="G1991" s="33"/>
      <c r="H1991" s="33"/>
      <c r="I1991" s="33"/>
      <c r="J1991" s="57"/>
      <c r="K1991" s="33"/>
      <c r="L1991" s="57"/>
      <c r="M1991" s="64"/>
      <c r="N1991" s="56"/>
      <c r="O1991" s="64"/>
      <c r="P1991" s="62"/>
      <c r="Q1991" s="33"/>
      <c r="R1991" s="33"/>
      <c r="S1991" s="61"/>
      <c r="T1991" s="33"/>
      <c r="U1991" s="62"/>
      <c r="W1991" s="61"/>
      <c r="X1991" s="62"/>
      <c r="AD1991" s="58"/>
      <c r="AG1991" s="64"/>
    </row>
    <row r="1992" spans="2:33" ht="16">
      <c r="B1992" s="67" t="str">
        <f t="shared" si="8"/>
        <v/>
      </c>
      <c r="C1992" s="33"/>
      <c r="D1992" s="33"/>
      <c r="E1992" s="33"/>
      <c r="F1992" s="56"/>
      <c r="G1992" s="33"/>
      <c r="H1992" s="33"/>
      <c r="I1992" s="33"/>
      <c r="J1992" s="57"/>
      <c r="K1992" s="33"/>
      <c r="L1992" s="57"/>
      <c r="M1992" s="64"/>
      <c r="N1992" s="56"/>
      <c r="O1992" s="64"/>
      <c r="P1992" s="62"/>
      <c r="Q1992" s="33"/>
      <c r="R1992" s="33"/>
      <c r="S1992" s="61"/>
      <c r="T1992" s="33"/>
      <c r="U1992" s="62"/>
      <c r="W1992" s="61"/>
      <c r="X1992" s="62"/>
      <c r="AD1992" s="64"/>
      <c r="AG1992" s="64"/>
    </row>
    <row r="1993" spans="2:33" ht="16">
      <c r="B1993" s="67" t="str">
        <f t="shared" si="8"/>
        <v/>
      </c>
      <c r="C1993" s="33"/>
      <c r="D1993" s="33"/>
      <c r="E1993" s="33"/>
      <c r="F1993" s="56"/>
      <c r="G1993" s="33"/>
      <c r="H1993" s="33"/>
      <c r="I1993" s="33"/>
      <c r="J1993" s="57"/>
      <c r="K1993" s="33"/>
      <c r="L1993" s="57"/>
      <c r="M1993" s="64"/>
      <c r="N1993" s="56"/>
      <c r="O1993" s="64"/>
      <c r="P1993" s="62"/>
      <c r="Q1993" s="33"/>
      <c r="R1993" s="33"/>
      <c r="S1993" s="61"/>
      <c r="T1993" s="33"/>
      <c r="U1993" s="62"/>
      <c r="W1993" s="61"/>
      <c r="X1993" s="62"/>
      <c r="AD1993" s="64"/>
      <c r="AG1993" s="64"/>
    </row>
    <row r="1994" spans="2:33" ht="16">
      <c r="B1994" s="67" t="str">
        <f t="shared" si="8"/>
        <v/>
      </c>
      <c r="C1994" s="33"/>
      <c r="D1994" s="33"/>
      <c r="E1994" s="33"/>
      <c r="F1994" s="56"/>
      <c r="G1994" s="33"/>
      <c r="H1994" s="33"/>
      <c r="I1994" s="33"/>
      <c r="J1994" s="57"/>
      <c r="K1994" s="33"/>
      <c r="L1994" s="57"/>
      <c r="M1994" s="64"/>
      <c r="N1994" s="56"/>
      <c r="O1994" s="64"/>
      <c r="P1994" s="62"/>
      <c r="Q1994" s="33"/>
      <c r="R1994" s="33"/>
      <c r="S1994" s="61"/>
      <c r="T1994" s="33"/>
      <c r="U1994" s="62"/>
      <c r="W1994" s="61"/>
      <c r="X1994" s="62"/>
      <c r="AD1994" s="64"/>
      <c r="AG1994" s="58"/>
    </row>
    <row r="1995" spans="2:33" ht="16">
      <c r="B1995" s="67" t="str">
        <f t="shared" si="8"/>
        <v/>
      </c>
      <c r="C1995" s="33"/>
      <c r="D1995" s="33"/>
      <c r="E1995" s="33"/>
      <c r="F1995" s="56"/>
      <c r="G1995" s="33"/>
      <c r="H1995" s="33"/>
      <c r="I1995" s="33"/>
      <c r="J1995" s="57"/>
      <c r="K1995" s="33"/>
      <c r="L1995" s="57"/>
      <c r="M1995" s="64"/>
      <c r="N1995" s="56"/>
      <c r="O1995" s="64"/>
      <c r="P1995" s="62"/>
      <c r="Q1995" s="33"/>
      <c r="R1995" s="33"/>
      <c r="S1995" s="61"/>
      <c r="T1995" s="33"/>
      <c r="U1995" s="62"/>
      <c r="W1995" s="61"/>
      <c r="X1995" s="62"/>
      <c r="AD1995" s="64"/>
      <c r="AG1995" s="64"/>
    </row>
    <row r="1996" spans="2:33" ht="16">
      <c r="B1996" s="67" t="str">
        <f t="shared" si="8"/>
        <v/>
      </c>
      <c r="C1996" s="33"/>
      <c r="D1996" s="33"/>
      <c r="E1996" s="33"/>
      <c r="F1996" s="56"/>
      <c r="G1996" s="33"/>
      <c r="H1996" s="33"/>
      <c r="I1996" s="33"/>
      <c r="J1996" s="57"/>
      <c r="K1996" s="33"/>
      <c r="L1996" s="57"/>
      <c r="M1996" s="64"/>
      <c r="N1996" s="56"/>
      <c r="O1996" s="64"/>
      <c r="P1996" s="62"/>
      <c r="Q1996" s="33"/>
      <c r="R1996" s="33"/>
      <c r="S1996" s="61"/>
      <c r="T1996" s="33"/>
      <c r="U1996" s="62"/>
      <c r="W1996" s="61"/>
      <c r="X1996" s="62"/>
      <c r="AD1996" s="64"/>
      <c r="AG1996" s="58"/>
    </row>
    <row r="1997" spans="2:33" ht="16">
      <c r="B1997" s="67" t="str">
        <f t="shared" si="8"/>
        <v/>
      </c>
      <c r="C1997" s="33"/>
      <c r="D1997" s="33"/>
      <c r="E1997" s="33"/>
      <c r="F1997" s="56"/>
      <c r="G1997" s="33"/>
      <c r="H1997" s="33"/>
      <c r="I1997" s="33"/>
      <c r="J1997" s="57"/>
      <c r="K1997" s="33"/>
      <c r="L1997" s="57"/>
      <c r="M1997" s="64"/>
      <c r="N1997" s="56"/>
      <c r="O1997" s="64"/>
      <c r="P1997" s="62"/>
      <c r="Q1997" s="33"/>
      <c r="R1997" s="33"/>
      <c r="S1997" s="61"/>
      <c r="T1997" s="33"/>
      <c r="U1997" s="62"/>
      <c r="W1997" s="61"/>
      <c r="X1997" s="62"/>
      <c r="AD1997" s="64"/>
      <c r="AG1997" s="64"/>
    </row>
    <row r="1998" spans="2:33" ht="16">
      <c r="B1998" s="67" t="str">
        <f t="shared" si="8"/>
        <v/>
      </c>
      <c r="C1998" s="33"/>
      <c r="D1998" s="33"/>
      <c r="E1998" s="33"/>
      <c r="F1998" s="56"/>
      <c r="G1998" s="33"/>
      <c r="H1998" s="33"/>
      <c r="I1998" s="33"/>
      <c r="J1998" s="57"/>
      <c r="K1998" s="33"/>
      <c r="L1998" s="57"/>
      <c r="M1998" s="58"/>
      <c r="N1998" s="56"/>
      <c r="O1998" s="58"/>
      <c r="P1998" s="62"/>
      <c r="Q1998" s="33"/>
      <c r="R1998" s="33"/>
      <c r="S1998" s="61"/>
      <c r="T1998" s="33"/>
      <c r="U1998" s="62"/>
      <c r="W1998" s="61"/>
      <c r="X1998" s="62"/>
      <c r="AD1998" s="58"/>
      <c r="AG1998" s="58"/>
    </row>
    <row r="1999" spans="2:33" ht="16">
      <c r="B1999" s="67" t="str">
        <f t="shared" si="8"/>
        <v/>
      </c>
      <c r="C1999" s="33"/>
      <c r="D1999" s="33"/>
      <c r="E1999" s="33"/>
      <c r="F1999" s="56"/>
      <c r="G1999" s="33"/>
      <c r="H1999" s="33"/>
      <c r="I1999" s="33"/>
      <c r="J1999" s="57"/>
      <c r="K1999" s="33"/>
      <c r="L1999" s="57"/>
      <c r="M1999" s="64"/>
      <c r="N1999" s="56"/>
      <c r="O1999" s="58"/>
      <c r="P1999" s="62"/>
      <c r="Q1999" s="33"/>
      <c r="R1999" s="33"/>
      <c r="S1999" s="61"/>
      <c r="T1999" s="33"/>
      <c r="U1999" s="62"/>
      <c r="W1999" s="61"/>
      <c r="X1999" s="62"/>
      <c r="AD1999" s="58"/>
      <c r="AG1999" s="64"/>
    </row>
    <row r="2000" spans="2:33" ht="16">
      <c r="B2000" s="67" t="str">
        <f t="shared" si="8"/>
        <v/>
      </c>
      <c r="C2000" s="33"/>
      <c r="D2000" s="33"/>
      <c r="E2000" s="33"/>
      <c r="F2000" s="56"/>
      <c r="G2000" s="33"/>
      <c r="H2000" s="33"/>
      <c r="I2000" s="33"/>
      <c r="J2000" s="57"/>
      <c r="K2000" s="33"/>
      <c r="L2000" s="57"/>
      <c r="M2000" s="64"/>
      <c r="N2000" s="56"/>
      <c r="O2000" s="64"/>
      <c r="P2000" s="62"/>
      <c r="Q2000" s="33"/>
      <c r="R2000" s="33"/>
      <c r="S2000" s="61"/>
      <c r="T2000" s="33"/>
      <c r="U2000" s="62"/>
      <c r="W2000" s="61"/>
      <c r="X2000" s="62"/>
      <c r="AD2000" s="64"/>
      <c r="AG2000" s="64"/>
    </row>
    <row r="2001" spans="2:33" ht="16">
      <c r="B2001" s="67" t="str">
        <f t="shared" si="8"/>
        <v/>
      </c>
      <c r="C2001" s="33"/>
      <c r="D2001" s="33"/>
      <c r="E2001" s="33"/>
      <c r="F2001" s="56"/>
      <c r="G2001" s="33"/>
      <c r="H2001" s="33"/>
      <c r="I2001" s="33"/>
      <c r="J2001" s="57"/>
      <c r="K2001" s="33"/>
      <c r="L2001" s="57"/>
      <c r="M2001" s="64"/>
      <c r="N2001" s="56"/>
      <c r="O2001" s="64"/>
      <c r="P2001" s="62"/>
      <c r="Q2001" s="33"/>
      <c r="R2001" s="33"/>
      <c r="S2001" s="61"/>
      <c r="T2001" s="33"/>
      <c r="U2001" s="62"/>
      <c r="W2001" s="61"/>
      <c r="X2001" s="62"/>
      <c r="AD2001" s="64"/>
      <c r="AG2001" s="64"/>
    </row>
    <row r="2002" spans="2:33" ht="16">
      <c r="B2002" s="67" t="str">
        <f t="shared" si="8"/>
        <v/>
      </c>
      <c r="C2002" s="33"/>
      <c r="D2002" s="33"/>
      <c r="E2002" s="33"/>
      <c r="F2002" s="56"/>
      <c r="G2002" s="33"/>
      <c r="H2002" s="33"/>
      <c r="I2002" s="33"/>
      <c r="J2002" s="57"/>
      <c r="K2002" s="33"/>
      <c r="L2002" s="57"/>
      <c r="M2002" s="64"/>
      <c r="N2002" s="56"/>
      <c r="O2002" s="58"/>
      <c r="P2002" s="62"/>
      <c r="Q2002" s="33"/>
      <c r="R2002" s="33"/>
      <c r="S2002" s="61"/>
      <c r="T2002" s="33"/>
      <c r="U2002" s="62"/>
      <c r="W2002" s="61"/>
      <c r="X2002" s="62"/>
      <c r="AD2002" s="58"/>
      <c r="AG2002" s="64"/>
    </row>
    <row r="2003" spans="2:33" ht="16">
      <c r="B2003" s="67" t="str">
        <f t="shared" si="8"/>
        <v/>
      </c>
      <c r="C2003" s="33"/>
      <c r="D2003" s="33"/>
      <c r="E2003" s="33"/>
      <c r="F2003" s="56"/>
      <c r="G2003" s="33"/>
      <c r="H2003" s="33"/>
      <c r="I2003" s="33"/>
      <c r="J2003" s="57"/>
      <c r="K2003" s="33"/>
      <c r="L2003" s="57"/>
      <c r="M2003" s="64"/>
      <c r="N2003" s="56"/>
      <c r="O2003" s="64"/>
      <c r="P2003" s="62"/>
      <c r="Q2003" s="33"/>
      <c r="R2003" s="33"/>
      <c r="S2003" s="61"/>
      <c r="T2003" s="33"/>
      <c r="U2003" s="62"/>
      <c r="W2003" s="61"/>
      <c r="X2003" s="62"/>
      <c r="AD2003" s="64"/>
      <c r="AG2003" s="64"/>
    </row>
    <row r="2004" spans="2:33" ht="16">
      <c r="B2004" s="67" t="str">
        <f t="shared" si="8"/>
        <v/>
      </c>
      <c r="C2004" s="33"/>
      <c r="D2004" s="33"/>
      <c r="E2004" s="33"/>
      <c r="F2004" s="56"/>
      <c r="G2004" s="33"/>
      <c r="H2004" s="33"/>
      <c r="I2004" s="33"/>
      <c r="J2004" s="57"/>
      <c r="K2004" s="33"/>
      <c r="L2004" s="57"/>
      <c r="M2004" s="64"/>
      <c r="N2004" s="56"/>
      <c r="O2004" s="64"/>
      <c r="P2004" s="62"/>
      <c r="Q2004" s="33"/>
      <c r="R2004" s="33"/>
      <c r="S2004" s="61"/>
      <c r="T2004" s="33"/>
      <c r="U2004" s="62"/>
      <c r="W2004" s="61"/>
      <c r="X2004" s="62"/>
      <c r="AD2004" s="64"/>
      <c r="AG2004" s="64"/>
    </row>
    <row r="2005" spans="2:33" ht="16">
      <c r="B2005" s="67" t="str">
        <f t="shared" si="8"/>
        <v/>
      </c>
      <c r="C2005" s="33"/>
      <c r="D2005" s="33"/>
      <c r="E2005" s="33"/>
      <c r="F2005" s="56"/>
      <c r="G2005" s="33"/>
      <c r="H2005" s="33"/>
      <c r="I2005" s="33"/>
      <c r="J2005" s="57"/>
      <c r="K2005" s="33"/>
      <c r="L2005" s="57"/>
      <c r="M2005" s="58"/>
      <c r="N2005" s="56"/>
      <c r="O2005" s="58"/>
      <c r="P2005" s="62"/>
      <c r="Q2005" s="33"/>
      <c r="R2005" s="33"/>
      <c r="S2005" s="61"/>
      <c r="T2005" s="33"/>
      <c r="U2005" s="62"/>
      <c r="W2005" s="61"/>
      <c r="X2005" s="62"/>
      <c r="AD2005" s="58"/>
      <c r="AG2005" s="64"/>
    </row>
    <row r="2006" spans="2:33" ht="16">
      <c r="B2006" s="67" t="str">
        <f t="shared" si="8"/>
        <v/>
      </c>
      <c r="C2006" s="33"/>
      <c r="D2006" s="33"/>
      <c r="E2006" s="33"/>
      <c r="F2006" s="56"/>
      <c r="G2006" s="33"/>
      <c r="H2006" s="33"/>
      <c r="I2006" s="33"/>
      <c r="J2006" s="57"/>
      <c r="K2006" s="33"/>
      <c r="L2006" s="57"/>
      <c r="M2006" s="64"/>
      <c r="N2006" s="56"/>
      <c r="O2006" s="64"/>
      <c r="P2006" s="62"/>
      <c r="Q2006" s="33"/>
      <c r="R2006" s="33"/>
      <c r="S2006" s="61"/>
      <c r="T2006" s="33"/>
      <c r="U2006" s="62"/>
      <c r="W2006" s="61"/>
      <c r="X2006" s="62"/>
      <c r="AD2006" s="64"/>
      <c r="AG2006" s="64"/>
    </row>
    <row r="2007" spans="2:33" ht="16">
      <c r="B2007" s="67" t="str">
        <f t="shared" si="8"/>
        <v/>
      </c>
      <c r="C2007" s="33"/>
      <c r="D2007" s="33"/>
      <c r="E2007" s="33"/>
      <c r="F2007" s="56"/>
      <c r="G2007" s="33"/>
      <c r="H2007" s="33"/>
      <c r="I2007" s="33"/>
      <c r="J2007" s="57"/>
      <c r="K2007" s="33"/>
      <c r="L2007" s="57"/>
      <c r="M2007" s="58"/>
      <c r="N2007" s="56"/>
      <c r="O2007" s="58"/>
      <c r="P2007" s="62"/>
      <c r="Q2007" s="33"/>
      <c r="R2007" s="33"/>
      <c r="S2007" s="61"/>
      <c r="T2007" s="33"/>
      <c r="U2007" s="62"/>
      <c r="W2007" s="61"/>
      <c r="X2007" s="62"/>
      <c r="AD2007" s="58"/>
      <c r="AG2007" s="64"/>
    </row>
    <row r="2008" spans="2:33" ht="16">
      <c r="B2008" s="67" t="str">
        <f t="shared" si="8"/>
        <v/>
      </c>
      <c r="C2008" s="33"/>
      <c r="D2008" s="33"/>
      <c r="E2008" s="33"/>
      <c r="F2008" s="56"/>
      <c r="G2008" s="33"/>
      <c r="H2008" s="33"/>
      <c r="I2008" s="33"/>
      <c r="J2008" s="57"/>
      <c r="K2008" s="33"/>
      <c r="L2008" s="57"/>
      <c r="M2008" s="64"/>
      <c r="N2008" s="56"/>
      <c r="O2008" s="64"/>
      <c r="P2008" s="62"/>
      <c r="Q2008" s="33"/>
      <c r="R2008" s="33"/>
      <c r="S2008" s="61"/>
      <c r="T2008" s="33"/>
      <c r="U2008" s="62"/>
      <c r="W2008" s="61"/>
      <c r="X2008" s="62"/>
      <c r="AD2008" s="58"/>
      <c r="AG2008" s="58"/>
    </row>
    <row r="2009" spans="2:33" ht="16">
      <c r="B2009" s="67" t="str">
        <f t="shared" si="8"/>
        <v/>
      </c>
      <c r="C2009" s="33"/>
      <c r="D2009" s="33"/>
      <c r="E2009" s="33"/>
      <c r="F2009" s="56"/>
      <c r="G2009" s="33"/>
      <c r="H2009" s="33"/>
      <c r="I2009" s="33"/>
      <c r="J2009" s="57"/>
      <c r="K2009" s="33"/>
      <c r="L2009" s="57"/>
      <c r="M2009" s="64"/>
      <c r="N2009" s="56"/>
      <c r="O2009" s="58"/>
      <c r="P2009" s="62"/>
      <c r="Q2009" s="33"/>
      <c r="R2009" s="33"/>
      <c r="S2009" s="61"/>
      <c r="T2009" s="33"/>
      <c r="U2009" s="62"/>
      <c r="W2009" s="61"/>
      <c r="X2009" s="62"/>
      <c r="AD2009" s="58"/>
      <c r="AG2009" s="58"/>
    </row>
    <row r="2010" spans="2:33" ht="16">
      <c r="B2010" s="67" t="str">
        <f t="shared" si="8"/>
        <v/>
      </c>
      <c r="C2010" s="33"/>
      <c r="D2010" s="33"/>
      <c r="E2010" s="33"/>
      <c r="F2010" s="56"/>
      <c r="G2010" s="33"/>
      <c r="H2010" s="33"/>
      <c r="I2010" s="33"/>
      <c r="J2010" s="57"/>
      <c r="K2010" s="33"/>
      <c r="L2010" s="57"/>
      <c r="M2010" s="64"/>
      <c r="N2010" s="56"/>
      <c r="O2010" s="64"/>
      <c r="P2010" s="62"/>
      <c r="Q2010" s="33"/>
      <c r="R2010" s="33"/>
      <c r="S2010" s="61"/>
      <c r="T2010" s="33"/>
      <c r="U2010" s="62"/>
      <c r="W2010" s="61"/>
      <c r="X2010" s="62"/>
      <c r="AD2010" s="64"/>
      <c r="AG2010" s="64"/>
    </row>
    <row r="2011" spans="2:33" ht="16">
      <c r="B2011" s="67" t="str">
        <f t="shared" si="8"/>
        <v/>
      </c>
      <c r="C2011" s="33"/>
      <c r="D2011" s="33"/>
      <c r="E2011" s="33"/>
      <c r="F2011" s="56"/>
      <c r="G2011" s="33"/>
      <c r="H2011" s="33"/>
      <c r="I2011" s="33"/>
      <c r="J2011" s="57"/>
      <c r="K2011" s="33"/>
      <c r="L2011" s="57"/>
      <c r="M2011" s="64"/>
      <c r="N2011" s="56"/>
      <c r="O2011" s="64"/>
      <c r="P2011" s="62"/>
      <c r="Q2011" s="33"/>
      <c r="R2011" s="33"/>
      <c r="S2011" s="61"/>
      <c r="T2011" s="33"/>
      <c r="U2011" s="62"/>
      <c r="W2011" s="61"/>
      <c r="X2011" s="62"/>
      <c r="AD2011" s="64"/>
      <c r="AG2011" s="64"/>
    </row>
    <row r="2012" spans="2:33" ht="16">
      <c r="B2012" s="67" t="str">
        <f t="shared" si="8"/>
        <v/>
      </c>
      <c r="C2012" s="33"/>
      <c r="D2012" s="33"/>
      <c r="E2012" s="33"/>
      <c r="F2012" s="56"/>
      <c r="G2012" s="33"/>
      <c r="H2012" s="33"/>
      <c r="I2012" s="33"/>
      <c r="J2012" s="57"/>
      <c r="K2012" s="33"/>
      <c r="L2012" s="57"/>
      <c r="M2012" s="64"/>
      <c r="N2012" s="56"/>
      <c r="O2012" s="64"/>
      <c r="P2012" s="62"/>
      <c r="Q2012" s="33"/>
      <c r="R2012" s="33"/>
      <c r="S2012" s="61"/>
      <c r="T2012" s="33"/>
      <c r="U2012" s="62"/>
      <c r="W2012" s="61"/>
      <c r="X2012" s="62"/>
      <c r="AD2012" s="58"/>
      <c r="AG2012" s="64"/>
    </row>
    <row r="2013" spans="2:33" ht="16">
      <c r="B2013" s="67" t="str">
        <f t="shared" si="8"/>
        <v/>
      </c>
      <c r="C2013" s="33"/>
      <c r="D2013" s="33"/>
      <c r="E2013" s="33"/>
      <c r="F2013" s="56"/>
      <c r="G2013" s="33"/>
      <c r="H2013" s="33"/>
      <c r="I2013" s="33"/>
      <c r="J2013" s="57"/>
      <c r="K2013" s="33"/>
      <c r="L2013" s="57"/>
      <c r="M2013" s="64"/>
      <c r="N2013" s="56"/>
      <c r="O2013" s="64"/>
      <c r="P2013" s="62"/>
      <c r="Q2013" s="33"/>
      <c r="R2013" s="33"/>
      <c r="S2013" s="61"/>
      <c r="T2013" s="33"/>
      <c r="U2013" s="62"/>
      <c r="W2013" s="61"/>
      <c r="X2013" s="62"/>
      <c r="AD2013" s="64"/>
      <c r="AG2013" s="58"/>
    </row>
    <row r="2014" spans="2:33" ht="16">
      <c r="B2014" s="67" t="str">
        <f t="shared" si="8"/>
        <v/>
      </c>
      <c r="C2014" s="33"/>
      <c r="D2014" s="33"/>
      <c r="E2014" s="33"/>
      <c r="F2014" s="56"/>
      <c r="G2014" s="33"/>
      <c r="H2014" s="33"/>
      <c r="I2014" s="33"/>
      <c r="J2014" s="57"/>
      <c r="K2014" s="33"/>
      <c r="L2014" s="57"/>
      <c r="M2014" s="64"/>
      <c r="N2014" s="56"/>
      <c r="O2014" s="58"/>
      <c r="P2014" s="62"/>
      <c r="Q2014" s="33"/>
      <c r="R2014" s="33"/>
      <c r="S2014" s="61"/>
      <c r="T2014" s="33"/>
      <c r="U2014" s="62"/>
      <c r="W2014" s="61"/>
      <c r="X2014" s="62"/>
      <c r="AD2014" s="58"/>
      <c r="AG2014" s="58"/>
    </row>
    <row r="2015" spans="2:33" ht="16">
      <c r="B2015" s="67" t="str">
        <f t="shared" si="8"/>
        <v/>
      </c>
      <c r="C2015" s="33"/>
      <c r="D2015" s="33"/>
      <c r="E2015" s="33"/>
      <c r="F2015" s="56"/>
      <c r="G2015" s="33"/>
      <c r="H2015" s="33"/>
      <c r="I2015" s="33"/>
      <c r="J2015" s="57"/>
      <c r="K2015" s="33"/>
      <c r="L2015" s="57"/>
      <c r="M2015" s="58"/>
      <c r="N2015" s="56"/>
      <c r="O2015" s="58"/>
      <c r="P2015" s="62"/>
      <c r="Q2015" s="33"/>
      <c r="R2015" s="33"/>
      <c r="S2015" s="61"/>
      <c r="T2015" s="33"/>
      <c r="U2015" s="62"/>
      <c r="W2015" s="61"/>
      <c r="X2015" s="62"/>
      <c r="AD2015" s="58"/>
      <c r="AG2015" s="64"/>
    </row>
    <row r="2016" spans="2:33" ht="16">
      <c r="B2016" s="67" t="str">
        <f t="shared" si="8"/>
        <v/>
      </c>
      <c r="C2016" s="33"/>
      <c r="D2016" s="33"/>
      <c r="E2016" s="33"/>
      <c r="F2016" s="56"/>
      <c r="G2016" s="33"/>
      <c r="H2016" s="33"/>
      <c r="I2016" s="33"/>
      <c r="J2016" s="57"/>
      <c r="K2016" s="33"/>
      <c r="L2016" s="57"/>
      <c r="M2016" s="58"/>
      <c r="N2016" s="56"/>
      <c r="O2016" s="58"/>
      <c r="P2016" s="62"/>
      <c r="Q2016" s="33"/>
      <c r="R2016" s="33"/>
      <c r="S2016" s="61"/>
      <c r="T2016" s="33"/>
      <c r="U2016" s="62"/>
      <c r="W2016" s="61"/>
      <c r="X2016" s="62"/>
      <c r="AD2016" s="58"/>
      <c r="AG2016" s="64"/>
    </row>
    <row r="2017" spans="2:33" ht="16">
      <c r="B2017" s="67" t="str">
        <f t="shared" si="8"/>
        <v/>
      </c>
      <c r="C2017" s="33"/>
      <c r="D2017" s="33"/>
      <c r="E2017" s="33"/>
      <c r="F2017" s="56"/>
      <c r="G2017" s="33"/>
      <c r="H2017" s="33"/>
      <c r="I2017" s="33"/>
      <c r="J2017" s="57"/>
      <c r="K2017" s="33"/>
      <c r="L2017" s="57"/>
      <c r="M2017" s="58"/>
      <c r="N2017" s="56"/>
      <c r="O2017" s="64"/>
      <c r="P2017" s="62"/>
      <c r="Q2017" s="33"/>
      <c r="R2017" s="33"/>
      <c r="S2017" s="61"/>
      <c r="T2017" s="33"/>
      <c r="U2017" s="62"/>
      <c r="W2017" s="61"/>
      <c r="X2017" s="62"/>
      <c r="AD2017" s="58"/>
      <c r="AG2017" s="64"/>
    </row>
    <row r="2018" spans="2:33" ht="16">
      <c r="B2018" s="67" t="str">
        <f t="shared" si="8"/>
        <v/>
      </c>
      <c r="C2018" s="33"/>
      <c r="D2018" s="33"/>
      <c r="E2018" s="33"/>
      <c r="F2018" s="56"/>
      <c r="G2018" s="33"/>
      <c r="H2018" s="33"/>
      <c r="I2018" s="33"/>
      <c r="J2018" s="57"/>
      <c r="K2018" s="33"/>
      <c r="L2018" s="57"/>
      <c r="M2018" s="64"/>
      <c r="N2018" s="56"/>
      <c r="O2018" s="64"/>
      <c r="P2018" s="62"/>
      <c r="Q2018" s="33"/>
      <c r="R2018" s="33"/>
      <c r="S2018" s="61"/>
      <c r="T2018" s="33"/>
      <c r="U2018" s="62"/>
      <c r="W2018" s="61"/>
      <c r="X2018" s="62"/>
      <c r="AD2018" s="64"/>
      <c r="AG2018" s="58"/>
    </row>
    <row r="2019" spans="2:33" ht="16">
      <c r="B2019" s="67" t="str">
        <f t="shared" si="8"/>
        <v/>
      </c>
      <c r="C2019" s="33"/>
      <c r="D2019" s="33"/>
      <c r="E2019" s="33"/>
      <c r="F2019" s="56"/>
      <c r="G2019" s="33"/>
      <c r="H2019" s="33"/>
      <c r="I2019" s="33"/>
      <c r="J2019" s="57"/>
      <c r="K2019" s="33"/>
      <c r="L2019" s="57"/>
      <c r="M2019" s="64"/>
      <c r="N2019" s="56"/>
      <c r="O2019" s="64"/>
      <c r="P2019" s="62"/>
      <c r="Q2019" s="33"/>
      <c r="R2019" s="33"/>
      <c r="S2019" s="61"/>
      <c r="T2019" s="33"/>
      <c r="U2019" s="62"/>
      <c r="W2019" s="61"/>
      <c r="X2019" s="62"/>
      <c r="AD2019" s="64"/>
      <c r="AG2019" s="58"/>
    </row>
    <row r="2020" spans="2:33" ht="16">
      <c r="B2020" s="67" t="str">
        <f t="shared" si="8"/>
        <v/>
      </c>
      <c r="C2020" s="33"/>
      <c r="D2020" s="33"/>
      <c r="E2020" s="33"/>
      <c r="F2020" s="56"/>
      <c r="G2020" s="33"/>
      <c r="H2020" s="33"/>
      <c r="I2020" s="33"/>
      <c r="J2020" s="57"/>
      <c r="K2020" s="33"/>
      <c r="L2020" s="57"/>
      <c r="M2020" s="58"/>
      <c r="N2020" s="56"/>
      <c r="O2020" s="58"/>
      <c r="P2020" s="62"/>
      <c r="Q2020" s="33"/>
      <c r="R2020" s="33"/>
      <c r="S2020" s="61"/>
      <c r="T2020" s="33"/>
      <c r="U2020" s="62"/>
      <c r="W2020" s="61"/>
      <c r="X2020" s="62"/>
      <c r="AD2020" s="58"/>
      <c r="AG2020" s="58"/>
    </row>
    <row r="2021" spans="2:33" ht="16">
      <c r="B2021" s="67" t="str">
        <f t="shared" si="8"/>
        <v/>
      </c>
      <c r="C2021" s="33"/>
      <c r="D2021" s="33"/>
      <c r="E2021" s="33"/>
      <c r="F2021" s="56"/>
      <c r="G2021" s="33"/>
      <c r="H2021" s="33"/>
      <c r="I2021" s="33"/>
      <c r="J2021" s="57"/>
      <c r="K2021" s="33"/>
      <c r="L2021" s="57"/>
      <c r="M2021" s="64"/>
      <c r="N2021" s="56"/>
      <c r="O2021" s="64"/>
      <c r="P2021" s="62"/>
      <c r="Q2021" s="33"/>
      <c r="R2021" s="33"/>
      <c r="S2021" s="61"/>
      <c r="T2021" s="33"/>
      <c r="U2021" s="62"/>
      <c r="W2021" s="61"/>
      <c r="X2021" s="62"/>
      <c r="AD2021" s="64"/>
      <c r="AG2021" s="64"/>
    </row>
    <row r="2022" spans="2:33" ht="16">
      <c r="B2022" s="67" t="str">
        <f t="shared" si="8"/>
        <v/>
      </c>
      <c r="C2022" s="33"/>
      <c r="D2022" s="33"/>
      <c r="E2022" s="33"/>
      <c r="F2022" s="56"/>
      <c r="G2022" s="33"/>
      <c r="H2022" s="33"/>
      <c r="I2022" s="33"/>
      <c r="J2022" s="57"/>
      <c r="K2022" s="33"/>
      <c r="L2022" s="57"/>
      <c r="M2022" s="64"/>
      <c r="N2022" s="56"/>
      <c r="O2022" s="64"/>
      <c r="P2022" s="62"/>
      <c r="Q2022" s="33"/>
      <c r="R2022" s="33"/>
      <c r="S2022" s="61"/>
      <c r="T2022" s="33"/>
      <c r="U2022" s="62"/>
      <c r="W2022" s="61"/>
      <c r="X2022" s="62"/>
      <c r="AD2022" s="64"/>
      <c r="AG2022" s="64"/>
    </row>
    <row r="2023" spans="2:33" ht="16">
      <c r="B2023" s="67" t="str">
        <f t="shared" si="8"/>
        <v/>
      </c>
      <c r="C2023" s="33"/>
      <c r="D2023" s="33"/>
      <c r="E2023" s="33"/>
      <c r="F2023" s="56"/>
      <c r="G2023" s="33"/>
      <c r="H2023" s="33"/>
      <c r="I2023" s="33"/>
      <c r="J2023" s="57"/>
      <c r="K2023" s="33"/>
      <c r="L2023" s="57"/>
      <c r="M2023" s="64"/>
      <c r="N2023" s="56"/>
      <c r="O2023" s="58"/>
      <c r="P2023" s="62"/>
      <c r="Q2023" s="33"/>
      <c r="R2023" s="33"/>
      <c r="S2023" s="61"/>
      <c r="T2023" s="33"/>
      <c r="U2023" s="62"/>
      <c r="W2023" s="61"/>
      <c r="X2023" s="62"/>
      <c r="AD2023" s="64"/>
      <c r="AG2023" s="58"/>
    </row>
    <row r="2024" spans="2:33" ht="16">
      <c r="B2024" s="67" t="str">
        <f t="shared" si="8"/>
        <v/>
      </c>
      <c r="C2024" s="33"/>
      <c r="D2024" s="33"/>
      <c r="E2024" s="33"/>
      <c r="F2024" s="56"/>
      <c r="G2024" s="33"/>
      <c r="H2024" s="33"/>
      <c r="I2024" s="33"/>
      <c r="J2024" s="57"/>
      <c r="K2024" s="33"/>
      <c r="L2024" s="57"/>
      <c r="M2024" s="64"/>
      <c r="N2024" s="56"/>
      <c r="O2024" s="64"/>
      <c r="P2024" s="62"/>
      <c r="Q2024" s="33"/>
      <c r="R2024" s="33"/>
      <c r="S2024" s="61"/>
      <c r="T2024" s="33"/>
      <c r="U2024" s="62"/>
      <c r="W2024" s="61"/>
      <c r="X2024" s="62"/>
      <c r="AD2024" s="64"/>
      <c r="AG2024" s="58"/>
    </row>
    <row r="2025" spans="2:33" ht="16">
      <c r="B2025" s="67" t="str">
        <f t="shared" si="8"/>
        <v/>
      </c>
      <c r="C2025" s="33"/>
      <c r="D2025" s="33"/>
      <c r="E2025" s="33"/>
      <c r="F2025" s="56"/>
      <c r="G2025" s="33"/>
      <c r="H2025" s="33"/>
      <c r="I2025" s="33"/>
      <c r="J2025" s="57"/>
      <c r="K2025" s="33"/>
      <c r="L2025" s="57"/>
      <c r="M2025" s="64"/>
      <c r="N2025" s="56"/>
      <c r="O2025" s="64"/>
      <c r="P2025" s="62"/>
      <c r="Q2025" s="33"/>
      <c r="R2025" s="33"/>
      <c r="S2025" s="61"/>
      <c r="T2025" s="33"/>
      <c r="U2025" s="62"/>
      <c r="W2025" s="61"/>
      <c r="X2025" s="62"/>
      <c r="AD2025" s="64"/>
      <c r="AG2025" s="58"/>
    </row>
    <row r="2026" spans="2:33" ht="16">
      <c r="B2026" s="67" t="str">
        <f t="shared" si="8"/>
        <v/>
      </c>
      <c r="C2026" s="33"/>
      <c r="D2026" s="33"/>
      <c r="E2026" s="33"/>
      <c r="F2026" s="56"/>
      <c r="G2026" s="33"/>
      <c r="H2026" s="33"/>
      <c r="I2026" s="33"/>
      <c r="J2026" s="57"/>
      <c r="K2026" s="33"/>
      <c r="L2026" s="57"/>
      <c r="M2026" s="64"/>
      <c r="N2026" s="56"/>
      <c r="O2026" s="64"/>
      <c r="P2026" s="62"/>
      <c r="Q2026" s="33"/>
      <c r="R2026" s="33"/>
      <c r="S2026" s="61"/>
      <c r="T2026" s="33"/>
      <c r="U2026" s="62"/>
      <c r="W2026" s="61"/>
      <c r="X2026" s="62"/>
      <c r="AD2026" s="64"/>
      <c r="AG2026" s="64"/>
    </row>
    <row r="2027" spans="2:33" ht="16">
      <c r="B2027" s="67" t="str">
        <f t="shared" si="8"/>
        <v/>
      </c>
      <c r="C2027" s="33"/>
      <c r="D2027" s="33"/>
      <c r="E2027" s="33"/>
      <c r="F2027" s="56"/>
      <c r="G2027" s="33"/>
      <c r="H2027" s="33"/>
      <c r="I2027" s="33"/>
      <c r="J2027" s="57"/>
      <c r="K2027" s="33"/>
      <c r="L2027" s="57"/>
      <c r="M2027" s="58"/>
      <c r="N2027" s="56"/>
      <c r="O2027" s="58"/>
      <c r="P2027" s="62"/>
      <c r="Q2027" s="33"/>
      <c r="R2027" s="33"/>
      <c r="S2027" s="61"/>
      <c r="T2027" s="33"/>
      <c r="U2027" s="62"/>
      <c r="W2027" s="61"/>
      <c r="X2027" s="62"/>
      <c r="AD2027" s="58"/>
      <c r="AG2027" s="64"/>
    </row>
    <row r="2028" spans="2:33" ht="16">
      <c r="B2028" s="67" t="str">
        <f t="shared" si="8"/>
        <v/>
      </c>
      <c r="C2028" s="33"/>
      <c r="D2028" s="33"/>
      <c r="E2028" s="33"/>
      <c r="F2028" s="56"/>
      <c r="G2028" s="33"/>
      <c r="H2028" s="33"/>
      <c r="I2028" s="33"/>
      <c r="J2028" s="57"/>
      <c r="K2028" s="33"/>
      <c r="L2028" s="57"/>
      <c r="M2028" s="64"/>
      <c r="N2028" s="56"/>
      <c r="O2028" s="58"/>
      <c r="P2028" s="62"/>
      <c r="Q2028" s="33"/>
      <c r="R2028" s="33"/>
      <c r="S2028" s="61"/>
      <c r="T2028" s="33"/>
      <c r="U2028" s="62"/>
      <c r="W2028" s="61"/>
      <c r="X2028" s="62"/>
      <c r="AD2028" s="64"/>
      <c r="AG2028" s="58"/>
    </row>
    <row r="2029" spans="2:33" ht="16">
      <c r="B2029" s="67" t="str">
        <f t="shared" si="8"/>
        <v/>
      </c>
      <c r="C2029" s="33"/>
      <c r="D2029" s="33"/>
      <c r="E2029" s="33"/>
      <c r="F2029" s="56"/>
      <c r="G2029" s="33"/>
      <c r="H2029" s="33"/>
      <c r="I2029" s="33"/>
      <c r="J2029" s="57"/>
      <c r="K2029" s="33"/>
      <c r="L2029" s="57"/>
      <c r="M2029" s="64"/>
      <c r="N2029" s="56"/>
      <c r="O2029" s="64"/>
      <c r="P2029" s="62"/>
      <c r="Q2029" s="33"/>
      <c r="R2029" s="33"/>
      <c r="S2029" s="61"/>
      <c r="T2029" s="33"/>
      <c r="U2029" s="62"/>
      <c r="W2029" s="61"/>
      <c r="X2029" s="62"/>
      <c r="AD2029" s="64"/>
      <c r="AG2029" s="64"/>
    </row>
    <row r="2030" spans="2:33" ht="16">
      <c r="B2030" s="67" t="str">
        <f t="shared" si="8"/>
        <v/>
      </c>
      <c r="C2030" s="33"/>
      <c r="D2030" s="33"/>
      <c r="E2030" s="33"/>
      <c r="F2030" s="56"/>
      <c r="G2030" s="33"/>
      <c r="H2030" s="33"/>
      <c r="I2030" s="33"/>
      <c r="J2030" s="57"/>
      <c r="K2030" s="33"/>
      <c r="L2030" s="57"/>
      <c r="M2030" s="64"/>
      <c r="N2030" s="56"/>
      <c r="O2030" s="64"/>
      <c r="P2030" s="62"/>
      <c r="Q2030" s="33"/>
      <c r="R2030" s="33"/>
      <c r="S2030" s="61"/>
      <c r="T2030" s="33"/>
      <c r="U2030" s="62"/>
      <c r="W2030" s="61"/>
      <c r="X2030" s="62"/>
      <c r="AD2030" s="64"/>
      <c r="AG2030" s="64"/>
    </row>
    <row r="2031" spans="2:33" ht="16">
      <c r="B2031" s="67" t="str">
        <f t="shared" si="8"/>
        <v/>
      </c>
      <c r="C2031" s="33"/>
      <c r="D2031" s="33"/>
      <c r="E2031" s="33"/>
      <c r="F2031" s="56"/>
      <c r="G2031" s="33"/>
      <c r="H2031" s="33"/>
      <c r="I2031" s="33"/>
      <c r="J2031" s="57"/>
      <c r="K2031" s="33"/>
      <c r="L2031" s="57"/>
      <c r="M2031" s="64"/>
      <c r="N2031" s="56"/>
      <c r="O2031" s="64"/>
      <c r="P2031" s="62"/>
      <c r="Q2031" s="33"/>
      <c r="R2031" s="33"/>
      <c r="S2031" s="61"/>
      <c r="T2031" s="33"/>
      <c r="U2031" s="62"/>
      <c r="W2031" s="61"/>
      <c r="X2031" s="62"/>
      <c r="AD2031" s="64"/>
      <c r="AG2031" s="64"/>
    </row>
    <row r="2032" spans="2:33" ht="16">
      <c r="B2032" s="67" t="str">
        <f t="shared" si="8"/>
        <v/>
      </c>
      <c r="C2032" s="33"/>
      <c r="D2032" s="33"/>
      <c r="E2032" s="33"/>
      <c r="F2032" s="56"/>
      <c r="G2032" s="33"/>
      <c r="H2032" s="33"/>
      <c r="I2032" s="33"/>
      <c r="J2032" s="57"/>
      <c r="K2032" s="33"/>
      <c r="L2032" s="57"/>
      <c r="M2032" s="58"/>
      <c r="N2032" s="56"/>
      <c r="O2032" s="64"/>
      <c r="P2032" s="62"/>
      <c r="Q2032" s="33"/>
      <c r="R2032" s="33"/>
      <c r="S2032" s="61"/>
      <c r="T2032" s="33"/>
      <c r="U2032" s="62"/>
      <c r="W2032" s="61"/>
      <c r="X2032" s="62"/>
      <c r="AD2032" s="64"/>
      <c r="AG2032" s="58"/>
    </row>
    <row r="2033" spans="2:37" ht="16">
      <c r="B2033" s="67" t="str">
        <f t="shared" si="8"/>
        <v/>
      </c>
      <c r="C2033" s="33"/>
      <c r="D2033" s="33"/>
      <c r="E2033" s="33"/>
      <c r="F2033" s="56"/>
      <c r="G2033" s="33"/>
      <c r="H2033" s="33"/>
      <c r="I2033" s="33"/>
      <c r="J2033" s="57"/>
      <c r="K2033" s="33"/>
      <c r="L2033" s="57"/>
      <c r="M2033" s="64"/>
      <c r="N2033" s="56"/>
      <c r="O2033" s="64"/>
      <c r="P2033" s="62"/>
      <c r="Q2033" s="33"/>
      <c r="R2033" s="33"/>
      <c r="S2033" s="61"/>
      <c r="T2033" s="33"/>
      <c r="U2033" s="62"/>
      <c r="W2033" s="61"/>
      <c r="X2033" s="62"/>
      <c r="AD2033" s="64"/>
      <c r="AG2033" s="64"/>
    </row>
    <row r="2034" spans="2:37" ht="16">
      <c r="B2034" s="67" t="str">
        <f t="shared" si="8"/>
        <v/>
      </c>
      <c r="C2034" s="33"/>
      <c r="D2034" s="33"/>
      <c r="E2034" s="33"/>
      <c r="F2034" s="56"/>
      <c r="G2034" s="33"/>
      <c r="H2034" s="33"/>
      <c r="I2034" s="33"/>
      <c r="J2034" s="57"/>
      <c r="K2034" s="33"/>
      <c r="L2034" s="57"/>
      <c r="M2034" s="64"/>
      <c r="N2034" s="56"/>
      <c r="O2034" s="64"/>
      <c r="P2034" s="62"/>
      <c r="Q2034" s="33"/>
      <c r="R2034" s="33"/>
      <c r="S2034" s="61"/>
      <c r="T2034" s="33"/>
      <c r="U2034" s="62"/>
      <c r="W2034" s="61"/>
      <c r="X2034" s="62"/>
      <c r="AD2034" s="64"/>
      <c r="AG2034" s="64"/>
    </row>
    <row r="2035" spans="2:37" ht="16">
      <c r="B2035" s="67" t="str">
        <f t="shared" si="8"/>
        <v/>
      </c>
      <c r="C2035" s="33"/>
      <c r="D2035" s="33"/>
      <c r="E2035" s="33"/>
      <c r="F2035" s="56"/>
      <c r="G2035" s="33"/>
      <c r="H2035" s="33"/>
      <c r="I2035" s="33"/>
      <c r="J2035" s="57"/>
      <c r="K2035" s="33"/>
      <c r="L2035" s="57"/>
      <c r="M2035" s="64"/>
      <c r="N2035" s="56"/>
      <c r="O2035" s="58"/>
      <c r="P2035" s="62"/>
      <c r="Q2035" s="33"/>
      <c r="R2035" s="33"/>
      <c r="S2035" s="61"/>
      <c r="T2035" s="33"/>
      <c r="U2035" s="62"/>
      <c r="W2035" s="61"/>
      <c r="X2035" s="62"/>
      <c r="AD2035" s="64"/>
      <c r="AG2035" s="64"/>
    </row>
    <row r="2036" spans="2:37" ht="16">
      <c r="B2036" s="67" t="str">
        <f t="shared" si="8"/>
        <v/>
      </c>
      <c r="C2036" s="33"/>
      <c r="D2036" s="33"/>
      <c r="E2036" s="33"/>
      <c r="F2036" s="56"/>
      <c r="G2036" s="33"/>
      <c r="H2036" s="33"/>
      <c r="I2036" s="33"/>
      <c r="J2036" s="57"/>
      <c r="K2036" s="33"/>
      <c r="L2036" s="57"/>
      <c r="M2036" s="64"/>
      <c r="N2036" s="56"/>
      <c r="O2036" s="64"/>
      <c r="P2036" s="62"/>
      <c r="Q2036" s="33"/>
      <c r="R2036" s="33"/>
      <c r="S2036" s="61"/>
      <c r="T2036" s="33"/>
      <c r="U2036" s="62"/>
      <c r="W2036" s="61"/>
      <c r="X2036" s="62"/>
      <c r="AD2036" s="64"/>
      <c r="AG2036" s="58"/>
    </row>
    <row r="2037" spans="2:37" ht="16">
      <c r="B2037" s="67" t="str">
        <f t="shared" si="8"/>
        <v/>
      </c>
      <c r="C2037" s="33"/>
      <c r="D2037" s="33"/>
      <c r="E2037" s="33"/>
      <c r="F2037" s="56"/>
      <c r="G2037" s="33"/>
      <c r="H2037" s="33"/>
      <c r="I2037" s="33"/>
      <c r="J2037" s="57"/>
      <c r="K2037" s="33"/>
      <c r="L2037" s="57"/>
      <c r="M2037" s="64"/>
      <c r="N2037" s="56"/>
      <c r="O2037" s="58"/>
      <c r="P2037" s="62"/>
      <c r="Q2037" s="33"/>
      <c r="R2037" s="33"/>
      <c r="S2037" s="61"/>
      <c r="T2037" s="33"/>
      <c r="U2037" s="62"/>
      <c r="W2037" s="61"/>
      <c r="X2037" s="62"/>
      <c r="AD2037" s="58"/>
      <c r="AG2037" s="58"/>
    </row>
    <row r="2038" spans="2:37" ht="16">
      <c r="B2038" s="67" t="str">
        <f t="shared" si="8"/>
        <v/>
      </c>
      <c r="C2038" s="33"/>
      <c r="D2038" s="33"/>
      <c r="E2038" s="33"/>
      <c r="F2038" s="56"/>
      <c r="G2038" s="33"/>
      <c r="H2038" s="33"/>
      <c r="I2038" s="33"/>
      <c r="J2038" s="57"/>
      <c r="K2038" s="33"/>
      <c r="L2038" s="57"/>
      <c r="M2038" s="64"/>
      <c r="N2038" s="56"/>
      <c r="O2038" s="64"/>
      <c r="P2038" s="62"/>
      <c r="Q2038" s="33"/>
      <c r="R2038" s="33"/>
      <c r="S2038" s="61"/>
      <c r="T2038" s="33"/>
      <c r="U2038" s="62"/>
      <c r="W2038" s="61"/>
      <c r="X2038" s="62"/>
      <c r="AD2038" s="64"/>
      <c r="AG2038" s="64"/>
    </row>
    <row r="2039" spans="2:37" ht="16">
      <c r="B2039" s="67" t="str">
        <f t="shared" si="8"/>
        <v/>
      </c>
      <c r="C2039" s="33"/>
      <c r="D2039" s="33"/>
      <c r="E2039" s="33"/>
      <c r="F2039" s="56"/>
      <c r="G2039" s="33"/>
      <c r="H2039" s="33"/>
      <c r="I2039" s="33"/>
      <c r="J2039" s="57"/>
      <c r="K2039" s="33"/>
      <c r="L2039" s="57"/>
      <c r="M2039" s="64"/>
      <c r="N2039" s="56"/>
      <c r="O2039" s="64"/>
      <c r="P2039" s="62"/>
      <c r="Q2039" s="33"/>
      <c r="R2039" s="33"/>
      <c r="S2039" s="61"/>
      <c r="T2039" s="33"/>
      <c r="U2039" s="62"/>
      <c r="W2039" s="61"/>
      <c r="X2039" s="62"/>
      <c r="AD2039" s="64"/>
      <c r="AG2039" s="64"/>
    </row>
    <row r="2040" spans="2:37" ht="16">
      <c r="B2040" s="67" t="str">
        <f t="shared" si="8"/>
        <v/>
      </c>
      <c r="C2040" s="33"/>
      <c r="D2040" s="33"/>
      <c r="E2040" s="33"/>
      <c r="F2040" s="56"/>
      <c r="G2040" s="33"/>
      <c r="H2040" s="33"/>
      <c r="I2040" s="33"/>
      <c r="J2040" s="57"/>
      <c r="K2040" s="33"/>
      <c r="L2040" s="57"/>
      <c r="M2040" s="64"/>
      <c r="N2040" s="56"/>
      <c r="O2040" s="64"/>
      <c r="P2040" s="62"/>
      <c r="Q2040" s="33"/>
      <c r="R2040" s="33"/>
      <c r="S2040" s="61"/>
      <c r="T2040" s="33"/>
      <c r="U2040" s="62"/>
      <c r="W2040" s="61"/>
      <c r="X2040" s="62"/>
      <c r="AD2040" s="64"/>
      <c r="AG2040" s="58"/>
    </row>
    <row r="2041" spans="2:37" ht="16">
      <c r="B2041" s="67" t="str">
        <f t="shared" si="8"/>
        <v/>
      </c>
      <c r="C2041" s="33"/>
      <c r="D2041" s="33"/>
      <c r="E2041" s="33"/>
      <c r="F2041" s="56"/>
      <c r="G2041" s="33"/>
      <c r="H2041" s="33"/>
      <c r="I2041" s="33"/>
      <c r="J2041" s="57"/>
      <c r="K2041" s="33"/>
      <c r="L2041" s="57"/>
      <c r="M2041" s="64"/>
      <c r="N2041" s="56"/>
      <c r="O2041" s="64"/>
      <c r="P2041" s="62"/>
      <c r="Q2041" s="33"/>
      <c r="R2041" s="33"/>
      <c r="S2041" s="61"/>
      <c r="T2041" s="33"/>
      <c r="U2041" s="62"/>
      <c r="W2041" s="61"/>
      <c r="X2041" s="62"/>
      <c r="AD2041" s="64"/>
      <c r="AG2041" s="64"/>
    </row>
    <row r="2042" spans="2:37" ht="16">
      <c r="B2042" s="67" t="str">
        <f t="shared" si="8"/>
        <v/>
      </c>
      <c r="C2042" s="33"/>
      <c r="D2042" s="33"/>
      <c r="E2042" s="33"/>
      <c r="F2042" s="56"/>
      <c r="G2042" s="33"/>
      <c r="H2042" s="33"/>
      <c r="I2042" s="33"/>
      <c r="J2042" s="57"/>
      <c r="K2042" s="33"/>
      <c r="L2042" s="57"/>
      <c r="M2042" s="64"/>
      <c r="N2042" s="56"/>
      <c r="O2042" s="64"/>
      <c r="P2042" s="62"/>
      <c r="Q2042" s="33"/>
      <c r="R2042" s="33"/>
      <c r="S2042" s="61"/>
      <c r="T2042" s="33"/>
      <c r="U2042" s="62"/>
      <c r="W2042" s="61"/>
      <c r="X2042" s="62"/>
      <c r="AD2042" s="64"/>
      <c r="AG2042" s="64"/>
    </row>
    <row r="2043" spans="2:37" ht="16">
      <c r="B2043" s="67" t="str">
        <f t="shared" si="8"/>
        <v/>
      </c>
      <c r="C2043" s="33"/>
      <c r="D2043" s="33"/>
      <c r="E2043" s="33"/>
      <c r="F2043" s="56"/>
      <c r="G2043" s="33"/>
      <c r="H2043" s="33"/>
      <c r="I2043" s="33"/>
      <c r="J2043" s="57"/>
      <c r="K2043" s="33"/>
      <c r="L2043" s="57"/>
      <c r="M2043" s="64"/>
      <c r="N2043" s="56"/>
      <c r="O2043" s="64"/>
      <c r="P2043" s="62"/>
      <c r="Q2043" s="33"/>
      <c r="R2043" s="33"/>
      <c r="S2043" s="61"/>
      <c r="T2043" s="33"/>
      <c r="U2043" s="62"/>
      <c r="W2043" s="61"/>
      <c r="X2043" s="62"/>
      <c r="AD2043" s="64"/>
      <c r="AG2043" s="58"/>
    </row>
    <row r="2044" spans="2:37" ht="16">
      <c r="B2044" s="67" t="str">
        <f t="shared" si="8"/>
        <v/>
      </c>
      <c r="C2044" s="33"/>
      <c r="D2044" s="33"/>
      <c r="E2044" s="33"/>
      <c r="F2044" s="56"/>
      <c r="G2044" s="33"/>
      <c r="H2044" s="33"/>
      <c r="I2044" s="33"/>
      <c r="J2044" s="57"/>
      <c r="K2044" s="33"/>
      <c r="L2044" s="57"/>
      <c r="M2044" s="58"/>
      <c r="N2044" s="56"/>
      <c r="O2044" s="64"/>
      <c r="P2044" s="62"/>
      <c r="Q2044" s="33"/>
      <c r="R2044" s="33"/>
      <c r="S2044" s="61"/>
      <c r="T2044" s="33"/>
      <c r="U2044" s="62"/>
      <c r="W2044" s="61"/>
      <c r="X2044" s="62"/>
      <c r="AD2044" s="58"/>
      <c r="AG2044" s="64"/>
    </row>
    <row r="2045" spans="2:37" ht="16">
      <c r="B2045" s="67" t="str">
        <f t="shared" si="8"/>
        <v/>
      </c>
      <c r="C2045" s="33"/>
      <c r="D2045" s="33"/>
      <c r="E2045" s="33"/>
      <c r="F2045" s="56"/>
      <c r="G2045" s="33"/>
      <c r="H2045" s="33"/>
      <c r="I2045" s="33"/>
      <c r="J2045" s="57"/>
      <c r="K2045" s="33"/>
      <c r="L2045" s="57"/>
      <c r="M2045" s="58"/>
      <c r="N2045" s="56"/>
      <c r="O2045" s="58"/>
      <c r="P2045" s="62"/>
      <c r="Q2045" s="33"/>
      <c r="R2045" s="33"/>
      <c r="S2045" s="61"/>
      <c r="T2045" s="33"/>
      <c r="U2045" s="62"/>
      <c r="W2045" s="61"/>
      <c r="X2045" s="62"/>
      <c r="AD2045" s="58"/>
      <c r="AG2045" s="64"/>
    </row>
    <row r="2046" spans="2:37" ht="16">
      <c r="B2046" s="67" t="str">
        <f t="shared" si="8"/>
        <v/>
      </c>
      <c r="C2046" s="33"/>
      <c r="D2046" s="33"/>
      <c r="E2046" s="33"/>
      <c r="F2046" s="56"/>
      <c r="G2046" s="33"/>
      <c r="H2046" s="33"/>
      <c r="I2046" s="33"/>
      <c r="J2046" s="57"/>
      <c r="K2046" s="33"/>
      <c r="L2046" s="57"/>
      <c r="M2046" s="64"/>
      <c r="N2046" s="56"/>
      <c r="O2046" s="64"/>
      <c r="P2046" s="62"/>
      <c r="Q2046" s="33"/>
      <c r="R2046" s="33"/>
      <c r="S2046" s="61"/>
      <c r="T2046" s="33"/>
      <c r="U2046" s="62"/>
      <c r="W2046" s="61"/>
      <c r="X2046" s="62"/>
      <c r="AD2046" s="64"/>
      <c r="AG2046" s="64"/>
    </row>
    <row r="2047" spans="2:37" ht="16">
      <c r="B2047" s="67" t="str">
        <f t="shared" si="8"/>
        <v/>
      </c>
      <c r="C2047" s="33"/>
      <c r="D2047" s="33"/>
      <c r="E2047" s="33"/>
      <c r="F2047" s="56"/>
      <c r="G2047" s="33"/>
      <c r="H2047" s="33"/>
      <c r="I2047" s="33"/>
      <c r="J2047" s="57"/>
      <c r="K2047" s="33"/>
      <c r="L2047" s="57"/>
      <c r="M2047" s="58"/>
      <c r="N2047" s="56"/>
      <c r="O2047" s="58"/>
      <c r="P2047" s="62"/>
      <c r="Q2047" s="33"/>
      <c r="R2047" s="33"/>
      <c r="S2047" s="61"/>
      <c r="T2047" s="33"/>
      <c r="U2047" s="62"/>
      <c r="W2047" s="61"/>
      <c r="X2047" s="62"/>
      <c r="AD2047" s="58"/>
      <c r="AG2047" s="64"/>
      <c r="AK2047" s="1"/>
    </row>
    <row r="2048" spans="2:37" ht="16">
      <c r="B2048" s="67" t="str">
        <f t="shared" si="8"/>
        <v/>
      </c>
      <c r="C2048" s="33"/>
      <c r="D2048" s="33"/>
      <c r="E2048" s="33"/>
      <c r="F2048" s="56"/>
      <c r="G2048" s="33"/>
      <c r="H2048" s="33"/>
      <c r="I2048" s="33"/>
      <c r="J2048" s="57"/>
      <c r="K2048" s="33"/>
      <c r="L2048" s="57"/>
      <c r="M2048" s="64"/>
      <c r="N2048" s="56"/>
      <c r="O2048" s="58"/>
      <c r="P2048" s="62"/>
      <c r="Q2048" s="33"/>
      <c r="R2048" s="33"/>
      <c r="S2048" s="61"/>
      <c r="T2048" s="33"/>
      <c r="U2048" s="62"/>
      <c r="W2048" s="61"/>
      <c r="X2048" s="62"/>
      <c r="AD2048" s="58"/>
      <c r="AG2048" s="64"/>
    </row>
    <row r="2049" spans="2:33" ht="16">
      <c r="B2049" s="67" t="str">
        <f t="shared" si="8"/>
        <v/>
      </c>
      <c r="C2049" s="33"/>
      <c r="D2049" s="33"/>
      <c r="E2049" s="33"/>
      <c r="F2049" s="56"/>
      <c r="G2049" s="33"/>
      <c r="H2049" s="33"/>
      <c r="I2049" s="33"/>
      <c r="J2049" s="57"/>
      <c r="K2049" s="33"/>
      <c r="L2049" s="57"/>
      <c r="M2049" s="58"/>
      <c r="N2049" s="56"/>
      <c r="O2049" s="58"/>
      <c r="P2049" s="62"/>
      <c r="Q2049" s="33"/>
      <c r="R2049" s="33"/>
      <c r="S2049" s="61"/>
      <c r="T2049" s="33"/>
      <c r="U2049" s="62"/>
      <c r="W2049" s="61"/>
      <c r="X2049" s="62"/>
      <c r="AD2049" s="58"/>
      <c r="AG2049" s="58"/>
    </row>
    <row r="2050" spans="2:33" ht="16">
      <c r="B2050" s="67" t="str">
        <f t="shared" si="8"/>
        <v/>
      </c>
      <c r="C2050" s="33"/>
      <c r="D2050" s="33"/>
      <c r="E2050" s="33"/>
      <c r="F2050" s="56"/>
      <c r="G2050" s="33"/>
      <c r="H2050" s="33"/>
      <c r="I2050" s="33"/>
      <c r="J2050" s="57"/>
      <c r="K2050" s="33"/>
      <c r="L2050" s="57"/>
      <c r="M2050" s="58"/>
      <c r="N2050" s="56"/>
      <c r="O2050" s="58"/>
      <c r="P2050" s="62"/>
      <c r="Q2050" s="33"/>
      <c r="R2050" s="33"/>
      <c r="S2050" s="61"/>
      <c r="T2050" s="33"/>
      <c r="U2050" s="62"/>
      <c r="W2050" s="61"/>
      <c r="X2050" s="62"/>
      <c r="AD2050" s="64"/>
      <c r="AG2050" s="64"/>
    </row>
    <row r="2051" spans="2:33" ht="16">
      <c r="B2051" s="67" t="str">
        <f t="shared" si="8"/>
        <v/>
      </c>
      <c r="C2051" s="33"/>
      <c r="D2051" s="33"/>
      <c r="E2051" s="33"/>
      <c r="F2051" s="56"/>
      <c r="G2051" s="33"/>
      <c r="H2051" s="33"/>
      <c r="I2051" s="33"/>
      <c r="J2051" s="57"/>
      <c r="K2051" s="33"/>
      <c r="L2051" s="57"/>
      <c r="M2051" s="64"/>
      <c r="N2051" s="56"/>
      <c r="O2051" s="58"/>
      <c r="P2051" s="62"/>
      <c r="Q2051" s="33"/>
      <c r="R2051" s="33"/>
      <c r="S2051" s="61"/>
      <c r="T2051" s="33"/>
      <c r="U2051" s="62"/>
      <c r="W2051" s="61"/>
      <c r="X2051" s="62"/>
      <c r="AD2051" s="58"/>
      <c r="AG2051" s="64"/>
    </row>
    <row r="2052" spans="2:33" ht="16">
      <c r="B2052" s="67" t="str">
        <f t="shared" si="8"/>
        <v/>
      </c>
      <c r="C2052" s="33"/>
      <c r="D2052" s="33"/>
      <c r="E2052" s="33"/>
      <c r="F2052" s="56"/>
      <c r="G2052" s="33"/>
      <c r="H2052" s="33"/>
      <c r="I2052" s="33"/>
      <c r="J2052" s="57"/>
      <c r="K2052" s="33"/>
      <c r="L2052" s="57"/>
      <c r="M2052" s="64"/>
      <c r="N2052" s="56"/>
      <c r="O2052" s="64"/>
      <c r="P2052" s="62"/>
      <c r="Q2052" s="33"/>
      <c r="R2052" s="33"/>
      <c r="S2052" s="61"/>
      <c r="T2052" s="33"/>
      <c r="U2052" s="62"/>
      <c r="W2052" s="61"/>
      <c r="X2052" s="62"/>
      <c r="AD2052" s="64"/>
      <c r="AG2052" s="64"/>
    </row>
    <row r="2053" spans="2:33" ht="16">
      <c r="B2053" s="67" t="str">
        <f t="shared" si="8"/>
        <v/>
      </c>
      <c r="C2053" s="33"/>
      <c r="D2053" s="33"/>
      <c r="E2053" s="33"/>
      <c r="F2053" s="56"/>
      <c r="G2053" s="33"/>
      <c r="H2053" s="33"/>
      <c r="I2053" s="33"/>
      <c r="J2053" s="57"/>
      <c r="K2053" s="33"/>
      <c r="L2053" s="57"/>
      <c r="M2053" s="64"/>
      <c r="N2053" s="56"/>
      <c r="O2053" s="64"/>
      <c r="P2053" s="62"/>
      <c r="Q2053" s="33"/>
      <c r="R2053" s="33"/>
      <c r="S2053" s="61"/>
      <c r="T2053" s="33"/>
      <c r="U2053" s="62"/>
      <c r="W2053" s="61"/>
      <c r="X2053" s="62"/>
      <c r="AD2053" s="64"/>
      <c r="AG2053" s="64"/>
    </row>
    <row r="2054" spans="2:33" ht="16">
      <c r="B2054" s="67" t="str">
        <f t="shared" si="8"/>
        <v/>
      </c>
      <c r="C2054" s="33"/>
      <c r="D2054" s="33"/>
      <c r="E2054" s="33"/>
      <c r="F2054" s="56"/>
      <c r="G2054" s="33"/>
      <c r="H2054" s="33"/>
      <c r="I2054" s="33"/>
      <c r="J2054" s="57"/>
      <c r="K2054" s="33"/>
      <c r="L2054" s="57"/>
      <c r="M2054" s="58"/>
      <c r="N2054" s="56"/>
      <c r="O2054" s="58"/>
      <c r="P2054" s="62"/>
      <c r="Q2054" s="33"/>
      <c r="R2054" s="33"/>
      <c r="S2054" s="61"/>
      <c r="T2054" s="33"/>
      <c r="U2054" s="62"/>
      <c r="W2054" s="61"/>
      <c r="X2054" s="62"/>
      <c r="AD2054" s="58"/>
      <c r="AG2054" s="64"/>
    </row>
    <row r="2055" spans="2:33" ht="16">
      <c r="B2055" s="67" t="str">
        <f t="shared" si="8"/>
        <v/>
      </c>
      <c r="C2055" s="33"/>
      <c r="D2055" s="33"/>
      <c r="E2055" s="33"/>
      <c r="F2055" s="56"/>
      <c r="G2055" s="33"/>
      <c r="H2055" s="33"/>
      <c r="I2055" s="33"/>
      <c r="J2055" s="57"/>
      <c r="K2055" s="33"/>
      <c r="L2055" s="57"/>
      <c r="M2055" s="64"/>
      <c r="N2055" s="56"/>
      <c r="O2055" s="58"/>
      <c r="P2055" s="62"/>
      <c r="Q2055" s="33"/>
      <c r="R2055" s="33"/>
      <c r="S2055" s="61"/>
      <c r="T2055" s="33"/>
      <c r="U2055" s="62"/>
      <c r="W2055" s="61"/>
      <c r="X2055" s="62"/>
      <c r="AD2055" s="58"/>
      <c r="AG2055" s="64"/>
    </row>
    <row r="2056" spans="2:33" ht="16">
      <c r="B2056" s="67" t="str">
        <f t="shared" si="8"/>
        <v/>
      </c>
      <c r="C2056" s="33"/>
      <c r="D2056" s="33"/>
      <c r="E2056" s="33"/>
      <c r="F2056" s="56"/>
      <c r="G2056" s="33"/>
      <c r="H2056" s="33"/>
      <c r="I2056" s="33"/>
      <c r="J2056" s="57"/>
      <c r="K2056" s="33"/>
      <c r="L2056" s="57"/>
      <c r="M2056" s="64"/>
      <c r="N2056" s="56"/>
      <c r="O2056" s="58"/>
      <c r="P2056" s="62"/>
      <c r="Q2056" s="33"/>
      <c r="R2056" s="33"/>
      <c r="S2056" s="61"/>
      <c r="T2056" s="33"/>
      <c r="U2056" s="62"/>
      <c r="W2056" s="61"/>
      <c r="X2056" s="62"/>
      <c r="AD2056" s="64"/>
      <c r="AG2056" s="64"/>
    </row>
    <row r="2057" spans="2:33" ht="16">
      <c r="B2057" s="67" t="str">
        <f t="shared" si="8"/>
        <v/>
      </c>
      <c r="C2057" s="33"/>
      <c r="D2057" s="33"/>
      <c r="E2057" s="33"/>
      <c r="F2057" s="56"/>
      <c r="G2057" s="33"/>
      <c r="H2057" s="33"/>
      <c r="I2057" s="33"/>
      <c r="J2057" s="57"/>
      <c r="K2057" s="33"/>
      <c r="L2057" s="57"/>
      <c r="M2057" s="58"/>
      <c r="N2057" s="56"/>
      <c r="O2057" s="58"/>
      <c r="P2057" s="62"/>
      <c r="Q2057" s="33"/>
      <c r="R2057" s="33"/>
      <c r="S2057" s="61"/>
      <c r="T2057" s="33"/>
      <c r="U2057" s="62"/>
      <c r="W2057" s="61"/>
      <c r="X2057" s="62"/>
      <c r="AD2057" s="58"/>
      <c r="AG2057" s="58"/>
    </row>
    <row r="2058" spans="2:33" ht="16">
      <c r="B2058" s="67" t="str">
        <f t="shared" si="8"/>
        <v/>
      </c>
      <c r="C2058" s="33"/>
      <c r="D2058" s="33"/>
      <c r="E2058" s="33"/>
      <c r="F2058" s="56"/>
      <c r="G2058" s="33"/>
      <c r="H2058" s="33"/>
      <c r="I2058" s="33"/>
      <c r="J2058" s="57"/>
      <c r="K2058" s="33"/>
      <c r="L2058" s="57"/>
      <c r="M2058" s="64"/>
      <c r="N2058" s="56"/>
      <c r="O2058" s="64"/>
      <c r="P2058" s="62"/>
      <c r="Q2058" s="33"/>
      <c r="R2058" s="33"/>
      <c r="S2058" s="61"/>
      <c r="T2058" s="33"/>
      <c r="U2058" s="62"/>
      <c r="W2058" s="61"/>
      <c r="X2058" s="62"/>
      <c r="AD2058" s="64"/>
      <c r="AG2058" s="64"/>
    </row>
    <row r="2059" spans="2:33" ht="16">
      <c r="B2059" s="67" t="str">
        <f t="shared" si="8"/>
        <v/>
      </c>
      <c r="C2059" s="33"/>
      <c r="D2059" s="33"/>
      <c r="E2059" s="33"/>
      <c r="F2059" s="56"/>
      <c r="G2059" s="33"/>
      <c r="H2059" s="33"/>
      <c r="I2059" s="33"/>
      <c r="J2059" s="57"/>
      <c r="K2059" s="33"/>
      <c r="L2059" s="57"/>
      <c r="M2059" s="64"/>
      <c r="N2059" s="56"/>
      <c r="O2059" s="64"/>
      <c r="P2059" s="62"/>
      <c r="Q2059" s="33"/>
      <c r="R2059" s="33"/>
      <c r="S2059" s="61"/>
      <c r="T2059" s="33"/>
      <c r="U2059" s="62"/>
      <c r="W2059" s="61"/>
      <c r="X2059" s="62"/>
      <c r="AD2059" s="64"/>
      <c r="AG2059" s="64"/>
    </row>
    <row r="2060" spans="2:33" ht="16">
      <c r="B2060" s="67" t="str">
        <f t="shared" si="8"/>
        <v/>
      </c>
      <c r="C2060" s="33"/>
      <c r="D2060" s="33"/>
      <c r="E2060" s="33"/>
      <c r="F2060" s="56"/>
      <c r="G2060" s="33"/>
      <c r="H2060" s="33"/>
      <c r="I2060" s="33"/>
      <c r="J2060" s="57"/>
      <c r="K2060" s="33"/>
      <c r="L2060" s="57"/>
      <c r="M2060" s="64"/>
      <c r="N2060" s="56"/>
      <c r="O2060" s="64"/>
      <c r="P2060" s="62"/>
      <c r="Q2060" s="33"/>
      <c r="R2060" s="33"/>
      <c r="S2060" s="61"/>
      <c r="T2060" s="33"/>
      <c r="U2060" s="62"/>
      <c r="W2060" s="61"/>
      <c r="X2060" s="62"/>
      <c r="AD2060" s="64"/>
      <c r="AG2060" s="58"/>
    </row>
    <row r="2061" spans="2:33" ht="16">
      <c r="B2061" s="67" t="str">
        <f t="shared" si="8"/>
        <v/>
      </c>
      <c r="C2061" s="33"/>
      <c r="D2061" s="33"/>
      <c r="E2061" s="33"/>
      <c r="F2061" s="56"/>
      <c r="G2061" s="33"/>
      <c r="H2061" s="33"/>
      <c r="I2061" s="33"/>
      <c r="J2061" s="57"/>
      <c r="K2061" s="33"/>
      <c r="L2061" s="57"/>
      <c r="M2061" s="64"/>
      <c r="N2061" s="56"/>
      <c r="O2061" s="64"/>
      <c r="P2061" s="62"/>
      <c r="Q2061" s="33"/>
      <c r="R2061" s="33"/>
      <c r="S2061" s="61"/>
      <c r="T2061" s="33"/>
      <c r="U2061" s="62"/>
      <c r="W2061" s="61"/>
      <c r="X2061" s="62"/>
      <c r="AD2061" s="64"/>
      <c r="AG2061" s="64"/>
    </row>
    <row r="2062" spans="2:33" ht="16">
      <c r="B2062" s="67" t="str">
        <f t="shared" si="8"/>
        <v/>
      </c>
      <c r="C2062" s="33"/>
      <c r="D2062" s="33"/>
      <c r="E2062" s="33"/>
      <c r="F2062" s="56"/>
      <c r="G2062" s="33"/>
      <c r="H2062" s="33"/>
      <c r="I2062" s="33"/>
      <c r="J2062" s="57"/>
      <c r="K2062" s="33"/>
      <c r="L2062" s="57"/>
      <c r="M2062" s="64"/>
      <c r="N2062" s="56"/>
      <c r="O2062" s="64"/>
      <c r="P2062" s="62"/>
      <c r="Q2062" s="33"/>
      <c r="R2062" s="33"/>
      <c r="S2062" s="61"/>
      <c r="T2062" s="33"/>
      <c r="U2062" s="62"/>
      <c r="W2062" s="61"/>
      <c r="X2062" s="62"/>
      <c r="AD2062" s="64"/>
      <c r="AG2062" s="58"/>
    </row>
    <row r="2063" spans="2:33" ht="16">
      <c r="B2063" s="67" t="str">
        <f t="shared" si="8"/>
        <v/>
      </c>
      <c r="C2063" s="33"/>
      <c r="D2063" s="33"/>
      <c r="E2063" s="33"/>
      <c r="F2063" s="56"/>
      <c r="G2063" s="33"/>
      <c r="H2063" s="33"/>
      <c r="I2063" s="33"/>
      <c r="J2063" s="57"/>
      <c r="K2063" s="33"/>
      <c r="L2063" s="57"/>
      <c r="M2063" s="64"/>
      <c r="N2063" s="56"/>
      <c r="O2063" s="64"/>
      <c r="P2063" s="62"/>
      <c r="Q2063" s="33"/>
      <c r="R2063" s="33"/>
      <c r="S2063" s="61"/>
      <c r="T2063" s="33"/>
      <c r="U2063" s="62"/>
      <c r="W2063" s="61"/>
      <c r="X2063" s="62"/>
      <c r="AD2063" s="64"/>
      <c r="AG2063" s="64"/>
    </row>
    <row r="2064" spans="2:33" ht="16">
      <c r="B2064" s="67" t="str">
        <f t="shared" si="8"/>
        <v/>
      </c>
      <c r="C2064" s="33"/>
      <c r="D2064" s="33"/>
      <c r="E2064" s="33"/>
      <c r="F2064" s="56"/>
      <c r="G2064" s="33"/>
      <c r="H2064" s="33"/>
      <c r="I2064" s="33"/>
      <c r="J2064" s="57"/>
      <c r="K2064" s="33"/>
      <c r="L2064" s="57"/>
      <c r="M2064" s="64"/>
      <c r="N2064" s="56"/>
      <c r="O2064" s="64"/>
      <c r="P2064" s="62"/>
      <c r="Q2064" s="33"/>
      <c r="R2064" s="33"/>
      <c r="S2064" s="61"/>
      <c r="T2064" s="33"/>
      <c r="U2064" s="62"/>
      <c r="W2064" s="61"/>
      <c r="X2064" s="62"/>
      <c r="AD2064" s="64"/>
      <c r="AG2064" s="64"/>
    </row>
    <row r="2065" spans="2:33" ht="16">
      <c r="B2065" s="67" t="str">
        <f t="shared" si="8"/>
        <v/>
      </c>
      <c r="C2065" s="33"/>
      <c r="D2065" s="33"/>
      <c r="E2065" s="33"/>
      <c r="F2065" s="56"/>
      <c r="G2065" s="33"/>
      <c r="H2065" s="33"/>
      <c r="I2065" s="33"/>
      <c r="J2065" s="57"/>
      <c r="K2065" s="33"/>
      <c r="L2065" s="57"/>
      <c r="M2065" s="58"/>
      <c r="N2065" s="56"/>
      <c r="O2065" s="58"/>
      <c r="P2065" s="62"/>
      <c r="Q2065" s="33"/>
      <c r="R2065" s="33"/>
      <c r="S2065" s="61"/>
      <c r="T2065" s="33"/>
      <c r="U2065" s="62"/>
      <c r="W2065" s="61"/>
      <c r="X2065" s="62"/>
      <c r="AD2065" s="58"/>
      <c r="AG2065" s="64"/>
    </row>
    <row r="2066" spans="2:33" ht="16">
      <c r="B2066" s="67" t="str">
        <f t="shared" si="8"/>
        <v/>
      </c>
      <c r="C2066" s="33"/>
      <c r="D2066" s="33"/>
      <c r="E2066" s="33"/>
      <c r="F2066" s="56"/>
      <c r="G2066" s="33"/>
      <c r="H2066" s="33"/>
      <c r="I2066" s="33"/>
      <c r="J2066" s="57"/>
      <c r="K2066" s="33"/>
      <c r="L2066" s="57"/>
      <c r="M2066" s="64"/>
      <c r="N2066" s="56"/>
      <c r="O2066" s="64"/>
      <c r="P2066" s="62"/>
      <c r="Q2066" s="33"/>
      <c r="R2066" s="33"/>
      <c r="S2066" s="61"/>
      <c r="T2066" s="33"/>
      <c r="U2066" s="62"/>
      <c r="W2066" s="61"/>
      <c r="X2066" s="62"/>
      <c r="AD2066" s="64"/>
      <c r="AG2066" s="64"/>
    </row>
    <row r="2067" spans="2:33" ht="16">
      <c r="B2067" s="67" t="str">
        <f t="shared" ref="B2067:B2321" si="9">IF($H2067="","",LEFT(C2067,3))</f>
        <v/>
      </c>
      <c r="C2067" s="33"/>
      <c r="D2067" s="33"/>
      <c r="E2067" s="33"/>
      <c r="F2067" s="56"/>
      <c r="G2067" s="33"/>
      <c r="H2067" s="33"/>
      <c r="I2067" s="33"/>
      <c r="J2067" s="57"/>
      <c r="K2067" s="33"/>
      <c r="L2067" s="57"/>
      <c r="M2067" s="64"/>
      <c r="N2067" s="56"/>
      <c r="O2067" s="58"/>
      <c r="P2067" s="62"/>
      <c r="Q2067" s="33"/>
      <c r="R2067" s="33"/>
      <c r="S2067" s="61"/>
      <c r="T2067" s="33"/>
      <c r="U2067" s="62"/>
      <c r="W2067" s="61"/>
      <c r="X2067" s="62"/>
      <c r="AD2067" s="58"/>
      <c r="AG2067" s="64"/>
    </row>
    <row r="2068" spans="2:33" ht="16">
      <c r="B2068" s="67" t="str">
        <f t="shared" si="9"/>
        <v/>
      </c>
      <c r="C2068" s="33"/>
      <c r="D2068" s="33"/>
      <c r="E2068" s="33"/>
      <c r="F2068" s="56"/>
      <c r="G2068" s="33"/>
      <c r="H2068" s="33"/>
      <c r="I2068" s="33"/>
      <c r="J2068" s="57"/>
      <c r="K2068" s="33"/>
      <c r="L2068" s="57"/>
      <c r="M2068" s="64"/>
      <c r="N2068" s="56"/>
      <c r="O2068" s="64"/>
      <c r="P2068" s="62"/>
      <c r="Q2068" s="33"/>
      <c r="R2068" s="33"/>
      <c r="S2068" s="61"/>
      <c r="T2068" s="33"/>
      <c r="U2068" s="62"/>
      <c r="W2068" s="61"/>
      <c r="X2068" s="62"/>
      <c r="AD2068" s="64"/>
      <c r="AG2068" s="64"/>
    </row>
    <row r="2069" spans="2:33" ht="16">
      <c r="B2069" s="67" t="str">
        <f t="shared" si="9"/>
        <v/>
      </c>
      <c r="C2069" s="33"/>
      <c r="D2069" s="33"/>
      <c r="E2069" s="33"/>
      <c r="F2069" s="56"/>
      <c r="G2069" s="33"/>
      <c r="H2069" s="33"/>
      <c r="I2069" s="33"/>
      <c r="J2069" s="57"/>
      <c r="K2069" s="33"/>
      <c r="L2069" s="57"/>
      <c r="M2069" s="64"/>
      <c r="N2069" s="56"/>
      <c r="O2069" s="64"/>
      <c r="P2069" s="62"/>
      <c r="Q2069" s="33"/>
      <c r="R2069" s="33"/>
      <c r="S2069" s="61"/>
      <c r="T2069" s="33"/>
      <c r="U2069" s="62"/>
      <c r="W2069" s="61"/>
      <c r="X2069" s="62"/>
      <c r="AD2069" s="64"/>
      <c r="AG2069" s="64"/>
    </row>
    <row r="2070" spans="2:33" ht="16">
      <c r="B2070" s="67" t="str">
        <f t="shared" si="9"/>
        <v/>
      </c>
      <c r="C2070" s="33"/>
      <c r="D2070" s="33"/>
      <c r="E2070" s="33"/>
      <c r="F2070" s="56"/>
      <c r="G2070" s="33"/>
      <c r="H2070" s="33"/>
      <c r="I2070" s="33"/>
      <c r="J2070" s="57"/>
      <c r="K2070" s="33"/>
      <c r="L2070" s="57"/>
      <c r="M2070" s="64"/>
      <c r="N2070" s="56"/>
      <c r="O2070" s="64"/>
      <c r="P2070" s="62"/>
      <c r="Q2070" s="33"/>
      <c r="R2070" s="33"/>
      <c r="S2070" s="61"/>
      <c r="T2070" s="33"/>
      <c r="U2070" s="62"/>
      <c r="W2070" s="61"/>
      <c r="X2070" s="62"/>
      <c r="AD2070" s="64"/>
      <c r="AG2070" s="64"/>
    </row>
    <row r="2071" spans="2:33" ht="16">
      <c r="B2071" s="67" t="str">
        <f t="shared" si="9"/>
        <v/>
      </c>
      <c r="C2071" s="33"/>
      <c r="D2071" s="33"/>
      <c r="E2071" s="33"/>
      <c r="F2071" s="56"/>
      <c r="G2071" s="33"/>
      <c r="H2071" s="33"/>
      <c r="I2071" s="33"/>
      <c r="J2071" s="57"/>
      <c r="K2071" s="33"/>
      <c r="L2071" s="57"/>
      <c r="M2071" s="64"/>
      <c r="N2071" s="56"/>
      <c r="O2071" s="58"/>
      <c r="P2071" s="62"/>
      <c r="Q2071" s="33"/>
      <c r="R2071" s="33"/>
      <c r="S2071" s="61"/>
      <c r="T2071" s="33"/>
      <c r="U2071" s="62"/>
      <c r="W2071" s="61"/>
      <c r="X2071" s="62"/>
      <c r="AD2071" s="64"/>
      <c r="AG2071" s="58"/>
    </row>
    <row r="2072" spans="2:33" ht="16">
      <c r="B2072" s="67" t="str">
        <f t="shared" si="9"/>
        <v/>
      </c>
      <c r="C2072" s="33"/>
      <c r="D2072" s="33"/>
      <c r="E2072" s="33"/>
      <c r="F2072" s="56"/>
      <c r="G2072" s="33"/>
      <c r="H2072" s="33"/>
      <c r="I2072" s="33"/>
      <c r="J2072" s="57"/>
      <c r="K2072" s="33"/>
      <c r="L2072" s="57"/>
      <c r="M2072" s="64"/>
      <c r="N2072" s="56"/>
      <c r="O2072" s="64"/>
      <c r="P2072" s="62"/>
      <c r="Q2072" s="33"/>
      <c r="R2072" s="33"/>
      <c r="S2072" s="61"/>
      <c r="T2072" s="33"/>
      <c r="U2072" s="62"/>
      <c r="W2072" s="61"/>
      <c r="X2072" s="62"/>
      <c r="AD2072" s="64"/>
      <c r="AG2072" s="64"/>
    </row>
    <row r="2073" spans="2:33" ht="16">
      <c r="B2073" s="67" t="str">
        <f t="shared" si="9"/>
        <v/>
      </c>
      <c r="C2073" s="33"/>
      <c r="D2073" s="33"/>
      <c r="E2073" s="33"/>
      <c r="F2073" s="56"/>
      <c r="G2073" s="33"/>
      <c r="H2073" s="33"/>
      <c r="I2073" s="33"/>
      <c r="J2073" s="57"/>
      <c r="K2073" s="33"/>
      <c r="L2073" s="57"/>
      <c r="M2073" s="64"/>
      <c r="N2073" s="56"/>
      <c r="O2073" s="58"/>
      <c r="P2073" s="62"/>
      <c r="Q2073" s="33"/>
      <c r="R2073" s="33"/>
      <c r="S2073" s="61"/>
      <c r="T2073" s="33"/>
      <c r="U2073" s="62"/>
      <c r="W2073" s="61"/>
      <c r="X2073" s="62"/>
      <c r="AD2073" s="64"/>
      <c r="AG2073" s="64"/>
    </row>
    <row r="2074" spans="2:33" ht="16">
      <c r="B2074" s="67" t="str">
        <f t="shared" si="9"/>
        <v/>
      </c>
      <c r="C2074" s="33"/>
      <c r="D2074" s="33"/>
      <c r="E2074" s="33"/>
      <c r="F2074" s="56"/>
      <c r="G2074" s="33"/>
      <c r="H2074" s="33"/>
      <c r="I2074" s="33"/>
      <c r="J2074" s="57"/>
      <c r="K2074" s="33"/>
      <c r="L2074" s="57"/>
      <c r="M2074" s="58"/>
      <c r="N2074" s="56"/>
      <c r="O2074" s="58"/>
      <c r="P2074" s="62"/>
      <c r="Q2074" s="33"/>
      <c r="R2074" s="33"/>
      <c r="S2074" s="61"/>
      <c r="T2074" s="33"/>
      <c r="U2074" s="62"/>
      <c r="W2074" s="61"/>
      <c r="X2074" s="62"/>
      <c r="AD2074" s="58"/>
      <c r="AG2074" s="64"/>
    </row>
    <row r="2075" spans="2:33" ht="16">
      <c r="B2075" s="67" t="str">
        <f t="shared" si="9"/>
        <v/>
      </c>
      <c r="C2075" s="33"/>
      <c r="D2075" s="33"/>
      <c r="E2075" s="33"/>
      <c r="F2075" s="56"/>
      <c r="G2075" s="33"/>
      <c r="H2075" s="33"/>
      <c r="I2075" s="33"/>
      <c r="J2075" s="57"/>
      <c r="K2075" s="33"/>
      <c r="L2075" s="57"/>
      <c r="M2075" s="64"/>
      <c r="N2075" s="56"/>
      <c r="O2075" s="64"/>
      <c r="P2075" s="62"/>
      <c r="Q2075" s="33"/>
      <c r="R2075" s="33"/>
      <c r="S2075" s="61"/>
      <c r="T2075" s="33"/>
      <c r="U2075" s="62"/>
      <c r="W2075" s="61"/>
      <c r="X2075" s="62"/>
      <c r="AD2075" s="64"/>
      <c r="AG2075" s="64"/>
    </row>
    <row r="2076" spans="2:33" ht="16">
      <c r="B2076" s="67" t="str">
        <f t="shared" si="9"/>
        <v/>
      </c>
      <c r="C2076" s="33"/>
      <c r="D2076" s="33"/>
      <c r="E2076" s="33"/>
      <c r="F2076" s="56"/>
      <c r="G2076" s="33"/>
      <c r="H2076" s="33"/>
      <c r="I2076" s="33"/>
      <c r="J2076" s="57"/>
      <c r="K2076" s="33"/>
      <c r="L2076" s="57"/>
      <c r="M2076" s="64"/>
      <c r="N2076" s="56"/>
      <c r="O2076" s="64"/>
      <c r="P2076" s="62"/>
      <c r="Q2076" s="33"/>
      <c r="R2076" s="33"/>
      <c r="S2076" s="61"/>
      <c r="T2076" s="33"/>
      <c r="U2076" s="62"/>
      <c r="W2076" s="61"/>
      <c r="X2076" s="62"/>
      <c r="AD2076" s="64"/>
      <c r="AG2076" s="64"/>
    </row>
    <row r="2077" spans="2:33" ht="16">
      <c r="B2077" s="67" t="str">
        <f t="shared" si="9"/>
        <v/>
      </c>
      <c r="C2077" s="33"/>
      <c r="D2077" s="33"/>
      <c r="E2077" s="33"/>
      <c r="F2077" s="56"/>
      <c r="G2077" s="33"/>
      <c r="H2077" s="33"/>
      <c r="I2077" s="33"/>
      <c r="J2077" s="57"/>
      <c r="K2077" s="33"/>
      <c r="L2077" s="57"/>
      <c r="M2077" s="64"/>
      <c r="N2077" s="56"/>
      <c r="O2077" s="64"/>
      <c r="P2077" s="62"/>
      <c r="Q2077" s="33"/>
      <c r="R2077" s="33"/>
      <c r="S2077" s="61"/>
      <c r="T2077" s="33"/>
      <c r="U2077" s="62"/>
      <c r="W2077" s="61"/>
      <c r="X2077" s="62"/>
      <c r="AD2077" s="64"/>
      <c r="AG2077" s="64"/>
    </row>
    <row r="2078" spans="2:33" ht="16">
      <c r="B2078" s="67" t="str">
        <f t="shared" si="9"/>
        <v/>
      </c>
      <c r="C2078" s="33"/>
      <c r="D2078" s="33"/>
      <c r="E2078" s="33"/>
      <c r="F2078" s="56"/>
      <c r="G2078" s="33"/>
      <c r="H2078" s="33"/>
      <c r="I2078" s="33"/>
      <c r="J2078" s="57"/>
      <c r="K2078" s="33"/>
      <c r="L2078" s="57"/>
      <c r="M2078" s="64"/>
      <c r="N2078" s="56"/>
      <c r="O2078" s="58"/>
      <c r="P2078" s="62"/>
      <c r="Q2078" s="33"/>
      <c r="R2078" s="33"/>
      <c r="S2078" s="61"/>
      <c r="T2078" s="33"/>
      <c r="U2078" s="62"/>
      <c r="W2078" s="61"/>
      <c r="X2078" s="62"/>
      <c r="AD2078" s="58"/>
      <c r="AG2078" s="64"/>
    </row>
    <row r="2079" spans="2:33" ht="16">
      <c r="B2079" s="67" t="str">
        <f t="shared" si="9"/>
        <v/>
      </c>
      <c r="C2079" s="33"/>
      <c r="D2079" s="33"/>
      <c r="E2079" s="33"/>
      <c r="F2079" s="56"/>
      <c r="G2079" s="33"/>
      <c r="H2079" s="33"/>
      <c r="I2079" s="33"/>
      <c r="J2079" s="57"/>
      <c r="K2079" s="33"/>
      <c r="L2079" s="57"/>
      <c r="M2079" s="58"/>
      <c r="N2079" s="56"/>
      <c r="O2079" s="58"/>
      <c r="P2079" s="62"/>
      <c r="Q2079" s="33"/>
      <c r="R2079" s="33"/>
      <c r="S2079" s="61"/>
      <c r="T2079" s="33"/>
      <c r="U2079" s="62"/>
      <c r="W2079" s="61"/>
      <c r="X2079" s="62"/>
      <c r="AD2079" s="58"/>
      <c r="AG2079" s="58"/>
    </row>
    <row r="2080" spans="2:33" ht="16">
      <c r="B2080" s="67" t="str">
        <f t="shared" si="9"/>
        <v/>
      </c>
      <c r="C2080" s="33"/>
      <c r="D2080" s="33"/>
      <c r="E2080" s="33"/>
      <c r="F2080" s="56"/>
      <c r="G2080" s="33"/>
      <c r="H2080" s="33"/>
      <c r="I2080" s="33"/>
      <c r="J2080" s="57"/>
      <c r="K2080" s="33"/>
      <c r="L2080" s="57"/>
      <c r="M2080" s="64"/>
      <c r="N2080" s="56"/>
      <c r="O2080" s="64"/>
      <c r="P2080" s="62"/>
      <c r="Q2080" s="33"/>
      <c r="R2080" s="33"/>
      <c r="S2080" s="61"/>
      <c r="T2080" s="33"/>
      <c r="U2080" s="62"/>
      <c r="W2080" s="61"/>
      <c r="X2080" s="62"/>
      <c r="AD2080" s="64"/>
      <c r="AG2080" s="64"/>
    </row>
    <row r="2081" spans="2:33" ht="16">
      <c r="B2081" s="67" t="str">
        <f t="shared" si="9"/>
        <v/>
      </c>
      <c r="C2081" s="33"/>
      <c r="D2081" s="33"/>
      <c r="E2081" s="33"/>
      <c r="F2081" s="56"/>
      <c r="G2081" s="33"/>
      <c r="H2081" s="33"/>
      <c r="I2081" s="33"/>
      <c r="J2081" s="57"/>
      <c r="K2081" s="33"/>
      <c r="L2081" s="57"/>
      <c r="M2081" s="64"/>
      <c r="N2081" s="56"/>
      <c r="O2081" s="64"/>
      <c r="P2081" s="62"/>
      <c r="Q2081" s="33"/>
      <c r="R2081" s="33"/>
      <c r="S2081" s="61"/>
      <c r="T2081" s="33"/>
      <c r="U2081" s="62"/>
      <c r="W2081" s="61"/>
      <c r="X2081" s="62"/>
      <c r="AD2081" s="64"/>
      <c r="AG2081" s="64"/>
    </row>
    <row r="2082" spans="2:33" ht="16">
      <c r="B2082" s="67" t="str">
        <f t="shared" si="9"/>
        <v/>
      </c>
      <c r="C2082" s="33"/>
      <c r="D2082" s="33"/>
      <c r="E2082" s="33"/>
      <c r="F2082" s="56"/>
      <c r="G2082" s="33"/>
      <c r="H2082" s="33"/>
      <c r="I2082" s="33"/>
      <c r="J2082" s="57"/>
      <c r="K2082" s="33"/>
      <c r="L2082" s="57"/>
      <c r="M2082" s="64"/>
      <c r="N2082" s="56"/>
      <c r="O2082" s="58"/>
      <c r="P2082" s="62"/>
      <c r="Q2082" s="33"/>
      <c r="R2082" s="33"/>
      <c r="S2082" s="61"/>
      <c r="T2082" s="33"/>
      <c r="U2082" s="62"/>
      <c r="W2082" s="61"/>
      <c r="X2082" s="62"/>
      <c r="AD2082" s="64"/>
      <c r="AG2082" s="64"/>
    </row>
    <row r="2083" spans="2:33" ht="16">
      <c r="B2083" s="67" t="str">
        <f t="shared" si="9"/>
        <v/>
      </c>
      <c r="C2083" s="33"/>
      <c r="D2083" s="33"/>
      <c r="E2083" s="33"/>
      <c r="F2083" s="56"/>
      <c r="G2083" s="33"/>
      <c r="H2083" s="33"/>
      <c r="I2083" s="33"/>
      <c r="J2083" s="57"/>
      <c r="K2083" s="33"/>
      <c r="L2083" s="57"/>
      <c r="M2083" s="64"/>
      <c r="N2083" s="56"/>
      <c r="O2083" s="64"/>
      <c r="P2083" s="62"/>
      <c r="Q2083" s="33"/>
      <c r="R2083" s="33"/>
      <c r="S2083" s="61"/>
      <c r="T2083" s="33"/>
      <c r="U2083" s="62"/>
      <c r="W2083" s="61"/>
      <c r="X2083" s="62"/>
      <c r="AD2083" s="64"/>
      <c r="AG2083" s="58"/>
    </row>
    <row r="2084" spans="2:33" ht="16">
      <c r="B2084" s="67" t="str">
        <f t="shared" si="9"/>
        <v/>
      </c>
      <c r="C2084" s="33"/>
      <c r="D2084" s="33"/>
      <c r="E2084" s="33"/>
      <c r="F2084" s="56"/>
      <c r="G2084" s="33"/>
      <c r="H2084" s="33"/>
      <c r="I2084" s="33"/>
      <c r="J2084" s="57"/>
      <c r="K2084" s="33"/>
      <c r="L2084" s="57"/>
      <c r="M2084" s="64"/>
      <c r="N2084" s="56"/>
      <c r="O2084" s="64"/>
      <c r="P2084" s="62"/>
      <c r="Q2084" s="33"/>
      <c r="R2084" s="33"/>
      <c r="S2084" s="61"/>
      <c r="T2084" s="33"/>
      <c r="U2084" s="62"/>
      <c r="W2084" s="61"/>
      <c r="X2084" s="62"/>
      <c r="AD2084" s="64"/>
      <c r="AG2084" s="64"/>
    </row>
    <row r="2085" spans="2:33" ht="16">
      <c r="B2085" s="67" t="str">
        <f t="shared" si="9"/>
        <v/>
      </c>
      <c r="C2085" s="33"/>
      <c r="D2085" s="33"/>
      <c r="E2085" s="33"/>
      <c r="F2085" s="56"/>
      <c r="G2085" s="33"/>
      <c r="H2085" s="33"/>
      <c r="I2085" s="33"/>
      <c r="J2085" s="57"/>
      <c r="K2085" s="33"/>
      <c r="L2085" s="57"/>
      <c r="M2085" s="58"/>
      <c r="N2085" s="56"/>
      <c r="O2085" s="64"/>
      <c r="P2085" s="62"/>
      <c r="Q2085" s="33"/>
      <c r="R2085" s="33"/>
      <c r="S2085" s="61"/>
      <c r="T2085" s="33"/>
      <c r="U2085" s="62"/>
      <c r="W2085" s="61"/>
      <c r="X2085" s="62"/>
      <c r="AD2085" s="58"/>
      <c r="AG2085" s="64"/>
    </row>
    <row r="2086" spans="2:33" ht="16">
      <c r="B2086" s="67" t="str">
        <f t="shared" si="9"/>
        <v/>
      </c>
      <c r="C2086" s="33"/>
      <c r="D2086" s="33"/>
      <c r="E2086" s="33"/>
      <c r="F2086" s="56"/>
      <c r="G2086" s="33"/>
      <c r="H2086" s="33"/>
      <c r="I2086" s="33"/>
      <c r="J2086" s="57"/>
      <c r="K2086" s="33"/>
      <c r="L2086" s="57"/>
      <c r="M2086" s="64"/>
      <c r="N2086" s="56"/>
      <c r="O2086" s="58"/>
      <c r="P2086" s="62"/>
      <c r="Q2086" s="33"/>
      <c r="R2086" s="33"/>
      <c r="S2086" s="61"/>
      <c r="T2086" s="33"/>
      <c r="U2086" s="62"/>
      <c r="W2086" s="61"/>
      <c r="X2086" s="62"/>
      <c r="AD2086" s="64"/>
      <c r="AG2086" s="64"/>
    </row>
    <row r="2087" spans="2:33" ht="16">
      <c r="B2087" s="67" t="str">
        <f t="shared" si="9"/>
        <v/>
      </c>
      <c r="C2087" s="33"/>
      <c r="D2087" s="33"/>
      <c r="E2087" s="33"/>
      <c r="F2087" s="56"/>
      <c r="G2087" s="33"/>
      <c r="H2087" s="33"/>
      <c r="I2087" s="33"/>
      <c r="J2087" s="57"/>
      <c r="K2087" s="33"/>
      <c r="L2087" s="57"/>
      <c r="M2087" s="58"/>
      <c r="N2087" s="56"/>
      <c r="O2087" s="58"/>
      <c r="P2087" s="62"/>
      <c r="Q2087" s="33"/>
      <c r="R2087" s="33"/>
      <c r="S2087" s="61"/>
      <c r="T2087" s="33"/>
      <c r="U2087" s="62"/>
      <c r="W2087" s="61"/>
      <c r="X2087" s="62"/>
      <c r="AD2087" s="64"/>
      <c r="AG2087" s="64"/>
    </row>
    <row r="2088" spans="2:33" ht="16">
      <c r="B2088" s="67" t="str">
        <f t="shared" si="9"/>
        <v/>
      </c>
      <c r="C2088" s="33"/>
      <c r="D2088" s="33"/>
      <c r="E2088" s="33"/>
      <c r="F2088" s="56"/>
      <c r="G2088" s="33"/>
      <c r="H2088" s="33"/>
      <c r="I2088" s="33"/>
      <c r="J2088" s="57"/>
      <c r="K2088" s="33"/>
      <c r="L2088" s="57"/>
      <c r="M2088" s="64"/>
      <c r="N2088" s="56"/>
      <c r="O2088" s="64"/>
      <c r="P2088" s="62"/>
      <c r="Q2088" s="33"/>
      <c r="R2088" s="33"/>
      <c r="S2088" s="61"/>
      <c r="T2088" s="33"/>
      <c r="U2088" s="62"/>
      <c r="W2088" s="61"/>
      <c r="X2088" s="62"/>
      <c r="AD2088" s="64"/>
      <c r="AG2088" s="64"/>
    </row>
    <row r="2089" spans="2:33" ht="16">
      <c r="B2089" s="67" t="str">
        <f t="shared" si="9"/>
        <v/>
      </c>
      <c r="C2089" s="33"/>
      <c r="D2089" s="33"/>
      <c r="E2089" s="33"/>
      <c r="F2089" s="56"/>
      <c r="G2089" s="33"/>
      <c r="H2089" s="33"/>
      <c r="I2089" s="33"/>
      <c r="J2089" s="57"/>
      <c r="K2089" s="33"/>
      <c r="L2089" s="57"/>
      <c r="M2089" s="64"/>
      <c r="N2089" s="56"/>
      <c r="O2089" s="64"/>
      <c r="P2089" s="62"/>
      <c r="Q2089" s="33"/>
      <c r="R2089" s="33"/>
      <c r="S2089" s="61"/>
      <c r="T2089" s="33"/>
      <c r="U2089" s="62"/>
      <c r="W2089" s="61"/>
      <c r="X2089" s="62"/>
      <c r="AD2089" s="58"/>
      <c r="AG2089" s="58"/>
    </row>
    <row r="2090" spans="2:33" ht="16">
      <c r="B2090" s="67" t="str">
        <f t="shared" si="9"/>
        <v/>
      </c>
      <c r="C2090" s="33"/>
      <c r="D2090" s="33"/>
      <c r="E2090" s="33"/>
      <c r="F2090" s="56"/>
      <c r="G2090" s="33"/>
      <c r="H2090" s="33"/>
      <c r="I2090" s="33"/>
      <c r="J2090" s="57"/>
      <c r="K2090" s="33"/>
      <c r="L2090" s="57"/>
      <c r="M2090" s="64"/>
      <c r="N2090" s="56"/>
      <c r="O2090" s="64"/>
      <c r="P2090" s="62"/>
      <c r="Q2090" s="33"/>
      <c r="R2090" s="33"/>
      <c r="S2090" s="61"/>
      <c r="T2090" s="33"/>
      <c r="U2090" s="62"/>
      <c r="W2090" s="61"/>
      <c r="X2090" s="62"/>
      <c r="AD2090" s="64"/>
      <c r="AG2090" s="64"/>
    </row>
    <row r="2091" spans="2:33" ht="16">
      <c r="B2091" s="67" t="str">
        <f t="shared" si="9"/>
        <v/>
      </c>
      <c r="C2091" s="33"/>
      <c r="D2091" s="33"/>
      <c r="E2091" s="33"/>
      <c r="F2091" s="56"/>
      <c r="G2091" s="33"/>
      <c r="H2091" s="33"/>
      <c r="I2091" s="33"/>
      <c r="J2091" s="57"/>
      <c r="K2091" s="33"/>
      <c r="L2091" s="57"/>
      <c r="M2091" s="64"/>
      <c r="N2091" s="56"/>
      <c r="O2091" s="64"/>
      <c r="P2091" s="62"/>
      <c r="Q2091" s="33"/>
      <c r="R2091" s="33"/>
      <c r="S2091" s="61"/>
      <c r="T2091" s="33"/>
      <c r="U2091" s="62"/>
      <c r="W2091" s="61"/>
      <c r="X2091" s="62"/>
      <c r="AD2091" s="64"/>
      <c r="AG2091" s="64"/>
    </row>
    <row r="2092" spans="2:33" ht="16">
      <c r="B2092" s="67" t="str">
        <f t="shared" si="9"/>
        <v/>
      </c>
      <c r="C2092" s="33"/>
      <c r="D2092" s="33"/>
      <c r="E2092" s="33"/>
      <c r="F2092" s="56"/>
      <c r="G2092" s="33"/>
      <c r="H2092" s="33"/>
      <c r="I2092" s="33"/>
      <c r="J2092" s="57"/>
      <c r="K2092" s="33"/>
      <c r="L2092" s="57"/>
      <c r="M2092" s="64"/>
      <c r="N2092" s="56"/>
      <c r="O2092" s="64"/>
      <c r="P2092" s="62"/>
      <c r="Q2092" s="33"/>
      <c r="R2092" s="33"/>
      <c r="S2092" s="61"/>
      <c r="T2092" s="33"/>
      <c r="U2092" s="62"/>
      <c r="W2092" s="61"/>
      <c r="X2092" s="62"/>
      <c r="AD2092" s="58"/>
      <c r="AG2092" s="58"/>
    </row>
    <row r="2093" spans="2:33" ht="16">
      <c r="B2093" s="67" t="str">
        <f t="shared" si="9"/>
        <v/>
      </c>
      <c r="C2093" s="33"/>
      <c r="D2093" s="33"/>
      <c r="E2093" s="33"/>
      <c r="F2093" s="56"/>
      <c r="G2093" s="33"/>
      <c r="H2093" s="33"/>
      <c r="I2093" s="33"/>
      <c r="J2093" s="57"/>
      <c r="K2093" s="33"/>
      <c r="L2093" s="57"/>
      <c r="M2093" s="64"/>
      <c r="N2093" s="56"/>
      <c r="O2093" s="64"/>
      <c r="P2093" s="62"/>
      <c r="Q2093" s="33"/>
      <c r="R2093" s="33"/>
      <c r="S2093" s="61"/>
      <c r="T2093" s="33"/>
      <c r="U2093" s="62"/>
      <c r="W2093" s="61"/>
      <c r="X2093" s="62"/>
      <c r="AD2093" s="58"/>
      <c r="AG2093" s="58"/>
    </row>
    <row r="2094" spans="2:33" ht="16">
      <c r="B2094" s="67" t="str">
        <f t="shared" si="9"/>
        <v/>
      </c>
      <c r="C2094" s="33"/>
      <c r="D2094" s="33"/>
      <c r="E2094" s="33"/>
      <c r="F2094" s="56"/>
      <c r="G2094" s="33"/>
      <c r="H2094" s="33"/>
      <c r="I2094" s="33"/>
      <c r="J2094" s="57"/>
      <c r="K2094" s="33"/>
      <c r="L2094" s="57"/>
      <c r="M2094" s="64"/>
      <c r="N2094" s="56"/>
      <c r="O2094" s="58"/>
      <c r="P2094" s="62"/>
      <c r="Q2094" s="33"/>
      <c r="R2094" s="33"/>
      <c r="S2094" s="61"/>
      <c r="T2094" s="33"/>
      <c r="U2094" s="62"/>
      <c r="W2094" s="61"/>
      <c r="X2094" s="62"/>
      <c r="AD2094" s="58"/>
      <c r="AG2094" s="64"/>
    </row>
    <row r="2095" spans="2:33" ht="16">
      <c r="B2095" s="67" t="str">
        <f t="shared" si="9"/>
        <v/>
      </c>
      <c r="C2095" s="33"/>
      <c r="D2095" s="33"/>
      <c r="E2095" s="33"/>
      <c r="F2095" s="56"/>
      <c r="G2095" s="33"/>
      <c r="H2095" s="33"/>
      <c r="I2095" s="33"/>
      <c r="J2095" s="57"/>
      <c r="K2095" s="33"/>
      <c r="L2095" s="57"/>
      <c r="M2095" s="58"/>
      <c r="N2095" s="56"/>
      <c r="O2095" s="58"/>
      <c r="P2095" s="62"/>
      <c r="Q2095" s="33"/>
      <c r="R2095" s="33"/>
      <c r="S2095" s="61"/>
      <c r="T2095" s="33"/>
      <c r="U2095" s="62"/>
      <c r="W2095" s="61"/>
      <c r="X2095" s="62"/>
      <c r="AD2095" s="64"/>
      <c r="AG2095" s="64"/>
    </row>
    <row r="2096" spans="2:33" ht="16">
      <c r="B2096" s="67" t="str">
        <f t="shared" si="9"/>
        <v/>
      </c>
      <c r="C2096" s="33"/>
      <c r="D2096" s="33"/>
      <c r="E2096" s="33"/>
      <c r="F2096" s="56"/>
      <c r="G2096" s="33"/>
      <c r="H2096" s="33"/>
      <c r="I2096" s="33"/>
      <c r="J2096" s="57"/>
      <c r="K2096" s="33"/>
      <c r="L2096" s="57"/>
      <c r="M2096" s="64"/>
      <c r="N2096" s="56"/>
      <c r="O2096" s="64"/>
      <c r="P2096" s="62"/>
      <c r="Q2096" s="33"/>
      <c r="R2096" s="33"/>
      <c r="S2096" s="61"/>
      <c r="T2096" s="33"/>
      <c r="U2096" s="62"/>
      <c r="W2096" s="61"/>
      <c r="X2096" s="62"/>
      <c r="AD2096" s="64"/>
      <c r="AG2096" s="64"/>
    </row>
    <row r="2097" spans="2:33" ht="16">
      <c r="B2097" s="67" t="str">
        <f t="shared" si="9"/>
        <v/>
      </c>
      <c r="C2097" s="33"/>
      <c r="D2097" s="33"/>
      <c r="E2097" s="33"/>
      <c r="F2097" s="56"/>
      <c r="G2097" s="33"/>
      <c r="H2097" s="33"/>
      <c r="I2097" s="33"/>
      <c r="J2097" s="57"/>
      <c r="K2097" s="33"/>
      <c r="L2097" s="57"/>
      <c r="M2097" s="64"/>
      <c r="N2097" s="56"/>
      <c r="O2097" s="64"/>
      <c r="P2097" s="62"/>
      <c r="Q2097" s="33"/>
      <c r="R2097" s="33"/>
      <c r="S2097" s="61"/>
      <c r="T2097" s="33"/>
      <c r="U2097" s="62"/>
      <c r="W2097" s="61"/>
      <c r="X2097" s="62"/>
      <c r="AD2097" s="64"/>
      <c r="AG2097" s="64"/>
    </row>
    <row r="2098" spans="2:33" ht="16">
      <c r="B2098" s="67" t="str">
        <f t="shared" si="9"/>
        <v/>
      </c>
      <c r="C2098" s="33"/>
      <c r="D2098" s="33"/>
      <c r="E2098" s="33"/>
      <c r="F2098" s="56"/>
      <c r="G2098" s="33"/>
      <c r="H2098" s="33"/>
      <c r="I2098" s="33"/>
      <c r="J2098" s="57"/>
      <c r="K2098" s="33"/>
      <c r="L2098" s="57"/>
      <c r="M2098" s="58"/>
      <c r="N2098" s="56"/>
      <c r="O2098" s="58"/>
      <c r="P2098" s="62"/>
      <c r="Q2098" s="33"/>
      <c r="R2098" s="33"/>
      <c r="S2098" s="61"/>
      <c r="T2098" s="33"/>
      <c r="U2098" s="62"/>
      <c r="W2098" s="61"/>
      <c r="X2098" s="62"/>
      <c r="AD2098" s="58"/>
      <c r="AG2098" s="64"/>
    </row>
    <row r="2099" spans="2:33" ht="16">
      <c r="B2099" s="67" t="str">
        <f t="shared" si="9"/>
        <v/>
      </c>
      <c r="C2099" s="33"/>
      <c r="D2099" s="33"/>
      <c r="E2099" s="33"/>
      <c r="F2099" s="56"/>
      <c r="G2099" s="33"/>
      <c r="H2099" s="33"/>
      <c r="I2099" s="33"/>
      <c r="J2099" s="57"/>
      <c r="K2099" s="33"/>
      <c r="L2099" s="57"/>
      <c r="M2099" s="64"/>
      <c r="N2099" s="56"/>
      <c r="O2099" s="64"/>
      <c r="P2099" s="62"/>
      <c r="Q2099" s="33"/>
      <c r="R2099" s="33"/>
      <c r="S2099" s="61"/>
      <c r="T2099" s="33"/>
      <c r="U2099" s="62"/>
      <c r="W2099" s="61"/>
      <c r="X2099" s="62"/>
      <c r="AD2099" s="64"/>
      <c r="AG2099" s="64"/>
    </row>
    <row r="2100" spans="2:33" ht="16">
      <c r="B2100" s="67" t="str">
        <f t="shared" si="9"/>
        <v/>
      </c>
      <c r="C2100" s="33"/>
      <c r="D2100" s="33"/>
      <c r="E2100" s="33"/>
      <c r="F2100" s="56"/>
      <c r="G2100" s="33"/>
      <c r="H2100" s="33"/>
      <c r="I2100" s="33"/>
      <c r="J2100" s="57"/>
      <c r="K2100" s="33"/>
      <c r="L2100" s="57"/>
      <c r="M2100" s="64"/>
      <c r="N2100" s="56"/>
      <c r="O2100" s="64"/>
      <c r="P2100" s="62"/>
      <c r="Q2100" s="33"/>
      <c r="R2100" s="33"/>
      <c r="S2100" s="61"/>
      <c r="T2100" s="33"/>
      <c r="U2100" s="62"/>
      <c r="W2100" s="61"/>
      <c r="X2100" s="62"/>
      <c r="AD2100" s="64"/>
      <c r="AG2100" s="64"/>
    </row>
    <row r="2101" spans="2:33" ht="16">
      <c r="B2101" s="67" t="str">
        <f t="shared" si="9"/>
        <v/>
      </c>
      <c r="C2101" s="33"/>
      <c r="D2101" s="33"/>
      <c r="E2101" s="33"/>
      <c r="F2101" s="56"/>
      <c r="G2101" s="33"/>
      <c r="H2101" s="33"/>
      <c r="I2101" s="33"/>
      <c r="J2101" s="57"/>
      <c r="K2101" s="33"/>
      <c r="L2101" s="57"/>
      <c r="M2101" s="64"/>
      <c r="N2101" s="56"/>
      <c r="O2101" s="64"/>
      <c r="P2101" s="62"/>
      <c r="Q2101" s="33"/>
      <c r="R2101" s="33"/>
      <c r="S2101" s="61"/>
      <c r="T2101" s="33"/>
      <c r="U2101" s="62"/>
      <c r="W2101" s="61"/>
      <c r="X2101" s="62"/>
      <c r="AD2101" s="64"/>
      <c r="AG2101" s="64"/>
    </row>
    <row r="2102" spans="2:33" ht="16">
      <c r="B2102" s="67" t="str">
        <f t="shared" si="9"/>
        <v/>
      </c>
      <c r="C2102" s="33"/>
      <c r="D2102" s="33"/>
      <c r="E2102" s="33"/>
      <c r="F2102" s="56"/>
      <c r="G2102" s="33"/>
      <c r="H2102" s="33"/>
      <c r="I2102" s="33"/>
      <c r="J2102" s="57"/>
      <c r="K2102" s="33"/>
      <c r="L2102" s="57"/>
      <c r="M2102" s="64"/>
      <c r="N2102" s="56"/>
      <c r="O2102" s="64"/>
      <c r="P2102" s="62"/>
      <c r="Q2102" s="33"/>
      <c r="R2102" s="33"/>
      <c r="S2102" s="61"/>
      <c r="T2102" s="33"/>
      <c r="U2102" s="62"/>
      <c r="W2102" s="61"/>
      <c r="X2102" s="62"/>
      <c r="AD2102" s="64"/>
      <c r="AG2102" s="64"/>
    </row>
    <row r="2103" spans="2:33" ht="16">
      <c r="B2103" s="67" t="str">
        <f t="shared" si="9"/>
        <v/>
      </c>
      <c r="C2103" s="33"/>
      <c r="D2103" s="33"/>
      <c r="E2103" s="33"/>
      <c r="F2103" s="56"/>
      <c r="G2103" s="33"/>
      <c r="H2103" s="33"/>
      <c r="I2103" s="33"/>
      <c r="J2103" s="57"/>
      <c r="K2103" s="33"/>
      <c r="L2103" s="57"/>
      <c r="M2103" s="64"/>
      <c r="N2103" s="56"/>
      <c r="O2103" s="64"/>
      <c r="P2103" s="62"/>
      <c r="Q2103" s="33"/>
      <c r="R2103" s="33"/>
      <c r="S2103" s="61"/>
      <c r="T2103" s="33"/>
      <c r="U2103" s="62"/>
      <c r="W2103" s="61"/>
      <c r="X2103" s="62"/>
      <c r="AD2103" s="64"/>
      <c r="AG2103" s="64"/>
    </row>
    <row r="2104" spans="2:33" ht="16">
      <c r="B2104" s="67" t="str">
        <f t="shared" si="9"/>
        <v/>
      </c>
      <c r="C2104" s="33"/>
      <c r="D2104" s="33"/>
      <c r="E2104" s="33"/>
      <c r="F2104" s="56"/>
      <c r="G2104" s="33"/>
      <c r="H2104" s="33"/>
      <c r="I2104" s="33"/>
      <c r="J2104" s="57"/>
      <c r="K2104" s="33"/>
      <c r="L2104" s="57"/>
      <c r="M2104" s="64"/>
      <c r="N2104" s="56"/>
      <c r="O2104" s="58"/>
      <c r="P2104" s="62"/>
      <c r="Q2104" s="33"/>
      <c r="R2104" s="33"/>
      <c r="S2104" s="61"/>
      <c r="T2104" s="33"/>
      <c r="U2104" s="62"/>
      <c r="W2104" s="61"/>
      <c r="X2104" s="62"/>
      <c r="AD2104" s="58"/>
      <c r="AG2104" s="58"/>
    </row>
    <row r="2105" spans="2:33" ht="16">
      <c r="B2105" s="67" t="str">
        <f t="shared" si="9"/>
        <v/>
      </c>
      <c r="C2105" s="33"/>
      <c r="D2105" s="33"/>
      <c r="E2105" s="33"/>
      <c r="F2105" s="56"/>
      <c r="G2105" s="33"/>
      <c r="H2105" s="33"/>
      <c r="I2105" s="33"/>
      <c r="J2105" s="57"/>
      <c r="K2105" s="33"/>
      <c r="L2105" s="57"/>
      <c r="M2105" s="64"/>
      <c r="N2105" s="56"/>
      <c r="O2105" s="58"/>
      <c r="P2105" s="62"/>
      <c r="Q2105" s="33"/>
      <c r="R2105" s="33"/>
      <c r="S2105" s="61"/>
      <c r="T2105" s="33"/>
      <c r="U2105" s="62"/>
      <c r="W2105" s="61"/>
      <c r="X2105" s="62"/>
      <c r="AD2105" s="64"/>
      <c r="AG2105" s="64"/>
    </row>
    <row r="2106" spans="2:33" ht="16">
      <c r="B2106" s="67" t="str">
        <f t="shared" si="9"/>
        <v/>
      </c>
      <c r="C2106" s="33"/>
      <c r="D2106" s="33"/>
      <c r="E2106" s="33"/>
      <c r="F2106" s="56"/>
      <c r="G2106" s="33"/>
      <c r="H2106" s="33"/>
      <c r="I2106" s="33"/>
      <c r="J2106" s="57"/>
      <c r="K2106" s="33"/>
      <c r="L2106" s="57"/>
      <c r="M2106" s="64"/>
      <c r="N2106" s="56"/>
      <c r="O2106" s="64"/>
      <c r="P2106" s="62"/>
      <c r="Q2106" s="33"/>
      <c r="R2106" s="33"/>
      <c r="S2106" s="61"/>
      <c r="T2106" s="33"/>
      <c r="U2106" s="62"/>
      <c r="W2106" s="61"/>
      <c r="X2106" s="62"/>
      <c r="AD2106" s="64"/>
      <c r="AG2106" s="64"/>
    </row>
    <row r="2107" spans="2:33" ht="16">
      <c r="B2107" s="67" t="str">
        <f t="shared" si="9"/>
        <v/>
      </c>
      <c r="C2107" s="33"/>
      <c r="D2107" s="33"/>
      <c r="E2107" s="33"/>
      <c r="F2107" s="56"/>
      <c r="G2107" s="33"/>
      <c r="H2107" s="33"/>
      <c r="I2107" s="33"/>
      <c r="J2107" s="57"/>
      <c r="K2107" s="33"/>
      <c r="L2107" s="57"/>
      <c r="M2107" s="64"/>
      <c r="N2107" s="56"/>
      <c r="O2107" s="64"/>
      <c r="P2107" s="62"/>
      <c r="Q2107" s="33"/>
      <c r="R2107" s="33"/>
      <c r="S2107" s="61"/>
      <c r="T2107" s="33"/>
      <c r="U2107" s="62"/>
      <c r="W2107" s="61"/>
      <c r="X2107" s="62"/>
      <c r="AD2107" s="64"/>
      <c r="AG2107" s="64"/>
    </row>
    <row r="2108" spans="2:33" ht="16">
      <c r="B2108" s="67" t="str">
        <f t="shared" si="9"/>
        <v/>
      </c>
      <c r="C2108" s="33"/>
      <c r="D2108" s="33"/>
      <c r="E2108" s="33"/>
      <c r="F2108" s="56"/>
      <c r="G2108" s="33"/>
      <c r="H2108" s="33"/>
      <c r="I2108" s="33"/>
      <c r="J2108" s="57"/>
      <c r="K2108" s="33"/>
      <c r="L2108" s="57"/>
      <c r="M2108" s="64"/>
      <c r="N2108" s="56"/>
      <c r="O2108" s="64"/>
      <c r="P2108" s="62"/>
      <c r="Q2108" s="33"/>
      <c r="R2108" s="33"/>
      <c r="S2108" s="61"/>
      <c r="T2108" s="33"/>
      <c r="U2108" s="62"/>
      <c r="W2108" s="61"/>
      <c r="X2108" s="62"/>
      <c r="AD2108" s="64"/>
      <c r="AG2108" s="64"/>
    </row>
    <row r="2109" spans="2:33" ht="16">
      <c r="B2109" s="67" t="str">
        <f t="shared" si="9"/>
        <v/>
      </c>
      <c r="C2109" s="33"/>
      <c r="D2109" s="33"/>
      <c r="E2109" s="33"/>
      <c r="F2109" s="56"/>
      <c r="G2109" s="33"/>
      <c r="H2109" s="33"/>
      <c r="I2109" s="33"/>
      <c r="J2109" s="57"/>
      <c r="K2109" s="33"/>
      <c r="L2109" s="57"/>
      <c r="M2109" s="64"/>
      <c r="N2109" s="56"/>
      <c r="O2109" s="64"/>
      <c r="P2109" s="62"/>
      <c r="Q2109" s="33"/>
      <c r="R2109" s="33"/>
      <c r="S2109" s="61"/>
      <c r="T2109" s="33"/>
      <c r="U2109" s="62"/>
      <c r="W2109" s="61"/>
      <c r="X2109" s="62"/>
      <c r="AD2109" s="64"/>
      <c r="AG2109" s="64"/>
    </row>
    <row r="2110" spans="2:33" ht="16">
      <c r="B2110" s="67" t="str">
        <f t="shared" si="9"/>
        <v/>
      </c>
      <c r="C2110" s="33"/>
      <c r="D2110" s="33"/>
      <c r="E2110" s="33"/>
      <c r="F2110" s="56"/>
      <c r="G2110" s="33"/>
      <c r="H2110" s="33"/>
      <c r="I2110" s="33"/>
      <c r="J2110" s="57"/>
      <c r="K2110" s="33"/>
      <c r="L2110" s="57"/>
      <c r="M2110" s="64"/>
      <c r="N2110" s="56"/>
      <c r="O2110" s="64"/>
      <c r="P2110" s="62"/>
      <c r="Q2110" s="33"/>
      <c r="R2110" s="33"/>
      <c r="S2110" s="61"/>
      <c r="T2110" s="33"/>
      <c r="U2110" s="62"/>
      <c r="W2110" s="61"/>
      <c r="X2110" s="62"/>
      <c r="AD2110" s="58"/>
      <c r="AG2110" s="64"/>
    </row>
    <row r="2111" spans="2:33" ht="16">
      <c r="B2111" s="67" t="str">
        <f t="shared" si="9"/>
        <v/>
      </c>
      <c r="C2111" s="33"/>
      <c r="D2111" s="33"/>
      <c r="E2111" s="33"/>
      <c r="F2111" s="56"/>
      <c r="G2111" s="33"/>
      <c r="H2111" s="33"/>
      <c r="I2111" s="33"/>
      <c r="J2111" s="57"/>
      <c r="K2111" s="33"/>
      <c r="L2111" s="57"/>
      <c r="M2111" s="64"/>
      <c r="N2111" s="56"/>
      <c r="O2111" s="58"/>
      <c r="P2111" s="62"/>
      <c r="Q2111" s="33"/>
      <c r="R2111" s="33"/>
      <c r="S2111" s="61"/>
      <c r="T2111" s="33"/>
      <c r="U2111" s="62"/>
      <c r="W2111" s="61"/>
      <c r="X2111" s="62"/>
      <c r="AD2111" s="58"/>
      <c r="AG2111" s="64"/>
    </row>
    <row r="2112" spans="2:33" ht="16">
      <c r="B2112" s="67" t="str">
        <f t="shared" si="9"/>
        <v/>
      </c>
      <c r="C2112" s="33"/>
      <c r="D2112" s="33"/>
      <c r="E2112" s="33"/>
      <c r="F2112" s="56"/>
      <c r="G2112" s="33"/>
      <c r="H2112" s="33"/>
      <c r="I2112" s="33"/>
      <c r="J2112" s="57"/>
      <c r="K2112" s="33"/>
      <c r="L2112" s="57"/>
      <c r="M2112" s="64"/>
      <c r="N2112" s="56"/>
      <c r="O2112" s="64"/>
      <c r="P2112" s="62"/>
      <c r="Q2112" s="33"/>
      <c r="R2112" s="33"/>
      <c r="S2112" s="61"/>
      <c r="T2112" s="33"/>
      <c r="U2112" s="62"/>
      <c r="W2112" s="61"/>
      <c r="X2112" s="62"/>
      <c r="AD2112" s="64"/>
      <c r="AG2112" s="64"/>
    </row>
    <row r="2113" spans="2:33" ht="16">
      <c r="B2113" s="67" t="str">
        <f t="shared" si="9"/>
        <v/>
      </c>
      <c r="C2113" s="33"/>
      <c r="D2113" s="33"/>
      <c r="E2113" s="33"/>
      <c r="F2113" s="56"/>
      <c r="G2113" s="33"/>
      <c r="H2113" s="33"/>
      <c r="I2113" s="33"/>
      <c r="J2113" s="57"/>
      <c r="K2113" s="33"/>
      <c r="L2113" s="57"/>
      <c r="M2113" s="58"/>
      <c r="N2113" s="56"/>
      <c r="O2113" s="58"/>
      <c r="P2113" s="62"/>
      <c r="Q2113" s="33"/>
      <c r="R2113" s="33"/>
      <c r="S2113" s="61"/>
      <c r="T2113" s="33"/>
      <c r="U2113" s="62"/>
      <c r="W2113" s="61"/>
      <c r="X2113" s="62"/>
      <c r="AD2113" s="64"/>
      <c r="AG2113" s="64"/>
    </row>
    <row r="2114" spans="2:33" ht="16">
      <c r="B2114" s="67" t="str">
        <f t="shared" si="9"/>
        <v/>
      </c>
      <c r="C2114" s="33"/>
      <c r="D2114" s="33"/>
      <c r="E2114" s="33"/>
      <c r="F2114" s="56"/>
      <c r="G2114" s="33"/>
      <c r="H2114" s="33"/>
      <c r="I2114" s="33"/>
      <c r="J2114" s="57"/>
      <c r="K2114" s="33"/>
      <c r="L2114" s="57"/>
      <c r="M2114" s="64"/>
      <c r="N2114" s="56"/>
      <c r="O2114" s="64"/>
      <c r="P2114" s="62"/>
      <c r="Q2114" s="33"/>
      <c r="R2114" s="33"/>
      <c r="S2114" s="61"/>
      <c r="T2114" s="33"/>
      <c r="U2114" s="62"/>
      <c r="W2114" s="61"/>
      <c r="X2114" s="62"/>
      <c r="AD2114" s="64"/>
      <c r="AG2114" s="58"/>
    </row>
    <row r="2115" spans="2:33" ht="16">
      <c r="B2115" s="67" t="str">
        <f t="shared" si="9"/>
        <v/>
      </c>
      <c r="C2115" s="33"/>
      <c r="D2115" s="33"/>
      <c r="E2115" s="33"/>
      <c r="F2115" s="56"/>
      <c r="G2115" s="33"/>
      <c r="H2115" s="33"/>
      <c r="I2115" s="33"/>
      <c r="J2115" s="57"/>
      <c r="K2115" s="33"/>
      <c r="L2115" s="57"/>
      <c r="M2115" s="58"/>
      <c r="N2115" s="56"/>
      <c r="O2115" s="58"/>
      <c r="P2115" s="62"/>
      <c r="Q2115" s="33"/>
      <c r="R2115" s="33"/>
      <c r="S2115" s="61"/>
      <c r="T2115" s="33"/>
      <c r="U2115" s="62"/>
      <c r="W2115" s="61"/>
      <c r="X2115" s="62"/>
      <c r="AD2115" s="58"/>
      <c r="AG2115" s="64"/>
    </row>
    <row r="2116" spans="2:33" ht="16">
      <c r="B2116" s="67" t="str">
        <f t="shared" si="9"/>
        <v/>
      </c>
      <c r="C2116" s="33"/>
      <c r="D2116" s="33"/>
      <c r="E2116" s="33"/>
      <c r="F2116" s="56"/>
      <c r="G2116" s="33"/>
      <c r="H2116" s="33"/>
      <c r="I2116" s="33"/>
      <c r="J2116" s="57"/>
      <c r="K2116" s="33"/>
      <c r="L2116" s="57"/>
      <c r="M2116" s="64"/>
      <c r="N2116" s="56"/>
      <c r="O2116" s="64"/>
      <c r="P2116" s="62"/>
      <c r="Q2116" s="33"/>
      <c r="R2116" s="33"/>
      <c r="S2116" s="61"/>
      <c r="T2116" s="33"/>
      <c r="U2116" s="62"/>
      <c r="W2116" s="61"/>
      <c r="X2116" s="62"/>
      <c r="AD2116" s="64"/>
      <c r="AG2116" s="64"/>
    </row>
    <row r="2117" spans="2:33" ht="16">
      <c r="B2117" s="67" t="str">
        <f t="shared" si="9"/>
        <v/>
      </c>
      <c r="C2117" s="33"/>
      <c r="D2117" s="33"/>
      <c r="E2117" s="33"/>
      <c r="F2117" s="56"/>
      <c r="G2117" s="33"/>
      <c r="H2117" s="33"/>
      <c r="I2117" s="33"/>
      <c r="J2117" s="57"/>
      <c r="K2117" s="33"/>
      <c r="L2117" s="57"/>
      <c r="M2117" s="64"/>
      <c r="N2117" s="56"/>
      <c r="O2117" s="64"/>
      <c r="P2117" s="62"/>
      <c r="Q2117" s="33"/>
      <c r="R2117" s="33"/>
      <c r="S2117" s="61"/>
      <c r="T2117" s="33"/>
      <c r="U2117" s="62"/>
      <c r="W2117" s="61"/>
      <c r="X2117" s="62"/>
      <c r="AD2117" s="64"/>
      <c r="AG2117" s="64"/>
    </row>
    <row r="2118" spans="2:33" ht="16">
      <c r="B2118" s="67" t="str">
        <f t="shared" si="9"/>
        <v/>
      </c>
      <c r="C2118" s="33"/>
      <c r="D2118" s="33"/>
      <c r="E2118" s="33"/>
      <c r="F2118" s="56"/>
      <c r="G2118" s="33"/>
      <c r="H2118" s="33"/>
      <c r="I2118" s="33"/>
      <c r="J2118" s="57"/>
      <c r="K2118" s="33"/>
      <c r="L2118" s="57"/>
      <c r="M2118" s="64"/>
      <c r="N2118" s="56"/>
      <c r="O2118" s="64"/>
      <c r="P2118" s="62"/>
      <c r="Q2118" s="33"/>
      <c r="R2118" s="33"/>
      <c r="S2118" s="61"/>
      <c r="T2118" s="33"/>
      <c r="U2118" s="62"/>
      <c r="W2118" s="61"/>
      <c r="X2118" s="62"/>
      <c r="AD2118" s="58"/>
      <c r="AG2118" s="58"/>
    </row>
    <row r="2119" spans="2:33" ht="16">
      <c r="B2119" s="67" t="str">
        <f t="shared" si="9"/>
        <v/>
      </c>
      <c r="C2119" s="33"/>
      <c r="D2119" s="33"/>
      <c r="E2119" s="33"/>
      <c r="F2119" s="56"/>
      <c r="G2119" s="33"/>
      <c r="H2119" s="33"/>
      <c r="I2119" s="33"/>
      <c r="J2119" s="57"/>
      <c r="K2119" s="33"/>
      <c r="L2119" s="57"/>
      <c r="M2119" s="64"/>
      <c r="N2119" s="56"/>
      <c r="O2119" s="64"/>
      <c r="P2119" s="62"/>
      <c r="Q2119" s="33"/>
      <c r="R2119" s="33"/>
      <c r="S2119" s="61"/>
      <c r="T2119" s="33"/>
      <c r="U2119" s="62"/>
      <c r="W2119" s="61"/>
      <c r="X2119" s="62"/>
      <c r="AD2119" s="64"/>
      <c r="AG2119" s="64"/>
    </row>
    <row r="2120" spans="2:33" ht="16">
      <c r="B2120" s="67" t="str">
        <f t="shared" si="9"/>
        <v/>
      </c>
      <c r="C2120" s="33"/>
      <c r="D2120" s="33"/>
      <c r="E2120" s="33"/>
      <c r="F2120" s="56"/>
      <c r="G2120" s="33"/>
      <c r="H2120" s="33"/>
      <c r="I2120" s="33"/>
      <c r="J2120" s="57"/>
      <c r="K2120" s="33"/>
      <c r="L2120" s="57"/>
      <c r="M2120" s="64"/>
      <c r="N2120" s="56"/>
      <c r="O2120" s="64"/>
      <c r="P2120" s="62"/>
      <c r="Q2120" s="33"/>
      <c r="R2120" s="33"/>
      <c r="S2120" s="61"/>
      <c r="T2120" s="33"/>
      <c r="U2120" s="62"/>
      <c r="W2120" s="61"/>
      <c r="X2120" s="62"/>
      <c r="AD2120" s="58"/>
      <c r="AG2120" s="64"/>
    </row>
    <row r="2121" spans="2:33" ht="16">
      <c r="B2121" s="67" t="str">
        <f t="shared" si="9"/>
        <v/>
      </c>
      <c r="C2121" s="33"/>
      <c r="D2121" s="33"/>
      <c r="E2121" s="33"/>
      <c r="F2121" s="56"/>
      <c r="G2121" s="33"/>
      <c r="H2121" s="33"/>
      <c r="I2121" s="33"/>
      <c r="J2121" s="57"/>
      <c r="K2121" s="33"/>
      <c r="L2121" s="57"/>
      <c r="M2121" s="64"/>
      <c r="N2121" s="56"/>
      <c r="O2121" s="64"/>
      <c r="P2121" s="62"/>
      <c r="Q2121" s="33"/>
      <c r="R2121" s="33"/>
      <c r="S2121" s="61"/>
      <c r="T2121" s="33"/>
      <c r="U2121" s="62"/>
      <c r="W2121" s="61"/>
      <c r="X2121" s="62"/>
      <c r="AD2121" s="64"/>
      <c r="AG2121" s="64"/>
    </row>
    <row r="2122" spans="2:33" ht="16">
      <c r="B2122" s="67" t="str">
        <f t="shared" si="9"/>
        <v/>
      </c>
      <c r="C2122" s="33"/>
      <c r="D2122" s="33"/>
      <c r="E2122" s="33"/>
      <c r="F2122" s="56"/>
      <c r="G2122" s="33"/>
      <c r="H2122" s="33"/>
      <c r="I2122" s="33"/>
      <c r="J2122" s="57"/>
      <c r="K2122" s="33"/>
      <c r="L2122" s="57"/>
      <c r="M2122" s="64"/>
      <c r="N2122" s="56"/>
      <c r="O2122" s="64"/>
      <c r="P2122" s="62"/>
      <c r="Q2122" s="33"/>
      <c r="R2122" s="33"/>
      <c r="S2122" s="61"/>
      <c r="T2122" s="33"/>
      <c r="U2122" s="62"/>
      <c r="W2122" s="61"/>
      <c r="X2122" s="62"/>
      <c r="AD2122" s="64"/>
      <c r="AG2122" s="64"/>
    </row>
    <row r="2123" spans="2:33" ht="16">
      <c r="B2123" s="67" t="str">
        <f t="shared" si="9"/>
        <v/>
      </c>
      <c r="C2123" s="33"/>
      <c r="D2123" s="33"/>
      <c r="E2123" s="33"/>
      <c r="F2123" s="56"/>
      <c r="G2123" s="33"/>
      <c r="H2123" s="33"/>
      <c r="I2123" s="33"/>
      <c r="J2123" s="57"/>
      <c r="K2123" s="33"/>
      <c r="L2123" s="57"/>
      <c r="M2123" s="58"/>
      <c r="N2123" s="56"/>
      <c r="O2123" s="58"/>
      <c r="P2123" s="62"/>
      <c r="Q2123" s="33"/>
      <c r="R2123" s="33"/>
      <c r="S2123" s="61"/>
      <c r="T2123" s="33"/>
      <c r="U2123" s="62"/>
      <c r="W2123" s="61"/>
      <c r="X2123" s="62"/>
      <c r="AD2123" s="58"/>
      <c r="AG2123" s="64"/>
    </row>
    <row r="2124" spans="2:33" ht="16">
      <c r="B2124" s="67" t="str">
        <f t="shared" si="9"/>
        <v/>
      </c>
      <c r="C2124" s="33"/>
      <c r="D2124" s="33"/>
      <c r="E2124" s="33"/>
      <c r="F2124" s="56"/>
      <c r="G2124" s="33"/>
      <c r="H2124" s="33"/>
      <c r="I2124" s="33"/>
      <c r="J2124" s="57"/>
      <c r="K2124" s="33"/>
      <c r="L2124" s="57"/>
      <c r="M2124" s="58"/>
      <c r="N2124" s="56"/>
      <c r="O2124" s="64"/>
      <c r="P2124" s="62"/>
      <c r="Q2124" s="33"/>
      <c r="R2124" s="33"/>
      <c r="S2124" s="61"/>
      <c r="T2124" s="33"/>
      <c r="U2124" s="62"/>
      <c r="W2124" s="61"/>
      <c r="X2124" s="62"/>
      <c r="AD2124" s="64"/>
      <c r="AG2124" s="58"/>
    </row>
    <row r="2125" spans="2:33" ht="16">
      <c r="B2125" s="67" t="str">
        <f t="shared" si="9"/>
        <v/>
      </c>
      <c r="C2125" s="33"/>
      <c r="D2125" s="33"/>
      <c r="E2125" s="33"/>
      <c r="F2125" s="56"/>
      <c r="G2125" s="33"/>
      <c r="H2125" s="33"/>
      <c r="I2125" s="33"/>
      <c r="J2125" s="57"/>
      <c r="K2125" s="33"/>
      <c r="L2125" s="57"/>
      <c r="M2125" s="64"/>
      <c r="N2125" s="56"/>
      <c r="O2125" s="64"/>
      <c r="P2125" s="62"/>
      <c r="Q2125" s="33"/>
      <c r="R2125" s="33"/>
      <c r="S2125" s="61"/>
      <c r="T2125" s="33"/>
      <c r="U2125" s="62"/>
      <c r="W2125" s="61"/>
      <c r="X2125" s="62"/>
      <c r="AD2125" s="64"/>
      <c r="AG2125" s="64"/>
    </row>
    <row r="2126" spans="2:33" ht="16">
      <c r="B2126" s="67" t="str">
        <f t="shared" si="9"/>
        <v/>
      </c>
      <c r="C2126" s="33"/>
      <c r="D2126" s="33"/>
      <c r="E2126" s="33"/>
      <c r="F2126" s="56"/>
      <c r="G2126" s="33"/>
      <c r="H2126" s="33"/>
      <c r="I2126" s="33"/>
      <c r="J2126" s="57"/>
      <c r="K2126" s="33"/>
      <c r="L2126" s="57"/>
      <c r="M2126" s="64"/>
      <c r="N2126" s="56"/>
      <c r="O2126" s="58"/>
      <c r="P2126" s="62"/>
      <c r="Q2126" s="33"/>
      <c r="R2126" s="33"/>
      <c r="S2126" s="61"/>
      <c r="T2126" s="33"/>
      <c r="U2126" s="62"/>
      <c r="W2126" s="61"/>
      <c r="X2126" s="62"/>
      <c r="AD2126" s="64"/>
      <c r="AG2126" s="64"/>
    </row>
    <row r="2127" spans="2:33" ht="16">
      <c r="B2127" s="67" t="str">
        <f t="shared" si="9"/>
        <v/>
      </c>
      <c r="C2127" s="33"/>
      <c r="D2127" s="33"/>
      <c r="E2127" s="33"/>
      <c r="F2127" s="56"/>
      <c r="G2127" s="33"/>
      <c r="H2127" s="33"/>
      <c r="I2127" s="33"/>
      <c r="J2127" s="57"/>
      <c r="K2127" s="33"/>
      <c r="L2127" s="57"/>
      <c r="M2127" s="64"/>
      <c r="N2127" s="56"/>
      <c r="O2127" s="64"/>
      <c r="P2127" s="62"/>
      <c r="Q2127" s="33"/>
      <c r="R2127" s="33"/>
      <c r="S2127" s="61"/>
      <c r="T2127" s="33"/>
      <c r="U2127" s="62"/>
      <c r="W2127" s="61"/>
      <c r="X2127" s="62"/>
      <c r="AD2127" s="64"/>
      <c r="AG2127" s="64"/>
    </row>
    <row r="2128" spans="2:33" ht="16">
      <c r="B2128" s="67" t="str">
        <f t="shared" si="9"/>
        <v/>
      </c>
      <c r="C2128" s="33"/>
      <c r="D2128" s="33"/>
      <c r="E2128" s="33"/>
      <c r="F2128" s="56"/>
      <c r="G2128" s="33"/>
      <c r="H2128" s="33"/>
      <c r="I2128" s="33"/>
      <c r="J2128" s="57"/>
      <c r="K2128" s="33"/>
      <c r="L2128" s="57"/>
      <c r="M2128" s="64"/>
      <c r="N2128" s="56"/>
      <c r="O2128" s="64"/>
      <c r="P2128" s="62"/>
      <c r="Q2128" s="33"/>
      <c r="R2128" s="33"/>
      <c r="S2128" s="61"/>
      <c r="T2128" s="33"/>
      <c r="U2128" s="62"/>
      <c r="W2128" s="61"/>
      <c r="X2128" s="62"/>
      <c r="AD2128" s="64"/>
      <c r="AG2128" s="64"/>
    </row>
    <row r="2129" spans="2:33" ht="16">
      <c r="B2129" s="67" t="str">
        <f t="shared" si="9"/>
        <v/>
      </c>
      <c r="C2129" s="33"/>
      <c r="D2129" s="33"/>
      <c r="E2129" s="33"/>
      <c r="F2129" s="56"/>
      <c r="G2129" s="33"/>
      <c r="H2129" s="33"/>
      <c r="I2129" s="33"/>
      <c r="J2129" s="57"/>
      <c r="K2129" s="33"/>
      <c r="L2129" s="57"/>
      <c r="M2129" s="58"/>
      <c r="N2129" s="56"/>
      <c r="O2129" s="58"/>
      <c r="P2129" s="62"/>
      <c r="Q2129" s="33"/>
      <c r="R2129" s="33"/>
      <c r="S2129" s="61"/>
      <c r="T2129" s="33"/>
      <c r="U2129" s="62"/>
      <c r="W2129" s="61"/>
      <c r="X2129" s="62"/>
      <c r="AD2129" s="58"/>
      <c r="AG2129" s="64"/>
    </row>
    <row r="2130" spans="2:33" ht="16">
      <c r="B2130" s="67" t="str">
        <f t="shared" si="9"/>
        <v/>
      </c>
      <c r="C2130" s="33"/>
      <c r="D2130" s="33"/>
      <c r="E2130" s="33"/>
      <c r="F2130" s="56"/>
      <c r="G2130" s="33"/>
      <c r="H2130" s="33"/>
      <c r="I2130" s="33"/>
      <c r="J2130" s="57"/>
      <c r="K2130" s="33"/>
      <c r="L2130" s="57"/>
      <c r="M2130" s="64"/>
      <c r="N2130" s="56"/>
      <c r="O2130" s="64"/>
      <c r="P2130" s="62"/>
      <c r="Q2130" s="33"/>
      <c r="R2130" s="33"/>
      <c r="S2130" s="61"/>
      <c r="T2130" s="33"/>
      <c r="U2130" s="62"/>
      <c r="W2130" s="61"/>
      <c r="X2130" s="62"/>
      <c r="AD2130" s="64"/>
      <c r="AG2130" s="64"/>
    </row>
    <row r="2131" spans="2:33" ht="16">
      <c r="B2131" s="67" t="str">
        <f t="shared" si="9"/>
        <v/>
      </c>
      <c r="C2131" s="33"/>
      <c r="D2131" s="33"/>
      <c r="E2131" s="33"/>
      <c r="F2131" s="56"/>
      <c r="G2131" s="33"/>
      <c r="H2131" s="33"/>
      <c r="I2131" s="33"/>
      <c r="J2131" s="57"/>
      <c r="K2131" s="33"/>
      <c r="L2131" s="57"/>
      <c r="M2131" s="64"/>
      <c r="N2131" s="56"/>
      <c r="O2131" s="58"/>
      <c r="P2131" s="62"/>
      <c r="Q2131" s="33"/>
      <c r="R2131" s="33"/>
      <c r="S2131" s="61"/>
      <c r="T2131" s="33"/>
      <c r="U2131" s="62"/>
      <c r="W2131" s="61"/>
      <c r="X2131" s="62"/>
      <c r="AD2131" s="58"/>
      <c r="AG2131" s="64"/>
    </row>
    <row r="2132" spans="2:33" ht="16">
      <c r="B2132" s="67" t="str">
        <f t="shared" si="9"/>
        <v/>
      </c>
      <c r="C2132" s="33"/>
      <c r="D2132" s="33"/>
      <c r="E2132" s="33"/>
      <c r="F2132" s="56"/>
      <c r="G2132" s="33"/>
      <c r="H2132" s="33"/>
      <c r="I2132" s="33"/>
      <c r="J2132" s="57"/>
      <c r="K2132" s="33"/>
      <c r="L2132" s="57"/>
      <c r="M2132" s="58"/>
      <c r="N2132" s="56"/>
      <c r="O2132" s="64"/>
      <c r="P2132" s="62"/>
      <c r="Q2132" s="33"/>
      <c r="R2132" s="33"/>
      <c r="S2132" s="61"/>
      <c r="T2132" s="33"/>
      <c r="U2132" s="62"/>
      <c r="W2132" s="61"/>
      <c r="X2132" s="62"/>
      <c r="AD2132" s="64"/>
      <c r="AG2132" s="64"/>
    </row>
    <row r="2133" spans="2:33" ht="16">
      <c r="B2133" s="67" t="str">
        <f t="shared" si="9"/>
        <v/>
      </c>
      <c r="C2133" s="64"/>
      <c r="D2133" s="33"/>
      <c r="E2133" s="33"/>
      <c r="F2133" s="56"/>
      <c r="G2133" s="33"/>
      <c r="H2133" s="33"/>
      <c r="I2133" s="33"/>
      <c r="J2133" s="57"/>
      <c r="K2133" s="33"/>
      <c r="L2133" s="57"/>
      <c r="M2133" s="58"/>
      <c r="N2133" s="56"/>
      <c r="O2133" s="58"/>
      <c r="P2133" s="62"/>
      <c r="Q2133" s="33"/>
      <c r="R2133" s="33"/>
      <c r="S2133" s="61"/>
      <c r="T2133" s="33"/>
      <c r="U2133" s="62"/>
      <c r="W2133" s="61"/>
      <c r="X2133" s="62"/>
      <c r="AD2133" s="58"/>
      <c r="AG2133" s="58"/>
    </row>
    <row r="2134" spans="2:33" ht="16">
      <c r="B2134" s="67" t="str">
        <f t="shared" si="9"/>
        <v/>
      </c>
      <c r="C2134" s="33"/>
      <c r="D2134" s="33"/>
      <c r="E2134" s="33"/>
      <c r="F2134" s="56"/>
      <c r="G2134" s="33"/>
      <c r="H2134" s="33"/>
      <c r="I2134" s="33"/>
      <c r="J2134" s="57"/>
      <c r="K2134" s="33"/>
      <c r="L2134" s="57"/>
      <c r="M2134" s="64"/>
      <c r="N2134" s="56"/>
      <c r="O2134" s="64"/>
      <c r="P2134" s="62"/>
      <c r="Q2134" s="33"/>
      <c r="R2134" s="33"/>
      <c r="S2134" s="61"/>
      <c r="T2134" s="33"/>
      <c r="U2134" s="62"/>
      <c r="W2134" s="61"/>
      <c r="X2134" s="62"/>
      <c r="AD2134" s="64"/>
      <c r="AG2134" s="64"/>
    </row>
    <row r="2135" spans="2:33" ht="16">
      <c r="B2135" s="67" t="str">
        <f t="shared" si="9"/>
        <v/>
      </c>
      <c r="C2135" s="33"/>
      <c r="D2135" s="33"/>
      <c r="E2135" s="33"/>
      <c r="F2135" s="56"/>
      <c r="G2135" s="33"/>
      <c r="H2135" s="33"/>
      <c r="I2135" s="33"/>
      <c r="J2135" s="57"/>
      <c r="K2135" s="33"/>
      <c r="L2135" s="57"/>
      <c r="M2135" s="64"/>
      <c r="N2135" s="56"/>
      <c r="O2135" s="64"/>
      <c r="P2135" s="62"/>
      <c r="Q2135" s="33"/>
      <c r="R2135" s="33"/>
      <c r="S2135" s="61"/>
      <c r="T2135" s="33"/>
      <c r="U2135" s="62"/>
      <c r="W2135" s="61"/>
      <c r="X2135" s="62"/>
      <c r="AD2135" s="64"/>
      <c r="AG2135" s="64"/>
    </row>
    <row r="2136" spans="2:33" ht="16">
      <c r="B2136" s="67" t="str">
        <f t="shared" si="9"/>
        <v/>
      </c>
      <c r="C2136" s="33"/>
      <c r="D2136" s="33"/>
      <c r="E2136" s="33"/>
      <c r="F2136" s="56"/>
      <c r="G2136" s="33"/>
      <c r="H2136" s="33"/>
      <c r="I2136" s="33"/>
      <c r="J2136" s="57"/>
      <c r="K2136" s="33"/>
      <c r="L2136" s="57"/>
      <c r="M2136" s="64"/>
      <c r="N2136" s="56"/>
      <c r="O2136" s="64"/>
      <c r="P2136" s="62"/>
      <c r="Q2136" s="33"/>
      <c r="R2136" s="33"/>
      <c r="S2136" s="61"/>
      <c r="T2136" s="33"/>
      <c r="U2136" s="62"/>
      <c r="W2136" s="61"/>
      <c r="X2136" s="62"/>
      <c r="AD2136" s="64"/>
      <c r="AG2136" s="58"/>
    </row>
    <row r="2137" spans="2:33" ht="16">
      <c r="B2137" s="67" t="str">
        <f t="shared" si="9"/>
        <v/>
      </c>
      <c r="C2137" s="33"/>
      <c r="D2137" s="33"/>
      <c r="E2137" s="33"/>
      <c r="F2137" s="56"/>
      <c r="G2137" s="33"/>
      <c r="H2137" s="33"/>
      <c r="I2137" s="33"/>
      <c r="J2137" s="57"/>
      <c r="K2137" s="33"/>
      <c r="L2137" s="57"/>
      <c r="M2137" s="64"/>
      <c r="N2137" s="56"/>
      <c r="O2137" s="58"/>
      <c r="P2137" s="62"/>
      <c r="Q2137" s="33"/>
      <c r="R2137" s="33"/>
      <c r="S2137" s="61"/>
      <c r="T2137" s="33"/>
      <c r="U2137" s="62"/>
      <c r="W2137" s="61"/>
      <c r="X2137" s="62"/>
      <c r="AD2137" s="58"/>
      <c r="AG2137" s="64"/>
    </row>
    <row r="2138" spans="2:33" ht="16">
      <c r="B2138" s="67" t="str">
        <f t="shared" si="9"/>
        <v/>
      </c>
      <c r="C2138" s="33"/>
      <c r="D2138" s="33"/>
      <c r="E2138" s="33"/>
      <c r="F2138" s="56"/>
      <c r="G2138" s="33"/>
      <c r="H2138" s="33"/>
      <c r="I2138" s="33"/>
      <c r="J2138" s="57"/>
      <c r="K2138" s="33"/>
      <c r="L2138" s="57"/>
      <c r="M2138" s="58"/>
      <c r="N2138" s="56"/>
      <c r="O2138" s="58"/>
      <c r="P2138" s="62"/>
      <c r="Q2138" s="33"/>
      <c r="R2138" s="33"/>
      <c r="S2138" s="61"/>
      <c r="T2138" s="33"/>
      <c r="U2138" s="62"/>
      <c r="W2138" s="61"/>
      <c r="X2138" s="62"/>
      <c r="AD2138" s="64"/>
      <c r="AG2138" s="58"/>
    </row>
    <row r="2139" spans="2:33" ht="16">
      <c r="B2139" s="67" t="str">
        <f t="shared" si="9"/>
        <v/>
      </c>
      <c r="C2139" s="33"/>
      <c r="D2139" s="33"/>
      <c r="E2139" s="33"/>
      <c r="F2139" s="56"/>
      <c r="G2139" s="33"/>
      <c r="H2139" s="33"/>
      <c r="I2139" s="33"/>
      <c r="J2139" s="57"/>
      <c r="K2139" s="33"/>
      <c r="L2139" s="57"/>
      <c r="M2139" s="58"/>
      <c r="N2139" s="56"/>
      <c r="O2139" s="58"/>
      <c r="P2139" s="62"/>
      <c r="Q2139" s="33"/>
      <c r="R2139" s="33"/>
      <c r="S2139" s="61"/>
      <c r="T2139" s="33"/>
      <c r="U2139" s="62"/>
      <c r="W2139" s="61"/>
      <c r="X2139" s="62"/>
      <c r="AD2139" s="58"/>
      <c r="AG2139" s="64"/>
    </row>
    <row r="2140" spans="2:33" ht="16">
      <c r="B2140" s="67" t="str">
        <f t="shared" si="9"/>
        <v/>
      </c>
      <c r="C2140" s="33"/>
      <c r="D2140" s="33"/>
      <c r="E2140" s="33"/>
      <c r="F2140" s="56"/>
      <c r="G2140" s="33"/>
      <c r="H2140" s="33"/>
      <c r="I2140" s="33"/>
      <c r="J2140" s="57"/>
      <c r="K2140" s="33"/>
      <c r="L2140" s="57"/>
      <c r="M2140" s="58"/>
      <c r="N2140" s="56"/>
      <c r="O2140" s="64"/>
      <c r="P2140" s="62"/>
      <c r="Q2140" s="33"/>
      <c r="R2140" s="33"/>
      <c r="S2140" s="61"/>
      <c r="T2140" s="33"/>
      <c r="U2140" s="62"/>
      <c r="W2140" s="61"/>
      <c r="X2140" s="62"/>
      <c r="AG2140" s="64"/>
    </row>
    <row r="2141" spans="2:33" ht="16">
      <c r="B2141" s="67" t="str">
        <f t="shared" si="9"/>
        <v/>
      </c>
      <c r="C2141" s="33"/>
      <c r="D2141" s="33"/>
      <c r="E2141" s="33"/>
      <c r="F2141" s="56"/>
      <c r="G2141" s="33"/>
      <c r="H2141" s="33"/>
      <c r="I2141" s="33"/>
      <c r="J2141" s="57"/>
      <c r="K2141" s="33"/>
      <c r="L2141" s="57"/>
      <c r="M2141" s="58"/>
      <c r="N2141" s="56"/>
      <c r="O2141" s="64"/>
      <c r="P2141" s="62"/>
      <c r="Q2141" s="33"/>
      <c r="R2141" s="33"/>
      <c r="S2141" s="61"/>
      <c r="T2141" s="33"/>
      <c r="U2141" s="62"/>
      <c r="W2141" s="61"/>
      <c r="X2141" s="62"/>
      <c r="AD2141" s="64"/>
      <c r="AG2141" s="64"/>
    </row>
    <row r="2142" spans="2:33" ht="16">
      <c r="B2142" s="67" t="str">
        <f t="shared" si="9"/>
        <v/>
      </c>
      <c r="C2142" s="33"/>
      <c r="D2142" s="33"/>
      <c r="E2142" s="33"/>
      <c r="F2142" s="56"/>
      <c r="G2142" s="33"/>
      <c r="H2142" s="33"/>
      <c r="I2142" s="33"/>
      <c r="J2142" s="57"/>
      <c r="K2142" s="33"/>
      <c r="L2142" s="57"/>
      <c r="M2142" s="58"/>
      <c r="N2142" s="56"/>
      <c r="O2142" s="64"/>
      <c r="P2142" s="62"/>
      <c r="Q2142" s="33"/>
      <c r="R2142" s="33"/>
      <c r="S2142" s="61"/>
      <c r="T2142" s="33"/>
      <c r="U2142" s="62"/>
      <c r="W2142" s="61"/>
      <c r="X2142" s="62"/>
      <c r="AD2142" s="64"/>
      <c r="AG2142" s="64"/>
    </row>
    <row r="2143" spans="2:33" ht="16">
      <c r="B2143" s="67" t="str">
        <f t="shared" si="9"/>
        <v/>
      </c>
      <c r="C2143" s="33"/>
      <c r="D2143" s="33"/>
      <c r="E2143" s="33"/>
      <c r="F2143" s="56"/>
      <c r="G2143" s="33"/>
      <c r="H2143" s="33"/>
      <c r="I2143" s="33"/>
      <c r="J2143" s="57"/>
      <c r="K2143" s="33"/>
      <c r="L2143" s="57"/>
      <c r="M2143" s="58"/>
      <c r="N2143" s="56"/>
      <c r="O2143" s="58"/>
      <c r="P2143" s="62"/>
      <c r="Q2143" s="33"/>
      <c r="R2143" s="33"/>
      <c r="S2143" s="61"/>
      <c r="T2143" s="33"/>
      <c r="U2143" s="62"/>
      <c r="W2143" s="61"/>
      <c r="X2143" s="62"/>
      <c r="AD2143" s="64"/>
      <c r="AG2143" s="64"/>
    </row>
    <row r="2144" spans="2:33" ht="16">
      <c r="B2144" s="67" t="str">
        <f t="shared" si="9"/>
        <v/>
      </c>
      <c r="C2144" s="33"/>
      <c r="D2144" s="33"/>
      <c r="E2144" s="33"/>
      <c r="F2144" s="56"/>
      <c r="G2144" s="33"/>
      <c r="H2144" s="33"/>
      <c r="I2144" s="33"/>
      <c r="J2144" s="57"/>
      <c r="K2144" s="33"/>
      <c r="L2144" s="57"/>
      <c r="M2144" s="58"/>
      <c r="N2144" s="56"/>
      <c r="O2144" s="64"/>
      <c r="P2144" s="62"/>
      <c r="Q2144" s="33"/>
      <c r="R2144" s="33"/>
      <c r="S2144" s="61"/>
      <c r="T2144" s="33"/>
      <c r="U2144" s="62"/>
      <c r="W2144" s="61"/>
      <c r="X2144" s="62"/>
      <c r="AD2144" s="64"/>
      <c r="AG2144" s="64"/>
    </row>
    <row r="2145" spans="2:33" ht="16">
      <c r="B2145" s="67" t="str">
        <f t="shared" si="9"/>
        <v/>
      </c>
      <c r="C2145" s="33"/>
      <c r="D2145" s="33"/>
      <c r="E2145" s="33"/>
      <c r="F2145" s="56"/>
      <c r="G2145" s="33"/>
      <c r="H2145" s="33"/>
      <c r="I2145" s="33"/>
      <c r="J2145" s="57"/>
      <c r="K2145" s="33"/>
      <c r="L2145" s="57"/>
      <c r="M2145" s="58"/>
      <c r="N2145" s="56"/>
      <c r="O2145" s="64"/>
      <c r="P2145" s="62"/>
      <c r="Q2145" s="33"/>
      <c r="R2145" s="33"/>
      <c r="S2145" s="61"/>
      <c r="T2145" s="33"/>
      <c r="U2145" s="62"/>
      <c r="W2145" s="61"/>
      <c r="X2145" s="62"/>
      <c r="AD2145" s="58"/>
      <c r="AG2145" s="64"/>
    </row>
    <row r="2146" spans="2:33" ht="16">
      <c r="B2146" s="67" t="str">
        <f t="shared" si="9"/>
        <v/>
      </c>
      <c r="C2146" s="33"/>
      <c r="D2146" s="33"/>
      <c r="E2146" s="33"/>
      <c r="F2146" s="56"/>
      <c r="G2146" s="33"/>
      <c r="H2146" s="33"/>
      <c r="I2146" s="33"/>
      <c r="J2146" s="57"/>
      <c r="K2146" s="33"/>
      <c r="L2146" s="57"/>
      <c r="M2146" s="58"/>
      <c r="N2146" s="56"/>
      <c r="O2146" s="64"/>
      <c r="P2146" s="62"/>
      <c r="Q2146" s="33"/>
      <c r="R2146" s="33"/>
      <c r="S2146" s="61"/>
      <c r="T2146" s="33"/>
      <c r="U2146" s="62"/>
      <c r="W2146" s="61"/>
      <c r="X2146" s="62"/>
      <c r="AD2146" s="58"/>
      <c r="AG2146" s="64"/>
    </row>
    <row r="2147" spans="2:33" ht="16">
      <c r="B2147" s="67" t="str">
        <f t="shared" si="9"/>
        <v/>
      </c>
      <c r="C2147" s="33"/>
      <c r="D2147" s="33"/>
      <c r="E2147" s="33"/>
      <c r="F2147" s="56"/>
      <c r="G2147" s="33"/>
      <c r="H2147" s="33"/>
      <c r="I2147" s="33"/>
      <c r="J2147" s="57"/>
      <c r="K2147" s="33"/>
      <c r="L2147" s="57"/>
      <c r="M2147" s="58"/>
      <c r="N2147" s="56"/>
      <c r="O2147" s="64"/>
      <c r="P2147" s="62"/>
      <c r="Q2147" s="33"/>
      <c r="R2147" s="33"/>
      <c r="S2147" s="61"/>
      <c r="T2147" s="33"/>
      <c r="U2147" s="62"/>
      <c r="W2147" s="61"/>
      <c r="X2147" s="62"/>
      <c r="AD2147" s="64"/>
      <c r="AG2147" s="58"/>
    </row>
    <row r="2148" spans="2:33" ht="16">
      <c r="B2148" s="67" t="str">
        <f t="shared" si="9"/>
        <v/>
      </c>
      <c r="C2148" s="33"/>
      <c r="D2148" s="33"/>
      <c r="E2148" s="33"/>
      <c r="F2148" s="56"/>
      <c r="G2148" s="33"/>
      <c r="H2148" s="33"/>
      <c r="I2148" s="33"/>
      <c r="J2148" s="57"/>
      <c r="K2148" s="33"/>
      <c r="L2148" s="57"/>
      <c r="M2148" s="64"/>
      <c r="N2148" s="56"/>
      <c r="O2148" s="64"/>
      <c r="P2148" s="62"/>
      <c r="Q2148" s="33"/>
      <c r="R2148" s="33"/>
      <c r="S2148" s="61"/>
      <c r="T2148" s="33"/>
      <c r="U2148" s="62"/>
      <c r="W2148" s="61"/>
      <c r="X2148" s="62"/>
      <c r="AD2148" s="58"/>
      <c r="AG2148" s="64"/>
    </row>
    <row r="2149" spans="2:33" ht="16">
      <c r="B2149" s="67" t="str">
        <f t="shared" si="9"/>
        <v/>
      </c>
      <c r="C2149" s="33"/>
      <c r="D2149" s="33"/>
      <c r="E2149" s="33"/>
      <c r="F2149" s="56"/>
      <c r="G2149" s="33"/>
      <c r="H2149" s="33"/>
      <c r="I2149" s="33"/>
      <c r="J2149" s="57"/>
      <c r="K2149" s="33"/>
      <c r="L2149" s="57"/>
      <c r="M2149" s="58"/>
      <c r="N2149" s="56"/>
      <c r="O2149" s="58"/>
      <c r="P2149" s="62"/>
      <c r="Q2149" s="33"/>
      <c r="R2149" s="33"/>
      <c r="S2149" s="61"/>
      <c r="T2149" s="33"/>
      <c r="U2149" s="62"/>
      <c r="W2149" s="61"/>
      <c r="X2149" s="62"/>
      <c r="AD2149" s="64"/>
      <c r="AG2149" s="64"/>
    </row>
    <row r="2150" spans="2:33" ht="16">
      <c r="B2150" s="67" t="str">
        <f t="shared" si="9"/>
        <v/>
      </c>
      <c r="C2150" s="33"/>
      <c r="D2150" s="33"/>
      <c r="E2150" s="33"/>
      <c r="F2150" s="56"/>
      <c r="G2150" s="33"/>
      <c r="H2150" s="33"/>
      <c r="I2150" s="33"/>
      <c r="J2150" s="57"/>
      <c r="K2150" s="33"/>
      <c r="L2150" s="57"/>
      <c r="M2150" s="64"/>
      <c r="N2150" s="56"/>
      <c r="O2150" s="64"/>
      <c r="P2150" s="62"/>
      <c r="Q2150" s="33"/>
      <c r="R2150" s="33"/>
      <c r="S2150" s="61"/>
      <c r="T2150" s="33"/>
      <c r="U2150" s="62"/>
      <c r="W2150" s="61"/>
      <c r="X2150" s="62"/>
      <c r="AD2150" s="58"/>
      <c r="AG2150" s="64"/>
    </row>
    <row r="2151" spans="2:33" ht="16">
      <c r="B2151" s="67" t="str">
        <f t="shared" si="9"/>
        <v/>
      </c>
      <c r="C2151" s="33"/>
      <c r="D2151" s="33"/>
      <c r="E2151" s="33"/>
      <c r="F2151" s="56"/>
      <c r="G2151" s="33"/>
      <c r="H2151" s="33"/>
      <c r="I2151" s="33"/>
      <c r="J2151" s="57"/>
      <c r="K2151" s="33"/>
      <c r="L2151" s="57"/>
      <c r="M2151" s="58"/>
      <c r="N2151" s="56"/>
      <c r="O2151" s="58"/>
      <c r="P2151" s="62"/>
      <c r="Q2151" s="33"/>
      <c r="R2151" s="33"/>
      <c r="S2151" s="61"/>
      <c r="T2151" s="33"/>
      <c r="U2151" s="62"/>
      <c r="W2151" s="61"/>
      <c r="X2151" s="62"/>
      <c r="AD2151" s="58"/>
      <c r="AG2151" s="64"/>
    </row>
    <row r="2152" spans="2:33" ht="16">
      <c r="B2152" s="67" t="str">
        <f t="shared" si="9"/>
        <v/>
      </c>
      <c r="C2152" s="33"/>
      <c r="D2152" s="33"/>
      <c r="E2152" s="33"/>
      <c r="F2152" s="56"/>
      <c r="G2152" s="33"/>
      <c r="H2152" s="33"/>
      <c r="I2152" s="33"/>
      <c r="J2152" s="57"/>
      <c r="K2152" s="33"/>
      <c r="L2152" s="57"/>
      <c r="M2152" s="64"/>
      <c r="N2152" s="56"/>
      <c r="O2152" s="58"/>
      <c r="P2152" s="62"/>
      <c r="Q2152" s="33"/>
      <c r="R2152" s="33"/>
      <c r="S2152" s="61"/>
      <c r="T2152" s="33"/>
      <c r="U2152" s="62"/>
      <c r="W2152" s="61"/>
      <c r="X2152" s="62"/>
      <c r="AD2152" s="58"/>
      <c r="AG2152" s="64"/>
    </row>
    <row r="2153" spans="2:33" ht="16">
      <c r="B2153" s="67" t="str">
        <f t="shared" si="9"/>
        <v/>
      </c>
      <c r="C2153" s="33"/>
      <c r="D2153" s="33"/>
      <c r="E2153" s="33"/>
      <c r="F2153" s="56"/>
      <c r="G2153" s="33"/>
      <c r="H2153" s="33"/>
      <c r="I2153" s="33"/>
      <c r="J2153" s="57"/>
      <c r="K2153" s="33"/>
      <c r="L2153" s="57"/>
      <c r="M2153" s="58"/>
      <c r="N2153" s="56"/>
      <c r="O2153" s="64"/>
      <c r="P2153" s="62"/>
      <c r="Q2153" s="33"/>
      <c r="R2153" s="33"/>
      <c r="S2153" s="61"/>
      <c r="T2153" s="33"/>
      <c r="U2153" s="62"/>
      <c r="W2153" s="61"/>
      <c r="X2153" s="62"/>
      <c r="AD2153" s="64"/>
      <c r="AG2153" s="64"/>
    </row>
    <row r="2154" spans="2:33" ht="16">
      <c r="B2154" s="67" t="str">
        <f t="shared" si="9"/>
        <v/>
      </c>
      <c r="C2154" s="33"/>
      <c r="D2154" s="33"/>
      <c r="E2154" s="33"/>
      <c r="F2154" s="56"/>
      <c r="G2154" s="33"/>
      <c r="H2154" s="33"/>
      <c r="I2154" s="33"/>
      <c r="J2154" s="57"/>
      <c r="K2154" s="33"/>
      <c r="L2154" s="57"/>
      <c r="M2154" s="64"/>
      <c r="N2154" s="56"/>
      <c r="O2154" s="64"/>
      <c r="P2154" s="62"/>
      <c r="Q2154" s="33"/>
      <c r="R2154" s="33"/>
      <c r="S2154" s="61"/>
      <c r="T2154" s="33"/>
      <c r="U2154" s="62"/>
      <c r="W2154" s="61"/>
      <c r="X2154" s="62"/>
      <c r="AD2154" s="64"/>
      <c r="AG2154" s="64"/>
    </row>
    <row r="2155" spans="2:33" ht="16">
      <c r="B2155" s="67" t="str">
        <f t="shared" si="9"/>
        <v/>
      </c>
      <c r="C2155" s="33"/>
      <c r="D2155" s="33"/>
      <c r="E2155" s="33"/>
      <c r="F2155" s="56"/>
      <c r="G2155" s="33"/>
      <c r="H2155" s="33"/>
      <c r="I2155" s="33"/>
      <c r="J2155" s="57"/>
      <c r="K2155" s="33"/>
      <c r="L2155" s="57"/>
      <c r="M2155" s="64"/>
      <c r="N2155" s="56"/>
      <c r="O2155" s="64"/>
      <c r="P2155" s="62"/>
      <c r="Q2155" s="33"/>
      <c r="R2155" s="33"/>
      <c r="S2155" s="61"/>
      <c r="T2155" s="33"/>
      <c r="U2155" s="62"/>
      <c r="W2155" s="61"/>
      <c r="X2155" s="62"/>
      <c r="AD2155" s="64"/>
      <c r="AG2155" s="58"/>
    </row>
    <row r="2156" spans="2:33" ht="16">
      <c r="B2156" s="67" t="str">
        <f t="shared" si="9"/>
        <v/>
      </c>
      <c r="C2156" s="33"/>
      <c r="D2156" s="33"/>
      <c r="E2156" s="33"/>
      <c r="F2156" s="56"/>
      <c r="G2156" s="33"/>
      <c r="H2156" s="33"/>
      <c r="I2156" s="33"/>
      <c r="J2156" s="57"/>
      <c r="K2156" s="33"/>
      <c r="L2156" s="57"/>
      <c r="M2156" s="64"/>
      <c r="N2156" s="56"/>
      <c r="O2156" s="64"/>
      <c r="P2156" s="62"/>
      <c r="Q2156" s="33"/>
      <c r="R2156" s="33"/>
      <c r="S2156" s="61"/>
      <c r="T2156" s="33"/>
      <c r="U2156" s="62"/>
      <c r="W2156" s="61"/>
      <c r="X2156" s="62"/>
      <c r="AD2156" s="64"/>
      <c r="AG2156" s="64"/>
    </row>
    <row r="2157" spans="2:33" ht="16">
      <c r="B2157" s="67" t="str">
        <f t="shared" si="9"/>
        <v/>
      </c>
      <c r="C2157" s="33"/>
      <c r="D2157" s="33"/>
      <c r="E2157" s="33"/>
      <c r="F2157" s="56"/>
      <c r="G2157" s="33"/>
      <c r="H2157" s="33"/>
      <c r="I2157" s="33"/>
      <c r="J2157" s="57"/>
      <c r="K2157" s="33"/>
      <c r="L2157" s="57"/>
      <c r="M2157" s="64"/>
      <c r="N2157" s="56"/>
      <c r="O2157" s="64"/>
      <c r="P2157" s="62"/>
      <c r="Q2157" s="33"/>
      <c r="R2157" s="33"/>
      <c r="S2157" s="61"/>
      <c r="T2157" s="33"/>
      <c r="U2157" s="62"/>
      <c r="W2157" s="61"/>
      <c r="X2157" s="62"/>
      <c r="AD2157" s="64"/>
      <c r="AG2157" s="64"/>
    </row>
    <row r="2158" spans="2:33" ht="16">
      <c r="B2158" s="67" t="str">
        <f t="shared" si="9"/>
        <v/>
      </c>
      <c r="C2158" s="33"/>
      <c r="D2158" s="33"/>
      <c r="E2158" s="33"/>
      <c r="F2158" s="56"/>
      <c r="G2158" s="33"/>
      <c r="H2158" s="33"/>
      <c r="I2158" s="33"/>
      <c r="J2158" s="57"/>
      <c r="K2158" s="33"/>
      <c r="L2158" s="57"/>
      <c r="M2158" s="64"/>
      <c r="N2158" s="56"/>
      <c r="O2158" s="64"/>
      <c r="P2158" s="62"/>
      <c r="Q2158" s="33"/>
      <c r="R2158" s="33"/>
      <c r="S2158" s="61"/>
      <c r="T2158" s="33"/>
      <c r="U2158" s="62"/>
      <c r="W2158" s="61"/>
      <c r="X2158" s="62"/>
      <c r="AD2158" s="58"/>
      <c r="AG2158" s="64"/>
    </row>
    <row r="2159" spans="2:33" ht="16">
      <c r="B2159" s="67" t="str">
        <f t="shared" si="9"/>
        <v/>
      </c>
      <c r="C2159" s="33"/>
      <c r="D2159" s="33"/>
      <c r="E2159" s="33"/>
      <c r="F2159" s="56"/>
      <c r="G2159" s="33"/>
      <c r="H2159" s="33"/>
      <c r="I2159" s="33"/>
      <c r="J2159" s="57"/>
      <c r="K2159" s="33"/>
      <c r="L2159" s="57"/>
      <c r="M2159" s="64"/>
      <c r="N2159" s="56"/>
      <c r="O2159" s="64"/>
      <c r="P2159" s="62"/>
      <c r="Q2159" s="33"/>
      <c r="R2159" s="33"/>
      <c r="S2159" s="61"/>
      <c r="T2159" s="33"/>
      <c r="U2159" s="62"/>
      <c r="W2159" s="61"/>
      <c r="X2159" s="62"/>
      <c r="AD2159" s="58"/>
      <c r="AG2159" s="64"/>
    </row>
    <row r="2160" spans="2:33" ht="16">
      <c r="B2160" s="67" t="str">
        <f t="shared" si="9"/>
        <v/>
      </c>
      <c r="C2160" s="64"/>
      <c r="D2160" s="33"/>
      <c r="E2160" s="33"/>
      <c r="F2160" s="56"/>
      <c r="G2160" s="33"/>
      <c r="H2160" s="33"/>
      <c r="I2160" s="33"/>
      <c r="J2160" s="57"/>
      <c r="K2160" s="33"/>
      <c r="L2160" s="57"/>
      <c r="M2160" s="58"/>
      <c r="N2160" s="56"/>
      <c r="O2160" s="58"/>
      <c r="P2160" s="62"/>
      <c r="Q2160" s="33"/>
      <c r="R2160" s="33"/>
      <c r="S2160" s="61"/>
      <c r="T2160" s="33"/>
      <c r="U2160" s="62"/>
      <c r="W2160" s="61"/>
      <c r="X2160" s="62"/>
      <c r="AD2160" s="58"/>
      <c r="AG2160" s="64"/>
    </row>
    <row r="2161" spans="2:33" ht="16">
      <c r="B2161" s="67" t="str">
        <f t="shared" si="9"/>
        <v/>
      </c>
      <c r="C2161" s="33"/>
      <c r="D2161" s="33"/>
      <c r="E2161" s="33"/>
      <c r="F2161" s="56"/>
      <c r="G2161" s="33"/>
      <c r="H2161" s="33"/>
      <c r="I2161" s="33"/>
      <c r="J2161" s="57"/>
      <c r="K2161" s="33"/>
      <c r="L2161" s="57"/>
      <c r="M2161" s="64"/>
      <c r="N2161" s="56"/>
      <c r="O2161" s="64"/>
      <c r="P2161" s="62"/>
      <c r="Q2161" s="33"/>
      <c r="R2161" s="33"/>
      <c r="S2161" s="61"/>
      <c r="T2161" s="33"/>
      <c r="U2161" s="62"/>
      <c r="W2161" s="61"/>
      <c r="X2161" s="62"/>
      <c r="AD2161" s="64"/>
      <c r="AG2161" s="64"/>
    </row>
    <row r="2162" spans="2:33" ht="16">
      <c r="B2162" s="67" t="str">
        <f t="shared" si="9"/>
        <v/>
      </c>
      <c r="C2162" s="33"/>
      <c r="D2162" s="33"/>
      <c r="E2162" s="33"/>
      <c r="F2162" s="56"/>
      <c r="G2162" s="33"/>
      <c r="H2162" s="33"/>
      <c r="I2162" s="33"/>
      <c r="J2162" s="57"/>
      <c r="K2162" s="33"/>
      <c r="L2162" s="57"/>
      <c r="M2162" s="64"/>
      <c r="N2162" s="56"/>
      <c r="O2162" s="64"/>
      <c r="P2162" s="62"/>
      <c r="Q2162" s="33"/>
      <c r="R2162" s="33"/>
      <c r="S2162" s="61"/>
      <c r="T2162" s="33"/>
      <c r="U2162" s="62"/>
      <c r="W2162" s="61"/>
      <c r="X2162" s="62"/>
      <c r="AD2162" s="64"/>
      <c r="AG2162" s="64"/>
    </row>
    <row r="2163" spans="2:33" ht="16">
      <c r="B2163" s="67" t="str">
        <f t="shared" si="9"/>
        <v/>
      </c>
      <c r="C2163" s="33"/>
      <c r="D2163" s="33"/>
      <c r="E2163" s="33"/>
      <c r="F2163" s="56"/>
      <c r="G2163" s="33"/>
      <c r="H2163" s="33"/>
      <c r="I2163" s="33"/>
      <c r="J2163" s="57"/>
      <c r="K2163" s="33"/>
      <c r="L2163" s="57"/>
      <c r="M2163" s="64"/>
      <c r="N2163" s="56"/>
      <c r="O2163" s="64"/>
      <c r="P2163" s="62"/>
      <c r="Q2163" s="33"/>
      <c r="R2163" s="33"/>
      <c r="S2163" s="61"/>
      <c r="T2163" s="33"/>
      <c r="U2163" s="62"/>
      <c r="W2163" s="61"/>
      <c r="X2163" s="62"/>
      <c r="AD2163" s="64"/>
      <c r="AG2163" s="64"/>
    </row>
    <row r="2164" spans="2:33" ht="16">
      <c r="B2164" s="67" t="str">
        <f t="shared" si="9"/>
        <v/>
      </c>
      <c r="C2164" s="33"/>
      <c r="D2164" s="33"/>
      <c r="E2164" s="33"/>
      <c r="F2164" s="56"/>
      <c r="G2164" s="33"/>
      <c r="H2164" s="33"/>
      <c r="I2164" s="33"/>
      <c r="J2164" s="57"/>
      <c r="K2164" s="33"/>
      <c r="L2164" s="57"/>
      <c r="M2164" s="64"/>
      <c r="N2164" s="56"/>
      <c r="O2164" s="58"/>
      <c r="P2164" s="62"/>
      <c r="Q2164" s="33"/>
      <c r="R2164" s="33"/>
      <c r="S2164" s="61"/>
      <c r="T2164" s="33"/>
      <c r="U2164" s="62"/>
      <c r="W2164" s="61"/>
      <c r="X2164" s="62"/>
      <c r="AD2164" s="64"/>
      <c r="AG2164" s="64"/>
    </row>
    <row r="2165" spans="2:33" ht="16">
      <c r="B2165" s="67" t="str">
        <f t="shared" si="9"/>
        <v/>
      </c>
      <c r="C2165" s="33"/>
      <c r="D2165" s="33"/>
      <c r="E2165" s="33"/>
      <c r="F2165" s="56"/>
      <c r="G2165" s="33"/>
      <c r="H2165" s="33"/>
      <c r="I2165" s="33"/>
      <c r="J2165" s="57"/>
      <c r="K2165" s="33"/>
      <c r="L2165" s="57"/>
      <c r="M2165" s="64"/>
      <c r="N2165" s="56"/>
      <c r="O2165" s="64"/>
      <c r="P2165" s="62"/>
      <c r="Q2165" s="33"/>
      <c r="R2165" s="33"/>
      <c r="S2165" s="61"/>
      <c r="T2165" s="33"/>
      <c r="U2165" s="62"/>
      <c r="W2165" s="61"/>
      <c r="X2165" s="62"/>
      <c r="AD2165" s="64"/>
      <c r="AG2165" s="64"/>
    </row>
    <row r="2166" spans="2:33" ht="16">
      <c r="B2166" s="67" t="str">
        <f t="shared" si="9"/>
        <v/>
      </c>
      <c r="C2166" s="33"/>
      <c r="D2166" s="33"/>
      <c r="E2166" s="33"/>
      <c r="F2166" s="56"/>
      <c r="G2166" s="33"/>
      <c r="H2166" s="33"/>
      <c r="I2166" s="33"/>
      <c r="J2166" s="57"/>
      <c r="K2166" s="33"/>
      <c r="L2166" s="57"/>
      <c r="M2166" s="64"/>
      <c r="N2166" s="56"/>
      <c r="O2166" s="64"/>
      <c r="P2166" s="62"/>
      <c r="Q2166" s="33"/>
      <c r="R2166" s="33"/>
      <c r="S2166" s="61"/>
      <c r="T2166" s="33"/>
      <c r="U2166" s="62"/>
      <c r="W2166" s="61"/>
      <c r="X2166" s="62"/>
      <c r="AD2166" s="64"/>
      <c r="AG2166" s="58"/>
    </row>
    <row r="2167" spans="2:33" ht="16">
      <c r="B2167" s="67" t="str">
        <f t="shared" si="9"/>
        <v/>
      </c>
      <c r="C2167" s="33"/>
      <c r="D2167" s="33"/>
      <c r="E2167" s="33"/>
      <c r="F2167" s="56"/>
      <c r="G2167" s="33"/>
      <c r="H2167" s="33"/>
      <c r="I2167" s="33"/>
      <c r="J2167" s="57"/>
      <c r="K2167" s="33"/>
      <c r="L2167" s="57"/>
      <c r="M2167" s="64"/>
      <c r="N2167" s="56"/>
      <c r="O2167" s="58"/>
      <c r="P2167" s="62"/>
      <c r="Q2167" s="33"/>
      <c r="R2167" s="33"/>
      <c r="S2167" s="61"/>
      <c r="T2167" s="33"/>
      <c r="U2167" s="62"/>
      <c r="W2167" s="61"/>
      <c r="X2167" s="62"/>
      <c r="AD2167" s="58"/>
      <c r="AG2167" s="64"/>
    </row>
    <row r="2168" spans="2:33" ht="16">
      <c r="B2168" s="67" t="str">
        <f t="shared" si="9"/>
        <v/>
      </c>
      <c r="C2168" s="33"/>
      <c r="D2168" s="33"/>
      <c r="E2168" s="33"/>
      <c r="F2168" s="56"/>
      <c r="G2168" s="33"/>
      <c r="H2168" s="33"/>
      <c r="I2168" s="33"/>
      <c r="J2168" s="57"/>
      <c r="K2168" s="33"/>
      <c r="L2168" s="57"/>
      <c r="M2168" s="64"/>
      <c r="N2168" s="56"/>
      <c r="O2168" s="58"/>
      <c r="P2168" s="62"/>
      <c r="Q2168" s="33"/>
      <c r="R2168" s="33"/>
      <c r="S2168" s="61"/>
      <c r="T2168" s="33"/>
      <c r="U2168" s="62"/>
      <c r="W2168" s="61"/>
      <c r="X2168" s="62"/>
      <c r="AD2168" s="58"/>
      <c r="AG2168" s="64"/>
    </row>
    <row r="2169" spans="2:33" ht="16">
      <c r="B2169" s="67" t="str">
        <f t="shared" si="9"/>
        <v/>
      </c>
      <c r="C2169" s="33"/>
      <c r="D2169" s="33"/>
      <c r="E2169" s="33"/>
      <c r="F2169" s="56"/>
      <c r="G2169" s="33"/>
      <c r="H2169" s="33"/>
      <c r="I2169" s="33"/>
      <c r="J2169" s="57"/>
      <c r="K2169" s="33"/>
      <c r="L2169" s="57"/>
      <c r="M2169" s="64"/>
      <c r="N2169" s="56"/>
      <c r="O2169" s="64"/>
      <c r="P2169" s="62"/>
      <c r="Q2169" s="33"/>
      <c r="R2169" s="33"/>
      <c r="S2169" s="61"/>
      <c r="T2169" s="33"/>
      <c r="U2169" s="62"/>
      <c r="W2169" s="61"/>
      <c r="X2169" s="62"/>
      <c r="AD2169" s="58"/>
      <c r="AG2169" s="64"/>
    </row>
    <row r="2170" spans="2:33" ht="16">
      <c r="B2170" s="67" t="str">
        <f t="shared" si="9"/>
        <v/>
      </c>
      <c r="C2170" s="33"/>
      <c r="D2170" s="33"/>
      <c r="E2170" s="33"/>
      <c r="F2170" s="56"/>
      <c r="G2170" s="33"/>
      <c r="H2170" s="33"/>
      <c r="I2170" s="33"/>
      <c r="J2170" s="57"/>
      <c r="K2170" s="33"/>
      <c r="L2170" s="57"/>
      <c r="M2170" s="64"/>
      <c r="N2170" s="56"/>
      <c r="O2170" s="64"/>
      <c r="P2170" s="62"/>
      <c r="Q2170" s="33"/>
      <c r="R2170" s="33"/>
      <c r="S2170" s="61"/>
      <c r="T2170" s="33"/>
      <c r="U2170" s="62"/>
      <c r="W2170" s="61"/>
      <c r="X2170" s="62"/>
      <c r="AD2170" s="64"/>
      <c r="AG2170" s="64"/>
    </row>
    <row r="2171" spans="2:33" ht="16">
      <c r="B2171" s="67" t="str">
        <f t="shared" si="9"/>
        <v/>
      </c>
      <c r="C2171" s="33"/>
      <c r="D2171" s="33"/>
      <c r="E2171" s="33"/>
      <c r="F2171" s="56"/>
      <c r="G2171" s="33"/>
      <c r="H2171" s="33"/>
      <c r="I2171" s="33"/>
      <c r="J2171" s="57"/>
      <c r="K2171" s="33"/>
      <c r="L2171" s="57"/>
      <c r="M2171" s="64"/>
      <c r="N2171" s="56"/>
      <c r="O2171" s="64"/>
      <c r="P2171" s="62"/>
      <c r="Q2171" s="33"/>
      <c r="R2171" s="33"/>
      <c r="S2171" s="61"/>
      <c r="T2171" s="33"/>
      <c r="U2171" s="62"/>
      <c r="W2171" s="61"/>
      <c r="X2171" s="62"/>
      <c r="AD2171" s="64"/>
      <c r="AG2171" s="64"/>
    </row>
    <row r="2172" spans="2:33" ht="16">
      <c r="B2172" s="67" t="str">
        <f t="shared" si="9"/>
        <v/>
      </c>
      <c r="C2172" s="33"/>
      <c r="D2172" s="33"/>
      <c r="E2172" s="33"/>
      <c r="F2172" s="56"/>
      <c r="G2172" s="33"/>
      <c r="H2172" s="33"/>
      <c r="I2172" s="33"/>
      <c r="J2172" s="57"/>
      <c r="K2172" s="33"/>
      <c r="L2172" s="57"/>
      <c r="M2172" s="58"/>
      <c r="N2172" s="56"/>
      <c r="O2172" s="64"/>
      <c r="P2172" s="62"/>
      <c r="Q2172" s="33"/>
      <c r="R2172" s="33"/>
      <c r="S2172" s="61"/>
      <c r="T2172" s="33"/>
      <c r="U2172" s="62"/>
      <c r="W2172" s="61"/>
      <c r="X2172" s="62"/>
      <c r="AD2172" s="58"/>
      <c r="AG2172" s="64"/>
    </row>
    <row r="2173" spans="2:33" ht="16">
      <c r="B2173" s="67" t="str">
        <f t="shared" si="9"/>
        <v/>
      </c>
      <c r="C2173" s="33"/>
      <c r="D2173" s="33"/>
      <c r="E2173" s="33"/>
      <c r="F2173" s="56"/>
      <c r="G2173" s="33"/>
      <c r="H2173" s="33"/>
      <c r="I2173" s="33"/>
      <c r="J2173" s="57"/>
      <c r="K2173" s="33"/>
      <c r="L2173" s="57"/>
      <c r="M2173" s="64"/>
      <c r="N2173" s="56"/>
      <c r="O2173" s="64"/>
      <c r="P2173" s="62"/>
      <c r="Q2173" s="33"/>
      <c r="R2173" s="33"/>
      <c r="S2173" s="61"/>
      <c r="T2173" s="33"/>
      <c r="U2173" s="62"/>
      <c r="W2173" s="61"/>
      <c r="X2173" s="62"/>
      <c r="AD2173" s="64"/>
      <c r="AG2173" s="64"/>
    </row>
    <row r="2174" spans="2:33" ht="16">
      <c r="B2174" s="67" t="str">
        <f t="shared" si="9"/>
        <v/>
      </c>
      <c r="C2174" s="33"/>
      <c r="D2174" s="33"/>
      <c r="E2174" s="33"/>
      <c r="F2174" s="56"/>
      <c r="G2174" s="33"/>
      <c r="H2174" s="33"/>
      <c r="I2174" s="33"/>
      <c r="J2174" s="57"/>
      <c r="K2174" s="33"/>
      <c r="L2174" s="57"/>
      <c r="M2174" s="64"/>
      <c r="N2174" s="56"/>
      <c r="O2174" s="64"/>
      <c r="P2174" s="62"/>
      <c r="Q2174" s="33"/>
      <c r="R2174" s="33"/>
      <c r="S2174" s="61"/>
      <c r="T2174" s="33"/>
      <c r="U2174" s="62"/>
      <c r="W2174" s="61"/>
      <c r="X2174" s="62"/>
      <c r="AD2174" s="64"/>
      <c r="AG2174" s="64"/>
    </row>
    <row r="2175" spans="2:33" ht="16">
      <c r="B2175" s="67" t="str">
        <f t="shared" si="9"/>
        <v/>
      </c>
      <c r="C2175" s="33"/>
      <c r="D2175" s="33"/>
      <c r="E2175" s="33"/>
      <c r="F2175" s="56"/>
      <c r="G2175" s="33"/>
      <c r="H2175" s="33"/>
      <c r="I2175" s="33"/>
      <c r="J2175" s="57"/>
      <c r="K2175" s="33"/>
      <c r="L2175" s="57"/>
      <c r="M2175" s="64"/>
      <c r="N2175" s="56"/>
      <c r="O2175" s="64"/>
      <c r="P2175" s="62"/>
      <c r="Q2175" s="33"/>
      <c r="R2175" s="33"/>
      <c r="S2175" s="61"/>
      <c r="T2175" s="33"/>
      <c r="U2175" s="62"/>
      <c r="W2175" s="61"/>
      <c r="X2175" s="62"/>
      <c r="AD2175" s="64"/>
      <c r="AG2175" s="64"/>
    </row>
    <row r="2176" spans="2:33" ht="16">
      <c r="B2176" s="67" t="str">
        <f t="shared" si="9"/>
        <v/>
      </c>
      <c r="C2176" s="33"/>
      <c r="D2176" s="33"/>
      <c r="E2176" s="33"/>
      <c r="F2176" s="56"/>
      <c r="G2176" s="33"/>
      <c r="H2176" s="33"/>
      <c r="I2176" s="33"/>
      <c r="J2176" s="57"/>
      <c r="K2176" s="33"/>
      <c r="L2176" s="57"/>
      <c r="M2176" s="64"/>
      <c r="N2176" s="56"/>
      <c r="O2176" s="64"/>
      <c r="P2176" s="62"/>
      <c r="Q2176" s="33"/>
      <c r="R2176" s="33"/>
      <c r="S2176" s="61"/>
      <c r="T2176" s="33"/>
      <c r="U2176" s="62"/>
      <c r="W2176" s="61"/>
      <c r="X2176" s="62"/>
      <c r="AD2176" s="64"/>
      <c r="AG2176" s="64"/>
    </row>
    <row r="2177" spans="2:33" ht="16">
      <c r="B2177" s="67" t="str">
        <f t="shared" si="9"/>
        <v/>
      </c>
      <c r="C2177" s="33"/>
      <c r="D2177" s="33"/>
      <c r="E2177" s="33"/>
      <c r="F2177" s="56"/>
      <c r="G2177" s="33"/>
      <c r="H2177" s="33"/>
      <c r="I2177" s="33"/>
      <c r="J2177" s="57"/>
      <c r="K2177" s="33"/>
      <c r="L2177" s="57"/>
      <c r="M2177" s="64"/>
      <c r="N2177" s="56"/>
      <c r="O2177" s="58"/>
      <c r="P2177" s="62"/>
      <c r="Q2177" s="33"/>
      <c r="R2177" s="33"/>
      <c r="S2177" s="61"/>
      <c r="T2177" s="33"/>
      <c r="U2177" s="62"/>
      <c r="W2177" s="61"/>
      <c r="X2177" s="62"/>
      <c r="AD2177" s="64"/>
      <c r="AG2177" s="64"/>
    </row>
    <row r="2178" spans="2:33" ht="16">
      <c r="B2178" s="67" t="str">
        <f t="shared" si="9"/>
        <v/>
      </c>
      <c r="C2178" s="33"/>
      <c r="D2178" s="33"/>
      <c r="E2178" s="33"/>
      <c r="F2178" s="56"/>
      <c r="G2178" s="33"/>
      <c r="H2178" s="33"/>
      <c r="I2178" s="33"/>
      <c r="J2178" s="57"/>
      <c r="K2178" s="33"/>
      <c r="L2178" s="57"/>
      <c r="M2178" s="58"/>
      <c r="N2178" s="56"/>
      <c r="O2178" s="58"/>
      <c r="P2178" s="62"/>
      <c r="Q2178" s="33"/>
      <c r="R2178" s="33"/>
      <c r="S2178" s="61"/>
      <c r="T2178" s="33"/>
      <c r="U2178" s="62"/>
      <c r="W2178" s="61"/>
      <c r="X2178" s="62"/>
      <c r="AD2178" s="58"/>
      <c r="AG2178" s="64"/>
    </row>
    <row r="2179" spans="2:33" ht="16">
      <c r="B2179" s="67" t="str">
        <f t="shared" si="9"/>
        <v/>
      </c>
      <c r="C2179" s="33"/>
      <c r="D2179" s="33"/>
      <c r="E2179" s="33"/>
      <c r="F2179" s="56"/>
      <c r="G2179" s="33"/>
      <c r="H2179" s="33"/>
      <c r="I2179" s="33"/>
      <c r="J2179" s="57"/>
      <c r="K2179" s="33"/>
      <c r="L2179" s="57"/>
      <c r="M2179" s="64"/>
      <c r="N2179" s="56"/>
      <c r="O2179" s="64"/>
      <c r="P2179" s="62"/>
      <c r="Q2179" s="33"/>
      <c r="R2179" s="33"/>
      <c r="S2179" s="61"/>
      <c r="T2179" s="33"/>
      <c r="U2179" s="62"/>
      <c r="W2179" s="61"/>
      <c r="X2179" s="62"/>
      <c r="AD2179" s="58"/>
      <c r="AG2179" s="64"/>
    </row>
    <row r="2180" spans="2:33" ht="16">
      <c r="B2180" s="67" t="str">
        <f t="shared" si="9"/>
        <v/>
      </c>
      <c r="C2180" s="33"/>
      <c r="D2180" s="33"/>
      <c r="E2180" s="33"/>
      <c r="F2180" s="56"/>
      <c r="G2180" s="33"/>
      <c r="H2180" s="33"/>
      <c r="I2180" s="33"/>
      <c r="J2180" s="57"/>
      <c r="K2180" s="33"/>
      <c r="L2180" s="57"/>
      <c r="M2180" s="64"/>
      <c r="N2180" s="56"/>
      <c r="O2180" s="64"/>
      <c r="P2180" s="62"/>
      <c r="Q2180" s="33"/>
      <c r="R2180" s="33"/>
      <c r="S2180" s="61"/>
      <c r="T2180" s="33"/>
      <c r="U2180" s="62"/>
      <c r="W2180" s="61"/>
      <c r="X2180" s="62"/>
      <c r="AD2180" s="64"/>
      <c r="AG2180" s="64"/>
    </row>
    <row r="2181" spans="2:33" ht="16">
      <c r="B2181" s="67" t="str">
        <f t="shared" si="9"/>
        <v/>
      </c>
      <c r="C2181" s="33"/>
      <c r="D2181" s="33"/>
      <c r="E2181" s="33"/>
      <c r="F2181" s="56"/>
      <c r="G2181" s="33"/>
      <c r="H2181" s="33"/>
      <c r="I2181" s="33"/>
      <c r="J2181" s="57"/>
      <c r="K2181" s="33"/>
      <c r="L2181" s="57"/>
      <c r="M2181" s="58"/>
      <c r="N2181" s="56"/>
      <c r="O2181" s="58"/>
      <c r="P2181" s="62"/>
      <c r="Q2181" s="33"/>
      <c r="R2181" s="33"/>
      <c r="S2181" s="61"/>
      <c r="T2181" s="33"/>
      <c r="U2181" s="62"/>
      <c r="W2181" s="61"/>
      <c r="X2181" s="62"/>
      <c r="AD2181" s="58"/>
      <c r="AG2181" s="64"/>
    </row>
    <row r="2182" spans="2:33" ht="16">
      <c r="B2182" s="67" t="str">
        <f t="shared" si="9"/>
        <v/>
      </c>
      <c r="C2182" s="33"/>
      <c r="D2182" s="33"/>
      <c r="E2182" s="33"/>
      <c r="F2182" s="56"/>
      <c r="G2182" s="33"/>
      <c r="H2182" s="33"/>
      <c r="I2182" s="33"/>
      <c r="J2182" s="57"/>
      <c r="K2182" s="33"/>
      <c r="L2182" s="57"/>
      <c r="M2182" s="64"/>
      <c r="N2182" s="56"/>
      <c r="O2182" s="64"/>
      <c r="P2182" s="62"/>
      <c r="Q2182" s="33"/>
      <c r="R2182" s="33"/>
      <c r="S2182" s="61"/>
      <c r="T2182" s="33"/>
      <c r="U2182" s="62"/>
      <c r="W2182" s="61"/>
      <c r="X2182" s="62"/>
      <c r="AD2182" s="64"/>
      <c r="AG2182" s="64"/>
    </row>
    <row r="2183" spans="2:33" ht="16">
      <c r="B2183" s="67" t="str">
        <f t="shared" si="9"/>
        <v/>
      </c>
      <c r="C2183" s="33"/>
      <c r="D2183" s="33"/>
      <c r="E2183" s="33"/>
      <c r="F2183" s="56"/>
      <c r="G2183" s="33"/>
      <c r="H2183" s="33"/>
      <c r="I2183" s="33"/>
      <c r="J2183" s="57"/>
      <c r="K2183" s="33"/>
      <c r="L2183" s="57"/>
      <c r="M2183" s="58"/>
      <c r="N2183" s="56"/>
      <c r="O2183" s="64"/>
      <c r="P2183" s="62"/>
      <c r="Q2183" s="33"/>
      <c r="R2183" s="33"/>
      <c r="S2183" s="61"/>
      <c r="T2183" s="33"/>
      <c r="U2183" s="62"/>
      <c r="W2183" s="61"/>
      <c r="X2183" s="62"/>
      <c r="AD2183" s="58"/>
      <c r="AG2183" s="64"/>
    </row>
    <row r="2184" spans="2:33" ht="16">
      <c r="B2184" s="67" t="str">
        <f t="shared" si="9"/>
        <v/>
      </c>
      <c r="C2184" s="33"/>
      <c r="D2184" s="33"/>
      <c r="E2184" s="33"/>
      <c r="F2184" s="56"/>
      <c r="G2184" s="33"/>
      <c r="H2184" s="33"/>
      <c r="I2184" s="33"/>
      <c r="J2184" s="57"/>
      <c r="K2184" s="33"/>
      <c r="L2184" s="57"/>
      <c r="M2184" s="64"/>
      <c r="N2184" s="56"/>
      <c r="O2184" s="64"/>
      <c r="P2184" s="62"/>
      <c r="Q2184" s="33"/>
      <c r="R2184" s="33"/>
      <c r="S2184" s="61"/>
      <c r="T2184" s="33"/>
      <c r="U2184" s="62"/>
      <c r="W2184" s="61"/>
      <c r="X2184" s="62"/>
      <c r="AD2184" s="64"/>
      <c r="AG2184" s="58"/>
    </row>
    <row r="2185" spans="2:33" ht="16">
      <c r="B2185" s="67" t="str">
        <f t="shared" si="9"/>
        <v/>
      </c>
      <c r="C2185" s="33"/>
      <c r="D2185" s="33"/>
      <c r="E2185" s="33"/>
      <c r="F2185" s="56"/>
      <c r="G2185" s="33"/>
      <c r="H2185" s="33"/>
      <c r="I2185" s="33"/>
      <c r="J2185" s="57"/>
      <c r="K2185" s="33"/>
      <c r="L2185" s="57"/>
      <c r="M2185" s="64"/>
      <c r="N2185" s="56"/>
      <c r="O2185" s="64"/>
      <c r="P2185" s="62"/>
      <c r="Q2185" s="33"/>
      <c r="R2185" s="33"/>
      <c r="S2185" s="61"/>
      <c r="T2185" s="33"/>
      <c r="U2185" s="62"/>
      <c r="W2185" s="61"/>
      <c r="X2185" s="62"/>
      <c r="AD2185" s="64"/>
      <c r="AG2185" s="64"/>
    </row>
    <row r="2186" spans="2:33" ht="16">
      <c r="B2186" s="67" t="str">
        <f t="shared" si="9"/>
        <v/>
      </c>
      <c r="C2186" s="33"/>
      <c r="D2186" s="33"/>
      <c r="E2186" s="33"/>
      <c r="F2186" s="56"/>
      <c r="G2186" s="33"/>
      <c r="H2186" s="33"/>
      <c r="I2186" s="33"/>
      <c r="J2186" s="57"/>
      <c r="K2186" s="33"/>
      <c r="L2186" s="57"/>
      <c r="M2186" s="64"/>
      <c r="N2186" s="56"/>
      <c r="O2186" s="64"/>
      <c r="P2186" s="62"/>
      <c r="Q2186" s="33"/>
      <c r="R2186" s="33"/>
      <c r="S2186" s="61"/>
      <c r="T2186" s="33"/>
      <c r="U2186" s="62"/>
      <c r="W2186" s="61"/>
      <c r="X2186" s="62"/>
      <c r="AD2186" s="58"/>
      <c r="AG2186" s="64"/>
    </row>
    <row r="2187" spans="2:33" ht="16">
      <c r="B2187" s="67" t="str">
        <f t="shared" si="9"/>
        <v/>
      </c>
      <c r="C2187" s="33"/>
      <c r="D2187" s="33"/>
      <c r="E2187" s="33"/>
      <c r="F2187" s="56"/>
      <c r="G2187" s="33"/>
      <c r="H2187" s="33"/>
      <c r="I2187" s="33"/>
      <c r="J2187" s="57"/>
      <c r="K2187" s="33"/>
      <c r="L2187" s="57"/>
      <c r="M2187" s="64"/>
      <c r="N2187" s="56"/>
      <c r="O2187" s="64"/>
      <c r="P2187" s="62"/>
      <c r="Q2187" s="33"/>
      <c r="R2187" s="33"/>
      <c r="S2187" s="61"/>
      <c r="T2187" s="33"/>
      <c r="U2187" s="62"/>
      <c r="W2187" s="61"/>
      <c r="X2187" s="62"/>
      <c r="AD2187" s="64"/>
      <c r="AG2187" s="64"/>
    </row>
    <row r="2188" spans="2:33" ht="16">
      <c r="B2188" s="67" t="str">
        <f t="shared" si="9"/>
        <v/>
      </c>
      <c r="C2188" s="33"/>
      <c r="D2188" s="33"/>
      <c r="E2188" s="33"/>
      <c r="F2188" s="56"/>
      <c r="G2188" s="33"/>
      <c r="H2188" s="33"/>
      <c r="I2188" s="33"/>
      <c r="J2188" s="57"/>
      <c r="K2188" s="33"/>
      <c r="L2188" s="57"/>
      <c r="M2188" s="58"/>
      <c r="N2188" s="56"/>
      <c r="O2188" s="64"/>
      <c r="P2188" s="62"/>
      <c r="Q2188" s="33"/>
      <c r="R2188" s="33"/>
      <c r="S2188" s="61"/>
      <c r="T2188" s="33"/>
      <c r="U2188" s="62"/>
      <c r="W2188" s="61"/>
      <c r="X2188" s="62"/>
      <c r="AD2188" s="58"/>
      <c r="AG2188" s="64"/>
    </row>
    <row r="2189" spans="2:33" ht="16">
      <c r="B2189" s="67" t="str">
        <f t="shared" si="9"/>
        <v/>
      </c>
      <c r="C2189" s="33"/>
      <c r="D2189" s="33"/>
      <c r="E2189" s="33"/>
      <c r="F2189" s="56"/>
      <c r="G2189" s="33"/>
      <c r="H2189" s="33"/>
      <c r="I2189" s="33"/>
      <c r="J2189" s="57"/>
      <c r="K2189" s="33"/>
      <c r="L2189" s="57"/>
      <c r="M2189" s="64"/>
      <c r="N2189" s="56"/>
      <c r="O2189" s="64"/>
      <c r="P2189" s="62"/>
      <c r="Q2189" s="33"/>
      <c r="R2189" s="33"/>
      <c r="S2189" s="61"/>
      <c r="T2189" s="33"/>
      <c r="U2189" s="62"/>
      <c r="W2189" s="61"/>
      <c r="X2189" s="62"/>
      <c r="AD2189" s="64"/>
      <c r="AG2189" s="64"/>
    </row>
    <row r="2190" spans="2:33" ht="16">
      <c r="B2190" s="67" t="str">
        <f t="shared" si="9"/>
        <v/>
      </c>
      <c r="C2190" s="33"/>
      <c r="D2190" s="33"/>
      <c r="E2190" s="33"/>
      <c r="F2190" s="56"/>
      <c r="G2190" s="33"/>
      <c r="H2190" s="33"/>
      <c r="I2190" s="33"/>
      <c r="J2190" s="57"/>
      <c r="K2190" s="33"/>
      <c r="L2190" s="57"/>
      <c r="M2190" s="64"/>
      <c r="N2190" s="56"/>
      <c r="O2190" s="64"/>
      <c r="P2190" s="62"/>
      <c r="Q2190" s="33"/>
      <c r="R2190" s="33"/>
      <c r="S2190" s="61"/>
      <c r="T2190" s="33"/>
      <c r="U2190" s="62"/>
      <c r="W2190" s="61"/>
      <c r="X2190" s="62"/>
      <c r="AD2190" s="64"/>
      <c r="AG2190" s="64"/>
    </row>
    <row r="2191" spans="2:33" ht="16">
      <c r="B2191" s="67" t="str">
        <f t="shared" si="9"/>
        <v/>
      </c>
      <c r="C2191" s="33"/>
      <c r="D2191" s="33"/>
      <c r="E2191" s="33"/>
      <c r="F2191" s="56"/>
      <c r="G2191" s="33"/>
      <c r="H2191" s="33"/>
      <c r="I2191" s="33"/>
      <c r="J2191" s="57"/>
      <c r="K2191" s="33"/>
      <c r="L2191" s="57"/>
      <c r="M2191" s="64"/>
      <c r="N2191" s="56"/>
      <c r="O2191" s="64"/>
      <c r="P2191" s="62"/>
      <c r="Q2191" s="33"/>
      <c r="R2191" s="33"/>
      <c r="S2191" s="61"/>
      <c r="T2191" s="33"/>
      <c r="U2191" s="62"/>
      <c r="W2191" s="61"/>
      <c r="X2191" s="62"/>
      <c r="AD2191" s="64"/>
      <c r="AG2191" s="64"/>
    </row>
    <row r="2192" spans="2:33" ht="16">
      <c r="B2192" s="67" t="str">
        <f t="shared" si="9"/>
        <v/>
      </c>
      <c r="C2192" s="33"/>
      <c r="D2192" s="33"/>
      <c r="E2192" s="33"/>
      <c r="F2192" s="56"/>
      <c r="G2192" s="33"/>
      <c r="H2192" s="33"/>
      <c r="I2192" s="33"/>
      <c r="J2192" s="57"/>
      <c r="K2192" s="33"/>
      <c r="L2192" s="57"/>
      <c r="M2192" s="64"/>
      <c r="N2192" s="56"/>
      <c r="O2192" s="64"/>
      <c r="P2192" s="62"/>
      <c r="Q2192" s="33"/>
      <c r="R2192" s="33"/>
      <c r="S2192" s="61"/>
      <c r="T2192" s="33"/>
      <c r="U2192" s="62"/>
      <c r="W2192" s="61"/>
      <c r="X2192" s="62"/>
      <c r="AD2192" s="64"/>
      <c r="AG2192" s="64"/>
    </row>
    <row r="2193" spans="2:33" ht="16">
      <c r="B2193" s="67" t="str">
        <f t="shared" si="9"/>
        <v/>
      </c>
      <c r="C2193" s="33"/>
      <c r="D2193" s="33"/>
      <c r="E2193" s="33"/>
      <c r="F2193" s="56"/>
      <c r="G2193" s="33"/>
      <c r="H2193" s="33"/>
      <c r="I2193" s="33"/>
      <c r="J2193" s="57"/>
      <c r="K2193" s="33"/>
      <c r="L2193" s="57"/>
      <c r="M2193" s="64"/>
      <c r="N2193" s="56"/>
      <c r="O2193" s="64"/>
      <c r="P2193" s="62"/>
      <c r="Q2193" s="33"/>
      <c r="R2193" s="33"/>
      <c r="S2193" s="61"/>
      <c r="T2193" s="33"/>
      <c r="U2193" s="62"/>
      <c r="W2193" s="61"/>
      <c r="X2193" s="62"/>
      <c r="AD2193" s="64"/>
      <c r="AG2193" s="64"/>
    </row>
    <row r="2194" spans="2:33" ht="16">
      <c r="B2194" s="67" t="str">
        <f t="shared" si="9"/>
        <v/>
      </c>
      <c r="C2194" s="33"/>
      <c r="D2194" s="33"/>
      <c r="E2194" s="33"/>
      <c r="F2194" s="56"/>
      <c r="G2194" s="33"/>
      <c r="H2194" s="33"/>
      <c r="I2194" s="33"/>
      <c r="J2194" s="57"/>
      <c r="K2194" s="33"/>
      <c r="L2194" s="57"/>
      <c r="M2194" s="64"/>
      <c r="N2194" s="56"/>
      <c r="O2194" s="58"/>
      <c r="P2194" s="62"/>
      <c r="Q2194" s="33"/>
      <c r="R2194" s="33"/>
      <c r="S2194" s="61"/>
      <c r="T2194" s="33"/>
      <c r="U2194" s="62"/>
      <c r="W2194" s="61"/>
      <c r="X2194" s="62"/>
      <c r="AD2194" s="64"/>
      <c r="AG2194" s="64"/>
    </row>
    <row r="2195" spans="2:33" ht="16">
      <c r="B2195" s="67" t="str">
        <f t="shared" si="9"/>
        <v/>
      </c>
      <c r="C2195" s="33"/>
      <c r="D2195" s="33"/>
      <c r="E2195" s="33"/>
      <c r="F2195" s="56"/>
      <c r="G2195" s="33"/>
      <c r="H2195" s="33"/>
      <c r="I2195" s="33"/>
      <c r="J2195" s="57"/>
      <c r="K2195" s="33"/>
      <c r="L2195" s="57"/>
      <c r="M2195" s="64"/>
      <c r="N2195" s="56"/>
      <c r="O2195" s="64"/>
      <c r="P2195" s="62"/>
      <c r="Q2195" s="33"/>
      <c r="R2195" s="33"/>
      <c r="S2195" s="61"/>
      <c r="T2195" s="33"/>
      <c r="U2195" s="62"/>
      <c r="W2195" s="61"/>
      <c r="X2195" s="62"/>
      <c r="AD2195" s="64"/>
      <c r="AG2195" s="64"/>
    </row>
    <row r="2196" spans="2:33" ht="16">
      <c r="B2196" s="67" t="str">
        <f t="shared" si="9"/>
        <v/>
      </c>
      <c r="C2196" s="33"/>
      <c r="D2196" s="33"/>
      <c r="E2196" s="33"/>
      <c r="F2196" s="56"/>
      <c r="G2196" s="33"/>
      <c r="H2196" s="33"/>
      <c r="I2196" s="33"/>
      <c r="J2196" s="57"/>
      <c r="K2196" s="33"/>
      <c r="L2196" s="57"/>
      <c r="M2196" s="64"/>
      <c r="N2196" s="56"/>
      <c r="O2196" s="64"/>
      <c r="P2196" s="62"/>
      <c r="Q2196" s="33"/>
      <c r="R2196" s="33"/>
      <c r="S2196" s="61"/>
      <c r="T2196" s="33"/>
      <c r="U2196" s="62"/>
      <c r="W2196" s="61"/>
      <c r="X2196" s="62"/>
      <c r="AD2196" s="64"/>
      <c r="AG2196" s="64"/>
    </row>
    <row r="2197" spans="2:33" ht="16">
      <c r="B2197" s="67" t="str">
        <f t="shared" si="9"/>
        <v/>
      </c>
      <c r="C2197" s="33"/>
      <c r="D2197" s="33"/>
      <c r="E2197" s="33"/>
      <c r="F2197" s="56"/>
      <c r="G2197" s="33"/>
      <c r="H2197" s="33"/>
      <c r="I2197" s="33"/>
      <c r="J2197" s="57"/>
      <c r="K2197" s="33"/>
      <c r="L2197" s="57"/>
      <c r="M2197" s="64"/>
      <c r="N2197" s="56"/>
      <c r="O2197" s="64"/>
      <c r="P2197" s="62"/>
      <c r="Q2197" s="33"/>
      <c r="R2197" s="33"/>
      <c r="S2197" s="61"/>
      <c r="T2197" s="33"/>
      <c r="U2197" s="62"/>
      <c r="W2197" s="61"/>
      <c r="X2197" s="62"/>
      <c r="AD2197" s="64"/>
      <c r="AG2197" s="64"/>
    </row>
    <row r="2198" spans="2:33" ht="16">
      <c r="B2198" s="67" t="str">
        <f t="shared" si="9"/>
        <v/>
      </c>
      <c r="C2198" s="33"/>
      <c r="D2198" s="33"/>
      <c r="E2198" s="33"/>
      <c r="F2198" s="56"/>
      <c r="G2198" s="33"/>
      <c r="H2198" s="33"/>
      <c r="I2198" s="33"/>
      <c r="J2198" s="57"/>
      <c r="K2198" s="33"/>
      <c r="L2198" s="57"/>
      <c r="M2198" s="64"/>
      <c r="N2198" s="56"/>
      <c r="O2198" s="64"/>
      <c r="P2198" s="62"/>
      <c r="Q2198" s="33"/>
      <c r="R2198" s="33"/>
      <c r="S2198" s="61"/>
      <c r="T2198" s="33"/>
      <c r="U2198" s="62"/>
      <c r="W2198" s="61"/>
      <c r="X2198" s="62"/>
      <c r="AD2198" s="64"/>
      <c r="AG2198" s="64"/>
    </row>
    <row r="2199" spans="2:33" ht="16">
      <c r="B2199" s="67" t="str">
        <f t="shared" si="9"/>
        <v/>
      </c>
      <c r="C2199" s="33"/>
      <c r="D2199" s="33"/>
      <c r="E2199" s="33"/>
      <c r="F2199" s="56"/>
      <c r="G2199" s="33"/>
      <c r="H2199" s="33"/>
      <c r="I2199" s="33"/>
      <c r="J2199" s="57"/>
      <c r="K2199" s="33"/>
      <c r="L2199" s="57"/>
      <c r="M2199" s="64"/>
      <c r="N2199" s="56"/>
      <c r="O2199" s="64"/>
      <c r="P2199" s="62"/>
      <c r="Q2199" s="33"/>
      <c r="R2199" s="33"/>
      <c r="S2199" s="61"/>
      <c r="T2199" s="33"/>
      <c r="U2199" s="62"/>
      <c r="W2199" s="61"/>
      <c r="X2199" s="62"/>
      <c r="AD2199" s="64"/>
      <c r="AG2199" s="64"/>
    </row>
    <row r="2200" spans="2:33" ht="16">
      <c r="B2200" s="67" t="str">
        <f t="shared" si="9"/>
        <v/>
      </c>
      <c r="C2200" s="33"/>
      <c r="D2200" s="33"/>
      <c r="E2200" s="33"/>
      <c r="F2200" s="56"/>
      <c r="G2200" s="33"/>
      <c r="H2200" s="33"/>
      <c r="I2200" s="33"/>
      <c r="J2200" s="57"/>
      <c r="K2200" s="33"/>
      <c r="L2200" s="57"/>
      <c r="M2200" s="64"/>
      <c r="N2200" s="56"/>
      <c r="O2200" s="64"/>
      <c r="P2200" s="62"/>
      <c r="Q2200" s="33"/>
      <c r="R2200" s="33"/>
      <c r="S2200" s="61"/>
      <c r="T2200" s="33"/>
      <c r="U2200" s="62"/>
      <c r="W2200" s="61"/>
      <c r="X2200" s="62"/>
      <c r="AD2200" s="64"/>
      <c r="AG2200" s="64"/>
    </row>
    <row r="2201" spans="2:33" ht="16">
      <c r="B2201" s="67" t="str">
        <f t="shared" si="9"/>
        <v/>
      </c>
      <c r="C2201" s="33"/>
      <c r="D2201" s="33"/>
      <c r="E2201" s="33"/>
      <c r="F2201" s="56"/>
      <c r="G2201" s="33"/>
      <c r="H2201" s="33"/>
      <c r="I2201" s="33"/>
      <c r="J2201" s="57"/>
      <c r="K2201" s="33"/>
      <c r="L2201" s="57"/>
      <c r="M2201" s="64"/>
      <c r="N2201" s="56"/>
      <c r="O2201" s="58"/>
      <c r="P2201" s="62"/>
      <c r="Q2201" s="33"/>
      <c r="R2201" s="33"/>
      <c r="S2201" s="61"/>
      <c r="T2201" s="33"/>
      <c r="U2201" s="62"/>
      <c r="W2201" s="61"/>
      <c r="X2201" s="62"/>
      <c r="AD2201" s="64"/>
      <c r="AG2201" s="64"/>
    </row>
    <row r="2202" spans="2:33" ht="16">
      <c r="B2202" s="67" t="str">
        <f t="shared" si="9"/>
        <v/>
      </c>
      <c r="C2202" s="33"/>
      <c r="D2202" s="33"/>
      <c r="E2202" s="33"/>
      <c r="F2202" s="56"/>
      <c r="G2202" s="33"/>
      <c r="H2202" s="33"/>
      <c r="I2202" s="33"/>
      <c r="J2202" s="57"/>
      <c r="K2202" s="33"/>
      <c r="L2202" s="57"/>
      <c r="M2202" s="64"/>
      <c r="N2202" s="56"/>
      <c r="O2202" s="64"/>
      <c r="P2202" s="62"/>
      <c r="Q2202" s="33"/>
      <c r="R2202" s="33"/>
      <c r="S2202" s="61"/>
      <c r="T2202" s="33"/>
      <c r="U2202" s="62"/>
      <c r="W2202" s="61"/>
      <c r="X2202" s="62"/>
      <c r="AD2202" s="64"/>
      <c r="AG2202" s="58"/>
    </row>
    <row r="2203" spans="2:33" ht="16">
      <c r="B2203" s="67" t="str">
        <f t="shared" si="9"/>
        <v/>
      </c>
      <c r="C2203" s="33"/>
      <c r="D2203" s="33"/>
      <c r="E2203" s="33"/>
      <c r="F2203" s="56"/>
      <c r="G2203" s="33"/>
      <c r="H2203" s="33"/>
      <c r="I2203" s="33"/>
      <c r="J2203" s="57"/>
      <c r="K2203" s="33"/>
      <c r="L2203" s="57"/>
      <c r="M2203" s="58"/>
      <c r="N2203" s="56"/>
      <c r="O2203" s="58"/>
      <c r="P2203" s="62"/>
      <c r="Q2203" s="33"/>
      <c r="R2203" s="33"/>
      <c r="S2203" s="61"/>
      <c r="T2203" s="33"/>
      <c r="U2203" s="62"/>
      <c r="W2203" s="61"/>
      <c r="X2203" s="62"/>
      <c r="AD2203" s="58"/>
      <c r="AG2203" s="58"/>
    </row>
    <row r="2204" spans="2:33" ht="16">
      <c r="B2204" s="67" t="str">
        <f t="shared" si="9"/>
        <v/>
      </c>
      <c r="C2204" s="33"/>
      <c r="D2204" s="33"/>
      <c r="E2204" s="33"/>
      <c r="F2204" s="56"/>
      <c r="G2204" s="33"/>
      <c r="H2204" s="33"/>
      <c r="I2204" s="33"/>
      <c r="J2204" s="57"/>
      <c r="K2204" s="33"/>
      <c r="L2204" s="57"/>
      <c r="M2204" s="58"/>
      <c r="N2204" s="56"/>
      <c r="O2204" s="58"/>
      <c r="P2204" s="62"/>
      <c r="Q2204" s="33"/>
      <c r="R2204" s="33"/>
      <c r="S2204" s="61"/>
      <c r="T2204" s="33"/>
      <c r="U2204" s="62"/>
      <c r="W2204" s="61"/>
      <c r="X2204" s="62"/>
      <c r="AD2204" s="64"/>
      <c r="AG2204" s="64"/>
    </row>
    <row r="2205" spans="2:33" ht="16">
      <c r="B2205" s="67" t="str">
        <f t="shared" si="9"/>
        <v/>
      </c>
      <c r="C2205" s="33"/>
      <c r="D2205" s="33"/>
      <c r="E2205" s="33"/>
      <c r="F2205" s="56"/>
      <c r="G2205" s="33"/>
      <c r="H2205" s="33"/>
      <c r="I2205" s="33"/>
      <c r="J2205" s="57"/>
      <c r="K2205" s="33"/>
      <c r="L2205" s="57"/>
      <c r="M2205" s="58"/>
      <c r="N2205" s="56"/>
      <c r="O2205" s="58"/>
      <c r="P2205" s="62"/>
      <c r="Q2205" s="33"/>
      <c r="R2205" s="33"/>
      <c r="S2205" s="61"/>
      <c r="T2205" s="33"/>
      <c r="U2205" s="62"/>
      <c r="W2205" s="61"/>
      <c r="X2205" s="62"/>
      <c r="AD2205" s="58"/>
      <c r="AG2205" s="64"/>
    </row>
    <row r="2206" spans="2:33" ht="16">
      <c r="B2206" s="67" t="str">
        <f t="shared" si="9"/>
        <v/>
      </c>
      <c r="C2206" s="33"/>
      <c r="D2206" s="33"/>
      <c r="E2206" s="33"/>
      <c r="F2206" s="56"/>
      <c r="G2206" s="33"/>
      <c r="H2206" s="33"/>
      <c r="I2206" s="33"/>
      <c r="J2206" s="57"/>
      <c r="K2206" s="33"/>
      <c r="L2206" s="57"/>
      <c r="M2206" s="64"/>
      <c r="N2206" s="56"/>
      <c r="O2206" s="58"/>
      <c r="P2206" s="62"/>
      <c r="Q2206" s="33"/>
      <c r="R2206" s="33"/>
      <c r="S2206" s="61"/>
      <c r="T2206" s="33"/>
      <c r="U2206" s="62"/>
      <c r="W2206" s="61"/>
      <c r="X2206" s="62"/>
      <c r="AD2206" s="58"/>
      <c r="AG2206" s="64"/>
    </row>
    <row r="2207" spans="2:33" ht="16">
      <c r="B2207" s="67" t="str">
        <f t="shared" si="9"/>
        <v/>
      </c>
      <c r="C2207" s="33"/>
      <c r="D2207" s="33"/>
      <c r="E2207" s="33"/>
      <c r="F2207" s="56"/>
      <c r="G2207" s="33"/>
      <c r="H2207" s="33"/>
      <c r="I2207" s="33"/>
      <c r="J2207" s="57"/>
      <c r="K2207" s="33"/>
      <c r="L2207" s="57"/>
      <c r="M2207" s="64"/>
      <c r="N2207" s="56"/>
      <c r="O2207" s="64"/>
      <c r="P2207" s="62"/>
      <c r="Q2207" s="33"/>
      <c r="R2207" s="33"/>
      <c r="S2207" s="61"/>
      <c r="T2207" s="33"/>
      <c r="U2207" s="62"/>
      <c r="W2207" s="61"/>
      <c r="X2207" s="62"/>
      <c r="AD2207" s="64"/>
      <c r="AG2207" s="64"/>
    </row>
    <row r="2208" spans="2:33" ht="16">
      <c r="B2208" s="67" t="str">
        <f t="shared" si="9"/>
        <v/>
      </c>
      <c r="C2208" s="33"/>
      <c r="D2208" s="33"/>
      <c r="E2208" s="33"/>
      <c r="F2208" s="56"/>
      <c r="G2208" s="33"/>
      <c r="H2208" s="33"/>
      <c r="I2208" s="33"/>
      <c r="J2208" s="57"/>
      <c r="K2208" s="33"/>
      <c r="L2208" s="57"/>
      <c r="M2208" s="58"/>
      <c r="N2208" s="56"/>
      <c r="O2208" s="58"/>
      <c r="P2208" s="62"/>
      <c r="Q2208" s="33"/>
      <c r="R2208" s="33"/>
      <c r="S2208" s="61"/>
      <c r="T2208" s="33"/>
      <c r="U2208" s="62"/>
      <c r="W2208" s="61"/>
      <c r="X2208" s="62"/>
      <c r="AD2208" s="58"/>
      <c r="AG2208" s="64"/>
    </row>
    <row r="2209" spans="2:33" ht="16">
      <c r="B2209" s="67" t="str">
        <f t="shared" si="9"/>
        <v/>
      </c>
      <c r="C2209" s="33"/>
      <c r="D2209" s="33"/>
      <c r="E2209" s="33"/>
      <c r="F2209" s="56"/>
      <c r="G2209" s="33"/>
      <c r="H2209" s="33"/>
      <c r="I2209" s="33"/>
      <c r="J2209" s="57"/>
      <c r="K2209" s="33"/>
      <c r="L2209" s="57"/>
      <c r="M2209" s="64"/>
      <c r="N2209" s="56"/>
      <c r="O2209" s="58"/>
      <c r="P2209" s="62"/>
      <c r="Q2209" s="33"/>
      <c r="R2209" s="33"/>
      <c r="S2209" s="61"/>
      <c r="T2209" s="33"/>
      <c r="U2209" s="62"/>
      <c r="W2209" s="61"/>
      <c r="X2209" s="62"/>
      <c r="AD2209" s="58"/>
      <c r="AG2209" s="58"/>
    </row>
    <row r="2210" spans="2:33" ht="16">
      <c r="B2210" s="67" t="str">
        <f t="shared" si="9"/>
        <v/>
      </c>
      <c r="C2210" s="33"/>
      <c r="D2210" s="33"/>
      <c r="E2210" s="33"/>
      <c r="F2210" s="56"/>
      <c r="G2210" s="33"/>
      <c r="H2210" s="33"/>
      <c r="I2210" s="33"/>
      <c r="J2210" s="57"/>
      <c r="K2210" s="33"/>
      <c r="L2210" s="57"/>
      <c r="M2210" s="64"/>
      <c r="N2210" s="56"/>
      <c r="O2210" s="64"/>
      <c r="P2210" s="62"/>
      <c r="Q2210" s="33"/>
      <c r="R2210" s="33"/>
      <c r="S2210" s="61"/>
      <c r="T2210" s="33"/>
      <c r="U2210" s="62"/>
      <c r="W2210" s="61"/>
      <c r="X2210" s="62"/>
      <c r="AD2210" s="64"/>
      <c r="AG2210" s="58"/>
    </row>
    <row r="2211" spans="2:33" ht="16">
      <c r="B2211" s="67" t="str">
        <f t="shared" si="9"/>
        <v/>
      </c>
      <c r="C2211" s="33"/>
      <c r="D2211" s="33"/>
      <c r="E2211" s="33"/>
      <c r="F2211" s="56"/>
      <c r="G2211" s="33"/>
      <c r="H2211" s="33"/>
      <c r="I2211" s="33"/>
      <c r="J2211" s="57"/>
      <c r="K2211" s="33"/>
      <c r="L2211" s="57"/>
      <c r="M2211" s="64"/>
      <c r="N2211" s="56"/>
      <c r="O2211" s="64"/>
      <c r="P2211" s="62"/>
      <c r="Q2211" s="33"/>
      <c r="R2211" s="33"/>
      <c r="S2211" s="61"/>
      <c r="T2211" s="33"/>
      <c r="U2211" s="62"/>
      <c r="W2211" s="61"/>
      <c r="X2211" s="62"/>
      <c r="AD2211" s="64"/>
      <c r="AG2211" s="58"/>
    </row>
    <row r="2212" spans="2:33" ht="16">
      <c r="B2212" s="67" t="str">
        <f t="shared" si="9"/>
        <v/>
      </c>
      <c r="C2212" s="33"/>
      <c r="D2212" s="33"/>
      <c r="E2212" s="33"/>
      <c r="F2212" s="56"/>
      <c r="G2212" s="33"/>
      <c r="H2212" s="33"/>
      <c r="I2212" s="33"/>
      <c r="J2212" s="57"/>
      <c r="K2212" s="33"/>
      <c r="L2212" s="57"/>
      <c r="M2212" s="58"/>
      <c r="N2212" s="56"/>
      <c r="O2212" s="64"/>
      <c r="P2212" s="62"/>
      <c r="Q2212" s="33"/>
      <c r="R2212" s="33"/>
      <c r="S2212" s="61"/>
      <c r="T2212" s="33"/>
      <c r="U2212" s="62"/>
      <c r="W2212" s="61"/>
      <c r="X2212" s="62"/>
      <c r="AD2212" s="64"/>
      <c r="AG2212" s="58"/>
    </row>
    <row r="2213" spans="2:33" ht="16">
      <c r="B2213" s="67" t="str">
        <f t="shared" si="9"/>
        <v/>
      </c>
      <c r="C2213" s="33"/>
      <c r="D2213" s="33"/>
      <c r="E2213" s="33"/>
      <c r="F2213" s="56"/>
      <c r="G2213" s="33"/>
      <c r="H2213" s="33"/>
      <c r="I2213" s="33"/>
      <c r="J2213" s="57"/>
      <c r="K2213" s="33"/>
      <c r="L2213" s="57"/>
      <c r="M2213" s="64"/>
      <c r="N2213" s="56"/>
      <c r="O2213" s="64"/>
      <c r="P2213" s="62"/>
      <c r="Q2213" s="33"/>
      <c r="R2213" s="33"/>
      <c r="S2213" s="61"/>
      <c r="T2213" s="33"/>
      <c r="U2213" s="62"/>
      <c r="W2213" s="61"/>
      <c r="X2213" s="62"/>
      <c r="AD2213" s="64"/>
      <c r="AG2213" s="58"/>
    </row>
    <row r="2214" spans="2:33" ht="16">
      <c r="B2214" s="67" t="str">
        <f t="shared" si="9"/>
        <v/>
      </c>
      <c r="C2214" s="33"/>
      <c r="D2214" s="33"/>
      <c r="E2214" s="33"/>
      <c r="F2214" s="56"/>
      <c r="G2214" s="33"/>
      <c r="H2214" s="33"/>
      <c r="I2214" s="33"/>
      <c r="J2214" s="57"/>
      <c r="K2214" s="33"/>
      <c r="L2214" s="57"/>
      <c r="M2214" s="64"/>
      <c r="N2214" s="56"/>
      <c r="O2214" s="64"/>
      <c r="P2214" s="62"/>
      <c r="Q2214" s="33"/>
      <c r="R2214" s="33"/>
      <c r="S2214" s="61"/>
      <c r="T2214" s="33"/>
      <c r="U2214" s="62"/>
      <c r="W2214" s="61"/>
      <c r="X2214" s="62"/>
      <c r="AD2214" s="64"/>
      <c r="AG2214" s="64"/>
    </row>
    <row r="2215" spans="2:33" ht="16">
      <c r="B2215" s="67" t="str">
        <f t="shared" si="9"/>
        <v/>
      </c>
      <c r="C2215" s="33"/>
      <c r="D2215" s="33"/>
      <c r="E2215" s="33"/>
      <c r="F2215" s="56"/>
      <c r="G2215" s="33"/>
      <c r="H2215" s="33"/>
      <c r="I2215" s="33"/>
      <c r="J2215" s="57"/>
      <c r="K2215" s="33"/>
      <c r="L2215" s="57"/>
      <c r="M2215" s="64"/>
      <c r="N2215" s="56"/>
      <c r="O2215" s="64"/>
      <c r="P2215" s="62"/>
      <c r="Q2215" s="33"/>
      <c r="R2215" s="33"/>
      <c r="S2215" s="61"/>
      <c r="T2215" s="33"/>
      <c r="U2215" s="62"/>
      <c r="W2215" s="61"/>
      <c r="X2215" s="62"/>
      <c r="AD2215" s="58"/>
      <c r="AG2215" s="64"/>
    </row>
    <row r="2216" spans="2:33" ht="16">
      <c r="B2216" s="67" t="str">
        <f t="shared" si="9"/>
        <v/>
      </c>
      <c r="C2216" s="33"/>
      <c r="D2216" s="33"/>
      <c r="E2216" s="33"/>
      <c r="F2216" s="56"/>
      <c r="G2216" s="33"/>
      <c r="H2216" s="33"/>
      <c r="I2216" s="33"/>
      <c r="J2216" s="57"/>
      <c r="K2216" s="33"/>
      <c r="L2216" s="57"/>
      <c r="M2216" s="64"/>
      <c r="N2216" s="56"/>
      <c r="O2216" s="64"/>
      <c r="P2216" s="62"/>
      <c r="Q2216" s="33"/>
      <c r="R2216" s="33"/>
      <c r="S2216" s="61"/>
      <c r="T2216" s="33"/>
      <c r="U2216" s="62"/>
      <c r="W2216" s="61"/>
      <c r="X2216" s="62"/>
      <c r="AD2216" s="64"/>
      <c r="AG2216" s="58"/>
    </row>
    <row r="2217" spans="2:33" ht="16">
      <c r="B2217" s="67" t="str">
        <f t="shared" si="9"/>
        <v/>
      </c>
      <c r="C2217" s="33"/>
      <c r="D2217" s="33"/>
      <c r="E2217" s="33"/>
      <c r="F2217" s="56"/>
      <c r="G2217" s="33"/>
      <c r="H2217" s="33"/>
      <c r="I2217" s="33"/>
      <c r="J2217" s="57"/>
      <c r="K2217" s="33"/>
      <c r="L2217" s="57"/>
      <c r="M2217" s="64"/>
      <c r="N2217" s="56"/>
      <c r="O2217" s="64"/>
      <c r="P2217" s="62"/>
      <c r="Q2217" s="33"/>
      <c r="R2217" s="33"/>
      <c r="S2217" s="61"/>
      <c r="T2217" s="33"/>
      <c r="U2217" s="62"/>
      <c r="W2217" s="61"/>
      <c r="X2217" s="62"/>
      <c r="AD2217" s="64"/>
      <c r="AG2217" s="64"/>
    </row>
    <row r="2218" spans="2:33" ht="16">
      <c r="B2218" s="67" t="str">
        <f t="shared" si="9"/>
        <v/>
      </c>
      <c r="C2218" s="33"/>
      <c r="D2218" s="33"/>
      <c r="E2218" s="33"/>
      <c r="F2218" s="56"/>
      <c r="G2218" s="33"/>
      <c r="H2218" s="33"/>
      <c r="I2218" s="33"/>
      <c r="J2218" s="57"/>
      <c r="K2218" s="33"/>
      <c r="L2218" s="57"/>
      <c r="M2218" s="64"/>
      <c r="N2218" s="56"/>
      <c r="O2218" s="64"/>
      <c r="P2218" s="62"/>
      <c r="Q2218" s="33"/>
      <c r="R2218" s="33"/>
      <c r="S2218" s="61"/>
      <c r="T2218" s="33"/>
      <c r="U2218" s="62"/>
      <c r="W2218" s="61"/>
      <c r="X2218" s="62"/>
      <c r="AD2218" s="64"/>
      <c r="AG2218" s="64"/>
    </row>
    <row r="2219" spans="2:33" ht="16">
      <c r="B2219" s="67" t="str">
        <f t="shared" si="9"/>
        <v/>
      </c>
      <c r="C2219" s="33"/>
      <c r="D2219" s="33"/>
      <c r="E2219" s="33"/>
      <c r="F2219" s="56"/>
      <c r="G2219" s="33"/>
      <c r="H2219" s="33"/>
      <c r="I2219" s="33"/>
      <c r="J2219" s="57"/>
      <c r="K2219" s="33"/>
      <c r="L2219" s="57"/>
      <c r="M2219" s="58"/>
      <c r="N2219" s="56"/>
      <c r="O2219" s="58"/>
      <c r="P2219" s="62"/>
      <c r="Q2219" s="33"/>
      <c r="R2219" s="33"/>
      <c r="S2219" s="61"/>
      <c r="T2219" s="33"/>
      <c r="U2219" s="62"/>
      <c r="W2219" s="61"/>
      <c r="X2219" s="62"/>
      <c r="AD2219" s="58"/>
      <c r="AG2219" s="58"/>
    </row>
    <row r="2220" spans="2:33" ht="16">
      <c r="B2220" s="67" t="str">
        <f t="shared" si="9"/>
        <v/>
      </c>
      <c r="C2220" s="33"/>
      <c r="D2220" s="33"/>
      <c r="E2220" s="33"/>
      <c r="F2220" s="56"/>
      <c r="G2220" s="33"/>
      <c r="H2220" s="33"/>
      <c r="I2220" s="33"/>
      <c r="J2220" s="57"/>
      <c r="K2220" s="33"/>
      <c r="L2220" s="57"/>
      <c r="M2220" s="64"/>
      <c r="N2220" s="56"/>
      <c r="O2220" s="64"/>
      <c r="P2220" s="62"/>
      <c r="Q2220" s="33"/>
      <c r="R2220" s="33"/>
      <c r="S2220" s="61"/>
      <c r="T2220" s="33"/>
      <c r="U2220" s="62"/>
      <c r="W2220" s="61"/>
      <c r="X2220" s="62"/>
      <c r="AD2220" s="64"/>
      <c r="AG2220" s="64"/>
    </row>
    <row r="2221" spans="2:33" ht="16">
      <c r="B2221" s="67" t="str">
        <f t="shared" si="9"/>
        <v/>
      </c>
      <c r="C2221" s="33"/>
      <c r="D2221" s="33"/>
      <c r="E2221" s="33"/>
      <c r="F2221" s="56"/>
      <c r="G2221" s="33"/>
      <c r="H2221" s="33"/>
      <c r="I2221" s="33"/>
      <c r="J2221" s="57"/>
      <c r="K2221" s="33"/>
      <c r="L2221" s="57"/>
      <c r="M2221" s="64"/>
      <c r="N2221" s="56"/>
      <c r="O2221" s="64"/>
      <c r="P2221" s="62"/>
      <c r="Q2221" s="33"/>
      <c r="R2221" s="33"/>
      <c r="S2221" s="61"/>
      <c r="T2221" s="33"/>
      <c r="U2221" s="62"/>
      <c r="W2221" s="61"/>
      <c r="X2221" s="62"/>
      <c r="AD2221" s="64"/>
      <c r="AG2221" s="64"/>
    </row>
    <row r="2222" spans="2:33" ht="16">
      <c r="B2222" s="67" t="str">
        <f t="shared" si="9"/>
        <v/>
      </c>
      <c r="C2222" s="33"/>
      <c r="D2222" s="33"/>
      <c r="E2222" s="33"/>
      <c r="F2222" s="56"/>
      <c r="G2222" s="33"/>
      <c r="H2222" s="33"/>
      <c r="I2222" s="33"/>
      <c r="J2222" s="57"/>
      <c r="K2222" s="33"/>
      <c r="L2222" s="57"/>
      <c r="M2222" s="64"/>
      <c r="N2222" s="56"/>
      <c r="O2222" s="58"/>
      <c r="P2222" s="62"/>
      <c r="Q2222" s="33"/>
      <c r="R2222" s="33"/>
      <c r="S2222" s="61"/>
      <c r="T2222" s="33"/>
      <c r="U2222" s="62"/>
      <c r="W2222" s="61"/>
      <c r="X2222" s="62"/>
      <c r="AD2222" s="58"/>
      <c r="AG2222" s="64"/>
    </row>
    <row r="2223" spans="2:33" ht="16">
      <c r="B2223" s="67" t="str">
        <f t="shared" si="9"/>
        <v/>
      </c>
      <c r="C2223" s="33"/>
      <c r="D2223" s="33"/>
      <c r="E2223" s="33"/>
      <c r="F2223" s="56"/>
      <c r="G2223" s="33"/>
      <c r="H2223" s="33"/>
      <c r="I2223" s="33"/>
      <c r="J2223" s="57"/>
      <c r="K2223" s="33"/>
      <c r="L2223" s="57"/>
      <c r="M2223" s="58"/>
      <c r="N2223" s="56"/>
      <c r="O2223" s="58"/>
      <c r="P2223" s="62"/>
      <c r="Q2223" s="33"/>
      <c r="R2223" s="33"/>
      <c r="S2223" s="61"/>
      <c r="T2223" s="33"/>
      <c r="U2223" s="62"/>
      <c r="W2223" s="61"/>
      <c r="X2223" s="62"/>
      <c r="AD2223" s="58"/>
      <c r="AG2223" s="58"/>
    </row>
    <row r="2224" spans="2:33" ht="16">
      <c r="B2224" s="67" t="str">
        <f t="shared" si="9"/>
        <v/>
      </c>
      <c r="C2224" s="33"/>
      <c r="D2224" s="33"/>
      <c r="E2224" s="33"/>
      <c r="F2224" s="56"/>
      <c r="G2224" s="33"/>
      <c r="H2224" s="33"/>
      <c r="I2224" s="33"/>
      <c r="J2224" s="57"/>
      <c r="K2224" s="33"/>
      <c r="L2224" s="57"/>
      <c r="M2224" s="64"/>
      <c r="N2224" s="56"/>
      <c r="O2224" s="64"/>
      <c r="P2224" s="62"/>
      <c r="Q2224" s="33"/>
      <c r="R2224" s="33"/>
      <c r="S2224" s="61"/>
      <c r="T2224" s="33"/>
      <c r="U2224" s="62"/>
      <c r="W2224" s="61"/>
      <c r="X2224" s="62"/>
      <c r="AD2224" s="64"/>
      <c r="AG2224" s="64"/>
    </row>
    <row r="2225" spans="2:33" ht="16">
      <c r="B2225" s="67" t="str">
        <f t="shared" si="9"/>
        <v/>
      </c>
      <c r="C2225" s="33"/>
      <c r="D2225" s="33"/>
      <c r="E2225" s="33"/>
      <c r="F2225" s="56"/>
      <c r="G2225" s="33"/>
      <c r="H2225" s="33"/>
      <c r="I2225" s="33"/>
      <c r="J2225" s="57"/>
      <c r="K2225" s="33"/>
      <c r="L2225" s="57"/>
      <c r="M2225" s="64"/>
      <c r="N2225" s="56"/>
      <c r="O2225" s="64"/>
      <c r="P2225" s="62"/>
      <c r="Q2225" s="33"/>
      <c r="R2225" s="33"/>
      <c r="S2225" s="61"/>
      <c r="T2225" s="33"/>
      <c r="U2225" s="62"/>
      <c r="W2225" s="61"/>
      <c r="X2225" s="62"/>
      <c r="AD2225" s="64"/>
      <c r="AG2225" s="64"/>
    </row>
    <row r="2226" spans="2:33" ht="16">
      <c r="B2226" s="67" t="str">
        <f t="shared" si="9"/>
        <v/>
      </c>
      <c r="C2226" s="33"/>
      <c r="D2226" s="33"/>
      <c r="E2226" s="33"/>
      <c r="F2226" s="56"/>
      <c r="G2226" s="33"/>
      <c r="H2226" s="33"/>
      <c r="I2226" s="33"/>
      <c r="J2226" s="57"/>
      <c r="K2226" s="33"/>
      <c r="L2226" s="57"/>
      <c r="M2226" s="58"/>
      <c r="N2226" s="56"/>
      <c r="O2226" s="58"/>
      <c r="P2226" s="62"/>
      <c r="Q2226" s="33"/>
      <c r="R2226" s="33"/>
      <c r="S2226" s="61"/>
      <c r="T2226" s="33"/>
      <c r="U2226" s="62"/>
      <c r="W2226" s="61"/>
      <c r="X2226" s="62"/>
      <c r="AD2226" s="58"/>
      <c r="AG2226" s="58"/>
    </row>
    <row r="2227" spans="2:33" ht="16">
      <c r="B2227" s="67" t="str">
        <f t="shared" si="9"/>
        <v/>
      </c>
      <c r="C2227" s="33"/>
      <c r="D2227" s="33"/>
      <c r="E2227" s="33"/>
      <c r="F2227" s="56"/>
      <c r="G2227" s="33"/>
      <c r="H2227" s="33"/>
      <c r="I2227" s="33"/>
      <c r="J2227" s="57"/>
      <c r="K2227" s="33"/>
      <c r="L2227" s="57"/>
      <c r="M2227" s="64"/>
      <c r="N2227" s="56"/>
      <c r="O2227" s="64"/>
      <c r="P2227" s="62"/>
      <c r="Q2227" s="33"/>
      <c r="R2227" s="33"/>
      <c r="S2227" s="61"/>
      <c r="T2227" s="33"/>
      <c r="U2227" s="62"/>
      <c r="W2227" s="61"/>
      <c r="X2227" s="62"/>
      <c r="AD2227" s="64"/>
      <c r="AG2227" s="64"/>
    </row>
    <row r="2228" spans="2:33" ht="16">
      <c r="B2228" s="67" t="str">
        <f t="shared" si="9"/>
        <v/>
      </c>
      <c r="C2228" s="33"/>
      <c r="D2228" s="33"/>
      <c r="E2228" s="33"/>
      <c r="F2228" s="56"/>
      <c r="G2228" s="33"/>
      <c r="H2228" s="33"/>
      <c r="I2228" s="33"/>
      <c r="J2228" s="57"/>
      <c r="K2228" s="33"/>
      <c r="L2228" s="57"/>
      <c r="M2228" s="64"/>
      <c r="N2228" s="56"/>
      <c r="O2228" s="58"/>
      <c r="P2228" s="62"/>
      <c r="Q2228" s="33"/>
      <c r="R2228" s="33"/>
      <c r="S2228" s="61"/>
      <c r="T2228" s="33"/>
      <c r="U2228" s="62"/>
      <c r="W2228" s="61"/>
      <c r="X2228" s="62"/>
      <c r="AD2228" s="64"/>
      <c r="AG2228" s="58"/>
    </row>
    <row r="2229" spans="2:33" ht="16">
      <c r="B2229" s="67" t="str">
        <f t="shared" si="9"/>
        <v/>
      </c>
      <c r="C2229" s="33"/>
      <c r="D2229" s="33"/>
      <c r="E2229" s="33"/>
      <c r="F2229" s="56"/>
      <c r="G2229" s="33"/>
      <c r="H2229" s="33"/>
      <c r="I2229" s="33"/>
      <c r="J2229" s="57"/>
      <c r="K2229" s="33"/>
      <c r="L2229" s="57"/>
      <c r="M2229" s="64"/>
      <c r="N2229" s="56"/>
      <c r="O2229" s="64"/>
      <c r="P2229" s="62"/>
      <c r="Q2229" s="33"/>
      <c r="R2229" s="33"/>
      <c r="S2229" s="61"/>
      <c r="T2229" s="33"/>
      <c r="U2229" s="62"/>
      <c r="W2229" s="61"/>
      <c r="X2229" s="62"/>
      <c r="AD2229" s="64"/>
      <c r="AG2229" s="64"/>
    </row>
    <row r="2230" spans="2:33" ht="16">
      <c r="B2230" s="67" t="str">
        <f t="shared" si="9"/>
        <v/>
      </c>
      <c r="C2230" s="33"/>
      <c r="D2230" s="33"/>
      <c r="E2230" s="33"/>
      <c r="F2230" s="56"/>
      <c r="G2230" s="33"/>
      <c r="H2230" s="33"/>
      <c r="I2230" s="33"/>
      <c r="J2230" s="57"/>
      <c r="K2230" s="33"/>
      <c r="L2230" s="57"/>
      <c r="M2230" s="64"/>
      <c r="N2230" s="56"/>
      <c r="O2230" s="58"/>
      <c r="P2230" s="62"/>
      <c r="Q2230" s="33"/>
      <c r="R2230" s="33"/>
      <c r="S2230" s="61"/>
      <c r="T2230" s="33"/>
      <c r="U2230" s="62"/>
      <c r="W2230" s="61"/>
      <c r="X2230" s="62"/>
      <c r="AD2230" s="64"/>
      <c r="AG2230" s="64"/>
    </row>
    <row r="2231" spans="2:33" ht="16">
      <c r="B2231" s="67" t="str">
        <f t="shared" si="9"/>
        <v/>
      </c>
      <c r="C2231" s="33"/>
      <c r="D2231" s="33"/>
      <c r="E2231" s="33"/>
      <c r="F2231" s="56"/>
      <c r="G2231" s="33"/>
      <c r="H2231" s="33"/>
      <c r="I2231" s="33"/>
      <c r="J2231" s="57"/>
      <c r="K2231" s="33"/>
      <c r="L2231" s="57"/>
      <c r="M2231" s="64"/>
      <c r="N2231" s="56"/>
      <c r="O2231" s="64"/>
      <c r="P2231" s="62"/>
      <c r="Q2231" s="33"/>
      <c r="R2231" s="33"/>
      <c r="S2231" s="61"/>
      <c r="T2231" s="33"/>
      <c r="U2231" s="62"/>
      <c r="W2231" s="61"/>
      <c r="X2231" s="62"/>
      <c r="AD2231" s="58"/>
      <c r="AG2231" s="64"/>
    </row>
    <row r="2232" spans="2:33" ht="16">
      <c r="B2232" s="67" t="str">
        <f t="shared" si="9"/>
        <v/>
      </c>
      <c r="C2232" s="33"/>
      <c r="D2232" s="33"/>
      <c r="E2232" s="33"/>
      <c r="F2232" s="56"/>
      <c r="G2232" s="33"/>
      <c r="H2232" s="33"/>
      <c r="I2232" s="33"/>
      <c r="J2232" s="57"/>
      <c r="K2232" s="33"/>
      <c r="L2232" s="57"/>
      <c r="M2232" s="64"/>
      <c r="N2232" s="56"/>
      <c r="O2232" s="64"/>
      <c r="P2232" s="62"/>
      <c r="Q2232" s="33"/>
      <c r="R2232" s="33"/>
      <c r="S2232" s="61"/>
      <c r="T2232" s="33"/>
      <c r="U2232" s="62"/>
      <c r="W2232" s="61"/>
      <c r="X2232" s="62"/>
      <c r="AD2232" s="64"/>
      <c r="AG2232" s="64"/>
    </row>
    <row r="2233" spans="2:33" ht="16">
      <c r="B2233" s="67" t="str">
        <f t="shared" si="9"/>
        <v/>
      </c>
      <c r="C2233" s="33"/>
      <c r="D2233" s="33"/>
      <c r="E2233" s="33"/>
      <c r="F2233" s="56"/>
      <c r="G2233" s="33"/>
      <c r="H2233" s="33"/>
      <c r="I2233" s="33"/>
      <c r="J2233" s="57"/>
      <c r="K2233" s="33"/>
      <c r="L2233" s="57"/>
      <c r="M2233" s="58"/>
      <c r="N2233" s="56"/>
      <c r="O2233" s="58"/>
      <c r="P2233" s="62"/>
      <c r="Q2233" s="33"/>
      <c r="R2233" s="33"/>
      <c r="S2233" s="61"/>
      <c r="T2233" s="33"/>
      <c r="U2233" s="62"/>
      <c r="W2233" s="61"/>
      <c r="X2233" s="62"/>
      <c r="AD2233" s="58"/>
      <c r="AG2233" s="58"/>
    </row>
    <row r="2234" spans="2:33" ht="16">
      <c r="B2234" s="67" t="str">
        <f t="shared" si="9"/>
        <v/>
      </c>
      <c r="C2234" s="33"/>
      <c r="D2234" s="33"/>
      <c r="E2234" s="33"/>
      <c r="F2234" s="56"/>
      <c r="G2234" s="33"/>
      <c r="H2234" s="33"/>
      <c r="I2234" s="33"/>
      <c r="J2234" s="57"/>
      <c r="K2234" s="33"/>
      <c r="L2234" s="57"/>
      <c r="M2234" s="58"/>
      <c r="N2234" s="56"/>
      <c r="O2234" s="58"/>
      <c r="P2234" s="62"/>
      <c r="Q2234" s="33"/>
      <c r="R2234" s="33"/>
      <c r="S2234" s="61"/>
      <c r="T2234" s="33"/>
      <c r="U2234" s="62"/>
      <c r="W2234" s="61"/>
      <c r="X2234" s="62"/>
      <c r="AD2234" s="64"/>
      <c r="AG2234" s="64"/>
    </row>
    <row r="2235" spans="2:33" ht="16">
      <c r="B2235" s="67" t="str">
        <f t="shared" si="9"/>
        <v/>
      </c>
      <c r="C2235" s="33"/>
      <c r="D2235" s="33"/>
      <c r="E2235" s="33"/>
      <c r="F2235" s="56"/>
      <c r="G2235" s="33"/>
      <c r="H2235" s="33"/>
      <c r="I2235" s="33"/>
      <c r="J2235" s="57"/>
      <c r="K2235" s="33"/>
      <c r="L2235" s="57"/>
      <c r="M2235" s="58"/>
      <c r="N2235" s="56"/>
      <c r="O2235" s="58"/>
      <c r="P2235" s="62"/>
      <c r="Q2235" s="33"/>
      <c r="R2235" s="33"/>
      <c r="S2235" s="61"/>
      <c r="T2235" s="33"/>
      <c r="U2235" s="62"/>
      <c r="W2235" s="61"/>
      <c r="X2235" s="62"/>
      <c r="AD2235" s="58"/>
      <c r="AG2235" s="64"/>
    </row>
    <row r="2236" spans="2:33" ht="16">
      <c r="B2236" s="67" t="str">
        <f t="shared" si="9"/>
        <v/>
      </c>
      <c r="C2236" s="33"/>
      <c r="D2236" s="33"/>
      <c r="E2236" s="33"/>
      <c r="F2236" s="56"/>
      <c r="G2236" s="33"/>
      <c r="H2236" s="33"/>
      <c r="I2236" s="33"/>
      <c r="J2236" s="57"/>
      <c r="K2236" s="33"/>
      <c r="L2236" s="57"/>
      <c r="M2236" s="64"/>
      <c r="N2236" s="56"/>
      <c r="O2236" s="64"/>
      <c r="P2236" s="62"/>
      <c r="Q2236" s="33"/>
      <c r="R2236" s="33"/>
      <c r="S2236" s="61"/>
      <c r="T2236" s="33"/>
      <c r="U2236" s="62"/>
      <c r="W2236" s="61"/>
      <c r="X2236" s="62"/>
      <c r="AD2236" s="58"/>
      <c r="AG2236" s="64"/>
    </row>
    <row r="2237" spans="2:33" ht="16">
      <c r="B2237" s="67" t="str">
        <f t="shared" si="9"/>
        <v/>
      </c>
      <c r="C2237" s="33"/>
      <c r="D2237" s="33"/>
      <c r="E2237" s="33"/>
      <c r="F2237" s="56"/>
      <c r="G2237" s="33"/>
      <c r="H2237" s="33"/>
      <c r="I2237" s="33"/>
      <c r="J2237" s="57"/>
      <c r="K2237" s="33"/>
      <c r="L2237" s="57"/>
      <c r="M2237" s="58"/>
      <c r="N2237" s="56"/>
      <c r="O2237" s="58"/>
      <c r="P2237" s="62"/>
      <c r="Q2237" s="33"/>
      <c r="R2237" s="33"/>
      <c r="S2237" s="61"/>
      <c r="T2237" s="33"/>
      <c r="U2237" s="62"/>
      <c r="W2237" s="61"/>
      <c r="X2237" s="62"/>
      <c r="AD2237" s="58"/>
      <c r="AG2237" s="64"/>
    </row>
    <row r="2238" spans="2:33" ht="16">
      <c r="B2238" s="67" t="str">
        <f t="shared" si="9"/>
        <v/>
      </c>
      <c r="C2238" s="33"/>
      <c r="D2238" s="33"/>
      <c r="E2238" s="33"/>
      <c r="F2238" s="56"/>
      <c r="G2238" s="33"/>
      <c r="H2238" s="33"/>
      <c r="I2238" s="33"/>
      <c r="J2238" s="57"/>
      <c r="K2238" s="33"/>
      <c r="L2238" s="57"/>
      <c r="M2238" s="64"/>
      <c r="N2238" s="56"/>
      <c r="O2238" s="64"/>
      <c r="P2238" s="62"/>
      <c r="Q2238" s="33"/>
      <c r="R2238" s="33"/>
      <c r="S2238" s="61"/>
      <c r="T2238" s="33"/>
      <c r="U2238" s="62"/>
      <c r="W2238" s="61"/>
      <c r="X2238" s="62"/>
      <c r="AD2238" s="58"/>
      <c r="AG2238" s="64"/>
    </row>
    <row r="2239" spans="2:33" ht="16">
      <c r="B2239" s="67" t="str">
        <f t="shared" si="9"/>
        <v/>
      </c>
      <c r="C2239" s="33"/>
      <c r="D2239" s="33"/>
      <c r="E2239" s="33"/>
      <c r="F2239" s="56"/>
      <c r="G2239" s="33"/>
      <c r="H2239" s="33"/>
      <c r="I2239" s="33"/>
      <c r="J2239" s="57"/>
      <c r="K2239" s="33"/>
      <c r="L2239" s="57"/>
      <c r="M2239" s="64"/>
      <c r="N2239" s="56"/>
      <c r="O2239" s="64"/>
      <c r="P2239" s="62"/>
      <c r="Q2239" s="33"/>
      <c r="R2239" s="33"/>
      <c r="S2239" s="61"/>
      <c r="T2239" s="33"/>
      <c r="U2239" s="62"/>
      <c r="W2239" s="61"/>
      <c r="X2239" s="62"/>
      <c r="AD2239" s="58"/>
      <c r="AG2239" s="64"/>
    </row>
    <row r="2240" spans="2:33" ht="16">
      <c r="B2240" s="67" t="str">
        <f t="shared" si="9"/>
        <v/>
      </c>
      <c r="C2240" s="33"/>
      <c r="D2240" s="33"/>
      <c r="E2240" s="33"/>
      <c r="F2240" s="56"/>
      <c r="G2240" s="33"/>
      <c r="H2240" s="33"/>
      <c r="I2240" s="33"/>
      <c r="J2240" s="57"/>
      <c r="K2240" s="33"/>
      <c r="L2240" s="57"/>
      <c r="M2240" s="58"/>
      <c r="N2240" s="56"/>
      <c r="O2240" s="58"/>
      <c r="P2240" s="62"/>
      <c r="Q2240" s="33"/>
      <c r="R2240" s="33"/>
      <c r="S2240" s="61"/>
      <c r="T2240" s="33"/>
      <c r="U2240" s="62"/>
      <c r="W2240" s="61"/>
      <c r="X2240" s="62"/>
      <c r="AD2240" s="58"/>
      <c r="AG2240" s="64"/>
    </row>
    <row r="2241" spans="2:33" ht="16">
      <c r="B2241" s="67" t="str">
        <f t="shared" si="9"/>
        <v/>
      </c>
      <c r="C2241" s="33"/>
      <c r="D2241" s="33"/>
      <c r="E2241" s="33"/>
      <c r="F2241" s="56"/>
      <c r="G2241" s="33"/>
      <c r="H2241" s="33"/>
      <c r="I2241" s="33"/>
      <c r="J2241" s="57"/>
      <c r="K2241" s="33"/>
      <c r="L2241" s="57"/>
      <c r="M2241" s="64"/>
      <c r="N2241" s="56"/>
      <c r="O2241" s="64"/>
      <c r="P2241" s="62"/>
      <c r="Q2241" s="33"/>
      <c r="R2241" s="33"/>
      <c r="S2241" s="61"/>
      <c r="T2241" s="33"/>
      <c r="U2241" s="62"/>
      <c r="W2241" s="61"/>
      <c r="X2241" s="62"/>
      <c r="AD2241" s="58"/>
      <c r="AG2241" s="64"/>
    </row>
    <row r="2242" spans="2:33" ht="16">
      <c r="B2242" s="67" t="str">
        <f t="shared" si="9"/>
        <v/>
      </c>
      <c r="C2242" s="33"/>
      <c r="D2242" s="33"/>
      <c r="E2242" s="33"/>
      <c r="F2242" s="56"/>
      <c r="G2242" s="33"/>
      <c r="H2242" s="33"/>
      <c r="I2242" s="33"/>
      <c r="J2242" s="57"/>
      <c r="K2242" s="33"/>
      <c r="L2242" s="57"/>
      <c r="M2242" s="64"/>
      <c r="N2242" s="56"/>
      <c r="O2242" s="58"/>
      <c r="P2242" s="62"/>
      <c r="Q2242" s="33"/>
      <c r="R2242" s="33"/>
      <c r="S2242" s="61"/>
      <c r="T2242" s="33"/>
      <c r="U2242" s="62"/>
      <c r="W2242" s="61"/>
      <c r="X2242" s="62"/>
      <c r="AD2242" s="58"/>
      <c r="AG2242" s="64"/>
    </row>
    <row r="2243" spans="2:33" ht="16">
      <c r="B2243" s="67" t="str">
        <f t="shared" si="9"/>
        <v/>
      </c>
      <c r="C2243" s="33"/>
      <c r="D2243" s="33"/>
      <c r="E2243" s="33"/>
      <c r="F2243" s="56"/>
      <c r="G2243" s="33"/>
      <c r="H2243" s="33"/>
      <c r="I2243" s="33"/>
      <c r="J2243" s="57"/>
      <c r="K2243" s="33"/>
      <c r="L2243" s="57"/>
      <c r="M2243" s="64"/>
      <c r="N2243" s="56"/>
      <c r="O2243" s="64"/>
      <c r="P2243" s="62"/>
      <c r="Q2243" s="33"/>
      <c r="R2243" s="33"/>
      <c r="S2243" s="61"/>
      <c r="T2243" s="33"/>
      <c r="U2243" s="62"/>
      <c r="W2243" s="61"/>
      <c r="X2243" s="62"/>
      <c r="AD2243" s="58"/>
      <c r="AG2243" s="64"/>
    </row>
    <row r="2244" spans="2:33" ht="16">
      <c r="B2244" s="67" t="str">
        <f t="shared" si="9"/>
        <v/>
      </c>
      <c r="C2244" s="33"/>
      <c r="D2244" s="33"/>
      <c r="E2244" s="33"/>
      <c r="F2244" s="56"/>
      <c r="G2244" s="33"/>
      <c r="H2244" s="33"/>
      <c r="I2244" s="33"/>
      <c r="J2244" s="57"/>
      <c r="K2244" s="33"/>
      <c r="L2244" s="57"/>
      <c r="M2244" s="64"/>
      <c r="N2244" s="56"/>
      <c r="O2244" s="64"/>
      <c r="P2244" s="62"/>
      <c r="Q2244" s="33"/>
      <c r="R2244" s="33"/>
      <c r="S2244" s="61"/>
      <c r="T2244" s="33"/>
      <c r="U2244" s="62"/>
      <c r="W2244" s="61"/>
      <c r="X2244" s="62"/>
      <c r="AD2244" s="58"/>
      <c r="AG2244" s="64"/>
    </row>
    <row r="2245" spans="2:33" ht="16">
      <c r="B2245" s="67" t="str">
        <f t="shared" si="9"/>
        <v/>
      </c>
      <c r="C2245" s="33"/>
      <c r="D2245" s="33"/>
      <c r="E2245" s="33"/>
      <c r="F2245" s="56"/>
      <c r="G2245" s="33"/>
      <c r="H2245" s="33"/>
      <c r="I2245" s="33"/>
      <c r="J2245" s="57"/>
      <c r="K2245" s="33"/>
      <c r="L2245" s="57"/>
      <c r="M2245" s="64"/>
      <c r="N2245" s="56"/>
      <c r="O2245" s="58"/>
      <c r="P2245" s="62"/>
      <c r="Q2245" s="33"/>
      <c r="R2245" s="33"/>
      <c r="S2245" s="61"/>
      <c r="T2245" s="33"/>
      <c r="U2245" s="62"/>
      <c r="W2245" s="61"/>
      <c r="X2245" s="62"/>
      <c r="AD2245" s="58"/>
      <c r="AG2245" s="58"/>
    </row>
    <row r="2246" spans="2:33" ht="16">
      <c r="B2246" s="67" t="str">
        <f t="shared" si="9"/>
        <v/>
      </c>
      <c r="C2246" s="33"/>
      <c r="D2246" s="33"/>
      <c r="E2246" s="33"/>
      <c r="F2246" s="56"/>
      <c r="G2246" s="33"/>
      <c r="H2246" s="33"/>
      <c r="I2246" s="33"/>
      <c r="J2246" s="57"/>
      <c r="K2246" s="33"/>
      <c r="L2246" s="57"/>
      <c r="M2246" s="58"/>
      <c r="N2246" s="56"/>
      <c r="O2246" s="58"/>
      <c r="P2246" s="62"/>
      <c r="Q2246" s="33"/>
      <c r="R2246" s="33"/>
      <c r="S2246" s="61"/>
      <c r="T2246" s="33"/>
      <c r="U2246" s="62"/>
      <c r="W2246" s="61"/>
      <c r="X2246" s="62"/>
      <c r="AD2246" s="58"/>
      <c r="AG2246" s="64"/>
    </row>
    <row r="2247" spans="2:33" ht="16">
      <c r="B2247" s="67" t="str">
        <f t="shared" si="9"/>
        <v/>
      </c>
      <c r="C2247" s="33"/>
      <c r="D2247" s="33"/>
      <c r="E2247" s="33"/>
      <c r="F2247" s="56"/>
      <c r="G2247" s="33"/>
      <c r="H2247" s="33"/>
      <c r="I2247" s="33"/>
      <c r="J2247" s="57"/>
      <c r="K2247" s="33"/>
      <c r="L2247" s="57"/>
      <c r="M2247" s="64"/>
      <c r="N2247" s="56"/>
      <c r="O2247" s="64"/>
      <c r="P2247" s="62"/>
      <c r="Q2247" s="33"/>
      <c r="R2247" s="33"/>
      <c r="S2247" s="61"/>
      <c r="T2247" s="33"/>
      <c r="U2247" s="62"/>
      <c r="W2247" s="61"/>
      <c r="X2247" s="62"/>
      <c r="AD2247" s="58"/>
      <c r="AG2247" s="64"/>
    </row>
    <row r="2248" spans="2:33" ht="16">
      <c r="B2248" s="67" t="str">
        <f t="shared" si="9"/>
        <v/>
      </c>
      <c r="C2248" s="33"/>
      <c r="D2248" s="33"/>
      <c r="E2248" s="33"/>
      <c r="F2248" s="56"/>
      <c r="G2248" s="33"/>
      <c r="H2248" s="33"/>
      <c r="I2248" s="33"/>
      <c r="J2248" s="57"/>
      <c r="K2248" s="33"/>
      <c r="L2248" s="57"/>
      <c r="M2248" s="58"/>
      <c r="N2248" s="56"/>
      <c r="O2248" s="58"/>
      <c r="P2248" s="62"/>
      <c r="Q2248" s="33"/>
      <c r="R2248" s="33"/>
      <c r="S2248" s="61"/>
      <c r="T2248" s="33"/>
      <c r="U2248" s="62"/>
      <c r="W2248" s="61"/>
      <c r="X2248" s="62"/>
      <c r="AD2248" s="58"/>
      <c r="AG2248" s="64"/>
    </row>
    <row r="2249" spans="2:33" ht="16">
      <c r="B2249" s="67" t="str">
        <f t="shared" si="9"/>
        <v/>
      </c>
      <c r="C2249" s="33"/>
      <c r="D2249" s="33"/>
      <c r="E2249" s="33"/>
      <c r="F2249" s="56"/>
      <c r="G2249" s="33"/>
      <c r="H2249" s="33"/>
      <c r="I2249" s="33"/>
      <c r="J2249" s="57"/>
      <c r="K2249" s="33"/>
      <c r="L2249" s="57"/>
      <c r="M2249" s="64"/>
      <c r="N2249" s="56"/>
      <c r="O2249" s="64"/>
      <c r="P2249" s="62"/>
      <c r="Q2249" s="33"/>
      <c r="R2249" s="33"/>
      <c r="S2249" s="61"/>
      <c r="T2249" s="33"/>
      <c r="U2249" s="62"/>
      <c r="W2249" s="61"/>
      <c r="X2249" s="62"/>
      <c r="AD2249" s="58"/>
      <c r="AG2249" s="64"/>
    </row>
    <row r="2250" spans="2:33" ht="16">
      <c r="B2250" s="67" t="str">
        <f t="shared" si="9"/>
        <v/>
      </c>
      <c r="C2250" s="33"/>
      <c r="D2250" s="33"/>
      <c r="E2250" s="33"/>
      <c r="F2250" s="56"/>
      <c r="G2250" s="33"/>
      <c r="H2250" s="33"/>
      <c r="I2250" s="33"/>
      <c r="J2250" s="57"/>
      <c r="K2250" s="33"/>
      <c r="L2250" s="57"/>
      <c r="M2250" s="64"/>
      <c r="N2250" s="56"/>
      <c r="O2250" s="58"/>
      <c r="P2250" s="62"/>
      <c r="Q2250" s="33"/>
      <c r="R2250" s="33"/>
      <c r="S2250" s="61"/>
      <c r="T2250" s="33"/>
      <c r="U2250" s="62"/>
      <c r="W2250" s="61"/>
      <c r="X2250" s="62"/>
      <c r="AD2250" s="58"/>
      <c r="AG2250" s="58"/>
    </row>
    <row r="2251" spans="2:33" ht="16">
      <c r="B2251" s="67" t="str">
        <f t="shared" si="9"/>
        <v/>
      </c>
      <c r="C2251" s="33"/>
      <c r="D2251" s="33"/>
      <c r="E2251" s="33"/>
      <c r="F2251" s="56"/>
      <c r="G2251" s="33"/>
      <c r="H2251" s="33"/>
      <c r="I2251" s="33"/>
      <c r="J2251" s="57"/>
      <c r="K2251" s="33"/>
      <c r="L2251" s="57"/>
      <c r="M2251" s="64"/>
      <c r="N2251" s="56"/>
      <c r="O2251" s="64"/>
      <c r="P2251" s="62"/>
      <c r="Q2251" s="33"/>
      <c r="R2251" s="33"/>
      <c r="S2251" s="61"/>
      <c r="T2251" s="33"/>
      <c r="U2251" s="62"/>
      <c r="W2251" s="61"/>
      <c r="X2251" s="62"/>
      <c r="AD2251" s="58"/>
      <c r="AG2251" s="64"/>
    </row>
    <row r="2252" spans="2:33" ht="16">
      <c r="B2252" s="67" t="str">
        <f t="shared" si="9"/>
        <v/>
      </c>
      <c r="C2252" s="33"/>
      <c r="D2252" s="33"/>
      <c r="E2252" s="33"/>
      <c r="F2252" s="56"/>
      <c r="G2252" s="33"/>
      <c r="H2252" s="33"/>
      <c r="I2252" s="33"/>
      <c r="J2252" s="57"/>
      <c r="K2252" s="33"/>
      <c r="L2252" s="57"/>
      <c r="M2252" s="64"/>
      <c r="N2252" s="56"/>
      <c r="O2252" s="64"/>
      <c r="P2252" s="62"/>
      <c r="Q2252" s="33"/>
      <c r="R2252" s="33"/>
      <c r="S2252" s="61"/>
      <c r="T2252" s="33"/>
      <c r="U2252" s="62"/>
      <c r="W2252" s="61"/>
      <c r="X2252" s="62"/>
      <c r="AD2252" s="58"/>
      <c r="AG2252" s="64"/>
    </row>
    <row r="2253" spans="2:33" ht="16">
      <c r="B2253" s="67" t="str">
        <f t="shared" si="9"/>
        <v/>
      </c>
      <c r="C2253" s="33"/>
      <c r="D2253" s="33"/>
      <c r="E2253" s="33"/>
      <c r="F2253" s="56"/>
      <c r="G2253" s="33"/>
      <c r="H2253" s="33"/>
      <c r="I2253" s="33"/>
      <c r="J2253" s="57"/>
      <c r="K2253" s="33"/>
      <c r="L2253" s="57"/>
      <c r="M2253" s="64"/>
      <c r="N2253" s="56"/>
      <c r="O2253" s="64"/>
      <c r="P2253" s="62"/>
      <c r="Q2253" s="33"/>
      <c r="R2253" s="33"/>
      <c r="S2253" s="61"/>
      <c r="T2253" s="33"/>
      <c r="U2253" s="62"/>
      <c r="W2253" s="61"/>
      <c r="X2253" s="62"/>
      <c r="AD2253" s="58"/>
      <c r="AG2253" s="64"/>
    </row>
    <row r="2254" spans="2:33" ht="16">
      <c r="B2254" s="67" t="str">
        <f t="shared" si="9"/>
        <v/>
      </c>
      <c r="C2254" s="33"/>
      <c r="D2254" s="33"/>
      <c r="E2254" s="33"/>
      <c r="F2254" s="56"/>
      <c r="G2254" s="33"/>
      <c r="H2254" s="33"/>
      <c r="I2254" s="33"/>
      <c r="J2254" s="57"/>
      <c r="K2254" s="33"/>
      <c r="L2254" s="57"/>
      <c r="M2254" s="64"/>
      <c r="N2254" s="56"/>
      <c r="O2254" s="64"/>
      <c r="P2254" s="62"/>
      <c r="Q2254" s="33"/>
      <c r="R2254" s="33"/>
      <c r="S2254" s="61"/>
      <c r="T2254" s="33"/>
      <c r="U2254" s="62"/>
      <c r="W2254" s="61"/>
      <c r="X2254" s="62"/>
      <c r="AD2254" s="58"/>
      <c r="AG2254" s="64"/>
    </row>
    <row r="2255" spans="2:33" ht="16">
      <c r="B2255" s="67" t="str">
        <f t="shared" si="9"/>
        <v/>
      </c>
      <c r="C2255" s="33"/>
      <c r="D2255" s="33"/>
      <c r="E2255" s="33"/>
      <c r="F2255" s="56"/>
      <c r="G2255" s="33"/>
      <c r="H2255" s="33"/>
      <c r="I2255" s="33"/>
      <c r="J2255" s="57"/>
      <c r="K2255" s="33"/>
      <c r="L2255" s="57"/>
      <c r="M2255" s="64"/>
      <c r="N2255" s="56"/>
      <c r="O2255" s="58"/>
      <c r="P2255" s="62"/>
      <c r="Q2255" s="33"/>
      <c r="R2255" s="33"/>
      <c r="S2255" s="61"/>
      <c r="T2255" s="33"/>
      <c r="U2255" s="62"/>
      <c r="W2255" s="61"/>
      <c r="X2255" s="62"/>
      <c r="AD2255" s="58"/>
      <c r="AG2255" s="64"/>
    </row>
    <row r="2256" spans="2:33" ht="16">
      <c r="B2256" s="67" t="str">
        <f t="shared" si="9"/>
        <v/>
      </c>
      <c r="C2256" s="33"/>
      <c r="D2256" s="33"/>
      <c r="E2256" s="33"/>
      <c r="F2256" s="56"/>
      <c r="G2256" s="33"/>
      <c r="H2256" s="33"/>
      <c r="I2256" s="33"/>
      <c r="J2256" s="57"/>
      <c r="K2256" s="33"/>
      <c r="L2256" s="57"/>
      <c r="M2256" s="64"/>
      <c r="N2256" s="56"/>
      <c r="O2256" s="64"/>
      <c r="P2256" s="62"/>
      <c r="Q2256" s="33"/>
      <c r="R2256" s="33"/>
      <c r="S2256" s="61"/>
      <c r="T2256" s="33"/>
      <c r="U2256" s="62"/>
      <c r="W2256" s="61"/>
      <c r="X2256" s="62"/>
      <c r="AD2256" s="58"/>
      <c r="AG2256" s="64"/>
    </row>
    <row r="2257" spans="2:33" ht="16">
      <c r="B2257" s="67" t="str">
        <f t="shared" si="9"/>
        <v/>
      </c>
      <c r="C2257" s="33"/>
      <c r="D2257" s="33"/>
      <c r="E2257" s="33"/>
      <c r="F2257" s="56"/>
      <c r="G2257" s="33"/>
      <c r="H2257" s="33"/>
      <c r="I2257" s="33"/>
      <c r="J2257" s="57"/>
      <c r="K2257" s="33"/>
      <c r="L2257" s="57"/>
      <c r="M2257" s="64"/>
      <c r="N2257" s="56"/>
      <c r="O2257" s="64"/>
      <c r="P2257" s="62"/>
      <c r="Q2257" s="33"/>
      <c r="R2257" s="33"/>
      <c r="S2257" s="61"/>
      <c r="T2257" s="33"/>
      <c r="U2257" s="62"/>
      <c r="W2257" s="61"/>
      <c r="X2257" s="62"/>
      <c r="AD2257" s="58"/>
      <c r="AG2257" s="64"/>
    </row>
    <row r="2258" spans="2:33" ht="16">
      <c r="B2258" s="67" t="str">
        <f t="shared" si="9"/>
        <v/>
      </c>
      <c r="C2258" s="33"/>
      <c r="D2258" s="33"/>
      <c r="E2258" s="33"/>
      <c r="F2258" s="56"/>
      <c r="G2258" s="33"/>
      <c r="H2258" s="33"/>
      <c r="I2258" s="33"/>
      <c r="J2258" s="57"/>
      <c r="K2258" s="33"/>
      <c r="L2258" s="57"/>
      <c r="M2258" s="58"/>
      <c r="N2258" s="56"/>
      <c r="O2258" s="64"/>
      <c r="P2258" s="62"/>
      <c r="Q2258" s="33"/>
      <c r="R2258" s="33"/>
      <c r="S2258" s="61"/>
      <c r="T2258" s="33"/>
      <c r="U2258" s="62"/>
      <c r="W2258" s="61"/>
      <c r="X2258" s="62"/>
      <c r="AD2258" s="58"/>
      <c r="AG2258" s="58"/>
    </row>
    <row r="2259" spans="2:33" ht="16">
      <c r="B2259" s="67" t="str">
        <f t="shared" si="9"/>
        <v/>
      </c>
      <c r="C2259" s="33"/>
      <c r="D2259" s="33"/>
      <c r="E2259" s="33"/>
      <c r="F2259" s="56"/>
      <c r="G2259" s="33"/>
      <c r="H2259" s="33"/>
      <c r="I2259" s="33"/>
      <c r="J2259" s="57"/>
      <c r="K2259" s="33"/>
      <c r="L2259" s="57"/>
      <c r="M2259" s="64"/>
      <c r="N2259" s="56"/>
      <c r="O2259" s="64"/>
      <c r="P2259" s="62"/>
      <c r="Q2259" s="33"/>
      <c r="R2259" s="33"/>
      <c r="S2259" s="61"/>
      <c r="T2259" s="33"/>
      <c r="U2259" s="62"/>
      <c r="W2259" s="61"/>
      <c r="X2259" s="62"/>
      <c r="AD2259" s="58"/>
      <c r="AG2259" s="64"/>
    </row>
    <row r="2260" spans="2:33" ht="16">
      <c r="B2260" s="67" t="str">
        <f t="shared" si="9"/>
        <v/>
      </c>
      <c r="C2260" s="33"/>
      <c r="D2260" s="33"/>
      <c r="E2260" s="33"/>
      <c r="F2260" s="56"/>
      <c r="G2260" s="33"/>
      <c r="H2260" s="33"/>
      <c r="I2260" s="33"/>
      <c r="J2260" s="57"/>
      <c r="K2260" s="33"/>
      <c r="L2260" s="57"/>
      <c r="M2260" s="64"/>
      <c r="N2260" s="56"/>
      <c r="O2260" s="64"/>
      <c r="P2260" s="62"/>
      <c r="Q2260" s="33"/>
      <c r="R2260" s="33"/>
      <c r="S2260" s="61"/>
      <c r="T2260" s="33"/>
      <c r="U2260" s="62"/>
      <c r="W2260" s="61"/>
      <c r="X2260" s="62"/>
      <c r="AD2260" s="58"/>
      <c r="AG2260" s="64"/>
    </row>
    <row r="2261" spans="2:33" ht="16">
      <c r="B2261" s="67" t="str">
        <f t="shared" si="9"/>
        <v/>
      </c>
      <c r="C2261" s="33"/>
      <c r="D2261" s="33"/>
      <c r="E2261" s="33"/>
      <c r="F2261" s="56"/>
      <c r="G2261" s="33"/>
      <c r="H2261" s="33"/>
      <c r="I2261" s="33"/>
      <c r="J2261" s="57"/>
      <c r="K2261" s="33"/>
      <c r="L2261" s="57"/>
      <c r="M2261" s="64"/>
      <c r="N2261" s="56"/>
      <c r="O2261" s="64"/>
      <c r="P2261" s="62"/>
      <c r="Q2261" s="33"/>
      <c r="R2261" s="33"/>
      <c r="S2261" s="61"/>
      <c r="T2261" s="33"/>
      <c r="U2261" s="62"/>
      <c r="W2261" s="61"/>
      <c r="X2261" s="62"/>
      <c r="AD2261" s="58"/>
      <c r="AG2261" s="58"/>
    </row>
    <row r="2262" spans="2:33" ht="16">
      <c r="B2262" s="67" t="str">
        <f t="shared" si="9"/>
        <v/>
      </c>
      <c r="C2262" s="33"/>
      <c r="D2262" s="33"/>
      <c r="E2262" s="33"/>
      <c r="F2262" s="56"/>
      <c r="G2262" s="33"/>
      <c r="H2262" s="33"/>
      <c r="I2262" s="33"/>
      <c r="J2262" s="57"/>
      <c r="K2262" s="33"/>
      <c r="L2262" s="57"/>
      <c r="M2262" s="64"/>
      <c r="N2262" s="56"/>
      <c r="O2262" s="64"/>
      <c r="P2262" s="62"/>
      <c r="Q2262" s="33"/>
      <c r="R2262" s="33"/>
      <c r="S2262" s="61"/>
      <c r="T2262" s="33"/>
      <c r="U2262" s="62"/>
      <c r="W2262" s="61"/>
      <c r="X2262" s="62"/>
      <c r="AD2262" s="58"/>
      <c r="AG2262" s="64"/>
    </row>
    <row r="2263" spans="2:33" ht="16">
      <c r="B2263" s="67" t="str">
        <f t="shared" si="9"/>
        <v/>
      </c>
      <c r="C2263" s="33"/>
      <c r="D2263" s="33"/>
      <c r="E2263" s="33"/>
      <c r="F2263" s="56"/>
      <c r="G2263" s="33"/>
      <c r="H2263" s="33"/>
      <c r="I2263" s="33"/>
      <c r="J2263" s="57"/>
      <c r="K2263" s="33"/>
      <c r="L2263" s="57"/>
      <c r="M2263" s="64"/>
      <c r="N2263" s="56"/>
      <c r="O2263" s="64"/>
      <c r="P2263" s="62"/>
      <c r="Q2263" s="33"/>
      <c r="R2263" s="33"/>
      <c r="S2263" s="61"/>
      <c r="T2263" s="33"/>
      <c r="U2263" s="62"/>
      <c r="W2263" s="61"/>
      <c r="X2263" s="62"/>
      <c r="AD2263" s="58"/>
      <c r="AG2263" s="64"/>
    </row>
    <row r="2264" spans="2:33" ht="16">
      <c r="B2264" s="67" t="str">
        <f t="shared" si="9"/>
        <v/>
      </c>
      <c r="C2264" s="33"/>
      <c r="D2264" s="33"/>
      <c r="E2264" s="33"/>
      <c r="F2264" s="56"/>
      <c r="G2264" s="33"/>
      <c r="H2264" s="33"/>
      <c r="I2264" s="33"/>
      <c r="J2264" s="57"/>
      <c r="K2264" s="33"/>
      <c r="L2264" s="57"/>
      <c r="M2264" s="58"/>
      <c r="N2264" s="56"/>
      <c r="O2264" s="58"/>
      <c r="P2264" s="62"/>
      <c r="Q2264" s="33"/>
      <c r="R2264" s="33"/>
      <c r="S2264" s="61"/>
      <c r="T2264" s="33"/>
      <c r="U2264" s="62"/>
      <c r="W2264" s="61"/>
      <c r="X2264" s="62"/>
      <c r="AD2264" s="58"/>
      <c r="AG2264" s="58"/>
    </row>
    <row r="2265" spans="2:33" ht="16">
      <c r="B2265" s="67" t="str">
        <f t="shared" si="9"/>
        <v/>
      </c>
      <c r="C2265" s="33"/>
      <c r="D2265" s="33"/>
      <c r="E2265" s="33"/>
      <c r="F2265" s="56"/>
      <c r="G2265" s="33"/>
      <c r="H2265" s="33"/>
      <c r="I2265" s="33"/>
      <c r="J2265" s="57"/>
      <c r="K2265" s="33"/>
      <c r="L2265" s="57"/>
      <c r="M2265" s="58"/>
      <c r="N2265" s="56"/>
      <c r="O2265" s="58"/>
      <c r="P2265" s="62"/>
      <c r="Q2265" s="33"/>
      <c r="R2265" s="33"/>
      <c r="S2265" s="61"/>
      <c r="T2265" s="33"/>
      <c r="U2265" s="62"/>
      <c r="W2265" s="61"/>
      <c r="X2265" s="62"/>
      <c r="AD2265" s="58"/>
      <c r="AG2265" s="58"/>
    </row>
    <row r="2266" spans="2:33" ht="16">
      <c r="B2266" s="67" t="str">
        <f t="shared" si="9"/>
        <v/>
      </c>
      <c r="C2266" s="33"/>
      <c r="D2266" s="33"/>
      <c r="E2266" s="33"/>
      <c r="F2266" s="56"/>
      <c r="G2266" s="33"/>
      <c r="H2266" s="33"/>
      <c r="I2266" s="33"/>
      <c r="J2266" s="57"/>
      <c r="K2266" s="33"/>
      <c r="L2266" s="57"/>
      <c r="M2266" s="58"/>
      <c r="N2266" s="56"/>
      <c r="O2266" s="58"/>
      <c r="P2266" s="62"/>
      <c r="Q2266" s="33"/>
      <c r="R2266" s="33"/>
      <c r="S2266" s="61"/>
      <c r="T2266" s="33"/>
      <c r="U2266" s="62"/>
      <c r="W2266" s="61"/>
      <c r="X2266" s="62"/>
      <c r="AD2266" s="64"/>
      <c r="AG2266" s="64"/>
    </row>
    <row r="2267" spans="2:33" ht="16">
      <c r="B2267" s="67" t="str">
        <f t="shared" si="9"/>
        <v/>
      </c>
      <c r="C2267" s="33"/>
      <c r="D2267" s="33"/>
      <c r="E2267" s="33"/>
      <c r="F2267" s="56"/>
      <c r="G2267" s="33"/>
      <c r="H2267" s="33"/>
      <c r="I2267" s="33"/>
      <c r="J2267" s="57"/>
      <c r="K2267" s="33"/>
      <c r="L2267" s="57"/>
      <c r="M2267" s="58"/>
      <c r="N2267" s="56"/>
      <c r="O2267" s="58"/>
      <c r="P2267" s="62"/>
      <c r="Q2267" s="33"/>
      <c r="R2267" s="33"/>
      <c r="S2267" s="61"/>
      <c r="T2267" s="33"/>
      <c r="U2267" s="62"/>
      <c r="W2267" s="61"/>
      <c r="X2267" s="62"/>
      <c r="AD2267" s="58"/>
      <c r="AG2267" s="64"/>
    </row>
    <row r="2268" spans="2:33" ht="16">
      <c r="B2268" s="67" t="str">
        <f t="shared" si="9"/>
        <v/>
      </c>
      <c r="C2268" s="33"/>
      <c r="D2268" s="33"/>
      <c r="E2268" s="33"/>
      <c r="F2268" s="56"/>
      <c r="G2268" s="33"/>
      <c r="H2268" s="33"/>
      <c r="I2268" s="33"/>
      <c r="J2268" s="57"/>
      <c r="K2268" s="33"/>
      <c r="L2268" s="57"/>
      <c r="M2268" s="58"/>
      <c r="N2268" s="56"/>
      <c r="O2268" s="58"/>
      <c r="P2268" s="62"/>
      <c r="Q2268" s="33"/>
      <c r="R2268" s="33"/>
      <c r="S2268" s="61"/>
      <c r="T2268" s="33"/>
      <c r="U2268" s="62"/>
      <c r="W2268" s="61"/>
      <c r="X2268" s="62"/>
      <c r="AD2268" s="58"/>
      <c r="AG2268" s="64"/>
    </row>
    <row r="2269" spans="2:33" ht="16">
      <c r="B2269" s="67" t="str">
        <f t="shared" si="9"/>
        <v/>
      </c>
      <c r="C2269" s="33"/>
      <c r="D2269" s="33"/>
      <c r="E2269" s="33"/>
      <c r="F2269" s="56"/>
      <c r="G2269" s="33"/>
      <c r="H2269" s="33"/>
      <c r="I2269" s="33"/>
      <c r="J2269" s="57"/>
      <c r="K2269" s="33"/>
      <c r="L2269" s="57"/>
      <c r="M2269" s="58"/>
      <c r="N2269" s="56"/>
      <c r="O2269" s="58"/>
      <c r="P2269" s="62"/>
      <c r="Q2269" s="33"/>
      <c r="R2269" s="33"/>
      <c r="S2269" s="61"/>
      <c r="T2269" s="33"/>
      <c r="U2269" s="62"/>
      <c r="W2269" s="61"/>
      <c r="X2269" s="62"/>
      <c r="AD2269" s="58"/>
      <c r="AG2269" s="58"/>
    </row>
    <row r="2270" spans="2:33" ht="16">
      <c r="B2270" s="67" t="str">
        <f t="shared" si="9"/>
        <v/>
      </c>
      <c r="C2270" s="33"/>
      <c r="D2270" s="33"/>
      <c r="E2270" s="33"/>
      <c r="F2270" s="56"/>
      <c r="G2270" s="33"/>
      <c r="H2270" s="33"/>
      <c r="I2270" s="33"/>
      <c r="J2270" s="57"/>
      <c r="K2270" s="33"/>
      <c r="L2270" s="57"/>
      <c r="M2270" s="64"/>
      <c r="N2270" s="56"/>
      <c r="O2270" s="58"/>
      <c r="P2270" s="62"/>
      <c r="Q2270" s="33"/>
      <c r="R2270" s="33"/>
      <c r="S2270" s="61"/>
      <c r="T2270" s="33"/>
      <c r="U2270" s="62"/>
      <c r="W2270" s="61"/>
      <c r="X2270" s="62"/>
      <c r="AD2270" s="58"/>
      <c r="AG2270" s="58"/>
    </row>
    <row r="2271" spans="2:33" ht="16">
      <c r="B2271" s="67" t="str">
        <f t="shared" si="9"/>
        <v/>
      </c>
      <c r="C2271" s="33"/>
      <c r="D2271" s="33"/>
      <c r="E2271" s="33"/>
      <c r="F2271" s="56"/>
      <c r="G2271" s="33"/>
      <c r="H2271" s="33"/>
      <c r="I2271" s="33"/>
      <c r="J2271" s="57"/>
      <c r="K2271" s="33"/>
      <c r="L2271" s="57"/>
      <c r="M2271" s="64"/>
      <c r="N2271" s="56"/>
      <c r="O2271" s="64"/>
      <c r="P2271" s="62"/>
      <c r="Q2271" s="33"/>
      <c r="R2271" s="33"/>
      <c r="S2271" s="61"/>
      <c r="T2271" s="33"/>
      <c r="U2271" s="62"/>
      <c r="W2271" s="61"/>
      <c r="X2271" s="62"/>
      <c r="AD2271" s="58"/>
      <c r="AG2271" s="64"/>
    </row>
    <row r="2272" spans="2:33" ht="16">
      <c r="B2272" s="67" t="str">
        <f t="shared" si="9"/>
        <v/>
      </c>
      <c r="C2272" s="33"/>
      <c r="D2272" s="33"/>
      <c r="E2272" s="33"/>
      <c r="F2272" s="56"/>
      <c r="G2272" s="33"/>
      <c r="H2272" s="33"/>
      <c r="I2272" s="33"/>
      <c r="J2272" s="57"/>
      <c r="K2272" s="33"/>
      <c r="L2272" s="57"/>
      <c r="M2272" s="64"/>
      <c r="N2272" s="56"/>
      <c r="O2272" s="64"/>
      <c r="P2272" s="62"/>
      <c r="Q2272" s="33"/>
      <c r="R2272" s="33"/>
      <c r="S2272" s="61"/>
      <c r="T2272" s="33"/>
      <c r="U2272" s="62"/>
      <c r="W2272" s="61"/>
      <c r="X2272" s="62"/>
      <c r="AD2272" s="58"/>
      <c r="AG2272" s="64"/>
    </row>
    <row r="2273" spans="2:33" ht="16">
      <c r="B2273" s="67" t="str">
        <f t="shared" si="9"/>
        <v/>
      </c>
      <c r="C2273" s="33"/>
      <c r="D2273" s="33"/>
      <c r="E2273" s="33"/>
      <c r="F2273" s="56"/>
      <c r="G2273" s="33"/>
      <c r="H2273" s="33"/>
      <c r="I2273" s="33"/>
      <c r="J2273" s="57"/>
      <c r="K2273" s="33"/>
      <c r="L2273" s="57"/>
      <c r="M2273" s="64"/>
      <c r="N2273" s="56"/>
      <c r="O2273" s="64"/>
      <c r="P2273" s="62"/>
      <c r="Q2273" s="33"/>
      <c r="R2273" s="33"/>
      <c r="S2273" s="61"/>
      <c r="T2273" s="33"/>
      <c r="U2273" s="62"/>
      <c r="W2273" s="61"/>
      <c r="X2273" s="62"/>
      <c r="AD2273" s="64"/>
      <c r="AG2273" s="64"/>
    </row>
    <row r="2274" spans="2:33" ht="16">
      <c r="B2274" s="67" t="str">
        <f t="shared" si="9"/>
        <v/>
      </c>
      <c r="C2274" s="33"/>
      <c r="D2274" s="33"/>
      <c r="E2274" s="33"/>
      <c r="F2274" s="56"/>
      <c r="G2274" s="33"/>
      <c r="H2274" s="33"/>
      <c r="I2274" s="33"/>
      <c r="J2274" s="57"/>
      <c r="K2274" s="33"/>
      <c r="L2274" s="57"/>
      <c r="M2274" s="64"/>
      <c r="N2274" s="56"/>
      <c r="O2274" s="64"/>
      <c r="P2274" s="62"/>
      <c r="Q2274" s="33"/>
      <c r="R2274" s="33"/>
      <c r="S2274" s="61"/>
      <c r="T2274" s="33"/>
      <c r="U2274" s="62"/>
      <c r="W2274" s="61"/>
      <c r="X2274" s="62"/>
      <c r="AD2274" s="64"/>
      <c r="AG2274" s="64"/>
    </row>
    <row r="2275" spans="2:33" ht="16">
      <c r="B2275" s="67" t="str">
        <f t="shared" si="9"/>
        <v/>
      </c>
      <c r="C2275" s="64"/>
      <c r="D2275" s="33"/>
      <c r="E2275" s="33"/>
      <c r="F2275" s="56"/>
      <c r="G2275" s="33"/>
      <c r="H2275" s="33"/>
      <c r="I2275" s="33"/>
      <c r="J2275" s="57"/>
      <c r="K2275" s="33"/>
      <c r="L2275" s="57"/>
      <c r="M2275" s="64"/>
      <c r="N2275" s="56"/>
      <c r="O2275" s="58"/>
      <c r="P2275" s="62"/>
      <c r="Q2275" s="33"/>
      <c r="R2275" s="33"/>
      <c r="S2275" s="61"/>
      <c r="T2275" s="33"/>
      <c r="U2275" s="62"/>
      <c r="W2275" s="61"/>
      <c r="X2275" s="62"/>
      <c r="AD2275" s="58"/>
      <c r="AG2275" s="58"/>
    </row>
    <row r="2276" spans="2:33" ht="16">
      <c r="B2276" s="67" t="str">
        <f t="shared" si="9"/>
        <v/>
      </c>
      <c r="C2276" s="33"/>
      <c r="D2276" s="33"/>
      <c r="E2276" s="33"/>
      <c r="F2276" s="56"/>
      <c r="G2276" s="33"/>
      <c r="H2276" s="33"/>
      <c r="I2276" s="33"/>
      <c r="J2276" s="57"/>
      <c r="K2276" s="33"/>
      <c r="L2276" s="57"/>
      <c r="M2276" s="58"/>
      <c r="N2276" s="56"/>
      <c r="O2276" s="58"/>
      <c r="P2276" s="62"/>
      <c r="Q2276" s="33"/>
      <c r="R2276" s="33"/>
      <c r="S2276" s="61"/>
      <c r="T2276" s="33"/>
      <c r="U2276" s="62"/>
      <c r="W2276" s="61"/>
      <c r="X2276" s="62"/>
      <c r="AD2276" s="58"/>
      <c r="AG2276" s="58"/>
    </row>
    <row r="2277" spans="2:33" ht="16">
      <c r="B2277" s="67" t="str">
        <f t="shared" si="9"/>
        <v/>
      </c>
      <c r="C2277" s="33"/>
      <c r="D2277" s="33"/>
      <c r="E2277" s="33"/>
      <c r="F2277" s="56"/>
      <c r="G2277" s="33"/>
      <c r="H2277" s="33"/>
      <c r="I2277" s="33"/>
      <c r="J2277" s="57"/>
      <c r="K2277" s="33"/>
      <c r="L2277" s="57"/>
      <c r="M2277" s="64"/>
      <c r="N2277" s="56"/>
      <c r="O2277" s="58"/>
      <c r="P2277" s="62"/>
      <c r="Q2277" s="33"/>
      <c r="R2277" s="33"/>
      <c r="S2277" s="61"/>
      <c r="T2277" s="33"/>
      <c r="U2277" s="62"/>
      <c r="W2277" s="61"/>
      <c r="X2277" s="62"/>
      <c r="AD2277" s="58"/>
      <c r="AG2277" s="58"/>
    </row>
    <row r="2278" spans="2:33" ht="16">
      <c r="B2278" s="67" t="str">
        <f t="shared" si="9"/>
        <v/>
      </c>
      <c r="C2278" s="33"/>
      <c r="D2278" s="33"/>
      <c r="E2278" s="33"/>
      <c r="F2278" s="56"/>
      <c r="G2278" s="33"/>
      <c r="H2278" s="33"/>
      <c r="I2278" s="33"/>
      <c r="J2278" s="57"/>
      <c r="K2278" s="33"/>
      <c r="L2278" s="57"/>
      <c r="M2278" s="58"/>
      <c r="N2278" s="56"/>
      <c r="O2278" s="64"/>
      <c r="P2278" s="62"/>
      <c r="Q2278" s="33"/>
      <c r="R2278" s="33"/>
      <c r="S2278" s="61"/>
      <c r="T2278" s="33"/>
      <c r="U2278" s="62"/>
      <c r="W2278" s="61"/>
      <c r="X2278" s="62"/>
      <c r="AD2278" s="58"/>
      <c r="AG2278" s="64"/>
    </row>
    <row r="2279" spans="2:33" ht="16">
      <c r="B2279" s="67" t="str">
        <f t="shared" si="9"/>
        <v/>
      </c>
      <c r="C2279" s="33"/>
      <c r="D2279" s="33"/>
      <c r="E2279" s="33"/>
      <c r="F2279" s="56"/>
      <c r="G2279" s="33"/>
      <c r="H2279" s="33"/>
      <c r="I2279" s="33"/>
      <c r="J2279" s="57"/>
      <c r="K2279" s="33"/>
      <c r="L2279" s="57"/>
      <c r="M2279" s="64"/>
      <c r="N2279" s="56"/>
      <c r="O2279" s="64"/>
      <c r="P2279" s="62"/>
      <c r="Q2279" s="33"/>
      <c r="R2279" s="33"/>
      <c r="S2279" s="61"/>
      <c r="T2279" s="33"/>
      <c r="U2279" s="62"/>
      <c r="W2279" s="61"/>
      <c r="X2279" s="62"/>
      <c r="AD2279" s="64"/>
      <c r="AG2279" s="64"/>
    </row>
    <row r="2280" spans="2:33" ht="16">
      <c r="B2280" s="67" t="str">
        <f t="shared" si="9"/>
        <v/>
      </c>
      <c r="C2280" s="33"/>
      <c r="D2280" s="33"/>
      <c r="E2280" s="33"/>
      <c r="F2280" s="56"/>
      <c r="G2280" s="33"/>
      <c r="H2280" s="33"/>
      <c r="I2280" s="33"/>
      <c r="J2280" s="57"/>
      <c r="K2280" s="33"/>
      <c r="L2280" s="57"/>
      <c r="M2280" s="58"/>
      <c r="N2280" s="56"/>
      <c r="O2280" s="58"/>
      <c r="P2280" s="62"/>
      <c r="Q2280" s="33"/>
      <c r="R2280" s="33"/>
      <c r="S2280" s="61"/>
      <c r="T2280" s="33"/>
      <c r="U2280" s="62"/>
      <c r="W2280" s="61"/>
      <c r="X2280" s="62"/>
      <c r="AD2280" s="58"/>
      <c r="AG2280" s="64"/>
    </row>
    <row r="2281" spans="2:33" ht="16">
      <c r="B2281" s="67" t="str">
        <f t="shared" si="9"/>
        <v/>
      </c>
      <c r="C2281" s="33"/>
      <c r="D2281" s="33"/>
      <c r="E2281" s="33"/>
      <c r="F2281" s="56"/>
      <c r="G2281" s="33"/>
      <c r="H2281" s="33"/>
      <c r="I2281" s="33"/>
      <c r="J2281" s="57"/>
      <c r="K2281" s="33"/>
      <c r="L2281" s="57"/>
      <c r="M2281" s="64"/>
      <c r="N2281" s="56"/>
      <c r="O2281" s="64"/>
      <c r="P2281" s="62"/>
      <c r="Q2281" s="33"/>
      <c r="R2281" s="33"/>
      <c r="S2281" s="61"/>
      <c r="T2281" s="33"/>
      <c r="U2281" s="62"/>
      <c r="W2281" s="61"/>
      <c r="X2281" s="62"/>
      <c r="AD2281" s="64"/>
      <c r="AG2281" s="64"/>
    </row>
    <row r="2282" spans="2:33" ht="16">
      <c r="B2282" s="67" t="str">
        <f t="shared" si="9"/>
        <v/>
      </c>
      <c r="C2282" s="33"/>
      <c r="D2282" s="33"/>
      <c r="E2282" s="33"/>
      <c r="F2282" s="56"/>
      <c r="G2282" s="33"/>
      <c r="H2282" s="33"/>
      <c r="I2282" s="33"/>
      <c r="J2282" s="57"/>
      <c r="K2282" s="33"/>
      <c r="L2282" s="57"/>
      <c r="M2282" s="64"/>
      <c r="N2282" s="56"/>
      <c r="O2282" s="64"/>
      <c r="P2282" s="62"/>
      <c r="Q2282" s="33"/>
      <c r="R2282" s="33"/>
      <c r="S2282" s="61"/>
      <c r="T2282" s="33"/>
      <c r="U2282" s="62"/>
      <c r="W2282" s="61"/>
      <c r="X2282" s="62"/>
      <c r="AD2282" s="64"/>
      <c r="AG2282" s="64"/>
    </row>
    <row r="2283" spans="2:33" ht="16">
      <c r="B2283" s="67" t="str">
        <f t="shared" si="9"/>
        <v/>
      </c>
      <c r="C2283" s="33"/>
      <c r="D2283" s="33"/>
      <c r="E2283" s="33"/>
      <c r="F2283" s="56"/>
      <c r="G2283" s="33"/>
      <c r="H2283" s="33"/>
      <c r="I2283" s="33"/>
      <c r="J2283" s="57"/>
      <c r="K2283" s="33"/>
      <c r="L2283" s="57"/>
      <c r="M2283" s="64"/>
      <c r="N2283" s="56"/>
      <c r="O2283" s="64"/>
      <c r="P2283" s="62"/>
      <c r="Q2283" s="33"/>
      <c r="R2283" s="33"/>
      <c r="S2283" s="61"/>
      <c r="T2283" s="33"/>
      <c r="U2283" s="62"/>
      <c r="W2283" s="61"/>
      <c r="X2283" s="62"/>
      <c r="AD2283" s="64"/>
      <c r="AG2283" s="64"/>
    </row>
    <row r="2284" spans="2:33" ht="16">
      <c r="B2284" s="67" t="str">
        <f t="shared" si="9"/>
        <v/>
      </c>
      <c r="C2284" s="33"/>
      <c r="D2284" s="33"/>
      <c r="E2284" s="33"/>
      <c r="F2284" s="56"/>
      <c r="G2284" s="33"/>
      <c r="H2284" s="33"/>
      <c r="I2284" s="33"/>
      <c r="J2284" s="57"/>
      <c r="K2284" s="33"/>
      <c r="L2284" s="57"/>
      <c r="M2284" s="64"/>
      <c r="N2284" s="56"/>
      <c r="O2284" s="64"/>
      <c r="P2284" s="62"/>
      <c r="Q2284" s="33"/>
      <c r="R2284" s="33"/>
      <c r="S2284" s="61"/>
      <c r="T2284" s="33"/>
      <c r="U2284" s="62"/>
      <c r="W2284" s="61"/>
      <c r="X2284" s="62"/>
      <c r="AD2284" s="64"/>
      <c r="AG2284" s="64"/>
    </row>
    <row r="2285" spans="2:33" ht="16">
      <c r="B2285" s="67" t="str">
        <f t="shared" si="9"/>
        <v/>
      </c>
      <c r="C2285" s="33"/>
      <c r="D2285" s="33"/>
      <c r="E2285" s="33"/>
      <c r="F2285" s="56"/>
      <c r="G2285" s="33"/>
      <c r="H2285" s="33"/>
      <c r="I2285" s="33"/>
      <c r="J2285" s="57"/>
      <c r="K2285" s="33"/>
      <c r="L2285" s="57"/>
      <c r="M2285" s="64"/>
      <c r="N2285" s="56"/>
      <c r="O2285" s="64"/>
      <c r="P2285" s="62"/>
      <c r="Q2285" s="33"/>
      <c r="R2285" s="33"/>
      <c r="S2285" s="61"/>
      <c r="T2285" s="33"/>
      <c r="U2285" s="62"/>
      <c r="W2285" s="61"/>
      <c r="X2285" s="62"/>
      <c r="AD2285" s="64"/>
      <c r="AG2285" s="64"/>
    </row>
    <row r="2286" spans="2:33" ht="16">
      <c r="B2286" s="67" t="str">
        <f t="shared" si="9"/>
        <v/>
      </c>
      <c r="C2286" s="33"/>
      <c r="D2286" s="33"/>
      <c r="E2286" s="33"/>
      <c r="F2286" s="56"/>
      <c r="G2286" s="33"/>
      <c r="H2286" s="33"/>
      <c r="I2286" s="33"/>
      <c r="J2286" s="57"/>
      <c r="K2286" s="33"/>
      <c r="L2286" s="57"/>
      <c r="M2286" s="58"/>
      <c r="N2286" s="56"/>
      <c r="O2286" s="58"/>
      <c r="P2286" s="62"/>
      <c r="Q2286" s="33"/>
      <c r="R2286" s="33"/>
      <c r="S2286" s="61"/>
      <c r="T2286" s="33"/>
      <c r="U2286" s="62"/>
      <c r="W2286" s="61"/>
      <c r="X2286" s="62"/>
      <c r="AD2286" s="64"/>
      <c r="AG2286" s="64"/>
    </row>
    <row r="2287" spans="2:33" ht="16">
      <c r="B2287" s="67" t="str">
        <f t="shared" si="9"/>
        <v/>
      </c>
      <c r="C2287" s="33"/>
      <c r="D2287" s="33"/>
      <c r="E2287" s="33"/>
      <c r="F2287" s="56"/>
      <c r="G2287" s="33"/>
      <c r="H2287" s="33"/>
      <c r="I2287" s="33"/>
      <c r="J2287" s="57"/>
      <c r="K2287" s="33"/>
      <c r="L2287" s="57"/>
      <c r="M2287" s="58"/>
      <c r="N2287" s="56"/>
      <c r="O2287" s="58"/>
      <c r="P2287" s="62"/>
      <c r="Q2287" s="33"/>
      <c r="R2287" s="33"/>
      <c r="S2287" s="61"/>
      <c r="T2287" s="33"/>
      <c r="U2287" s="62"/>
      <c r="W2287" s="61"/>
      <c r="X2287" s="62"/>
      <c r="AD2287" s="58"/>
      <c r="AG2287" s="58"/>
    </row>
    <row r="2288" spans="2:33" ht="16">
      <c r="B2288" s="67" t="str">
        <f t="shared" si="9"/>
        <v/>
      </c>
      <c r="C2288" s="33"/>
      <c r="D2288" s="33"/>
      <c r="E2288" s="33"/>
      <c r="F2288" s="56"/>
      <c r="G2288" s="33"/>
      <c r="H2288" s="33"/>
      <c r="I2288" s="33"/>
      <c r="J2288" s="57"/>
      <c r="K2288" s="33"/>
      <c r="L2288" s="57"/>
      <c r="M2288" s="64"/>
      <c r="N2288" s="56"/>
      <c r="O2288" s="58"/>
      <c r="P2288" s="62"/>
      <c r="Q2288" s="33"/>
      <c r="R2288" s="33"/>
      <c r="S2288" s="61"/>
      <c r="T2288" s="33"/>
      <c r="U2288" s="62"/>
      <c r="W2288" s="61"/>
      <c r="X2288" s="62"/>
      <c r="AD2288" s="58"/>
      <c r="AG2288" s="58"/>
    </row>
    <row r="2289" spans="2:33" ht="16">
      <c r="B2289" s="67" t="str">
        <f t="shared" si="9"/>
        <v/>
      </c>
      <c r="C2289" s="33"/>
      <c r="D2289" s="33"/>
      <c r="E2289" s="33"/>
      <c r="F2289" s="56"/>
      <c r="G2289" s="33"/>
      <c r="H2289" s="33"/>
      <c r="I2289" s="33"/>
      <c r="J2289" s="57"/>
      <c r="K2289" s="33"/>
      <c r="L2289" s="57"/>
      <c r="M2289" s="64"/>
      <c r="N2289" s="56"/>
      <c r="O2289" s="64"/>
      <c r="P2289" s="62"/>
      <c r="Q2289" s="33"/>
      <c r="R2289" s="33"/>
      <c r="S2289" s="61"/>
      <c r="T2289" s="33"/>
      <c r="U2289" s="62"/>
      <c r="W2289" s="61"/>
      <c r="X2289" s="62"/>
      <c r="AD2289" s="58"/>
      <c r="AG2289" s="64"/>
    </row>
    <row r="2290" spans="2:33" ht="16">
      <c r="B2290" s="67" t="str">
        <f t="shared" si="9"/>
        <v/>
      </c>
      <c r="C2290" s="33"/>
      <c r="D2290" s="33"/>
      <c r="E2290" s="33"/>
      <c r="F2290" s="56"/>
      <c r="G2290" s="33"/>
      <c r="H2290" s="33"/>
      <c r="I2290" s="33"/>
      <c r="J2290" s="57"/>
      <c r="K2290" s="33"/>
      <c r="L2290" s="57"/>
      <c r="M2290" s="64"/>
      <c r="N2290" s="56"/>
      <c r="O2290" s="64"/>
      <c r="P2290" s="62"/>
      <c r="Q2290" s="33"/>
      <c r="R2290" s="33"/>
      <c r="S2290" s="61"/>
      <c r="T2290" s="33"/>
      <c r="U2290" s="62"/>
      <c r="W2290" s="61"/>
      <c r="X2290" s="62"/>
      <c r="AD2290" s="64"/>
      <c r="AG2290" s="64"/>
    </row>
    <row r="2291" spans="2:33" ht="16">
      <c r="B2291" s="67" t="str">
        <f t="shared" si="9"/>
        <v/>
      </c>
      <c r="C2291" s="33"/>
      <c r="D2291" s="33"/>
      <c r="E2291" s="33"/>
      <c r="F2291" s="56"/>
      <c r="G2291" s="33"/>
      <c r="H2291" s="33"/>
      <c r="I2291" s="33"/>
      <c r="J2291" s="57"/>
      <c r="K2291" s="33"/>
      <c r="L2291" s="57"/>
      <c r="M2291" s="58"/>
      <c r="N2291" s="56"/>
      <c r="O2291" s="58"/>
      <c r="P2291" s="62"/>
      <c r="Q2291" s="33"/>
      <c r="R2291" s="33"/>
      <c r="S2291" s="61"/>
      <c r="T2291" s="33"/>
      <c r="U2291" s="62"/>
      <c r="W2291" s="61"/>
      <c r="X2291" s="62"/>
      <c r="AD2291" s="58"/>
      <c r="AG2291" s="58"/>
    </row>
    <row r="2292" spans="2:33" ht="16">
      <c r="B2292" s="67" t="str">
        <f t="shared" si="9"/>
        <v/>
      </c>
      <c r="C2292" s="33"/>
      <c r="D2292" s="33"/>
      <c r="E2292" s="33"/>
      <c r="F2292" s="56"/>
      <c r="G2292" s="33"/>
      <c r="H2292" s="33"/>
      <c r="I2292" s="33"/>
      <c r="J2292" s="57"/>
      <c r="K2292" s="33"/>
      <c r="L2292" s="57"/>
      <c r="M2292" s="58"/>
      <c r="N2292" s="56"/>
      <c r="O2292" s="64"/>
      <c r="P2292" s="62"/>
      <c r="Q2292" s="33"/>
      <c r="R2292" s="33"/>
      <c r="S2292" s="61"/>
      <c r="T2292" s="33"/>
      <c r="U2292" s="62"/>
      <c r="W2292" s="61"/>
      <c r="X2292" s="62"/>
      <c r="AD2292" s="58"/>
      <c r="AG2292" s="64"/>
    </row>
    <row r="2293" spans="2:33" ht="16">
      <c r="B2293" s="67" t="str">
        <f t="shared" si="9"/>
        <v/>
      </c>
      <c r="C2293" s="33"/>
      <c r="D2293" s="33"/>
      <c r="E2293" s="33"/>
      <c r="F2293" s="56"/>
      <c r="G2293" s="33"/>
      <c r="H2293" s="33"/>
      <c r="I2293" s="33"/>
      <c r="J2293" s="57"/>
      <c r="K2293" s="33"/>
      <c r="L2293" s="57"/>
      <c r="M2293" s="64"/>
      <c r="N2293" s="56"/>
      <c r="O2293" s="64"/>
      <c r="P2293" s="62"/>
      <c r="Q2293" s="33"/>
      <c r="R2293" s="33"/>
      <c r="S2293" s="61"/>
      <c r="T2293" s="33"/>
      <c r="U2293" s="62"/>
      <c r="W2293" s="61"/>
      <c r="X2293" s="62"/>
      <c r="AD2293" s="58"/>
      <c r="AG2293" s="58"/>
    </row>
    <row r="2294" spans="2:33" ht="16">
      <c r="B2294" s="67" t="str">
        <f t="shared" si="9"/>
        <v/>
      </c>
      <c r="C2294" s="33"/>
      <c r="D2294" s="33"/>
      <c r="E2294" s="33"/>
      <c r="F2294" s="56"/>
      <c r="G2294" s="33"/>
      <c r="H2294" s="33"/>
      <c r="I2294" s="33"/>
      <c r="J2294" s="57"/>
      <c r="K2294" s="33"/>
      <c r="L2294" s="57"/>
      <c r="M2294" s="64"/>
      <c r="N2294" s="56"/>
      <c r="O2294" s="64"/>
      <c r="P2294" s="62"/>
      <c r="Q2294" s="33"/>
      <c r="R2294" s="33"/>
      <c r="S2294" s="61"/>
      <c r="T2294" s="33"/>
      <c r="U2294" s="62"/>
      <c r="W2294" s="61"/>
      <c r="X2294" s="62"/>
      <c r="AD2294" s="58"/>
      <c r="AG2294" s="58"/>
    </row>
    <row r="2295" spans="2:33" ht="16">
      <c r="B2295" s="67" t="str">
        <f t="shared" si="9"/>
        <v/>
      </c>
      <c r="C2295" s="33"/>
      <c r="D2295" s="33"/>
      <c r="E2295" s="33"/>
      <c r="F2295" s="56"/>
      <c r="G2295" s="33"/>
      <c r="H2295" s="33"/>
      <c r="I2295" s="33"/>
      <c r="J2295" s="57"/>
      <c r="K2295" s="33"/>
      <c r="L2295" s="57"/>
      <c r="M2295" s="64"/>
      <c r="N2295" s="56"/>
      <c r="O2295" s="64"/>
      <c r="P2295" s="62"/>
      <c r="Q2295" s="33"/>
      <c r="R2295" s="33"/>
      <c r="S2295" s="61"/>
      <c r="T2295" s="33"/>
      <c r="U2295" s="62"/>
      <c r="W2295" s="61"/>
      <c r="X2295" s="62"/>
      <c r="AD2295" s="64"/>
      <c r="AG2295" s="64"/>
    </row>
    <row r="2296" spans="2:33" ht="16">
      <c r="B2296" s="67" t="str">
        <f t="shared" si="9"/>
        <v/>
      </c>
      <c r="C2296" s="33"/>
      <c r="D2296" s="33"/>
      <c r="E2296" s="33"/>
      <c r="F2296" s="56"/>
      <c r="G2296" s="33"/>
      <c r="H2296" s="33"/>
      <c r="I2296" s="33"/>
      <c r="J2296" s="57"/>
      <c r="K2296" s="33"/>
      <c r="L2296" s="57"/>
      <c r="M2296" s="64"/>
      <c r="N2296" s="56"/>
      <c r="O2296" s="64"/>
      <c r="P2296" s="62"/>
      <c r="Q2296" s="33"/>
      <c r="R2296" s="33"/>
      <c r="S2296" s="61"/>
      <c r="T2296" s="33"/>
      <c r="U2296" s="62"/>
      <c r="W2296" s="61"/>
      <c r="X2296" s="62"/>
      <c r="AD2296" s="64"/>
      <c r="AG2296" s="58"/>
    </row>
    <row r="2297" spans="2:33" ht="16">
      <c r="B2297" s="67" t="str">
        <f t="shared" si="9"/>
        <v/>
      </c>
      <c r="C2297" s="33"/>
      <c r="D2297" s="33"/>
      <c r="E2297" s="33"/>
      <c r="F2297" s="56"/>
      <c r="G2297" s="33"/>
      <c r="H2297" s="33"/>
      <c r="I2297" s="33"/>
      <c r="J2297" s="57"/>
      <c r="K2297" s="33"/>
      <c r="L2297" s="57"/>
      <c r="M2297" s="64"/>
      <c r="N2297" s="56"/>
      <c r="O2297" s="64"/>
      <c r="P2297" s="62"/>
      <c r="Q2297" s="33"/>
      <c r="R2297" s="33"/>
      <c r="S2297" s="61"/>
      <c r="T2297" s="33"/>
      <c r="U2297" s="62"/>
      <c r="W2297" s="61"/>
      <c r="X2297" s="62"/>
      <c r="AD2297" s="58"/>
      <c r="AG2297" s="64"/>
    </row>
    <row r="2298" spans="2:33" ht="16">
      <c r="B2298" s="67" t="str">
        <f t="shared" si="9"/>
        <v/>
      </c>
      <c r="C2298" s="33"/>
      <c r="D2298" s="33"/>
      <c r="E2298" s="33"/>
      <c r="F2298" s="56"/>
      <c r="G2298" s="33"/>
      <c r="H2298" s="33"/>
      <c r="I2298" s="33"/>
      <c r="J2298" s="57"/>
      <c r="K2298" s="33"/>
      <c r="L2298" s="57"/>
      <c r="M2298" s="64"/>
      <c r="N2298" s="56"/>
      <c r="O2298" s="64"/>
      <c r="P2298" s="62"/>
      <c r="Q2298" s="33"/>
      <c r="R2298" s="33"/>
      <c r="S2298" s="61"/>
      <c r="T2298" s="33"/>
      <c r="U2298" s="62"/>
      <c r="W2298" s="61"/>
      <c r="X2298" s="62"/>
      <c r="AD2298" s="58"/>
      <c r="AG2298" s="64"/>
    </row>
    <row r="2299" spans="2:33" ht="16">
      <c r="B2299" s="67" t="str">
        <f t="shared" si="9"/>
        <v/>
      </c>
      <c r="C2299" s="33"/>
      <c r="D2299" s="33"/>
      <c r="E2299" s="33"/>
      <c r="F2299" s="56"/>
      <c r="G2299" s="33"/>
      <c r="H2299" s="33"/>
      <c r="I2299" s="33"/>
      <c r="J2299" s="57"/>
      <c r="K2299" s="33"/>
      <c r="L2299" s="57"/>
      <c r="M2299" s="64"/>
      <c r="N2299" s="56"/>
      <c r="O2299" s="64"/>
      <c r="P2299" s="62"/>
      <c r="Q2299" s="33"/>
      <c r="R2299" s="33"/>
      <c r="S2299" s="61"/>
      <c r="T2299" s="33"/>
      <c r="U2299" s="62"/>
      <c r="W2299" s="61"/>
      <c r="X2299" s="62"/>
      <c r="AD2299" s="58"/>
      <c r="AG2299" s="64"/>
    </row>
    <row r="2300" spans="2:33" ht="16">
      <c r="B2300" s="67" t="str">
        <f t="shared" si="9"/>
        <v/>
      </c>
      <c r="C2300" s="33"/>
      <c r="D2300" s="33"/>
      <c r="E2300" s="33"/>
      <c r="F2300" s="56"/>
      <c r="G2300" s="33"/>
      <c r="H2300" s="33"/>
      <c r="I2300" s="33"/>
      <c r="J2300" s="57"/>
      <c r="K2300" s="33"/>
      <c r="L2300" s="57"/>
      <c r="M2300" s="64"/>
      <c r="N2300" s="56"/>
      <c r="O2300" s="64"/>
      <c r="P2300" s="62"/>
      <c r="Q2300" s="33"/>
      <c r="R2300" s="33"/>
      <c r="S2300" s="61"/>
      <c r="T2300" s="33"/>
      <c r="U2300" s="62"/>
      <c r="W2300" s="61"/>
      <c r="X2300" s="62"/>
      <c r="AD2300" s="58"/>
      <c r="AG2300" s="58"/>
    </row>
    <row r="2301" spans="2:33" ht="16">
      <c r="B2301" s="67" t="str">
        <f t="shared" si="9"/>
        <v/>
      </c>
      <c r="C2301" s="33"/>
      <c r="D2301" s="33"/>
      <c r="E2301" s="33"/>
      <c r="F2301" s="56"/>
      <c r="G2301" s="33"/>
      <c r="H2301" s="33"/>
      <c r="I2301" s="33"/>
      <c r="J2301" s="57"/>
      <c r="K2301" s="33"/>
      <c r="L2301" s="57"/>
      <c r="M2301" s="58"/>
      <c r="N2301" s="56"/>
      <c r="O2301" s="64"/>
      <c r="P2301" s="62"/>
      <c r="Q2301" s="33"/>
      <c r="R2301" s="33"/>
      <c r="S2301" s="61"/>
      <c r="T2301" s="33"/>
      <c r="U2301" s="62"/>
      <c r="W2301" s="61"/>
      <c r="X2301" s="62"/>
      <c r="AD2301" s="58"/>
      <c r="AG2301" s="64"/>
    </row>
    <row r="2302" spans="2:33" ht="16">
      <c r="B2302" s="67" t="str">
        <f t="shared" si="9"/>
        <v/>
      </c>
      <c r="C2302" s="33"/>
      <c r="D2302" s="33"/>
      <c r="E2302" s="33"/>
      <c r="F2302" s="56"/>
      <c r="G2302" s="33"/>
      <c r="H2302" s="33"/>
      <c r="I2302" s="33"/>
      <c r="J2302" s="57"/>
      <c r="K2302" s="33"/>
      <c r="L2302" s="57"/>
      <c r="M2302" s="64"/>
      <c r="N2302" s="56"/>
      <c r="O2302" s="64"/>
      <c r="P2302" s="62"/>
      <c r="Q2302" s="33"/>
      <c r="R2302" s="33"/>
      <c r="S2302" s="61"/>
      <c r="T2302" s="33"/>
      <c r="U2302" s="62"/>
      <c r="W2302" s="61"/>
      <c r="X2302" s="62"/>
      <c r="AD2302" s="58"/>
      <c r="AG2302" s="58"/>
    </row>
    <row r="2303" spans="2:33" ht="16">
      <c r="B2303" s="67" t="str">
        <f t="shared" si="9"/>
        <v/>
      </c>
      <c r="C2303" s="33"/>
      <c r="D2303" s="33"/>
      <c r="E2303" s="33"/>
      <c r="F2303" s="56"/>
      <c r="G2303" s="33"/>
      <c r="H2303" s="33"/>
      <c r="I2303" s="33"/>
      <c r="J2303" s="57"/>
      <c r="K2303" s="33"/>
      <c r="L2303" s="57"/>
      <c r="M2303" s="58"/>
      <c r="N2303" s="56"/>
      <c r="O2303" s="64"/>
      <c r="P2303" s="62"/>
      <c r="Q2303" s="33"/>
      <c r="R2303" s="33"/>
      <c r="S2303" s="61"/>
      <c r="T2303" s="33"/>
      <c r="U2303" s="62"/>
      <c r="W2303" s="61"/>
      <c r="X2303" s="62"/>
      <c r="AD2303" s="58"/>
      <c r="AG2303" s="64"/>
    </row>
    <row r="2304" spans="2:33" ht="16">
      <c r="B2304" s="67" t="str">
        <f t="shared" si="9"/>
        <v/>
      </c>
      <c r="C2304" s="33"/>
      <c r="D2304" s="33"/>
      <c r="E2304" s="33"/>
      <c r="F2304" s="56"/>
      <c r="G2304" s="33"/>
      <c r="H2304" s="33"/>
      <c r="I2304" s="33"/>
      <c r="J2304" s="57"/>
      <c r="K2304" s="33"/>
      <c r="L2304" s="57"/>
      <c r="M2304" s="58"/>
      <c r="N2304" s="56"/>
      <c r="O2304" s="58"/>
      <c r="P2304" s="62"/>
      <c r="Q2304" s="33"/>
      <c r="R2304" s="33"/>
      <c r="S2304" s="61"/>
      <c r="T2304" s="33"/>
      <c r="U2304" s="62"/>
      <c r="W2304" s="61"/>
      <c r="X2304" s="62"/>
      <c r="AD2304" s="58"/>
      <c r="AG2304" s="64"/>
    </row>
    <row r="2305" spans="2:33" ht="16">
      <c r="B2305" s="67" t="str">
        <f t="shared" si="9"/>
        <v/>
      </c>
      <c r="C2305" s="33"/>
      <c r="D2305" s="33"/>
      <c r="E2305" s="33"/>
      <c r="F2305" s="56"/>
      <c r="G2305" s="33"/>
      <c r="H2305" s="33"/>
      <c r="I2305" s="33"/>
      <c r="J2305" s="57"/>
      <c r="K2305" s="33"/>
      <c r="L2305" s="57"/>
      <c r="M2305" s="64"/>
      <c r="N2305" s="56"/>
      <c r="O2305" s="58"/>
      <c r="P2305" s="62"/>
      <c r="Q2305" s="33"/>
      <c r="R2305" s="33"/>
      <c r="S2305" s="61"/>
      <c r="T2305" s="33"/>
      <c r="U2305" s="62"/>
      <c r="W2305" s="61"/>
      <c r="X2305" s="62"/>
      <c r="AD2305" s="58"/>
      <c r="AG2305" s="64"/>
    </row>
    <row r="2306" spans="2:33" ht="16">
      <c r="B2306" s="67" t="str">
        <f t="shared" si="9"/>
        <v/>
      </c>
      <c r="C2306" s="33"/>
      <c r="D2306" s="33"/>
      <c r="E2306" s="33"/>
      <c r="F2306" s="56"/>
      <c r="G2306" s="33"/>
      <c r="H2306" s="33"/>
      <c r="I2306" s="33"/>
      <c r="J2306" s="57"/>
      <c r="K2306" s="33"/>
      <c r="L2306" s="57"/>
      <c r="M2306" s="64"/>
      <c r="N2306" s="56"/>
      <c r="O2306" s="64"/>
      <c r="P2306" s="62"/>
      <c r="Q2306" s="33"/>
      <c r="R2306" s="33"/>
      <c r="S2306" s="61"/>
      <c r="T2306" s="33"/>
      <c r="U2306" s="62"/>
      <c r="W2306" s="61"/>
      <c r="X2306" s="62"/>
      <c r="AD2306" s="58"/>
      <c r="AG2306" s="64"/>
    </row>
    <row r="2307" spans="2:33" ht="16">
      <c r="B2307" s="67" t="str">
        <f t="shared" si="9"/>
        <v/>
      </c>
      <c r="C2307" s="33"/>
      <c r="D2307" s="33"/>
      <c r="E2307" s="33"/>
      <c r="F2307" s="56"/>
      <c r="G2307" s="33"/>
      <c r="H2307" s="33"/>
      <c r="I2307" s="33"/>
      <c r="J2307" s="57"/>
      <c r="K2307" s="33"/>
      <c r="L2307" s="57"/>
      <c r="M2307" s="64"/>
      <c r="N2307" s="56"/>
      <c r="O2307" s="58"/>
      <c r="P2307" s="62"/>
      <c r="Q2307" s="33"/>
      <c r="R2307" s="33"/>
      <c r="S2307" s="61"/>
      <c r="T2307" s="33"/>
      <c r="U2307" s="62"/>
      <c r="W2307" s="61"/>
      <c r="X2307" s="62"/>
      <c r="AD2307" s="58"/>
      <c r="AG2307" s="64"/>
    </row>
    <row r="2308" spans="2:33" ht="16">
      <c r="B2308" s="67" t="str">
        <f t="shared" si="9"/>
        <v/>
      </c>
      <c r="C2308" s="33"/>
      <c r="D2308" s="33"/>
      <c r="E2308" s="33"/>
      <c r="F2308" s="56"/>
      <c r="G2308" s="33"/>
      <c r="H2308" s="33"/>
      <c r="I2308" s="33"/>
      <c r="J2308" s="57"/>
      <c r="K2308" s="33"/>
      <c r="L2308" s="57"/>
      <c r="M2308" s="58"/>
      <c r="N2308" s="56"/>
      <c r="O2308" s="58"/>
      <c r="P2308" s="62"/>
      <c r="Q2308" s="33"/>
      <c r="R2308" s="33"/>
      <c r="S2308" s="61"/>
      <c r="T2308" s="33"/>
      <c r="U2308" s="62"/>
      <c r="W2308" s="61"/>
      <c r="X2308" s="62"/>
      <c r="AD2308" s="58"/>
      <c r="AG2308" s="64"/>
    </row>
    <row r="2309" spans="2:33" ht="16">
      <c r="B2309" s="67" t="str">
        <f t="shared" si="9"/>
        <v/>
      </c>
      <c r="C2309" s="33"/>
      <c r="D2309" s="33"/>
      <c r="E2309" s="33"/>
      <c r="F2309" s="56"/>
      <c r="G2309" s="33"/>
      <c r="H2309" s="33"/>
      <c r="I2309" s="33"/>
      <c r="J2309" s="57"/>
      <c r="K2309" s="33"/>
      <c r="L2309" s="57"/>
      <c r="M2309" s="64"/>
      <c r="N2309" s="56"/>
      <c r="O2309" s="58"/>
      <c r="P2309" s="62"/>
      <c r="Q2309" s="33"/>
      <c r="R2309" s="33"/>
      <c r="S2309" s="61"/>
      <c r="T2309" s="33"/>
      <c r="U2309" s="62"/>
      <c r="W2309" s="61"/>
      <c r="X2309" s="62"/>
      <c r="AD2309" s="58"/>
      <c r="AG2309" s="64"/>
    </row>
    <row r="2310" spans="2:33" ht="16">
      <c r="B2310" s="67" t="str">
        <f t="shared" si="9"/>
        <v/>
      </c>
      <c r="C2310" s="33"/>
      <c r="D2310" s="33"/>
      <c r="E2310" s="33"/>
      <c r="F2310" s="56"/>
      <c r="G2310" s="33"/>
      <c r="H2310" s="33"/>
      <c r="I2310" s="33"/>
      <c r="J2310" s="57"/>
      <c r="K2310" s="33"/>
      <c r="L2310" s="57"/>
      <c r="M2310" s="58"/>
      <c r="N2310" s="56"/>
      <c r="O2310" s="58"/>
      <c r="P2310" s="62"/>
      <c r="Q2310" s="33"/>
      <c r="R2310" s="33"/>
      <c r="S2310" s="61"/>
      <c r="T2310" s="33"/>
      <c r="U2310" s="62"/>
      <c r="W2310" s="61"/>
      <c r="X2310" s="62"/>
      <c r="AD2310" s="58"/>
      <c r="AG2310" s="58"/>
    </row>
    <row r="2311" spans="2:33" ht="16">
      <c r="B2311" s="67" t="str">
        <f t="shared" si="9"/>
        <v/>
      </c>
      <c r="C2311" s="33"/>
      <c r="D2311" s="33"/>
      <c r="E2311" s="33"/>
      <c r="F2311" s="56"/>
      <c r="G2311" s="33"/>
      <c r="H2311" s="33"/>
      <c r="I2311" s="33"/>
      <c r="J2311" s="57"/>
      <c r="K2311" s="33"/>
      <c r="L2311" s="57"/>
      <c r="M2311" s="64"/>
      <c r="N2311" s="56"/>
      <c r="O2311" s="64"/>
      <c r="P2311" s="62"/>
      <c r="Q2311" s="33"/>
      <c r="R2311" s="33"/>
      <c r="S2311" s="61"/>
      <c r="T2311" s="33"/>
      <c r="U2311" s="62"/>
      <c r="W2311" s="61"/>
      <c r="X2311" s="62"/>
      <c r="AD2311" s="58"/>
      <c r="AG2311" s="64"/>
    </row>
    <row r="2312" spans="2:33" ht="16">
      <c r="B2312" s="67" t="str">
        <f t="shared" si="9"/>
        <v/>
      </c>
      <c r="C2312" s="33"/>
      <c r="D2312" s="33"/>
      <c r="E2312" s="33"/>
      <c r="F2312" s="56"/>
      <c r="G2312" s="33"/>
      <c r="H2312" s="33"/>
      <c r="I2312" s="33"/>
      <c r="J2312" s="57"/>
      <c r="K2312" s="33"/>
      <c r="L2312" s="57"/>
      <c r="M2312" s="58"/>
      <c r="N2312" s="56"/>
      <c r="O2312" s="58"/>
      <c r="P2312" s="62"/>
      <c r="Q2312" s="33"/>
      <c r="R2312" s="33"/>
      <c r="S2312" s="61"/>
      <c r="T2312" s="33"/>
      <c r="U2312" s="62"/>
      <c r="W2312" s="61"/>
      <c r="X2312" s="62"/>
      <c r="AD2312" s="58"/>
      <c r="AG2312" s="64"/>
    </row>
    <row r="2313" spans="2:33" ht="16">
      <c r="B2313" s="67" t="str">
        <f t="shared" si="9"/>
        <v/>
      </c>
      <c r="C2313" s="33"/>
      <c r="D2313" s="33"/>
      <c r="E2313" s="33"/>
      <c r="F2313" s="56"/>
      <c r="G2313" s="33"/>
      <c r="H2313" s="33"/>
      <c r="I2313" s="33"/>
      <c r="J2313" s="57"/>
      <c r="K2313" s="33"/>
      <c r="L2313" s="57"/>
      <c r="M2313" s="64"/>
      <c r="N2313" s="56"/>
      <c r="O2313" s="64"/>
      <c r="P2313" s="62"/>
      <c r="Q2313" s="33"/>
      <c r="R2313" s="33"/>
      <c r="S2313" s="61"/>
      <c r="T2313" s="33"/>
      <c r="U2313" s="62"/>
      <c r="W2313" s="61"/>
      <c r="X2313" s="62"/>
      <c r="AD2313" s="58"/>
      <c r="AG2313" s="64"/>
    </row>
    <row r="2314" spans="2:33" ht="16">
      <c r="B2314" s="67" t="str">
        <f t="shared" si="9"/>
        <v/>
      </c>
      <c r="C2314" s="33"/>
      <c r="D2314" s="33"/>
      <c r="E2314" s="33"/>
      <c r="F2314" s="56"/>
      <c r="G2314" s="33"/>
      <c r="H2314" s="33"/>
      <c r="I2314" s="33"/>
      <c r="J2314" s="57"/>
      <c r="K2314" s="33"/>
      <c r="L2314" s="57"/>
      <c r="M2314" s="64"/>
      <c r="N2314" s="56"/>
      <c r="O2314" s="64"/>
      <c r="P2314" s="62"/>
      <c r="Q2314" s="33"/>
      <c r="R2314" s="33"/>
      <c r="S2314" s="61"/>
      <c r="T2314" s="33"/>
      <c r="U2314" s="62"/>
      <c r="W2314" s="61"/>
      <c r="X2314" s="62"/>
      <c r="AD2314" s="58"/>
      <c r="AG2314" s="64"/>
    </row>
    <row r="2315" spans="2:33" ht="16">
      <c r="B2315" s="67" t="str">
        <f t="shared" si="9"/>
        <v/>
      </c>
      <c r="C2315" s="33"/>
      <c r="D2315" s="33"/>
      <c r="E2315" s="33"/>
      <c r="F2315" s="56"/>
      <c r="G2315" s="33"/>
      <c r="H2315" s="33"/>
      <c r="I2315" s="33"/>
      <c r="J2315" s="57"/>
      <c r="K2315" s="33"/>
      <c r="L2315" s="57"/>
      <c r="M2315" s="64"/>
      <c r="N2315" s="56"/>
      <c r="O2315" s="64"/>
      <c r="P2315" s="62"/>
      <c r="Q2315" s="33"/>
      <c r="R2315" s="33"/>
      <c r="S2315" s="61"/>
      <c r="T2315" s="33"/>
      <c r="U2315" s="62"/>
      <c r="W2315" s="61"/>
      <c r="X2315" s="62"/>
      <c r="AD2315" s="58"/>
      <c r="AG2315" s="64"/>
    </row>
    <row r="2316" spans="2:33" ht="16">
      <c r="B2316" s="67" t="str">
        <f t="shared" si="9"/>
        <v/>
      </c>
      <c r="C2316" s="33"/>
      <c r="D2316" s="33"/>
      <c r="E2316" s="33"/>
      <c r="F2316" s="56"/>
      <c r="G2316" s="33"/>
      <c r="H2316" s="33"/>
      <c r="I2316" s="33"/>
      <c r="J2316" s="57"/>
      <c r="K2316" s="33"/>
      <c r="L2316" s="57"/>
      <c r="M2316" s="58"/>
      <c r="N2316" s="56"/>
      <c r="O2316" s="64"/>
      <c r="P2316" s="62"/>
      <c r="Q2316" s="33"/>
      <c r="R2316" s="33"/>
      <c r="S2316" s="61"/>
      <c r="T2316" s="33"/>
      <c r="U2316" s="62"/>
      <c r="W2316" s="61"/>
      <c r="X2316" s="62"/>
      <c r="AD2316" s="58"/>
      <c r="AG2316" s="64"/>
    </row>
    <row r="2317" spans="2:33" ht="16">
      <c r="B2317" s="67" t="str">
        <f t="shared" si="9"/>
        <v/>
      </c>
      <c r="C2317" s="33"/>
      <c r="D2317" s="33"/>
      <c r="E2317" s="33"/>
      <c r="F2317" s="56"/>
      <c r="G2317" s="33"/>
      <c r="H2317" s="33"/>
      <c r="I2317" s="33"/>
      <c r="J2317" s="57"/>
      <c r="K2317" s="33"/>
      <c r="L2317" s="57"/>
      <c r="M2317" s="58"/>
      <c r="N2317" s="56"/>
      <c r="O2317" s="64"/>
      <c r="P2317" s="62"/>
      <c r="Q2317" s="33"/>
      <c r="R2317" s="33"/>
      <c r="S2317" s="61"/>
      <c r="T2317" s="33"/>
      <c r="U2317" s="62"/>
      <c r="W2317" s="61"/>
      <c r="X2317" s="62"/>
      <c r="AD2317" s="58"/>
      <c r="AG2317" s="64"/>
    </row>
    <row r="2318" spans="2:33" ht="16">
      <c r="B2318" s="67" t="str">
        <f t="shared" si="9"/>
        <v/>
      </c>
      <c r="C2318" s="33"/>
      <c r="D2318" s="33"/>
      <c r="E2318" s="33"/>
      <c r="F2318" s="56"/>
      <c r="G2318" s="33"/>
      <c r="H2318" s="33"/>
      <c r="I2318" s="33"/>
      <c r="J2318" s="57"/>
      <c r="K2318" s="33"/>
      <c r="L2318" s="57"/>
      <c r="M2318" s="64"/>
      <c r="N2318" s="56"/>
      <c r="O2318" s="58"/>
      <c r="P2318" s="62"/>
      <c r="Q2318" s="33"/>
      <c r="R2318" s="33"/>
      <c r="S2318" s="61"/>
      <c r="T2318" s="33"/>
      <c r="U2318" s="62"/>
      <c r="W2318" s="61"/>
      <c r="X2318" s="62"/>
      <c r="AD2318" s="58"/>
      <c r="AG2318" s="58"/>
    </row>
    <row r="2319" spans="2:33" ht="16">
      <c r="B2319" s="67" t="str">
        <f t="shared" si="9"/>
        <v/>
      </c>
      <c r="C2319" s="33"/>
      <c r="D2319" s="33"/>
      <c r="E2319" s="33"/>
      <c r="F2319" s="56"/>
      <c r="G2319" s="33"/>
      <c r="H2319" s="33"/>
      <c r="I2319" s="33"/>
      <c r="J2319" s="57"/>
      <c r="K2319" s="33"/>
      <c r="L2319" s="57"/>
      <c r="M2319" s="64"/>
      <c r="N2319" s="56"/>
      <c r="O2319" s="64"/>
      <c r="P2319" s="62"/>
      <c r="Q2319" s="33"/>
      <c r="R2319" s="33"/>
      <c r="S2319" s="61"/>
      <c r="T2319" s="33"/>
      <c r="U2319" s="62"/>
      <c r="W2319" s="61"/>
      <c r="X2319" s="62"/>
      <c r="AD2319" s="58"/>
      <c r="AG2319" s="64"/>
    </row>
    <row r="2320" spans="2:33" ht="16">
      <c r="B2320" s="67" t="str">
        <f t="shared" si="9"/>
        <v/>
      </c>
      <c r="C2320" s="33"/>
      <c r="D2320" s="33"/>
      <c r="E2320" s="33"/>
      <c r="F2320" s="56"/>
      <c r="G2320" s="33"/>
      <c r="H2320" s="33"/>
      <c r="I2320" s="33"/>
      <c r="J2320" s="57"/>
      <c r="K2320" s="33"/>
      <c r="L2320" s="57"/>
      <c r="M2320" s="64"/>
      <c r="N2320" s="56"/>
      <c r="O2320" s="58"/>
      <c r="P2320" s="62"/>
      <c r="Q2320" s="33"/>
      <c r="R2320" s="33"/>
      <c r="S2320" s="61"/>
      <c r="T2320" s="33"/>
      <c r="U2320" s="62"/>
      <c r="W2320" s="61"/>
      <c r="X2320" s="62"/>
      <c r="AD2320" s="58"/>
      <c r="AG2320" s="58"/>
    </row>
    <row r="2321" spans="2:33" ht="16">
      <c r="B2321" s="67" t="str">
        <f t="shared" si="9"/>
        <v/>
      </c>
      <c r="C2321" s="33"/>
      <c r="D2321" s="33"/>
      <c r="E2321" s="33"/>
      <c r="F2321" s="56"/>
      <c r="G2321" s="33"/>
      <c r="H2321" s="33"/>
      <c r="I2321" s="33"/>
      <c r="J2321" s="57"/>
      <c r="K2321" s="33"/>
      <c r="L2321" s="57"/>
      <c r="M2321" s="64"/>
      <c r="N2321" s="56"/>
      <c r="O2321" s="64"/>
      <c r="P2321" s="62"/>
      <c r="Q2321" s="33"/>
      <c r="R2321" s="33"/>
      <c r="S2321" s="61"/>
      <c r="T2321" s="33"/>
      <c r="U2321" s="62"/>
      <c r="W2321" s="61"/>
      <c r="X2321" s="62"/>
      <c r="AD2321" s="58"/>
      <c r="AG2321" s="64"/>
    </row>
    <row r="2322" spans="2:33" ht="16">
      <c r="B2322" s="67" t="str">
        <f t="shared" ref="B2322:B2576" si="10">IF($H2322="","",LEFT(C2322,3))</f>
        <v/>
      </c>
      <c r="C2322" s="33"/>
      <c r="D2322" s="33"/>
      <c r="E2322" s="33"/>
      <c r="F2322" s="56"/>
      <c r="G2322" s="33"/>
      <c r="H2322" s="33"/>
      <c r="I2322" s="33"/>
      <c r="J2322" s="57"/>
      <c r="K2322" s="33"/>
      <c r="L2322" s="57"/>
      <c r="M2322" s="58"/>
      <c r="N2322" s="56"/>
      <c r="O2322" s="58"/>
      <c r="P2322" s="62"/>
      <c r="Q2322" s="33"/>
      <c r="R2322" s="33"/>
      <c r="S2322" s="61"/>
      <c r="T2322" s="33"/>
      <c r="U2322" s="62"/>
      <c r="W2322" s="61"/>
      <c r="X2322" s="62"/>
      <c r="AD2322" s="58"/>
      <c r="AG2322" s="58"/>
    </row>
    <row r="2323" spans="2:33" ht="16">
      <c r="B2323" s="67" t="str">
        <f t="shared" si="10"/>
        <v/>
      </c>
      <c r="C2323" s="33"/>
      <c r="D2323" s="33"/>
      <c r="E2323" s="33"/>
      <c r="F2323" s="56"/>
      <c r="G2323" s="33"/>
      <c r="H2323" s="33"/>
      <c r="I2323" s="33"/>
      <c r="J2323" s="57"/>
      <c r="K2323" s="33"/>
      <c r="L2323" s="57"/>
      <c r="M2323" s="64"/>
      <c r="N2323" s="56"/>
      <c r="O2323" s="64"/>
      <c r="P2323" s="62"/>
      <c r="Q2323" s="33"/>
      <c r="R2323" s="33"/>
      <c r="S2323" s="61"/>
      <c r="T2323" s="33"/>
      <c r="U2323" s="62"/>
      <c r="W2323" s="61"/>
      <c r="X2323" s="62"/>
      <c r="AD2323" s="64"/>
      <c r="AG2323" s="64"/>
    </row>
    <row r="2324" spans="2:33" ht="16">
      <c r="B2324" s="67" t="str">
        <f t="shared" si="10"/>
        <v/>
      </c>
      <c r="C2324" s="33"/>
      <c r="D2324" s="33"/>
      <c r="E2324" s="33"/>
      <c r="F2324" s="56"/>
      <c r="G2324" s="33"/>
      <c r="H2324" s="33"/>
      <c r="I2324" s="33"/>
      <c r="J2324" s="57"/>
      <c r="K2324" s="33"/>
      <c r="L2324" s="57"/>
      <c r="M2324" s="64"/>
      <c r="N2324" s="56"/>
      <c r="O2324" s="64"/>
      <c r="P2324" s="62"/>
      <c r="Q2324" s="33"/>
      <c r="R2324" s="33"/>
      <c r="S2324" s="61"/>
      <c r="T2324" s="33"/>
      <c r="U2324" s="62"/>
      <c r="W2324" s="61"/>
      <c r="X2324" s="62"/>
      <c r="AD2324" s="58"/>
      <c r="AG2324" s="64"/>
    </row>
    <row r="2325" spans="2:33" ht="16">
      <c r="B2325" s="67" t="str">
        <f t="shared" si="10"/>
        <v/>
      </c>
      <c r="C2325" s="33"/>
      <c r="D2325" s="33"/>
      <c r="E2325" s="33"/>
      <c r="F2325" s="56"/>
      <c r="G2325" s="33"/>
      <c r="H2325" s="33"/>
      <c r="I2325" s="33"/>
      <c r="J2325" s="57"/>
      <c r="K2325" s="33"/>
      <c r="L2325" s="57"/>
      <c r="M2325" s="64"/>
      <c r="N2325" s="56"/>
      <c r="O2325" s="58"/>
      <c r="P2325" s="62"/>
      <c r="Q2325" s="33"/>
      <c r="R2325" s="33"/>
      <c r="S2325" s="61"/>
      <c r="T2325" s="33"/>
      <c r="U2325" s="62"/>
      <c r="W2325" s="61"/>
      <c r="X2325" s="62"/>
      <c r="AD2325" s="58"/>
      <c r="AG2325" s="64"/>
    </row>
    <row r="2326" spans="2:33" ht="16">
      <c r="B2326" s="67" t="str">
        <f t="shared" si="10"/>
        <v/>
      </c>
      <c r="C2326" s="33"/>
      <c r="D2326" s="33"/>
      <c r="E2326" s="33"/>
      <c r="F2326" s="56"/>
      <c r="G2326" s="33"/>
      <c r="H2326" s="33"/>
      <c r="I2326" s="33"/>
      <c r="J2326" s="57"/>
      <c r="K2326" s="33"/>
      <c r="L2326" s="57"/>
      <c r="M2326" s="64"/>
      <c r="N2326" s="56"/>
      <c r="O2326" s="64"/>
      <c r="P2326" s="62"/>
      <c r="Q2326" s="33"/>
      <c r="R2326" s="33"/>
      <c r="S2326" s="61"/>
      <c r="T2326" s="33"/>
      <c r="U2326" s="62"/>
      <c r="W2326" s="61"/>
      <c r="X2326" s="62"/>
      <c r="AD2326" s="64"/>
      <c r="AG2326" s="64"/>
    </row>
    <row r="2327" spans="2:33" ht="16">
      <c r="B2327" s="67" t="str">
        <f t="shared" si="10"/>
        <v/>
      </c>
      <c r="C2327" s="33"/>
      <c r="D2327" s="33"/>
      <c r="E2327" s="33"/>
      <c r="F2327" s="56"/>
      <c r="G2327" s="33"/>
      <c r="H2327" s="33"/>
      <c r="I2327" s="33"/>
      <c r="J2327" s="57"/>
      <c r="K2327" s="33"/>
      <c r="L2327" s="57"/>
      <c r="M2327" s="64"/>
      <c r="N2327" s="56"/>
      <c r="O2327" s="64"/>
      <c r="P2327" s="62"/>
      <c r="Q2327" s="33"/>
      <c r="R2327" s="33"/>
      <c r="S2327" s="61"/>
      <c r="T2327" s="33"/>
      <c r="U2327" s="62"/>
      <c r="W2327" s="61"/>
      <c r="X2327" s="62"/>
      <c r="AD2327" s="64"/>
      <c r="AG2327" s="64"/>
    </row>
    <row r="2328" spans="2:33" ht="16">
      <c r="B2328" s="67" t="str">
        <f t="shared" si="10"/>
        <v/>
      </c>
      <c r="C2328" s="33"/>
      <c r="D2328" s="33"/>
      <c r="E2328" s="33"/>
      <c r="F2328" s="56"/>
      <c r="G2328" s="33"/>
      <c r="H2328" s="33"/>
      <c r="I2328" s="33"/>
      <c r="J2328" s="57"/>
      <c r="K2328" s="33"/>
      <c r="L2328" s="57"/>
      <c r="M2328" s="58"/>
      <c r="N2328" s="56"/>
      <c r="O2328" s="64"/>
      <c r="P2328" s="62"/>
      <c r="Q2328" s="33"/>
      <c r="R2328" s="33"/>
      <c r="S2328" s="61"/>
      <c r="T2328" s="33"/>
      <c r="U2328" s="62"/>
      <c r="W2328" s="61"/>
      <c r="X2328" s="62"/>
      <c r="AD2328" s="58"/>
      <c r="AG2328" s="64"/>
    </row>
    <row r="2329" spans="2:33" ht="16">
      <c r="B2329" s="67" t="str">
        <f t="shared" si="10"/>
        <v/>
      </c>
      <c r="C2329" s="33"/>
      <c r="D2329" s="33"/>
      <c r="E2329" s="33"/>
      <c r="F2329" s="56"/>
      <c r="G2329" s="33"/>
      <c r="H2329" s="33"/>
      <c r="I2329" s="33"/>
      <c r="J2329" s="57"/>
      <c r="K2329" s="33"/>
      <c r="L2329" s="57"/>
      <c r="M2329" s="58"/>
      <c r="N2329" s="56"/>
      <c r="O2329" s="58"/>
      <c r="P2329" s="62"/>
      <c r="Q2329" s="33"/>
      <c r="R2329" s="33"/>
      <c r="S2329" s="61"/>
      <c r="T2329" s="33"/>
      <c r="U2329" s="62"/>
      <c r="W2329" s="61"/>
      <c r="X2329" s="62"/>
      <c r="AD2329" s="58"/>
      <c r="AG2329" s="64"/>
    </row>
    <row r="2330" spans="2:33" ht="16">
      <c r="B2330" s="67" t="str">
        <f t="shared" si="10"/>
        <v/>
      </c>
      <c r="C2330" s="33"/>
      <c r="D2330" s="33"/>
      <c r="E2330" s="33"/>
      <c r="F2330" s="56"/>
      <c r="G2330" s="33"/>
      <c r="H2330" s="33"/>
      <c r="I2330" s="33"/>
      <c r="J2330" s="57"/>
      <c r="K2330" s="33"/>
      <c r="L2330" s="57"/>
      <c r="M2330" s="64"/>
      <c r="N2330" s="56"/>
      <c r="O2330" s="64"/>
      <c r="P2330" s="62"/>
      <c r="Q2330" s="33"/>
      <c r="R2330" s="33"/>
      <c r="S2330" s="61"/>
      <c r="T2330" s="33"/>
      <c r="U2330" s="62"/>
      <c r="W2330" s="61"/>
      <c r="X2330" s="62"/>
      <c r="AD2330" s="64"/>
      <c r="AG2330" s="64"/>
    </row>
    <row r="2331" spans="2:33" ht="16">
      <c r="B2331" s="67" t="str">
        <f t="shared" si="10"/>
        <v/>
      </c>
      <c r="C2331" s="33"/>
      <c r="D2331" s="33"/>
      <c r="E2331" s="33"/>
      <c r="F2331" s="56"/>
      <c r="G2331" s="33"/>
      <c r="H2331" s="33"/>
      <c r="I2331" s="33"/>
      <c r="J2331" s="57"/>
      <c r="K2331" s="33"/>
      <c r="L2331" s="57"/>
      <c r="M2331" s="58"/>
      <c r="N2331" s="56"/>
      <c r="O2331" s="58"/>
      <c r="P2331" s="62"/>
      <c r="Q2331" s="33"/>
      <c r="R2331" s="33"/>
      <c r="S2331" s="61"/>
      <c r="T2331" s="33"/>
      <c r="U2331" s="62"/>
      <c r="W2331" s="61"/>
      <c r="X2331" s="62"/>
      <c r="AD2331" s="58"/>
      <c r="AG2331" s="64"/>
    </row>
    <row r="2332" spans="2:33" ht="16">
      <c r="B2332" s="67" t="str">
        <f t="shared" si="10"/>
        <v/>
      </c>
      <c r="C2332" s="33"/>
      <c r="D2332" s="33"/>
      <c r="E2332" s="33"/>
      <c r="F2332" s="56"/>
      <c r="G2332" s="33"/>
      <c r="H2332" s="33"/>
      <c r="I2332" s="33"/>
      <c r="J2332" s="57"/>
      <c r="K2332" s="33"/>
      <c r="L2332" s="57"/>
      <c r="M2332" s="58"/>
      <c r="N2332" s="56"/>
      <c r="O2332" s="58"/>
      <c r="P2332" s="62"/>
      <c r="Q2332" s="33"/>
      <c r="R2332" s="33"/>
      <c r="S2332" s="61"/>
      <c r="T2332" s="33"/>
      <c r="U2332" s="62"/>
      <c r="W2332" s="61"/>
      <c r="X2332" s="62"/>
      <c r="AD2332" s="58"/>
      <c r="AG2332" s="64"/>
    </row>
    <row r="2333" spans="2:33" ht="16">
      <c r="B2333" s="67" t="str">
        <f t="shared" si="10"/>
        <v/>
      </c>
      <c r="C2333" s="33"/>
      <c r="D2333" s="33"/>
      <c r="E2333" s="33"/>
      <c r="F2333" s="56"/>
      <c r="G2333" s="33"/>
      <c r="H2333" s="33"/>
      <c r="I2333" s="33"/>
      <c r="J2333" s="57"/>
      <c r="K2333" s="33"/>
      <c r="L2333" s="57"/>
      <c r="M2333" s="64"/>
      <c r="N2333" s="56"/>
      <c r="O2333" s="64"/>
      <c r="P2333" s="62"/>
      <c r="Q2333" s="33"/>
      <c r="R2333" s="33"/>
      <c r="S2333" s="61"/>
      <c r="T2333" s="33"/>
      <c r="U2333" s="62"/>
      <c r="W2333" s="61"/>
      <c r="X2333" s="62"/>
      <c r="AD2333" s="58"/>
      <c r="AG2333" s="64"/>
    </row>
    <row r="2334" spans="2:33" ht="16">
      <c r="B2334" s="67" t="str">
        <f t="shared" si="10"/>
        <v/>
      </c>
      <c r="C2334" s="33"/>
      <c r="D2334" s="33"/>
      <c r="E2334" s="33"/>
      <c r="F2334" s="56"/>
      <c r="G2334" s="33"/>
      <c r="H2334" s="33"/>
      <c r="I2334" s="33"/>
      <c r="J2334" s="57"/>
      <c r="K2334" s="33"/>
      <c r="L2334" s="57"/>
      <c r="M2334" s="64"/>
      <c r="N2334" s="56"/>
      <c r="O2334" s="64"/>
      <c r="P2334" s="62"/>
      <c r="Q2334" s="33"/>
      <c r="R2334" s="33"/>
      <c r="S2334" s="61"/>
      <c r="T2334" s="33"/>
      <c r="U2334" s="62"/>
      <c r="W2334" s="61"/>
      <c r="X2334" s="62"/>
      <c r="AD2334" s="58"/>
      <c r="AG2334" s="64"/>
    </row>
    <row r="2335" spans="2:33" ht="16">
      <c r="B2335" s="67" t="str">
        <f t="shared" si="10"/>
        <v/>
      </c>
      <c r="C2335" s="33"/>
      <c r="D2335" s="33"/>
      <c r="E2335" s="33"/>
      <c r="F2335" s="56"/>
      <c r="G2335" s="33"/>
      <c r="H2335" s="33"/>
      <c r="I2335" s="33"/>
      <c r="J2335" s="57"/>
      <c r="K2335" s="33"/>
      <c r="L2335" s="57"/>
      <c r="M2335" s="64"/>
      <c r="N2335" s="56"/>
      <c r="O2335" s="58"/>
      <c r="P2335" s="62"/>
      <c r="Q2335" s="33"/>
      <c r="R2335" s="33"/>
      <c r="S2335" s="61"/>
      <c r="T2335" s="33"/>
      <c r="U2335" s="62"/>
      <c r="W2335" s="61"/>
      <c r="X2335" s="62"/>
      <c r="AD2335" s="58"/>
      <c r="AG2335" s="58"/>
    </row>
    <row r="2336" spans="2:33" ht="16">
      <c r="B2336" s="67" t="str">
        <f t="shared" si="10"/>
        <v/>
      </c>
      <c r="C2336" s="33"/>
      <c r="D2336" s="33"/>
      <c r="E2336" s="33"/>
      <c r="F2336" s="56"/>
      <c r="G2336" s="33"/>
      <c r="H2336" s="33"/>
      <c r="I2336" s="33"/>
      <c r="J2336" s="57"/>
      <c r="K2336" s="33"/>
      <c r="L2336" s="57"/>
      <c r="M2336" s="64"/>
      <c r="N2336" s="56"/>
      <c r="O2336" s="64"/>
      <c r="P2336" s="62"/>
      <c r="Q2336" s="33"/>
      <c r="R2336" s="33"/>
      <c r="S2336" s="61"/>
      <c r="T2336" s="33"/>
      <c r="U2336" s="62"/>
      <c r="W2336" s="61"/>
      <c r="X2336" s="62"/>
      <c r="AD2336" s="58"/>
      <c r="AG2336" s="58"/>
    </row>
    <row r="2337" spans="2:33" ht="16">
      <c r="B2337" s="67" t="str">
        <f t="shared" si="10"/>
        <v/>
      </c>
      <c r="C2337" s="33"/>
      <c r="D2337" s="33"/>
      <c r="E2337" s="33"/>
      <c r="F2337" s="56"/>
      <c r="G2337" s="33"/>
      <c r="H2337" s="33"/>
      <c r="I2337" s="33"/>
      <c r="J2337" s="57"/>
      <c r="K2337" s="33"/>
      <c r="L2337" s="57"/>
      <c r="M2337" s="58"/>
      <c r="N2337" s="56"/>
      <c r="O2337" s="64"/>
      <c r="P2337" s="62"/>
      <c r="Q2337" s="33"/>
      <c r="R2337" s="33"/>
      <c r="S2337" s="61"/>
      <c r="T2337" s="33"/>
      <c r="U2337" s="62"/>
      <c r="W2337" s="61"/>
      <c r="X2337" s="62"/>
      <c r="AD2337" s="58"/>
      <c r="AG2337" s="64"/>
    </row>
    <row r="2338" spans="2:33" ht="16">
      <c r="B2338" s="67" t="str">
        <f t="shared" si="10"/>
        <v/>
      </c>
      <c r="C2338" s="33"/>
      <c r="D2338" s="33"/>
      <c r="E2338" s="33"/>
      <c r="F2338" s="56"/>
      <c r="G2338" s="33"/>
      <c r="H2338" s="33"/>
      <c r="I2338" s="33"/>
      <c r="J2338" s="57"/>
      <c r="K2338" s="33"/>
      <c r="L2338" s="57"/>
      <c r="M2338" s="64"/>
      <c r="N2338" s="56"/>
      <c r="O2338" s="58"/>
      <c r="P2338" s="62"/>
      <c r="Q2338" s="33"/>
      <c r="R2338" s="33"/>
      <c r="S2338" s="61"/>
      <c r="T2338" s="33"/>
      <c r="U2338" s="62"/>
      <c r="W2338" s="61"/>
      <c r="X2338" s="62"/>
      <c r="AD2338" s="58"/>
      <c r="AG2338" s="64"/>
    </row>
    <row r="2339" spans="2:33" ht="16">
      <c r="B2339" s="67" t="str">
        <f t="shared" si="10"/>
        <v/>
      </c>
      <c r="C2339" s="33"/>
      <c r="D2339" s="33"/>
      <c r="E2339" s="33"/>
      <c r="F2339" s="56"/>
      <c r="G2339" s="33"/>
      <c r="H2339" s="33"/>
      <c r="I2339" s="33"/>
      <c r="J2339" s="57"/>
      <c r="K2339" s="33"/>
      <c r="L2339" s="57"/>
      <c r="M2339" s="64"/>
      <c r="N2339" s="56"/>
      <c r="O2339" s="64"/>
      <c r="P2339" s="62"/>
      <c r="Q2339" s="33"/>
      <c r="R2339" s="33"/>
      <c r="S2339" s="61"/>
      <c r="T2339" s="33"/>
      <c r="U2339" s="62"/>
      <c r="W2339" s="61"/>
      <c r="X2339" s="62"/>
      <c r="AD2339" s="58"/>
      <c r="AG2339" s="64"/>
    </row>
    <row r="2340" spans="2:33" ht="16">
      <c r="B2340" s="67" t="str">
        <f t="shared" si="10"/>
        <v/>
      </c>
      <c r="C2340" s="33"/>
      <c r="D2340" s="33"/>
      <c r="E2340" s="33"/>
      <c r="F2340" s="56"/>
      <c r="G2340" s="33"/>
      <c r="H2340" s="33"/>
      <c r="I2340" s="33"/>
      <c r="J2340" s="57"/>
      <c r="K2340" s="33"/>
      <c r="L2340" s="57"/>
      <c r="M2340" s="58"/>
      <c r="N2340" s="56"/>
      <c r="O2340" s="58"/>
      <c r="P2340" s="62"/>
      <c r="Q2340" s="33"/>
      <c r="R2340" s="33"/>
      <c r="S2340" s="61"/>
      <c r="T2340" s="33"/>
      <c r="U2340" s="62"/>
      <c r="W2340" s="61"/>
      <c r="X2340" s="62"/>
      <c r="AD2340" s="58"/>
      <c r="AG2340" s="64"/>
    </row>
    <row r="2341" spans="2:33" ht="16">
      <c r="B2341" s="67" t="str">
        <f t="shared" si="10"/>
        <v/>
      </c>
      <c r="C2341" s="33"/>
      <c r="D2341" s="33"/>
      <c r="E2341" s="33"/>
      <c r="F2341" s="56"/>
      <c r="G2341" s="33"/>
      <c r="H2341" s="33"/>
      <c r="I2341" s="33"/>
      <c r="J2341" s="57"/>
      <c r="K2341" s="33"/>
      <c r="L2341" s="57"/>
      <c r="M2341" s="58"/>
      <c r="N2341" s="56"/>
      <c r="O2341" s="64"/>
      <c r="P2341" s="62"/>
      <c r="Q2341" s="33"/>
      <c r="R2341" s="33"/>
      <c r="S2341" s="61"/>
      <c r="T2341" s="33"/>
      <c r="U2341" s="62"/>
      <c r="W2341" s="61"/>
      <c r="X2341" s="62"/>
      <c r="AD2341" s="58"/>
      <c r="AG2341" s="64"/>
    </row>
    <row r="2342" spans="2:33" ht="16">
      <c r="B2342" s="67" t="str">
        <f t="shared" si="10"/>
        <v/>
      </c>
      <c r="C2342" s="33"/>
      <c r="D2342" s="33"/>
      <c r="E2342" s="33"/>
      <c r="F2342" s="56"/>
      <c r="G2342" s="33"/>
      <c r="H2342" s="33"/>
      <c r="I2342" s="33"/>
      <c r="J2342" s="57"/>
      <c r="K2342" s="33"/>
      <c r="L2342" s="57"/>
      <c r="M2342" s="64"/>
      <c r="N2342" s="56"/>
      <c r="O2342" s="64"/>
      <c r="P2342" s="62"/>
      <c r="Q2342" s="33"/>
      <c r="R2342" s="33"/>
      <c r="S2342" s="61"/>
      <c r="T2342" s="33"/>
      <c r="U2342" s="62"/>
      <c r="W2342" s="61"/>
      <c r="X2342" s="62"/>
      <c r="AD2342" s="58"/>
      <c r="AG2342" s="64"/>
    </row>
    <row r="2343" spans="2:33" ht="16">
      <c r="B2343" s="67" t="str">
        <f t="shared" si="10"/>
        <v/>
      </c>
      <c r="C2343" s="33"/>
      <c r="D2343" s="33"/>
      <c r="E2343" s="33"/>
      <c r="F2343" s="56"/>
      <c r="G2343" s="33"/>
      <c r="H2343" s="33"/>
      <c r="I2343" s="33"/>
      <c r="J2343" s="57"/>
      <c r="K2343" s="33"/>
      <c r="L2343" s="57"/>
      <c r="M2343" s="58"/>
      <c r="N2343" s="56"/>
      <c r="O2343" s="64"/>
      <c r="P2343" s="62"/>
      <c r="Q2343" s="33"/>
      <c r="R2343" s="33"/>
      <c r="S2343" s="61"/>
      <c r="T2343" s="33"/>
      <c r="U2343" s="62"/>
      <c r="W2343" s="61"/>
      <c r="X2343" s="62"/>
      <c r="AD2343" s="58"/>
      <c r="AG2343" s="64"/>
    </row>
    <row r="2344" spans="2:33" ht="16">
      <c r="B2344" s="67" t="str">
        <f t="shared" si="10"/>
        <v/>
      </c>
      <c r="C2344" s="33"/>
      <c r="D2344" s="33"/>
      <c r="E2344" s="33"/>
      <c r="F2344" s="56"/>
      <c r="G2344" s="33"/>
      <c r="H2344" s="33"/>
      <c r="I2344" s="33"/>
      <c r="J2344" s="57"/>
      <c r="K2344" s="33"/>
      <c r="L2344" s="57"/>
      <c r="M2344" s="58"/>
      <c r="N2344" s="56"/>
      <c r="O2344" s="58"/>
      <c r="P2344" s="62"/>
      <c r="Q2344" s="33"/>
      <c r="R2344" s="33"/>
      <c r="S2344" s="61"/>
      <c r="T2344" s="33"/>
      <c r="U2344" s="62"/>
      <c r="W2344" s="61"/>
      <c r="X2344" s="62"/>
      <c r="AD2344" s="58"/>
      <c r="AG2344" s="64"/>
    </row>
    <row r="2345" spans="2:33" ht="16">
      <c r="B2345" s="67" t="str">
        <f t="shared" si="10"/>
        <v/>
      </c>
      <c r="C2345" s="33"/>
      <c r="D2345" s="33"/>
      <c r="E2345" s="33"/>
      <c r="F2345" s="56"/>
      <c r="G2345" s="33"/>
      <c r="H2345" s="33"/>
      <c r="I2345" s="33"/>
      <c r="J2345" s="57"/>
      <c r="K2345" s="33"/>
      <c r="L2345" s="57"/>
      <c r="M2345" s="64"/>
      <c r="N2345" s="56"/>
      <c r="O2345" s="64"/>
      <c r="P2345" s="62"/>
      <c r="Q2345" s="33"/>
      <c r="R2345" s="33"/>
      <c r="S2345" s="61"/>
      <c r="T2345" s="33"/>
      <c r="U2345" s="62"/>
      <c r="W2345" s="61"/>
      <c r="X2345" s="62"/>
      <c r="AD2345" s="58"/>
      <c r="AG2345" s="64"/>
    </row>
    <row r="2346" spans="2:33" ht="16">
      <c r="B2346" s="67" t="str">
        <f t="shared" si="10"/>
        <v/>
      </c>
      <c r="C2346" s="33"/>
      <c r="D2346" s="33"/>
      <c r="E2346" s="33"/>
      <c r="F2346" s="56"/>
      <c r="G2346" s="33"/>
      <c r="H2346" s="33"/>
      <c r="I2346" s="33"/>
      <c r="J2346" s="57"/>
      <c r="K2346" s="33"/>
      <c r="L2346" s="57"/>
      <c r="M2346" s="64"/>
      <c r="N2346" s="56"/>
      <c r="O2346" s="64"/>
      <c r="P2346" s="62"/>
      <c r="Q2346" s="33"/>
      <c r="R2346" s="33"/>
      <c r="S2346" s="61"/>
      <c r="T2346" s="33"/>
      <c r="U2346" s="62"/>
      <c r="W2346" s="61"/>
      <c r="X2346" s="62"/>
      <c r="AD2346" s="58"/>
      <c r="AG2346" s="64"/>
    </row>
    <row r="2347" spans="2:33" ht="16">
      <c r="B2347" s="67" t="str">
        <f t="shared" si="10"/>
        <v/>
      </c>
      <c r="C2347" s="33"/>
      <c r="D2347" s="33"/>
      <c r="E2347" s="33"/>
      <c r="F2347" s="56"/>
      <c r="G2347" s="33"/>
      <c r="H2347" s="33"/>
      <c r="I2347" s="33"/>
      <c r="J2347" s="57"/>
      <c r="K2347" s="33"/>
      <c r="L2347" s="57"/>
      <c r="M2347" s="64"/>
      <c r="N2347" s="56"/>
      <c r="O2347" s="64"/>
      <c r="P2347" s="62"/>
      <c r="Q2347" s="33"/>
      <c r="R2347" s="33"/>
      <c r="S2347" s="61"/>
      <c r="T2347" s="33"/>
      <c r="U2347" s="62"/>
      <c r="W2347" s="61"/>
      <c r="X2347" s="62"/>
      <c r="AD2347" s="58"/>
      <c r="AG2347" s="64"/>
    </row>
    <row r="2348" spans="2:33" ht="16">
      <c r="B2348" s="67" t="str">
        <f t="shared" si="10"/>
        <v/>
      </c>
      <c r="C2348" s="33"/>
      <c r="D2348" s="33"/>
      <c r="E2348" s="33"/>
      <c r="F2348" s="56"/>
      <c r="G2348" s="33"/>
      <c r="H2348" s="33"/>
      <c r="I2348" s="33"/>
      <c r="J2348" s="57"/>
      <c r="K2348" s="33"/>
      <c r="L2348" s="57"/>
      <c r="M2348" s="58"/>
      <c r="N2348" s="56"/>
      <c r="O2348" s="58"/>
      <c r="P2348" s="62"/>
      <c r="Q2348" s="33"/>
      <c r="R2348" s="33"/>
      <c r="S2348" s="61"/>
      <c r="T2348" s="33"/>
      <c r="U2348" s="62"/>
      <c r="W2348" s="61"/>
      <c r="X2348" s="62"/>
      <c r="AD2348" s="58"/>
      <c r="AG2348" s="58"/>
    </row>
    <row r="2349" spans="2:33" ht="16">
      <c r="B2349" s="67" t="str">
        <f t="shared" si="10"/>
        <v/>
      </c>
      <c r="C2349" s="33"/>
      <c r="D2349" s="33"/>
      <c r="E2349" s="33"/>
      <c r="F2349" s="56"/>
      <c r="G2349" s="33"/>
      <c r="H2349" s="33"/>
      <c r="I2349" s="33"/>
      <c r="J2349" s="57"/>
      <c r="K2349" s="33"/>
      <c r="L2349" s="57"/>
      <c r="M2349" s="64"/>
      <c r="N2349" s="56"/>
      <c r="O2349" s="64"/>
      <c r="P2349" s="62"/>
      <c r="Q2349" s="33"/>
      <c r="R2349" s="33"/>
      <c r="S2349" s="61"/>
      <c r="T2349" s="33"/>
      <c r="U2349" s="62"/>
      <c r="W2349" s="61"/>
      <c r="X2349" s="62"/>
      <c r="AD2349" s="58"/>
      <c r="AG2349" s="64"/>
    </row>
    <row r="2350" spans="2:33" ht="16">
      <c r="B2350" s="67" t="str">
        <f t="shared" si="10"/>
        <v/>
      </c>
      <c r="C2350" s="33"/>
      <c r="D2350" s="33"/>
      <c r="E2350" s="33"/>
      <c r="F2350" s="56"/>
      <c r="G2350" s="33"/>
      <c r="H2350" s="33"/>
      <c r="I2350" s="33"/>
      <c r="J2350" s="57"/>
      <c r="K2350" s="33"/>
      <c r="L2350" s="57"/>
      <c r="M2350" s="64"/>
      <c r="N2350" s="56"/>
      <c r="O2350" s="64"/>
      <c r="P2350" s="62"/>
      <c r="Q2350" s="33"/>
      <c r="R2350" s="33"/>
      <c r="S2350" s="61"/>
      <c r="T2350" s="33"/>
      <c r="U2350" s="62"/>
      <c r="W2350" s="61"/>
      <c r="X2350" s="62"/>
      <c r="AD2350" s="58"/>
      <c r="AG2350" s="58"/>
    </row>
    <row r="2351" spans="2:33" ht="16">
      <c r="B2351" s="67" t="str">
        <f t="shared" si="10"/>
        <v/>
      </c>
      <c r="C2351" s="33"/>
      <c r="D2351" s="33"/>
      <c r="E2351" s="33"/>
      <c r="F2351" s="56"/>
      <c r="G2351" s="33"/>
      <c r="H2351" s="33"/>
      <c r="I2351" s="33"/>
      <c r="J2351" s="57"/>
      <c r="K2351" s="33"/>
      <c r="L2351" s="57"/>
      <c r="M2351" s="64"/>
      <c r="N2351" s="56"/>
      <c r="O2351" s="58"/>
      <c r="P2351" s="62"/>
      <c r="Q2351" s="33"/>
      <c r="R2351" s="33"/>
      <c r="S2351" s="61"/>
      <c r="T2351" s="33"/>
      <c r="U2351" s="62"/>
      <c r="W2351" s="61"/>
      <c r="X2351" s="62"/>
      <c r="AD2351" s="58"/>
      <c r="AG2351" s="64"/>
    </row>
    <row r="2352" spans="2:33" ht="16">
      <c r="B2352" s="67" t="str">
        <f t="shared" si="10"/>
        <v/>
      </c>
      <c r="C2352" s="33"/>
      <c r="D2352" s="33"/>
      <c r="E2352" s="33"/>
      <c r="F2352" s="56"/>
      <c r="G2352" s="33"/>
      <c r="H2352" s="33"/>
      <c r="I2352" s="33"/>
      <c r="J2352" s="57"/>
      <c r="K2352" s="33"/>
      <c r="L2352" s="57"/>
      <c r="M2352" s="58"/>
      <c r="N2352" s="56"/>
      <c r="O2352" s="58"/>
      <c r="P2352" s="62"/>
      <c r="Q2352" s="33"/>
      <c r="R2352" s="33"/>
      <c r="S2352" s="61"/>
      <c r="T2352" s="33"/>
      <c r="U2352" s="62"/>
      <c r="W2352" s="61"/>
      <c r="X2352" s="62"/>
      <c r="AD2352" s="58"/>
      <c r="AG2352" s="58"/>
    </row>
    <row r="2353" spans="2:33" ht="16">
      <c r="B2353" s="67" t="str">
        <f t="shared" si="10"/>
        <v/>
      </c>
      <c r="C2353" s="33"/>
      <c r="D2353" s="33"/>
      <c r="E2353" s="33"/>
      <c r="F2353" s="56"/>
      <c r="G2353" s="33"/>
      <c r="H2353" s="33"/>
      <c r="I2353" s="33"/>
      <c r="J2353" s="57"/>
      <c r="K2353" s="33"/>
      <c r="L2353" s="57"/>
      <c r="M2353" s="58"/>
      <c r="N2353" s="56"/>
      <c r="O2353" s="58"/>
      <c r="P2353" s="62"/>
      <c r="Q2353" s="33"/>
      <c r="R2353" s="33"/>
      <c r="S2353" s="61"/>
      <c r="T2353" s="33"/>
      <c r="U2353" s="62"/>
      <c r="W2353" s="61"/>
      <c r="X2353" s="62"/>
      <c r="AD2353" s="58"/>
      <c r="AG2353" s="64"/>
    </row>
    <row r="2354" spans="2:33" ht="16">
      <c r="B2354" s="67" t="str">
        <f t="shared" si="10"/>
        <v/>
      </c>
      <c r="C2354" s="33"/>
      <c r="D2354" s="33"/>
      <c r="E2354" s="33"/>
      <c r="F2354" s="56"/>
      <c r="G2354" s="33"/>
      <c r="H2354" s="33"/>
      <c r="I2354" s="33"/>
      <c r="J2354" s="57"/>
      <c r="K2354" s="33"/>
      <c r="L2354" s="57"/>
      <c r="M2354" s="64"/>
      <c r="N2354" s="56"/>
      <c r="O2354" s="64"/>
      <c r="P2354" s="62"/>
      <c r="Q2354" s="33"/>
      <c r="R2354" s="33"/>
      <c r="S2354" s="61"/>
      <c r="T2354" s="33"/>
      <c r="U2354" s="62"/>
      <c r="W2354" s="61"/>
      <c r="X2354" s="62"/>
      <c r="AD2354" s="58"/>
      <c r="AG2354" s="64"/>
    </row>
    <row r="2355" spans="2:33" ht="16">
      <c r="B2355" s="67" t="str">
        <f t="shared" si="10"/>
        <v/>
      </c>
      <c r="C2355" s="33"/>
      <c r="D2355" s="33"/>
      <c r="E2355" s="33"/>
      <c r="F2355" s="56"/>
      <c r="G2355" s="33"/>
      <c r="H2355" s="33"/>
      <c r="I2355" s="33"/>
      <c r="J2355" s="57"/>
      <c r="K2355" s="33"/>
      <c r="L2355" s="57"/>
      <c r="M2355" s="58"/>
      <c r="N2355" s="56"/>
      <c r="O2355" s="64"/>
      <c r="P2355" s="62"/>
      <c r="Q2355" s="33"/>
      <c r="R2355" s="33"/>
      <c r="S2355" s="61"/>
      <c r="T2355" s="33"/>
      <c r="U2355" s="62"/>
      <c r="W2355" s="61"/>
      <c r="X2355" s="62"/>
      <c r="AD2355" s="58"/>
      <c r="AG2355" s="64"/>
    </row>
    <row r="2356" spans="2:33" ht="16">
      <c r="B2356" s="67" t="str">
        <f t="shared" si="10"/>
        <v/>
      </c>
      <c r="C2356" s="33"/>
      <c r="D2356" s="33"/>
      <c r="E2356" s="33"/>
      <c r="F2356" s="56"/>
      <c r="G2356" s="33"/>
      <c r="H2356" s="33"/>
      <c r="I2356" s="33"/>
      <c r="J2356" s="57"/>
      <c r="K2356" s="33"/>
      <c r="L2356" s="57"/>
      <c r="M2356" s="64"/>
      <c r="N2356" s="56"/>
      <c r="O2356" s="64"/>
      <c r="P2356" s="62"/>
      <c r="Q2356" s="33"/>
      <c r="R2356" s="33"/>
      <c r="S2356" s="61"/>
      <c r="T2356" s="33"/>
      <c r="U2356" s="62"/>
      <c r="W2356" s="61"/>
      <c r="X2356" s="62"/>
      <c r="AD2356" s="58"/>
      <c r="AG2356" s="58"/>
    </row>
    <row r="2357" spans="2:33" ht="16">
      <c r="B2357" s="67" t="str">
        <f t="shared" si="10"/>
        <v/>
      </c>
      <c r="C2357" s="33"/>
      <c r="D2357" s="33"/>
      <c r="E2357" s="33"/>
      <c r="F2357" s="56"/>
      <c r="G2357" s="33"/>
      <c r="H2357" s="33"/>
      <c r="I2357" s="33"/>
      <c r="J2357" s="57"/>
      <c r="K2357" s="33"/>
      <c r="L2357" s="57"/>
      <c r="M2357" s="64"/>
      <c r="N2357" s="56"/>
      <c r="O2357" s="58"/>
      <c r="P2357" s="62"/>
      <c r="Q2357" s="33"/>
      <c r="R2357" s="33"/>
      <c r="S2357" s="61"/>
      <c r="T2357" s="33"/>
      <c r="U2357" s="62"/>
      <c r="W2357" s="61"/>
      <c r="X2357" s="62"/>
      <c r="AD2357" s="58"/>
      <c r="AG2357" s="64"/>
    </row>
    <row r="2358" spans="2:33" ht="16">
      <c r="B2358" s="67" t="str">
        <f t="shared" si="10"/>
        <v/>
      </c>
      <c r="C2358" s="33"/>
      <c r="D2358" s="33"/>
      <c r="E2358" s="33"/>
      <c r="F2358" s="56"/>
      <c r="G2358" s="33"/>
      <c r="H2358" s="33"/>
      <c r="I2358" s="33"/>
      <c r="J2358" s="57"/>
      <c r="K2358" s="33"/>
      <c r="L2358" s="57"/>
      <c r="M2358" s="64"/>
      <c r="N2358" s="56"/>
      <c r="O2358" s="64"/>
      <c r="P2358" s="62"/>
      <c r="Q2358" s="33"/>
      <c r="R2358" s="33"/>
      <c r="S2358" s="61"/>
      <c r="T2358" s="33"/>
      <c r="U2358" s="62"/>
      <c r="W2358" s="61"/>
      <c r="X2358" s="62"/>
      <c r="AD2358" s="58"/>
      <c r="AG2358" s="64"/>
    </row>
    <row r="2359" spans="2:33" ht="16">
      <c r="B2359" s="67" t="str">
        <f t="shared" si="10"/>
        <v/>
      </c>
      <c r="C2359" s="33"/>
      <c r="D2359" s="33"/>
      <c r="E2359" s="33"/>
      <c r="F2359" s="56"/>
      <c r="G2359" s="33"/>
      <c r="H2359" s="33"/>
      <c r="I2359" s="33"/>
      <c r="J2359" s="57"/>
      <c r="K2359" s="33"/>
      <c r="L2359" s="57"/>
      <c r="M2359" s="64"/>
      <c r="N2359" s="56"/>
      <c r="O2359" s="64"/>
      <c r="P2359" s="62"/>
      <c r="Q2359" s="33"/>
      <c r="R2359" s="33"/>
      <c r="S2359" s="61"/>
      <c r="T2359" s="33"/>
      <c r="U2359" s="62"/>
      <c r="W2359" s="61"/>
      <c r="X2359" s="62"/>
      <c r="AD2359" s="58"/>
      <c r="AG2359" s="58"/>
    </row>
    <row r="2360" spans="2:33" ht="16">
      <c r="B2360" s="67" t="str">
        <f t="shared" si="10"/>
        <v/>
      </c>
      <c r="C2360" s="33"/>
      <c r="D2360" s="33"/>
      <c r="E2360" s="33"/>
      <c r="F2360" s="56"/>
      <c r="G2360" s="33"/>
      <c r="H2360" s="33"/>
      <c r="I2360" s="33"/>
      <c r="J2360" s="57"/>
      <c r="K2360" s="33"/>
      <c r="L2360" s="57"/>
      <c r="M2360" s="64"/>
      <c r="N2360" s="56"/>
      <c r="O2360" s="64"/>
      <c r="P2360" s="62"/>
      <c r="Q2360" s="33"/>
      <c r="R2360" s="33"/>
      <c r="S2360" s="61"/>
      <c r="T2360" s="33"/>
      <c r="U2360" s="62"/>
      <c r="W2360" s="61"/>
      <c r="X2360" s="62"/>
      <c r="AD2360" s="64"/>
      <c r="AG2360" s="64"/>
    </row>
    <row r="2361" spans="2:33" ht="16">
      <c r="B2361" s="67" t="str">
        <f t="shared" si="10"/>
        <v/>
      </c>
      <c r="C2361" s="33"/>
      <c r="D2361" s="33"/>
      <c r="E2361" s="33"/>
      <c r="F2361" s="56"/>
      <c r="G2361" s="33"/>
      <c r="H2361" s="33"/>
      <c r="I2361" s="33"/>
      <c r="J2361" s="57"/>
      <c r="K2361" s="33"/>
      <c r="L2361" s="57"/>
      <c r="M2361" s="64"/>
      <c r="N2361" s="56"/>
      <c r="O2361" s="64"/>
      <c r="P2361" s="62"/>
      <c r="Q2361" s="33"/>
      <c r="R2361" s="33"/>
      <c r="S2361" s="61"/>
      <c r="T2361" s="33"/>
      <c r="U2361" s="62"/>
      <c r="W2361" s="61"/>
      <c r="X2361" s="62"/>
      <c r="AD2361" s="64"/>
      <c r="AG2361" s="64"/>
    </row>
    <row r="2362" spans="2:33" ht="16">
      <c r="B2362" s="67" t="str">
        <f t="shared" si="10"/>
        <v/>
      </c>
      <c r="C2362" s="33"/>
      <c r="D2362" s="33"/>
      <c r="E2362" s="33"/>
      <c r="F2362" s="56"/>
      <c r="G2362" s="33"/>
      <c r="H2362" s="33"/>
      <c r="I2362" s="33"/>
      <c r="J2362" s="57"/>
      <c r="K2362" s="33"/>
      <c r="L2362" s="57"/>
      <c r="M2362" s="64"/>
      <c r="N2362" s="56"/>
      <c r="O2362" s="64"/>
      <c r="P2362" s="62"/>
      <c r="Q2362" s="33"/>
      <c r="R2362" s="33"/>
      <c r="S2362" s="61"/>
      <c r="T2362" s="33"/>
      <c r="U2362" s="62"/>
      <c r="W2362" s="61"/>
      <c r="X2362" s="62"/>
      <c r="AD2362" s="58"/>
      <c r="AG2362" s="64"/>
    </row>
    <row r="2363" spans="2:33" ht="16">
      <c r="B2363" s="67" t="str">
        <f t="shared" si="10"/>
        <v/>
      </c>
      <c r="C2363" s="33"/>
      <c r="D2363" s="33"/>
      <c r="E2363" s="33"/>
      <c r="F2363" s="56"/>
      <c r="G2363" s="33"/>
      <c r="H2363" s="33"/>
      <c r="I2363" s="33"/>
      <c r="J2363" s="57"/>
      <c r="K2363" s="33"/>
      <c r="L2363" s="57"/>
      <c r="M2363" s="64"/>
      <c r="N2363" s="56"/>
      <c r="O2363" s="64"/>
      <c r="P2363" s="62"/>
      <c r="Q2363" s="33"/>
      <c r="R2363" s="33"/>
      <c r="S2363" s="61"/>
      <c r="T2363" s="33"/>
      <c r="U2363" s="62"/>
      <c r="W2363" s="61"/>
      <c r="X2363" s="62"/>
      <c r="AD2363" s="58"/>
      <c r="AG2363" s="64"/>
    </row>
    <row r="2364" spans="2:33" ht="16">
      <c r="B2364" s="67" t="str">
        <f t="shared" si="10"/>
        <v/>
      </c>
      <c r="C2364" s="33"/>
      <c r="D2364" s="33"/>
      <c r="E2364" s="33"/>
      <c r="F2364" s="56"/>
      <c r="G2364" s="33"/>
      <c r="H2364" s="33"/>
      <c r="I2364" s="33"/>
      <c r="J2364" s="57"/>
      <c r="K2364" s="33"/>
      <c r="L2364" s="57"/>
      <c r="M2364" s="64"/>
      <c r="N2364" s="56"/>
      <c r="O2364" s="64"/>
      <c r="P2364" s="62"/>
      <c r="Q2364" s="33"/>
      <c r="R2364" s="33"/>
      <c r="S2364" s="61"/>
      <c r="T2364" s="33"/>
      <c r="U2364" s="62"/>
      <c r="W2364" s="61"/>
      <c r="X2364" s="62"/>
      <c r="AD2364" s="64"/>
      <c r="AG2364" s="64"/>
    </row>
    <row r="2365" spans="2:33" ht="16">
      <c r="B2365" s="67" t="str">
        <f t="shared" si="10"/>
        <v/>
      </c>
      <c r="C2365" s="33"/>
      <c r="D2365" s="33"/>
      <c r="E2365" s="33"/>
      <c r="F2365" s="56"/>
      <c r="G2365" s="33"/>
      <c r="H2365" s="33"/>
      <c r="I2365" s="33"/>
      <c r="J2365" s="57"/>
      <c r="K2365" s="33"/>
      <c r="L2365" s="57"/>
      <c r="M2365" s="64"/>
      <c r="N2365" s="56"/>
      <c r="O2365" s="64"/>
      <c r="P2365" s="62"/>
      <c r="Q2365" s="33"/>
      <c r="R2365" s="33"/>
      <c r="S2365" s="61"/>
      <c r="T2365" s="33"/>
      <c r="U2365" s="62"/>
      <c r="W2365" s="61"/>
      <c r="X2365" s="62"/>
      <c r="AD2365" s="58"/>
      <c r="AG2365" s="64"/>
    </row>
    <row r="2366" spans="2:33" ht="16">
      <c r="B2366" s="67" t="str">
        <f t="shared" si="10"/>
        <v/>
      </c>
      <c r="C2366" s="33"/>
      <c r="D2366" s="33"/>
      <c r="E2366" s="33"/>
      <c r="F2366" s="56"/>
      <c r="G2366" s="33"/>
      <c r="H2366" s="33"/>
      <c r="I2366" s="33"/>
      <c r="J2366" s="57"/>
      <c r="K2366" s="33"/>
      <c r="L2366" s="57"/>
      <c r="M2366" s="64"/>
      <c r="N2366" s="56"/>
      <c r="O2366" s="64"/>
      <c r="P2366" s="62"/>
      <c r="Q2366" s="33"/>
      <c r="R2366" s="33"/>
      <c r="S2366" s="61"/>
      <c r="T2366" s="33"/>
      <c r="U2366" s="62"/>
      <c r="W2366" s="61"/>
      <c r="X2366" s="62"/>
      <c r="AD2366" s="64"/>
      <c r="AG2366" s="58"/>
    </row>
    <row r="2367" spans="2:33" ht="16">
      <c r="B2367" s="67" t="str">
        <f t="shared" si="10"/>
        <v/>
      </c>
      <c r="C2367" s="64"/>
      <c r="D2367" s="33"/>
      <c r="E2367" s="33"/>
      <c r="F2367" s="56"/>
      <c r="G2367" s="33"/>
      <c r="H2367" s="33"/>
      <c r="I2367" s="33"/>
      <c r="J2367" s="57"/>
      <c r="K2367" s="33"/>
      <c r="L2367" s="57"/>
      <c r="M2367" s="64"/>
      <c r="N2367" s="56"/>
      <c r="O2367" s="64"/>
      <c r="P2367" s="62"/>
      <c r="Q2367" s="33"/>
      <c r="R2367" s="33"/>
      <c r="S2367" s="61"/>
      <c r="T2367" s="33"/>
      <c r="U2367" s="62"/>
      <c r="W2367" s="61"/>
      <c r="X2367" s="62"/>
      <c r="AD2367" s="64"/>
      <c r="AG2367" s="58"/>
    </row>
    <row r="2368" spans="2:33" ht="16">
      <c r="B2368" s="67" t="str">
        <f t="shared" si="10"/>
        <v/>
      </c>
      <c r="C2368" s="33"/>
      <c r="D2368" s="33"/>
      <c r="E2368" s="33"/>
      <c r="F2368" s="56"/>
      <c r="G2368" s="33"/>
      <c r="H2368" s="33"/>
      <c r="I2368" s="33"/>
      <c r="J2368" s="57"/>
      <c r="K2368" s="33"/>
      <c r="L2368" s="57"/>
      <c r="M2368" s="64"/>
      <c r="N2368" s="56"/>
      <c r="O2368" s="64"/>
      <c r="P2368" s="62"/>
      <c r="Q2368" s="33"/>
      <c r="R2368" s="33"/>
      <c r="S2368" s="61"/>
      <c r="T2368" s="33"/>
      <c r="U2368" s="62"/>
      <c r="W2368" s="61"/>
      <c r="X2368" s="62"/>
      <c r="AD2368" s="64"/>
      <c r="AG2368" s="58"/>
    </row>
    <row r="2369" spans="2:33" ht="16">
      <c r="B2369" s="67" t="str">
        <f t="shared" si="10"/>
        <v/>
      </c>
      <c r="C2369" s="33"/>
      <c r="D2369" s="33"/>
      <c r="E2369" s="33"/>
      <c r="F2369" s="56"/>
      <c r="G2369" s="33"/>
      <c r="H2369" s="33"/>
      <c r="I2369" s="33"/>
      <c r="J2369" s="57"/>
      <c r="K2369" s="33"/>
      <c r="L2369" s="57"/>
      <c r="M2369" s="64"/>
      <c r="N2369" s="56"/>
      <c r="O2369" s="64"/>
      <c r="P2369" s="62"/>
      <c r="Q2369" s="33"/>
      <c r="R2369" s="33"/>
      <c r="S2369" s="61"/>
      <c r="T2369" s="33"/>
      <c r="U2369" s="62"/>
      <c r="W2369" s="61"/>
      <c r="X2369" s="62"/>
      <c r="AD2369" s="58"/>
      <c r="AG2369" s="58"/>
    </row>
    <row r="2370" spans="2:33" ht="16">
      <c r="B2370" s="67" t="str">
        <f t="shared" si="10"/>
        <v/>
      </c>
      <c r="C2370" s="33"/>
      <c r="D2370" s="33"/>
      <c r="E2370" s="33"/>
      <c r="F2370" s="56"/>
      <c r="G2370" s="33"/>
      <c r="H2370" s="33"/>
      <c r="I2370" s="33"/>
      <c r="J2370" s="57"/>
      <c r="K2370" s="33"/>
      <c r="L2370" s="57"/>
      <c r="M2370" s="64"/>
      <c r="N2370" s="56"/>
      <c r="O2370" s="64"/>
      <c r="P2370" s="62"/>
      <c r="Q2370" s="33"/>
      <c r="R2370" s="33"/>
      <c r="S2370" s="61"/>
      <c r="T2370" s="33"/>
      <c r="U2370" s="62"/>
      <c r="W2370" s="61"/>
      <c r="X2370" s="62"/>
      <c r="AD2370" s="64"/>
      <c r="AG2370" s="58"/>
    </row>
    <row r="2371" spans="2:33" ht="16">
      <c r="B2371" s="67" t="str">
        <f t="shared" si="10"/>
        <v/>
      </c>
      <c r="C2371" s="33"/>
      <c r="D2371" s="33"/>
      <c r="E2371" s="33"/>
      <c r="F2371" s="56"/>
      <c r="G2371" s="33"/>
      <c r="H2371" s="33"/>
      <c r="I2371" s="33"/>
      <c r="J2371" s="57"/>
      <c r="K2371" s="33"/>
      <c r="L2371" s="57"/>
      <c r="M2371" s="64"/>
      <c r="N2371" s="56"/>
      <c r="O2371" s="64"/>
      <c r="P2371" s="62"/>
      <c r="Q2371" s="33"/>
      <c r="R2371" s="33"/>
      <c r="S2371" s="61"/>
      <c r="T2371" s="33"/>
      <c r="U2371" s="62"/>
      <c r="W2371" s="61"/>
      <c r="X2371" s="62"/>
      <c r="AD2371" s="58"/>
      <c r="AG2371" s="64"/>
    </row>
    <row r="2372" spans="2:33" ht="16">
      <c r="B2372" s="67" t="str">
        <f t="shared" si="10"/>
        <v/>
      </c>
      <c r="C2372" s="33"/>
      <c r="D2372" s="33"/>
      <c r="E2372" s="33"/>
      <c r="F2372" s="56"/>
      <c r="G2372" s="33"/>
      <c r="H2372" s="33"/>
      <c r="I2372" s="33"/>
      <c r="J2372" s="57"/>
      <c r="K2372" s="33"/>
      <c r="L2372" s="57"/>
      <c r="M2372" s="64"/>
      <c r="N2372" s="56"/>
      <c r="O2372" s="58"/>
      <c r="P2372" s="62"/>
      <c r="Q2372" s="33"/>
      <c r="R2372" s="33"/>
      <c r="S2372" s="61"/>
      <c r="T2372" s="33"/>
      <c r="U2372" s="62"/>
      <c r="W2372" s="61"/>
      <c r="X2372" s="62"/>
      <c r="AD2372" s="64"/>
      <c r="AG2372" s="64"/>
    </row>
    <row r="2373" spans="2:33" ht="16">
      <c r="B2373" s="67" t="str">
        <f t="shared" si="10"/>
        <v/>
      </c>
      <c r="C2373" s="33"/>
      <c r="D2373" s="33"/>
      <c r="E2373" s="33"/>
      <c r="F2373" s="56"/>
      <c r="G2373" s="33"/>
      <c r="H2373" s="33"/>
      <c r="I2373" s="33"/>
      <c r="J2373" s="57"/>
      <c r="K2373" s="33"/>
      <c r="L2373" s="57"/>
      <c r="M2373" s="64"/>
      <c r="N2373" s="56"/>
      <c r="O2373" s="64"/>
      <c r="P2373" s="62"/>
      <c r="Q2373" s="33"/>
      <c r="R2373" s="33"/>
      <c r="S2373" s="61"/>
      <c r="T2373" s="33"/>
      <c r="U2373" s="62"/>
      <c r="W2373" s="61"/>
      <c r="X2373" s="62"/>
      <c r="AD2373" s="58"/>
      <c r="AG2373" s="64"/>
    </row>
    <row r="2374" spans="2:33" ht="16">
      <c r="B2374" s="67" t="str">
        <f t="shared" si="10"/>
        <v/>
      </c>
      <c r="C2374" s="33"/>
      <c r="D2374" s="33"/>
      <c r="E2374" s="33"/>
      <c r="F2374" s="56"/>
      <c r="G2374" s="33"/>
      <c r="H2374" s="33"/>
      <c r="I2374" s="33"/>
      <c r="J2374" s="57"/>
      <c r="K2374" s="33"/>
      <c r="L2374" s="57"/>
      <c r="M2374" s="64"/>
      <c r="N2374" s="56"/>
      <c r="O2374" s="64"/>
      <c r="P2374" s="62"/>
      <c r="Q2374" s="33"/>
      <c r="R2374" s="33"/>
      <c r="S2374" s="61"/>
      <c r="T2374" s="33"/>
      <c r="U2374" s="62"/>
      <c r="W2374" s="61"/>
      <c r="X2374" s="62"/>
      <c r="AD2374" s="64"/>
      <c r="AG2374" s="64"/>
    </row>
    <row r="2375" spans="2:33" ht="16">
      <c r="B2375" s="67" t="str">
        <f t="shared" si="10"/>
        <v/>
      </c>
      <c r="C2375" s="33"/>
      <c r="D2375" s="33"/>
      <c r="E2375" s="33"/>
      <c r="F2375" s="56"/>
      <c r="G2375" s="33"/>
      <c r="H2375" s="33"/>
      <c r="I2375" s="33"/>
      <c r="J2375" s="57"/>
      <c r="K2375" s="33"/>
      <c r="L2375" s="57"/>
      <c r="M2375" s="64"/>
      <c r="N2375" s="56"/>
      <c r="O2375" s="64"/>
      <c r="P2375" s="62"/>
      <c r="Q2375" s="33"/>
      <c r="R2375" s="33"/>
      <c r="S2375" s="61"/>
      <c r="T2375" s="33"/>
      <c r="U2375" s="62"/>
      <c r="W2375" s="61"/>
      <c r="X2375" s="62"/>
      <c r="AD2375" s="64"/>
      <c r="AG2375" s="64"/>
    </row>
    <row r="2376" spans="2:33" ht="16">
      <c r="B2376" s="67" t="str">
        <f t="shared" si="10"/>
        <v/>
      </c>
      <c r="C2376" s="33"/>
      <c r="D2376" s="33"/>
      <c r="E2376" s="33"/>
      <c r="F2376" s="56"/>
      <c r="G2376" s="33"/>
      <c r="H2376" s="33"/>
      <c r="I2376" s="33"/>
      <c r="J2376" s="57"/>
      <c r="K2376" s="33"/>
      <c r="L2376" s="57"/>
      <c r="M2376" s="64"/>
      <c r="N2376" s="56"/>
      <c r="O2376" s="64"/>
      <c r="P2376" s="62"/>
      <c r="Q2376" s="33"/>
      <c r="R2376" s="33"/>
      <c r="S2376" s="61"/>
      <c r="T2376" s="33"/>
      <c r="U2376" s="62"/>
      <c r="W2376" s="61"/>
      <c r="X2376" s="62"/>
      <c r="AD2376" s="58"/>
      <c r="AG2376" s="64"/>
    </row>
    <row r="2377" spans="2:33" ht="16">
      <c r="B2377" s="67" t="str">
        <f t="shared" si="10"/>
        <v/>
      </c>
      <c r="C2377" s="33"/>
      <c r="D2377" s="33"/>
      <c r="E2377" s="33"/>
      <c r="F2377" s="56"/>
      <c r="G2377" s="33"/>
      <c r="H2377" s="33"/>
      <c r="I2377" s="33"/>
      <c r="J2377" s="57"/>
      <c r="K2377" s="33"/>
      <c r="L2377" s="57"/>
      <c r="M2377" s="64"/>
      <c r="N2377" s="56"/>
      <c r="O2377" s="64"/>
      <c r="P2377" s="62"/>
      <c r="Q2377" s="33"/>
      <c r="R2377" s="33"/>
      <c r="S2377" s="61"/>
      <c r="T2377" s="33"/>
      <c r="U2377" s="62"/>
      <c r="W2377" s="61"/>
      <c r="X2377" s="62"/>
      <c r="AD2377" s="58"/>
      <c r="AG2377" s="64"/>
    </row>
    <row r="2378" spans="2:33" ht="16">
      <c r="B2378" s="67" t="str">
        <f t="shared" si="10"/>
        <v/>
      </c>
      <c r="C2378" s="33"/>
      <c r="D2378" s="33"/>
      <c r="E2378" s="33"/>
      <c r="F2378" s="56"/>
      <c r="G2378" s="33"/>
      <c r="H2378" s="33"/>
      <c r="I2378" s="33"/>
      <c r="J2378" s="57"/>
      <c r="K2378" s="33"/>
      <c r="L2378" s="57"/>
      <c r="M2378" s="64"/>
      <c r="N2378" s="56"/>
      <c r="O2378" s="64"/>
      <c r="P2378" s="62"/>
      <c r="Q2378" s="33"/>
      <c r="R2378" s="33"/>
      <c r="S2378" s="61"/>
      <c r="T2378" s="33"/>
      <c r="U2378" s="62"/>
      <c r="W2378" s="61"/>
      <c r="X2378" s="62"/>
      <c r="AD2378" s="64"/>
      <c r="AG2378" s="64"/>
    </row>
    <row r="2379" spans="2:33" ht="16">
      <c r="B2379" s="67" t="str">
        <f t="shared" si="10"/>
        <v/>
      </c>
      <c r="C2379" s="33"/>
      <c r="D2379" s="33"/>
      <c r="E2379" s="33"/>
      <c r="F2379" s="56"/>
      <c r="G2379" s="33"/>
      <c r="H2379" s="33"/>
      <c r="I2379" s="33"/>
      <c r="J2379" s="57"/>
      <c r="K2379" s="33"/>
      <c r="L2379" s="57"/>
      <c r="M2379" s="58"/>
      <c r="N2379" s="56"/>
      <c r="O2379" s="64"/>
      <c r="P2379" s="62"/>
      <c r="Q2379" s="33"/>
      <c r="R2379" s="33"/>
      <c r="S2379" s="61"/>
      <c r="T2379" s="33"/>
      <c r="U2379" s="62"/>
      <c r="W2379" s="61"/>
      <c r="X2379" s="62"/>
      <c r="AD2379" s="64"/>
      <c r="AG2379" s="64"/>
    </row>
    <row r="2380" spans="2:33" ht="16">
      <c r="B2380" s="67" t="str">
        <f t="shared" si="10"/>
        <v/>
      </c>
      <c r="C2380" s="33"/>
      <c r="D2380" s="33"/>
      <c r="E2380" s="33"/>
      <c r="F2380" s="56"/>
      <c r="G2380" s="33"/>
      <c r="H2380" s="33"/>
      <c r="I2380" s="33"/>
      <c r="J2380" s="57"/>
      <c r="K2380" s="33"/>
      <c r="L2380" s="57"/>
      <c r="M2380" s="64"/>
      <c r="N2380" s="56"/>
      <c r="O2380" s="64"/>
      <c r="P2380" s="62"/>
      <c r="Q2380" s="33"/>
      <c r="R2380" s="33"/>
      <c r="S2380" s="61"/>
      <c r="T2380" s="33"/>
      <c r="U2380" s="62"/>
      <c r="W2380" s="61"/>
      <c r="X2380" s="62"/>
      <c r="AD2380" s="64"/>
      <c r="AG2380" s="64"/>
    </row>
    <row r="2381" spans="2:33" ht="16">
      <c r="B2381" s="67" t="str">
        <f t="shared" si="10"/>
        <v/>
      </c>
      <c r="C2381" s="33"/>
      <c r="D2381" s="33"/>
      <c r="E2381" s="33"/>
      <c r="F2381" s="56"/>
      <c r="G2381" s="33"/>
      <c r="H2381" s="33"/>
      <c r="I2381" s="33"/>
      <c r="J2381" s="57"/>
      <c r="K2381" s="33"/>
      <c r="L2381" s="57"/>
      <c r="M2381" s="64"/>
      <c r="N2381" s="56"/>
      <c r="O2381" s="58"/>
      <c r="P2381" s="62"/>
      <c r="Q2381" s="33"/>
      <c r="R2381" s="33"/>
      <c r="S2381" s="61"/>
      <c r="T2381" s="33"/>
      <c r="U2381" s="62"/>
      <c r="W2381" s="61"/>
      <c r="X2381" s="62"/>
      <c r="AD2381" s="64"/>
      <c r="AG2381" s="64"/>
    </row>
    <row r="2382" spans="2:33" ht="16">
      <c r="B2382" s="67" t="str">
        <f t="shared" si="10"/>
        <v/>
      </c>
      <c r="C2382" s="33"/>
      <c r="D2382" s="33"/>
      <c r="E2382" s="33"/>
      <c r="F2382" s="56"/>
      <c r="G2382" s="33"/>
      <c r="H2382" s="33"/>
      <c r="I2382" s="33"/>
      <c r="J2382" s="57"/>
      <c r="K2382" s="33"/>
      <c r="L2382" s="57"/>
      <c r="M2382" s="64"/>
      <c r="N2382" s="56"/>
      <c r="O2382" s="64"/>
      <c r="P2382" s="62"/>
      <c r="Q2382" s="33"/>
      <c r="R2382" s="33"/>
      <c r="S2382" s="61"/>
      <c r="T2382" s="33"/>
      <c r="U2382" s="62"/>
      <c r="W2382" s="61"/>
      <c r="X2382" s="62"/>
      <c r="AD2382" s="64"/>
      <c r="AG2382" s="64"/>
    </row>
    <row r="2383" spans="2:33" ht="16">
      <c r="B2383" s="67" t="str">
        <f t="shared" si="10"/>
        <v/>
      </c>
      <c r="C2383" s="33"/>
      <c r="D2383" s="33"/>
      <c r="E2383" s="33"/>
      <c r="F2383" s="56"/>
      <c r="G2383" s="33"/>
      <c r="H2383" s="33"/>
      <c r="I2383" s="33"/>
      <c r="J2383" s="57"/>
      <c r="K2383" s="33"/>
      <c r="L2383" s="57"/>
      <c r="M2383" s="64"/>
      <c r="N2383" s="56"/>
      <c r="O2383" s="64"/>
      <c r="P2383" s="62"/>
      <c r="Q2383" s="33"/>
      <c r="R2383" s="33"/>
      <c r="S2383" s="61"/>
      <c r="T2383" s="33"/>
      <c r="U2383" s="62"/>
      <c r="W2383" s="61"/>
      <c r="X2383" s="62"/>
      <c r="AD2383" s="64"/>
      <c r="AG2383" s="64"/>
    </row>
    <row r="2384" spans="2:33" ht="16">
      <c r="B2384" s="67" t="str">
        <f t="shared" si="10"/>
        <v/>
      </c>
      <c r="C2384" s="33"/>
      <c r="D2384" s="33"/>
      <c r="E2384" s="33"/>
      <c r="F2384" s="56"/>
      <c r="G2384" s="33"/>
      <c r="H2384" s="33"/>
      <c r="I2384" s="33"/>
      <c r="J2384" s="57"/>
      <c r="K2384" s="33"/>
      <c r="L2384" s="57"/>
      <c r="M2384" s="64"/>
      <c r="N2384" s="56"/>
      <c r="O2384" s="64"/>
      <c r="P2384" s="62"/>
      <c r="Q2384" s="33"/>
      <c r="R2384" s="33"/>
      <c r="S2384" s="61"/>
      <c r="T2384" s="33"/>
      <c r="U2384" s="62"/>
      <c r="W2384" s="61"/>
      <c r="X2384" s="62"/>
      <c r="AD2384" s="64"/>
      <c r="AG2384" s="64"/>
    </row>
    <row r="2385" spans="2:33" ht="16">
      <c r="B2385" s="67" t="str">
        <f t="shared" si="10"/>
        <v/>
      </c>
      <c r="C2385" s="64"/>
      <c r="D2385" s="33"/>
      <c r="E2385" s="33"/>
      <c r="F2385" s="56"/>
      <c r="G2385" s="33"/>
      <c r="H2385" s="33"/>
      <c r="I2385" s="33"/>
      <c r="J2385" s="57"/>
      <c r="K2385" s="33"/>
      <c r="L2385" s="57"/>
      <c r="M2385" s="58"/>
      <c r="N2385" s="56"/>
      <c r="O2385" s="64"/>
      <c r="P2385" s="62"/>
      <c r="Q2385" s="33"/>
      <c r="R2385" s="33"/>
      <c r="S2385" s="61"/>
      <c r="T2385" s="33"/>
      <c r="U2385" s="62"/>
      <c r="W2385" s="61"/>
      <c r="X2385" s="62"/>
      <c r="AD2385" s="58"/>
      <c r="AG2385" s="64"/>
    </row>
    <row r="2386" spans="2:33" ht="16">
      <c r="B2386" s="67" t="str">
        <f t="shared" si="10"/>
        <v/>
      </c>
      <c r="C2386" s="33"/>
      <c r="D2386" s="33"/>
      <c r="E2386" s="33"/>
      <c r="F2386" s="56"/>
      <c r="G2386" s="33"/>
      <c r="H2386" s="33"/>
      <c r="I2386" s="33"/>
      <c r="J2386" s="57"/>
      <c r="K2386" s="33"/>
      <c r="L2386" s="57"/>
      <c r="M2386" s="64"/>
      <c r="N2386" s="56"/>
      <c r="O2386" s="64"/>
      <c r="P2386" s="62"/>
      <c r="Q2386" s="33"/>
      <c r="R2386" s="33"/>
      <c r="S2386" s="61"/>
      <c r="T2386" s="33"/>
      <c r="U2386" s="62"/>
      <c r="W2386" s="61"/>
      <c r="X2386" s="62"/>
      <c r="AD2386" s="64"/>
      <c r="AG2386" s="64"/>
    </row>
    <row r="2387" spans="2:33" ht="16">
      <c r="B2387" s="67" t="str">
        <f t="shared" si="10"/>
        <v/>
      </c>
      <c r="C2387" s="33"/>
      <c r="D2387" s="33"/>
      <c r="E2387" s="33"/>
      <c r="F2387" s="56"/>
      <c r="G2387" s="33"/>
      <c r="H2387" s="33"/>
      <c r="I2387" s="33"/>
      <c r="J2387" s="57"/>
      <c r="K2387" s="33"/>
      <c r="L2387" s="57"/>
      <c r="M2387" s="64"/>
      <c r="N2387" s="56"/>
      <c r="O2387" s="64"/>
      <c r="P2387" s="62"/>
      <c r="Q2387" s="33"/>
      <c r="R2387" s="33"/>
      <c r="S2387" s="61"/>
      <c r="T2387" s="33"/>
      <c r="U2387" s="62"/>
      <c r="W2387" s="61"/>
      <c r="X2387" s="62"/>
      <c r="AD2387" s="64"/>
      <c r="AG2387" s="58"/>
    </row>
    <row r="2388" spans="2:33" ht="16">
      <c r="B2388" s="67" t="str">
        <f t="shared" si="10"/>
        <v/>
      </c>
      <c r="C2388" s="33"/>
      <c r="D2388" s="33"/>
      <c r="E2388" s="33"/>
      <c r="F2388" s="56"/>
      <c r="G2388" s="33"/>
      <c r="H2388" s="33"/>
      <c r="I2388" s="33"/>
      <c r="J2388" s="57"/>
      <c r="K2388" s="33"/>
      <c r="L2388" s="57"/>
      <c r="M2388" s="64"/>
      <c r="N2388" s="56"/>
      <c r="O2388" s="64"/>
      <c r="P2388" s="62"/>
      <c r="Q2388" s="33"/>
      <c r="R2388" s="33"/>
      <c r="S2388" s="61"/>
      <c r="T2388" s="33"/>
      <c r="U2388" s="62"/>
      <c r="W2388" s="61"/>
      <c r="X2388" s="62"/>
      <c r="AD2388" s="58"/>
      <c r="AG2388" s="64"/>
    </row>
    <row r="2389" spans="2:33" ht="16">
      <c r="B2389" s="67" t="str">
        <f t="shared" si="10"/>
        <v/>
      </c>
      <c r="C2389" s="33"/>
      <c r="D2389" s="33"/>
      <c r="E2389" s="33"/>
      <c r="F2389" s="56"/>
      <c r="G2389" s="33"/>
      <c r="H2389" s="33"/>
      <c r="I2389" s="33"/>
      <c r="J2389" s="57"/>
      <c r="K2389" s="33"/>
      <c r="L2389" s="57"/>
      <c r="M2389" s="64"/>
      <c r="N2389" s="56"/>
      <c r="O2389" s="64"/>
      <c r="P2389" s="62"/>
      <c r="Q2389" s="33"/>
      <c r="R2389" s="33"/>
      <c r="S2389" s="61"/>
      <c r="T2389" s="33"/>
      <c r="U2389" s="62"/>
      <c r="W2389" s="61"/>
      <c r="X2389" s="62"/>
      <c r="AD2389" s="58"/>
      <c r="AG2389" s="58"/>
    </row>
    <row r="2390" spans="2:33" ht="16">
      <c r="B2390" s="67" t="str">
        <f t="shared" si="10"/>
        <v/>
      </c>
      <c r="C2390" s="33"/>
      <c r="D2390" s="33"/>
      <c r="E2390" s="33"/>
      <c r="F2390" s="56"/>
      <c r="G2390" s="33"/>
      <c r="H2390" s="33"/>
      <c r="I2390" s="33"/>
      <c r="J2390" s="57"/>
      <c r="K2390" s="33"/>
      <c r="L2390" s="57"/>
      <c r="M2390" s="64"/>
      <c r="N2390" s="56"/>
      <c r="O2390" s="64"/>
      <c r="P2390" s="62"/>
      <c r="Q2390" s="33"/>
      <c r="R2390" s="33"/>
      <c r="S2390" s="61"/>
      <c r="T2390" s="33"/>
      <c r="U2390" s="62"/>
      <c r="W2390" s="61"/>
      <c r="X2390" s="62"/>
      <c r="AD2390" s="58"/>
      <c r="AG2390" s="64"/>
    </row>
    <row r="2391" spans="2:33" ht="16">
      <c r="B2391" s="67" t="str">
        <f t="shared" si="10"/>
        <v/>
      </c>
      <c r="C2391" s="33"/>
      <c r="D2391" s="33"/>
      <c r="E2391" s="33"/>
      <c r="F2391" s="56"/>
      <c r="G2391" s="33"/>
      <c r="H2391" s="33"/>
      <c r="I2391" s="33"/>
      <c r="J2391" s="57"/>
      <c r="K2391" s="33"/>
      <c r="L2391" s="57"/>
      <c r="M2391" s="64"/>
      <c r="N2391" s="56"/>
      <c r="O2391" s="64"/>
      <c r="P2391" s="62"/>
      <c r="Q2391" s="33"/>
      <c r="R2391" s="33"/>
      <c r="S2391" s="61"/>
      <c r="T2391" s="33"/>
      <c r="U2391" s="62"/>
      <c r="W2391" s="61"/>
      <c r="X2391" s="62"/>
      <c r="AD2391" s="64"/>
      <c r="AG2391" s="64"/>
    </row>
    <row r="2392" spans="2:33" ht="16">
      <c r="B2392" s="67" t="str">
        <f t="shared" si="10"/>
        <v/>
      </c>
      <c r="C2392" s="33"/>
      <c r="D2392" s="33"/>
      <c r="E2392" s="33"/>
      <c r="F2392" s="56"/>
      <c r="G2392" s="33"/>
      <c r="H2392" s="33"/>
      <c r="I2392" s="33"/>
      <c r="J2392" s="57"/>
      <c r="K2392" s="33"/>
      <c r="L2392" s="57"/>
      <c r="M2392" s="64"/>
      <c r="N2392" s="56"/>
      <c r="O2392" s="64"/>
      <c r="P2392" s="62"/>
      <c r="Q2392" s="33"/>
      <c r="R2392" s="33"/>
      <c r="S2392" s="61"/>
      <c r="T2392" s="33"/>
      <c r="U2392" s="62"/>
      <c r="W2392" s="61"/>
      <c r="X2392" s="62"/>
      <c r="AD2392" s="64"/>
      <c r="AG2392" s="64"/>
    </row>
    <row r="2393" spans="2:33" ht="16">
      <c r="B2393" s="67" t="str">
        <f t="shared" si="10"/>
        <v/>
      </c>
      <c r="C2393" s="33"/>
      <c r="D2393" s="33"/>
      <c r="E2393" s="33"/>
      <c r="F2393" s="56"/>
      <c r="G2393" s="33"/>
      <c r="H2393" s="33"/>
      <c r="I2393" s="33"/>
      <c r="J2393" s="57"/>
      <c r="K2393" s="33"/>
      <c r="L2393" s="57"/>
      <c r="M2393" s="58"/>
      <c r="N2393" s="56"/>
      <c r="O2393" s="58"/>
      <c r="P2393" s="62"/>
      <c r="Q2393" s="33"/>
      <c r="R2393" s="33"/>
      <c r="S2393" s="61"/>
      <c r="T2393" s="33"/>
      <c r="U2393" s="62"/>
      <c r="W2393" s="61"/>
      <c r="X2393" s="62"/>
      <c r="AD2393" s="58"/>
      <c r="AG2393" s="64"/>
    </row>
    <row r="2394" spans="2:33" ht="16">
      <c r="B2394" s="67" t="str">
        <f t="shared" si="10"/>
        <v/>
      </c>
      <c r="C2394" s="33"/>
      <c r="D2394" s="33"/>
      <c r="E2394" s="33"/>
      <c r="F2394" s="56"/>
      <c r="G2394" s="33"/>
      <c r="H2394" s="33"/>
      <c r="I2394" s="33"/>
      <c r="J2394" s="57"/>
      <c r="K2394" s="33"/>
      <c r="L2394" s="57"/>
      <c r="M2394" s="64"/>
      <c r="N2394" s="56"/>
      <c r="O2394" s="64"/>
      <c r="P2394" s="62"/>
      <c r="Q2394" s="33"/>
      <c r="R2394" s="33"/>
      <c r="S2394" s="61"/>
      <c r="T2394" s="33"/>
      <c r="U2394" s="62"/>
      <c r="W2394" s="61"/>
      <c r="X2394" s="62"/>
      <c r="AD2394" s="58"/>
      <c r="AG2394" s="64"/>
    </row>
    <row r="2395" spans="2:33" ht="16">
      <c r="B2395" s="67" t="str">
        <f t="shared" si="10"/>
        <v/>
      </c>
      <c r="C2395" s="33"/>
      <c r="D2395" s="33"/>
      <c r="E2395" s="33"/>
      <c r="F2395" s="56"/>
      <c r="G2395" s="33"/>
      <c r="H2395" s="33"/>
      <c r="I2395" s="33"/>
      <c r="J2395" s="57"/>
      <c r="K2395" s="33"/>
      <c r="L2395" s="57"/>
      <c r="M2395" s="58"/>
      <c r="N2395" s="56"/>
      <c r="O2395" s="58"/>
      <c r="P2395" s="62"/>
      <c r="Q2395" s="33"/>
      <c r="R2395" s="33"/>
      <c r="S2395" s="61"/>
      <c r="T2395" s="33"/>
      <c r="U2395" s="62"/>
      <c r="W2395" s="61"/>
      <c r="X2395" s="62"/>
      <c r="AD2395" s="58"/>
      <c r="AG2395" s="64"/>
    </row>
    <row r="2396" spans="2:33" ht="16">
      <c r="B2396" s="67" t="str">
        <f t="shared" si="10"/>
        <v/>
      </c>
      <c r="C2396" s="33"/>
      <c r="D2396" s="33"/>
      <c r="E2396" s="33"/>
      <c r="F2396" s="56"/>
      <c r="G2396" s="33"/>
      <c r="H2396" s="33"/>
      <c r="I2396" s="33"/>
      <c r="J2396" s="57"/>
      <c r="K2396" s="33"/>
      <c r="L2396" s="57"/>
      <c r="M2396" s="64"/>
      <c r="N2396" s="56"/>
      <c r="O2396" s="64"/>
      <c r="P2396" s="62"/>
      <c r="Q2396" s="33"/>
      <c r="R2396" s="33"/>
      <c r="S2396" s="61"/>
      <c r="T2396" s="33"/>
      <c r="U2396" s="62"/>
      <c r="W2396" s="61"/>
      <c r="X2396" s="62"/>
      <c r="AD2396" s="58"/>
      <c r="AG2396" s="64"/>
    </row>
    <row r="2397" spans="2:33" ht="16">
      <c r="B2397" s="67" t="str">
        <f t="shared" si="10"/>
        <v/>
      </c>
      <c r="C2397" s="33"/>
      <c r="D2397" s="33"/>
      <c r="E2397" s="33"/>
      <c r="F2397" s="56"/>
      <c r="G2397" s="33"/>
      <c r="H2397" s="33"/>
      <c r="I2397" s="33"/>
      <c r="J2397" s="57"/>
      <c r="K2397" s="33"/>
      <c r="L2397" s="57"/>
      <c r="M2397" s="58"/>
      <c r="N2397" s="56"/>
      <c r="O2397" s="58"/>
      <c r="P2397" s="62"/>
      <c r="Q2397" s="33"/>
      <c r="R2397" s="33"/>
      <c r="S2397" s="61"/>
      <c r="T2397" s="33"/>
      <c r="U2397" s="62"/>
      <c r="W2397" s="61"/>
      <c r="X2397" s="62"/>
      <c r="AD2397" s="58"/>
      <c r="AG2397" s="64"/>
    </row>
    <row r="2398" spans="2:33" ht="16">
      <c r="B2398" s="67" t="str">
        <f t="shared" si="10"/>
        <v/>
      </c>
      <c r="C2398" s="33"/>
      <c r="D2398" s="33"/>
      <c r="E2398" s="33"/>
      <c r="F2398" s="56"/>
      <c r="G2398" s="33"/>
      <c r="H2398" s="33"/>
      <c r="I2398" s="33"/>
      <c r="J2398" s="57"/>
      <c r="K2398" s="33"/>
      <c r="L2398" s="57"/>
      <c r="M2398" s="58"/>
      <c r="N2398" s="56"/>
      <c r="O2398" s="64"/>
      <c r="P2398" s="62"/>
      <c r="Q2398" s="33"/>
      <c r="R2398" s="33"/>
      <c r="S2398" s="61"/>
      <c r="T2398" s="33"/>
      <c r="U2398" s="62"/>
      <c r="W2398" s="61"/>
      <c r="X2398" s="62"/>
      <c r="AD2398" s="58"/>
      <c r="AG2398" s="64"/>
    </row>
    <row r="2399" spans="2:33" ht="16">
      <c r="B2399" s="67" t="str">
        <f t="shared" si="10"/>
        <v/>
      </c>
      <c r="C2399" s="33"/>
      <c r="D2399" s="33"/>
      <c r="E2399" s="33"/>
      <c r="F2399" s="56"/>
      <c r="G2399" s="33"/>
      <c r="H2399" s="33"/>
      <c r="I2399" s="33"/>
      <c r="J2399" s="57"/>
      <c r="K2399" s="33"/>
      <c r="L2399" s="57"/>
      <c r="M2399" s="64"/>
      <c r="N2399" s="56"/>
      <c r="O2399" s="64"/>
      <c r="P2399" s="62"/>
      <c r="Q2399" s="33"/>
      <c r="R2399" s="33"/>
      <c r="S2399" s="61"/>
      <c r="T2399" s="33"/>
      <c r="U2399" s="62"/>
      <c r="W2399" s="61"/>
      <c r="X2399" s="62"/>
      <c r="AD2399" s="64"/>
      <c r="AG2399" s="64"/>
    </row>
    <row r="2400" spans="2:33" ht="16">
      <c r="B2400" s="67" t="str">
        <f t="shared" si="10"/>
        <v/>
      </c>
      <c r="C2400" s="33"/>
      <c r="D2400" s="33"/>
      <c r="E2400" s="33"/>
      <c r="F2400" s="56"/>
      <c r="G2400" s="33"/>
      <c r="H2400" s="33"/>
      <c r="I2400" s="33"/>
      <c r="J2400" s="57"/>
      <c r="K2400" s="33"/>
      <c r="L2400" s="57"/>
      <c r="M2400" s="64"/>
      <c r="N2400" s="56"/>
      <c r="O2400" s="64"/>
      <c r="P2400" s="62"/>
      <c r="Q2400" s="33"/>
      <c r="R2400" s="33"/>
      <c r="S2400" s="61"/>
      <c r="T2400" s="33"/>
      <c r="U2400" s="62"/>
      <c r="W2400" s="61"/>
      <c r="X2400" s="62"/>
      <c r="AD2400" s="64"/>
      <c r="AG2400" s="58"/>
    </row>
    <row r="2401" spans="2:33" ht="16">
      <c r="B2401" s="67" t="str">
        <f t="shared" si="10"/>
        <v/>
      </c>
      <c r="C2401" s="33"/>
      <c r="D2401" s="33"/>
      <c r="E2401" s="33"/>
      <c r="F2401" s="56"/>
      <c r="G2401" s="33"/>
      <c r="H2401" s="33"/>
      <c r="I2401" s="33"/>
      <c r="J2401" s="57"/>
      <c r="K2401" s="33"/>
      <c r="L2401" s="57"/>
      <c r="M2401" s="58"/>
      <c r="N2401" s="56"/>
      <c r="O2401" s="64"/>
      <c r="P2401" s="62"/>
      <c r="Q2401" s="33"/>
      <c r="R2401" s="33"/>
      <c r="S2401" s="61"/>
      <c r="T2401" s="33"/>
      <c r="U2401" s="62"/>
      <c r="W2401" s="61"/>
      <c r="X2401" s="62"/>
      <c r="AD2401" s="58"/>
      <c r="AG2401" s="58"/>
    </row>
    <row r="2402" spans="2:33" ht="16">
      <c r="B2402" s="67" t="str">
        <f t="shared" si="10"/>
        <v/>
      </c>
      <c r="C2402" s="33"/>
      <c r="D2402" s="33"/>
      <c r="E2402" s="33"/>
      <c r="F2402" s="56"/>
      <c r="G2402" s="33"/>
      <c r="H2402" s="33"/>
      <c r="I2402" s="33"/>
      <c r="J2402" s="57"/>
      <c r="K2402" s="33"/>
      <c r="L2402" s="57"/>
      <c r="M2402" s="64"/>
      <c r="N2402" s="56"/>
      <c r="O2402" s="64"/>
      <c r="P2402" s="62"/>
      <c r="Q2402" s="33"/>
      <c r="R2402" s="33"/>
      <c r="S2402" s="61"/>
      <c r="T2402" s="33"/>
      <c r="U2402" s="62"/>
      <c r="W2402" s="61"/>
      <c r="X2402" s="62"/>
      <c r="AD2402" s="64"/>
      <c r="AG2402" s="64"/>
    </row>
    <row r="2403" spans="2:33" ht="16">
      <c r="B2403" s="67" t="str">
        <f t="shared" si="10"/>
        <v/>
      </c>
      <c r="C2403" s="33"/>
      <c r="D2403" s="33"/>
      <c r="E2403" s="33"/>
      <c r="F2403" s="56"/>
      <c r="G2403" s="33"/>
      <c r="H2403" s="33"/>
      <c r="I2403" s="33"/>
      <c r="J2403" s="57"/>
      <c r="K2403" s="33"/>
      <c r="L2403" s="57"/>
      <c r="M2403" s="64"/>
      <c r="N2403" s="56"/>
      <c r="O2403" s="64"/>
      <c r="P2403" s="62"/>
      <c r="Q2403" s="33"/>
      <c r="R2403" s="33"/>
      <c r="S2403" s="61"/>
      <c r="T2403" s="33"/>
      <c r="U2403" s="62"/>
      <c r="W2403" s="61"/>
      <c r="X2403" s="62"/>
      <c r="AD2403" s="64"/>
      <c r="AG2403" s="64"/>
    </row>
    <row r="2404" spans="2:33" ht="16">
      <c r="B2404" s="67" t="str">
        <f t="shared" si="10"/>
        <v/>
      </c>
      <c r="C2404" s="33"/>
      <c r="D2404" s="33"/>
      <c r="E2404" s="33"/>
      <c r="F2404" s="56"/>
      <c r="G2404" s="33"/>
      <c r="H2404" s="33"/>
      <c r="I2404" s="33"/>
      <c r="J2404" s="57"/>
      <c r="K2404" s="33"/>
      <c r="L2404" s="57"/>
      <c r="M2404" s="58"/>
      <c r="N2404" s="56"/>
      <c r="O2404" s="58"/>
      <c r="P2404" s="62"/>
      <c r="Q2404" s="33"/>
      <c r="R2404" s="33"/>
      <c r="S2404" s="61"/>
      <c r="T2404" s="33"/>
      <c r="U2404" s="62"/>
      <c r="W2404" s="61"/>
      <c r="X2404" s="62"/>
      <c r="AD2404" s="58"/>
      <c r="AG2404" s="64"/>
    </row>
    <row r="2405" spans="2:33" ht="16">
      <c r="B2405" s="67" t="str">
        <f t="shared" si="10"/>
        <v/>
      </c>
      <c r="C2405" s="33"/>
      <c r="D2405" s="33"/>
      <c r="E2405" s="33"/>
      <c r="F2405" s="56"/>
      <c r="G2405" s="33"/>
      <c r="H2405" s="33"/>
      <c r="I2405" s="33"/>
      <c r="J2405" s="57"/>
      <c r="K2405" s="33"/>
      <c r="L2405" s="57"/>
      <c r="M2405" s="64"/>
      <c r="N2405" s="56"/>
      <c r="O2405" s="64"/>
      <c r="P2405" s="62"/>
      <c r="Q2405" s="33"/>
      <c r="R2405" s="33"/>
      <c r="S2405" s="61"/>
      <c r="T2405" s="33"/>
      <c r="U2405" s="62"/>
      <c r="W2405" s="61"/>
      <c r="X2405" s="62"/>
      <c r="AD2405" s="64"/>
      <c r="AG2405" s="58"/>
    </row>
    <row r="2406" spans="2:33" ht="16">
      <c r="B2406" s="67" t="str">
        <f t="shared" si="10"/>
        <v/>
      </c>
      <c r="C2406" s="33"/>
      <c r="D2406" s="33"/>
      <c r="E2406" s="33"/>
      <c r="F2406" s="56"/>
      <c r="G2406" s="33"/>
      <c r="H2406" s="33"/>
      <c r="I2406" s="33"/>
      <c r="J2406" s="57"/>
      <c r="K2406" s="33"/>
      <c r="L2406" s="57"/>
      <c r="M2406" s="64"/>
      <c r="N2406" s="56"/>
      <c r="O2406" s="64"/>
      <c r="P2406" s="62"/>
      <c r="Q2406" s="33"/>
      <c r="R2406" s="33"/>
      <c r="S2406" s="61"/>
      <c r="T2406" s="33"/>
      <c r="U2406" s="62"/>
      <c r="W2406" s="61"/>
      <c r="X2406" s="62"/>
      <c r="AD2406" s="64"/>
      <c r="AG2406" s="64"/>
    </row>
    <row r="2407" spans="2:33" ht="16">
      <c r="B2407" s="67" t="str">
        <f t="shared" si="10"/>
        <v/>
      </c>
      <c r="C2407" s="33"/>
      <c r="D2407" s="33"/>
      <c r="E2407" s="33"/>
      <c r="F2407" s="56"/>
      <c r="G2407" s="33"/>
      <c r="H2407" s="33"/>
      <c r="I2407" s="33"/>
      <c r="J2407" s="57"/>
      <c r="K2407" s="33"/>
      <c r="L2407" s="57"/>
      <c r="M2407" s="58"/>
      <c r="N2407" s="56"/>
      <c r="O2407" s="58"/>
      <c r="P2407" s="62"/>
      <c r="Q2407" s="33"/>
      <c r="R2407" s="33"/>
      <c r="S2407" s="61"/>
      <c r="T2407" s="33"/>
      <c r="U2407" s="62"/>
      <c r="W2407" s="61"/>
      <c r="X2407" s="62"/>
      <c r="AD2407" s="58"/>
      <c r="AG2407" s="58"/>
    </row>
    <row r="2408" spans="2:33" ht="16">
      <c r="B2408" s="67" t="str">
        <f t="shared" si="10"/>
        <v/>
      </c>
      <c r="C2408" s="33"/>
      <c r="D2408" s="33"/>
      <c r="E2408" s="33"/>
      <c r="F2408" s="56"/>
      <c r="G2408" s="33"/>
      <c r="H2408" s="33"/>
      <c r="I2408" s="33"/>
      <c r="J2408" s="57"/>
      <c r="K2408" s="33"/>
      <c r="L2408" s="57"/>
      <c r="M2408" s="64"/>
      <c r="N2408" s="56"/>
      <c r="O2408" s="64"/>
      <c r="P2408" s="62"/>
      <c r="Q2408" s="33"/>
      <c r="R2408" s="33"/>
      <c r="S2408" s="61"/>
      <c r="T2408" s="33"/>
      <c r="U2408" s="62"/>
      <c r="W2408" s="61"/>
      <c r="X2408" s="62"/>
      <c r="AD2408" s="64"/>
      <c r="AG2408" s="64"/>
    </row>
    <row r="2409" spans="2:33" ht="16">
      <c r="B2409" s="67" t="str">
        <f t="shared" si="10"/>
        <v/>
      </c>
      <c r="C2409" s="33"/>
      <c r="D2409" s="33"/>
      <c r="E2409" s="33"/>
      <c r="F2409" s="56"/>
      <c r="G2409" s="33"/>
      <c r="H2409" s="33"/>
      <c r="I2409" s="33"/>
      <c r="J2409" s="57"/>
      <c r="K2409" s="33"/>
      <c r="L2409" s="57"/>
      <c r="M2409" s="64"/>
      <c r="N2409" s="56"/>
      <c r="O2409" s="64"/>
      <c r="P2409" s="62"/>
      <c r="Q2409" s="33"/>
      <c r="R2409" s="33"/>
      <c r="S2409" s="61"/>
      <c r="T2409" s="33"/>
      <c r="U2409" s="62"/>
      <c r="W2409" s="61"/>
      <c r="X2409" s="62"/>
      <c r="AD2409" s="64"/>
      <c r="AG2409" s="58"/>
    </row>
    <row r="2410" spans="2:33" ht="16">
      <c r="B2410" s="67" t="str">
        <f t="shared" si="10"/>
        <v/>
      </c>
      <c r="C2410" s="33"/>
      <c r="D2410" s="33"/>
      <c r="E2410" s="33"/>
      <c r="F2410" s="56"/>
      <c r="G2410" s="33"/>
      <c r="H2410" s="33"/>
      <c r="I2410" s="33"/>
      <c r="J2410" s="57"/>
      <c r="K2410" s="33"/>
      <c r="L2410" s="57"/>
      <c r="M2410" s="64"/>
      <c r="N2410" s="56"/>
      <c r="O2410" s="64"/>
      <c r="P2410" s="62"/>
      <c r="Q2410" s="33"/>
      <c r="R2410" s="33"/>
      <c r="S2410" s="61"/>
      <c r="T2410" s="33"/>
      <c r="U2410" s="62"/>
      <c r="W2410" s="61"/>
      <c r="X2410" s="62"/>
      <c r="AD2410" s="64"/>
      <c r="AG2410" s="64"/>
    </row>
    <row r="2411" spans="2:33" ht="16">
      <c r="B2411" s="67" t="str">
        <f t="shared" si="10"/>
        <v/>
      </c>
      <c r="C2411" s="33"/>
      <c r="D2411" s="33"/>
      <c r="E2411" s="33"/>
      <c r="F2411" s="56"/>
      <c r="G2411" s="33"/>
      <c r="H2411" s="33"/>
      <c r="I2411" s="33"/>
      <c r="J2411" s="57"/>
      <c r="K2411" s="33"/>
      <c r="L2411" s="57"/>
      <c r="M2411" s="64"/>
      <c r="N2411" s="56"/>
      <c r="O2411" s="58"/>
      <c r="P2411" s="62"/>
      <c r="Q2411" s="33"/>
      <c r="R2411" s="33"/>
      <c r="S2411" s="61"/>
      <c r="T2411" s="33"/>
      <c r="U2411" s="62"/>
      <c r="W2411" s="61"/>
      <c r="X2411" s="62"/>
      <c r="AD2411" s="64"/>
      <c r="AG2411" s="64"/>
    </row>
    <row r="2412" spans="2:33" ht="16">
      <c r="B2412" s="67" t="str">
        <f t="shared" si="10"/>
        <v/>
      </c>
      <c r="C2412" s="33"/>
      <c r="D2412" s="33"/>
      <c r="E2412" s="33"/>
      <c r="F2412" s="56"/>
      <c r="G2412" s="33"/>
      <c r="H2412" s="33"/>
      <c r="I2412" s="33"/>
      <c r="J2412" s="57"/>
      <c r="K2412" s="33"/>
      <c r="L2412" s="57"/>
      <c r="M2412" s="64"/>
      <c r="N2412" s="56"/>
      <c r="O2412" s="64"/>
      <c r="P2412" s="62"/>
      <c r="Q2412" s="33"/>
      <c r="R2412" s="33"/>
      <c r="S2412" s="61"/>
      <c r="T2412" s="33"/>
      <c r="U2412" s="62"/>
      <c r="W2412" s="61"/>
      <c r="X2412" s="62"/>
      <c r="AD2412" s="58"/>
      <c r="AG2412" s="58"/>
    </row>
    <row r="2413" spans="2:33" ht="16">
      <c r="B2413" s="67" t="str">
        <f t="shared" si="10"/>
        <v/>
      </c>
      <c r="C2413" s="33"/>
      <c r="D2413" s="33"/>
      <c r="E2413" s="33"/>
      <c r="F2413" s="56"/>
      <c r="G2413" s="33"/>
      <c r="H2413" s="33"/>
      <c r="I2413" s="33"/>
      <c r="J2413" s="57"/>
      <c r="K2413" s="33"/>
      <c r="L2413" s="57"/>
      <c r="M2413" s="64"/>
      <c r="N2413" s="56"/>
      <c r="O2413" s="64"/>
      <c r="P2413" s="62"/>
      <c r="Q2413" s="33"/>
      <c r="R2413" s="33"/>
      <c r="S2413" s="61"/>
      <c r="T2413" s="33"/>
      <c r="U2413" s="62"/>
      <c r="W2413" s="61"/>
      <c r="X2413" s="62"/>
      <c r="AD2413" s="58"/>
      <c r="AG2413" s="64"/>
    </row>
    <row r="2414" spans="2:33" ht="16">
      <c r="B2414" s="67" t="str">
        <f t="shared" si="10"/>
        <v/>
      </c>
      <c r="C2414" s="33"/>
      <c r="D2414" s="33"/>
      <c r="E2414" s="33"/>
      <c r="F2414" s="56"/>
      <c r="G2414" s="33"/>
      <c r="H2414" s="33"/>
      <c r="I2414" s="33"/>
      <c r="J2414" s="57"/>
      <c r="K2414" s="33"/>
      <c r="L2414" s="57"/>
      <c r="M2414" s="64"/>
      <c r="N2414" s="56"/>
      <c r="O2414" s="64"/>
      <c r="P2414" s="62"/>
      <c r="Q2414" s="33"/>
      <c r="R2414" s="33"/>
      <c r="S2414" s="61"/>
      <c r="T2414" s="33"/>
      <c r="U2414" s="62"/>
      <c r="W2414" s="61"/>
      <c r="X2414" s="62"/>
      <c r="AD2414" s="64"/>
      <c r="AG2414" s="58"/>
    </row>
    <row r="2415" spans="2:33" ht="16">
      <c r="B2415" s="67" t="str">
        <f t="shared" si="10"/>
        <v/>
      </c>
      <c r="C2415" s="33"/>
      <c r="D2415" s="33"/>
      <c r="E2415" s="33"/>
      <c r="F2415" s="56"/>
      <c r="G2415" s="33"/>
      <c r="H2415" s="33"/>
      <c r="I2415" s="33"/>
      <c r="J2415" s="57"/>
      <c r="K2415" s="33"/>
      <c r="L2415" s="57"/>
      <c r="M2415" s="64"/>
      <c r="N2415" s="56"/>
      <c r="O2415" s="64"/>
      <c r="P2415" s="62"/>
      <c r="Q2415" s="33"/>
      <c r="R2415" s="33"/>
      <c r="S2415" s="61"/>
      <c r="T2415" s="33"/>
      <c r="U2415" s="62"/>
      <c r="W2415" s="61"/>
      <c r="X2415" s="62"/>
      <c r="AD2415" s="64"/>
      <c r="AG2415" s="58"/>
    </row>
    <row r="2416" spans="2:33" ht="16">
      <c r="B2416" s="67" t="str">
        <f t="shared" si="10"/>
        <v/>
      </c>
      <c r="C2416" s="33"/>
      <c r="D2416" s="33"/>
      <c r="E2416" s="33"/>
      <c r="F2416" s="56"/>
      <c r="G2416" s="33"/>
      <c r="H2416" s="33"/>
      <c r="I2416" s="33"/>
      <c r="J2416" s="57"/>
      <c r="K2416" s="33"/>
      <c r="L2416" s="57"/>
      <c r="M2416" s="64"/>
      <c r="N2416" s="56"/>
      <c r="O2416" s="64"/>
      <c r="P2416" s="62"/>
      <c r="Q2416" s="33"/>
      <c r="R2416" s="33"/>
      <c r="S2416" s="61"/>
      <c r="T2416" s="33"/>
      <c r="U2416" s="62"/>
      <c r="W2416" s="61"/>
      <c r="X2416" s="62"/>
      <c r="AD2416" s="64"/>
      <c r="AG2416" s="64"/>
    </row>
    <row r="2417" spans="2:33" ht="16">
      <c r="B2417" s="67" t="str">
        <f t="shared" si="10"/>
        <v/>
      </c>
      <c r="C2417" s="33"/>
      <c r="D2417" s="33"/>
      <c r="E2417" s="33"/>
      <c r="F2417" s="56"/>
      <c r="G2417" s="33"/>
      <c r="H2417" s="33"/>
      <c r="I2417" s="33"/>
      <c r="J2417" s="57"/>
      <c r="K2417" s="33"/>
      <c r="L2417" s="57"/>
      <c r="M2417" s="64"/>
      <c r="N2417" s="56"/>
      <c r="O2417" s="64"/>
      <c r="P2417" s="62"/>
      <c r="Q2417" s="33"/>
      <c r="R2417" s="33"/>
      <c r="S2417" s="61"/>
      <c r="T2417" s="33"/>
      <c r="U2417" s="62"/>
      <c r="W2417" s="61"/>
      <c r="X2417" s="62"/>
      <c r="AD2417" s="64"/>
      <c r="AG2417" s="64"/>
    </row>
    <row r="2418" spans="2:33" ht="16">
      <c r="B2418" s="67" t="str">
        <f t="shared" si="10"/>
        <v/>
      </c>
      <c r="C2418" s="33"/>
      <c r="D2418" s="33"/>
      <c r="E2418" s="33"/>
      <c r="F2418" s="56"/>
      <c r="G2418" s="33"/>
      <c r="H2418" s="33"/>
      <c r="I2418" s="33"/>
      <c r="J2418" s="57"/>
      <c r="K2418" s="33"/>
      <c r="L2418" s="57"/>
      <c r="M2418" s="64"/>
      <c r="N2418" s="56"/>
      <c r="O2418" s="64"/>
      <c r="P2418" s="62"/>
      <c r="Q2418" s="33"/>
      <c r="R2418" s="33"/>
      <c r="S2418" s="61"/>
      <c r="T2418" s="33"/>
      <c r="U2418" s="62"/>
      <c r="W2418" s="61"/>
      <c r="X2418" s="62"/>
      <c r="AD2418" s="58"/>
      <c r="AG2418" s="64"/>
    </row>
    <row r="2419" spans="2:33" ht="16">
      <c r="B2419" s="67" t="str">
        <f t="shared" si="10"/>
        <v/>
      </c>
      <c r="C2419" s="33"/>
      <c r="D2419" s="33"/>
      <c r="E2419" s="33"/>
      <c r="F2419" s="56"/>
      <c r="G2419" s="33"/>
      <c r="H2419" s="33"/>
      <c r="I2419" s="33"/>
      <c r="J2419" s="57"/>
      <c r="K2419" s="33"/>
      <c r="L2419" s="57"/>
      <c r="M2419" s="64"/>
      <c r="N2419" s="56"/>
      <c r="O2419" s="64"/>
      <c r="P2419" s="62"/>
      <c r="Q2419" s="33"/>
      <c r="R2419" s="33"/>
      <c r="S2419" s="61"/>
      <c r="T2419" s="33"/>
      <c r="U2419" s="62"/>
      <c r="W2419" s="61"/>
      <c r="X2419" s="62"/>
      <c r="AD2419" s="64"/>
      <c r="AG2419" s="64"/>
    </row>
    <row r="2420" spans="2:33" ht="16">
      <c r="B2420" s="67" t="str">
        <f t="shared" si="10"/>
        <v/>
      </c>
      <c r="C2420" s="33"/>
      <c r="D2420" s="33"/>
      <c r="E2420" s="33"/>
      <c r="F2420" s="56"/>
      <c r="G2420" s="33"/>
      <c r="H2420" s="33"/>
      <c r="I2420" s="33"/>
      <c r="J2420" s="57"/>
      <c r="K2420" s="33"/>
      <c r="L2420" s="57"/>
      <c r="M2420" s="64"/>
      <c r="N2420" s="56"/>
      <c r="O2420" s="58"/>
      <c r="P2420" s="62"/>
      <c r="Q2420" s="33"/>
      <c r="R2420" s="33"/>
      <c r="S2420" s="61"/>
      <c r="T2420" s="33"/>
      <c r="U2420" s="62"/>
      <c r="W2420" s="61"/>
      <c r="X2420" s="62"/>
      <c r="AD2420" s="58"/>
      <c r="AG2420" s="64"/>
    </row>
    <row r="2421" spans="2:33" ht="16">
      <c r="B2421" s="67" t="str">
        <f t="shared" si="10"/>
        <v/>
      </c>
      <c r="C2421" s="33"/>
      <c r="D2421" s="33"/>
      <c r="E2421" s="33"/>
      <c r="F2421" s="56"/>
      <c r="G2421" s="33"/>
      <c r="H2421" s="33"/>
      <c r="I2421" s="33"/>
      <c r="J2421" s="57"/>
      <c r="K2421" s="33"/>
      <c r="L2421" s="57"/>
      <c r="M2421" s="64"/>
      <c r="N2421" s="56"/>
      <c r="O2421" s="64"/>
      <c r="P2421" s="62"/>
      <c r="Q2421" s="33"/>
      <c r="R2421" s="33"/>
      <c r="S2421" s="61"/>
      <c r="T2421" s="33"/>
      <c r="U2421" s="62"/>
      <c r="W2421" s="61"/>
      <c r="X2421" s="62"/>
      <c r="AD2421" s="64"/>
      <c r="AG2421" s="64"/>
    </row>
    <row r="2422" spans="2:33" ht="16">
      <c r="B2422" s="67" t="str">
        <f t="shared" si="10"/>
        <v/>
      </c>
      <c r="C2422" s="33"/>
      <c r="D2422" s="33"/>
      <c r="E2422" s="33"/>
      <c r="F2422" s="56"/>
      <c r="G2422" s="33"/>
      <c r="H2422" s="33"/>
      <c r="I2422" s="33"/>
      <c r="J2422" s="57"/>
      <c r="K2422" s="33"/>
      <c r="L2422" s="57"/>
      <c r="M2422" s="64"/>
      <c r="N2422" s="56"/>
      <c r="O2422" s="64"/>
      <c r="P2422" s="62"/>
      <c r="Q2422" s="33"/>
      <c r="R2422" s="33"/>
      <c r="S2422" s="61"/>
      <c r="T2422" s="33"/>
      <c r="U2422" s="62"/>
      <c r="W2422" s="61"/>
      <c r="X2422" s="62"/>
      <c r="AD2422" s="58"/>
      <c r="AG2422" s="58"/>
    </row>
    <row r="2423" spans="2:33" ht="16">
      <c r="B2423" s="67" t="str">
        <f t="shared" si="10"/>
        <v/>
      </c>
      <c r="C2423" s="33"/>
      <c r="D2423" s="33"/>
      <c r="E2423" s="33"/>
      <c r="F2423" s="56"/>
      <c r="G2423" s="33"/>
      <c r="H2423" s="33"/>
      <c r="I2423" s="33"/>
      <c r="J2423" s="57"/>
      <c r="K2423" s="33"/>
      <c r="L2423" s="57"/>
      <c r="M2423" s="64"/>
      <c r="N2423" s="56"/>
      <c r="O2423" s="64"/>
      <c r="P2423" s="62"/>
      <c r="Q2423" s="33"/>
      <c r="R2423" s="33"/>
      <c r="S2423" s="61"/>
      <c r="T2423" s="33"/>
      <c r="U2423" s="62"/>
      <c r="W2423" s="61"/>
      <c r="X2423" s="62"/>
      <c r="AD2423" s="64"/>
      <c r="AG2423" s="64"/>
    </row>
    <row r="2424" spans="2:33" ht="16">
      <c r="B2424" s="67" t="str">
        <f t="shared" si="10"/>
        <v/>
      </c>
      <c r="C2424" s="33"/>
      <c r="D2424" s="33"/>
      <c r="E2424" s="33"/>
      <c r="F2424" s="56"/>
      <c r="G2424" s="33"/>
      <c r="H2424" s="33"/>
      <c r="I2424" s="33"/>
      <c r="J2424" s="57"/>
      <c r="K2424" s="33"/>
      <c r="L2424" s="57"/>
      <c r="M2424" s="64"/>
      <c r="N2424" s="56"/>
      <c r="O2424" s="58"/>
      <c r="P2424" s="62"/>
      <c r="Q2424" s="33"/>
      <c r="R2424" s="33"/>
      <c r="S2424" s="61"/>
      <c r="T2424" s="33"/>
      <c r="U2424" s="62"/>
      <c r="W2424" s="61"/>
      <c r="X2424" s="62"/>
      <c r="AD2424" s="58"/>
      <c r="AG2424" s="64"/>
    </row>
    <row r="2425" spans="2:33" ht="16">
      <c r="B2425" s="67" t="str">
        <f t="shared" si="10"/>
        <v/>
      </c>
      <c r="C2425" s="33"/>
      <c r="D2425" s="33"/>
      <c r="E2425" s="33"/>
      <c r="F2425" s="56"/>
      <c r="G2425" s="33"/>
      <c r="H2425" s="33"/>
      <c r="I2425" s="33"/>
      <c r="J2425" s="57"/>
      <c r="K2425" s="33"/>
      <c r="L2425" s="57"/>
      <c r="M2425" s="64"/>
      <c r="N2425" s="56"/>
      <c r="O2425" s="58"/>
      <c r="P2425" s="62"/>
      <c r="Q2425" s="33"/>
      <c r="R2425" s="33"/>
      <c r="S2425" s="61"/>
      <c r="T2425" s="33"/>
      <c r="U2425" s="62"/>
      <c r="W2425" s="61"/>
      <c r="X2425" s="62"/>
      <c r="AD2425" s="64"/>
      <c r="AG2425" s="58"/>
    </row>
    <row r="2426" spans="2:33" ht="16">
      <c r="B2426" s="67" t="str">
        <f t="shared" si="10"/>
        <v/>
      </c>
      <c r="C2426" s="33"/>
      <c r="D2426" s="33"/>
      <c r="E2426" s="33"/>
      <c r="F2426" s="56"/>
      <c r="G2426" s="33"/>
      <c r="H2426" s="33"/>
      <c r="I2426" s="33"/>
      <c r="J2426" s="57"/>
      <c r="K2426" s="33"/>
      <c r="L2426" s="57"/>
      <c r="M2426" s="64"/>
      <c r="N2426" s="56"/>
      <c r="O2426" s="64"/>
      <c r="P2426" s="62"/>
      <c r="Q2426" s="33"/>
      <c r="R2426" s="33"/>
      <c r="S2426" s="61"/>
      <c r="T2426" s="33"/>
      <c r="U2426" s="62"/>
      <c r="W2426" s="61"/>
      <c r="X2426" s="62"/>
      <c r="AD2426" s="58"/>
      <c r="AG2426" s="64"/>
    </row>
    <row r="2427" spans="2:33" ht="16">
      <c r="B2427" s="67" t="str">
        <f t="shared" si="10"/>
        <v/>
      </c>
      <c r="C2427" s="33"/>
      <c r="D2427" s="33"/>
      <c r="E2427" s="33"/>
      <c r="F2427" s="56"/>
      <c r="G2427" s="33"/>
      <c r="H2427" s="33"/>
      <c r="I2427" s="33"/>
      <c r="J2427" s="57"/>
      <c r="K2427" s="33"/>
      <c r="L2427" s="57"/>
      <c r="M2427" s="64"/>
      <c r="N2427" s="56"/>
      <c r="O2427" s="64"/>
      <c r="P2427" s="62"/>
      <c r="Q2427" s="33"/>
      <c r="R2427" s="33"/>
      <c r="S2427" s="61"/>
      <c r="T2427" s="33"/>
      <c r="U2427" s="62"/>
      <c r="W2427" s="61"/>
      <c r="X2427" s="62"/>
      <c r="AD2427" s="58"/>
      <c r="AG2427" s="64"/>
    </row>
    <row r="2428" spans="2:33" ht="16">
      <c r="B2428" s="67" t="str">
        <f t="shared" si="10"/>
        <v/>
      </c>
      <c r="C2428" s="33"/>
      <c r="D2428" s="33"/>
      <c r="E2428" s="33"/>
      <c r="F2428" s="56"/>
      <c r="G2428" s="33"/>
      <c r="H2428" s="33"/>
      <c r="I2428" s="33"/>
      <c r="J2428" s="57"/>
      <c r="K2428" s="33"/>
      <c r="L2428" s="57"/>
      <c r="M2428" s="64"/>
      <c r="N2428" s="56"/>
      <c r="O2428" s="64"/>
      <c r="P2428" s="62"/>
      <c r="Q2428" s="33"/>
      <c r="R2428" s="33"/>
      <c r="S2428" s="61"/>
      <c r="T2428" s="33"/>
      <c r="U2428" s="62"/>
      <c r="W2428" s="61"/>
      <c r="X2428" s="62"/>
      <c r="AD2428" s="58"/>
      <c r="AG2428" s="64"/>
    </row>
    <row r="2429" spans="2:33" ht="16">
      <c r="B2429" s="67" t="str">
        <f t="shared" si="10"/>
        <v/>
      </c>
      <c r="C2429" s="33"/>
      <c r="D2429" s="33"/>
      <c r="E2429" s="33"/>
      <c r="F2429" s="56"/>
      <c r="G2429" s="33"/>
      <c r="H2429" s="33"/>
      <c r="I2429" s="33"/>
      <c r="J2429" s="57"/>
      <c r="K2429" s="33"/>
      <c r="L2429" s="57"/>
      <c r="M2429" s="64"/>
      <c r="N2429" s="56"/>
      <c r="O2429" s="64"/>
      <c r="P2429" s="62"/>
      <c r="Q2429" s="33"/>
      <c r="R2429" s="33"/>
      <c r="S2429" s="61"/>
      <c r="T2429" s="33"/>
      <c r="U2429" s="62"/>
      <c r="W2429" s="61"/>
      <c r="X2429" s="62"/>
      <c r="AD2429" s="64"/>
      <c r="AG2429" s="64"/>
    </row>
    <row r="2430" spans="2:33" ht="16">
      <c r="B2430" s="67" t="str">
        <f t="shared" si="10"/>
        <v/>
      </c>
      <c r="C2430" s="33"/>
      <c r="D2430" s="33"/>
      <c r="E2430" s="33"/>
      <c r="F2430" s="56"/>
      <c r="G2430" s="33"/>
      <c r="H2430" s="33"/>
      <c r="I2430" s="33"/>
      <c r="J2430" s="57"/>
      <c r="K2430" s="33"/>
      <c r="L2430" s="57"/>
      <c r="M2430" s="64"/>
      <c r="N2430" s="56"/>
      <c r="O2430" s="64"/>
      <c r="P2430" s="62"/>
      <c r="Q2430" s="33"/>
      <c r="R2430" s="33"/>
      <c r="S2430" s="61"/>
      <c r="T2430" s="33"/>
      <c r="U2430" s="62"/>
      <c r="W2430" s="61"/>
      <c r="X2430" s="62"/>
      <c r="AD2430" s="58"/>
      <c r="AG2430" s="64"/>
    </row>
    <row r="2431" spans="2:33" ht="16">
      <c r="B2431" s="67" t="str">
        <f t="shared" si="10"/>
        <v/>
      </c>
      <c r="C2431" s="33"/>
      <c r="D2431" s="33"/>
      <c r="E2431" s="33"/>
      <c r="F2431" s="56"/>
      <c r="G2431" s="33"/>
      <c r="H2431" s="33"/>
      <c r="I2431" s="33"/>
      <c r="J2431" s="57"/>
      <c r="K2431" s="33"/>
      <c r="L2431" s="57"/>
      <c r="M2431" s="64"/>
      <c r="N2431" s="56"/>
      <c r="O2431" s="64"/>
      <c r="P2431" s="62"/>
      <c r="Q2431" s="33"/>
      <c r="R2431" s="33"/>
      <c r="S2431" s="61"/>
      <c r="T2431" s="33"/>
      <c r="U2431" s="62"/>
      <c r="W2431" s="61"/>
      <c r="X2431" s="62"/>
      <c r="AD2431" s="58"/>
      <c r="AG2431" s="58"/>
    </row>
    <row r="2432" spans="2:33" ht="16">
      <c r="B2432" s="67" t="str">
        <f t="shared" si="10"/>
        <v/>
      </c>
      <c r="C2432" s="33"/>
      <c r="D2432" s="33"/>
      <c r="E2432" s="33"/>
      <c r="F2432" s="56"/>
      <c r="G2432" s="33"/>
      <c r="H2432" s="33"/>
      <c r="I2432" s="33"/>
      <c r="J2432" s="57"/>
      <c r="K2432" s="33"/>
      <c r="L2432" s="57"/>
      <c r="M2432" s="64"/>
      <c r="N2432" s="56"/>
      <c r="O2432" s="64"/>
      <c r="P2432" s="62"/>
      <c r="Q2432" s="33"/>
      <c r="R2432" s="33"/>
      <c r="S2432" s="61"/>
      <c r="T2432" s="33"/>
      <c r="U2432" s="62"/>
      <c r="W2432" s="61"/>
      <c r="X2432" s="62"/>
      <c r="AD2432" s="64"/>
      <c r="AG2432" s="58"/>
    </row>
    <row r="2433" spans="2:33" ht="16">
      <c r="B2433" s="67" t="str">
        <f t="shared" si="10"/>
        <v/>
      </c>
      <c r="C2433" s="33"/>
      <c r="D2433" s="33"/>
      <c r="E2433" s="33"/>
      <c r="F2433" s="56"/>
      <c r="G2433" s="33"/>
      <c r="H2433" s="33"/>
      <c r="I2433" s="33"/>
      <c r="J2433" s="57"/>
      <c r="K2433" s="33"/>
      <c r="L2433" s="57"/>
      <c r="M2433" s="58"/>
      <c r="N2433" s="56"/>
      <c r="O2433" s="58"/>
      <c r="P2433" s="62"/>
      <c r="Q2433" s="33"/>
      <c r="R2433" s="33"/>
      <c r="S2433" s="61"/>
      <c r="T2433" s="33"/>
      <c r="U2433" s="62"/>
      <c r="W2433" s="61"/>
      <c r="X2433" s="62"/>
      <c r="AD2433" s="58"/>
      <c r="AG2433" s="58"/>
    </row>
    <row r="2434" spans="2:33" ht="16">
      <c r="B2434" s="67" t="str">
        <f t="shared" si="10"/>
        <v/>
      </c>
      <c r="C2434" s="33"/>
      <c r="D2434" s="33"/>
      <c r="E2434" s="33"/>
      <c r="F2434" s="56"/>
      <c r="G2434" s="33"/>
      <c r="H2434" s="33"/>
      <c r="I2434" s="33"/>
      <c r="J2434" s="57"/>
      <c r="K2434" s="33"/>
      <c r="L2434" s="57"/>
      <c r="M2434" s="64"/>
      <c r="N2434" s="56"/>
      <c r="O2434" s="58"/>
      <c r="P2434" s="62"/>
      <c r="Q2434" s="33"/>
      <c r="R2434" s="33"/>
      <c r="S2434" s="61"/>
      <c r="T2434" s="33"/>
      <c r="U2434" s="62"/>
      <c r="W2434" s="61"/>
      <c r="X2434" s="62"/>
      <c r="AD2434" s="58"/>
      <c r="AG2434" s="64"/>
    </row>
    <row r="2435" spans="2:33" ht="16">
      <c r="B2435" s="67" t="str">
        <f t="shared" si="10"/>
        <v/>
      </c>
      <c r="C2435" s="33"/>
      <c r="D2435" s="33"/>
      <c r="E2435" s="33"/>
      <c r="F2435" s="56"/>
      <c r="G2435" s="33"/>
      <c r="H2435" s="33"/>
      <c r="I2435" s="33"/>
      <c r="J2435" s="57"/>
      <c r="K2435" s="33"/>
      <c r="L2435" s="57"/>
      <c r="M2435" s="64"/>
      <c r="N2435" s="56"/>
      <c r="O2435" s="58"/>
      <c r="P2435" s="62"/>
      <c r="Q2435" s="33"/>
      <c r="R2435" s="33"/>
      <c r="S2435" s="61"/>
      <c r="T2435" s="33"/>
      <c r="U2435" s="62"/>
      <c r="W2435" s="61"/>
      <c r="X2435" s="62"/>
      <c r="AD2435" s="58"/>
      <c r="AG2435" s="58"/>
    </row>
    <row r="2436" spans="2:33" ht="16">
      <c r="B2436" s="67" t="str">
        <f t="shared" si="10"/>
        <v/>
      </c>
      <c r="C2436" s="33"/>
      <c r="D2436" s="33"/>
      <c r="E2436" s="33"/>
      <c r="F2436" s="56"/>
      <c r="G2436" s="33"/>
      <c r="H2436" s="33"/>
      <c r="I2436" s="33"/>
      <c r="J2436" s="57"/>
      <c r="K2436" s="33"/>
      <c r="L2436" s="57"/>
      <c r="M2436" s="64"/>
      <c r="N2436" s="56"/>
      <c r="O2436" s="58"/>
      <c r="P2436" s="62"/>
      <c r="Q2436" s="33"/>
      <c r="R2436" s="33"/>
      <c r="S2436" s="61"/>
      <c r="T2436" s="33"/>
      <c r="U2436" s="62"/>
      <c r="W2436" s="61"/>
      <c r="X2436" s="62"/>
      <c r="AD2436" s="58"/>
      <c r="AG2436" s="64"/>
    </row>
    <row r="2437" spans="2:33" ht="16">
      <c r="B2437" s="67" t="str">
        <f t="shared" si="10"/>
        <v/>
      </c>
      <c r="C2437" s="33"/>
      <c r="D2437" s="33"/>
      <c r="E2437" s="33"/>
      <c r="F2437" s="56"/>
      <c r="G2437" s="33"/>
      <c r="H2437" s="33"/>
      <c r="I2437" s="33"/>
      <c r="J2437" s="57"/>
      <c r="K2437" s="33"/>
      <c r="L2437" s="57"/>
      <c r="M2437" s="64"/>
      <c r="N2437" s="56"/>
      <c r="O2437" s="64"/>
      <c r="P2437" s="62"/>
      <c r="Q2437" s="33"/>
      <c r="R2437" s="33"/>
      <c r="S2437" s="61"/>
      <c r="T2437" s="33"/>
      <c r="U2437" s="62"/>
      <c r="W2437" s="61"/>
      <c r="X2437" s="62"/>
      <c r="AD2437" s="58"/>
      <c r="AG2437" s="64"/>
    </row>
    <row r="2438" spans="2:33" ht="16">
      <c r="B2438" s="67" t="str">
        <f t="shared" si="10"/>
        <v/>
      </c>
      <c r="C2438" s="33"/>
      <c r="D2438" s="33"/>
      <c r="E2438" s="33"/>
      <c r="F2438" s="56"/>
      <c r="G2438" s="33"/>
      <c r="H2438" s="33"/>
      <c r="I2438" s="33"/>
      <c r="J2438" s="57"/>
      <c r="K2438" s="33"/>
      <c r="L2438" s="57"/>
      <c r="M2438" s="64"/>
      <c r="N2438" s="56"/>
      <c r="O2438" s="64"/>
      <c r="P2438" s="62"/>
      <c r="Q2438" s="33"/>
      <c r="R2438" s="33"/>
      <c r="S2438" s="61"/>
      <c r="T2438" s="33"/>
      <c r="U2438" s="62"/>
      <c r="W2438" s="61"/>
      <c r="X2438" s="62"/>
      <c r="AD2438" s="58"/>
      <c r="AG2438" s="64"/>
    </row>
    <row r="2439" spans="2:33" ht="16">
      <c r="B2439" s="67" t="str">
        <f t="shared" si="10"/>
        <v/>
      </c>
      <c r="C2439" s="33"/>
      <c r="D2439" s="33"/>
      <c r="E2439" s="33"/>
      <c r="F2439" s="56"/>
      <c r="G2439" s="33"/>
      <c r="H2439" s="33"/>
      <c r="I2439" s="33"/>
      <c r="J2439" s="57"/>
      <c r="K2439" s="33"/>
      <c r="L2439" s="57"/>
      <c r="M2439" s="64"/>
      <c r="N2439" s="56"/>
      <c r="O2439" s="64"/>
      <c r="P2439" s="62"/>
      <c r="Q2439" s="33"/>
      <c r="R2439" s="33"/>
      <c r="S2439" s="61"/>
      <c r="T2439" s="33"/>
      <c r="U2439" s="62"/>
      <c r="W2439" s="61"/>
      <c r="X2439" s="62"/>
      <c r="AD2439" s="58"/>
      <c r="AG2439" s="64"/>
    </row>
    <row r="2440" spans="2:33" ht="16">
      <c r="B2440" s="67" t="str">
        <f t="shared" si="10"/>
        <v/>
      </c>
      <c r="C2440" s="33"/>
      <c r="D2440" s="33"/>
      <c r="E2440" s="33"/>
      <c r="F2440" s="56"/>
      <c r="G2440" s="33"/>
      <c r="H2440" s="33"/>
      <c r="I2440" s="33"/>
      <c r="J2440" s="57"/>
      <c r="K2440" s="33"/>
      <c r="L2440" s="57"/>
      <c r="M2440" s="64"/>
      <c r="N2440" s="56"/>
      <c r="O2440" s="64"/>
      <c r="P2440" s="62"/>
      <c r="Q2440" s="33"/>
      <c r="R2440" s="33"/>
      <c r="S2440" s="61"/>
      <c r="T2440" s="33"/>
      <c r="U2440" s="62"/>
      <c r="W2440" s="61"/>
      <c r="X2440" s="62"/>
      <c r="AD2440" s="58"/>
      <c r="AG2440" s="64"/>
    </row>
    <row r="2441" spans="2:33" ht="16">
      <c r="B2441" s="67" t="str">
        <f t="shared" si="10"/>
        <v/>
      </c>
      <c r="C2441" s="33"/>
      <c r="D2441" s="33"/>
      <c r="E2441" s="33"/>
      <c r="F2441" s="56"/>
      <c r="G2441" s="33"/>
      <c r="H2441" s="33"/>
      <c r="I2441" s="33"/>
      <c r="J2441" s="57"/>
      <c r="K2441" s="33"/>
      <c r="L2441" s="57"/>
      <c r="M2441" s="64"/>
      <c r="N2441" s="56"/>
      <c r="O2441" s="64"/>
      <c r="P2441" s="62"/>
      <c r="Q2441" s="33"/>
      <c r="R2441" s="33"/>
      <c r="S2441" s="61"/>
      <c r="T2441" s="33"/>
      <c r="U2441" s="62"/>
      <c r="W2441" s="61"/>
      <c r="X2441" s="62"/>
      <c r="AD2441" s="58"/>
      <c r="AG2441" s="64"/>
    </row>
    <row r="2442" spans="2:33" ht="16">
      <c r="B2442" s="67" t="str">
        <f t="shared" si="10"/>
        <v/>
      </c>
      <c r="C2442" s="33"/>
      <c r="D2442" s="33"/>
      <c r="E2442" s="33"/>
      <c r="F2442" s="56"/>
      <c r="G2442" s="33"/>
      <c r="H2442" s="33"/>
      <c r="I2442" s="33"/>
      <c r="J2442" s="57"/>
      <c r="K2442" s="33"/>
      <c r="L2442" s="57"/>
      <c r="M2442" s="64"/>
      <c r="N2442" s="56"/>
      <c r="O2442" s="64"/>
      <c r="P2442" s="62"/>
      <c r="Q2442" s="33"/>
      <c r="R2442" s="33"/>
      <c r="S2442" s="61"/>
      <c r="T2442" s="33"/>
      <c r="U2442" s="62"/>
      <c r="W2442" s="61"/>
      <c r="X2442" s="62"/>
      <c r="AD2442" s="58"/>
      <c r="AG2442" s="64"/>
    </row>
    <row r="2443" spans="2:33" ht="16">
      <c r="B2443" s="67" t="str">
        <f t="shared" si="10"/>
        <v/>
      </c>
      <c r="C2443" s="33"/>
      <c r="D2443" s="33"/>
      <c r="E2443" s="33"/>
      <c r="F2443" s="56"/>
      <c r="G2443" s="33"/>
      <c r="H2443" s="33"/>
      <c r="I2443" s="33"/>
      <c r="J2443" s="57"/>
      <c r="K2443" s="33"/>
      <c r="L2443" s="57"/>
      <c r="M2443" s="64"/>
      <c r="N2443" s="56"/>
      <c r="O2443" s="64"/>
      <c r="P2443" s="62"/>
      <c r="Q2443" s="33"/>
      <c r="R2443" s="33"/>
      <c r="S2443" s="61"/>
      <c r="T2443" s="33"/>
      <c r="U2443" s="62"/>
      <c r="W2443" s="61"/>
      <c r="X2443" s="62"/>
      <c r="AD2443" s="64"/>
      <c r="AG2443" s="64"/>
    </row>
    <row r="2444" spans="2:33" ht="16">
      <c r="B2444" s="67" t="str">
        <f t="shared" si="10"/>
        <v/>
      </c>
      <c r="C2444" s="33"/>
      <c r="D2444" s="33"/>
      <c r="E2444" s="33"/>
      <c r="F2444" s="56"/>
      <c r="G2444" s="33"/>
      <c r="H2444" s="33"/>
      <c r="I2444" s="33"/>
      <c r="J2444" s="57"/>
      <c r="K2444" s="33"/>
      <c r="L2444" s="57"/>
      <c r="M2444" s="64"/>
      <c r="N2444" s="56"/>
      <c r="O2444" s="64"/>
      <c r="P2444" s="62"/>
      <c r="Q2444" s="33"/>
      <c r="R2444" s="33"/>
      <c r="S2444" s="61"/>
      <c r="T2444" s="33"/>
      <c r="U2444" s="62"/>
      <c r="W2444" s="61"/>
      <c r="X2444" s="62"/>
      <c r="AD2444" s="58"/>
      <c r="AG2444" s="64"/>
    </row>
    <row r="2445" spans="2:33" ht="16">
      <c r="B2445" s="67" t="str">
        <f t="shared" si="10"/>
        <v/>
      </c>
      <c r="C2445" s="33"/>
      <c r="D2445" s="33"/>
      <c r="E2445" s="33"/>
      <c r="F2445" s="56"/>
      <c r="G2445" s="33"/>
      <c r="H2445" s="33"/>
      <c r="I2445" s="33"/>
      <c r="J2445" s="57"/>
      <c r="K2445" s="33"/>
      <c r="L2445" s="57"/>
      <c r="M2445" s="64"/>
      <c r="N2445" s="56"/>
      <c r="O2445" s="64"/>
      <c r="P2445" s="62"/>
      <c r="Q2445" s="33"/>
      <c r="R2445" s="33"/>
      <c r="S2445" s="61"/>
      <c r="T2445" s="33"/>
      <c r="U2445" s="62"/>
      <c r="W2445" s="61"/>
      <c r="X2445" s="62"/>
      <c r="AD2445" s="64"/>
      <c r="AG2445" s="64"/>
    </row>
    <row r="2446" spans="2:33" ht="16">
      <c r="B2446" s="67" t="str">
        <f t="shared" si="10"/>
        <v/>
      </c>
      <c r="C2446" s="33"/>
      <c r="D2446" s="33"/>
      <c r="E2446" s="33"/>
      <c r="F2446" s="56"/>
      <c r="G2446" s="33"/>
      <c r="H2446" s="33"/>
      <c r="I2446" s="33"/>
      <c r="J2446" s="57"/>
      <c r="K2446" s="33"/>
      <c r="L2446" s="57"/>
      <c r="M2446" s="64"/>
      <c r="N2446" s="56"/>
      <c r="O2446" s="64"/>
      <c r="P2446" s="62"/>
      <c r="Q2446" s="33"/>
      <c r="R2446" s="33"/>
      <c r="S2446" s="61"/>
      <c r="T2446" s="33"/>
      <c r="U2446" s="62"/>
      <c r="W2446" s="61"/>
      <c r="X2446" s="62"/>
      <c r="AD2446" s="58"/>
      <c r="AG2446" s="64"/>
    </row>
    <row r="2447" spans="2:33" ht="16">
      <c r="B2447" s="67" t="str">
        <f t="shared" si="10"/>
        <v/>
      </c>
      <c r="C2447" s="33"/>
      <c r="D2447" s="33"/>
      <c r="E2447" s="33"/>
      <c r="F2447" s="56"/>
      <c r="G2447" s="33"/>
      <c r="H2447" s="33"/>
      <c r="I2447" s="33"/>
      <c r="J2447" s="57"/>
      <c r="K2447" s="33"/>
      <c r="L2447" s="57"/>
      <c r="M2447" s="64"/>
      <c r="N2447" s="56"/>
      <c r="O2447" s="64"/>
      <c r="P2447" s="62"/>
      <c r="Q2447" s="33"/>
      <c r="R2447" s="33"/>
      <c r="S2447" s="61"/>
      <c r="T2447" s="33"/>
      <c r="U2447" s="62"/>
      <c r="W2447" s="61"/>
      <c r="X2447" s="62"/>
      <c r="AD2447" s="64"/>
      <c r="AG2447" s="64"/>
    </row>
    <row r="2448" spans="2:33" ht="16">
      <c r="B2448" s="67" t="str">
        <f t="shared" si="10"/>
        <v/>
      </c>
      <c r="C2448" s="33"/>
      <c r="D2448" s="33"/>
      <c r="E2448" s="33"/>
      <c r="F2448" s="56"/>
      <c r="G2448" s="33"/>
      <c r="H2448" s="33"/>
      <c r="I2448" s="33"/>
      <c r="J2448" s="57"/>
      <c r="K2448" s="33"/>
      <c r="L2448" s="57"/>
      <c r="M2448" s="58"/>
      <c r="N2448" s="56"/>
      <c r="O2448" s="58"/>
      <c r="P2448" s="62"/>
      <c r="Q2448" s="33"/>
      <c r="R2448" s="33"/>
      <c r="S2448" s="61"/>
      <c r="T2448" s="33"/>
      <c r="U2448" s="62"/>
      <c r="W2448" s="61"/>
      <c r="X2448" s="62"/>
      <c r="AD2448" s="58"/>
      <c r="AG2448" s="64"/>
    </row>
    <row r="2449" spans="2:33" ht="16">
      <c r="B2449" s="67" t="str">
        <f t="shared" si="10"/>
        <v/>
      </c>
      <c r="C2449" s="33"/>
      <c r="D2449" s="33"/>
      <c r="E2449" s="33"/>
      <c r="F2449" s="56"/>
      <c r="G2449" s="33"/>
      <c r="H2449" s="33"/>
      <c r="I2449" s="33"/>
      <c r="J2449" s="57"/>
      <c r="K2449" s="33"/>
      <c r="L2449" s="57"/>
      <c r="M2449" s="64"/>
      <c r="N2449" s="56"/>
      <c r="O2449" s="64"/>
      <c r="P2449" s="62"/>
      <c r="Q2449" s="33"/>
      <c r="R2449" s="33"/>
      <c r="S2449" s="61"/>
      <c r="T2449" s="33"/>
      <c r="U2449" s="62"/>
      <c r="W2449" s="61"/>
      <c r="X2449" s="62"/>
      <c r="AD2449" s="58"/>
      <c r="AG2449" s="58"/>
    </row>
    <row r="2450" spans="2:33" ht="16">
      <c r="B2450" s="67" t="str">
        <f t="shared" si="10"/>
        <v/>
      </c>
      <c r="C2450" s="33"/>
      <c r="D2450" s="33"/>
      <c r="E2450" s="33"/>
      <c r="F2450" s="56"/>
      <c r="G2450" s="33"/>
      <c r="H2450" s="33"/>
      <c r="I2450" s="33"/>
      <c r="J2450" s="57"/>
      <c r="K2450" s="33"/>
      <c r="L2450" s="57"/>
      <c r="M2450" s="64"/>
      <c r="N2450" s="56"/>
      <c r="O2450" s="58"/>
      <c r="P2450" s="62"/>
      <c r="Q2450" s="33"/>
      <c r="R2450" s="33"/>
      <c r="S2450" s="61"/>
      <c r="T2450" s="33"/>
      <c r="U2450" s="62"/>
      <c r="W2450" s="61"/>
      <c r="X2450" s="62"/>
      <c r="AD2450" s="58"/>
      <c r="AG2450" s="64"/>
    </row>
    <row r="2451" spans="2:33" ht="16">
      <c r="B2451" s="67" t="str">
        <f t="shared" si="10"/>
        <v/>
      </c>
      <c r="C2451" s="33"/>
      <c r="D2451" s="33"/>
      <c r="E2451" s="33"/>
      <c r="F2451" s="56"/>
      <c r="G2451" s="33"/>
      <c r="H2451" s="33"/>
      <c r="I2451" s="33"/>
      <c r="J2451" s="57"/>
      <c r="K2451" s="33"/>
      <c r="L2451" s="57"/>
      <c r="M2451" s="64"/>
      <c r="N2451" s="56"/>
      <c r="O2451" s="64"/>
      <c r="P2451" s="62"/>
      <c r="Q2451" s="33"/>
      <c r="R2451" s="33"/>
      <c r="S2451" s="61"/>
      <c r="T2451" s="33"/>
      <c r="U2451" s="62"/>
      <c r="W2451" s="61"/>
      <c r="X2451" s="62"/>
      <c r="AD2451" s="58"/>
      <c r="AG2451" s="58"/>
    </row>
    <row r="2452" spans="2:33" ht="16">
      <c r="B2452" s="67" t="str">
        <f t="shared" si="10"/>
        <v/>
      </c>
      <c r="C2452" s="33"/>
      <c r="D2452" s="33"/>
      <c r="E2452" s="33"/>
      <c r="F2452" s="56"/>
      <c r="G2452" s="33"/>
      <c r="H2452" s="33"/>
      <c r="I2452" s="33"/>
      <c r="J2452" s="57"/>
      <c r="K2452" s="33"/>
      <c r="L2452" s="57"/>
      <c r="M2452" s="64"/>
      <c r="N2452" s="56"/>
      <c r="O2452" s="64"/>
      <c r="P2452" s="62"/>
      <c r="Q2452" s="33"/>
      <c r="R2452" s="33"/>
      <c r="S2452" s="61"/>
      <c r="T2452" s="33"/>
      <c r="U2452" s="62"/>
      <c r="W2452" s="61"/>
      <c r="X2452" s="62"/>
      <c r="AD2452" s="58"/>
      <c r="AG2452" s="64"/>
    </row>
    <row r="2453" spans="2:33" ht="16">
      <c r="B2453" s="67" t="str">
        <f t="shared" si="10"/>
        <v/>
      </c>
      <c r="C2453" s="33"/>
      <c r="D2453" s="33"/>
      <c r="E2453" s="33"/>
      <c r="F2453" s="56"/>
      <c r="G2453" s="33"/>
      <c r="H2453" s="33"/>
      <c r="I2453" s="33"/>
      <c r="J2453" s="57"/>
      <c r="K2453" s="33"/>
      <c r="L2453" s="57"/>
      <c r="M2453" s="58"/>
      <c r="N2453" s="56"/>
      <c r="O2453" s="64"/>
      <c r="P2453" s="62"/>
      <c r="Q2453" s="33"/>
      <c r="R2453" s="33"/>
      <c r="S2453" s="61"/>
      <c r="T2453" s="33"/>
      <c r="U2453" s="62"/>
      <c r="W2453" s="61"/>
      <c r="X2453" s="62"/>
      <c r="AD2453" s="58"/>
      <c r="AG2453" s="64"/>
    </row>
    <row r="2454" spans="2:33" ht="16">
      <c r="B2454" s="67" t="str">
        <f t="shared" si="10"/>
        <v/>
      </c>
      <c r="C2454" s="33"/>
      <c r="D2454" s="33"/>
      <c r="E2454" s="33"/>
      <c r="F2454" s="56"/>
      <c r="G2454" s="33"/>
      <c r="H2454" s="33"/>
      <c r="I2454" s="33"/>
      <c r="J2454" s="57"/>
      <c r="K2454" s="33"/>
      <c r="L2454" s="57"/>
      <c r="M2454" s="64"/>
      <c r="N2454" s="56"/>
      <c r="O2454" s="64"/>
      <c r="P2454" s="62"/>
      <c r="Q2454" s="33"/>
      <c r="R2454" s="33"/>
      <c r="S2454" s="61"/>
      <c r="T2454" s="33"/>
      <c r="U2454" s="62"/>
      <c r="W2454" s="61"/>
      <c r="X2454" s="62"/>
      <c r="AD2454" s="64"/>
      <c r="AG2454" s="64"/>
    </row>
    <row r="2455" spans="2:33" ht="16">
      <c r="B2455" s="67" t="str">
        <f t="shared" si="10"/>
        <v/>
      </c>
      <c r="C2455" s="33"/>
      <c r="D2455" s="33"/>
      <c r="E2455" s="33"/>
      <c r="F2455" s="56"/>
      <c r="G2455" s="33"/>
      <c r="H2455" s="33"/>
      <c r="I2455" s="33"/>
      <c r="J2455" s="57"/>
      <c r="K2455" s="33"/>
      <c r="L2455" s="57"/>
      <c r="M2455" s="64"/>
      <c r="N2455" s="56"/>
      <c r="O2455" s="64"/>
      <c r="P2455" s="62"/>
      <c r="Q2455" s="33"/>
      <c r="R2455" s="33"/>
      <c r="S2455" s="61"/>
      <c r="T2455" s="33"/>
      <c r="U2455" s="62"/>
      <c r="W2455" s="61"/>
      <c r="X2455" s="62"/>
      <c r="AG2455" s="64"/>
    </row>
    <row r="2456" spans="2:33" ht="16">
      <c r="B2456" s="67" t="str">
        <f t="shared" si="10"/>
        <v/>
      </c>
      <c r="C2456" s="33"/>
      <c r="D2456" s="33"/>
      <c r="E2456" s="33"/>
      <c r="F2456" s="56"/>
      <c r="G2456" s="33"/>
      <c r="H2456" s="33"/>
      <c r="I2456" s="33"/>
      <c r="J2456" s="57"/>
      <c r="K2456" s="33"/>
      <c r="L2456" s="57"/>
      <c r="M2456" s="64"/>
      <c r="N2456" s="56"/>
      <c r="O2456" s="58"/>
      <c r="P2456" s="62"/>
      <c r="Q2456" s="33"/>
      <c r="R2456" s="33"/>
      <c r="S2456" s="61"/>
      <c r="T2456" s="33"/>
      <c r="U2456" s="62"/>
      <c r="W2456" s="61"/>
      <c r="X2456" s="62"/>
      <c r="AD2456" s="58"/>
      <c r="AG2456" s="64"/>
    </row>
    <row r="2457" spans="2:33" ht="16">
      <c r="B2457" s="67" t="str">
        <f t="shared" si="10"/>
        <v/>
      </c>
      <c r="C2457" s="33"/>
      <c r="D2457" s="33"/>
      <c r="E2457" s="33"/>
      <c r="F2457" s="56"/>
      <c r="G2457" s="33"/>
      <c r="H2457" s="33"/>
      <c r="I2457" s="33"/>
      <c r="J2457" s="57"/>
      <c r="K2457" s="33"/>
      <c r="L2457" s="57"/>
      <c r="M2457" s="64"/>
      <c r="N2457" s="56"/>
      <c r="O2457" s="58"/>
      <c r="P2457" s="62"/>
      <c r="Q2457" s="33"/>
      <c r="R2457" s="33"/>
      <c r="S2457" s="61"/>
      <c r="T2457" s="33"/>
      <c r="U2457" s="62"/>
      <c r="W2457" s="61"/>
      <c r="X2457" s="62"/>
      <c r="AD2457" s="58"/>
      <c r="AG2457" s="64"/>
    </row>
    <row r="2458" spans="2:33" ht="16">
      <c r="B2458" s="67" t="str">
        <f t="shared" si="10"/>
        <v/>
      </c>
      <c r="C2458" s="33"/>
      <c r="D2458" s="33"/>
      <c r="E2458" s="33"/>
      <c r="F2458" s="56"/>
      <c r="G2458" s="33"/>
      <c r="H2458" s="33"/>
      <c r="I2458" s="33"/>
      <c r="J2458" s="57"/>
      <c r="K2458" s="33"/>
      <c r="L2458" s="57"/>
      <c r="M2458" s="58"/>
      <c r="N2458" s="56"/>
      <c r="O2458" s="58"/>
      <c r="P2458" s="62"/>
      <c r="Q2458" s="33"/>
      <c r="R2458" s="33"/>
      <c r="S2458" s="61"/>
      <c r="T2458" s="33"/>
      <c r="U2458" s="62"/>
      <c r="W2458" s="61"/>
      <c r="X2458" s="62"/>
      <c r="AD2458" s="58"/>
      <c r="AG2458" s="64"/>
    </row>
    <row r="2459" spans="2:33" ht="16">
      <c r="B2459" s="67" t="str">
        <f t="shared" si="10"/>
        <v/>
      </c>
      <c r="C2459" s="33"/>
      <c r="D2459" s="33"/>
      <c r="E2459" s="33"/>
      <c r="F2459" s="56"/>
      <c r="G2459" s="33"/>
      <c r="H2459" s="33"/>
      <c r="I2459" s="33"/>
      <c r="J2459" s="57"/>
      <c r="K2459" s="33"/>
      <c r="L2459" s="57"/>
      <c r="M2459" s="58"/>
      <c r="N2459" s="56"/>
      <c r="O2459" s="64"/>
      <c r="P2459" s="62"/>
      <c r="Q2459" s="33"/>
      <c r="R2459" s="33"/>
      <c r="S2459" s="61"/>
      <c r="T2459" s="33"/>
      <c r="U2459" s="62"/>
      <c r="W2459" s="61"/>
      <c r="X2459" s="62"/>
      <c r="AD2459" s="58"/>
      <c r="AG2459" s="64"/>
    </row>
    <row r="2460" spans="2:33" ht="16">
      <c r="B2460" s="67" t="str">
        <f t="shared" si="10"/>
        <v/>
      </c>
      <c r="C2460" s="33"/>
      <c r="D2460" s="33"/>
      <c r="E2460" s="33"/>
      <c r="F2460" s="56"/>
      <c r="G2460" s="33"/>
      <c r="H2460" s="33"/>
      <c r="I2460" s="33"/>
      <c r="J2460" s="57"/>
      <c r="K2460" s="33"/>
      <c r="L2460" s="57"/>
      <c r="M2460" s="64"/>
      <c r="N2460" s="56"/>
      <c r="O2460" s="64"/>
      <c r="P2460" s="62"/>
      <c r="Q2460" s="33"/>
      <c r="R2460" s="33"/>
      <c r="S2460" s="61"/>
      <c r="T2460" s="33"/>
      <c r="U2460" s="62"/>
      <c r="W2460" s="61"/>
      <c r="X2460" s="62"/>
      <c r="AD2460" s="64"/>
      <c r="AG2460" s="64"/>
    </row>
    <row r="2461" spans="2:33" ht="16">
      <c r="B2461" s="67" t="str">
        <f t="shared" si="10"/>
        <v/>
      </c>
      <c r="C2461" s="33"/>
      <c r="D2461" s="33"/>
      <c r="E2461" s="33"/>
      <c r="F2461" s="56"/>
      <c r="G2461" s="33"/>
      <c r="H2461" s="33"/>
      <c r="I2461" s="33"/>
      <c r="J2461" s="57"/>
      <c r="K2461" s="33"/>
      <c r="L2461" s="57"/>
      <c r="M2461" s="64"/>
      <c r="N2461" s="56"/>
      <c r="O2461" s="64"/>
      <c r="P2461" s="62"/>
      <c r="Q2461" s="33"/>
      <c r="R2461" s="33"/>
      <c r="S2461" s="61"/>
      <c r="T2461" s="33"/>
      <c r="U2461" s="62"/>
      <c r="W2461" s="61"/>
      <c r="X2461" s="62"/>
      <c r="AD2461" s="58"/>
      <c r="AG2461" s="64"/>
    </row>
    <row r="2462" spans="2:33" ht="16">
      <c r="B2462" s="67" t="str">
        <f t="shared" si="10"/>
        <v/>
      </c>
      <c r="C2462" s="33"/>
      <c r="D2462" s="33"/>
      <c r="E2462" s="33"/>
      <c r="F2462" s="56"/>
      <c r="G2462" s="33"/>
      <c r="H2462" s="33"/>
      <c r="I2462" s="33"/>
      <c r="J2462" s="57"/>
      <c r="K2462" s="33"/>
      <c r="L2462" s="57"/>
      <c r="M2462" s="64"/>
      <c r="N2462" s="56"/>
      <c r="O2462" s="64"/>
      <c r="P2462" s="62"/>
      <c r="Q2462" s="33"/>
      <c r="R2462" s="33"/>
      <c r="S2462" s="61"/>
      <c r="T2462" s="33"/>
      <c r="U2462" s="62"/>
      <c r="W2462" s="61"/>
      <c r="X2462" s="62"/>
      <c r="AD2462" s="58"/>
      <c r="AG2462" s="58"/>
    </row>
    <row r="2463" spans="2:33" ht="16">
      <c r="B2463" s="67" t="str">
        <f t="shared" si="10"/>
        <v/>
      </c>
      <c r="C2463" s="33"/>
      <c r="D2463" s="33"/>
      <c r="E2463" s="33"/>
      <c r="F2463" s="56"/>
      <c r="G2463" s="33"/>
      <c r="H2463" s="33"/>
      <c r="I2463" s="33"/>
      <c r="J2463" s="57"/>
      <c r="K2463" s="33"/>
      <c r="L2463" s="57"/>
      <c r="M2463" s="64"/>
      <c r="N2463" s="56"/>
      <c r="O2463" s="64"/>
      <c r="P2463" s="62"/>
      <c r="Q2463" s="33"/>
      <c r="R2463" s="33"/>
      <c r="S2463" s="61"/>
      <c r="T2463" s="33"/>
      <c r="U2463" s="62"/>
      <c r="W2463" s="61"/>
      <c r="X2463" s="62"/>
      <c r="AD2463" s="64"/>
      <c r="AG2463" s="64"/>
    </row>
    <row r="2464" spans="2:33" ht="16">
      <c r="B2464" s="67" t="str">
        <f t="shared" si="10"/>
        <v/>
      </c>
      <c r="C2464" s="33"/>
      <c r="D2464" s="33"/>
      <c r="E2464" s="33"/>
      <c r="F2464" s="56"/>
      <c r="G2464" s="33"/>
      <c r="H2464" s="33"/>
      <c r="I2464" s="33"/>
      <c r="J2464" s="57"/>
      <c r="K2464" s="33"/>
      <c r="L2464" s="57"/>
      <c r="M2464" s="64"/>
      <c r="N2464" s="56"/>
      <c r="O2464" s="64"/>
      <c r="P2464" s="62"/>
      <c r="Q2464" s="33"/>
      <c r="R2464" s="33"/>
      <c r="S2464" s="61"/>
      <c r="T2464" s="33"/>
      <c r="U2464" s="62"/>
      <c r="W2464" s="61"/>
      <c r="X2464" s="62"/>
      <c r="AD2464" s="64"/>
      <c r="AG2464" s="58"/>
    </row>
    <row r="2465" spans="2:33" ht="16">
      <c r="B2465" s="67" t="str">
        <f t="shared" si="10"/>
        <v/>
      </c>
      <c r="C2465" s="33"/>
      <c r="D2465" s="33"/>
      <c r="E2465" s="33"/>
      <c r="F2465" s="56"/>
      <c r="G2465" s="33"/>
      <c r="H2465" s="33"/>
      <c r="I2465" s="33"/>
      <c r="J2465" s="57"/>
      <c r="K2465" s="33"/>
      <c r="L2465" s="57"/>
      <c r="M2465" s="64"/>
      <c r="N2465" s="56"/>
      <c r="O2465" s="64"/>
      <c r="P2465" s="62"/>
      <c r="Q2465" s="33"/>
      <c r="R2465" s="33"/>
      <c r="S2465" s="61"/>
      <c r="T2465" s="33"/>
      <c r="U2465" s="62"/>
      <c r="W2465" s="61"/>
      <c r="X2465" s="62"/>
      <c r="AD2465" s="58"/>
      <c r="AG2465" s="64"/>
    </row>
    <row r="2466" spans="2:33" ht="16">
      <c r="B2466" s="67" t="str">
        <f t="shared" si="10"/>
        <v/>
      </c>
      <c r="C2466" s="33"/>
      <c r="D2466" s="33"/>
      <c r="E2466" s="33"/>
      <c r="F2466" s="56"/>
      <c r="G2466" s="33"/>
      <c r="H2466" s="33"/>
      <c r="I2466" s="33"/>
      <c r="J2466" s="57"/>
      <c r="K2466" s="33"/>
      <c r="L2466" s="57"/>
      <c r="M2466" s="64"/>
      <c r="N2466" s="56"/>
      <c r="O2466" s="64"/>
      <c r="P2466" s="62"/>
      <c r="Q2466" s="33"/>
      <c r="R2466" s="33"/>
      <c r="S2466" s="61"/>
      <c r="T2466" s="33"/>
      <c r="U2466" s="62"/>
      <c r="W2466" s="61"/>
      <c r="AD2466" s="58"/>
      <c r="AG2466" s="58"/>
    </row>
    <row r="2467" spans="2:33" ht="16">
      <c r="B2467" s="67" t="str">
        <f t="shared" si="10"/>
        <v/>
      </c>
      <c r="C2467" s="33"/>
      <c r="D2467" s="33"/>
      <c r="E2467" s="33"/>
      <c r="F2467" s="56"/>
      <c r="G2467" s="33"/>
      <c r="H2467" s="33"/>
      <c r="I2467" s="33"/>
      <c r="J2467" s="57"/>
      <c r="K2467" s="33"/>
      <c r="L2467" s="57"/>
      <c r="M2467" s="64"/>
      <c r="N2467" s="56"/>
      <c r="O2467" s="64"/>
      <c r="P2467" s="62"/>
      <c r="Q2467" s="33"/>
      <c r="R2467" s="33"/>
      <c r="S2467" s="61"/>
      <c r="T2467" s="33"/>
      <c r="U2467" s="62"/>
      <c r="W2467" s="61"/>
      <c r="AD2467" s="64"/>
      <c r="AG2467" s="58"/>
    </row>
    <row r="2468" spans="2:33" ht="16">
      <c r="B2468" s="67" t="str">
        <f t="shared" si="10"/>
        <v/>
      </c>
      <c r="C2468" s="33"/>
      <c r="D2468" s="33"/>
      <c r="E2468" s="33"/>
      <c r="F2468" s="56"/>
      <c r="G2468" s="33"/>
      <c r="H2468" s="33"/>
      <c r="I2468" s="33"/>
      <c r="J2468" s="57"/>
      <c r="K2468" s="33"/>
      <c r="L2468" s="57"/>
      <c r="M2468" s="58"/>
      <c r="N2468" s="56"/>
      <c r="O2468" s="58"/>
      <c r="P2468" s="62"/>
      <c r="Q2468" s="33"/>
      <c r="R2468" s="33"/>
      <c r="S2468" s="61"/>
      <c r="T2468" s="33"/>
      <c r="U2468" s="62"/>
      <c r="W2468" s="61"/>
      <c r="AD2468" s="58"/>
      <c r="AG2468" s="58"/>
    </row>
    <row r="2469" spans="2:33" ht="16">
      <c r="B2469" s="67" t="str">
        <f t="shared" si="10"/>
        <v/>
      </c>
      <c r="C2469" s="33"/>
      <c r="D2469" s="33"/>
      <c r="E2469" s="33"/>
      <c r="F2469" s="56"/>
      <c r="G2469" s="33"/>
      <c r="H2469" s="33"/>
      <c r="I2469" s="33"/>
      <c r="J2469" s="57"/>
      <c r="K2469" s="33"/>
      <c r="L2469" s="57"/>
      <c r="M2469" s="64"/>
      <c r="N2469" s="56"/>
      <c r="O2469" s="64"/>
      <c r="P2469" s="62"/>
      <c r="Q2469" s="33"/>
      <c r="R2469" s="33"/>
      <c r="S2469" s="61"/>
      <c r="T2469" s="33"/>
      <c r="U2469" s="62"/>
      <c r="W2469" s="61"/>
      <c r="X2469" s="62"/>
      <c r="AD2469" s="64"/>
      <c r="AG2469" s="58"/>
    </row>
    <row r="2470" spans="2:33" ht="16">
      <c r="B2470" s="67" t="str">
        <f t="shared" si="10"/>
        <v/>
      </c>
      <c r="C2470" s="33"/>
      <c r="D2470" s="33"/>
      <c r="E2470" s="33"/>
      <c r="F2470" s="56"/>
      <c r="G2470" s="33"/>
      <c r="H2470" s="33"/>
      <c r="I2470" s="33"/>
      <c r="J2470" s="57"/>
      <c r="K2470" s="33"/>
      <c r="L2470" s="57"/>
      <c r="M2470" s="64"/>
      <c r="N2470" s="56"/>
      <c r="O2470" s="64"/>
      <c r="P2470" s="62"/>
      <c r="Q2470" s="33"/>
      <c r="R2470" s="33"/>
      <c r="S2470" s="61"/>
      <c r="T2470" s="33"/>
      <c r="U2470" s="62"/>
      <c r="W2470" s="61"/>
      <c r="X2470" s="62"/>
      <c r="AD2470" s="58"/>
      <c r="AG2470" s="64"/>
    </row>
    <row r="2471" spans="2:33" ht="16">
      <c r="B2471" s="67" t="str">
        <f t="shared" si="10"/>
        <v/>
      </c>
      <c r="C2471" s="33"/>
      <c r="D2471" s="33"/>
      <c r="E2471" s="33"/>
      <c r="F2471" s="56"/>
      <c r="G2471" s="33"/>
      <c r="H2471" s="33"/>
      <c r="I2471" s="33"/>
      <c r="J2471" s="57"/>
      <c r="K2471" s="33"/>
      <c r="L2471" s="57"/>
      <c r="M2471" s="64"/>
      <c r="N2471" s="56"/>
      <c r="O2471" s="58"/>
      <c r="P2471" s="62"/>
      <c r="Q2471" s="33"/>
      <c r="R2471" s="33"/>
      <c r="S2471" s="61"/>
      <c r="T2471" s="33"/>
      <c r="U2471" s="62"/>
      <c r="W2471" s="61"/>
      <c r="X2471" s="62"/>
      <c r="AD2471" s="58"/>
      <c r="AG2471" s="58"/>
    </row>
    <row r="2472" spans="2:33" ht="16">
      <c r="B2472" s="67" t="str">
        <f t="shared" si="10"/>
        <v/>
      </c>
      <c r="C2472" s="33"/>
      <c r="D2472" s="33"/>
      <c r="E2472" s="33"/>
      <c r="F2472" s="56"/>
      <c r="G2472" s="33"/>
      <c r="H2472" s="33"/>
      <c r="I2472" s="33"/>
      <c r="J2472" s="57"/>
      <c r="K2472" s="33"/>
      <c r="L2472" s="57"/>
      <c r="M2472" s="64"/>
      <c r="N2472" s="56"/>
      <c r="O2472" s="64"/>
      <c r="P2472" s="62"/>
      <c r="Q2472" s="33"/>
      <c r="R2472" s="33"/>
      <c r="S2472" s="61"/>
      <c r="T2472" s="33"/>
      <c r="U2472" s="62"/>
      <c r="W2472" s="61"/>
      <c r="X2472" s="62"/>
      <c r="AD2472" s="64"/>
      <c r="AG2472" s="58"/>
    </row>
    <row r="2473" spans="2:33" ht="16">
      <c r="B2473" s="67" t="str">
        <f t="shared" si="10"/>
        <v/>
      </c>
      <c r="C2473" s="33"/>
      <c r="D2473" s="33"/>
      <c r="E2473" s="33"/>
      <c r="F2473" s="56"/>
      <c r="G2473" s="33"/>
      <c r="H2473" s="33"/>
      <c r="I2473" s="33"/>
      <c r="J2473" s="57"/>
      <c r="K2473" s="33"/>
      <c r="L2473" s="57"/>
      <c r="M2473" s="64"/>
      <c r="N2473" s="56"/>
      <c r="O2473" s="64"/>
      <c r="P2473" s="62"/>
      <c r="Q2473" s="33"/>
      <c r="R2473" s="33"/>
      <c r="S2473" s="61"/>
      <c r="T2473" s="33"/>
      <c r="U2473" s="62"/>
      <c r="W2473" s="61"/>
      <c r="AD2473" s="58"/>
      <c r="AG2473" s="58"/>
    </row>
    <row r="2474" spans="2:33" ht="16">
      <c r="B2474" s="67" t="str">
        <f t="shared" si="10"/>
        <v/>
      </c>
      <c r="C2474" s="33"/>
      <c r="D2474" s="33"/>
      <c r="E2474" s="33"/>
      <c r="F2474" s="56"/>
      <c r="G2474" s="33"/>
      <c r="H2474" s="33"/>
      <c r="I2474" s="33"/>
      <c r="J2474" s="57"/>
      <c r="K2474" s="33"/>
      <c r="L2474" s="57"/>
      <c r="M2474" s="58"/>
      <c r="N2474" s="56"/>
      <c r="O2474" s="58"/>
      <c r="P2474" s="62"/>
      <c r="Q2474" s="33"/>
      <c r="R2474" s="33"/>
      <c r="S2474" s="61"/>
      <c r="T2474" s="33"/>
      <c r="U2474" s="62"/>
      <c r="W2474" s="61"/>
      <c r="AD2474" s="58"/>
      <c r="AG2474" s="58"/>
    </row>
    <row r="2475" spans="2:33" ht="16">
      <c r="B2475" s="67" t="str">
        <f t="shared" si="10"/>
        <v/>
      </c>
      <c r="C2475" s="33"/>
      <c r="D2475" s="33"/>
      <c r="E2475" s="33"/>
      <c r="F2475" s="56"/>
      <c r="G2475" s="33"/>
      <c r="H2475" s="33"/>
      <c r="I2475" s="33"/>
      <c r="J2475" s="57"/>
      <c r="K2475" s="33"/>
      <c r="L2475" s="57"/>
      <c r="M2475" s="58"/>
      <c r="N2475" s="56"/>
      <c r="O2475" s="58"/>
      <c r="P2475" s="62"/>
      <c r="Q2475" s="33"/>
      <c r="R2475" s="33"/>
      <c r="S2475" s="61"/>
      <c r="T2475" s="33"/>
      <c r="U2475" s="62"/>
      <c r="W2475" s="61"/>
      <c r="AD2475" s="64"/>
      <c r="AG2475" s="64"/>
    </row>
    <row r="2476" spans="2:33" ht="16">
      <c r="B2476" s="67" t="str">
        <f t="shared" si="10"/>
        <v/>
      </c>
      <c r="C2476" s="33"/>
      <c r="D2476" s="33"/>
      <c r="E2476" s="33"/>
      <c r="F2476" s="56"/>
      <c r="G2476" s="33"/>
      <c r="H2476" s="33"/>
      <c r="I2476" s="33"/>
      <c r="J2476" s="57"/>
      <c r="K2476" s="33"/>
      <c r="L2476" s="57"/>
      <c r="M2476" s="64"/>
      <c r="N2476" s="56"/>
      <c r="O2476" s="64"/>
      <c r="P2476" s="62"/>
      <c r="Q2476" s="33"/>
      <c r="R2476" s="33"/>
      <c r="S2476" s="61"/>
      <c r="T2476" s="33"/>
      <c r="U2476" s="62"/>
      <c r="W2476" s="61"/>
      <c r="AD2476" s="58"/>
      <c r="AG2476" s="58"/>
    </row>
    <row r="2477" spans="2:33" ht="16">
      <c r="B2477" s="67" t="str">
        <f t="shared" si="10"/>
        <v/>
      </c>
      <c r="C2477" s="33"/>
      <c r="D2477" s="33"/>
      <c r="E2477" s="33"/>
      <c r="F2477" s="56"/>
      <c r="G2477" s="33"/>
      <c r="H2477" s="33"/>
      <c r="I2477" s="33"/>
      <c r="J2477" s="57"/>
      <c r="K2477" s="33"/>
      <c r="L2477" s="57"/>
      <c r="M2477" s="58"/>
      <c r="N2477" s="56"/>
      <c r="O2477" s="64"/>
      <c r="P2477" s="62"/>
      <c r="Q2477" s="33"/>
      <c r="R2477" s="33"/>
      <c r="S2477" s="61"/>
      <c r="T2477" s="33"/>
      <c r="U2477" s="62"/>
      <c r="W2477" s="61"/>
      <c r="X2477" s="62"/>
      <c r="AD2477" s="58"/>
      <c r="AG2477" s="58"/>
    </row>
    <row r="2478" spans="2:33" ht="16">
      <c r="B2478" s="67" t="str">
        <f t="shared" si="10"/>
        <v/>
      </c>
      <c r="C2478" s="33"/>
      <c r="D2478" s="33"/>
      <c r="E2478" s="33"/>
      <c r="F2478" s="56"/>
      <c r="G2478" s="33"/>
      <c r="H2478" s="33"/>
      <c r="I2478" s="33"/>
      <c r="J2478" s="57"/>
      <c r="K2478" s="33"/>
      <c r="L2478" s="57"/>
      <c r="M2478" s="64"/>
      <c r="N2478" s="56"/>
      <c r="O2478" s="58"/>
      <c r="P2478" s="62"/>
      <c r="Q2478" s="33"/>
      <c r="R2478" s="33"/>
      <c r="S2478" s="61"/>
      <c r="T2478" s="33"/>
      <c r="U2478" s="62"/>
      <c r="W2478" s="61"/>
      <c r="X2478" s="62"/>
      <c r="AD2478" s="58"/>
      <c r="AG2478" s="58"/>
    </row>
    <row r="2479" spans="2:33" ht="16">
      <c r="B2479" s="67" t="str">
        <f t="shared" si="10"/>
        <v/>
      </c>
      <c r="C2479" s="33"/>
      <c r="D2479" s="33"/>
      <c r="E2479" s="33"/>
      <c r="F2479" s="56"/>
      <c r="G2479" s="33"/>
      <c r="H2479" s="33"/>
      <c r="I2479" s="33"/>
      <c r="J2479" s="57"/>
      <c r="K2479" s="33"/>
      <c r="L2479" s="57"/>
      <c r="M2479" s="64"/>
      <c r="N2479" s="56"/>
      <c r="O2479" s="58"/>
      <c r="P2479" s="62"/>
      <c r="Q2479" s="33"/>
      <c r="R2479" s="33"/>
      <c r="S2479" s="61"/>
      <c r="T2479" s="33"/>
      <c r="U2479" s="62"/>
      <c r="W2479" s="61"/>
      <c r="X2479" s="62"/>
      <c r="AD2479" s="58"/>
      <c r="AG2479" s="64"/>
    </row>
    <row r="2480" spans="2:33" ht="16">
      <c r="B2480" s="67" t="str">
        <f t="shared" si="10"/>
        <v/>
      </c>
      <c r="C2480" s="33"/>
      <c r="D2480" s="33"/>
      <c r="E2480" s="33"/>
      <c r="F2480" s="56"/>
      <c r="G2480" s="33"/>
      <c r="H2480" s="33"/>
      <c r="I2480" s="33"/>
      <c r="J2480" s="57"/>
      <c r="K2480" s="33"/>
      <c r="L2480" s="57"/>
      <c r="M2480" s="64"/>
      <c r="N2480" s="56"/>
      <c r="O2480" s="64"/>
      <c r="P2480" s="62"/>
      <c r="Q2480" s="33"/>
      <c r="R2480" s="33"/>
      <c r="S2480" s="61"/>
      <c r="T2480" s="33"/>
      <c r="U2480" s="62"/>
      <c r="W2480" s="61"/>
      <c r="AD2480" s="58"/>
      <c r="AG2480" s="58"/>
    </row>
    <row r="2481" spans="2:33" ht="16">
      <c r="B2481" s="67" t="str">
        <f t="shared" si="10"/>
        <v/>
      </c>
      <c r="C2481" s="33"/>
      <c r="D2481" s="33"/>
      <c r="E2481" s="33"/>
      <c r="F2481" s="56"/>
      <c r="G2481" s="33"/>
      <c r="H2481" s="33"/>
      <c r="I2481" s="33"/>
      <c r="J2481" s="57"/>
      <c r="K2481" s="33"/>
      <c r="L2481" s="57"/>
      <c r="M2481" s="64"/>
      <c r="N2481" s="56"/>
      <c r="O2481" s="64"/>
      <c r="P2481" s="62"/>
      <c r="Q2481" s="33"/>
      <c r="R2481" s="33"/>
      <c r="S2481" s="61"/>
      <c r="T2481" s="33"/>
      <c r="U2481" s="62"/>
      <c r="W2481" s="61"/>
      <c r="AD2481" s="58"/>
      <c r="AG2481" s="64"/>
    </row>
    <row r="2482" spans="2:33" ht="16">
      <c r="B2482" s="67" t="str">
        <f t="shared" si="10"/>
        <v/>
      </c>
      <c r="C2482" s="33"/>
      <c r="D2482" s="33"/>
      <c r="E2482" s="33"/>
      <c r="F2482" s="56"/>
      <c r="G2482" s="33"/>
      <c r="H2482" s="33"/>
      <c r="I2482" s="33"/>
      <c r="J2482" s="57"/>
      <c r="K2482" s="33"/>
      <c r="L2482" s="57"/>
      <c r="M2482" s="58"/>
      <c r="N2482" s="56"/>
      <c r="O2482" s="58"/>
      <c r="P2482" s="62"/>
      <c r="Q2482" s="33"/>
      <c r="R2482" s="33"/>
      <c r="S2482" s="61"/>
      <c r="T2482" s="33"/>
      <c r="U2482" s="62"/>
      <c r="W2482" s="61"/>
      <c r="X2482" s="62"/>
      <c r="AD2482" s="58"/>
      <c r="AG2482" s="64"/>
    </row>
    <row r="2483" spans="2:33" ht="16">
      <c r="B2483" s="67" t="str">
        <f t="shared" si="10"/>
        <v/>
      </c>
      <c r="C2483" s="33"/>
      <c r="D2483" s="33"/>
      <c r="E2483" s="33"/>
      <c r="F2483" s="56"/>
      <c r="G2483" s="33"/>
      <c r="H2483" s="33"/>
      <c r="I2483" s="33"/>
      <c r="J2483" s="57"/>
      <c r="K2483" s="33"/>
      <c r="L2483" s="57"/>
      <c r="M2483" s="58"/>
      <c r="N2483" s="56"/>
      <c r="O2483" s="58"/>
      <c r="P2483" s="62"/>
      <c r="Q2483" s="33"/>
      <c r="R2483" s="33"/>
      <c r="S2483" s="61"/>
      <c r="T2483" s="33"/>
      <c r="U2483" s="62"/>
      <c r="W2483" s="61"/>
      <c r="AD2483" s="58"/>
      <c r="AG2483" s="58"/>
    </row>
    <row r="2484" spans="2:33" ht="16">
      <c r="B2484" s="67" t="str">
        <f t="shared" si="10"/>
        <v/>
      </c>
      <c r="C2484" s="33"/>
      <c r="D2484" s="33"/>
      <c r="E2484" s="33"/>
      <c r="F2484" s="56"/>
      <c r="G2484" s="33"/>
      <c r="H2484" s="33"/>
      <c r="I2484" s="33"/>
      <c r="J2484" s="57"/>
      <c r="K2484" s="33"/>
      <c r="L2484" s="57"/>
      <c r="M2484" s="64"/>
      <c r="N2484" s="56"/>
      <c r="O2484" s="64"/>
      <c r="P2484" s="62"/>
      <c r="Q2484" s="33"/>
      <c r="R2484" s="33"/>
      <c r="S2484" s="61"/>
      <c r="T2484" s="33"/>
      <c r="U2484" s="62"/>
      <c r="W2484" s="61"/>
      <c r="X2484" s="62"/>
      <c r="AD2484" s="58"/>
      <c r="AG2484" s="58"/>
    </row>
    <row r="2485" spans="2:33" ht="16">
      <c r="B2485" s="67" t="str">
        <f t="shared" si="10"/>
        <v/>
      </c>
      <c r="C2485" s="33"/>
      <c r="D2485" s="33"/>
      <c r="E2485" s="33"/>
      <c r="F2485" s="56"/>
      <c r="G2485" s="33"/>
      <c r="H2485" s="33"/>
      <c r="I2485" s="33"/>
      <c r="J2485" s="57"/>
      <c r="K2485" s="33"/>
      <c r="L2485" s="57"/>
      <c r="M2485" s="64"/>
      <c r="N2485" s="56"/>
      <c r="O2485" s="64"/>
      <c r="P2485" s="62"/>
      <c r="Q2485" s="33"/>
      <c r="R2485" s="33"/>
      <c r="S2485" s="61"/>
      <c r="T2485" s="33"/>
      <c r="U2485" s="62"/>
      <c r="W2485" s="61"/>
      <c r="X2485" s="62"/>
      <c r="AD2485" s="64"/>
      <c r="AG2485" s="58"/>
    </row>
    <row r="2486" spans="2:33" ht="16">
      <c r="B2486" s="67" t="str">
        <f t="shared" si="10"/>
        <v/>
      </c>
      <c r="C2486" s="33"/>
      <c r="D2486" s="33"/>
      <c r="E2486" s="33"/>
      <c r="F2486" s="56"/>
      <c r="G2486" s="33"/>
      <c r="H2486" s="33"/>
      <c r="I2486" s="33"/>
      <c r="J2486" s="57"/>
      <c r="K2486" s="33"/>
      <c r="L2486" s="57"/>
      <c r="M2486" s="64"/>
      <c r="N2486" s="56"/>
      <c r="O2486" s="64"/>
      <c r="P2486" s="62"/>
      <c r="Q2486" s="33"/>
      <c r="R2486" s="33"/>
      <c r="S2486" s="61"/>
      <c r="T2486" s="33"/>
      <c r="U2486" s="62"/>
      <c r="W2486" s="61"/>
      <c r="X2486" s="62"/>
      <c r="AD2486" s="64"/>
      <c r="AG2486" s="64"/>
    </row>
    <row r="2487" spans="2:33" ht="16">
      <c r="B2487" s="67" t="str">
        <f t="shared" si="10"/>
        <v/>
      </c>
      <c r="C2487" s="33"/>
      <c r="D2487" s="33"/>
      <c r="E2487" s="33"/>
      <c r="F2487" s="56"/>
      <c r="G2487" s="33"/>
      <c r="H2487" s="33"/>
      <c r="I2487" s="33"/>
      <c r="J2487" s="57"/>
      <c r="K2487" s="33"/>
      <c r="L2487" s="57"/>
      <c r="M2487" s="64"/>
      <c r="N2487" s="56"/>
      <c r="O2487" s="64"/>
      <c r="P2487" s="62"/>
      <c r="Q2487" s="33"/>
      <c r="R2487" s="33"/>
      <c r="S2487" s="61"/>
      <c r="T2487" s="33"/>
      <c r="U2487" s="62"/>
      <c r="W2487" s="61"/>
      <c r="AD2487" s="64"/>
      <c r="AG2487" s="64"/>
    </row>
    <row r="2488" spans="2:33" ht="16">
      <c r="B2488" s="67" t="str">
        <f t="shared" si="10"/>
        <v/>
      </c>
      <c r="C2488" s="33"/>
      <c r="D2488" s="33"/>
      <c r="E2488" s="33"/>
      <c r="F2488" s="56"/>
      <c r="G2488" s="33"/>
      <c r="H2488" s="33"/>
      <c r="I2488" s="33"/>
      <c r="J2488" s="57"/>
      <c r="K2488" s="33"/>
      <c r="L2488" s="57"/>
      <c r="M2488" s="58"/>
      <c r="N2488" s="56"/>
      <c r="O2488" s="58"/>
      <c r="P2488" s="62"/>
      <c r="Q2488" s="33"/>
      <c r="R2488" s="33"/>
      <c r="S2488" s="61"/>
      <c r="T2488" s="33"/>
      <c r="U2488" s="62"/>
      <c r="W2488" s="61"/>
      <c r="AD2488" s="58"/>
      <c r="AG2488" s="64"/>
    </row>
    <row r="2489" spans="2:33" ht="16">
      <c r="B2489" s="67" t="str">
        <f t="shared" si="10"/>
        <v/>
      </c>
      <c r="C2489" s="33"/>
      <c r="D2489" s="33"/>
      <c r="E2489" s="33"/>
      <c r="F2489" s="56"/>
      <c r="G2489" s="33"/>
      <c r="H2489" s="33"/>
      <c r="I2489" s="33"/>
      <c r="J2489" s="57"/>
      <c r="K2489" s="33"/>
      <c r="L2489" s="57"/>
      <c r="M2489" s="58"/>
      <c r="N2489" s="56"/>
      <c r="O2489" s="58"/>
      <c r="P2489" s="62"/>
      <c r="Q2489" s="33"/>
      <c r="R2489" s="33"/>
      <c r="S2489" s="61"/>
      <c r="T2489" s="33"/>
      <c r="U2489" s="62"/>
      <c r="W2489" s="61"/>
      <c r="AD2489" s="58"/>
      <c r="AG2489" s="58"/>
    </row>
    <row r="2490" spans="2:33" ht="16">
      <c r="B2490" s="67" t="str">
        <f t="shared" si="10"/>
        <v/>
      </c>
      <c r="C2490" s="33"/>
      <c r="D2490" s="33"/>
      <c r="E2490" s="33"/>
      <c r="F2490" s="56"/>
      <c r="G2490" s="33"/>
      <c r="H2490" s="33"/>
      <c r="I2490" s="33"/>
      <c r="J2490" s="57"/>
      <c r="K2490" s="33"/>
      <c r="L2490" s="57"/>
      <c r="M2490" s="64"/>
      <c r="N2490" s="56"/>
      <c r="O2490" s="64"/>
      <c r="P2490" s="62"/>
      <c r="Q2490" s="33"/>
      <c r="R2490" s="33"/>
      <c r="S2490" s="61"/>
      <c r="T2490" s="33"/>
      <c r="U2490" s="62"/>
      <c r="W2490" s="61"/>
      <c r="AD2490" s="64"/>
      <c r="AG2490" s="58"/>
    </row>
    <row r="2491" spans="2:33" ht="16">
      <c r="B2491" s="67" t="str">
        <f t="shared" si="10"/>
        <v/>
      </c>
      <c r="C2491" s="33"/>
      <c r="D2491" s="33"/>
      <c r="E2491" s="33"/>
      <c r="F2491" s="56"/>
      <c r="G2491" s="33"/>
      <c r="H2491" s="33"/>
      <c r="I2491" s="33"/>
      <c r="J2491" s="57"/>
      <c r="K2491" s="33"/>
      <c r="L2491" s="57"/>
      <c r="M2491" s="58"/>
      <c r="N2491" s="56"/>
      <c r="O2491" s="64"/>
      <c r="P2491" s="62"/>
      <c r="Q2491" s="33"/>
      <c r="R2491" s="33"/>
      <c r="S2491" s="61"/>
      <c r="T2491" s="33"/>
      <c r="U2491" s="62"/>
      <c r="W2491" s="61"/>
      <c r="X2491" s="62"/>
      <c r="AD2491" s="58"/>
      <c r="AG2491" s="58"/>
    </row>
    <row r="2492" spans="2:33" ht="16">
      <c r="B2492" s="67" t="str">
        <f t="shared" si="10"/>
        <v/>
      </c>
      <c r="C2492" s="33"/>
      <c r="D2492" s="33"/>
      <c r="E2492" s="33"/>
      <c r="F2492" s="56"/>
      <c r="G2492" s="33"/>
      <c r="H2492" s="33"/>
      <c r="I2492" s="33"/>
      <c r="J2492" s="57"/>
      <c r="K2492" s="33"/>
      <c r="L2492" s="57"/>
      <c r="M2492" s="64"/>
      <c r="N2492" s="56"/>
      <c r="O2492" s="58"/>
      <c r="P2492" s="62"/>
      <c r="Q2492" s="33"/>
      <c r="R2492" s="33"/>
      <c r="S2492" s="61"/>
      <c r="T2492" s="33"/>
      <c r="U2492" s="62"/>
      <c r="W2492" s="61"/>
      <c r="X2492" s="62"/>
      <c r="AD2492" s="64"/>
      <c r="AG2492" s="58"/>
    </row>
    <row r="2493" spans="2:33" ht="16">
      <c r="B2493" s="67" t="str">
        <f t="shared" si="10"/>
        <v/>
      </c>
      <c r="C2493" s="33"/>
      <c r="D2493" s="33"/>
      <c r="E2493" s="33"/>
      <c r="F2493" s="56"/>
      <c r="G2493" s="33"/>
      <c r="H2493" s="33"/>
      <c r="I2493" s="33"/>
      <c r="J2493" s="57"/>
      <c r="K2493" s="33"/>
      <c r="L2493" s="57"/>
      <c r="M2493" s="64"/>
      <c r="N2493" s="56"/>
      <c r="O2493" s="64"/>
      <c r="P2493" s="62"/>
      <c r="Q2493" s="33"/>
      <c r="R2493" s="33"/>
      <c r="S2493" s="61"/>
      <c r="T2493" s="33"/>
      <c r="U2493" s="62"/>
      <c r="W2493" s="61"/>
      <c r="AD2493" s="58"/>
      <c r="AG2493" s="58"/>
    </row>
    <row r="2494" spans="2:33" ht="16">
      <c r="B2494" s="67" t="str">
        <f t="shared" si="10"/>
        <v/>
      </c>
      <c r="C2494" s="33"/>
      <c r="D2494" s="33"/>
      <c r="E2494" s="33"/>
      <c r="F2494" s="56"/>
      <c r="G2494" s="33"/>
      <c r="H2494" s="33"/>
      <c r="I2494" s="33"/>
      <c r="J2494" s="57"/>
      <c r="K2494" s="33"/>
      <c r="L2494" s="57"/>
      <c r="M2494" s="64"/>
      <c r="N2494" s="56"/>
      <c r="O2494" s="64"/>
      <c r="P2494" s="62"/>
      <c r="Q2494" s="33"/>
      <c r="R2494" s="33"/>
      <c r="S2494" s="61"/>
      <c r="T2494" s="33"/>
      <c r="U2494" s="62"/>
      <c r="W2494" s="61"/>
      <c r="AD2494" s="58"/>
      <c r="AG2494" s="58"/>
    </row>
    <row r="2495" spans="2:33" ht="16">
      <c r="B2495" s="67" t="str">
        <f t="shared" si="10"/>
        <v/>
      </c>
      <c r="C2495" s="33"/>
      <c r="D2495" s="33"/>
      <c r="E2495" s="33"/>
      <c r="F2495" s="56"/>
      <c r="G2495" s="33"/>
      <c r="H2495" s="33"/>
      <c r="I2495" s="33"/>
      <c r="J2495" s="57"/>
      <c r="K2495" s="33"/>
      <c r="L2495" s="57"/>
      <c r="M2495" s="64"/>
      <c r="N2495" s="56"/>
      <c r="O2495" s="58"/>
      <c r="P2495" s="62"/>
      <c r="Q2495" s="33"/>
      <c r="R2495" s="33"/>
      <c r="S2495" s="61"/>
      <c r="T2495" s="33"/>
      <c r="U2495" s="62"/>
      <c r="W2495" s="61"/>
      <c r="X2495" s="62"/>
      <c r="AD2495" s="64"/>
      <c r="AG2495" s="58"/>
    </row>
    <row r="2496" spans="2:33" ht="16">
      <c r="B2496" s="67" t="str">
        <f t="shared" si="10"/>
        <v/>
      </c>
      <c r="C2496" s="33"/>
      <c r="D2496" s="33"/>
      <c r="E2496" s="33"/>
      <c r="F2496" s="56"/>
      <c r="G2496" s="33"/>
      <c r="H2496" s="33"/>
      <c r="I2496" s="33"/>
      <c r="J2496" s="57"/>
      <c r="K2496" s="33"/>
      <c r="L2496" s="57"/>
      <c r="M2496" s="64"/>
      <c r="N2496" s="56"/>
      <c r="O2496" s="64"/>
      <c r="P2496" s="62"/>
      <c r="Q2496" s="33"/>
      <c r="R2496" s="33"/>
      <c r="S2496" s="61"/>
      <c r="T2496" s="33"/>
      <c r="U2496" s="62"/>
      <c r="W2496" s="61"/>
      <c r="AD2496" s="58"/>
      <c r="AG2496" s="58"/>
    </row>
    <row r="2497" spans="2:33" ht="16">
      <c r="B2497" s="67" t="str">
        <f t="shared" si="10"/>
        <v/>
      </c>
      <c r="C2497" s="33"/>
      <c r="D2497" s="33"/>
      <c r="E2497" s="33"/>
      <c r="F2497" s="56"/>
      <c r="G2497" s="33"/>
      <c r="H2497" s="33"/>
      <c r="I2497" s="33"/>
      <c r="J2497" s="57"/>
      <c r="K2497" s="33"/>
      <c r="L2497" s="57"/>
      <c r="M2497" s="58"/>
      <c r="N2497" s="56"/>
      <c r="O2497" s="58"/>
      <c r="P2497" s="62"/>
      <c r="Q2497" s="33"/>
      <c r="R2497" s="33"/>
      <c r="S2497" s="61"/>
      <c r="T2497" s="33"/>
      <c r="U2497" s="62"/>
      <c r="W2497" s="61"/>
      <c r="AD2497" s="58"/>
      <c r="AG2497" s="64"/>
    </row>
    <row r="2498" spans="2:33" ht="16">
      <c r="B2498" s="67" t="str">
        <f t="shared" si="10"/>
        <v/>
      </c>
      <c r="C2498" s="33"/>
      <c r="D2498" s="33"/>
      <c r="E2498" s="33"/>
      <c r="F2498" s="56"/>
      <c r="G2498" s="33"/>
      <c r="H2498" s="33"/>
      <c r="I2498" s="33"/>
      <c r="J2498" s="57"/>
      <c r="K2498" s="33"/>
      <c r="L2498" s="57"/>
      <c r="M2498" s="58"/>
      <c r="N2498" s="56"/>
      <c r="O2498" s="58"/>
      <c r="P2498" s="62"/>
      <c r="Q2498" s="33"/>
      <c r="R2498" s="33"/>
      <c r="S2498" s="61"/>
      <c r="T2498" s="33"/>
      <c r="U2498" s="62"/>
      <c r="W2498" s="61"/>
      <c r="X2498" s="62"/>
      <c r="AD2498" s="58"/>
      <c r="AG2498" s="64"/>
    </row>
    <row r="2499" spans="2:33" ht="16">
      <c r="B2499" s="67" t="str">
        <f t="shared" si="10"/>
        <v/>
      </c>
      <c r="C2499" s="33"/>
      <c r="D2499" s="33"/>
      <c r="E2499" s="33"/>
      <c r="F2499" s="56"/>
      <c r="G2499" s="33"/>
      <c r="H2499" s="33"/>
      <c r="I2499" s="33"/>
      <c r="J2499" s="57"/>
      <c r="K2499" s="33"/>
      <c r="L2499" s="57"/>
      <c r="M2499" s="64"/>
      <c r="N2499" s="56"/>
      <c r="O2499" s="64"/>
      <c r="P2499" s="62"/>
      <c r="Q2499" s="33"/>
      <c r="R2499" s="33"/>
      <c r="S2499" s="61"/>
      <c r="T2499" s="33"/>
      <c r="U2499" s="62"/>
      <c r="W2499" s="61"/>
      <c r="X2499" s="62"/>
      <c r="AD2499" s="58"/>
      <c r="AG2499" s="64"/>
    </row>
    <row r="2500" spans="2:33" ht="16">
      <c r="B2500" s="67" t="str">
        <f t="shared" si="10"/>
        <v/>
      </c>
      <c r="C2500" s="33"/>
      <c r="D2500" s="33"/>
      <c r="E2500" s="33"/>
      <c r="F2500" s="56"/>
      <c r="G2500" s="33"/>
      <c r="H2500" s="33"/>
      <c r="I2500" s="33"/>
      <c r="J2500" s="57"/>
      <c r="K2500" s="33"/>
      <c r="L2500" s="57"/>
      <c r="M2500" s="64"/>
      <c r="N2500" s="56"/>
      <c r="O2500" s="64"/>
      <c r="P2500" s="62"/>
      <c r="Q2500" s="33"/>
      <c r="R2500" s="33"/>
      <c r="S2500" s="61"/>
      <c r="T2500" s="33"/>
      <c r="U2500" s="62"/>
      <c r="W2500" s="61"/>
      <c r="AD2500" s="58"/>
      <c r="AG2500" s="58"/>
    </row>
    <row r="2501" spans="2:33" ht="16">
      <c r="B2501" s="67" t="str">
        <f t="shared" si="10"/>
        <v/>
      </c>
      <c r="C2501" s="33"/>
      <c r="D2501" s="33"/>
      <c r="E2501" s="33"/>
      <c r="F2501" s="56"/>
      <c r="G2501" s="33"/>
      <c r="H2501" s="33"/>
      <c r="I2501" s="33"/>
      <c r="J2501" s="57"/>
      <c r="K2501" s="33"/>
      <c r="L2501" s="57"/>
      <c r="M2501" s="64"/>
      <c r="N2501" s="56"/>
      <c r="O2501" s="64"/>
      <c r="P2501" s="62"/>
      <c r="Q2501" s="33"/>
      <c r="R2501" s="33"/>
      <c r="S2501" s="61"/>
      <c r="T2501" s="33"/>
      <c r="U2501" s="62"/>
      <c r="W2501" s="61"/>
      <c r="AD2501" s="58"/>
      <c r="AG2501" s="58"/>
    </row>
    <row r="2502" spans="2:33" ht="16">
      <c r="B2502" s="67" t="str">
        <f t="shared" si="10"/>
        <v/>
      </c>
      <c r="C2502" s="33"/>
      <c r="D2502" s="33"/>
      <c r="E2502" s="33"/>
      <c r="F2502" s="56"/>
      <c r="G2502" s="33"/>
      <c r="H2502" s="33"/>
      <c r="I2502" s="33"/>
      <c r="J2502" s="57"/>
      <c r="K2502" s="33"/>
      <c r="L2502" s="57"/>
      <c r="M2502" s="64"/>
      <c r="N2502" s="56"/>
      <c r="O2502" s="64"/>
      <c r="P2502" s="62"/>
      <c r="Q2502" s="33"/>
      <c r="R2502" s="33"/>
      <c r="S2502" s="61"/>
      <c r="T2502" s="33"/>
      <c r="U2502" s="62"/>
      <c r="W2502" s="61"/>
      <c r="AD2502" s="58"/>
      <c r="AG2502" s="58"/>
    </row>
    <row r="2503" spans="2:33" ht="16">
      <c r="B2503" s="67" t="str">
        <f t="shared" si="10"/>
        <v/>
      </c>
      <c r="C2503" s="33"/>
      <c r="D2503" s="33"/>
      <c r="E2503" s="33"/>
      <c r="F2503" s="56"/>
      <c r="G2503" s="33"/>
      <c r="H2503" s="33"/>
      <c r="I2503" s="33"/>
      <c r="J2503" s="57"/>
      <c r="K2503" s="33"/>
      <c r="L2503" s="57"/>
      <c r="M2503" s="64"/>
      <c r="N2503" s="56"/>
      <c r="O2503" s="64"/>
      <c r="P2503" s="62"/>
      <c r="Q2503" s="33"/>
      <c r="R2503" s="33"/>
      <c r="S2503" s="61"/>
      <c r="T2503" s="33"/>
      <c r="U2503" s="62"/>
      <c r="W2503" s="61"/>
      <c r="X2503" s="62"/>
      <c r="AD2503" s="58"/>
      <c r="AG2503" s="58"/>
    </row>
    <row r="2504" spans="2:33" ht="16">
      <c r="B2504" s="67" t="str">
        <f t="shared" si="10"/>
        <v/>
      </c>
      <c r="C2504" s="33"/>
      <c r="D2504" s="33"/>
      <c r="E2504" s="33"/>
      <c r="F2504" s="56"/>
      <c r="G2504" s="33"/>
      <c r="H2504" s="33"/>
      <c r="I2504" s="33"/>
      <c r="J2504" s="57"/>
      <c r="K2504" s="33"/>
      <c r="L2504" s="57"/>
      <c r="M2504" s="58"/>
      <c r="N2504" s="56"/>
      <c r="O2504" s="58"/>
      <c r="P2504" s="62"/>
      <c r="Q2504" s="33"/>
      <c r="R2504" s="33"/>
      <c r="S2504" s="61"/>
      <c r="T2504" s="33"/>
      <c r="U2504" s="62"/>
      <c r="W2504" s="61"/>
      <c r="X2504" s="62"/>
      <c r="AD2504" s="58"/>
      <c r="AG2504" s="58"/>
    </row>
    <row r="2505" spans="2:33" ht="16">
      <c r="B2505" s="67" t="str">
        <f t="shared" si="10"/>
        <v/>
      </c>
      <c r="C2505" s="33"/>
      <c r="D2505" s="33"/>
      <c r="E2505" s="33"/>
      <c r="F2505" s="56"/>
      <c r="G2505" s="33"/>
      <c r="H2505" s="33"/>
      <c r="I2505" s="33"/>
      <c r="J2505" s="57"/>
      <c r="K2505" s="33"/>
      <c r="L2505" s="57"/>
      <c r="M2505" s="64"/>
      <c r="N2505" s="56"/>
      <c r="O2505" s="64"/>
      <c r="P2505" s="62"/>
      <c r="Q2505" s="33"/>
      <c r="R2505" s="33"/>
      <c r="S2505" s="61"/>
      <c r="T2505" s="33"/>
      <c r="U2505" s="62"/>
      <c r="W2505" s="61"/>
      <c r="X2505" s="62"/>
      <c r="AD2505" s="58"/>
      <c r="AG2505" s="58"/>
    </row>
    <row r="2506" spans="2:33" ht="16">
      <c r="B2506" s="67" t="str">
        <f t="shared" si="10"/>
        <v/>
      </c>
      <c r="C2506" s="33"/>
      <c r="D2506" s="33"/>
      <c r="E2506" s="33"/>
      <c r="F2506" s="56"/>
      <c r="G2506" s="33"/>
      <c r="H2506" s="33"/>
      <c r="I2506" s="33"/>
      <c r="J2506" s="57"/>
      <c r="K2506" s="33"/>
      <c r="L2506" s="57"/>
      <c r="M2506" s="58"/>
      <c r="N2506" s="56"/>
      <c r="O2506" s="58"/>
      <c r="P2506" s="62"/>
      <c r="Q2506" s="33"/>
      <c r="R2506" s="33"/>
      <c r="S2506" s="61"/>
      <c r="T2506" s="33"/>
      <c r="U2506" s="62"/>
      <c r="W2506" s="61"/>
      <c r="X2506" s="62"/>
      <c r="AD2506" s="58"/>
      <c r="AG2506" s="64"/>
    </row>
    <row r="2507" spans="2:33" ht="16">
      <c r="B2507" s="67" t="str">
        <f t="shared" si="10"/>
        <v/>
      </c>
      <c r="C2507" s="33"/>
      <c r="D2507" s="33"/>
      <c r="E2507" s="33"/>
      <c r="F2507" s="56"/>
      <c r="G2507" s="33"/>
      <c r="H2507" s="33"/>
      <c r="I2507" s="33"/>
      <c r="J2507" s="57"/>
      <c r="K2507" s="33"/>
      <c r="L2507" s="57"/>
      <c r="M2507" s="64"/>
      <c r="N2507" s="56"/>
      <c r="O2507" s="64"/>
      <c r="P2507" s="62"/>
      <c r="Q2507" s="33"/>
      <c r="R2507" s="33"/>
      <c r="S2507" s="61"/>
      <c r="T2507" s="33"/>
      <c r="U2507" s="62"/>
      <c r="W2507" s="61"/>
      <c r="X2507" s="62"/>
      <c r="AD2507" s="58"/>
      <c r="AG2507" s="58"/>
    </row>
    <row r="2508" spans="2:33" ht="16">
      <c r="B2508" s="67" t="str">
        <f t="shared" si="10"/>
        <v/>
      </c>
      <c r="C2508" s="33"/>
      <c r="D2508" s="33"/>
      <c r="E2508" s="33"/>
      <c r="F2508" s="56"/>
      <c r="G2508" s="33"/>
      <c r="H2508" s="33"/>
      <c r="I2508" s="33"/>
      <c r="J2508" s="57"/>
      <c r="K2508" s="33"/>
      <c r="L2508" s="57"/>
      <c r="M2508" s="64"/>
      <c r="N2508" s="56"/>
      <c r="O2508" s="64"/>
      <c r="P2508" s="62"/>
      <c r="Q2508" s="33"/>
      <c r="R2508" s="33"/>
      <c r="S2508" s="61"/>
      <c r="T2508" s="33"/>
      <c r="U2508" s="62"/>
      <c r="W2508" s="61"/>
      <c r="X2508" s="62"/>
      <c r="AD2508" s="64"/>
      <c r="AG2508" s="58"/>
    </row>
    <row r="2509" spans="2:33" ht="16">
      <c r="B2509" s="67" t="str">
        <f t="shared" si="10"/>
        <v/>
      </c>
      <c r="C2509" s="33"/>
      <c r="D2509" s="33"/>
      <c r="E2509" s="33"/>
      <c r="F2509" s="56"/>
      <c r="G2509" s="33"/>
      <c r="H2509" s="33"/>
      <c r="I2509" s="33"/>
      <c r="J2509" s="57"/>
      <c r="K2509" s="33"/>
      <c r="L2509" s="57"/>
      <c r="M2509" s="58"/>
      <c r="N2509" s="56"/>
      <c r="O2509" s="58"/>
      <c r="P2509" s="62"/>
      <c r="Q2509" s="33"/>
      <c r="R2509" s="33"/>
      <c r="S2509" s="61"/>
      <c r="T2509" s="33"/>
      <c r="U2509" s="62"/>
      <c r="W2509" s="61"/>
      <c r="X2509" s="62"/>
      <c r="AD2509" s="58"/>
      <c r="AG2509" s="58"/>
    </row>
    <row r="2510" spans="2:33" ht="16">
      <c r="B2510" s="67" t="str">
        <f t="shared" si="10"/>
        <v/>
      </c>
      <c r="C2510" s="33"/>
      <c r="D2510" s="33"/>
      <c r="E2510" s="33"/>
      <c r="F2510" s="56"/>
      <c r="G2510" s="33"/>
      <c r="H2510" s="33"/>
      <c r="I2510" s="33"/>
      <c r="J2510" s="57"/>
      <c r="K2510" s="33"/>
      <c r="L2510" s="57"/>
      <c r="M2510" s="58"/>
      <c r="N2510" s="56"/>
      <c r="O2510" s="58"/>
      <c r="P2510" s="62"/>
      <c r="Q2510" s="33"/>
      <c r="R2510" s="33"/>
      <c r="S2510" s="61"/>
      <c r="T2510" s="33"/>
      <c r="U2510" s="62"/>
      <c r="W2510" s="61"/>
      <c r="X2510" s="62"/>
      <c r="AD2510" s="58"/>
      <c r="AG2510" s="64"/>
    </row>
    <row r="2511" spans="2:33" ht="16">
      <c r="B2511" s="67" t="str">
        <f t="shared" si="10"/>
        <v/>
      </c>
      <c r="C2511" s="33"/>
      <c r="D2511" s="33"/>
      <c r="E2511" s="33"/>
      <c r="F2511" s="56"/>
      <c r="G2511" s="33"/>
      <c r="H2511" s="33"/>
      <c r="I2511" s="33"/>
      <c r="J2511" s="57"/>
      <c r="K2511" s="33"/>
      <c r="L2511" s="57"/>
      <c r="M2511" s="64"/>
      <c r="N2511" s="56"/>
      <c r="O2511" s="64"/>
      <c r="P2511" s="62"/>
      <c r="Q2511" s="33"/>
      <c r="R2511" s="33"/>
      <c r="S2511" s="61"/>
      <c r="T2511" s="33"/>
      <c r="U2511" s="62"/>
      <c r="W2511" s="61"/>
      <c r="X2511" s="62"/>
      <c r="AD2511" s="64"/>
      <c r="AG2511" s="58"/>
    </row>
    <row r="2512" spans="2:33" ht="16">
      <c r="B2512" s="67" t="str">
        <f t="shared" si="10"/>
        <v/>
      </c>
      <c r="C2512" s="33"/>
      <c r="D2512" s="33"/>
      <c r="E2512" s="33"/>
      <c r="F2512" s="56"/>
      <c r="G2512" s="33"/>
      <c r="H2512" s="33"/>
      <c r="I2512" s="33"/>
      <c r="J2512" s="57"/>
      <c r="K2512" s="33"/>
      <c r="L2512" s="57"/>
      <c r="M2512" s="64"/>
      <c r="N2512" s="56"/>
      <c r="O2512" s="64"/>
      <c r="P2512" s="62"/>
      <c r="Q2512" s="33"/>
      <c r="R2512" s="33"/>
      <c r="S2512" s="61"/>
      <c r="T2512" s="33"/>
      <c r="U2512" s="62"/>
      <c r="W2512" s="61"/>
      <c r="X2512" s="62"/>
      <c r="AD2512" s="58"/>
      <c r="AG2512" s="58"/>
    </row>
    <row r="2513" spans="2:33" ht="16">
      <c r="B2513" s="67" t="str">
        <f t="shared" si="10"/>
        <v/>
      </c>
      <c r="C2513" s="33"/>
      <c r="D2513" s="33"/>
      <c r="E2513" s="33"/>
      <c r="F2513" s="56"/>
      <c r="G2513" s="33"/>
      <c r="H2513" s="33"/>
      <c r="I2513" s="33"/>
      <c r="J2513" s="57"/>
      <c r="K2513" s="33"/>
      <c r="L2513" s="57"/>
      <c r="M2513" s="58"/>
      <c r="N2513" s="56"/>
      <c r="O2513" s="64"/>
      <c r="P2513" s="62"/>
      <c r="Q2513" s="33"/>
      <c r="R2513" s="33"/>
      <c r="S2513" s="61"/>
      <c r="T2513" s="33"/>
      <c r="U2513" s="62"/>
      <c r="W2513" s="61"/>
      <c r="X2513" s="62"/>
      <c r="AD2513" s="64"/>
      <c r="AG2513" s="58"/>
    </row>
    <row r="2514" spans="2:33" ht="16">
      <c r="B2514" s="67" t="str">
        <f t="shared" si="10"/>
        <v/>
      </c>
      <c r="C2514" s="33"/>
      <c r="D2514" s="33"/>
      <c r="E2514" s="33"/>
      <c r="F2514" s="56"/>
      <c r="G2514" s="33"/>
      <c r="H2514" s="33"/>
      <c r="I2514" s="33"/>
      <c r="J2514" s="57"/>
      <c r="K2514" s="33"/>
      <c r="L2514" s="57"/>
      <c r="M2514" s="64"/>
      <c r="N2514" s="56"/>
      <c r="O2514" s="64"/>
      <c r="P2514" s="62"/>
      <c r="Q2514" s="33"/>
      <c r="R2514" s="33"/>
      <c r="S2514" s="61"/>
      <c r="T2514" s="33"/>
      <c r="U2514" s="62"/>
      <c r="W2514" s="61"/>
      <c r="X2514" s="62"/>
      <c r="AD2514" s="64"/>
      <c r="AG2514" s="64"/>
    </row>
    <row r="2515" spans="2:33" ht="16">
      <c r="B2515" s="67" t="str">
        <f t="shared" si="10"/>
        <v/>
      </c>
      <c r="C2515" s="33"/>
      <c r="D2515" s="33"/>
      <c r="E2515" s="33"/>
      <c r="F2515" s="56"/>
      <c r="G2515" s="33"/>
      <c r="H2515" s="33"/>
      <c r="I2515" s="33"/>
      <c r="J2515" s="57"/>
      <c r="K2515" s="33"/>
      <c r="L2515" s="57"/>
      <c r="M2515" s="64"/>
      <c r="N2515" s="56"/>
      <c r="O2515" s="58"/>
      <c r="P2515" s="62"/>
      <c r="Q2515" s="33"/>
      <c r="R2515" s="33"/>
      <c r="S2515" s="61"/>
      <c r="T2515" s="33"/>
      <c r="U2515" s="62"/>
      <c r="W2515" s="61"/>
      <c r="X2515" s="62"/>
      <c r="AD2515" s="58"/>
      <c r="AG2515" s="58"/>
    </row>
    <row r="2516" spans="2:33" ht="16">
      <c r="B2516" s="67" t="str">
        <f t="shared" si="10"/>
        <v/>
      </c>
      <c r="C2516" s="33"/>
      <c r="D2516" s="33"/>
      <c r="E2516" s="33"/>
      <c r="F2516" s="56"/>
      <c r="G2516" s="33"/>
      <c r="H2516" s="33"/>
      <c r="I2516" s="33"/>
      <c r="J2516" s="57"/>
      <c r="K2516" s="33"/>
      <c r="L2516" s="57"/>
      <c r="M2516" s="58"/>
      <c r="N2516" s="56"/>
      <c r="O2516" s="64"/>
      <c r="P2516" s="62"/>
      <c r="Q2516" s="33"/>
      <c r="R2516" s="33"/>
      <c r="S2516" s="61"/>
      <c r="T2516" s="33"/>
      <c r="U2516" s="62"/>
      <c r="W2516" s="61"/>
      <c r="X2516" s="62"/>
      <c r="AD2516" s="64"/>
      <c r="AG2516" s="58"/>
    </row>
    <row r="2517" spans="2:33" ht="16">
      <c r="B2517" s="67" t="str">
        <f t="shared" si="10"/>
        <v/>
      </c>
      <c r="C2517" s="33"/>
      <c r="D2517" s="33"/>
      <c r="E2517" s="33"/>
      <c r="F2517" s="56"/>
      <c r="G2517" s="33"/>
      <c r="H2517" s="33"/>
      <c r="I2517" s="33"/>
      <c r="J2517" s="57"/>
      <c r="K2517" s="33"/>
      <c r="L2517" s="57"/>
      <c r="M2517" s="64"/>
      <c r="N2517" s="56"/>
      <c r="O2517" s="64"/>
      <c r="P2517" s="62"/>
      <c r="Q2517" s="33"/>
      <c r="R2517" s="33"/>
      <c r="S2517" s="61"/>
      <c r="T2517" s="33"/>
      <c r="U2517" s="62"/>
      <c r="W2517" s="61"/>
      <c r="X2517" s="62"/>
      <c r="AD2517" s="58"/>
      <c r="AG2517" s="64"/>
    </row>
    <row r="2518" spans="2:33" ht="16">
      <c r="B2518" s="67" t="str">
        <f t="shared" si="10"/>
        <v/>
      </c>
      <c r="C2518" s="33"/>
      <c r="D2518" s="33"/>
      <c r="E2518" s="33"/>
      <c r="F2518" s="56"/>
      <c r="G2518" s="33"/>
      <c r="H2518" s="33"/>
      <c r="I2518" s="33"/>
      <c r="J2518" s="57"/>
      <c r="K2518" s="33"/>
      <c r="L2518" s="57"/>
      <c r="M2518" s="64"/>
      <c r="N2518" s="56"/>
      <c r="O2518" s="64"/>
      <c r="P2518" s="62"/>
      <c r="Q2518" s="33"/>
      <c r="R2518" s="33"/>
      <c r="S2518" s="61"/>
      <c r="T2518" s="33"/>
      <c r="U2518" s="62"/>
      <c r="W2518" s="61"/>
      <c r="X2518" s="62"/>
      <c r="AD2518" s="58"/>
      <c r="AG2518" s="58"/>
    </row>
    <row r="2519" spans="2:33" ht="16">
      <c r="B2519" s="67" t="str">
        <f t="shared" si="10"/>
        <v/>
      </c>
      <c r="C2519" s="33"/>
      <c r="D2519" s="33"/>
      <c r="E2519" s="33"/>
      <c r="F2519" s="56"/>
      <c r="G2519" s="33"/>
      <c r="H2519" s="33"/>
      <c r="I2519" s="33"/>
      <c r="J2519" s="57"/>
      <c r="K2519" s="33"/>
      <c r="L2519" s="57"/>
      <c r="M2519" s="58"/>
      <c r="N2519" s="56"/>
      <c r="O2519" s="64"/>
      <c r="P2519" s="62"/>
      <c r="Q2519" s="33"/>
      <c r="R2519" s="33"/>
      <c r="S2519" s="61"/>
      <c r="T2519" s="33"/>
      <c r="U2519" s="62"/>
      <c r="W2519" s="61"/>
      <c r="X2519" s="62"/>
      <c r="AD2519" s="58"/>
      <c r="AG2519" s="58"/>
    </row>
    <row r="2520" spans="2:33" ht="16">
      <c r="B2520" s="67" t="str">
        <f t="shared" si="10"/>
        <v/>
      </c>
      <c r="C2520" s="33"/>
      <c r="D2520" s="33"/>
      <c r="E2520" s="33"/>
      <c r="F2520" s="56"/>
      <c r="G2520" s="33"/>
      <c r="H2520" s="33"/>
      <c r="I2520" s="33"/>
      <c r="J2520" s="57"/>
      <c r="K2520" s="33"/>
      <c r="L2520" s="57"/>
      <c r="M2520" s="58"/>
      <c r="N2520" s="56"/>
      <c r="O2520" s="58"/>
      <c r="P2520" s="62"/>
      <c r="Q2520" s="33"/>
      <c r="R2520" s="33"/>
      <c r="S2520" s="61"/>
      <c r="T2520" s="33"/>
      <c r="U2520" s="62"/>
      <c r="W2520" s="61"/>
      <c r="X2520" s="62"/>
      <c r="AD2520" s="58"/>
      <c r="AG2520" s="58"/>
    </row>
    <row r="2521" spans="2:33" ht="16">
      <c r="B2521" s="67" t="str">
        <f t="shared" si="10"/>
        <v/>
      </c>
      <c r="C2521" s="33"/>
      <c r="D2521" s="33"/>
      <c r="E2521" s="33"/>
      <c r="F2521" s="56"/>
      <c r="G2521" s="33"/>
      <c r="H2521" s="33"/>
      <c r="I2521" s="33"/>
      <c r="J2521" s="57"/>
      <c r="K2521" s="33"/>
      <c r="L2521" s="57"/>
      <c r="M2521" s="64"/>
      <c r="N2521" s="56"/>
      <c r="O2521" s="58"/>
      <c r="P2521" s="62"/>
      <c r="Q2521" s="33"/>
      <c r="R2521" s="33"/>
      <c r="S2521" s="61"/>
      <c r="T2521" s="33"/>
      <c r="U2521" s="62"/>
      <c r="W2521" s="61"/>
      <c r="X2521" s="62"/>
      <c r="AD2521" s="58"/>
      <c r="AG2521" s="64"/>
    </row>
    <row r="2522" spans="2:33" ht="16">
      <c r="B2522" s="67" t="str">
        <f t="shared" si="10"/>
        <v/>
      </c>
      <c r="C2522" s="33"/>
      <c r="D2522" s="33"/>
      <c r="E2522" s="33"/>
      <c r="F2522" s="56"/>
      <c r="G2522" s="33"/>
      <c r="H2522" s="33"/>
      <c r="I2522" s="33"/>
      <c r="J2522" s="57"/>
      <c r="K2522" s="33"/>
      <c r="L2522" s="57"/>
      <c r="M2522" s="64"/>
      <c r="N2522" s="56"/>
      <c r="O2522" s="64"/>
      <c r="P2522" s="62"/>
      <c r="Q2522" s="33"/>
      <c r="R2522" s="33"/>
      <c r="S2522" s="61"/>
      <c r="T2522" s="33"/>
      <c r="U2522" s="62"/>
      <c r="W2522" s="61"/>
      <c r="X2522" s="62"/>
      <c r="AD2522" s="58"/>
      <c r="AG2522" s="64"/>
    </row>
    <row r="2523" spans="2:33" ht="16">
      <c r="B2523" s="67" t="str">
        <f t="shared" si="10"/>
        <v/>
      </c>
      <c r="C2523" s="33"/>
      <c r="D2523" s="33"/>
      <c r="E2523" s="33"/>
      <c r="F2523" s="56"/>
      <c r="G2523" s="33"/>
      <c r="H2523" s="33"/>
      <c r="I2523" s="33"/>
      <c r="J2523" s="57"/>
      <c r="K2523" s="33"/>
      <c r="L2523" s="57"/>
      <c r="M2523" s="58"/>
      <c r="N2523" s="56"/>
      <c r="O2523" s="64"/>
      <c r="P2523" s="62"/>
      <c r="Q2523" s="33"/>
      <c r="R2523" s="33"/>
      <c r="S2523" s="61"/>
      <c r="T2523" s="33"/>
      <c r="U2523" s="62"/>
      <c r="W2523" s="61"/>
      <c r="X2523" s="62"/>
      <c r="AD2523" s="58"/>
      <c r="AG2523" s="58"/>
    </row>
    <row r="2524" spans="2:33" ht="16">
      <c r="B2524" s="67" t="str">
        <f t="shared" si="10"/>
        <v/>
      </c>
      <c r="C2524" s="33"/>
      <c r="D2524" s="33"/>
      <c r="E2524" s="33"/>
      <c r="F2524" s="56"/>
      <c r="G2524" s="33"/>
      <c r="H2524" s="33"/>
      <c r="I2524" s="33"/>
      <c r="J2524" s="57"/>
      <c r="K2524" s="33"/>
      <c r="L2524" s="57"/>
      <c r="M2524" s="58"/>
      <c r="N2524" s="56"/>
      <c r="O2524" s="64"/>
      <c r="P2524" s="62"/>
      <c r="Q2524" s="33"/>
      <c r="R2524" s="33"/>
      <c r="S2524" s="61"/>
      <c r="T2524" s="33"/>
      <c r="U2524" s="62"/>
      <c r="W2524" s="61"/>
      <c r="X2524" s="62"/>
      <c r="AD2524" s="58"/>
      <c r="AG2524" s="58"/>
    </row>
    <row r="2525" spans="2:33" ht="16">
      <c r="B2525" s="67" t="str">
        <f t="shared" si="10"/>
        <v/>
      </c>
      <c r="C2525" s="33"/>
      <c r="D2525" s="33"/>
      <c r="E2525" s="33"/>
      <c r="F2525" s="56"/>
      <c r="G2525" s="33"/>
      <c r="H2525" s="33"/>
      <c r="I2525" s="33"/>
      <c r="J2525" s="57"/>
      <c r="K2525" s="33"/>
      <c r="L2525" s="57"/>
      <c r="M2525" s="64"/>
      <c r="N2525" s="56"/>
      <c r="O2525" s="64"/>
      <c r="P2525" s="62"/>
      <c r="Q2525" s="33"/>
      <c r="R2525" s="33"/>
      <c r="S2525" s="61"/>
      <c r="T2525" s="33"/>
      <c r="U2525" s="62"/>
      <c r="W2525" s="61"/>
      <c r="X2525" s="62"/>
      <c r="AD2525" s="58"/>
      <c r="AG2525" s="64"/>
    </row>
    <row r="2526" spans="2:33" ht="16">
      <c r="B2526" s="67" t="str">
        <f t="shared" si="10"/>
        <v/>
      </c>
      <c r="C2526" s="33"/>
      <c r="D2526" s="33"/>
      <c r="E2526" s="33"/>
      <c r="F2526" s="56"/>
      <c r="G2526" s="33"/>
      <c r="H2526" s="33"/>
      <c r="I2526" s="33"/>
      <c r="J2526" s="57"/>
      <c r="K2526" s="33"/>
      <c r="L2526" s="57"/>
      <c r="M2526" s="64"/>
      <c r="N2526" s="56"/>
      <c r="O2526" s="58"/>
      <c r="P2526" s="62"/>
      <c r="Q2526" s="33"/>
      <c r="R2526" s="33"/>
      <c r="S2526" s="61"/>
      <c r="T2526" s="33"/>
      <c r="U2526" s="62"/>
      <c r="W2526" s="61"/>
      <c r="X2526" s="62"/>
      <c r="AD2526" s="58"/>
      <c r="AG2526" s="64"/>
    </row>
    <row r="2527" spans="2:33" ht="16">
      <c r="B2527" s="67" t="str">
        <f t="shared" si="10"/>
        <v/>
      </c>
      <c r="C2527" s="33"/>
      <c r="D2527" s="33"/>
      <c r="E2527" s="33"/>
      <c r="F2527" s="56"/>
      <c r="G2527" s="33"/>
      <c r="H2527" s="33"/>
      <c r="I2527" s="33"/>
      <c r="J2527" s="57"/>
      <c r="K2527" s="33"/>
      <c r="L2527" s="57"/>
      <c r="M2527" s="58"/>
      <c r="N2527" s="56"/>
      <c r="O2527" s="58"/>
      <c r="P2527" s="62"/>
      <c r="Q2527" s="33"/>
      <c r="R2527" s="33"/>
      <c r="S2527" s="61"/>
      <c r="T2527" s="33"/>
      <c r="U2527" s="62"/>
      <c r="W2527" s="61"/>
      <c r="X2527" s="62"/>
      <c r="AD2527" s="64"/>
      <c r="AG2527" s="58"/>
    </row>
    <row r="2528" spans="2:33" ht="16">
      <c r="B2528" s="67" t="str">
        <f t="shared" si="10"/>
        <v/>
      </c>
      <c r="C2528" s="33"/>
      <c r="D2528" s="33"/>
      <c r="E2528" s="33"/>
      <c r="F2528" s="56"/>
      <c r="G2528" s="33"/>
      <c r="H2528" s="33"/>
      <c r="I2528" s="33"/>
      <c r="J2528" s="57"/>
      <c r="K2528" s="33"/>
      <c r="L2528" s="57"/>
      <c r="M2528" s="64"/>
      <c r="N2528" s="56"/>
      <c r="O2528" s="64"/>
      <c r="P2528" s="62"/>
      <c r="Q2528" s="33"/>
      <c r="R2528" s="33"/>
      <c r="S2528" s="61"/>
      <c r="T2528" s="33"/>
      <c r="U2528" s="62"/>
      <c r="W2528" s="61"/>
      <c r="X2528" s="62"/>
      <c r="AD2528" s="58"/>
      <c r="AG2528" s="58"/>
    </row>
    <row r="2529" spans="2:33" ht="16">
      <c r="B2529" s="67" t="str">
        <f t="shared" si="10"/>
        <v/>
      </c>
      <c r="C2529" s="33"/>
      <c r="D2529" s="33"/>
      <c r="E2529" s="33"/>
      <c r="F2529" s="56"/>
      <c r="G2529" s="33"/>
      <c r="H2529" s="33"/>
      <c r="I2529" s="33"/>
      <c r="J2529" s="57"/>
      <c r="K2529" s="33"/>
      <c r="L2529" s="57"/>
      <c r="M2529" s="64"/>
      <c r="N2529" s="56"/>
      <c r="O2529" s="58"/>
      <c r="P2529" s="62"/>
      <c r="Q2529" s="33"/>
      <c r="R2529" s="33"/>
      <c r="S2529" s="61"/>
      <c r="T2529" s="33"/>
      <c r="U2529" s="62"/>
      <c r="W2529" s="61"/>
      <c r="X2529" s="62"/>
      <c r="AD2529" s="58"/>
      <c r="AG2529" s="64"/>
    </row>
    <row r="2530" spans="2:33" ht="16">
      <c r="B2530" s="67" t="str">
        <f t="shared" si="10"/>
        <v/>
      </c>
      <c r="C2530" s="33"/>
      <c r="D2530" s="33"/>
      <c r="E2530" s="33"/>
      <c r="F2530" s="56"/>
      <c r="G2530" s="33"/>
      <c r="H2530" s="33"/>
      <c r="I2530" s="33"/>
      <c r="J2530" s="57"/>
      <c r="K2530" s="33"/>
      <c r="L2530" s="57"/>
      <c r="M2530" s="64"/>
      <c r="N2530" s="56"/>
      <c r="O2530" s="64"/>
      <c r="P2530" s="62"/>
      <c r="Q2530" s="33"/>
      <c r="R2530" s="33"/>
      <c r="S2530" s="61"/>
      <c r="T2530" s="33"/>
      <c r="U2530" s="62"/>
      <c r="W2530" s="61"/>
      <c r="X2530" s="62"/>
      <c r="AG2530" s="64"/>
    </row>
    <row r="2531" spans="2:33" ht="16">
      <c r="B2531" s="67" t="str">
        <f t="shared" si="10"/>
        <v/>
      </c>
      <c r="C2531" s="33"/>
      <c r="D2531" s="33"/>
      <c r="E2531" s="33"/>
      <c r="F2531" s="56"/>
      <c r="G2531" s="33"/>
      <c r="H2531" s="33"/>
      <c r="I2531" s="33"/>
      <c r="J2531" s="57"/>
      <c r="K2531" s="33"/>
      <c r="L2531" s="57"/>
      <c r="M2531" s="58"/>
      <c r="N2531" s="56"/>
      <c r="O2531" s="58"/>
      <c r="P2531" s="62"/>
      <c r="Q2531" s="33"/>
      <c r="R2531" s="33"/>
      <c r="S2531" s="61"/>
      <c r="T2531" s="33"/>
      <c r="U2531" s="62"/>
      <c r="W2531" s="61"/>
      <c r="X2531" s="62"/>
      <c r="AD2531" s="58"/>
      <c r="AG2531" s="64"/>
    </row>
    <row r="2532" spans="2:33" ht="16">
      <c r="B2532" s="67" t="str">
        <f t="shared" si="10"/>
        <v/>
      </c>
      <c r="C2532" s="33"/>
      <c r="D2532" s="33"/>
      <c r="E2532" s="33"/>
      <c r="F2532" s="56"/>
      <c r="G2532" s="33"/>
      <c r="H2532" s="33"/>
      <c r="I2532" s="33"/>
      <c r="J2532" s="57"/>
      <c r="K2532" s="33"/>
      <c r="L2532" s="57"/>
      <c r="M2532" s="64"/>
      <c r="N2532" s="56"/>
      <c r="O2532" s="64"/>
      <c r="P2532" s="62"/>
      <c r="Q2532" s="33"/>
      <c r="R2532" s="33"/>
      <c r="S2532" s="61"/>
      <c r="T2532" s="33"/>
      <c r="U2532" s="62"/>
      <c r="W2532" s="61"/>
      <c r="X2532" s="62"/>
      <c r="AD2532" s="58"/>
      <c r="AG2532" s="58"/>
    </row>
    <row r="2533" spans="2:33" ht="16">
      <c r="B2533" s="67" t="str">
        <f t="shared" si="10"/>
        <v/>
      </c>
      <c r="C2533" s="33"/>
      <c r="D2533" s="33"/>
      <c r="E2533" s="33"/>
      <c r="F2533" s="56"/>
      <c r="G2533" s="33"/>
      <c r="H2533" s="33"/>
      <c r="I2533" s="33"/>
      <c r="J2533" s="57"/>
      <c r="K2533" s="33"/>
      <c r="L2533" s="57"/>
      <c r="M2533" s="64"/>
      <c r="N2533" s="56"/>
      <c r="O2533" s="64"/>
      <c r="P2533" s="62"/>
      <c r="Q2533" s="33"/>
      <c r="R2533" s="33"/>
      <c r="S2533" s="61"/>
      <c r="T2533" s="33"/>
      <c r="U2533" s="62"/>
      <c r="W2533" s="61"/>
      <c r="X2533" s="62"/>
      <c r="AG2533" s="64"/>
    </row>
    <row r="2534" spans="2:33" ht="16">
      <c r="B2534" s="67" t="str">
        <f t="shared" si="10"/>
        <v/>
      </c>
      <c r="C2534" s="33"/>
      <c r="D2534" s="33"/>
      <c r="E2534" s="33"/>
      <c r="F2534" s="56"/>
      <c r="G2534" s="33"/>
      <c r="H2534" s="33"/>
      <c r="I2534" s="33"/>
      <c r="J2534" s="57"/>
      <c r="K2534" s="33"/>
      <c r="L2534" s="57"/>
      <c r="M2534" s="64"/>
      <c r="N2534" s="56"/>
      <c r="O2534" s="64"/>
      <c r="P2534" s="62"/>
      <c r="Q2534" s="33"/>
      <c r="R2534" s="33"/>
      <c r="S2534" s="61"/>
      <c r="T2534" s="33"/>
      <c r="U2534" s="62"/>
      <c r="W2534" s="61"/>
      <c r="X2534" s="62"/>
      <c r="AG2534" s="64"/>
    </row>
    <row r="2535" spans="2:33" ht="16">
      <c r="B2535" s="67" t="str">
        <f t="shared" si="10"/>
        <v/>
      </c>
      <c r="C2535" s="33"/>
      <c r="D2535" s="33"/>
      <c r="E2535" s="33"/>
      <c r="F2535" s="56"/>
      <c r="G2535" s="33"/>
      <c r="H2535" s="33"/>
      <c r="I2535" s="33"/>
      <c r="J2535" s="57"/>
      <c r="K2535" s="33"/>
      <c r="L2535" s="57"/>
      <c r="M2535" s="64"/>
      <c r="N2535" s="56"/>
      <c r="O2535" s="64"/>
      <c r="P2535" s="62"/>
      <c r="Q2535" s="33"/>
      <c r="R2535" s="33"/>
      <c r="S2535" s="61"/>
      <c r="T2535" s="33"/>
      <c r="U2535" s="62"/>
      <c r="W2535" s="61"/>
      <c r="X2535" s="62"/>
      <c r="AG2535" s="64"/>
    </row>
    <row r="2536" spans="2:33" ht="16">
      <c r="B2536" s="67" t="str">
        <f t="shared" si="10"/>
        <v/>
      </c>
      <c r="C2536" s="33"/>
      <c r="D2536" s="33"/>
      <c r="E2536" s="33"/>
      <c r="F2536" s="56"/>
      <c r="G2536" s="33"/>
      <c r="H2536" s="33"/>
      <c r="I2536" s="33"/>
      <c r="J2536" s="57"/>
      <c r="K2536" s="33"/>
      <c r="L2536" s="57"/>
      <c r="M2536" s="64"/>
      <c r="N2536" s="56"/>
      <c r="O2536" s="64"/>
      <c r="P2536" s="62"/>
      <c r="Q2536" s="33"/>
      <c r="R2536" s="33"/>
      <c r="S2536" s="61"/>
      <c r="T2536" s="33"/>
      <c r="U2536" s="62"/>
      <c r="W2536" s="61"/>
      <c r="X2536" s="62"/>
      <c r="AG2536" s="58"/>
    </row>
    <row r="2537" spans="2:33" ht="16">
      <c r="B2537" s="67" t="str">
        <f t="shared" si="10"/>
        <v/>
      </c>
      <c r="C2537" s="33"/>
      <c r="D2537" s="33"/>
      <c r="E2537" s="33"/>
      <c r="F2537" s="56"/>
      <c r="G2537" s="33"/>
      <c r="H2537" s="33"/>
      <c r="I2537" s="33"/>
      <c r="J2537" s="57"/>
      <c r="K2537" s="33"/>
      <c r="L2537" s="57"/>
      <c r="M2537" s="64"/>
      <c r="N2537" s="56"/>
      <c r="O2537" s="58"/>
      <c r="P2537" s="62"/>
      <c r="Q2537" s="33"/>
      <c r="R2537" s="33"/>
      <c r="S2537" s="61"/>
      <c r="T2537" s="33"/>
      <c r="U2537" s="62"/>
      <c r="W2537" s="61"/>
      <c r="X2537" s="62"/>
      <c r="AG2537" s="58"/>
    </row>
    <row r="2538" spans="2:33" ht="16">
      <c r="B2538" s="67" t="str">
        <f t="shared" si="10"/>
        <v/>
      </c>
      <c r="C2538" s="33"/>
      <c r="D2538" s="33"/>
      <c r="E2538" s="33"/>
      <c r="F2538" s="56"/>
      <c r="G2538" s="33"/>
      <c r="H2538" s="33"/>
      <c r="I2538" s="33"/>
      <c r="J2538" s="57"/>
      <c r="K2538" s="33"/>
      <c r="L2538" s="57"/>
      <c r="M2538" s="64"/>
      <c r="N2538" s="56"/>
      <c r="O2538" s="58"/>
      <c r="P2538" s="62"/>
      <c r="Q2538" s="33"/>
      <c r="R2538" s="33"/>
      <c r="S2538" s="61"/>
      <c r="T2538" s="33"/>
      <c r="U2538" s="62"/>
      <c r="W2538" s="61"/>
      <c r="X2538" s="62"/>
      <c r="AD2538" s="58"/>
      <c r="AG2538" s="64"/>
    </row>
    <row r="2539" spans="2:33" ht="16">
      <c r="B2539" s="67" t="str">
        <f t="shared" si="10"/>
        <v/>
      </c>
      <c r="C2539" s="33"/>
      <c r="D2539" s="33"/>
      <c r="E2539" s="33"/>
      <c r="F2539" s="56"/>
      <c r="G2539" s="33"/>
      <c r="H2539" s="33"/>
      <c r="I2539" s="33"/>
      <c r="J2539" s="57"/>
      <c r="K2539" s="33"/>
      <c r="L2539" s="57"/>
      <c r="M2539" s="64"/>
      <c r="N2539" s="56"/>
      <c r="O2539" s="64"/>
      <c r="P2539" s="62"/>
      <c r="Q2539" s="33"/>
      <c r="R2539" s="33"/>
      <c r="S2539" s="61"/>
      <c r="T2539" s="33"/>
      <c r="U2539" s="62"/>
      <c r="W2539" s="61"/>
      <c r="X2539" s="62"/>
      <c r="AD2539" s="64"/>
      <c r="AG2539" s="58"/>
    </row>
    <row r="2540" spans="2:33" ht="16">
      <c r="B2540" s="67" t="str">
        <f t="shared" si="10"/>
        <v/>
      </c>
      <c r="C2540" s="33"/>
      <c r="D2540" s="33"/>
      <c r="E2540" s="33"/>
      <c r="F2540" s="56"/>
      <c r="G2540" s="33"/>
      <c r="H2540" s="33"/>
      <c r="I2540" s="33"/>
      <c r="J2540" s="57"/>
      <c r="K2540" s="33"/>
      <c r="L2540" s="57"/>
      <c r="M2540" s="64"/>
      <c r="N2540" s="56"/>
      <c r="O2540" s="58"/>
      <c r="P2540" s="62"/>
      <c r="Q2540" s="33"/>
      <c r="R2540" s="33"/>
      <c r="S2540" s="61"/>
      <c r="T2540" s="33"/>
      <c r="U2540" s="62"/>
      <c r="W2540" s="61"/>
      <c r="X2540" s="62"/>
      <c r="AG2540" s="58"/>
    </row>
    <row r="2541" spans="2:33" ht="16">
      <c r="B2541" s="67" t="str">
        <f t="shared" si="10"/>
        <v/>
      </c>
      <c r="C2541" s="33"/>
      <c r="D2541" s="33"/>
      <c r="E2541" s="33"/>
      <c r="F2541" s="56"/>
      <c r="G2541" s="33"/>
      <c r="H2541" s="33"/>
      <c r="I2541" s="33"/>
      <c r="J2541" s="57"/>
      <c r="K2541" s="33"/>
      <c r="L2541" s="57"/>
      <c r="M2541" s="64"/>
      <c r="N2541" s="56"/>
      <c r="O2541" s="64"/>
      <c r="P2541" s="62"/>
      <c r="Q2541" s="33"/>
      <c r="R2541" s="33"/>
      <c r="S2541" s="61"/>
      <c r="T2541" s="33"/>
      <c r="U2541" s="62"/>
      <c r="W2541" s="61"/>
      <c r="X2541" s="62"/>
      <c r="AD2541" s="64"/>
      <c r="AG2541" s="58"/>
    </row>
    <row r="2542" spans="2:33" ht="16">
      <c r="B2542" s="67" t="str">
        <f t="shared" si="10"/>
        <v/>
      </c>
      <c r="C2542" s="33"/>
      <c r="D2542" s="33"/>
      <c r="E2542" s="33"/>
      <c r="F2542" s="56"/>
      <c r="G2542" s="33"/>
      <c r="H2542" s="33"/>
      <c r="I2542" s="33"/>
      <c r="J2542" s="57"/>
      <c r="K2542" s="33"/>
      <c r="L2542" s="57"/>
      <c r="M2542" s="64"/>
      <c r="N2542" s="56"/>
      <c r="O2542" s="64"/>
      <c r="P2542" s="62"/>
      <c r="Q2542" s="33"/>
      <c r="R2542" s="33"/>
      <c r="S2542" s="61"/>
      <c r="T2542" s="33"/>
      <c r="U2542" s="62"/>
      <c r="W2542" s="61"/>
      <c r="X2542" s="62"/>
      <c r="AD2542" s="64"/>
      <c r="AG2542" s="58"/>
    </row>
    <row r="2543" spans="2:33" ht="16">
      <c r="B2543" s="67" t="str">
        <f t="shared" si="10"/>
        <v/>
      </c>
      <c r="C2543" s="33"/>
      <c r="D2543" s="33"/>
      <c r="E2543" s="33"/>
      <c r="F2543" s="56"/>
      <c r="G2543" s="33"/>
      <c r="H2543" s="33"/>
      <c r="I2543" s="33"/>
      <c r="J2543" s="57"/>
      <c r="K2543" s="33"/>
      <c r="L2543" s="57"/>
      <c r="M2543" s="64"/>
      <c r="N2543" s="56"/>
      <c r="O2543" s="64"/>
      <c r="P2543" s="62"/>
      <c r="Q2543" s="33"/>
      <c r="R2543" s="33"/>
      <c r="S2543" s="61"/>
      <c r="T2543" s="33"/>
      <c r="U2543" s="62"/>
      <c r="W2543" s="61"/>
      <c r="X2543" s="62"/>
      <c r="AG2543" s="64"/>
    </row>
    <row r="2544" spans="2:33" ht="16">
      <c r="B2544" s="67" t="str">
        <f t="shared" si="10"/>
        <v/>
      </c>
      <c r="C2544" s="33"/>
      <c r="D2544" s="33"/>
      <c r="E2544" s="33"/>
      <c r="F2544" s="56"/>
      <c r="G2544" s="33"/>
      <c r="H2544" s="33"/>
      <c r="I2544" s="33"/>
      <c r="J2544" s="57"/>
      <c r="K2544" s="33"/>
      <c r="L2544" s="57"/>
      <c r="M2544" s="64"/>
      <c r="N2544" s="56"/>
      <c r="O2544" s="58"/>
      <c r="P2544" s="62"/>
      <c r="Q2544" s="33"/>
      <c r="R2544" s="33"/>
      <c r="S2544" s="61"/>
      <c r="T2544" s="33"/>
      <c r="U2544" s="62"/>
      <c r="W2544" s="61"/>
      <c r="X2544" s="62"/>
      <c r="AD2544" s="58"/>
      <c r="AG2544" s="58"/>
    </row>
    <row r="2545" spans="2:33" ht="16">
      <c r="B2545" s="67" t="str">
        <f t="shared" si="10"/>
        <v/>
      </c>
      <c r="C2545" s="33"/>
      <c r="D2545" s="33"/>
      <c r="E2545" s="33"/>
      <c r="F2545" s="56"/>
      <c r="G2545" s="33"/>
      <c r="H2545" s="33"/>
      <c r="I2545" s="33"/>
      <c r="J2545" s="57"/>
      <c r="K2545" s="33"/>
      <c r="L2545" s="57"/>
      <c r="M2545" s="64"/>
      <c r="N2545" s="56"/>
      <c r="O2545" s="64"/>
      <c r="P2545" s="62"/>
      <c r="Q2545" s="33"/>
      <c r="R2545" s="33"/>
      <c r="S2545" s="61"/>
      <c r="T2545" s="33"/>
      <c r="U2545" s="62"/>
      <c r="W2545" s="61"/>
      <c r="X2545" s="62"/>
      <c r="AD2545" s="58"/>
      <c r="AG2545" s="64"/>
    </row>
    <row r="2546" spans="2:33" ht="16">
      <c r="B2546" s="67" t="str">
        <f t="shared" si="10"/>
        <v/>
      </c>
      <c r="C2546" s="33"/>
      <c r="D2546" s="33"/>
      <c r="E2546" s="33"/>
      <c r="F2546" s="56"/>
      <c r="G2546" s="33"/>
      <c r="H2546" s="33"/>
      <c r="I2546" s="33"/>
      <c r="J2546" s="57"/>
      <c r="K2546" s="33"/>
      <c r="L2546" s="57"/>
      <c r="M2546" s="64"/>
      <c r="N2546" s="56"/>
      <c r="O2546" s="64"/>
      <c r="P2546" s="62"/>
      <c r="Q2546" s="33"/>
      <c r="R2546" s="33"/>
      <c r="S2546" s="61"/>
      <c r="T2546" s="33"/>
      <c r="U2546" s="62"/>
      <c r="W2546" s="61"/>
      <c r="X2546" s="62"/>
      <c r="AD2546" s="58"/>
      <c r="AG2546" s="58"/>
    </row>
    <row r="2547" spans="2:33" ht="16">
      <c r="B2547" s="67" t="str">
        <f t="shared" si="10"/>
        <v/>
      </c>
      <c r="C2547" s="33"/>
      <c r="D2547" s="33"/>
      <c r="E2547" s="33"/>
      <c r="F2547" s="56"/>
      <c r="G2547" s="33"/>
      <c r="H2547" s="33"/>
      <c r="I2547" s="33"/>
      <c r="J2547" s="57"/>
      <c r="K2547" s="33"/>
      <c r="L2547" s="57"/>
      <c r="M2547" s="64"/>
      <c r="N2547" s="56"/>
      <c r="O2547" s="58"/>
      <c r="P2547" s="62"/>
      <c r="Q2547" s="33"/>
      <c r="R2547" s="33"/>
      <c r="S2547" s="61"/>
      <c r="T2547" s="33"/>
      <c r="U2547" s="62"/>
      <c r="W2547" s="61"/>
      <c r="X2547" s="62"/>
      <c r="AD2547" s="64"/>
      <c r="AG2547" s="58"/>
    </row>
    <row r="2548" spans="2:33" ht="16">
      <c r="B2548" s="67" t="str">
        <f t="shared" si="10"/>
        <v/>
      </c>
      <c r="C2548" s="33"/>
      <c r="D2548" s="33"/>
      <c r="E2548" s="33"/>
      <c r="F2548" s="56"/>
      <c r="G2548" s="33"/>
      <c r="H2548" s="33"/>
      <c r="I2548" s="33"/>
      <c r="J2548" s="57"/>
      <c r="K2548" s="33"/>
      <c r="L2548" s="57"/>
      <c r="M2548" s="64"/>
      <c r="N2548" s="56"/>
      <c r="O2548" s="64"/>
      <c r="P2548" s="62"/>
      <c r="Q2548" s="33"/>
      <c r="R2548" s="33"/>
      <c r="S2548" s="61"/>
      <c r="T2548" s="33"/>
      <c r="U2548" s="62"/>
      <c r="W2548" s="61"/>
      <c r="X2548" s="62"/>
      <c r="AG2548" s="64"/>
    </row>
    <row r="2549" spans="2:33" ht="16">
      <c r="B2549" s="67" t="str">
        <f t="shared" si="10"/>
        <v/>
      </c>
      <c r="C2549" s="33"/>
      <c r="D2549" s="33"/>
      <c r="E2549" s="33"/>
      <c r="F2549" s="56"/>
      <c r="G2549" s="33"/>
      <c r="H2549" s="33"/>
      <c r="I2549" s="33"/>
      <c r="J2549" s="57"/>
      <c r="K2549" s="33"/>
      <c r="L2549" s="57"/>
      <c r="M2549" s="64"/>
      <c r="N2549" s="56"/>
      <c r="O2549" s="64"/>
      <c r="P2549" s="62"/>
      <c r="Q2549" s="33"/>
      <c r="R2549" s="33"/>
      <c r="S2549" s="61"/>
      <c r="T2549" s="33"/>
      <c r="U2549" s="62"/>
      <c r="W2549" s="61"/>
      <c r="X2549" s="62"/>
      <c r="AG2549" s="64"/>
    </row>
    <row r="2550" spans="2:33" ht="16">
      <c r="B2550" s="67" t="str">
        <f t="shared" si="10"/>
        <v/>
      </c>
      <c r="C2550" s="33"/>
      <c r="D2550" s="33"/>
      <c r="E2550" s="33"/>
      <c r="F2550" s="56"/>
      <c r="G2550" s="33"/>
      <c r="H2550" s="33"/>
      <c r="I2550" s="33"/>
      <c r="J2550" s="57"/>
      <c r="K2550" s="33"/>
      <c r="L2550" s="57"/>
      <c r="M2550" s="64"/>
      <c r="N2550" s="56"/>
      <c r="O2550" s="64"/>
      <c r="P2550" s="62"/>
      <c r="Q2550" s="33"/>
      <c r="R2550" s="33"/>
      <c r="S2550" s="61"/>
      <c r="T2550" s="33"/>
      <c r="U2550" s="62"/>
      <c r="W2550" s="61"/>
      <c r="X2550" s="62"/>
      <c r="AG2550" s="64"/>
    </row>
    <row r="2551" spans="2:33" ht="16">
      <c r="B2551" s="67" t="str">
        <f t="shared" si="10"/>
        <v/>
      </c>
      <c r="C2551" s="33"/>
      <c r="D2551" s="33"/>
      <c r="E2551" s="33"/>
      <c r="F2551" s="56"/>
      <c r="G2551" s="33"/>
      <c r="H2551" s="33"/>
      <c r="I2551" s="33"/>
      <c r="J2551" s="57"/>
      <c r="K2551" s="33"/>
      <c r="L2551" s="57"/>
      <c r="M2551" s="64"/>
      <c r="N2551" s="56"/>
      <c r="O2551" s="58"/>
      <c r="P2551" s="62"/>
      <c r="Q2551" s="33"/>
      <c r="R2551" s="33"/>
      <c r="S2551" s="61"/>
      <c r="T2551" s="33"/>
      <c r="U2551" s="62"/>
      <c r="W2551" s="61"/>
      <c r="X2551" s="62"/>
      <c r="AD2551" s="58"/>
      <c r="AG2551" s="58"/>
    </row>
    <row r="2552" spans="2:33" ht="16">
      <c r="B2552" s="67" t="str">
        <f t="shared" si="10"/>
        <v/>
      </c>
      <c r="C2552" s="33"/>
      <c r="D2552" s="33"/>
      <c r="E2552" s="33"/>
      <c r="F2552" s="56"/>
      <c r="G2552" s="33"/>
      <c r="H2552" s="33"/>
      <c r="I2552" s="33"/>
      <c r="J2552" s="57"/>
      <c r="K2552" s="33"/>
      <c r="L2552" s="57"/>
      <c r="M2552" s="64"/>
      <c r="N2552" s="56"/>
      <c r="O2552" s="64"/>
      <c r="P2552" s="62"/>
      <c r="Q2552" s="33"/>
      <c r="R2552" s="33"/>
      <c r="S2552" s="61"/>
      <c r="T2552" s="33"/>
      <c r="U2552" s="62"/>
      <c r="W2552" s="61"/>
      <c r="X2552" s="62"/>
      <c r="AG2552" s="58"/>
    </row>
    <row r="2553" spans="2:33" ht="16">
      <c r="B2553" s="67" t="str">
        <f t="shared" si="10"/>
        <v/>
      </c>
      <c r="C2553" s="33"/>
      <c r="D2553" s="33"/>
      <c r="E2553" s="33"/>
      <c r="F2553" s="56"/>
      <c r="G2553" s="33"/>
      <c r="H2553" s="33"/>
      <c r="I2553" s="33"/>
      <c r="J2553" s="57"/>
      <c r="K2553" s="33"/>
      <c r="L2553" s="57"/>
      <c r="M2553" s="64"/>
      <c r="N2553" s="56"/>
      <c r="O2553" s="58"/>
      <c r="P2553" s="62"/>
      <c r="Q2553" s="33"/>
      <c r="R2553" s="33"/>
      <c r="S2553" s="61"/>
      <c r="T2553" s="33"/>
      <c r="U2553" s="62"/>
      <c r="W2553" s="61"/>
      <c r="X2553" s="62"/>
      <c r="AD2553" s="58"/>
      <c r="AG2553" s="58"/>
    </row>
    <row r="2554" spans="2:33" ht="16">
      <c r="B2554" s="67" t="str">
        <f t="shared" si="10"/>
        <v/>
      </c>
      <c r="C2554" s="33"/>
      <c r="D2554" s="33"/>
      <c r="E2554" s="33"/>
      <c r="F2554" s="56"/>
      <c r="G2554" s="33"/>
      <c r="H2554" s="33"/>
      <c r="I2554" s="33"/>
      <c r="J2554" s="57"/>
      <c r="K2554" s="33"/>
      <c r="L2554" s="57"/>
      <c r="M2554" s="64"/>
      <c r="N2554" s="56"/>
      <c r="O2554" s="58"/>
      <c r="P2554" s="62"/>
      <c r="Q2554" s="33"/>
      <c r="R2554" s="33"/>
      <c r="S2554" s="61"/>
      <c r="T2554" s="33"/>
      <c r="U2554" s="62"/>
      <c r="W2554" s="61"/>
      <c r="X2554" s="62"/>
      <c r="AD2554" s="64"/>
      <c r="AG2554" s="64"/>
    </row>
    <row r="2555" spans="2:33" ht="16">
      <c r="B2555" s="67" t="str">
        <f t="shared" si="10"/>
        <v/>
      </c>
      <c r="C2555" s="33"/>
      <c r="D2555" s="33"/>
      <c r="E2555" s="33"/>
      <c r="F2555" s="56"/>
      <c r="G2555" s="33"/>
      <c r="H2555" s="33"/>
      <c r="I2555" s="33"/>
      <c r="J2555" s="57"/>
      <c r="K2555" s="33"/>
      <c r="L2555" s="57"/>
      <c r="M2555" s="64"/>
      <c r="N2555" s="56"/>
      <c r="O2555" s="64"/>
      <c r="P2555" s="62"/>
      <c r="Q2555" s="33"/>
      <c r="R2555" s="33"/>
      <c r="S2555" s="61"/>
      <c r="T2555" s="33"/>
      <c r="U2555" s="62"/>
      <c r="W2555" s="61"/>
      <c r="X2555" s="62"/>
      <c r="AG2555" s="64"/>
    </row>
    <row r="2556" spans="2:33" ht="16">
      <c r="B2556" s="67" t="str">
        <f t="shared" si="10"/>
        <v/>
      </c>
      <c r="C2556" s="33"/>
      <c r="D2556" s="33"/>
      <c r="E2556" s="33"/>
      <c r="F2556" s="56"/>
      <c r="G2556" s="33"/>
      <c r="H2556" s="33"/>
      <c r="I2556" s="33"/>
      <c r="J2556" s="57"/>
      <c r="K2556" s="33"/>
      <c r="L2556" s="57"/>
      <c r="M2556" s="64"/>
      <c r="N2556" s="56"/>
      <c r="O2556" s="64"/>
      <c r="P2556" s="62"/>
      <c r="Q2556" s="33"/>
      <c r="R2556" s="33"/>
      <c r="S2556" s="61"/>
      <c r="T2556" s="33"/>
      <c r="U2556" s="62"/>
      <c r="W2556" s="61"/>
      <c r="X2556" s="62"/>
      <c r="AD2556" s="64"/>
      <c r="AG2556" s="58"/>
    </row>
    <row r="2557" spans="2:33" ht="16">
      <c r="B2557" s="67" t="str">
        <f t="shared" si="10"/>
        <v/>
      </c>
      <c r="C2557" s="33"/>
      <c r="D2557" s="33"/>
      <c r="E2557" s="33"/>
      <c r="F2557" s="56"/>
      <c r="G2557" s="33"/>
      <c r="H2557" s="33"/>
      <c r="I2557" s="33"/>
      <c r="J2557" s="57"/>
      <c r="K2557" s="33"/>
      <c r="L2557" s="57"/>
      <c r="M2557" s="64"/>
      <c r="N2557" s="56"/>
      <c r="O2557" s="64"/>
      <c r="P2557" s="62"/>
      <c r="Q2557" s="33"/>
      <c r="R2557" s="33"/>
      <c r="S2557" s="61"/>
      <c r="T2557" s="33"/>
      <c r="U2557" s="62"/>
      <c r="W2557" s="61"/>
      <c r="X2557" s="62"/>
      <c r="AD2557" s="64"/>
      <c r="AG2557" s="64"/>
    </row>
    <row r="2558" spans="2:33" ht="16">
      <c r="B2558" s="67" t="str">
        <f t="shared" si="10"/>
        <v/>
      </c>
      <c r="C2558" s="33"/>
      <c r="D2558" s="33"/>
      <c r="E2558" s="33"/>
      <c r="F2558" s="56"/>
      <c r="G2558" s="33"/>
      <c r="H2558" s="33"/>
      <c r="I2558" s="33"/>
      <c r="J2558" s="57"/>
      <c r="K2558" s="33"/>
      <c r="L2558" s="57"/>
      <c r="M2558" s="64"/>
      <c r="N2558" s="56"/>
      <c r="O2558" s="64"/>
      <c r="P2558" s="62"/>
      <c r="Q2558" s="33"/>
      <c r="R2558" s="33"/>
      <c r="S2558" s="61"/>
      <c r="T2558" s="33"/>
      <c r="U2558" s="62"/>
      <c r="W2558" s="61"/>
      <c r="AD2558" s="58"/>
      <c r="AG2558" s="64"/>
    </row>
    <row r="2559" spans="2:33" ht="16">
      <c r="B2559" s="67" t="str">
        <f t="shared" si="10"/>
        <v/>
      </c>
      <c r="C2559" s="33"/>
      <c r="D2559" s="33"/>
      <c r="E2559" s="33"/>
      <c r="F2559" s="56"/>
      <c r="G2559" s="33"/>
      <c r="H2559" s="33"/>
      <c r="I2559" s="33"/>
      <c r="J2559" s="57"/>
      <c r="K2559" s="33"/>
      <c r="L2559" s="57"/>
      <c r="M2559" s="64"/>
      <c r="N2559" s="56"/>
      <c r="O2559" s="64"/>
      <c r="P2559" s="62"/>
      <c r="Q2559" s="33"/>
      <c r="R2559" s="33"/>
      <c r="S2559" s="61"/>
      <c r="T2559" s="33"/>
      <c r="U2559" s="62"/>
      <c r="W2559" s="61"/>
      <c r="X2559" s="62"/>
      <c r="AG2559" s="58"/>
    </row>
    <row r="2560" spans="2:33" ht="16">
      <c r="B2560" s="67" t="str">
        <f t="shared" si="10"/>
        <v/>
      </c>
      <c r="C2560" s="33"/>
      <c r="D2560" s="33"/>
      <c r="E2560" s="33"/>
      <c r="F2560" s="56"/>
      <c r="G2560" s="33"/>
      <c r="H2560" s="33"/>
      <c r="I2560" s="33"/>
      <c r="J2560" s="57"/>
      <c r="K2560" s="33"/>
      <c r="L2560" s="57"/>
      <c r="M2560" s="64"/>
      <c r="N2560" s="56"/>
      <c r="O2560" s="64"/>
      <c r="P2560" s="62"/>
      <c r="Q2560" s="33"/>
      <c r="R2560" s="33"/>
      <c r="S2560" s="61"/>
      <c r="T2560" s="33"/>
      <c r="U2560" s="62"/>
      <c r="W2560" s="61"/>
      <c r="AD2560" s="58"/>
      <c r="AG2560" s="58"/>
    </row>
    <row r="2561" spans="2:33" ht="16">
      <c r="B2561" s="67" t="str">
        <f t="shared" si="10"/>
        <v/>
      </c>
      <c r="C2561" s="33"/>
      <c r="D2561" s="33"/>
      <c r="E2561" s="33"/>
      <c r="F2561" s="56"/>
      <c r="G2561" s="33"/>
      <c r="H2561" s="33"/>
      <c r="I2561" s="33"/>
      <c r="J2561" s="57"/>
      <c r="K2561" s="33"/>
      <c r="L2561" s="57"/>
      <c r="M2561" s="64"/>
      <c r="N2561" s="56"/>
      <c r="O2561" s="58"/>
      <c r="P2561" s="62"/>
      <c r="Q2561" s="33"/>
      <c r="R2561" s="33"/>
      <c r="S2561" s="61"/>
      <c r="T2561" s="33"/>
      <c r="U2561" s="62"/>
      <c r="W2561" s="61"/>
      <c r="AD2561" s="58"/>
      <c r="AG2561" s="58"/>
    </row>
    <row r="2562" spans="2:33" ht="16">
      <c r="B2562" s="67" t="str">
        <f t="shared" si="10"/>
        <v/>
      </c>
      <c r="C2562" s="33"/>
      <c r="D2562" s="33"/>
      <c r="E2562" s="33"/>
      <c r="F2562" s="56"/>
      <c r="G2562" s="33"/>
      <c r="H2562" s="33"/>
      <c r="I2562" s="33"/>
      <c r="J2562" s="57"/>
      <c r="K2562" s="33"/>
      <c r="L2562" s="57"/>
      <c r="M2562" s="58"/>
      <c r="N2562" s="56"/>
      <c r="O2562" s="64"/>
      <c r="P2562" s="62"/>
      <c r="Q2562" s="33"/>
      <c r="R2562" s="33"/>
      <c r="S2562" s="61"/>
      <c r="T2562" s="33"/>
      <c r="U2562" s="62"/>
      <c r="W2562" s="61"/>
      <c r="X2562" s="62"/>
      <c r="AD2562" s="64"/>
      <c r="AG2562" s="64"/>
    </row>
    <row r="2563" spans="2:33" ht="16">
      <c r="B2563" s="67" t="str">
        <f t="shared" si="10"/>
        <v/>
      </c>
      <c r="C2563" s="33"/>
      <c r="D2563" s="33"/>
      <c r="E2563" s="33"/>
      <c r="F2563" s="56"/>
      <c r="G2563" s="33"/>
      <c r="H2563" s="33"/>
      <c r="I2563" s="33"/>
      <c r="J2563" s="57"/>
      <c r="K2563" s="33"/>
      <c r="L2563" s="57"/>
      <c r="M2563" s="58"/>
      <c r="N2563" s="56"/>
      <c r="O2563" s="64"/>
      <c r="P2563" s="62"/>
      <c r="Q2563" s="33"/>
      <c r="R2563" s="33"/>
      <c r="S2563" s="61"/>
      <c r="T2563" s="33"/>
      <c r="U2563" s="62"/>
      <c r="W2563" s="61"/>
      <c r="X2563" s="62"/>
      <c r="AG2563" s="58"/>
    </row>
    <row r="2564" spans="2:33" ht="16">
      <c r="B2564" s="67" t="str">
        <f t="shared" si="10"/>
        <v/>
      </c>
      <c r="C2564" s="33"/>
      <c r="D2564" s="33"/>
      <c r="E2564" s="33"/>
      <c r="F2564" s="56"/>
      <c r="G2564" s="33"/>
      <c r="H2564" s="33"/>
      <c r="I2564" s="33"/>
      <c r="J2564" s="57"/>
      <c r="K2564" s="33"/>
      <c r="L2564" s="57"/>
      <c r="M2564" s="58"/>
      <c r="N2564" s="56"/>
      <c r="O2564" s="64"/>
      <c r="P2564" s="62"/>
      <c r="Q2564" s="33"/>
      <c r="R2564" s="33"/>
      <c r="S2564" s="61"/>
      <c r="T2564" s="33"/>
      <c r="U2564" s="62"/>
      <c r="W2564" s="61"/>
      <c r="AD2564" s="58"/>
      <c r="AG2564" s="58"/>
    </row>
    <row r="2565" spans="2:33" ht="16">
      <c r="B2565" s="67" t="str">
        <f t="shared" si="10"/>
        <v/>
      </c>
      <c r="C2565" s="33"/>
      <c r="D2565" s="33"/>
      <c r="E2565" s="33"/>
      <c r="F2565" s="56"/>
      <c r="G2565" s="33"/>
      <c r="H2565" s="33"/>
      <c r="I2565" s="33"/>
      <c r="J2565" s="57"/>
      <c r="K2565" s="33"/>
      <c r="L2565" s="57"/>
      <c r="M2565" s="58"/>
      <c r="N2565" s="56"/>
      <c r="O2565" s="64"/>
      <c r="P2565" s="62"/>
      <c r="Q2565" s="33"/>
      <c r="R2565" s="33"/>
      <c r="S2565" s="61"/>
      <c r="T2565" s="33"/>
      <c r="U2565" s="62"/>
      <c r="W2565" s="61"/>
      <c r="X2565" s="62"/>
      <c r="AG2565" s="58"/>
    </row>
    <row r="2566" spans="2:33" ht="16">
      <c r="B2566" s="67" t="str">
        <f t="shared" si="10"/>
        <v/>
      </c>
      <c r="C2566" s="33"/>
      <c r="D2566" s="33"/>
      <c r="E2566" s="33"/>
      <c r="F2566" s="56"/>
      <c r="G2566" s="33"/>
      <c r="H2566" s="33"/>
      <c r="I2566" s="33"/>
      <c r="J2566" s="57"/>
      <c r="K2566" s="33"/>
      <c r="L2566" s="57"/>
      <c r="M2566" s="58"/>
      <c r="N2566" s="56"/>
      <c r="O2566" s="64"/>
      <c r="P2566" s="62"/>
      <c r="Q2566" s="33"/>
      <c r="R2566" s="33"/>
      <c r="S2566" s="61"/>
      <c r="T2566" s="33"/>
      <c r="U2566" s="62"/>
      <c r="W2566" s="61"/>
      <c r="X2566" s="62"/>
      <c r="AG2566" s="64"/>
    </row>
    <row r="2567" spans="2:33" ht="16">
      <c r="B2567" s="67" t="str">
        <f t="shared" si="10"/>
        <v/>
      </c>
      <c r="C2567" s="33"/>
      <c r="D2567" s="33"/>
      <c r="E2567" s="33"/>
      <c r="F2567" s="56"/>
      <c r="G2567" s="33"/>
      <c r="H2567" s="33"/>
      <c r="I2567" s="33"/>
      <c r="J2567" s="57"/>
      <c r="K2567" s="33"/>
      <c r="L2567" s="57"/>
      <c r="M2567" s="58"/>
      <c r="N2567" s="56"/>
      <c r="O2567" s="64"/>
      <c r="P2567" s="62"/>
      <c r="Q2567" s="33"/>
      <c r="R2567" s="33"/>
      <c r="S2567" s="61"/>
      <c r="T2567" s="33"/>
      <c r="U2567" s="62"/>
      <c r="W2567" s="61"/>
      <c r="X2567" s="62"/>
      <c r="AG2567" s="64"/>
    </row>
    <row r="2568" spans="2:33" ht="16">
      <c r="B2568" s="67" t="str">
        <f t="shared" si="10"/>
        <v/>
      </c>
      <c r="C2568" s="33"/>
      <c r="D2568" s="33"/>
      <c r="E2568" s="33"/>
      <c r="F2568" s="56"/>
      <c r="G2568" s="33"/>
      <c r="H2568" s="33"/>
      <c r="I2568" s="33"/>
      <c r="J2568" s="57"/>
      <c r="K2568" s="33"/>
      <c r="L2568" s="57"/>
      <c r="M2568" s="58"/>
      <c r="N2568" s="56"/>
      <c r="O2568" s="64"/>
      <c r="P2568" s="62"/>
      <c r="Q2568" s="33"/>
      <c r="R2568" s="33"/>
      <c r="S2568" s="61"/>
      <c r="T2568" s="33"/>
      <c r="U2568" s="62"/>
      <c r="W2568" s="61"/>
      <c r="AD2568" s="64"/>
      <c r="AG2568" s="58"/>
    </row>
    <row r="2569" spans="2:33" ht="16">
      <c r="B2569" s="67" t="str">
        <f t="shared" si="10"/>
        <v/>
      </c>
      <c r="C2569" s="33"/>
      <c r="D2569" s="33"/>
      <c r="E2569" s="33"/>
      <c r="F2569" s="56"/>
      <c r="G2569" s="33"/>
      <c r="H2569" s="33"/>
      <c r="I2569" s="33"/>
      <c r="J2569" s="57"/>
      <c r="K2569" s="33"/>
      <c r="L2569" s="57"/>
      <c r="M2569" s="58"/>
      <c r="N2569" s="56"/>
      <c r="O2569" s="64"/>
      <c r="P2569" s="62"/>
      <c r="Q2569" s="33"/>
      <c r="R2569" s="33"/>
      <c r="S2569" s="61"/>
      <c r="T2569" s="33"/>
      <c r="U2569" s="62"/>
      <c r="W2569" s="61"/>
      <c r="AD2569" s="64"/>
      <c r="AG2569" s="64"/>
    </row>
    <row r="2570" spans="2:33" ht="16">
      <c r="B2570" s="67" t="str">
        <f t="shared" si="10"/>
        <v/>
      </c>
      <c r="C2570" s="33"/>
      <c r="D2570" s="33"/>
      <c r="E2570" s="33"/>
      <c r="F2570" s="56"/>
      <c r="G2570" s="33"/>
      <c r="H2570" s="33"/>
      <c r="I2570" s="33"/>
      <c r="J2570" s="57"/>
      <c r="K2570" s="33"/>
      <c r="L2570" s="57"/>
      <c r="M2570" s="58"/>
      <c r="N2570" s="56"/>
      <c r="O2570" s="58"/>
      <c r="P2570" s="62"/>
      <c r="Q2570" s="33"/>
      <c r="R2570" s="33"/>
      <c r="S2570" s="61"/>
      <c r="T2570" s="33"/>
      <c r="U2570" s="62"/>
      <c r="W2570" s="61"/>
      <c r="AD2570" s="64"/>
      <c r="AG2570" s="58"/>
    </row>
    <row r="2571" spans="2:33" ht="16">
      <c r="B2571" s="67" t="str">
        <f t="shared" si="10"/>
        <v/>
      </c>
      <c r="C2571" s="33"/>
      <c r="D2571" s="33"/>
      <c r="E2571" s="33"/>
      <c r="F2571" s="56"/>
      <c r="G2571" s="33"/>
      <c r="H2571" s="33"/>
      <c r="I2571" s="33"/>
      <c r="J2571" s="57"/>
      <c r="K2571" s="33"/>
      <c r="L2571" s="57"/>
      <c r="M2571" s="58"/>
      <c r="N2571" s="56"/>
      <c r="O2571" s="64"/>
      <c r="P2571" s="62"/>
      <c r="Q2571" s="33"/>
      <c r="R2571" s="33"/>
      <c r="S2571" s="61"/>
      <c r="T2571" s="33"/>
      <c r="U2571" s="62"/>
      <c r="W2571" s="61"/>
      <c r="AD2571" s="58"/>
      <c r="AG2571" s="64"/>
    </row>
    <row r="2572" spans="2:33" ht="16">
      <c r="B2572" s="67" t="str">
        <f t="shared" si="10"/>
        <v/>
      </c>
      <c r="C2572" s="33"/>
      <c r="D2572" s="33"/>
      <c r="E2572" s="33"/>
      <c r="F2572" s="56"/>
      <c r="G2572" s="33"/>
      <c r="H2572" s="33"/>
      <c r="I2572" s="33"/>
      <c r="J2572" s="57"/>
      <c r="K2572" s="33"/>
      <c r="L2572" s="57"/>
      <c r="M2572" s="58"/>
      <c r="N2572" s="56"/>
      <c r="O2572" s="64"/>
      <c r="P2572" s="62"/>
      <c r="Q2572" s="33"/>
      <c r="R2572" s="33"/>
      <c r="S2572" s="61"/>
      <c r="T2572" s="33"/>
      <c r="U2572" s="62"/>
      <c r="W2572" s="61"/>
      <c r="X2572" s="62"/>
      <c r="AG2572" s="58"/>
    </row>
    <row r="2573" spans="2:33" ht="16">
      <c r="B2573" s="67" t="str">
        <f t="shared" si="10"/>
        <v/>
      </c>
      <c r="C2573" s="33"/>
      <c r="D2573" s="33"/>
      <c r="E2573" s="33"/>
      <c r="F2573" s="56"/>
      <c r="G2573" s="33"/>
      <c r="H2573" s="33"/>
      <c r="I2573" s="33"/>
      <c r="J2573" s="57"/>
      <c r="K2573" s="33"/>
      <c r="L2573" s="57"/>
      <c r="M2573" s="58"/>
      <c r="N2573" s="56"/>
      <c r="O2573" s="58"/>
      <c r="P2573" s="62"/>
      <c r="Q2573" s="33"/>
      <c r="R2573" s="33"/>
      <c r="S2573" s="61"/>
      <c r="T2573" s="33"/>
      <c r="U2573" s="62"/>
      <c r="W2573" s="61"/>
      <c r="AD2573" s="58"/>
      <c r="AG2573" s="58"/>
    </row>
    <row r="2574" spans="2:33" ht="16">
      <c r="B2574" s="67" t="str">
        <f t="shared" si="10"/>
        <v/>
      </c>
      <c r="C2574" s="33"/>
      <c r="D2574" s="33"/>
      <c r="E2574" s="33"/>
      <c r="F2574" s="56"/>
      <c r="G2574" s="33"/>
      <c r="H2574" s="33"/>
      <c r="I2574" s="33"/>
      <c r="J2574" s="57"/>
      <c r="K2574" s="33"/>
      <c r="L2574" s="57"/>
      <c r="M2574" s="58"/>
      <c r="N2574" s="56"/>
      <c r="O2574" s="64"/>
      <c r="P2574" s="62"/>
      <c r="Q2574" s="33"/>
      <c r="R2574" s="33"/>
      <c r="S2574" s="61"/>
      <c r="T2574" s="33"/>
      <c r="U2574" s="62"/>
      <c r="W2574" s="61"/>
      <c r="X2574" s="62"/>
      <c r="AG2574" s="58"/>
    </row>
    <row r="2575" spans="2:33" ht="16">
      <c r="B2575" s="67" t="str">
        <f t="shared" si="10"/>
        <v/>
      </c>
      <c r="C2575" s="33"/>
      <c r="D2575" s="33"/>
      <c r="E2575" s="33"/>
      <c r="F2575" s="56"/>
      <c r="G2575" s="33"/>
      <c r="H2575" s="33"/>
      <c r="I2575" s="33"/>
      <c r="J2575" s="57"/>
      <c r="K2575" s="33"/>
      <c r="L2575" s="57"/>
      <c r="M2575" s="58"/>
      <c r="N2575" s="56"/>
      <c r="O2575" s="64"/>
      <c r="P2575" s="62"/>
      <c r="Q2575" s="33"/>
      <c r="R2575" s="33"/>
      <c r="S2575" s="61"/>
      <c r="T2575" s="33"/>
      <c r="U2575" s="62"/>
      <c r="W2575" s="61"/>
      <c r="AD2575" s="58"/>
      <c r="AG2575" s="64"/>
    </row>
    <row r="2576" spans="2:33" ht="16">
      <c r="B2576" s="67" t="str">
        <f t="shared" si="10"/>
        <v/>
      </c>
      <c r="C2576" s="33"/>
      <c r="D2576" s="33"/>
      <c r="E2576" s="33"/>
      <c r="F2576" s="56"/>
      <c r="G2576" s="33"/>
      <c r="H2576" s="33"/>
      <c r="I2576" s="33"/>
      <c r="J2576" s="57"/>
      <c r="K2576" s="33"/>
      <c r="L2576" s="57"/>
      <c r="M2576" s="58"/>
      <c r="N2576" s="56"/>
      <c r="O2576" s="64"/>
      <c r="P2576" s="62"/>
      <c r="Q2576" s="33"/>
      <c r="R2576" s="33"/>
      <c r="S2576" s="61"/>
      <c r="T2576" s="33"/>
      <c r="U2576" s="62"/>
      <c r="W2576" s="61"/>
      <c r="X2576" s="62"/>
      <c r="AD2576" s="64"/>
      <c r="AG2576" s="64"/>
    </row>
    <row r="2577" spans="2:33" ht="16">
      <c r="B2577" s="67" t="str">
        <f t="shared" ref="B2577:B2831" si="11">IF($H2577="","",LEFT(C2577,3))</f>
        <v/>
      </c>
      <c r="C2577" s="33"/>
      <c r="D2577" s="33"/>
      <c r="E2577" s="33"/>
      <c r="F2577" s="56"/>
      <c r="G2577" s="33"/>
      <c r="H2577" s="33"/>
      <c r="I2577" s="33"/>
      <c r="J2577" s="57"/>
      <c r="K2577" s="33"/>
      <c r="L2577" s="57"/>
      <c r="M2577" s="58"/>
      <c r="N2577" s="56"/>
      <c r="O2577" s="58"/>
      <c r="P2577" s="62"/>
      <c r="Q2577" s="33"/>
      <c r="R2577" s="33"/>
      <c r="S2577" s="61"/>
      <c r="T2577" s="33"/>
      <c r="U2577" s="62"/>
      <c r="W2577" s="61"/>
      <c r="AD2577" s="58"/>
      <c r="AG2577" s="58"/>
    </row>
    <row r="2578" spans="2:33" ht="16">
      <c r="B2578" s="67" t="str">
        <f t="shared" si="11"/>
        <v/>
      </c>
      <c r="C2578" s="33"/>
      <c r="D2578" s="33"/>
      <c r="E2578" s="33"/>
      <c r="F2578" s="56"/>
      <c r="G2578" s="33"/>
      <c r="H2578" s="33"/>
      <c r="I2578" s="33"/>
      <c r="J2578" s="57"/>
      <c r="K2578" s="33"/>
      <c r="L2578" s="57"/>
      <c r="M2578" s="64"/>
      <c r="N2578" s="56"/>
      <c r="O2578" s="64"/>
      <c r="P2578" s="62"/>
      <c r="Q2578" s="33"/>
      <c r="R2578" s="33"/>
      <c r="S2578" s="61"/>
      <c r="T2578" s="33"/>
      <c r="U2578" s="62"/>
      <c r="W2578" s="61"/>
      <c r="AD2578" s="58"/>
      <c r="AG2578" s="64"/>
    </row>
    <row r="2579" spans="2:33" ht="16">
      <c r="B2579" s="67" t="str">
        <f t="shared" si="11"/>
        <v/>
      </c>
      <c r="C2579" s="33"/>
      <c r="D2579" s="33"/>
      <c r="E2579" s="33"/>
      <c r="F2579" s="56"/>
      <c r="G2579" s="33"/>
      <c r="H2579" s="33"/>
      <c r="I2579" s="33"/>
      <c r="J2579" s="57"/>
      <c r="K2579" s="33"/>
      <c r="L2579" s="57"/>
      <c r="M2579" s="64"/>
      <c r="N2579" s="56"/>
      <c r="O2579" s="64"/>
      <c r="P2579" s="62"/>
      <c r="Q2579" s="33"/>
      <c r="R2579" s="33"/>
      <c r="S2579" s="61"/>
      <c r="T2579" s="33"/>
      <c r="U2579" s="62"/>
      <c r="W2579" s="61"/>
      <c r="AD2579" s="58"/>
      <c r="AG2579" s="64"/>
    </row>
    <row r="2580" spans="2:33" ht="16">
      <c r="B2580" s="67" t="str">
        <f t="shared" si="11"/>
        <v/>
      </c>
      <c r="C2580" s="33"/>
      <c r="D2580" s="33"/>
      <c r="E2580" s="33"/>
      <c r="F2580" s="56"/>
      <c r="G2580" s="33"/>
      <c r="H2580" s="33"/>
      <c r="I2580" s="33"/>
      <c r="J2580" s="57"/>
      <c r="K2580" s="33"/>
      <c r="L2580" s="57"/>
      <c r="M2580" s="64"/>
      <c r="N2580" s="56"/>
      <c r="O2580" s="64"/>
      <c r="P2580" s="62"/>
      <c r="Q2580" s="33"/>
      <c r="R2580" s="33"/>
      <c r="S2580" s="61"/>
      <c r="T2580" s="33"/>
      <c r="U2580" s="62"/>
      <c r="W2580" s="61"/>
      <c r="X2580" s="62"/>
      <c r="AD2580" s="58"/>
      <c r="AG2580" s="64"/>
    </row>
    <row r="2581" spans="2:33" ht="16">
      <c r="B2581" s="67" t="str">
        <f t="shared" si="11"/>
        <v/>
      </c>
      <c r="C2581" s="33"/>
      <c r="D2581" s="33"/>
      <c r="E2581" s="33"/>
      <c r="F2581" s="56"/>
      <c r="G2581" s="33"/>
      <c r="H2581" s="33"/>
      <c r="I2581" s="33"/>
      <c r="J2581" s="57"/>
      <c r="K2581" s="33"/>
      <c r="L2581" s="57"/>
      <c r="M2581" s="64"/>
      <c r="N2581" s="56"/>
      <c r="O2581" s="64"/>
      <c r="P2581" s="62"/>
      <c r="Q2581" s="33"/>
      <c r="R2581" s="33"/>
      <c r="S2581" s="61"/>
      <c r="T2581" s="33"/>
      <c r="U2581" s="62"/>
      <c r="W2581" s="61"/>
      <c r="X2581" s="62"/>
      <c r="AD2581" s="58"/>
      <c r="AG2581" s="58"/>
    </row>
    <row r="2582" spans="2:33" ht="16">
      <c r="B2582" s="67" t="str">
        <f t="shared" si="11"/>
        <v/>
      </c>
      <c r="C2582" s="33"/>
      <c r="D2582" s="33"/>
      <c r="E2582" s="33"/>
      <c r="F2582" s="56"/>
      <c r="G2582" s="33"/>
      <c r="H2582" s="33"/>
      <c r="I2582" s="33"/>
      <c r="J2582" s="57"/>
      <c r="K2582" s="33"/>
      <c r="L2582" s="57"/>
      <c r="M2582" s="58"/>
      <c r="N2582" s="56"/>
      <c r="O2582" s="58"/>
      <c r="P2582" s="62"/>
      <c r="Q2582" s="33"/>
      <c r="R2582" s="33"/>
      <c r="S2582" s="61"/>
      <c r="T2582" s="33"/>
      <c r="U2582" s="62"/>
      <c r="W2582" s="61"/>
      <c r="X2582" s="62"/>
      <c r="AD2582" s="58"/>
      <c r="AG2582" s="64"/>
    </row>
    <row r="2583" spans="2:33" ht="16">
      <c r="B2583" s="67" t="str">
        <f t="shared" si="11"/>
        <v/>
      </c>
      <c r="C2583" s="33"/>
      <c r="D2583" s="33"/>
      <c r="E2583" s="33"/>
      <c r="F2583" s="56"/>
      <c r="G2583" s="33"/>
      <c r="H2583" s="33"/>
      <c r="I2583" s="33"/>
      <c r="J2583" s="57"/>
      <c r="K2583" s="33"/>
      <c r="L2583" s="57"/>
      <c r="M2583" s="64"/>
      <c r="N2583" s="56"/>
      <c r="O2583" s="64"/>
      <c r="P2583" s="62"/>
      <c r="Q2583" s="33"/>
      <c r="R2583" s="33"/>
      <c r="S2583" s="61"/>
      <c r="T2583" s="33"/>
      <c r="U2583" s="62"/>
      <c r="W2583" s="61"/>
      <c r="X2583" s="62"/>
      <c r="AD2583" s="58"/>
      <c r="AG2583" s="58"/>
    </row>
    <row r="2584" spans="2:33" ht="16">
      <c r="B2584" s="67" t="str">
        <f t="shared" si="11"/>
        <v/>
      </c>
      <c r="C2584" s="33"/>
      <c r="D2584" s="33"/>
      <c r="E2584" s="33"/>
      <c r="F2584" s="56"/>
      <c r="G2584" s="33"/>
      <c r="H2584" s="33"/>
      <c r="I2584" s="33"/>
      <c r="J2584" s="57"/>
      <c r="K2584" s="33"/>
      <c r="L2584" s="57"/>
      <c r="M2584" s="64"/>
      <c r="N2584" s="56"/>
      <c r="O2584" s="64"/>
      <c r="P2584" s="62"/>
      <c r="Q2584" s="33"/>
      <c r="R2584" s="33"/>
      <c r="S2584" s="61"/>
      <c r="T2584" s="33"/>
      <c r="U2584" s="62"/>
      <c r="W2584" s="61"/>
      <c r="X2584" s="62"/>
      <c r="AD2584" s="58"/>
      <c r="AG2584" s="64"/>
    </row>
    <row r="2585" spans="2:33" ht="16">
      <c r="B2585" s="67" t="str">
        <f t="shared" si="11"/>
        <v/>
      </c>
      <c r="C2585" s="33"/>
      <c r="D2585" s="33"/>
      <c r="E2585" s="33"/>
      <c r="F2585" s="56"/>
      <c r="G2585" s="33"/>
      <c r="H2585" s="33"/>
      <c r="I2585" s="33"/>
      <c r="J2585" s="57"/>
      <c r="K2585" s="33"/>
      <c r="L2585" s="57"/>
      <c r="M2585" s="58"/>
      <c r="N2585" s="56"/>
      <c r="O2585" s="64"/>
      <c r="P2585" s="62"/>
      <c r="Q2585" s="33"/>
      <c r="R2585" s="33"/>
      <c r="S2585" s="61"/>
      <c r="T2585" s="33"/>
      <c r="U2585" s="62"/>
      <c r="W2585" s="61"/>
      <c r="X2585" s="62"/>
      <c r="AD2585" s="58"/>
      <c r="AG2585" s="64"/>
    </row>
    <row r="2586" spans="2:33" ht="16">
      <c r="B2586" s="67" t="str">
        <f t="shared" si="11"/>
        <v/>
      </c>
      <c r="C2586" s="33"/>
      <c r="D2586" s="33"/>
      <c r="E2586" s="33"/>
      <c r="F2586" s="56"/>
      <c r="G2586" s="33"/>
      <c r="H2586" s="33"/>
      <c r="I2586" s="33"/>
      <c r="J2586" s="57"/>
      <c r="K2586" s="33"/>
      <c r="L2586" s="57"/>
      <c r="M2586" s="64"/>
      <c r="N2586" s="56"/>
      <c r="O2586" s="64"/>
      <c r="P2586" s="62"/>
      <c r="Q2586" s="33"/>
      <c r="R2586" s="33"/>
      <c r="S2586" s="61"/>
      <c r="T2586" s="33"/>
      <c r="U2586" s="62"/>
      <c r="W2586" s="61"/>
      <c r="X2586" s="62"/>
      <c r="AD2586" s="64"/>
      <c r="AG2586" s="58"/>
    </row>
    <row r="2587" spans="2:33" ht="16">
      <c r="B2587" s="67" t="str">
        <f t="shared" si="11"/>
        <v/>
      </c>
      <c r="C2587" s="33"/>
      <c r="D2587" s="33"/>
      <c r="E2587" s="33"/>
      <c r="F2587" s="56"/>
      <c r="G2587" s="33"/>
      <c r="H2587" s="33"/>
      <c r="I2587" s="33"/>
      <c r="J2587" s="57"/>
      <c r="K2587" s="33"/>
      <c r="L2587" s="57"/>
      <c r="M2587" s="64"/>
      <c r="N2587" s="56"/>
      <c r="O2587" s="64"/>
      <c r="P2587" s="62"/>
      <c r="Q2587" s="33"/>
      <c r="R2587" s="33"/>
      <c r="S2587" s="61"/>
      <c r="T2587" s="33"/>
      <c r="U2587" s="62"/>
      <c r="W2587" s="61"/>
      <c r="X2587" s="62"/>
      <c r="AD2587" s="64"/>
      <c r="AG2587" s="64"/>
    </row>
    <row r="2588" spans="2:33" ht="16">
      <c r="B2588" s="67" t="str">
        <f t="shared" si="11"/>
        <v/>
      </c>
      <c r="C2588" s="33"/>
      <c r="D2588" s="33"/>
      <c r="E2588" s="33"/>
      <c r="F2588" s="56"/>
      <c r="G2588" s="33"/>
      <c r="H2588" s="33"/>
      <c r="I2588" s="33"/>
      <c r="J2588" s="57"/>
      <c r="K2588" s="33"/>
      <c r="L2588" s="57"/>
      <c r="M2588" s="64"/>
      <c r="N2588" s="56"/>
      <c r="O2588" s="58"/>
      <c r="P2588" s="62"/>
      <c r="Q2588" s="33"/>
      <c r="R2588" s="33"/>
      <c r="S2588" s="61"/>
      <c r="T2588" s="33"/>
      <c r="U2588" s="62"/>
      <c r="W2588" s="61"/>
      <c r="X2588" s="62"/>
      <c r="AD2588" s="58"/>
      <c r="AG2588" s="64"/>
    </row>
    <row r="2589" spans="2:33" ht="16">
      <c r="B2589" s="67" t="str">
        <f t="shared" si="11"/>
        <v/>
      </c>
      <c r="C2589" s="33"/>
      <c r="D2589" s="33"/>
      <c r="E2589" s="33"/>
      <c r="F2589" s="56"/>
      <c r="G2589" s="33"/>
      <c r="H2589" s="33"/>
      <c r="I2589" s="33"/>
      <c r="J2589" s="57"/>
      <c r="K2589" s="33"/>
      <c r="L2589" s="57"/>
      <c r="M2589" s="64"/>
      <c r="N2589" s="56"/>
      <c r="O2589" s="64"/>
      <c r="P2589" s="62"/>
      <c r="Q2589" s="33"/>
      <c r="R2589" s="33"/>
      <c r="S2589" s="61"/>
      <c r="T2589" s="33"/>
      <c r="U2589" s="62"/>
      <c r="W2589" s="61"/>
      <c r="X2589" s="62"/>
      <c r="AD2589" s="64"/>
      <c r="AG2589" s="58"/>
    </row>
    <row r="2590" spans="2:33" ht="16">
      <c r="B2590" s="67" t="str">
        <f t="shared" si="11"/>
        <v/>
      </c>
      <c r="C2590" s="33"/>
      <c r="D2590" s="33"/>
      <c r="E2590" s="33"/>
      <c r="F2590" s="56"/>
      <c r="G2590" s="33"/>
      <c r="H2590" s="33"/>
      <c r="I2590" s="33"/>
      <c r="J2590" s="57"/>
      <c r="K2590" s="33"/>
      <c r="L2590" s="57"/>
      <c r="M2590" s="64"/>
      <c r="N2590" s="56"/>
      <c r="O2590" s="64"/>
      <c r="P2590" s="62"/>
      <c r="Q2590" s="33"/>
      <c r="R2590" s="33"/>
      <c r="S2590" s="61"/>
      <c r="T2590" s="33"/>
      <c r="U2590" s="62"/>
      <c r="W2590" s="61"/>
      <c r="X2590" s="62"/>
      <c r="AD2590" s="58"/>
      <c r="AG2590" s="58"/>
    </row>
    <row r="2591" spans="2:33" ht="16">
      <c r="B2591" s="67" t="str">
        <f t="shared" si="11"/>
        <v/>
      </c>
      <c r="C2591" s="33"/>
      <c r="D2591" s="33"/>
      <c r="E2591" s="33"/>
      <c r="F2591" s="56"/>
      <c r="G2591" s="33"/>
      <c r="H2591" s="33"/>
      <c r="I2591" s="33"/>
      <c r="J2591" s="57"/>
      <c r="K2591" s="33"/>
      <c r="L2591" s="57"/>
      <c r="M2591" s="64"/>
      <c r="N2591" s="56"/>
      <c r="O2591" s="64"/>
      <c r="P2591" s="62"/>
      <c r="Q2591" s="33"/>
      <c r="R2591" s="33"/>
      <c r="S2591" s="61"/>
      <c r="T2591" s="33"/>
      <c r="U2591" s="62"/>
      <c r="W2591" s="61"/>
      <c r="X2591" s="62"/>
      <c r="AD2591" s="58"/>
      <c r="AG2591" s="64"/>
    </row>
    <row r="2592" spans="2:33" ht="16">
      <c r="B2592" s="67" t="str">
        <f t="shared" si="11"/>
        <v/>
      </c>
      <c r="C2592" s="33"/>
      <c r="D2592" s="33"/>
      <c r="E2592" s="33"/>
      <c r="F2592" s="56"/>
      <c r="G2592" s="33"/>
      <c r="H2592" s="33"/>
      <c r="I2592" s="33"/>
      <c r="J2592" s="57"/>
      <c r="K2592" s="33"/>
      <c r="L2592" s="57"/>
      <c r="M2592" s="64"/>
      <c r="N2592" s="56"/>
      <c r="O2592" s="58"/>
      <c r="P2592" s="62"/>
      <c r="Q2592" s="33"/>
      <c r="R2592" s="33"/>
      <c r="S2592" s="61"/>
      <c r="T2592" s="33"/>
      <c r="U2592" s="62"/>
      <c r="W2592" s="61"/>
      <c r="X2592" s="62"/>
      <c r="AD2592" s="58"/>
      <c r="AG2592" s="58"/>
    </row>
    <row r="2593" spans="2:33" ht="16">
      <c r="B2593" s="67" t="str">
        <f t="shared" si="11"/>
        <v/>
      </c>
      <c r="C2593" s="33"/>
      <c r="D2593" s="33"/>
      <c r="E2593" s="33"/>
      <c r="F2593" s="56"/>
      <c r="G2593" s="33"/>
      <c r="H2593" s="33"/>
      <c r="I2593" s="33"/>
      <c r="J2593" s="57"/>
      <c r="K2593" s="33"/>
      <c r="L2593" s="57"/>
      <c r="M2593" s="58"/>
      <c r="N2593" s="56"/>
      <c r="O2593" s="58"/>
      <c r="P2593" s="62"/>
      <c r="Q2593" s="33"/>
      <c r="R2593" s="33"/>
      <c r="S2593" s="61"/>
      <c r="T2593" s="33"/>
      <c r="U2593" s="62"/>
      <c r="W2593" s="61"/>
      <c r="X2593" s="62"/>
      <c r="AD2593" s="58"/>
      <c r="AG2593" s="58"/>
    </row>
    <row r="2594" spans="2:33" ht="16">
      <c r="B2594" s="67" t="str">
        <f t="shared" si="11"/>
        <v/>
      </c>
      <c r="C2594" s="33"/>
      <c r="D2594" s="33"/>
      <c r="E2594" s="33"/>
      <c r="F2594" s="56"/>
      <c r="G2594" s="33"/>
      <c r="H2594" s="33"/>
      <c r="I2594" s="33"/>
      <c r="J2594" s="57"/>
      <c r="K2594" s="33"/>
      <c r="L2594" s="57"/>
      <c r="M2594" s="64"/>
      <c r="N2594" s="56"/>
      <c r="O2594" s="64"/>
      <c r="P2594" s="62"/>
      <c r="Q2594" s="33"/>
      <c r="R2594" s="33"/>
      <c r="S2594" s="61"/>
      <c r="T2594" s="33"/>
      <c r="U2594" s="62"/>
      <c r="W2594" s="61"/>
      <c r="X2594" s="62"/>
      <c r="AD2594" s="58"/>
      <c r="AG2594" s="64"/>
    </row>
    <row r="2595" spans="2:33" ht="16">
      <c r="B2595" s="67" t="str">
        <f t="shared" si="11"/>
        <v/>
      </c>
      <c r="C2595" s="33"/>
      <c r="D2595" s="33"/>
      <c r="E2595" s="33"/>
      <c r="F2595" s="56"/>
      <c r="G2595" s="33"/>
      <c r="H2595" s="33"/>
      <c r="I2595" s="33"/>
      <c r="J2595" s="57"/>
      <c r="K2595" s="33"/>
      <c r="L2595" s="57"/>
      <c r="M2595" s="58"/>
      <c r="N2595" s="56"/>
      <c r="O2595" s="58"/>
      <c r="P2595" s="62"/>
      <c r="Q2595" s="33"/>
      <c r="R2595" s="33"/>
      <c r="S2595" s="61"/>
      <c r="T2595" s="33"/>
      <c r="U2595" s="62"/>
      <c r="W2595" s="61"/>
      <c r="X2595" s="62"/>
      <c r="AD2595" s="58"/>
      <c r="AG2595" s="64"/>
    </row>
    <row r="2596" spans="2:33" ht="16">
      <c r="B2596" s="67" t="str">
        <f t="shared" si="11"/>
        <v/>
      </c>
      <c r="C2596" s="33"/>
      <c r="D2596" s="33"/>
      <c r="E2596" s="33"/>
      <c r="F2596" s="56"/>
      <c r="G2596" s="33"/>
      <c r="H2596" s="33"/>
      <c r="I2596" s="33"/>
      <c r="J2596" s="57"/>
      <c r="K2596" s="33"/>
      <c r="L2596" s="57"/>
      <c r="M2596" s="64"/>
      <c r="N2596" s="56"/>
      <c r="O2596" s="64"/>
      <c r="P2596" s="62"/>
      <c r="Q2596" s="33"/>
      <c r="R2596" s="33"/>
      <c r="S2596" s="61"/>
      <c r="T2596" s="33"/>
      <c r="U2596" s="62"/>
      <c r="W2596" s="61"/>
      <c r="X2596" s="62"/>
      <c r="AD2596" s="58"/>
      <c r="AG2596" s="64"/>
    </row>
    <row r="2597" spans="2:33" ht="16">
      <c r="B2597" s="67" t="str">
        <f t="shared" si="11"/>
        <v/>
      </c>
      <c r="C2597" s="33"/>
      <c r="D2597" s="33"/>
      <c r="E2597" s="33"/>
      <c r="F2597" s="56"/>
      <c r="G2597" s="33"/>
      <c r="H2597" s="33"/>
      <c r="I2597" s="33"/>
      <c r="J2597" s="57"/>
      <c r="K2597" s="33"/>
      <c r="L2597" s="57"/>
      <c r="M2597" s="64"/>
      <c r="N2597" s="56"/>
      <c r="O2597" s="64"/>
      <c r="P2597" s="62"/>
      <c r="Q2597" s="33"/>
      <c r="R2597" s="33"/>
      <c r="S2597" s="61"/>
      <c r="T2597" s="33"/>
      <c r="U2597" s="62"/>
      <c r="W2597" s="61"/>
      <c r="X2597" s="62"/>
      <c r="AD2597" s="58"/>
      <c r="AG2597" s="58"/>
    </row>
    <row r="2598" spans="2:33" ht="16">
      <c r="B2598" s="67" t="str">
        <f t="shared" si="11"/>
        <v/>
      </c>
      <c r="C2598" s="33"/>
      <c r="D2598" s="33"/>
      <c r="E2598" s="33"/>
      <c r="F2598" s="56"/>
      <c r="G2598" s="33"/>
      <c r="H2598" s="33"/>
      <c r="I2598" s="33"/>
      <c r="J2598" s="57"/>
      <c r="K2598" s="33"/>
      <c r="L2598" s="57"/>
      <c r="M2598" s="64"/>
      <c r="N2598" s="56"/>
      <c r="O2598" s="64"/>
      <c r="P2598" s="62"/>
      <c r="Q2598" s="33"/>
      <c r="R2598" s="33"/>
      <c r="S2598" s="61"/>
      <c r="T2598" s="33"/>
      <c r="U2598" s="62"/>
      <c r="W2598" s="61"/>
      <c r="X2598" s="62"/>
      <c r="AD2598" s="64"/>
      <c r="AG2598" s="58"/>
    </row>
    <row r="2599" spans="2:33" ht="16">
      <c r="B2599" s="67" t="str">
        <f t="shared" si="11"/>
        <v/>
      </c>
      <c r="C2599" s="33"/>
      <c r="D2599" s="33"/>
      <c r="E2599" s="33"/>
      <c r="F2599" s="56"/>
      <c r="G2599" s="33"/>
      <c r="H2599" s="33"/>
      <c r="I2599" s="33"/>
      <c r="J2599" s="57"/>
      <c r="K2599" s="33"/>
      <c r="L2599" s="57"/>
      <c r="M2599" s="64"/>
      <c r="N2599" s="56"/>
      <c r="O2599" s="64"/>
      <c r="P2599" s="62"/>
      <c r="Q2599" s="33"/>
      <c r="R2599" s="33"/>
      <c r="S2599" s="61"/>
      <c r="T2599" s="33"/>
      <c r="U2599" s="62"/>
      <c r="W2599" s="61"/>
      <c r="X2599" s="62"/>
      <c r="AD2599" s="58"/>
      <c r="AG2599" s="58"/>
    </row>
    <row r="2600" spans="2:33" ht="16">
      <c r="B2600" s="67" t="str">
        <f t="shared" si="11"/>
        <v/>
      </c>
      <c r="C2600" s="33"/>
      <c r="D2600" s="33"/>
      <c r="E2600" s="33"/>
      <c r="F2600" s="56"/>
      <c r="G2600" s="33"/>
      <c r="H2600" s="33"/>
      <c r="I2600" s="33"/>
      <c r="J2600" s="57"/>
      <c r="K2600" s="33"/>
      <c r="L2600" s="57"/>
      <c r="M2600" s="64"/>
      <c r="N2600" s="56"/>
      <c r="O2600" s="64"/>
      <c r="P2600" s="62"/>
      <c r="Q2600" s="33"/>
      <c r="R2600" s="33"/>
      <c r="S2600" s="61"/>
      <c r="T2600" s="33"/>
      <c r="U2600" s="62"/>
      <c r="W2600" s="61"/>
      <c r="X2600" s="62"/>
      <c r="AD2600" s="58"/>
      <c r="AG2600" s="58"/>
    </row>
    <row r="2601" spans="2:33" ht="16">
      <c r="B2601" s="67" t="str">
        <f t="shared" si="11"/>
        <v/>
      </c>
      <c r="C2601" s="33"/>
      <c r="D2601" s="33"/>
      <c r="E2601" s="33"/>
      <c r="F2601" s="56"/>
      <c r="G2601" s="33"/>
      <c r="H2601" s="33"/>
      <c r="I2601" s="33"/>
      <c r="J2601" s="57"/>
      <c r="K2601" s="33"/>
      <c r="L2601" s="57"/>
      <c r="M2601" s="64"/>
      <c r="N2601" s="56"/>
      <c r="O2601" s="64"/>
      <c r="P2601" s="62"/>
      <c r="Q2601" s="33"/>
      <c r="R2601" s="33"/>
      <c r="S2601" s="61"/>
      <c r="T2601" s="33"/>
      <c r="U2601" s="62"/>
      <c r="W2601" s="61"/>
      <c r="X2601" s="62"/>
      <c r="AD2601" s="64"/>
      <c r="AG2601" s="58"/>
    </row>
    <row r="2602" spans="2:33" ht="16">
      <c r="B2602" s="67" t="str">
        <f t="shared" si="11"/>
        <v/>
      </c>
      <c r="C2602" s="33"/>
      <c r="D2602" s="33"/>
      <c r="E2602" s="33"/>
      <c r="F2602" s="56"/>
      <c r="G2602" s="33"/>
      <c r="H2602" s="33"/>
      <c r="I2602" s="33"/>
      <c r="J2602" s="57"/>
      <c r="K2602" s="33"/>
      <c r="L2602" s="57"/>
      <c r="M2602" s="64"/>
      <c r="N2602" s="56"/>
      <c r="O2602" s="64"/>
      <c r="P2602" s="62"/>
      <c r="Q2602" s="33"/>
      <c r="R2602" s="33"/>
      <c r="S2602" s="61"/>
      <c r="T2602" s="33"/>
      <c r="U2602" s="62"/>
      <c r="W2602" s="61"/>
      <c r="X2602" s="62"/>
      <c r="AD2602" s="58"/>
      <c r="AG2602" s="58"/>
    </row>
    <row r="2603" spans="2:33" ht="16">
      <c r="B2603" s="67" t="str">
        <f t="shared" si="11"/>
        <v/>
      </c>
      <c r="C2603" s="33"/>
      <c r="D2603" s="33"/>
      <c r="E2603" s="33"/>
      <c r="F2603" s="56"/>
      <c r="G2603" s="33"/>
      <c r="H2603" s="33"/>
      <c r="I2603" s="33"/>
      <c r="J2603" s="57"/>
      <c r="K2603" s="33"/>
      <c r="L2603" s="57"/>
      <c r="M2603" s="64"/>
      <c r="N2603" s="56"/>
      <c r="O2603" s="64"/>
      <c r="P2603" s="62"/>
      <c r="Q2603" s="33"/>
      <c r="R2603" s="33"/>
      <c r="S2603" s="61"/>
      <c r="T2603" s="33"/>
      <c r="U2603" s="62"/>
      <c r="W2603" s="61"/>
      <c r="X2603" s="62"/>
      <c r="AD2603" s="64"/>
      <c r="AG2603" s="58"/>
    </row>
    <row r="2604" spans="2:33" ht="16">
      <c r="B2604" s="67" t="str">
        <f t="shared" si="11"/>
        <v/>
      </c>
      <c r="C2604" s="33"/>
      <c r="D2604" s="33"/>
      <c r="E2604" s="33"/>
      <c r="F2604" s="56"/>
      <c r="G2604" s="33"/>
      <c r="H2604" s="33"/>
      <c r="I2604" s="33"/>
      <c r="J2604" s="57"/>
      <c r="K2604" s="33"/>
      <c r="L2604" s="57"/>
      <c r="M2604" s="64"/>
      <c r="N2604" s="56"/>
      <c r="O2604" s="64"/>
      <c r="P2604" s="62"/>
      <c r="Q2604" s="33"/>
      <c r="R2604" s="33"/>
      <c r="S2604" s="61"/>
      <c r="T2604" s="33"/>
      <c r="U2604" s="62"/>
      <c r="W2604" s="61"/>
      <c r="X2604" s="62"/>
      <c r="AD2604" s="64"/>
      <c r="AG2604" s="58"/>
    </row>
    <row r="2605" spans="2:33" ht="16">
      <c r="B2605" s="67" t="str">
        <f t="shared" si="11"/>
        <v/>
      </c>
      <c r="C2605" s="33"/>
      <c r="D2605" s="33"/>
      <c r="E2605" s="33"/>
      <c r="F2605" s="56"/>
      <c r="G2605" s="33"/>
      <c r="H2605" s="33"/>
      <c r="I2605" s="33"/>
      <c r="J2605" s="57"/>
      <c r="K2605" s="33"/>
      <c r="L2605" s="57"/>
      <c r="M2605" s="64"/>
      <c r="N2605" s="56"/>
      <c r="O2605" s="64"/>
      <c r="P2605" s="62"/>
      <c r="Q2605" s="33"/>
      <c r="R2605" s="33"/>
      <c r="S2605" s="61"/>
      <c r="T2605" s="33"/>
      <c r="U2605" s="62"/>
      <c r="W2605" s="61"/>
      <c r="X2605" s="62"/>
      <c r="AD2605" s="64"/>
      <c r="AG2605" s="64"/>
    </row>
    <row r="2606" spans="2:33" ht="16">
      <c r="B2606" s="67" t="str">
        <f t="shared" si="11"/>
        <v/>
      </c>
      <c r="C2606" s="33"/>
      <c r="D2606" s="33"/>
      <c r="E2606" s="33"/>
      <c r="F2606" s="56"/>
      <c r="G2606" s="33"/>
      <c r="H2606" s="33"/>
      <c r="I2606" s="33"/>
      <c r="J2606" s="57"/>
      <c r="K2606" s="33"/>
      <c r="L2606" s="57"/>
      <c r="M2606" s="64"/>
      <c r="N2606" s="56"/>
      <c r="O2606" s="64"/>
      <c r="P2606" s="62"/>
      <c r="Q2606" s="33"/>
      <c r="R2606" s="33"/>
      <c r="S2606" s="61"/>
      <c r="T2606" s="33"/>
      <c r="U2606" s="62"/>
      <c r="W2606" s="61"/>
      <c r="X2606" s="62"/>
      <c r="AD2606" s="64"/>
      <c r="AG2606" s="64"/>
    </row>
    <row r="2607" spans="2:33" ht="16">
      <c r="B2607" s="67" t="str">
        <f t="shared" si="11"/>
        <v/>
      </c>
      <c r="C2607" s="33"/>
      <c r="D2607" s="33"/>
      <c r="E2607" s="33"/>
      <c r="F2607" s="56"/>
      <c r="G2607" s="33"/>
      <c r="H2607" s="33"/>
      <c r="I2607" s="33"/>
      <c r="J2607" s="57"/>
      <c r="K2607" s="33"/>
      <c r="L2607" s="57"/>
      <c r="M2607" s="64"/>
      <c r="N2607" s="56"/>
      <c r="O2607" s="64"/>
      <c r="P2607" s="62"/>
      <c r="Q2607" s="33"/>
      <c r="R2607" s="33"/>
      <c r="S2607" s="61"/>
      <c r="T2607" s="33"/>
      <c r="U2607" s="62"/>
      <c r="W2607" s="61"/>
      <c r="X2607" s="62"/>
      <c r="AD2607" s="64"/>
      <c r="AG2607" s="58"/>
    </row>
    <row r="2608" spans="2:33" ht="16">
      <c r="B2608" s="67" t="str">
        <f t="shared" si="11"/>
        <v/>
      </c>
      <c r="C2608" s="33"/>
      <c r="D2608" s="33"/>
      <c r="E2608" s="33"/>
      <c r="F2608" s="56"/>
      <c r="G2608" s="33"/>
      <c r="H2608" s="33"/>
      <c r="I2608" s="33"/>
      <c r="J2608" s="57"/>
      <c r="K2608" s="33"/>
      <c r="L2608" s="57"/>
      <c r="M2608" s="64"/>
      <c r="N2608" s="56"/>
      <c r="O2608" s="64"/>
      <c r="P2608" s="62"/>
      <c r="Q2608" s="33"/>
      <c r="R2608" s="33"/>
      <c r="S2608" s="61"/>
      <c r="T2608" s="33"/>
      <c r="U2608" s="62"/>
      <c r="W2608" s="61"/>
      <c r="X2608" s="62"/>
      <c r="AD2608" s="58"/>
      <c r="AG2608" s="64"/>
    </row>
    <row r="2609" spans="2:33" ht="16">
      <c r="B2609" s="67" t="str">
        <f t="shared" si="11"/>
        <v/>
      </c>
      <c r="C2609" s="33"/>
      <c r="D2609" s="33"/>
      <c r="E2609" s="33"/>
      <c r="F2609" s="56"/>
      <c r="G2609" s="33"/>
      <c r="H2609" s="33"/>
      <c r="I2609" s="33"/>
      <c r="J2609" s="57"/>
      <c r="K2609" s="33"/>
      <c r="L2609" s="57"/>
      <c r="M2609" s="64"/>
      <c r="N2609" s="56"/>
      <c r="O2609" s="64"/>
      <c r="P2609" s="62"/>
      <c r="Q2609" s="33"/>
      <c r="R2609" s="33"/>
      <c r="S2609" s="61"/>
      <c r="T2609" s="33"/>
      <c r="U2609" s="62"/>
      <c r="W2609" s="61"/>
      <c r="X2609" s="62"/>
      <c r="AD2609" s="58"/>
      <c r="AG2609" s="58"/>
    </row>
    <row r="2610" spans="2:33" ht="16">
      <c r="B2610" s="67" t="str">
        <f t="shared" si="11"/>
        <v/>
      </c>
      <c r="C2610" s="33"/>
      <c r="D2610" s="33"/>
      <c r="E2610" s="33"/>
      <c r="F2610" s="56"/>
      <c r="G2610" s="33"/>
      <c r="H2610" s="33"/>
      <c r="I2610" s="33"/>
      <c r="J2610" s="57"/>
      <c r="K2610" s="33"/>
      <c r="L2610" s="57"/>
      <c r="M2610" s="64"/>
      <c r="N2610" s="56"/>
      <c r="O2610" s="64"/>
      <c r="P2610" s="62"/>
      <c r="Q2610" s="33"/>
      <c r="R2610" s="33"/>
      <c r="S2610" s="61"/>
      <c r="T2610" s="33"/>
      <c r="U2610" s="62"/>
      <c r="W2610" s="61"/>
      <c r="X2610" s="62"/>
      <c r="AD2610" s="64"/>
      <c r="AG2610" s="64"/>
    </row>
    <row r="2611" spans="2:33" ht="16">
      <c r="B2611" s="67" t="str">
        <f t="shared" si="11"/>
        <v/>
      </c>
      <c r="C2611" s="33"/>
      <c r="D2611" s="33"/>
      <c r="E2611" s="33"/>
      <c r="F2611" s="56"/>
      <c r="G2611" s="33"/>
      <c r="H2611" s="33"/>
      <c r="I2611" s="33"/>
      <c r="J2611" s="57"/>
      <c r="K2611" s="33"/>
      <c r="L2611" s="57"/>
      <c r="M2611" s="64"/>
      <c r="N2611" s="56"/>
      <c r="O2611" s="64"/>
      <c r="P2611" s="62"/>
      <c r="Q2611" s="33"/>
      <c r="R2611" s="33"/>
      <c r="S2611" s="61"/>
      <c r="T2611" s="33"/>
      <c r="U2611" s="62"/>
      <c r="W2611" s="61"/>
      <c r="X2611" s="62"/>
      <c r="AD2611" s="58"/>
      <c r="AG2611" s="58"/>
    </row>
    <row r="2612" spans="2:33" ht="16">
      <c r="B2612" s="67" t="str">
        <f t="shared" si="11"/>
        <v/>
      </c>
      <c r="C2612" s="33"/>
      <c r="D2612" s="33"/>
      <c r="E2612" s="33"/>
      <c r="F2612" s="56"/>
      <c r="G2612" s="33"/>
      <c r="H2612" s="33"/>
      <c r="I2612" s="33"/>
      <c r="J2612" s="57"/>
      <c r="K2612" s="33"/>
      <c r="L2612" s="57"/>
      <c r="M2612" s="64"/>
      <c r="N2612" s="56"/>
      <c r="O2612" s="64"/>
      <c r="P2612" s="62"/>
      <c r="Q2612" s="33"/>
      <c r="R2612" s="33"/>
      <c r="S2612" s="61"/>
      <c r="T2612" s="33"/>
      <c r="U2612" s="62"/>
      <c r="W2612" s="61"/>
      <c r="X2612" s="62"/>
      <c r="AD2612" s="58"/>
      <c r="AG2612" s="64"/>
    </row>
    <row r="2613" spans="2:33" ht="16">
      <c r="B2613" s="67" t="str">
        <f t="shared" si="11"/>
        <v/>
      </c>
      <c r="C2613" s="33"/>
      <c r="D2613" s="33"/>
      <c r="E2613" s="33"/>
      <c r="F2613" s="56"/>
      <c r="G2613" s="33"/>
      <c r="H2613" s="33"/>
      <c r="I2613" s="33"/>
      <c r="J2613" s="57"/>
      <c r="K2613" s="33"/>
      <c r="L2613" s="57"/>
      <c r="M2613" s="64"/>
      <c r="N2613" s="56"/>
      <c r="O2613" s="58"/>
      <c r="P2613" s="62"/>
      <c r="Q2613" s="33"/>
      <c r="R2613" s="33"/>
      <c r="S2613" s="61"/>
      <c r="T2613" s="33"/>
      <c r="U2613" s="62"/>
      <c r="W2613" s="61"/>
      <c r="X2613" s="62"/>
      <c r="AD2613" s="58"/>
      <c r="AG2613" s="64"/>
    </row>
    <row r="2614" spans="2:33" ht="16">
      <c r="B2614" s="67" t="str">
        <f t="shared" si="11"/>
        <v/>
      </c>
      <c r="C2614" s="33"/>
      <c r="D2614" s="33"/>
      <c r="E2614" s="33"/>
      <c r="F2614" s="56"/>
      <c r="G2614" s="33"/>
      <c r="H2614" s="33"/>
      <c r="I2614" s="33"/>
      <c r="J2614" s="57"/>
      <c r="K2614" s="33"/>
      <c r="L2614" s="57"/>
      <c r="M2614" s="58"/>
      <c r="N2614" s="56"/>
      <c r="O2614" s="58"/>
      <c r="P2614" s="62"/>
      <c r="Q2614" s="33"/>
      <c r="R2614" s="33"/>
      <c r="S2614" s="61"/>
      <c r="T2614" s="33"/>
      <c r="U2614" s="62"/>
      <c r="W2614" s="61"/>
      <c r="X2614" s="62"/>
      <c r="AD2614" s="58"/>
      <c r="AG2614" s="58"/>
    </row>
    <row r="2615" spans="2:33" ht="16">
      <c r="B2615" s="67" t="str">
        <f t="shared" si="11"/>
        <v/>
      </c>
      <c r="C2615" s="33"/>
      <c r="D2615" s="33"/>
      <c r="E2615" s="33"/>
      <c r="F2615" s="56"/>
      <c r="G2615" s="33"/>
      <c r="H2615" s="33"/>
      <c r="I2615" s="33"/>
      <c r="J2615" s="57"/>
      <c r="K2615" s="33"/>
      <c r="L2615" s="57"/>
      <c r="M2615" s="64"/>
      <c r="N2615" s="56"/>
      <c r="O2615" s="58"/>
      <c r="P2615" s="62"/>
      <c r="Q2615" s="33"/>
      <c r="R2615" s="33"/>
      <c r="S2615" s="61"/>
      <c r="T2615" s="33"/>
      <c r="U2615" s="62"/>
      <c r="W2615" s="61"/>
      <c r="X2615" s="62"/>
      <c r="AD2615" s="64"/>
      <c r="AG2615" s="58"/>
    </row>
    <row r="2616" spans="2:33" ht="16">
      <c r="B2616" s="67" t="str">
        <f t="shared" si="11"/>
        <v/>
      </c>
      <c r="C2616" s="33"/>
      <c r="D2616" s="33"/>
      <c r="E2616" s="33"/>
      <c r="F2616" s="56"/>
      <c r="G2616" s="33"/>
      <c r="H2616" s="33"/>
      <c r="I2616" s="33"/>
      <c r="J2616" s="57"/>
      <c r="K2616" s="33"/>
      <c r="L2616" s="57"/>
      <c r="M2616" s="64"/>
      <c r="N2616" s="56"/>
      <c r="O2616" s="64"/>
      <c r="P2616" s="62"/>
      <c r="Q2616" s="33"/>
      <c r="R2616" s="33"/>
      <c r="S2616" s="61"/>
      <c r="T2616" s="33"/>
      <c r="U2616" s="62"/>
      <c r="W2616" s="61"/>
      <c r="X2616" s="62"/>
      <c r="AD2616" s="64"/>
      <c r="AG2616" s="58"/>
    </row>
    <row r="2617" spans="2:33" ht="16">
      <c r="B2617" s="67" t="str">
        <f t="shared" si="11"/>
        <v/>
      </c>
      <c r="C2617" s="33"/>
      <c r="D2617" s="33"/>
      <c r="E2617" s="33"/>
      <c r="F2617" s="56"/>
      <c r="G2617" s="33"/>
      <c r="H2617" s="33"/>
      <c r="I2617" s="33"/>
      <c r="J2617" s="57"/>
      <c r="K2617" s="33"/>
      <c r="L2617" s="57"/>
      <c r="M2617" s="58"/>
      <c r="N2617" s="56"/>
      <c r="O2617" s="58"/>
      <c r="P2617" s="62"/>
      <c r="Q2617" s="33"/>
      <c r="R2617" s="33"/>
      <c r="S2617" s="61"/>
      <c r="T2617" s="33"/>
      <c r="U2617" s="62"/>
      <c r="W2617" s="61"/>
      <c r="X2617" s="62"/>
      <c r="AG2617" s="58"/>
    </row>
    <row r="2618" spans="2:33" ht="16">
      <c r="B2618" s="67" t="str">
        <f t="shared" si="11"/>
        <v/>
      </c>
      <c r="C2618" s="33"/>
      <c r="D2618" s="33"/>
      <c r="E2618" s="33"/>
      <c r="F2618" s="56"/>
      <c r="G2618" s="33"/>
      <c r="H2618" s="33"/>
      <c r="I2618" s="33"/>
      <c r="J2618" s="57"/>
      <c r="K2618" s="33"/>
      <c r="L2618" s="57"/>
      <c r="M2618" s="58"/>
      <c r="N2618" s="56"/>
      <c r="O2618" s="58"/>
      <c r="P2618" s="62"/>
      <c r="Q2618" s="33"/>
      <c r="R2618" s="33"/>
      <c r="S2618" s="61"/>
      <c r="T2618" s="33"/>
      <c r="U2618" s="62"/>
      <c r="W2618" s="61"/>
      <c r="X2618" s="62"/>
      <c r="AD2618" s="58"/>
      <c r="AG2618" s="64"/>
    </row>
    <row r="2619" spans="2:33" ht="16">
      <c r="B2619" s="67" t="str">
        <f t="shared" si="11"/>
        <v/>
      </c>
      <c r="C2619" s="33"/>
      <c r="D2619" s="33"/>
      <c r="E2619" s="33"/>
      <c r="F2619" s="56"/>
      <c r="G2619" s="33"/>
      <c r="H2619" s="33"/>
      <c r="I2619" s="33"/>
      <c r="J2619" s="57"/>
      <c r="K2619" s="33"/>
      <c r="L2619" s="57"/>
      <c r="M2619" s="58"/>
      <c r="N2619" s="56"/>
      <c r="O2619" s="64"/>
      <c r="P2619" s="62"/>
      <c r="Q2619" s="33"/>
      <c r="R2619" s="33"/>
      <c r="S2619" s="61"/>
      <c r="T2619" s="33"/>
      <c r="U2619" s="62"/>
      <c r="W2619" s="61"/>
      <c r="X2619" s="62"/>
      <c r="AG2619" s="58"/>
    </row>
    <row r="2620" spans="2:33" ht="16">
      <c r="B2620" s="67" t="str">
        <f t="shared" si="11"/>
        <v/>
      </c>
      <c r="C2620" s="33"/>
      <c r="D2620" s="33"/>
      <c r="E2620" s="33"/>
      <c r="F2620" s="56"/>
      <c r="G2620" s="33"/>
      <c r="H2620" s="33"/>
      <c r="I2620" s="33"/>
      <c r="J2620" s="57"/>
      <c r="K2620" s="33"/>
      <c r="L2620" s="57"/>
      <c r="M2620" s="58"/>
      <c r="N2620" s="56"/>
      <c r="O2620" s="58"/>
      <c r="P2620" s="62"/>
      <c r="Q2620" s="33"/>
      <c r="R2620" s="33"/>
      <c r="S2620" s="61"/>
      <c r="T2620" s="33"/>
      <c r="U2620" s="62"/>
      <c r="W2620" s="61"/>
      <c r="X2620" s="62"/>
      <c r="AD2620" s="58"/>
      <c r="AG2620" s="64"/>
    </row>
    <row r="2621" spans="2:33" ht="16">
      <c r="B2621" s="67" t="str">
        <f t="shared" si="11"/>
        <v/>
      </c>
      <c r="C2621" s="33"/>
      <c r="D2621" s="33"/>
      <c r="E2621" s="33"/>
      <c r="F2621" s="56"/>
      <c r="G2621" s="33"/>
      <c r="H2621" s="33"/>
      <c r="I2621" s="33"/>
      <c r="J2621" s="57"/>
      <c r="K2621" s="33"/>
      <c r="L2621" s="57"/>
      <c r="M2621" s="58"/>
      <c r="N2621" s="56"/>
      <c r="O2621" s="64"/>
      <c r="P2621" s="62"/>
      <c r="Q2621" s="33"/>
      <c r="R2621" s="33"/>
      <c r="S2621" s="61"/>
      <c r="T2621" s="33"/>
      <c r="U2621" s="62"/>
      <c r="W2621" s="61"/>
      <c r="X2621" s="62"/>
      <c r="AG2621" s="58"/>
    </row>
    <row r="2622" spans="2:33" ht="16">
      <c r="B2622" s="67" t="str">
        <f t="shared" si="11"/>
        <v/>
      </c>
      <c r="C2622" s="33"/>
      <c r="D2622" s="33"/>
      <c r="E2622" s="33"/>
      <c r="F2622" s="56"/>
      <c r="G2622" s="33"/>
      <c r="H2622" s="33"/>
      <c r="I2622" s="33"/>
      <c r="J2622" s="57"/>
      <c r="K2622" s="33"/>
      <c r="L2622" s="57"/>
      <c r="M2622" s="58"/>
      <c r="N2622" s="56"/>
      <c r="O2622" s="64"/>
      <c r="P2622" s="62"/>
      <c r="Q2622" s="33"/>
      <c r="R2622" s="33"/>
      <c r="S2622" s="61"/>
      <c r="T2622" s="33"/>
      <c r="U2622" s="62"/>
      <c r="W2622" s="61"/>
      <c r="X2622" s="62"/>
      <c r="AG2622" s="64"/>
    </row>
    <row r="2623" spans="2:33" ht="16">
      <c r="B2623" s="67" t="str">
        <f t="shared" si="11"/>
        <v/>
      </c>
      <c r="C2623" s="33"/>
      <c r="D2623" s="33"/>
      <c r="E2623" s="33"/>
      <c r="F2623" s="56"/>
      <c r="G2623" s="33"/>
      <c r="H2623" s="33"/>
      <c r="I2623" s="33"/>
      <c r="J2623" s="57"/>
      <c r="K2623" s="33"/>
      <c r="L2623" s="57"/>
      <c r="M2623" s="58"/>
      <c r="N2623" s="56"/>
      <c r="O2623" s="64"/>
      <c r="P2623" s="62"/>
      <c r="Q2623" s="33"/>
      <c r="R2623" s="33"/>
      <c r="S2623" s="61"/>
      <c r="T2623" s="33"/>
      <c r="U2623" s="62"/>
      <c r="W2623" s="61"/>
      <c r="X2623" s="62"/>
      <c r="AG2623" s="58"/>
    </row>
    <row r="2624" spans="2:33" ht="16">
      <c r="B2624" s="67" t="str">
        <f t="shared" si="11"/>
        <v/>
      </c>
      <c r="C2624" s="33"/>
      <c r="D2624" s="33"/>
      <c r="E2624" s="33"/>
      <c r="F2624" s="56"/>
      <c r="G2624" s="33"/>
      <c r="H2624" s="33"/>
      <c r="I2624" s="33"/>
      <c r="J2624" s="57"/>
      <c r="K2624" s="33"/>
      <c r="L2624" s="57"/>
      <c r="M2624" s="58"/>
      <c r="N2624" s="56"/>
      <c r="O2624" s="58"/>
      <c r="P2624" s="62"/>
      <c r="Q2624" s="33"/>
      <c r="R2624" s="33"/>
      <c r="S2624" s="61"/>
      <c r="T2624" s="33"/>
      <c r="U2624" s="62"/>
      <c r="W2624" s="61"/>
      <c r="X2624" s="62"/>
      <c r="AD2624" s="58"/>
      <c r="AG2624" s="64"/>
    </row>
    <row r="2625" spans="2:33" ht="16">
      <c r="B2625" s="67" t="str">
        <f t="shared" si="11"/>
        <v/>
      </c>
      <c r="C2625" s="33"/>
      <c r="D2625" s="33"/>
      <c r="E2625" s="33"/>
      <c r="F2625" s="56"/>
      <c r="G2625" s="33"/>
      <c r="H2625" s="33"/>
      <c r="I2625" s="33"/>
      <c r="J2625" s="57"/>
      <c r="K2625" s="33"/>
      <c r="L2625" s="57"/>
      <c r="M2625" s="58"/>
      <c r="N2625" s="56"/>
      <c r="O2625" s="64"/>
      <c r="P2625" s="62"/>
      <c r="Q2625" s="33"/>
      <c r="R2625" s="33"/>
      <c r="S2625" s="61"/>
      <c r="T2625" s="33"/>
      <c r="U2625" s="62"/>
      <c r="W2625" s="61"/>
      <c r="X2625" s="62"/>
      <c r="AG2625" s="64"/>
    </row>
    <row r="2626" spans="2:33" ht="16">
      <c r="B2626" s="67" t="str">
        <f t="shared" si="11"/>
        <v/>
      </c>
      <c r="C2626" s="33"/>
      <c r="D2626" s="33"/>
      <c r="E2626" s="33"/>
      <c r="F2626" s="56"/>
      <c r="G2626" s="33"/>
      <c r="H2626" s="33"/>
      <c r="I2626" s="33"/>
      <c r="J2626" s="57"/>
      <c r="K2626" s="33"/>
      <c r="L2626" s="57"/>
      <c r="M2626" s="58"/>
      <c r="N2626" s="56"/>
      <c r="O2626" s="64"/>
      <c r="P2626" s="62"/>
      <c r="Q2626" s="33"/>
      <c r="R2626" s="33"/>
      <c r="S2626" s="61"/>
      <c r="T2626" s="33"/>
      <c r="U2626" s="62"/>
      <c r="W2626" s="61"/>
      <c r="X2626" s="62"/>
      <c r="AD2626" s="58"/>
      <c r="AG2626" s="58"/>
    </row>
    <row r="2627" spans="2:33" ht="16">
      <c r="B2627" s="67" t="str">
        <f t="shared" si="11"/>
        <v/>
      </c>
      <c r="C2627" s="33"/>
      <c r="D2627" s="33"/>
      <c r="E2627" s="33"/>
      <c r="F2627" s="56"/>
      <c r="G2627" s="33"/>
      <c r="H2627" s="33"/>
      <c r="I2627" s="33"/>
      <c r="J2627" s="57"/>
      <c r="K2627" s="33"/>
      <c r="L2627" s="57"/>
      <c r="M2627" s="58"/>
      <c r="N2627" s="56"/>
      <c r="O2627" s="58"/>
      <c r="P2627" s="62"/>
      <c r="Q2627" s="33"/>
      <c r="R2627" s="33"/>
      <c r="S2627" s="61"/>
      <c r="T2627" s="33"/>
      <c r="U2627" s="62"/>
      <c r="W2627" s="61"/>
      <c r="X2627" s="62"/>
      <c r="AD2627" s="58"/>
      <c r="AG2627" s="58"/>
    </row>
    <row r="2628" spans="2:33" ht="16">
      <c r="B2628" s="67" t="str">
        <f t="shared" si="11"/>
        <v/>
      </c>
      <c r="C2628" s="33"/>
      <c r="D2628" s="33"/>
      <c r="E2628" s="33"/>
      <c r="F2628" s="56"/>
      <c r="G2628" s="33"/>
      <c r="H2628" s="33"/>
      <c r="I2628" s="33"/>
      <c r="J2628" s="57"/>
      <c r="K2628" s="33"/>
      <c r="L2628" s="57"/>
      <c r="M2628" s="58"/>
      <c r="N2628" s="56"/>
      <c r="O2628" s="58"/>
      <c r="P2628" s="62"/>
      <c r="Q2628" s="33"/>
      <c r="R2628" s="33"/>
      <c r="S2628" s="61"/>
      <c r="T2628" s="33"/>
      <c r="U2628" s="62"/>
      <c r="W2628" s="61"/>
      <c r="X2628" s="62"/>
      <c r="AD2628" s="58"/>
      <c r="AG2628" s="58"/>
    </row>
    <row r="2629" spans="2:33" ht="16">
      <c r="B2629" s="67" t="str">
        <f t="shared" si="11"/>
        <v/>
      </c>
      <c r="C2629" s="33"/>
      <c r="D2629" s="33"/>
      <c r="E2629" s="33"/>
      <c r="F2629" s="56"/>
      <c r="G2629" s="33"/>
      <c r="H2629" s="33"/>
      <c r="I2629" s="33"/>
      <c r="J2629" s="57"/>
      <c r="K2629" s="33"/>
      <c r="L2629" s="57"/>
      <c r="M2629" s="58"/>
      <c r="N2629" s="56"/>
      <c r="O2629" s="64"/>
      <c r="P2629" s="62"/>
      <c r="Q2629" s="33"/>
      <c r="R2629" s="33"/>
      <c r="S2629" s="61"/>
      <c r="T2629" s="33"/>
      <c r="U2629" s="62"/>
      <c r="W2629" s="61"/>
      <c r="X2629" s="62"/>
      <c r="AG2629" s="58"/>
    </row>
    <row r="2630" spans="2:33" ht="16">
      <c r="B2630" s="67" t="str">
        <f t="shared" si="11"/>
        <v/>
      </c>
      <c r="C2630" s="33"/>
      <c r="D2630" s="33"/>
      <c r="E2630" s="33"/>
      <c r="F2630" s="56"/>
      <c r="G2630" s="33"/>
      <c r="H2630" s="33"/>
      <c r="I2630" s="33"/>
      <c r="J2630" s="57"/>
      <c r="K2630" s="33"/>
      <c r="L2630" s="57"/>
      <c r="M2630" s="58"/>
      <c r="N2630" s="56"/>
      <c r="O2630" s="64"/>
      <c r="P2630" s="62"/>
      <c r="Q2630" s="33"/>
      <c r="R2630" s="33"/>
      <c r="S2630" s="61"/>
      <c r="T2630" s="33"/>
      <c r="U2630" s="62"/>
      <c r="W2630" s="61"/>
      <c r="X2630" s="62"/>
      <c r="AG2630" s="64"/>
    </row>
    <row r="2631" spans="2:33" ht="16">
      <c r="B2631" s="67" t="str">
        <f t="shared" si="11"/>
        <v/>
      </c>
      <c r="C2631" s="33"/>
      <c r="D2631" s="33"/>
      <c r="E2631" s="33"/>
      <c r="F2631" s="56"/>
      <c r="G2631" s="33"/>
      <c r="H2631" s="33"/>
      <c r="I2631" s="33"/>
      <c r="J2631" s="57"/>
      <c r="K2631" s="33"/>
      <c r="L2631" s="57"/>
      <c r="M2631" s="58"/>
      <c r="N2631" s="56"/>
      <c r="O2631" s="64"/>
      <c r="P2631" s="62"/>
      <c r="Q2631" s="33"/>
      <c r="R2631" s="33"/>
      <c r="S2631" s="61"/>
      <c r="T2631" s="33"/>
      <c r="U2631" s="62"/>
      <c r="W2631" s="61"/>
      <c r="X2631" s="62"/>
      <c r="AG2631" s="58"/>
    </row>
    <row r="2632" spans="2:33" ht="16">
      <c r="B2632" s="67" t="str">
        <f t="shared" si="11"/>
        <v/>
      </c>
      <c r="C2632" s="33"/>
      <c r="D2632" s="33"/>
      <c r="E2632" s="33"/>
      <c r="F2632" s="56"/>
      <c r="G2632" s="33"/>
      <c r="H2632" s="33"/>
      <c r="I2632" s="33"/>
      <c r="J2632" s="57"/>
      <c r="K2632" s="33"/>
      <c r="L2632" s="57"/>
      <c r="M2632" s="58"/>
      <c r="N2632" s="56"/>
      <c r="O2632" s="58"/>
      <c r="P2632" s="62"/>
      <c r="Q2632" s="33"/>
      <c r="R2632" s="33"/>
      <c r="S2632" s="61"/>
      <c r="T2632" s="33"/>
      <c r="U2632" s="62"/>
      <c r="W2632" s="61"/>
      <c r="X2632" s="62"/>
      <c r="AG2632" s="58"/>
    </row>
    <row r="2633" spans="2:33" ht="16">
      <c r="B2633" s="67" t="str">
        <f t="shared" si="11"/>
        <v/>
      </c>
      <c r="C2633" s="33"/>
      <c r="D2633" s="33"/>
      <c r="E2633" s="33"/>
      <c r="F2633" s="56"/>
      <c r="G2633" s="33"/>
      <c r="H2633" s="33"/>
      <c r="I2633" s="33"/>
      <c r="J2633" s="57"/>
      <c r="K2633" s="33"/>
      <c r="L2633" s="57"/>
      <c r="M2633" s="58"/>
      <c r="N2633" s="56"/>
      <c r="O2633" s="58"/>
      <c r="P2633" s="62"/>
      <c r="Q2633" s="33"/>
      <c r="R2633" s="33"/>
      <c r="S2633" s="61"/>
      <c r="T2633" s="33"/>
      <c r="U2633" s="62"/>
      <c r="W2633" s="61"/>
      <c r="X2633" s="62"/>
      <c r="AD2633" s="58"/>
      <c r="AG2633" s="58"/>
    </row>
    <row r="2634" spans="2:33" ht="16">
      <c r="B2634" s="67" t="str">
        <f t="shared" si="11"/>
        <v/>
      </c>
      <c r="C2634" s="33"/>
      <c r="D2634" s="33"/>
      <c r="E2634" s="33"/>
      <c r="F2634" s="56"/>
      <c r="G2634" s="33"/>
      <c r="H2634" s="33"/>
      <c r="I2634" s="33"/>
      <c r="J2634" s="57"/>
      <c r="K2634" s="33"/>
      <c r="L2634" s="57"/>
      <c r="M2634" s="58"/>
      <c r="N2634" s="56"/>
      <c r="O2634" s="64"/>
      <c r="P2634" s="62"/>
      <c r="Q2634" s="33"/>
      <c r="R2634" s="33"/>
      <c r="S2634" s="61"/>
      <c r="T2634" s="33"/>
      <c r="U2634" s="62"/>
      <c r="W2634" s="61"/>
      <c r="X2634" s="62"/>
      <c r="AG2634" s="58"/>
    </row>
    <row r="2635" spans="2:33" ht="16">
      <c r="B2635" s="67" t="str">
        <f t="shared" si="11"/>
        <v/>
      </c>
      <c r="C2635" s="33"/>
      <c r="D2635" s="33"/>
      <c r="E2635" s="33"/>
      <c r="F2635" s="56"/>
      <c r="G2635" s="33"/>
      <c r="H2635" s="33"/>
      <c r="I2635" s="33"/>
      <c r="J2635" s="57"/>
      <c r="K2635" s="33"/>
      <c r="L2635" s="57"/>
      <c r="M2635" s="58"/>
      <c r="N2635" s="56"/>
      <c r="O2635" s="58"/>
      <c r="P2635" s="62"/>
      <c r="Q2635" s="33"/>
      <c r="R2635" s="33"/>
      <c r="S2635" s="61"/>
      <c r="T2635" s="33"/>
      <c r="U2635" s="62"/>
      <c r="W2635" s="61"/>
      <c r="X2635" s="62"/>
      <c r="AD2635" s="58"/>
      <c r="AG2635" s="58"/>
    </row>
    <row r="2636" spans="2:33" ht="16">
      <c r="B2636" s="67" t="str">
        <f t="shared" si="11"/>
        <v/>
      </c>
      <c r="C2636" s="33"/>
      <c r="D2636" s="33"/>
      <c r="E2636" s="33"/>
      <c r="F2636" s="56"/>
      <c r="G2636" s="33"/>
      <c r="H2636" s="33"/>
      <c r="I2636" s="33"/>
      <c r="J2636" s="57"/>
      <c r="K2636" s="33"/>
      <c r="L2636" s="57"/>
      <c r="M2636" s="58"/>
      <c r="N2636" s="56"/>
      <c r="O2636" s="64"/>
      <c r="P2636" s="62"/>
      <c r="Q2636" s="33"/>
      <c r="R2636" s="33"/>
      <c r="S2636" s="61"/>
      <c r="T2636" s="33"/>
      <c r="U2636" s="62"/>
      <c r="W2636" s="61"/>
      <c r="X2636" s="62"/>
      <c r="AG2636" s="58"/>
    </row>
    <row r="2637" spans="2:33" ht="16">
      <c r="B2637" s="67" t="str">
        <f t="shared" si="11"/>
        <v/>
      </c>
      <c r="C2637" s="33"/>
      <c r="D2637" s="33"/>
      <c r="E2637" s="33"/>
      <c r="F2637" s="56"/>
      <c r="G2637" s="33"/>
      <c r="H2637" s="33"/>
      <c r="I2637" s="33"/>
      <c r="J2637" s="57"/>
      <c r="K2637" s="33"/>
      <c r="L2637" s="57"/>
      <c r="M2637" s="58"/>
      <c r="N2637" s="56"/>
      <c r="O2637" s="58"/>
      <c r="P2637" s="62"/>
      <c r="Q2637" s="33"/>
      <c r="R2637" s="33"/>
      <c r="S2637" s="61"/>
      <c r="T2637" s="33"/>
      <c r="U2637" s="62"/>
      <c r="W2637" s="61"/>
      <c r="X2637" s="62"/>
      <c r="AD2637" s="58"/>
      <c r="AG2637" s="58"/>
    </row>
    <row r="2638" spans="2:33" ht="16">
      <c r="B2638" s="67" t="str">
        <f t="shared" si="11"/>
        <v/>
      </c>
      <c r="C2638" s="33"/>
      <c r="D2638" s="33"/>
      <c r="E2638" s="33"/>
      <c r="F2638" s="56"/>
      <c r="G2638" s="33"/>
      <c r="H2638" s="33"/>
      <c r="I2638" s="33"/>
      <c r="J2638" s="57"/>
      <c r="K2638" s="33"/>
      <c r="L2638" s="57"/>
      <c r="M2638" s="58"/>
      <c r="N2638" s="56"/>
      <c r="O2638" s="58"/>
      <c r="P2638" s="62"/>
      <c r="Q2638" s="33"/>
      <c r="R2638" s="33"/>
      <c r="S2638" s="61"/>
      <c r="T2638" s="33"/>
      <c r="U2638" s="62"/>
      <c r="W2638" s="61"/>
      <c r="X2638" s="62"/>
      <c r="AG2638" s="58"/>
    </row>
    <row r="2639" spans="2:33" ht="16">
      <c r="B2639" s="67" t="str">
        <f t="shared" si="11"/>
        <v/>
      </c>
      <c r="C2639" s="33"/>
      <c r="D2639" s="33"/>
      <c r="E2639" s="33"/>
      <c r="F2639" s="56"/>
      <c r="G2639" s="33"/>
      <c r="H2639" s="33"/>
      <c r="I2639" s="33"/>
      <c r="J2639" s="57"/>
      <c r="K2639" s="33"/>
      <c r="L2639" s="57"/>
      <c r="M2639" s="58"/>
      <c r="N2639" s="56"/>
      <c r="O2639" s="64"/>
      <c r="P2639" s="62"/>
      <c r="Q2639" s="33"/>
      <c r="R2639" s="33"/>
      <c r="S2639" s="61"/>
      <c r="T2639" s="33"/>
      <c r="U2639" s="62"/>
      <c r="W2639" s="61"/>
      <c r="X2639" s="62"/>
      <c r="AG2639" s="58"/>
    </row>
    <row r="2640" spans="2:33" ht="16">
      <c r="B2640" s="67" t="str">
        <f t="shared" si="11"/>
        <v/>
      </c>
      <c r="C2640" s="33"/>
      <c r="D2640" s="33"/>
      <c r="E2640" s="33"/>
      <c r="F2640" s="56"/>
      <c r="G2640" s="33"/>
      <c r="H2640" s="33"/>
      <c r="I2640" s="33"/>
      <c r="J2640" s="57"/>
      <c r="K2640" s="33"/>
      <c r="L2640" s="57"/>
      <c r="M2640" s="58"/>
      <c r="N2640" s="56"/>
      <c r="O2640" s="64"/>
      <c r="P2640" s="62"/>
      <c r="Q2640" s="33"/>
      <c r="R2640" s="33"/>
      <c r="S2640" s="61"/>
      <c r="T2640" s="33"/>
      <c r="U2640" s="62"/>
      <c r="W2640" s="61"/>
      <c r="X2640" s="62"/>
      <c r="AG2640" s="58"/>
    </row>
    <row r="2641" spans="2:33" ht="16">
      <c r="B2641" s="67" t="str">
        <f t="shared" si="11"/>
        <v/>
      </c>
      <c r="C2641" s="33"/>
      <c r="D2641" s="33"/>
      <c r="E2641" s="33"/>
      <c r="F2641" s="56"/>
      <c r="G2641" s="33"/>
      <c r="H2641" s="33"/>
      <c r="I2641" s="33"/>
      <c r="J2641" s="57"/>
      <c r="K2641" s="33"/>
      <c r="L2641" s="57"/>
      <c r="M2641" s="58"/>
      <c r="N2641" s="56"/>
      <c r="O2641" s="64"/>
      <c r="P2641" s="62"/>
      <c r="Q2641" s="33"/>
      <c r="R2641" s="33"/>
      <c r="S2641" s="61"/>
      <c r="T2641" s="33"/>
      <c r="U2641" s="62"/>
      <c r="W2641" s="61"/>
      <c r="X2641" s="62"/>
      <c r="AG2641" s="58"/>
    </row>
    <row r="2642" spans="2:33" ht="16">
      <c r="B2642" s="67" t="str">
        <f t="shared" si="11"/>
        <v/>
      </c>
      <c r="C2642" s="33"/>
      <c r="D2642" s="33"/>
      <c r="E2642" s="33"/>
      <c r="F2642" s="56"/>
      <c r="G2642" s="33"/>
      <c r="H2642" s="33"/>
      <c r="I2642" s="33"/>
      <c r="J2642" s="57"/>
      <c r="K2642" s="33"/>
      <c r="L2642" s="57"/>
      <c r="M2642" s="58"/>
      <c r="N2642" s="56"/>
      <c r="O2642" s="64"/>
      <c r="P2642" s="62"/>
      <c r="Q2642" s="33"/>
      <c r="R2642" s="33"/>
      <c r="S2642" s="61"/>
      <c r="T2642" s="33"/>
      <c r="U2642" s="62"/>
      <c r="W2642" s="61"/>
      <c r="X2642" s="62"/>
      <c r="AG2642" s="58"/>
    </row>
    <row r="2643" spans="2:33" ht="16">
      <c r="B2643" s="67" t="str">
        <f t="shared" si="11"/>
        <v/>
      </c>
      <c r="C2643" s="33"/>
      <c r="D2643" s="33"/>
      <c r="E2643" s="33"/>
      <c r="F2643" s="56"/>
      <c r="G2643" s="33"/>
      <c r="H2643" s="33"/>
      <c r="I2643" s="33"/>
      <c r="J2643" s="57"/>
      <c r="K2643" s="33"/>
      <c r="L2643" s="57"/>
      <c r="M2643" s="58"/>
      <c r="N2643" s="56"/>
      <c r="O2643" s="64"/>
      <c r="P2643" s="62"/>
      <c r="Q2643" s="33"/>
      <c r="R2643" s="33"/>
      <c r="S2643" s="61"/>
      <c r="T2643" s="33"/>
      <c r="U2643" s="62"/>
      <c r="W2643" s="61"/>
      <c r="X2643" s="62"/>
      <c r="AD2643" s="58"/>
      <c r="AG2643" s="58"/>
    </row>
    <row r="2644" spans="2:33" ht="16">
      <c r="B2644" s="67" t="str">
        <f t="shared" si="11"/>
        <v/>
      </c>
      <c r="C2644" s="33"/>
      <c r="D2644" s="33"/>
      <c r="E2644" s="33"/>
      <c r="F2644" s="56"/>
      <c r="G2644" s="33"/>
      <c r="H2644" s="33"/>
      <c r="I2644" s="33"/>
      <c r="J2644" s="57"/>
      <c r="K2644" s="33"/>
      <c r="L2644" s="57"/>
      <c r="M2644" s="58"/>
      <c r="N2644" s="56"/>
      <c r="O2644" s="64"/>
      <c r="P2644" s="62"/>
      <c r="Q2644" s="33"/>
      <c r="R2644" s="33"/>
      <c r="S2644" s="61"/>
      <c r="T2644" s="33"/>
      <c r="U2644" s="62"/>
      <c r="W2644" s="61"/>
      <c r="X2644" s="62"/>
      <c r="AG2644" s="58"/>
    </row>
    <row r="2645" spans="2:33" ht="16">
      <c r="B2645" s="67" t="str">
        <f t="shared" si="11"/>
        <v/>
      </c>
      <c r="C2645" s="33"/>
      <c r="D2645" s="33"/>
      <c r="E2645" s="33"/>
      <c r="F2645" s="56"/>
      <c r="G2645" s="33"/>
      <c r="H2645" s="33"/>
      <c r="I2645" s="33"/>
      <c r="J2645" s="57"/>
      <c r="K2645" s="33"/>
      <c r="L2645" s="57"/>
      <c r="M2645" s="58"/>
      <c r="N2645" s="56"/>
      <c r="O2645" s="64"/>
      <c r="P2645" s="62"/>
      <c r="Q2645" s="33"/>
      <c r="R2645" s="33"/>
      <c r="S2645" s="61"/>
      <c r="T2645" s="33"/>
      <c r="U2645" s="62"/>
      <c r="W2645" s="61"/>
      <c r="X2645" s="62"/>
      <c r="AG2645" s="58"/>
    </row>
    <row r="2646" spans="2:33" ht="16">
      <c r="B2646" s="67" t="str">
        <f t="shared" si="11"/>
        <v/>
      </c>
      <c r="C2646" s="33"/>
      <c r="D2646" s="33"/>
      <c r="E2646" s="33"/>
      <c r="F2646" s="56"/>
      <c r="G2646" s="33"/>
      <c r="H2646" s="33"/>
      <c r="I2646" s="33"/>
      <c r="J2646" s="57"/>
      <c r="K2646" s="33"/>
      <c r="L2646" s="57"/>
      <c r="M2646" s="58"/>
      <c r="N2646" s="56"/>
      <c r="O2646" s="64"/>
      <c r="P2646" s="62"/>
      <c r="Q2646" s="33"/>
      <c r="R2646" s="33"/>
      <c r="S2646" s="61"/>
      <c r="T2646" s="33"/>
      <c r="U2646" s="62"/>
      <c r="W2646" s="61"/>
      <c r="X2646" s="62"/>
      <c r="AG2646" s="58"/>
    </row>
    <row r="2647" spans="2:33" ht="16">
      <c r="B2647" s="67" t="str">
        <f t="shared" si="11"/>
        <v/>
      </c>
      <c r="C2647" s="33"/>
      <c r="D2647" s="33"/>
      <c r="E2647" s="33"/>
      <c r="F2647" s="56"/>
      <c r="G2647" s="33"/>
      <c r="H2647" s="33"/>
      <c r="I2647" s="33"/>
      <c r="J2647" s="57"/>
      <c r="K2647" s="33"/>
      <c r="L2647" s="57"/>
      <c r="M2647" s="58"/>
      <c r="N2647" s="56"/>
      <c r="O2647" s="64"/>
      <c r="P2647" s="62"/>
      <c r="Q2647" s="33"/>
      <c r="R2647" s="33"/>
      <c r="S2647" s="61"/>
      <c r="T2647" s="33"/>
      <c r="U2647" s="62"/>
      <c r="W2647" s="61"/>
      <c r="X2647" s="62"/>
      <c r="AG2647" s="58"/>
    </row>
    <row r="2648" spans="2:33" ht="16">
      <c r="B2648" s="67" t="str">
        <f t="shared" si="11"/>
        <v/>
      </c>
      <c r="C2648" s="33"/>
      <c r="D2648" s="33"/>
      <c r="E2648" s="33"/>
      <c r="F2648" s="56"/>
      <c r="G2648" s="33"/>
      <c r="H2648" s="33"/>
      <c r="I2648" s="33"/>
      <c r="J2648" s="57"/>
      <c r="K2648" s="33"/>
      <c r="L2648" s="57"/>
      <c r="M2648" s="58"/>
      <c r="N2648" s="56"/>
      <c r="O2648" s="64"/>
      <c r="P2648" s="62"/>
      <c r="Q2648" s="33"/>
      <c r="R2648" s="33"/>
      <c r="S2648" s="61"/>
      <c r="T2648" s="33"/>
      <c r="U2648" s="62"/>
      <c r="W2648" s="61"/>
      <c r="X2648" s="62"/>
      <c r="AG2648" s="58"/>
    </row>
    <row r="2649" spans="2:33" ht="16">
      <c r="B2649" s="67" t="str">
        <f t="shared" si="11"/>
        <v/>
      </c>
      <c r="C2649" s="33"/>
      <c r="D2649" s="33"/>
      <c r="E2649" s="33"/>
      <c r="F2649" s="56"/>
      <c r="G2649" s="33"/>
      <c r="H2649" s="33"/>
      <c r="I2649" s="33"/>
      <c r="J2649" s="57"/>
      <c r="K2649" s="33"/>
      <c r="L2649" s="57"/>
      <c r="M2649" s="58"/>
      <c r="N2649" s="56"/>
      <c r="O2649" s="58"/>
      <c r="P2649" s="62"/>
      <c r="Q2649" s="33"/>
      <c r="R2649" s="33"/>
      <c r="S2649" s="61"/>
      <c r="T2649" s="33"/>
      <c r="U2649" s="62"/>
      <c r="W2649" s="61"/>
      <c r="X2649" s="62"/>
      <c r="AG2649" s="58"/>
    </row>
    <row r="2650" spans="2:33" ht="16">
      <c r="B2650" s="67" t="str">
        <f t="shared" si="11"/>
        <v/>
      </c>
      <c r="C2650" s="33"/>
      <c r="D2650" s="33"/>
      <c r="E2650" s="33"/>
      <c r="F2650" s="56"/>
      <c r="G2650" s="33"/>
      <c r="H2650" s="33"/>
      <c r="I2650" s="33"/>
      <c r="J2650" s="57"/>
      <c r="K2650" s="33"/>
      <c r="L2650" s="57"/>
      <c r="M2650" s="58"/>
      <c r="N2650" s="56"/>
      <c r="O2650" s="58"/>
      <c r="P2650" s="62"/>
      <c r="Q2650" s="33"/>
      <c r="R2650" s="33"/>
      <c r="S2650" s="61"/>
      <c r="T2650" s="33"/>
      <c r="U2650" s="62"/>
      <c r="W2650" s="61"/>
      <c r="X2650" s="62"/>
      <c r="AG2650" s="58"/>
    </row>
    <row r="2651" spans="2:33" ht="16">
      <c r="B2651" s="67" t="str">
        <f t="shared" si="11"/>
        <v/>
      </c>
      <c r="C2651" s="33"/>
      <c r="D2651" s="33"/>
      <c r="E2651" s="33"/>
      <c r="F2651" s="56"/>
      <c r="G2651" s="33"/>
      <c r="H2651" s="33"/>
      <c r="I2651" s="33"/>
      <c r="J2651" s="57"/>
      <c r="K2651" s="33"/>
      <c r="L2651" s="57"/>
      <c r="M2651" s="58"/>
      <c r="N2651" s="56"/>
      <c r="O2651" s="64"/>
      <c r="P2651" s="62"/>
      <c r="Q2651" s="33"/>
      <c r="R2651" s="33"/>
      <c r="S2651" s="61"/>
      <c r="T2651" s="33"/>
      <c r="U2651" s="62"/>
      <c r="W2651" s="61"/>
      <c r="X2651" s="62"/>
      <c r="AG2651" s="58"/>
    </row>
    <row r="2652" spans="2:33" ht="16">
      <c r="B2652" s="67" t="str">
        <f t="shared" si="11"/>
        <v/>
      </c>
      <c r="C2652" s="33"/>
      <c r="D2652" s="33"/>
      <c r="E2652" s="33"/>
      <c r="F2652" s="56"/>
      <c r="G2652" s="33"/>
      <c r="H2652" s="33"/>
      <c r="I2652" s="33"/>
      <c r="J2652" s="57"/>
      <c r="K2652" s="33"/>
      <c r="L2652" s="57"/>
      <c r="M2652" s="58"/>
      <c r="N2652" s="56"/>
      <c r="O2652" s="64"/>
      <c r="P2652" s="62"/>
      <c r="Q2652" s="33"/>
      <c r="R2652" s="33"/>
      <c r="S2652" s="61"/>
      <c r="T2652" s="33"/>
      <c r="U2652" s="62"/>
      <c r="W2652" s="61"/>
      <c r="X2652" s="62"/>
      <c r="AD2652" s="58"/>
      <c r="AG2652" s="58"/>
    </row>
    <row r="2653" spans="2:33" ht="16">
      <c r="B2653" s="67" t="str">
        <f t="shared" si="11"/>
        <v/>
      </c>
      <c r="C2653" s="33"/>
      <c r="D2653" s="33"/>
      <c r="E2653" s="33"/>
      <c r="F2653" s="56"/>
      <c r="G2653" s="33"/>
      <c r="H2653" s="33"/>
      <c r="I2653" s="33"/>
      <c r="J2653" s="57"/>
      <c r="K2653" s="33"/>
      <c r="L2653" s="57"/>
      <c r="M2653" s="58"/>
      <c r="N2653" s="56"/>
      <c r="O2653" s="64"/>
      <c r="P2653" s="62"/>
      <c r="Q2653" s="33"/>
      <c r="R2653" s="33"/>
      <c r="S2653" s="61"/>
      <c r="T2653" s="33"/>
      <c r="U2653" s="62"/>
      <c r="W2653" s="61"/>
      <c r="X2653" s="62"/>
      <c r="AG2653" s="58"/>
    </row>
    <row r="2654" spans="2:33" ht="16">
      <c r="B2654" s="67" t="str">
        <f t="shared" si="11"/>
        <v/>
      </c>
      <c r="C2654" s="33"/>
      <c r="D2654" s="33"/>
      <c r="E2654" s="33"/>
      <c r="F2654" s="56"/>
      <c r="G2654" s="33"/>
      <c r="H2654" s="33"/>
      <c r="I2654" s="33"/>
      <c r="J2654" s="57"/>
      <c r="K2654" s="33"/>
      <c r="L2654" s="57"/>
      <c r="M2654" s="58"/>
      <c r="N2654" s="56"/>
      <c r="O2654" s="64"/>
      <c r="P2654" s="62"/>
      <c r="Q2654" s="33"/>
      <c r="R2654" s="33"/>
      <c r="S2654" s="61"/>
      <c r="T2654" s="33"/>
      <c r="U2654" s="62"/>
      <c r="W2654" s="61"/>
      <c r="X2654" s="62"/>
      <c r="AG2654" s="58"/>
    </row>
    <row r="2655" spans="2:33" ht="16">
      <c r="B2655" s="67" t="str">
        <f t="shared" si="11"/>
        <v/>
      </c>
      <c r="C2655" s="33"/>
      <c r="D2655" s="33"/>
      <c r="E2655" s="33"/>
      <c r="F2655" s="56"/>
      <c r="G2655" s="33"/>
      <c r="H2655" s="33"/>
      <c r="I2655" s="33"/>
      <c r="J2655" s="57"/>
      <c r="K2655" s="33"/>
      <c r="L2655" s="57"/>
      <c r="M2655" s="58"/>
      <c r="N2655" s="56"/>
      <c r="O2655" s="64"/>
      <c r="P2655" s="62"/>
      <c r="Q2655" s="33"/>
      <c r="R2655" s="33"/>
      <c r="S2655" s="61"/>
      <c r="T2655" s="33"/>
      <c r="U2655" s="62"/>
      <c r="W2655" s="61"/>
      <c r="X2655" s="62"/>
      <c r="AG2655" s="58"/>
    </row>
    <row r="2656" spans="2:33" ht="16">
      <c r="B2656" s="67" t="str">
        <f t="shared" si="11"/>
        <v/>
      </c>
      <c r="C2656" s="33"/>
      <c r="D2656" s="33"/>
      <c r="E2656" s="33"/>
      <c r="F2656" s="56"/>
      <c r="G2656" s="33"/>
      <c r="H2656" s="33"/>
      <c r="I2656" s="33"/>
      <c r="J2656" s="57"/>
      <c r="K2656" s="33"/>
      <c r="L2656" s="57"/>
      <c r="M2656" s="58"/>
      <c r="N2656" s="56"/>
      <c r="O2656" s="64"/>
      <c r="P2656" s="62"/>
      <c r="Q2656" s="33"/>
      <c r="R2656" s="33"/>
      <c r="S2656" s="61"/>
      <c r="T2656" s="33"/>
      <c r="U2656" s="62"/>
      <c r="W2656" s="61"/>
      <c r="X2656" s="62"/>
      <c r="AG2656" s="64"/>
    </row>
    <row r="2657" spans="2:33" ht="16">
      <c r="B2657" s="67" t="str">
        <f t="shared" si="11"/>
        <v/>
      </c>
      <c r="C2657" s="33"/>
      <c r="D2657" s="33"/>
      <c r="E2657" s="33"/>
      <c r="F2657" s="56"/>
      <c r="G2657" s="33"/>
      <c r="H2657" s="33"/>
      <c r="I2657" s="33"/>
      <c r="J2657" s="57"/>
      <c r="K2657" s="33"/>
      <c r="L2657" s="57"/>
      <c r="M2657" s="58"/>
      <c r="N2657" s="56"/>
      <c r="O2657" s="58"/>
      <c r="P2657" s="62"/>
      <c r="Q2657" s="33"/>
      <c r="R2657" s="33"/>
      <c r="S2657" s="61"/>
      <c r="T2657" s="33"/>
      <c r="U2657" s="62"/>
      <c r="W2657" s="61"/>
      <c r="X2657" s="62"/>
      <c r="AD2657" s="58"/>
      <c r="AG2657" s="58"/>
    </row>
    <row r="2658" spans="2:33" ht="16">
      <c r="B2658" s="67" t="str">
        <f t="shared" si="11"/>
        <v/>
      </c>
      <c r="C2658" s="33"/>
      <c r="D2658" s="33"/>
      <c r="E2658" s="33"/>
      <c r="F2658" s="56"/>
      <c r="G2658" s="33"/>
      <c r="H2658" s="33"/>
      <c r="I2658" s="33"/>
      <c r="J2658" s="57"/>
      <c r="K2658" s="33"/>
      <c r="L2658" s="57"/>
      <c r="M2658" s="58"/>
      <c r="N2658" s="56"/>
      <c r="O2658" s="64"/>
      <c r="P2658" s="62"/>
      <c r="Q2658" s="33"/>
      <c r="R2658" s="33"/>
      <c r="S2658" s="61"/>
      <c r="T2658" s="33"/>
      <c r="U2658" s="62"/>
      <c r="W2658" s="61"/>
      <c r="X2658" s="62"/>
      <c r="AG2658" s="58"/>
    </row>
    <row r="2659" spans="2:33" ht="16">
      <c r="B2659" s="67" t="str">
        <f t="shared" si="11"/>
        <v/>
      </c>
      <c r="C2659" s="33"/>
      <c r="D2659" s="33"/>
      <c r="E2659" s="33"/>
      <c r="F2659" s="56"/>
      <c r="G2659" s="33"/>
      <c r="H2659" s="33"/>
      <c r="I2659" s="33"/>
      <c r="J2659" s="57"/>
      <c r="K2659" s="33"/>
      <c r="L2659" s="57"/>
      <c r="M2659" s="58"/>
      <c r="N2659" s="56"/>
      <c r="O2659" s="58"/>
      <c r="P2659" s="62"/>
      <c r="Q2659" s="33"/>
      <c r="R2659" s="33"/>
      <c r="S2659" s="61"/>
      <c r="T2659" s="33"/>
      <c r="U2659" s="62"/>
      <c r="W2659" s="61"/>
      <c r="X2659" s="62"/>
      <c r="AD2659" s="58"/>
      <c r="AG2659" s="58"/>
    </row>
    <row r="2660" spans="2:33" ht="16">
      <c r="B2660" s="67" t="str">
        <f t="shared" si="11"/>
        <v/>
      </c>
      <c r="C2660" s="33"/>
      <c r="D2660" s="33"/>
      <c r="E2660" s="33"/>
      <c r="F2660" s="56"/>
      <c r="G2660" s="33"/>
      <c r="H2660" s="33"/>
      <c r="I2660" s="33"/>
      <c r="J2660" s="57"/>
      <c r="K2660" s="33"/>
      <c r="L2660" s="57"/>
      <c r="M2660" s="64"/>
      <c r="N2660" s="56"/>
      <c r="O2660" s="64"/>
      <c r="P2660" s="62"/>
      <c r="Q2660" s="33"/>
      <c r="R2660" s="33"/>
      <c r="S2660" s="61"/>
      <c r="T2660" s="33"/>
      <c r="U2660" s="62"/>
      <c r="W2660" s="61"/>
      <c r="X2660" s="62"/>
      <c r="AD2660" s="64"/>
      <c r="AG2660" s="58"/>
    </row>
    <row r="2661" spans="2:33" ht="16">
      <c r="B2661" s="67" t="str">
        <f t="shared" si="11"/>
        <v/>
      </c>
      <c r="C2661" s="33"/>
      <c r="D2661" s="33"/>
      <c r="E2661" s="33"/>
      <c r="F2661" s="56"/>
      <c r="G2661" s="33"/>
      <c r="H2661" s="33"/>
      <c r="I2661" s="33"/>
      <c r="J2661" s="57"/>
      <c r="K2661" s="33"/>
      <c r="L2661" s="57"/>
      <c r="M2661" s="64"/>
      <c r="N2661" s="56"/>
      <c r="O2661" s="58"/>
      <c r="P2661" s="62"/>
      <c r="Q2661" s="33"/>
      <c r="R2661" s="33"/>
      <c r="S2661" s="61"/>
      <c r="T2661" s="33"/>
      <c r="U2661" s="62"/>
      <c r="W2661" s="61"/>
      <c r="X2661" s="62"/>
      <c r="AD2661" s="58"/>
      <c r="AG2661" s="58"/>
    </row>
    <row r="2662" spans="2:33" ht="16">
      <c r="B2662" s="67" t="str">
        <f t="shared" si="11"/>
        <v/>
      </c>
      <c r="C2662" s="33"/>
      <c r="D2662" s="33"/>
      <c r="E2662" s="33"/>
      <c r="F2662" s="56"/>
      <c r="G2662" s="33"/>
      <c r="H2662" s="33"/>
      <c r="I2662" s="33"/>
      <c r="J2662" s="57"/>
      <c r="K2662" s="33"/>
      <c r="L2662" s="57"/>
      <c r="M2662" s="64"/>
      <c r="N2662" s="56"/>
      <c r="O2662" s="64"/>
      <c r="P2662" s="62"/>
      <c r="Q2662" s="33"/>
      <c r="R2662" s="33"/>
      <c r="S2662" s="61"/>
      <c r="T2662" s="33"/>
      <c r="U2662" s="62"/>
      <c r="W2662" s="61"/>
      <c r="X2662" s="62"/>
      <c r="AD2662" s="64"/>
      <c r="AG2662" s="58"/>
    </row>
    <row r="2663" spans="2:33" ht="16">
      <c r="B2663" s="67" t="str">
        <f t="shared" si="11"/>
        <v/>
      </c>
      <c r="C2663" s="33"/>
      <c r="D2663" s="33"/>
      <c r="E2663" s="33"/>
      <c r="F2663" s="56"/>
      <c r="G2663" s="33"/>
      <c r="H2663" s="33"/>
      <c r="I2663" s="33"/>
      <c r="J2663" s="57"/>
      <c r="K2663" s="33"/>
      <c r="L2663" s="57"/>
      <c r="M2663" s="58"/>
      <c r="N2663" s="56"/>
      <c r="O2663" s="58"/>
      <c r="P2663" s="62"/>
      <c r="Q2663" s="33"/>
      <c r="R2663" s="33"/>
      <c r="S2663" s="61"/>
      <c r="T2663" s="33"/>
      <c r="U2663" s="62"/>
      <c r="W2663" s="61"/>
      <c r="X2663" s="62"/>
      <c r="AD2663" s="58"/>
      <c r="AG2663" s="58"/>
    </row>
    <row r="2664" spans="2:33" ht="16">
      <c r="B2664" s="67" t="str">
        <f t="shared" si="11"/>
        <v/>
      </c>
      <c r="C2664" s="33"/>
      <c r="D2664" s="33"/>
      <c r="E2664" s="33"/>
      <c r="F2664" s="56"/>
      <c r="G2664" s="33"/>
      <c r="H2664" s="33"/>
      <c r="I2664" s="33"/>
      <c r="J2664" s="57"/>
      <c r="K2664" s="33"/>
      <c r="L2664" s="57"/>
      <c r="M2664" s="64"/>
      <c r="N2664" s="56"/>
      <c r="O2664" s="64"/>
      <c r="P2664" s="62"/>
      <c r="Q2664" s="33"/>
      <c r="R2664" s="33"/>
      <c r="S2664" s="61"/>
      <c r="T2664" s="33"/>
      <c r="U2664" s="62"/>
      <c r="W2664" s="61"/>
      <c r="X2664" s="62"/>
      <c r="AD2664" s="64"/>
      <c r="AG2664" s="64"/>
    </row>
    <row r="2665" spans="2:33" ht="16">
      <c r="B2665" s="67" t="str">
        <f t="shared" si="11"/>
        <v/>
      </c>
      <c r="C2665" s="33"/>
      <c r="D2665" s="33"/>
      <c r="E2665" s="33"/>
      <c r="F2665" s="56"/>
      <c r="G2665" s="33"/>
      <c r="H2665" s="33"/>
      <c r="I2665" s="33"/>
      <c r="J2665" s="57"/>
      <c r="K2665" s="33"/>
      <c r="L2665" s="57"/>
      <c r="M2665" s="64"/>
      <c r="N2665" s="56"/>
      <c r="O2665" s="64"/>
      <c r="P2665" s="62"/>
      <c r="Q2665" s="33"/>
      <c r="R2665" s="33"/>
      <c r="S2665" s="61"/>
      <c r="T2665" s="33"/>
      <c r="U2665" s="62"/>
      <c r="W2665" s="61"/>
      <c r="X2665" s="62"/>
      <c r="AD2665" s="64"/>
      <c r="AG2665" s="58"/>
    </row>
    <row r="2666" spans="2:33" ht="16">
      <c r="B2666" s="67" t="str">
        <f t="shared" si="11"/>
        <v/>
      </c>
      <c r="C2666" s="33"/>
      <c r="D2666" s="33"/>
      <c r="E2666" s="33"/>
      <c r="F2666" s="56"/>
      <c r="G2666" s="33"/>
      <c r="H2666" s="33"/>
      <c r="I2666" s="33"/>
      <c r="J2666" s="57"/>
      <c r="K2666" s="33"/>
      <c r="L2666" s="57"/>
      <c r="M2666" s="64"/>
      <c r="N2666" s="56"/>
      <c r="O2666" s="64"/>
      <c r="P2666" s="62"/>
      <c r="Q2666" s="33"/>
      <c r="R2666" s="33"/>
      <c r="S2666" s="61"/>
      <c r="T2666" s="33"/>
      <c r="U2666" s="62"/>
      <c r="W2666" s="61"/>
      <c r="X2666" s="62"/>
      <c r="AD2666" s="64"/>
      <c r="AG2666" s="58"/>
    </row>
    <row r="2667" spans="2:33" ht="16">
      <c r="B2667" s="67" t="str">
        <f t="shared" si="11"/>
        <v/>
      </c>
      <c r="C2667" s="33"/>
      <c r="D2667" s="33"/>
      <c r="E2667" s="33"/>
      <c r="F2667" s="56"/>
      <c r="G2667" s="33"/>
      <c r="H2667" s="33"/>
      <c r="I2667" s="33"/>
      <c r="J2667" s="57"/>
      <c r="K2667" s="33"/>
      <c r="L2667" s="57"/>
      <c r="M2667" s="64"/>
      <c r="N2667" s="56"/>
      <c r="O2667" s="58"/>
      <c r="P2667" s="62"/>
      <c r="Q2667" s="33"/>
      <c r="R2667" s="33"/>
      <c r="S2667" s="61"/>
      <c r="T2667" s="33"/>
      <c r="U2667" s="62"/>
      <c r="W2667" s="61"/>
      <c r="X2667" s="62"/>
      <c r="AD2667" s="64"/>
      <c r="AG2667" s="58"/>
    </row>
    <row r="2668" spans="2:33" ht="16">
      <c r="B2668" s="67" t="str">
        <f t="shared" si="11"/>
        <v/>
      </c>
      <c r="C2668" s="33"/>
      <c r="D2668" s="33"/>
      <c r="E2668" s="33"/>
      <c r="F2668" s="56"/>
      <c r="G2668" s="33"/>
      <c r="H2668" s="33"/>
      <c r="I2668" s="33"/>
      <c r="J2668" s="57"/>
      <c r="K2668" s="33"/>
      <c r="L2668" s="57"/>
      <c r="M2668" s="58"/>
      <c r="N2668" s="56"/>
      <c r="O2668" s="58"/>
      <c r="P2668" s="62"/>
      <c r="Q2668" s="33"/>
      <c r="R2668" s="33"/>
      <c r="S2668" s="61"/>
      <c r="T2668" s="33"/>
      <c r="U2668" s="62"/>
      <c r="W2668" s="61"/>
      <c r="X2668" s="62"/>
      <c r="AD2668" s="58"/>
      <c r="AG2668" s="64"/>
    </row>
    <row r="2669" spans="2:33" ht="16">
      <c r="B2669" s="67" t="str">
        <f t="shared" si="11"/>
        <v/>
      </c>
      <c r="C2669" s="33"/>
      <c r="D2669" s="33"/>
      <c r="E2669" s="33"/>
      <c r="F2669" s="56"/>
      <c r="G2669" s="33"/>
      <c r="H2669" s="33"/>
      <c r="I2669" s="33"/>
      <c r="J2669" s="57"/>
      <c r="K2669" s="33"/>
      <c r="L2669" s="57"/>
      <c r="M2669" s="64"/>
      <c r="N2669" s="56"/>
      <c r="O2669" s="64"/>
      <c r="P2669" s="62"/>
      <c r="Q2669" s="33"/>
      <c r="R2669" s="33"/>
      <c r="S2669" s="61"/>
      <c r="T2669" s="33"/>
      <c r="U2669" s="62"/>
      <c r="W2669" s="61"/>
      <c r="X2669" s="62"/>
      <c r="AD2669" s="58"/>
      <c r="AG2669" s="58"/>
    </row>
    <row r="2670" spans="2:33" ht="16">
      <c r="B2670" s="67" t="str">
        <f t="shared" si="11"/>
        <v/>
      </c>
      <c r="C2670" s="33"/>
      <c r="D2670" s="33"/>
      <c r="E2670" s="33"/>
      <c r="F2670" s="56"/>
      <c r="G2670" s="33"/>
      <c r="H2670" s="33"/>
      <c r="I2670" s="33"/>
      <c r="J2670" s="57"/>
      <c r="K2670" s="33"/>
      <c r="L2670" s="57"/>
      <c r="M2670" s="58"/>
      <c r="N2670" s="56"/>
      <c r="O2670" s="58"/>
      <c r="P2670" s="62"/>
      <c r="Q2670" s="33"/>
      <c r="R2670" s="33"/>
      <c r="S2670" s="61"/>
      <c r="T2670" s="33"/>
      <c r="U2670" s="62"/>
      <c r="W2670" s="61"/>
      <c r="X2670" s="62"/>
      <c r="AD2670" s="58"/>
      <c r="AG2670" s="58"/>
    </row>
    <row r="2671" spans="2:33" ht="16">
      <c r="B2671" s="67" t="str">
        <f t="shared" si="11"/>
        <v/>
      </c>
      <c r="C2671" s="33"/>
      <c r="D2671" s="33"/>
      <c r="E2671" s="33"/>
      <c r="F2671" s="56"/>
      <c r="G2671" s="33"/>
      <c r="H2671" s="33"/>
      <c r="I2671" s="33"/>
      <c r="J2671" s="57"/>
      <c r="K2671" s="33"/>
      <c r="L2671" s="57"/>
      <c r="M2671" s="64"/>
      <c r="N2671" s="56"/>
      <c r="O2671" s="64"/>
      <c r="P2671" s="62"/>
      <c r="Q2671" s="33"/>
      <c r="R2671" s="33"/>
      <c r="S2671" s="61"/>
      <c r="T2671" s="33"/>
      <c r="U2671" s="62"/>
      <c r="W2671" s="61"/>
      <c r="X2671" s="62"/>
      <c r="AD2671" s="64"/>
      <c r="AG2671" s="58"/>
    </row>
    <row r="2672" spans="2:33" ht="16">
      <c r="B2672" s="67" t="str">
        <f t="shared" si="11"/>
        <v/>
      </c>
      <c r="C2672" s="33"/>
      <c r="D2672" s="33"/>
      <c r="E2672" s="33"/>
      <c r="F2672" s="56"/>
      <c r="G2672" s="33"/>
      <c r="H2672" s="33"/>
      <c r="I2672" s="33"/>
      <c r="J2672" s="57"/>
      <c r="K2672" s="33"/>
      <c r="L2672" s="57"/>
      <c r="M2672" s="58"/>
      <c r="N2672" s="56"/>
      <c r="O2672" s="58"/>
      <c r="P2672" s="62"/>
      <c r="Q2672" s="33"/>
      <c r="R2672" s="33"/>
      <c r="S2672" s="61"/>
      <c r="T2672" s="33"/>
      <c r="U2672" s="62"/>
      <c r="W2672" s="61"/>
      <c r="X2672" s="62"/>
      <c r="AD2672" s="58"/>
      <c r="AG2672" s="64"/>
    </row>
    <row r="2673" spans="2:33" ht="16">
      <c r="B2673" s="67" t="str">
        <f t="shared" si="11"/>
        <v/>
      </c>
      <c r="C2673" s="33"/>
      <c r="D2673" s="33"/>
      <c r="E2673" s="33"/>
      <c r="F2673" s="56"/>
      <c r="G2673" s="33"/>
      <c r="H2673" s="33"/>
      <c r="I2673" s="33"/>
      <c r="J2673" s="57"/>
      <c r="K2673" s="33"/>
      <c r="L2673" s="57"/>
      <c r="M2673" s="64"/>
      <c r="N2673" s="56"/>
      <c r="O2673" s="64"/>
      <c r="P2673" s="62"/>
      <c r="Q2673" s="33"/>
      <c r="R2673" s="33"/>
      <c r="S2673" s="61"/>
      <c r="T2673" s="33"/>
      <c r="U2673" s="62"/>
      <c r="W2673" s="61"/>
      <c r="X2673" s="62"/>
      <c r="AD2673" s="64"/>
      <c r="AG2673" s="58"/>
    </row>
    <row r="2674" spans="2:33" ht="16">
      <c r="B2674" s="67" t="str">
        <f t="shared" si="11"/>
        <v/>
      </c>
      <c r="C2674" s="33"/>
      <c r="D2674" s="33"/>
      <c r="E2674" s="33"/>
      <c r="F2674" s="56"/>
      <c r="G2674" s="33"/>
      <c r="H2674" s="33"/>
      <c r="I2674" s="33"/>
      <c r="J2674" s="57"/>
      <c r="K2674" s="33"/>
      <c r="L2674" s="57"/>
      <c r="M2674" s="64"/>
      <c r="N2674" s="56"/>
      <c r="O2674" s="64"/>
      <c r="P2674" s="62"/>
      <c r="Q2674" s="33"/>
      <c r="R2674" s="33"/>
      <c r="S2674" s="61"/>
      <c r="T2674" s="33"/>
      <c r="U2674" s="62"/>
      <c r="W2674" s="61"/>
      <c r="X2674" s="62"/>
      <c r="AD2674" s="64"/>
      <c r="AG2674" s="58"/>
    </row>
    <row r="2675" spans="2:33" ht="16">
      <c r="B2675" s="67" t="str">
        <f t="shared" si="11"/>
        <v/>
      </c>
      <c r="C2675" s="33"/>
      <c r="D2675" s="33"/>
      <c r="E2675" s="33"/>
      <c r="F2675" s="56"/>
      <c r="G2675" s="33"/>
      <c r="H2675" s="33"/>
      <c r="I2675" s="33"/>
      <c r="J2675" s="57"/>
      <c r="K2675" s="33"/>
      <c r="L2675" s="57"/>
      <c r="M2675" s="64"/>
      <c r="N2675" s="56"/>
      <c r="O2675" s="58"/>
      <c r="P2675" s="62"/>
      <c r="Q2675" s="33"/>
      <c r="R2675" s="33"/>
      <c r="S2675" s="61"/>
      <c r="T2675" s="33"/>
      <c r="U2675" s="62"/>
      <c r="W2675" s="61"/>
      <c r="X2675" s="62"/>
      <c r="AD2675" s="58"/>
      <c r="AG2675" s="58"/>
    </row>
    <row r="2676" spans="2:33" ht="16">
      <c r="B2676" s="67" t="str">
        <f t="shared" si="11"/>
        <v/>
      </c>
      <c r="C2676" s="33"/>
      <c r="D2676" s="33"/>
      <c r="E2676" s="33"/>
      <c r="F2676" s="56"/>
      <c r="G2676" s="33"/>
      <c r="H2676" s="33"/>
      <c r="I2676" s="33"/>
      <c r="J2676" s="57"/>
      <c r="K2676" s="33"/>
      <c r="L2676" s="57"/>
      <c r="M2676" s="64"/>
      <c r="N2676" s="56"/>
      <c r="O2676" s="64"/>
      <c r="P2676" s="62"/>
      <c r="Q2676" s="33"/>
      <c r="R2676" s="33"/>
      <c r="S2676" s="61"/>
      <c r="T2676" s="33"/>
      <c r="U2676" s="62"/>
      <c r="W2676" s="61"/>
      <c r="X2676" s="62"/>
      <c r="AD2676" s="58"/>
      <c r="AG2676" s="58"/>
    </row>
    <row r="2677" spans="2:33" ht="16">
      <c r="B2677" s="67" t="str">
        <f t="shared" si="11"/>
        <v/>
      </c>
      <c r="C2677" s="33"/>
      <c r="D2677" s="33"/>
      <c r="E2677" s="33"/>
      <c r="F2677" s="56"/>
      <c r="G2677" s="33"/>
      <c r="H2677" s="33"/>
      <c r="I2677" s="33"/>
      <c r="J2677" s="57"/>
      <c r="K2677" s="33"/>
      <c r="L2677" s="57"/>
      <c r="M2677" s="64"/>
      <c r="N2677" s="56"/>
      <c r="O2677" s="64"/>
      <c r="P2677" s="62"/>
      <c r="Q2677" s="33"/>
      <c r="R2677" s="33"/>
      <c r="S2677" s="61"/>
      <c r="T2677" s="33"/>
      <c r="U2677" s="62"/>
      <c r="W2677" s="61"/>
      <c r="X2677" s="62"/>
      <c r="AD2677" s="64"/>
      <c r="AG2677" s="58"/>
    </row>
    <row r="2678" spans="2:33" ht="16">
      <c r="B2678" s="67" t="str">
        <f t="shared" si="11"/>
        <v/>
      </c>
      <c r="C2678" s="33"/>
      <c r="D2678" s="33"/>
      <c r="E2678" s="33"/>
      <c r="F2678" s="56"/>
      <c r="G2678" s="33"/>
      <c r="H2678" s="33"/>
      <c r="I2678" s="33"/>
      <c r="J2678" s="57"/>
      <c r="K2678" s="33"/>
      <c r="L2678" s="57"/>
      <c r="M2678" s="64"/>
      <c r="N2678" s="56"/>
      <c r="O2678" s="64"/>
      <c r="P2678" s="62"/>
      <c r="Q2678" s="33"/>
      <c r="R2678" s="33"/>
      <c r="S2678" s="61"/>
      <c r="T2678" s="33"/>
      <c r="U2678" s="62"/>
      <c r="W2678" s="61"/>
      <c r="X2678" s="62"/>
      <c r="AD2678" s="58"/>
      <c r="AG2678" s="58"/>
    </row>
    <row r="2679" spans="2:33" ht="16">
      <c r="B2679" s="67" t="str">
        <f t="shared" si="11"/>
        <v/>
      </c>
      <c r="C2679" s="33"/>
      <c r="D2679" s="33"/>
      <c r="E2679" s="33"/>
      <c r="F2679" s="56"/>
      <c r="G2679" s="33"/>
      <c r="H2679" s="33"/>
      <c r="I2679" s="33"/>
      <c r="J2679" s="57"/>
      <c r="K2679" s="33"/>
      <c r="L2679" s="57"/>
      <c r="M2679" s="64"/>
      <c r="N2679" s="56"/>
      <c r="O2679" s="64"/>
      <c r="P2679" s="62"/>
      <c r="Q2679" s="33"/>
      <c r="R2679" s="33"/>
      <c r="S2679" s="61"/>
      <c r="T2679" s="33"/>
      <c r="U2679" s="62"/>
      <c r="W2679" s="61"/>
      <c r="X2679" s="62"/>
      <c r="AD2679" s="58"/>
      <c r="AG2679" s="58"/>
    </row>
    <row r="2680" spans="2:33" ht="16">
      <c r="B2680" s="67" t="str">
        <f t="shared" si="11"/>
        <v/>
      </c>
      <c r="C2680" s="33"/>
      <c r="D2680" s="33"/>
      <c r="E2680" s="33"/>
      <c r="F2680" s="56"/>
      <c r="G2680" s="33"/>
      <c r="H2680" s="33"/>
      <c r="I2680" s="33"/>
      <c r="J2680" s="57"/>
      <c r="K2680" s="33"/>
      <c r="L2680" s="57"/>
      <c r="M2680" s="64"/>
      <c r="N2680" s="56"/>
      <c r="O2680" s="64"/>
      <c r="P2680" s="62"/>
      <c r="Q2680" s="33"/>
      <c r="R2680" s="33"/>
      <c r="S2680" s="61"/>
      <c r="T2680" s="33"/>
      <c r="U2680" s="62"/>
      <c r="W2680" s="61"/>
      <c r="X2680" s="62"/>
      <c r="AD2680" s="64"/>
      <c r="AG2680" s="58"/>
    </row>
    <row r="2681" spans="2:33" ht="16">
      <c r="B2681" s="67" t="str">
        <f t="shared" si="11"/>
        <v/>
      </c>
      <c r="C2681" s="33"/>
      <c r="D2681" s="33"/>
      <c r="E2681" s="33"/>
      <c r="F2681" s="56"/>
      <c r="G2681" s="33"/>
      <c r="H2681" s="33"/>
      <c r="I2681" s="33"/>
      <c r="J2681" s="57"/>
      <c r="K2681" s="33"/>
      <c r="L2681" s="57"/>
      <c r="M2681" s="64"/>
      <c r="N2681" s="56"/>
      <c r="O2681" s="64"/>
      <c r="P2681" s="62"/>
      <c r="Q2681" s="33"/>
      <c r="R2681" s="33"/>
      <c r="S2681" s="61"/>
      <c r="T2681" s="33"/>
      <c r="U2681" s="62"/>
      <c r="W2681" s="61"/>
      <c r="X2681" s="62"/>
      <c r="AD2681" s="58"/>
      <c r="AG2681" s="58"/>
    </row>
    <row r="2682" spans="2:33" ht="16">
      <c r="B2682" s="67" t="str">
        <f t="shared" si="11"/>
        <v/>
      </c>
      <c r="C2682" s="33"/>
      <c r="D2682" s="33"/>
      <c r="E2682" s="33"/>
      <c r="F2682" s="56"/>
      <c r="G2682" s="33"/>
      <c r="H2682" s="33"/>
      <c r="I2682" s="33"/>
      <c r="J2682" s="57"/>
      <c r="K2682" s="33"/>
      <c r="L2682" s="57"/>
      <c r="M2682" s="64"/>
      <c r="N2682" s="56"/>
      <c r="O2682" s="64"/>
      <c r="P2682" s="62"/>
      <c r="Q2682" s="33"/>
      <c r="R2682" s="33"/>
      <c r="S2682" s="61"/>
      <c r="T2682" s="33"/>
      <c r="U2682" s="62"/>
      <c r="W2682" s="61"/>
      <c r="X2682" s="62"/>
      <c r="AD2682" s="58"/>
      <c r="AG2682" s="58"/>
    </row>
    <row r="2683" spans="2:33" ht="16">
      <c r="B2683" s="67" t="str">
        <f t="shared" si="11"/>
        <v/>
      </c>
      <c r="C2683" s="33"/>
      <c r="D2683" s="33"/>
      <c r="E2683" s="33"/>
      <c r="F2683" s="56"/>
      <c r="G2683" s="33"/>
      <c r="H2683" s="33"/>
      <c r="I2683" s="33"/>
      <c r="J2683" s="57"/>
      <c r="K2683" s="33"/>
      <c r="L2683" s="57"/>
      <c r="M2683" s="58"/>
      <c r="N2683" s="56"/>
      <c r="O2683" s="58"/>
      <c r="P2683" s="62"/>
      <c r="Q2683" s="33"/>
      <c r="R2683" s="33"/>
      <c r="S2683" s="61"/>
      <c r="T2683" s="33"/>
      <c r="U2683" s="62"/>
      <c r="W2683" s="61"/>
      <c r="X2683" s="62"/>
      <c r="AD2683" s="58"/>
      <c r="AG2683" s="58"/>
    </row>
    <row r="2684" spans="2:33" ht="16">
      <c r="B2684" s="67" t="str">
        <f t="shared" si="11"/>
        <v/>
      </c>
      <c r="C2684" s="33"/>
      <c r="D2684" s="33"/>
      <c r="E2684" s="33"/>
      <c r="F2684" s="56"/>
      <c r="G2684" s="33"/>
      <c r="H2684" s="33"/>
      <c r="I2684" s="33"/>
      <c r="J2684" s="57"/>
      <c r="K2684" s="33"/>
      <c r="L2684" s="57"/>
      <c r="M2684" s="64"/>
      <c r="N2684" s="56"/>
      <c r="O2684" s="64"/>
      <c r="P2684" s="62"/>
      <c r="Q2684" s="33"/>
      <c r="R2684" s="33"/>
      <c r="S2684" s="61"/>
      <c r="T2684" s="33"/>
      <c r="U2684" s="62"/>
      <c r="W2684" s="61"/>
      <c r="X2684" s="62"/>
      <c r="AD2684" s="58"/>
      <c r="AG2684" s="58"/>
    </row>
    <row r="2685" spans="2:33" ht="16">
      <c r="B2685" s="67" t="str">
        <f t="shared" si="11"/>
        <v/>
      </c>
      <c r="C2685" s="33"/>
      <c r="D2685" s="33"/>
      <c r="E2685" s="33"/>
      <c r="F2685" s="56"/>
      <c r="G2685" s="33"/>
      <c r="H2685" s="33"/>
      <c r="I2685" s="33"/>
      <c r="J2685" s="57"/>
      <c r="K2685" s="33"/>
      <c r="L2685" s="57"/>
      <c r="M2685" s="58"/>
      <c r="N2685" s="56"/>
      <c r="O2685" s="58"/>
      <c r="P2685" s="62"/>
      <c r="Q2685" s="33"/>
      <c r="R2685" s="33"/>
      <c r="S2685" s="61"/>
      <c r="T2685" s="33"/>
      <c r="U2685" s="62"/>
      <c r="W2685" s="61"/>
      <c r="X2685" s="62"/>
      <c r="AD2685" s="58"/>
      <c r="AG2685" s="58"/>
    </row>
    <row r="2686" spans="2:33" ht="16">
      <c r="B2686" s="67" t="str">
        <f t="shared" si="11"/>
        <v/>
      </c>
      <c r="C2686" s="33"/>
      <c r="D2686" s="33"/>
      <c r="E2686" s="33"/>
      <c r="F2686" s="56"/>
      <c r="G2686" s="33"/>
      <c r="H2686" s="33"/>
      <c r="I2686" s="33"/>
      <c r="J2686" s="57"/>
      <c r="K2686" s="33"/>
      <c r="L2686" s="57"/>
      <c r="M2686" s="64"/>
      <c r="N2686" s="56"/>
      <c r="O2686" s="64"/>
      <c r="P2686" s="62"/>
      <c r="Q2686" s="33"/>
      <c r="R2686" s="33"/>
      <c r="S2686" s="61"/>
      <c r="T2686" s="33"/>
      <c r="U2686" s="62"/>
      <c r="W2686" s="61"/>
      <c r="X2686" s="62"/>
      <c r="AD2686" s="58"/>
      <c r="AG2686" s="58"/>
    </row>
    <row r="2687" spans="2:33" ht="16">
      <c r="B2687" s="67" t="str">
        <f t="shared" si="11"/>
        <v/>
      </c>
      <c r="C2687" s="33"/>
      <c r="D2687" s="33"/>
      <c r="E2687" s="33"/>
      <c r="F2687" s="56"/>
      <c r="G2687" s="33"/>
      <c r="H2687" s="33"/>
      <c r="I2687" s="33"/>
      <c r="J2687" s="57"/>
      <c r="K2687" s="33"/>
      <c r="L2687" s="57"/>
      <c r="M2687" s="64"/>
      <c r="N2687" s="56"/>
      <c r="O2687" s="64"/>
      <c r="P2687" s="62"/>
      <c r="Q2687" s="33"/>
      <c r="R2687" s="33"/>
      <c r="S2687" s="61"/>
      <c r="T2687" s="33"/>
      <c r="U2687" s="62"/>
      <c r="W2687" s="61"/>
      <c r="X2687" s="62"/>
      <c r="AD2687" s="64"/>
      <c r="AG2687" s="58"/>
    </row>
    <row r="2688" spans="2:33" ht="16">
      <c r="B2688" s="67" t="str">
        <f t="shared" si="11"/>
        <v/>
      </c>
      <c r="C2688" s="33"/>
      <c r="D2688" s="33"/>
      <c r="E2688" s="33"/>
      <c r="F2688" s="56"/>
      <c r="G2688" s="33"/>
      <c r="H2688" s="33"/>
      <c r="I2688" s="33"/>
      <c r="J2688" s="57"/>
      <c r="K2688" s="33"/>
      <c r="L2688" s="57"/>
      <c r="M2688" s="64"/>
      <c r="N2688" s="56"/>
      <c r="O2688" s="64"/>
      <c r="P2688" s="62"/>
      <c r="Q2688" s="33"/>
      <c r="R2688" s="33"/>
      <c r="S2688" s="61"/>
      <c r="T2688" s="33"/>
      <c r="U2688" s="62"/>
      <c r="W2688" s="61"/>
      <c r="X2688" s="62"/>
      <c r="AD2688" s="58"/>
      <c r="AG2688" s="58"/>
    </row>
    <row r="2689" spans="2:33" ht="16">
      <c r="B2689" s="67" t="str">
        <f t="shared" si="11"/>
        <v/>
      </c>
      <c r="C2689" s="33"/>
      <c r="D2689" s="33"/>
      <c r="E2689" s="33"/>
      <c r="F2689" s="56"/>
      <c r="G2689" s="33"/>
      <c r="H2689" s="33"/>
      <c r="I2689" s="33"/>
      <c r="J2689" s="57"/>
      <c r="K2689" s="33"/>
      <c r="L2689" s="57"/>
      <c r="M2689" s="58"/>
      <c r="N2689" s="56"/>
      <c r="O2689" s="58"/>
      <c r="P2689" s="62"/>
      <c r="Q2689" s="33"/>
      <c r="R2689" s="33"/>
      <c r="S2689" s="61"/>
      <c r="T2689" s="33"/>
      <c r="U2689" s="62"/>
      <c r="W2689" s="61"/>
      <c r="X2689" s="62"/>
      <c r="AD2689" s="58"/>
      <c r="AG2689" s="58"/>
    </row>
    <row r="2690" spans="2:33" ht="16">
      <c r="B2690" s="67" t="str">
        <f t="shared" si="11"/>
        <v/>
      </c>
      <c r="C2690" s="33"/>
      <c r="D2690" s="33"/>
      <c r="E2690" s="33"/>
      <c r="F2690" s="56"/>
      <c r="G2690" s="33"/>
      <c r="H2690" s="33"/>
      <c r="I2690" s="33"/>
      <c r="J2690" s="57"/>
      <c r="K2690" s="33"/>
      <c r="L2690" s="57"/>
      <c r="M2690" s="64"/>
      <c r="N2690" s="56"/>
      <c r="O2690" s="64"/>
      <c r="P2690" s="62"/>
      <c r="Q2690" s="33"/>
      <c r="R2690" s="33"/>
      <c r="S2690" s="61"/>
      <c r="T2690" s="33"/>
      <c r="U2690" s="62"/>
      <c r="W2690" s="61"/>
      <c r="X2690" s="62"/>
      <c r="AD2690" s="64"/>
      <c r="AG2690" s="58"/>
    </row>
    <row r="2691" spans="2:33" ht="16">
      <c r="B2691" s="67" t="str">
        <f t="shared" si="11"/>
        <v/>
      </c>
      <c r="C2691" s="33"/>
      <c r="D2691" s="33"/>
      <c r="E2691" s="33"/>
      <c r="F2691" s="56"/>
      <c r="G2691" s="33"/>
      <c r="H2691" s="33"/>
      <c r="I2691" s="33"/>
      <c r="J2691" s="57"/>
      <c r="K2691" s="33"/>
      <c r="L2691" s="57"/>
      <c r="M2691" s="64"/>
      <c r="N2691" s="56"/>
      <c r="O2691" s="64"/>
      <c r="P2691" s="62"/>
      <c r="Q2691" s="33"/>
      <c r="R2691" s="33"/>
      <c r="S2691" s="61"/>
      <c r="T2691" s="33"/>
      <c r="U2691" s="62"/>
      <c r="W2691" s="61"/>
      <c r="X2691" s="62"/>
      <c r="AD2691" s="58"/>
      <c r="AG2691" s="58"/>
    </row>
    <row r="2692" spans="2:33" ht="16">
      <c r="B2692" s="67" t="str">
        <f t="shared" si="11"/>
        <v/>
      </c>
      <c r="C2692" s="33"/>
      <c r="D2692" s="33"/>
      <c r="E2692" s="33"/>
      <c r="F2692" s="56"/>
      <c r="G2692" s="33"/>
      <c r="H2692" s="33"/>
      <c r="I2692" s="33"/>
      <c r="J2692" s="57"/>
      <c r="K2692" s="33"/>
      <c r="L2692" s="57"/>
      <c r="M2692" s="64"/>
      <c r="N2692" s="56"/>
      <c r="O2692" s="64"/>
      <c r="P2692" s="62"/>
      <c r="Q2692" s="33"/>
      <c r="R2692" s="33"/>
      <c r="S2692" s="61"/>
      <c r="T2692" s="33"/>
      <c r="U2692" s="62"/>
      <c r="W2692" s="61"/>
      <c r="X2692" s="62"/>
      <c r="AD2692" s="58"/>
      <c r="AG2692" s="58"/>
    </row>
    <row r="2693" spans="2:33" ht="16">
      <c r="B2693" s="67" t="str">
        <f t="shared" si="11"/>
        <v/>
      </c>
      <c r="C2693" s="33"/>
      <c r="D2693" s="33"/>
      <c r="E2693" s="33"/>
      <c r="F2693" s="56"/>
      <c r="G2693" s="33"/>
      <c r="H2693" s="33"/>
      <c r="I2693" s="33"/>
      <c r="J2693" s="57"/>
      <c r="K2693" s="33"/>
      <c r="L2693" s="57"/>
      <c r="M2693" s="58"/>
      <c r="N2693" s="56"/>
      <c r="O2693" s="64"/>
      <c r="P2693" s="62"/>
      <c r="Q2693" s="33"/>
      <c r="R2693" s="33"/>
      <c r="S2693" s="61"/>
      <c r="T2693" s="33"/>
      <c r="U2693" s="62"/>
      <c r="W2693" s="61"/>
      <c r="X2693" s="62"/>
      <c r="AD2693" s="58"/>
      <c r="AG2693" s="58"/>
    </row>
    <row r="2694" spans="2:33" ht="16">
      <c r="B2694" s="67" t="str">
        <f t="shared" si="11"/>
        <v/>
      </c>
      <c r="C2694" s="33"/>
      <c r="D2694" s="33"/>
      <c r="E2694" s="33"/>
      <c r="F2694" s="56"/>
      <c r="G2694" s="33"/>
      <c r="H2694" s="33"/>
      <c r="I2694" s="33"/>
      <c r="J2694" s="57"/>
      <c r="K2694" s="33"/>
      <c r="L2694" s="57"/>
      <c r="M2694" s="58"/>
      <c r="N2694" s="56"/>
      <c r="O2694" s="58"/>
      <c r="P2694" s="62"/>
      <c r="Q2694" s="33"/>
      <c r="R2694" s="33"/>
      <c r="S2694" s="61"/>
      <c r="T2694" s="33"/>
      <c r="U2694" s="62"/>
      <c r="W2694" s="61"/>
      <c r="X2694" s="62"/>
      <c r="AD2694" s="58"/>
      <c r="AG2694" s="58"/>
    </row>
    <row r="2695" spans="2:33" ht="16">
      <c r="B2695" s="67" t="str">
        <f t="shared" si="11"/>
        <v/>
      </c>
      <c r="C2695" s="33"/>
      <c r="D2695" s="33"/>
      <c r="E2695" s="33"/>
      <c r="F2695" s="56"/>
      <c r="G2695" s="33"/>
      <c r="H2695" s="33"/>
      <c r="I2695" s="33"/>
      <c r="J2695" s="57"/>
      <c r="K2695" s="33"/>
      <c r="L2695" s="57"/>
      <c r="M2695" s="58"/>
      <c r="N2695" s="56"/>
      <c r="O2695" s="58"/>
      <c r="P2695" s="62"/>
      <c r="Q2695" s="33"/>
      <c r="R2695" s="33"/>
      <c r="S2695" s="61"/>
      <c r="T2695" s="33"/>
      <c r="U2695" s="62"/>
      <c r="W2695" s="61"/>
      <c r="X2695" s="62"/>
      <c r="AD2695" s="58"/>
      <c r="AG2695" s="58"/>
    </row>
    <row r="2696" spans="2:33" ht="16">
      <c r="B2696" s="67" t="str">
        <f t="shared" si="11"/>
        <v/>
      </c>
      <c r="C2696" s="33"/>
      <c r="D2696" s="33"/>
      <c r="E2696" s="33"/>
      <c r="F2696" s="56"/>
      <c r="G2696" s="33"/>
      <c r="H2696" s="33"/>
      <c r="I2696" s="33"/>
      <c r="J2696" s="57"/>
      <c r="K2696" s="33"/>
      <c r="L2696" s="57"/>
      <c r="M2696" s="64"/>
      <c r="N2696" s="56"/>
      <c r="O2696" s="64"/>
      <c r="P2696" s="62"/>
      <c r="Q2696" s="33"/>
      <c r="R2696" s="33"/>
      <c r="S2696" s="61"/>
      <c r="T2696" s="33"/>
      <c r="U2696" s="62"/>
      <c r="W2696" s="61"/>
      <c r="X2696" s="62"/>
      <c r="AD2696" s="64"/>
      <c r="AG2696" s="58"/>
    </row>
    <row r="2697" spans="2:33" ht="16">
      <c r="B2697" s="67" t="str">
        <f t="shared" si="11"/>
        <v/>
      </c>
      <c r="C2697" s="33"/>
      <c r="D2697" s="33"/>
      <c r="E2697" s="33"/>
      <c r="F2697" s="56"/>
      <c r="G2697" s="33"/>
      <c r="H2697" s="33"/>
      <c r="I2697" s="33"/>
      <c r="J2697" s="57"/>
      <c r="K2697" s="33"/>
      <c r="L2697" s="57"/>
      <c r="M2697" s="64"/>
      <c r="N2697" s="56"/>
      <c r="O2697" s="64"/>
      <c r="P2697" s="62"/>
      <c r="Q2697" s="33"/>
      <c r="R2697" s="33"/>
      <c r="S2697" s="61"/>
      <c r="T2697" s="33"/>
      <c r="U2697" s="62"/>
      <c r="W2697" s="61"/>
      <c r="X2697" s="62"/>
      <c r="AD2697" s="58"/>
      <c r="AG2697" s="58"/>
    </row>
    <row r="2698" spans="2:33" ht="16">
      <c r="B2698" s="67" t="str">
        <f t="shared" si="11"/>
        <v/>
      </c>
      <c r="C2698" s="33"/>
      <c r="D2698" s="33"/>
      <c r="E2698" s="33"/>
      <c r="F2698" s="56"/>
      <c r="G2698" s="33"/>
      <c r="H2698" s="33"/>
      <c r="I2698" s="33"/>
      <c r="J2698" s="57"/>
      <c r="K2698" s="33"/>
      <c r="L2698" s="57"/>
      <c r="M2698" s="64"/>
      <c r="N2698" s="56"/>
      <c r="O2698" s="64"/>
      <c r="P2698" s="62"/>
      <c r="Q2698" s="33"/>
      <c r="R2698" s="33"/>
      <c r="S2698" s="61"/>
      <c r="T2698" s="33"/>
      <c r="U2698" s="62"/>
      <c r="W2698" s="61"/>
      <c r="X2698" s="62"/>
      <c r="AD2698" s="58"/>
      <c r="AG2698" s="58"/>
    </row>
    <row r="2699" spans="2:33" ht="16">
      <c r="B2699" s="67" t="str">
        <f t="shared" si="11"/>
        <v/>
      </c>
      <c r="C2699" s="33"/>
      <c r="D2699" s="33"/>
      <c r="E2699" s="33"/>
      <c r="F2699" s="56"/>
      <c r="G2699" s="33"/>
      <c r="H2699" s="33"/>
      <c r="I2699" s="33"/>
      <c r="J2699" s="57"/>
      <c r="K2699" s="33"/>
      <c r="L2699" s="57"/>
      <c r="M2699" s="58"/>
      <c r="N2699" s="56"/>
      <c r="O2699" s="58"/>
      <c r="P2699" s="62"/>
      <c r="Q2699" s="33"/>
      <c r="R2699" s="33"/>
      <c r="S2699" s="61"/>
      <c r="T2699" s="33"/>
      <c r="U2699" s="62"/>
      <c r="W2699" s="61"/>
      <c r="X2699" s="62"/>
      <c r="AD2699" s="58"/>
      <c r="AG2699" s="58"/>
    </row>
    <row r="2700" spans="2:33" ht="16">
      <c r="B2700" s="67" t="str">
        <f t="shared" si="11"/>
        <v/>
      </c>
      <c r="C2700" s="33"/>
      <c r="D2700" s="33"/>
      <c r="E2700" s="33"/>
      <c r="F2700" s="56"/>
      <c r="G2700" s="33"/>
      <c r="H2700" s="33"/>
      <c r="I2700" s="33"/>
      <c r="J2700" s="57"/>
      <c r="K2700" s="33"/>
      <c r="L2700" s="57"/>
      <c r="M2700" s="58"/>
      <c r="N2700" s="56"/>
      <c r="O2700" s="58"/>
      <c r="P2700" s="62"/>
      <c r="Q2700" s="33"/>
      <c r="R2700" s="33"/>
      <c r="S2700" s="61"/>
      <c r="T2700" s="33"/>
      <c r="U2700" s="62"/>
      <c r="W2700" s="61"/>
      <c r="X2700" s="62"/>
      <c r="AD2700" s="58"/>
      <c r="AG2700" s="58"/>
    </row>
    <row r="2701" spans="2:33" ht="16">
      <c r="B2701" s="67" t="str">
        <f t="shared" si="11"/>
        <v/>
      </c>
      <c r="C2701" s="33"/>
      <c r="D2701" s="33"/>
      <c r="E2701" s="33"/>
      <c r="F2701" s="56"/>
      <c r="G2701" s="33"/>
      <c r="H2701" s="33"/>
      <c r="I2701" s="33"/>
      <c r="J2701" s="57"/>
      <c r="K2701" s="33"/>
      <c r="L2701" s="57"/>
      <c r="M2701" s="64"/>
      <c r="N2701" s="56"/>
      <c r="O2701" s="64"/>
      <c r="P2701" s="62"/>
      <c r="Q2701" s="33"/>
      <c r="R2701" s="33"/>
      <c r="S2701" s="61"/>
      <c r="T2701" s="33"/>
      <c r="U2701" s="62"/>
      <c r="W2701" s="61"/>
      <c r="X2701" s="62"/>
      <c r="AD2701" s="64"/>
      <c r="AG2701" s="58"/>
    </row>
    <row r="2702" spans="2:33" ht="16">
      <c r="B2702" s="67" t="str">
        <f t="shared" si="11"/>
        <v/>
      </c>
      <c r="C2702" s="33"/>
      <c r="D2702" s="33"/>
      <c r="E2702" s="33"/>
      <c r="F2702" s="56"/>
      <c r="G2702" s="33"/>
      <c r="H2702" s="33"/>
      <c r="I2702" s="33"/>
      <c r="J2702" s="57"/>
      <c r="K2702" s="33"/>
      <c r="L2702" s="57"/>
      <c r="M2702" s="58"/>
      <c r="N2702" s="56"/>
      <c r="O2702" s="58"/>
      <c r="P2702" s="62"/>
      <c r="Q2702" s="33"/>
      <c r="R2702" s="33"/>
      <c r="S2702" s="61"/>
      <c r="T2702" s="33"/>
      <c r="U2702" s="62"/>
      <c r="W2702" s="61"/>
      <c r="X2702" s="62"/>
      <c r="AD2702" s="58"/>
      <c r="AG2702" s="58"/>
    </row>
    <row r="2703" spans="2:33" ht="16">
      <c r="B2703" s="67" t="str">
        <f t="shared" si="11"/>
        <v/>
      </c>
      <c r="C2703" s="33"/>
      <c r="D2703" s="33"/>
      <c r="E2703" s="33"/>
      <c r="F2703" s="56"/>
      <c r="G2703" s="33"/>
      <c r="H2703" s="33"/>
      <c r="I2703" s="33"/>
      <c r="J2703" s="57"/>
      <c r="K2703" s="33"/>
      <c r="L2703" s="57"/>
      <c r="M2703" s="58"/>
      <c r="N2703" s="56"/>
      <c r="O2703" s="64"/>
      <c r="P2703" s="62"/>
      <c r="Q2703" s="33"/>
      <c r="R2703" s="33"/>
      <c r="S2703" s="61"/>
      <c r="T2703" s="33"/>
      <c r="U2703" s="62"/>
      <c r="W2703" s="61"/>
      <c r="X2703" s="62"/>
      <c r="AD2703" s="64"/>
      <c r="AG2703" s="58"/>
    </row>
    <row r="2704" spans="2:33" ht="16">
      <c r="B2704" s="67" t="str">
        <f t="shared" si="11"/>
        <v/>
      </c>
      <c r="C2704" s="33"/>
      <c r="D2704" s="33"/>
      <c r="E2704" s="33"/>
      <c r="F2704" s="56"/>
      <c r="G2704" s="33"/>
      <c r="H2704" s="33"/>
      <c r="I2704" s="33"/>
      <c r="J2704" s="57"/>
      <c r="K2704" s="33"/>
      <c r="L2704" s="57"/>
      <c r="M2704" s="64"/>
      <c r="N2704" s="56"/>
      <c r="O2704" s="64"/>
      <c r="P2704" s="62"/>
      <c r="Q2704" s="33"/>
      <c r="R2704" s="33"/>
      <c r="S2704" s="61"/>
      <c r="T2704" s="33"/>
      <c r="U2704" s="62"/>
      <c r="W2704" s="61"/>
      <c r="X2704" s="62"/>
      <c r="AD2704" s="58"/>
      <c r="AG2704" s="58"/>
    </row>
    <row r="2705" spans="2:33" ht="16">
      <c r="B2705" s="67" t="str">
        <f t="shared" si="11"/>
        <v/>
      </c>
      <c r="C2705" s="33"/>
      <c r="D2705" s="33"/>
      <c r="E2705" s="33"/>
      <c r="F2705" s="56"/>
      <c r="G2705" s="33"/>
      <c r="H2705" s="33"/>
      <c r="I2705" s="33"/>
      <c r="J2705" s="57"/>
      <c r="K2705" s="33"/>
      <c r="L2705" s="57"/>
      <c r="M2705" s="64"/>
      <c r="N2705" s="56"/>
      <c r="O2705" s="64"/>
      <c r="P2705" s="62"/>
      <c r="Q2705" s="33"/>
      <c r="R2705" s="33"/>
      <c r="S2705" s="61"/>
      <c r="T2705" s="33"/>
      <c r="U2705" s="62"/>
      <c r="W2705" s="61"/>
      <c r="X2705" s="62"/>
      <c r="AD2705" s="64"/>
      <c r="AG2705" s="58"/>
    </row>
    <row r="2706" spans="2:33" ht="16">
      <c r="B2706" s="67" t="str">
        <f t="shared" si="11"/>
        <v/>
      </c>
      <c r="C2706" s="33"/>
      <c r="D2706" s="33"/>
      <c r="E2706" s="33"/>
      <c r="F2706" s="56"/>
      <c r="G2706" s="33"/>
      <c r="H2706" s="33"/>
      <c r="I2706" s="33"/>
      <c r="J2706" s="57"/>
      <c r="K2706" s="33"/>
      <c r="L2706" s="57"/>
      <c r="M2706" s="58"/>
      <c r="N2706" s="56"/>
      <c r="O2706" s="58"/>
      <c r="P2706" s="62"/>
      <c r="Q2706" s="33"/>
      <c r="R2706" s="33"/>
      <c r="S2706" s="61"/>
      <c r="T2706" s="33"/>
      <c r="U2706" s="62"/>
      <c r="W2706" s="61"/>
      <c r="X2706" s="62"/>
      <c r="AD2706" s="58"/>
      <c r="AG2706" s="58"/>
    </row>
    <row r="2707" spans="2:33" ht="16">
      <c r="B2707" s="67" t="str">
        <f t="shared" si="11"/>
        <v/>
      </c>
      <c r="C2707" s="33"/>
      <c r="D2707" s="33"/>
      <c r="E2707" s="33"/>
      <c r="F2707" s="56"/>
      <c r="G2707" s="33"/>
      <c r="H2707" s="33"/>
      <c r="I2707" s="33"/>
      <c r="J2707" s="57"/>
      <c r="K2707" s="33"/>
      <c r="L2707" s="57"/>
      <c r="M2707" s="58"/>
      <c r="N2707" s="56"/>
      <c r="O2707" s="58"/>
      <c r="P2707" s="62"/>
      <c r="Q2707" s="33"/>
      <c r="R2707" s="33"/>
      <c r="S2707" s="61"/>
      <c r="T2707" s="33"/>
      <c r="U2707" s="62"/>
      <c r="W2707" s="61"/>
      <c r="X2707" s="62"/>
      <c r="AD2707" s="58"/>
      <c r="AG2707" s="58"/>
    </row>
    <row r="2708" spans="2:33" ht="16">
      <c r="B2708" s="67" t="str">
        <f t="shared" si="11"/>
        <v/>
      </c>
      <c r="C2708" s="33"/>
      <c r="D2708" s="33"/>
      <c r="E2708" s="33"/>
      <c r="F2708" s="56"/>
      <c r="G2708" s="33"/>
      <c r="H2708" s="33"/>
      <c r="I2708" s="33"/>
      <c r="J2708" s="57"/>
      <c r="K2708" s="33"/>
      <c r="L2708" s="57"/>
      <c r="M2708" s="64"/>
      <c r="N2708" s="56"/>
      <c r="O2708" s="64"/>
      <c r="P2708" s="62"/>
      <c r="Q2708" s="33"/>
      <c r="R2708" s="33"/>
      <c r="S2708" s="61"/>
      <c r="T2708" s="33"/>
      <c r="U2708" s="62"/>
      <c r="W2708" s="61"/>
      <c r="X2708" s="62"/>
      <c r="AD2708" s="58"/>
      <c r="AG2708" s="58"/>
    </row>
    <row r="2709" spans="2:33" ht="16">
      <c r="B2709" s="67" t="str">
        <f t="shared" si="11"/>
        <v/>
      </c>
      <c r="C2709" s="33"/>
      <c r="D2709" s="33"/>
      <c r="E2709" s="33"/>
      <c r="F2709" s="56"/>
      <c r="G2709" s="33"/>
      <c r="H2709" s="33"/>
      <c r="I2709" s="33"/>
      <c r="J2709" s="57"/>
      <c r="K2709" s="33"/>
      <c r="L2709" s="57"/>
      <c r="M2709" s="64"/>
      <c r="N2709" s="56"/>
      <c r="O2709" s="64"/>
      <c r="P2709" s="62"/>
      <c r="Q2709" s="33"/>
      <c r="R2709" s="33"/>
      <c r="S2709" s="61"/>
      <c r="T2709" s="33"/>
      <c r="U2709" s="62"/>
      <c r="W2709" s="61"/>
      <c r="X2709" s="62"/>
      <c r="AD2709" s="58"/>
      <c r="AG2709" s="58"/>
    </row>
    <row r="2710" spans="2:33" ht="16">
      <c r="B2710" s="67" t="str">
        <f t="shared" si="11"/>
        <v/>
      </c>
      <c r="C2710" s="33"/>
      <c r="D2710" s="33"/>
      <c r="E2710" s="33"/>
      <c r="F2710" s="56"/>
      <c r="G2710" s="33"/>
      <c r="H2710" s="33"/>
      <c r="I2710" s="33"/>
      <c r="J2710" s="57"/>
      <c r="K2710" s="33"/>
      <c r="L2710" s="57"/>
      <c r="M2710" s="64"/>
      <c r="N2710" s="56"/>
      <c r="O2710" s="64"/>
      <c r="P2710" s="62"/>
      <c r="Q2710" s="33"/>
      <c r="R2710" s="33"/>
      <c r="S2710" s="61"/>
      <c r="T2710" s="33"/>
      <c r="U2710" s="62"/>
      <c r="W2710" s="61"/>
      <c r="X2710" s="62"/>
      <c r="AD2710" s="58"/>
      <c r="AG2710" s="58"/>
    </row>
    <row r="2711" spans="2:33" ht="16">
      <c r="B2711" s="67" t="str">
        <f t="shared" si="11"/>
        <v/>
      </c>
      <c r="C2711" s="33"/>
      <c r="D2711" s="33"/>
      <c r="E2711" s="33"/>
      <c r="F2711" s="56"/>
      <c r="G2711" s="33"/>
      <c r="H2711" s="33"/>
      <c r="I2711" s="33"/>
      <c r="J2711" s="57"/>
      <c r="K2711" s="33"/>
      <c r="L2711" s="57"/>
      <c r="M2711" s="64"/>
      <c r="N2711" s="56"/>
      <c r="O2711" s="64"/>
      <c r="P2711" s="62"/>
      <c r="Q2711" s="33"/>
      <c r="R2711" s="33"/>
      <c r="S2711" s="61"/>
      <c r="T2711" s="33"/>
      <c r="U2711" s="62"/>
      <c r="W2711" s="61"/>
      <c r="X2711" s="62"/>
      <c r="AD2711" s="58"/>
      <c r="AG2711" s="58"/>
    </row>
    <row r="2712" spans="2:33" ht="16">
      <c r="B2712" s="67" t="str">
        <f t="shared" si="11"/>
        <v/>
      </c>
      <c r="C2712" s="33"/>
      <c r="D2712" s="33"/>
      <c r="E2712" s="33"/>
      <c r="F2712" s="56"/>
      <c r="G2712" s="33"/>
      <c r="H2712" s="33"/>
      <c r="I2712" s="33"/>
      <c r="J2712" s="57"/>
      <c r="K2712" s="33"/>
      <c r="L2712" s="57"/>
      <c r="M2712" s="64"/>
      <c r="N2712" s="56"/>
      <c r="O2712" s="58"/>
      <c r="P2712" s="62"/>
      <c r="Q2712" s="33"/>
      <c r="R2712" s="33"/>
      <c r="S2712" s="61"/>
      <c r="T2712" s="33"/>
      <c r="U2712" s="62"/>
      <c r="W2712" s="61"/>
      <c r="X2712" s="62"/>
      <c r="AD2712" s="58"/>
      <c r="AG2712" s="58"/>
    </row>
    <row r="2713" spans="2:33" ht="16">
      <c r="B2713" s="67" t="str">
        <f t="shared" si="11"/>
        <v/>
      </c>
      <c r="C2713" s="33"/>
      <c r="D2713" s="33"/>
      <c r="E2713" s="33"/>
      <c r="F2713" s="56"/>
      <c r="G2713" s="33"/>
      <c r="H2713" s="33"/>
      <c r="I2713" s="33"/>
      <c r="J2713" s="57"/>
      <c r="K2713" s="33"/>
      <c r="L2713" s="57"/>
      <c r="M2713" s="64"/>
      <c r="N2713" s="56"/>
      <c r="O2713" s="64"/>
      <c r="P2713" s="62"/>
      <c r="Q2713" s="33"/>
      <c r="R2713" s="33"/>
      <c r="S2713" s="61"/>
      <c r="T2713" s="33"/>
      <c r="U2713" s="62"/>
      <c r="W2713" s="61"/>
      <c r="X2713" s="62"/>
      <c r="AD2713" s="58"/>
      <c r="AG2713" s="58"/>
    </row>
    <row r="2714" spans="2:33" ht="16">
      <c r="B2714" s="67" t="str">
        <f t="shared" si="11"/>
        <v/>
      </c>
      <c r="C2714" s="33"/>
      <c r="D2714" s="33"/>
      <c r="E2714" s="33"/>
      <c r="F2714" s="56"/>
      <c r="G2714" s="33"/>
      <c r="H2714" s="33"/>
      <c r="I2714" s="33"/>
      <c r="J2714" s="57"/>
      <c r="K2714" s="33"/>
      <c r="L2714" s="57"/>
      <c r="M2714" s="64"/>
      <c r="N2714" s="56"/>
      <c r="O2714" s="64"/>
      <c r="P2714" s="62"/>
      <c r="Q2714" s="33"/>
      <c r="R2714" s="33"/>
      <c r="S2714" s="61"/>
      <c r="T2714" s="33"/>
      <c r="U2714" s="62"/>
      <c r="W2714" s="61"/>
      <c r="X2714" s="62"/>
      <c r="AD2714" s="64"/>
      <c r="AG2714" s="58"/>
    </row>
    <row r="2715" spans="2:33" ht="16">
      <c r="B2715" s="67" t="str">
        <f t="shared" si="11"/>
        <v/>
      </c>
      <c r="C2715" s="33"/>
      <c r="D2715" s="33"/>
      <c r="E2715" s="33"/>
      <c r="F2715" s="56"/>
      <c r="G2715" s="33"/>
      <c r="H2715" s="33"/>
      <c r="I2715" s="33"/>
      <c r="J2715" s="57"/>
      <c r="K2715" s="33"/>
      <c r="L2715" s="57"/>
      <c r="M2715" s="64"/>
      <c r="N2715" s="56"/>
      <c r="O2715" s="64"/>
      <c r="P2715" s="62"/>
      <c r="Q2715" s="33"/>
      <c r="R2715" s="33"/>
      <c r="S2715" s="61"/>
      <c r="T2715" s="33"/>
      <c r="U2715" s="62"/>
      <c r="W2715" s="61"/>
      <c r="X2715" s="62"/>
      <c r="AD2715" s="58"/>
      <c r="AG2715" s="58"/>
    </row>
    <row r="2716" spans="2:33" ht="16">
      <c r="B2716" s="67" t="str">
        <f t="shared" si="11"/>
        <v/>
      </c>
      <c r="C2716" s="33"/>
      <c r="D2716" s="33"/>
      <c r="E2716" s="33"/>
      <c r="F2716" s="56"/>
      <c r="G2716" s="33"/>
      <c r="H2716" s="33"/>
      <c r="I2716" s="33"/>
      <c r="J2716" s="57"/>
      <c r="K2716" s="33"/>
      <c r="L2716" s="57"/>
      <c r="M2716" s="64"/>
      <c r="N2716" s="56"/>
      <c r="O2716" s="64"/>
      <c r="P2716" s="62"/>
      <c r="Q2716" s="33"/>
      <c r="R2716" s="33"/>
      <c r="S2716" s="61"/>
      <c r="T2716" s="33"/>
      <c r="U2716" s="62"/>
      <c r="W2716" s="61"/>
      <c r="X2716" s="62"/>
      <c r="AD2716" s="58"/>
      <c r="AG2716" s="58"/>
    </row>
    <row r="2717" spans="2:33" ht="16">
      <c r="B2717" s="67" t="str">
        <f t="shared" si="11"/>
        <v/>
      </c>
      <c r="C2717" s="33"/>
      <c r="D2717" s="33"/>
      <c r="E2717" s="33"/>
      <c r="F2717" s="56"/>
      <c r="G2717" s="33"/>
      <c r="H2717" s="33"/>
      <c r="I2717" s="33"/>
      <c r="J2717" s="57"/>
      <c r="K2717" s="33"/>
      <c r="L2717" s="57"/>
      <c r="M2717" s="64"/>
      <c r="N2717" s="56"/>
      <c r="O2717" s="64"/>
      <c r="P2717" s="62"/>
      <c r="Q2717" s="33"/>
      <c r="R2717" s="33"/>
      <c r="S2717" s="61"/>
      <c r="T2717" s="33"/>
      <c r="U2717" s="62"/>
      <c r="W2717" s="61"/>
      <c r="X2717" s="62"/>
      <c r="AD2717" s="58"/>
      <c r="AG2717" s="58"/>
    </row>
    <row r="2718" spans="2:33" ht="16">
      <c r="B2718" s="67" t="str">
        <f t="shared" si="11"/>
        <v/>
      </c>
      <c r="C2718" s="33"/>
      <c r="D2718" s="33"/>
      <c r="E2718" s="33"/>
      <c r="F2718" s="56"/>
      <c r="G2718" s="33"/>
      <c r="H2718" s="33"/>
      <c r="I2718" s="33"/>
      <c r="J2718" s="57"/>
      <c r="K2718" s="33"/>
      <c r="L2718" s="57"/>
      <c r="M2718" s="64"/>
      <c r="N2718" s="56"/>
      <c r="O2718" s="64"/>
      <c r="P2718" s="62"/>
      <c r="Q2718" s="33"/>
      <c r="R2718" s="33"/>
      <c r="S2718" s="61"/>
      <c r="T2718" s="33"/>
      <c r="U2718" s="62"/>
      <c r="W2718" s="61"/>
      <c r="X2718" s="62"/>
      <c r="AD2718" s="58"/>
      <c r="AG2718" s="58"/>
    </row>
    <row r="2719" spans="2:33" ht="16">
      <c r="B2719" s="67" t="str">
        <f t="shared" si="11"/>
        <v/>
      </c>
      <c r="C2719" s="33"/>
      <c r="D2719" s="33"/>
      <c r="E2719" s="33"/>
      <c r="F2719" s="56"/>
      <c r="G2719" s="33"/>
      <c r="H2719" s="33"/>
      <c r="I2719" s="33"/>
      <c r="J2719" s="57"/>
      <c r="K2719" s="33"/>
      <c r="L2719" s="57"/>
      <c r="M2719" s="64"/>
      <c r="N2719" s="56"/>
      <c r="O2719" s="64"/>
      <c r="P2719" s="62"/>
      <c r="Q2719" s="33"/>
      <c r="R2719" s="33"/>
      <c r="S2719" s="61"/>
      <c r="T2719" s="33"/>
      <c r="U2719" s="62"/>
      <c r="W2719" s="61"/>
      <c r="X2719" s="62"/>
      <c r="AD2719" s="58"/>
      <c r="AG2719" s="58"/>
    </row>
    <row r="2720" spans="2:33" ht="16">
      <c r="B2720" s="67" t="str">
        <f t="shared" si="11"/>
        <v/>
      </c>
      <c r="C2720" s="33"/>
      <c r="D2720" s="33"/>
      <c r="E2720" s="33"/>
      <c r="F2720" s="56"/>
      <c r="G2720" s="33"/>
      <c r="H2720" s="33"/>
      <c r="I2720" s="33"/>
      <c r="J2720" s="57"/>
      <c r="K2720" s="33"/>
      <c r="L2720" s="57"/>
      <c r="M2720" s="64"/>
      <c r="N2720" s="56"/>
      <c r="O2720" s="64"/>
      <c r="P2720" s="62"/>
      <c r="Q2720" s="33"/>
      <c r="R2720" s="33"/>
      <c r="S2720" s="61"/>
      <c r="T2720" s="33"/>
      <c r="U2720" s="62"/>
      <c r="W2720" s="61"/>
      <c r="X2720" s="62"/>
      <c r="AD2720" s="58"/>
      <c r="AG2720" s="58"/>
    </row>
    <row r="2721" spans="2:33" ht="16">
      <c r="B2721" s="67" t="str">
        <f t="shared" si="11"/>
        <v/>
      </c>
      <c r="C2721" s="33"/>
      <c r="D2721" s="33"/>
      <c r="E2721" s="33"/>
      <c r="F2721" s="56"/>
      <c r="G2721" s="33"/>
      <c r="H2721" s="33"/>
      <c r="I2721" s="33"/>
      <c r="J2721" s="57"/>
      <c r="K2721" s="33"/>
      <c r="L2721" s="57"/>
      <c r="M2721" s="64"/>
      <c r="N2721" s="56"/>
      <c r="O2721" s="64"/>
      <c r="P2721" s="62"/>
      <c r="Q2721" s="33"/>
      <c r="R2721" s="33"/>
      <c r="S2721" s="61"/>
      <c r="T2721" s="33"/>
      <c r="U2721" s="62"/>
      <c r="W2721" s="61"/>
      <c r="X2721" s="62"/>
      <c r="AD2721" s="58"/>
      <c r="AG2721" s="58"/>
    </row>
    <row r="2722" spans="2:33" ht="16">
      <c r="B2722" s="67" t="str">
        <f t="shared" si="11"/>
        <v/>
      </c>
      <c r="C2722" s="33"/>
      <c r="D2722" s="33"/>
      <c r="E2722" s="33"/>
      <c r="F2722" s="56"/>
      <c r="G2722" s="33"/>
      <c r="H2722" s="33"/>
      <c r="I2722" s="33"/>
      <c r="J2722" s="57"/>
      <c r="K2722" s="33"/>
      <c r="L2722" s="57"/>
      <c r="M2722" s="64"/>
      <c r="N2722" s="56"/>
      <c r="O2722" s="64"/>
      <c r="P2722" s="62"/>
      <c r="Q2722" s="33"/>
      <c r="R2722" s="33"/>
      <c r="S2722" s="61"/>
      <c r="T2722" s="33"/>
      <c r="U2722" s="62"/>
      <c r="W2722" s="61"/>
      <c r="X2722" s="62"/>
      <c r="AD2722" s="64"/>
      <c r="AG2722" s="58"/>
    </row>
    <row r="2723" spans="2:33" ht="16">
      <c r="B2723" s="67" t="str">
        <f t="shared" si="11"/>
        <v/>
      </c>
      <c r="C2723" s="33"/>
      <c r="D2723" s="33"/>
      <c r="E2723" s="33"/>
      <c r="F2723" s="56"/>
      <c r="G2723" s="33"/>
      <c r="H2723" s="33"/>
      <c r="I2723" s="33"/>
      <c r="J2723" s="57"/>
      <c r="K2723" s="33"/>
      <c r="L2723" s="57"/>
      <c r="M2723" s="64"/>
      <c r="N2723" s="56"/>
      <c r="O2723" s="58"/>
      <c r="P2723" s="62"/>
      <c r="Q2723" s="33"/>
      <c r="R2723" s="33"/>
      <c r="S2723" s="61"/>
      <c r="T2723" s="33"/>
      <c r="U2723" s="62"/>
      <c r="W2723" s="61"/>
      <c r="X2723" s="62"/>
      <c r="AD2723" s="58"/>
      <c r="AG2723" s="58"/>
    </row>
    <row r="2724" spans="2:33" ht="16">
      <c r="B2724" s="67" t="str">
        <f t="shared" si="11"/>
        <v/>
      </c>
      <c r="C2724" s="33"/>
      <c r="D2724" s="33"/>
      <c r="E2724" s="33"/>
      <c r="F2724" s="56"/>
      <c r="G2724" s="33"/>
      <c r="H2724" s="33"/>
      <c r="I2724" s="33"/>
      <c r="J2724" s="57"/>
      <c r="K2724" s="33"/>
      <c r="L2724" s="57"/>
      <c r="M2724" s="58"/>
      <c r="N2724" s="56"/>
      <c r="O2724" s="58"/>
      <c r="P2724" s="62"/>
      <c r="Q2724" s="33"/>
      <c r="R2724" s="33"/>
      <c r="S2724" s="61"/>
      <c r="T2724" s="33"/>
      <c r="U2724" s="62"/>
      <c r="W2724" s="61"/>
      <c r="X2724" s="62"/>
      <c r="AD2724" s="58"/>
      <c r="AG2724" s="58"/>
    </row>
    <row r="2725" spans="2:33" ht="16">
      <c r="B2725" s="67" t="str">
        <f t="shared" si="11"/>
        <v/>
      </c>
      <c r="C2725" s="33"/>
      <c r="D2725" s="33"/>
      <c r="E2725" s="33"/>
      <c r="F2725" s="56"/>
      <c r="G2725" s="33"/>
      <c r="H2725" s="33"/>
      <c r="I2725" s="33"/>
      <c r="J2725" s="57"/>
      <c r="K2725" s="33"/>
      <c r="L2725" s="57"/>
      <c r="M2725" s="64"/>
      <c r="N2725" s="56"/>
      <c r="O2725" s="58"/>
      <c r="P2725" s="62"/>
      <c r="Q2725" s="33"/>
      <c r="R2725" s="33"/>
      <c r="S2725" s="61"/>
      <c r="T2725" s="33"/>
      <c r="U2725" s="62"/>
      <c r="W2725" s="61"/>
      <c r="X2725" s="62"/>
      <c r="AD2725" s="58"/>
      <c r="AG2725" s="58"/>
    </row>
    <row r="2726" spans="2:33" ht="16">
      <c r="B2726" s="67" t="str">
        <f t="shared" si="11"/>
        <v/>
      </c>
      <c r="C2726" s="33"/>
      <c r="D2726" s="33"/>
      <c r="E2726" s="33"/>
      <c r="F2726" s="56"/>
      <c r="G2726" s="33"/>
      <c r="H2726" s="33"/>
      <c r="I2726" s="33"/>
      <c r="J2726" s="57"/>
      <c r="K2726" s="33"/>
      <c r="L2726" s="57"/>
      <c r="M2726" s="64"/>
      <c r="N2726" s="56"/>
      <c r="O2726" s="58"/>
      <c r="P2726" s="62"/>
      <c r="Q2726" s="33"/>
      <c r="R2726" s="33"/>
      <c r="S2726" s="61"/>
      <c r="T2726" s="33"/>
      <c r="U2726" s="62"/>
      <c r="W2726" s="61"/>
      <c r="X2726" s="62"/>
      <c r="AD2726" s="58"/>
      <c r="AG2726" s="58"/>
    </row>
    <row r="2727" spans="2:33" ht="16">
      <c r="B2727" s="67" t="str">
        <f t="shared" si="11"/>
        <v/>
      </c>
      <c r="C2727" s="33"/>
      <c r="D2727" s="33"/>
      <c r="E2727" s="33"/>
      <c r="F2727" s="56"/>
      <c r="G2727" s="33"/>
      <c r="H2727" s="33"/>
      <c r="I2727" s="33"/>
      <c r="J2727" s="57"/>
      <c r="K2727" s="33"/>
      <c r="L2727" s="57"/>
      <c r="M2727" s="64"/>
      <c r="N2727" s="56"/>
      <c r="O2727" s="64"/>
      <c r="P2727" s="62"/>
      <c r="Q2727" s="33"/>
      <c r="R2727" s="33"/>
      <c r="S2727" s="61"/>
      <c r="T2727" s="33"/>
      <c r="U2727" s="62"/>
      <c r="W2727" s="61"/>
      <c r="X2727" s="62"/>
      <c r="AD2727" s="58"/>
      <c r="AG2727" s="58"/>
    </row>
    <row r="2728" spans="2:33" ht="16">
      <c r="B2728" s="67" t="str">
        <f t="shared" si="11"/>
        <v/>
      </c>
      <c r="C2728" s="33"/>
      <c r="D2728" s="33"/>
      <c r="E2728" s="33"/>
      <c r="F2728" s="56"/>
      <c r="G2728" s="33"/>
      <c r="H2728" s="33"/>
      <c r="I2728" s="33"/>
      <c r="J2728" s="57"/>
      <c r="K2728" s="33"/>
      <c r="L2728" s="57"/>
      <c r="M2728" s="64"/>
      <c r="N2728" s="56"/>
      <c r="O2728" s="64"/>
      <c r="P2728" s="62"/>
      <c r="Q2728" s="33"/>
      <c r="R2728" s="33"/>
      <c r="S2728" s="61"/>
      <c r="T2728" s="33"/>
      <c r="U2728" s="62"/>
      <c r="W2728" s="61"/>
      <c r="X2728" s="62"/>
      <c r="AD2728" s="58"/>
      <c r="AG2728" s="58"/>
    </row>
    <row r="2729" spans="2:33" ht="16">
      <c r="B2729" s="67" t="str">
        <f t="shared" si="11"/>
        <v/>
      </c>
      <c r="C2729" s="33"/>
      <c r="D2729" s="33"/>
      <c r="E2729" s="33"/>
      <c r="F2729" s="56"/>
      <c r="G2729" s="33"/>
      <c r="H2729" s="33"/>
      <c r="I2729" s="33"/>
      <c r="J2729" s="57"/>
      <c r="K2729" s="33"/>
      <c r="L2729" s="57"/>
      <c r="M2729" s="64"/>
      <c r="N2729" s="56"/>
      <c r="O2729" s="64"/>
      <c r="P2729" s="62"/>
      <c r="Q2729" s="33"/>
      <c r="R2729" s="33"/>
      <c r="S2729" s="61"/>
      <c r="T2729" s="33"/>
      <c r="U2729" s="62"/>
      <c r="W2729" s="61"/>
      <c r="X2729" s="62"/>
      <c r="AD2729" s="58"/>
      <c r="AG2729" s="58"/>
    </row>
    <row r="2730" spans="2:33" ht="16">
      <c r="B2730" s="67" t="str">
        <f t="shared" si="11"/>
        <v/>
      </c>
      <c r="C2730" s="33"/>
      <c r="D2730" s="33"/>
      <c r="E2730" s="33"/>
      <c r="F2730" s="56"/>
      <c r="G2730" s="33"/>
      <c r="H2730" s="33"/>
      <c r="I2730" s="33"/>
      <c r="J2730" s="57"/>
      <c r="K2730" s="33"/>
      <c r="L2730" s="57"/>
      <c r="M2730" s="64"/>
      <c r="N2730" s="56"/>
      <c r="O2730" s="64"/>
      <c r="P2730" s="62"/>
      <c r="Q2730" s="33"/>
      <c r="R2730" s="33"/>
      <c r="S2730" s="61"/>
      <c r="T2730" s="33"/>
      <c r="U2730" s="62"/>
      <c r="W2730" s="61"/>
      <c r="X2730" s="62"/>
      <c r="AD2730" s="58"/>
      <c r="AG2730" s="58"/>
    </row>
    <row r="2731" spans="2:33" ht="16">
      <c r="B2731" s="67" t="str">
        <f t="shared" si="11"/>
        <v/>
      </c>
      <c r="C2731" s="33"/>
      <c r="D2731" s="33"/>
      <c r="E2731" s="33"/>
      <c r="F2731" s="56"/>
      <c r="G2731" s="33"/>
      <c r="H2731" s="33"/>
      <c r="I2731" s="33"/>
      <c r="J2731" s="57"/>
      <c r="K2731" s="33"/>
      <c r="L2731" s="57"/>
      <c r="M2731" s="64"/>
      <c r="N2731" s="56"/>
      <c r="O2731" s="64"/>
      <c r="P2731" s="62"/>
      <c r="Q2731" s="33"/>
      <c r="R2731" s="33"/>
      <c r="S2731" s="61"/>
      <c r="T2731" s="33"/>
      <c r="U2731" s="62"/>
      <c r="W2731" s="61"/>
      <c r="X2731" s="62"/>
      <c r="AD2731" s="58"/>
      <c r="AG2731" s="58"/>
    </row>
    <row r="2732" spans="2:33" ht="16">
      <c r="B2732" s="67" t="str">
        <f t="shared" si="11"/>
        <v/>
      </c>
      <c r="C2732" s="33"/>
      <c r="D2732" s="33"/>
      <c r="E2732" s="33"/>
      <c r="F2732" s="56"/>
      <c r="G2732" s="33"/>
      <c r="H2732" s="33"/>
      <c r="I2732" s="33"/>
      <c r="J2732" s="57"/>
      <c r="K2732" s="33"/>
      <c r="L2732" s="57"/>
      <c r="M2732" s="64"/>
      <c r="N2732" s="56"/>
      <c r="O2732" s="64"/>
      <c r="P2732" s="62"/>
      <c r="Q2732" s="33"/>
      <c r="R2732" s="33"/>
      <c r="S2732" s="61"/>
      <c r="T2732" s="33"/>
      <c r="U2732" s="62"/>
      <c r="W2732" s="61"/>
      <c r="X2732" s="62"/>
      <c r="AD2732" s="58"/>
      <c r="AG2732" s="58"/>
    </row>
    <row r="2733" spans="2:33" ht="16">
      <c r="B2733" s="67" t="str">
        <f t="shared" si="11"/>
        <v/>
      </c>
      <c r="C2733" s="33"/>
      <c r="D2733" s="33"/>
      <c r="E2733" s="33"/>
      <c r="F2733" s="56"/>
      <c r="G2733" s="33"/>
      <c r="H2733" s="33"/>
      <c r="I2733" s="33"/>
      <c r="J2733" s="57"/>
      <c r="K2733" s="33"/>
      <c r="L2733" s="57"/>
      <c r="M2733" s="64"/>
      <c r="N2733" s="56"/>
      <c r="O2733" s="58"/>
      <c r="P2733" s="62"/>
      <c r="Q2733" s="33"/>
      <c r="R2733" s="33"/>
      <c r="S2733" s="61"/>
      <c r="T2733" s="33"/>
      <c r="U2733" s="62"/>
      <c r="W2733" s="61"/>
      <c r="X2733" s="62"/>
      <c r="AD2733" s="58"/>
      <c r="AG2733" s="58"/>
    </row>
    <row r="2734" spans="2:33" ht="16">
      <c r="B2734" s="67" t="str">
        <f t="shared" si="11"/>
        <v/>
      </c>
      <c r="C2734" s="33"/>
      <c r="D2734" s="33"/>
      <c r="E2734" s="33"/>
      <c r="F2734" s="56"/>
      <c r="G2734" s="33"/>
      <c r="H2734" s="33"/>
      <c r="I2734" s="33"/>
      <c r="J2734" s="57"/>
      <c r="K2734" s="33"/>
      <c r="L2734" s="57"/>
      <c r="M2734" s="58"/>
      <c r="N2734" s="56"/>
      <c r="O2734" s="58"/>
      <c r="P2734" s="62"/>
      <c r="Q2734" s="33"/>
      <c r="R2734" s="33"/>
      <c r="S2734" s="61"/>
      <c r="T2734" s="33"/>
      <c r="U2734" s="62"/>
      <c r="W2734" s="61"/>
      <c r="X2734" s="62"/>
      <c r="AD2734" s="58"/>
      <c r="AG2734" s="58"/>
    </row>
    <row r="2735" spans="2:33" ht="16">
      <c r="B2735" s="67" t="str">
        <f t="shared" si="11"/>
        <v/>
      </c>
      <c r="C2735" s="33"/>
      <c r="D2735" s="33"/>
      <c r="E2735" s="33"/>
      <c r="F2735" s="56"/>
      <c r="G2735" s="33"/>
      <c r="H2735" s="33"/>
      <c r="I2735" s="33"/>
      <c r="J2735" s="57"/>
      <c r="K2735" s="33"/>
      <c r="L2735" s="57"/>
      <c r="M2735" s="64"/>
      <c r="N2735" s="56"/>
      <c r="O2735" s="64"/>
      <c r="P2735" s="62"/>
      <c r="Q2735" s="33"/>
      <c r="R2735" s="33"/>
      <c r="S2735" s="61"/>
      <c r="T2735" s="33"/>
      <c r="U2735" s="62"/>
      <c r="W2735" s="61"/>
      <c r="X2735" s="62"/>
      <c r="AD2735" s="58"/>
      <c r="AG2735" s="58"/>
    </row>
    <row r="2736" spans="2:33" ht="16">
      <c r="B2736" s="67" t="str">
        <f t="shared" si="11"/>
        <v/>
      </c>
      <c r="C2736" s="33"/>
      <c r="D2736" s="33"/>
      <c r="E2736" s="33"/>
      <c r="F2736" s="56"/>
      <c r="G2736" s="33"/>
      <c r="H2736" s="33"/>
      <c r="I2736" s="33"/>
      <c r="J2736" s="57"/>
      <c r="K2736" s="33"/>
      <c r="L2736" s="57"/>
      <c r="M2736" s="64"/>
      <c r="N2736" s="56"/>
      <c r="O2736" s="64"/>
      <c r="P2736" s="62"/>
      <c r="Q2736" s="33"/>
      <c r="R2736" s="33"/>
      <c r="S2736" s="61"/>
      <c r="T2736" s="33"/>
      <c r="U2736" s="62"/>
      <c r="W2736" s="61"/>
      <c r="X2736" s="62"/>
      <c r="AD2736" s="58"/>
      <c r="AG2736" s="58"/>
    </row>
    <row r="2737" spans="2:33" ht="16">
      <c r="B2737" s="67" t="str">
        <f t="shared" si="11"/>
        <v/>
      </c>
      <c r="C2737" s="33"/>
      <c r="D2737" s="33"/>
      <c r="E2737" s="33"/>
      <c r="F2737" s="56"/>
      <c r="G2737" s="33"/>
      <c r="H2737" s="33"/>
      <c r="I2737" s="33"/>
      <c r="J2737" s="57"/>
      <c r="K2737" s="33"/>
      <c r="L2737" s="57"/>
      <c r="M2737" s="58"/>
      <c r="N2737" s="56"/>
      <c r="O2737" s="58"/>
      <c r="P2737" s="62"/>
      <c r="Q2737" s="33"/>
      <c r="R2737" s="33"/>
      <c r="S2737" s="61"/>
      <c r="T2737" s="33"/>
      <c r="U2737" s="62"/>
      <c r="W2737" s="61"/>
      <c r="X2737" s="62"/>
      <c r="AD2737" s="58"/>
      <c r="AG2737" s="58"/>
    </row>
    <row r="2738" spans="2:33" ht="16">
      <c r="B2738" s="67" t="str">
        <f t="shared" si="11"/>
        <v/>
      </c>
      <c r="C2738" s="33"/>
      <c r="D2738" s="33"/>
      <c r="E2738" s="33"/>
      <c r="F2738" s="56"/>
      <c r="G2738" s="33"/>
      <c r="H2738" s="33"/>
      <c r="I2738" s="33"/>
      <c r="J2738" s="57"/>
      <c r="K2738" s="33"/>
      <c r="L2738" s="57"/>
      <c r="M2738" s="64"/>
      <c r="N2738" s="56"/>
      <c r="O2738" s="58"/>
      <c r="P2738" s="62"/>
      <c r="Q2738" s="33"/>
      <c r="R2738" s="33"/>
      <c r="S2738" s="61"/>
      <c r="T2738" s="33"/>
      <c r="U2738" s="62"/>
      <c r="W2738" s="61"/>
      <c r="X2738" s="62"/>
      <c r="AD2738" s="64"/>
      <c r="AG2738" s="58"/>
    </row>
    <row r="2739" spans="2:33" ht="16">
      <c r="B2739" s="67" t="str">
        <f t="shared" si="11"/>
        <v/>
      </c>
      <c r="C2739" s="33"/>
      <c r="D2739" s="33"/>
      <c r="E2739" s="33"/>
      <c r="F2739" s="56"/>
      <c r="G2739" s="33"/>
      <c r="H2739" s="33"/>
      <c r="I2739" s="33"/>
      <c r="J2739" s="57"/>
      <c r="K2739" s="33"/>
      <c r="L2739" s="57"/>
      <c r="M2739" s="58"/>
      <c r="N2739" s="56"/>
      <c r="O2739" s="58"/>
      <c r="P2739" s="62"/>
      <c r="Q2739" s="33"/>
      <c r="R2739" s="33"/>
      <c r="S2739" s="61"/>
      <c r="T2739" s="33"/>
      <c r="U2739" s="62"/>
      <c r="W2739" s="61"/>
      <c r="X2739" s="62"/>
      <c r="AD2739" s="58"/>
      <c r="AG2739" s="58"/>
    </row>
    <row r="2740" spans="2:33" ht="16">
      <c r="B2740" s="67" t="str">
        <f t="shared" si="11"/>
        <v/>
      </c>
      <c r="C2740" s="33"/>
      <c r="D2740" s="33"/>
      <c r="E2740" s="33"/>
      <c r="F2740" s="56"/>
      <c r="G2740" s="33"/>
      <c r="H2740" s="33"/>
      <c r="I2740" s="33"/>
      <c r="J2740" s="57"/>
      <c r="K2740" s="33"/>
      <c r="L2740" s="57"/>
      <c r="M2740" s="64"/>
      <c r="N2740" s="56"/>
      <c r="O2740" s="64"/>
      <c r="P2740" s="62"/>
      <c r="Q2740" s="33"/>
      <c r="R2740" s="33"/>
      <c r="S2740" s="61"/>
      <c r="T2740" s="33"/>
      <c r="U2740" s="62"/>
      <c r="W2740" s="61"/>
      <c r="X2740" s="62"/>
      <c r="AD2740" s="58"/>
      <c r="AG2740" s="58"/>
    </row>
    <row r="2741" spans="2:33" ht="16">
      <c r="B2741" s="67" t="str">
        <f t="shared" si="11"/>
        <v/>
      </c>
      <c r="C2741" s="33"/>
      <c r="D2741" s="33"/>
      <c r="E2741" s="33"/>
      <c r="F2741" s="56"/>
      <c r="G2741" s="33"/>
      <c r="H2741" s="33"/>
      <c r="I2741" s="33"/>
      <c r="J2741" s="57"/>
      <c r="K2741" s="33"/>
      <c r="L2741" s="57"/>
      <c r="M2741" s="64"/>
      <c r="N2741" s="56"/>
      <c r="O2741" s="64"/>
      <c r="P2741" s="62"/>
      <c r="Q2741" s="33"/>
      <c r="R2741" s="33"/>
      <c r="S2741" s="61"/>
      <c r="T2741" s="33"/>
      <c r="U2741" s="62"/>
      <c r="W2741" s="61"/>
      <c r="X2741" s="62"/>
      <c r="AD2741" s="58"/>
      <c r="AG2741" s="58"/>
    </row>
    <row r="2742" spans="2:33" ht="16">
      <c r="B2742" s="67" t="str">
        <f t="shared" si="11"/>
        <v/>
      </c>
      <c r="C2742" s="33"/>
      <c r="D2742" s="33"/>
      <c r="E2742" s="33"/>
      <c r="F2742" s="56"/>
      <c r="G2742" s="33"/>
      <c r="H2742" s="33"/>
      <c r="I2742" s="33"/>
      <c r="J2742" s="57"/>
      <c r="K2742" s="33"/>
      <c r="L2742" s="57"/>
      <c r="M2742" s="64"/>
      <c r="N2742" s="56"/>
      <c r="O2742" s="58"/>
      <c r="P2742" s="62"/>
      <c r="Q2742" s="33"/>
      <c r="R2742" s="33"/>
      <c r="S2742" s="61"/>
      <c r="T2742" s="33"/>
      <c r="U2742" s="62"/>
      <c r="W2742" s="61"/>
      <c r="X2742" s="62"/>
      <c r="AD2742" s="58"/>
      <c r="AG2742" s="58"/>
    </row>
    <row r="2743" spans="2:33" ht="16">
      <c r="B2743" s="67" t="str">
        <f t="shared" si="11"/>
        <v/>
      </c>
      <c r="C2743" s="33"/>
      <c r="D2743" s="33"/>
      <c r="E2743" s="33"/>
      <c r="F2743" s="56"/>
      <c r="G2743" s="33"/>
      <c r="H2743" s="33"/>
      <c r="I2743" s="33"/>
      <c r="J2743" s="57"/>
      <c r="K2743" s="33"/>
      <c r="L2743" s="57"/>
      <c r="M2743" s="58"/>
      <c r="N2743" s="56"/>
      <c r="O2743" s="58"/>
      <c r="P2743" s="62"/>
      <c r="Q2743" s="33"/>
      <c r="R2743" s="33"/>
      <c r="S2743" s="61"/>
      <c r="T2743" s="33"/>
      <c r="U2743" s="62"/>
      <c r="W2743" s="61"/>
      <c r="X2743" s="62"/>
      <c r="AD2743" s="58"/>
      <c r="AG2743" s="58"/>
    </row>
    <row r="2744" spans="2:33" ht="16">
      <c r="B2744" s="67" t="str">
        <f t="shared" si="11"/>
        <v/>
      </c>
      <c r="C2744" s="33"/>
      <c r="D2744" s="33"/>
      <c r="E2744" s="33"/>
      <c r="F2744" s="56"/>
      <c r="G2744" s="33"/>
      <c r="H2744" s="33"/>
      <c r="I2744" s="33"/>
      <c r="J2744" s="57"/>
      <c r="K2744" s="33"/>
      <c r="L2744" s="57"/>
      <c r="M2744" s="58"/>
      <c r="N2744" s="56"/>
      <c r="O2744" s="58"/>
      <c r="P2744" s="62"/>
      <c r="Q2744" s="33"/>
      <c r="R2744" s="33"/>
      <c r="S2744" s="61"/>
      <c r="T2744" s="33"/>
      <c r="U2744" s="62"/>
      <c r="W2744" s="61"/>
      <c r="X2744" s="62"/>
      <c r="AD2744" s="58"/>
      <c r="AG2744" s="58"/>
    </row>
    <row r="2745" spans="2:33" ht="16">
      <c r="B2745" s="67" t="str">
        <f t="shared" si="11"/>
        <v/>
      </c>
      <c r="C2745" s="33"/>
      <c r="D2745" s="33"/>
      <c r="E2745" s="33"/>
      <c r="F2745" s="56"/>
      <c r="G2745" s="33"/>
      <c r="H2745" s="33"/>
      <c r="I2745" s="33"/>
      <c r="J2745" s="57"/>
      <c r="K2745" s="33"/>
      <c r="L2745" s="57"/>
      <c r="M2745" s="64"/>
      <c r="N2745" s="56"/>
      <c r="O2745" s="64"/>
      <c r="P2745" s="62"/>
      <c r="Q2745" s="33"/>
      <c r="R2745" s="33"/>
      <c r="S2745" s="61"/>
      <c r="T2745" s="33"/>
      <c r="U2745" s="62"/>
      <c r="W2745" s="61"/>
      <c r="X2745" s="62"/>
      <c r="AD2745" s="58"/>
      <c r="AG2745" s="58"/>
    </row>
    <row r="2746" spans="2:33" ht="16">
      <c r="B2746" s="67" t="str">
        <f t="shared" si="11"/>
        <v/>
      </c>
      <c r="C2746" s="33"/>
      <c r="D2746" s="33"/>
      <c r="E2746" s="33"/>
      <c r="F2746" s="56"/>
      <c r="G2746" s="33"/>
      <c r="H2746" s="33"/>
      <c r="I2746" s="33"/>
      <c r="J2746" s="57"/>
      <c r="K2746" s="33"/>
      <c r="L2746" s="57"/>
      <c r="M2746" s="64"/>
      <c r="N2746" s="56"/>
      <c r="O2746" s="64"/>
      <c r="P2746" s="62"/>
      <c r="Q2746" s="33"/>
      <c r="R2746" s="33"/>
      <c r="S2746" s="61"/>
      <c r="T2746" s="33"/>
      <c r="U2746" s="62"/>
      <c r="W2746" s="61"/>
      <c r="X2746" s="62"/>
      <c r="AD2746" s="58"/>
      <c r="AG2746" s="58"/>
    </row>
    <row r="2747" spans="2:33" ht="16">
      <c r="B2747" s="67" t="str">
        <f t="shared" si="11"/>
        <v/>
      </c>
      <c r="C2747" s="33"/>
      <c r="D2747" s="33"/>
      <c r="E2747" s="33"/>
      <c r="F2747" s="56"/>
      <c r="G2747" s="33"/>
      <c r="H2747" s="33"/>
      <c r="I2747" s="33"/>
      <c r="J2747" s="57"/>
      <c r="K2747" s="33"/>
      <c r="L2747" s="57"/>
      <c r="M2747" s="64"/>
      <c r="N2747" s="56"/>
      <c r="O2747" s="64"/>
      <c r="P2747" s="62"/>
      <c r="Q2747" s="33"/>
      <c r="R2747" s="33"/>
      <c r="S2747" s="61"/>
      <c r="T2747" s="33"/>
      <c r="U2747" s="62"/>
      <c r="W2747" s="61"/>
      <c r="X2747" s="62"/>
      <c r="AD2747" s="58"/>
      <c r="AG2747" s="58"/>
    </row>
    <row r="2748" spans="2:33" ht="16">
      <c r="B2748" s="67" t="str">
        <f t="shared" si="11"/>
        <v/>
      </c>
      <c r="C2748" s="33"/>
      <c r="D2748" s="33"/>
      <c r="E2748" s="33"/>
      <c r="F2748" s="56"/>
      <c r="G2748" s="33"/>
      <c r="H2748" s="33"/>
      <c r="I2748" s="33"/>
      <c r="J2748" s="57"/>
      <c r="K2748" s="33"/>
      <c r="L2748" s="57"/>
      <c r="M2748" s="58"/>
      <c r="N2748" s="56"/>
      <c r="O2748" s="58"/>
      <c r="P2748" s="62"/>
      <c r="Q2748" s="33"/>
      <c r="R2748" s="33"/>
      <c r="S2748" s="61"/>
      <c r="T2748" s="33"/>
      <c r="U2748" s="62"/>
      <c r="W2748" s="61"/>
      <c r="X2748" s="62"/>
      <c r="AD2748" s="58"/>
      <c r="AG2748" s="58"/>
    </row>
    <row r="2749" spans="2:33" ht="16">
      <c r="B2749" s="67" t="str">
        <f t="shared" si="11"/>
        <v/>
      </c>
      <c r="C2749" s="33"/>
      <c r="D2749" s="33"/>
      <c r="E2749" s="33"/>
      <c r="F2749" s="56"/>
      <c r="G2749" s="33"/>
      <c r="H2749" s="33"/>
      <c r="I2749" s="33"/>
      <c r="J2749" s="57"/>
      <c r="K2749" s="33"/>
      <c r="L2749" s="57"/>
      <c r="M2749" s="64"/>
      <c r="N2749" s="56"/>
      <c r="O2749" s="64"/>
      <c r="P2749" s="62"/>
      <c r="Q2749" s="33"/>
      <c r="R2749" s="33"/>
      <c r="S2749" s="61"/>
      <c r="T2749" s="33"/>
      <c r="U2749" s="62"/>
      <c r="W2749" s="61"/>
      <c r="X2749" s="62"/>
      <c r="AD2749" s="64"/>
      <c r="AG2749" s="58"/>
    </row>
    <row r="2750" spans="2:33" ht="16">
      <c r="B2750" s="67" t="str">
        <f t="shared" si="11"/>
        <v/>
      </c>
      <c r="C2750" s="33"/>
      <c r="D2750" s="33"/>
      <c r="E2750" s="33"/>
      <c r="F2750" s="56"/>
      <c r="G2750" s="33"/>
      <c r="H2750" s="33"/>
      <c r="I2750" s="33"/>
      <c r="J2750" s="57"/>
      <c r="K2750" s="33"/>
      <c r="L2750" s="57"/>
      <c r="M2750" s="64"/>
      <c r="N2750" s="56"/>
      <c r="O2750" s="64"/>
      <c r="P2750" s="62"/>
      <c r="Q2750" s="33"/>
      <c r="R2750" s="33"/>
      <c r="S2750" s="61"/>
      <c r="T2750" s="33"/>
      <c r="U2750" s="62"/>
      <c r="W2750" s="61"/>
      <c r="X2750" s="62"/>
      <c r="AD2750" s="58"/>
      <c r="AG2750" s="58"/>
    </row>
    <row r="2751" spans="2:33" ht="16">
      <c r="B2751" s="67" t="str">
        <f t="shared" si="11"/>
        <v/>
      </c>
      <c r="C2751" s="33"/>
      <c r="D2751" s="33"/>
      <c r="E2751" s="33"/>
      <c r="F2751" s="56"/>
      <c r="G2751" s="33"/>
      <c r="H2751" s="33"/>
      <c r="I2751" s="33"/>
      <c r="J2751" s="57"/>
      <c r="K2751" s="33"/>
      <c r="L2751" s="57"/>
      <c r="M2751" s="58"/>
      <c r="N2751" s="56"/>
      <c r="O2751" s="58"/>
      <c r="P2751" s="62"/>
      <c r="Q2751" s="33"/>
      <c r="R2751" s="33"/>
      <c r="S2751" s="61"/>
      <c r="T2751" s="33"/>
      <c r="U2751" s="62"/>
      <c r="W2751" s="61"/>
      <c r="X2751" s="62"/>
      <c r="AD2751" s="58"/>
      <c r="AG2751" s="58"/>
    </row>
    <row r="2752" spans="2:33" ht="16">
      <c r="B2752" s="67" t="str">
        <f t="shared" si="11"/>
        <v/>
      </c>
      <c r="C2752" s="33"/>
      <c r="D2752" s="33"/>
      <c r="E2752" s="33"/>
      <c r="F2752" s="56"/>
      <c r="G2752" s="33"/>
      <c r="H2752" s="33"/>
      <c r="I2752" s="33"/>
      <c r="J2752" s="57"/>
      <c r="K2752" s="33"/>
      <c r="L2752" s="57"/>
      <c r="M2752" s="64"/>
      <c r="N2752" s="56"/>
      <c r="O2752" s="64"/>
      <c r="P2752" s="62"/>
      <c r="Q2752" s="33"/>
      <c r="R2752" s="33"/>
      <c r="S2752" s="61"/>
      <c r="T2752" s="33"/>
      <c r="U2752" s="62"/>
      <c r="W2752" s="61"/>
      <c r="X2752" s="62"/>
      <c r="AD2752" s="58"/>
      <c r="AG2752" s="58"/>
    </row>
    <row r="2753" spans="2:33" ht="16">
      <c r="B2753" s="67" t="str">
        <f t="shared" si="11"/>
        <v/>
      </c>
      <c r="C2753" s="33"/>
      <c r="D2753" s="33"/>
      <c r="E2753" s="33"/>
      <c r="F2753" s="56"/>
      <c r="G2753" s="33"/>
      <c r="H2753" s="33"/>
      <c r="I2753" s="33"/>
      <c r="J2753" s="57"/>
      <c r="K2753" s="33"/>
      <c r="L2753" s="57"/>
      <c r="M2753" s="64"/>
      <c r="N2753" s="56"/>
      <c r="O2753" s="64"/>
      <c r="P2753" s="62"/>
      <c r="Q2753" s="33"/>
      <c r="R2753" s="33"/>
      <c r="S2753" s="61"/>
      <c r="T2753" s="33"/>
      <c r="U2753" s="62"/>
      <c r="W2753" s="61"/>
      <c r="X2753" s="62"/>
      <c r="AD2753" s="58"/>
      <c r="AG2753" s="58"/>
    </row>
    <row r="2754" spans="2:33" ht="16">
      <c r="B2754" s="67" t="str">
        <f t="shared" si="11"/>
        <v/>
      </c>
      <c r="C2754" s="33"/>
      <c r="D2754" s="33"/>
      <c r="E2754" s="33"/>
      <c r="F2754" s="56"/>
      <c r="G2754" s="33"/>
      <c r="H2754" s="33"/>
      <c r="I2754" s="33"/>
      <c r="J2754" s="57"/>
      <c r="K2754" s="33"/>
      <c r="L2754" s="57"/>
      <c r="M2754" s="58"/>
      <c r="N2754" s="56"/>
      <c r="O2754" s="58"/>
      <c r="P2754" s="62"/>
      <c r="Q2754" s="33"/>
      <c r="R2754" s="33"/>
      <c r="S2754" s="61"/>
      <c r="T2754" s="33"/>
      <c r="U2754" s="62"/>
      <c r="W2754" s="61"/>
      <c r="X2754" s="62"/>
      <c r="AD2754" s="58"/>
      <c r="AG2754" s="58"/>
    </row>
    <row r="2755" spans="2:33" ht="16">
      <c r="B2755" s="67" t="str">
        <f t="shared" si="11"/>
        <v/>
      </c>
      <c r="C2755" s="33"/>
      <c r="D2755" s="33"/>
      <c r="E2755" s="33"/>
      <c r="F2755" s="56"/>
      <c r="G2755" s="33"/>
      <c r="H2755" s="33"/>
      <c r="I2755" s="33"/>
      <c r="J2755" s="57"/>
      <c r="K2755" s="33"/>
      <c r="L2755" s="57"/>
      <c r="M2755" s="58"/>
      <c r="N2755" s="56"/>
      <c r="O2755" s="58"/>
      <c r="P2755" s="62"/>
      <c r="Q2755" s="33"/>
      <c r="R2755" s="33"/>
      <c r="S2755" s="61"/>
      <c r="T2755" s="33"/>
      <c r="U2755" s="62"/>
      <c r="W2755" s="61"/>
      <c r="X2755" s="62"/>
      <c r="AD2755" s="58"/>
      <c r="AG2755" s="58"/>
    </row>
    <row r="2756" spans="2:33" ht="16">
      <c r="B2756" s="67" t="str">
        <f t="shared" si="11"/>
        <v/>
      </c>
      <c r="C2756" s="33"/>
      <c r="D2756" s="33"/>
      <c r="E2756" s="33"/>
      <c r="F2756" s="56"/>
      <c r="G2756" s="33"/>
      <c r="H2756" s="33"/>
      <c r="I2756" s="33"/>
      <c r="J2756" s="57"/>
      <c r="K2756" s="33"/>
      <c r="L2756" s="57"/>
      <c r="M2756" s="64"/>
      <c r="N2756" s="56"/>
      <c r="O2756" s="58"/>
      <c r="P2756" s="62"/>
      <c r="Q2756" s="33"/>
      <c r="R2756" s="33"/>
      <c r="S2756" s="61"/>
      <c r="T2756" s="33"/>
      <c r="U2756" s="62"/>
      <c r="W2756" s="61"/>
      <c r="X2756" s="62"/>
      <c r="AD2756" s="58"/>
      <c r="AG2756" s="58"/>
    </row>
    <row r="2757" spans="2:33" ht="16">
      <c r="B2757" s="67" t="str">
        <f t="shared" si="11"/>
        <v/>
      </c>
      <c r="C2757" s="33"/>
      <c r="D2757" s="33"/>
      <c r="E2757" s="33"/>
      <c r="F2757" s="56"/>
      <c r="G2757" s="33"/>
      <c r="H2757" s="33"/>
      <c r="I2757" s="33"/>
      <c r="J2757" s="57"/>
      <c r="K2757" s="33"/>
      <c r="L2757" s="57"/>
      <c r="M2757" s="64"/>
      <c r="N2757" s="56"/>
      <c r="O2757" s="64"/>
      <c r="P2757" s="62"/>
      <c r="Q2757" s="33"/>
      <c r="R2757" s="33"/>
      <c r="S2757" s="61"/>
      <c r="T2757" s="33"/>
      <c r="U2757" s="62"/>
      <c r="W2757" s="61"/>
      <c r="X2757" s="62"/>
      <c r="AD2757" s="64"/>
      <c r="AG2757" s="58"/>
    </row>
    <row r="2758" spans="2:33" ht="16">
      <c r="B2758" s="67" t="str">
        <f t="shared" si="11"/>
        <v/>
      </c>
      <c r="C2758" s="33"/>
      <c r="D2758" s="33"/>
      <c r="E2758" s="33"/>
      <c r="F2758" s="56"/>
      <c r="G2758" s="33"/>
      <c r="H2758" s="33"/>
      <c r="I2758" s="33"/>
      <c r="J2758" s="57"/>
      <c r="K2758" s="33"/>
      <c r="L2758" s="57"/>
      <c r="M2758" s="58"/>
      <c r="N2758" s="56"/>
      <c r="O2758" s="58"/>
      <c r="P2758" s="62"/>
      <c r="Q2758" s="33"/>
      <c r="R2758" s="33"/>
      <c r="S2758" s="61"/>
      <c r="T2758" s="33"/>
      <c r="U2758" s="62"/>
      <c r="W2758" s="61"/>
      <c r="X2758" s="62"/>
      <c r="AD2758" s="58"/>
      <c r="AG2758" s="58"/>
    </row>
    <row r="2759" spans="2:33" ht="16">
      <c r="B2759" s="67" t="str">
        <f t="shared" si="11"/>
        <v/>
      </c>
      <c r="C2759" s="33"/>
      <c r="D2759" s="33"/>
      <c r="E2759" s="33"/>
      <c r="F2759" s="56"/>
      <c r="G2759" s="33"/>
      <c r="H2759" s="33"/>
      <c r="I2759" s="33"/>
      <c r="J2759" s="57"/>
      <c r="K2759" s="33"/>
      <c r="L2759" s="57"/>
      <c r="M2759" s="64"/>
      <c r="N2759" s="56"/>
      <c r="O2759" s="64"/>
      <c r="P2759" s="62"/>
      <c r="Q2759" s="33"/>
      <c r="R2759" s="33"/>
      <c r="S2759" s="61"/>
      <c r="T2759" s="33"/>
      <c r="U2759" s="62"/>
      <c r="W2759" s="61"/>
      <c r="X2759" s="62"/>
      <c r="AD2759" s="58"/>
      <c r="AG2759" s="58"/>
    </row>
    <row r="2760" spans="2:33" ht="16">
      <c r="B2760" s="67" t="str">
        <f t="shared" si="11"/>
        <v/>
      </c>
      <c r="C2760" s="33"/>
      <c r="D2760" s="33"/>
      <c r="E2760" s="33"/>
      <c r="F2760" s="56"/>
      <c r="G2760" s="33"/>
      <c r="H2760" s="33"/>
      <c r="I2760" s="33"/>
      <c r="J2760" s="57"/>
      <c r="K2760" s="33"/>
      <c r="L2760" s="57"/>
      <c r="M2760" s="64"/>
      <c r="N2760" s="56"/>
      <c r="O2760" s="64"/>
      <c r="P2760" s="62"/>
      <c r="Q2760" s="33"/>
      <c r="R2760" s="33"/>
      <c r="S2760" s="61"/>
      <c r="T2760" s="33"/>
      <c r="U2760" s="62"/>
      <c r="W2760" s="61"/>
      <c r="X2760" s="62"/>
      <c r="AD2760" s="58"/>
      <c r="AG2760" s="58"/>
    </row>
    <row r="2761" spans="2:33" ht="16">
      <c r="B2761" s="67" t="str">
        <f t="shared" si="11"/>
        <v/>
      </c>
      <c r="C2761" s="33"/>
      <c r="D2761" s="33"/>
      <c r="E2761" s="33"/>
      <c r="F2761" s="56"/>
      <c r="G2761" s="33"/>
      <c r="H2761" s="33"/>
      <c r="I2761" s="33"/>
      <c r="J2761" s="57"/>
      <c r="K2761" s="33"/>
      <c r="L2761" s="57"/>
      <c r="M2761" s="64"/>
      <c r="N2761" s="56"/>
      <c r="O2761" s="64"/>
      <c r="P2761" s="62"/>
      <c r="Q2761" s="33"/>
      <c r="R2761" s="33"/>
      <c r="S2761" s="61"/>
      <c r="T2761" s="33"/>
      <c r="U2761" s="62"/>
      <c r="W2761" s="61"/>
      <c r="X2761" s="62"/>
      <c r="AD2761" s="64"/>
      <c r="AG2761" s="58"/>
    </row>
    <row r="2762" spans="2:33" ht="16">
      <c r="B2762" s="67" t="str">
        <f t="shared" si="11"/>
        <v/>
      </c>
      <c r="C2762" s="33"/>
      <c r="D2762" s="33"/>
      <c r="E2762" s="33"/>
      <c r="F2762" s="56"/>
      <c r="G2762" s="33"/>
      <c r="H2762" s="33"/>
      <c r="I2762" s="33"/>
      <c r="J2762" s="57"/>
      <c r="K2762" s="33"/>
      <c r="L2762" s="57"/>
      <c r="M2762" s="64"/>
      <c r="N2762" s="56"/>
      <c r="O2762" s="64"/>
      <c r="P2762" s="62"/>
      <c r="Q2762" s="33"/>
      <c r="R2762" s="33"/>
      <c r="S2762" s="61"/>
      <c r="T2762" s="33"/>
      <c r="U2762" s="62"/>
      <c r="W2762" s="61"/>
      <c r="X2762" s="62"/>
      <c r="AD2762" s="64"/>
      <c r="AG2762" s="58"/>
    </row>
    <row r="2763" spans="2:33" ht="16">
      <c r="B2763" s="67" t="str">
        <f t="shared" si="11"/>
        <v/>
      </c>
      <c r="C2763" s="33"/>
      <c r="D2763" s="33"/>
      <c r="E2763" s="33"/>
      <c r="F2763" s="56"/>
      <c r="G2763" s="33"/>
      <c r="H2763" s="33"/>
      <c r="I2763" s="33"/>
      <c r="J2763" s="57"/>
      <c r="K2763" s="33"/>
      <c r="L2763" s="57"/>
      <c r="M2763" s="64"/>
      <c r="N2763" s="56"/>
      <c r="O2763" s="64"/>
      <c r="P2763" s="62"/>
      <c r="Q2763" s="33"/>
      <c r="R2763" s="33"/>
      <c r="S2763" s="61"/>
      <c r="T2763" s="33"/>
      <c r="U2763" s="62"/>
      <c r="W2763" s="61"/>
      <c r="X2763" s="62"/>
      <c r="AD2763" s="58"/>
      <c r="AG2763" s="58"/>
    </row>
    <row r="2764" spans="2:33" ht="16">
      <c r="B2764" s="67" t="str">
        <f t="shared" si="11"/>
        <v/>
      </c>
      <c r="C2764" s="33"/>
      <c r="D2764" s="33"/>
      <c r="E2764" s="33"/>
      <c r="F2764" s="56"/>
      <c r="G2764" s="33"/>
      <c r="H2764" s="33"/>
      <c r="I2764" s="33"/>
      <c r="J2764" s="57"/>
      <c r="K2764" s="33"/>
      <c r="L2764" s="57"/>
      <c r="M2764" s="64"/>
      <c r="N2764" s="56"/>
      <c r="O2764" s="64"/>
      <c r="P2764" s="62"/>
      <c r="Q2764" s="33"/>
      <c r="R2764" s="33"/>
      <c r="S2764" s="61"/>
      <c r="T2764" s="33"/>
      <c r="U2764" s="62"/>
      <c r="W2764" s="61"/>
      <c r="X2764" s="62"/>
      <c r="AD2764" s="58"/>
      <c r="AG2764" s="58"/>
    </row>
    <row r="2765" spans="2:33" ht="16">
      <c r="B2765" s="67" t="str">
        <f t="shared" si="11"/>
        <v/>
      </c>
      <c r="C2765" s="33"/>
      <c r="D2765" s="33"/>
      <c r="E2765" s="33"/>
      <c r="F2765" s="56"/>
      <c r="G2765" s="33"/>
      <c r="H2765" s="33"/>
      <c r="I2765" s="33"/>
      <c r="J2765" s="57"/>
      <c r="K2765" s="33"/>
      <c r="L2765" s="57"/>
      <c r="M2765" s="64"/>
      <c r="N2765" s="56"/>
      <c r="O2765" s="64"/>
      <c r="P2765" s="62"/>
      <c r="Q2765" s="33"/>
      <c r="R2765" s="33"/>
      <c r="S2765" s="61"/>
      <c r="T2765" s="33"/>
      <c r="U2765" s="62"/>
      <c r="W2765" s="61"/>
      <c r="X2765" s="62"/>
      <c r="AD2765" s="64"/>
      <c r="AG2765" s="64"/>
    </row>
    <row r="2766" spans="2:33" ht="16">
      <c r="B2766" s="67" t="str">
        <f t="shared" si="11"/>
        <v/>
      </c>
      <c r="C2766" s="33"/>
      <c r="D2766" s="33"/>
      <c r="E2766" s="33"/>
      <c r="F2766" s="56"/>
      <c r="G2766" s="33"/>
      <c r="H2766" s="33"/>
      <c r="I2766" s="33"/>
      <c r="J2766" s="57"/>
      <c r="K2766" s="33"/>
      <c r="L2766" s="57"/>
      <c r="M2766" s="58"/>
      <c r="N2766" s="56"/>
      <c r="O2766" s="58"/>
      <c r="P2766" s="62"/>
      <c r="Q2766" s="33"/>
      <c r="R2766" s="33"/>
      <c r="S2766" s="61"/>
      <c r="T2766" s="33"/>
      <c r="U2766" s="62"/>
      <c r="W2766" s="61"/>
      <c r="X2766" s="62"/>
      <c r="AD2766" s="58"/>
      <c r="AG2766" s="64"/>
    </row>
    <row r="2767" spans="2:33" ht="16">
      <c r="B2767" s="67" t="str">
        <f t="shared" si="11"/>
        <v/>
      </c>
      <c r="C2767" s="33"/>
      <c r="D2767" s="33"/>
      <c r="E2767" s="33"/>
      <c r="F2767" s="56"/>
      <c r="G2767" s="33"/>
      <c r="H2767" s="33"/>
      <c r="I2767" s="33"/>
      <c r="J2767" s="57"/>
      <c r="K2767" s="33"/>
      <c r="L2767" s="57"/>
      <c r="M2767" s="64"/>
      <c r="N2767" s="56"/>
      <c r="O2767" s="64"/>
      <c r="P2767" s="62"/>
      <c r="Q2767" s="33"/>
      <c r="R2767" s="33"/>
      <c r="S2767" s="61"/>
      <c r="T2767" s="33"/>
      <c r="U2767" s="62"/>
      <c r="W2767" s="61"/>
      <c r="X2767" s="62"/>
      <c r="AD2767" s="64"/>
      <c r="AG2767" s="58"/>
    </row>
    <row r="2768" spans="2:33" ht="16">
      <c r="B2768" s="67" t="str">
        <f t="shared" si="11"/>
        <v/>
      </c>
      <c r="C2768" s="33"/>
      <c r="D2768" s="33"/>
      <c r="E2768" s="33"/>
      <c r="F2768" s="56"/>
      <c r="G2768" s="33"/>
      <c r="H2768" s="33"/>
      <c r="I2768" s="33"/>
      <c r="J2768" s="57"/>
      <c r="K2768" s="33"/>
      <c r="L2768" s="57"/>
      <c r="M2768" s="64"/>
      <c r="N2768" s="56"/>
      <c r="O2768" s="64"/>
      <c r="P2768" s="62"/>
      <c r="Q2768" s="33"/>
      <c r="R2768" s="33"/>
      <c r="S2768" s="61"/>
      <c r="T2768" s="33"/>
      <c r="U2768" s="62"/>
      <c r="W2768" s="61"/>
      <c r="X2768" s="62"/>
      <c r="AD2768" s="64"/>
    </row>
    <row r="2769" spans="2:33" ht="16">
      <c r="B2769" s="67" t="str">
        <f t="shared" si="11"/>
        <v/>
      </c>
      <c r="C2769" s="33"/>
      <c r="D2769" s="33"/>
      <c r="E2769" s="33"/>
      <c r="F2769" s="56"/>
      <c r="G2769" s="33"/>
      <c r="H2769" s="33"/>
      <c r="I2769" s="33"/>
      <c r="J2769" s="57"/>
      <c r="K2769" s="33"/>
      <c r="L2769" s="57"/>
      <c r="M2769" s="64"/>
      <c r="N2769" s="56"/>
      <c r="O2769" s="64"/>
      <c r="P2769" s="62"/>
      <c r="Q2769" s="33"/>
      <c r="R2769" s="33"/>
      <c r="S2769" s="61"/>
      <c r="T2769" s="33"/>
      <c r="U2769" s="62"/>
      <c r="W2769" s="61"/>
      <c r="X2769" s="62"/>
      <c r="AD2769" s="58"/>
      <c r="AG2769" s="58"/>
    </row>
    <row r="2770" spans="2:33" ht="16">
      <c r="B2770" s="67" t="str">
        <f t="shared" si="11"/>
        <v/>
      </c>
      <c r="C2770" s="33"/>
      <c r="D2770" s="33"/>
      <c r="E2770" s="33"/>
      <c r="F2770" s="56"/>
      <c r="G2770" s="33"/>
      <c r="H2770" s="33"/>
      <c r="I2770" s="33"/>
      <c r="J2770" s="57"/>
      <c r="K2770" s="33"/>
      <c r="L2770" s="57"/>
      <c r="M2770" s="64"/>
      <c r="N2770" s="56"/>
      <c r="O2770" s="64"/>
      <c r="P2770" s="62"/>
      <c r="Q2770" s="33"/>
      <c r="R2770" s="33"/>
      <c r="S2770" s="61"/>
      <c r="T2770" s="33"/>
      <c r="U2770" s="62"/>
      <c r="W2770" s="61"/>
      <c r="X2770" s="62"/>
      <c r="AD2770" s="58"/>
      <c r="AG2770" s="58"/>
    </row>
    <row r="2771" spans="2:33" ht="16">
      <c r="B2771" s="67" t="str">
        <f t="shared" si="11"/>
        <v/>
      </c>
      <c r="C2771" s="33"/>
      <c r="D2771" s="33"/>
      <c r="E2771" s="33"/>
      <c r="F2771" s="56"/>
      <c r="G2771" s="33"/>
      <c r="H2771" s="33"/>
      <c r="I2771" s="33"/>
      <c r="J2771" s="57"/>
      <c r="K2771" s="33"/>
      <c r="L2771" s="57"/>
      <c r="M2771" s="64"/>
      <c r="N2771" s="56"/>
      <c r="O2771" s="64"/>
      <c r="P2771" s="62"/>
      <c r="Q2771" s="33"/>
      <c r="R2771" s="33"/>
      <c r="S2771" s="61"/>
      <c r="T2771" s="33"/>
      <c r="U2771" s="62"/>
      <c r="W2771" s="61"/>
      <c r="X2771" s="62"/>
      <c r="AD2771" s="64"/>
      <c r="AG2771" s="58"/>
    </row>
    <row r="2772" spans="2:33" ht="16">
      <c r="B2772" s="67" t="str">
        <f t="shared" si="11"/>
        <v/>
      </c>
      <c r="C2772" s="33"/>
      <c r="D2772" s="33"/>
      <c r="E2772" s="33"/>
      <c r="F2772" s="56"/>
      <c r="G2772" s="33"/>
      <c r="H2772" s="33"/>
      <c r="I2772" s="33"/>
      <c r="J2772" s="57"/>
      <c r="K2772" s="33"/>
      <c r="L2772" s="57"/>
      <c r="M2772" s="58"/>
      <c r="N2772" s="56"/>
      <c r="O2772" s="58"/>
      <c r="P2772" s="62"/>
      <c r="Q2772" s="33"/>
      <c r="R2772" s="33"/>
      <c r="S2772" s="61"/>
      <c r="T2772" s="33"/>
      <c r="U2772" s="62"/>
      <c r="W2772" s="61"/>
      <c r="AD2772" s="58"/>
      <c r="AG2772" s="58"/>
    </row>
    <row r="2773" spans="2:33" ht="16">
      <c r="B2773" s="67" t="str">
        <f t="shared" si="11"/>
        <v/>
      </c>
      <c r="C2773" s="33"/>
      <c r="D2773" s="33"/>
      <c r="E2773" s="33"/>
      <c r="F2773" s="56"/>
      <c r="G2773" s="33"/>
      <c r="H2773" s="33"/>
      <c r="I2773" s="33"/>
      <c r="J2773" s="57"/>
      <c r="K2773" s="33"/>
      <c r="L2773" s="57"/>
      <c r="M2773" s="64"/>
      <c r="N2773" s="56"/>
      <c r="O2773" s="64"/>
      <c r="P2773" s="62"/>
      <c r="Q2773" s="33"/>
      <c r="R2773" s="33"/>
      <c r="S2773" s="61"/>
      <c r="T2773" s="33"/>
      <c r="U2773" s="62"/>
      <c r="W2773" s="61"/>
      <c r="AD2773" s="58"/>
      <c r="AG2773" s="64"/>
    </row>
    <row r="2774" spans="2:33" ht="16">
      <c r="B2774" s="67" t="str">
        <f t="shared" si="11"/>
        <v/>
      </c>
      <c r="C2774" s="33"/>
      <c r="D2774" s="33"/>
      <c r="E2774" s="33"/>
      <c r="F2774" s="56"/>
      <c r="G2774" s="33"/>
      <c r="H2774" s="33"/>
      <c r="I2774" s="33"/>
      <c r="J2774" s="57"/>
      <c r="K2774" s="33"/>
      <c r="L2774" s="57"/>
      <c r="M2774" s="64"/>
      <c r="N2774" s="56"/>
      <c r="O2774" s="64"/>
      <c r="P2774" s="62"/>
      <c r="Q2774" s="33"/>
      <c r="R2774" s="33"/>
      <c r="S2774" s="61"/>
      <c r="T2774" s="33"/>
      <c r="U2774" s="62"/>
      <c r="W2774" s="61"/>
      <c r="X2774" s="62"/>
      <c r="AD2774" s="58"/>
      <c r="AG2774" s="64"/>
    </row>
    <row r="2775" spans="2:33" ht="16">
      <c r="B2775" s="67" t="str">
        <f t="shared" si="11"/>
        <v/>
      </c>
      <c r="C2775" s="33"/>
      <c r="D2775" s="33"/>
      <c r="E2775" s="33"/>
      <c r="F2775" s="56"/>
      <c r="G2775" s="33"/>
      <c r="H2775" s="33"/>
      <c r="I2775" s="33"/>
      <c r="J2775" s="57"/>
      <c r="K2775" s="33"/>
      <c r="L2775" s="57"/>
      <c r="M2775" s="64"/>
      <c r="N2775" s="56"/>
      <c r="O2775" s="64"/>
      <c r="P2775" s="62"/>
      <c r="Q2775" s="33"/>
      <c r="R2775" s="33"/>
      <c r="S2775" s="61"/>
      <c r="T2775" s="33"/>
      <c r="U2775" s="62"/>
      <c r="W2775" s="61"/>
      <c r="X2775" s="62"/>
      <c r="AD2775" s="64"/>
      <c r="AG2775" s="64"/>
    </row>
    <row r="2776" spans="2:33" ht="16">
      <c r="B2776" s="67" t="str">
        <f t="shared" si="11"/>
        <v/>
      </c>
      <c r="C2776" s="33"/>
      <c r="D2776" s="33"/>
      <c r="E2776" s="33"/>
      <c r="F2776" s="56"/>
      <c r="G2776" s="33"/>
      <c r="H2776" s="33"/>
      <c r="I2776" s="33"/>
      <c r="J2776" s="57"/>
      <c r="K2776" s="33"/>
      <c r="L2776" s="57"/>
      <c r="M2776" s="64"/>
      <c r="N2776" s="56"/>
      <c r="O2776" s="64"/>
      <c r="P2776" s="62"/>
      <c r="Q2776" s="33"/>
      <c r="R2776" s="33"/>
      <c r="S2776" s="61"/>
      <c r="T2776" s="33"/>
      <c r="U2776" s="62"/>
      <c r="W2776" s="61"/>
      <c r="AD2776" s="58"/>
      <c r="AG2776" s="64"/>
    </row>
    <row r="2777" spans="2:33" ht="16">
      <c r="B2777" s="67" t="str">
        <f t="shared" si="11"/>
        <v/>
      </c>
      <c r="C2777" s="33"/>
      <c r="D2777" s="33"/>
      <c r="E2777" s="33"/>
      <c r="F2777" s="56"/>
      <c r="G2777" s="33"/>
      <c r="H2777" s="33"/>
      <c r="I2777" s="33"/>
      <c r="J2777" s="57"/>
      <c r="K2777" s="33"/>
      <c r="L2777" s="57"/>
      <c r="M2777" s="64"/>
      <c r="N2777" s="56"/>
      <c r="O2777" s="64"/>
      <c r="P2777" s="62"/>
      <c r="Q2777" s="33"/>
      <c r="R2777" s="33"/>
      <c r="S2777" s="61"/>
      <c r="T2777" s="33"/>
      <c r="U2777" s="62"/>
      <c r="W2777" s="61"/>
      <c r="AD2777" s="64"/>
      <c r="AG2777" s="64"/>
    </row>
    <row r="2778" spans="2:33" ht="16">
      <c r="B2778" s="67" t="str">
        <f t="shared" si="11"/>
        <v/>
      </c>
      <c r="C2778" s="33"/>
      <c r="D2778" s="33"/>
      <c r="E2778" s="33"/>
      <c r="F2778" s="56"/>
      <c r="G2778" s="33"/>
      <c r="H2778" s="33"/>
      <c r="I2778" s="33"/>
      <c r="J2778" s="57"/>
      <c r="K2778" s="33"/>
      <c r="L2778" s="57"/>
      <c r="M2778" s="64"/>
      <c r="N2778" s="56"/>
      <c r="O2778" s="64"/>
      <c r="P2778" s="62"/>
      <c r="Q2778" s="33"/>
      <c r="R2778" s="33"/>
      <c r="S2778" s="61"/>
      <c r="T2778" s="33"/>
      <c r="U2778" s="62"/>
      <c r="W2778" s="61"/>
      <c r="X2778" s="62"/>
      <c r="AD2778" s="58"/>
      <c r="AG2778" s="64"/>
    </row>
    <row r="2779" spans="2:33" ht="16">
      <c r="B2779" s="67" t="str">
        <f t="shared" si="11"/>
        <v/>
      </c>
      <c r="C2779" s="33"/>
      <c r="D2779" s="33"/>
      <c r="E2779" s="33"/>
      <c r="F2779" s="56"/>
      <c r="G2779" s="33"/>
      <c r="H2779" s="33"/>
      <c r="I2779" s="33"/>
      <c r="J2779" s="57"/>
      <c r="K2779" s="33"/>
      <c r="L2779" s="57"/>
      <c r="M2779" s="58"/>
      <c r="N2779" s="56"/>
      <c r="O2779" s="64"/>
      <c r="P2779" s="62"/>
      <c r="Q2779" s="33"/>
      <c r="R2779" s="33"/>
      <c r="S2779" s="61"/>
      <c r="T2779" s="33"/>
      <c r="U2779" s="62"/>
      <c r="W2779" s="61"/>
      <c r="X2779" s="62"/>
      <c r="AD2779" s="58"/>
      <c r="AG2779" s="58"/>
    </row>
    <row r="2780" spans="2:33" ht="16">
      <c r="B2780" s="67" t="str">
        <f t="shared" si="11"/>
        <v/>
      </c>
      <c r="C2780" s="33"/>
      <c r="D2780" s="33"/>
      <c r="E2780" s="33"/>
      <c r="F2780" s="56"/>
      <c r="G2780" s="33"/>
      <c r="H2780" s="33"/>
      <c r="I2780" s="33"/>
      <c r="J2780" s="57"/>
      <c r="K2780" s="33"/>
      <c r="L2780" s="57"/>
      <c r="M2780" s="64"/>
      <c r="N2780" s="56"/>
      <c r="O2780" s="64"/>
      <c r="P2780" s="62"/>
      <c r="Q2780" s="33"/>
      <c r="R2780" s="33"/>
      <c r="S2780" s="61"/>
      <c r="T2780" s="33"/>
      <c r="U2780" s="62"/>
      <c r="W2780" s="61"/>
      <c r="X2780" s="62"/>
      <c r="AD2780" s="64"/>
      <c r="AG2780" s="58"/>
    </row>
    <row r="2781" spans="2:33" ht="16">
      <c r="B2781" s="67" t="str">
        <f t="shared" si="11"/>
        <v/>
      </c>
      <c r="C2781" s="33"/>
      <c r="D2781" s="33"/>
      <c r="E2781" s="33"/>
      <c r="F2781" s="56"/>
      <c r="G2781" s="33"/>
      <c r="H2781" s="33"/>
      <c r="I2781" s="33"/>
      <c r="J2781" s="57"/>
      <c r="K2781" s="33"/>
      <c r="L2781" s="57"/>
      <c r="M2781" s="64"/>
      <c r="N2781" s="56"/>
      <c r="O2781" s="64"/>
      <c r="P2781" s="62"/>
      <c r="Q2781" s="33"/>
      <c r="R2781" s="33"/>
      <c r="S2781" s="61"/>
      <c r="T2781" s="33"/>
      <c r="U2781" s="62"/>
      <c r="W2781" s="61"/>
      <c r="AD2781" s="64"/>
      <c r="AG2781" s="64"/>
    </row>
    <row r="2782" spans="2:33" ht="16">
      <c r="B2782" s="67" t="str">
        <f t="shared" si="11"/>
        <v/>
      </c>
      <c r="C2782" s="33"/>
      <c r="D2782" s="33"/>
      <c r="E2782" s="33"/>
      <c r="F2782" s="56"/>
      <c r="G2782" s="33"/>
      <c r="H2782" s="33"/>
      <c r="I2782" s="33"/>
      <c r="J2782" s="57"/>
      <c r="K2782" s="33"/>
      <c r="L2782" s="57"/>
      <c r="M2782" s="64"/>
      <c r="N2782" s="56"/>
      <c r="O2782" s="64"/>
      <c r="P2782" s="62"/>
      <c r="Q2782" s="33"/>
      <c r="R2782" s="33"/>
      <c r="S2782" s="61"/>
      <c r="T2782" s="33"/>
      <c r="U2782" s="62"/>
      <c r="W2782" s="61"/>
      <c r="X2782" s="62"/>
      <c r="AD2782" s="64"/>
      <c r="AG2782" s="64"/>
    </row>
    <row r="2783" spans="2:33" ht="16">
      <c r="B2783" s="67" t="str">
        <f t="shared" si="11"/>
        <v/>
      </c>
      <c r="C2783" s="33"/>
      <c r="D2783" s="33"/>
      <c r="E2783" s="33"/>
      <c r="F2783" s="56"/>
      <c r="G2783" s="33"/>
      <c r="H2783" s="33"/>
      <c r="I2783" s="33"/>
      <c r="J2783" s="57"/>
      <c r="K2783" s="33"/>
      <c r="L2783" s="57"/>
      <c r="M2783" s="64"/>
      <c r="N2783" s="56"/>
      <c r="O2783" s="64"/>
      <c r="P2783" s="62"/>
      <c r="Q2783" s="33"/>
      <c r="R2783" s="33"/>
      <c r="S2783" s="61"/>
      <c r="T2783" s="33"/>
      <c r="U2783" s="62"/>
      <c r="W2783" s="61"/>
      <c r="X2783" s="62"/>
      <c r="AD2783" s="64"/>
      <c r="AG2783" s="64"/>
    </row>
    <row r="2784" spans="2:33" ht="16">
      <c r="B2784" s="67" t="str">
        <f t="shared" si="11"/>
        <v/>
      </c>
      <c r="C2784" s="33"/>
      <c r="D2784" s="33"/>
      <c r="E2784" s="33"/>
      <c r="F2784" s="56"/>
      <c r="G2784" s="33"/>
      <c r="H2784" s="33"/>
      <c r="I2784" s="33"/>
      <c r="J2784" s="57"/>
      <c r="K2784" s="33"/>
      <c r="L2784" s="57"/>
      <c r="M2784" s="58"/>
      <c r="N2784" s="56"/>
      <c r="O2784" s="64"/>
      <c r="P2784" s="62"/>
      <c r="Q2784" s="33"/>
      <c r="R2784" s="33"/>
      <c r="S2784" s="61"/>
      <c r="T2784" s="33"/>
      <c r="U2784" s="62"/>
      <c r="W2784" s="61"/>
      <c r="AD2784" s="58"/>
      <c r="AG2784" s="64"/>
    </row>
    <row r="2785" spans="2:33" ht="16">
      <c r="B2785" s="67" t="str">
        <f t="shared" si="11"/>
        <v/>
      </c>
      <c r="C2785" s="33"/>
      <c r="D2785" s="33"/>
      <c r="E2785" s="33"/>
      <c r="F2785" s="56"/>
      <c r="G2785" s="33"/>
      <c r="H2785" s="33"/>
      <c r="I2785" s="33"/>
      <c r="J2785" s="57"/>
      <c r="K2785" s="33"/>
      <c r="L2785" s="57"/>
      <c r="M2785" s="64"/>
      <c r="N2785" s="56"/>
      <c r="O2785" s="64"/>
      <c r="P2785" s="62"/>
      <c r="Q2785" s="33"/>
      <c r="R2785" s="33"/>
      <c r="S2785" s="61"/>
      <c r="T2785" s="33"/>
      <c r="U2785" s="62"/>
      <c r="W2785" s="61"/>
      <c r="X2785" s="62"/>
      <c r="AD2785" s="58"/>
      <c r="AG2785" s="64"/>
    </row>
    <row r="2786" spans="2:33" ht="16">
      <c r="B2786" s="67" t="str">
        <f t="shared" si="11"/>
        <v/>
      </c>
      <c r="C2786" s="33"/>
      <c r="D2786" s="33"/>
      <c r="E2786" s="33"/>
      <c r="F2786" s="56"/>
      <c r="G2786" s="33"/>
      <c r="H2786" s="33"/>
      <c r="I2786" s="33"/>
      <c r="J2786" s="57"/>
      <c r="K2786" s="33"/>
      <c r="L2786" s="57"/>
      <c r="M2786" s="58"/>
      <c r="N2786" s="56"/>
      <c r="O2786" s="58"/>
      <c r="P2786" s="62"/>
      <c r="Q2786" s="33"/>
      <c r="R2786" s="33"/>
      <c r="S2786" s="61"/>
      <c r="T2786" s="33"/>
      <c r="U2786" s="62"/>
      <c r="W2786" s="61"/>
      <c r="X2786" s="62"/>
      <c r="AD2786" s="58"/>
      <c r="AG2786" s="64"/>
    </row>
    <row r="2787" spans="2:33" ht="16">
      <c r="B2787" s="67" t="str">
        <f t="shared" si="11"/>
        <v/>
      </c>
      <c r="C2787" s="33"/>
      <c r="D2787" s="33"/>
      <c r="E2787" s="33"/>
      <c r="F2787" s="56"/>
      <c r="G2787" s="33"/>
      <c r="H2787" s="33"/>
      <c r="I2787" s="33"/>
      <c r="J2787" s="57"/>
      <c r="K2787" s="33"/>
      <c r="L2787" s="57"/>
      <c r="M2787" s="64"/>
      <c r="N2787" s="56"/>
      <c r="O2787" s="64"/>
      <c r="P2787" s="62"/>
      <c r="Q2787" s="33"/>
      <c r="R2787" s="33"/>
      <c r="S2787" s="61"/>
      <c r="T2787" s="33"/>
      <c r="U2787" s="62"/>
      <c r="W2787" s="61"/>
      <c r="X2787" s="62"/>
      <c r="AD2787" s="64"/>
      <c r="AG2787" s="64"/>
    </row>
    <row r="2788" spans="2:33" ht="16">
      <c r="B2788" s="67" t="str">
        <f t="shared" si="11"/>
        <v/>
      </c>
      <c r="C2788" s="33"/>
      <c r="D2788" s="33"/>
      <c r="E2788" s="33"/>
      <c r="F2788" s="56"/>
      <c r="G2788" s="33"/>
      <c r="H2788" s="33"/>
      <c r="I2788" s="33"/>
      <c r="J2788" s="57"/>
      <c r="K2788" s="33"/>
      <c r="L2788" s="57"/>
      <c r="M2788" s="58"/>
      <c r="N2788" s="56"/>
      <c r="O2788" s="58"/>
      <c r="P2788" s="62"/>
      <c r="Q2788" s="33"/>
      <c r="R2788" s="33"/>
      <c r="S2788" s="61"/>
      <c r="T2788" s="33"/>
      <c r="U2788" s="62"/>
      <c r="W2788" s="61"/>
      <c r="X2788" s="62"/>
      <c r="AD2788" s="58"/>
      <c r="AG2788" s="64"/>
    </row>
    <row r="2789" spans="2:33" ht="16">
      <c r="B2789" s="67" t="str">
        <f t="shared" si="11"/>
        <v/>
      </c>
      <c r="C2789" s="33"/>
      <c r="D2789" s="33"/>
      <c r="E2789" s="33"/>
      <c r="F2789" s="56"/>
      <c r="G2789" s="33"/>
      <c r="H2789" s="33"/>
      <c r="I2789" s="33"/>
      <c r="J2789" s="57"/>
      <c r="K2789" s="33"/>
      <c r="L2789" s="57"/>
      <c r="M2789" s="64"/>
      <c r="N2789" s="56"/>
      <c r="O2789" s="64"/>
      <c r="P2789" s="62"/>
      <c r="Q2789" s="33"/>
      <c r="R2789" s="33"/>
      <c r="S2789" s="61"/>
      <c r="T2789" s="33"/>
      <c r="U2789" s="62"/>
      <c r="W2789" s="61"/>
      <c r="X2789" s="62"/>
      <c r="AD2789" s="64"/>
      <c r="AG2789" s="58"/>
    </row>
    <row r="2790" spans="2:33" ht="16">
      <c r="B2790" s="67" t="str">
        <f t="shared" si="11"/>
        <v/>
      </c>
      <c r="C2790" s="33"/>
      <c r="D2790" s="33"/>
      <c r="E2790" s="33"/>
      <c r="F2790" s="56"/>
      <c r="G2790" s="33"/>
      <c r="H2790" s="33"/>
      <c r="I2790" s="33"/>
      <c r="J2790" s="57"/>
      <c r="K2790" s="33"/>
      <c r="L2790" s="57"/>
      <c r="M2790" s="58"/>
      <c r="N2790" s="56"/>
      <c r="O2790" s="58"/>
      <c r="P2790" s="62"/>
      <c r="Q2790" s="33"/>
      <c r="R2790" s="33"/>
      <c r="S2790" s="61"/>
      <c r="T2790" s="33"/>
      <c r="U2790" s="62"/>
      <c r="W2790" s="61"/>
      <c r="X2790" s="62"/>
      <c r="AD2790" s="58"/>
      <c r="AG2790" s="64"/>
    </row>
    <row r="2791" spans="2:33" ht="16">
      <c r="B2791" s="67" t="str">
        <f t="shared" si="11"/>
        <v/>
      </c>
      <c r="C2791" s="33"/>
      <c r="D2791" s="33"/>
      <c r="E2791" s="33"/>
      <c r="F2791" s="56"/>
      <c r="G2791" s="33"/>
      <c r="H2791" s="33"/>
      <c r="I2791" s="33"/>
      <c r="J2791" s="57"/>
      <c r="K2791" s="33"/>
      <c r="L2791" s="57"/>
      <c r="M2791" s="58"/>
      <c r="N2791" s="56"/>
      <c r="O2791" s="58"/>
      <c r="P2791" s="62"/>
      <c r="Q2791" s="33"/>
      <c r="R2791" s="33"/>
      <c r="S2791" s="61"/>
      <c r="T2791" s="33"/>
      <c r="U2791" s="62"/>
      <c r="W2791" s="61"/>
      <c r="X2791" s="62"/>
      <c r="AD2791" s="58"/>
      <c r="AG2791" s="58"/>
    </row>
    <row r="2792" spans="2:33" ht="16">
      <c r="B2792" s="67" t="str">
        <f t="shared" si="11"/>
        <v/>
      </c>
      <c r="C2792" s="33"/>
      <c r="D2792" s="33"/>
      <c r="E2792" s="33"/>
      <c r="F2792" s="56"/>
      <c r="G2792" s="33"/>
      <c r="H2792" s="33"/>
      <c r="I2792" s="33"/>
      <c r="J2792" s="57"/>
      <c r="K2792" s="33"/>
      <c r="L2792" s="57"/>
      <c r="M2792" s="58"/>
      <c r="N2792" s="56"/>
      <c r="O2792" s="64"/>
      <c r="P2792" s="62"/>
      <c r="Q2792" s="33"/>
      <c r="R2792" s="33"/>
      <c r="S2792" s="61"/>
      <c r="T2792" s="33"/>
      <c r="U2792" s="62"/>
      <c r="W2792" s="61"/>
      <c r="X2792" s="62"/>
      <c r="AD2792" s="58"/>
      <c r="AG2792" s="64"/>
    </row>
    <row r="2793" spans="2:33" ht="16">
      <c r="B2793" s="67" t="str">
        <f t="shared" si="11"/>
        <v/>
      </c>
      <c r="C2793" s="33"/>
      <c r="D2793" s="33"/>
      <c r="E2793" s="33"/>
      <c r="F2793" s="56"/>
      <c r="G2793" s="33"/>
      <c r="H2793" s="33"/>
      <c r="I2793" s="33"/>
      <c r="J2793" s="57"/>
      <c r="K2793" s="33"/>
      <c r="L2793" s="57"/>
      <c r="M2793" s="58"/>
      <c r="N2793" s="56"/>
      <c r="O2793" s="64"/>
      <c r="P2793" s="62"/>
      <c r="Q2793" s="33"/>
      <c r="R2793" s="33"/>
      <c r="S2793" s="61"/>
      <c r="T2793" s="33"/>
      <c r="U2793" s="62"/>
      <c r="W2793" s="61"/>
      <c r="X2793" s="62"/>
      <c r="AD2793" s="58"/>
      <c r="AG2793" s="64"/>
    </row>
    <row r="2794" spans="2:33" ht="16">
      <c r="B2794" s="67" t="str">
        <f t="shared" si="11"/>
        <v/>
      </c>
      <c r="C2794" s="33"/>
      <c r="D2794" s="33"/>
      <c r="E2794" s="33"/>
      <c r="F2794" s="56"/>
      <c r="G2794" s="33"/>
      <c r="H2794" s="33"/>
      <c r="I2794" s="33"/>
      <c r="J2794" s="57"/>
      <c r="K2794" s="33"/>
      <c r="L2794" s="57"/>
      <c r="M2794" s="64"/>
      <c r="N2794" s="56"/>
      <c r="O2794" s="58"/>
      <c r="P2794" s="62"/>
      <c r="Q2794" s="33"/>
      <c r="R2794" s="33"/>
      <c r="S2794" s="61"/>
      <c r="T2794" s="33"/>
      <c r="U2794" s="62"/>
      <c r="W2794" s="61"/>
      <c r="X2794" s="62"/>
      <c r="AD2794" s="58"/>
      <c r="AG2794" s="58"/>
    </row>
    <row r="2795" spans="2:33" ht="16">
      <c r="B2795" s="67" t="str">
        <f t="shared" si="11"/>
        <v/>
      </c>
      <c r="C2795" s="33"/>
      <c r="D2795" s="33"/>
      <c r="E2795" s="33"/>
      <c r="F2795" s="56"/>
      <c r="G2795" s="33"/>
      <c r="H2795" s="33"/>
      <c r="I2795" s="33"/>
      <c r="J2795" s="57"/>
      <c r="K2795" s="33"/>
      <c r="L2795" s="57"/>
      <c r="M2795" s="64"/>
      <c r="N2795" s="56"/>
      <c r="O2795" s="64"/>
      <c r="P2795" s="62"/>
      <c r="Q2795" s="33"/>
      <c r="R2795" s="33"/>
      <c r="S2795" s="61"/>
      <c r="T2795" s="33"/>
      <c r="U2795" s="62"/>
      <c r="W2795" s="61"/>
      <c r="X2795" s="62"/>
      <c r="AD2795" s="58"/>
      <c r="AG2795" s="64"/>
    </row>
    <row r="2796" spans="2:33" ht="16">
      <c r="B2796" s="67" t="str">
        <f t="shared" si="11"/>
        <v/>
      </c>
      <c r="C2796" s="33"/>
      <c r="D2796" s="33"/>
      <c r="E2796" s="33"/>
      <c r="F2796" s="56"/>
      <c r="G2796" s="33"/>
      <c r="H2796" s="33"/>
      <c r="I2796" s="33"/>
      <c r="J2796" s="57"/>
      <c r="K2796" s="33"/>
      <c r="L2796" s="57"/>
      <c r="M2796" s="58"/>
      <c r="N2796" s="56"/>
      <c r="O2796" s="64"/>
      <c r="P2796" s="62"/>
      <c r="Q2796" s="33"/>
      <c r="R2796" s="33"/>
      <c r="S2796" s="61"/>
      <c r="T2796" s="33"/>
      <c r="U2796" s="62"/>
      <c r="W2796" s="61"/>
      <c r="X2796" s="62"/>
      <c r="AD2796" s="58"/>
      <c r="AG2796" s="64"/>
    </row>
    <row r="2797" spans="2:33" ht="16">
      <c r="B2797" s="67" t="str">
        <f t="shared" si="11"/>
        <v/>
      </c>
      <c r="C2797" s="33"/>
      <c r="D2797" s="33"/>
      <c r="E2797" s="33"/>
      <c r="F2797" s="56"/>
      <c r="G2797" s="33"/>
      <c r="H2797" s="33"/>
      <c r="I2797" s="33"/>
      <c r="J2797" s="57"/>
      <c r="K2797" s="33"/>
      <c r="L2797" s="57"/>
      <c r="M2797" s="58"/>
      <c r="N2797" s="56"/>
      <c r="O2797" s="64"/>
      <c r="P2797" s="62"/>
      <c r="Q2797" s="33"/>
      <c r="R2797" s="33"/>
      <c r="S2797" s="61"/>
      <c r="T2797" s="33"/>
      <c r="U2797" s="62"/>
      <c r="W2797" s="61"/>
      <c r="X2797" s="62"/>
      <c r="AD2797" s="58"/>
      <c r="AG2797" s="64"/>
    </row>
    <row r="2798" spans="2:33" ht="16">
      <c r="B2798" s="67" t="str">
        <f t="shared" si="11"/>
        <v/>
      </c>
      <c r="C2798" s="33"/>
      <c r="D2798" s="33"/>
      <c r="E2798" s="33"/>
      <c r="F2798" s="56"/>
      <c r="G2798" s="33"/>
      <c r="H2798" s="33"/>
      <c r="I2798" s="33"/>
      <c r="J2798" s="57"/>
      <c r="K2798" s="33"/>
      <c r="L2798" s="57"/>
      <c r="M2798" s="64"/>
      <c r="N2798" s="56"/>
      <c r="O2798" s="64"/>
      <c r="P2798" s="62"/>
      <c r="Q2798" s="33"/>
      <c r="R2798" s="33"/>
      <c r="S2798" s="61"/>
      <c r="T2798" s="33"/>
      <c r="U2798" s="62"/>
      <c r="W2798" s="61"/>
      <c r="X2798" s="62"/>
      <c r="AD2798" s="64"/>
      <c r="AG2798" s="64"/>
    </row>
    <row r="2799" spans="2:33" ht="16">
      <c r="B2799" s="67" t="str">
        <f t="shared" si="11"/>
        <v/>
      </c>
      <c r="C2799" s="33"/>
      <c r="D2799" s="33"/>
      <c r="E2799" s="33"/>
      <c r="F2799" s="56"/>
      <c r="G2799" s="33"/>
      <c r="H2799" s="33"/>
      <c r="I2799" s="33"/>
      <c r="J2799" s="57"/>
      <c r="K2799" s="33"/>
      <c r="L2799" s="57"/>
      <c r="M2799" s="64"/>
      <c r="N2799" s="56"/>
      <c r="O2799" s="64"/>
      <c r="P2799" s="62"/>
      <c r="Q2799" s="33"/>
      <c r="R2799" s="33"/>
      <c r="S2799" s="61"/>
      <c r="T2799" s="33"/>
      <c r="U2799" s="62"/>
      <c r="W2799" s="61"/>
      <c r="X2799" s="62"/>
      <c r="AD2799" s="58"/>
      <c r="AG2799" s="64"/>
    </row>
    <row r="2800" spans="2:33" ht="16">
      <c r="B2800" s="67" t="str">
        <f t="shared" si="11"/>
        <v/>
      </c>
      <c r="C2800" s="33"/>
      <c r="D2800" s="33"/>
      <c r="E2800" s="33"/>
      <c r="F2800" s="56"/>
      <c r="G2800" s="33"/>
      <c r="H2800" s="33"/>
      <c r="I2800" s="33"/>
      <c r="J2800" s="57"/>
      <c r="K2800" s="33"/>
      <c r="L2800" s="57"/>
      <c r="M2800" s="64"/>
      <c r="N2800" s="56"/>
      <c r="O2800" s="64"/>
      <c r="P2800" s="62"/>
      <c r="Q2800" s="33"/>
      <c r="R2800" s="33"/>
      <c r="S2800" s="61"/>
      <c r="T2800" s="33"/>
      <c r="U2800" s="62"/>
      <c r="W2800" s="61"/>
      <c r="AD2800" s="58"/>
      <c r="AG2800" s="58"/>
    </row>
    <row r="2801" spans="2:33" ht="16">
      <c r="B2801" s="67" t="str">
        <f t="shared" si="11"/>
        <v/>
      </c>
      <c r="C2801" s="33"/>
      <c r="D2801" s="33"/>
      <c r="E2801" s="33"/>
      <c r="F2801" s="56"/>
      <c r="G2801" s="33"/>
      <c r="H2801" s="33"/>
      <c r="I2801" s="33"/>
      <c r="J2801" s="57"/>
      <c r="K2801" s="33"/>
      <c r="L2801" s="57"/>
      <c r="M2801" s="58"/>
      <c r="N2801" s="56"/>
      <c r="O2801" s="58"/>
      <c r="P2801" s="62"/>
      <c r="Q2801" s="33"/>
      <c r="R2801" s="33"/>
      <c r="S2801" s="61"/>
      <c r="T2801" s="33"/>
      <c r="U2801" s="62"/>
      <c r="W2801" s="61"/>
      <c r="X2801" s="62"/>
      <c r="AD2801" s="58"/>
      <c r="AG2801" s="64"/>
    </row>
    <row r="2802" spans="2:33" ht="16">
      <c r="B2802" s="67" t="str">
        <f t="shared" si="11"/>
        <v/>
      </c>
      <c r="C2802" s="33"/>
      <c r="D2802" s="33"/>
      <c r="E2802" s="33"/>
      <c r="F2802" s="56"/>
      <c r="G2802" s="33"/>
      <c r="H2802" s="33"/>
      <c r="I2802" s="33"/>
      <c r="J2802" s="57"/>
      <c r="K2802" s="33"/>
      <c r="L2802" s="57"/>
      <c r="M2802" s="64"/>
      <c r="N2802" s="56"/>
      <c r="O2802" s="64"/>
      <c r="P2802" s="62"/>
      <c r="Q2802" s="33"/>
      <c r="R2802" s="33"/>
      <c r="S2802" s="61"/>
      <c r="T2802" s="33"/>
      <c r="U2802" s="62"/>
      <c r="W2802" s="61"/>
      <c r="AD2802" s="64"/>
      <c r="AG2802" s="64"/>
    </row>
    <row r="2803" spans="2:33" ht="16">
      <c r="B2803" s="67" t="str">
        <f t="shared" si="11"/>
        <v/>
      </c>
      <c r="C2803" s="33"/>
      <c r="D2803" s="33"/>
      <c r="E2803" s="33"/>
      <c r="F2803" s="56"/>
      <c r="G2803" s="33"/>
      <c r="H2803" s="33"/>
      <c r="I2803" s="33"/>
      <c r="J2803" s="57"/>
      <c r="K2803" s="33"/>
      <c r="L2803" s="57"/>
      <c r="M2803" s="64"/>
      <c r="N2803" s="56"/>
      <c r="O2803" s="64"/>
      <c r="P2803" s="62"/>
      <c r="Q2803" s="33"/>
      <c r="R2803" s="33"/>
      <c r="S2803" s="61"/>
      <c r="T2803" s="33"/>
      <c r="U2803" s="62"/>
      <c r="W2803" s="61"/>
      <c r="AD2803" s="58"/>
      <c r="AG2803" s="64"/>
    </row>
    <row r="2804" spans="2:33" ht="16">
      <c r="B2804" s="67" t="str">
        <f t="shared" si="11"/>
        <v/>
      </c>
      <c r="C2804" s="33"/>
      <c r="D2804" s="33"/>
      <c r="E2804" s="33"/>
      <c r="F2804" s="56"/>
      <c r="G2804" s="33"/>
      <c r="H2804" s="33"/>
      <c r="I2804" s="33"/>
      <c r="J2804" s="57"/>
      <c r="K2804" s="33"/>
      <c r="L2804" s="57"/>
      <c r="M2804" s="64"/>
      <c r="N2804" s="56"/>
      <c r="O2804" s="58"/>
      <c r="P2804" s="62"/>
      <c r="Q2804" s="33"/>
      <c r="R2804" s="33"/>
      <c r="S2804" s="61"/>
      <c r="T2804" s="33"/>
      <c r="U2804" s="62"/>
      <c r="W2804" s="61"/>
      <c r="AD2804" s="58"/>
      <c r="AG2804" s="58"/>
    </row>
    <row r="2805" spans="2:33" ht="16">
      <c r="B2805" s="67" t="str">
        <f t="shared" si="11"/>
        <v/>
      </c>
      <c r="C2805" s="33"/>
      <c r="D2805" s="33"/>
      <c r="E2805" s="33"/>
      <c r="F2805" s="56"/>
      <c r="G2805" s="33"/>
      <c r="H2805" s="33"/>
      <c r="I2805" s="33"/>
      <c r="J2805" s="57"/>
      <c r="K2805" s="33"/>
      <c r="L2805" s="57"/>
      <c r="M2805" s="64"/>
      <c r="N2805" s="56"/>
      <c r="O2805" s="64"/>
      <c r="P2805" s="62"/>
      <c r="Q2805" s="33"/>
      <c r="R2805" s="33"/>
      <c r="S2805" s="61"/>
      <c r="T2805" s="33"/>
      <c r="U2805" s="62"/>
      <c r="W2805" s="61"/>
      <c r="AD2805" s="64"/>
      <c r="AG2805" s="58"/>
    </row>
    <row r="2806" spans="2:33" ht="16">
      <c r="B2806" s="67" t="str">
        <f t="shared" si="11"/>
        <v/>
      </c>
      <c r="C2806" s="33"/>
      <c r="D2806" s="33"/>
      <c r="E2806" s="33"/>
      <c r="F2806" s="56"/>
      <c r="G2806" s="33"/>
      <c r="H2806" s="33"/>
      <c r="I2806" s="33"/>
      <c r="J2806" s="57"/>
      <c r="K2806" s="33"/>
      <c r="L2806" s="57"/>
      <c r="M2806" s="64"/>
      <c r="N2806" s="56"/>
      <c r="O2806" s="64"/>
      <c r="P2806" s="62"/>
      <c r="Q2806" s="33"/>
      <c r="R2806" s="33"/>
      <c r="S2806" s="61"/>
      <c r="T2806" s="33"/>
      <c r="U2806" s="62"/>
      <c r="W2806" s="61"/>
      <c r="AD2806" s="64"/>
    </row>
    <row r="2807" spans="2:33" ht="16">
      <c r="B2807" s="67" t="str">
        <f t="shared" si="11"/>
        <v/>
      </c>
      <c r="C2807" s="33"/>
      <c r="D2807" s="33"/>
      <c r="E2807" s="33"/>
      <c r="F2807" s="56"/>
      <c r="G2807" s="33"/>
      <c r="H2807" s="33"/>
      <c r="I2807" s="33"/>
      <c r="J2807" s="57"/>
      <c r="K2807" s="33"/>
      <c r="L2807" s="57"/>
      <c r="M2807" s="58"/>
      <c r="N2807" s="56"/>
      <c r="O2807" s="58"/>
      <c r="P2807" s="62"/>
      <c r="Q2807" s="33"/>
      <c r="R2807" s="33"/>
      <c r="S2807" s="61"/>
      <c r="T2807" s="33"/>
      <c r="U2807" s="62"/>
      <c r="W2807" s="61"/>
      <c r="AD2807" s="64"/>
    </row>
    <row r="2808" spans="2:33" ht="16">
      <c r="B2808" s="67" t="str">
        <f t="shared" si="11"/>
        <v/>
      </c>
      <c r="C2808" s="33"/>
      <c r="D2808" s="33"/>
      <c r="E2808" s="33"/>
      <c r="F2808" s="56"/>
      <c r="G2808" s="33"/>
      <c r="H2808" s="33"/>
      <c r="I2808" s="33"/>
      <c r="J2808" s="57"/>
      <c r="K2808" s="33"/>
      <c r="L2808" s="57"/>
      <c r="M2808" s="58"/>
      <c r="N2808" s="56"/>
      <c r="O2808" s="58"/>
      <c r="P2808" s="62"/>
      <c r="Q2808" s="33"/>
      <c r="R2808" s="33"/>
      <c r="S2808" s="61"/>
      <c r="T2808" s="33"/>
      <c r="U2808" s="62"/>
      <c r="W2808" s="61"/>
      <c r="AD2808" s="58"/>
      <c r="AG2808" s="58"/>
    </row>
    <row r="2809" spans="2:33" ht="16">
      <c r="B2809" s="67" t="str">
        <f t="shared" si="11"/>
        <v/>
      </c>
      <c r="C2809" s="33"/>
      <c r="D2809" s="33"/>
      <c r="E2809" s="33"/>
      <c r="F2809" s="56"/>
      <c r="G2809" s="33"/>
      <c r="H2809" s="33"/>
      <c r="I2809" s="33"/>
      <c r="J2809" s="57"/>
      <c r="K2809" s="33"/>
      <c r="L2809" s="57"/>
      <c r="M2809" s="64"/>
      <c r="N2809" s="56"/>
      <c r="O2809" s="64"/>
      <c r="P2809" s="62"/>
      <c r="Q2809" s="33"/>
      <c r="R2809" s="33"/>
      <c r="S2809" s="61"/>
      <c r="T2809" s="33"/>
      <c r="U2809" s="62"/>
      <c r="W2809" s="61"/>
      <c r="AD2809" s="64"/>
    </row>
    <row r="2810" spans="2:33" ht="16">
      <c r="B2810" s="67" t="str">
        <f t="shared" si="11"/>
        <v/>
      </c>
      <c r="C2810" s="33"/>
      <c r="D2810" s="33"/>
      <c r="E2810" s="33"/>
      <c r="F2810" s="56"/>
      <c r="G2810" s="33"/>
      <c r="H2810" s="33"/>
      <c r="I2810" s="33"/>
      <c r="J2810" s="57"/>
      <c r="K2810" s="33"/>
      <c r="L2810" s="57"/>
      <c r="M2810" s="58"/>
      <c r="N2810" s="56"/>
      <c r="O2810" s="58"/>
      <c r="P2810" s="62"/>
      <c r="Q2810" s="33"/>
      <c r="R2810" s="33"/>
      <c r="S2810" s="61"/>
      <c r="T2810" s="33"/>
      <c r="U2810" s="62"/>
      <c r="W2810" s="61"/>
      <c r="AD2810" s="58"/>
    </row>
    <row r="2811" spans="2:33" ht="16">
      <c r="B2811" s="67" t="str">
        <f t="shared" si="11"/>
        <v/>
      </c>
      <c r="C2811" s="33"/>
      <c r="D2811" s="33"/>
      <c r="E2811" s="33"/>
      <c r="F2811" s="56"/>
      <c r="G2811" s="33"/>
      <c r="H2811" s="33"/>
      <c r="I2811" s="33"/>
      <c r="J2811" s="57"/>
      <c r="K2811" s="33"/>
      <c r="L2811" s="57"/>
      <c r="M2811" s="64"/>
      <c r="N2811" s="56"/>
      <c r="O2811" s="64"/>
      <c r="P2811" s="62"/>
      <c r="Q2811" s="33"/>
      <c r="R2811" s="33"/>
      <c r="S2811" s="61"/>
      <c r="T2811" s="33"/>
      <c r="U2811" s="62"/>
      <c r="W2811" s="61"/>
      <c r="AD2811" s="64"/>
    </row>
    <row r="2812" spans="2:33" ht="16">
      <c r="B2812" s="67" t="str">
        <f t="shared" si="11"/>
        <v/>
      </c>
      <c r="C2812" s="33"/>
      <c r="D2812" s="33"/>
      <c r="E2812" s="33"/>
      <c r="F2812" s="56"/>
      <c r="G2812" s="33"/>
      <c r="H2812" s="33"/>
      <c r="I2812" s="33"/>
      <c r="J2812" s="57"/>
      <c r="K2812" s="33"/>
      <c r="L2812" s="57"/>
      <c r="M2812" s="64"/>
      <c r="N2812" s="56"/>
      <c r="O2812" s="64"/>
      <c r="P2812" s="62"/>
      <c r="Q2812" s="33"/>
      <c r="R2812" s="33"/>
      <c r="S2812" s="61"/>
      <c r="T2812" s="33"/>
      <c r="U2812" s="62"/>
      <c r="W2812" s="61"/>
      <c r="AD2812" s="64"/>
    </row>
    <row r="2813" spans="2:33" ht="16">
      <c r="B2813" s="67" t="str">
        <f t="shared" si="11"/>
        <v/>
      </c>
      <c r="C2813" s="33"/>
      <c r="D2813" s="33"/>
      <c r="E2813" s="33"/>
      <c r="F2813" s="56"/>
      <c r="G2813" s="33"/>
      <c r="H2813" s="33"/>
      <c r="I2813" s="33"/>
      <c r="J2813" s="57"/>
      <c r="K2813" s="33"/>
      <c r="L2813" s="57"/>
      <c r="M2813" s="58"/>
      <c r="N2813" s="56"/>
      <c r="O2813" s="58"/>
      <c r="P2813" s="62"/>
      <c r="Q2813" s="33"/>
      <c r="R2813" s="33"/>
      <c r="S2813" s="61"/>
      <c r="T2813" s="33"/>
      <c r="U2813" s="62"/>
      <c r="W2813" s="61"/>
      <c r="AD2813" s="58"/>
      <c r="AG2813" s="58"/>
    </row>
    <row r="2814" spans="2:33" ht="16">
      <c r="B2814" s="67" t="str">
        <f t="shared" si="11"/>
        <v/>
      </c>
      <c r="C2814" s="33"/>
      <c r="D2814" s="33"/>
      <c r="E2814" s="33"/>
      <c r="F2814" s="56"/>
      <c r="G2814" s="33"/>
      <c r="H2814" s="33"/>
      <c r="I2814" s="33"/>
      <c r="J2814" s="57"/>
      <c r="K2814" s="33"/>
      <c r="L2814" s="57"/>
      <c r="M2814" s="64"/>
      <c r="N2814" s="56"/>
      <c r="O2814" s="58"/>
      <c r="P2814" s="62"/>
      <c r="Q2814" s="33"/>
      <c r="R2814" s="33"/>
      <c r="S2814" s="61"/>
      <c r="T2814" s="33"/>
      <c r="U2814" s="62"/>
      <c r="W2814" s="61"/>
      <c r="AD2814" s="64"/>
    </row>
    <row r="2815" spans="2:33" ht="16">
      <c r="B2815" s="67" t="str">
        <f t="shared" si="11"/>
        <v/>
      </c>
      <c r="C2815" s="33"/>
      <c r="D2815" s="33"/>
      <c r="E2815" s="33"/>
      <c r="F2815" s="56"/>
      <c r="G2815" s="33"/>
      <c r="H2815" s="33"/>
      <c r="I2815" s="33"/>
      <c r="J2815" s="57"/>
      <c r="K2815" s="33"/>
      <c r="L2815" s="57"/>
      <c r="M2815" s="64"/>
      <c r="N2815" s="56"/>
      <c r="O2815" s="64"/>
      <c r="P2815" s="62"/>
      <c r="Q2815" s="33"/>
      <c r="R2815" s="33"/>
      <c r="S2815" s="61"/>
      <c r="T2815" s="33"/>
      <c r="U2815" s="62"/>
      <c r="W2815" s="61"/>
      <c r="AD2815" s="64"/>
    </row>
    <row r="2816" spans="2:33" ht="16">
      <c r="B2816" s="67" t="str">
        <f t="shared" si="11"/>
        <v/>
      </c>
      <c r="C2816" s="33"/>
      <c r="D2816" s="33"/>
      <c r="E2816" s="33"/>
      <c r="F2816" s="56"/>
      <c r="G2816" s="33"/>
      <c r="H2816" s="33"/>
      <c r="I2816" s="33"/>
      <c r="J2816" s="57"/>
      <c r="K2816" s="33"/>
      <c r="L2816" s="57"/>
      <c r="M2816" s="64"/>
      <c r="N2816" s="56"/>
      <c r="O2816" s="64"/>
      <c r="P2816" s="62"/>
      <c r="Q2816" s="33"/>
      <c r="R2816" s="33"/>
      <c r="S2816" s="61"/>
      <c r="T2816" s="33"/>
      <c r="U2816" s="62"/>
      <c r="W2816" s="61"/>
      <c r="AD2816" s="64"/>
    </row>
    <row r="2817" spans="2:33" ht="16">
      <c r="B2817" s="67" t="str">
        <f t="shared" si="11"/>
        <v/>
      </c>
      <c r="C2817" s="33"/>
      <c r="D2817" s="33"/>
      <c r="E2817" s="33"/>
      <c r="F2817" s="56"/>
      <c r="G2817" s="33"/>
      <c r="H2817" s="33"/>
      <c r="I2817" s="33"/>
      <c r="J2817" s="57"/>
      <c r="K2817" s="33"/>
      <c r="L2817" s="57"/>
      <c r="M2817" s="64"/>
      <c r="N2817" s="56"/>
      <c r="O2817" s="64"/>
      <c r="P2817" s="62"/>
      <c r="Q2817" s="33"/>
      <c r="R2817" s="33"/>
      <c r="S2817" s="61"/>
      <c r="T2817" s="33"/>
      <c r="U2817" s="62"/>
      <c r="W2817" s="61"/>
      <c r="AD2817" s="64"/>
    </row>
    <row r="2818" spans="2:33" ht="16">
      <c r="B2818" s="67" t="str">
        <f t="shared" si="11"/>
        <v/>
      </c>
      <c r="C2818" s="33"/>
      <c r="D2818" s="33"/>
      <c r="E2818" s="33"/>
      <c r="F2818" s="56"/>
      <c r="G2818" s="33"/>
      <c r="H2818" s="33"/>
      <c r="I2818" s="33"/>
      <c r="J2818" s="57"/>
      <c r="K2818" s="33"/>
      <c r="L2818" s="57"/>
      <c r="M2818" s="58"/>
      <c r="N2818" s="56"/>
      <c r="O2818" s="58"/>
      <c r="P2818" s="62"/>
      <c r="Q2818" s="33"/>
      <c r="R2818" s="33"/>
      <c r="S2818" s="61"/>
      <c r="T2818" s="33"/>
      <c r="U2818" s="62"/>
      <c r="W2818" s="61"/>
      <c r="AD2818" s="58"/>
    </row>
    <row r="2819" spans="2:33" ht="16">
      <c r="B2819" s="67" t="str">
        <f t="shared" si="11"/>
        <v/>
      </c>
      <c r="C2819" s="33"/>
      <c r="D2819" s="33"/>
      <c r="E2819" s="33"/>
      <c r="F2819" s="56"/>
      <c r="G2819" s="33"/>
      <c r="H2819" s="33"/>
      <c r="I2819" s="33"/>
      <c r="J2819" s="57"/>
      <c r="K2819" s="33"/>
      <c r="L2819" s="57"/>
      <c r="M2819" s="64"/>
      <c r="N2819" s="56"/>
      <c r="O2819" s="64"/>
      <c r="P2819" s="62"/>
      <c r="Q2819" s="33"/>
      <c r="R2819" s="33"/>
      <c r="S2819" s="61"/>
      <c r="T2819" s="33"/>
      <c r="U2819" s="62"/>
      <c r="W2819" s="61"/>
      <c r="AD2819" s="64"/>
    </row>
    <row r="2820" spans="2:33" ht="16">
      <c r="B2820" s="67" t="str">
        <f t="shared" si="11"/>
        <v/>
      </c>
      <c r="C2820" s="33"/>
      <c r="D2820" s="33"/>
      <c r="E2820" s="33"/>
      <c r="F2820" s="56"/>
      <c r="G2820" s="33"/>
      <c r="H2820" s="33"/>
      <c r="I2820" s="33"/>
      <c r="J2820" s="57"/>
      <c r="K2820" s="33"/>
      <c r="L2820" s="57"/>
      <c r="M2820" s="64"/>
      <c r="N2820" s="56"/>
      <c r="O2820" s="58"/>
      <c r="P2820" s="62"/>
      <c r="Q2820" s="33"/>
      <c r="R2820" s="33"/>
      <c r="S2820" s="61"/>
      <c r="T2820" s="33"/>
      <c r="U2820" s="62"/>
      <c r="W2820" s="61"/>
      <c r="AD2820" s="64"/>
    </row>
    <row r="2821" spans="2:33" ht="16">
      <c r="B2821" s="67" t="str">
        <f t="shared" si="11"/>
        <v/>
      </c>
      <c r="C2821" s="33"/>
      <c r="D2821" s="33"/>
      <c r="E2821" s="33"/>
      <c r="F2821" s="56"/>
      <c r="G2821" s="33"/>
      <c r="H2821" s="33"/>
      <c r="I2821" s="33"/>
      <c r="J2821" s="57"/>
      <c r="K2821" s="33"/>
      <c r="L2821" s="57"/>
      <c r="M2821" s="58"/>
      <c r="N2821" s="56"/>
      <c r="O2821" s="58"/>
      <c r="P2821" s="62"/>
      <c r="Q2821" s="33"/>
      <c r="R2821" s="33"/>
      <c r="S2821" s="61"/>
      <c r="T2821" s="33"/>
      <c r="U2821" s="62"/>
      <c r="W2821" s="61"/>
      <c r="AD2821" s="58"/>
    </row>
    <row r="2822" spans="2:33" ht="16">
      <c r="B2822" s="67" t="str">
        <f t="shared" si="11"/>
        <v/>
      </c>
      <c r="C2822" s="33"/>
      <c r="D2822" s="33"/>
      <c r="E2822" s="33"/>
      <c r="F2822" s="56"/>
      <c r="G2822" s="33"/>
      <c r="H2822" s="33"/>
      <c r="I2822" s="33"/>
      <c r="J2822" s="57"/>
      <c r="K2822" s="33"/>
      <c r="L2822" s="57"/>
      <c r="M2822" s="58"/>
      <c r="N2822" s="56"/>
      <c r="O2822" s="58"/>
      <c r="P2822" s="62"/>
      <c r="Q2822" s="33"/>
      <c r="R2822" s="33"/>
      <c r="S2822" s="61"/>
      <c r="T2822" s="33"/>
      <c r="U2822" s="62"/>
      <c r="W2822" s="61"/>
      <c r="AD2822" s="58"/>
      <c r="AG2822" s="58"/>
    </row>
    <row r="2823" spans="2:33" ht="16">
      <c r="B2823" s="67" t="str">
        <f t="shared" si="11"/>
        <v/>
      </c>
      <c r="C2823" s="33"/>
      <c r="D2823" s="33"/>
      <c r="E2823" s="33"/>
      <c r="F2823" s="56"/>
      <c r="G2823" s="33"/>
      <c r="H2823" s="33"/>
      <c r="I2823" s="33"/>
      <c r="J2823" s="57"/>
      <c r="K2823" s="33"/>
      <c r="L2823" s="57"/>
      <c r="M2823" s="64"/>
      <c r="N2823" s="56"/>
      <c r="O2823" s="64"/>
      <c r="P2823" s="62"/>
      <c r="Q2823" s="33"/>
      <c r="R2823" s="33"/>
      <c r="S2823" s="61"/>
      <c r="T2823" s="33"/>
      <c r="W2823" s="61"/>
    </row>
    <row r="2824" spans="2:33" ht="16">
      <c r="B2824" s="67" t="str">
        <f t="shared" si="11"/>
        <v/>
      </c>
      <c r="C2824" s="33"/>
      <c r="D2824" s="33"/>
      <c r="E2824" s="33"/>
      <c r="F2824" s="56"/>
      <c r="G2824" s="33"/>
      <c r="H2824" s="33"/>
      <c r="I2824" s="33"/>
      <c r="J2824" s="57"/>
      <c r="K2824" s="33"/>
      <c r="L2824" s="57"/>
      <c r="M2824" s="64"/>
      <c r="N2824" s="56"/>
      <c r="O2824" s="64"/>
      <c r="P2824" s="62"/>
      <c r="Q2824" s="33"/>
      <c r="R2824" s="33"/>
      <c r="S2824" s="61"/>
      <c r="T2824" s="33"/>
      <c r="W2824" s="61"/>
    </row>
    <row r="2825" spans="2:33" ht="16">
      <c r="B2825" s="67" t="str">
        <f t="shared" si="11"/>
        <v/>
      </c>
      <c r="C2825" s="33"/>
      <c r="D2825" s="33"/>
      <c r="E2825" s="33"/>
      <c r="F2825" s="56"/>
      <c r="G2825" s="33"/>
      <c r="H2825" s="33"/>
      <c r="I2825" s="33"/>
      <c r="J2825" s="57"/>
      <c r="K2825" s="33"/>
      <c r="L2825" s="57"/>
      <c r="M2825" s="64"/>
      <c r="N2825" s="56"/>
      <c r="O2825" s="58"/>
      <c r="P2825" s="62"/>
      <c r="Q2825" s="33"/>
      <c r="R2825" s="33"/>
      <c r="S2825" s="61"/>
      <c r="T2825" s="33"/>
      <c r="W2825" s="61"/>
    </row>
    <row r="2826" spans="2:33" ht="16">
      <c r="B2826" s="67" t="str">
        <f t="shared" si="11"/>
        <v/>
      </c>
      <c r="C2826" s="33"/>
      <c r="D2826" s="33"/>
      <c r="E2826" s="33"/>
      <c r="F2826" s="56"/>
      <c r="G2826" s="33"/>
      <c r="H2826" s="33"/>
      <c r="I2826" s="33"/>
      <c r="J2826" s="57"/>
      <c r="K2826" s="33"/>
      <c r="L2826" s="57"/>
      <c r="M2826" s="64"/>
      <c r="N2826" s="56"/>
      <c r="O2826" s="58"/>
      <c r="P2826" s="62"/>
      <c r="Q2826" s="33"/>
      <c r="R2826" s="33"/>
      <c r="S2826" s="61"/>
      <c r="T2826" s="33"/>
      <c r="U2826" s="62"/>
      <c r="W2826" s="61"/>
      <c r="AD2826" s="58"/>
      <c r="AG2826" s="64"/>
    </row>
    <row r="2827" spans="2:33" ht="16">
      <c r="B2827" s="67" t="str">
        <f t="shared" si="11"/>
        <v/>
      </c>
      <c r="C2827" s="33"/>
      <c r="D2827" s="33"/>
      <c r="E2827" s="33"/>
      <c r="F2827" s="56"/>
      <c r="G2827" s="33"/>
      <c r="H2827" s="33"/>
      <c r="I2827" s="33"/>
      <c r="J2827" s="57"/>
      <c r="K2827" s="33"/>
      <c r="L2827" s="57"/>
      <c r="M2827" s="58"/>
      <c r="N2827" s="56"/>
      <c r="O2827" s="58"/>
      <c r="P2827" s="62"/>
      <c r="Q2827" s="33"/>
      <c r="R2827" s="33"/>
      <c r="S2827" s="61"/>
      <c r="T2827" s="33"/>
      <c r="U2827" s="62"/>
      <c r="W2827" s="61"/>
      <c r="AD2827" s="58"/>
      <c r="AG2827" s="58"/>
    </row>
    <row r="2828" spans="2:33" ht="16">
      <c r="B2828" s="67" t="str">
        <f t="shared" si="11"/>
        <v/>
      </c>
      <c r="C2828" s="33"/>
      <c r="D2828" s="33"/>
      <c r="E2828" s="33"/>
      <c r="F2828" s="56"/>
      <c r="G2828" s="33"/>
      <c r="H2828" s="33"/>
      <c r="I2828" s="33"/>
      <c r="J2828" s="57"/>
      <c r="K2828" s="33"/>
      <c r="L2828" s="57"/>
      <c r="M2828" s="64"/>
      <c r="N2828" s="56"/>
      <c r="O2828" s="64"/>
      <c r="P2828" s="62"/>
      <c r="Q2828" s="33"/>
      <c r="R2828" s="33"/>
      <c r="S2828" s="61"/>
      <c r="T2828" s="33"/>
      <c r="U2828" s="62"/>
      <c r="W2828" s="61"/>
    </row>
    <row r="2829" spans="2:33" ht="16">
      <c r="B2829" s="67" t="str">
        <f t="shared" si="11"/>
        <v/>
      </c>
      <c r="C2829" s="33"/>
      <c r="D2829" s="33"/>
      <c r="E2829" s="33"/>
      <c r="F2829" s="56"/>
      <c r="G2829" s="33"/>
      <c r="H2829" s="33"/>
      <c r="I2829" s="33"/>
      <c r="J2829" s="57"/>
      <c r="K2829" s="33"/>
      <c r="L2829" s="57"/>
      <c r="M2829" s="64"/>
      <c r="N2829" s="56"/>
      <c r="O2829" s="64"/>
      <c r="P2829" s="62"/>
      <c r="Q2829" s="33"/>
      <c r="R2829" s="33"/>
      <c r="S2829" s="61"/>
      <c r="T2829" s="33"/>
      <c r="U2829" s="62"/>
      <c r="W2829" s="61"/>
    </row>
    <row r="2830" spans="2:33" ht="16">
      <c r="B2830" s="67" t="str">
        <f t="shared" si="11"/>
        <v/>
      </c>
      <c r="C2830" s="33"/>
      <c r="D2830" s="33"/>
      <c r="E2830" s="33"/>
      <c r="F2830" s="56"/>
      <c r="G2830" s="33"/>
      <c r="H2830" s="33"/>
      <c r="I2830" s="33"/>
      <c r="J2830" s="57"/>
      <c r="K2830" s="33"/>
      <c r="L2830" s="57"/>
      <c r="M2830" s="64"/>
      <c r="N2830" s="56"/>
      <c r="O2830" s="64"/>
      <c r="P2830" s="62"/>
      <c r="Q2830" s="33"/>
      <c r="R2830" s="33"/>
      <c r="S2830" s="61"/>
      <c r="T2830" s="33"/>
      <c r="U2830" s="62"/>
      <c r="W2830" s="61"/>
      <c r="AD2830" s="64"/>
    </row>
    <row r="2831" spans="2:33" ht="16">
      <c r="B2831" s="67" t="str">
        <f t="shared" si="11"/>
        <v/>
      </c>
      <c r="C2831" s="33"/>
      <c r="D2831" s="33"/>
      <c r="E2831" s="33"/>
      <c r="F2831" s="56"/>
      <c r="G2831" s="33"/>
      <c r="H2831" s="33"/>
      <c r="I2831" s="33"/>
      <c r="J2831" s="57"/>
      <c r="K2831" s="33"/>
      <c r="L2831" s="57"/>
      <c r="M2831" s="64"/>
      <c r="N2831" s="56"/>
      <c r="O2831" s="64"/>
      <c r="P2831" s="62"/>
      <c r="Q2831" s="33"/>
      <c r="R2831" s="33"/>
      <c r="S2831" s="61"/>
      <c r="T2831" s="33"/>
      <c r="W2831" s="61"/>
    </row>
    <row r="2832" spans="2:33" ht="16">
      <c r="B2832" s="67" t="str">
        <f t="shared" ref="B2832:B3086" si="12">IF($H2832="","",LEFT(C2832,3))</f>
        <v/>
      </c>
      <c r="C2832" s="33"/>
      <c r="D2832" s="33"/>
      <c r="E2832" s="33"/>
      <c r="F2832" s="56"/>
      <c r="G2832" s="33"/>
      <c r="H2832" s="33"/>
      <c r="I2832" s="33"/>
      <c r="J2832" s="57"/>
      <c r="K2832" s="33"/>
      <c r="L2832" s="57"/>
      <c r="M2832" s="64"/>
      <c r="N2832" s="56"/>
      <c r="O2832" s="64"/>
      <c r="P2832" s="62"/>
      <c r="Q2832" s="33"/>
      <c r="R2832" s="33"/>
      <c r="S2832" s="61"/>
      <c r="T2832" s="33"/>
      <c r="W2832" s="61"/>
    </row>
    <row r="2833" spans="2:33" ht="16">
      <c r="B2833" s="67" t="str">
        <f t="shared" si="12"/>
        <v/>
      </c>
      <c r="C2833" s="33"/>
      <c r="D2833" s="33"/>
      <c r="E2833" s="33"/>
      <c r="F2833" s="56"/>
      <c r="G2833" s="33"/>
      <c r="H2833" s="33"/>
      <c r="I2833" s="33"/>
      <c r="J2833" s="57"/>
      <c r="K2833" s="33"/>
      <c r="L2833" s="57"/>
      <c r="M2833" s="64"/>
      <c r="N2833" s="56"/>
      <c r="O2833" s="64"/>
      <c r="P2833" s="62"/>
      <c r="Q2833" s="33"/>
      <c r="R2833" s="33"/>
      <c r="S2833" s="61"/>
      <c r="T2833" s="33"/>
      <c r="U2833" s="62"/>
      <c r="W2833" s="61"/>
    </row>
    <row r="2834" spans="2:33" ht="16">
      <c r="B2834" s="67" t="str">
        <f t="shared" si="12"/>
        <v/>
      </c>
      <c r="C2834" s="33"/>
      <c r="D2834" s="33"/>
      <c r="E2834" s="33"/>
      <c r="F2834" s="56"/>
      <c r="G2834" s="33"/>
      <c r="H2834" s="33"/>
      <c r="I2834" s="33"/>
      <c r="J2834" s="57"/>
      <c r="K2834" s="33"/>
      <c r="L2834" s="57"/>
      <c r="M2834" s="64"/>
      <c r="N2834" s="56"/>
      <c r="O2834" s="64"/>
      <c r="P2834" s="62"/>
      <c r="Q2834" s="33"/>
      <c r="R2834" s="33"/>
      <c r="S2834" s="61"/>
      <c r="T2834" s="33"/>
      <c r="U2834" s="62"/>
      <c r="W2834" s="61"/>
    </row>
    <row r="2835" spans="2:33" ht="16">
      <c r="B2835" s="67" t="str">
        <f t="shared" si="12"/>
        <v/>
      </c>
      <c r="C2835" s="33"/>
      <c r="D2835" s="33"/>
      <c r="E2835" s="33"/>
      <c r="F2835" s="56"/>
      <c r="G2835" s="33"/>
      <c r="H2835" s="33"/>
      <c r="I2835" s="33"/>
      <c r="J2835" s="57"/>
      <c r="K2835" s="33"/>
      <c r="L2835" s="57"/>
      <c r="M2835" s="64"/>
      <c r="N2835" s="56"/>
      <c r="O2835" s="64"/>
      <c r="P2835" s="62"/>
      <c r="Q2835" s="33"/>
      <c r="R2835" s="33"/>
      <c r="S2835" s="61"/>
      <c r="T2835" s="33"/>
      <c r="W2835" s="61"/>
    </row>
    <row r="2836" spans="2:33" ht="16">
      <c r="B2836" s="67" t="str">
        <f t="shared" si="12"/>
        <v/>
      </c>
      <c r="C2836" s="33"/>
      <c r="D2836" s="33"/>
      <c r="E2836" s="33"/>
      <c r="F2836" s="56"/>
      <c r="G2836" s="33"/>
      <c r="H2836" s="33"/>
      <c r="I2836" s="33"/>
      <c r="J2836" s="57"/>
      <c r="K2836" s="33"/>
      <c r="L2836" s="57"/>
      <c r="M2836" s="64"/>
      <c r="N2836" s="56"/>
      <c r="O2836" s="64"/>
      <c r="P2836" s="62"/>
      <c r="Q2836" s="33"/>
      <c r="R2836" s="33"/>
      <c r="S2836" s="61"/>
      <c r="T2836" s="33"/>
      <c r="W2836" s="61"/>
    </row>
    <row r="2837" spans="2:33" ht="16">
      <c r="B2837" s="67" t="str">
        <f t="shared" si="12"/>
        <v/>
      </c>
      <c r="C2837" s="33"/>
      <c r="D2837" s="33"/>
      <c r="E2837" s="33"/>
      <c r="F2837" s="56"/>
      <c r="G2837" s="33"/>
      <c r="H2837" s="33"/>
      <c r="I2837" s="33"/>
      <c r="J2837" s="57"/>
      <c r="K2837" s="33"/>
      <c r="L2837" s="57"/>
      <c r="M2837" s="64"/>
      <c r="N2837" s="56"/>
      <c r="O2837" s="64"/>
      <c r="P2837" s="62"/>
      <c r="Q2837" s="33"/>
      <c r="R2837" s="33"/>
      <c r="S2837" s="61"/>
      <c r="T2837" s="33"/>
      <c r="U2837" s="62"/>
      <c r="W2837" s="61"/>
    </row>
    <row r="2838" spans="2:33" ht="16">
      <c r="B2838" s="67" t="str">
        <f t="shared" si="12"/>
        <v/>
      </c>
      <c r="C2838" s="33"/>
      <c r="D2838" s="33"/>
      <c r="E2838" s="33"/>
      <c r="F2838" s="56"/>
      <c r="G2838" s="33"/>
      <c r="H2838" s="33"/>
      <c r="I2838" s="33"/>
      <c r="J2838" s="57"/>
      <c r="K2838" s="33"/>
      <c r="L2838" s="57"/>
      <c r="M2838" s="64"/>
      <c r="N2838" s="56"/>
      <c r="O2838" s="64"/>
      <c r="P2838" s="62"/>
      <c r="Q2838" s="33"/>
      <c r="R2838" s="33"/>
      <c r="S2838" s="61"/>
      <c r="T2838" s="33"/>
      <c r="U2838" s="62"/>
      <c r="W2838" s="61"/>
    </row>
    <row r="2839" spans="2:33" ht="16">
      <c r="B2839" s="67" t="str">
        <f t="shared" si="12"/>
        <v/>
      </c>
      <c r="C2839" s="33"/>
      <c r="D2839" s="33"/>
      <c r="E2839" s="33"/>
      <c r="F2839" s="56"/>
      <c r="G2839" s="33"/>
      <c r="H2839" s="33"/>
      <c r="I2839" s="33"/>
      <c r="J2839" s="57"/>
      <c r="K2839" s="33"/>
      <c r="L2839" s="57"/>
      <c r="M2839" s="58"/>
      <c r="N2839" s="56"/>
      <c r="O2839" s="58"/>
      <c r="P2839" s="62"/>
      <c r="Q2839" s="33"/>
      <c r="R2839" s="33"/>
      <c r="S2839" s="61"/>
      <c r="T2839" s="33"/>
      <c r="W2839" s="61"/>
    </row>
    <row r="2840" spans="2:33" ht="16">
      <c r="B2840" s="67" t="str">
        <f t="shared" si="12"/>
        <v/>
      </c>
      <c r="C2840" s="33"/>
      <c r="D2840" s="33"/>
      <c r="E2840" s="33"/>
      <c r="F2840" s="56"/>
      <c r="G2840" s="33"/>
      <c r="H2840" s="33"/>
      <c r="I2840" s="33"/>
      <c r="J2840" s="57"/>
      <c r="K2840" s="33"/>
      <c r="L2840" s="57"/>
      <c r="M2840" s="64"/>
      <c r="N2840" s="56"/>
      <c r="O2840" s="64"/>
      <c r="P2840" s="62"/>
      <c r="Q2840" s="33"/>
      <c r="R2840" s="33"/>
      <c r="S2840" s="61"/>
      <c r="T2840" s="33"/>
      <c r="U2840" s="62"/>
      <c r="W2840" s="61"/>
    </row>
    <row r="2841" spans="2:33" ht="16">
      <c r="B2841" s="67" t="str">
        <f t="shared" si="12"/>
        <v/>
      </c>
      <c r="C2841" s="33"/>
      <c r="D2841" s="33"/>
      <c r="E2841" s="33"/>
      <c r="F2841" s="56"/>
      <c r="G2841" s="33"/>
      <c r="H2841" s="33"/>
      <c r="I2841" s="33"/>
      <c r="J2841" s="57"/>
      <c r="K2841" s="33"/>
      <c r="L2841" s="57"/>
      <c r="M2841" s="64"/>
      <c r="N2841" s="56"/>
      <c r="O2841" s="64"/>
      <c r="P2841" s="62"/>
      <c r="Q2841" s="33"/>
      <c r="R2841" s="33"/>
      <c r="S2841" s="61"/>
      <c r="T2841" s="33"/>
      <c r="U2841" s="62"/>
      <c r="W2841" s="61"/>
      <c r="AD2841" s="58"/>
    </row>
    <row r="2842" spans="2:33" ht="16">
      <c r="B2842" s="67" t="str">
        <f t="shared" si="12"/>
        <v/>
      </c>
      <c r="C2842" s="33"/>
      <c r="D2842" s="33"/>
      <c r="E2842" s="33"/>
      <c r="F2842" s="56"/>
      <c r="G2842" s="33"/>
      <c r="H2842" s="33"/>
      <c r="I2842" s="33"/>
      <c r="J2842" s="57"/>
      <c r="K2842" s="33"/>
      <c r="L2842" s="57"/>
      <c r="M2842" s="64"/>
      <c r="N2842" s="56"/>
      <c r="O2842" s="64"/>
      <c r="P2842" s="62"/>
      <c r="Q2842" s="33"/>
      <c r="R2842" s="33"/>
      <c r="S2842" s="61"/>
      <c r="T2842" s="33"/>
      <c r="W2842" s="61"/>
    </row>
    <row r="2843" spans="2:33" ht="16">
      <c r="B2843" s="67" t="str">
        <f t="shared" si="12"/>
        <v/>
      </c>
      <c r="C2843" s="33"/>
      <c r="D2843" s="33"/>
      <c r="E2843" s="33"/>
      <c r="F2843" s="56"/>
      <c r="G2843" s="33"/>
      <c r="H2843" s="33"/>
      <c r="I2843" s="33"/>
      <c r="J2843" s="57"/>
      <c r="K2843" s="33"/>
      <c r="L2843" s="57"/>
      <c r="M2843" s="64"/>
      <c r="N2843" s="56"/>
      <c r="O2843" s="64"/>
      <c r="P2843" s="62"/>
      <c r="Q2843" s="33"/>
      <c r="R2843" s="33"/>
      <c r="S2843" s="61"/>
      <c r="T2843" s="33"/>
      <c r="U2843" s="62"/>
      <c r="W2843" s="61"/>
      <c r="AD2843" s="64"/>
      <c r="AG2843" s="58"/>
    </row>
    <row r="2844" spans="2:33" ht="16">
      <c r="B2844" s="67" t="str">
        <f t="shared" si="12"/>
        <v/>
      </c>
      <c r="C2844" s="33"/>
      <c r="D2844" s="33"/>
      <c r="E2844" s="33"/>
      <c r="F2844" s="56"/>
      <c r="G2844" s="33"/>
      <c r="H2844" s="33"/>
      <c r="I2844" s="33"/>
      <c r="J2844" s="57"/>
      <c r="K2844" s="33"/>
      <c r="L2844" s="57"/>
      <c r="M2844" s="64"/>
      <c r="N2844" s="56"/>
      <c r="O2844" s="64"/>
      <c r="P2844" s="62"/>
      <c r="Q2844" s="33"/>
      <c r="R2844" s="33"/>
      <c r="S2844" s="61"/>
      <c r="T2844" s="33"/>
      <c r="U2844" s="62"/>
      <c r="W2844" s="61"/>
      <c r="AD2844" s="64"/>
    </row>
    <row r="2845" spans="2:33" ht="16">
      <c r="B2845" s="67" t="str">
        <f t="shared" si="12"/>
        <v/>
      </c>
      <c r="C2845" s="33"/>
      <c r="D2845" s="33"/>
      <c r="E2845" s="33"/>
      <c r="F2845" s="56"/>
      <c r="G2845" s="33"/>
      <c r="H2845" s="33"/>
      <c r="I2845" s="33"/>
      <c r="J2845" s="57"/>
      <c r="K2845" s="33"/>
      <c r="L2845" s="57"/>
      <c r="M2845" s="64"/>
      <c r="N2845" s="56"/>
      <c r="O2845" s="64"/>
      <c r="P2845" s="62"/>
      <c r="Q2845" s="33"/>
      <c r="R2845" s="33"/>
      <c r="S2845" s="61"/>
      <c r="T2845" s="33"/>
      <c r="U2845" s="62"/>
      <c r="W2845" s="61"/>
      <c r="AD2845" s="64"/>
    </row>
    <row r="2846" spans="2:33" ht="16">
      <c r="B2846" s="67" t="str">
        <f t="shared" si="12"/>
        <v/>
      </c>
      <c r="C2846" s="33"/>
      <c r="D2846" s="33"/>
      <c r="E2846" s="33"/>
      <c r="F2846" s="56"/>
      <c r="G2846" s="33"/>
      <c r="H2846" s="33"/>
      <c r="I2846" s="33"/>
      <c r="J2846" s="57"/>
      <c r="K2846" s="33"/>
      <c r="L2846" s="57"/>
      <c r="M2846" s="64"/>
      <c r="N2846" s="56"/>
      <c r="O2846" s="64"/>
      <c r="P2846" s="62"/>
      <c r="Q2846" s="33"/>
      <c r="R2846" s="33"/>
      <c r="S2846" s="61"/>
      <c r="T2846" s="33"/>
      <c r="U2846" s="62"/>
      <c r="W2846" s="61"/>
      <c r="AD2846" s="64"/>
    </row>
    <row r="2847" spans="2:33" ht="16">
      <c r="B2847" s="67" t="str">
        <f t="shared" si="12"/>
        <v/>
      </c>
      <c r="C2847" s="33"/>
      <c r="D2847" s="33"/>
      <c r="E2847" s="33"/>
      <c r="F2847" s="56"/>
      <c r="G2847" s="33"/>
      <c r="H2847" s="33"/>
      <c r="I2847" s="33"/>
      <c r="J2847" s="57"/>
      <c r="K2847" s="33"/>
      <c r="L2847" s="57"/>
      <c r="M2847" s="64"/>
      <c r="N2847" s="56"/>
      <c r="O2847" s="64"/>
      <c r="P2847" s="62"/>
      <c r="Q2847" s="33"/>
      <c r="R2847" s="33"/>
      <c r="S2847" s="61"/>
      <c r="T2847" s="33"/>
      <c r="U2847" s="62"/>
      <c r="W2847" s="61"/>
      <c r="AD2847" s="64"/>
    </row>
    <row r="2848" spans="2:33" ht="16">
      <c r="B2848" s="67" t="str">
        <f t="shared" si="12"/>
        <v/>
      </c>
      <c r="C2848" s="33"/>
      <c r="D2848" s="33"/>
      <c r="E2848" s="33"/>
      <c r="F2848" s="56"/>
      <c r="G2848" s="33"/>
      <c r="H2848" s="33"/>
      <c r="I2848" s="33"/>
      <c r="J2848" s="57"/>
      <c r="K2848" s="33"/>
      <c r="L2848" s="57"/>
      <c r="M2848" s="64"/>
      <c r="N2848" s="56"/>
      <c r="O2848" s="64"/>
      <c r="P2848" s="62"/>
      <c r="Q2848" s="33"/>
      <c r="R2848" s="33"/>
      <c r="S2848" s="61"/>
      <c r="T2848" s="33"/>
      <c r="U2848" s="62"/>
      <c r="W2848" s="61"/>
      <c r="AD2848" s="64"/>
      <c r="AG2848" s="64"/>
    </row>
    <row r="2849" spans="2:33" ht="16">
      <c r="B2849" s="67" t="str">
        <f t="shared" si="12"/>
        <v/>
      </c>
      <c r="C2849" s="33"/>
      <c r="D2849" s="33"/>
      <c r="E2849" s="33"/>
      <c r="F2849" s="56"/>
      <c r="G2849" s="33"/>
      <c r="H2849" s="33"/>
      <c r="I2849" s="33"/>
      <c r="J2849" s="57"/>
      <c r="K2849" s="33"/>
      <c r="L2849" s="57"/>
      <c r="M2849" s="58"/>
      <c r="N2849" s="56"/>
      <c r="O2849" s="64"/>
      <c r="P2849" s="62"/>
      <c r="Q2849" s="33"/>
      <c r="R2849" s="33"/>
      <c r="S2849" s="61"/>
      <c r="T2849" s="33"/>
      <c r="U2849" s="62"/>
      <c r="W2849" s="61"/>
      <c r="AD2849" s="58"/>
    </row>
    <row r="2850" spans="2:33" ht="16">
      <c r="B2850" s="67" t="str">
        <f t="shared" si="12"/>
        <v/>
      </c>
      <c r="C2850" s="33"/>
      <c r="D2850" s="33"/>
      <c r="E2850" s="33"/>
      <c r="F2850" s="56"/>
      <c r="G2850" s="33"/>
      <c r="H2850" s="33"/>
      <c r="I2850" s="33"/>
      <c r="J2850" s="57"/>
      <c r="K2850" s="33"/>
      <c r="L2850" s="57"/>
      <c r="M2850" s="58"/>
      <c r="N2850" s="56"/>
      <c r="O2850" s="64"/>
      <c r="P2850" s="62"/>
      <c r="Q2850" s="33"/>
      <c r="R2850" s="33"/>
      <c r="S2850" s="61"/>
      <c r="T2850" s="33"/>
      <c r="U2850" s="62"/>
      <c r="W2850" s="61"/>
      <c r="AD2850" s="64"/>
    </row>
    <row r="2851" spans="2:33" ht="16">
      <c r="B2851" s="67" t="str">
        <f t="shared" si="12"/>
        <v/>
      </c>
      <c r="C2851" s="33"/>
      <c r="D2851" s="33"/>
      <c r="E2851" s="33"/>
      <c r="F2851" s="56"/>
      <c r="G2851" s="33"/>
      <c r="H2851" s="33"/>
      <c r="I2851" s="33"/>
      <c r="J2851" s="57"/>
      <c r="K2851" s="33"/>
      <c r="L2851" s="57"/>
      <c r="M2851" s="64"/>
      <c r="N2851" s="56"/>
      <c r="O2851" s="64"/>
      <c r="P2851" s="62"/>
      <c r="Q2851" s="33"/>
      <c r="R2851" s="33"/>
      <c r="S2851" s="61"/>
      <c r="T2851" s="33"/>
      <c r="U2851" s="62"/>
      <c r="W2851" s="61"/>
      <c r="AD2851" s="64"/>
    </row>
    <row r="2852" spans="2:33" ht="16">
      <c r="B2852" s="67" t="str">
        <f t="shared" si="12"/>
        <v/>
      </c>
      <c r="C2852" s="33"/>
      <c r="D2852" s="33"/>
      <c r="E2852" s="33"/>
      <c r="F2852" s="56"/>
      <c r="G2852" s="33"/>
      <c r="H2852" s="33"/>
      <c r="I2852" s="33"/>
      <c r="J2852" s="57"/>
      <c r="K2852" s="33"/>
      <c r="L2852" s="57"/>
      <c r="M2852" s="64"/>
      <c r="N2852" s="56"/>
      <c r="O2852" s="64"/>
      <c r="P2852" s="62"/>
      <c r="Q2852" s="33"/>
      <c r="R2852" s="33"/>
      <c r="S2852" s="61"/>
      <c r="T2852" s="33"/>
      <c r="U2852" s="62"/>
      <c r="W2852" s="61"/>
      <c r="AD2852" s="64"/>
    </row>
    <row r="2853" spans="2:33" ht="16">
      <c r="B2853" s="67" t="str">
        <f t="shared" si="12"/>
        <v/>
      </c>
      <c r="C2853" s="33"/>
      <c r="D2853" s="33"/>
      <c r="E2853" s="33"/>
      <c r="F2853" s="56"/>
      <c r="G2853" s="33"/>
      <c r="H2853" s="33"/>
      <c r="I2853" s="33"/>
      <c r="J2853" s="57"/>
      <c r="K2853" s="33"/>
      <c r="L2853" s="57"/>
      <c r="M2853" s="64"/>
      <c r="N2853" s="56"/>
      <c r="O2853" s="64"/>
      <c r="P2853" s="62"/>
      <c r="Q2853" s="33"/>
      <c r="R2853" s="33"/>
      <c r="S2853" s="61"/>
      <c r="T2853" s="33"/>
      <c r="U2853" s="62"/>
      <c r="W2853" s="61"/>
      <c r="AD2853" s="64"/>
    </row>
    <row r="2854" spans="2:33" ht="16">
      <c r="B2854" s="67" t="str">
        <f t="shared" si="12"/>
        <v/>
      </c>
      <c r="C2854" s="33"/>
      <c r="D2854" s="33"/>
      <c r="E2854" s="33"/>
      <c r="F2854" s="56"/>
      <c r="G2854" s="33"/>
      <c r="H2854" s="33"/>
      <c r="I2854" s="33"/>
      <c r="J2854" s="57"/>
      <c r="K2854" s="33"/>
      <c r="L2854" s="57"/>
      <c r="M2854" s="58"/>
      <c r="N2854" s="56"/>
      <c r="O2854" s="64"/>
      <c r="P2854" s="62"/>
      <c r="Q2854" s="33"/>
      <c r="R2854" s="33"/>
      <c r="S2854" s="61"/>
      <c r="T2854" s="33"/>
      <c r="U2854" s="62"/>
      <c r="W2854" s="61"/>
      <c r="AD2854" s="58"/>
    </row>
    <row r="2855" spans="2:33" ht="16">
      <c r="B2855" s="67" t="str">
        <f t="shared" si="12"/>
        <v/>
      </c>
      <c r="C2855" s="33"/>
      <c r="D2855" s="33"/>
      <c r="E2855" s="33"/>
      <c r="F2855" s="56"/>
      <c r="G2855" s="33"/>
      <c r="H2855" s="33"/>
      <c r="I2855" s="33"/>
      <c r="J2855" s="57"/>
      <c r="K2855" s="33"/>
      <c r="L2855" s="57"/>
      <c r="M2855" s="58"/>
      <c r="N2855" s="56"/>
      <c r="O2855" s="64"/>
      <c r="P2855" s="62"/>
      <c r="Q2855" s="33"/>
      <c r="R2855" s="33"/>
      <c r="S2855" s="61"/>
      <c r="T2855" s="33"/>
      <c r="U2855" s="62"/>
      <c r="W2855" s="61"/>
      <c r="AD2855" s="64"/>
      <c r="AG2855" s="64"/>
    </row>
    <row r="2856" spans="2:33" ht="16">
      <c r="B2856" s="67" t="str">
        <f t="shared" si="12"/>
        <v/>
      </c>
      <c r="C2856" s="33"/>
      <c r="D2856" s="33"/>
      <c r="E2856" s="33"/>
      <c r="F2856" s="56"/>
      <c r="G2856" s="33"/>
      <c r="H2856" s="33"/>
      <c r="I2856" s="33"/>
      <c r="J2856" s="57"/>
      <c r="K2856" s="33"/>
      <c r="L2856" s="57"/>
      <c r="M2856" s="58"/>
      <c r="N2856" s="56"/>
      <c r="O2856" s="64"/>
      <c r="P2856" s="62"/>
      <c r="Q2856" s="33"/>
      <c r="R2856" s="33"/>
      <c r="S2856" s="61"/>
      <c r="T2856" s="33"/>
      <c r="U2856" s="62"/>
      <c r="W2856" s="61"/>
      <c r="AD2856" s="64"/>
    </row>
    <row r="2857" spans="2:33" ht="16">
      <c r="B2857" s="67" t="str">
        <f t="shared" si="12"/>
        <v/>
      </c>
      <c r="C2857" s="33"/>
      <c r="D2857" s="33"/>
      <c r="E2857" s="33"/>
      <c r="F2857" s="56"/>
      <c r="G2857" s="33"/>
      <c r="H2857" s="33"/>
      <c r="I2857" s="33"/>
      <c r="J2857" s="57"/>
      <c r="K2857" s="33"/>
      <c r="L2857" s="57"/>
      <c r="M2857" s="58"/>
      <c r="N2857" s="56"/>
      <c r="O2857" s="64"/>
      <c r="P2857" s="62"/>
      <c r="Q2857" s="33"/>
      <c r="R2857" s="33"/>
      <c r="S2857" s="61"/>
      <c r="T2857" s="33"/>
      <c r="U2857" s="62"/>
      <c r="W2857" s="61"/>
      <c r="AD2857" s="58"/>
      <c r="AG2857" s="64"/>
    </row>
    <row r="2858" spans="2:33" ht="16">
      <c r="B2858" s="67" t="str">
        <f t="shared" si="12"/>
        <v/>
      </c>
      <c r="C2858" s="33"/>
      <c r="D2858" s="33"/>
      <c r="E2858" s="33"/>
      <c r="F2858" s="56"/>
      <c r="G2858" s="33"/>
      <c r="H2858" s="33"/>
      <c r="I2858" s="33"/>
      <c r="J2858" s="57"/>
      <c r="K2858" s="33"/>
      <c r="L2858" s="57"/>
      <c r="M2858" s="64"/>
      <c r="N2858" s="56"/>
      <c r="O2858" s="64"/>
      <c r="P2858" s="62"/>
      <c r="Q2858" s="33"/>
      <c r="R2858" s="33"/>
      <c r="S2858" s="61"/>
      <c r="T2858" s="33"/>
      <c r="W2858" s="61"/>
    </row>
    <row r="2859" spans="2:33" ht="16">
      <c r="B2859" s="67" t="str">
        <f t="shared" si="12"/>
        <v/>
      </c>
      <c r="C2859" s="33"/>
      <c r="D2859" s="33"/>
      <c r="E2859" s="33"/>
      <c r="F2859" s="56"/>
      <c r="G2859" s="33"/>
      <c r="H2859" s="33"/>
      <c r="I2859" s="33"/>
      <c r="J2859" s="57"/>
      <c r="K2859" s="33"/>
      <c r="L2859" s="57"/>
      <c r="M2859" s="58"/>
      <c r="N2859" s="56"/>
      <c r="O2859" s="64"/>
      <c r="P2859" s="62"/>
      <c r="Q2859" s="33"/>
      <c r="R2859" s="33"/>
      <c r="S2859" s="61"/>
      <c r="T2859" s="33"/>
      <c r="U2859" s="62"/>
      <c r="W2859" s="61"/>
      <c r="AD2859" s="58"/>
      <c r="AG2859" s="64"/>
    </row>
    <row r="2860" spans="2:33" ht="16">
      <c r="B2860" s="67" t="str">
        <f t="shared" si="12"/>
        <v/>
      </c>
      <c r="C2860" s="33"/>
      <c r="D2860" s="33"/>
      <c r="E2860" s="33"/>
      <c r="F2860" s="56"/>
      <c r="G2860" s="33"/>
      <c r="H2860" s="33"/>
      <c r="I2860" s="33"/>
      <c r="J2860" s="57"/>
      <c r="K2860" s="33"/>
      <c r="L2860" s="57"/>
      <c r="M2860" s="64"/>
      <c r="N2860" s="56"/>
      <c r="O2860" s="64"/>
      <c r="P2860" s="62"/>
      <c r="Q2860" s="33"/>
      <c r="R2860" s="33"/>
      <c r="S2860" s="61"/>
      <c r="T2860" s="33"/>
      <c r="W2860" s="61"/>
      <c r="AD2860" s="64"/>
    </row>
    <row r="2861" spans="2:33" ht="16">
      <c r="B2861" s="67" t="str">
        <f t="shared" si="12"/>
        <v/>
      </c>
      <c r="C2861" s="33"/>
      <c r="D2861" s="33"/>
      <c r="E2861" s="33"/>
      <c r="F2861" s="56"/>
      <c r="G2861" s="33"/>
      <c r="H2861" s="33"/>
      <c r="I2861" s="33"/>
      <c r="J2861" s="57"/>
      <c r="K2861" s="33"/>
      <c r="L2861" s="57"/>
      <c r="M2861" s="58"/>
      <c r="N2861" s="56"/>
      <c r="O2861" s="64"/>
      <c r="P2861" s="62"/>
      <c r="Q2861" s="33"/>
      <c r="R2861" s="33"/>
      <c r="S2861" s="61"/>
      <c r="T2861" s="33"/>
      <c r="W2861" s="61"/>
      <c r="AD2861" s="58"/>
    </row>
    <row r="2862" spans="2:33" ht="16">
      <c r="B2862" s="67" t="str">
        <f t="shared" si="12"/>
        <v/>
      </c>
      <c r="C2862" s="33"/>
      <c r="D2862" s="33"/>
      <c r="E2862" s="33"/>
      <c r="F2862" s="56"/>
      <c r="G2862" s="33"/>
      <c r="H2862" s="33"/>
      <c r="I2862" s="33"/>
      <c r="J2862" s="57"/>
      <c r="K2862" s="33"/>
      <c r="L2862" s="57"/>
      <c r="M2862" s="64"/>
      <c r="N2862" s="56"/>
      <c r="O2862" s="64"/>
      <c r="P2862" s="62"/>
      <c r="Q2862" s="33"/>
      <c r="R2862" s="33"/>
      <c r="S2862" s="61"/>
      <c r="T2862" s="33"/>
      <c r="W2862" s="61"/>
      <c r="AD2862" s="64"/>
      <c r="AG2862" s="58"/>
    </row>
    <row r="2863" spans="2:33" ht="16">
      <c r="B2863" s="67" t="str">
        <f t="shared" si="12"/>
        <v/>
      </c>
      <c r="C2863" s="33"/>
      <c r="D2863" s="33"/>
      <c r="E2863" s="33"/>
      <c r="F2863" s="56"/>
      <c r="G2863" s="33"/>
      <c r="H2863" s="33"/>
      <c r="I2863" s="33"/>
      <c r="J2863" s="57"/>
      <c r="K2863" s="33"/>
      <c r="L2863" s="57"/>
      <c r="M2863" s="58"/>
      <c r="N2863" s="56"/>
      <c r="O2863" s="64"/>
      <c r="P2863" s="62"/>
      <c r="Q2863" s="33"/>
      <c r="R2863" s="33"/>
      <c r="S2863" s="61"/>
      <c r="T2863" s="33"/>
      <c r="W2863" s="61"/>
      <c r="AD2863" s="64"/>
    </row>
    <row r="2864" spans="2:33" ht="16">
      <c r="B2864" s="67" t="str">
        <f t="shared" si="12"/>
        <v/>
      </c>
      <c r="C2864" s="33"/>
      <c r="D2864" s="33"/>
      <c r="E2864" s="33"/>
      <c r="F2864" s="56"/>
      <c r="G2864" s="33"/>
      <c r="H2864" s="33"/>
      <c r="I2864" s="33"/>
      <c r="J2864" s="57"/>
      <c r="K2864" s="33"/>
      <c r="L2864" s="57"/>
      <c r="M2864" s="64"/>
      <c r="N2864" s="56"/>
      <c r="O2864" s="64"/>
      <c r="P2864" s="62"/>
      <c r="Q2864" s="33"/>
      <c r="R2864" s="33"/>
      <c r="S2864" s="61"/>
      <c r="T2864" s="33"/>
      <c r="W2864" s="61"/>
      <c r="AD2864" s="64"/>
    </row>
    <row r="2865" spans="2:30" ht="16">
      <c r="B2865" s="67" t="str">
        <f t="shared" si="12"/>
        <v/>
      </c>
      <c r="C2865" s="33"/>
      <c r="D2865" s="33"/>
      <c r="E2865" s="33"/>
      <c r="F2865" s="56"/>
      <c r="G2865" s="33"/>
      <c r="H2865" s="33"/>
      <c r="I2865" s="33"/>
      <c r="J2865" s="57"/>
      <c r="K2865" s="33"/>
      <c r="L2865" s="57"/>
      <c r="M2865" s="64"/>
      <c r="N2865" s="56"/>
      <c r="O2865" s="64"/>
      <c r="P2865" s="62"/>
      <c r="Q2865" s="33"/>
      <c r="R2865" s="33"/>
      <c r="S2865" s="61"/>
      <c r="T2865" s="33"/>
      <c r="W2865" s="61"/>
      <c r="AD2865" s="64"/>
    </row>
    <row r="2866" spans="2:30" ht="16">
      <c r="B2866" s="67" t="str">
        <f t="shared" si="12"/>
        <v/>
      </c>
      <c r="C2866" s="33"/>
      <c r="D2866" s="33"/>
      <c r="E2866" s="33"/>
      <c r="F2866" s="56"/>
      <c r="G2866" s="33"/>
      <c r="H2866" s="33"/>
      <c r="I2866" s="33"/>
      <c r="J2866" s="57"/>
      <c r="K2866" s="33"/>
      <c r="L2866" s="57"/>
      <c r="M2866" s="58"/>
      <c r="N2866" s="56"/>
      <c r="O2866" s="64"/>
      <c r="P2866" s="62"/>
      <c r="Q2866" s="33"/>
      <c r="R2866" s="33"/>
      <c r="S2866" s="61"/>
      <c r="T2866" s="33"/>
      <c r="W2866" s="61"/>
      <c r="AD2866" s="64"/>
    </row>
    <row r="2867" spans="2:30" ht="16">
      <c r="B2867" s="67" t="str">
        <f t="shared" si="12"/>
        <v/>
      </c>
      <c r="C2867" s="33"/>
      <c r="D2867" s="33"/>
      <c r="E2867" s="33"/>
      <c r="F2867" s="56"/>
      <c r="G2867" s="33"/>
      <c r="H2867" s="33"/>
      <c r="I2867" s="33"/>
      <c r="J2867" s="57"/>
      <c r="K2867" s="33"/>
      <c r="L2867" s="57"/>
      <c r="M2867" s="64"/>
      <c r="N2867" s="56"/>
      <c r="O2867" s="64"/>
      <c r="P2867" s="62"/>
      <c r="Q2867" s="33"/>
      <c r="R2867" s="33"/>
      <c r="S2867" s="61"/>
      <c r="T2867" s="33"/>
      <c r="W2867" s="61"/>
      <c r="AD2867" s="64"/>
    </row>
    <row r="2868" spans="2:30" ht="16">
      <c r="B2868" s="67" t="str">
        <f t="shared" si="12"/>
        <v/>
      </c>
      <c r="C2868" s="33"/>
      <c r="D2868" s="33"/>
      <c r="E2868" s="33"/>
      <c r="F2868" s="56"/>
      <c r="G2868" s="33"/>
      <c r="H2868" s="33"/>
      <c r="I2868" s="33"/>
      <c r="J2868" s="57"/>
      <c r="K2868" s="33"/>
      <c r="L2868" s="57"/>
      <c r="M2868" s="58"/>
      <c r="N2868" s="56"/>
      <c r="O2868" s="64"/>
      <c r="P2868" s="62"/>
      <c r="Q2868" s="33"/>
      <c r="R2868" s="33"/>
      <c r="S2868" s="61"/>
      <c r="T2868" s="33"/>
      <c r="W2868" s="61"/>
      <c r="AD2868" s="58"/>
    </row>
    <row r="2869" spans="2:30" ht="16">
      <c r="B2869" s="67" t="str">
        <f t="shared" si="12"/>
        <v/>
      </c>
      <c r="C2869" s="33"/>
      <c r="D2869" s="33"/>
      <c r="E2869" s="33"/>
      <c r="F2869" s="56"/>
      <c r="G2869" s="33"/>
      <c r="H2869" s="33"/>
      <c r="I2869" s="33"/>
      <c r="J2869" s="57"/>
      <c r="K2869" s="33"/>
      <c r="L2869" s="57"/>
      <c r="M2869" s="64"/>
      <c r="N2869" s="56"/>
      <c r="O2869" s="64"/>
      <c r="P2869" s="62"/>
      <c r="Q2869" s="33"/>
      <c r="R2869" s="33"/>
      <c r="S2869" s="61"/>
      <c r="T2869" s="33"/>
      <c r="W2869" s="61"/>
      <c r="AD2869" s="64"/>
    </row>
    <row r="2870" spans="2:30" ht="16">
      <c r="B2870" s="67" t="str">
        <f t="shared" si="12"/>
        <v/>
      </c>
      <c r="C2870" s="33"/>
      <c r="D2870" s="33"/>
      <c r="E2870" s="33"/>
      <c r="F2870" s="56"/>
      <c r="G2870" s="33"/>
      <c r="H2870" s="33"/>
      <c r="I2870" s="33"/>
      <c r="J2870" s="57"/>
      <c r="K2870" s="33"/>
      <c r="L2870" s="57"/>
      <c r="M2870" s="64"/>
      <c r="N2870" s="56"/>
      <c r="O2870" s="64"/>
      <c r="P2870" s="62"/>
      <c r="Q2870" s="33"/>
      <c r="R2870" s="33"/>
      <c r="S2870" s="61"/>
      <c r="T2870" s="33"/>
      <c r="W2870" s="61"/>
      <c r="AD2870" s="64"/>
    </row>
    <row r="2871" spans="2:30" ht="16">
      <c r="B2871" s="67" t="str">
        <f t="shared" si="12"/>
        <v/>
      </c>
      <c r="C2871" s="33"/>
      <c r="D2871" s="33"/>
      <c r="E2871" s="33"/>
      <c r="F2871" s="56"/>
      <c r="G2871" s="33"/>
      <c r="H2871" s="33"/>
      <c r="I2871" s="33"/>
      <c r="J2871" s="57"/>
      <c r="K2871" s="33"/>
      <c r="L2871" s="57"/>
      <c r="M2871" s="58"/>
      <c r="N2871" s="56"/>
      <c r="O2871" s="64"/>
      <c r="P2871" s="62"/>
      <c r="Q2871" s="33"/>
      <c r="R2871" s="33"/>
      <c r="S2871" s="61"/>
      <c r="T2871" s="33"/>
      <c r="W2871" s="61"/>
      <c r="AD2871" s="64"/>
    </row>
    <row r="2872" spans="2:30" ht="16">
      <c r="B2872" s="67" t="str">
        <f t="shared" si="12"/>
        <v/>
      </c>
      <c r="C2872" s="33"/>
      <c r="D2872" s="33"/>
      <c r="E2872" s="33"/>
      <c r="F2872" s="56"/>
      <c r="G2872" s="33"/>
      <c r="H2872" s="33"/>
      <c r="I2872" s="33"/>
      <c r="J2872" s="57"/>
      <c r="K2872" s="33"/>
      <c r="L2872" s="57"/>
      <c r="M2872" s="64"/>
      <c r="N2872" s="56"/>
      <c r="O2872" s="64"/>
      <c r="P2872" s="62"/>
      <c r="Q2872" s="33"/>
      <c r="R2872" s="33"/>
      <c r="S2872" s="61"/>
      <c r="T2872" s="33"/>
      <c r="W2872" s="61"/>
      <c r="AD2872" s="64"/>
    </row>
    <row r="2873" spans="2:30" ht="16">
      <c r="B2873" s="67" t="str">
        <f t="shared" si="12"/>
        <v/>
      </c>
      <c r="C2873" s="33"/>
      <c r="D2873" s="33"/>
      <c r="E2873" s="33"/>
      <c r="F2873" s="56"/>
      <c r="G2873" s="33"/>
      <c r="H2873" s="33"/>
      <c r="I2873" s="33"/>
      <c r="J2873" s="57"/>
      <c r="K2873" s="33"/>
      <c r="L2873" s="57"/>
      <c r="M2873" s="64"/>
      <c r="N2873" s="56"/>
      <c r="O2873" s="64"/>
      <c r="P2873" s="62"/>
      <c r="Q2873" s="33"/>
      <c r="R2873" s="33"/>
      <c r="S2873" s="61"/>
      <c r="T2873" s="33"/>
      <c r="W2873" s="61"/>
      <c r="AD2873" s="64"/>
    </row>
    <row r="2874" spans="2:30" ht="16">
      <c r="B2874" s="67" t="str">
        <f t="shared" si="12"/>
        <v/>
      </c>
      <c r="C2874" s="33"/>
      <c r="D2874" s="33"/>
      <c r="E2874" s="33"/>
      <c r="F2874" s="56"/>
      <c r="G2874" s="33"/>
      <c r="H2874" s="33"/>
      <c r="I2874" s="33"/>
      <c r="J2874" s="57"/>
      <c r="K2874" s="33"/>
      <c r="L2874" s="57"/>
      <c r="M2874" s="58"/>
      <c r="N2874" s="56"/>
      <c r="O2874" s="64"/>
      <c r="P2874" s="62"/>
      <c r="Q2874" s="33"/>
      <c r="R2874" s="33"/>
      <c r="S2874" s="61"/>
      <c r="T2874" s="33"/>
      <c r="W2874" s="61"/>
      <c r="AD2874" s="64"/>
    </row>
    <row r="2875" spans="2:30" ht="16">
      <c r="B2875" s="67" t="str">
        <f t="shared" si="12"/>
        <v/>
      </c>
      <c r="C2875" s="33"/>
      <c r="D2875" s="33"/>
      <c r="E2875" s="33"/>
      <c r="F2875" s="56"/>
      <c r="G2875" s="33"/>
      <c r="H2875" s="33"/>
      <c r="I2875" s="33"/>
      <c r="J2875" s="57"/>
      <c r="K2875" s="33"/>
      <c r="L2875" s="57"/>
      <c r="M2875" s="58"/>
      <c r="N2875" s="56"/>
      <c r="O2875" s="64"/>
      <c r="P2875" s="62"/>
      <c r="Q2875" s="33"/>
      <c r="R2875" s="33"/>
      <c r="S2875" s="61"/>
      <c r="T2875" s="33"/>
      <c r="W2875" s="61"/>
      <c r="AD2875" s="58"/>
    </row>
    <row r="2876" spans="2:30" ht="16">
      <c r="B2876" s="67" t="str">
        <f t="shared" si="12"/>
        <v/>
      </c>
      <c r="C2876" s="33"/>
      <c r="D2876" s="33"/>
      <c r="E2876" s="33"/>
      <c r="F2876" s="56"/>
      <c r="G2876" s="33"/>
      <c r="H2876" s="33"/>
      <c r="I2876" s="33"/>
      <c r="J2876" s="57"/>
      <c r="K2876" s="33"/>
      <c r="L2876" s="57"/>
      <c r="M2876" s="64"/>
      <c r="N2876" s="56"/>
      <c r="O2876" s="64"/>
      <c r="P2876" s="62"/>
      <c r="Q2876" s="64"/>
      <c r="R2876" s="33"/>
      <c r="S2876" s="61"/>
      <c r="T2876" s="33"/>
      <c r="W2876" s="61"/>
      <c r="AD2876" s="64"/>
    </row>
    <row r="2877" spans="2:30" ht="16">
      <c r="B2877" s="67" t="str">
        <f t="shared" si="12"/>
        <v/>
      </c>
      <c r="C2877" s="33"/>
      <c r="D2877" s="33"/>
      <c r="E2877" s="33"/>
      <c r="F2877" s="56"/>
      <c r="G2877" s="33"/>
      <c r="H2877" s="33"/>
      <c r="I2877" s="33"/>
      <c r="J2877" s="57"/>
      <c r="K2877" s="33"/>
      <c r="L2877" s="57"/>
      <c r="M2877" s="64"/>
      <c r="N2877" s="56"/>
      <c r="O2877" s="64"/>
      <c r="P2877" s="62"/>
      <c r="Q2877" s="64"/>
      <c r="R2877" s="33"/>
      <c r="S2877" s="61"/>
      <c r="T2877" s="33"/>
      <c r="W2877" s="61"/>
      <c r="AD2877" s="64"/>
    </row>
    <row r="2878" spans="2:30" ht="16">
      <c r="B2878" s="67" t="str">
        <f t="shared" si="12"/>
        <v/>
      </c>
      <c r="C2878" s="33"/>
      <c r="D2878" s="33"/>
      <c r="E2878" s="33"/>
      <c r="F2878" s="56"/>
      <c r="G2878" s="33"/>
      <c r="H2878" s="33"/>
      <c r="I2878" s="33"/>
      <c r="J2878" s="57"/>
      <c r="K2878" s="33"/>
      <c r="L2878" s="57"/>
      <c r="M2878" s="64"/>
      <c r="N2878" s="56"/>
      <c r="O2878" s="64"/>
      <c r="P2878" s="62"/>
      <c r="Q2878" s="64"/>
      <c r="R2878" s="33"/>
      <c r="S2878" s="61"/>
      <c r="T2878" s="33"/>
      <c r="W2878" s="61"/>
      <c r="AD2878" s="64"/>
    </row>
    <row r="2879" spans="2:30" ht="16">
      <c r="B2879" s="67" t="str">
        <f t="shared" si="12"/>
        <v/>
      </c>
      <c r="C2879" s="33"/>
      <c r="D2879" s="33"/>
      <c r="E2879" s="33"/>
      <c r="F2879" s="56"/>
      <c r="G2879" s="33"/>
      <c r="H2879" s="33"/>
      <c r="I2879" s="33"/>
      <c r="J2879" s="57"/>
      <c r="K2879" s="33"/>
      <c r="L2879" s="57"/>
      <c r="M2879" s="64"/>
      <c r="N2879" s="56"/>
      <c r="O2879" s="64"/>
      <c r="P2879" s="62"/>
      <c r="Q2879" s="64"/>
      <c r="R2879" s="33"/>
      <c r="S2879" s="61"/>
      <c r="T2879" s="33"/>
      <c r="W2879" s="61"/>
      <c r="AD2879" s="58"/>
    </row>
    <row r="2880" spans="2:30" ht="16">
      <c r="B2880" s="67" t="str">
        <f t="shared" si="12"/>
        <v/>
      </c>
      <c r="C2880" s="33"/>
      <c r="D2880" s="33"/>
      <c r="E2880" s="33"/>
      <c r="F2880" s="56"/>
      <c r="G2880" s="33"/>
      <c r="H2880" s="33"/>
      <c r="I2880" s="33"/>
      <c r="J2880" s="57"/>
      <c r="K2880" s="33"/>
      <c r="L2880" s="57"/>
      <c r="M2880" s="64"/>
      <c r="N2880" s="56"/>
      <c r="O2880" s="64"/>
      <c r="P2880" s="62"/>
      <c r="Q2880" s="64"/>
      <c r="R2880" s="33"/>
      <c r="S2880" s="61"/>
      <c r="T2880" s="33"/>
      <c r="W2880" s="61"/>
      <c r="AD2880" s="64"/>
    </row>
    <row r="2881" spans="2:33" ht="16">
      <c r="B2881" s="67" t="str">
        <f t="shared" si="12"/>
        <v/>
      </c>
      <c r="C2881" s="33"/>
      <c r="D2881" s="33"/>
      <c r="E2881" s="33"/>
      <c r="F2881" s="56"/>
      <c r="G2881" s="33"/>
      <c r="H2881" s="33"/>
      <c r="I2881" s="33"/>
      <c r="J2881" s="57"/>
      <c r="K2881" s="33"/>
      <c r="L2881" s="57"/>
      <c r="M2881" s="58"/>
      <c r="N2881" s="56"/>
      <c r="O2881" s="64"/>
      <c r="P2881" s="62"/>
      <c r="Q2881" s="64"/>
      <c r="R2881" s="33"/>
      <c r="S2881" s="61"/>
      <c r="T2881" s="33"/>
      <c r="W2881" s="61"/>
      <c r="AD2881" s="58"/>
    </row>
    <row r="2882" spans="2:33" ht="16">
      <c r="B2882" s="67" t="str">
        <f t="shared" si="12"/>
        <v/>
      </c>
      <c r="C2882" s="33"/>
      <c r="D2882" s="33"/>
      <c r="E2882" s="33"/>
      <c r="F2882" s="56"/>
      <c r="G2882" s="33"/>
      <c r="H2882" s="33"/>
      <c r="I2882" s="33"/>
      <c r="J2882" s="57"/>
      <c r="K2882" s="33"/>
      <c r="L2882" s="57"/>
      <c r="M2882" s="64"/>
      <c r="N2882" s="56"/>
      <c r="O2882" s="64"/>
      <c r="P2882" s="62"/>
      <c r="Q2882" s="64"/>
      <c r="R2882" s="33"/>
      <c r="S2882" s="61"/>
      <c r="T2882" s="33"/>
      <c r="W2882" s="61"/>
      <c r="AD2882" s="64"/>
    </row>
    <row r="2883" spans="2:33" ht="16">
      <c r="B2883" s="67" t="str">
        <f t="shared" si="12"/>
        <v/>
      </c>
      <c r="C2883" s="33"/>
      <c r="D2883" s="33"/>
      <c r="E2883" s="33"/>
      <c r="F2883" s="56"/>
      <c r="G2883" s="33"/>
      <c r="H2883" s="33"/>
      <c r="I2883" s="33"/>
      <c r="J2883" s="57"/>
      <c r="K2883" s="33"/>
      <c r="L2883" s="57"/>
      <c r="M2883" s="58"/>
      <c r="N2883" s="56"/>
      <c r="O2883" s="64"/>
      <c r="P2883" s="62"/>
      <c r="Q2883" s="64"/>
      <c r="R2883" s="33"/>
      <c r="S2883" s="61"/>
      <c r="T2883" s="33"/>
      <c r="W2883" s="61"/>
      <c r="AD2883" s="64"/>
    </row>
    <row r="2884" spans="2:33" ht="16">
      <c r="B2884" s="67" t="str">
        <f t="shared" si="12"/>
        <v/>
      </c>
      <c r="C2884" s="33"/>
      <c r="D2884" s="33"/>
      <c r="E2884" s="33"/>
      <c r="F2884" s="56"/>
      <c r="G2884" s="33"/>
      <c r="H2884" s="33"/>
      <c r="I2884" s="33"/>
      <c r="J2884" s="57"/>
      <c r="K2884" s="33"/>
      <c r="L2884" s="57"/>
      <c r="M2884" s="64"/>
      <c r="N2884" s="56"/>
      <c r="O2884" s="64"/>
      <c r="P2884" s="62"/>
      <c r="Q2884" s="64"/>
      <c r="R2884" s="33"/>
      <c r="S2884" s="61"/>
      <c r="T2884" s="33"/>
      <c r="W2884" s="61"/>
      <c r="AD2884" s="58"/>
      <c r="AG2884" s="64"/>
    </row>
    <row r="2885" spans="2:33" ht="16">
      <c r="B2885" s="67" t="str">
        <f t="shared" si="12"/>
        <v/>
      </c>
      <c r="C2885" s="33"/>
      <c r="D2885" s="33"/>
      <c r="E2885" s="33"/>
      <c r="F2885" s="56"/>
      <c r="G2885" s="33"/>
      <c r="H2885" s="33"/>
      <c r="I2885" s="33"/>
      <c r="J2885" s="57"/>
      <c r="K2885" s="33"/>
      <c r="L2885" s="57"/>
      <c r="M2885" s="58"/>
      <c r="N2885" s="56"/>
      <c r="O2885" s="64"/>
      <c r="P2885" s="62"/>
      <c r="Q2885" s="64"/>
      <c r="R2885" s="33"/>
      <c r="S2885" s="61"/>
      <c r="T2885" s="33"/>
      <c r="W2885" s="61"/>
      <c r="AD2885" s="64"/>
    </row>
    <row r="2886" spans="2:33" ht="16">
      <c r="B2886" s="67" t="str">
        <f t="shared" si="12"/>
        <v/>
      </c>
      <c r="C2886" s="33"/>
      <c r="D2886" s="33"/>
      <c r="E2886" s="33"/>
      <c r="F2886" s="56"/>
      <c r="G2886" s="33"/>
      <c r="H2886" s="33"/>
      <c r="I2886" s="33"/>
      <c r="J2886" s="57"/>
      <c r="K2886" s="33"/>
      <c r="L2886" s="57"/>
      <c r="M2886" s="64"/>
      <c r="N2886" s="56"/>
      <c r="O2886" s="64"/>
      <c r="P2886" s="62"/>
      <c r="Q2886" s="64"/>
      <c r="R2886" s="33"/>
      <c r="S2886" s="61"/>
      <c r="T2886" s="33"/>
      <c r="W2886" s="61"/>
      <c r="AD2886" s="64"/>
    </row>
    <row r="2887" spans="2:33" ht="16">
      <c r="B2887" s="67" t="str">
        <f t="shared" si="12"/>
        <v/>
      </c>
      <c r="C2887" s="33"/>
      <c r="D2887" s="33"/>
      <c r="E2887" s="33"/>
      <c r="F2887" s="56"/>
      <c r="G2887" s="33"/>
      <c r="H2887" s="33"/>
      <c r="I2887" s="33"/>
      <c r="J2887" s="57"/>
      <c r="K2887" s="33"/>
      <c r="L2887" s="57"/>
      <c r="M2887" s="58"/>
      <c r="N2887" s="56"/>
      <c r="O2887" s="64"/>
      <c r="P2887" s="62"/>
      <c r="Q2887" s="64"/>
      <c r="R2887" s="33"/>
      <c r="S2887" s="61"/>
      <c r="T2887" s="33"/>
      <c r="W2887" s="61"/>
      <c r="AD2887" s="64"/>
    </row>
    <row r="2888" spans="2:33" ht="16">
      <c r="B2888" s="67" t="str">
        <f t="shared" si="12"/>
        <v/>
      </c>
      <c r="C2888" s="33"/>
      <c r="D2888" s="33"/>
      <c r="E2888" s="33"/>
      <c r="F2888" s="56"/>
      <c r="G2888" s="33"/>
      <c r="H2888" s="33"/>
      <c r="I2888" s="33"/>
      <c r="J2888" s="57"/>
      <c r="K2888" s="33"/>
      <c r="L2888" s="57"/>
      <c r="M2888" s="58"/>
      <c r="N2888" s="56"/>
      <c r="O2888" s="64"/>
      <c r="P2888" s="62"/>
      <c r="Q2888" s="64"/>
      <c r="R2888" s="33"/>
      <c r="S2888" s="61"/>
      <c r="T2888" s="33"/>
      <c r="W2888" s="61"/>
      <c r="AD2888" s="64"/>
    </row>
    <row r="2889" spans="2:33" ht="16">
      <c r="B2889" s="67" t="str">
        <f t="shared" si="12"/>
        <v/>
      </c>
      <c r="C2889" s="33"/>
      <c r="D2889" s="33"/>
      <c r="E2889" s="33"/>
      <c r="F2889" s="56"/>
      <c r="G2889" s="33"/>
      <c r="H2889" s="33"/>
      <c r="I2889" s="33"/>
      <c r="J2889" s="57"/>
      <c r="K2889" s="33"/>
      <c r="L2889" s="57"/>
      <c r="M2889" s="64"/>
      <c r="N2889" s="56"/>
      <c r="O2889" s="64"/>
      <c r="P2889" s="62"/>
      <c r="Q2889" s="64"/>
      <c r="R2889" s="33"/>
      <c r="S2889" s="61"/>
      <c r="T2889" s="33"/>
      <c r="W2889" s="61"/>
      <c r="AD2889" s="64"/>
    </row>
    <row r="2890" spans="2:33" ht="16">
      <c r="B2890" s="67" t="str">
        <f t="shared" si="12"/>
        <v/>
      </c>
      <c r="C2890" s="33"/>
      <c r="D2890" s="33"/>
      <c r="E2890" s="33"/>
      <c r="F2890" s="56"/>
      <c r="G2890" s="33"/>
      <c r="H2890" s="33"/>
      <c r="I2890" s="33"/>
      <c r="J2890" s="57"/>
      <c r="K2890" s="33"/>
      <c r="L2890" s="57"/>
      <c r="M2890" s="58"/>
      <c r="N2890" s="56"/>
      <c r="O2890" s="64"/>
      <c r="P2890" s="62"/>
      <c r="Q2890" s="64"/>
      <c r="R2890" s="33"/>
      <c r="S2890" s="61"/>
      <c r="T2890" s="33"/>
      <c r="W2890" s="61"/>
      <c r="AD2890" s="58"/>
    </row>
    <row r="2891" spans="2:33" ht="16">
      <c r="B2891" s="67" t="str">
        <f t="shared" si="12"/>
        <v/>
      </c>
      <c r="C2891" s="33"/>
      <c r="D2891" s="33"/>
      <c r="E2891" s="33"/>
      <c r="F2891" s="56"/>
      <c r="G2891" s="33"/>
      <c r="H2891" s="33"/>
      <c r="I2891" s="33"/>
      <c r="J2891" s="57"/>
      <c r="K2891" s="33"/>
      <c r="L2891" s="57"/>
      <c r="M2891" s="64"/>
      <c r="N2891" s="56"/>
      <c r="O2891" s="64"/>
      <c r="P2891" s="62"/>
      <c r="Q2891" s="64"/>
      <c r="R2891" s="33"/>
      <c r="S2891" s="61"/>
      <c r="T2891" s="33"/>
      <c r="W2891" s="61"/>
      <c r="AD2891" s="64"/>
    </row>
    <row r="2892" spans="2:33" ht="16">
      <c r="B2892" s="67" t="str">
        <f t="shared" si="12"/>
        <v/>
      </c>
      <c r="C2892" s="33"/>
      <c r="D2892" s="33"/>
      <c r="E2892" s="33"/>
      <c r="F2892" s="56"/>
      <c r="G2892" s="33"/>
      <c r="H2892" s="33"/>
      <c r="I2892" s="33"/>
      <c r="J2892" s="57"/>
      <c r="K2892" s="33"/>
      <c r="L2892" s="57"/>
      <c r="M2892" s="64"/>
      <c r="N2892" s="56"/>
      <c r="O2892" s="64"/>
      <c r="P2892" s="62"/>
      <c r="Q2892" s="64"/>
      <c r="R2892" s="33"/>
      <c r="S2892" s="61"/>
      <c r="T2892" s="33"/>
      <c r="W2892" s="61"/>
      <c r="AD2892" s="64"/>
    </row>
    <row r="2893" spans="2:33" ht="16">
      <c r="B2893" s="67" t="str">
        <f t="shared" si="12"/>
        <v/>
      </c>
      <c r="C2893" s="33"/>
      <c r="D2893" s="33"/>
      <c r="E2893" s="33"/>
      <c r="F2893" s="56"/>
      <c r="G2893" s="33"/>
      <c r="H2893" s="33"/>
      <c r="I2893" s="33"/>
      <c r="J2893" s="57"/>
      <c r="K2893" s="33"/>
      <c r="L2893" s="57"/>
      <c r="M2893" s="64"/>
      <c r="N2893" s="56"/>
      <c r="O2893" s="64"/>
      <c r="P2893" s="62"/>
      <c r="Q2893" s="64"/>
      <c r="R2893" s="33"/>
      <c r="S2893" s="61"/>
      <c r="T2893" s="33"/>
      <c r="W2893" s="61"/>
      <c r="AD2893" s="64"/>
    </row>
    <row r="2894" spans="2:33" ht="16">
      <c r="B2894" s="67" t="str">
        <f t="shared" si="12"/>
        <v/>
      </c>
      <c r="C2894" s="33"/>
      <c r="D2894" s="33"/>
      <c r="E2894" s="33"/>
      <c r="F2894" s="56"/>
      <c r="G2894" s="33"/>
      <c r="H2894" s="33"/>
      <c r="I2894" s="33"/>
      <c r="J2894" s="57"/>
      <c r="K2894" s="33"/>
      <c r="L2894" s="57"/>
      <c r="M2894" s="58"/>
      <c r="N2894" s="56"/>
      <c r="O2894" s="64"/>
      <c r="P2894" s="62"/>
      <c r="Q2894" s="64"/>
      <c r="R2894" s="33"/>
      <c r="S2894" s="61"/>
      <c r="T2894" s="33"/>
      <c r="W2894" s="61"/>
      <c r="AD2894" s="58"/>
    </row>
    <row r="2895" spans="2:33" ht="16">
      <c r="B2895" s="67" t="str">
        <f t="shared" si="12"/>
        <v/>
      </c>
      <c r="C2895" s="33"/>
      <c r="D2895" s="33"/>
      <c r="E2895" s="33"/>
      <c r="F2895" s="56"/>
      <c r="G2895" s="33"/>
      <c r="H2895" s="33"/>
      <c r="I2895" s="33"/>
      <c r="J2895" s="57"/>
      <c r="K2895" s="33"/>
      <c r="L2895" s="57"/>
      <c r="M2895" s="64"/>
      <c r="N2895" s="56"/>
      <c r="O2895" s="64"/>
      <c r="P2895" s="62"/>
      <c r="Q2895" s="64"/>
      <c r="R2895" s="33"/>
      <c r="S2895" s="61"/>
      <c r="T2895" s="33"/>
      <c r="W2895" s="61"/>
      <c r="AD2895" s="58"/>
    </row>
    <row r="2896" spans="2:33" ht="16">
      <c r="B2896" s="67" t="str">
        <f t="shared" si="12"/>
        <v/>
      </c>
      <c r="C2896" s="33"/>
      <c r="D2896" s="33"/>
      <c r="E2896" s="33"/>
      <c r="F2896" s="56"/>
      <c r="G2896" s="33"/>
      <c r="H2896" s="33"/>
      <c r="I2896" s="33"/>
      <c r="J2896" s="57"/>
      <c r="K2896" s="33"/>
      <c r="L2896" s="57"/>
      <c r="M2896" s="33"/>
      <c r="N2896" s="56"/>
      <c r="O2896" s="64"/>
      <c r="P2896" s="62"/>
      <c r="Q2896" s="64"/>
      <c r="R2896" s="33"/>
      <c r="S2896" s="61"/>
      <c r="T2896" s="33"/>
      <c r="W2896" s="61"/>
      <c r="AF2896" s="60"/>
    </row>
    <row r="2897" spans="2:32" ht="16">
      <c r="B2897" s="67" t="str">
        <f t="shared" si="12"/>
        <v/>
      </c>
      <c r="C2897" s="33"/>
      <c r="D2897" s="33"/>
      <c r="E2897" s="33"/>
      <c r="F2897" s="56"/>
      <c r="G2897" s="33"/>
      <c r="H2897" s="33"/>
      <c r="I2897" s="33"/>
      <c r="J2897" s="57"/>
      <c r="K2897" s="33"/>
      <c r="L2897" s="57"/>
      <c r="M2897" s="33"/>
      <c r="N2897" s="56"/>
      <c r="O2897" s="64"/>
      <c r="P2897" s="62"/>
      <c r="Q2897" s="64"/>
      <c r="R2897" s="33"/>
      <c r="S2897" s="61"/>
      <c r="T2897" s="33"/>
      <c r="W2897" s="61"/>
      <c r="AF2897" s="60"/>
    </row>
    <row r="2898" spans="2:32" ht="16">
      <c r="B2898" s="67" t="str">
        <f t="shared" si="12"/>
        <v/>
      </c>
      <c r="C2898" s="33"/>
      <c r="D2898" s="33"/>
      <c r="E2898" s="33"/>
      <c r="F2898" s="56"/>
      <c r="G2898" s="33"/>
      <c r="H2898" s="33"/>
      <c r="I2898" s="33"/>
      <c r="J2898" s="57"/>
      <c r="K2898" s="33"/>
      <c r="L2898" s="57"/>
      <c r="M2898" s="33"/>
      <c r="N2898" s="56"/>
      <c r="O2898" s="64"/>
      <c r="P2898" s="62"/>
      <c r="Q2898" s="64"/>
      <c r="R2898" s="33"/>
      <c r="S2898" s="61"/>
      <c r="T2898" s="33"/>
      <c r="W2898" s="61"/>
      <c r="AF2898" s="60"/>
    </row>
    <row r="2899" spans="2:32" ht="16">
      <c r="B2899" s="67" t="str">
        <f t="shared" si="12"/>
        <v/>
      </c>
      <c r="C2899" s="33"/>
      <c r="D2899" s="33"/>
      <c r="E2899" s="33"/>
      <c r="F2899" s="56"/>
      <c r="G2899" s="33"/>
      <c r="H2899" s="33"/>
      <c r="I2899" s="33"/>
      <c r="J2899" s="57"/>
      <c r="K2899" s="33"/>
      <c r="L2899" s="57"/>
      <c r="M2899" s="33"/>
      <c r="N2899" s="56"/>
      <c r="O2899" s="64"/>
      <c r="P2899" s="62"/>
      <c r="Q2899" s="64"/>
      <c r="R2899" s="33"/>
      <c r="S2899" s="61"/>
      <c r="T2899" s="33"/>
      <c r="W2899" s="61"/>
      <c r="AF2899" s="60"/>
    </row>
    <row r="2900" spans="2:32" ht="16">
      <c r="B2900" s="67" t="str">
        <f t="shared" si="12"/>
        <v/>
      </c>
      <c r="C2900" s="33"/>
      <c r="D2900" s="33"/>
      <c r="E2900" s="33"/>
      <c r="F2900" s="56"/>
      <c r="G2900" s="33"/>
      <c r="H2900" s="33"/>
      <c r="I2900" s="33"/>
      <c r="J2900" s="57"/>
      <c r="K2900" s="33"/>
      <c r="L2900" s="57"/>
      <c r="M2900" s="33"/>
      <c r="N2900" s="56"/>
      <c r="O2900" s="64"/>
      <c r="P2900" s="62"/>
      <c r="Q2900" s="64"/>
      <c r="R2900" s="33"/>
      <c r="S2900" s="61"/>
      <c r="T2900" s="33"/>
      <c r="W2900" s="61"/>
      <c r="AF2900" s="60"/>
    </row>
    <row r="2901" spans="2:32" ht="16">
      <c r="B2901" s="67" t="str">
        <f t="shared" si="12"/>
        <v/>
      </c>
      <c r="C2901" s="33"/>
      <c r="D2901" s="33"/>
      <c r="E2901" s="33"/>
      <c r="F2901" s="56"/>
      <c r="G2901" s="33"/>
      <c r="H2901" s="33"/>
      <c r="I2901" s="33"/>
      <c r="J2901" s="57"/>
      <c r="K2901" s="33"/>
      <c r="L2901" s="57"/>
      <c r="M2901" s="33"/>
      <c r="N2901" s="56"/>
      <c r="O2901" s="64"/>
      <c r="P2901" s="62"/>
      <c r="Q2901" s="64"/>
      <c r="R2901" s="33"/>
      <c r="S2901" s="61"/>
      <c r="T2901" s="33"/>
      <c r="W2901" s="61"/>
      <c r="AF2901" s="60"/>
    </row>
    <row r="2902" spans="2:32" ht="16">
      <c r="B2902" s="67" t="str">
        <f t="shared" si="12"/>
        <v/>
      </c>
      <c r="C2902" s="33"/>
      <c r="D2902" s="33"/>
      <c r="E2902" s="33"/>
      <c r="F2902" s="56"/>
      <c r="G2902" s="33"/>
      <c r="H2902" s="33"/>
      <c r="I2902" s="33"/>
      <c r="J2902" s="57"/>
      <c r="K2902" s="33"/>
      <c r="L2902" s="57"/>
      <c r="M2902" s="33"/>
      <c r="N2902" s="56"/>
      <c r="O2902" s="64"/>
      <c r="P2902" s="62"/>
      <c r="Q2902" s="64"/>
      <c r="R2902" s="33"/>
      <c r="S2902" s="61"/>
      <c r="T2902" s="33"/>
      <c r="W2902" s="61"/>
      <c r="AF2902" s="60"/>
    </row>
    <row r="2903" spans="2:32" ht="16">
      <c r="B2903" s="67" t="str">
        <f t="shared" si="12"/>
        <v/>
      </c>
      <c r="C2903" s="33"/>
      <c r="D2903" s="33"/>
      <c r="E2903" s="33"/>
      <c r="F2903" s="56"/>
      <c r="G2903" s="33"/>
      <c r="H2903" s="33"/>
      <c r="I2903" s="33"/>
      <c r="J2903" s="57"/>
      <c r="K2903" s="33"/>
      <c r="L2903" s="57"/>
      <c r="M2903" s="33"/>
      <c r="N2903" s="56"/>
      <c r="O2903" s="64"/>
      <c r="P2903" s="62"/>
      <c r="Q2903" s="64"/>
      <c r="R2903" s="33"/>
      <c r="S2903" s="61"/>
      <c r="T2903" s="33"/>
      <c r="W2903" s="61"/>
      <c r="AF2903" s="60"/>
    </row>
    <row r="2904" spans="2:32" ht="16">
      <c r="B2904" s="67" t="str">
        <f t="shared" si="12"/>
        <v/>
      </c>
      <c r="C2904" s="33"/>
      <c r="D2904" s="33"/>
      <c r="E2904" s="33"/>
      <c r="F2904" s="56"/>
      <c r="G2904" s="33"/>
      <c r="H2904" s="33"/>
      <c r="I2904" s="33"/>
      <c r="J2904" s="57"/>
      <c r="K2904" s="33"/>
      <c r="L2904" s="57"/>
      <c r="M2904" s="33"/>
      <c r="N2904" s="56"/>
      <c r="O2904" s="64"/>
      <c r="P2904" s="62"/>
      <c r="Q2904" s="64"/>
      <c r="R2904" s="33"/>
      <c r="S2904" s="61"/>
      <c r="T2904" s="33"/>
      <c r="W2904" s="61"/>
      <c r="AF2904" s="60"/>
    </row>
    <row r="2905" spans="2:32" ht="16">
      <c r="B2905" s="67" t="str">
        <f t="shared" si="12"/>
        <v/>
      </c>
      <c r="C2905" s="33"/>
      <c r="D2905" s="33"/>
      <c r="E2905" s="33"/>
      <c r="F2905" s="56"/>
      <c r="G2905" s="33"/>
      <c r="H2905" s="33"/>
      <c r="I2905" s="33"/>
      <c r="J2905" s="57"/>
      <c r="K2905" s="33"/>
      <c r="L2905" s="57"/>
      <c r="M2905" s="33"/>
      <c r="N2905" s="56"/>
      <c r="O2905" s="64"/>
      <c r="P2905" s="62"/>
      <c r="Q2905" s="64"/>
      <c r="R2905" s="33"/>
      <c r="S2905" s="61"/>
      <c r="T2905" s="33"/>
      <c r="W2905" s="61"/>
      <c r="AF2905" s="60"/>
    </row>
    <row r="2906" spans="2:32" ht="16">
      <c r="B2906" s="67" t="str">
        <f t="shared" si="12"/>
        <v/>
      </c>
      <c r="C2906" s="33"/>
      <c r="D2906" s="33"/>
      <c r="E2906" s="33"/>
      <c r="F2906" s="56"/>
      <c r="G2906" s="33"/>
      <c r="H2906" s="33"/>
      <c r="I2906" s="33"/>
      <c r="J2906" s="57"/>
      <c r="K2906" s="33"/>
      <c r="L2906" s="57"/>
      <c r="M2906" s="33"/>
      <c r="N2906" s="56"/>
      <c r="O2906" s="64"/>
      <c r="P2906" s="62"/>
      <c r="Q2906" s="64"/>
      <c r="R2906" s="33"/>
      <c r="S2906" s="61"/>
      <c r="T2906" s="33"/>
      <c r="W2906" s="61"/>
      <c r="AF2906" s="60"/>
    </row>
    <row r="2907" spans="2:32" ht="16">
      <c r="B2907" s="67" t="str">
        <f t="shared" si="12"/>
        <v/>
      </c>
      <c r="C2907" s="33"/>
      <c r="D2907" s="33"/>
      <c r="E2907" s="33"/>
      <c r="F2907" s="56"/>
      <c r="G2907" s="33"/>
      <c r="H2907" s="33"/>
      <c r="I2907" s="33"/>
      <c r="J2907" s="57"/>
      <c r="K2907" s="33"/>
      <c r="L2907" s="57"/>
      <c r="M2907" s="33"/>
      <c r="N2907" s="56"/>
      <c r="O2907" s="64"/>
      <c r="P2907" s="62"/>
      <c r="Q2907" s="64"/>
      <c r="R2907" s="33"/>
      <c r="S2907" s="61"/>
      <c r="T2907" s="33"/>
      <c r="W2907" s="61"/>
      <c r="AF2907" s="60"/>
    </row>
    <row r="2908" spans="2:32" ht="16">
      <c r="B2908" s="67" t="str">
        <f t="shared" si="12"/>
        <v/>
      </c>
      <c r="C2908" s="33"/>
      <c r="D2908" s="33"/>
      <c r="E2908" s="33"/>
      <c r="F2908" s="56"/>
      <c r="G2908" s="33"/>
      <c r="H2908" s="33"/>
      <c r="I2908" s="33"/>
      <c r="J2908" s="57"/>
      <c r="K2908" s="33"/>
      <c r="L2908" s="57"/>
      <c r="M2908" s="33"/>
      <c r="N2908" s="56"/>
      <c r="O2908" s="64"/>
      <c r="P2908" s="62"/>
      <c r="Q2908" s="64"/>
      <c r="R2908" s="33"/>
      <c r="S2908" s="61"/>
      <c r="T2908" s="33"/>
      <c r="W2908" s="61"/>
      <c r="AF2908" s="60"/>
    </row>
    <row r="2909" spans="2:32" ht="16">
      <c r="B2909" s="67" t="str">
        <f t="shared" si="12"/>
        <v/>
      </c>
      <c r="C2909" s="33"/>
      <c r="D2909" s="33"/>
      <c r="E2909" s="33"/>
      <c r="F2909" s="56"/>
      <c r="G2909" s="33"/>
      <c r="H2909" s="33"/>
      <c r="I2909" s="33"/>
      <c r="J2909" s="57"/>
      <c r="K2909" s="33"/>
      <c r="L2909" s="57"/>
      <c r="M2909" s="33"/>
      <c r="N2909" s="56"/>
      <c r="O2909" s="64"/>
      <c r="P2909" s="62"/>
      <c r="Q2909" s="64"/>
      <c r="R2909" s="33"/>
      <c r="S2909" s="61"/>
      <c r="T2909" s="33"/>
      <c r="W2909" s="61"/>
      <c r="AF2909" s="60"/>
    </row>
    <row r="2910" spans="2:32" ht="16">
      <c r="B2910" s="67" t="str">
        <f t="shared" si="12"/>
        <v/>
      </c>
      <c r="C2910" s="33"/>
      <c r="D2910" s="33"/>
      <c r="E2910" s="33"/>
      <c r="F2910" s="56"/>
      <c r="G2910" s="33"/>
      <c r="H2910" s="33"/>
      <c r="I2910" s="33"/>
      <c r="J2910" s="57"/>
      <c r="K2910" s="33"/>
      <c r="L2910" s="57"/>
      <c r="M2910" s="33"/>
      <c r="N2910" s="56"/>
      <c r="O2910" s="64"/>
      <c r="P2910" s="62"/>
      <c r="Q2910" s="64"/>
      <c r="R2910" s="33"/>
      <c r="S2910" s="61"/>
      <c r="T2910" s="33"/>
      <c r="W2910" s="61"/>
      <c r="AF2910" s="60"/>
    </row>
    <row r="2911" spans="2:32" ht="16">
      <c r="B2911" s="67" t="str">
        <f t="shared" si="12"/>
        <v/>
      </c>
      <c r="C2911" s="33"/>
      <c r="D2911" s="33"/>
      <c r="E2911" s="33"/>
      <c r="F2911" s="56"/>
      <c r="G2911" s="33"/>
      <c r="H2911" s="33"/>
      <c r="I2911" s="33"/>
      <c r="J2911" s="57"/>
      <c r="K2911" s="33"/>
      <c r="L2911" s="57"/>
      <c r="M2911" s="33"/>
      <c r="N2911" s="56"/>
      <c r="O2911" s="64"/>
      <c r="P2911" s="62"/>
      <c r="Q2911" s="64"/>
      <c r="R2911" s="33"/>
      <c r="S2911" s="61"/>
      <c r="T2911" s="33"/>
      <c r="W2911" s="61"/>
      <c r="AF2911" s="60"/>
    </row>
    <row r="2912" spans="2:32" ht="16">
      <c r="B2912" s="67" t="str">
        <f t="shared" si="12"/>
        <v/>
      </c>
      <c r="C2912" s="33"/>
      <c r="D2912" s="33"/>
      <c r="E2912" s="33"/>
      <c r="F2912" s="56"/>
      <c r="G2912" s="33"/>
      <c r="H2912" s="33"/>
      <c r="I2912" s="33"/>
      <c r="J2912" s="57"/>
      <c r="K2912" s="33"/>
      <c r="L2912" s="57"/>
      <c r="M2912" s="33"/>
      <c r="N2912" s="56"/>
      <c r="O2912" s="64"/>
      <c r="P2912" s="62"/>
      <c r="Q2912" s="64"/>
      <c r="R2912" s="33"/>
      <c r="S2912" s="61"/>
      <c r="T2912" s="33"/>
      <c r="W2912" s="61"/>
      <c r="AF2912" s="60"/>
    </row>
    <row r="2913" spans="2:32" ht="16">
      <c r="B2913" s="67" t="str">
        <f t="shared" si="12"/>
        <v/>
      </c>
      <c r="C2913" s="33"/>
      <c r="D2913" s="33"/>
      <c r="E2913" s="33"/>
      <c r="F2913" s="56"/>
      <c r="G2913" s="33"/>
      <c r="H2913" s="33"/>
      <c r="I2913" s="33"/>
      <c r="J2913" s="57"/>
      <c r="K2913" s="33"/>
      <c r="L2913" s="57"/>
      <c r="M2913" s="33"/>
      <c r="N2913" s="56"/>
      <c r="O2913" s="64"/>
      <c r="P2913" s="62"/>
      <c r="Q2913" s="64"/>
      <c r="R2913" s="33"/>
      <c r="S2913" s="61"/>
      <c r="T2913" s="33"/>
      <c r="W2913" s="61"/>
      <c r="AF2913" s="60"/>
    </row>
    <row r="2914" spans="2:32" ht="16">
      <c r="B2914" s="67" t="str">
        <f t="shared" si="12"/>
        <v/>
      </c>
      <c r="C2914" s="33"/>
      <c r="D2914" s="33"/>
      <c r="E2914" s="33"/>
      <c r="F2914" s="56"/>
      <c r="G2914" s="33"/>
      <c r="H2914" s="33"/>
      <c r="I2914" s="33"/>
      <c r="J2914" s="57"/>
      <c r="K2914" s="33"/>
      <c r="L2914" s="57"/>
      <c r="M2914" s="33"/>
      <c r="N2914" s="56"/>
      <c r="O2914" s="64"/>
      <c r="P2914" s="62"/>
      <c r="Q2914" s="64"/>
      <c r="R2914" s="33"/>
      <c r="S2914" s="61"/>
      <c r="T2914" s="33"/>
      <c r="W2914" s="61"/>
      <c r="AF2914" s="60"/>
    </row>
    <row r="2915" spans="2:32" ht="16">
      <c r="B2915" s="67" t="str">
        <f t="shared" si="12"/>
        <v/>
      </c>
      <c r="C2915" s="33"/>
      <c r="D2915" s="33"/>
      <c r="E2915" s="33"/>
      <c r="F2915" s="56"/>
      <c r="G2915" s="33"/>
      <c r="H2915" s="33"/>
      <c r="I2915" s="33"/>
      <c r="J2915" s="57"/>
      <c r="K2915" s="33"/>
      <c r="L2915" s="57"/>
      <c r="M2915" s="33"/>
      <c r="N2915" s="56"/>
      <c r="O2915" s="64"/>
      <c r="P2915" s="62"/>
      <c r="Q2915" s="64"/>
      <c r="R2915" s="33"/>
      <c r="S2915" s="61"/>
      <c r="T2915" s="33"/>
      <c r="W2915" s="61"/>
      <c r="AF2915" s="60"/>
    </row>
    <row r="2916" spans="2:32" ht="16">
      <c r="B2916" s="67" t="str">
        <f t="shared" si="12"/>
        <v/>
      </c>
      <c r="C2916" s="33"/>
      <c r="D2916" s="33"/>
      <c r="E2916" s="33"/>
      <c r="F2916" s="56"/>
      <c r="G2916" s="33"/>
      <c r="H2916" s="33"/>
      <c r="I2916" s="33"/>
      <c r="J2916" s="57"/>
      <c r="K2916" s="33"/>
      <c r="L2916" s="57"/>
      <c r="M2916" s="33"/>
      <c r="N2916" s="56"/>
      <c r="O2916" s="64"/>
      <c r="P2916" s="62"/>
      <c r="Q2916" s="64"/>
      <c r="R2916" s="33"/>
      <c r="S2916" s="61"/>
      <c r="T2916" s="33"/>
      <c r="W2916" s="61"/>
      <c r="AF2916" s="60"/>
    </row>
    <row r="2917" spans="2:32" ht="16">
      <c r="B2917" s="67" t="str">
        <f t="shared" si="12"/>
        <v/>
      </c>
      <c r="C2917" s="33"/>
      <c r="D2917" s="33"/>
      <c r="E2917" s="33"/>
      <c r="F2917" s="56"/>
      <c r="G2917" s="33"/>
      <c r="H2917" s="33"/>
      <c r="I2917" s="33"/>
      <c r="J2917" s="57"/>
      <c r="K2917" s="33"/>
      <c r="L2917" s="57"/>
      <c r="M2917" s="33"/>
      <c r="N2917" s="56"/>
      <c r="O2917" s="64"/>
      <c r="P2917" s="62"/>
      <c r="Q2917" s="64"/>
      <c r="R2917" s="33"/>
      <c r="S2917" s="61"/>
      <c r="T2917" s="33"/>
      <c r="W2917" s="61"/>
      <c r="AF2917" s="60"/>
    </row>
    <row r="2918" spans="2:32" ht="16">
      <c r="B2918" s="67" t="str">
        <f t="shared" si="12"/>
        <v/>
      </c>
      <c r="C2918" s="33"/>
      <c r="D2918" s="33"/>
      <c r="E2918" s="33"/>
      <c r="F2918" s="56"/>
      <c r="G2918" s="33"/>
      <c r="H2918" s="33"/>
      <c r="I2918" s="33"/>
      <c r="J2918" s="57"/>
      <c r="K2918" s="33"/>
      <c r="L2918" s="57"/>
      <c r="M2918" s="33"/>
      <c r="N2918" s="56"/>
      <c r="O2918" s="64"/>
      <c r="P2918" s="62"/>
      <c r="Q2918" s="64"/>
      <c r="R2918" s="33"/>
      <c r="S2918" s="61"/>
      <c r="T2918" s="33"/>
      <c r="W2918" s="61"/>
      <c r="AF2918" s="60"/>
    </row>
    <row r="2919" spans="2:32" ht="16">
      <c r="B2919" s="67" t="str">
        <f t="shared" si="12"/>
        <v/>
      </c>
      <c r="C2919" s="33"/>
      <c r="D2919" s="33"/>
      <c r="E2919" s="33"/>
      <c r="F2919" s="56"/>
      <c r="G2919" s="33"/>
      <c r="H2919" s="33"/>
      <c r="I2919" s="33"/>
      <c r="J2919" s="57"/>
      <c r="K2919" s="33"/>
      <c r="L2919" s="57"/>
      <c r="M2919" s="33"/>
      <c r="N2919" s="56"/>
      <c r="O2919" s="64"/>
      <c r="P2919" s="62"/>
      <c r="Q2919" s="64"/>
      <c r="R2919" s="33"/>
      <c r="S2919" s="61"/>
      <c r="T2919" s="33"/>
      <c r="W2919" s="61"/>
      <c r="AF2919" s="60"/>
    </row>
    <row r="2920" spans="2:32" ht="16">
      <c r="B2920" s="67" t="str">
        <f t="shared" si="12"/>
        <v/>
      </c>
      <c r="C2920" s="33"/>
      <c r="D2920" s="33"/>
      <c r="E2920" s="33"/>
      <c r="F2920" s="56"/>
      <c r="G2920" s="33"/>
      <c r="H2920" s="33"/>
      <c r="I2920" s="33"/>
      <c r="J2920" s="57"/>
      <c r="K2920" s="33"/>
      <c r="L2920" s="57"/>
      <c r="M2920" s="33"/>
      <c r="N2920" s="56"/>
      <c r="O2920" s="64"/>
      <c r="P2920" s="62"/>
      <c r="Q2920" s="64"/>
      <c r="R2920" s="33"/>
      <c r="S2920" s="61"/>
      <c r="T2920" s="33"/>
      <c r="W2920" s="61"/>
      <c r="AF2920" s="60"/>
    </row>
    <row r="2921" spans="2:32" ht="16">
      <c r="B2921" s="67" t="str">
        <f t="shared" si="12"/>
        <v/>
      </c>
      <c r="C2921" s="33"/>
      <c r="D2921" s="33"/>
      <c r="E2921" s="33"/>
      <c r="F2921" s="56"/>
      <c r="G2921" s="33"/>
      <c r="H2921" s="33"/>
      <c r="I2921" s="33"/>
      <c r="J2921" s="57"/>
      <c r="K2921" s="33"/>
      <c r="L2921" s="57"/>
      <c r="M2921" s="33"/>
      <c r="N2921" s="56"/>
      <c r="O2921" s="64"/>
      <c r="P2921" s="62"/>
      <c r="Q2921" s="64"/>
      <c r="R2921" s="33"/>
      <c r="S2921" s="61"/>
      <c r="T2921" s="33"/>
      <c r="W2921" s="61"/>
      <c r="AF2921" s="60"/>
    </row>
    <row r="2922" spans="2:32" ht="16">
      <c r="B2922" s="67" t="str">
        <f t="shared" si="12"/>
        <v/>
      </c>
      <c r="C2922" s="33"/>
      <c r="D2922" s="33"/>
      <c r="E2922" s="33"/>
      <c r="F2922" s="56"/>
      <c r="G2922" s="33"/>
      <c r="H2922" s="33"/>
      <c r="I2922" s="33"/>
      <c r="J2922" s="57"/>
      <c r="K2922" s="33"/>
      <c r="L2922" s="57"/>
      <c r="M2922" s="33"/>
      <c r="N2922" s="56"/>
      <c r="O2922" s="64"/>
      <c r="P2922" s="62"/>
      <c r="Q2922" s="64"/>
      <c r="R2922" s="33"/>
      <c r="S2922" s="61"/>
      <c r="T2922" s="33"/>
      <c r="W2922" s="61"/>
      <c r="AF2922" s="60"/>
    </row>
    <row r="2923" spans="2:32" ht="16">
      <c r="B2923" s="67" t="str">
        <f t="shared" si="12"/>
        <v/>
      </c>
      <c r="C2923" s="33"/>
      <c r="D2923" s="33"/>
      <c r="E2923" s="33"/>
      <c r="F2923" s="56"/>
      <c r="G2923" s="33"/>
      <c r="H2923" s="33"/>
      <c r="I2923" s="33"/>
      <c r="J2923" s="57"/>
      <c r="K2923" s="33"/>
      <c r="L2923" s="57"/>
      <c r="M2923" s="33"/>
      <c r="N2923" s="56"/>
      <c r="O2923" s="64"/>
      <c r="P2923" s="62"/>
      <c r="Q2923" s="64"/>
      <c r="R2923" s="33"/>
      <c r="S2923" s="61"/>
      <c r="T2923" s="33"/>
      <c r="W2923" s="61"/>
      <c r="AF2923" s="60"/>
    </row>
    <row r="2924" spans="2:32" ht="16">
      <c r="B2924" s="67" t="str">
        <f t="shared" si="12"/>
        <v/>
      </c>
      <c r="C2924" s="33"/>
      <c r="D2924" s="33"/>
      <c r="E2924" s="33"/>
      <c r="F2924" s="56"/>
      <c r="G2924" s="33"/>
      <c r="H2924" s="33"/>
      <c r="I2924" s="33"/>
      <c r="J2924" s="57"/>
      <c r="K2924" s="33"/>
      <c r="L2924" s="57"/>
      <c r="M2924" s="33"/>
      <c r="N2924" s="56"/>
      <c r="O2924" s="64"/>
      <c r="P2924" s="62"/>
      <c r="Q2924" s="64"/>
      <c r="R2924" s="33"/>
      <c r="S2924" s="61"/>
      <c r="T2924" s="33"/>
      <c r="W2924" s="61"/>
      <c r="AF2924" s="60"/>
    </row>
    <row r="2925" spans="2:32" ht="16">
      <c r="B2925" s="67" t="str">
        <f t="shared" si="12"/>
        <v/>
      </c>
      <c r="C2925" s="33"/>
      <c r="D2925" s="33"/>
      <c r="E2925" s="33"/>
      <c r="F2925" s="56"/>
      <c r="G2925" s="33"/>
      <c r="H2925" s="33"/>
      <c r="I2925" s="33"/>
      <c r="J2925" s="57"/>
      <c r="K2925" s="33"/>
      <c r="L2925" s="57"/>
      <c r="M2925" s="33"/>
      <c r="N2925" s="56"/>
      <c r="O2925" s="64"/>
      <c r="P2925" s="62"/>
      <c r="Q2925" s="64"/>
      <c r="R2925" s="33"/>
      <c r="S2925" s="61"/>
      <c r="T2925" s="33"/>
      <c r="W2925" s="61"/>
      <c r="AF2925" s="60"/>
    </row>
    <row r="2926" spans="2:32" ht="16">
      <c r="B2926" s="67" t="str">
        <f t="shared" si="12"/>
        <v/>
      </c>
      <c r="C2926" s="33"/>
      <c r="D2926" s="33"/>
      <c r="E2926" s="33"/>
      <c r="F2926" s="56"/>
      <c r="G2926" s="33"/>
      <c r="H2926" s="33"/>
      <c r="I2926" s="33"/>
      <c r="J2926" s="57"/>
      <c r="K2926" s="33"/>
      <c r="L2926" s="57"/>
      <c r="M2926" s="33"/>
      <c r="N2926" s="56"/>
      <c r="O2926" s="64"/>
      <c r="P2926" s="62"/>
      <c r="Q2926" s="64"/>
      <c r="R2926" s="33"/>
      <c r="S2926" s="61"/>
      <c r="T2926" s="33"/>
      <c r="W2926" s="61"/>
      <c r="AF2926" s="60"/>
    </row>
    <row r="2927" spans="2:32" ht="16">
      <c r="B2927" s="67" t="str">
        <f t="shared" si="12"/>
        <v/>
      </c>
      <c r="C2927" s="33"/>
      <c r="D2927" s="33"/>
      <c r="E2927" s="33"/>
      <c r="F2927" s="56"/>
      <c r="G2927" s="33"/>
      <c r="H2927" s="33"/>
      <c r="I2927" s="33"/>
      <c r="J2927" s="57"/>
      <c r="K2927" s="33"/>
      <c r="L2927" s="57"/>
      <c r="M2927" s="33"/>
      <c r="N2927" s="56"/>
      <c r="O2927" s="64"/>
      <c r="P2927" s="62"/>
      <c r="Q2927" s="64"/>
      <c r="R2927" s="33"/>
      <c r="S2927" s="61"/>
      <c r="T2927" s="33"/>
      <c r="W2927" s="61"/>
      <c r="AF2927" s="60"/>
    </row>
    <row r="2928" spans="2:32" ht="16">
      <c r="B2928" s="67" t="str">
        <f t="shared" si="12"/>
        <v/>
      </c>
      <c r="C2928" s="33"/>
      <c r="D2928" s="33"/>
      <c r="E2928" s="33"/>
      <c r="F2928" s="56"/>
      <c r="G2928" s="33"/>
      <c r="H2928" s="33"/>
      <c r="I2928" s="33"/>
      <c r="J2928" s="57"/>
      <c r="K2928" s="33"/>
      <c r="L2928" s="57"/>
      <c r="M2928" s="33"/>
      <c r="N2928" s="56"/>
      <c r="O2928" s="64"/>
      <c r="P2928" s="62"/>
      <c r="Q2928" s="64"/>
      <c r="R2928" s="33"/>
      <c r="S2928" s="61"/>
      <c r="T2928" s="33"/>
      <c r="W2928" s="61"/>
      <c r="AF2928" s="60"/>
    </row>
    <row r="2929" spans="2:32" ht="16">
      <c r="B2929" s="67" t="str">
        <f t="shared" si="12"/>
        <v/>
      </c>
      <c r="C2929" s="33"/>
      <c r="D2929" s="33"/>
      <c r="E2929" s="33"/>
      <c r="F2929" s="56"/>
      <c r="G2929" s="33"/>
      <c r="H2929" s="33"/>
      <c r="I2929" s="33"/>
      <c r="J2929" s="57"/>
      <c r="K2929" s="33"/>
      <c r="L2929" s="57"/>
      <c r="M2929" s="33"/>
      <c r="N2929" s="56"/>
      <c r="O2929" s="64"/>
      <c r="P2929" s="62"/>
      <c r="Q2929" s="64"/>
      <c r="R2929" s="33"/>
      <c r="S2929" s="61"/>
      <c r="T2929" s="33"/>
      <c r="W2929" s="61"/>
      <c r="AF2929" s="60"/>
    </row>
    <row r="2930" spans="2:32" ht="16">
      <c r="B2930" s="67" t="str">
        <f t="shared" si="12"/>
        <v/>
      </c>
      <c r="C2930" s="33"/>
      <c r="D2930" s="33"/>
      <c r="E2930" s="33"/>
      <c r="F2930" s="56"/>
      <c r="G2930" s="33"/>
      <c r="H2930" s="33"/>
      <c r="I2930" s="33"/>
      <c r="J2930" s="57"/>
      <c r="K2930" s="33"/>
      <c r="L2930" s="57"/>
      <c r="M2930" s="33"/>
      <c r="N2930" s="56"/>
      <c r="O2930" s="64"/>
      <c r="P2930" s="62"/>
      <c r="Q2930" s="64"/>
      <c r="R2930" s="33"/>
      <c r="S2930" s="61"/>
      <c r="T2930" s="33"/>
      <c r="W2930" s="61"/>
      <c r="AF2930" s="60"/>
    </row>
    <row r="2931" spans="2:32" ht="16">
      <c r="B2931" s="67" t="str">
        <f t="shared" si="12"/>
        <v/>
      </c>
      <c r="C2931" s="33"/>
      <c r="D2931" s="33"/>
      <c r="E2931" s="33"/>
      <c r="F2931" s="56"/>
      <c r="G2931" s="33"/>
      <c r="H2931" s="33"/>
      <c r="I2931" s="33"/>
      <c r="J2931" s="57"/>
      <c r="K2931" s="33"/>
      <c r="L2931" s="57"/>
      <c r="M2931" s="33"/>
      <c r="N2931" s="56"/>
      <c r="O2931" s="64"/>
      <c r="P2931" s="62"/>
      <c r="Q2931" s="64"/>
      <c r="R2931" s="33"/>
      <c r="S2931" s="61"/>
      <c r="T2931" s="33"/>
      <c r="W2931" s="61"/>
      <c r="AF2931" s="60"/>
    </row>
    <row r="2932" spans="2:32" ht="16">
      <c r="B2932" s="67" t="str">
        <f t="shared" si="12"/>
        <v/>
      </c>
      <c r="C2932" s="33"/>
      <c r="D2932" s="33"/>
      <c r="E2932" s="33"/>
      <c r="F2932" s="56"/>
      <c r="G2932" s="33"/>
      <c r="H2932" s="33"/>
      <c r="I2932" s="33"/>
      <c r="J2932" s="57"/>
      <c r="K2932" s="33"/>
      <c r="L2932" s="57"/>
      <c r="M2932" s="33"/>
      <c r="N2932" s="56"/>
      <c r="O2932" s="64"/>
      <c r="P2932" s="62"/>
      <c r="Q2932" s="64"/>
      <c r="R2932" s="33"/>
      <c r="S2932" s="61"/>
      <c r="T2932" s="33"/>
      <c r="W2932" s="61"/>
      <c r="AF2932" s="60"/>
    </row>
    <row r="2933" spans="2:32" ht="16">
      <c r="B2933" s="67" t="str">
        <f t="shared" si="12"/>
        <v/>
      </c>
      <c r="C2933" s="33"/>
      <c r="D2933" s="33"/>
      <c r="E2933" s="33"/>
      <c r="F2933" s="56"/>
      <c r="G2933" s="33"/>
      <c r="H2933" s="33"/>
      <c r="I2933" s="33"/>
      <c r="J2933" s="57"/>
      <c r="K2933" s="33"/>
      <c r="L2933" s="57"/>
      <c r="M2933" s="33"/>
      <c r="N2933" s="56"/>
      <c r="O2933" s="64"/>
      <c r="P2933" s="62"/>
      <c r="Q2933" s="64"/>
      <c r="R2933" s="33"/>
      <c r="S2933" s="61"/>
      <c r="T2933" s="33"/>
      <c r="W2933" s="61"/>
      <c r="AF2933" s="60"/>
    </row>
    <row r="2934" spans="2:32" ht="16">
      <c r="B2934" s="67" t="str">
        <f t="shared" si="12"/>
        <v/>
      </c>
      <c r="C2934" s="33"/>
      <c r="D2934" s="33"/>
      <c r="E2934" s="33"/>
      <c r="F2934" s="56"/>
      <c r="G2934" s="33"/>
      <c r="H2934" s="33"/>
      <c r="I2934" s="33"/>
      <c r="J2934" s="57"/>
      <c r="K2934" s="33"/>
      <c r="L2934" s="57"/>
      <c r="M2934" s="33"/>
      <c r="N2934" s="56"/>
      <c r="O2934" s="64"/>
      <c r="P2934" s="62"/>
      <c r="Q2934" s="64"/>
      <c r="R2934" s="33"/>
      <c r="S2934" s="61"/>
      <c r="T2934" s="33"/>
      <c r="W2934" s="61"/>
      <c r="AF2934" s="60"/>
    </row>
    <row r="2935" spans="2:32" ht="16">
      <c r="B2935" s="67" t="str">
        <f t="shared" si="12"/>
        <v/>
      </c>
      <c r="C2935" s="33"/>
      <c r="D2935" s="33"/>
      <c r="E2935" s="33"/>
      <c r="F2935" s="56"/>
      <c r="G2935" s="33"/>
      <c r="H2935" s="33"/>
      <c r="I2935" s="33"/>
      <c r="J2935" s="57"/>
      <c r="K2935" s="33"/>
      <c r="L2935" s="57"/>
      <c r="M2935" s="33"/>
      <c r="N2935" s="56"/>
      <c r="O2935" s="64"/>
      <c r="P2935" s="62"/>
      <c r="Q2935" s="64"/>
      <c r="R2935" s="33"/>
      <c r="S2935" s="61"/>
      <c r="T2935" s="33"/>
      <c r="W2935" s="61"/>
      <c r="AF2935" s="60"/>
    </row>
    <row r="2936" spans="2:32" ht="16">
      <c r="B2936" s="67" t="str">
        <f t="shared" si="12"/>
        <v/>
      </c>
      <c r="C2936" s="33"/>
      <c r="D2936" s="33"/>
      <c r="E2936" s="33"/>
      <c r="F2936" s="56"/>
      <c r="G2936" s="33"/>
      <c r="H2936" s="33"/>
      <c r="I2936" s="33"/>
      <c r="J2936" s="57"/>
      <c r="K2936" s="33"/>
      <c r="L2936" s="57"/>
      <c r="M2936" s="33"/>
      <c r="N2936" s="56"/>
      <c r="O2936" s="64"/>
      <c r="P2936" s="62"/>
      <c r="Q2936" s="64"/>
      <c r="R2936" s="33"/>
      <c r="S2936" s="61"/>
      <c r="T2936" s="33"/>
      <c r="W2936" s="61"/>
      <c r="AF2936" s="60"/>
    </row>
    <row r="2937" spans="2:32" ht="16">
      <c r="B2937" s="67" t="str">
        <f t="shared" si="12"/>
        <v/>
      </c>
      <c r="C2937" s="33"/>
      <c r="D2937" s="33"/>
      <c r="E2937" s="33"/>
      <c r="F2937" s="56"/>
      <c r="G2937" s="33"/>
      <c r="H2937" s="33"/>
      <c r="I2937" s="33"/>
      <c r="J2937" s="57"/>
      <c r="K2937" s="33"/>
      <c r="L2937" s="57"/>
      <c r="M2937" s="33"/>
      <c r="N2937" s="56"/>
      <c r="O2937" s="64"/>
      <c r="P2937" s="62"/>
      <c r="Q2937" s="64"/>
      <c r="R2937" s="33"/>
      <c r="S2937" s="61"/>
      <c r="T2937" s="33"/>
      <c r="W2937" s="61"/>
      <c r="AF2937" s="60"/>
    </row>
    <row r="2938" spans="2:32" ht="16">
      <c r="B2938" s="67" t="str">
        <f t="shared" si="12"/>
        <v/>
      </c>
      <c r="C2938" s="33"/>
      <c r="D2938" s="33"/>
      <c r="E2938" s="33"/>
      <c r="F2938" s="56"/>
      <c r="G2938" s="33"/>
      <c r="H2938" s="33"/>
      <c r="I2938" s="33"/>
      <c r="J2938" s="57"/>
      <c r="K2938" s="33"/>
      <c r="L2938" s="57"/>
      <c r="M2938" s="33"/>
      <c r="N2938" s="56"/>
      <c r="O2938" s="64"/>
      <c r="P2938" s="62"/>
      <c r="Q2938" s="64"/>
      <c r="R2938" s="33"/>
      <c r="S2938" s="61"/>
      <c r="T2938" s="33"/>
      <c r="W2938" s="61"/>
      <c r="AF2938" s="60"/>
    </row>
    <row r="2939" spans="2:32" ht="16">
      <c r="B2939" s="67" t="str">
        <f t="shared" si="12"/>
        <v/>
      </c>
      <c r="C2939" s="33"/>
      <c r="D2939" s="33"/>
      <c r="E2939" s="33"/>
      <c r="F2939" s="56"/>
      <c r="G2939" s="33"/>
      <c r="H2939" s="33"/>
      <c r="I2939" s="33"/>
      <c r="J2939" s="57"/>
      <c r="K2939" s="33"/>
      <c r="L2939" s="57"/>
      <c r="M2939" s="33"/>
      <c r="N2939" s="56"/>
      <c r="O2939" s="64"/>
      <c r="P2939" s="62"/>
      <c r="Q2939" s="64"/>
      <c r="R2939" s="33"/>
      <c r="S2939" s="61"/>
      <c r="T2939" s="33"/>
      <c r="W2939" s="61"/>
      <c r="AF2939" s="60"/>
    </row>
    <row r="2940" spans="2:32" ht="16">
      <c r="B2940" s="67" t="str">
        <f t="shared" si="12"/>
        <v/>
      </c>
      <c r="C2940" s="33"/>
      <c r="D2940" s="33"/>
      <c r="E2940" s="33"/>
      <c r="F2940" s="56"/>
      <c r="G2940" s="33"/>
      <c r="H2940" s="33"/>
      <c r="I2940" s="33"/>
      <c r="J2940" s="57"/>
      <c r="K2940" s="33"/>
      <c r="L2940" s="57"/>
      <c r="M2940" s="33"/>
      <c r="N2940" s="56"/>
      <c r="O2940" s="64"/>
      <c r="P2940" s="62"/>
      <c r="Q2940" s="64"/>
      <c r="R2940" s="33"/>
      <c r="S2940" s="61"/>
      <c r="T2940" s="33"/>
      <c r="W2940" s="61"/>
      <c r="AF2940" s="60"/>
    </row>
    <row r="2941" spans="2:32" ht="16">
      <c r="B2941" s="67" t="str">
        <f t="shared" si="12"/>
        <v/>
      </c>
      <c r="C2941" s="33"/>
      <c r="D2941" s="33"/>
      <c r="E2941" s="33"/>
      <c r="F2941" s="56"/>
      <c r="G2941" s="33"/>
      <c r="H2941" s="33"/>
      <c r="I2941" s="33"/>
      <c r="J2941" s="57"/>
      <c r="K2941" s="33"/>
      <c r="L2941" s="57"/>
      <c r="M2941" s="33"/>
      <c r="N2941" s="56"/>
      <c r="O2941" s="64"/>
      <c r="P2941" s="62"/>
      <c r="Q2941" s="64"/>
      <c r="R2941" s="33"/>
      <c r="S2941" s="61"/>
      <c r="T2941" s="33"/>
      <c r="W2941" s="61"/>
      <c r="AF2941" s="60"/>
    </row>
    <row r="2942" spans="2:32" ht="16">
      <c r="B2942" s="67" t="str">
        <f t="shared" si="12"/>
        <v/>
      </c>
      <c r="C2942" s="33"/>
      <c r="D2942" s="33"/>
      <c r="E2942" s="33"/>
      <c r="F2942" s="56"/>
      <c r="G2942" s="33"/>
      <c r="H2942" s="33"/>
      <c r="I2942" s="33"/>
      <c r="J2942" s="57"/>
      <c r="K2942" s="33"/>
      <c r="L2942" s="57"/>
      <c r="M2942" s="33"/>
      <c r="N2942" s="56"/>
      <c r="O2942" s="64"/>
      <c r="P2942" s="62"/>
      <c r="Q2942" s="64"/>
      <c r="R2942" s="33"/>
      <c r="S2942" s="61"/>
      <c r="T2942" s="33"/>
      <c r="W2942" s="61"/>
      <c r="AF2942" s="60"/>
    </row>
    <row r="2943" spans="2:32" ht="16">
      <c r="B2943" s="67" t="str">
        <f t="shared" si="12"/>
        <v/>
      </c>
      <c r="C2943" s="33"/>
      <c r="D2943" s="33"/>
      <c r="E2943" s="33"/>
      <c r="F2943" s="56"/>
      <c r="G2943" s="33"/>
      <c r="H2943" s="33"/>
      <c r="I2943" s="33"/>
      <c r="J2943" s="57"/>
      <c r="K2943" s="33"/>
      <c r="L2943" s="57"/>
      <c r="M2943" s="33"/>
      <c r="N2943" s="56"/>
      <c r="O2943" s="64"/>
      <c r="P2943" s="62"/>
      <c r="Q2943" s="64"/>
      <c r="R2943" s="33"/>
      <c r="S2943" s="61"/>
      <c r="T2943" s="33"/>
      <c r="W2943" s="61"/>
      <c r="AF2943" s="60"/>
    </row>
    <row r="2944" spans="2:32" ht="16">
      <c r="B2944" s="67" t="str">
        <f t="shared" si="12"/>
        <v/>
      </c>
      <c r="C2944" s="33"/>
      <c r="D2944" s="33"/>
      <c r="E2944" s="33"/>
      <c r="F2944" s="56"/>
      <c r="G2944" s="33"/>
      <c r="H2944" s="33"/>
      <c r="I2944" s="33"/>
      <c r="J2944" s="57"/>
      <c r="K2944" s="33"/>
      <c r="L2944" s="57"/>
      <c r="M2944" s="33"/>
      <c r="N2944" s="56"/>
      <c r="O2944" s="64"/>
      <c r="P2944" s="62"/>
      <c r="Q2944" s="64"/>
      <c r="R2944" s="33"/>
      <c r="S2944" s="61"/>
      <c r="T2944" s="33"/>
      <c r="W2944" s="61"/>
      <c r="AF2944" s="60"/>
    </row>
    <row r="2945" spans="2:32" ht="16">
      <c r="B2945" s="67" t="str">
        <f t="shared" si="12"/>
        <v/>
      </c>
      <c r="C2945" s="33"/>
      <c r="D2945" s="33"/>
      <c r="E2945" s="33"/>
      <c r="F2945" s="56"/>
      <c r="G2945" s="33"/>
      <c r="H2945" s="33"/>
      <c r="I2945" s="33"/>
      <c r="J2945" s="57"/>
      <c r="K2945" s="33"/>
      <c r="L2945" s="57"/>
      <c r="M2945" s="33"/>
      <c r="N2945" s="56"/>
      <c r="O2945" s="64"/>
      <c r="P2945" s="62"/>
      <c r="Q2945" s="64"/>
      <c r="R2945" s="33"/>
      <c r="S2945" s="61"/>
      <c r="T2945" s="33"/>
      <c r="W2945" s="61"/>
      <c r="AF2945" s="60"/>
    </row>
    <row r="2946" spans="2:32" ht="16">
      <c r="B2946" s="67" t="str">
        <f t="shared" si="12"/>
        <v/>
      </c>
      <c r="C2946" s="33"/>
      <c r="D2946" s="33"/>
      <c r="E2946" s="33"/>
      <c r="F2946" s="56"/>
      <c r="G2946" s="33"/>
      <c r="H2946" s="33"/>
      <c r="I2946" s="33"/>
      <c r="J2946" s="57"/>
      <c r="K2946" s="33"/>
      <c r="L2946" s="57"/>
      <c r="M2946" s="33"/>
      <c r="N2946" s="56"/>
      <c r="O2946" s="64"/>
      <c r="P2946" s="62"/>
      <c r="Q2946" s="64"/>
      <c r="R2946" s="33"/>
      <c r="S2946" s="61"/>
      <c r="T2946" s="33"/>
      <c r="W2946" s="61"/>
      <c r="AF2946" s="60"/>
    </row>
    <row r="2947" spans="2:32" ht="16">
      <c r="B2947" s="67" t="str">
        <f t="shared" si="12"/>
        <v/>
      </c>
      <c r="C2947" s="33"/>
      <c r="D2947" s="33"/>
      <c r="E2947" s="33"/>
      <c r="F2947" s="56"/>
      <c r="G2947" s="33"/>
      <c r="H2947" s="33"/>
      <c r="I2947" s="33"/>
      <c r="J2947" s="57"/>
      <c r="K2947" s="33"/>
      <c r="L2947" s="57"/>
      <c r="M2947" s="33"/>
      <c r="N2947" s="56"/>
      <c r="O2947" s="64"/>
      <c r="P2947" s="62"/>
      <c r="Q2947" s="64"/>
      <c r="R2947" s="33"/>
      <c r="S2947" s="61"/>
      <c r="T2947" s="33"/>
      <c r="W2947" s="61"/>
      <c r="AF2947" s="60"/>
    </row>
    <row r="2948" spans="2:32" ht="16">
      <c r="B2948" s="67" t="str">
        <f t="shared" si="12"/>
        <v/>
      </c>
      <c r="C2948" s="33"/>
      <c r="D2948" s="33"/>
      <c r="E2948" s="33"/>
      <c r="F2948" s="56"/>
      <c r="G2948" s="33"/>
      <c r="H2948" s="33"/>
      <c r="I2948" s="33"/>
      <c r="J2948" s="57"/>
      <c r="K2948" s="33"/>
      <c r="L2948" s="57"/>
      <c r="M2948" s="33"/>
      <c r="N2948" s="56"/>
      <c r="O2948" s="64"/>
      <c r="P2948" s="62"/>
      <c r="Q2948" s="64"/>
      <c r="R2948" s="33"/>
      <c r="S2948" s="61"/>
      <c r="T2948" s="33"/>
      <c r="W2948" s="61"/>
      <c r="AF2948" s="60"/>
    </row>
    <row r="2949" spans="2:32" ht="16">
      <c r="B2949" s="67" t="str">
        <f t="shared" si="12"/>
        <v/>
      </c>
      <c r="C2949" s="33"/>
      <c r="D2949" s="33"/>
      <c r="E2949" s="33"/>
      <c r="F2949" s="56"/>
      <c r="G2949" s="33"/>
      <c r="H2949" s="33"/>
      <c r="I2949" s="33"/>
      <c r="J2949" s="57"/>
      <c r="K2949" s="33"/>
      <c r="L2949" s="57"/>
      <c r="M2949" s="33"/>
      <c r="N2949" s="56"/>
      <c r="O2949" s="64"/>
      <c r="P2949" s="62"/>
      <c r="Q2949" s="64"/>
      <c r="R2949" s="33"/>
      <c r="S2949" s="61"/>
      <c r="T2949" s="33"/>
      <c r="W2949" s="61"/>
      <c r="AF2949" s="60"/>
    </row>
    <row r="2950" spans="2:32" ht="16">
      <c r="B2950" s="67" t="str">
        <f t="shared" si="12"/>
        <v/>
      </c>
      <c r="C2950" s="33"/>
      <c r="D2950" s="33"/>
      <c r="E2950" s="33"/>
      <c r="F2950" s="56"/>
      <c r="G2950" s="33"/>
      <c r="H2950" s="33"/>
      <c r="I2950" s="33"/>
      <c r="J2950" s="57"/>
      <c r="K2950" s="33"/>
      <c r="L2950" s="57"/>
      <c r="M2950" s="33"/>
      <c r="N2950" s="56"/>
      <c r="O2950" s="64"/>
      <c r="P2950" s="62"/>
      <c r="Q2950" s="64"/>
      <c r="R2950" s="33"/>
      <c r="S2950" s="61"/>
      <c r="T2950" s="33"/>
      <c r="W2950" s="61"/>
      <c r="AF2950" s="60"/>
    </row>
    <row r="2951" spans="2:32" ht="16">
      <c r="B2951" s="67" t="str">
        <f t="shared" si="12"/>
        <v/>
      </c>
      <c r="C2951" s="33"/>
      <c r="D2951" s="33"/>
      <c r="E2951" s="33"/>
      <c r="F2951" s="56"/>
      <c r="G2951" s="33"/>
      <c r="H2951" s="33"/>
      <c r="I2951" s="33"/>
      <c r="J2951" s="57"/>
      <c r="K2951" s="33"/>
      <c r="L2951" s="57"/>
      <c r="M2951" s="33"/>
      <c r="N2951" s="56"/>
      <c r="O2951" s="64"/>
      <c r="P2951" s="62"/>
      <c r="Q2951" s="64"/>
      <c r="R2951" s="33"/>
      <c r="S2951" s="61"/>
      <c r="T2951" s="33"/>
      <c r="W2951" s="61"/>
      <c r="AF2951" s="60"/>
    </row>
    <row r="2952" spans="2:32" ht="16">
      <c r="B2952" s="67" t="str">
        <f t="shared" si="12"/>
        <v/>
      </c>
      <c r="C2952" s="33"/>
      <c r="D2952" s="33"/>
      <c r="E2952" s="33"/>
      <c r="F2952" s="56"/>
      <c r="G2952" s="33"/>
      <c r="H2952" s="33"/>
      <c r="I2952" s="33"/>
      <c r="J2952" s="57"/>
      <c r="K2952" s="33"/>
      <c r="L2952" s="57"/>
      <c r="M2952" s="33"/>
      <c r="N2952" s="56"/>
      <c r="O2952" s="64"/>
      <c r="P2952" s="62"/>
      <c r="Q2952" s="64"/>
      <c r="R2952" s="33"/>
      <c r="S2952" s="61"/>
      <c r="T2952" s="33"/>
      <c r="W2952" s="61"/>
      <c r="AF2952" s="60"/>
    </row>
    <row r="2953" spans="2:32" ht="16">
      <c r="B2953" s="67" t="str">
        <f t="shared" si="12"/>
        <v/>
      </c>
      <c r="C2953" s="33"/>
      <c r="D2953" s="33"/>
      <c r="E2953" s="33"/>
      <c r="F2953" s="56"/>
      <c r="G2953" s="33"/>
      <c r="H2953" s="33"/>
      <c r="I2953" s="33"/>
      <c r="J2953" s="57"/>
      <c r="K2953" s="33"/>
      <c r="L2953" s="57"/>
      <c r="M2953" s="33"/>
      <c r="N2953" s="56"/>
      <c r="O2953" s="64"/>
      <c r="P2953" s="62"/>
      <c r="Q2953" s="64"/>
      <c r="R2953" s="33"/>
      <c r="S2953" s="61"/>
      <c r="T2953" s="33"/>
      <c r="W2953" s="61"/>
      <c r="AF2953" s="60"/>
    </row>
    <row r="2954" spans="2:32" ht="16">
      <c r="B2954" s="67" t="str">
        <f t="shared" si="12"/>
        <v/>
      </c>
      <c r="C2954" s="33"/>
      <c r="D2954" s="33"/>
      <c r="E2954" s="33"/>
      <c r="F2954" s="56"/>
      <c r="G2954" s="33"/>
      <c r="H2954" s="33"/>
      <c r="I2954" s="33"/>
      <c r="J2954" s="57"/>
      <c r="K2954" s="33"/>
      <c r="L2954" s="57"/>
      <c r="M2954" s="33"/>
      <c r="N2954" s="56"/>
      <c r="O2954" s="64"/>
      <c r="P2954" s="62"/>
      <c r="Q2954" s="64"/>
      <c r="R2954" s="33"/>
      <c r="S2954" s="61"/>
      <c r="T2954" s="33"/>
      <c r="W2954" s="61"/>
      <c r="AF2954" s="60"/>
    </row>
    <row r="2955" spans="2:32" ht="16">
      <c r="B2955" s="67" t="str">
        <f t="shared" si="12"/>
        <v/>
      </c>
      <c r="C2955" s="33"/>
      <c r="D2955" s="33"/>
      <c r="E2955" s="33"/>
      <c r="F2955" s="56"/>
      <c r="G2955" s="33"/>
      <c r="H2955" s="33"/>
      <c r="I2955" s="33"/>
      <c r="J2955" s="57"/>
      <c r="K2955" s="33"/>
      <c r="L2955" s="57"/>
      <c r="M2955" s="33"/>
      <c r="N2955" s="56"/>
      <c r="O2955" s="64"/>
      <c r="P2955" s="62"/>
      <c r="Q2955" s="64"/>
      <c r="R2955" s="33"/>
      <c r="S2955" s="61"/>
      <c r="T2955" s="33"/>
      <c r="W2955" s="61"/>
      <c r="AF2955" s="60"/>
    </row>
    <row r="2956" spans="2:32" ht="16">
      <c r="B2956" s="67" t="str">
        <f t="shared" si="12"/>
        <v/>
      </c>
      <c r="C2956" s="33"/>
      <c r="D2956" s="33"/>
      <c r="E2956" s="33"/>
      <c r="F2956" s="56"/>
      <c r="G2956" s="33"/>
      <c r="H2956" s="33"/>
      <c r="I2956" s="33"/>
      <c r="J2956" s="57"/>
      <c r="K2956" s="33"/>
      <c r="L2956" s="57"/>
      <c r="M2956" s="33"/>
      <c r="N2956" s="56"/>
      <c r="O2956" s="64"/>
      <c r="P2956" s="62"/>
      <c r="Q2956" s="64"/>
      <c r="R2956" s="33"/>
      <c r="S2956" s="61"/>
      <c r="T2956" s="33"/>
      <c r="W2956" s="61"/>
      <c r="AF2956" s="60"/>
    </row>
    <row r="2957" spans="2:32" ht="16">
      <c r="B2957" s="67" t="str">
        <f t="shared" si="12"/>
        <v/>
      </c>
      <c r="C2957" s="33"/>
      <c r="D2957" s="33"/>
      <c r="E2957" s="33"/>
      <c r="F2957" s="56"/>
      <c r="G2957" s="33"/>
      <c r="H2957" s="33"/>
      <c r="I2957" s="33"/>
      <c r="J2957" s="57"/>
      <c r="K2957" s="33"/>
      <c r="L2957" s="57"/>
      <c r="M2957" s="33"/>
      <c r="N2957" s="56"/>
      <c r="O2957" s="64"/>
      <c r="P2957" s="62"/>
      <c r="Q2957" s="64"/>
      <c r="R2957" s="33"/>
      <c r="S2957" s="61"/>
      <c r="T2957" s="33"/>
      <c r="W2957" s="61"/>
      <c r="AF2957" s="60"/>
    </row>
    <row r="2958" spans="2:32" ht="16">
      <c r="B2958" s="67" t="str">
        <f t="shared" si="12"/>
        <v/>
      </c>
      <c r="C2958" s="33"/>
      <c r="D2958" s="33"/>
      <c r="E2958" s="33"/>
      <c r="F2958" s="56"/>
      <c r="G2958" s="33"/>
      <c r="H2958" s="33"/>
      <c r="I2958" s="33"/>
      <c r="J2958" s="57"/>
      <c r="K2958" s="33"/>
      <c r="L2958" s="57"/>
      <c r="M2958" s="33"/>
      <c r="N2958" s="56"/>
      <c r="O2958" s="64"/>
      <c r="P2958" s="62"/>
      <c r="Q2958" s="64"/>
      <c r="R2958" s="33"/>
      <c r="S2958" s="61"/>
      <c r="T2958" s="33"/>
      <c r="W2958" s="61"/>
      <c r="AF2958" s="60"/>
    </row>
    <row r="2959" spans="2:32" ht="16">
      <c r="B2959" s="67" t="str">
        <f t="shared" si="12"/>
        <v/>
      </c>
      <c r="C2959" s="33"/>
      <c r="D2959" s="33"/>
      <c r="E2959" s="33"/>
      <c r="F2959" s="56"/>
      <c r="G2959" s="33"/>
      <c r="H2959" s="33"/>
      <c r="I2959" s="33"/>
      <c r="J2959" s="57"/>
      <c r="K2959" s="33"/>
      <c r="L2959" s="57"/>
      <c r="M2959" s="33"/>
      <c r="N2959" s="56"/>
      <c r="O2959" s="64"/>
      <c r="P2959" s="62"/>
      <c r="Q2959" s="64"/>
      <c r="R2959" s="33"/>
      <c r="S2959" s="61"/>
      <c r="T2959" s="33"/>
      <c r="W2959" s="61"/>
      <c r="AF2959" s="60"/>
    </row>
    <row r="2960" spans="2:32" ht="16">
      <c r="B2960" s="67" t="str">
        <f t="shared" si="12"/>
        <v/>
      </c>
      <c r="C2960" s="33"/>
      <c r="D2960" s="33"/>
      <c r="E2960" s="33"/>
      <c r="F2960" s="56"/>
      <c r="G2960" s="33"/>
      <c r="H2960" s="33"/>
      <c r="I2960" s="33"/>
      <c r="J2960" s="57"/>
      <c r="K2960" s="33"/>
      <c r="L2960" s="57"/>
      <c r="M2960" s="33"/>
      <c r="N2960" s="56"/>
      <c r="O2960" s="64"/>
      <c r="P2960" s="62"/>
      <c r="Q2960" s="64"/>
      <c r="R2960" s="33"/>
      <c r="S2960" s="61"/>
      <c r="T2960" s="33"/>
      <c r="W2960" s="61"/>
      <c r="AF2960" s="60"/>
    </row>
    <row r="2961" spans="2:32" ht="16">
      <c r="B2961" s="67" t="str">
        <f t="shared" si="12"/>
        <v/>
      </c>
      <c r="C2961" s="33"/>
      <c r="D2961" s="33"/>
      <c r="E2961" s="33"/>
      <c r="F2961" s="56"/>
      <c r="G2961" s="33"/>
      <c r="H2961" s="33"/>
      <c r="I2961" s="33"/>
      <c r="J2961" s="57"/>
      <c r="K2961" s="33"/>
      <c r="L2961" s="57"/>
      <c r="M2961" s="33"/>
      <c r="N2961" s="56"/>
      <c r="O2961" s="64"/>
      <c r="P2961" s="62"/>
      <c r="Q2961" s="64"/>
      <c r="R2961" s="33"/>
      <c r="S2961" s="61"/>
      <c r="T2961" s="33"/>
      <c r="W2961" s="61"/>
      <c r="AF2961" s="60"/>
    </row>
    <row r="2962" spans="2:32" ht="16">
      <c r="B2962" s="67" t="str">
        <f t="shared" si="12"/>
        <v/>
      </c>
      <c r="C2962" s="33"/>
      <c r="D2962" s="33"/>
      <c r="E2962" s="33"/>
      <c r="F2962" s="56"/>
      <c r="G2962" s="33"/>
      <c r="H2962" s="33"/>
      <c r="I2962" s="33"/>
      <c r="J2962" s="57"/>
      <c r="K2962" s="33"/>
      <c r="L2962" s="57"/>
      <c r="M2962" s="33"/>
      <c r="N2962" s="56"/>
      <c r="O2962" s="64"/>
      <c r="P2962" s="62"/>
      <c r="Q2962" s="64"/>
      <c r="R2962" s="33"/>
      <c r="S2962" s="61"/>
      <c r="T2962" s="33"/>
      <c r="W2962" s="61"/>
      <c r="AF2962" s="60"/>
    </row>
    <row r="2963" spans="2:32" ht="16">
      <c r="B2963" s="67" t="str">
        <f t="shared" si="12"/>
        <v/>
      </c>
      <c r="C2963" s="33"/>
      <c r="D2963" s="33"/>
      <c r="E2963" s="33"/>
      <c r="F2963" s="56"/>
      <c r="G2963" s="33"/>
      <c r="H2963" s="33"/>
      <c r="I2963" s="33"/>
      <c r="J2963" s="57"/>
      <c r="K2963" s="33"/>
      <c r="L2963" s="57"/>
      <c r="M2963" s="33"/>
      <c r="N2963" s="56"/>
      <c r="O2963" s="64"/>
      <c r="P2963" s="62"/>
      <c r="Q2963" s="64"/>
      <c r="R2963" s="33"/>
      <c r="S2963" s="61"/>
      <c r="T2963" s="33"/>
      <c r="W2963" s="61"/>
      <c r="AF2963" s="60"/>
    </row>
    <row r="2964" spans="2:32" ht="16">
      <c r="B2964" s="67" t="str">
        <f t="shared" si="12"/>
        <v/>
      </c>
      <c r="C2964" s="33"/>
      <c r="D2964" s="33"/>
      <c r="E2964" s="33"/>
      <c r="F2964" s="56"/>
      <c r="G2964" s="33"/>
      <c r="H2964" s="33"/>
      <c r="I2964" s="33"/>
      <c r="J2964" s="57"/>
      <c r="K2964" s="33"/>
      <c r="L2964" s="57"/>
      <c r="M2964" s="33"/>
      <c r="N2964" s="56"/>
      <c r="O2964" s="64"/>
      <c r="P2964" s="62"/>
      <c r="Q2964" s="64"/>
      <c r="R2964" s="33"/>
      <c r="S2964" s="61"/>
      <c r="T2964" s="33"/>
      <c r="W2964" s="61"/>
      <c r="AF2964" s="60"/>
    </row>
    <row r="2965" spans="2:32" ht="16">
      <c r="B2965" s="67" t="str">
        <f t="shared" si="12"/>
        <v/>
      </c>
      <c r="C2965" s="33"/>
      <c r="D2965" s="33"/>
      <c r="E2965" s="33"/>
      <c r="F2965" s="56"/>
      <c r="G2965" s="33"/>
      <c r="H2965" s="33"/>
      <c r="I2965" s="33"/>
      <c r="J2965" s="57"/>
      <c r="K2965" s="33"/>
      <c r="L2965" s="57"/>
      <c r="M2965" s="33"/>
      <c r="N2965" s="56"/>
      <c r="O2965" s="64"/>
      <c r="P2965" s="62"/>
      <c r="Q2965" s="64"/>
      <c r="R2965" s="33"/>
      <c r="S2965" s="61"/>
      <c r="T2965" s="33"/>
      <c r="W2965" s="61"/>
      <c r="AF2965" s="60"/>
    </row>
    <row r="2966" spans="2:32" ht="16">
      <c r="B2966" s="67" t="str">
        <f t="shared" si="12"/>
        <v/>
      </c>
      <c r="C2966" s="33"/>
      <c r="D2966" s="33"/>
      <c r="E2966" s="33"/>
      <c r="F2966" s="56"/>
      <c r="G2966" s="33"/>
      <c r="H2966" s="33"/>
      <c r="I2966" s="33"/>
      <c r="J2966" s="57"/>
      <c r="K2966" s="33"/>
      <c r="L2966" s="57"/>
      <c r="M2966" s="33"/>
      <c r="N2966" s="56"/>
      <c r="O2966" s="64"/>
      <c r="P2966" s="62"/>
      <c r="Q2966" s="64"/>
      <c r="R2966" s="33"/>
      <c r="S2966" s="61"/>
      <c r="T2966" s="33"/>
      <c r="W2966" s="61"/>
      <c r="AF2966" s="60"/>
    </row>
    <row r="2967" spans="2:32" ht="16">
      <c r="B2967" s="67" t="str">
        <f t="shared" si="12"/>
        <v/>
      </c>
      <c r="C2967" s="33"/>
      <c r="D2967" s="33"/>
      <c r="E2967" s="33"/>
      <c r="F2967" s="56"/>
      <c r="G2967" s="33"/>
      <c r="H2967" s="33"/>
      <c r="I2967" s="33"/>
      <c r="J2967" s="57"/>
      <c r="K2967" s="33"/>
      <c r="L2967" s="57"/>
      <c r="M2967" s="33"/>
      <c r="N2967" s="56"/>
      <c r="O2967" s="64"/>
      <c r="P2967" s="62"/>
      <c r="Q2967" s="64"/>
      <c r="R2967" s="33"/>
      <c r="S2967" s="61"/>
      <c r="T2967" s="33"/>
      <c r="W2967" s="61"/>
      <c r="AF2967" s="60"/>
    </row>
    <row r="2968" spans="2:32" ht="16">
      <c r="B2968" s="67" t="str">
        <f t="shared" si="12"/>
        <v/>
      </c>
      <c r="C2968" s="33"/>
      <c r="D2968" s="33"/>
      <c r="E2968" s="33"/>
      <c r="F2968" s="56"/>
      <c r="G2968" s="33"/>
      <c r="H2968" s="33"/>
      <c r="I2968" s="33"/>
      <c r="J2968" s="57"/>
      <c r="K2968" s="33"/>
      <c r="L2968" s="57"/>
      <c r="M2968" s="33"/>
      <c r="N2968" s="56"/>
      <c r="O2968" s="64"/>
      <c r="P2968" s="62"/>
      <c r="Q2968" s="64"/>
      <c r="R2968" s="33"/>
      <c r="S2968" s="61"/>
      <c r="T2968" s="33"/>
      <c r="W2968" s="61"/>
      <c r="AF2968" s="60"/>
    </row>
    <row r="2969" spans="2:32" ht="16">
      <c r="B2969" s="67" t="str">
        <f t="shared" si="12"/>
        <v/>
      </c>
      <c r="C2969" s="33"/>
      <c r="D2969" s="33"/>
      <c r="E2969" s="33"/>
      <c r="F2969" s="56"/>
      <c r="G2969" s="33"/>
      <c r="H2969" s="33"/>
      <c r="I2969" s="33"/>
      <c r="J2969" s="57"/>
      <c r="K2969" s="33"/>
      <c r="L2969" s="57"/>
      <c r="M2969" s="33"/>
      <c r="N2969" s="56"/>
      <c r="O2969" s="64"/>
      <c r="P2969" s="62"/>
      <c r="Q2969" s="64"/>
      <c r="R2969" s="33"/>
      <c r="S2969" s="61"/>
      <c r="T2969" s="33"/>
      <c r="W2969" s="61"/>
      <c r="AF2969" s="60"/>
    </row>
    <row r="2970" spans="2:32" ht="16">
      <c r="B2970" s="67" t="str">
        <f t="shared" si="12"/>
        <v/>
      </c>
      <c r="C2970" s="33"/>
      <c r="D2970" s="33"/>
      <c r="E2970" s="33"/>
      <c r="F2970" s="56"/>
      <c r="G2970" s="33"/>
      <c r="H2970" s="33"/>
      <c r="I2970" s="33"/>
      <c r="J2970" s="57"/>
      <c r="K2970" s="33"/>
      <c r="L2970" s="57"/>
      <c r="M2970" s="33"/>
      <c r="N2970" s="56"/>
      <c r="O2970" s="64"/>
      <c r="P2970" s="62"/>
      <c r="Q2970" s="64"/>
      <c r="R2970" s="33"/>
      <c r="S2970" s="61"/>
      <c r="T2970" s="33"/>
      <c r="W2970" s="61"/>
      <c r="AF2970" s="60"/>
    </row>
    <row r="2971" spans="2:32" ht="16">
      <c r="B2971" s="67" t="str">
        <f t="shared" si="12"/>
        <v/>
      </c>
      <c r="C2971" s="33"/>
      <c r="D2971" s="33"/>
      <c r="E2971" s="33"/>
      <c r="F2971" s="56"/>
      <c r="G2971" s="33"/>
      <c r="H2971" s="33"/>
      <c r="I2971" s="33"/>
      <c r="J2971" s="57"/>
      <c r="K2971" s="33"/>
      <c r="L2971" s="57"/>
      <c r="M2971" s="33"/>
      <c r="N2971" s="56"/>
      <c r="O2971" s="64"/>
      <c r="P2971" s="62"/>
      <c r="Q2971" s="64"/>
      <c r="R2971" s="33"/>
      <c r="S2971" s="61"/>
      <c r="T2971" s="33"/>
      <c r="W2971" s="61"/>
      <c r="AF2971" s="60"/>
    </row>
    <row r="2972" spans="2:32" ht="16">
      <c r="B2972" s="67" t="str">
        <f t="shared" si="12"/>
        <v/>
      </c>
      <c r="C2972" s="33"/>
      <c r="D2972" s="33"/>
      <c r="E2972" s="33"/>
      <c r="F2972" s="56"/>
      <c r="G2972" s="33"/>
      <c r="H2972" s="33"/>
      <c r="I2972" s="33"/>
      <c r="J2972" s="57"/>
      <c r="K2972" s="33"/>
      <c r="L2972" s="57"/>
      <c r="M2972" s="33"/>
      <c r="N2972" s="56"/>
      <c r="O2972" s="64"/>
      <c r="P2972" s="62"/>
      <c r="Q2972" s="64"/>
      <c r="R2972" s="33"/>
      <c r="S2972" s="61"/>
      <c r="T2972" s="33"/>
      <c r="W2972" s="61"/>
      <c r="AF2972" s="60"/>
    </row>
    <row r="2973" spans="2:32" ht="16">
      <c r="B2973" s="67" t="str">
        <f t="shared" si="12"/>
        <v/>
      </c>
      <c r="C2973" s="33"/>
      <c r="D2973" s="33"/>
      <c r="E2973" s="33"/>
      <c r="F2973" s="56"/>
      <c r="G2973" s="33"/>
      <c r="H2973" s="33"/>
      <c r="I2973" s="33"/>
      <c r="J2973" s="57"/>
      <c r="K2973" s="33"/>
      <c r="L2973" s="57"/>
      <c r="M2973" s="33"/>
      <c r="N2973" s="56"/>
      <c r="O2973" s="64"/>
      <c r="P2973" s="62"/>
      <c r="Q2973" s="64"/>
      <c r="R2973" s="33"/>
      <c r="S2973" s="61"/>
      <c r="T2973" s="33"/>
      <c r="W2973" s="61"/>
      <c r="AF2973" s="60"/>
    </row>
    <row r="2974" spans="2:32" ht="16">
      <c r="B2974" s="67" t="str">
        <f t="shared" si="12"/>
        <v/>
      </c>
      <c r="C2974" s="33"/>
      <c r="D2974" s="33"/>
      <c r="E2974" s="33"/>
      <c r="F2974" s="56"/>
      <c r="G2974" s="33"/>
      <c r="H2974" s="33"/>
      <c r="I2974" s="33"/>
      <c r="J2974" s="57"/>
      <c r="K2974" s="33"/>
      <c r="L2974" s="57"/>
      <c r="M2974" s="33"/>
      <c r="N2974" s="56"/>
      <c r="O2974" s="64"/>
      <c r="P2974" s="62"/>
      <c r="Q2974" s="64"/>
      <c r="R2974" s="33"/>
      <c r="S2974" s="61"/>
      <c r="T2974" s="33"/>
      <c r="W2974" s="61"/>
      <c r="AF2974" s="60"/>
    </row>
    <row r="2975" spans="2:32" ht="16">
      <c r="B2975" s="67" t="str">
        <f t="shared" si="12"/>
        <v/>
      </c>
      <c r="C2975" s="33"/>
      <c r="D2975" s="33"/>
      <c r="E2975" s="33"/>
      <c r="F2975" s="56"/>
      <c r="G2975" s="33"/>
      <c r="H2975" s="33"/>
      <c r="I2975" s="33"/>
      <c r="J2975" s="57"/>
      <c r="K2975" s="33"/>
      <c r="L2975" s="57"/>
      <c r="M2975" s="33"/>
      <c r="N2975" s="56"/>
      <c r="O2975" s="64"/>
      <c r="P2975" s="62"/>
      <c r="Q2975" s="64"/>
      <c r="R2975" s="33"/>
      <c r="S2975" s="61"/>
      <c r="T2975" s="33"/>
      <c r="W2975" s="61"/>
      <c r="AF2975" s="60"/>
    </row>
    <row r="2976" spans="2:32" ht="16">
      <c r="B2976" s="67" t="str">
        <f t="shared" si="12"/>
        <v/>
      </c>
      <c r="C2976" s="33"/>
      <c r="D2976" s="33"/>
      <c r="E2976" s="33"/>
      <c r="F2976" s="56"/>
      <c r="G2976" s="33"/>
      <c r="H2976" s="33"/>
      <c r="I2976" s="33"/>
      <c r="J2976" s="57"/>
      <c r="K2976" s="33"/>
      <c r="L2976" s="57"/>
      <c r="M2976" s="33"/>
      <c r="N2976" s="56"/>
      <c r="O2976" s="64"/>
      <c r="P2976" s="62"/>
      <c r="Q2976" s="64"/>
      <c r="R2976" s="33"/>
      <c r="S2976" s="61"/>
      <c r="T2976" s="33"/>
      <c r="W2976" s="61"/>
      <c r="AF2976" s="60"/>
    </row>
    <row r="2977" spans="2:32" ht="16">
      <c r="B2977" s="67" t="str">
        <f t="shared" si="12"/>
        <v/>
      </c>
      <c r="C2977" s="33"/>
      <c r="D2977" s="33"/>
      <c r="E2977" s="33"/>
      <c r="F2977" s="56"/>
      <c r="G2977" s="33"/>
      <c r="H2977" s="33"/>
      <c r="I2977" s="33"/>
      <c r="J2977" s="57"/>
      <c r="K2977" s="33"/>
      <c r="L2977" s="57"/>
      <c r="M2977" s="33"/>
      <c r="N2977" s="56"/>
      <c r="O2977" s="64"/>
      <c r="P2977" s="62"/>
      <c r="Q2977" s="64"/>
      <c r="R2977" s="33"/>
      <c r="S2977" s="61"/>
      <c r="T2977" s="33"/>
      <c r="W2977" s="61"/>
      <c r="AF2977" s="60"/>
    </row>
    <row r="2978" spans="2:32" ht="16">
      <c r="B2978" s="67" t="str">
        <f t="shared" si="12"/>
        <v/>
      </c>
      <c r="C2978" s="33"/>
      <c r="D2978" s="33"/>
      <c r="E2978" s="33"/>
      <c r="F2978" s="56"/>
      <c r="G2978" s="33"/>
      <c r="H2978" s="33"/>
      <c r="I2978" s="33"/>
      <c r="J2978" s="57"/>
      <c r="K2978" s="33"/>
      <c r="L2978" s="57"/>
      <c r="M2978" s="33"/>
      <c r="N2978" s="56"/>
      <c r="O2978" s="64"/>
      <c r="P2978" s="62"/>
      <c r="Q2978" s="64"/>
      <c r="R2978" s="33"/>
      <c r="S2978" s="61"/>
      <c r="T2978" s="33"/>
      <c r="W2978" s="61"/>
      <c r="AF2978" s="60"/>
    </row>
    <row r="2979" spans="2:32" ht="16">
      <c r="B2979" s="67" t="str">
        <f t="shared" si="12"/>
        <v/>
      </c>
      <c r="C2979" s="33"/>
      <c r="D2979" s="33"/>
      <c r="E2979" s="33"/>
      <c r="F2979" s="56"/>
      <c r="G2979" s="33"/>
      <c r="H2979" s="33"/>
      <c r="I2979" s="33"/>
      <c r="J2979" s="57"/>
      <c r="K2979" s="33"/>
      <c r="L2979" s="57"/>
      <c r="M2979" s="33"/>
      <c r="N2979" s="56"/>
      <c r="O2979" s="64"/>
      <c r="P2979" s="62"/>
      <c r="Q2979" s="64"/>
      <c r="R2979" s="33"/>
      <c r="S2979" s="61"/>
      <c r="T2979" s="33"/>
      <c r="W2979" s="61"/>
      <c r="AF2979" s="60"/>
    </row>
    <row r="2980" spans="2:32" ht="16">
      <c r="B2980" s="67" t="str">
        <f t="shared" si="12"/>
        <v/>
      </c>
      <c r="C2980" s="33"/>
      <c r="D2980" s="33"/>
      <c r="E2980" s="33"/>
      <c r="F2980" s="56"/>
      <c r="G2980" s="33"/>
      <c r="H2980" s="33"/>
      <c r="I2980" s="33"/>
      <c r="J2980" s="57"/>
      <c r="K2980" s="33"/>
      <c r="L2980" s="57"/>
      <c r="M2980" s="33"/>
      <c r="N2980" s="56"/>
      <c r="O2980" s="64"/>
      <c r="P2980" s="62"/>
      <c r="Q2980" s="64"/>
      <c r="R2980" s="33"/>
      <c r="S2980" s="61"/>
      <c r="T2980" s="33"/>
      <c r="W2980" s="61"/>
      <c r="AF2980" s="60"/>
    </row>
    <row r="2981" spans="2:32" ht="16">
      <c r="B2981" s="67" t="str">
        <f t="shared" si="12"/>
        <v/>
      </c>
      <c r="C2981" s="33"/>
      <c r="D2981" s="33"/>
      <c r="E2981" s="33"/>
      <c r="F2981" s="56"/>
      <c r="G2981" s="33"/>
      <c r="H2981" s="33"/>
      <c r="I2981" s="33"/>
      <c r="J2981" s="57"/>
      <c r="K2981" s="33"/>
      <c r="L2981" s="57"/>
      <c r="M2981" s="33"/>
      <c r="N2981" s="56"/>
      <c r="O2981" s="64"/>
      <c r="P2981" s="62"/>
      <c r="Q2981" s="64"/>
      <c r="R2981" s="33"/>
      <c r="S2981" s="61"/>
      <c r="T2981" s="33"/>
      <c r="W2981" s="61"/>
      <c r="AF2981" s="60"/>
    </row>
    <row r="2982" spans="2:32" ht="16">
      <c r="B2982" s="67" t="str">
        <f t="shared" si="12"/>
        <v/>
      </c>
      <c r="C2982" s="33"/>
      <c r="D2982" s="33"/>
      <c r="E2982" s="33"/>
      <c r="F2982" s="56"/>
      <c r="G2982" s="33"/>
      <c r="H2982" s="33"/>
      <c r="I2982" s="33"/>
      <c r="J2982" s="57"/>
      <c r="K2982" s="33"/>
      <c r="L2982" s="57"/>
      <c r="M2982" s="33"/>
      <c r="N2982" s="56"/>
      <c r="O2982" s="64"/>
      <c r="P2982" s="62"/>
      <c r="Q2982" s="64"/>
      <c r="R2982" s="33"/>
      <c r="S2982" s="61"/>
      <c r="T2982" s="33"/>
      <c r="W2982" s="61"/>
      <c r="AF2982" s="60"/>
    </row>
    <row r="2983" spans="2:32" ht="16">
      <c r="B2983" s="67" t="str">
        <f t="shared" si="12"/>
        <v/>
      </c>
      <c r="C2983" s="33"/>
      <c r="D2983" s="33"/>
      <c r="E2983" s="33"/>
      <c r="F2983" s="56"/>
      <c r="G2983" s="33"/>
      <c r="H2983" s="33"/>
      <c r="I2983" s="33"/>
      <c r="J2983" s="57"/>
      <c r="K2983" s="33"/>
      <c r="L2983" s="57"/>
      <c r="M2983" s="33"/>
      <c r="N2983" s="56"/>
      <c r="O2983" s="64"/>
      <c r="P2983" s="62"/>
      <c r="Q2983" s="64"/>
      <c r="R2983" s="33"/>
      <c r="S2983" s="61"/>
      <c r="T2983" s="33"/>
      <c r="W2983" s="61"/>
      <c r="AF2983" s="60"/>
    </row>
    <row r="2984" spans="2:32" ht="16">
      <c r="B2984" s="67" t="str">
        <f t="shared" si="12"/>
        <v/>
      </c>
      <c r="C2984" s="33"/>
      <c r="D2984" s="33"/>
      <c r="E2984" s="33"/>
      <c r="F2984" s="56"/>
      <c r="G2984" s="33"/>
      <c r="H2984" s="33"/>
      <c r="I2984" s="33"/>
      <c r="J2984" s="57"/>
      <c r="K2984" s="33"/>
      <c r="L2984" s="57"/>
      <c r="M2984" s="33"/>
      <c r="N2984" s="56"/>
      <c r="O2984" s="64"/>
      <c r="P2984" s="62"/>
      <c r="Q2984" s="64"/>
      <c r="R2984" s="33"/>
      <c r="S2984" s="61"/>
      <c r="T2984" s="33"/>
      <c r="W2984" s="61"/>
      <c r="AF2984" s="60"/>
    </row>
    <row r="2985" spans="2:32" ht="16">
      <c r="B2985" s="67" t="str">
        <f t="shared" si="12"/>
        <v/>
      </c>
      <c r="C2985" s="33"/>
      <c r="D2985" s="33"/>
      <c r="E2985" s="33"/>
      <c r="F2985" s="56"/>
      <c r="G2985" s="33"/>
      <c r="H2985" s="33"/>
      <c r="I2985" s="33"/>
      <c r="J2985" s="57"/>
      <c r="K2985" s="33"/>
      <c r="L2985" s="57"/>
      <c r="M2985" s="33"/>
      <c r="N2985" s="56"/>
      <c r="O2985" s="64"/>
      <c r="P2985" s="62"/>
      <c r="Q2985" s="64"/>
      <c r="R2985" s="33"/>
      <c r="S2985" s="61"/>
      <c r="T2985" s="33"/>
      <c r="W2985" s="61"/>
      <c r="AF2985" s="60"/>
    </row>
    <row r="2986" spans="2:32" ht="16">
      <c r="B2986" s="67" t="str">
        <f t="shared" si="12"/>
        <v/>
      </c>
      <c r="C2986" s="33"/>
      <c r="D2986" s="33"/>
      <c r="E2986" s="33"/>
      <c r="F2986" s="56"/>
      <c r="G2986" s="33"/>
      <c r="H2986" s="33"/>
      <c r="I2986" s="33"/>
      <c r="J2986" s="57"/>
      <c r="K2986" s="33"/>
      <c r="L2986" s="57"/>
      <c r="M2986" s="33"/>
      <c r="N2986" s="56"/>
      <c r="O2986" s="64"/>
      <c r="P2986" s="62"/>
      <c r="Q2986" s="64"/>
      <c r="R2986" s="33"/>
      <c r="S2986" s="61"/>
      <c r="T2986" s="33"/>
      <c r="W2986" s="61"/>
      <c r="AF2986" s="60"/>
    </row>
    <row r="2987" spans="2:32" ht="16">
      <c r="B2987" s="67" t="str">
        <f t="shared" si="12"/>
        <v/>
      </c>
      <c r="C2987" s="33"/>
      <c r="D2987" s="33"/>
      <c r="E2987" s="33"/>
      <c r="F2987" s="56"/>
      <c r="G2987" s="33"/>
      <c r="H2987" s="33"/>
      <c r="I2987" s="33"/>
      <c r="J2987" s="57"/>
      <c r="K2987" s="33"/>
      <c r="L2987" s="57"/>
      <c r="M2987" s="33"/>
      <c r="N2987" s="56"/>
      <c r="O2987" s="64"/>
      <c r="P2987" s="62"/>
      <c r="Q2987" s="64"/>
      <c r="R2987" s="33"/>
      <c r="S2987" s="61"/>
      <c r="T2987" s="33"/>
      <c r="W2987" s="61"/>
      <c r="AF2987" s="60"/>
    </row>
    <row r="2988" spans="2:32" ht="16">
      <c r="B2988" s="67" t="str">
        <f t="shared" si="12"/>
        <v/>
      </c>
      <c r="C2988" s="33"/>
      <c r="D2988" s="33"/>
      <c r="E2988" s="33"/>
      <c r="F2988" s="56"/>
      <c r="G2988" s="33"/>
      <c r="H2988" s="33"/>
      <c r="I2988" s="33"/>
      <c r="J2988" s="57"/>
      <c r="K2988" s="33"/>
      <c r="L2988" s="57"/>
      <c r="M2988" s="33"/>
      <c r="N2988" s="56"/>
      <c r="O2988" s="64"/>
      <c r="P2988" s="62"/>
      <c r="Q2988" s="64"/>
      <c r="R2988" s="33"/>
      <c r="S2988" s="61"/>
      <c r="T2988" s="33"/>
      <c r="W2988" s="61"/>
      <c r="AF2988" s="60"/>
    </row>
    <row r="2989" spans="2:32" ht="16">
      <c r="B2989" s="67" t="str">
        <f t="shared" si="12"/>
        <v/>
      </c>
      <c r="C2989" s="33"/>
      <c r="D2989" s="33"/>
      <c r="E2989" s="33"/>
      <c r="F2989" s="56"/>
      <c r="G2989" s="33"/>
      <c r="H2989" s="33"/>
      <c r="I2989" s="33"/>
      <c r="J2989" s="57"/>
      <c r="K2989" s="33"/>
      <c r="L2989" s="57"/>
      <c r="M2989" s="33"/>
      <c r="N2989" s="56"/>
      <c r="O2989" s="64"/>
      <c r="P2989" s="62"/>
      <c r="Q2989" s="64"/>
      <c r="R2989" s="33"/>
      <c r="S2989" s="61"/>
      <c r="T2989" s="33"/>
      <c r="W2989" s="61"/>
      <c r="AF2989" s="60"/>
    </row>
    <row r="2990" spans="2:32" ht="16">
      <c r="B2990" s="67" t="str">
        <f t="shared" si="12"/>
        <v/>
      </c>
      <c r="C2990" s="33"/>
      <c r="D2990" s="33"/>
      <c r="E2990" s="33"/>
      <c r="F2990" s="56"/>
      <c r="G2990" s="33"/>
      <c r="H2990" s="33"/>
      <c r="I2990" s="33"/>
      <c r="J2990" s="57"/>
      <c r="K2990" s="33"/>
      <c r="L2990" s="57"/>
      <c r="M2990" s="33"/>
      <c r="N2990" s="56"/>
      <c r="O2990" s="64"/>
      <c r="P2990" s="62"/>
      <c r="Q2990" s="64"/>
      <c r="R2990" s="33"/>
      <c r="S2990" s="61"/>
      <c r="T2990" s="33"/>
      <c r="W2990" s="61"/>
      <c r="AF2990" s="60"/>
    </row>
    <row r="2991" spans="2:32" ht="16">
      <c r="B2991" s="67" t="str">
        <f t="shared" si="12"/>
        <v/>
      </c>
      <c r="C2991" s="33"/>
      <c r="D2991" s="33"/>
      <c r="E2991" s="33"/>
      <c r="F2991" s="56"/>
      <c r="G2991" s="33"/>
      <c r="H2991" s="33"/>
      <c r="I2991" s="33"/>
      <c r="J2991" s="57"/>
      <c r="K2991" s="33"/>
      <c r="L2991" s="57"/>
      <c r="M2991" s="33"/>
      <c r="N2991" s="56"/>
      <c r="O2991" s="64"/>
      <c r="P2991" s="62"/>
      <c r="Q2991" s="64"/>
      <c r="R2991" s="33"/>
      <c r="S2991" s="61"/>
      <c r="T2991" s="33"/>
      <c r="W2991" s="61"/>
      <c r="AF2991" s="60"/>
    </row>
    <row r="2992" spans="2:32" ht="16">
      <c r="B2992" s="67" t="str">
        <f t="shared" si="12"/>
        <v/>
      </c>
      <c r="C2992" s="33"/>
      <c r="D2992" s="33"/>
      <c r="E2992" s="33"/>
      <c r="F2992" s="56"/>
      <c r="G2992" s="33"/>
      <c r="H2992" s="33"/>
      <c r="I2992" s="33"/>
      <c r="J2992" s="57"/>
      <c r="K2992" s="33"/>
      <c r="L2992" s="57"/>
      <c r="M2992" s="33"/>
      <c r="N2992" s="56"/>
      <c r="O2992" s="64"/>
      <c r="P2992" s="62"/>
      <c r="Q2992" s="64"/>
      <c r="R2992" s="33"/>
      <c r="S2992" s="61"/>
      <c r="T2992" s="33"/>
      <c r="W2992" s="61"/>
      <c r="AF2992" s="60"/>
    </row>
    <row r="2993" spans="2:32" ht="16">
      <c r="B2993" s="67" t="str">
        <f t="shared" si="12"/>
        <v/>
      </c>
      <c r="C2993" s="33"/>
      <c r="D2993" s="33"/>
      <c r="E2993" s="33"/>
      <c r="F2993" s="56"/>
      <c r="G2993" s="33"/>
      <c r="H2993" s="33"/>
      <c r="I2993" s="33"/>
      <c r="J2993" s="57"/>
      <c r="K2993" s="33"/>
      <c r="L2993" s="57"/>
      <c r="M2993" s="33"/>
      <c r="N2993" s="56"/>
      <c r="O2993" s="64"/>
      <c r="P2993" s="62"/>
      <c r="Q2993" s="64"/>
      <c r="R2993" s="33"/>
      <c r="S2993" s="61"/>
      <c r="T2993" s="33"/>
      <c r="W2993" s="61"/>
      <c r="AF2993" s="60"/>
    </row>
    <row r="2994" spans="2:32" ht="16">
      <c r="B2994" s="67" t="str">
        <f t="shared" si="12"/>
        <v/>
      </c>
      <c r="C2994" s="33"/>
      <c r="D2994" s="33"/>
      <c r="E2994" s="33"/>
      <c r="F2994" s="56"/>
      <c r="G2994" s="33"/>
      <c r="H2994" s="33"/>
      <c r="I2994" s="33"/>
      <c r="J2994" s="57"/>
      <c r="K2994" s="33"/>
      <c r="L2994" s="57"/>
      <c r="M2994" s="33"/>
      <c r="N2994" s="56"/>
      <c r="O2994" s="64"/>
      <c r="P2994" s="62"/>
      <c r="Q2994" s="64"/>
      <c r="R2994" s="33"/>
      <c r="S2994" s="61"/>
      <c r="T2994" s="33"/>
      <c r="W2994" s="61"/>
      <c r="AF2994" s="60"/>
    </row>
    <row r="2995" spans="2:32" ht="16">
      <c r="B2995" s="67" t="str">
        <f t="shared" si="12"/>
        <v/>
      </c>
      <c r="C2995" s="33"/>
      <c r="D2995" s="33"/>
      <c r="E2995" s="33"/>
      <c r="F2995" s="56"/>
      <c r="G2995" s="33"/>
      <c r="H2995" s="33"/>
      <c r="I2995" s="33"/>
      <c r="J2995" s="57"/>
      <c r="K2995" s="33"/>
      <c r="L2995" s="57"/>
      <c r="M2995" s="33"/>
      <c r="N2995" s="56"/>
      <c r="O2995" s="64"/>
      <c r="P2995" s="62"/>
      <c r="Q2995" s="64"/>
      <c r="R2995" s="33"/>
      <c r="S2995" s="61"/>
      <c r="T2995" s="33"/>
      <c r="W2995" s="61"/>
      <c r="AF2995" s="60"/>
    </row>
    <row r="2996" spans="2:32" ht="16">
      <c r="B2996" s="67" t="str">
        <f t="shared" si="12"/>
        <v/>
      </c>
      <c r="C2996" s="33"/>
      <c r="D2996" s="33"/>
      <c r="E2996" s="33"/>
      <c r="F2996" s="56"/>
      <c r="G2996" s="33"/>
      <c r="H2996" s="33"/>
      <c r="I2996" s="33"/>
      <c r="J2996" s="57"/>
      <c r="K2996" s="33"/>
      <c r="L2996" s="57"/>
      <c r="M2996" s="33"/>
      <c r="N2996" s="56"/>
      <c r="O2996" s="64"/>
      <c r="P2996" s="62"/>
      <c r="Q2996" s="64"/>
      <c r="R2996" s="33"/>
      <c r="S2996" s="61"/>
      <c r="T2996" s="33"/>
      <c r="W2996" s="61"/>
      <c r="AF2996" s="60"/>
    </row>
    <row r="2997" spans="2:32" ht="16">
      <c r="B2997" s="67" t="str">
        <f t="shared" si="12"/>
        <v/>
      </c>
      <c r="C2997" s="33"/>
      <c r="D2997" s="33"/>
      <c r="E2997" s="33"/>
      <c r="F2997" s="56"/>
      <c r="G2997" s="33"/>
      <c r="H2997" s="33"/>
      <c r="I2997" s="33"/>
      <c r="J2997" s="57"/>
      <c r="K2997" s="33"/>
      <c r="L2997" s="57"/>
      <c r="M2997" s="33"/>
      <c r="N2997" s="56"/>
      <c r="O2997" s="64"/>
      <c r="P2997" s="62"/>
      <c r="Q2997" s="64"/>
      <c r="R2997" s="33"/>
      <c r="S2997" s="61"/>
      <c r="T2997" s="33"/>
      <c r="W2997" s="61"/>
      <c r="AF2997" s="60"/>
    </row>
    <row r="2998" spans="2:32" ht="16">
      <c r="B2998" s="67" t="str">
        <f t="shared" si="12"/>
        <v/>
      </c>
      <c r="C2998" s="33"/>
      <c r="D2998" s="33"/>
      <c r="E2998" s="33"/>
      <c r="F2998" s="56"/>
      <c r="G2998" s="33"/>
      <c r="H2998" s="33"/>
      <c r="I2998" s="33"/>
      <c r="J2998" s="57"/>
      <c r="K2998" s="33"/>
      <c r="L2998" s="57"/>
      <c r="M2998" s="33"/>
      <c r="N2998" s="56"/>
      <c r="O2998" s="64"/>
      <c r="P2998" s="62"/>
      <c r="Q2998" s="64"/>
      <c r="R2998" s="33"/>
      <c r="S2998" s="61"/>
      <c r="T2998" s="33"/>
      <c r="W2998" s="61"/>
      <c r="AF2998" s="60"/>
    </row>
    <row r="2999" spans="2:32" ht="16">
      <c r="B2999" s="67" t="str">
        <f t="shared" si="12"/>
        <v/>
      </c>
      <c r="C2999" s="33"/>
      <c r="D2999" s="33"/>
      <c r="E2999" s="33"/>
      <c r="F2999" s="56"/>
      <c r="G2999" s="33"/>
      <c r="H2999" s="33"/>
      <c r="I2999" s="33"/>
      <c r="J2999" s="57"/>
      <c r="K2999" s="33"/>
      <c r="L2999" s="57"/>
      <c r="M2999" s="33"/>
      <c r="N2999" s="56"/>
      <c r="O2999" s="64"/>
      <c r="P2999" s="62"/>
      <c r="Q2999" s="64"/>
      <c r="R2999" s="33"/>
      <c r="S2999" s="61"/>
      <c r="T2999" s="33"/>
      <c r="W2999" s="61"/>
      <c r="AF2999" s="60"/>
    </row>
    <row r="3000" spans="2:32" ht="16">
      <c r="B3000" s="67" t="str">
        <f t="shared" si="12"/>
        <v/>
      </c>
      <c r="C3000" s="33"/>
      <c r="D3000" s="33"/>
      <c r="E3000" s="33"/>
      <c r="F3000" s="56"/>
      <c r="G3000" s="33"/>
      <c r="H3000" s="33"/>
      <c r="I3000" s="33"/>
      <c r="J3000" s="57"/>
      <c r="K3000" s="33"/>
      <c r="L3000" s="57"/>
      <c r="M3000" s="33"/>
      <c r="N3000" s="56"/>
      <c r="O3000" s="64"/>
      <c r="P3000" s="62"/>
      <c r="Q3000" s="64"/>
      <c r="R3000" s="33"/>
      <c r="S3000" s="61"/>
      <c r="T3000" s="33"/>
      <c r="W3000" s="61"/>
      <c r="AF3000" s="60"/>
    </row>
    <row r="3001" spans="2:32" ht="16">
      <c r="B3001" s="67" t="str">
        <f t="shared" si="12"/>
        <v/>
      </c>
      <c r="C3001" s="33"/>
      <c r="D3001" s="33"/>
      <c r="E3001" s="33"/>
      <c r="F3001" s="56"/>
      <c r="G3001" s="33"/>
      <c r="H3001" s="33"/>
      <c r="I3001" s="33"/>
      <c r="J3001" s="57"/>
      <c r="K3001" s="33"/>
      <c r="L3001" s="57"/>
      <c r="M3001" s="33"/>
      <c r="N3001" s="56"/>
      <c r="O3001" s="64"/>
      <c r="P3001" s="62"/>
      <c r="Q3001" s="64"/>
      <c r="R3001" s="33"/>
      <c r="S3001" s="61"/>
      <c r="T3001" s="33"/>
      <c r="W3001" s="61"/>
      <c r="AF3001" s="60"/>
    </row>
    <row r="3002" spans="2:32" ht="16">
      <c r="B3002" s="67" t="str">
        <f t="shared" si="12"/>
        <v/>
      </c>
      <c r="C3002" s="33"/>
      <c r="D3002" s="33"/>
      <c r="E3002" s="33"/>
      <c r="F3002" s="56"/>
      <c r="G3002" s="33"/>
      <c r="H3002" s="33"/>
      <c r="I3002" s="33"/>
      <c r="J3002" s="57"/>
      <c r="K3002" s="33"/>
      <c r="L3002" s="57"/>
      <c r="M3002" s="33"/>
      <c r="N3002" s="56"/>
      <c r="O3002" s="64"/>
      <c r="P3002" s="62"/>
      <c r="Q3002" s="64"/>
      <c r="R3002" s="33"/>
      <c r="S3002" s="61"/>
      <c r="T3002" s="33"/>
      <c r="W3002" s="61"/>
      <c r="AF3002" s="60"/>
    </row>
    <row r="3003" spans="2:32" ht="16">
      <c r="B3003" s="67" t="str">
        <f t="shared" si="12"/>
        <v/>
      </c>
      <c r="C3003" s="33"/>
      <c r="D3003" s="33"/>
      <c r="E3003" s="33"/>
      <c r="F3003" s="56"/>
      <c r="G3003" s="33"/>
      <c r="H3003" s="33"/>
      <c r="I3003" s="33"/>
      <c r="J3003" s="57"/>
      <c r="K3003" s="33"/>
      <c r="L3003" s="57"/>
      <c r="M3003" s="33"/>
      <c r="N3003" s="56"/>
      <c r="O3003" s="64"/>
      <c r="P3003" s="62"/>
      <c r="Q3003" s="64"/>
      <c r="R3003" s="33"/>
      <c r="S3003" s="61"/>
      <c r="T3003" s="33"/>
      <c r="W3003" s="61"/>
      <c r="AF3003" s="60"/>
    </row>
    <row r="3004" spans="2:32" ht="16">
      <c r="B3004" s="67" t="str">
        <f t="shared" si="12"/>
        <v/>
      </c>
      <c r="C3004" s="33"/>
      <c r="D3004" s="33"/>
      <c r="E3004" s="33"/>
      <c r="F3004" s="56"/>
      <c r="G3004" s="33"/>
      <c r="H3004" s="33"/>
      <c r="I3004" s="33"/>
      <c r="J3004" s="57"/>
      <c r="K3004" s="33"/>
      <c r="L3004" s="57"/>
      <c r="M3004" s="33"/>
      <c r="N3004" s="56"/>
      <c r="O3004" s="64"/>
      <c r="P3004" s="62"/>
      <c r="Q3004" s="64"/>
      <c r="R3004" s="33"/>
      <c r="S3004" s="61"/>
      <c r="T3004" s="33"/>
      <c r="W3004" s="61"/>
      <c r="AF3004" s="60"/>
    </row>
    <row r="3005" spans="2:32" ht="16">
      <c r="B3005" s="67" t="str">
        <f t="shared" si="12"/>
        <v/>
      </c>
      <c r="C3005" s="33"/>
      <c r="D3005" s="33"/>
      <c r="E3005" s="33"/>
      <c r="F3005" s="56"/>
      <c r="G3005" s="33"/>
      <c r="H3005" s="33"/>
      <c r="I3005" s="33"/>
      <c r="J3005" s="57"/>
      <c r="K3005" s="33"/>
      <c r="L3005" s="57"/>
      <c r="M3005" s="33"/>
      <c r="N3005" s="56"/>
      <c r="O3005" s="64"/>
      <c r="P3005" s="62"/>
      <c r="Q3005" s="64"/>
      <c r="R3005" s="33"/>
      <c r="S3005" s="61"/>
      <c r="T3005" s="33"/>
      <c r="W3005" s="61"/>
      <c r="AF3005" s="60"/>
    </row>
    <row r="3006" spans="2:32" ht="16">
      <c r="B3006" s="67" t="str">
        <f t="shared" si="12"/>
        <v/>
      </c>
      <c r="C3006" s="33"/>
      <c r="D3006" s="33"/>
      <c r="E3006" s="33"/>
      <c r="F3006" s="56"/>
      <c r="G3006" s="33"/>
      <c r="H3006" s="33"/>
      <c r="I3006" s="33"/>
      <c r="J3006" s="57"/>
      <c r="K3006" s="33"/>
      <c r="L3006" s="57"/>
      <c r="M3006" s="33"/>
      <c r="N3006" s="56"/>
      <c r="O3006" s="64"/>
      <c r="P3006" s="62"/>
      <c r="Q3006" s="64"/>
      <c r="R3006" s="33"/>
      <c r="S3006" s="61"/>
      <c r="T3006" s="33"/>
      <c r="W3006" s="61"/>
      <c r="AF3006" s="60"/>
    </row>
    <row r="3007" spans="2:32" ht="16">
      <c r="B3007" s="67" t="str">
        <f t="shared" si="12"/>
        <v/>
      </c>
      <c r="C3007" s="33"/>
      <c r="D3007" s="33"/>
      <c r="E3007" s="33"/>
      <c r="F3007" s="56"/>
      <c r="G3007" s="33"/>
      <c r="H3007" s="33"/>
      <c r="I3007" s="33"/>
      <c r="J3007" s="57"/>
      <c r="K3007" s="33"/>
      <c r="L3007" s="57"/>
      <c r="M3007" s="33"/>
      <c r="N3007" s="56"/>
      <c r="O3007" s="64"/>
      <c r="P3007" s="62"/>
      <c r="Q3007" s="64"/>
      <c r="R3007" s="33"/>
      <c r="S3007" s="61"/>
      <c r="T3007" s="33"/>
      <c r="W3007" s="61"/>
      <c r="AF3007" s="60"/>
    </row>
    <row r="3008" spans="2:32" ht="16">
      <c r="B3008" s="67" t="str">
        <f t="shared" si="12"/>
        <v/>
      </c>
      <c r="C3008" s="33"/>
      <c r="D3008" s="33"/>
      <c r="E3008" s="33"/>
      <c r="F3008" s="56"/>
      <c r="G3008" s="33"/>
      <c r="H3008" s="33"/>
      <c r="I3008" s="33"/>
      <c r="J3008" s="57"/>
      <c r="K3008" s="33"/>
      <c r="L3008" s="57"/>
      <c r="M3008" s="33"/>
      <c r="N3008" s="56"/>
      <c r="O3008" s="64"/>
      <c r="P3008" s="62"/>
      <c r="Q3008" s="64"/>
      <c r="R3008" s="33"/>
      <c r="S3008" s="61"/>
      <c r="T3008" s="33"/>
      <c r="W3008" s="61"/>
      <c r="AF3008" s="60"/>
    </row>
    <row r="3009" spans="2:32" ht="16">
      <c r="B3009" s="67" t="str">
        <f t="shared" si="12"/>
        <v/>
      </c>
      <c r="C3009" s="33"/>
      <c r="D3009" s="33"/>
      <c r="E3009" s="33"/>
      <c r="F3009" s="56"/>
      <c r="G3009" s="33"/>
      <c r="H3009" s="33"/>
      <c r="I3009" s="33"/>
      <c r="J3009" s="57"/>
      <c r="K3009" s="33"/>
      <c r="L3009" s="57"/>
      <c r="M3009" s="33"/>
      <c r="N3009" s="56"/>
      <c r="O3009" s="64"/>
      <c r="P3009" s="62"/>
      <c r="Q3009" s="64"/>
      <c r="R3009" s="33"/>
      <c r="S3009" s="61"/>
      <c r="T3009" s="33"/>
      <c r="W3009" s="61"/>
      <c r="AF3009" s="60"/>
    </row>
    <row r="3010" spans="2:32" ht="16">
      <c r="B3010" s="67" t="str">
        <f t="shared" si="12"/>
        <v/>
      </c>
      <c r="C3010" s="33"/>
      <c r="D3010" s="33"/>
      <c r="E3010" s="33"/>
      <c r="F3010" s="56"/>
      <c r="G3010" s="33"/>
      <c r="H3010" s="33"/>
      <c r="I3010" s="33"/>
      <c r="J3010" s="57"/>
      <c r="K3010" s="33"/>
      <c r="L3010" s="57"/>
      <c r="M3010" s="33"/>
      <c r="N3010" s="56"/>
      <c r="O3010" s="64"/>
      <c r="P3010" s="62"/>
      <c r="Q3010" s="64"/>
      <c r="R3010" s="33"/>
      <c r="S3010" s="61"/>
      <c r="T3010" s="33"/>
      <c r="W3010" s="61"/>
      <c r="AF3010" s="60"/>
    </row>
    <row r="3011" spans="2:32" ht="16">
      <c r="B3011" s="67" t="str">
        <f t="shared" si="12"/>
        <v/>
      </c>
      <c r="C3011" s="33"/>
      <c r="D3011" s="33"/>
      <c r="E3011" s="33"/>
      <c r="F3011" s="56"/>
      <c r="G3011" s="33"/>
      <c r="H3011" s="33"/>
      <c r="I3011" s="33"/>
      <c r="J3011" s="57"/>
      <c r="K3011" s="33"/>
      <c r="L3011" s="57"/>
      <c r="M3011" s="33"/>
      <c r="N3011" s="56"/>
      <c r="O3011" s="64"/>
      <c r="P3011" s="62"/>
      <c r="Q3011" s="64"/>
      <c r="R3011" s="33"/>
      <c r="S3011" s="61"/>
      <c r="T3011" s="33"/>
      <c r="W3011" s="61"/>
      <c r="AF3011" s="60"/>
    </row>
    <row r="3012" spans="2:32" ht="16">
      <c r="B3012" s="67" t="str">
        <f t="shared" si="12"/>
        <v/>
      </c>
      <c r="C3012" s="33"/>
      <c r="D3012" s="33"/>
      <c r="E3012" s="33"/>
      <c r="F3012" s="56"/>
      <c r="G3012" s="33"/>
      <c r="H3012" s="33"/>
      <c r="I3012" s="33"/>
      <c r="J3012" s="57"/>
      <c r="K3012" s="33"/>
      <c r="L3012" s="57"/>
      <c r="M3012" s="33"/>
      <c r="N3012" s="56"/>
      <c r="O3012" s="64"/>
      <c r="P3012" s="62"/>
      <c r="Q3012" s="64"/>
      <c r="R3012" s="33"/>
      <c r="S3012" s="61"/>
      <c r="T3012" s="33"/>
      <c r="W3012" s="61"/>
      <c r="AF3012" s="60"/>
    </row>
    <row r="3013" spans="2:32" ht="16">
      <c r="B3013" s="67" t="str">
        <f t="shared" si="12"/>
        <v/>
      </c>
      <c r="C3013" s="33"/>
      <c r="D3013" s="33"/>
      <c r="E3013" s="33"/>
      <c r="F3013" s="56"/>
      <c r="G3013" s="33"/>
      <c r="H3013" s="33"/>
      <c r="I3013" s="33"/>
      <c r="J3013" s="57"/>
      <c r="K3013" s="33"/>
      <c r="L3013" s="57"/>
      <c r="M3013" s="33"/>
      <c r="N3013" s="56"/>
      <c r="O3013" s="64"/>
      <c r="P3013" s="62"/>
      <c r="Q3013" s="64"/>
      <c r="R3013" s="33"/>
      <c r="S3013" s="61"/>
      <c r="T3013" s="33"/>
      <c r="W3013" s="61"/>
      <c r="AF3013" s="60"/>
    </row>
    <row r="3014" spans="2:32" ht="16">
      <c r="B3014" s="67" t="str">
        <f t="shared" si="12"/>
        <v/>
      </c>
      <c r="C3014" s="33"/>
      <c r="D3014" s="33"/>
      <c r="E3014" s="33"/>
      <c r="F3014" s="56"/>
      <c r="G3014" s="33"/>
      <c r="H3014" s="33"/>
      <c r="I3014" s="33"/>
      <c r="J3014" s="57"/>
      <c r="K3014" s="33"/>
      <c r="L3014" s="57"/>
      <c r="M3014" s="33"/>
      <c r="N3014" s="56"/>
      <c r="O3014" s="64"/>
      <c r="P3014" s="62"/>
      <c r="Q3014" s="64"/>
      <c r="R3014" s="33"/>
      <c r="S3014" s="61"/>
      <c r="T3014" s="33"/>
      <c r="W3014" s="61"/>
      <c r="AF3014" s="60"/>
    </row>
    <row r="3015" spans="2:32" ht="16">
      <c r="B3015" s="67" t="str">
        <f t="shared" si="12"/>
        <v/>
      </c>
      <c r="C3015" s="33"/>
      <c r="D3015" s="33"/>
      <c r="E3015" s="33"/>
      <c r="F3015" s="56"/>
      <c r="G3015" s="33"/>
      <c r="H3015" s="33"/>
      <c r="I3015" s="33"/>
      <c r="J3015" s="57"/>
      <c r="K3015" s="33"/>
      <c r="L3015" s="57"/>
      <c r="M3015" s="33"/>
      <c r="N3015" s="56"/>
      <c r="O3015" s="64"/>
      <c r="P3015" s="62"/>
      <c r="Q3015" s="64"/>
      <c r="R3015" s="33"/>
      <c r="S3015" s="61"/>
      <c r="T3015" s="33"/>
      <c r="W3015" s="61"/>
      <c r="AF3015" s="60"/>
    </row>
    <row r="3016" spans="2:32" ht="16">
      <c r="B3016" s="67" t="str">
        <f t="shared" si="12"/>
        <v/>
      </c>
      <c r="C3016" s="33"/>
      <c r="D3016" s="33"/>
      <c r="E3016" s="33"/>
      <c r="F3016" s="56"/>
      <c r="G3016" s="33"/>
      <c r="H3016" s="33"/>
      <c r="I3016" s="33"/>
      <c r="J3016" s="57"/>
      <c r="K3016" s="33"/>
      <c r="L3016" s="57"/>
      <c r="M3016" s="33"/>
      <c r="N3016" s="56"/>
      <c r="O3016" s="64"/>
      <c r="P3016" s="62"/>
      <c r="Q3016" s="64"/>
      <c r="R3016" s="33"/>
      <c r="S3016" s="61"/>
      <c r="T3016" s="33"/>
      <c r="W3016" s="61"/>
      <c r="AF3016" s="60"/>
    </row>
    <row r="3017" spans="2:32" ht="16">
      <c r="B3017" s="67" t="str">
        <f t="shared" si="12"/>
        <v/>
      </c>
      <c r="C3017" s="33"/>
      <c r="D3017" s="33"/>
      <c r="E3017" s="33"/>
      <c r="F3017" s="56"/>
      <c r="G3017" s="33"/>
      <c r="H3017" s="33"/>
      <c r="I3017" s="33"/>
      <c r="J3017" s="57"/>
      <c r="K3017" s="33"/>
      <c r="L3017" s="57"/>
      <c r="M3017" s="33"/>
      <c r="N3017" s="56"/>
      <c r="O3017" s="64"/>
      <c r="P3017" s="62"/>
      <c r="Q3017" s="64"/>
      <c r="R3017" s="33"/>
      <c r="S3017" s="61"/>
      <c r="T3017" s="33"/>
      <c r="W3017" s="61"/>
      <c r="AF3017" s="60"/>
    </row>
    <row r="3018" spans="2:32" ht="16">
      <c r="B3018" s="67" t="str">
        <f t="shared" si="12"/>
        <v/>
      </c>
      <c r="C3018" s="33"/>
      <c r="D3018" s="33"/>
      <c r="E3018" s="33"/>
      <c r="F3018" s="56"/>
      <c r="G3018" s="33"/>
      <c r="H3018" s="33"/>
      <c r="I3018" s="33"/>
      <c r="J3018" s="57"/>
      <c r="K3018" s="33"/>
      <c r="L3018" s="57"/>
      <c r="M3018" s="33"/>
      <c r="N3018" s="56"/>
      <c r="O3018" s="64"/>
      <c r="P3018" s="62"/>
      <c r="Q3018" s="64"/>
      <c r="R3018" s="33"/>
      <c r="S3018" s="61"/>
      <c r="T3018" s="33"/>
      <c r="W3018" s="61"/>
      <c r="AF3018" s="60"/>
    </row>
    <row r="3019" spans="2:32" ht="16">
      <c r="B3019" s="67" t="str">
        <f t="shared" si="12"/>
        <v/>
      </c>
      <c r="C3019" s="33"/>
      <c r="D3019" s="33"/>
      <c r="E3019" s="33"/>
      <c r="F3019" s="56"/>
      <c r="G3019" s="33"/>
      <c r="H3019" s="33"/>
      <c r="I3019" s="33"/>
      <c r="J3019" s="57"/>
      <c r="K3019" s="33"/>
      <c r="L3019" s="57"/>
      <c r="M3019" s="33"/>
      <c r="N3019" s="56"/>
      <c r="O3019" s="64"/>
      <c r="P3019" s="62"/>
      <c r="Q3019" s="64"/>
      <c r="R3019" s="33"/>
      <c r="S3019" s="61"/>
      <c r="T3019" s="33"/>
      <c r="W3019" s="61"/>
      <c r="AF3019" s="60"/>
    </row>
    <row r="3020" spans="2:32" ht="16">
      <c r="B3020" s="67" t="str">
        <f t="shared" si="12"/>
        <v/>
      </c>
      <c r="C3020" s="33"/>
      <c r="D3020" s="33"/>
      <c r="E3020" s="33"/>
      <c r="F3020" s="56"/>
      <c r="G3020" s="33"/>
      <c r="H3020" s="33"/>
      <c r="I3020" s="33"/>
      <c r="J3020" s="57"/>
      <c r="K3020" s="33"/>
      <c r="L3020" s="57"/>
      <c r="M3020" s="33"/>
      <c r="N3020" s="56"/>
      <c r="O3020" s="64"/>
      <c r="P3020" s="62"/>
      <c r="Q3020" s="64"/>
      <c r="R3020" s="33"/>
      <c r="S3020" s="61"/>
      <c r="T3020" s="33"/>
      <c r="W3020" s="61"/>
      <c r="AF3020" s="60"/>
    </row>
    <row r="3021" spans="2:32" ht="16">
      <c r="B3021" s="67" t="str">
        <f t="shared" si="12"/>
        <v/>
      </c>
      <c r="C3021" s="33"/>
      <c r="D3021" s="33"/>
      <c r="E3021" s="33"/>
      <c r="F3021" s="56"/>
      <c r="G3021" s="33"/>
      <c r="H3021" s="33"/>
      <c r="I3021" s="33"/>
      <c r="J3021" s="57"/>
      <c r="K3021" s="33"/>
      <c r="L3021" s="57"/>
      <c r="M3021" s="33"/>
      <c r="N3021" s="56"/>
      <c r="O3021" s="64"/>
      <c r="P3021" s="62"/>
      <c r="Q3021" s="64"/>
      <c r="R3021" s="33"/>
      <c r="S3021" s="61"/>
      <c r="T3021" s="33"/>
      <c r="W3021" s="61"/>
      <c r="AF3021" s="60"/>
    </row>
    <row r="3022" spans="2:32" ht="16">
      <c r="B3022" s="67" t="str">
        <f t="shared" si="12"/>
        <v/>
      </c>
      <c r="C3022" s="33"/>
      <c r="D3022" s="33"/>
      <c r="E3022" s="33"/>
      <c r="F3022" s="56"/>
      <c r="G3022" s="33"/>
      <c r="H3022" s="33"/>
      <c r="I3022" s="33"/>
      <c r="J3022" s="57"/>
      <c r="K3022" s="33"/>
      <c r="L3022" s="57"/>
      <c r="M3022" s="33"/>
      <c r="N3022" s="56"/>
      <c r="O3022" s="64"/>
      <c r="P3022" s="62"/>
      <c r="Q3022" s="64"/>
      <c r="R3022" s="33"/>
      <c r="S3022" s="61"/>
      <c r="T3022" s="33"/>
      <c r="W3022" s="61"/>
      <c r="AF3022" s="60"/>
    </row>
    <row r="3023" spans="2:32" ht="16">
      <c r="B3023" s="67" t="str">
        <f t="shared" si="12"/>
        <v/>
      </c>
      <c r="C3023" s="33"/>
      <c r="D3023" s="33"/>
      <c r="E3023" s="33"/>
      <c r="F3023" s="56"/>
      <c r="G3023" s="33"/>
      <c r="H3023" s="33"/>
      <c r="I3023" s="33"/>
      <c r="J3023" s="57"/>
      <c r="K3023" s="33"/>
      <c r="L3023" s="57"/>
      <c r="M3023" s="33"/>
      <c r="N3023" s="56"/>
      <c r="O3023" s="64"/>
      <c r="P3023" s="62"/>
      <c r="Q3023" s="64"/>
      <c r="R3023" s="33"/>
      <c r="S3023" s="61"/>
      <c r="T3023" s="33"/>
      <c r="W3023" s="61"/>
      <c r="AF3023" s="60"/>
    </row>
    <row r="3024" spans="2:32" ht="16">
      <c r="B3024" s="67" t="str">
        <f t="shared" si="12"/>
        <v/>
      </c>
      <c r="C3024" s="33"/>
      <c r="D3024" s="33"/>
      <c r="E3024" s="33"/>
      <c r="F3024" s="56"/>
      <c r="G3024" s="33"/>
      <c r="H3024" s="33"/>
      <c r="I3024" s="33"/>
      <c r="J3024" s="57"/>
      <c r="K3024" s="33"/>
      <c r="L3024" s="57"/>
      <c r="M3024" s="33"/>
      <c r="N3024" s="56"/>
      <c r="O3024" s="64"/>
      <c r="P3024" s="62"/>
      <c r="Q3024" s="64"/>
      <c r="R3024" s="33"/>
      <c r="S3024" s="61"/>
      <c r="T3024" s="33"/>
      <c r="W3024" s="61"/>
      <c r="AF3024" s="60"/>
    </row>
    <row r="3025" spans="2:32" ht="16">
      <c r="B3025" s="67" t="str">
        <f t="shared" si="12"/>
        <v/>
      </c>
      <c r="C3025" s="33"/>
      <c r="D3025" s="33"/>
      <c r="E3025" s="33"/>
      <c r="F3025" s="56"/>
      <c r="G3025" s="33"/>
      <c r="H3025" s="33"/>
      <c r="I3025" s="33"/>
      <c r="J3025" s="57"/>
      <c r="K3025" s="33"/>
      <c r="L3025" s="57"/>
      <c r="M3025" s="33"/>
      <c r="N3025" s="56"/>
      <c r="O3025" s="64"/>
      <c r="P3025" s="62"/>
      <c r="Q3025" s="64"/>
      <c r="R3025" s="33"/>
      <c r="S3025" s="61"/>
      <c r="T3025" s="33"/>
      <c r="W3025" s="61"/>
      <c r="AF3025" s="60"/>
    </row>
    <row r="3026" spans="2:32" ht="16">
      <c r="B3026" s="67" t="str">
        <f t="shared" si="12"/>
        <v/>
      </c>
      <c r="C3026" s="33"/>
      <c r="D3026" s="33"/>
      <c r="E3026" s="33"/>
      <c r="F3026" s="56"/>
      <c r="G3026" s="33"/>
      <c r="H3026" s="33"/>
      <c r="I3026" s="33"/>
      <c r="J3026" s="57"/>
      <c r="K3026" s="33"/>
      <c r="L3026" s="57"/>
      <c r="M3026" s="33"/>
      <c r="N3026" s="56"/>
      <c r="O3026" s="64"/>
      <c r="P3026" s="62"/>
      <c r="Q3026" s="64"/>
      <c r="R3026" s="33"/>
      <c r="S3026" s="61"/>
      <c r="T3026" s="33"/>
      <c r="W3026" s="61"/>
      <c r="AF3026" s="60"/>
    </row>
    <row r="3027" spans="2:32" ht="16">
      <c r="B3027" s="67" t="str">
        <f t="shared" si="12"/>
        <v/>
      </c>
      <c r="C3027" s="33"/>
      <c r="D3027" s="33"/>
      <c r="E3027" s="33"/>
      <c r="F3027" s="56"/>
      <c r="G3027" s="33"/>
      <c r="H3027" s="33"/>
      <c r="I3027" s="33"/>
      <c r="J3027" s="57"/>
      <c r="K3027" s="33"/>
      <c r="L3027" s="57"/>
      <c r="M3027" s="33"/>
      <c r="N3027" s="56"/>
      <c r="O3027" s="64"/>
      <c r="P3027" s="62"/>
      <c r="Q3027" s="64"/>
      <c r="R3027" s="33"/>
      <c r="S3027" s="61"/>
      <c r="T3027" s="33"/>
      <c r="W3027" s="61"/>
      <c r="AF3027" s="60"/>
    </row>
    <row r="3028" spans="2:32" ht="16">
      <c r="B3028" s="67" t="str">
        <f t="shared" si="12"/>
        <v/>
      </c>
      <c r="C3028" s="33"/>
      <c r="D3028" s="33"/>
      <c r="E3028" s="33"/>
      <c r="F3028" s="56"/>
      <c r="G3028" s="33"/>
      <c r="H3028" s="33"/>
      <c r="I3028" s="33"/>
      <c r="J3028" s="57"/>
      <c r="K3028" s="33"/>
      <c r="L3028" s="57"/>
      <c r="M3028" s="33"/>
      <c r="N3028" s="56"/>
      <c r="O3028" s="64"/>
      <c r="P3028" s="62"/>
      <c r="Q3028" s="64"/>
      <c r="R3028" s="33"/>
      <c r="S3028" s="61"/>
      <c r="T3028" s="33"/>
      <c r="W3028" s="61"/>
      <c r="AF3028" s="60"/>
    </row>
    <row r="3029" spans="2:32" ht="16">
      <c r="B3029" s="67" t="str">
        <f t="shared" si="12"/>
        <v/>
      </c>
      <c r="C3029" s="33"/>
      <c r="D3029" s="33"/>
      <c r="E3029" s="33"/>
      <c r="F3029" s="56"/>
      <c r="G3029" s="33"/>
      <c r="H3029" s="33"/>
      <c r="I3029" s="33"/>
      <c r="J3029" s="57"/>
      <c r="K3029" s="33"/>
      <c r="L3029" s="57"/>
      <c r="M3029" s="33"/>
      <c r="N3029" s="56"/>
      <c r="O3029" s="64"/>
      <c r="P3029" s="62"/>
      <c r="Q3029" s="64"/>
      <c r="R3029" s="33"/>
      <c r="S3029" s="61"/>
      <c r="T3029" s="33"/>
      <c r="W3029" s="61"/>
      <c r="AF3029" s="60"/>
    </row>
    <row r="3030" spans="2:32" ht="16">
      <c r="B3030" s="67" t="str">
        <f t="shared" si="12"/>
        <v/>
      </c>
      <c r="C3030" s="33"/>
      <c r="D3030" s="33"/>
      <c r="E3030" s="33"/>
      <c r="F3030" s="56"/>
      <c r="G3030" s="33"/>
      <c r="H3030" s="33"/>
      <c r="I3030" s="33"/>
      <c r="J3030" s="57"/>
      <c r="K3030" s="33"/>
      <c r="L3030" s="57"/>
      <c r="M3030" s="33"/>
      <c r="N3030" s="56"/>
      <c r="O3030" s="64"/>
      <c r="P3030" s="62"/>
      <c r="Q3030" s="64"/>
      <c r="R3030" s="33"/>
      <c r="S3030" s="61"/>
      <c r="T3030" s="33"/>
      <c r="W3030" s="61"/>
      <c r="AF3030" s="60"/>
    </row>
    <row r="3031" spans="2:32" ht="16">
      <c r="B3031" s="67" t="str">
        <f t="shared" si="12"/>
        <v/>
      </c>
      <c r="C3031" s="33"/>
      <c r="D3031" s="33"/>
      <c r="E3031" s="33"/>
      <c r="F3031" s="56"/>
      <c r="G3031" s="33"/>
      <c r="H3031" s="33"/>
      <c r="I3031" s="33"/>
      <c r="J3031" s="57"/>
      <c r="K3031" s="33"/>
      <c r="L3031" s="57"/>
      <c r="M3031" s="33"/>
      <c r="N3031" s="56"/>
      <c r="O3031" s="64"/>
      <c r="P3031" s="62"/>
      <c r="Q3031" s="64"/>
      <c r="R3031" s="33"/>
      <c r="S3031" s="61"/>
      <c r="T3031" s="33"/>
      <c r="W3031" s="61"/>
      <c r="AF3031" s="60"/>
    </row>
    <row r="3032" spans="2:32" ht="16">
      <c r="B3032" s="67" t="str">
        <f t="shared" si="12"/>
        <v/>
      </c>
      <c r="C3032" s="33"/>
      <c r="D3032" s="33"/>
      <c r="E3032" s="33"/>
      <c r="F3032" s="56"/>
      <c r="G3032" s="33"/>
      <c r="H3032" s="33"/>
      <c r="I3032" s="33"/>
      <c r="J3032" s="57"/>
      <c r="K3032" s="33"/>
      <c r="L3032" s="57"/>
      <c r="M3032" s="33"/>
      <c r="N3032" s="56"/>
      <c r="O3032" s="64"/>
      <c r="P3032" s="62"/>
      <c r="Q3032" s="64"/>
      <c r="R3032" s="33"/>
      <c r="S3032" s="61"/>
      <c r="T3032" s="33"/>
      <c r="W3032" s="61"/>
      <c r="AF3032" s="60"/>
    </row>
    <row r="3033" spans="2:32" ht="16">
      <c r="B3033" s="67" t="str">
        <f t="shared" si="12"/>
        <v/>
      </c>
      <c r="C3033" s="33"/>
      <c r="D3033" s="33"/>
      <c r="E3033" s="33"/>
      <c r="F3033" s="56"/>
      <c r="G3033" s="33"/>
      <c r="H3033" s="33"/>
      <c r="I3033" s="33"/>
      <c r="J3033" s="57"/>
      <c r="K3033" s="33"/>
      <c r="L3033" s="57"/>
      <c r="M3033" s="33"/>
      <c r="N3033" s="56"/>
      <c r="O3033" s="64"/>
      <c r="P3033" s="62"/>
      <c r="Q3033" s="64"/>
      <c r="R3033" s="33"/>
      <c r="S3033" s="61"/>
      <c r="T3033" s="33"/>
      <c r="W3033" s="61"/>
      <c r="AF3033" s="60"/>
    </row>
    <row r="3034" spans="2:32" ht="16">
      <c r="B3034" s="67" t="str">
        <f t="shared" si="12"/>
        <v/>
      </c>
      <c r="C3034" s="33"/>
      <c r="D3034" s="33"/>
      <c r="E3034" s="33"/>
      <c r="F3034" s="56"/>
      <c r="G3034" s="33"/>
      <c r="H3034" s="33"/>
      <c r="I3034" s="33"/>
      <c r="J3034" s="57"/>
      <c r="K3034" s="33"/>
      <c r="L3034" s="57"/>
      <c r="M3034" s="33"/>
      <c r="N3034" s="56"/>
      <c r="O3034" s="64"/>
      <c r="P3034" s="62"/>
      <c r="Q3034" s="64"/>
      <c r="R3034" s="33"/>
      <c r="S3034" s="61"/>
      <c r="T3034" s="33"/>
      <c r="W3034" s="61"/>
      <c r="AF3034" s="60"/>
    </row>
    <row r="3035" spans="2:32" ht="16">
      <c r="B3035" s="67" t="str">
        <f t="shared" si="12"/>
        <v/>
      </c>
      <c r="C3035" s="33"/>
      <c r="D3035" s="33"/>
      <c r="E3035" s="33"/>
      <c r="F3035" s="56"/>
      <c r="G3035" s="33"/>
      <c r="H3035" s="33"/>
      <c r="I3035" s="33"/>
      <c r="J3035" s="57"/>
      <c r="K3035" s="33"/>
      <c r="L3035" s="57"/>
      <c r="M3035" s="33"/>
      <c r="N3035" s="56"/>
      <c r="O3035" s="64"/>
      <c r="P3035" s="62"/>
      <c r="Q3035" s="64"/>
      <c r="R3035" s="33"/>
      <c r="S3035" s="61"/>
      <c r="T3035" s="33"/>
      <c r="W3035" s="61"/>
      <c r="AF3035" s="60"/>
    </row>
    <row r="3036" spans="2:32" ht="16">
      <c r="B3036" s="67" t="str">
        <f t="shared" si="12"/>
        <v/>
      </c>
      <c r="C3036" s="33"/>
      <c r="D3036" s="33"/>
      <c r="E3036" s="33"/>
      <c r="F3036" s="56"/>
      <c r="G3036" s="33"/>
      <c r="H3036" s="33"/>
      <c r="I3036" s="33"/>
      <c r="J3036" s="57"/>
      <c r="K3036" s="33"/>
      <c r="L3036" s="57"/>
      <c r="M3036" s="33"/>
      <c r="N3036" s="56"/>
      <c r="O3036" s="64"/>
      <c r="P3036" s="62"/>
      <c r="Q3036" s="64"/>
      <c r="R3036" s="33"/>
      <c r="S3036" s="61"/>
      <c r="T3036" s="33"/>
      <c r="W3036" s="61"/>
      <c r="AF3036" s="60"/>
    </row>
    <row r="3037" spans="2:32" ht="16">
      <c r="B3037" s="67" t="str">
        <f t="shared" si="12"/>
        <v/>
      </c>
      <c r="C3037" s="33"/>
      <c r="D3037" s="33"/>
      <c r="E3037" s="33"/>
      <c r="F3037" s="56"/>
      <c r="G3037" s="33"/>
      <c r="H3037" s="33"/>
      <c r="I3037" s="33"/>
      <c r="J3037" s="57"/>
      <c r="K3037" s="33"/>
      <c r="L3037" s="57"/>
      <c r="M3037" s="33"/>
      <c r="N3037" s="56"/>
      <c r="O3037" s="64"/>
      <c r="P3037" s="62"/>
      <c r="Q3037" s="64"/>
      <c r="R3037" s="33"/>
      <c r="S3037" s="61"/>
      <c r="T3037" s="33"/>
      <c r="W3037" s="61"/>
      <c r="AF3037" s="60"/>
    </row>
    <row r="3038" spans="2:32" ht="16">
      <c r="B3038" s="67" t="str">
        <f t="shared" si="12"/>
        <v/>
      </c>
      <c r="C3038" s="33"/>
      <c r="D3038" s="33"/>
      <c r="E3038" s="33"/>
      <c r="F3038" s="56"/>
      <c r="G3038" s="33"/>
      <c r="H3038" s="33"/>
      <c r="I3038" s="33"/>
      <c r="J3038" s="57"/>
      <c r="K3038" s="33"/>
      <c r="L3038" s="57"/>
      <c r="M3038" s="33"/>
      <c r="N3038" s="56"/>
      <c r="O3038" s="64"/>
      <c r="P3038" s="62"/>
      <c r="Q3038" s="64"/>
      <c r="R3038" s="33"/>
      <c r="S3038" s="61"/>
      <c r="T3038" s="33"/>
      <c r="W3038" s="61"/>
      <c r="AF3038" s="60"/>
    </row>
    <row r="3039" spans="2:32" ht="16">
      <c r="B3039" s="67" t="str">
        <f t="shared" si="12"/>
        <v/>
      </c>
      <c r="C3039" s="33"/>
      <c r="D3039" s="33"/>
      <c r="E3039" s="33"/>
      <c r="F3039" s="56"/>
      <c r="G3039" s="33"/>
      <c r="H3039" s="33"/>
      <c r="I3039" s="33"/>
      <c r="J3039" s="57"/>
      <c r="K3039" s="33"/>
      <c r="L3039" s="57"/>
      <c r="M3039" s="33"/>
      <c r="N3039" s="56"/>
      <c r="O3039" s="64"/>
      <c r="P3039" s="62"/>
      <c r="Q3039" s="64"/>
      <c r="R3039" s="33"/>
      <c r="S3039" s="61"/>
      <c r="T3039" s="33"/>
      <c r="W3039" s="61"/>
      <c r="AF3039" s="60"/>
    </row>
    <row r="3040" spans="2:32" ht="16">
      <c r="B3040" s="67" t="str">
        <f t="shared" si="12"/>
        <v/>
      </c>
      <c r="C3040" s="33"/>
      <c r="D3040" s="33"/>
      <c r="E3040" s="33"/>
      <c r="F3040" s="56"/>
      <c r="G3040" s="33"/>
      <c r="H3040" s="33"/>
      <c r="I3040" s="33"/>
      <c r="J3040" s="57"/>
      <c r="K3040" s="33"/>
      <c r="L3040" s="57"/>
      <c r="M3040" s="33"/>
      <c r="N3040" s="56"/>
      <c r="O3040" s="64"/>
      <c r="P3040" s="62"/>
      <c r="Q3040" s="64"/>
      <c r="R3040" s="33"/>
      <c r="S3040" s="61"/>
      <c r="T3040" s="33"/>
      <c r="W3040" s="61"/>
      <c r="AF3040" s="60"/>
    </row>
    <row r="3041" spans="2:32" ht="16">
      <c r="B3041" s="67" t="str">
        <f t="shared" si="12"/>
        <v/>
      </c>
      <c r="C3041" s="33"/>
      <c r="D3041" s="33"/>
      <c r="E3041" s="33"/>
      <c r="F3041" s="56"/>
      <c r="G3041" s="33"/>
      <c r="H3041" s="33"/>
      <c r="I3041" s="33"/>
      <c r="J3041" s="57"/>
      <c r="K3041" s="33"/>
      <c r="L3041" s="57"/>
      <c r="M3041" s="33"/>
      <c r="N3041" s="56"/>
      <c r="O3041" s="64"/>
      <c r="P3041" s="62"/>
      <c r="Q3041" s="64"/>
      <c r="R3041" s="33"/>
      <c r="S3041" s="61"/>
      <c r="T3041" s="33"/>
      <c r="W3041" s="61"/>
      <c r="AF3041" s="60"/>
    </row>
    <row r="3042" spans="2:32" ht="16">
      <c r="B3042" s="67" t="str">
        <f t="shared" si="12"/>
        <v/>
      </c>
      <c r="C3042" s="33"/>
      <c r="D3042" s="33"/>
      <c r="E3042" s="33"/>
      <c r="F3042" s="56"/>
      <c r="G3042" s="33"/>
      <c r="H3042" s="33"/>
      <c r="I3042" s="33"/>
      <c r="J3042" s="57"/>
      <c r="K3042" s="33"/>
      <c r="L3042" s="57"/>
      <c r="M3042" s="33"/>
      <c r="N3042" s="56"/>
      <c r="O3042" s="64"/>
      <c r="P3042" s="62"/>
      <c r="Q3042" s="64"/>
      <c r="R3042" s="33"/>
      <c r="S3042" s="61"/>
      <c r="T3042" s="33"/>
      <c r="W3042" s="61"/>
      <c r="AF3042" s="60"/>
    </row>
    <row r="3043" spans="2:32" ht="16">
      <c r="B3043" s="67" t="str">
        <f t="shared" si="12"/>
        <v/>
      </c>
      <c r="C3043" s="33"/>
      <c r="D3043" s="33"/>
      <c r="E3043" s="33"/>
      <c r="F3043" s="56"/>
      <c r="G3043" s="33"/>
      <c r="H3043" s="33"/>
      <c r="I3043" s="33"/>
      <c r="J3043" s="57"/>
      <c r="K3043" s="33"/>
      <c r="L3043" s="57"/>
      <c r="M3043" s="33"/>
      <c r="N3043" s="56"/>
      <c r="O3043" s="64"/>
      <c r="P3043" s="62"/>
      <c r="Q3043" s="64"/>
      <c r="R3043" s="33"/>
      <c r="S3043" s="61"/>
      <c r="T3043" s="33"/>
      <c r="W3043" s="61"/>
      <c r="AF3043" s="60"/>
    </row>
    <row r="3044" spans="2:32" ht="16">
      <c r="B3044" s="67" t="str">
        <f t="shared" si="12"/>
        <v/>
      </c>
      <c r="C3044" s="33"/>
      <c r="D3044" s="33"/>
      <c r="E3044" s="33"/>
      <c r="F3044" s="56"/>
      <c r="G3044" s="33"/>
      <c r="H3044" s="33"/>
      <c r="I3044" s="33"/>
      <c r="J3044" s="57"/>
      <c r="K3044" s="33"/>
      <c r="L3044" s="57"/>
      <c r="M3044" s="33"/>
      <c r="N3044" s="56"/>
      <c r="O3044" s="64"/>
      <c r="P3044" s="62"/>
      <c r="Q3044" s="64"/>
      <c r="R3044" s="33"/>
      <c r="S3044" s="61"/>
      <c r="T3044" s="33"/>
      <c r="W3044" s="61"/>
      <c r="AF3044" s="60"/>
    </row>
    <row r="3045" spans="2:32" ht="16">
      <c r="B3045" s="67" t="str">
        <f t="shared" si="12"/>
        <v/>
      </c>
      <c r="C3045" s="33"/>
      <c r="D3045" s="33"/>
      <c r="E3045" s="33"/>
      <c r="F3045" s="56"/>
      <c r="G3045" s="33"/>
      <c r="H3045" s="33"/>
      <c r="I3045" s="33"/>
      <c r="J3045" s="57"/>
      <c r="K3045" s="33"/>
      <c r="L3045" s="57"/>
      <c r="M3045" s="33"/>
      <c r="N3045" s="56"/>
      <c r="O3045" s="64"/>
      <c r="P3045" s="62"/>
      <c r="Q3045" s="64"/>
      <c r="R3045" s="33"/>
      <c r="S3045" s="61"/>
      <c r="T3045" s="33"/>
      <c r="W3045" s="61"/>
      <c r="AF3045" s="60"/>
    </row>
    <row r="3046" spans="2:32" ht="16">
      <c r="B3046" s="67" t="str">
        <f t="shared" si="12"/>
        <v/>
      </c>
      <c r="C3046" s="33"/>
      <c r="D3046" s="33"/>
      <c r="E3046" s="33"/>
      <c r="F3046" s="56"/>
      <c r="G3046" s="33"/>
      <c r="H3046" s="33"/>
      <c r="I3046" s="33"/>
      <c r="J3046" s="57"/>
      <c r="K3046" s="33"/>
      <c r="L3046" s="57"/>
      <c r="M3046" s="33"/>
      <c r="N3046" s="56"/>
      <c r="O3046" s="64"/>
      <c r="P3046" s="62"/>
      <c r="Q3046" s="64"/>
      <c r="R3046" s="33"/>
      <c r="S3046" s="61"/>
      <c r="T3046" s="33"/>
      <c r="W3046" s="61"/>
      <c r="AF3046" s="60"/>
    </row>
    <row r="3047" spans="2:32" ht="16">
      <c r="B3047" s="67" t="str">
        <f t="shared" si="12"/>
        <v/>
      </c>
      <c r="C3047" s="33"/>
      <c r="D3047" s="33"/>
      <c r="E3047" s="33"/>
      <c r="F3047" s="56"/>
      <c r="G3047" s="33"/>
      <c r="H3047" s="33"/>
      <c r="I3047" s="33"/>
      <c r="J3047" s="57"/>
      <c r="K3047" s="33"/>
      <c r="L3047" s="57"/>
      <c r="M3047" s="33"/>
      <c r="N3047" s="56"/>
      <c r="O3047" s="64"/>
      <c r="P3047" s="62"/>
      <c r="Q3047" s="64"/>
      <c r="R3047" s="33"/>
      <c r="S3047" s="61"/>
      <c r="T3047" s="33"/>
      <c r="W3047" s="61"/>
      <c r="AF3047" s="60"/>
    </row>
    <row r="3048" spans="2:32" ht="16">
      <c r="B3048" s="67" t="str">
        <f t="shared" si="12"/>
        <v/>
      </c>
      <c r="C3048" s="33"/>
      <c r="D3048" s="33"/>
      <c r="E3048" s="33"/>
      <c r="F3048" s="56"/>
      <c r="G3048" s="33"/>
      <c r="H3048" s="33"/>
      <c r="I3048" s="33"/>
      <c r="J3048" s="57"/>
      <c r="K3048" s="33"/>
      <c r="L3048" s="57"/>
      <c r="M3048" s="33"/>
      <c r="N3048" s="56"/>
      <c r="O3048" s="64"/>
      <c r="P3048" s="62"/>
      <c r="Q3048" s="64"/>
      <c r="R3048" s="33"/>
      <c r="S3048" s="61"/>
      <c r="T3048" s="33"/>
      <c r="W3048" s="61"/>
      <c r="AF3048" s="60"/>
    </row>
    <row r="3049" spans="2:32" ht="16">
      <c r="B3049" s="67" t="str">
        <f t="shared" si="12"/>
        <v/>
      </c>
      <c r="C3049" s="33"/>
      <c r="D3049" s="33"/>
      <c r="E3049" s="33"/>
      <c r="F3049" s="56"/>
      <c r="G3049" s="33"/>
      <c r="H3049" s="33"/>
      <c r="I3049" s="33"/>
      <c r="J3049" s="57"/>
      <c r="K3049" s="33"/>
      <c r="L3049" s="57"/>
      <c r="M3049" s="33"/>
      <c r="N3049" s="56"/>
      <c r="O3049" s="64"/>
      <c r="P3049" s="62"/>
      <c r="Q3049" s="64"/>
      <c r="R3049" s="33"/>
      <c r="S3049" s="61"/>
      <c r="T3049" s="33"/>
      <c r="W3049" s="61"/>
      <c r="AF3049" s="60"/>
    </row>
    <row r="3050" spans="2:32" ht="16">
      <c r="B3050" s="67" t="str">
        <f t="shared" si="12"/>
        <v/>
      </c>
      <c r="C3050" s="33"/>
      <c r="D3050" s="33"/>
      <c r="E3050" s="33"/>
      <c r="F3050" s="56"/>
      <c r="G3050" s="33"/>
      <c r="H3050" s="33"/>
      <c r="I3050" s="33"/>
      <c r="J3050" s="57"/>
      <c r="K3050" s="33"/>
      <c r="L3050" s="57"/>
      <c r="M3050" s="33"/>
      <c r="N3050" s="56"/>
      <c r="O3050" s="64"/>
      <c r="P3050" s="62"/>
      <c r="Q3050" s="64"/>
      <c r="R3050" s="33"/>
      <c r="S3050" s="61"/>
      <c r="T3050" s="33"/>
      <c r="W3050" s="61"/>
      <c r="AF3050" s="60"/>
    </row>
    <row r="3051" spans="2:32" ht="16">
      <c r="B3051" s="67" t="str">
        <f t="shared" si="12"/>
        <v/>
      </c>
      <c r="C3051" s="33"/>
      <c r="D3051" s="33"/>
      <c r="E3051" s="33"/>
      <c r="F3051" s="56"/>
      <c r="G3051" s="33"/>
      <c r="H3051" s="33"/>
      <c r="I3051" s="33"/>
      <c r="J3051" s="57"/>
      <c r="K3051" s="33"/>
      <c r="L3051" s="57"/>
      <c r="M3051" s="33"/>
      <c r="N3051" s="56"/>
      <c r="O3051" s="64"/>
      <c r="P3051" s="62"/>
      <c r="Q3051" s="64"/>
      <c r="R3051" s="33"/>
      <c r="S3051" s="61"/>
      <c r="T3051" s="33"/>
      <c r="W3051" s="61"/>
      <c r="AF3051" s="60"/>
    </row>
    <row r="3052" spans="2:32" ht="16">
      <c r="B3052" s="67" t="str">
        <f t="shared" si="12"/>
        <v/>
      </c>
      <c r="C3052" s="33"/>
      <c r="D3052" s="33"/>
      <c r="E3052" s="33"/>
      <c r="F3052" s="56"/>
      <c r="G3052" s="33"/>
      <c r="H3052" s="33"/>
      <c r="I3052" s="33"/>
      <c r="J3052" s="57"/>
      <c r="K3052" s="33"/>
      <c r="L3052" s="57"/>
      <c r="M3052" s="33"/>
      <c r="N3052" s="56"/>
      <c r="O3052" s="64"/>
      <c r="P3052" s="62"/>
      <c r="Q3052" s="64"/>
      <c r="R3052" s="33"/>
      <c r="S3052" s="61"/>
      <c r="T3052" s="33"/>
      <c r="W3052" s="61"/>
      <c r="AF3052" s="60"/>
    </row>
    <row r="3053" spans="2:32" ht="16">
      <c r="B3053" s="67" t="str">
        <f t="shared" si="12"/>
        <v/>
      </c>
      <c r="C3053" s="33"/>
      <c r="D3053" s="33"/>
      <c r="E3053" s="33"/>
      <c r="F3053" s="56"/>
      <c r="G3053" s="33"/>
      <c r="H3053" s="33"/>
      <c r="I3053" s="33"/>
      <c r="J3053" s="57"/>
      <c r="K3053" s="33"/>
      <c r="L3053" s="57"/>
      <c r="M3053" s="33"/>
      <c r="N3053" s="56"/>
      <c r="O3053" s="64"/>
      <c r="P3053" s="62"/>
      <c r="Q3053" s="64"/>
      <c r="R3053" s="33"/>
      <c r="S3053" s="61"/>
      <c r="T3053" s="33"/>
      <c r="W3053" s="61"/>
      <c r="AF3053" s="60"/>
    </row>
    <row r="3054" spans="2:32" ht="16">
      <c r="B3054" s="67" t="str">
        <f t="shared" si="12"/>
        <v/>
      </c>
      <c r="C3054" s="33"/>
      <c r="D3054" s="33"/>
      <c r="E3054" s="33"/>
      <c r="F3054" s="56"/>
      <c r="G3054" s="33"/>
      <c r="H3054" s="33"/>
      <c r="I3054" s="33"/>
      <c r="J3054" s="57"/>
      <c r="K3054" s="33"/>
      <c r="L3054" s="57"/>
      <c r="M3054" s="33"/>
      <c r="N3054" s="56"/>
      <c r="O3054" s="64"/>
      <c r="P3054" s="62"/>
      <c r="Q3054" s="64"/>
      <c r="R3054" s="33"/>
      <c r="S3054" s="61"/>
      <c r="T3054" s="33"/>
      <c r="W3054" s="61"/>
      <c r="AF3054" s="60"/>
    </row>
    <row r="3055" spans="2:32" ht="16">
      <c r="B3055" s="67" t="str">
        <f t="shared" si="12"/>
        <v/>
      </c>
      <c r="C3055" s="33"/>
      <c r="D3055" s="33"/>
      <c r="E3055" s="33"/>
      <c r="F3055" s="56"/>
      <c r="G3055" s="33"/>
      <c r="H3055" s="33"/>
      <c r="I3055" s="33"/>
      <c r="J3055" s="57"/>
      <c r="K3055" s="33"/>
      <c r="L3055" s="57"/>
      <c r="M3055" s="33"/>
      <c r="N3055" s="56"/>
      <c r="O3055" s="64"/>
      <c r="P3055" s="62"/>
      <c r="Q3055" s="64"/>
      <c r="R3055" s="33"/>
      <c r="S3055" s="61"/>
      <c r="T3055" s="33"/>
      <c r="W3055" s="61"/>
      <c r="AF3055" s="60"/>
    </row>
    <row r="3056" spans="2:32" ht="16">
      <c r="B3056" s="67" t="str">
        <f t="shared" si="12"/>
        <v/>
      </c>
      <c r="C3056" s="33"/>
      <c r="D3056" s="33"/>
      <c r="E3056" s="33"/>
      <c r="F3056" s="56"/>
      <c r="G3056" s="33"/>
      <c r="H3056" s="33"/>
      <c r="I3056" s="33"/>
      <c r="J3056" s="57"/>
      <c r="K3056" s="33"/>
      <c r="L3056" s="57"/>
      <c r="M3056" s="33"/>
      <c r="N3056" s="56"/>
      <c r="O3056" s="64"/>
      <c r="P3056" s="62"/>
      <c r="Q3056" s="64"/>
      <c r="R3056" s="33"/>
      <c r="S3056" s="61"/>
      <c r="T3056" s="33"/>
      <c r="W3056" s="61"/>
      <c r="AF3056" s="60"/>
    </row>
    <row r="3057" spans="2:32" ht="16">
      <c r="B3057" s="67" t="str">
        <f t="shared" si="12"/>
        <v/>
      </c>
      <c r="C3057" s="33"/>
      <c r="D3057" s="33"/>
      <c r="E3057" s="33"/>
      <c r="F3057" s="56"/>
      <c r="G3057" s="33"/>
      <c r="H3057" s="33"/>
      <c r="I3057" s="33"/>
      <c r="J3057" s="57"/>
      <c r="K3057" s="33"/>
      <c r="L3057" s="57"/>
      <c r="M3057" s="33"/>
      <c r="N3057" s="56"/>
      <c r="O3057" s="64"/>
      <c r="P3057" s="62"/>
      <c r="Q3057" s="64"/>
      <c r="R3057" s="33"/>
      <c r="S3057" s="61"/>
      <c r="T3057" s="33"/>
      <c r="W3057" s="61"/>
      <c r="AF3057" s="60"/>
    </row>
    <row r="3058" spans="2:32" ht="16">
      <c r="B3058" s="67" t="str">
        <f t="shared" si="12"/>
        <v/>
      </c>
      <c r="C3058" s="33"/>
      <c r="D3058" s="33"/>
      <c r="E3058" s="33"/>
      <c r="F3058" s="56"/>
      <c r="G3058" s="33"/>
      <c r="H3058" s="33"/>
      <c r="I3058" s="33"/>
      <c r="J3058" s="57"/>
      <c r="K3058" s="33"/>
      <c r="L3058" s="57"/>
      <c r="M3058" s="33"/>
      <c r="N3058" s="56"/>
      <c r="O3058" s="64"/>
      <c r="P3058" s="62"/>
      <c r="Q3058" s="64"/>
      <c r="R3058" s="33"/>
      <c r="S3058" s="61"/>
      <c r="T3058" s="33"/>
      <c r="W3058" s="61"/>
      <c r="AF3058" s="60"/>
    </row>
    <row r="3059" spans="2:32" ht="16">
      <c r="B3059" s="67" t="str">
        <f t="shared" si="12"/>
        <v/>
      </c>
      <c r="C3059" s="33"/>
      <c r="D3059" s="33"/>
      <c r="E3059" s="33"/>
      <c r="F3059" s="56"/>
      <c r="G3059" s="33"/>
      <c r="H3059" s="33"/>
      <c r="I3059" s="33"/>
      <c r="J3059" s="57"/>
      <c r="K3059" s="33"/>
      <c r="L3059" s="57"/>
      <c r="M3059" s="33"/>
      <c r="N3059" s="56"/>
      <c r="O3059" s="64"/>
      <c r="P3059" s="62"/>
      <c r="Q3059" s="64"/>
      <c r="R3059" s="33"/>
      <c r="S3059" s="61"/>
      <c r="T3059" s="33"/>
      <c r="W3059" s="61"/>
      <c r="AF3059" s="60"/>
    </row>
    <row r="3060" spans="2:32" ht="16">
      <c r="B3060" s="67" t="str">
        <f t="shared" si="12"/>
        <v/>
      </c>
      <c r="C3060" s="33"/>
      <c r="D3060" s="33"/>
      <c r="E3060" s="33"/>
      <c r="F3060" s="56"/>
      <c r="G3060" s="33"/>
      <c r="H3060" s="33"/>
      <c r="I3060" s="33"/>
      <c r="J3060" s="57"/>
      <c r="K3060" s="33"/>
      <c r="L3060" s="57"/>
      <c r="M3060" s="33"/>
      <c r="N3060" s="56"/>
      <c r="O3060" s="64"/>
      <c r="P3060" s="62"/>
      <c r="Q3060" s="64"/>
      <c r="R3060" s="33"/>
      <c r="S3060" s="61"/>
      <c r="T3060" s="33"/>
      <c r="W3060" s="61"/>
      <c r="AF3060" s="60"/>
    </row>
    <row r="3061" spans="2:32" ht="16">
      <c r="B3061" s="67" t="str">
        <f t="shared" si="12"/>
        <v/>
      </c>
      <c r="C3061" s="33"/>
      <c r="D3061" s="33"/>
      <c r="E3061" s="33"/>
      <c r="F3061" s="56"/>
      <c r="G3061" s="33"/>
      <c r="H3061" s="33"/>
      <c r="I3061" s="33"/>
      <c r="J3061" s="57"/>
      <c r="K3061" s="33"/>
      <c r="L3061" s="57"/>
      <c r="M3061" s="33"/>
      <c r="N3061" s="56"/>
      <c r="O3061" s="64"/>
      <c r="P3061" s="62"/>
      <c r="Q3061" s="64"/>
      <c r="R3061" s="33"/>
      <c r="S3061" s="61"/>
      <c r="T3061" s="33"/>
      <c r="W3061" s="61"/>
      <c r="AF3061" s="60"/>
    </row>
    <row r="3062" spans="2:32" ht="16">
      <c r="B3062" s="67" t="str">
        <f t="shared" si="12"/>
        <v/>
      </c>
      <c r="C3062" s="33"/>
      <c r="D3062" s="33"/>
      <c r="E3062" s="33"/>
      <c r="F3062" s="56"/>
      <c r="G3062" s="33"/>
      <c r="H3062" s="33"/>
      <c r="I3062" s="33"/>
      <c r="J3062" s="57"/>
      <c r="K3062" s="33"/>
      <c r="L3062" s="57"/>
      <c r="M3062" s="33"/>
      <c r="N3062" s="56"/>
      <c r="O3062" s="64"/>
      <c r="P3062" s="62"/>
      <c r="Q3062" s="64"/>
      <c r="R3062" s="33"/>
      <c r="S3062" s="61"/>
      <c r="T3062" s="33"/>
      <c r="W3062" s="61"/>
      <c r="AF3062" s="60"/>
    </row>
    <row r="3063" spans="2:32" ht="16">
      <c r="B3063" s="67" t="str">
        <f t="shared" si="12"/>
        <v/>
      </c>
      <c r="C3063" s="33"/>
      <c r="D3063" s="33"/>
      <c r="E3063" s="33"/>
      <c r="F3063" s="56"/>
      <c r="G3063" s="33"/>
      <c r="H3063" s="33"/>
      <c r="I3063" s="33"/>
      <c r="J3063" s="57"/>
      <c r="K3063" s="33"/>
      <c r="L3063" s="57"/>
      <c r="M3063" s="33"/>
      <c r="N3063" s="56"/>
      <c r="O3063" s="64"/>
      <c r="P3063" s="62"/>
      <c r="Q3063" s="64"/>
      <c r="R3063" s="33"/>
      <c r="S3063" s="61"/>
      <c r="T3063" s="33"/>
      <c r="W3063" s="61"/>
      <c r="AF3063" s="60"/>
    </row>
    <row r="3064" spans="2:32" ht="16">
      <c r="B3064" s="67" t="str">
        <f t="shared" si="12"/>
        <v/>
      </c>
      <c r="C3064" s="33"/>
      <c r="D3064" s="33"/>
      <c r="E3064" s="33"/>
      <c r="F3064" s="56"/>
      <c r="G3064" s="33"/>
      <c r="H3064" s="33"/>
      <c r="I3064" s="33"/>
      <c r="J3064" s="57"/>
      <c r="K3064" s="33"/>
      <c r="L3064" s="57"/>
      <c r="M3064" s="33"/>
      <c r="N3064" s="56"/>
      <c r="O3064" s="64"/>
      <c r="P3064" s="62"/>
      <c r="Q3064" s="64"/>
      <c r="R3064" s="33"/>
      <c r="S3064" s="61"/>
      <c r="T3064" s="33"/>
      <c r="W3064" s="61"/>
      <c r="AF3064" s="60"/>
    </row>
    <row r="3065" spans="2:32" ht="16">
      <c r="B3065" s="67" t="str">
        <f t="shared" si="12"/>
        <v/>
      </c>
      <c r="C3065" s="33"/>
      <c r="D3065" s="33"/>
      <c r="E3065" s="33"/>
      <c r="F3065" s="56"/>
      <c r="G3065" s="33"/>
      <c r="H3065" s="33"/>
      <c r="I3065" s="33"/>
      <c r="J3065" s="57"/>
      <c r="K3065" s="33"/>
      <c r="L3065" s="57"/>
      <c r="M3065" s="33"/>
      <c r="N3065" s="56"/>
      <c r="O3065" s="64"/>
      <c r="P3065" s="62"/>
      <c r="Q3065" s="64"/>
      <c r="R3065" s="33"/>
      <c r="S3065" s="61"/>
      <c r="T3065" s="33"/>
      <c r="W3065" s="61"/>
      <c r="AF3065" s="60"/>
    </row>
    <row r="3066" spans="2:32" ht="16">
      <c r="B3066" s="67" t="str">
        <f t="shared" si="12"/>
        <v/>
      </c>
      <c r="C3066" s="33"/>
      <c r="D3066" s="33"/>
      <c r="E3066" s="33"/>
      <c r="F3066" s="56"/>
      <c r="G3066" s="33"/>
      <c r="H3066" s="33"/>
      <c r="I3066" s="33"/>
      <c r="J3066" s="57"/>
      <c r="K3066" s="33"/>
      <c r="L3066" s="57"/>
      <c r="M3066" s="33"/>
      <c r="N3066" s="56"/>
      <c r="O3066" s="64"/>
      <c r="P3066" s="62"/>
      <c r="Q3066" s="64"/>
      <c r="R3066" s="33"/>
      <c r="S3066" s="61"/>
      <c r="T3066" s="33"/>
      <c r="W3066" s="61"/>
      <c r="AF3066" s="60"/>
    </row>
    <row r="3067" spans="2:32" ht="16">
      <c r="B3067" s="67" t="str">
        <f t="shared" si="12"/>
        <v/>
      </c>
      <c r="C3067" s="33"/>
      <c r="D3067" s="33"/>
      <c r="E3067" s="33"/>
      <c r="F3067" s="56"/>
      <c r="G3067" s="33"/>
      <c r="H3067" s="33"/>
      <c r="I3067" s="33"/>
      <c r="J3067" s="57"/>
      <c r="K3067" s="33"/>
      <c r="L3067" s="57"/>
      <c r="M3067" s="33"/>
      <c r="N3067" s="56"/>
      <c r="O3067" s="64"/>
      <c r="P3067" s="62"/>
      <c r="Q3067" s="64"/>
      <c r="R3067" s="33"/>
      <c r="S3067" s="61"/>
      <c r="T3067" s="33"/>
      <c r="W3067" s="61"/>
      <c r="AF3067" s="60"/>
    </row>
    <row r="3068" spans="2:32" ht="16">
      <c r="B3068" s="67" t="str">
        <f t="shared" si="12"/>
        <v/>
      </c>
      <c r="C3068" s="33"/>
      <c r="D3068" s="33"/>
      <c r="E3068" s="33"/>
      <c r="F3068" s="56"/>
      <c r="G3068" s="33"/>
      <c r="H3068" s="33"/>
      <c r="I3068" s="33"/>
      <c r="J3068" s="57"/>
      <c r="K3068" s="33"/>
      <c r="L3068" s="57"/>
      <c r="M3068" s="33"/>
      <c r="N3068" s="56"/>
      <c r="O3068" s="64"/>
      <c r="P3068" s="62"/>
      <c r="Q3068" s="64"/>
      <c r="R3068" s="33"/>
      <c r="S3068" s="61"/>
      <c r="T3068" s="33"/>
      <c r="W3068" s="61"/>
      <c r="AF3068" s="60"/>
    </row>
    <row r="3069" spans="2:32" ht="16">
      <c r="B3069" s="67" t="str">
        <f t="shared" si="12"/>
        <v/>
      </c>
      <c r="C3069" s="33"/>
      <c r="D3069" s="33"/>
      <c r="E3069" s="33"/>
      <c r="F3069" s="56"/>
      <c r="G3069" s="33"/>
      <c r="H3069" s="33"/>
      <c r="I3069" s="33"/>
      <c r="J3069" s="57"/>
      <c r="K3069" s="33"/>
      <c r="L3069" s="57"/>
      <c r="M3069" s="33"/>
      <c r="N3069" s="56"/>
      <c r="O3069" s="64"/>
      <c r="P3069" s="62"/>
      <c r="Q3069" s="64"/>
      <c r="R3069" s="33"/>
      <c r="S3069" s="61"/>
      <c r="T3069" s="33"/>
      <c r="W3069" s="61"/>
      <c r="AF3069" s="60"/>
    </row>
    <row r="3070" spans="2:32" ht="16">
      <c r="B3070" s="67" t="str">
        <f t="shared" si="12"/>
        <v/>
      </c>
      <c r="C3070" s="33"/>
      <c r="D3070" s="33"/>
      <c r="E3070" s="33"/>
      <c r="F3070" s="56"/>
      <c r="G3070" s="33"/>
      <c r="H3070" s="33"/>
      <c r="I3070" s="33"/>
      <c r="J3070" s="57"/>
      <c r="K3070" s="33"/>
      <c r="L3070" s="57"/>
      <c r="M3070" s="33"/>
      <c r="N3070" s="56"/>
      <c r="O3070" s="64"/>
      <c r="P3070" s="62"/>
      <c r="Q3070" s="64"/>
      <c r="R3070" s="33"/>
      <c r="S3070" s="61"/>
      <c r="T3070" s="33"/>
      <c r="W3070" s="61"/>
      <c r="AF3070" s="60"/>
    </row>
    <row r="3071" spans="2:32" ht="16">
      <c r="B3071" s="67" t="str">
        <f t="shared" si="12"/>
        <v/>
      </c>
      <c r="C3071" s="33"/>
      <c r="D3071" s="33"/>
      <c r="E3071" s="33"/>
      <c r="F3071" s="56"/>
      <c r="G3071" s="33"/>
      <c r="H3071" s="33"/>
      <c r="I3071" s="33"/>
      <c r="J3071" s="57"/>
      <c r="K3071" s="33"/>
      <c r="L3071" s="57"/>
      <c r="M3071" s="33"/>
      <c r="N3071" s="56"/>
      <c r="O3071" s="64"/>
      <c r="P3071" s="62"/>
      <c r="Q3071" s="64"/>
      <c r="R3071" s="33"/>
      <c r="S3071" s="61"/>
      <c r="T3071" s="33"/>
      <c r="W3071" s="61"/>
      <c r="AF3071" s="60"/>
    </row>
    <row r="3072" spans="2:32" ht="16">
      <c r="B3072" s="67" t="str">
        <f t="shared" si="12"/>
        <v/>
      </c>
      <c r="C3072" s="33"/>
      <c r="D3072" s="33"/>
      <c r="E3072" s="33"/>
      <c r="F3072" s="56"/>
      <c r="G3072" s="33"/>
      <c r="H3072" s="33"/>
      <c r="I3072" s="33"/>
      <c r="J3072" s="57"/>
      <c r="K3072" s="33"/>
      <c r="L3072" s="57"/>
      <c r="M3072" s="33"/>
      <c r="N3072" s="56"/>
      <c r="O3072" s="64"/>
      <c r="P3072" s="62"/>
      <c r="Q3072" s="64"/>
      <c r="R3072" s="33"/>
      <c r="S3072" s="61"/>
      <c r="T3072" s="33"/>
      <c r="W3072" s="61"/>
      <c r="AF3072" s="60"/>
    </row>
    <row r="3073" spans="2:32" ht="16">
      <c r="B3073" s="67" t="str">
        <f t="shared" si="12"/>
        <v/>
      </c>
      <c r="C3073" s="33"/>
      <c r="D3073" s="33"/>
      <c r="E3073" s="33"/>
      <c r="F3073" s="56"/>
      <c r="G3073" s="33"/>
      <c r="H3073" s="33"/>
      <c r="I3073" s="33"/>
      <c r="J3073" s="57"/>
      <c r="K3073" s="33"/>
      <c r="L3073" s="57"/>
      <c r="M3073" s="33"/>
      <c r="N3073" s="56"/>
      <c r="O3073" s="64"/>
      <c r="P3073" s="62"/>
      <c r="Q3073" s="64"/>
      <c r="R3073" s="33"/>
      <c r="S3073" s="61"/>
      <c r="T3073" s="33"/>
      <c r="W3073" s="61"/>
      <c r="AF3073" s="60"/>
    </row>
    <row r="3074" spans="2:32" ht="16">
      <c r="B3074" s="67" t="str">
        <f t="shared" si="12"/>
        <v/>
      </c>
      <c r="C3074" s="33"/>
      <c r="D3074" s="33"/>
      <c r="E3074" s="33"/>
      <c r="F3074" s="56"/>
      <c r="G3074" s="33"/>
      <c r="H3074" s="33"/>
      <c r="I3074" s="33"/>
      <c r="J3074" s="57"/>
      <c r="K3074" s="33"/>
      <c r="L3074" s="57"/>
      <c r="M3074" s="33"/>
      <c r="N3074" s="56"/>
      <c r="O3074" s="64"/>
      <c r="P3074" s="62"/>
      <c r="Q3074" s="64"/>
      <c r="R3074" s="33"/>
      <c r="S3074" s="61"/>
      <c r="T3074" s="33"/>
      <c r="W3074" s="61"/>
      <c r="AF3074" s="60"/>
    </row>
    <row r="3075" spans="2:32" ht="16">
      <c r="B3075" s="67" t="str">
        <f t="shared" si="12"/>
        <v/>
      </c>
      <c r="C3075" s="33"/>
      <c r="D3075" s="33"/>
      <c r="E3075" s="33"/>
      <c r="F3075" s="56"/>
      <c r="G3075" s="33"/>
      <c r="H3075" s="33"/>
      <c r="I3075" s="33"/>
      <c r="J3075" s="57"/>
      <c r="K3075" s="33"/>
      <c r="L3075" s="57"/>
      <c r="M3075" s="33"/>
      <c r="N3075" s="56"/>
      <c r="O3075" s="64"/>
      <c r="P3075" s="62"/>
      <c r="Q3075" s="64"/>
      <c r="R3075" s="33"/>
      <c r="S3075" s="61"/>
      <c r="T3075" s="33"/>
      <c r="W3075" s="61"/>
      <c r="AF3075" s="60"/>
    </row>
    <row r="3076" spans="2:32" ht="16">
      <c r="B3076" s="67" t="str">
        <f t="shared" si="12"/>
        <v/>
      </c>
      <c r="C3076" s="33"/>
      <c r="D3076" s="33"/>
      <c r="E3076" s="33"/>
      <c r="F3076" s="56"/>
      <c r="G3076" s="33"/>
      <c r="H3076" s="33"/>
      <c r="I3076" s="33"/>
      <c r="J3076" s="57"/>
      <c r="K3076" s="33"/>
      <c r="L3076" s="57"/>
      <c r="M3076" s="33"/>
      <c r="N3076" s="56"/>
      <c r="O3076" s="64"/>
      <c r="P3076" s="62"/>
      <c r="Q3076" s="64"/>
      <c r="R3076" s="33"/>
      <c r="S3076" s="61"/>
      <c r="T3076" s="33"/>
      <c r="W3076" s="61"/>
      <c r="AF3076" s="60"/>
    </row>
    <row r="3077" spans="2:32" ht="16">
      <c r="B3077" s="67" t="str">
        <f t="shared" si="12"/>
        <v/>
      </c>
      <c r="C3077" s="33"/>
      <c r="D3077" s="33"/>
      <c r="E3077" s="33"/>
      <c r="F3077" s="56"/>
      <c r="G3077" s="33"/>
      <c r="H3077" s="33"/>
      <c r="I3077" s="33"/>
      <c r="J3077" s="57"/>
      <c r="K3077" s="33"/>
      <c r="L3077" s="57"/>
      <c r="M3077" s="33"/>
      <c r="N3077" s="56"/>
      <c r="O3077" s="64"/>
      <c r="P3077" s="62"/>
      <c r="Q3077" s="64"/>
      <c r="R3077" s="33"/>
      <c r="S3077" s="61"/>
      <c r="T3077" s="33"/>
      <c r="W3077" s="61"/>
      <c r="AF3077" s="60"/>
    </row>
    <row r="3078" spans="2:32" ht="16">
      <c r="B3078" s="67" t="str">
        <f t="shared" si="12"/>
        <v/>
      </c>
      <c r="C3078" s="33"/>
      <c r="D3078" s="33"/>
      <c r="E3078" s="33"/>
      <c r="F3078" s="56"/>
      <c r="G3078" s="33"/>
      <c r="H3078" s="33"/>
      <c r="I3078" s="33"/>
      <c r="J3078" s="57"/>
      <c r="K3078" s="33"/>
      <c r="L3078" s="57"/>
      <c r="M3078" s="33"/>
      <c r="N3078" s="56"/>
      <c r="O3078" s="64"/>
      <c r="P3078" s="62"/>
      <c r="Q3078" s="64"/>
      <c r="R3078" s="33"/>
      <c r="S3078" s="61"/>
      <c r="T3078" s="33"/>
      <c r="W3078" s="61"/>
      <c r="AF3078" s="60"/>
    </row>
    <row r="3079" spans="2:32" ht="16">
      <c r="B3079" s="67" t="str">
        <f t="shared" si="12"/>
        <v/>
      </c>
      <c r="C3079" s="33"/>
      <c r="D3079" s="33"/>
      <c r="E3079" s="33"/>
      <c r="F3079" s="56"/>
      <c r="G3079" s="33"/>
      <c r="H3079" s="33"/>
      <c r="I3079" s="33"/>
      <c r="J3079" s="57"/>
      <c r="K3079" s="33"/>
      <c r="L3079" s="57"/>
      <c r="M3079" s="33"/>
      <c r="N3079" s="56"/>
      <c r="O3079" s="64"/>
      <c r="P3079" s="62"/>
      <c r="Q3079" s="64"/>
      <c r="R3079" s="33"/>
      <c r="S3079" s="61"/>
      <c r="T3079" s="33"/>
      <c r="W3079" s="61"/>
      <c r="AF3079" s="60"/>
    </row>
    <row r="3080" spans="2:32" ht="16">
      <c r="B3080" s="67" t="str">
        <f t="shared" si="12"/>
        <v/>
      </c>
      <c r="C3080" s="33"/>
      <c r="D3080" s="33"/>
      <c r="E3080" s="33"/>
      <c r="F3080" s="56"/>
      <c r="G3080" s="33"/>
      <c r="H3080" s="33"/>
      <c r="I3080" s="33"/>
      <c r="J3080" s="57"/>
      <c r="K3080" s="33"/>
      <c r="L3080" s="57"/>
      <c r="M3080" s="33"/>
      <c r="N3080" s="56"/>
      <c r="O3080" s="64"/>
      <c r="P3080" s="62"/>
      <c r="Q3080" s="64"/>
      <c r="R3080" s="33"/>
      <c r="S3080" s="61"/>
      <c r="T3080" s="33"/>
      <c r="W3080" s="61"/>
      <c r="AF3080" s="60"/>
    </row>
    <row r="3081" spans="2:32" ht="16">
      <c r="B3081" s="67" t="str">
        <f t="shared" si="12"/>
        <v/>
      </c>
      <c r="C3081" s="33"/>
      <c r="D3081" s="33"/>
      <c r="E3081" s="33"/>
      <c r="F3081" s="56"/>
      <c r="G3081" s="33"/>
      <c r="H3081" s="33"/>
      <c r="I3081" s="33"/>
      <c r="J3081" s="57"/>
      <c r="K3081" s="33"/>
      <c r="L3081" s="57"/>
      <c r="M3081" s="33"/>
      <c r="N3081" s="56"/>
      <c r="O3081" s="64"/>
      <c r="P3081" s="62"/>
      <c r="Q3081" s="64"/>
      <c r="R3081" s="33"/>
      <c r="S3081" s="61"/>
      <c r="T3081" s="33"/>
      <c r="W3081" s="61"/>
      <c r="AF3081" s="60"/>
    </row>
    <row r="3082" spans="2:32" ht="16">
      <c r="B3082" s="67" t="str">
        <f t="shared" si="12"/>
        <v/>
      </c>
      <c r="C3082" s="33"/>
      <c r="D3082" s="33"/>
      <c r="E3082" s="33"/>
      <c r="F3082" s="56"/>
      <c r="G3082" s="33"/>
      <c r="H3082" s="33"/>
      <c r="I3082" s="33"/>
      <c r="J3082" s="57"/>
      <c r="K3082" s="33"/>
      <c r="L3082" s="57"/>
      <c r="M3082" s="33"/>
      <c r="N3082" s="56"/>
      <c r="O3082" s="64"/>
      <c r="P3082" s="62"/>
      <c r="Q3082" s="64"/>
      <c r="R3082" s="33"/>
      <c r="S3082" s="61"/>
      <c r="T3082" s="33"/>
      <c r="W3082" s="61"/>
      <c r="AF3082" s="60"/>
    </row>
    <row r="3083" spans="2:32" ht="16">
      <c r="B3083" s="67" t="str">
        <f t="shared" si="12"/>
        <v/>
      </c>
      <c r="C3083" s="33"/>
      <c r="D3083" s="33"/>
      <c r="E3083" s="33"/>
      <c r="F3083" s="56"/>
      <c r="G3083" s="33"/>
      <c r="H3083" s="33"/>
      <c r="I3083" s="33"/>
      <c r="J3083" s="57"/>
      <c r="K3083" s="33"/>
      <c r="L3083" s="57"/>
      <c r="M3083" s="33"/>
      <c r="N3083" s="56"/>
      <c r="O3083" s="64"/>
      <c r="P3083" s="62"/>
      <c r="Q3083" s="64"/>
      <c r="R3083" s="33"/>
      <c r="S3083" s="61"/>
      <c r="T3083" s="33"/>
      <c r="W3083" s="61"/>
      <c r="AF3083" s="60"/>
    </row>
    <row r="3084" spans="2:32" ht="16">
      <c r="B3084" s="67" t="str">
        <f t="shared" si="12"/>
        <v/>
      </c>
      <c r="C3084" s="33"/>
      <c r="D3084" s="33"/>
      <c r="E3084" s="33"/>
      <c r="F3084" s="56"/>
      <c r="G3084" s="33"/>
      <c r="H3084" s="33"/>
      <c r="I3084" s="33"/>
      <c r="J3084" s="57"/>
      <c r="K3084" s="33"/>
      <c r="L3084" s="57"/>
      <c r="M3084" s="33"/>
      <c r="N3084" s="56"/>
      <c r="O3084" s="64"/>
      <c r="P3084" s="62"/>
      <c r="Q3084" s="64"/>
      <c r="R3084" s="33"/>
      <c r="S3084" s="61"/>
      <c r="T3084" s="33"/>
      <c r="W3084" s="61"/>
      <c r="AF3084" s="60"/>
    </row>
    <row r="3085" spans="2:32" ht="16">
      <c r="B3085" s="67" t="str">
        <f t="shared" si="12"/>
        <v/>
      </c>
      <c r="C3085" s="33"/>
      <c r="D3085" s="33"/>
      <c r="E3085" s="33"/>
      <c r="F3085" s="56"/>
      <c r="G3085" s="33"/>
      <c r="H3085" s="33"/>
      <c r="I3085" s="33"/>
      <c r="J3085" s="57"/>
      <c r="K3085" s="33"/>
      <c r="L3085" s="57"/>
      <c r="M3085" s="33"/>
      <c r="N3085" s="56"/>
      <c r="O3085" s="64"/>
      <c r="P3085" s="62"/>
      <c r="Q3085" s="64"/>
      <c r="R3085" s="33"/>
      <c r="S3085" s="61"/>
      <c r="T3085" s="33"/>
      <c r="W3085" s="61"/>
      <c r="AF3085" s="60"/>
    </row>
    <row r="3086" spans="2:32" ht="16">
      <c r="B3086" s="67" t="str">
        <f t="shared" si="12"/>
        <v/>
      </c>
      <c r="C3086" s="33"/>
      <c r="D3086" s="33"/>
      <c r="E3086" s="33"/>
      <c r="F3086" s="56"/>
      <c r="G3086" s="33"/>
      <c r="H3086" s="33"/>
      <c r="I3086" s="33"/>
      <c r="J3086" s="57"/>
      <c r="K3086" s="33"/>
      <c r="L3086" s="57"/>
      <c r="M3086" s="33"/>
      <c r="N3086" s="56"/>
      <c r="O3086" s="64"/>
      <c r="P3086" s="62"/>
      <c r="Q3086" s="64"/>
      <c r="R3086" s="33"/>
      <c r="S3086" s="61"/>
      <c r="T3086" s="33"/>
      <c r="W3086" s="61"/>
      <c r="AF3086" s="60"/>
    </row>
    <row r="3087" spans="2:32" ht="16">
      <c r="B3087" s="67" t="str">
        <f t="shared" ref="B3087:B3223" si="13">IF($H3087="","",LEFT(C3087,3))</f>
        <v/>
      </c>
      <c r="C3087" s="33"/>
      <c r="D3087" s="33"/>
      <c r="E3087" s="33"/>
      <c r="F3087" s="56"/>
      <c r="G3087" s="33"/>
      <c r="H3087" s="33"/>
      <c r="I3087" s="33"/>
      <c r="J3087" s="57"/>
      <c r="K3087" s="33"/>
      <c r="L3087" s="57"/>
      <c r="M3087" s="33"/>
      <c r="N3087" s="56"/>
      <c r="O3087" s="64"/>
      <c r="P3087" s="62"/>
      <c r="Q3087" s="64"/>
      <c r="R3087" s="33"/>
      <c r="S3087" s="61"/>
      <c r="T3087" s="33"/>
      <c r="W3087" s="61"/>
      <c r="AF3087" s="60"/>
    </row>
    <row r="3088" spans="2:32" ht="16">
      <c r="B3088" s="67" t="str">
        <f t="shared" si="13"/>
        <v/>
      </c>
      <c r="C3088" s="33"/>
      <c r="D3088" s="33"/>
      <c r="E3088" s="33"/>
      <c r="F3088" s="56"/>
      <c r="G3088" s="33"/>
      <c r="H3088" s="33"/>
      <c r="I3088" s="33"/>
      <c r="J3088" s="57"/>
      <c r="K3088" s="33"/>
      <c r="L3088" s="57"/>
      <c r="M3088" s="33"/>
      <c r="N3088" s="56"/>
      <c r="O3088" s="64"/>
      <c r="P3088" s="62"/>
      <c r="Q3088" s="64"/>
      <c r="R3088" s="33"/>
      <c r="S3088" s="61"/>
      <c r="T3088" s="33"/>
      <c r="W3088" s="61"/>
      <c r="AF3088" s="60"/>
    </row>
    <row r="3089" spans="2:32" ht="16">
      <c r="B3089" s="67" t="str">
        <f t="shared" si="13"/>
        <v/>
      </c>
      <c r="C3089" s="33"/>
      <c r="D3089" s="33"/>
      <c r="E3089" s="33"/>
      <c r="F3089" s="56"/>
      <c r="G3089" s="33"/>
      <c r="H3089" s="33"/>
      <c r="I3089" s="33"/>
      <c r="J3089" s="57"/>
      <c r="K3089" s="33"/>
      <c r="L3089" s="57"/>
      <c r="M3089" s="33"/>
      <c r="N3089" s="56"/>
      <c r="O3089" s="64"/>
      <c r="P3089" s="62"/>
      <c r="Q3089" s="64"/>
      <c r="R3089" s="33"/>
      <c r="S3089" s="61"/>
      <c r="T3089" s="33"/>
      <c r="W3089" s="61"/>
      <c r="AF3089" s="60"/>
    </row>
    <row r="3090" spans="2:32" ht="16">
      <c r="B3090" s="67" t="str">
        <f t="shared" si="13"/>
        <v/>
      </c>
      <c r="C3090" s="33"/>
      <c r="D3090" s="33"/>
      <c r="E3090" s="33"/>
      <c r="F3090" s="56"/>
      <c r="G3090" s="33"/>
      <c r="H3090" s="33"/>
      <c r="I3090" s="33"/>
      <c r="J3090" s="57"/>
      <c r="K3090" s="33"/>
      <c r="L3090" s="57"/>
      <c r="M3090" s="33"/>
      <c r="N3090" s="56"/>
      <c r="O3090" s="64"/>
      <c r="P3090" s="62"/>
      <c r="Q3090" s="64"/>
      <c r="R3090" s="33"/>
      <c r="S3090" s="61"/>
      <c r="T3090" s="33"/>
      <c r="W3090" s="61"/>
      <c r="AF3090" s="60"/>
    </row>
    <row r="3091" spans="2:32" ht="16">
      <c r="B3091" s="67" t="str">
        <f t="shared" si="13"/>
        <v/>
      </c>
      <c r="C3091" s="33"/>
      <c r="D3091" s="33"/>
      <c r="E3091" s="33"/>
      <c r="F3091" s="56"/>
      <c r="G3091" s="33"/>
      <c r="H3091" s="33"/>
      <c r="I3091" s="33"/>
      <c r="J3091" s="57"/>
      <c r="K3091" s="33"/>
      <c r="L3091" s="57"/>
      <c r="M3091" s="33"/>
      <c r="N3091" s="56"/>
      <c r="O3091" s="64"/>
      <c r="P3091" s="62"/>
      <c r="Q3091" s="64"/>
      <c r="R3091" s="33"/>
      <c r="S3091" s="61"/>
      <c r="T3091" s="33"/>
      <c r="W3091" s="61"/>
      <c r="AF3091" s="60"/>
    </row>
    <row r="3092" spans="2:32" ht="16">
      <c r="B3092" s="67" t="str">
        <f t="shared" si="13"/>
        <v/>
      </c>
      <c r="C3092" s="33"/>
      <c r="D3092" s="33"/>
      <c r="E3092" s="33"/>
      <c r="F3092" s="56"/>
      <c r="G3092" s="33"/>
      <c r="H3092" s="33"/>
      <c r="I3092" s="33"/>
      <c r="J3092" s="57"/>
      <c r="K3092" s="33"/>
      <c r="L3092" s="57"/>
      <c r="M3092" s="33"/>
      <c r="N3092" s="56"/>
      <c r="O3092" s="64"/>
      <c r="P3092" s="62"/>
      <c r="Q3092" s="64"/>
      <c r="R3092" s="33"/>
      <c r="S3092" s="61"/>
      <c r="T3092" s="33"/>
      <c r="W3092" s="61"/>
      <c r="AF3092" s="60"/>
    </row>
    <row r="3093" spans="2:32" ht="16">
      <c r="B3093" s="67" t="str">
        <f t="shared" si="13"/>
        <v/>
      </c>
      <c r="C3093" s="33"/>
      <c r="D3093" s="33"/>
      <c r="E3093" s="33"/>
      <c r="F3093" s="56"/>
      <c r="G3093" s="33"/>
      <c r="H3093" s="33"/>
      <c r="I3093" s="33"/>
      <c r="J3093" s="57"/>
      <c r="K3093" s="33"/>
      <c r="L3093" s="57"/>
      <c r="M3093" s="33"/>
      <c r="N3093" s="56"/>
      <c r="O3093" s="64"/>
      <c r="P3093" s="62"/>
      <c r="Q3093" s="64"/>
      <c r="R3093" s="33"/>
      <c r="S3093" s="61"/>
      <c r="T3093" s="33"/>
      <c r="W3093" s="61"/>
      <c r="AF3093" s="60"/>
    </row>
    <row r="3094" spans="2:32" ht="16">
      <c r="B3094" s="67" t="str">
        <f t="shared" si="13"/>
        <v/>
      </c>
      <c r="C3094" s="33"/>
      <c r="D3094" s="33"/>
      <c r="E3094" s="33"/>
      <c r="F3094" s="56"/>
      <c r="G3094" s="33"/>
      <c r="H3094" s="33"/>
      <c r="I3094" s="33"/>
      <c r="J3094" s="57"/>
      <c r="K3094" s="33"/>
      <c r="L3094" s="57"/>
      <c r="M3094" s="33"/>
      <c r="N3094" s="56"/>
      <c r="O3094" s="64"/>
      <c r="P3094" s="62"/>
      <c r="Q3094" s="64"/>
      <c r="R3094" s="33"/>
      <c r="S3094" s="61"/>
      <c r="T3094" s="33"/>
      <c r="W3094" s="61"/>
      <c r="AF3094" s="60"/>
    </row>
    <row r="3095" spans="2:32" ht="16">
      <c r="B3095" s="67" t="str">
        <f t="shared" si="13"/>
        <v/>
      </c>
      <c r="C3095" s="33"/>
      <c r="D3095" s="33"/>
      <c r="E3095" s="33"/>
      <c r="F3095" s="56"/>
      <c r="G3095" s="33"/>
      <c r="H3095" s="33"/>
      <c r="I3095" s="33"/>
      <c r="J3095" s="57"/>
      <c r="K3095" s="33"/>
      <c r="L3095" s="57"/>
      <c r="M3095" s="33"/>
      <c r="N3095" s="56"/>
      <c r="O3095" s="64"/>
      <c r="P3095" s="62"/>
      <c r="Q3095" s="64"/>
      <c r="R3095" s="33"/>
      <c r="S3095" s="61"/>
      <c r="T3095" s="33"/>
      <c r="W3095" s="61"/>
      <c r="AF3095" s="60"/>
    </row>
    <row r="3096" spans="2:32" ht="16">
      <c r="B3096" s="67" t="str">
        <f t="shared" si="13"/>
        <v/>
      </c>
      <c r="C3096" s="33"/>
      <c r="D3096" s="33"/>
      <c r="E3096" s="33"/>
      <c r="F3096" s="56"/>
      <c r="G3096" s="33"/>
      <c r="H3096" s="33"/>
      <c r="I3096" s="33"/>
      <c r="J3096" s="57"/>
      <c r="K3096" s="33"/>
      <c r="L3096" s="57"/>
      <c r="M3096" s="33"/>
      <c r="N3096" s="56"/>
      <c r="O3096" s="64"/>
      <c r="P3096" s="62"/>
      <c r="Q3096" s="64"/>
      <c r="R3096" s="33"/>
      <c r="S3096" s="61"/>
      <c r="T3096" s="33"/>
      <c r="W3096" s="61"/>
      <c r="AF3096" s="60"/>
    </row>
    <row r="3097" spans="2:32" ht="16">
      <c r="B3097" s="67" t="str">
        <f t="shared" si="13"/>
        <v/>
      </c>
      <c r="C3097" s="33"/>
      <c r="D3097" s="33"/>
      <c r="E3097" s="33"/>
      <c r="F3097" s="56"/>
      <c r="G3097" s="33"/>
      <c r="H3097" s="33"/>
      <c r="I3097" s="33"/>
      <c r="J3097" s="57"/>
      <c r="K3097" s="33"/>
      <c r="L3097" s="57"/>
      <c r="M3097" s="33"/>
      <c r="N3097" s="56"/>
      <c r="O3097" s="64"/>
      <c r="P3097" s="62"/>
      <c r="Q3097" s="64"/>
      <c r="R3097" s="33"/>
      <c r="S3097" s="61"/>
      <c r="T3097" s="33"/>
      <c r="W3097" s="61"/>
      <c r="AF3097" s="60"/>
    </row>
    <row r="3098" spans="2:32" ht="16">
      <c r="B3098" s="67" t="str">
        <f t="shared" si="13"/>
        <v/>
      </c>
      <c r="C3098" s="33"/>
      <c r="D3098" s="33"/>
      <c r="E3098" s="33"/>
      <c r="F3098" s="56"/>
      <c r="G3098" s="33"/>
      <c r="H3098" s="33"/>
      <c r="I3098" s="33"/>
      <c r="J3098" s="57"/>
      <c r="K3098" s="33"/>
      <c r="L3098" s="57"/>
      <c r="M3098" s="33"/>
      <c r="N3098" s="56"/>
      <c r="O3098" s="64"/>
      <c r="P3098" s="62"/>
      <c r="Q3098" s="64"/>
      <c r="R3098" s="33"/>
      <c r="S3098" s="61"/>
      <c r="T3098" s="33"/>
      <c r="W3098" s="61"/>
      <c r="AF3098" s="60"/>
    </row>
    <row r="3099" spans="2:32" ht="16">
      <c r="B3099" s="67" t="str">
        <f t="shared" si="13"/>
        <v/>
      </c>
      <c r="C3099" s="33"/>
      <c r="D3099" s="33"/>
      <c r="E3099" s="33"/>
      <c r="F3099" s="56"/>
      <c r="G3099" s="33"/>
      <c r="H3099" s="33"/>
      <c r="I3099" s="33"/>
      <c r="J3099" s="57"/>
      <c r="K3099" s="33"/>
      <c r="L3099" s="57"/>
      <c r="M3099" s="33"/>
      <c r="N3099" s="56"/>
      <c r="O3099" s="64"/>
      <c r="P3099" s="62"/>
      <c r="Q3099" s="64"/>
      <c r="R3099" s="33"/>
      <c r="S3099" s="61"/>
      <c r="T3099" s="33"/>
      <c r="W3099" s="61"/>
      <c r="AF3099" s="60"/>
    </row>
    <row r="3100" spans="2:32" ht="16">
      <c r="B3100" s="67" t="str">
        <f t="shared" si="13"/>
        <v/>
      </c>
      <c r="C3100" s="33"/>
      <c r="D3100" s="33"/>
      <c r="E3100" s="33"/>
      <c r="F3100" s="56"/>
      <c r="G3100" s="33"/>
      <c r="H3100" s="33"/>
      <c r="I3100" s="33"/>
      <c r="J3100" s="57"/>
      <c r="K3100" s="33"/>
      <c r="L3100" s="57"/>
      <c r="M3100" s="33"/>
      <c r="N3100" s="56"/>
      <c r="O3100" s="64"/>
      <c r="P3100" s="62"/>
      <c r="Q3100" s="64"/>
      <c r="R3100" s="33"/>
      <c r="S3100" s="61"/>
      <c r="T3100" s="33"/>
      <c r="W3100" s="61"/>
      <c r="AF3100" s="60"/>
    </row>
    <row r="3101" spans="2:32" ht="16">
      <c r="B3101" s="67" t="str">
        <f t="shared" si="13"/>
        <v/>
      </c>
      <c r="C3101" s="33"/>
      <c r="D3101" s="33"/>
      <c r="E3101" s="33"/>
      <c r="F3101" s="56"/>
      <c r="G3101" s="33"/>
      <c r="H3101" s="33"/>
      <c r="I3101" s="33"/>
      <c r="J3101" s="57"/>
      <c r="K3101" s="33"/>
      <c r="L3101" s="57"/>
      <c r="M3101" s="33"/>
      <c r="N3101" s="56"/>
      <c r="O3101" s="64"/>
      <c r="P3101" s="62"/>
      <c r="Q3101" s="64"/>
      <c r="R3101" s="33"/>
      <c r="S3101" s="61"/>
      <c r="T3101" s="33"/>
      <c r="W3101" s="61"/>
      <c r="AF3101" s="60"/>
    </row>
    <row r="3102" spans="2:32" ht="16">
      <c r="B3102" s="67" t="str">
        <f t="shared" si="13"/>
        <v/>
      </c>
      <c r="C3102" s="33"/>
      <c r="D3102" s="33"/>
      <c r="E3102" s="33"/>
      <c r="F3102" s="56"/>
      <c r="G3102" s="33"/>
      <c r="H3102" s="33"/>
      <c r="I3102" s="33"/>
      <c r="J3102" s="57"/>
      <c r="K3102" s="33"/>
      <c r="L3102" s="57"/>
      <c r="M3102" s="33"/>
      <c r="N3102" s="56"/>
      <c r="O3102" s="64"/>
      <c r="P3102" s="62"/>
      <c r="Q3102" s="64"/>
      <c r="R3102" s="33"/>
      <c r="S3102" s="61"/>
      <c r="T3102" s="33"/>
      <c r="W3102" s="61"/>
      <c r="AF3102" s="60"/>
    </row>
    <row r="3103" spans="2:32" ht="16">
      <c r="B3103" s="67" t="str">
        <f t="shared" si="13"/>
        <v/>
      </c>
      <c r="C3103" s="33"/>
      <c r="D3103" s="33"/>
      <c r="E3103" s="33"/>
      <c r="F3103" s="56"/>
      <c r="G3103" s="33"/>
      <c r="H3103" s="33"/>
      <c r="I3103" s="33"/>
      <c r="J3103" s="57"/>
      <c r="K3103" s="33"/>
      <c r="L3103" s="57"/>
      <c r="M3103" s="33"/>
      <c r="N3103" s="56"/>
      <c r="O3103" s="64"/>
      <c r="P3103" s="62"/>
      <c r="Q3103" s="64"/>
      <c r="R3103" s="33"/>
      <c r="S3103" s="61"/>
      <c r="T3103" s="33"/>
      <c r="W3103" s="61"/>
      <c r="AF3103" s="60"/>
    </row>
    <row r="3104" spans="2:32" ht="16">
      <c r="B3104" s="67" t="str">
        <f t="shared" si="13"/>
        <v/>
      </c>
      <c r="C3104" s="33"/>
      <c r="D3104" s="33"/>
      <c r="E3104" s="33"/>
      <c r="F3104" s="56"/>
      <c r="G3104" s="33"/>
      <c r="H3104" s="33"/>
      <c r="I3104" s="33"/>
      <c r="J3104" s="57"/>
      <c r="K3104" s="33"/>
      <c r="L3104" s="57"/>
      <c r="M3104" s="33"/>
      <c r="N3104" s="56"/>
      <c r="O3104" s="64"/>
      <c r="P3104" s="62"/>
      <c r="Q3104" s="64"/>
      <c r="R3104" s="33"/>
      <c r="S3104" s="61"/>
      <c r="T3104" s="33"/>
      <c r="W3104" s="61"/>
      <c r="AF3104" s="60"/>
    </row>
    <row r="3105" spans="2:32" ht="16">
      <c r="B3105" s="67" t="str">
        <f t="shared" si="13"/>
        <v/>
      </c>
      <c r="C3105" s="33"/>
      <c r="D3105" s="33"/>
      <c r="E3105" s="33"/>
      <c r="F3105" s="56"/>
      <c r="G3105" s="33"/>
      <c r="H3105" s="33"/>
      <c r="I3105" s="33"/>
      <c r="J3105" s="57"/>
      <c r="K3105" s="33"/>
      <c r="L3105" s="57"/>
      <c r="M3105" s="33"/>
      <c r="N3105" s="56"/>
      <c r="O3105" s="64"/>
      <c r="P3105" s="62"/>
      <c r="Q3105" s="64"/>
      <c r="R3105" s="33"/>
      <c r="S3105" s="61"/>
      <c r="T3105" s="33"/>
      <c r="W3105" s="61"/>
      <c r="AF3105" s="60"/>
    </row>
    <row r="3106" spans="2:32" ht="16">
      <c r="B3106" s="67" t="str">
        <f t="shared" si="13"/>
        <v/>
      </c>
      <c r="C3106" s="33"/>
      <c r="D3106" s="33"/>
      <c r="E3106" s="33"/>
      <c r="F3106" s="56"/>
      <c r="G3106" s="33"/>
      <c r="H3106" s="33"/>
      <c r="I3106" s="33"/>
      <c r="J3106" s="57"/>
      <c r="K3106" s="33"/>
      <c r="L3106" s="57"/>
      <c r="M3106" s="33"/>
      <c r="N3106" s="56"/>
      <c r="O3106" s="64"/>
      <c r="P3106" s="62"/>
      <c r="Q3106" s="64"/>
      <c r="R3106" s="33"/>
      <c r="S3106" s="61"/>
      <c r="T3106" s="33"/>
      <c r="W3106" s="61"/>
      <c r="AF3106" s="60"/>
    </row>
    <row r="3107" spans="2:32" ht="16">
      <c r="B3107" s="67" t="str">
        <f t="shared" si="13"/>
        <v/>
      </c>
      <c r="C3107" s="33"/>
      <c r="D3107" s="33"/>
      <c r="E3107" s="33"/>
      <c r="F3107" s="56"/>
      <c r="G3107" s="33"/>
      <c r="H3107" s="33"/>
      <c r="I3107" s="33"/>
      <c r="J3107" s="57"/>
      <c r="K3107" s="33"/>
      <c r="L3107" s="57"/>
      <c r="M3107" s="33"/>
      <c r="N3107" s="56"/>
      <c r="O3107" s="64"/>
      <c r="P3107" s="62"/>
      <c r="Q3107" s="64"/>
      <c r="R3107" s="33"/>
      <c r="S3107" s="61"/>
      <c r="T3107" s="33"/>
      <c r="W3107" s="61"/>
      <c r="AF3107" s="60"/>
    </row>
    <row r="3108" spans="2:32" ht="16">
      <c r="B3108" s="67" t="str">
        <f t="shared" si="13"/>
        <v/>
      </c>
      <c r="C3108" s="33"/>
      <c r="D3108" s="33"/>
      <c r="E3108" s="33"/>
      <c r="F3108" s="56"/>
      <c r="G3108" s="33"/>
      <c r="H3108" s="33"/>
      <c r="I3108" s="33"/>
      <c r="J3108" s="57"/>
      <c r="K3108" s="33"/>
      <c r="L3108" s="57"/>
      <c r="M3108" s="33"/>
      <c r="N3108" s="56"/>
      <c r="O3108" s="64"/>
      <c r="P3108" s="62"/>
      <c r="Q3108" s="64"/>
      <c r="R3108" s="33"/>
      <c r="S3108" s="61"/>
      <c r="T3108" s="33"/>
      <c r="W3108" s="61"/>
      <c r="AF3108" s="60"/>
    </row>
    <row r="3109" spans="2:32" ht="16">
      <c r="B3109" s="67" t="str">
        <f t="shared" si="13"/>
        <v/>
      </c>
      <c r="C3109" s="33"/>
      <c r="D3109" s="33"/>
      <c r="E3109" s="33"/>
      <c r="F3109" s="56"/>
      <c r="G3109" s="33"/>
      <c r="H3109" s="33"/>
      <c r="I3109" s="33"/>
      <c r="J3109" s="57"/>
      <c r="K3109" s="33"/>
      <c r="L3109" s="57"/>
      <c r="M3109" s="33"/>
      <c r="N3109" s="56"/>
      <c r="O3109" s="64"/>
      <c r="P3109" s="62"/>
      <c r="Q3109" s="64"/>
      <c r="R3109" s="33"/>
      <c r="S3109" s="61"/>
      <c r="T3109" s="33"/>
      <c r="W3109" s="61"/>
      <c r="AF3109" s="60"/>
    </row>
    <row r="3110" spans="2:32" ht="16">
      <c r="B3110" s="67" t="str">
        <f t="shared" si="13"/>
        <v/>
      </c>
      <c r="C3110" s="33"/>
      <c r="D3110" s="33"/>
      <c r="E3110" s="33"/>
      <c r="F3110" s="56"/>
      <c r="G3110" s="33"/>
      <c r="H3110" s="33"/>
      <c r="I3110" s="33"/>
      <c r="J3110" s="57"/>
      <c r="K3110" s="33"/>
      <c r="L3110" s="57"/>
      <c r="M3110" s="33"/>
      <c r="N3110" s="56"/>
      <c r="O3110" s="64"/>
      <c r="P3110" s="62"/>
      <c r="Q3110" s="64"/>
      <c r="R3110" s="33"/>
      <c r="S3110" s="61"/>
      <c r="T3110" s="33"/>
      <c r="W3110" s="61"/>
      <c r="AF3110" s="60"/>
    </row>
    <row r="3111" spans="2:32" ht="16">
      <c r="B3111" s="67" t="str">
        <f t="shared" si="13"/>
        <v/>
      </c>
      <c r="C3111" s="33"/>
      <c r="D3111" s="33"/>
      <c r="E3111" s="33"/>
      <c r="F3111" s="56"/>
      <c r="G3111" s="33"/>
      <c r="H3111" s="33"/>
      <c r="I3111" s="33"/>
      <c r="J3111" s="57"/>
      <c r="K3111" s="33"/>
      <c r="L3111" s="57"/>
      <c r="M3111" s="33"/>
      <c r="N3111" s="56"/>
      <c r="O3111" s="64"/>
      <c r="P3111" s="62"/>
      <c r="Q3111" s="64"/>
      <c r="R3111" s="33"/>
      <c r="S3111" s="61"/>
      <c r="T3111" s="33"/>
      <c r="W3111" s="61"/>
      <c r="AF3111" s="60"/>
    </row>
    <row r="3112" spans="2:32" ht="16">
      <c r="B3112" s="67" t="str">
        <f t="shared" si="13"/>
        <v/>
      </c>
      <c r="C3112" s="33"/>
      <c r="D3112" s="33"/>
      <c r="E3112" s="33"/>
      <c r="F3112" s="56"/>
      <c r="G3112" s="33"/>
      <c r="H3112" s="33"/>
      <c r="I3112" s="33"/>
      <c r="J3112" s="57"/>
      <c r="K3112" s="33"/>
      <c r="L3112" s="57"/>
      <c r="M3112" s="33"/>
      <c r="N3112" s="56"/>
      <c r="O3112" s="64"/>
      <c r="P3112" s="62"/>
      <c r="Q3112" s="64"/>
      <c r="R3112" s="33"/>
      <c r="S3112" s="61"/>
      <c r="T3112" s="33"/>
      <c r="W3112" s="61"/>
      <c r="AF3112" s="60"/>
    </row>
    <row r="3113" spans="2:32" ht="16">
      <c r="B3113" s="67" t="str">
        <f t="shared" si="13"/>
        <v/>
      </c>
      <c r="C3113" s="33"/>
      <c r="D3113" s="33"/>
      <c r="E3113" s="33"/>
      <c r="F3113" s="56"/>
      <c r="G3113" s="33"/>
      <c r="H3113" s="33"/>
      <c r="I3113" s="33"/>
      <c r="J3113" s="57"/>
      <c r="K3113" s="33"/>
      <c r="L3113" s="57"/>
      <c r="M3113" s="33"/>
      <c r="N3113" s="56"/>
      <c r="O3113" s="64"/>
      <c r="P3113" s="62"/>
      <c r="Q3113" s="64"/>
      <c r="R3113" s="33"/>
      <c r="S3113" s="61"/>
      <c r="T3113" s="33"/>
      <c r="W3113" s="61"/>
      <c r="AF3113" s="60"/>
    </row>
    <row r="3114" spans="2:32" ht="16">
      <c r="B3114" s="67" t="str">
        <f t="shared" si="13"/>
        <v/>
      </c>
      <c r="C3114" s="33"/>
      <c r="D3114" s="33"/>
      <c r="E3114" s="33"/>
      <c r="F3114" s="56"/>
      <c r="G3114" s="33"/>
      <c r="H3114" s="33"/>
      <c r="I3114" s="33"/>
      <c r="J3114" s="57"/>
      <c r="K3114" s="33"/>
      <c r="L3114" s="57"/>
      <c r="M3114" s="33"/>
      <c r="N3114" s="56"/>
      <c r="O3114" s="64"/>
      <c r="P3114" s="62"/>
      <c r="Q3114" s="64"/>
      <c r="R3114" s="33"/>
      <c r="S3114" s="61"/>
      <c r="T3114" s="33"/>
      <c r="W3114" s="61"/>
      <c r="AF3114" s="60"/>
    </row>
    <row r="3115" spans="2:32" ht="16">
      <c r="B3115" s="67" t="str">
        <f t="shared" si="13"/>
        <v/>
      </c>
      <c r="C3115" s="33"/>
      <c r="D3115" s="33"/>
      <c r="E3115" s="33"/>
      <c r="F3115" s="56"/>
      <c r="G3115" s="33"/>
      <c r="H3115" s="33"/>
      <c r="I3115" s="33"/>
      <c r="J3115" s="57"/>
      <c r="K3115" s="33"/>
      <c r="L3115" s="57"/>
      <c r="M3115" s="33"/>
      <c r="N3115" s="56"/>
      <c r="O3115" s="64"/>
      <c r="P3115" s="62"/>
      <c r="Q3115" s="64"/>
      <c r="R3115" s="33"/>
      <c r="S3115" s="61"/>
      <c r="T3115" s="33"/>
      <c r="W3115" s="61"/>
      <c r="AF3115" s="60"/>
    </row>
    <row r="3116" spans="2:32" ht="16">
      <c r="B3116" s="67" t="str">
        <f t="shared" si="13"/>
        <v/>
      </c>
      <c r="C3116" s="33"/>
      <c r="D3116" s="33"/>
      <c r="E3116" s="33"/>
      <c r="F3116" s="56"/>
      <c r="G3116" s="33"/>
      <c r="H3116" s="33"/>
      <c r="I3116" s="33"/>
      <c r="J3116" s="57"/>
      <c r="K3116" s="33"/>
      <c r="L3116" s="57"/>
      <c r="M3116" s="33"/>
      <c r="N3116" s="56"/>
      <c r="O3116" s="64"/>
      <c r="P3116" s="62"/>
      <c r="Q3116" s="64"/>
      <c r="R3116" s="33"/>
      <c r="S3116" s="61"/>
      <c r="T3116" s="33"/>
      <c r="W3116" s="61"/>
      <c r="AF3116" s="60"/>
    </row>
    <row r="3117" spans="2:32" ht="16">
      <c r="B3117" s="67" t="str">
        <f t="shared" si="13"/>
        <v/>
      </c>
      <c r="C3117" s="33"/>
      <c r="D3117" s="33"/>
      <c r="E3117" s="33"/>
      <c r="F3117" s="56"/>
      <c r="G3117" s="33"/>
      <c r="H3117" s="33"/>
      <c r="I3117" s="33"/>
      <c r="J3117" s="57"/>
      <c r="K3117" s="33"/>
      <c r="L3117" s="57"/>
      <c r="M3117" s="33"/>
      <c r="N3117" s="56"/>
      <c r="O3117" s="64"/>
      <c r="P3117" s="62"/>
      <c r="Q3117" s="64"/>
      <c r="R3117" s="33"/>
      <c r="S3117" s="61"/>
      <c r="T3117" s="33"/>
      <c r="W3117" s="61"/>
      <c r="AF3117" s="60"/>
    </row>
    <row r="3118" spans="2:32" ht="16">
      <c r="B3118" s="67" t="str">
        <f t="shared" si="13"/>
        <v/>
      </c>
      <c r="C3118" s="33"/>
      <c r="D3118" s="33"/>
      <c r="E3118" s="33"/>
      <c r="F3118" s="56"/>
      <c r="G3118" s="33"/>
      <c r="H3118" s="33"/>
      <c r="I3118" s="33"/>
      <c r="J3118" s="57"/>
      <c r="K3118" s="33"/>
      <c r="L3118" s="57"/>
      <c r="M3118" s="33"/>
      <c r="N3118" s="56"/>
      <c r="O3118" s="64"/>
      <c r="P3118" s="62"/>
      <c r="Q3118" s="64"/>
      <c r="R3118" s="33"/>
      <c r="S3118" s="61"/>
      <c r="T3118" s="33"/>
      <c r="W3118" s="61"/>
      <c r="AF3118" s="60"/>
    </row>
    <row r="3119" spans="2:32" ht="16">
      <c r="B3119" s="67" t="str">
        <f t="shared" si="13"/>
        <v/>
      </c>
      <c r="C3119" s="33"/>
      <c r="D3119" s="33"/>
      <c r="E3119" s="33"/>
      <c r="F3119" s="56"/>
      <c r="G3119" s="33"/>
      <c r="H3119" s="33"/>
      <c r="I3119" s="33"/>
      <c r="J3119" s="57"/>
      <c r="K3119" s="33"/>
      <c r="L3119" s="57"/>
      <c r="M3119" s="33"/>
      <c r="N3119" s="56"/>
      <c r="O3119" s="64"/>
      <c r="P3119" s="62"/>
      <c r="Q3119" s="64"/>
      <c r="R3119" s="33"/>
      <c r="S3119" s="61"/>
      <c r="T3119" s="33"/>
      <c r="W3119" s="61"/>
      <c r="AF3119" s="60"/>
    </row>
    <row r="3120" spans="2:32" ht="16">
      <c r="B3120" s="67" t="str">
        <f t="shared" si="13"/>
        <v/>
      </c>
      <c r="C3120" s="33"/>
      <c r="D3120" s="33"/>
      <c r="E3120" s="33"/>
      <c r="F3120" s="56"/>
      <c r="G3120" s="33"/>
      <c r="H3120" s="33"/>
      <c r="I3120" s="33"/>
      <c r="J3120" s="57"/>
      <c r="K3120" s="33"/>
      <c r="L3120" s="57"/>
      <c r="M3120" s="33"/>
      <c r="N3120" s="56"/>
      <c r="O3120" s="64"/>
      <c r="P3120" s="62"/>
      <c r="Q3120" s="64"/>
      <c r="R3120" s="33"/>
      <c r="S3120" s="61"/>
      <c r="T3120" s="33"/>
      <c r="W3120" s="61"/>
      <c r="AF3120" s="60"/>
    </row>
    <row r="3121" spans="2:32" ht="16">
      <c r="B3121" s="67" t="str">
        <f t="shared" si="13"/>
        <v/>
      </c>
      <c r="C3121" s="33"/>
      <c r="D3121" s="33"/>
      <c r="E3121" s="33"/>
      <c r="F3121" s="56"/>
      <c r="G3121" s="33"/>
      <c r="H3121" s="33"/>
      <c r="I3121" s="33"/>
      <c r="J3121" s="57"/>
      <c r="K3121" s="33"/>
      <c r="L3121" s="57"/>
      <c r="M3121" s="33"/>
      <c r="N3121" s="56"/>
      <c r="O3121" s="64"/>
      <c r="P3121" s="62"/>
      <c r="Q3121" s="64"/>
      <c r="R3121" s="33"/>
      <c r="S3121" s="61"/>
      <c r="T3121" s="33"/>
      <c r="W3121" s="61"/>
      <c r="AF3121" s="60"/>
    </row>
    <row r="3122" spans="2:32" ht="16">
      <c r="B3122" s="67" t="str">
        <f t="shared" si="13"/>
        <v/>
      </c>
      <c r="C3122" s="33"/>
      <c r="D3122" s="33"/>
      <c r="E3122" s="33"/>
      <c r="F3122" s="56"/>
      <c r="G3122" s="33"/>
      <c r="H3122" s="33"/>
      <c r="I3122" s="33"/>
      <c r="J3122" s="57"/>
      <c r="K3122" s="33"/>
      <c r="L3122" s="57"/>
      <c r="M3122" s="33"/>
      <c r="N3122" s="56"/>
      <c r="O3122" s="64"/>
      <c r="P3122" s="62"/>
      <c r="Q3122" s="64"/>
      <c r="R3122" s="33"/>
      <c r="S3122" s="61"/>
      <c r="T3122" s="33"/>
      <c r="W3122" s="61"/>
      <c r="AF3122" s="60"/>
    </row>
    <row r="3123" spans="2:32" ht="16">
      <c r="B3123" s="67" t="str">
        <f t="shared" si="13"/>
        <v/>
      </c>
      <c r="C3123" s="33"/>
      <c r="D3123" s="33"/>
      <c r="E3123" s="33"/>
      <c r="F3123" s="56"/>
      <c r="G3123" s="33"/>
      <c r="H3123" s="33"/>
      <c r="I3123" s="33"/>
      <c r="J3123" s="57"/>
      <c r="K3123" s="33"/>
      <c r="L3123" s="57"/>
      <c r="M3123" s="33"/>
      <c r="N3123" s="56"/>
      <c r="O3123" s="64"/>
      <c r="P3123" s="62"/>
      <c r="Q3123" s="64"/>
      <c r="R3123" s="33"/>
      <c r="S3123" s="61"/>
      <c r="T3123" s="33"/>
      <c r="W3123" s="61"/>
      <c r="AF3123" s="60"/>
    </row>
    <row r="3124" spans="2:32" ht="16">
      <c r="B3124" s="67" t="str">
        <f t="shared" si="13"/>
        <v/>
      </c>
      <c r="C3124" s="33"/>
      <c r="D3124" s="33"/>
      <c r="E3124" s="33"/>
      <c r="F3124" s="56"/>
      <c r="G3124" s="33"/>
      <c r="H3124" s="33"/>
      <c r="I3124" s="33"/>
      <c r="J3124" s="57"/>
      <c r="K3124" s="33"/>
      <c r="L3124" s="57"/>
      <c r="M3124" s="33"/>
      <c r="N3124" s="56"/>
      <c r="O3124" s="64"/>
      <c r="P3124" s="62"/>
      <c r="Q3124" s="64"/>
      <c r="R3124" s="33"/>
      <c r="S3124" s="61"/>
      <c r="T3124" s="33"/>
      <c r="W3124" s="61"/>
      <c r="AF3124" s="60"/>
    </row>
    <row r="3125" spans="2:32" ht="16">
      <c r="B3125" s="67" t="str">
        <f t="shared" si="13"/>
        <v/>
      </c>
      <c r="C3125" s="33"/>
      <c r="D3125" s="33"/>
      <c r="E3125" s="33"/>
      <c r="F3125" s="56"/>
      <c r="G3125" s="33"/>
      <c r="H3125" s="33"/>
      <c r="I3125" s="33"/>
      <c r="J3125" s="57"/>
      <c r="K3125" s="33"/>
      <c r="L3125" s="57"/>
      <c r="M3125" s="33"/>
      <c r="N3125" s="56"/>
      <c r="O3125" s="64"/>
      <c r="P3125" s="62"/>
      <c r="Q3125" s="64"/>
      <c r="R3125" s="33"/>
      <c r="S3125" s="61"/>
      <c r="T3125" s="33"/>
      <c r="W3125" s="61"/>
      <c r="AF3125" s="60"/>
    </row>
    <row r="3126" spans="2:32" ht="16">
      <c r="B3126" s="67" t="str">
        <f t="shared" si="13"/>
        <v/>
      </c>
      <c r="C3126" s="33"/>
      <c r="D3126" s="33"/>
      <c r="E3126" s="33"/>
      <c r="F3126" s="56"/>
      <c r="G3126" s="33"/>
      <c r="H3126" s="33"/>
      <c r="I3126" s="33"/>
      <c r="J3126" s="57"/>
      <c r="K3126" s="33"/>
      <c r="L3126" s="57"/>
      <c r="M3126" s="33"/>
      <c r="N3126" s="56"/>
      <c r="O3126" s="64"/>
      <c r="P3126" s="62"/>
      <c r="Q3126" s="64"/>
      <c r="R3126" s="33"/>
      <c r="S3126" s="61"/>
      <c r="T3126" s="33"/>
      <c r="W3126" s="61"/>
      <c r="AF3126" s="60"/>
    </row>
    <row r="3127" spans="2:32" ht="16">
      <c r="B3127" s="67" t="str">
        <f t="shared" si="13"/>
        <v/>
      </c>
      <c r="C3127" s="33"/>
      <c r="D3127" s="33"/>
      <c r="E3127" s="33"/>
      <c r="F3127" s="56"/>
      <c r="G3127" s="33"/>
      <c r="H3127" s="33"/>
      <c r="I3127" s="33"/>
      <c r="J3127" s="57"/>
      <c r="K3127" s="33"/>
      <c r="L3127" s="57"/>
      <c r="M3127" s="33"/>
      <c r="N3127" s="56"/>
      <c r="O3127" s="64"/>
      <c r="P3127" s="62"/>
      <c r="Q3127" s="64"/>
      <c r="R3127" s="33"/>
      <c r="S3127" s="61"/>
      <c r="T3127" s="33"/>
      <c r="W3127" s="61"/>
      <c r="AF3127" s="60"/>
    </row>
    <row r="3128" spans="2:32" ht="16">
      <c r="B3128" s="67" t="str">
        <f t="shared" si="13"/>
        <v/>
      </c>
      <c r="C3128" s="33"/>
      <c r="D3128" s="33"/>
      <c r="E3128" s="33"/>
      <c r="F3128" s="56"/>
      <c r="G3128" s="33"/>
      <c r="H3128" s="33"/>
      <c r="I3128" s="33"/>
      <c r="J3128" s="57"/>
      <c r="K3128" s="33"/>
      <c r="L3128" s="57"/>
      <c r="M3128" s="33"/>
      <c r="N3128" s="56"/>
      <c r="O3128" s="64"/>
      <c r="P3128" s="62"/>
      <c r="Q3128" s="64"/>
      <c r="R3128" s="33"/>
      <c r="S3128" s="61"/>
      <c r="T3128" s="33"/>
      <c r="W3128" s="61"/>
      <c r="AF3128" s="60"/>
    </row>
    <row r="3129" spans="2:32" ht="16">
      <c r="B3129" s="67" t="str">
        <f t="shared" si="13"/>
        <v/>
      </c>
      <c r="C3129" s="33"/>
      <c r="D3129" s="33"/>
      <c r="E3129" s="33"/>
      <c r="F3129" s="56"/>
      <c r="G3129" s="33"/>
      <c r="H3129" s="33"/>
      <c r="I3129" s="33"/>
      <c r="J3129" s="57"/>
      <c r="K3129" s="33"/>
      <c r="L3129" s="57"/>
      <c r="M3129" s="33"/>
      <c r="N3129" s="56"/>
      <c r="O3129" s="64"/>
      <c r="P3129" s="62"/>
      <c r="Q3129" s="64"/>
      <c r="R3129" s="33"/>
      <c r="S3129" s="61"/>
      <c r="T3129" s="33"/>
      <c r="W3129" s="61"/>
      <c r="AF3129" s="60"/>
    </row>
    <row r="3130" spans="2:32" ht="16">
      <c r="B3130" s="67" t="str">
        <f t="shared" si="13"/>
        <v/>
      </c>
      <c r="C3130" s="33"/>
      <c r="D3130" s="33"/>
      <c r="E3130" s="33"/>
      <c r="F3130" s="56"/>
      <c r="G3130" s="33"/>
      <c r="H3130" s="33"/>
      <c r="I3130" s="33"/>
      <c r="J3130" s="57"/>
      <c r="K3130" s="33"/>
      <c r="L3130" s="57"/>
      <c r="M3130" s="33"/>
      <c r="N3130" s="56"/>
      <c r="O3130" s="64"/>
      <c r="P3130" s="62"/>
      <c r="Q3130" s="64"/>
      <c r="R3130" s="33"/>
      <c r="S3130" s="61"/>
      <c r="T3130" s="33"/>
      <c r="W3130" s="61"/>
      <c r="AF3130" s="60"/>
    </row>
    <row r="3131" spans="2:32" ht="16">
      <c r="B3131" s="67" t="str">
        <f t="shared" si="13"/>
        <v/>
      </c>
      <c r="C3131" s="33"/>
      <c r="D3131" s="33"/>
      <c r="E3131" s="33"/>
      <c r="F3131" s="56"/>
      <c r="G3131" s="33"/>
      <c r="H3131" s="33"/>
      <c r="I3131" s="33"/>
      <c r="J3131" s="57"/>
      <c r="K3131" s="33"/>
      <c r="L3131" s="57"/>
      <c r="M3131" s="33"/>
      <c r="N3131" s="56"/>
      <c r="O3131" s="64"/>
      <c r="P3131" s="62"/>
      <c r="Q3131" s="64"/>
      <c r="R3131" s="33"/>
      <c r="S3131" s="61"/>
      <c r="T3131" s="33"/>
      <c r="W3131" s="61"/>
      <c r="AF3131" s="60"/>
    </row>
    <row r="3132" spans="2:32" ht="16">
      <c r="B3132" s="67" t="str">
        <f t="shared" si="13"/>
        <v/>
      </c>
      <c r="C3132" s="33"/>
      <c r="D3132" s="33"/>
      <c r="E3132" s="33"/>
      <c r="F3132" s="56"/>
      <c r="G3132" s="33"/>
      <c r="H3132" s="33"/>
      <c r="I3132" s="33"/>
      <c r="J3132" s="57"/>
      <c r="K3132" s="33"/>
      <c r="L3132" s="57"/>
      <c r="M3132" s="33"/>
      <c r="N3132" s="56"/>
      <c r="O3132" s="64"/>
      <c r="P3132" s="62"/>
      <c r="Q3132" s="64"/>
      <c r="R3132" s="33"/>
      <c r="S3132" s="61"/>
      <c r="T3132" s="33"/>
      <c r="W3132" s="61"/>
      <c r="AF3132" s="60"/>
    </row>
    <row r="3133" spans="2:32" ht="16">
      <c r="B3133" s="67" t="str">
        <f t="shared" si="13"/>
        <v/>
      </c>
      <c r="C3133" s="33"/>
      <c r="D3133" s="33"/>
      <c r="E3133" s="33"/>
      <c r="F3133" s="56"/>
      <c r="G3133" s="33"/>
      <c r="H3133" s="33"/>
      <c r="I3133" s="33"/>
      <c r="J3133" s="57"/>
      <c r="K3133" s="33"/>
      <c r="L3133" s="57"/>
      <c r="M3133" s="33"/>
      <c r="N3133" s="56"/>
      <c r="O3133" s="64"/>
      <c r="P3133" s="62"/>
      <c r="Q3133" s="64"/>
      <c r="R3133" s="33"/>
      <c r="S3133" s="61"/>
      <c r="T3133" s="33"/>
      <c r="W3133" s="61"/>
      <c r="AF3133" s="60"/>
    </row>
    <row r="3134" spans="2:32" ht="16">
      <c r="B3134" s="67" t="str">
        <f t="shared" si="13"/>
        <v/>
      </c>
      <c r="C3134" s="33"/>
      <c r="D3134" s="33"/>
      <c r="E3134" s="33"/>
      <c r="F3134" s="56"/>
      <c r="G3134" s="33"/>
      <c r="H3134" s="33"/>
      <c r="I3134" s="33"/>
      <c r="J3134" s="57"/>
      <c r="K3134" s="33"/>
      <c r="L3134" s="57"/>
      <c r="M3134" s="33"/>
      <c r="N3134" s="56"/>
      <c r="O3134" s="64"/>
      <c r="P3134" s="62"/>
      <c r="Q3134" s="64"/>
      <c r="R3134" s="33"/>
      <c r="S3134" s="61"/>
      <c r="T3134" s="33"/>
      <c r="W3134" s="61"/>
      <c r="AF3134" s="60"/>
    </row>
    <row r="3135" spans="2:32" ht="16">
      <c r="B3135" s="67" t="str">
        <f t="shared" si="13"/>
        <v/>
      </c>
      <c r="C3135" s="33"/>
      <c r="D3135" s="33"/>
      <c r="E3135" s="33"/>
      <c r="F3135" s="56"/>
      <c r="G3135" s="33"/>
      <c r="H3135" s="33"/>
      <c r="I3135" s="33"/>
      <c r="J3135" s="57"/>
      <c r="K3135" s="33"/>
      <c r="L3135" s="57"/>
      <c r="M3135" s="33"/>
      <c r="N3135" s="56"/>
      <c r="O3135" s="64"/>
      <c r="P3135" s="62"/>
      <c r="Q3135" s="64"/>
      <c r="R3135" s="33"/>
      <c r="S3135" s="61"/>
      <c r="T3135" s="33"/>
      <c r="W3135" s="61"/>
      <c r="AF3135" s="60"/>
    </row>
    <row r="3136" spans="2:32" ht="16">
      <c r="B3136" s="67" t="str">
        <f t="shared" si="13"/>
        <v/>
      </c>
      <c r="C3136" s="33"/>
      <c r="D3136" s="33"/>
      <c r="E3136" s="33"/>
      <c r="F3136" s="56"/>
      <c r="G3136" s="33"/>
      <c r="H3136" s="33"/>
      <c r="I3136" s="33"/>
      <c r="J3136" s="57"/>
      <c r="K3136" s="33"/>
      <c r="L3136" s="57"/>
      <c r="M3136" s="33"/>
      <c r="N3136" s="56"/>
      <c r="O3136" s="64"/>
      <c r="P3136" s="62"/>
      <c r="Q3136" s="64"/>
      <c r="R3136" s="33"/>
      <c r="S3136" s="61"/>
      <c r="T3136" s="33"/>
      <c r="W3136" s="61"/>
      <c r="AF3136" s="60"/>
    </row>
    <row r="3137" spans="2:32" ht="16">
      <c r="B3137" s="67" t="str">
        <f t="shared" si="13"/>
        <v/>
      </c>
      <c r="C3137" s="33"/>
      <c r="D3137" s="33"/>
      <c r="E3137" s="33"/>
      <c r="F3137" s="56"/>
      <c r="G3137" s="33"/>
      <c r="H3137" s="33"/>
      <c r="I3137" s="33"/>
      <c r="J3137" s="57"/>
      <c r="K3137" s="33"/>
      <c r="L3137" s="57"/>
      <c r="M3137" s="33"/>
      <c r="N3137" s="56"/>
      <c r="O3137" s="64"/>
      <c r="P3137" s="62"/>
      <c r="Q3137" s="64"/>
      <c r="R3137" s="33"/>
      <c r="S3137" s="61"/>
      <c r="T3137" s="33"/>
      <c r="W3137" s="61"/>
      <c r="AF3137" s="60"/>
    </row>
    <row r="3138" spans="2:32" ht="16">
      <c r="B3138" s="67" t="str">
        <f t="shared" si="13"/>
        <v/>
      </c>
      <c r="C3138" s="33"/>
      <c r="D3138" s="33"/>
      <c r="E3138" s="33"/>
      <c r="F3138" s="56"/>
      <c r="G3138" s="33"/>
      <c r="H3138" s="33"/>
      <c r="I3138" s="33"/>
      <c r="J3138" s="57"/>
      <c r="K3138" s="33"/>
      <c r="L3138" s="57"/>
      <c r="M3138" s="33"/>
      <c r="N3138" s="56"/>
      <c r="O3138" s="64"/>
      <c r="P3138" s="62"/>
      <c r="Q3138" s="64"/>
      <c r="R3138" s="33"/>
      <c r="S3138" s="61"/>
      <c r="T3138" s="33"/>
      <c r="W3138" s="61"/>
      <c r="AF3138" s="60"/>
    </row>
    <row r="3139" spans="2:32" ht="16">
      <c r="B3139" s="67" t="str">
        <f t="shared" si="13"/>
        <v/>
      </c>
      <c r="C3139" s="33"/>
      <c r="D3139" s="33"/>
      <c r="E3139" s="33"/>
      <c r="F3139" s="56"/>
      <c r="G3139" s="33"/>
      <c r="H3139" s="33"/>
      <c r="I3139" s="33"/>
      <c r="J3139" s="57"/>
      <c r="K3139" s="33"/>
      <c r="L3139" s="57"/>
      <c r="M3139" s="33"/>
      <c r="N3139" s="56"/>
      <c r="O3139" s="64"/>
      <c r="P3139" s="62"/>
      <c r="Q3139" s="64"/>
      <c r="R3139" s="33"/>
      <c r="S3139" s="61"/>
      <c r="T3139" s="33"/>
      <c r="W3139" s="61"/>
      <c r="AF3139" s="60"/>
    </row>
    <row r="3140" spans="2:32" ht="16">
      <c r="B3140" s="67" t="str">
        <f t="shared" si="13"/>
        <v/>
      </c>
      <c r="C3140" s="33"/>
      <c r="D3140" s="33"/>
      <c r="E3140" s="33"/>
      <c r="F3140" s="56"/>
      <c r="G3140" s="33"/>
      <c r="H3140" s="33"/>
      <c r="I3140" s="33"/>
      <c r="J3140" s="57"/>
      <c r="K3140" s="33"/>
      <c r="L3140" s="57"/>
      <c r="M3140" s="33"/>
      <c r="N3140" s="56"/>
      <c r="O3140" s="64"/>
      <c r="P3140" s="62"/>
      <c r="Q3140" s="64"/>
      <c r="R3140" s="33"/>
      <c r="S3140" s="61"/>
      <c r="T3140" s="33"/>
      <c r="W3140" s="61"/>
      <c r="AF3140" s="60"/>
    </row>
    <row r="3141" spans="2:32" ht="16">
      <c r="B3141" s="67" t="str">
        <f t="shared" si="13"/>
        <v/>
      </c>
      <c r="C3141" s="33"/>
      <c r="D3141" s="33"/>
      <c r="E3141" s="33"/>
      <c r="F3141" s="56"/>
      <c r="G3141" s="33"/>
      <c r="H3141" s="33"/>
      <c r="I3141" s="33"/>
      <c r="J3141" s="57"/>
      <c r="K3141" s="33"/>
      <c r="L3141" s="57"/>
      <c r="M3141" s="33"/>
      <c r="N3141" s="56"/>
      <c r="O3141" s="64"/>
      <c r="P3141" s="62"/>
      <c r="Q3141" s="64"/>
      <c r="R3141" s="33"/>
      <c r="S3141" s="61"/>
      <c r="T3141" s="33"/>
      <c r="W3141" s="61"/>
      <c r="AF3141" s="60"/>
    </row>
    <row r="3142" spans="2:32" ht="16">
      <c r="B3142" s="67" t="str">
        <f t="shared" si="13"/>
        <v/>
      </c>
      <c r="C3142" s="33"/>
      <c r="D3142" s="33"/>
      <c r="E3142" s="33"/>
      <c r="F3142" s="56"/>
      <c r="G3142" s="33"/>
      <c r="H3142" s="33"/>
      <c r="I3142" s="33"/>
      <c r="J3142" s="57"/>
      <c r="K3142" s="33"/>
      <c r="L3142" s="57"/>
      <c r="M3142" s="33"/>
      <c r="N3142" s="56"/>
      <c r="O3142" s="64"/>
      <c r="P3142" s="62"/>
      <c r="Q3142" s="64"/>
      <c r="R3142" s="33"/>
      <c r="S3142" s="61"/>
      <c r="T3142" s="33"/>
      <c r="W3142" s="61"/>
      <c r="AF3142" s="60"/>
    </row>
    <row r="3143" spans="2:32" ht="16">
      <c r="B3143" s="67" t="str">
        <f t="shared" si="13"/>
        <v/>
      </c>
      <c r="C3143" s="33"/>
      <c r="D3143" s="33"/>
      <c r="E3143" s="33"/>
      <c r="F3143" s="56"/>
      <c r="G3143" s="33"/>
      <c r="H3143" s="33"/>
      <c r="I3143" s="33"/>
      <c r="J3143" s="57"/>
      <c r="K3143" s="33"/>
      <c r="L3143" s="57"/>
      <c r="M3143" s="33"/>
      <c r="N3143" s="56"/>
      <c r="O3143" s="64"/>
      <c r="P3143" s="62"/>
      <c r="Q3143" s="64"/>
      <c r="R3143" s="33"/>
      <c r="S3143" s="61"/>
      <c r="T3143" s="33"/>
      <c r="W3143" s="61"/>
      <c r="AF3143" s="60"/>
    </row>
    <row r="3144" spans="2:32" ht="16">
      <c r="B3144" s="67" t="str">
        <f t="shared" si="13"/>
        <v/>
      </c>
      <c r="C3144" s="33"/>
      <c r="D3144" s="33"/>
      <c r="E3144" s="33"/>
      <c r="F3144" s="56"/>
      <c r="G3144" s="33"/>
      <c r="H3144" s="33"/>
      <c r="I3144" s="33"/>
      <c r="J3144" s="57"/>
      <c r="K3144" s="33"/>
      <c r="L3144" s="57"/>
      <c r="M3144" s="33"/>
      <c r="N3144" s="56"/>
      <c r="O3144" s="64"/>
      <c r="P3144" s="62"/>
      <c r="Q3144" s="64"/>
      <c r="R3144" s="33"/>
      <c r="S3144" s="61"/>
      <c r="T3144" s="33"/>
      <c r="W3144" s="61"/>
      <c r="AF3144" s="60"/>
    </row>
    <row r="3145" spans="2:32" ht="16">
      <c r="B3145" s="67" t="str">
        <f t="shared" si="13"/>
        <v/>
      </c>
      <c r="C3145" s="33"/>
      <c r="D3145" s="33"/>
      <c r="E3145" s="33"/>
      <c r="F3145" s="56"/>
      <c r="G3145" s="33"/>
      <c r="H3145" s="33"/>
      <c r="I3145" s="33"/>
      <c r="J3145" s="57"/>
      <c r="K3145" s="33"/>
      <c r="L3145" s="57"/>
      <c r="M3145" s="33"/>
      <c r="N3145" s="56"/>
      <c r="O3145" s="64"/>
      <c r="P3145" s="62"/>
      <c r="Q3145" s="64"/>
      <c r="R3145" s="33"/>
      <c r="S3145" s="61"/>
      <c r="T3145" s="33"/>
      <c r="W3145" s="61"/>
      <c r="AF3145" s="60"/>
    </row>
    <row r="3146" spans="2:32" ht="16">
      <c r="B3146" s="67" t="str">
        <f t="shared" si="13"/>
        <v/>
      </c>
      <c r="C3146" s="33"/>
      <c r="D3146" s="33"/>
      <c r="E3146" s="33"/>
      <c r="F3146" s="56"/>
      <c r="G3146" s="33"/>
      <c r="H3146" s="33"/>
      <c r="I3146" s="33"/>
      <c r="J3146" s="57"/>
      <c r="K3146" s="33"/>
      <c r="L3146" s="57"/>
      <c r="M3146" s="33"/>
      <c r="N3146" s="56"/>
      <c r="O3146" s="64"/>
      <c r="P3146" s="62"/>
      <c r="Q3146" s="64"/>
      <c r="R3146" s="33"/>
      <c r="S3146" s="61"/>
      <c r="T3146" s="33"/>
      <c r="W3146" s="61"/>
      <c r="AF3146" s="60"/>
    </row>
    <row r="3147" spans="2:32" ht="16">
      <c r="B3147" s="67" t="str">
        <f t="shared" si="13"/>
        <v/>
      </c>
      <c r="C3147" s="33"/>
      <c r="D3147" s="33"/>
      <c r="E3147" s="33"/>
      <c r="F3147" s="56"/>
      <c r="G3147" s="33"/>
      <c r="H3147" s="33"/>
      <c r="I3147" s="33"/>
      <c r="J3147" s="57"/>
      <c r="K3147" s="33"/>
      <c r="L3147" s="57"/>
      <c r="M3147" s="33"/>
      <c r="N3147" s="56"/>
      <c r="O3147" s="64"/>
      <c r="P3147" s="62"/>
      <c r="Q3147" s="64"/>
      <c r="R3147" s="33"/>
      <c r="S3147" s="61"/>
      <c r="T3147" s="33"/>
      <c r="W3147" s="61"/>
      <c r="AF3147" s="60"/>
    </row>
    <row r="3148" spans="2:32" ht="16">
      <c r="B3148" s="67" t="str">
        <f t="shared" si="13"/>
        <v/>
      </c>
      <c r="C3148" s="33"/>
      <c r="D3148" s="33"/>
      <c r="E3148" s="33"/>
      <c r="F3148" s="56"/>
      <c r="G3148" s="33"/>
      <c r="H3148" s="33"/>
      <c r="I3148" s="33"/>
      <c r="J3148" s="57"/>
      <c r="K3148" s="33"/>
      <c r="L3148" s="57"/>
      <c r="M3148" s="33"/>
      <c r="N3148" s="56"/>
      <c r="O3148" s="64"/>
      <c r="P3148" s="62"/>
      <c r="Q3148" s="64"/>
      <c r="R3148" s="33"/>
      <c r="S3148" s="61"/>
      <c r="T3148" s="33"/>
      <c r="W3148" s="61"/>
      <c r="AF3148" s="60"/>
    </row>
    <row r="3149" spans="2:32" ht="16">
      <c r="B3149" s="67" t="str">
        <f t="shared" si="13"/>
        <v/>
      </c>
      <c r="C3149" s="33"/>
      <c r="D3149" s="33"/>
      <c r="E3149" s="33"/>
      <c r="F3149" s="56"/>
      <c r="G3149" s="33"/>
      <c r="H3149" s="33"/>
      <c r="I3149" s="33"/>
      <c r="J3149" s="57"/>
      <c r="K3149" s="33"/>
      <c r="L3149" s="57"/>
      <c r="M3149" s="33"/>
      <c r="N3149" s="56"/>
      <c r="O3149" s="64"/>
      <c r="P3149" s="62"/>
      <c r="Q3149" s="64"/>
      <c r="R3149" s="33"/>
      <c r="S3149" s="61"/>
      <c r="T3149" s="33"/>
      <c r="W3149" s="61"/>
      <c r="AF3149" s="60"/>
    </row>
    <row r="3150" spans="2:32" ht="16">
      <c r="B3150" s="67" t="str">
        <f t="shared" si="13"/>
        <v/>
      </c>
      <c r="C3150" s="33"/>
      <c r="D3150" s="33"/>
      <c r="E3150" s="33"/>
      <c r="F3150" s="56"/>
      <c r="G3150" s="33"/>
      <c r="H3150" s="33"/>
      <c r="I3150" s="33"/>
      <c r="J3150" s="57"/>
      <c r="K3150" s="33"/>
      <c r="L3150" s="57"/>
      <c r="M3150" s="33"/>
      <c r="N3150" s="56"/>
      <c r="O3150" s="64"/>
      <c r="P3150" s="62"/>
      <c r="Q3150" s="64"/>
      <c r="R3150" s="33"/>
      <c r="S3150" s="61"/>
      <c r="T3150" s="33"/>
      <c r="W3150" s="61"/>
      <c r="AF3150" s="60"/>
    </row>
    <row r="3151" spans="2:32" ht="16">
      <c r="B3151" s="67" t="str">
        <f t="shared" si="13"/>
        <v/>
      </c>
      <c r="C3151" s="33"/>
      <c r="D3151" s="33"/>
      <c r="E3151" s="33"/>
      <c r="F3151" s="56"/>
      <c r="G3151" s="33"/>
      <c r="H3151" s="33"/>
      <c r="I3151" s="33"/>
      <c r="J3151" s="57"/>
      <c r="K3151" s="33"/>
      <c r="L3151" s="57"/>
      <c r="M3151" s="33"/>
      <c r="N3151" s="56"/>
      <c r="O3151" s="64"/>
      <c r="P3151" s="62"/>
      <c r="Q3151" s="64"/>
      <c r="R3151" s="33"/>
      <c r="S3151" s="61"/>
      <c r="T3151" s="33"/>
      <c r="W3151" s="61"/>
      <c r="AF3151" s="60"/>
    </row>
    <row r="3152" spans="2:32" ht="16">
      <c r="B3152" s="67" t="str">
        <f t="shared" si="13"/>
        <v/>
      </c>
      <c r="C3152" s="33"/>
      <c r="D3152" s="33"/>
      <c r="E3152" s="33"/>
      <c r="F3152" s="56"/>
      <c r="G3152" s="33"/>
      <c r="H3152" s="33"/>
      <c r="I3152" s="33"/>
      <c r="J3152" s="57"/>
      <c r="K3152" s="33"/>
      <c r="L3152" s="57"/>
      <c r="M3152" s="33"/>
      <c r="N3152" s="56"/>
      <c r="O3152" s="64"/>
      <c r="P3152" s="62"/>
      <c r="Q3152" s="64"/>
      <c r="R3152" s="33"/>
      <c r="S3152" s="61"/>
      <c r="T3152" s="33"/>
      <c r="W3152" s="61"/>
      <c r="AF3152" s="60"/>
    </row>
    <row r="3153" spans="2:32" ht="16">
      <c r="B3153" s="67" t="str">
        <f t="shared" si="13"/>
        <v/>
      </c>
      <c r="C3153" s="33"/>
      <c r="D3153" s="33"/>
      <c r="E3153" s="33"/>
      <c r="F3153" s="56"/>
      <c r="G3153" s="33"/>
      <c r="H3153" s="33"/>
      <c r="I3153" s="33"/>
      <c r="J3153" s="57"/>
      <c r="K3153" s="33"/>
      <c r="L3153" s="57"/>
      <c r="M3153" s="33"/>
      <c r="N3153" s="56"/>
      <c r="O3153" s="64"/>
      <c r="P3153" s="62"/>
      <c r="Q3153" s="64"/>
      <c r="R3153" s="33"/>
      <c r="S3153" s="61"/>
      <c r="T3153" s="33"/>
      <c r="W3153" s="61"/>
      <c r="AF3153" s="60"/>
    </row>
    <row r="3154" spans="2:32" ht="16">
      <c r="B3154" s="67" t="str">
        <f t="shared" si="13"/>
        <v/>
      </c>
      <c r="C3154" s="33"/>
      <c r="D3154" s="33"/>
      <c r="E3154" s="33"/>
      <c r="F3154" s="56"/>
      <c r="G3154" s="33"/>
      <c r="H3154" s="33"/>
      <c r="I3154" s="33"/>
      <c r="J3154" s="57"/>
      <c r="K3154" s="33"/>
      <c r="L3154" s="57"/>
      <c r="M3154" s="33"/>
      <c r="N3154" s="56"/>
      <c r="O3154" s="64"/>
      <c r="P3154" s="62"/>
      <c r="Q3154" s="64"/>
      <c r="R3154" s="33"/>
      <c r="S3154" s="61"/>
      <c r="T3154" s="33"/>
      <c r="W3154" s="61"/>
      <c r="AF3154" s="60"/>
    </row>
    <row r="3155" spans="2:32" ht="16">
      <c r="B3155" s="67" t="str">
        <f t="shared" si="13"/>
        <v/>
      </c>
      <c r="C3155" s="33"/>
      <c r="D3155" s="33"/>
      <c r="E3155" s="33"/>
      <c r="F3155" s="56"/>
      <c r="G3155" s="33"/>
      <c r="H3155" s="33"/>
      <c r="I3155" s="33"/>
      <c r="J3155" s="57"/>
      <c r="K3155" s="33"/>
      <c r="L3155" s="57"/>
      <c r="M3155" s="33"/>
      <c r="N3155" s="56"/>
      <c r="O3155" s="64"/>
      <c r="P3155" s="62"/>
      <c r="Q3155" s="64"/>
      <c r="R3155" s="33"/>
      <c r="S3155" s="61"/>
      <c r="T3155" s="33"/>
      <c r="W3155" s="61"/>
      <c r="AF3155" s="60"/>
    </row>
    <row r="3156" spans="2:32" ht="16">
      <c r="B3156" s="67" t="str">
        <f t="shared" si="13"/>
        <v/>
      </c>
      <c r="C3156" s="33"/>
      <c r="D3156" s="33"/>
      <c r="E3156" s="33"/>
      <c r="F3156" s="56"/>
      <c r="G3156" s="33"/>
      <c r="H3156" s="33"/>
      <c r="I3156" s="33"/>
      <c r="J3156" s="57"/>
      <c r="K3156" s="33"/>
      <c r="L3156" s="57"/>
      <c r="M3156" s="33"/>
      <c r="N3156" s="56"/>
      <c r="O3156" s="64"/>
      <c r="P3156" s="62"/>
      <c r="Q3156" s="64"/>
      <c r="R3156" s="33"/>
      <c r="S3156" s="61"/>
      <c r="T3156" s="33"/>
      <c r="W3156" s="61"/>
      <c r="AF3156" s="60"/>
    </row>
    <row r="3157" spans="2:32" ht="16">
      <c r="B3157" s="67" t="str">
        <f t="shared" si="13"/>
        <v/>
      </c>
      <c r="C3157" s="33"/>
      <c r="D3157" s="33"/>
      <c r="E3157" s="33"/>
      <c r="F3157" s="56"/>
      <c r="G3157" s="33"/>
      <c r="H3157" s="33"/>
      <c r="I3157" s="33"/>
      <c r="J3157" s="57"/>
      <c r="K3157" s="33"/>
      <c r="L3157" s="57"/>
      <c r="M3157" s="33"/>
      <c r="N3157" s="56"/>
      <c r="O3157" s="64"/>
      <c r="P3157" s="62"/>
      <c r="Q3157" s="64"/>
      <c r="R3157" s="33"/>
      <c r="S3157" s="61"/>
      <c r="T3157" s="33"/>
      <c r="W3157" s="61"/>
      <c r="AF3157" s="60"/>
    </row>
    <row r="3158" spans="2:32" ht="16">
      <c r="B3158" s="67" t="str">
        <f t="shared" si="13"/>
        <v/>
      </c>
      <c r="C3158" s="33"/>
      <c r="D3158" s="33"/>
      <c r="E3158" s="33"/>
      <c r="F3158" s="56"/>
      <c r="G3158" s="33"/>
      <c r="H3158" s="33"/>
      <c r="I3158" s="33"/>
      <c r="J3158" s="57"/>
      <c r="K3158" s="33"/>
      <c r="L3158" s="57"/>
      <c r="M3158" s="33"/>
      <c r="N3158" s="56"/>
      <c r="O3158" s="64"/>
      <c r="P3158" s="62"/>
      <c r="Q3158" s="64"/>
      <c r="R3158" s="33"/>
      <c r="S3158" s="61"/>
      <c r="T3158" s="33"/>
      <c r="W3158" s="61"/>
      <c r="AF3158" s="60"/>
    </row>
    <row r="3159" spans="2:32" ht="16">
      <c r="B3159" s="67" t="str">
        <f t="shared" si="13"/>
        <v/>
      </c>
      <c r="C3159" s="33"/>
      <c r="D3159" s="33"/>
      <c r="E3159" s="33"/>
      <c r="F3159" s="56"/>
      <c r="G3159" s="33"/>
      <c r="H3159" s="33"/>
      <c r="I3159" s="33"/>
      <c r="J3159" s="57"/>
      <c r="K3159" s="33"/>
      <c r="L3159" s="57"/>
      <c r="M3159" s="33"/>
      <c r="N3159" s="56"/>
      <c r="O3159" s="64"/>
      <c r="P3159" s="62"/>
      <c r="Q3159" s="64"/>
      <c r="R3159" s="33"/>
      <c r="S3159" s="61"/>
      <c r="T3159" s="33"/>
      <c r="W3159" s="61"/>
      <c r="AF3159" s="60"/>
    </row>
    <row r="3160" spans="2:32" ht="16">
      <c r="B3160" s="67" t="str">
        <f t="shared" si="13"/>
        <v/>
      </c>
      <c r="C3160" s="33"/>
      <c r="D3160" s="33"/>
      <c r="E3160" s="33"/>
      <c r="F3160" s="56"/>
      <c r="G3160" s="33"/>
      <c r="H3160" s="33"/>
      <c r="I3160" s="33"/>
      <c r="J3160" s="57"/>
      <c r="K3160" s="33"/>
      <c r="L3160" s="57"/>
      <c r="M3160" s="33"/>
      <c r="N3160" s="56"/>
      <c r="O3160" s="64"/>
      <c r="P3160" s="62"/>
      <c r="Q3160" s="64"/>
      <c r="R3160" s="33"/>
      <c r="S3160" s="61"/>
      <c r="T3160" s="33"/>
      <c r="W3160" s="61"/>
      <c r="AF3160" s="60"/>
    </row>
    <row r="3161" spans="2:32" ht="16">
      <c r="B3161" s="67" t="str">
        <f t="shared" si="13"/>
        <v/>
      </c>
      <c r="C3161" s="33"/>
      <c r="D3161" s="33"/>
      <c r="E3161" s="33"/>
      <c r="F3161" s="56"/>
      <c r="G3161" s="33"/>
      <c r="H3161" s="33"/>
      <c r="I3161" s="33"/>
      <c r="J3161" s="57"/>
      <c r="K3161" s="33"/>
      <c r="L3161" s="57"/>
      <c r="M3161" s="33"/>
      <c r="N3161" s="56"/>
      <c r="O3161" s="64"/>
      <c r="P3161" s="62"/>
      <c r="Q3161" s="64"/>
      <c r="R3161" s="33"/>
      <c r="S3161" s="61"/>
      <c r="T3161" s="33"/>
      <c r="W3161" s="61"/>
      <c r="AF3161" s="60"/>
    </row>
    <row r="3162" spans="2:32" ht="16">
      <c r="B3162" s="67" t="str">
        <f t="shared" si="13"/>
        <v/>
      </c>
      <c r="C3162" s="33"/>
      <c r="D3162" s="33"/>
      <c r="E3162" s="33"/>
      <c r="F3162" s="56"/>
      <c r="G3162" s="33"/>
      <c r="H3162" s="33"/>
      <c r="I3162" s="33"/>
      <c r="J3162" s="57"/>
      <c r="K3162" s="33"/>
      <c r="L3162" s="57"/>
      <c r="M3162" s="33"/>
      <c r="N3162" s="56"/>
      <c r="O3162" s="64"/>
      <c r="P3162" s="62"/>
      <c r="Q3162" s="64"/>
      <c r="R3162" s="33"/>
      <c r="S3162" s="61"/>
      <c r="T3162" s="33"/>
      <c r="W3162" s="61"/>
      <c r="AF3162" s="60"/>
    </row>
    <row r="3163" spans="2:32" ht="16">
      <c r="B3163" s="67" t="str">
        <f t="shared" si="13"/>
        <v/>
      </c>
      <c r="C3163" s="33"/>
      <c r="D3163" s="33"/>
      <c r="E3163" s="33"/>
      <c r="F3163" s="56"/>
      <c r="G3163" s="33"/>
      <c r="H3163" s="33"/>
      <c r="I3163" s="33"/>
      <c r="J3163" s="57"/>
      <c r="K3163" s="33"/>
      <c r="L3163" s="57"/>
      <c r="M3163" s="33"/>
      <c r="N3163" s="56"/>
      <c r="O3163" s="64"/>
      <c r="P3163" s="62"/>
      <c r="Q3163" s="64"/>
      <c r="R3163" s="33"/>
      <c r="S3163" s="61"/>
      <c r="T3163" s="33"/>
      <c r="W3163" s="61"/>
      <c r="AF3163" s="60"/>
    </row>
    <row r="3164" spans="2:32" ht="16">
      <c r="B3164" s="67" t="str">
        <f t="shared" si="13"/>
        <v/>
      </c>
      <c r="C3164" s="33"/>
      <c r="D3164" s="33"/>
      <c r="E3164" s="33"/>
      <c r="F3164" s="56"/>
      <c r="G3164" s="33"/>
      <c r="H3164" s="33"/>
      <c r="I3164" s="33"/>
      <c r="J3164" s="57"/>
      <c r="K3164" s="33"/>
      <c r="L3164" s="57"/>
      <c r="M3164" s="33"/>
      <c r="N3164" s="56"/>
      <c r="O3164" s="64"/>
      <c r="P3164" s="62"/>
      <c r="Q3164" s="64"/>
      <c r="R3164" s="33"/>
      <c r="S3164" s="61"/>
      <c r="T3164" s="33"/>
      <c r="W3164" s="61"/>
      <c r="AF3164" s="60"/>
    </row>
    <row r="3165" spans="2:32" ht="16">
      <c r="B3165" s="67" t="str">
        <f t="shared" si="13"/>
        <v/>
      </c>
      <c r="C3165" s="33"/>
      <c r="D3165" s="33"/>
      <c r="E3165" s="33"/>
      <c r="F3165" s="56"/>
      <c r="G3165" s="33"/>
      <c r="H3165" s="33"/>
      <c r="I3165" s="33"/>
      <c r="J3165" s="57"/>
      <c r="K3165" s="33"/>
      <c r="L3165" s="57"/>
      <c r="M3165" s="33"/>
      <c r="N3165" s="56"/>
      <c r="O3165" s="64"/>
      <c r="P3165" s="62"/>
      <c r="Q3165" s="64"/>
      <c r="R3165" s="33"/>
      <c r="S3165" s="61"/>
      <c r="T3165" s="33"/>
      <c r="W3165" s="61"/>
      <c r="AF3165" s="60"/>
    </row>
    <row r="3166" spans="2:32" ht="16">
      <c r="B3166" s="67" t="str">
        <f t="shared" si="13"/>
        <v/>
      </c>
      <c r="C3166" s="33"/>
      <c r="D3166" s="33"/>
      <c r="E3166" s="33"/>
      <c r="F3166" s="56"/>
      <c r="G3166" s="33"/>
      <c r="H3166" s="33"/>
      <c r="I3166" s="33"/>
      <c r="J3166" s="57"/>
      <c r="K3166" s="33"/>
      <c r="L3166" s="57"/>
      <c r="M3166" s="33"/>
      <c r="N3166" s="56"/>
      <c r="O3166" s="64"/>
      <c r="P3166" s="62"/>
      <c r="Q3166" s="64"/>
      <c r="R3166" s="33"/>
      <c r="S3166" s="61"/>
      <c r="T3166" s="33"/>
      <c r="W3166" s="61"/>
      <c r="AF3166" s="60"/>
    </row>
    <row r="3167" spans="2:32" ht="16">
      <c r="B3167" s="67" t="str">
        <f t="shared" si="13"/>
        <v/>
      </c>
      <c r="C3167" s="33"/>
      <c r="D3167" s="33"/>
      <c r="E3167" s="33"/>
      <c r="F3167" s="56"/>
      <c r="G3167" s="33"/>
      <c r="H3167" s="33"/>
      <c r="I3167" s="33"/>
      <c r="J3167" s="57"/>
      <c r="K3167" s="33"/>
      <c r="L3167" s="57"/>
      <c r="M3167" s="33"/>
      <c r="N3167" s="56"/>
      <c r="O3167" s="64"/>
      <c r="P3167" s="62"/>
      <c r="Q3167" s="64"/>
      <c r="R3167" s="33"/>
      <c r="S3167" s="61"/>
      <c r="T3167" s="33"/>
      <c r="W3167" s="61"/>
      <c r="AF3167" s="60"/>
    </row>
    <row r="3168" spans="2:32" ht="16">
      <c r="B3168" s="67" t="str">
        <f t="shared" si="13"/>
        <v/>
      </c>
      <c r="C3168" s="33"/>
      <c r="D3168" s="33"/>
      <c r="E3168" s="33"/>
      <c r="F3168" s="56"/>
      <c r="G3168" s="33"/>
      <c r="H3168" s="33"/>
      <c r="I3168" s="33"/>
      <c r="J3168" s="57"/>
      <c r="K3168" s="33"/>
      <c r="L3168" s="57"/>
      <c r="M3168" s="33"/>
      <c r="N3168" s="56"/>
      <c r="O3168" s="64"/>
      <c r="P3168" s="62"/>
      <c r="Q3168" s="64"/>
      <c r="R3168" s="33"/>
      <c r="S3168" s="61"/>
      <c r="T3168" s="33"/>
      <c r="W3168" s="61"/>
      <c r="AF3168" s="60"/>
    </row>
    <row r="3169" spans="2:32" ht="16">
      <c r="B3169" s="67" t="str">
        <f t="shared" si="13"/>
        <v/>
      </c>
      <c r="C3169" s="33"/>
      <c r="D3169" s="33"/>
      <c r="E3169" s="33"/>
      <c r="F3169" s="56"/>
      <c r="G3169" s="33"/>
      <c r="H3169" s="33"/>
      <c r="I3169" s="33"/>
      <c r="J3169" s="57"/>
      <c r="K3169" s="33"/>
      <c r="L3169" s="57"/>
      <c r="M3169" s="33"/>
      <c r="N3169" s="56"/>
      <c r="O3169" s="64"/>
      <c r="P3169" s="62"/>
      <c r="Q3169" s="64"/>
      <c r="R3169" s="33"/>
      <c r="S3169" s="61"/>
      <c r="T3169" s="33"/>
      <c r="W3169" s="61"/>
      <c r="AF3169" s="60"/>
    </row>
    <row r="3170" spans="2:32" ht="16">
      <c r="B3170" s="67" t="str">
        <f t="shared" si="13"/>
        <v/>
      </c>
      <c r="C3170" s="33"/>
      <c r="D3170" s="33"/>
      <c r="E3170" s="33"/>
      <c r="F3170" s="56"/>
      <c r="G3170" s="33"/>
      <c r="H3170" s="33"/>
      <c r="I3170" s="33"/>
      <c r="J3170" s="57"/>
      <c r="K3170" s="33"/>
      <c r="L3170" s="57"/>
      <c r="M3170" s="33"/>
      <c r="N3170" s="56"/>
      <c r="O3170" s="64"/>
      <c r="P3170" s="62"/>
      <c r="Q3170" s="64"/>
      <c r="R3170" s="33"/>
      <c r="S3170" s="61"/>
      <c r="T3170" s="33"/>
      <c r="W3170" s="61"/>
      <c r="AF3170" s="60"/>
    </row>
    <row r="3171" spans="2:32" ht="16">
      <c r="B3171" s="67" t="str">
        <f t="shared" si="13"/>
        <v/>
      </c>
      <c r="C3171" s="33"/>
      <c r="D3171" s="33"/>
      <c r="E3171" s="33"/>
      <c r="F3171" s="56"/>
      <c r="G3171" s="33"/>
      <c r="H3171" s="33"/>
      <c r="I3171" s="33"/>
      <c r="J3171" s="57"/>
      <c r="K3171" s="33"/>
      <c r="L3171" s="57"/>
      <c r="M3171" s="33"/>
      <c r="N3171" s="56"/>
      <c r="O3171" s="64"/>
      <c r="P3171" s="62"/>
      <c r="Q3171" s="64"/>
      <c r="R3171" s="33"/>
      <c r="S3171" s="61"/>
      <c r="T3171" s="33"/>
      <c r="W3171" s="61"/>
      <c r="AF3171" s="60"/>
    </row>
    <row r="3172" spans="2:32" ht="16">
      <c r="B3172" s="67" t="str">
        <f t="shared" si="13"/>
        <v/>
      </c>
      <c r="C3172" s="33"/>
      <c r="D3172" s="33"/>
      <c r="E3172" s="33"/>
      <c r="F3172" s="56"/>
      <c r="G3172" s="33"/>
      <c r="H3172" s="33"/>
      <c r="I3172" s="33"/>
      <c r="J3172" s="57"/>
      <c r="K3172" s="33"/>
      <c r="L3172" s="57"/>
      <c r="M3172" s="33"/>
      <c r="N3172" s="56"/>
      <c r="O3172" s="64"/>
      <c r="P3172" s="62"/>
      <c r="Q3172" s="64"/>
      <c r="R3172" s="33"/>
      <c r="S3172" s="61"/>
      <c r="T3172" s="33"/>
      <c r="W3172" s="61"/>
      <c r="AF3172" s="60"/>
    </row>
    <row r="3173" spans="2:32" ht="16">
      <c r="B3173" s="67" t="str">
        <f t="shared" si="13"/>
        <v/>
      </c>
      <c r="C3173" s="33"/>
      <c r="D3173" s="33"/>
      <c r="E3173" s="33"/>
      <c r="F3173" s="56"/>
      <c r="G3173" s="33"/>
      <c r="H3173" s="33"/>
      <c r="I3173" s="33"/>
      <c r="J3173" s="57"/>
      <c r="K3173" s="33"/>
      <c r="L3173" s="57"/>
      <c r="M3173" s="33"/>
      <c r="N3173" s="56"/>
      <c r="O3173" s="64"/>
      <c r="P3173" s="62"/>
      <c r="Q3173" s="64"/>
      <c r="R3173" s="33"/>
      <c r="S3173" s="61"/>
      <c r="T3173" s="33"/>
      <c r="W3173" s="61"/>
      <c r="AF3173" s="60"/>
    </row>
    <row r="3174" spans="2:32" ht="16">
      <c r="B3174" s="67" t="str">
        <f t="shared" si="13"/>
        <v/>
      </c>
      <c r="C3174" s="33"/>
      <c r="D3174" s="33"/>
      <c r="E3174" s="33"/>
      <c r="F3174" s="56"/>
      <c r="G3174" s="33"/>
      <c r="H3174" s="33"/>
      <c r="I3174" s="33"/>
      <c r="J3174" s="57"/>
      <c r="K3174" s="33"/>
      <c r="L3174" s="57"/>
      <c r="M3174" s="33"/>
      <c r="N3174" s="56"/>
      <c r="O3174" s="64"/>
      <c r="P3174" s="62"/>
      <c r="Q3174" s="64"/>
      <c r="R3174" s="33"/>
      <c r="S3174" s="61"/>
      <c r="T3174" s="33"/>
      <c r="W3174" s="61"/>
      <c r="AF3174" s="60"/>
    </row>
    <row r="3175" spans="2:32" ht="16">
      <c r="B3175" s="67" t="str">
        <f t="shared" si="13"/>
        <v/>
      </c>
      <c r="C3175" s="33"/>
      <c r="D3175" s="33"/>
      <c r="E3175" s="33"/>
      <c r="F3175" s="56"/>
      <c r="G3175" s="33"/>
      <c r="H3175" s="33"/>
      <c r="I3175" s="33"/>
      <c r="J3175" s="57"/>
      <c r="K3175" s="33"/>
      <c r="L3175" s="57"/>
      <c r="M3175" s="33"/>
      <c r="N3175" s="56"/>
      <c r="O3175" s="64"/>
      <c r="P3175" s="62"/>
      <c r="Q3175" s="64"/>
      <c r="R3175" s="33"/>
      <c r="S3175" s="61"/>
      <c r="T3175" s="33"/>
      <c r="W3175" s="61"/>
      <c r="AF3175" s="60"/>
    </row>
    <row r="3176" spans="2:32" ht="16">
      <c r="B3176" s="67" t="str">
        <f t="shared" si="13"/>
        <v/>
      </c>
      <c r="C3176" s="33"/>
      <c r="D3176" s="33"/>
      <c r="E3176" s="33"/>
      <c r="F3176" s="56"/>
      <c r="G3176" s="33"/>
      <c r="H3176" s="33"/>
      <c r="I3176" s="33"/>
      <c r="J3176" s="57"/>
      <c r="K3176" s="33"/>
      <c r="L3176" s="57"/>
      <c r="M3176" s="33"/>
      <c r="N3176" s="56"/>
      <c r="O3176" s="64"/>
      <c r="P3176" s="62"/>
      <c r="Q3176" s="64"/>
      <c r="R3176" s="33"/>
      <c r="S3176" s="61"/>
      <c r="T3176" s="33"/>
      <c r="W3176" s="61"/>
      <c r="AF3176" s="60"/>
    </row>
    <row r="3177" spans="2:32" ht="16">
      <c r="B3177" s="67" t="str">
        <f t="shared" si="13"/>
        <v/>
      </c>
      <c r="C3177" s="33"/>
      <c r="D3177" s="33"/>
      <c r="E3177" s="33"/>
      <c r="F3177" s="56"/>
      <c r="G3177" s="33"/>
      <c r="H3177" s="33"/>
      <c r="I3177" s="33"/>
      <c r="J3177" s="57"/>
      <c r="K3177" s="33"/>
      <c r="L3177" s="57"/>
      <c r="M3177" s="33"/>
      <c r="N3177" s="56"/>
      <c r="O3177" s="64"/>
      <c r="P3177" s="62"/>
      <c r="Q3177" s="64"/>
      <c r="R3177" s="33"/>
      <c r="S3177" s="61"/>
      <c r="T3177" s="33"/>
      <c r="W3177" s="61"/>
      <c r="AF3177" s="60"/>
    </row>
    <row r="3178" spans="2:32" ht="16">
      <c r="B3178" s="67" t="str">
        <f t="shared" si="13"/>
        <v/>
      </c>
      <c r="C3178" s="33"/>
      <c r="D3178" s="33"/>
      <c r="E3178" s="33"/>
      <c r="F3178" s="56"/>
      <c r="G3178" s="33"/>
      <c r="H3178" s="33"/>
      <c r="I3178" s="33"/>
      <c r="J3178" s="57"/>
      <c r="K3178" s="33"/>
      <c r="L3178" s="57"/>
      <c r="M3178" s="33"/>
      <c r="N3178" s="56"/>
      <c r="O3178" s="64"/>
      <c r="P3178" s="62"/>
      <c r="Q3178" s="64"/>
      <c r="R3178" s="33"/>
      <c r="S3178" s="61"/>
      <c r="T3178" s="33"/>
      <c r="W3178" s="61"/>
      <c r="AF3178" s="60"/>
    </row>
    <row r="3179" spans="2:32" ht="16">
      <c r="B3179" s="67" t="str">
        <f t="shared" si="13"/>
        <v/>
      </c>
      <c r="C3179" s="33"/>
      <c r="D3179" s="33"/>
      <c r="E3179" s="33"/>
      <c r="F3179" s="56"/>
      <c r="G3179" s="33"/>
      <c r="H3179" s="33"/>
      <c r="I3179" s="33"/>
      <c r="J3179" s="57"/>
      <c r="K3179" s="33"/>
      <c r="L3179" s="57"/>
      <c r="M3179" s="33"/>
      <c r="N3179" s="56"/>
      <c r="O3179" s="64"/>
      <c r="P3179" s="62"/>
      <c r="Q3179" s="64"/>
      <c r="R3179" s="33"/>
      <c r="S3179" s="61"/>
      <c r="T3179" s="33"/>
      <c r="W3179" s="61"/>
      <c r="AF3179" s="60"/>
    </row>
    <row r="3180" spans="2:32" ht="16">
      <c r="B3180" s="67" t="str">
        <f t="shared" si="13"/>
        <v/>
      </c>
      <c r="C3180" s="33"/>
      <c r="D3180" s="33"/>
      <c r="E3180" s="33"/>
      <c r="F3180" s="56"/>
      <c r="G3180" s="33"/>
      <c r="H3180" s="33"/>
      <c r="I3180" s="33"/>
      <c r="J3180" s="57"/>
      <c r="K3180" s="33"/>
      <c r="L3180" s="57"/>
      <c r="M3180" s="33"/>
      <c r="N3180" s="56"/>
      <c r="O3180" s="64"/>
      <c r="P3180" s="62"/>
      <c r="Q3180" s="64"/>
      <c r="R3180" s="33"/>
      <c r="S3180" s="61"/>
      <c r="T3180" s="33"/>
      <c r="W3180" s="61"/>
      <c r="AF3180" s="60"/>
    </row>
    <row r="3181" spans="2:32" ht="16">
      <c r="B3181" s="67" t="str">
        <f t="shared" si="13"/>
        <v/>
      </c>
      <c r="C3181" s="33"/>
      <c r="D3181" s="33"/>
      <c r="E3181" s="33"/>
      <c r="F3181" s="56"/>
      <c r="G3181" s="33"/>
      <c r="H3181" s="33"/>
      <c r="I3181" s="33"/>
      <c r="J3181" s="57"/>
      <c r="K3181" s="33"/>
      <c r="L3181" s="57"/>
      <c r="M3181" s="33"/>
      <c r="N3181" s="56"/>
      <c r="O3181" s="64"/>
      <c r="P3181" s="62"/>
      <c r="Q3181" s="64"/>
      <c r="R3181" s="33"/>
      <c r="S3181" s="61"/>
      <c r="T3181" s="33"/>
      <c r="W3181" s="61"/>
      <c r="AF3181" s="60"/>
    </row>
    <row r="3182" spans="2:32" ht="16">
      <c r="B3182" s="67" t="str">
        <f t="shared" si="13"/>
        <v/>
      </c>
      <c r="C3182" s="33"/>
      <c r="D3182" s="33"/>
      <c r="E3182" s="33"/>
      <c r="F3182" s="56"/>
      <c r="G3182" s="33"/>
      <c r="H3182" s="33"/>
      <c r="I3182" s="33"/>
      <c r="J3182" s="57"/>
      <c r="K3182" s="33"/>
      <c r="L3182" s="57"/>
      <c r="M3182" s="33"/>
      <c r="N3182" s="56"/>
      <c r="O3182" s="64"/>
      <c r="P3182" s="62"/>
      <c r="Q3182" s="64"/>
      <c r="R3182" s="33"/>
      <c r="S3182" s="61"/>
      <c r="T3182" s="33"/>
      <c r="W3182" s="61"/>
      <c r="AF3182" s="60"/>
    </row>
    <row r="3183" spans="2:32" ht="16">
      <c r="B3183" s="67" t="str">
        <f t="shared" si="13"/>
        <v/>
      </c>
      <c r="C3183" s="33"/>
      <c r="D3183" s="33"/>
      <c r="E3183" s="33"/>
      <c r="F3183" s="56"/>
      <c r="G3183" s="33"/>
      <c r="H3183" s="33"/>
      <c r="I3183" s="33"/>
      <c r="J3183" s="57"/>
      <c r="K3183" s="33"/>
      <c r="L3183" s="57"/>
      <c r="M3183" s="33"/>
      <c r="N3183" s="56"/>
      <c r="O3183" s="64"/>
      <c r="P3183" s="62"/>
      <c r="Q3183" s="64"/>
      <c r="R3183" s="33"/>
      <c r="S3183" s="61"/>
      <c r="T3183" s="33"/>
      <c r="W3183" s="61"/>
      <c r="AF3183" s="60"/>
    </row>
    <row r="3184" spans="2:32" ht="16">
      <c r="B3184" s="67" t="str">
        <f t="shared" si="13"/>
        <v/>
      </c>
      <c r="C3184" s="33"/>
      <c r="D3184" s="33"/>
      <c r="E3184" s="33"/>
      <c r="F3184" s="56"/>
      <c r="G3184" s="33"/>
      <c r="H3184" s="33"/>
      <c r="I3184" s="33"/>
      <c r="J3184" s="57"/>
      <c r="K3184" s="33"/>
      <c r="L3184" s="57"/>
      <c r="M3184" s="33"/>
      <c r="N3184" s="56"/>
      <c r="O3184" s="64"/>
      <c r="P3184" s="62"/>
      <c r="Q3184" s="64"/>
      <c r="R3184" s="33"/>
      <c r="S3184" s="61"/>
      <c r="T3184" s="33"/>
      <c r="W3184" s="61"/>
      <c r="AF3184" s="60"/>
    </row>
    <row r="3185" spans="2:32" ht="16">
      <c r="B3185" s="67" t="str">
        <f t="shared" si="13"/>
        <v/>
      </c>
      <c r="C3185" s="33"/>
      <c r="D3185" s="33"/>
      <c r="E3185" s="33"/>
      <c r="F3185" s="56"/>
      <c r="G3185" s="33"/>
      <c r="H3185" s="33"/>
      <c r="I3185" s="33"/>
      <c r="J3185" s="57"/>
      <c r="K3185" s="33"/>
      <c r="L3185" s="57"/>
      <c r="M3185" s="33"/>
      <c r="N3185" s="56"/>
      <c r="O3185" s="64"/>
      <c r="P3185" s="62"/>
      <c r="Q3185" s="64"/>
      <c r="R3185" s="33"/>
      <c r="S3185" s="61"/>
      <c r="T3185" s="33"/>
      <c r="W3185" s="61"/>
      <c r="AF3185" s="60"/>
    </row>
    <row r="3186" spans="2:32" ht="16">
      <c r="B3186" s="67" t="str">
        <f t="shared" si="13"/>
        <v/>
      </c>
      <c r="C3186" s="33"/>
      <c r="D3186" s="33"/>
      <c r="E3186" s="33"/>
      <c r="F3186" s="56"/>
      <c r="G3186" s="33"/>
      <c r="H3186" s="33"/>
      <c r="I3186" s="33"/>
      <c r="J3186" s="57"/>
      <c r="K3186" s="33"/>
      <c r="L3186" s="57"/>
      <c r="M3186" s="33"/>
      <c r="N3186" s="56"/>
      <c r="O3186" s="64"/>
      <c r="P3186" s="62"/>
      <c r="Q3186" s="64"/>
      <c r="R3186" s="33"/>
      <c r="S3186" s="61"/>
      <c r="T3186" s="33"/>
      <c r="W3186" s="61"/>
      <c r="AF3186" s="60"/>
    </row>
    <row r="3187" spans="2:32" ht="16">
      <c r="B3187" s="67" t="str">
        <f t="shared" si="13"/>
        <v/>
      </c>
      <c r="C3187" s="33"/>
      <c r="D3187" s="33"/>
      <c r="E3187" s="33"/>
      <c r="F3187" s="56"/>
      <c r="G3187" s="33"/>
      <c r="H3187" s="33"/>
      <c r="I3187" s="33"/>
      <c r="J3187" s="57"/>
      <c r="K3187" s="33"/>
      <c r="L3187" s="57"/>
      <c r="M3187" s="33"/>
      <c r="N3187" s="56"/>
      <c r="O3187" s="64"/>
      <c r="P3187" s="62"/>
      <c r="Q3187" s="64"/>
      <c r="R3187" s="33"/>
      <c r="S3187" s="61"/>
      <c r="T3187" s="33"/>
      <c r="W3187" s="61"/>
      <c r="AF3187" s="60"/>
    </row>
    <row r="3188" spans="2:32" ht="16">
      <c r="B3188" s="67" t="str">
        <f t="shared" si="13"/>
        <v/>
      </c>
      <c r="C3188" s="33"/>
      <c r="D3188" s="33"/>
      <c r="E3188" s="33"/>
      <c r="F3188" s="56"/>
      <c r="G3188" s="33"/>
      <c r="H3188" s="33"/>
      <c r="I3188" s="33"/>
      <c r="J3188" s="57"/>
      <c r="K3188" s="33"/>
      <c r="L3188" s="57"/>
      <c r="M3188" s="33"/>
      <c r="N3188" s="56"/>
      <c r="O3188" s="64"/>
      <c r="P3188" s="62"/>
      <c r="Q3188" s="64"/>
      <c r="R3188" s="33"/>
      <c r="S3188" s="61"/>
      <c r="T3188" s="33"/>
      <c r="W3188" s="61"/>
      <c r="AF3188" s="60"/>
    </row>
    <row r="3189" spans="2:32" ht="16">
      <c r="B3189" s="67" t="str">
        <f t="shared" si="13"/>
        <v/>
      </c>
      <c r="C3189" s="33"/>
      <c r="D3189" s="33"/>
      <c r="E3189" s="33"/>
      <c r="F3189" s="56"/>
      <c r="G3189" s="33"/>
      <c r="H3189" s="33"/>
      <c r="I3189" s="33"/>
      <c r="J3189" s="57"/>
      <c r="K3189" s="33"/>
      <c r="L3189" s="57"/>
      <c r="M3189" s="33"/>
      <c r="N3189" s="56"/>
      <c r="O3189" s="64"/>
      <c r="P3189" s="62"/>
      <c r="Q3189" s="64"/>
      <c r="R3189" s="33"/>
      <c r="S3189" s="61"/>
      <c r="T3189" s="33"/>
      <c r="W3189" s="61"/>
      <c r="AF3189" s="60"/>
    </row>
    <row r="3190" spans="2:32" ht="16">
      <c r="B3190" s="67" t="str">
        <f t="shared" si="13"/>
        <v/>
      </c>
      <c r="C3190" s="33"/>
      <c r="D3190" s="33"/>
      <c r="E3190" s="33"/>
      <c r="F3190" s="56"/>
      <c r="G3190" s="33"/>
      <c r="H3190" s="33"/>
      <c r="I3190" s="33"/>
      <c r="J3190" s="57"/>
      <c r="K3190" s="33"/>
      <c r="L3190" s="57"/>
      <c r="M3190" s="33"/>
      <c r="N3190" s="56"/>
      <c r="O3190" s="64"/>
      <c r="P3190" s="62"/>
      <c r="Q3190" s="64"/>
      <c r="R3190" s="33"/>
      <c r="S3190" s="61"/>
      <c r="T3190" s="33"/>
      <c r="W3190" s="61"/>
      <c r="AF3190" s="60"/>
    </row>
    <row r="3191" spans="2:32" ht="16">
      <c r="B3191" s="67" t="str">
        <f t="shared" si="13"/>
        <v/>
      </c>
      <c r="C3191" s="33"/>
      <c r="D3191" s="33"/>
      <c r="E3191" s="33"/>
      <c r="F3191" s="56"/>
      <c r="G3191" s="33"/>
      <c r="H3191" s="33"/>
      <c r="I3191" s="33"/>
      <c r="J3191" s="57"/>
      <c r="K3191" s="33"/>
      <c r="L3191" s="57"/>
      <c r="M3191" s="33"/>
      <c r="N3191" s="56"/>
      <c r="O3191" s="64"/>
      <c r="P3191" s="62"/>
      <c r="Q3191" s="64"/>
      <c r="R3191" s="33"/>
      <c r="S3191" s="61"/>
      <c r="T3191" s="33"/>
      <c r="W3191" s="61"/>
      <c r="AF3191" s="60"/>
    </row>
    <row r="3192" spans="2:32" ht="16">
      <c r="B3192" s="67" t="str">
        <f t="shared" si="13"/>
        <v/>
      </c>
      <c r="C3192" s="33"/>
      <c r="D3192" s="33"/>
      <c r="E3192" s="33"/>
      <c r="F3192" s="56"/>
      <c r="G3192" s="33"/>
      <c r="H3192" s="33"/>
      <c r="I3192" s="33"/>
      <c r="J3192" s="57"/>
      <c r="K3192" s="33"/>
      <c r="L3192" s="57"/>
      <c r="M3192" s="33"/>
      <c r="N3192" s="56"/>
      <c r="O3192" s="64"/>
      <c r="P3192" s="62"/>
      <c r="Q3192" s="64"/>
      <c r="R3192" s="33"/>
      <c r="S3192" s="61"/>
      <c r="T3192" s="33"/>
      <c r="W3192" s="61"/>
      <c r="AF3192" s="60"/>
    </row>
    <row r="3193" spans="2:32" ht="16">
      <c r="B3193" s="67" t="str">
        <f t="shared" si="13"/>
        <v/>
      </c>
      <c r="C3193" s="33"/>
      <c r="D3193" s="33"/>
      <c r="E3193" s="33"/>
      <c r="F3193" s="56"/>
      <c r="G3193" s="33"/>
      <c r="H3193" s="33"/>
      <c r="I3193" s="33"/>
      <c r="J3193" s="57"/>
      <c r="K3193" s="33"/>
      <c r="L3193" s="57"/>
      <c r="M3193" s="33"/>
      <c r="N3193" s="56"/>
      <c r="O3193" s="64"/>
      <c r="P3193" s="62"/>
      <c r="Q3193" s="64"/>
      <c r="R3193" s="33"/>
      <c r="S3193" s="61"/>
      <c r="T3193" s="33"/>
      <c r="W3193" s="61"/>
      <c r="AF3193" s="60"/>
    </row>
    <row r="3194" spans="2:32" ht="16">
      <c r="B3194" s="67" t="str">
        <f t="shared" si="13"/>
        <v/>
      </c>
      <c r="C3194" s="33"/>
      <c r="D3194" s="33"/>
      <c r="E3194" s="33"/>
      <c r="F3194" s="56"/>
      <c r="G3194" s="33"/>
      <c r="H3194" s="33"/>
      <c r="I3194" s="33"/>
      <c r="J3194" s="57"/>
      <c r="K3194" s="33"/>
      <c r="L3194" s="57"/>
      <c r="M3194" s="33"/>
      <c r="N3194" s="56"/>
      <c r="O3194" s="64"/>
      <c r="P3194" s="62"/>
      <c r="Q3194" s="64"/>
      <c r="R3194" s="33"/>
      <c r="S3194" s="61"/>
      <c r="T3194" s="33"/>
      <c r="W3194" s="61"/>
      <c r="AF3194" s="60"/>
    </row>
    <row r="3195" spans="2:32" ht="16">
      <c r="B3195" s="67" t="str">
        <f t="shared" si="13"/>
        <v/>
      </c>
      <c r="C3195" s="33"/>
      <c r="D3195" s="33"/>
      <c r="E3195" s="33"/>
      <c r="F3195" s="56"/>
      <c r="G3195" s="33"/>
      <c r="H3195" s="33"/>
      <c r="I3195" s="33"/>
      <c r="J3195" s="57"/>
      <c r="K3195" s="33"/>
      <c r="L3195" s="57"/>
      <c r="M3195" s="33"/>
      <c r="N3195" s="56"/>
      <c r="O3195" s="64"/>
      <c r="P3195" s="62"/>
      <c r="Q3195" s="64"/>
      <c r="R3195" s="33"/>
      <c r="S3195" s="61"/>
      <c r="T3195" s="33"/>
      <c r="W3195" s="61"/>
      <c r="AF3195" s="60"/>
    </row>
    <row r="3196" spans="2:32" ht="16">
      <c r="B3196" s="67" t="str">
        <f t="shared" si="13"/>
        <v/>
      </c>
      <c r="C3196" s="33"/>
      <c r="D3196" s="33"/>
      <c r="E3196" s="33"/>
      <c r="F3196" s="56"/>
      <c r="G3196" s="33"/>
      <c r="H3196" s="33"/>
      <c r="I3196" s="33"/>
      <c r="J3196" s="57"/>
      <c r="K3196" s="33"/>
      <c r="L3196" s="57"/>
      <c r="M3196" s="33"/>
      <c r="N3196" s="56"/>
      <c r="O3196" s="64"/>
      <c r="P3196" s="62"/>
      <c r="Q3196" s="64"/>
      <c r="R3196" s="33"/>
      <c r="S3196" s="61"/>
      <c r="T3196" s="33"/>
      <c r="W3196" s="61"/>
      <c r="AF3196" s="60"/>
    </row>
    <row r="3197" spans="2:32" ht="16">
      <c r="B3197" s="67" t="str">
        <f t="shared" si="13"/>
        <v/>
      </c>
      <c r="C3197" s="33"/>
      <c r="D3197" s="33"/>
      <c r="E3197" s="33"/>
      <c r="F3197" s="56"/>
      <c r="G3197" s="33"/>
      <c r="H3197" s="33"/>
      <c r="I3197" s="33"/>
      <c r="J3197" s="57"/>
      <c r="K3197" s="33"/>
      <c r="L3197" s="57"/>
      <c r="M3197" s="33"/>
      <c r="N3197" s="56"/>
      <c r="O3197" s="64"/>
      <c r="P3197" s="62"/>
      <c r="Q3197" s="64"/>
      <c r="R3197" s="33"/>
      <c r="S3197" s="61"/>
      <c r="T3197" s="33"/>
      <c r="W3197" s="61"/>
      <c r="AF3197" s="60"/>
    </row>
    <row r="3198" spans="2:32" ht="16">
      <c r="B3198" s="67" t="str">
        <f t="shared" si="13"/>
        <v/>
      </c>
      <c r="C3198" s="33"/>
      <c r="D3198" s="33"/>
      <c r="E3198" s="33"/>
      <c r="F3198" s="56"/>
      <c r="G3198" s="33"/>
      <c r="H3198" s="33"/>
      <c r="I3198" s="33"/>
      <c r="J3198" s="57"/>
      <c r="K3198" s="33"/>
      <c r="L3198" s="57"/>
      <c r="M3198" s="33"/>
      <c r="N3198" s="56"/>
      <c r="O3198" s="64"/>
      <c r="P3198" s="62"/>
      <c r="Q3198" s="64"/>
      <c r="R3198" s="33"/>
      <c r="S3198" s="61"/>
      <c r="T3198" s="33"/>
      <c r="W3198" s="61"/>
      <c r="AF3198" s="60"/>
    </row>
    <row r="3199" spans="2:32" ht="16">
      <c r="B3199" s="67" t="str">
        <f t="shared" si="13"/>
        <v/>
      </c>
      <c r="C3199" s="33"/>
      <c r="D3199" s="33"/>
      <c r="E3199" s="33"/>
      <c r="F3199" s="56"/>
      <c r="G3199" s="33"/>
      <c r="H3199" s="33"/>
      <c r="I3199" s="33"/>
      <c r="J3199" s="57"/>
      <c r="K3199" s="33"/>
      <c r="L3199" s="57"/>
      <c r="M3199" s="33"/>
      <c r="N3199" s="56"/>
      <c r="O3199" s="64"/>
      <c r="P3199" s="62"/>
      <c r="Q3199" s="64"/>
      <c r="R3199" s="33"/>
      <c r="S3199" s="61"/>
      <c r="T3199" s="33"/>
      <c r="W3199" s="61"/>
      <c r="AF3199" s="60"/>
    </row>
    <row r="3200" spans="2:32" ht="16">
      <c r="B3200" s="67" t="str">
        <f t="shared" si="13"/>
        <v/>
      </c>
      <c r="C3200" s="33"/>
      <c r="D3200" s="33"/>
      <c r="E3200" s="33"/>
      <c r="F3200" s="56"/>
      <c r="G3200" s="33"/>
      <c r="H3200" s="33"/>
      <c r="I3200" s="33"/>
      <c r="J3200" s="57"/>
      <c r="K3200" s="33"/>
      <c r="L3200" s="57"/>
      <c r="M3200" s="33"/>
      <c r="N3200" s="56"/>
      <c r="O3200" s="64"/>
      <c r="P3200" s="62"/>
      <c r="Q3200" s="64"/>
      <c r="R3200" s="33"/>
      <c r="S3200" s="61"/>
      <c r="T3200" s="33"/>
      <c r="W3200" s="61"/>
      <c r="AF3200" s="60"/>
    </row>
    <row r="3201" spans="2:32" ht="16">
      <c r="B3201" s="67" t="str">
        <f t="shared" si="13"/>
        <v/>
      </c>
      <c r="C3201" s="33"/>
      <c r="D3201" s="33"/>
      <c r="E3201" s="33"/>
      <c r="F3201" s="56"/>
      <c r="G3201" s="33"/>
      <c r="H3201" s="33"/>
      <c r="I3201" s="33"/>
      <c r="J3201" s="57"/>
      <c r="K3201" s="33"/>
      <c r="L3201" s="57"/>
      <c r="M3201" s="33"/>
      <c r="N3201" s="56"/>
      <c r="O3201" s="64"/>
      <c r="P3201" s="62"/>
      <c r="Q3201" s="64"/>
      <c r="R3201" s="33"/>
      <c r="S3201" s="61"/>
      <c r="T3201" s="33"/>
      <c r="W3201" s="61"/>
      <c r="AF3201" s="60"/>
    </row>
    <row r="3202" spans="2:32" ht="16">
      <c r="B3202" s="67" t="str">
        <f t="shared" si="13"/>
        <v/>
      </c>
      <c r="C3202" s="33"/>
      <c r="D3202" s="33"/>
      <c r="E3202" s="33"/>
      <c r="F3202" s="56"/>
      <c r="G3202" s="33"/>
      <c r="H3202" s="33"/>
      <c r="I3202" s="33"/>
      <c r="J3202" s="57"/>
      <c r="K3202" s="33"/>
      <c r="L3202" s="57"/>
      <c r="M3202" s="33"/>
      <c r="N3202" s="56"/>
      <c r="O3202" s="64"/>
      <c r="P3202" s="62"/>
      <c r="Q3202" s="64"/>
      <c r="R3202" s="33"/>
      <c r="S3202" s="61"/>
      <c r="T3202" s="33"/>
      <c r="W3202" s="61"/>
      <c r="AF3202" s="60"/>
    </row>
    <row r="3203" spans="2:32" ht="16">
      <c r="B3203" s="67" t="str">
        <f t="shared" si="13"/>
        <v/>
      </c>
      <c r="C3203" s="33"/>
      <c r="D3203" s="33"/>
      <c r="E3203" s="33"/>
      <c r="F3203" s="56"/>
      <c r="G3203" s="33"/>
      <c r="H3203" s="33"/>
      <c r="I3203" s="33"/>
      <c r="J3203" s="57"/>
      <c r="K3203" s="33"/>
      <c r="L3203" s="57"/>
      <c r="M3203" s="33"/>
      <c r="N3203" s="56"/>
      <c r="O3203" s="64"/>
      <c r="P3203" s="62"/>
      <c r="Q3203" s="64"/>
      <c r="R3203" s="33"/>
      <c r="S3203" s="61"/>
      <c r="T3203" s="33"/>
      <c r="W3203" s="61"/>
      <c r="AF3203" s="60"/>
    </row>
    <row r="3204" spans="2:32" ht="16">
      <c r="B3204" s="67" t="str">
        <f t="shared" si="13"/>
        <v/>
      </c>
      <c r="C3204" s="33"/>
      <c r="D3204" s="33"/>
      <c r="E3204" s="33"/>
      <c r="F3204" s="56"/>
      <c r="G3204" s="33"/>
      <c r="H3204" s="33"/>
      <c r="I3204" s="33"/>
      <c r="J3204" s="57"/>
      <c r="K3204" s="33"/>
      <c r="L3204" s="57"/>
      <c r="M3204" s="33"/>
      <c r="N3204" s="56"/>
      <c r="O3204" s="64"/>
      <c r="P3204" s="62"/>
      <c r="Q3204" s="64"/>
      <c r="R3204" s="33"/>
      <c r="S3204" s="61"/>
      <c r="T3204" s="33"/>
      <c r="W3204" s="61"/>
      <c r="AF3204" s="60"/>
    </row>
    <row r="3205" spans="2:32" ht="16">
      <c r="B3205" s="67" t="str">
        <f t="shared" si="13"/>
        <v/>
      </c>
      <c r="C3205" s="33"/>
      <c r="D3205" s="33"/>
      <c r="E3205" s="33"/>
      <c r="F3205" s="56"/>
      <c r="G3205" s="33"/>
      <c r="H3205" s="33"/>
      <c r="I3205" s="33"/>
      <c r="J3205" s="57"/>
      <c r="K3205" s="33"/>
      <c r="L3205" s="57"/>
      <c r="M3205" s="33"/>
      <c r="N3205" s="56"/>
      <c r="O3205" s="64"/>
      <c r="P3205" s="62"/>
      <c r="Q3205" s="64"/>
      <c r="R3205" s="33"/>
      <c r="S3205" s="61"/>
      <c r="T3205" s="33"/>
      <c r="W3205" s="61"/>
      <c r="AF3205" s="60"/>
    </row>
    <row r="3206" spans="2:32" ht="16">
      <c r="B3206" s="67" t="str">
        <f t="shared" si="13"/>
        <v/>
      </c>
      <c r="C3206" s="33"/>
      <c r="D3206" s="33"/>
      <c r="E3206" s="33"/>
      <c r="F3206" s="56"/>
      <c r="G3206" s="33"/>
      <c r="H3206" s="33"/>
      <c r="I3206" s="33"/>
      <c r="J3206" s="57"/>
      <c r="K3206" s="33"/>
      <c r="L3206" s="57"/>
      <c r="M3206" s="33"/>
      <c r="N3206" s="56"/>
      <c r="O3206" s="64"/>
      <c r="P3206" s="62"/>
      <c r="Q3206" s="64"/>
      <c r="R3206" s="33"/>
      <c r="S3206" s="61"/>
      <c r="T3206" s="33"/>
      <c r="W3206" s="61"/>
      <c r="AF3206" s="60"/>
    </row>
    <row r="3207" spans="2:32" ht="16">
      <c r="B3207" s="67" t="str">
        <f t="shared" si="13"/>
        <v/>
      </c>
      <c r="C3207" s="33"/>
      <c r="D3207" s="33"/>
      <c r="E3207" s="33"/>
      <c r="F3207" s="56"/>
      <c r="G3207" s="33"/>
      <c r="H3207" s="33"/>
      <c r="I3207" s="33"/>
      <c r="J3207" s="57"/>
      <c r="K3207" s="33"/>
      <c r="L3207" s="57"/>
      <c r="M3207" s="33"/>
      <c r="N3207" s="56"/>
      <c r="O3207" s="64"/>
      <c r="P3207" s="62"/>
      <c r="Q3207" s="64"/>
      <c r="R3207" s="33"/>
      <c r="S3207" s="61"/>
      <c r="T3207" s="33"/>
      <c r="W3207" s="61"/>
      <c r="AF3207" s="60"/>
    </row>
    <row r="3208" spans="2:32" ht="16">
      <c r="B3208" s="67" t="str">
        <f t="shared" si="13"/>
        <v/>
      </c>
      <c r="C3208" s="33"/>
      <c r="D3208" s="33"/>
      <c r="E3208" s="33"/>
      <c r="F3208" s="56"/>
      <c r="G3208" s="33"/>
      <c r="H3208" s="33"/>
      <c r="I3208" s="33"/>
      <c r="J3208" s="57"/>
      <c r="K3208" s="33"/>
      <c r="L3208" s="57"/>
      <c r="M3208" s="33"/>
      <c r="N3208" s="56"/>
      <c r="O3208" s="64"/>
      <c r="P3208" s="62"/>
      <c r="Q3208" s="64"/>
      <c r="R3208" s="33"/>
      <c r="S3208" s="61"/>
      <c r="T3208" s="33"/>
      <c r="W3208" s="61"/>
      <c r="AF3208" s="60"/>
    </row>
    <row r="3209" spans="2:32" ht="16">
      <c r="B3209" s="67" t="str">
        <f t="shared" si="13"/>
        <v/>
      </c>
      <c r="C3209" s="33"/>
      <c r="D3209" s="33"/>
      <c r="E3209" s="33"/>
      <c r="F3209" s="56"/>
      <c r="G3209" s="33"/>
      <c r="H3209" s="33"/>
      <c r="I3209" s="33"/>
      <c r="J3209" s="57"/>
      <c r="K3209" s="33"/>
      <c r="L3209" s="57"/>
      <c r="M3209" s="33"/>
      <c r="N3209" s="56"/>
      <c r="O3209" s="64"/>
      <c r="P3209" s="62"/>
      <c r="Q3209" s="64"/>
      <c r="R3209" s="33"/>
      <c r="S3209" s="61"/>
      <c r="T3209" s="33"/>
      <c r="W3209" s="61"/>
      <c r="AF3209" s="60"/>
    </row>
    <row r="3210" spans="2:32" ht="16">
      <c r="B3210" s="67" t="str">
        <f t="shared" si="13"/>
        <v/>
      </c>
      <c r="C3210" s="33"/>
      <c r="D3210" s="33"/>
      <c r="E3210" s="33"/>
      <c r="F3210" s="56"/>
      <c r="G3210" s="33"/>
      <c r="H3210" s="33"/>
      <c r="I3210" s="33"/>
      <c r="J3210" s="57"/>
      <c r="K3210" s="33"/>
      <c r="L3210" s="57"/>
      <c r="M3210" s="33"/>
      <c r="N3210" s="56"/>
      <c r="O3210" s="64"/>
      <c r="P3210" s="62"/>
      <c r="Q3210" s="64"/>
      <c r="R3210" s="33"/>
      <c r="S3210" s="61"/>
      <c r="T3210" s="33"/>
      <c r="W3210" s="61"/>
      <c r="AF3210" s="60"/>
    </row>
    <row r="3211" spans="2:32" ht="16">
      <c r="B3211" s="67" t="str">
        <f t="shared" si="13"/>
        <v/>
      </c>
      <c r="C3211" s="33"/>
      <c r="D3211" s="33"/>
      <c r="E3211" s="33"/>
      <c r="F3211" s="56"/>
      <c r="G3211" s="33"/>
      <c r="H3211" s="33"/>
      <c r="I3211" s="33"/>
      <c r="J3211" s="57"/>
      <c r="K3211" s="33"/>
      <c r="L3211" s="57"/>
      <c r="M3211" s="33"/>
      <c r="N3211" s="56"/>
      <c r="O3211" s="64"/>
      <c r="P3211" s="62"/>
      <c r="Q3211" s="64"/>
      <c r="R3211" s="33"/>
      <c r="S3211" s="61"/>
      <c r="T3211" s="33"/>
      <c r="W3211" s="61"/>
      <c r="AF3211" s="60"/>
    </row>
    <row r="3212" spans="2:32" ht="16">
      <c r="B3212" s="67" t="str">
        <f t="shared" si="13"/>
        <v/>
      </c>
      <c r="C3212" s="33"/>
      <c r="D3212" s="33"/>
      <c r="E3212" s="33"/>
      <c r="F3212" s="56"/>
      <c r="G3212" s="33"/>
      <c r="H3212" s="33"/>
      <c r="I3212" s="33"/>
      <c r="J3212" s="57"/>
      <c r="K3212" s="33"/>
      <c r="L3212" s="57"/>
      <c r="M3212" s="33"/>
      <c r="N3212" s="56"/>
      <c r="O3212" s="64"/>
      <c r="P3212" s="62"/>
      <c r="Q3212" s="64"/>
      <c r="R3212" s="33"/>
      <c r="S3212" s="61"/>
      <c r="T3212" s="33"/>
      <c r="W3212" s="61"/>
      <c r="AF3212" s="60"/>
    </row>
    <row r="3213" spans="2:32" ht="16">
      <c r="B3213" s="67" t="str">
        <f t="shared" si="13"/>
        <v/>
      </c>
      <c r="C3213" s="33"/>
      <c r="D3213" s="33"/>
      <c r="E3213" s="33"/>
      <c r="F3213" s="56"/>
      <c r="G3213" s="33"/>
      <c r="H3213" s="33"/>
      <c r="I3213" s="33"/>
      <c r="J3213" s="57"/>
      <c r="K3213" s="33"/>
      <c r="L3213" s="57"/>
      <c r="M3213" s="33"/>
      <c r="N3213" s="56"/>
      <c r="O3213" s="64"/>
      <c r="P3213" s="62"/>
      <c r="Q3213" s="64"/>
      <c r="R3213" s="33"/>
      <c r="S3213" s="61"/>
      <c r="T3213" s="33"/>
      <c r="W3213" s="61"/>
      <c r="AF3213" s="60"/>
    </row>
    <row r="3214" spans="2:32" ht="16">
      <c r="B3214" s="67" t="str">
        <f t="shared" si="13"/>
        <v/>
      </c>
      <c r="C3214" s="33"/>
      <c r="D3214" s="33"/>
      <c r="E3214" s="33"/>
      <c r="F3214" s="56"/>
      <c r="G3214" s="33"/>
      <c r="H3214" s="33"/>
      <c r="I3214" s="33"/>
      <c r="J3214" s="57"/>
      <c r="K3214" s="33"/>
      <c r="L3214" s="57"/>
      <c r="M3214" s="33"/>
      <c r="N3214" s="56"/>
      <c r="O3214" s="64"/>
      <c r="P3214" s="62"/>
      <c r="Q3214" s="64"/>
      <c r="R3214" s="33"/>
      <c r="S3214" s="61"/>
      <c r="T3214" s="33"/>
      <c r="W3214" s="61"/>
      <c r="AF3214" s="60"/>
    </row>
    <row r="3215" spans="2:32" ht="16">
      <c r="B3215" s="67" t="str">
        <f t="shared" si="13"/>
        <v/>
      </c>
      <c r="C3215" s="33"/>
      <c r="D3215" s="33"/>
      <c r="E3215" s="33"/>
      <c r="F3215" s="56"/>
      <c r="G3215" s="33"/>
      <c r="H3215" s="33"/>
      <c r="I3215" s="33"/>
      <c r="J3215" s="57"/>
      <c r="K3215" s="33"/>
      <c r="L3215" s="57"/>
      <c r="M3215" s="33"/>
      <c r="N3215" s="56"/>
      <c r="O3215" s="64"/>
      <c r="P3215" s="62"/>
      <c r="Q3215" s="64"/>
      <c r="R3215" s="33"/>
      <c r="S3215" s="61"/>
      <c r="T3215" s="33"/>
      <c r="W3215" s="61"/>
      <c r="AF3215" s="60"/>
    </row>
    <row r="3216" spans="2:32" ht="16">
      <c r="B3216" s="67" t="str">
        <f t="shared" si="13"/>
        <v/>
      </c>
      <c r="C3216" s="33"/>
      <c r="D3216" s="33"/>
      <c r="E3216" s="33"/>
      <c r="F3216" s="56"/>
      <c r="G3216" s="33"/>
      <c r="H3216" s="33"/>
      <c r="I3216" s="33"/>
      <c r="J3216" s="57"/>
      <c r="K3216" s="33"/>
      <c r="L3216" s="57"/>
      <c r="M3216" s="33"/>
      <c r="N3216" s="56"/>
      <c r="O3216" s="64"/>
      <c r="P3216" s="62"/>
      <c r="Q3216" s="64"/>
      <c r="R3216" s="33"/>
      <c r="S3216" s="61"/>
      <c r="T3216" s="33"/>
      <c r="W3216" s="61"/>
      <c r="AF3216" s="60"/>
    </row>
    <row r="3217" spans="2:32" ht="16">
      <c r="B3217" s="67" t="str">
        <f t="shared" si="13"/>
        <v/>
      </c>
      <c r="C3217" s="33"/>
      <c r="D3217" s="33"/>
      <c r="E3217" s="33"/>
      <c r="F3217" s="56"/>
      <c r="G3217" s="33"/>
      <c r="H3217" s="33"/>
      <c r="I3217" s="33"/>
      <c r="J3217" s="57"/>
      <c r="K3217" s="33"/>
      <c r="L3217" s="57"/>
      <c r="M3217" s="33"/>
      <c r="N3217" s="56"/>
      <c r="O3217" s="64"/>
      <c r="P3217" s="62"/>
      <c r="Q3217" s="64"/>
      <c r="R3217" s="33"/>
      <c r="S3217" s="61"/>
      <c r="T3217" s="33"/>
      <c r="W3217" s="61"/>
      <c r="AF3217" s="60"/>
    </row>
    <row r="3218" spans="2:32" ht="16">
      <c r="B3218" s="67" t="str">
        <f t="shared" si="13"/>
        <v/>
      </c>
      <c r="C3218" s="33"/>
      <c r="D3218" s="33"/>
      <c r="E3218" s="33"/>
      <c r="F3218" s="56"/>
      <c r="G3218" s="33"/>
      <c r="H3218" s="33"/>
      <c r="I3218" s="33"/>
      <c r="J3218" s="57"/>
      <c r="K3218" s="33"/>
      <c r="L3218" s="57"/>
      <c r="M3218" s="33"/>
      <c r="N3218" s="56"/>
      <c r="O3218" s="64"/>
      <c r="P3218" s="62"/>
      <c r="Q3218" s="64"/>
      <c r="R3218" s="33"/>
      <c r="S3218" s="61"/>
      <c r="T3218" s="33"/>
      <c r="W3218" s="61"/>
      <c r="AF3218" s="60"/>
    </row>
    <row r="3219" spans="2:32" ht="16">
      <c r="B3219" s="67" t="str">
        <f t="shared" si="13"/>
        <v/>
      </c>
      <c r="C3219" s="33"/>
      <c r="D3219" s="33"/>
      <c r="E3219" s="33"/>
      <c r="F3219" s="56"/>
      <c r="G3219" s="33"/>
      <c r="H3219" s="33"/>
      <c r="I3219" s="33"/>
      <c r="J3219" s="57"/>
      <c r="K3219" s="33"/>
      <c r="L3219" s="57"/>
      <c r="M3219" s="33"/>
      <c r="N3219" s="56"/>
      <c r="O3219" s="64"/>
      <c r="P3219" s="62"/>
      <c r="Q3219" s="64"/>
      <c r="R3219" s="33"/>
      <c r="S3219" s="61"/>
      <c r="T3219" s="33"/>
      <c r="W3219" s="61"/>
      <c r="AF3219" s="60"/>
    </row>
    <row r="3220" spans="2:32" ht="16">
      <c r="B3220" s="67" t="str">
        <f t="shared" si="13"/>
        <v/>
      </c>
      <c r="C3220" s="33"/>
      <c r="D3220" s="33"/>
      <c r="E3220" s="33"/>
      <c r="F3220" s="56"/>
      <c r="G3220" s="33"/>
      <c r="H3220" s="33"/>
      <c r="I3220" s="33"/>
      <c r="J3220" s="57"/>
      <c r="K3220" s="33"/>
      <c r="L3220" s="57"/>
      <c r="M3220" s="33"/>
      <c r="N3220" s="56"/>
      <c r="O3220" s="64"/>
      <c r="P3220" s="62"/>
      <c r="Q3220" s="64"/>
      <c r="R3220" s="33"/>
      <c r="S3220" s="61"/>
      <c r="T3220" s="33"/>
      <c r="W3220" s="61"/>
      <c r="AF3220" s="60"/>
    </row>
    <row r="3221" spans="2:32" ht="16">
      <c r="B3221" s="67" t="str">
        <f t="shared" si="13"/>
        <v/>
      </c>
      <c r="C3221" s="33"/>
      <c r="D3221" s="33"/>
      <c r="E3221" s="33"/>
      <c r="F3221" s="56"/>
      <c r="G3221" s="33"/>
      <c r="H3221" s="33"/>
      <c r="I3221" s="33"/>
      <c r="J3221" s="57"/>
      <c r="K3221" s="33"/>
      <c r="L3221" s="57"/>
      <c r="M3221" s="33"/>
      <c r="N3221" s="56"/>
      <c r="O3221" s="64"/>
      <c r="P3221" s="62"/>
      <c r="Q3221" s="64"/>
      <c r="R3221" s="33"/>
      <c r="S3221" s="61"/>
      <c r="T3221" s="33"/>
      <c r="W3221" s="61"/>
      <c r="AF3221" s="60"/>
    </row>
    <row r="3222" spans="2:32" ht="16">
      <c r="B3222" s="67" t="str">
        <f t="shared" si="13"/>
        <v/>
      </c>
      <c r="C3222" s="33"/>
      <c r="D3222" s="33"/>
      <c r="E3222" s="33"/>
      <c r="F3222" s="56"/>
      <c r="G3222" s="33"/>
      <c r="H3222" s="33"/>
      <c r="I3222" s="33"/>
      <c r="J3222" s="57"/>
      <c r="K3222" s="33"/>
      <c r="L3222" s="57"/>
      <c r="M3222" s="33"/>
      <c r="N3222" s="56"/>
      <c r="O3222" s="64"/>
      <c r="P3222" s="62"/>
      <c r="Q3222" s="64"/>
      <c r="R3222" s="33"/>
      <c r="S3222" s="61"/>
      <c r="T3222" s="33"/>
      <c r="W3222" s="61"/>
      <c r="AF3222" s="60"/>
    </row>
    <row r="3223" spans="2:32" ht="16">
      <c r="B3223" s="67" t="str">
        <f t="shared" si="13"/>
        <v/>
      </c>
      <c r="C3223" s="33"/>
      <c r="D3223" s="33"/>
      <c r="E3223" s="33"/>
      <c r="F3223" s="56"/>
      <c r="G3223" s="33"/>
      <c r="H3223" s="33"/>
      <c r="I3223" s="33"/>
      <c r="J3223" s="57"/>
      <c r="K3223" s="33"/>
      <c r="L3223" s="57"/>
      <c r="M3223" s="33"/>
      <c r="N3223" s="56"/>
      <c r="O3223" s="64"/>
      <c r="P3223" s="62"/>
      <c r="Q3223" s="64"/>
      <c r="R3223" s="33"/>
      <c r="S3223" s="61"/>
      <c r="T3223" s="33"/>
      <c r="W3223" s="61"/>
      <c r="AF3223" s="60"/>
    </row>
  </sheetData>
  <autoFilter ref="A1:BA3223" xr:uid="{00000000-0009-0000-0000-000002000000}"/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AA1179"/>
  <sheetViews>
    <sheetView workbookViewId="0"/>
  </sheetViews>
  <sheetFormatPr baseColWidth="10" defaultColWidth="12.6640625" defaultRowHeight="15" customHeight="1"/>
  <cols>
    <col min="1" max="1" width="17.1640625" customWidth="1"/>
    <col min="2" max="2" width="9.83203125" customWidth="1"/>
    <col min="5" max="5" width="17.1640625" customWidth="1"/>
    <col min="6" max="6" width="14.6640625" customWidth="1"/>
    <col min="7" max="7" width="15.5" customWidth="1"/>
    <col min="8" max="8" width="12" customWidth="1"/>
    <col min="9" max="9" width="11.83203125" customWidth="1"/>
    <col min="10" max="10" width="18.1640625" customWidth="1"/>
    <col min="14" max="14" width="14.6640625" customWidth="1"/>
    <col min="15" max="15" width="40.1640625" customWidth="1"/>
    <col min="16" max="16" width="45.6640625" customWidth="1"/>
  </cols>
  <sheetData>
    <row r="1" spans="1:27" ht="48">
      <c r="A1" s="68" t="s">
        <v>2822</v>
      </c>
      <c r="B1" s="69" t="str">
        <f ca="1">IFERROR(__xludf.DUMMYFUNCTION("QUERY(IMPORTRANGE(""1_X10lib1ACi4eo1UVL3CnIshtSTUMAC3_tdGFaV5IiU/edit?gid=1391406655#gid=1391406655"",""Datventas2026!A:AT""),""SELECT Col7, Col8, Col43, Col4, Col6, Col10, Col1, Col11, Col13, Col14, Col17, Col29, Col30, Col31, Col32 WHERE Col32&lt;&gt;''"",1)"),"AÑO")</f>
        <v>AÑO</v>
      </c>
      <c r="C1" s="53" t="str">
        <f ca="1">IFERROR(__xludf.DUMMYFUNCTION("""COMPUTED_VALUE"""),"MES")</f>
        <v>MES</v>
      </c>
      <c r="D1" s="70" t="str">
        <f ca="1">IFERROR(__xludf.DUMMYFUNCTION("""COMPUTED_VALUE"""),"RECOMPRA")</f>
        <v>RECOMPRA</v>
      </c>
      <c r="E1" s="70" t="str">
        <f ca="1">IFERROR(__xludf.DUMMYFUNCTION("""COMPUTED_VALUE"""),"SUCURSAL")</f>
        <v>SUCURSAL</v>
      </c>
      <c r="F1" s="70" t="str">
        <f ca="1">IFERROR(__xludf.DUMMYFUNCTION("""COMPUTED_VALUE"""),"FECHA DE VENTA")</f>
        <v>FECHA DE VENTA</v>
      </c>
      <c r="G1" s="70" t="str">
        <f ca="1">IFERROR(__xludf.DUMMYFUNCTION("""COMPUTED_VALUE"""),"FECHA DE ALTA DE CLIENTE")</f>
        <v>FECHA DE ALTA DE CLIENTE</v>
      </c>
      <c r="H1" s="70" t="str">
        <f ca="1">IFERROR(__xludf.DUMMYFUNCTION("""COMPUTED_VALUE"""),"Clínica")</f>
        <v>Clínica</v>
      </c>
      <c r="I1" s="70" t="str">
        <f ca="1">IFERROR(__xludf.DUMMYFUNCTION("""COMPUTED_VALUE"""),"CÓDIGO DE CLIENTE")</f>
        <v>CÓDIGO DE CLIENTE</v>
      </c>
      <c r="J1" s="70" t="str">
        <f ca="1">IFERROR(__xludf.DUMMYFUNCTION("""COMPUTED_VALUE"""),"CLIENTE")</f>
        <v>CLIENTE</v>
      </c>
      <c r="K1" s="70" t="str">
        <f ca="1">IFERROR(__xludf.DUMMYFUNCTION("""COMPUTED_VALUE"""),"NUM AUDIFONOS")</f>
        <v>NUM AUDIFONOS</v>
      </c>
      <c r="L1" s="70" t="str">
        <f ca="1">IFERROR(__xludf.DUMMYFUNCTION("""COMPUTED_VALUE"""),"TOTAL AUDIFONOS SIN IVA")</f>
        <v>TOTAL AUDIFONOS SIN IVA</v>
      </c>
      <c r="M1" s="70" t="str">
        <f ca="1">IFERROR(__xludf.DUMMYFUNCTION("""COMPUTED_VALUE"""),"CANAL")</f>
        <v>CANAL</v>
      </c>
      <c r="N1" s="70" t="str">
        <f ca="1">IFERROR(__xludf.DUMMYFUNCTION("""COMPUTED_VALUE"""),"SUBCANAL")</f>
        <v>SUBCANAL</v>
      </c>
      <c r="O1" s="71" t="str">
        <f ca="1">IFERROR(__xludf.DUMMYFUNCTION("""COMPUTED_VALUE"""),"NOMBRE ORL/CAMPAÑA")</f>
        <v>NOMBRE ORL/CAMPAÑA</v>
      </c>
      <c r="P1" s="70" t="str">
        <f ca="1">IFERROR(__xludf.DUMMYFUNCTION("""COMPUTED_VALUE"""),"NOMBRE VISITADOR")</f>
        <v>NOMBRE VISITADOR</v>
      </c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</row>
    <row r="2" spans="1:27">
      <c r="A2" s="73">
        <v>46119</v>
      </c>
      <c r="B2" s="74">
        <f ca="1">IFERROR(__xludf.DUMMYFUNCTION("""COMPUTED_VALUE"""),2026)</f>
        <v>2026</v>
      </c>
      <c r="C2" s="56">
        <f ca="1">IFERROR(__xludf.DUMMYFUNCTION("""COMPUTED_VALUE"""),1)</f>
        <v>1</v>
      </c>
      <c r="D2" s="33" t="str">
        <f ca="1">IFERROR(__xludf.DUMMYFUNCTION("""COMPUTED_VALUE"""),"NO")</f>
        <v>NO</v>
      </c>
      <c r="E2" s="33" t="str">
        <f ca="1">IFERROR(__xludf.DUMMYFUNCTION("""COMPUTED_VALUE"""),"Valencia- Parra")</f>
        <v>Valencia- Parra</v>
      </c>
      <c r="F2" s="57">
        <f ca="1">IFERROR(__xludf.DUMMYFUNCTION("""COMPUTED_VALUE"""),46024)</f>
        <v>46024</v>
      </c>
      <c r="G2" s="57">
        <f ca="1">IFERROR(__xludf.DUMMYFUNCTION("""COMPUTED_VALUE"""),45966)</f>
        <v>45966</v>
      </c>
      <c r="H2" s="33" t="str">
        <f ca="1">IFERROR(__xludf.DUMMYFUNCTION("""COMPUTED_VALUE"""),"Valencia- Parra")</f>
        <v>Valencia- Parra</v>
      </c>
      <c r="I2" s="33" t="str">
        <f ca="1">IFERROR(__xludf.DUMMYFUNCTION("""COMPUTED_VALUE"""),"C202511592157270489")</f>
        <v>C202511592157270489</v>
      </c>
      <c r="J2" s="33" t="str">
        <f ca="1">IFERROR(__xludf.DUMMYFUNCTION("""COMPUTED_VALUE"""),"HEINZ WIEST")</f>
        <v>HEINZ WIEST</v>
      </c>
      <c r="K2" s="56">
        <f ca="1">IFERROR(__xludf.DUMMYFUNCTION("""COMPUTED_VALUE"""),2)</f>
        <v>2</v>
      </c>
      <c r="L2" s="62">
        <f ca="1">IFERROR(__xludf.DUMMYFUNCTION("""COMPUTED_VALUE"""),4536.36)</f>
        <v>4536.3599999999997</v>
      </c>
      <c r="M2" s="33" t="str">
        <f ca="1">IFERROR(__xludf.DUMMYFUNCTION("""COMPUTED_VALUE"""),"03 ORL")</f>
        <v>03 ORL</v>
      </c>
      <c r="N2" s="33" t="str">
        <f ca="1">IFERROR(__xludf.DUMMYFUNCTION("""COMPUTED_VALUE"""),"06 ORL")</f>
        <v>06 ORL</v>
      </c>
      <c r="O2" s="33" t="str">
        <f ca="1">IFERROR(__xludf.DUMMYFUNCTION("""COMPUTED_VALUE"""),"Dra, Fe Rubio Escolano")</f>
        <v>Dra, Fe Rubio Escolano</v>
      </c>
      <c r="P2" s="33" t="str">
        <f ca="1">IFERROR(__xludf.DUMMYFUNCTION("""COMPUTED_VALUE"""),"Ramon Ferrando(Valencia)")</f>
        <v>Ramon Ferrando(Valencia)</v>
      </c>
    </row>
    <row r="3" spans="1:27">
      <c r="B3" s="74">
        <f ca="1">IFERROR(__xludf.DUMMYFUNCTION("""COMPUTED_VALUE"""),2026)</f>
        <v>2026</v>
      </c>
      <c r="C3" s="56">
        <f ca="1">IFERROR(__xludf.DUMMYFUNCTION("""COMPUTED_VALUE"""),1)</f>
        <v>1</v>
      </c>
      <c r="D3" s="33" t="str">
        <f ca="1">IFERROR(__xludf.DUMMYFUNCTION("""COMPUTED_VALUE"""),"NO")</f>
        <v>NO</v>
      </c>
      <c r="E3" s="33" t="str">
        <f ca="1">IFERROR(__xludf.DUMMYFUNCTION("""COMPUTED_VALUE"""),"Cáceres")</f>
        <v>Cáceres</v>
      </c>
      <c r="F3" s="57">
        <f ca="1">IFERROR(__xludf.DUMMYFUNCTION("""COMPUTED_VALUE"""),46024)</f>
        <v>46024</v>
      </c>
      <c r="G3" s="57">
        <f ca="1">IFERROR(__xludf.DUMMYFUNCTION("""COMPUTED_VALUE"""),45992)</f>
        <v>45992</v>
      </c>
      <c r="H3" s="33" t="str">
        <f ca="1">IFERROR(__xludf.DUMMYFUNCTION("""COMPUTED_VALUE"""),"Cáceres")</f>
        <v>Cáceres</v>
      </c>
      <c r="I3" s="33" t="str">
        <f ca="1">IFERROR(__xludf.DUMMYFUNCTION("""COMPUTED_VALUE"""),"C202512110551976531")</f>
        <v>C202512110551976531</v>
      </c>
      <c r="J3" s="33" t="str">
        <f ca="1">IFERROR(__xludf.DUMMYFUNCTION("""COMPUTED_VALUE"""),"JUAN MANUEL CORCHERO HIGUERO")</f>
        <v>JUAN MANUEL CORCHERO HIGUERO</v>
      </c>
      <c r="K3" s="56">
        <f ca="1">IFERROR(__xludf.DUMMYFUNCTION("""COMPUTED_VALUE"""),2)</f>
        <v>2</v>
      </c>
      <c r="L3" s="62">
        <f ca="1">IFERROR(__xludf.DUMMYFUNCTION("""COMPUTED_VALUE"""),3636.36)</f>
        <v>3636.36</v>
      </c>
      <c r="M3" s="33" t="str">
        <f ca="1">IFERROR(__xludf.DUMMYFUNCTION("""COMPUTED_VALUE"""),"03 ORL")</f>
        <v>03 ORL</v>
      </c>
      <c r="N3" s="33" t="str">
        <f ca="1">IFERROR(__xludf.DUMMYFUNCTION("""COMPUTED_VALUE"""),"06 ORL")</f>
        <v>06 ORL</v>
      </c>
      <c r="O3" s="33" t="str">
        <f ca="1">IFERROR(__xludf.DUMMYFUNCTION("""COMPUTED_VALUE"""),"Dr, Andrés Paulino Herrera")</f>
        <v>Dr, Andrés Paulino Herrera</v>
      </c>
      <c r="P3" s="33" t="str">
        <f ca="1">IFERROR(__xludf.DUMMYFUNCTION("""COMPUTED_VALUE"""),"Lisandro Russian (Madrid, Cáceres, Toledo, Talavera y Logroño)")</f>
        <v>Lisandro Russian (Madrid, Cáceres, Toledo, Talavera y Logroño)</v>
      </c>
    </row>
    <row r="4" spans="1:27">
      <c r="B4" s="74">
        <f ca="1">IFERROR(__xludf.DUMMYFUNCTION("""COMPUTED_VALUE"""),2026)</f>
        <v>2026</v>
      </c>
      <c r="C4" s="56">
        <f ca="1">IFERROR(__xludf.DUMMYFUNCTION("""COMPUTED_VALUE"""),1)</f>
        <v>1</v>
      </c>
      <c r="D4" s="33" t="str">
        <f ca="1">IFERROR(__xludf.DUMMYFUNCTION("""COMPUTED_VALUE"""),"NO")</f>
        <v>NO</v>
      </c>
      <c r="E4" s="33" t="str">
        <f ca="1">IFERROR(__xludf.DUMMYFUNCTION("""COMPUTED_VALUE"""),"Valladolid")</f>
        <v>Valladolid</v>
      </c>
      <c r="F4" s="57">
        <f ca="1">IFERROR(__xludf.DUMMYFUNCTION("""COMPUTED_VALUE"""),46027)</f>
        <v>46027</v>
      </c>
      <c r="G4" s="57">
        <f ca="1">IFERROR(__xludf.DUMMYFUNCTION("""COMPUTED_VALUE"""),45964)</f>
        <v>45964</v>
      </c>
      <c r="H4" s="33" t="str">
        <f ca="1">IFERROR(__xludf.DUMMYFUNCTION("""COMPUTED_VALUE"""),"Valladolid")</f>
        <v>Valladolid</v>
      </c>
      <c r="I4" s="33" t="str">
        <f ca="1">IFERROR(__xludf.DUMMYFUNCTION("""COMPUTED_VALUE"""),"VLL-474")</f>
        <v>VLL-474</v>
      </c>
      <c r="J4" s="33" t="str">
        <f ca="1">IFERROR(__xludf.DUMMYFUNCTION("""COMPUTED_VALUE"""),"GAUDENCIO GARCIA REGUERO")</f>
        <v>GAUDENCIO GARCIA REGUERO</v>
      </c>
      <c r="K4" s="56">
        <f ca="1">IFERROR(__xludf.DUMMYFUNCTION("""COMPUTED_VALUE"""),2)</f>
        <v>2</v>
      </c>
      <c r="L4" s="62">
        <f ca="1">IFERROR(__xludf.DUMMYFUNCTION("""COMPUTED_VALUE"""),3522.73)</f>
        <v>3522.73</v>
      </c>
      <c r="M4" s="33" t="str">
        <f ca="1">IFERROR(__xludf.DUMMYFUNCTION("""COMPUTED_VALUE"""),"03 ORL")</f>
        <v>03 ORL</v>
      </c>
      <c r="N4" s="33" t="str">
        <f ca="1">IFERROR(__xludf.DUMMYFUNCTION("""COMPUTED_VALUE"""),"06 ORL")</f>
        <v>06 ORL</v>
      </c>
      <c r="O4" s="33" t="str">
        <f ca="1">IFERROR(__xludf.DUMMYFUNCTION("""COMPUTED_VALUE"""),"Dr, Carlos Miguel Salvador Martínez")</f>
        <v>Dr, Carlos Miguel Salvador Martínez</v>
      </c>
      <c r="P4" s="33" t="str">
        <f ca="1">IFERROR(__xludf.DUMMYFUNCTION("""COMPUTED_VALUE"""),"Alberto Moreno (Madrid)")</f>
        <v>Alberto Moreno (Madrid)</v>
      </c>
    </row>
    <row r="5" spans="1:27">
      <c r="B5" s="74">
        <f ca="1">IFERROR(__xludf.DUMMYFUNCTION("""COMPUTED_VALUE"""),2026)</f>
        <v>2026</v>
      </c>
      <c r="C5" s="56">
        <f ca="1">IFERROR(__xludf.DUMMYFUNCTION("""COMPUTED_VALUE"""),1)</f>
        <v>1</v>
      </c>
      <c r="D5" s="33" t="str">
        <f ca="1">IFERROR(__xludf.DUMMYFUNCTION("""COMPUTED_VALUE"""),"NO")</f>
        <v>NO</v>
      </c>
      <c r="E5" s="33" t="str">
        <f ca="1">IFERROR(__xludf.DUMMYFUNCTION("""COMPUTED_VALUE"""),"Getafe")</f>
        <v>Getafe</v>
      </c>
      <c r="F5" s="57">
        <f ca="1">IFERROR(__xludf.DUMMYFUNCTION("""COMPUTED_VALUE"""),46027)</f>
        <v>46027</v>
      </c>
      <c r="G5" s="57">
        <f ca="1">IFERROR(__xludf.DUMMYFUNCTION("""COMPUTED_VALUE"""),45975)</f>
        <v>45975</v>
      </c>
      <c r="H5" s="33" t="str">
        <f ca="1">IFERROR(__xludf.DUMMYFUNCTION("""COMPUTED_VALUE"""),"Getafe")</f>
        <v>Getafe</v>
      </c>
      <c r="I5" s="33" t="str">
        <f ca="1">IFERROR(__xludf.DUMMYFUNCTION("""COMPUTED_VALUE"""),"C202511141135536493")</f>
        <v>C202511141135536493</v>
      </c>
      <c r="J5" s="33" t="str">
        <f ca="1">IFERROR(__xludf.DUMMYFUNCTION("""COMPUTED_VALUE"""),"ANTONIO CALVETE OLIVA")</f>
        <v>ANTONIO CALVETE OLIVA</v>
      </c>
      <c r="K5" s="56">
        <f ca="1">IFERROR(__xludf.DUMMYFUNCTION("""COMPUTED_VALUE"""),1)</f>
        <v>1</v>
      </c>
      <c r="L5" s="62">
        <f ca="1">IFERROR(__xludf.DUMMYFUNCTION("""COMPUTED_VALUE"""),2180.91)</f>
        <v>2180.91</v>
      </c>
      <c r="M5" s="33" t="str">
        <f ca="1">IFERROR(__xludf.DUMMYFUNCTION("""COMPUTED_VALUE"""),"03 ORL")</f>
        <v>03 ORL</v>
      </c>
      <c r="N5" s="33" t="str">
        <f ca="1">IFERROR(__xludf.DUMMYFUNCTION("""COMPUTED_VALUE"""),"06 ORL")</f>
        <v>06 ORL</v>
      </c>
      <c r="O5" s="33" t="str">
        <f ca="1">IFERROR(__xludf.DUMMYFUNCTION("""COMPUTED_VALUE"""),"Dra, Marta Colmenero Ruiz")</f>
        <v>Dra, Marta Colmenero Ruiz</v>
      </c>
      <c r="P5" s="33" t="str">
        <f ca="1">IFERROR(__xludf.DUMMYFUNCTION("""COMPUTED_VALUE"""),"Maika Blázquez (Madrid)")</f>
        <v>Maika Blázquez (Madrid)</v>
      </c>
    </row>
    <row r="6" spans="1:27">
      <c r="B6" s="74">
        <f ca="1">IFERROR(__xludf.DUMMYFUNCTION("""COMPUTED_VALUE"""),2026)</f>
        <v>2026</v>
      </c>
      <c r="C6" s="56">
        <f ca="1">IFERROR(__xludf.DUMMYFUNCTION("""COMPUTED_VALUE"""),1)</f>
        <v>1</v>
      </c>
      <c r="D6" s="33" t="str">
        <f ca="1">IFERROR(__xludf.DUMMYFUNCTION("""COMPUTED_VALUE"""),"NO")</f>
        <v>NO</v>
      </c>
      <c r="E6" s="33" t="str">
        <f ca="1">IFERROR(__xludf.DUMMYFUNCTION("""COMPUTED_VALUE"""),"Madrid- La Oca")</f>
        <v>Madrid- La Oca</v>
      </c>
      <c r="F6" s="57">
        <f ca="1">IFERROR(__xludf.DUMMYFUNCTION("""COMPUTED_VALUE"""),46029)</f>
        <v>46029</v>
      </c>
      <c r="G6" s="57">
        <f ca="1">IFERROR(__xludf.DUMMYFUNCTION("""COMPUTED_VALUE"""),45978)</f>
        <v>45978</v>
      </c>
      <c r="H6" s="33" t="str">
        <f ca="1">IFERROR(__xludf.DUMMYFUNCTION("""COMPUTED_VALUE"""),"La Oca")</f>
        <v>La Oca</v>
      </c>
      <c r="I6" s="33" t="str">
        <f ca="1">IFERROR(__xludf.DUMMYFUNCTION("""COMPUTED_VALUE"""),"C202511171016459133")</f>
        <v>C202511171016459133</v>
      </c>
      <c r="J6" s="33" t="str">
        <f ca="1">IFERROR(__xludf.DUMMYFUNCTION("""COMPUTED_VALUE"""),"AMELIA DIAZ VAZQUEZ")</f>
        <v>AMELIA DIAZ VAZQUEZ</v>
      </c>
      <c r="K6" s="56">
        <f ca="1">IFERROR(__xludf.DUMMYFUNCTION("""COMPUTED_VALUE"""),2)</f>
        <v>2</v>
      </c>
      <c r="L6" s="62">
        <f ca="1">IFERROR(__xludf.DUMMYFUNCTION("""COMPUTED_VALUE"""),2718.18)</f>
        <v>2718.18</v>
      </c>
      <c r="M6" s="33" t="str">
        <f ca="1">IFERROR(__xludf.DUMMYFUNCTION("""COMPUTED_VALUE"""),"03 ORL")</f>
        <v>03 ORL</v>
      </c>
      <c r="N6" s="33" t="str">
        <f ca="1">IFERROR(__xludf.DUMMYFUNCTION("""COMPUTED_VALUE"""),"06 ORL")</f>
        <v>06 ORL</v>
      </c>
      <c r="O6" s="33" t="str">
        <f ca="1">IFERROR(__xludf.DUMMYFUNCTION("""COMPUTED_VALUE"""),"Dr, Andreas Schilling Borghesi")</f>
        <v>Dr, Andreas Schilling Borghesi</v>
      </c>
      <c r="P6" s="33" t="str">
        <f ca="1">IFERROR(__xludf.DUMMYFUNCTION("""COMPUTED_VALUE"""),"Maika Blázquez (Madrid)")</f>
        <v>Maika Blázquez (Madrid)</v>
      </c>
    </row>
    <row r="7" spans="1:27">
      <c r="B7" s="75">
        <f ca="1">IFERROR(__xludf.DUMMYFUNCTION("""COMPUTED_VALUE"""),2026)</f>
        <v>2026</v>
      </c>
      <c r="C7" s="56">
        <f ca="1">IFERROR(__xludf.DUMMYFUNCTION("""COMPUTED_VALUE"""),1)</f>
        <v>1</v>
      </c>
      <c r="D7" s="1" t="str">
        <f ca="1">IFERROR(__xludf.DUMMYFUNCTION("""COMPUTED_VALUE"""),"NO")</f>
        <v>NO</v>
      </c>
      <c r="E7" s="33" t="str">
        <f ca="1">IFERROR(__xludf.DUMMYFUNCTION("""COMPUTED_VALUE"""),"Madrid- La Oca")</f>
        <v>Madrid- La Oca</v>
      </c>
      <c r="F7" s="57">
        <f ca="1">IFERROR(__xludf.DUMMYFUNCTION("""COMPUTED_VALUE"""),46030)</f>
        <v>46030</v>
      </c>
      <c r="G7" s="57">
        <f ca="1">IFERROR(__xludf.DUMMYFUNCTION("""COMPUTED_VALUE"""),46000)</f>
        <v>46000</v>
      </c>
      <c r="H7" s="33" t="str">
        <f ca="1">IFERROR(__xludf.DUMMYFUNCTION("""COMPUTED_VALUE"""),"La Oca")</f>
        <v>La Oca</v>
      </c>
      <c r="I7" s="33" t="str">
        <f ca="1">IFERROR(__xludf.DUMMYFUNCTION("""COMPUTED_VALUE"""),"C202512911304031492")</f>
        <v>C202512911304031492</v>
      </c>
      <c r="J7" s="33" t="str">
        <f ca="1">IFERROR(__xludf.DUMMYFUNCTION("""COMPUTED_VALUE"""),"REMEDIOS  VECINO PRIETO")</f>
        <v>REMEDIOS  VECINO PRIETO</v>
      </c>
      <c r="K7" s="56">
        <f ca="1">IFERROR(__xludf.DUMMYFUNCTION("""COMPUTED_VALUE"""),2)</f>
        <v>2</v>
      </c>
      <c r="L7" s="62">
        <f ca="1">IFERROR(__xludf.DUMMYFUNCTION("""COMPUTED_VALUE"""),2718.18)</f>
        <v>2718.18</v>
      </c>
      <c r="M7" s="33" t="str">
        <f ca="1">IFERROR(__xludf.DUMMYFUNCTION("""COMPUTED_VALUE"""),"03 ORL")</f>
        <v>03 ORL</v>
      </c>
      <c r="N7" s="33" t="str">
        <f ca="1">IFERROR(__xludf.DUMMYFUNCTION("""COMPUTED_VALUE"""),"06 ORL")</f>
        <v>06 ORL</v>
      </c>
      <c r="O7" s="33" t="str">
        <f ca="1">IFERROR(__xludf.DUMMYFUNCTION("""COMPUTED_VALUE"""),"Dr, José Joaquín Gutiérrez Barquín")</f>
        <v>Dr, José Joaquín Gutiérrez Barquín</v>
      </c>
      <c r="P7" s="33" t="str">
        <f ca="1">IFERROR(__xludf.DUMMYFUNCTION("""COMPUTED_VALUE"""),"Maika Blázquez (Madrid)")</f>
        <v>Maika Blázquez (Madrid)</v>
      </c>
    </row>
    <row r="8" spans="1:27">
      <c r="B8" s="75">
        <f ca="1">IFERROR(__xludf.DUMMYFUNCTION("""COMPUTED_VALUE"""),2026)</f>
        <v>2026</v>
      </c>
      <c r="C8" s="56">
        <f ca="1">IFERROR(__xludf.DUMMYFUNCTION("""COMPUTED_VALUE"""),1)</f>
        <v>1</v>
      </c>
      <c r="D8" s="33" t="str">
        <f ca="1">IFERROR(__xludf.DUMMYFUNCTION("""COMPUTED_VALUE"""),"NO")</f>
        <v>NO</v>
      </c>
      <c r="E8" s="33" t="str">
        <f ca="1">IFERROR(__xludf.DUMMYFUNCTION("""COMPUTED_VALUE"""),"Sevilla- Ciencias")</f>
        <v>Sevilla- Ciencias</v>
      </c>
      <c r="F8" s="57">
        <f ca="1">IFERROR(__xludf.DUMMYFUNCTION("""COMPUTED_VALUE"""),46030)</f>
        <v>46030</v>
      </c>
      <c r="G8" s="57">
        <f ca="1">IFERROR(__xludf.DUMMYFUNCTION("""COMPUTED_VALUE"""),45981)</f>
        <v>45981</v>
      </c>
      <c r="H8" s="33" t="str">
        <f ca="1">IFERROR(__xludf.DUMMYFUNCTION("""COMPUTED_VALUE"""),"Sevilla Este")</f>
        <v>Sevilla Este</v>
      </c>
      <c r="I8" s="33" t="str">
        <f ca="1">IFERROR(__xludf.DUMMYFUNCTION("""COMPUTED_VALUE"""),"C202511201556282288")</f>
        <v>C202511201556282288</v>
      </c>
      <c r="J8" s="33" t="str">
        <f ca="1">IFERROR(__xludf.DUMMYFUNCTION("""COMPUTED_VALUE"""),"CONCEPCION  ORTIZ SANTIAGO")</f>
        <v>CONCEPCION  ORTIZ SANTIAGO</v>
      </c>
      <c r="K8" s="56">
        <f ca="1">IFERROR(__xludf.DUMMYFUNCTION("""COMPUTED_VALUE"""),2)</f>
        <v>2</v>
      </c>
      <c r="L8" s="62">
        <f ca="1">IFERROR(__xludf.DUMMYFUNCTION("""COMPUTED_VALUE"""),4120)</f>
        <v>4120</v>
      </c>
      <c r="M8" s="33" t="str">
        <f ca="1">IFERROR(__xludf.DUMMYFUNCTION("""COMPUTED_VALUE"""),"03 ORL")</f>
        <v>03 ORL</v>
      </c>
      <c r="N8" s="33" t="str">
        <f ca="1">IFERROR(__xludf.DUMMYFUNCTION("""COMPUTED_VALUE"""),"06 ORL")</f>
        <v>06 ORL</v>
      </c>
      <c r="O8" s="33" t="str">
        <f ca="1">IFERROR(__xludf.DUMMYFUNCTION("""COMPUTED_VALUE"""),"No recuerda ORL")</f>
        <v>No recuerda ORL</v>
      </c>
      <c r="P8" s="33" t="str">
        <f ca="1">IFERROR(__xludf.DUMMYFUNCTION("""COMPUTED_VALUE"""),"Luis Alberto Rodríguez (Andalucía y Badajoz)")</f>
        <v>Luis Alberto Rodríguez (Andalucía y Badajoz)</v>
      </c>
    </row>
    <row r="9" spans="1:27">
      <c r="B9" s="74">
        <f ca="1">IFERROR(__xludf.DUMMYFUNCTION("""COMPUTED_VALUE"""),2026)</f>
        <v>2026</v>
      </c>
      <c r="C9" s="56">
        <f ca="1">IFERROR(__xludf.DUMMYFUNCTION("""COMPUTED_VALUE"""),1)</f>
        <v>1</v>
      </c>
      <c r="D9" s="33" t="str">
        <f ca="1">IFERROR(__xludf.DUMMYFUNCTION("""COMPUTED_VALUE"""),"NO")</f>
        <v>NO</v>
      </c>
      <c r="E9" s="33" t="str">
        <f ca="1">IFERROR(__xludf.DUMMYFUNCTION("""COMPUTED_VALUE"""),"Getafe")</f>
        <v>Getafe</v>
      </c>
      <c r="F9" s="57">
        <f ca="1">IFERROR(__xludf.DUMMYFUNCTION("""COMPUTED_VALUE"""),46030)</f>
        <v>46030</v>
      </c>
      <c r="G9" s="57">
        <f ca="1">IFERROR(__xludf.DUMMYFUNCTION("""COMPUTED_VALUE"""),45988)</f>
        <v>45988</v>
      </c>
      <c r="H9" s="33" t="str">
        <f ca="1">IFERROR(__xludf.DUMMYFUNCTION("""COMPUTED_VALUE"""),"Getafe")</f>
        <v>Getafe</v>
      </c>
      <c r="I9" s="33" t="str">
        <f ca="1">IFERROR(__xludf.DUMMYFUNCTION("""COMPUTED_VALUE"""),"C202511271003718318")</f>
        <v>C202511271003718318</v>
      </c>
      <c r="J9" s="33" t="str">
        <f ca="1">IFERROR(__xludf.DUMMYFUNCTION("""COMPUTED_VALUE"""),"MARIA ROSA ALONSO GONZÁLEZ")</f>
        <v>MARIA ROSA ALONSO GONZÁLEZ</v>
      </c>
      <c r="K9" s="56">
        <f ca="1">IFERROR(__xludf.DUMMYFUNCTION("""COMPUTED_VALUE"""),2)</f>
        <v>2</v>
      </c>
      <c r="L9" s="62">
        <f ca="1">IFERROR(__xludf.DUMMYFUNCTION("""COMPUTED_VALUE"""),4136.36)</f>
        <v>4136.3599999999997</v>
      </c>
      <c r="M9" s="33" t="str">
        <f ca="1">IFERROR(__xludf.DUMMYFUNCTION("""COMPUTED_VALUE"""),"03 ORL")</f>
        <v>03 ORL</v>
      </c>
      <c r="N9" s="33" t="str">
        <f ca="1">IFERROR(__xludf.DUMMYFUNCTION("""COMPUTED_VALUE"""),"06 ORL")</f>
        <v>06 ORL</v>
      </c>
      <c r="O9" s="33" t="str">
        <f ca="1">IFERROR(__xludf.DUMMYFUNCTION("""COMPUTED_VALUE"""),"Dra, Marta Colmenero Ruiz")</f>
        <v>Dra, Marta Colmenero Ruiz</v>
      </c>
      <c r="P9" s="33" t="str">
        <f ca="1">IFERROR(__xludf.DUMMYFUNCTION("""COMPUTED_VALUE"""),"Maika Blázquez (Madrid)")</f>
        <v>Maika Blázquez (Madrid)</v>
      </c>
    </row>
    <row r="10" spans="1:27">
      <c r="B10" s="74">
        <f ca="1">IFERROR(__xludf.DUMMYFUNCTION("""COMPUTED_VALUE"""),2026)</f>
        <v>2026</v>
      </c>
      <c r="C10" s="56">
        <f ca="1">IFERROR(__xludf.DUMMYFUNCTION("""COMPUTED_VALUE"""),1)</f>
        <v>1</v>
      </c>
      <c r="D10" s="33" t="str">
        <f ca="1">IFERROR(__xludf.DUMMYFUNCTION("""COMPUTED_VALUE"""),"SI")</f>
        <v>SI</v>
      </c>
      <c r="E10" s="33" t="str">
        <f ca="1">IFERROR(__xludf.DUMMYFUNCTION("""COMPUTED_VALUE"""),"Madrid- Juan Bravo")</f>
        <v>Madrid- Juan Bravo</v>
      </c>
      <c r="F10" s="57">
        <f ca="1">IFERROR(__xludf.DUMMYFUNCTION("""COMPUTED_VALUE"""),46030)</f>
        <v>46030</v>
      </c>
      <c r="G10" s="57">
        <f ca="1">IFERROR(__xludf.DUMMYFUNCTION("""COMPUTED_VALUE"""),45058)</f>
        <v>45058</v>
      </c>
      <c r="H10" s="33" t="str">
        <f ca="1">IFERROR(__xludf.DUMMYFUNCTION("""COMPUTED_VALUE"""),"Juan Bravo")</f>
        <v>Juan Bravo</v>
      </c>
      <c r="I10" s="33" t="str">
        <f ca="1">IFERROR(__xludf.DUMMYFUNCTION("""COMPUTED_VALUE"""),"JBR-1800")</f>
        <v>JBR-1800</v>
      </c>
      <c r="J10" s="33" t="str">
        <f ca="1">IFERROR(__xludf.DUMMYFUNCTION("""COMPUTED_VALUE"""),"JOSE LUIS RODRIGUEZ SIERRA")</f>
        <v>JOSE LUIS RODRIGUEZ SIERRA</v>
      </c>
      <c r="K10" s="56">
        <f ca="1">IFERROR(__xludf.DUMMYFUNCTION("""COMPUTED_VALUE"""),1)</f>
        <v>1</v>
      </c>
      <c r="L10" s="62">
        <f ca="1">IFERROR(__xludf.DUMMYFUNCTION("""COMPUTED_VALUE"""),1543.52)</f>
        <v>1543.52</v>
      </c>
      <c r="M10" s="33" t="str">
        <f ca="1">IFERROR(__xludf.DUMMYFUNCTION("""COMPUTED_VALUE"""),"04 TIENDA")</f>
        <v>04 TIENDA</v>
      </c>
      <c r="N10" s="33" t="str">
        <f ca="1">IFERROR(__xludf.DUMMYFUNCTION("""COMPUTED_VALUE"""),"10 REVISIÓN POST-VENTA")</f>
        <v>10 REVISIÓN POST-VENTA</v>
      </c>
      <c r="O10" s="33" t="str">
        <f ca="1">IFERROR(__xludf.DUMMYFUNCTION("""COMPUTED_VALUE"""),"Dr, Joaquín Alacio Casero")</f>
        <v>Dr, Joaquín Alacio Casero</v>
      </c>
      <c r="P10" s="33" t="str">
        <f ca="1">IFERROR(__xludf.DUMMYFUNCTION("""COMPUTED_VALUE"""),"Maika Blázquez (Madrid)")</f>
        <v>Maika Blázquez (Madrid)</v>
      </c>
    </row>
    <row r="11" spans="1:27">
      <c r="B11" s="74">
        <f ca="1">IFERROR(__xludf.DUMMYFUNCTION("""COMPUTED_VALUE"""),2026)</f>
        <v>2026</v>
      </c>
      <c r="C11" s="56">
        <f ca="1">IFERROR(__xludf.DUMMYFUNCTION("""COMPUTED_VALUE"""),1)</f>
        <v>1</v>
      </c>
      <c r="D11" s="33" t="str">
        <f ca="1">IFERROR(__xludf.DUMMYFUNCTION("""COMPUTED_VALUE"""),"NO")</f>
        <v>NO</v>
      </c>
      <c r="E11" s="33" t="str">
        <f ca="1">IFERROR(__xludf.DUMMYFUNCTION("""COMPUTED_VALUE"""),"Madrid- La Oca")</f>
        <v>Madrid- La Oca</v>
      </c>
      <c r="F11" s="57">
        <f ca="1">IFERROR(__xludf.DUMMYFUNCTION("""COMPUTED_VALUE"""),46031)</f>
        <v>46031</v>
      </c>
      <c r="G11" s="57">
        <f ca="1">IFERROR(__xludf.DUMMYFUNCTION("""COMPUTED_VALUE"""),45985)</f>
        <v>45985</v>
      </c>
      <c r="H11" s="33" t="str">
        <f ca="1">IFERROR(__xludf.DUMMYFUNCTION("""COMPUTED_VALUE"""),"La Oca")</f>
        <v>La Oca</v>
      </c>
      <c r="I11" s="33" t="str">
        <f ca="1">IFERROR(__xludf.DUMMYFUNCTION("""COMPUTED_VALUE"""),"C202511241158254265")</f>
        <v>C202511241158254265</v>
      </c>
      <c r="J11" s="33" t="str">
        <f ca="1">IFERROR(__xludf.DUMMYFUNCTION("""COMPUTED_VALUE"""),"MARIA DEL CARMEN GARCIA ROYO")</f>
        <v>MARIA DEL CARMEN GARCIA ROYO</v>
      </c>
      <c r="K11" s="56">
        <f ca="1">IFERROR(__xludf.DUMMYFUNCTION("""COMPUTED_VALUE"""),2)</f>
        <v>2</v>
      </c>
      <c r="L11" s="62">
        <f ca="1">IFERROR(__xludf.DUMMYFUNCTION("""COMPUTED_VALUE"""),3631.82)</f>
        <v>3631.82</v>
      </c>
      <c r="M11" s="33" t="str">
        <f ca="1">IFERROR(__xludf.DUMMYFUNCTION("""COMPUTED_VALUE"""),"03 ORL")</f>
        <v>03 ORL</v>
      </c>
      <c r="N11" s="33" t="str">
        <f ca="1">IFERROR(__xludf.DUMMYFUNCTION("""COMPUTED_VALUE"""),"06 ORL")</f>
        <v>06 ORL</v>
      </c>
      <c r="O11" s="33" t="str">
        <f ca="1">IFERROR(__xludf.DUMMYFUNCTION("""COMPUTED_VALUE"""),"Dr, Joaquín Alacio Casero")</f>
        <v>Dr, Joaquín Alacio Casero</v>
      </c>
      <c r="P11" s="33" t="str">
        <f ca="1">IFERROR(__xludf.DUMMYFUNCTION("""COMPUTED_VALUE"""),"Maika Blázquez (Madrid)")</f>
        <v>Maika Blázquez (Madrid)</v>
      </c>
    </row>
    <row r="12" spans="1:27">
      <c r="B12" s="74">
        <f ca="1">IFERROR(__xludf.DUMMYFUNCTION("""COMPUTED_VALUE"""),2026)</f>
        <v>2026</v>
      </c>
      <c r="C12" s="65">
        <f ca="1">IFERROR(__xludf.DUMMYFUNCTION("""COMPUTED_VALUE"""),1)</f>
        <v>1</v>
      </c>
      <c r="D12" s="1" t="str">
        <f ca="1">IFERROR(__xludf.DUMMYFUNCTION("""COMPUTED_VALUE"""),"NO")</f>
        <v>NO</v>
      </c>
      <c r="E12" s="33" t="str">
        <f ca="1">IFERROR(__xludf.DUMMYFUNCTION("""COMPUTED_VALUE"""),"Zaragoza- León XIII")</f>
        <v>Zaragoza- León XIII</v>
      </c>
      <c r="F12" s="57">
        <f ca="1">IFERROR(__xludf.DUMMYFUNCTION("""COMPUTED_VALUE"""),46031)</f>
        <v>46031</v>
      </c>
      <c r="G12" s="57">
        <f ca="1">IFERROR(__xludf.DUMMYFUNCTION("""COMPUTED_VALUE"""),45932)</f>
        <v>45932</v>
      </c>
      <c r="H12" s="33" t="str">
        <f ca="1">IFERROR(__xludf.DUMMYFUNCTION("""COMPUTED_VALUE"""),"Zaragoza")</f>
        <v>Zaragoza</v>
      </c>
      <c r="I12" s="33" t="str">
        <f ca="1">IFERROR(__xludf.DUMMYFUNCTION("""COMPUTED_VALUE"""),"C202510711221228")</f>
        <v>C202510711221228</v>
      </c>
      <c r="J12" s="33" t="str">
        <f ca="1">IFERROR(__xludf.DUMMYFUNCTION("""COMPUTED_VALUE"""),"MIGUEL ÁNGEL GASCA SANCHO")</f>
        <v>MIGUEL ÁNGEL GASCA SANCHO</v>
      </c>
      <c r="K12" s="56">
        <f ca="1">IFERROR(__xludf.DUMMYFUNCTION("""COMPUTED_VALUE"""),2)</f>
        <v>2</v>
      </c>
      <c r="L12" s="62">
        <f ca="1">IFERROR(__xludf.DUMMYFUNCTION("""COMPUTED_VALUE"""),3424.55)</f>
        <v>3424.55</v>
      </c>
      <c r="M12" s="33" t="str">
        <f ca="1">IFERROR(__xludf.DUMMYFUNCTION("""COMPUTED_VALUE"""),"03 ORL")</f>
        <v>03 ORL</v>
      </c>
      <c r="N12" s="33" t="str">
        <f ca="1">IFERROR(__xludf.DUMMYFUNCTION("""COMPUTED_VALUE"""),"06 ORL")</f>
        <v>06 ORL</v>
      </c>
      <c r="O12" s="33" t="str">
        <f ca="1">IFERROR(__xludf.DUMMYFUNCTION("""COMPUTED_VALUE"""),"Dr, Jaime Leache Pueyo")</f>
        <v>Dr, Jaime Leache Pueyo</v>
      </c>
      <c r="P12" s="33" t="str">
        <f ca="1">IFERROR(__xludf.DUMMYFUNCTION("""COMPUTED_VALUE"""),"Mercè Cabrera (Cataluña y Baleares)")</f>
        <v>Mercè Cabrera (Cataluña y Baleares)</v>
      </c>
    </row>
    <row r="13" spans="1:27">
      <c r="B13" s="74">
        <f ca="1">IFERROR(__xludf.DUMMYFUNCTION("""COMPUTED_VALUE"""),2026)</f>
        <v>2026</v>
      </c>
      <c r="C13" s="65">
        <f ca="1">IFERROR(__xludf.DUMMYFUNCTION("""COMPUTED_VALUE"""),1)</f>
        <v>1</v>
      </c>
      <c r="D13" s="33" t="str">
        <f ca="1">IFERROR(__xludf.DUMMYFUNCTION("""COMPUTED_VALUE"""),"NO")</f>
        <v>NO</v>
      </c>
      <c r="E13" s="33" t="str">
        <f ca="1">IFERROR(__xludf.DUMMYFUNCTION("""COMPUTED_VALUE"""),"Fuenlabrada")</f>
        <v>Fuenlabrada</v>
      </c>
      <c r="F13" s="57">
        <f ca="1">IFERROR(__xludf.DUMMYFUNCTION("""COMPUTED_VALUE"""),46031)</f>
        <v>46031</v>
      </c>
      <c r="G13" s="57">
        <f ca="1">IFERROR(__xludf.DUMMYFUNCTION("""COMPUTED_VALUE"""),46006)</f>
        <v>46006</v>
      </c>
      <c r="H13" s="33" t="str">
        <f ca="1">IFERROR(__xludf.DUMMYFUNCTION("""COMPUTED_VALUE"""),"Fuenlabrada")</f>
        <v>Fuenlabrada</v>
      </c>
      <c r="I13" s="33" t="str">
        <f ca="1">IFERROR(__xludf.DUMMYFUNCTION("""COMPUTED_VALUE"""),"C202512151217324826")</f>
        <v>C202512151217324826</v>
      </c>
      <c r="J13" s="33" t="str">
        <f ca="1">IFERROR(__xludf.DUMMYFUNCTION("""COMPUTED_VALUE"""),"Mª CARMEN DELGADO ANTON")</f>
        <v>Mª CARMEN DELGADO ANTON</v>
      </c>
      <c r="K13" s="56">
        <f ca="1">IFERROR(__xludf.DUMMYFUNCTION("""COMPUTED_VALUE"""),1)</f>
        <v>1</v>
      </c>
      <c r="L13" s="62">
        <f ca="1">IFERROR(__xludf.DUMMYFUNCTION("""COMPUTED_VALUE"""),2180.91)</f>
        <v>2180.91</v>
      </c>
      <c r="M13" s="33" t="str">
        <f ca="1">IFERROR(__xludf.DUMMYFUNCTION("""COMPUTED_VALUE"""),"03 ORL")</f>
        <v>03 ORL</v>
      </c>
      <c r="N13" s="33" t="str">
        <f ca="1">IFERROR(__xludf.DUMMYFUNCTION("""COMPUTED_VALUE"""),"06 ORL")</f>
        <v>06 ORL</v>
      </c>
      <c r="O13" s="33" t="str">
        <f ca="1">IFERROR(__xludf.DUMMYFUNCTION("""COMPUTED_VALUE"""),"Dra, Estefania Miranda Sánchez")</f>
        <v>Dra, Estefania Miranda Sánchez</v>
      </c>
      <c r="P13" s="33" t="str">
        <f ca="1">IFERROR(__xludf.DUMMYFUNCTION("""COMPUTED_VALUE"""),"Maika Blázquez (Madrid)")</f>
        <v>Maika Blázquez (Madrid)</v>
      </c>
    </row>
    <row r="14" spans="1:27">
      <c r="B14" s="74">
        <f ca="1">IFERROR(__xludf.DUMMYFUNCTION("""COMPUTED_VALUE"""),2026)</f>
        <v>2026</v>
      </c>
      <c r="C14" s="56">
        <f ca="1">IFERROR(__xludf.DUMMYFUNCTION("""COMPUTED_VALUE"""),1)</f>
        <v>1</v>
      </c>
      <c r="D14" s="1" t="str">
        <f ca="1">IFERROR(__xludf.DUMMYFUNCTION("""COMPUTED_VALUE"""),"NO")</f>
        <v>NO</v>
      </c>
      <c r="E14" s="33" t="str">
        <f ca="1">IFERROR(__xludf.DUMMYFUNCTION("""COMPUTED_VALUE"""),"Sevilla- Montoto")</f>
        <v>Sevilla- Montoto</v>
      </c>
      <c r="F14" s="57">
        <f ca="1">IFERROR(__xludf.DUMMYFUNCTION("""COMPUTED_VALUE"""),46034)</f>
        <v>46034</v>
      </c>
      <c r="G14" s="57">
        <f ca="1">IFERROR(__xludf.DUMMYFUNCTION("""COMPUTED_VALUE"""),45623)</f>
        <v>45623</v>
      </c>
      <c r="H14" s="33" t="str">
        <f ca="1">IFERROR(__xludf.DUMMYFUNCTION("""COMPUTED_VALUE"""),"Montoto")</f>
        <v>Montoto</v>
      </c>
      <c r="I14" s="33" t="str">
        <f ca="1">IFERROR(__xludf.DUMMYFUNCTION("""COMPUTED_VALUE"""),"C2024112910652762")</f>
        <v>C2024112910652762</v>
      </c>
      <c r="J14" s="33" t="str">
        <f ca="1">IFERROR(__xludf.DUMMYFUNCTION("""COMPUTED_VALUE"""),"SONIA SUAREZ FERNANDEZ")</f>
        <v>SONIA SUAREZ FERNANDEZ</v>
      </c>
      <c r="K14" s="56">
        <f ca="1">IFERROR(__xludf.DUMMYFUNCTION("""COMPUTED_VALUE"""),1)</f>
        <v>1</v>
      </c>
      <c r="L14" s="62">
        <f ca="1">IFERROR(__xludf.DUMMYFUNCTION("""COMPUTED_VALUE"""),2072.73)</f>
        <v>2072.73</v>
      </c>
      <c r="M14" s="33" t="str">
        <f ca="1">IFERROR(__xludf.DUMMYFUNCTION("""COMPUTED_VALUE"""),"03 ORL")</f>
        <v>03 ORL</v>
      </c>
      <c r="N14" s="33" t="str">
        <f ca="1">IFERROR(__xludf.DUMMYFUNCTION("""COMPUTED_VALUE"""),"06 ORL")</f>
        <v>06 ORL</v>
      </c>
      <c r="O14" s="33" t="str">
        <f ca="1">IFERROR(__xludf.DUMMYFUNCTION("""COMPUTED_VALUE"""),"Dra, María Luisa Calero Ramos")</f>
        <v>Dra, María Luisa Calero Ramos</v>
      </c>
      <c r="P14" s="33" t="str">
        <f ca="1">IFERROR(__xludf.DUMMYFUNCTION("""COMPUTED_VALUE"""),"Luis Alberto Rodríguez (Andalucía y Badajoz)")</f>
        <v>Luis Alberto Rodríguez (Andalucía y Badajoz)</v>
      </c>
    </row>
    <row r="15" spans="1:27">
      <c r="B15" s="74">
        <f ca="1">IFERROR(__xludf.DUMMYFUNCTION("""COMPUTED_VALUE"""),2026)</f>
        <v>2026</v>
      </c>
      <c r="C15" s="56">
        <f ca="1">IFERROR(__xludf.DUMMYFUNCTION("""COMPUTED_VALUE"""),1)</f>
        <v>1</v>
      </c>
      <c r="D15" s="1" t="str">
        <f ca="1">IFERROR(__xludf.DUMMYFUNCTION("""COMPUTED_VALUE"""),"NO")</f>
        <v>NO</v>
      </c>
      <c r="E15" s="33" t="str">
        <f ca="1">IFERROR(__xludf.DUMMYFUNCTION("""COMPUTED_VALUE"""),"Alicante")</f>
        <v>Alicante</v>
      </c>
      <c r="F15" s="57">
        <f ca="1">IFERROR(__xludf.DUMMYFUNCTION("""COMPUTED_VALUE"""),46034)</f>
        <v>46034</v>
      </c>
      <c r="G15" s="57">
        <f ca="1">IFERROR(__xludf.DUMMYFUNCTION("""COMPUTED_VALUE"""),46006)</f>
        <v>46006</v>
      </c>
      <c r="H15" s="33" t="str">
        <f ca="1">IFERROR(__xludf.DUMMYFUNCTION("""COMPUTED_VALUE"""),"Alicante")</f>
        <v>Alicante</v>
      </c>
      <c r="I15" s="33" t="str">
        <f ca="1">IFERROR(__xludf.DUMMYFUNCTION("""COMPUTED_VALUE"""),"C202512158433763329")</f>
        <v>C202512158433763329</v>
      </c>
      <c r="J15" s="33" t="str">
        <f ca="1">IFERROR(__xludf.DUMMYFUNCTION("""COMPUTED_VALUE"""),"TERESA VENTURA RODRIGUEZ")</f>
        <v>TERESA VENTURA RODRIGUEZ</v>
      </c>
      <c r="K15" s="56">
        <f ca="1">IFERROR(__xludf.DUMMYFUNCTION("""COMPUTED_VALUE"""),2)</f>
        <v>2</v>
      </c>
      <c r="L15" s="62">
        <f ca="1">IFERROR(__xludf.DUMMYFUNCTION("""COMPUTED_VALUE"""),2718.18)</f>
        <v>2718.18</v>
      </c>
      <c r="M15" s="33" t="str">
        <f ca="1">IFERROR(__xludf.DUMMYFUNCTION("""COMPUTED_VALUE"""),"03 ORL")</f>
        <v>03 ORL</v>
      </c>
      <c r="N15" s="33" t="str">
        <f ca="1">IFERROR(__xludf.DUMMYFUNCTION("""COMPUTED_VALUE"""),"06 ORL")</f>
        <v>06 ORL</v>
      </c>
      <c r="O15" s="33" t="str">
        <f ca="1">IFERROR(__xludf.DUMMYFUNCTION("""COMPUTED_VALUE"""),"Dra, Cristina Muñoz Pinto")</f>
        <v>Dra, Cristina Muñoz Pinto</v>
      </c>
      <c r="P15" s="33" t="str">
        <f ca="1">IFERROR(__xludf.DUMMYFUNCTION("""COMPUTED_VALUE"""),"Iván Sánchez (Levante y Albacete)")</f>
        <v>Iván Sánchez (Levante y Albacete)</v>
      </c>
    </row>
    <row r="16" spans="1:27">
      <c r="B16" s="74">
        <f ca="1">IFERROR(__xludf.DUMMYFUNCTION("""COMPUTED_VALUE"""),2026)</f>
        <v>2026</v>
      </c>
      <c r="C16" s="56">
        <f ca="1">IFERROR(__xludf.DUMMYFUNCTION("""COMPUTED_VALUE"""),1)</f>
        <v>1</v>
      </c>
      <c r="D16" s="33" t="str">
        <f ca="1">IFERROR(__xludf.DUMMYFUNCTION("""COMPUTED_VALUE"""),"NO")</f>
        <v>NO</v>
      </c>
      <c r="E16" s="33" t="str">
        <f ca="1">IFERROR(__xludf.DUMMYFUNCTION("""COMPUTED_VALUE"""),"Getafe")</f>
        <v>Getafe</v>
      </c>
      <c r="F16" s="57">
        <f ca="1">IFERROR(__xludf.DUMMYFUNCTION("""COMPUTED_VALUE"""),46034)</f>
        <v>46034</v>
      </c>
      <c r="G16" s="57">
        <f ca="1">IFERROR(__xludf.DUMMYFUNCTION("""COMPUTED_VALUE"""),45966)</f>
        <v>45966</v>
      </c>
      <c r="H16" s="33" t="str">
        <f ca="1">IFERROR(__xludf.DUMMYFUNCTION("""COMPUTED_VALUE"""),"Getafe")</f>
        <v>Getafe</v>
      </c>
      <c r="I16" s="33" t="str">
        <f ca="1">IFERROR(__xludf.DUMMYFUNCTION("""COMPUTED_VALUE"""),"C202511594452200485")</f>
        <v>C202511594452200485</v>
      </c>
      <c r="J16" s="33" t="str">
        <f ca="1">IFERROR(__xludf.DUMMYFUNCTION("""COMPUTED_VALUE"""),"JUAN JESÚS MAYA TORREJÓN")</f>
        <v>JUAN JESÚS MAYA TORREJÓN</v>
      </c>
      <c r="K16" s="56">
        <f ca="1">IFERROR(__xludf.DUMMYFUNCTION("""COMPUTED_VALUE"""),1)</f>
        <v>1</v>
      </c>
      <c r="L16" s="62">
        <f ca="1">IFERROR(__xludf.DUMMYFUNCTION("""COMPUTED_VALUE"""),2481.82)</f>
        <v>2481.8200000000002</v>
      </c>
      <c r="M16" s="33" t="str">
        <f ca="1">IFERROR(__xludf.DUMMYFUNCTION("""COMPUTED_VALUE"""),"03 ORL")</f>
        <v>03 ORL</v>
      </c>
      <c r="N16" s="33" t="str">
        <f ca="1">IFERROR(__xludf.DUMMYFUNCTION("""COMPUTED_VALUE"""),"06 ORL")</f>
        <v>06 ORL</v>
      </c>
      <c r="O16" s="33" t="str">
        <f ca="1">IFERROR(__xludf.DUMMYFUNCTION("""COMPUTED_VALUE"""),"Dra, Paula Morales Chacchi")</f>
        <v>Dra, Paula Morales Chacchi</v>
      </c>
      <c r="P16" s="33" t="str">
        <f ca="1">IFERROR(__xludf.DUMMYFUNCTION("""COMPUTED_VALUE"""),"Maika Blázquez (Madrid)")</f>
        <v>Maika Blázquez (Madrid)</v>
      </c>
    </row>
    <row r="17" spans="2:16">
      <c r="B17" s="74">
        <f ca="1">IFERROR(__xludf.DUMMYFUNCTION("""COMPUTED_VALUE"""),2026)</f>
        <v>2026</v>
      </c>
      <c r="C17" s="56">
        <f ca="1">IFERROR(__xludf.DUMMYFUNCTION("""COMPUTED_VALUE"""),1)</f>
        <v>1</v>
      </c>
      <c r="D17" s="33" t="str">
        <f ca="1">IFERROR(__xludf.DUMMYFUNCTION("""COMPUTED_VALUE"""),"NO")</f>
        <v>NO</v>
      </c>
      <c r="E17" s="33" t="str">
        <f ca="1">IFERROR(__xludf.DUMMYFUNCTION("""COMPUTED_VALUE"""),"Cáceres")</f>
        <v>Cáceres</v>
      </c>
      <c r="F17" s="57">
        <f ca="1">IFERROR(__xludf.DUMMYFUNCTION("""COMPUTED_VALUE"""),46035)</f>
        <v>46035</v>
      </c>
      <c r="G17" s="57">
        <f ca="1">IFERROR(__xludf.DUMMYFUNCTION("""COMPUTED_VALUE"""),45996)</f>
        <v>45996</v>
      </c>
      <c r="H17" s="33" t="str">
        <f ca="1">IFERROR(__xludf.DUMMYFUNCTION("""COMPUTED_VALUE"""),"Cáceres")</f>
        <v>Cáceres</v>
      </c>
      <c r="I17" s="33" t="str">
        <f ca="1">IFERROR(__xludf.DUMMYFUNCTION("""COMPUTED_VALUE"""),"C202512594841242568")</f>
        <v>C202512594841242568</v>
      </c>
      <c r="J17" s="33" t="str">
        <f ca="1">IFERROR(__xludf.DUMMYFUNCTION("""COMPUTED_VALUE"""),"MARIA ISABEL GUERRERO CASTRO")</f>
        <v>MARIA ISABEL GUERRERO CASTRO</v>
      </c>
      <c r="K17" s="56">
        <f ca="1">IFERROR(__xludf.DUMMYFUNCTION("""COMPUTED_VALUE"""),1)</f>
        <v>1</v>
      </c>
      <c r="L17" s="62">
        <f ca="1">IFERROR(__xludf.DUMMYFUNCTION("""COMPUTED_VALUE"""),2745)</f>
        <v>2745</v>
      </c>
      <c r="M17" s="33" t="str">
        <f ca="1">IFERROR(__xludf.DUMMYFUNCTION("""COMPUTED_VALUE"""),"03 ORL")</f>
        <v>03 ORL</v>
      </c>
      <c r="N17" s="33" t="str">
        <f ca="1">IFERROR(__xludf.DUMMYFUNCTION("""COMPUTED_VALUE"""),"06 ORL")</f>
        <v>06 ORL</v>
      </c>
      <c r="O17" s="33" t="str">
        <f ca="1">IFERROR(__xludf.DUMMYFUNCTION("""COMPUTED_VALUE"""),"Dra, Marta García Jiménez")</f>
        <v>Dra, Marta García Jiménez</v>
      </c>
      <c r="P17" s="33" t="str">
        <f ca="1">IFERROR(__xludf.DUMMYFUNCTION("""COMPUTED_VALUE"""),"Lisandro Russian (Madrid, Cáceres, Toledo, Talavera y Logroño)")</f>
        <v>Lisandro Russian (Madrid, Cáceres, Toledo, Talavera y Logroño)</v>
      </c>
    </row>
    <row r="18" spans="2:16">
      <c r="B18" s="74">
        <f ca="1">IFERROR(__xludf.DUMMYFUNCTION("""COMPUTED_VALUE"""),2026)</f>
        <v>2026</v>
      </c>
      <c r="C18" s="56">
        <f ca="1">IFERROR(__xludf.DUMMYFUNCTION("""COMPUTED_VALUE"""),1)</f>
        <v>1</v>
      </c>
      <c r="D18" s="33" t="str">
        <f ca="1">IFERROR(__xludf.DUMMYFUNCTION("""COMPUTED_VALUE"""),"NO")</f>
        <v>NO</v>
      </c>
      <c r="E18" s="33" t="str">
        <f ca="1">IFERROR(__xludf.DUMMYFUNCTION("""COMPUTED_VALUE"""),"Fuenlabrada")</f>
        <v>Fuenlabrada</v>
      </c>
      <c r="F18" s="57">
        <f ca="1">IFERROR(__xludf.DUMMYFUNCTION("""COMPUTED_VALUE"""),46035)</f>
        <v>46035</v>
      </c>
      <c r="G18" s="57">
        <f ca="1">IFERROR(__xludf.DUMMYFUNCTION("""COMPUTED_VALUE"""),46008)</f>
        <v>46008</v>
      </c>
      <c r="H18" s="33" t="str">
        <f ca="1">IFERROR(__xludf.DUMMYFUNCTION("""COMPUTED_VALUE"""),"Fuenlabrada")</f>
        <v>Fuenlabrada</v>
      </c>
      <c r="I18" s="33" t="str">
        <f ca="1">IFERROR(__xludf.DUMMYFUNCTION("""COMPUTED_VALUE"""),"C202512179181772442")</f>
        <v>C202512179181772442</v>
      </c>
      <c r="J18" s="33" t="str">
        <f ca="1">IFERROR(__xludf.DUMMYFUNCTION("""COMPUTED_VALUE"""),"CARMEN DIOS CAAMAÑO")</f>
        <v>CARMEN DIOS CAAMAÑO</v>
      </c>
      <c r="K18" s="56">
        <f ca="1">IFERROR(__xludf.DUMMYFUNCTION("""COMPUTED_VALUE"""),1)</f>
        <v>1</v>
      </c>
      <c r="L18" s="62">
        <f ca="1">IFERROR(__xludf.DUMMYFUNCTION("""COMPUTED_VALUE"""),2180.91)</f>
        <v>2180.91</v>
      </c>
      <c r="M18" s="33" t="str">
        <f ca="1">IFERROR(__xludf.DUMMYFUNCTION("""COMPUTED_VALUE"""),"03 ORL")</f>
        <v>03 ORL</v>
      </c>
      <c r="N18" s="33" t="str">
        <f ca="1">IFERROR(__xludf.DUMMYFUNCTION("""COMPUTED_VALUE"""),"06 ORL")</f>
        <v>06 ORL</v>
      </c>
      <c r="O18" s="33" t="str">
        <f ca="1">IFERROR(__xludf.DUMMYFUNCTION("""COMPUTED_VALUE"""),"Dra, Concepcion Rodríguez Izquierdo")</f>
        <v>Dra, Concepcion Rodríguez Izquierdo</v>
      </c>
      <c r="P18" s="33" t="str">
        <f ca="1">IFERROR(__xludf.DUMMYFUNCTION("""COMPUTED_VALUE"""),"Maika Blázquez (Madrid)")</f>
        <v>Maika Blázquez (Madrid)</v>
      </c>
    </row>
    <row r="19" spans="2:16">
      <c r="B19" s="74">
        <f ca="1">IFERROR(__xludf.DUMMYFUNCTION("""COMPUTED_VALUE"""),2026)</f>
        <v>2026</v>
      </c>
      <c r="C19" s="56">
        <f ca="1">IFERROR(__xludf.DUMMYFUNCTION("""COMPUTED_VALUE"""),1)</f>
        <v>1</v>
      </c>
      <c r="D19" s="33" t="str">
        <f ca="1">IFERROR(__xludf.DUMMYFUNCTION("""COMPUTED_VALUE"""),"NO")</f>
        <v>NO</v>
      </c>
      <c r="E19" s="33" t="str">
        <f ca="1">IFERROR(__xludf.DUMMYFUNCTION("""COMPUTED_VALUE"""),"Murcia")</f>
        <v>Murcia</v>
      </c>
      <c r="F19" s="57">
        <f ca="1">IFERROR(__xludf.DUMMYFUNCTION("""COMPUTED_VALUE"""),46035)</f>
        <v>46035</v>
      </c>
      <c r="G19" s="57">
        <f ca="1">IFERROR(__xludf.DUMMYFUNCTION("""COMPUTED_VALUE"""),46003)</f>
        <v>46003</v>
      </c>
      <c r="H19" s="33" t="str">
        <f ca="1">IFERROR(__xludf.DUMMYFUNCTION("""COMPUTED_VALUE"""),"Murcia")</f>
        <v>Murcia</v>
      </c>
      <c r="I19" s="33" t="str">
        <f ca="1">IFERROR(__xludf.DUMMYFUNCTION("""COMPUTED_VALUE"""),"C202512121136583127")</f>
        <v>C202512121136583127</v>
      </c>
      <c r="J19" s="33" t="str">
        <f ca="1">IFERROR(__xludf.DUMMYFUNCTION("""COMPUTED_VALUE"""),"JESUS MORENO LOPEZ")</f>
        <v>JESUS MORENO LOPEZ</v>
      </c>
      <c r="K19" s="56">
        <f ca="1">IFERROR(__xludf.DUMMYFUNCTION("""COMPUTED_VALUE"""),2)</f>
        <v>2</v>
      </c>
      <c r="L19" s="62">
        <f ca="1">IFERROR(__xludf.DUMMYFUNCTION("""COMPUTED_VALUE"""),2580.77)</f>
        <v>2580.77</v>
      </c>
      <c r="M19" s="33" t="str">
        <f ca="1">IFERROR(__xludf.DUMMYFUNCTION("""COMPUTED_VALUE"""),"03 ORL")</f>
        <v>03 ORL</v>
      </c>
      <c r="N19" s="33" t="str">
        <f ca="1">IFERROR(__xludf.DUMMYFUNCTION("""COMPUTED_VALUE"""),"06 ORL")</f>
        <v>06 ORL</v>
      </c>
      <c r="O19" s="33" t="str">
        <f ca="1">IFERROR(__xludf.DUMMYFUNCTION("""COMPUTED_VALUE"""),"Dra, Alejandra Jara Maquilón")</f>
        <v>Dra, Alejandra Jara Maquilón</v>
      </c>
      <c r="P19" s="33" t="str">
        <f ca="1">IFERROR(__xludf.DUMMYFUNCTION("""COMPUTED_VALUE"""),"Iván Sánchez (Levante y Albacete)")</f>
        <v>Iván Sánchez (Levante y Albacete)</v>
      </c>
    </row>
    <row r="20" spans="2:16">
      <c r="B20" s="74">
        <f ca="1">IFERROR(__xludf.DUMMYFUNCTION("""COMPUTED_VALUE"""),2026)</f>
        <v>2026</v>
      </c>
      <c r="C20" s="56">
        <f ca="1">IFERROR(__xludf.DUMMYFUNCTION("""COMPUTED_VALUE"""),1)</f>
        <v>1</v>
      </c>
      <c r="D20" s="33" t="str">
        <f ca="1">IFERROR(__xludf.DUMMYFUNCTION("""COMPUTED_VALUE"""),"NO")</f>
        <v>NO</v>
      </c>
      <c r="E20" s="33" t="str">
        <f ca="1">IFERROR(__xludf.DUMMYFUNCTION("""COMPUTED_VALUE"""),"Sevilla- Montoto")</f>
        <v>Sevilla- Montoto</v>
      </c>
      <c r="F20" s="57">
        <f ca="1">IFERROR(__xludf.DUMMYFUNCTION("""COMPUTED_VALUE"""),46036)</f>
        <v>46036</v>
      </c>
      <c r="G20" s="57">
        <f ca="1">IFERROR(__xludf.DUMMYFUNCTION("""COMPUTED_VALUE"""),45985)</f>
        <v>45985</v>
      </c>
      <c r="H20" s="33" t="str">
        <f ca="1">IFERROR(__xludf.DUMMYFUNCTION("""COMPUTED_VALUE"""),"Montoto")</f>
        <v>Montoto</v>
      </c>
      <c r="I20" s="33" t="str">
        <f ca="1">IFERROR(__xludf.DUMMYFUNCTION("""COMPUTED_VALUE"""),"C202511241120341965")</f>
        <v>C202511241120341965</v>
      </c>
      <c r="J20" s="33" t="str">
        <f ca="1">IFERROR(__xludf.DUMMYFUNCTION("""COMPUTED_VALUE"""),"MIGUEL FONTANILLA RABANEDA")</f>
        <v>MIGUEL FONTANILLA RABANEDA</v>
      </c>
      <c r="K20" s="56">
        <f ca="1">IFERROR(__xludf.DUMMYFUNCTION("""COMPUTED_VALUE"""),2)</f>
        <v>2</v>
      </c>
      <c r="L20" s="62">
        <f ca="1">IFERROR(__xludf.DUMMYFUNCTION("""COMPUTED_VALUE"""),3631.82)</f>
        <v>3631.82</v>
      </c>
      <c r="M20" s="33" t="str">
        <f ca="1">IFERROR(__xludf.DUMMYFUNCTION("""COMPUTED_VALUE"""),"01 MARKETING ON LINE")</f>
        <v>01 MARKETING ON LINE</v>
      </c>
      <c r="N20" s="33" t="str">
        <f ca="1">IFERROR(__xludf.DUMMYFUNCTION("""COMPUTED_VALUE"""),"04 AUDIFONO,ES")</f>
        <v>04 AUDIFONO,ES</v>
      </c>
      <c r="O20" s="33" t="str">
        <f ca="1">IFERROR(__xludf.DUMMYFUNCTION("""COMPUTED_VALUE"""),"Dr, Francisco Javier Aguilar Vera")</f>
        <v>Dr, Francisco Javier Aguilar Vera</v>
      </c>
      <c r="P20" s="33" t="str">
        <f ca="1">IFERROR(__xludf.DUMMYFUNCTION("""COMPUTED_VALUE"""),"Luis Alberto Rodríguez (Andalucía y Badajoz)")</f>
        <v>Luis Alberto Rodríguez (Andalucía y Badajoz)</v>
      </c>
    </row>
    <row r="21" spans="2:16">
      <c r="B21" s="74">
        <f ca="1">IFERROR(__xludf.DUMMYFUNCTION("""COMPUTED_VALUE"""),2026)</f>
        <v>2026</v>
      </c>
      <c r="C21" s="56">
        <f ca="1">IFERROR(__xludf.DUMMYFUNCTION("""COMPUTED_VALUE"""),1)</f>
        <v>1</v>
      </c>
      <c r="D21" s="33" t="str">
        <f ca="1">IFERROR(__xludf.DUMMYFUNCTION("""COMPUTED_VALUE"""),"NO")</f>
        <v>NO</v>
      </c>
      <c r="E21" s="33" t="str">
        <f ca="1">IFERROR(__xludf.DUMMYFUNCTION("""COMPUTED_VALUE"""),"Madrid- La Oca")</f>
        <v>Madrid- La Oca</v>
      </c>
      <c r="F21" s="57">
        <f ca="1">IFERROR(__xludf.DUMMYFUNCTION("""COMPUTED_VALUE"""),46036)</f>
        <v>46036</v>
      </c>
      <c r="G21" s="57">
        <f ca="1">IFERROR(__xludf.DUMMYFUNCTION("""COMPUTED_VALUE"""),46002)</f>
        <v>46002</v>
      </c>
      <c r="H21" s="33" t="str">
        <f ca="1">IFERROR(__xludf.DUMMYFUNCTION("""COMPUTED_VALUE"""),"La Oca")</f>
        <v>La Oca</v>
      </c>
      <c r="I21" s="33" t="str">
        <f ca="1">IFERROR(__xludf.DUMMYFUNCTION("""COMPUTED_VALUE"""),"C202512111114179041")</f>
        <v>C202512111114179041</v>
      </c>
      <c r="J21" s="33" t="str">
        <f ca="1">IFERROR(__xludf.DUMMYFUNCTION("""COMPUTED_VALUE"""),"PEDRO DOMINGO NAVARRO DIAZ")</f>
        <v>PEDRO DOMINGO NAVARRO DIAZ</v>
      </c>
      <c r="K21" s="56">
        <f ca="1">IFERROR(__xludf.DUMMYFUNCTION("""COMPUTED_VALUE"""),2)</f>
        <v>2</v>
      </c>
      <c r="L21" s="62">
        <f ca="1">IFERROR(__xludf.DUMMYFUNCTION("""COMPUTED_VALUE"""),2581.82)</f>
        <v>2581.8200000000002</v>
      </c>
      <c r="M21" s="33" t="str">
        <f ca="1">IFERROR(__xludf.DUMMYFUNCTION("""COMPUTED_VALUE"""),"03 ORL")</f>
        <v>03 ORL</v>
      </c>
      <c r="N21" s="33" t="str">
        <f ca="1">IFERROR(__xludf.DUMMYFUNCTION("""COMPUTED_VALUE"""),"06 ORL")</f>
        <v>06 ORL</v>
      </c>
      <c r="O21" s="33" t="str">
        <f ca="1">IFERROR(__xludf.DUMMYFUNCTION("""COMPUTED_VALUE"""),"Dra, Diana Hernán Pérez")</f>
        <v>Dra, Diana Hernán Pérez</v>
      </c>
      <c r="P21" s="33" t="str">
        <f ca="1">IFERROR(__xludf.DUMMYFUNCTION("""COMPUTED_VALUE"""),"Maika Blázquez (Madrid)")</f>
        <v>Maika Blázquez (Madrid)</v>
      </c>
    </row>
    <row r="22" spans="2:16">
      <c r="B22" s="74">
        <f ca="1">IFERROR(__xludf.DUMMYFUNCTION("""COMPUTED_VALUE"""),2026)</f>
        <v>2026</v>
      </c>
      <c r="C22" s="56">
        <f ca="1">IFERROR(__xludf.DUMMYFUNCTION("""COMPUTED_VALUE"""),1)</f>
        <v>1</v>
      </c>
      <c r="D22" s="33" t="str">
        <f ca="1">IFERROR(__xludf.DUMMYFUNCTION("""COMPUTED_VALUE"""),"NO")</f>
        <v>NO</v>
      </c>
      <c r="E22" s="33" t="str">
        <f ca="1">IFERROR(__xludf.DUMMYFUNCTION("""COMPUTED_VALUE"""),"Toledo")</f>
        <v>Toledo</v>
      </c>
      <c r="F22" s="57">
        <f ca="1">IFERROR(__xludf.DUMMYFUNCTION("""COMPUTED_VALUE"""),46036)</f>
        <v>46036</v>
      </c>
      <c r="G22" s="57">
        <f ca="1">IFERROR(__xludf.DUMMYFUNCTION("""COMPUTED_VALUE"""),46014)</f>
        <v>46014</v>
      </c>
      <c r="H22" s="33" t="str">
        <f ca="1">IFERROR(__xludf.DUMMYFUNCTION("""COMPUTED_VALUE"""),"Toledo")</f>
        <v>Toledo</v>
      </c>
      <c r="I22" s="33" t="str">
        <f ca="1">IFERROR(__xludf.DUMMYFUNCTION("""COMPUTED_VALUE"""),"C202512231029369451")</f>
        <v>C202512231029369451</v>
      </c>
      <c r="J22" s="33" t="str">
        <f ca="1">IFERROR(__xludf.DUMMYFUNCTION("""COMPUTED_VALUE"""),"Dolores  Sanz Contreras")</f>
        <v>Dolores  Sanz Contreras</v>
      </c>
      <c r="K22" s="56">
        <f ca="1">IFERROR(__xludf.DUMMYFUNCTION("""COMPUTED_VALUE"""),1)</f>
        <v>1</v>
      </c>
      <c r="L22" s="62">
        <f ca="1">IFERROR(__xludf.DUMMYFUNCTION("""COMPUTED_VALUE"""),1550.23)</f>
        <v>1550.23</v>
      </c>
      <c r="M22" s="33" t="str">
        <f ca="1">IFERROR(__xludf.DUMMYFUNCTION("""COMPUTED_VALUE"""),"03 ORL")</f>
        <v>03 ORL</v>
      </c>
      <c r="N22" s="33" t="str">
        <f ca="1">IFERROR(__xludf.DUMMYFUNCTION("""COMPUTED_VALUE"""),"06 ORL")</f>
        <v>06 ORL</v>
      </c>
      <c r="O22" s="33" t="str">
        <f ca="1">IFERROR(__xludf.DUMMYFUNCTION("""COMPUTED_VALUE"""),"Dra, Alejandra Alvarado Namen")</f>
        <v>Dra, Alejandra Alvarado Namen</v>
      </c>
      <c r="P22" s="33" t="str">
        <f ca="1">IFERROR(__xludf.DUMMYFUNCTION("""COMPUTED_VALUE"""),"Lisandro Russian (Madrid, Cáceres, Toledo, Talavera y Logroño)")</f>
        <v>Lisandro Russian (Madrid, Cáceres, Toledo, Talavera y Logroño)</v>
      </c>
    </row>
    <row r="23" spans="2:16">
      <c r="B23" s="74">
        <f ca="1">IFERROR(__xludf.DUMMYFUNCTION("""COMPUTED_VALUE"""),2026)</f>
        <v>2026</v>
      </c>
      <c r="C23" s="56">
        <f ca="1">IFERROR(__xludf.DUMMYFUNCTION("""COMPUTED_VALUE"""),1)</f>
        <v>1</v>
      </c>
      <c r="D23" s="33" t="str">
        <f ca="1">IFERROR(__xludf.DUMMYFUNCTION("""COMPUTED_VALUE"""),"NO")</f>
        <v>NO</v>
      </c>
      <c r="E23" s="33" t="str">
        <f ca="1">IFERROR(__xludf.DUMMYFUNCTION("""COMPUTED_VALUE"""),"Madrid- La Oca")</f>
        <v>Madrid- La Oca</v>
      </c>
      <c r="F23" s="57">
        <f ca="1">IFERROR(__xludf.DUMMYFUNCTION("""COMPUTED_VALUE"""),46036)</f>
        <v>46036</v>
      </c>
      <c r="G23" s="57">
        <f ca="1">IFERROR(__xludf.DUMMYFUNCTION("""COMPUTED_VALUE"""),46000)</f>
        <v>46000</v>
      </c>
      <c r="H23" s="33" t="str">
        <f ca="1">IFERROR(__xludf.DUMMYFUNCTION("""COMPUTED_VALUE"""),"La Oca")</f>
        <v>La Oca</v>
      </c>
      <c r="I23" s="33" t="str">
        <f ca="1">IFERROR(__xludf.DUMMYFUNCTION("""COMPUTED_VALUE"""),"C202512911118838876")</f>
        <v>C202512911118838876</v>
      </c>
      <c r="J23" s="33" t="str">
        <f ca="1">IFERROR(__xludf.DUMMYFUNCTION("""COMPUTED_VALUE"""),"MARIA JOSEFA DE MELCHOR DIEZ")</f>
        <v>MARIA JOSEFA DE MELCHOR DIEZ</v>
      </c>
      <c r="K23" s="56">
        <f ca="1">IFERROR(__xludf.DUMMYFUNCTION("""COMPUTED_VALUE"""),2)</f>
        <v>2</v>
      </c>
      <c r="L23" s="62">
        <f ca="1">IFERROR(__xludf.DUMMYFUNCTION("""COMPUTED_VALUE"""),3631.82)</f>
        <v>3631.82</v>
      </c>
      <c r="M23" s="33" t="str">
        <f ca="1">IFERROR(__xludf.DUMMYFUNCTION("""COMPUTED_VALUE"""),"03 ORL")</f>
        <v>03 ORL</v>
      </c>
      <c r="N23" s="33" t="str">
        <f ca="1">IFERROR(__xludf.DUMMYFUNCTION("""COMPUTED_VALUE"""),"06 ORL")</f>
        <v>06 ORL</v>
      </c>
      <c r="O23" s="33" t="str">
        <f ca="1">IFERROR(__xludf.DUMMYFUNCTION("""COMPUTED_VALUE"""),"Dr, José Joaquín Gutiérrez Barquín")</f>
        <v>Dr, José Joaquín Gutiérrez Barquín</v>
      </c>
      <c r="P23" s="33" t="str">
        <f ca="1">IFERROR(__xludf.DUMMYFUNCTION("""COMPUTED_VALUE"""),"Maika Blázquez (Madrid)")</f>
        <v>Maika Blázquez (Madrid)</v>
      </c>
    </row>
    <row r="24" spans="2:16">
      <c r="B24" s="74">
        <f ca="1">IFERROR(__xludf.DUMMYFUNCTION("""COMPUTED_VALUE"""),2026)</f>
        <v>2026</v>
      </c>
      <c r="C24" s="56">
        <f ca="1">IFERROR(__xludf.DUMMYFUNCTION("""COMPUTED_VALUE"""),1)</f>
        <v>1</v>
      </c>
      <c r="D24" s="33" t="str">
        <f ca="1">IFERROR(__xludf.DUMMYFUNCTION("""COMPUTED_VALUE"""),"NO")</f>
        <v>NO</v>
      </c>
      <c r="E24" s="33" t="str">
        <f ca="1">IFERROR(__xludf.DUMMYFUNCTION("""COMPUTED_VALUE"""),"Madrid- Juan Bravo")</f>
        <v>Madrid- Juan Bravo</v>
      </c>
      <c r="F24" s="57">
        <f ca="1">IFERROR(__xludf.DUMMYFUNCTION("""COMPUTED_VALUE"""),46036)</f>
        <v>46036</v>
      </c>
      <c r="G24" s="57">
        <f ca="1">IFERROR(__xludf.DUMMYFUNCTION("""COMPUTED_VALUE"""),46009)</f>
        <v>46009</v>
      </c>
      <c r="H24" s="33" t="str">
        <f ca="1">IFERROR(__xludf.DUMMYFUNCTION("""COMPUTED_VALUE"""),"Juan Bravo")</f>
        <v>Juan Bravo</v>
      </c>
      <c r="I24" s="33" t="str">
        <f ca="1">IFERROR(__xludf.DUMMYFUNCTION("""COMPUTED_VALUE"""),"C202512181052238972")</f>
        <v>C202512181052238972</v>
      </c>
      <c r="J24" s="33" t="str">
        <f ca="1">IFERROR(__xludf.DUMMYFUNCTION("""COMPUTED_VALUE"""),"CONCEPCION FERNANDEZ LOPEZ")</f>
        <v>CONCEPCION FERNANDEZ LOPEZ</v>
      </c>
      <c r="K24" s="56">
        <f ca="1">IFERROR(__xludf.DUMMYFUNCTION("""COMPUTED_VALUE"""),2)</f>
        <v>2</v>
      </c>
      <c r="L24" s="62">
        <f ca="1">IFERROR(__xludf.DUMMYFUNCTION("""COMPUTED_VALUE"""),3929.55)</f>
        <v>3929.55</v>
      </c>
      <c r="M24" s="33" t="str">
        <f ca="1">IFERROR(__xludf.DUMMYFUNCTION("""COMPUTED_VALUE"""),"03 ORL")</f>
        <v>03 ORL</v>
      </c>
      <c r="N24" s="33" t="str">
        <f ca="1">IFERROR(__xludf.DUMMYFUNCTION("""COMPUTED_VALUE"""),"06 ORL")</f>
        <v>06 ORL</v>
      </c>
      <c r="O24" s="33" t="str">
        <f ca="1">IFERROR(__xludf.DUMMYFUNCTION("""COMPUTED_VALUE"""),"Dr, Carlos Barajas del Rosal")</f>
        <v>Dr, Carlos Barajas del Rosal</v>
      </c>
      <c r="P24" s="33" t="str">
        <f ca="1">IFERROR(__xludf.DUMMYFUNCTION("""COMPUTED_VALUE"""),"Lisandro Russian (Madrid, Cáceres, Toledo, Talavera y Logroño)")</f>
        <v>Lisandro Russian (Madrid, Cáceres, Toledo, Talavera y Logroño)</v>
      </c>
    </row>
    <row r="25" spans="2:16">
      <c r="B25" s="74">
        <f ca="1">IFERROR(__xludf.DUMMYFUNCTION("""COMPUTED_VALUE"""),2026)</f>
        <v>2026</v>
      </c>
      <c r="C25" s="56">
        <f ca="1">IFERROR(__xludf.DUMMYFUNCTION("""COMPUTED_VALUE"""),1)</f>
        <v>1</v>
      </c>
      <c r="D25" s="33" t="str">
        <f ca="1">IFERROR(__xludf.DUMMYFUNCTION("""COMPUTED_VALUE"""),"NO")</f>
        <v>NO</v>
      </c>
      <c r="E25" s="33" t="str">
        <f ca="1">IFERROR(__xludf.DUMMYFUNCTION("""COMPUTED_VALUE"""),"Ourense")</f>
        <v>Ourense</v>
      </c>
      <c r="F25" s="57">
        <f ca="1">IFERROR(__xludf.DUMMYFUNCTION("""COMPUTED_VALUE"""),46036)</f>
        <v>46036</v>
      </c>
      <c r="G25" s="57">
        <f ca="1">IFERROR(__xludf.DUMMYFUNCTION("""COMPUTED_VALUE"""),45985)</f>
        <v>45985</v>
      </c>
      <c r="H25" s="33" t="str">
        <f ca="1">IFERROR(__xludf.DUMMYFUNCTION("""COMPUTED_VALUE"""),"Orense")</f>
        <v>Orense</v>
      </c>
      <c r="I25" s="33" t="str">
        <f ca="1">IFERROR(__xludf.DUMMYFUNCTION("""COMPUTED_VALUE"""),"C202511241525371421")</f>
        <v>C202511241525371421</v>
      </c>
      <c r="J25" s="33" t="str">
        <f ca="1">IFERROR(__xludf.DUMMYFUNCTION("""COMPUTED_VALUE"""),"ESTHER CAMINO BLANCO")</f>
        <v>ESTHER CAMINO BLANCO</v>
      </c>
      <c r="K25" s="56">
        <f ca="1">IFERROR(__xludf.DUMMYFUNCTION("""COMPUTED_VALUE"""),2)</f>
        <v>2</v>
      </c>
      <c r="L25" s="62">
        <f ca="1">IFERROR(__xludf.DUMMYFUNCTION("""COMPUTED_VALUE"""),3631.82)</f>
        <v>3631.82</v>
      </c>
      <c r="M25" s="33" t="str">
        <f ca="1">IFERROR(__xludf.DUMMYFUNCTION("""COMPUTED_VALUE"""),"03 ORL")</f>
        <v>03 ORL</v>
      </c>
      <c r="N25" s="33" t="str">
        <f ca="1">IFERROR(__xludf.DUMMYFUNCTION("""COMPUTED_VALUE"""),"06 ORL")</f>
        <v>06 ORL</v>
      </c>
      <c r="O25" s="33" t="str">
        <f ca="1">IFERROR(__xludf.DUMMYFUNCTION("""COMPUTED_VALUE"""),"No recuerda ORL")</f>
        <v>No recuerda ORL</v>
      </c>
      <c r="P25" s="33" t="str">
        <f ca="1">IFERROR(__xludf.DUMMYFUNCTION("""COMPUTED_VALUE"""),"Alberto Moreno (Madrid)")</f>
        <v>Alberto Moreno (Madrid)</v>
      </c>
    </row>
    <row r="26" spans="2:16">
      <c r="B26" s="74">
        <f ca="1">IFERROR(__xludf.DUMMYFUNCTION("""COMPUTED_VALUE"""),2026)</f>
        <v>2026</v>
      </c>
      <c r="C26" s="56">
        <f ca="1">IFERROR(__xludf.DUMMYFUNCTION("""COMPUTED_VALUE"""),1)</f>
        <v>1</v>
      </c>
      <c r="D26" s="33" t="str">
        <f ca="1">IFERROR(__xludf.DUMMYFUNCTION("""COMPUTED_VALUE"""),"NO")</f>
        <v>NO</v>
      </c>
      <c r="E26" s="33" t="str">
        <f ca="1">IFERROR(__xludf.DUMMYFUNCTION("""COMPUTED_VALUE"""),"Fuenlabrada")</f>
        <v>Fuenlabrada</v>
      </c>
      <c r="F26" s="57">
        <f ca="1">IFERROR(__xludf.DUMMYFUNCTION("""COMPUTED_VALUE"""),46037)</f>
        <v>46037</v>
      </c>
      <c r="G26" s="57">
        <f ca="1">IFERROR(__xludf.DUMMYFUNCTION("""COMPUTED_VALUE"""),46008)</f>
        <v>46008</v>
      </c>
      <c r="H26" s="33" t="str">
        <f ca="1">IFERROR(__xludf.DUMMYFUNCTION("""COMPUTED_VALUE"""),"Fuenlabrada")</f>
        <v>Fuenlabrada</v>
      </c>
      <c r="I26" s="33" t="str">
        <f ca="1">IFERROR(__xludf.DUMMYFUNCTION("""COMPUTED_VALUE"""),"C202512171612178703")</f>
        <v>C202512171612178703</v>
      </c>
      <c r="J26" s="33" t="str">
        <f ca="1">IFERROR(__xludf.DUMMYFUNCTION("""COMPUTED_VALUE"""),"EMILIO CAMACHO BALLERO")</f>
        <v>EMILIO CAMACHO BALLERO</v>
      </c>
      <c r="K26" s="56">
        <f ca="1">IFERROR(__xludf.DUMMYFUNCTION("""COMPUTED_VALUE"""),2)</f>
        <v>2</v>
      </c>
      <c r="L26" s="62">
        <f ca="1">IFERROR(__xludf.DUMMYFUNCTION("""COMPUTED_VALUE"""),4536.36)</f>
        <v>4536.3599999999997</v>
      </c>
      <c r="M26" s="33" t="str">
        <f ca="1">IFERROR(__xludf.DUMMYFUNCTION("""COMPUTED_VALUE"""),"03 ORL")</f>
        <v>03 ORL</v>
      </c>
      <c r="N26" s="33" t="str">
        <f ca="1">IFERROR(__xludf.DUMMYFUNCTION("""COMPUTED_VALUE"""),"06 ORL")</f>
        <v>06 ORL</v>
      </c>
      <c r="O26" s="33" t="str">
        <f ca="1">IFERROR(__xludf.DUMMYFUNCTION("""COMPUTED_VALUE"""),"Dra, Ithzel Maria Villarreal Patiño")</f>
        <v>Dra, Ithzel Maria Villarreal Patiño</v>
      </c>
      <c r="P26" s="33" t="str">
        <f ca="1">IFERROR(__xludf.DUMMYFUNCTION("""COMPUTED_VALUE"""),"Maika Blázquez (Madrid)")</f>
        <v>Maika Blázquez (Madrid)</v>
      </c>
    </row>
    <row r="27" spans="2:16">
      <c r="B27" s="74">
        <f ca="1">IFERROR(__xludf.DUMMYFUNCTION("""COMPUTED_VALUE"""),2026)</f>
        <v>2026</v>
      </c>
      <c r="C27" s="56">
        <f ca="1">IFERROR(__xludf.DUMMYFUNCTION("""COMPUTED_VALUE"""),1)</f>
        <v>1</v>
      </c>
      <c r="D27" s="33" t="str">
        <f ca="1">IFERROR(__xludf.DUMMYFUNCTION("""COMPUTED_VALUE"""),"NO")</f>
        <v>NO</v>
      </c>
      <c r="E27" s="33" t="str">
        <f ca="1">IFERROR(__xludf.DUMMYFUNCTION("""COMPUTED_VALUE"""),"Lugo")</f>
        <v>Lugo</v>
      </c>
      <c r="F27" s="57">
        <f ca="1">IFERROR(__xludf.DUMMYFUNCTION("""COMPUTED_VALUE"""),46037)</f>
        <v>46037</v>
      </c>
      <c r="G27" s="57">
        <f ca="1">IFERROR(__xludf.DUMMYFUNCTION("""COMPUTED_VALUE"""),45994)</f>
        <v>45994</v>
      </c>
      <c r="H27" s="33" t="str">
        <f ca="1">IFERROR(__xludf.DUMMYFUNCTION("""COMPUTED_VALUE"""),"Lugo")</f>
        <v>Lugo</v>
      </c>
      <c r="I27" s="33" t="str">
        <f ca="1">IFERROR(__xludf.DUMMYFUNCTION("""COMPUTED_VALUE"""),"C202512318124615792")</f>
        <v>C202512318124615792</v>
      </c>
      <c r="J27" s="33" t="str">
        <f ca="1">IFERROR(__xludf.DUMMYFUNCTION("""COMPUTED_VALUE"""),"ANDRES BARREIRO LOIS")</f>
        <v>ANDRES BARREIRO LOIS</v>
      </c>
      <c r="K27" s="56">
        <f ca="1">IFERROR(__xludf.DUMMYFUNCTION("""COMPUTED_VALUE"""),2)</f>
        <v>2</v>
      </c>
      <c r="L27" s="62">
        <f ca="1">IFERROR(__xludf.DUMMYFUNCTION("""COMPUTED_VALUE"""),3929.09)</f>
        <v>3929.09</v>
      </c>
      <c r="M27" s="33" t="str">
        <f ca="1">IFERROR(__xludf.DUMMYFUNCTION("""COMPUTED_VALUE"""),"03 ORL")</f>
        <v>03 ORL</v>
      </c>
      <c r="N27" s="33" t="str">
        <f ca="1">IFERROR(__xludf.DUMMYFUNCTION("""COMPUTED_VALUE"""),"06 ORL")</f>
        <v>06 ORL</v>
      </c>
      <c r="O27" s="33" t="str">
        <f ca="1">IFERROR(__xludf.DUMMYFUNCTION("""COMPUTED_VALUE"""),"Dr, Pedro Juiz López")</f>
        <v>Dr, Pedro Juiz López</v>
      </c>
      <c r="P27" s="33" t="str">
        <f ca="1">IFERROR(__xludf.DUMMYFUNCTION("""COMPUTED_VALUE"""),"Alberto Moreno (Madrid)")</f>
        <v>Alberto Moreno (Madrid)</v>
      </c>
    </row>
    <row r="28" spans="2:16">
      <c r="B28" s="74">
        <f ca="1">IFERROR(__xludf.DUMMYFUNCTION("""COMPUTED_VALUE"""),2026)</f>
        <v>2026</v>
      </c>
      <c r="C28" s="56">
        <f ca="1">IFERROR(__xludf.DUMMYFUNCTION("""COMPUTED_VALUE"""),1)</f>
        <v>1</v>
      </c>
      <c r="D28" s="33" t="str">
        <f ca="1">IFERROR(__xludf.DUMMYFUNCTION("""COMPUTED_VALUE"""),"NO")</f>
        <v>NO</v>
      </c>
      <c r="E28" s="33" t="str">
        <f ca="1">IFERROR(__xludf.DUMMYFUNCTION("""COMPUTED_VALUE"""),"Madrid- La Oca")</f>
        <v>Madrid- La Oca</v>
      </c>
      <c r="F28" s="57">
        <f ca="1">IFERROR(__xludf.DUMMYFUNCTION("""COMPUTED_VALUE"""),46037)</f>
        <v>46037</v>
      </c>
      <c r="G28" s="57">
        <f ca="1">IFERROR(__xludf.DUMMYFUNCTION("""COMPUTED_VALUE"""),45981)</f>
        <v>45981</v>
      </c>
      <c r="H28" s="33" t="str">
        <f ca="1">IFERROR(__xludf.DUMMYFUNCTION("""COMPUTED_VALUE"""),"La Oca")</f>
        <v>La Oca</v>
      </c>
      <c r="I28" s="33" t="str">
        <f ca="1">IFERROR(__xludf.DUMMYFUNCTION("""COMPUTED_VALUE"""),"C202511201642289976")</f>
        <v>C202511201642289976</v>
      </c>
      <c r="J28" s="33" t="str">
        <f ca="1">IFERROR(__xludf.DUMMYFUNCTION("""COMPUTED_VALUE"""),"MANUELA LLAMAS DE PAZ")</f>
        <v>MANUELA LLAMAS DE PAZ</v>
      </c>
      <c r="K28" s="56">
        <f ca="1">IFERROR(__xludf.DUMMYFUNCTION("""COMPUTED_VALUE"""),2)</f>
        <v>2</v>
      </c>
      <c r="L28" s="62">
        <f ca="1">IFERROR(__xludf.DUMMYFUNCTION("""COMPUTED_VALUE"""),2581.82)</f>
        <v>2581.8200000000002</v>
      </c>
      <c r="M28" s="33" t="str">
        <f ca="1">IFERROR(__xludf.DUMMYFUNCTION("""COMPUTED_VALUE"""),"03 ORL")</f>
        <v>03 ORL</v>
      </c>
      <c r="N28" s="33" t="str">
        <f ca="1">IFERROR(__xludf.DUMMYFUNCTION("""COMPUTED_VALUE"""),"06 ORL")</f>
        <v>06 ORL</v>
      </c>
      <c r="O28" s="33" t="str">
        <f ca="1">IFERROR(__xludf.DUMMYFUNCTION("""COMPUTED_VALUE"""),"Dr, Félix Rodríguez Paz")</f>
        <v>Dr, Félix Rodríguez Paz</v>
      </c>
      <c r="P28" s="33" t="str">
        <f ca="1">IFERROR(__xludf.DUMMYFUNCTION("""COMPUTED_VALUE"""),"Maika Blázquez (Madrid)")</f>
        <v>Maika Blázquez (Madrid)</v>
      </c>
    </row>
    <row r="29" spans="2:16">
      <c r="B29" s="74">
        <f ca="1">IFERROR(__xludf.DUMMYFUNCTION("""COMPUTED_VALUE"""),2026)</f>
        <v>2026</v>
      </c>
      <c r="C29" s="56">
        <f ca="1">IFERROR(__xludf.DUMMYFUNCTION("""COMPUTED_VALUE"""),1)</f>
        <v>1</v>
      </c>
      <c r="D29" s="33" t="str">
        <f ca="1">IFERROR(__xludf.DUMMYFUNCTION("""COMPUTED_VALUE"""),"NO")</f>
        <v>NO</v>
      </c>
      <c r="E29" s="33" t="str">
        <f ca="1">IFERROR(__xludf.DUMMYFUNCTION("""COMPUTED_VALUE"""),"Madrid- Canillas")</f>
        <v>Madrid- Canillas</v>
      </c>
      <c r="F29" s="57">
        <f ca="1">IFERROR(__xludf.DUMMYFUNCTION("""COMPUTED_VALUE"""),46037)</f>
        <v>46037</v>
      </c>
      <c r="G29" s="57">
        <f ca="1">IFERROR(__xludf.DUMMYFUNCTION("""COMPUTED_VALUE"""),45988)</f>
        <v>45988</v>
      </c>
      <c r="H29" s="33" t="str">
        <f ca="1">IFERROR(__xludf.DUMMYFUNCTION("""COMPUTED_VALUE"""),"Canillas")</f>
        <v>Canillas</v>
      </c>
      <c r="I29" s="33" t="str">
        <f ca="1">IFERROR(__xludf.DUMMYFUNCTION("""COMPUTED_VALUE"""),"C202511271715586820")</f>
        <v>C202511271715586820</v>
      </c>
      <c r="J29" s="33" t="str">
        <f ca="1">IFERROR(__xludf.DUMMYFUNCTION("""COMPUTED_VALUE"""),"ROSA DE LA FLOR GONZÁLEZ")</f>
        <v>ROSA DE LA FLOR GONZÁLEZ</v>
      </c>
      <c r="K29" s="56">
        <f ca="1">IFERROR(__xludf.DUMMYFUNCTION("""COMPUTED_VALUE"""),2)</f>
        <v>2</v>
      </c>
      <c r="L29" s="62">
        <f ca="1">IFERROR(__xludf.DUMMYFUNCTION("""COMPUTED_VALUE"""),2718.18)</f>
        <v>2718.18</v>
      </c>
      <c r="M29" s="33" t="str">
        <f ca="1">IFERROR(__xludf.DUMMYFUNCTION("""COMPUTED_VALUE"""),"03 ORL")</f>
        <v>03 ORL</v>
      </c>
      <c r="N29" s="33" t="str">
        <f ca="1">IFERROR(__xludf.DUMMYFUNCTION("""COMPUTED_VALUE"""),"06 ORL")</f>
        <v>06 ORL</v>
      </c>
      <c r="O29" s="33" t="str">
        <f ca="1">IFERROR(__xludf.DUMMYFUNCTION("""COMPUTED_VALUE"""),"Dr, José Gustavo Barroso Braojos")</f>
        <v>Dr, José Gustavo Barroso Braojos</v>
      </c>
      <c r="P29" s="1" t="str">
        <f ca="1">IFERROR(__xludf.DUMMYFUNCTION("""COMPUTED_VALUE"""),"Maika Blázquez (Madrid)")</f>
        <v>Maika Blázquez (Madrid)</v>
      </c>
    </row>
    <row r="30" spans="2:16">
      <c r="B30" s="74">
        <f ca="1">IFERROR(__xludf.DUMMYFUNCTION("""COMPUTED_VALUE"""),2026)</f>
        <v>2026</v>
      </c>
      <c r="C30" s="56">
        <f ca="1">IFERROR(__xludf.DUMMYFUNCTION("""COMPUTED_VALUE"""),1)</f>
        <v>1</v>
      </c>
      <c r="D30" s="33" t="str">
        <f ca="1">IFERROR(__xludf.DUMMYFUNCTION("""COMPUTED_VALUE"""),"NO")</f>
        <v>NO</v>
      </c>
      <c r="E30" s="33" t="str">
        <f ca="1">IFERROR(__xludf.DUMMYFUNCTION("""COMPUTED_VALUE"""),"Madrid- Juan Bravo")</f>
        <v>Madrid- Juan Bravo</v>
      </c>
      <c r="F30" s="57">
        <f ca="1">IFERROR(__xludf.DUMMYFUNCTION("""COMPUTED_VALUE"""),46038)</f>
        <v>46038</v>
      </c>
      <c r="G30" s="57">
        <f ca="1">IFERROR(__xludf.DUMMYFUNCTION("""COMPUTED_VALUE"""),46010)</f>
        <v>46010</v>
      </c>
      <c r="H30" s="33" t="str">
        <f ca="1">IFERROR(__xludf.DUMMYFUNCTION("""COMPUTED_VALUE"""),"Juan Bravo")</f>
        <v>Juan Bravo</v>
      </c>
      <c r="I30" s="33" t="str">
        <f ca="1">IFERROR(__xludf.DUMMYFUNCTION("""COMPUTED_VALUE"""),"C202512191021357942")</f>
        <v>C202512191021357942</v>
      </c>
      <c r="J30" s="33" t="str">
        <f ca="1">IFERROR(__xludf.DUMMYFUNCTION("""COMPUTED_VALUE"""),"LUCAS ROMERO MILLAN")</f>
        <v>LUCAS ROMERO MILLAN</v>
      </c>
      <c r="K30" s="56">
        <f ca="1">IFERROR(__xludf.DUMMYFUNCTION("""COMPUTED_VALUE"""),1)</f>
        <v>1</v>
      </c>
      <c r="L30" s="62">
        <f ca="1">IFERROR(__xludf.DUMMYFUNCTION("""COMPUTED_VALUE"""),2180.91)</f>
        <v>2180.91</v>
      </c>
      <c r="M30" s="33" t="str">
        <f ca="1">IFERROR(__xludf.DUMMYFUNCTION("""COMPUTED_VALUE"""),"03 ORL")</f>
        <v>03 ORL</v>
      </c>
      <c r="N30" s="33" t="str">
        <f ca="1">IFERROR(__xludf.DUMMYFUNCTION("""COMPUTED_VALUE"""),"06 ORL")</f>
        <v>06 ORL</v>
      </c>
      <c r="O30" s="33" t="str">
        <f ca="1">IFERROR(__xludf.DUMMYFUNCTION("""COMPUTED_VALUE"""),"Dr, Javier García Domínguez")</f>
        <v>Dr, Javier García Domínguez</v>
      </c>
      <c r="P30" s="33" t="str">
        <f ca="1">IFERROR(__xludf.DUMMYFUNCTION("""COMPUTED_VALUE"""),"Maika Blázquez (Madrid)")</f>
        <v>Maika Blázquez (Madrid)</v>
      </c>
    </row>
    <row r="31" spans="2:16">
      <c r="B31" s="74">
        <f ca="1">IFERROR(__xludf.DUMMYFUNCTION("""COMPUTED_VALUE"""),2026)</f>
        <v>2026</v>
      </c>
      <c r="C31" s="56">
        <f ca="1">IFERROR(__xludf.DUMMYFUNCTION("""COMPUTED_VALUE"""),1)</f>
        <v>1</v>
      </c>
      <c r="D31" s="33" t="str">
        <f ca="1">IFERROR(__xludf.DUMMYFUNCTION("""COMPUTED_VALUE"""),"NO")</f>
        <v>NO</v>
      </c>
      <c r="E31" s="33" t="str">
        <f ca="1">IFERROR(__xludf.DUMMYFUNCTION("""COMPUTED_VALUE"""),"Cáceres")</f>
        <v>Cáceres</v>
      </c>
      <c r="F31" s="57">
        <f ca="1">IFERROR(__xludf.DUMMYFUNCTION("""COMPUTED_VALUE"""),46038)</f>
        <v>46038</v>
      </c>
      <c r="G31" s="57">
        <f ca="1">IFERROR(__xludf.DUMMYFUNCTION("""COMPUTED_VALUE"""),46007)</f>
        <v>46007</v>
      </c>
      <c r="H31" s="33" t="str">
        <f ca="1">IFERROR(__xludf.DUMMYFUNCTION("""COMPUTED_VALUE"""),"Cáceres")</f>
        <v>Cáceres</v>
      </c>
      <c r="I31" s="33" t="str">
        <f ca="1">IFERROR(__xludf.DUMMYFUNCTION("""COMPUTED_VALUE"""),"C202512161810167638")</f>
        <v>C202512161810167638</v>
      </c>
      <c r="J31" s="33" t="str">
        <f ca="1">IFERROR(__xludf.DUMMYFUNCTION("""COMPUTED_VALUE"""),"PEDRO BARROSO PEREZ")</f>
        <v>PEDRO BARROSO PEREZ</v>
      </c>
      <c r="K31" s="56">
        <f ca="1">IFERROR(__xludf.DUMMYFUNCTION("""COMPUTED_VALUE"""),2)</f>
        <v>2</v>
      </c>
      <c r="L31" s="62">
        <f ca="1">IFERROR(__xludf.DUMMYFUNCTION("""COMPUTED_VALUE"""),3583.64)</f>
        <v>3583.64</v>
      </c>
      <c r="M31" s="33" t="str">
        <f ca="1">IFERROR(__xludf.DUMMYFUNCTION("""COMPUTED_VALUE"""),"03 ORL")</f>
        <v>03 ORL</v>
      </c>
      <c r="N31" s="33" t="str">
        <f ca="1">IFERROR(__xludf.DUMMYFUNCTION("""COMPUTED_VALUE"""),"06 ORL")</f>
        <v>06 ORL</v>
      </c>
      <c r="O31" s="33" t="str">
        <f ca="1">IFERROR(__xludf.DUMMYFUNCTION("""COMPUTED_VALUE"""),"Dr, Raed Maqued El Maqued")</f>
        <v>Dr, Raed Maqued El Maqued</v>
      </c>
      <c r="P31" s="33" t="str">
        <f ca="1">IFERROR(__xludf.DUMMYFUNCTION("""COMPUTED_VALUE"""),"Lisandro Russian (Madrid, Cáceres, Toledo, Talavera y Logroño)")</f>
        <v>Lisandro Russian (Madrid, Cáceres, Toledo, Talavera y Logroño)</v>
      </c>
    </row>
    <row r="32" spans="2:16">
      <c r="B32" s="74">
        <f ca="1">IFERROR(__xludf.DUMMYFUNCTION("""COMPUTED_VALUE"""),2026)</f>
        <v>2026</v>
      </c>
      <c r="C32" s="56">
        <f ca="1">IFERROR(__xludf.DUMMYFUNCTION("""COMPUTED_VALUE"""),1)</f>
        <v>1</v>
      </c>
      <c r="D32" s="33" t="str">
        <f ca="1">IFERROR(__xludf.DUMMYFUNCTION("""COMPUTED_VALUE"""),"NO")</f>
        <v>NO</v>
      </c>
      <c r="E32" s="33" t="str">
        <f ca="1">IFERROR(__xludf.DUMMYFUNCTION("""COMPUTED_VALUE"""),"Leganés")</f>
        <v>Leganés</v>
      </c>
      <c r="F32" s="57">
        <f ca="1">IFERROR(__xludf.DUMMYFUNCTION("""COMPUTED_VALUE"""),46038)</f>
        <v>46038</v>
      </c>
      <c r="G32" s="57">
        <f ca="1">IFERROR(__xludf.DUMMYFUNCTION("""COMPUTED_VALUE"""),45992)</f>
        <v>45992</v>
      </c>
      <c r="H32" s="33" t="str">
        <f ca="1">IFERROR(__xludf.DUMMYFUNCTION("""COMPUTED_VALUE"""),"Leganés")</f>
        <v>Leganés</v>
      </c>
      <c r="I32" s="33" t="str">
        <f ca="1">IFERROR(__xludf.DUMMYFUNCTION("""COMPUTED_VALUE"""),"C202512112053437517")</f>
        <v>C202512112053437517</v>
      </c>
      <c r="J32" s="33" t="str">
        <f ca="1">IFERROR(__xludf.DUMMYFUNCTION("""COMPUTED_VALUE"""),"MANUEL MANJON CABELLO")</f>
        <v>MANUEL MANJON CABELLO</v>
      </c>
      <c r="K32" s="56">
        <f ca="1">IFERROR(__xludf.DUMMYFUNCTION("""COMPUTED_VALUE"""),2)</f>
        <v>2</v>
      </c>
      <c r="L32" s="62">
        <f ca="1">IFERROR(__xludf.DUMMYFUNCTION("""COMPUTED_VALUE"""),2581.82)</f>
        <v>2581.8200000000002</v>
      </c>
      <c r="M32" s="33" t="str">
        <f ca="1">IFERROR(__xludf.DUMMYFUNCTION("""COMPUTED_VALUE"""),"03 ORL")</f>
        <v>03 ORL</v>
      </c>
      <c r="N32" s="33" t="str">
        <f ca="1">IFERROR(__xludf.DUMMYFUNCTION("""COMPUTED_VALUE"""),"06 ORL")</f>
        <v>06 ORL</v>
      </c>
      <c r="O32" s="33" t="str">
        <f ca="1">IFERROR(__xludf.DUMMYFUNCTION("""COMPUTED_VALUE"""),"Dra, Patricia García Vicente")</f>
        <v>Dra, Patricia García Vicente</v>
      </c>
      <c r="P32" s="33" t="str">
        <f ca="1">IFERROR(__xludf.DUMMYFUNCTION("""COMPUTED_VALUE"""),"Maika Blázquez (Madrid)")</f>
        <v>Maika Blázquez (Madrid)</v>
      </c>
    </row>
    <row r="33" spans="2:16">
      <c r="B33" s="74">
        <f ca="1">IFERROR(__xludf.DUMMYFUNCTION("""COMPUTED_VALUE"""),2026)</f>
        <v>2026</v>
      </c>
      <c r="C33" s="56">
        <f ca="1">IFERROR(__xludf.DUMMYFUNCTION("""COMPUTED_VALUE"""),1)</f>
        <v>1</v>
      </c>
      <c r="D33" s="33" t="str">
        <f ca="1">IFERROR(__xludf.DUMMYFUNCTION("""COMPUTED_VALUE"""),"NO")</f>
        <v>NO</v>
      </c>
      <c r="E33" s="33" t="str">
        <f ca="1">IFERROR(__xludf.DUMMYFUNCTION("""COMPUTED_VALUE"""),"Alcorcón")</f>
        <v>Alcorcón</v>
      </c>
      <c r="F33" s="57">
        <f ca="1">IFERROR(__xludf.DUMMYFUNCTION("""COMPUTED_VALUE"""),46038)</f>
        <v>46038</v>
      </c>
      <c r="G33" s="57">
        <f ca="1">IFERROR(__xludf.DUMMYFUNCTION("""COMPUTED_VALUE"""),45992)</f>
        <v>45992</v>
      </c>
      <c r="H33" s="33" t="str">
        <f ca="1">IFERROR(__xludf.DUMMYFUNCTION("""COMPUTED_VALUE"""),"Alcorcón")</f>
        <v>Alcorcón</v>
      </c>
      <c r="I33" s="33" t="str">
        <f ca="1">IFERROR(__xludf.DUMMYFUNCTION("""COMPUTED_VALUE"""),"C202512183458643917")</f>
        <v>C202512183458643917</v>
      </c>
      <c r="J33" s="33" t="str">
        <f ca="1">IFERROR(__xludf.DUMMYFUNCTION("""COMPUTED_VALUE"""),"VANESA SACRISTAN  HERNÁNDEZ")</f>
        <v>VANESA SACRISTAN  HERNÁNDEZ</v>
      </c>
      <c r="K33" s="56">
        <f ca="1">IFERROR(__xludf.DUMMYFUNCTION("""COMPUTED_VALUE"""),1)</f>
        <v>1</v>
      </c>
      <c r="L33" s="62">
        <f ca="1">IFERROR(__xludf.DUMMYFUNCTION("""COMPUTED_VALUE"""),2180.91)</f>
        <v>2180.91</v>
      </c>
      <c r="M33" s="33" t="str">
        <f ca="1">IFERROR(__xludf.DUMMYFUNCTION("""COMPUTED_VALUE"""),"03 ORL")</f>
        <v>03 ORL</v>
      </c>
      <c r="N33" s="33" t="str">
        <f ca="1">IFERROR(__xludf.DUMMYFUNCTION("""COMPUTED_VALUE"""),"06 ORL")</f>
        <v>06 ORL</v>
      </c>
      <c r="O33" s="33" t="str">
        <f ca="1">IFERROR(__xludf.DUMMYFUNCTION("""COMPUTED_VALUE"""),"Dra, Laura del Toro Gil")</f>
        <v>Dra, Laura del Toro Gil</v>
      </c>
      <c r="P33" s="33" t="str">
        <f ca="1">IFERROR(__xludf.DUMMYFUNCTION("""COMPUTED_VALUE"""),"Maika Blázquez (Madrid)")</f>
        <v>Maika Blázquez (Madrid)</v>
      </c>
    </row>
    <row r="34" spans="2:16">
      <c r="B34" s="74">
        <f ca="1">IFERROR(__xludf.DUMMYFUNCTION("""COMPUTED_VALUE"""),2026)</f>
        <v>2026</v>
      </c>
      <c r="C34" s="56">
        <f ca="1">IFERROR(__xludf.DUMMYFUNCTION("""COMPUTED_VALUE"""),1)</f>
        <v>1</v>
      </c>
      <c r="D34" s="33" t="str">
        <f ca="1">IFERROR(__xludf.DUMMYFUNCTION("""COMPUTED_VALUE"""),"NO")</f>
        <v>NO</v>
      </c>
      <c r="E34" s="33" t="str">
        <f ca="1">IFERROR(__xludf.DUMMYFUNCTION("""COMPUTED_VALUE"""),"Madrid- La Oca")</f>
        <v>Madrid- La Oca</v>
      </c>
      <c r="F34" s="57">
        <f ca="1">IFERROR(__xludf.DUMMYFUNCTION("""COMPUTED_VALUE"""),46038)</f>
        <v>46038</v>
      </c>
      <c r="G34" s="57">
        <f ca="1">IFERROR(__xludf.DUMMYFUNCTION("""COMPUTED_VALUE"""),45986)</f>
        <v>45986</v>
      </c>
      <c r="H34" s="33" t="str">
        <f ca="1">IFERROR(__xludf.DUMMYFUNCTION("""COMPUTED_VALUE"""),"La Oca")</f>
        <v>La Oca</v>
      </c>
      <c r="I34" s="33" t="str">
        <f ca="1">IFERROR(__xludf.DUMMYFUNCTION("""COMPUTED_VALUE"""),"C202511251148389618")</f>
        <v>C202511251148389618</v>
      </c>
      <c r="J34" s="33" t="str">
        <f ca="1">IFERROR(__xludf.DUMMYFUNCTION("""COMPUTED_VALUE"""),"VISITACION RODRIGUEZ PEÑARANDA")</f>
        <v>VISITACION RODRIGUEZ PEÑARANDA</v>
      </c>
      <c r="K34" s="56">
        <f ca="1">IFERROR(__xludf.DUMMYFUNCTION("""COMPUTED_VALUE"""),2)</f>
        <v>2</v>
      </c>
      <c r="L34" s="62">
        <f ca="1">IFERROR(__xludf.DUMMYFUNCTION("""COMPUTED_VALUE"""),2718.18)</f>
        <v>2718.18</v>
      </c>
      <c r="M34" s="33" t="str">
        <f ca="1">IFERROR(__xludf.DUMMYFUNCTION("""COMPUTED_VALUE"""),"03 ORL")</f>
        <v>03 ORL</v>
      </c>
      <c r="N34" s="33" t="str">
        <f ca="1">IFERROR(__xludf.DUMMYFUNCTION("""COMPUTED_VALUE"""),"06 ORL")</f>
        <v>06 ORL</v>
      </c>
      <c r="O34" s="33" t="str">
        <f ca="1">IFERROR(__xludf.DUMMYFUNCTION("""COMPUTED_VALUE"""),"Dr, Félix Rodríguez Paz")</f>
        <v>Dr, Félix Rodríguez Paz</v>
      </c>
      <c r="P34" s="33" t="str">
        <f ca="1">IFERROR(__xludf.DUMMYFUNCTION("""COMPUTED_VALUE"""),"Maika Blázquez (Madrid)")</f>
        <v>Maika Blázquez (Madrid)</v>
      </c>
    </row>
    <row r="35" spans="2:16">
      <c r="B35" s="74">
        <f ca="1">IFERROR(__xludf.DUMMYFUNCTION("""COMPUTED_VALUE"""),2026)</f>
        <v>2026</v>
      </c>
      <c r="C35" s="56">
        <f ca="1">IFERROR(__xludf.DUMMYFUNCTION("""COMPUTED_VALUE"""),1)</f>
        <v>1</v>
      </c>
      <c r="D35" s="33" t="str">
        <f ca="1">IFERROR(__xludf.DUMMYFUNCTION("""COMPUTED_VALUE"""),"NO")</f>
        <v>NO</v>
      </c>
      <c r="E35" s="33" t="str">
        <f ca="1">IFERROR(__xludf.DUMMYFUNCTION("""COMPUTED_VALUE"""),"Murcia")</f>
        <v>Murcia</v>
      </c>
      <c r="F35" s="57">
        <f ca="1">IFERROR(__xludf.DUMMYFUNCTION("""COMPUTED_VALUE"""),46038)</f>
        <v>46038</v>
      </c>
      <c r="G35" s="57">
        <f ca="1">IFERROR(__xludf.DUMMYFUNCTION("""COMPUTED_VALUE"""),45981)</f>
        <v>45981</v>
      </c>
      <c r="H35" s="33" t="str">
        <f ca="1">IFERROR(__xludf.DUMMYFUNCTION("""COMPUTED_VALUE"""),"Murcia")</f>
        <v>Murcia</v>
      </c>
      <c r="I35" s="33" t="str">
        <f ca="1">IFERROR(__xludf.DUMMYFUNCTION("""COMPUTED_VALUE"""),"C202511201717376391")</f>
        <v>C202511201717376391</v>
      </c>
      <c r="J35" s="33" t="str">
        <f ca="1">IFERROR(__xludf.DUMMYFUNCTION("""COMPUTED_VALUE"""),"ESPERANZA ÁLVAREZ MUÑOZ")</f>
        <v>ESPERANZA ÁLVAREZ MUÑOZ</v>
      </c>
      <c r="K35" s="56">
        <f ca="1">IFERROR(__xludf.DUMMYFUNCTION("""COMPUTED_VALUE"""),1)</f>
        <v>1</v>
      </c>
      <c r="L35" s="62">
        <f ca="1">IFERROR(__xludf.DUMMYFUNCTION("""COMPUTED_VALUE"""),1631.73)</f>
        <v>1631.73</v>
      </c>
      <c r="M35" s="33" t="str">
        <f ca="1">IFERROR(__xludf.DUMMYFUNCTION("""COMPUTED_VALUE"""),"03 ORL")</f>
        <v>03 ORL</v>
      </c>
      <c r="N35" s="33" t="str">
        <f ca="1">IFERROR(__xludf.DUMMYFUNCTION("""COMPUTED_VALUE"""),"06 ORL")</f>
        <v>06 ORL</v>
      </c>
      <c r="O35" s="33" t="str">
        <f ca="1">IFERROR(__xludf.DUMMYFUNCTION("""COMPUTED_VALUE"""),"Dr, Jesús Miguel Iniesta Turpín")</f>
        <v>Dr, Jesús Miguel Iniesta Turpín</v>
      </c>
      <c r="P35" s="33" t="str">
        <f ca="1">IFERROR(__xludf.DUMMYFUNCTION("""COMPUTED_VALUE"""),"Iván Sánchez (Levante y Albacete)")</f>
        <v>Iván Sánchez (Levante y Albacete)</v>
      </c>
    </row>
    <row r="36" spans="2:16">
      <c r="B36" s="74">
        <f ca="1">IFERROR(__xludf.DUMMYFUNCTION("""COMPUTED_VALUE"""),2026)</f>
        <v>2026</v>
      </c>
      <c r="C36" s="56">
        <f ca="1">IFERROR(__xludf.DUMMYFUNCTION("""COMPUTED_VALUE"""),1)</f>
        <v>1</v>
      </c>
      <c r="D36" s="33" t="str">
        <f ca="1">IFERROR(__xludf.DUMMYFUNCTION("""COMPUTED_VALUE"""),"NO")</f>
        <v>NO</v>
      </c>
      <c r="E36" s="33" t="str">
        <f ca="1">IFERROR(__xludf.DUMMYFUNCTION("""COMPUTED_VALUE"""),"Logroño")</f>
        <v>Logroño</v>
      </c>
      <c r="F36" s="57">
        <f ca="1">IFERROR(__xludf.DUMMYFUNCTION("""COMPUTED_VALUE"""),46038)</f>
        <v>46038</v>
      </c>
      <c r="G36" s="57">
        <f ca="1">IFERROR(__xludf.DUMMYFUNCTION("""COMPUTED_VALUE"""),45929)</f>
        <v>45929</v>
      </c>
      <c r="H36" s="33" t="str">
        <f ca="1">IFERROR(__xludf.DUMMYFUNCTION("""COMPUTED_VALUE"""),"Logroño")</f>
        <v>Logroño</v>
      </c>
      <c r="I36" s="33" t="str">
        <f ca="1">IFERROR(__xludf.DUMMYFUNCTION("""COMPUTED_VALUE"""),"C202510110530975")</f>
        <v>C202510110530975</v>
      </c>
      <c r="J36" s="33" t="str">
        <f ca="1">IFERROR(__xludf.DUMMYFUNCTION("""COMPUTED_VALUE"""),"SEVERIANA MARIN GOMEZ")</f>
        <v>SEVERIANA MARIN GOMEZ</v>
      </c>
      <c r="K36" s="56">
        <f ca="1">IFERROR(__xludf.DUMMYFUNCTION("""COMPUTED_VALUE"""),2)</f>
        <v>2</v>
      </c>
      <c r="L36" s="62">
        <f ca="1">IFERROR(__xludf.DUMMYFUNCTION("""COMPUTED_VALUE"""),3604.55)</f>
        <v>3604.55</v>
      </c>
      <c r="M36" s="33" t="str">
        <f ca="1">IFERROR(__xludf.DUMMYFUNCTION("""COMPUTED_VALUE"""),"03 ORL")</f>
        <v>03 ORL</v>
      </c>
      <c r="N36" s="33" t="str">
        <f ca="1">IFERROR(__xludf.DUMMYFUNCTION("""COMPUTED_VALUE"""),"06 ORL")</f>
        <v>06 ORL</v>
      </c>
      <c r="O36" s="33" t="str">
        <f ca="1">IFERROR(__xludf.DUMMYFUNCTION("""COMPUTED_VALUE"""),"Dra, Cristina Ibañez Muñoz")</f>
        <v>Dra, Cristina Ibañez Muñoz</v>
      </c>
      <c r="P36" s="33" t="str">
        <f ca="1">IFERROR(__xludf.DUMMYFUNCTION("""COMPUTED_VALUE"""),"Lisandro Russian (Madrid, Cáceres, Toledo, Talavera y Logroño)")</f>
        <v>Lisandro Russian (Madrid, Cáceres, Toledo, Talavera y Logroño)</v>
      </c>
    </row>
    <row r="37" spans="2:16">
      <c r="B37" s="74">
        <f ca="1">IFERROR(__xludf.DUMMYFUNCTION("""COMPUTED_VALUE"""),2026)</f>
        <v>2026</v>
      </c>
      <c r="C37" s="56">
        <f ca="1">IFERROR(__xludf.DUMMYFUNCTION("""COMPUTED_VALUE"""),1)</f>
        <v>1</v>
      </c>
      <c r="D37" s="33" t="str">
        <f ca="1">IFERROR(__xludf.DUMMYFUNCTION("""COMPUTED_VALUE"""),"NO")</f>
        <v>NO</v>
      </c>
      <c r="E37" s="33" t="str">
        <f ca="1">IFERROR(__xludf.DUMMYFUNCTION("""COMPUTED_VALUE"""),"Alcorcón")</f>
        <v>Alcorcón</v>
      </c>
      <c r="F37" s="57">
        <f ca="1">IFERROR(__xludf.DUMMYFUNCTION("""COMPUTED_VALUE"""),46038)</f>
        <v>46038</v>
      </c>
      <c r="G37" s="57">
        <f ca="1">IFERROR(__xludf.DUMMYFUNCTION("""COMPUTED_VALUE"""),45979)</f>
        <v>45979</v>
      </c>
      <c r="H37" s="33" t="str">
        <f ca="1">IFERROR(__xludf.DUMMYFUNCTION("""COMPUTED_VALUE"""),"Alcorcón")</f>
        <v>Alcorcón</v>
      </c>
      <c r="I37" s="33" t="str">
        <f ca="1">IFERROR(__xludf.DUMMYFUNCTION("""COMPUTED_VALUE"""),"C202511181813490985")</f>
        <v>C202511181813490985</v>
      </c>
      <c r="J37" s="33" t="str">
        <f ca="1">IFERROR(__xludf.DUMMYFUNCTION("""COMPUTED_VALUE"""),"SUSANA PERUCHO  MARTINEZ")</f>
        <v>SUSANA PERUCHO  MARTINEZ</v>
      </c>
      <c r="K37" s="56">
        <f ca="1">IFERROR(__xludf.DUMMYFUNCTION("""COMPUTED_VALUE"""),2)</f>
        <v>2</v>
      </c>
      <c r="L37" s="62">
        <f ca="1">IFERROR(__xludf.DUMMYFUNCTION("""COMPUTED_VALUE"""),4136.36)</f>
        <v>4136.3599999999997</v>
      </c>
      <c r="M37" s="33" t="str">
        <f ca="1">IFERROR(__xludf.DUMMYFUNCTION("""COMPUTED_VALUE"""),"03 ORL")</f>
        <v>03 ORL</v>
      </c>
      <c r="N37" s="33" t="str">
        <f ca="1">IFERROR(__xludf.DUMMYFUNCTION("""COMPUTED_VALUE"""),"06 ORL")</f>
        <v>06 ORL</v>
      </c>
      <c r="O37" s="33" t="str">
        <f ca="1">IFERROR(__xludf.DUMMYFUNCTION("""COMPUTED_VALUE"""),"Dra, María del Mar Martínez Ruiz-coello")</f>
        <v>Dra, María del Mar Martínez Ruiz-coello</v>
      </c>
      <c r="P37" s="33" t="str">
        <f ca="1">IFERROR(__xludf.DUMMYFUNCTION("""COMPUTED_VALUE"""),"Maika Blázquez (Madrid)")</f>
        <v>Maika Blázquez (Madrid)</v>
      </c>
    </row>
    <row r="38" spans="2:16">
      <c r="B38" s="74">
        <f ca="1">IFERROR(__xludf.DUMMYFUNCTION("""COMPUTED_VALUE"""),2026)</f>
        <v>2026</v>
      </c>
      <c r="C38" s="56">
        <f ca="1">IFERROR(__xludf.DUMMYFUNCTION("""COMPUTED_VALUE"""),1)</f>
        <v>1</v>
      </c>
      <c r="D38" s="33" t="str">
        <f ca="1">IFERROR(__xludf.DUMMYFUNCTION("""COMPUTED_VALUE"""),"NO")</f>
        <v>NO</v>
      </c>
      <c r="E38" s="33" t="str">
        <f ca="1">IFERROR(__xludf.DUMMYFUNCTION("""COMPUTED_VALUE"""),"Sevilla- Montoto")</f>
        <v>Sevilla- Montoto</v>
      </c>
      <c r="F38" s="57">
        <f ca="1">IFERROR(__xludf.DUMMYFUNCTION("""COMPUTED_VALUE"""),46038)</f>
        <v>46038</v>
      </c>
      <c r="G38" s="57">
        <f ca="1">IFERROR(__xludf.DUMMYFUNCTION("""COMPUTED_VALUE"""),46010)</f>
        <v>46010</v>
      </c>
      <c r="H38" s="33" t="str">
        <f ca="1">IFERROR(__xludf.DUMMYFUNCTION("""COMPUTED_VALUE"""),"Montoto")</f>
        <v>Montoto</v>
      </c>
      <c r="I38" s="33" t="str">
        <f ca="1">IFERROR(__xludf.DUMMYFUNCTION("""COMPUTED_VALUE"""),"C202512191110453673")</f>
        <v>C202512191110453673</v>
      </c>
      <c r="J38" s="33" t="str">
        <f ca="1">IFERROR(__xludf.DUMMYFUNCTION("""COMPUTED_VALUE"""),"JOSE ANTONIO SANCHEZ TORRECILLA")</f>
        <v>JOSE ANTONIO SANCHEZ TORRECILLA</v>
      </c>
      <c r="K38" s="56">
        <f ca="1">IFERROR(__xludf.DUMMYFUNCTION("""COMPUTED_VALUE"""),2)</f>
        <v>2</v>
      </c>
      <c r="L38" s="62">
        <f ca="1">IFERROR(__xludf.DUMMYFUNCTION("""COMPUTED_VALUE"""),2718.19)</f>
        <v>2718.19</v>
      </c>
      <c r="M38" s="33" t="str">
        <f ca="1">IFERROR(__xludf.DUMMYFUNCTION("""COMPUTED_VALUE"""),"03 ORL")</f>
        <v>03 ORL</v>
      </c>
      <c r="N38" s="33" t="str">
        <f ca="1">IFERROR(__xludf.DUMMYFUNCTION("""COMPUTED_VALUE"""),"06 ORL")</f>
        <v>06 ORL</v>
      </c>
      <c r="O38" s="33" t="str">
        <f ca="1">IFERROR(__xludf.DUMMYFUNCTION("""COMPUTED_VALUE"""),"No recuerda ORL")</f>
        <v>No recuerda ORL</v>
      </c>
      <c r="P38" s="33" t="str">
        <f ca="1">IFERROR(__xludf.DUMMYFUNCTION("""COMPUTED_VALUE"""),"Luis Alberto Rodríguez (Andalucía y Badajoz)")</f>
        <v>Luis Alberto Rodríguez (Andalucía y Badajoz)</v>
      </c>
    </row>
    <row r="39" spans="2:16">
      <c r="B39" s="74">
        <f ca="1">IFERROR(__xludf.DUMMYFUNCTION("""COMPUTED_VALUE"""),2026)</f>
        <v>2026</v>
      </c>
      <c r="C39" s="56">
        <f ca="1">IFERROR(__xludf.DUMMYFUNCTION("""COMPUTED_VALUE"""),1)</f>
        <v>1</v>
      </c>
      <c r="D39" s="33" t="str">
        <f ca="1">IFERROR(__xludf.DUMMYFUNCTION("""COMPUTED_VALUE"""),"NO")</f>
        <v>NO</v>
      </c>
      <c r="E39" s="33" t="str">
        <f ca="1">IFERROR(__xludf.DUMMYFUNCTION("""COMPUTED_VALUE"""),"Madrid- Juan Bravo")</f>
        <v>Madrid- Juan Bravo</v>
      </c>
      <c r="F39" s="57">
        <f ca="1">IFERROR(__xludf.DUMMYFUNCTION("""COMPUTED_VALUE"""),46041)</f>
        <v>46041</v>
      </c>
      <c r="G39" s="57">
        <f ca="1">IFERROR(__xludf.DUMMYFUNCTION("""COMPUTED_VALUE"""),45814)</f>
        <v>45814</v>
      </c>
      <c r="H39" s="33" t="str">
        <f ca="1">IFERROR(__xludf.DUMMYFUNCTION("""COMPUTED_VALUE"""),"Juan Bravo")</f>
        <v>Juan Bravo</v>
      </c>
      <c r="I39" s="33" t="str">
        <f ca="1">IFERROR(__xludf.DUMMYFUNCTION("""COMPUTED_VALUE"""),"C202561217436304")</f>
        <v>C202561217436304</v>
      </c>
      <c r="J39" s="33" t="str">
        <f ca="1">IFERROR(__xludf.DUMMYFUNCTION("""COMPUTED_VALUE"""),"CATALINA RAMOS MARIN")</f>
        <v>CATALINA RAMOS MARIN</v>
      </c>
      <c r="K39" s="56">
        <f ca="1">IFERROR(__xludf.DUMMYFUNCTION("""COMPUTED_VALUE"""),1)</f>
        <v>1</v>
      </c>
      <c r="L39" s="62">
        <f ca="1">IFERROR(__xludf.DUMMYFUNCTION("""COMPUTED_VALUE"""),1631.82)</f>
        <v>1631.82</v>
      </c>
      <c r="M39" s="33" t="str">
        <f ca="1">IFERROR(__xludf.DUMMYFUNCTION("""COMPUTED_VALUE"""),"03 ORL")</f>
        <v>03 ORL</v>
      </c>
      <c r="N39" s="33" t="str">
        <f ca="1">IFERROR(__xludf.DUMMYFUNCTION("""COMPUTED_VALUE"""),"06 ORL")</f>
        <v>06 ORL</v>
      </c>
      <c r="O39" s="33" t="str">
        <f ca="1">IFERROR(__xludf.DUMMYFUNCTION("""COMPUTED_VALUE"""),"Dr, Carlos Barajas del Rosal")</f>
        <v>Dr, Carlos Barajas del Rosal</v>
      </c>
      <c r="P39" s="33" t="str">
        <f ca="1">IFERROR(__xludf.DUMMYFUNCTION("""COMPUTED_VALUE"""),"Lisandro Russian (Madrid, Cáceres, Toledo, Talavera y Logroño)")</f>
        <v>Lisandro Russian (Madrid, Cáceres, Toledo, Talavera y Logroño)</v>
      </c>
    </row>
    <row r="40" spans="2:16">
      <c r="B40" s="74">
        <f ca="1">IFERROR(__xludf.DUMMYFUNCTION("""COMPUTED_VALUE"""),2026)</f>
        <v>2026</v>
      </c>
      <c r="C40" s="56">
        <f ca="1">IFERROR(__xludf.DUMMYFUNCTION("""COMPUTED_VALUE"""),1)</f>
        <v>1</v>
      </c>
      <c r="D40" s="33" t="str">
        <f ca="1">IFERROR(__xludf.DUMMYFUNCTION("""COMPUTED_VALUE"""),"NO")</f>
        <v>NO</v>
      </c>
      <c r="E40" s="33" t="str">
        <f ca="1">IFERROR(__xludf.DUMMYFUNCTION("""COMPUTED_VALUE"""),"Cáceres")</f>
        <v>Cáceres</v>
      </c>
      <c r="F40" s="57">
        <f ca="1">IFERROR(__xludf.DUMMYFUNCTION("""COMPUTED_VALUE"""),46041)</f>
        <v>46041</v>
      </c>
      <c r="G40" s="57">
        <f ca="1">IFERROR(__xludf.DUMMYFUNCTION("""COMPUTED_VALUE"""),46006)</f>
        <v>46006</v>
      </c>
      <c r="H40" s="33" t="str">
        <f ca="1">IFERROR(__xludf.DUMMYFUNCTION("""COMPUTED_VALUE"""),"Cáceres")</f>
        <v>Cáceres</v>
      </c>
      <c r="I40" s="33" t="str">
        <f ca="1">IFERROR(__xludf.DUMMYFUNCTION("""COMPUTED_VALUE"""),"C202512151041598226")</f>
        <v>C202512151041598226</v>
      </c>
      <c r="J40" s="33" t="str">
        <f ca="1">IFERROR(__xludf.DUMMYFUNCTION("""COMPUTED_VALUE"""),"CLAUDIA MORENO CEBRIAN")</f>
        <v>CLAUDIA MORENO CEBRIAN</v>
      </c>
      <c r="K40" s="56">
        <f ca="1">IFERROR(__xludf.DUMMYFUNCTION("""COMPUTED_VALUE"""),2)</f>
        <v>2</v>
      </c>
      <c r="L40" s="62">
        <f ca="1">IFERROR(__xludf.DUMMYFUNCTION("""COMPUTED_VALUE"""),4500)</f>
        <v>4500</v>
      </c>
      <c r="M40" s="33" t="str">
        <f ca="1">IFERROR(__xludf.DUMMYFUNCTION("""COMPUTED_VALUE"""),"03 ORL")</f>
        <v>03 ORL</v>
      </c>
      <c r="N40" s="33" t="str">
        <f ca="1">IFERROR(__xludf.DUMMYFUNCTION("""COMPUTED_VALUE"""),"06 ORL")</f>
        <v>06 ORL</v>
      </c>
      <c r="O40" s="33" t="str">
        <f ca="1">IFERROR(__xludf.DUMMYFUNCTION("""COMPUTED_VALUE"""),"Dr, Javier García Gómez")</f>
        <v>Dr, Javier García Gómez</v>
      </c>
      <c r="P40" s="33" t="str">
        <f ca="1">IFERROR(__xludf.DUMMYFUNCTION("""COMPUTED_VALUE"""),"Lisandro Russian (Madrid, Cáceres, Toledo, Talavera y Logroño)")</f>
        <v>Lisandro Russian (Madrid, Cáceres, Toledo, Talavera y Logroño)</v>
      </c>
    </row>
    <row r="41" spans="2:16">
      <c r="B41" s="74">
        <f ca="1">IFERROR(__xludf.DUMMYFUNCTION("""COMPUTED_VALUE"""),2026)</f>
        <v>2026</v>
      </c>
      <c r="C41" s="56">
        <f ca="1">IFERROR(__xludf.DUMMYFUNCTION("""COMPUTED_VALUE"""),1)</f>
        <v>1</v>
      </c>
      <c r="D41" s="33" t="str">
        <f ca="1">IFERROR(__xludf.DUMMYFUNCTION("""COMPUTED_VALUE"""),"NO")</f>
        <v>NO</v>
      </c>
      <c r="E41" s="33" t="str">
        <f ca="1">IFERROR(__xludf.DUMMYFUNCTION("""COMPUTED_VALUE"""),"Barcelona- Córcega")</f>
        <v>Barcelona- Córcega</v>
      </c>
      <c r="F41" s="57">
        <f ca="1">IFERROR(__xludf.DUMMYFUNCTION("""COMPUTED_VALUE"""),46041)</f>
        <v>46041</v>
      </c>
      <c r="G41" s="57">
        <f ca="1">IFERROR(__xludf.DUMMYFUNCTION("""COMPUTED_VALUE"""),45901)</f>
        <v>45901</v>
      </c>
      <c r="H41" s="33" t="str">
        <f ca="1">IFERROR(__xludf.DUMMYFUNCTION("""COMPUTED_VALUE"""),"Córcega")</f>
        <v>Córcega</v>
      </c>
      <c r="I41" s="33" t="str">
        <f ca="1">IFERROR(__xludf.DUMMYFUNCTION("""COMPUTED_VALUE"""),"C202594115953981")</f>
        <v>C202594115953981</v>
      </c>
      <c r="J41" s="33" t="str">
        <f ca="1">IFERROR(__xludf.DUMMYFUNCTION("""COMPUTED_VALUE"""),"FRANCISCA HERNANDEZ LORENTE")</f>
        <v>FRANCISCA HERNANDEZ LORENTE</v>
      </c>
      <c r="K41" s="56">
        <f ca="1">IFERROR(__xludf.DUMMYFUNCTION("""COMPUTED_VALUE"""),1)</f>
        <v>1</v>
      </c>
      <c r="L41" s="62">
        <f ca="1">IFERROR(__xludf.DUMMYFUNCTION("""COMPUTED_VALUE"""),2268.14)</f>
        <v>2268.14</v>
      </c>
      <c r="M41" s="33" t="str">
        <f ca="1">IFERROR(__xludf.DUMMYFUNCTION("""COMPUTED_VALUE"""),"03 ORL")</f>
        <v>03 ORL</v>
      </c>
      <c r="N41" s="33" t="str">
        <f ca="1">IFERROR(__xludf.DUMMYFUNCTION("""COMPUTED_VALUE"""),"06 ORL")</f>
        <v>06 ORL</v>
      </c>
      <c r="O41" s="33" t="str">
        <f ca="1">IFERROR(__xludf.DUMMYFUNCTION("""COMPUTED_VALUE"""),"Dr, Jesus-Maria Grasa Pérez")</f>
        <v>Dr, Jesus-Maria Grasa Pérez</v>
      </c>
      <c r="P41" s="33" t="str">
        <f ca="1">IFERROR(__xludf.DUMMYFUNCTION("""COMPUTED_VALUE"""),"Mercè Cabrera (Cataluña y Baleares)")</f>
        <v>Mercè Cabrera (Cataluña y Baleares)</v>
      </c>
    </row>
    <row r="42" spans="2:16">
      <c r="B42" s="74">
        <f ca="1">IFERROR(__xludf.DUMMYFUNCTION("""COMPUTED_VALUE"""),2026)</f>
        <v>2026</v>
      </c>
      <c r="C42" s="56">
        <f ca="1">IFERROR(__xludf.DUMMYFUNCTION("""COMPUTED_VALUE"""),1)</f>
        <v>1</v>
      </c>
      <c r="D42" s="33" t="str">
        <f ca="1">IFERROR(__xludf.DUMMYFUNCTION("""COMPUTED_VALUE"""),"NO")</f>
        <v>NO</v>
      </c>
      <c r="E42" s="33" t="str">
        <f ca="1">IFERROR(__xludf.DUMMYFUNCTION("""COMPUTED_VALUE"""),"Orihuela")</f>
        <v>Orihuela</v>
      </c>
      <c r="F42" s="57">
        <f ca="1">IFERROR(__xludf.DUMMYFUNCTION("""COMPUTED_VALUE"""),46041)</f>
        <v>46041</v>
      </c>
      <c r="G42" s="57">
        <f ca="1">IFERROR(__xludf.DUMMYFUNCTION("""COMPUTED_VALUE"""),46001)</f>
        <v>46001</v>
      </c>
      <c r="H42" s="33" t="str">
        <f ca="1">IFERROR(__xludf.DUMMYFUNCTION("""COMPUTED_VALUE"""),"La Zenia")</f>
        <v>La Zenia</v>
      </c>
      <c r="I42" s="33" t="str">
        <f ca="1">IFERROR(__xludf.DUMMYFUNCTION("""COMPUTED_VALUE"""),"C202512101420127206")</f>
        <v>C202512101420127206</v>
      </c>
      <c r="J42" s="33" t="str">
        <f ca="1">IFERROR(__xludf.DUMMYFUNCTION("""COMPUTED_VALUE"""),"CHRISTOPHER HUGH IBBETSON")</f>
        <v>CHRISTOPHER HUGH IBBETSON</v>
      </c>
      <c r="K42" s="56">
        <f ca="1">IFERROR(__xludf.DUMMYFUNCTION("""COMPUTED_VALUE"""),2)</f>
        <v>2</v>
      </c>
      <c r="L42" s="62">
        <f ca="1">IFERROR(__xludf.DUMMYFUNCTION("""COMPUTED_VALUE"""),3631.82)</f>
        <v>3631.82</v>
      </c>
      <c r="M42" s="33" t="str">
        <f ca="1">IFERROR(__xludf.DUMMYFUNCTION("""COMPUTED_VALUE"""),"03 ORL")</f>
        <v>03 ORL</v>
      </c>
      <c r="N42" s="33" t="str">
        <f ca="1">IFERROR(__xludf.DUMMYFUNCTION("""COMPUTED_VALUE"""),"06 ORL")</f>
        <v>06 ORL</v>
      </c>
      <c r="O42" s="33" t="str">
        <f ca="1">IFERROR(__xludf.DUMMYFUNCTION("""COMPUTED_VALUE"""),"Dra, Oreana Carolina Camacaro González")</f>
        <v>Dra, Oreana Carolina Camacaro González</v>
      </c>
      <c r="P42" s="33" t="str">
        <f ca="1">IFERROR(__xludf.DUMMYFUNCTION("""COMPUTED_VALUE"""),"Iván Sánchez (Levante y Albacete)")</f>
        <v>Iván Sánchez (Levante y Albacete)</v>
      </c>
    </row>
    <row r="43" spans="2:16">
      <c r="B43" s="74">
        <f ca="1">IFERROR(__xludf.DUMMYFUNCTION("""COMPUTED_VALUE"""),2026)</f>
        <v>2026</v>
      </c>
      <c r="C43" s="56">
        <f ca="1">IFERROR(__xludf.DUMMYFUNCTION("""COMPUTED_VALUE"""),1)</f>
        <v>1</v>
      </c>
      <c r="D43" s="33" t="str">
        <f ca="1">IFERROR(__xludf.DUMMYFUNCTION("""COMPUTED_VALUE"""),"NO")</f>
        <v>NO</v>
      </c>
      <c r="E43" s="33" t="str">
        <f ca="1">IFERROR(__xludf.DUMMYFUNCTION("""COMPUTED_VALUE"""),"Murcia")</f>
        <v>Murcia</v>
      </c>
      <c r="F43" s="57">
        <f ca="1">IFERROR(__xludf.DUMMYFUNCTION("""COMPUTED_VALUE"""),46041)</f>
        <v>46041</v>
      </c>
      <c r="G43" s="57">
        <f ca="1">IFERROR(__xludf.DUMMYFUNCTION("""COMPUTED_VALUE"""),44960)</f>
        <v>44960</v>
      </c>
      <c r="H43" s="33" t="str">
        <f ca="1">IFERROR(__xludf.DUMMYFUNCTION("""COMPUTED_VALUE"""),"Murcia")</f>
        <v>Murcia</v>
      </c>
      <c r="I43" s="33" t="str">
        <f ca="1">IFERROR(__xludf.DUMMYFUNCTION("""COMPUTED_VALUE"""),"MUR-1258")</f>
        <v>MUR-1258</v>
      </c>
      <c r="J43" s="33" t="str">
        <f ca="1">IFERROR(__xludf.DUMMYFUNCTION("""COMPUTED_VALUE"""),"JULIA LOPEZ LOPEZ")</f>
        <v>JULIA LOPEZ LOPEZ</v>
      </c>
      <c r="K43" s="56">
        <f ca="1">IFERROR(__xludf.DUMMYFUNCTION("""COMPUTED_VALUE"""),2)</f>
        <v>2</v>
      </c>
      <c r="L43" s="62">
        <f ca="1">IFERROR(__xludf.DUMMYFUNCTION("""COMPUTED_VALUE"""),2718.18)</f>
        <v>2718.18</v>
      </c>
      <c r="M43" s="33" t="str">
        <f ca="1">IFERROR(__xludf.DUMMYFUNCTION("""COMPUTED_VALUE"""),"03 ORL")</f>
        <v>03 ORL</v>
      </c>
      <c r="N43" s="33" t="str">
        <f ca="1">IFERROR(__xludf.DUMMYFUNCTION("""COMPUTED_VALUE"""),"06 ORL")</f>
        <v>06 ORL</v>
      </c>
      <c r="O43" s="33" t="str">
        <f ca="1">IFERROR(__xludf.DUMMYFUNCTION("""COMPUTED_VALUE"""),"Dra, María Agustina Sevilla García")</f>
        <v>Dra, María Agustina Sevilla García</v>
      </c>
      <c r="P43" s="33" t="str">
        <f ca="1">IFERROR(__xludf.DUMMYFUNCTION("""COMPUTED_VALUE"""),"Iván Sánchez (Levante y Albacete)")</f>
        <v>Iván Sánchez (Levante y Albacete)</v>
      </c>
    </row>
    <row r="44" spans="2:16">
      <c r="B44" s="74">
        <f ca="1">IFERROR(__xludf.DUMMYFUNCTION("""COMPUTED_VALUE"""),2026)</f>
        <v>2026</v>
      </c>
      <c r="C44" s="56">
        <f ca="1">IFERROR(__xludf.DUMMYFUNCTION("""COMPUTED_VALUE"""),1)</f>
        <v>1</v>
      </c>
      <c r="D44" s="33" t="str">
        <f ca="1">IFERROR(__xludf.DUMMYFUNCTION("""COMPUTED_VALUE"""),"NO")</f>
        <v>NO</v>
      </c>
      <c r="E44" s="33" t="str">
        <f ca="1">IFERROR(__xludf.DUMMYFUNCTION("""COMPUTED_VALUE"""),"Madrid- Moratalaz")</f>
        <v>Madrid- Moratalaz</v>
      </c>
      <c r="F44" s="57">
        <f ca="1">IFERROR(__xludf.DUMMYFUNCTION("""COMPUTED_VALUE"""),46041)</f>
        <v>46041</v>
      </c>
      <c r="G44" s="57">
        <f ca="1">IFERROR(__xludf.DUMMYFUNCTION("""COMPUTED_VALUE"""),46007)</f>
        <v>46007</v>
      </c>
      <c r="H44" s="33" t="str">
        <f ca="1">IFERROR(__xludf.DUMMYFUNCTION("""COMPUTED_VALUE"""),"Moratalaz")</f>
        <v>Moratalaz</v>
      </c>
      <c r="I44" s="33" t="str">
        <f ca="1">IFERROR(__xludf.DUMMYFUNCTION("""COMPUTED_VALUE"""),"C202512161155416397")</f>
        <v>C202512161155416397</v>
      </c>
      <c r="J44" s="33" t="str">
        <f ca="1">IFERROR(__xludf.DUMMYFUNCTION("""COMPUTED_VALUE"""),"MARIA DE LOS ANGELES CABAL NUÑEZ DE HOYO")</f>
        <v>MARIA DE LOS ANGELES CABAL NUÑEZ DE HOYO</v>
      </c>
      <c r="K44" s="56">
        <f ca="1">IFERROR(__xludf.DUMMYFUNCTION("""COMPUTED_VALUE"""),2)</f>
        <v>2</v>
      </c>
      <c r="L44" s="62">
        <f ca="1">IFERROR(__xludf.DUMMYFUNCTION("""COMPUTED_VALUE"""),3377.6)</f>
        <v>3377.6</v>
      </c>
      <c r="M44" s="33" t="str">
        <f ca="1">IFERROR(__xludf.DUMMYFUNCTION("""COMPUTED_VALUE"""),"03 ORL")</f>
        <v>03 ORL</v>
      </c>
      <c r="N44" s="33" t="str">
        <f ca="1">IFERROR(__xludf.DUMMYFUNCTION("""COMPUTED_VALUE"""),"06 ORL")</f>
        <v>06 ORL</v>
      </c>
      <c r="O44" s="33" t="str">
        <f ca="1">IFERROR(__xludf.DUMMYFUNCTION("""COMPUTED_VALUE"""),"Dr, Javier García Domínguez")</f>
        <v>Dr, Javier García Domínguez</v>
      </c>
      <c r="P44" s="33" t="str">
        <f ca="1">IFERROR(__xludf.DUMMYFUNCTION("""COMPUTED_VALUE"""),"Maika Blázquez (Madrid)")</f>
        <v>Maika Blázquez (Madrid)</v>
      </c>
    </row>
    <row r="45" spans="2:16">
      <c r="B45" s="74">
        <f ca="1">IFERROR(__xludf.DUMMYFUNCTION("""COMPUTED_VALUE"""),2026)</f>
        <v>2026</v>
      </c>
      <c r="C45" s="56">
        <f ca="1">IFERROR(__xludf.DUMMYFUNCTION("""COMPUTED_VALUE"""),1)</f>
        <v>1</v>
      </c>
      <c r="D45" s="33" t="str">
        <f ca="1">IFERROR(__xludf.DUMMYFUNCTION("""COMPUTED_VALUE"""),"NO")</f>
        <v>NO</v>
      </c>
      <c r="E45" s="33" t="str">
        <f ca="1">IFERROR(__xludf.DUMMYFUNCTION("""COMPUTED_VALUE"""),"Getafe")</f>
        <v>Getafe</v>
      </c>
      <c r="F45" s="57">
        <f ca="1">IFERROR(__xludf.DUMMYFUNCTION("""COMPUTED_VALUE"""),46041)</f>
        <v>46041</v>
      </c>
      <c r="G45" s="57">
        <f ca="1">IFERROR(__xludf.DUMMYFUNCTION("""COMPUTED_VALUE"""),45978)</f>
        <v>45978</v>
      </c>
      <c r="H45" s="33" t="str">
        <f ca="1">IFERROR(__xludf.DUMMYFUNCTION("""COMPUTED_VALUE"""),"Getafe")</f>
        <v>Getafe</v>
      </c>
      <c r="I45" s="33" t="str">
        <f ca="1">IFERROR(__xludf.DUMMYFUNCTION("""COMPUTED_VALUE"""),"C202511171120372888")</f>
        <v>C202511171120372888</v>
      </c>
      <c r="J45" s="33" t="str">
        <f ca="1">IFERROR(__xludf.DUMMYFUNCTION("""COMPUTED_VALUE"""),"PILAR TORREJÓN ALONSO")</f>
        <v>PILAR TORREJÓN ALONSO</v>
      </c>
      <c r="K45" s="56">
        <f ca="1">IFERROR(__xludf.DUMMYFUNCTION("""COMPUTED_VALUE"""),2)</f>
        <v>2</v>
      </c>
      <c r="L45" s="62">
        <f ca="1">IFERROR(__xludf.DUMMYFUNCTION("""COMPUTED_VALUE"""),3631.82)</f>
        <v>3631.82</v>
      </c>
      <c r="M45" s="33" t="str">
        <f ca="1">IFERROR(__xludf.DUMMYFUNCTION("""COMPUTED_VALUE"""),"03 ORL")</f>
        <v>03 ORL</v>
      </c>
      <c r="N45" s="33" t="str">
        <f ca="1">IFERROR(__xludf.DUMMYFUNCTION("""COMPUTED_VALUE"""),"06 ORL")</f>
        <v>06 ORL</v>
      </c>
      <c r="O45" s="33" t="str">
        <f ca="1">IFERROR(__xludf.DUMMYFUNCTION("""COMPUTED_VALUE"""),"Dra, María Garrote Garrote")</f>
        <v>Dra, María Garrote Garrote</v>
      </c>
      <c r="P45" s="33" t="str">
        <f ca="1">IFERROR(__xludf.DUMMYFUNCTION("""COMPUTED_VALUE"""),"Maika Blázquez (Madrid)")</f>
        <v>Maika Blázquez (Madrid)</v>
      </c>
    </row>
    <row r="46" spans="2:16">
      <c r="B46" s="74">
        <f ca="1">IFERROR(__xludf.DUMMYFUNCTION("""COMPUTED_VALUE"""),2026)</f>
        <v>2026</v>
      </c>
      <c r="C46" s="56">
        <f ca="1">IFERROR(__xludf.DUMMYFUNCTION("""COMPUTED_VALUE"""),1)</f>
        <v>1</v>
      </c>
      <c r="D46" s="33" t="str">
        <f ca="1">IFERROR(__xludf.DUMMYFUNCTION("""COMPUTED_VALUE"""),"NO")</f>
        <v>NO</v>
      </c>
      <c r="E46" s="33" t="str">
        <f ca="1">IFERROR(__xludf.DUMMYFUNCTION("""COMPUTED_VALUE"""),"Cáceres")</f>
        <v>Cáceres</v>
      </c>
      <c r="F46" s="57">
        <f ca="1">IFERROR(__xludf.DUMMYFUNCTION("""COMPUTED_VALUE"""),46042)</f>
        <v>46042</v>
      </c>
      <c r="G46" s="57">
        <f ca="1">IFERROR(__xludf.DUMMYFUNCTION("""COMPUTED_VALUE"""),46007)</f>
        <v>46007</v>
      </c>
      <c r="H46" s="33" t="str">
        <f ca="1">IFERROR(__xludf.DUMMYFUNCTION("""COMPUTED_VALUE"""),"Cáceres")</f>
        <v>Cáceres</v>
      </c>
      <c r="I46" s="33" t="str">
        <f ca="1">IFERROR(__xludf.DUMMYFUNCTION("""COMPUTED_VALUE"""),"C202512161238444364")</f>
        <v>C202512161238444364</v>
      </c>
      <c r="J46" s="33" t="str">
        <f ca="1">IFERROR(__xludf.DUMMYFUNCTION("""COMPUTED_VALUE"""),"FERMINA ISABEL PIZARRO VALLE")</f>
        <v>FERMINA ISABEL PIZARRO VALLE</v>
      </c>
      <c r="K46" s="56">
        <f ca="1">IFERROR(__xludf.DUMMYFUNCTION("""COMPUTED_VALUE"""),2)</f>
        <v>2</v>
      </c>
      <c r="L46" s="62">
        <f ca="1">IFERROR(__xludf.DUMMYFUNCTION("""COMPUTED_VALUE"""),4990.91)</f>
        <v>4990.91</v>
      </c>
      <c r="M46" s="33" t="str">
        <f ca="1">IFERROR(__xludf.DUMMYFUNCTION("""COMPUTED_VALUE"""),"03 ORL")</f>
        <v>03 ORL</v>
      </c>
      <c r="N46" s="33" t="str">
        <f ca="1">IFERROR(__xludf.DUMMYFUNCTION("""COMPUTED_VALUE"""),"06 ORL")</f>
        <v>06 ORL</v>
      </c>
      <c r="O46" s="33" t="str">
        <f ca="1">IFERROR(__xludf.DUMMYFUNCTION("""COMPUTED_VALUE"""),"Dra, Daniela Carolina Laguado Bulgheroni")</f>
        <v>Dra, Daniela Carolina Laguado Bulgheroni</v>
      </c>
      <c r="P46" s="33" t="str">
        <f ca="1">IFERROR(__xludf.DUMMYFUNCTION("""COMPUTED_VALUE"""),"Lisandro Russian (Madrid, Cáceres, Toledo, Talavera y Logroño)")</f>
        <v>Lisandro Russian (Madrid, Cáceres, Toledo, Talavera y Logroño)</v>
      </c>
    </row>
    <row r="47" spans="2:16">
      <c r="B47" s="74">
        <f ca="1">IFERROR(__xludf.DUMMYFUNCTION("""COMPUTED_VALUE"""),2026)</f>
        <v>2026</v>
      </c>
      <c r="C47" s="56">
        <f ca="1">IFERROR(__xludf.DUMMYFUNCTION("""COMPUTED_VALUE"""),1)</f>
        <v>1</v>
      </c>
      <c r="D47" s="33" t="str">
        <f ca="1">IFERROR(__xludf.DUMMYFUNCTION("""COMPUTED_VALUE"""),"NO")</f>
        <v>NO</v>
      </c>
      <c r="E47" s="33" t="str">
        <f ca="1">IFERROR(__xludf.DUMMYFUNCTION("""COMPUTED_VALUE"""),"Zaragoza- León XIII")</f>
        <v>Zaragoza- León XIII</v>
      </c>
      <c r="F47" s="57">
        <f ca="1">IFERROR(__xludf.DUMMYFUNCTION("""COMPUTED_VALUE"""),46042)</f>
        <v>46042</v>
      </c>
      <c r="G47" s="57">
        <f ca="1">IFERROR(__xludf.DUMMYFUNCTION("""COMPUTED_VALUE"""),46003)</f>
        <v>46003</v>
      </c>
      <c r="H47" s="33" t="str">
        <f ca="1">IFERROR(__xludf.DUMMYFUNCTION("""COMPUTED_VALUE"""),"Zaragoza")</f>
        <v>Zaragoza</v>
      </c>
      <c r="I47" s="33" t="str">
        <f ca="1">IFERROR(__xludf.DUMMYFUNCTION("""COMPUTED_VALUE"""),"C202512129125747718")</f>
        <v>C202512129125747718</v>
      </c>
      <c r="J47" s="33" t="str">
        <f ca="1">IFERROR(__xludf.DUMMYFUNCTION("""COMPUTED_VALUE"""),"TOMÁS JAVIER MARTÍNEZ MORENO")</f>
        <v>TOMÁS JAVIER MARTÍNEZ MORENO</v>
      </c>
      <c r="K47" s="56">
        <f ca="1">IFERROR(__xludf.DUMMYFUNCTION("""COMPUTED_VALUE"""),2)</f>
        <v>2</v>
      </c>
      <c r="L47" s="62">
        <f ca="1">IFERROR(__xludf.DUMMYFUNCTION("""COMPUTED_VALUE"""),3618.27)</f>
        <v>3618.27</v>
      </c>
      <c r="M47" s="33" t="str">
        <f ca="1">IFERROR(__xludf.DUMMYFUNCTION("""COMPUTED_VALUE"""),"03 ORL")</f>
        <v>03 ORL</v>
      </c>
      <c r="N47" s="33" t="str">
        <f ca="1">IFERROR(__xludf.DUMMYFUNCTION("""COMPUTED_VALUE"""),"06 ORL")</f>
        <v>06 ORL</v>
      </c>
      <c r="O47" s="33" t="str">
        <f ca="1">IFERROR(__xludf.DUMMYFUNCTION("""COMPUTED_VALUE"""),"Dr, Pedro Gil Paraíso")</f>
        <v>Dr, Pedro Gil Paraíso</v>
      </c>
      <c r="P47" s="33" t="str">
        <f ca="1">IFERROR(__xludf.DUMMYFUNCTION("""COMPUTED_VALUE"""),"Ignacio Berdejo (Zaragoza)")</f>
        <v>Ignacio Berdejo (Zaragoza)</v>
      </c>
    </row>
    <row r="48" spans="2:16">
      <c r="B48" s="74">
        <f ca="1">IFERROR(__xludf.DUMMYFUNCTION("""COMPUTED_VALUE"""),2026)</f>
        <v>2026</v>
      </c>
      <c r="C48" s="56">
        <f ca="1">IFERROR(__xludf.DUMMYFUNCTION("""COMPUTED_VALUE"""),1)</f>
        <v>1</v>
      </c>
      <c r="D48" s="33" t="str">
        <f ca="1">IFERROR(__xludf.DUMMYFUNCTION("""COMPUTED_VALUE"""),"NO")</f>
        <v>NO</v>
      </c>
      <c r="E48" s="33" t="str">
        <f ca="1">IFERROR(__xludf.DUMMYFUNCTION("""COMPUTED_VALUE"""),"Madrid- Moratalaz")</f>
        <v>Madrid- Moratalaz</v>
      </c>
      <c r="F48" s="57">
        <f ca="1">IFERROR(__xludf.DUMMYFUNCTION("""COMPUTED_VALUE"""),46042)</f>
        <v>46042</v>
      </c>
      <c r="G48" s="57">
        <f ca="1">IFERROR(__xludf.DUMMYFUNCTION("""COMPUTED_VALUE"""),45996)</f>
        <v>45996</v>
      </c>
      <c r="H48" s="33" t="str">
        <f ca="1">IFERROR(__xludf.DUMMYFUNCTION("""COMPUTED_VALUE"""),"Moratalaz")</f>
        <v>Moratalaz</v>
      </c>
      <c r="I48" s="33" t="str">
        <f ca="1">IFERROR(__xludf.DUMMYFUNCTION("""COMPUTED_VALUE"""),"C202512511444323836")</f>
        <v>C202512511444323836</v>
      </c>
      <c r="J48" s="33" t="str">
        <f ca="1">IFERROR(__xludf.DUMMYFUNCTION("""COMPUTED_VALUE"""),"ANTONIA MUÑOZ DURAN")</f>
        <v>ANTONIA MUÑOZ DURAN</v>
      </c>
      <c r="K48" s="56">
        <f ca="1">IFERROR(__xludf.DUMMYFUNCTION("""COMPUTED_VALUE"""),2)</f>
        <v>2</v>
      </c>
      <c r="L48" s="62">
        <f ca="1">IFERROR(__xludf.DUMMYFUNCTION("""COMPUTED_VALUE"""),4136.36)</f>
        <v>4136.3599999999997</v>
      </c>
      <c r="M48" s="33" t="str">
        <f ca="1">IFERROR(__xludf.DUMMYFUNCTION("""COMPUTED_VALUE"""),"03 ORL")</f>
        <v>03 ORL</v>
      </c>
      <c r="N48" s="33" t="str">
        <f ca="1">IFERROR(__xludf.DUMMYFUNCTION("""COMPUTED_VALUE"""),"06 ORL")</f>
        <v>06 ORL</v>
      </c>
      <c r="O48" s="33" t="str">
        <f ca="1">IFERROR(__xludf.DUMMYFUNCTION("""COMPUTED_VALUE"""),"Dr, Ignacio Aristegui Torrano")</f>
        <v>Dr, Ignacio Aristegui Torrano</v>
      </c>
      <c r="P48" s="33" t="str">
        <f ca="1">IFERROR(__xludf.DUMMYFUNCTION("""COMPUTED_VALUE"""),"Maika Blázquez (Madrid)")</f>
        <v>Maika Blázquez (Madrid)</v>
      </c>
    </row>
    <row r="49" spans="2:16">
      <c r="B49" s="74">
        <f ca="1">IFERROR(__xludf.DUMMYFUNCTION("""COMPUTED_VALUE"""),2026)</f>
        <v>2026</v>
      </c>
      <c r="C49" s="56">
        <f ca="1">IFERROR(__xludf.DUMMYFUNCTION("""COMPUTED_VALUE"""),1)</f>
        <v>1</v>
      </c>
      <c r="D49" s="33" t="str">
        <f ca="1">IFERROR(__xludf.DUMMYFUNCTION("""COMPUTED_VALUE"""),"NO")</f>
        <v>NO</v>
      </c>
      <c r="E49" s="33" t="str">
        <f ca="1">IFERROR(__xludf.DUMMYFUNCTION("""COMPUTED_VALUE"""),"Sevilla- Montoto")</f>
        <v>Sevilla- Montoto</v>
      </c>
      <c r="F49" s="57">
        <f ca="1">IFERROR(__xludf.DUMMYFUNCTION("""COMPUTED_VALUE"""),46042)</f>
        <v>46042</v>
      </c>
      <c r="G49" s="57">
        <f ca="1">IFERROR(__xludf.DUMMYFUNCTION("""COMPUTED_VALUE"""),45988)</f>
        <v>45988</v>
      </c>
      <c r="H49" s="33" t="str">
        <f ca="1">IFERROR(__xludf.DUMMYFUNCTION("""COMPUTED_VALUE"""),"Montoto")</f>
        <v>Montoto</v>
      </c>
      <c r="I49" s="33" t="str">
        <f ca="1">IFERROR(__xludf.DUMMYFUNCTION("""COMPUTED_VALUE"""),"C202511271216474526")</f>
        <v>C202511271216474526</v>
      </c>
      <c r="J49" s="33" t="str">
        <f ca="1">IFERROR(__xludf.DUMMYFUNCTION("""COMPUTED_VALUE"""),"JAVIER ALGABA GIL")</f>
        <v>JAVIER ALGABA GIL</v>
      </c>
      <c r="K49" s="56">
        <f ca="1">IFERROR(__xludf.DUMMYFUNCTION("""COMPUTED_VALUE"""),2)</f>
        <v>2</v>
      </c>
      <c r="L49" s="62">
        <f ca="1">IFERROR(__xludf.DUMMYFUNCTION("""COMPUTED_VALUE"""),3630.77)</f>
        <v>3630.77</v>
      </c>
      <c r="M49" s="33" t="str">
        <f ca="1">IFERROR(__xludf.DUMMYFUNCTION("""COMPUTED_VALUE"""),"03 ORL")</f>
        <v>03 ORL</v>
      </c>
      <c r="N49" s="33" t="str">
        <f ca="1">IFERROR(__xludf.DUMMYFUNCTION("""COMPUTED_VALUE"""),"06 ORL")</f>
        <v>06 ORL</v>
      </c>
      <c r="O49" s="33" t="str">
        <f ca="1">IFERROR(__xludf.DUMMYFUNCTION("""COMPUTED_VALUE"""),"Dra, Estefanía Berrocal Postigo")</f>
        <v>Dra, Estefanía Berrocal Postigo</v>
      </c>
      <c r="P49" s="33" t="str">
        <f ca="1">IFERROR(__xludf.DUMMYFUNCTION("""COMPUTED_VALUE"""),"Luis Alberto Rodríguez (Andalucía y Badajoz)")</f>
        <v>Luis Alberto Rodríguez (Andalucía y Badajoz)</v>
      </c>
    </row>
    <row r="50" spans="2:16">
      <c r="B50" s="74">
        <f ca="1">IFERROR(__xludf.DUMMYFUNCTION("""COMPUTED_VALUE"""),2026)</f>
        <v>2026</v>
      </c>
      <c r="C50" s="56">
        <f ca="1">IFERROR(__xludf.DUMMYFUNCTION("""COMPUTED_VALUE"""),1)</f>
        <v>1</v>
      </c>
      <c r="D50" s="33" t="str">
        <f ca="1">IFERROR(__xludf.DUMMYFUNCTION("""COMPUTED_VALUE"""),"NO")</f>
        <v>NO</v>
      </c>
      <c r="E50" s="33" t="str">
        <f ca="1">IFERROR(__xludf.DUMMYFUNCTION("""COMPUTED_VALUE"""),"Toledo")</f>
        <v>Toledo</v>
      </c>
      <c r="F50" s="57">
        <f ca="1">IFERROR(__xludf.DUMMYFUNCTION("""COMPUTED_VALUE"""),46042)</f>
        <v>46042</v>
      </c>
      <c r="G50" s="57">
        <f ca="1">IFERROR(__xludf.DUMMYFUNCTION("""COMPUTED_VALUE"""),45995)</f>
        <v>45995</v>
      </c>
      <c r="H50" s="33" t="str">
        <f ca="1">IFERROR(__xludf.DUMMYFUNCTION("""COMPUTED_VALUE"""),"Toledo")</f>
        <v>Toledo</v>
      </c>
      <c r="I50" s="33" t="str">
        <f ca="1">IFERROR(__xludf.DUMMYFUNCTION("""COMPUTED_VALUE"""),"C202512418122957997")</f>
        <v>C202512418122957997</v>
      </c>
      <c r="J50" s="33" t="str">
        <f ca="1">IFERROR(__xludf.DUMMYFUNCTION("""COMPUTED_VALUE"""),"Maria Isabel  Espinosa Martinez")</f>
        <v>Maria Isabel  Espinosa Martinez</v>
      </c>
      <c r="K50" s="56">
        <f ca="1">IFERROR(__xludf.DUMMYFUNCTION("""COMPUTED_VALUE"""),2)</f>
        <v>2</v>
      </c>
      <c r="L50" s="62">
        <f ca="1">IFERROR(__xludf.DUMMYFUNCTION("""COMPUTED_VALUE"""),3631.82)</f>
        <v>3631.82</v>
      </c>
      <c r="M50" s="33" t="str">
        <f ca="1">IFERROR(__xludf.DUMMYFUNCTION("""COMPUTED_VALUE"""),"03 ORL")</f>
        <v>03 ORL</v>
      </c>
      <c r="N50" s="33" t="str">
        <f ca="1">IFERROR(__xludf.DUMMYFUNCTION("""COMPUTED_VALUE"""),"06 ORL")</f>
        <v>06 ORL</v>
      </c>
      <c r="O50" s="33" t="str">
        <f ca="1">IFERROR(__xludf.DUMMYFUNCTION("""COMPUTED_VALUE"""),"Dra, María Garrote Garrote")</f>
        <v>Dra, María Garrote Garrote</v>
      </c>
      <c r="P50" s="33" t="str">
        <f ca="1">IFERROR(__xludf.DUMMYFUNCTION("""COMPUTED_VALUE"""),"Maika Blázquez (Madrid)")</f>
        <v>Maika Blázquez (Madrid)</v>
      </c>
    </row>
    <row r="51" spans="2:16">
      <c r="B51" s="74">
        <f ca="1">IFERROR(__xludf.DUMMYFUNCTION("""COMPUTED_VALUE"""),2026)</f>
        <v>2026</v>
      </c>
      <c r="C51" s="56">
        <f ca="1">IFERROR(__xludf.DUMMYFUNCTION("""COMPUTED_VALUE"""),1)</f>
        <v>1</v>
      </c>
      <c r="D51" s="33" t="str">
        <f ca="1">IFERROR(__xludf.DUMMYFUNCTION("""COMPUTED_VALUE"""),"NO")</f>
        <v>NO</v>
      </c>
      <c r="E51" s="33" t="str">
        <f ca="1">IFERROR(__xludf.DUMMYFUNCTION("""COMPUTED_VALUE"""),"Alicante")</f>
        <v>Alicante</v>
      </c>
      <c r="F51" s="57">
        <f ca="1">IFERROR(__xludf.DUMMYFUNCTION("""COMPUTED_VALUE"""),46042)</f>
        <v>46042</v>
      </c>
      <c r="G51" s="57">
        <f ca="1">IFERROR(__xludf.DUMMYFUNCTION("""COMPUTED_VALUE"""),46000)</f>
        <v>46000</v>
      </c>
      <c r="H51" s="33" t="str">
        <f ca="1">IFERROR(__xludf.DUMMYFUNCTION("""COMPUTED_VALUE"""),"Alicante")</f>
        <v>Alicante</v>
      </c>
      <c r="I51" s="33" t="str">
        <f ca="1">IFERROR(__xludf.DUMMYFUNCTION("""COMPUTED_VALUE"""),"C202512910126436073")</f>
        <v>C202512910126436073</v>
      </c>
      <c r="J51" s="33" t="str">
        <f ca="1">IFERROR(__xludf.DUMMYFUNCTION("""COMPUTED_VALUE"""),"JERONIMO MACIA MAS")</f>
        <v>JERONIMO MACIA MAS</v>
      </c>
      <c r="K51" s="56">
        <f ca="1">IFERROR(__xludf.DUMMYFUNCTION("""COMPUTED_VALUE"""),2)</f>
        <v>2</v>
      </c>
      <c r="L51" s="62">
        <f ca="1">IFERROR(__xludf.DUMMYFUNCTION("""COMPUTED_VALUE"""),4536.36)</f>
        <v>4536.3599999999997</v>
      </c>
      <c r="M51" s="33" t="str">
        <f ca="1">IFERROR(__xludf.DUMMYFUNCTION("""COMPUTED_VALUE"""),"03 ORL")</f>
        <v>03 ORL</v>
      </c>
      <c r="N51" s="33" t="str">
        <f ca="1">IFERROR(__xludf.DUMMYFUNCTION("""COMPUTED_VALUE"""),"06 ORL")</f>
        <v>06 ORL</v>
      </c>
      <c r="O51" s="33" t="str">
        <f ca="1">IFERROR(__xludf.DUMMYFUNCTION("""COMPUTED_VALUE"""),"Dr, Guillermo Severá Ferrándiz")</f>
        <v>Dr, Guillermo Severá Ferrándiz</v>
      </c>
      <c r="P51" s="33" t="str">
        <f ca="1">IFERROR(__xludf.DUMMYFUNCTION("""COMPUTED_VALUE"""),"Iván Sánchez (Levante y Albacete)")</f>
        <v>Iván Sánchez (Levante y Albacete)</v>
      </c>
    </row>
    <row r="52" spans="2:16">
      <c r="B52" s="74">
        <f ca="1">IFERROR(__xludf.DUMMYFUNCTION("""COMPUTED_VALUE"""),2026)</f>
        <v>2026</v>
      </c>
      <c r="C52" s="56">
        <f ca="1">IFERROR(__xludf.DUMMYFUNCTION("""COMPUTED_VALUE"""),1)</f>
        <v>1</v>
      </c>
      <c r="D52" s="33" t="str">
        <f ca="1">IFERROR(__xludf.DUMMYFUNCTION("""COMPUTED_VALUE"""),"NO")</f>
        <v>NO</v>
      </c>
      <c r="E52" s="33" t="str">
        <f ca="1">IFERROR(__xludf.DUMMYFUNCTION("""COMPUTED_VALUE"""),"Albacete")</f>
        <v>Albacete</v>
      </c>
      <c r="F52" s="57">
        <f ca="1">IFERROR(__xludf.DUMMYFUNCTION("""COMPUTED_VALUE"""),46042)</f>
        <v>46042</v>
      </c>
      <c r="G52" s="57">
        <f ca="1">IFERROR(__xludf.DUMMYFUNCTION("""COMPUTED_VALUE"""),46003)</f>
        <v>46003</v>
      </c>
      <c r="H52" s="33" t="str">
        <f ca="1">IFERROR(__xludf.DUMMYFUNCTION("""COMPUTED_VALUE"""),"Albacete")</f>
        <v>Albacete</v>
      </c>
      <c r="I52" s="33" t="str">
        <f ca="1">IFERROR(__xludf.DUMMYFUNCTION("""COMPUTED_VALUE"""),"C202512121711459148")</f>
        <v>C202512121711459148</v>
      </c>
      <c r="J52" s="33" t="str">
        <f ca="1">IFERROR(__xludf.DUMMYFUNCTION("""COMPUTED_VALUE"""),"JOSE JUAN AROCA PEREZ")</f>
        <v>JOSE JUAN AROCA PEREZ</v>
      </c>
      <c r="K52" s="56">
        <f ca="1">IFERROR(__xludf.DUMMYFUNCTION("""COMPUTED_VALUE"""),2)</f>
        <v>2</v>
      </c>
      <c r="L52" s="62">
        <f ca="1">IFERROR(__xludf.DUMMYFUNCTION("""COMPUTED_VALUE"""),2718.18)</f>
        <v>2718.18</v>
      </c>
      <c r="M52" s="33" t="str">
        <f ca="1">IFERROR(__xludf.DUMMYFUNCTION("""COMPUTED_VALUE"""),"03 ORL")</f>
        <v>03 ORL</v>
      </c>
      <c r="N52" s="33" t="str">
        <f ca="1">IFERROR(__xludf.DUMMYFUNCTION("""COMPUTED_VALUE"""),"06 ORL")</f>
        <v>06 ORL</v>
      </c>
      <c r="O52" s="33" t="str">
        <f ca="1">IFERROR(__xludf.DUMMYFUNCTION("""COMPUTED_VALUE"""),"Dra, Alejandra Jara Maquilón")</f>
        <v>Dra, Alejandra Jara Maquilón</v>
      </c>
      <c r="P52" s="33" t="str">
        <f ca="1">IFERROR(__xludf.DUMMYFUNCTION("""COMPUTED_VALUE"""),"Iván Sánchez (Levante y Albacete)")</f>
        <v>Iván Sánchez (Levante y Albacete)</v>
      </c>
    </row>
    <row r="53" spans="2:16">
      <c r="B53" s="74">
        <f ca="1">IFERROR(__xludf.DUMMYFUNCTION("""COMPUTED_VALUE"""),2026)</f>
        <v>2026</v>
      </c>
      <c r="C53" s="56">
        <f ca="1">IFERROR(__xludf.DUMMYFUNCTION("""COMPUTED_VALUE"""),1)</f>
        <v>1</v>
      </c>
      <c r="D53" s="33" t="str">
        <f ca="1">IFERROR(__xludf.DUMMYFUNCTION("""COMPUTED_VALUE"""),"NO")</f>
        <v>NO</v>
      </c>
      <c r="E53" s="33" t="str">
        <f ca="1">IFERROR(__xludf.DUMMYFUNCTION("""COMPUTED_VALUE"""),"Sevilla- Montoto")</f>
        <v>Sevilla- Montoto</v>
      </c>
      <c r="F53" s="57">
        <f ca="1">IFERROR(__xludf.DUMMYFUNCTION("""COMPUTED_VALUE"""),46043)</f>
        <v>46043</v>
      </c>
      <c r="G53" s="57">
        <f ca="1">IFERROR(__xludf.DUMMYFUNCTION("""COMPUTED_VALUE"""),45961)</f>
        <v>45961</v>
      </c>
      <c r="H53" s="33" t="str">
        <f ca="1">IFERROR(__xludf.DUMMYFUNCTION("""COMPUTED_VALUE"""),"Montoto")</f>
        <v>Montoto</v>
      </c>
      <c r="I53" s="33" t="str">
        <f ca="1">IFERROR(__xludf.DUMMYFUNCTION("""COMPUTED_VALUE"""),"C202510311713966723")</f>
        <v>C202510311713966723</v>
      </c>
      <c r="J53" s="33" t="str">
        <f ca="1">IFERROR(__xludf.DUMMYFUNCTION("""COMPUTED_VALUE"""),"MANUEL LOZANO PADILLA")</f>
        <v>MANUEL LOZANO PADILLA</v>
      </c>
      <c r="K53" s="56">
        <f ca="1">IFERROR(__xludf.DUMMYFUNCTION("""COMPUTED_VALUE"""),2)</f>
        <v>2</v>
      </c>
      <c r="L53" s="62">
        <f ca="1">IFERROR(__xludf.DUMMYFUNCTION("""COMPUTED_VALUE"""),3631.82)</f>
        <v>3631.82</v>
      </c>
      <c r="M53" s="33" t="str">
        <f ca="1">IFERROR(__xludf.DUMMYFUNCTION("""COMPUTED_VALUE"""),"03 ORL")</f>
        <v>03 ORL</v>
      </c>
      <c r="N53" s="33" t="str">
        <f ca="1">IFERROR(__xludf.DUMMYFUNCTION("""COMPUTED_VALUE"""),"06 ORL")</f>
        <v>06 ORL</v>
      </c>
      <c r="O53" s="33" t="str">
        <f ca="1">IFERROR(__xludf.DUMMYFUNCTION("""COMPUTED_VALUE"""),"Dr, Francisco Javier Aguilar Vera")</f>
        <v>Dr, Francisco Javier Aguilar Vera</v>
      </c>
      <c r="P53" s="33" t="str">
        <f ca="1">IFERROR(__xludf.DUMMYFUNCTION("""COMPUTED_VALUE"""),"Luis Alberto Rodríguez (Andalucía y Badajoz)")</f>
        <v>Luis Alberto Rodríguez (Andalucía y Badajoz)</v>
      </c>
    </row>
    <row r="54" spans="2:16">
      <c r="B54" s="74">
        <f ca="1">IFERROR(__xludf.DUMMYFUNCTION("""COMPUTED_VALUE"""),2026)</f>
        <v>2026</v>
      </c>
      <c r="C54" s="56">
        <f ca="1">IFERROR(__xludf.DUMMYFUNCTION("""COMPUTED_VALUE"""),1)</f>
        <v>1</v>
      </c>
      <c r="D54" s="33" t="str">
        <f ca="1">IFERROR(__xludf.DUMMYFUNCTION("""COMPUTED_VALUE"""),"NO")</f>
        <v>NO</v>
      </c>
      <c r="E54" s="33" t="str">
        <f ca="1">IFERROR(__xludf.DUMMYFUNCTION("""COMPUTED_VALUE"""),"Orihuela")</f>
        <v>Orihuela</v>
      </c>
      <c r="F54" s="57">
        <f ca="1">IFERROR(__xludf.DUMMYFUNCTION("""COMPUTED_VALUE"""),46043)</f>
        <v>46043</v>
      </c>
      <c r="G54" s="57">
        <f ca="1">IFERROR(__xludf.DUMMYFUNCTION("""COMPUTED_VALUE"""),45994)</f>
        <v>45994</v>
      </c>
      <c r="H54" s="33" t="str">
        <f ca="1">IFERROR(__xludf.DUMMYFUNCTION("""COMPUTED_VALUE"""),"La Zenia")</f>
        <v>La Zenia</v>
      </c>
      <c r="I54" s="33" t="str">
        <f ca="1">IFERROR(__xludf.DUMMYFUNCTION("""COMPUTED_VALUE"""),"C202512311581610869")</f>
        <v>C202512311581610869</v>
      </c>
      <c r="J54" s="33" t="str">
        <f ca="1">IFERROR(__xludf.DUMMYFUNCTION("""COMPUTED_VALUE"""),"JOSÉ EDUARDO DE LA FUENTE FERNANDEZ")</f>
        <v>JOSÉ EDUARDO DE LA FUENTE FERNANDEZ</v>
      </c>
      <c r="K54" s="56">
        <f ca="1">IFERROR(__xludf.DUMMYFUNCTION("""COMPUTED_VALUE"""),2)</f>
        <v>2</v>
      </c>
      <c r="L54" s="62">
        <f ca="1">IFERROR(__xludf.DUMMYFUNCTION("""COMPUTED_VALUE"""),3631.73)</f>
        <v>3631.73</v>
      </c>
      <c r="M54" s="33" t="str">
        <f ca="1">IFERROR(__xludf.DUMMYFUNCTION("""COMPUTED_VALUE"""),"03 ORL")</f>
        <v>03 ORL</v>
      </c>
      <c r="N54" s="33" t="str">
        <f ca="1">IFERROR(__xludf.DUMMYFUNCTION("""COMPUTED_VALUE"""),"06 ORL")</f>
        <v>06 ORL</v>
      </c>
      <c r="O54" s="33" t="str">
        <f ca="1">IFERROR(__xludf.DUMMYFUNCTION("""COMPUTED_VALUE"""),"Dr, Juan Javier Álvarez López")</f>
        <v>Dr, Juan Javier Álvarez López</v>
      </c>
      <c r="P54" s="33" t="str">
        <f ca="1">IFERROR(__xludf.DUMMYFUNCTION("""COMPUTED_VALUE"""),"Iván Sánchez (Levante y Albacete)")</f>
        <v>Iván Sánchez (Levante y Albacete)</v>
      </c>
    </row>
    <row r="55" spans="2:16">
      <c r="B55" s="74">
        <f ca="1">IFERROR(__xludf.DUMMYFUNCTION("""COMPUTED_VALUE"""),2026)</f>
        <v>2026</v>
      </c>
      <c r="C55" s="56">
        <f ca="1">IFERROR(__xludf.DUMMYFUNCTION("""COMPUTED_VALUE"""),1)</f>
        <v>1</v>
      </c>
      <c r="D55" s="33" t="str">
        <f ca="1">IFERROR(__xludf.DUMMYFUNCTION("""COMPUTED_VALUE"""),"NO")</f>
        <v>NO</v>
      </c>
      <c r="E55" s="33" t="str">
        <f ca="1">IFERROR(__xludf.DUMMYFUNCTION("""COMPUTED_VALUE"""),"Getafe")</f>
        <v>Getafe</v>
      </c>
      <c r="F55" s="57">
        <f ca="1">IFERROR(__xludf.DUMMYFUNCTION("""COMPUTED_VALUE"""),46043)</f>
        <v>46043</v>
      </c>
      <c r="G55" s="57">
        <f ca="1">IFERROR(__xludf.DUMMYFUNCTION("""COMPUTED_VALUE"""),45996)</f>
        <v>45996</v>
      </c>
      <c r="H55" s="33" t="str">
        <f ca="1">IFERROR(__xludf.DUMMYFUNCTION("""COMPUTED_VALUE"""),"Getafe")</f>
        <v>Getafe</v>
      </c>
      <c r="I55" s="33" t="str">
        <f ca="1">IFERROR(__xludf.DUMMYFUNCTION("""COMPUTED_VALUE"""),"C202512595841880689")</f>
        <v>C202512595841880689</v>
      </c>
      <c r="J55" s="33" t="str">
        <f ca="1">IFERROR(__xludf.DUMMYFUNCTION("""COMPUTED_VALUE"""),"MARIA ROSA FELIU CASADO")</f>
        <v>MARIA ROSA FELIU CASADO</v>
      </c>
      <c r="K55" s="56">
        <f ca="1">IFERROR(__xludf.DUMMYFUNCTION("""COMPUTED_VALUE"""),2)</f>
        <v>2</v>
      </c>
      <c r="L55" s="62">
        <f ca="1">IFERROR(__xludf.DUMMYFUNCTION("""COMPUTED_VALUE"""),2445.45)</f>
        <v>2445.4499999999998</v>
      </c>
      <c r="M55" s="33" t="str">
        <f ca="1">IFERROR(__xludf.DUMMYFUNCTION("""COMPUTED_VALUE"""),"03 ORL")</f>
        <v>03 ORL</v>
      </c>
      <c r="N55" s="33" t="str">
        <f ca="1">IFERROR(__xludf.DUMMYFUNCTION("""COMPUTED_VALUE"""),"06 ORL")</f>
        <v>06 ORL</v>
      </c>
      <c r="O55" s="33" t="str">
        <f ca="1">IFERROR(__xludf.DUMMYFUNCTION("""COMPUTED_VALUE"""),"Dra, María Garrote Garrote")</f>
        <v>Dra, María Garrote Garrote</v>
      </c>
      <c r="P55" s="33" t="str">
        <f ca="1">IFERROR(__xludf.DUMMYFUNCTION("""COMPUTED_VALUE"""),"Maika Blázquez (Madrid)")</f>
        <v>Maika Blázquez (Madrid)</v>
      </c>
    </row>
    <row r="56" spans="2:16">
      <c r="B56" s="74">
        <f ca="1">IFERROR(__xludf.DUMMYFUNCTION("""COMPUTED_VALUE"""),2026)</f>
        <v>2026</v>
      </c>
      <c r="C56" s="56">
        <f ca="1">IFERROR(__xludf.DUMMYFUNCTION("""COMPUTED_VALUE"""),1)</f>
        <v>1</v>
      </c>
      <c r="D56" s="33" t="str">
        <f ca="1">IFERROR(__xludf.DUMMYFUNCTION("""COMPUTED_VALUE"""),"NO")</f>
        <v>NO</v>
      </c>
      <c r="E56" s="33" t="str">
        <f ca="1">IFERROR(__xludf.DUMMYFUNCTION("""COMPUTED_VALUE"""),"Alicante")</f>
        <v>Alicante</v>
      </c>
      <c r="F56" s="57">
        <f ca="1">IFERROR(__xludf.DUMMYFUNCTION("""COMPUTED_VALUE"""),46044)</f>
        <v>46044</v>
      </c>
      <c r="G56" s="57">
        <f ca="1">IFERROR(__xludf.DUMMYFUNCTION("""COMPUTED_VALUE"""),46007)</f>
        <v>46007</v>
      </c>
      <c r="H56" s="33" t="str">
        <f ca="1">IFERROR(__xludf.DUMMYFUNCTION("""COMPUTED_VALUE"""),"Alicante")</f>
        <v>Alicante</v>
      </c>
      <c r="I56" s="33" t="str">
        <f ca="1">IFERROR(__xludf.DUMMYFUNCTION("""COMPUTED_VALUE"""),"C202512169525324632")</f>
        <v>C202512169525324632</v>
      </c>
      <c r="J56" s="33" t="str">
        <f ca="1">IFERROR(__xludf.DUMMYFUNCTION("""COMPUTED_VALUE"""),"MAURIZIO CENCIARELLI")</f>
        <v>MAURIZIO CENCIARELLI</v>
      </c>
      <c r="K56" s="56">
        <f ca="1">IFERROR(__xludf.DUMMYFUNCTION("""COMPUTED_VALUE"""),2)</f>
        <v>2</v>
      </c>
      <c r="L56" s="62">
        <f ca="1">IFERROR(__xludf.DUMMYFUNCTION("""COMPUTED_VALUE"""),4136.36)</f>
        <v>4136.3599999999997</v>
      </c>
      <c r="M56" s="33" t="str">
        <f ca="1">IFERROR(__xludf.DUMMYFUNCTION("""COMPUTED_VALUE"""),"03 ORL")</f>
        <v>03 ORL</v>
      </c>
      <c r="N56" s="33" t="str">
        <f ca="1">IFERROR(__xludf.DUMMYFUNCTION("""COMPUTED_VALUE"""),"06 ORL")</f>
        <v>06 ORL</v>
      </c>
      <c r="O56" s="33" t="str">
        <f ca="1">IFERROR(__xludf.DUMMYFUNCTION("""COMPUTED_VALUE"""),"Dr, Carlos Velásquez Fermín")</f>
        <v>Dr, Carlos Velásquez Fermín</v>
      </c>
      <c r="P56" s="33" t="str">
        <f ca="1">IFERROR(__xludf.DUMMYFUNCTION("""COMPUTED_VALUE"""),"Iván Sánchez (Levante y Albacete)")</f>
        <v>Iván Sánchez (Levante y Albacete)</v>
      </c>
    </row>
    <row r="57" spans="2:16">
      <c r="B57" s="74">
        <f ca="1">IFERROR(__xludf.DUMMYFUNCTION("""COMPUTED_VALUE"""),2026)</f>
        <v>2026</v>
      </c>
      <c r="C57" s="56">
        <f ca="1">IFERROR(__xludf.DUMMYFUNCTION("""COMPUTED_VALUE"""),1)</f>
        <v>1</v>
      </c>
      <c r="D57" s="33" t="str">
        <f ca="1">IFERROR(__xludf.DUMMYFUNCTION("""COMPUTED_VALUE"""),"NO")</f>
        <v>NO</v>
      </c>
      <c r="E57" s="33" t="str">
        <f ca="1">IFERROR(__xludf.DUMMYFUNCTION("""COMPUTED_VALUE"""),"Cáceres")</f>
        <v>Cáceres</v>
      </c>
      <c r="F57" s="57">
        <f ca="1">IFERROR(__xludf.DUMMYFUNCTION("""COMPUTED_VALUE"""),46044)</f>
        <v>46044</v>
      </c>
      <c r="G57" s="57">
        <f ca="1">IFERROR(__xludf.DUMMYFUNCTION("""COMPUTED_VALUE"""),46017)</f>
        <v>46017</v>
      </c>
      <c r="H57" s="33" t="str">
        <f ca="1">IFERROR(__xludf.DUMMYFUNCTION("""COMPUTED_VALUE"""),"Cáceres")</f>
        <v>Cáceres</v>
      </c>
      <c r="I57" s="33" t="str">
        <f ca="1">IFERROR(__xludf.DUMMYFUNCTION("""COMPUTED_VALUE"""),"C202512268393761744")</f>
        <v>C202512268393761744</v>
      </c>
      <c r="J57" s="33" t="str">
        <f ca="1">IFERROR(__xludf.DUMMYFUNCTION("""COMPUTED_VALUE"""),"DAVID SOCORRO FERRER")</f>
        <v>DAVID SOCORRO FERRER</v>
      </c>
      <c r="K57" s="56">
        <f ca="1">IFERROR(__xludf.DUMMYFUNCTION("""COMPUTED_VALUE"""),2)</f>
        <v>2</v>
      </c>
      <c r="L57" s="62">
        <f ca="1">IFERROR(__xludf.DUMMYFUNCTION("""COMPUTED_VALUE"""),3163.64)</f>
        <v>3163.64</v>
      </c>
      <c r="M57" s="33" t="str">
        <f ca="1">IFERROR(__xludf.DUMMYFUNCTION("""COMPUTED_VALUE"""),"03 ORL")</f>
        <v>03 ORL</v>
      </c>
      <c r="N57" s="33" t="str">
        <f ca="1">IFERROR(__xludf.DUMMYFUNCTION("""COMPUTED_VALUE"""),"06 ORL")</f>
        <v>06 ORL</v>
      </c>
      <c r="O57" s="33" t="str">
        <f ca="1">IFERROR(__xludf.DUMMYFUNCTION("""COMPUTED_VALUE"""),"Dra, Daniela Carolina Laguado Bulgheroni")</f>
        <v>Dra, Daniela Carolina Laguado Bulgheroni</v>
      </c>
      <c r="P57" s="33" t="str">
        <f ca="1">IFERROR(__xludf.DUMMYFUNCTION("""COMPUTED_VALUE"""),"Lisandro Russian (Madrid, Cáceres, Toledo, Talavera y Logroño)")</f>
        <v>Lisandro Russian (Madrid, Cáceres, Toledo, Talavera y Logroño)</v>
      </c>
    </row>
    <row r="58" spans="2:16">
      <c r="B58" s="74">
        <f ca="1">IFERROR(__xludf.DUMMYFUNCTION("""COMPUTED_VALUE"""),2026)</f>
        <v>2026</v>
      </c>
      <c r="C58" s="56">
        <f ca="1">IFERROR(__xludf.DUMMYFUNCTION("""COMPUTED_VALUE"""),1)</f>
        <v>1</v>
      </c>
      <c r="D58" s="33" t="str">
        <f ca="1">IFERROR(__xludf.DUMMYFUNCTION("""COMPUTED_VALUE"""),"NO")</f>
        <v>NO</v>
      </c>
      <c r="E58" s="33" t="str">
        <f ca="1">IFERROR(__xludf.DUMMYFUNCTION("""COMPUTED_VALUE"""),"Ourense")</f>
        <v>Ourense</v>
      </c>
      <c r="F58" s="57">
        <f ca="1">IFERROR(__xludf.DUMMYFUNCTION("""COMPUTED_VALUE"""),46044)</f>
        <v>46044</v>
      </c>
      <c r="G58" s="57">
        <f ca="1">IFERROR(__xludf.DUMMYFUNCTION("""COMPUTED_VALUE"""),45994)</f>
        <v>45994</v>
      </c>
      <c r="H58" s="33" t="str">
        <f ca="1">IFERROR(__xludf.DUMMYFUNCTION("""COMPUTED_VALUE"""),"Orense")</f>
        <v>Orense</v>
      </c>
      <c r="I58" s="33" t="str">
        <f ca="1">IFERROR(__xludf.DUMMYFUNCTION("""COMPUTED_VALUE"""),"C202512392737668984")</f>
        <v>C202512392737668984</v>
      </c>
      <c r="J58" s="33" t="str">
        <f ca="1">IFERROR(__xludf.DUMMYFUNCTION("""COMPUTED_VALUE"""),"PABLO GOMEZ SEOANE")</f>
        <v>PABLO GOMEZ SEOANE</v>
      </c>
      <c r="K58" s="56">
        <f ca="1">IFERROR(__xludf.DUMMYFUNCTION("""COMPUTED_VALUE"""),1)</f>
        <v>1</v>
      </c>
      <c r="L58" s="62">
        <f ca="1">IFERROR(__xludf.DUMMYFUNCTION("""COMPUTED_VALUE"""),2180.91)</f>
        <v>2180.91</v>
      </c>
      <c r="M58" s="33" t="str">
        <f ca="1">IFERROR(__xludf.DUMMYFUNCTION("""COMPUTED_VALUE"""),"03 ORL")</f>
        <v>03 ORL</v>
      </c>
      <c r="N58" s="33" t="str">
        <f ca="1">IFERROR(__xludf.DUMMYFUNCTION("""COMPUTED_VALUE"""),"06 ORL")</f>
        <v>06 ORL</v>
      </c>
      <c r="O58" s="33" t="str">
        <f ca="1">IFERROR(__xludf.DUMMYFUNCTION("""COMPUTED_VALUE"""),"Dra, Ana Quintana Sanjuan")</f>
        <v>Dra, Ana Quintana Sanjuan</v>
      </c>
      <c r="P58" s="33" t="str">
        <f ca="1">IFERROR(__xludf.DUMMYFUNCTION("""COMPUTED_VALUE"""),"Alberto Moreno (Madrid)")</f>
        <v>Alberto Moreno (Madrid)</v>
      </c>
    </row>
    <row r="59" spans="2:16">
      <c r="B59" s="74">
        <f ca="1">IFERROR(__xludf.DUMMYFUNCTION("""COMPUTED_VALUE"""),2026)</f>
        <v>2026</v>
      </c>
      <c r="C59" s="56">
        <f ca="1">IFERROR(__xludf.DUMMYFUNCTION("""COMPUTED_VALUE"""),1)</f>
        <v>1</v>
      </c>
      <c r="D59" s="33" t="str">
        <f ca="1">IFERROR(__xludf.DUMMYFUNCTION("""COMPUTED_VALUE"""),"NO")</f>
        <v>NO</v>
      </c>
      <c r="E59" s="33" t="str">
        <f ca="1">IFERROR(__xludf.DUMMYFUNCTION("""COMPUTED_VALUE"""),"Madrid- La Oca")</f>
        <v>Madrid- La Oca</v>
      </c>
      <c r="F59" s="57">
        <f ca="1">IFERROR(__xludf.DUMMYFUNCTION("""COMPUTED_VALUE"""),46044)</f>
        <v>46044</v>
      </c>
      <c r="G59" s="57">
        <f ca="1">IFERROR(__xludf.DUMMYFUNCTION("""COMPUTED_VALUE"""),45973)</f>
        <v>45973</v>
      </c>
      <c r="H59" s="33" t="str">
        <f ca="1">IFERROR(__xludf.DUMMYFUNCTION("""COMPUTED_VALUE"""),"La Oca")</f>
        <v>La Oca</v>
      </c>
      <c r="I59" s="33" t="str">
        <f ca="1">IFERROR(__xludf.DUMMYFUNCTION("""COMPUTED_VALUE"""),"C20251210112255528")</f>
        <v>C20251210112255528</v>
      </c>
      <c r="J59" s="33" t="str">
        <f ca="1">IFERROR(__xludf.DUMMYFUNCTION("""COMPUTED_VALUE"""),"EMILIO RUIZ-ROSO CASTAÑO")</f>
        <v>EMILIO RUIZ-ROSO CASTAÑO</v>
      </c>
      <c r="K59" s="56">
        <f ca="1">IFERROR(__xludf.DUMMYFUNCTION("""COMPUTED_VALUE"""),2)</f>
        <v>2</v>
      </c>
      <c r="L59" s="62">
        <f ca="1">IFERROR(__xludf.DUMMYFUNCTION("""COMPUTED_VALUE"""),2545.45)</f>
        <v>2545.4499999999998</v>
      </c>
      <c r="M59" s="33" t="str">
        <f ca="1">IFERROR(__xludf.DUMMYFUNCTION("""COMPUTED_VALUE"""),"03 ORL")</f>
        <v>03 ORL</v>
      </c>
      <c r="N59" s="33" t="str">
        <f ca="1">IFERROR(__xludf.DUMMYFUNCTION("""COMPUTED_VALUE"""),"06 ORL")</f>
        <v>06 ORL</v>
      </c>
      <c r="O59" s="33" t="str">
        <f ca="1">IFERROR(__xludf.DUMMYFUNCTION("""COMPUTED_VALUE"""),"Dra, Esther Macon Liquete")</f>
        <v>Dra, Esther Macon Liquete</v>
      </c>
      <c r="P59" s="33" t="str">
        <f ca="1">IFERROR(__xludf.DUMMYFUNCTION("""COMPUTED_VALUE"""),"Maika Blázquez (Madrid)")</f>
        <v>Maika Blázquez (Madrid)</v>
      </c>
    </row>
    <row r="60" spans="2:16">
      <c r="B60" s="74">
        <f ca="1">IFERROR(__xludf.DUMMYFUNCTION("""COMPUTED_VALUE"""),2026)</f>
        <v>2026</v>
      </c>
      <c r="C60" s="56">
        <f ca="1">IFERROR(__xludf.DUMMYFUNCTION("""COMPUTED_VALUE"""),1)</f>
        <v>1</v>
      </c>
      <c r="D60" s="33" t="str">
        <f ca="1">IFERROR(__xludf.DUMMYFUNCTION("""COMPUTED_VALUE"""),"NO")</f>
        <v>NO</v>
      </c>
      <c r="E60" s="33" t="str">
        <f ca="1">IFERROR(__xludf.DUMMYFUNCTION("""COMPUTED_VALUE"""),"Badajoz")</f>
        <v>Badajoz</v>
      </c>
      <c r="F60" s="57">
        <f ca="1">IFERROR(__xludf.DUMMYFUNCTION("""COMPUTED_VALUE"""),46044)</f>
        <v>46044</v>
      </c>
      <c r="G60" s="57">
        <f ca="1">IFERROR(__xludf.DUMMYFUNCTION("""COMPUTED_VALUE"""),45964)</f>
        <v>45964</v>
      </c>
      <c r="H60" s="33" t="str">
        <f ca="1">IFERROR(__xludf.DUMMYFUNCTION("""COMPUTED_VALUE"""),"Badajoz")</f>
        <v>Badajoz</v>
      </c>
      <c r="I60" s="33" t="str">
        <f ca="1">IFERROR(__xludf.DUMMYFUNCTION("""COMPUTED_VALUE"""),"BJZE-2540")</f>
        <v>BJZE-2540</v>
      </c>
      <c r="J60" s="33" t="str">
        <f ca="1">IFERROR(__xludf.DUMMYFUNCTION("""COMPUTED_VALUE"""),"MARIA INMACULADA BENAVENTE POZO")</f>
        <v>MARIA INMACULADA BENAVENTE POZO</v>
      </c>
      <c r="K60" s="56">
        <f ca="1">IFERROR(__xludf.DUMMYFUNCTION("""COMPUTED_VALUE"""),2)</f>
        <v>2</v>
      </c>
      <c r="L60" s="62">
        <f ca="1">IFERROR(__xludf.DUMMYFUNCTION("""COMPUTED_VALUE"""),3263.64)</f>
        <v>3263.64</v>
      </c>
      <c r="M60" s="33" t="str">
        <f ca="1">IFERROR(__xludf.DUMMYFUNCTION("""COMPUTED_VALUE"""),"03 ORL")</f>
        <v>03 ORL</v>
      </c>
      <c r="N60" s="33" t="str">
        <f ca="1">IFERROR(__xludf.DUMMYFUNCTION("""COMPUTED_VALUE"""),"06 ORL")</f>
        <v>06 ORL</v>
      </c>
      <c r="O60" s="33" t="str">
        <f ca="1">IFERROR(__xludf.DUMMYFUNCTION("""COMPUTED_VALUE"""),"No recuerda ORL")</f>
        <v>No recuerda ORL</v>
      </c>
      <c r="P60" s="33" t="str">
        <f ca="1">IFERROR(__xludf.DUMMYFUNCTION("""COMPUTED_VALUE"""),"Luis Alberto Rodríguez (Andalucía y Badajoz)")</f>
        <v>Luis Alberto Rodríguez (Andalucía y Badajoz)</v>
      </c>
    </row>
    <row r="61" spans="2:16">
      <c r="B61" s="74">
        <f ca="1">IFERROR(__xludf.DUMMYFUNCTION("""COMPUTED_VALUE"""),2026)</f>
        <v>2026</v>
      </c>
      <c r="C61" s="56">
        <f ca="1">IFERROR(__xludf.DUMMYFUNCTION("""COMPUTED_VALUE"""),1)</f>
        <v>1</v>
      </c>
      <c r="D61" s="33" t="str">
        <f ca="1">IFERROR(__xludf.DUMMYFUNCTION("""COMPUTED_VALUE"""),"NO")</f>
        <v>NO</v>
      </c>
      <c r="E61" s="33" t="str">
        <f ca="1">IFERROR(__xludf.DUMMYFUNCTION("""COMPUTED_VALUE"""),"Almería")</f>
        <v>Almería</v>
      </c>
      <c r="F61" s="57">
        <f ca="1">IFERROR(__xludf.DUMMYFUNCTION("""COMPUTED_VALUE"""),46044)</f>
        <v>46044</v>
      </c>
      <c r="G61" s="57">
        <f ca="1">IFERROR(__xludf.DUMMYFUNCTION("""COMPUTED_VALUE"""),46007)</f>
        <v>46007</v>
      </c>
      <c r="H61" s="33" t="str">
        <f ca="1">IFERROR(__xludf.DUMMYFUNCTION("""COMPUTED_VALUE"""),"Almería")</f>
        <v>Almería</v>
      </c>
      <c r="I61" s="33" t="str">
        <f ca="1">IFERROR(__xludf.DUMMYFUNCTION("""COMPUTED_VALUE"""),"C202512161837483546")</f>
        <v>C202512161837483546</v>
      </c>
      <c r="J61" s="33" t="str">
        <f ca="1">IFERROR(__xludf.DUMMYFUNCTION("""COMPUTED_VALUE"""),"DIEGO LOPEZ CAYUELA")</f>
        <v>DIEGO LOPEZ CAYUELA</v>
      </c>
      <c r="K61" s="56">
        <f ca="1">IFERROR(__xludf.DUMMYFUNCTION("""COMPUTED_VALUE"""),2)</f>
        <v>2</v>
      </c>
      <c r="L61" s="62">
        <f ca="1">IFERROR(__xludf.DUMMYFUNCTION("""COMPUTED_VALUE"""),2718.18)</f>
        <v>2718.18</v>
      </c>
      <c r="M61" s="33" t="str">
        <f ca="1">IFERROR(__xludf.DUMMYFUNCTION("""COMPUTED_VALUE"""),"03 ORL")</f>
        <v>03 ORL</v>
      </c>
      <c r="N61" s="33" t="str">
        <f ca="1">IFERROR(__xludf.DUMMYFUNCTION("""COMPUTED_VALUE"""),"06 ORL")</f>
        <v>06 ORL</v>
      </c>
      <c r="O61" s="33" t="str">
        <f ca="1">IFERROR(__xludf.DUMMYFUNCTION("""COMPUTED_VALUE"""),"Dra, Elisheba Haro Hernández")</f>
        <v>Dra, Elisheba Haro Hernández</v>
      </c>
      <c r="P61" s="33" t="str">
        <f ca="1">IFERROR(__xludf.DUMMYFUNCTION("""COMPUTED_VALUE"""),"Ramon Ferrando(Valencia)")</f>
        <v>Ramon Ferrando(Valencia)</v>
      </c>
    </row>
    <row r="62" spans="2:16">
      <c r="B62" s="74">
        <f ca="1">IFERROR(__xludf.DUMMYFUNCTION("""COMPUTED_VALUE"""),2026)</f>
        <v>2026</v>
      </c>
      <c r="C62" s="56">
        <f ca="1">IFERROR(__xludf.DUMMYFUNCTION("""COMPUTED_VALUE"""),1)</f>
        <v>1</v>
      </c>
      <c r="D62" s="33" t="str">
        <f ca="1">IFERROR(__xludf.DUMMYFUNCTION("""COMPUTED_VALUE"""),"NO")</f>
        <v>NO</v>
      </c>
      <c r="E62" s="33" t="str">
        <f ca="1">IFERROR(__xludf.DUMMYFUNCTION("""COMPUTED_VALUE"""),"Cáceres")</f>
        <v>Cáceres</v>
      </c>
      <c r="F62" s="57">
        <f ca="1">IFERROR(__xludf.DUMMYFUNCTION("""COMPUTED_VALUE"""),46044)</f>
        <v>46044</v>
      </c>
      <c r="G62" s="57">
        <f ca="1">IFERROR(__xludf.DUMMYFUNCTION("""COMPUTED_VALUE"""),46006)</f>
        <v>46006</v>
      </c>
      <c r="H62" s="33" t="str">
        <f ca="1">IFERROR(__xludf.DUMMYFUNCTION("""COMPUTED_VALUE"""),"Cáceres")</f>
        <v>Cáceres</v>
      </c>
      <c r="I62" s="33" t="str">
        <f ca="1">IFERROR(__xludf.DUMMYFUNCTION("""COMPUTED_VALUE"""),"C202512151640123719")</f>
        <v>C202512151640123719</v>
      </c>
      <c r="J62" s="33" t="str">
        <f ca="1">IFERROR(__xludf.DUMMYFUNCTION("""COMPUTED_VALUE"""),"MARIA DOLORES PIMIENTA ROJAS")</f>
        <v>MARIA DOLORES PIMIENTA ROJAS</v>
      </c>
      <c r="K62" s="56">
        <f ca="1">IFERROR(__xludf.DUMMYFUNCTION("""COMPUTED_VALUE"""),2)</f>
        <v>2</v>
      </c>
      <c r="L62" s="62">
        <f ca="1">IFERROR(__xludf.DUMMYFUNCTION("""COMPUTED_VALUE"""),4227.27)</f>
        <v>4227.2700000000004</v>
      </c>
      <c r="M62" s="33" t="str">
        <f ca="1">IFERROR(__xludf.DUMMYFUNCTION("""COMPUTED_VALUE"""),"03 ORL")</f>
        <v>03 ORL</v>
      </c>
      <c r="N62" s="33" t="str">
        <f ca="1">IFERROR(__xludf.DUMMYFUNCTION("""COMPUTED_VALUE"""),"06 ORL")</f>
        <v>06 ORL</v>
      </c>
      <c r="O62" s="33" t="str">
        <f ca="1">IFERROR(__xludf.DUMMYFUNCTION("""COMPUTED_VALUE"""),"Dra, Marta García Jiménez")</f>
        <v>Dra, Marta García Jiménez</v>
      </c>
      <c r="P62" s="33" t="str">
        <f ca="1">IFERROR(__xludf.DUMMYFUNCTION("""COMPUTED_VALUE"""),"Lisandro Russian (Madrid, Cáceres, Toledo, Talavera y Logroño)")</f>
        <v>Lisandro Russian (Madrid, Cáceres, Toledo, Talavera y Logroño)</v>
      </c>
    </row>
    <row r="63" spans="2:16">
      <c r="B63" s="74">
        <f ca="1">IFERROR(__xludf.DUMMYFUNCTION("""COMPUTED_VALUE"""),2026)</f>
        <v>2026</v>
      </c>
      <c r="C63" s="56">
        <f ca="1">IFERROR(__xludf.DUMMYFUNCTION("""COMPUTED_VALUE"""),1)</f>
        <v>1</v>
      </c>
      <c r="D63" s="33" t="str">
        <f ca="1">IFERROR(__xludf.DUMMYFUNCTION("""COMPUTED_VALUE"""),"NO")</f>
        <v>NO</v>
      </c>
      <c r="E63" s="33" t="str">
        <f ca="1">IFERROR(__xludf.DUMMYFUNCTION("""COMPUTED_VALUE"""),"Alcorcón")</f>
        <v>Alcorcón</v>
      </c>
      <c r="F63" s="57">
        <f ca="1">IFERROR(__xludf.DUMMYFUNCTION("""COMPUTED_VALUE"""),46044)</f>
        <v>46044</v>
      </c>
      <c r="G63" s="57">
        <f ca="1">IFERROR(__xludf.DUMMYFUNCTION("""COMPUTED_VALUE"""),45943)</f>
        <v>45943</v>
      </c>
      <c r="H63" s="33" t="str">
        <f ca="1">IFERROR(__xludf.DUMMYFUNCTION("""COMPUTED_VALUE"""),"Alcorcón")</f>
        <v>Alcorcón</v>
      </c>
      <c r="I63" s="33" t="str">
        <f ca="1">IFERROR(__xludf.DUMMYFUNCTION("""COMPUTED_VALUE"""),"C202510131556115741")</f>
        <v>C202510131556115741</v>
      </c>
      <c r="J63" s="33" t="str">
        <f ca="1">IFERROR(__xludf.DUMMYFUNCTION("""COMPUTED_VALUE"""),"AMADOR  FRIAS GONZALEZ")</f>
        <v>AMADOR  FRIAS GONZALEZ</v>
      </c>
      <c r="K63" s="56">
        <f ca="1">IFERROR(__xludf.DUMMYFUNCTION("""COMPUTED_VALUE"""),2)</f>
        <v>2</v>
      </c>
      <c r="L63" s="62">
        <f ca="1">IFERROR(__xludf.DUMMYFUNCTION("""COMPUTED_VALUE"""),2718.18)</f>
        <v>2718.18</v>
      </c>
      <c r="M63" s="33" t="str">
        <f ca="1">IFERROR(__xludf.DUMMYFUNCTION("""COMPUTED_VALUE"""),"03 ORL")</f>
        <v>03 ORL</v>
      </c>
      <c r="N63" s="33" t="str">
        <f ca="1">IFERROR(__xludf.DUMMYFUNCTION("""COMPUTED_VALUE"""),"06 ORL")</f>
        <v>06 ORL</v>
      </c>
      <c r="O63" s="33" t="str">
        <f ca="1">IFERROR(__xludf.DUMMYFUNCTION("""COMPUTED_VALUE"""),"Dr, Álvaro Sánchez Álvarez")</f>
        <v>Dr, Álvaro Sánchez Álvarez</v>
      </c>
      <c r="P63" s="33" t="str">
        <f ca="1">IFERROR(__xludf.DUMMYFUNCTION("""COMPUTED_VALUE"""),"Lisandro Russian (Madrid, Cáceres, Toledo, Talavera y Logroño)")</f>
        <v>Lisandro Russian (Madrid, Cáceres, Toledo, Talavera y Logroño)</v>
      </c>
    </row>
    <row r="64" spans="2:16">
      <c r="B64" s="74">
        <f ca="1">IFERROR(__xludf.DUMMYFUNCTION("""COMPUTED_VALUE"""),2026)</f>
        <v>2026</v>
      </c>
      <c r="C64" s="56">
        <f ca="1">IFERROR(__xludf.DUMMYFUNCTION("""COMPUTED_VALUE"""),1)</f>
        <v>1</v>
      </c>
      <c r="D64" s="33" t="str">
        <f ca="1">IFERROR(__xludf.DUMMYFUNCTION("""COMPUTED_VALUE"""),"NO")</f>
        <v>NO</v>
      </c>
      <c r="E64" s="33" t="str">
        <f ca="1">IFERROR(__xludf.DUMMYFUNCTION("""COMPUTED_VALUE"""),"Sevilla- Montoto")</f>
        <v>Sevilla- Montoto</v>
      </c>
      <c r="F64" s="57">
        <f ca="1">IFERROR(__xludf.DUMMYFUNCTION("""COMPUTED_VALUE"""),46044)</f>
        <v>46044</v>
      </c>
      <c r="G64" s="57">
        <f ca="1">IFERROR(__xludf.DUMMYFUNCTION("""COMPUTED_VALUE"""),46002)</f>
        <v>46002</v>
      </c>
      <c r="H64" s="33" t="str">
        <f ca="1">IFERROR(__xludf.DUMMYFUNCTION("""COMPUTED_VALUE"""),"Montoto")</f>
        <v>Montoto</v>
      </c>
      <c r="I64" s="33" t="str">
        <f ca="1">IFERROR(__xludf.DUMMYFUNCTION("""COMPUTED_VALUE"""),"C202512111353317097")</f>
        <v>C202512111353317097</v>
      </c>
      <c r="J64" s="33" t="str">
        <f ca="1">IFERROR(__xludf.DUMMYFUNCTION("""COMPUTED_VALUE"""),"CARMEN MANCHA MACIAS")</f>
        <v>CARMEN MANCHA MACIAS</v>
      </c>
      <c r="K64" s="56">
        <f ca="1">IFERROR(__xludf.DUMMYFUNCTION("""COMPUTED_VALUE"""),1)</f>
        <v>1</v>
      </c>
      <c r="L64" s="62">
        <f ca="1">IFERROR(__xludf.DUMMYFUNCTION("""COMPUTED_VALUE"""),2357.73)</f>
        <v>2357.73</v>
      </c>
      <c r="M64" s="33" t="str">
        <f ca="1">IFERROR(__xludf.DUMMYFUNCTION("""COMPUTED_VALUE"""),"03 ORL")</f>
        <v>03 ORL</v>
      </c>
      <c r="N64" s="33" t="str">
        <f ca="1">IFERROR(__xludf.DUMMYFUNCTION("""COMPUTED_VALUE"""),"06 ORL")</f>
        <v>06 ORL</v>
      </c>
      <c r="O64" s="33" t="str">
        <f ca="1">IFERROR(__xludf.DUMMYFUNCTION("""COMPUTED_VALUE"""),"Dr, Francisco López Navas")</f>
        <v>Dr, Francisco López Navas</v>
      </c>
      <c r="P64" s="33" t="str">
        <f ca="1">IFERROR(__xludf.DUMMYFUNCTION("""COMPUTED_VALUE"""),"Luis Alberto Rodríguez (Andalucía y Badajoz)")</f>
        <v>Luis Alberto Rodríguez (Andalucía y Badajoz)</v>
      </c>
    </row>
    <row r="65" spans="2:16">
      <c r="B65" s="74">
        <f ca="1">IFERROR(__xludf.DUMMYFUNCTION("""COMPUTED_VALUE"""),2026)</f>
        <v>2026</v>
      </c>
      <c r="C65" s="56">
        <f ca="1">IFERROR(__xludf.DUMMYFUNCTION("""COMPUTED_VALUE"""),1)</f>
        <v>1</v>
      </c>
      <c r="D65" s="33" t="str">
        <f ca="1">IFERROR(__xludf.DUMMYFUNCTION("""COMPUTED_VALUE"""),"NO")</f>
        <v>NO</v>
      </c>
      <c r="E65" s="33" t="str">
        <f ca="1">IFERROR(__xludf.DUMMYFUNCTION("""COMPUTED_VALUE"""),"Orihuela")</f>
        <v>Orihuela</v>
      </c>
      <c r="F65" s="57">
        <f ca="1">IFERROR(__xludf.DUMMYFUNCTION("""COMPUTED_VALUE"""),46044)</f>
        <v>46044</v>
      </c>
      <c r="G65" s="57">
        <f ca="1">IFERROR(__xludf.DUMMYFUNCTION("""COMPUTED_VALUE"""),45981)</f>
        <v>45981</v>
      </c>
      <c r="H65" s="33" t="str">
        <f ca="1">IFERROR(__xludf.DUMMYFUNCTION("""COMPUTED_VALUE"""),"La Zenia")</f>
        <v>La Zenia</v>
      </c>
      <c r="I65" s="33" t="str">
        <f ca="1">IFERROR(__xludf.DUMMYFUNCTION("""COMPUTED_VALUE"""),"C202511201113975005")</f>
        <v>C202511201113975005</v>
      </c>
      <c r="J65" s="33" t="str">
        <f ca="1">IFERROR(__xludf.DUMMYFUNCTION("""COMPUTED_VALUE"""),"KAREN GHANDALYAN")</f>
        <v>KAREN GHANDALYAN</v>
      </c>
      <c r="K65" s="56">
        <f ca="1">IFERROR(__xludf.DUMMYFUNCTION("""COMPUTED_VALUE"""),1)</f>
        <v>1</v>
      </c>
      <c r="L65" s="62">
        <f ca="1">IFERROR(__xludf.DUMMYFUNCTION("""COMPUTED_VALUE"""),2481.82)</f>
        <v>2481.8200000000002</v>
      </c>
      <c r="M65" s="33" t="str">
        <f ca="1">IFERROR(__xludf.DUMMYFUNCTION("""COMPUTED_VALUE"""),"03 ORL")</f>
        <v>03 ORL</v>
      </c>
      <c r="N65" s="33" t="str">
        <f ca="1">IFERROR(__xludf.DUMMYFUNCTION("""COMPUTED_VALUE"""),"06 ORL")</f>
        <v>06 ORL</v>
      </c>
      <c r="O65" s="33" t="str">
        <f ca="1">IFERROR(__xludf.DUMMYFUNCTION("""COMPUTED_VALUE"""),"Dr, Carlos Velásquez Fermín")</f>
        <v>Dr, Carlos Velásquez Fermín</v>
      </c>
      <c r="P65" s="33" t="str">
        <f ca="1">IFERROR(__xludf.DUMMYFUNCTION("""COMPUTED_VALUE"""),"Iván Sánchez (Levante y Albacete)")</f>
        <v>Iván Sánchez (Levante y Albacete)</v>
      </c>
    </row>
    <row r="66" spans="2:16">
      <c r="B66" s="74">
        <f ca="1">IFERROR(__xludf.DUMMYFUNCTION("""COMPUTED_VALUE"""),2026)</f>
        <v>2026</v>
      </c>
      <c r="C66" s="56">
        <f ca="1">IFERROR(__xludf.DUMMYFUNCTION("""COMPUTED_VALUE"""),1)</f>
        <v>1</v>
      </c>
      <c r="D66" s="33" t="str">
        <f ca="1">IFERROR(__xludf.DUMMYFUNCTION("""COMPUTED_VALUE"""),"NO")</f>
        <v>NO</v>
      </c>
      <c r="E66" s="33" t="str">
        <f ca="1">IFERROR(__xludf.DUMMYFUNCTION("""COMPUTED_VALUE"""),"Madrid- Monforte de Lemos")</f>
        <v>Madrid- Monforte de Lemos</v>
      </c>
      <c r="F66" s="57">
        <f ca="1">IFERROR(__xludf.DUMMYFUNCTION("""COMPUTED_VALUE"""),46044)</f>
        <v>46044</v>
      </c>
      <c r="G66" s="57">
        <f ca="1">IFERROR(__xludf.DUMMYFUNCTION("""COMPUTED_VALUE"""),46006)</f>
        <v>46006</v>
      </c>
      <c r="H66" s="33" t="str">
        <f ca="1">IFERROR(__xludf.DUMMYFUNCTION("""COMPUTED_VALUE"""),"La Vaguada")</f>
        <v>La Vaguada</v>
      </c>
      <c r="I66" s="33" t="str">
        <f ca="1">IFERROR(__xludf.DUMMYFUNCTION("""COMPUTED_VALUE"""),"C202512159363301430")</f>
        <v>C202512159363301430</v>
      </c>
      <c r="J66" s="33" t="str">
        <f ca="1">IFERROR(__xludf.DUMMYFUNCTION("""COMPUTED_VALUE"""),"MARIA SAGRARIO  TARANCON DE DIEGO")</f>
        <v>MARIA SAGRARIO  TARANCON DE DIEGO</v>
      </c>
      <c r="K66" s="56">
        <f ca="1">IFERROR(__xludf.DUMMYFUNCTION("""COMPUTED_VALUE"""),1)</f>
        <v>1</v>
      </c>
      <c r="L66" s="62">
        <f ca="1">IFERROR(__xludf.DUMMYFUNCTION("""COMPUTED_VALUE"""),2180.91)</f>
        <v>2180.91</v>
      </c>
      <c r="M66" s="33" t="str">
        <f ca="1">IFERROR(__xludf.DUMMYFUNCTION("""COMPUTED_VALUE"""),"03 ORL")</f>
        <v>03 ORL</v>
      </c>
      <c r="N66" s="33" t="str">
        <f ca="1">IFERROR(__xludf.DUMMYFUNCTION("""COMPUTED_VALUE"""),"06 ORL")</f>
        <v>06 ORL</v>
      </c>
      <c r="O66" s="33" t="str">
        <f ca="1">IFERROR(__xludf.DUMMYFUNCTION("""COMPUTED_VALUE"""),"Dra, Victoria García Peces")</f>
        <v>Dra, Victoria García Peces</v>
      </c>
      <c r="P66" s="33" t="str">
        <f ca="1">IFERROR(__xludf.DUMMYFUNCTION("""COMPUTED_VALUE"""),"Maika Blázquez (Madrid)")</f>
        <v>Maika Blázquez (Madrid)</v>
      </c>
    </row>
    <row r="67" spans="2:16">
      <c r="B67" s="74">
        <f ca="1">IFERROR(__xludf.DUMMYFUNCTION("""COMPUTED_VALUE"""),2026)</f>
        <v>2026</v>
      </c>
      <c r="C67" s="56">
        <f ca="1">IFERROR(__xludf.DUMMYFUNCTION("""COMPUTED_VALUE"""),1)</f>
        <v>1</v>
      </c>
      <c r="D67" s="33" t="str">
        <f ca="1">IFERROR(__xludf.DUMMYFUNCTION("""COMPUTED_VALUE"""),"NO")</f>
        <v>NO</v>
      </c>
      <c r="E67" s="33" t="str">
        <f ca="1">IFERROR(__xludf.DUMMYFUNCTION("""COMPUTED_VALUE"""),"Alicante")</f>
        <v>Alicante</v>
      </c>
      <c r="F67" s="57">
        <f ca="1">IFERROR(__xludf.DUMMYFUNCTION("""COMPUTED_VALUE"""),46044)</f>
        <v>46044</v>
      </c>
      <c r="G67" s="57">
        <f ca="1">IFERROR(__xludf.DUMMYFUNCTION("""COMPUTED_VALUE"""),46013)</f>
        <v>46013</v>
      </c>
      <c r="H67" s="33" t="str">
        <f ca="1">IFERROR(__xludf.DUMMYFUNCTION("""COMPUTED_VALUE"""),"Alicante")</f>
        <v>Alicante</v>
      </c>
      <c r="I67" s="33" t="str">
        <f ca="1">IFERROR(__xludf.DUMMYFUNCTION("""COMPUTED_VALUE"""),"C202512221119249267")</f>
        <v>C202512221119249267</v>
      </c>
      <c r="J67" s="33" t="str">
        <f ca="1">IFERROR(__xludf.DUMMYFUNCTION("""COMPUTED_VALUE"""),"ANTONIA LOPEZ NIETO")</f>
        <v>ANTONIA LOPEZ NIETO</v>
      </c>
      <c r="K67" s="56">
        <f ca="1">IFERROR(__xludf.DUMMYFUNCTION("""COMPUTED_VALUE"""),1)</f>
        <v>1</v>
      </c>
      <c r="L67" s="62">
        <f ca="1">IFERROR(__xludf.DUMMYFUNCTION("""COMPUTED_VALUE"""),2180.91)</f>
        <v>2180.91</v>
      </c>
      <c r="M67" s="33" t="str">
        <f ca="1">IFERROR(__xludf.DUMMYFUNCTION("""COMPUTED_VALUE"""),"03 ORL")</f>
        <v>03 ORL</v>
      </c>
      <c r="N67" s="33" t="str">
        <f ca="1">IFERROR(__xludf.DUMMYFUNCTION("""COMPUTED_VALUE"""),"06 ORL")</f>
        <v>06 ORL</v>
      </c>
      <c r="O67" s="33" t="str">
        <f ca="1">IFERROR(__xludf.DUMMYFUNCTION("""COMPUTED_VALUE"""),"Dra, Luisa Payá Pérez")</f>
        <v>Dra, Luisa Payá Pérez</v>
      </c>
      <c r="P67" s="33" t="str">
        <f ca="1">IFERROR(__xludf.DUMMYFUNCTION("""COMPUTED_VALUE"""),"Iván Sánchez (Levante y Albacete)")</f>
        <v>Iván Sánchez (Levante y Albacete)</v>
      </c>
    </row>
    <row r="68" spans="2:16">
      <c r="B68" s="74">
        <f ca="1">IFERROR(__xludf.DUMMYFUNCTION("""COMPUTED_VALUE"""),2026)</f>
        <v>2026</v>
      </c>
      <c r="C68" s="56">
        <f ca="1">IFERROR(__xludf.DUMMYFUNCTION("""COMPUTED_VALUE"""),1)</f>
        <v>1</v>
      </c>
      <c r="D68" s="33" t="str">
        <f ca="1">IFERROR(__xludf.DUMMYFUNCTION("""COMPUTED_VALUE"""),"NO")</f>
        <v>NO</v>
      </c>
      <c r="E68" s="33" t="str">
        <f ca="1">IFERROR(__xludf.DUMMYFUNCTION("""COMPUTED_VALUE"""),"Albacete")</f>
        <v>Albacete</v>
      </c>
      <c r="F68" s="57">
        <f ca="1">IFERROR(__xludf.DUMMYFUNCTION("""COMPUTED_VALUE"""),46045)</f>
        <v>46045</v>
      </c>
      <c r="G68" s="57">
        <f ca="1">IFERROR(__xludf.DUMMYFUNCTION("""COMPUTED_VALUE"""),45988)</f>
        <v>45988</v>
      </c>
      <c r="H68" s="33" t="str">
        <f ca="1">IFERROR(__xludf.DUMMYFUNCTION("""COMPUTED_VALUE"""),"Albacete")</f>
        <v>Albacete</v>
      </c>
      <c r="I68" s="33" t="str">
        <f ca="1">IFERROR(__xludf.DUMMYFUNCTION("""COMPUTED_VALUE"""),"C202511271222372314")</f>
        <v>C202511271222372314</v>
      </c>
      <c r="J68" s="1" t="str">
        <f ca="1">IFERROR(__xludf.DUMMYFUNCTION("""COMPUTED_VALUE"""),"JOSE PLAZA BLAZQUEZ")</f>
        <v>JOSE PLAZA BLAZQUEZ</v>
      </c>
      <c r="K68" s="56">
        <f ca="1">IFERROR(__xludf.DUMMYFUNCTION("""COMPUTED_VALUE"""),1)</f>
        <v>1</v>
      </c>
      <c r="L68" s="62">
        <f ca="1">IFERROR(__xludf.DUMMYFUNCTION("""COMPUTED_VALUE"""),2372.73)</f>
        <v>2372.73</v>
      </c>
      <c r="M68" s="33" t="str">
        <f ca="1">IFERROR(__xludf.DUMMYFUNCTION("""COMPUTED_VALUE"""),"03 ORL")</f>
        <v>03 ORL</v>
      </c>
      <c r="N68" s="33" t="str">
        <f ca="1">IFERROR(__xludf.DUMMYFUNCTION("""COMPUTED_VALUE"""),"22 AUDIOMETRIA CLINICA")</f>
        <v>22 AUDIOMETRIA CLINICA</v>
      </c>
      <c r="O68" s="33" t="str">
        <f ca="1">IFERROR(__xludf.DUMMYFUNCTION("""COMPUTED_VALUE"""),"Dr, Manuel García López")</f>
        <v>Dr, Manuel García López</v>
      </c>
      <c r="P68" s="33" t="str">
        <f ca="1">IFERROR(__xludf.DUMMYFUNCTION("""COMPUTED_VALUE"""),"Iván Sánchez (Levante y Albacete)")</f>
        <v>Iván Sánchez (Levante y Albacete)</v>
      </c>
    </row>
    <row r="69" spans="2:16">
      <c r="B69" s="74">
        <f ca="1">IFERROR(__xludf.DUMMYFUNCTION("""COMPUTED_VALUE"""),2026)</f>
        <v>2026</v>
      </c>
      <c r="C69" s="56">
        <f ca="1">IFERROR(__xludf.DUMMYFUNCTION("""COMPUTED_VALUE"""),1)</f>
        <v>1</v>
      </c>
      <c r="D69" s="33" t="str">
        <f ca="1">IFERROR(__xludf.DUMMYFUNCTION("""COMPUTED_VALUE"""),"NO")</f>
        <v>NO</v>
      </c>
      <c r="E69" s="33" t="str">
        <f ca="1">IFERROR(__xludf.DUMMYFUNCTION("""COMPUTED_VALUE"""),"El Albir (Benidorm)")</f>
        <v>El Albir (Benidorm)</v>
      </c>
      <c r="F69" s="57">
        <f ca="1">IFERROR(__xludf.DUMMYFUNCTION("""COMPUTED_VALUE"""),46045)</f>
        <v>46045</v>
      </c>
      <c r="G69" s="57">
        <f ca="1">IFERROR(__xludf.DUMMYFUNCTION("""COMPUTED_VALUE"""),45992)</f>
        <v>45992</v>
      </c>
      <c r="H69" s="33" t="str">
        <f ca="1">IFERROR(__xludf.DUMMYFUNCTION("""COMPUTED_VALUE"""),"El Albir (Benidorm)")</f>
        <v>El Albir (Benidorm)</v>
      </c>
      <c r="I69" s="33" t="str">
        <f ca="1">IFERROR(__xludf.DUMMYFUNCTION("""COMPUTED_VALUE"""),"C202512183015487201")</f>
        <v>C202512183015487201</v>
      </c>
      <c r="J69" s="33" t="str">
        <f ca="1">IFERROR(__xludf.DUMMYFUNCTION("""COMPUTED_VALUE"""),"BERNABE  SANCHIS SANZ")</f>
        <v>BERNABE  SANCHIS SANZ</v>
      </c>
      <c r="K69" s="56">
        <f ca="1">IFERROR(__xludf.DUMMYFUNCTION("""COMPUTED_VALUE"""),2)</f>
        <v>2</v>
      </c>
      <c r="L69" s="62">
        <f ca="1">IFERROR(__xludf.DUMMYFUNCTION("""COMPUTED_VALUE"""),3631.82)</f>
        <v>3631.82</v>
      </c>
      <c r="M69" s="33" t="str">
        <f ca="1">IFERROR(__xludf.DUMMYFUNCTION("""COMPUTED_VALUE"""),"03 ORL")</f>
        <v>03 ORL</v>
      </c>
      <c r="N69" s="33" t="str">
        <f ca="1">IFERROR(__xludf.DUMMYFUNCTION("""COMPUTED_VALUE"""),"06 ORL")</f>
        <v>06 ORL</v>
      </c>
      <c r="O69" s="33" t="str">
        <f ca="1">IFERROR(__xludf.DUMMYFUNCTION("""COMPUTED_VALUE"""),"Dra, María Emilia García Ruiz")</f>
        <v>Dra, María Emilia García Ruiz</v>
      </c>
      <c r="P69" s="33" t="str">
        <f ca="1">IFERROR(__xludf.DUMMYFUNCTION("""COMPUTED_VALUE"""),"Ramon Ferrando(Valencia)")</f>
        <v>Ramon Ferrando(Valencia)</v>
      </c>
    </row>
    <row r="70" spans="2:16">
      <c r="B70" s="74">
        <f ca="1">IFERROR(__xludf.DUMMYFUNCTION("""COMPUTED_VALUE"""),2026)</f>
        <v>2026</v>
      </c>
      <c r="C70" s="56">
        <f ca="1">IFERROR(__xludf.DUMMYFUNCTION("""COMPUTED_VALUE"""),1)</f>
        <v>1</v>
      </c>
      <c r="D70" s="33" t="str">
        <f ca="1">IFERROR(__xludf.DUMMYFUNCTION("""COMPUTED_VALUE"""),"NO")</f>
        <v>NO</v>
      </c>
      <c r="E70" s="33" t="str">
        <f ca="1">IFERROR(__xludf.DUMMYFUNCTION("""COMPUTED_VALUE"""),"Valencia- Parra")</f>
        <v>Valencia- Parra</v>
      </c>
      <c r="F70" s="57">
        <f ca="1">IFERROR(__xludf.DUMMYFUNCTION("""COMPUTED_VALUE"""),46045)</f>
        <v>46045</v>
      </c>
      <c r="G70" s="57">
        <f ca="1">IFERROR(__xludf.DUMMYFUNCTION("""COMPUTED_VALUE"""),45986)</f>
        <v>45986</v>
      </c>
      <c r="H70" s="33" t="str">
        <f ca="1">IFERROR(__xludf.DUMMYFUNCTION("""COMPUTED_VALUE"""),"Valencia- Parra")</f>
        <v>Valencia- Parra</v>
      </c>
      <c r="I70" s="33" t="str">
        <f ca="1">IFERROR(__xludf.DUMMYFUNCTION("""COMPUTED_VALUE"""),"C202511251235490541")</f>
        <v>C202511251235490541</v>
      </c>
      <c r="J70" s="33" t="str">
        <f ca="1">IFERROR(__xludf.DUMMYFUNCTION("""COMPUTED_VALUE"""),"CRISTOBAL SOBREVELA LOPEZ")</f>
        <v>CRISTOBAL SOBREVELA LOPEZ</v>
      </c>
      <c r="K70" s="56">
        <f ca="1">IFERROR(__xludf.DUMMYFUNCTION("""COMPUTED_VALUE"""),2)</f>
        <v>2</v>
      </c>
      <c r="L70" s="62">
        <f ca="1">IFERROR(__xludf.DUMMYFUNCTION("""COMPUTED_VALUE"""),3631.82)</f>
        <v>3631.82</v>
      </c>
      <c r="M70" s="33" t="str">
        <f ca="1">IFERROR(__xludf.DUMMYFUNCTION("""COMPUTED_VALUE"""),"03 ORL")</f>
        <v>03 ORL</v>
      </c>
      <c r="N70" s="33" t="str">
        <f ca="1">IFERROR(__xludf.DUMMYFUNCTION("""COMPUTED_VALUE"""),"06 ORL")</f>
        <v>06 ORL</v>
      </c>
      <c r="O70" s="33" t="str">
        <f ca="1">IFERROR(__xludf.DUMMYFUNCTION("""COMPUTED_VALUE"""),"Dr, Vladimir Rubio Segarra")</f>
        <v>Dr, Vladimir Rubio Segarra</v>
      </c>
      <c r="P70" s="33" t="str">
        <f ca="1">IFERROR(__xludf.DUMMYFUNCTION("""COMPUTED_VALUE"""),"Ramon Ferrando(Valencia)")</f>
        <v>Ramon Ferrando(Valencia)</v>
      </c>
    </row>
    <row r="71" spans="2:16">
      <c r="B71" s="74">
        <f ca="1">IFERROR(__xludf.DUMMYFUNCTION("""COMPUTED_VALUE"""),2026)</f>
        <v>2026</v>
      </c>
      <c r="C71" s="56">
        <f ca="1">IFERROR(__xludf.DUMMYFUNCTION("""COMPUTED_VALUE"""),1)</f>
        <v>1</v>
      </c>
      <c r="D71" s="33" t="str">
        <f ca="1">IFERROR(__xludf.DUMMYFUNCTION("""COMPUTED_VALUE"""),"NO")</f>
        <v>NO</v>
      </c>
      <c r="E71" s="33" t="str">
        <f ca="1">IFERROR(__xludf.DUMMYFUNCTION("""COMPUTED_VALUE"""),"Valencia- Parra")</f>
        <v>Valencia- Parra</v>
      </c>
      <c r="F71" s="57">
        <f ca="1">IFERROR(__xludf.DUMMYFUNCTION("""COMPUTED_VALUE"""),46045)</f>
        <v>46045</v>
      </c>
      <c r="G71" s="57">
        <f ca="1">IFERROR(__xludf.DUMMYFUNCTION("""COMPUTED_VALUE"""),45950)</f>
        <v>45950</v>
      </c>
      <c r="H71" s="33" t="str">
        <f ca="1">IFERROR(__xludf.DUMMYFUNCTION("""COMPUTED_VALUE"""),"Valencia- Parra")</f>
        <v>Valencia- Parra</v>
      </c>
      <c r="I71" s="33" t="str">
        <f ca="1">IFERROR(__xludf.DUMMYFUNCTION("""COMPUTED_VALUE"""),"C202510201139577779")</f>
        <v>C202510201139577779</v>
      </c>
      <c r="J71" s="33" t="str">
        <f ca="1">IFERROR(__xludf.DUMMYFUNCTION("""COMPUTED_VALUE"""),"MARCOS JUSTO ROMAGUERA")</f>
        <v>MARCOS JUSTO ROMAGUERA</v>
      </c>
      <c r="K71" s="56">
        <f ca="1">IFERROR(__xludf.DUMMYFUNCTION("""COMPUTED_VALUE"""),1)</f>
        <v>1</v>
      </c>
      <c r="L71" s="62">
        <f ca="1">IFERROR(__xludf.DUMMYFUNCTION("""COMPUTED_VALUE"""),2162.73)</f>
        <v>2162.73</v>
      </c>
      <c r="M71" s="33" t="str">
        <f ca="1">IFERROR(__xludf.DUMMYFUNCTION("""COMPUTED_VALUE"""),"03 ORL")</f>
        <v>03 ORL</v>
      </c>
      <c r="N71" s="33" t="str">
        <f ca="1">IFERROR(__xludf.DUMMYFUNCTION("""COMPUTED_VALUE"""),"06 ORL")</f>
        <v>06 ORL</v>
      </c>
      <c r="O71" s="33" t="str">
        <f ca="1">IFERROR(__xludf.DUMMYFUNCTION("""COMPUTED_VALUE"""),"Dr, Carlos de Paula Vernetta")</f>
        <v>Dr, Carlos de Paula Vernetta</v>
      </c>
      <c r="P71" s="33" t="str">
        <f ca="1">IFERROR(__xludf.DUMMYFUNCTION("""COMPUTED_VALUE"""),"Ramon Ferrando(Valencia)")</f>
        <v>Ramon Ferrando(Valencia)</v>
      </c>
    </row>
    <row r="72" spans="2:16">
      <c r="B72" s="74">
        <f ca="1">IFERROR(__xludf.DUMMYFUNCTION("""COMPUTED_VALUE"""),2026)</f>
        <v>2026</v>
      </c>
      <c r="C72" s="56">
        <f ca="1">IFERROR(__xludf.DUMMYFUNCTION("""COMPUTED_VALUE"""),1)</f>
        <v>1</v>
      </c>
      <c r="D72" s="33" t="str">
        <f ca="1">IFERROR(__xludf.DUMMYFUNCTION("""COMPUTED_VALUE"""),"NO")</f>
        <v>NO</v>
      </c>
      <c r="E72" s="33" t="str">
        <f ca="1">IFERROR(__xludf.DUMMYFUNCTION("""COMPUTED_VALUE"""),"Cáceres")</f>
        <v>Cáceres</v>
      </c>
      <c r="F72" s="57">
        <f ca="1">IFERROR(__xludf.DUMMYFUNCTION("""COMPUTED_VALUE"""),46045)</f>
        <v>46045</v>
      </c>
      <c r="G72" s="57">
        <f ca="1">IFERROR(__xludf.DUMMYFUNCTION("""COMPUTED_VALUE"""),46014)</f>
        <v>46014</v>
      </c>
      <c r="H72" s="33" t="str">
        <f ca="1">IFERROR(__xludf.DUMMYFUNCTION("""COMPUTED_VALUE"""),"Cáceres")</f>
        <v>Cáceres</v>
      </c>
      <c r="I72" s="33" t="str">
        <f ca="1">IFERROR(__xludf.DUMMYFUNCTION("""COMPUTED_VALUE"""),"C202512231713186578")</f>
        <v>C202512231713186578</v>
      </c>
      <c r="J72" s="33" t="str">
        <f ca="1">IFERROR(__xludf.DUMMYFUNCTION("""COMPUTED_VALUE"""),"DAMIAN DIAZ DOMINGUEZ")</f>
        <v>DAMIAN DIAZ DOMINGUEZ</v>
      </c>
      <c r="K72" s="56">
        <f ca="1">IFERROR(__xludf.DUMMYFUNCTION("""COMPUTED_VALUE"""),2)</f>
        <v>2</v>
      </c>
      <c r="L72" s="62">
        <f ca="1">IFERROR(__xludf.DUMMYFUNCTION("""COMPUTED_VALUE"""),4500)</f>
        <v>4500</v>
      </c>
      <c r="M72" s="33" t="str">
        <f ca="1">IFERROR(__xludf.DUMMYFUNCTION("""COMPUTED_VALUE"""),"03 ORL")</f>
        <v>03 ORL</v>
      </c>
      <c r="N72" s="33" t="str">
        <f ca="1">IFERROR(__xludf.DUMMYFUNCTION("""COMPUTED_VALUE"""),"06 ORL")</f>
        <v>06 ORL</v>
      </c>
      <c r="O72" s="33" t="str">
        <f ca="1">IFERROR(__xludf.DUMMYFUNCTION("""COMPUTED_VALUE"""),"Dr, Andrés Paulino Herrera")</f>
        <v>Dr, Andrés Paulino Herrera</v>
      </c>
      <c r="P72" s="33" t="str">
        <f ca="1">IFERROR(__xludf.DUMMYFUNCTION("""COMPUTED_VALUE"""),"Lisandro Russian (Madrid, Cáceres, Toledo, Talavera y Logroño)")</f>
        <v>Lisandro Russian (Madrid, Cáceres, Toledo, Talavera y Logroño)</v>
      </c>
    </row>
    <row r="73" spans="2:16">
      <c r="B73" s="74">
        <f ca="1">IFERROR(__xludf.DUMMYFUNCTION("""COMPUTED_VALUE"""),2026)</f>
        <v>2026</v>
      </c>
      <c r="C73" s="56">
        <f ca="1">IFERROR(__xludf.DUMMYFUNCTION("""COMPUTED_VALUE"""),1)</f>
        <v>1</v>
      </c>
      <c r="D73" s="33" t="str">
        <f ca="1">IFERROR(__xludf.DUMMYFUNCTION("""COMPUTED_VALUE"""),"NO")</f>
        <v>NO</v>
      </c>
      <c r="E73" s="33" t="str">
        <f ca="1">IFERROR(__xludf.DUMMYFUNCTION("""COMPUTED_VALUE"""),"Zaragoza- León XIII")</f>
        <v>Zaragoza- León XIII</v>
      </c>
      <c r="F73" s="57">
        <f ca="1">IFERROR(__xludf.DUMMYFUNCTION("""COMPUTED_VALUE"""),46046)</f>
        <v>46046</v>
      </c>
      <c r="G73" s="57">
        <f ca="1">IFERROR(__xludf.DUMMYFUNCTION("""COMPUTED_VALUE"""),46003)</f>
        <v>46003</v>
      </c>
      <c r="H73" s="33" t="str">
        <f ca="1">IFERROR(__xludf.DUMMYFUNCTION("""COMPUTED_VALUE"""),"Zaragoza")</f>
        <v>Zaragoza</v>
      </c>
      <c r="I73" s="33" t="str">
        <f ca="1">IFERROR(__xludf.DUMMYFUNCTION("""COMPUTED_VALUE"""),"C202512121148341527")</f>
        <v>C202512121148341527</v>
      </c>
      <c r="J73" s="33" t="str">
        <f ca="1">IFERROR(__xludf.DUMMYFUNCTION("""COMPUTED_VALUE"""),"MARIA MERCEDES LÓPEZ CANTOS")</f>
        <v>MARIA MERCEDES LÓPEZ CANTOS</v>
      </c>
      <c r="K73" s="56">
        <f ca="1">IFERROR(__xludf.DUMMYFUNCTION("""COMPUTED_VALUE"""),2)</f>
        <v>2</v>
      </c>
      <c r="L73" s="62">
        <f ca="1">IFERROR(__xludf.DUMMYFUNCTION("""COMPUTED_VALUE"""),3365.38)</f>
        <v>3365.38</v>
      </c>
      <c r="M73" s="33" t="str">
        <f ca="1">IFERROR(__xludf.DUMMYFUNCTION("""COMPUTED_VALUE"""),"03 ORL")</f>
        <v>03 ORL</v>
      </c>
      <c r="N73" s="33" t="str">
        <f ca="1">IFERROR(__xludf.DUMMYFUNCTION("""COMPUTED_VALUE"""),"06 ORL")</f>
        <v>06 ORL</v>
      </c>
      <c r="O73" s="33" t="str">
        <f ca="1">IFERROR(__xludf.DUMMYFUNCTION("""COMPUTED_VALUE"""),"Dr, Rafael Fernández Liesa")</f>
        <v>Dr, Rafael Fernández Liesa</v>
      </c>
      <c r="P73" s="33" t="str">
        <f ca="1">IFERROR(__xludf.DUMMYFUNCTION("""COMPUTED_VALUE"""),"Ignacio Berdejo (Zaragoza)")</f>
        <v>Ignacio Berdejo (Zaragoza)</v>
      </c>
    </row>
    <row r="74" spans="2:16">
      <c r="B74" s="74">
        <f ca="1">IFERROR(__xludf.DUMMYFUNCTION("""COMPUTED_VALUE"""),2026)</f>
        <v>2026</v>
      </c>
      <c r="C74" s="56">
        <f ca="1">IFERROR(__xludf.DUMMYFUNCTION("""COMPUTED_VALUE"""),1)</f>
        <v>1</v>
      </c>
      <c r="D74" s="33" t="str">
        <f ca="1">IFERROR(__xludf.DUMMYFUNCTION("""COMPUTED_VALUE"""),"NO")</f>
        <v>NO</v>
      </c>
      <c r="E74" s="33" t="str">
        <f ca="1">IFERROR(__xludf.DUMMYFUNCTION("""COMPUTED_VALUE"""),"Barcelona- Córcega")</f>
        <v>Barcelona- Córcega</v>
      </c>
      <c r="F74" s="57">
        <f ca="1">IFERROR(__xludf.DUMMYFUNCTION("""COMPUTED_VALUE"""),46048)</f>
        <v>46048</v>
      </c>
      <c r="G74" s="57">
        <f ca="1">IFERROR(__xludf.DUMMYFUNCTION("""COMPUTED_VALUE"""),45987)</f>
        <v>45987</v>
      </c>
      <c r="H74" s="33" t="str">
        <f ca="1">IFERROR(__xludf.DUMMYFUNCTION("""COMPUTED_VALUE"""),"Córcega")</f>
        <v>Córcega</v>
      </c>
      <c r="I74" s="33" t="str">
        <f ca="1">IFERROR(__xludf.DUMMYFUNCTION("""COMPUTED_VALUE"""),"C202511261218486321")</f>
        <v>C202511261218486321</v>
      </c>
      <c r="J74" s="33" t="str">
        <f ca="1">IFERROR(__xludf.DUMMYFUNCTION("""COMPUTED_VALUE"""),"Maria Pilar Sanchez Sanchez")</f>
        <v>Maria Pilar Sanchez Sanchez</v>
      </c>
      <c r="K74" s="56">
        <f ca="1">IFERROR(__xludf.DUMMYFUNCTION("""COMPUTED_VALUE"""),2)</f>
        <v>2</v>
      </c>
      <c r="L74" s="62">
        <f ca="1">IFERROR(__xludf.DUMMYFUNCTION("""COMPUTED_VALUE"""),3631.82)</f>
        <v>3631.82</v>
      </c>
      <c r="M74" s="33" t="str">
        <f ca="1">IFERROR(__xludf.DUMMYFUNCTION("""COMPUTED_VALUE"""),"03 ORL")</f>
        <v>03 ORL</v>
      </c>
      <c r="N74" s="33" t="str">
        <f ca="1">IFERROR(__xludf.DUMMYFUNCTION("""COMPUTED_VALUE"""),"06 ORL")</f>
        <v>06 ORL</v>
      </c>
      <c r="O74" s="33" t="str">
        <f ca="1">IFERROR(__xludf.DUMMYFUNCTION("""COMPUTED_VALUE"""),"Dr, Jesus-Maria Grasa Pérez")</f>
        <v>Dr, Jesus-Maria Grasa Pérez</v>
      </c>
      <c r="P74" s="33" t="str">
        <f ca="1">IFERROR(__xludf.DUMMYFUNCTION("""COMPUTED_VALUE"""),"Mercè Cabrera (Cataluña y Baleares)")</f>
        <v>Mercè Cabrera (Cataluña y Baleares)</v>
      </c>
    </row>
    <row r="75" spans="2:16">
      <c r="B75" s="74">
        <f ca="1">IFERROR(__xludf.DUMMYFUNCTION("""COMPUTED_VALUE"""),2026)</f>
        <v>2026</v>
      </c>
      <c r="C75" s="56">
        <f ca="1">IFERROR(__xludf.DUMMYFUNCTION("""COMPUTED_VALUE"""),1)</f>
        <v>1</v>
      </c>
      <c r="D75" s="33" t="str">
        <f ca="1">IFERROR(__xludf.DUMMYFUNCTION("""COMPUTED_VALUE"""),"NO")</f>
        <v>NO</v>
      </c>
      <c r="E75" s="33" t="str">
        <f ca="1">IFERROR(__xludf.DUMMYFUNCTION("""COMPUTED_VALUE"""),"San Javier")</f>
        <v>San Javier</v>
      </c>
      <c r="F75" s="57">
        <f ca="1">IFERROR(__xludf.DUMMYFUNCTION("""COMPUTED_VALUE"""),46048)</f>
        <v>46048</v>
      </c>
      <c r="G75" s="57">
        <f ca="1">IFERROR(__xludf.DUMMYFUNCTION("""COMPUTED_VALUE"""),46008)</f>
        <v>46008</v>
      </c>
      <c r="H75" s="33" t="str">
        <f ca="1">IFERROR(__xludf.DUMMYFUNCTION("""COMPUTED_VALUE"""),"San Javier")</f>
        <v>San Javier</v>
      </c>
      <c r="I75" s="33" t="str">
        <f ca="1">IFERROR(__xludf.DUMMYFUNCTION("""COMPUTED_VALUE"""),"C202512171228417197")</f>
        <v>C202512171228417197</v>
      </c>
      <c r="J75" s="33" t="str">
        <f ca="1">IFERROR(__xludf.DUMMYFUNCTION("""COMPUTED_VALUE"""),"EVA VARELA TOJO")</f>
        <v>EVA VARELA TOJO</v>
      </c>
      <c r="K75" s="56">
        <f ca="1">IFERROR(__xludf.DUMMYFUNCTION("""COMPUTED_VALUE"""),2)</f>
        <v>2</v>
      </c>
      <c r="L75" s="62">
        <f ca="1">IFERROR(__xludf.DUMMYFUNCTION("""COMPUTED_VALUE"""),3631.82)</f>
        <v>3631.82</v>
      </c>
      <c r="M75" s="33" t="str">
        <f ca="1">IFERROR(__xludf.DUMMYFUNCTION("""COMPUTED_VALUE"""),"03 ORL")</f>
        <v>03 ORL</v>
      </c>
      <c r="N75" s="33" t="str">
        <f ca="1">IFERROR(__xludf.DUMMYFUNCTION("""COMPUTED_VALUE"""),"06 ORL")</f>
        <v>06 ORL</v>
      </c>
      <c r="O75" s="33" t="str">
        <f ca="1">IFERROR(__xludf.DUMMYFUNCTION("""COMPUTED_VALUE"""),"Dr, Andrés Barrios Recio")</f>
        <v>Dr, Andrés Barrios Recio</v>
      </c>
      <c r="P75" s="33" t="str">
        <f ca="1">IFERROR(__xludf.DUMMYFUNCTION("""COMPUTED_VALUE"""),"Iván Sánchez (Levante y Albacete)")</f>
        <v>Iván Sánchez (Levante y Albacete)</v>
      </c>
    </row>
    <row r="76" spans="2:16">
      <c r="B76" s="74">
        <f ca="1">IFERROR(__xludf.DUMMYFUNCTION("""COMPUTED_VALUE"""),2026)</f>
        <v>2026</v>
      </c>
      <c r="C76" s="56">
        <f ca="1">IFERROR(__xludf.DUMMYFUNCTION("""COMPUTED_VALUE"""),1)</f>
        <v>1</v>
      </c>
      <c r="D76" s="33" t="str">
        <f ca="1">IFERROR(__xludf.DUMMYFUNCTION("""COMPUTED_VALUE"""),"NO")</f>
        <v>NO</v>
      </c>
      <c r="E76" s="33" t="str">
        <f ca="1">IFERROR(__xludf.DUMMYFUNCTION("""COMPUTED_VALUE"""),"Murcia")</f>
        <v>Murcia</v>
      </c>
      <c r="F76" s="57">
        <f ca="1">IFERROR(__xludf.DUMMYFUNCTION("""COMPUTED_VALUE"""),46048)</f>
        <v>46048</v>
      </c>
      <c r="G76" s="57">
        <f ca="1">IFERROR(__xludf.DUMMYFUNCTION("""COMPUTED_VALUE"""),45995)</f>
        <v>45995</v>
      </c>
      <c r="H76" s="33" t="str">
        <f ca="1">IFERROR(__xludf.DUMMYFUNCTION("""COMPUTED_VALUE"""),"Murcia")</f>
        <v>Murcia</v>
      </c>
      <c r="I76" s="33" t="str">
        <f ca="1">IFERROR(__xludf.DUMMYFUNCTION("""COMPUTED_VALUE"""),"C202512410121341481")</f>
        <v>C202512410121341481</v>
      </c>
      <c r="J76" s="33" t="str">
        <f ca="1">IFERROR(__xludf.DUMMYFUNCTION("""COMPUTED_VALUE"""),"JULIA MARIA ARQUEROS AMAT")</f>
        <v>JULIA MARIA ARQUEROS AMAT</v>
      </c>
      <c r="K76" s="56">
        <f ca="1">IFERROR(__xludf.DUMMYFUNCTION("""COMPUTED_VALUE"""),2)</f>
        <v>2</v>
      </c>
      <c r="L76" s="62">
        <f ca="1">IFERROR(__xludf.DUMMYFUNCTION("""COMPUTED_VALUE"""),3631.83)</f>
        <v>3631.83</v>
      </c>
      <c r="M76" s="33" t="str">
        <f ca="1">IFERROR(__xludf.DUMMYFUNCTION("""COMPUTED_VALUE"""),"03 ORL")</f>
        <v>03 ORL</v>
      </c>
      <c r="N76" s="33" t="str">
        <f ca="1">IFERROR(__xludf.DUMMYFUNCTION("""COMPUTED_VALUE"""),"06 ORL")</f>
        <v>06 ORL</v>
      </c>
      <c r="O76" s="33" t="str">
        <f ca="1">IFERROR(__xludf.DUMMYFUNCTION("""COMPUTED_VALUE"""),"Dra, Beatriz Rodríguez González Herrero")</f>
        <v>Dra, Beatriz Rodríguez González Herrero</v>
      </c>
      <c r="P76" s="33" t="str">
        <f ca="1">IFERROR(__xludf.DUMMYFUNCTION("""COMPUTED_VALUE"""),"Iván Sánchez (Levante y Albacete)")</f>
        <v>Iván Sánchez (Levante y Albacete)</v>
      </c>
    </row>
    <row r="77" spans="2:16">
      <c r="B77" s="74">
        <f ca="1">IFERROR(__xludf.DUMMYFUNCTION("""COMPUTED_VALUE"""),2026)</f>
        <v>2026</v>
      </c>
      <c r="C77" s="56">
        <f ca="1">IFERROR(__xludf.DUMMYFUNCTION("""COMPUTED_VALUE"""),1)</f>
        <v>1</v>
      </c>
      <c r="D77" s="33" t="str">
        <f ca="1">IFERROR(__xludf.DUMMYFUNCTION("""COMPUTED_VALUE"""),"NO")</f>
        <v>NO</v>
      </c>
      <c r="E77" s="33" t="str">
        <f ca="1">IFERROR(__xludf.DUMMYFUNCTION("""COMPUTED_VALUE"""),"El Albir (Benidorm)")</f>
        <v>El Albir (Benidorm)</v>
      </c>
      <c r="F77" s="57">
        <f ca="1">IFERROR(__xludf.DUMMYFUNCTION("""COMPUTED_VALUE"""),46048)</f>
        <v>46048</v>
      </c>
      <c r="G77" s="57">
        <f ca="1">IFERROR(__xludf.DUMMYFUNCTION("""COMPUTED_VALUE"""),46003)</f>
        <v>46003</v>
      </c>
      <c r="H77" s="33" t="str">
        <f ca="1">IFERROR(__xludf.DUMMYFUNCTION("""COMPUTED_VALUE"""),"El Albir (Benidorm)")</f>
        <v>El Albir (Benidorm)</v>
      </c>
      <c r="I77" s="33" t="str">
        <f ca="1">IFERROR(__xludf.DUMMYFUNCTION("""COMPUTED_VALUE"""),"C202512121026113021")</f>
        <v>C202512121026113021</v>
      </c>
      <c r="J77" s="33" t="str">
        <f ca="1">IFERROR(__xludf.DUMMYFUNCTION("""COMPUTED_VALUE"""),"FRANCISCA MATA PEREZ")</f>
        <v>FRANCISCA MATA PEREZ</v>
      </c>
      <c r="K77" s="56">
        <f ca="1">IFERROR(__xludf.DUMMYFUNCTION("""COMPUTED_VALUE"""),2)</f>
        <v>2</v>
      </c>
      <c r="L77" s="62">
        <f ca="1">IFERROR(__xludf.DUMMYFUNCTION("""COMPUTED_VALUE"""),2718.18)</f>
        <v>2718.18</v>
      </c>
      <c r="M77" s="33" t="str">
        <f ca="1">IFERROR(__xludf.DUMMYFUNCTION("""COMPUTED_VALUE"""),"03 ORL")</f>
        <v>03 ORL</v>
      </c>
      <c r="N77" s="33" t="str">
        <f ca="1">IFERROR(__xludf.DUMMYFUNCTION("""COMPUTED_VALUE"""),"06 ORL")</f>
        <v>06 ORL</v>
      </c>
      <c r="O77" s="33" t="str">
        <f ca="1">IFERROR(__xludf.DUMMYFUNCTION("""COMPUTED_VALUE"""),"Dr, Lino Enguidanos Hernandorena")</f>
        <v>Dr, Lino Enguidanos Hernandorena</v>
      </c>
      <c r="P77" s="33" t="str">
        <f ca="1">IFERROR(__xludf.DUMMYFUNCTION("""COMPUTED_VALUE"""),"Ramon Ferrando(Valencia)")</f>
        <v>Ramon Ferrando(Valencia)</v>
      </c>
    </row>
    <row r="78" spans="2:16">
      <c r="B78" s="74">
        <f ca="1">IFERROR(__xludf.DUMMYFUNCTION("""COMPUTED_VALUE"""),2026)</f>
        <v>2026</v>
      </c>
      <c r="C78" s="56">
        <f ca="1">IFERROR(__xludf.DUMMYFUNCTION("""COMPUTED_VALUE"""),1)</f>
        <v>1</v>
      </c>
      <c r="D78" s="33" t="str">
        <f ca="1">IFERROR(__xludf.DUMMYFUNCTION("""COMPUTED_VALUE"""),"NO")</f>
        <v>NO</v>
      </c>
      <c r="E78" s="33" t="str">
        <f ca="1">IFERROR(__xludf.DUMMYFUNCTION("""COMPUTED_VALUE"""),"Toledo")</f>
        <v>Toledo</v>
      </c>
      <c r="F78" s="57">
        <f ca="1">IFERROR(__xludf.DUMMYFUNCTION("""COMPUTED_VALUE"""),46048)</f>
        <v>46048</v>
      </c>
      <c r="G78" s="57">
        <f ca="1">IFERROR(__xludf.DUMMYFUNCTION("""COMPUTED_VALUE"""),45987)</f>
        <v>45987</v>
      </c>
      <c r="H78" s="33" t="str">
        <f ca="1">IFERROR(__xludf.DUMMYFUNCTION("""COMPUTED_VALUE"""),"Toledo")</f>
        <v>Toledo</v>
      </c>
      <c r="I78" s="33" t="str">
        <f ca="1">IFERROR(__xludf.DUMMYFUNCTION("""COMPUTED_VALUE"""),"C202511269485787430")</f>
        <v>C202511269485787430</v>
      </c>
      <c r="J78" s="33" t="str">
        <f ca="1">IFERROR(__xludf.DUMMYFUNCTION("""COMPUTED_VALUE"""),"Primitivo Garcia Ruiz")</f>
        <v>Primitivo Garcia Ruiz</v>
      </c>
      <c r="K78" s="56">
        <f ca="1">IFERROR(__xludf.DUMMYFUNCTION("""COMPUTED_VALUE"""),2)</f>
        <v>2</v>
      </c>
      <c r="L78" s="62">
        <f ca="1">IFERROR(__xludf.DUMMYFUNCTION("""COMPUTED_VALUE"""),2718.18)</f>
        <v>2718.18</v>
      </c>
      <c r="M78" s="33" t="str">
        <f ca="1">IFERROR(__xludf.DUMMYFUNCTION("""COMPUTED_VALUE"""),"03 ORL")</f>
        <v>03 ORL</v>
      </c>
      <c r="N78" s="33" t="str">
        <f ca="1">IFERROR(__xludf.DUMMYFUNCTION("""COMPUTED_VALUE"""),"06 ORL")</f>
        <v>06 ORL</v>
      </c>
      <c r="O78" s="33" t="str">
        <f ca="1">IFERROR(__xludf.DUMMYFUNCTION("""COMPUTED_VALUE"""),"Dra, María Garrote Garrote")</f>
        <v>Dra, María Garrote Garrote</v>
      </c>
      <c r="P78" s="33" t="str">
        <f ca="1">IFERROR(__xludf.DUMMYFUNCTION("""COMPUTED_VALUE"""),"Maika Blázquez (Madrid)")</f>
        <v>Maika Blázquez (Madrid)</v>
      </c>
    </row>
    <row r="79" spans="2:16">
      <c r="B79" s="74">
        <f ca="1">IFERROR(__xludf.DUMMYFUNCTION("""COMPUTED_VALUE"""),2026)</f>
        <v>2026</v>
      </c>
      <c r="C79" s="56">
        <f ca="1">IFERROR(__xludf.DUMMYFUNCTION("""COMPUTED_VALUE"""),1)</f>
        <v>1</v>
      </c>
      <c r="D79" s="33" t="str">
        <f ca="1">IFERROR(__xludf.DUMMYFUNCTION("""COMPUTED_VALUE"""),"NO")</f>
        <v>NO</v>
      </c>
      <c r="E79" s="33" t="str">
        <f ca="1">IFERROR(__xludf.DUMMYFUNCTION("""COMPUTED_VALUE"""),"Barcelona- Córcega")</f>
        <v>Barcelona- Córcega</v>
      </c>
      <c r="F79" s="57">
        <f ca="1">IFERROR(__xludf.DUMMYFUNCTION("""COMPUTED_VALUE"""),46048)</f>
        <v>46048</v>
      </c>
      <c r="G79" s="57">
        <f ca="1">IFERROR(__xludf.DUMMYFUNCTION("""COMPUTED_VALUE"""),46029)</f>
        <v>46029</v>
      </c>
      <c r="H79" s="33" t="str">
        <f ca="1">IFERROR(__xludf.DUMMYFUNCTION("""COMPUTED_VALUE"""),"Córcega")</f>
        <v>Córcega</v>
      </c>
      <c r="I79" s="33" t="str">
        <f ca="1">IFERROR(__xludf.DUMMYFUNCTION("""COMPUTED_VALUE"""),"C202617113410376988")</f>
        <v>C202617113410376988</v>
      </c>
      <c r="J79" s="33" t="str">
        <f ca="1">IFERROR(__xludf.DUMMYFUNCTION("""COMPUTED_VALUE"""),"Ana Maria Cano Rafael")</f>
        <v>Ana Maria Cano Rafael</v>
      </c>
      <c r="K79" s="56">
        <f ca="1">IFERROR(__xludf.DUMMYFUNCTION("""COMPUTED_VALUE"""),2)</f>
        <v>2</v>
      </c>
      <c r="L79" s="62">
        <f ca="1">IFERROR(__xludf.DUMMYFUNCTION("""COMPUTED_VALUE"""),4536.36)</f>
        <v>4536.3599999999997</v>
      </c>
      <c r="M79" s="33" t="str">
        <f ca="1">IFERROR(__xludf.DUMMYFUNCTION("""COMPUTED_VALUE"""),"03 ORL")</f>
        <v>03 ORL</v>
      </c>
      <c r="N79" s="33" t="str">
        <f ca="1">IFERROR(__xludf.DUMMYFUNCTION("""COMPUTED_VALUE"""),"06 ORL")</f>
        <v>06 ORL</v>
      </c>
      <c r="O79" s="33" t="str">
        <f ca="1">IFERROR(__xludf.DUMMYFUNCTION("""COMPUTED_VALUE"""),"Dra, Nesly Illely González Sánchez")</f>
        <v>Dra, Nesly Illely González Sánchez</v>
      </c>
      <c r="P79" s="33" t="str">
        <f ca="1">IFERROR(__xludf.DUMMYFUNCTION("""COMPUTED_VALUE"""),"Mercè Cabrera (Cataluña y Baleares)")</f>
        <v>Mercè Cabrera (Cataluña y Baleares)</v>
      </c>
    </row>
    <row r="80" spans="2:16">
      <c r="B80" s="74">
        <f ca="1">IFERROR(__xludf.DUMMYFUNCTION("""COMPUTED_VALUE"""),2026)</f>
        <v>2026</v>
      </c>
      <c r="C80" s="56">
        <f ca="1">IFERROR(__xludf.DUMMYFUNCTION("""COMPUTED_VALUE"""),1)</f>
        <v>1</v>
      </c>
      <c r="D80" s="33" t="str">
        <f ca="1">IFERROR(__xludf.DUMMYFUNCTION("""COMPUTED_VALUE"""),"NO")</f>
        <v>NO</v>
      </c>
      <c r="E80" s="33" t="str">
        <f ca="1">IFERROR(__xludf.DUMMYFUNCTION("""COMPUTED_VALUE"""),"Sevilla- Montoto")</f>
        <v>Sevilla- Montoto</v>
      </c>
      <c r="F80" s="57">
        <f ca="1">IFERROR(__xludf.DUMMYFUNCTION("""COMPUTED_VALUE"""),46048)</f>
        <v>46048</v>
      </c>
      <c r="G80" s="57">
        <f ca="1">IFERROR(__xludf.DUMMYFUNCTION("""COMPUTED_VALUE"""),45973)</f>
        <v>45973</v>
      </c>
      <c r="H80" s="33" t="str">
        <f ca="1">IFERROR(__xludf.DUMMYFUNCTION("""COMPUTED_VALUE"""),"Montoto")</f>
        <v>Montoto</v>
      </c>
      <c r="I80" s="33" t="str">
        <f ca="1">IFERROR(__xludf.DUMMYFUNCTION("""COMPUTED_VALUE"""),"C202511121127351007")</f>
        <v>C202511121127351007</v>
      </c>
      <c r="J80" s="33" t="str">
        <f ca="1">IFERROR(__xludf.DUMMYFUNCTION("""COMPUTED_VALUE"""),"MARIA LUISA GRANADOS MAGUILLA")</f>
        <v>MARIA LUISA GRANADOS MAGUILLA</v>
      </c>
      <c r="K80" s="56">
        <f ca="1">IFERROR(__xludf.DUMMYFUNCTION("""COMPUTED_VALUE"""),2)</f>
        <v>2</v>
      </c>
      <c r="L80" s="62">
        <f ca="1">IFERROR(__xludf.DUMMYFUNCTION("""COMPUTED_VALUE"""),3631.82)</f>
        <v>3631.82</v>
      </c>
      <c r="M80" s="33" t="str">
        <f ca="1">IFERROR(__xludf.DUMMYFUNCTION("""COMPUTED_VALUE"""),"03 ORL")</f>
        <v>03 ORL</v>
      </c>
      <c r="N80" s="33" t="str">
        <f ca="1">IFERROR(__xludf.DUMMYFUNCTION("""COMPUTED_VALUE"""),"06 ORL")</f>
        <v>06 ORL</v>
      </c>
      <c r="O80" s="33" t="str">
        <f ca="1">IFERROR(__xludf.DUMMYFUNCTION("""COMPUTED_VALUE"""),"Dr, Jesús Crovato Rojas")</f>
        <v>Dr, Jesús Crovato Rojas</v>
      </c>
      <c r="P80" s="33" t="str">
        <f ca="1">IFERROR(__xludf.DUMMYFUNCTION("""COMPUTED_VALUE"""),"Luis Alberto Rodríguez (Andalucía y Badajoz)")</f>
        <v>Luis Alberto Rodríguez (Andalucía y Badajoz)</v>
      </c>
    </row>
    <row r="81" spans="2:16">
      <c r="B81" s="74">
        <f ca="1">IFERROR(__xludf.DUMMYFUNCTION("""COMPUTED_VALUE"""),2026)</f>
        <v>2026</v>
      </c>
      <c r="C81" s="56">
        <f ca="1">IFERROR(__xludf.DUMMYFUNCTION("""COMPUTED_VALUE"""),1)</f>
        <v>1</v>
      </c>
      <c r="D81" s="33" t="str">
        <f ca="1">IFERROR(__xludf.DUMMYFUNCTION("""COMPUTED_VALUE"""),"NO")</f>
        <v>NO</v>
      </c>
      <c r="E81" s="33" t="str">
        <f ca="1">IFERROR(__xludf.DUMMYFUNCTION("""COMPUTED_VALUE"""),"Alicante")</f>
        <v>Alicante</v>
      </c>
      <c r="F81" s="57">
        <f ca="1">IFERROR(__xludf.DUMMYFUNCTION("""COMPUTED_VALUE"""),46049)</f>
        <v>46049</v>
      </c>
      <c r="G81" s="57">
        <f ca="1">IFERROR(__xludf.DUMMYFUNCTION("""COMPUTED_VALUE"""),46017)</f>
        <v>46017</v>
      </c>
      <c r="H81" s="33" t="str">
        <f ca="1">IFERROR(__xludf.DUMMYFUNCTION("""COMPUTED_VALUE"""),"Alicante")</f>
        <v>Alicante</v>
      </c>
      <c r="I81" s="33" t="str">
        <f ca="1">IFERROR(__xludf.DUMMYFUNCTION("""COMPUTED_VALUE"""),"C202512261157304222")</f>
        <v>C202512261157304222</v>
      </c>
      <c r="J81" s="33" t="str">
        <f ca="1">IFERROR(__xludf.DUMMYFUNCTION("""COMPUTED_VALUE"""),"PEDRO ESPINOSA SAN NICOLAS")</f>
        <v>PEDRO ESPINOSA SAN NICOLAS</v>
      </c>
      <c r="K81" s="56">
        <f ca="1">IFERROR(__xludf.DUMMYFUNCTION("""COMPUTED_VALUE"""),2)</f>
        <v>2</v>
      </c>
      <c r="L81" s="62">
        <f ca="1">IFERROR(__xludf.DUMMYFUNCTION("""COMPUTED_VALUE"""),2718.18)</f>
        <v>2718.18</v>
      </c>
      <c r="M81" s="33" t="str">
        <f ca="1">IFERROR(__xludf.DUMMYFUNCTION("""COMPUTED_VALUE"""),"03 ORL")</f>
        <v>03 ORL</v>
      </c>
      <c r="N81" s="33" t="str">
        <f ca="1">IFERROR(__xludf.DUMMYFUNCTION("""COMPUTED_VALUE"""),"06 ORL")</f>
        <v>06 ORL</v>
      </c>
      <c r="O81" s="33" t="str">
        <f ca="1">IFERROR(__xludf.DUMMYFUNCTION("""COMPUTED_VALUE"""),"Dra, Karen Rojas Crespo")</f>
        <v>Dra, Karen Rojas Crespo</v>
      </c>
      <c r="P81" s="33" t="str">
        <f ca="1">IFERROR(__xludf.DUMMYFUNCTION("""COMPUTED_VALUE"""),"Iván Sánchez (Levante y Albacete)")</f>
        <v>Iván Sánchez (Levante y Albacete)</v>
      </c>
    </row>
    <row r="82" spans="2:16">
      <c r="B82" s="74">
        <f ca="1">IFERROR(__xludf.DUMMYFUNCTION("""COMPUTED_VALUE"""),2026)</f>
        <v>2026</v>
      </c>
      <c r="C82" s="56">
        <f ca="1">IFERROR(__xludf.DUMMYFUNCTION("""COMPUTED_VALUE"""),1)</f>
        <v>1</v>
      </c>
      <c r="D82" s="33" t="str">
        <f ca="1">IFERROR(__xludf.DUMMYFUNCTION("""COMPUTED_VALUE"""),"NO")</f>
        <v>NO</v>
      </c>
      <c r="E82" s="33" t="str">
        <f ca="1">IFERROR(__xludf.DUMMYFUNCTION("""COMPUTED_VALUE"""),"Fuenlabrada")</f>
        <v>Fuenlabrada</v>
      </c>
      <c r="F82" s="57">
        <f ca="1">IFERROR(__xludf.DUMMYFUNCTION("""COMPUTED_VALUE"""),46049)</f>
        <v>46049</v>
      </c>
      <c r="G82" s="57">
        <f ca="1">IFERROR(__xludf.DUMMYFUNCTION("""COMPUTED_VALUE"""),46003)</f>
        <v>46003</v>
      </c>
      <c r="H82" s="33" t="str">
        <f ca="1">IFERROR(__xludf.DUMMYFUNCTION("""COMPUTED_VALUE"""),"Fuenlabrada")</f>
        <v>Fuenlabrada</v>
      </c>
      <c r="I82" s="33" t="str">
        <f ca="1">IFERROR(__xludf.DUMMYFUNCTION("""COMPUTED_VALUE"""),"C202512121025258882")</f>
        <v>C202512121025258882</v>
      </c>
      <c r="J82" s="33" t="str">
        <f ca="1">IFERROR(__xludf.DUMMYFUNCTION("""COMPUTED_VALUE"""),"TERESA CASTILLO GARCIA")</f>
        <v>TERESA CASTILLO GARCIA</v>
      </c>
      <c r="K82" s="56">
        <f ca="1">IFERROR(__xludf.DUMMYFUNCTION("""COMPUTED_VALUE"""),1)</f>
        <v>1</v>
      </c>
      <c r="L82" s="62">
        <f ca="1">IFERROR(__xludf.DUMMYFUNCTION("""COMPUTED_VALUE"""),1631.82)</f>
        <v>1631.82</v>
      </c>
      <c r="M82" s="33" t="str">
        <f ca="1">IFERROR(__xludf.DUMMYFUNCTION("""COMPUTED_VALUE"""),"03 ORL")</f>
        <v>03 ORL</v>
      </c>
      <c r="N82" s="33" t="str">
        <f ca="1">IFERROR(__xludf.DUMMYFUNCTION("""COMPUTED_VALUE"""),"06 ORL")</f>
        <v>06 ORL</v>
      </c>
      <c r="O82" s="33" t="str">
        <f ca="1">IFERROR(__xludf.DUMMYFUNCTION("""COMPUTED_VALUE"""),"Dra, Anastasiya Audiyuk Martynyuk")</f>
        <v>Dra, Anastasiya Audiyuk Martynyuk</v>
      </c>
      <c r="P82" s="33" t="str">
        <f ca="1">IFERROR(__xludf.DUMMYFUNCTION("""COMPUTED_VALUE"""),"Maika Blázquez (Madrid)")</f>
        <v>Maika Blázquez (Madrid)</v>
      </c>
    </row>
    <row r="83" spans="2:16">
      <c r="B83" s="74">
        <f ca="1">IFERROR(__xludf.DUMMYFUNCTION("""COMPUTED_VALUE"""),2026)</f>
        <v>2026</v>
      </c>
      <c r="C83" s="56">
        <f ca="1">IFERROR(__xludf.DUMMYFUNCTION("""COMPUTED_VALUE"""),1)</f>
        <v>1</v>
      </c>
      <c r="D83" s="33" t="str">
        <f ca="1">IFERROR(__xludf.DUMMYFUNCTION("""COMPUTED_VALUE"""),"NO")</f>
        <v>NO</v>
      </c>
      <c r="E83" s="33" t="str">
        <f ca="1">IFERROR(__xludf.DUMMYFUNCTION("""COMPUTED_VALUE"""),"Hospitalet de Llobregat")</f>
        <v>Hospitalet de Llobregat</v>
      </c>
      <c r="F83" s="57">
        <f ca="1">IFERROR(__xludf.DUMMYFUNCTION("""COMPUTED_VALUE"""),46049)</f>
        <v>46049</v>
      </c>
      <c r="G83" s="57">
        <f ca="1">IFERROR(__xludf.DUMMYFUNCTION("""COMPUTED_VALUE"""),45979)</f>
        <v>45979</v>
      </c>
      <c r="H83" s="33" t="str">
        <f ca="1">IFERROR(__xludf.DUMMYFUNCTION("""COMPUTED_VALUE"""),"Hospitalet")</f>
        <v>Hospitalet</v>
      </c>
      <c r="I83" s="33" t="str">
        <f ca="1">IFERROR(__xludf.DUMMYFUNCTION("""COMPUTED_VALUE"""),"C202511181545320772")</f>
        <v>C202511181545320772</v>
      </c>
      <c r="J83" s="33" t="str">
        <f ca="1">IFERROR(__xludf.DUMMYFUNCTION("""COMPUTED_VALUE"""),"PAULA RUIZ ORTEGA")</f>
        <v>PAULA RUIZ ORTEGA</v>
      </c>
      <c r="K83" s="56">
        <f ca="1">IFERROR(__xludf.DUMMYFUNCTION("""COMPUTED_VALUE"""),1)</f>
        <v>1</v>
      </c>
      <c r="L83" s="62">
        <f ca="1">IFERROR(__xludf.DUMMYFUNCTION("""COMPUTED_VALUE"""),2481.82)</f>
        <v>2481.8200000000002</v>
      </c>
      <c r="M83" s="33" t="str">
        <f ca="1">IFERROR(__xludf.DUMMYFUNCTION("""COMPUTED_VALUE"""),"03 ORL")</f>
        <v>03 ORL</v>
      </c>
      <c r="N83" s="33" t="str">
        <f ca="1">IFERROR(__xludf.DUMMYFUNCTION("""COMPUTED_VALUE"""),"06 ORL")</f>
        <v>06 ORL</v>
      </c>
      <c r="O83" s="33" t="str">
        <f ca="1">IFERROR(__xludf.DUMMYFUNCTION("""COMPUTED_VALUE"""),"Dr, Albert Pla Esperanzi")</f>
        <v>Dr, Albert Pla Esperanzi</v>
      </c>
      <c r="P83" s="33" t="str">
        <f ca="1">IFERROR(__xludf.DUMMYFUNCTION("""COMPUTED_VALUE"""),"Mercè Cabrera (Cataluña y Baleares)")</f>
        <v>Mercè Cabrera (Cataluña y Baleares)</v>
      </c>
    </row>
    <row r="84" spans="2:16">
      <c r="B84" s="74">
        <f ca="1">IFERROR(__xludf.DUMMYFUNCTION("""COMPUTED_VALUE"""),2026)</f>
        <v>2026</v>
      </c>
      <c r="C84" s="56">
        <f ca="1">IFERROR(__xludf.DUMMYFUNCTION("""COMPUTED_VALUE"""),1)</f>
        <v>1</v>
      </c>
      <c r="D84" s="33" t="str">
        <f ca="1">IFERROR(__xludf.DUMMYFUNCTION("""COMPUTED_VALUE"""),"NO")</f>
        <v>NO</v>
      </c>
      <c r="E84" s="33" t="str">
        <f ca="1">IFERROR(__xludf.DUMMYFUNCTION("""COMPUTED_VALUE"""),"Madrid- Juan Bravo")</f>
        <v>Madrid- Juan Bravo</v>
      </c>
      <c r="F84" s="57">
        <f ca="1">IFERROR(__xludf.DUMMYFUNCTION("""COMPUTED_VALUE"""),46049)</f>
        <v>46049</v>
      </c>
      <c r="G84" s="57">
        <f ca="1">IFERROR(__xludf.DUMMYFUNCTION("""COMPUTED_VALUE"""),46024)</f>
        <v>46024</v>
      </c>
      <c r="H84" s="33" t="str">
        <f ca="1">IFERROR(__xludf.DUMMYFUNCTION("""COMPUTED_VALUE"""),"Juan Bravo")</f>
        <v>Juan Bravo</v>
      </c>
      <c r="I84" s="33" t="str">
        <f ca="1">IFERROR(__xludf.DUMMYFUNCTION("""COMPUTED_VALUE"""),"C20261292625074298")</f>
        <v>C20261292625074298</v>
      </c>
      <c r="J84" s="33" t="str">
        <f ca="1">IFERROR(__xludf.DUMMYFUNCTION("""COMPUTED_VALUE"""),"JOSEFA GOMEZ DE ENTERRIA SANCHEZ")</f>
        <v>JOSEFA GOMEZ DE ENTERRIA SANCHEZ</v>
      </c>
      <c r="K84" s="56">
        <f ca="1">IFERROR(__xludf.DUMMYFUNCTION("""COMPUTED_VALUE"""),2)</f>
        <v>2</v>
      </c>
      <c r="L84" s="62">
        <f ca="1">IFERROR(__xludf.DUMMYFUNCTION("""COMPUTED_VALUE"""),4536.36)</f>
        <v>4536.3599999999997</v>
      </c>
      <c r="M84" s="33" t="str">
        <f ca="1">IFERROR(__xludf.DUMMYFUNCTION("""COMPUTED_VALUE"""),"03 ORL")</f>
        <v>03 ORL</v>
      </c>
      <c r="N84" s="33" t="str">
        <f ca="1">IFERROR(__xludf.DUMMYFUNCTION("""COMPUTED_VALUE"""),"06 ORL")</f>
        <v>06 ORL</v>
      </c>
      <c r="O84" s="33" t="str">
        <f ca="1">IFERROR(__xludf.DUMMYFUNCTION("""COMPUTED_VALUE"""),"Dr, Javier García Domínguez")</f>
        <v>Dr, Javier García Domínguez</v>
      </c>
      <c r="P84" s="33" t="str">
        <f ca="1">IFERROR(__xludf.DUMMYFUNCTION("""COMPUTED_VALUE"""),"Maika Blázquez (Madrid)")</f>
        <v>Maika Blázquez (Madrid)</v>
      </c>
    </row>
    <row r="85" spans="2:16">
      <c r="B85" s="74">
        <f ca="1">IFERROR(__xludf.DUMMYFUNCTION("""COMPUTED_VALUE"""),2026)</f>
        <v>2026</v>
      </c>
      <c r="C85" s="56">
        <f ca="1">IFERROR(__xludf.DUMMYFUNCTION("""COMPUTED_VALUE"""),1)</f>
        <v>1</v>
      </c>
      <c r="D85" s="33" t="str">
        <f ca="1">IFERROR(__xludf.DUMMYFUNCTION("""COMPUTED_VALUE"""),"NO")</f>
        <v>NO</v>
      </c>
      <c r="E85" s="33" t="str">
        <f ca="1">IFERROR(__xludf.DUMMYFUNCTION("""COMPUTED_VALUE"""),"Fuenlabrada")</f>
        <v>Fuenlabrada</v>
      </c>
      <c r="F85" s="57">
        <f ca="1">IFERROR(__xludf.DUMMYFUNCTION("""COMPUTED_VALUE"""),46049)</f>
        <v>46049</v>
      </c>
      <c r="G85" s="57">
        <f ca="1">IFERROR(__xludf.DUMMYFUNCTION("""COMPUTED_VALUE"""),45988)</f>
        <v>45988</v>
      </c>
      <c r="H85" s="33" t="str">
        <f ca="1">IFERROR(__xludf.DUMMYFUNCTION("""COMPUTED_VALUE"""),"Fuenlabrada")</f>
        <v>Fuenlabrada</v>
      </c>
      <c r="I85" s="33" t="str">
        <f ca="1">IFERROR(__xludf.DUMMYFUNCTION("""COMPUTED_VALUE"""),"C202511279152147211")</f>
        <v>C202511279152147211</v>
      </c>
      <c r="J85" s="33" t="str">
        <f ca="1">IFERROR(__xludf.DUMMYFUNCTION("""COMPUTED_VALUE"""),"MARGARITA CORTAZAR VIANCO")</f>
        <v>MARGARITA CORTAZAR VIANCO</v>
      </c>
      <c r="K85" s="56">
        <f ca="1">IFERROR(__xludf.DUMMYFUNCTION("""COMPUTED_VALUE"""),1)</f>
        <v>1</v>
      </c>
      <c r="L85" s="62">
        <f ca="1">IFERROR(__xludf.DUMMYFUNCTION("""COMPUTED_VALUE"""),2722.73)</f>
        <v>2722.73</v>
      </c>
      <c r="M85" s="33" t="str">
        <f ca="1">IFERROR(__xludf.DUMMYFUNCTION("""COMPUTED_VALUE"""),"03 ORL")</f>
        <v>03 ORL</v>
      </c>
      <c r="N85" s="33" t="str">
        <f ca="1">IFERROR(__xludf.DUMMYFUNCTION("""COMPUTED_VALUE"""),"06 ORL")</f>
        <v>06 ORL</v>
      </c>
      <c r="O85" s="33" t="str">
        <f ca="1">IFERROR(__xludf.DUMMYFUNCTION("""COMPUTED_VALUE"""),"Dr, Raimundo Andres Navarro Mediano")</f>
        <v>Dr, Raimundo Andres Navarro Mediano</v>
      </c>
      <c r="P85" s="33" t="str">
        <f ca="1">IFERROR(__xludf.DUMMYFUNCTION("""COMPUTED_VALUE"""),"Maika Blázquez (Madrid)")</f>
        <v>Maika Blázquez (Madrid)</v>
      </c>
    </row>
    <row r="86" spans="2:16">
      <c r="B86" s="74">
        <f ca="1">IFERROR(__xludf.DUMMYFUNCTION("""COMPUTED_VALUE"""),2026)</f>
        <v>2026</v>
      </c>
      <c r="C86" s="56">
        <f ca="1">IFERROR(__xludf.DUMMYFUNCTION("""COMPUTED_VALUE"""),1)</f>
        <v>1</v>
      </c>
      <c r="D86" s="33" t="str">
        <f ca="1">IFERROR(__xludf.DUMMYFUNCTION("""COMPUTED_VALUE"""),"NO")</f>
        <v>NO</v>
      </c>
      <c r="E86" s="33" t="str">
        <f ca="1">IFERROR(__xludf.DUMMYFUNCTION("""COMPUTED_VALUE"""),"Logroño")</f>
        <v>Logroño</v>
      </c>
      <c r="F86" s="57">
        <f ca="1">IFERROR(__xludf.DUMMYFUNCTION("""COMPUTED_VALUE"""),46049)</f>
        <v>46049</v>
      </c>
      <c r="G86" s="57">
        <f ca="1">IFERROR(__xludf.DUMMYFUNCTION("""COMPUTED_VALUE"""),46006)</f>
        <v>46006</v>
      </c>
      <c r="H86" s="33" t="str">
        <f ca="1">IFERROR(__xludf.DUMMYFUNCTION("""COMPUTED_VALUE"""),"Logroño")</f>
        <v>Logroño</v>
      </c>
      <c r="I86" s="33" t="str">
        <f ca="1">IFERROR(__xludf.DUMMYFUNCTION("""COMPUTED_VALUE"""),"C202512158202709477")</f>
        <v>C202512158202709477</v>
      </c>
      <c r="J86" s="33" t="str">
        <f ca="1">IFERROR(__xludf.DUMMYFUNCTION("""COMPUTED_VALUE"""),"JOSE LUIS MARQUINEZ IBAÑEZ")</f>
        <v>JOSE LUIS MARQUINEZ IBAÑEZ</v>
      </c>
      <c r="K86" s="56">
        <f ca="1">IFERROR(__xludf.DUMMYFUNCTION("""COMPUTED_VALUE"""),2)</f>
        <v>2</v>
      </c>
      <c r="L86" s="62">
        <f ca="1">IFERROR(__xludf.DUMMYFUNCTION("""COMPUTED_VALUE"""),4536.36)</f>
        <v>4536.3599999999997</v>
      </c>
      <c r="M86" s="33" t="str">
        <f ca="1">IFERROR(__xludf.DUMMYFUNCTION("""COMPUTED_VALUE"""),"03 ORL")</f>
        <v>03 ORL</v>
      </c>
      <c r="N86" s="33" t="str">
        <f ca="1">IFERROR(__xludf.DUMMYFUNCTION("""COMPUTED_VALUE"""),"06 ORL")</f>
        <v>06 ORL</v>
      </c>
      <c r="O86" s="33" t="str">
        <f ca="1">IFERROR(__xludf.DUMMYFUNCTION("""COMPUTED_VALUE"""),"Dr, Fernando Salazar Barcelona")</f>
        <v>Dr, Fernando Salazar Barcelona</v>
      </c>
      <c r="P86" s="33" t="str">
        <f ca="1">IFERROR(__xludf.DUMMYFUNCTION("""COMPUTED_VALUE"""),"Lisandro Russian (Madrid, Cáceres, Toledo, Talavera y Logroño)")</f>
        <v>Lisandro Russian (Madrid, Cáceres, Toledo, Talavera y Logroño)</v>
      </c>
    </row>
    <row r="87" spans="2:16">
      <c r="B87" s="74">
        <f ca="1">IFERROR(__xludf.DUMMYFUNCTION("""COMPUTED_VALUE"""),2026)</f>
        <v>2026</v>
      </c>
      <c r="C87" s="56">
        <f ca="1">IFERROR(__xludf.DUMMYFUNCTION("""COMPUTED_VALUE"""),1)</f>
        <v>1</v>
      </c>
      <c r="D87" s="33" t="str">
        <f ca="1">IFERROR(__xludf.DUMMYFUNCTION("""COMPUTED_VALUE"""),"NO")</f>
        <v>NO</v>
      </c>
      <c r="E87" s="33" t="str">
        <f ca="1">IFERROR(__xludf.DUMMYFUNCTION("""COMPUTED_VALUE"""),"Logroño")</f>
        <v>Logroño</v>
      </c>
      <c r="F87" s="57">
        <f ca="1">IFERROR(__xludf.DUMMYFUNCTION("""COMPUTED_VALUE"""),46049)</f>
        <v>46049</v>
      </c>
      <c r="G87" s="57">
        <f ca="1">IFERROR(__xludf.DUMMYFUNCTION("""COMPUTED_VALUE"""),46027)</f>
        <v>46027</v>
      </c>
      <c r="H87" s="33" t="str">
        <f ca="1">IFERROR(__xludf.DUMMYFUNCTION("""COMPUTED_VALUE"""),"Logroño")</f>
        <v>Logroño</v>
      </c>
      <c r="I87" s="33" t="str">
        <f ca="1">IFERROR(__xludf.DUMMYFUNCTION("""COMPUTED_VALUE"""),"C202615112933324246")</f>
        <v>C202615112933324246</v>
      </c>
      <c r="J87" s="33" t="str">
        <f ca="1">IFERROR(__xludf.DUMMYFUNCTION("""COMPUTED_VALUE"""),"GREGORIO ANDRES MURILLO BARTOLOME")</f>
        <v>GREGORIO ANDRES MURILLO BARTOLOME</v>
      </c>
      <c r="K87" s="56">
        <f ca="1">IFERROR(__xludf.DUMMYFUNCTION("""COMPUTED_VALUE"""),2)</f>
        <v>2</v>
      </c>
      <c r="L87" s="62">
        <f ca="1">IFERROR(__xludf.DUMMYFUNCTION("""COMPUTED_VALUE"""),2582.27)</f>
        <v>2582.27</v>
      </c>
      <c r="M87" s="33" t="str">
        <f ca="1">IFERROR(__xludf.DUMMYFUNCTION("""COMPUTED_VALUE"""),"03 ORL")</f>
        <v>03 ORL</v>
      </c>
      <c r="N87" s="33" t="str">
        <f ca="1">IFERROR(__xludf.DUMMYFUNCTION("""COMPUTED_VALUE"""),"06 ORL")</f>
        <v>06 ORL</v>
      </c>
      <c r="O87" s="33" t="str">
        <f ca="1">IFERROR(__xludf.DUMMYFUNCTION("""COMPUTED_VALUE"""),"Dr, Garikoitz Calzada Uriondo")</f>
        <v>Dr, Garikoitz Calzada Uriondo</v>
      </c>
      <c r="P87" s="33" t="str">
        <f ca="1">IFERROR(__xludf.DUMMYFUNCTION("""COMPUTED_VALUE"""),"Lisandro Russian (Madrid, Cáceres, Toledo, Talavera y Logroño)")</f>
        <v>Lisandro Russian (Madrid, Cáceres, Toledo, Talavera y Logroño)</v>
      </c>
    </row>
    <row r="88" spans="2:16">
      <c r="B88" s="74">
        <f ca="1">IFERROR(__xludf.DUMMYFUNCTION("""COMPUTED_VALUE"""),2026)</f>
        <v>2026</v>
      </c>
      <c r="C88" s="56">
        <f ca="1">IFERROR(__xludf.DUMMYFUNCTION("""COMPUTED_VALUE"""),1)</f>
        <v>1</v>
      </c>
      <c r="D88" s="33" t="str">
        <f ca="1">IFERROR(__xludf.DUMMYFUNCTION("""COMPUTED_VALUE"""),"NO")</f>
        <v>NO</v>
      </c>
      <c r="E88" s="33" t="str">
        <f ca="1">IFERROR(__xludf.DUMMYFUNCTION("""COMPUTED_VALUE"""),"El Albir (Benidorm)")</f>
        <v>El Albir (Benidorm)</v>
      </c>
      <c r="F88" s="57">
        <f ca="1">IFERROR(__xludf.DUMMYFUNCTION("""COMPUTED_VALUE"""),46049)</f>
        <v>46049</v>
      </c>
      <c r="G88" s="57">
        <f ca="1">IFERROR(__xludf.DUMMYFUNCTION("""COMPUTED_VALUE"""),46029)</f>
        <v>46029</v>
      </c>
      <c r="H88" s="33" t="str">
        <f ca="1">IFERROR(__xludf.DUMMYFUNCTION("""COMPUTED_VALUE"""),"El Albir (Benidorm)")</f>
        <v>El Albir (Benidorm)</v>
      </c>
      <c r="I88" s="33" t="str">
        <f ca="1">IFERROR(__xludf.DUMMYFUNCTION("""COMPUTED_VALUE"""),"C20261785351356795")</f>
        <v>C20261785351356795</v>
      </c>
      <c r="J88" s="33" t="str">
        <f ca="1">IFERROR(__xludf.DUMMYFUNCTION("""COMPUTED_VALUE"""),"FRANCISCO  DOMINGUEZ DONADO")</f>
        <v>FRANCISCO  DOMINGUEZ DONADO</v>
      </c>
      <c r="K88" s="56">
        <f ca="1">IFERROR(__xludf.DUMMYFUNCTION("""COMPUTED_VALUE"""),2)</f>
        <v>2</v>
      </c>
      <c r="L88" s="62">
        <f ca="1">IFERROR(__xludf.DUMMYFUNCTION("""COMPUTED_VALUE"""),3631.81)</f>
        <v>3631.81</v>
      </c>
      <c r="M88" s="33" t="str">
        <f ca="1">IFERROR(__xludf.DUMMYFUNCTION("""COMPUTED_VALUE"""),"03 ORL")</f>
        <v>03 ORL</v>
      </c>
      <c r="N88" s="33" t="str">
        <f ca="1">IFERROR(__xludf.DUMMYFUNCTION("""COMPUTED_VALUE"""),"06 ORL")</f>
        <v>06 ORL</v>
      </c>
      <c r="O88" s="33" t="str">
        <f ca="1">IFERROR(__xludf.DUMMYFUNCTION("""COMPUTED_VALUE"""),"Dra, Isabel Polo Tomás")</f>
        <v>Dra, Isabel Polo Tomás</v>
      </c>
      <c r="P88" s="33" t="str">
        <f ca="1">IFERROR(__xludf.DUMMYFUNCTION("""COMPUTED_VALUE"""),"Ramon Ferrando(Valencia)")</f>
        <v>Ramon Ferrando(Valencia)</v>
      </c>
    </row>
    <row r="89" spans="2:16">
      <c r="B89" s="74">
        <f ca="1">IFERROR(__xludf.DUMMYFUNCTION("""COMPUTED_VALUE"""),2026)</f>
        <v>2026</v>
      </c>
      <c r="C89" s="56">
        <f ca="1">IFERROR(__xludf.DUMMYFUNCTION("""COMPUTED_VALUE"""),1)</f>
        <v>1</v>
      </c>
      <c r="D89" s="33" t="str">
        <f ca="1">IFERROR(__xludf.DUMMYFUNCTION("""COMPUTED_VALUE"""),"NO")</f>
        <v>NO</v>
      </c>
      <c r="E89" s="33" t="str">
        <f ca="1">IFERROR(__xludf.DUMMYFUNCTION("""COMPUTED_VALUE"""),"Murcia")</f>
        <v>Murcia</v>
      </c>
      <c r="F89" s="57">
        <f ca="1">IFERROR(__xludf.DUMMYFUNCTION("""COMPUTED_VALUE"""),46049)</f>
        <v>46049</v>
      </c>
      <c r="G89" s="57">
        <f ca="1">IFERROR(__xludf.DUMMYFUNCTION("""COMPUTED_VALUE"""),46010)</f>
        <v>46010</v>
      </c>
      <c r="H89" s="33" t="str">
        <f ca="1">IFERROR(__xludf.DUMMYFUNCTION("""COMPUTED_VALUE"""),"Murcia")</f>
        <v>Murcia</v>
      </c>
      <c r="I89" s="33" t="str">
        <f ca="1">IFERROR(__xludf.DUMMYFUNCTION("""COMPUTED_VALUE"""),"C202512191124560708")</f>
        <v>C202512191124560708</v>
      </c>
      <c r="J89" s="33" t="str">
        <f ca="1">IFERROR(__xludf.DUMMYFUNCTION("""COMPUTED_VALUE"""),"RAMON  ANDREU ANDREU")</f>
        <v>RAMON  ANDREU ANDREU</v>
      </c>
      <c r="K89" s="56">
        <f ca="1">IFERROR(__xludf.DUMMYFUNCTION("""COMPUTED_VALUE"""),2)</f>
        <v>2</v>
      </c>
      <c r="L89" s="62">
        <f ca="1">IFERROR(__xludf.DUMMYFUNCTION("""COMPUTED_VALUE"""),2718.18)</f>
        <v>2718.18</v>
      </c>
      <c r="M89" s="33" t="str">
        <f ca="1">IFERROR(__xludf.DUMMYFUNCTION("""COMPUTED_VALUE"""),"03 ORL")</f>
        <v>03 ORL</v>
      </c>
      <c r="N89" s="33" t="str">
        <f ca="1">IFERROR(__xludf.DUMMYFUNCTION("""COMPUTED_VALUE"""),"06 ORL")</f>
        <v>06 ORL</v>
      </c>
      <c r="O89" s="33" t="str">
        <f ca="1">IFERROR(__xludf.DUMMYFUNCTION("""COMPUTED_VALUE"""),"Dra, Alejandra Jara Maquilón")</f>
        <v>Dra, Alejandra Jara Maquilón</v>
      </c>
      <c r="P89" s="1" t="str">
        <f ca="1">IFERROR(__xludf.DUMMYFUNCTION("""COMPUTED_VALUE"""),"Iván Sánchez (Levante y Albacete)")</f>
        <v>Iván Sánchez (Levante y Albacete)</v>
      </c>
    </row>
    <row r="90" spans="2:16">
      <c r="B90" s="74">
        <f ca="1">IFERROR(__xludf.DUMMYFUNCTION("""COMPUTED_VALUE"""),2026)</f>
        <v>2026</v>
      </c>
      <c r="C90" s="56">
        <f ca="1">IFERROR(__xludf.DUMMYFUNCTION("""COMPUTED_VALUE"""),1)</f>
        <v>1</v>
      </c>
      <c r="D90" s="33" t="str">
        <f ca="1">IFERROR(__xludf.DUMMYFUNCTION("""COMPUTED_VALUE"""),"NO")</f>
        <v>NO</v>
      </c>
      <c r="E90" s="33" t="str">
        <f ca="1">IFERROR(__xludf.DUMMYFUNCTION("""COMPUTED_VALUE"""),"Barcelona- Córcega")</f>
        <v>Barcelona- Córcega</v>
      </c>
      <c r="F90" s="57">
        <f ca="1">IFERROR(__xludf.DUMMYFUNCTION("""COMPUTED_VALUE"""),46049)</f>
        <v>46049</v>
      </c>
      <c r="G90" s="57">
        <f ca="1">IFERROR(__xludf.DUMMYFUNCTION("""COMPUTED_VALUE"""),45975)</f>
        <v>45975</v>
      </c>
      <c r="H90" s="33" t="str">
        <f ca="1">IFERROR(__xludf.DUMMYFUNCTION("""COMPUTED_VALUE"""),"Córcega")</f>
        <v>Córcega</v>
      </c>
      <c r="I90" s="33" t="str">
        <f ca="1">IFERROR(__xludf.DUMMYFUNCTION("""COMPUTED_VALUE"""),"C202511141556043637")</f>
        <v>C202511141556043637</v>
      </c>
      <c r="J90" s="33" t="str">
        <f ca="1">IFERROR(__xludf.DUMMYFUNCTION("""COMPUTED_VALUE"""),"MANEL ALCAIDE VILLANUEVA")</f>
        <v>MANEL ALCAIDE VILLANUEVA</v>
      </c>
      <c r="K90" s="56">
        <f ca="1">IFERROR(__xludf.DUMMYFUNCTION("""COMPUTED_VALUE"""),2)</f>
        <v>2</v>
      </c>
      <c r="L90" s="62">
        <f ca="1">IFERROR(__xludf.DUMMYFUNCTION("""COMPUTED_VALUE"""),4536.37)</f>
        <v>4536.37</v>
      </c>
      <c r="M90" s="33" t="str">
        <f ca="1">IFERROR(__xludf.DUMMYFUNCTION("""COMPUTED_VALUE"""),"03 ORL")</f>
        <v>03 ORL</v>
      </c>
      <c r="N90" s="33" t="str">
        <f ca="1">IFERROR(__xludf.DUMMYFUNCTION("""COMPUTED_VALUE"""),"06 ORL")</f>
        <v>06 ORL</v>
      </c>
      <c r="O90" s="33" t="str">
        <f ca="1">IFERROR(__xludf.DUMMYFUNCTION("""COMPUTED_VALUE"""),"Dr, Enrique Romero Van Abeleen")</f>
        <v>Dr, Enrique Romero Van Abeleen</v>
      </c>
      <c r="P90" s="33" t="str">
        <f ca="1">IFERROR(__xludf.DUMMYFUNCTION("""COMPUTED_VALUE"""),"Mercè Cabrera (Cataluña y Baleares)")</f>
        <v>Mercè Cabrera (Cataluña y Baleares)</v>
      </c>
    </row>
    <row r="91" spans="2:16">
      <c r="B91" s="74">
        <f ca="1">IFERROR(__xludf.DUMMYFUNCTION("""COMPUTED_VALUE"""),2026)</f>
        <v>2026</v>
      </c>
      <c r="C91" s="56">
        <f ca="1">IFERROR(__xludf.DUMMYFUNCTION("""COMPUTED_VALUE"""),1)</f>
        <v>1</v>
      </c>
      <c r="D91" s="33" t="str">
        <f ca="1">IFERROR(__xludf.DUMMYFUNCTION("""COMPUTED_VALUE"""),"NO")</f>
        <v>NO</v>
      </c>
      <c r="E91" s="33" t="str">
        <f ca="1">IFERROR(__xludf.DUMMYFUNCTION("""COMPUTED_VALUE"""),"Madrid- La Oca")</f>
        <v>Madrid- La Oca</v>
      </c>
      <c r="F91" s="57">
        <f ca="1">IFERROR(__xludf.DUMMYFUNCTION("""COMPUTED_VALUE"""),46049)</f>
        <v>46049</v>
      </c>
      <c r="G91" s="57">
        <f ca="1">IFERROR(__xludf.DUMMYFUNCTION("""COMPUTED_VALUE"""),45964)</f>
        <v>45964</v>
      </c>
      <c r="H91" s="33" t="str">
        <f ca="1">IFERROR(__xludf.DUMMYFUNCTION("""COMPUTED_VALUE"""),"La Oca")</f>
        <v>La Oca</v>
      </c>
      <c r="I91" s="33" t="str">
        <f ca="1">IFERROR(__xludf.DUMMYFUNCTION("""COMPUTED_VALUE"""),"C202511315038757150")</f>
        <v>C202511315038757150</v>
      </c>
      <c r="J91" s="33" t="str">
        <f ca="1">IFERROR(__xludf.DUMMYFUNCTION("""COMPUTED_VALUE"""),"NIEVES  ORDAS FIDALGO")</f>
        <v>NIEVES  ORDAS FIDALGO</v>
      </c>
      <c r="K91" s="56">
        <f ca="1">IFERROR(__xludf.DUMMYFUNCTION("""COMPUTED_VALUE"""),2)</f>
        <v>2</v>
      </c>
      <c r="L91" s="62">
        <f ca="1">IFERROR(__xludf.DUMMYFUNCTION("""COMPUTED_VALUE"""),2718.18)</f>
        <v>2718.18</v>
      </c>
      <c r="M91" s="33" t="str">
        <f ca="1">IFERROR(__xludf.DUMMYFUNCTION("""COMPUTED_VALUE"""),"03 ORL")</f>
        <v>03 ORL</v>
      </c>
      <c r="N91" s="33" t="str">
        <f ca="1">IFERROR(__xludf.DUMMYFUNCTION("""COMPUTED_VALUE"""),"06 ORL")</f>
        <v>06 ORL</v>
      </c>
      <c r="O91" s="33" t="str">
        <f ca="1">IFERROR(__xludf.DUMMYFUNCTION("""COMPUTED_VALUE"""),"Dra, Laura Ruano De Pablo")</f>
        <v>Dra, Laura Ruano De Pablo</v>
      </c>
      <c r="P91" s="33" t="str">
        <f ca="1">IFERROR(__xludf.DUMMYFUNCTION("""COMPUTED_VALUE"""),"Maika Blázquez (Madrid)")</f>
        <v>Maika Blázquez (Madrid)</v>
      </c>
    </row>
    <row r="92" spans="2:16">
      <c r="B92" s="74">
        <f ca="1">IFERROR(__xludf.DUMMYFUNCTION("""COMPUTED_VALUE"""),2026)</f>
        <v>2026</v>
      </c>
      <c r="C92" s="56">
        <f ca="1">IFERROR(__xludf.DUMMYFUNCTION("""COMPUTED_VALUE"""),1)</f>
        <v>1</v>
      </c>
      <c r="D92" s="33" t="str">
        <f ca="1">IFERROR(__xludf.DUMMYFUNCTION("""COMPUTED_VALUE"""),"NO")</f>
        <v>NO</v>
      </c>
      <c r="E92" s="33" t="str">
        <f ca="1">IFERROR(__xludf.DUMMYFUNCTION("""COMPUTED_VALUE"""),"Madrid- Costa Rica")</f>
        <v>Madrid- Costa Rica</v>
      </c>
      <c r="F92" s="57">
        <f ca="1">IFERROR(__xludf.DUMMYFUNCTION("""COMPUTED_VALUE"""),46049)</f>
        <v>46049</v>
      </c>
      <c r="G92" s="57">
        <f ca="1">IFERROR(__xludf.DUMMYFUNCTION("""COMPUTED_VALUE"""),45996)</f>
        <v>45996</v>
      </c>
      <c r="H92" s="33" t="str">
        <f ca="1">IFERROR(__xludf.DUMMYFUNCTION("""COMPUTED_VALUE"""),"Costa Rica")</f>
        <v>Costa Rica</v>
      </c>
      <c r="I92" s="33" t="str">
        <f ca="1">IFERROR(__xludf.DUMMYFUNCTION("""COMPUTED_VALUE"""),"C202512512211094875")</f>
        <v>C202512512211094875</v>
      </c>
      <c r="J92" s="33" t="str">
        <f ca="1">IFERROR(__xludf.DUMMYFUNCTION("""COMPUTED_VALUE"""),"MICHELE CUNY")</f>
        <v>MICHELE CUNY</v>
      </c>
      <c r="K92" s="56">
        <f ca="1">IFERROR(__xludf.DUMMYFUNCTION("""COMPUTED_VALUE"""),2)</f>
        <v>2</v>
      </c>
      <c r="L92" s="62">
        <f ca="1">IFERROR(__xludf.DUMMYFUNCTION("""COMPUTED_VALUE"""),2718.18)</f>
        <v>2718.18</v>
      </c>
      <c r="M92" s="33" t="str">
        <f ca="1">IFERROR(__xludf.DUMMYFUNCTION("""COMPUTED_VALUE"""),"03 ORL")</f>
        <v>03 ORL</v>
      </c>
      <c r="N92" s="33" t="str">
        <f ca="1">IFERROR(__xludf.DUMMYFUNCTION("""COMPUTED_VALUE"""),"06 ORL")</f>
        <v>06 ORL</v>
      </c>
      <c r="O92" s="33" t="str">
        <f ca="1">IFERROR(__xludf.DUMMYFUNCTION("""COMPUTED_VALUE"""),"Dr, Antonio Bueno Ríos")</f>
        <v>Dr, Antonio Bueno Ríos</v>
      </c>
      <c r="P92" s="33" t="str">
        <f ca="1">IFERROR(__xludf.DUMMYFUNCTION("""COMPUTED_VALUE"""),"Lisandro Russian (Madrid, Cáceres, Toledo, Talavera y Logroño)")</f>
        <v>Lisandro Russian (Madrid, Cáceres, Toledo, Talavera y Logroño)</v>
      </c>
    </row>
    <row r="93" spans="2:16">
      <c r="B93" s="74">
        <f ca="1">IFERROR(__xludf.DUMMYFUNCTION("""COMPUTED_VALUE"""),2026)</f>
        <v>2026</v>
      </c>
      <c r="C93" s="56">
        <f ca="1">IFERROR(__xludf.DUMMYFUNCTION("""COMPUTED_VALUE"""),1)</f>
        <v>1</v>
      </c>
      <c r="D93" s="33" t="str">
        <f ca="1">IFERROR(__xludf.DUMMYFUNCTION("""COMPUTED_VALUE"""),"NO")</f>
        <v>NO</v>
      </c>
      <c r="E93" s="33" t="str">
        <f ca="1">IFERROR(__xludf.DUMMYFUNCTION("""COMPUTED_VALUE"""),"Ourense")</f>
        <v>Ourense</v>
      </c>
      <c r="F93" s="57">
        <f ca="1">IFERROR(__xludf.DUMMYFUNCTION("""COMPUTED_VALUE"""),46049)</f>
        <v>46049</v>
      </c>
      <c r="G93" s="57">
        <f ca="1">IFERROR(__xludf.DUMMYFUNCTION("""COMPUTED_VALUE"""),46002)</f>
        <v>46002</v>
      </c>
      <c r="H93" s="33" t="str">
        <f ca="1">IFERROR(__xludf.DUMMYFUNCTION("""COMPUTED_VALUE"""),"Orense")</f>
        <v>Orense</v>
      </c>
      <c r="I93" s="33" t="str">
        <f ca="1">IFERROR(__xludf.DUMMYFUNCTION("""COMPUTED_VALUE"""),"C202512111122089926")</f>
        <v>C202512111122089926</v>
      </c>
      <c r="J93" s="33" t="str">
        <f ca="1">IFERROR(__xludf.DUMMYFUNCTION("""COMPUTED_VALUE"""),"MARCELINO QUINTAS SUAREZ")</f>
        <v>MARCELINO QUINTAS SUAREZ</v>
      </c>
      <c r="K93" s="56">
        <f ca="1">IFERROR(__xludf.DUMMYFUNCTION("""COMPUTED_VALUE"""),1)</f>
        <v>1</v>
      </c>
      <c r="L93" s="62">
        <f ca="1">IFERROR(__xludf.DUMMYFUNCTION("""COMPUTED_VALUE"""),2180.91)</f>
        <v>2180.91</v>
      </c>
      <c r="M93" s="33" t="str">
        <f ca="1">IFERROR(__xludf.DUMMYFUNCTION("""COMPUTED_VALUE"""),"03 ORL")</f>
        <v>03 ORL</v>
      </c>
      <c r="N93" s="33" t="str">
        <f ca="1">IFERROR(__xludf.DUMMYFUNCTION("""COMPUTED_VALUE"""),"06 ORL")</f>
        <v>06 ORL</v>
      </c>
      <c r="O93" s="33" t="str">
        <f ca="1">IFERROR(__xludf.DUMMYFUNCTION("""COMPUTED_VALUE"""),"Dra, María Rey Marcos")</f>
        <v>Dra, María Rey Marcos</v>
      </c>
      <c r="P93" s="33" t="str">
        <f ca="1">IFERROR(__xludf.DUMMYFUNCTION("""COMPUTED_VALUE"""),"Alberto Moreno (Madrid)")</f>
        <v>Alberto Moreno (Madrid)</v>
      </c>
    </row>
    <row r="94" spans="2:16">
      <c r="B94" s="74">
        <f ca="1">IFERROR(__xludf.DUMMYFUNCTION("""COMPUTED_VALUE"""),2026)</f>
        <v>2026</v>
      </c>
      <c r="C94" s="56">
        <f ca="1">IFERROR(__xludf.DUMMYFUNCTION("""COMPUTED_VALUE"""),1)</f>
        <v>1</v>
      </c>
      <c r="D94" s="33" t="str">
        <f ca="1">IFERROR(__xludf.DUMMYFUNCTION("""COMPUTED_VALUE"""),"NO")</f>
        <v>NO</v>
      </c>
      <c r="E94" s="33" t="str">
        <f ca="1">IFERROR(__xludf.DUMMYFUNCTION("""COMPUTED_VALUE"""),"Murcia")</f>
        <v>Murcia</v>
      </c>
      <c r="F94" s="57">
        <f ca="1">IFERROR(__xludf.DUMMYFUNCTION("""COMPUTED_VALUE"""),46049)</f>
        <v>46049</v>
      </c>
      <c r="G94" s="57">
        <f ca="1">IFERROR(__xludf.DUMMYFUNCTION("""COMPUTED_VALUE"""),46027)</f>
        <v>46027</v>
      </c>
      <c r="H94" s="33" t="str">
        <f ca="1">IFERROR(__xludf.DUMMYFUNCTION("""COMPUTED_VALUE"""),"Murcia")</f>
        <v>Murcia</v>
      </c>
      <c r="I94" s="33" t="str">
        <f ca="1">IFERROR(__xludf.DUMMYFUNCTION("""COMPUTED_VALUE"""),"C202615105031143656")</f>
        <v>C202615105031143656</v>
      </c>
      <c r="J94" s="33" t="str">
        <f ca="1">IFERROR(__xludf.DUMMYFUNCTION("""COMPUTED_VALUE"""),"MARIA ANGELES HERNANDEZ VAZQUEZ")</f>
        <v>MARIA ANGELES HERNANDEZ VAZQUEZ</v>
      </c>
      <c r="K94" s="56">
        <f ca="1">IFERROR(__xludf.DUMMYFUNCTION("""COMPUTED_VALUE"""),2)</f>
        <v>2</v>
      </c>
      <c r="L94" s="62">
        <f ca="1">IFERROR(__xludf.DUMMYFUNCTION("""COMPUTED_VALUE"""),2718.18)</f>
        <v>2718.18</v>
      </c>
      <c r="M94" s="33" t="str">
        <f ca="1">IFERROR(__xludf.DUMMYFUNCTION("""COMPUTED_VALUE"""),"03 ORL")</f>
        <v>03 ORL</v>
      </c>
      <c r="N94" s="33" t="str">
        <f ca="1">IFERROR(__xludf.DUMMYFUNCTION("""COMPUTED_VALUE"""),"06 ORL")</f>
        <v>06 ORL</v>
      </c>
      <c r="O94" s="33" t="str">
        <f ca="1">IFERROR(__xludf.DUMMYFUNCTION("""COMPUTED_VALUE"""),"Dra, Beatriz Rodríguez González Herrero")</f>
        <v>Dra, Beatriz Rodríguez González Herrero</v>
      </c>
      <c r="P94" s="33" t="str">
        <f ca="1">IFERROR(__xludf.DUMMYFUNCTION("""COMPUTED_VALUE"""),"Iván Sánchez (Levante y Albacete)")</f>
        <v>Iván Sánchez (Levante y Albacete)</v>
      </c>
    </row>
    <row r="95" spans="2:16">
      <c r="B95" s="74">
        <f ca="1">IFERROR(__xludf.DUMMYFUNCTION("""COMPUTED_VALUE"""),2026)</f>
        <v>2026</v>
      </c>
      <c r="C95" s="56">
        <f ca="1">IFERROR(__xludf.DUMMYFUNCTION("""COMPUTED_VALUE"""),1)</f>
        <v>1</v>
      </c>
      <c r="D95" s="33" t="str">
        <f ca="1">IFERROR(__xludf.DUMMYFUNCTION("""COMPUTED_VALUE"""),"NO")</f>
        <v>NO</v>
      </c>
      <c r="E95" s="33" t="str">
        <f ca="1">IFERROR(__xludf.DUMMYFUNCTION("""COMPUTED_VALUE"""),"Jerez de la Frontera")</f>
        <v>Jerez de la Frontera</v>
      </c>
      <c r="F95" s="57">
        <f ca="1">IFERROR(__xludf.DUMMYFUNCTION("""COMPUTED_VALUE"""),46050)</f>
        <v>46050</v>
      </c>
      <c r="G95" s="57">
        <f ca="1">IFERROR(__xludf.DUMMYFUNCTION("""COMPUTED_VALUE"""),46029)</f>
        <v>46029</v>
      </c>
      <c r="H95" s="33" t="str">
        <f ca="1">IFERROR(__xludf.DUMMYFUNCTION("""COMPUTED_VALUE"""),"Jerez")</f>
        <v>Jerez</v>
      </c>
      <c r="I95" s="33" t="str">
        <f ca="1">IFERROR(__xludf.DUMMYFUNCTION("""COMPUTED_VALUE"""),"C202617145953074840")</f>
        <v>C202617145953074840</v>
      </c>
      <c r="J95" s="33" t="str">
        <f ca="1">IFERROR(__xludf.DUMMYFUNCTION("""COMPUTED_VALUE"""),"herminia CORDERO RODRIGUEZ")</f>
        <v>herminia CORDERO RODRIGUEZ</v>
      </c>
      <c r="K95" s="56">
        <f ca="1">IFERROR(__xludf.DUMMYFUNCTION("""COMPUTED_VALUE"""),2)</f>
        <v>2</v>
      </c>
      <c r="L95" s="62">
        <f ca="1">IFERROR(__xludf.DUMMYFUNCTION("""COMPUTED_VALUE"""),2718.18)</f>
        <v>2718.18</v>
      </c>
      <c r="M95" s="33" t="str">
        <f ca="1">IFERROR(__xludf.DUMMYFUNCTION("""COMPUTED_VALUE"""),"03 ORL")</f>
        <v>03 ORL</v>
      </c>
      <c r="N95" s="33" t="str">
        <f ca="1">IFERROR(__xludf.DUMMYFUNCTION("""COMPUTED_VALUE"""),"06 ORL")</f>
        <v>06 ORL</v>
      </c>
      <c r="O95" s="33" t="str">
        <f ca="1">IFERROR(__xludf.DUMMYFUNCTION("""COMPUTED_VALUE"""),"Dra, Maria Del Carmen Salom Coveñas")</f>
        <v>Dra, Maria Del Carmen Salom Coveñas</v>
      </c>
      <c r="P95" s="33" t="str">
        <f ca="1">IFERROR(__xludf.DUMMYFUNCTION("""COMPUTED_VALUE"""),"Luis Alberto Rodríguez (Andalucía y Badajoz)")</f>
        <v>Luis Alberto Rodríguez (Andalucía y Badajoz)</v>
      </c>
    </row>
    <row r="96" spans="2:16">
      <c r="B96" s="74">
        <f ca="1">IFERROR(__xludf.DUMMYFUNCTION("""COMPUTED_VALUE"""),2026)</f>
        <v>2026</v>
      </c>
      <c r="C96" s="56">
        <f ca="1">IFERROR(__xludf.DUMMYFUNCTION("""COMPUTED_VALUE"""),1)</f>
        <v>1</v>
      </c>
      <c r="D96" s="33" t="str">
        <f ca="1">IFERROR(__xludf.DUMMYFUNCTION("""COMPUTED_VALUE"""),"NO")</f>
        <v>NO</v>
      </c>
      <c r="E96" s="33" t="str">
        <f ca="1">IFERROR(__xludf.DUMMYFUNCTION("""COMPUTED_VALUE"""),"Jerez de la Frontera")</f>
        <v>Jerez de la Frontera</v>
      </c>
      <c r="F96" s="57">
        <f ca="1">IFERROR(__xludf.DUMMYFUNCTION("""COMPUTED_VALUE"""),46050)</f>
        <v>46050</v>
      </c>
      <c r="G96" s="57">
        <f ca="1">IFERROR(__xludf.DUMMYFUNCTION("""COMPUTED_VALUE"""),46017)</f>
        <v>46017</v>
      </c>
      <c r="H96" s="33" t="str">
        <f ca="1">IFERROR(__xludf.DUMMYFUNCTION("""COMPUTED_VALUE"""),"Jerez")</f>
        <v>Jerez</v>
      </c>
      <c r="I96" s="33" t="str">
        <f ca="1">IFERROR(__xludf.DUMMYFUNCTION("""COMPUTED_VALUE"""),"C202512261052210691")</f>
        <v>C202512261052210691</v>
      </c>
      <c r="J96" s="33" t="str">
        <f ca="1">IFERROR(__xludf.DUMMYFUNCTION("""COMPUTED_VALUE"""),"JOSE LUIS MESA RAMIREZ")</f>
        <v>JOSE LUIS MESA RAMIREZ</v>
      </c>
      <c r="K96" s="56">
        <f ca="1">IFERROR(__xludf.DUMMYFUNCTION("""COMPUTED_VALUE"""),2)</f>
        <v>2</v>
      </c>
      <c r="L96" s="62">
        <f ca="1">IFERROR(__xludf.DUMMYFUNCTION("""COMPUTED_VALUE"""),4536.36)</f>
        <v>4536.3599999999997</v>
      </c>
      <c r="M96" s="33" t="str">
        <f ca="1">IFERROR(__xludf.DUMMYFUNCTION("""COMPUTED_VALUE"""),"03 ORL")</f>
        <v>03 ORL</v>
      </c>
      <c r="N96" s="33" t="str">
        <f ca="1">IFERROR(__xludf.DUMMYFUNCTION("""COMPUTED_VALUE"""),"06 ORL")</f>
        <v>06 ORL</v>
      </c>
      <c r="O96" s="33" t="str">
        <f ca="1">IFERROR(__xludf.DUMMYFUNCTION("""COMPUTED_VALUE"""),"Dr, Javier García Domínguez")</f>
        <v>Dr, Javier García Domínguez</v>
      </c>
      <c r="P96" s="33" t="str">
        <f ca="1">IFERROR(__xludf.DUMMYFUNCTION("""COMPUTED_VALUE"""),"Maika Blázquez (Madrid)")</f>
        <v>Maika Blázquez (Madrid)</v>
      </c>
    </row>
    <row r="97" spans="2:16">
      <c r="B97" s="74">
        <f ca="1">IFERROR(__xludf.DUMMYFUNCTION("""COMPUTED_VALUE"""),2026)</f>
        <v>2026</v>
      </c>
      <c r="C97" s="56">
        <f ca="1">IFERROR(__xludf.DUMMYFUNCTION("""COMPUTED_VALUE"""),1)</f>
        <v>1</v>
      </c>
      <c r="D97" s="33" t="str">
        <f ca="1">IFERROR(__xludf.DUMMYFUNCTION("""COMPUTED_VALUE"""),"NO")</f>
        <v>NO</v>
      </c>
      <c r="E97" s="33" t="str">
        <f ca="1">IFERROR(__xludf.DUMMYFUNCTION("""COMPUTED_VALUE"""),"Toledo")</f>
        <v>Toledo</v>
      </c>
      <c r="F97" s="57">
        <f ca="1">IFERROR(__xludf.DUMMYFUNCTION("""COMPUTED_VALUE"""),46050)</f>
        <v>46050</v>
      </c>
      <c r="G97" s="57">
        <f ca="1">IFERROR(__xludf.DUMMYFUNCTION("""COMPUTED_VALUE"""),45965)</f>
        <v>45965</v>
      </c>
      <c r="H97" s="33" t="str">
        <f ca="1">IFERROR(__xludf.DUMMYFUNCTION("""COMPUTED_VALUE"""),"Toledo")</f>
        <v>Toledo</v>
      </c>
      <c r="I97" s="33" t="str">
        <f ca="1">IFERROR(__xludf.DUMMYFUNCTION("""COMPUTED_VALUE"""),"C202511411503852607")</f>
        <v>C202511411503852607</v>
      </c>
      <c r="J97" s="33" t="str">
        <f ca="1">IFERROR(__xludf.DUMMYFUNCTION("""COMPUTED_VALUE"""),"Pilar Rojas Sánchez")</f>
        <v>Pilar Rojas Sánchez</v>
      </c>
      <c r="K97" s="56">
        <f ca="1">IFERROR(__xludf.DUMMYFUNCTION("""COMPUTED_VALUE"""),2)</f>
        <v>2</v>
      </c>
      <c r="L97" s="62">
        <f ca="1">IFERROR(__xludf.DUMMYFUNCTION("""COMPUTED_VALUE"""),3424.32)</f>
        <v>3424.32</v>
      </c>
      <c r="M97" s="33" t="str">
        <f ca="1">IFERROR(__xludf.DUMMYFUNCTION("""COMPUTED_VALUE"""),"03 ORL")</f>
        <v>03 ORL</v>
      </c>
      <c r="N97" s="33" t="str">
        <f ca="1">IFERROR(__xludf.DUMMYFUNCTION("""COMPUTED_VALUE"""),"06 ORL")</f>
        <v>06 ORL</v>
      </c>
      <c r="O97" s="33" t="str">
        <f ca="1">IFERROR(__xludf.DUMMYFUNCTION("""COMPUTED_VALUE"""),"Dra, Mónica Rueda Vega")</f>
        <v>Dra, Mónica Rueda Vega</v>
      </c>
      <c r="P97" s="33" t="str">
        <f ca="1">IFERROR(__xludf.DUMMYFUNCTION("""COMPUTED_VALUE"""),"Lisandro Russian (Madrid, Cáceres, Toledo, Talavera y Logroño)")</f>
        <v>Lisandro Russian (Madrid, Cáceres, Toledo, Talavera y Logroño)</v>
      </c>
    </row>
    <row r="98" spans="2:16">
      <c r="B98" s="74">
        <f ca="1">IFERROR(__xludf.DUMMYFUNCTION("""COMPUTED_VALUE"""),2026)</f>
        <v>2026</v>
      </c>
      <c r="C98" s="56">
        <f ca="1">IFERROR(__xludf.DUMMYFUNCTION("""COMPUTED_VALUE"""),1)</f>
        <v>1</v>
      </c>
      <c r="D98" s="33" t="str">
        <f ca="1">IFERROR(__xludf.DUMMYFUNCTION("""COMPUTED_VALUE"""),"NO")</f>
        <v>NO</v>
      </c>
      <c r="E98" s="33" t="str">
        <f ca="1">IFERROR(__xludf.DUMMYFUNCTION("""COMPUTED_VALUE"""),"Almería")</f>
        <v>Almería</v>
      </c>
      <c r="F98" s="57">
        <f ca="1">IFERROR(__xludf.DUMMYFUNCTION("""COMPUTED_VALUE"""),46050)</f>
        <v>46050</v>
      </c>
      <c r="G98" s="57">
        <f ca="1">IFERROR(__xludf.DUMMYFUNCTION("""COMPUTED_VALUE"""),46001)</f>
        <v>46001</v>
      </c>
      <c r="H98" s="33" t="str">
        <f ca="1">IFERROR(__xludf.DUMMYFUNCTION("""COMPUTED_VALUE"""),"Almería")</f>
        <v>Almería</v>
      </c>
      <c r="I98" s="33" t="str">
        <f ca="1">IFERROR(__xludf.DUMMYFUNCTION("""COMPUTED_VALUE"""),"C202512101036657690")</f>
        <v>C202512101036657690</v>
      </c>
      <c r="J98" s="33" t="str">
        <f ca="1">IFERROR(__xludf.DUMMYFUNCTION("""COMPUTED_VALUE"""),"EMILIA MARTINEZ MARTINEZ")</f>
        <v>EMILIA MARTINEZ MARTINEZ</v>
      </c>
      <c r="K98" s="56">
        <f ca="1">IFERROR(__xludf.DUMMYFUNCTION("""COMPUTED_VALUE"""),2)</f>
        <v>2</v>
      </c>
      <c r="L98" s="62">
        <f ca="1">IFERROR(__xludf.DUMMYFUNCTION("""COMPUTED_VALUE"""),4136.36)</f>
        <v>4136.3599999999997</v>
      </c>
      <c r="M98" s="33" t="str">
        <f ca="1">IFERROR(__xludf.DUMMYFUNCTION("""COMPUTED_VALUE"""),"03 ORL")</f>
        <v>03 ORL</v>
      </c>
      <c r="N98" s="33" t="str">
        <f ca="1">IFERROR(__xludf.DUMMYFUNCTION("""COMPUTED_VALUE"""),"06 ORL")</f>
        <v>06 ORL</v>
      </c>
      <c r="O98" s="33" t="str">
        <f ca="1">IFERROR(__xludf.DUMMYFUNCTION("""COMPUTED_VALUE"""),"Dr, Antonio José Fernández Pérez")</f>
        <v>Dr, Antonio José Fernández Pérez</v>
      </c>
      <c r="P98" s="33" t="str">
        <f ca="1">IFERROR(__xludf.DUMMYFUNCTION("""COMPUTED_VALUE"""),"Ramon Ferrando(Valencia)")</f>
        <v>Ramon Ferrando(Valencia)</v>
      </c>
    </row>
    <row r="99" spans="2:16">
      <c r="B99" s="74">
        <f ca="1">IFERROR(__xludf.DUMMYFUNCTION("""COMPUTED_VALUE"""),2026)</f>
        <v>2026</v>
      </c>
      <c r="C99" s="56">
        <f ca="1">IFERROR(__xludf.DUMMYFUNCTION("""COMPUTED_VALUE"""),1)</f>
        <v>1</v>
      </c>
      <c r="D99" s="33" t="str">
        <f ca="1">IFERROR(__xludf.DUMMYFUNCTION("""COMPUTED_VALUE"""),"NO")</f>
        <v>NO</v>
      </c>
      <c r="E99" s="33" t="str">
        <f ca="1">IFERROR(__xludf.DUMMYFUNCTION("""COMPUTED_VALUE"""),"Leganés")</f>
        <v>Leganés</v>
      </c>
      <c r="F99" s="57">
        <f ca="1">IFERROR(__xludf.DUMMYFUNCTION("""COMPUTED_VALUE"""),46050)</f>
        <v>46050</v>
      </c>
      <c r="G99" s="57">
        <f ca="1">IFERROR(__xludf.DUMMYFUNCTION("""COMPUTED_VALUE"""),46001)</f>
        <v>46001</v>
      </c>
      <c r="H99" s="33" t="str">
        <f ca="1">IFERROR(__xludf.DUMMYFUNCTION("""COMPUTED_VALUE"""),"Leganés")</f>
        <v>Leganés</v>
      </c>
      <c r="I99" s="33" t="str">
        <f ca="1">IFERROR(__xludf.DUMMYFUNCTION("""COMPUTED_VALUE"""),"C202512101653481730")</f>
        <v>C202512101653481730</v>
      </c>
      <c r="J99" s="33" t="str">
        <f ca="1">IFERROR(__xludf.DUMMYFUNCTION("""COMPUTED_VALUE"""),"ALMUDENA ARROGANTE AHIJADO")</f>
        <v>ALMUDENA ARROGANTE AHIJADO</v>
      </c>
      <c r="K99" s="56">
        <f ca="1">IFERROR(__xludf.DUMMYFUNCTION("""COMPUTED_VALUE"""),1)</f>
        <v>1</v>
      </c>
      <c r="L99" s="62">
        <f ca="1">IFERROR(__xludf.DUMMYFUNCTION("""COMPUTED_VALUE"""),2071.82)</f>
        <v>2071.8200000000002</v>
      </c>
      <c r="M99" s="33" t="str">
        <f ca="1">IFERROR(__xludf.DUMMYFUNCTION("""COMPUTED_VALUE"""),"03 ORL")</f>
        <v>03 ORL</v>
      </c>
      <c r="N99" s="33" t="str">
        <f ca="1">IFERROR(__xludf.DUMMYFUNCTION("""COMPUTED_VALUE"""),"06 ORL")</f>
        <v>06 ORL</v>
      </c>
      <c r="O99" s="33" t="str">
        <f ca="1">IFERROR(__xludf.DUMMYFUNCTION("""COMPUTED_VALUE"""),"Dra, Desirée Méndez Brenderbache")</f>
        <v>Dra, Desirée Méndez Brenderbache</v>
      </c>
      <c r="P99" s="33" t="str">
        <f ca="1">IFERROR(__xludf.DUMMYFUNCTION("""COMPUTED_VALUE"""),"Maika Blázquez (Madrid)")</f>
        <v>Maika Blázquez (Madrid)</v>
      </c>
    </row>
    <row r="100" spans="2:16">
      <c r="B100" s="74">
        <f ca="1">IFERROR(__xludf.DUMMYFUNCTION("""COMPUTED_VALUE"""),2026)</f>
        <v>2026</v>
      </c>
      <c r="C100" s="56">
        <f ca="1">IFERROR(__xludf.DUMMYFUNCTION("""COMPUTED_VALUE"""),1)</f>
        <v>1</v>
      </c>
      <c r="D100" s="33" t="str">
        <f ca="1">IFERROR(__xludf.DUMMYFUNCTION("""COMPUTED_VALUE"""),"NO")</f>
        <v>NO</v>
      </c>
      <c r="E100" s="33" t="str">
        <f ca="1">IFERROR(__xludf.DUMMYFUNCTION("""COMPUTED_VALUE"""),"Getafe")</f>
        <v>Getafe</v>
      </c>
      <c r="F100" s="57">
        <f ca="1">IFERROR(__xludf.DUMMYFUNCTION("""COMPUTED_VALUE"""),46050)</f>
        <v>46050</v>
      </c>
      <c r="G100" s="57">
        <f ca="1">IFERROR(__xludf.DUMMYFUNCTION("""COMPUTED_VALUE"""),45757)</f>
        <v>45757</v>
      </c>
      <c r="H100" s="33" t="str">
        <f ca="1">IFERROR(__xludf.DUMMYFUNCTION("""COMPUTED_VALUE"""),"Getafe")</f>
        <v>Getafe</v>
      </c>
      <c r="I100" s="33" t="str">
        <f ca="1">IFERROR(__xludf.DUMMYFUNCTION("""COMPUTED_VALUE"""),"C2025410161942769")</f>
        <v>C2025410161942769</v>
      </c>
      <c r="J100" s="33" t="str">
        <f ca="1">IFERROR(__xludf.DUMMYFUNCTION("""COMPUTED_VALUE"""),"ISABEL YAÑEZ YAÑEZ")</f>
        <v>ISABEL YAÑEZ YAÑEZ</v>
      </c>
      <c r="K100" s="56">
        <f ca="1">IFERROR(__xludf.DUMMYFUNCTION("""COMPUTED_VALUE"""),2)</f>
        <v>2</v>
      </c>
      <c r="L100" s="62">
        <f ca="1">IFERROR(__xludf.DUMMYFUNCTION("""COMPUTED_VALUE"""),3631.82)</f>
        <v>3631.82</v>
      </c>
      <c r="M100" s="33" t="str">
        <f ca="1">IFERROR(__xludf.DUMMYFUNCTION("""COMPUTED_VALUE"""),"03 ORL")</f>
        <v>03 ORL</v>
      </c>
      <c r="N100" s="33" t="str">
        <f ca="1">IFERROR(__xludf.DUMMYFUNCTION("""COMPUTED_VALUE"""),"06 ORL")</f>
        <v>06 ORL</v>
      </c>
      <c r="O100" s="33" t="str">
        <f ca="1">IFERROR(__xludf.DUMMYFUNCTION("""COMPUTED_VALUE"""),"Dra, Marta Colmenero Ruiz")</f>
        <v>Dra, Marta Colmenero Ruiz</v>
      </c>
      <c r="P100" s="33" t="str">
        <f ca="1">IFERROR(__xludf.DUMMYFUNCTION("""COMPUTED_VALUE"""),"Maika Blázquez (Madrid)")</f>
        <v>Maika Blázquez (Madrid)</v>
      </c>
    </row>
    <row r="101" spans="2:16">
      <c r="B101" s="74">
        <f ca="1">IFERROR(__xludf.DUMMYFUNCTION("""COMPUTED_VALUE"""),2026)</f>
        <v>2026</v>
      </c>
      <c r="C101" s="56">
        <f ca="1">IFERROR(__xludf.DUMMYFUNCTION("""COMPUTED_VALUE"""),1)</f>
        <v>1</v>
      </c>
      <c r="D101" s="33" t="str">
        <f ca="1">IFERROR(__xludf.DUMMYFUNCTION("""COMPUTED_VALUE"""),"NO")</f>
        <v>NO</v>
      </c>
      <c r="E101" s="33" t="str">
        <f ca="1">IFERROR(__xludf.DUMMYFUNCTION("""COMPUTED_VALUE"""),"Madrid- La Oca")</f>
        <v>Madrid- La Oca</v>
      </c>
      <c r="F101" s="57">
        <f ca="1">IFERROR(__xludf.DUMMYFUNCTION("""COMPUTED_VALUE"""),46050)</f>
        <v>46050</v>
      </c>
      <c r="G101" s="57">
        <f ca="1">IFERROR(__xludf.DUMMYFUNCTION("""COMPUTED_VALUE"""),45986)</f>
        <v>45986</v>
      </c>
      <c r="H101" s="33" t="str">
        <f ca="1">IFERROR(__xludf.DUMMYFUNCTION("""COMPUTED_VALUE"""),"La Oca")</f>
        <v>La Oca</v>
      </c>
      <c r="I101" s="33" t="str">
        <f ca="1">IFERROR(__xludf.DUMMYFUNCTION("""COMPUTED_VALUE"""),"C202511251257139691")</f>
        <v>C202511251257139691</v>
      </c>
      <c r="J101" s="33" t="str">
        <f ca="1">IFERROR(__xludf.DUMMYFUNCTION("""COMPUTED_VALUE"""),"ROSA MARIA BELINCHON PARIS")</f>
        <v>ROSA MARIA BELINCHON PARIS</v>
      </c>
      <c r="K101" s="56">
        <f ca="1">IFERROR(__xludf.DUMMYFUNCTION("""COMPUTED_VALUE"""),2)</f>
        <v>2</v>
      </c>
      <c r="L101" s="62">
        <f ca="1">IFERROR(__xludf.DUMMYFUNCTION("""COMPUTED_VALUE"""),3631.82)</f>
        <v>3631.82</v>
      </c>
      <c r="M101" s="33" t="str">
        <f ca="1">IFERROR(__xludf.DUMMYFUNCTION("""COMPUTED_VALUE"""),"03 ORL")</f>
        <v>03 ORL</v>
      </c>
      <c r="N101" s="33" t="str">
        <f ca="1">IFERROR(__xludf.DUMMYFUNCTION("""COMPUTED_VALUE"""),"06 ORL")</f>
        <v>06 ORL</v>
      </c>
      <c r="O101" s="33" t="str">
        <f ca="1">IFERROR(__xludf.DUMMYFUNCTION("""COMPUTED_VALUE"""),"Dr, Félix Rodríguez Paz")</f>
        <v>Dr, Félix Rodríguez Paz</v>
      </c>
      <c r="P101" s="33" t="str">
        <f ca="1">IFERROR(__xludf.DUMMYFUNCTION("""COMPUTED_VALUE"""),"Maika Blázquez (Madrid)")</f>
        <v>Maika Blázquez (Madrid)</v>
      </c>
    </row>
    <row r="102" spans="2:16">
      <c r="B102" s="74">
        <f ca="1">IFERROR(__xludf.DUMMYFUNCTION("""COMPUTED_VALUE"""),2026)</f>
        <v>2026</v>
      </c>
      <c r="C102" s="56">
        <f ca="1">IFERROR(__xludf.DUMMYFUNCTION("""COMPUTED_VALUE"""),1)</f>
        <v>1</v>
      </c>
      <c r="D102" s="33" t="str">
        <f ca="1">IFERROR(__xludf.DUMMYFUNCTION("""COMPUTED_VALUE"""),"NO")</f>
        <v>NO</v>
      </c>
      <c r="E102" s="33" t="str">
        <f ca="1">IFERROR(__xludf.DUMMYFUNCTION("""COMPUTED_VALUE"""),"Getafe")</f>
        <v>Getafe</v>
      </c>
      <c r="F102" s="57">
        <f ca="1">IFERROR(__xludf.DUMMYFUNCTION("""COMPUTED_VALUE"""),46050)</f>
        <v>46050</v>
      </c>
      <c r="G102" s="57">
        <f ca="1">IFERROR(__xludf.DUMMYFUNCTION("""COMPUTED_VALUE"""),46008)</f>
        <v>46008</v>
      </c>
      <c r="H102" s="33" t="str">
        <f ca="1">IFERROR(__xludf.DUMMYFUNCTION("""COMPUTED_VALUE"""),"Getafe")</f>
        <v>Getafe</v>
      </c>
      <c r="I102" s="33" t="str">
        <f ca="1">IFERROR(__xludf.DUMMYFUNCTION("""COMPUTED_VALUE"""),"C202512171551118835")</f>
        <v>C202512171551118835</v>
      </c>
      <c r="J102" s="33" t="str">
        <f ca="1">IFERROR(__xludf.DUMMYFUNCTION("""COMPUTED_VALUE"""),"MARIA GEMA MARTIN JIMENEZ")</f>
        <v>MARIA GEMA MARTIN JIMENEZ</v>
      </c>
      <c r="K102" s="56">
        <f ca="1">IFERROR(__xludf.DUMMYFUNCTION("""COMPUTED_VALUE"""),2)</f>
        <v>2</v>
      </c>
      <c r="L102" s="62">
        <f ca="1">IFERROR(__xludf.DUMMYFUNCTION("""COMPUTED_VALUE"""),4136.36)</f>
        <v>4136.3599999999997</v>
      </c>
      <c r="M102" s="33" t="str">
        <f ca="1">IFERROR(__xludf.DUMMYFUNCTION("""COMPUTED_VALUE"""),"03 ORL")</f>
        <v>03 ORL</v>
      </c>
      <c r="N102" s="33" t="str">
        <f ca="1">IFERROR(__xludf.DUMMYFUNCTION("""COMPUTED_VALUE"""),"06 ORL")</f>
        <v>06 ORL</v>
      </c>
      <c r="O102" s="33" t="str">
        <f ca="1">IFERROR(__xludf.DUMMYFUNCTION("""COMPUTED_VALUE"""),"Dr. Jonathan Esteban Sánchez")</f>
        <v>Dr. Jonathan Esteban Sánchez</v>
      </c>
      <c r="P102" s="33" t="str">
        <f ca="1">IFERROR(__xludf.DUMMYFUNCTION("""COMPUTED_VALUE"""),"Maika Blázquez (Madrid)")</f>
        <v>Maika Blázquez (Madrid)</v>
      </c>
    </row>
    <row r="103" spans="2:16">
      <c r="B103" s="74">
        <f ca="1">IFERROR(__xludf.DUMMYFUNCTION("""COMPUTED_VALUE"""),2026)</f>
        <v>2026</v>
      </c>
      <c r="C103" s="56">
        <f ca="1">IFERROR(__xludf.DUMMYFUNCTION("""COMPUTED_VALUE"""),1)</f>
        <v>1</v>
      </c>
      <c r="D103" s="33" t="str">
        <f ca="1">IFERROR(__xludf.DUMMYFUNCTION("""COMPUTED_VALUE"""),"NO")</f>
        <v>NO</v>
      </c>
      <c r="E103" s="33" t="str">
        <f ca="1">IFERROR(__xludf.DUMMYFUNCTION("""COMPUTED_VALUE"""),"Sevilla- Ciencias")</f>
        <v>Sevilla- Ciencias</v>
      </c>
      <c r="F103" s="57">
        <f ca="1">IFERROR(__xludf.DUMMYFUNCTION("""COMPUTED_VALUE"""),46050)</f>
        <v>46050</v>
      </c>
      <c r="G103" s="57">
        <f ca="1">IFERROR(__xludf.DUMMYFUNCTION("""COMPUTED_VALUE"""),46006)</f>
        <v>46006</v>
      </c>
      <c r="H103" s="33" t="str">
        <f ca="1">IFERROR(__xludf.DUMMYFUNCTION("""COMPUTED_VALUE"""),"Sevilla Este")</f>
        <v>Sevilla Este</v>
      </c>
      <c r="I103" s="33" t="str">
        <f ca="1">IFERROR(__xludf.DUMMYFUNCTION("""COMPUTED_VALUE"""),"C202512151727496906")</f>
        <v>C202512151727496906</v>
      </c>
      <c r="J103" s="33" t="str">
        <f ca="1">IFERROR(__xludf.DUMMYFUNCTION("""COMPUTED_VALUE"""),"JESICA DE LOS SANTOS MARTINEZ")</f>
        <v>JESICA DE LOS SANTOS MARTINEZ</v>
      </c>
      <c r="K103" s="56">
        <f ca="1">IFERROR(__xludf.DUMMYFUNCTION("""COMPUTED_VALUE"""),2)</f>
        <v>2</v>
      </c>
      <c r="L103" s="62">
        <f ca="1">IFERROR(__xludf.DUMMYFUNCTION("""COMPUTED_VALUE"""),3730)</f>
        <v>3730</v>
      </c>
      <c r="M103" s="33" t="str">
        <f ca="1">IFERROR(__xludf.DUMMYFUNCTION("""COMPUTED_VALUE"""),"03 ORL")</f>
        <v>03 ORL</v>
      </c>
      <c r="N103" s="33" t="str">
        <f ca="1">IFERROR(__xludf.DUMMYFUNCTION("""COMPUTED_VALUE"""),"06 ORL")</f>
        <v>06 ORL</v>
      </c>
      <c r="O103" s="33" t="str">
        <f ca="1">IFERROR(__xludf.DUMMYFUNCTION("""COMPUTED_VALUE"""),"No recuerda ORL")</f>
        <v>No recuerda ORL</v>
      </c>
      <c r="P103" s="33" t="str">
        <f ca="1">IFERROR(__xludf.DUMMYFUNCTION("""COMPUTED_VALUE"""),"Luis Alberto Rodríguez (Andalucía y Badajoz)")</f>
        <v>Luis Alberto Rodríguez (Andalucía y Badajoz)</v>
      </c>
    </row>
    <row r="104" spans="2:16">
      <c r="B104" s="74">
        <f ca="1">IFERROR(__xludf.DUMMYFUNCTION("""COMPUTED_VALUE"""),2026)</f>
        <v>2026</v>
      </c>
      <c r="C104" s="56">
        <f ca="1">IFERROR(__xludf.DUMMYFUNCTION("""COMPUTED_VALUE"""),1)</f>
        <v>1</v>
      </c>
      <c r="D104" s="33" t="str">
        <f ca="1">IFERROR(__xludf.DUMMYFUNCTION("""COMPUTED_VALUE"""),"NO")</f>
        <v>NO</v>
      </c>
      <c r="E104" s="33" t="str">
        <f ca="1">IFERROR(__xludf.DUMMYFUNCTION("""COMPUTED_VALUE"""),"Leganés")</f>
        <v>Leganés</v>
      </c>
      <c r="F104" s="57">
        <f ca="1">IFERROR(__xludf.DUMMYFUNCTION("""COMPUTED_VALUE"""),46050)</f>
        <v>46050</v>
      </c>
      <c r="G104" s="57">
        <f ca="1">IFERROR(__xludf.DUMMYFUNCTION("""COMPUTED_VALUE"""),46006)</f>
        <v>46006</v>
      </c>
      <c r="H104" s="33" t="str">
        <f ca="1">IFERROR(__xludf.DUMMYFUNCTION("""COMPUTED_VALUE"""),"Leganés")</f>
        <v>Leganés</v>
      </c>
      <c r="I104" s="33" t="str">
        <f ca="1">IFERROR(__xludf.DUMMYFUNCTION("""COMPUTED_VALUE"""),"C202512151018164852")</f>
        <v>C202512151018164852</v>
      </c>
      <c r="J104" s="33" t="str">
        <f ca="1">IFERROR(__xludf.DUMMYFUNCTION("""COMPUTED_VALUE"""),"LAURA JARA GONZALEZ")</f>
        <v>LAURA JARA GONZALEZ</v>
      </c>
      <c r="K104" s="56">
        <f ca="1">IFERROR(__xludf.DUMMYFUNCTION("""COMPUTED_VALUE"""),2)</f>
        <v>2</v>
      </c>
      <c r="L104" s="62">
        <f ca="1">IFERROR(__xludf.DUMMYFUNCTION("""COMPUTED_VALUE"""),3631.82)</f>
        <v>3631.82</v>
      </c>
      <c r="M104" s="33" t="str">
        <f ca="1">IFERROR(__xludf.DUMMYFUNCTION("""COMPUTED_VALUE"""),"03 ORL")</f>
        <v>03 ORL</v>
      </c>
      <c r="N104" s="33" t="str">
        <f ca="1">IFERROR(__xludf.DUMMYFUNCTION("""COMPUTED_VALUE"""),"06 ORL")</f>
        <v>06 ORL</v>
      </c>
      <c r="O104" s="33" t="str">
        <f ca="1">IFERROR(__xludf.DUMMYFUNCTION("""COMPUTED_VALUE"""),"Dra, Nuria Arnaiz Canora")</f>
        <v>Dra, Nuria Arnaiz Canora</v>
      </c>
      <c r="P104" s="33" t="str">
        <f ca="1">IFERROR(__xludf.DUMMYFUNCTION("""COMPUTED_VALUE"""),"Maika Blázquez (Madrid)")</f>
        <v>Maika Blázquez (Madrid)</v>
      </c>
    </row>
    <row r="105" spans="2:16">
      <c r="B105" s="74">
        <f ca="1">IFERROR(__xludf.DUMMYFUNCTION("""COMPUTED_VALUE"""),2026)</f>
        <v>2026</v>
      </c>
      <c r="C105" s="56">
        <f ca="1">IFERROR(__xludf.DUMMYFUNCTION("""COMPUTED_VALUE"""),1)</f>
        <v>1</v>
      </c>
      <c r="D105" s="33" t="str">
        <f ca="1">IFERROR(__xludf.DUMMYFUNCTION("""COMPUTED_VALUE"""),"NO")</f>
        <v>NO</v>
      </c>
      <c r="E105" s="33" t="str">
        <f ca="1">IFERROR(__xludf.DUMMYFUNCTION("""COMPUTED_VALUE"""),"Torrejón de Ardoz")</f>
        <v>Torrejón de Ardoz</v>
      </c>
      <c r="F105" s="57">
        <f ca="1">IFERROR(__xludf.DUMMYFUNCTION("""COMPUTED_VALUE"""),46051)</f>
        <v>46051</v>
      </c>
      <c r="G105" s="57">
        <f ca="1">IFERROR(__xludf.DUMMYFUNCTION("""COMPUTED_VALUE"""),45980)</f>
        <v>45980</v>
      </c>
      <c r="H105" s="33" t="str">
        <f ca="1">IFERROR(__xludf.DUMMYFUNCTION("""COMPUTED_VALUE"""),"Torrejón")</f>
        <v>Torrejón</v>
      </c>
      <c r="I105" s="33" t="str">
        <f ca="1">IFERROR(__xludf.DUMMYFUNCTION("""COMPUTED_VALUE"""),"C202511191019522290")</f>
        <v>C202511191019522290</v>
      </c>
      <c r="J105" s="33" t="str">
        <f ca="1">IFERROR(__xludf.DUMMYFUNCTION("""COMPUTED_VALUE"""),"FELICIDAD MORENA GONZALEZ")</f>
        <v>FELICIDAD MORENA GONZALEZ</v>
      </c>
      <c r="K105" s="56">
        <f ca="1">IFERROR(__xludf.DUMMYFUNCTION("""COMPUTED_VALUE"""),2)</f>
        <v>2</v>
      </c>
      <c r="L105" s="62">
        <f ca="1">IFERROR(__xludf.DUMMYFUNCTION("""COMPUTED_VALUE"""),2718.18)</f>
        <v>2718.18</v>
      </c>
      <c r="M105" s="33" t="str">
        <f ca="1">IFERROR(__xludf.DUMMYFUNCTION("""COMPUTED_VALUE"""),"03 ORL")</f>
        <v>03 ORL</v>
      </c>
      <c r="N105" s="33" t="str">
        <f ca="1">IFERROR(__xludf.DUMMYFUNCTION("""COMPUTED_VALUE"""),"06 ORL")</f>
        <v>06 ORL</v>
      </c>
      <c r="O105" s="33" t="str">
        <f ca="1">IFERROR(__xludf.DUMMYFUNCTION("""COMPUTED_VALUE"""),"Dra, Marta Abad Pascual")</f>
        <v>Dra, Marta Abad Pascual</v>
      </c>
      <c r="P105" s="33" t="str">
        <f ca="1">IFERROR(__xludf.DUMMYFUNCTION("""COMPUTED_VALUE"""),"Maika Blázquez (Madrid)")</f>
        <v>Maika Blázquez (Madrid)</v>
      </c>
    </row>
    <row r="106" spans="2:16">
      <c r="B106" s="74">
        <f ca="1">IFERROR(__xludf.DUMMYFUNCTION("""COMPUTED_VALUE"""),2026)</f>
        <v>2026</v>
      </c>
      <c r="C106" s="56">
        <f ca="1">IFERROR(__xludf.DUMMYFUNCTION("""COMPUTED_VALUE"""),1)</f>
        <v>1</v>
      </c>
      <c r="D106" s="33" t="str">
        <f ca="1">IFERROR(__xludf.DUMMYFUNCTION("""COMPUTED_VALUE"""),"NO")</f>
        <v>NO</v>
      </c>
      <c r="E106" s="33" t="str">
        <f ca="1">IFERROR(__xludf.DUMMYFUNCTION("""COMPUTED_VALUE"""),"Alicante")</f>
        <v>Alicante</v>
      </c>
      <c r="F106" s="57">
        <f ca="1">IFERROR(__xludf.DUMMYFUNCTION("""COMPUTED_VALUE"""),46051)</f>
        <v>46051</v>
      </c>
      <c r="G106" s="57">
        <f ca="1">IFERROR(__xludf.DUMMYFUNCTION("""COMPUTED_VALUE"""),46024)</f>
        <v>46024</v>
      </c>
      <c r="H106" s="33" t="str">
        <f ca="1">IFERROR(__xludf.DUMMYFUNCTION("""COMPUTED_VALUE"""),"Alicante")</f>
        <v>Alicante</v>
      </c>
      <c r="I106" s="33" t="str">
        <f ca="1">IFERROR(__xludf.DUMMYFUNCTION("""COMPUTED_VALUE"""),"C202612113440763265")</f>
        <v>C202612113440763265</v>
      </c>
      <c r="J106" s="33" t="str">
        <f ca="1">IFERROR(__xludf.DUMMYFUNCTION("""COMPUTED_VALUE"""),"MAGDALENA MENDIETA ESTUDILLO")</f>
        <v>MAGDALENA MENDIETA ESTUDILLO</v>
      </c>
      <c r="K106" s="56">
        <f ca="1">IFERROR(__xludf.DUMMYFUNCTION("""COMPUTED_VALUE"""),2)</f>
        <v>2</v>
      </c>
      <c r="L106" s="62">
        <f ca="1">IFERROR(__xludf.DUMMYFUNCTION("""COMPUTED_VALUE"""),2582.27)</f>
        <v>2582.27</v>
      </c>
      <c r="M106" s="33" t="str">
        <f ca="1">IFERROR(__xludf.DUMMYFUNCTION("""COMPUTED_VALUE"""),"03 ORL")</f>
        <v>03 ORL</v>
      </c>
      <c r="N106" s="33" t="str">
        <f ca="1">IFERROR(__xludf.DUMMYFUNCTION("""COMPUTED_VALUE"""),"06 ORL")</f>
        <v>06 ORL</v>
      </c>
      <c r="O106" s="33" t="str">
        <f ca="1">IFERROR(__xludf.DUMMYFUNCTION("""COMPUTED_VALUE"""),"Dra, Cristina Muñoz Pinto")</f>
        <v>Dra, Cristina Muñoz Pinto</v>
      </c>
      <c r="P106" s="33" t="str">
        <f ca="1">IFERROR(__xludf.DUMMYFUNCTION("""COMPUTED_VALUE"""),"Iván Sánchez (Levante y Albacete)")</f>
        <v>Iván Sánchez (Levante y Albacete)</v>
      </c>
    </row>
    <row r="107" spans="2:16">
      <c r="B107" s="74">
        <f ca="1">IFERROR(__xludf.DUMMYFUNCTION("""COMPUTED_VALUE"""),2026)</f>
        <v>2026</v>
      </c>
      <c r="C107" s="56">
        <f ca="1">IFERROR(__xludf.DUMMYFUNCTION("""COMPUTED_VALUE"""),1)</f>
        <v>1</v>
      </c>
      <c r="D107" s="33" t="str">
        <f ca="1">IFERROR(__xludf.DUMMYFUNCTION("""COMPUTED_VALUE"""),"NO")</f>
        <v>NO</v>
      </c>
      <c r="E107" s="33" t="str">
        <f ca="1">IFERROR(__xludf.DUMMYFUNCTION("""COMPUTED_VALUE"""),"Alcorcón")</f>
        <v>Alcorcón</v>
      </c>
      <c r="F107" s="57">
        <f ca="1">IFERROR(__xludf.DUMMYFUNCTION("""COMPUTED_VALUE"""),46051)</f>
        <v>46051</v>
      </c>
      <c r="G107" s="57">
        <f ca="1">IFERROR(__xludf.DUMMYFUNCTION("""COMPUTED_VALUE"""),46013)</f>
        <v>46013</v>
      </c>
      <c r="H107" s="33" t="str">
        <f ca="1">IFERROR(__xludf.DUMMYFUNCTION("""COMPUTED_VALUE"""),"Alcorcón")</f>
        <v>Alcorcón</v>
      </c>
      <c r="I107" s="33" t="str">
        <f ca="1">IFERROR(__xludf.DUMMYFUNCTION("""COMPUTED_VALUE"""),"C202512221022206009")</f>
        <v>C202512221022206009</v>
      </c>
      <c r="J107" s="33" t="str">
        <f ca="1">IFERROR(__xludf.DUMMYFUNCTION("""COMPUTED_VALUE"""),"PATRICIA ESTEVEZ")</f>
        <v>PATRICIA ESTEVEZ</v>
      </c>
      <c r="K107" s="56">
        <f ca="1">IFERROR(__xludf.DUMMYFUNCTION("""COMPUTED_VALUE"""),2)</f>
        <v>2</v>
      </c>
      <c r="L107" s="62">
        <f ca="1">IFERROR(__xludf.DUMMYFUNCTION("""COMPUTED_VALUE"""),2582.27)</f>
        <v>2582.27</v>
      </c>
      <c r="M107" s="33" t="str">
        <f ca="1">IFERROR(__xludf.DUMMYFUNCTION("""COMPUTED_VALUE"""),"03 ORL")</f>
        <v>03 ORL</v>
      </c>
      <c r="N107" s="33" t="str">
        <f ca="1">IFERROR(__xludf.DUMMYFUNCTION("""COMPUTED_VALUE"""),"06 ORL")</f>
        <v>06 ORL</v>
      </c>
      <c r="O107" s="33" t="str">
        <f ca="1">IFERROR(__xludf.DUMMYFUNCTION("""COMPUTED_VALUE"""),"Dr, Adolfo Toledano Muñoz")</f>
        <v>Dr, Adolfo Toledano Muñoz</v>
      </c>
      <c r="P107" s="1" t="str">
        <f ca="1">IFERROR(__xludf.DUMMYFUNCTION("""COMPUTED_VALUE"""),"Maika Blázquez (Madrid)")</f>
        <v>Maika Blázquez (Madrid)</v>
      </c>
    </row>
    <row r="108" spans="2:16">
      <c r="B108" s="74">
        <f ca="1">IFERROR(__xludf.DUMMYFUNCTION("""COMPUTED_VALUE"""),2026)</f>
        <v>2026</v>
      </c>
      <c r="C108" s="56">
        <f ca="1">IFERROR(__xludf.DUMMYFUNCTION("""COMPUTED_VALUE"""),1)</f>
        <v>1</v>
      </c>
      <c r="D108" s="33" t="str">
        <f ca="1">IFERROR(__xludf.DUMMYFUNCTION("""COMPUTED_VALUE"""),"NO")</f>
        <v>NO</v>
      </c>
      <c r="E108" s="33" t="str">
        <f ca="1">IFERROR(__xludf.DUMMYFUNCTION("""COMPUTED_VALUE"""),"Ourense")</f>
        <v>Ourense</v>
      </c>
      <c r="F108" s="57">
        <f ca="1">IFERROR(__xludf.DUMMYFUNCTION("""COMPUTED_VALUE"""),46051)</f>
        <v>46051</v>
      </c>
      <c r="G108" s="57">
        <f ca="1">IFERROR(__xludf.DUMMYFUNCTION("""COMPUTED_VALUE"""),46000)</f>
        <v>46000</v>
      </c>
      <c r="H108" s="33" t="str">
        <f ca="1">IFERROR(__xludf.DUMMYFUNCTION("""COMPUTED_VALUE"""),"Orense")</f>
        <v>Orense</v>
      </c>
      <c r="I108" s="33" t="str">
        <f ca="1">IFERROR(__xludf.DUMMYFUNCTION("""COMPUTED_VALUE"""),"C202512910445271491")</f>
        <v>C202512910445271491</v>
      </c>
      <c r="J108" s="33" t="str">
        <f ca="1">IFERROR(__xludf.DUMMYFUNCTION("""COMPUTED_VALUE"""),"VICENTE RODRIGUEZ BLANCO")</f>
        <v>VICENTE RODRIGUEZ BLANCO</v>
      </c>
      <c r="K108" s="56">
        <f ca="1">IFERROR(__xludf.DUMMYFUNCTION("""COMPUTED_VALUE"""),1)</f>
        <v>1</v>
      </c>
      <c r="L108" s="62">
        <f ca="1">IFERROR(__xludf.DUMMYFUNCTION("""COMPUTED_VALUE"""),2180.91)</f>
        <v>2180.91</v>
      </c>
      <c r="M108" s="33" t="str">
        <f ca="1">IFERROR(__xludf.DUMMYFUNCTION("""COMPUTED_VALUE"""),"03 ORL")</f>
        <v>03 ORL</v>
      </c>
      <c r="N108" s="33" t="str">
        <f ca="1">IFERROR(__xludf.DUMMYFUNCTION("""COMPUTED_VALUE"""),"06 ORL")</f>
        <v>06 ORL</v>
      </c>
      <c r="O108" s="33" t="str">
        <f ca="1">IFERROR(__xludf.DUMMYFUNCTION("""COMPUTED_VALUE"""),"Dra, María Rey Marcos")</f>
        <v>Dra, María Rey Marcos</v>
      </c>
      <c r="P108" s="33" t="str">
        <f ca="1">IFERROR(__xludf.DUMMYFUNCTION("""COMPUTED_VALUE"""),"Alberto Moreno (Madrid)")</f>
        <v>Alberto Moreno (Madrid)</v>
      </c>
    </row>
    <row r="109" spans="2:16">
      <c r="B109" s="74">
        <f ca="1">IFERROR(__xludf.DUMMYFUNCTION("""COMPUTED_VALUE"""),2026)</f>
        <v>2026</v>
      </c>
      <c r="C109" s="56">
        <f ca="1">IFERROR(__xludf.DUMMYFUNCTION("""COMPUTED_VALUE"""),1)</f>
        <v>1</v>
      </c>
      <c r="D109" s="33" t="str">
        <f ca="1">IFERROR(__xludf.DUMMYFUNCTION("""COMPUTED_VALUE"""),"NO")</f>
        <v>NO</v>
      </c>
      <c r="E109" s="33" t="str">
        <f ca="1">IFERROR(__xludf.DUMMYFUNCTION("""COMPUTED_VALUE"""),"El Albir (Benidorm)")</f>
        <v>El Albir (Benidorm)</v>
      </c>
      <c r="F109" s="57">
        <f ca="1">IFERROR(__xludf.DUMMYFUNCTION("""COMPUTED_VALUE"""),46051)</f>
        <v>46051</v>
      </c>
      <c r="G109" s="57">
        <f ca="1">IFERROR(__xludf.DUMMYFUNCTION("""COMPUTED_VALUE"""),46007)</f>
        <v>46007</v>
      </c>
      <c r="H109" s="33" t="str">
        <f ca="1">IFERROR(__xludf.DUMMYFUNCTION("""COMPUTED_VALUE"""),"El Albir (Benidorm)")</f>
        <v>El Albir (Benidorm)</v>
      </c>
      <c r="I109" s="33" t="str">
        <f ca="1">IFERROR(__xludf.DUMMYFUNCTION("""COMPUTED_VALUE"""),"C202512161325384872")</f>
        <v>C202512161325384872</v>
      </c>
      <c r="J109" s="33" t="str">
        <f ca="1">IFERROR(__xludf.DUMMYFUNCTION("""COMPUTED_VALUE"""),"FERNANDO MARTINEZ  LUQUE")</f>
        <v>FERNANDO MARTINEZ  LUQUE</v>
      </c>
      <c r="K109" s="56">
        <f ca="1">IFERROR(__xludf.DUMMYFUNCTION("""COMPUTED_VALUE"""),2)</f>
        <v>2</v>
      </c>
      <c r="L109" s="62">
        <f ca="1">IFERROR(__xludf.DUMMYFUNCTION("""COMPUTED_VALUE"""),3313.64)</f>
        <v>3313.64</v>
      </c>
      <c r="M109" s="33" t="str">
        <f ca="1">IFERROR(__xludf.DUMMYFUNCTION("""COMPUTED_VALUE"""),"03 ORL")</f>
        <v>03 ORL</v>
      </c>
      <c r="N109" s="33" t="str">
        <f ca="1">IFERROR(__xludf.DUMMYFUNCTION("""COMPUTED_VALUE"""),"06 ORL")</f>
        <v>06 ORL</v>
      </c>
      <c r="O109" s="33" t="str">
        <f ca="1">IFERROR(__xludf.DUMMYFUNCTION("""COMPUTED_VALUE"""),"Dra, María Emilia García Ruiz")</f>
        <v>Dra, María Emilia García Ruiz</v>
      </c>
      <c r="P109" s="33" t="str">
        <f ca="1">IFERROR(__xludf.DUMMYFUNCTION("""COMPUTED_VALUE"""),"Ramon Ferrando(Valencia)")</f>
        <v>Ramon Ferrando(Valencia)</v>
      </c>
    </row>
    <row r="110" spans="2:16">
      <c r="B110" s="74">
        <f ca="1">IFERROR(__xludf.DUMMYFUNCTION("""COMPUTED_VALUE"""),2026)</f>
        <v>2026</v>
      </c>
      <c r="C110" s="56">
        <f ca="1">IFERROR(__xludf.DUMMYFUNCTION("""COMPUTED_VALUE"""),1)</f>
        <v>1</v>
      </c>
      <c r="D110" s="33" t="str">
        <f ca="1">IFERROR(__xludf.DUMMYFUNCTION("""COMPUTED_VALUE"""),"NO")</f>
        <v>NO</v>
      </c>
      <c r="E110" s="33" t="str">
        <f ca="1">IFERROR(__xludf.DUMMYFUNCTION("""COMPUTED_VALUE"""),"Logroño")</f>
        <v>Logroño</v>
      </c>
      <c r="F110" s="57">
        <f ca="1">IFERROR(__xludf.DUMMYFUNCTION("""COMPUTED_VALUE"""),46051)</f>
        <v>46051</v>
      </c>
      <c r="G110" s="57">
        <f ca="1">IFERROR(__xludf.DUMMYFUNCTION("""COMPUTED_VALUE"""),45989)</f>
        <v>45989</v>
      </c>
      <c r="H110" s="33" t="str">
        <f ca="1">IFERROR(__xludf.DUMMYFUNCTION("""COMPUTED_VALUE"""),"Logroño")</f>
        <v>Logroño</v>
      </c>
      <c r="I110" s="33" t="str">
        <f ca="1">IFERROR(__xludf.DUMMYFUNCTION("""COMPUTED_VALUE"""),"C202511289525253331")</f>
        <v>C202511289525253331</v>
      </c>
      <c r="J110" s="33" t="str">
        <f ca="1">IFERROR(__xludf.DUMMYFUNCTION("""COMPUTED_VALUE"""),"ESTRELLA BURGOS IBAÑEZ")</f>
        <v>ESTRELLA BURGOS IBAÑEZ</v>
      </c>
      <c r="K110" s="56">
        <f ca="1">IFERROR(__xludf.DUMMYFUNCTION("""COMPUTED_VALUE"""),2)</f>
        <v>2</v>
      </c>
      <c r="L110" s="62">
        <f ca="1">IFERROR(__xludf.DUMMYFUNCTION("""COMPUTED_VALUE"""),3450.23)</f>
        <v>3450.23</v>
      </c>
      <c r="M110" s="33" t="str">
        <f ca="1">IFERROR(__xludf.DUMMYFUNCTION("""COMPUTED_VALUE"""),"03 ORL")</f>
        <v>03 ORL</v>
      </c>
      <c r="N110" s="33" t="str">
        <f ca="1">IFERROR(__xludf.DUMMYFUNCTION("""COMPUTED_VALUE"""),"06 ORL")</f>
        <v>06 ORL</v>
      </c>
      <c r="O110" s="33" t="str">
        <f ca="1">IFERROR(__xludf.DUMMYFUNCTION("""COMPUTED_VALUE"""),"Dra, Cristina Ibañez Muñoz")</f>
        <v>Dra, Cristina Ibañez Muñoz</v>
      </c>
      <c r="P110" s="33" t="str">
        <f ca="1">IFERROR(__xludf.DUMMYFUNCTION("""COMPUTED_VALUE"""),"Lisandro Russian (Madrid, Cáceres, Toledo, Talavera y Logroño)")</f>
        <v>Lisandro Russian (Madrid, Cáceres, Toledo, Talavera y Logroño)</v>
      </c>
    </row>
    <row r="111" spans="2:16">
      <c r="B111" s="74">
        <f ca="1">IFERROR(__xludf.DUMMYFUNCTION("""COMPUTED_VALUE"""),2026)</f>
        <v>2026</v>
      </c>
      <c r="C111" s="56">
        <f ca="1">IFERROR(__xludf.DUMMYFUNCTION("""COMPUTED_VALUE"""),1)</f>
        <v>1</v>
      </c>
      <c r="D111" s="33" t="str">
        <f ca="1">IFERROR(__xludf.DUMMYFUNCTION("""COMPUTED_VALUE"""),"NO")</f>
        <v>NO</v>
      </c>
      <c r="E111" s="33" t="str">
        <f ca="1">IFERROR(__xludf.DUMMYFUNCTION("""COMPUTED_VALUE"""),"Ponferrada")</f>
        <v>Ponferrada</v>
      </c>
      <c r="F111" s="57">
        <f ca="1">IFERROR(__xludf.DUMMYFUNCTION("""COMPUTED_VALUE"""),46051)</f>
        <v>46051</v>
      </c>
      <c r="G111" s="57">
        <f ca="1">IFERROR(__xludf.DUMMYFUNCTION("""COMPUTED_VALUE"""),45714)</f>
        <v>45714</v>
      </c>
      <c r="H111" s="33" t="str">
        <f ca="1">IFERROR(__xludf.DUMMYFUNCTION("""COMPUTED_VALUE"""),"Ponferrada")</f>
        <v>Ponferrada</v>
      </c>
      <c r="I111" s="33" t="str">
        <f ca="1">IFERROR(__xludf.DUMMYFUNCTION("""COMPUTED_VALUE"""),"PON-886")</f>
        <v>PON-886</v>
      </c>
      <c r="J111" s="33" t="str">
        <f ca="1">IFERROR(__xludf.DUMMYFUNCTION("""COMPUTED_VALUE"""),"JOSE PUERTO MARQUES")</f>
        <v>JOSE PUERTO MARQUES</v>
      </c>
      <c r="K111" s="56">
        <f ca="1">IFERROR(__xludf.DUMMYFUNCTION("""COMPUTED_VALUE"""),2)</f>
        <v>2</v>
      </c>
      <c r="L111" s="62">
        <f ca="1">IFERROR(__xludf.DUMMYFUNCTION("""COMPUTED_VALUE"""),3545.45)</f>
        <v>3545.45</v>
      </c>
      <c r="M111" s="33" t="str">
        <f ca="1">IFERROR(__xludf.DUMMYFUNCTION("""COMPUTED_VALUE"""),"03 ORL")</f>
        <v>03 ORL</v>
      </c>
      <c r="N111" s="33" t="str">
        <f ca="1">IFERROR(__xludf.DUMMYFUNCTION("""COMPUTED_VALUE"""),"06 ORL")</f>
        <v>06 ORL</v>
      </c>
      <c r="O111" s="33" t="str">
        <f ca="1">IFERROR(__xludf.DUMMYFUNCTION("""COMPUTED_VALUE"""),"No recuerda ORL")</f>
        <v>No recuerda ORL</v>
      </c>
      <c r="P111" s="33" t="str">
        <f ca="1">IFERROR(__xludf.DUMMYFUNCTION("""COMPUTED_VALUE"""),"Alberto Moreno (Madrid)")</f>
        <v>Alberto Moreno (Madrid)</v>
      </c>
    </row>
    <row r="112" spans="2:16">
      <c r="B112" s="74">
        <f ca="1">IFERROR(__xludf.DUMMYFUNCTION("""COMPUTED_VALUE"""),2026)</f>
        <v>2026</v>
      </c>
      <c r="C112" s="56">
        <f ca="1">IFERROR(__xludf.DUMMYFUNCTION("""COMPUTED_VALUE"""),1)</f>
        <v>1</v>
      </c>
      <c r="D112" s="33" t="str">
        <f ca="1">IFERROR(__xludf.DUMMYFUNCTION("""COMPUTED_VALUE"""),"NO")</f>
        <v>NO</v>
      </c>
      <c r="E112" s="33" t="str">
        <f ca="1">IFERROR(__xludf.DUMMYFUNCTION("""COMPUTED_VALUE"""),"Logroño")</f>
        <v>Logroño</v>
      </c>
      <c r="F112" s="57">
        <f ca="1">IFERROR(__xludf.DUMMYFUNCTION("""COMPUTED_VALUE"""),46052)</f>
        <v>46052</v>
      </c>
      <c r="G112" s="57">
        <f ca="1">IFERROR(__xludf.DUMMYFUNCTION("""COMPUTED_VALUE"""),46037)</f>
        <v>46037</v>
      </c>
      <c r="H112" s="33" t="str">
        <f ca="1">IFERROR(__xludf.DUMMYFUNCTION("""COMPUTED_VALUE"""),"Logroño")</f>
        <v>Logroño</v>
      </c>
      <c r="I112" s="33" t="str">
        <f ca="1">IFERROR(__xludf.DUMMYFUNCTION("""COMPUTED_VALUE"""),"C202611511544719")</f>
        <v>C202611511544719</v>
      </c>
      <c r="J112" s="33" t="str">
        <f ca="1">IFERROR(__xludf.DUMMYFUNCTION("""COMPUTED_VALUE"""),"EMILIA DEL CARMEN IGLESIAS FERNANDEZ")</f>
        <v>EMILIA DEL CARMEN IGLESIAS FERNANDEZ</v>
      </c>
      <c r="K112" s="56">
        <f ca="1">IFERROR(__xludf.DUMMYFUNCTION("""COMPUTED_VALUE"""),2)</f>
        <v>2</v>
      </c>
      <c r="L112" s="62">
        <f ca="1">IFERROR(__xludf.DUMMYFUNCTION("""COMPUTED_VALUE"""),3631.82)</f>
        <v>3631.82</v>
      </c>
      <c r="M112" s="33" t="str">
        <f ca="1">IFERROR(__xludf.DUMMYFUNCTION("""COMPUTED_VALUE"""),"03 ORL")</f>
        <v>03 ORL</v>
      </c>
      <c r="N112" s="33" t="str">
        <f ca="1">IFERROR(__xludf.DUMMYFUNCTION("""COMPUTED_VALUE"""),"06 ORL")</f>
        <v>06 ORL</v>
      </c>
      <c r="O112" s="33" t="str">
        <f ca="1">IFERROR(__xludf.DUMMYFUNCTION("""COMPUTED_VALUE"""),"Dr, Fernando Salazar Barcelona")</f>
        <v>Dr, Fernando Salazar Barcelona</v>
      </c>
      <c r="P112" s="33" t="str">
        <f ca="1">IFERROR(__xludf.DUMMYFUNCTION("""COMPUTED_VALUE"""),"Lisandro Russian (Madrid, Cáceres, Toledo, Talavera y Logroño)")</f>
        <v>Lisandro Russian (Madrid, Cáceres, Toledo, Talavera y Logroño)</v>
      </c>
    </row>
    <row r="113" spans="2:16">
      <c r="B113" s="74">
        <f ca="1">IFERROR(__xludf.DUMMYFUNCTION("""COMPUTED_VALUE"""),2026)</f>
        <v>2026</v>
      </c>
      <c r="C113" s="56">
        <f ca="1">IFERROR(__xludf.DUMMYFUNCTION("""COMPUTED_VALUE"""),1)</f>
        <v>1</v>
      </c>
      <c r="D113" s="33" t="str">
        <f ca="1">IFERROR(__xludf.DUMMYFUNCTION("""COMPUTED_VALUE"""),"NO")</f>
        <v>NO</v>
      </c>
      <c r="E113" s="33" t="str">
        <f ca="1">IFERROR(__xludf.DUMMYFUNCTION("""COMPUTED_VALUE"""),"Logroño")</f>
        <v>Logroño</v>
      </c>
      <c r="F113" s="57">
        <f ca="1">IFERROR(__xludf.DUMMYFUNCTION("""COMPUTED_VALUE"""),46052)</f>
        <v>46052</v>
      </c>
      <c r="G113" s="57">
        <f ca="1">IFERROR(__xludf.DUMMYFUNCTION("""COMPUTED_VALUE"""),45889)</f>
        <v>45889</v>
      </c>
      <c r="H113" s="33" t="str">
        <f ca="1">IFERROR(__xludf.DUMMYFUNCTION("""COMPUTED_VALUE"""),"Logroño")</f>
        <v>Logroño</v>
      </c>
      <c r="I113" s="33" t="str">
        <f ca="1">IFERROR(__xludf.DUMMYFUNCTION("""COMPUTED_VALUE"""),"C2025916183327966")</f>
        <v>C2025916183327966</v>
      </c>
      <c r="J113" s="33" t="str">
        <f ca="1">IFERROR(__xludf.DUMMYFUNCTION("""COMPUTED_VALUE"""),"JULIAN MARTINEZ ALMENDARIZ")</f>
        <v>JULIAN MARTINEZ ALMENDARIZ</v>
      </c>
      <c r="K113" s="56">
        <f ca="1">IFERROR(__xludf.DUMMYFUNCTION("""COMPUTED_VALUE"""),2)</f>
        <v>2</v>
      </c>
      <c r="L113" s="62">
        <f ca="1">IFERROR(__xludf.DUMMYFUNCTION("""COMPUTED_VALUE"""),3631.82)</f>
        <v>3631.82</v>
      </c>
      <c r="M113" s="33" t="str">
        <f ca="1">IFERROR(__xludf.DUMMYFUNCTION("""COMPUTED_VALUE"""),"03 ORL")</f>
        <v>03 ORL</v>
      </c>
      <c r="N113" s="33" t="str">
        <f ca="1">IFERROR(__xludf.DUMMYFUNCTION("""COMPUTED_VALUE"""),"06 ORL")</f>
        <v>06 ORL</v>
      </c>
      <c r="O113" s="33" t="str">
        <f ca="1">IFERROR(__xludf.DUMMYFUNCTION("""COMPUTED_VALUE"""),"Dr, Daniel Briones Crespo")</f>
        <v>Dr, Daniel Briones Crespo</v>
      </c>
      <c r="P113" s="33" t="str">
        <f ca="1">IFERROR(__xludf.DUMMYFUNCTION("""COMPUTED_VALUE"""),"Lisandro Russian (Madrid, Cáceres, Toledo, Talavera y Logroño)")</f>
        <v>Lisandro Russian (Madrid, Cáceres, Toledo, Talavera y Logroño)</v>
      </c>
    </row>
    <row r="114" spans="2:16">
      <c r="B114" s="74">
        <f ca="1">IFERROR(__xludf.DUMMYFUNCTION("""COMPUTED_VALUE"""),2026)</f>
        <v>2026</v>
      </c>
      <c r="C114" s="56">
        <f ca="1">IFERROR(__xludf.DUMMYFUNCTION("""COMPUTED_VALUE"""),1)</f>
        <v>1</v>
      </c>
      <c r="D114" s="33" t="str">
        <f ca="1">IFERROR(__xludf.DUMMYFUNCTION("""COMPUTED_VALUE"""),"NO")</f>
        <v>NO</v>
      </c>
      <c r="E114" s="33" t="str">
        <f ca="1">IFERROR(__xludf.DUMMYFUNCTION("""COMPUTED_VALUE"""),"Getafe")</f>
        <v>Getafe</v>
      </c>
      <c r="F114" s="57">
        <f ca="1">IFERROR(__xludf.DUMMYFUNCTION("""COMPUTED_VALUE"""),46052)</f>
        <v>46052</v>
      </c>
      <c r="G114" s="57">
        <f ca="1">IFERROR(__xludf.DUMMYFUNCTION("""COMPUTED_VALUE"""),45908)</f>
        <v>45908</v>
      </c>
      <c r="H114" s="33" t="str">
        <f ca="1">IFERROR(__xludf.DUMMYFUNCTION("""COMPUTED_VALUE"""),"Getafe")</f>
        <v>Getafe</v>
      </c>
      <c r="I114" s="33" t="str">
        <f ca="1">IFERROR(__xludf.DUMMYFUNCTION("""COMPUTED_VALUE"""),"C2025915112151818")</f>
        <v>C2025915112151818</v>
      </c>
      <c r="J114" s="33" t="str">
        <f ca="1">IFERROR(__xludf.DUMMYFUNCTION("""COMPUTED_VALUE"""),"PILAR GIMENEZ HERNANDEZ")</f>
        <v>PILAR GIMENEZ HERNANDEZ</v>
      </c>
      <c r="K114" s="56">
        <f ca="1">IFERROR(__xludf.DUMMYFUNCTION("""COMPUTED_VALUE"""),1)</f>
        <v>1</v>
      </c>
      <c r="L114" s="62">
        <f ca="1">IFERROR(__xludf.DUMMYFUNCTION("""COMPUTED_VALUE"""),1631.82)</f>
        <v>1631.82</v>
      </c>
      <c r="M114" s="33" t="str">
        <f ca="1">IFERROR(__xludf.DUMMYFUNCTION("""COMPUTED_VALUE"""),"03 ORL")</f>
        <v>03 ORL</v>
      </c>
      <c r="N114" s="33" t="str">
        <f ca="1">IFERROR(__xludf.DUMMYFUNCTION("""COMPUTED_VALUE"""),"06 ORL")</f>
        <v>06 ORL</v>
      </c>
      <c r="O114" s="33" t="str">
        <f ca="1">IFERROR(__xludf.DUMMYFUNCTION("""COMPUTED_VALUE"""),"Dr, Antonio Rodríguez Rivero")</f>
        <v>Dr, Antonio Rodríguez Rivero</v>
      </c>
      <c r="P114" s="33" t="str">
        <f ca="1">IFERROR(__xludf.DUMMYFUNCTION("""COMPUTED_VALUE"""),"Maika Blázquez (Madrid)")</f>
        <v>Maika Blázquez (Madrid)</v>
      </c>
    </row>
    <row r="115" spans="2:16">
      <c r="B115" s="74">
        <f ca="1">IFERROR(__xludf.DUMMYFUNCTION("""COMPUTED_VALUE"""),2026)</f>
        <v>2026</v>
      </c>
      <c r="C115" s="56">
        <f ca="1">IFERROR(__xludf.DUMMYFUNCTION("""COMPUTED_VALUE"""),1)</f>
        <v>1</v>
      </c>
      <c r="D115" s="33" t="str">
        <f ca="1">IFERROR(__xludf.DUMMYFUNCTION("""COMPUTED_VALUE"""),"NO")</f>
        <v>NO</v>
      </c>
      <c r="E115" s="33" t="str">
        <f ca="1">IFERROR(__xludf.DUMMYFUNCTION("""COMPUTED_VALUE"""),"Valladolid")</f>
        <v>Valladolid</v>
      </c>
      <c r="F115" s="57">
        <f ca="1">IFERROR(__xludf.DUMMYFUNCTION("""COMPUTED_VALUE"""),46052)</f>
        <v>46052</v>
      </c>
      <c r="G115" s="57">
        <f ca="1">IFERROR(__xludf.DUMMYFUNCTION("""COMPUTED_VALUE"""),45987)</f>
        <v>45987</v>
      </c>
      <c r="H115" s="33" t="str">
        <f ca="1">IFERROR(__xludf.DUMMYFUNCTION("""COMPUTED_VALUE"""),"Valladolid")</f>
        <v>Valladolid</v>
      </c>
      <c r="I115" s="33" t="str">
        <f ca="1">IFERROR(__xludf.DUMMYFUNCTION("""COMPUTED_VALUE"""),"VLL-486")</f>
        <v>VLL-486</v>
      </c>
      <c r="J115" s="33" t="str">
        <f ca="1">IFERROR(__xludf.DUMMYFUNCTION("""COMPUTED_VALUE"""),"FELISA RODRIGUEZ DE CASTRO")</f>
        <v>FELISA RODRIGUEZ DE CASTRO</v>
      </c>
      <c r="K115" s="56">
        <f ca="1">IFERROR(__xludf.DUMMYFUNCTION("""COMPUTED_VALUE"""),2)</f>
        <v>2</v>
      </c>
      <c r="L115" s="62">
        <f ca="1">IFERROR(__xludf.DUMMYFUNCTION("""COMPUTED_VALUE"""),3522.73)</f>
        <v>3522.73</v>
      </c>
      <c r="M115" s="33" t="str">
        <f ca="1">IFERROR(__xludf.DUMMYFUNCTION("""COMPUTED_VALUE"""),"03 ORL")</f>
        <v>03 ORL</v>
      </c>
      <c r="N115" s="33" t="str">
        <f ca="1">IFERROR(__xludf.DUMMYFUNCTION("""COMPUTED_VALUE"""),"06 ORL")</f>
        <v>06 ORL</v>
      </c>
      <c r="O115" s="33" t="str">
        <f ca="1">IFERROR(__xludf.DUMMYFUNCTION("""COMPUTED_VALUE"""),"No recuerda ORL")</f>
        <v>No recuerda ORL</v>
      </c>
      <c r="P115" s="33" t="str">
        <f ca="1">IFERROR(__xludf.DUMMYFUNCTION("""COMPUTED_VALUE"""),"Alberto Moreno (Madrid)")</f>
        <v>Alberto Moreno (Madrid)</v>
      </c>
    </row>
    <row r="116" spans="2:16">
      <c r="B116" s="74">
        <f ca="1">IFERROR(__xludf.DUMMYFUNCTION("""COMPUTED_VALUE"""),2026)</f>
        <v>2026</v>
      </c>
      <c r="C116" s="56">
        <f ca="1">IFERROR(__xludf.DUMMYFUNCTION("""COMPUTED_VALUE"""),1)</f>
        <v>1</v>
      </c>
      <c r="D116" s="33" t="str">
        <f ca="1">IFERROR(__xludf.DUMMYFUNCTION("""COMPUTED_VALUE"""),"NO")</f>
        <v>NO</v>
      </c>
      <c r="E116" s="33" t="str">
        <f ca="1">IFERROR(__xludf.DUMMYFUNCTION("""COMPUTED_VALUE"""),"Toledo")</f>
        <v>Toledo</v>
      </c>
      <c r="F116" s="57">
        <f ca="1">IFERROR(__xludf.DUMMYFUNCTION("""COMPUTED_VALUE"""),46052)</f>
        <v>46052</v>
      </c>
      <c r="G116" s="57">
        <f ca="1">IFERROR(__xludf.DUMMYFUNCTION("""COMPUTED_VALUE"""),46001)</f>
        <v>46001</v>
      </c>
      <c r="H116" s="33" t="str">
        <f ca="1">IFERROR(__xludf.DUMMYFUNCTION("""COMPUTED_VALUE"""),"Toledo")</f>
        <v>Toledo</v>
      </c>
      <c r="I116" s="33" t="str">
        <f ca="1">IFERROR(__xludf.DUMMYFUNCTION("""COMPUTED_VALUE"""),"C202512109641544986")</f>
        <v>C202512109641544986</v>
      </c>
      <c r="J116" s="33" t="str">
        <f ca="1">IFERROR(__xludf.DUMMYFUNCTION("""COMPUTED_VALUE"""),"Vicente Camacho Gonzalez")</f>
        <v>Vicente Camacho Gonzalez</v>
      </c>
      <c r="K116" s="56">
        <f ca="1">IFERROR(__xludf.DUMMYFUNCTION("""COMPUTED_VALUE"""),2)</f>
        <v>2</v>
      </c>
      <c r="L116" s="62">
        <f ca="1">IFERROR(__xludf.DUMMYFUNCTION("""COMPUTED_VALUE"""),2582.27)</f>
        <v>2582.27</v>
      </c>
      <c r="M116" s="33" t="str">
        <f ca="1">IFERROR(__xludf.DUMMYFUNCTION("""COMPUTED_VALUE"""),"03 ORL")</f>
        <v>03 ORL</v>
      </c>
      <c r="N116" s="33" t="str">
        <f ca="1">IFERROR(__xludf.DUMMYFUNCTION("""COMPUTED_VALUE"""),"06 ORL")</f>
        <v>06 ORL</v>
      </c>
      <c r="O116" s="33" t="str">
        <f ca="1">IFERROR(__xludf.DUMMYFUNCTION("""COMPUTED_VALUE"""),"Dra, Bárbara Serrano Calleja")</f>
        <v>Dra, Bárbara Serrano Calleja</v>
      </c>
      <c r="P116" s="33" t="str">
        <f ca="1">IFERROR(__xludf.DUMMYFUNCTION("""COMPUTED_VALUE"""),"Lisandro Russian (Madrid, Cáceres, Toledo, Talavera y Logroño)")</f>
        <v>Lisandro Russian (Madrid, Cáceres, Toledo, Talavera y Logroño)</v>
      </c>
    </row>
    <row r="117" spans="2:16">
      <c r="B117" s="74">
        <f ca="1">IFERROR(__xludf.DUMMYFUNCTION("""COMPUTED_VALUE"""),2026)</f>
        <v>2026</v>
      </c>
      <c r="C117" s="56">
        <f ca="1">IFERROR(__xludf.DUMMYFUNCTION("""COMPUTED_VALUE"""),1)</f>
        <v>1</v>
      </c>
      <c r="D117" s="33" t="str">
        <f ca="1">IFERROR(__xludf.DUMMYFUNCTION("""COMPUTED_VALUE"""),"NO")</f>
        <v>NO</v>
      </c>
      <c r="E117" s="33" t="str">
        <f ca="1">IFERROR(__xludf.DUMMYFUNCTION("""COMPUTED_VALUE"""),"Jerez de la Frontera")</f>
        <v>Jerez de la Frontera</v>
      </c>
      <c r="F117" s="57">
        <f ca="1">IFERROR(__xludf.DUMMYFUNCTION("""COMPUTED_VALUE"""),46052)</f>
        <v>46052</v>
      </c>
      <c r="G117" s="57">
        <f ca="1">IFERROR(__xludf.DUMMYFUNCTION("""COMPUTED_VALUE"""),46024)</f>
        <v>46024</v>
      </c>
      <c r="H117" s="33" t="str">
        <f ca="1">IFERROR(__xludf.DUMMYFUNCTION("""COMPUTED_VALUE"""),"Jerez")</f>
        <v>Jerez</v>
      </c>
      <c r="I117" s="33" t="str">
        <f ca="1">IFERROR(__xludf.DUMMYFUNCTION("""COMPUTED_VALUE"""),"C202612113045186230")</f>
        <v>C202612113045186230</v>
      </c>
      <c r="J117" s="33" t="str">
        <f ca="1">IFERROR(__xludf.DUMMYFUNCTION("""COMPUTED_VALUE"""),"ELOY JAVIER GONZALEZ PALOMINO")</f>
        <v>ELOY JAVIER GONZALEZ PALOMINO</v>
      </c>
      <c r="K117" s="56">
        <f ca="1">IFERROR(__xludf.DUMMYFUNCTION("""COMPUTED_VALUE"""),2)</f>
        <v>2</v>
      </c>
      <c r="L117" s="62">
        <f ca="1">IFERROR(__xludf.DUMMYFUNCTION("""COMPUTED_VALUE"""),4136.36)</f>
        <v>4136.3599999999997</v>
      </c>
      <c r="M117" s="33" t="str">
        <f ca="1">IFERROR(__xludf.DUMMYFUNCTION("""COMPUTED_VALUE"""),"03 ORL")</f>
        <v>03 ORL</v>
      </c>
      <c r="N117" s="33" t="str">
        <f ca="1">IFERROR(__xludf.DUMMYFUNCTION("""COMPUTED_VALUE"""),"06 ORL")</f>
        <v>06 ORL</v>
      </c>
      <c r="O117" s="33" t="str">
        <f ca="1">IFERROR(__xludf.DUMMYFUNCTION("""COMPUTED_VALUE"""),"Dr, Manuel Tucciarone")</f>
        <v>Dr, Manuel Tucciarone</v>
      </c>
      <c r="P117" s="33" t="str">
        <f ca="1">IFERROR(__xludf.DUMMYFUNCTION("""COMPUTED_VALUE"""),"Luis Alberto Rodríguez (Andalucía y Badajoz)")</f>
        <v>Luis Alberto Rodríguez (Andalucía y Badajoz)</v>
      </c>
    </row>
    <row r="118" spans="2:16">
      <c r="B118" s="74">
        <f ca="1">IFERROR(__xludf.DUMMYFUNCTION("""COMPUTED_VALUE"""),2026)</f>
        <v>2026</v>
      </c>
      <c r="C118" s="56">
        <f ca="1">IFERROR(__xludf.DUMMYFUNCTION("""COMPUTED_VALUE"""),1)</f>
        <v>1</v>
      </c>
      <c r="D118" s="33" t="str">
        <f ca="1">IFERROR(__xludf.DUMMYFUNCTION("""COMPUTED_VALUE"""),"NO")</f>
        <v>NO</v>
      </c>
      <c r="E118" s="33" t="str">
        <f ca="1">IFERROR(__xludf.DUMMYFUNCTION("""COMPUTED_VALUE"""),"Cáceres")</f>
        <v>Cáceres</v>
      </c>
      <c r="F118" s="57">
        <f ca="1">IFERROR(__xludf.DUMMYFUNCTION("""COMPUTED_VALUE"""),46052)</f>
        <v>46052</v>
      </c>
      <c r="G118" s="57">
        <f ca="1">IFERROR(__xludf.DUMMYFUNCTION("""COMPUTED_VALUE"""),46020)</f>
        <v>46020</v>
      </c>
      <c r="H118" s="33" t="str">
        <f ca="1">IFERROR(__xludf.DUMMYFUNCTION("""COMPUTED_VALUE"""),"Cáceres")</f>
        <v>Cáceres</v>
      </c>
      <c r="I118" s="33" t="str">
        <f ca="1">IFERROR(__xludf.DUMMYFUNCTION("""COMPUTED_VALUE"""),"C202512298441794190")</f>
        <v>C202512298441794190</v>
      </c>
      <c r="J118" s="33" t="str">
        <f ca="1">IFERROR(__xludf.DUMMYFUNCTION("""COMPUTED_VALUE"""),"PURIFICACION HOLGADO RODRIGUEZ")</f>
        <v>PURIFICACION HOLGADO RODRIGUEZ</v>
      </c>
      <c r="K118" s="56">
        <f ca="1">IFERROR(__xludf.DUMMYFUNCTION("""COMPUTED_VALUE"""),1)</f>
        <v>1</v>
      </c>
      <c r="L118" s="62">
        <f ca="1">IFERROR(__xludf.DUMMYFUNCTION("""COMPUTED_VALUE"""),1839.09)</f>
        <v>1839.09</v>
      </c>
      <c r="M118" s="33" t="str">
        <f ca="1">IFERROR(__xludf.DUMMYFUNCTION("""COMPUTED_VALUE"""),"03 ORL")</f>
        <v>03 ORL</v>
      </c>
      <c r="N118" s="33" t="str">
        <f ca="1">IFERROR(__xludf.DUMMYFUNCTION("""COMPUTED_VALUE"""),"06 ORL")</f>
        <v>06 ORL</v>
      </c>
      <c r="O118" s="33" t="str">
        <f ca="1">IFERROR(__xludf.DUMMYFUNCTION("""COMPUTED_VALUE"""),"Dr, Raed Maqued El Maqued")</f>
        <v>Dr, Raed Maqued El Maqued</v>
      </c>
      <c r="P118" s="33" t="str">
        <f ca="1">IFERROR(__xludf.DUMMYFUNCTION("""COMPUTED_VALUE"""),"Lisandro Russian (Madrid, Cáceres, Toledo, Talavera y Logroño)")</f>
        <v>Lisandro Russian (Madrid, Cáceres, Toledo, Talavera y Logroño)</v>
      </c>
    </row>
    <row r="119" spans="2:16">
      <c r="B119" s="74">
        <f ca="1">IFERROR(__xludf.DUMMYFUNCTION("""COMPUTED_VALUE"""),2026)</f>
        <v>2026</v>
      </c>
      <c r="C119" s="56">
        <f ca="1">IFERROR(__xludf.DUMMYFUNCTION("""COMPUTED_VALUE"""),1)</f>
        <v>1</v>
      </c>
      <c r="D119" s="33" t="str">
        <f ca="1">IFERROR(__xludf.DUMMYFUNCTION("""COMPUTED_VALUE"""),"NO")</f>
        <v>NO</v>
      </c>
      <c r="E119" s="33" t="str">
        <f ca="1">IFERROR(__xludf.DUMMYFUNCTION("""COMPUTED_VALUE"""),"Alcorcón")</f>
        <v>Alcorcón</v>
      </c>
      <c r="F119" s="57">
        <f ca="1">IFERROR(__xludf.DUMMYFUNCTION("""COMPUTED_VALUE"""),46052)</f>
        <v>46052</v>
      </c>
      <c r="G119" s="57">
        <f ca="1">IFERROR(__xludf.DUMMYFUNCTION("""COMPUTED_VALUE"""),46029)</f>
        <v>46029</v>
      </c>
      <c r="H119" s="33" t="str">
        <f ca="1">IFERROR(__xludf.DUMMYFUNCTION("""COMPUTED_VALUE"""),"Alcorcón")</f>
        <v>Alcorcón</v>
      </c>
      <c r="I119" s="33" t="str">
        <f ca="1">IFERROR(__xludf.DUMMYFUNCTION("""COMPUTED_VALUE"""),"C202617112022918814")</f>
        <v>C202617112022918814</v>
      </c>
      <c r="J119" s="33" t="str">
        <f ca="1">IFERROR(__xludf.DUMMYFUNCTION("""COMPUTED_VALUE"""),"ADELAIDA ALVAREZ GONZALEZ")</f>
        <v>ADELAIDA ALVAREZ GONZALEZ</v>
      </c>
      <c r="K119" s="56">
        <f ca="1">IFERROR(__xludf.DUMMYFUNCTION("""COMPUTED_VALUE"""),2)</f>
        <v>2</v>
      </c>
      <c r="L119" s="62">
        <f ca="1">IFERROR(__xludf.DUMMYFUNCTION("""COMPUTED_VALUE"""),2718.18)</f>
        <v>2718.18</v>
      </c>
      <c r="M119" s="33" t="str">
        <f ca="1">IFERROR(__xludf.DUMMYFUNCTION("""COMPUTED_VALUE"""),"03 ORL")</f>
        <v>03 ORL</v>
      </c>
      <c r="N119" s="33" t="str">
        <f ca="1">IFERROR(__xludf.DUMMYFUNCTION("""COMPUTED_VALUE"""),"06 ORL")</f>
        <v>06 ORL</v>
      </c>
      <c r="O119" s="33" t="str">
        <f ca="1">IFERROR(__xludf.DUMMYFUNCTION("""COMPUTED_VALUE"""),"Dra, María Sol Marcos Salazar")</f>
        <v>Dra, María Sol Marcos Salazar</v>
      </c>
      <c r="P119" s="33" t="str">
        <f ca="1">IFERROR(__xludf.DUMMYFUNCTION("""COMPUTED_VALUE"""),"Lisandro Russian (Madrid, Cáceres, Toledo, Talavera y Logroño)")</f>
        <v>Lisandro Russian (Madrid, Cáceres, Toledo, Talavera y Logroño)</v>
      </c>
    </row>
    <row r="120" spans="2:16">
      <c r="B120" s="74">
        <f ca="1">IFERROR(__xludf.DUMMYFUNCTION("""COMPUTED_VALUE"""),2026)</f>
        <v>2026</v>
      </c>
      <c r="C120" s="56">
        <f ca="1">IFERROR(__xludf.DUMMYFUNCTION("""COMPUTED_VALUE"""),1)</f>
        <v>1</v>
      </c>
      <c r="D120" s="33" t="str">
        <f ca="1">IFERROR(__xludf.DUMMYFUNCTION("""COMPUTED_VALUE"""),"NO")</f>
        <v>NO</v>
      </c>
      <c r="E120" s="33" t="str">
        <f ca="1">IFERROR(__xludf.DUMMYFUNCTION("""COMPUTED_VALUE"""),"Logroño")</f>
        <v>Logroño</v>
      </c>
      <c r="F120" s="57">
        <f ca="1">IFERROR(__xludf.DUMMYFUNCTION("""COMPUTED_VALUE"""),46052)</f>
        <v>46052</v>
      </c>
      <c r="G120" s="57">
        <f ca="1">IFERROR(__xludf.DUMMYFUNCTION("""COMPUTED_VALUE"""),46001)</f>
        <v>46001</v>
      </c>
      <c r="H120" s="33" t="str">
        <f ca="1">IFERROR(__xludf.DUMMYFUNCTION("""COMPUTED_VALUE"""),"Logroño")</f>
        <v>Logroño</v>
      </c>
      <c r="I120" s="33" t="str">
        <f ca="1">IFERROR(__xludf.DUMMYFUNCTION("""COMPUTED_VALUE"""),"C202512101635128085")</f>
        <v>C202512101635128085</v>
      </c>
      <c r="J120" s="33" t="str">
        <f ca="1">IFERROR(__xludf.DUMMYFUNCTION("""COMPUTED_VALUE"""),"ELEUTERIO FERNANDEZ DE PRADO")</f>
        <v>ELEUTERIO FERNANDEZ DE PRADO</v>
      </c>
      <c r="K120" s="56">
        <f ca="1">IFERROR(__xludf.DUMMYFUNCTION("""COMPUTED_VALUE"""),1)</f>
        <v>1</v>
      </c>
      <c r="L120" s="62">
        <f ca="1">IFERROR(__xludf.DUMMYFUNCTION("""COMPUTED_VALUE"""),2294.32)</f>
        <v>2294.3200000000002</v>
      </c>
      <c r="M120" s="33" t="str">
        <f ca="1">IFERROR(__xludf.DUMMYFUNCTION("""COMPUTED_VALUE"""),"03 ORL")</f>
        <v>03 ORL</v>
      </c>
      <c r="N120" s="33" t="str">
        <f ca="1">IFERROR(__xludf.DUMMYFUNCTION("""COMPUTED_VALUE"""),"06 ORL")</f>
        <v>06 ORL</v>
      </c>
      <c r="O120" s="33" t="str">
        <f ca="1">IFERROR(__xludf.DUMMYFUNCTION("""COMPUTED_VALUE"""),"Dr, Fernando Salazar Barcelona")</f>
        <v>Dr, Fernando Salazar Barcelona</v>
      </c>
      <c r="P120" s="33" t="str">
        <f ca="1">IFERROR(__xludf.DUMMYFUNCTION("""COMPUTED_VALUE"""),"Lisandro Russian (Madrid, Cáceres, Toledo, Talavera y Logroño)")</f>
        <v>Lisandro Russian (Madrid, Cáceres, Toledo, Talavera y Logroño)</v>
      </c>
    </row>
    <row r="121" spans="2:16">
      <c r="B121" s="74">
        <f ca="1">IFERROR(__xludf.DUMMYFUNCTION("""COMPUTED_VALUE"""),2026)</f>
        <v>2026</v>
      </c>
      <c r="C121" s="56">
        <f ca="1">IFERROR(__xludf.DUMMYFUNCTION("""COMPUTED_VALUE"""),1)</f>
        <v>1</v>
      </c>
      <c r="D121" s="33" t="str">
        <f ca="1">IFERROR(__xludf.DUMMYFUNCTION("""COMPUTED_VALUE"""),"NO")</f>
        <v>NO</v>
      </c>
      <c r="E121" s="33" t="str">
        <f ca="1">IFERROR(__xludf.DUMMYFUNCTION("""COMPUTED_VALUE"""),"Murcia")</f>
        <v>Murcia</v>
      </c>
      <c r="F121" s="57">
        <f ca="1">IFERROR(__xludf.DUMMYFUNCTION("""COMPUTED_VALUE"""),46052)</f>
        <v>46052</v>
      </c>
      <c r="G121" s="57">
        <f ca="1">IFERROR(__xludf.DUMMYFUNCTION("""COMPUTED_VALUE"""),46034)</f>
        <v>46034</v>
      </c>
      <c r="H121" s="33" t="str">
        <f ca="1">IFERROR(__xludf.DUMMYFUNCTION("""COMPUTED_VALUE"""),"Murcia")</f>
        <v>Murcia</v>
      </c>
      <c r="I121" s="33" t="str">
        <f ca="1">IFERROR(__xludf.DUMMYFUNCTION("""COMPUTED_VALUE"""),"C202611210542515387")</f>
        <v>C202611210542515387</v>
      </c>
      <c r="J121" s="33" t="str">
        <f ca="1">IFERROR(__xludf.DUMMYFUNCTION("""COMPUTED_VALUE"""),"JOSE LOPEZ PEREZ")</f>
        <v>JOSE LOPEZ PEREZ</v>
      </c>
      <c r="K121" s="56">
        <f ca="1">IFERROR(__xludf.DUMMYFUNCTION("""COMPUTED_VALUE"""),2)</f>
        <v>2</v>
      </c>
      <c r="L121" s="62">
        <f ca="1">IFERROR(__xludf.DUMMYFUNCTION("""COMPUTED_VALUE"""),3631.82)</f>
        <v>3631.82</v>
      </c>
      <c r="M121" s="33" t="str">
        <f ca="1">IFERROR(__xludf.DUMMYFUNCTION("""COMPUTED_VALUE"""),"03 ORL")</f>
        <v>03 ORL</v>
      </c>
      <c r="N121" s="33" t="str">
        <f ca="1">IFERROR(__xludf.DUMMYFUNCTION("""COMPUTED_VALUE"""),"06 ORL")</f>
        <v>06 ORL</v>
      </c>
      <c r="O121" s="33" t="str">
        <f ca="1">IFERROR(__xludf.DUMMYFUNCTION("""COMPUTED_VALUE"""),"Dra, Beatriz Rodríguez González Herrero")</f>
        <v>Dra, Beatriz Rodríguez González Herrero</v>
      </c>
      <c r="P121" s="33" t="str">
        <f ca="1">IFERROR(__xludf.DUMMYFUNCTION("""COMPUTED_VALUE"""),"Iván Sánchez (Levante y Albacete)")</f>
        <v>Iván Sánchez (Levante y Albacete)</v>
      </c>
    </row>
    <row r="122" spans="2:16">
      <c r="B122" s="74">
        <f ca="1">IFERROR(__xludf.DUMMYFUNCTION("""COMPUTED_VALUE"""),2026)</f>
        <v>2026</v>
      </c>
      <c r="C122" s="56">
        <f ca="1">IFERROR(__xludf.DUMMYFUNCTION("""COMPUTED_VALUE"""),1)</f>
        <v>1</v>
      </c>
      <c r="D122" s="33" t="str">
        <f ca="1">IFERROR(__xludf.DUMMYFUNCTION("""COMPUTED_VALUE"""),"NO")</f>
        <v>NO</v>
      </c>
      <c r="E122" s="33" t="str">
        <f ca="1">IFERROR(__xludf.DUMMYFUNCTION("""COMPUTED_VALUE"""),"Logroño")</f>
        <v>Logroño</v>
      </c>
      <c r="F122" s="57">
        <f ca="1">IFERROR(__xludf.DUMMYFUNCTION("""COMPUTED_VALUE"""),46052)</f>
        <v>46052</v>
      </c>
      <c r="G122" s="57">
        <f ca="1">IFERROR(__xludf.DUMMYFUNCTION("""COMPUTED_VALUE"""),45978)</f>
        <v>45978</v>
      </c>
      <c r="H122" s="33" t="str">
        <f ca="1">IFERROR(__xludf.DUMMYFUNCTION("""COMPUTED_VALUE"""),"Logroño")</f>
        <v>Logroño</v>
      </c>
      <c r="I122" s="33" t="str">
        <f ca="1">IFERROR(__xludf.DUMMYFUNCTION("""COMPUTED_VALUE"""),"C202511179197088208")</f>
        <v>C202511179197088208</v>
      </c>
      <c r="J122" s="33" t="str">
        <f ca="1">IFERROR(__xludf.DUMMYFUNCTION("""COMPUTED_VALUE"""),"SUCESO MORENO LOPEZ")</f>
        <v>SUCESO MORENO LOPEZ</v>
      </c>
      <c r="K122" s="56">
        <f ca="1">IFERROR(__xludf.DUMMYFUNCTION("""COMPUTED_VALUE"""),2)</f>
        <v>2</v>
      </c>
      <c r="L122" s="62">
        <f ca="1">IFERROR(__xludf.DUMMYFUNCTION("""COMPUTED_VALUE"""),3424.32)</f>
        <v>3424.32</v>
      </c>
      <c r="M122" s="33" t="str">
        <f ca="1">IFERROR(__xludf.DUMMYFUNCTION("""COMPUTED_VALUE"""),"03 ORL")</f>
        <v>03 ORL</v>
      </c>
      <c r="N122" s="33" t="str">
        <f ca="1">IFERROR(__xludf.DUMMYFUNCTION("""COMPUTED_VALUE"""),"06 ORL")</f>
        <v>06 ORL</v>
      </c>
      <c r="O122" s="33" t="str">
        <f ca="1">IFERROR(__xludf.DUMMYFUNCTION("""COMPUTED_VALUE"""),"Dra, Cristina Ibañez Muñoz")</f>
        <v>Dra, Cristina Ibañez Muñoz</v>
      </c>
      <c r="P122" s="33" t="str">
        <f ca="1">IFERROR(__xludf.DUMMYFUNCTION("""COMPUTED_VALUE"""),"Lisandro Russian (Madrid, Cáceres, Toledo, Talavera y Logroño)")</f>
        <v>Lisandro Russian (Madrid, Cáceres, Toledo, Talavera y Logroño)</v>
      </c>
    </row>
    <row r="123" spans="2:16">
      <c r="B123" s="74">
        <f ca="1">IFERROR(__xludf.DUMMYFUNCTION("""COMPUTED_VALUE"""),2026)</f>
        <v>2026</v>
      </c>
      <c r="C123" s="56">
        <f ca="1">IFERROR(__xludf.DUMMYFUNCTION("""COMPUTED_VALUE"""),1)</f>
        <v>1</v>
      </c>
      <c r="D123" s="33" t="str">
        <f ca="1">IFERROR(__xludf.DUMMYFUNCTION("""COMPUTED_VALUE"""),"NO")</f>
        <v>NO</v>
      </c>
      <c r="E123" s="33" t="str">
        <f ca="1">IFERROR(__xludf.DUMMYFUNCTION("""COMPUTED_VALUE"""),"Murcia")</f>
        <v>Murcia</v>
      </c>
      <c r="F123" s="57">
        <f ca="1">IFERROR(__xludf.DUMMYFUNCTION("""COMPUTED_VALUE"""),46052)</f>
        <v>46052</v>
      </c>
      <c r="G123" s="57">
        <f ca="1">IFERROR(__xludf.DUMMYFUNCTION("""COMPUTED_VALUE"""),46042)</f>
        <v>46042</v>
      </c>
      <c r="H123" s="33" t="str">
        <f ca="1">IFERROR(__xludf.DUMMYFUNCTION("""COMPUTED_VALUE"""),"Murcia")</f>
        <v>Murcia</v>
      </c>
      <c r="I123" s="33" t="str">
        <f ca="1">IFERROR(__xludf.DUMMYFUNCTION("""COMPUTED_VALUE"""),"C202612010574003793")</f>
        <v>C202612010574003793</v>
      </c>
      <c r="J123" s="33" t="str">
        <f ca="1">IFERROR(__xludf.DUMMYFUNCTION("""COMPUTED_VALUE"""),"ANTONIO MARTINEZ FERNANDEZ")</f>
        <v>ANTONIO MARTINEZ FERNANDEZ</v>
      </c>
      <c r="K123" s="56">
        <f ca="1">IFERROR(__xludf.DUMMYFUNCTION("""COMPUTED_VALUE"""),1)</f>
        <v>1</v>
      </c>
      <c r="L123" s="62">
        <f ca="1">IFERROR(__xludf.DUMMYFUNCTION("""COMPUTED_VALUE"""),2481.82)</f>
        <v>2481.8200000000002</v>
      </c>
      <c r="M123" s="33" t="str">
        <f ca="1">IFERROR(__xludf.DUMMYFUNCTION("""COMPUTED_VALUE"""),"03 ORL")</f>
        <v>03 ORL</v>
      </c>
      <c r="N123" s="33" t="str">
        <f ca="1">IFERROR(__xludf.DUMMYFUNCTION("""COMPUTED_VALUE"""),"06 ORL")</f>
        <v>06 ORL</v>
      </c>
      <c r="O123" s="33" t="str">
        <f ca="1">IFERROR(__xludf.DUMMYFUNCTION("""COMPUTED_VALUE"""),"Dr, Enrique López Meseguer")</f>
        <v>Dr, Enrique López Meseguer</v>
      </c>
      <c r="P123" s="33" t="str">
        <f ca="1">IFERROR(__xludf.DUMMYFUNCTION("""COMPUTED_VALUE"""),"Iván Sánchez (Levante y Albacete)")</f>
        <v>Iván Sánchez (Levante y Albacete)</v>
      </c>
    </row>
    <row r="124" spans="2:16">
      <c r="B124" s="74">
        <f ca="1">IFERROR(__xludf.DUMMYFUNCTION("""COMPUTED_VALUE"""),2026)</f>
        <v>2026</v>
      </c>
      <c r="C124" s="56">
        <f ca="1">IFERROR(__xludf.DUMMYFUNCTION("""COMPUTED_VALUE"""),1)</f>
        <v>1</v>
      </c>
      <c r="D124" s="33" t="str">
        <f ca="1">IFERROR(__xludf.DUMMYFUNCTION("""COMPUTED_VALUE"""),"NO")</f>
        <v>NO</v>
      </c>
      <c r="E124" s="33" t="str">
        <f ca="1">IFERROR(__xludf.DUMMYFUNCTION("""COMPUTED_VALUE"""),"Madrid- Canillas")</f>
        <v>Madrid- Canillas</v>
      </c>
      <c r="F124" s="57">
        <f ca="1">IFERROR(__xludf.DUMMYFUNCTION("""COMPUTED_VALUE"""),46052)</f>
        <v>46052</v>
      </c>
      <c r="G124" s="57">
        <f ca="1">IFERROR(__xludf.DUMMYFUNCTION("""COMPUTED_VALUE"""),46034)</f>
        <v>46034</v>
      </c>
      <c r="H124" s="33" t="str">
        <f ca="1">IFERROR(__xludf.DUMMYFUNCTION("""COMPUTED_VALUE"""),"Canillas")</f>
        <v>Canillas</v>
      </c>
      <c r="I124" s="33" t="str">
        <f ca="1">IFERROR(__xludf.DUMMYFUNCTION("""COMPUTED_VALUE"""),"C202611210322038706")</f>
        <v>C202611210322038706</v>
      </c>
      <c r="J124" s="33" t="str">
        <f ca="1">IFERROR(__xludf.DUMMYFUNCTION("""COMPUTED_VALUE"""),"VICTORINA PÉREZ GÓMEZ")</f>
        <v>VICTORINA PÉREZ GÓMEZ</v>
      </c>
      <c r="K124" s="56">
        <f ca="1">IFERROR(__xludf.DUMMYFUNCTION("""COMPUTED_VALUE"""),2)</f>
        <v>2</v>
      </c>
      <c r="L124" s="62">
        <f ca="1">IFERROR(__xludf.DUMMYFUNCTION("""COMPUTED_VALUE"""),3631.83)</f>
        <v>3631.83</v>
      </c>
      <c r="M124" s="33" t="str">
        <f ca="1">IFERROR(__xludf.DUMMYFUNCTION("""COMPUTED_VALUE"""),"03 ORL")</f>
        <v>03 ORL</v>
      </c>
      <c r="N124" s="33" t="str">
        <f ca="1">IFERROR(__xludf.DUMMYFUNCTION("""COMPUTED_VALUE"""),"06 ORL")</f>
        <v>06 ORL</v>
      </c>
      <c r="O124" s="33" t="str">
        <f ca="1">IFERROR(__xludf.DUMMYFUNCTION("""COMPUTED_VALUE"""),"Dr, José Gustavo Barroso Braojos")</f>
        <v>Dr, José Gustavo Barroso Braojos</v>
      </c>
      <c r="P124" s="33" t="str">
        <f ca="1">IFERROR(__xludf.DUMMYFUNCTION("""COMPUTED_VALUE"""),"Maika Blázquez (Madrid)")</f>
        <v>Maika Blázquez (Madrid)</v>
      </c>
    </row>
    <row r="125" spans="2:16">
      <c r="B125" s="74">
        <f ca="1">IFERROR(__xludf.DUMMYFUNCTION("""COMPUTED_VALUE"""),2026)</f>
        <v>2026</v>
      </c>
      <c r="C125" s="56">
        <f ca="1">IFERROR(__xludf.DUMMYFUNCTION("""COMPUTED_VALUE"""),1)</f>
        <v>1</v>
      </c>
      <c r="D125" s="33" t="str">
        <f ca="1">IFERROR(__xludf.DUMMYFUNCTION("""COMPUTED_VALUE"""),"NO")</f>
        <v>NO</v>
      </c>
      <c r="E125" s="33" t="str">
        <f ca="1">IFERROR(__xludf.DUMMYFUNCTION("""COMPUTED_VALUE"""),"Leganés")</f>
        <v>Leganés</v>
      </c>
      <c r="F125" s="57">
        <f ca="1">IFERROR(__xludf.DUMMYFUNCTION("""COMPUTED_VALUE"""),46052)</f>
        <v>46052</v>
      </c>
      <c r="G125" s="57">
        <f ca="1">IFERROR(__xludf.DUMMYFUNCTION("""COMPUTED_VALUE"""),46029)</f>
        <v>46029</v>
      </c>
      <c r="H125" s="33" t="str">
        <f ca="1">IFERROR(__xludf.DUMMYFUNCTION("""COMPUTED_VALUE"""),"Leganés")</f>
        <v>Leganés</v>
      </c>
      <c r="I125" s="33" t="str">
        <f ca="1">IFERROR(__xludf.DUMMYFUNCTION("""COMPUTED_VALUE"""),"C202617104647911770")</f>
        <v>C202617104647911770</v>
      </c>
      <c r="J125" s="33" t="str">
        <f ca="1">IFERROR(__xludf.DUMMYFUNCTION("""COMPUTED_VALUE"""),"TOMAS PICAZO TABERNA")</f>
        <v>TOMAS PICAZO TABERNA</v>
      </c>
      <c r="K125" s="56">
        <f ca="1">IFERROR(__xludf.DUMMYFUNCTION("""COMPUTED_VALUE"""),2)</f>
        <v>2</v>
      </c>
      <c r="L125" s="62">
        <f ca="1">IFERROR(__xludf.DUMMYFUNCTION("""COMPUTED_VALUE"""),3450)</f>
        <v>3450</v>
      </c>
      <c r="M125" s="33" t="str">
        <f ca="1">IFERROR(__xludf.DUMMYFUNCTION("""COMPUTED_VALUE"""),"03 ORL")</f>
        <v>03 ORL</v>
      </c>
      <c r="N125" s="33" t="str">
        <f ca="1">IFERROR(__xludf.DUMMYFUNCTION("""COMPUTED_VALUE"""),"06 ORL")</f>
        <v>06 ORL</v>
      </c>
      <c r="O125" s="33" t="str">
        <f ca="1">IFERROR(__xludf.DUMMYFUNCTION("""COMPUTED_VALUE"""),"Dr, Jesús Ramos Fernández")</f>
        <v>Dr, Jesús Ramos Fernández</v>
      </c>
      <c r="P125" s="33" t="str">
        <f ca="1">IFERROR(__xludf.DUMMYFUNCTION("""COMPUTED_VALUE"""),"Maika Blázquez (Madrid)")</f>
        <v>Maika Blázquez (Madrid)</v>
      </c>
    </row>
    <row r="126" spans="2:16">
      <c r="B126" s="74">
        <f ca="1">IFERROR(__xludf.DUMMYFUNCTION("""COMPUTED_VALUE"""),2026)</f>
        <v>2026</v>
      </c>
      <c r="C126" s="56">
        <f ca="1">IFERROR(__xludf.DUMMYFUNCTION("""COMPUTED_VALUE"""),1)</f>
        <v>1</v>
      </c>
      <c r="D126" s="33" t="str">
        <f ca="1">IFERROR(__xludf.DUMMYFUNCTION("""COMPUTED_VALUE"""),"SI")</f>
        <v>SI</v>
      </c>
      <c r="E126" s="33" t="str">
        <f ca="1">IFERROR(__xludf.DUMMYFUNCTION("""COMPUTED_VALUE"""),"Getafe")</f>
        <v>Getafe</v>
      </c>
      <c r="F126" s="57">
        <f ca="1">IFERROR(__xludf.DUMMYFUNCTION("""COMPUTED_VALUE"""),46052)</f>
        <v>46052</v>
      </c>
      <c r="G126" s="57">
        <f ca="1">IFERROR(__xludf.DUMMYFUNCTION("""COMPUTED_VALUE"""),45972)</f>
        <v>45972</v>
      </c>
      <c r="H126" s="33" t="str">
        <f ca="1">IFERROR(__xludf.DUMMYFUNCTION("""COMPUTED_VALUE"""),"Getafe")</f>
        <v>Getafe</v>
      </c>
      <c r="I126" s="33" t="str">
        <f ca="1">IFERROR(__xludf.DUMMYFUNCTION("""COMPUTED_VALUE"""),"C202511111644133841")</f>
        <v>C202511111644133841</v>
      </c>
      <c r="J126" s="33" t="str">
        <f ca="1">IFERROR(__xludf.DUMMYFUNCTION("""COMPUTED_VALUE"""),"CRESCENCIA MORETA MORALEDA")</f>
        <v>CRESCENCIA MORETA MORALEDA</v>
      </c>
      <c r="K126" s="56">
        <f ca="1">IFERROR(__xludf.DUMMYFUNCTION("""COMPUTED_VALUE"""),2)</f>
        <v>2</v>
      </c>
      <c r="L126" s="62">
        <f ca="1">IFERROR(__xludf.DUMMYFUNCTION("""COMPUTED_VALUE"""),3450.23)</f>
        <v>3450.23</v>
      </c>
      <c r="M126" s="33" t="str">
        <f ca="1">IFERROR(__xludf.DUMMYFUNCTION("""COMPUTED_VALUE"""),"03 ORL")</f>
        <v>03 ORL</v>
      </c>
      <c r="N126" s="33" t="str">
        <f ca="1">IFERROR(__xludf.DUMMYFUNCTION("""COMPUTED_VALUE"""),"06 ORL")</f>
        <v>06 ORL</v>
      </c>
      <c r="O126" s="33" t="str">
        <f ca="1">IFERROR(__xludf.DUMMYFUNCTION("""COMPUTED_VALUE"""),"Dra, Marta Colmenero Ruiz")</f>
        <v>Dra, Marta Colmenero Ruiz</v>
      </c>
      <c r="P126" s="33" t="str">
        <f ca="1">IFERROR(__xludf.DUMMYFUNCTION("""COMPUTED_VALUE"""),"Maika Blázquez (Madrid)")</f>
        <v>Maika Blázquez (Madrid)</v>
      </c>
    </row>
    <row r="127" spans="2:16">
      <c r="B127" s="74">
        <f ca="1">IFERROR(__xludf.DUMMYFUNCTION("""COMPUTED_VALUE"""),2026)</f>
        <v>2026</v>
      </c>
      <c r="C127" s="56">
        <f ca="1">IFERROR(__xludf.DUMMYFUNCTION("""COMPUTED_VALUE"""),1)</f>
        <v>1</v>
      </c>
      <c r="D127" s="33" t="str">
        <f ca="1">IFERROR(__xludf.DUMMYFUNCTION("""COMPUTED_VALUE"""),"NO")</f>
        <v>NO</v>
      </c>
      <c r="E127" s="33" t="str">
        <f ca="1">IFERROR(__xludf.DUMMYFUNCTION("""COMPUTED_VALUE"""),"Murcia")</f>
        <v>Murcia</v>
      </c>
      <c r="F127" s="57">
        <f ca="1">IFERROR(__xludf.DUMMYFUNCTION("""COMPUTED_VALUE"""),46052)</f>
        <v>46052</v>
      </c>
      <c r="G127" s="57">
        <f ca="1">IFERROR(__xludf.DUMMYFUNCTION("""COMPUTED_VALUE"""),46017)</f>
        <v>46017</v>
      </c>
      <c r="H127" s="33" t="str">
        <f ca="1">IFERROR(__xludf.DUMMYFUNCTION("""COMPUTED_VALUE"""),"Murcia")</f>
        <v>Murcia</v>
      </c>
      <c r="I127" s="33" t="str">
        <f ca="1">IFERROR(__xludf.DUMMYFUNCTION("""COMPUTED_VALUE"""),"C202512261643590551")</f>
        <v>C202512261643590551</v>
      </c>
      <c r="J127" s="33" t="str">
        <f ca="1">IFERROR(__xludf.DUMMYFUNCTION("""COMPUTED_VALUE"""),"INES RAQUEL MADRID ROSA")</f>
        <v>INES RAQUEL MADRID ROSA</v>
      </c>
      <c r="K127" s="56">
        <f ca="1">IFERROR(__xludf.DUMMYFUNCTION("""COMPUTED_VALUE"""),2)</f>
        <v>2</v>
      </c>
      <c r="L127" s="62">
        <f ca="1">IFERROR(__xludf.DUMMYFUNCTION("""COMPUTED_VALUE"""),4136.36)</f>
        <v>4136.3599999999997</v>
      </c>
      <c r="M127" s="33" t="str">
        <f ca="1">IFERROR(__xludf.DUMMYFUNCTION("""COMPUTED_VALUE"""),"03 ORL")</f>
        <v>03 ORL</v>
      </c>
      <c r="N127" s="33" t="str">
        <f ca="1">IFERROR(__xludf.DUMMYFUNCTION("""COMPUTED_VALUE"""),"06 ORL")</f>
        <v>06 ORL</v>
      </c>
      <c r="O127" s="33" t="str">
        <f ca="1">IFERROR(__xludf.DUMMYFUNCTION("""COMPUTED_VALUE"""),"Dr, Juan Pablo Pelegrín Hernández")</f>
        <v>Dr, Juan Pablo Pelegrín Hernández</v>
      </c>
      <c r="P127" s="33" t="str">
        <f ca="1">IFERROR(__xludf.DUMMYFUNCTION("""COMPUTED_VALUE"""),"Iván Sánchez (Levante y Albacete)")</f>
        <v>Iván Sánchez (Levante y Albacete)</v>
      </c>
    </row>
    <row r="128" spans="2:16">
      <c r="B128" s="74">
        <f ca="1">IFERROR(__xludf.DUMMYFUNCTION("""COMPUTED_VALUE"""),2026)</f>
        <v>2026</v>
      </c>
      <c r="C128" s="56">
        <f ca="1">IFERROR(__xludf.DUMMYFUNCTION("""COMPUTED_VALUE"""),1)</f>
        <v>1</v>
      </c>
      <c r="D128" s="33" t="str">
        <f ca="1">IFERROR(__xludf.DUMMYFUNCTION("""COMPUTED_VALUE"""),"NO")</f>
        <v>NO</v>
      </c>
      <c r="E128" s="33" t="str">
        <f ca="1">IFERROR(__xludf.DUMMYFUNCTION("""COMPUTED_VALUE"""),"Madrid- Monforte de Lemos")</f>
        <v>Madrid- Monforte de Lemos</v>
      </c>
      <c r="F128" s="57">
        <f ca="1">IFERROR(__xludf.DUMMYFUNCTION("""COMPUTED_VALUE"""),46052)</f>
        <v>46052</v>
      </c>
      <c r="G128" s="57">
        <f ca="1">IFERROR(__xludf.DUMMYFUNCTION("""COMPUTED_VALUE"""),46034)</f>
        <v>46034</v>
      </c>
      <c r="H128" s="33" t="str">
        <f ca="1">IFERROR(__xludf.DUMMYFUNCTION("""COMPUTED_VALUE"""),"La Vaguada")</f>
        <v>La Vaguada</v>
      </c>
      <c r="I128" s="33" t="str">
        <f ca="1">IFERROR(__xludf.DUMMYFUNCTION("""COMPUTED_VALUE"""),"C202611216253638956")</f>
        <v>C202611216253638956</v>
      </c>
      <c r="J128" s="33" t="str">
        <f ca="1">IFERROR(__xludf.DUMMYFUNCTION("""COMPUTED_VALUE"""),"MARIA ANGELES GONZALEZ SAMALEA")</f>
        <v>MARIA ANGELES GONZALEZ SAMALEA</v>
      </c>
      <c r="K128" s="56">
        <f ca="1">IFERROR(__xludf.DUMMYFUNCTION("""COMPUTED_VALUE"""),2)</f>
        <v>2</v>
      </c>
      <c r="L128" s="62">
        <f ca="1">IFERROR(__xludf.DUMMYFUNCTION("""COMPUTED_VALUE"""),3631.82)</f>
        <v>3631.82</v>
      </c>
      <c r="M128" s="33" t="str">
        <f ca="1">IFERROR(__xludf.DUMMYFUNCTION("""COMPUTED_VALUE"""),"03 ORL")</f>
        <v>03 ORL</v>
      </c>
      <c r="N128" s="33" t="str">
        <f ca="1">IFERROR(__xludf.DUMMYFUNCTION("""COMPUTED_VALUE"""),"06 ORL")</f>
        <v>06 ORL</v>
      </c>
      <c r="O128" s="33" t="str">
        <f ca="1">IFERROR(__xludf.DUMMYFUNCTION("""COMPUTED_VALUE"""),"Dra, Blanca Mateos Serrano")</f>
        <v>Dra, Blanca Mateos Serrano</v>
      </c>
      <c r="P128" s="33" t="str">
        <f ca="1">IFERROR(__xludf.DUMMYFUNCTION("""COMPUTED_VALUE"""),"Lisandro Russian (Madrid, Cáceres, Toledo, Talavera y Logroño)")</f>
        <v>Lisandro Russian (Madrid, Cáceres, Toledo, Talavera y Logroño)</v>
      </c>
    </row>
    <row r="129" spans="2:16">
      <c r="B129" s="74">
        <f ca="1">IFERROR(__xludf.DUMMYFUNCTION("""COMPUTED_VALUE"""),2026)</f>
        <v>2026</v>
      </c>
      <c r="C129" s="56">
        <f ca="1">IFERROR(__xludf.DUMMYFUNCTION("""COMPUTED_VALUE"""),1)</f>
        <v>1</v>
      </c>
      <c r="D129" s="33" t="str">
        <f ca="1">IFERROR(__xludf.DUMMYFUNCTION("""COMPUTED_VALUE"""),"NO")</f>
        <v>NO</v>
      </c>
      <c r="E129" s="33" t="str">
        <f ca="1">IFERROR(__xludf.DUMMYFUNCTION("""COMPUTED_VALUE"""),"Ponferrada")</f>
        <v>Ponferrada</v>
      </c>
      <c r="F129" s="57">
        <f ca="1">IFERROR(__xludf.DUMMYFUNCTION("""COMPUTED_VALUE"""),46052)</f>
        <v>46052</v>
      </c>
      <c r="G129" s="57">
        <f ca="1">IFERROR(__xludf.DUMMYFUNCTION("""COMPUTED_VALUE"""),45862)</f>
        <v>45862</v>
      </c>
      <c r="H129" s="33" t="str">
        <f ca="1">IFERROR(__xludf.DUMMYFUNCTION("""COMPUTED_VALUE"""),"Ponferrada")</f>
        <v>Ponferrada</v>
      </c>
      <c r="I129" s="33" t="str">
        <f ca="1">IFERROR(__xludf.DUMMYFUNCTION("""COMPUTED_VALUE"""),"PON-952")</f>
        <v>PON-952</v>
      </c>
      <c r="J129" s="33" t="str">
        <f ca="1">IFERROR(__xludf.DUMMYFUNCTION("""COMPUTED_VALUE"""),"LEONOR PEREIRA LOPEZ")</f>
        <v>LEONOR PEREIRA LOPEZ</v>
      </c>
      <c r="K129" s="56">
        <f ca="1">IFERROR(__xludf.DUMMYFUNCTION("""COMPUTED_VALUE"""),2)</f>
        <v>2</v>
      </c>
      <c r="L129" s="62">
        <f ca="1">IFERROR(__xludf.DUMMYFUNCTION("""COMPUTED_VALUE"""),2234.85)</f>
        <v>2234.85</v>
      </c>
      <c r="M129" s="33" t="str">
        <f ca="1">IFERROR(__xludf.DUMMYFUNCTION("""COMPUTED_VALUE"""),"03 ORL")</f>
        <v>03 ORL</v>
      </c>
      <c r="N129" s="33" t="str">
        <f ca="1">IFERROR(__xludf.DUMMYFUNCTION("""COMPUTED_VALUE"""),"06 ORL")</f>
        <v>06 ORL</v>
      </c>
      <c r="O129" s="33" t="str">
        <f ca="1">IFERROR(__xludf.DUMMYFUNCTION("""COMPUTED_VALUE"""),"Dra, Xenia Mota Rojas")</f>
        <v>Dra, Xenia Mota Rojas</v>
      </c>
      <c r="P129" s="33" t="str">
        <f ca="1">IFERROR(__xludf.DUMMYFUNCTION("""COMPUTED_VALUE"""),"Alberto Moreno (Madrid)")</f>
        <v>Alberto Moreno (Madrid)</v>
      </c>
    </row>
    <row r="130" spans="2:16">
      <c r="B130" s="74">
        <f ca="1">IFERROR(__xludf.DUMMYFUNCTION("""COMPUTED_VALUE"""),2026)</f>
        <v>2026</v>
      </c>
      <c r="C130" s="56">
        <f ca="1">IFERROR(__xludf.DUMMYFUNCTION("""COMPUTED_VALUE"""),1)</f>
        <v>1</v>
      </c>
      <c r="D130" s="33" t="str">
        <f ca="1">IFERROR(__xludf.DUMMYFUNCTION("""COMPUTED_VALUE"""),"NO")</f>
        <v>NO</v>
      </c>
      <c r="E130" s="33" t="str">
        <f ca="1">IFERROR(__xludf.DUMMYFUNCTION("""COMPUTED_VALUE"""),"Logroño")</f>
        <v>Logroño</v>
      </c>
      <c r="F130" s="57">
        <f ca="1">IFERROR(__xludf.DUMMYFUNCTION("""COMPUTED_VALUE"""),46053)</f>
        <v>46053</v>
      </c>
      <c r="G130" s="57">
        <f ca="1">IFERROR(__xludf.DUMMYFUNCTION("""COMPUTED_VALUE"""),46010)</f>
        <v>46010</v>
      </c>
      <c r="H130" s="33" t="str">
        <f ca="1">IFERROR(__xludf.DUMMYFUNCTION("""COMPUTED_VALUE"""),"Logroño")</f>
        <v>Logroño</v>
      </c>
      <c r="I130" s="33" t="str">
        <f ca="1">IFERROR(__xludf.DUMMYFUNCTION("""COMPUTED_VALUE"""),"C202512191195736605")</f>
        <v>C202512191195736605</v>
      </c>
      <c r="J130" s="33" t="str">
        <f ca="1">IFERROR(__xludf.DUMMYFUNCTION("""COMPUTED_VALUE"""),"ISABEL MAISO SAENZ")</f>
        <v>ISABEL MAISO SAENZ</v>
      </c>
      <c r="K130" s="56">
        <f ca="1">IFERROR(__xludf.DUMMYFUNCTION("""COMPUTED_VALUE"""),2)</f>
        <v>2</v>
      </c>
      <c r="L130" s="62">
        <f ca="1">IFERROR(__xludf.DUMMYFUNCTION("""COMPUTED_VALUE"""),3929.55)</f>
        <v>3929.55</v>
      </c>
      <c r="M130" s="33" t="str">
        <f ca="1">IFERROR(__xludf.DUMMYFUNCTION("""COMPUTED_VALUE"""),"03 ORL")</f>
        <v>03 ORL</v>
      </c>
      <c r="N130" s="33" t="str">
        <f ca="1">IFERROR(__xludf.DUMMYFUNCTION("""COMPUTED_VALUE"""),"06 ORL")</f>
        <v>06 ORL</v>
      </c>
      <c r="O130" s="33" t="str">
        <f ca="1">IFERROR(__xludf.DUMMYFUNCTION("""COMPUTED_VALUE"""),"Dr, Pablo Luis Vega Gajón")</f>
        <v>Dr, Pablo Luis Vega Gajón</v>
      </c>
      <c r="P130" s="33" t="str">
        <f ca="1">IFERROR(__xludf.DUMMYFUNCTION("""COMPUTED_VALUE"""),"Lisandro Russian (Madrid, Cáceres, Toledo, Talavera y Logroño)")</f>
        <v>Lisandro Russian (Madrid, Cáceres, Toledo, Talavera y Logroño)</v>
      </c>
    </row>
    <row r="131" spans="2:16">
      <c r="B131" s="74">
        <f ca="1">IFERROR(__xludf.DUMMYFUNCTION("""COMPUTED_VALUE"""),2026)</f>
        <v>2026</v>
      </c>
      <c r="C131" s="56">
        <f ca="1">IFERROR(__xludf.DUMMYFUNCTION("""COMPUTED_VALUE"""),1)</f>
        <v>1</v>
      </c>
      <c r="D131" s="33" t="str">
        <f ca="1">IFERROR(__xludf.DUMMYFUNCTION("""COMPUTED_VALUE"""),"NO")</f>
        <v>NO</v>
      </c>
      <c r="E131" s="33" t="str">
        <f ca="1">IFERROR(__xludf.DUMMYFUNCTION("""COMPUTED_VALUE"""),"Vilanova")</f>
        <v>Vilanova</v>
      </c>
      <c r="F131" s="57">
        <f ca="1">IFERROR(__xludf.DUMMYFUNCTION("""COMPUTED_VALUE"""),46053)</f>
        <v>46053</v>
      </c>
      <c r="G131" s="57">
        <f ca="1">IFERROR(__xludf.DUMMYFUNCTION("""COMPUTED_VALUE"""),45579)</f>
        <v>45579</v>
      </c>
      <c r="H131" s="33" t="str">
        <f ca="1">IFERROR(__xludf.DUMMYFUNCTION("""COMPUTED_VALUE"""),"Vilanova")</f>
        <v>Vilanova</v>
      </c>
      <c r="I131" s="33" t="str">
        <f ca="1">IFERROR(__xludf.DUMMYFUNCTION("""COMPUTED_VALUE"""),"C202410189243369")</f>
        <v>C202410189243369</v>
      </c>
      <c r="J131" s="33" t="str">
        <f ca="1">IFERROR(__xludf.DUMMYFUNCTION("""COMPUTED_VALUE"""),"Benito Martínez Rodríguez")</f>
        <v>Benito Martínez Rodríguez</v>
      </c>
      <c r="K131" s="56">
        <f ca="1">IFERROR(__xludf.DUMMYFUNCTION("""COMPUTED_VALUE"""),2)</f>
        <v>2</v>
      </c>
      <c r="L131" s="62">
        <f ca="1">IFERROR(__xludf.DUMMYFUNCTION("""COMPUTED_VALUE"""),4136.36)</f>
        <v>4136.3599999999997</v>
      </c>
      <c r="M131" s="33" t="str">
        <f ca="1">IFERROR(__xludf.DUMMYFUNCTION("""COMPUTED_VALUE"""),"03 ORL")</f>
        <v>03 ORL</v>
      </c>
      <c r="N131" s="33" t="str">
        <f ca="1">IFERROR(__xludf.DUMMYFUNCTION("""COMPUTED_VALUE"""),"06 ORL")</f>
        <v>06 ORL</v>
      </c>
      <c r="O131" s="33" t="str">
        <f ca="1">IFERROR(__xludf.DUMMYFUNCTION("""COMPUTED_VALUE"""),"Dr, Enrique Romero Van Abeleen")</f>
        <v>Dr, Enrique Romero Van Abeleen</v>
      </c>
      <c r="P131" s="33" t="str">
        <f ca="1">IFERROR(__xludf.DUMMYFUNCTION("""COMPUTED_VALUE"""),"Mercè Cabrera (Cataluña y Baleares)")</f>
        <v>Mercè Cabrera (Cataluña y Baleares)</v>
      </c>
    </row>
    <row r="132" spans="2:16">
      <c r="B132" s="74">
        <f ca="1">IFERROR(__xludf.DUMMYFUNCTION("""COMPUTED_VALUE"""),2026)</f>
        <v>2026</v>
      </c>
      <c r="C132" s="56">
        <f ca="1">IFERROR(__xludf.DUMMYFUNCTION("""COMPUTED_VALUE"""),2)</f>
        <v>2</v>
      </c>
      <c r="D132" s="33" t="str">
        <f ca="1">IFERROR(__xludf.DUMMYFUNCTION("""COMPUTED_VALUE"""),"NO")</f>
        <v>NO</v>
      </c>
      <c r="E132" s="33" t="str">
        <f ca="1">IFERROR(__xludf.DUMMYFUNCTION("""COMPUTED_VALUE"""),"Cáceres")</f>
        <v>Cáceres</v>
      </c>
      <c r="F132" s="57">
        <f ca="1">IFERROR(__xludf.DUMMYFUNCTION("""COMPUTED_VALUE"""),46055)</f>
        <v>46055</v>
      </c>
      <c r="G132" s="57">
        <f ca="1">IFERROR(__xludf.DUMMYFUNCTION("""COMPUTED_VALUE"""),46000)</f>
        <v>46000</v>
      </c>
      <c r="H132" s="33" t="str">
        <f ca="1">IFERROR(__xludf.DUMMYFUNCTION("""COMPUTED_VALUE"""),"Cáceres")</f>
        <v>Cáceres</v>
      </c>
      <c r="I132" s="33" t="str">
        <f ca="1">IFERROR(__xludf.DUMMYFUNCTION("""COMPUTED_VALUE"""),"C202512912351409581")</f>
        <v>C202512912351409581</v>
      </c>
      <c r="J132" s="33" t="str">
        <f ca="1">IFERROR(__xludf.DUMMYFUNCTION("""COMPUTED_VALUE"""),"MARIA LUISA MERCEDES HERNANDEZ NOTARIO")</f>
        <v>MARIA LUISA MERCEDES HERNANDEZ NOTARIO</v>
      </c>
      <c r="K132" s="56">
        <f ca="1">IFERROR(__xludf.DUMMYFUNCTION("""COMPUTED_VALUE"""),2)</f>
        <v>2</v>
      </c>
      <c r="L132" s="62">
        <f ca="1">IFERROR(__xludf.DUMMYFUNCTION("""COMPUTED_VALUE"""),4990.91)</f>
        <v>4990.91</v>
      </c>
      <c r="M132" s="33" t="str">
        <f ca="1">IFERROR(__xludf.DUMMYFUNCTION("""COMPUTED_VALUE"""),"03 ORL")</f>
        <v>03 ORL</v>
      </c>
      <c r="N132" s="33" t="str">
        <f ca="1">IFERROR(__xludf.DUMMYFUNCTION("""COMPUTED_VALUE"""),"06 ORL")</f>
        <v>06 ORL</v>
      </c>
      <c r="O132" s="33" t="str">
        <f ca="1">IFERROR(__xludf.DUMMYFUNCTION("""COMPUTED_VALUE"""),"Dr, Javier García Gómez")</f>
        <v>Dr, Javier García Gómez</v>
      </c>
      <c r="P132" s="33" t="str">
        <f ca="1">IFERROR(__xludf.DUMMYFUNCTION("""COMPUTED_VALUE"""),"Lisandro Russian (Madrid, Cáceres, Toledo, Talavera y Logroño)")</f>
        <v>Lisandro Russian (Madrid, Cáceres, Toledo, Talavera y Logroño)</v>
      </c>
    </row>
    <row r="133" spans="2:16">
      <c r="B133" s="74">
        <f ca="1">IFERROR(__xludf.DUMMYFUNCTION("""COMPUTED_VALUE"""),2026)</f>
        <v>2026</v>
      </c>
      <c r="C133" s="56">
        <f ca="1">IFERROR(__xludf.DUMMYFUNCTION("""COMPUTED_VALUE"""),2)</f>
        <v>2</v>
      </c>
      <c r="D133" s="33" t="str">
        <f ca="1">IFERROR(__xludf.DUMMYFUNCTION("""COMPUTED_VALUE"""),"NO")</f>
        <v>NO</v>
      </c>
      <c r="E133" s="33" t="str">
        <f ca="1">IFERROR(__xludf.DUMMYFUNCTION("""COMPUTED_VALUE"""),"Sevilla- Montoto")</f>
        <v>Sevilla- Montoto</v>
      </c>
      <c r="F133" s="57">
        <f ca="1">IFERROR(__xludf.DUMMYFUNCTION("""COMPUTED_VALUE"""),46056)</f>
        <v>46056</v>
      </c>
      <c r="G133" s="57">
        <f ca="1">IFERROR(__xludf.DUMMYFUNCTION("""COMPUTED_VALUE"""),46036)</f>
        <v>46036</v>
      </c>
      <c r="H133" s="33" t="str">
        <f ca="1">IFERROR(__xludf.DUMMYFUNCTION("""COMPUTED_VALUE"""),"Montoto")</f>
        <v>Montoto</v>
      </c>
      <c r="I133" s="33" t="str">
        <f ca="1">IFERROR(__xludf.DUMMYFUNCTION("""COMPUTED_VALUE"""),"C202611413142736675")</f>
        <v>C202611413142736675</v>
      </c>
      <c r="J133" s="33" t="str">
        <f ca="1">IFERROR(__xludf.DUMMYFUNCTION("""COMPUTED_VALUE"""),"ANDRES MONTERO MALDONADO")</f>
        <v>ANDRES MONTERO MALDONADO</v>
      </c>
      <c r="K133" s="56">
        <f ca="1">IFERROR(__xludf.DUMMYFUNCTION("""COMPUTED_VALUE"""),2)</f>
        <v>2</v>
      </c>
      <c r="L133" s="62">
        <f ca="1">IFERROR(__xludf.DUMMYFUNCTION("""COMPUTED_VALUE"""),3631.82)</f>
        <v>3631.82</v>
      </c>
      <c r="M133" s="33" t="str">
        <f ca="1">IFERROR(__xludf.DUMMYFUNCTION("""COMPUTED_VALUE"""),"03 ORL")</f>
        <v>03 ORL</v>
      </c>
      <c r="N133" s="33" t="str">
        <f ca="1">IFERROR(__xludf.DUMMYFUNCTION("""COMPUTED_VALUE"""),"06 ORL")</f>
        <v>06 ORL</v>
      </c>
      <c r="O133" s="33" t="str">
        <f ca="1">IFERROR(__xludf.DUMMYFUNCTION("""COMPUTED_VALUE"""),"Dra, Marta Álvarez Cendrero")</f>
        <v>Dra, Marta Álvarez Cendrero</v>
      </c>
      <c r="P133" s="33" t="str">
        <f ca="1">IFERROR(__xludf.DUMMYFUNCTION("""COMPUTED_VALUE"""),"Luis Alberto Rodríguez (Andalucía y Badajoz)")</f>
        <v>Luis Alberto Rodríguez (Andalucía y Badajoz)</v>
      </c>
    </row>
    <row r="134" spans="2:16">
      <c r="B134" s="74">
        <f ca="1">IFERROR(__xludf.DUMMYFUNCTION("""COMPUTED_VALUE"""),2026)</f>
        <v>2026</v>
      </c>
      <c r="C134" s="56">
        <f ca="1">IFERROR(__xludf.DUMMYFUNCTION("""COMPUTED_VALUE"""),2)</f>
        <v>2</v>
      </c>
      <c r="D134" s="33" t="str">
        <f ca="1">IFERROR(__xludf.DUMMYFUNCTION("""COMPUTED_VALUE"""),"NO")</f>
        <v>NO</v>
      </c>
      <c r="E134" s="33" t="str">
        <f ca="1">IFERROR(__xludf.DUMMYFUNCTION("""COMPUTED_VALUE"""),"Badajoz")</f>
        <v>Badajoz</v>
      </c>
      <c r="F134" s="57">
        <f ca="1">IFERROR(__xludf.DUMMYFUNCTION("""COMPUTED_VALUE"""),46056)</f>
        <v>46056</v>
      </c>
      <c r="G134" s="57">
        <f ca="1">IFERROR(__xludf.DUMMYFUNCTION("""COMPUTED_VALUE"""),45995)</f>
        <v>45995</v>
      </c>
      <c r="H134" s="33" t="str">
        <f ca="1">IFERROR(__xludf.DUMMYFUNCTION("""COMPUTED_VALUE"""),"Badajoz")</f>
        <v>Badajoz</v>
      </c>
      <c r="I134" s="33" t="str">
        <f ca="1">IFERROR(__xludf.DUMMYFUNCTION("""COMPUTED_VALUE"""),"C202512411361286426")</f>
        <v>C202512411361286426</v>
      </c>
      <c r="J134" s="33" t="str">
        <f ca="1">IFERROR(__xludf.DUMMYFUNCTION("""COMPUTED_VALUE"""),"JESUS ORTEGA SOLIS")</f>
        <v>JESUS ORTEGA SOLIS</v>
      </c>
      <c r="K134" s="56">
        <f ca="1">IFERROR(__xludf.DUMMYFUNCTION("""COMPUTED_VALUE"""),2)</f>
        <v>2</v>
      </c>
      <c r="L134" s="62">
        <f ca="1">IFERROR(__xludf.DUMMYFUNCTION("""COMPUTED_VALUE"""),4536.36)</f>
        <v>4536.3599999999997</v>
      </c>
      <c r="M134" s="33" t="str">
        <f ca="1">IFERROR(__xludf.DUMMYFUNCTION("""COMPUTED_VALUE"""),"03 ORL")</f>
        <v>03 ORL</v>
      </c>
      <c r="N134" s="33" t="str">
        <f ca="1">IFERROR(__xludf.DUMMYFUNCTION("""COMPUTED_VALUE"""),"06 ORL")</f>
        <v>06 ORL</v>
      </c>
      <c r="O134" s="33" t="str">
        <f ca="1">IFERROR(__xludf.DUMMYFUNCTION("""COMPUTED_VALUE"""),"Dr, Tomas Mogollon Cano Cortes")</f>
        <v>Dr, Tomas Mogollon Cano Cortes</v>
      </c>
      <c r="P134" s="33" t="str">
        <f ca="1">IFERROR(__xludf.DUMMYFUNCTION("""COMPUTED_VALUE"""),"Luis Alberto Rodríguez (Andalucía y Badajoz)")</f>
        <v>Luis Alberto Rodríguez (Andalucía y Badajoz)</v>
      </c>
    </row>
    <row r="135" spans="2:16">
      <c r="B135" s="74">
        <f ca="1">IFERROR(__xludf.DUMMYFUNCTION("""COMPUTED_VALUE"""),2026)</f>
        <v>2026</v>
      </c>
      <c r="C135" s="56">
        <f ca="1">IFERROR(__xludf.DUMMYFUNCTION("""COMPUTED_VALUE"""),2)</f>
        <v>2</v>
      </c>
      <c r="D135" s="33" t="str">
        <f ca="1">IFERROR(__xludf.DUMMYFUNCTION("""COMPUTED_VALUE"""),"NO")</f>
        <v>NO</v>
      </c>
      <c r="E135" s="33" t="str">
        <f ca="1">IFERROR(__xludf.DUMMYFUNCTION("""COMPUTED_VALUE"""),"Toledo")</f>
        <v>Toledo</v>
      </c>
      <c r="F135" s="57">
        <f ca="1">IFERROR(__xludf.DUMMYFUNCTION("""COMPUTED_VALUE"""),46056)</f>
        <v>46056</v>
      </c>
      <c r="G135" s="57">
        <f ca="1">IFERROR(__xludf.DUMMYFUNCTION("""COMPUTED_VALUE"""),45966)</f>
        <v>45966</v>
      </c>
      <c r="H135" s="33" t="str">
        <f ca="1">IFERROR(__xludf.DUMMYFUNCTION("""COMPUTED_VALUE"""),"Toledo")</f>
        <v>Toledo</v>
      </c>
      <c r="I135" s="33" t="str">
        <f ca="1">IFERROR(__xludf.DUMMYFUNCTION("""COMPUTED_VALUE"""),"C202511583355498218")</f>
        <v>C202511583355498218</v>
      </c>
      <c r="J135" s="33" t="str">
        <f ca="1">IFERROR(__xludf.DUMMYFUNCTION("""COMPUTED_VALUE"""),"MARÍA DOLORES GUERRA GONZALEZ")</f>
        <v>MARÍA DOLORES GUERRA GONZALEZ</v>
      </c>
      <c r="K135" s="56">
        <f ca="1">IFERROR(__xludf.DUMMYFUNCTION("""COMPUTED_VALUE"""),2)</f>
        <v>2</v>
      </c>
      <c r="L135" s="62">
        <f ca="1">IFERROR(__xludf.DUMMYFUNCTION("""COMPUTED_VALUE"""),4136.36)</f>
        <v>4136.3599999999997</v>
      </c>
      <c r="M135" s="33" t="str">
        <f ca="1">IFERROR(__xludf.DUMMYFUNCTION("""COMPUTED_VALUE"""),"01 MARKETING ON LINE")</f>
        <v>01 MARKETING ON LINE</v>
      </c>
      <c r="N135" s="33" t="str">
        <f ca="1">IFERROR(__xludf.DUMMYFUNCTION("""COMPUTED_VALUE"""),"02 GOOGLE")</f>
        <v>02 GOOGLE</v>
      </c>
      <c r="O135" s="33" t="str">
        <f ca="1">IFERROR(__xludf.DUMMYFUNCTION("""COMPUTED_VALUE"""),"Dra, María Eva Ruiz de Gauna Martín")</f>
        <v>Dra, María Eva Ruiz de Gauna Martín</v>
      </c>
      <c r="P135" s="33" t="str">
        <f ca="1">IFERROR(__xludf.DUMMYFUNCTION("""COMPUTED_VALUE"""),"Lisandro Russian (Madrid, Cáceres, Toledo, Talavera y Logroño)")</f>
        <v>Lisandro Russian (Madrid, Cáceres, Toledo, Talavera y Logroño)</v>
      </c>
    </row>
    <row r="136" spans="2:16">
      <c r="B136" s="74">
        <f ca="1">IFERROR(__xludf.DUMMYFUNCTION("""COMPUTED_VALUE"""),2026)</f>
        <v>2026</v>
      </c>
      <c r="C136" s="56">
        <f ca="1">IFERROR(__xludf.DUMMYFUNCTION("""COMPUTED_VALUE"""),2)</f>
        <v>2</v>
      </c>
      <c r="D136" s="33" t="str">
        <f ca="1">IFERROR(__xludf.DUMMYFUNCTION("""COMPUTED_VALUE"""),"SI")</f>
        <v>SI</v>
      </c>
      <c r="E136" s="33" t="str">
        <f ca="1">IFERROR(__xludf.DUMMYFUNCTION("""COMPUTED_VALUE"""),"Logroño")</f>
        <v>Logroño</v>
      </c>
      <c r="F136" s="57">
        <f ca="1">IFERROR(__xludf.DUMMYFUNCTION("""COMPUTED_VALUE"""),46058)</f>
        <v>46058</v>
      </c>
      <c r="G136" s="57">
        <f ca="1">IFERROR(__xludf.DUMMYFUNCTION("""COMPUTED_VALUE"""),44862)</f>
        <v>44862</v>
      </c>
      <c r="H136" s="33" t="str">
        <f ca="1">IFERROR(__xludf.DUMMYFUNCTION("""COMPUTED_VALUE"""),"Logroño")</f>
        <v>Logroño</v>
      </c>
      <c r="I136" s="33" t="str">
        <f ca="1">IFERROR(__xludf.DUMMYFUNCTION("""COMPUTED_VALUE"""),"LOG-985")</f>
        <v>LOG-985</v>
      </c>
      <c r="J136" s="33" t="str">
        <f ca="1">IFERROR(__xludf.DUMMYFUNCTION("""COMPUTED_VALUE"""),"FELIX ÁNGEL GÓMEZ MORENO")</f>
        <v>FELIX ÁNGEL GÓMEZ MORENO</v>
      </c>
      <c r="K136" s="56">
        <f ca="1">IFERROR(__xludf.DUMMYFUNCTION("""COMPUTED_VALUE"""),1)</f>
        <v>1</v>
      </c>
      <c r="L136" s="62">
        <f ca="1">IFERROR(__xludf.DUMMYFUNCTION("""COMPUTED_VALUE"""),1590.91)</f>
        <v>1590.91</v>
      </c>
      <c r="M136" s="33" t="str">
        <f ca="1">IFERROR(__xludf.DUMMYFUNCTION("""COMPUTED_VALUE"""),"04 TIENDA")</f>
        <v>04 TIENDA</v>
      </c>
      <c r="N136" s="33" t="str">
        <f ca="1">IFERROR(__xludf.DUMMYFUNCTION("""COMPUTED_VALUE"""),"10 REVISIÓN POST-VENTA")</f>
        <v>10 REVISIÓN POST-VENTA</v>
      </c>
      <c r="O136" s="33" t="str">
        <f ca="1">IFERROR(__xludf.DUMMYFUNCTION("""COMPUTED_VALUE"""),"Dra, Rebeca Barrios Gonzalo")</f>
        <v>Dra, Rebeca Barrios Gonzalo</v>
      </c>
      <c r="P136" s="33" t="str">
        <f ca="1">IFERROR(__xludf.DUMMYFUNCTION("""COMPUTED_VALUE"""),"Lisandro Russian (Madrid, Cáceres, Toledo, Talavera y Logroño)")</f>
        <v>Lisandro Russian (Madrid, Cáceres, Toledo, Talavera y Logroño)</v>
      </c>
    </row>
    <row r="137" spans="2:16">
      <c r="B137" s="74">
        <f ca="1">IFERROR(__xludf.DUMMYFUNCTION("""COMPUTED_VALUE"""),2026)</f>
        <v>2026</v>
      </c>
      <c r="C137" s="56">
        <f ca="1">IFERROR(__xludf.DUMMYFUNCTION("""COMPUTED_VALUE"""),2)</f>
        <v>2</v>
      </c>
      <c r="D137" s="33" t="str">
        <f ca="1">IFERROR(__xludf.DUMMYFUNCTION("""COMPUTED_VALUE"""),"NO")</f>
        <v>NO</v>
      </c>
      <c r="E137" s="33" t="str">
        <f ca="1">IFERROR(__xludf.DUMMYFUNCTION("""COMPUTED_VALUE"""),"Ourense")</f>
        <v>Ourense</v>
      </c>
      <c r="F137" s="57">
        <f ca="1">IFERROR(__xludf.DUMMYFUNCTION("""COMPUTED_VALUE"""),46058)</f>
        <v>46058</v>
      </c>
      <c r="G137" s="57">
        <f ca="1">IFERROR(__xludf.DUMMYFUNCTION("""COMPUTED_VALUE"""),46030)</f>
        <v>46030</v>
      </c>
      <c r="H137" s="33" t="str">
        <f ca="1">IFERROR(__xludf.DUMMYFUNCTION("""COMPUTED_VALUE"""),"Orense")</f>
        <v>Orense</v>
      </c>
      <c r="I137" s="33" t="str">
        <f ca="1">IFERROR(__xludf.DUMMYFUNCTION("""COMPUTED_VALUE"""),"C20261814759602992")</f>
        <v>C20261814759602992</v>
      </c>
      <c r="J137" s="33" t="str">
        <f ca="1">IFERROR(__xludf.DUMMYFUNCTION("""COMPUTED_VALUE"""),"LEONILDE DO ESPIRITU SANTO")</f>
        <v>LEONILDE DO ESPIRITU SANTO</v>
      </c>
      <c r="K137" s="56">
        <f ca="1">IFERROR(__xludf.DUMMYFUNCTION("""COMPUTED_VALUE"""),2)</f>
        <v>2</v>
      </c>
      <c r="L137" s="62">
        <f ca="1">IFERROR(__xludf.DUMMYFUNCTION("""COMPUTED_VALUE"""),2718.18)</f>
        <v>2718.18</v>
      </c>
      <c r="M137" s="33" t="str">
        <f ca="1">IFERROR(__xludf.DUMMYFUNCTION("""COMPUTED_VALUE"""),"03 ORL")</f>
        <v>03 ORL</v>
      </c>
      <c r="N137" s="33" t="str">
        <f ca="1">IFERROR(__xludf.DUMMYFUNCTION("""COMPUTED_VALUE"""),"06 ORL")</f>
        <v>06 ORL</v>
      </c>
      <c r="O137" s="33" t="str">
        <f ca="1">IFERROR(__xludf.DUMMYFUNCTION("""COMPUTED_VALUE"""),"No recuerda ORL")</f>
        <v>No recuerda ORL</v>
      </c>
      <c r="P137" s="33" t="str">
        <f ca="1">IFERROR(__xludf.DUMMYFUNCTION("""COMPUTED_VALUE"""),"Kiko Ortega (Galicia)")</f>
        <v>Kiko Ortega (Galicia)</v>
      </c>
    </row>
    <row r="138" spans="2:16">
      <c r="B138" s="74">
        <f ca="1">IFERROR(__xludf.DUMMYFUNCTION("""COMPUTED_VALUE"""),2026)</f>
        <v>2026</v>
      </c>
      <c r="C138" s="56">
        <f ca="1">IFERROR(__xludf.DUMMYFUNCTION("""COMPUTED_VALUE"""),2)</f>
        <v>2</v>
      </c>
      <c r="D138" s="33" t="str">
        <f ca="1">IFERROR(__xludf.DUMMYFUNCTION("""COMPUTED_VALUE"""),"SI")</f>
        <v>SI</v>
      </c>
      <c r="E138" s="33" t="str">
        <f ca="1">IFERROR(__xludf.DUMMYFUNCTION("""COMPUTED_VALUE"""),"Ponferrada")</f>
        <v>Ponferrada</v>
      </c>
      <c r="F138" s="57">
        <f ca="1">IFERROR(__xludf.DUMMYFUNCTION("""COMPUTED_VALUE"""),46058)</f>
        <v>46058</v>
      </c>
      <c r="G138" s="57">
        <f ca="1">IFERROR(__xludf.DUMMYFUNCTION("""COMPUTED_VALUE"""),44336)</f>
        <v>44336</v>
      </c>
      <c r="H138" s="33" t="str">
        <f ca="1">IFERROR(__xludf.DUMMYFUNCTION("""COMPUTED_VALUE"""),"Ponferrada")</f>
        <v>Ponferrada</v>
      </c>
      <c r="I138" s="33" t="str">
        <f ca="1">IFERROR(__xludf.DUMMYFUNCTION("""COMPUTED_VALUE"""),"PON-168")</f>
        <v>PON-168</v>
      </c>
      <c r="J138" s="33" t="str">
        <f ca="1">IFERROR(__xludf.DUMMYFUNCTION("""COMPUTED_VALUE"""),"CATALINA EXPOSITO ALVES")</f>
        <v>CATALINA EXPOSITO ALVES</v>
      </c>
      <c r="K138" s="56">
        <f ca="1">IFERROR(__xludf.DUMMYFUNCTION("""COMPUTED_VALUE"""),2)</f>
        <v>2</v>
      </c>
      <c r="L138" s="62">
        <f ca="1">IFERROR(__xludf.DUMMYFUNCTION("""COMPUTED_VALUE"""),2454.55)</f>
        <v>2454.5500000000002</v>
      </c>
      <c r="M138" s="33" t="str">
        <f ca="1">IFERROR(__xludf.DUMMYFUNCTION("""COMPUTED_VALUE"""),"03 ORL")</f>
        <v>03 ORL</v>
      </c>
      <c r="N138" s="33" t="str">
        <f ca="1">IFERROR(__xludf.DUMMYFUNCTION("""COMPUTED_VALUE"""),"06 ORL")</f>
        <v>06 ORL</v>
      </c>
      <c r="O138" s="33" t="str">
        <f ca="1">IFERROR(__xludf.DUMMYFUNCTION("""COMPUTED_VALUE"""),"Dra, Diana Lysbeth Lourido Piedrahita")</f>
        <v>Dra, Diana Lysbeth Lourido Piedrahita</v>
      </c>
      <c r="P138" s="33" t="str">
        <f ca="1">IFERROR(__xludf.DUMMYFUNCTION("""COMPUTED_VALUE"""),"Alberto Moreno (Madrid)")</f>
        <v>Alberto Moreno (Madrid)</v>
      </c>
    </row>
    <row r="139" spans="2:16">
      <c r="B139" s="74">
        <f ca="1">IFERROR(__xludf.DUMMYFUNCTION("""COMPUTED_VALUE"""),2026)</f>
        <v>2026</v>
      </c>
      <c r="C139" s="56">
        <f ca="1">IFERROR(__xludf.DUMMYFUNCTION("""COMPUTED_VALUE"""),2)</f>
        <v>2</v>
      </c>
      <c r="D139" s="33" t="str">
        <f ca="1">IFERROR(__xludf.DUMMYFUNCTION("""COMPUTED_VALUE"""),"SI")</f>
        <v>SI</v>
      </c>
      <c r="E139" s="33" t="str">
        <f ca="1">IFERROR(__xludf.DUMMYFUNCTION("""COMPUTED_VALUE"""),"Ponferrada")</f>
        <v>Ponferrada</v>
      </c>
      <c r="F139" s="57">
        <f ca="1">IFERROR(__xludf.DUMMYFUNCTION("""COMPUTED_VALUE"""),46058)</f>
        <v>46058</v>
      </c>
      <c r="G139" s="57">
        <f ca="1">IFERROR(__xludf.DUMMYFUNCTION("""COMPUTED_VALUE"""),45671)</f>
        <v>45671</v>
      </c>
      <c r="H139" s="33" t="str">
        <f ca="1">IFERROR(__xludf.DUMMYFUNCTION("""COMPUTED_VALUE"""),"Ponferrada")</f>
        <v>Ponferrada</v>
      </c>
      <c r="I139" s="33" t="str">
        <f ca="1">IFERROR(__xludf.DUMMYFUNCTION("""COMPUTED_VALUE"""),"PON-860")</f>
        <v>PON-860</v>
      </c>
      <c r="J139" s="33" t="str">
        <f ca="1">IFERROR(__xludf.DUMMYFUNCTION("""COMPUTED_VALUE"""),"MARCELO PEREZ PANIZO")</f>
        <v>MARCELO PEREZ PANIZO</v>
      </c>
      <c r="K139" s="56">
        <f ca="1">IFERROR(__xludf.DUMMYFUNCTION("""COMPUTED_VALUE"""),1)</f>
        <v>1</v>
      </c>
      <c r="L139" s="62">
        <f ca="1">IFERROR(__xludf.DUMMYFUNCTION("""COMPUTED_VALUE"""),709.09)</f>
        <v>709.09</v>
      </c>
      <c r="M139" s="33" t="str">
        <f ca="1">IFERROR(__xludf.DUMMYFUNCTION("""COMPUTED_VALUE"""),"04 TIENDA")</f>
        <v>04 TIENDA</v>
      </c>
      <c r="N139" s="33" t="str">
        <f ca="1">IFERROR(__xludf.DUMMYFUNCTION("""COMPUTED_VALUE"""),"19 CLIENTE RECOMPRA ESPONTANEA")</f>
        <v>19 CLIENTE RECOMPRA ESPONTANEA</v>
      </c>
      <c r="O139" s="33" t="str">
        <f ca="1">IFERROR(__xludf.DUMMYFUNCTION("""COMPUTED_VALUE"""),"Dra, Mónica Granda Rosales")</f>
        <v>Dra, Mónica Granda Rosales</v>
      </c>
      <c r="P139" s="33" t="str">
        <f ca="1">IFERROR(__xludf.DUMMYFUNCTION("""COMPUTED_VALUE"""),"Alberto Moreno (Madrid)")</f>
        <v>Alberto Moreno (Madrid)</v>
      </c>
    </row>
    <row r="140" spans="2:16">
      <c r="B140" s="74">
        <f ca="1">IFERROR(__xludf.DUMMYFUNCTION("""COMPUTED_VALUE"""),2026)</f>
        <v>2026</v>
      </c>
      <c r="C140" s="56">
        <f ca="1">IFERROR(__xludf.DUMMYFUNCTION("""COMPUTED_VALUE"""),2)</f>
        <v>2</v>
      </c>
      <c r="D140" s="33" t="str">
        <f ca="1">IFERROR(__xludf.DUMMYFUNCTION("""COMPUTED_VALUE"""),"NO")</f>
        <v>NO</v>
      </c>
      <c r="E140" s="33" t="str">
        <f ca="1">IFERROR(__xludf.DUMMYFUNCTION("""COMPUTED_VALUE"""),"Getafe")</f>
        <v>Getafe</v>
      </c>
      <c r="F140" s="57">
        <f ca="1">IFERROR(__xludf.DUMMYFUNCTION("""COMPUTED_VALUE"""),46059)</f>
        <v>46059</v>
      </c>
      <c r="G140" s="57">
        <f ca="1">IFERROR(__xludf.DUMMYFUNCTION("""COMPUTED_VALUE"""),46031)</f>
        <v>46031</v>
      </c>
      <c r="H140" s="33" t="str">
        <f ca="1">IFERROR(__xludf.DUMMYFUNCTION("""COMPUTED_VALUE"""),"Getafe")</f>
        <v>Getafe</v>
      </c>
      <c r="I140" s="33" t="str">
        <f ca="1">IFERROR(__xludf.DUMMYFUNCTION("""COMPUTED_VALUE"""),"C202619111440167855")</f>
        <v>C202619111440167855</v>
      </c>
      <c r="J140" s="33" t="str">
        <f ca="1">IFERROR(__xludf.DUMMYFUNCTION("""COMPUTED_VALUE"""),"FRANCISCO CARBAJO FERNÁNDEZ")</f>
        <v>FRANCISCO CARBAJO FERNÁNDEZ</v>
      </c>
      <c r="K140" s="56">
        <f ca="1">IFERROR(__xludf.DUMMYFUNCTION("""COMPUTED_VALUE"""),2)</f>
        <v>2</v>
      </c>
      <c r="L140" s="62">
        <f ca="1">IFERROR(__xludf.DUMMYFUNCTION("""COMPUTED_VALUE"""),3631.81)</f>
        <v>3631.81</v>
      </c>
      <c r="M140" s="33" t="str">
        <f ca="1">IFERROR(__xludf.DUMMYFUNCTION("""COMPUTED_VALUE"""),"03 ORL")</f>
        <v>03 ORL</v>
      </c>
      <c r="N140" s="33" t="str">
        <f ca="1">IFERROR(__xludf.DUMMYFUNCTION("""COMPUTED_VALUE"""),"06 ORL")</f>
        <v>06 ORL</v>
      </c>
      <c r="O140" s="33" t="str">
        <f ca="1">IFERROR(__xludf.DUMMYFUNCTION("""COMPUTED_VALUE"""),"Dr, Jonathan Esteban Sánchez")</f>
        <v>Dr, Jonathan Esteban Sánchez</v>
      </c>
      <c r="P140" s="33" t="str">
        <f ca="1">IFERROR(__xludf.DUMMYFUNCTION("""COMPUTED_VALUE"""),"Maika Blázquez (Madrid)")</f>
        <v>Maika Blázquez (Madrid)</v>
      </c>
    </row>
    <row r="141" spans="2:16">
      <c r="B141" s="74">
        <f ca="1">IFERROR(__xludf.DUMMYFUNCTION("""COMPUTED_VALUE"""),2026)</f>
        <v>2026</v>
      </c>
      <c r="C141" s="56">
        <f ca="1">IFERROR(__xludf.DUMMYFUNCTION("""COMPUTED_VALUE"""),2)</f>
        <v>2</v>
      </c>
      <c r="D141" s="33" t="str">
        <f ca="1">IFERROR(__xludf.DUMMYFUNCTION("""COMPUTED_VALUE"""),"NO")</f>
        <v>NO</v>
      </c>
      <c r="E141" s="33" t="str">
        <f ca="1">IFERROR(__xludf.DUMMYFUNCTION("""COMPUTED_VALUE"""),"Madrid- La Oca")</f>
        <v>Madrid- La Oca</v>
      </c>
      <c r="F141" s="57">
        <f ca="1">IFERROR(__xludf.DUMMYFUNCTION("""COMPUTED_VALUE"""),46059)</f>
        <v>46059</v>
      </c>
      <c r="G141" s="57">
        <f ca="1">IFERROR(__xludf.DUMMYFUNCTION("""COMPUTED_VALUE"""),46034)</f>
        <v>46034</v>
      </c>
      <c r="H141" s="33" t="str">
        <f ca="1">IFERROR(__xludf.DUMMYFUNCTION("""COMPUTED_VALUE"""),"La Oca")</f>
        <v>La Oca</v>
      </c>
      <c r="I141" s="33" t="str">
        <f ca="1">IFERROR(__xludf.DUMMYFUNCTION("""COMPUTED_VALUE"""),"C202611217114067532")</f>
        <v>C202611217114067532</v>
      </c>
      <c r="J141" s="33" t="str">
        <f ca="1">IFERROR(__xludf.DUMMYFUNCTION("""COMPUTED_VALUE"""),"MARIA TERESA CASTRO RODRIGUEZ")</f>
        <v>MARIA TERESA CASTRO RODRIGUEZ</v>
      </c>
      <c r="K141" s="56">
        <f ca="1">IFERROR(__xludf.DUMMYFUNCTION("""COMPUTED_VALUE"""),2)</f>
        <v>2</v>
      </c>
      <c r="L141" s="62">
        <f ca="1">IFERROR(__xludf.DUMMYFUNCTION("""COMPUTED_VALUE"""),2718.18)</f>
        <v>2718.18</v>
      </c>
      <c r="M141" s="33" t="str">
        <f ca="1">IFERROR(__xludf.DUMMYFUNCTION("""COMPUTED_VALUE"""),"03 ORL")</f>
        <v>03 ORL</v>
      </c>
      <c r="N141" s="33" t="str">
        <f ca="1">IFERROR(__xludf.DUMMYFUNCTION("""COMPUTED_VALUE"""),"06 ORL")</f>
        <v>06 ORL</v>
      </c>
      <c r="O141" s="33" t="str">
        <f ca="1">IFERROR(__xludf.DUMMYFUNCTION("""COMPUTED_VALUE"""),"Dra, Laura Ruano De Pablo")</f>
        <v>Dra, Laura Ruano De Pablo</v>
      </c>
      <c r="P141" s="33" t="str">
        <f ca="1">IFERROR(__xludf.DUMMYFUNCTION("""COMPUTED_VALUE"""),"Maika Blázquez (Madrid)")</f>
        <v>Maika Blázquez (Madrid)</v>
      </c>
    </row>
    <row r="142" spans="2:16">
      <c r="B142" s="74">
        <f ca="1">IFERROR(__xludf.DUMMYFUNCTION("""COMPUTED_VALUE"""),2026)</f>
        <v>2026</v>
      </c>
      <c r="C142" s="56">
        <f ca="1">IFERROR(__xludf.DUMMYFUNCTION("""COMPUTED_VALUE"""),2)</f>
        <v>2</v>
      </c>
      <c r="D142" s="33" t="str">
        <f ca="1">IFERROR(__xludf.DUMMYFUNCTION("""COMPUTED_VALUE"""),"NO")</f>
        <v>NO</v>
      </c>
      <c r="E142" s="33" t="str">
        <f ca="1">IFERROR(__xludf.DUMMYFUNCTION("""COMPUTED_VALUE"""),"Madrid- Canillas")</f>
        <v>Madrid- Canillas</v>
      </c>
      <c r="F142" s="57">
        <f ca="1">IFERROR(__xludf.DUMMYFUNCTION("""COMPUTED_VALUE"""),46059)</f>
        <v>46059</v>
      </c>
      <c r="G142" s="57">
        <f ca="1">IFERROR(__xludf.DUMMYFUNCTION("""COMPUTED_VALUE"""),46037)</f>
        <v>46037</v>
      </c>
      <c r="H142" s="33" t="str">
        <f ca="1">IFERROR(__xludf.DUMMYFUNCTION("""COMPUTED_VALUE"""),"Canillas")</f>
        <v>Canillas</v>
      </c>
      <c r="I142" s="33" t="str">
        <f ca="1">IFERROR(__xludf.DUMMYFUNCTION("""COMPUTED_VALUE"""),"C202611511232378449")</f>
        <v>C202611511232378449</v>
      </c>
      <c r="J142" s="33" t="str">
        <f ca="1">IFERROR(__xludf.DUMMYFUNCTION("""COMPUTED_VALUE"""),"OREN ALMENDRO NEVADO")</f>
        <v>OREN ALMENDRO NEVADO</v>
      </c>
      <c r="K142" s="56">
        <f ca="1">IFERROR(__xludf.DUMMYFUNCTION("""COMPUTED_VALUE"""),2)</f>
        <v>2</v>
      </c>
      <c r="L142" s="62">
        <f ca="1">IFERROR(__xludf.DUMMYFUNCTION("""COMPUTED_VALUE"""),3930)</f>
        <v>3930</v>
      </c>
      <c r="M142" s="33" t="str">
        <f ca="1">IFERROR(__xludf.DUMMYFUNCTION("""COMPUTED_VALUE"""),"03 ORL")</f>
        <v>03 ORL</v>
      </c>
      <c r="N142" s="33" t="str">
        <f ca="1">IFERROR(__xludf.DUMMYFUNCTION("""COMPUTED_VALUE"""),"06 ORL")</f>
        <v>06 ORL</v>
      </c>
      <c r="O142" s="33" t="str">
        <f ca="1">IFERROR(__xludf.DUMMYFUNCTION("""COMPUTED_VALUE"""),"Dr, José Gustavo Barroso Braojos")</f>
        <v>Dr, José Gustavo Barroso Braojos</v>
      </c>
      <c r="P142" s="33" t="str">
        <f ca="1">IFERROR(__xludf.DUMMYFUNCTION("""COMPUTED_VALUE"""),"Maika Blázquez (Madrid)")</f>
        <v>Maika Blázquez (Madrid)</v>
      </c>
    </row>
    <row r="143" spans="2:16">
      <c r="B143" s="74">
        <f ca="1">IFERROR(__xludf.DUMMYFUNCTION("""COMPUTED_VALUE"""),2026)</f>
        <v>2026</v>
      </c>
      <c r="C143" s="56">
        <f ca="1">IFERROR(__xludf.DUMMYFUNCTION("""COMPUTED_VALUE"""),2)</f>
        <v>2</v>
      </c>
      <c r="D143" s="33" t="str">
        <f ca="1">IFERROR(__xludf.DUMMYFUNCTION("""COMPUTED_VALUE"""),"NO")</f>
        <v>NO</v>
      </c>
      <c r="E143" s="33" t="str">
        <f ca="1">IFERROR(__xludf.DUMMYFUNCTION("""COMPUTED_VALUE"""),"Getafe")</f>
        <v>Getafe</v>
      </c>
      <c r="F143" s="57">
        <f ca="1">IFERROR(__xludf.DUMMYFUNCTION("""COMPUTED_VALUE"""),46059)</f>
        <v>46059</v>
      </c>
      <c r="G143" s="57">
        <f ca="1">IFERROR(__xludf.DUMMYFUNCTION("""COMPUTED_VALUE"""),46017)</f>
        <v>46017</v>
      </c>
      <c r="H143" s="33" t="str">
        <f ca="1">IFERROR(__xludf.DUMMYFUNCTION("""COMPUTED_VALUE"""),"Getafe")</f>
        <v>Getafe</v>
      </c>
      <c r="I143" s="33" t="str">
        <f ca="1">IFERROR(__xludf.DUMMYFUNCTION("""COMPUTED_VALUE"""),"C202512261118280164")</f>
        <v>C202512261118280164</v>
      </c>
      <c r="J143" s="33" t="str">
        <f ca="1">IFERROR(__xludf.DUMMYFUNCTION("""COMPUTED_VALUE"""),"MARÍA PILAR GONZÁLEZ LÓPEZ")</f>
        <v>MARÍA PILAR GONZÁLEZ LÓPEZ</v>
      </c>
      <c r="K143" s="56">
        <f ca="1">IFERROR(__xludf.DUMMYFUNCTION("""COMPUTED_VALUE"""),2)</f>
        <v>2</v>
      </c>
      <c r="L143" s="62">
        <f ca="1">IFERROR(__xludf.DUMMYFUNCTION("""COMPUTED_VALUE"""),3631.82)</f>
        <v>3631.82</v>
      </c>
      <c r="M143" s="33" t="str">
        <f ca="1">IFERROR(__xludf.DUMMYFUNCTION("""COMPUTED_VALUE"""),"03 ORL")</f>
        <v>03 ORL</v>
      </c>
      <c r="N143" s="33" t="str">
        <f ca="1">IFERROR(__xludf.DUMMYFUNCTION("""COMPUTED_VALUE"""),"06 ORL")</f>
        <v>06 ORL</v>
      </c>
      <c r="O143" s="33" t="str">
        <f ca="1">IFERROR(__xludf.DUMMYFUNCTION("""COMPUTED_VALUE"""),"Dra, María Garrote Garrote")</f>
        <v>Dra, María Garrote Garrote</v>
      </c>
      <c r="P143" s="33" t="str">
        <f ca="1">IFERROR(__xludf.DUMMYFUNCTION("""COMPUTED_VALUE"""),"Maika Blázquez (Madrid)")</f>
        <v>Maika Blázquez (Madrid)</v>
      </c>
    </row>
    <row r="144" spans="2:16">
      <c r="B144" s="74">
        <f ca="1">IFERROR(__xludf.DUMMYFUNCTION("""COMPUTED_VALUE"""),2026)</f>
        <v>2026</v>
      </c>
      <c r="C144" s="56">
        <f ca="1">IFERROR(__xludf.DUMMYFUNCTION("""COMPUTED_VALUE"""),2)</f>
        <v>2</v>
      </c>
      <c r="D144" s="33" t="str">
        <f ca="1">IFERROR(__xludf.DUMMYFUNCTION("""COMPUTED_VALUE"""),"NO")</f>
        <v>NO</v>
      </c>
      <c r="E144" s="33" t="str">
        <f ca="1">IFERROR(__xludf.DUMMYFUNCTION("""COMPUTED_VALUE"""),"Almería")</f>
        <v>Almería</v>
      </c>
      <c r="F144" s="57">
        <f ca="1">IFERROR(__xludf.DUMMYFUNCTION("""COMPUTED_VALUE"""),46062)</f>
        <v>46062</v>
      </c>
      <c r="G144" s="57">
        <f ca="1">IFERROR(__xludf.DUMMYFUNCTION("""COMPUTED_VALUE"""),46037)</f>
        <v>46037</v>
      </c>
      <c r="H144" s="33" t="str">
        <f ca="1">IFERROR(__xludf.DUMMYFUNCTION("""COMPUTED_VALUE"""),"Almería")</f>
        <v>Almería</v>
      </c>
      <c r="I144" s="33" t="str">
        <f ca="1">IFERROR(__xludf.DUMMYFUNCTION("""COMPUTED_VALUE"""),"C202611510395603360")</f>
        <v>C202611510395603360</v>
      </c>
      <c r="J144" s="33" t="str">
        <f ca="1">IFERROR(__xludf.DUMMYFUNCTION("""COMPUTED_VALUE"""),"CARMEN FERNANDEZ HEREDIA")</f>
        <v>CARMEN FERNANDEZ HEREDIA</v>
      </c>
      <c r="K144" s="56">
        <f ca="1">IFERROR(__xludf.DUMMYFUNCTION("""COMPUTED_VALUE"""),2)</f>
        <v>2</v>
      </c>
      <c r="L144" s="62">
        <f ca="1">IFERROR(__xludf.DUMMYFUNCTION("""COMPUTED_VALUE"""),3631.82)</f>
        <v>3631.82</v>
      </c>
      <c r="M144" s="33" t="str">
        <f ca="1">IFERROR(__xludf.DUMMYFUNCTION("""COMPUTED_VALUE"""),"03 ORL")</f>
        <v>03 ORL</v>
      </c>
      <c r="N144" s="33" t="str">
        <f ca="1">IFERROR(__xludf.DUMMYFUNCTION("""COMPUTED_VALUE"""),"06 ORL")</f>
        <v>06 ORL</v>
      </c>
      <c r="O144" s="33" t="str">
        <f ca="1">IFERROR(__xludf.DUMMYFUNCTION("""COMPUTED_VALUE"""),"Dr, Javier Padilla Cabello")</f>
        <v>Dr, Javier Padilla Cabello</v>
      </c>
      <c r="P144" s="33" t="str">
        <f ca="1">IFERROR(__xludf.DUMMYFUNCTION("""COMPUTED_VALUE"""),"Ramon Ferrando(Valencia)")</f>
        <v>Ramon Ferrando(Valencia)</v>
      </c>
    </row>
    <row r="145" spans="2:16">
      <c r="B145" s="74">
        <f ca="1">IFERROR(__xludf.DUMMYFUNCTION("""COMPUTED_VALUE"""),2026)</f>
        <v>2026</v>
      </c>
      <c r="C145" s="56">
        <f ca="1">IFERROR(__xludf.DUMMYFUNCTION("""COMPUTED_VALUE"""),2)</f>
        <v>2</v>
      </c>
      <c r="D145" s="33" t="str">
        <f ca="1">IFERROR(__xludf.DUMMYFUNCTION("""COMPUTED_VALUE"""),"NO")</f>
        <v>NO</v>
      </c>
      <c r="E145" s="33" t="str">
        <f ca="1">IFERROR(__xludf.DUMMYFUNCTION("""COMPUTED_VALUE"""),"Sevilla- Ciencias")</f>
        <v>Sevilla- Ciencias</v>
      </c>
      <c r="F145" s="57">
        <f ca="1">IFERROR(__xludf.DUMMYFUNCTION("""COMPUTED_VALUE"""),46062)</f>
        <v>46062</v>
      </c>
      <c r="G145" s="57">
        <f ca="1">IFERROR(__xludf.DUMMYFUNCTION("""COMPUTED_VALUE"""),46030)</f>
        <v>46030</v>
      </c>
      <c r="H145" s="33" t="str">
        <f ca="1">IFERROR(__xludf.DUMMYFUNCTION("""COMPUTED_VALUE"""),"Sevilla Este")</f>
        <v>Sevilla Este</v>
      </c>
      <c r="I145" s="33" t="str">
        <f ca="1">IFERROR(__xludf.DUMMYFUNCTION("""COMPUTED_VALUE"""),"C20261818914658342")</f>
        <v>C20261818914658342</v>
      </c>
      <c r="J145" s="33" t="str">
        <f ca="1">IFERROR(__xludf.DUMMYFUNCTION("""COMPUTED_VALUE"""),"ARACELI HEREDIA SANCHEZ")</f>
        <v>ARACELI HEREDIA SANCHEZ</v>
      </c>
      <c r="K145" s="56">
        <f ca="1">IFERROR(__xludf.DUMMYFUNCTION("""COMPUTED_VALUE"""),2)</f>
        <v>2</v>
      </c>
      <c r="L145" s="62">
        <f ca="1">IFERROR(__xludf.DUMMYFUNCTION("""COMPUTED_VALUE"""),2718.19)</f>
        <v>2718.19</v>
      </c>
      <c r="M145" s="33" t="str">
        <f ca="1">IFERROR(__xludf.DUMMYFUNCTION("""COMPUTED_VALUE"""),"03 ORL")</f>
        <v>03 ORL</v>
      </c>
      <c r="N145" s="33" t="str">
        <f ca="1">IFERROR(__xludf.DUMMYFUNCTION("""COMPUTED_VALUE"""),"06 ORL")</f>
        <v>06 ORL</v>
      </c>
      <c r="O145" s="33" t="str">
        <f ca="1">IFERROR(__xludf.DUMMYFUNCTION("""COMPUTED_VALUE"""),"Dr, Francisco Javier Aguilar Vera")</f>
        <v>Dr, Francisco Javier Aguilar Vera</v>
      </c>
      <c r="P145" s="33" t="str">
        <f ca="1">IFERROR(__xludf.DUMMYFUNCTION("""COMPUTED_VALUE"""),"Luis Alberto Rodríguez (Andalucía y Badajoz)")</f>
        <v>Luis Alberto Rodríguez (Andalucía y Badajoz)</v>
      </c>
    </row>
    <row r="146" spans="2:16">
      <c r="B146" s="74">
        <f ca="1">IFERROR(__xludf.DUMMYFUNCTION("""COMPUTED_VALUE"""),2026)</f>
        <v>2026</v>
      </c>
      <c r="C146" s="56">
        <f ca="1">IFERROR(__xludf.DUMMYFUNCTION("""COMPUTED_VALUE"""),2)</f>
        <v>2</v>
      </c>
      <c r="D146" s="33" t="str">
        <f ca="1">IFERROR(__xludf.DUMMYFUNCTION("""COMPUTED_VALUE"""),"NO")</f>
        <v>NO</v>
      </c>
      <c r="E146" s="33" t="str">
        <f ca="1">IFERROR(__xludf.DUMMYFUNCTION("""COMPUTED_VALUE"""),"León")</f>
        <v>León</v>
      </c>
      <c r="F146" s="57">
        <f ca="1">IFERROR(__xludf.DUMMYFUNCTION("""COMPUTED_VALUE"""),46063)</f>
        <v>46063</v>
      </c>
      <c r="G146" s="57">
        <f ca="1">IFERROR(__xludf.DUMMYFUNCTION("""COMPUTED_VALUE"""),46035)</f>
        <v>46035</v>
      </c>
      <c r="H146" s="33" t="str">
        <f ca="1">IFERROR(__xludf.DUMMYFUNCTION("""COMPUTED_VALUE"""),"León")</f>
        <v>León</v>
      </c>
      <c r="I146" s="33" t="str">
        <f ca="1">IFERROR(__xludf.DUMMYFUNCTION("""COMPUTED_VALUE"""),"C202611317321362954")</f>
        <v>C202611317321362954</v>
      </c>
      <c r="J146" s="33" t="str">
        <f ca="1">IFERROR(__xludf.DUMMYFUNCTION("""COMPUTED_VALUE"""),"Ana Llamazares Gonzalez")</f>
        <v>Ana Llamazares Gonzalez</v>
      </c>
      <c r="K146" s="56">
        <f ca="1">IFERROR(__xludf.DUMMYFUNCTION("""COMPUTED_VALUE"""),1)</f>
        <v>1</v>
      </c>
      <c r="L146" s="62">
        <f ca="1">IFERROR(__xludf.DUMMYFUNCTION("""COMPUTED_VALUE"""),2045.45)</f>
        <v>2045.45</v>
      </c>
      <c r="M146" s="33" t="str">
        <f ca="1">IFERROR(__xludf.DUMMYFUNCTION("""COMPUTED_VALUE"""),"01 MARKETING ON LINE")</f>
        <v>01 MARKETING ON LINE</v>
      </c>
      <c r="N146" s="33" t="str">
        <f ca="1">IFERROR(__xludf.DUMMYFUNCTION("""COMPUTED_VALUE"""),"04 AUDIFONO,ES")</f>
        <v>04 AUDIFONO,ES</v>
      </c>
      <c r="O146" s="33" t="str">
        <f ca="1">IFERROR(__xludf.DUMMYFUNCTION("""COMPUTED_VALUE"""),"Dr, Rafael Pérez González")</f>
        <v>Dr, Rafael Pérez González</v>
      </c>
      <c r="P146" s="33" t="str">
        <f ca="1">IFERROR(__xludf.DUMMYFUNCTION("""COMPUTED_VALUE"""),"Alberto Moreno (Madrid)")</f>
        <v>Alberto Moreno (Madrid)</v>
      </c>
    </row>
    <row r="147" spans="2:16">
      <c r="B147" s="74">
        <f ca="1">IFERROR(__xludf.DUMMYFUNCTION("""COMPUTED_VALUE"""),2026)</f>
        <v>2026</v>
      </c>
      <c r="C147" s="56">
        <f ca="1">IFERROR(__xludf.DUMMYFUNCTION("""COMPUTED_VALUE"""),2)</f>
        <v>2</v>
      </c>
      <c r="D147" s="33" t="str">
        <f ca="1">IFERROR(__xludf.DUMMYFUNCTION("""COMPUTED_VALUE"""),"NO")</f>
        <v>NO</v>
      </c>
      <c r="E147" s="33" t="str">
        <f ca="1">IFERROR(__xludf.DUMMYFUNCTION("""COMPUTED_VALUE"""),"San Javier")</f>
        <v>San Javier</v>
      </c>
      <c r="F147" s="57">
        <f ca="1">IFERROR(__xludf.DUMMYFUNCTION("""COMPUTED_VALUE"""),46063)</f>
        <v>46063</v>
      </c>
      <c r="G147" s="57">
        <f ca="1">IFERROR(__xludf.DUMMYFUNCTION("""COMPUTED_VALUE"""),46045)</f>
        <v>46045</v>
      </c>
      <c r="H147" s="33" t="str">
        <f ca="1">IFERROR(__xludf.DUMMYFUNCTION("""COMPUTED_VALUE"""),"San Javier")</f>
        <v>San Javier</v>
      </c>
      <c r="I147" s="33" t="str">
        <f ca="1">IFERROR(__xludf.DUMMYFUNCTION("""COMPUTED_VALUE"""),"C202612382329680169")</f>
        <v>C202612382329680169</v>
      </c>
      <c r="J147" s="33" t="str">
        <f ca="1">IFERROR(__xludf.DUMMYFUNCTION("""COMPUTED_VALUE"""),"PEDRO JOSE MEDINA GARCIA")</f>
        <v>PEDRO JOSE MEDINA GARCIA</v>
      </c>
      <c r="K147" s="56">
        <f ca="1">IFERROR(__xludf.DUMMYFUNCTION("""COMPUTED_VALUE"""),2)</f>
        <v>2</v>
      </c>
      <c r="L147" s="62">
        <f ca="1">IFERROR(__xludf.DUMMYFUNCTION("""COMPUTED_VALUE"""),2718.18)</f>
        <v>2718.18</v>
      </c>
      <c r="M147" s="33" t="str">
        <f ca="1">IFERROR(__xludf.DUMMYFUNCTION("""COMPUTED_VALUE"""),"03 ORL")</f>
        <v>03 ORL</v>
      </c>
      <c r="N147" s="33" t="str">
        <f ca="1">IFERROR(__xludf.DUMMYFUNCTION("""COMPUTED_VALUE"""),"06 ORL")</f>
        <v>06 ORL</v>
      </c>
      <c r="O147" s="33" t="str">
        <f ca="1">IFERROR(__xludf.DUMMYFUNCTION("""COMPUTED_VALUE"""),"Dr, Dinis Antunes Silva")</f>
        <v>Dr, Dinis Antunes Silva</v>
      </c>
      <c r="P147" s="33" t="str">
        <f ca="1">IFERROR(__xludf.DUMMYFUNCTION("""COMPUTED_VALUE"""),"Iván Sánchez (Levante y Albacete)")</f>
        <v>Iván Sánchez (Levante y Albacete)</v>
      </c>
    </row>
    <row r="148" spans="2:16">
      <c r="B148" s="74">
        <f ca="1">IFERROR(__xludf.DUMMYFUNCTION("""COMPUTED_VALUE"""),2026)</f>
        <v>2026</v>
      </c>
      <c r="C148" s="56">
        <f ca="1">IFERROR(__xludf.DUMMYFUNCTION("""COMPUTED_VALUE"""),2)</f>
        <v>2</v>
      </c>
      <c r="D148" s="33" t="str">
        <f ca="1">IFERROR(__xludf.DUMMYFUNCTION("""COMPUTED_VALUE"""),"NO")</f>
        <v>NO</v>
      </c>
      <c r="E148" s="33" t="str">
        <f ca="1">IFERROR(__xludf.DUMMYFUNCTION("""COMPUTED_VALUE"""),"Murcia")</f>
        <v>Murcia</v>
      </c>
      <c r="F148" s="57">
        <f ca="1">IFERROR(__xludf.DUMMYFUNCTION("""COMPUTED_VALUE"""),46063)</f>
        <v>46063</v>
      </c>
      <c r="G148" s="57">
        <f ca="1">IFERROR(__xludf.DUMMYFUNCTION("""COMPUTED_VALUE"""),46036)</f>
        <v>46036</v>
      </c>
      <c r="H148" s="33" t="str">
        <f ca="1">IFERROR(__xludf.DUMMYFUNCTION("""COMPUTED_VALUE"""),"Murcia")</f>
        <v>Murcia</v>
      </c>
      <c r="I148" s="33" t="str">
        <f ca="1">IFERROR(__xludf.DUMMYFUNCTION("""COMPUTED_VALUE"""),"C202611495935635852")</f>
        <v>C202611495935635852</v>
      </c>
      <c r="J148" s="33" t="str">
        <f ca="1">IFERROR(__xludf.DUMMYFUNCTION("""COMPUTED_VALUE"""),"MERCEDES GARCIA MARTINEZ")</f>
        <v>MERCEDES GARCIA MARTINEZ</v>
      </c>
      <c r="K148" s="56">
        <f ca="1">IFERROR(__xludf.DUMMYFUNCTION("""COMPUTED_VALUE"""),2)</f>
        <v>2</v>
      </c>
      <c r="L148" s="62">
        <f ca="1">IFERROR(__xludf.DUMMYFUNCTION("""COMPUTED_VALUE"""),2581.82)</f>
        <v>2581.8200000000002</v>
      </c>
      <c r="M148" s="33" t="str">
        <f ca="1">IFERROR(__xludf.DUMMYFUNCTION("""COMPUTED_VALUE"""),"03 ORL")</f>
        <v>03 ORL</v>
      </c>
      <c r="N148" s="33" t="str">
        <f ca="1">IFERROR(__xludf.DUMMYFUNCTION("""COMPUTED_VALUE"""),"06 ORL")</f>
        <v>06 ORL</v>
      </c>
      <c r="O148" s="33" t="str">
        <f ca="1">IFERROR(__xludf.DUMMYFUNCTION("""COMPUTED_VALUE"""),"Dra, Laura Guillamon Vivancos")</f>
        <v>Dra, Laura Guillamon Vivancos</v>
      </c>
      <c r="P148" s="33" t="str">
        <f ca="1">IFERROR(__xludf.DUMMYFUNCTION("""COMPUTED_VALUE"""),"Iván Sánchez (Levante y Albacete)")</f>
        <v>Iván Sánchez (Levante y Albacete)</v>
      </c>
    </row>
    <row r="149" spans="2:16">
      <c r="B149" s="74">
        <f ca="1">IFERROR(__xludf.DUMMYFUNCTION("""COMPUTED_VALUE"""),2026)</f>
        <v>2026</v>
      </c>
      <c r="C149" s="56">
        <f ca="1">IFERROR(__xludf.DUMMYFUNCTION("""COMPUTED_VALUE"""),2)</f>
        <v>2</v>
      </c>
      <c r="D149" s="33" t="str">
        <f ca="1">IFERROR(__xludf.DUMMYFUNCTION("""COMPUTED_VALUE"""),"NO")</f>
        <v>NO</v>
      </c>
      <c r="E149" s="33" t="str">
        <f ca="1">IFERROR(__xludf.DUMMYFUNCTION("""COMPUTED_VALUE"""),"Murcia")</f>
        <v>Murcia</v>
      </c>
      <c r="F149" s="57">
        <f ca="1">IFERROR(__xludf.DUMMYFUNCTION("""COMPUTED_VALUE"""),46063)</f>
        <v>46063</v>
      </c>
      <c r="G149" s="57">
        <f ca="1">IFERROR(__xludf.DUMMYFUNCTION("""COMPUTED_VALUE"""),46037)</f>
        <v>46037</v>
      </c>
      <c r="H149" s="33" t="str">
        <f ca="1">IFERROR(__xludf.DUMMYFUNCTION("""COMPUTED_VALUE"""),"Murcia")</f>
        <v>Murcia</v>
      </c>
      <c r="I149" s="33" t="str">
        <f ca="1">IFERROR(__xludf.DUMMYFUNCTION("""COMPUTED_VALUE"""),"C202611594434141073")</f>
        <v>C202611594434141073</v>
      </c>
      <c r="J149" s="33" t="str">
        <f ca="1">IFERROR(__xludf.DUMMYFUNCTION("""COMPUTED_VALUE"""),"FRANCISCO LOPEZ ZAMBUDIO")</f>
        <v>FRANCISCO LOPEZ ZAMBUDIO</v>
      </c>
      <c r="K149" s="56">
        <f ca="1">IFERROR(__xludf.DUMMYFUNCTION("""COMPUTED_VALUE"""),2)</f>
        <v>2</v>
      </c>
      <c r="L149" s="62">
        <f ca="1">IFERROR(__xludf.DUMMYFUNCTION("""COMPUTED_VALUE"""),3631.82)</f>
        <v>3631.82</v>
      </c>
      <c r="M149" s="33" t="str">
        <f ca="1">IFERROR(__xludf.DUMMYFUNCTION("""COMPUTED_VALUE"""),"03 ORL")</f>
        <v>03 ORL</v>
      </c>
      <c r="N149" s="33" t="str">
        <f ca="1">IFERROR(__xludf.DUMMYFUNCTION("""COMPUTED_VALUE"""),"06 ORL")</f>
        <v>06 ORL</v>
      </c>
      <c r="O149" s="33" t="str">
        <f ca="1">IFERROR(__xludf.DUMMYFUNCTION("""COMPUTED_VALUE"""),"Dr, Jesús Miguel Iniesta Turpín")</f>
        <v>Dr, Jesús Miguel Iniesta Turpín</v>
      </c>
      <c r="P149" s="33" t="str">
        <f ca="1">IFERROR(__xludf.DUMMYFUNCTION("""COMPUTED_VALUE"""),"Iván Sánchez (Levante y Albacete)")</f>
        <v>Iván Sánchez (Levante y Albacete)</v>
      </c>
    </row>
    <row r="150" spans="2:16">
      <c r="B150" s="74">
        <f ca="1">IFERROR(__xludf.DUMMYFUNCTION("""COMPUTED_VALUE"""),2026)</f>
        <v>2026</v>
      </c>
      <c r="C150" s="56">
        <f ca="1">IFERROR(__xludf.DUMMYFUNCTION("""COMPUTED_VALUE"""),2)</f>
        <v>2</v>
      </c>
      <c r="D150" s="33" t="str">
        <f ca="1">IFERROR(__xludf.DUMMYFUNCTION("""COMPUTED_VALUE"""),"NO")</f>
        <v>NO</v>
      </c>
      <c r="E150" s="33" t="str">
        <f ca="1">IFERROR(__xludf.DUMMYFUNCTION("""COMPUTED_VALUE"""),"Sevilla- Montoto")</f>
        <v>Sevilla- Montoto</v>
      </c>
      <c r="F150" s="57">
        <f ca="1">IFERROR(__xludf.DUMMYFUNCTION("""COMPUTED_VALUE"""),46063)</f>
        <v>46063</v>
      </c>
      <c r="G150" s="57">
        <f ca="1">IFERROR(__xludf.DUMMYFUNCTION("""COMPUTED_VALUE"""),45684)</f>
        <v>45684</v>
      </c>
      <c r="H150" s="33" t="str">
        <f ca="1">IFERROR(__xludf.DUMMYFUNCTION("""COMPUTED_VALUE"""),"Montoto")</f>
        <v>Montoto</v>
      </c>
      <c r="I150" s="33" t="str">
        <f ca="1">IFERROR(__xludf.DUMMYFUNCTION("""COMPUTED_VALUE"""),"C2026116117442")</f>
        <v>C2026116117442</v>
      </c>
      <c r="J150" s="33" t="str">
        <f ca="1">IFERROR(__xludf.DUMMYFUNCTION("""COMPUTED_VALUE"""),"DAVID GALVEZ BERMUDO")</f>
        <v>DAVID GALVEZ BERMUDO</v>
      </c>
      <c r="K150" s="56">
        <f ca="1">IFERROR(__xludf.DUMMYFUNCTION("""COMPUTED_VALUE"""),1)</f>
        <v>1</v>
      </c>
      <c r="L150" s="62">
        <f ca="1">IFERROR(__xludf.DUMMYFUNCTION("""COMPUTED_VALUE"""),1631.82)</f>
        <v>1631.82</v>
      </c>
      <c r="M150" s="33" t="str">
        <f ca="1">IFERROR(__xludf.DUMMYFUNCTION("""COMPUTED_VALUE"""),"03 ORL")</f>
        <v>03 ORL</v>
      </c>
      <c r="N150" s="33" t="str">
        <f ca="1">IFERROR(__xludf.DUMMYFUNCTION("""COMPUTED_VALUE"""),"06 ORL")</f>
        <v>06 ORL</v>
      </c>
      <c r="O150" s="33" t="str">
        <f ca="1">IFERROR(__xludf.DUMMYFUNCTION("""COMPUTED_VALUE"""),"Dr, Francisco Javier Aguilar Vera")</f>
        <v>Dr, Francisco Javier Aguilar Vera</v>
      </c>
      <c r="P150" s="33" t="str">
        <f ca="1">IFERROR(__xludf.DUMMYFUNCTION("""COMPUTED_VALUE"""),"Luis Alberto Rodríguez (Andalucía y Badajoz)")</f>
        <v>Luis Alberto Rodríguez (Andalucía y Badajoz)</v>
      </c>
    </row>
    <row r="151" spans="2:16">
      <c r="B151" s="74">
        <f ca="1">IFERROR(__xludf.DUMMYFUNCTION("""COMPUTED_VALUE"""),2026)</f>
        <v>2026</v>
      </c>
      <c r="C151" s="56">
        <f ca="1">IFERROR(__xludf.DUMMYFUNCTION("""COMPUTED_VALUE"""),2)</f>
        <v>2</v>
      </c>
      <c r="D151" s="33" t="str">
        <f ca="1">IFERROR(__xludf.DUMMYFUNCTION("""COMPUTED_VALUE"""),"NO")</f>
        <v>NO</v>
      </c>
      <c r="E151" s="33" t="str">
        <f ca="1">IFERROR(__xludf.DUMMYFUNCTION("""COMPUTED_VALUE"""),"Madrid- Juan Bravo")</f>
        <v>Madrid- Juan Bravo</v>
      </c>
      <c r="F151" s="57">
        <f ca="1">IFERROR(__xludf.DUMMYFUNCTION("""COMPUTED_VALUE"""),46063)</f>
        <v>46063</v>
      </c>
      <c r="G151" s="57">
        <f ca="1">IFERROR(__xludf.DUMMYFUNCTION("""COMPUTED_VALUE"""),45992)</f>
        <v>45992</v>
      </c>
      <c r="H151" s="33" t="str">
        <f ca="1">IFERROR(__xludf.DUMMYFUNCTION("""COMPUTED_VALUE"""),"Juan Bravo")</f>
        <v>Juan Bravo</v>
      </c>
      <c r="I151" s="33" t="str">
        <f ca="1">IFERROR(__xludf.DUMMYFUNCTION("""COMPUTED_VALUE"""),"C202512116211113918")</f>
        <v>C202512116211113918</v>
      </c>
      <c r="J151" s="33" t="str">
        <f ca="1">IFERROR(__xludf.DUMMYFUNCTION("""COMPUTED_VALUE"""),"FERNANDO DIAZ ROLDAN")</f>
        <v>FERNANDO DIAZ ROLDAN</v>
      </c>
      <c r="K151" s="56">
        <f ca="1">IFERROR(__xludf.DUMMYFUNCTION("""COMPUTED_VALUE"""),2)</f>
        <v>2</v>
      </c>
      <c r="L151" s="62">
        <f ca="1">IFERROR(__xludf.DUMMYFUNCTION("""COMPUTED_VALUE"""),3888.64)</f>
        <v>3888.64</v>
      </c>
      <c r="M151" s="33" t="str">
        <f ca="1">IFERROR(__xludf.DUMMYFUNCTION("""COMPUTED_VALUE"""),"03 ORL")</f>
        <v>03 ORL</v>
      </c>
      <c r="N151" s="33" t="str">
        <f ca="1">IFERROR(__xludf.DUMMYFUNCTION("""COMPUTED_VALUE"""),"06 ORL")</f>
        <v>06 ORL</v>
      </c>
      <c r="O151" s="33" t="str">
        <f ca="1">IFERROR(__xludf.DUMMYFUNCTION("""COMPUTED_VALUE"""),"Dra, María del Mar Medina González")</f>
        <v>Dra, María del Mar Medina González</v>
      </c>
      <c r="P151" s="33" t="str">
        <f ca="1">IFERROR(__xludf.DUMMYFUNCTION("""COMPUTED_VALUE"""),"Maika Blázquez (Madrid)")</f>
        <v>Maika Blázquez (Madrid)</v>
      </c>
    </row>
    <row r="152" spans="2:16">
      <c r="B152" s="74">
        <f ca="1">IFERROR(__xludf.DUMMYFUNCTION("""COMPUTED_VALUE"""),2026)</f>
        <v>2026</v>
      </c>
      <c r="C152" s="56">
        <f ca="1">IFERROR(__xludf.DUMMYFUNCTION("""COMPUTED_VALUE"""),2)</f>
        <v>2</v>
      </c>
      <c r="D152" s="33" t="str">
        <f ca="1">IFERROR(__xludf.DUMMYFUNCTION("""COMPUTED_VALUE"""),"NO")</f>
        <v>NO</v>
      </c>
      <c r="E152" s="33" t="str">
        <f ca="1">IFERROR(__xludf.DUMMYFUNCTION("""COMPUTED_VALUE"""),"San Javier")</f>
        <v>San Javier</v>
      </c>
      <c r="F152" s="57">
        <f ca="1">IFERROR(__xludf.DUMMYFUNCTION("""COMPUTED_VALUE"""),46063)</f>
        <v>46063</v>
      </c>
      <c r="G152" s="57">
        <f ca="1">IFERROR(__xludf.DUMMYFUNCTION("""COMPUTED_VALUE"""),46051)</f>
        <v>46051</v>
      </c>
      <c r="H152" s="33" t="str">
        <f ca="1">IFERROR(__xludf.DUMMYFUNCTION("""COMPUTED_VALUE"""),"San Javier")</f>
        <v>San Javier</v>
      </c>
      <c r="I152" s="33" t="str">
        <f ca="1">IFERROR(__xludf.DUMMYFUNCTION("""COMPUTED_VALUE"""),"C202612912171931207")</f>
        <v>C202612912171931207</v>
      </c>
      <c r="J152" s="33" t="str">
        <f ca="1">IFERROR(__xludf.DUMMYFUNCTION("""COMPUTED_VALUE"""),"GARETH JOHN PETER SOCKETT")</f>
        <v>GARETH JOHN PETER SOCKETT</v>
      </c>
      <c r="K152" s="56">
        <f ca="1">IFERROR(__xludf.DUMMYFUNCTION("""COMPUTED_VALUE"""),2)</f>
        <v>2</v>
      </c>
      <c r="L152" s="62">
        <f ca="1">IFERROR(__xludf.DUMMYFUNCTION("""COMPUTED_VALUE"""),3631.82)</f>
        <v>3631.82</v>
      </c>
      <c r="M152" s="33" t="str">
        <f ca="1">IFERROR(__xludf.DUMMYFUNCTION("""COMPUTED_VALUE"""),"03 ORL")</f>
        <v>03 ORL</v>
      </c>
      <c r="N152" s="33" t="str">
        <f ca="1">IFERROR(__xludf.DUMMYFUNCTION("""COMPUTED_VALUE"""),"06 ORL")</f>
        <v>06 ORL</v>
      </c>
      <c r="O152" s="33" t="str">
        <f ca="1">IFERROR(__xludf.DUMMYFUNCTION("""COMPUTED_VALUE"""),"Dra, María Agustina Sevilla García")</f>
        <v>Dra, María Agustina Sevilla García</v>
      </c>
      <c r="P152" s="33" t="str">
        <f ca="1">IFERROR(__xludf.DUMMYFUNCTION("""COMPUTED_VALUE"""),"Iván Sánchez (Levante y Albacete)")</f>
        <v>Iván Sánchez (Levante y Albacete)</v>
      </c>
    </row>
    <row r="153" spans="2:16">
      <c r="B153" s="74">
        <f ca="1">IFERROR(__xludf.DUMMYFUNCTION("""COMPUTED_VALUE"""),2026)</f>
        <v>2026</v>
      </c>
      <c r="C153" s="56">
        <f ca="1">IFERROR(__xludf.DUMMYFUNCTION("""COMPUTED_VALUE"""),2)</f>
        <v>2</v>
      </c>
      <c r="D153" s="33" t="str">
        <f ca="1">IFERROR(__xludf.DUMMYFUNCTION("""COMPUTED_VALUE"""),"NO")</f>
        <v>NO</v>
      </c>
      <c r="E153" s="33" t="str">
        <f ca="1">IFERROR(__xludf.DUMMYFUNCTION("""COMPUTED_VALUE"""),"Sevilla- Montoto")</f>
        <v>Sevilla- Montoto</v>
      </c>
      <c r="F153" s="57">
        <f ca="1">IFERROR(__xludf.DUMMYFUNCTION("""COMPUTED_VALUE"""),46063)</f>
        <v>46063</v>
      </c>
      <c r="G153" s="57">
        <f ca="1">IFERROR(__xludf.DUMMYFUNCTION("""COMPUTED_VALUE"""),46008)</f>
        <v>46008</v>
      </c>
      <c r="H153" s="33" t="str">
        <f ca="1">IFERROR(__xludf.DUMMYFUNCTION("""COMPUTED_VALUE"""),"Montoto")</f>
        <v>Montoto</v>
      </c>
      <c r="I153" s="33" t="str">
        <f ca="1">IFERROR(__xludf.DUMMYFUNCTION("""COMPUTED_VALUE"""),"C202512171723206010")</f>
        <v>C202512171723206010</v>
      </c>
      <c r="J153" s="33" t="str">
        <f ca="1">IFERROR(__xludf.DUMMYFUNCTION("""COMPUTED_VALUE"""),"MARIA JOSEFA CARRO VALDES-HEVIA")</f>
        <v>MARIA JOSEFA CARRO VALDES-HEVIA</v>
      </c>
      <c r="K153" s="56">
        <f ca="1">IFERROR(__xludf.DUMMYFUNCTION("""COMPUTED_VALUE"""),2)</f>
        <v>2</v>
      </c>
      <c r="L153" s="62">
        <f ca="1">IFERROR(__xludf.DUMMYFUNCTION("""COMPUTED_VALUE"""),3631.82)</f>
        <v>3631.82</v>
      </c>
      <c r="M153" s="33" t="str">
        <f ca="1">IFERROR(__xludf.DUMMYFUNCTION("""COMPUTED_VALUE"""),"03 ORL")</f>
        <v>03 ORL</v>
      </c>
      <c r="N153" s="33" t="str">
        <f ca="1">IFERROR(__xludf.DUMMYFUNCTION("""COMPUTED_VALUE"""),"06 ORL")</f>
        <v>06 ORL</v>
      </c>
      <c r="O153" s="33" t="str">
        <f ca="1">IFERROR(__xludf.DUMMYFUNCTION("""COMPUTED_VALUE"""),"Dr, Francisco Javier Aguilar Vera")</f>
        <v>Dr, Francisco Javier Aguilar Vera</v>
      </c>
      <c r="P153" s="33" t="str">
        <f ca="1">IFERROR(__xludf.DUMMYFUNCTION("""COMPUTED_VALUE"""),"Luis Alberto Rodríguez (Andalucía y Badajoz)")</f>
        <v>Luis Alberto Rodríguez (Andalucía y Badajoz)</v>
      </c>
    </row>
    <row r="154" spans="2:16">
      <c r="B154" s="74">
        <f ca="1">IFERROR(__xludf.DUMMYFUNCTION("""COMPUTED_VALUE"""),2026)</f>
        <v>2026</v>
      </c>
      <c r="C154" s="56">
        <f ca="1">IFERROR(__xludf.DUMMYFUNCTION("""COMPUTED_VALUE"""),2)</f>
        <v>2</v>
      </c>
      <c r="D154" s="33" t="str">
        <f ca="1">IFERROR(__xludf.DUMMYFUNCTION("""COMPUTED_VALUE"""),"NO")</f>
        <v>NO</v>
      </c>
      <c r="E154" s="33" t="str">
        <f ca="1">IFERROR(__xludf.DUMMYFUNCTION("""COMPUTED_VALUE"""),"Talavera")</f>
        <v>Talavera</v>
      </c>
      <c r="F154" s="57">
        <f ca="1">IFERROR(__xludf.DUMMYFUNCTION("""COMPUTED_VALUE"""),46063)</f>
        <v>46063</v>
      </c>
      <c r="G154" s="57">
        <f ca="1">IFERROR(__xludf.DUMMYFUNCTION("""COMPUTED_VALUE"""),46030)</f>
        <v>46030</v>
      </c>
      <c r="H154" s="33" t="str">
        <f ca="1">IFERROR(__xludf.DUMMYFUNCTION("""COMPUTED_VALUE"""),"Talavera")</f>
        <v>Talavera</v>
      </c>
      <c r="I154" s="33" t="str">
        <f ca="1">IFERROR(__xludf.DUMMYFUNCTION("""COMPUTED_VALUE"""),"C20261810363892932")</f>
        <v>C20261810363892932</v>
      </c>
      <c r="J154" s="33" t="str">
        <f ca="1">IFERROR(__xludf.DUMMYFUNCTION("""COMPUTED_VALUE"""),"PABLO GARCÍA PÉREZ")</f>
        <v>PABLO GARCÍA PÉREZ</v>
      </c>
      <c r="K154" s="56">
        <f ca="1">IFERROR(__xludf.DUMMYFUNCTION("""COMPUTED_VALUE"""),2)</f>
        <v>2</v>
      </c>
      <c r="L154" s="62">
        <f ca="1">IFERROR(__xludf.DUMMYFUNCTION("""COMPUTED_VALUE"""),2718.18)</f>
        <v>2718.18</v>
      </c>
      <c r="M154" s="33" t="str">
        <f ca="1">IFERROR(__xludf.DUMMYFUNCTION("""COMPUTED_VALUE"""),"03 ORL")</f>
        <v>03 ORL</v>
      </c>
      <c r="N154" s="33" t="str">
        <f ca="1">IFERROR(__xludf.DUMMYFUNCTION("""COMPUTED_VALUE"""),"06 ORL")</f>
        <v>06 ORL</v>
      </c>
      <c r="O154" s="33" t="str">
        <f ca="1">IFERROR(__xludf.DUMMYFUNCTION("""COMPUTED_VALUE"""),"Dr, Carlos Félix Asensio Nieto")</f>
        <v>Dr, Carlos Félix Asensio Nieto</v>
      </c>
      <c r="P154" s="33" t="str">
        <f ca="1">IFERROR(__xludf.DUMMYFUNCTION("""COMPUTED_VALUE"""),"Lisandro Russian (Madrid, Cáceres, Toledo, Talavera y Logroño)")</f>
        <v>Lisandro Russian (Madrid, Cáceres, Toledo, Talavera y Logroño)</v>
      </c>
    </row>
    <row r="155" spans="2:16">
      <c r="B155" s="74">
        <f ca="1">IFERROR(__xludf.DUMMYFUNCTION("""COMPUTED_VALUE"""),2026)</f>
        <v>2026</v>
      </c>
      <c r="C155" s="56">
        <f ca="1">IFERROR(__xludf.DUMMYFUNCTION("""COMPUTED_VALUE"""),2)</f>
        <v>2</v>
      </c>
      <c r="D155" s="33" t="str">
        <f ca="1">IFERROR(__xludf.DUMMYFUNCTION("""COMPUTED_VALUE"""),"NO")</f>
        <v>NO</v>
      </c>
      <c r="E155" s="33" t="str">
        <f ca="1">IFERROR(__xludf.DUMMYFUNCTION("""COMPUTED_VALUE"""),"Orihuela")</f>
        <v>Orihuela</v>
      </c>
      <c r="F155" s="57">
        <f ca="1">IFERROR(__xludf.DUMMYFUNCTION("""COMPUTED_VALUE"""),46064)</f>
        <v>46064</v>
      </c>
      <c r="G155" s="57">
        <f ca="1">IFERROR(__xludf.DUMMYFUNCTION("""COMPUTED_VALUE"""),46008)</f>
        <v>46008</v>
      </c>
      <c r="H155" s="33" t="str">
        <f ca="1">IFERROR(__xludf.DUMMYFUNCTION("""COMPUTED_VALUE"""),"La Zenia")</f>
        <v>La Zenia</v>
      </c>
      <c r="I155" s="33" t="str">
        <f ca="1">IFERROR(__xludf.DUMMYFUNCTION("""COMPUTED_VALUE"""),"C202512171774713468")</f>
        <v>C202512171774713468</v>
      </c>
      <c r="J155" s="33" t="str">
        <f ca="1">IFERROR(__xludf.DUMMYFUNCTION("""COMPUTED_VALUE"""),"MONICA JIMENEZ ANGULO")</f>
        <v>MONICA JIMENEZ ANGULO</v>
      </c>
      <c r="K155" s="56">
        <f ca="1">IFERROR(__xludf.DUMMYFUNCTION("""COMPUTED_VALUE"""),2)</f>
        <v>2</v>
      </c>
      <c r="L155" s="62">
        <f ca="1">IFERROR(__xludf.DUMMYFUNCTION("""COMPUTED_VALUE"""),4136.36)</f>
        <v>4136.3599999999997</v>
      </c>
      <c r="M155" s="33" t="str">
        <f ca="1">IFERROR(__xludf.DUMMYFUNCTION("""COMPUTED_VALUE"""),"03 ORL")</f>
        <v>03 ORL</v>
      </c>
      <c r="N155" s="33" t="str">
        <f ca="1">IFERROR(__xludf.DUMMYFUNCTION("""COMPUTED_VALUE"""),"06 ORL")</f>
        <v>06 ORL</v>
      </c>
      <c r="O155" s="33" t="str">
        <f ca="1">IFERROR(__xludf.DUMMYFUNCTION("""COMPUTED_VALUE"""),"Dr, Juan Javier Álvarez López")</f>
        <v>Dr, Juan Javier Álvarez López</v>
      </c>
      <c r="P155" s="33" t="str">
        <f ca="1">IFERROR(__xludf.DUMMYFUNCTION("""COMPUTED_VALUE"""),"Iván Sánchez (Levante y Albacete)")</f>
        <v>Iván Sánchez (Levante y Albacete)</v>
      </c>
    </row>
    <row r="156" spans="2:16">
      <c r="B156" s="74">
        <f ca="1">IFERROR(__xludf.DUMMYFUNCTION("""COMPUTED_VALUE"""),2026)</f>
        <v>2026</v>
      </c>
      <c r="C156" s="56">
        <f ca="1">IFERROR(__xludf.DUMMYFUNCTION("""COMPUTED_VALUE"""),2)</f>
        <v>2</v>
      </c>
      <c r="D156" s="33" t="str">
        <f ca="1">IFERROR(__xludf.DUMMYFUNCTION("""COMPUTED_VALUE"""),"NO")</f>
        <v>NO</v>
      </c>
      <c r="E156" s="33" t="str">
        <f ca="1">IFERROR(__xludf.DUMMYFUNCTION("""COMPUTED_VALUE"""),"Badajoz")</f>
        <v>Badajoz</v>
      </c>
      <c r="F156" s="57">
        <f ca="1">IFERROR(__xludf.DUMMYFUNCTION("""COMPUTED_VALUE"""),46064)</f>
        <v>46064</v>
      </c>
      <c r="G156" s="57">
        <f ca="1">IFERROR(__xludf.DUMMYFUNCTION("""COMPUTED_VALUE"""),46008)</f>
        <v>46008</v>
      </c>
      <c r="H156" s="33" t="str">
        <f ca="1">IFERROR(__xludf.DUMMYFUNCTION("""COMPUTED_VALUE"""),"Badajoz")</f>
        <v>Badajoz</v>
      </c>
      <c r="I156" s="33" t="str">
        <f ca="1">IFERROR(__xludf.DUMMYFUNCTION("""COMPUTED_VALUE"""),"C202512178505738777")</f>
        <v>C202512178505738777</v>
      </c>
      <c r="J156" s="33" t="str">
        <f ca="1">IFERROR(__xludf.DUMMYFUNCTION("""COMPUTED_VALUE"""),"CASIMIRA MORENO SANDEZ")</f>
        <v>CASIMIRA MORENO SANDEZ</v>
      </c>
      <c r="K156" s="56">
        <f ca="1">IFERROR(__xludf.DUMMYFUNCTION("""COMPUTED_VALUE"""),2)</f>
        <v>2</v>
      </c>
      <c r="L156" s="62">
        <f ca="1">IFERROR(__xludf.DUMMYFUNCTION("""COMPUTED_VALUE"""),3263.64)</f>
        <v>3263.64</v>
      </c>
      <c r="M156" s="33" t="str">
        <f ca="1">IFERROR(__xludf.DUMMYFUNCTION("""COMPUTED_VALUE"""),"03 ORL")</f>
        <v>03 ORL</v>
      </c>
      <c r="N156" s="33" t="str">
        <f ca="1">IFERROR(__xludf.DUMMYFUNCTION("""COMPUTED_VALUE"""),"06 ORL")</f>
        <v>06 ORL</v>
      </c>
      <c r="O156" s="33" t="str">
        <f ca="1">IFERROR(__xludf.DUMMYFUNCTION("""COMPUTED_VALUE"""),"Dr, Isidoro Rubio Correa")</f>
        <v>Dr, Isidoro Rubio Correa</v>
      </c>
      <c r="P156" s="33" t="str">
        <f ca="1">IFERROR(__xludf.DUMMYFUNCTION("""COMPUTED_VALUE"""),"Luis Alberto Rodríguez (Andalucía y Badajoz)")</f>
        <v>Luis Alberto Rodríguez (Andalucía y Badajoz)</v>
      </c>
    </row>
    <row r="157" spans="2:16">
      <c r="B157" s="74">
        <f ca="1">IFERROR(__xludf.DUMMYFUNCTION("""COMPUTED_VALUE"""),2026)</f>
        <v>2026</v>
      </c>
      <c r="C157" s="56">
        <f ca="1">IFERROR(__xludf.DUMMYFUNCTION("""COMPUTED_VALUE"""),2)</f>
        <v>2</v>
      </c>
      <c r="D157" s="33" t="str">
        <f ca="1">IFERROR(__xludf.DUMMYFUNCTION("""COMPUTED_VALUE"""),"NO")</f>
        <v>NO</v>
      </c>
      <c r="E157" s="33" t="str">
        <f ca="1">IFERROR(__xludf.DUMMYFUNCTION("""COMPUTED_VALUE"""),"Torrejón de Ardoz")</f>
        <v>Torrejón de Ardoz</v>
      </c>
      <c r="F157" s="57">
        <f ca="1">IFERROR(__xludf.DUMMYFUNCTION("""COMPUTED_VALUE"""),46065)</f>
        <v>46065</v>
      </c>
      <c r="G157" s="57">
        <f ca="1">IFERROR(__xludf.DUMMYFUNCTION("""COMPUTED_VALUE"""),45961)</f>
        <v>45961</v>
      </c>
      <c r="H157" s="33" t="str">
        <f ca="1">IFERROR(__xludf.DUMMYFUNCTION("""COMPUTED_VALUE"""),"Torrejón")</f>
        <v>Torrejón</v>
      </c>
      <c r="I157" s="33" t="str">
        <f ca="1">IFERROR(__xludf.DUMMYFUNCTION("""COMPUTED_VALUE"""),"C202510311214327514")</f>
        <v>C202510311214327514</v>
      </c>
      <c r="J157" s="33" t="str">
        <f ca="1">IFERROR(__xludf.DUMMYFUNCTION("""COMPUTED_VALUE"""),"MARGARITA CABALLERO CALVO")</f>
        <v>MARGARITA CABALLERO CALVO</v>
      </c>
      <c r="K157" s="56">
        <f ca="1">IFERROR(__xludf.DUMMYFUNCTION("""COMPUTED_VALUE"""),1)</f>
        <v>1</v>
      </c>
      <c r="L157" s="62">
        <f ca="1">IFERROR(__xludf.DUMMYFUNCTION("""COMPUTED_VALUE"""),2481.82)</f>
        <v>2481.8200000000002</v>
      </c>
      <c r="M157" s="33" t="str">
        <f ca="1">IFERROR(__xludf.DUMMYFUNCTION("""COMPUTED_VALUE"""),"03 ORL")</f>
        <v>03 ORL</v>
      </c>
      <c r="N157" s="33" t="str">
        <f ca="1">IFERROR(__xludf.DUMMYFUNCTION("""COMPUTED_VALUE"""),"06 ORL")</f>
        <v>06 ORL</v>
      </c>
      <c r="O157" s="33" t="str">
        <f ca="1">IFERROR(__xludf.DUMMYFUNCTION("""COMPUTED_VALUE"""),"Dr, Alejandro Harguindey Antoli-Candela")</f>
        <v>Dr, Alejandro Harguindey Antoli-Candela</v>
      </c>
      <c r="P157" s="33" t="str">
        <f ca="1">IFERROR(__xludf.DUMMYFUNCTION("""COMPUTED_VALUE"""),"Maika Blázquez (Madrid)")</f>
        <v>Maika Blázquez (Madrid)</v>
      </c>
    </row>
    <row r="158" spans="2:16">
      <c r="B158" s="74">
        <f ca="1">IFERROR(__xludf.DUMMYFUNCTION("""COMPUTED_VALUE"""),2026)</f>
        <v>2026</v>
      </c>
      <c r="C158" s="56">
        <f ca="1">IFERROR(__xludf.DUMMYFUNCTION("""COMPUTED_VALUE"""),2)</f>
        <v>2</v>
      </c>
      <c r="D158" s="33" t="str">
        <f ca="1">IFERROR(__xludf.DUMMYFUNCTION("""COMPUTED_VALUE"""),"NO")</f>
        <v>NO</v>
      </c>
      <c r="E158" s="33" t="str">
        <f ca="1">IFERROR(__xludf.DUMMYFUNCTION("""COMPUTED_VALUE"""),"Murcia")</f>
        <v>Murcia</v>
      </c>
      <c r="F158" s="57">
        <f ca="1">IFERROR(__xludf.DUMMYFUNCTION("""COMPUTED_VALUE"""),46065)</f>
        <v>46065</v>
      </c>
      <c r="G158" s="57">
        <f ca="1">IFERROR(__xludf.DUMMYFUNCTION("""COMPUTED_VALUE"""),46049)</f>
        <v>46049</v>
      </c>
      <c r="H158" s="33" t="str">
        <f ca="1">IFERROR(__xludf.DUMMYFUNCTION("""COMPUTED_VALUE"""),"Murcia")</f>
        <v>Murcia</v>
      </c>
      <c r="I158" s="33" t="str">
        <f ca="1">IFERROR(__xludf.DUMMYFUNCTION("""COMPUTED_VALUE"""),"C202612791443808408")</f>
        <v>C202612791443808408</v>
      </c>
      <c r="J158" s="33" t="str">
        <f ca="1">IFERROR(__xludf.DUMMYFUNCTION("""COMPUTED_VALUE"""),"ANTONIO MOYA GARRIDO")</f>
        <v>ANTONIO MOYA GARRIDO</v>
      </c>
      <c r="K158" s="56">
        <f ca="1">IFERROR(__xludf.DUMMYFUNCTION("""COMPUTED_VALUE"""),1)</f>
        <v>1</v>
      </c>
      <c r="L158" s="62">
        <f ca="1">IFERROR(__xludf.DUMMYFUNCTION("""COMPUTED_VALUE"""),1631.82)</f>
        <v>1631.82</v>
      </c>
      <c r="M158" s="33" t="str">
        <f ca="1">IFERROR(__xludf.DUMMYFUNCTION("""COMPUTED_VALUE"""),"03 ORL")</f>
        <v>03 ORL</v>
      </c>
      <c r="N158" s="33" t="str">
        <f ca="1">IFERROR(__xludf.DUMMYFUNCTION("""COMPUTED_VALUE"""),"06 ORL")</f>
        <v>06 ORL</v>
      </c>
      <c r="O158" s="33" t="str">
        <f ca="1">IFERROR(__xludf.DUMMYFUNCTION("""COMPUTED_VALUE"""),"Dra, Aida Aviñoa Arias")</f>
        <v>Dra, Aida Aviñoa Arias</v>
      </c>
      <c r="P158" s="33" t="str">
        <f ca="1">IFERROR(__xludf.DUMMYFUNCTION("""COMPUTED_VALUE"""),"Iván Sánchez (Levante y Albacete)")</f>
        <v>Iván Sánchez (Levante y Albacete)</v>
      </c>
    </row>
    <row r="159" spans="2:16">
      <c r="B159" s="74">
        <f ca="1">IFERROR(__xludf.DUMMYFUNCTION("""COMPUTED_VALUE"""),2026)</f>
        <v>2026</v>
      </c>
      <c r="C159" s="56">
        <f ca="1">IFERROR(__xludf.DUMMYFUNCTION("""COMPUTED_VALUE"""),2)</f>
        <v>2</v>
      </c>
      <c r="D159" s="33" t="str">
        <f ca="1">IFERROR(__xludf.DUMMYFUNCTION("""COMPUTED_VALUE"""),"NO")</f>
        <v>NO</v>
      </c>
      <c r="E159" s="33" t="str">
        <f ca="1">IFERROR(__xludf.DUMMYFUNCTION("""COMPUTED_VALUE"""),"Albacete")</f>
        <v>Albacete</v>
      </c>
      <c r="F159" s="57">
        <f ca="1">IFERROR(__xludf.DUMMYFUNCTION("""COMPUTED_VALUE"""),46065)</f>
        <v>46065</v>
      </c>
      <c r="G159" s="57">
        <f ca="1">IFERROR(__xludf.DUMMYFUNCTION("""COMPUTED_VALUE"""),46029)</f>
        <v>46029</v>
      </c>
      <c r="H159" s="33" t="str">
        <f ca="1">IFERROR(__xludf.DUMMYFUNCTION("""COMPUTED_VALUE"""),"Albacete")</f>
        <v>Albacete</v>
      </c>
      <c r="I159" s="33" t="str">
        <f ca="1">IFERROR(__xludf.DUMMYFUNCTION("""COMPUTED_VALUE"""),"C20261711017941690")</f>
        <v>C20261711017941690</v>
      </c>
      <c r="J159" s="33" t="str">
        <f ca="1">IFERROR(__xludf.DUMMYFUNCTION("""COMPUTED_VALUE"""),"CECILIA PINA DE YLLANA")</f>
        <v>CECILIA PINA DE YLLANA</v>
      </c>
      <c r="K159" s="56">
        <f ca="1">IFERROR(__xludf.DUMMYFUNCTION("""COMPUTED_VALUE"""),2)</f>
        <v>2</v>
      </c>
      <c r="L159" s="62">
        <f ca="1">IFERROR(__xludf.DUMMYFUNCTION("""COMPUTED_VALUE"""),4136.36)</f>
        <v>4136.3599999999997</v>
      </c>
      <c r="M159" s="33" t="str">
        <f ca="1">IFERROR(__xludf.DUMMYFUNCTION("""COMPUTED_VALUE"""),"03 ORL")</f>
        <v>03 ORL</v>
      </c>
      <c r="N159" s="33" t="str">
        <f ca="1">IFERROR(__xludf.DUMMYFUNCTION("""COMPUTED_VALUE"""),"06 ORL")</f>
        <v>06 ORL</v>
      </c>
      <c r="O159" s="33" t="str">
        <f ca="1">IFERROR(__xludf.DUMMYFUNCTION("""COMPUTED_VALUE"""),"Dr, Pedro Seguí Moya")</f>
        <v>Dr, Pedro Seguí Moya</v>
      </c>
      <c r="P159" s="33" t="str">
        <f ca="1">IFERROR(__xludf.DUMMYFUNCTION("""COMPUTED_VALUE"""),"Iván Sánchez (Levante y Albacete)")</f>
        <v>Iván Sánchez (Levante y Albacete)</v>
      </c>
    </row>
    <row r="160" spans="2:16">
      <c r="B160" s="74">
        <f ca="1">IFERROR(__xludf.DUMMYFUNCTION("""COMPUTED_VALUE"""),2026)</f>
        <v>2026</v>
      </c>
      <c r="C160" s="56">
        <f ca="1">IFERROR(__xludf.DUMMYFUNCTION("""COMPUTED_VALUE"""),2)</f>
        <v>2</v>
      </c>
      <c r="D160" s="33" t="str">
        <f ca="1">IFERROR(__xludf.DUMMYFUNCTION("""COMPUTED_VALUE"""),"NO")</f>
        <v>NO</v>
      </c>
      <c r="E160" s="33" t="str">
        <f ca="1">IFERROR(__xludf.DUMMYFUNCTION("""COMPUTED_VALUE"""),"Madrid- Moratalaz")</f>
        <v>Madrid- Moratalaz</v>
      </c>
      <c r="F160" s="57">
        <f ca="1">IFERROR(__xludf.DUMMYFUNCTION("""COMPUTED_VALUE"""),46065)</f>
        <v>46065</v>
      </c>
      <c r="G160" s="57">
        <f ca="1">IFERROR(__xludf.DUMMYFUNCTION("""COMPUTED_VALUE"""),46044)</f>
        <v>46044</v>
      </c>
      <c r="H160" s="33" t="str">
        <f ca="1">IFERROR(__xludf.DUMMYFUNCTION("""COMPUTED_VALUE"""),"Moratalaz")</f>
        <v>Moratalaz</v>
      </c>
      <c r="I160" s="33" t="str">
        <f ca="1">IFERROR(__xludf.DUMMYFUNCTION("""COMPUTED_VALUE"""),"C20261221054127267")</f>
        <v>C20261221054127267</v>
      </c>
      <c r="J160" s="33" t="str">
        <f ca="1">IFERROR(__xludf.DUMMYFUNCTION("""COMPUTED_VALUE"""),"ENRIQUE JIMENEZ TELO")</f>
        <v>ENRIQUE JIMENEZ TELO</v>
      </c>
      <c r="K160" s="56">
        <f ca="1">IFERROR(__xludf.DUMMYFUNCTION("""COMPUTED_VALUE"""),2)</f>
        <v>2</v>
      </c>
      <c r="L160" s="62">
        <f ca="1">IFERROR(__xludf.DUMMYFUNCTION("""COMPUTED_VALUE"""),3722.73)</f>
        <v>3722.73</v>
      </c>
      <c r="M160" s="33" t="str">
        <f ca="1">IFERROR(__xludf.DUMMYFUNCTION("""COMPUTED_VALUE"""),"03 ORL")</f>
        <v>03 ORL</v>
      </c>
      <c r="N160" s="33" t="str">
        <f ca="1">IFERROR(__xludf.DUMMYFUNCTION("""COMPUTED_VALUE"""),"06 ORL")</f>
        <v>06 ORL</v>
      </c>
      <c r="O160" s="33" t="str">
        <f ca="1">IFERROR(__xludf.DUMMYFUNCTION("""COMPUTED_VALUE"""),"Dr, Julio López Moya")</f>
        <v>Dr, Julio López Moya</v>
      </c>
      <c r="P160" s="33" t="str">
        <f ca="1">IFERROR(__xludf.DUMMYFUNCTION("""COMPUTED_VALUE"""),"Maika Blázquez (Madrid)")</f>
        <v>Maika Blázquez (Madrid)</v>
      </c>
    </row>
    <row r="161" spans="2:16">
      <c r="B161" s="74">
        <f ca="1">IFERROR(__xludf.DUMMYFUNCTION("""COMPUTED_VALUE"""),2026)</f>
        <v>2026</v>
      </c>
      <c r="C161" s="56">
        <f ca="1">IFERROR(__xludf.DUMMYFUNCTION("""COMPUTED_VALUE"""),2)</f>
        <v>2</v>
      </c>
      <c r="D161" s="33" t="str">
        <f ca="1">IFERROR(__xludf.DUMMYFUNCTION("""COMPUTED_VALUE"""),"NO")</f>
        <v>NO</v>
      </c>
      <c r="E161" s="33" t="str">
        <f ca="1">IFERROR(__xludf.DUMMYFUNCTION("""COMPUTED_VALUE"""),"Jerez de la Frontera")</f>
        <v>Jerez de la Frontera</v>
      </c>
      <c r="F161" s="57">
        <f ca="1">IFERROR(__xludf.DUMMYFUNCTION("""COMPUTED_VALUE"""),46065)</f>
        <v>46065</v>
      </c>
      <c r="G161" s="57">
        <f ca="1">IFERROR(__xludf.DUMMYFUNCTION("""COMPUTED_VALUE"""),46045)</f>
        <v>46045</v>
      </c>
      <c r="H161" s="33" t="str">
        <f ca="1">IFERROR(__xludf.DUMMYFUNCTION("""COMPUTED_VALUE"""),"Jerez")</f>
        <v>Jerez</v>
      </c>
      <c r="I161" s="33" t="str">
        <f ca="1">IFERROR(__xludf.DUMMYFUNCTION("""COMPUTED_VALUE"""),"C202612312344833330")</f>
        <v>C202612312344833330</v>
      </c>
      <c r="J161" s="33" t="str">
        <f ca="1">IFERROR(__xludf.DUMMYFUNCTION("""COMPUTED_VALUE"""),"BORJA GONZALEZ DE RABAGO")</f>
        <v>BORJA GONZALEZ DE RABAGO</v>
      </c>
      <c r="K161" s="56">
        <f ca="1">IFERROR(__xludf.DUMMYFUNCTION("""COMPUTED_VALUE"""),2)</f>
        <v>2</v>
      </c>
      <c r="L161" s="62">
        <f ca="1">IFERROR(__xludf.DUMMYFUNCTION("""COMPUTED_VALUE"""),2718.18)</f>
        <v>2718.18</v>
      </c>
      <c r="M161" s="33" t="str">
        <f ca="1">IFERROR(__xludf.DUMMYFUNCTION("""COMPUTED_VALUE"""),"03 ORL")</f>
        <v>03 ORL</v>
      </c>
      <c r="N161" s="33" t="str">
        <f ca="1">IFERROR(__xludf.DUMMYFUNCTION("""COMPUTED_VALUE"""),"06 ORL")</f>
        <v>06 ORL</v>
      </c>
      <c r="O161" s="33" t="str">
        <f ca="1">IFERROR(__xludf.DUMMYFUNCTION("""COMPUTED_VALUE"""),"Dra, Maria Del Carmen Salom Coveñas")</f>
        <v>Dra, Maria Del Carmen Salom Coveñas</v>
      </c>
      <c r="P161" s="33" t="str">
        <f ca="1">IFERROR(__xludf.DUMMYFUNCTION("""COMPUTED_VALUE"""),"Luis Alberto Rodríguez (Andalucía y Badajoz)")</f>
        <v>Luis Alberto Rodríguez (Andalucía y Badajoz)</v>
      </c>
    </row>
    <row r="162" spans="2:16">
      <c r="B162" s="74">
        <f ca="1">IFERROR(__xludf.DUMMYFUNCTION("""COMPUTED_VALUE"""),2026)</f>
        <v>2026</v>
      </c>
      <c r="C162" s="56">
        <f ca="1">IFERROR(__xludf.DUMMYFUNCTION("""COMPUTED_VALUE"""),2)</f>
        <v>2</v>
      </c>
      <c r="D162" s="33" t="str">
        <f ca="1">IFERROR(__xludf.DUMMYFUNCTION("""COMPUTED_VALUE"""),"NO")</f>
        <v>NO</v>
      </c>
      <c r="E162" s="33" t="str">
        <f ca="1">IFERROR(__xludf.DUMMYFUNCTION("""COMPUTED_VALUE"""),"Madrid- Moratalaz")</f>
        <v>Madrid- Moratalaz</v>
      </c>
      <c r="F162" s="57">
        <f ca="1">IFERROR(__xludf.DUMMYFUNCTION("""COMPUTED_VALUE"""),46065)</f>
        <v>46065</v>
      </c>
      <c r="G162" s="57">
        <f ca="1">IFERROR(__xludf.DUMMYFUNCTION("""COMPUTED_VALUE"""),46044)</f>
        <v>46044</v>
      </c>
      <c r="H162" s="33" t="str">
        <f ca="1">IFERROR(__xludf.DUMMYFUNCTION("""COMPUTED_VALUE"""),"Moratalaz")</f>
        <v>Moratalaz</v>
      </c>
      <c r="I162" s="33" t="str">
        <f ca="1">IFERROR(__xludf.DUMMYFUNCTION("""COMPUTED_VALUE"""),"C202612210645622394")</f>
        <v>C202612210645622394</v>
      </c>
      <c r="J162" s="33" t="str">
        <f ca="1">IFERROR(__xludf.DUMMYFUNCTION("""COMPUTED_VALUE"""),"MARIA JESUS FERNANDEZ EGUÍLUZ")</f>
        <v>MARIA JESUS FERNANDEZ EGUÍLUZ</v>
      </c>
      <c r="K162" s="56">
        <f ca="1">IFERROR(__xludf.DUMMYFUNCTION("""COMPUTED_VALUE"""),2)</f>
        <v>2</v>
      </c>
      <c r="L162" s="62">
        <f ca="1">IFERROR(__xludf.DUMMYFUNCTION("""COMPUTED_VALUE"""),3722.73)</f>
        <v>3722.73</v>
      </c>
      <c r="M162" s="33" t="str">
        <f ca="1">IFERROR(__xludf.DUMMYFUNCTION("""COMPUTED_VALUE"""),"03 ORL")</f>
        <v>03 ORL</v>
      </c>
      <c r="N162" s="33" t="str">
        <f ca="1">IFERROR(__xludf.DUMMYFUNCTION("""COMPUTED_VALUE"""),"06 ORL")</f>
        <v>06 ORL</v>
      </c>
      <c r="O162" s="33" t="str">
        <f ca="1">IFERROR(__xludf.DUMMYFUNCTION("""COMPUTED_VALUE"""),"Dr, Julio López Moya")</f>
        <v>Dr, Julio López Moya</v>
      </c>
      <c r="P162" s="33" t="str">
        <f ca="1">IFERROR(__xludf.DUMMYFUNCTION("""COMPUTED_VALUE"""),"Maika Blázquez (Madrid)")</f>
        <v>Maika Blázquez (Madrid)</v>
      </c>
    </row>
    <row r="163" spans="2:16">
      <c r="B163" s="74">
        <f ca="1">IFERROR(__xludf.DUMMYFUNCTION("""COMPUTED_VALUE"""),2026)</f>
        <v>2026</v>
      </c>
      <c r="C163" s="56">
        <f ca="1">IFERROR(__xludf.DUMMYFUNCTION("""COMPUTED_VALUE"""),2)</f>
        <v>2</v>
      </c>
      <c r="D163" s="33" t="str">
        <f ca="1">IFERROR(__xludf.DUMMYFUNCTION("""COMPUTED_VALUE"""),"NO")</f>
        <v>NO</v>
      </c>
      <c r="E163" s="33" t="str">
        <f ca="1">IFERROR(__xludf.DUMMYFUNCTION("""COMPUTED_VALUE"""),"Talavera")</f>
        <v>Talavera</v>
      </c>
      <c r="F163" s="57">
        <f ca="1">IFERROR(__xludf.DUMMYFUNCTION("""COMPUTED_VALUE"""),46065)</f>
        <v>46065</v>
      </c>
      <c r="G163" s="57">
        <f ca="1">IFERROR(__xludf.DUMMYFUNCTION("""COMPUTED_VALUE"""),46008)</f>
        <v>46008</v>
      </c>
      <c r="H163" s="33" t="str">
        <f ca="1">IFERROR(__xludf.DUMMYFUNCTION("""COMPUTED_VALUE"""),"Talavera")</f>
        <v>Talavera</v>
      </c>
      <c r="I163" s="33" t="str">
        <f ca="1">IFERROR(__xludf.DUMMYFUNCTION("""COMPUTED_VALUE"""),"C202512171752132637")</f>
        <v>C202512171752132637</v>
      </c>
      <c r="J163" s="33" t="str">
        <f ca="1">IFERROR(__xludf.DUMMYFUNCTION("""COMPUTED_VALUE"""),"CAROLINA CORONADO ROPERO")</f>
        <v>CAROLINA CORONADO ROPERO</v>
      </c>
      <c r="K163" s="56">
        <f ca="1">IFERROR(__xludf.DUMMYFUNCTION("""COMPUTED_VALUE"""),2)</f>
        <v>2</v>
      </c>
      <c r="L163" s="62">
        <f ca="1">IFERROR(__xludf.DUMMYFUNCTION("""COMPUTED_VALUE"""),4136.36)</f>
        <v>4136.3599999999997</v>
      </c>
      <c r="M163" s="33" t="str">
        <f ca="1">IFERROR(__xludf.DUMMYFUNCTION("""COMPUTED_VALUE"""),"03 ORL")</f>
        <v>03 ORL</v>
      </c>
      <c r="N163" s="33" t="str">
        <f ca="1">IFERROR(__xludf.DUMMYFUNCTION("""COMPUTED_VALUE"""),"06 ORL")</f>
        <v>06 ORL</v>
      </c>
      <c r="O163" s="33" t="str">
        <f ca="1">IFERROR(__xludf.DUMMYFUNCTION("""COMPUTED_VALUE"""),"Dra, Ainhoa Moreno Bravo")</f>
        <v>Dra, Ainhoa Moreno Bravo</v>
      </c>
      <c r="P163" s="33" t="str">
        <f ca="1">IFERROR(__xludf.DUMMYFUNCTION("""COMPUTED_VALUE"""),"Lisandro Russian (Madrid, Cáceres, Toledo, Talavera y Logroño)")</f>
        <v>Lisandro Russian (Madrid, Cáceres, Toledo, Talavera y Logroño)</v>
      </c>
    </row>
    <row r="164" spans="2:16">
      <c r="B164" s="74">
        <f ca="1">IFERROR(__xludf.DUMMYFUNCTION("""COMPUTED_VALUE"""),2026)</f>
        <v>2026</v>
      </c>
      <c r="C164" s="56">
        <f ca="1">IFERROR(__xludf.DUMMYFUNCTION("""COMPUTED_VALUE"""),2)</f>
        <v>2</v>
      </c>
      <c r="D164" s="33" t="str">
        <f ca="1">IFERROR(__xludf.DUMMYFUNCTION("""COMPUTED_VALUE"""),"NO")</f>
        <v>NO</v>
      </c>
      <c r="E164" s="33" t="str">
        <f ca="1">IFERROR(__xludf.DUMMYFUNCTION("""COMPUTED_VALUE"""),"Fuenlabrada")</f>
        <v>Fuenlabrada</v>
      </c>
      <c r="F164" s="57">
        <f ca="1">IFERROR(__xludf.DUMMYFUNCTION("""COMPUTED_VALUE"""),46065)</f>
        <v>46065</v>
      </c>
      <c r="G164" s="57">
        <f ca="1">IFERROR(__xludf.DUMMYFUNCTION("""COMPUTED_VALUE"""),45800)</f>
        <v>45800</v>
      </c>
      <c r="H164" s="33" t="str">
        <f ca="1">IFERROR(__xludf.DUMMYFUNCTION("""COMPUTED_VALUE"""),"Fuenlabrada")</f>
        <v>Fuenlabrada</v>
      </c>
      <c r="I164" s="33" t="str">
        <f ca="1">IFERROR(__xludf.DUMMYFUNCTION("""COMPUTED_VALUE"""),"C202552693132758")</f>
        <v>C202552693132758</v>
      </c>
      <c r="J164" s="33" t="str">
        <f ca="1">IFERROR(__xludf.DUMMYFUNCTION("""COMPUTED_VALUE"""),"JOSE ANTONIO QUINTANA LOPEZ")</f>
        <v>JOSE ANTONIO QUINTANA LOPEZ</v>
      </c>
      <c r="K164" s="56">
        <f ca="1">IFERROR(__xludf.DUMMYFUNCTION("""COMPUTED_VALUE"""),2)</f>
        <v>2</v>
      </c>
      <c r="L164" s="62">
        <f ca="1">IFERROR(__xludf.DUMMYFUNCTION("""COMPUTED_VALUE"""),3450)</f>
        <v>3450</v>
      </c>
      <c r="M164" s="33" t="str">
        <f ca="1">IFERROR(__xludf.DUMMYFUNCTION("""COMPUTED_VALUE"""),"03 ORL")</f>
        <v>03 ORL</v>
      </c>
      <c r="N164" s="33" t="str">
        <f ca="1">IFERROR(__xludf.DUMMYFUNCTION("""COMPUTED_VALUE"""),"22 AUDIOMETRIA CLINICA")</f>
        <v>22 AUDIOMETRIA CLINICA</v>
      </c>
      <c r="O164" s="33" t="str">
        <f ca="1">IFERROR(__xludf.DUMMYFUNCTION("""COMPUTED_VALUE"""),"Dr, Adolfo Toledano Muñoz")</f>
        <v>Dr, Adolfo Toledano Muñoz</v>
      </c>
      <c r="P164" s="33" t="str">
        <f ca="1">IFERROR(__xludf.DUMMYFUNCTION("""COMPUTED_VALUE"""),"Maika Blázquez (Madrid)")</f>
        <v>Maika Blázquez (Madrid)</v>
      </c>
    </row>
    <row r="165" spans="2:16">
      <c r="B165" s="74">
        <f ca="1">IFERROR(__xludf.DUMMYFUNCTION("""COMPUTED_VALUE"""),2026)</f>
        <v>2026</v>
      </c>
      <c r="C165" s="56">
        <f ca="1">IFERROR(__xludf.DUMMYFUNCTION("""COMPUTED_VALUE"""),2)</f>
        <v>2</v>
      </c>
      <c r="D165" s="33" t="str">
        <f ca="1">IFERROR(__xludf.DUMMYFUNCTION("""COMPUTED_VALUE"""),"NO")</f>
        <v>NO</v>
      </c>
      <c r="E165" s="33" t="str">
        <f ca="1">IFERROR(__xludf.DUMMYFUNCTION("""COMPUTED_VALUE"""),"Talavera")</f>
        <v>Talavera</v>
      </c>
      <c r="F165" s="57">
        <f ca="1">IFERROR(__xludf.DUMMYFUNCTION("""COMPUTED_VALUE"""),46065)</f>
        <v>46065</v>
      </c>
      <c r="G165" s="57">
        <f ca="1">IFERROR(__xludf.DUMMYFUNCTION("""COMPUTED_VALUE"""),46022)</f>
        <v>46022</v>
      </c>
      <c r="H165" s="33" t="str">
        <f ca="1">IFERROR(__xludf.DUMMYFUNCTION("""COMPUTED_VALUE"""),"Talavera")</f>
        <v>Talavera</v>
      </c>
      <c r="I165" s="33" t="str">
        <f ca="1">IFERROR(__xludf.DUMMYFUNCTION("""COMPUTED_VALUE"""),"C202512311031454328")</f>
        <v>C202512311031454328</v>
      </c>
      <c r="J165" s="33" t="str">
        <f ca="1">IFERROR(__xludf.DUMMYFUNCTION("""COMPUTED_VALUE"""),"ANGEL MUÑOZ JIMENEZ")</f>
        <v>ANGEL MUÑOZ JIMENEZ</v>
      </c>
      <c r="K165" s="56">
        <f ca="1">IFERROR(__xludf.DUMMYFUNCTION("""COMPUTED_VALUE"""),2)</f>
        <v>2</v>
      </c>
      <c r="L165" s="62">
        <f ca="1">IFERROR(__xludf.DUMMYFUNCTION("""COMPUTED_VALUE"""),2582.27)</f>
        <v>2582.27</v>
      </c>
      <c r="M165" s="33" t="str">
        <f ca="1">IFERROR(__xludf.DUMMYFUNCTION("""COMPUTED_VALUE"""),"03 ORL")</f>
        <v>03 ORL</v>
      </c>
      <c r="N165" s="33" t="str">
        <f ca="1">IFERROR(__xludf.DUMMYFUNCTION("""COMPUTED_VALUE"""),"06 ORL")</f>
        <v>06 ORL</v>
      </c>
      <c r="O165" s="33" t="str">
        <f ca="1">IFERROR(__xludf.DUMMYFUNCTION("""COMPUTED_VALUE"""),"Dra, Patricia Ezcurra Hernández")</f>
        <v>Dra, Patricia Ezcurra Hernández</v>
      </c>
      <c r="P165" s="33" t="str">
        <f ca="1">IFERROR(__xludf.DUMMYFUNCTION("""COMPUTED_VALUE"""),"Lisandro Russian (Madrid, Cáceres, Toledo, Talavera y Logroño)")</f>
        <v>Lisandro Russian (Madrid, Cáceres, Toledo, Talavera y Logroño)</v>
      </c>
    </row>
    <row r="166" spans="2:16">
      <c r="B166" s="74">
        <f ca="1">IFERROR(__xludf.DUMMYFUNCTION("""COMPUTED_VALUE"""),2026)</f>
        <v>2026</v>
      </c>
      <c r="C166" s="56">
        <f ca="1">IFERROR(__xludf.DUMMYFUNCTION("""COMPUTED_VALUE"""),2)</f>
        <v>2</v>
      </c>
      <c r="D166" s="33" t="str">
        <f ca="1">IFERROR(__xludf.DUMMYFUNCTION("""COMPUTED_VALUE"""),"NO")</f>
        <v>NO</v>
      </c>
      <c r="E166" s="33" t="str">
        <f ca="1">IFERROR(__xludf.DUMMYFUNCTION("""COMPUTED_VALUE"""),"Jerez de la Frontera")</f>
        <v>Jerez de la Frontera</v>
      </c>
      <c r="F166" s="57">
        <f ca="1">IFERROR(__xludf.DUMMYFUNCTION("""COMPUTED_VALUE"""),46065)</f>
        <v>46065</v>
      </c>
      <c r="G166" s="57">
        <f ca="1">IFERROR(__xludf.DUMMYFUNCTION("""COMPUTED_VALUE"""),46044)</f>
        <v>46044</v>
      </c>
      <c r="H166" s="33" t="str">
        <f ca="1">IFERROR(__xludf.DUMMYFUNCTION("""COMPUTED_VALUE"""),"Jerez")</f>
        <v>Jerez</v>
      </c>
      <c r="I166" s="33" t="str">
        <f ca="1">IFERROR(__xludf.DUMMYFUNCTION("""COMPUTED_VALUE"""),"C202612216365615147")</f>
        <v>C202612216365615147</v>
      </c>
      <c r="J166" s="33" t="str">
        <f ca="1">IFERROR(__xludf.DUMMYFUNCTION("""COMPUTED_VALUE"""),"ANTONIO MARTINEZ BENAVIDES")</f>
        <v>ANTONIO MARTINEZ BENAVIDES</v>
      </c>
      <c r="K166" s="56">
        <f ca="1">IFERROR(__xludf.DUMMYFUNCTION("""COMPUTED_VALUE"""),1)</f>
        <v>1</v>
      </c>
      <c r="L166" s="62">
        <f ca="1">IFERROR(__xludf.DUMMYFUNCTION("""COMPUTED_VALUE"""),2481.82)</f>
        <v>2481.8200000000002</v>
      </c>
      <c r="M166" s="33" t="str">
        <f ca="1">IFERROR(__xludf.DUMMYFUNCTION("""COMPUTED_VALUE"""),"03 ORL")</f>
        <v>03 ORL</v>
      </c>
      <c r="N166" s="33" t="str">
        <f ca="1">IFERROR(__xludf.DUMMYFUNCTION("""COMPUTED_VALUE"""),"06 ORL")</f>
        <v>06 ORL</v>
      </c>
      <c r="O166" s="33" t="str">
        <f ca="1">IFERROR(__xludf.DUMMYFUNCTION("""COMPUTED_VALUE"""),"Dra, Maria Del Carmen Salom Coveñas")</f>
        <v>Dra, Maria Del Carmen Salom Coveñas</v>
      </c>
      <c r="P166" s="33" t="str">
        <f ca="1">IFERROR(__xludf.DUMMYFUNCTION("""COMPUTED_VALUE"""),"Luis Alberto Rodríguez (Andalucía y Badajoz)")</f>
        <v>Luis Alberto Rodríguez (Andalucía y Badajoz)</v>
      </c>
    </row>
    <row r="167" spans="2:16">
      <c r="B167" s="74">
        <f ca="1">IFERROR(__xludf.DUMMYFUNCTION("""COMPUTED_VALUE"""),2026)</f>
        <v>2026</v>
      </c>
      <c r="C167" s="56">
        <f ca="1">IFERROR(__xludf.DUMMYFUNCTION("""COMPUTED_VALUE"""),2)</f>
        <v>2</v>
      </c>
      <c r="D167" s="33" t="str">
        <f ca="1">IFERROR(__xludf.DUMMYFUNCTION("""COMPUTED_VALUE"""),"NO")</f>
        <v>NO</v>
      </c>
      <c r="E167" s="33" t="str">
        <f ca="1">IFERROR(__xludf.DUMMYFUNCTION("""COMPUTED_VALUE"""),"Ourense")</f>
        <v>Ourense</v>
      </c>
      <c r="F167" s="57">
        <f ca="1">IFERROR(__xludf.DUMMYFUNCTION("""COMPUTED_VALUE"""),46065)</f>
        <v>46065</v>
      </c>
      <c r="G167" s="57">
        <f ca="1">IFERROR(__xludf.DUMMYFUNCTION("""COMPUTED_VALUE"""),46020)</f>
        <v>46020</v>
      </c>
      <c r="H167" s="33" t="str">
        <f ca="1">IFERROR(__xludf.DUMMYFUNCTION("""COMPUTED_VALUE"""),"Orense")</f>
        <v>Orense</v>
      </c>
      <c r="I167" s="33" t="str">
        <f ca="1">IFERROR(__xludf.DUMMYFUNCTION("""COMPUTED_VALUE"""),"C202512291616562251")</f>
        <v>C202512291616562251</v>
      </c>
      <c r="J167" s="33" t="str">
        <f ca="1">IFERROR(__xludf.DUMMYFUNCTION("""COMPUTED_VALUE"""),"DOLORES FERNANDEZ SUAREZ")</f>
        <v>DOLORES FERNANDEZ SUAREZ</v>
      </c>
      <c r="K167" s="56">
        <f ca="1">IFERROR(__xludf.DUMMYFUNCTION("""COMPUTED_VALUE"""),1)</f>
        <v>1</v>
      </c>
      <c r="L167" s="62">
        <f ca="1">IFERROR(__xludf.DUMMYFUNCTION("""COMPUTED_VALUE"""),1631.82)</f>
        <v>1631.82</v>
      </c>
      <c r="M167" s="33" t="str">
        <f ca="1">IFERROR(__xludf.DUMMYFUNCTION("""COMPUTED_VALUE"""),"03 ORL")</f>
        <v>03 ORL</v>
      </c>
      <c r="N167" s="33" t="str">
        <f ca="1">IFERROR(__xludf.DUMMYFUNCTION("""COMPUTED_VALUE"""),"06 ORL")</f>
        <v>06 ORL</v>
      </c>
      <c r="O167" s="33" t="str">
        <f ca="1">IFERROR(__xludf.DUMMYFUNCTION("""COMPUTED_VALUE"""),"Dra, María Rey Marcos")</f>
        <v>Dra, María Rey Marcos</v>
      </c>
      <c r="P167" s="33" t="str">
        <f ca="1">IFERROR(__xludf.DUMMYFUNCTION("""COMPUTED_VALUE"""),"Kiko Ortega (Galicia)")</f>
        <v>Kiko Ortega (Galicia)</v>
      </c>
    </row>
    <row r="168" spans="2:16">
      <c r="B168" s="74">
        <f ca="1">IFERROR(__xludf.DUMMYFUNCTION("""COMPUTED_VALUE"""),2026)</f>
        <v>2026</v>
      </c>
      <c r="C168" s="56">
        <f ca="1">IFERROR(__xludf.DUMMYFUNCTION("""COMPUTED_VALUE"""),2)</f>
        <v>2</v>
      </c>
      <c r="D168" s="33" t="str">
        <f ca="1">IFERROR(__xludf.DUMMYFUNCTION("""COMPUTED_VALUE"""),"NO")</f>
        <v>NO</v>
      </c>
      <c r="E168" s="33" t="str">
        <f ca="1">IFERROR(__xludf.DUMMYFUNCTION("""COMPUTED_VALUE"""),"Sevilla- Montoto")</f>
        <v>Sevilla- Montoto</v>
      </c>
      <c r="F168" s="57">
        <f ca="1">IFERROR(__xludf.DUMMYFUNCTION("""COMPUTED_VALUE"""),46065)</f>
        <v>46065</v>
      </c>
      <c r="G168" s="57">
        <f ca="1">IFERROR(__xludf.DUMMYFUNCTION("""COMPUTED_VALUE"""),46048)</f>
        <v>46048</v>
      </c>
      <c r="H168" s="33" t="str">
        <f ca="1">IFERROR(__xludf.DUMMYFUNCTION("""COMPUTED_VALUE"""),"Montoto")</f>
        <v>Montoto</v>
      </c>
      <c r="I168" s="33" t="str">
        <f ca="1">IFERROR(__xludf.DUMMYFUNCTION("""COMPUTED_VALUE"""),"C202612618154308409")</f>
        <v>C202612618154308409</v>
      </c>
      <c r="J168" s="33" t="str">
        <f ca="1">IFERROR(__xludf.DUMMYFUNCTION("""COMPUTED_VALUE"""),"MARIA DEL CARMEN MORENO DIAZ")</f>
        <v>MARIA DEL CARMEN MORENO DIAZ</v>
      </c>
      <c r="K168" s="56">
        <f ca="1">IFERROR(__xludf.DUMMYFUNCTION("""COMPUTED_VALUE"""),1)</f>
        <v>1</v>
      </c>
      <c r="L168" s="62">
        <f ca="1">IFERROR(__xludf.DUMMYFUNCTION("""COMPUTED_VALUE"""),2180.77)</f>
        <v>2180.77</v>
      </c>
      <c r="M168" s="33" t="str">
        <f ca="1">IFERROR(__xludf.DUMMYFUNCTION("""COMPUTED_VALUE"""),"03 ORL")</f>
        <v>03 ORL</v>
      </c>
      <c r="N168" s="33" t="str">
        <f ca="1">IFERROR(__xludf.DUMMYFUNCTION("""COMPUTED_VALUE"""),"06 ORL")</f>
        <v>06 ORL</v>
      </c>
      <c r="O168" s="33" t="str">
        <f ca="1">IFERROR(__xludf.DUMMYFUNCTION("""COMPUTED_VALUE"""),"Dr, Gustavo Benavente Bermudo")</f>
        <v>Dr, Gustavo Benavente Bermudo</v>
      </c>
      <c r="P168" s="33" t="str">
        <f ca="1">IFERROR(__xludf.DUMMYFUNCTION("""COMPUTED_VALUE"""),"Luis Alberto Rodríguez (Andalucía y Badajoz)")</f>
        <v>Luis Alberto Rodríguez (Andalucía y Badajoz)</v>
      </c>
    </row>
    <row r="169" spans="2:16">
      <c r="B169" s="74">
        <f ca="1">IFERROR(__xludf.DUMMYFUNCTION("""COMPUTED_VALUE"""),2026)</f>
        <v>2026</v>
      </c>
      <c r="C169" s="56">
        <f ca="1">IFERROR(__xludf.DUMMYFUNCTION("""COMPUTED_VALUE"""),2)</f>
        <v>2</v>
      </c>
      <c r="D169" s="33" t="str">
        <f ca="1">IFERROR(__xludf.DUMMYFUNCTION("""COMPUTED_VALUE"""),"NO")</f>
        <v>NO</v>
      </c>
      <c r="E169" s="33" t="str">
        <f ca="1">IFERROR(__xludf.DUMMYFUNCTION("""COMPUTED_VALUE"""),"Cáceres")</f>
        <v>Cáceres</v>
      </c>
      <c r="F169" s="57">
        <f ca="1">IFERROR(__xludf.DUMMYFUNCTION("""COMPUTED_VALUE"""),46066)</f>
        <v>46066</v>
      </c>
      <c r="G169" s="57">
        <f ca="1">IFERROR(__xludf.DUMMYFUNCTION("""COMPUTED_VALUE"""),46029)</f>
        <v>46029</v>
      </c>
      <c r="H169" s="33" t="str">
        <f ca="1">IFERROR(__xludf.DUMMYFUNCTION("""COMPUTED_VALUE"""),"Cáceres")</f>
        <v>Cáceres</v>
      </c>
      <c r="I169" s="33" t="str">
        <f ca="1">IFERROR(__xludf.DUMMYFUNCTION("""COMPUTED_VALUE"""),"C20261710421168634")</f>
        <v>C20261710421168634</v>
      </c>
      <c r="J169" s="33" t="str">
        <f ca="1">IFERROR(__xludf.DUMMYFUNCTION("""COMPUTED_VALUE"""),"BEATRIZ MORENO TALAVERA")</f>
        <v>BEATRIZ MORENO TALAVERA</v>
      </c>
      <c r="K169" s="56">
        <f ca="1">IFERROR(__xludf.DUMMYFUNCTION("""COMPUTED_VALUE"""),2)</f>
        <v>2</v>
      </c>
      <c r="L169" s="62">
        <f ca="1">IFERROR(__xludf.DUMMYFUNCTION("""COMPUTED_VALUE"""),3940.91)</f>
        <v>3940.91</v>
      </c>
      <c r="M169" s="33" t="str">
        <f ca="1">IFERROR(__xludf.DUMMYFUNCTION("""COMPUTED_VALUE"""),"03 ORL")</f>
        <v>03 ORL</v>
      </c>
      <c r="N169" s="33" t="str">
        <f ca="1">IFERROR(__xludf.DUMMYFUNCTION("""COMPUTED_VALUE"""),"06 ORL")</f>
        <v>06 ORL</v>
      </c>
      <c r="O169" s="33" t="str">
        <f ca="1">IFERROR(__xludf.DUMMYFUNCTION("""COMPUTED_VALUE"""),"Dra, Andrea Cifuentes Navas")</f>
        <v>Dra, Andrea Cifuentes Navas</v>
      </c>
      <c r="P169" s="33" t="str">
        <f ca="1">IFERROR(__xludf.DUMMYFUNCTION("""COMPUTED_VALUE"""),"Lisandro Russian (Madrid, Cáceres, Toledo, Talavera y Logroño)")</f>
        <v>Lisandro Russian (Madrid, Cáceres, Toledo, Talavera y Logroño)</v>
      </c>
    </row>
    <row r="170" spans="2:16">
      <c r="B170" s="74">
        <f ca="1">IFERROR(__xludf.DUMMYFUNCTION("""COMPUTED_VALUE"""),2026)</f>
        <v>2026</v>
      </c>
      <c r="C170" s="56">
        <f ca="1">IFERROR(__xludf.DUMMYFUNCTION("""COMPUTED_VALUE"""),2)</f>
        <v>2</v>
      </c>
      <c r="D170" s="33" t="str">
        <f ca="1">IFERROR(__xludf.DUMMYFUNCTION("""COMPUTED_VALUE"""),"NO")</f>
        <v>NO</v>
      </c>
      <c r="E170" s="33" t="str">
        <f ca="1">IFERROR(__xludf.DUMMYFUNCTION("""COMPUTED_VALUE"""),"Cáceres")</f>
        <v>Cáceres</v>
      </c>
      <c r="F170" s="57">
        <f ca="1">IFERROR(__xludf.DUMMYFUNCTION("""COMPUTED_VALUE"""),46066)</f>
        <v>46066</v>
      </c>
      <c r="G170" s="57">
        <f ca="1">IFERROR(__xludf.DUMMYFUNCTION("""COMPUTED_VALUE"""),46045)</f>
        <v>46045</v>
      </c>
      <c r="H170" s="33" t="str">
        <f ca="1">IFERROR(__xludf.DUMMYFUNCTION("""COMPUTED_VALUE"""),"Cáceres")</f>
        <v>Cáceres</v>
      </c>
      <c r="I170" s="33" t="str">
        <f ca="1">IFERROR(__xludf.DUMMYFUNCTION("""COMPUTED_VALUE"""),"C202612317185580520")</f>
        <v>C202612317185580520</v>
      </c>
      <c r="J170" s="33" t="str">
        <f ca="1">IFERROR(__xludf.DUMMYFUNCTION("""COMPUTED_VALUE"""),"MANUELA GOMEZ FERNANDEZ")</f>
        <v>MANUELA GOMEZ FERNANDEZ</v>
      </c>
      <c r="K170" s="56">
        <f ca="1">IFERROR(__xludf.DUMMYFUNCTION("""COMPUTED_VALUE"""),2)</f>
        <v>2</v>
      </c>
      <c r="L170" s="62">
        <f ca="1">IFERROR(__xludf.DUMMYFUNCTION("""COMPUTED_VALUE"""),3554.55)</f>
        <v>3554.55</v>
      </c>
      <c r="M170" s="33" t="str">
        <f ca="1">IFERROR(__xludf.DUMMYFUNCTION("""COMPUTED_VALUE"""),"03 ORL")</f>
        <v>03 ORL</v>
      </c>
      <c r="N170" s="33" t="str">
        <f ca="1">IFERROR(__xludf.DUMMYFUNCTION("""COMPUTED_VALUE"""),"06 ORL")</f>
        <v>06 ORL</v>
      </c>
      <c r="O170" s="33" t="str">
        <f ca="1">IFERROR(__xludf.DUMMYFUNCTION("""COMPUTED_VALUE"""),"Dra, Daniela Carolina Laguado Bulgheroni")</f>
        <v>Dra, Daniela Carolina Laguado Bulgheroni</v>
      </c>
      <c r="P170" s="33" t="str">
        <f ca="1">IFERROR(__xludf.DUMMYFUNCTION("""COMPUTED_VALUE"""),"Lisandro Russian (Madrid, Cáceres, Toledo, Talavera y Logroño)")</f>
        <v>Lisandro Russian (Madrid, Cáceres, Toledo, Talavera y Logroño)</v>
      </c>
    </row>
    <row r="171" spans="2:16">
      <c r="B171" s="74">
        <f ca="1">IFERROR(__xludf.DUMMYFUNCTION("""COMPUTED_VALUE"""),2026)</f>
        <v>2026</v>
      </c>
      <c r="C171" s="56">
        <f ca="1">IFERROR(__xludf.DUMMYFUNCTION("""COMPUTED_VALUE"""),2)</f>
        <v>2</v>
      </c>
      <c r="D171" s="33" t="str">
        <f ca="1">IFERROR(__xludf.DUMMYFUNCTION("""COMPUTED_VALUE"""),"NO")</f>
        <v>NO</v>
      </c>
      <c r="E171" s="33" t="str">
        <f ca="1">IFERROR(__xludf.DUMMYFUNCTION("""COMPUTED_VALUE"""),"Cáceres")</f>
        <v>Cáceres</v>
      </c>
      <c r="F171" s="57">
        <f ca="1">IFERROR(__xludf.DUMMYFUNCTION("""COMPUTED_VALUE"""),46066)</f>
        <v>46066</v>
      </c>
      <c r="G171" s="57">
        <f ca="1">IFERROR(__xludf.DUMMYFUNCTION("""COMPUTED_VALUE"""),46037)</f>
        <v>46037</v>
      </c>
      <c r="H171" s="33" t="str">
        <f ca="1">IFERROR(__xludf.DUMMYFUNCTION("""COMPUTED_VALUE"""),"Cáceres")</f>
        <v>Cáceres</v>
      </c>
      <c r="I171" s="33" t="str">
        <f ca="1">IFERROR(__xludf.DUMMYFUNCTION("""COMPUTED_VALUE"""),"C202611516415571807")</f>
        <v>C202611516415571807</v>
      </c>
      <c r="J171" s="33" t="str">
        <f ca="1">IFERROR(__xludf.DUMMYFUNCTION("""COMPUTED_VALUE"""),"MARIA DEL CARMEN MANZANO GOMEZ")</f>
        <v>MARIA DEL CARMEN MANZANO GOMEZ</v>
      </c>
      <c r="K171" s="56">
        <f ca="1">IFERROR(__xludf.DUMMYFUNCTION("""COMPUTED_VALUE"""),2)</f>
        <v>2</v>
      </c>
      <c r="L171" s="62">
        <f ca="1">IFERROR(__xludf.DUMMYFUNCTION("""COMPUTED_VALUE"""),4500)</f>
        <v>4500</v>
      </c>
      <c r="M171" s="33" t="str">
        <f ca="1">IFERROR(__xludf.DUMMYFUNCTION("""COMPUTED_VALUE"""),"03 ORL")</f>
        <v>03 ORL</v>
      </c>
      <c r="N171" s="33" t="str">
        <f ca="1">IFERROR(__xludf.DUMMYFUNCTION("""COMPUTED_VALUE"""),"06 ORL")</f>
        <v>06 ORL</v>
      </c>
      <c r="O171" s="33" t="str">
        <f ca="1">IFERROR(__xludf.DUMMYFUNCTION("""COMPUTED_VALUE"""),"Dra, Marta García Jiménez")</f>
        <v>Dra, Marta García Jiménez</v>
      </c>
      <c r="P171" s="33" t="str">
        <f ca="1">IFERROR(__xludf.DUMMYFUNCTION("""COMPUTED_VALUE"""),"Lisandro Russian (Madrid, Cáceres, Toledo, Talavera y Logroño)")</f>
        <v>Lisandro Russian (Madrid, Cáceres, Toledo, Talavera y Logroño)</v>
      </c>
    </row>
    <row r="172" spans="2:16">
      <c r="B172" s="74">
        <f ca="1">IFERROR(__xludf.DUMMYFUNCTION("""COMPUTED_VALUE"""),2026)</f>
        <v>2026</v>
      </c>
      <c r="C172" s="56">
        <f ca="1">IFERROR(__xludf.DUMMYFUNCTION("""COMPUTED_VALUE"""),2)</f>
        <v>2</v>
      </c>
      <c r="D172" s="33" t="str">
        <f ca="1">IFERROR(__xludf.DUMMYFUNCTION("""COMPUTED_VALUE"""),"NO")</f>
        <v>NO</v>
      </c>
      <c r="E172" s="33" t="str">
        <f ca="1">IFERROR(__xludf.DUMMYFUNCTION("""COMPUTED_VALUE"""),"San Javier")</f>
        <v>San Javier</v>
      </c>
      <c r="F172" s="57">
        <f ca="1">IFERROR(__xludf.DUMMYFUNCTION("""COMPUTED_VALUE"""),46066)</f>
        <v>46066</v>
      </c>
      <c r="G172" s="57">
        <f ca="1">IFERROR(__xludf.DUMMYFUNCTION("""COMPUTED_VALUE"""),46015)</f>
        <v>46015</v>
      </c>
      <c r="H172" s="33" t="str">
        <f ca="1">IFERROR(__xludf.DUMMYFUNCTION("""COMPUTED_VALUE"""),"San Javier")</f>
        <v>San Javier</v>
      </c>
      <c r="I172" s="33" t="str">
        <f ca="1">IFERROR(__xludf.DUMMYFUNCTION("""COMPUTED_VALUE"""),"C202512249291842480")</f>
        <v>C202512249291842480</v>
      </c>
      <c r="J172" s="33" t="str">
        <f ca="1">IFERROR(__xludf.DUMMYFUNCTION("""COMPUTED_VALUE"""),"ABDESSLEM TAHROUCHT EDDEAIF")</f>
        <v>ABDESSLEM TAHROUCHT EDDEAIF</v>
      </c>
      <c r="K172" s="56">
        <f ca="1">IFERROR(__xludf.DUMMYFUNCTION("""COMPUTED_VALUE"""),1)</f>
        <v>1</v>
      </c>
      <c r="L172" s="62">
        <f ca="1">IFERROR(__xludf.DUMMYFUNCTION("""COMPUTED_VALUE"""),1631.82)</f>
        <v>1631.82</v>
      </c>
      <c r="M172" s="33" t="str">
        <f ca="1">IFERROR(__xludf.DUMMYFUNCTION("""COMPUTED_VALUE"""),"03 ORL")</f>
        <v>03 ORL</v>
      </c>
      <c r="N172" s="33" t="str">
        <f ca="1">IFERROR(__xludf.DUMMYFUNCTION("""COMPUTED_VALUE"""),"06 ORL")</f>
        <v>06 ORL</v>
      </c>
      <c r="O172" s="33" t="str">
        <f ca="1">IFERROR(__xludf.DUMMYFUNCTION("""COMPUTED_VALUE"""),"Dra, María Teresa Almela Rojo")</f>
        <v>Dra, María Teresa Almela Rojo</v>
      </c>
      <c r="P172" s="33" t="str">
        <f ca="1">IFERROR(__xludf.DUMMYFUNCTION("""COMPUTED_VALUE"""),"Iván Sánchez (Levante y Albacete)")</f>
        <v>Iván Sánchez (Levante y Albacete)</v>
      </c>
    </row>
    <row r="173" spans="2:16">
      <c r="B173" s="74">
        <f ca="1">IFERROR(__xludf.DUMMYFUNCTION("""COMPUTED_VALUE"""),2026)</f>
        <v>2026</v>
      </c>
      <c r="C173" s="56">
        <f ca="1">IFERROR(__xludf.DUMMYFUNCTION("""COMPUTED_VALUE"""),2)</f>
        <v>2</v>
      </c>
      <c r="D173" s="33" t="str">
        <f ca="1">IFERROR(__xludf.DUMMYFUNCTION("""COMPUTED_VALUE"""),"NO")</f>
        <v>NO</v>
      </c>
      <c r="E173" s="33" t="str">
        <f ca="1">IFERROR(__xludf.DUMMYFUNCTION("""COMPUTED_VALUE"""),"Logroño")</f>
        <v>Logroño</v>
      </c>
      <c r="F173" s="57">
        <f ca="1">IFERROR(__xludf.DUMMYFUNCTION("""COMPUTED_VALUE"""),46066)</f>
        <v>46066</v>
      </c>
      <c r="G173" s="57">
        <f ca="1">IFERROR(__xludf.DUMMYFUNCTION("""COMPUTED_VALUE"""),46057)</f>
        <v>46057</v>
      </c>
      <c r="H173" s="33" t="str">
        <f ca="1">IFERROR(__xludf.DUMMYFUNCTION("""COMPUTED_VALUE"""),"Logroño")</f>
        <v>Logroño</v>
      </c>
      <c r="I173" s="33" t="str">
        <f ca="1">IFERROR(__xludf.DUMMYFUNCTION("""COMPUTED_VALUE"""),"C20262485022588916")</f>
        <v>C20262485022588916</v>
      </c>
      <c r="J173" s="33" t="str">
        <f ca="1">IFERROR(__xludf.DUMMYFUNCTION("""COMPUTED_VALUE"""),"MARIA SANTOS ZORZANO AROSTEGUI")</f>
        <v>MARIA SANTOS ZORZANO AROSTEGUI</v>
      </c>
      <c r="K173" s="56">
        <f ca="1">IFERROR(__xludf.DUMMYFUNCTION("""COMPUTED_VALUE"""),2)</f>
        <v>2</v>
      </c>
      <c r="L173" s="62">
        <f ca="1">IFERROR(__xludf.DUMMYFUNCTION("""COMPUTED_VALUE"""),3631.82)</f>
        <v>3631.82</v>
      </c>
      <c r="M173" s="33" t="str">
        <f ca="1">IFERROR(__xludf.DUMMYFUNCTION("""COMPUTED_VALUE"""),"03 ORL")</f>
        <v>03 ORL</v>
      </c>
      <c r="N173" s="33" t="str">
        <f ca="1">IFERROR(__xludf.DUMMYFUNCTION("""COMPUTED_VALUE"""),"06 ORL")</f>
        <v>06 ORL</v>
      </c>
      <c r="O173" s="33" t="str">
        <f ca="1">IFERROR(__xludf.DUMMYFUNCTION("""COMPUTED_VALUE"""),"Dr, Fernando Salazar Barcelona")</f>
        <v>Dr, Fernando Salazar Barcelona</v>
      </c>
      <c r="P173" s="33" t="str">
        <f ca="1">IFERROR(__xludf.DUMMYFUNCTION("""COMPUTED_VALUE"""),"Lisandro Russian (Madrid, Cáceres, Toledo, Talavera y Logroño)")</f>
        <v>Lisandro Russian (Madrid, Cáceres, Toledo, Talavera y Logroño)</v>
      </c>
    </row>
    <row r="174" spans="2:16">
      <c r="B174" s="74">
        <f ca="1">IFERROR(__xludf.DUMMYFUNCTION("""COMPUTED_VALUE"""),2026)</f>
        <v>2026</v>
      </c>
      <c r="C174" s="56">
        <f ca="1">IFERROR(__xludf.DUMMYFUNCTION("""COMPUTED_VALUE"""),2)</f>
        <v>2</v>
      </c>
      <c r="D174" s="33" t="str">
        <f ca="1">IFERROR(__xludf.DUMMYFUNCTION("""COMPUTED_VALUE"""),"NO")</f>
        <v>NO</v>
      </c>
      <c r="E174" s="33" t="str">
        <f ca="1">IFERROR(__xludf.DUMMYFUNCTION("""COMPUTED_VALUE"""),"Fuenlabrada")</f>
        <v>Fuenlabrada</v>
      </c>
      <c r="F174" s="57">
        <f ca="1">IFERROR(__xludf.DUMMYFUNCTION("""COMPUTED_VALUE"""),46066)</f>
        <v>46066</v>
      </c>
      <c r="G174" s="57">
        <f ca="1">IFERROR(__xludf.DUMMYFUNCTION("""COMPUTED_VALUE"""),46036)</f>
        <v>46036</v>
      </c>
      <c r="H174" s="33" t="str">
        <f ca="1">IFERROR(__xludf.DUMMYFUNCTION("""COMPUTED_VALUE"""),"Fuenlabrada")</f>
        <v>Fuenlabrada</v>
      </c>
      <c r="I174" s="33" t="str">
        <f ca="1">IFERROR(__xludf.DUMMYFUNCTION("""COMPUTED_VALUE"""),"C202611417553390982")</f>
        <v>C202611417553390982</v>
      </c>
      <c r="J174" s="33" t="str">
        <f ca="1">IFERROR(__xludf.DUMMYFUNCTION("""COMPUTED_VALUE"""),"RAFAEL DIEZ GARCÍA")</f>
        <v>RAFAEL DIEZ GARCÍA</v>
      </c>
      <c r="K174" s="56">
        <f ca="1">IFERROR(__xludf.DUMMYFUNCTION("""COMPUTED_VALUE"""),2)</f>
        <v>2</v>
      </c>
      <c r="L174" s="62">
        <f ca="1">IFERROR(__xludf.DUMMYFUNCTION("""COMPUTED_VALUE"""),3631.82)</f>
        <v>3631.82</v>
      </c>
      <c r="M174" s="33" t="str">
        <f ca="1">IFERROR(__xludf.DUMMYFUNCTION("""COMPUTED_VALUE"""),"03 ORL")</f>
        <v>03 ORL</v>
      </c>
      <c r="N174" s="33" t="str">
        <f ca="1">IFERROR(__xludf.DUMMYFUNCTION("""COMPUTED_VALUE"""),"06 ORL")</f>
        <v>06 ORL</v>
      </c>
      <c r="O174" s="33" t="str">
        <f ca="1">IFERROR(__xludf.DUMMYFUNCTION("""COMPUTED_VALUE"""),"Dr, Fabio Fernández Mateos")</f>
        <v>Dr, Fabio Fernández Mateos</v>
      </c>
      <c r="P174" s="33" t="str">
        <f ca="1">IFERROR(__xludf.DUMMYFUNCTION("""COMPUTED_VALUE"""),"Maika Blázquez (Madrid)")</f>
        <v>Maika Blázquez (Madrid)</v>
      </c>
    </row>
    <row r="175" spans="2:16">
      <c r="B175" s="74">
        <f ca="1">IFERROR(__xludf.DUMMYFUNCTION("""COMPUTED_VALUE"""),2026)</f>
        <v>2026</v>
      </c>
      <c r="C175" s="56">
        <f ca="1">IFERROR(__xludf.DUMMYFUNCTION("""COMPUTED_VALUE"""),2)</f>
        <v>2</v>
      </c>
      <c r="D175" s="33" t="str">
        <f ca="1">IFERROR(__xludf.DUMMYFUNCTION("""COMPUTED_VALUE"""),"NO")</f>
        <v>NO</v>
      </c>
      <c r="E175" s="33" t="str">
        <f ca="1">IFERROR(__xludf.DUMMYFUNCTION("""COMPUTED_VALUE"""),"Sevilla- Montoto")</f>
        <v>Sevilla- Montoto</v>
      </c>
      <c r="F175" s="57">
        <f ca="1">IFERROR(__xludf.DUMMYFUNCTION("""COMPUTED_VALUE"""),46066)</f>
        <v>46066</v>
      </c>
      <c r="G175" s="57">
        <f ca="1">IFERROR(__xludf.DUMMYFUNCTION("""COMPUTED_VALUE"""),46001)</f>
        <v>46001</v>
      </c>
      <c r="H175" s="33" t="str">
        <f ca="1">IFERROR(__xludf.DUMMYFUNCTION("""COMPUTED_VALUE"""),"Montoto")</f>
        <v>Montoto</v>
      </c>
      <c r="I175" s="33" t="str">
        <f ca="1">IFERROR(__xludf.DUMMYFUNCTION("""COMPUTED_VALUE"""),"C202512109102071586")</f>
        <v>C202512109102071586</v>
      </c>
      <c r="J175" s="33" t="str">
        <f ca="1">IFERROR(__xludf.DUMMYFUNCTION("""COMPUTED_VALUE"""),"CLAUDIA ATENEA PEREZ PACHECO")</f>
        <v>CLAUDIA ATENEA PEREZ PACHECO</v>
      </c>
      <c r="K175" s="56">
        <f ca="1">IFERROR(__xludf.DUMMYFUNCTION("""COMPUTED_VALUE"""),1)</f>
        <v>1</v>
      </c>
      <c r="L175" s="62">
        <f ca="1">IFERROR(__xludf.DUMMYFUNCTION("""COMPUTED_VALUE"""),2722.73)</f>
        <v>2722.73</v>
      </c>
      <c r="M175" s="33" t="str">
        <f ca="1">IFERROR(__xludf.DUMMYFUNCTION("""COMPUTED_VALUE"""),"01 MARKETING ON LINE")</f>
        <v>01 MARKETING ON LINE</v>
      </c>
      <c r="N175" s="33" t="str">
        <f ca="1">IFERROR(__xludf.DUMMYFUNCTION("""COMPUTED_VALUE"""),"01 WEB AUDICOST")</f>
        <v>01 WEB AUDICOST</v>
      </c>
      <c r="O175" s="33" t="str">
        <f ca="1">IFERROR(__xludf.DUMMYFUNCTION("""COMPUTED_VALUE"""),"Dr, Antonio Medinilla Vallejo")</f>
        <v>Dr, Antonio Medinilla Vallejo</v>
      </c>
      <c r="P175" s="33" t="str">
        <f ca="1">IFERROR(__xludf.DUMMYFUNCTION("""COMPUTED_VALUE"""),"Luis Alberto Rodríguez (Andalucía y Badajoz)")</f>
        <v>Luis Alberto Rodríguez (Andalucía y Badajoz)</v>
      </c>
    </row>
    <row r="176" spans="2:16">
      <c r="B176" s="74">
        <f ca="1">IFERROR(__xludf.DUMMYFUNCTION("""COMPUTED_VALUE"""),2026)</f>
        <v>2026</v>
      </c>
      <c r="C176" s="56">
        <f ca="1">IFERROR(__xludf.DUMMYFUNCTION("""COMPUTED_VALUE"""),2)</f>
        <v>2</v>
      </c>
      <c r="D176" s="33" t="str">
        <f ca="1">IFERROR(__xludf.DUMMYFUNCTION("""COMPUTED_VALUE"""),"NO")</f>
        <v>NO</v>
      </c>
      <c r="E176" s="33" t="str">
        <f ca="1">IFERROR(__xludf.DUMMYFUNCTION("""COMPUTED_VALUE"""),"Madrid- La Oca")</f>
        <v>Madrid- La Oca</v>
      </c>
      <c r="F176" s="57">
        <f ca="1">IFERROR(__xludf.DUMMYFUNCTION("""COMPUTED_VALUE"""),46069)</f>
        <v>46069</v>
      </c>
      <c r="G176" s="57">
        <f ca="1">IFERROR(__xludf.DUMMYFUNCTION("""COMPUTED_VALUE"""),46034)</f>
        <v>46034</v>
      </c>
      <c r="H176" s="33" t="str">
        <f ca="1">IFERROR(__xludf.DUMMYFUNCTION("""COMPUTED_VALUE"""),"La Oca")</f>
        <v>La Oca</v>
      </c>
      <c r="I176" s="33" t="str">
        <f ca="1">IFERROR(__xludf.DUMMYFUNCTION("""COMPUTED_VALUE"""),"C202611211324742365")</f>
        <v>C202611211324742365</v>
      </c>
      <c r="J176" s="33" t="str">
        <f ca="1">IFERROR(__xludf.DUMMYFUNCTION("""COMPUTED_VALUE"""),"ANA MARIA  HERRERO MARTIN")</f>
        <v>ANA MARIA  HERRERO MARTIN</v>
      </c>
      <c r="K176" s="56">
        <f ca="1">IFERROR(__xludf.DUMMYFUNCTION("""COMPUTED_VALUE"""),2)</f>
        <v>2</v>
      </c>
      <c r="L176" s="62">
        <f ca="1">IFERROR(__xludf.DUMMYFUNCTION("""COMPUTED_VALUE"""),3631.82)</f>
        <v>3631.82</v>
      </c>
      <c r="M176" s="33" t="str">
        <f ca="1">IFERROR(__xludf.DUMMYFUNCTION("""COMPUTED_VALUE"""),"03 ORL")</f>
        <v>03 ORL</v>
      </c>
      <c r="N176" s="33" t="str">
        <f ca="1">IFERROR(__xludf.DUMMYFUNCTION("""COMPUTED_VALUE"""),"06 ORL")</f>
        <v>06 ORL</v>
      </c>
      <c r="O176" s="33" t="str">
        <f ca="1">IFERROR(__xludf.DUMMYFUNCTION("""COMPUTED_VALUE"""),"Dr, José Joaquín Gutiérrez Barquín")</f>
        <v>Dr, José Joaquín Gutiérrez Barquín</v>
      </c>
      <c r="P176" s="33" t="str">
        <f ca="1">IFERROR(__xludf.DUMMYFUNCTION("""COMPUTED_VALUE"""),"Maika Blázquez (Madrid)")</f>
        <v>Maika Blázquez (Madrid)</v>
      </c>
    </row>
    <row r="177" spans="2:16">
      <c r="B177" s="74">
        <f ca="1">IFERROR(__xludf.DUMMYFUNCTION("""COMPUTED_VALUE"""),2026)</f>
        <v>2026</v>
      </c>
      <c r="C177" s="56">
        <f ca="1">IFERROR(__xludf.DUMMYFUNCTION("""COMPUTED_VALUE"""),2)</f>
        <v>2</v>
      </c>
      <c r="D177" s="33" t="str">
        <f ca="1">IFERROR(__xludf.DUMMYFUNCTION("""COMPUTED_VALUE"""),"NO")</f>
        <v>NO</v>
      </c>
      <c r="E177" s="33" t="str">
        <f ca="1">IFERROR(__xludf.DUMMYFUNCTION("""COMPUTED_VALUE"""),"El Albir (Benidorm)")</f>
        <v>El Albir (Benidorm)</v>
      </c>
      <c r="F177" s="57">
        <f ca="1">IFERROR(__xludf.DUMMYFUNCTION("""COMPUTED_VALUE"""),46069)</f>
        <v>46069</v>
      </c>
      <c r="G177" s="57">
        <f ca="1">IFERROR(__xludf.DUMMYFUNCTION("""COMPUTED_VALUE"""),46035)</f>
        <v>46035</v>
      </c>
      <c r="H177" s="33" t="str">
        <f ca="1">IFERROR(__xludf.DUMMYFUNCTION("""COMPUTED_VALUE"""),"El Albir (Benidorm)")</f>
        <v>El Albir (Benidorm)</v>
      </c>
      <c r="I177" s="33" t="str">
        <f ca="1">IFERROR(__xludf.DUMMYFUNCTION("""COMPUTED_VALUE"""),"C202611316565194107")</f>
        <v>C202611316565194107</v>
      </c>
      <c r="J177" s="33" t="str">
        <f ca="1">IFERROR(__xludf.DUMMYFUNCTION("""COMPUTED_VALUE"""),"FRANCISCO JAVIER  FREIJIDO BREA")</f>
        <v>FRANCISCO JAVIER  FREIJIDO BREA</v>
      </c>
      <c r="K177" s="56">
        <f ca="1">IFERROR(__xludf.DUMMYFUNCTION("""COMPUTED_VALUE"""),2)</f>
        <v>2</v>
      </c>
      <c r="L177" s="62">
        <f ca="1">IFERROR(__xludf.DUMMYFUNCTION("""COMPUTED_VALUE"""),2718.18)</f>
        <v>2718.18</v>
      </c>
      <c r="M177" s="33" t="str">
        <f ca="1">IFERROR(__xludf.DUMMYFUNCTION("""COMPUTED_VALUE"""),"04 TIENDA")</f>
        <v>04 TIENDA</v>
      </c>
      <c r="N177" s="33" t="str">
        <f ca="1">IFERROR(__xludf.DUMMYFUNCTION("""COMPUTED_VALUE"""),"07 BOCA/BOCA")</f>
        <v>07 BOCA/BOCA</v>
      </c>
      <c r="O177" s="33" t="str">
        <f ca="1">IFERROR(__xludf.DUMMYFUNCTION("""COMPUTED_VALUE"""),"Dra, María Emilia García Ruiz")</f>
        <v>Dra, María Emilia García Ruiz</v>
      </c>
      <c r="P177" s="33" t="str">
        <f ca="1">IFERROR(__xludf.DUMMYFUNCTION("""COMPUTED_VALUE"""),"Ramon Ferrando(Valencia)")</f>
        <v>Ramon Ferrando(Valencia)</v>
      </c>
    </row>
    <row r="178" spans="2:16">
      <c r="B178" s="74">
        <f ca="1">IFERROR(__xludf.DUMMYFUNCTION("""COMPUTED_VALUE"""),2026)</f>
        <v>2026</v>
      </c>
      <c r="C178" s="56">
        <f ca="1">IFERROR(__xludf.DUMMYFUNCTION("""COMPUTED_VALUE"""),2)</f>
        <v>2</v>
      </c>
      <c r="D178" s="33" t="str">
        <f ca="1">IFERROR(__xludf.DUMMYFUNCTION("""COMPUTED_VALUE"""),"NO")</f>
        <v>NO</v>
      </c>
      <c r="E178" s="33" t="str">
        <f ca="1">IFERROR(__xludf.DUMMYFUNCTION("""COMPUTED_VALUE"""),"Cáceres")</f>
        <v>Cáceres</v>
      </c>
      <c r="F178" s="57">
        <f ca="1">IFERROR(__xludf.DUMMYFUNCTION("""COMPUTED_VALUE"""),46069)</f>
        <v>46069</v>
      </c>
      <c r="G178" s="57">
        <f ca="1">IFERROR(__xludf.DUMMYFUNCTION("""COMPUTED_VALUE"""),46035)</f>
        <v>46035</v>
      </c>
      <c r="H178" s="33" t="str">
        <f ca="1">IFERROR(__xludf.DUMMYFUNCTION("""COMPUTED_VALUE"""),"Cáceres")</f>
        <v>Cáceres</v>
      </c>
      <c r="I178" s="33" t="str">
        <f ca="1">IFERROR(__xludf.DUMMYFUNCTION("""COMPUTED_VALUE"""),"C20261131866025031")</f>
        <v>C20261131866025031</v>
      </c>
      <c r="J178" s="33" t="str">
        <f ca="1">IFERROR(__xludf.DUMMYFUNCTION("""COMPUTED_VALUE"""),"ISABEL PALACIN LEAL")</f>
        <v>ISABEL PALACIN LEAL</v>
      </c>
      <c r="K178" s="56">
        <f ca="1">IFERROR(__xludf.DUMMYFUNCTION("""COMPUTED_VALUE"""),2)</f>
        <v>2</v>
      </c>
      <c r="L178" s="62">
        <f ca="1">IFERROR(__xludf.DUMMYFUNCTION("""COMPUTED_VALUE"""),3940.91)</f>
        <v>3940.91</v>
      </c>
      <c r="M178" s="33" t="str">
        <f ca="1">IFERROR(__xludf.DUMMYFUNCTION("""COMPUTED_VALUE"""),"03 ORL")</f>
        <v>03 ORL</v>
      </c>
      <c r="N178" s="33" t="str">
        <f ca="1">IFERROR(__xludf.DUMMYFUNCTION("""COMPUTED_VALUE"""),"06 ORL")</f>
        <v>06 ORL</v>
      </c>
      <c r="O178" s="1" t="str">
        <f ca="1">IFERROR(__xludf.DUMMYFUNCTION("""COMPUTED_VALUE"""),"Dra, Marta García Jiménez")</f>
        <v>Dra, Marta García Jiménez</v>
      </c>
      <c r="P178" s="33" t="str">
        <f ca="1">IFERROR(__xludf.DUMMYFUNCTION("""COMPUTED_VALUE"""),"Lisandro Russian (Madrid, Cáceres, Toledo, Talavera y Logroño)")</f>
        <v>Lisandro Russian (Madrid, Cáceres, Toledo, Talavera y Logroño)</v>
      </c>
    </row>
    <row r="179" spans="2:16">
      <c r="B179" s="74">
        <f ca="1">IFERROR(__xludf.DUMMYFUNCTION("""COMPUTED_VALUE"""),2026)</f>
        <v>2026</v>
      </c>
      <c r="C179" s="56">
        <f ca="1">IFERROR(__xludf.DUMMYFUNCTION("""COMPUTED_VALUE"""),2)</f>
        <v>2</v>
      </c>
      <c r="D179" s="33" t="str">
        <f ca="1">IFERROR(__xludf.DUMMYFUNCTION("""COMPUTED_VALUE"""),"NO")</f>
        <v>NO</v>
      </c>
      <c r="E179" s="33" t="str">
        <f ca="1">IFERROR(__xludf.DUMMYFUNCTION("""COMPUTED_VALUE"""),"Madrid- La Oca")</f>
        <v>Madrid- La Oca</v>
      </c>
      <c r="F179" s="57">
        <f ca="1">IFERROR(__xludf.DUMMYFUNCTION("""COMPUTED_VALUE"""),46069)</f>
        <v>46069</v>
      </c>
      <c r="G179" s="57">
        <f ca="1">IFERROR(__xludf.DUMMYFUNCTION("""COMPUTED_VALUE"""),46036)</f>
        <v>46036</v>
      </c>
      <c r="H179" s="33" t="str">
        <f ca="1">IFERROR(__xludf.DUMMYFUNCTION("""COMPUTED_VALUE"""),"La Oca")</f>
        <v>La Oca</v>
      </c>
      <c r="I179" s="33" t="str">
        <f ca="1">IFERROR(__xludf.DUMMYFUNCTION("""COMPUTED_VALUE"""),"C202611495954073474")</f>
        <v>C202611495954073474</v>
      </c>
      <c r="J179" s="33" t="str">
        <f ca="1">IFERROR(__xludf.DUMMYFUNCTION("""COMPUTED_VALUE"""),"ALFONSO GONZALEZ-NICOLAS JUNCOS")</f>
        <v>ALFONSO GONZALEZ-NICOLAS JUNCOS</v>
      </c>
      <c r="K179" s="56">
        <f ca="1">IFERROR(__xludf.DUMMYFUNCTION("""COMPUTED_VALUE"""),2)</f>
        <v>2</v>
      </c>
      <c r="L179" s="62">
        <f ca="1">IFERROR(__xludf.DUMMYFUNCTION("""COMPUTED_VALUE"""),4136.36)</f>
        <v>4136.3599999999997</v>
      </c>
      <c r="M179" s="33" t="str">
        <f ca="1">IFERROR(__xludf.DUMMYFUNCTION("""COMPUTED_VALUE"""),"03 ORL")</f>
        <v>03 ORL</v>
      </c>
      <c r="N179" s="33" t="str">
        <f ca="1">IFERROR(__xludf.DUMMYFUNCTION("""COMPUTED_VALUE"""),"06 ORL")</f>
        <v>06 ORL</v>
      </c>
      <c r="O179" s="33" t="str">
        <f ca="1">IFERROR(__xludf.DUMMYFUNCTION("""COMPUTED_VALUE"""),"No recuerda ORL")</f>
        <v>No recuerda ORL</v>
      </c>
      <c r="P179" s="33" t="str">
        <f ca="1">IFERROR(__xludf.DUMMYFUNCTION("""COMPUTED_VALUE"""),"Maika Blázquez (Madrid)")</f>
        <v>Maika Blázquez (Madrid)</v>
      </c>
    </row>
    <row r="180" spans="2:16">
      <c r="B180" s="74">
        <f ca="1">IFERROR(__xludf.DUMMYFUNCTION("""COMPUTED_VALUE"""),2026)</f>
        <v>2026</v>
      </c>
      <c r="C180" s="56">
        <f ca="1">IFERROR(__xludf.DUMMYFUNCTION("""COMPUTED_VALUE"""),2)</f>
        <v>2</v>
      </c>
      <c r="D180" s="33" t="str">
        <f ca="1">IFERROR(__xludf.DUMMYFUNCTION("""COMPUTED_VALUE"""),"NO")</f>
        <v>NO</v>
      </c>
      <c r="E180" s="33" t="str">
        <f ca="1">IFERROR(__xludf.DUMMYFUNCTION("""COMPUTED_VALUE"""),"San Javier")</f>
        <v>San Javier</v>
      </c>
      <c r="F180" s="57">
        <f ca="1">IFERROR(__xludf.DUMMYFUNCTION("""COMPUTED_VALUE"""),46069)</f>
        <v>46069</v>
      </c>
      <c r="G180" s="57">
        <f ca="1">IFERROR(__xludf.DUMMYFUNCTION("""COMPUTED_VALUE"""),46042)</f>
        <v>46042</v>
      </c>
      <c r="H180" s="33" t="str">
        <f ca="1">IFERROR(__xludf.DUMMYFUNCTION("""COMPUTED_VALUE"""),"San Javier")</f>
        <v>San Javier</v>
      </c>
      <c r="I180" s="33" t="str">
        <f ca="1">IFERROR(__xludf.DUMMYFUNCTION("""COMPUTED_VALUE"""),"C202612015135615894")</f>
        <v>C202612015135615894</v>
      </c>
      <c r="J180" s="33" t="str">
        <f ca="1">IFERROR(__xludf.DUMMYFUNCTION("""COMPUTED_VALUE"""),"CARMEN SANCHEZ HERNANDEZ")</f>
        <v>CARMEN SANCHEZ HERNANDEZ</v>
      </c>
      <c r="K180" s="56">
        <f ca="1">IFERROR(__xludf.DUMMYFUNCTION("""COMPUTED_VALUE"""),2)</f>
        <v>2</v>
      </c>
      <c r="L180" s="62">
        <f ca="1">IFERROR(__xludf.DUMMYFUNCTION("""COMPUTED_VALUE"""),2718.18)</f>
        <v>2718.18</v>
      </c>
      <c r="M180" s="33" t="str">
        <f ca="1">IFERROR(__xludf.DUMMYFUNCTION("""COMPUTED_VALUE"""),"03 ORL")</f>
        <v>03 ORL</v>
      </c>
      <c r="N180" s="33" t="str">
        <f ca="1">IFERROR(__xludf.DUMMYFUNCTION("""COMPUTED_VALUE"""),"06 ORL")</f>
        <v>06 ORL</v>
      </c>
      <c r="O180" s="33" t="str">
        <f ca="1">IFERROR(__xludf.DUMMYFUNCTION("""COMPUTED_VALUE"""),"Dra, Alba Molina Moreno")</f>
        <v>Dra, Alba Molina Moreno</v>
      </c>
      <c r="P180" s="33" t="str">
        <f ca="1">IFERROR(__xludf.DUMMYFUNCTION("""COMPUTED_VALUE"""),"Iván Sánchez (Levante y Albacete)")</f>
        <v>Iván Sánchez (Levante y Albacete)</v>
      </c>
    </row>
    <row r="181" spans="2:16">
      <c r="B181" s="74">
        <f ca="1">IFERROR(__xludf.DUMMYFUNCTION("""COMPUTED_VALUE"""),2026)</f>
        <v>2026</v>
      </c>
      <c r="C181" s="56">
        <f ca="1">IFERROR(__xludf.DUMMYFUNCTION("""COMPUTED_VALUE"""),2)</f>
        <v>2</v>
      </c>
      <c r="D181" s="33" t="str">
        <f ca="1">IFERROR(__xludf.DUMMYFUNCTION("""COMPUTED_VALUE"""),"NO")</f>
        <v>NO</v>
      </c>
      <c r="E181" s="33" t="str">
        <f ca="1">IFERROR(__xludf.DUMMYFUNCTION("""COMPUTED_VALUE"""),"Orihuela")</f>
        <v>Orihuela</v>
      </c>
      <c r="F181" s="57">
        <f ca="1">IFERROR(__xludf.DUMMYFUNCTION("""COMPUTED_VALUE"""),46069)</f>
        <v>46069</v>
      </c>
      <c r="G181" s="57">
        <f ca="1">IFERROR(__xludf.DUMMYFUNCTION("""COMPUTED_VALUE"""),46036)</f>
        <v>46036</v>
      </c>
      <c r="H181" s="33" t="str">
        <f ca="1">IFERROR(__xludf.DUMMYFUNCTION("""COMPUTED_VALUE"""),"La Zenia")</f>
        <v>La Zenia</v>
      </c>
      <c r="I181" s="33" t="str">
        <f ca="1">IFERROR(__xludf.DUMMYFUNCTION("""COMPUTED_VALUE"""),"C202611411820969634")</f>
        <v>C202611411820969634</v>
      </c>
      <c r="J181" s="33" t="str">
        <f ca="1">IFERROR(__xludf.DUMMYFUNCTION("""COMPUTED_VALUE"""),"ALEXANDRA CALLEJA CHAMORRO")</f>
        <v>ALEXANDRA CALLEJA CHAMORRO</v>
      </c>
      <c r="K181" s="56">
        <f ca="1">IFERROR(__xludf.DUMMYFUNCTION("""COMPUTED_VALUE"""),1)</f>
        <v>1</v>
      </c>
      <c r="L181" s="62">
        <f ca="1">IFERROR(__xludf.DUMMYFUNCTION("""COMPUTED_VALUE"""),2180.77)</f>
        <v>2180.77</v>
      </c>
      <c r="M181" s="33" t="str">
        <f ca="1">IFERROR(__xludf.DUMMYFUNCTION("""COMPUTED_VALUE"""),"03 ORL")</f>
        <v>03 ORL</v>
      </c>
      <c r="N181" s="33" t="str">
        <f ca="1">IFERROR(__xludf.DUMMYFUNCTION("""COMPUTED_VALUE"""),"06 ORL")</f>
        <v>06 ORL</v>
      </c>
      <c r="O181" s="33" t="str">
        <f ca="1">IFERROR(__xludf.DUMMYFUNCTION("""COMPUTED_VALUE"""),"Dra, Paula Hernández Ruíz")</f>
        <v>Dra, Paula Hernández Ruíz</v>
      </c>
      <c r="P181" s="33" t="str">
        <f ca="1">IFERROR(__xludf.DUMMYFUNCTION("""COMPUTED_VALUE"""),"Iván Sánchez (Levante y Albacete)")</f>
        <v>Iván Sánchez (Levante y Albacete)</v>
      </c>
    </row>
    <row r="182" spans="2:16">
      <c r="B182" s="74">
        <f ca="1">IFERROR(__xludf.DUMMYFUNCTION("""COMPUTED_VALUE"""),2026)</f>
        <v>2026</v>
      </c>
      <c r="C182" s="56">
        <f ca="1">IFERROR(__xludf.DUMMYFUNCTION("""COMPUTED_VALUE"""),2)</f>
        <v>2</v>
      </c>
      <c r="D182" s="33" t="str">
        <f ca="1">IFERROR(__xludf.DUMMYFUNCTION("""COMPUTED_VALUE"""),"NO")</f>
        <v>NO</v>
      </c>
      <c r="E182" s="33" t="str">
        <f ca="1">IFERROR(__xludf.DUMMYFUNCTION("""COMPUTED_VALUE"""),"Sevilla- Ciencias")</f>
        <v>Sevilla- Ciencias</v>
      </c>
      <c r="F182" s="57">
        <f ca="1">IFERROR(__xludf.DUMMYFUNCTION("""COMPUTED_VALUE"""),46069)</f>
        <v>46069</v>
      </c>
      <c r="G182" s="57">
        <f ca="1">IFERROR(__xludf.DUMMYFUNCTION("""COMPUTED_VALUE"""),46045)</f>
        <v>46045</v>
      </c>
      <c r="H182" s="33" t="str">
        <f ca="1">IFERROR(__xludf.DUMMYFUNCTION("""COMPUTED_VALUE"""),"Sevilla Este")</f>
        <v>Sevilla Este</v>
      </c>
      <c r="I182" s="33" t="str">
        <f ca="1">IFERROR(__xludf.DUMMYFUNCTION("""COMPUTED_VALUE"""),"C202612312273722386")</f>
        <v>C202612312273722386</v>
      </c>
      <c r="J182" s="33" t="str">
        <f ca="1">IFERROR(__xludf.DUMMYFUNCTION("""COMPUTED_VALUE"""),"FRANCISCO VINUESA LIMA")</f>
        <v>FRANCISCO VINUESA LIMA</v>
      </c>
      <c r="K182" s="56">
        <f ca="1">IFERROR(__xludf.DUMMYFUNCTION("""COMPUTED_VALUE"""),2)</f>
        <v>2</v>
      </c>
      <c r="L182" s="62">
        <f ca="1">IFERROR(__xludf.DUMMYFUNCTION("""COMPUTED_VALUE"""),2718.18)</f>
        <v>2718.18</v>
      </c>
      <c r="M182" s="33" t="str">
        <f ca="1">IFERROR(__xludf.DUMMYFUNCTION("""COMPUTED_VALUE"""),"03 ORL")</f>
        <v>03 ORL</v>
      </c>
      <c r="N182" s="33" t="str">
        <f ca="1">IFERROR(__xludf.DUMMYFUNCTION("""COMPUTED_VALUE"""),"06 ORL")</f>
        <v>06 ORL</v>
      </c>
      <c r="O182" s="33" t="str">
        <f ca="1">IFERROR(__xludf.DUMMYFUNCTION("""COMPUTED_VALUE"""),"Dr, José María Palacios García")</f>
        <v>Dr, José María Palacios García</v>
      </c>
      <c r="P182" s="33" t="str">
        <f ca="1">IFERROR(__xludf.DUMMYFUNCTION("""COMPUTED_VALUE"""),"Luis Alberto Rodríguez (Andalucía y Badajoz)")</f>
        <v>Luis Alberto Rodríguez (Andalucía y Badajoz)</v>
      </c>
    </row>
    <row r="183" spans="2:16">
      <c r="B183" s="74">
        <f ca="1">IFERROR(__xludf.DUMMYFUNCTION("""COMPUTED_VALUE"""),2026)</f>
        <v>2026</v>
      </c>
      <c r="C183" s="56">
        <f ca="1">IFERROR(__xludf.DUMMYFUNCTION("""COMPUTED_VALUE"""),2)</f>
        <v>2</v>
      </c>
      <c r="D183" s="33" t="str">
        <f ca="1">IFERROR(__xludf.DUMMYFUNCTION("""COMPUTED_VALUE"""),"NO")</f>
        <v>NO</v>
      </c>
      <c r="E183" s="33" t="str">
        <f ca="1">IFERROR(__xludf.DUMMYFUNCTION("""COMPUTED_VALUE"""),"Alicante")</f>
        <v>Alicante</v>
      </c>
      <c r="F183" s="57">
        <f ca="1">IFERROR(__xludf.DUMMYFUNCTION("""COMPUTED_VALUE"""),46069)</f>
        <v>46069</v>
      </c>
      <c r="G183" s="57">
        <f ca="1">IFERROR(__xludf.DUMMYFUNCTION("""COMPUTED_VALUE"""),46036)</f>
        <v>46036</v>
      </c>
      <c r="H183" s="33" t="str">
        <f ca="1">IFERROR(__xludf.DUMMYFUNCTION("""COMPUTED_VALUE"""),"Alicante")</f>
        <v>Alicante</v>
      </c>
      <c r="I183" s="33" t="str">
        <f ca="1">IFERROR(__xludf.DUMMYFUNCTION("""COMPUTED_VALUE"""),"C202611410111286111")</f>
        <v>C202611410111286111</v>
      </c>
      <c r="J183" s="33" t="str">
        <f ca="1">IFERROR(__xludf.DUMMYFUNCTION("""COMPUTED_VALUE"""),"SUSANA ASENSI GARCIA")</f>
        <v>SUSANA ASENSI GARCIA</v>
      </c>
      <c r="K183" s="56">
        <f ca="1">IFERROR(__xludf.DUMMYFUNCTION("""COMPUTED_VALUE"""),1)</f>
        <v>1</v>
      </c>
      <c r="L183" s="62">
        <f ca="1">IFERROR(__xludf.DUMMYFUNCTION("""COMPUTED_VALUE"""),1631.82)</f>
        <v>1631.82</v>
      </c>
      <c r="M183" s="33" t="str">
        <f ca="1">IFERROR(__xludf.DUMMYFUNCTION("""COMPUTED_VALUE"""),"03 ORL")</f>
        <v>03 ORL</v>
      </c>
      <c r="N183" s="33" t="str">
        <f ca="1">IFERROR(__xludf.DUMMYFUNCTION("""COMPUTED_VALUE"""),"06 ORL")</f>
        <v>06 ORL</v>
      </c>
      <c r="O183" s="33" t="str">
        <f ca="1">IFERROR(__xludf.DUMMYFUNCTION("""COMPUTED_VALUE"""),"Dra, Laura Isabel del Amo Martínez")</f>
        <v>Dra, Laura Isabel del Amo Martínez</v>
      </c>
      <c r="P183" s="33" t="str">
        <f ca="1">IFERROR(__xludf.DUMMYFUNCTION("""COMPUTED_VALUE"""),"Iván Sánchez (Levante y Albacete)")</f>
        <v>Iván Sánchez (Levante y Albacete)</v>
      </c>
    </row>
    <row r="184" spans="2:16">
      <c r="B184" s="74">
        <f ca="1">IFERROR(__xludf.DUMMYFUNCTION("""COMPUTED_VALUE"""),2026)</f>
        <v>2026</v>
      </c>
      <c r="C184" s="56">
        <f ca="1">IFERROR(__xludf.DUMMYFUNCTION("""COMPUTED_VALUE"""),2)</f>
        <v>2</v>
      </c>
      <c r="D184" s="33" t="str">
        <f ca="1">IFERROR(__xludf.DUMMYFUNCTION("""COMPUTED_VALUE"""),"NO")</f>
        <v>NO</v>
      </c>
      <c r="E184" s="33" t="str">
        <f ca="1">IFERROR(__xludf.DUMMYFUNCTION("""COMPUTED_VALUE"""),"Badajoz")</f>
        <v>Badajoz</v>
      </c>
      <c r="F184" s="57">
        <f ca="1">IFERROR(__xludf.DUMMYFUNCTION("""COMPUTED_VALUE"""),46069)</f>
        <v>46069</v>
      </c>
      <c r="G184" s="57">
        <f ca="1">IFERROR(__xludf.DUMMYFUNCTION("""COMPUTED_VALUE"""),45992)</f>
        <v>45992</v>
      </c>
      <c r="H184" s="33" t="str">
        <f ca="1">IFERROR(__xludf.DUMMYFUNCTION("""COMPUTED_VALUE"""),"Badajoz")</f>
        <v>Badajoz</v>
      </c>
      <c r="I184" s="33" t="str">
        <f ca="1">IFERROR(__xludf.DUMMYFUNCTION("""COMPUTED_VALUE"""),"C202512119361746759")</f>
        <v>C202512119361746759</v>
      </c>
      <c r="J184" s="33" t="str">
        <f ca="1">IFERROR(__xludf.DUMMYFUNCTION("""COMPUTED_VALUE"""),"VICTOR HUGO BOTHELO CAPUCHO SIMOES")</f>
        <v>VICTOR HUGO BOTHELO CAPUCHO SIMOES</v>
      </c>
      <c r="K184" s="56">
        <f ca="1">IFERROR(__xludf.DUMMYFUNCTION("""COMPUTED_VALUE"""),2)</f>
        <v>2</v>
      </c>
      <c r="L184" s="62">
        <f ca="1">IFERROR(__xludf.DUMMYFUNCTION("""COMPUTED_VALUE"""),3635.45)</f>
        <v>3635.45</v>
      </c>
      <c r="M184" s="33" t="str">
        <f ca="1">IFERROR(__xludf.DUMMYFUNCTION("""COMPUTED_VALUE"""),"03 ORL")</f>
        <v>03 ORL</v>
      </c>
      <c r="N184" s="33" t="str">
        <f ca="1">IFERROR(__xludf.DUMMYFUNCTION("""COMPUTED_VALUE"""),"06 ORL")</f>
        <v>06 ORL</v>
      </c>
      <c r="O184" s="33" t="str">
        <f ca="1">IFERROR(__xludf.DUMMYFUNCTION("""COMPUTED_VALUE"""),"Dr, Sonia García Díaz")</f>
        <v>Dr, Sonia García Díaz</v>
      </c>
      <c r="P184" s="33" t="str">
        <f ca="1">IFERROR(__xludf.DUMMYFUNCTION("""COMPUTED_VALUE"""),"Luis Alberto Rodríguez (Andalucía y Badajoz)")</f>
        <v>Luis Alberto Rodríguez (Andalucía y Badajoz)</v>
      </c>
    </row>
    <row r="185" spans="2:16">
      <c r="B185" s="74">
        <f ca="1">IFERROR(__xludf.DUMMYFUNCTION("""COMPUTED_VALUE"""),2026)</f>
        <v>2026</v>
      </c>
      <c r="C185" s="56">
        <f ca="1">IFERROR(__xludf.DUMMYFUNCTION("""COMPUTED_VALUE"""),2)</f>
        <v>2</v>
      </c>
      <c r="D185" s="33" t="str">
        <f ca="1">IFERROR(__xludf.DUMMYFUNCTION("""COMPUTED_VALUE"""),"NO")</f>
        <v>NO</v>
      </c>
      <c r="E185" s="33" t="str">
        <f ca="1">IFERROR(__xludf.DUMMYFUNCTION("""COMPUTED_VALUE"""),"Sevilla- Montoto")</f>
        <v>Sevilla- Montoto</v>
      </c>
      <c r="F185" s="57">
        <f ca="1">IFERROR(__xludf.DUMMYFUNCTION("""COMPUTED_VALUE"""),46069)</f>
        <v>46069</v>
      </c>
      <c r="G185" s="57">
        <f ca="1">IFERROR(__xludf.DUMMYFUNCTION("""COMPUTED_VALUE"""),46043)</f>
        <v>46043</v>
      </c>
      <c r="H185" s="33" t="str">
        <f ca="1">IFERROR(__xludf.DUMMYFUNCTION("""COMPUTED_VALUE"""),"Montoto")</f>
        <v>Montoto</v>
      </c>
      <c r="I185" s="33" t="str">
        <f ca="1">IFERROR(__xludf.DUMMYFUNCTION("""COMPUTED_VALUE"""),"C20261218466529707")</f>
        <v>C20261218466529707</v>
      </c>
      <c r="J185" s="33" t="str">
        <f ca="1">IFERROR(__xludf.DUMMYFUNCTION("""COMPUTED_VALUE"""),"MICHAEL BASSEM NWELATTI")</f>
        <v>MICHAEL BASSEM NWELATTI</v>
      </c>
      <c r="K185" s="56">
        <f ca="1">IFERROR(__xludf.DUMMYFUNCTION("""COMPUTED_VALUE"""),2)</f>
        <v>2</v>
      </c>
      <c r="L185" s="62">
        <f ca="1">IFERROR(__xludf.DUMMYFUNCTION("""COMPUTED_VALUE"""),3643.64)</f>
        <v>3643.64</v>
      </c>
      <c r="M185" s="33" t="str">
        <f ca="1">IFERROR(__xludf.DUMMYFUNCTION("""COMPUTED_VALUE"""),"03 ORL")</f>
        <v>03 ORL</v>
      </c>
      <c r="N185" s="33" t="str">
        <f ca="1">IFERROR(__xludf.DUMMYFUNCTION("""COMPUTED_VALUE"""),"06 ORL")</f>
        <v>06 ORL</v>
      </c>
      <c r="O185" s="33" t="str">
        <f ca="1">IFERROR(__xludf.DUMMYFUNCTION("""COMPUTED_VALUE"""),"Dra, Noelia García García")</f>
        <v>Dra, Noelia García García</v>
      </c>
      <c r="P185" s="33" t="str">
        <f ca="1">IFERROR(__xludf.DUMMYFUNCTION("""COMPUTED_VALUE"""),"Luis Alberto Rodríguez (Andalucía y Badajoz)")</f>
        <v>Luis Alberto Rodríguez (Andalucía y Badajoz)</v>
      </c>
    </row>
    <row r="186" spans="2:16">
      <c r="B186" s="74">
        <f ca="1">IFERROR(__xludf.DUMMYFUNCTION("""COMPUTED_VALUE"""),2026)</f>
        <v>2026</v>
      </c>
      <c r="C186" s="56">
        <f ca="1">IFERROR(__xludf.DUMMYFUNCTION("""COMPUTED_VALUE"""),2)</f>
        <v>2</v>
      </c>
      <c r="D186" s="33" t="str">
        <f ca="1">IFERROR(__xludf.DUMMYFUNCTION("""COMPUTED_VALUE"""),"NO")</f>
        <v>NO</v>
      </c>
      <c r="E186" s="33" t="str">
        <f ca="1">IFERROR(__xludf.DUMMYFUNCTION("""COMPUTED_VALUE"""),"Madrid- Costa Rica")</f>
        <v>Madrid- Costa Rica</v>
      </c>
      <c r="F186" s="57">
        <f ca="1">IFERROR(__xludf.DUMMYFUNCTION("""COMPUTED_VALUE"""),46069)</f>
        <v>46069</v>
      </c>
      <c r="G186" s="57">
        <f ca="1">IFERROR(__xludf.DUMMYFUNCTION("""COMPUTED_VALUE"""),45989)</f>
        <v>45989</v>
      </c>
      <c r="H186" s="33" t="str">
        <f ca="1">IFERROR(__xludf.DUMMYFUNCTION("""COMPUTED_VALUE"""),"Costa Rica")</f>
        <v>Costa Rica</v>
      </c>
      <c r="I186" s="33" t="str">
        <f ca="1">IFERROR(__xludf.DUMMYFUNCTION("""COMPUTED_VALUE"""),"C202511281040236575")</f>
        <v>C202511281040236575</v>
      </c>
      <c r="J186" s="33" t="str">
        <f ca="1">IFERROR(__xludf.DUMMYFUNCTION("""COMPUTED_VALUE"""),"ADELARDO  MORTE CARRILLO")</f>
        <v>ADELARDO  MORTE CARRILLO</v>
      </c>
      <c r="K186" s="56">
        <f ca="1">IFERROR(__xludf.DUMMYFUNCTION("""COMPUTED_VALUE"""),2)</f>
        <v>2</v>
      </c>
      <c r="L186" s="62">
        <f ca="1">IFERROR(__xludf.DUMMYFUNCTION("""COMPUTED_VALUE"""),2718.18)</f>
        <v>2718.18</v>
      </c>
      <c r="M186" s="33" t="str">
        <f ca="1">IFERROR(__xludf.DUMMYFUNCTION("""COMPUTED_VALUE"""),"03 ORL")</f>
        <v>03 ORL</v>
      </c>
      <c r="N186" s="33" t="str">
        <f ca="1">IFERROR(__xludf.DUMMYFUNCTION("""COMPUTED_VALUE"""),"06 ORL")</f>
        <v>06 ORL</v>
      </c>
      <c r="O186" s="33" t="str">
        <f ca="1">IFERROR(__xludf.DUMMYFUNCTION("""COMPUTED_VALUE"""),"Dr, Luis Jiménez Ferreres")</f>
        <v>Dr, Luis Jiménez Ferreres</v>
      </c>
      <c r="P186" s="33" t="str">
        <f ca="1">IFERROR(__xludf.DUMMYFUNCTION("""COMPUTED_VALUE"""),"Lisandro Russian (Madrid, Cáceres, Toledo, Talavera y Logroño)")</f>
        <v>Lisandro Russian (Madrid, Cáceres, Toledo, Talavera y Logroño)</v>
      </c>
    </row>
    <row r="187" spans="2:16">
      <c r="B187" s="74">
        <f ca="1">IFERROR(__xludf.DUMMYFUNCTION("""COMPUTED_VALUE"""),2026)</f>
        <v>2026</v>
      </c>
      <c r="C187" s="56">
        <f ca="1">IFERROR(__xludf.DUMMYFUNCTION("""COMPUTED_VALUE"""),2)</f>
        <v>2</v>
      </c>
      <c r="D187" s="33" t="str">
        <f ca="1">IFERROR(__xludf.DUMMYFUNCTION("""COMPUTED_VALUE"""),"NO")</f>
        <v>NO</v>
      </c>
      <c r="E187" s="33" t="str">
        <f ca="1">IFERROR(__xludf.DUMMYFUNCTION("""COMPUTED_VALUE"""),"Cáceres")</f>
        <v>Cáceres</v>
      </c>
      <c r="F187" s="57">
        <f ca="1">IFERROR(__xludf.DUMMYFUNCTION("""COMPUTED_VALUE"""),46070)</f>
        <v>46070</v>
      </c>
      <c r="G187" s="57">
        <f ca="1">IFERROR(__xludf.DUMMYFUNCTION("""COMPUTED_VALUE"""),46048)</f>
        <v>46048</v>
      </c>
      <c r="H187" s="33" t="str">
        <f ca="1">IFERROR(__xludf.DUMMYFUNCTION("""COMPUTED_VALUE"""),"Cáceres")</f>
        <v>Cáceres</v>
      </c>
      <c r="I187" s="33" t="str">
        <f ca="1">IFERROR(__xludf.DUMMYFUNCTION("""COMPUTED_VALUE"""),"C202612610453306531")</f>
        <v>C202612610453306531</v>
      </c>
      <c r="J187" s="33" t="str">
        <f ca="1">IFERROR(__xludf.DUMMYFUNCTION("""COMPUTED_VALUE"""),"FRANCISCA CORRALES MORENO")</f>
        <v>FRANCISCA CORRALES MORENO</v>
      </c>
      <c r="K187" s="56">
        <f ca="1">IFERROR(__xludf.DUMMYFUNCTION("""COMPUTED_VALUE"""),1)</f>
        <v>1</v>
      </c>
      <c r="L187" s="62">
        <f ca="1">IFERROR(__xludf.DUMMYFUNCTION("""COMPUTED_VALUE"""),2101.82)</f>
        <v>2101.8200000000002</v>
      </c>
      <c r="M187" s="33" t="str">
        <f ca="1">IFERROR(__xludf.DUMMYFUNCTION("""COMPUTED_VALUE"""),"03 ORL")</f>
        <v>03 ORL</v>
      </c>
      <c r="N187" s="33" t="str">
        <f ca="1">IFERROR(__xludf.DUMMYFUNCTION("""COMPUTED_VALUE"""),"06 ORL")</f>
        <v>06 ORL</v>
      </c>
      <c r="O187" s="33" t="str">
        <f ca="1">IFERROR(__xludf.DUMMYFUNCTION("""COMPUTED_VALUE"""),"Dra, Marta García Jiménez")</f>
        <v>Dra, Marta García Jiménez</v>
      </c>
      <c r="P187" s="33" t="str">
        <f ca="1">IFERROR(__xludf.DUMMYFUNCTION("""COMPUTED_VALUE"""),"Lisandro Russian (Madrid, Cáceres, Toledo, Talavera y Logroño)")</f>
        <v>Lisandro Russian (Madrid, Cáceres, Toledo, Talavera y Logroño)</v>
      </c>
    </row>
    <row r="188" spans="2:16">
      <c r="B188" s="74">
        <f ca="1">IFERROR(__xludf.DUMMYFUNCTION("""COMPUTED_VALUE"""),2026)</f>
        <v>2026</v>
      </c>
      <c r="C188" s="56">
        <f ca="1">IFERROR(__xludf.DUMMYFUNCTION("""COMPUTED_VALUE"""),2)</f>
        <v>2</v>
      </c>
      <c r="D188" s="33" t="str">
        <f ca="1">IFERROR(__xludf.DUMMYFUNCTION("""COMPUTED_VALUE"""),"NO")</f>
        <v>NO</v>
      </c>
      <c r="E188" s="33" t="str">
        <f ca="1">IFERROR(__xludf.DUMMYFUNCTION("""COMPUTED_VALUE"""),"Jerez de la Frontera")</f>
        <v>Jerez de la Frontera</v>
      </c>
      <c r="F188" s="57">
        <f ca="1">IFERROR(__xludf.DUMMYFUNCTION("""COMPUTED_VALUE"""),46070)</f>
        <v>46070</v>
      </c>
      <c r="G188" s="57">
        <f ca="1">IFERROR(__xludf.DUMMYFUNCTION("""COMPUTED_VALUE"""),45985)</f>
        <v>45985</v>
      </c>
      <c r="H188" s="33" t="str">
        <f ca="1">IFERROR(__xludf.DUMMYFUNCTION("""COMPUTED_VALUE"""),"Jerez")</f>
        <v>Jerez</v>
      </c>
      <c r="I188" s="33" t="str">
        <f ca="1">IFERROR(__xludf.DUMMYFUNCTION("""COMPUTED_VALUE"""),"C202511241232424683")</f>
        <v>C202511241232424683</v>
      </c>
      <c r="J188" s="33" t="str">
        <f ca="1">IFERROR(__xludf.DUMMYFUNCTION("""COMPUTED_VALUE"""),"BASILIO MARTINEZ ANDRADE")</f>
        <v>BASILIO MARTINEZ ANDRADE</v>
      </c>
      <c r="K188" s="56">
        <f ca="1">IFERROR(__xludf.DUMMYFUNCTION("""COMPUTED_VALUE"""),1)</f>
        <v>1</v>
      </c>
      <c r="L188" s="62">
        <f ca="1">IFERROR(__xludf.DUMMYFUNCTION("""COMPUTED_VALUE"""),2481.82)</f>
        <v>2481.8200000000002</v>
      </c>
      <c r="M188" s="33" t="str">
        <f ca="1">IFERROR(__xludf.DUMMYFUNCTION("""COMPUTED_VALUE"""),"03 ORL")</f>
        <v>03 ORL</v>
      </c>
      <c r="N188" s="33" t="str">
        <f ca="1">IFERROR(__xludf.DUMMYFUNCTION("""COMPUTED_VALUE"""),"06 ORL")</f>
        <v>06 ORL</v>
      </c>
      <c r="O188" s="33" t="str">
        <f ca="1">IFERROR(__xludf.DUMMYFUNCTION("""COMPUTED_VALUE"""),"Dr, Manuel Tucciarone")</f>
        <v>Dr, Manuel Tucciarone</v>
      </c>
      <c r="P188" s="33" t="str">
        <f ca="1">IFERROR(__xludf.DUMMYFUNCTION("""COMPUTED_VALUE"""),"Luis Alberto Rodríguez (Andalucía y Badajoz)")</f>
        <v>Luis Alberto Rodríguez (Andalucía y Badajoz)</v>
      </c>
    </row>
    <row r="189" spans="2:16">
      <c r="B189" s="74">
        <f ca="1">IFERROR(__xludf.DUMMYFUNCTION("""COMPUTED_VALUE"""),2026)</f>
        <v>2026</v>
      </c>
      <c r="C189" s="56">
        <f ca="1">IFERROR(__xludf.DUMMYFUNCTION("""COMPUTED_VALUE"""),2)</f>
        <v>2</v>
      </c>
      <c r="D189" s="33" t="str">
        <f ca="1">IFERROR(__xludf.DUMMYFUNCTION("""COMPUTED_VALUE"""),"NO")</f>
        <v>NO</v>
      </c>
      <c r="E189" s="33" t="str">
        <f ca="1">IFERROR(__xludf.DUMMYFUNCTION("""COMPUTED_VALUE"""),"Talavera")</f>
        <v>Talavera</v>
      </c>
      <c r="F189" s="57">
        <f ca="1">IFERROR(__xludf.DUMMYFUNCTION("""COMPUTED_VALUE"""),46070)</f>
        <v>46070</v>
      </c>
      <c r="G189" s="57">
        <f ca="1">IFERROR(__xludf.DUMMYFUNCTION("""COMPUTED_VALUE"""),45748)</f>
        <v>45748</v>
      </c>
      <c r="H189" s="33" t="str">
        <f ca="1">IFERROR(__xludf.DUMMYFUNCTION("""COMPUTED_VALUE"""),"Talavera")</f>
        <v>Talavera</v>
      </c>
      <c r="I189" s="33" t="str">
        <f ca="1">IFERROR(__xludf.DUMMYFUNCTION("""COMPUTED_VALUE"""),"C20251216172816711")</f>
        <v>C20251216172816711</v>
      </c>
      <c r="J189" s="33" t="str">
        <f ca="1">IFERROR(__xludf.DUMMYFUNCTION("""COMPUTED_VALUE"""),"CIRIACO  JABATO AMADO")</f>
        <v>CIRIACO  JABATO AMADO</v>
      </c>
      <c r="K189" s="56">
        <f ca="1">IFERROR(__xludf.DUMMYFUNCTION("""COMPUTED_VALUE"""),2)</f>
        <v>2</v>
      </c>
      <c r="L189" s="62">
        <f ca="1">IFERROR(__xludf.DUMMYFUNCTION("""COMPUTED_VALUE"""),2718.18)</f>
        <v>2718.18</v>
      </c>
      <c r="M189" s="33" t="str">
        <f ca="1">IFERROR(__xludf.DUMMYFUNCTION("""COMPUTED_VALUE"""),"03 ORL")</f>
        <v>03 ORL</v>
      </c>
      <c r="N189" s="33" t="str">
        <f ca="1">IFERROR(__xludf.DUMMYFUNCTION("""COMPUTED_VALUE"""),"06 ORL")</f>
        <v>06 ORL</v>
      </c>
      <c r="O189" s="33" t="str">
        <f ca="1">IFERROR(__xludf.DUMMYFUNCTION("""COMPUTED_VALUE"""),"Dra, Patricia Ezcurra Hernández")</f>
        <v>Dra, Patricia Ezcurra Hernández</v>
      </c>
      <c r="P189" s="33" t="str">
        <f ca="1">IFERROR(__xludf.DUMMYFUNCTION("""COMPUTED_VALUE"""),"Lisandro Russian (Madrid, Cáceres, Toledo, Talavera y Logroño)")</f>
        <v>Lisandro Russian (Madrid, Cáceres, Toledo, Talavera y Logroño)</v>
      </c>
    </row>
    <row r="190" spans="2:16">
      <c r="B190" s="74">
        <f ca="1">IFERROR(__xludf.DUMMYFUNCTION("""COMPUTED_VALUE"""),2026)</f>
        <v>2026</v>
      </c>
      <c r="C190" s="56">
        <f ca="1">IFERROR(__xludf.DUMMYFUNCTION("""COMPUTED_VALUE"""),2)</f>
        <v>2</v>
      </c>
      <c r="D190" s="33" t="str">
        <f ca="1">IFERROR(__xludf.DUMMYFUNCTION("""COMPUTED_VALUE"""),"NO")</f>
        <v>NO</v>
      </c>
      <c r="E190" s="33" t="str">
        <f ca="1">IFERROR(__xludf.DUMMYFUNCTION("""COMPUTED_VALUE"""),"San Javier")</f>
        <v>San Javier</v>
      </c>
      <c r="F190" s="57">
        <f ca="1">IFERROR(__xludf.DUMMYFUNCTION("""COMPUTED_VALUE"""),46070)</f>
        <v>46070</v>
      </c>
      <c r="G190" s="57">
        <f ca="1">IFERROR(__xludf.DUMMYFUNCTION("""COMPUTED_VALUE"""),46038)</f>
        <v>46038</v>
      </c>
      <c r="H190" s="33" t="str">
        <f ca="1">IFERROR(__xludf.DUMMYFUNCTION("""COMPUTED_VALUE"""),"San Javier")</f>
        <v>San Javier</v>
      </c>
      <c r="I190" s="33" t="str">
        <f ca="1">IFERROR(__xludf.DUMMYFUNCTION("""COMPUTED_VALUE"""),"C202611611441608457")</f>
        <v>C202611611441608457</v>
      </c>
      <c r="J190" s="33" t="str">
        <f ca="1">IFERROR(__xludf.DUMMYFUNCTION("""COMPUTED_VALUE"""),"JOSEFA PEREZ PEREZ")</f>
        <v>JOSEFA PEREZ PEREZ</v>
      </c>
      <c r="K190" s="56">
        <f ca="1">IFERROR(__xludf.DUMMYFUNCTION("""COMPUTED_VALUE"""),2)</f>
        <v>2</v>
      </c>
      <c r="L190" s="62">
        <f ca="1">IFERROR(__xludf.DUMMYFUNCTION("""COMPUTED_VALUE"""),2718.18)</f>
        <v>2718.18</v>
      </c>
      <c r="M190" s="33" t="str">
        <f ca="1">IFERROR(__xludf.DUMMYFUNCTION("""COMPUTED_VALUE"""),"03 ORL")</f>
        <v>03 ORL</v>
      </c>
      <c r="N190" s="33" t="str">
        <f ca="1">IFERROR(__xludf.DUMMYFUNCTION("""COMPUTED_VALUE"""),"06 ORL")</f>
        <v>06 ORL</v>
      </c>
      <c r="O190" s="33" t="str">
        <f ca="1">IFERROR(__xludf.DUMMYFUNCTION("""COMPUTED_VALUE"""),"Dr, Alberto Raposo Jiménez")</f>
        <v>Dr, Alberto Raposo Jiménez</v>
      </c>
      <c r="P190" s="33" t="str">
        <f ca="1">IFERROR(__xludf.DUMMYFUNCTION("""COMPUTED_VALUE"""),"Iván Sánchez (Levante y Albacete)")</f>
        <v>Iván Sánchez (Levante y Albacete)</v>
      </c>
    </row>
    <row r="191" spans="2:16">
      <c r="B191" s="74">
        <f ca="1">IFERROR(__xludf.DUMMYFUNCTION("""COMPUTED_VALUE"""),2026)</f>
        <v>2026</v>
      </c>
      <c r="C191" s="56">
        <f ca="1">IFERROR(__xludf.DUMMYFUNCTION("""COMPUTED_VALUE"""),2)</f>
        <v>2</v>
      </c>
      <c r="D191" s="33" t="str">
        <f ca="1">IFERROR(__xludf.DUMMYFUNCTION("""COMPUTED_VALUE"""),"NO")</f>
        <v>NO</v>
      </c>
      <c r="E191" s="33" t="str">
        <f ca="1">IFERROR(__xludf.DUMMYFUNCTION("""COMPUTED_VALUE"""),"Albacete")</f>
        <v>Albacete</v>
      </c>
      <c r="F191" s="57">
        <f ca="1">IFERROR(__xludf.DUMMYFUNCTION("""COMPUTED_VALUE"""),46070)</f>
        <v>46070</v>
      </c>
      <c r="G191" s="57">
        <f ca="1">IFERROR(__xludf.DUMMYFUNCTION("""COMPUTED_VALUE"""),46036)</f>
        <v>46036</v>
      </c>
      <c r="H191" s="33" t="str">
        <f ca="1">IFERROR(__xludf.DUMMYFUNCTION("""COMPUTED_VALUE"""),"Albacete")</f>
        <v>Albacete</v>
      </c>
      <c r="I191" s="33" t="str">
        <f ca="1">IFERROR(__xludf.DUMMYFUNCTION("""COMPUTED_VALUE"""),"C20261141762719795")</f>
        <v>C20261141762719795</v>
      </c>
      <c r="J191" s="33" t="str">
        <f ca="1">IFERROR(__xludf.DUMMYFUNCTION("""COMPUTED_VALUE"""),"MARIA PILAR MORENO ORTEGA")</f>
        <v>MARIA PILAR MORENO ORTEGA</v>
      </c>
      <c r="K191" s="56">
        <f ca="1">IFERROR(__xludf.DUMMYFUNCTION("""COMPUTED_VALUE"""),1)</f>
        <v>1</v>
      </c>
      <c r="L191" s="62">
        <f ca="1">IFERROR(__xludf.DUMMYFUNCTION("""COMPUTED_VALUE"""),2481.82)</f>
        <v>2481.8200000000002</v>
      </c>
      <c r="M191" s="33" t="str">
        <f ca="1">IFERROR(__xludf.DUMMYFUNCTION("""COMPUTED_VALUE"""),"03 ORL")</f>
        <v>03 ORL</v>
      </c>
      <c r="N191" s="33" t="str">
        <f ca="1">IFERROR(__xludf.DUMMYFUNCTION("""COMPUTED_VALUE"""),"06 ORL")</f>
        <v>06 ORL</v>
      </c>
      <c r="O191" s="33" t="str">
        <f ca="1">IFERROR(__xludf.DUMMYFUNCTION("""COMPUTED_VALUE"""),"Dr, Pedro Seguí Moya")</f>
        <v>Dr, Pedro Seguí Moya</v>
      </c>
      <c r="P191" s="33" t="str">
        <f ca="1">IFERROR(__xludf.DUMMYFUNCTION("""COMPUTED_VALUE"""),"Iván Sánchez (Levante y Albacete)")</f>
        <v>Iván Sánchez (Levante y Albacete)</v>
      </c>
    </row>
    <row r="192" spans="2:16" ht="19.5" customHeight="1">
      <c r="B192" s="74">
        <f ca="1">IFERROR(__xludf.DUMMYFUNCTION("""COMPUTED_VALUE"""),2026)</f>
        <v>2026</v>
      </c>
      <c r="C192" s="56">
        <f ca="1">IFERROR(__xludf.DUMMYFUNCTION("""COMPUTED_VALUE"""),2)</f>
        <v>2</v>
      </c>
      <c r="D192" s="33" t="str">
        <f ca="1">IFERROR(__xludf.DUMMYFUNCTION("""COMPUTED_VALUE"""),"NO")</f>
        <v>NO</v>
      </c>
      <c r="E192" s="33" t="str">
        <f ca="1">IFERROR(__xludf.DUMMYFUNCTION("""COMPUTED_VALUE"""),"Alicante")</f>
        <v>Alicante</v>
      </c>
      <c r="F192" s="57">
        <f ca="1">IFERROR(__xludf.DUMMYFUNCTION("""COMPUTED_VALUE"""),46070)</f>
        <v>46070</v>
      </c>
      <c r="G192" s="57">
        <f ca="1">IFERROR(__xludf.DUMMYFUNCTION("""COMPUTED_VALUE"""),46035)</f>
        <v>46035</v>
      </c>
      <c r="H192" s="33" t="str">
        <f ca="1">IFERROR(__xludf.DUMMYFUNCTION("""COMPUTED_VALUE"""),"Alicante")</f>
        <v>Alicante</v>
      </c>
      <c r="I192" s="33" t="str">
        <f ca="1">IFERROR(__xludf.DUMMYFUNCTION("""COMPUTED_VALUE"""),"C202611316359736174")</f>
        <v>C202611316359736174</v>
      </c>
      <c r="J192" s="33" t="str">
        <f ca="1">IFERROR(__xludf.DUMMYFUNCTION("""COMPUTED_VALUE"""),"ASUNCION SOLER ORTS")</f>
        <v>ASUNCION SOLER ORTS</v>
      </c>
      <c r="K192" s="56">
        <f ca="1">IFERROR(__xludf.DUMMYFUNCTION("""COMPUTED_VALUE"""),2)</f>
        <v>2</v>
      </c>
      <c r="L192" s="62">
        <f ca="1">IFERROR(__xludf.DUMMYFUNCTION("""COMPUTED_VALUE"""),3631.82)</f>
        <v>3631.82</v>
      </c>
      <c r="M192" s="33" t="str">
        <f ca="1">IFERROR(__xludf.DUMMYFUNCTION("""COMPUTED_VALUE"""),"03 ORL")</f>
        <v>03 ORL</v>
      </c>
      <c r="N192" s="33" t="str">
        <f ca="1">IFERROR(__xludf.DUMMYFUNCTION("""COMPUTED_VALUE"""),"06 ORL")</f>
        <v>06 ORL</v>
      </c>
      <c r="O192" s="33" t="str">
        <f ca="1">IFERROR(__xludf.DUMMYFUNCTION("""COMPUTED_VALUE"""),"Dra, Cristina Muñoz Pinto")</f>
        <v>Dra, Cristina Muñoz Pinto</v>
      </c>
      <c r="P192" s="33" t="str">
        <f ca="1">IFERROR(__xludf.DUMMYFUNCTION("""COMPUTED_VALUE"""),"Iván Sánchez (Levante y Albacete)")</f>
        <v>Iván Sánchez (Levante y Albacete)</v>
      </c>
    </row>
    <row r="193" spans="2:16">
      <c r="B193" s="74">
        <f ca="1">IFERROR(__xludf.DUMMYFUNCTION("""COMPUTED_VALUE"""),2026)</f>
        <v>2026</v>
      </c>
      <c r="C193" s="56">
        <f ca="1">IFERROR(__xludf.DUMMYFUNCTION("""COMPUTED_VALUE"""),2)</f>
        <v>2</v>
      </c>
      <c r="D193" s="33" t="str">
        <f ca="1">IFERROR(__xludf.DUMMYFUNCTION("""COMPUTED_VALUE"""),"NO")</f>
        <v>NO</v>
      </c>
      <c r="E193" s="33" t="str">
        <f ca="1">IFERROR(__xludf.DUMMYFUNCTION("""COMPUTED_VALUE"""),"Getafe")</f>
        <v>Getafe</v>
      </c>
      <c r="F193" s="57">
        <f ca="1">IFERROR(__xludf.DUMMYFUNCTION("""COMPUTED_VALUE"""),46071)</f>
        <v>46071</v>
      </c>
      <c r="G193" s="57">
        <f ca="1">IFERROR(__xludf.DUMMYFUNCTION("""COMPUTED_VALUE"""),45986)</f>
        <v>45986</v>
      </c>
      <c r="H193" s="33" t="str">
        <f ca="1">IFERROR(__xludf.DUMMYFUNCTION("""COMPUTED_VALUE"""),"Getafe")</f>
        <v>Getafe</v>
      </c>
      <c r="I193" s="33" t="str">
        <f ca="1">IFERROR(__xludf.DUMMYFUNCTION("""COMPUTED_VALUE"""),"C202511251623151961")</f>
        <v>C202511251623151961</v>
      </c>
      <c r="J193" s="33" t="str">
        <f ca="1">IFERROR(__xludf.DUMMYFUNCTION("""COMPUTED_VALUE"""),"MARIFE SANCHEZ FOUZ")</f>
        <v>MARIFE SANCHEZ FOUZ</v>
      </c>
      <c r="K193" s="56">
        <f ca="1">IFERROR(__xludf.DUMMYFUNCTION("""COMPUTED_VALUE"""),2)</f>
        <v>2</v>
      </c>
      <c r="L193" s="62">
        <f ca="1">IFERROR(__xludf.DUMMYFUNCTION("""COMPUTED_VALUE"""),2718.18)</f>
        <v>2718.18</v>
      </c>
      <c r="M193" s="33" t="str">
        <f ca="1">IFERROR(__xludf.DUMMYFUNCTION("""COMPUTED_VALUE"""),"03 ORL")</f>
        <v>03 ORL</v>
      </c>
      <c r="N193" s="33" t="str">
        <f ca="1">IFERROR(__xludf.DUMMYFUNCTION("""COMPUTED_VALUE"""),"06 ORL")</f>
        <v>06 ORL</v>
      </c>
      <c r="O193" s="33" t="str">
        <f ca="1">IFERROR(__xludf.DUMMYFUNCTION("""COMPUTED_VALUE"""),"No recuerda ORL")</f>
        <v>No recuerda ORL</v>
      </c>
      <c r="P193" s="33" t="str">
        <f ca="1">IFERROR(__xludf.DUMMYFUNCTION("""COMPUTED_VALUE"""),"Maika Blázquez (Madrid)")</f>
        <v>Maika Blázquez (Madrid)</v>
      </c>
    </row>
    <row r="194" spans="2:16">
      <c r="B194" s="74">
        <f ca="1">IFERROR(__xludf.DUMMYFUNCTION("""COMPUTED_VALUE"""),2026)</f>
        <v>2026</v>
      </c>
      <c r="C194" s="56">
        <f ca="1">IFERROR(__xludf.DUMMYFUNCTION("""COMPUTED_VALUE"""),2)</f>
        <v>2</v>
      </c>
      <c r="D194" s="33" t="str">
        <f ca="1">IFERROR(__xludf.DUMMYFUNCTION("""COMPUTED_VALUE"""),"NO")</f>
        <v>NO</v>
      </c>
      <c r="E194" s="33" t="str">
        <f ca="1">IFERROR(__xludf.DUMMYFUNCTION("""COMPUTED_VALUE"""),"Cáceres")</f>
        <v>Cáceres</v>
      </c>
      <c r="F194" s="57">
        <f ca="1">IFERROR(__xludf.DUMMYFUNCTION("""COMPUTED_VALUE"""),46071)</f>
        <v>46071</v>
      </c>
      <c r="G194" s="57">
        <f ca="1">IFERROR(__xludf.DUMMYFUNCTION("""COMPUTED_VALUE"""),46049)</f>
        <v>46049</v>
      </c>
      <c r="H194" s="33" t="str">
        <f ca="1">IFERROR(__xludf.DUMMYFUNCTION("""COMPUTED_VALUE"""),"Cáceres")</f>
        <v>Cáceres</v>
      </c>
      <c r="I194" s="33" t="str">
        <f ca="1">IFERROR(__xludf.DUMMYFUNCTION("""COMPUTED_VALUE"""),"C20261279438014227")</f>
        <v>C20261279438014227</v>
      </c>
      <c r="J194" s="33" t="str">
        <f ca="1">IFERROR(__xludf.DUMMYFUNCTION("""COMPUTED_VALUE"""),"VICTORIA GOMEZ CORTES")</f>
        <v>VICTORIA GOMEZ CORTES</v>
      </c>
      <c r="K194" s="56">
        <f ca="1">IFERROR(__xludf.DUMMYFUNCTION("""COMPUTED_VALUE"""),2)</f>
        <v>2</v>
      </c>
      <c r="L194" s="62">
        <f ca="1">IFERROR(__xludf.DUMMYFUNCTION("""COMPUTED_VALUE"""),4990.91)</f>
        <v>4990.91</v>
      </c>
      <c r="M194" s="33" t="str">
        <f ca="1">IFERROR(__xludf.DUMMYFUNCTION("""COMPUTED_VALUE"""),"03 ORL")</f>
        <v>03 ORL</v>
      </c>
      <c r="N194" s="33" t="str">
        <f ca="1">IFERROR(__xludf.DUMMYFUNCTION("""COMPUTED_VALUE"""),"06 ORL")</f>
        <v>06 ORL</v>
      </c>
      <c r="O194" s="33" t="str">
        <f ca="1">IFERROR(__xludf.DUMMYFUNCTION("""COMPUTED_VALUE"""),"Dra, Marta García Jiménez")</f>
        <v>Dra, Marta García Jiménez</v>
      </c>
      <c r="P194" s="33" t="str">
        <f ca="1">IFERROR(__xludf.DUMMYFUNCTION("""COMPUTED_VALUE"""),"Lisandro Russian (Madrid, Cáceres, Toledo, Talavera y Logroño)")</f>
        <v>Lisandro Russian (Madrid, Cáceres, Toledo, Talavera y Logroño)</v>
      </c>
    </row>
    <row r="195" spans="2:16">
      <c r="B195" s="74">
        <f ca="1">IFERROR(__xludf.DUMMYFUNCTION("""COMPUTED_VALUE"""),2026)</f>
        <v>2026</v>
      </c>
      <c r="C195" s="56">
        <f ca="1">IFERROR(__xludf.DUMMYFUNCTION("""COMPUTED_VALUE"""),2)</f>
        <v>2</v>
      </c>
      <c r="D195" s="33" t="str">
        <f ca="1">IFERROR(__xludf.DUMMYFUNCTION("""COMPUTED_VALUE"""),"NO")</f>
        <v>NO</v>
      </c>
      <c r="E195" s="33" t="str">
        <f ca="1">IFERROR(__xludf.DUMMYFUNCTION("""COMPUTED_VALUE"""),"Fuenlabrada")</f>
        <v>Fuenlabrada</v>
      </c>
      <c r="F195" s="57">
        <f ca="1">IFERROR(__xludf.DUMMYFUNCTION("""COMPUTED_VALUE"""),46071)</f>
        <v>46071</v>
      </c>
      <c r="G195" s="57">
        <f ca="1">IFERROR(__xludf.DUMMYFUNCTION("""COMPUTED_VALUE"""),45321)</f>
        <v>45321</v>
      </c>
      <c r="H195" s="33" t="str">
        <f ca="1">IFERROR(__xludf.DUMMYFUNCTION("""COMPUTED_VALUE"""),"Fuenlabrada")</f>
        <v>Fuenlabrada</v>
      </c>
      <c r="I195" s="33" t="str">
        <f ca="1">IFERROR(__xludf.DUMMYFUNCTION("""COMPUTED_VALUE"""),"FNL-3357")</f>
        <v>FNL-3357</v>
      </c>
      <c r="J195" s="33" t="str">
        <f ca="1">IFERROR(__xludf.DUMMYFUNCTION("""COMPUTED_VALUE"""),"JOSE ANTONIO MARTINEZ ANDRES")</f>
        <v>JOSE ANTONIO MARTINEZ ANDRES</v>
      </c>
      <c r="K195" s="56">
        <f ca="1">IFERROR(__xludf.DUMMYFUNCTION("""COMPUTED_VALUE"""),1)</f>
        <v>1</v>
      </c>
      <c r="L195" s="62">
        <f ca="1">IFERROR(__xludf.DUMMYFUNCTION("""COMPUTED_VALUE"""),2180.91)</f>
        <v>2180.91</v>
      </c>
      <c r="M195" s="33" t="str">
        <f ca="1">IFERROR(__xludf.DUMMYFUNCTION("""COMPUTED_VALUE"""),"03 ORL")</f>
        <v>03 ORL</v>
      </c>
      <c r="N195" s="33" t="str">
        <f ca="1">IFERROR(__xludf.DUMMYFUNCTION("""COMPUTED_VALUE"""),"06 ORL")</f>
        <v>06 ORL</v>
      </c>
      <c r="O195" s="33" t="str">
        <f ca="1">IFERROR(__xludf.DUMMYFUNCTION("""COMPUTED_VALUE"""),"Dra, Concepcion Rodríguez Izquierdo")</f>
        <v>Dra, Concepcion Rodríguez Izquierdo</v>
      </c>
      <c r="P195" s="33" t="str">
        <f ca="1">IFERROR(__xludf.DUMMYFUNCTION("""COMPUTED_VALUE"""),"Maika Blázquez (Madrid)")</f>
        <v>Maika Blázquez (Madrid)</v>
      </c>
    </row>
    <row r="196" spans="2:16">
      <c r="B196" s="74">
        <f ca="1">IFERROR(__xludf.DUMMYFUNCTION("""COMPUTED_VALUE"""),2026)</f>
        <v>2026</v>
      </c>
      <c r="C196" s="56">
        <f ca="1">IFERROR(__xludf.DUMMYFUNCTION("""COMPUTED_VALUE"""),2)</f>
        <v>2</v>
      </c>
      <c r="D196" s="33" t="str">
        <f ca="1">IFERROR(__xludf.DUMMYFUNCTION("""COMPUTED_VALUE"""),"NO")</f>
        <v>NO</v>
      </c>
      <c r="E196" s="33" t="str">
        <f ca="1">IFERROR(__xludf.DUMMYFUNCTION("""COMPUTED_VALUE"""),"Salamanca")</f>
        <v>Salamanca</v>
      </c>
      <c r="F196" s="57">
        <f ca="1">IFERROR(__xludf.DUMMYFUNCTION("""COMPUTED_VALUE"""),46071)</f>
        <v>46071</v>
      </c>
      <c r="G196" s="57">
        <f ca="1">IFERROR(__xludf.DUMMYFUNCTION("""COMPUTED_VALUE"""),46029)</f>
        <v>46029</v>
      </c>
      <c r="H196" s="33" t="str">
        <f ca="1">IFERROR(__xludf.DUMMYFUNCTION("""COMPUTED_VALUE"""),"Salamanca")</f>
        <v>Salamanca</v>
      </c>
      <c r="I196" s="33" t="str">
        <f ca="1">IFERROR(__xludf.DUMMYFUNCTION("""COMPUTED_VALUE"""),"C20261792847389075")</f>
        <v>C20261792847389075</v>
      </c>
      <c r="J196" s="33" t="str">
        <f ca="1">IFERROR(__xludf.DUMMYFUNCTION("""COMPUTED_VALUE"""),"MARIA INMACULADA  GOMEZ MARTIN")</f>
        <v>MARIA INMACULADA  GOMEZ MARTIN</v>
      </c>
      <c r="K196" s="56">
        <f ca="1">IFERROR(__xludf.DUMMYFUNCTION("""COMPUTED_VALUE"""),2)</f>
        <v>2</v>
      </c>
      <c r="L196" s="62">
        <f ca="1">IFERROR(__xludf.DUMMYFUNCTION("""COMPUTED_VALUE"""),3730)</f>
        <v>3730</v>
      </c>
      <c r="M196" s="33" t="str">
        <f ca="1">IFERROR(__xludf.DUMMYFUNCTION("""COMPUTED_VALUE"""),"03 ORL")</f>
        <v>03 ORL</v>
      </c>
      <c r="N196" s="33" t="str">
        <f ca="1">IFERROR(__xludf.DUMMYFUNCTION("""COMPUTED_VALUE"""),"06 ORL")</f>
        <v>06 ORL</v>
      </c>
      <c r="O196" s="33" t="str">
        <f ca="1">IFERROR(__xludf.DUMMYFUNCTION("""COMPUTED_VALUE"""),"No recuerda ORL")</f>
        <v>No recuerda ORL</v>
      </c>
      <c r="P196" s="33" t="str">
        <f ca="1">IFERROR(__xludf.DUMMYFUNCTION("""COMPUTED_VALUE"""),"Alberto Moreno (Madrid)")</f>
        <v>Alberto Moreno (Madrid)</v>
      </c>
    </row>
    <row r="197" spans="2:16">
      <c r="B197" s="74">
        <f ca="1">IFERROR(__xludf.DUMMYFUNCTION("""COMPUTED_VALUE"""),2026)</f>
        <v>2026</v>
      </c>
      <c r="C197" s="56">
        <f ca="1">IFERROR(__xludf.DUMMYFUNCTION("""COMPUTED_VALUE"""),2)</f>
        <v>2</v>
      </c>
      <c r="D197" s="33" t="str">
        <f ca="1">IFERROR(__xludf.DUMMYFUNCTION("""COMPUTED_VALUE"""),"NO")</f>
        <v>NO</v>
      </c>
      <c r="E197" s="33" t="str">
        <f ca="1">IFERROR(__xludf.DUMMYFUNCTION("""COMPUTED_VALUE"""),"Sevilla- Montoto")</f>
        <v>Sevilla- Montoto</v>
      </c>
      <c r="F197" s="57">
        <f ca="1">IFERROR(__xludf.DUMMYFUNCTION("""COMPUTED_VALUE"""),46071)</f>
        <v>46071</v>
      </c>
      <c r="G197" s="57">
        <f ca="1">IFERROR(__xludf.DUMMYFUNCTION("""COMPUTED_VALUE"""),46014)</f>
        <v>46014</v>
      </c>
      <c r="H197" s="33" t="str">
        <f ca="1">IFERROR(__xludf.DUMMYFUNCTION("""COMPUTED_VALUE"""),"Montoto")</f>
        <v>Montoto</v>
      </c>
      <c r="I197" s="33" t="str">
        <f ca="1">IFERROR(__xludf.DUMMYFUNCTION("""COMPUTED_VALUE"""),"C202512231741419868")</f>
        <v>C202512231741419868</v>
      </c>
      <c r="J197" s="33" t="str">
        <f ca="1">IFERROR(__xludf.DUMMYFUNCTION("""COMPUTED_VALUE"""),"JOSE MANUEL ROMERO ALVAREZ")</f>
        <v>JOSE MANUEL ROMERO ALVAREZ</v>
      </c>
      <c r="K197" s="56">
        <f ca="1">IFERROR(__xludf.DUMMYFUNCTION("""COMPUTED_VALUE"""),2)</f>
        <v>2</v>
      </c>
      <c r="L197" s="62">
        <f ca="1">IFERROR(__xludf.DUMMYFUNCTION("""COMPUTED_VALUE"""),3631.82)</f>
        <v>3631.82</v>
      </c>
      <c r="M197" s="33" t="str">
        <f ca="1">IFERROR(__xludf.DUMMYFUNCTION("""COMPUTED_VALUE"""),"03 ORL")</f>
        <v>03 ORL</v>
      </c>
      <c r="N197" s="33" t="str">
        <f ca="1">IFERROR(__xludf.DUMMYFUNCTION("""COMPUTED_VALUE"""),"06 ORL")</f>
        <v>06 ORL</v>
      </c>
      <c r="O197" s="33" t="str">
        <f ca="1">IFERROR(__xludf.DUMMYFUNCTION("""COMPUTED_VALUE"""),"Dr, Alfonso María Pérez Sánchez")</f>
        <v>Dr, Alfonso María Pérez Sánchez</v>
      </c>
      <c r="P197" s="33" t="str">
        <f ca="1">IFERROR(__xludf.DUMMYFUNCTION("""COMPUTED_VALUE"""),"Luis Alberto Rodríguez (Andalucía y Badajoz)")</f>
        <v>Luis Alberto Rodríguez (Andalucía y Badajoz)</v>
      </c>
    </row>
    <row r="198" spans="2:16">
      <c r="B198" s="74">
        <f ca="1">IFERROR(__xludf.DUMMYFUNCTION("""COMPUTED_VALUE"""),2026)</f>
        <v>2026</v>
      </c>
      <c r="C198" s="56">
        <f ca="1">IFERROR(__xludf.DUMMYFUNCTION("""COMPUTED_VALUE"""),2)</f>
        <v>2</v>
      </c>
      <c r="D198" s="33" t="str">
        <f ca="1">IFERROR(__xludf.DUMMYFUNCTION("""COMPUTED_VALUE"""),"NO")</f>
        <v>NO</v>
      </c>
      <c r="E198" s="33" t="str">
        <f ca="1">IFERROR(__xludf.DUMMYFUNCTION("""COMPUTED_VALUE"""),"Orihuela")</f>
        <v>Orihuela</v>
      </c>
      <c r="F198" s="57">
        <f ca="1">IFERROR(__xludf.DUMMYFUNCTION("""COMPUTED_VALUE"""),46071)</f>
        <v>46071</v>
      </c>
      <c r="G198" s="57">
        <f ca="1">IFERROR(__xludf.DUMMYFUNCTION("""COMPUTED_VALUE"""),46050)</f>
        <v>46050</v>
      </c>
      <c r="H198" s="33" t="str">
        <f ca="1">IFERROR(__xludf.DUMMYFUNCTION("""COMPUTED_VALUE"""),"La Zenia")</f>
        <v>La Zenia</v>
      </c>
      <c r="I198" s="33" t="str">
        <f ca="1">IFERROR(__xludf.DUMMYFUNCTION("""COMPUTED_VALUE"""),"C202612811201547926")</f>
        <v>C202612811201547926</v>
      </c>
      <c r="J198" s="33" t="str">
        <f ca="1">IFERROR(__xludf.DUMMYFUNCTION("""COMPUTED_VALUE"""),"HANS PETER DECKER")</f>
        <v>HANS PETER DECKER</v>
      </c>
      <c r="K198" s="56">
        <f ca="1">IFERROR(__xludf.DUMMYFUNCTION("""COMPUTED_VALUE"""),2)</f>
        <v>2</v>
      </c>
      <c r="L198" s="62">
        <f ca="1">IFERROR(__xludf.DUMMYFUNCTION("""COMPUTED_VALUE"""),3631.82)</f>
        <v>3631.82</v>
      </c>
      <c r="M198" s="33" t="str">
        <f ca="1">IFERROR(__xludf.DUMMYFUNCTION("""COMPUTED_VALUE"""),"03 ORL")</f>
        <v>03 ORL</v>
      </c>
      <c r="N198" s="33" t="str">
        <f ca="1">IFERROR(__xludf.DUMMYFUNCTION("""COMPUTED_VALUE"""),"06 ORL")</f>
        <v>06 ORL</v>
      </c>
      <c r="O198" s="33" t="str">
        <f ca="1">IFERROR(__xludf.DUMMYFUNCTION("""COMPUTED_VALUE"""),"Dra, María Agustina Sevilla García")</f>
        <v>Dra, María Agustina Sevilla García</v>
      </c>
      <c r="P198" s="33" t="str">
        <f ca="1">IFERROR(__xludf.DUMMYFUNCTION("""COMPUTED_VALUE"""),"Iván Sánchez (Levante y Albacete)")</f>
        <v>Iván Sánchez (Levante y Albacete)</v>
      </c>
    </row>
    <row r="199" spans="2:16">
      <c r="B199" s="74">
        <f ca="1">IFERROR(__xludf.DUMMYFUNCTION("""COMPUTED_VALUE"""),2026)</f>
        <v>2026</v>
      </c>
      <c r="C199" s="56">
        <f ca="1">IFERROR(__xludf.DUMMYFUNCTION("""COMPUTED_VALUE"""),2)</f>
        <v>2</v>
      </c>
      <c r="D199" s="33" t="str">
        <f ca="1">IFERROR(__xludf.DUMMYFUNCTION("""COMPUTED_VALUE"""),"NO")</f>
        <v>NO</v>
      </c>
      <c r="E199" s="33" t="str">
        <f ca="1">IFERROR(__xludf.DUMMYFUNCTION("""COMPUTED_VALUE"""),"Lugo")</f>
        <v>Lugo</v>
      </c>
      <c r="F199" s="57">
        <f ca="1">IFERROR(__xludf.DUMMYFUNCTION("""COMPUTED_VALUE"""),46072)</f>
        <v>46072</v>
      </c>
      <c r="G199" s="57">
        <f ca="1">IFERROR(__xludf.DUMMYFUNCTION("""COMPUTED_VALUE"""),46037)</f>
        <v>46037</v>
      </c>
      <c r="H199" s="33" t="str">
        <f ca="1">IFERROR(__xludf.DUMMYFUNCTION("""COMPUTED_VALUE"""),"Lugo")</f>
        <v>Lugo</v>
      </c>
      <c r="I199" s="33" t="str">
        <f ca="1">IFERROR(__xludf.DUMMYFUNCTION("""COMPUTED_VALUE"""),"C202611515322507357")</f>
        <v>C202611515322507357</v>
      </c>
      <c r="J199" s="33" t="str">
        <f ca="1">IFERROR(__xludf.DUMMYFUNCTION("""COMPUTED_VALUE"""),"JESUSA BARREIRO MARTINEZ")</f>
        <v>JESUSA BARREIRO MARTINEZ</v>
      </c>
      <c r="K199" s="56">
        <f ca="1">IFERROR(__xludf.DUMMYFUNCTION("""COMPUTED_VALUE"""),2)</f>
        <v>2</v>
      </c>
      <c r="L199" s="62">
        <f ca="1">IFERROR(__xludf.DUMMYFUNCTION("""COMPUTED_VALUE"""),2718.18)</f>
        <v>2718.18</v>
      </c>
      <c r="M199" s="33" t="str">
        <f ca="1">IFERROR(__xludf.DUMMYFUNCTION("""COMPUTED_VALUE"""),"03 ORL")</f>
        <v>03 ORL</v>
      </c>
      <c r="N199" s="33" t="str">
        <f ca="1">IFERROR(__xludf.DUMMYFUNCTION("""COMPUTED_VALUE"""),"06 ORL")</f>
        <v>06 ORL</v>
      </c>
      <c r="O199" s="33" t="str">
        <f ca="1">IFERROR(__xludf.DUMMYFUNCTION("""COMPUTED_VALUE"""),"Dr, Pedro Juiz López")</f>
        <v>Dr, Pedro Juiz López</v>
      </c>
      <c r="P199" s="33" t="str">
        <f ca="1">IFERROR(__xludf.DUMMYFUNCTION("""COMPUTED_VALUE"""),"Kiko Ortega (Galicia)")</f>
        <v>Kiko Ortega (Galicia)</v>
      </c>
    </row>
    <row r="200" spans="2:16">
      <c r="B200" s="74">
        <f ca="1">IFERROR(__xludf.DUMMYFUNCTION("""COMPUTED_VALUE"""),2026)</f>
        <v>2026</v>
      </c>
      <c r="C200" s="56">
        <f ca="1">IFERROR(__xludf.DUMMYFUNCTION("""COMPUTED_VALUE"""),2)</f>
        <v>2</v>
      </c>
      <c r="D200" s="33" t="str">
        <f ca="1">IFERROR(__xludf.DUMMYFUNCTION("""COMPUTED_VALUE"""),"NO")</f>
        <v>NO</v>
      </c>
      <c r="E200" s="33" t="str">
        <f ca="1">IFERROR(__xludf.DUMMYFUNCTION("""COMPUTED_VALUE"""),"Sevilla- Ciencias")</f>
        <v>Sevilla- Ciencias</v>
      </c>
      <c r="F200" s="57">
        <f ca="1">IFERROR(__xludf.DUMMYFUNCTION("""COMPUTED_VALUE"""),46072)</f>
        <v>46072</v>
      </c>
      <c r="G200" s="57">
        <f ca="1">IFERROR(__xludf.DUMMYFUNCTION("""COMPUTED_VALUE"""),46037)</f>
        <v>46037</v>
      </c>
      <c r="H200" s="33" t="str">
        <f ca="1">IFERROR(__xludf.DUMMYFUNCTION("""COMPUTED_VALUE"""),"Sevilla Este")</f>
        <v>Sevilla Este</v>
      </c>
      <c r="I200" s="33" t="str">
        <f ca="1">IFERROR(__xludf.DUMMYFUNCTION("""COMPUTED_VALUE"""),"C202611513242917232")</f>
        <v>C202611513242917232</v>
      </c>
      <c r="J200" s="33" t="str">
        <f ca="1">IFERROR(__xludf.DUMMYFUNCTION("""COMPUTED_VALUE"""),"MANUEL ZAMORA CASTRO")</f>
        <v>MANUEL ZAMORA CASTRO</v>
      </c>
      <c r="K200" s="56">
        <f ca="1">IFERROR(__xludf.DUMMYFUNCTION("""COMPUTED_VALUE"""),2)</f>
        <v>2</v>
      </c>
      <c r="L200" s="62">
        <f ca="1">IFERROR(__xludf.DUMMYFUNCTION("""COMPUTED_VALUE"""),3631.82)</f>
        <v>3631.82</v>
      </c>
      <c r="M200" s="33" t="str">
        <f ca="1">IFERROR(__xludf.DUMMYFUNCTION("""COMPUTED_VALUE"""),"03 ORL")</f>
        <v>03 ORL</v>
      </c>
      <c r="N200" s="33" t="str">
        <f ca="1">IFERROR(__xludf.DUMMYFUNCTION("""COMPUTED_VALUE"""),"06 ORL")</f>
        <v>06 ORL</v>
      </c>
      <c r="O200" s="33" t="str">
        <f ca="1">IFERROR(__xludf.DUMMYFUNCTION("""COMPUTED_VALUE"""),"Dr, Gustavo Benavente Bermudo")</f>
        <v>Dr, Gustavo Benavente Bermudo</v>
      </c>
      <c r="P200" s="33" t="str">
        <f ca="1">IFERROR(__xludf.DUMMYFUNCTION("""COMPUTED_VALUE"""),"Luis Alberto Rodríguez (Andalucía y Badajoz)")</f>
        <v>Luis Alberto Rodríguez (Andalucía y Badajoz)</v>
      </c>
    </row>
    <row r="201" spans="2:16">
      <c r="B201" s="74">
        <f ca="1">IFERROR(__xludf.DUMMYFUNCTION("""COMPUTED_VALUE"""),2026)</f>
        <v>2026</v>
      </c>
      <c r="C201" s="56">
        <f ca="1">IFERROR(__xludf.DUMMYFUNCTION("""COMPUTED_VALUE"""),2)</f>
        <v>2</v>
      </c>
      <c r="D201" s="33" t="str">
        <f ca="1">IFERROR(__xludf.DUMMYFUNCTION("""COMPUTED_VALUE"""),"NO")</f>
        <v>NO</v>
      </c>
      <c r="E201" s="33" t="str">
        <f ca="1">IFERROR(__xludf.DUMMYFUNCTION("""COMPUTED_VALUE"""),"Madrid- La Oca")</f>
        <v>Madrid- La Oca</v>
      </c>
      <c r="F201" s="57">
        <f ca="1">IFERROR(__xludf.DUMMYFUNCTION("""COMPUTED_VALUE"""),46072)</f>
        <v>46072</v>
      </c>
      <c r="G201" s="57">
        <f ca="1">IFERROR(__xludf.DUMMYFUNCTION("""COMPUTED_VALUE"""),46042)</f>
        <v>46042</v>
      </c>
      <c r="H201" s="33" t="str">
        <f ca="1">IFERROR(__xludf.DUMMYFUNCTION("""COMPUTED_VALUE"""),"La Oca")</f>
        <v>La Oca</v>
      </c>
      <c r="I201" s="33" t="str">
        <f ca="1">IFERROR(__xludf.DUMMYFUNCTION("""COMPUTED_VALUE"""),"C202612010113803169")</f>
        <v>C202612010113803169</v>
      </c>
      <c r="J201" s="33" t="str">
        <f ca="1">IFERROR(__xludf.DUMMYFUNCTION("""COMPUTED_VALUE"""),"MARIA ENCARNACION GONZALEZ GALLEGO ESPINOSA")</f>
        <v>MARIA ENCARNACION GONZALEZ GALLEGO ESPINOSA</v>
      </c>
      <c r="K201" s="56">
        <f ca="1">IFERROR(__xludf.DUMMYFUNCTION("""COMPUTED_VALUE"""),2)</f>
        <v>2</v>
      </c>
      <c r="L201" s="62">
        <f ca="1">IFERROR(__xludf.DUMMYFUNCTION("""COMPUTED_VALUE"""),2718.18)</f>
        <v>2718.18</v>
      </c>
      <c r="M201" s="33" t="str">
        <f ca="1">IFERROR(__xludf.DUMMYFUNCTION("""COMPUTED_VALUE"""),"03 ORL")</f>
        <v>03 ORL</v>
      </c>
      <c r="N201" s="33" t="str">
        <f ca="1">IFERROR(__xludf.DUMMYFUNCTION("""COMPUTED_VALUE"""),"06 ORL")</f>
        <v>06 ORL</v>
      </c>
      <c r="O201" s="33" t="str">
        <f ca="1">IFERROR(__xludf.DUMMYFUNCTION("""COMPUTED_VALUE"""),"Dr, Julio López Moya")</f>
        <v>Dr, Julio López Moya</v>
      </c>
      <c r="P201" s="33" t="str">
        <f ca="1">IFERROR(__xludf.DUMMYFUNCTION("""COMPUTED_VALUE"""),"Maika Blázquez (Madrid)")</f>
        <v>Maika Blázquez (Madrid)</v>
      </c>
    </row>
    <row r="202" spans="2:16">
      <c r="B202" s="74">
        <f ca="1">IFERROR(__xludf.DUMMYFUNCTION("""COMPUTED_VALUE"""),2026)</f>
        <v>2026</v>
      </c>
      <c r="C202" s="56">
        <f ca="1">IFERROR(__xludf.DUMMYFUNCTION("""COMPUTED_VALUE"""),2)</f>
        <v>2</v>
      </c>
      <c r="D202" s="33" t="str">
        <f ca="1">IFERROR(__xludf.DUMMYFUNCTION("""COMPUTED_VALUE"""),"NO")</f>
        <v>NO</v>
      </c>
      <c r="E202" s="33" t="str">
        <f ca="1">IFERROR(__xludf.DUMMYFUNCTION("""COMPUTED_VALUE"""),"Albacete")</f>
        <v>Albacete</v>
      </c>
      <c r="F202" s="57">
        <f ca="1">IFERROR(__xludf.DUMMYFUNCTION("""COMPUTED_VALUE"""),46072)</f>
        <v>46072</v>
      </c>
      <c r="G202" s="57">
        <f ca="1">IFERROR(__xludf.DUMMYFUNCTION("""COMPUTED_VALUE"""),46045)</f>
        <v>46045</v>
      </c>
      <c r="H202" s="33" t="str">
        <f ca="1">IFERROR(__xludf.DUMMYFUNCTION("""COMPUTED_VALUE"""),"Albacete")</f>
        <v>Albacete</v>
      </c>
      <c r="I202" s="33" t="str">
        <f ca="1">IFERROR(__xludf.DUMMYFUNCTION("""COMPUTED_VALUE"""),"C202612312201081452")</f>
        <v>C202612312201081452</v>
      </c>
      <c r="J202" s="33" t="str">
        <f ca="1">IFERROR(__xludf.DUMMYFUNCTION("""COMPUTED_VALUE"""),"ANTONIO GABALDON CANTERO")</f>
        <v>ANTONIO GABALDON CANTERO</v>
      </c>
      <c r="K202" s="56">
        <f ca="1">IFERROR(__xludf.DUMMYFUNCTION("""COMPUTED_VALUE"""),1)</f>
        <v>1</v>
      </c>
      <c r="L202" s="62">
        <f ca="1">IFERROR(__xludf.DUMMYFUNCTION("""COMPUTED_VALUE"""),1631.82)</f>
        <v>1631.82</v>
      </c>
      <c r="M202" s="33" t="str">
        <f ca="1">IFERROR(__xludf.DUMMYFUNCTION("""COMPUTED_VALUE"""),"03 ORL")</f>
        <v>03 ORL</v>
      </c>
      <c r="N202" s="33" t="str">
        <f ca="1">IFERROR(__xludf.DUMMYFUNCTION("""COMPUTED_VALUE"""),"06 ORL")</f>
        <v>06 ORL</v>
      </c>
      <c r="O202" s="33" t="str">
        <f ca="1">IFERROR(__xludf.DUMMYFUNCTION("""COMPUTED_VALUE"""),"Dr, Pedro Masegosa Zapata")</f>
        <v>Dr, Pedro Masegosa Zapata</v>
      </c>
      <c r="P202" s="33" t="str">
        <f ca="1">IFERROR(__xludf.DUMMYFUNCTION("""COMPUTED_VALUE"""),"Iván Sánchez (Levante y Albacete)")</f>
        <v>Iván Sánchez (Levante y Albacete)</v>
      </c>
    </row>
    <row r="203" spans="2:16">
      <c r="B203" s="74">
        <f ca="1">IFERROR(__xludf.DUMMYFUNCTION("""COMPUTED_VALUE"""),2026)</f>
        <v>2026</v>
      </c>
      <c r="C203" s="56">
        <f ca="1">IFERROR(__xludf.DUMMYFUNCTION("""COMPUTED_VALUE"""),2)</f>
        <v>2</v>
      </c>
      <c r="D203" s="33" t="str">
        <f ca="1">IFERROR(__xludf.DUMMYFUNCTION("""COMPUTED_VALUE"""),"NO")</f>
        <v>NO</v>
      </c>
      <c r="E203" s="33" t="str">
        <f ca="1">IFERROR(__xludf.DUMMYFUNCTION("""COMPUTED_VALUE"""),"Fuenlabrada")</f>
        <v>Fuenlabrada</v>
      </c>
      <c r="F203" s="57">
        <f ca="1">IFERROR(__xludf.DUMMYFUNCTION("""COMPUTED_VALUE"""),46072)</f>
        <v>46072</v>
      </c>
      <c r="G203" s="57">
        <f ca="1">IFERROR(__xludf.DUMMYFUNCTION("""COMPUTED_VALUE"""),46036)</f>
        <v>46036</v>
      </c>
      <c r="H203" s="33" t="str">
        <f ca="1">IFERROR(__xludf.DUMMYFUNCTION("""COMPUTED_VALUE"""),"Fuenlabrada")</f>
        <v>Fuenlabrada</v>
      </c>
      <c r="I203" s="33" t="str">
        <f ca="1">IFERROR(__xludf.DUMMYFUNCTION("""COMPUTED_VALUE"""),"C202611417462554800")</f>
        <v>C202611417462554800</v>
      </c>
      <c r="J203" s="33" t="str">
        <f ca="1">IFERROR(__xludf.DUMMYFUNCTION("""COMPUTED_VALUE"""),"MARGARITA GONZALEZ MARTIN")</f>
        <v>MARGARITA GONZALEZ MARTIN</v>
      </c>
      <c r="K203" s="56">
        <f ca="1">IFERROR(__xludf.DUMMYFUNCTION("""COMPUTED_VALUE"""),1)</f>
        <v>1</v>
      </c>
      <c r="L203" s="62">
        <f ca="1">IFERROR(__xludf.DUMMYFUNCTION("""COMPUTED_VALUE"""),1631.82)</f>
        <v>1631.82</v>
      </c>
      <c r="M203" s="33" t="str">
        <f ca="1">IFERROR(__xludf.DUMMYFUNCTION("""COMPUTED_VALUE"""),"03 ORL")</f>
        <v>03 ORL</v>
      </c>
      <c r="N203" s="33" t="str">
        <f ca="1">IFERROR(__xludf.DUMMYFUNCTION("""COMPUTED_VALUE"""),"06 ORL")</f>
        <v>06 ORL</v>
      </c>
      <c r="O203" s="33" t="str">
        <f ca="1">IFERROR(__xludf.DUMMYFUNCTION("""COMPUTED_VALUE"""),"Dra, Concepcion Rodríguez Izquierdo")</f>
        <v>Dra, Concepcion Rodríguez Izquierdo</v>
      </c>
      <c r="P203" s="33" t="str">
        <f ca="1">IFERROR(__xludf.DUMMYFUNCTION("""COMPUTED_VALUE"""),"Maika Blázquez (Madrid)")</f>
        <v>Maika Blázquez (Madrid)</v>
      </c>
    </row>
    <row r="204" spans="2:16">
      <c r="B204" s="74">
        <f ca="1">IFERROR(__xludf.DUMMYFUNCTION("""COMPUTED_VALUE"""),2026)</f>
        <v>2026</v>
      </c>
      <c r="C204" s="56">
        <f ca="1">IFERROR(__xludf.DUMMYFUNCTION("""COMPUTED_VALUE"""),2)</f>
        <v>2</v>
      </c>
      <c r="D204" s="33" t="str">
        <f ca="1">IFERROR(__xludf.DUMMYFUNCTION("""COMPUTED_VALUE"""),"NO")</f>
        <v>NO</v>
      </c>
      <c r="E204" s="33" t="str">
        <f ca="1">IFERROR(__xludf.DUMMYFUNCTION("""COMPUTED_VALUE"""),"León")</f>
        <v>León</v>
      </c>
      <c r="F204" s="57">
        <f ca="1">IFERROR(__xludf.DUMMYFUNCTION("""COMPUTED_VALUE"""),46072)</f>
        <v>46072</v>
      </c>
      <c r="G204" s="57">
        <f ca="1">IFERROR(__xludf.DUMMYFUNCTION("""COMPUTED_VALUE"""),46059)</f>
        <v>46059</v>
      </c>
      <c r="H204" s="33" t="str">
        <f ca="1">IFERROR(__xludf.DUMMYFUNCTION("""COMPUTED_VALUE"""),"León")</f>
        <v>León</v>
      </c>
      <c r="I204" s="33" t="str">
        <f ca="1">IFERROR(__xludf.DUMMYFUNCTION("""COMPUTED_VALUE"""),"C20262695038079529")</f>
        <v>C20262695038079529</v>
      </c>
      <c r="J204" s="33" t="str">
        <f ca="1">IFERROR(__xludf.DUMMYFUNCTION("""COMPUTED_VALUE"""),"Erundina Herrero Calvo")</f>
        <v>Erundina Herrero Calvo</v>
      </c>
      <c r="K204" s="56">
        <f ca="1">IFERROR(__xludf.DUMMYFUNCTION("""COMPUTED_VALUE"""),2)</f>
        <v>2</v>
      </c>
      <c r="L204" s="62">
        <f ca="1">IFERROR(__xludf.DUMMYFUNCTION("""COMPUTED_VALUE"""),4090.91)</f>
        <v>4090.91</v>
      </c>
      <c r="M204" s="33" t="str">
        <f ca="1">IFERROR(__xludf.DUMMYFUNCTION("""COMPUTED_VALUE"""),"03 ORL")</f>
        <v>03 ORL</v>
      </c>
      <c r="N204" s="33" t="str">
        <f ca="1">IFERROR(__xludf.DUMMYFUNCTION("""COMPUTED_VALUE"""),"06 ORL")</f>
        <v>06 ORL</v>
      </c>
      <c r="O204" s="33" t="str">
        <f ca="1">IFERROR(__xludf.DUMMYFUNCTION("""COMPUTED_VALUE"""),"Dr, Carlos Durán Díez")</f>
        <v>Dr, Carlos Durán Díez</v>
      </c>
      <c r="P204" s="33" t="str">
        <f ca="1">IFERROR(__xludf.DUMMYFUNCTION("""COMPUTED_VALUE"""),"Alberto Moreno (Madrid)")</f>
        <v>Alberto Moreno (Madrid)</v>
      </c>
    </row>
    <row r="205" spans="2:16">
      <c r="B205" s="74">
        <f ca="1">IFERROR(__xludf.DUMMYFUNCTION("""COMPUTED_VALUE"""),2026)</f>
        <v>2026</v>
      </c>
      <c r="C205" s="56">
        <f ca="1">IFERROR(__xludf.DUMMYFUNCTION("""COMPUTED_VALUE"""),2)</f>
        <v>2</v>
      </c>
      <c r="D205" s="33" t="str">
        <f ca="1">IFERROR(__xludf.DUMMYFUNCTION("""COMPUTED_VALUE"""),"NO")</f>
        <v>NO</v>
      </c>
      <c r="E205" s="33" t="str">
        <f ca="1">IFERROR(__xludf.DUMMYFUNCTION("""COMPUTED_VALUE"""),"Madrid- Juan Bravo")</f>
        <v>Madrid- Juan Bravo</v>
      </c>
      <c r="F205" s="57">
        <f ca="1">IFERROR(__xludf.DUMMYFUNCTION("""COMPUTED_VALUE"""),46072)</f>
        <v>46072</v>
      </c>
      <c r="G205" s="57">
        <f ca="1">IFERROR(__xludf.DUMMYFUNCTION("""COMPUTED_VALUE"""),46051)</f>
        <v>46051</v>
      </c>
      <c r="H205" s="33" t="str">
        <f ca="1">IFERROR(__xludf.DUMMYFUNCTION("""COMPUTED_VALUE"""),"Juan Bravo")</f>
        <v>Juan Bravo</v>
      </c>
      <c r="I205" s="33" t="str">
        <f ca="1">IFERROR(__xludf.DUMMYFUNCTION("""COMPUTED_VALUE"""),"C202612911221958756")</f>
        <v>C202612911221958756</v>
      </c>
      <c r="J205" s="33" t="str">
        <f ca="1">IFERROR(__xludf.DUMMYFUNCTION("""COMPUTED_VALUE"""),"SOFIA MARTINEZ PONCE")</f>
        <v>SOFIA MARTINEZ PONCE</v>
      </c>
      <c r="K205" s="56">
        <f ca="1">IFERROR(__xludf.DUMMYFUNCTION("""COMPUTED_VALUE"""),2)</f>
        <v>2</v>
      </c>
      <c r="L205" s="62">
        <f ca="1">IFERROR(__xludf.DUMMYFUNCTION("""COMPUTED_VALUE"""),4136.36)</f>
        <v>4136.3599999999997</v>
      </c>
      <c r="M205" s="33" t="str">
        <f ca="1">IFERROR(__xludf.DUMMYFUNCTION("""COMPUTED_VALUE"""),"03 ORL")</f>
        <v>03 ORL</v>
      </c>
      <c r="N205" s="33" t="str">
        <f ca="1">IFERROR(__xludf.DUMMYFUNCTION("""COMPUTED_VALUE"""),"06 ORL")</f>
        <v>06 ORL</v>
      </c>
      <c r="O205" s="33" t="str">
        <f ca="1">IFERROR(__xludf.DUMMYFUNCTION("""COMPUTED_VALUE"""),"Dr, Javier García Domínguez")</f>
        <v>Dr, Javier García Domínguez</v>
      </c>
      <c r="P205" s="33" t="str">
        <f ca="1">IFERROR(__xludf.DUMMYFUNCTION("""COMPUTED_VALUE"""),"Maika Blázquez (Madrid)")</f>
        <v>Maika Blázquez (Madrid)</v>
      </c>
    </row>
    <row r="206" spans="2:16">
      <c r="B206" s="74">
        <f ca="1">IFERROR(__xludf.DUMMYFUNCTION("""COMPUTED_VALUE"""),2026)</f>
        <v>2026</v>
      </c>
      <c r="C206" s="56">
        <f ca="1">IFERROR(__xludf.DUMMYFUNCTION("""COMPUTED_VALUE"""),2)</f>
        <v>2</v>
      </c>
      <c r="D206" s="33" t="str">
        <f ca="1">IFERROR(__xludf.DUMMYFUNCTION("""COMPUTED_VALUE"""),"NO")</f>
        <v>NO</v>
      </c>
      <c r="E206" s="33" t="str">
        <f ca="1">IFERROR(__xludf.DUMMYFUNCTION("""COMPUTED_VALUE"""),"Torrejón de Ardoz")</f>
        <v>Torrejón de Ardoz</v>
      </c>
      <c r="F206" s="57">
        <f ca="1">IFERROR(__xludf.DUMMYFUNCTION("""COMPUTED_VALUE"""),46073)</f>
        <v>46073</v>
      </c>
      <c r="G206" s="57">
        <f ca="1">IFERROR(__xludf.DUMMYFUNCTION("""COMPUTED_VALUE"""),46031)</f>
        <v>46031</v>
      </c>
      <c r="H206" s="33" t="str">
        <f ca="1">IFERROR(__xludf.DUMMYFUNCTION("""COMPUTED_VALUE"""),"Torrejón")</f>
        <v>Torrejón</v>
      </c>
      <c r="I206" s="33" t="str">
        <f ca="1">IFERROR(__xludf.DUMMYFUNCTION("""COMPUTED_VALUE"""),"C20261985450557701")</f>
        <v>C20261985450557701</v>
      </c>
      <c r="J206" s="33" t="str">
        <f ca="1">IFERROR(__xludf.DUMMYFUNCTION("""COMPUTED_VALUE"""),"FRANCISCO JAVIER TRILLA MOCHALES")</f>
        <v>FRANCISCO JAVIER TRILLA MOCHALES</v>
      </c>
      <c r="K206" s="56">
        <f ca="1">IFERROR(__xludf.DUMMYFUNCTION("""COMPUTED_VALUE"""),1)</f>
        <v>1</v>
      </c>
      <c r="L206" s="62">
        <f ca="1">IFERROR(__xludf.DUMMYFUNCTION("""COMPUTED_VALUE"""),1550.23)</f>
        <v>1550.23</v>
      </c>
      <c r="M206" s="33" t="str">
        <f ca="1">IFERROR(__xludf.DUMMYFUNCTION("""COMPUTED_VALUE"""),"03 ORL")</f>
        <v>03 ORL</v>
      </c>
      <c r="N206" s="33" t="str">
        <f ca="1">IFERROR(__xludf.DUMMYFUNCTION("""COMPUTED_VALUE"""),"06 ORL")</f>
        <v>06 ORL</v>
      </c>
      <c r="O206" s="33" t="str">
        <f ca="1">IFERROR(__xludf.DUMMYFUNCTION("""COMPUTED_VALUE"""),"Dra, Cristina Peña Cifuentes")</f>
        <v>Dra, Cristina Peña Cifuentes</v>
      </c>
      <c r="P206" s="33" t="str">
        <f ca="1">IFERROR(__xludf.DUMMYFUNCTION("""COMPUTED_VALUE"""),"Maika Blázquez (Madrid)")</f>
        <v>Maika Blázquez (Madrid)</v>
      </c>
    </row>
    <row r="207" spans="2:16">
      <c r="B207" s="74">
        <f ca="1">IFERROR(__xludf.DUMMYFUNCTION("""COMPUTED_VALUE"""),2026)</f>
        <v>2026</v>
      </c>
      <c r="C207" s="56">
        <f ca="1">IFERROR(__xludf.DUMMYFUNCTION("""COMPUTED_VALUE"""),2)</f>
        <v>2</v>
      </c>
      <c r="D207" s="33" t="str">
        <f ca="1">IFERROR(__xludf.DUMMYFUNCTION("""COMPUTED_VALUE"""),"NO")</f>
        <v>NO</v>
      </c>
      <c r="E207" s="33" t="str">
        <f ca="1">IFERROR(__xludf.DUMMYFUNCTION("""COMPUTED_VALUE"""),"Valencia- Cádiz")</f>
        <v>Valencia- Cádiz</v>
      </c>
      <c r="F207" s="57">
        <f ca="1">IFERROR(__xludf.DUMMYFUNCTION("""COMPUTED_VALUE"""),46073)</f>
        <v>46073</v>
      </c>
      <c r="G207" s="57">
        <f ca="1">IFERROR(__xludf.DUMMYFUNCTION("""COMPUTED_VALUE"""),46001)</f>
        <v>46001</v>
      </c>
      <c r="H207" s="33" t="str">
        <f ca="1">IFERROR(__xludf.DUMMYFUNCTION("""COMPUTED_VALUE"""),"Valencia- Cádiz")</f>
        <v>Valencia- Cádiz</v>
      </c>
      <c r="I207" s="33" t="str">
        <f ca="1">IFERROR(__xludf.DUMMYFUNCTION("""COMPUTED_VALUE"""),"C202512101755565346")</f>
        <v>C202512101755565346</v>
      </c>
      <c r="J207" s="33" t="str">
        <f ca="1">IFERROR(__xludf.DUMMYFUNCTION("""COMPUTED_VALUE"""),"Maria del Carmen Delhom Costa")</f>
        <v>Maria del Carmen Delhom Costa</v>
      </c>
      <c r="K207" s="56">
        <f ca="1">IFERROR(__xludf.DUMMYFUNCTION("""COMPUTED_VALUE"""),2)</f>
        <v>2</v>
      </c>
      <c r="L207" s="62">
        <f ca="1">IFERROR(__xludf.DUMMYFUNCTION("""COMPUTED_VALUE"""),2718.19)</f>
        <v>2718.19</v>
      </c>
      <c r="M207" s="33" t="str">
        <f ca="1">IFERROR(__xludf.DUMMYFUNCTION("""COMPUTED_VALUE"""),"03 ORL")</f>
        <v>03 ORL</v>
      </c>
      <c r="N207" s="33" t="str">
        <f ca="1">IFERROR(__xludf.DUMMYFUNCTION("""COMPUTED_VALUE"""),"06 ORL")</f>
        <v>06 ORL</v>
      </c>
      <c r="O207" s="33" t="str">
        <f ca="1">IFERROR(__xludf.DUMMYFUNCTION("""COMPUTED_VALUE"""),"Dr, Abel Guzmán Calvete")</f>
        <v>Dr, Abel Guzmán Calvete</v>
      </c>
      <c r="P207" s="33" t="str">
        <f ca="1">IFERROR(__xludf.DUMMYFUNCTION("""COMPUTED_VALUE"""),"Ramon Ferrando(Valencia)")</f>
        <v>Ramon Ferrando(Valencia)</v>
      </c>
    </row>
    <row r="208" spans="2:16">
      <c r="B208" s="74">
        <f ca="1">IFERROR(__xludf.DUMMYFUNCTION("""COMPUTED_VALUE"""),2026)</f>
        <v>2026</v>
      </c>
      <c r="C208" s="56">
        <f ca="1">IFERROR(__xludf.DUMMYFUNCTION("""COMPUTED_VALUE"""),2)</f>
        <v>2</v>
      </c>
      <c r="D208" s="33" t="str">
        <f ca="1">IFERROR(__xludf.DUMMYFUNCTION("""COMPUTED_VALUE"""),"NO")</f>
        <v>NO</v>
      </c>
      <c r="E208" s="33" t="str">
        <f ca="1">IFERROR(__xludf.DUMMYFUNCTION("""COMPUTED_VALUE"""),"Leganés")</f>
        <v>Leganés</v>
      </c>
      <c r="F208" s="57">
        <f ca="1">IFERROR(__xludf.DUMMYFUNCTION("""COMPUTED_VALUE"""),46073)</f>
        <v>46073</v>
      </c>
      <c r="G208" s="57">
        <f ca="1">IFERROR(__xludf.DUMMYFUNCTION("""COMPUTED_VALUE"""),46036)</f>
        <v>46036</v>
      </c>
      <c r="H208" s="33" t="str">
        <f ca="1">IFERROR(__xludf.DUMMYFUNCTION("""COMPUTED_VALUE"""),"Leganés")</f>
        <v>Leganés</v>
      </c>
      <c r="I208" s="33" t="str">
        <f ca="1">IFERROR(__xludf.DUMMYFUNCTION("""COMPUTED_VALUE"""),"C202611495230842894")</f>
        <v>C202611495230842894</v>
      </c>
      <c r="J208" s="33" t="str">
        <f ca="1">IFERROR(__xludf.DUMMYFUNCTION("""COMPUTED_VALUE"""),"JUAN FIDEL SOTO MARTINEZ")</f>
        <v>JUAN FIDEL SOTO MARTINEZ</v>
      </c>
      <c r="K208" s="56">
        <f ca="1">IFERROR(__xludf.DUMMYFUNCTION("""COMPUTED_VALUE"""),1)</f>
        <v>1</v>
      </c>
      <c r="L208" s="62">
        <f ca="1">IFERROR(__xludf.DUMMYFUNCTION("""COMPUTED_VALUE"""),1631.82)</f>
        <v>1631.82</v>
      </c>
      <c r="M208" s="33" t="str">
        <f ca="1">IFERROR(__xludf.DUMMYFUNCTION("""COMPUTED_VALUE"""),"03 ORL")</f>
        <v>03 ORL</v>
      </c>
      <c r="N208" s="33" t="str">
        <f ca="1">IFERROR(__xludf.DUMMYFUNCTION("""COMPUTED_VALUE"""),"06 ORL")</f>
        <v>06 ORL</v>
      </c>
      <c r="O208" s="33" t="str">
        <f ca="1">IFERROR(__xludf.DUMMYFUNCTION("""COMPUTED_VALUE"""),"Dra, Ana Ruiz Fornells Noreña")</f>
        <v>Dra, Ana Ruiz Fornells Noreña</v>
      </c>
      <c r="P208" s="33" t="str">
        <f ca="1">IFERROR(__xludf.DUMMYFUNCTION("""COMPUTED_VALUE"""),"Maika Blázquez (Madrid)")</f>
        <v>Maika Blázquez (Madrid)</v>
      </c>
    </row>
    <row r="209" spans="2:16">
      <c r="B209" s="74">
        <f ca="1">IFERROR(__xludf.DUMMYFUNCTION("""COMPUTED_VALUE"""),2026)</f>
        <v>2026</v>
      </c>
      <c r="C209" s="56">
        <f ca="1">IFERROR(__xludf.DUMMYFUNCTION("""COMPUTED_VALUE"""),2)</f>
        <v>2</v>
      </c>
      <c r="D209" s="33" t="str">
        <f ca="1">IFERROR(__xludf.DUMMYFUNCTION("""COMPUTED_VALUE"""),"NO")</f>
        <v>NO</v>
      </c>
      <c r="E209" s="33" t="str">
        <f ca="1">IFERROR(__xludf.DUMMYFUNCTION("""COMPUTED_VALUE"""),"Getafe")</f>
        <v>Getafe</v>
      </c>
      <c r="F209" s="57">
        <f ca="1">IFERROR(__xludf.DUMMYFUNCTION("""COMPUTED_VALUE"""),46073)</f>
        <v>46073</v>
      </c>
      <c r="G209" s="57">
        <f ca="1">IFERROR(__xludf.DUMMYFUNCTION("""COMPUTED_VALUE"""),46007)</f>
        <v>46007</v>
      </c>
      <c r="H209" s="33" t="str">
        <f ca="1">IFERROR(__xludf.DUMMYFUNCTION("""COMPUTED_VALUE"""),"Getafe")</f>
        <v>Getafe</v>
      </c>
      <c r="I209" s="33" t="str">
        <f ca="1">IFERROR(__xludf.DUMMYFUNCTION("""COMPUTED_VALUE"""),"C202512161237501240")</f>
        <v>C202512161237501240</v>
      </c>
      <c r="J209" s="33" t="str">
        <f ca="1">IFERROR(__xludf.DUMMYFUNCTION("""COMPUTED_VALUE"""),"MARIA CONCEPCION GONZALEZ SUAREZ")</f>
        <v>MARIA CONCEPCION GONZALEZ SUAREZ</v>
      </c>
      <c r="K209" s="56">
        <f ca="1">IFERROR(__xludf.DUMMYFUNCTION("""COMPUTED_VALUE"""),2)</f>
        <v>2</v>
      </c>
      <c r="L209" s="62">
        <f ca="1">IFERROR(__xludf.DUMMYFUNCTION("""COMPUTED_VALUE"""),4136.36)</f>
        <v>4136.3599999999997</v>
      </c>
      <c r="M209" s="33" t="str">
        <f ca="1">IFERROR(__xludf.DUMMYFUNCTION("""COMPUTED_VALUE"""),"03 ORL")</f>
        <v>03 ORL</v>
      </c>
      <c r="N209" s="33" t="str">
        <f ca="1">IFERROR(__xludf.DUMMYFUNCTION("""COMPUTED_VALUE"""),"06 ORL")</f>
        <v>06 ORL</v>
      </c>
      <c r="O209" s="33" t="str">
        <f ca="1">IFERROR(__xludf.DUMMYFUNCTION("""COMPUTED_VALUE"""),"Dra, Laura Ruano De Pablo")</f>
        <v>Dra, Laura Ruano De Pablo</v>
      </c>
      <c r="P209" s="33" t="str">
        <f ca="1">IFERROR(__xludf.DUMMYFUNCTION("""COMPUTED_VALUE"""),"Maika Blázquez (Madrid)")</f>
        <v>Maika Blázquez (Madrid)</v>
      </c>
    </row>
    <row r="210" spans="2:16">
      <c r="B210" s="74">
        <f ca="1">IFERROR(__xludf.DUMMYFUNCTION("""COMPUTED_VALUE"""),2026)</f>
        <v>2026</v>
      </c>
      <c r="C210" s="56">
        <f ca="1">IFERROR(__xludf.DUMMYFUNCTION("""COMPUTED_VALUE"""),2)</f>
        <v>2</v>
      </c>
      <c r="D210" s="33" t="str">
        <f ca="1">IFERROR(__xludf.DUMMYFUNCTION("""COMPUTED_VALUE"""),"NO")</f>
        <v>NO</v>
      </c>
      <c r="E210" s="33" t="str">
        <f ca="1">IFERROR(__xludf.DUMMYFUNCTION("""COMPUTED_VALUE"""),"Alcorcón")</f>
        <v>Alcorcón</v>
      </c>
      <c r="F210" s="57">
        <f ca="1">IFERROR(__xludf.DUMMYFUNCTION("""COMPUTED_VALUE"""),46073)</f>
        <v>46073</v>
      </c>
      <c r="G210" s="57">
        <f ca="1">IFERROR(__xludf.DUMMYFUNCTION("""COMPUTED_VALUE"""),46038)</f>
        <v>46038</v>
      </c>
      <c r="H210" s="33" t="str">
        <f ca="1">IFERROR(__xludf.DUMMYFUNCTION("""COMPUTED_VALUE"""),"Alcorcón")</f>
        <v>Alcorcón</v>
      </c>
      <c r="I210" s="33" t="str">
        <f ca="1">IFERROR(__xludf.DUMMYFUNCTION("""COMPUTED_VALUE"""),"C202611612232415334")</f>
        <v>C202611612232415334</v>
      </c>
      <c r="J210" s="33" t="str">
        <f ca="1">IFERROR(__xludf.DUMMYFUNCTION("""COMPUTED_VALUE"""),"TOMAS  DIAZ DE LA CAMPA GARCIA")</f>
        <v>TOMAS  DIAZ DE LA CAMPA GARCIA</v>
      </c>
      <c r="K210" s="56">
        <f ca="1">IFERROR(__xludf.DUMMYFUNCTION("""COMPUTED_VALUE"""),1)</f>
        <v>1</v>
      </c>
      <c r="L210" s="62">
        <f ca="1">IFERROR(__xludf.DUMMYFUNCTION("""COMPUTED_VALUE"""),1631.82)</f>
        <v>1631.82</v>
      </c>
      <c r="M210" s="33" t="str">
        <f ca="1">IFERROR(__xludf.DUMMYFUNCTION("""COMPUTED_VALUE"""),"03 ORL")</f>
        <v>03 ORL</v>
      </c>
      <c r="N210" s="33" t="str">
        <f ca="1">IFERROR(__xludf.DUMMYFUNCTION("""COMPUTED_VALUE"""),"22 AUDIOMETRIA CLINICA")</f>
        <v>22 AUDIOMETRIA CLINICA</v>
      </c>
      <c r="O210" s="33" t="str">
        <f ca="1">IFERROR(__xludf.DUMMYFUNCTION("""COMPUTED_VALUE"""),"Dra, Elvylins Vargas Yglesia")</f>
        <v>Dra, Elvylins Vargas Yglesia</v>
      </c>
      <c r="P210" s="33" t="str">
        <f ca="1">IFERROR(__xludf.DUMMYFUNCTION("""COMPUTED_VALUE"""),"Maika Blázquez (Madrid)")</f>
        <v>Maika Blázquez (Madrid)</v>
      </c>
    </row>
    <row r="211" spans="2:16">
      <c r="B211" s="74">
        <f ca="1">IFERROR(__xludf.DUMMYFUNCTION("""COMPUTED_VALUE"""),2026)</f>
        <v>2026</v>
      </c>
      <c r="C211" s="56">
        <f ca="1">IFERROR(__xludf.DUMMYFUNCTION("""COMPUTED_VALUE"""),2)</f>
        <v>2</v>
      </c>
      <c r="D211" s="33" t="str">
        <f ca="1">IFERROR(__xludf.DUMMYFUNCTION("""COMPUTED_VALUE"""),"NO")</f>
        <v>NO</v>
      </c>
      <c r="E211" s="33" t="str">
        <f ca="1">IFERROR(__xludf.DUMMYFUNCTION("""COMPUTED_VALUE"""),"Murcia")</f>
        <v>Murcia</v>
      </c>
      <c r="F211" s="57">
        <f ca="1">IFERROR(__xludf.DUMMYFUNCTION("""COMPUTED_VALUE"""),46076)</f>
        <v>46076</v>
      </c>
      <c r="G211" s="57">
        <f ca="1">IFERROR(__xludf.DUMMYFUNCTION("""COMPUTED_VALUE"""),46034)</f>
        <v>46034</v>
      </c>
      <c r="H211" s="33" t="str">
        <f ca="1">IFERROR(__xludf.DUMMYFUNCTION("""COMPUTED_VALUE"""),"Murcia")</f>
        <v>Murcia</v>
      </c>
      <c r="I211" s="33" t="str">
        <f ca="1">IFERROR(__xludf.DUMMYFUNCTION("""COMPUTED_VALUE"""),"C202611214373858803")</f>
        <v>C202611214373858803</v>
      </c>
      <c r="J211" s="33" t="str">
        <f ca="1">IFERROR(__xludf.DUMMYFUNCTION("""COMPUTED_VALUE"""),"JOSE FRANCISCO GALVEZ INIESTA")</f>
        <v>JOSE FRANCISCO GALVEZ INIESTA</v>
      </c>
      <c r="K211" s="56">
        <f ca="1">IFERROR(__xludf.DUMMYFUNCTION("""COMPUTED_VALUE"""),2)</f>
        <v>2</v>
      </c>
      <c r="L211" s="62">
        <f ca="1">IFERROR(__xludf.DUMMYFUNCTION("""COMPUTED_VALUE"""),2718.18)</f>
        <v>2718.18</v>
      </c>
      <c r="M211" s="33" t="str">
        <f ca="1">IFERROR(__xludf.DUMMYFUNCTION("""COMPUTED_VALUE"""),"03 ORL")</f>
        <v>03 ORL</v>
      </c>
      <c r="N211" s="33" t="str">
        <f ca="1">IFERROR(__xludf.DUMMYFUNCTION("""COMPUTED_VALUE"""),"06 ORL")</f>
        <v>06 ORL</v>
      </c>
      <c r="O211" s="33" t="str">
        <f ca="1">IFERROR(__xludf.DUMMYFUNCTION("""COMPUTED_VALUE"""),"Dr, Jesús Miguel Iniesta Turpín")</f>
        <v>Dr, Jesús Miguel Iniesta Turpín</v>
      </c>
      <c r="P211" s="33" t="str">
        <f ca="1">IFERROR(__xludf.DUMMYFUNCTION("""COMPUTED_VALUE"""),"Iván Sánchez (Levante y Albacete)")</f>
        <v>Iván Sánchez (Levante y Albacete)</v>
      </c>
    </row>
    <row r="212" spans="2:16">
      <c r="B212" s="74">
        <f ca="1">IFERROR(__xludf.DUMMYFUNCTION("""COMPUTED_VALUE"""),2026)</f>
        <v>2026</v>
      </c>
      <c r="C212" s="56">
        <f ca="1">IFERROR(__xludf.DUMMYFUNCTION("""COMPUTED_VALUE"""),2)</f>
        <v>2</v>
      </c>
      <c r="D212" s="33" t="str">
        <f ca="1">IFERROR(__xludf.DUMMYFUNCTION("""COMPUTED_VALUE"""),"NO")</f>
        <v>NO</v>
      </c>
      <c r="E212" s="33" t="str">
        <f ca="1">IFERROR(__xludf.DUMMYFUNCTION("""COMPUTED_VALUE"""),"Orihuela")</f>
        <v>Orihuela</v>
      </c>
      <c r="F212" s="57">
        <f ca="1">IFERROR(__xludf.DUMMYFUNCTION("""COMPUTED_VALUE"""),46076)</f>
        <v>46076</v>
      </c>
      <c r="G212" s="57">
        <f ca="1">IFERROR(__xludf.DUMMYFUNCTION("""COMPUTED_VALUE"""),46052)</f>
        <v>46052</v>
      </c>
      <c r="H212" s="33" t="str">
        <f ca="1">IFERROR(__xludf.DUMMYFUNCTION("""COMPUTED_VALUE"""),"La Zenia")</f>
        <v>La Zenia</v>
      </c>
      <c r="I212" s="33" t="str">
        <f ca="1">IFERROR(__xludf.DUMMYFUNCTION("""COMPUTED_VALUE"""),"C202613011203270810")</f>
        <v>C202613011203270810</v>
      </c>
      <c r="J212" s="33" t="str">
        <f ca="1">IFERROR(__xludf.DUMMYFUNCTION("""COMPUTED_VALUE"""),"MARINA VARGAS SERRANO")</f>
        <v>MARINA VARGAS SERRANO</v>
      </c>
      <c r="K212" s="56">
        <f ca="1">IFERROR(__xludf.DUMMYFUNCTION("""COMPUTED_VALUE"""),2)</f>
        <v>2</v>
      </c>
      <c r="L212" s="62">
        <f ca="1">IFERROR(__xludf.DUMMYFUNCTION("""COMPUTED_VALUE"""),3631.82)</f>
        <v>3631.82</v>
      </c>
      <c r="M212" s="33" t="str">
        <f ca="1">IFERROR(__xludf.DUMMYFUNCTION("""COMPUTED_VALUE"""),"03 ORL")</f>
        <v>03 ORL</v>
      </c>
      <c r="N212" s="33" t="str">
        <f ca="1">IFERROR(__xludf.DUMMYFUNCTION("""COMPUTED_VALUE"""),"06 ORL")</f>
        <v>06 ORL</v>
      </c>
      <c r="O212" s="33" t="str">
        <f ca="1">IFERROR(__xludf.DUMMYFUNCTION("""COMPUTED_VALUE"""),"Dr, Juan Javier Álvarez López")</f>
        <v>Dr, Juan Javier Álvarez López</v>
      </c>
      <c r="P212" s="33" t="str">
        <f ca="1">IFERROR(__xludf.DUMMYFUNCTION("""COMPUTED_VALUE"""),"Iván Sánchez (Levante y Albacete)")</f>
        <v>Iván Sánchez (Levante y Albacete)</v>
      </c>
    </row>
    <row r="213" spans="2:16">
      <c r="B213" s="74">
        <f ca="1">IFERROR(__xludf.DUMMYFUNCTION("""COMPUTED_VALUE"""),2026)</f>
        <v>2026</v>
      </c>
      <c r="C213" s="56">
        <f ca="1">IFERROR(__xludf.DUMMYFUNCTION("""COMPUTED_VALUE"""),2)</f>
        <v>2</v>
      </c>
      <c r="D213" s="33" t="str">
        <f ca="1">IFERROR(__xludf.DUMMYFUNCTION("""COMPUTED_VALUE"""),"NO")</f>
        <v>NO</v>
      </c>
      <c r="E213" s="33" t="str">
        <f ca="1">IFERROR(__xludf.DUMMYFUNCTION("""COMPUTED_VALUE"""),"Madrid- Juan Bravo")</f>
        <v>Madrid- Juan Bravo</v>
      </c>
      <c r="F213" s="57">
        <f ca="1">IFERROR(__xludf.DUMMYFUNCTION("""COMPUTED_VALUE"""),46076)</f>
        <v>46076</v>
      </c>
      <c r="G213" s="57">
        <f ca="1">IFERROR(__xludf.DUMMYFUNCTION("""COMPUTED_VALUE"""),46038)</f>
        <v>46038</v>
      </c>
      <c r="H213" s="33" t="str">
        <f ca="1">IFERROR(__xludf.DUMMYFUNCTION("""COMPUTED_VALUE"""),"Juan Bravo")</f>
        <v>Juan Bravo</v>
      </c>
      <c r="I213" s="33" t="str">
        <f ca="1">IFERROR(__xludf.DUMMYFUNCTION("""COMPUTED_VALUE"""),"C202611610349790438")</f>
        <v>C202611610349790438</v>
      </c>
      <c r="J213" s="33" t="str">
        <f ca="1">IFERROR(__xludf.DUMMYFUNCTION("""COMPUTED_VALUE"""),"JUAN CARLOS  DEL VALLE AGUSTIN")</f>
        <v>JUAN CARLOS  DEL VALLE AGUSTIN</v>
      </c>
      <c r="K213" s="56">
        <f ca="1">IFERROR(__xludf.DUMMYFUNCTION("""COMPUTED_VALUE"""),2)</f>
        <v>2</v>
      </c>
      <c r="L213" s="62">
        <f ca="1">IFERROR(__xludf.DUMMYFUNCTION("""COMPUTED_VALUE"""),4309.55)</f>
        <v>4309.55</v>
      </c>
      <c r="M213" s="33" t="str">
        <f ca="1">IFERROR(__xludf.DUMMYFUNCTION("""COMPUTED_VALUE"""),"03 ORL")</f>
        <v>03 ORL</v>
      </c>
      <c r="N213" s="33" t="str">
        <f ca="1">IFERROR(__xludf.DUMMYFUNCTION("""COMPUTED_VALUE"""),"06 ORL")</f>
        <v>06 ORL</v>
      </c>
      <c r="O213" s="33" t="str">
        <f ca="1">IFERROR(__xludf.DUMMYFUNCTION("""COMPUTED_VALUE"""),"Dra, Karla Natali Montaño Rueda")</f>
        <v>Dra, Karla Natali Montaño Rueda</v>
      </c>
      <c r="P213" s="33" t="str">
        <f ca="1">IFERROR(__xludf.DUMMYFUNCTION("""COMPUTED_VALUE"""),"Maika Blázquez (Madrid)")</f>
        <v>Maika Blázquez (Madrid)</v>
      </c>
    </row>
    <row r="214" spans="2:16">
      <c r="B214" s="74">
        <f ca="1">IFERROR(__xludf.DUMMYFUNCTION("""COMPUTED_VALUE"""),2026)</f>
        <v>2026</v>
      </c>
      <c r="C214" s="56">
        <f ca="1">IFERROR(__xludf.DUMMYFUNCTION("""COMPUTED_VALUE"""),2)</f>
        <v>2</v>
      </c>
      <c r="D214" s="33" t="str">
        <f ca="1">IFERROR(__xludf.DUMMYFUNCTION("""COMPUTED_VALUE"""),"NO")</f>
        <v>NO</v>
      </c>
      <c r="E214" s="33" t="str">
        <f ca="1">IFERROR(__xludf.DUMMYFUNCTION("""COMPUTED_VALUE"""),"Valladolid")</f>
        <v>Valladolid</v>
      </c>
      <c r="F214" s="57">
        <f ca="1">IFERROR(__xludf.DUMMYFUNCTION("""COMPUTED_VALUE"""),46076)</f>
        <v>46076</v>
      </c>
      <c r="G214" s="57">
        <f ca="1">IFERROR(__xludf.DUMMYFUNCTION("""COMPUTED_VALUE"""),46036)</f>
        <v>46036</v>
      </c>
      <c r="H214" s="33" t="str">
        <f ca="1">IFERROR(__xludf.DUMMYFUNCTION("""COMPUTED_VALUE"""),"Valladolid")</f>
        <v>Valladolid</v>
      </c>
      <c r="I214" s="33" t="str">
        <f ca="1">IFERROR(__xludf.DUMMYFUNCTION("""COMPUTED_VALUE"""),"C20261141044350634")</f>
        <v>C20261141044350634</v>
      </c>
      <c r="J214" s="33" t="str">
        <f ca="1">IFERROR(__xludf.DUMMYFUNCTION("""COMPUTED_VALUE"""),"TEOFILO CAPELLAN ALONSO")</f>
        <v>TEOFILO CAPELLAN ALONSO</v>
      </c>
      <c r="K214" s="56">
        <f ca="1">IFERROR(__xludf.DUMMYFUNCTION("""COMPUTED_VALUE"""),1)</f>
        <v>1</v>
      </c>
      <c r="L214" s="62">
        <f ca="1">IFERROR(__xludf.DUMMYFUNCTION("""COMPUTED_VALUE"""),2307.27)</f>
        <v>2307.27</v>
      </c>
      <c r="M214" s="33" t="str">
        <f ca="1">IFERROR(__xludf.DUMMYFUNCTION("""COMPUTED_VALUE"""),"03 ORL")</f>
        <v>03 ORL</v>
      </c>
      <c r="N214" s="33" t="str">
        <f ca="1">IFERROR(__xludf.DUMMYFUNCTION("""COMPUTED_VALUE"""),"06 ORL")</f>
        <v>06 ORL</v>
      </c>
      <c r="O214" s="33" t="str">
        <f ca="1">IFERROR(__xludf.DUMMYFUNCTION("""COMPUTED_VALUE"""),"Dr, Carlos Miguel Salvador Martínez")</f>
        <v>Dr, Carlos Miguel Salvador Martínez</v>
      </c>
      <c r="P214" s="33" t="str">
        <f ca="1">IFERROR(__xludf.DUMMYFUNCTION("""COMPUTED_VALUE"""),"Alberto Moreno (Madrid)")</f>
        <v>Alberto Moreno (Madrid)</v>
      </c>
    </row>
    <row r="215" spans="2:16">
      <c r="B215" s="74">
        <f ca="1">IFERROR(__xludf.DUMMYFUNCTION("""COMPUTED_VALUE"""),2026)</f>
        <v>2026</v>
      </c>
      <c r="C215" s="56">
        <f ca="1">IFERROR(__xludf.DUMMYFUNCTION("""COMPUTED_VALUE"""),2)</f>
        <v>2</v>
      </c>
      <c r="D215" s="33" t="str">
        <f ca="1">IFERROR(__xludf.DUMMYFUNCTION("""COMPUTED_VALUE"""),"NO")</f>
        <v>NO</v>
      </c>
      <c r="E215" s="33" t="str">
        <f ca="1">IFERROR(__xludf.DUMMYFUNCTION("""COMPUTED_VALUE"""),"Cáceres")</f>
        <v>Cáceres</v>
      </c>
      <c r="F215" s="57">
        <f ca="1">IFERROR(__xludf.DUMMYFUNCTION("""COMPUTED_VALUE"""),46076)</f>
        <v>46076</v>
      </c>
      <c r="G215" s="57">
        <f ca="1">IFERROR(__xludf.DUMMYFUNCTION("""COMPUTED_VALUE"""),46050)</f>
        <v>46050</v>
      </c>
      <c r="H215" s="33" t="str">
        <f ca="1">IFERROR(__xludf.DUMMYFUNCTION("""COMPUTED_VALUE"""),"Cáceres")</f>
        <v>Cáceres</v>
      </c>
      <c r="I215" s="33" t="str">
        <f ca="1">IFERROR(__xludf.DUMMYFUNCTION("""COMPUTED_VALUE"""),"C202612817343055326")</f>
        <v>C202612817343055326</v>
      </c>
      <c r="J215" s="33" t="str">
        <f ca="1">IFERROR(__xludf.DUMMYFUNCTION("""COMPUTED_VALUE"""),"JAVIER GARCIA VILLALON")</f>
        <v>JAVIER GARCIA VILLALON</v>
      </c>
      <c r="K215" s="56">
        <f ca="1">IFERROR(__xludf.DUMMYFUNCTION("""COMPUTED_VALUE"""),2)</f>
        <v>2</v>
      </c>
      <c r="L215" s="62">
        <f ca="1">IFERROR(__xludf.DUMMYFUNCTION("""COMPUTED_VALUE"""),3940.91)</f>
        <v>3940.91</v>
      </c>
      <c r="M215" s="33" t="str">
        <f ca="1">IFERROR(__xludf.DUMMYFUNCTION("""COMPUTED_VALUE"""),"03 ORL")</f>
        <v>03 ORL</v>
      </c>
      <c r="N215" s="33" t="str">
        <f ca="1">IFERROR(__xludf.DUMMYFUNCTION("""COMPUTED_VALUE"""),"06 ORL")</f>
        <v>06 ORL</v>
      </c>
      <c r="O215" s="33" t="str">
        <f ca="1">IFERROR(__xludf.DUMMYFUNCTION("""COMPUTED_VALUE"""),"Dra, Marta García Jiménez")</f>
        <v>Dra, Marta García Jiménez</v>
      </c>
      <c r="P215" s="33" t="str">
        <f ca="1">IFERROR(__xludf.DUMMYFUNCTION("""COMPUTED_VALUE"""),"Lisandro Russian (Madrid, Cáceres, Toledo, Talavera y Logroño)")</f>
        <v>Lisandro Russian (Madrid, Cáceres, Toledo, Talavera y Logroño)</v>
      </c>
    </row>
    <row r="216" spans="2:16">
      <c r="B216" s="74">
        <f ca="1">IFERROR(__xludf.DUMMYFUNCTION("""COMPUTED_VALUE"""),2026)</f>
        <v>2026</v>
      </c>
      <c r="C216" s="56">
        <f ca="1">IFERROR(__xludf.DUMMYFUNCTION("""COMPUTED_VALUE"""),2)</f>
        <v>2</v>
      </c>
      <c r="D216" s="33" t="str">
        <f ca="1">IFERROR(__xludf.DUMMYFUNCTION("""COMPUTED_VALUE"""),"NO")</f>
        <v>NO</v>
      </c>
      <c r="E216" s="33" t="str">
        <f ca="1">IFERROR(__xludf.DUMMYFUNCTION("""COMPUTED_VALUE"""),"Madrid- Costa Rica")</f>
        <v>Madrid- Costa Rica</v>
      </c>
      <c r="F216" s="57">
        <f ca="1">IFERROR(__xludf.DUMMYFUNCTION("""COMPUTED_VALUE"""),46076)</f>
        <v>46076</v>
      </c>
      <c r="G216" s="57">
        <f ca="1">IFERROR(__xludf.DUMMYFUNCTION("""COMPUTED_VALUE"""),46009)</f>
        <v>46009</v>
      </c>
      <c r="H216" s="33" t="str">
        <f ca="1">IFERROR(__xludf.DUMMYFUNCTION("""COMPUTED_VALUE"""),"Costa Rica")</f>
        <v>Costa Rica</v>
      </c>
      <c r="I216" s="33" t="str">
        <f ca="1">IFERROR(__xludf.DUMMYFUNCTION("""COMPUTED_VALUE"""),"C202512181349346605")</f>
        <v>C202512181349346605</v>
      </c>
      <c r="J216" s="33" t="str">
        <f ca="1">IFERROR(__xludf.DUMMYFUNCTION("""COMPUTED_VALUE"""),"Angeles Llorens Fantova")</f>
        <v>Angeles Llorens Fantova</v>
      </c>
      <c r="K216" s="56">
        <f ca="1">IFERROR(__xludf.DUMMYFUNCTION("""COMPUTED_VALUE"""),2)</f>
        <v>2</v>
      </c>
      <c r="L216" s="62">
        <f ca="1">IFERROR(__xludf.DUMMYFUNCTION("""COMPUTED_VALUE"""),3631.82)</f>
        <v>3631.82</v>
      </c>
      <c r="M216" s="33" t="str">
        <f ca="1">IFERROR(__xludf.DUMMYFUNCTION("""COMPUTED_VALUE"""),"03 ORL")</f>
        <v>03 ORL</v>
      </c>
      <c r="N216" s="33" t="str">
        <f ca="1">IFERROR(__xludf.DUMMYFUNCTION("""COMPUTED_VALUE"""),"06 ORL")</f>
        <v>06 ORL</v>
      </c>
      <c r="O216" s="33" t="str">
        <f ca="1">IFERROR(__xludf.DUMMYFUNCTION("""COMPUTED_VALUE"""),"Dr, Julio López Moya")</f>
        <v>Dr, Julio López Moya</v>
      </c>
      <c r="P216" s="33" t="str">
        <f ca="1">IFERROR(__xludf.DUMMYFUNCTION("""COMPUTED_VALUE"""),"Maika Blázquez (Madrid)")</f>
        <v>Maika Blázquez (Madrid)</v>
      </c>
    </row>
    <row r="217" spans="2:16">
      <c r="B217" s="74">
        <f ca="1">IFERROR(__xludf.DUMMYFUNCTION("""COMPUTED_VALUE"""),2026)</f>
        <v>2026</v>
      </c>
      <c r="C217" s="56">
        <f ca="1">IFERROR(__xludf.DUMMYFUNCTION("""COMPUTED_VALUE"""),2)</f>
        <v>2</v>
      </c>
      <c r="D217" s="33" t="str">
        <f ca="1">IFERROR(__xludf.DUMMYFUNCTION("""COMPUTED_VALUE"""),"NO")</f>
        <v>NO</v>
      </c>
      <c r="E217" s="33" t="str">
        <f ca="1">IFERROR(__xludf.DUMMYFUNCTION("""COMPUTED_VALUE"""),"Ourense")</f>
        <v>Ourense</v>
      </c>
      <c r="F217" s="57">
        <f ca="1">IFERROR(__xludf.DUMMYFUNCTION("""COMPUTED_VALUE"""),46076)</f>
        <v>46076</v>
      </c>
      <c r="G217" s="57">
        <f ca="1">IFERROR(__xludf.DUMMYFUNCTION("""COMPUTED_VALUE"""),46036)</f>
        <v>46036</v>
      </c>
      <c r="H217" s="33" t="str">
        <f ca="1">IFERROR(__xludf.DUMMYFUNCTION("""COMPUTED_VALUE"""),"Orense")</f>
        <v>Orense</v>
      </c>
      <c r="I217" s="33" t="str">
        <f ca="1">IFERROR(__xludf.DUMMYFUNCTION("""COMPUTED_VALUE"""),"C202611413754509934")</f>
        <v>C202611413754509934</v>
      </c>
      <c r="J217" s="33" t="str">
        <f ca="1">IFERROR(__xludf.DUMMYFUNCTION("""COMPUTED_VALUE"""),"MARIA ELISA CEBREIRO FERNANDEZ")</f>
        <v>MARIA ELISA CEBREIRO FERNANDEZ</v>
      </c>
      <c r="K217" s="56">
        <f ca="1">IFERROR(__xludf.DUMMYFUNCTION("""COMPUTED_VALUE"""),1)</f>
        <v>1</v>
      </c>
      <c r="L217" s="62">
        <f ca="1">IFERROR(__xludf.DUMMYFUNCTION("""COMPUTED_VALUE"""),2180.91)</f>
        <v>2180.91</v>
      </c>
      <c r="M217" s="33" t="str">
        <f ca="1">IFERROR(__xludf.DUMMYFUNCTION("""COMPUTED_VALUE"""),"03 ORL")</f>
        <v>03 ORL</v>
      </c>
      <c r="N217" s="33" t="str">
        <f ca="1">IFERROR(__xludf.DUMMYFUNCTION("""COMPUTED_VALUE"""),"06 ORL")</f>
        <v>06 ORL</v>
      </c>
      <c r="O217" s="33" t="str">
        <f ca="1">IFERROR(__xludf.DUMMYFUNCTION("""COMPUTED_VALUE"""),"Dra, Ana Quintana Sanjuan")</f>
        <v>Dra, Ana Quintana Sanjuan</v>
      </c>
      <c r="P217" s="33" t="str">
        <f ca="1">IFERROR(__xludf.DUMMYFUNCTION("""COMPUTED_VALUE"""),"Kiko Ortega (Galicia)")</f>
        <v>Kiko Ortega (Galicia)</v>
      </c>
    </row>
    <row r="218" spans="2:16">
      <c r="B218" s="74">
        <f ca="1">IFERROR(__xludf.DUMMYFUNCTION("""COMPUTED_VALUE"""),2026)</f>
        <v>2026</v>
      </c>
      <c r="C218" s="56">
        <f ca="1">IFERROR(__xludf.DUMMYFUNCTION("""COMPUTED_VALUE"""),2)</f>
        <v>2</v>
      </c>
      <c r="D218" s="33" t="str">
        <f ca="1">IFERROR(__xludf.DUMMYFUNCTION("""COMPUTED_VALUE"""),"NO")</f>
        <v>NO</v>
      </c>
      <c r="E218" s="33" t="str">
        <f ca="1">IFERROR(__xludf.DUMMYFUNCTION("""COMPUTED_VALUE"""),"Albacete")</f>
        <v>Albacete</v>
      </c>
      <c r="F218" s="57">
        <f ca="1">IFERROR(__xludf.DUMMYFUNCTION("""COMPUTED_VALUE"""),46076)</f>
        <v>46076</v>
      </c>
      <c r="G218" s="57">
        <f ca="1">IFERROR(__xludf.DUMMYFUNCTION("""COMPUTED_VALUE"""),44909)</f>
        <v>44909</v>
      </c>
      <c r="H218" s="33" t="str">
        <f ca="1">IFERROR(__xludf.DUMMYFUNCTION("""COMPUTED_VALUE"""),"Albacete")</f>
        <v>Albacete</v>
      </c>
      <c r="I218" s="33" t="str">
        <f ca="1">IFERROR(__xludf.DUMMYFUNCTION("""COMPUTED_VALUE"""),"ALB-517")</f>
        <v>ALB-517</v>
      </c>
      <c r="J218" s="33" t="str">
        <f ca="1">IFERROR(__xludf.DUMMYFUNCTION("""COMPUTED_VALUE"""),"CARLOS ENRIQUE POZUELO SOLER")</f>
        <v>CARLOS ENRIQUE POZUELO SOLER</v>
      </c>
      <c r="K218" s="56">
        <f ca="1">IFERROR(__xludf.DUMMYFUNCTION("""COMPUTED_VALUE"""),2)</f>
        <v>2</v>
      </c>
      <c r="L218" s="62">
        <f ca="1">IFERROR(__xludf.DUMMYFUNCTION("""COMPUTED_VALUE"""),3631.82)</f>
        <v>3631.82</v>
      </c>
      <c r="M218" s="33" t="str">
        <f ca="1">IFERROR(__xludf.DUMMYFUNCTION("""COMPUTED_VALUE"""),"03 ORL")</f>
        <v>03 ORL</v>
      </c>
      <c r="N218" s="33" t="str">
        <f ca="1">IFERROR(__xludf.DUMMYFUNCTION("""COMPUTED_VALUE"""),"06 ORL")</f>
        <v>06 ORL</v>
      </c>
      <c r="O218" s="33" t="str">
        <f ca="1">IFERROR(__xludf.DUMMYFUNCTION("""COMPUTED_VALUE"""),"Dra, Alejandra Jara Maquilón")</f>
        <v>Dra, Alejandra Jara Maquilón</v>
      </c>
      <c r="P218" s="33" t="str">
        <f ca="1">IFERROR(__xludf.DUMMYFUNCTION("""COMPUTED_VALUE"""),"Iván Sánchez (Levante y Albacete)")</f>
        <v>Iván Sánchez (Levante y Albacete)</v>
      </c>
    </row>
    <row r="219" spans="2:16">
      <c r="B219" s="74">
        <f ca="1">IFERROR(__xludf.DUMMYFUNCTION("""COMPUTED_VALUE"""),2026)</f>
        <v>2026</v>
      </c>
      <c r="C219" s="56">
        <f ca="1">IFERROR(__xludf.DUMMYFUNCTION("""COMPUTED_VALUE"""),2)</f>
        <v>2</v>
      </c>
      <c r="D219" s="33" t="str">
        <f ca="1">IFERROR(__xludf.DUMMYFUNCTION("""COMPUTED_VALUE"""),"NO")</f>
        <v>NO</v>
      </c>
      <c r="E219" s="33" t="str">
        <f ca="1">IFERROR(__xludf.DUMMYFUNCTION("""COMPUTED_VALUE"""),"Toledo")</f>
        <v>Toledo</v>
      </c>
      <c r="F219" s="57">
        <f ca="1">IFERROR(__xludf.DUMMYFUNCTION("""COMPUTED_VALUE"""),46076)</f>
        <v>46076</v>
      </c>
      <c r="G219" s="57">
        <f ca="1">IFERROR(__xludf.DUMMYFUNCTION("""COMPUTED_VALUE"""),46052)</f>
        <v>46052</v>
      </c>
      <c r="H219" s="33" t="str">
        <f ca="1">IFERROR(__xludf.DUMMYFUNCTION("""COMPUTED_VALUE"""),"Toledo")</f>
        <v>Toledo</v>
      </c>
      <c r="I219" s="33" t="str">
        <f ca="1">IFERROR(__xludf.DUMMYFUNCTION("""COMPUTED_VALUE"""),"C202613012740821037")</f>
        <v>C202613012740821037</v>
      </c>
      <c r="J219" s="33" t="str">
        <f ca="1">IFERROR(__xludf.DUMMYFUNCTION("""COMPUTED_VALUE"""),"Eduardo Segura Paez")</f>
        <v>Eduardo Segura Paez</v>
      </c>
      <c r="K219" s="56">
        <f ca="1">IFERROR(__xludf.DUMMYFUNCTION("""COMPUTED_VALUE"""),2)</f>
        <v>2</v>
      </c>
      <c r="L219" s="62">
        <f ca="1">IFERROR(__xludf.DUMMYFUNCTION("""COMPUTED_VALUE"""),2718.18)</f>
        <v>2718.18</v>
      </c>
      <c r="M219" s="33" t="str">
        <f ca="1">IFERROR(__xludf.DUMMYFUNCTION("""COMPUTED_VALUE"""),"03 ORL")</f>
        <v>03 ORL</v>
      </c>
      <c r="N219" s="33" t="str">
        <f ca="1">IFERROR(__xludf.DUMMYFUNCTION("""COMPUTED_VALUE"""),"06 ORL")</f>
        <v>06 ORL</v>
      </c>
      <c r="O219" s="33" t="str">
        <f ca="1">IFERROR(__xludf.DUMMYFUNCTION("""COMPUTED_VALUE"""),"Dra, María Eva Ruiz de Gauna Martín")</f>
        <v>Dra, María Eva Ruiz de Gauna Martín</v>
      </c>
      <c r="P219" s="33" t="str">
        <f ca="1">IFERROR(__xludf.DUMMYFUNCTION("""COMPUTED_VALUE"""),"Lisandro Russian (Madrid, Cáceres, Toledo, Talavera y Logroño)")</f>
        <v>Lisandro Russian (Madrid, Cáceres, Toledo, Talavera y Logroño)</v>
      </c>
    </row>
    <row r="220" spans="2:16">
      <c r="B220" s="74">
        <f ca="1">IFERROR(__xludf.DUMMYFUNCTION("""COMPUTED_VALUE"""),2026)</f>
        <v>2026</v>
      </c>
      <c r="C220" s="56">
        <f ca="1">IFERROR(__xludf.DUMMYFUNCTION("""COMPUTED_VALUE"""),2)</f>
        <v>2</v>
      </c>
      <c r="D220" s="33" t="str">
        <f ca="1">IFERROR(__xludf.DUMMYFUNCTION("""COMPUTED_VALUE"""),"NO")</f>
        <v>NO</v>
      </c>
      <c r="E220" s="33" t="str">
        <f ca="1">IFERROR(__xludf.DUMMYFUNCTION("""COMPUTED_VALUE"""),"Orihuela")</f>
        <v>Orihuela</v>
      </c>
      <c r="F220" s="57">
        <f ca="1">IFERROR(__xludf.DUMMYFUNCTION("""COMPUTED_VALUE"""),46076)</f>
        <v>46076</v>
      </c>
      <c r="G220" s="57">
        <f ca="1">IFERROR(__xludf.DUMMYFUNCTION("""COMPUTED_VALUE"""),46020)</f>
        <v>46020</v>
      </c>
      <c r="H220" s="33" t="str">
        <f ca="1">IFERROR(__xludf.DUMMYFUNCTION("""COMPUTED_VALUE"""),"La Zenia")</f>
        <v>La Zenia</v>
      </c>
      <c r="I220" s="33" t="str">
        <f ca="1">IFERROR(__xludf.DUMMYFUNCTION("""COMPUTED_VALUE"""),"C202512291515125355")</f>
        <v>C202512291515125355</v>
      </c>
      <c r="J220" s="33" t="str">
        <f ca="1">IFERROR(__xludf.DUMMYFUNCTION("""COMPUTED_VALUE"""),"HORST HERMANN KUDERA")</f>
        <v>HORST HERMANN KUDERA</v>
      </c>
      <c r="K220" s="56">
        <f ca="1">IFERROR(__xludf.DUMMYFUNCTION("""COMPUTED_VALUE"""),2)</f>
        <v>2</v>
      </c>
      <c r="L220" s="62">
        <f ca="1">IFERROR(__xludf.DUMMYFUNCTION("""COMPUTED_VALUE"""),4011.82)</f>
        <v>4011.82</v>
      </c>
      <c r="M220" s="33" t="str">
        <f ca="1">IFERROR(__xludf.DUMMYFUNCTION("""COMPUTED_VALUE"""),"03 ORL")</f>
        <v>03 ORL</v>
      </c>
      <c r="N220" s="33" t="str">
        <f ca="1">IFERROR(__xludf.DUMMYFUNCTION("""COMPUTED_VALUE"""),"06 ORL")</f>
        <v>06 ORL</v>
      </c>
      <c r="O220" s="33" t="str">
        <f ca="1">IFERROR(__xludf.DUMMYFUNCTION("""COMPUTED_VALUE"""),"Dr, Carlos Velásquez Fermín")</f>
        <v>Dr, Carlos Velásquez Fermín</v>
      </c>
      <c r="P220" s="33" t="str">
        <f ca="1">IFERROR(__xludf.DUMMYFUNCTION("""COMPUTED_VALUE"""),"Iván Sánchez (Levante y Albacete)")</f>
        <v>Iván Sánchez (Levante y Albacete)</v>
      </c>
    </row>
    <row r="221" spans="2:16">
      <c r="B221" s="74">
        <f ca="1">IFERROR(__xludf.DUMMYFUNCTION("""COMPUTED_VALUE"""),2026)</f>
        <v>2026</v>
      </c>
      <c r="C221" s="56">
        <f ca="1">IFERROR(__xludf.DUMMYFUNCTION("""COMPUTED_VALUE"""),2)</f>
        <v>2</v>
      </c>
      <c r="D221" s="33" t="str">
        <f ca="1">IFERROR(__xludf.DUMMYFUNCTION("""COMPUTED_VALUE"""),"NO")</f>
        <v>NO</v>
      </c>
      <c r="E221" s="33" t="str">
        <f ca="1">IFERROR(__xludf.DUMMYFUNCTION("""COMPUTED_VALUE"""),"Toledo")</f>
        <v>Toledo</v>
      </c>
      <c r="F221" s="57">
        <f ca="1">IFERROR(__xludf.DUMMYFUNCTION("""COMPUTED_VALUE"""),46076)</f>
        <v>46076</v>
      </c>
      <c r="G221" s="57">
        <f ca="1">IFERROR(__xludf.DUMMYFUNCTION("""COMPUTED_VALUE"""),45280)</f>
        <v>45280</v>
      </c>
      <c r="H221" s="33" t="str">
        <f ca="1">IFERROR(__xludf.DUMMYFUNCTION("""COMPUTED_VALUE"""),"Toledo")</f>
        <v>Toledo</v>
      </c>
      <c r="I221" s="33" t="str">
        <f ca="1">IFERROR(__xludf.DUMMYFUNCTION("""COMPUTED_VALUE"""),"TOL-579")</f>
        <v>TOL-579</v>
      </c>
      <c r="J221" s="33" t="str">
        <f ca="1">IFERROR(__xludf.DUMMYFUNCTION("""COMPUTED_VALUE"""),"ELENA CARRASCO RODRÍGUEZ")</f>
        <v>ELENA CARRASCO RODRÍGUEZ</v>
      </c>
      <c r="K221" s="56">
        <f ca="1">IFERROR(__xludf.DUMMYFUNCTION("""COMPUTED_VALUE"""),1)</f>
        <v>1</v>
      </c>
      <c r="L221" s="62">
        <f ca="1">IFERROR(__xludf.DUMMYFUNCTION("""COMPUTED_VALUE"""),1446.59)</f>
        <v>1446.59</v>
      </c>
      <c r="M221" s="33" t="str">
        <f ca="1">IFERROR(__xludf.DUMMYFUNCTION("""COMPUTED_VALUE"""),"03 ORL")</f>
        <v>03 ORL</v>
      </c>
      <c r="N221" s="33" t="str">
        <f ca="1">IFERROR(__xludf.DUMMYFUNCTION("""COMPUTED_VALUE"""),"06 ORL")</f>
        <v>06 ORL</v>
      </c>
      <c r="O221" s="33" t="str">
        <f ca="1">IFERROR(__xludf.DUMMYFUNCTION("""COMPUTED_VALUE"""),"Dr, Luis Miguel Menéndez Colino")</f>
        <v>Dr, Luis Miguel Menéndez Colino</v>
      </c>
      <c r="P221" s="33" t="str">
        <f ca="1">IFERROR(__xludf.DUMMYFUNCTION("""COMPUTED_VALUE"""),"Lisandro Russian (Madrid, Cáceres, Toledo, Talavera y Logroño)")</f>
        <v>Lisandro Russian (Madrid, Cáceres, Toledo, Talavera y Logroño)</v>
      </c>
    </row>
    <row r="222" spans="2:16">
      <c r="B222" s="74">
        <f ca="1">IFERROR(__xludf.DUMMYFUNCTION("""COMPUTED_VALUE"""),2026)</f>
        <v>2026</v>
      </c>
      <c r="C222" s="56">
        <f ca="1">IFERROR(__xludf.DUMMYFUNCTION("""COMPUTED_VALUE"""),2)</f>
        <v>2</v>
      </c>
      <c r="D222" s="33" t="str">
        <f ca="1">IFERROR(__xludf.DUMMYFUNCTION("""COMPUTED_VALUE"""),"NO")</f>
        <v>NO</v>
      </c>
      <c r="E222" s="33" t="str">
        <f ca="1">IFERROR(__xludf.DUMMYFUNCTION("""COMPUTED_VALUE"""),"Valladolid")</f>
        <v>Valladolid</v>
      </c>
      <c r="F222" s="57">
        <f ca="1">IFERROR(__xludf.DUMMYFUNCTION("""COMPUTED_VALUE"""),46076)</f>
        <v>46076</v>
      </c>
      <c r="G222" s="57">
        <f ca="1">IFERROR(__xludf.DUMMYFUNCTION("""COMPUTED_VALUE"""),46020)</f>
        <v>46020</v>
      </c>
      <c r="H222" s="33" t="str">
        <f ca="1">IFERROR(__xludf.DUMMYFUNCTION("""COMPUTED_VALUE"""),"Valladolid")</f>
        <v>Valladolid</v>
      </c>
      <c r="I222" s="33" t="str">
        <f ca="1">IFERROR(__xludf.DUMMYFUNCTION("""COMPUTED_VALUE"""),"C202512291733414502")</f>
        <v>C202512291733414502</v>
      </c>
      <c r="J222" s="33" t="str">
        <f ca="1">IFERROR(__xludf.DUMMYFUNCTION("""COMPUTED_VALUE"""),"MARIA ANGELES NEGRO VALLECILLO")</f>
        <v>MARIA ANGELES NEGRO VALLECILLO</v>
      </c>
      <c r="K222" s="56">
        <f ca="1">IFERROR(__xludf.DUMMYFUNCTION("""COMPUTED_VALUE"""),2)</f>
        <v>2</v>
      </c>
      <c r="L222" s="62">
        <f ca="1">IFERROR(__xludf.DUMMYFUNCTION("""COMPUTED_VALUE"""),4431.82)</f>
        <v>4431.82</v>
      </c>
      <c r="M222" s="33" t="str">
        <f ca="1">IFERROR(__xludf.DUMMYFUNCTION("""COMPUTED_VALUE"""),"03 ORL")</f>
        <v>03 ORL</v>
      </c>
      <c r="N222" s="33" t="str">
        <f ca="1">IFERROR(__xludf.DUMMYFUNCTION("""COMPUTED_VALUE"""),"06 ORL")</f>
        <v>06 ORL</v>
      </c>
      <c r="O222" s="33" t="str">
        <f ca="1">IFERROR(__xludf.DUMMYFUNCTION("""COMPUTED_VALUE"""),"Dra, Ana Fernández Rodríguez")</f>
        <v>Dra, Ana Fernández Rodríguez</v>
      </c>
      <c r="P222" s="33" t="str">
        <f ca="1">IFERROR(__xludf.DUMMYFUNCTION("""COMPUTED_VALUE"""),"Alberto Moreno (Madrid)")</f>
        <v>Alberto Moreno (Madrid)</v>
      </c>
    </row>
    <row r="223" spans="2:16">
      <c r="B223" s="74">
        <f ca="1">IFERROR(__xludf.DUMMYFUNCTION("""COMPUTED_VALUE"""),2026)</f>
        <v>2026</v>
      </c>
      <c r="C223" s="56">
        <f ca="1">IFERROR(__xludf.DUMMYFUNCTION("""COMPUTED_VALUE"""),2)</f>
        <v>2</v>
      </c>
      <c r="D223" s="33" t="str">
        <f ca="1">IFERROR(__xludf.DUMMYFUNCTION("""COMPUTED_VALUE"""),"NO")</f>
        <v>NO</v>
      </c>
      <c r="E223" s="33" t="str">
        <f ca="1">IFERROR(__xludf.DUMMYFUNCTION("""COMPUTED_VALUE"""),"Valencia- Cádiz")</f>
        <v>Valencia- Cádiz</v>
      </c>
      <c r="F223" s="57">
        <f ca="1">IFERROR(__xludf.DUMMYFUNCTION("""COMPUTED_VALUE"""),46076)</f>
        <v>46076</v>
      </c>
      <c r="G223" s="57">
        <f ca="1">IFERROR(__xludf.DUMMYFUNCTION("""COMPUTED_VALUE"""),46034)</f>
        <v>46034</v>
      </c>
      <c r="H223" s="33" t="str">
        <f ca="1">IFERROR(__xludf.DUMMYFUNCTION("""COMPUTED_VALUE"""),"Valencia- Cádiz")</f>
        <v>Valencia- Cádiz</v>
      </c>
      <c r="I223" s="33" t="str">
        <f ca="1">IFERROR(__xludf.DUMMYFUNCTION("""COMPUTED_VALUE"""),"C202611210232134460")</f>
        <v>C202611210232134460</v>
      </c>
      <c r="J223" s="33" t="str">
        <f ca="1">IFERROR(__xludf.DUMMYFUNCTION("""COMPUTED_VALUE"""),"ANTONIO MARTINEZ NAVARRO")</f>
        <v>ANTONIO MARTINEZ NAVARRO</v>
      </c>
      <c r="K223" s="56">
        <f ca="1">IFERROR(__xludf.DUMMYFUNCTION("""COMPUTED_VALUE"""),2)</f>
        <v>2</v>
      </c>
      <c r="L223" s="62">
        <f ca="1">IFERROR(__xludf.DUMMYFUNCTION("""COMPUTED_VALUE"""),2718.18)</f>
        <v>2718.18</v>
      </c>
      <c r="M223" s="33" t="str">
        <f ca="1">IFERROR(__xludf.DUMMYFUNCTION("""COMPUTED_VALUE"""),"03 ORL")</f>
        <v>03 ORL</v>
      </c>
      <c r="N223" s="33" t="str">
        <f ca="1">IFERROR(__xludf.DUMMYFUNCTION("""COMPUTED_VALUE"""),"06 ORL")</f>
        <v>06 ORL</v>
      </c>
      <c r="O223" s="33" t="str">
        <f ca="1">IFERROR(__xludf.DUMMYFUNCTION("""COMPUTED_VALUE"""),"Dra, Ainhoa García-Lliberos de Miguel")</f>
        <v>Dra, Ainhoa García-Lliberos de Miguel</v>
      </c>
      <c r="P223" s="33" t="str">
        <f ca="1">IFERROR(__xludf.DUMMYFUNCTION("""COMPUTED_VALUE"""),"Ramon Ferrando(Valencia)")</f>
        <v>Ramon Ferrando(Valencia)</v>
      </c>
    </row>
    <row r="224" spans="2:16">
      <c r="B224" s="74">
        <f ca="1">IFERROR(__xludf.DUMMYFUNCTION("""COMPUTED_VALUE"""),2026)</f>
        <v>2026</v>
      </c>
      <c r="C224" s="56">
        <f ca="1">IFERROR(__xludf.DUMMYFUNCTION("""COMPUTED_VALUE"""),2)</f>
        <v>2</v>
      </c>
      <c r="D224" s="33" t="str">
        <f ca="1">IFERROR(__xludf.DUMMYFUNCTION("""COMPUTED_VALUE"""),"NO")</f>
        <v>NO</v>
      </c>
      <c r="E224" s="33" t="str">
        <f ca="1">IFERROR(__xludf.DUMMYFUNCTION("""COMPUTED_VALUE"""),"Valencia- Parra")</f>
        <v>Valencia- Parra</v>
      </c>
      <c r="F224" s="57">
        <f ca="1">IFERROR(__xludf.DUMMYFUNCTION("""COMPUTED_VALUE"""),46077)</f>
        <v>46077</v>
      </c>
      <c r="G224" s="57">
        <f ca="1">IFERROR(__xludf.DUMMYFUNCTION("""COMPUTED_VALUE"""),46006)</f>
        <v>46006</v>
      </c>
      <c r="H224" s="33" t="str">
        <f ca="1">IFERROR(__xludf.DUMMYFUNCTION("""COMPUTED_VALUE"""),"Valencia- Parra")</f>
        <v>Valencia- Parra</v>
      </c>
      <c r="I224" s="33" t="str">
        <f ca="1">IFERROR(__xludf.DUMMYFUNCTION("""COMPUTED_VALUE"""),"C202512159325964174")</f>
        <v>C202512159325964174</v>
      </c>
      <c r="J224" s="33" t="str">
        <f ca="1">IFERROR(__xludf.DUMMYFUNCTION("""COMPUTED_VALUE"""),"ENCARNA GOMEZ LORENTE")</f>
        <v>ENCARNA GOMEZ LORENTE</v>
      </c>
      <c r="K224" s="56">
        <f ca="1">IFERROR(__xludf.DUMMYFUNCTION("""COMPUTED_VALUE"""),2)</f>
        <v>2</v>
      </c>
      <c r="L224" s="62">
        <f ca="1">IFERROR(__xludf.DUMMYFUNCTION("""COMPUTED_VALUE"""),4400)</f>
        <v>4400</v>
      </c>
      <c r="M224" s="33" t="str">
        <f ca="1">IFERROR(__xludf.DUMMYFUNCTION("""COMPUTED_VALUE"""),"03 ORL")</f>
        <v>03 ORL</v>
      </c>
      <c r="N224" s="33" t="str">
        <f ca="1">IFERROR(__xludf.DUMMYFUNCTION("""COMPUTED_VALUE"""),"06 ORL")</f>
        <v>06 ORL</v>
      </c>
      <c r="O224" s="33" t="str">
        <f ca="1">IFERROR(__xludf.DUMMYFUNCTION("""COMPUTED_VALUE"""),"No recuerda ORL")</f>
        <v>No recuerda ORL</v>
      </c>
      <c r="P224" s="33" t="str">
        <f ca="1">IFERROR(__xludf.DUMMYFUNCTION("""COMPUTED_VALUE"""),"Ramon Ferrando(Valencia)")</f>
        <v>Ramon Ferrando(Valencia)</v>
      </c>
    </row>
    <row r="225" spans="2:16">
      <c r="B225" s="74">
        <f ca="1">IFERROR(__xludf.DUMMYFUNCTION("""COMPUTED_VALUE"""),2026)</f>
        <v>2026</v>
      </c>
      <c r="C225" s="56">
        <f ca="1">IFERROR(__xludf.DUMMYFUNCTION("""COMPUTED_VALUE"""),2)</f>
        <v>2</v>
      </c>
      <c r="D225" s="33" t="str">
        <f ca="1">IFERROR(__xludf.DUMMYFUNCTION("""COMPUTED_VALUE"""),"NO")</f>
        <v>NO</v>
      </c>
      <c r="E225" s="33" t="str">
        <f ca="1">IFERROR(__xludf.DUMMYFUNCTION("""COMPUTED_VALUE"""),"Alicante")</f>
        <v>Alicante</v>
      </c>
      <c r="F225" s="57">
        <f ca="1">IFERROR(__xludf.DUMMYFUNCTION("""COMPUTED_VALUE"""),46077)</f>
        <v>46077</v>
      </c>
      <c r="G225" s="57">
        <f ca="1">IFERROR(__xludf.DUMMYFUNCTION("""COMPUTED_VALUE"""),46049)</f>
        <v>46049</v>
      </c>
      <c r="H225" s="33" t="str">
        <f ca="1">IFERROR(__xludf.DUMMYFUNCTION("""COMPUTED_VALUE"""),"Alicante")</f>
        <v>Alicante</v>
      </c>
      <c r="I225" s="33" t="str">
        <f ca="1">IFERROR(__xludf.DUMMYFUNCTION("""COMPUTED_VALUE"""),"C202612792335023888")</f>
        <v>C202612792335023888</v>
      </c>
      <c r="J225" s="33" t="str">
        <f ca="1">IFERROR(__xludf.DUMMYFUNCTION("""COMPUTED_VALUE"""),"JOSE ANTONIO SERRA AGULLO")</f>
        <v>JOSE ANTONIO SERRA AGULLO</v>
      </c>
      <c r="K225" s="56">
        <f ca="1">IFERROR(__xludf.DUMMYFUNCTION("""COMPUTED_VALUE"""),1)</f>
        <v>1</v>
      </c>
      <c r="L225" s="62">
        <f ca="1">IFERROR(__xludf.DUMMYFUNCTION("""COMPUTED_VALUE"""),2481.82)</f>
        <v>2481.8200000000002</v>
      </c>
      <c r="M225" s="33" t="str">
        <f ca="1">IFERROR(__xludf.DUMMYFUNCTION("""COMPUTED_VALUE"""),"03 ORL")</f>
        <v>03 ORL</v>
      </c>
      <c r="N225" s="33" t="str">
        <f ca="1">IFERROR(__xludf.DUMMYFUNCTION("""COMPUTED_VALUE"""),"06 ORL")</f>
        <v>06 ORL</v>
      </c>
      <c r="O225" s="33" t="str">
        <f ca="1">IFERROR(__xludf.DUMMYFUNCTION("""COMPUTED_VALUE"""),"Dr, Francisco Pastor Beviá")</f>
        <v>Dr, Francisco Pastor Beviá</v>
      </c>
      <c r="P225" s="33" t="str">
        <f ca="1">IFERROR(__xludf.DUMMYFUNCTION("""COMPUTED_VALUE"""),"Iván Sánchez (Levante y Albacete)")</f>
        <v>Iván Sánchez (Levante y Albacete)</v>
      </c>
    </row>
    <row r="226" spans="2:16">
      <c r="B226" s="74">
        <f ca="1">IFERROR(__xludf.DUMMYFUNCTION("""COMPUTED_VALUE"""),2026)</f>
        <v>2026</v>
      </c>
      <c r="C226" s="56">
        <f ca="1">IFERROR(__xludf.DUMMYFUNCTION("""COMPUTED_VALUE"""),2)</f>
        <v>2</v>
      </c>
      <c r="D226" s="33" t="str">
        <f ca="1">IFERROR(__xludf.DUMMYFUNCTION("""COMPUTED_VALUE"""),"NO")</f>
        <v>NO</v>
      </c>
      <c r="E226" s="33" t="str">
        <f ca="1">IFERROR(__xludf.DUMMYFUNCTION("""COMPUTED_VALUE"""),"El Albir (Benidorm)")</f>
        <v>El Albir (Benidorm)</v>
      </c>
      <c r="F226" s="57">
        <f ca="1">IFERROR(__xludf.DUMMYFUNCTION("""COMPUTED_VALUE"""),46077)</f>
        <v>46077</v>
      </c>
      <c r="G226" s="57">
        <f ca="1">IFERROR(__xludf.DUMMYFUNCTION("""COMPUTED_VALUE"""),46043)</f>
        <v>46043</v>
      </c>
      <c r="H226" s="33" t="str">
        <f ca="1">IFERROR(__xludf.DUMMYFUNCTION("""COMPUTED_VALUE"""),"El Albir (Benidorm)")</f>
        <v>El Albir (Benidorm)</v>
      </c>
      <c r="I226" s="33" t="str">
        <f ca="1">IFERROR(__xludf.DUMMYFUNCTION("""COMPUTED_VALUE"""),"C202612111181255673")</f>
        <v>C202612111181255673</v>
      </c>
      <c r="J226" s="33" t="str">
        <f ca="1">IFERROR(__xludf.DUMMYFUNCTION("""COMPUTED_VALUE"""),"EUSEBIO DURAN POLAINO")</f>
        <v>EUSEBIO DURAN POLAINO</v>
      </c>
      <c r="K226" s="56">
        <f ca="1">IFERROR(__xludf.DUMMYFUNCTION("""COMPUTED_VALUE"""),2)</f>
        <v>2</v>
      </c>
      <c r="L226" s="62">
        <f ca="1">IFERROR(__xludf.DUMMYFUNCTION("""COMPUTED_VALUE"""),4136.36)</f>
        <v>4136.3599999999997</v>
      </c>
      <c r="M226" s="33" t="str">
        <f ca="1">IFERROR(__xludf.DUMMYFUNCTION("""COMPUTED_VALUE"""),"03 ORL")</f>
        <v>03 ORL</v>
      </c>
      <c r="N226" s="33" t="str">
        <f ca="1">IFERROR(__xludf.DUMMYFUNCTION("""COMPUTED_VALUE"""),"06 ORL")</f>
        <v>06 ORL</v>
      </c>
      <c r="O226" s="33" t="str">
        <f ca="1">IFERROR(__xludf.DUMMYFUNCTION("""COMPUTED_VALUE"""),"Dr, José María Laborda Margolles")</f>
        <v>Dr, José María Laborda Margolles</v>
      </c>
      <c r="P226" s="33" t="str">
        <f ca="1">IFERROR(__xludf.DUMMYFUNCTION("""COMPUTED_VALUE"""),"Ramon Ferrando(Valencia)")</f>
        <v>Ramon Ferrando(Valencia)</v>
      </c>
    </row>
    <row r="227" spans="2:16">
      <c r="B227" s="74">
        <f ca="1">IFERROR(__xludf.DUMMYFUNCTION("""COMPUTED_VALUE"""),2026)</f>
        <v>2026</v>
      </c>
      <c r="C227" s="56">
        <f ca="1">IFERROR(__xludf.DUMMYFUNCTION("""COMPUTED_VALUE"""),2)</f>
        <v>2</v>
      </c>
      <c r="D227" s="33" t="str">
        <f ca="1">IFERROR(__xludf.DUMMYFUNCTION("""COMPUTED_VALUE"""),"NO")</f>
        <v>NO</v>
      </c>
      <c r="E227" s="33" t="str">
        <f ca="1">IFERROR(__xludf.DUMMYFUNCTION("""COMPUTED_VALUE"""),"San Javier")</f>
        <v>San Javier</v>
      </c>
      <c r="F227" s="57">
        <f ca="1">IFERROR(__xludf.DUMMYFUNCTION("""COMPUTED_VALUE"""),46077)</f>
        <v>46077</v>
      </c>
      <c r="G227" s="57">
        <f ca="1">IFERROR(__xludf.DUMMYFUNCTION("""COMPUTED_VALUE"""),46063)</f>
        <v>46063</v>
      </c>
      <c r="H227" s="33" t="str">
        <f ca="1">IFERROR(__xludf.DUMMYFUNCTION("""COMPUTED_VALUE"""),"San Javier")</f>
        <v>San Javier</v>
      </c>
      <c r="I227" s="33" t="str">
        <f ca="1">IFERROR(__xludf.DUMMYFUNCTION("""COMPUTED_VALUE"""),"C20262109335839729")</f>
        <v>C20262109335839729</v>
      </c>
      <c r="J227" s="33" t="str">
        <f ca="1">IFERROR(__xludf.DUMMYFUNCTION("""COMPUTED_VALUE"""),"JOSE ANTONIO SANCHEZ LORCA")</f>
        <v>JOSE ANTONIO SANCHEZ LORCA</v>
      </c>
      <c r="K227" s="56">
        <f ca="1">IFERROR(__xludf.DUMMYFUNCTION("""COMPUTED_VALUE"""),2)</f>
        <v>2</v>
      </c>
      <c r="L227" s="62">
        <f ca="1">IFERROR(__xludf.DUMMYFUNCTION("""COMPUTED_VALUE"""),3631.82)</f>
        <v>3631.82</v>
      </c>
      <c r="M227" s="33" t="str">
        <f ca="1">IFERROR(__xludf.DUMMYFUNCTION("""COMPUTED_VALUE"""),"03 ORL")</f>
        <v>03 ORL</v>
      </c>
      <c r="N227" s="33" t="str">
        <f ca="1">IFERROR(__xludf.DUMMYFUNCTION("""COMPUTED_VALUE"""),"06 ORL")</f>
        <v>06 ORL</v>
      </c>
      <c r="O227" s="33" t="str">
        <f ca="1">IFERROR(__xludf.DUMMYFUNCTION("""COMPUTED_VALUE"""),"Dr, Dinis Antunes Silva")</f>
        <v>Dr, Dinis Antunes Silva</v>
      </c>
      <c r="P227" s="33" t="str">
        <f ca="1">IFERROR(__xludf.DUMMYFUNCTION("""COMPUTED_VALUE"""),"Iván Sánchez (Levante y Albacete)")</f>
        <v>Iván Sánchez (Levante y Albacete)</v>
      </c>
    </row>
    <row r="228" spans="2:16">
      <c r="B228" s="74">
        <f ca="1">IFERROR(__xludf.DUMMYFUNCTION("""COMPUTED_VALUE"""),2026)</f>
        <v>2026</v>
      </c>
      <c r="C228" s="56">
        <f ca="1">IFERROR(__xludf.DUMMYFUNCTION("""COMPUTED_VALUE"""),2)</f>
        <v>2</v>
      </c>
      <c r="D228" s="33" t="str">
        <f ca="1">IFERROR(__xludf.DUMMYFUNCTION("""COMPUTED_VALUE"""),"NO")</f>
        <v>NO</v>
      </c>
      <c r="E228" s="33" t="str">
        <f ca="1">IFERROR(__xludf.DUMMYFUNCTION("""COMPUTED_VALUE"""),"Madrid- Juan Bravo")</f>
        <v>Madrid- Juan Bravo</v>
      </c>
      <c r="F228" s="57">
        <f ca="1">IFERROR(__xludf.DUMMYFUNCTION("""COMPUTED_VALUE"""),46077)</f>
        <v>46077</v>
      </c>
      <c r="G228" s="57">
        <f ca="1">IFERROR(__xludf.DUMMYFUNCTION("""COMPUTED_VALUE"""),46034)</f>
        <v>46034</v>
      </c>
      <c r="H228" s="33" t="str">
        <f ca="1">IFERROR(__xludf.DUMMYFUNCTION("""COMPUTED_VALUE"""),"Juan Bravo")</f>
        <v>Juan Bravo</v>
      </c>
      <c r="I228" s="33" t="str">
        <f ca="1">IFERROR(__xludf.DUMMYFUNCTION("""COMPUTED_VALUE"""),"C202611283024414467")</f>
        <v>C202611283024414467</v>
      </c>
      <c r="J228" s="33" t="str">
        <f ca="1">IFERROR(__xludf.DUMMYFUNCTION("""COMPUTED_VALUE"""),"MANUELA  PERTIERRA ALVAREZ")</f>
        <v>MANUELA  PERTIERRA ALVAREZ</v>
      </c>
      <c r="K228" s="56">
        <f ca="1">IFERROR(__xludf.DUMMYFUNCTION("""COMPUTED_VALUE"""),2)</f>
        <v>2</v>
      </c>
      <c r="L228" s="62">
        <f ca="1">IFERROR(__xludf.DUMMYFUNCTION("""COMPUTED_VALUE"""),2581.82)</f>
        <v>2581.8200000000002</v>
      </c>
      <c r="M228" s="33" t="str">
        <f ca="1">IFERROR(__xludf.DUMMYFUNCTION("""COMPUTED_VALUE"""),"03 ORL")</f>
        <v>03 ORL</v>
      </c>
      <c r="N228" s="33" t="str">
        <f ca="1">IFERROR(__xludf.DUMMYFUNCTION("""COMPUTED_VALUE"""),"06 ORL")</f>
        <v>06 ORL</v>
      </c>
      <c r="O228" s="33" t="str">
        <f ca="1">IFERROR(__xludf.DUMMYFUNCTION("""COMPUTED_VALUE"""),"Dra, Helena Moreno Pardo")</f>
        <v>Dra, Helena Moreno Pardo</v>
      </c>
      <c r="P228" s="33" t="str">
        <f ca="1">IFERROR(__xludf.DUMMYFUNCTION("""COMPUTED_VALUE"""),"Maika Blázquez (Madrid)")</f>
        <v>Maika Blázquez (Madrid)</v>
      </c>
    </row>
    <row r="229" spans="2:16">
      <c r="B229" s="74">
        <f ca="1">IFERROR(__xludf.DUMMYFUNCTION("""COMPUTED_VALUE"""),2026)</f>
        <v>2026</v>
      </c>
      <c r="C229" s="56">
        <f ca="1">IFERROR(__xludf.DUMMYFUNCTION("""COMPUTED_VALUE"""),2)</f>
        <v>2</v>
      </c>
      <c r="D229" s="33" t="str">
        <f ca="1">IFERROR(__xludf.DUMMYFUNCTION("""COMPUTED_VALUE"""),"NO")</f>
        <v>NO</v>
      </c>
      <c r="E229" s="33" t="str">
        <f ca="1">IFERROR(__xludf.DUMMYFUNCTION("""COMPUTED_VALUE"""),"El Albir (Benidorm)")</f>
        <v>El Albir (Benidorm)</v>
      </c>
      <c r="F229" s="57">
        <f ca="1">IFERROR(__xludf.DUMMYFUNCTION("""COMPUTED_VALUE"""),46077)</f>
        <v>46077</v>
      </c>
      <c r="G229" s="57">
        <f ca="1">IFERROR(__xludf.DUMMYFUNCTION("""COMPUTED_VALUE"""),46001)</f>
        <v>46001</v>
      </c>
      <c r="H229" s="33" t="str">
        <f ca="1">IFERROR(__xludf.DUMMYFUNCTION("""COMPUTED_VALUE"""),"El Albir (Benidorm)")</f>
        <v>El Albir (Benidorm)</v>
      </c>
      <c r="I229" s="33" t="str">
        <f ca="1">IFERROR(__xludf.DUMMYFUNCTION("""COMPUTED_VALUE"""),"C202512101113257912")</f>
        <v>C202512101113257912</v>
      </c>
      <c r="J229" s="33" t="str">
        <f ca="1">IFERROR(__xludf.DUMMYFUNCTION("""COMPUTED_VALUE"""),"IVAN  DE LA OSSA RODRIGUEZ")</f>
        <v>IVAN  DE LA OSSA RODRIGUEZ</v>
      </c>
      <c r="K229" s="56">
        <f ca="1">IFERROR(__xludf.DUMMYFUNCTION("""COMPUTED_VALUE"""),2)</f>
        <v>2</v>
      </c>
      <c r="L229" s="62">
        <f ca="1">IFERROR(__xludf.DUMMYFUNCTION("""COMPUTED_VALUE"""),2582.27)</f>
        <v>2582.27</v>
      </c>
      <c r="M229" s="33" t="str">
        <f ca="1">IFERROR(__xludf.DUMMYFUNCTION("""COMPUTED_VALUE"""),"03 ORL")</f>
        <v>03 ORL</v>
      </c>
      <c r="N229" s="33" t="str">
        <f ca="1">IFERROR(__xludf.DUMMYFUNCTION("""COMPUTED_VALUE"""),"06 ORL")</f>
        <v>06 ORL</v>
      </c>
      <c r="O229" s="33" t="str">
        <f ca="1">IFERROR(__xludf.DUMMYFUNCTION("""COMPUTED_VALUE"""),"Dr, José María Laborda Margolles")</f>
        <v>Dr, José María Laborda Margolles</v>
      </c>
      <c r="P229" s="33" t="str">
        <f ca="1">IFERROR(__xludf.DUMMYFUNCTION("""COMPUTED_VALUE"""),"Ramon Ferrando(Valencia)")</f>
        <v>Ramon Ferrando(Valencia)</v>
      </c>
    </row>
    <row r="230" spans="2:16">
      <c r="B230" s="74">
        <f ca="1">IFERROR(__xludf.DUMMYFUNCTION("""COMPUTED_VALUE"""),2026)</f>
        <v>2026</v>
      </c>
      <c r="C230" s="56">
        <f ca="1">IFERROR(__xludf.DUMMYFUNCTION("""COMPUTED_VALUE"""),2)</f>
        <v>2</v>
      </c>
      <c r="D230" s="33" t="str">
        <f ca="1">IFERROR(__xludf.DUMMYFUNCTION("""COMPUTED_VALUE"""),"NO")</f>
        <v>NO</v>
      </c>
      <c r="E230" s="33" t="str">
        <f ca="1">IFERROR(__xludf.DUMMYFUNCTION("""COMPUTED_VALUE"""),"Murcia")</f>
        <v>Murcia</v>
      </c>
      <c r="F230" s="57">
        <f ca="1">IFERROR(__xludf.DUMMYFUNCTION("""COMPUTED_VALUE"""),46077)</f>
        <v>46077</v>
      </c>
      <c r="G230" s="57">
        <f ca="1">IFERROR(__xludf.DUMMYFUNCTION("""COMPUTED_VALUE"""),46031)</f>
        <v>46031</v>
      </c>
      <c r="H230" s="33" t="str">
        <f ca="1">IFERROR(__xludf.DUMMYFUNCTION("""COMPUTED_VALUE"""),"Murcia")</f>
        <v>Murcia</v>
      </c>
      <c r="I230" s="33" t="str">
        <f ca="1">IFERROR(__xludf.DUMMYFUNCTION("""COMPUTED_VALUE"""),"C202619101846200563")</f>
        <v>C202619101846200563</v>
      </c>
      <c r="J230" s="33" t="str">
        <f ca="1">IFERROR(__xludf.DUMMYFUNCTION("""COMPUTED_VALUE"""),"JUAN ANTONIO PUIG TRULLEN")</f>
        <v>JUAN ANTONIO PUIG TRULLEN</v>
      </c>
      <c r="K230" s="56">
        <f ca="1">IFERROR(__xludf.DUMMYFUNCTION("""COMPUTED_VALUE"""),2)</f>
        <v>2</v>
      </c>
      <c r="L230" s="62">
        <f ca="1">IFERROR(__xludf.DUMMYFUNCTION("""COMPUTED_VALUE"""),2718.18)</f>
        <v>2718.18</v>
      </c>
      <c r="M230" s="33" t="str">
        <f ca="1">IFERROR(__xludf.DUMMYFUNCTION("""COMPUTED_VALUE"""),"03 ORL")</f>
        <v>03 ORL</v>
      </c>
      <c r="N230" s="33" t="str">
        <f ca="1">IFERROR(__xludf.DUMMYFUNCTION("""COMPUTED_VALUE"""),"06 ORL")</f>
        <v>06 ORL</v>
      </c>
      <c r="O230" s="33" t="str">
        <f ca="1">IFERROR(__xludf.DUMMYFUNCTION("""COMPUTED_VALUE"""),"Dra, María Agustina Sevilla García")</f>
        <v>Dra, María Agustina Sevilla García</v>
      </c>
      <c r="P230" s="33" t="str">
        <f ca="1">IFERROR(__xludf.DUMMYFUNCTION("""COMPUTED_VALUE"""),"Iván Sánchez (Levante y Albacete)")</f>
        <v>Iván Sánchez (Levante y Albacete)</v>
      </c>
    </row>
    <row r="231" spans="2:16">
      <c r="B231" s="74">
        <f ca="1">IFERROR(__xludf.DUMMYFUNCTION("""COMPUTED_VALUE"""),2026)</f>
        <v>2026</v>
      </c>
      <c r="C231" s="56">
        <f ca="1">IFERROR(__xludf.DUMMYFUNCTION("""COMPUTED_VALUE"""),2)</f>
        <v>2</v>
      </c>
      <c r="D231" s="33" t="str">
        <f ca="1">IFERROR(__xludf.DUMMYFUNCTION("""COMPUTED_VALUE"""),"NO")</f>
        <v>NO</v>
      </c>
      <c r="E231" s="33" t="str">
        <f ca="1">IFERROR(__xludf.DUMMYFUNCTION("""COMPUTED_VALUE"""),"Valladolid")</f>
        <v>Valladolid</v>
      </c>
      <c r="F231" s="57">
        <f ca="1">IFERROR(__xludf.DUMMYFUNCTION("""COMPUTED_VALUE"""),46077)</f>
        <v>46077</v>
      </c>
      <c r="G231" s="57">
        <f ca="1">IFERROR(__xludf.DUMMYFUNCTION("""COMPUTED_VALUE"""),46003)</f>
        <v>46003</v>
      </c>
      <c r="H231" s="33" t="str">
        <f ca="1">IFERROR(__xludf.DUMMYFUNCTION("""COMPUTED_VALUE"""),"Valladolid")</f>
        <v>Valladolid</v>
      </c>
      <c r="I231" s="33" t="str">
        <f ca="1">IFERROR(__xludf.DUMMYFUNCTION("""COMPUTED_VALUE"""),"C202512121543130386")</f>
        <v>C202512121543130386</v>
      </c>
      <c r="J231" s="33" t="str">
        <f ca="1">IFERROR(__xludf.DUMMYFUNCTION("""COMPUTED_VALUE"""),"FRANCISCO JAVIER PÉREZ PÉREZ")</f>
        <v>FRANCISCO JAVIER PÉREZ PÉREZ</v>
      </c>
      <c r="K231" s="56">
        <f ca="1">IFERROR(__xludf.DUMMYFUNCTION("""COMPUTED_VALUE"""),2)</f>
        <v>2</v>
      </c>
      <c r="L231" s="62">
        <f ca="1">IFERROR(__xludf.DUMMYFUNCTION("""COMPUTED_VALUE"""),3977.27)</f>
        <v>3977.27</v>
      </c>
      <c r="M231" s="33" t="str">
        <f ca="1">IFERROR(__xludf.DUMMYFUNCTION("""COMPUTED_VALUE"""),"03 ORL")</f>
        <v>03 ORL</v>
      </c>
      <c r="N231" s="33" t="str">
        <f ca="1">IFERROR(__xludf.DUMMYFUNCTION("""COMPUTED_VALUE"""),"06 ORL")</f>
        <v>06 ORL</v>
      </c>
      <c r="O231" s="33" t="str">
        <f ca="1">IFERROR(__xludf.DUMMYFUNCTION("""COMPUTED_VALUE"""),"Dra, Marina Madrigal Revuelta")</f>
        <v>Dra, Marina Madrigal Revuelta</v>
      </c>
      <c r="P231" s="33" t="str">
        <f ca="1">IFERROR(__xludf.DUMMYFUNCTION("""COMPUTED_VALUE"""),"Alberto Moreno (Madrid)")</f>
        <v>Alberto Moreno (Madrid)</v>
      </c>
    </row>
    <row r="232" spans="2:16">
      <c r="B232" s="74">
        <f ca="1">IFERROR(__xludf.DUMMYFUNCTION("""COMPUTED_VALUE"""),2026)</f>
        <v>2026</v>
      </c>
      <c r="C232" s="56">
        <f ca="1">IFERROR(__xludf.DUMMYFUNCTION("""COMPUTED_VALUE"""),2)</f>
        <v>2</v>
      </c>
      <c r="D232" s="33" t="str">
        <f ca="1">IFERROR(__xludf.DUMMYFUNCTION("""COMPUTED_VALUE"""),"NO")</f>
        <v>NO</v>
      </c>
      <c r="E232" s="33" t="str">
        <f ca="1">IFERROR(__xludf.DUMMYFUNCTION("""COMPUTED_VALUE"""),"Madrid- La Oca")</f>
        <v>Madrid- La Oca</v>
      </c>
      <c r="F232" s="57">
        <f ca="1">IFERROR(__xludf.DUMMYFUNCTION("""COMPUTED_VALUE"""),46077)</f>
        <v>46077</v>
      </c>
      <c r="G232" s="57">
        <f ca="1">IFERROR(__xludf.DUMMYFUNCTION("""COMPUTED_VALUE"""),46041)</f>
        <v>46041</v>
      </c>
      <c r="H232" s="33" t="str">
        <f ca="1">IFERROR(__xludf.DUMMYFUNCTION("""COMPUTED_VALUE"""),"La Oca")</f>
        <v>La Oca</v>
      </c>
      <c r="I232" s="33" t="str">
        <f ca="1">IFERROR(__xludf.DUMMYFUNCTION("""COMPUTED_VALUE"""),"C202611917564591568")</f>
        <v>C202611917564591568</v>
      </c>
      <c r="J232" s="33" t="str">
        <f ca="1">IFERROR(__xludf.DUMMYFUNCTION("""COMPUTED_VALUE"""),"MANUEL MARTINEZ MARTINEZ")</f>
        <v>MANUEL MARTINEZ MARTINEZ</v>
      </c>
      <c r="K232" s="56">
        <f ca="1">IFERROR(__xludf.DUMMYFUNCTION("""COMPUTED_VALUE"""),2)</f>
        <v>2</v>
      </c>
      <c r="L232" s="62">
        <f ca="1">IFERROR(__xludf.DUMMYFUNCTION("""COMPUTED_VALUE"""),2718.18)</f>
        <v>2718.18</v>
      </c>
      <c r="M232" s="33" t="str">
        <f ca="1">IFERROR(__xludf.DUMMYFUNCTION("""COMPUTED_VALUE"""),"01 MARKETING ON LINE")</f>
        <v>01 MARKETING ON LINE</v>
      </c>
      <c r="N232" s="33" t="str">
        <f ca="1">IFERROR(__xludf.DUMMYFUNCTION("""COMPUTED_VALUE"""),"04 AUDIFONO,ES")</f>
        <v>04 AUDIFONO,ES</v>
      </c>
      <c r="O232" s="33" t="str">
        <f ca="1">IFERROR(__xludf.DUMMYFUNCTION("""COMPUTED_VALUE"""),"Dr, Alfonso Plaza López")</f>
        <v>Dr, Alfonso Plaza López</v>
      </c>
      <c r="P232" s="33" t="str">
        <f ca="1">IFERROR(__xludf.DUMMYFUNCTION("""COMPUTED_VALUE"""),"Maika Blázquez (Madrid)")</f>
        <v>Maika Blázquez (Madrid)</v>
      </c>
    </row>
    <row r="233" spans="2:16">
      <c r="B233" s="74">
        <f ca="1">IFERROR(__xludf.DUMMYFUNCTION("""COMPUTED_VALUE"""),2026)</f>
        <v>2026</v>
      </c>
      <c r="C233" s="56">
        <f ca="1">IFERROR(__xludf.DUMMYFUNCTION("""COMPUTED_VALUE"""),2)</f>
        <v>2</v>
      </c>
      <c r="D233" s="33" t="str">
        <f ca="1">IFERROR(__xludf.DUMMYFUNCTION("""COMPUTED_VALUE"""),"NO")</f>
        <v>NO</v>
      </c>
      <c r="E233" s="33" t="str">
        <f ca="1">IFERROR(__xludf.DUMMYFUNCTION("""COMPUTED_VALUE"""),"Madrid- Monforte de Lemos")</f>
        <v>Madrid- Monforte de Lemos</v>
      </c>
      <c r="F233" s="57">
        <f ca="1">IFERROR(__xludf.DUMMYFUNCTION("""COMPUTED_VALUE"""),46077)</f>
        <v>46077</v>
      </c>
      <c r="G233" s="57">
        <f ca="1">IFERROR(__xludf.DUMMYFUNCTION("""COMPUTED_VALUE"""),46044)</f>
        <v>46044</v>
      </c>
      <c r="H233" s="33" t="str">
        <f ca="1">IFERROR(__xludf.DUMMYFUNCTION("""COMPUTED_VALUE"""),"La Vaguada")</f>
        <v>La Vaguada</v>
      </c>
      <c r="I233" s="33" t="str">
        <f ca="1">IFERROR(__xludf.DUMMYFUNCTION("""COMPUTED_VALUE"""),"C202612217385910574")</f>
        <v>C202612217385910574</v>
      </c>
      <c r="J233" s="33" t="str">
        <f ca="1">IFERROR(__xludf.DUMMYFUNCTION("""COMPUTED_VALUE"""),"MARIA ISABEL GONZALEZ GONZALEZ")</f>
        <v>MARIA ISABEL GONZALEZ GONZALEZ</v>
      </c>
      <c r="K233" s="56">
        <f ca="1">IFERROR(__xludf.DUMMYFUNCTION("""COMPUTED_VALUE"""),2)</f>
        <v>2</v>
      </c>
      <c r="L233" s="62">
        <f ca="1">IFERROR(__xludf.DUMMYFUNCTION("""COMPUTED_VALUE"""),4136.36)</f>
        <v>4136.3599999999997</v>
      </c>
      <c r="M233" s="33" t="str">
        <f ca="1">IFERROR(__xludf.DUMMYFUNCTION("""COMPUTED_VALUE"""),"03 ORL")</f>
        <v>03 ORL</v>
      </c>
      <c r="N233" s="33" t="str">
        <f ca="1">IFERROR(__xludf.DUMMYFUNCTION("""COMPUTED_VALUE"""),"06 ORL")</f>
        <v>06 ORL</v>
      </c>
      <c r="O233" s="33" t="str">
        <f ca="1">IFERROR(__xludf.DUMMYFUNCTION("""COMPUTED_VALUE"""),"Dra, Esther García González")</f>
        <v>Dra, Esther García González</v>
      </c>
      <c r="P233" s="33" t="str">
        <f ca="1">IFERROR(__xludf.DUMMYFUNCTION("""COMPUTED_VALUE"""),"Maika Blázquez (Madrid)")</f>
        <v>Maika Blázquez (Madrid)</v>
      </c>
    </row>
    <row r="234" spans="2:16">
      <c r="B234" s="74">
        <f ca="1">IFERROR(__xludf.DUMMYFUNCTION("""COMPUTED_VALUE"""),2026)</f>
        <v>2026</v>
      </c>
      <c r="C234" s="56">
        <f ca="1">IFERROR(__xludf.DUMMYFUNCTION("""COMPUTED_VALUE"""),2)</f>
        <v>2</v>
      </c>
      <c r="D234" s="33" t="str">
        <f ca="1">IFERROR(__xludf.DUMMYFUNCTION("""COMPUTED_VALUE"""),"NO")</f>
        <v>NO</v>
      </c>
      <c r="E234" s="33" t="str">
        <f ca="1">IFERROR(__xludf.DUMMYFUNCTION("""COMPUTED_VALUE"""),"Albacete")</f>
        <v>Albacete</v>
      </c>
      <c r="F234" s="57">
        <f ca="1">IFERROR(__xludf.DUMMYFUNCTION("""COMPUTED_VALUE"""),46077)</f>
        <v>46077</v>
      </c>
      <c r="G234" s="57">
        <f ca="1">IFERROR(__xludf.DUMMYFUNCTION("""COMPUTED_VALUE"""),46049)</f>
        <v>46049</v>
      </c>
      <c r="H234" s="33" t="str">
        <f ca="1">IFERROR(__xludf.DUMMYFUNCTION("""COMPUTED_VALUE"""),"Albacete")</f>
        <v>Albacete</v>
      </c>
      <c r="I234" s="33" t="str">
        <f ca="1">IFERROR(__xludf.DUMMYFUNCTION("""COMPUTED_VALUE"""),"C202612716305911990")</f>
        <v>C202612716305911990</v>
      </c>
      <c r="J234" s="33" t="str">
        <f ca="1">IFERROR(__xludf.DUMMYFUNCTION("""COMPUTED_VALUE"""),"MARIA DEL MAR MARIN BIELSA")</f>
        <v>MARIA DEL MAR MARIN BIELSA</v>
      </c>
      <c r="K234" s="56">
        <f ca="1">IFERROR(__xludf.DUMMYFUNCTION("""COMPUTED_VALUE"""),1)</f>
        <v>1</v>
      </c>
      <c r="L234" s="62">
        <f ca="1">IFERROR(__xludf.DUMMYFUNCTION("""COMPUTED_VALUE"""),2481.82)</f>
        <v>2481.8200000000002</v>
      </c>
      <c r="M234" s="33" t="str">
        <f ca="1">IFERROR(__xludf.DUMMYFUNCTION("""COMPUTED_VALUE"""),"03 ORL")</f>
        <v>03 ORL</v>
      </c>
      <c r="N234" s="33" t="str">
        <f ca="1">IFERROR(__xludf.DUMMYFUNCTION("""COMPUTED_VALUE"""),"06 ORL")</f>
        <v>06 ORL</v>
      </c>
      <c r="O234" s="33" t="str">
        <f ca="1">IFERROR(__xludf.DUMMYFUNCTION("""COMPUTED_VALUE"""),"Dr, Pedro Seguí Moya")</f>
        <v>Dr, Pedro Seguí Moya</v>
      </c>
      <c r="P234" s="33" t="str">
        <f ca="1">IFERROR(__xludf.DUMMYFUNCTION("""COMPUTED_VALUE"""),"Iván Sánchez (Levante y Albacete)")</f>
        <v>Iván Sánchez (Levante y Albacete)</v>
      </c>
    </row>
    <row r="235" spans="2:16">
      <c r="B235" s="74">
        <f ca="1">IFERROR(__xludf.DUMMYFUNCTION("""COMPUTED_VALUE"""),2026)</f>
        <v>2026</v>
      </c>
      <c r="C235" s="56">
        <f ca="1">IFERROR(__xludf.DUMMYFUNCTION("""COMPUTED_VALUE"""),2)</f>
        <v>2</v>
      </c>
      <c r="D235" s="33" t="str">
        <f ca="1">IFERROR(__xludf.DUMMYFUNCTION("""COMPUTED_VALUE"""),"NO")</f>
        <v>NO</v>
      </c>
      <c r="E235" s="33" t="str">
        <f ca="1">IFERROR(__xludf.DUMMYFUNCTION("""COMPUTED_VALUE"""),"Alicante")</f>
        <v>Alicante</v>
      </c>
      <c r="F235" s="57">
        <f ca="1">IFERROR(__xludf.DUMMYFUNCTION("""COMPUTED_VALUE"""),46078)</f>
        <v>46078</v>
      </c>
      <c r="G235" s="57">
        <f ca="1">IFERROR(__xludf.DUMMYFUNCTION("""COMPUTED_VALUE"""),46050)</f>
        <v>46050</v>
      </c>
      <c r="H235" s="33" t="str">
        <f ca="1">IFERROR(__xludf.DUMMYFUNCTION("""COMPUTED_VALUE"""),"Alicante")</f>
        <v>Alicante</v>
      </c>
      <c r="I235" s="33" t="str">
        <f ca="1">IFERROR(__xludf.DUMMYFUNCTION("""COMPUTED_VALUE"""),"C202612812373235514")</f>
        <v>C202612812373235514</v>
      </c>
      <c r="J235" s="33" t="str">
        <f ca="1">IFERROR(__xludf.DUMMYFUNCTION("""COMPUTED_VALUE"""),"CARMEN MAYOR PIQUERAS")</f>
        <v>CARMEN MAYOR PIQUERAS</v>
      </c>
      <c r="K235" s="56">
        <f ca="1">IFERROR(__xludf.DUMMYFUNCTION("""COMPUTED_VALUE"""),2)</f>
        <v>2</v>
      </c>
      <c r="L235" s="62">
        <f ca="1">IFERROR(__xludf.DUMMYFUNCTION("""COMPUTED_VALUE"""),2718.18)</f>
        <v>2718.18</v>
      </c>
      <c r="M235" s="33" t="str">
        <f ca="1">IFERROR(__xludf.DUMMYFUNCTION("""COMPUTED_VALUE"""),"04 TIENDA")</f>
        <v>04 TIENDA</v>
      </c>
      <c r="N235" s="33" t="str">
        <f ca="1">IFERROR(__xludf.DUMMYFUNCTION("""COMPUTED_VALUE"""),"07 BOCA/BOCA")</f>
        <v>07 BOCA/BOCA</v>
      </c>
      <c r="O235" s="33" t="str">
        <f ca="1">IFERROR(__xludf.DUMMYFUNCTION("""COMPUTED_VALUE"""),"Dra, Luisa Payá Pérez")</f>
        <v>Dra, Luisa Payá Pérez</v>
      </c>
      <c r="P235" s="33" t="str">
        <f ca="1">IFERROR(__xludf.DUMMYFUNCTION("""COMPUTED_VALUE"""),"Iván Sánchez (Levante y Albacete)")</f>
        <v>Iván Sánchez (Levante y Albacete)</v>
      </c>
    </row>
    <row r="236" spans="2:16">
      <c r="B236" s="74">
        <f ca="1">IFERROR(__xludf.DUMMYFUNCTION("""COMPUTED_VALUE"""),2026)</f>
        <v>2026</v>
      </c>
      <c r="C236" s="56">
        <f ca="1">IFERROR(__xludf.DUMMYFUNCTION("""COMPUTED_VALUE"""),2)</f>
        <v>2</v>
      </c>
      <c r="D236" s="33" t="str">
        <f ca="1">IFERROR(__xludf.DUMMYFUNCTION("""COMPUTED_VALUE"""),"NO")</f>
        <v>NO</v>
      </c>
      <c r="E236" s="33" t="str">
        <f ca="1">IFERROR(__xludf.DUMMYFUNCTION("""COMPUTED_VALUE"""),"Madrid- Canillas")</f>
        <v>Madrid- Canillas</v>
      </c>
      <c r="F236" s="57">
        <f ca="1">IFERROR(__xludf.DUMMYFUNCTION("""COMPUTED_VALUE"""),46078)</f>
        <v>46078</v>
      </c>
      <c r="G236" s="57">
        <f ca="1">IFERROR(__xludf.DUMMYFUNCTION("""COMPUTED_VALUE"""),46042)</f>
        <v>46042</v>
      </c>
      <c r="H236" s="33" t="str">
        <f ca="1">IFERROR(__xludf.DUMMYFUNCTION("""COMPUTED_VALUE"""),"Canillas")</f>
        <v>Canillas</v>
      </c>
      <c r="I236" s="33" t="str">
        <f ca="1">IFERROR(__xludf.DUMMYFUNCTION("""COMPUTED_VALUE"""),"C202612015347354164")</f>
        <v>C202612015347354164</v>
      </c>
      <c r="J236" s="33" t="str">
        <f ca="1">IFERROR(__xludf.DUMMYFUNCTION("""COMPUTED_VALUE"""),"RAFAEL PEREZ-OLLEROS RODRÍGUEZ")</f>
        <v>RAFAEL PEREZ-OLLEROS RODRÍGUEZ</v>
      </c>
      <c r="K236" s="56">
        <f ca="1">IFERROR(__xludf.DUMMYFUNCTION("""COMPUTED_VALUE"""),2)</f>
        <v>2</v>
      </c>
      <c r="L236" s="62">
        <f ca="1">IFERROR(__xludf.DUMMYFUNCTION("""COMPUTED_VALUE"""),3631.82)</f>
        <v>3631.82</v>
      </c>
      <c r="M236" s="33" t="str">
        <f ca="1">IFERROR(__xludf.DUMMYFUNCTION("""COMPUTED_VALUE"""),"03 ORL")</f>
        <v>03 ORL</v>
      </c>
      <c r="N236" s="33" t="str">
        <f ca="1">IFERROR(__xludf.DUMMYFUNCTION("""COMPUTED_VALUE"""),"06 ORL")</f>
        <v>06 ORL</v>
      </c>
      <c r="O236" s="33" t="str">
        <f ca="1">IFERROR(__xludf.DUMMYFUNCTION("""COMPUTED_VALUE"""),"Dra, Helena Moreno Pardo")</f>
        <v>Dra, Helena Moreno Pardo</v>
      </c>
      <c r="P236" s="33" t="str">
        <f ca="1">IFERROR(__xludf.DUMMYFUNCTION("""COMPUTED_VALUE"""),"Maika Blázquez (Madrid)")</f>
        <v>Maika Blázquez (Madrid)</v>
      </c>
    </row>
    <row r="237" spans="2:16">
      <c r="B237" s="74">
        <f ca="1">IFERROR(__xludf.DUMMYFUNCTION("""COMPUTED_VALUE"""),2026)</f>
        <v>2026</v>
      </c>
      <c r="C237" s="56">
        <f ca="1">IFERROR(__xludf.DUMMYFUNCTION("""COMPUTED_VALUE"""),2)</f>
        <v>2</v>
      </c>
      <c r="D237" s="33" t="str">
        <f ca="1">IFERROR(__xludf.DUMMYFUNCTION("""COMPUTED_VALUE"""),"NO")</f>
        <v>NO</v>
      </c>
      <c r="E237" s="33" t="str">
        <f ca="1">IFERROR(__xludf.DUMMYFUNCTION("""COMPUTED_VALUE"""),"Fuenlabrada")</f>
        <v>Fuenlabrada</v>
      </c>
      <c r="F237" s="57">
        <f ca="1">IFERROR(__xludf.DUMMYFUNCTION("""COMPUTED_VALUE"""),46078)</f>
        <v>46078</v>
      </c>
      <c r="G237" s="57">
        <f ca="1">IFERROR(__xludf.DUMMYFUNCTION("""COMPUTED_VALUE"""),46044)</f>
        <v>46044</v>
      </c>
      <c r="H237" s="33" t="str">
        <f ca="1">IFERROR(__xludf.DUMMYFUNCTION("""COMPUTED_VALUE"""),"Fuenlabrada")</f>
        <v>Fuenlabrada</v>
      </c>
      <c r="I237" s="33" t="str">
        <f ca="1">IFERROR(__xludf.DUMMYFUNCTION("""COMPUTED_VALUE"""),"C202612215343637378")</f>
        <v>C202612215343637378</v>
      </c>
      <c r="J237" s="33" t="str">
        <f ca="1">IFERROR(__xludf.DUMMYFUNCTION("""COMPUTED_VALUE"""),"JOSE LUIS PEREZ MOLINA")</f>
        <v>JOSE LUIS PEREZ MOLINA</v>
      </c>
      <c r="K237" s="56">
        <f ca="1">IFERROR(__xludf.DUMMYFUNCTION("""COMPUTED_VALUE"""),2)</f>
        <v>2</v>
      </c>
      <c r="L237" s="62">
        <f ca="1">IFERROR(__xludf.DUMMYFUNCTION("""COMPUTED_VALUE"""),2718.18)</f>
        <v>2718.18</v>
      </c>
      <c r="M237" s="33" t="str">
        <f ca="1">IFERROR(__xludf.DUMMYFUNCTION("""COMPUTED_VALUE"""),"03 ORL")</f>
        <v>03 ORL</v>
      </c>
      <c r="N237" s="33" t="str">
        <f ca="1">IFERROR(__xludf.DUMMYFUNCTION("""COMPUTED_VALUE"""),"06 ORL")</f>
        <v>06 ORL</v>
      </c>
      <c r="O237" s="33" t="str">
        <f ca="1">IFERROR(__xludf.DUMMYFUNCTION("""COMPUTED_VALUE"""),"Dra, Elvylins Vargas Yglesia")</f>
        <v>Dra, Elvylins Vargas Yglesia</v>
      </c>
      <c r="P237" s="33" t="str">
        <f ca="1">IFERROR(__xludf.DUMMYFUNCTION("""COMPUTED_VALUE"""),"Maika Blázquez (Madrid)")</f>
        <v>Maika Blázquez (Madrid)</v>
      </c>
    </row>
    <row r="238" spans="2:16">
      <c r="B238" s="74">
        <f ca="1">IFERROR(__xludf.DUMMYFUNCTION("""COMPUTED_VALUE"""),2026)</f>
        <v>2026</v>
      </c>
      <c r="C238" s="56">
        <f ca="1">IFERROR(__xludf.DUMMYFUNCTION("""COMPUTED_VALUE"""),2)</f>
        <v>2</v>
      </c>
      <c r="D238" s="33" t="str">
        <f ca="1">IFERROR(__xludf.DUMMYFUNCTION("""COMPUTED_VALUE"""),"NO")</f>
        <v>NO</v>
      </c>
      <c r="E238" s="33" t="str">
        <f ca="1">IFERROR(__xludf.DUMMYFUNCTION("""COMPUTED_VALUE"""),"Fuenlabrada")</f>
        <v>Fuenlabrada</v>
      </c>
      <c r="F238" s="57">
        <f ca="1">IFERROR(__xludf.DUMMYFUNCTION("""COMPUTED_VALUE"""),46078)</f>
        <v>46078</v>
      </c>
      <c r="G238" s="57">
        <f ca="1">IFERROR(__xludf.DUMMYFUNCTION("""COMPUTED_VALUE"""),46057)</f>
        <v>46057</v>
      </c>
      <c r="H238" s="33" t="str">
        <f ca="1">IFERROR(__xludf.DUMMYFUNCTION("""COMPUTED_VALUE"""),"Fuenlabrada")</f>
        <v>Fuenlabrada</v>
      </c>
      <c r="I238" s="33" t="str">
        <f ca="1">IFERROR(__xludf.DUMMYFUNCTION("""COMPUTED_VALUE"""),"C2026249239923062")</f>
        <v>C2026249239923062</v>
      </c>
      <c r="J238" s="33" t="str">
        <f ca="1">IFERROR(__xludf.DUMMYFUNCTION("""COMPUTED_VALUE"""),"CESAREO SANCHEZ MARTIN")</f>
        <v>CESAREO SANCHEZ MARTIN</v>
      </c>
      <c r="K238" s="56">
        <f ca="1">IFERROR(__xludf.DUMMYFUNCTION("""COMPUTED_VALUE"""),2)</f>
        <v>2</v>
      </c>
      <c r="L238" s="62">
        <f ca="1">IFERROR(__xludf.DUMMYFUNCTION("""COMPUTED_VALUE"""),2718.18)</f>
        <v>2718.18</v>
      </c>
      <c r="M238" s="33" t="str">
        <f ca="1">IFERROR(__xludf.DUMMYFUNCTION("""COMPUTED_VALUE"""),"03 ORL")</f>
        <v>03 ORL</v>
      </c>
      <c r="N238" s="33" t="str">
        <f ca="1">IFERROR(__xludf.DUMMYFUNCTION("""COMPUTED_VALUE"""),"06 ORL")</f>
        <v>06 ORL</v>
      </c>
      <c r="O238" s="33" t="str">
        <f ca="1">IFERROR(__xludf.DUMMYFUNCTION("""COMPUTED_VALUE"""),"Dra, María Teresa Herrera Mera")</f>
        <v>Dra, María Teresa Herrera Mera</v>
      </c>
      <c r="P238" s="33" t="str">
        <f ca="1">IFERROR(__xludf.DUMMYFUNCTION("""COMPUTED_VALUE"""),"Maika Blázquez (Madrid)")</f>
        <v>Maika Blázquez (Madrid)</v>
      </c>
    </row>
    <row r="239" spans="2:16">
      <c r="B239" s="74">
        <f ca="1">IFERROR(__xludf.DUMMYFUNCTION("""COMPUTED_VALUE"""),2026)</f>
        <v>2026</v>
      </c>
      <c r="C239" s="56">
        <f ca="1">IFERROR(__xludf.DUMMYFUNCTION("""COMPUTED_VALUE"""),2)</f>
        <v>2</v>
      </c>
      <c r="D239" s="33" t="str">
        <f ca="1">IFERROR(__xludf.DUMMYFUNCTION("""COMPUTED_VALUE"""),"NO")</f>
        <v>NO</v>
      </c>
      <c r="E239" s="33" t="str">
        <f ca="1">IFERROR(__xludf.DUMMYFUNCTION("""COMPUTED_VALUE"""),"Orihuela")</f>
        <v>Orihuela</v>
      </c>
      <c r="F239" s="57">
        <f ca="1">IFERROR(__xludf.DUMMYFUNCTION("""COMPUTED_VALUE"""),46078)</f>
        <v>46078</v>
      </c>
      <c r="G239" s="57">
        <f ca="1">IFERROR(__xludf.DUMMYFUNCTION("""COMPUTED_VALUE"""),46050)</f>
        <v>46050</v>
      </c>
      <c r="H239" s="33" t="str">
        <f ca="1">IFERROR(__xludf.DUMMYFUNCTION("""COMPUTED_VALUE"""),"La Zenia")</f>
        <v>La Zenia</v>
      </c>
      <c r="I239" s="33" t="str">
        <f ca="1">IFERROR(__xludf.DUMMYFUNCTION("""COMPUTED_VALUE"""),"C202612885730510878")</f>
        <v>C202612885730510878</v>
      </c>
      <c r="J239" s="33" t="str">
        <f ca="1">IFERROR(__xludf.DUMMYFUNCTION("""COMPUTED_VALUE"""),"HEINZ OTTO NEESER")</f>
        <v>HEINZ OTTO NEESER</v>
      </c>
      <c r="K239" s="56">
        <f ca="1">IFERROR(__xludf.DUMMYFUNCTION("""COMPUTED_VALUE"""),2)</f>
        <v>2</v>
      </c>
      <c r="L239" s="62">
        <f ca="1">IFERROR(__xludf.DUMMYFUNCTION("""COMPUTED_VALUE"""),4136.36)</f>
        <v>4136.3599999999997</v>
      </c>
      <c r="M239" s="33" t="str">
        <f ca="1">IFERROR(__xludf.DUMMYFUNCTION("""COMPUTED_VALUE"""),"01 MARKETING ON LINE")</f>
        <v>01 MARKETING ON LINE</v>
      </c>
      <c r="N239" s="33" t="str">
        <f ca="1">IFERROR(__xludf.DUMMYFUNCTION("""COMPUTED_VALUE"""),"01 WEB AUDICOST")</f>
        <v>01 WEB AUDICOST</v>
      </c>
      <c r="O239" s="33" t="str">
        <f ca="1">IFERROR(__xludf.DUMMYFUNCTION("""COMPUTED_VALUE"""),"Dr, José García Morillas")</f>
        <v>Dr, José García Morillas</v>
      </c>
      <c r="P239" s="33" t="str">
        <f ca="1">IFERROR(__xludf.DUMMYFUNCTION("""COMPUTED_VALUE"""),"Iván Sánchez (Levante y Albacete)")</f>
        <v>Iván Sánchez (Levante y Albacete)</v>
      </c>
    </row>
    <row r="240" spans="2:16">
      <c r="B240" s="74">
        <f ca="1">IFERROR(__xludf.DUMMYFUNCTION("""COMPUTED_VALUE"""),2026)</f>
        <v>2026</v>
      </c>
      <c r="C240" s="56">
        <f ca="1">IFERROR(__xludf.DUMMYFUNCTION("""COMPUTED_VALUE"""),2)</f>
        <v>2</v>
      </c>
      <c r="D240" s="33" t="str">
        <f ca="1">IFERROR(__xludf.DUMMYFUNCTION("""COMPUTED_VALUE"""),"NO")</f>
        <v>NO</v>
      </c>
      <c r="E240" s="33" t="str">
        <f ca="1">IFERROR(__xludf.DUMMYFUNCTION("""COMPUTED_VALUE"""),"Almería")</f>
        <v>Almería</v>
      </c>
      <c r="F240" s="57">
        <f ca="1">IFERROR(__xludf.DUMMYFUNCTION("""COMPUTED_VALUE"""),46078)</f>
        <v>46078</v>
      </c>
      <c r="G240" s="57">
        <f ca="1">IFERROR(__xludf.DUMMYFUNCTION("""COMPUTED_VALUE"""),46069)</f>
        <v>46069</v>
      </c>
      <c r="H240" s="33" t="str">
        <f ca="1">IFERROR(__xludf.DUMMYFUNCTION("""COMPUTED_VALUE"""),"Almería")</f>
        <v>Almería</v>
      </c>
      <c r="I240" s="33" t="str">
        <f ca="1">IFERROR(__xludf.DUMMYFUNCTION("""COMPUTED_VALUE"""),"C202621612475543331")</f>
        <v>C202621612475543331</v>
      </c>
      <c r="J240" s="33" t="str">
        <f ca="1">IFERROR(__xludf.DUMMYFUNCTION("""COMPUTED_VALUE"""),"ANA ASCENSION GARCIA RUIZ")</f>
        <v>ANA ASCENSION GARCIA RUIZ</v>
      </c>
      <c r="K240" s="56">
        <f ca="1">IFERROR(__xludf.DUMMYFUNCTION("""COMPUTED_VALUE"""),1)</f>
        <v>1</v>
      </c>
      <c r="L240" s="62">
        <f ca="1">IFERROR(__xludf.DUMMYFUNCTION("""COMPUTED_VALUE"""),1631.82)</f>
        <v>1631.82</v>
      </c>
      <c r="M240" s="33" t="str">
        <f ca="1">IFERROR(__xludf.DUMMYFUNCTION("""COMPUTED_VALUE"""),"03 ORL")</f>
        <v>03 ORL</v>
      </c>
      <c r="N240" s="33" t="str">
        <f ca="1">IFERROR(__xludf.DUMMYFUNCTION("""COMPUTED_VALUE"""),"06 ORL")</f>
        <v>06 ORL</v>
      </c>
      <c r="O240" s="33" t="str">
        <f ca="1">IFERROR(__xludf.DUMMYFUNCTION("""COMPUTED_VALUE"""),"Dra, María José Gámiz Maroto")</f>
        <v>Dra, María José Gámiz Maroto</v>
      </c>
      <c r="P240" s="33" t="str">
        <f ca="1">IFERROR(__xludf.DUMMYFUNCTION("""COMPUTED_VALUE"""),"Ramon Ferrando(Valencia)")</f>
        <v>Ramon Ferrando(Valencia)</v>
      </c>
    </row>
    <row r="241" spans="2:16">
      <c r="B241" s="74">
        <f ca="1">IFERROR(__xludf.DUMMYFUNCTION("""COMPUTED_VALUE"""),2026)</f>
        <v>2026</v>
      </c>
      <c r="C241" s="56">
        <f ca="1">IFERROR(__xludf.DUMMYFUNCTION("""COMPUTED_VALUE"""),2)</f>
        <v>2</v>
      </c>
      <c r="D241" s="33" t="str">
        <f ca="1">IFERROR(__xludf.DUMMYFUNCTION("""COMPUTED_VALUE"""),"NO")</f>
        <v>NO</v>
      </c>
      <c r="E241" s="33" t="str">
        <f ca="1">IFERROR(__xludf.DUMMYFUNCTION("""COMPUTED_VALUE"""),"Sevilla- Montoto")</f>
        <v>Sevilla- Montoto</v>
      </c>
      <c r="F241" s="57">
        <f ca="1">IFERROR(__xludf.DUMMYFUNCTION("""COMPUTED_VALUE"""),46078)</f>
        <v>46078</v>
      </c>
      <c r="G241" s="57">
        <f ca="1">IFERROR(__xludf.DUMMYFUNCTION("""COMPUTED_VALUE"""),45951)</f>
        <v>45951</v>
      </c>
      <c r="H241" s="33" t="str">
        <f ca="1">IFERROR(__xludf.DUMMYFUNCTION("""COMPUTED_VALUE"""),"Montoto")</f>
        <v>Montoto</v>
      </c>
      <c r="I241" s="33" t="str">
        <f ca="1">IFERROR(__xludf.DUMMYFUNCTION("""COMPUTED_VALUE"""),"C202510211025173009")</f>
        <v>C202510211025173009</v>
      </c>
      <c r="J241" s="33" t="str">
        <f ca="1">IFERROR(__xludf.DUMMYFUNCTION("""COMPUTED_VALUE"""),"ADOLFO JESUS CARVAJAL RAMOS")</f>
        <v>ADOLFO JESUS CARVAJAL RAMOS</v>
      </c>
      <c r="K241" s="56">
        <f ca="1">IFERROR(__xludf.DUMMYFUNCTION("""COMPUTED_VALUE"""),1)</f>
        <v>1</v>
      </c>
      <c r="L241" s="62">
        <f ca="1">IFERROR(__xludf.DUMMYFUNCTION("""COMPUTED_VALUE"""),2180.91)</f>
        <v>2180.91</v>
      </c>
      <c r="M241" s="33" t="str">
        <f ca="1">IFERROR(__xludf.DUMMYFUNCTION("""COMPUTED_VALUE"""),"03 ORL")</f>
        <v>03 ORL</v>
      </c>
      <c r="N241" s="33" t="str">
        <f ca="1">IFERROR(__xludf.DUMMYFUNCTION("""COMPUTED_VALUE"""),"06 ORL")</f>
        <v>06 ORL</v>
      </c>
      <c r="O241" s="33" t="str">
        <f ca="1">IFERROR(__xludf.DUMMYFUNCTION("""COMPUTED_VALUE"""),"Dr, David Castro Gutiérrez de Agüero")</f>
        <v>Dr, David Castro Gutiérrez de Agüero</v>
      </c>
      <c r="P241" s="33" t="str">
        <f ca="1">IFERROR(__xludf.DUMMYFUNCTION("""COMPUTED_VALUE"""),"Luis Alberto Rodríguez (Andalucía y Badajoz)")</f>
        <v>Luis Alberto Rodríguez (Andalucía y Badajoz)</v>
      </c>
    </row>
    <row r="242" spans="2:16">
      <c r="B242" s="74">
        <f ca="1">IFERROR(__xludf.DUMMYFUNCTION("""COMPUTED_VALUE"""),2026)</f>
        <v>2026</v>
      </c>
      <c r="C242" s="56">
        <f ca="1">IFERROR(__xludf.DUMMYFUNCTION("""COMPUTED_VALUE"""),2)</f>
        <v>2</v>
      </c>
      <c r="D242" s="33" t="str">
        <f ca="1">IFERROR(__xludf.DUMMYFUNCTION("""COMPUTED_VALUE"""),"NO")</f>
        <v>NO</v>
      </c>
      <c r="E242" s="33" t="str">
        <f ca="1">IFERROR(__xludf.DUMMYFUNCTION("""COMPUTED_VALUE"""),"Torrejón de Ardoz")</f>
        <v>Torrejón de Ardoz</v>
      </c>
      <c r="F242" s="57">
        <f ca="1">IFERROR(__xludf.DUMMYFUNCTION("""COMPUTED_VALUE"""),46078)</f>
        <v>46078</v>
      </c>
      <c r="G242" s="57">
        <f ca="1">IFERROR(__xludf.DUMMYFUNCTION("""COMPUTED_VALUE"""),45979)</f>
        <v>45979</v>
      </c>
      <c r="H242" s="33" t="str">
        <f ca="1">IFERROR(__xludf.DUMMYFUNCTION("""COMPUTED_VALUE"""),"Torrejón")</f>
        <v>Torrejón</v>
      </c>
      <c r="I242" s="33" t="str">
        <f ca="1">IFERROR(__xludf.DUMMYFUNCTION("""COMPUTED_VALUE"""),"C202511181118436565")</f>
        <v>C202511181118436565</v>
      </c>
      <c r="J242" s="33" t="str">
        <f ca="1">IFERROR(__xludf.DUMMYFUNCTION("""COMPUTED_VALUE"""),"CARMEN GONZALEZ RODRIGUEZ-CARRETERO")</f>
        <v>CARMEN GONZALEZ RODRIGUEZ-CARRETERO</v>
      </c>
      <c r="K242" s="56">
        <f ca="1">IFERROR(__xludf.DUMMYFUNCTION("""COMPUTED_VALUE"""),2)</f>
        <v>2</v>
      </c>
      <c r="L242" s="62">
        <f ca="1">IFERROR(__xludf.DUMMYFUNCTION("""COMPUTED_VALUE"""),2718.18)</f>
        <v>2718.18</v>
      </c>
      <c r="M242" s="33" t="str">
        <f ca="1">IFERROR(__xludf.DUMMYFUNCTION("""COMPUTED_VALUE"""),"03 ORL")</f>
        <v>03 ORL</v>
      </c>
      <c r="N242" s="33" t="str">
        <f ca="1">IFERROR(__xludf.DUMMYFUNCTION("""COMPUTED_VALUE"""),"06 ORL")</f>
        <v>06 ORL</v>
      </c>
      <c r="O242" s="33" t="str">
        <f ca="1">IFERROR(__xludf.DUMMYFUNCTION("""COMPUTED_VALUE"""),"Dra, Marta Abad Pascual")</f>
        <v>Dra, Marta Abad Pascual</v>
      </c>
      <c r="P242" s="33" t="str">
        <f ca="1">IFERROR(__xludf.DUMMYFUNCTION("""COMPUTED_VALUE"""),"Maika Blázquez (Madrid)")</f>
        <v>Maika Blázquez (Madrid)</v>
      </c>
    </row>
    <row r="243" spans="2:16">
      <c r="B243" s="74">
        <f ca="1">IFERROR(__xludf.DUMMYFUNCTION("""COMPUTED_VALUE"""),2026)</f>
        <v>2026</v>
      </c>
      <c r="C243" s="56">
        <f ca="1">IFERROR(__xludf.DUMMYFUNCTION("""COMPUTED_VALUE"""),2)</f>
        <v>2</v>
      </c>
      <c r="D243" s="33" t="str">
        <f ca="1">IFERROR(__xludf.DUMMYFUNCTION("""COMPUTED_VALUE"""),"NO")</f>
        <v>NO</v>
      </c>
      <c r="E243" s="33" t="str">
        <f ca="1">IFERROR(__xludf.DUMMYFUNCTION("""COMPUTED_VALUE"""),"Salamanca")</f>
        <v>Salamanca</v>
      </c>
      <c r="F243" s="57">
        <f ca="1">IFERROR(__xludf.DUMMYFUNCTION("""COMPUTED_VALUE"""),46078)</f>
        <v>46078</v>
      </c>
      <c r="G243" s="57">
        <f ca="1">IFERROR(__xludf.DUMMYFUNCTION("""COMPUTED_VALUE"""),46043)</f>
        <v>46043</v>
      </c>
      <c r="H243" s="33" t="str">
        <f ca="1">IFERROR(__xludf.DUMMYFUNCTION("""COMPUTED_VALUE"""),"Salamanca")</f>
        <v>Salamanca</v>
      </c>
      <c r="I243" s="33" t="str">
        <f ca="1">IFERROR(__xludf.DUMMYFUNCTION("""COMPUTED_VALUE"""),"C202612118321337950")</f>
        <v>C202612118321337950</v>
      </c>
      <c r="J243" s="33" t="str">
        <f ca="1">IFERROR(__xludf.DUMMYFUNCTION("""COMPUTED_VALUE"""),"Fernando  Gregorio-Lastra Moreda")</f>
        <v>Fernando  Gregorio-Lastra Moreda</v>
      </c>
      <c r="K243" s="56">
        <f ca="1">IFERROR(__xludf.DUMMYFUNCTION("""COMPUTED_VALUE"""),2)</f>
        <v>2</v>
      </c>
      <c r="L243" s="62">
        <f ca="1">IFERROR(__xludf.DUMMYFUNCTION("""COMPUTED_VALUE"""),3730)</f>
        <v>3730</v>
      </c>
      <c r="M243" s="33" t="str">
        <f ca="1">IFERROR(__xludf.DUMMYFUNCTION("""COMPUTED_VALUE"""),"03 ORL")</f>
        <v>03 ORL</v>
      </c>
      <c r="N243" s="33" t="str">
        <f ca="1">IFERROR(__xludf.DUMMYFUNCTION("""COMPUTED_VALUE"""),"06 ORL")</f>
        <v>06 ORL</v>
      </c>
      <c r="O243" s="33" t="str">
        <f ca="1">IFERROR(__xludf.DUMMYFUNCTION("""COMPUTED_VALUE"""),"No recuerda ORL")</f>
        <v>No recuerda ORL</v>
      </c>
      <c r="P243" s="33" t="str">
        <f ca="1">IFERROR(__xludf.DUMMYFUNCTION("""COMPUTED_VALUE"""),"Alberto Moreno (madrid)")</f>
        <v>Alberto Moreno (madrid)</v>
      </c>
    </row>
    <row r="244" spans="2:16">
      <c r="B244" s="74">
        <f ca="1">IFERROR(__xludf.DUMMYFUNCTION("""COMPUTED_VALUE"""),2026)</f>
        <v>2026</v>
      </c>
      <c r="C244" s="56">
        <f ca="1">IFERROR(__xludf.DUMMYFUNCTION("""COMPUTED_VALUE"""),2)</f>
        <v>2</v>
      </c>
      <c r="D244" s="33" t="str">
        <f ca="1">IFERROR(__xludf.DUMMYFUNCTION("""COMPUTED_VALUE"""),"NO")</f>
        <v>NO</v>
      </c>
      <c r="E244" s="33" t="str">
        <f ca="1">IFERROR(__xludf.DUMMYFUNCTION("""COMPUTED_VALUE"""),"Cáceres")</f>
        <v>Cáceres</v>
      </c>
      <c r="F244" s="57">
        <f ca="1">IFERROR(__xludf.DUMMYFUNCTION("""COMPUTED_VALUE"""),46078)</f>
        <v>46078</v>
      </c>
      <c r="G244" s="57">
        <f ca="1">IFERROR(__xludf.DUMMYFUNCTION("""COMPUTED_VALUE"""),46049)</f>
        <v>46049</v>
      </c>
      <c r="H244" s="33" t="str">
        <f ca="1">IFERROR(__xludf.DUMMYFUNCTION("""COMPUTED_VALUE"""),"Cáceres")</f>
        <v>Cáceres</v>
      </c>
      <c r="I244" s="33" t="str">
        <f ca="1">IFERROR(__xludf.DUMMYFUNCTION("""COMPUTED_VALUE"""),"C202612717262205434")</f>
        <v>C202612717262205434</v>
      </c>
      <c r="J244" s="33" t="str">
        <f ca="1">IFERROR(__xludf.DUMMYFUNCTION("""COMPUTED_VALUE"""),"MARIA DEL PRADO BARRANTES BORRELLA")</f>
        <v>MARIA DEL PRADO BARRANTES BORRELLA</v>
      </c>
      <c r="K244" s="56">
        <f ca="1">IFERROR(__xludf.DUMMYFUNCTION("""COMPUTED_VALUE"""),2)</f>
        <v>2</v>
      </c>
      <c r="L244" s="62">
        <f ca="1">IFERROR(__xludf.DUMMYFUNCTION("""COMPUTED_VALUE"""),3454.55)</f>
        <v>3454.55</v>
      </c>
      <c r="M244" s="33" t="str">
        <f ca="1">IFERROR(__xludf.DUMMYFUNCTION("""COMPUTED_VALUE"""),"01 MARKETING ON LINE")</f>
        <v>01 MARKETING ON LINE</v>
      </c>
      <c r="N244" s="33" t="str">
        <f ca="1">IFERROR(__xludf.DUMMYFUNCTION("""COMPUTED_VALUE"""),"04 AUDIFONO,ES")</f>
        <v>04 AUDIFONO,ES</v>
      </c>
      <c r="O244" s="33" t="str">
        <f ca="1">IFERROR(__xludf.DUMMYFUNCTION("""COMPUTED_VALUE"""),"Dr, Rafael Sanz Trenado")</f>
        <v>Dr, Rafael Sanz Trenado</v>
      </c>
      <c r="P244" s="33" t="str">
        <f ca="1">IFERROR(__xludf.DUMMYFUNCTION("""COMPUTED_VALUE"""),"Lisandro Russian (Madrid, Cáceres, Toledo, Talavera y Logroño)")</f>
        <v>Lisandro Russian (Madrid, Cáceres, Toledo, Talavera y Logroño)</v>
      </c>
    </row>
    <row r="245" spans="2:16">
      <c r="B245" s="74">
        <f ca="1">IFERROR(__xludf.DUMMYFUNCTION("""COMPUTED_VALUE"""),2026)</f>
        <v>2026</v>
      </c>
      <c r="C245" s="56">
        <f ca="1">IFERROR(__xludf.DUMMYFUNCTION("""COMPUTED_VALUE"""),2)</f>
        <v>2</v>
      </c>
      <c r="D245" s="33" t="str">
        <f ca="1">IFERROR(__xludf.DUMMYFUNCTION("""COMPUTED_VALUE"""),"NO")</f>
        <v>NO</v>
      </c>
      <c r="E245" s="33" t="str">
        <f ca="1">IFERROR(__xludf.DUMMYFUNCTION("""COMPUTED_VALUE"""),"Leganés")</f>
        <v>Leganés</v>
      </c>
      <c r="F245" s="57">
        <f ca="1">IFERROR(__xludf.DUMMYFUNCTION("""COMPUTED_VALUE"""),46078)</f>
        <v>46078</v>
      </c>
      <c r="G245" s="57">
        <f ca="1">IFERROR(__xludf.DUMMYFUNCTION("""COMPUTED_VALUE"""),44013)</f>
        <v>44013</v>
      </c>
      <c r="H245" s="33" t="str">
        <f ca="1">IFERROR(__xludf.DUMMYFUNCTION("""COMPUTED_VALUE"""),"Leganés")</f>
        <v>Leganés</v>
      </c>
      <c r="I245" s="33" t="str">
        <f ca="1">IFERROR(__xludf.DUMMYFUNCTION("""COMPUTED_VALUE"""),"PQL-1344")</f>
        <v>PQL-1344</v>
      </c>
      <c r="J245" s="33" t="str">
        <f ca="1">IFERROR(__xludf.DUMMYFUNCTION("""COMPUTED_VALUE"""),"JOSE LUIS ABARCA PONCE")</f>
        <v>JOSE LUIS ABARCA PONCE</v>
      </c>
      <c r="K245" s="56">
        <f ca="1">IFERROR(__xludf.DUMMYFUNCTION("""COMPUTED_VALUE"""),2)</f>
        <v>2</v>
      </c>
      <c r="L245" s="62">
        <f ca="1">IFERROR(__xludf.DUMMYFUNCTION("""COMPUTED_VALUE"""),2718.18)</f>
        <v>2718.18</v>
      </c>
      <c r="M245" s="33" t="str">
        <f ca="1">IFERROR(__xludf.DUMMYFUNCTION("""COMPUTED_VALUE"""),"03 ORL")</f>
        <v>03 ORL</v>
      </c>
      <c r="N245" s="33" t="str">
        <f ca="1">IFERROR(__xludf.DUMMYFUNCTION("""COMPUTED_VALUE"""),"06 ORL")</f>
        <v>06 ORL</v>
      </c>
      <c r="O245" s="33" t="str">
        <f ca="1">IFERROR(__xludf.DUMMYFUNCTION("""COMPUTED_VALUE"""),"Dra, Patricia García Vicente")</f>
        <v>Dra, Patricia García Vicente</v>
      </c>
      <c r="P245" s="33" t="str">
        <f ca="1">IFERROR(__xludf.DUMMYFUNCTION("""COMPUTED_VALUE"""),"Maika Blázquez (Madrid)")</f>
        <v>Maika Blázquez (Madrid)</v>
      </c>
    </row>
    <row r="246" spans="2:16">
      <c r="B246" s="74">
        <f ca="1">IFERROR(__xludf.DUMMYFUNCTION("""COMPUTED_VALUE"""),2026)</f>
        <v>2026</v>
      </c>
      <c r="C246" s="56">
        <f ca="1">IFERROR(__xludf.DUMMYFUNCTION("""COMPUTED_VALUE"""),2)</f>
        <v>2</v>
      </c>
      <c r="D246" s="33" t="str">
        <f ca="1">IFERROR(__xludf.DUMMYFUNCTION("""COMPUTED_VALUE"""),"NO")</f>
        <v>NO</v>
      </c>
      <c r="E246" s="33" t="str">
        <f ca="1">IFERROR(__xludf.DUMMYFUNCTION("""COMPUTED_VALUE"""),"Madrid- Monforte de Lemos")</f>
        <v>Madrid- Monforte de Lemos</v>
      </c>
      <c r="F246" s="57">
        <f ca="1">IFERROR(__xludf.DUMMYFUNCTION("""COMPUTED_VALUE"""),46078)</f>
        <v>46078</v>
      </c>
      <c r="G246" s="57">
        <f ca="1">IFERROR(__xludf.DUMMYFUNCTION("""COMPUTED_VALUE"""),46044)</f>
        <v>46044</v>
      </c>
      <c r="H246" s="33" t="str">
        <f ca="1">IFERROR(__xludf.DUMMYFUNCTION("""COMPUTED_VALUE"""),"La Vaguada")</f>
        <v>La Vaguada</v>
      </c>
      <c r="I246" s="33" t="str">
        <f ca="1">IFERROR(__xludf.DUMMYFUNCTION("""COMPUTED_VALUE"""),"C202612216648697539")</f>
        <v>C202612216648697539</v>
      </c>
      <c r="J246" s="33" t="str">
        <f ca="1">IFERROR(__xludf.DUMMYFUNCTION("""COMPUTED_VALUE"""),"MARIA DOLORES JIMENEZ DE LA POZA")</f>
        <v>MARIA DOLORES JIMENEZ DE LA POZA</v>
      </c>
      <c r="K246" s="56">
        <f ca="1">IFERROR(__xludf.DUMMYFUNCTION("""COMPUTED_VALUE"""),2)</f>
        <v>2</v>
      </c>
      <c r="L246" s="62">
        <f ca="1">IFERROR(__xludf.DUMMYFUNCTION("""COMPUTED_VALUE"""),4136.36)</f>
        <v>4136.3599999999997</v>
      </c>
      <c r="M246" s="33" t="str">
        <f ca="1">IFERROR(__xludf.DUMMYFUNCTION("""COMPUTED_VALUE"""),"03 ORL")</f>
        <v>03 ORL</v>
      </c>
      <c r="N246" s="33" t="str">
        <f ca="1">IFERROR(__xludf.DUMMYFUNCTION("""COMPUTED_VALUE"""),"06 ORL")</f>
        <v>06 ORL</v>
      </c>
      <c r="O246" s="33" t="str">
        <f ca="1">IFERROR(__xludf.DUMMYFUNCTION("""COMPUTED_VALUE"""),"Dr, Julio López Moya")</f>
        <v>Dr, Julio López Moya</v>
      </c>
      <c r="P246" s="33" t="str">
        <f ca="1">IFERROR(__xludf.DUMMYFUNCTION("""COMPUTED_VALUE"""),"Maika Blázquez (Madrid)")</f>
        <v>Maika Blázquez (Madrid)</v>
      </c>
    </row>
    <row r="247" spans="2:16">
      <c r="B247" s="74">
        <f ca="1">IFERROR(__xludf.DUMMYFUNCTION("""COMPUTED_VALUE"""),2026)</f>
        <v>2026</v>
      </c>
      <c r="C247" s="56">
        <f ca="1">IFERROR(__xludf.DUMMYFUNCTION("""COMPUTED_VALUE"""),2)</f>
        <v>2</v>
      </c>
      <c r="D247" s="33" t="str">
        <f ca="1">IFERROR(__xludf.DUMMYFUNCTION("""COMPUTED_VALUE"""),"NO")</f>
        <v>NO</v>
      </c>
      <c r="E247" s="33" t="str">
        <f ca="1">IFERROR(__xludf.DUMMYFUNCTION("""COMPUTED_VALUE"""),"Murcia")</f>
        <v>Murcia</v>
      </c>
      <c r="F247" s="57">
        <f ca="1">IFERROR(__xludf.DUMMYFUNCTION("""COMPUTED_VALUE"""),46078)</f>
        <v>46078</v>
      </c>
      <c r="G247" s="57">
        <f ca="1">IFERROR(__xludf.DUMMYFUNCTION("""COMPUTED_VALUE"""),46052)</f>
        <v>46052</v>
      </c>
      <c r="H247" s="33" t="str">
        <f ca="1">IFERROR(__xludf.DUMMYFUNCTION("""COMPUTED_VALUE"""),"Murcia")</f>
        <v>Murcia</v>
      </c>
      <c r="I247" s="33" t="str">
        <f ca="1">IFERROR(__xludf.DUMMYFUNCTION("""COMPUTED_VALUE"""),"C202613082451127538")</f>
        <v>C202613082451127538</v>
      </c>
      <c r="J247" s="33" t="str">
        <f ca="1">IFERROR(__xludf.DUMMYFUNCTION("""COMPUTED_VALUE"""),"PURIFICACIÓN GOMEZ GARCIA")</f>
        <v>PURIFICACIÓN GOMEZ GARCIA</v>
      </c>
      <c r="K247" s="56">
        <f ca="1">IFERROR(__xludf.DUMMYFUNCTION("""COMPUTED_VALUE"""),2)</f>
        <v>2</v>
      </c>
      <c r="L247" s="62">
        <f ca="1">IFERROR(__xludf.DUMMYFUNCTION("""COMPUTED_VALUE"""),2718.18)</f>
        <v>2718.18</v>
      </c>
      <c r="M247" s="33" t="str">
        <f ca="1">IFERROR(__xludf.DUMMYFUNCTION("""COMPUTED_VALUE"""),"03 ORL")</f>
        <v>03 ORL</v>
      </c>
      <c r="N247" s="33" t="str">
        <f ca="1">IFERROR(__xludf.DUMMYFUNCTION("""COMPUTED_VALUE"""),"06 ORL")</f>
        <v>06 ORL</v>
      </c>
      <c r="O247" s="33" t="str">
        <f ca="1">IFERROR(__xludf.DUMMYFUNCTION("""COMPUTED_VALUE"""),"Dr, Jesús Miguel Iniesta Turpín")</f>
        <v>Dr, Jesús Miguel Iniesta Turpín</v>
      </c>
      <c r="P247" s="33" t="str">
        <f ca="1">IFERROR(__xludf.DUMMYFUNCTION("""COMPUTED_VALUE"""),"Iván Sánchez (Levante y Albacete)")</f>
        <v>Iván Sánchez (Levante y Albacete)</v>
      </c>
    </row>
    <row r="248" spans="2:16">
      <c r="B248" s="74">
        <f ca="1">IFERROR(__xludf.DUMMYFUNCTION("""COMPUTED_VALUE"""),2026)</f>
        <v>2026</v>
      </c>
      <c r="C248" s="56">
        <f ca="1">IFERROR(__xludf.DUMMYFUNCTION("""COMPUTED_VALUE"""),2)</f>
        <v>2</v>
      </c>
      <c r="D248" s="33" t="str">
        <f ca="1">IFERROR(__xludf.DUMMYFUNCTION("""COMPUTED_VALUE"""),"NO")</f>
        <v>NO</v>
      </c>
      <c r="E248" s="33" t="str">
        <f ca="1">IFERROR(__xludf.DUMMYFUNCTION("""COMPUTED_VALUE"""),"Talavera")</f>
        <v>Talavera</v>
      </c>
      <c r="F248" s="57">
        <f ca="1">IFERROR(__xludf.DUMMYFUNCTION("""COMPUTED_VALUE"""),46078)</f>
        <v>46078</v>
      </c>
      <c r="G248" s="57">
        <f ca="1">IFERROR(__xludf.DUMMYFUNCTION("""COMPUTED_VALUE"""),46051)</f>
        <v>46051</v>
      </c>
      <c r="H248" s="33" t="str">
        <f ca="1">IFERROR(__xludf.DUMMYFUNCTION("""COMPUTED_VALUE"""),"Talavera")</f>
        <v>Talavera</v>
      </c>
      <c r="I248" s="33" t="str">
        <f ca="1">IFERROR(__xludf.DUMMYFUNCTION("""COMPUTED_VALUE"""),"C202612917304004894")</f>
        <v>C202612917304004894</v>
      </c>
      <c r="J248" s="33" t="str">
        <f ca="1">IFERROR(__xludf.DUMMYFUNCTION("""COMPUTED_VALUE"""),"MARIA DEL PILAR CHOZAS SERRANO")</f>
        <v>MARIA DEL PILAR CHOZAS SERRANO</v>
      </c>
      <c r="K248" s="56">
        <f ca="1">IFERROR(__xludf.DUMMYFUNCTION("""COMPUTED_VALUE"""),2)</f>
        <v>2</v>
      </c>
      <c r="L248" s="62">
        <f ca="1">IFERROR(__xludf.DUMMYFUNCTION("""COMPUTED_VALUE"""),3631.82)</f>
        <v>3631.82</v>
      </c>
      <c r="M248" s="33" t="str">
        <f ca="1">IFERROR(__xludf.DUMMYFUNCTION("""COMPUTED_VALUE"""),"03 ORL")</f>
        <v>03 ORL</v>
      </c>
      <c r="N248" s="33" t="str">
        <f ca="1">IFERROR(__xludf.DUMMYFUNCTION("""COMPUTED_VALUE"""),"06 ORL")</f>
        <v>06 ORL</v>
      </c>
      <c r="O248" s="33" t="str">
        <f ca="1">IFERROR(__xludf.DUMMYFUNCTION("""COMPUTED_VALUE"""),"Dr, Carlos Félix Asensio Nieto")</f>
        <v>Dr, Carlos Félix Asensio Nieto</v>
      </c>
      <c r="P248" s="33" t="str">
        <f ca="1">IFERROR(__xludf.DUMMYFUNCTION("""COMPUTED_VALUE"""),"Lisandro Russian (Madrid, Cáceres, Toledo, Talavera y Logroño)")</f>
        <v>Lisandro Russian (Madrid, Cáceres, Toledo, Talavera y Logroño)</v>
      </c>
    </row>
    <row r="249" spans="2:16">
      <c r="B249" s="74">
        <f ca="1">IFERROR(__xludf.DUMMYFUNCTION("""COMPUTED_VALUE"""),2026)</f>
        <v>2026</v>
      </c>
      <c r="C249" s="56">
        <f ca="1">IFERROR(__xludf.DUMMYFUNCTION("""COMPUTED_VALUE"""),2)</f>
        <v>2</v>
      </c>
      <c r="D249" s="33" t="str">
        <f ca="1">IFERROR(__xludf.DUMMYFUNCTION("""COMPUTED_VALUE"""),"NO")</f>
        <v>NO</v>
      </c>
      <c r="E249" s="33" t="str">
        <f ca="1">IFERROR(__xludf.DUMMYFUNCTION("""COMPUTED_VALUE"""),"Alicante")</f>
        <v>Alicante</v>
      </c>
      <c r="F249" s="57">
        <f ca="1">IFERROR(__xludf.DUMMYFUNCTION("""COMPUTED_VALUE"""),46079)</f>
        <v>46079</v>
      </c>
      <c r="G249" s="57">
        <f ca="1">IFERROR(__xludf.DUMMYFUNCTION("""COMPUTED_VALUE"""),46048)</f>
        <v>46048</v>
      </c>
      <c r="H249" s="33" t="str">
        <f ca="1">IFERROR(__xludf.DUMMYFUNCTION("""COMPUTED_VALUE"""),"Alicante")</f>
        <v>Alicante</v>
      </c>
      <c r="I249" s="33" t="str">
        <f ca="1">IFERROR(__xludf.DUMMYFUNCTION("""COMPUTED_VALUE"""),"C202612613472119982")</f>
        <v>C202612613472119982</v>
      </c>
      <c r="J249" s="33" t="str">
        <f ca="1">IFERROR(__xludf.DUMMYFUNCTION("""COMPUTED_VALUE"""),"SONIA ARACIL BOIX")</f>
        <v>SONIA ARACIL BOIX</v>
      </c>
      <c r="K249" s="56">
        <f ca="1">IFERROR(__xludf.DUMMYFUNCTION("""COMPUTED_VALUE"""),2)</f>
        <v>2</v>
      </c>
      <c r="L249" s="62">
        <f ca="1">IFERROR(__xludf.DUMMYFUNCTION("""COMPUTED_VALUE"""),2718.18)</f>
        <v>2718.18</v>
      </c>
      <c r="M249" s="33" t="str">
        <f ca="1">IFERROR(__xludf.DUMMYFUNCTION("""COMPUTED_VALUE"""),"03 ORL")</f>
        <v>03 ORL</v>
      </c>
      <c r="N249" s="33" t="str">
        <f ca="1">IFERROR(__xludf.DUMMYFUNCTION("""COMPUTED_VALUE"""),"06 ORL")</f>
        <v>06 ORL</v>
      </c>
      <c r="O249" s="33" t="str">
        <f ca="1">IFERROR(__xludf.DUMMYFUNCTION("""COMPUTED_VALUE"""),"Dr, Carlos Velásquez Fermín")</f>
        <v>Dr, Carlos Velásquez Fermín</v>
      </c>
      <c r="P249" s="33" t="str">
        <f ca="1">IFERROR(__xludf.DUMMYFUNCTION("""COMPUTED_VALUE"""),"Iván Sánchez (Levante y Albacete)")</f>
        <v>Iván Sánchez (Levante y Albacete)</v>
      </c>
    </row>
    <row r="250" spans="2:16">
      <c r="B250" s="74">
        <f ca="1">IFERROR(__xludf.DUMMYFUNCTION("""COMPUTED_VALUE"""),2026)</f>
        <v>2026</v>
      </c>
      <c r="C250" s="56">
        <f ca="1">IFERROR(__xludf.DUMMYFUNCTION("""COMPUTED_VALUE"""),2)</f>
        <v>2</v>
      </c>
      <c r="D250" s="33" t="str">
        <f ca="1">IFERROR(__xludf.DUMMYFUNCTION("""COMPUTED_VALUE"""),"NO")</f>
        <v>NO</v>
      </c>
      <c r="E250" s="33" t="str">
        <f ca="1">IFERROR(__xludf.DUMMYFUNCTION("""COMPUTED_VALUE"""),"Zaragoza- León XIII")</f>
        <v>Zaragoza- León XIII</v>
      </c>
      <c r="F250" s="57">
        <f ca="1">IFERROR(__xludf.DUMMYFUNCTION("""COMPUTED_VALUE"""),46079)</f>
        <v>46079</v>
      </c>
      <c r="G250" s="57">
        <f ca="1">IFERROR(__xludf.DUMMYFUNCTION("""COMPUTED_VALUE"""),46037)</f>
        <v>46037</v>
      </c>
      <c r="H250" s="33" t="str">
        <f ca="1">IFERROR(__xludf.DUMMYFUNCTION("""COMPUTED_VALUE"""),"Zaragoza")</f>
        <v>Zaragoza</v>
      </c>
      <c r="I250" s="33" t="str">
        <f ca="1">IFERROR(__xludf.DUMMYFUNCTION("""COMPUTED_VALUE"""),"C202611510254323676")</f>
        <v>C202611510254323676</v>
      </c>
      <c r="J250" s="33" t="str">
        <f ca="1">IFERROR(__xludf.DUMMYFUNCTION("""COMPUTED_VALUE"""),"ANTONIO AGUILAR LAUSÍN")</f>
        <v>ANTONIO AGUILAR LAUSÍN</v>
      </c>
      <c r="K250" s="56">
        <f ca="1">IFERROR(__xludf.DUMMYFUNCTION("""COMPUTED_VALUE"""),2)</f>
        <v>2</v>
      </c>
      <c r="L250" s="62">
        <f ca="1">IFERROR(__xludf.DUMMYFUNCTION("""COMPUTED_VALUE"""),2936.78)</f>
        <v>2936.78</v>
      </c>
      <c r="M250" s="33" t="str">
        <f ca="1">IFERROR(__xludf.DUMMYFUNCTION("""COMPUTED_VALUE"""),"03 ORL")</f>
        <v>03 ORL</v>
      </c>
      <c r="N250" s="33" t="str">
        <f ca="1">IFERROR(__xludf.DUMMYFUNCTION("""COMPUTED_VALUE"""),"06 ORL")</f>
        <v>06 ORL</v>
      </c>
      <c r="O250" s="33" t="str">
        <f ca="1">IFERROR(__xludf.DUMMYFUNCTION("""COMPUTED_VALUE"""),"Dr, Héctor Vallés Varela")</f>
        <v>Dr, Héctor Vallés Varela</v>
      </c>
      <c r="P250" s="33" t="str">
        <f ca="1">IFERROR(__xludf.DUMMYFUNCTION("""COMPUTED_VALUE"""),"Ignacio Berdejo (Zaragoza)")</f>
        <v>Ignacio Berdejo (Zaragoza)</v>
      </c>
    </row>
    <row r="251" spans="2:16">
      <c r="B251" s="74">
        <f ca="1">IFERROR(__xludf.DUMMYFUNCTION("""COMPUTED_VALUE"""),2026)</f>
        <v>2026</v>
      </c>
      <c r="C251" s="56">
        <f ca="1">IFERROR(__xludf.DUMMYFUNCTION("""COMPUTED_VALUE"""),2)</f>
        <v>2</v>
      </c>
      <c r="D251" s="33" t="str">
        <f ca="1">IFERROR(__xludf.DUMMYFUNCTION("""COMPUTED_VALUE"""),"NO")</f>
        <v>NO</v>
      </c>
      <c r="E251" s="33" t="str">
        <f ca="1">IFERROR(__xludf.DUMMYFUNCTION("""COMPUTED_VALUE"""),"San Javier")</f>
        <v>San Javier</v>
      </c>
      <c r="F251" s="57">
        <f ca="1">IFERROR(__xludf.DUMMYFUNCTION("""COMPUTED_VALUE"""),46079)</f>
        <v>46079</v>
      </c>
      <c r="G251" s="57">
        <f ca="1">IFERROR(__xludf.DUMMYFUNCTION("""COMPUTED_VALUE"""),46048)</f>
        <v>46048</v>
      </c>
      <c r="H251" s="33" t="str">
        <f ca="1">IFERROR(__xludf.DUMMYFUNCTION("""COMPUTED_VALUE"""),"San Javier")</f>
        <v>San Javier</v>
      </c>
      <c r="I251" s="33" t="str">
        <f ca="1">IFERROR(__xludf.DUMMYFUNCTION("""COMPUTED_VALUE"""),"C202612617528309365")</f>
        <v>C202612617528309365</v>
      </c>
      <c r="J251" s="33" t="str">
        <f ca="1">IFERROR(__xludf.DUMMYFUNCTION("""COMPUTED_VALUE"""),"LUIS REDONDO NARGANES")</f>
        <v>LUIS REDONDO NARGANES</v>
      </c>
      <c r="K251" s="56">
        <f ca="1">IFERROR(__xludf.DUMMYFUNCTION("""COMPUTED_VALUE"""),2)</f>
        <v>2</v>
      </c>
      <c r="L251" s="62">
        <f ca="1">IFERROR(__xludf.DUMMYFUNCTION("""COMPUTED_VALUE"""),4536.36)</f>
        <v>4536.3599999999997</v>
      </c>
      <c r="M251" s="33" t="str">
        <f ca="1">IFERROR(__xludf.DUMMYFUNCTION("""COMPUTED_VALUE"""),"03 ORL")</f>
        <v>03 ORL</v>
      </c>
      <c r="N251" s="33" t="str">
        <f ca="1">IFERROR(__xludf.DUMMYFUNCTION("""COMPUTED_VALUE"""),"06 ORL")</f>
        <v>06 ORL</v>
      </c>
      <c r="O251" s="33" t="str">
        <f ca="1">IFERROR(__xludf.DUMMYFUNCTION("""COMPUTED_VALUE"""),"Dra, Ana Giribet Fernández-Pacheco")</f>
        <v>Dra, Ana Giribet Fernández-Pacheco</v>
      </c>
      <c r="P251" s="33" t="str">
        <f ca="1">IFERROR(__xludf.DUMMYFUNCTION("""COMPUTED_VALUE"""),"Iván Sánchez (Levante y Albacete)")</f>
        <v>Iván Sánchez (Levante y Albacete)</v>
      </c>
    </row>
    <row r="252" spans="2:16">
      <c r="B252" s="74">
        <f ca="1">IFERROR(__xludf.DUMMYFUNCTION("""COMPUTED_VALUE"""),2026)</f>
        <v>2026</v>
      </c>
      <c r="C252" s="56">
        <f ca="1">IFERROR(__xludf.DUMMYFUNCTION("""COMPUTED_VALUE"""),2)</f>
        <v>2</v>
      </c>
      <c r="D252" s="33" t="str">
        <f ca="1">IFERROR(__xludf.DUMMYFUNCTION("""COMPUTED_VALUE"""),"NO")</f>
        <v>NO</v>
      </c>
      <c r="E252" s="33" t="str">
        <f ca="1">IFERROR(__xludf.DUMMYFUNCTION("""COMPUTED_VALUE"""),"Madrid- Juan Bravo")</f>
        <v>Madrid- Juan Bravo</v>
      </c>
      <c r="F252" s="57">
        <f ca="1">IFERROR(__xludf.DUMMYFUNCTION("""COMPUTED_VALUE"""),46079)</f>
        <v>46079</v>
      </c>
      <c r="G252" s="57">
        <f ca="1">IFERROR(__xludf.DUMMYFUNCTION("""COMPUTED_VALUE"""),46048)</f>
        <v>46048</v>
      </c>
      <c r="H252" s="33" t="str">
        <f ca="1">IFERROR(__xludf.DUMMYFUNCTION("""COMPUTED_VALUE"""),"Juan Bravo")</f>
        <v>Juan Bravo</v>
      </c>
      <c r="I252" s="33" t="str">
        <f ca="1">IFERROR(__xludf.DUMMYFUNCTION("""COMPUTED_VALUE"""),"C202612694221558027")</f>
        <v>C202612694221558027</v>
      </c>
      <c r="J252" s="33" t="str">
        <f ca="1">IFERROR(__xludf.DUMMYFUNCTION("""COMPUTED_VALUE"""),"MARTIN AGUADO BLAZQUEZ")</f>
        <v>MARTIN AGUADO BLAZQUEZ</v>
      </c>
      <c r="K252" s="56">
        <f ca="1">IFERROR(__xludf.DUMMYFUNCTION("""COMPUTED_VALUE"""),1)</f>
        <v>1</v>
      </c>
      <c r="L252" s="62">
        <f ca="1">IFERROR(__xludf.DUMMYFUNCTION("""COMPUTED_VALUE"""),2481.82)</f>
        <v>2481.8200000000002</v>
      </c>
      <c r="M252" s="33" t="str">
        <f ca="1">IFERROR(__xludf.DUMMYFUNCTION("""COMPUTED_VALUE"""),"03 ORL")</f>
        <v>03 ORL</v>
      </c>
      <c r="N252" s="33" t="str">
        <f ca="1">IFERROR(__xludf.DUMMYFUNCTION("""COMPUTED_VALUE"""),"06 ORL")</f>
        <v>06 ORL</v>
      </c>
      <c r="O252" s="33" t="str">
        <f ca="1">IFERROR(__xludf.DUMMYFUNCTION("""COMPUTED_VALUE"""),"Dr, Javier García Domínguez")</f>
        <v>Dr, Javier García Domínguez</v>
      </c>
      <c r="P252" s="33" t="str">
        <f ca="1">IFERROR(__xludf.DUMMYFUNCTION("""COMPUTED_VALUE"""),"Maika Blázquez (Madrid)")</f>
        <v>Maika Blázquez (Madrid)</v>
      </c>
    </row>
    <row r="253" spans="2:16" ht="18" customHeight="1">
      <c r="B253" s="74">
        <f ca="1">IFERROR(__xludf.DUMMYFUNCTION("""COMPUTED_VALUE"""),2026)</f>
        <v>2026</v>
      </c>
      <c r="C253" s="56">
        <f ca="1">IFERROR(__xludf.DUMMYFUNCTION("""COMPUTED_VALUE"""),2)</f>
        <v>2</v>
      </c>
      <c r="D253" s="33" t="str">
        <f ca="1">IFERROR(__xludf.DUMMYFUNCTION("""COMPUTED_VALUE"""),"NO")</f>
        <v>NO</v>
      </c>
      <c r="E253" s="33" t="str">
        <f ca="1">IFERROR(__xludf.DUMMYFUNCTION("""COMPUTED_VALUE"""),"San Javier")</f>
        <v>San Javier</v>
      </c>
      <c r="F253" s="57">
        <f ca="1">IFERROR(__xludf.DUMMYFUNCTION("""COMPUTED_VALUE"""),46079)</f>
        <v>46079</v>
      </c>
      <c r="G253" s="57">
        <f ca="1">IFERROR(__xludf.DUMMYFUNCTION("""COMPUTED_VALUE"""),46044)</f>
        <v>46044</v>
      </c>
      <c r="H253" s="33" t="str">
        <f ca="1">IFERROR(__xludf.DUMMYFUNCTION("""COMPUTED_VALUE"""),"San Javier")</f>
        <v>San Javier</v>
      </c>
      <c r="I253" s="33" t="str">
        <f ca="1">IFERROR(__xludf.DUMMYFUNCTION("""COMPUTED_VALUE"""),"C202612215332992198")</f>
        <v>C202612215332992198</v>
      </c>
      <c r="J253" s="33" t="str">
        <f ca="1">IFERROR(__xludf.DUMMYFUNCTION("""COMPUTED_VALUE"""),"FRANCISCA GARCIA LOPEZ")</f>
        <v>FRANCISCA GARCIA LOPEZ</v>
      </c>
      <c r="K253" s="56">
        <f ca="1">IFERROR(__xludf.DUMMYFUNCTION("""COMPUTED_VALUE"""),2)</f>
        <v>2</v>
      </c>
      <c r="L253" s="62">
        <f ca="1">IFERROR(__xludf.DUMMYFUNCTION("""COMPUTED_VALUE"""),4536.36)</f>
        <v>4536.3599999999997</v>
      </c>
      <c r="M253" s="33" t="str">
        <f ca="1">IFERROR(__xludf.DUMMYFUNCTION("""COMPUTED_VALUE"""),"03 ORL")</f>
        <v>03 ORL</v>
      </c>
      <c r="N253" s="33" t="str">
        <f ca="1">IFERROR(__xludf.DUMMYFUNCTION("""COMPUTED_VALUE"""),"06 ORL")</f>
        <v>06 ORL</v>
      </c>
      <c r="O253" s="33" t="str">
        <f ca="1">IFERROR(__xludf.DUMMYFUNCTION("""COMPUTED_VALUE"""),"Dr, Ángel Onofre Pérez Coll")</f>
        <v>Dr, Ángel Onofre Pérez Coll</v>
      </c>
      <c r="P253" s="33" t="str">
        <f ca="1">IFERROR(__xludf.DUMMYFUNCTION("""COMPUTED_VALUE"""),"Iván Sánchez (Levante y Albacete)")</f>
        <v>Iván Sánchez (Levante y Albacete)</v>
      </c>
    </row>
    <row r="254" spans="2:16">
      <c r="B254" s="74">
        <f ca="1">IFERROR(__xludf.DUMMYFUNCTION("""COMPUTED_VALUE"""),2026)</f>
        <v>2026</v>
      </c>
      <c r="C254" s="56">
        <f ca="1">IFERROR(__xludf.DUMMYFUNCTION("""COMPUTED_VALUE"""),2)</f>
        <v>2</v>
      </c>
      <c r="D254" s="33" t="str">
        <f ca="1">IFERROR(__xludf.DUMMYFUNCTION("""COMPUTED_VALUE"""),"NO")</f>
        <v>NO</v>
      </c>
      <c r="E254" s="33" t="str">
        <f ca="1">IFERROR(__xludf.DUMMYFUNCTION("""COMPUTED_VALUE"""),"San Javier")</f>
        <v>San Javier</v>
      </c>
      <c r="F254" s="57">
        <f ca="1">IFERROR(__xludf.DUMMYFUNCTION("""COMPUTED_VALUE"""),46079)</f>
        <v>46079</v>
      </c>
      <c r="G254" s="57">
        <f ca="1">IFERROR(__xludf.DUMMYFUNCTION("""COMPUTED_VALUE"""),46066)</f>
        <v>46066</v>
      </c>
      <c r="H254" s="33" t="str">
        <f ca="1">IFERROR(__xludf.DUMMYFUNCTION("""COMPUTED_VALUE"""),"San Javier")</f>
        <v>San Javier</v>
      </c>
      <c r="I254" s="33" t="str">
        <f ca="1">IFERROR(__xludf.DUMMYFUNCTION("""COMPUTED_VALUE"""),"C202621391629035747")</f>
        <v>C202621391629035747</v>
      </c>
      <c r="J254" s="33" t="str">
        <f ca="1">IFERROR(__xludf.DUMMYFUNCTION("""COMPUTED_VALUE"""),"MARIA PILAR MARTINEZ GARCERAN")</f>
        <v>MARIA PILAR MARTINEZ GARCERAN</v>
      </c>
      <c r="K254" s="56">
        <f ca="1">IFERROR(__xludf.DUMMYFUNCTION("""COMPUTED_VALUE"""),2)</f>
        <v>2</v>
      </c>
      <c r="L254" s="62">
        <f ca="1">IFERROR(__xludf.DUMMYFUNCTION("""COMPUTED_VALUE"""),4536.36)</f>
        <v>4536.3599999999997</v>
      </c>
      <c r="M254" s="33" t="str">
        <f ca="1">IFERROR(__xludf.DUMMYFUNCTION("""COMPUTED_VALUE"""),"03 ORL")</f>
        <v>03 ORL</v>
      </c>
      <c r="N254" s="33" t="str">
        <f ca="1">IFERROR(__xludf.DUMMYFUNCTION("""COMPUTED_VALUE"""),"06 ORL")</f>
        <v>06 ORL</v>
      </c>
      <c r="O254" s="33" t="str">
        <f ca="1">IFERROR(__xludf.DUMMYFUNCTION("""COMPUTED_VALUE"""),"Dr, Alberto Raposo Jiménez")</f>
        <v>Dr, Alberto Raposo Jiménez</v>
      </c>
      <c r="P254" s="33" t="str">
        <f ca="1">IFERROR(__xludf.DUMMYFUNCTION("""COMPUTED_VALUE"""),"Iván Sánchez (Levante y Albacete)")</f>
        <v>Iván Sánchez (Levante y Albacete)</v>
      </c>
    </row>
    <row r="255" spans="2:16">
      <c r="B255" s="74">
        <f ca="1">IFERROR(__xludf.DUMMYFUNCTION("""COMPUTED_VALUE"""),2026)</f>
        <v>2026</v>
      </c>
      <c r="C255" s="56">
        <f ca="1">IFERROR(__xludf.DUMMYFUNCTION("""COMPUTED_VALUE"""),2)</f>
        <v>2</v>
      </c>
      <c r="D255" s="33" t="str">
        <f ca="1">IFERROR(__xludf.DUMMYFUNCTION("""COMPUTED_VALUE"""),"NO")</f>
        <v>NO</v>
      </c>
      <c r="E255" s="33" t="str">
        <f ca="1">IFERROR(__xludf.DUMMYFUNCTION("""COMPUTED_VALUE"""),"Madrid- Moratalaz")</f>
        <v>Madrid- Moratalaz</v>
      </c>
      <c r="F255" s="57">
        <f ca="1">IFERROR(__xludf.DUMMYFUNCTION("""COMPUTED_VALUE"""),46079)</f>
        <v>46079</v>
      </c>
      <c r="G255" s="57">
        <f ca="1">IFERROR(__xludf.DUMMYFUNCTION("""COMPUTED_VALUE"""),46073)</f>
        <v>46073</v>
      </c>
      <c r="H255" s="33" t="str">
        <f ca="1">IFERROR(__xludf.DUMMYFUNCTION("""COMPUTED_VALUE"""),"Moratalaz")</f>
        <v>Moratalaz</v>
      </c>
      <c r="I255" s="33" t="str">
        <f ca="1">IFERROR(__xludf.DUMMYFUNCTION("""COMPUTED_VALUE"""),"C202622085534244744")</f>
        <v>C202622085534244744</v>
      </c>
      <c r="J255" s="33" t="str">
        <f ca="1">IFERROR(__xludf.DUMMYFUNCTION("""COMPUTED_VALUE"""),"MARIA  MATEO HERNANDEZ")</f>
        <v>MARIA  MATEO HERNANDEZ</v>
      </c>
      <c r="K255" s="56">
        <f ca="1">IFERROR(__xludf.DUMMYFUNCTION("""COMPUTED_VALUE"""),2)</f>
        <v>2</v>
      </c>
      <c r="L255" s="62">
        <f ca="1">IFERROR(__xludf.DUMMYFUNCTION("""COMPUTED_VALUE"""),3631.82)</f>
        <v>3631.82</v>
      </c>
      <c r="M255" s="33" t="str">
        <f ca="1">IFERROR(__xludf.DUMMYFUNCTION("""COMPUTED_VALUE"""),"03 ORL")</f>
        <v>03 ORL</v>
      </c>
      <c r="N255" s="33" t="str">
        <f ca="1">IFERROR(__xludf.DUMMYFUNCTION("""COMPUTED_VALUE"""),"06 ORL")</f>
        <v>06 ORL</v>
      </c>
      <c r="O255" s="33" t="str">
        <f ca="1">IFERROR(__xludf.DUMMYFUNCTION("""COMPUTED_VALUE"""),"Dr, Esteban Scola Pliego")</f>
        <v>Dr, Esteban Scola Pliego</v>
      </c>
      <c r="P255" s="33" t="str">
        <f ca="1">IFERROR(__xludf.DUMMYFUNCTION("""COMPUTED_VALUE"""),"Maika Blázquez (Madrid)")</f>
        <v>Maika Blázquez (Madrid)</v>
      </c>
    </row>
    <row r="256" spans="2:16">
      <c r="B256" s="74">
        <f ca="1">IFERROR(__xludf.DUMMYFUNCTION("""COMPUTED_VALUE"""),2026)</f>
        <v>2026</v>
      </c>
      <c r="C256" s="56">
        <f ca="1">IFERROR(__xludf.DUMMYFUNCTION("""COMPUTED_VALUE"""),2)</f>
        <v>2</v>
      </c>
      <c r="D256" s="33" t="str">
        <f ca="1">IFERROR(__xludf.DUMMYFUNCTION("""COMPUTED_VALUE"""),"NO")</f>
        <v>NO</v>
      </c>
      <c r="E256" s="33" t="str">
        <f ca="1">IFERROR(__xludf.DUMMYFUNCTION("""COMPUTED_VALUE"""),"Alicante")</f>
        <v>Alicante</v>
      </c>
      <c r="F256" s="57">
        <f ca="1">IFERROR(__xludf.DUMMYFUNCTION("""COMPUTED_VALUE"""),46079)</f>
        <v>46079</v>
      </c>
      <c r="G256" s="57">
        <f ca="1">IFERROR(__xludf.DUMMYFUNCTION("""COMPUTED_VALUE"""),45348)</f>
        <v>45348</v>
      </c>
      <c r="H256" s="33" t="str">
        <f ca="1">IFERROR(__xludf.DUMMYFUNCTION("""COMPUTED_VALUE"""),"Alicante")</f>
        <v>Alicante</v>
      </c>
      <c r="I256" s="33" t="str">
        <f ca="1">IFERROR(__xludf.DUMMYFUNCTION("""COMPUTED_VALUE"""),"ALC-3827")</f>
        <v>ALC-3827</v>
      </c>
      <c r="J256" s="33" t="str">
        <f ca="1">IFERROR(__xludf.DUMMYFUNCTION("""COMPUTED_VALUE"""),"RICARDO MARTINEZ CABAÑAS ESPAÑOL")</f>
        <v>RICARDO MARTINEZ CABAÑAS ESPAÑOL</v>
      </c>
      <c r="K256" s="56">
        <f ca="1">IFERROR(__xludf.DUMMYFUNCTION("""COMPUTED_VALUE"""),2)</f>
        <v>2</v>
      </c>
      <c r="L256" s="62">
        <f ca="1">IFERROR(__xludf.DUMMYFUNCTION("""COMPUTED_VALUE"""),3631.82)</f>
        <v>3631.82</v>
      </c>
      <c r="M256" s="33" t="str">
        <f ca="1">IFERROR(__xludf.DUMMYFUNCTION("""COMPUTED_VALUE"""),"03 ORL")</f>
        <v>03 ORL</v>
      </c>
      <c r="N256" s="33" t="str">
        <f ca="1">IFERROR(__xludf.DUMMYFUNCTION("""COMPUTED_VALUE"""),"06 ORL")</f>
        <v>06 ORL</v>
      </c>
      <c r="O256" s="33" t="str">
        <f ca="1">IFERROR(__xludf.DUMMYFUNCTION("""COMPUTED_VALUE"""),"Dra, Cristina Muñoz Pinto")</f>
        <v>Dra, Cristina Muñoz Pinto</v>
      </c>
      <c r="P256" s="33" t="str">
        <f ca="1">IFERROR(__xludf.DUMMYFUNCTION("""COMPUTED_VALUE"""),"Iván Sánchez (Levante y Albacete)")</f>
        <v>Iván Sánchez (Levante y Albacete)</v>
      </c>
    </row>
    <row r="257" spans="2:16">
      <c r="B257" s="74">
        <f ca="1">IFERROR(__xludf.DUMMYFUNCTION("""COMPUTED_VALUE"""),2026)</f>
        <v>2026</v>
      </c>
      <c r="C257" s="56">
        <f ca="1">IFERROR(__xludf.DUMMYFUNCTION("""COMPUTED_VALUE"""),2)</f>
        <v>2</v>
      </c>
      <c r="D257" s="33" t="str">
        <f ca="1">IFERROR(__xludf.DUMMYFUNCTION("""COMPUTED_VALUE"""),"NO")</f>
        <v>NO</v>
      </c>
      <c r="E257" s="33" t="str">
        <f ca="1">IFERROR(__xludf.DUMMYFUNCTION("""COMPUTED_VALUE"""),"El Albir (Benidorm)")</f>
        <v>El Albir (Benidorm)</v>
      </c>
      <c r="F257" s="57">
        <f ca="1">IFERROR(__xludf.DUMMYFUNCTION("""COMPUTED_VALUE"""),46079)</f>
        <v>46079</v>
      </c>
      <c r="G257" s="57">
        <f ca="1">IFERROR(__xludf.DUMMYFUNCTION("""COMPUTED_VALUE"""),46010)</f>
        <v>46010</v>
      </c>
      <c r="H257" s="33" t="str">
        <f ca="1">IFERROR(__xludf.DUMMYFUNCTION("""COMPUTED_VALUE"""),"El Albir (Benidorm)")</f>
        <v>El Albir (Benidorm)</v>
      </c>
      <c r="I257" s="33" t="str">
        <f ca="1">IFERROR(__xludf.DUMMYFUNCTION("""COMPUTED_VALUE"""),"C202512191013203444")</f>
        <v>C202512191013203444</v>
      </c>
      <c r="J257" s="33" t="str">
        <f ca="1">IFERROR(__xludf.DUMMYFUNCTION("""COMPUTED_VALUE"""),"RUTH ESTEVE MARTINEZ")</f>
        <v>RUTH ESTEVE MARTINEZ</v>
      </c>
      <c r="K257" s="56">
        <f ca="1">IFERROR(__xludf.DUMMYFUNCTION("""COMPUTED_VALUE"""),1)</f>
        <v>1</v>
      </c>
      <c r="L257" s="62">
        <f ca="1">IFERROR(__xludf.DUMMYFUNCTION("""COMPUTED_VALUE"""),2071.86)</f>
        <v>2071.86</v>
      </c>
      <c r="M257" s="33" t="str">
        <f ca="1">IFERROR(__xludf.DUMMYFUNCTION("""COMPUTED_VALUE"""),"03 ORL")</f>
        <v>03 ORL</v>
      </c>
      <c r="N257" s="33" t="str">
        <f ca="1">IFERROR(__xludf.DUMMYFUNCTION("""COMPUTED_VALUE"""),"06 ORL")</f>
        <v>06 ORL</v>
      </c>
      <c r="O257" s="33" t="str">
        <f ca="1">IFERROR(__xludf.DUMMYFUNCTION("""COMPUTED_VALUE"""),"Dra, Isabel Polo Tomás")</f>
        <v>Dra, Isabel Polo Tomás</v>
      </c>
      <c r="P257" s="33" t="str">
        <f ca="1">IFERROR(__xludf.DUMMYFUNCTION("""COMPUTED_VALUE"""),"Ramon Ferrando(Valencia)")</f>
        <v>Ramon Ferrando(Valencia)</v>
      </c>
    </row>
    <row r="258" spans="2:16">
      <c r="B258" s="74">
        <f ca="1">IFERROR(__xludf.DUMMYFUNCTION("""COMPUTED_VALUE"""),2026)</f>
        <v>2026</v>
      </c>
      <c r="C258" s="56">
        <f ca="1">IFERROR(__xludf.DUMMYFUNCTION("""COMPUTED_VALUE"""),2)</f>
        <v>2</v>
      </c>
      <c r="D258" s="33" t="str">
        <f ca="1">IFERROR(__xludf.DUMMYFUNCTION("""COMPUTED_VALUE"""),"NO")</f>
        <v>NO</v>
      </c>
      <c r="E258" s="33" t="str">
        <f ca="1">IFERROR(__xludf.DUMMYFUNCTION("""COMPUTED_VALUE"""),"El Albir (Benidorm)")</f>
        <v>El Albir (Benidorm)</v>
      </c>
      <c r="F258" s="57">
        <f ca="1">IFERROR(__xludf.DUMMYFUNCTION("""COMPUTED_VALUE"""),46079)</f>
        <v>46079</v>
      </c>
      <c r="G258" s="57">
        <f ca="1">IFERROR(__xludf.DUMMYFUNCTION("""COMPUTED_VALUE"""),46027)</f>
        <v>46027</v>
      </c>
      <c r="H258" s="33" t="str">
        <f ca="1">IFERROR(__xludf.DUMMYFUNCTION("""COMPUTED_VALUE"""),"El Albir (Benidorm)")</f>
        <v>El Albir (Benidorm)</v>
      </c>
      <c r="I258" s="33" t="str">
        <f ca="1">IFERROR(__xludf.DUMMYFUNCTION("""COMPUTED_VALUE"""),"C202615125517101826")</f>
        <v>C202615125517101826</v>
      </c>
      <c r="J258" s="33" t="str">
        <f ca="1">IFERROR(__xludf.DUMMYFUNCTION("""COMPUTED_VALUE"""),"MARIA PILAR DIAZ LOPEZ")</f>
        <v>MARIA PILAR DIAZ LOPEZ</v>
      </c>
      <c r="K258" s="56">
        <f ca="1">IFERROR(__xludf.DUMMYFUNCTION("""COMPUTED_VALUE"""),1)</f>
        <v>1</v>
      </c>
      <c r="L258" s="62">
        <f ca="1">IFERROR(__xludf.DUMMYFUNCTION("""COMPUTED_VALUE"""),2180.91)</f>
        <v>2180.91</v>
      </c>
      <c r="M258" s="33" t="str">
        <f ca="1">IFERROR(__xludf.DUMMYFUNCTION("""COMPUTED_VALUE"""),"03 ORL")</f>
        <v>03 ORL</v>
      </c>
      <c r="N258" s="33" t="str">
        <f ca="1">IFERROR(__xludf.DUMMYFUNCTION("""COMPUTED_VALUE"""),"06 ORL")</f>
        <v>06 ORL</v>
      </c>
      <c r="O258" s="33" t="str">
        <f ca="1">IFERROR(__xludf.DUMMYFUNCTION("""COMPUTED_VALUE"""),"Dra, María Emilia García Ruiz")</f>
        <v>Dra, María Emilia García Ruiz</v>
      </c>
      <c r="P258" s="33" t="str">
        <f ca="1">IFERROR(__xludf.DUMMYFUNCTION("""COMPUTED_VALUE"""),"Ramon Ferrando(Valencia)")</f>
        <v>Ramon Ferrando(Valencia)</v>
      </c>
    </row>
    <row r="259" spans="2:16">
      <c r="B259" s="74">
        <f ca="1">IFERROR(__xludf.DUMMYFUNCTION("""COMPUTED_VALUE"""),2026)</f>
        <v>2026</v>
      </c>
      <c r="C259" s="56">
        <f ca="1">IFERROR(__xludf.DUMMYFUNCTION("""COMPUTED_VALUE"""),2)</f>
        <v>2</v>
      </c>
      <c r="D259" s="33" t="str">
        <f ca="1">IFERROR(__xludf.DUMMYFUNCTION("""COMPUTED_VALUE"""),"NO")</f>
        <v>NO</v>
      </c>
      <c r="E259" s="33" t="str">
        <f ca="1">IFERROR(__xludf.DUMMYFUNCTION("""COMPUTED_VALUE"""),"Albacete")</f>
        <v>Albacete</v>
      </c>
      <c r="F259" s="57">
        <f ca="1">IFERROR(__xludf.DUMMYFUNCTION("""COMPUTED_VALUE"""),46079)</f>
        <v>46079</v>
      </c>
      <c r="G259" s="57">
        <f ca="1">IFERROR(__xludf.DUMMYFUNCTION("""COMPUTED_VALUE"""),46043)</f>
        <v>46043</v>
      </c>
      <c r="H259" s="33" t="str">
        <f ca="1">IFERROR(__xludf.DUMMYFUNCTION("""COMPUTED_VALUE"""),"Albacete")</f>
        <v>Albacete</v>
      </c>
      <c r="I259" s="33" t="str">
        <f ca="1">IFERROR(__xludf.DUMMYFUNCTION("""COMPUTED_VALUE"""),"C202612111484650878")</f>
        <v>C202612111484650878</v>
      </c>
      <c r="J259" s="33" t="str">
        <f ca="1">IFERROR(__xludf.DUMMYFUNCTION("""COMPUTED_VALUE"""),"MARIA CARMEN PINA DE YLLANA")</f>
        <v>MARIA CARMEN PINA DE YLLANA</v>
      </c>
      <c r="K259" s="56">
        <f ca="1">IFERROR(__xludf.DUMMYFUNCTION("""COMPUTED_VALUE"""),2)</f>
        <v>2</v>
      </c>
      <c r="L259" s="62">
        <f ca="1">IFERROR(__xludf.DUMMYFUNCTION("""COMPUTED_VALUE"""),4136.36)</f>
        <v>4136.3599999999997</v>
      </c>
      <c r="M259" s="33" t="str">
        <f ca="1">IFERROR(__xludf.DUMMYFUNCTION("""COMPUTED_VALUE"""),"03 ORL")</f>
        <v>03 ORL</v>
      </c>
      <c r="N259" s="33" t="str">
        <f ca="1">IFERROR(__xludf.DUMMYFUNCTION("""COMPUTED_VALUE"""),"06 ORL")</f>
        <v>06 ORL</v>
      </c>
      <c r="O259" s="33" t="str">
        <f ca="1">IFERROR(__xludf.DUMMYFUNCTION("""COMPUTED_VALUE"""),"Dr, Pedro Seguí Moya")</f>
        <v>Dr, Pedro Seguí Moya</v>
      </c>
      <c r="P259" s="33" t="str">
        <f ca="1">IFERROR(__xludf.DUMMYFUNCTION("""COMPUTED_VALUE"""),"Iván Sánchez (Levante y Albacete)")</f>
        <v>Iván Sánchez (Levante y Albacete)</v>
      </c>
    </row>
    <row r="260" spans="2:16">
      <c r="B260" s="74">
        <f ca="1">IFERROR(__xludf.DUMMYFUNCTION("""COMPUTED_VALUE"""),2026)</f>
        <v>2026</v>
      </c>
      <c r="C260" s="56">
        <f ca="1">IFERROR(__xludf.DUMMYFUNCTION("""COMPUTED_VALUE"""),2)</f>
        <v>2</v>
      </c>
      <c r="D260" s="33" t="str">
        <f ca="1">IFERROR(__xludf.DUMMYFUNCTION("""COMPUTED_VALUE"""),"NO")</f>
        <v>NO</v>
      </c>
      <c r="E260" s="33" t="str">
        <f ca="1">IFERROR(__xludf.DUMMYFUNCTION("""COMPUTED_VALUE"""),"Murcia")</f>
        <v>Murcia</v>
      </c>
      <c r="F260" s="57">
        <f ca="1">IFERROR(__xludf.DUMMYFUNCTION("""COMPUTED_VALUE"""),46079)</f>
        <v>46079</v>
      </c>
      <c r="G260" s="57">
        <f ca="1">IFERROR(__xludf.DUMMYFUNCTION("""COMPUTED_VALUE"""),46051)</f>
        <v>46051</v>
      </c>
      <c r="H260" s="33" t="str">
        <f ca="1">IFERROR(__xludf.DUMMYFUNCTION("""COMPUTED_VALUE"""),"Murcia")</f>
        <v>Murcia</v>
      </c>
      <c r="I260" s="33" t="str">
        <f ca="1">IFERROR(__xludf.DUMMYFUNCTION("""COMPUTED_VALUE"""),"C202612912325824973")</f>
        <v>C202612912325824973</v>
      </c>
      <c r="J260" s="33" t="str">
        <f ca="1">IFERROR(__xludf.DUMMYFUNCTION("""COMPUTED_VALUE"""),"FRANCISCO LAZARO NICOLAS")</f>
        <v>FRANCISCO LAZARO NICOLAS</v>
      </c>
      <c r="K260" s="56">
        <f ca="1">IFERROR(__xludf.DUMMYFUNCTION("""COMPUTED_VALUE"""),2)</f>
        <v>2</v>
      </c>
      <c r="L260" s="62">
        <f ca="1">IFERROR(__xludf.DUMMYFUNCTION("""COMPUTED_VALUE"""),4134.62)</f>
        <v>4134.62</v>
      </c>
      <c r="M260" s="33" t="str">
        <f ca="1">IFERROR(__xludf.DUMMYFUNCTION("""COMPUTED_VALUE"""),"03 ORL")</f>
        <v>03 ORL</v>
      </c>
      <c r="N260" s="33" t="str">
        <f ca="1">IFERROR(__xludf.DUMMYFUNCTION("""COMPUTED_VALUE"""),"06 ORL")</f>
        <v>06 ORL</v>
      </c>
      <c r="O260" s="33" t="str">
        <f ca="1">IFERROR(__xludf.DUMMYFUNCTION("""COMPUTED_VALUE"""),"Dra, María López Robles")</f>
        <v>Dra, María López Robles</v>
      </c>
      <c r="P260" s="33" t="str">
        <f ca="1">IFERROR(__xludf.DUMMYFUNCTION("""COMPUTED_VALUE"""),"Iván Sánchez (Levante y Albacete)")</f>
        <v>Iván Sánchez (Levante y Albacete)</v>
      </c>
    </row>
    <row r="261" spans="2:16">
      <c r="B261" s="74">
        <f ca="1">IFERROR(__xludf.DUMMYFUNCTION("""COMPUTED_VALUE"""),2026)</f>
        <v>2026</v>
      </c>
      <c r="C261" s="56">
        <f ca="1">IFERROR(__xludf.DUMMYFUNCTION("""COMPUTED_VALUE"""),2)</f>
        <v>2</v>
      </c>
      <c r="D261" s="33" t="str">
        <f ca="1">IFERROR(__xludf.DUMMYFUNCTION("""COMPUTED_VALUE"""),"NO")</f>
        <v>NO</v>
      </c>
      <c r="E261" s="33" t="str">
        <f ca="1">IFERROR(__xludf.DUMMYFUNCTION("""COMPUTED_VALUE"""),"Murcia")</f>
        <v>Murcia</v>
      </c>
      <c r="F261" s="57">
        <f ca="1">IFERROR(__xludf.DUMMYFUNCTION("""COMPUTED_VALUE"""),46079)</f>
        <v>46079</v>
      </c>
      <c r="G261" s="57">
        <f ca="1">IFERROR(__xludf.DUMMYFUNCTION("""COMPUTED_VALUE"""),46056)</f>
        <v>46056</v>
      </c>
      <c r="H261" s="33" t="str">
        <f ca="1">IFERROR(__xludf.DUMMYFUNCTION("""COMPUTED_VALUE"""),"Murcia")</f>
        <v>Murcia</v>
      </c>
      <c r="I261" s="33" t="str">
        <f ca="1">IFERROR(__xludf.DUMMYFUNCTION("""COMPUTED_VALUE"""),"C20262391419663611")</f>
        <v>C20262391419663611</v>
      </c>
      <c r="J261" s="33" t="str">
        <f ca="1">IFERROR(__xludf.DUMMYFUNCTION("""COMPUTED_VALUE"""),"MARIA TERESA ORBAÑANOS LARROUY")</f>
        <v>MARIA TERESA ORBAÑANOS LARROUY</v>
      </c>
      <c r="K261" s="56">
        <f ca="1">IFERROR(__xludf.DUMMYFUNCTION("""COMPUTED_VALUE"""),2)</f>
        <v>2</v>
      </c>
      <c r="L261" s="62">
        <f ca="1">IFERROR(__xludf.DUMMYFUNCTION("""COMPUTED_VALUE"""),2718.18)</f>
        <v>2718.18</v>
      </c>
      <c r="M261" s="33" t="str">
        <f ca="1">IFERROR(__xludf.DUMMYFUNCTION("""COMPUTED_VALUE"""),"03 ORL")</f>
        <v>03 ORL</v>
      </c>
      <c r="N261" s="33" t="str">
        <f ca="1">IFERROR(__xludf.DUMMYFUNCTION("""COMPUTED_VALUE"""),"06 ORL")</f>
        <v>06 ORL</v>
      </c>
      <c r="O261" s="33" t="str">
        <f ca="1">IFERROR(__xludf.DUMMYFUNCTION("""COMPUTED_VALUE"""),"Dr, Enrique Viviente Rodríguez")</f>
        <v>Dr, Enrique Viviente Rodríguez</v>
      </c>
      <c r="P261" s="33" t="str">
        <f ca="1">IFERROR(__xludf.DUMMYFUNCTION("""COMPUTED_VALUE"""),"Iván Sánchez (Levante y Albacete)")</f>
        <v>Iván Sánchez (Levante y Albacete)</v>
      </c>
    </row>
    <row r="262" spans="2:16">
      <c r="B262" s="74">
        <f ca="1">IFERROR(__xludf.DUMMYFUNCTION("""COMPUTED_VALUE"""),2026)</f>
        <v>2026</v>
      </c>
      <c r="C262" s="56">
        <f ca="1">IFERROR(__xludf.DUMMYFUNCTION("""COMPUTED_VALUE"""),2)</f>
        <v>2</v>
      </c>
      <c r="D262" s="33" t="str">
        <f ca="1">IFERROR(__xludf.DUMMYFUNCTION("""COMPUTED_VALUE"""),"NO")</f>
        <v>NO</v>
      </c>
      <c r="E262" s="33" t="str">
        <f ca="1">IFERROR(__xludf.DUMMYFUNCTION("""COMPUTED_VALUE"""),"Getafe")</f>
        <v>Getafe</v>
      </c>
      <c r="F262" s="57">
        <f ca="1">IFERROR(__xludf.DUMMYFUNCTION("""COMPUTED_VALUE"""),46079)</f>
        <v>46079</v>
      </c>
      <c r="G262" s="57">
        <f ca="1">IFERROR(__xludf.DUMMYFUNCTION("""COMPUTED_VALUE"""),46055)</f>
        <v>46055</v>
      </c>
      <c r="H262" s="33" t="str">
        <f ca="1">IFERROR(__xludf.DUMMYFUNCTION("""COMPUTED_VALUE"""),"Getafe")</f>
        <v>Getafe</v>
      </c>
      <c r="I262" s="33" t="str">
        <f ca="1">IFERROR(__xludf.DUMMYFUNCTION("""COMPUTED_VALUE"""),"C202622143610588879")</f>
        <v>C202622143610588879</v>
      </c>
      <c r="J262" s="33" t="str">
        <f ca="1">IFERROR(__xludf.DUMMYFUNCTION("""COMPUTED_VALUE"""),"JOSE LUIS DOMINGUEZ ALONSO")</f>
        <v>JOSE LUIS DOMINGUEZ ALONSO</v>
      </c>
      <c r="K262" s="56">
        <f ca="1">IFERROR(__xludf.DUMMYFUNCTION("""COMPUTED_VALUE"""),2)</f>
        <v>2</v>
      </c>
      <c r="L262" s="62">
        <f ca="1">IFERROR(__xludf.DUMMYFUNCTION("""COMPUTED_VALUE"""),2718.18)</f>
        <v>2718.18</v>
      </c>
      <c r="M262" s="33" t="str">
        <f ca="1">IFERROR(__xludf.DUMMYFUNCTION("""COMPUTED_VALUE"""),"03 ORL")</f>
        <v>03 ORL</v>
      </c>
      <c r="N262" s="33" t="str">
        <f ca="1">IFERROR(__xludf.DUMMYFUNCTION("""COMPUTED_VALUE"""),"06 ORL")</f>
        <v>06 ORL</v>
      </c>
      <c r="O262" s="33" t="str">
        <f ca="1">IFERROR(__xludf.DUMMYFUNCTION("""COMPUTED_VALUE"""),"Dra, Paloma Pinacho Martínez")</f>
        <v>Dra, Paloma Pinacho Martínez</v>
      </c>
      <c r="P262" s="33" t="str">
        <f ca="1">IFERROR(__xludf.DUMMYFUNCTION("""COMPUTED_VALUE"""),"Maika Blázquez (Madrid)")</f>
        <v>Maika Blázquez (Madrid)</v>
      </c>
    </row>
    <row r="263" spans="2:16">
      <c r="B263" s="74">
        <f ca="1">IFERROR(__xludf.DUMMYFUNCTION("""COMPUTED_VALUE"""),2026)</f>
        <v>2026</v>
      </c>
      <c r="C263" s="56">
        <f ca="1">IFERROR(__xludf.DUMMYFUNCTION("""COMPUTED_VALUE"""),2)</f>
        <v>2</v>
      </c>
      <c r="D263" s="33" t="str">
        <f ca="1">IFERROR(__xludf.DUMMYFUNCTION("""COMPUTED_VALUE"""),"NO")</f>
        <v>NO</v>
      </c>
      <c r="E263" s="33" t="str">
        <f ca="1">IFERROR(__xludf.DUMMYFUNCTION("""COMPUTED_VALUE"""),"Orihuela")</f>
        <v>Orihuela</v>
      </c>
      <c r="F263" s="57">
        <f ca="1">IFERROR(__xludf.DUMMYFUNCTION("""COMPUTED_VALUE"""),46079)</f>
        <v>46079</v>
      </c>
      <c r="G263" s="57">
        <f ca="1">IFERROR(__xludf.DUMMYFUNCTION("""COMPUTED_VALUE"""),46056)</f>
        <v>46056</v>
      </c>
      <c r="H263" s="33" t="str">
        <f ca="1">IFERROR(__xludf.DUMMYFUNCTION("""COMPUTED_VALUE"""),"La Zenia")</f>
        <v>La Zenia</v>
      </c>
      <c r="I263" s="33" t="str">
        <f ca="1">IFERROR(__xludf.DUMMYFUNCTION("""COMPUTED_VALUE"""),"C2026239206560406")</f>
        <v>C2026239206560406</v>
      </c>
      <c r="J263" s="33" t="str">
        <f ca="1">IFERROR(__xludf.DUMMYFUNCTION("""COMPUTED_VALUE"""),"JANET RICHARDSON")</f>
        <v>JANET RICHARDSON</v>
      </c>
      <c r="K263" s="56">
        <f ca="1">IFERROR(__xludf.DUMMYFUNCTION("""COMPUTED_VALUE"""),2)</f>
        <v>2</v>
      </c>
      <c r="L263" s="62">
        <f ca="1">IFERROR(__xludf.DUMMYFUNCTION("""COMPUTED_VALUE"""),2718.18)</f>
        <v>2718.18</v>
      </c>
      <c r="M263" s="33" t="str">
        <f ca="1">IFERROR(__xludf.DUMMYFUNCTION("""COMPUTED_VALUE"""),"03 ORL")</f>
        <v>03 ORL</v>
      </c>
      <c r="N263" s="33" t="str">
        <f ca="1">IFERROR(__xludf.DUMMYFUNCTION("""COMPUTED_VALUE"""),"06 ORL")</f>
        <v>06 ORL</v>
      </c>
      <c r="O263" s="33" t="str">
        <f ca="1">IFERROR(__xludf.DUMMYFUNCTION("""COMPUTED_VALUE"""),"Dra, Paula Hernández Ruíz")</f>
        <v>Dra, Paula Hernández Ruíz</v>
      </c>
      <c r="P263" s="33" t="str">
        <f ca="1">IFERROR(__xludf.DUMMYFUNCTION("""COMPUTED_VALUE"""),"Iván Sánchez (Levante y Albacete)")</f>
        <v>Iván Sánchez (Levante y Albacete)</v>
      </c>
    </row>
    <row r="264" spans="2:16">
      <c r="B264" s="74">
        <f ca="1">IFERROR(__xludf.DUMMYFUNCTION("""COMPUTED_VALUE"""),2026)</f>
        <v>2026</v>
      </c>
      <c r="C264" s="56">
        <f ca="1">IFERROR(__xludf.DUMMYFUNCTION("""COMPUTED_VALUE"""),2)</f>
        <v>2</v>
      </c>
      <c r="D264" s="33" t="str">
        <f ca="1">IFERROR(__xludf.DUMMYFUNCTION("""COMPUTED_VALUE"""),"NO")</f>
        <v>NO</v>
      </c>
      <c r="E264" s="33" t="str">
        <f ca="1">IFERROR(__xludf.DUMMYFUNCTION("""COMPUTED_VALUE"""),"Ourense")</f>
        <v>Ourense</v>
      </c>
      <c r="F264" s="57">
        <f ca="1">IFERROR(__xludf.DUMMYFUNCTION("""COMPUTED_VALUE"""),46079)</f>
        <v>46079</v>
      </c>
      <c r="G264" s="57">
        <f ca="1">IFERROR(__xludf.DUMMYFUNCTION("""COMPUTED_VALUE"""),46038)</f>
        <v>46038</v>
      </c>
      <c r="H264" s="33" t="str">
        <f ca="1">IFERROR(__xludf.DUMMYFUNCTION("""COMPUTED_VALUE"""),"Orense")</f>
        <v>Orense</v>
      </c>
      <c r="I264" s="33" t="str">
        <f ca="1">IFERROR(__xludf.DUMMYFUNCTION("""COMPUTED_VALUE"""),"C20261169422835459")</f>
        <v>C20261169422835459</v>
      </c>
      <c r="J264" s="33" t="str">
        <f ca="1">IFERROR(__xludf.DUMMYFUNCTION("""COMPUTED_VALUE"""),"FRANCISCO JAVIER REGUEIRO CACHEIRO")</f>
        <v>FRANCISCO JAVIER REGUEIRO CACHEIRO</v>
      </c>
      <c r="K264" s="56">
        <f ca="1">IFERROR(__xludf.DUMMYFUNCTION("""COMPUTED_VALUE"""),2)</f>
        <v>2</v>
      </c>
      <c r="L264" s="62">
        <f ca="1">IFERROR(__xludf.DUMMYFUNCTION("""COMPUTED_VALUE"""),3631.82)</f>
        <v>3631.82</v>
      </c>
      <c r="M264" s="33" t="str">
        <f ca="1">IFERROR(__xludf.DUMMYFUNCTION("""COMPUTED_VALUE"""),"03 ORL")</f>
        <v>03 ORL</v>
      </c>
      <c r="N264" s="33" t="str">
        <f ca="1">IFERROR(__xludf.DUMMYFUNCTION("""COMPUTED_VALUE"""),"06 ORL")</f>
        <v>06 ORL</v>
      </c>
      <c r="O264" s="33" t="str">
        <f ca="1">IFERROR(__xludf.DUMMYFUNCTION("""COMPUTED_VALUE"""),"Dra, María Rey Marcos")</f>
        <v>Dra, María Rey Marcos</v>
      </c>
      <c r="P264" s="33" t="str">
        <f ca="1">IFERROR(__xludf.DUMMYFUNCTION("""COMPUTED_VALUE"""),"Kiko Ortega (Galicia)")</f>
        <v>Kiko Ortega (Galicia)</v>
      </c>
    </row>
    <row r="265" spans="2:16">
      <c r="B265" s="74">
        <f ca="1">IFERROR(__xludf.DUMMYFUNCTION("""COMPUTED_VALUE"""),2026)</f>
        <v>2026</v>
      </c>
      <c r="C265" s="56">
        <f ca="1">IFERROR(__xludf.DUMMYFUNCTION("""COMPUTED_VALUE"""),2)</f>
        <v>2</v>
      </c>
      <c r="D265" s="33" t="str">
        <f ca="1">IFERROR(__xludf.DUMMYFUNCTION("""COMPUTED_VALUE"""),"NO")</f>
        <v>NO</v>
      </c>
      <c r="E265" s="33" t="str">
        <f ca="1">IFERROR(__xludf.DUMMYFUNCTION("""COMPUTED_VALUE"""),"Alicante")</f>
        <v>Alicante</v>
      </c>
      <c r="F265" s="57">
        <f ca="1">IFERROR(__xludf.DUMMYFUNCTION("""COMPUTED_VALUE"""),46079)</f>
        <v>46079</v>
      </c>
      <c r="G265" s="57">
        <f ca="1">IFERROR(__xludf.DUMMYFUNCTION("""COMPUTED_VALUE"""),46057)</f>
        <v>46057</v>
      </c>
      <c r="H265" s="33" t="str">
        <f ca="1">IFERROR(__xludf.DUMMYFUNCTION("""COMPUTED_VALUE"""),"Alicante")</f>
        <v>Alicante</v>
      </c>
      <c r="I265" s="33" t="str">
        <f ca="1">IFERROR(__xludf.DUMMYFUNCTION("""COMPUTED_VALUE"""),"C20262411338089577")</f>
        <v>C20262411338089577</v>
      </c>
      <c r="J265" s="33" t="str">
        <f ca="1">IFERROR(__xludf.DUMMYFUNCTION("""COMPUTED_VALUE"""),"JUANA COSMEN ALBELDA")</f>
        <v>JUANA COSMEN ALBELDA</v>
      </c>
      <c r="K265" s="56">
        <f ca="1">IFERROR(__xludf.DUMMYFUNCTION("""COMPUTED_VALUE"""),2)</f>
        <v>2</v>
      </c>
      <c r="L265" s="62">
        <f ca="1">IFERROR(__xludf.DUMMYFUNCTION("""COMPUTED_VALUE"""),2718.18)</f>
        <v>2718.18</v>
      </c>
      <c r="M265" s="33" t="str">
        <f ca="1">IFERROR(__xludf.DUMMYFUNCTION("""COMPUTED_VALUE"""),"03 ORL")</f>
        <v>03 ORL</v>
      </c>
      <c r="N265" s="33" t="str">
        <f ca="1">IFERROR(__xludf.DUMMYFUNCTION("""COMPUTED_VALUE"""),"06 ORL")</f>
        <v>06 ORL</v>
      </c>
      <c r="O265" s="33" t="str">
        <f ca="1">IFERROR(__xludf.DUMMYFUNCTION("""COMPUTED_VALUE"""),"Dra, Cristina Muñoz Pinto")</f>
        <v>Dra, Cristina Muñoz Pinto</v>
      </c>
      <c r="P265" s="33" t="str">
        <f ca="1">IFERROR(__xludf.DUMMYFUNCTION("""COMPUTED_VALUE"""),"Iván Sánchez (Levante y Albacete)")</f>
        <v>Iván Sánchez (Levante y Albacete)</v>
      </c>
    </row>
    <row r="266" spans="2:16">
      <c r="B266" s="74">
        <f ca="1">IFERROR(__xludf.DUMMYFUNCTION("""COMPUTED_VALUE"""),2026)</f>
        <v>2026</v>
      </c>
      <c r="C266" s="56">
        <f ca="1">IFERROR(__xludf.DUMMYFUNCTION("""COMPUTED_VALUE"""),2)</f>
        <v>2</v>
      </c>
      <c r="D266" s="33" t="str">
        <f ca="1">IFERROR(__xludf.DUMMYFUNCTION("""COMPUTED_VALUE"""),"NO")</f>
        <v>NO</v>
      </c>
      <c r="E266" s="33" t="str">
        <f ca="1">IFERROR(__xludf.DUMMYFUNCTION("""COMPUTED_VALUE"""),"Albacete")</f>
        <v>Albacete</v>
      </c>
      <c r="F266" s="57">
        <f ca="1">IFERROR(__xludf.DUMMYFUNCTION("""COMPUTED_VALUE"""),46079)</f>
        <v>46079</v>
      </c>
      <c r="G266" s="57">
        <f ca="1">IFERROR(__xludf.DUMMYFUNCTION("""COMPUTED_VALUE"""),46048)</f>
        <v>46048</v>
      </c>
      <c r="H266" s="33" t="str">
        <f ca="1">IFERROR(__xludf.DUMMYFUNCTION("""COMPUTED_VALUE"""),"Albacete")</f>
        <v>Albacete</v>
      </c>
      <c r="I266" s="33" t="str">
        <f ca="1">IFERROR(__xludf.DUMMYFUNCTION("""COMPUTED_VALUE"""),"C202612610443744715")</f>
        <v>C202612610443744715</v>
      </c>
      <c r="J266" s="33" t="str">
        <f ca="1">IFERROR(__xludf.DUMMYFUNCTION("""COMPUTED_VALUE"""),"ASCENSION GALERA CAMPOS")</f>
        <v>ASCENSION GALERA CAMPOS</v>
      </c>
      <c r="K266" s="56">
        <f ca="1">IFERROR(__xludf.DUMMYFUNCTION("""COMPUTED_VALUE"""),1)</f>
        <v>1</v>
      </c>
      <c r="L266" s="62">
        <f ca="1">IFERROR(__xludf.DUMMYFUNCTION("""COMPUTED_VALUE"""),2180.91)</f>
        <v>2180.91</v>
      </c>
      <c r="M266" s="33" t="str">
        <f ca="1">IFERROR(__xludf.DUMMYFUNCTION("""COMPUTED_VALUE"""),"03 ORL")</f>
        <v>03 ORL</v>
      </c>
      <c r="N266" s="33" t="str">
        <f ca="1">IFERROR(__xludf.DUMMYFUNCTION("""COMPUTED_VALUE"""),"06 ORL")</f>
        <v>06 ORL</v>
      </c>
      <c r="O266" s="33" t="str">
        <f ca="1">IFERROR(__xludf.DUMMYFUNCTION("""COMPUTED_VALUE"""),"Dr, Javier García-Dueñas González")</f>
        <v>Dr, Javier García-Dueñas González</v>
      </c>
      <c r="P266" s="33" t="str">
        <f ca="1">IFERROR(__xludf.DUMMYFUNCTION("""COMPUTED_VALUE"""),"Iván Sánchez (Levante y Albacete)")</f>
        <v>Iván Sánchez (Levante y Albacete)</v>
      </c>
    </row>
    <row r="267" spans="2:16">
      <c r="B267" s="74">
        <f ca="1">IFERROR(__xludf.DUMMYFUNCTION("""COMPUTED_VALUE"""),2026)</f>
        <v>2026</v>
      </c>
      <c r="C267" s="56">
        <f ca="1">IFERROR(__xludf.DUMMYFUNCTION("""COMPUTED_VALUE"""),2)</f>
        <v>2</v>
      </c>
      <c r="D267" s="33" t="str">
        <f ca="1">IFERROR(__xludf.DUMMYFUNCTION("""COMPUTED_VALUE"""),"NO")</f>
        <v>NO</v>
      </c>
      <c r="E267" s="33" t="str">
        <f ca="1">IFERROR(__xludf.DUMMYFUNCTION("""COMPUTED_VALUE"""),"Toledo")</f>
        <v>Toledo</v>
      </c>
      <c r="F267" s="57">
        <f ca="1">IFERROR(__xludf.DUMMYFUNCTION("""COMPUTED_VALUE"""),46080)</f>
        <v>46080</v>
      </c>
      <c r="G267" s="57">
        <f ca="1">IFERROR(__xludf.DUMMYFUNCTION("""COMPUTED_VALUE"""),46001)</f>
        <v>46001</v>
      </c>
      <c r="H267" s="33" t="str">
        <f ca="1">IFERROR(__xludf.DUMMYFUNCTION("""COMPUTED_VALUE"""),"Toledo")</f>
        <v>Toledo</v>
      </c>
      <c r="I267" s="33" t="str">
        <f ca="1">IFERROR(__xludf.DUMMYFUNCTION("""COMPUTED_VALUE"""),"C202512101139559327")</f>
        <v>C202512101139559327</v>
      </c>
      <c r="J267" s="33" t="str">
        <f ca="1">IFERROR(__xludf.DUMMYFUNCTION("""COMPUTED_VALUE"""),"Maria Sagrario Velez Segura")</f>
        <v>Maria Sagrario Velez Segura</v>
      </c>
      <c r="K267" s="56">
        <f ca="1">IFERROR(__xludf.DUMMYFUNCTION("""COMPUTED_VALUE"""),2)</f>
        <v>2</v>
      </c>
      <c r="L267" s="62">
        <f ca="1">IFERROR(__xludf.DUMMYFUNCTION("""COMPUTED_VALUE"""),3631.82)</f>
        <v>3631.82</v>
      </c>
      <c r="M267" s="33" t="str">
        <f ca="1">IFERROR(__xludf.DUMMYFUNCTION("""COMPUTED_VALUE"""),"03 ORL")</f>
        <v>03 ORL</v>
      </c>
      <c r="N267" s="33" t="str">
        <f ca="1">IFERROR(__xludf.DUMMYFUNCTION("""COMPUTED_VALUE"""),"06 ORL")</f>
        <v>06 ORL</v>
      </c>
      <c r="O267" s="33" t="str">
        <f ca="1">IFERROR(__xludf.DUMMYFUNCTION("""COMPUTED_VALUE"""),"Dr, Luis Miguel Menéndez Colino")</f>
        <v>Dr, Luis Miguel Menéndez Colino</v>
      </c>
      <c r="P267" s="33" t="str">
        <f ca="1">IFERROR(__xludf.DUMMYFUNCTION("""COMPUTED_VALUE"""),"Lisandro Russian (Madrid, Cáceres, Toledo, Talavera y Logroño)")</f>
        <v>Lisandro Russian (Madrid, Cáceres, Toledo, Talavera y Logroño)</v>
      </c>
    </row>
    <row r="268" spans="2:16">
      <c r="B268" s="74">
        <f ca="1">IFERROR(__xludf.DUMMYFUNCTION("""COMPUTED_VALUE"""),2026)</f>
        <v>2026</v>
      </c>
      <c r="C268" s="56">
        <f ca="1">IFERROR(__xludf.DUMMYFUNCTION("""COMPUTED_VALUE"""),2)</f>
        <v>2</v>
      </c>
      <c r="D268" s="33" t="str">
        <f ca="1">IFERROR(__xludf.DUMMYFUNCTION("""COMPUTED_VALUE"""),"NO")</f>
        <v>NO</v>
      </c>
      <c r="E268" s="33" t="str">
        <f ca="1">IFERROR(__xludf.DUMMYFUNCTION("""COMPUTED_VALUE"""),"Logroño")</f>
        <v>Logroño</v>
      </c>
      <c r="F268" s="57">
        <f ca="1">IFERROR(__xludf.DUMMYFUNCTION("""COMPUTED_VALUE"""),46080)</f>
        <v>46080</v>
      </c>
      <c r="G268" s="57">
        <f ca="1">IFERROR(__xludf.DUMMYFUNCTION("""COMPUTED_VALUE"""),46048)</f>
        <v>46048</v>
      </c>
      <c r="H268" s="33" t="str">
        <f ca="1">IFERROR(__xludf.DUMMYFUNCTION("""COMPUTED_VALUE"""),"Logroño")</f>
        <v>Logroño</v>
      </c>
      <c r="I268" s="33" t="str">
        <f ca="1">IFERROR(__xludf.DUMMYFUNCTION("""COMPUTED_VALUE"""),"C202612611462701422")</f>
        <v>C202612611462701422</v>
      </c>
      <c r="J268" s="33" t="str">
        <f ca="1">IFERROR(__xludf.DUMMYFUNCTION("""COMPUTED_VALUE"""),"MARIA GLORIA LANGARICA LOZANO")</f>
        <v>MARIA GLORIA LANGARICA LOZANO</v>
      </c>
      <c r="K268" s="56">
        <f ca="1">IFERROR(__xludf.DUMMYFUNCTION("""COMPUTED_VALUE"""),2)</f>
        <v>2</v>
      </c>
      <c r="L268" s="62">
        <f ca="1">IFERROR(__xludf.DUMMYFUNCTION("""COMPUTED_VALUE"""),4136.36)</f>
        <v>4136.3599999999997</v>
      </c>
      <c r="M268" s="33" t="str">
        <f ca="1">IFERROR(__xludf.DUMMYFUNCTION("""COMPUTED_VALUE"""),"03 ORL")</f>
        <v>03 ORL</v>
      </c>
      <c r="N268" s="33" t="str">
        <f ca="1">IFERROR(__xludf.DUMMYFUNCTION("""COMPUTED_VALUE"""),"06 ORL")</f>
        <v>06 ORL</v>
      </c>
      <c r="O268" s="33" t="str">
        <f ca="1">IFERROR(__xludf.DUMMYFUNCTION("""COMPUTED_VALUE"""),"Dr, Fernando Salazar Barcelona")</f>
        <v>Dr, Fernando Salazar Barcelona</v>
      </c>
      <c r="P268" s="33" t="str">
        <f ca="1">IFERROR(__xludf.DUMMYFUNCTION("""COMPUTED_VALUE"""),"Lisandro Russian (Madrid, Cáceres, Toledo, Talavera y Logroño)")</f>
        <v>Lisandro Russian (Madrid, Cáceres, Toledo, Talavera y Logroño)</v>
      </c>
    </row>
    <row r="269" spans="2:16">
      <c r="B269" s="74">
        <f ca="1">IFERROR(__xludf.DUMMYFUNCTION("""COMPUTED_VALUE"""),2026)</f>
        <v>2026</v>
      </c>
      <c r="C269" s="56">
        <f ca="1">IFERROR(__xludf.DUMMYFUNCTION("""COMPUTED_VALUE"""),2)</f>
        <v>2</v>
      </c>
      <c r="D269" s="33" t="str">
        <f ca="1">IFERROR(__xludf.DUMMYFUNCTION("""COMPUTED_VALUE"""),"NO")</f>
        <v>NO</v>
      </c>
      <c r="E269" s="33" t="str">
        <f ca="1">IFERROR(__xludf.DUMMYFUNCTION("""COMPUTED_VALUE"""),"Albacete")</f>
        <v>Albacete</v>
      </c>
      <c r="F269" s="57">
        <f ca="1">IFERROR(__xludf.DUMMYFUNCTION("""COMPUTED_VALUE"""),46080)</f>
        <v>46080</v>
      </c>
      <c r="G269" s="57">
        <f ca="1">IFERROR(__xludf.DUMMYFUNCTION("""COMPUTED_VALUE"""),46042)</f>
        <v>46042</v>
      </c>
      <c r="H269" s="33" t="str">
        <f ca="1">IFERROR(__xludf.DUMMYFUNCTION("""COMPUTED_VALUE"""),"Albacete")</f>
        <v>Albacete</v>
      </c>
      <c r="I269" s="33" t="str">
        <f ca="1">IFERROR(__xludf.DUMMYFUNCTION("""COMPUTED_VALUE"""),"C202612010227949902")</f>
        <v>C202612010227949902</v>
      </c>
      <c r="J269" s="33" t="str">
        <f ca="1">IFERROR(__xludf.DUMMYFUNCTION("""COMPUTED_VALUE"""),"MARÍA CARMEN LUJAN MOLINA")</f>
        <v>MARÍA CARMEN LUJAN MOLINA</v>
      </c>
      <c r="K269" s="56">
        <f ca="1">IFERROR(__xludf.DUMMYFUNCTION("""COMPUTED_VALUE"""),2)</f>
        <v>2</v>
      </c>
      <c r="L269" s="62">
        <f ca="1">IFERROR(__xludf.DUMMYFUNCTION("""COMPUTED_VALUE"""),2918.18)</f>
        <v>2918.18</v>
      </c>
      <c r="M269" s="33" t="str">
        <f ca="1">IFERROR(__xludf.DUMMYFUNCTION("""COMPUTED_VALUE"""),"03 ORL")</f>
        <v>03 ORL</v>
      </c>
      <c r="N269" s="33" t="str">
        <f ca="1">IFERROR(__xludf.DUMMYFUNCTION("""COMPUTED_VALUE"""),"06 ORL")</f>
        <v>06 ORL</v>
      </c>
      <c r="O269" s="33" t="str">
        <f ca="1">IFERROR(__xludf.DUMMYFUNCTION("""COMPUTED_VALUE"""),"Dr, Máximo Rafael García Rodríguez")</f>
        <v>Dr, Máximo Rafael García Rodríguez</v>
      </c>
      <c r="P269" s="33" t="str">
        <f ca="1">IFERROR(__xludf.DUMMYFUNCTION("""COMPUTED_VALUE"""),"Iván Sánchez (Levante y Albacete)")</f>
        <v>Iván Sánchez (Levante y Albacete)</v>
      </c>
    </row>
    <row r="270" spans="2:16">
      <c r="B270" s="74">
        <f ca="1">IFERROR(__xludf.DUMMYFUNCTION("""COMPUTED_VALUE"""),2026)</f>
        <v>2026</v>
      </c>
      <c r="C270" s="56">
        <f ca="1">IFERROR(__xludf.DUMMYFUNCTION("""COMPUTED_VALUE"""),2)</f>
        <v>2</v>
      </c>
      <c r="D270" s="33" t="str">
        <f ca="1">IFERROR(__xludf.DUMMYFUNCTION("""COMPUTED_VALUE"""),"NO")</f>
        <v>NO</v>
      </c>
      <c r="E270" s="33" t="str">
        <f ca="1">IFERROR(__xludf.DUMMYFUNCTION("""COMPUTED_VALUE"""),"Orihuela")</f>
        <v>Orihuela</v>
      </c>
      <c r="F270" s="57">
        <f ca="1">IFERROR(__xludf.DUMMYFUNCTION("""COMPUTED_VALUE"""),46080)</f>
        <v>46080</v>
      </c>
      <c r="G270" s="57">
        <f ca="1">IFERROR(__xludf.DUMMYFUNCTION("""COMPUTED_VALUE"""),44957)</f>
        <v>44957</v>
      </c>
      <c r="H270" s="33" t="str">
        <f ca="1">IFERROR(__xludf.DUMMYFUNCTION("""COMPUTED_VALUE"""),"La Zenia")</f>
        <v>La Zenia</v>
      </c>
      <c r="I270" s="33" t="str">
        <f ca="1">IFERROR(__xludf.DUMMYFUNCTION("""COMPUTED_VALUE"""),"LZN-450000442")</f>
        <v>LZN-450000442</v>
      </c>
      <c r="J270" s="33" t="str">
        <f ca="1">IFERROR(__xludf.DUMMYFUNCTION("""COMPUTED_VALUE"""),"MICHAEL ALBERT CUNNINGHAM")</f>
        <v>MICHAEL ALBERT CUNNINGHAM</v>
      </c>
      <c r="K270" s="56">
        <f ca="1">IFERROR(__xludf.DUMMYFUNCTION("""COMPUTED_VALUE"""),1)</f>
        <v>1</v>
      </c>
      <c r="L270" s="62">
        <f ca="1">IFERROR(__xludf.DUMMYFUNCTION("""COMPUTED_VALUE"""),1631.82)</f>
        <v>1631.82</v>
      </c>
      <c r="M270" s="33" t="str">
        <f ca="1">IFERROR(__xludf.DUMMYFUNCTION("""COMPUTED_VALUE"""),"03 ORL")</f>
        <v>03 ORL</v>
      </c>
      <c r="N270" s="33" t="str">
        <f ca="1">IFERROR(__xludf.DUMMYFUNCTION("""COMPUTED_VALUE"""),"06 ORL")</f>
        <v>06 ORL</v>
      </c>
      <c r="O270" s="33" t="str">
        <f ca="1">IFERROR(__xludf.DUMMYFUNCTION("""COMPUTED_VALUE"""),"Dr, Carlos Velásquez Fermín")</f>
        <v>Dr, Carlos Velásquez Fermín</v>
      </c>
      <c r="P270" s="33" t="str">
        <f ca="1">IFERROR(__xludf.DUMMYFUNCTION("""COMPUTED_VALUE"""),"Iván Sánchez (Levante y Albacete)")</f>
        <v>Iván Sánchez (Levante y Albacete)</v>
      </c>
    </row>
    <row r="271" spans="2:16">
      <c r="B271" s="74">
        <f ca="1">IFERROR(__xludf.DUMMYFUNCTION("""COMPUTED_VALUE"""),2026)</f>
        <v>2026</v>
      </c>
      <c r="C271" s="56">
        <f ca="1">IFERROR(__xludf.DUMMYFUNCTION("""COMPUTED_VALUE"""),2)</f>
        <v>2</v>
      </c>
      <c r="D271" s="33" t="str">
        <f ca="1">IFERROR(__xludf.DUMMYFUNCTION("""COMPUTED_VALUE"""),"NO")</f>
        <v>NO</v>
      </c>
      <c r="E271" s="33" t="str">
        <f ca="1">IFERROR(__xludf.DUMMYFUNCTION("""COMPUTED_VALUE"""),"Murcia")</f>
        <v>Murcia</v>
      </c>
      <c r="F271" s="57">
        <f ca="1">IFERROR(__xludf.DUMMYFUNCTION("""COMPUTED_VALUE"""),46080)</f>
        <v>46080</v>
      </c>
      <c r="G271" s="57">
        <f ca="1">IFERROR(__xludf.DUMMYFUNCTION("""COMPUTED_VALUE"""),46049)</f>
        <v>46049</v>
      </c>
      <c r="H271" s="33" t="str">
        <f ca="1">IFERROR(__xludf.DUMMYFUNCTION("""COMPUTED_VALUE"""),"Murcia")</f>
        <v>Murcia</v>
      </c>
      <c r="I271" s="33" t="str">
        <f ca="1">IFERROR(__xludf.DUMMYFUNCTION("""COMPUTED_VALUE"""),"C202612716322865727")</f>
        <v>C202612716322865727</v>
      </c>
      <c r="J271" s="33" t="str">
        <f ca="1">IFERROR(__xludf.DUMMYFUNCTION("""COMPUTED_VALUE"""),"DAVID GARCIA DIAZ")</f>
        <v>DAVID GARCIA DIAZ</v>
      </c>
      <c r="K271" s="56">
        <f ca="1">IFERROR(__xludf.DUMMYFUNCTION("""COMPUTED_VALUE"""),1)</f>
        <v>1</v>
      </c>
      <c r="L271" s="62">
        <f ca="1">IFERROR(__xludf.DUMMYFUNCTION("""COMPUTED_VALUE"""),1631.82)</f>
        <v>1631.82</v>
      </c>
      <c r="M271" s="33" t="str">
        <f ca="1">IFERROR(__xludf.DUMMYFUNCTION("""COMPUTED_VALUE"""),"03 ORL")</f>
        <v>03 ORL</v>
      </c>
      <c r="N271" s="33" t="str">
        <f ca="1">IFERROR(__xludf.DUMMYFUNCTION("""COMPUTED_VALUE"""),"06 ORL")</f>
        <v>06 ORL</v>
      </c>
      <c r="O271" s="33" t="str">
        <f ca="1">IFERROR(__xludf.DUMMYFUNCTION("""COMPUTED_VALUE"""),"Dr, Alfonso Capitan Guarnizo")</f>
        <v>Dr, Alfonso Capitan Guarnizo</v>
      </c>
      <c r="P271" s="33" t="str">
        <f ca="1">IFERROR(__xludf.DUMMYFUNCTION("""COMPUTED_VALUE"""),"Iván Sánchez (Levante y Albacete)")</f>
        <v>Iván Sánchez (Levante y Albacete)</v>
      </c>
    </row>
    <row r="272" spans="2:16">
      <c r="B272" s="74">
        <f ca="1">IFERROR(__xludf.DUMMYFUNCTION("""COMPUTED_VALUE"""),2026)</f>
        <v>2026</v>
      </c>
      <c r="C272" s="56">
        <f ca="1">IFERROR(__xludf.DUMMYFUNCTION("""COMPUTED_VALUE"""),2)</f>
        <v>2</v>
      </c>
      <c r="D272" s="33" t="str">
        <f ca="1">IFERROR(__xludf.DUMMYFUNCTION("""COMPUTED_VALUE"""),"NO")</f>
        <v>NO</v>
      </c>
      <c r="E272" s="33" t="str">
        <f ca="1">IFERROR(__xludf.DUMMYFUNCTION("""COMPUTED_VALUE"""),"Alcorcón")</f>
        <v>Alcorcón</v>
      </c>
      <c r="F272" s="57">
        <f ca="1">IFERROR(__xludf.DUMMYFUNCTION("""COMPUTED_VALUE"""),46080)</f>
        <v>46080</v>
      </c>
      <c r="G272" s="57">
        <f ca="1">IFERROR(__xludf.DUMMYFUNCTION("""COMPUTED_VALUE"""),45467)</f>
        <v>45467</v>
      </c>
      <c r="H272" s="33" t="str">
        <f ca="1">IFERROR(__xludf.DUMMYFUNCTION("""COMPUTED_VALUE"""),"Alcorcón")</f>
        <v>Alcorcón</v>
      </c>
      <c r="I272" s="33" t="str">
        <f ca="1">IFERROR(__xludf.DUMMYFUNCTION("""COMPUTED_VALUE"""),"MAL-867")</f>
        <v>MAL-867</v>
      </c>
      <c r="J272" s="33" t="str">
        <f ca="1">IFERROR(__xludf.DUMMYFUNCTION("""COMPUTED_VALUE"""),"BENITA GARCIA RUIZ")</f>
        <v>BENITA GARCIA RUIZ</v>
      </c>
      <c r="K272" s="56">
        <f ca="1">IFERROR(__xludf.DUMMYFUNCTION("""COMPUTED_VALUE"""),2)</f>
        <v>2</v>
      </c>
      <c r="L272" s="62">
        <f ca="1">IFERROR(__xludf.DUMMYFUNCTION("""COMPUTED_VALUE"""),3631.82)</f>
        <v>3631.82</v>
      </c>
      <c r="M272" s="33" t="str">
        <f ca="1">IFERROR(__xludf.DUMMYFUNCTION("""COMPUTED_VALUE"""),"03 ORL")</f>
        <v>03 ORL</v>
      </c>
      <c r="N272" s="33" t="str">
        <f ca="1">IFERROR(__xludf.DUMMYFUNCTION("""COMPUTED_VALUE"""),"06 ORL")</f>
        <v>06 ORL</v>
      </c>
      <c r="O272" s="33" t="str">
        <f ca="1">IFERROR(__xludf.DUMMYFUNCTION("""COMPUTED_VALUE"""),"Dr, Adolfo Toledano Muñoz")</f>
        <v>Dr, Adolfo Toledano Muñoz</v>
      </c>
      <c r="P272" s="33" t="str">
        <f ca="1">IFERROR(__xludf.DUMMYFUNCTION("""COMPUTED_VALUE"""),"Maika Blázquez (Madrid)")</f>
        <v>Maika Blázquez (Madrid)</v>
      </c>
    </row>
    <row r="273" spans="2:16">
      <c r="B273" s="74">
        <f ca="1">IFERROR(__xludf.DUMMYFUNCTION("""COMPUTED_VALUE"""),2026)</f>
        <v>2026</v>
      </c>
      <c r="C273" s="56">
        <f ca="1">IFERROR(__xludf.DUMMYFUNCTION("""COMPUTED_VALUE"""),2)</f>
        <v>2</v>
      </c>
      <c r="D273" s="33" t="str">
        <f ca="1">IFERROR(__xludf.DUMMYFUNCTION("""COMPUTED_VALUE"""),"NO")</f>
        <v>NO</v>
      </c>
      <c r="E273" s="33" t="str">
        <f ca="1">IFERROR(__xludf.DUMMYFUNCTION("""COMPUTED_VALUE"""),"El Albir (Benidorm)")</f>
        <v>El Albir (Benidorm)</v>
      </c>
      <c r="F273" s="57">
        <f ca="1">IFERROR(__xludf.DUMMYFUNCTION("""COMPUTED_VALUE"""),46080)</f>
        <v>46080</v>
      </c>
      <c r="G273" s="57">
        <f ca="1">IFERROR(__xludf.DUMMYFUNCTION("""COMPUTED_VALUE"""),46043)</f>
        <v>46043</v>
      </c>
      <c r="H273" s="33" t="str">
        <f ca="1">IFERROR(__xludf.DUMMYFUNCTION("""COMPUTED_VALUE"""),"El Albir (Benidorm)")</f>
        <v>El Albir (Benidorm)</v>
      </c>
      <c r="I273" s="33" t="str">
        <f ca="1">IFERROR(__xludf.DUMMYFUNCTION("""COMPUTED_VALUE"""),"C202612112119316206")</f>
        <v>C202612112119316206</v>
      </c>
      <c r="J273" s="33" t="str">
        <f ca="1">IFERROR(__xludf.DUMMYFUNCTION("""COMPUTED_VALUE"""),"EVA  FONT ROMA")</f>
        <v>EVA  FONT ROMA</v>
      </c>
      <c r="K273" s="56">
        <f ca="1">IFERROR(__xludf.DUMMYFUNCTION("""COMPUTED_VALUE"""),2)</f>
        <v>2</v>
      </c>
      <c r="L273" s="62">
        <f ca="1">IFERROR(__xludf.DUMMYFUNCTION("""COMPUTED_VALUE"""),4136.36)</f>
        <v>4136.3599999999997</v>
      </c>
      <c r="M273" s="33" t="str">
        <f ca="1">IFERROR(__xludf.DUMMYFUNCTION("""COMPUTED_VALUE"""),"03 ORL")</f>
        <v>03 ORL</v>
      </c>
      <c r="N273" s="33" t="str">
        <f ca="1">IFERROR(__xludf.DUMMYFUNCTION("""COMPUTED_VALUE"""),"06 ORL")</f>
        <v>06 ORL</v>
      </c>
      <c r="O273" s="33" t="str">
        <f ca="1">IFERROR(__xludf.DUMMYFUNCTION("""COMPUTED_VALUE"""),"Dra, María Emilia García Ruiz")</f>
        <v>Dra, María Emilia García Ruiz</v>
      </c>
      <c r="P273" s="33" t="str">
        <f ca="1">IFERROR(__xludf.DUMMYFUNCTION("""COMPUTED_VALUE"""),"Ramon Ferrando(Valencia)")</f>
        <v>Ramon Ferrando(Valencia)</v>
      </c>
    </row>
    <row r="274" spans="2:16">
      <c r="B274" s="74">
        <f ca="1">IFERROR(__xludf.DUMMYFUNCTION("""COMPUTED_VALUE"""),2026)</f>
        <v>2026</v>
      </c>
      <c r="C274" s="56">
        <f ca="1">IFERROR(__xludf.DUMMYFUNCTION("""COMPUTED_VALUE"""),2)</f>
        <v>2</v>
      </c>
      <c r="D274" s="33" t="str">
        <f ca="1">IFERROR(__xludf.DUMMYFUNCTION("""COMPUTED_VALUE"""),"NO")</f>
        <v>NO</v>
      </c>
      <c r="E274" s="33" t="str">
        <f ca="1">IFERROR(__xludf.DUMMYFUNCTION("""COMPUTED_VALUE"""),"Ponferrada")</f>
        <v>Ponferrada</v>
      </c>
      <c r="F274" s="57">
        <f ca="1">IFERROR(__xludf.DUMMYFUNCTION("""COMPUTED_VALUE"""),46080)</f>
        <v>46080</v>
      </c>
      <c r="G274" s="57">
        <f ca="1">IFERROR(__xludf.DUMMYFUNCTION("""COMPUTED_VALUE"""),46042)</f>
        <v>46042</v>
      </c>
      <c r="H274" s="33" t="str">
        <f ca="1">IFERROR(__xludf.DUMMYFUNCTION("""COMPUTED_VALUE"""),"Ponferrada")</f>
        <v>Ponferrada</v>
      </c>
      <c r="I274" s="33" t="str">
        <f ca="1">IFERROR(__xludf.DUMMYFUNCTION("""COMPUTED_VALUE"""),"C202612092032571289")</f>
        <v>C202612092032571289</v>
      </c>
      <c r="J274" s="33" t="str">
        <f ca="1">IFERROR(__xludf.DUMMYFUNCTION("""COMPUTED_VALUE"""),"TOMASA LOPEZ BLANCO")</f>
        <v>TOMASA LOPEZ BLANCO</v>
      </c>
      <c r="K274" s="56">
        <f ca="1">IFERROR(__xludf.DUMMYFUNCTION("""COMPUTED_VALUE"""),2)</f>
        <v>2</v>
      </c>
      <c r="L274" s="62">
        <f ca="1">IFERROR(__xludf.DUMMYFUNCTION("""COMPUTED_VALUE"""),2709.09)</f>
        <v>2709.09</v>
      </c>
      <c r="M274" s="33" t="str">
        <f ca="1">IFERROR(__xludf.DUMMYFUNCTION("""COMPUTED_VALUE"""),"03 ORL")</f>
        <v>03 ORL</v>
      </c>
      <c r="N274" s="33" t="str">
        <f ca="1">IFERROR(__xludf.DUMMYFUNCTION("""COMPUTED_VALUE"""),"22 AUDIOMETRIA CLINICA")</f>
        <v>22 AUDIOMETRIA CLINICA</v>
      </c>
      <c r="O274" s="33" t="str">
        <f ca="1">IFERROR(__xludf.DUMMYFUNCTION("""COMPUTED_VALUE"""),"No recuerda ORL")</f>
        <v>No recuerda ORL</v>
      </c>
      <c r="P274" s="33" t="str">
        <f ca="1">IFERROR(__xludf.DUMMYFUNCTION("""COMPUTED_VALUE"""),"Alberto Moreno (Madrid)")</f>
        <v>Alberto Moreno (Madrid)</v>
      </c>
    </row>
    <row r="275" spans="2:16">
      <c r="B275" s="74">
        <f ca="1">IFERROR(__xludf.DUMMYFUNCTION("""COMPUTED_VALUE"""),2026)</f>
        <v>2026</v>
      </c>
      <c r="C275" s="56">
        <f ca="1">IFERROR(__xludf.DUMMYFUNCTION("""COMPUTED_VALUE"""),2)</f>
        <v>2</v>
      </c>
      <c r="D275" s="33" t="str">
        <f ca="1">IFERROR(__xludf.DUMMYFUNCTION("""COMPUTED_VALUE"""),"NO")</f>
        <v>NO</v>
      </c>
      <c r="E275" s="33" t="str">
        <f ca="1">IFERROR(__xludf.DUMMYFUNCTION("""COMPUTED_VALUE"""),"Madrid- Juan Bravo")</f>
        <v>Madrid- Juan Bravo</v>
      </c>
      <c r="F275" s="57">
        <f ca="1">IFERROR(__xludf.DUMMYFUNCTION("""COMPUTED_VALUE"""),46080)</f>
        <v>46080</v>
      </c>
      <c r="G275" s="57">
        <f ca="1">IFERROR(__xludf.DUMMYFUNCTION("""COMPUTED_VALUE"""),46050)</f>
        <v>46050</v>
      </c>
      <c r="H275" s="33" t="str">
        <f ca="1">IFERROR(__xludf.DUMMYFUNCTION("""COMPUTED_VALUE"""),"Juan Bravo")</f>
        <v>Juan Bravo</v>
      </c>
      <c r="I275" s="33" t="str">
        <f ca="1">IFERROR(__xludf.DUMMYFUNCTION("""COMPUTED_VALUE"""),"C202612812503320736")</f>
        <v>C202612812503320736</v>
      </c>
      <c r="J275" s="33" t="str">
        <f ca="1">IFERROR(__xludf.DUMMYFUNCTION("""COMPUTED_VALUE"""),"PILAR  GARCIA VALDE-CASAS VALVERDE")</f>
        <v>PILAR  GARCIA VALDE-CASAS VALVERDE</v>
      </c>
      <c r="K275" s="56">
        <f ca="1">IFERROR(__xludf.DUMMYFUNCTION("""COMPUTED_VALUE"""),2)</f>
        <v>2</v>
      </c>
      <c r="L275" s="62">
        <f ca="1">IFERROR(__xludf.DUMMYFUNCTION("""COMPUTED_VALUE"""),3631.82)</f>
        <v>3631.82</v>
      </c>
      <c r="M275" s="33" t="str">
        <f ca="1">IFERROR(__xludf.DUMMYFUNCTION("""COMPUTED_VALUE"""),"03 ORL")</f>
        <v>03 ORL</v>
      </c>
      <c r="N275" s="33" t="str">
        <f ca="1">IFERROR(__xludf.DUMMYFUNCTION("""COMPUTED_VALUE"""),"06 ORL")</f>
        <v>06 ORL</v>
      </c>
      <c r="O275" s="33" t="str">
        <f ca="1">IFERROR(__xludf.DUMMYFUNCTION("""COMPUTED_VALUE"""),"Dr, Javier García Domínguez")</f>
        <v>Dr, Javier García Domínguez</v>
      </c>
      <c r="P275" s="33" t="str">
        <f ca="1">IFERROR(__xludf.DUMMYFUNCTION("""COMPUTED_VALUE"""),"Maika Blázquez (Madrid)")</f>
        <v>Maika Blázquez (Madrid)</v>
      </c>
    </row>
    <row r="276" spans="2:16">
      <c r="B276" s="74">
        <f ca="1">IFERROR(__xludf.DUMMYFUNCTION("""COMPUTED_VALUE"""),2026)</f>
        <v>2026</v>
      </c>
      <c r="C276" s="56">
        <f ca="1">IFERROR(__xludf.DUMMYFUNCTION("""COMPUTED_VALUE"""),2)</f>
        <v>2</v>
      </c>
      <c r="D276" s="33" t="str">
        <f ca="1">IFERROR(__xludf.DUMMYFUNCTION("""COMPUTED_VALUE"""),"NO")</f>
        <v>NO</v>
      </c>
      <c r="E276" s="33" t="str">
        <f ca="1">IFERROR(__xludf.DUMMYFUNCTION("""COMPUTED_VALUE"""),"Fuenlabrada")</f>
        <v>Fuenlabrada</v>
      </c>
      <c r="F276" s="57">
        <f ca="1">IFERROR(__xludf.DUMMYFUNCTION("""COMPUTED_VALUE"""),46080)</f>
        <v>46080</v>
      </c>
      <c r="G276" s="57">
        <f ca="1">IFERROR(__xludf.DUMMYFUNCTION("""COMPUTED_VALUE"""),46051)</f>
        <v>46051</v>
      </c>
      <c r="H276" s="33" t="str">
        <f ca="1">IFERROR(__xludf.DUMMYFUNCTION("""COMPUTED_VALUE"""),"Fuenlabrada")</f>
        <v>Fuenlabrada</v>
      </c>
      <c r="I276" s="33" t="str">
        <f ca="1">IFERROR(__xludf.DUMMYFUNCTION("""COMPUTED_VALUE"""),"C202612912135937734")</f>
        <v>C202612912135937734</v>
      </c>
      <c r="J276" s="33" t="str">
        <f ca="1">IFERROR(__xludf.DUMMYFUNCTION("""COMPUTED_VALUE"""),"MARIA LUISA GARCIA GARCIA")</f>
        <v>MARIA LUISA GARCIA GARCIA</v>
      </c>
      <c r="K276" s="56">
        <f ca="1">IFERROR(__xludf.DUMMYFUNCTION("""COMPUTED_VALUE"""),2)</f>
        <v>2</v>
      </c>
      <c r="L276" s="62">
        <f ca="1">IFERROR(__xludf.DUMMYFUNCTION("""COMPUTED_VALUE"""),3636.36)</f>
        <v>3636.36</v>
      </c>
      <c r="M276" s="33" t="str">
        <f ca="1">IFERROR(__xludf.DUMMYFUNCTION("""COMPUTED_VALUE"""),"03 ORL")</f>
        <v>03 ORL</v>
      </c>
      <c r="N276" s="33" t="str">
        <f ca="1">IFERROR(__xludf.DUMMYFUNCTION("""COMPUTED_VALUE"""),"06 ORL")</f>
        <v>06 ORL</v>
      </c>
      <c r="O276" s="33" t="str">
        <f ca="1">IFERROR(__xludf.DUMMYFUNCTION("""COMPUTED_VALUE"""),"Dra, Estefania Miranda Sánchez")</f>
        <v>Dra, Estefania Miranda Sánchez</v>
      </c>
      <c r="P276" s="33" t="str">
        <f ca="1">IFERROR(__xludf.DUMMYFUNCTION("""COMPUTED_VALUE"""),"Maika Blázquez (Madrid)")</f>
        <v>Maika Blázquez (Madrid)</v>
      </c>
    </row>
    <row r="277" spans="2:16">
      <c r="B277" s="74">
        <f ca="1">IFERROR(__xludf.DUMMYFUNCTION("""COMPUTED_VALUE"""),2026)</f>
        <v>2026</v>
      </c>
      <c r="C277" s="56">
        <f ca="1">IFERROR(__xludf.DUMMYFUNCTION("""COMPUTED_VALUE"""),2)</f>
        <v>2</v>
      </c>
      <c r="D277" s="33" t="str">
        <f ca="1">IFERROR(__xludf.DUMMYFUNCTION("""COMPUTED_VALUE"""),"NO")</f>
        <v>NO</v>
      </c>
      <c r="E277" s="33" t="str">
        <f ca="1">IFERROR(__xludf.DUMMYFUNCTION("""COMPUTED_VALUE"""),"Madrid- Juan Bravo")</f>
        <v>Madrid- Juan Bravo</v>
      </c>
      <c r="F277" s="57">
        <f ca="1">IFERROR(__xludf.DUMMYFUNCTION("""COMPUTED_VALUE"""),46080)</f>
        <v>46080</v>
      </c>
      <c r="G277" s="57">
        <f ca="1">IFERROR(__xludf.DUMMYFUNCTION("""COMPUTED_VALUE"""),46048)</f>
        <v>46048</v>
      </c>
      <c r="H277" s="33" t="str">
        <f ca="1">IFERROR(__xludf.DUMMYFUNCTION("""COMPUTED_VALUE"""),"Juan Bravo")</f>
        <v>Juan Bravo</v>
      </c>
      <c r="I277" s="33" t="str">
        <f ca="1">IFERROR(__xludf.DUMMYFUNCTION("""COMPUTED_VALUE"""),"C202612612247030125")</f>
        <v>C202612612247030125</v>
      </c>
      <c r="J277" s="33" t="str">
        <f ca="1">IFERROR(__xludf.DUMMYFUNCTION("""COMPUTED_VALUE"""),"ANA MARIA  RAMIRO LANCHAS")</f>
        <v>ANA MARIA  RAMIRO LANCHAS</v>
      </c>
      <c r="K277" s="56">
        <f ca="1">IFERROR(__xludf.DUMMYFUNCTION("""COMPUTED_VALUE"""),1)</f>
        <v>1</v>
      </c>
      <c r="L277" s="62">
        <f ca="1">IFERROR(__xludf.DUMMYFUNCTION("""COMPUTED_VALUE"""),2180.91)</f>
        <v>2180.91</v>
      </c>
      <c r="M277" s="33" t="str">
        <f ca="1">IFERROR(__xludf.DUMMYFUNCTION("""COMPUTED_VALUE"""),"03 ORL")</f>
        <v>03 ORL</v>
      </c>
      <c r="N277" s="33" t="str">
        <f ca="1">IFERROR(__xludf.DUMMYFUNCTION("""COMPUTED_VALUE"""),"06 ORL")</f>
        <v>06 ORL</v>
      </c>
      <c r="O277" s="33" t="str">
        <f ca="1">IFERROR(__xludf.DUMMYFUNCTION("""COMPUTED_VALUE"""),"Dra, María Montserrat Asensi Díaz")</f>
        <v>Dra, María Montserrat Asensi Díaz</v>
      </c>
      <c r="P277" s="33" t="str">
        <f ca="1">IFERROR(__xludf.DUMMYFUNCTION("""COMPUTED_VALUE"""),"Maika Blázquez (Madrid)")</f>
        <v>Maika Blázquez (Madrid)</v>
      </c>
    </row>
    <row r="278" spans="2:16">
      <c r="B278" s="74">
        <f ca="1">IFERROR(__xludf.DUMMYFUNCTION("""COMPUTED_VALUE"""),2026)</f>
        <v>2026</v>
      </c>
      <c r="C278" s="56">
        <f ca="1">IFERROR(__xludf.DUMMYFUNCTION("""COMPUTED_VALUE"""),2)</f>
        <v>2</v>
      </c>
      <c r="D278" s="33" t="str">
        <f ca="1">IFERROR(__xludf.DUMMYFUNCTION("""COMPUTED_VALUE"""),"NO")</f>
        <v>NO</v>
      </c>
      <c r="E278" s="33" t="str">
        <f ca="1">IFERROR(__xludf.DUMMYFUNCTION("""COMPUTED_VALUE"""),"Murcia")</f>
        <v>Murcia</v>
      </c>
      <c r="F278" s="57">
        <f ca="1">IFERROR(__xludf.DUMMYFUNCTION("""COMPUTED_VALUE"""),46080)</f>
        <v>46080</v>
      </c>
      <c r="G278" s="57">
        <f ca="1">IFERROR(__xludf.DUMMYFUNCTION("""COMPUTED_VALUE"""),45209)</f>
        <v>45209</v>
      </c>
      <c r="H278" s="33" t="str">
        <f ca="1">IFERROR(__xludf.DUMMYFUNCTION("""COMPUTED_VALUE"""),"Murcia")</f>
        <v>Murcia</v>
      </c>
      <c r="I278" s="33" t="str">
        <f ca="1">IFERROR(__xludf.DUMMYFUNCTION("""COMPUTED_VALUE"""),"MUR-1648")</f>
        <v>MUR-1648</v>
      </c>
      <c r="J278" s="33" t="str">
        <f ca="1">IFERROR(__xludf.DUMMYFUNCTION("""COMPUTED_VALUE"""),"CLAUDIA MARIA ARAUJO DE OLIVEIRA")</f>
        <v>CLAUDIA MARIA ARAUJO DE OLIVEIRA</v>
      </c>
      <c r="K278" s="56">
        <f ca="1">IFERROR(__xludf.DUMMYFUNCTION("""COMPUTED_VALUE"""),1)</f>
        <v>1</v>
      </c>
      <c r="L278" s="62">
        <f ca="1">IFERROR(__xludf.DUMMYFUNCTION("""COMPUTED_VALUE"""),2481.82)</f>
        <v>2481.8200000000002</v>
      </c>
      <c r="M278" s="33" t="str">
        <f ca="1">IFERROR(__xludf.DUMMYFUNCTION("""COMPUTED_VALUE"""),"03 ORL")</f>
        <v>03 ORL</v>
      </c>
      <c r="N278" s="33" t="str">
        <f ca="1">IFERROR(__xludf.DUMMYFUNCTION("""COMPUTED_VALUE"""),"06 ORL")</f>
        <v>06 ORL</v>
      </c>
      <c r="O278" s="33" t="str">
        <f ca="1">IFERROR(__xludf.DUMMYFUNCTION("""COMPUTED_VALUE"""),"Dr, Enrique García Zamora")</f>
        <v>Dr, Enrique García Zamora</v>
      </c>
      <c r="P278" s="33" t="str">
        <f ca="1">IFERROR(__xludf.DUMMYFUNCTION("""COMPUTED_VALUE"""),"Iván Sánchez (Levante y Albacete)")</f>
        <v>Iván Sánchez (Levante y Albacete)</v>
      </c>
    </row>
    <row r="279" spans="2:16">
      <c r="B279" s="74">
        <f ca="1">IFERROR(__xludf.DUMMYFUNCTION("""COMPUTED_VALUE"""),2026)</f>
        <v>2026</v>
      </c>
      <c r="C279" s="56">
        <f ca="1">IFERROR(__xludf.DUMMYFUNCTION("""COMPUTED_VALUE"""),2)</f>
        <v>2</v>
      </c>
      <c r="D279" s="33" t="str">
        <f ca="1">IFERROR(__xludf.DUMMYFUNCTION("""COMPUTED_VALUE"""),"NO")</f>
        <v>NO</v>
      </c>
      <c r="E279" s="33" t="str">
        <f ca="1">IFERROR(__xludf.DUMMYFUNCTION("""COMPUTED_VALUE"""),"Jerez de la Frontera")</f>
        <v>Jerez de la Frontera</v>
      </c>
      <c r="F279" s="57">
        <f ca="1">IFERROR(__xludf.DUMMYFUNCTION("""COMPUTED_VALUE"""),46080)</f>
        <v>46080</v>
      </c>
      <c r="G279" s="57">
        <f ca="1">IFERROR(__xludf.DUMMYFUNCTION("""COMPUTED_VALUE"""),46045)</f>
        <v>46045</v>
      </c>
      <c r="H279" s="33" t="str">
        <f ca="1">IFERROR(__xludf.DUMMYFUNCTION("""COMPUTED_VALUE"""),"Jerez")</f>
        <v>Jerez</v>
      </c>
      <c r="I279" s="33" t="str">
        <f ca="1">IFERROR(__xludf.DUMMYFUNCTION("""COMPUTED_VALUE"""),"C202612312493748894")</f>
        <v>C202612312493748894</v>
      </c>
      <c r="J279" s="33" t="str">
        <f ca="1">IFERROR(__xludf.DUMMYFUNCTION("""COMPUTED_VALUE"""),"PAQUI ALPRESA GAMEZ")</f>
        <v>PAQUI ALPRESA GAMEZ</v>
      </c>
      <c r="K279" s="56">
        <f ca="1">IFERROR(__xludf.DUMMYFUNCTION("""COMPUTED_VALUE"""),1)</f>
        <v>1</v>
      </c>
      <c r="L279" s="62">
        <f ca="1">IFERROR(__xludf.DUMMYFUNCTION("""COMPUTED_VALUE"""),2481.82)</f>
        <v>2481.8200000000002</v>
      </c>
      <c r="M279" s="33" t="str">
        <f ca="1">IFERROR(__xludf.DUMMYFUNCTION("""COMPUTED_VALUE"""),"03 ORL")</f>
        <v>03 ORL</v>
      </c>
      <c r="N279" s="33" t="str">
        <f ca="1">IFERROR(__xludf.DUMMYFUNCTION("""COMPUTED_VALUE"""),"06 ORL")</f>
        <v>06 ORL</v>
      </c>
      <c r="O279" s="33" t="str">
        <f ca="1">IFERROR(__xludf.DUMMYFUNCTION("""COMPUTED_VALUE"""),"Dr, Vicente Mira Escartí")</f>
        <v>Dr, Vicente Mira Escartí</v>
      </c>
      <c r="P279" s="33" t="str">
        <f ca="1">IFERROR(__xludf.DUMMYFUNCTION("""COMPUTED_VALUE"""),"Luis Alberto Rodríguez (Andalucía y Badajoz)")</f>
        <v>Luis Alberto Rodríguez (Andalucía y Badajoz)</v>
      </c>
    </row>
    <row r="280" spans="2:16">
      <c r="B280" s="74">
        <f ca="1">IFERROR(__xludf.DUMMYFUNCTION("""COMPUTED_VALUE"""),2026)</f>
        <v>2026</v>
      </c>
      <c r="C280" s="56">
        <f ca="1">IFERROR(__xludf.DUMMYFUNCTION("""COMPUTED_VALUE"""),2)</f>
        <v>2</v>
      </c>
      <c r="D280" s="33" t="str">
        <f ca="1">IFERROR(__xludf.DUMMYFUNCTION("""COMPUTED_VALUE"""),"NO")</f>
        <v>NO</v>
      </c>
      <c r="E280" s="33" t="str">
        <f ca="1">IFERROR(__xludf.DUMMYFUNCTION("""COMPUTED_VALUE"""),"Madrid- Monforte de Lemos")</f>
        <v>Madrid- Monforte de Lemos</v>
      </c>
      <c r="F280" s="57">
        <f ca="1">IFERROR(__xludf.DUMMYFUNCTION("""COMPUTED_VALUE"""),46080)</f>
        <v>46080</v>
      </c>
      <c r="G280" s="57">
        <f ca="1">IFERROR(__xludf.DUMMYFUNCTION("""COMPUTED_VALUE"""),45988)</f>
        <v>45988</v>
      </c>
      <c r="H280" s="33" t="str">
        <f ca="1">IFERROR(__xludf.DUMMYFUNCTION("""COMPUTED_VALUE"""),"La Vaguada")</f>
        <v>La Vaguada</v>
      </c>
      <c r="I280" s="33" t="str">
        <f ca="1">IFERROR(__xludf.DUMMYFUNCTION("""COMPUTED_VALUE"""),"C202511271747274571")</f>
        <v>C202511271747274571</v>
      </c>
      <c r="J280" s="33" t="str">
        <f ca="1">IFERROR(__xludf.DUMMYFUNCTION("""COMPUTED_VALUE"""),"MARIA ANGELES HERNANDO GONZALEZ")</f>
        <v>MARIA ANGELES HERNANDO GONZALEZ</v>
      </c>
      <c r="K280" s="56">
        <f ca="1">IFERROR(__xludf.DUMMYFUNCTION("""COMPUTED_VALUE"""),2)</f>
        <v>2</v>
      </c>
      <c r="L280" s="62">
        <f ca="1">IFERROR(__xludf.DUMMYFUNCTION("""COMPUTED_VALUE"""),3631.82)</f>
        <v>3631.82</v>
      </c>
      <c r="M280" s="33" t="str">
        <f ca="1">IFERROR(__xludf.DUMMYFUNCTION("""COMPUTED_VALUE"""),"03 ORL")</f>
        <v>03 ORL</v>
      </c>
      <c r="N280" s="33" t="str">
        <f ca="1">IFERROR(__xludf.DUMMYFUNCTION("""COMPUTED_VALUE"""),"06 ORL")</f>
        <v>06 ORL</v>
      </c>
      <c r="O280" s="33" t="str">
        <f ca="1">IFERROR(__xludf.DUMMYFUNCTION("""COMPUTED_VALUE"""),"Dra, Victoria García Peces")</f>
        <v>Dra, Victoria García Peces</v>
      </c>
      <c r="P280" s="33" t="str">
        <f ca="1">IFERROR(__xludf.DUMMYFUNCTION("""COMPUTED_VALUE"""),"Maika Blázquez (Madrid)")</f>
        <v>Maika Blázquez (Madrid)</v>
      </c>
    </row>
    <row r="281" spans="2:16">
      <c r="B281" s="74">
        <f ca="1">IFERROR(__xludf.DUMMYFUNCTION("""COMPUTED_VALUE"""),2026)</f>
        <v>2026</v>
      </c>
      <c r="C281" s="56">
        <f ca="1">IFERROR(__xludf.DUMMYFUNCTION("""COMPUTED_VALUE"""),2)</f>
        <v>2</v>
      </c>
      <c r="D281" s="33" t="str">
        <f ca="1">IFERROR(__xludf.DUMMYFUNCTION("""COMPUTED_VALUE"""),"NO")</f>
        <v>NO</v>
      </c>
      <c r="E281" s="33" t="str">
        <f ca="1">IFERROR(__xludf.DUMMYFUNCTION("""COMPUTED_VALUE"""),"Madrid- Moratalaz")</f>
        <v>Madrid- Moratalaz</v>
      </c>
      <c r="F281" s="57">
        <f ca="1">IFERROR(__xludf.DUMMYFUNCTION("""COMPUTED_VALUE"""),46080)</f>
        <v>46080</v>
      </c>
      <c r="G281" s="57">
        <f ca="1">IFERROR(__xludf.DUMMYFUNCTION("""COMPUTED_VALUE"""),46071)</f>
        <v>46071</v>
      </c>
      <c r="H281" s="33" t="str">
        <f ca="1">IFERROR(__xludf.DUMMYFUNCTION("""COMPUTED_VALUE"""),"Moratalaz")</f>
        <v>Moratalaz</v>
      </c>
      <c r="I281" s="33" t="str">
        <f ca="1">IFERROR(__xludf.DUMMYFUNCTION("""COMPUTED_VALUE"""),"C202621816453016654")</f>
        <v>C202621816453016654</v>
      </c>
      <c r="J281" s="33" t="str">
        <f ca="1">IFERROR(__xludf.DUMMYFUNCTION("""COMPUTED_VALUE"""),"GERMANIA AMERICA VEGA QUINDE")</f>
        <v>GERMANIA AMERICA VEGA QUINDE</v>
      </c>
      <c r="K281" s="56">
        <f ca="1">IFERROR(__xludf.DUMMYFUNCTION("""COMPUTED_VALUE"""),2)</f>
        <v>2</v>
      </c>
      <c r="L281" s="62">
        <f ca="1">IFERROR(__xludf.DUMMYFUNCTION("""COMPUTED_VALUE"""),2263.64)</f>
        <v>2263.64</v>
      </c>
      <c r="M281" s="33" t="str">
        <f ca="1">IFERROR(__xludf.DUMMYFUNCTION("""COMPUTED_VALUE"""),"03 ORL")</f>
        <v>03 ORL</v>
      </c>
      <c r="N281" s="33" t="str">
        <f ca="1">IFERROR(__xludf.DUMMYFUNCTION("""COMPUTED_VALUE"""),"06 ORL")</f>
        <v>06 ORL</v>
      </c>
      <c r="O281" s="33" t="str">
        <f ca="1">IFERROR(__xludf.DUMMYFUNCTION("""COMPUTED_VALUE"""),"Dr, Esteban Scola Pliego")</f>
        <v>Dr, Esteban Scola Pliego</v>
      </c>
      <c r="P281" s="33" t="str">
        <f ca="1">IFERROR(__xludf.DUMMYFUNCTION("""COMPUTED_VALUE"""),"Maika Blázquez (Madrid)")</f>
        <v>Maika Blázquez (Madrid)</v>
      </c>
    </row>
    <row r="282" spans="2:16">
      <c r="B282" s="74">
        <f ca="1">IFERROR(__xludf.DUMMYFUNCTION("""COMPUTED_VALUE"""),2026)</f>
        <v>2026</v>
      </c>
      <c r="C282" s="56">
        <f ca="1">IFERROR(__xludf.DUMMYFUNCTION("""COMPUTED_VALUE"""),2)</f>
        <v>2</v>
      </c>
      <c r="D282" s="33" t="str">
        <f ca="1">IFERROR(__xludf.DUMMYFUNCTION("""COMPUTED_VALUE"""),"NO")</f>
        <v>NO</v>
      </c>
      <c r="E282" s="33" t="str">
        <f ca="1">IFERROR(__xludf.DUMMYFUNCTION("""COMPUTED_VALUE"""),"Valencia- Cádiz")</f>
        <v>Valencia- Cádiz</v>
      </c>
      <c r="F282" s="57">
        <f ca="1">IFERROR(__xludf.DUMMYFUNCTION("""COMPUTED_VALUE"""),46080)</f>
        <v>46080</v>
      </c>
      <c r="G282" s="57">
        <f ca="1">IFERROR(__xludf.DUMMYFUNCTION("""COMPUTED_VALUE"""),46042)</f>
        <v>46042</v>
      </c>
      <c r="H282" s="33" t="str">
        <f ca="1">IFERROR(__xludf.DUMMYFUNCTION("""COMPUTED_VALUE"""),"Valencia- Cádiz")</f>
        <v>Valencia- Cádiz</v>
      </c>
      <c r="I282" s="33" t="str">
        <f ca="1">IFERROR(__xludf.DUMMYFUNCTION("""COMPUTED_VALUE"""),"C202612094313079021")</f>
        <v>C202612094313079021</v>
      </c>
      <c r="J282" s="33" t="str">
        <f ca="1">IFERROR(__xludf.DUMMYFUNCTION("""COMPUTED_VALUE"""),"JUAN GOMEZ CAPUZ")</f>
        <v>JUAN GOMEZ CAPUZ</v>
      </c>
      <c r="K282" s="56">
        <f ca="1">IFERROR(__xludf.DUMMYFUNCTION("""COMPUTED_VALUE"""),2)</f>
        <v>2</v>
      </c>
      <c r="L282" s="62">
        <f ca="1">IFERROR(__xludf.DUMMYFUNCTION("""COMPUTED_VALUE"""),4136.36)</f>
        <v>4136.3599999999997</v>
      </c>
      <c r="M282" s="33" t="str">
        <f ca="1">IFERROR(__xludf.DUMMYFUNCTION("""COMPUTED_VALUE"""),"03 ORL")</f>
        <v>03 ORL</v>
      </c>
      <c r="N282" s="33" t="str">
        <f ca="1">IFERROR(__xludf.DUMMYFUNCTION("""COMPUTED_VALUE"""),"06 ORL")</f>
        <v>06 ORL</v>
      </c>
      <c r="O282" s="33" t="str">
        <f ca="1">IFERROR(__xludf.DUMMYFUNCTION("""COMPUTED_VALUE"""),"Dra, Ainhoa García-Lliberos de Miguel")</f>
        <v>Dra, Ainhoa García-Lliberos de Miguel</v>
      </c>
      <c r="P282" s="33" t="str">
        <f ca="1">IFERROR(__xludf.DUMMYFUNCTION("""COMPUTED_VALUE"""),"Ramon Ferrando(Valencia)")</f>
        <v>Ramon Ferrando(Valencia)</v>
      </c>
    </row>
    <row r="283" spans="2:16">
      <c r="B283" s="74">
        <f ca="1">IFERROR(__xludf.DUMMYFUNCTION("""COMPUTED_VALUE"""),2026)</f>
        <v>2026</v>
      </c>
      <c r="C283" s="56">
        <f ca="1">IFERROR(__xludf.DUMMYFUNCTION("""COMPUTED_VALUE"""),2)</f>
        <v>2</v>
      </c>
      <c r="D283" s="33" t="str">
        <f ca="1">IFERROR(__xludf.DUMMYFUNCTION("""COMPUTED_VALUE"""),"NO")</f>
        <v>NO</v>
      </c>
      <c r="E283" s="33" t="str">
        <f ca="1">IFERROR(__xludf.DUMMYFUNCTION("""COMPUTED_VALUE"""),"Valencia- Cádiz")</f>
        <v>Valencia- Cádiz</v>
      </c>
      <c r="F283" s="57">
        <f ca="1">IFERROR(__xludf.DUMMYFUNCTION("""COMPUTED_VALUE"""),46080)</f>
        <v>46080</v>
      </c>
      <c r="G283" s="57">
        <f ca="1">IFERROR(__xludf.DUMMYFUNCTION("""COMPUTED_VALUE"""),46030)</f>
        <v>46030</v>
      </c>
      <c r="H283" s="33" t="str">
        <f ca="1">IFERROR(__xludf.DUMMYFUNCTION("""COMPUTED_VALUE"""),"Valencia- Cádiz")</f>
        <v>Valencia- Cádiz</v>
      </c>
      <c r="I283" s="33" t="str">
        <f ca="1">IFERROR(__xludf.DUMMYFUNCTION("""COMPUTED_VALUE"""),"C202618174141196214")</f>
        <v>C202618174141196214</v>
      </c>
      <c r="J283" s="33" t="str">
        <f ca="1">IFERROR(__xludf.DUMMYFUNCTION("""COMPUTED_VALUE"""),"RAUL PASTOR MIRALLES")</f>
        <v>RAUL PASTOR MIRALLES</v>
      </c>
      <c r="K283" s="56">
        <f ca="1">IFERROR(__xludf.DUMMYFUNCTION("""COMPUTED_VALUE"""),1)</f>
        <v>1</v>
      </c>
      <c r="L283" s="62">
        <f ca="1">IFERROR(__xludf.DUMMYFUNCTION("""COMPUTED_VALUE"""),2481.82)</f>
        <v>2481.8200000000002</v>
      </c>
      <c r="M283" s="33" t="str">
        <f ca="1">IFERROR(__xludf.DUMMYFUNCTION("""COMPUTED_VALUE"""),"03 ORL")</f>
        <v>03 ORL</v>
      </c>
      <c r="N283" s="33" t="str">
        <f ca="1">IFERROR(__xludf.DUMMYFUNCTION("""COMPUTED_VALUE"""),"06 ORL")</f>
        <v>06 ORL</v>
      </c>
      <c r="O283" s="33" t="str">
        <f ca="1">IFERROR(__xludf.DUMMYFUNCTION("""COMPUTED_VALUE"""),"Dr, Abel Guzmán Calvete")</f>
        <v>Dr, Abel Guzmán Calvete</v>
      </c>
      <c r="P283" s="33" t="str">
        <f ca="1">IFERROR(__xludf.DUMMYFUNCTION("""COMPUTED_VALUE"""),"Ramon Ferrando(Valencia)")</f>
        <v>Ramon Ferrando(Valencia)</v>
      </c>
    </row>
    <row r="284" spans="2:16">
      <c r="B284" s="74">
        <f ca="1">IFERROR(__xludf.DUMMYFUNCTION("""COMPUTED_VALUE"""),2026)</f>
        <v>2026</v>
      </c>
      <c r="C284" s="56">
        <f ca="1">IFERROR(__xludf.DUMMYFUNCTION("""COMPUTED_VALUE"""),2)</f>
        <v>2</v>
      </c>
      <c r="D284" s="33" t="str">
        <f ca="1">IFERROR(__xludf.DUMMYFUNCTION("""COMPUTED_VALUE"""),"NO")</f>
        <v>NO</v>
      </c>
      <c r="E284" s="33" t="str">
        <f ca="1">IFERROR(__xludf.DUMMYFUNCTION("""COMPUTED_VALUE"""),"Valencia- Cádiz")</f>
        <v>Valencia- Cádiz</v>
      </c>
      <c r="F284" s="57">
        <f ca="1">IFERROR(__xludf.DUMMYFUNCTION("""COMPUTED_VALUE"""),46080)</f>
        <v>46080</v>
      </c>
      <c r="G284" s="57">
        <f ca="1">IFERROR(__xludf.DUMMYFUNCTION("""COMPUTED_VALUE"""),46042)</f>
        <v>46042</v>
      </c>
      <c r="H284" s="33" t="str">
        <f ca="1">IFERROR(__xludf.DUMMYFUNCTION("""COMPUTED_VALUE"""),"Valencia- Cádiz")</f>
        <v>Valencia- Cádiz</v>
      </c>
      <c r="I284" s="33" t="str">
        <f ca="1">IFERROR(__xludf.DUMMYFUNCTION("""COMPUTED_VALUE"""),"C202612010474530470")</f>
        <v>C202612010474530470</v>
      </c>
      <c r="J284" s="33" t="str">
        <f ca="1">IFERROR(__xludf.DUMMYFUNCTION("""COMPUTED_VALUE"""),"RAFAEL CORTINA UREÑA")</f>
        <v>RAFAEL CORTINA UREÑA</v>
      </c>
      <c r="K284" s="56">
        <f ca="1">IFERROR(__xludf.DUMMYFUNCTION("""COMPUTED_VALUE"""),2)</f>
        <v>2</v>
      </c>
      <c r="L284" s="62">
        <f ca="1">IFERROR(__xludf.DUMMYFUNCTION("""COMPUTED_VALUE"""),4136.36)</f>
        <v>4136.3599999999997</v>
      </c>
      <c r="M284" s="33" t="str">
        <f ca="1">IFERROR(__xludf.DUMMYFUNCTION("""COMPUTED_VALUE"""),"03 ORL")</f>
        <v>03 ORL</v>
      </c>
      <c r="N284" s="33" t="str">
        <f ca="1">IFERROR(__xludf.DUMMYFUNCTION("""COMPUTED_VALUE"""),"06 ORL")</f>
        <v>06 ORL</v>
      </c>
      <c r="O284" s="33" t="str">
        <f ca="1">IFERROR(__xludf.DUMMYFUNCTION("""COMPUTED_VALUE"""),"No recuerda ORL")</f>
        <v>No recuerda ORL</v>
      </c>
      <c r="P284" s="33" t="str">
        <f ca="1">IFERROR(__xludf.DUMMYFUNCTION("""COMPUTED_VALUE"""),"Ramon Ferrando(Valencia)")</f>
        <v>Ramon Ferrando(Valencia)</v>
      </c>
    </row>
    <row r="285" spans="2:16">
      <c r="B285" s="74">
        <f ca="1">IFERROR(__xludf.DUMMYFUNCTION("""COMPUTED_VALUE"""),68)</f>
        <v>68</v>
      </c>
      <c r="C285" s="56">
        <f ca="1">IFERROR(__xludf.DUMMYFUNCTION("""COMPUTED_VALUE"""),2)</f>
        <v>2</v>
      </c>
      <c r="D285" s="33" t="str">
        <f ca="1">IFERROR(__xludf.DUMMYFUNCTION("""COMPUTED_VALUE"""),"NO")</f>
        <v>NO</v>
      </c>
      <c r="E285" s="33" t="str">
        <f ca="1">IFERROR(__xludf.DUMMYFUNCTION("""COMPUTED_VALUE"""),"Toledo")</f>
        <v>Toledo</v>
      </c>
      <c r="F285" s="57">
        <f ca="1">IFERROR(__xludf.DUMMYFUNCTION("""COMPUTED_VALUE"""),46080)</f>
        <v>46080</v>
      </c>
      <c r="G285" s="57">
        <f ca="1">IFERROR(__xludf.DUMMYFUNCTION("""COMPUTED_VALUE"""),46041)</f>
        <v>46041</v>
      </c>
      <c r="H285" s="33" t="str">
        <f ca="1">IFERROR(__xludf.DUMMYFUNCTION("""COMPUTED_VALUE"""),"Toledo")</f>
        <v>Toledo</v>
      </c>
      <c r="I285" s="33" t="str">
        <f ca="1">IFERROR(__xludf.DUMMYFUNCTION("""COMPUTED_VALUE"""),"C202611910505946252")</f>
        <v>C202611910505946252</v>
      </c>
      <c r="J285" s="33" t="str">
        <f ca="1">IFERROR(__xludf.DUMMYFUNCTION("""COMPUTED_VALUE"""),"Maria Milagros Sanchez Maestre")</f>
        <v>Maria Milagros Sanchez Maestre</v>
      </c>
      <c r="K285" s="56">
        <f ca="1">IFERROR(__xludf.DUMMYFUNCTION("""COMPUTED_VALUE"""),2)</f>
        <v>2</v>
      </c>
      <c r="L285" s="62">
        <f ca="1">IFERROR(__xludf.DUMMYFUNCTION("""COMPUTED_VALUE"""),2718.18)</f>
        <v>2718.18</v>
      </c>
      <c r="M285" s="33" t="str">
        <f ca="1">IFERROR(__xludf.DUMMYFUNCTION("""COMPUTED_VALUE"""),"03 ORL")</f>
        <v>03 ORL</v>
      </c>
      <c r="N285" s="33" t="str">
        <f ca="1">IFERROR(__xludf.DUMMYFUNCTION("""COMPUTED_VALUE"""),"06 ORL")</f>
        <v>06 ORL</v>
      </c>
      <c r="O285" s="33" t="str">
        <f ca="1">IFERROR(__xludf.DUMMYFUNCTION("""COMPUTED_VALUE"""),"Dr, Jonathan Esteban Sánchez")</f>
        <v>Dr, Jonathan Esteban Sánchez</v>
      </c>
      <c r="P285" s="33" t="str">
        <f ca="1">IFERROR(__xludf.DUMMYFUNCTION("""COMPUTED_VALUE"""),"Maika Blázquez (Madrid)")</f>
        <v>Maika Blázquez (Madrid)</v>
      </c>
    </row>
    <row r="286" spans="2:16">
      <c r="B286" s="74"/>
      <c r="C286" s="56">
        <f ca="1">IFERROR(__xludf.DUMMYFUNCTION("""COMPUTED_VALUE"""),3)</f>
        <v>3</v>
      </c>
      <c r="D286" s="33" t="str">
        <f ca="1">IFERROR(__xludf.DUMMYFUNCTION("""COMPUTED_VALUE"""),"NO")</f>
        <v>NO</v>
      </c>
      <c r="E286" s="33" t="str">
        <f ca="1">IFERROR(__xludf.DUMMYFUNCTION("""COMPUTED_VALUE"""),"Sevilla- Ciencias")</f>
        <v>Sevilla- Ciencias</v>
      </c>
      <c r="F286" s="57"/>
      <c r="G286" s="57">
        <f ca="1">IFERROR(__xludf.DUMMYFUNCTION("""COMPUTED_VALUE"""),46112)</f>
        <v>46112</v>
      </c>
      <c r="H286" s="33" t="str">
        <f ca="1">IFERROR(__xludf.DUMMYFUNCTION("""COMPUTED_VALUE"""),"Sevilla Este")</f>
        <v>Sevilla Este</v>
      </c>
      <c r="I286" s="33" t="str">
        <f ca="1">IFERROR(__xludf.DUMMYFUNCTION("""COMPUTED_VALUE"""),"C202622115532416084")</f>
        <v>C202622115532416084</v>
      </c>
      <c r="J286" s="33" t="str">
        <f ca="1">IFERROR(__xludf.DUMMYFUNCTION("""COMPUTED_VALUE"""),"Carmen Flores Atanet")</f>
        <v>Carmen Flores Atanet</v>
      </c>
      <c r="K286" s="56">
        <f ca="1">IFERROR(__xludf.DUMMYFUNCTION("""COMPUTED_VALUE"""),2)</f>
        <v>2</v>
      </c>
      <c r="L286" s="62">
        <f ca="1">IFERROR(__xludf.DUMMYFUNCTION("""COMPUTED_VALUE"""),3632)</f>
        <v>3632</v>
      </c>
      <c r="M286" s="33" t="str">
        <f ca="1">IFERROR(__xludf.DUMMYFUNCTION("""COMPUTED_VALUE"""),"03 ORL")</f>
        <v>03 ORL</v>
      </c>
      <c r="N286" s="33" t="str">
        <f ca="1">IFERROR(__xludf.DUMMYFUNCTION("""COMPUTED_VALUE"""),"06 ORL")</f>
        <v>06 ORL</v>
      </c>
      <c r="O286" s="33" t="str">
        <f ca="1">IFERROR(__xludf.DUMMYFUNCTION("""COMPUTED_VALUE"""),"Dr, Juan Pedro Benaixa")</f>
        <v>Dr, Juan Pedro Benaixa</v>
      </c>
      <c r="P286" s="33" t="str">
        <f ca="1">IFERROR(__xludf.DUMMYFUNCTION("""COMPUTED_VALUE"""),"Luis Alberto Rodríguez (Andalucía y Badajoz)")</f>
        <v>Luis Alberto Rodríguez (Andalucía y Badajoz)</v>
      </c>
    </row>
    <row r="287" spans="2:16">
      <c r="B287" s="74"/>
      <c r="C287" s="56">
        <f ca="1">IFERROR(__xludf.DUMMYFUNCTION("""COMPUTED_VALUE"""),3)</f>
        <v>3</v>
      </c>
      <c r="D287" s="33" t="str">
        <f ca="1">IFERROR(__xludf.DUMMYFUNCTION("""COMPUTED_VALUE"""),"NO")</f>
        <v>NO</v>
      </c>
      <c r="E287" s="33" t="str">
        <f ca="1">IFERROR(__xludf.DUMMYFUNCTION("""COMPUTED_VALUE"""),"Sevilla- Ciencias")</f>
        <v>Sevilla- Ciencias</v>
      </c>
      <c r="F287" s="57"/>
      <c r="G287" s="57">
        <f ca="1">IFERROR(__xludf.DUMMYFUNCTION("""COMPUTED_VALUE"""),46112)</f>
        <v>46112</v>
      </c>
      <c r="H287" s="33" t="str">
        <f ca="1">IFERROR(__xludf.DUMMYFUNCTION("""COMPUTED_VALUE"""),"Sevilla Este")</f>
        <v>Sevilla Este</v>
      </c>
      <c r="I287" s="33" t="str">
        <f ca="1">IFERROR(__xludf.DUMMYFUNCTION("""COMPUTED_VALUE"""),"C2026221849556447")</f>
        <v>C2026221849556447</v>
      </c>
      <c r="J287" s="33" t="str">
        <f ca="1">IFERROR(__xludf.DUMMYFUNCTION("""COMPUTED_VALUE"""),"Carmen Quiros Cachero")</f>
        <v>Carmen Quiros Cachero</v>
      </c>
      <c r="K287" s="56">
        <f ca="1">IFERROR(__xludf.DUMMYFUNCTION("""COMPUTED_VALUE"""),2)</f>
        <v>2</v>
      </c>
      <c r="L287" s="62">
        <f ca="1">IFERROR(__xludf.DUMMYFUNCTION("""COMPUTED_VALUE"""),3632)</f>
        <v>3632</v>
      </c>
      <c r="M287" s="33" t="str">
        <f ca="1">IFERROR(__xludf.DUMMYFUNCTION("""COMPUTED_VALUE"""),"03 ORL")</f>
        <v>03 ORL</v>
      </c>
      <c r="N287" s="33" t="str">
        <f ca="1">IFERROR(__xludf.DUMMYFUNCTION("""COMPUTED_VALUE"""),"06 ORL")</f>
        <v>06 ORL</v>
      </c>
      <c r="O287" s="33" t="str">
        <f ca="1">IFERROR(__xludf.DUMMYFUNCTION("""COMPUTED_VALUE"""),"Dr. María Del Pilar Gómez Tapiador")</f>
        <v>Dr. María Del Pilar Gómez Tapiador</v>
      </c>
      <c r="P287" s="33" t="str">
        <f ca="1">IFERROR(__xludf.DUMMYFUNCTION("""COMPUTED_VALUE"""),"Luis Alberto Rodríguez (Andalucía y Badajoz)")</f>
        <v>Luis Alberto Rodríguez (Andalucía y Badajoz)</v>
      </c>
    </row>
    <row r="288" spans="2:16">
      <c r="B288" s="74">
        <f ca="1">IFERROR(__xludf.DUMMYFUNCTION("""COMPUTED_VALUE"""),2026)</f>
        <v>2026</v>
      </c>
      <c r="C288" s="56">
        <f ca="1">IFERROR(__xludf.DUMMYFUNCTION("""COMPUTED_VALUE"""),3)</f>
        <v>3</v>
      </c>
      <c r="D288" s="33" t="str">
        <f ca="1">IFERROR(__xludf.DUMMYFUNCTION("""COMPUTED_VALUE"""),"NO")</f>
        <v>NO</v>
      </c>
      <c r="E288" s="33" t="str">
        <f ca="1">IFERROR(__xludf.DUMMYFUNCTION("""COMPUTED_VALUE"""),"Cáceres")</f>
        <v>Cáceres</v>
      </c>
      <c r="F288" s="57">
        <f ca="1">IFERROR(__xludf.DUMMYFUNCTION("""COMPUTED_VALUE"""),46083)</f>
        <v>46083</v>
      </c>
      <c r="G288" s="57">
        <f ca="1">IFERROR(__xludf.DUMMYFUNCTION("""COMPUTED_VALUE"""),46048)</f>
        <v>46048</v>
      </c>
      <c r="H288" s="33" t="str">
        <f ca="1">IFERROR(__xludf.DUMMYFUNCTION("""COMPUTED_VALUE"""),"Cáceres")</f>
        <v>Cáceres</v>
      </c>
      <c r="I288" s="33" t="str">
        <f ca="1">IFERROR(__xludf.DUMMYFUNCTION("""COMPUTED_VALUE"""),"C202612611314553565")</f>
        <v>C202612611314553565</v>
      </c>
      <c r="J288" s="33" t="str">
        <f ca="1">IFERROR(__xludf.DUMMYFUNCTION("""COMPUTED_VALUE"""),"MARIA GUADALUPE MORA PEÑA")</f>
        <v>MARIA GUADALUPE MORA PEÑA</v>
      </c>
      <c r="K288" s="56">
        <f ca="1">IFERROR(__xludf.DUMMYFUNCTION("""COMPUTED_VALUE"""),2)</f>
        <v>2</v>
      </c>
      <c r="L288" s="62">
        <f ca="1">IFERROR(__xludf.DUMMYFUNCTION("""COMPUTED_VALUE"""),3668.18)</f>
        <v>3668.18</v>
      </c>
      <c r="M288" s="33" t="str">
        <f ca="1">IFERROR(__xludf.DUMMYFUNCTION("""COMPUTED_VALUE"""),"03 ORL")</f>
        <v>03 ORL</v>
      </c>
      <c r="N288" s="33" t="str">
        <f ca="1">IFERROR(__xludf.DUMMYFUNCTION("""COMPUTED_VALUE"""),"06 ORL")</f>
        <v>06 ORL</v>
      </c>
      <c r="O288" s="33" t="str">
        <f ca="1">IFERROR(__xludf.DUMMYFUNCTION("""COMPUTED_VALUE"""),"Dr, Manuel Martí Peña")</f>
        <v>Dr, Manuel Martí Peña</v>
      </c>
      <c r="P288" s="33" t="str">
        <f ca="1">IFERROR(__xludf.DUMMYFUNCTION("""COMPUTED_VALUE"""),"Lisandro Russian (Madrid, Cáceres, Toledo, Talavera y Logroño)")</f>
        <v>Lisandro Russian (Madrid, Cáceres, Toledo, Talavera y Logroño)</v>
      </c>
    </row>
    <row r="289" spans="2:16">
      <c r="B289" s="74">
        <f ca="1">IFERROR(__xludf.DUMMYFUNCTION("""COMPUTED_VALUE"""),2026)</f>
        <v>2026</v>
      </c>
      <c r="C289" s="56">
        <f ca="1">IFERROR(__xludf.DUMMYFUNCTION("""COMPUTED_VALUE"""),3)</f>
        <v>3</v>
      </c>
      <c r="D289" s="33" t="str">
        <f ca="1">IFERROR(__xludf.DUMMYFUNCTION("""COMPUTED_VALUE"""),"NO")</f>
        <v>NO</v>
      </c>
      <c r="E289" s="33" t="str">
        <f ca="1">IFERROR(__xludf.DUMMYFUNCTION("""COMPUTED_VALUE"""),"Cáceres")</f>
        <v>Cáceres</v>
      </c>
      <c r="F289" s="57">
        <f ca="1">IFERROR(__xludf.DUMMYFUNCTION("""COMPUTED_VALUE"""),46083)</f>
        <v>46083</v>
      </c>
      <c r="G289" s="57">
        <f ca="1">IFERROR(__xludf.DUMMYFUNCTION("""COMPUTED_VALUE"""),46055)</f>
        <v>46055</v>
      </c>
      <c r="H289" s="33" t="str">
        <f ca="1">IFERROR(__xludf.DUMMYFUNCTION("""COMPUTED_VALUE"""),"Cáceres")</f>
        <v>Cáceres</v>
      </c>
      <c r="I289" s="33" t="str">
        <f ca="1">IFERROR(__xludf.DUMMYFUNCTION("""COMPUTED_VALUE"""),"C20262293320029948")</f>
        <v>C20262293320029948</v>
      </c>
      <c r="J289" s="33" t="str">
        <f ca="1">IFERROR(__xludf.DUMMYFUNCTION("""COMPUTED_VALUE"""),"FELIPE MENDOZA PIZARRO")</f>
        <v>FELIPE MENDOZA PIZARRO</v>
      </c>
      <c r="K289" s="56">
        <f ca="1">IFERROR(__xludf.DUMMYFUNCTION("""COMPUTED_VALUE"""),2)</f>
        <v>2</v>
      </c>
      <c r="L289" s="62">
        <f ca="1">IFERROR(__xludf.DUMMYFUNCTION("""COMPUTED_VALUE"""),3940.91)</f>
        <v>3940.91</v>
      </c>
      <c r="M289" s="33" t="str">
        <f ca="1">IFERROR(__xludf.DUMMYFUNCTION("""COMPUTED_VALUE"""),"03 ORL")</f>
        <v>03 ORL</v>
      </c>
      <c r="N289" s="33" t="str">
        <f ca="1">IFERROR(__xludf.DUMMYFUNCTION("""COMPUTED_VALUE"""),"06 ORL")</f>
        <v>06 ORL</v>
      </c>
      <c r="O289" s="33" t="str">
        <f ca="1">IFERROR(__xludf.DUMMYFUNCTION("""COMPUTED_VALUE"""),"Dra, Daniela Carolina Laguado Bulgheroni")</f>
        <v>Dra, Daniela Carolina Laguado Bulgheroni</v>
      </c>
      <c r="P289" s="33" t="str">
        <f ca="1">IFERROR(__xludf.DUMMYFUNCTION("""COMPUTED_VALUE"""),"Lisandro Russian (Madrid, Cáceres, Toledo, Talavera y Logroño)")</f>
        <v>Lisandro Russian (Madrid, Cáceres, Toledo, Talavera y Logroño)</v>
      </c>
    </row>
    <row r="290" spans="2:16">
      <c r="B290" s="74">
        <f ca="1">IFERROR(__xludf.DUMMYFUNCTION("""COMPUTED_VALUE"""),2026)</f>
        <v>2026</v>
      </c>
      <c r="C290" s="56">
        <f ca="1">IFERROR(__xludf.DUMMYFUNCTION("""COMPUTED_VALUE"""),3)</f>
        <v>3</v>
      </c>
      <c r="D290" s="33" t="str">
        <f ca="1">IFERROR(__xludf.DUMMYFUNCTION("""COMPUTED_VALUE"""),"NO")</f>
        <v>NO</v>
      </c>
      <c r="E290" s="33" t="str">
        <f ca="1">IFERROR(__xludf.DUMMYFUNCTION("""COMPUTED_VALUE"""),"Madrid- Monforte de Lemos")</f>
        <v>Madrid- Monforte de Lemos</v>
      </c>
      <c r="F290" s="57">
        <f ca="1">IFERROR(__xludf.DUMMYFUNCTION("""COMPUTED_VALUE"""),46083)</f>
        <v>46083</v>
      </c>
      <c r="G290" s="57">
        <f ca="1">IFERROR(__xludf.DUMMYFUNCTION("""COMPUTED_VALUE"""),46030)</f>
        <v>46030</v>
      </c>
      <c r="H290" s="33" t="str">
        <f ca="1">IFERROR(__xludf.DUMMYFUNCTION("""COMPUTED_VALUE"""),"La Vaguada")</f>
        <v>La Vaguada</v>
      </c>
      <c r="I290" s="33" t="str">
        <f ca="1">IFERROR(__xludf.DUMMYFUNCTION("""COMPUTED_VALUE"""),"C202618105216372686")</f>
        <v>C202618105216372686</v>
      </c>
      <c r="J290" s="33" t="str">
        <f ca="1">IFERROR(__xludf.DUMMYFUNCTION("""COMPUTED_VALUE"""),"FREDY HERNANDEZ PAQUIRACHI")</f>
        <v>FREDY HERNANDEZ PAQUIRACHI</v>
      </c>
      <c r="K290" s="56">
        <f ca="1">IFERROR(__xludf.DUMMYFUNCTION("""COMPUTED_VALUE"""),1)</f>
        <v>1</v>
      </c>
      <c r="L290" s="62">
        <f ca="1">IFERROR(__xludf.DUMMYFUNCTION("""COMPUTED_VALUE"""),1631.82)</f>
        <v>1631.82</v>
      </c>
      <c r="M290" s="33" t="str">
        <f ca="1">IFERROR(__xludf.DUMMYFUNCTION("""COMPUTED_VALUE"""),"03 ORL")</f>
        <v>03 ORL</v>
      </c>
      <c r="N290" s="33" t="str">
        <f ca="1">IFERROR(__xludf.DUMMYFUNCTION("""COMPUTED_VALUE"""),"06 ORL")</f>
        <v>06 ORL</v>
      </c>
      <c r="O290" s="33" t="str">
        <f ca="1">IFERROR(__xludf.DUMMYFUNCTION("""COMPUTED_VALUE"""),"Dra, Victoria García Peces")</f>
        <v>Dra, Victoria García Peces</v>
      </c>
      <c r="P290" s="33" t="str">
        <f ca="1">IFERROR(__xludf.DUMMYFUNCTION("""COMPUTED_VALUE"""),"Maika Blázquez (Madrid)")</f>
        <v>Maika Blázquez (Madrid)</v>
      </c>
    </row>
    <row r="291" spans="2:16">
      <c r="B291" s="74">
        <f ca="1">IFERROR(__xludf.DUMMYFUNCTION("""COMPUTED_VALUE"""),2026)</f>
        <v>2026</v>
      </c>
      <c r="C291" s="56">
        <f ca="1">IFERROR(__xludf.DUMMYFUNCTION("""COMPUTED_VALUE"""),3)</f>
        <v>3</v>
      </c>
      <c r="D291" s="33" t="str">
        <f ca="1">IFERROR(__xludf.DUMMYFUNCTION("""COMPUTED_VALUE"""),"NO")</f>
        <v>NO</v>
      </c>
      <c r="E291" s="33" t="str">
        <f ca="1">IFERROR(__xludf.DUMMYFUNCTION("""COMPUTED_VALUE"""),"Madrid- La Oca")</f>
        <v>Madrid- La Oca</v>
      </c>
      <c r="F291" s="57">
        <f ca="1">IFERROR(__xludf.DUMMYFUNCTION("""COMPUTED_VALUE"""),46083)</f>
        <v>46083</v>
      </c>
      <c r="G291" s="57">
        <f ca="1">IFERROR(__xludf.DUMMYFUNCTION("""COMPUTED_VALUE"""),46041)</f>
        <v>46041</v>
      </c>
      <c r="H291" s="33" t="str">
        <f ca="1">IFERROR(__xludf.DUMMYFUNCTION("""COMPUTED_VALUE"""),"La Oca")</f>
        <v>La Oca</v>
      </c>
      <c r="I291" s="33" t="str">
        <f ca="1">IFERROR(__xludf.DUMMYFUNCTION("""COMPUTED_VALUE"""),"C202611916431516801")</f>
        <v>C202611916431516801</v>
      </c>
      <c r="J291" s="33" t="str">
        <f ca="1">IFERROR(__xludf.DUMMYFUNCTION("""COMPUTED_VALUE"""),"JOSE MARIA DIEGO CASTELAO ALBELA")</f>
        <v>JOSE MARIA DIEGO CASTELAO ALBELA</v>
      </c>
      <c r="K291" s="56">
        <f ca="1">IFERROR(__xludf.DUMMYFUNCTION("""COMPUTED_VALUE"""),2)</f>
        <v>2</v>
      </c>
      <c r="L291" s="62">
        <f ca="1">IFERROR(__xludf.DUMMYFUNCTION("""COMPUTED_VALUE"""),4136.36)</f>
        <v>4136.3599999999997</v>
      </c>
      <c r="M291" s="33" t="str">
        <f ca="1">IFERROR(__xludf.DUMMYFUNCTION("""COMPUTED_VALUE"""),"03 ORL")</f>
        <v>03 ORL</v>
      </c>
      <c r="N291" s="33" t="str">
        <f ca="1">IFERROR(__xludf.DUMMYFUNCTION("""COMPUTED_VALUE"""),"22 AUDIOMETRIA CLINICA")</f>
        <v>22 AUDIOMETRIA CLINICA</v>
      </c>
      <c r="O291" s="33" t="str">
        <f ca="1">IFERROR(__xludf.DUMMYFUNCTION("""COMPUTED_VALUE"""),"Dra, Laura Ruano De Pablo")</f>
        <v>Dra, Laura Ruano De Pablo</v>
      </c>
      <c r="P291" s="33" t="str">
        <f ca="1">IFERROR(__xludf.DUMMYFUNCTION("""COMPUTED_VALUE"""),"Maika Blázquez (Madrid)")</f>
        <v>Maika Blázquez (Madrid)</v>
      </c>
    </row>
    <row r="292" spans="2:16">
      <c r="B292" s="74">
        <f ca="1">IFERROR(__xludf.DUMMYFUNCTION("""COMPUTED_VALUE"""),2026)</f>
        <v>2026</v>
      </c>
      <c r="C292" s="56">
        <f ca="1">IFERROR(__xludf.DUMMYFUNCTION("""COMPUTED_VALUE"""),3)</f>
        <v>3</v>
      </c>
      <c r="D292" s="33" t="str">
        <f ca="1">IFERROR(__xludf.DUMMYFUNCTION("""COMPUTED_VALUE"""),"NO")</f>
        <v>NO</v>
      </c>
      <c r="E292" s="33" t="str">
        <f ca="1">IFERROR(__xludf.DUMMYFUNCTION("""COMPUTED_VALUE"""),"Ponferrada")</f>
        <v>Ponferrada</v>
      </c>
      <c r="F292" s="57">
        <f ca="1">IFERROR(__xludf.DUMMYFUNCTION("""COMPUTED_VALUE"""),46083)</f>
        <v>46083</v>
      </c>
      <c r="G292" s="57">
        <f ca="1">IFERROR(__xludf.DUMMYFUNCTION("""COMPUTED_VALUE"""),45971)</f>
        <v>45971</v>
      </c>
      <c r="H292" s="33" t="str">
        <f ca="1">IFERROR(__xludf.DUMMYFUNCTION("""COMPUTED_VALUE"""),"Ponferrada")</f>
        <v>Ponferrada</v>
      </c>
      <c r="I292" s="33" t="str">
        <f ca="1">IFERROR(__xludf.DUMMYFUNCTION("""COMPUTED_VALUE"""),"PON-1022")</f>
        <v>PON-1022</v>
      </c>
      <c r="J292" s="33" t="str">
        <f ca="1">IFERROR(__xludf.DUMMYFUNCTION("""COMPUTED_VALUE"""),"MARIA PILAR RODRIGUEZ FERNANDEZ")</f>
        <v>MARIA PILAR RODRIGUEZ FERNANDEZ</v>
      </c>
      <c r="K292" s="56">
        <f ca="1">IFERROR(__xludf.DUMMYFUNCTION("""COMPUTED_VALUE"""),2)</f>
        <v>2</v>
      </c>
      <c r="L292" s="62">
        <f ca="1">IFERROR(__xludf.DUMMYFUNCTION("""COMPUTED_VALUE"""),3909.09)</f>
        <v>3909.09</v>
      </c>
      <c r="M292" s="33" t="str">
        <f ca="1">IFERROR(__xludf.DUMMYFUNCTION("""COMPUTED_VALUE"""),"03 ORL")</f>
        <v>03 ORL</v>
      </c>
      <c r="N292" s="33" t="str">
        <f ca="1">IFERROR(__xludf.DUMMYFUNCTION("""COMPUTED_VALUE"""),"06 ORL")</f>
        <v>06 ORL</v>
      </c>
      <c r="O292" s="33" t="str">
        <f ca="1">IFERROR(__xludf.DUMMYFUNCTION("""COMPUTED_VALUE"""),"No recuerda ORL")</f>
        <v>No recuerda ORL</v>
      </c>
      <c r="P292" s="33" t="str">
        <f ca="1">IFERROR(__xludf.DUMMYFUNCTION("""COMPUTED_VALUE"""),"Alberto Moreno (Madrid)")</f>
        <v>Alberto Moreno (Madrid)</v>
      </c>
    </row>
    <row r="293" spans="2:16">
      <c r="B293" s="74">
        <f ca="1">IFERROR(__xludf.DUMMYFUNCTION("""COMPUTED_VALUE"""),2026)</f>
        <v>2026</v>
      </c>
      <c r="C293" s="56">
        <f ca="1">IFERROR(__xludf.DUMMYFUNCTION("""COMPUTED_VALUE"""),3)</f>
        <v>3</v>
      </c>
      <c r="D293" s="33" t="str">
        <f ca="1">IFERROR(__xludf.DUMMYFUNCTION("""COMPUTED_VALUE"""),"NO")</f>
        <v>NO</v>
      </c>
      <c r="E293" s="33" t="str">
        <f ca="1">IFERROR(__xludf.DUMMYFUNCTION("""COMPUTED_VALUE"""),"Madrid- Canillas")</f>
        <v>Madrid- Canillas</v>
      </c>
      <c r="F293" s="57">
        <f ca="1">IFERROR(__xludf.DUMMYFUNCTION("""COMPUTED_VALUE"""),46083)</f>
        <v>46083</v>
      </c>
      <c r="G293" s="57">
        <f ca="1">IFERROR(__xludf.DUMMYFUNCTION("""COMPUTED_VALUE"""),46056)</f>
        <v>46056</v>
      </c>
      <c r="H293" s="33" t="str">
        <f ca="1">IFERROR(__xludf.DUMMYFUNCTION("""COMPUTED_VALUE"""),"Canillas")</f>
        <v>Canillas</v>
      </c>
      <c r="I293" s="33" t="str">
        <f ca="1">IFERROR(__xludf.DUMMYFUNCTION("""COMPUTED_VALUE"""),"C20262311251509611")</f>
        <v>C20262311251509611</v>
      </c>
      <c r="J293" s="33" t="str">
        <f ca="1">IFERROR(__xludf.DUMMYFUNCTION("""COMPUTED_VALUE"""),"FELIX DE LA FUENTE SANTERO")</f>
        <v>FELIX DE LA FUENTE SANTERO</v>
      </c>
      <c r="K293" s="56">
        <f ca="1">IFERROR(__xludf.DUMMYFUNCTION("""COMPUTED_VALUE"""),2)</f>
        <v>2</v>
      </c>
      <c r="L293" s="62">
        <f ca="1">IFERROR(__xludf.DUMMYFUNCTION("""COMPUTED_VALUE"""),2718.18)</f>
        <v>2718.18</v>
      </c>
      <c r="M293" s="33" t="str">
        <f ca="1">IFERROR(__xludf.DUMMYFUNCTION("""COMPUTED_VALUE"""),"03 ORL")</f>
        <v>03 ORL</v>
      </c>
      <c r="N293" s="33" t="str">
        <f ca="1">IFERROR(__xludf.DUMMYFUNCTION("""COMPUTED_VALUE"""),"06 ORL")</f>
        <v>06 ORL</v>
      </c>
      <c r="O293" s="33" t="str">
        <f ca="1">IFERROR(__xludf.DUMMYFUNCTION("""COMPUTED_VALUE"""),"Dr, Julio López Moya")</f>
        <v>Dr, Julio López Moya</v>
      </c>
      <c r="P293" s="33" t="str">
        <f ca="1">IFERROR(__xludf.DUMMYFUNCTION("""COMPUTED_VALUE"""),"Maika Blázquez (Madrid)")</f>
        <v>Maika Blázquez (Madrid)</v>
      </c>
    </row>
    <row r="294" spans="2:16">
      <c r="B294" s="74">
        <f ca="1">IFERROR(__xludf.DUMMYFUNCTION("""COMPUTED_VALUE"""),2026)</f>
        <v>2026</v>
      </c>
      <c r="C294" s="56">
        <f ca="1">IFERROR(__xludf.DUMMYFUNCTION("""COMPUTED_VALUE"""),3)</f>
        <v>3</v>
      </c>
      <c r="D294" s="33" t="str">
        <f ca="1">IFERROR(__xludf.DUMMYFUNCTION("""COMPUTED_VALUE"""),"NO")</f>
        <v>NO</v>
      </c>
      <c r="E294" s="33" t="str">
        <f ca="1">IFERROR(__xludf.DUMMYFUNCTION("""COMPUTED_VALUE"""),"Sevilla- Montoto")</f>
        <v>Sevilla- Montoto</v>
      </c>
      <c r="F294" s="57">
        <f ca="1">IFERROR(__xludf.DUMMYFUNCTION("""COMPUTED_VALUE"""),46083)</f>
        <v>46083</v>
      </c>
      <c r="G294" s="57">
        <f ca="1">IFERROR(__xludf.DUMMYFUNCTION("""COMPUTED_VALUE"""),46021)</f>
        <v>46021</v>
      </c>
      <c r="H294" s="33" t="str">
        <f ca="1">IFERROR(__xludf.DUMMYFUNCTION("""COMPUTED_VALUE"""),"Montoto")</f>
        <v>Montoto</v>
      </c>
      <c r="I294" s="33" t="str">
        <f ca="1">IFERROR(__xludf.DUMMYFUNCTION("""COMPUTED_VALUE"""),"C202512308404010215")</f>
        <v>C202512308404010215</v>
      </c>
      <c r="J294" s="33" t="str">
        <f ca="1">IFERROR(__xludf.DUMMYFUNCTION("""COMPUTED_VALUE"""),"ROSARIO DORADO JIMENEZ")</f>
        <v>ROSARIO DORADO JIMENEZ</v>
      </c>
      <c r="K294" s="56">
        <f ca="1">IFERROR(__xludf.DUMMYFUNCTION("""COMPUTED_VALUE"""),2)</f>
        <v>2</v>
      </c>
      <c r="L294" s="62">
        <f ca="1">IFERROR(__xludf.DUMMYFUNCTION("""COMPUTED_VALUE"""),2174.55)</f>
        <v>2174.5500000000002</v>
      </c>
      <c r="M294" s="33" t="str">
        <f ca="1">IFERROR(__xludf.DUMMYFUNCTION("""COMPUTED_VALUE"""),"03 ORL")</f>
        <v>03 ORL</v>
      </c>
      <c r="N294" s="33" t="str">
        <f ca="1">IFERROR(__xludf.DUMMYFUNCTION("""COMPUTED_VALUE"""),"06 ORL")</f>
        <v>06 ORL</v>
      </c>
      <c r="O294" s="33" t="str">
        <f ca="1">IFERROR(__xludf.DUMMYFUNCTION("""COMPUTED_VALUE"""),"Dr, Javier García Domínguez")</f>
        <v>Dr, Javier García Domínguez</v>
      </c>
      <c r="P294" s="33" t="str">
        <f ca="1">IFERROR(__xludf.DUMMYFUNCTION("""COMPUTED_VALUE"""),"Maika Blázquez (Madrid)")</f>
        <v>Maika Blázquez (Madrid)</v>
      </c>
    </row>
    <row r="295" spans="2:16">
      <c r="B295" s="74">
        <f ca="1">IFERROR(__xludf.DUMMYFUNCTION("""COMPUTED_VALUE"""),2026)</f>
        <v>2026</v>
      </c>
      <c r="C295" s="56">
        <f ca="1">IFERROR(__xludf.DUMMYFUNCTION("""COMPUTED_VALUE"""),3)</f>
        <v>3</v>
      </c>
      <c r="D295" s="33" t="str">
        <f ca="1">IFERROR(__xludf.DUMMYFUNCTION("""COMPUTED_VALUE"""),"NO")</f>
        <v>NO</v>
      </c>
      <c r="E295" s="33" t="str">
        <f ca="1">IFERROR(__xludf.DUMMYFUNCTION("""COMPUTED_VALUE"""),"Ponferrada")</f>
        <v>Ponferrada</v>
      </c>
      <c r="F295" s="57">
        <f ca="1">IFERROR(__xludf.DUMMYFUNCTION("""COMPUTED_VALUE"""),46084)</f>
        <v>46084</v>
      </c>
      <c r="G295" s="57">
        <f ca="1">IFERROR(__xludf.DUMMYFUNCTION("""COMPUTED_VALUE"""),45967)</f>
        <v>45967</v>
      </c>
      <c r="H295" s="33" t="str">
        <f ca="1">IFERROR(__xludf.DUMMYFUNCTION("""COMPUTED_VALUE"""),"Ponferrada")</f>
        <v>Ponferrada</v>
      </c>
      <c r="I295" s="33" t="str">
        <f ca="1">IFERROR(__xludf.DUMMYFUNCTION("""COMPUTED_VALUE"""),"PON-1019")</f>
        <v>PON-1019</v>
      </c>
      <c r="J295" s="33" t="str">
        <f ca="1">IFERROR(__xludf.DUMMYFUNCTION("""COMPUTED_VALUE"""),"RICARDO PARRADO SANTOS")</f>
        <v>RICARDO PARRADO SANTOS</v>
      </c>
      <c r="K295" s="56">
        <f ca="1">IFERROR(__xludf.DUMMYFUNCTION("""COMPUTED_VALUE"""),2)</f>
        <v>2</v>
      </c>
      <c r="L295" s="62">
        <f ca="1">IFERROR(__xludf.DUMMYFUNCTION("""COMPUTED_VALUE"""),3909.09)</f>
        <v>3909.09</v>
      </c>
      <c r="M295" s="33" t="str">
        <f ca="1">IFERROR(__xludf.DUMMYFUNCTION("""COMPUTED_VALUE"""),"03 ORL")</f>
        <v>03 ORL</v>
      </c>
      <c r="N295" s="33" t="str">
        <f ca="1">IFERROR(__xludf.DUMMYFUNCTION("""COMPUTED_VALUE"""),"06 ORL")</f>
        <v>06 ORL</v>
      </c>
      <c r="O295" s="33" t="str">
        <f ca="1">IFERROR(__xludf.DUMMYFUNCTION("""COMPUTED_VALUE"""),"Dra, Mónica Granda Rosales")</f>
        <v>Dra, Mónica Granda Rosales</v>
      </c>
      <c r="P295" s="33" t="str">
        <f ca="1">IFERROR(__xludf.DUMMYFUNCTION("""COMPUTED_VALUE"""),"Alberto Moreno (Madrid)")</f>
        <v>Alberto Moreno (Madrid)</v>
      </c>
    </row>
    <row r="296" spans="2:16">
      <c r="B296" s="74">
        <f ca="1">IFERROR(__xludf.DUMMYFUNCTION("""COMPUTED_VALUE"""),2026)</f>
        <v>2026</v>
      </c>
      <c r="C296" s="56">
        <f ca="1">IFERROR(__xludf.DUMMYFUNCTION("""COMPUTED_VALUE"""),3)</f>
        <v>3</v>
      </c>
      <c r="D296" s="33" t="str">
        <f ca="1">IFERROR(__xludf.DUMMYFUNCTION("""COMPUTED_VALUE"""),"NO")</f>
        <v>NO</v>
      </c>
      <c r="E296" s="33" t="str">
        <f ca="1">IFERROR(__xludf.DUMMYFUNCTION("""COMPUTED_VALUE"""),"Cáceres")</f>
        <v>Cáceres</v>
      </c>
      <c r="F296" s="57">
        <f ca="1">IFERROR(__xludf.DUMMYFUNCTION("""COMPUTED_VALUE"""),46084)</f>
        <v>46084</v>
      </c>
      <c r="G296" s="57">
        <f ca="1">IFERROR(__xludf.DUMMYFUNCTION("""COMPUTED_VALUE"""),46051)</f>
        <v>46051</v>
      </c>
      <c r="H296" s="33" t="str">
        <f ca="1">IFERROR(__xludf.DUMMYFUNCTION("""COMPUTED_VALUE"""),"Cáceres")</f>
        <v>Cáceres</v>
      </c>
      <c r="I296" s="33" t="str">
        <f ca="1">IFERROR(__xludf.DUMMYFUNCTION("""COMPUTED_VALUE"""),"C202612912533959944")</f>
        <v>C202612912533959944</v>
      </c>
      <c r="J296" s="33" t="str">
        <f ca="1">IFERROR(__xludf.DUMMYFUNCTION("""COMPUTED_VALUE"""),"CARMEN ROLO PEREZ")</f>
        <v>CARMEN ROLO PEREZ</v>
      </c>
      <c r="K296" s="56">
        <f ca="1">IFERROR(__xludf.DUMMYFUNCTION("""COMPUTED_VALUE"""),2)</f>
        <v>2</v>
      </c>
      <c r="L296" s="62">
        <f ca="1">IFERROR(__xludf.DUMMYFUNCTION("""COMPUTED_VALUE"""),4818.18)</f>
        <v>4818.18</v>
      </c>
      <c r="M296" s="33" t="str">
        <f ca="1">IFERROR(__xludf.DUMMYFUNCTION("""COMPUTED_VALUE"""),"03 ORL")</f>
        <v>03 ORL</v>
      </c>
      <c r="N296" s="33" t="str">
        <f ca="1">IFERROR(__xludf.DUMMYFUNCTION("""COMPUTED_VALUE"""),"06 ORL")</f>
        <v>06 ORL</v>
      </c>
      <c r="O296" s="33" t="str">
        <f ca="1">IFERROR(__xludf.DUMMYFUNCTION("""COMPUTED_VALUE"""),"Dra, Marta García Jiménez")</f>
        <v>Dra, Marta García Jiménez</v>
      </c>
      <c r="P296" s="33" t="str">
        <f ca="1">IFERROR(__xludf.DUMMYFUNCTION("""COMPUTED_VALUE"""),"Lisandro Russian (Madrid, Cáceres, Toledo, Talavera y Logroño)")</f>
        <v>Lisandro Russian (Madrid, Cáceres, Toledo, Talavera y Logroño)</v>
      </c>
    </row>
    <row r="297" spans="2:16">
      <c r="B297" s="74">
        <f ca="1">IFERROR(__xludf.DUMMYFUNCTION("""COMPUTED_VALUE"""),2026)</f>
        <v>2026</v>
      </c>
      <c r="C297" s="56">
        <f ca="1">IFERROR(__xludf.DUMMYFUNCTION("""COMPUTED_VALUE"""),3)</f>
        <v>3</v>
      </c>
      <c r="D297" s="33" t="str">
        <f ca="1">IFERROR(__xludf.DUMMYFUNCTION("""COMPUTED_VALUE"""),"NO")</f>
        <v>NO</v>
      </c>
      <c r="E297" s="33" t="str">
        <f ca="1">IFERROR(__xludf.DUMMYFUNCTION("""COMPUTED_VALUE"""),"Cáceres")</f>
        <v>Cáceres</v>
      </c>
      <c r="F297" s="57">
        <f ca="1">IFERROR(__xludf.DUMMYFUNCTION("""COMPUTED_VALUE"""),46084)</f>
        <v>46084</v>
      </c>
      <c r="G297" s="57">
        <f ca="1">IFERROR(__xludf.DUMMYFUNCTION("""COMPUTED_VALUE"""),46049)</f>
        <v>46049</v>
      </c>
      <c r="H297" s="33" t="str">
        <f ca="1">IFERROR(__xludf.DUMMYFUNCTION("""COMPUTED_VALUE"""),"Cáceres")</f>
        <v>Cáceres</v>
      </c>
      <c r="I297" s="33" t="str">
        <f ca="1">IFERROR(__xludf.DUMMYFUNCTION("""COMPUTED_VALUE"""),"C202612713251872039")</f>
        <v>C202612713251872039</v>
      </c>
      <c r="J297" s="33" t="str">
        <f ca="1">IFERROR(__xludf.DUMMYFUNCTION("""COMPUTED_VALUE"""),"LUIS CARABOT ALVAREZ")</f>
        <v>LUIS CARABOT ALVAREZ</v>
      </c>
      <c r="K297" s="56">
        <f ca="1">IFERROR(__xludf.DUMMYFUNCTION("""COMPUTED_VALUE"""),2)</f>
        <v>2</v>
      </c>
      <c r="L297" s="62">
        <f ca="1">IFERROR(__xludf.DUMMYFUNCTION("""COMPUTED_VALUE"""),4990.91)</f>
        <v>4990.91</v>
      </c>
      <c r="M297" s="33" t="str">
        <f ca="1">IFERROR(__xludf.DUMMYFUNCTION("""COMPUTED_VALUE"""),"03 ORL")</f>
        <v>03 ORL</v>
      </c>
      <c r="N297" s="33" t="str">
        <f ca="1">IFERROR(__xludf.DUMMYFUNCTION("""COMPUTED_VALUE"""),"06 ORL")</f>
        <v>06 ORL</v>
      </c>
      <c r="O297" s="33" t="str">
        <f ca="1">IFERROR(__xludf.DUMMYFUNCTION("""COMPUTED_VALUE"""),"Dra, Daniela Carolina Laguado Bulgheroni")</f>
        <v>Dra, Daniela Carolina Laguado Bulgheroni</v>
      </c>
      <c r="P297" s="33" t="str">
        <f ca="1">IFERROR(__xludf.DUMMYFUNCTION("""COMPUTED_VALUE"""),"Lisandro Russian (Madrid, Cáceres, Toledo, Talavera y Logroño)")</f>
        <v>Lisandro Russian (Madrid, Cáceres, Toledo, Talavera y Logroño)</v>
      </c>
    </row>
    <row r="298" spans="2:16">
      <c r="B298" s="74">
        <f ca="1">IFERROR(__xludf.DUMMYFUNCTION("""COMPUTED_VALUE"""),2026)</f>
        <v>2026</v>
      </c>
      <c r="C298" s="56">
        <f ca="1">IFERROR(__xludf.DUMMYFUNCTION("""COMPUTED_VALUE"""),3)</f>
        <v>3</v>
      </c>
      <c r="D298" s="33" t="str">
        <f ca="1">IFERROR(__xludf.DUMMYFUNCTION("""COMPUTED_VALUE"""),"NO")</f>
        <v>NO</v>
      </c>
      <c r="E298" s="33" t="str">
        <f ca="1">IFERROR(__xludf.DUMMYFUNCTION("""COMPUTED_VALUE"""),"Madrid- Canillas")</f>
        <v>Madrid- Canillas</v>
      </c>
      <c r="F298" s="57">
        <f ca="1">IFERROR(__xludf.DUMMYFUNCTION("""COMPUTED_VALUE"""),46084)</f>
        <v>46084</v>
      </c>
      <c r="G298" s="57">
        <f ca="1">IFERROR(__xludf.DUMMYFUNCTION("""COMPUTED_VALUE"""),46063)</f>
        <v>46063</v>
      </c>
      <c r="H298" s="33" t="str">
        <f ca="1">IFERROR(__xludf.DUMMYFUNCTION("""COMPUTED_VALUE"""),"Canillas")</f>
        <v>Canillas</v>
      </c>
      <c r="I298" s="33" t="str">
        <f ca="1">IFERROR(__xludf.DUMMYFUNCTION("""COMPUTED_VALUE"""),"C202621016226994416")</f>
        <v>C202621016226994416</v>
      </c>
      <c r="J298" s="33" t="str">
        <f ca="1">IFERROR(__xludf.DUMMYFUNCTION("""COMPUTED_VALUE"""),"CARLOS DURO MELERO")</f>
        <v>CARLOS DURO MELERO</v>
      </c>
      <c r="K298" s="56">
        <f ca="1">IFERROR(__xludf.DUMMYFUNCTION("""COMPUTED_VALUE"""),2)</f>
        <v>2</v>
      </c>
      <c r="L298" s="62">
        <f ca="1">IFERROR(__xludf.DUMMYFUNCTION("""COMPUTED_VALUE"""),4536.36)</f>
        <v>4536.3599999999997</v>
      </c>
      <c r="M298" s="33" t="str">
        <f ca="1">IFERROR(__xludf.DUMMYFUNCTION("""COMPUTED_VALUE"""),"03 ORL")</f>
        <v>03 ORL</v>
      </c>
      <c r="N298" s="33" t="str">
        <f ca="1">IFERROR(__xludf.DUMMYFUNCTION("""COMPUTED_VALUE"""),"06 ORL")</f>
        <v>06 ORL</v>
      </c>
      <c r="O298" s="33" t="str">
        <f ca="1">IFERROR(__xludf.DUMMYFUNCTION("""COMPUTED_VALUE"""),"No recuerda ORL")</f>
        <v>No recuerda ORL</v>
      </c>
      <c r="P298" s="33" t="str">
        <f ca="1">IFERROR(__xludf.DUMMYFUNCTION("""COMPUTED_VALUE"""),"Maika Blázquez (Madrid)")</f>
        <v>Maika Blázquez (Madrid)</v>
      </c>
    </row>
    <row r="299" spans="2:16">
      <c r="B299" s="74">
        <f ca="1">IFERROR(__xludf.DUMMYFUNCTION("""COMPUTED_VALUE"""),2026)</f>
        <v>2026</v>
      </c>
      <c r="C299" s="56">
        <f ca="1">IFERROR(__xludf.DUMMYFUNCTION("""COMPUTED_VALUE"""),3)</f>
        <v>3</v>
      </c>
      <c r="D299" s="33" t="str">
        <f ca="1">IFERROR(__xludf.DUMMYFUNCTION("""COMPUTED_VALUE"""),"NO")</f>
        <v>NO</v>
      </c>
      <c r="E299" s="33" t="str">
        <f ca="1">IFERROR(__xludf.DUMMYFUNCTION("""COMPUTED_VALUE"""),"Alicante")</f>
        <v>Alicante</v>
      </c>
      <c r="F299" s="57">
        <f ca="1">IFERROR(__xludf.DUMMYFUNCTION("""COMPUTED_VALUE"""),46085)</f>
        <v>46085</v>
      </c>
      <c r="G299" s="57">
        <f ca="1">IFERROR(__xludf.DUMMYFUNCTION("""COMPUTED_VALUE"""),46048)</f>
        <v>46048</v>
      </c>
      <c r="H299" s="33" t="str">
        <f ca="1">IFERROR(__xludf.DUMMYFUNCTION("""COMPUTED_VALUE"""),"Alicante")</f>
        <v>Alicante</v>
      </c>
      <c r="I299" s="33" t="str">
        <f ca="1">IFERROR(__xludf.DUMMYFUNCTION("""COMPUTED_VALUE"""),"C202612682640857253")</f>
        <v>C202612682640857253</v>
      </c>
      <c r="J299" s="33" t="str">
        <f ca="1">IFERROR(__xludf.DUMMYFUNCTION("""COMPUTED_VALUE"""),"JOSE GALLEGO ALBURQUERQUE")</f>
        <v>JOSE GALLEGO ALBURQUERQUE</v>
      </c>
      <c r="K299" s="56">
        <f ca="1">IFERROR(__xludf.DUMMYFUNCTION("""COMPUTED_VALUE"""),1)</f>
        <v>1</v>
      </c>
      <c r="L299" s="62">
        <f ca="1">IFERROR(__xludf.DUMMYFUNCTION("""COMPUTED_VALUE"""),2180.91)</f>
        <v>2180.91</v>
      </c>
      <c r="M299" s="33" t="str">
        <f ca="1">IFERROR(__xludf.DUMMYFUNCTION("""COMPUTED_VALUE"""),"03 ORL")</f>
        <v>03 ORL</v>
      </c>
      <c r="N299" s="33" t="str">
        <f ca="1">IFERROR(__xludf.DUMMYFUNCTION("""COMPUTED_VALUE"""),"06 ORL")</f>
        <v>06 ORL</v>
      </c>
      <c r="O299" s="33" t="str">
        <f ca="1">IFERROR(__xludf.DUMMYFUNCTION("""COMPUTED_VALUE"""),"Dr, Francisco Pastor Beviá")</f>
        <v>Dr, Francisco Pastor Beviá</v>
      </c>
      <c r="P299" s="33" t="str">
        <f ca="1">IFERROR(__xludf.DUMMYFUNCTION("""COMPUTED_VALUE"""),"Iván Sánchez (Levante y Albacete)")</f>
        <v>Iván Sánchez (Levante y Albacete)</v>
      </c>
    </row>
    <row r="300" spans="2:16">
      <c r="B300" s="74">
        <f ca="1">IFERROR(__xludf.DUMMYFUNCTION("""COMPUTED_VALUE"""),2026)</f>
        <v>2026</v>
      </c>
      <c r="C300" s="56">
        <f ca="1">IFERROR(__xludf.DUMMYFUNCTION("""COMPUTED_VALUE"""),3)</f>
        <v>3</v>
      </c>
      <c r="D300" s="33" t="str">
        <f ca="1">IFERROR(__xludf.DUMMYFUNCTION("""COMPUTED_VALUE"""),"NO")</f>
        <v>NO</v>
      </c>
      <c r="E300" s="33" t="str">
        <f ca="1">IFERROR(__xludf.DUMMYFUNCTION("""COMPUTED_VALUE"""),"Sevilla- Montoto")</f>
        <v>Sevilla- Montoto</v>
      </c>
      <c r="F300" s="57">
        <f ca="1">IFERROR(__xludf.DUMMYFUNCTION("""COMPUTED_VALUE"""),46085)</f>
        <v>46085</v>
      </c>
      <c r="G300" s="57">
        <f ca="1">IFERROR(__xludf.DUMMYFUNCTION("""COMPUTED_VALUE"""),46055)</f>
        <v>46055</v>
      </c>
      <c r="H300" s="33" t="str">
        <f ca="1">IFERROR(__xludf.DUMMYFUNCTION("""COMPUTED_VALUE"""),"Montoto")</f>
        <v>Montoto</v>
      </c>
      <c r="I300" s="33" t="str">
        <f ca="1">IFERROR(__xludf.DUMMYFUNCTION("""COMPUTED_VALUE"""),"C202622164933142863")</f>
        <v>C202622164933142863</v>
      </c>
      <c r="J300" s="33" t="str">
        <f ca="1">IFERROR(__xludf.DUMMYFUNCTION("""COMPUTED_VALUE"""),"CARMEN PEREZ ORTEGA")</f>
        <v>CARMEN PEREZ ORTEGA</v>
      </c>
      <c r="K300" s="56">
        <f ca="1">IFERROR(__xludf.DUMMYFUNCTION("""COMPUTED_VALUE"""),2)</f>
        <v>2</v>
      </c>
      <c r="L300" s="62">
        <f ca="1">IFERROR(__xludf.DUMMYFUNCTION("""COMPUTED_VALUE"""),2582.27)</f>
        <v>2582.27</v>
      </c>
      <c r="M300" s="33" t="str">
        <f ca="1">IFERROR(__xludf.DUMMYFUNCTION("""COMPUTED_VALUE"""),"03 ORL")</f>
        <v>03 ORL</v>
      </c>
      <c r="N300" s="33" t="str">
        <f ca="1">IFERROR(__xludf.DUMMYFUNCTION("""COMPUTED_VALUE"""),"06 ORL")</f>
        <v>06 ORL</v>
      </c>
      <c r="O300" s="33" t="str">
        <f ca="1">IFERROR(__xludf.DUMMYFUNCTION("""COMPUTED_VALUE"""),"Dr, Francisco Ropero Romero")</f>
        <v>Dr, Francisco Ropero Romero</v>
      </c>
      <c r="P300" s="33" t="str">
        <f ca="1">IFERROR(__xludf.DUMMYFUNCTION("""COMPUTED_VALUE"""),"Luis Alberto Rodríguez (Andalucía y Badajoz)")</f>
        <v>Luis Alberto Rodríguez (Andalucía y Badajoz)</v>
      </c>
    </row>
    <row r="301" spans="2:16">
      <c r="B301" s="74">
        <f ca="1">IFERROR(__xludf.DUMMYFUNCTION("""COMPUTED_VALUE"""),2026)</f>
        <v>2026</v>
      </c>
      <c r="C301" s="56">
        <f ca="1">IFERROR(__xludf.DUMMYFUNCTION("""COMPUTED_VALUE"""),3)</f>
        <v>3</v>
      </c>
      <c r="D301" s="33" t="str">
        <f ca="1">IFERROR(__xludf.DUMMYFUNCTION("""COMPUTED_VALUE"""),"NO")</f>
        <v>NO</v>
      </c>
      <c r="E301" s="33" t="str">
        <f ca="1">IFERROR(__xludf.DUMMYFUNCTION("""COMPUTED_VALUE"""),"Leganés")</f>
        <v>Leganés</v>
      </c>
      <c r="F301" s="57">
        <f ca="1">IFERROR(__xludf.DUMMYFUNCTION("""COMPUTED_VALUE"""),46085)</f>
        <v>46085</v>
      </c>
      <c r="G301" s="57">
        <f ca="1">IFERROR(__xludf.DUMMYFUNCTION("""COMPUTED_VALUE"""),46062)</f>
        <v>46062</v>
      </c>
      <c r="H301" s="33" t="str">
        <f ca="1">IFERROR(__xludf.DUMMYFUNCTION("""COMPUTED_VALUE"""),"Leganés")</f>
        <v>Leganés</v>
      </c>
      <c r="I301" s="33" t="str">
        <f ca="1">IFERROR(__xludf.DUMMYFUNCTION("""COMPUTED_VALUE"""),"C20262910536173084")</f>
        <v>C20262910536173084</v>
      </c>
      <c r="J301" s="33" t="str">
        <f ca="1">IFERROR(__xludf.DUMMYFUNCTION("""COMPUTED_VALUE"""),"MANUEL MEILAN TEIJEIRO")</f>
        <v>MANUEL MEILAN TEIJEIRO</v>
      </c>
      <c r="K301" s="56">
        <f ca="1">IFERROR(__xludf.DUMMYFUNCTION("""COMPUTED_VALUE"""),2)</f>
        <v>2</v>
      </c>
      <c r="L301" s="62">
        <f ca="1">IFERROR(__xludf.DUMMYFUNCTION("""COMPUTED_VALUE"""),3929.09)</f>
        <v>3929.09</v>
      </c>
      <c r="M301" s="33" t="str">
        <f ca="1">IFERROR(__xludf.DUMMYFUNCTION("""COMPUTED_VALUE"""),"01 MARKETING ON LINE")</f>
        <v>01 MARKETING ON LINE</v>
      </c>
      <c r="N301" s="33" t="str">
        <f ca="1">IFERROR(__xludf.DUMMYFUNCTION("""COMPUTED_VALUE"""),"04 AUDIFONO,ES")</f>
        <v>04 AUDIFONO,ES</v>
      </c>
      <c r="O301" s="33" t="str">
        <f ca="1">IFERROR(__xludf.DUMMYFUNCTION("""COMPUTED_VALUE"""),"Dra, Laura del Toro Gil")</f>
        <v>Dra, Laura del Toro Gil</v>
      </c>
      <c r="P301" s="33" t="str">
        <f ca="1">IFERROR(__xludf.DUMMYFUNCTION("""COMPUTED_VALUE"""),"Maika Blázquez (Madrid)")</f>
        <v>Maika Blázquez (Madrid)</v>
      </c>
    </row>
    <row r="302" spans="2:16">
      <c r="B302" s="74">
        <f ca="1">IFERROR(__xludf.DUMMYFUNCTION("""COMPUTED_VALUE"""),2026)</f>
        <v>2026</v>
      </c>
      <c r="C302" s="56">
        <f ca="1">IFERROR(__xludf.DUMMYFUNCTION("""COMPUTED_VALUE"""),3)</f>
        <v>3</v>
      </c>
      <c r="D302" s="33" t="str">
        <f ca="1">IFERROR(__xludf.DUMMYFUNCTION("""COMPUTED_VALUE"""),"NO")</f>
        <v>NO</v>
      </c>
      <c r="E302" s="33" t="str">
        <f ca="1">IFERROR(__xludf.DUMMYFUNCTION("""COMPUTED_VALUE"""),"Sevilla- Ciencias")</f>
        <v>Sevilla- Ciencias</v>
      </c>
      <c r="F302" s="57">
        <f ca="1">IFERROR(__xludf.DUMMYFUNCTION("""COMPUTED_VALUE"""),46085)</f>
        <v>46085</v>
      </c>
      <c r="G302" s="57">
        <f ca="1">IFERROR(__xludf.DUMMYFUNCTION("""COMPUTED_VALUE"""),46049)</f>
        <v>46049</v>
      </c>
      <c r="H302" s="33" t="str">
        <f ca="1">IFERROR(__xludf.DUMMYFUNCTION("""COMPUTED_VALUE"""),"Sevilla Este")</f>
        <v>Sevilla Este</v>
      </c>
      <c r="I302" s="33" t="str">
        <f ca="1">IFERROR(__xludf.DUMMYFUNCTION("""COMPUTED_VALUE"""),"C202612710482835479")</f>
        <v>C202612710482835479</v>
      </c>
      <c r="J302" s="33" t="str">
        <f ca="1">IFERROR(__xludf.DUMMYFUNCTION("""COMPUTED_VALUE"""),"MARIA JOSE  GALVIN CAÑERO")</f>
        <v>MARIA JOSE  GALVIN CAÑERO</v>
      </c>
      <c r="K302" s="56">
        <f ca="1">IFERROR(__xludf.DUMMYFUNCTION("""COMPUTED_VALUE"""),2)</f>
        <v>2</v>
      </c>
      <c r="L302" s="62">
        <f ca="1">IFERROR(__xludf.DUMMYFUNCTION("""COMPUTED_VALUE"""),2718.19)</f>
        <v>2718.19</v>
      </c>
      <c r="M302" s="33" t="str">
        <f ca="1">IFERROR(__xludf.DUMMYFUNCTION("""COMPUTED_VALUE"""),"01 MARKETING ON LINE")</f>
        <v>01 MARKETING ON LINE</v>
      </c>
      <c r="N302" s="33" t="str">
        <f ca="1">IFERROR(__xludf.DUMMYFUNCTION("""COMPUTED_VALUE"""),"36 CENTRO AUDÍFONOS")</f>
        <v>36 CENTRO AUDÍFONOS</v>
      </c>
      <c r="O302" s="33" t="str">
        <f ca="1">IFERROR(__xludf.DUMMYFUNCTION("""COMPUTED_VALUE"""),"Dr, Julio César Ariza Lizcano")</f>
        <v>Dr, Julio César Ariza Lizcano</v>
      </c>
      <c r="P302" s="33" t="str">
        <f ca="1">IFERROR(__xludf.DUMMYFUNCTION("""COMPUTED_VALUE"""),"Luis Alberto Rodríguez (Andalucía y Badajoz)")</f>
        <v>Luis Alberto Rodríguez (Andalucía y Badajoz)</v>
      </c>
    </row>
    <row r="303" spans="2:16">
      <c r="B303" s="74">
        <f ca="1">IFERROR(__xludf.DUMMYFUNCTION("""COMPUTED_VALUE"""),2026)</f>
        <v>2026</v>
      </c>
      <c r="C303" s="56">
        <f ca="1">IFERROR(__xludf.DUMMYFUNCTION("""COMPUTED_VALUE"""),3)</f>
        <v>3</v>
      </c>
      <c r="D303" s="33" t="str">
        <f ca="1">IFERROR(__xludf.DUMMYFUNCTION("""COMPUTED_VALUE"""),"NO")</f>
        <v>NO</v>
      </c>
      <c r="E303" s="33" t="str">
        <f ca="1">IFERROR(__xludf.DUMMYFUNCTION("""COMPUTED_VALUE"""),"Salamanca")</f>
        <v>Salamanca</v>
      </c>
      <c r="F303" s="57">
        <f ca="1">IFERROR(__xludf.DUMMYFUNCTION("""COMPUTED_VALUE"""),46085)</f>
        <v>46085</v>
      </c>
      <c r="G303" s="57">
        <f ca="1">IFERROR(__xludf.DUMMYFUNCTION("""COMPUTED_VALUE"""),46063)</f>
        <v>46063</v>
      </c>
      <c r="H303" s="33" t="str">
        <f ca="1">IFERROR(__xludf.DUMMYFUNCTION("""COMPUTED_VALUE"""),"Salamanca")</f>
        <v>Salamanca</v>
      </c>
      <c r="I303" s="33" t="str">
        <f ca="1">IFERROR(__xludf.DUMMYFUNCTION("""COMPUTED_VALUE"""),"C202621017151617842")</f>
        <v>C202621017151617842</v>
      </c>
      <c r="J303" s="33" t="str">
        <f ca="1">IFERROR(__xludf.DUMMYFUNCTION("""COMPUTED_VALUE"""),"HILARIO VICENTE DAZA")</f>
        <v>HILARIO VICENTE DAZA</v>
      </c>
      <c r="K303" s="56">
        <f ca="1">IFERROR(__xludf.DUMMYFUNCTION("""COMPUTED_VALUE"""),2)</f>
        <v>2</v>
      </c>
      <c r="L303" s="62">
        <f ca="1">IFERROR(__xludf.DUMMYFUNCTION("""COMPUTED_VALUE"""),2974.55)</f>
        <v>2974.55</v>
      </c>
      <c r="M303" s="33" t="str">
        <f ca="1">IFERROR(__xludf.DUMMYFUNCTION("""COMPUTED_VALUE"""),"03 ORL")</f>
        <v>03 ORL</v>
      </c>
      <c r="N303" s="33" t="str">
        <f ca="1">IFERROR(__xludf.DUMMYFUNCTION("""COMPUTED_VALUE"""),"06 ORL")</f>
        <v>06 ORL</v>
      </c>
      <c r="O303" s="33" t="str">
        <f ca="1">IFERROR(__xludf.DUMMYFUNCTION("""COMPUTED_VALUE"""),"Dr, Luis Miguel Rincón Esteban")</f>
        <v>Dr, Luis Miguel Rincón Esteban</v>
      </c>
      <c r="P303" s="33" t="str">
        <f ca="1">IFERROR(__xludf.DUMMYFUNCTION("""COMPUTED_VALUE"""),"Alberto Moreno (Madrid)")</f>
        <v>Alberto Moreno (Madrid)</v>
      </c>
    </row>
    <row r="304" spans="2:16">
      <c r="B304" s="74">
        <f ca="1">IFERROR(__xludf.DUMMYFUNCTION("""COMPUTED_VALUE"""),2026)</f>
        <v>2026</v>
      </c>
      <c r="C304" s="56">
        <f ca="1">IFERROR(__xludf.DUMMYFUNCTION("""COMPUTED_VALUE"""),3)</f>
        <v>3</v>
      </c>
      <c r="D304" s="33" t="str">
        <f ca="1">IFERROR(__xludf.DUMMYFUNCTION("""COMPUTED_VALUE"""),"NO")</f>
        <v>NO</v>
      </c>
      <c r="E304" s="33" t="str">
        <f ca="1">IFERROR(__xludf.DUMMYFUNCTION("""COMPUTED_VALUE"""),"Madrid- Canillas")</f>
        <v>Madrid- Canillas</v>
      </c>
      <c r="F304" s="57">
        <f ca="1">IFERROR(__xludf.DUMMYFUNCTION("""COMPUTED_VALUE"""),46085)</f>
        <v>46085</v>
      </c>
      <c r="G304" s="57">
        <f ca="1">IFERROR(__xludf.DUMMYFUNCTION("""COMPUTED_VALUE"""),46056)</f>
        <v>46056</v>
      </c>
      <c r="H304" s="33" t="str">
        <f ca="1">IFERROR(__xludf.DUMMYFUNCTION("""COMPUTED_VALUE"""),"Canillas")</f>
        <v>Canillas</v>
      </c>
      <c r="I304" s="33" t="str">
        <f ca="1">IFERROR(__xludf.DUMMYFUNCTION("""COMPUTED_VALUE"""),"C20262316552057584")</f>
        <v>C20262316552057584</v>
      </c>
      <c r="J304" s="33" t="str">
        <f ca="1">IFERROR(__xludf.DUMMYFUNCTION("""COMPUTED_VALUE"""),"BRAULIA GOMEZ BERMEJO")</f>
        <v>BRAULIA GOMEZ BERMEJO</v>
      </c>
      <c r="K304" s="56">
        <f ca="1">IFERROR(__xludf.DUMMYFUNCTION("""COMPUTED_VALUE"""),2)</f>
        <v>2</v>
      </c>
      <c r="L304" s="62">
        <f ca="1">IFERROR(__xludf.DUMMYFUNCTION("""COMPUTED_VALUE"""),3631.82)</f>
        <v>3631.82</v>
      </c>
      <c r="M304" s="33" t="str">
        <f ca="1">IFERROR(__xludf.DUMMYFUNCTION("""COMPUTED_VALUE"""),"02 MARKETING OFF LINE")</f>
        <v>02 MARKETING OFF LINE</v>
      </c>
      <c r="N304" s="33" t="str">
        <f ca="1">IFERROR(__xludf.DUMMYFUNCTION("""COMPUTED_VALUE"""),"18 ESCAPARATE")</f>
        <v>18 ESCAPARATE</v>
      </c>
      <c r="O304" s="33" t="str">
        <f ca="1">IFERROR(__xludf.DUMMYFUNCTION("""COMPUTED_VALUE"""),"Dr, José Gustavo Barroso Braojos")</f>
        <v>Dr, José Gustavo Barroso Braojos</v>
      </c>
      <c r="P304" s="33" t="str">
        <f ca="1">IFERROR(__xludf.DUMMYFUNCTION("""COMPUTED_VALUE"""),"Maika Blázquez (Madrid)")</f>
        <v>Maika Blázquez (Madrid)</v>
      </c>
    </row>
    <row r="305" spans="2:16">
      <c r="B305" s="74">
        <f ca="1">IFERROR(__xludf.DUMMYFUNCTION("""COMPUTED_VALUE"""),2026)</f>
        <v>2026</v>
      </c>
      <c r="C305" s="56">
        <f ca="1">IFERROR(__xludf.DUMMYFUNCTION("""COMPUTED_VALUE"""),3)</f>
        <v>3</v>
      </c>
      <c r="D305" s="33" t="str">
        <f ca="1">IFERROR(__xludf.DUMMYFUNCTION("""COMPUTED_VALUE"""),"NO")</f>
        <v>NO</v>
      </c>
      <c r="E305" s="33" t="str">
        <f ca="1">IFERROR(__xludf.DUMMYFUNCTION("""COMPUTED_VALUE"""),"Madrid- Moratalaz")</f>
        <v>Madrid- Moratalaz</v>
      </c>
      <c r="F305" s="57">
        <f ca="1">IFERROR(__xludf.DUMMYFUNCTION("""COMPUTED_VALUE"""),46085)</f>
        <v>46085</v>
      </c>
      <c r="G305" s="57">
        <f ca="1">IFERROR(__xludf.DUMMYFUNCTION("""COMPUTED_VALUE"""),46064)</f>
        <v>46064</v>
      </c>
      <c r="H305" s="33" t="str">
        <f ca="1">IFERROR(__xludf.DUMMYFUNCTION("""COMPUTED_VALUE"""),"Moratalaz")</f>
        <v>Moratalaz</v>
      </c>
      <c r="I305" s="33" t="str">
        <f ca="1">IFERROR(__xludf.DUMMYFUNCTION("""COMPUTED_VALUE"""),"C202621110313220358")</f>
        <v>C202621110313220358</v>
      </c>
      <c r="J305" s="33" t="str">
        <f ca="1">IFERROR(__xludf.DUMMYFUNCTION("""COMPUTED_VALUE"""),"BERNARDINA  FERNANDEZ POSADA")</f>
        <v>BERNARDINA  FERNANDEZ POSADA</v>
      </c>
      <c r="K305" s="56">
        <f ca="1">IFERROR(__xludf.DUMMYFUNCTION("""COMPUTED_VALUE"""),2)</f>
        <v>2</v>
      </c>
      <c r="L305" s="62">
        <f ca="1">IFERROR(__xludf.DUMMYFUNCTION("""COMPUTED_VALUE"""),3631.82)</f>
        <v>3631.82</v>
      </c>
      <c r="M305" s="33" t="str">
        <f ca="1">IFERROR(__xludf.DUMMYFUNCTION("""COMPUTED_VALUE"""),"03 ORL")</f>
        <v>03 ORL</v>
      </c>
      <c r="N305" s="33" t="str">
        <f ca="1">IFERROR(__xludf.DUMMYFUNCTION("""COMPUTED_VALUE"""),"06 ORL")</f>
        <v>06 ORL</v>
      </c>
      <c r="O305" s="33" t="str">
        <f ca="1">IFERROR(__xludf.DUMMYFUNCTION("""COMPUTED_VALUE"""),"Dra, María Cecilia Scola Torres")</f>
        <v>Dra, María Cecilia Scola Torres</v>
      </c>
      <c r="P305" s="33" t="str">
        <f ca="1">IFERROR(__xludf.DUMMYFUNCTION("""COMPUTED_VALUE"""),"Maika Blázquez (Madrid)")</f>
        <v>Maika Blázquez (Madrid)</v>
      </c>
    </row>
    <row r="306" spans="2:16">
      <c r="B306" s="74">
        <f ca="1">IFERROR(__xludf.DUMMYFUNCTION("""COMPUTED_VALUE"""),2026)</f>
        <v>2026</v>
      </c>
      <c r="C306" s="56">
        <f ca="1">IFERROR(__xludf.DUMMYFUNCTION("""COMPUTED_VALUE"""),3)</f>
        <v>3</v>
      </c>
      <c r="D306" s="33" t="str">
        <f ca="1">IFERROR(__xludf.DUMMYFUNCTION("""COMPUTED_VALUE"""),"NO")</f>
        <v>NO</v>
      </c>
      <c r="E306" s="33" t="str">
        <f ca="1">IFERROR(__xludf.DUMMYFUNCTION("""COMPUTED_VALUE"""),"Valencia- Cádiz")</f>
        <v>Valencia- Cádiz</v>
      </c>
      <c r="F306" s="57">
        <f ca="1">IFERROR(__xludf.DUMMYFUNCTION("""COMPUTED_VALUE"""),46085)</f>
        <v>46085</v>
      </c>
      <c r="G306" s="57">
        <f ca="1">IFERROR(__xludf.DUMMYFUNCTION("""COMPUTED_VALUE"""),45826)</f>
        <v>45826</v>
      </c>
      <c r="H306" s="33" t="str">
        <f ca="1">IFERROR(__xludf.DUMMYFUNCTION("""COMPUTED_VALUE"""),"Valencia- Cádiz")</f>
        <v>Valencia- Cádiz</v>
      </c>
      <c r="I306" s="33" t="str">
        <f ca="1">IFERROR(__xludf.DUMMYFUNCTION("""COMPUTED_VALUE"""),"C202571175228315")</f>
        <v>C202571175228315</v>
      </c>
      <c r="J306" s="33" t="str">
        <f ca="1">IFERROR(__xludf.DUMMYFUNCTION("""COMPUTED_VALUE"""),"CARMEN LORENTE MUÑOZ")</f>
        <v>CARMEN LORENTE MUÑOZ</v>
      </c>
      <c r="K306" s="56">
        <f ca="1">IFERROR(__xludf.DUMMYFUNCTION("""COMPUTED_VALUE"""),2)</f>
        <v>2</v>
      </c>
      <c r="L306" s="62">
        <f ca="1">IFERROR(__xludf.DUMMYFUNCTION("""COMPUTED_VALUE"""),4000)</f>
        <v>4000</v>
      </c>
      <c r="M306" s="33" t="str">
        <f ca="1">IFERROR(__xludf.DUMMYFUNCTION("""COMPUTED_VALUE"""),"03 ORL")</f>
        <v>03 ORL</v>
      </c>
      <c r="N306" s="33" t="str">
        <f ca="1">IFERROR(__xludf.DUMMYFUNCTION("""COMPUTED_VALUE"""),"06 ORL")</f>
        <v>06 ORL</v>
      </c>
      <c r="O306" s="33" t="str">
        <f ca="1">IFERROR(__xludf.DUMMYFUNCTION("""COMPUTED_VALUE"""),"Dr, Martín Eduardo Marcano Acuña")</f>
        <v>Dr, Martín Eduardo Marcano Acuña</v>
      </c>
      <c r="P306" s="33" t="str">
        <f ca="1">IFERROR(__xludf.DUMMYFUNCTION("""COMPUTED_VALUE"""),"Ramon Ferrando(Valencia)")</f>
        <v>Ramon Ferrando(Valencia)</v>
      </c>
    </row>
    <row r="307" spans="2:16">
      <c r="B307" s="74">
        <f ca="1">IFERROR(__xludf.DUMMYFUNCTION("""COMPUTED_VALUE"""),2026)</f>
        <v>2026</v>
      </c>
      <c r="C307" s="56">
        <f ca="1">IFERROR(__xludf.DUMMYFUNCTION("""COMPUTED_VALUE"""),3)</f>
        <v>3</v>
      </c>
      <c r="D307" s="33" t="str">
        <f ca="1">IFERROR(__xludf.DUMMYFUNCTION("""COMPUTED_VALUE"""),"NO")</f>
        <v>NO</v>
      </c>
      <c r="E307" s="33" t="str">
        <f ca="1">IFERROR(__xludf.DUMMYFUNCTION("""COMPUTED_VALUE"""),"Madrid- La Oca")</f>
        <v>Madrid- La Oca</v>
      </c>
      <c r="F307" s="57">
        <f ca="1">IFERROR(__xludf.DUMMYFUNCTION("""COMPUTED_VALUE"""),46086)</f>
        <v>46086</v>
      </c>
      <c r="G307" s="57">
        <f ca="1">IFERROR(__xludf.DUMMYFUNCTION("""COMPUTED_VALUE"""),46059)</f>
        <v>46059</v>
      </c>
      <c r="H307" s="33" t="str">
        <f ca="1">IFERROR(__xludf.DUMMYFUNCTION("""COMPUTED_VALUE"""),"La Oca")</f>
        <v>La Oca</v>
      </c>
      <c r="I307" s="33" t="str">
        <f ca="1">IFERROR(__xludf.DUMMYFUNCTION("""COMPUTED_VALUE"""),"C20262694053947352")</f>
        <v>C20262694053947352</v>
      </c>
      <c r="J307" s="33" t="str">
        <f ca="1">IFERROR(__xludf.DUMMYFUNCTION("""COMPUTED_VALUE"""),"JULIO HARO SANCHEZ")</f>
        <v>JULIO HARO SANCHEZ</v>
      </c>
      <c r="K307" s="56">
        <f ca="1">IFERROR(__xludf.DUMMYFUNCTION("""COMPUTED_VALUE"""),2)</f>
        <v>2</v>
      </c>
      <c r="L307" s="62">
        <f ca="1">IFERROR(__xludf.DUMMYFUNCTION("""COMPUTED_VALUE"""),3631.82)</f>
        <v>3631.82</v>
      </c>
      <c r="M307" s="33" t="str">
        <f ca="1">IFERROR(__xludf.DUMMYFUNCTION("""COMPUTED_VALUE"""),"03 ORL")</f>
        <v>03 ORL</v>
      </c>
      <c r="N307" s="33" t="str">
        <f ca="1">IFERROR(__xludf.DUMMYFUNCTION("""COMPUTED_VALUE"""),"06 ORL")</f>
        <v>06 ORL</v>
      </c>
      <c r="O307" s="33" t="str">
        <f ca="1">IFERROR(__xludf.DUMMYFUNCTION("""COMPUTED_VALUE"""),"Dr, César Charles Martínez")</f>
        <v>Dr, César Charles Martínez</v>
      </c>
      <c r="P307" s="33" t="str">
        <f ca="1">IFERROR(__xludf.DUMMYFUNCTION("""COMPUTED_VALUE"""),"Maika Blázquez (Madrid)")</f>
        <v>Maika Blázquez (Madrid)</v>
      </c>
    </row>
    <row r="308" spans="2:16">
      <c r="B308" s="74">
        <f ca="1">IFERROR(__xludf.DUMMYFUNCTION("""COMPUTED_VALUE"""),2026)</f>
        <v>2026</v>
      </c>
      <c r="C308" s="56">
        <f ca="1">IFERROR(__xludf.DUMMYFUNCTION("""COMPUTED_VALUE"""),3)</f>
        <v>3</v>
      </c>
      <c r="D308" s="33" t="str">
        <f ca="1">IFERROR(__xludf.DUMMYFUNCTION("""COMPUTED_VALUE"""),"NO")</f>
        <v>NO</v>
      </c>
      <c r="E308" s="33" t="str">
        <f ca="1">IFERROR(__xludf.DUMMYFUNCTION("""COMPUTED_VALUE"""),"Leganés")</f>
        <v>Leganés</v>
      </c>
      <c r="F308" s="57">
        <f ca="1">IFERROR(__xludf.DUMMYFUNCTION("""COMPUTED_VALUE"""),46086)</f>
        <v>46086</v>
      </c>
      <c r="G308" s="57">
        <f ca="1">IFERROR(__xludf.DUMMYFUNCTION("""COMPUTED_VALUE"""),46031)</f>
        <v>46031</v>
      </c>
      <c r="H308" s="33" t="str">
        <f ca="1">IFERROR(__xludf.DUMMYFUNCTION("""COMPUTED_VALUE"""),"Leganés")</f>
        <v>Leganés</v>
      </c>
      <c r="I308" s="33" t="str">
        <f ca="1">IFERROR(__xludf.DUMMYFUNCTION("""COMPUTED_VALUE"""),"C20261991035083818")</f>
        <v>C20261991035083818</v>
      </c>
      <c r="J308" s="33" t="str">
        <f ca="1">IFERROR(__xludf.DUMMYFUNCTION("""COMPUTED_VALUE"""),"ROSA MARIA CABALLERO GARCIA")</f>
        <v>ROSA MARIA CABALLERO GARCIA</v>
      </c>
      <c r="K308" s="56">
        <f ca="1">IFERROR(__xludf.DUMMYFUNCTION("""COMPUTED_VALUE"""),1)</f>
        <v>1</v>
      </c>
      <c r="L308" s="62">
        <f ca="1">IFERROR(__xludf.DUMMYFUNCTION("""COMPUTED_VALUE"""),2481.82)</f>
        <v>2481.8200000000002</v>
      </c>
      <c r="M308" s="33" t="str">
        <f ca="1">IFERROR(__xludf.DUMMYFUNCTION("""COMPUTED_VALUE"""),"03 ORL")</f>
        <v>03 ORL</v>
      </c>
      <c r="N308" s="33" t="str">
        <f ca="1">IFERROR(__xludf.DUMMYFUNCTION("""COMPUTED_VALUE"""),"06 ORL")</f>
        <v>06 ORL</v>
      </c>
      <c r="O308" s="33" t="str">
        <f ca="1">IFERROR(__xludf.DUMMYFUNCTION("""COMPUTED_VALUE"""),"Dra, Mar Lasso de la Vega Zamora")</f>
        <v>Dra, Mar Lasso de la Vega Zamora</v>
      </c>
      <c r="P308" s="33" t="str">
        <f ca="1">IFERROR(__xludf.DUMMYFUNCTION("""COMPUTED_VALUE"""),"Maika Blázquez (Madrid)")</f>
        <v>Maika Blázquez (Madrid)</v>
      </c>
    </row>
    <row r="309" spans="2:16">
      <c r="B309" s="74">
        <f ca="1">IFERROR(__xludf.DUMMYFUNCTION("""COMPUTED_VALUE"""),2026)</f>
        <v>2026</v>
      </c>
      <c r="C309" s="56">
        <f ca="1">IFERROR(__xludf.DUMMYFUNCTION("""COMPUTED_VALUE"""),3)</f>
        <v>3</v>
      </c>
      <c r="D309" s="33" t="str">
        <f ca="1">IFERROR(__xludf.DUMMYFUNCTION("""COMPUTED_VALUE"""),"NO")</f>
        <v>NO</v>
      </c>
      <c r="E309" s="33" t="str">
        <f ca="1">IFERROR(__xludf.DUMMYFUNCTION("""COMPUTED_VALUE"""),"Sevilla- Montoto")</f>
        <v>Sevilla- Montoto</v>
      </c>
      <c r="F309" s="57">
        <f ca="1">IFERROR(__xludf.DUMMYFUNCTION("""COMPUTED_VALUE"""),46086)</f>
        <v>46086</v>
      </c>
      <c r="G309" s="57">
        <f ca="1">IFERROR(__xludf.DUMMYFUNCTION("""COMPUTED_VALUE"""),46070)</f>
        <v>46070</v>
      </c>
      <c r="H309" s="33" t="str">
        <f ca="1">IFERROR(__xludf.DUMMYFUNCTION("""COMPUTED_VALUE"""),"Montoto")</f>
        <v>Montoto</v>
      </c>
      <c r="I309" s="33" t="str">
        <f ca="1">IFERROR(__xludf.DUMMYFUNCTION("""COMPUTED_VALUE"""),"C202621718165514877")</f>
        <v>C202621718165514877</v>
      </c>
      <c r="J309" s="33" t="str">
        <f ca="1">IFERROR(__xludf.DUMMYFUNCTION("""COMPUTED_VALUE"""),"MARIA PAULA ROSALES SALAMANCA")</f>
        <v>MARIA PAULA ROSALES SALAMANCA</v>
      </c>
      <c r="K309" s="56">
        <f ca="1">IFERROR(__xludf.DUMMYFUNCTION("""COMPUTED_VALUE"""),2)</f>
        <v>2</v>
      </c>
      <c r="L309" s="62">
        <f ca="1">IFERROR(__xludf.DUMMYFUNCTION("""COMPUTED_VALUE"""),3631.82)</f>
        <v>3631.82</v>
      </c>
      <c r="M309" s="33" t="str">
        <f ca="1">IFERROR(__xludf.DUMMYFUNCTION("""COMPUTED_VALUE"""),"03 ORL")</f>
        <v>03 ORL</v>
      </c>
      <c r="N309" s="33" t="str">
        <f ca="1">IFERROR(__xludf.DUMMYFUNCTION("""COMPUTED_VALUE"""),"06 ORL")</f>
        <v>06 ORL</v>
      </c>
      <c r="O309" s="33" t="str">
        <f ca="1">IFERROR(__xludf.DUMMYFUNCTION("""COMPUTED_VALUE"""),"Dr, Mercedes Ceballos Cauto")</f>
        <v>Dr, Mercedes Ceballos Cauto</v>
      </c>
      <c r="P309" s="33" t="str">
        <f ca="1">IFERROR(__xludf.DUMMYFUNCTION("""COMPUTED_VALUE"""),"Luis Alberto Rodríguez (Andalucía y Badajoz)")</f>
        <v>Luis Alberto Rodríguez (Andalucía y Badajoz)</v>
      </c>
    </row>
    <row r="310" spans="2:16">
      <c r="B310" s="74">
        <f ca="1">IFERROR(__xludf.DUMMYFUNCTION("""COMPUTED_VALUE"""),2026)</f>
        <v>2026</v>
      </c>
      <c r="C310" s="56">
        <f ca="1">IFERROR(__xludf.DUMMYFUNCTION("""COMPUTED_VALUE"""),3)</f>
        <v>3</v>
      </c>
      <c r="D310" s="33" t="str">
        <f ca="1">IFERROR(__xludf.DUMMYFUNCTION("""COMPUTED_VALUE"""),"NO")</f>
        <v>NO</v>
      </c>
      <c r="E310" s="33" t="str">
        <f ca="1">IFERROR(__xludf.DUMMYFUNCTION("""COMPUTED_VALUE"""),"Badajoz")</f>
        <v>Badajoz</v>
      </c>
      <c r="F310" s="57">
        <f ca="1">IFERROR(__xludf.DUMMYFUNCTION("""COMPUTED_VALUE"""),46086)</f>
        <v>46086</v>
      </c>
      <c r="G310" s="57">
        <f ca="1">IFERROR(__xludf.DUMMYFUNCTION("""COMPUTED_VALUE"""),46048)</f>
        <v>46048</v>
      </c>
      <c r="H310" s="33" t="str">
        <f ca="1">IFERROR(__xludf.DUMMYFUNCTION("""COMPUTED_VALUE"""),"Badajoz")</f>
        <v>Badajoz</v>
      </c>
      <c r="I310" s="33" t="str">
        <f ca="1">IFERROR(__xludf.DUMMYFUNCTION("""COMPUTED_VALUE"""),"C20261261114890876")</f>
        <v>C20261261114890876</v>
      </c>
      <c r="J310" s="33" t="str">
        <f ca="1">IFERROR(__xludf.DUMMYFUNCTION("""COMPUTED_VALUE"""),"JOSE ROYANO MORUJO")</f>
        <v>JOSE ROYANO MORUJO</v>
      </c>
      <c r="K310" s="56">
        <f ca="1">IFERROR(__xludf.DUMMYFUNCTION("""COMPUTED_VALUE"""),1)</f>
        <v>1</v>
      </c>
      <c r="L310" s="62">
        <f ca="1">IFERROR(__xludf.DUMMYFUNCTION("""COMPUTED_VALUE"""),1631.82)</f>
        <v>1631.82</v>
      </c>
      <c r="M310" s="33" t="str">
        <f ca="1">IFERROR(__xludf.DUMMYFUNCTION("""COMPUTED_VALUE"""),"03 ORL")</f>
        <v>03 ORL</v>
      </c>
      <c r="N310" s="33" t="str">
        <f ca="1">IFERROR(__xludf.DUMMYFUNCTION("""COMPUTED_VALUE"""),"06 ORL")</f>
        <v>06 ORL</v>
      </c>
      <c r="O310" s="33" t="str">
        <f ca="1">IFERROR(__xludf.DUMMYFUNCTION("""COMPUTED_VALUE"""),"Dra, Raquel Solís Vázquez")</f>
        <v>Dra, Raquel Solís Vázquez</v>
      </c>
      <c r="P310" s="33" t="str">
        <f ca="1">IFERROR(__xludf.DUMMYFUNCTION("""COMPUTED_VALUE"""),"Luis Alberto Rodríguez (Andalucía y Badajoz)")</f>
        <v>Luis Alberto Rodríguez (Andalucía y Badajoz)</v>
      </c>
    </row>
    <row r="311" spans="2:16">
      <c r="B311" s="74">
        <f ca="1">IFERROR(__xludf.DUMMYFUNCTION("""COMPUTED_VALUE"""),2026)</f>
        <v>2026</v>
      </c>
      <c r="C311" s="56">
        <f ca="1">IFERROR(__xludf.DUMMYFUNCTION("""COMPUTED_VALUE"""),3)</f>
        <v>3</v>
      </c>
      <c r="D311" s="33" t="str">
        <f ca="1">IFERROR(__xludf.DUMMYFUNCTION("""COMPUTED_VALUE"""),"NO")</f>
        <v>NO</v>
      </c>
      <c r="E311" s="33" t="str">
        <f ca="1">IFERROR(__xludf.DUMMYFUNCTION("""COMPUTED_VALUE"""),"Badajoz")</f>
        <v>Badajoz</v>
      </c>
      <c r="F311" s="57">
        <f ca="1">IFERROR(__xludf.DUMMYFUNCTION("""COMPUTED_VALUE"""),46086)</f>
        <v>46086</v>
      </c>
      <c r="G311" s="57">
        <f ca="1">IFERROR(__xludf.DUMMYFUNCTION("""COMPUTED_VALUE"""),46048)</f>
        <v>46048</v>
      </c>
      <c r="H311" s="33" t="str">
        <f ca="1">IFERROR(__xludf.DUMMYFUNCTION("""COMPUTED_VALUE"""),"Badajoz")</f>
        <v>Badajoz</v>
      </c>
      <c r="I311" s="33" t="str">
        <f ca="1">IFERROR(__xludf.DUMMYFUNCTION("""COMPUTED_VALUE"""),"C202612611454602570")</f>
        <v>C202612611454602570</v>
      </c>
      <c r="J311" s="33" t="str">
        <f ca="1">IFERROR(__xludf.DUMMYFUNCTION("""COMPUTED_VALUE"""),"GLORIA PILAR GOMEZ MARIN")</f>
        <v>GLORIA PILAR GOMEZ MARIN</v>
      </c>
      <c r="K311" s="56">
        <f ca="1">IFERROR(__xludf.DUMMYFUNCTION("""COMPUTED_VALUE"""),1)</f>
        <v>1</v>
      </c>
      <c r="L311" s="62">
        <f ca="1">IFERROR(__xludf.DUMMYFUNCTION("""COMPUTED_VALUE"""),1631.82)</f>
        <v>1631.82</v>
      </c>
      <c r="M311" s="33" t="str">
        <f ca="1">IFERROR(__xludf.DUMMYFUNCTION("""COMPUTED_VALUE"""),"03 ORL")</f>
        <v>03 ORL</v>
      </c>
      <c r="N311" s="33" t="str">
        <f ca="1">IFERROR(__xludf.DUMMYFUNCTION("""COMPUTED_VALUE"""),"06 ORL")</f>
        <v>06 ORL</v>
      </c>
      <c r="O311" s="33" t="str">
        <f ca="1">IFERROR(__xludf.DUMMYFUNCTION("""COMPUTED_VALUE"""),"Dra, Raquel Solís Vázquez")</f>
        <v>Dra, Raquel Solís Vázquez</v>
      </c>
      <c r="P311" s="33" t="str">
        <f ca="1">IFERROR(__xludf.DUMMYFUNCTION("""COMPUTED_VALUE"""),"Luis Alberto Rodríguez (Andalucía y Badajoz)")</f>
        <v>Luis Alberto Rodríguez (Andalucía y Badajoz)</v>
      </c>
    </row>
    <row r="312" spans="2:16">
      <c r="B312" s="74">
        <f ca="1">IFERROR(__xludf.DUMMYFUNCTION("""COMPUTED_VALUE"""),2026)</f>
        <v>2026</v>
      </c>
      <c r="C312" s="56">
        <f ca="1">IFERROR(__xludf.DUMMYFUNCTION("""COMPUTED_VALUE"""),3)</f>
        <v>3</v>
      </c>
      <c r="D312" s="33" t="str">
        <f ca="1">IFERROR(__xludf.DUMMYFUNCTION("""COMPUTED_VALUE"""),"NO")</f>
        <v>NO</v>
      </c>
      <c r="E312" s="33" t="str">
        <f ca="1">IFERROR(__xludf.DUMMYFUNCTION("""COMPUTED_VALUE"""),"Madrid- Juan Bravo")</f>
        <v>Madrid- Juan Bravo</v>
      </c>
      <c r="F312" s="57">
        <f ca="1">IFERROR(__xludf.DUMMYFUNCTION("""COMPUTED_VALUE"""),46086)</f>
        <v>46086</v>
      </c>
      <c r="G312" s="57">
        <f ca="1">IFERROR(__xludf.DUMMYFUNCTION("""COMPUTED_VALUE"""),46043)</f>
        <v>46043</v>
      </c>
      <c r="H312" s="33" t="str">
        <f ca="1">IFERROR(__xludf.DUMMYFUNCTION("""COMPUTED_VALUE"""),"Juan Bravo")</f>
        <v>Juan Bravo</v>
      </c>
      <c r="I312" s="33" t="str">
        <f ca="1">IFERROR(__xludf.DUMMYFUNCTION("""COMPUTED_VALUE"""),"C202612194212888765")</f>
        <v>C202612194212888765</v>
      </c>
      <c r="J312" s="33" t="str">
        <f ca="1">IFERROR(__xludf.DUMMYFUNCTION("""COMPUTED_VALUE"""),"JESUS CARLOS BRIZ PINDAO")</f>
        <v>JESUS CARLOS BRIZ PINDAO</v>
      </c>
      <c r="K312" s="56">
        <f ca="1">IFERROR(__xludf.DUMMYFUNCTION("""COMPUTED_VALUE"""),2)</f>
        <v>2</v>
      </c>
      <c r="L312" s="62">
        <f ca="1">IFERROR(__xludf.DUMMYFUNCTION("""COMPUTED_VALUE"""),2718.18)</f>
        <v>2718.18</v>
      </c>
      <c r="M312" s="33" t="str">
        <f ca="1">IFERROR(__xludf.DUMMYFUNCTION("""COMPUTED_VALUE"""),"03 ORL")</f>
        <v>03 ORL</v>
      </c>
      <c r="N312" s="33" t="str">
        <f ca="1">IFERROR(__xludf.DUMMYFUNCTION("""COMPUTED_VALUE"""),"22 AUDIOMETRIA CLINICA")</f>
        <v>22 AUDIOMETRIA CLINICA</v>
      </c>
      <c r="O312" s="33" t="str">
        <f ca="1">IFERROR(__xludf.DUMMYFUNCTION("""COMPUTED_VALUE"""),"Dr, Antonio Rodríguez Rivero")</f>
        <v>Dr, Antonio Rodríguez Rivero</v>
      </c>
      <c r="P312" s="33" t="str">
        <f ca="1">IFERROR(__xludf.DUMMYFUNCTION("""COMPUTED_VALUE"""),"Maika Blázquez (Madrid)")</f>
        <v>Maika Blázquez (Madrid)</v>
      </c>
    </row>
    <row r="313" spans="2:16">
      <c r="B313" s="74">
        <f ca="1">IFERROR(__xludf.DUMMYFUNCTION("""COMPUTED_VALUE"""),2026)</f>
        <v>2026</v>
      </c>
      <c r="C313" s="56">
        <f ca="1">IFERROR(__xludf.DUMMYFUNCTION("""COMPUTED_VALUE"""),3)</f>
        <v>3</v>
      </c>
      <c r="D313" s="33" t="str">
        <f ca="1">IFERROR(__xludf.DUMMYFUNCTION("""COMPUTED_VALUE"""),"NO")</f>
        <v>NO</v>
      </c>
      <c r="E313" s="33" t="str">
        <f ca="1">IFERROR(__xludf.DUMMYFUNCTION("""COMPUTED_VALUE"""),"Lugo")</f>
        <v>Lugo</v>
      </c>
      <c r="F313" s="57">
        <f ca="1">IFERROR(__xludf.DUMMYFUNCTION("""COMPUTED_VALUE"""),46087)</f>
        <v>46087</v>
      </c>
      <c r="G313" s="57">
        <f ca="1">IFERROR(__xludf.DUMMYFUNCTION("""COMPUTED_VALUE"""),46063)</f>
        <v>46063</v>
      </c>
      <c r="H313" s="33" t="str">
        <f ca="1">IFERROR(__xludf.DUMMYFUNCTION("""COMPUTED_VALUE"""),"Lugo")</f>
        <v>Lugo</v>
      </c>
      <c r="I313" s="33" t="str">
        <f ca="1">IFERROR(__xludf.DUMMYFUNCTION("""COMPUTED_VALUE"""),"C202621010559256864")</f>
        <v>C202621010559256864</v>
      </c>
      <c r="J313" s="33" t="str">
        <f ca="1">IFERROR(__xludf.DUMMYFUNCTION("""COMPUTED_VALUE"""),"ARMANDO VIDAL VILLMARÍN")</f>
        <v>ARMANDO VIDAL VILLMARÍN</v>
      </c>
      <c r="K313" s="56">
        <f ca="1">IFERROR(__xludf.DUMMYFUNCTION("""COMPUTED_VALUE"""),2)</f>
        <v>2</v>
      </c>
      <c r="L313" s="62">
        <f ca="1">IFERROR(__xludf.DUMMYFUNCTION("""COMPUTED_VALUE"""),2918.18)</f>
        <v>2918.18</v>
      </c>
      <c r="M313" s="33" t="str">
        <f ca="1">IFERROR(__xludf.DUMMYFUNCTION("""COMPUTED_VALUE"""),"03 ORL")</f>
        <v>03 ORL</v>
      </c>
      <c r="N313" s="33" t="str">
        <f ca="1">IFERROR(__xludf.DUMMYFUNCTION("""COMPUTED_VALUE"""),"06 ORL")</f>
        <v>06 ORL</v>
      </c>
      <c r="O313" s="33" t="str">
        <f ca="1">IFERROR(__xludf.DUMMYFUNCTION("""COMPUTED_VALUE"""),"Dr, Pedro Juiz López")</f>
        <v>Dr, Pedro Juiz López</v>
      </c>
      <c r="P313" s="33" t="str">
        <f ca="1">IFERROR(__xludf.DUMMYFUNCTION("""COMPUTED_VALUE"""),"KiKo Ortega (Galicia)")</f>
        <v>KiKo Ortega (Galicia)</v>
      </c>
    </row>
    <row r="314" spans="2:16">
      <c r="B314" s="74">
        <f ca="1">IFERROR(__xludf.DUMMYFUNCTION("""COMPUTED_VALUE"""),2026)</f>
        <v>2026</v>
      </c>
      <c r="C314" s="56">
        <f ca="1">IFERROR(__xludf.DUMMYFUNCTION("""COMPUTED_VALUE"""),3)</f>
        <v>3</v>
      </c>
      <c r="D314" s="33" t="str">
        <f ca="1">IFERROR(__xludf.DUMMYFUNCTION("""COMPUTED_VALUE"""),"NO")</f>
        <v>NO</v>
      </c>
      <c r="E314" s="33" t="str">
        <f ca="1">IFERROR(__xludf.DUMMYFUNCTION("""COMPUTED_VALUE"""),"Leganés")</f>
        <v>Leganés</v>
      </c>
      <c r="F314" s="57">
        <f ca="1">IFERROR(__xludf.DUMMYFUNCTION("""COMPUTED_VALUE"""),46087)</f>
        <v>46087</v>
      </c>
      <c r="G314" s="57">
        <f ca="1">IFERROR(__xludf.DUMMYFUNCTION("""COMPUTED_VALUE"""),46044)</f>
        <v>46044</v>
      </c>
      <c r="H314" s="33" t="str">
        <f ca="1">IFERROR(__xludf.DUMMYFUNCTION("""COMPUTED_VALUE"""),"Leganés")</f>
        <v>Leganés</v>
      </c>
      <c r="I314" s="33" t="str">
        <f ca="1">IFERROR(__xludf.DUMMYFUNCTION("""COMPUTED_VALUE"""),"C202612217611917668")</f>
        <v>C202612217611917668</v>
      </c>
      <c r="J314" s="33" t="str">
        <f ca="1">IFERROR(__xludf.DUMMYFUNCTION("""COMPUTED_VALUE"""),"MARIA JESÚS MANJÓN CABIDA")</f>
        <v>MARIA JESÚS MANJÓN CABIDA</v>
      </c>
      <c r="K314" s="56">
        <f ca="1">IFERROR(__xludf.DUMMYFUNCTION("""COMPUTED_VALUE"""),1)</f>
        <v>1</v>
      </c>
      <c r="L314" s="62">
        <f ca="1">IFERROR(__xludf.DUMMYFUNCTION("""COMPUTED_VALUE"""),2180.91)</f>
        <v>2180.91</v>
      </c>
      <c r="M314" s="33" t="str">
        <f ca="1">IFERROR(__xludf.DUMMYFUNCTION("""COMPUTED_VALUE"""),"03 ORL")</f>
        <v>03 ORL</v>
      </c>
      <c r="N314" s="33" t="str">
        <f ca="1">IFERROR(__xludf.DUMMYFUNCTION("""COMPUTED_VALUE"""),"06 ORL")</f>
        <v>06 ORL</v>
      </c>
      <c r="O314" s="33" t="str">
        <f ca="1">IFERROR(__xludf.DUMMYFUNCTION("""COMPUTED_VALUE"""),"Dr, Guillermo Plaza Mayor")</f>
        <v>Dr, Guillermo Plaza Mayor</v>
      </c>
      <c r="P314" s="33" t="str">
        <f ca="1">IFERROR(__xludf.DUMMYFUNCTION("""COMPUTED_VALUE"""),"Maika Blázquez (Madrid)")</f>
        <v>Maika Blázquez (Madrid)</v>
      </c>
    </row>
    <row r="315" spans="2:16">
      <c r="B315" s="74">
        <f ca="1">IFERROR(__xludf.DUMMYFUNCTION("""COMPUTED_VALUE"""),2026)</f>
        <v>2026</v>
      </c>
      <c r="C315" s="56">
        <f ca="1">IFERROR(__xludf.DUMMYFUNCTION("""COMPUTED_VALUE"""),3)</f>
        <v>3</v>
      </c>
      <c r="D315" s="33" t="str">
        <f ca="1">IFERROR(__xludf.DUMMYFUNCTION("""COMPUTED_VALUE"""),"NO")</f>
        <v>NO</v>
      </c>
      <c r="E315" s="33" t="str">
        <f ca="1">IFERROR(__xludf.DUMMYFUNCTION("""COMPUTED_VALUE"""),"Jerez de la Frontera")</f>
        <v>Jerez de la Frontera</v>
      </c>
      <c r="F315" s="57">
        <f ca="1">IFERROR(__xludf.DUMMYFUNCTION("""COMPUTED_VALUE"""),46087)</f>
        <v>46087</v>
      </c>
      <c r="G315" s="57">
        <f ca="1">IFERROR(__xludf.DUMMYFUNCTION("""COMPUTED_VALUE"""),46055)</f>
        <v>46055</v>
      </c>
      <c r="H315" s="33" t="str">
        <f ca="1">IFERROR(__xludf.DUMMYFUNCTION("""COMPUTED_VALUE"""),"Jerez")</f>
        <v>Jerez</v>
      </c>
      <c r="I315" s="33" t="str">
        <f ca="1">IFERROR(__xludf.DUMMYFUNCTION("""COMPUTED_VALUE"""),"C202622121114157053")</f>
        <v>C202622121114157053</v>
      </c>
      <c r="J315" s="33" t="str">
        <f ca="1">IFERROR(__xludf.DUMMYFUNCTION("""COMPUTED_VALUE"""),"JOSE MARIA RUIZ VEGA")</f>
        <v>JOSE MARIA RUIZ VEGA</v>
      </c>
      <c r="K315" s="56">
        <f ca="1">IFERROR(__xludf.DUMMYFUNCTION("""COMPUTED_VALUE"""),2)</f>
        <v>2</v>
      </c>
      <c r="L315" s="62">
        <f ca="1">IFERROR(__xludf.DUMMYFUNCTION("""COMPUTED_VALUE"""),3631.82)</f>
        <v>3631.82</v>
      </c>
      <c r="M315" s="33" t="str">
        <f ca="1">IFERROR(__xludf.DUMMYFUNCTION("""COMPUTED_VALUE"""),"03 ORL")</f>
        <v>03 ORL</v>
      </c>
      <c r="N315" s="33" t="str">
        <f ca="1">IFERROR(__xludf.DUMMYFUNCTION("""COMPUTED_VALUE"""),"06 ORL")</f>
        <v>06 ORL</v>
      </c>
      <c r="O315" s="33" t="str">
        <f ca="1">IFERROR(__xludf.DUMMYFUNCTION("""COMPUTED_VALUE"""),"Dra, Maria Del Carmen Salom Coveñas")</f>
        <v>Dra, Maria Del Carmen Salom Coveñas</v>
      </c>
      <c r="P315" s="33" t="str">
        <f ca="1">IFERROR(__xludf.DUMMYFUNCTION("""COMPUTED_VALUE"""),"Luis Alberto Rodríguez (Andalucía y Badajoz)")</f>
        <v>Luis Alberto Rodríguez (Andalucía y Badajoz)</v>
      </c>
    </row>
    <row r="316" spans="2:16">
      <c r="B316" s="74">
        <f ca="1">IFERROR(__xludf.DUMMYFUNCTION("""COMPUTED_VALUE"""),2026)</f>
        <v>2026</v>
      </c>
      <c r="C316" s="56">
        <f ca="1">IFERROR(__xludf.DUMMYFUNCTION("""COMPUTED_VALUE"""),3)</f>
        <v>3</v>
      </c>
      <c r="D316" s="33" t="str">
        <f ca="1">IFERROR(__xludf.DUMMYFUNCTION("""COMPUTED_VALUE"""),"NO")</f>
        <v>NO</v>
      </c>
      <c r="E316" s="33" t="str">
        <f ca="1">IFERROR(__xludf.DUMMYFUNCTION("""COMPUTED_VALUE"""),"Valencia- Cádiz")</f>
        <v>Valencia- Cádiz</v>
      </c>
      <c r="F316" s="57">
        <f ca="1">IFERROR(__xludf.DUMMYFUNCTION("""COMPUTED_VALUE"""),46087)</f>
        <v>46087</v>
      </c>
      <c r="G316" s="57">
        <f ca="1">IFERROR(__xludf.DUMMYFUNCTION("""COMPUTED_VALUE"""),46037)</f>
        <v>46037</v>
      </c>
      <c r="H316" s="33" t="str">
        <f ca="1">IFERROR(__xludf.DUMMYFUNCTION("""COMPUTED_VALUE"""),"Valencia- Cádiz")</f>
        <v>Valencia- Cádiz</v>
      </c>
      <c r="I316" s="33" t="str">
        <f ca="1">IFERROR(__xludf.DUMMYFUNCTION("""COMPUTED_VALUE"""),"C202611593737313090")</f>
        <v>C202611593737313090</v>
      </c>
      <c r="J316" s="33" t="str">
        <f ca="1">IFERROR(__xludf.DUMMYFUNCTION("""COMPUTED_VALUE"""),"JOSEFA PUERTAS FENOLLAR")</f>
        <v>JOSEFA PUERTAS FENOLLAR</v>
      </c>
      <c r="K316" s="56">
        <f ca="1">IFERROR(__xludf.DUMMYFUNCTION("""COMPUTED_VALUE"""),2)</f>
        <v>2</v>
      </c>
      <c r="L316" s="62">
        <f ca="1">IFERROR(__xludf.DUMMYFUNCTION("""COMPUTED_VALUE"""),2718.18)</f>
        <v>2718.18</v>
      </c>
      <c r="M316" s="33" t="str">
        <f ca="1">IFERROR(__xludf.DUMMYFUNCTION("""COMPUTED_VALUE"""),"03 ORL")</f>
        <v>03 ORL</v>
      </c>
      <c r="N316" s="33" t="str">
        <f ca="1">IFERROR(__xludf.DUMMYFUNCTION("""COMPUTED_VALUE"""),"06 ORL")</f>
        <v>06 ORL</v>
      </c>
      <c r="O316" s="33" t="str">
        <f ca="1">IFERROR(__xludf.DUMMYFUNCTION("""COMPUTED_VALUE"""),"Dr, Abel Guzmán Calvete")</f>
        <v>Dr, Abel Guzmán Calvete</v>
      </c>
      <c r="P316" s="33" t="str">
        <f ca="1">IFERROR(__xludf.DUMMYFUNCTION("""COMPUTED_VALUE"""),"Ramon Ferrando(Valencia)")</f>
        <v>Ramon Ferrando(Valencia)</v>
      </c>
    </row>
    <row r="317" spans="2:16">
      <c r="B317" s="74">
        <f ca="1">IFERROR(__xludf.DUMMYFUNCTION("""COMPUTED_VALUE"""),2026)</f>
        <v>2026</v>
      </c>
      <c r="C317" s="56">
        <f ca="1">IFERROR(__xludf.DUMMYFUNCTION("""COMPUTED_VALUE"""),3)</f>
        <v>3</v>
      </c>
      <c r="D317" s="33" t="str">
        <f ca="1">IFERROR(__xludf.DUMMYFUNCTION("""COMPUTED_VALUE"""),"NO")</f>
        <v>NO</v>
      </c>
      <c r="E317" s="33" t="str">
        <f ca="1">IFERROR(__xludf.DUMMYFUNCTION("""COMPUTED_VALUE"""),"Alcorcón")</f>
        <v>Alcorcón</v>
      </c>
      <c r="F317" s="57">
        <f ca="1">IFERROR(__xludf.DUMMYFUNCTION("""COMPUTED_VALUE"""),46087)</f>
        <v>46087</v>
      </c>
      <c r="G317" s="57">
        <f ca="1">IFERROR(__xludf.DUMMYFUNCTION("""COMPUTED_VALUE"""),45910)</f>
        <v>45910</v>
      </c>
      <c r="H317" s="33" t="str">
        <f ca="1">IFERROR(__xludf.DUMMYFUNCTION("""COMPUTED_VALUE"""),"Alcorcón")</f>
        <v>Alcorcón</v>
      </c>
      <c r="I317" s="33" t="str">
        <f ca="1">IFERROR(__xludf.DUMMYFUNCTION("""COMPUTED_VALUE"""),"C2025912124743909")</f>
        <v>C2025912124743909</v>
      </c>
      <c r="J317" s="33" t="str">
        <f ca="1">IFERROR(__xludf.DUMMYFUNCTION("""COMPUTED_VALUE"""),"MARIA CONCEPCION GARROTE HERNANDEZ")</f>
        <v>MARIA CONCEPCION GARROTE HERNANDEZ</v>
      </c>
      <c r="K317" s="56">
        <f ca="1">IFERROR(__xludf.DUMMYFUNCTION("""COMPUTED_VALUE"""),1)</f>
        <v>1</v>
      </c>
      <c r="L317" s="62">
        <f ca="1">IFERROR(__xludf.DUMMYFUNCTION("""COMPUTED_VALUE"""),1240.91)</f>
        <v>1240.9100000000001</v>
      </c>
      <c r="M317" s="33" t="str">
        <f ca="1">IFERROR(__xludf.DUMMYFUNCTION("""COMPUTED_VALUE"""),"03 ORL")</f>
        <v>03 ORL</v>
      </c>
      <c r="N317" s="33" t="str">
        <f ca="1">IFERROR(__xludf.DUMMYFUNCTION("""COMPUTED_VALUE"""),"06 ORL")</f>
        <v>06 ORL</v>
      </c>
      <c r="O317" s="33" t="str">
        <f ca="1">IFERROR(__xludf.DUMMYFUNCTION("""COMPUTED_VALUE"""),"Dr, Adolfo Toledano Muñoz")</f>
        <v>Dr, Adolfo Toledano Muñoz</v>
      </c>
      <c r="P317" s="33" t="str">
        <f ca="1">IFERROR(__xludf.DUMMYFUNCTION("""COMPUTED_VALUE"""),"Maika Blázquez (Madrid)")</f>
        <v>Maika Blázquez (Madrid)</v>
      </c>
    </row>
    <row r="318" spans="2:16">
      <c r="B318" s="74">
        <f ca="1">IFERROR(__xludf.DUMMYFUNCTION("""COMPUTED_VALUE"""),2026)</f>
        <v>2026</v>
      </c>
      <c r="C318" s="56">
        <f ca="1">IFERROR(__xludf.DUMMYFUNCTION("""COMPUTED_VALUE"""),3)</f>
        <v>3</v>
      </c>
      <c r="D318" s="33" t="str">
        <f ca="1">IFERROR(__xludf.DUMMYFUNCTION("""COMPUTED_VALUE"""),"NO")</f>
        <v>NO</v>
      </c>
      <c r="E318" s="33" t="str">
        <f ca="1">IFERROR(__xludf.DUMMYFUNCTION("""COMPUTED_VALUE"""),"Madrid- Costa Rica")</f>
        <v>Madrid- Costa Rica</v>
      </c>
      <c r="F318" s="57">
        <f ca="1">IFERROR(__xludf.DUMMYFUNCTION("""COMPUTED_VALUE"""),46087)</f>
        <v>46087</v>
      </c>
      <c r="G318" s="57">
        <f ca="1">IFERROR(__xludf.DUMMYFUNCTION("""COMPUTED_VALUE"""),46035)</f>
        <v>46035</v>
      </c>
      <c r="H318" s="33" t="str">
        <f ca="1">IFERROR(__xludf.DUMMYFUNCTION("""COMPUTED_VALUE"""),"Costa Rica")</f>
        <v>Costa Rica</v>
      </c>
      <c r="I318" s="33" t="str">
        <f ca="1">IFERROR(__xludf.DUMMYFUNCTION("""COMPUTED_VALUE"""),"C202611317543889810")</f>
        <v>C202611317543889810</v>
      </c>
      <c r="J318" s="33" t="str">
        <f ca="1">IFERROR(__xludf.DUMMYFUNCTION("""COMPUTED_VALUE"""),"MARIA DEL CARMEN DE CASTRO MOLINERO")</f>
        <v>MARIA DEL CARMEN DE CASTRO MOLINERO</v>
      </c>
      <c r="K318" s="56">
        <f ca="1">IFERROR(__xludf.DUMMYFUNCTION("""COMPUTED_VALUE"""),2)</f>
        <v>2</v>
      </c>
      <c r="L318" s="62">
        <f ca="1">IFERROR(__xludf.DUMMYFUNCTION("""COMPUTED_VALUE"""),2718.18)</f>
        <v>2718.18</v>
      </c>
      <c r="M318" s="33" t="str">
        <f ca="1">IFERROR(__xludf.DUMMYFUNCTION("""COMPUTED_VALUE"""),"03 ORL")</f>
        <v>03 ORL</v>
      </c>
      <c r="N318" s="33" t="str">
        <f ca="1">IFERROR(__xludf.DUMMYFUNCTION("""COMPUTED_VALUE"""),"06 ORL")</f>
        <v>06 ORL</v>
      </c>
      <c r="O318" s="33" t="str">
        <f ca="1">IFERROR(__xludf.DUMMYFUNCTION("""COMPUTED_VALUE"""),"Dr, Guillermo San Juan de la Moreta")</f>
        <v>Dr, Guillermo San Juan de la Moreta</v>
      </c>
      <c r="P318" s="33" t="str">
        <f ca="1">IFERROR(__xludf.DUMMYFUNCTION("""COMPUTED_VALUE"""),"Maika Blázquez (Madrid)")</f>
        <v>Maika Blázquez (Madrid)</v>
      </c>
    </row>
    <row r="319" spans="2:16">
      <c r="B319" s="74">
        <f ca="1">IFERROR(__xludf.DUMMYFUNCTION("""COMPUTED_VALUE"""),2026)</f>
        <v>2026</v>
      </c>
      <c r="C319" s="56">
        <f ca="1">IFERROR(__xludf.DUMMYFUNCTION("""COMPUTED_VALUE"""),3)</f>
        <v>3</v>
      </c>
      <c r="D319" s="33" t="str">
        <f ca="1">IFERROR(__xludf.DUMMYFUNCTION("""COMPUTED_VALUE"""),"NO")</f>
        <v>NO</v>
      </c>
      <c r="E319" s="33" t="str">
        <f ca="1">IFERROR(__xludf.DUMMYFUNCTION("""COMPUTED_VALUE"""),"Ponferrada")</f>
        <v>Ponferrada</v>
      </c>
      <c r="F319" s="57">
        <f ca="1">IFERROR(__xludf.DUMMYFUNCTION("""COMPUTED_VALUE"""),46090)</f>
        <v>46090</v>
      </c>
      <c r="G319" s="57">
        <f ca="1">IFERROR(__xludf.DUMMYFUNCTION("""COMPUTED_VALUE"""),46024)</f>
        <v>46024</v>
      </c>
      <c r="H319" s="33" t="str">
        <f ca="1">IFERROR(__xludf.DUMMYFUNCTION("""COMPUTED_VALUE"""),"Ponferrada")</f>
        <v>Ponferrada</v>
      </c>
      <c r="I319" s="33" t="str">
        <f ca="1">IFERROR(__xludf.DUMMYFUNCTION("""COMPUTED_VALUE"""),"C202612102311216182")</f>
        <v>C202612102311216182</v>
      </c>
      <c r="J319" s="33" t="str">
        <f ca="1">IFERROR(__xludf.DUMMYFUNCTION("""COMPUTED_VALUE"""),"MARCELINA RODRIGUEZ CASARES")</f>
        <v>MARCELINA RODRIGUEZ CASARES</v>
      </c>
      <c r="K319" s="56">
        <f ca="1">IFERROR(__xludf.DUMMYFUNCTION("""COMPUTED_VALUE"""),1)</f>
        <v>1</v>
      </c>
      <c r="L319" s="62">
        <f ca="1">IFERROR(__xludf.DUMMYFUNCTION("""COMPUTED_VALUE"""),1909.09)</f>
        <v>1909.09</v>
      </c>
      <c r="M319" s="33" t="str">
        <f ca="1">IFERROR(__xludf.DUMMYFUNCTION("""COMPUTED_VALUE"""),"03 ORL")</f>
        <v>03 ORL</v>
      </c>
      <c r="N319" s="33" t="str">
        <f ca="1">IFERROR(__xludf.DUMMYFUNCTION("""COMPUTED_VALUE"""),"06 ORL")</f>
        <v>06 ORL</v>
      </c>
      <c r="O319" s="33" t="str">
        <f ca="1">IFERROR(__xludf.DUMMYFUNCTION("""COMPUTED_VALUE"""),"Dra, Diana Lysbeth Lourido Piedrahita")</f>
        <v>Dra, Diana Lysbeth Lourido Piedrahita</v>
      </c>
      <c r="P319" s="33" t="str">
        <f ca="1">IFERROR(__xludf.DUMMYFUNCTION("""COMPUTED_VALUE"""),"Alberto Moreno (Madrid)")</f>
        <v>Alberto Moreno (Madrid)</v>
      </c>
    </row>
    <row r="320" spans="2:16">
      <c r="B320" s="74">
        <f ca="1">IFERROR(__xludf.DUMMYFUNCTION("""COMPUTED_VALUE"""),2026)</f>
        <v>2026</v>
      </c>
      <c r="C320" s="56">
        <f ca="1">IFERROR(__xludf.DUMMYFUNCTION("""COMPUTED_VALUE"""),3)</f>
        <v>3</v>
      </c>
      <c r="D320" s="33" t="str">
        <f ca="1">IFERROR(__xludf.DUMMYFUNCTION("""COMPUTED_VALUE"""),"NO")</f>
        <v>NO</v>
      </c>
      <c r="E320" s="33" t="str">
        <f ca="1">IFERROR(__xludf.DUMMYFUNCTION("""COMPUTED_VALUE"""),"Logroño")</f>
        <v>Logroño</v>
      </c>
      <c r="F320" s="57">
        <f ca="1">IFERROR(__xludf.DUMMYFUNCTION("""COMPUTED_VALUE"""),46090)</f>
        <v>46090</v>
      </c>
      <c r="G320" s="57">
        <f ca="1">IFERROR(__xludf.DUMMYFUNCTION("""COMPUTED_VALUE"""),46083)</f>
        <v>46083</v>
      </c>
      <c r="H320" s="33" t="str">
        <f ca="1">IFERROR(__xludf.DUMMYFUNCTION("""COMPUTED_VALUE"""),"Logroño")</f>
        <v>Logroño</v>
      </c>
      <c r="I320" s="33" t="str">
        <f ca="1">IFERROR(__xludf.DUMMYFUNCTION("""COMPUTED_VALUE"""),"C202632125733295959")</f>
        <v>C202632125733295959</v>
      </c>
      <c r="J320" s="33" t="str">
        <f ca="1">IFERROR(__xludf.DUMMYFUNCTION("""COMPUTED_VALUE"""),"RUFINO JOSE EZQUERRO JULVE")</f>
        <v>RUFINO JOSE EZQUERRO JULVE</v>
      </c>
      <c r="K320" s="56">
        <f ca="1">IFERROR(__xludf.DUMMYFUNCTION("""COMPUTED_VALUE"""),1)</f>
        <v>1</v>
      </c>
      <c r="L320" s="62">
        <f ca="1">IFERROR(__xludf.DUMMYFUNCTION("""COMPUTED_VALUE"""),2481.82)</f>
        <v>2481.8200000000002</v>
      </c>
      <c r="M320" s="33" t="str">
        <f ca="1">IFERROR(__xludf.DUMMYFUNCTION("""COMPUTED_VALUE"""),"03 ORL")</f>
        <v>03 ORL</v>
      </c>
      <c r="N320" s="33" t="str">
        <f ca="1">IFERROR(__xludf.DUMMYFUNCTION("""COMPUTED_VALUE"""),"06 ORL")</f>
        <v>06 ORL</v>
      </c>
      <c r="O320" s="33" t="str">
        <f ca="1">IFERROR(__xludf.DUMMYFUNCTION("""COMPUTED_VALUE"""),"No recuerda ORL")</f>
        <v>No recuerda ORL</v>
      </c>
      <c r="P320" s="33" t="str">
        <f ca="1">IFERROR(__xludf.DUMMYFUNCTION("""COMPUTED_VALUE"""),"Lisandro Russian (Madrid, Cáceres, Toledo, Talavera y Logroño)")</f>
        <v>Lisandro Russian (Madrid, Cáceres, Toledo, Talavera y Logroño)</v>
      </c>
    </row>
    <row r="321" spans="2:16">
      <c r="B321" s="74">
        <f ca="1">IFERROR(__xludf.DUMMYFUNCTION("""COMPUTED_VALUE"""),2026)</f>
        <v>2026</v>
      </c>
      <c r="C321" s="56">
        <f ca="1">IFERROR(__xludf.DUMMYFUNCTION("""COMPUTED_VALUE"""),3)</f>
        <v>3</v>
      </c>
      <c r="D321" s="33" t="str">
        <f ca="1">IFERROR(__xludf.DUMMYFUNCTION("""COMPUTED_VALUE"""),"NO")</f>
        <v>NO</v>
      </c>
      <c r="E321" s="33" t="str">
        <f ca="1">IFERROR(__xludf.DUMMYFUNCTION("""COMPUTED_VALUE"""),"Ponferrada")</f>
        <v>Ponferrada</v>
      </c>
      <c r="F321" s="57">
        <f ca="1">IFERROR(__xludf.DUMMYFUNCTION("""COMPUTED_VALUE"""),46090)</f>
        <v>46090</v>
      </c>
      <c r="G321" s="57">
        <f ca="1">IFERROR(__xludf.DUMMYFUNCTION("""COMPUTED_VALUE"""),46090)</f>
        <v>46090</v>
      </c>
      <c r="H321" s="33" t="str">
        <f ca="1">IFERROR(__xludf.DUMMYFUNCTION("""COMPUTED_VALUE"""),"Ponferrada")</f>
        <v>Ponferrada</v>
      </c>
      <c r="I321" s="33" t="str">
        <f ca="1">IFERROR(__xludf.DUMMYFUNCTION("""COMPUTED_VALUE"""),"C202639113431676201")</f>
        <v>C202639113431676201</v>
      </c>
      <c r="J321" s="33" t="str">
        <f ca="1">IFERROR(__xludf.DUMMYFUNCTION("""COMPUTED_VALUE"""),"JOSE MANUEL RODERA PEREZ [CARLA RODERA MARTINEZ]")</f>
        <v>JOSE MANUEL RODERA PEREZ [CARLA RODERA MARTINEZ]</v>
      </c>
      <c r="K321" s="56">
        <f ca="1">IFERROR(__xludf.DUMMYFUNCTION("""COMPUTED_VALUE"""),2)</f>
        <v>2</v>
      </c>
      <c r="L321" s="62">
        <f ca="1">IFERROR(__xludf.DUMMYFUNCTION("""COMPUTED_VALUE"""),3909.09)</f>
        <v>3909.09</v>
      </c>
      <c r="M321" s="33" t="str">
        <f ca="1">IFERROR(__xludf.DUMMYFUNCTION("""COMPUTED_VALUE"""),"03 ORL")</f>
        <v>03 ORL</v>
      </c>
      <c r="N321" s="33" t="str">
        <f ca="1">IFERROR(__xludf.DUMMYFUNCTION("""COMPUTED_VALUE"""),"06 ORL")</f>
        <v>06 ORL</v>
      </c>
      <c r="O321" s="33" t="str">
        <f ca="1">IFERROR(__xludf.DUMMYFUNCTION("""COMPUTED_VALUE"""),"Dra, Diana Lysbeth Lourido Piedrahita")</f>
        <v>Dra, Diana Lysbeth Lourido Piedrahita</v>
      </c>
      <c r="P321" s="33" t="str">
        <f ca="1">IFERROR(__xludf.DUMMYFUNCTION("""COMPUTED_VALUE"""),"Alberto Moreno (Madrid)")</f>
        <v>Alberto Moreno (Madrid)</v>
      </c>
    </row>
    <row r="322" spans="2:16">
      <c r="B322" s="74">
        <f ca="1">IFERROR(__xludf.DUMMYFUNCTION("""COMPUTED_VALUE"""),2026)</f>
        <v>2026</v>
      </c>
      <c r="C322" s="56">
        <f ca="1">IFERROR(__xludf.DUMMYFUNCTION("""COMPUTED_VALUE"""),3)</f>
        <v>3</v>
      </c>
      <c r="D322" s="33" t="str">
        <f ca="1">IFERROR(__xludf.DUMMYFUNCTION("""COMPUTED_VALUE"""),"NO")</f>
        <v>NO</v>
      </c>
      <c r="E322" s="33" t="str">
        <f ca="1">IFERROR(__xludf.DUMMYFUNCTION("""COMPUTED_VALUE"""),"Murcia")</f>
        <v>Murcia</v>
      </c>
      <c r="F322" s="57">
        <f ca="1">IFERROR(__xludf.DUMMYFUNCTION("""COMPUTED_VALUE"""),46090)</f>
        <v>46090</v>
      </c>
      <c r="G322" s="57">
        <f ca="1">IFERROR(__xludf.DUMMYFUNCTION("""COMPUTED_VALUE"""),46037)</f>
        <v>46037</v>
      </c>
      <c r="H322" s="33" t="str">
        <f ca="1">IFERROR(__xludf.DUMMYFUNCTION("""COMPUTED_VALUE"""),"Murcia")</f>
        <v>Murcia</v>
      </c>
      <c r="I322" s="33" t="str">
        <f ca="1">IFERROR(__xludf.DUMMYFUNCTION("""COMPUTED_VALUE"""),"C202611517324913825")</f>
        <v>C202611517324913825</v>
      </c>
      <c r="J322" s="33" t="str">
        <f ca="1">IFERROR(__xludf.DUMMYFUNCTION("""COMPUTED_VALUE"""),"MARIA  RUIZ JIMENEZ")</f>
        <v>MARIA  RUIZ JIMENEZ</v>
      </c>
      <c r="K322" s="56">
        <f ca="1">IFERROR(__xludf.DUMMYFUNCTION("""COMPUTED_VALUE"""),1)</f>
        <v>1</v>
      </c>
      <c r="L322" s="62">
        <f ca="1">IFERROR(__xludf.DUMMYFUNCTION("""COMPUTED_VALUE"""),2481.82)</f>
        <v>2481.8200000000002</v>
      </c>
      <c r="M322" s="33" t="str">
        <f ca="1">IFERROR(__xludf.DUMMYFUNCTION("""COMPUTED_VALUE"""),"03 ORL")</f>
        <v>03 ORL</v>
      </c>
      <c r="N322" s="33" t="str">
        <f ca="1">IFERROR(__xludf.DUMMYFUNCTION("""COMPUTED_VALUE"""),"06 ORL")</f>
        <v>06 ORL</v>
      </c>
      <c r="O322" s="33" t="str">
        <f ca="1">IFERROR(__xludf.DUMMYFUNCTION("""COMPUTED_VALUE"""),"Dra, María Agustina Sevilla García")</f>
        <v>Dra, María Agustina Sevilla García</v>
      </c>
      <c r="P322" s="33" t="str">
        <f ca="1">IFERROR(__xludf.DUMMYFUNCTION("""COMPUTED_VALUE"""),"Iván Sánchez (Levante y Albacete)")</f>
        <v>Iván Sánchez (Levante y Albacete)</v>
      </c>
    </row>
    <row r="323" spans="2:16">
      <c r="B323" s="74">
        <f ca="1">IFERROR(__xludf.DUMMYFUNCTION("""COMPUTED_VALUE"""),2026)</f>
        <v>2026</v>
      </c>
      <c r="C323" s="56">
        <f ca="1">IFERROR(__xludf.DUMMYFUNCTION("""COMPUTED_VALUE"""),3)</f>
        <v>3</v>
      </c>
      <c r="D323" s="33" t="str">
        <f ca="1">IFERROR(__xludf.DUMMYFUNCTION("""COMPUTED_VALUE"""),"NO")</f>
        <v>NO</v>
      </c>
      <c r="E323" s="33" t="str">
        <f ca="1">IFERROR(__xludf.DUMMYFUNCTION("""COMPUTED_VALUE"""),"Móstoles")</f>
        <v>Móstoles</v>
      </c>
      <c r="F323" s="57">
        <f ca="1">IFERROR(__xludf.DUMMYFUNCTION("""COMPUTED_VALUE"""),46090)</f>
        <v>46090</v>
      </c>
      <c r="G323" s="57">
        <f ca="1">IFERROR(__xludf.DUMMYFUNCTION("""COMPUTED_VALUE"""),46077)</f>
        <v>46077</v>
      </c>
      <c r="H323" s="33" t="str">
        <f ca="1">IFERROR(__xludf.DUMMYFUNCTION("""COMPUTED_VALUE"""),"Móstoles")</f>
        <v>Móstoles</v>
      </c>
      <c r="I323" s="33" t="str">
        <f ca="1">IFERROR(__xludf.DUMMYFUNCTION("""COMPUTED_VALUE"""),"C202622410524405030")</f>
        <v>C202622410524405030</v>
      </c>
      <c r="J323" s="33" t="str">
        <f ca="1">IFERROR(__xludf.DUMMYFUNCTION("""COMPUTED_VALUE"""),"JOAQUIN CARRASCO TAGLE")</f>
        <v>JOAQUIN CARRASCO TAGLE</v>
      </c>
      <c r="K323" s="56">
        <f ca="1">IFERROR(__xludf.DUMMYFUNCTION("""COMPUTED_VALUE"""),2)</f>
        <v>2</v>
      </c>
      <c r="L323" s="62">
        <f ca="1">IFERROR(__xludf.DUMMYFUNCTION("""COMPUTED_VALUE"""),3631.82)</f>
        <v>3631.82</v>
      </c>
      <c r="M323" s="33" t="str">
        <f ca="1">IFERROR(__xludf.DUMMYFUNCTION("""COMPUTED_VALUE"""),"03 ORL")</f>
        <v>03 ORL</v>
      </c>
      <c r="N323" s="33" t="str">
        <f ca="1">IFERROR(__xludf.DUMMYFUNCTION("""COMPUTED_VALUE"""),"06 ORL")</f>
        <v>06 ORL</v>
      </c>
      <c r="O323" s="33" t="str">
        <f ca="1">IFERROR(__xludf.DUMMYFUNCTION("""COMPUTED_VALUE"""),"Dr, Tomas Jesús Hunrubia Parra")</f>
        <v>Dr, Tomas Jesús Hunrubia Parra</v>
      </c>
      <c r="P323" s="33" t="str">
        <f ca="1">IFERROR(__xludf.DUMMYFUNCTION("""COMPUTED_VALUE"""),"Maika Blázquez (Madrid)")</f>
        <v>Maika Blázquez (Madrid)</v>
      </c>
    </row>
    <row r="324" spans="2:16">
      <c r="B324" s="74">
        <f ca="1">IFERROR(__xludf.DUMMYFUNCTION("""COMPUTED_VALUE"""),2026)</f>
        <v>2026</v>
      </c>
      <c r="C324" s="56">
        <f ca="1">IFERROR(__xludf.DUMMYFUNCTION("""COMPUTED_VALUE"""),3)</f>
        <v>3</v>
      </c>
      <c r="D324" s="33" t="str">
        <f ca="1">IFERROR(__xludf.DUMMYFUNCTION("""COMPUTED_VALUE"""),"NO")</f>
        <v>NO</v>
      </c>
      <c r="E324" s="33" t="str">
        <f ca="1">IFERROR(__xludf.DUMMYFUNCTION("""COMPUTED_VALUE"""),"Jerez de la Frontera")</f>
        <v>Jerez de la Frontera</v>
      </c>
      <c r="F324" s="57">
        <f ca="1">IFERROR(__xludf.DUMMYFUNCTION("""COMPUTED_VALUE"""),46091)</f>
        <v>46091</v>
      </c>
      <c r="G324" s="57">
        <f ca="1">IFERROR(__xludf.DUMMYFUNCTION("""COMPUTED_VALUE"""),46066)</f>
        <v>46066</v>
      </c>
      <c r="H324" s="33" t="str">
        <f ca="1">IFERROR(__xludf.DUMMYFUNCTION("""COMPUTED_VALUE"""),"Jerez")</f>
        <v>Jerez</v>
      </c>
      <c r="I324" s="33" t="str">
        <f ca="1">IFERROR(__xludf.DUMMYFUNCTION("""COMPUTED_VALUE"""),"C202621313435342663")</f>
        <v>C202621313435342663</v>
      </c>
      <c r="J324" s="33" t="str">
        <f ca="1">IFERROR(__xludf.DUMMYFUNCTION("""COMPUTED_VALUE"""),"FRANCISCO JAVIER FERNANDEZ ORTEGA")</f>
        <v>FRANCISCO JAVIER FERNANDEZ ORTEGA</v>
      </c>
      <c r="K324" s="56">
        <f ca="1">IFERROR(__xludf.DUMMYFUNCTION("""COMPUTED_VALUE"""),1)</f>
        <v>1</v>
      </c>
      <c r="L324" s="62">
        <f ca="1">IFERROR(__xludf.DUMMYFUNCTION("""COMPUTED_VALUE"""),1634.62)</f>
        <v>1634.62</v>
      </c>
      <c r="M324" s="33" t="str">
        <f ca="1">IFERROR(__xludf.DUMMYFUNCTION("""COMPUTED_VALUE"""),"03 ORL")</f>
        <v>03 ORL</v>
      </c>
      <c r="N324" s="33" t="str">
        <f ca="1">IFERROR(__xludf.DUMMYFUNCTION("""COMPUTED_VALUE"""),"06 ORL")</f>
        <v>06 ORL</v>
      </c>
      <c r="O324" s="33" t="str">
        <f ca="1">IFERROR(__xludf.DUMMYFUNCTION("""COMPUTED_VALUE"""),"Dr, Vicente Mira Escartí")</f>
        <v>Dr, Vicente Mira Escartí</v>
      </c>
      <c r="P324" s="33" t="str">
        <f ca="1">IFERROR(__xludf.DUMMYFUNCTION("""COMPUTED_VALUE"""),"Luis Alberto Rodríguez (Andalucía y Badajoz)")</f>
        <v>Luis Alberto Rodríguez (Andalucía y Badajoz)</v>
      </c>
    </row>
    <row r="325" spans="2:16">
      <c r="B325" s="74">
        <f ca="1">IFERROR(__xludf.DUMMYFUNCTION("""COMPUTED_VALUE"""),2026)</f>
        <v>2026</v>
      </c>
      <c r="C325" s="56">
        <f ca="1">IFERROR(__xludf.DUMMYFUNCTION("""COMPUTED_VALUE"""),3)</f>
        <v>3</v>
      </c>
      <c r="D325" s="33" t="str">
        <f ca="1">IFERROR(__xludf.DUMMYFUNCTION("""COMPUTED_VALUE"""),"NO")</f>
        <v>NO</v>
      </c>
      <c r="E325" s="33" t="str">
        <f ca="1">IFERROR(__xludf.DUMMYFUNCTION("""COMPUTED_VALUE"""),"Valencia- Parra")</f>
        <v>Valencia- Parra</v>
      </c>
      <c r="F325" s="57">
        <f ca="1">IFERROR(__xludf.DUMMYFUNCTION("""COMPUTED_VALUE"""),46091)</f>
        <v>46091</v>
      </c>
      <c r="G325" s="57">
        <f ca="1">IFERROR(__xludf.DUMMYFUNCTION("""COMPUTED_VALUE"""),46049)</f>
        <v>46049</v>
      </c>
      <c r="H325" s="33" t="str">
        <f ca="1">IFERROR(__xludf.DUMMYFUNCTION("""COMPUTED_VALUE"""),"Valencia- Parra")</f>
        <v>Valencia- Parra</v>
      </c>
      <c r="I325" s="33" t="str">
        <f ca="1">IFERROR(__xludf.DUMMYFUNCTION("""COMPUTED_VALUE"""),"C202612710171441691")</f>
        <v>C202612710171441691</v>
      </c>
      <c r="J325" s="33" t="str">
        <f ca="1">IFERROR(__xludf.DUMMYFUNCTION("""COMPUTED_VALUE"""),"MONTSERRAT  ORIOL GIMENEZ")</f>
        <v>MONTSERRAT  ORIOL GIMENEZ</v>
      </c>
      <c r="K325" s="56">
        <f ca="1">IFERROR(__xludf.DUMMYFUNCTION("""COMPUTED_VALUE"""),2)</f>
        <v>2</v>
      </c>
      <c r="L325" s="62">
        <f ca="1">IFERROR(__xludf.DUMMYFUNCTION("""COMPUTED_VALUE"""),3631.82)</f>
        <v>3631.82</v>
      </c>
      <c r="M325" s="33" t="str">
        <f ca="1">IFERROR(__xludf.DUMMYFUNCTION("""COMPUTED_VALUE"""),"03 ORL")</f>
        <v>03 ORL</v>
      </c>
      <c r="N325" s="33" t="str">
        <f ca="1">IFERROR(__xludf.DUMMYFUNCTION("""COMPUTED_VALUE"""),"06 ORL")</f>
        <v>06 ORL</v>
      </c>
      <c r="O325" s="33" t="str">
        <f ca="1">IFERROR(__xludf.DUMMYFUNCTION("""COMPUTED_VALUE"""),"Dra, María José Lesmas Navarro")</f>
        <v>Dra, María José Lesmas Navarro</v>
      </c>
      <c r="P325" s="33" t="str">
        <f ca="1">IFERROR(__xludf.DUMMYFUNCTION("""COMPUTED_VALUE"""),"Ramon Ferrando(Valencia)")</f>
        <v>Ramon Ferrando(Valencia)</v>
      </c>
    </row>
    <row r="326" spans="2:16">
      <c r="B326" s="74">
        <f ca="1">IFERROR(__xludf.DUMMYFUNCTION("""COMPUTED_VALUE"""),2026)</f>
        <v>2026</v>
      </c>
      <c r="C326" s="56">
        <f ca="1">IFERROR(__xludf.DUMMYFUNCTION("""COMPUTED_VALUE"""),3)</f>
        <v>3</v>
      </c>
      <c r="D326" s="33" t="str">
        <f ca="1">IFERROR(__xludf.DUMMYFUNCTION("""COMPUTED_VALUE"""),"NO")</f>
        <v>NO</v>
      </c>
      <c r="E326" s="33" t="str">
        <f ca="1">IFERROR(__xludf.DUMMYFUNCTION("""COMPUTED_VALUE"""),"Cáceres")</f>
        <v>Cáceres</v>
      </c>
      <c r="F326" s="57">
        <f ca="1">IFERROR(__xludf.DUMMYFUNCTION("""COMPUTED_VALUE"""),46092)</f>
        <v>46092</v>
      </c>
      <c r="G326" s="57">
        <f ca="1">IFERROR(__xludf.DUMMYFUNCTION("""COMPUTED_VALUE"""),46058)</f>
        <v>46058</v>
      </c>
      <c r="H326" s="33" t="str">
        <f ca="1">IFERROR(__xludf.DUMMYFUNCTION("""COMPUTED_VALUE"""),"Cáceres")</f>
        <v>Cáceres</v>
      </c>
      <c r="I326" s="33" t="str">
        <f ca="1">IFERROR(__xludf.DUMMYFUNCTION("""COMPUTED_VALUE"""),"C202625111314903698")</f>
        <v>C202625111314903698</v>
      </c>
      <c r="J326" s="33" t="str">
        <f ca="1">IFERROR(__xludf.DUMMYFUNCTION("""COMPUTED_VALUE"""),"JESUS CAÑAS MURILLO")</f>
        <v>JESUS CAÑAS MURILLO</v>
      </c>
      <c r="K326" s="56">
        <f ca="1">IFERROR(__xludf.DUMMYFUNCTION("""COMPUTED_VALUE"""),2)</f>
        <v>2</v>
      </c>
      <c r="L326" s="62">
        <f ca="1">IFERROR(__xludf.DUMMYFUNCTION("""COMPUTED_VALUE"""),4500)</f>
        <v>4500</v>
      </c>
      <c r="M326" s="33" t="str">
        <f ca="1">IFERROR(__xludf.DUMMYFUNCTION("""COMPUTED_VALUE"""),"03 ORL")</f>
        <v>03 ORL</v>
      </c>
      <c r="N326" s="33" t="str">
        <f ca="1">IFERROR(__xludf.DUMMYFUNCTION("""COMPUTED_VALUE"""),"06 ORL")</f>
        <v>06 ORL</v>
      </c>
      <c r="O326" s="33" t="str">
        <f ca="1">IFERROR(__xludf.DUMMYFUNCTION("""COMPUTED_VALUE"""),"Dr, Manuel Martí Peña")</f>
        <v>Dr, Manuel Martí Peña</v>
      </c>
      <c r="P326" s="33" t="str">
        <f ca="1">IFERROR(__xludf.DUMMYFUNCTION("""COMPUTED_VALUE"""),"Lisandro Russian (Madrid, Cáceres, Toledo, Talavera y Logroño)")</f>
        <v>Lisandro Russian (Madrid, Cáceres, Toledo, Talavera y Logroño)</v>
      </c>
    </row>
    <row r="327" spans="2:16">
      <c r="B327" s="74">
        <f ca="1">IFERROR(__xludf.DUMMYFUNCTION("""COMPUTED_VALUE"""),2026)</f>
        <v>2026</v>
      </c>
      <c r="C327" s="56">
        <f ca="1">IFERROR(__xludf.DUMMYFUNCTION("""COMPUTED_VALUE"""),3)</f>
        <v>3</v>
      </c>
      <c r="D327" s="33" t="str">
        <f ca="1">IFERROR(__xludf.DUMMYFUNCTION("""COMPUTED_VALUE"""),"NO")</f>
        <v>NO</v>
      </c>
      <c r="E327" s="33" t="str">
        <f ca="1">IFERROR(__xludf.DUMMYFUNCTION("""COMPUTED_VALUE"""),"Sevilla- Montoto")</f>
        <v>Sevilla- Montoto</v>
      </c>
      <c r="F327" s="57">
        <f ca="1">IFERROR(__xludf.DUMMYFUNCTION("""COMPUTED_VALUE"""),46092)</f>
        <v>46092</v>
      </c>
      <c r="G327" s="57">
        <f ca="1">IFERROR(__xludf.DUMMYFUNCTION("""COMPUTED_VALUE"""),46059)</f>
        <v>46059</v>
      </c>
      <c r="H327" s="33" t="str">
        <f ca="1">IFERROR(__xludf.DUMMYFUNCTION("""COMPUTED_VALUE"""),"Montoto")</f>
        <v>Montoto</v>
      </c>
      <c r="I327" s="33" t="str">
        <f ca="1">IFERROR(__xludf.DUMMYFUNCTION("""COMPUTED_VALUE"""),"C202626161811777206")</f>
        <v>C202626161811777206</v>
      </c>
      <c r="J327" s="33" t="str">
        <f ca="1">IFERROR(__xludf.DUMMYFUNCTION("""COMPUTED_VALUE"""),"NOEMI LEON BOLIVAR")</f>
        <v>NOEMI LEON BOLIVAR</v>
      </c>
      <c r="K327" s="56">
        <f ca="1">IFERROR(__xludf.DUMMYFUNCTION("""COMPUTED_VALUE"""),2)</f>
        <v>2</v>
      </c>
      <c r="L327" s="62">
        <f ca="1">IFERROR(__xludf.DUMMYFUNCTION("""COMPUTED_VALUE"""),3409.09)</f>
        <v>3409.09</v>
      </c>
      <c r="M327" s="33" t="str">
        <f ca="1">IFERROR(__xludf.DUMMYFUNCTION("""COMPUTED_VALUE"""),"03 ORL")</f>
        <v>03 ORL</v>
      </c>
      <c r="N327" s="33" t="str">
        <f ca="1">IFERROR(__xludf.DUMMYFUNCTION("""COMPUTED_VALUE"""),"06 ORL")</f>
        <v>06 ORL</v>
      </c>
      <c r="O327" s="33" t="str">
        <f ca="1">IFERROR(__xludf.DUMMYFUNCTION("""COMPUTED_VALUE"""),"Dr, Richard Chávez León")</f>
        <v>Dr, Richard Chávez León</v>
      </c>
      <c r="P327" s="33" t="str">
        <f ca="1">IFERROR(__xludf.DUMMYFUNCTION("""COMPUTED_VALUE"""),"Luis Alberto Rodríguez (Andalucía y Badajoz)")</f>
        <v>Luis Alberto Rodríguez (Andalucía y Badajoz)</v>
      </c>
    </row>
    <row r="328" spans="2:16">
      <c r="B328" s="74">
        <f ca="1">IFERROR(__xludf.DUMMYFUNCTION("""COMPUTED_VALUE"""),2026)</f>
        <v>2026</v>
      </c>
      <c r="C328" s="56">
        <f ca="1">IFERROR(__xludf.DUMMYFUNCTION("""COMPUTED_VALUE"""),3)</f>
        <v>3</v>
      </c>
      <c r="D328" s="33" t="str">
        <f ca="1">IFERROR(__xludf.DUMMYFUNCTION("""COMPUTED_VALUE"""),"NO")</f>
        <v>NO</v>
      </c>
      <c r="E328" s="33" t="str">
        <f ca="1">IFERROR(__xludf.DUMMYFUNCTION("""COMPUTED_VALUE"""),"León")</f>
        <v>León</v>
      </c>
      <c r="F328" s="57">
        <f ca="1">IFERROR(__xludf.DUMMYFUNCTION("""COMPUTED_VALUE"""),46092)</f>
        <v>46092</v>
      </c>
      <c r="G328" s="57">
        <f ca="1">IFERROR(__xludf.DUMMYFUNCTION("""COMPUTED_VALUE"""),46083)</f>
        <v>46083</v>
      </c>
      <c r="H328" s="33" t="str">
        <f ca="1">IFERROR(__xludf.DUMMYFUNCTION("""COMPUTED_VALUE"""),"León")</f>
        <v>León</v>
      </c>
      <c r="I328" s="33" t="str">
        <f ca="1">IFERROR(__xludf.DUMMYFUNCTION("""COMPUTED_VALUE"""),"C202632184716530211")</f>
        <v>C202632184716530211</v>
      </c>
      <c r="J328" s="33" t="str">
        <f ca="1">IFERROR(__xludf.DUMMYFUNCTION("""COMPUTED_VALUE"""),"Juan Simon Alija")</f>
        <v>Juan Simon Alija</v>
      </c>
      <c r="K328" s="56">
        <f ca="1">IFERROR(__xludf.DUMMYFUNCTION("""COMPUTED_VALUE"""),2)</f>
        <v>2</v>
      </c>
      <c r="L328" s="62">
        <f ca="1">IFERROR(__xludf.DUMMYFUNCTION("""COMPUTED_VALUE"""),2045.45)</f>
        <v>2045.45</v>
      </c>
      <c r="M328" s="33" t="str">
        <f ca="1">IFERROR(__xludf.DUMMYFUNCTION("""COMPUTED_VALUE"""),"03 ORL")</f>
        <v>03 ORL</v>
      </c>
      <c r="N328" s="33" t="str">
        <f ca="1">IFERROR(__xludf.DUMMYFUNCTION("""COMPUTED_VALUE"""),"06 ORL")</f>
        <v>06 ORL</v>
      </c>
      <c r="O328" s="33" t="str">
        <f ca="1">IFERROR(__xludf.DUMMYFUNCTION("""COMPUTED_VALUE"""),"Dra, Mónica Granda Rosales")</f>
        <v>Dra, Mónica Granda Rosales</v>
      </c>
      <c r="P328" s="33" t="str">
        <f ca="1">IFERROR(__xludf.DUMMYFUNCTION("""COMPUTED_VALUE"""),"Alberto Moreno (Madrid)")</f>
        <v>Alberto Moreno (Madrid)</v>
      </c>
    </row>
    <row r="329" spans="2:16">
      <c r="B329" s="74">
        <f ca="1">IFERROR(__xludf.DUMMYFUNCTION("""COMPUTED_VALUE"""),2026)</f>
        <v>2026</v>
      </c>
      <c r="C329" s="56">
        <f ca="1">IFERROR(__xludf.DUMMYFUNCTION("""COMPUTED_VALUE"""),3)</f>
        <v>3</v>
      </c>
      <c r="D329" s="33" t="str">
        <f ca="1">IFERROR(__xludf.DUMMYFUNCTION("""COMPUTED_VALUE"""),"NO")</f>
        <v>NO</v>
      </c>
      <c r="E329" s="33" t="str">
        <f ca="1">IFERROR(__xludf.DUMMYFUNCTION("""COMPUTED_VALUE"""),"Logroño")</f>
        <v>Logroño</v>
      </c>
      <c r="F329" s="57">
        <f ca="1">IFERROR(__xludf.DUMMYFUNCTION("""COMPUTED_VALUE"""),46092)</f>
        <v>46092</v>
      </c>
      <c r="G329" s="57">
        <f ca="1">IFERROR(__xludf.DUMMYFUNCTION("""COMPUTED_VALUE"""),46070)</f>
        <v>46070</v>
      </c>
      <c r="H329" s="33" t="str">
        <f ca="1">IFERROR(__xludf.DUMMYFUNCTION("""COMPUTED_VALUE"""),"Logroño")</f>
        <v>Logroño</v>
      </c>
      <c r="I329" s="33" t="str">
        <f ca="1">IFERROR(__xludf.DUMMYFUNCTION("""COMPUTED_VALUE"""),"C202621716540384597")</f>
        <v>C202621716540384597</v>
      </c>
      <c r="J329" s="33" t="str">
        <f ca="1">IFERROR(__xludf.DUMMYFUNCTION("""COMPUTED_VALUE"""),"Adrián Quesada Sáenz de Jubera")</f>
        <v>Adrián Quesada Sáenz de Jubera</v>
      </c>
      <c r="K329" s="56">
        <f ca="1">IFERROR(__xludf.DUMMYFUNCTION("""COMPUTED_VALUE"""),2)</f>
        <v>2</v>
      </c>
      <c r="L329" s="62">
        <f ca="1">IFERROR(__xludf.DUMMYFUNCTION("""COMPUTED_VALUE"""),4536.36)</f>
        <v>4536.3599999999997</v>
      </c>
      <c r="M329" s="33" t="str">
        <f ca="1">IFERROR(__xludf.DUMMYFUNCTION("""COMPUTED_VALUE"""),"03 ORL")</f>
        <v>03 ORL</v>
      </c>
      <c r="N329" s="33" t="str">
        <f ca="1">IFERROR(__xludf.DUMMYFUNCTION("""COMPUTED_VALUE"""),"06 ORL")</f>
        <v>06 ORL</v>
      </c>
      <c r="O329" s="33" t="str">
        <f ca="1">IFERROR(__xludf.DUMMYFUNCTION("""COMPUTED_VALUE"""),"No recuerda ORL")</f>
        <v>No recuerda ORL</v>
      </c>
      <c r="P329" s="33" t="str">
        <f ca="1">IFERROR(__xludf.DUMMYFUNCTION("""COMPUTED_VALUE"""),"Lisandro Russian (Madrid, Cáceres, Toledo, Talavera y Logroño)")</f>
        <v>Lisandro Russian (Madrid, Cáceres, Toledo, Talavera y Logroño)</v>
      </c>
    </row>
    <row r="330" spans="2:16">
      <c r="B330" s="74">
        <f ca="1">IFERROR(__xludf.DUMMYFUNCTION("""COMPUTED_VALUE"""),2026)</f>
        <v>2026</v>
      </c>
      <c r="C330" s="56">
        <f ca="1">IFERROR(__xludf.DUMMYFUNCTION("""COMPUTED_VALUE"""),3)</f>
        <v>3</v>
      </c>
      <c r="D330" s="33" t="str">
        <f ca="1">IFERROR(__xludf.DUMMYFUNCTION("""COMPUTED_VALUE"""),"NO")</f>
        <v>NO</v>
      </c>
      <c r="E330" s="33" t="str">
        <f ca="1">IFERROR(__xludf.DUMMYFUNCTION("""COMPUTED_VALUE"""),"Madrid- La Oca")</f>
        <v>Madrid- La Oca</v>
      </c>
      <c r="F330" s="57">
        <f ca="1">IFERROR(__xludf.DUMMYFUNCTION("""COMPUTED_VALUE"""),46092)</f>
        <v>46092</v>
      </c>
      <c r="G330" s="57">
        <f ca="1">IFERROR(__xludf.DUMMYFUNCTION("""COMPUTED_VALUE"""),46057)</f>
        <v>46057</v>
      </c>
      <c r="H330" s="33" t="str">
        <f ca="1">IFERROR(__xludf.DUMMYFUNCTION("""COMPUTED_VALUE"""),"La Oca")</f>
        <v>La Oca</v>
      </c>
      <c r="I330" s="33" t="str">
        <f ca="1">IFERROR(__xludf.DUMMYFUNCTION("""COMPUTED_VALUE"""),"C202624152054679765")</f>
        <v>C202624152054679765</v>
      </c>
      <c r="J330" s="33" t="str">
        <f ca="1">IFERROR(__xludf.DUMMYFUNCTION("""COMPUTED_VALUE"""),"MARIA LUZ FERNANDEZ DE ORO")</f>
        <v>MARIA LUZ FERNANDEZ DE ORO</v>
      </c>
      <c r="K330" s="56">
        <f ca="1">IFERROR(__xludf.DUMMYFUNCTION("""COMPUTED_VALUE"""),2)</f>
        <v>2</v>
      </c>
      <c r="L330" s="62">
        <f ca="1">IFERROR(__xludf.DUMMYFUNCTION("""COMPUTED_VALUE"""),2718.18)</f>
        <v>2718.18</v>
      </c>
      <c r="M330" s="33" t="str">
        <f ca="1">IFERROR(__xludf.DUMMYFUNCTION("""COMPUTED_VALUE"""),"03 ORL")</f>
        <v>03 ORL</v>
      </c>
      <c r="N330" s="33" t="str">
        <f ca="1">IFERROR(__xludf.DUMMYFUNCTION("""COMPUTED_VALUE"""),"06 ORL")</f>
        <v>06 ORL</v>
      </c>
      <c r="O330" s="33" t="str">
        <f ca="1">IFERROR(__xludf.DUMMYFUNCTION("""COMPUTED_VALUE"""),"No recuerda ORL")</f>
        <v>No recuerda ORL</v>
      </c>
      <c r="P330" s="33" t="str">
        <f ca="1">IFERROR(__xludf.DUMMYFUNCTION("""COMPUTED_VALUE"""),"Maika Blázquez (Madrid)")</f>
        <v>Maika Blázquez (Madrid)</v>
      </c>
    </row>
    <row r="331" spans="2:16">
      <c r="B331" s="74">
        <f ca="1">IFERROR(__xludf.DUMMYFUNCTION("""COMPUTED_VALUE"""),2026)</f>
        <v>2026</v>
      </c>
      <c r="C331" s="56">
        <f ca="1">IFERROR(__xludf.DUMMYFUNCTION("""COMPUTED_VALUE"""),3)</f>
        <v>3</v>
      </c>
      <c r="D331" s="33" t="str">
        <f ca="1">IFERROR(__xludf.DUMMYFUNCTION("""COMPUTED_VALUE"""),"NO")</f>
        <v>NO</v>
      </c>
      <c r="E331" s="33" t="str">
        <f ca="1">IFERROR(__xludf.DUMMYFUNCTION("""COMPUTED_VALUE"""),"Talavera")</f>
        <v>Talavera</v>
      </c>
      <c r="F331" s="57">
        <f ca="1">IFERROR(__xludf.DUMMYFUNCTION("""COMPUTED_VALUE"""),46092)</f>
        <v>46092</v>
      </c>
      <c r="G331" s="57">
        <f ca="1">IFERROR(__xludf.DUMMYFUNCTION("""COMPUTED_VALUE"""),46045)</f>
        <v>46045</v>
      </c>
      <c r="H331" s="33" t="str">
        <f ca="1">IFERROR(__xludf.DUMMYFUNCTION("""COMPUTED_VALUE"""),"Talavera")</f>
        <v>Talavera</v>
      </c>
      <c r="I331" s="33" t="str">
        <f ca="1">IFERROR(__xludf.DUMMYFUNCTION("""COMPUTED_VALUE"""),"C202612315311030212")</f>
        <v>C202612315311030212</v>
      </c>
      <c r="J331" s="33" t="str">
        <f ca="1">IFERROR(__xludf.DUMMYFUNCTION("""COMPUTED_VALUE"""),"MARIA LUISA GARVÍN MARTÍN")</f>
        <v>MARIA LUISA GARVÍN MARTÍN</v>
      </c>
      <c r="K331" s="56">
        <f ca="1">IFERROR(__xludf.DUMMYFUNCTION("""COMPUTED_VALUE"""),2)</f>
        <v>2</v>
      </c>
      <c r="L331" s="62">
        <f ca="1">IFERROR(__xludf.DUMMYFUNCTION("""COMPUTED_VALUE"""),3450.23)</f>
        <v>3450.23</v>
      </c>
      <c r="M331" s="33" t="str">
        <f ca="1">IFERROR(__xludf.DUMMYFUNCTION("""COMPUTED_VALUE"""),"03 ORL")</f>
        <v>03 ORL</v>
      </c>
      <c r="N331" s="33" t="str">
        <f ca="1">IFERROR(__xludf.DUMMYFUNCTION("""COMPUTED_VALUE"""),"06 ORL")</f>
        <v>06 ORL</v>
      </c>
      <c r="O331" s="33" t="str">
        <f ca="1">IFERROR(__xludf.DUMMYFUNCTION("""COMPUTED_VALUE"""),"Dr, Jonathan Esteban Sánchez")</f>
        <v>Dr, Jonathan Esteban Sánchez</v>
      </c>
      <c r="P331" s="33" t="str">
        <f ca="1">IFERROR(__xludf.DUMMYFUNCTION("""COMPUTED_VALUE"""),"Maika Blázquez (Madrid)")</f>
        <v>Maika Blázquez (Madrid)</v>
      </c>
    </row>
    <row r="332" spans="2:16">
      <c r="B332" s="74">
        <f ca="1">IFERROR(__xludf.DUMMYFUNCTION("""COMPUTED_VALUE"""),2026)</f>
        <v>2026</v>
      </c>
      <c r="C332" s="56">
        <f ca="1">IFERROR(__xludf.DUMMYFUNCTION("""COMPUTED_VALUE"""),3)</f>
        <v>3</v>
      </c>
      <c r="D332" s="33" t="str">
        <f ca="1">IFERROR(__xludf.DUMMYFUNCTION("""COMPUTED_VALUE"""),"NO")</f>
        <v>NO</v>
      </c>
      <c r="E332" s="33" t="str">
        <f ca="1">IFERROR(__xludf.DUMMYFUNCTION("""COMPUTED_VALUE"""),"Getafe")</f>
        <v>Getafe</v>
      </c>
      <c r="F332" s="57">
        <f ca="1">IFERROR(__xludf.DUMMYFUNCTION("""COMPUTED_VALUE"""),46092)</f>
        <v>46092</v>
      </c>
      <c r="G332" s="57">
        <f ca="1">IFERROR(__xludf.DUMMYFUNCTION("""COMPUTED_VALUE"""),46062)</f>
        <v>46062</v>
      </c>
      <c r="H332" s="33" t="str">
        <f ca="1">IFERROR(__xludf.DUMMYFUNCTION("""COMPUTED_VALUE"""),"Getafe")</f>
        <v>Getafe</v>
      </c>
      <c r="I332" s="33" t="str">
        <f ca="1">IFERROR(__xludf.DUMMYFUNCTION("""COMPUTED_VALUE"""),"C202629115751490744")</f>
        <v>C202629115751490744</v>
      </c>
      <c r="J332" s="33" t="str">
        <f ca="1">IFERROR(__xludf.DUMMYFUNCTION("""COMPUTED_VALUE"""),"MARIA ISABEL GARCIA TRABAS")</f>
        <v>MARIA ISABEL GARCIA TRABAS</v>
      </c>
      <c r="K332" s="56">
        <f ca="1">IFERROR(__xludf.DUMMYFUNCTION("""COMPUTED_VALUE"""),1)</f>
        <v>1</v>
      </c>
      <c r="L332" s="62">
        <f ca="1">IFERROR(__xludf.DUMMYFUNCTION("""COMPUTED_VALUE"""),2180.91)</f>
        <v>2180.91</v>
      </c>
      <c r="M332" s="33" t="str">
        <f ca="1">IFERROR(__xludf.DUMMYFUNCTION("""COMPUTED_VALUE"""),"03 ORL")</f>
        <v>03 ORL</v>
      </c>
      <c r="N332" s="33" t="str">
        <f ca="1">IFERROR(__xludf.DUMMYFUNCTION("""COMPUTED_VALUE"""),"06 ORL")</f>
        <v>06 ORL</v>
      </c>
      <c r="O332" s="33" t="str">
        <f ca="1">IFERROR(__xludf.DUMMYFUNCTION("""COMPUTED_VALUE"""),"No recuerda ORL")</f>
        <v>No recuerda ORL</v>
      </c>
      <c r="P332" s="33" t="str">
        <f ca="1">IFERROR(__xludf.DUMMYFUNCTION("""COMPUTED_VALUE"""),"Maika Blázquez (Madrid)")</f>
        <v>Maika Blázquez (Madrid)</v>
      </c>
    </row>
    <row r="333" spans="2:16">
      <c r="B333" s="74">
        <f ca="1">IFERROR(__xludf.DUMMYFUNCTION("""COMPUTED_VALUE"""),2026)</f>
        <v>2026</v>
      </c>
      <c r="C333" s="56">
        <f ca="1">IFERROR(__xludf.DUMMYFUNCTION("""COMPUTED_VALUE"""),3)</f>
        <v>3</v>
      </c>
      <c r="D333" s="33" t="str">
        <f ca="1">IFERROR(__xludf.DUMMYFUNCTION("""COMPUTED_VALUE"""),"NO")</f>
        <v>NO</v>
      </c>
      <c r="E333" s="33" t="str">
        <f ca="1">IFERROR(__xludf.DUMMYFUNCTION("""COMPUTED_VALUE"""),"Getafe")</f>
        <v>Getafe</v>
      </c>
      <c r="F333" s="57">
        <f ca="1">IFERROR(__xludf.DUMMYFUNCTION("""COMPUTED_VALUE"""),46092)</f>
        <v>46092</v>
      </c>
      <c r="G333" s="57">
        <f ca="1">IFERROR(__xludf.DUMMYFUNCTION("""COMPUTED_VALUE"""),46050)</f>
        <v>46050</v>
      </c>
      <c r="H333" s="33" t="str">
        <f ca="1">IFERROR(__xludf.DUMMYFUNCTION("""COMPUTED_VALUE"""),"Getafe")</f>
        <v>Getafe</v>
      </c>
      <c r="I333" s="33" t="str">
        <f ca="1">IFERROR(__xludf.DUMMYFUNCTION("""COMPUTED_VALUE"""),"C202612817105071565")</f>
        <v>C202612817105071565</v>
      </c>
      <c r="J333" s="33" t="str">
        <f ca="1">IFERROR(__xludf.DUMMYFUNCTION("""COMPUTED_VALUE"""),"MARIA LUISA ARROYO HERNÁNDEZ")</f>
        <v>MARIA LUISA ARROYO HERNÁNDEZ</v>
      </c>
      <c r="K333" s="56">
        <f ca="1">IFERROR(__xludf.DUMMYFUNCTION("""COMPUTED_VALUE"""),2)</f>
        <v>2</v>
      </c>
      <c r="L333" s="62">
        <f ca="1">IFERROR(__xludf.DUMMYFUNCTION("""COMPUTED_VALUE"""),4136.36)</f>
        <v>4136.3599999999997</v>
      </c>
      <c r="M333" s="33" t="str">
        <f ca="1">IFERROR(__xludf.DUMMYFUNCTION("""COMPUTED_VALUE"""),"03 ORL")</f>
        <v>03 ORL</v>
      </c>
      <c r="N333" s="33" t="str">
        <f ca="1">IFERROR(__xludf.DUMMYFUNCTION("""COMPUTED_VALUE"""),"06 ORL")</f>
        <v>06 ORL</v>
      </c>
      <c r="O333" s="33" t="str">
        <f ca="1">IFERROR(__xludf.DUMMYFUNCTION("""COMPUTED_VALUE"""),"No recuerda ORL")</f>
        <v>No recuerda ORL</v>
      </c>
      <c r="P333" s="33" t="str">
        <f ca="1">IFERROR(__xludf.DUMMYFUNCTION("""COMPUTED_VALUE"""),"Maika Blázquez (Madrid)")</f>
        <v>Maika Blázquez (Madrid)</v>
      </c>
    </row>
    <row r="334" spans="2:16">
      <c r="B334" s="74">
        <f ca="1">IFERROR(__xludf.DUMMYFUNCTION("""COMPUTED_VALUE"""),2026)</f>
        <v>2026</v>
      </c>
      <c r="C334" s="56">
        <f ca="1">IFERROR(__xludf.DUMMYFUNCTION("""COMPUTED_VALUE"""),3)</f>
        <v>3</v>
      </c>
      <c r="D334" s="33" t="str">
        <f ca="1">IFERROR(__xludf.DUMMYFUNCTION("""COMPUTED_VALUE"""),"NO")</f>
        <v>NO</v>
      </c>
      <c r="E334" s="33" t="str">
        <f ca="1">IFERROR(__xludf.DUMMYFUNCTION("""COMPUTED_VALUE"""),"Cáceres")</f>
        <v>Cáceres</v>
      </c>
      <c r="F334" s="57">
        <f ca="1">IFERROR(__xludf.DUMMYFUNCTION("""COMPUTED_VALUE"""),46093)</f>
        <v>46093</v>
      </c>
      <c r="G334" s="57">
        <f ca="1">IFERROR(__xludf.DUMMYFUNCTION("""COMPUTED_VALUE"""),46063)</f>
        <v>46063</v>
      </c>
      <c r="H334" s="33" t="str">
        <f ca="1">IFERROR(__xludf.DUMMYFUNCTION("""COMPUTED_VALUE"""),"Cáceres")</f>
        <v>Cáceres</v>
      </c>
      <c r="I334" s="33" t="str">
        <f ca="1">IFERROR(__xludf.DUMMYFUNCTION("""COMPUTED_VALUE"""),"C202621010453855460")</f>
        <v>C202621010453855460</v>
      </c>
      <c r="J334" s="33" t="str">
        <f ca="1">IFERROR(__xludf.DUMMYFUNCTION("""COMPUTED_VALUE"""),"ISABEL PULIDO COLLADO")</f>
        <v>ISABEL PULIDO COLLADO</v>
      </c>
      <c r="K334" s="56">
        <f ca="1">IFERROR(__xludf.DUMMYFUNCTION("""COMPUTED_VALUE"""),2)</f>
        <v>2</v>
      </c>
      <c r="L334" s="62">
        <f ca="1">IFERROR(__xludf.DUMMYFUNCTION("""COMPUTED_VALUE"""),4500)</f>
        <v>4500</v>
      </c>
      <c r="M334" s="33" t="str">
        <f ca="1">IFERROR(__xludf.DUMMYFUNCTION("""COMPUTED_VALUE"""),"03 ORL")</f>
        <v>03 ORL</v>
      </c>
      <c r="N334" s="33" t="str">
        <f ca="1">IFERROR(__xludf.DUMMYFUNCTION("""COMPUTED_VALUE"""),"06 ORL")</f>
        <v>06 ORL</v>
      </c>
      <c r="O334" s="33" t="str">
        <f ca="1">IFERROR(__xludf.DUMMYFUNCTION("""COMPUTED_VALUE"""),"Dra. Isabel Bustillo García")</f>
        <v>Dra. Isabel Bustillo García</v>
      </c>
      <c r="P334" s="33" t="str">
        <f ca="1">IFERROR(__xludf.DUMMYFUNCTION("""COMPUTED_VALUE"""),"Lisandro Russian (Madrid, Cáceres, Toledo, Talavera y Logroño)")</f>
        <v>Lisandro Russian (Madrid, Cáceres, Toledo, Talavera y Logroño)</v>
      </c>
    </row>
    <row r="335" spans="2:16">
      <c r="B335" s="74">
        <f ca="1">IFERROR(__xludf.DUMMYFUNCTION("""COMPUTED_VALUE"""),2026)</f>
        <v>2026</v>
      </c>
      <c r="C335" s="56">
        <f ca="1">IFERROR(__xludf.DUMMYFUNCTION("""COMPUTED_VALUE"""),3)</f>
        <v>3</v>
      </c>
      <c r="D335" s="33" t="str">
        <f ca="1">IFERROR(__xludf.DUMMYFUNCTION("""COMPUTED_VALUE"""),"NO")</f>
        <v>NO</v>
      </c>
      <c r="E335" s="33" t="str">
        <f ca="1">IFERROR(__xludf.DUMMYFUNCTION("""COMPUTED_VALUE"""),"Alcorcón")</f>
        <v>Alcorcón</v>
      </c>
      <c r="F335" s="57">
        <f ca="1">IFERROR(__xludf.DUMMYFUNCTION("""COMPUTED_VALUE"""),46093)</f>
        <v>46093</v>
      </c>
      <c r="G335" s="57">
        <f ca="1">IFERROR(__xludf.DUMMYFUNCTION("""COMPUTED_VALUE"""),46013)</f>
        <v>46013</v>
      </c>
      <c r="H335" s="33" t="str">
        <f ca="1">IFERROR(__xludf.DUMMYFUNCTION("""COMPUTED_VALUE"""),"Alcorcón")</f>
        <v>Alcorcón</v>
      </c>
      <c r="I335" s="33" t="str">
        <f ca="1">IFERROR(__xludf.DUMMYFUNCTION("""COMPUTED_VALUE"""),"C202512221454137699")</f>
        <v>C202512221454137699</v>
      </c>
      <c r="J335" s="33" t="str">
        <f ca="1">IFERROR(__xludf.DUMMYFUNCTION("""COMPUTED_VALUE"""),"JESUS SANCHEZ SANCHEZ")</f>
        <v>JESUS SANCHEZ SANCHEZ</v>
      </c>
      <c r="K335" s="56">
        <f ca="1">IFERROR(__xludf.DUMMYFUNCTION("""COMPUTED_VALUE"""),2)</f>
        <v>2</v>
      </c>
      <c r="L335" s="62">
        <f ca="1">IFERROR(__xludf.DUMMYFUNCTION("""COMPUTED_VALUE"""),3604.55)</f>
        <v>3604.55</v>
      </c>
      <c r="M335" s="33" t="str">
        <f ca="1">IFERROR(__xludf.DUMMYFUNCTION("""COMPUTED_VALUE"""),"03 ORL")</f>
        <v>03 ORL</v>
      </c>
      <c r="N335" s="33" t="str">
        <f ca="1">IFERROR(__xludf.DUMMYFUNCTION("""COMPUTED_VALUE"""),"06 ORL")</f>
        <v>06 ORL</v>
      </c>
      <c r="O335" s="33" t="str">
        <f ca="1">IFERROR(__xludf.DUMMYFUNCTION("""COMPUTED_VALUE"""),"Dra. Falening Melissa de la Rosa Astacio")</f>
        <v>Dra. Falening Melissa de la Rosa Astacio</v>
      </c>
      <c r="P335" s="33" t="str">
        <f ca="1">IFERROR(__xludf.DUMMYFUNCTION("""COMPUTED_VALUE"""),"Maika Blázquez (Madrid)")</f>
        <v>Maika Blázquez (Madrid)</v>
      </c>
    </row>
    <row r="336" spans="2:16">
      <c r="B336" s="74">
        <f ca="1">IFERROR(__xludf.DUMMYFUNCTION("""COMPUTED_VALUE"""),2026)</f>
        <v>2026</v>
      </c>
      <c r="C336" s="56">
        <f ca="1">IFERROR(__xludf.DUMMYFUNCTION("""COMPUTED_VALUE"""),3)</f>
        <v>3</v>
      </c>
      <c r="D336" s="33" t="str">
        <f ca="1">IFERROR(__xludf.DUMMYFUNCTION("""COMPUTED_VALUE"""),"NO")</f>
        <v>NO</v>
      </c>
      <c r="E336" s="33" t="str">
        <f ca="1">IFERROR(__xludf.DUMMYFUNCTION("""COMPUTED_VALUE"""),"Alicante")</f>
        <v>Alicante</v>
      </c>
      <c r="F336" s="57">
        <f ca="1">IFERROR(__xludf.DUMMYFUNCTION("""COMPUTED_VALUE"""),46093)</f>
        <v>46093</v>
      </c>
      <c r="G336" s="57">
        <f ca="1">IFERROR(__xludf.DUMMYFUNCTION("""COMPUTED_VALUE"""),43605)</f>
        <v>43605</v>
      </c>
      <c r="H336" s="33" t="str">
        <f ca="1">IFERROR(__xludf.DUMMYFUNCTION("""COMPUTED_VALUE"""),"Alicante")</f>
        <v>Alicante</v>
      </c>
      <c r="I336" s="33" t="str">
        <f ca="1">IFERROR(__xludf.DUMMYFUNCTION("""COMPUTED_VALUE"""),"ALC-1920")</f>
        <v>ALC-1920</v>
      </c>
      <c r="J336" s="33" t="str">
        <f ca="1">IFERROR(__xludf.DUMMYFUNCTION("""COMPUTED_VALUE"""),"JOAN PEREZ LLEDO")</f>
        <v>JOAN PEREZ LLEDO</v>
      </c>
      <c r="K336" s="56">
        <f ca="1">IFERROR(__xludf.DUMMYFUNCTION("""COMPUTED_VALUE"""),2)</f>
        <v>2</v>
      </c>
      <c r="L336" s="62">
        <f ca="1">IFERROR(__xludf.DUMMYFUNCTION("""COMPUTED_VALUE"""),3631.82)</f>
        <v>3631.82</v>
      </c>
      <c r="M336" s="33" t="str">
        <f ca="1">IFERROR(__xludf.DUMMYFUNCTION("""COMPUTED_VALUE"""),"03 ORL")</f>
        <v>03 ORL</v>
      </c>
      <c r="N336" s="33" t="str">
        <f ca="1">IFERROR(__xludf.DUMMYFUNCTION("""COMPUTED_VALUE"""),"06 ORL")</f>
        <v>06 ORL</v>
      </c>
      <c r="O336" s="33" t="str">
        <f ca="1">IFERROR(__xludf.DUMMYFUNCTION("""COMPUTED_VALUE"""),"Dra, Pilar Beladiez Romero")</f>
        <v>Dra, Pilar Beladiez Romero</v>
      </c>
      <c r="P336" s="33" t="str">
        <f ca="1">IFERROR(__xludf.DUMMYFUNCTION("""COMPUTED_VALUE"""),"Iván Sánchez (Levante y Albacete)")</f>
        <v>Iván Sánchez (Levante y Albacete)</v>
      </c>
    </row>
    <row r="337" spans="2:16">
      <c r="B337" s="74">
        <f ca="1">IFERROR(__xludf.DUMMYFUNCTION("""COMPUTED_VALUE"""),2026)</f>
        <v>2026</v>
      </c>
      <c r="C337" s="56">
        <f ca="1">IFERROR(__xludf.DUMMYFUNCTION("""COMPUTED_VALUE"""),3)</f>
        <v>3</v>
      </c>
      <c r="D337" s="33" t="str">
        <f ca="1">IFERROR(__xludf.DUMMYFUNCTION("""COMPUTED_VALUE"""),"NO")</f>
        <v>NO</v>
      </c>
      <c r="E337" s="33" t="str">
        <f ca="1">IFERROR(__xludf.DUMMYFUNCTION("""COMPUTED_VALUE"""),"Almería")</f>
        <v>Almería</v>
      </c>
      <c r="F337" s="57">
        <f ca="1">IFERROR(__xludf.DUMMYFUNCTION("""COMPUTED_VALUE"""),46093)</f>
        <v>46093</v>
      </c>
      <c r="G337" s="57">
        <f ca="1">IFERROR(__xludf.DUMMYFUNCTION("""COMPUTED_VALUE"""),46079)</f>
        <v>46079</v>
      </c>
      <c r="H337" s="33" t="str">
        <f ca="1">IFERROR(__xludf.DUMMYFUNCTION("""COMPUTED_VALUE"""),"Almería")</f>
        <v>Almería</v>
      </c>
      <c r="I337" s="33" t="str">
        <f ca="1">IFERROR(__xludf.DUMMYFUNCTION("""COMPUTED_VALUE"""),"C202622611224941360")</f>
        <v>C202622611224941360</v>
      </c>
      <c r="J337" s="33" t="str">
        <f ca="1">IFERROR(__xludf.DUMMYFUNCTION("""COMPUTED_VALUE"""),"ANTONIA GONZALEZ HERNANDEZ")</f>
        <v>ANTONIA GONZALEZ HERNANDEZ</v>
      </c>
      <c r="K337" s="56">
        <f ca="1">IFERROR(__xludf.DUMMYFUNCTION("""COMPUTED_VALUE"""),2)</f>
        <v>2</v>
      </c>
      <c r="L337" s="62">
        <f ca="1">IFERROR(__xludf.DUMMYFUNCTION("""COMPUTED_VALUE"""),2718.18)</f>
        <v>2718.18</v>
      </c>
      <c r="M337" s="33" t="str">
        <f ca="1">IFERROR(__xludf.DUMMYFUNCTION("""COMPUTED_VALUE"""),"03 ORL")</f>
        <v>03 ORL</v>
      </c>
      <c r="N337" s="33" t="str">
        <f ca="1">IFERROR(__xludf.DUMMYFUNCTION("""COMPUTED_VALUE"""),"06 ORL")</f>
        <v>06 ORL</v>
      </c>
      <c r="O337" s="33" t="str">
        <f ca="1">IFERROR(__xludf.DUMMYFUNCTION("""COMPUTED_VALUE"""),"Dra, Elisheba Haro Hernández")</f>
        <v>Dra, Elisheba Haro Hernández</v>
      </c>
      <c r="P337" s="33" t="str">
        <f ca="1">IFERROR(__xludf.DUMMYFUNCTION("""COMPUTED_VALUE"""),"Ramon Ferrando(Valencia)")</f>
        <v>Ramon Ferrando(Valencia)</v>
      </c>
    </row>
    <row r="338" spans="2:16">
      <c r="B338" s="74">
        <f ca="1">IFERROR(__xludf.DUMMYFUNCTION("""COMPUTED_VALUE"""),2026)</f>
        <v>2026</v>
      </c>
      <c r="C338" s="56">
        <f ca="1">IFERROR(__xludf.DUMMYFUNCTION("""COMPUTED_VALUE"""),3)</f>
        <v>3</v>
      </c>
      <c r="D338" s="33" t="str">
        <f ca="1">IFERROR(__xludf.DUMMYFUNCTION("""COMPUTED_VALUE"""),"NO")</f>
        <v>NO</v>
      </c>
      <c r="E338" s="33" t="str">
        <f ca="1">IFERROR(__xludf.DUMMYFUNCTION("""COMPUTED_VALUE"""),"Badajoz")</f>
        <v>Badajoz</v>
      </c>
      <c r="F338" s="57">
        <f ca="1">IFERROR(__xludf.DUMMYFUNCTION("""COMPUTED_VALUE"""),46093)</f>
        <v>46093</v>
      </c>
      <c r="G338" s="57">
        <f ca="1">IFERROR(__xludf.DUMMYFUNCTION("""COMPUTED_VALUE"""),46050)</f>
        <v>46050</v>
      </c>
      <c r="H338" s="33" t="str">
        <f ca="1">IFERROR(__xludf.DUMMYFUNCTION("""COMPUTED_VALUE"""),"Badajoz")</f>
        <v>Badajoz</v>
      </c>
      <c r="I338" s="33" t="str">
        <f ca="1">IFERROR(__xludf.DUMMYFUNCTION("""COMPUTED_VALUE"""),"C202612812525992196")</f>
        <v>C202612812525992196</v>
      </c>
      <c r="J338" s="33" t="str">
        <f ca="1">IFERROR(__xludf.DUMMYFUNCTION("""COMPUTED_VALUE"""),"BELEN VAZQUEZ FALCON")</f>
        <v>BELEN VAZQUEZ FALCON</v>
      </c>
      <c r="K338" s="56">
        <f ca="1">IFERROR(__xludf.DUMMYFUNCTION("""COMPUTED_VALUE"""),2)</f>
        <v>2</v>
      </c>
      <c r="L338" s="62">
        <f ca="1">IFERROR(__xludf.DUMMYFUNCTION("""COMPUTED_VALUE"""),3181.82)</f>
        <v>3181.82</v>
      </c>
      <c r="M338" s="33" t="str">
        <f ca="1">IFERROR(__xludf.DUMMYFUNCTION("""COMPUTED_VALUE"""),"03 ORL")</f>
        <v>03 ORL</v>
      </c>
      <c r="N338" s="33" t="str">
        <f ca="1">IFERROR(__xludf.DUMMYFUNCTION("""COMPUTED_VALUE"""),"06 ORL")</f>
        <v>06 ORL</v>
      </c>
      <c r="O338" s="33" t="str">
        <f ca="1">IFERROR(__xludf.DUMMYFUNCTION("""COMPUTED_VALUE"""),"No recuerda ORL")</f>
        <v>No recuerda ORL</v>
      </c>
      <c r="P338" s="33" t="str">
        <f ca="1">IFERROR(__xludf.DUMMYFUNCTION("""COMPUTED_VALUE"""),"Luis Alberto Rodríguez (Andalucía y Badajoz)")</f>
        <v>Luis Alberto Rodríguez (Andalucía y Badajoz)</v>
      </c>
    </row>
    <row r="339" spans="2:16">
      <c r="B339" s="74">
        <f ca="1">IFERROR(__xludf.DUMMYFUNCTION("""COMPUTED_VALUE"""),2026)</f>
        <v>2026</v>
      </c>
      <c r="C339" s="56">
        <f ca="1">IFERROR(__xludf.DUMMYFUNCTION("""COMPUTED_VALUE"""),3)</f>
        <v>3</v>
      </c>
      <c r="D339" s="33" t="str">
        <f ca="1">IFERROR(__xludf.DUMMYFUNCTION("""COMPUTED_VALUE"""),"NO")</f>
        <v>NO</v>
      </c>
      <c r="E339" s="33" t="str">
        <f ca="1">IFERROR(__xludf.DUMMYFUNCTION("""COMPUTED_VALUE"""),"El Albir (Benidorm)")</f>
        <v>El Albir (Benidorm)</v>
      </c>
      <c r="F339" s="57">
        <f ca="1">IFERROR(__xludf.DUMMYFUNCTION("""COMPUTED_VALUE"""),46093)</f>
        <v>46093</v>
      </c>
      <c r="G339" s="57">
        <f ca="1">IFERROR(__xludf.DUMMYFUNCTION("""COMPUTED_VALUE"""),46037)</f>
        <v>46037</v>
      </c>
      <c r="H339" s="33" t="str">
        <f ca="1">IFERROR(__xludf.DUMMYFUNCTION("""COMPUTED_VALUE"""),"El Albir (Benidorm)")</f>
        <v>El Albir (Benidorm)</v>
      </c>
      <c r="I339" s="33" t="str">
        <f ca="1">IFERROR(__xludf.DUMMYFUNCTION("""COMPUTED_VALUE"""),"C202611512533720770")</f>
        <v>C202611512533720770</v>
      </c>
      <c r="J339" s="33" t="str">
        <f ca="1">IFERROR(__xludf.DUMMYFUNCTION("""COMPUTED_VALUE"""),"IVAN CVETANOV CVETANOV")</f>
        <v>IVAN CVETANOV CVETANOV</v>
      </c>
      <c r="K339" s="56">
        <f ca="1">IFERROR(__xludf.DUMMYFUNCTION("""COMPUTED_VALUE"""),2)</f>
        <v>2</v>
      </c>
      <c r="L339" s="62">
        <f ca="1">IFERROR(__xludf.DUMMYFUNCTION("""COMPUTED_VALUE"""),4136.36)</f>
        <v>4136.3599999999997</v>
      </c>
      <c r="M339" s="33" t="str">
        <f ca="1">IFERROR(__xludf.DUMMYFUNCTION("""COMPUTED_VALUE"""),"03 ORL")</f>
        <v>03 ORL</v>
      </c>
      <c r="N339" s="33" t="str">
        <f ca="1">IFERROR(__xludf.DUMMYFUNCTION("""COMPUTED_VALUE"""),"06 ORL")</f>
        <v>06 ORL</v>
      </c>
      <c r="O339" s="33" t="str">
        <f ca="1">IFERROR(__xludf.DUMMYFUNCTION("""COMPUTED_VALUE"""),"Dra, Isabel Polo Tomás")</f>
        <v>Dra, Isabel Polo Tomás</v>
      </c>
      <c r="P339" s="33" t="str">
        <f ca="1">IFERROR(__xludf.DUMMYFUNCTION("""COMPUTED_VALUE"""),"Ramon Ferrando(Valencia)")</f>
        <v>Ramon Ferrando(Valencia)</v>
      </c>
    </row>
    <row r="340" spans="2:16">
      <c r="B340" s="74">
        <f ca="1">IFERROR(__xludf.DUMMYFUNCTION("""COMPUTED_VALUE"""),2026)</f>
        <v>2026</v>
      </c>
      <c r="C340" s="56">
        <f ca="1">IFERROR(__xludf.DUMMYFUNCTION("""COMPUTED_VALUE"""),3)</f>
        <v>3</v>
      </c>
      <c r="D340" s="33" t="str">
        <f ca="1">IFERROR(__xludf.DUMMYFUNCTION("""COMPUTED_VALUE"""),"NO")</f>
        <v>NO</v>
      </c>
      <c r="E340" s="33" t="str">
        <f ca="1">IFERROR(__xludf.DUMMYFUNCTION("""COMPUTED_VALUE"""),"Fuenlabrada")</f>
        <v>Fuenlabrada</v>
      </c>
      <c r="F340" s="57">
        <f ca="1">IFERROR(__xludf.DUMMYFUNCTION("""COMPUTED_VALUE"""),46093)</f>
        <v>46093</v>
      </c>
      <c r="G340" s="57">
        <f ca="1">IFERROR(__xludf.DUMMYFUNCTION("""COMPUTED_VALUE"""),46056)</f>
        <v>46056</v>
      </c>
      <c r="H340" s="33" t="str">
        <f ca="1">IFERROR(__xludf.DUMMYFUNCTION("""COMPUTED_VALUE"""),"Fuenlabrada")</f>
        <v>Fuenlabrada</v>
      </c>
      <c r="I340" s="33" t="str">
        <f ca="1">IFERROR(__xludf.DUMMYFUNCTION("""COMPUTED_VALUE"""),"C20262316461416241")</f>
        <v>C20262316461416241</v>
      </c>
      <c r="J340" s="33" t="str">
        <f ca="1">IFERROR(__xludf.DUMMYFUNCTION("""COMPUTED_VALUE"""),"JESUS  LOPEZ ROMOJARO")</f>
        <v>JESUS  LOPEZ ROMOJARO</v>
      </c>
      <c r="K340" s="56">
        <f ca="1">IFERROR(__xludf.DUMMYFUNCTION("""COMPUTED_VALUE"""),2)</f>
        <v>2</v>
      </c>
      <c r="L340" s="62">
        <f ca="1">IFERROR(__xludf.DUMMYFUNCTION("""COMPUTED_VALUE"""),3450)</f>
        <v>3450</v>
      </c>
      <c r="M340" s="33" t="str">
        <f ca="1">IFERROR(__xludf.DUMMYFUNCTION("""COMPUTED_VALUE"""),"03 ORL")</f>
        <v>03 ORL</v>
      </c>
      <c r="N340" s="33" t="str">
        <f ca="1">IFERROR(__xludf.DUMMYFUNCTION("""COMPUTED_VALUE"""),"06 ORL")</f>
        <v>06 ORL</v>
      </c>
      <c r="O340" s="33" t="str">
        <f ca="1">IFERROR(__xludf.DUMMYFUNCTION("""COMPUTED_VALUE"""),"Dra, María Garrote Garrote")</f>
        <v>Dra, María Garrote Garrote</v>
      </c>
      <c r="P340" s="33" t="str">
        <f ca="1">IFERROR(__xludf.DUMMYFUNCTION("""COMPUTED_VALUE"""),"Maika Blázquez (Madrid)")</f>
        <v>Maika Blázquez (Madrid)</v>
      </c>
    </row>
    <row r="341" spans="2:16">
      <c r="B341" s="74">
        <f ca="1">IFERROR(__xludf.DUMMYFUNCTION("""COMPUTED_VALUE"""),2026)</f>
        <v>2026</v>
      </c>
      <c r="C341" s="56">
        <f ca="1">IFERROR(__xludf.DUMMYFUNCTION("""COMPUTED_VALUE"""),3)</f>
        <v>3</v>
      </c>
      <c r="D341" s="33" t="str">
        <f ca="1">IFERROR(__xludf.DUMMYFUNCTION("""COMPUTED_VALUE"""),"NO")</f>
        <v>NO</v>
      </c>
      <c r="E341" s="33" t="str">
        <f ca="1">IFERROR(__xludf.DUMMYFUNCTION("""COMPUTED_VALUE"""),"Leganés")</f>
        <v>Leganés</v>
      </c>
      <c r="F341" s="57">
        <f ca="1">IFERROR(__xludf.DUMMYFUNCTION("""COMPUTED_VALUE"""),46093)</f>
        <v>46093</v>
      </c>
      <c r="G341" s="57">
        <f ca="1">IFERROR(__xludf.DUMMYFUNCTION("""COMPUTED_VALUE"""),46055)</f>
        <v>46055</v>
      </c>
      <c r="H341" s="33" t="str">
        <f ca="1">IFERROR(__xludf.DUMMYFUNCTION("""COMPUTED_VALUE"""),"Leganés")</f>
        <v>Leganés</v>
      </c>
      <c r="I341" s="33" t="str">
        <f ca="1">IFERROR(__xludf.DUMMYFUNCTION("""COMPUTED_VALUE"""),"C202622164039316792")</f>
        <v>C202622164039316792</v>
      </c>
      <c r="J341" s="33" t="str">
        <f ca="1">IFERROR(__xludf.DUMMYFUNCTION("""COMPUTED_VALUE"""),"ROSARIO SUAREZ LLAMAS")</f>
        <v>ROSARIO SUAREZ LLAMAS</v>
      </c>
      <c r="K341" s="56">
        <f ca="1">IFERROR(__xludf.DUMMYFUNCTION("""COMPUTED_VALUE"""),2)</f>
        <v>2</v>
      </c>
      <c r="L341" s="62">
        <f ca="1">IFERROR(__xludf.DUMMYFUNCTION("""COMPUTED_VALUE"""),2718.18)</f>
        <v>2718.18</v>
      </c>
      <c r="M341" s="33" t="str">
        <f ca="1">IFERROR(__xludf.DUMMYFUNCTION("""COMPUTED_VALUE"""),"03 ORL")</f>
        <v>03 ORL</v>
      </c>
      <c r="N341" s="33" t="str">
        <f ca="1">IFERROR(__xludf.DUMMYFUNCTION("""COMPUTED_VALUE"""),"06 ORL")</f>
        <v>06 ORL</v>
      </c>
      <c r="O341" s="33" t="str">
        <f ca="1">IFERROR(__xludf.DUMMYFUNCTION("""COMPUTED_VALUE"""),"Dr, Jesús Ramos Fernández")</f>
        <v>Dr, Jesús Ramos Fernández</v>
      </c>
      <c r="P341" s="33" t="str">
        <f ca="1">IFERROR(__xludf.DUMMYFUNCTION("""COMPUTED_VALUE"""),"Maika Blázquez (Madrid)")</f>
        <v>Maika Blázquez (Madrid)</v>
      </c>
    </row>
    <row r="342" spans="2:16">
      <c r="B342" s="74">
        <f ca="1">IFERROR(__xludf.DUMMYFUNCTION("""COMPUTED_VALUE"""),2026)</f>
        <v>2026</v>
      </c>
      <c r="C342" s="56">
        <f ca="1">IFERROR(__xludf.DUMMYFUNCTION("""COMPUTED_VALUE"""),3)</f>
        <v>3</v>
      </c>
      <c r="D342" s="33" t="str">
        <f ca="1">IFERROR(__xludf.DUMMYFUNCTION("""COMPUTED_VALUE"""),"NO")</f>
        <v>NO</v>
      </c>
      <c r="E342" s="33" t="str">
        <f ca="1">IFERROR(__xludf.DUMMYFUNCTION("""COMPUTED_VALUE"""),"Leganés")</f>
        <v>Leganés</v>
      </c>
      <c r="F342" s="57">
        <f ca="1">IFERROR(__xludf.DUMMYFUNCTION("""COMPUTED_VALUE"""),46093)</f>
        <v>46093</v>
      </c>
      <c r="G342" s="57">
        <f ca="1">IFERROR(__xludf.DUMMYFUNCTION("""COMPUTED_VALUE"""),46063)</f>
        <v>46063</v>
      </c>
      <c r="H342" s="33" t="str">
        <f ca="1">IFERROR(__xludf.DUMMYFUNCTION("""COMPUTED_VALUE"""),"Leganés")</f>
        <v>Leganés</v>
      </c>
      <c r="I342" s="33" t="str">
        <f ca="1">IFERROR(__xludf.DUMMYFUNCTION("""COMPUTED_VALUE"""),"C202621016352397078")</f>
        <v>C202621016352397078</v>
      </c>
      <c r="J342" s="33" t="str">
        <f ca="1">IFERROR(__xludf.DUMMYFUNCTION("""COMPUTED_VALUE"""),"EUSTAQUIO MARTIN RODRIGUEZ")</f>
        <v>EUSTAQUIO MARTIN RODRIGUEZ</v>
      </c>
      <c r="K342" s="56">
        <f ca="1">IFERROR(__xludf.DUMMYFUNCTION("""COMPUTED_VALUE"""),1)</f>
        <v>1</v>
      </c>
      <c r="L342" s="62">
        <f ca="1">IFERROR(__xludf.DUMMYFUNCTION("""COMPUTED_VALUE"""),2071.82)</f>
        <v>2071.8200000000002</v>
      </c>
      <c r="M342" s="33" t="str">
        <f ca="1">IFERROR(__xludf.DUMMYFUNCTION("""COMPUTED_VALUE"""),"03 ORL")</f>
        <v>03 ORL</v>
      </c>
      <c r="N342" s="33" t="str">
        <f ca="1">IFERROR(__xludf.DUMMYFUNCTION("""COMPUTED_VALUE"""),"06 ORL")</f>
        <v>06 ORL</v>
      </c>
      <c r="O342" s="33" t="str">
        <f ca="1">IFERROR(__xludf.DUMMYFUNCTION("""COMPUTED_VALUE"""),"No recuerda ORL")</f>
        <v>No recuerda ORL</v>
      </c>
      <c r="P342" s="33" t="str">
        <f ca="1">IFERROR(__xludf.DUMMYFUNCTION("""COMPUTED_VALUE"""),"Maika Blázquez (Madrid)")</f>
        <v>Maika Blázquez (Madrid)</v>
      </c>
    </row>
    <row r="343" spans="2:16">
      <c r="B343" s="74">
        <f ca="1">IFERROR(__xludf.DUMMYFUNCTION("""COMPUTED_VALUE"""),2026)</f>
        <v>2026</v>
      </c>
      <c r="C343" s="56">
        <f ca="1">IFERROR(__xludf.DUMMYFUNCTION("""COMPUTED_VALUE"""),3)</f>
        <v>3</v>
      </c>
      <c r="D343" s="33" t="str">
        <f ca="1">IFERROR(__xludf.DUMMYFUNCTION("""COMPUTED_VALUE"""),"NO")</f>
        <v>NO</v>
      </c>
      <c r="E343" s="33" t="str">
        <f ca="1">IFERROR(__xludf.DUMMYFUNCTION("""COMPUTED_VALUE"""),"Madrid- La Oca")</f>
        <v>Madrid- La Oca</v>
      </c>
      <c r="F343" s="57">
        <f ca="1">IFERROR(__xludf.DUMMYFUNCTION("""COMPUTED_VALUE"""),46093)</f>
        <v>46093</v>
      </c>
      <c r="G343" s="57">
        <f ca="1">IFERROR(__xludf.DUMMYFUNCTION("""COMPUTED_VALUE"""),46069)</f>
        <v>46069</v>
      </c>
      <c r="H343" s="33" t="str">
        <f ca="1">IFERROR(__xludf.DUMMYFUNCTION("""COMPUTED_VALUE"""),"La Oca")</f>
        <v>La Oca</v>
      </c>
      <c r="I343" s="33" t="str">
        <f ca="1">IFERROR(__xludf.DUMMYFUNCTION("""COMPUTED_VALUE"""),"C20262161005416181")</f>
        <v>C20262161005416181</v>
      </c>
      <c r="J343" s="33" t="str">
        <f ca="1">IFERROR(__xludf.DUMMYFUNCTION("""COMPUTED_VALUE"""),"JOSEFA SANCHEZ LILLO")</f>
        <v>JOSEFA SANCHEZ LILLO</v>
      </c>
      <c r="K343" s="56">
        <f ca="1">IFERROR(__xludf.DUMMYFUNCTION("""COMPUTED_VALUE"""),2)</f>
        <v>2</v>
      </c>
      <c r="L343" s="62">
        <f ca="1">IFERROR(__xludf.DUMMYFUNCTION("""COMPUTED_VALUE"""),2718.18)</f>
        <v>2718.18</v>
      </c>
      <c r="M343" s="33" t="str">
        <f ca="1">IFERROR(__xludf.DUMMYFUNCTION("""COMPUTED_VALUE"""),"03 ORL")</f>
        <v>03 ORL</v>
      </c>
      <c r="N343" s="33" t="str">
        <f ca="1">IFERROR(__xludf.DUMMYFUNCTION("""COMPUTED_VALUE"""),"06 ORL")</f>
        <v>06 ORL</v>
      </c>
      <c r="O343" s="33" t="str">
        <f ca="1">IFERROR(__xludf.DUMMYFUNCTION("""COMPUTED_VALUE"""),"Dra, Inmaculada Sancho Martín")</f>
        <v>Dra, Inmaculada Sancho Martín</v>
      </c>
      <c r="P343" s="33" t="str">
        <f ca="1">IFERROR(__xludf.DUMMYFUNCTION("""COMPUTED_VALUE"""),"Maika Blázquez (Madrid)")</f>
        <v>Maika Blázquez (Madrid)</v>
      </c>
    </row>
    <row r="344" spans="2:16">
      <c r="B344" s="74">
        <f ca="1">IFERROR(__xludf.DUMMYFUNCTION("""COMPUTED_VALUE"""),2026)</f>
        <v>2026</v>
      </c>
      <c r="C344" s="56">
        <f ca="1">IFERROR(__xludf.DUMMYFUNCTION("""COMPUTED_VALUE"""),3)</f>
        <v>3</v>
      </c>
      <c r="D344" s="33" t="str">
        <f ca="1">IFERROR(__xludf.DUMMYFUNCTION("""COMPUTED_VALUE"""),"NO")</f>
        <v>NO</v>
      </c>
      <c r="E344" s="33" t="str">
        <f ca="1">IFERROR(__xludf.DUMMYFUNCTION("""COMPUTED_VALUE"""),"Ourense")</f>
        <v>Ourense</v>
      </c>
      <c r="F344" s="57">
        <f ca="1">IFERROR(__xludf.DUMMYFUNCTION("""COMPUTED_VALUE"""),46093)</f>
        <v>46093</v>
      </c>
      <c r="G344" s="57">
        <f ca="1">IFERROR(__xludf.DUMMYFUNCTION("""COMPUTED_VALUE"""),46045)</f>
        <v>46045</v>
      </c>
      <c r="H344" s="33" t="str">
        <f ca="1">IFERROR(__xludf.DUMMYFUNCTION("""COMPUTED_VALUE"""),"Orense")</f>
        <v>Orense</v>
      </c>
      <c r="I344" s="33" t="str">
        <f ca="1">IFERROR(__xludf.DUMMYFUNCTION("""COMPUTED_VALUE"""),"C202612394246602895")</f>
        <v>C202612394246602895</v>
      </c>
      <c r="J344" s="33" t="str">
        <f ca="1">IFERROR(__xludf.DUMMYFUNCTION("""COMPUTED_VALUE"""),"MANUEL ARIAS FERNANDEZ")</f>
        <v>MANUEL ARIAS FERNANDEZ</v>
      </c>
      <c r="K344" s="56">
        <f ca="1">IFERROR(__xludf.DUMMYFUNCTION("""COMPUTED_VALUE"""),2)</f>
        <v>2</v>
      </c>
      <c r="L344" s="62">
        <f ca="1">IFERROR(__xludf.DUMMYFUNCTION("""COMPUTED_VALUE"""),4112.5)</f>
        <v>4112.5</v>
      </c>
      <c r="M344" s="33" t="str">
        <f ca="1">IFERROR(__xludf.DUMMYFUNCTION("""COMPUTED_VALUE"""),"03 ORL")</f>
        <v>03 ORL</v>
      </c>
      <c r="N344" s="33" t="str">
        <f ca="1">IFERROR(__xludf.DUMMYFUNCTION("""COMPUTED_VALUE"""),"06 ORL")</f>
        <v>06 ORL</v>
      </c>
      <c r="O344" s="33" t="str">
        <f ca="1">IFERROR(__xludf.DUMMYFUNCTION("""COMPUTED_VALUE"""),"No recuerda ORL")</f>
        <v>No recuerda ORL</v>
      </c>
      <c r="P344" s="33" t="str">
        <f ca="1">IFERROR(__xludf.DUMMYFUNCTION("""COMPUTED_VALUE"""),"KiKo Ortega (Galicia)")</f>
        <v>KiKo Ortega (Galicia)</v>
      </c>
    </row>
    <row r="345" spans="2:16">
      <c r="B345" s="74">
        <f ca="1">IFERROR(__xludf.DUMMYFUNCTION("""COMPUTED_VALUE"""),2026)</f>
        <v>2026</v>
      </c>
      <c r="C345" s="56">
        <f ca="1">IFERROR(__xludf.DUMMYFUNCTION("""COMPUTED_VALUE"""),3)</f>
        <v>3</v>
      </c>
      <c r="D345" s="33" t="str">
        <f ca="1">IFERROR(__xludf.DUMMYFUNCTION("""COMPUTED_VALUE"""),"NO")</f>
        <v>NO</v>
      </c>
      <c r="E345" s="33" t="str">
        <f ca="1">IFERROR(__xludf.DUMMYFUNCTION("""COMPUTED_VALUE"""),"Torrejón de Ardoz")</f>
        <v>Torrejón de Ardoz</v>
      </c>
      <c r="F345" s="57">
        <f ca="1">IFERROR(__xludf.DUMMYFUNCTION("""COMPUTED_VALUE"""),46093)</f>
        <v>46093</v>
      </c>
      <c r="G345" s="57">
        <f ca="1">IFERROR(__xludf.DUMMYFUNCTION("""COMPUTED_VALUE"""),45993)</f>
        <v>45993</v>
      </c>
      <c r="H345" s="33" t="str">
        <f ca="1">IFERROR(__xludf.DUMMYFUNCTION("""COMPUTED_VALUE"""),"Torrejón")</f>
        <v>Torrejón</v>
      </c>
      <c r="I345" s="33" t="str">
        <f ca="1">IFERROR(__xludf.DUMMYFUNCTION("""COMPUTED_VALUE"""),"C202512292241175146")</f>
        <v>C202512292241175146</v>
      </c>
      <c r="J345" s="33" t="str">
        <f ca="1">IFERROR(__xludf.DUMMYFUNCTION("""COMPUTED_VALUE"""),"MARIA ISABEL BURGOS GUERRERO")</f>
        <v>MARIA ISABEL BURGOS GUERRERO</v>
      </c>
      <c r="K345" s="56">
        <f ca="1">IFERROR(__xludf.DUMMYFUNCTION("""COMPUTED_VALUE"""),1)</f>
        <v>1</v>
      </c>
      <c r="L345" s="62">
        <f ca="1">IFERROR(__xludf.DUMMYFUNCTION("""COMPUTED_VALUE"""),2481.82)</f>
        <v>2481.8200000000002</v>
      </c>
      <c r="M345" s="33" t="str">
        <f ca="1">IFERROR(__xludf.DUMMYFUNCTION("""COMPUTED_VALUE"""),"03 ORL")</f>
        <v>03 ORL</v>
      </c>
      <c r="N345" s="33" t="str">
        <f ca="1">IFERROR(__xludf.DUMMYFUNCTION("""COMPUTED_VALUE"""),"06 ORL")</f>
        <v>06 ORL</v>
      </c>
      <c r="O345" s="33" t="str">
        <f ca="1">IFERROR(__xludf.DUMMYFUNCTION("""COMPUTED_VALUE"""),"Dra, Marta Abad Pascual")</f>
        <v>Dra, Marta Abad Pascual</v>
      </c>
      <c r="P345" s="33" t="str">
        <f ca="1">IFERROR(__xludf.DUMMYFUNCTION("""COMPUTED_VALUE"""),"Maika Blázquez (Madrid)")</f>
        <v>Maika Blázquez (Madrid)</v>
      </c>
    </row>
    <row r="346" spans="2:16">
      <c r="B346" s="74">
        <f ca="1">IFERROR(__xludf.DUMMYFUNCTION("""COMPUTED_VALUE"""),2026)</f>
        <v>2026</v>
      </c>
      <c r="C346" s="56">
        <f ca="1">IFERROR(__xludf.DUMMYFUNCTION("""COMPUTED_VALUE"""),3)</f>
        <v>3</v>
      </c>
      <c r="D346" s="33" t="str">
        <f ca="1">IFERROR(__xludf.DUMMYFUNCTION("""COMPUTED_VALUE"""),"NO")</f>
        <v>NO</v>
      </c>
      <c r="E346" s="33" t="str">
        <f ca="1">IFERROR(__xludf.DUMMYFUNCTION("""COMPUTED_VALUE"""),"Valladolid")</f>
        <v>Valladolid</v>
      </c>
      <c r="F346" s="57">
        <f ca="1">IFERROR(__xludf.DUMMYFUNCTION("""COMPUTED_VALUE"""),46093)</f>
        <v>46093</v>
      </c>
      <c r="G346" s="57">
        <f ca="1">IFERROR(__xludf.DUMMYFUNCTION("""COMPUTED_VALUE"""),46049)</f>
        <v>46049</v>
      </c>
      <c r="H346" s="33" t="str">
        <f ca="1">IFERROR(__xludf.DUMMYFUNCTION("""COMPUTED_VALUE"""),"Valladolid")</f>
        <v>Valladolid</v>
      </c>
      <c r="I346" s="33" t="str">
        <f ca="1">IFERROR(__xludf.DUMMYFUNCTION("""COMPUTED_VALUE"""),"C202612711165063565")</f>
        <v>C202612711165063565</v>
      </c>
      <c r="J346" s="33" t="str">
        <f ca="1">IFERROR(__xludf.DUMMYFUNCTION("""COMPUTED_VALUE"""),"RAMIRO SANDONIS ZORITA")</f>
        <v>RAMIRO SANDONIS ZORITA</v>
      </c>
      <c r="K346" s="56">
        <f ca="1">IFERROR(__xludf.DUMMYFUNCTION("""COMPUTED_VALUE"""),2)</f>
        <v>2</v>
      </c>
      <c r="L346" s="62">
        <f ca="1">IFERROR(__xludf.DUMMYFUNCTION("""COMPUTED_VALUE"""),3977.27)</f>
        <v>3977.27</v>
      </c>
      <c r="M346" s="33" t="str">
        <f ca="1">IFERROR(__xludf.DUMMYFUNCTION("""COMPUTED_VALUE"""),"03 ORL")</f>
        <v>03 ORL</v>
      </c>
      <c r="N346" s="33" t="str">
        <f ca="1">IFERROR(__xludf.DUMMYFUNCTION("""COMPUTED_VALUE"""),"06 ORL")</f>
        <v>06 ORL</v>
      </c>
      <c r="O346" s="33" t="str">
        <f ca="1">IFERROR(__xludf.DUMMYFUNCTION("""COMPUTED_VALUE"""),"Dr, Carlos Miguel Salvador Martínez")</f>
        <v>Dr, Carlos Miguel Salvador Martínez</v>
      </c>
      <c r="P346" s="33" t="str">
        <f ca="1">IFERROR(__xludf.DUMMYFUNCTION("""COMPUTED_VALUE"""),"Alberto Moreno (Madrid)")</f>
        <v>Alberto Moreno (Madrid)</v>
      </c>
    </row>
    <row r="347" spans="2:16">
      <c r="B347" s="74">
        <f ca="1">IFERROR(__xludf.DUMMYFUNCTION("""COMPUTED_VALUE"""),2026)</f>
        <v>2026</v>
      </c>
      <c r="C347" s="56">
        <f ca="1">IFERROR(__xludf.DUMMYFUNCTION("""COMPUTED_VALUE"""),3)</f>
        <v>3</v>
      </c>
      <c r="D347" s="33" t="str">
        <f ca="1">IFERROR(__xludf.DUMMYFUNCTION("""COMPUTED_VALUE"""),"NO")</f>
        <v>NO</v>
      </c>
      <c r="E347" s="33" t="str">
        <f ca="1">IFERROR(__xludf.DUMMYFUNCTION("""COMPUTED_VALUE"""),"Zaragoza- León XIII")</f>
        <v>Zaragoza- León XIII</v>
      </c>
      <c r="F347" s="57">
        <f ca="1">IFERROR(__xludf.DUMMYFUNCTION("""COMPUTED_VALUE"""),46093)</f>
        <v>46093</v>
      </c>
      <c r="G347" s="57">
        <f ca="1">IFERROR(__xludf.DUMMYFUNCTION("""COMPUTED_VALUE"""),46063)</f>
        <v>46063</v>
      </c>
      <c r="H347" s="33" t="str">
        <f ca="1">IFERROR(__xludf.DUMMYFUNCTION("""COMPUTED_VALUE"""),"Zaragoza")</f>
        <v>Zaragoza</v>
      </c>
      <c r="I347" s="33" t="str">
        <f ca="1">IFERROR(__xludf.DUMMYFUNCTION("""COMPUTED_VALUE"""),"C202621015561480898")</f>
        <v>C202621015561480898</v>
      </c>
      <c r="J347" s="33" t="str">
        <f ca="1">IFERROR(__xludf.DUMMYFUNCTION("""COMPUTED_VALUE"""),"JOSÉ GARCÍA AMORÓS")</f>
        <v>JOSÉ GARCÍA AMORÓS</v>
      </c>
      <c r="K347" s="56">
        <f ca="1">IFERROR(__xludf.DUMMYFUNCTION("""COMPUTED_VALUE"""),2)</f>
        <v>2</v>
      </c>
      <c r="L347" s="62">
        <f ca="1">IFERROR(__xludf.DUMMYFUNCTION("""COMPUTED_VALUE"""),3627.27)</f>
        <v>3627.27</v>
      </c>
      <c r="M347" s="33" t="str">
        <f ca="1">IFERROR(__xludf.DUMMYFUNCTION("""COMPUTED_VALUE"""),"03 ORL")</f>
        <v>03 ORL</v>
      </c>
      <c r="N347" s="33" t="str">
        <f ca="1">IFERROR(__xludf.DUMMYFUNCTION("""COMPUTED_VALUE"""),"06 ORL")</f>
        <v>06 ORL</v>
      </c>
      <c r="O347" s="33" t="str">
        <f ca="1">IFERROR(__xludf.DUMMYFUNCTION("""COMPUTED_VALUE"""),"Dr, Jaime Leache Pueyo")</f>
        <v>Dr, Jaime Leache Pueyo</v>
      </c>
      <c r="P347" s="33" t="str">
        <f ca="1">IFERROR(__xludf.DUMMYFUNCTION("""COMPUTED_VALUE"""),"Ignacio Berdejo (Zaragoza)")</f>
        <v>Ignacio Berdejo (Zaragoza)</v>
      </c>
    </row>
    <row r="348" spans="2:16">
      <c r="B348" s="74">
        <f ca="1">IFERROR(__xludf.DUMMYFUNCTION("""COMPUTED_VALUE"""),2026)</f>
        <v>2026</v>
      </c>
      <c r="C348" s="56">
        <f ca="1">IFERROR(__xludf.DUMMYFUNCTION("""COMPUTED_VALUE"""),3)</f>
        <v>3</v>
      </c>
      <c r="D348" s="33" t="str">
        <f ca="1">IFERROR(__xludf.DUMMYFUNCTION("""COMPUTED_VALUE"""),"NO")</f>
        <v>NO</v>
      </c>
      <c r="E348" s="33" t="str">
        <f ca="1">IFERROR(__xludf.DUMMYFUNCTION("""COMPUTED_VALUE"""),"Fuenlabrada")</f>
        <v>Fuenlabrada</v>
      </c>
      <c r="F348" s="57">
        <f ca="1">IFERROR(__xludf.DUMMYFUNCTION("""COMPUTED_VALUE"""),46094)</f>
        <v>46094</v>
      </c>
      <c r="G348" s="57">
        <f ca="1">IFERROR(__xludf.DUMMYFUNCTION("""COMPUTED_VALUE"""),46063)</f>
        <v>46063</v>
      </c>
      <c r="H348" s="33" t="str">
        <f ca="1">IFERROR(__xludf.DUMMYFUNCTION("""COMPUTED_VALUE"""),"Fuenlabrada")</f>
        <v>Fuenlabrada</v>
      </c>
      <c r="I348" s="33" t="str">
        <f ca="1">IFERROR(__xludf.DUMMYFUNCTION("""COMPUTED_VALUE"""),"C202621011101747504")</f>
        <v>C202621011101747504</v>
      </c>
      <c r="J348" s="33" t="str">
        <f ca="1">IFERROR(__xludf.DUMMYFUNCTION("""COMPUTED_VALUE"""),"VICTORIANA GOMEZ DIAZ")</f>
        <v>VICTORIANA GOMEZ DIAZ</v>
      </c>
      <c r="K348" s="56">
        <f ca="1">IFERROR(__xludf.DUMMYFUNCTION("""COMPUTED_VALUE"""),2)</f>
        <v>2</v>
      </c>
      <c r="L348" s="62">
        <f ca="1">IFERROR(__xludf.DUMMYFUNCTION("""COMPUTED_VALUE"""),2718.19)</f>
        <v>2718.19</v>
      </c>
      <c r="M348" s="33" t="str">
        <f ca="1">IFERROR(__xludf.DUMMYFUNCTION("""COMPUTED_VALUE"""),"03 ORL")</f>
        <v>03 ORL</v>
      </c>
      <c r="N348" s="33" t="str">
        <f ca="1">IFERROR(__xludf.DUMMYFUNCTION("""COMPUTED_VALUE"""),"06 ORL")</f>
        <v>06 ORL</v>
      </c>
      <c r="O348" s="33" t="str">
        <f ca="1">IFERROR(__xludf.DUMMYFUNCTION("""COMPUTED_VALUE"""),"Dra, Elisabeth Amarillo Espitia")</f>
        <v>Dra, Elisabeth Amarillo Espitia</v>
      </c>
      <c r="P348" s="33" t="str">
        <f ca="1">IFERROR(__xludf.DUMMYFUNCTION("""COMPUTED_VALUE"""),"Maika Blázquez (Madrid)")</f>
        <v>Maika Blázquez (Madrid)</v>
      </c>
    </row>
    <row r="349" spans="2:16">
      <c r="B349" s="74">
        <f ca="1">IFERROR(__xludf.DUMMYFUNCTION("""COMPUTED_VALUE"""),2026)</f>
        <v>2026</v>
      </c>
      <c r="C349" s="56">
        <f ca="1">IFERROR(__xludf.DUMMYFUNCTION("""COMPUTED_VALUE"""),3)</f>
        <v>3</v>
      </c>
      <c r="D349" s="33" t="str">
        <f ca="1">IFERROR(__xludf.DUMMYFUNCTION("""COMPUTED_VALUE"""),"NO")</f>
        <v>NO</v>
      </c>
      <c r="E349" s="33" t="str">
        <f ca="1">IFERROR(__xludf.DUMMYFUNCTION("""COMPUTED_VALUE"""),"Cáceres")</f>
        <v>Cáceres</v>
      </c>
      <c r="F349" s="57">
        <f ca="1">IFERROR(__xludf.DUMMYFUNCTION("""COMPUTED_VALUE"""),46094)</f>
        <v>46094</v>
      </c>
      <c r="G349" s="57">
        <f ca="1">IFERROR(__xludf.DUMMYFUNCTION("""COMPUTED_VALUE"""),46073)</f>
        <v>46073</v>
      </c>
      <c r="H349" s="33" t="str">
        <f ca="1">IFERROR(__xludf.DUMMYFUNCTION("""COMPUTED_VALUE"""),"Cáceres")</f>
        <v>Cáceres</v>
      </c>
      <c r="I349" s="33" t="str">
        <f ca="1">IFERROR(__xludf.DUMMYFUNCTION("""COMPUTED_VALUE"""),"C202622011432399380")</f>
        <v>C202622011432399380</v>
      </c>
      <c r="J349" s="33" t="str">
        <f ca="1">IFERROR(__xludf.DUMMYFUNCTION("""COMPUTED_VALUE"""),"FRANCISCA MENA BERMEJO")</f>
        <v>FRANCISCA MENA BERMEJO</v>
      </c>
      <c r="K349" s="56">
        <f ca="1">IFERROR(__xludf.DUMMYFUNCTION("""COMPUTED_VALUE"""),2)</f>
        <v>2</v>
      </c>
      <c r="L349" s="62">
        <f ca="1">IFERROR(__xludf.DUMMYFUNCTION("""COMPUTED_VALUE"""),3345.45)</f>
        <v>3345.45</v>
      </c>
      <c r="M349" s="33" t="str">
        <f ca="1">IFERROR(__xludf.DUMMYFUNCTION("""COMPUTED_VALUE"""),"03 ORL")</f>
        <v>03 ORL</v>
      </c>
      <c r="N349" s="33" t="str">
        <f ca="1">IFERROR(__xludf.DUMMYFUNCTION("""COMPUTED_VALUE"""),"06 ORL")</f>
        <v>06 ORL</v>
      </c>
      <c r="O349" s="33" t="str">
        <f ca="1">IFERROR(__xludf.DUMMYFUNCTION("""COMPUTED_VALUE"""),"Dra, Marta García Jiménez")</f>
        <v>Dra, Marta García Jiménez</v>
      </c>
      <c r="P349" s="33" t="str">
        <f ca="1">IFERROR(__xludf.DUMMYFUNCTION("""COMPUTED_VALUE"""),"Lisandro Russian (Madrid, Cáceres, Toledo, Talavera y Logroño)")</f>
        <v>Lisandro Russian (Madrid, Cáceres, Toledo, Talavera y Logroño)</v>
      </c>
    </row>
    <row r="350" spans="2:16">
      <c r="B350" s="74">
        <f ca="1">IFERROR(__xludf.DUMMYFUNCTION("""COMPUTED_VALUE"""),2026)</f>
        <v>2026</v>
      </c>
      <c r="C350" s="56">
        <f ca="1">IFERROR(__xludf.DUMMYFUNCTION("""COMPUTED_VALUE"""),3)</f>
        <v>3</v>
      </c>
      <c r="D350" s="33" t="str">
        <f ca="1">IFERROR(__xludf.DUMMYFUNCTION("""COMPUTED_VALUE"""),"NO")</f>
        <v>NO</v>
      </c>
      <c r="E350" s="33" t="str">
        <f ca="1">IFERROR(__xludf.DUMMYFUNCTION("""COMPUTED_VALUE"""),"Fuenlabrada")</f>
        <v>Fuenlabrada</v>
      </c>
      <c r="F350" s="57">
        <f ca="1">IFERROR(__xludf.DUMMYFUNCTION("""COMPUTED_VALUE"""),46094)</f>
        <v>46094</v>
      </c>
      <c r="G350" s="57">
        <f ca="1">IFERROR(__xludf.DUMMYFUNCTION("""COMPUTED_VALUE"""),46031)</f>
        <v>46031</v>
      </c>
      <c r="H350" s="33" t="str">
        <f ca="1">IFERROR(__xludf.DUMMYFUNCTION("""COMPUTED_VALUE"""),"Fuenlabrada")</f>
        <v>Fuenlabrada</v>
      </c>
      <c r="I350" s="33" t="str">
        <f ca="1">IFERROR(__xludf.DUMMYFUNCTION("""COMPUTED_VALUE"""),"C20261995748626997")</f>
        <v>C20261995748626997</v>
      </c>
      <c r="J350" s="33" t="str">
        <f ca="1">IFERROR(__xludf.DUMMYFUNCTION("""COMPUTED_VALUE"""),"ALFREDO  ANGUERA TEJEDOR")</f>
        <v>ALFREDO  ANGUERA TEJEDOR</v>
      </c>
      <c r="K350" s="56">
        <f ca="1">IFERROR(__xludf.DUMMYFUNCTION("""COMPUTED_VALUE"""),2)</f>
        <v>2</v>
      </c>
      <c r="L350" s="62">
        <f ca="1">IFERROR(__xludf.DUMMYFUNCTION("""COMPUTED_VALUE"""),2718.18)</f>
        <v>2718.18</v>
      </c>
      <c r="M350" s="33" t="str">
        <f ca="1">IFERROR(__xludf.DUMMYFUNCTION("""COMPUTED_VALUE"""),"03 ORL")</f>
        <v>03 ORL</v>
      </c>
      <c r="N350" s="33" t="str">
        <f ca="1">IFERROR(__xludf.DUMMYFUNCTION("""COMPUTED_VALUE"""),"06 ORL")</f>
        <v>06 ORL</v>
      </c>
      <c r="O350" s="33" t="str">
        <f ca="1">IFERROR(__xludf.DUMMYFUNCTION("""COMPUTED_VALUE"""),"Dra, Paloma Martín-Aragón Martín")</f>
        <v>Dra, Paloma Martín-Aragón Martín</v>
      </c>
      <c r="P350" s="33" t="str">
        <f ca="1">IFERROR(__xludf.DUMMYFUNCTION("""COMPUTED_VALUE"""),"Maika Blázquez (Madrid)")</f>
        <v>Maika Blázquez (Madrid)</v>
      </c>
    </row>
    <row r="351" spans="2:16">
      <c r="B351" s="74">
        <f ca="1">IFERROR(__xludf.DUMMYFUNCTION("""COMPUTED_VALUE"""),2026)</f>
        <v>2026</v>
      </c>
      <c r="C351" s="56">
        <f ca="1">IFERROR(__xludf.DUMMYFUNCTION("""COMPUTED_VALUE"""),3)</f>
        <v>3</v>
      </c>
      <c r="D351" s="33" t="str">
        <f ca="1">IFERROR(__xludf.DUMMYFUNCTION("""COMPUTED_VALUE"""),"NO")</f>
        <v>NO</v>
      </c>
      <c r="E351" s="33" t="str">
        <f ca="1">IFERROR(__xludf.DUMMYFUNCTION("""COMPUTED_VALUE"""),"Badajoz")</f>
        <v>Badajoz</v>
      </c>
      <c r="F351" s="57">
        <f ca="1">IFERROR(__xludf.DUMMYFUNCTION("""COMPUTED_VALUE"""),46094)</f>
        <v>46094</v>
      </c>
      <c r="G351" s="57">
        <f ca="1">IFERROR(__xludf.DUMMYFUNCTION("""COMPUTED_VALUE"""),46063)</f>
        <v>46063</v>
      </c>
      <c r="H351" s="33" t="str">
        <f ca="1">IFERROR(__xludf.DUMMYFUNCTION("""COMPUTED_VALUE"""),"Badajoz")</f>
        <v>Badajoz</v>
      </c>
      <c r="I351" s="33" t="str">
        <f ca="1">IFERROR(__xludf.DUMMYFUNCTION("""COMPUTED_VALUE"""),"C202621017524846584")</f>
        <v>C202621017524846584</v>
      </c>
      <c r="J351" s="33" t="str">
        <f ca="1">IFERROR(__xludf.DUMMYFUNCTION("""COMPUTED_VALUE"""),"AGUSTINA  ROAS PLATA")</f>
        <v>AGUSTINA  ROAS PLATA</v>
      </c>
      <c r="K351" s="56">
        <f ca="1">IFERROR(__xludf.DUMMYFUNCTION("""COMPUTED_VALUE"""),2)</f>
        <v>2</v>
      </c>
      <c r="L351" s="62">
        <f ca="1">IFERROR(__xludf.DUMMYFUNCTION("""COMPUTED_VALUE"""),2909.09)</f>
        <v>2909.09</v>
      </c>
      <c r="M351" s="33" t="str">
        <f ca="1">IFERROR(__xludf.DUMMYFUNCTION("""COMPUTED_VALUE"""),"03 ORL")</f>
        <v>03 ORL</v>
      </c>
      <c r="N351" s="33" t="str">
        <f ca="1">IFERROR(__xludf.DUMMYFUNCTION("""COMPUTED_VALUE"""),"06 ORL")</f>
        <v>06 ORL</v>
      </c>
      <c r="O351" s="33" t="str">
        <f ca="1">IFERROR(__xludf.DUMMYFUNCTION("""COMPUTED_VALUE"""),"Dr. Isidoro Rubio Correa")</f>
        <v>Dr. Isidoro Rubio Correa</v>
      </c>
      <c r="P351" s="33" t="str">
        <f ca="1">IFERROR(__xludf.DUMMYFUNCTION("""COMPUTED_VALUE"""),"Luis Alberto Rodríguez (Andalucía y Badajoz)")</f>
        <v>Luis Alberto Rodríguez (Andalucía y Badajoz)</v>
      </c>
    </row>
    <row r="352" spans="2:16">
      <c r="B352" s="74">
        <f ca="1">IFERROR(__xludf.DUMMYFUNCTION("""COMPUTED_VALUE"""),2026)</f>
        <v>2026</v>
      </c>
      <c r="C352" s="56">
        <f ca="1">IFERROR(__xludf.DUMMYFUNCTION("""COMPUTED_VALUE"""),3)</f>
        <v>3</v>
      </c>
      <c r="D352" s="33" t="str">
        <f ca="1">IFERROR(__xludf.DUMMYFUNCTION("""COMPUTED_VALUE"""),"NO")</f>
        <v>NO</v>
      </c>
      <c r="E352" s="33" t="str">
        <f ca="1">IFERROR(__xludf.DUMMYFUNCTION("""COMPUTED_VALUE"""),"Orihuela")</f>
        <v>Orihuela</v>
      </c>
      <c r="F352" s="57">
        <f ca="1">IFERROR(__xludf.DUMMYFUNCTION("""COMPUTED_VALUE"""),46094)</f>
        <v>46094</v>
      </c>
      <c r="G352" s="57">
        <f ca="1">IFERROR(__xludf.DUMMYFUNCTION("""COMPUTED_VALUE"""),46064)</f>
        <v>46064</v>
      </c>
      <c r="H352" s="33" t="str">
        <f ca="1">IFERROR(__xludf.DUMMYFUNCTION("""COMPUTED_VALUE"""),"La Zenia")</f>
        <v>La Zenia</v>
      </c>
      <c r="I352" s="33" t="str">
        <f ca="1">IFERROR(__xludf.DUMMYFUNCTION("""COMPUTED_VALUE"""),"C202621111234619933")</f>
        <v>C202621111234619933</v>
      </c>
      <c r="J352" s="33" t="str">
        <f ca="1">IFERROR(__xludf.DUMMYFUNCTION("""COMPUTED_VALUE"""),"TREVOR HOWARD BYLES")</f>
        <v>TREVOR HOWARD BYLES</v>
      </c>
      <c r="K352" s="56">
        <f ca="1">IFERROR(__xludf.DUMMYFUNCTION("""COMPUTED_VALUE"""),2)</f>
        <v>2</v>
      </c>
      <c r="L352" s="62">
        <f ca="1">IFERROR(__xludf.DUMMYFUNCTION("""COMPUTED_VALUE"""),2718.18)</f>
        <v>2718.18</v>
      </c>
      <c r="M352" s="33" t="str">
        <f ca="1">IFERROR(__xludf.DUMMYFUNCTION("""COMPUTED_VALUE"""),"03 ORL")</f>
        <v>03 ORL</v>
      </c>
      <c r="N352" s="33" t="str">
        <f ca="1">IFERROR(__xludf.DUMMYFUNCTION("""COMPUTED_VALUE"""),"06 ORL")</f>
        <v>06 ORL</v>
      </c>
      <c r="O352" s="33" t="str">
        <f ca="1">IFERROR(__xludf.DUMMYFUNCTION("""COMPUTED_VALUE"""),"Dr, José García Morillas")</f>
        <v>Dr, José García Morillas</v>
      </c>
      <c r="P352" s="33" t="str">
        <f ca="1">IFERROR(__xludf.DUMMYFUNCTION("""COMPUTED_VALUE"""),"Iván Sánchez (Levante y Albacete)")</f>
        <v>Iván Sánchez (Levante y Albacete)</v>
      </c>
    </row>
    <row r="353" spans="2:16">
      <c r="B353" s="74">
        <f ca="1">IFERROR(__xludf.DUMMYFUNCTION("""COMPUTED_VALUE"""),2026)</f>
        <v>2026</v>
      </c>
      <c r="C353" s="56">
        <f ca="1">IFERROR(__xludf.DUMMYFUNCTION("""COMPUTED_VALUE"""),3)</f>
        <v>3</v>
      </c>
      <c r="D353" s="33" t="str">
        <f ca="1">IFERROR(__xludf.DUMMYFUNCTION("""COMPUTED_VALUE"""),"NO")</f>
        <v>NO</v>
      </c>
      <c r="E353" s="33" t="str">
        <f ca="1">IFERROR(__xludf.DUMMYFUNCTION("""COMPUTED_VALUE"""),"Leganés")</f>
        <v>Leganés</v>
      </c>
      <c r="F353" s="57">
        <f ca="1">IFERROR(__xludf.DUMMYFUNCTION("""COMPUTED_VALUE"""),46094)</f>
        <v>46094</v>
      </c>
      <c r="G353" s="57">
        <f ca="1">IFERROR(__xludf.DUMMYFUNCTION("""COMPUTED_VALUE"""),46057)</f>
        <v>46057</v>
      </c>
      <c r="H353" s="33" t="str">
        <f ca="1">IFERROR(__xludf.DUMMYFUNCTION("""COMPUTED_VALUE"""),"Leganés")</f>
        <v>Leganés</v>
      </c>
      <c r="I353" s="33" t="str">
        <f ca="1">IFERROR(__xludf.DUMMYFUNCTION("""COMPUTED_VALUE"""),"C202624102735834323")</f>
        <v>C202624102735834323</v>
      </c>
      <c r="J353" s="33" t="str">
        <f ca="1">IFERROR(__xludf.DUMMYFUNCTION("""COMPUTED_VALUE"""),"JACINTO AJENJO BARBADO")</f>
        <v>JACINTO AJENJO BARBADO</v>
      </c>
      <c r="K353" s="56">
        <f ca="1">IFERROR(__xludf.DUMMYFUNCTION("""COMPUTED_VALUE"""),2)</f>
        <v>2</v>
      </c>
      <c r="L353" s="62">
        <f ca="1">IFERROR(__xludf.DUMMYFUNCTION("""COMPUTED_VALUE"""),2718.18)</f>
        <v>2718.18</v>
      </c>
      <c r="M353" s="33" t="str">
        <f ca="1">IFERROR(__xludf.DUMMYFUNCTION("""COMPUTED_VALUE"""),"03 ORL")</f>
        <v>03 ORL</v>
      </c>
      <c r="N353" s="33" t="str">
        <f ca="1">IFERROR(__xludf.DUMMYFUNCTION("""COMPUTED_VALUE"""),"06 ORL")</f>
        <v>06 ORL</v>
      </c>
      <c r="O353" s="33" t="str">
        <f ca="1">IFERROR(__xludf.DUMMYFUNCTION("""COMPUTED_VALUE"""),"No recuerda ORL")</f>
        <v>No recuerda ORL</v>
      </c>
      <c r="P353" s="33" t="str">
        <f ca="1">IFERROR(__xludf.DUMMYFUNCTION("""COMPUTED_VALUE"""),"Maika Blázquez (Madrid)")</f>
        <v>Maika Blázquez (Madrid)</v>
      </c>
    </row>
    <row r="354" spans="2:16">
      <c r="B354" s="74">
        <f ca="1">IFERROR(__xludf.DUMMYFUNCTION("""COMPUTED_VALUE"""),2026)</f>
        <v>2026</v>
      </c>
      <c r="C354" s="56">
        <f ca="1">IFERROR(__xludf.DUMMYFUNCTION("""COMPUTED_VALUE"""),3)</f>
        <v>3</v>
      </c>
      <c r="D354" s="33" t="str">
        <f ca="1">IFERROR(__xludf.DUMMYFUNCTION("""COMPUTED_VALUE"""),"NO")</f>
        <v>NO</v>
      </c>
      <c r="E354" s="33" t="str">
        <f ca="1">IFERROR(__xludf.DUMMYFUNCTION("""COMPUTED_VALUE"""),"Alicante")</f>
        <v>Alicante</v>
      </c>
      <c r="F354" s="57">
        <f ca="1">IFERROR(__xludf.DUMMYFUNCTION("""COMPUTED_VALUE"""),46094)</f>
        <v>46094</v>
      </c>
      <c r="G354" s="57">
        <f ca="1">IFERROR(__xludf.DUMMYFUNCTION("""COMPUTED_VALUE"""),45667)</f>
        <v>45667</v>
      </c>
      <c r="H354" s="33" t="str">
        <f ca="1">IFERROR(__xludf.DUMMYFUNCTION("""COMPUTED_VALUE"""),"Alicante")</f>
        <v>Alicante</v>
      </c>
      <c r="I354" s="33" t="str">
        <f ca="1">IFERROR(__xludf.DUMMYFUNCTION("""COMPUTED_VALUE"""),"C2025128164031616")</f>
        <v>C2025128164031616</v>
      </c>
      <c r="J354" s="33" t="str">
        <f ca="1">IFERROR(__xludf.DUMMYFUNCTION("""COMPUTED_VALUE"""),"YANA BRUNEEL")</f>
        <v>YANA BRUNEEL</v>
      </c>
      <c r="K354" s="56">
        <f ca="1">IFERROR(__xludf.DUMMYFUNCTION("""COMPUTED_VALUE"""),2)</f>
        <v>2</v>
      </c>
      <c r="L354" s="62">
        <f ca="1">IFERROR(__xludf.DUMMYFUNCTION("""COMPUTED_VALUE"""),2718.18)</f>
        <v>2718.18</v>
      </c>
      <c r="M354" s="33" t="str">
        <f ca="1">IFERROR(__xludf.DUMMYFUNCTION("""COMPUTED_VALUE"""),"03 ORL")</f>
        <v>03 ORL</v>
      </c>
      <c r="N354" s="33" t="str">
        <f ca="1">IFERROR(__xludf.DUMMYFUNCTION("""COMPUTED_VALUE"""),"06 ORL")</f>
        <v>06 ORL</v>
      </c>
      <c r="O354" s="33" t="str">
        <f ca="1">IFERROR(__xludf.DUMMYFUNCTION("""COMPUTED_VALUE"""),"Dra, Isabel Menaches Guardiola")</f>
        <v>Dra, Isabel Menaches Guardiola</v>
      </c>
      <c r="P354" s="33" t="str">
        <f ca="1">IFERROR(__xludf.DUMMYFUNCTION("""COMPUTED_VALUE"""),"Iván Sánchez (Levante y Albacete)")</f>
        <v>Iván Sánchez (Levante y Albacete)</v>
      </c>
    </row>
    <row r="355" spans="2:16">
      <c r="B355" s="74">
        <f ca="1">IFERROR(__xludf.DUMMYFUNCTION("""COMPUTED_VALUE"""),2026)</f>
        <v>2026</v>
      </c>
      <c r="C355" s="56">
        <f ca="1">IFERROR(__xludf.DUMMYFUNCTION("""COMPUTED_VALUE"""),3)</f>
        <v>3</v>
      </c>
      <c r="D355" s="33" t="str">
        <f ca="1">IFERROR(__xludf.DUMMYFUNCTION("""COMPUTED_VALUE"""),"NO")</f>
        <v>NO</v>
      </c>
      <c r="E355" s="33" t="str">
        <f ca="1">IFERROR(__xludf.DUMMYFUNCTION("""COMPUTED_VALUE"""),"Sevilla- Montoto")</f>
        <v>Sevilla- Montoto</v>
      </c>
      <c r="F355" s="57">
        <f ca="1">IFERROR(__xludf.DUMMYFUNCTION("""COMPUTED_VALUE"""),46094)</f>
        <v>46094</v>
      </c>
      <c r="G355" s="57">
        <f ca="1">IFERROR(__xludf.DUMMYFUNCTION("""COMPUTED_VALUE"""),46063)</f>
        <v>46063</v>
      </c>
      <c r="H355" s="33" t="str">
        <f ca="1">IFERROR(__xludf.DUMMYFUNCTION("""COMPUTED_VALUE"""),"Montoto")</f>
        <v>Montoto</v>
      </c>
      <c r="I355" s="33" t="str">
        <f ca="1">IFERROR(__xludf.DUMMYFUNCTION("""COMPUTED_VALUE"""),"C202621011441871135")</f>
        <v>C202621011441871135</v>
      </c>
      <c r="J355" s="33" t="str">
        <f ca="1">IFERROR(__xludf.DUMMYFUNCTION("""COMPUTED_VALUE"""),"NIDIA ROSA MUÑOZ BEDOLLA")</f>
        <v>NIDIA ROSA MUÑOZ BEDOLLA</v>
      </c>
      <c r="K355" s="56">
        <f ca="1">IFERROR(__xludf.DUMMYFUNCTION("""COMPUTED_VALUE"""),2)</f>
        <v>2</v>
      </c>
      <c r="L355" s="62">
        <f ca="1">IFERROR(__xludf.DUMMYFUNCTION("""COMPUTED_VALUE"""),2581.82)</f>
        <v>2581.8200000000002</v>
      </c>
      <c r="M355" s="33" t="str">
        <f ca="1">IFERROR(__xludf.DUMMYFUNCTION("""COMPUTED_VALUE"""),"03 ORL")</f>
        <v>03 ORL</v>
      </c>
      <c r="N355" s="33" t="str">
        <f ca="1">IFERROR(__xludf.DUMMYFUNCTION("""COMPUTED_VALUE"""),"06 ORL")</f>
        <v>06 ORL</v>
      </c>
      <c r="O355" s="33" t="str">
        <f ca="1">IFERROR(__xludf.DUMMYFUNCTION("""COMPUTED_VALUE"""),"Dr, Juan Pedro Benaixa")</f>
        <v>Dr, Juan Pedro Benaixa</v>
      </c>
      <c r="P355" s="33" t="str">
        <f ca="1">IFERROR(__xludf.DUMMYFUNCTION("""COMPUTED_VALUE"""),"Luis Alberto Rodríguez (Andalucía y Badajoz)")</f>
        <v>Luis Alberto Rodríguez (Andalucía y Badajoz)</v>
      </c>
    </row>
    <row r="356" spans="2:16">
      <c r="B356" s="74">
        <f ca="1">IFERROR(__xludf.DUMMYFUNCTION("""COMPUTED_VALUE"""),2026)</f>
        <v>2026</v>
      </c>
      <c r="C356" s="56">
        <f ca="1">IFERROR(__xludf.DUMMYFUNCTION("""COMPUTED_VALUE"""),3)</f>
        <v>3</v>
      </c>
      <c r="D356" s="33" t="str">
        <f ca="1">IFERROR(__xludf.DUMMYFUNCTION("""COMPUTED_VALUE"""),"NO")</f>
        <v>NO</v>
      </c>
      <c r="E356" s="33" t="str">
        <f ca="1">IFERROR(__xludf.DUMMYFUNCTION("""COMPUTED_VALUE"""),"Valencia- Parra")</f>
        <v>Valencia- Parra</v>
      </c>
      <c r="F356" s="57">
        <f ca="1">IFERROR(__xludf.DUMMYFUNCTION("""COMPUTED_VALUE"""),46094)</f>
        <v>46094</v>
      </c>
      <c r="G356" s="57">
        <f ca="1">IFERROR(__xludf.DUMMYFUNCTION("""COMPUTED_VALUE"""),46052)</f>
        <v>46052</v>
      </c>
      <c r="H356" s="33" t="str">
        <f ca="1">IFERROR(__xludf.DUMMYFUNCTION("""COMPUTED_VALUE"""),"Valencia- Parra")</f>
        <v>Valencia- Parra</v>
      </c>
      <c r="I356" s="33" t="str">
        <f ca="1">IFERROR(__xludf.DUMMYFUNCTION("""COMPUTED_VALUE"""),"C20261308590460009")</f>
        <v>C20261308590460009</v>
      </c>
      <c r="J356" s="33" t="str">
        <f ca="1">IFERROR(__xludf.DUMMYFUNCTION("""COMPUTED_VALUE"""),"VICENTE REAL BENLLOCH")</f>
        <v>VICENTE REAL BENLLOCH</v>
      </c>
      <c r="K356" s="56">
        <f ca="1">IFERROR(__xludf.DUMMYFUNCTION("""COMPUTED_VALUE"""),2)</f>
        <v>2</v>
      </c>
      <c r="L356" s="62">
        <f ca="1">IFERROR(__xludf.DUMMYFUNCTION("""COMPUTED_VALUE"""),4136.36)</f>
        <v>4136.3599999999997</v>
      </c>
      <c r="M356" s="33" t="str">
        <f ca="1">IFERROR(__xludf.DUMMYFUNCTION("""COMPUTED_VALUE"""),"03 ORL")</f>
        <v>03 ORL</v>
      </c>
      <c r="N356" s="33" t="str">
        <f ca="1">IFERROR(__xludf.DUMMYFUNCTION("""COMPUTED_VALUE"""),"06 ORL")</f>
        <v>06 ORL</v>
      </c>
      <c r="O356" s="33" t="str">
        <f ca="1">IFERROR(__xludf.DUMMYFUNCTION("""COMPUTED_VALUE"""),"Dra, Fe Rubio Escolano")</f>
        <v>Dra, Fe Rubio Escolano</v>
      </c>
      <c r="P356" s="33" t="str">
        <f ca="1">IFERROR(__xludf.DUMMYFUNCTION("""COMPUTED_VALUE"""),"Ramon Ferrando(Valencia)")</f>
        <v>Ramon Ferrando(Valencia)</v>
      </c>
    </row>
    <row r="357" spans="2:16">
      <c r="B357" s="74">
        <f ca="1">IFERROR(__xludf.DUMMYFUNCTION("""COMPUTED_VALUE"""),2026)</f>
        <v>2026</v>
      </c>
      <c r="C357" s="56">
        <f ca="1">IFERROR(__xludf.DUMMYFUNCTION("""COMPUTED_VALUE"""),3)</f>
        <v>3</v>
      </c>
      <c r="D357" s="33" t="str">
        <f ca="1">IFERROR(__xludf.DUMMYFUNCTION("""COMPUTED_VALUE"""),"NO")</f>
        <v>NO</v>
      </c>
      <c r="E357" s="33" t="str">
        <f ca="1">IFERROR(__xludf.DUMMYFUNCTION("""COMPUTED_VALUE"""),"Móstoles")</f>
        <v>Móstoles</v>
      </c>
      <c r="F357" s="57">
        <f ca="1">IFERROR(__xludf.DUMMYFUNCTION("""COMPUTED_VALUE"""),46097)</f>
        <v>46097</v>
      </c>
      <c r="G357" s="57">
        <f ca="1">IFERROR(__xludf.DUMMYFUNCTION("""COMPUTED_VALUE"""),46063)</f>
        <v>46063</v>
      </c>
      <c r="H357" s="33" t="str">
        <f ca="1">IFERROR(__xludf.DUMMYFUNCTION("""COMPUTED_VALUE"""),"Móstoles")</f>
        <v>Móstoles</v>
      </c>
      <c r="I357" s="33" t="str">
        <f ca="1">IFERROR(__xludf.DUMMYFUNCTION("""COMPUTED_VALUE"""),"C202621016145893070")</f>
        <v>C202621016145893070</v>
      </c>
      <c r="J357" s="33" t="str">
        <f ca="1">IFERROR(__xludf.DUMMYFUNCTION("""COMPUTED_VALUE"""),"ALEXANDER RINCON OCAMPO")</f>
        <v>ALEXANDER RINCON OCAMPO</v>
      </c>
      <c r="K357" s="56">
        <f ca="1">IFERROR(__xludf.DUMMYFUNCTION("""COMPUTED_VALUE"""),2)</f>
        <v>2</v>
      </c>
      <c r="L357" s="62">
        <f ca="1">IFERROR(__xludf.DUMMYFUNCTION("""COMPUTED_VALUE"""),2718.18)</f>
        <v>2718.18</v>
      </c>
      <c r="M357" s="33" t="str">
        <f ca="1">IFERROR(__xludf.DUMMYFUNCTION("""COMPUTED_VALUE"""),"01 MARKETING ON LINE")</f>
        <v>01 MARKETING ON LINE</v>
      </c>
      <c r="N357" s="33" t="str">
        <f ca="1">IFERROR(__xludf.DUMMYFUNCTION("""COMPUTED_VALUE"""),"01 WEB AUDICOST")</f>
        <v>01 WEB AUDICOST</v>
      </c>
      <c r="O357" s="33" t="str">
        <f ca="1">IFERROR(__xludf.DUMMYFUNCTION("""COMPUTED_VALUE"""),"Dr, Víctor José González Arias")</f>
        <v>Dr, Víctor José González Arias</v>
      </c>
      <c r="P357" s="33" t="str">
        <f ca="1">IFERROR(__xludf.DUMMYFUNCTION("""COMPUTED_VALUE"""),"Maika Blázquez (Madrid)")</f>
        <v>Maika Blázquez (Madrid)</v>
      </c>
    </row>
    <row r="358" spans="2:16">
      <c r="B358" s="74">
        <f ca="1">IFERROR(__xludf.DUMMYFUNCTION("""COMPUTED_VALUE"""),2026)</f>
        <v>2026</v>
      </c>
      <c r="C358" s="56">
        <f ca="1">IFERROR(__xludf.DUMMYFUNCTION("""COMPUTED_VALUE"""),3)</f>
        <v>3</v>
      </c>
      <c r="D358" s="33" t="str">
        <f ca="1">IFERROR(__xludf.DUMMYFUNCTION("""COMPUTED_VALUE"""),"NO")</f>
        <v>NO</v>
      </c>
      <c r="E358" s="33" t="str">
        <f ca="1">IFERROR(__xludf.DUMMYFUNCTION("""COMPUTED_VALUE"""),"San Javier")</f>
        <v>San Javier</v>
      </c>
      <c r="F358" s="57">
        <f ca="1">IFERROR(__xludf.DUMMYFUNCTION("""COMPUTED_VALUE"""),46097)</f>
        <v>46097</v>
      </c>
      <c r="G358" s="57">
        <f ca="1">IFERROR(__xludf.DUMMYFUNCTION("""COMPUTED_VALUE"""),46051)</f>
        <v>46051</v>
      </c>
      <c r="H358" s="33" t="str">
        <f ca="1">IFERROR(__xludf.DUMMYFUNCTION("""COMPUTED_VALUE"""),"San Javier")</f>
        <v>San Javier</v>
      </c>
      <c r="I358" s="33" t="str">
        <f ca="1">IFERROR(__xludf.DUMMYFUNCTION("""COMPUTED_VALUE"""),"C202612993357512770")</f>
        <v>C202612993357512770</v>
      </c>
      <c r="J358" s="33" t="str">
        <f ca="1">IFERROR(__xludf.DUMMYFUNCTION("""COMPUTED_VALUE"""),"CARMEN FERNANDEZ GURRICHARRI")</f>
        <v>CARMEN FERNANDEZ GURRICHARRI</v>
      </c>
      <c r="K358" s="56">
        <f ca="1">IFERROR(__xludf.DUMMYFUNCTION("""COMPUTED_VALUE"""),2)</f>
        <v>2</v>
      </c>
      <c r="L358" s="62">
        <f ca="1">IFERROR(__xludf.DUMMYFUNCTION("""COMPUTED_VALUE"""),4136.36)</f>
        <v>4136.3599999999997</v>
      </c>
      <c r="M358" s="33" t="str">
        <f ca="1">IFERROR(__xludf.DUMMYFUNCTION("""COMPUTED_VALUE"""),"03 ORL")</f>
        <v>03 ORL</v>
      </c>
      <c r="N358" s="33" t="str">
        <f ca="1">IFERROR(__xludf.DUMMYFUNCTION("""COMPUTED_VALUE"""),"06 ORL")</f>
        <v>06 ORL</v>
      </c>
      <c r="O358" s="33" t="str">
        <f ca="1">IFERROR(__xludf.DUMMYFUNCTION("""COMPUTED_VALUE"""),"Dr, Antonio Galindo Fernández")</f>
        <v>Dr, Antonio Galindo Fernández</v>
      </c>
      <c r="P358" s="33" t="str">
        <f ca="1">IFERROR(__xludf.DUMMYFUNCTION("""COMPUTED_VALUE"""),"Iván Sánchez (Levante y Albacete)")</f>
        <v>Iván Sánchez (Levante y Albacete)</v>
      </c>
    </row>
    <row r="359" spans="2:16">
      <c r="B359" s="74">
        <f ca="1">IFERROR(__xludf.DUMMYFUNCTION("""COMPUTED_VALUE"""),2026)</f>
        <v>2026</v>
      </c>
      <c r="C359" s="56">
        <f ca="1">IFERROR(__xludf.DUMMYFUNCTION("""COMPUTED_VALUE"""),3)</f>
        <v>3</v>
      </c>
      <c r="D359" s="33" t="str">
        <f ca="1">IFERROR(__xludf.DUMMYFUNCTION("""COMPUTED_VALUE"""),"NO")</f>
        <v>NO</v>
      </c>
      <c r="E359" s="33" t="str">
        <f ca="1">IFERROR(__xludf.DUMMYFUNCTION("""COMPUTED_VALUE"""),"León")</f>
        <v>León</v>
      </c>
      <c r="F359" s="57">
        <f ca="1">IFERROR(__xludf.DUMMYFUNCTION("""COMPUTED_VALUE"""),46097)</f>
        <v>46097</v>
      </c>
      <c r="G359" s="57">
        <f ca="1">IFERROR(__xludf.DUMMYFUNCTION("""COMPUTED_VALUE"""),46078)</f>
        <v>46078</v>
      </c>
      <c r="H359" s="33" t="str">
        <f ca="1">IFERROR(__xludf.DUMMYFUNCTION("""COMPUTED_VALUE"""),"León")</f>
        <v>León</v>
      </c>
      <c r="I359" s="33" t="str">
        <f ca="1">IFERROR(__xludf.DUMMYFUNCTION("""COMPUTED_VALUE"""),"C202622510583014355")</f>
        <v>C202622510583014355</v>
      </c>
      <c r="J359" s="33" t="str">
        <f ca="1">IFERROR(__xludf.DUMMYFUNCTION("""COMPUTED_VALUE"""),"Elina Encarnación Carro Alvarez")</f>
        <v>Elina Encarnación Carro Alvarez</v>
      </c>
      <c r="K359" s="56">
        <f ca="1">IFERROR(__xludf.DUMMYFUNCTION("""COMPUTED_VALUE"""),2)</f>
        <v>2</v>
      </c>
      <c r="L359" s="62">
        <f ca="1">IFERROR(__xludf.DUMMYFUNCTION("""COMPUTED_VALUE"""),5363.64)</f>
        <v>5363.64</v>
      </c>
      <c r="M359" s="33" t="str">
        <f ca="1">IFERROR(__xludf.DUMMYFUNCTION("""COMPUTED_VALUE"""),"03 ORL")</f>
        <v>03 ORL</v>
      </c>
      <c r="N359" s="33" t="str">
        <f ca="1">IFERROR(__xludf.DUMMYFUNCTION("""COMPUTED_VALUE"""),"06 ORL")</f>
        <v>06 ORL</v>
      </c>
      <c r="O359" s="33" t="str">
        <f ca="1">IFERROR(__xludf.DUMMYFUNCTION("""COMPUTED_VALUE"""),"Dr, Rafael Pérez González")</f>
        <v>Dr, Rafael Pérez González</v>
      </c>
      <c r="P359" s="33" t="str">
        <f ca="1">IFERROR(__xludf.DUMMYFUNCTION("""COMPUTED_VALUE"""),"Alberto Moreno (Madrid)")</f>
        <v>Alberto Moreno (Madrid)</v>
      </c>
    </row>
    <row r="360" spans="2:16">
      <c r="B360" s="74">
        <f ca="1">IFERROR(__xludf.DUMMYFUNCTION("""COMPUTED_VALUE"""),2026)</f>
        <v>2026</v>
      </c>
      <c r="C360" s="56">
        <f ca="1">IFERROR(__xludf.DUMMYFUNCTION("""COMPUTED_VALUE"""),3)</f>
        <v>3</v>
      </c>
      <c r="D360" s="33" t="str">
        <f ca="1">IFERROR(__xludf.DUMMYFUNCTION("""COMPUTED_VALUE"""),"NO")</f>
        <v>NO</v>
      </c>
      <c r="E360" s="33" t="str">
        <f ca="1">IFERROR(__xludf.DUMMYFUNCTION("""COMPUTED_VALUE"""),"Murcia")</f>
        <v>Murcia</v>
      </c>
      <c r="F360" s="57">
        <f ca="1">IFERROR(__xludf.DUMMYFUNCTION("""COMPUTED_VALUE"""),46097)</f>
        <v>46097</v>
      </c>
      <c r="G360" s="57">
        <f ca="1">IFERROR(__xludf.DUMMYFUNCTION("""COMPUTED_VALUE"""),46062)</f>
        <v>46062</v>
      </c>
      <c r="H360" s="33" t="str">
        <f ca="1">IFERROR(__xludf.DUMMYFUNCTION("""COMPUTED_VALUE"""),"Murcia")</f>
        <v>Murcia</v>
      </c>
      <c r="I360" s="33" t="str">
        <f ca="1">IFERROR(__xludf.DUMMYFUNCTION("""COMPUTED_VALUE"""),"C20262916846685199")</f>
        <v>C20262916846685199</v>
      </c>
      <c r="J360" s="33" t="str">
        <f ca="1">IFERROR(__xludf.DUMMYFUNCTION("""COMPUTED_VALUE"""),"MERCEDES ROS LOPEZ")</f>
        <v>MERCEDES ROS LOPEZ</v>
      </c>
      <c r="K360" s="56">
        <f ca="1">IFERROR(__xludf.DUMMYFUNCTION("""COMPUTED_VALUE"""),2)</f>
        <v>2</v>
      </c>
      <c r="L360" s="62">
        <f ca="1">IFERROR(__xludf.DUMMYFUNCTION("""COMPUTED_VALUE"""),2718.18)</f>
        <v>2718.18</v>
      </c>
      <c r="M360" s="33" t="str">
        <f ca="1">IFERROR(__xludf.DUMMYFUNCTION("""COMPUTED_VALUE"""),"03 ORL")</f>
        <v>03 ORL</v>
      </c>
      <c r="N360" s="33" t="str">
        <f ca="1">IFERROR(__xludf.DUMMYFUNCTION("""COMPUTED_VALUE"""),"06 ORL")</f>
        <v>06 ORL</v>
      </c>
      <c r="O360" s="33" t="str">
        <f ca="1">IFERROR(__xludf.DUMMYFUNCTION("""COMPUTED_VALUE"""),"Dra, Aida Aviñoa Arias")</f>
        <v>Dra, Aida Aviñoa Arias</v>
      </c>
      <c r="P360" s="33" t="str">
        <f ca="1">IFERROR(__xludf.DUMMYFUNCTION("""COMPUTED_VALUE"""),"Iván Sánchez (Levante y Albacete)")</f>
        <v>Iván Sánchez (Levante y Albacete)</v>
      </c>
    </row>
    <row r="361" spans="2:16">
      <c r="B361" s="74">
        <f ca="1">IFERROR(__xludf.DUMMYFUNCTION("""COMPUTED_VALUE"""),2026)</f>
        <v>2026</v>
      </c>
      <c r="C361" s="56">
        <f ca="1">IFERROR(__xludf.DUMMYFUNCTION("""COMPUTED_VALUE"""),3)</f>
        <v>3</v>
      </c>
      <c r="D361" s="33" t="str">
        <f ca="1">IFERROR(__xludf.DUMMYFUNCTION("""COMPUTED_VALUE"""),"NO")</f>
        <v>NO</v>
      </c>
      <c r="E361" s="33" t="str">
        <f ca="1">IFERROR(__xludf.DUMMYFUNCTION("""COMPUTED_VALUE"""),"León")</f>
        <v>León</v>
      </c>
      <c r="F361" s="57">
        <f ca="1">IFERROR(__xludf.DUMMYFUNCTION("""COMPUTED_VALUE"""),46097)</f>
        <v>46097</v>
      </c>
      <c r="G361" s="57">
        <f ca="1">IFERROR(__xludf.DUMMYFUNCTION("""COMPUTED_VALUE"""),46058)</f>
        <v>46058</v>
      </c>
      <c r="H361" s="33" t="str">
        <f ca="1">IFERROR(__xludf.DUMMYFUNCTION("""COMPUTED_VALUE"""),"León")</f>
        <v>León</v>
      </c>
      <c r="I361" s="33" t="str">
        <f ca="1">IFERROR(__xludf.DUMMYFUNCTION("""COMPUTED_VALUE"""),"C202625115344189237")</f>
        <v>C202625115344189237</v>
      </c>
      <c r="J361" s="33" t="str">
        <f ca="1">IFERROR(__xludf.DUMMYFUNCTION("""COMPUTED_VALUE"""),"Roberto Alonso Fernandez")</f>
        <v>Roberto Alonso Fernandez</v>
      </c>
      <c r="K361" s="56">
        <f ca="1">IFERROR(__xludf.DUMMYFUNCTION("""COMPUTED_VALUE"""),2)</f>
        <v>2</v>
      </c>
      <c r="L361" s="62">
        <f ca="1">IFERROR(__xludf.DUMMYFUNCTION("""COMPUTED_VALUE"""),3846.15)</f>
        <v>3846.15</v>
      </c>
      <c r="M361" s="33" t="str">
        <f ca="1">IFERROR(__xludf.DUMMYFUNCTION("""COMPUTED_VALUE"""),"03 ORL")</f>
        <v>03 ORL</v>
      </c>
      <c r="N361" s="33" t="str">
        <f ca="1">IFERROR(__xludf.DUMMYFUNCTION("""COMPUTED_VALUE"""),"06 ORL")</f>
        <v>06 ORL</v>
      </c>
      <c r="O361" s="33" t="str">
        <f ca="1">IFERROR(__xludf.DUMMYFUNCTION("""COMPUTED_VALUE"""),"Dr, Rafael Pérez González")</f>
        <v>Dr, Rafael Pérez González</v>
      </c>
      <c r="P361" s="33" t="str">
        <f ca="1">IFERROR(__xludf.DUMMYFUNCTION("""COMPUTED_VALUE"""),"Alberto Moreno (Madrid)")</f>
        <v>Alberto Moreno (Madrid)</v>
      </c>
    </row>
    <row r="362" spans="2:16">
      <c r="B362" s="74">
        <f ca="1">IFERROR(__xludf.DUMMYFUNCTION("""COMPUTED_VALUE"""),2026)</f>
        <v>2026</v>
      </c>
      <c r="C362" s="56">
        <f ca="1">IFERROR(__xludf.DUMMYFUNCTION("""COMPUTED_VALUE"""),3)</f>
        <v>3</v>
      </c>
      <c r="D362" s="33" t="str">
        <f ca="1">IFERROR(__xludf.DUMMYFUNCTION("""COMPUTED_VALUE"""),"NO")</f>
        <v>NO</v>
      </c>
      <c r="E362" s="33" t="str">
        <f ca="1">IFERROR(__xludf.DUMMYFUNCTION("""COMPUTED_VALUE"""),"El Albir (Benidorm)")</f>
        <v>El Albir (Benidorm)</v>
      </c>
      <c r="F362" s="57">
        <f ca="1">IFERROR(__xludf.DUMMYFUNCTION("""COMPUTED_VALUE"""),46097)</f>
        <v>46097</v>
      </c>
      <c r="G362" s="57">
        <f ca="1">IFERROR(__xludf.DUMMYFUNCTION("""COMPUTED_VALUE"""),46055)</f>
        <v>46055</v>
      </c>
      <c r="H362" s="33" t="str">
        <f ca="1">IFERROR(__xludf.DUMMYFUNCTION("""COMPUTED_VALUE"""),"El Albir (Benidorm)")</f>
        <v>El Albir (Benidorm)</v>
      </c>
      <c r="I362" s="33" t="str">
        <f ca="1">IFERROR(__xludf.DUMMYFUNCTION("""COMPUTED_VALUE"""),"C20262281716801642")</f>
        <v>C20262281716801642</v>
      </c>
      <c r="J362" s="33" t="str">
        <f ca="1">IFERROR(__xludf.DUMMYFUNCTION("""COMPUTED_VALUE"""),"BENITA CONDE SUAREZ")</f>
        <v>BENITA CONDE SUAREZ</v>
      </c>
      <c r="K362" s="56">
        <f ca="1">IFERROR(__xludf.DUMMYFUNCTION("""COMPUTED_VALUE"""),2)</f>
        <v>2</v>
      </c>
      <c r="L362" s="62">
        <f ca="1">IFERROR(__xludf.DUMMYFUNCTION("""COMPUTED_VALUE"""),4136.36)</f>
        <v>4136.3599999999997</v>
      </c>
      <c r="M362" s="33" t="str">
        <f ca="1">IFERROR(__xludf.DUMMYFUNCTION("""COMPUTED_VALUE"""),"03 ORL")</f>
        <v>03 ORL</v>
      </c>
      <c r="N362" s="33" t="str">
        <f ca="1">IFERROR(__xludf.DUMMYFUNCTION("""COMPUTED_VALUE"""),"06 ORL")</f>
        <v>06 ORL</v>
      </c>
      <c r="O362" s="33" t="str">
        <f ca="1">IFERROR(__xludf.DUMMYFUNCTION("""COMPUTED_VALUE"""),"Dra, María Emilia García Ruiz")</f>
        <v>Dra, María Emilia García Ruiz</v>
      </c>
      <c r="P362" s="33" t="str">
        <f ca="1">IFERROR(__xludf.DUMMYFUNCTION("""COMPUTED_VALUE"""),"Ramon Ferrando(Valencia)")</f>
        <v>Ramon Ferrando(Valencia)</v>
      </c>
    </row>
    <row r="363" spans="2:16">
      <c r="B363" s="74">
        <f ca="1">IFERROR(__xludf.DUMMYFUNCTION("""COMPUTED_VALUE"""),2026)</f>
        <v>2026</v>
      </c>
      <c r="C363" s="56">
        <f ca="1">IFERROR(__xludf.DUMMYFUNCTION("""COMPUTED_VALUE"""),3)</f>
        <v>3</v>
      </c>
      <c r="D363" s="33" t="str">
        <f ca="1">IFERROR(__xludf.DUMMYFUNCTION("""COMPUTED_VALUE"""),"NO")</f>
        <v>NO</v>
      </c>
      <c r="E363" s="33" t="str">
        <f ca="1">IFERROR(__xludf.DUMMYFUNCTION("""COMPUTED_VALUE"""),"Cáceres")</f>
        <v>Cáceres</v>
      </c>
      <c r="F363" s="57">
        <f ca="1">IFERROR(__xludf.DUMMYFUNCTION("""COMPUTED_VALUE"""),46098)</f>
        <v>46098</v>
      </c>
      <c r="G363" s="57">
        <f ca="1">IFERROR(__xludf.DUMMYFUNCTION("""COMPUTED_VALUE"""),46071)</f>
        <v>46071</v>
      </c>
      <c r="H363" s="33" t="str">
        <f ca="1">IFERROR(__xludf.DUMMYFUNCTION("""COMPUTED_VALUE"""),"Cáceres")</f>
        <v>Cáceres</v>
      </c>
      <c r="I363" s="33" t="str">
        <f ca="1">IFERROR(__xludf.DUMMYFUNCTION("""COMPUTED_VALUE"""),"C202621812563506")</f>
        <v>C202621812563506</v>
      </c>
      <c r="J363" s="33" t="str">
        <f ca="1">IFERROR(__xludf.DUMMYFUNCTION("""COMPUTED_VALUE"""),"EVELIA ARIAS MORENO")</f>
        <v>EVELIA ARIAS MORENO</v>
      </c>
      <c r="K363" s="56">
        <f ca="1">IFERROR(__xludf.DUMMYFUNCTION("""COMPUTED_VALUE"""),2)</f>
        <v>2</v>
      </c>
      <c r="L363" s="62">
        <f ca="1">IFERROR(__xludf.DUMMYFUNCTION("""COMPUTED_VALUE"""),3909.09)</f>
        <v>3909.09</v>
      </c>
      <c r="M363" s="33" t="str">
        <f ca="1">IFERROR(__xludf.DUMMYFUNCTION("""COMPUTED_VALUE"""),"03 ORL")</f>
        <v>03 ORL</v>
      </c>
      <c r="N363" s="33" t="str">
        <f ca="1">IFERROR(__xludf.DUMMYFUNCTION("""COMPUTED_VALUE"""),"06 ORL")</f>
        <v>06 ORL</v>
      </c>
      <c r="O363" s="33" t="str">
        <f ca="1">IFERROR(__xludf.DUMMYFUNCTION("""COMPUTED_VALUE"""),"Dr, Manuel Martí Peña")</f>
        <v>Dr, Manuel Martí Peña</v>
      </c>
      <c r="P363" s="33" t="str">
        <f ca="1">IFERROR(__xludf.DUMMYFUNCTION("""COMPUTED_VALUE"""),"Lisandro Russian (Madrid, Cáceres, Toledo, Talavera y Logroño)")</f>
        <v>Lisandro Russian (Madrid, Cáceres, Toledo, Talavera y Logroño)</v>
      </c>
    </row>
    <row r="364" spans="2:16">
      <c r="B364" s="74">
        <f ca="1">IFERROR(__xludf.DUMMYFUNCTION("""COMPUTED_VALUE"""),2026)</f>
        <v>2026</v>
      </c>
      <c r="C364" s="56">
        <f ca="1">IFERROR(__xludf.DUMMYFUNCTION("""COMPUTED_VALUE"""),3)</f>
        <v>3</v>
      </c>
      <c r="D364" s="33" t="str">
        <f ca="1">IFERROR(__xludf.DUMMYFUNCTION("""COMPUTED_VALUE"""),"NO")</f>
        <v>NO</v>
      </c>
      <c r="E364" s="33" t="str">
        <f ca="1">IFERROR(__xludf.DUMMYFUNCTION("""COMPUTED_VALUE"""),"Murcia")</f>
        <v>Murcia</v>
      </c>
      <c r="F364" s="57">
        <f ca="1">IFERROR(__xludf.DUMMYFUNCTION("""COMPUTED_VALUE"""),46098)</f>
        <v>46098</v>
      </c>
      <c r="G364" s="57">
        <f ca="1">IFERROR(__xludf.DUMMYFUNCTION("""COMPUTED_VALUE"""),46069)</f>
        <v>46069</v>
      </c>
      <c r="H364" s="33" t="str">
        <f ca="1">IFERROR(__xludf.DUMMYFUNCTION("""COMPUTED_VALUE"""),"Murcia")</f>
        <v>Murcia</v>
      </c>
      <c r="I364" s="33" t="str">
        <f ca="1">IFERROR(__xludf.DUMMYFUNCTION("""COMPUTED_VALUE"""),"C202621616274682965")</f>
        <v>C202621616274682965</v>
      </c>
      <c r="J364" s="33" t="str">
        <f ca="1">IFERROR(__xludf.DUMMYFUNCTION("""COMPUTED_VALUE"""),"SUSANA ROPERO SANCHEZ")</f>
        <v>SUSANA ROPERO SANCHEZ</v>
      </c>
      <c r="K364" s="56">
        <f ca="1">IFERROR(__xludf.DUMMYFUNCTION("""COMPUTED_VALUE"""),2)</f>
        <v>2</v>
      </c>
      <c r="L364" s="62">
        <f ca="1">IFERROR(__xludf.DUMMYFUNCTION("""COMPUTED_VALUE"""),2718.18)</f>
        <v>2718.18</v>
      </c>
      <c r="M364" s="33" t="str">
        <f ca="1">IFERROR(__xludf.DUMMYFUNCTION("""COMPUTED_VALUE"""),"03 ORL")</f>
        <v>03 ORL</v>
      </c>
      <c r="N364" s="33" t="str">
        <f ca="1">IFERROR(__xludf.DUMMYFUNCTION("""COMPUTED_VALUE"""),"06 ORL")</f>
        <v>06 ORL</v>
      </c>
      <c r="O364" s="33" t="str">
        <f ca="1">IFERROR(__xludf.DUMMYFUNCTION("""COMPUTED_VALUE"""),"Dr, Jesús Miguel Iniesta Turpín")</f>
        <v>Dr, Jesús Miguel Iniesta Turpín</v>
      </c>
      <c r="P364" s="33" t="str">
        <f ca="1">IFERROR(__xludf.DUMMYFUNCTION("""COMPUTED_VALUE"""),"Iván Sánchez (Levante y Albacete)")</f>
        <v>Iván Sánchez (Levante y Albacete)</v>
      </c>
    </row>
    <row r="365" spans="2:16">
      <c r="B365" s="74">
        <f ca="1">IFERROR(__xludf.DUMMYFUNCTION("""COMPUTED_VALUE"""),2026)</f>
        <v>2026</v>
      </c>
      <c r="C365" s="56">
        <f ca="1">IFERROR(__xludf.DUMMYFUNCTION("""COMPUTED_VALUE"""),3)</f>
        <v>3</v>
      </c>
      <c r="D365" s="33" t="str">
        <f ca="1">IFERROR(__xludf.DUMMYFUNCTION("""COMPUTED_VALUE"""),"NO")</f>
        <v>NO</v>
      </c>
      <c r="E365" s="33" t="str">
        <f ca="1">IFERROR(__xludf.DUMMYFUNCTION("""COMPUTED_VALUE"""),"Getafe")</f>
        <v>Getafe</v>
      </c>
      <c r="F365" s="57">
        <f ca="1">IFERROR(__xludf.DUMMYFUNCTION("""COMPUTED_VALUE"""),46098)</f>
        <v>46098</v>
      </c>
      <c r="G365" s="57">
        <f ca="1">IFERROR(__xludf.DUMMYFUNCTION("""COMPUTED_VALUE"""),46043)</f>
        <v>46043</v>
      </c>
      <c r="H365" s="33" t="str">
        <f ca="1">IFERROR(__xludf.DUMMYFUNCTION("""COMPUTED_VALUE"""),"Getafe")</f>
        <v>Getafe</v>
      </c>
      <c r="I365" s="33" t="str">
        <f ca="1">IFERROR(__xludf.DUMMYFUNCTION("""COMPUTED_VALUE"""),"C202612114575178474")</f>
        <v>C202612114575178474</v>
      </c>
      <c r="J365" s="33" t="str">
        <f ca="1">IFERROR(__xludf.DUMMYFUNCTION("""COMPUTED_VALUE"""),"MABEL HERRERA DONOSO")</f>
        <v>MABEL HERRERA DONOSO</v>
      </c>
      <c r="K365" s="56">
        <f ca="1">IFERROR(__xludf.DUMMYFUNCTION("""COMPUTED_VALUE"""),2)</f>
        <v>2</v>
      </c>
      <c r="L365" s="62">
        <f ca="1">IFERROR(__xludf.DUMMYFUNCTION("""COMPUTED_VALUE"""),4136.36)</f>
        <v>4136.3599999999997</v>
      </c>
      <c r="M365" s="33" t="str">
        <f ca="1">IFERROR(__xludf.DUMMYFUNCTION("""COMPUTED_VALUE"""),"03 ORL")</f>
        <v>03 ORL</v>
      </c>
      <c r="N365" s="33" t="str">
        <f ca="1">IFERROR(__xludf.DUMMYFUNCTION("""COMPUTED_VALUE"""),"06 ORL")</f>
        <v>06 ORL</v>
      </c>
      <c r="O365" s="33" t="str">
        <f ca="1">IFERROR(__xludf.DUMMYFUNCTION("""COMPUTED_VALUE"""),"Dra, Paloma Pinacho Martínez")</f>
        <v>Dra, Paloma Pinacho Martínez</v>
      </c>
      <c r="P365" s="33" t="str">
        <f ca="1">IFERROR(__xludf.DUMMYFUNCTION("""COMPUTED_VALUE"""),"Maika Blázquez (Madrid)")</f>
        <v>Maika Blázquez (Madrid)</v>
      </c>
    </row>
    <row r="366" spans="2:16">
      <c r="B366" s="74">
        <f ca="1">IFERROR(__xludf.DUMMYFUNCTION("""COMPUTED_VALUE"""),2026)</f>
        <v>2026</v>
      </c>
      <c r="C366" s="56">
        <f ca="1">IFERROR(__xludf.DUMMYFUNCTION("""COMPUTED_VALUE"""),3)</f>
        <v>3</v>
      </c>
      <c r="D366" s="33" t="str">
        <f ca="1">IFERROR(__xludf.DUMMYFUNCTION("""COMPUTED_VALUE"""),"NO")</f>
        <v>NO</v>
      </c>
      <c r="E366" s="33" t="str">
        <f ca="1">IFERROR(__xludf.DUMMYFUNCTION("""COMPUTED_VALUE"""),"Madrid- Canillas")</f>
        <v>Madrid- Canillas</v>
      </c>
      <c r="F366" s="57">
        <f ca="1">IFERROR(__xludf.DUMMYFUNCTION("""COMPUTED_VALUE"""),46098)</f>
        <v>46098</v>
      </c>
      <c r="G366" s="57">
        <f ca="1">IFERROR(__xludf.DUMMYFUNCTION("""COMPUTED_VALUE"""),46070)</f>
        <v>46070</v>
      </c>
      <c r="H366" s="33" t="str">
        <f ca="1">IFERROR(__xludf.DUMMYFUNCTION("""COMPUTED_VALUE"""),"Canillas")</f>
        <v>Canillas</v>
      </c>
      <c r="I366" s="33" t="str">
        <f ca="1">IFERROR(__xludf.DUMMYFUNCTION("""COMPUTED_VALUE"""),"C202621718623559730")</f>
        <v>C202621718623559730</v>
      </c>
      <c r="J366" s="33" t="str">
        <f ca="1">IFERROR(__xludf.DUMMYFUNCTION("""COMPUTED_VALUE"""),"RAFAEL RODRIGO CÁMARA")</f>
        <v>RAFAEL RODRIGO CÁMARA</v>
      </c>
      <c r="K366" s="56">
        <f ca="1">IFERROR(__xludf.DUMMYFUNCTION("""COMPUTED_VALUE"""),2)</f>
        <v>2</v>
      </c>
      <c r="L366" s="62">
        <f ca="1">IFERROR(__xludf.DUMMYFUNCTION("""COMPUTED_VALUE"""),3929.55)</f>
        <v>3929.55</v>
      </c>
      <c r="M366" s="33" t="str">
        <f ca="1">IFERROR(__xludf.DUMMYFUNCTION("""COMPUTED_VALUE"""),"03 ORL")</f>
        <v>03 ORL</v>
      </c>
      <c r="N366" s="33" t="str">
        <f ca="1">IFERROR(__xludf.DUMMYFUNCTION("""COMPUTED_VALUE"""),"06 ORL")</f>
        <v>06 ORL</v>
      </c>
      <c r="O366" s="33" t="str">
        <f ca="1">IFERROR(__xludf.DUMMYFUNCTION("""COMPUTED_VALUE"""),"Dr, Joaquín Alacio Casero")</f>
        <v>Dr, Joaquín Alacio Casero</v>
      </c>
      <c r="P366" s="33" t="str">
        <f ca="1">IFERROR(__xludf.DUMMYFUNCTION("""COMPUTED_VALUE"""),"Maika Blázquez (Madrid)")</f>
        <v>Maika Blázquez (Madrid)</v>
      </c>
    </row>
    <row r="367" spans="2:16">
      <c r="B367" s="74">
        <f ca="1">IFERROR(__xludf.DUMMYFUNCTION("""COMPUTED_VALUE"""),2026)</f>
        <v>2026</v>
      </c>
      <c r="C367" s="56">
        <f ca="1">IFERROR(__xludf.DUMMYFUNCTION("""COMPUTED_VALUE"""),3)</f>
        <v>3</v>
      </c>
      <c r="D367" s="33" t="str">
        <f ca="1">IFERROR(__xludf.DUMMYFUNCTION("""COMPUTED_VALUE"""),"NO")</f>
        <v>NO</v>
      </c>
      <c r="E367" s="33" t="str">
        <f ca="1">IFERROR(__xludf.DUMMYFUNCTION("""COMPUTED_VALUE"""),"Madrid- La Oca")</f>
        <v>Madrid- La Oca</v>
      </c>
      <c r="F367" s="57">
        <f ca="1">IFERROR(__xludf.DUMMYFUNCTION("""COMPUTED_VALUE"""),46098)</f>
        <v>46098</v>
      </c>
      <c r="G367" s="57">
        <f ca="1">IFERROR(__xludf.DUMMYFUNCTION("""COMPUTED_VALUE"""),46071)</f>
        <v>46071</v>
      </c>
      <c r="H367" s="33" t="str">
        <f ca="1">IFERROR(__xludf.DUMMYFUNCTION("""COMPUTED_VALUE"""),"La Oca")</f>
        <v>La Oca</v>
      </c>
      <c r="I367" s="33" t="str">
        <f ca="1">IFERROR(__xludf.DUMMYFUNCTION("""COMPUTED_VALUE"""),"C202621893610185506")</f>
        <v>C202621893610185506</v>
      </c>
      <c r="J367" s="33" t="str">
        <f ca="1">IFERROR(__xludf.DUMMYFUNCTION("""COMPUTED_VALUE"""),"CARMEN DIEZ MIGUEL")</f>
        <v>CARMEN DIEZ MIGUEL</v>
      </c>
      <c r="K367" s="56">
        <f ca="1">IFERROR(__xludf.DUMMYFUNCTION("""COMPUTED_VALUE"""),2)</f>
        <v>2</v>
      </c>
      <c r="L367" s="62">
        <f ca="1">IFERROR(__xludf.DUMMYFUNCTION("""COMPUTED_VALUE"""),2718.18)</f>
        <v>2718.18</v>
      </c>
      <c r="M367" s="33" t="str">
        <f ca="1">IFERROR(__xludf.DUMMYFUNCTION("""COMPUTED_VALUE"""),"03 ORL")</f>
        <v>03 ORL</v>
      </c>
      <c r="N367" s="33" t="str">
        <f ca="1">IFERROR(__xludf.DUMMYFUNCTION("""COMPUTED_VALUE"""),"06 ORL")</f>
        <v>06 ORL</v>
      </c>
      <c r="O367" s="33" t="str">
        <f ca="1">IFERROR(__xludf.DUMMYFUNCTION("""COMPUTED_VALUE"""),"Dr, Andreas Schilling Borghesi")</f>
        <v>Dr, Andreas Schilling Borghesi</v>
      </c>
      <c r="P367" s="33" t="str">
        <f ca="1">IFERROR(__xludf.DUMMYFUNCTION("""COMPUTED_VALUE"""),"Maika Blázquez (Madrid)")</f>
        <v>Maika Blázquez (Madrid)</v>
      </c>
    </row>
    <row r="368" spans="2:16">
      <c r="B368" s="74">
        <f ca="1">IFERROR(__xludf.DUMMYFUNCTION("""COMPUTED_VALUE"""),2026)</f>
        <v>2026</v>
      </c>
      <c r="C368" s="56">
        <f ca="1">IFERROR(__xludf.DUMMYFUNCTION("""COMPUTED_VALUE"""),3)</f>
        <v>3</v>
      </c>
      <c r="D368" s="33" t="str">
        <f ca="1">IFERROR(__xludf.DUMMYFUNCTION("""COMPUTED_VALUE"""),"NO")</f>
        <v>NO</v>
      </c>
      <c r="E368" s="33" t="str">
        <f ca="1">IFERROR(__xludf.DUMMYFUNCTION("""COMPUTED_VALUE"""),"Fuenlabrada")</f>
        <v>Fuenlabrada</v>
      </c>
      <c r="F368" s="57">
        <f ca="1">IFERROR(__xludf.DUMMYFUNCTION("""COMPUTED_VALUE"""),46098)</f>
        <v>46098</v>
      </c>
      <c r="G368" s="57">
        <f ca="1">IFERROR(__xludf.DUMMYFUNCTION("""COMPUTED_VALUE"""),46070)</f>
        <v>46070</v>
      </c>
      <c r="H368" s="33" t="str">
        <f ca="1">IFERROR(__xludf.DUMMYFUNCTION("""COMPUTED_VALUE"""),"Fuenlabrada")</f>
        <v>Fuenlabrada</v>
      </c>
      <c r="I368" s="33" t="str">
        <f ca="1">IFERROR(__xludf.DUMMYFUNCTION("""COMPUTED_VALUE"""),"C202621710526973724")</f>
        <v>C202621710526973724</v>
      </c>
      <c r="J368" s="33" t="str">
        <f ca="1">IFERROR(__xludf.DUMMYFUNCTION("""COMPUTED_VALUE"""),"GERMAN  ENCINAS SANCHEZ")</f>
        <v>GERMAN  ENCINAS SANCHEZ</v>
      </c>
      <c r="K368" s="56">
        <f ca="1">IFERROR(__xludf.DUMMYFUNCTION("""COMPUTED_VALUE"""),2)</f>
        <v>2</v>
      </c>
      <c r="L368" s="62">
        <f ca="1">IFERROR(__xludf.DUMMYFUNCTION("""COMPUTED_VALUE"""),2718.18)</f>
        <v>2718.18</v>
      </c>
      <c r="M368" s="33" t="str">
        <f ca="1">IFERROR(__xludf.DUMMYFUNCTION("""COMPUTED_VALUE"""),"03 ORL")</f>
        <v>03 ORL</v>
      </c>
      <c r="N368" s="33" t="str">
        <f ca="1">IFERROR(__xludf.DUMMYFUNCTION("""COMPUTED_VALUE"""),"06 ORL")</f>
        <v>06 ORL</v>
      </c>
      <c r="O368" s="33" t="str">
        <f ca="1">IFERROR(__xludf.DUMMYFUNCTION("""COMPUTED_VALUE"""),"Dra, Angela Gastañaga Echevarría")</f>
        <v>Dra, Angela Gastañaga Echevarría</v>
      </c>
      <c r="P368" s="33" t="str">
        <f ca="1">IFERROR(__xludf.DUMMYFUNCTION("""COMPUTED_VALUE"""),"Maika Blázquez (Madrid)")</f>
        <v>Maika Blázquez (Madrid)</v>
      </c>
    </row>
    <row r="369" spans="2:16">
      <c r="B369" s="74">
        <f ca="1">IFERROR(__xludf.DUMMYFUNCTION("""COMPUTED_VALUE"""),2026)</f>
        <v>2026</v>
      </c>
      <c r="C369" s="56">
        <f ca="1">IFERROR(__xludf.DUMMYFUNCTION("""COMPUTED_VALUE"""),3)</f>
        <v>3</v>
      </c>
      <c r="D369" s="33" t="str">
        <f ca="1">IFERROR(__xludf.DUMMYFUNCTION("""COMPUTED_VALUE"""),"NO")</f>
        <v>NO</v>
      </c>
      <c r="E369" s="33" t="str">
        <f ca="1">IFERROR(__xludf.DUMMYFUNCTION("""COMPUTED_VALUE"""),"Madrid- La Oca")</f>
        <v>Madrid- La Oca</v>
      </c>
      <c r="F369" s="57">
        <f ca="1">IFERROR(__xludf.DUMMYFUNCTION("""COMPUTED_VALUE"""),46098)</f>
        <v>46098</v>
      </c>
      <c r="G369" s="57">
        <f ca="1">IFERROR(__xludf.DUMMYFUNCTION("""COMPUTED_VALUE"""),46071)</f>
        <v>46071</v>
      </c>
      <c r="H369" s="33" t="str">
        <f ca="1">IFERROR(__xludf.DUMMYFUNCTION("""COMPUTED_VALUE"""),"La Oca")</f>
        <v>La Oca</v>
      </c>
      <c r="I369" s="33" t="str">
        <f ca="1">IFERROR(__xludf.DUMMYFUNCTION("""COMPUTED_VALUE"""),"C202621893749939587")</f>
        <v>C202621893749939587</v>
      </c>
      <c r="J369" s="33" t="str">
        <f ca="1">IFERROR(__xludf.DUMMYFUNCTION("""COMPUTED_VALUE"""),"JOSE FARO BARREIROS")</f>
        <v>JOSE FARO BARREIROS</v>
      </c>
      <c r="K369" s="56">
        <f ca="1">IFERROR(__xludf.DUMMYFUNCTION("""COMPUTED_VALUE"""),2)</f>
        <v>2</v>
      </c>
      <c r="L369" s="62">
        <f ca="1">IFERROR(__xludf.DUMMYFUNCTION("""COMPUTED_VALUE"""),2718.18)</f>
        <v>2718.18</v>
      </c>
      <c r="M369" s="33" t="str">
        <f ca="1">IFERROR(__xludf.DUMMYFUNCTION("""COMPUTED_VALUE"""),"03 ORL")</f>
        <v>03 ORL</v>
      </c>
      <c r="N369" s="33" t="str">
        <f ca="1">IFERROR(__xludf.DUMMYFUNCTION("""COMPUTED_VALUE"""),"06 ORL")</f>
        <v>06 ORL</v>
      </c>
      <c r="O369" s="33" t="str">
        <f ca="1">IFERROR(__xludf.DUMMYFUNCTION("""COMPUTED_VALUE"""),"Dr, Iván Muerte Moreno")</f>
        <v>Dr, Iván Muerte Moreno</v>
      </c>
      <c r="P369" s="33" t="str">
        <f ca="1">IFERROR(__xludf.DUMMYFUNCTION("""COMPUTED_VALUE"""),"Maika Blázquez (Madrid)")</f>
        <v>Maika Blázquez (Madrid)</v>
      </c>
    </row>
    <row r="370" spans="2:16">
      <c r="B370" s="74">
        <f ca="1">IFERROR(__xludf.DUMMYFUNCTION("""COMPUTED_VALUE"""),2026)</f>
        <v>2026</v>
      </c>
      <c r="C370" s="56">
        <f ca="1">IFERROR(__xludf.DUMMYFUNCTION("""COMPUTED_VALUE"""),3)</f>
        <v>3</v>
      </c>
      <c r="D370" s="33" t="str">
        <f ca="1">IFERROR(__xludf.DUMMYFUNCTION("""COMPUTED_VALUE"""),"NO")</f>
        <v>NO</v>
      </c>
      <c r="E370" s="33" t="str">
        <f ca="1">IFERROR(__xludf.DUMMYFUNCTION("""COMPUTED_VALUE"""),"Alicante")</f>
        <v>Alicante</v>
      </c>
      <c r="F370" s="57">
        <f ca="1">IFERROR(__xludf.DUMMYFUNCTION("""COMPUTED_VALUE"""),46098)</f>
        <v>46098</v>
      </c>
      <c r="G370" s="57">
        <f ca="1">IFERROR(__xludf.DUMMYFUNCTION("""COMPUTED_VALUE"""),46098)</f>
        <v>46098</v>
      </c>
      <c r="H370" s="33" t="str">
        <f ca="1">IFERROR(__xludf.DUMMYFUNCTION("""COMPUTED_VALUE"""),"Alicante")</f>
        <v>Alicante</v>
      </c>
      <c r="I370" s="33" t="str">
        <f ca="1">IFERROR(__xludf.DUMMYFUNCTION("""COMPUTED_VALUE"""),"C2026317132549990")</f>
        <v>C2026317132549990</v>
      </c>
      <c r="J370" s="33" t="str">
        <f ca="1">IFERROR(__xludf.DUMMYFUNCTION("""COMPUTED_VALUE"""),"JORGE ENRIQUE ESPINOSA DIAZ")</f>
        <v>JORGE ENRIQUE ESPINOSA DIAZ</v>
      </c>
      <c r="K370" s="56">
        <f ca="1">IFERROR(__xludf.DUMMYFUNCTION("""COMPUTED_VALUE"""),2)</f>
        <v>2</v>
      </c>
      <c r="L370" s="62">
        <f ca="1">IFERROR(__xludf.DUMMYFUNCTION("""COMPUTED_VALUE"""),2718.18)</f>
        <v>2718.18</v>
      </c>
      <c r="M370" s="33" t="str">
        <f ca="1">IFERROR(__xludf.DUMMYFUNCTION("""COMPUTED_VALUE"""),"03 ORL")</f>
        <v>03 ORL</v>
      </c>
      <c r="N370" s="33" t="str">
        <f ca="1">IFERROR(__xludf.DUMMYFUNCTION("""COMPUTED_VALUE"""),"06 ORL")</f>
        <v>06 ORL</v>
      </c>
      <c r="O370" s="33" t="str">
        <f ca="1">IFERROR(__xludf.DUMMYFUNCTION("""COMPUTED_VALUE"""),"Dr, Carlos Velásquez Fermín")</f>
        <v>Dr, Carlos Velásquez Fermín</v>
      </c>
      <c r="P370" s="33" t="str">
        <f ca="1">IFERROR(__xludf.DUMMYFUNCTION("""COMPUTED_VALUE"""),"Iván Sánchez (Levante y Albacete)")</f>
        <v>Iván Sánchez (Levante y Albacete)</v>
      </c>
    </row>
    <row r="371" spans="2:16">
      <c r="B371" s="74">
        <f ca="1">IFERROR(__xludf.DUMMYFUNCTION("""COMPUTED_VALUE"""),2026)</f>
        <v>2026</v>
      </c>
      <c r="C371" s="56">
        <f ca="1">IFERROR(__xludf.DUMMYFUNCTION("""COMPUTED_VALUE"""),3)</f>
        <v>3</v>
      </c>
      <c r="D371" s="33" t="str">
        <f ca="1">IFERROR(__xludf.DUMMYFUNCTION("""COMPUTED_VALUE"""),"NO")</f>
        <v>NO</v>
      </c>
      <c r="E371" s="33" t="str">
        <f ca="1">IFERROR(__xludf.DUMMYFUNCTION("""COMPUTED_VALUE"""),"Getafe")</f>
        <v>Getafe</v>
      </c>
      <c r="F371" s="57">
        <f ca="1">IFERROR(__xludf.DUMMYFUNCTION("""COMPUTED_VALUE"""),46098)</f>
        <v>46098</v>
      </c>
      <c r="G371" s="57">
        <f ca="1">IFERROR(__xludf.DUMMYFUNCTION("""COMPUTED_VALUE"""),46055)</f>
        <v>46055</v>
      </c>
      <c r="H371" s="33" t="str">
        <f ca="1">IFERROR(__xludf.DUMMYFUNCTION("""COMPUTED_VALUE"""),"Getafe")</f>
        <v>Getafe</v>
      </c>
      <c r="I371" s="33" t="str">
        <f ca="1">IFERROR(__xludf.DUMMYFUNCTION("""COMPUTED_VALUE"""),"C20262213438613479")</f>
        <v>C20262213438613479</v>
      </c>
      <c r="J371" s="33" t="str">
        <f ca="1">IFERROR(__xludf.DUMMYFUNCTION("""COMPUTED_VALUE"""),"JUAN GARCIA SANTAMARIA")</f>
        <v>JUAN GARCIA SANTAMARIA</v>
      </c>
      <c r="K371" s="56">
        <f ca="1">IFERROR(__xludf.DUMMYFUNCTION("""COMPUTED_VALUE"""),2)</f>
        <v>2</v>
      </c>
      <c r="L371" s="62">
        <f ca="1">IFERROR(__xludf.DUMMYFUNCTION("""COMPUTED_VALUE"""),2581.82)</f>
        <v>2581.8200000000002</v>
      </c>
      <c r="M371" s="33" t="str">
        <f ca="1">IFERROR(__xludf.DUMMYFUNCTION("""COMPUTED_VALUE"""),"03 ORL")</f>
        <v>03 ORL</v>
      </c>
      <c r="N371" s="33" t="str">
        <f ca="1">IFERROR(__xludf.DUMMYFUNCTION("""COMPUTED_VALUE"""),"06 ORL")</f>
        <v>06 ORL</v>
      </c>
      <c r="O371" s="33" t="str">
        <f ca="1">IFERROR(__xludf.DUMMYFUNCTION("""COMPUTED_VALUE"""),"Dr, Julio López Moya")</f>
        <v>Dr, Julio López Moya</v>
      </c>
      <c r="P371" s="33" t="str">
        <f ca="1">IFERROR(__xludf.DUMMYFUNCTION("""COMPUTED_VALUE"""),"Maika Blázquez (Madrid)")</f>
        <v>Maika Blázquez (Madrid)</v>
      </c>
    </row>
    <row r="372" spans="2:16">
      <c r="B372" s="74">
        <f ca="1">IFERROR(__xludf.DUMMYFUNCTION("""COMPUTED_VALUE"""),2026)</f>
        <v>2026</v>
      </c>
      <c r="C372" s="56">
        <f ca="1">IFERROR(__xludf.DUMMYFUNCTION("""COMPUTED_VALUE"""),3)</f>
        <v>3</v>
      </c>
      <c r="D372" s="33" t="str">
        <f ca="1">IFERROR(__xludf.DUMMYFUNCTION("""COMPUTED_VALUE"""),"NO")</f>
        <v>NO</v>
      </c>
      <c r="E372" s="33" t="str">
        <f ca="1">IFERROR(__xludf.DUMMYFUNCTION("""COMPUTED_VALUE"""),"Jerez de la Frontera")</f>
        <v>Jerez de la Frontera</v>
      </c>
      <c r="F372" s="57">
        <f ca="1">IFERROR(__xludf.DUMMYFUNCTION("""COMPUTED_VALUE"""),46099)</f>
        <v>46099</v>
      </c>
      <c r="G372" s="57">
        <f ca="1">IFERROR(__xludf.DUMMYFUNCTION("""COMPUTED_VALUE"""),46078)</f>
        <v>46078</v>
      </c>
      <c r="H372" s="33" t="str">
        <f ca="1">IFERROR(__xludf.DUMMYFUNCTION("""COMPUTED_VALUE"""),"Jerez")</f>
        <v>Jerez</v>
      </c>
      <c r="I372" s="33" t="str">
        <f ca="1">IFERROR(__xludf.DUMMYFUNCTION("""COMPUTED_VALUE"""),"C202622594953676825")</f>
        <v>C202622594953676825</v>
      </c>
      <c r="J372" s="33" t="str">
        <f ca="1">IFERROR(__xludf.DUMMYFUNCTION("""COMPUTED_VALUE"""),"SOLEDAD ESPINOSA CASTELLANO")</f>
        <v>SOLEDAD ESPINOSA CASTELLANO</v>
      </c>
      <c r="K372" s="56">
        <f ca="1">IFERROR(__xludf.DUMMYFUNCTION("""COMPUTED_VALUE"""),1)</f>
        <v>1</v>
      </c>
      <c r="L372" s="62">
        <f ca="1">IFERROR(__xludf.DUMMYFUNCTION("""COMPUTED_VALUE"""),2481.82)</f>
        <v>2481.8200000000002</v>
      </c>
      <c r="M372" s="33" t="str">
        <f ca="1">IFERROR(__xludf.DUMMYFUNCTION("""COMPUTED_VALUE"""),"03 ORL")</f>
        <v>03 ORL</v>
      </c>
      <c r="N372" s="33" t="str">
        <f ca="1">IFERROR(__xludf.DUMMYFUNCTION("""COMPUTED_VALUE"""),"06 ORL")</f>
        <v>06 ORL</v>
      </c>
      <c r="O372" s="33" t="str">
        <f ca="1">IFERROR(__xludf.DUMMYFUNCTION("""COMPUTED_VALUE"""),"Dr, Guillermo Sierra Galera")</f>
        <v>Dr, Guillermo Sierra Galera</v>
      </c>
      <c r="P372" s="33" t="str">
        <f ca="1">IFERROR(__xludf.DUMMYFUNCTION("""COMPUTED_VALUE"""),"Luis Alberto Rodríguez (Andalucía y Badajoz)")</f>
        <v>Luis Alberto Rodríguez (Andalucía y Badajoz)</v>
      </c>
    </row>
    <row r="373" spans="2:16">
      <c r="B373" s="74">
        <f ca="1">IFERROR(__xludf.DUMMYFUNCTION("""COMPUTED_VALUE"""),2026)</f>
        <v>2026</v>
      </c>
      <c r="C373" s="56">
        <f ca="1">IFERROR(__xludf.DUMMYFUNCTION("""COMPUTED_VALUE"""),3)</f>
        <v>3</v>
      </c>
      <c r="D373" s="33" t="str">
        <f ca="1">IFERROR(__xludf.DUMMYFUNCTION("""COMPUTED_VALUE"""),"NO")</f>
        <v>NO</v>
      </c>
      <c r="E373" s="33" t="str">
        <f ca="1">IFERROR(__xludf.DUMMYFUNCTION("""COMPUTED_VALUE"""),"Fuenlabrada")</f>
        <v>Fuenlabrada</v>
      </c>
      <c r="F373" s="57">
        <f ca="1">IFERROR(__xludf.DUMMYFUNCTION("""COMPUTED_VALUE"""),46099)</f>
        <v>46099</v>
      </c>
      <c r="G373" s="57">
        <f ca="1">IFERROR(__xludf.DUMMYFUNCTION("""COMPUTED_VALUE"""),46073)</f>
        <v>46073</v>
      </c>
      <c r="H373" s="33" t="str">
        <f ca="1">IFERROR(__xludf.DUMMYFUNCTION("""COMPUTED_VALUE"""),"Fuenlabrada")</f>
        <v>Fuenlabrada</v>
      </c>
      <c r="I373" s="33" t="str">
        <f ca="1">IFERROR(__xludf.DUMMYFUNCTION("""COMPUTED_VALUE"""),"C202622092248328206")</f>
        <v>C202622092248328206</v>
      </c>
      <c r="J373" s="33" t="str">
        <f ca="1">IFERROR(__xludf.DUMMYFUNCTION("""COMPUTED_VALUE"""),"FRANCISCO POLICARPO VERAS")</f>
        <v>FRANCISCO POLICARPO VERAS</v>
      </c>
      <c r="K373" s="56">
        <f ca="1">IFERROR(__xludf.DUMMYFUNCTION("""COMPUTED_VALUE"""),2)</f>
        <v>2</v>
      </c>
      <c r="L373" s="62">
        <f ca="1">IFERROR(__xludf.DUMMYFUNCTION("""COMPUTED_VALUE"""),2718.18)</f>
        <v>2718.18</v>
      </c>
      <c r="M373" s="33" t="str">
        <f ca="1">IFERROR(__xludf.DUMMYFUNCTION("""COMPUTED_VALUE"""),"03 ORL")</f>
        <v>03 ORL</v>
      </c>
      <c r="N373" s="33" t="str">
        <f ca="1">IFERROR(__xludf.DUMMYFUNCTION("""COMPUTED_VALUE"""),"06 ORL")</f>
        <v>06 ORL</v>
      </c>
      <c r="O373" s="33" t="str">
        <f ca="1">IFERROR(__xludf.DUMMYFUNCTION("""COMPUTED_VALUE"""),"Dra, Cristina García García")</f>
        <v>Dra, Cristina García García</v>
      </c>
      <c r="P373" s="33" t="str">
        <f ca="1">IFERROR(__xludf.DUMMYFUNCTION("""COMPUTED_VALUE"""),"Maika Blázquez (Madrid)")</f>
        <v>Maika Blázquez (Madrid)</v>
      </c>
    </row>
    <row r="374" spans="2:16">
      <c r="B374" s="74">
        <f ca="1">IFERROR(__xludf.DUMMYFUNCTION("""COMPUTED_VALUE"""),2026)</f>
        <v>2026</v>
      </c>
      <c r="C374" s="56">
        <f ca="1">IFERROR(__xludf.DUMMYFUNCTION("""COMPUTED_VALUE"""),3)</f>
        <v>3</v>
      </c>
      <c r="D374" s="33" t="str">
        <f ca="1">IFERROR(__xludf.DUMMYFUNCTION("""COMPUTED_VALUE"""),"NO")</f>
        <v>NO</v>
      </c>
      <c r="E374" s="33" t="str">
        <f ca="1">IFERROR(__xludf.DUMMYFUNCTION("""COMPUTED_VALUE"""),"Leganés")</f>
        <v>Leganés</v>
      </c>
      <c r="F374" s="57">
        <f ca="1">IFERROR(__xludf.DUMMYFUNCTION("""COMPUTED_VALUE"""),46099)</f>
        <v>46099</v>
      </c>
      <c r="G374" s="57">
        <f ca="1">IFERROR(__xludf.DUMMYFUNCTION("""COMPUTED_VALUE"""),46042)</f>
        <v>46042</v>
      </c>
      <c r="H374" s="33" t="str">
        <f ca="1">IFERROR(__xludf.DUMMYFUNCTION("""COMPUTED_VALUE"""),"Leganés")</f>
        <v>Leganés</v>
      </c>
      <c r="I374" s="33" t="str">
        <f ca="1">IFERROR(__xludf.DUMMYFUNCTION("""COMPUTED_VALUE"""),"C202612092442830153")</f>
        <v>C202612092442830153</v>
      </c>
      <c r="J374" s="33" t="str">
        <f ca="1">IFERROR(__xludf.DUMMYFUNCTION("""COMPUTED_VALUE"""),"ALVARO LADRON DE GUEVARA CUESTA")</f>
        <v>ALVARO LADRON DE GUEVARA CUESTA</v>
      </c>
      <c r="K374" s="56">
        <f ca="1">IFERROR(__xludf.DUMMYFUNCTION("""COMPUTED_VALUE"""),1)</f>
        <v>1</v>
      </c>
      <c r="L374" s="62">
        <f ca="1">IFERROR(__xludf.DUMMYFUNCTION("""COMPUTED_VALUE"""),2481.82)</f>
        <v>2481.8200000000002</v>
      </c>
      <c r="M374" s="33" t="str">
        <f ca="1">IFERROR(__xludf.DUMMYFUNCTION("""COMPUTED_VALUE"""),"03 ORL")</f>
        <v>03 ORL</v>
      </c>
      <c r="N374" s="33" t="str">
        <f ca="1">IFERROR(__xludf.DUMMYFUNCTION("""COMPUTED_VALUE"""),"06 ORL")</f>
        <v>06 ORL</v>
      </c>
      <c r="O374" s="33" t="str">
        <f ca="1">IFERROR(__xludf.DUMMYFUNCTION("""COMPUTED_VALUE"""),"Dra, Mar Lasso de la Vega Zamora")</f>
        <v>Dra, Mar Lasso de la Vega Zamora</v>
      </c>
      <c r="P374" s="33" t="str">
        <f ca="1">IFERROR(__xludf.DUMMYFUNCTION("""COMPUTED_VALUE"""),"Maika Blázquez (Madrid)")</f>
        <v>Maika Blázquez (Madrid)</v>
      </c>
    </row>
    <row r="375" spans="2:16">
      <c r="B375" s="74">
        <f ca="1">IFERROR(__xludf.DUMMYFUNCTION("""COMPUTED_VALUE"""),2026)</f>
        <v>2026</v>
      </c>
      <c r="C375" s="56">
        <f ca="1">IFERROR(__xludf.DUMMYFUNCTION("""COMPUTED_VALUE"""),3)</f>
        <v>3</v>
      </c>
      <c r="D375" s="33" t="str">
        <f ca="1">IFERROR(__xludf.DUMMYFUNCTION("""COMPUTED_VALUE"""),"NO")</f>
        <v>NO</v>
      </c>
      <c r="E375" s="33" t="str">
        <f ca="1">IFERROR(__xludf.DUMMYFUNCTION("""COMPUTED_VALUE"""),"Valladolid")</f>
        <v>Valladolid</v>
      </c>
      <c r="F375" s="57">
        <f ca="1">IFERROR(__xludf.DUMMYFUNCTION("""COMPUTED_VALUE"""),46099)</f>
        <v>46099</v>
      </c>
      <c r="G375" s="57">
        <f ca="1">IFERROR(__xludf.DUMMYFUNCTION("""COMPUTED_VALUE"""),45180)</f>
        <v>45180</v>
      </c>
      <c r="H375" s="33" t="str">
        <f ca="1">IFERROR(__xludf.DUMMYFUNCTION("""COMPUTED_VALUE"""),"Valladolid")</f>
        <v>Valladolid</v>
      </c>
      <c r="I375" s="33" t="str">
        <f ca="1">IFERROR(__xludf.DUMMYFUNCTION("""COMPUTED_VALUE"""),"VLL-61")</f>
        <v>VLL-61</v>
      </c>
      <c r="J375" s="33" t="str">
        <f ca="1">IFERROR(__xludf.DUMMYFUNCTION("""COMPUTED_VALUE"""),"TOMAS DEL CAMPO LOPEZ")</f>
        <v>TOMAS DEL CAMPO LOPEZ</v>
      </c>
      <c r="K375" s="56">
        <f ca="1">IFERROR(__xludf.DUMMYFUNCTION("""COMPUTED_VALUE"""),1)</f>
        <v>1</v>
      </c>
      <c r="L375" s="62">
        <f ca="1">IFERROR(__xludf.DUMMYFUNCTION("""COMPUTED_VALUE"""),1636.36)</f>
        <v>1636.36</v>
      </c>
      <c r="M375" s="33" t="str">
        <f ca="1">IFERROR(__xludf.DUMMYFUNCTION("""COMPUTED_VALUE"""),"03 ORL")</f>
        <v>03 ORL</v>
      </c>
      <c r="N375" s="33" t="str">
        <f ca="1">IFERROR(__xludf.DUMMYFUNCTION("""COMPUTED_VALUE"""),"06 ORL")</f>
        <v>06 ORL</v>
      </c>
      <c r="O375" s="33" t="str">
        <f ca="1">IFERROR(__xludf.DUMMYFUNCTION("""COMPUTED_VALUE"""),"Dra, Patricia Viveros Diez")</f>
        <v>Dra, Patricia Viveros Diez</v>
      </c>
      <c r="P375" s="33" t="str">
        <f ca="1">IFERROR(__xludf.DUMMYFUNCTION("""COMPUTED_VALUE"""),"Alberto Moreno (Madrid)")</f>
        <v>Alberto Moreno (Madrid)</v>
      </c>
    </row>
    <row r="376" spans="2:16">
      <c r="B376" s="74">
        <f ca="1">IFERROR(__xludf.DUMMYFUNCTION("""COMPUTED_VALUE"""),2026)</f>
        <v>2026</v>
      </c>
      <c r="C376" s="56">
        <f ca="1">IFERROR(__xludf.DUMMYFUNCTION("""COMPUTED_VALUE"""),3)</f>
        <v>3</v>
      </c>
      <c r="D376" s="33" t="str">
        <f ca="1">IFERROR(__xludf.DUMMYFUNCTION("""COMPUTED_VALUE"""),"NO")</f>
        <v>NO</v>
      </c>
      <c r="E376" s="33" t="str">
        <f ca="1">IFERROR(__xludf.DUMMYFUNCTION("""COMPUTED_VALUE"""),"Madrid- Canillas")</f>
        <v>Madrid- Canillas</v>
      </c>
      <c r="F376" s="57">
        <f ca="1">IFERROR(__xludf.DUMMYFUNCTION("""COMPUTED_VALUE"""),46099)</f>
        <v>46099</v>
      </c>
      <c r="G376" s="57">
        <f ca="1">IFERROR(__xludf.DUMMYFUNCTION("""COMPUTED_VALUE"""),46079)</f>
        <v>46079</v>
      </c>
      <c r="H376" s="33" t="str">
        <f ca="1">IFERROR(__xludf.DUMMYFUNCTION("""COMPUTED_VALUE"""),"Canillas")</f>
        <v>Canillas</v>
      </c>
      <c r="I376" s="33" t="str">
        <f ca="1">IFERROR(__xludf.DUMMYFUNCTION("""COMPUTED_VALUE"""),"C20262261201663579")</f>
        <v>C20262261201663579</v>
      </c>
      <c r="J376" s="33" t="str">
        <f ca="1">IFERROR(__xludf.DUMMYFUNCTION("""COMPUTED_VALUE"""),"CARMEN ESTEBAN MARTÍNEZ")</f>
        <v>CARMEN ESTEBAN MARTÍNEZ</v>
      </c>
      <c r="K376" s="56">
        <f ca="1">IFERROR(__xludf.DUMMYFUNCTION("""COMPUTED_VALUE"""),2)</f>
        <v>2</v>
      </c>
      <c r="L376" s="62">
        <f ca="1">IFERROR(__xludf.DUMMYFUNCTION("""COMPUTED_VALUE"""),2718.18)</f>
        <v>2718.18</v>
      </c>
      <c r="M376" s="33" t="str">
        <f ca="1">IFERROR(__xludf.DUMMYFUNCTION("""COMPUTED_VALUE"""),"03 ORL")</f>
        <v>03 ORL</v>
      </c>
      <c r="N376" s="33" t="str">
        <f ca="1">IFERROR(__xludf.DUMMYFUNCTION("""COMPUTED_VALUE"""),"06 ORL")</f>
        <v>06 ORL</v>
      </c>
      <c r="O376" s="33" t="str">
        <f ca="1">IFERROR(__xludf.DUMMYFUNCTION("""COMPUTED_VALUE"""),"Dr, José Gustavo Barroso Braojos")</f>
        <v>Dr, José Gustavo Barroso Braojos</v>
      </c>
      <c r="P376" s="33" t="str">
        <f ca="1">IFERROR(__xludf.DUMMYFUNCTION("""COMPUTED_VALUE"""),"Maika Blázquez (Madrid)")</f>
        <v>Maika Blázquez (Madrid)</v>
      </c>
    </row>
    <row r="377" spans="2:16">
      <c r="B377" s="74">
        <f ca="1">IFERROR(__xludf.DUMMYFUNCTION("""COMPUTED_VALUE"""),2026)</f>
        <v>2026</v>
      </c>
      <c r="C377" s="56">
        <f ca="1">IFERROR(__xludf.DUMMYFUNCTION("""COMPUTED_VALUE"""),3)</f>
        <v>3</v>
      </c>
      <c r="D377" s="33" t="str">
        <f ca="1">IFERROR(__xludf.DUMMYFUNCTION("""COMPUTED_VALUE"""),"NO")</f>
        <v>NO</v>
      </c>
      <c r="E377" s="33" t="str">
        <f ca="1">IFERROR(__xludf.DUMMYFUNCTION("""COMPUTED_VALUE"""),"Ponferrada")</f>
        <v>Ponferrada</v>
      </c>
      <c r="F377" s="57">
        <f ca="1">IFERROR(__xludf.DUMMYFUNCTION("""COMPUTED_VALUE"""),46099)</f>
        <v>46099</v>
      </c>
      <c r="G377" s="57">
        <f ca="1">IFERROR(__xludf.DUMMYFUNCTION("""COMPUTED_VALUE"""),46052)</f>
        <v>46052</v>
      </c>
      <c r="H377" s="33" t="str">
        <f ca="1">IFERROR(__xludf.DUMMYFUNCTION("""COMPUTED_VALUE"""),"Ponferrada")</f>
        <v>Ponferrada</v>
      </c>
      <c r="I377" s="33" t="str">
        <f ca="1">IFERROR(__xludf.DUMMYFUNCTION("""COMPUTED_VALUE"""),"C202613011434597541")</f>
        <v>C202613011434597541</v>
      </c>
      <c r="J377" s="33" t="str">
        <f ca="1">IFERROR(__xludf.DUMMYFUNCTION("""COMPUTED_VALUE"""),"PORFILIO ALBA PONCELAS")</f>
        <v>PORFILIO ALBA PONCELAS</v>
      </c>
      <c r="K377" s="56">
        <f ca="1">IFERROR(__xludf.DUMMYFUNCTION("""COMPUTED_VALUE"""),2)</f>
        <v>2</v>
      </c>
      <c r="L377" s="62">
        <f ca="1">IFERROR(__xludf.DUMMYFUNCTION("""COMPUTED_VALUE"""),3909.09)</f>
        <v>3909.09</v>
      </c>
      <c r="M377" s="33" t="str">
        <f ca="1">IFERROR(__xludf.DUMMYFUNCTION("""COMPUTED_VALUE"""),"03 ORL")</f>
        <v>03 ORL</v>
      </c>
      <c r="N377" s="33" t="str">
        <f ca="1">IFERROR(__xludf.DUMMYFUNCTION("""COMPUTED_VALUE"""),"22 AUDIOMETRIA CLINICA")</f>
        <v>22 AUDIOMETRIA CLINICA</v>
      </c>
      <c r="O377" s="33" t="str">
        <f ca="1">IFERROR(__xludf.DUMMYFUNCTION("""COMPUTED_VALUE"""),"No recuerda ORL")</f>
        <v>No recuerda ORL</v>
      </c>
      <c r="P377" s="33" t="str">
        <f ca="1">IFERROR(__xludf.DUMMYFUNCTION("""COMPUTED_VALUE"""),"Alberto Moreno (Madrid)")</f>
        <v>Alberto Moreno (Madrid)</v>
      </c>
    </row>
    <row r="378" spans="2:16">
      <c r="B378" s="74">
        <f ca="1">IFERROR(__xludf.DUMMYFUNCTION("""COMPUTED_VALUE"""),2026)</f>
        <v>2026</v>
      </c>
      <c r="C378" s="56">
        <f ca="1">IFERROR(__xludf.DUMMYFUNCTION("""COMPUTED_VALUE"""),3)</f>
        <v>3</v>
      </c>
      <c r="D378" s="33" t="str">
        <f ca="1">IFERROR(__xludf.DUMMYFUNCTION("""COMPUTED_VALUE"""),"NO")</f>
        <v>NO</v>
      </c>
      <c r="E378" s="33" t="str">
        <f ca="1">IFERROR(__xludf.DUMMYFUNCTION("""COMPUTED_VALUE"""),"Madrid- Juan Bravo")</f>
        <v>Madrid- Juan Bravo</v>
      </c>
      <c r="F378" s="57">
        <f ca="1">IFERROR(__xludf.DUMMYFUNCTION("""COMPUTED_VALUE"""),46099)</f>
        <v>46099</v>
      </c>
      <c r="G378" s="57">
        <f ca="1">IFERROR(__xludf.DUMMYFUNCTION("""COMPUTED_VALUE"""),46078)</f>
        <v>46078</v>
      </c>
      <c r="H378" s="33" t="str">
        <f ca="1">IFERROR(__xludf.DUMMYFUNCTION("""COMPUTED_VALUE"""),"Juan Bravo")</f>
        <v>Juan Bravo</v>
      </c>
      <c r="I378" s="33" t="str">
        <f ca="1">IFERROR(__xludf.DUMMYFUNCTION("""COMPUTED_VALUE"""),"C202622595331963569")</f>
        <v>C202622595331963569</v>
      </c>
      <c r="J378" s="33" t="str">
        <f ca="1">IFERROR(__xludf.DUMMYFUNCTION("""COMPUTED_VALUE"""),"ALMUDENA HAURIE MENA")</f>
        <v>ALMUDENA HAURIE MENA</v>
      </c>
      <c r="K378" s="56">
        <f ca="1">IFERROR(__xludf.DUMMYFUNCTION("""COMPUTED_VALUE"""),2)</f>
        <v>2</v>
      </c>
      <c r="L378" s="62">
        <f ca="1">IFERROR(__xludf.DUMMYFUNCTION("""COMPUTED_VALUE"""),2718.18)</f>
        <v>2718.18</v>
      </c>
      <c r="M378" s="33" t="str">
        <f ca="1">IFERROR(__xludf.DUMMYFUNCTION("""COMPUTED_VALUE"""),"03 ORL")</f>
        <v>03 ORL</v>
      </c>
      <c r="N378" s="33" t="str">
        <f ca="1">IFERROR(__xludf.DUMMYFUNCTION("""COMPUTED_VALUE"""),"06 ORL")</f>
        <v>06 ORL</v>
      </c>
      <c r="O378" s="33" t="str">
        <f ca="1">IFERROR(__xludf.DUMMYFUNCTION("""COMPUTED_VALUE"""),"Dra, María Cecilia Scola Torres")</f>
        <v>Dra, María Cecilia Scola Torres</v>
      </c>
      <c r="P378" s="33" t="str">
        <f ca="1">IFERROR(__xludf.DUMMYFUNCTION("""COMPUTED_VALUE"""),"Maika Blázquez (Madrid)")</f>
        <v>Maika Blázquez (Madrid)</v>
      </c>
    </row>
    <row r="379" spans="2:16">
      <c r="B379" s="74">
        <f ca="1">IFERROR(__xludf.DUMMYFUNCTION("""COMPUTED_VALUE"""),2026)</f>
        <v>2026</v>
      </c>
      <c r="C379" s="56">
        <f ca="1">IFERROR(__xludf.DUMMYFUNCTION("""COMPUTED_VALUE"""),3)</f>
        <v>3</v>
      </c>
      <c r="D379" s="33" t="str">
        <f ca="1">IFERROR(__xludf.DUMMYFUNCTION("""COMPUTED_VALUE"""),"NO")</f>
        <v>NO</v>
      </c>
      <c r="E379" s="33" t="str">
        <f ca="1">IFERROR(__xludf.DUMMYFUNCTION("""COMPUTED_VALUE"""),"Getafe")</f>
        <v>Getafe</v>
      </c>
      <c r="F379" s="57">
        <f ca="1">IFERROR(__xludf.DUMMYFUNCTION("""COMPUTED_VALUE"""),46099)</f>
        <v>46099</v>
      </c>
      <c r="G379" s="57">
        <f ca="1">IFERROR(__xludf.DUMMYFUNCTION("""COMPUTED_VALUE"""),46036)</f>
        <v>46036</v>
      </c>
      <c r="H379" s="33" t="str">
        <f ca="1">IFERROR(__xludf.DUMMYFUNCTION("""COMPUTED_VALUE"""),"Getafe")</f>
        <v>Getafe</v>
      </c>
      <c r="I379" s="33" t="str">
        <f ca="1">IFERROR(__xludf.DUMMYFUNCTION("""COMPUTED_VALUE"""),"C202611410423796600")</f>
        <v>C202611410423796600</v>
      </c>
      <c r="J379" s="33" t="str">
        <f ca="1">IFERROR(__xludf.DUMMYFUNCTION("""COMPUTED_VALUE"""),"PILAR SANCHO HERNANDEZ")</f>
        <v>PILAR SANCHO HERNANDEZ</v>
      </c>
      <c r="K379" s="56">
        <f ca="1">IFERROR(__xludf.DUMMYFUNCTION("""COMPUTED_VALUE"""),1)</f>
        <v>1</v>
      </c>
      <c r="L379" s="62">
        <f ca="1">IFERROR(__xludf.DUMMYFUNCTION("""COMPUTED_VALUE"""),2180.91)</f>
        <v>2180.91</v>
      </c>
      <c r="M379" s="33" t="str">
        <f ca="1">IFERROR(__xludf.DUMMYFUNCTION("""COMPUTED_VALUE"""),"03 ORL")</f>
        <v>03 ORL</v>
      </c>
      <c r="N379" s="33" t="str">
        <f ca="1">IFERROR(__xludf.DUMMYFUNCTION("""COMPUTED_VALUE"""),"06 ORL")</f>
        <v>06 ORL</v>
      </c>
      <c r="O379" s="33" t="str">
        <f ca="1">IFERROR(__xludf.DUMMYFUNCTION("""COMPUTED_VALUE"""),"Dr, Alejandro Harguindey Antoli-Candela")</f>
        <v>Dr, Alejandro Harguindey Antoli-Candela</v>
      </c>
      <c r="P379" s="33" t="str">
        <f ca="1">IFERROR(__xludf.DUMMYFUNCTION("""COMPUTED_VALUE"""),"Maika Blázquez (Madrid)")</f>
        <v>Maika Blázquez (Madrid)</v>
      </c>
    </row>
    <row r="380" spans="2:16">
      <c r="B380" s="74">
        <f ca="1">IFERROR(__xludf.DUMMYFUNCTION("""COMPUTED_VALUE"""),2026)</f>
        <v>2026</v>
      </c>
      <c r="C380" s="56">
        <f ca="1">IFERROR(__xludf.DUMMYFUNCTION("""COMPUTED_VALUE"""),3)</f>
        <v>3</v>
      </c>
      <c r="D380" s="33" t="str">
        <f ca="1">IFERROR(__xludf.DUMMYFUNCTION("""COMPUTED_VALUE"""),"NO")</f>
        <v>NO</v>
      </c>
      <c r="E380" s="33" t="str">
        <f ca="1">IFERROR(__xludf.DUMMYFUNCTION("""COMPUTED_VALUE"""),"Murcia")</f>
        <v>Murcia</v>
      </c>
      <c r="F380" s="57">
        <f ca="1">IFERROR(__xludf.DUMMYFUNCTION("""COMPUTED_VALUE"""),46099)</f>
        <v>46099</v>
      </c>
      <c r="G380" s="57">
        <f ca="1">IFERROR(__xludf.DUMMYFUNCTION("""COMPUTED_VALUE"""),46069)</f>
        <v>46069</v>
      </c>
      <c r="H380" s="33" t="str">
        <f ca="1">IFERROR(__xludf.DUMMYFUNCTION("""COMPUTED_VALUE"""),"Murcia")</f>
        <v>Murcia</v>
      </c>
      <c r="I380" s="33" t="str">
        <f ca="1">IFERROR(__xludf.DUMMYFUNCTION("""COMPUTED_VALUE"""),"C202621610292016314")</f>
        <v>C202621610292016314</v>
      </c>
      <c r="J380" s="33" t="str">
        <f ca="1">IFERROR(__xludf.DUMMYFUNCTION("""COMPUTED_VALUE"""),"FRANCISCO MOTOS VELEZ")</f>
        <v>FRANCISCO MOTOS VELEZ</v>
      </c>
      <c r="K380" s="56">
        <f ca="1">IFERROR(__xludf.DUMMYFUNCTION("""COMPUTED_VALUE"""),2)</f>
        <v>2</v>
      </c>
      <c r="L380" s="62">
        <f ca="1">IFERROR(__xludf.DUMMYFUNCTION("""COMPUTED_VALUE"""),2717.31)</f>
        <v>2717.31</v>
      </c>
      <c r="M380" s="33" t="str">
        <f ca="1">IFERROR(__xludf.DUMMYFUNCTION("""COMPUTED_VALUE"""),"03 ORL")</f>
        <v>03 ORL</v>
      </c>
      <c r="N380" s="33" t="str">
        <f ca="1">IFERROR(__xludf.DUMMYFUNCTION("""COMPUTED_VALUE"""),"06 ORL")</f>
        <v>06 ORL</v>
      </c>
      <c r="O380" s="33" t="str">
        <f ca="1">IFERROR(__xludf.DUMMYFUNCTION("""COMPUTED_VALUE"""),"Dra, Nuria Salas Barrio")</f>
        <v>Dra, Nuria Salas Barrio</v>
      </c>
      <c r="P380" s="33" t="str">
        <f ca="1">IFERROR(__xludf.DUMMYFUNCTION("""COMPUTED_VALUE"""),"Iván Sánchez (Levante y Albacete)")</f>
        <v>Iván Sánchez (Levante y Albacete)</v>
      </c>
    </row>
    <row r="381" spans="2:16">
      <c r="B381" s="74">
        <f ca="1">IFERROR(__xludf.DUMMYFUNCTION("""COMPUTED_VALUE"""),2026)</f>
        <v>2026</v>
      </c>
      <c r="C381" s="56">
        <f ca="1">IFERROR(__xludf.DUMMYFUNCTION("""COMPUTED_VALUE"""),3)</f>
        <v>3</v>
      </c>
      <c r="D381" s="33" t="str">
        <f ca="1">IFERROR(__xludf.DUMMYFUNCTION("""COMPUTED_VALUE"""),"NO")</f>
        <v>NO</v>
      </c>
      <c r="E381" s="33" t="str">
        <f ca="1">IFERROR(__xludf.DUMMYFUNCTION("""COMPUTED_VALUE"""),"Alicante")</f>
        <v>Alicante</v>
      </c>
      <c r="F381" s="57">
        <f ca="1">IFERROR(__xludf.DUMMYFUNCTION("""COMPUTED_VALUE"""),46099)</f>
        <v>46099</v>
      </c>
      <c r="G381" s="57">
        <f ca="1">IFERROR(__xludf.DUMMYFUNCTION("""COMPUTED_VALUE"""),46069)</f>
        <v>46069</v>
      </c>
      <c r="H381" s="33" t="str">
        <f ca="1">IFERROR(__xludf.DUMMYFUNCTION("""COMPUTED_VALUE"""),"Alicante")</f>
        <v>Alicante</v>
      </c>
      <c r="I381" s="33" t="str">
        <f ca="1">IFERROR(__xludf.DUMMYFUNCTION("""COMPUTED_VALUE"""),"C202621615224716087")</f>
        <v>C202621615224716087</v>
      </c>
      <c r="J381" s="33" t="str">
        <f ca="1">IFERROR(__xludf.DUMMYFUNCTION("""COMPUTED_VALUE"""),"LUIS RAMON MATAIX")</f>
        <v>LUIS RAMON MATAIX</v>
      </c>
      <c r="K381" s="56">
        <f ca="1">IFERROR(__xludf.DUMMYFUNCTION("""COMPUTED_VALUE"""),1)</f>
        <v>1</v>
      </c>
      <c r="L381" s="62">
        <f ca="1">IFERROR(__xludf.DUMMYFUNCTION("""COMPUTED_VALUE"""),2481.82)</f>
        <v>2481.8200000000002</v>
      </c>
      <c r="M381" s="33" t="str">
        <f ca="1">IFERROR(__xludf.DUMMYFUNCTION("""COMPUTED_VALUE"""),"03 ORL")</f>
        <v>03 ORL</v>
      </c>
      <c r="N381" s="33" t="str">
        <f ca="1">IFERROR(__xludf.DUMMYFUNCTION("""COMPUTED_VALUE"""),"06 ORL")</f>
        <v>06 ORL</v>
      </c>
      <c r="O381" s="33" t="str">
        <f ca="1">IFERROR(__xludf.DUMMYFUNCTION("""COMPUTED_VALUE"""),"Dr, Oscar Alemán López")</f>
        <v>Dr, Oscar Alemán López</v>
      </c>
      <c r="P381" s="33" t="str">
        <f ca="1">IFERROR(__xludf.DUMMYFUNCTION("""COMPUTED_VALUE"""),"Iván Sánchez (Levante y Albacete)")</f>
        <v>Iván Sánchez (Levante y Albacete)</v>
      </c>
    </row>
    <row r="382" spans="2:16">
      <c r="B382" s="74">
        <f ca="1">IFERROR(__xludf.DUMMYFUNCTION("""COMPUTED_VALUE"""),2026)</f>
        <v>2026</v>
      </c>
      <c r="C382" s="56">
        <f ca="1">IFERROR(__xludf.DUMMYFUNCTION("""COMPUTED_VALUE"""),3)</f>
        <v>3</v>
      </c>
      <c r="D382" s="33" t="str">
        <f ca="1">IFERROR(__xludf.DUMMYFUNCTION("""COMPUTED_VALUE"""),"NO")</f>
        <v>NO</v>
      </c>
      <c r="E382" s="33" t="str">
        <f ca="1">IFERROR(__xludf.DUMMYFUNCTION("""COMPUTED_VALUE"""),"Fuenlabrada")</f>
        <v>Fuenlabrada</v>
      </c>
      <c r="F382" s="57">
        <f ca="1">IFERROR(__xludf.DUMMYFUNCTION("""COMPUTED_VALUE"""),46100)</f>
        <v>46100</v>
      </c>
      <c r="G382" s="57">
        <f ca="1">IFERROR(__xludf.DUMMYFUNCTION("""COMPUTED_VALUE"""),46063)</f>
        <v>46063</v>
      </c>
      <c r="H382" s="33" t="str">
        <f ca="1">IFERROR(__xludf.DUMMYFUNCTION("""COMPUTED_VALUE"""),"Fuenlabrada")</f>
        <v>Fuenlabrada</v>
      </c>
      <c r="I382" s="33" t="str">
        <f ca="1">IFERROR(__xludf.DUMMYFUNCTION("""COMPUTED_VALUE"""),"C20262101044647935")</f>
        <v>C20262101044647935</v>
      </c>
      <c r="J382" s="33" t="str">
        <f ca="1">IFERROR(__xludf.DUMMYFUNCTION("""COMPUTED_VALUE"""),"MANUEL COBOS SANCHEZ")</f>
        <v>MANUEL COBOS SANCHEZ</v>
      </c>
      <c r="K382" s="56">
        <f ca="1">IFERROR(__xludf.DUMMYFUNCTION("""COMPUTED_VALUE"""),2)</f>
        <v>2</v>
      </c>
      <c r="L382" s="62">
        <f ca="1">IFERROR(__xludf.DUMMYFUNCTION("""COMPUTED_VALUE"""),2528.18)</f>
        <v>2528.1799999999998</v>
      </c>
      <c r="M382" s="33" t="str">
        <f ca="1">IFERROR(__xludf.DUMMYFUNCTION("""COMPUTED_VALUE"""),"03 ORL")</f>
        <v>03 ORL</v>
      </c>
      <c r="N382" s="33" t="str">
        <f ca="1">IFERROR(__xludf.DUMMYFUNCTION("""COMPUTED_VALUE"""),"06 ORL")</f>
        <v>06 ORL</v>
      </c>
      <c r="O382" s="33" t="str">
        <f ca="1">IFERROR(__xludf.DUMMYFUNCTION("""COMPUTED_VALUE"""),"Dr, Ramón Martínez Carranza")</f>
        <v>Dr, Ramón Martínez Carranza</v>
      </c>
      <c r="P382" s="33" t="str">
        <f ca="1">IFERROR(__xludf.DUMMYFUNCTION("""COMPUTED_VALUE"""),"Lisandro Russian (Madrid, Cáceres, Toledo, Talavera y Logroño)")</f>
        <v>Lisandro Russian (Madrid, Cáceres, Toledo, Talavera y Logroño)</v>
      </c>
    </row>
    <row r="383" spans="2:16">
      <c r="B383" s="74">
        <f ca="1">IFERROR(__xludf.DUMMYFUNCTION("""COMPUTED_VALUE"""),2026)</f>
        <v>2026</v>
      </c>
      <c r="C383" s="56">
        <f ca="1">IFERROR(__xludf.DUMMYFUNCTION("""COMPUTED_VALUE"""),3)</f>
        <v>3</v>
      </c>
      <c r="D383" s="33" t="str">
        <f ca="1">IFERROR(__xludf.DUMMYFUNCTION("""COMPUTED_VALUE"""),"NO")</f>
        <v>NO</v>
      </c>
      <c r="E383" s="33" t="str">
        <f ca="1">IFERROR(__xludf.DUMMYFUNCTION("""COMPUTED_VALUE"""),"Ponferrada")</f>
        <v>Ponferrada</v>
      </c>
      <c r="F383" s="57">
        <f ca="1">IFERROR(__xludf.DUMMYFUNCTION("""COMPUTED_VALUE"""),46100)</f>
        <v>46100</v>
      </c>
      <c r="G383" s="57">
        <f ca="1">IFERROR(__xludf.DUMMYFUNCTION("""COMPUTED_VALUE"""),46010)</f>
        <v>46010</v>
      </c>
      <c r="H383" s="33" t="str">
        <f ca="1">IFERROR(__xludf.DUMMYFUNCTION("""COMPUTED_VALUE"""),"Ponferrada")</f>
        <v>Ponferrada</v>
      </c>
      <c r="I383" s="33" t="str">
        <f ca="1">IFERROR(__xludf.DUMMYFUNCTION("""COMPUTED_VALUE"""),"C202512191234333691")</f>
        <v>C202512191234333691</v>
      </c>
      <c r="J383" s="33" t="str">
        <f ca="1">IFERROR(__xludf.DUMMYFUNCTION("""COMPUTED_VALUE"""),"ANA CRISTINA   MENDEZ ARIAS")</f>
        <v>ANA CRISTINA   MENDEZ ARIAS</v>
      </c>
      <c r="K383" s="56">
        <f ca="1">IFERROR(__xludf.DUMMYFUNCTION("""COMPUTED_VALUE"""),1)</f>
        <v>1</v>
      </c>
      <c r="L383" s="62">
        <f ca="1">IFERROR(__xludf.DUMMYFUNCTION("""COMPUTED_VALUE"""),2090.91)</f>
        <v>2090.91</v>
      </c>
      <c r="M383" s="33" t="str">
        <f ca="1">IFERROR(__xludf.DUMMYFUNCTION("""COMPUTED_VALUE"""),"03 ORL")</f>
        <v>03 ORL</v>
      </c>
      <c r="N383" s="33" t="str">
        <f ca="1">IFERROR(__xludf.DUMMYFUNCTION("""COMPUTED_VALUE"""),"06 ORL")</f>
        <v>06 ORL</v>
      </c>
      <c r="O383" s="33" t="str">
        <f ca="1">IFERROR(__xludf.DUMMYFUNCTION("""COMPUTED_VALUE"""),"Dra, Mónica Granda Rosales")</f>
        <v>Dra, Mónica Granda Rosales</v>
      </c>
      <c r="P383" s="33" t="str">
        <f ca="1">IFERROR(__xludf.DUMMYFUNCTION("""COMPUTED_VALUE"""),"Alberto Moreno (Madrid)")</f>
        <v>Alberto Moreno (Madrid)</v>
      </c>
    </row>
    <row r="384" spans="2:16">
      <c r="B384" s="74">
        <f ca="1">IFERROR(__xludf.DUMMYFUNCTION("""COMPUTED_VALUE"""),2026)</f>
        <v>2026</v>
      </c>
      <c r="C384" s="56">
        <f ca="1">IFERROR(__xludf.DUMMYFUNCTION("""COMPUTED_VALUE"""),3)</f>
        <v>3</v>
      </c>
      <c r="D384" s="33" t="str">
        <f ca="1">IFERROR(__xludf.DUMMYFUNCTION("""COMPUTED_VALUE"""),"NO")</f>
        <v>NO</v>
      </c>
      <c r="E384" s="33" t="str">
        <f ca="1">IFERROR(__xludf.DUMMYFUNCTION("""COMPUTED_VALUE"""),"Logroño")</f>
        <v>Logroño</v>
      </c>
      <c r="F384" s="57">
        <f ca="1">IFERROR(__xludf.DUMMYFUNCTION("""COMPUTED_VALUE"""),46100)</f>
        <v>46100</v>
      </c>
      <c r="G384" s="57">
        <f ca="1">IFERROR(__xludf.DUMMYFUNCTION("""COMPUTED_VALUE"""),45973)</f>
        <v>45973</v>
      </c>
      <c r="H384" s="33" t="str">
        <f ca="1">IFERROR(__xludf.DUMMYFUNCTION("""COMPUTED_VALUE"""),"Logroño")</f>
        <v>Logroño</v>
      </c>
      <c r="I384" s="33" t="str">
        <f ca="1">IFERROR(__xludf.DUMMYFUNCTION("""COMPUTED_VALUE"""),"C202511121113594439")</f>
        <v>C202511121113594439</v>
      </c>
      <c r="J384" s="33" t="str">
        <f ca="1">IFERROR(__xludf.DUMMYFUNCTION("""COMPUTED_VALUE"""),"SILVIA REVUELTO GONZALEZ")</f>
        <v>SILVIA REVUELTO GONZALEZ</v>
      </c>
      <c r="K384" s="56">
        <f ca="1">IFERROR(__xludf.DUMMYFUNCTION("""COMPUTED_VALUE"""),1)</f>
        <v>1</v>
      </c>
      <c r="L384" s="62">
        <f ca="1">IFERROR(__xludf.DUMMYFUNCTION("""COMPUTED_VALUE"""),1454.55)</f>
        <v>1454.55</v>
      </c>
      <c r="M384" s="33" t="str">
        <f ca="1">IFERROR(__xludf.DUMMYFUNCTION("""COMPUTED_VALUE"""),"03 ORL")</f>
        <v>03 ORL</v>
      </c>
      <c r="N384" s="33" t="str">
        <f ca="1">IFERROR(__xludf.DUMMYFUNCTION("""COMPUTED_VALUE"""),"06 ORL")</f>
        <v>06 ORL</v>
      </c>
      <c r="O384" s="33" t="str">
        <f ca="1">IFERROR(__xludf.DUMMYFUNCTION("""COMPUTED_VALUE"""),"No recuerda ORL")</f>
        <v>No recuerda ORL</v>
      </c>
      <c r="P384" s="33" t="str">
        <f ca="1">IFERROR(__xludf.DUMMYFUNCTION("""COMPUTED_VALUE"""),"Lisandro Russian (Madrid, Cáceres, Toledo, Talavera y Logroño)")</f>
        <v>Lisandro Russian (Madrid, Cáceres, Toledo, Talavera y Logroño)</v>
      </c>
    </row>
    <row r="385" spans="2:16">
      <c r="B385" s="74">
        <f ca="1">IFERROR(__xludf.DUMMYFUNCTION("""COMPUTED_VALUE"""),2026)</f>
        <v>2026</v>
      </c>
      <c r="C385" s="56">
        <f ca="1">IFERROR(__xludf.DUMMYFUNCTION("""COMPUTED_VALUE"""),3)</f>
        <v>3</v>
      </c>
      <c r="D385" s="33" t="str">
        <f ca="1">IFERROR(__xludf.DUMMYFUNCTION("""COMPUTED_VALUE"""),"NO")</f>
        <v>NO</v>
      </c>
      <c r="E385" s="33" t="str">
        <f ca="1">IFERROR(__xludf.DUMMYFUNCTION("""COMPUTED_VALUE"""),"Fuenlabrada")</f>
        <v>Fuenlabrada</v>
      </c>
      <c r="F385" s="57">
        <f ca="1">IFERROR(__xludf.DUMMYFUNCTION("""COMPUTED_VALUE"""),46100)</f>
        <v>46100</v>
      </c>
      <c r="G385" s="57">
        <f ca="1">IFERROR(__xludf.DUMMYFUNCTION("""COMPUTED_VALUE"""),46064)</f>
        <v>46064</v>
      </c>
      <c r="H385" s="33" t="str">
        <f ca="1">IFERROR(__xludf.DUMMYFUNCTION("""COMPUTED_VALUE"""),"Fuenlabrada")</f>
        <v>Fuenlabrada</v>
      </c>
      <c r="I385" s="33" t="str">
        <f ca="1">IFERROR(__xludf.DUMMYFUNCTION("""COMPUTED_VALUE"""),"C202621118050393364")</f>
        <v>C202621118050393364</v>
      </c>
      <c r="J385" s="33" t="str">
        <f ca="1">IFERROR(__xludf.DUMMYFUNCTION("""COMPUTED_VALUE"""),"Mª MAR MENDOZA MARTINEZ")</f>
        <v>Mª MAR MENDOZA MARTINEZ</v>
      </c>
      <c r="K385" s="56">
        <f ca="1">IFERROR(__xludf.DUMMYFUNCTION("""COMPUTED_VALUE"""),2)</f>
        <v>2</v>
      </c>
      <c r="L385" s="62">
        <f ca="1">IFERROR(__xludf.DUMMYFUNCTION("""COMPUTED_VALUE"""),2718.19)</f>
        <v>2718.19</v>
      </c>
      <c r="M385" s="33" t="str">
        <f ca="1">IFERROR(__xludf.DUMMYFUNCTION("""COMPUTED_VALUE"""),"03 ORL")</f>
        <v>03 ORL</v>
      </c>
      <c r="N385" s="33" t="str">
        <f ca="1">IFERROR(__xludf.DUMMYFUNCTION("""COMPUTED_VALUE"""),"06 ORL")</f>
        <v>06 ORL</v>
      </c>
      <c r="O385" s="33" t="str">
        <f ca="1">IFERROR(__xludf.DUMMYFUNCTION("""COMPUTED_VALUE"""),"Dr, Fabio Fernández Mateos")</f>
        <v>Dr, Fabio Fernández Mateos</v>
      </c>
      <c r="P385" s="33" t="str">
        <f ca="1">IFERROR(__xludf.DUMMYFUNCTION("""COMPUTED_VALUE"""),"Maika Blázquez (Madrid)")</f>
        <v>Maika Blázquez (Madrid)</v>
      </c>
    </row>
    <row r="386" spans="2:16">
      <c r="B386" s="74">
        <f ca="1">IFERROR(__xludf.DUMMYFUNCTION("""COMPUTED_VALUE"""),2026)</f>
        <v>2026</v>
      </c>
      <c r="C386" s="56">
        <f ca="1">IFERROR(__xludf.DUMMYFUNCTION("""COMPUTED_VALUE"""),3)</f>
        <v>3</v>
      </c>
      <c r="D386" s="33" t="str">
        <f ca="1">IFERROR(__xludf.DUMMYFUNCTION("""COMPUTED_VALUE"""),"NO")</f>
        <v>NO</v>
      </c>
      <c r="E386" s="33" t="str">
        <f ca="1">IFERROR(__xludf.DUMMYFUNCTION("""COMPUTED_VALUE"""),"Cáceres")</f>
        <v>Cáceres</v>
      </c>
      <c r="F386" s="57">
        <f ca="1">IFERROR(__xludf.DUMMYFUNCTION("""COMPUTED_VALUE"""),46101)</f>
        <v>46101</v>
      </c>
      <c r="G386" s="57">
        <f ca="1">IFERROR(__xludf.DUMMYFUNCTION("""COMPUTED_VALUE"""),46057)</f>
        <v>46057</v>
      </c>
      <c r="H386" s="33" t="str">
        <f ca="1">IFERROR(__xludf.DUMMYFUNCTION("""COMPUTED_VALUE"""),"Cáceres")</f>
        <v>Cáceres</v>
      </c>
      <c r="I386" s="33" t="str">
        <f ca="1">IFERROR(__xludf.DUMMYFUNCTION("""COMPUTED_VALUE"""),"C202624192054929412")</f>
        <v>C202624192054929412</v>
      </c>
      <c r="J386" s="33" t="str">
        <f ca="1">IFERROR(__xludf.DUMMYFUNCTION("""COMPUTED_VALUE"""),"ROMUALDO GRAJERA GUERRA")</f>
        <v>ROMUALDO GRAJERA GUERRA</v>
      </c>
      <c r="K386" s="56">
        <f ca="1">IFERROR(__xludf.DUMMYFUNCTION("""COMPUTED_VALUE"""),2)</f>
        <v>2</v>
      </c>
      <c r="L386" s="62">
        <f ca="1">IFERROR(__xludf.DUMMYFUNCTION("""COMPUTED_VALUE"""),4990.91)</f>
        <v>4990.91</v>
      </c>
      <c r="M386" s="33" t="str">
        <f ca="1">IFERROR(__xludf.DUMMYFUNCTION("""COMPUTED_VALUE"""),"03 ORL")</f>
        <v>03 ORL</v>
      </c>
      <c r="N386" s="33" t="str">
        <f ca="1">IFERROR(__xludf.DUMMYFUNCTION("""COMPUTED_VALUE"""),"06 ORL")</f>
        <v>06 ORL</v>
      </c>
      <c r="O386" s="33" t="str">
        <f ca="1">IFERROR(__xludf.DUMMYFUNCTION("""COMPUTED_VALUE"""),"Dra, Esther De La O Corrochano")</f>
        <v>Dra, Esther De La O Corrochano</v>
      </c>
      <c r="P386" s="33" t="str">
        <f ca="1">IFERROR(__xludf.DUMMYFUNCTION("""COMPUTED_VALUE"""),"Lisandro Russian (Madrid, Cáceres, Toledo, Talavera y Logroño)")</f>
        <v>Lisandro Russian (Madrid, Cáceres, Toledo, Talavera y Logroño)</v>
      </c>
    </row>
    <row r="387" spans="2:16">
      <c r="B387" s="74">
        <f ca="1">IFERROR(__xludf.DUMMYFUNCTION("""COMPUTED_VALUE"""),2026)</f>
        <v>2026</v>
      </c>
      <c r="C387" s="56">
        <f ca="1">IFERROR(__xludf.DUMMYFUNCTION("""COMPUTED_VALUE"""),3)</f>
        <v>3</v>
      </c>
      <c r="D387" s="33" t="str">
        <f ca="1">IFERROR(__xludf.DUMMYFUNCTION("""COMPUTED_VALUE"""),"NO")</f>
        <v>NO</v>
      </c>
      <c r="E387" s="33" t="str">
        <f ca="1">IFERROR(__xludf.DUMMYFUNCTION("""COMPUTED_VALUE"""),"Valencia- Cádiz")</f>
        <v>Valencia- Cádiz</v>
      </c>
      <c r="F387" s="57">
        <f ca="1">IFERROR(__xludf.DUMMYFUNCTION("""COMPUTED_VALUE"""),46101)</f>
        <v>46101</v>
      </c>
      <c r="G387" s="57">
        <f ca="1">IFERROR(__xludf.DUMMYFUNCTION("""COMPUTED_VALUE"""),46051)</f>
        <v>46051</v>
      </c>
      <c r="H387" s="33" t="str">
        <f ca="1">IFERROR(__xludf.DUMMYFUNCTION("""COMPUTED_VALUE"""),"Valencia- Cádiz")</f>
        <v>Valencia- Cádiz</v>
      </c>
      <c r="I387" s="33" t="str">
        <f ca="1">IFERROR(__xludf.DUMMYFUNCTION("""COMPUTED_VALUE"""),"C202612993442906741")</f>
        <v>C202612993442906741</v>
      </c>
      <c r="J387" s="33" t="str">
        <f ca="1">IFERROR(__xludf.DUMMYFUNCTION("""COMPUTED_VALUE"""),"VICENT  FERRANDIS MAS")</f>
        <v>VICENT  FERRANDIS MAS</v>
      </c>
      <c r="K387" s="56">
        <f ca="1">IFERROR(__xludf.DUMMYFUNCTION("""COMPUTED_VALUE"""),1)</f>
        <v>1</v>
      </c>
      <c r="L387" s="62">
        <f ca="1">IFERROR(__xludf.DUMMYFUNCTION("""COMPUTED_VALUE"""),2481.82)</f>
        <v>2481.8200000000002</v>
      </c>
      <c r="M387" s="33" t="str">
        <f ca="1">IFERROR(__xludf.DUMMYFUNCTION("""COMPUTED_VALUE"""),"03 ORL")</f>
        <v>03 ORL</v>
      </c>
      <c r="N387" s="33" t="str">
        <f ca="1">IFERROR(__xludf.DUMMYFUNCTION("""COMPUTED_VALUE"""),"06 ORL")</f>
        <v>06 ORL</v>
      </c>
      <c r="O387" s="33" t="str">
        <f ca="1">IFERROR(__xludf.DUMMYFUNCTION("""COMPUTED_VALUE"""),"No recuerda ORL")</f>
        <v>No recuerda ORL</v>
      </c>
      <c r="P387" s="33" t="str">
        <f ca="1">IFERROR(__xludf.DUMMYFUNCTION("""COMPUTED_VALUE"""),"Ramon Ferrando(Valencia)")</f>
        <v>Ramon Ferrando(Valencia)</v>
      </c>
    </row>
    <row r="388" spans="2:16">
      <c r="B388" s="74">
        <f ca="1">IFERROR(__xludf.DUMMYFUNCTION("""COMPUTED_VALUE"""),2026)</f>
        <v>2026</v>
      </c>
      <c r="C388" s="56">
        <f ca="1">IFERROR(__xludf.DUMMYFUNCTION("""COMPUTED_VALUE"""),3)</f>
        <v>3</v>
      </c>
      <c r="D388" s="33" t="str">
        <f ca="1">IFERROR(__xludf.DUMMYFUNCTION("""COMPUTED_VALUE"""),"NO")</f>
        <v>NO</v>
      </c>
      <c r="E388" s="33" t="str">
        <f ca="1">IFERROR(__xludf.DUMMYFUNCTION("""COMPUTED_VALUE"""),"Murcia")</f>
        <v>Murcia</v>
      </c>
      <c r="F388" s="57">
        <f ca="1">IFERROR(__xludf.DUMMYFUNCTION("""COMPUTED_VALUE"""),46101)</f>
        <v>46101</v>
      </c>
      <c r="G388" s="57">
        <f ca="1">IFERROR(__xludf.DUMMYFUNCTION("""COMPUTED_VALUE"""),45729)</f>
        <v>45729</v>
      </c>
      <c r="H388" s="33" t="str">
        <f ca="1">IFERROR(__xludf.DUMMYFUNCTION("""COMPUTED_VALUE"""),"Murcia")</f>
        <v>Murcia</v>
      </c>
      <c r="I388" s="33" t="str">
        <f ca="1">IFERROR(__xludf.DUMMYFUNCTION("""COMPUTED_VALUE"""),"C202611516129372")</f>
        <v>C202611516129372</v>
      </c>
      <c r="J388" s="33" t="str">
        <f ca="1">IFERROR(__xludf.DUMMYFUNCTION("""COMPUTED_VALUE"""),"REMEDIOS LUZ MENDOZA MARTINEZ")</f>
        <v>REMEDIOS LUZ MENDOZA MARTINEZ</v>
      </c>
      <c r="K388" s="56">
        <f ca="1">IFERROR(__xludf.DUMMYFUNCTION("""COMPUTED_VALUE"""),2)</f>
        <v>2</v>
      </c>
      <c r="L388" s="62">
        <f ca="1">IFERROR(__xludf.DUMMYFUNCTION("""COMPUTED_VALUE"""),2718.19)</f>
        <v>2718.19</v>
      </c>
      <c r="M388" s="33" t="str">
        <f ca="1">IFERROR(__xludf.DUMMYFUNCTION("""COMPUTED_VALUE"""),"03 ORL")</f>
        <v>03 ORL</v>
      </c>
      <c r="N388" s="33" t="str">
        <f ca="1">IFERROR(__xludf.DUMMYFUNCTION("""COMPUTED_VALUE"""),"06 ORL")</f>
        <v>06 ORL</v>
      </c>
      <c r="O388" s="33" t="str">
        <f ca="1">IFERROR(__xludf.DUMMYFUNCTION("""COMPUTED_VALUE"""),"Dr, Miguel Lucas Herrera")</f>
        <v>Dr, Miguel Lucas Herrera</v>
      </c>
      <c r="P388" s="33" t="str">
        <f ca="1">IFERROR(__xludf.DUMMYFUNCTION("""COMPUTED_VALUE"""),"Iván Sánchez (Levante y Albacete)")</f>
        <v>Iván Sánchez (Levante y Albacete)</v>
      </c>
    </row>
    <row r="389" spans="2:16">
      <c r="B389" s="74">
        <f ca="1">IFERROR(__xludf.DUMMYFUNCTION("""COMPUTED_VALUE"""),2026)</f>
        <v>2026</v>
      </c>
      <c r="C389" s="56">
        <f ca="1">IFERROR(__xludf.DUMMYFUNCTION("""COMPUTED_VALUE"""),3)</f>
        <v>3</v>
      </c>
      <c r="D389" s="33" t="str">
        <f ca="1">IFERROR(__xludf.DUMMYFUNCTION("""COMPUTED_VALUE"""),"NO")</f>
        <v>NO</v>
      </c>
      <c r="E389" s="33" t="str">
        <f ca="1">IFERROR(__xludf.DUMMYFUNCTION("""COMPUTED_VALUE"""),"Zaragoza- Santander")</f>
        <v>Zaragoza- Santander</v>
      </c>
      <c r="F389" s="57">
        <f ca="1">IFERROR(__xludf.DUMMYFUNCTION("""COMPUTED_VALUE"""),46101)</f>
        <v>46101</v>
      </c>
      <c r="G389" s="57">
        <f ca="1">IFERROR(__xludf.DUMMYFUNCTION("""COMPUTED_VALUE"""),46070)</f>
        <v>46070</v>
      </c>
      <c r="H389" s="33" t="str">
        <f ca="1">IFERROR(__xludf.DUMMYFUNCTION("""COMPUTED_VALUE"""),"Zaragoza- Santander")</f>
        <v>Zaragoza- Santander</v>
      </c>
      <c r="I389" s="33" t="str">
        <f ca="1">IFERROR(__xludf.DUMMYFUNCTION("""COMPUTED_VALUE"""),"C202621716393454417")</f>
        <v>C202621716393454417</v>
      </c>
      <c r="J389" s="33" t="str">
        <f ca="1">IFERROR(__xludf.DUMMYFUNCTION("""COMPUTED_VALUE"""),"RAUL PENA ALPIN")</f>
        <v>RAUL PENA ALPIN</v>
      </c>
      <c r="K389" s="56">
        <f ca="1">IFERROR(__xludf.DUMMYFUNCTION("""COMPUTED_VALUE"""),2)</f>
        <v>2</v>
      </c>
      <c r="L389" s="62">
        <f ca="1">IFERROR(__xludf.DUMMYFUNCTION("""COMPUTED_VALUE"""),3424.55)</f>
        <v>3424.55</v>
      </c>
      <c r="M389" s="33" t="str">
        <f ca="1">IFERROR(__xludf.DUMMYFUNCTION("""COMPUTED_VALUE"""),"03 ORL")</f>
        <v>03 ORL</v>
      </c>
      <c r="N389" s="33" t="str">
        <f ca="1">IFERROR(__xludf.DUMMYFUNCTION("""COMPUTED_VALUE"""),"06 ORL")</f>
        <v>06 ORL</v>
      </c>
      <c r="O389" s="33" t="str">
        <f ca="1">IFERROR(__xludf.DUMMYFUNCTION("""COMPUTED_VALUE"""),"Dr, Jaime Leache Pueyo")</f>
        <v>Dr, Jaime Leache Pueyo</v>
      </c>
      <c r="P389" s="33" t="str">
        <f ca="1">IFERROR(__xludf.DUMMYFUNCTION("""COMPUTED_VALUE"""),"Ignacio Berdejo (Zaragoza)")</f>
        <v>Ignacio Berdejo (Zaragoza)</v>
      </c>
    </row>
    <row r="390" spans="2:16">
      <c r="B390" s="74">
        <f ca="1">IFERROR(__xludf.DUMMYFUNCTION("""COMPUTED_VALUE"""),2026)</f>
        <v>2026</v>
      </c>
      <c r="C390" s="56">
        <f ca="1">IFERROR(__xludf.DUMMYFUNCTION("""COMPUTED_VALUE"""),3)</f>
        <v>3</v>
      </c>
      <c r="D390" s="33" t="str">
        <f ca="1">IFERROR(__xludf.DUMMYFUNCTION("""COMPUTED_VALUE"""),"NO")</f>
        <v>NO</v>
      </c>
      <c r="E390" s="33" t="str">
        <f ca="1">IFERROR(__xludf.DUMMYFUNCTION("""COMPUTED_VALUE"""),"Zaragoza- Santander")</f>
        <v>Zaragoza- Santander</v>
      </c>
      <c r="F390" s="57">
        <f ca="1">IFERROR(__xludf.DUMMYFUNCTION("""COMPUTED_VALUE"""),46101)</f>
        <v>46101</v>
      </c>
      <c r="G390" s="57">
        <f ca="1">IFERROR(__xludf.DUMMYFUNCTION("""COMPUTED_VALUE"""),46064)</f>
        <v>46064</v>
      </c>
      <c r="H390" s="33" t="str">
        <f ca="1">IFERROR(__xludf.DUMMYFUNCTION("""COMPUTED_VALUE"""),"Zaragoza- Santander")</f>
        <v>Zaragoza- Santander</v>
      </c>
      <c r="I390" s="33" t="str">
        <f ca="1">IFERROR(__xludf.DUMMYFUNCTION("""COMPUTED_VALUE"""),"C202621117354786888")</f>
        <v>C202621117354786888</v>
      </c>
      <c r="J390" s="33" t="str">
        <f ca="1">IFERROR(__xludf.DUMMYFUNCTION("""COMPUTED_VALUE"""),"MARIA JESUS ZAPATA QUIRANT")</f>
        <v>MARIA JESUS ZAPATA QUIRANT</v>
      </c>
      <c r="K390" s="56">
        <f ca="1">IFERROR(__xludf.DUMMYFUNCTION("""COMPUTED_VALUE"""),2)</f>
        <v>2</v>
      </c>
      <c r="L390" s="62">
        <f ca="1">IFERROR(__xludf.DUMMYFUNCTION("""COMPUTED_VALUE"""),3604.55)</f>
        <v>3604.55</v>
      </c>
      <c r="M390" s="33" t="str">
        <f ca="1">IFERROR(__xludf.DUMMYFUNCTION("""COMPUTED_VALUE"""),"03 ORL")</f>
        <v>03 ORL</v>
      </c>
      <c r="N390" s="33" t="str">
        <f ca="1">IFERROR(__xludf.DUMMYFUNCTION("""COMPUTED_VALUE"""),"06 ORL")</f>
        <v>06 ORL</v>
      </c>
      <c r="O390" s="33" t="str">
        <f ca="1">IFERROR(__xludf.DUMMYFUNCTION("""COMPUTED_VALUE"""),"Dr, Jaime Leache Pueyo")</f>
        <v>Dr, Jaime Leache Pueyo</v>
      </c>
      <c r="P390" s="33" t="str">
        <f ca="1">IFERROR(__xludf.DUMMYFUNCTION("""COMPUTED_VALUE"""),"Ignacio Berdejo (Zaragoza)")</f>
        <v>Ignacio Berdejo (Zaragoza)</v>
      </c>
    </row>
    <row r="391" spans="2:16">
      <c r="B391" s="74">
        <f ca="1">IFERROR(__xludf.DUMMYFUNCTION("""COMPUTED_VALUE"""),2026)</f>
        <v>2026</v>
      </c>
      <c r="C391" s="56">
        <f ca="1">IFERROR(__xludf.DUMMYFUNCTION("""COMPUTED_VALUE"""),3)</f>
        <v>3</v>
      </c>
      <c r="D391" s="33" t="str">
        <f ca="1">IFERROR(__xludf.DUMMYFUNCTION("""COMPUTED_VALUE"""),"NO")</f>
        <v>NO</v>
      </c>
      <c r="E391" s="33" t="str">
        <f ca="1">IFERROR(__xludf.DUMMYFUNCTION("""COMPUTED_VALUE"""),"Getafe")</f>
        <v>Getafe</v>
      </c>
      <c r="F391" s="57">
        <f ca="1">IFERROR(__xludf.DUMMYFUNCTION("""COMPUTED_VALUE"""),46104)</f>
        <v>46104</v>
      </c>
      <c r="G391" s="57">
        <f ca="1">IFERROR(__xludf.DUMMYFUNCTION("""COMPUTED_VALUE"""),46076)</f>
        <v>46076</v>
      </c>
      <c r="H391" s="33" t="str">
        <f ca="1">IFERROR(__xludf.DUMMYFUNCTION("""COMPUTED_VALUE"""),"Getafe")</f>
        <v>Getafe</v>
      </c>
      <c r="I391" s="33" t="str">
        <f ca="1">IFERROR(__xludf.DUMMYFUNCTION("""COMPUTED_VALUE"""),"C202622382858055948")</f>
        <v>C202622382858055948</v>
      </c>
      <c r="J391" s="33" t="str">
        <f ca="1">IFERROR(__xludf.DUMMYFUNCTION("""COMPUTED_VALUE"""),"LUIS MANUEL SEGURA DE LA VALLINA")</f>
        <v>LUIS MANUEL SEGURA DE LA VALLINA</v>
      </c>
      <c r="K391" s="56">
        <f ca="1">IFERROR(__xludf.DUMMYFUNCTION("""COMPUTED_VALUE"""),2)</f>
        <v>2</v>
      </c>
      <c r="L391" s="62">
        <f ca="1">IFERROR(__xludf.DUMMYFUNCTION("""COMPUTED_VALUE"""),2718.18)</f>
        <v>2718.18</v>
      </c>
      <c r="M391" s="33" t="str">
        <f ca="1">IFERROR(__xludf.DUMMYFUNCTION("""COMPUTED_VALUE"""),"03 ORL")</f>
        <v>03 ORL</v>
      </c>
      <c r="N391" s="33" t="str">
        <f ca="1">IFERROR(__xludf.DUMMYFUNCTION("""COMPUTED_VALUE"""),"06 ORL")</f>
        <v>06 ORL</v>
      </c>
      <c r="O391" s="33" t="str">
        <f ca="1">IFERROR(__xludf.DUMMYFUNCTION("""COMPUTED_VALUE"""),"No recuerda ORL")</f>
        <v>No recuerda ORL</v>
      </c>
      <c r="P391" s="33" t="str">
        <f ca="1">IFERROR(__xludf.DUMMYFUNCTION("""COMPUTED_VALUE"""),"Maika Blázquez (Madrid)")</f>
        <v>Maika Blázquez (Madrid)</v>
      </c>
    </row>
    <row r="392" spans="2:16">
      <c r="B392" s="74">
        <f ca="1">IFERROR(__xludf.DUMMYFUNCTION("""COMPUTED_VALUE"""),2026)</f>
        <v>2026</v>
      </c>
      <c r="C392" s="56">
        <f ca="1">IFERROR(__xludf.DUMMYFUNCTION("""COMPUTED_VALUE"""),3)</f>
        <v>3</v>
      </c>
      <c r="D392" s="33" t="str">
        <f ca="1">IFERROR(__xludf.DUMMYFUNCTION("""COMPUTED_VALUE"""),"NO")</f>
        <v>NO</v>
      </c>
      <c r="E392" s="33" t="str">
        <f ca="1">IFERROR(__xludf.DUMMYFUNCTION("""COMPUTED_VALUE"""),"Toledo")</f>
        <v>Toledo</v>
      </c>
      <c r="F392" s="57">
        <f ca="1">IFERROR(__xludf.DUMMYFUNCTION("""COMPUTED_VALUE"""),46104)</f>
        <v>46104</v>
      </c>
      <c r="G392" s="57">
        <f ca="1">IFERROR(__xludf.DUMMYFUNCTION("""COMPUTED_VALUE"""),46058)</f>
        <v>46058</v>
      </c>
      <c r="H392" s="33" t="str">
        <f ca="1">IFERROR(__xludf.DUMMYFUNCTION("""COMPUTED_VALUE"""),"Toledo")</f>
        <v>Toledo</v>
      </c>
      <c r="I392" s="33" t="str">
        <f ca="1">IFERROR(__xludf.DUMMYFUNCTION("""COMPUTED_VALUE"""),"C202625181340624")</f>
        <v>C202625181340624</v>
      </c>
      <c r="J392" s="33" t="str">
        <f ca="1">IFERROR(__xludf.DUMMYFUNCTION("""COMPUTED_VALUE"""),"Benito Angel  Valero Conejo")</f>
        <v>Benito Angel  Valero Conejo</v>
      </c>
      <c r="K392" s="56">
        <f ca="1">IFERROR(__xludf.DUMMYFUNCTION("""COMPUTED_VALUE"""),2)</f>
        <v>2</v>
      </c>
      <c r="L392" s="62">
        <f ca="1">IFERROR(__xludf.DUMMYFUNCTION("""COMPUTED_VALUE"""),3450.24)</f>
        <v>3450.24</v>
      </c>
      <c r="M392" s="33" t="str">
        <f ca="1">IFERROR(__xludf.DUMMYFUNCTION("""COMPUTED_VALUE"""),"03 ORL")</f>
        <v>03 ORL</v>
      </c>
      <c r="N392" s="33" t="str">
        <f ca="1">IFERROR(__xludf.DUMMYFUNCTION("""COMPUTED_VALUE"""),"06 ORL")</f>
        <v>06 ORL</v>
      </c>
      <c r="O392" s="33" t="str">
        <f ca="1">IFERROR(__xludf.DUMMYFUNCTION("""COMPUTED_VALUE"""),"Dr, Eduardo Martín Sanz")</f>
        <v>Dr, Eduardo Martín Sanz</v>
      </c>
      <c r="P392" s="33" t="str">
        <f ca="1">IFERROR(__xludf.DUMMYFUNCTION("""COMPUTED_VALUE"""),"Maika Blázquez (Madrid)")</f>
        <v>Maika Blázquez (Madrid)</v>
      </c>
    </row>
    <row r="393" spans="2:16">
      <c r="B393" s="74">
        <f ca="1">IFERROR(__xludf.DUMMYFUNCTION("""COMPUTED_VALUE"""),2026)</f>
        <v>2026</v>
      </c>
      <c r="C393" s="56">
        <f ca="1">IFERROR(__xludf.DUMMYFUNCTION("""COMPUTED_VALUE"""),3)</f>
        <v>3</v>
      </c>
      <c r="D393" s="33" t="str">
        <f ca="1">IFERROR(__xludf.DUMMYFUNCTION("""COMPUTED_VALUE"""),"NO")</f>
        <v>NO</v>
      </c>
      <c r="E393" s="33" t="str">
        <f ca="1">IFERROR(__xludf.DUMMYFUNCTION("""COMPUTED_VALUE"""),"Vitoria")</f>
        <v>Vitoria</v>
      </c>
      <c r="F393" s="57">
        <f ca="1">IFERROR(__xludf.DUMMYFUNCTION("""COMPUTED_VALUE"""),46104)</f>
        <v>46104</v>
      </c>
      <c r="G393" s="57">
        <f ca="1">IFERROR(__xludf.DUMMYFUNCTION("""COMPUTED_VALUE"""),46058)</f>
        <v>46058</v>
      </c>
      <c r="H393" s="33" t="str">
        <f ca="1">IFERROR(__xludf.DUMMYFUNCTION("""COMPUTED_VALUE"""),"Vitoria")</f>
        <v>Vitoria</v>
      </c>
      <c r="I393" s="33" t="str">
        <f ca="1">IFERROR(__xludf.DUMMYFUNCTION("""COMPUTED_VALUE"""),"VIT-737")</f>
        <v>VIT-737</v>
      </c>
      <c r="J393" s="33" t="str">
        <f ca="1">IFERROR(__xludf.DUMMYFUNCTION("""COMPUTED_VALUE"""),"CARMEN CAÑO PADILLA")</f>
        <v>CARMEN CAÑO PADILLA</v>
      </c>
      <c r="K393" s="56">
        <f ca="1">IFERROR(__xludf.DUMMYFUNCTION("""COMPUTED_VALUE"""),2)</f>
        <v>2</v>
      </c>
      <c r="L393" s="62">
        <f ca="1">IFERROR(__xludf.DUMMYFUNCTION("""COMPUTED_VALUE"""),4181.82)</f>
        <v>4181.82</v>
      </c>
      <c r="M393" s="33" t="str">
        <f ca="1">IFERROR(__xludf.DUMMYFUNCTION("""COMPUTED_VALUE"""),"03 ORL")</f>
        <v>03 ORL</v>
      </c>
      <c r="N393" s="33" t="str">
        <f ca="1">IFERROR(__xludf.DUMMYFUNCTION("""COMPUTED_VALUE"""),"06 ORL")</f>
        <v>06 ORL</v>
      </c>
      <c r="O393" s="33" t="str">
        <f ca="1">IFERROR(__xludf.DUMMYFUNCTION("""COMPUTED_VALUE"""),"Dr, José María Anda Fernández")</f>
        <v>Dr, José María Anda Fernández</v>
      </c>
      <c r="P393" s="33" t="str">
        <f ca="1">IFERROR(__xludf.DUMMYFUNCTION("""COMPUTED_VALUE"""),"Álvaro Mollá")</f>
        <v>Álvaro Mollá</v>
      </c>
    </row>
    <row r="394" spans="2:16">
      <c r="B394" s="74">
        <f ca="1">IFERROR(__xludf.DUMMYFUNCTION("""COMPUTED_VALUE"""),2026)</f>
        <v>2026</v>
      </c>
      <c r="C394" s="56">
        <f ca="1">IFERROR(__xludf.DUMMYFUNCTION("""COMPUTED_VALUE"""),3)</f>
        <v>3</v>
      </c>
      <c r="D394" s="33" t="str">
        <f ca="1">IFERROR(__xludf.DUMMYFUNCTION("""COMPUTED_VALUE"""),"NO")</f>
        <v>NO</v>
      </c>
      <c r="E394" s="33" t="str">
        <f ca="1">IFERROR(__xludf.DUMMYFUNCTION("""COMPUTED_VALUE"""),"Valencia- Cádiz")</f>
        <v>Valencia- Cádiz</v>
      </c>
      <c r="F394" s="57">
        <f ca="1">IFERROR(__xludf.DUMMYFUNCTION("""COMPUTED_VALUE"""),46104)</f>
        <v>46104</v>
      </c>
      <c r="G394" s="57">
        <f ca="1">IFERROR(__xludf.DUMMYFUNCTION("""COMPUTED_VALUE"""),46056)</f>
        <v>46056</v>
      </c>
      <c r="H394" s="33" t="str">
        <f ca="1">IFERROR(__xludf.DUMMYFUNCTION("""COMPUTED_VALUE"""),"Valencia- Cádiz")</f>
        <v>Valencia- Cádiz</v>
      </c>
      <c r="I394" s="33" t="str">
        <f ca="1">IFERROR(__xludf.DUMMYFUNCTION("""COMPUTED_VALUE"""),"C20262382716053575")</f>
        <v>C20262382716053575</v>
      </c>
      <c r="J394" s="33" t="str">
        <f ca="1">IFERROR(__xludf.DUMMYFUNCTION("""COMPUTED_VALUE"""),"AZUCENA BUJEDO MARTINEZ")</f>
        <v>AZUCENA BUJEDO MARTINEZ</v>
      </c>
      <c r="K394" s="56">
        <f ca="1">IFERROR(__xludf.DUMMYFUNCTION("""COMPUTED_VALUE"""),2)</f>
        <v>2</v>
      </c>
      <c r="L394" s="62">
        <f ca="1">IFERROR(__xludf.DUMMYFUNCTION("""COMPUTED_VALUE"""),3631.82)</f>
        <v>3631.82</v>
      </c>
      <c r="M394" s="33" t="str">
        <f ca="1">IFERROR(__xludf.DUMMYFUNCTION("""COMPUTED_VALUE"""),"03 ORL")</f>
        <v>03 ORL</v>
      </c>
      <c r="N394" s="33" t="str">
        <f ca="1">IFERROR(__xludf.DUMMYFUNCTION("""COMPUTED_VALUE"""),"06 ORL")</f>
        <v>06 ORL</v>
      </c>
      <c r="O394" s="33" t="str">
        <f ca="1">IFERROR(__xludf.DUMMYFUNCTION("""COMPUTED_VALUE"""),"Dr, Luis Martínez Bernabeu")</f>
        <v>Dr, Luis Martínez Bernabeu</v>
      </c>
      <c r="P394" s="33" t="str">
        <f ca="1">IFERROR(__xludf.DUMMYFUNCTION("""COMPUTED_VALUE"""),"Ramon Ferrando(Valencia)")</f>
        <v>Ramon Ferrando(Valencia)</v>
      </c>
    </row>
    <row r="395" spans="2:16">
      <c r="B395" s="74">
        <f ca="1">IFERROR(__xludf.DUMMYFUNCTION("""COMPUTED_VALUE"""),2026)</f>
        <v>2026</v>
      </c>
      <c r="C395" s="56">
        <f ca="1">IFERROR(__xludf.DUMMYFUNCTION("""COMPUTED_VALUE"""),3)</f>
        <v>3</v>
      </c>
      <c r="D395" s="33" t="str">
        <f ca="1">IFERROR(__xludf.DUMMYFUNCTION("""COMPUTED_VALUE"""),"SI")</f>
        <v>SI</v>
      </c>
      <c r="E395" s="33" t="str">
        <f ca="1">IFERROR(__xludf.DUMMYFUNCTION("""COMPUTED_VALUE"""),"Madrid- La Oca")</f>
        <v>Madrid- La Oca</v>
      </c>
      <c r="F395" s="57">
        <f ca="1">IFERROR(__xludf.DUMMYFUNCTION("""COMPUTED_VALUE"""),46104)</f>
        <v>46104</v>
      </c>
      <c r="G395" s="57">
        <f ca="1">IFERROR(__xludf.DUMMYFUNCTION("""COMPUTED_VALUE"""),45602)</f>
        <v>45602</v>
      </c>
      <c r="H395" s="33" t="str">
        <f ca="1">IFERROR(__xludf.DUMMYFUNCTION("""COMPUTED_VALUE"""),"La Oca")</f>
        <v>La Oca</v>
      </c>
      <c r="I395" s="33" t="str">
        <f ca="1">IFERROR(__xludf.DUMMYFUNCTION("""COMPUTED_VALUE"""),"C202411616195766")</f>
        <v>C202411616195766</v>
      </c>
      <c r="J395" s="33" t="str">
        <f ca="1">IFERROR(__xludf.DUMMYFUNCTION("""COMPUTED_VALUE"""),"MANUELA ROCES GARCIA")</f>
        <v>MANUELA ROCES GARCIA</v>
      </c>
      <c r="K395" s="56">
        <f ca="1">IFERROR(__xludf.DUMMYFUNCTION("""COMPUTED_VALUE"""),2)</f>
        <v>2</v>
      </c>
      <c r="L395" s="62">
        <f ca="1">IFERROR(__xludf.DUMMYFUNCTION("""COMPUTED_VALUE"""),2446.91)</f>
        <v>2446.91</v>
      </c>
      <c r="M395" s="33" t="str">
        <f ca="1">IFERROR(__xludf.DUMMYFUNCTION("""COMPUTED_VALUE"""),"04 TIENDA")</f>
        <v>04 TIENDA</v>
      </c>
      <c r="N395" s="33" t="str">
        <f ca="1">IFERROR(__xludf.DUMMYFUNCTION("""COMPUTED_VALUE"""),"19 CLIENTE RECOMPRA ESPONTANEA")</f>
        <v>19 CLIENTE RECOMPRA ESPONTANEA</v>
      </c>
      <c r="O395" s="33" t="str">
        <f ca="1">IFERROR(__xludf.DUMMYFUNCTION("""COMPUTED_VALUE"""),"Dr, José Joaquín Gutiérrez Barquín")</f>
        <v>Dr, José Joaquín Gutiérrez Barquín</v>
      </c>
      <c r="P395" s="33" t="str">
        <f ca="1">IFERROR(__xludf.DUMMYFUNCTION("""COMPUTED_VALUE"""),"Maika Blázquez (Madrid)")</f>
        <v>Maika Blázquez (Madrid)</v>
      </c>
    </row>
    <row r="396" spans="2:16">
      <c r="B396" s="74">
        <f ca="1">IFERROR(__xludf.DUMMYFUNCTION("""COMPUTED_VALUE"""),2026)</f>
        <v>2026</v>
      </c>
      <c r="C396" s="56">
        <f ca="1">IFERROR(__xludf.DUMMYFUNCTION("""COMPUTED_VALUE"""),3)</f>
        <v>3</v>
      </c>
      <c r="D396" s="33" t="str">
        <f ca="1">IFERROR(__xludf.DUMMYFUNCTION("""COMPUTED_VALUE"""),"NO")</f>
        <v>NO</v>
      </c>
      <c r="E396" s="33" t="str">
        <f ca="1">IFERROR(__xludf.DUMMYFUNCTION("""COMPUTED_VALUE"""),"Salamanca")</f>
        <v>Salamanca</v>
      </c>
      <c r="F396" s="57">
        <f ca="1">IFERROR(__xludf.DUMMYFUNCTION("""COMPUTED_VALUE"""),46104)</f>
        <v>46104</v>
      </c>
      <c r="G396" s="57">
        <f ca="1">IFERROR(__xludf.DUMMYFUNCTION("""COMPUTED_VALUE"""),46058)</f>
        <v>46058</v>
      </c>
      <c r="H396" s="33" t="str">
        <f ca="1">IFERROR(__xludf.DUMMYFUNCTION("""COMPUTED_VALUE"""),"Salamanca")</f>
        <v>Salamanca</v>
      </c>
      <c r="I396" s="33" t="str">
        <f ca="1">IFERROR(__xludf.DUMMYFUNCTION("""COMPUTED_VALUE"""),"C202625124123012239")</f>
        <v>C202625124123012239</v>
      </c>
      <c r="J396" s="33" t="str">
        <f ca="1">IFERROR(__xludf.DUMMYFUNCTION("""COMPUTED_VALUE"""),"JAVIER CASADO LEON")</f>
        <v>JAVIER CASADO LEON</v>
      </c>
      <c r="K396" s="56">
        <f ca="1">IFERROR(__xludf.DUMMYFUNCTION("""COMPUTED_VALUE"""),1)</f>
        <v>1</v>
      </c>
      <c r="L396" s="62">
        <f ca="1">IFERROR(__xludf.DUMMYFUNCTION("""COMPUTED_VALUE"""),1784.55)</f>
        <v>1784.55</v>
      </c>
      <c r="M396" s="33" t="str">
        <f ca="1">IFERROR(__xludf.DUMMYFUNCTION("""COMPUTED_VALUE"""),"03 ORL")</f>
        <v>03 ORL</v>
      </c>
      <c r="N396" s="33" t="str">
        <f ca="1">IFERROR(__xludf.DUMMYFUNCTION("""COMPUTED_VALUE"""),"06 ORL")</f>
        <v>06 ORL</v>
      </c>
      <c r="O396" s="33" t="str">
        <f ca="1">IFERROR(__xludf.DUMMYFUNCTION("""COMPUTED_VALUE"""),"Dr, Ángel Muñoz Herrera")</f>
        <v>Dr, Ángel Muñoz Herrera</v>
      </c>
      <c r="P396" s="33" t="str">
        <f ca="1">IFERROR(__xludf.DUMMYFUNCTION("""COMPUTED_VALUE"""),"Alberto Moreno (Madrid)")</f>
        <v>Alberto Moreno (Madrid)</v>
      </c>
    </row>
    <row r="397" spans="2:16">
      <c r="B397" s="74">
        <f ca="1">IFERROR(__xludf.DUMMYFUNCTION("""COMPUTED_VALUE"""),2026)</f>
        <v>2026</v>
      </c>
      <c r="C397" s="56">
        <f ca="1">IFERROR(__xludf.DUMMYFUNCTION("""COMPUTED_VALUE"""),3)</f>
        <v>3</v>
      </c>
      <c r="D397" s="33" t="str">
        <f ca="1">IFERROR(__xludf.DUMMYFUNCTION("""COMPUTED_VALUE"""),"NO")</f>
        <v>NO</v>
      </c>
      <c r="E397" s="33" t="str">
        <f ca="1">IFERROR(__xludf.DUMMYFUNCTION("""COMPUTED_VALUE"""),"San Javier")</f>
        <v>San Javier</v>
      </c>
      <c r="F397" s="57">
        <f ca="1">IFERROR(__xludf.DUMMYFUNCTION("""COMPUTED_VALUE"""),46104)</f>
        <v>46104</v>
      </c>
      <c r="G397" s="57">
        <f ca="1">IFERROR(__xludf.DUMMYFUNCTION("""COMPUTED_VALUE"""),46066)</f>
        <v>46066</v>
      </c>
      <c r="H397" s="33" t="str">
        <f ca="1">IFERROR(__xludf.DUMMYFUNCTION("""COMPUTED_VALUE"""),"San Javier")</f>
        <v>San Javier</v>
      </c>
      <c r="I397" s="33" t="str">
        <f ca="1">IFERROR(__xludf.DUMMYFUNCTION("""COMPUTED_VALUE"""),"C202621317332705391")</f>
        <v>C202621317332705391</v>
      </c>
      <c r="J397" s="33" t="str">
        <f ca="1">IFERROR(__xludf.DUMMYFUNCTION("""COMPUTED_VALUE"""),"JOSEFA GARCIA MARTINEZ")</f>
        <v>JOSEFA GARCIA MARTINEZ</v>
      </c>
      <c r="K397" s="56">
        <f ca="1">IFERROR(__xludf.DUMMYFUNCTION("""COMPUTED_VALUE"""),2)</f>
        <v>2</v>
      </c>
      <c r="L397" s="62">
        <f ca="1">IFERROR(__xludf.DUMMYFUNCTION("""COMPUTED_VALUE"""),3631.82)</f>
        <v>3631.82</v>
      </c>
      <c r="M397" s="33" t="str">
        <f ca="1">IFERROR(__xludf.DUMMYFUNCTION("""COMPUTED_VALUE"""),"03 ORL")</f>
        <v>03 ORL</v>
      </c>
      <c r="N397" s="33" t="str">
        <f ca="1">IFERROR(__xludf.DUMMYFUNCTION("""COMPUTED_VALUE"""),"06 ORL")</f>
        <v>06 ORL</v>
      </c>
      <c r="O397" s="33" t="str">
        <f ca="1">IFERROR(__xludf.DUMMYFUNCTION("""COMPUTED_VALUE"""),"Dr, Ángel Onofre Pérez Coll")</f>
        <v>Dr, Ángel Onofre Pérez Coll</v>
      </c>
      <c r="P397" s="33" t="str">
        <f ca="1">IFERROR(__xludf.DUMMYFUNCTION("""COMPUTED_VALUE"""),"Iván Sánchez (Levante y Albacete)")</f>
        <v>Iván Sánchez (Levante y Albacete)</v>
      </c>
    </row>
    <row r="398" spans="2:16">
      <c r="B398" s="74">
        <f ca="1">IFERROR(__xludf.DUMMYFUNCTION("""COMPUTED_VALUE"""),2026)</f>
        <v>2026</v>
      </c>
      <c r="C398" s="56">
        <f ca="1">IFERROR(__xludf.DUMMYFUNCTION("""COMPUTED_VALUE"""),3)</f>
        <v>3</v>
      </c>
      <c r="D398" s="33" t="str">
        <f ca="1">IFERROR(__xludf.DUMMYFUNCTION("""COMPUTED_VALUE"""),"NO")</f>
        <v>NO</v>
      </c>
      <c r="E398" s="33" t="str">
        <f ca="1">IFERROR(__xludf.DUMMYFUNCTION("""COMPUTED_VALUE"""),"Madrid- Moratalaz")</f>
        <v>Madrid- Moratalaz</v>
      </c>
      <c r="F398" s="57">
        <f ca="1">IFERROR(__xludf.DUMMYFUNCTION("""COMPUTED_VALUE"""),46104)</f>
        <v>46104</v>
      </c>
      <c r="G398" s="57">
        <f ca="1">IFERROR(__xludf.DUMMYFUNCTION("""COMPUTED_VALUE"""),46070)</f>
        <v>46070</v>
      </c>
      <c r="H398" s="33" t="str">
        <f ca="1">IFERROR(__xludf.DUMMYFUNCTION("""COMPUTED_VALUE"""),"Moratalaz")</f>
        <v>Moratalaz</v>
      </c>
      <c r="I398" s="33" t="str">
        <f ca="1">IFERROR(__xludf.DUMMYFUNCTION("""COMPUTED_VALUE"""),"C202621711017242970")</f>
        <v>C202621711017242970</v>
      </c>
      <c r="J398" s="33" t="str">
        <f ca="1">IFERROR(__xludf.DUMMYFUNCTION("""COMPUTED_VALUE"""),"CARLOS CORNA BUSTOS")</f>
        <v>CARLOS CORNA BUSTOS</v>
      </c>
      <c r="K398" s="56">
        <f ca="1">IFERROR(__xludf.DUMMYFUNCTION("""COMPUTED_VALUE"""),2)</f>
        <v>2</v>
      </c>
      <c r="L398" s="62">
        <f ca="1">IFERROR(__xludf.DUMMYFUNCTION("""COMPUTED_VALUE"""),3450.22)</f>
        <v>3450.22</v>
      </c>
      <c r="M398" s="33" t="str">
        <f ca="1">IFERROR(__xludf.DUMMYFUNCTION("""COMPUTED_VALUE"""),"03 ORL")</f>
        <v>03 ORL</v>
      </c>
      <c r="N398" s="33" t="str">
        <f ca="1">IFERROR(__xludf.DUMMYFUNCTION("""COMPUTED_VALUE"""),"06 ORL")</f>
        <v>06 ORL</v>
      </c>
      <c r="O398" s="33" t="str">
        <f ca="1">IFERROR(__xludf.DUMMYFUNCTION("""COMPUTED_VALUE"""),"Dra, Laura Yeguas Ramírez")</f>
        <v>Dra, Laura Yeguas Ramírez</v>
      </c>
      <c r="P398" s="33" t="str">
        <f ca="1">IFERROR(__xludf.DUMMYFUNCTION("""COMPUTED_VALUE"""),"Maika Blázquez (Madrid)")</f>
        <v>Maika Blázquez (Madrid)</v>
      </c>
    </row>
    <row r="399" spans="2:16">
      <c r="B399" s="74">
        <f ca="1">IFERROR(__xludf.DUMMYFUNCTION("""COMPUTED_VALUE"""),2026)</f>
        <v>2026</v>
      </c>
      <c r="C399" s="56">
        <f ca="1">IFERROR(__xludf.DUMMYFUNCTION("""COMPUTED_VALUE"""),3)</f>
        <v>3</v>
      </c>
      <c r="D399" s="33" t="str">
        <f ca="1">IFERROR(__xludf.DUMMYFUNCTION("""COMPUTED_VALUE"""),"NO")</f>
        <v>NO</v>
      </c>
      <c r="E399" s="33" t="str">
        <f ca="1">IFERROR(__xludf.DUMMYFUNCTION("""COMPUTED_VALUE"""),"Logroño")</f>
        <v>Logroño</v>
      </c>
      <c r="F399" s="57">
        <f ca="1">IFERROR(__xludf.DUMMYFUNCTION("""COMPUTED_VALUE"""),46104)</f>
        <v>46104</v>
      </c>
      <c r="G399" s="57">
        <f ca="1">IFERROR(__xludf.DUMMYFUNCTION("""COMPUTED_VALUE"""),46090)</f>
        <v>46090</v>
      </c>
      <c r="H399" s="33" t="str">
        <f ca="1">IFERROR(__xludf.DUMMYFUNCTION("""COMPUTED_VALUE"""),"Logroño")</f>
        <v>Logroño</v>
      </c>
      <c r="I399" s="33" t="str">
        <f ca="1">IFERROR(__xludf.DUMMYFUNCTION("""COMPUTED_VALUE"""),"C20263910389459500")</f>
        <v>C20263910389459500</v>
      </c>
      <c r="J399" s="33" t="str">
        <f ca="1">IFERROR(__xludf.DUMMYFUNCTION("""COMPUTED_VALUE"""),"PRUDENCIO ACEVEDO MARTINEZ")</f>
        <v>PRUDENCIO ACEVEDO MARTINEZ</v>
      </c>
      <c r="K399" s="56">
        <f ca="1">IFERROR(__xludf.DUMMYFUNCTION("""COMPUTED_VALUE"""),2)</f>
        <v>2</v>
      </c>
      <c r="L399" s="62">
        <f ca="1">IFERROR(__xludf.DUMMYFUNCTION("""COMPUTED_VALUE"""),3631.82)</f>
        <v>3631.82</v>
      </c>
      <c r="M399" s="33" t="str">
        <f ca="1">IFERROR(__xludf.DUMMYFUNCTION("""COMPUTED_VALUE"""),"03 ORL")</f>
        <v>03 ORL</v>
      </c>
      <c r="N399" s="33" t="str">
        <f ca="1">IFERROR(__xludf.DUMMYFUNCTION("""COMPUTED_VALUE"""),"06 ORL")</f>
        <v>06 ORL</v>
      </c>
      <c r="O399" s="33" t="str">
        <f ca="1">IFERROR(__xludf.DUMMYFUNCTION("""COMPUTED_VALUE"""),"No recuerda ORL")</f>
        <v>No recuerda ORL</v>
      </c>
      <c r="P399" s="33" t="str">
        <f ca="1">IFERROR(__xludf.DUMMYFUNCTION("""COMPUTED_VALUE"""),"Lisandro Russian (Madrid, Cáceres, Toledo, Talavera y Logroño)")</f>
        <v>Lisandro Russian (Madrid, Cáceres, Toledo, Talavera y Logroño)</v>
      </c>
    </row>
    <row r="400" spans="2:16">
      <c r="B400" s="74">
        <f ca="1">IFERROR(__xludf.DUMMYFUNCTION("""COMPUTED_VALUE"""),2026)</f>
        <v>2026</v>
      </c>
      <c r="C400" s="56">
        <f ca="1">IFERROR(__xludf.DUMMYFUNCTION("""COMPUTED_VALUE"""),3)</f>
        <v>3</v>
      </c>
      <c r="D400" s="33" t="str">
        <f ca="1">IFERROR(__xludf.DUMMYFUNCTION("""COMPUTED_VALUE"""),"NO")</f>
        <v>NO</v>
      </c>
      <c r="E400" s="33" t="str">
        <f ca="1">IFERROR(__xludf.DUMMYFUNCTION("""COMPUTED_VALUE"""),"León")</f>
        <v>León</v>
      </c>
      <c r="F400" s="57">
        <f ca="1">IFERROR(__xludf.DUMMYFUNCTION("""COMPUTED_VALUE"""),46104)</f>
        <v>46104</v>
      </c>
      <c r="G400" s="57">
        <f ca="1">IFERROR(__xludf.DUMMYFUNCTION("""COMPUTED_VALUE"""),46093)</f>
        <v>46093</v>
      </c>
      <c r="H400" s="33" t="str">
        <f ca="1">IFERROR(__xludf.DUMMYFUNCTION("""COMPUTED_VALUE"""),"León")</f>
        <v>León</v>
      </c>
      <c r="I400" s="33" t="str">
        <f ca="1">IFERROR(__xludf.DUMMYFUNCTION("""COMPUTED_VALUE"""),"C202631217351288577")</f>
        <v>C202631217351288577</v>
      </c>
      <c r="J400" s="33" t="str">
        <f ca="1">IFERROR(__xludf.DUMMYFUNCTION("""COMPUTED_VALUE"""),"CELESTINA FERNANDEZ FERNANDEZ")</f>
        <v>CELESTINA FERNANDEZ FERNANDEZ</v>
      </c>
      <c r="K400" s="56">
        <f ca="1">IFERROR(__xludf.DUMMYFUNCTION("""COMPUTED_VALUE"""),2)</f>
        <v>2</v>
      </c>
      <c r="L400" s="62">
        <f ca="1">IFERROR(__xludf.DUMMYFUNCTION("""COMPUTED_VALUE"""),1909.09)</f>
        <v>1909.09</v>
      </c>
      <c r="M400" s="33" t="str">
        <f ca="1">IFERROR(__xludf.DUMMYFUNCTION("""COMPUTED_VALUE"""),"03 ORL")</f>
        <v>03 ORL</v>
      </c>
      <c r="N400" s="33" t="str">
        <f ca="1">IFERROR(__xludf.DUMMYFUNCTION("""COMPUTED_VALUE"""),"06 ORL")</f>
        <v>06 ORL</v>
      </c>
      <c r="O400" s="33" t="str">
        <f ca="1">IFERROR(__xludf.DUMMYFUNCTION("""COMPUTED_VALUE"""),"Dr, Rafael Pérez González")</f>
        <v>Dr, Rafael Pérez González</v>
      </c>
      <c r="P400" s="33" t="str">
        <f ca="1">IFERROR(__xludf.DUMMYFUNCTION("""COMPUTED_VALUE"""),"Alberto Moreno (Madrid)")</f>
        <v>Alberto Moreno (Madrid)</v>
      </c>
    </row>
    <row r="401" spans="2:16">
      <c r="B401" s="74">
        <f ca="1">IFERROR(__xludf.DUMMYFUNCTION("""COMPUTED_VALUE"""),2026)</f>
        <v>2026</v>
      </c>
      <c r="C401" s="56">
        <f ca="1">IFERROR(__xludf.DUMMYFUNCTION("""COMPUTED_VALUE"""),3)</f>
        <v>3</v>
      </c>
      <c r="D401" s="33" t="str">
        <f ca="1">IFERROR(__xludf.DUMMYFUNCTION("""COMPUTED_VALUE"""),"NO")</f>
        <v>NO</v>
      </c>
      <c r="E401" s="33" t="str">
        <f ca="1">IFERROR(__xludf.DUMMYFUNCTION("""COMPUTED_VALUE"""),"Jerez de la Frontera")</f>
        <v>Jerez de la Frontera</v>
      </c>
      <c r="F401" s="57">
        <f ca="1">IFERROR(__xludf.DUMMYFUNCTION("""COMPUTED_VALUE"""),46105)</f>
        <v>46105</v>
      </c>
      <c r="G401" s="57">
        <f ca="1">IFERROR(__xludf.DUMMYFUNCTION("""COMPUTED_VALUE"""),46085)</f>
        <v>46085</v>
      </c>
      <c r="H401" s="33" t="str">
        <f ca="1">IFERROR(__xludf.DUMMYFUNCTION("""COMPUTED_VALUE"""),"Jerez")</f>
        <v>Jerez</v>
      </c>
      <c r="I401" s="33" t="str">
        <f ca="1">IFERROR(__xludf.DUMMYFUNCTION("""COMPUTED_VALUE"""),"C202634164844964727")</f>
        <v>C202634164844964727</v>
      </c>
      <c r="J401" s="33" t="str">
        <f ca="1">IFERROR(__xludf.DUMMYFUNCTION("""COMPUTED_VALUE"""),"BELEN DE LA CUADRA GUERRERO")</f>
        <v>BELEN DE LA CUADRA GUERRERO</v>
      </c>
      <c r="K401" s="56">
        <f ca="1">IFERROR(__xludf.DUMMYFUNCTION("""COMPUTED_VALUE"""),1)</f>
        <v>1</v>
      </c>
      <c r="L401" s="62">
        <f ca="1">IFERROR(__xludf.DUMMYFUNCTION("""COMPUTED_VALUE"""),2722.73)</f>
        <v>2722.73</v>
      </c>
      <c r="M401" s="33" t="str">
        <f ca="1">IFERROR(__xludf.DUMMYFUNCTION("""COMPUTED_VALUE"""),"03 ORL")</f>
        <v>03 ORL</v>
      </c>
      <c r="N401" s="33" t="str">
        <f ca="1">IFERROR(__xludf.DUMMYFUNCTION("""COMPUTED_VALUE"""),"06 ORL")</f>
        <v>06 ORL</v>
      </c>
      <c r="O401" s="33" t="str">
        <f ca="1">IFERROR(__xludf.DUMMYFUNCTION("""COMPUTED_VALUE"""),"Dr, Miguel García Teno")</f>
        <v>Dr, Miguel García Teno</v>
      </c>
      <c r="P401" s="33" t="str">
        <f ca="1">IFERROR(__xludf.DUMMYFUNCTION("""COMPUTED_VALUE"""),"Luis Alberto Rodríguez (Andalucía y Badajoz)")</f>
        <v>Luis Alberto Rodríguez (Andalucía y Badajoz)</v>
      </c>
    </row>
    <row r="402" spans="2:16">
      <c r="B402" s="74">
        <f ca="1">IFERROR(__xludf.DUMMYFUNCTION("""COMPUTED_VALUE"""),2026)</f>
        <v>2026</v>
      </c>
      <c r="C402" s="56">
        <f ca="1">IFERROR(__xludf.DUMMYFUNCTION("""COMPUTED_VALUE"""),3)</f>
        <v>3</v>
      </c>
      <c r="D402" s="33" t="str">
        <f ca="1">IFERROR(__xludf.DUMMYFUNCTION("""COMPUTED_VALUE"""),"NO")</f>
        <v>NO</v>
      </c>
      <c r="E402" s="33" t="str">
        <f ca="1">IFERROR(__xludf.DUMMYFUNCTION("""COMPUTED_VALUE"""),"Murcia")</f>
        <v>Murcia</v>
      </c>
      <c r="F402" s="57">
        <f ca="1">IFERROR(__xludf.DUMMYFUNCTION("""COMPUTED_VALUE"""),46105)</f>
        <v>46105</v>
      </c>
      <c r="G402" s="57">
        <f ca="1">IFERROR(__xludf.DUMMYFUNCTION("""COMPUTED_VALUE"""),46027)</f>
        <v>46027</v>
      </c>
      <c r="H402" s="33" t="str">
        <f ca="1">IFERROR(__xludf.DUMMYFUNCTION("""COMPUTED_VALUE"""),"Murcia")</f>
        <v>Murcia</v>
      </c>
      <c r="I402" s="33" t="str">
        <f ca="1">IFERROR(__xludf.DUMMYFUNCTION("""COMPUTED_VALUE"""),"C20261591023671225")</f>
        <v>C20261591023671225</v>
      </c>
      <c r="J402" s="33" t="str">
        <f ca="1">IFERROR(__xludf.DUMMYFUNCTION("""COMPUTED_VALUE"""),"MATILDE MARTINEZ LOPEZ")</f>
        <v>MATILDE MARTINEZ LOPEZ</v>
      </c>
      <c r="K402" s="56">
        <f ca="1">IFERROR(__xludf.DUMMYFUNCTION("""COMPUTED_VALUE"""),1)</f>
        <v>1</v>
      </c>
      <c r="L402" s="62">
        <f ca="1">IFERROR(__xludf.DUMMYFUNCTION("""COMPUTED_VALUE"""),2180.91)</f>
        <v>2180.91</v>
      </c>
      <c r="M402" s="33" t="str">
        <f ca="1">IFERROR(__xludf.DUMMYFUNCTION("""COMPUTED_VALUE"""),"04 TIENDA")</f>
        <v>04 TIENDA</v>
      </c>
      <c r="N402" s="33" t="str">
        <f ca="1">IFERROR(__xludf.DUMMYFUNCTION("""COMPUTED_VALUE"""),"07 BOCA/BOCA")</f>
        <v>07 BOCA/BOCA</v>
      </c>
      <c r="O402" s="33" t="str">
        <f ca="1">IFERROR(__xludf.DUMMYFUNCTION("""COMPUTED_VALUE"""),"No recuerda ORL")</f>
        <v>No recuerda ORL</v>
      </c>
      <c r="P402" s="33" t="str">
        <f ca="1">IFERROR(__xludf.DUMMYFUNCTION("""COMPUTED_VALUE"""),"Iván Sánchez (Levante y Albacete)")</f>
        <v>Iván Sánchez (Levante y Albacete)</v>
      </c>
    </row>
    <row r="403" spans="2:16">
      <c r="B403" s="74">
        <f ca="1">IFERROR(__xludf.DUMMYFUNCTION("""COMPUTED_VALUE"""),2026)</f>
        <v>2026</v>
      </c>
      <c r="C403" s="56">
        <f ca="1">IFERROR(__xludf.DUMMYFUNCTION("""COMPUTED_VALUE"""),3)</f>
        <v>3</v>
      </c>
      <c r="D403" s="33" t="str">
        <f ca="1">IFERROR(__xludf.DUMMYFUNCTION("""COMPUTED_VALUE"""),"NO")</f>
        <v>NO</v>
      </c>
      <c r="E403" s="33" t="str">
        <f ca="1">IFERROR(__xludf.DUMMYFUNCTION("""COMPUTED_VALUE"""),"Murcia")</f>
        <v>Murcia</v>
      </c>
      <c r="F403" s="57">
        <f ca="1">IFERROR(__xludf.DUMMYFUNCTION("""COMPUTED_VALUE"""),46105)</f>
        <v>46105</v>
      </c>
      <c r="G403" s="57">
        <f ca="1">IFERROR(__xludf.DUMMYFUNCTION("""COMPUTED_VALUE"""),46069)</f>
        <v>46069</v>
      </c>
      <c r="H403" s="33" t="str">
        <f ca="1">IFERROR(__xludf.DUMMYFUNCTION("""COMPUTED_VALUE"""),"Murcia")</f>
        <v>Murcia</v>
      </c>
      <c r="I403" s="33" t="str">
        <f ca="1">IFERROR(__xludf.DUMMYFUNCTION("""COMPUTED_VALUE"""),"C202621612391370804")</f>
        <v>C202621612391370804</v>
      </c>
      <c r="J403" s="33" t="str">
        <f ca="1">IFERROR(__xludf.DUMMYFUNCTION("""COMPUTED_VALUE"""),"MARIA DEL PILAR ALEMAN VERA")</f>
        <v>MARIA DEL PILAR ALEMAN VERA</v>
      </c>
      <c r="K403" s="56">
        <f ca="1">IFERROR(__xludf.DUMMYFUNCTION("""COMPUTED_VALUE"""),2)</f>
        <v>2</v>
      </c>
      <c r="L403" s="62">
        <f ca="1">IFERROR(__xludf.DUMMYFUNCTION("""COMPUTED_VALUE"""),2718.18)</f>
        <v>2718.18</v>
      </c>
      <c r="M403" s="33" t="str">
        <f ca="1">IFERROR(__xludf.DUMMYFUNCTION("""COMPUTED_VALUE"""),"03 ORL")</f>
        <v>03 ORL</v>
      </c>
      <c r="N403" s="33" t="str">
        <f ca="1">IFERROR(__xludf.DUMMYFUNCTION("""COMPUTED_VALUE"""),"06 ORL")</f>
        <v>06 ORL</v>
      </c>
      <c r="O403" s="33" t="str">
        <f ca="1">IFERROR(__xludf.DUMMYFUNCTION("""COMPUTED_VALUE"""),"Dr, Enrique López Meseguer")</f>
        <v>Dr, Enrique López Meseguer</v>
      </c>
      <c r="P403" s="33" t="str">
        <f ca="1">IFERROR(__xludf.DUMMYFUNCTION("""COMPUTED_VALUE"""),"Iván Sánchez (Levante y Albacete)")</f>
        <v>Iván Sánchez (Levante y Albacete)</v>
      </c>
    </row>
    <row r="404" spans="2:16">
      <c r="B404" s="74">
        <f ca="1">IFERROR(__xludf.DUMMYFUNCTION("""COMPUTED_VALUE"""),2026)</f>
        <v>2026</v>
      </c>
      <c r="C404" s="56">
        <f ca="1">IFERROR(__xludf.DUMMYFUNCTION("""COMPUTED_VALUE"""),3)</f>
        <v>3</v>
      </c>
      <c r="D404" s="33" t="str">
        <f ca="1">IFERROR(__xludf.DUMMYFUNCTION("""COMPUTED_VALUE"""),"NO")</f>
        <v>NO</v>
      </c>
      <c r="E404" s="33" t="str">
        <f ca="1">IFERROR(__xludf.DUMMYFUNCTION("""COMPUTED_VALUE"""),"Valencia- Cádiz")</f>
        <v>Valencia- Cádiz</v>
      </c>
      <c r="F404" s="57">
        <f ca="1">IFERROR(__xludf.DUMMYFUNCTION("""COMPUTED_VALUE"""),46105)</f>
        <v>46105</v>
      </c>
      <c r="G404" s="57">
        <f ca="1">IFERROR(__xludf.DUMMYFUNCTION("""COMPUTED_VALUE"""),46056)</f>
        <v>46056</v>
      </c>
      <c r="H404" s="33" t="str">
        <f ca="1">IFERROR(__xludf.DUMMYFUNCTION("""COMPUTED_VALUE"""),"Valencia- Cádiz")</f>
        <v>Valencia- Cádiz</v>
      </c>
      <c r="I404" s="33" t="str">
        <f ca="1">IFERROR(__xludf.DUMMYFUNCTION("""COMPUTED_VALUE"""),"C202623123339316530")</f>
        <v>C202623123339316530</v>
      </c>
      <c r="J404" s="33" t="str">
        <f ca="1">IFERROR(__xludf.DUMMYFUNCTION("""COMPUTED_VALUE"""),"IDALINA MUNNO")</f>
        <v>IDALINA MUNNO</v>
      </c>
      <c r="K404" s="56">
        <f ca="1">IFERROR(__xludf.DUMMYFUNCTION("""COMPUTED_VALUE"""),1)</f>
        <v>1</v>
      </c>
      <c r="L404" s="62">
        <f ca="1">IFERROR(__xludf.DUMMYFUNCTION("""COMPUTED_VALUE"""),1631.82)</f>
        <v>1631.82</v>
      </c>
      <c r="M404" s="33" t="str">
        <f ca="1">IFERROR(__xludf.DUMMYFUNCTION("""COMPUTED_VALUE"""),"03 ORL")</f>
        <v>03 ORL</v>
      </c>
      <c r="N404" s="33" t="str">
        <f ca="1">IFERROR(__xludf.DUMMYFUNCTION("""COMPUTED_VALUE"""),"06 ORL")</f>
        <v>06 ORL</v>
      </c>
      <c r="O404" s="33" t="str">
        <f ca="1">IFERROR(__xludf.DUMMYFUNCTION("""COMPUTED_VALUE"""),"Dr, Jean Franco Intraprendente Martini")</f>
        <v>Dr, Jean Franco Intraprendente Martini</v>
      </c>
      <c r="P404" s="33" t="str">
        <f ca="1">IFERROR(__xludf.DUMMYFUNCTION("""COMPUTED_VALUE"""),"Ramon Ferrando(Valencia)")</f>
        <v>Ramon Ferrando(Valencia)</v>
      </c>
    </row>
    <row r="405" spans="2:16">
      <c r="B405" s="74">
        <f ca="1">IFERROR(__xludf.DUMMYFUNCTION("""COMPUTED_VALUE"""),2026)</f>
        <v>2026</v>
      </c>
      <c r="C405" s="56">
        <f ca="1">IFERROR(__xludf.DUMMYFUNCTION("""COMPUTED_VALUE"""),3)</f>
        <v>3</v>
      </c>
      <c r="D405" s="33" t="str">
        <f ca="1">IFERROR(__xludf.DUMMYFUNCTION("""COMPUTED_VALUE"""),"NO")</f>
        <v>NO</v>
      </c>
      <c r="E405" s="33" t="str">
        <f ca="1">IFERROR(__xludf.DUMMYFUNCTION("""COMPUTED_VALUE"""),"Cáceres")</f>
        <v>Cáceres</v>
      </c>
      <c r="F405" s="57">
        <f ca="1">IFERROR(__xludf.DUMMYFUNCTION("""COMPUTED_VALUE"""),46105)</f>
        <v>46105</v>
      </c>
      <c r="G405" s="57">
        <f ca="1">IFERROR(__xludf.DUMMYFUNCTION("""COMPUTED_VALUE"""),46077)</f>
        <v>46077</v>
      </c>
      <c r="H405" s="33" t="str">
        <f ca="1">IFERROR(__xludf.DUMMYFUNCTION("""COMPUTED_VALUE"""),"Cáceres")</f>
        <v>Cáceres</v>
      </c>
      <c r="I405" s="33" t="str">
        <f ca="1">IFERROR(__xludf.DUMMYFUNCTION("""COMPUTED_VALUE"""),"C202622418504788966")</f>
        <v>C202622418504788966</v>
      </c>
      <c r="J405" s="33" t="str">
        <f ca="1">IFERROR(__xludf.DUMMYFUNCTION("""COMPUTED_VALUE"""),"JUAN JOSE RICO BORREGUERO")</f>
        <v>JUAN JOSE RICO BORREGUERO</v>
      </c>
      <c r="K405" s="56">
        <f ca="1">IFERROR(__xludf.DUMMYFUNCTION("""COMPUTED_VALUE"""),2)</f>
        <v>2</v>
      </c>
      <c r="L405" s="62">
        <f ca="1">IFERROR(__xludf.DUMMYFUNCTION("""COMPUTED_VALUE"""),3678.18)</f>
        <v>3678.18</v>
      </c>
      <c r="M405" s="33" t="str">
        <f ca="1">IFERROR(__xludf.DUMMYFUNCTION("""COMPUTED_VALUE"""),"03 ORL")</f>
        <v>03 ORL</v>
      </c>
      <c r="N405" s="33" t="str">
        <f ca="1">IFERROR(__xludf.DUMMYFUNCTION("""COMPUTED_VALUE"""),"06 ORL")</f>
        <v>06 ORL</v>
      </c>
      <c r="O405" s="33" t="str">
        <f ca="1">IFERROR(__xludf.DUMMYFUNCTION("""COMPUTED_VALUE"""),"Dr, Raed Maqued El Maqued")</f>
        <v>Dr, Raed Maqued El Maqued</v>
      </c>
      <c r="P405" s="33" t="str">
        <f ca="1">IFERROR(__xludf.DUMMYFUNCTION("""COMPUTED_VALUE"""),"Lisandro Russian (Madrid, Cáceres, Toledo, Talavera y Logroño)")</f>
        <v>Lisandro Russian (Madrid, Cáceres, Toledo, Talavera y Logroño)</v>
      </c>
    </row>
    <row r="406" spans="2:16">
      <c r="B406" s="74">
        <f ca="1">IFERROR(__xludf.DUMMYFUNCTION("""COMPUTED_VALUE"""),2026)</f>
        <v>2026</v>
      </c>
      <c r="C406" s="56">
        <f ca="1">IFERROR(__xludf.DUMMYFUNCTION("""COMPUTED_VALUE"""),3)</f>
        <v>3</v>
      </c>
      <c r="D406" s="33" t="str">
        <f ca="1">IFERROR(__xludf.DUMMYFUNCTION("""COMPUTED_VALUE"""),"NO")</f>
        <v>NO</v>
      </c>
      <c r="E406" s="33" t="str">
        <f ca="1">IFERROR(__xludf.DUMMYFUNCTION("""COMPUTED_VALUE"""),"Valencia- Parra")</f>
        <v>Valencia- Parra</v>
      </c>
      <c r="F406" s="57">
        <f ca="1">IFERROR(__xludf.DUMMYFUNCTION("""COMPUTED_VALUE"""),46105)</f>
        <v>46105</v>
      </c>
      <c r="G406" s="57">
        <f ca="1">IFERROR(__xludf.DUMMYFUNCTION("""COMPUTED_VALUE"""),46063)</f>
        <v>46063</v>
      </c>
      <c r="H406" s="33" t="str">
        <f ca="1">IFERROR(__xludf.DUMMYFUNCTION("""COMPUTED_VALUE"""),"Valencia- Parra")</f>
        <v>Valencia- Parra</v>
      </c>
      <c r="I406" s="33" t="str">
        <f ca="1">IFERROR(__xludf.DUMMYFUNCTION("""COMPUTED_VALUE"""),"C202621011591130907")</f>
        <v>C202621011591130907</v>
      </c>
      <c r="J406" s="33" t="str">
        <f ca="1">IFERROR(__xludf.DUMMYFUNCTION("""COMPUTED_VALUE"""),"VICTOR PUENTES FENOLLOSA")</f>
        <v>VICTOR PUENTES FENOLLOSA</v>
      </c>
      <c r="K406" s="56">
        <f ca="1">IFERROR(__xludf.DUMMYFUNCTION("""COMPUTED_VALUE"""),2)</f>
        <v>2</v>
      </c>
      <c r="L406" s="62">
        <f ca="1">IFERROR(__xludf.DUMMYFUNCTION("""COMPUTED_VALUE"""),2718.18)</f>
        <v>2718.18</v>
      </c>
      <c r="M406" s="33" t="str">
        <f ca="1">IFERROR(__xludf.DUMMYFUNCTION("""COMPUTED_VALUE"""),"03 ORL")</f>
        <v>03 ORL</v>
      </c>
      <c r="N406" s="33" t="str">
        <f ca="1">IFERROR(__xludf.DUMMYFUNCTION("""COMPUTED_VALUE"""),"06 ORL")</f>
        <v>06 ORL</v>
      </c>
      <c r="O406" s="33" t="str">
        <f ca="1">IFERROR(__xludf.DUMMYFUNCTION("""COMPUTED_VALUE"""),"Dr, José Manuel Tamarit Conejeros")</f>
        <v>Dr, José Manuel Tamarit Conejeros</v>
      </c>
      <c r="P406" s="33" t="str">
        <f ca="1">IFERROR(__xludf.DUMMYFUNCTION("""COMPUTED_VALUE"""),"Ramon Ferrando(Valencia)")</f>
        <v>Ramon Ferrando(Valencia)</v>
      </c>
    </row>
    <row r="407" spans="2:16">
      <c r="B407" s="74">
        <f ca="1">IFERROR(__xludf.DUMMYFUNCTION("""COMPUTED_VALUE"""),2026)</f>
        <v>2026</v>
      </c>
      <c r="C407" s="56">
        <f ca="1">IFERROR(__xludf.DUMMYFUNCTION("""COMPUTED_VALUE"""),3)</f>
        <v>3</v>
      </c>
      <c r="D407" s="33" t="str">
        <f ca="1">IFERROR(__xludf.DUMMYFUNCTION("""COMPUTED_VALUE"""),"NO")</f>
        <v>NO</v>
      </c>
      <c r="E407" s="33" t="str">
        <f ca="1">IFERROR(__xludf.DUMMYFUNCTION("""COMPUTED_VALUE"""),"Madrid- Juan Bravo")</f>
        <v>Madrid- Juan Bravo</v>
      </c>
      <c r="F407" s="57">
        <f ca="1">IFERROR(__xludf.DUMMYFUNCTION("""COMPUTED_VALUE"""),46105)</f>
        <v>46105</v>
      </c>
      <c r="G407" s="57">
        <f ca="1">IFERROR(__xludf.DUMMYFUNCTION("""COMPUTED_VALUE"""),46029)</f>
        <v>46029</v>
      </c>
      <c r="H407" s="33" t="str">
        <f ca="1">IFERROR(__xludf.DUMMYFUNCTION("""COMPUTED_VALUE"""),"Juan Bravo")</f>
        <v>Juan Bravo</v>
      </c>
      <c r="I407" s="33" t="str">
        <f ca="1">IFERROR(__xludf.DUMMYFUNCTION("""COMPUTED_VALUE"""),"C202617182211952993")</f>
        <v>C202617182211952993</v>
      </c>
      <c r="J407" s="33" t="str">
        <f ca="1">IFERROR(__xludf.DUMMYFUNCTION("""COMPUTED_VALUE"""),"LUCIA RUIZ HORCHE")</f>
        <v>LUCIA RUIZ HORCHE</v>
      </c>
      <c r="K407" s="56">
        <f ca="1">IFERROR(__xludf.DUMMYFUNCTION("""COMPUTED_VALUE"""),2)</f>
        <v>2</v>
      </c>
      <c r="L407" s="62">
        <f ca="1">IFERROR(__xludf.DUMMYFUNCTION("""COMPUTED_VALUE"""),3945.95)</f>
        <v>3945.95</v>
      </c>
      <c r="M407" s="33" t="str">
        <f ca="1">IFERROR(__xludf.DUMMYFUNCTION("""COMPUTED_VALUE"""),"03 ORL")</f>
        <v>03 ORL</v>
      </c>
      <c r="N407" s="33" t="str">
        <f ca="1">IFERROR(__xludf.DUMMYFUNCTION("""COMPUTED_VALUE"""),"06 ORL")</f>
        <v>06 ORL</v>
      </c>
      <c r="O407" s="33" t="str">
        <f ca="1">IFERROR(__xludf.DUMMYFUNCTION("""COMPUTED_VALUE"""),"No recuerda ORL")</f>
        <v>No recuerda ORL</v>
      </c>
      <c r="P407" s="33" t="str">
        <f ca="1">IFERROR(__xludf.DUMMYFUNCTION("""COMPUTED_VALUE"""),"Maika Blázquez (Madrid)")</f>
        <v>Maika Blázquez (Madrid)</v>
      </c>
    </row>
    <row r="408" spans="2:16">
      <c r="B408" s="74">
        <f ca="1">IFERROR(__xludf.DUMMYFUNCTION("""COMPUTED_VALUE"""),2026)</f>
        <v>2026</v>
      </c>
      <c r="C408" s="56">
        <f ca="1">IFERROR(__xludf.DUMMYFUNCTION("""COMPUTED_VALUE"""),3)</f>
        <v>3</v>
      </c>
      <c r="D408" s="33" t="str">
        <f ca="1">IFERROR(__xludf.DUMMYFUNCTION("""COMPUTED_VALUE"""),"NO")</f>
        <v>NO</v>
      </c>
      <c r="E408" s="33" t="str">
        <f ca="1">IFERROR(__xludf.DUMMYFUNCTION("""COMPUTED_VALUE"""),"Sevilla- Montoto")</f>
        <v>Sevilla- Montoto</v>
      </c>
      <c r="F408" s="57">
        <f ca="1">IFERROR(__xludf.DUMMYFUNCTION("""COMPUTED_VALUE"""),46105)</f>
        <v>46105</v>
      </c>
      <c r="G408" s="57">
        <f ca="1">IFERROR(__xludf.DUMMYFUNCTION("""COMPUTED_VALUE"""),46030)</f>
        <v>46030</v>
      </c>
      <c r="H408" s="33" t="str">
        <f ca="1">IFERROR(__xludf.DUMMYFUNCTION("""COMPUTED_VALUE"""),"Montoto")</f>
        <v>Montoto</v>
      </c>
      <c r="I408" s="33" t="str">
        <f ca="1">IFERROR(__xludf.DUMMYFUNCTION("""COMPUTED_VALUE"""),"C202618111858546960")</f>
        <v>C202618111858546960</v>
      </c>
      <c r="J408" s="33" t="str">
        <f ca="1">IFERROR(__xludf.DUMMYFUNCTION("""COMPUTED_VALUE"""),"ANDREA ROSA BOZADA")</f>
        <v>ANDREA ROSA BOZADA</v>
      </c>
      <c r="K408" s="56">
        <f ca="1">IFERROR(__xludf.DUMMYFUNCTION("""COMPUTED_VALUE"""),2)</f>
        <v>2</v>
      </c>
      <c r="L408" s="62">
        <f ca="1">IFERROR(__xludf.DUMMYFUNCTION("""COMPUTED_VALUE"""),4536.36)</f>
        <v>4536.3599999999997</v>
      </c>
      <c r="M408" s="33" t="str">
        <f ca="1">IFERROR(__xludf.DUMMYFUNCTION("""COMPUTED_VALUE"""),"03 ORL")</f>
        <v>03 ORL</v>
      </c>
      <c r="N408" s="33" t="str">
        <f ca="1">IFERROR(__xludf.DUMMYFUNCTION("""COMPUTED_VALUE"""),"06 ORL")</f>
        <v>06 ORL</v>
      </c>
      <c r="O408" s="33" t="str">
        <f ca="1">IFERROR(__xludf.DUMMYFUNCTION("""COMPUTED_VALUE"""),"Dr, David Castro Gutiérrez de Agüero")</f>
        <v>Dr, David Castro Gutiérrez de Agüero</v>
      </c>
      <c r="P408" s="33" t="str">
        <f ca="1">IFERROR(__xludf.DUMMYFUNCTION("""COMPUTED_VALUE"""),"Luis Alberto Rodríguez (Andalucía y Badajoz)")</f>
        <v>Luis Alberto Rodríguez (Andalucía y Badajoz)</v>
      </c>
    </row>
    <row r="409" spans="2:16">
      <c r="B409" s="74">
        <f ca="1">IFERROR(__xludf.DUMMYFUNCTION("""COMPUTED_VALUE"""),2026)</f>
        <v>2026</v>
      </c>
      <c r="C409" s="56">
        <f ca="1">IFERROR(__xludf.DUMMYFUNCTION("""COMPUTED_VALUE"""),3)</f>
        <v>3</v>
      </c>
      <c r="D409" s="33" t="str">
        <f ca="1">IFERROR(__xludf.DUMMYFUNCTION("""COMPUTED_VALUE"""),"NO")</f>
        <v>NO</v>
      </c>
      <c r="E409" s="33" t="str">
        <f ca="1">IFERROR(__xludf.DUMMYFUNCTION("""COMPUTED_VALUE"""),"Valencia- Cádiz")</f>
        <v>Valencia- Cádiz</v>
      </c>
      <c r="F409" s="57">
        <f ca="1">IFERROR(__xludf.DUMMYFUNCTION("""COMPUTED_VALUE"""),46105)</f>
        <v>46105</v>
      </c>
      <c r="G409" s="57">
        <f ca="1">IFERROR(__xludf.DUMMYFUNCTION("""COMPUTED_VALUE"""),46052)</f>
        <v>46052</v>
      </c>
      <c r="H409" s="33" t="str">
        <f ca="1">IFERROR(__xludf.DUMMYFUNCTION("""COMPUTED_VALUE"""),"Valencia- Cádiz")</f>
        <v>Valencia- Cádiz</v>
      </c>
      <c r="I409" s="33" t="str">
        <f ca="1">IFERROR(__xludf.DUMMYFUNCTION("""COMPUTED_VALUE"""),"C202613010311166949")</f>
        <v>C202613010311166949</v>
      </c>
      <c r="J409" s="33" t="str">
        <f ca="1">IFERROR(__xludf.DUMMYFUNCTION("""COMPUTED_VALUE"""),"ADRIANA  SAILEMA SAILEMA")</f>
        <v>ADRIANA  SAILEMA SAILEMA</v>
      </c>
      <c r="K409" s="56">
        <f ca="1">IFERROR(__xludf.DUMMYFUNCTION("""COMPUTED_VALUE"""),1)</f>
        <v>1</v>
      </c>
      <c r="L409" s="62">
        <f ca="1">IFERROR(__xludf.DUMMYFUNCTION("""COMPUTED_VALUE"""),2180.91)</f>
        <v>2180.91</v>
      </c>
      <c r="M409" s="33" t="str">
        <f ca="1">IFERROR(__xludf.DUMMYFUNCTION("""COMPUTED_VALUE"""),"03 ORL")</f>
        <v>03 ORL</v>
      </c>
      <c r="N409" s="33" t="str">
        <f ca="1">IFERROR(__xludf.DUMMYFUNCTION("""COMPUTED_VALUE"""),"06 ORL")</f>
        <v>06 ORL</v>
      </c>
      <c r="O409" s="33" t="str">
        <f ca="1">IFERROR(__xludf.DUMMYFUNCTION("""COMPUTED_VALUE"""),"Dra, Catalina Riera Sala")</f>
        <v>Dra, Catalina Riera Sala</v>
      </c>
      <c r="P409" s="33" t="str">
        <f ca="1">IFERROR(__xludf.DUMMYFUNCTION("""COMPUTED_VALUE"""),"Ramon Ferrando(Valencia)")</f>
        <v>Ramon Ferrando(Valencia)</v>
      </c>
    </row>
    <row r="410" spans="2:16">
      <c r="B410" s="74">
        <f ca="1">IFERROR(__xludf.DUMMYFUNCTION("""COMPUTED_VALUE"""),2026)</f>
        <v>2026</v>
      </c>
      <c r="C410" s="56">
        <f ca="1">IFERROR(__xludf.DUMMYFUNCTION("""COMPUTED_VALUE"""),3)</f>
        <v>3</v>
      </c>
      <c r="D410" s="33" t="str">
        <f ca="1">IFERROR(__xludf.DUMMYFUNCTION("""COMPUTED_VALUE"""),"NO")</f>
        <v>NO</v>
      </c>
      <c r="E410" s="33" t="str">
        <f ca="1">IFERROR(__xludf.DUMMYFUNCTION("""COMPUTED_VALUE"""),"Leganés")</f>
        <v>Leganés</v>
      </c>
      <c r="F410" s="57">
        <f ca="1">IFERROR(__xludf.DUMMYFUNCTION("""COMPUTED_VALUE"""),46105)</f>
        <v>46105</v>
      </c>
      <c r="G410" s="57">
        <f ca="1">IFERROR(__xludf.DUMMYFUNCTION("""COMPUTED_VALUE"""),46076)</f>
        <v>46076</v>
      </c>
      <c r="H410" s="33" t="str">
        <f ca="1">IFERROR(__xludf.DUMMYFUNCTION("""COMPUTED_VALUE"""),"Leganés")</f>
        <v>Leganés</v>
      </c>
      <c r="I410" s="33" t="str">
        <f ca="1">IFERROR(__xludf.DUMMYFUNCTION("""COMPUTED_VALUE"""),"C202622383152566603")</f>
        <v>C202622383152566603</v>
      </c>
      <c r="J410" s="33" t="str">
        <f ca="1">IFERROR(__xludf.DUMMYFUNCTION("""COMPUTED_VALUE"""),"MARIANO GARCIA MAESO")</f>
        <v>MARIANO GARCIA MAESO</v>
      </c>
      <c r="K410" s="56">
        <f ca="1">IFERROR(__xludf.DUMMYFUNCTION("""COMPUTED_VALUE"""),2)</f>
        <v>2</v>
      </c>
      <c r="L410" s="62">
        <f ca="1">IFERROR(__xludf.DUMMYFUNCTION("""COMPUTED_VALUE"""),3631.82)</f>
        <v>3631.82</v>
      </c>
      <c r="M410" s="33" t="str">
        <f ca="1">IFERROR(__xludf.DUMMYFUNCTION("""COMPUTED_VALUE"""),"03 ORL")</f>
        <v>03 ORL</v>
      </c>
      <c r="N410" s="33" t="str">
        <f ca="1">IFERROR(__xludf.DUMMYFUNCTION("""COMPUTED_VALUE"""),"06 ORL")</f>
        <v>06 ORL</v>
      </c>
      <c r="O410" s="33" t="str">
        <f ca="1">IFERROR(__xludf.DUMMYFUNCTION("""COMPUTED_VALUE"""),"Dra, Ana Ruiz Fornells Noreña")</f>
        <v>Dra, Ana Ruiz Fornells Noreña</v>
      </c>
      <c r="P410" s="33" t="str">
        <f ca="1">IFERROR(__xludf.DUMMYFUNCTION("""COMPUTED_VALUE"""),"Maika Blázquez (Madrid)")</f>
        <v>Maika Blázquez (Madrid)</v>
      </c>
    </row>
    <row r="411" spans="2:16">
      <c r="B411" s="74">
        <f ca="1">IFERROR(__xludf.DUMMYFUNCTION("""COMPUTED_VALUE"""),2026)</f>
        <v>2026</v>
      </c>
      <c r="C411" s="56">
        <f ca="1">IFERROR(__xludf.DUMMYFUNCTION("""COMPUTED_VALUE"""),3)</f>
        <v>3</v>
      </c>
      <c r="D411" s="33" t="str">
        <f ca="1">IFERROR(__xludf.DUMMYFUNCTION("""COMPUTED_VALUE"""),"NO")</f>
        <v>NO</v>
      </c>
      <c r="E411" s="33" t="str">
        <f ca="1">IFERROR(__xludf.DUMMYFUNCTION("""COMPUTED_VALUE"""),"Madrid- Juan Bravo")</f>
        <v>Madrid- Juan Bravo</v>
      </c>
      <c r="F411" s="57">
        <f ca="1">IFERROR(__xludf.DUMMYFUNCTION("""COMPUTED_VALUE"""),46105)</f>
        <v>46105</v>
      </c>
      <c r="G411" s="57">
        <f ca="1">IFERROR(__xludf.DUMMYFUNCTION("""COMPUTED_VALUE"""),46077)</f>
        <v>46077</v>
      </c>
      <c r="H411" s="33" t="str">
        <f ca="1">IFERROR(__xludf.DUMMYFUNCTION("""COMPUTED_VALUE"""),"Juan Bravo")</f>
        <v>Juan Bravo</v>
      </c>
      <c r="I411" s="33" t="str">
        <f ca="1">IFERROR(__xludf.DUMMYFUNCTION("""COMPUTED_VALUE"""),"C202622417564128522")</f>
        <v>C202622417564128522</v>
      </c>
      <c r="J411" s="33" t="str">
        <f ca="1">IFERROR(__xludf.DUMMYFUNCTION("""COMPUTED_VALUE"""),"MERCEDES    DE JUAN GINES")</f>
        <v>MERCEDES    DE JUAN GINES</v>
      </c>
      <c r="K411" s="56">
        <f ca="1">IFERROR(__xludf.DUMMYFUNCTION("""COMPUTED_VALUE"""),2)</f>
        <v>2</v>
      </c>
      <c r="L411" s="62">
        <f ca="1">IFERROR(__xludf.DUMMYFUNCTION("""COMPUTED_VALUE"""),4136.36)</f>
        <v>4136.3599999999997</v>
      </c>
      <c r="M411" s="33" t="str">
        <f ca="1">IFERROR(__xludf.DUMMYFUNCTION("""COMPUTED_VALUE"""),"03 ORL")</f>
        <v>03 ORL</v>
      </c>
      <c r="N411" s="33" t="str">
        <f ca="1">IFERROR(__xludf.DUMMYFUNCTION("""COMPUTED_VALUE"""),"06 ORL")</f>
        <v>06 ORL</v>
      </c>
      <c r="O411" s="33" t="str">
        <f ca="1">IFERROR(__xludf.DUMMYFUNCTION("""COMPUTED_VALUE"""),"Dr, Javier García Domínguez")</f>
        <v>Dr, Javier García Domínguez</v>
      </c>
      <c r="P411" s="33" t="str">
        <f ca="1">IFERROR(__xludf.DUMMYFUNCTION("""COMPUTED_VALUE"""),"Maika Blázquez (Madrid)")</f>
        <v>Maika Blázquez (Madrid)</v>
      </c>
    </row>
    <row r="412" spans="2:16">
      <c r="B412" s="74">
        <f ca="1">IFERROR(__xludf.DUMMYFUNCTION("""COMPUTED_VALUE"""),2026)</f>
        <v>2026</v>
      </c>
      <c r="C412" s="56">
        <f ca="1">IFERROR(__xludf.DUMMYFUNCTION("""COMPUTED_VALUE"""),3)</f>
        <v>3</v>
      </c>
      <c r="D412" s="33" t="str">
        <f ca="1">IFERROR(__xludf.DUMMYFUNCTION("""COMPUTED_VALUE"""),"NO")</f>
        <v>NO</v>
      </c>
      <c r="E412" s="33" t="str">
        <f ca="1">IFERROR(__xludf.DUMMYFUNCTION("""COMPUTED_VALUE"""),"Fuenlabrada")</f>
        <v>Fuenlabrada</v>
      </c>
      <c r="F412" s="57">
        <f ca="1">IFERROR(__xludf.DUMMYFUNCTION("""COMPUTED_VALUE"""),46106)</f>
        <v>46106</v>
      </c>
      <c r="G412" s="57">
        <f ca="1">IFERROR(__xludf.DUMMYFUNCTION("""COMPUTED_VALUE"""),46063)</f>
        <v>46063</v>
      </c>
      <c r="H412" s="33" t="str">
        <f ca="1">IFERROR(__xludf.DUMMYFUNCTION("""COMPUTED_VALUE"""),"Fuenlabrada")</f>
        <v>Fuenlabrada</v>
      </c>
      <c r="I412" s="33" t="str">
        <f ca="1">IFERROR(__xludf.DUMMYFUNCTION("""COMPUTED_VALUE"""),"C202621016017740583")</f>
        <v>C202621016017740583</v>
      </c>
      <c r="J412" s="33" t="str">
        <f ca="1">IFERROR(__xludf.DUMMYFUNCTION("""COMPUTED_VALUE"""),"SOCORRO JIMENEZ LLORENTE")</f>
        <v>SOCORRO JIMENEZ LLORENTE</v>
      </c>
      <c r="K412" s="56">
        <f ca="1">IFERROR(__xludf.DUMMYFUNCTION("""COMPUTED_VALUE"""),2)</f>
        <v>2</v>
      </c>
      <c r="L412" s="62">
        <f ca="1">IFERROR(__xludf.DUMMYFUNCTION("""COMPUTED_VALUE"""),2718.18)</f>
        <v>2718.18</v>
      </c>
      <c r="M412" s="33" t="str">
        <f ca="1">IFERROR(__xludf.DUMMYFUNCTION("""COMPUTED_VALUE"""),"03 ORL")</f>
        <v>03 ORL</v>
      </c>
      <c r="N412" s="33" t="str">
        <f ca="1">IFERROR(__xludf.DUMMYFUNCTION("""COMPUTED_VALUE"""),"06 ORL")</f>
        <v>06 ORL</v>
      </c>
      <c r="O412" s="33" t="str">
        <f ca="1">IFERROR(__xludf.DUMMYFUNCTION("""COMPUTED_VALUE"""),"Dra, Estefania Miranda Sánchez")</f>
        <v>Dra, Estefania Miranda Sánchez</v>
      </c>
      <c r="P412" s="33" t="str">
        <f ca="1">IFERROR(__xludf.DUMMYFUNCTION("""COMPUTED_VALUE"""),"Maika Blázquez (Madrid)")</f>
        <v>Maika Blázquez (Madrid)</v>
      </c>
    </row>
    <row r="413" spans="2:16">
      <c r="B413" s="74">
        <f ca="1">IFERROR(__xludf.DUMMYFUNCTION("""COMPUTED_VALUE"""),2026)</f>
        <v>2026</v>
      </c>
      <c r="C413" s="56">
        <f ca="1">IFERROR(__xludf.DUMMYFUNCTION("""COMPUTED_VALUE"""),3)</f>
        <v>3</v>
      </c>
      <c r="D413" s="33" t="str">
        <f ca="1">IFERROR(__xludf.DUMMYFUNCTION("""COMPUTED_VALUE"""),"NO")</f>
        <v>NO</v>
      </c>
      <c r="E413" s="33" t="str">
        <f ca="1">IFERROR(__xludf.DUMMYFUNCTION("""COMPUTED_VALUE"""),"Murcia")</f>
        <v>Murcia</v>
      </c>
      <c r="F413" s="57">
        <f ca="1">IFERROR(__xludf.DUMMYFUNCTION("""COMPUTED_VALUE"""),46106)</f>
        <v>46106</v>
      </c>
      <c r="G413" s="57">
        <f ca="1">IFERROR(__xludf.DUMMYFUNCTION("""COMPUTED_VALUE"""),46058)</f>
        <v>46058</v>
      </c>
      <c r="H413" s="33" t="str">
        <f ca="1">IFERROR(__xludf.DUMMYFUNCTION("""COMPUTED_VALUE"""),"Murcia")</f>
        <v>Murcia</v>
      </c>
      <c r="I413" s="33" t="str">
        <f ca="1">IFERROR(__xludf.DUMMYFUNCTION("""COMPUTED_VALUE"""),"C202625152152410682")</f>
        <v>C202625152152410682</v>
      </c>
      <c r="J413" s="33" t="str">
        <f ca="1">IFERROR(__xludf.DUMMYFUNCTION("""COMPUTED_VALUE"""),"ENCARNACION CAMPILLO SOTO")</f>
        <v>ENCARNACION CAMPILLO SOTO</v>
      </c>
      <c r="K413" s="56">
        <f ca="1">IFERROR(__xludf.DUMMYFUNCTION("""COMPUTED_VALUE"""),2)</f>
        <v>2</v>
      </c>
      <c r="L413" s="62">
        <f ca="1">IFERROR(__xludf.DUMMYFUNCTION("""COMPUTED_VALUE"""),2718.19)</f>
        <v>2718.19</v>
      </c>
      <c r="M413" s="33" t="str">
        <f ca="1">IFERROR(__xludf.DUMMYFUNCTION("""COMPUTED_VALUE"""),"03 ORL")</f>
        <v>03 ORL</v>
      </c>
      <c r="N413" s="33" t="str">
        <f ca="1">IFERROR(__xludf.DUMMYFUNCTION("""COMPUTED_VALUE"""),"06 ORL")</f>
        <v>06 ORL</v>
      </c>
      <c r="O413" s="33" t="str">
        <f ca="1">IFERROR(__xludf.DUMMYFUNCTION("""COMPUTED_VALUE"""),"Dra, Nuria Salas Barrio")</f>
        <v>Dra, Nuria Salas Barrio</v>
      </c>
      <c r="P413" s="33" t="str">
        <f ca="1">IFERROR(__xludf.DUMMYFUNCTION("""COMPUTED_VALUE"""),"Iván Sánchez (Levante y Albacete)")</f>
        <v>Iván Sánchez (Levante y Albacete)</v>
      </c>
    </row>
    <row r="414" spans="2:16">
      <c r="B414" s="74">
        <f ca="1">IFERROR(__xludf.DUMMYFUNCTION("""COMPUTED_VALUE"""),2026)</f>
        <v>2026</v>
      </c>
      <c r="C414" s="56">
        <f ca="1">IFERROR(__xludf.DUMMYFUNCTION("""COMPUTED_VALUE"""),3)</f>
        <v>3</v>
      </c>
      <c r="D414" s="33" t="str">
        <f ca="1">IFERROR(__xludf.DUMMYFUNCTION("""COMPUTED_VALUE"""),"NO")</f>
        <v>NO</v>
      </c>
      <c r="E414" s="33" t="str">
        <f ca="1">IFERROR(__xludf.DUMMYFUNCTION("""COMPUTED_VALUE"""),"Almería")</f>
        <v>Almería</v>
      </c>
      <c r="F414" s="57">
        <f ca="1">IFERROR(__xludf.DUMMYFUNCTION("""COMPUTED_VALUE"""),46106)</f>
        <v>46106</v>
      </c>
      <c r="G414" s="57">
        <f ca="1">IFERROR(__xludf.DUMMYFUNCTION("""COMPUTED_VALUE"""),46093)</f>
        <v>46093</v>
      </c>
      <c r="H414" s="33" t="str">
        <f ca="1">IFERROR(__xludf.DUMMYFUNCTION("""COMPUTED_VALUE"""),"Almería")</f>
        <v>Almería</v>
      </c>
      <c r="I414" s="33" t="str">
        <f ca="1">IFERROR(__xludf.DUMMYFUNCTION("""COMPUTED_VALUE"""),"C202631215153684101")</f>
        <v>C202631215153684101</v>
      </c>
      <c r="J414" s="33" t="str">
        <f ca="1">IFERROR(__xludf.DUMMYFUNCTION("""COMPUTED_VALUE"""),"VICTORIA CAMPOS SANTOS")</f>
        <v>VICTORIA CAMPOS SANTOS</v>
      </c>
      <c r="K414" s="56">
        <f ca="1">IFERROR(__xludf.DUMMYFUNCTION("""COMPUTED_VALUE"""),1)</f>
        <v>1</v>
      </c>
      <c r="L414" s="62">
        <f ca="1">IFERROR(__xludf.DUMMYFUNCTION("""COMPUTED_VALUE"""),2481.82)</f>
        <v>2481.8200000000002</v>
      </c>
      <c r="M414" s="33" t="str">
        <f ca="1">IFERROR(__xludf.DUMMYFUNCTION("""COMPUTED_VALUE"""),"01 MARKETING ON LINE")</f>
        <v>01 MARKETING ON LINE</v>
      </c>
      <c r="N414" s="33" t="str">
        <f ca="1">IFERROR(__xludf.DUMMYFUNCTION("""COMPUTED_VALUE"""),"04 AUDIFONO,ES")</f>
        <v>04 AUDIFONO,ES</v>
      </c>
      <c r="O414" s="33" t="str">
        <f ca="1">IFERROR(__xludf.DUMMYFUNCTION("""COMPUTED_VALUE"""),"Dr, Juanjo Góngora Lencina")</f>
        <v>Dr, Juanjo Góngora Lencina</v>
      </c>
      <c r="P414" s="33" t="str">
        <f ca="1">IFERROR(__xludf.DUMMYFUNCTION("""COMPUTED_VALUE"""),"Ramon Ferrando(Valencia)")</f>
        <v>Ramon Ferrando(Valencia)</v>
      </c>
    </row>
    <row r="415" spans="2:16">
      <c r="B415" s="74">
        <f ca="1">IFERROR(__xludf.DUMMYFUNCTION("""COMPUTED_VALUE"""),2026)</f>
        <v>2026</v>
      </c>
      <c r="C415" s="56">
        <f ca="1">IFERROR(__xludf.DUMMYFUNCTION("""COMPUTED_VALUE"""),3)</f>
        <v>3</v>
      </c>
      <c r="D415" s="33" t="str">
        <f ca="1">IFERROR(__xludf.DUMMYFUNCTION("""COMPUTED_VALUE"""),"NO")</f>
        <v>NO</v>
      </c>
      <c r="E415" s="33" t="str">
        <f ca="1">IFERROR(__xludf.DUMMYFUNCTION("""COMPUTED_VALUE"""),"Fuenlabrada")</f>
        <v>Fuenlabrada</v>
      </c>
      <c r="F415" s="57">
        <f ca="1">IFERROR(__xludf.DUMMYFUNCTION("""COMPUTED_VALUE"""),46106)</f>
        <v>46106</v>
      </c>
      <c r="G415" s="57">
        <f ca="1">IFERROR(__xludf.DUMMYFUNCTION("""COMPUTED_VALUE"""),46073)</f>
        <v>46073</v>
      </c>
      <c r="H415" s="33" t="str">
        <f ca="1">IFERROR(__xludf.DUMMYFUNCTION("""COMPUTED_VALUE"""),"Fuenlabrada")</f>
        <v>Fuenlabrada</v>
      </c>
      <c r="I415" s="33" t="str">
        <f ca="1">IFERROR(__xludf.DUMMYFUNCTION("""COMPUTED_VALUE"""),"C202622011312932276")</f>
        <v>C202622011312932276</v>
      </c>
      <c r="J415" s="33" t="str">
        <f ca="1">IFERROR(__xludf.DUMMYFUNCTION("""COMPUTED_VALUE"""),"VICTORIA LOPEZ DE LA FRANCA GONZALEZ")</f>
        <v>VICTORIA LOPEZ DE LA FRANCA GONZALEZ</v>
      </c>
      <c r="K415" s="56">
        <f ca="1">IFERROR(__xludf.DUMMYFUNCTION("""COMPUTED_VALUE"""),1)</f>
        <v>1</v>
      </c>
      <c r="L415" s="62">
        <f ca="1">IFERROR(__xludf.DUMMYFUNCTION("""COMPUTED_VALUE"""),2181.73)</f>
        <v>2181.73</v>
      </c>
      <c r="M415" s="33" t="str">
        <f ca="1">IFERROR(__xludf.DUMMYFUNCTION("""COMPUTED_VALUE"""),"03 ORL")</f>
        <v>03 ORL</v>
      </c>
      <c r="N415" s="33" t="str">
        <f ca="1">IFERROR(__xludf.DUMMYFUNCTION("""COMPUTED_VALUE"""),"06 ORL")</f>
        <v>06 ORL</v>
      </c>
      <c r="O415" s="33" t="str">
        <f ca="1">IFERROR(__xludf.DUMMYFUNCTION("""COMPUTED_VALUE"""),"Dra, Paloma Martín-Aragón Martín")</f>
        <v>Dra, Paloma Martín-Aragón Martín</v>
      </c>
      <c r="P415" s="33" t="str">
        <f ca="1">IFERROR(__xludf.DUMMYFUNCTION("""COMPUTED_VALUE"""),"Maika Blázquez (Madrid)")</f>
        <v>Maika Blázquez (Madrid)</v>
      </c>
    </row>
    <row r="416" spans="2:16">
      <c r="B416" s="74">
        <f ca="1">IFERROR(__xludf.DUMMYFUNCTION("""COMPUTED_VALUE"""),2026)</f>
        <v>2026</v>
      </c>
      <c r="C416" s="56">
        <f ca="1">IFERROR(__xludf.DUMMYFUNCTION("""COMPUTED_VALUE"""),3)</f>
        <v>3</v>
      </c>
      <c r="D416" s="33" t="str">
        <f ca="1">IFERROR(__xludf.DUMMYFUNCTION("""COMPUTED_VALUE"""),"NO")</f>
        <v>NO</v>
      </c>
      <c r="E416" s="33" t="str">
        <f ca="1">IFERROR(__xludf.DUMMYFUNCTION("""COMPUTED_VALUE"""),"Alicante")</f>
        <v>Alicante</v>
      </c>
      <c r="F416" s="57">
        <f ca="1">IFERROR(__xludf.DUMMYFUNCTION("""COMPUTED_VALUE"""),46106)</f>
        <v>46106</v>
      </c>
      <c r="G416" s="57">
        <f ca="1">IFERROR(__xludf.DUMMYFUNCTION("""COMPUTED_VALUE"""),46077)</f>
        <v>46077</v>
      </c>
      <c r="H416" s="33" t="str">
        <f ca="1">IFERROR(__xludf.DUMMYFUNCTION("""COMPUTED_VALUE"""),"Alicante")</f>
        <v>Alicante</v>
      </c>
      <c r="I416" s="33" t="str">
        <f ca="1">IFERROR(__xludf.DUMMYFUNCTION("""COMPUTED_VALUE"""),"C202622412142688311")</f>
        <v>C202622412142688311</v>
      </c>
      <c r="J416" s="33" t="str">
        <f ca="1">IFERROR(__xludf.DUMMYFUNCTION("""COMPUTED_VALUE"""),"JOSE LUIS ESCOBAR ARROYO")</f>
        <v>JOSE LUIS ESCOBAR ARROYO</v>
      </c>
      <c r="K416" s="56">
        <f ca="1">IFERROR(__xludf.DUMMYFUNCTION("""COMPUTED_VALUE"""),2)</f>
        <v>2</v>
      </c>
      <c r="L416" s="62">
        <f ca="1">IFERROR(__xludf.DUMMYFUNCTION("""COMPUTED_VALUE"""),3631.82)</f>
        <v>3631.82</v>
      </c>
      <c r="M416" s="33" t="str">
        <f ca="1">IFERROR(__xludf.DUMMYFUNCTION("""COMPUTED_VALUE"""),"03 ORL")</f>
        <v>03 ORL</v>
      </c>
      <c r="N416" s="33" t="str">
        <f ca="1">IFERROR(__xludf.DUMMYFUNCTION("""COMPUTED_VALUE"""),"06 ORL")</f>
        <v>06 ORL</v>
      </c>
      <c r="O416" s="33" t="str">
        <f ca="1">IFERROR(__xludf.DUMMYFUNCTION("""COMPUTED_VALUE"""),"Dra, Cristina Muñoz Pinto")</f>
        <v>Dra, Cristina Muñoz Pinto</v>
      </c>
      <c r="P416" s="33" t="str">
        <f ca="1">IFERROR(__xludf.DUMMYFUNCTION("""COMPUTED_VALUE"""),"Iván Sánchez (Levante y Albacete)")</f>
        <v>Iván Sánchez (Levante y Albacete)</v>
      </c>
    </row>
    <row r="417" spans="2:16">
      <c r="B417" s="74">
        <f ca="1">IFERROR(__xludf.DUMMYFUNCTION("""COMPUTED_VALUE"""),2026)</f>
        <v>2026</v>
      </c>
      <c r="C417" s="56">
        <f ca="1">IFERROR(__xludf.DUMMYFUNCTION("""COMPUTED_VALUE"""),3)</f>
        <v>3</v>
      </c>
      <c r="D417" s="33" t="str">
        <f ca="1">IFERROR(__xludf.DUMMYFUNCTION("""COMPUTED_VALUE"""),"NO")</f>
        <v>NO</v>
      </c>
      <c r="E417" s="33" t="str">
        <f ca="1">IFERROR(__xludf.DUMMYFUNCTION("""COMPUTED_VALUE"""),"Murcia")</f>
        <v>Murcia</v>
      </c>
      <c r="F417" s="57">
        <f ca="1">IFERROR(__xludf.DUMMYFUNCTION("""COMPUTED_VALUE"""),46106)</f>
        <v>46106</v>
      </c>
      <c r="G417" s="57">
        <f ca="1">IFERROR(__xludf.DUMMYFUNCTION("""COMPUTED_VALUE"""),46070)</f>
        <v>46070</v>
      </c>
      <c r="H417" s="33" t="str">
        <f ca="1">IFERROR(__xludf.DUMMYFUNCTION("""COMPUTED_VALUE"""),"Murcia")</f>
        <v>Murcia</v>
      </c>
      <c r="I417" s="33" t="str">
        <f ca="1">IFERROR(__xludf.DUMMYFUNCTION("""COMPUTED_VALUE"""),"C202621794150905684")</f>
        <v>C202621794150905684</v>
      </c>
      <c r="J417" s="33" t="str">
        <f ca="1">IFERROR(__xludf.DUMMYFUNCTION("""COMPUTED_VALUE"""),"IVAN MARTINEZ MILLAN")</f>
        <v>IVAN MARTINEZ MILLAN</v>
      </c>
      <c r="K417" s="56">
        <f ca="1">IFERROR(__xludf.DUMMYFUNCTION("""COMPUTED_VALUE"""),2)</f>
        <v>2</v>
      </c>
      <c r="L417" s="62">
        <f ca="1">IFERROR(__xludf.DUMMYFUNCTION("""COMPUTED_VALUE"""),4536.36)</f>
        <v>4536.3599999999997</v>
      </c>
      <c r="M417" s="33" t="str">
        <f ca="1">IFERROR(__xludf.DUMMYFUNCTION("""COMPUTED_VALUE"""),"03 ORL")</f>
        <v>03 ORL</v>
      </c>
      <c r="N417" s="33" t="str">
        <f ca="1">IFERROR(__xludf.DUMMYFUNCTION("""COMPUTED_VALUE"""),"06 ORL")</f>
        <v>06 ORL</v>
      </c>
      <c r="O417" s="33" t="str">
        <f ca="1">IFERROR(__xludf.DUMMYFUNCTION("""COMPUTED_VALUE"""),"Dr, Jesús Miguel Iniesta Turpín")</f>
        <v>Dr, Jesús Miguel Iniesta Turpín</v>
      </c>
      <c r="P417" s="33" t="str">
        <f ca="1">IFERROR(__xludf.DUMMYFUNCTION("""COMPUTED_VALUE"""),"Iván Sánchez (Levante y Albacete)")</f>
        <v>Iván Sánchez (Levante y Albacete)</v>
      </c>
    </row>
    <row r="418" spans="2:16">
      <c r="B418" s="74">
        <f ca="1">IFERROR(__xludf.DUMMYFUNCTION("""COMPUTED_VALUE"""),2026)</f>
        <v>2026</v>
      </c>
      <c r="C418" s="56">
        <f ca="1">IFERROR(__xludf.DUMMYFUNCTION("""COMPUTED_VALUE"""),3)</f>
        <v>3</v>
      </c>
      <c r="D418" s="33" t="str">
        <f ca="1">IFERROR(__xludf.DUMMYFUNCTION("""COMPUTED_VALUE"""),"NO")</f>
        <v>NO</v>
      </c>
      <c r="E418" s="33" t="str">
        <f ca="1">IFERROR(__xludf.DUMMYFUNCTION("""COMPUTED_VALUE"""),"Madrid- Monforte de Lemos")</f>
        <v>Madrid- Monforte de Lemos</v>
      </c>
      <c r="F418" s="57">
        <f ca="1">IFERROR(__xludf.DUMMYFUNCTION("""COMPUTED_VALUE"""),46106)</f>
        <v>46106</v>
      </c>
      <c r="G418" s="57">
        <f ca="1">IFERROR(__xludf.DUMMYFUNCTION("""COMPUTED_VALUE"""),46098)</f>
        <v>46098</v>
      </c>
      <c r="H418" s="33" t="str">
        <f ca="1">IFERROR(__xludf.DUMMYFUNCTION("""COMPUTED_VALUE"""),"La Vaguada")</f>
        <v>La Vaguada</v>
      </c>
      <c r="I418" s="33" t="str">
        <f ca="1">IFERROR(__xludf.DUMMYFUNCTION("""COMPUTED_VALUE"""),"C202631792213452520")</f>
        <v>C202631792213452520</v>
      </c>
      <c r="J418" s="33" t="str">
        <f ca="1">IFERROR(__xludf.DUMMYFUNCTION("""COMPUTED_VALUE"""),"JOAQUIN MUÑOZ COUTO")</f>
        <v>JOAQUIN MUÑOZ COUTO</v>
      </c>
      <c r="K418" s="56">
        <f ca="1">IFERROR(__xludf.DUMMYFUNCTION("""COMPUTED_VALUE"""),2)</f>
        <v>2</v>
      </c>
      <c r="L418" s="62">
        <f ca="1">IFERROR(__xludf.DUMMYFUNCTION("""COMPUTED_VALUE"""),2718.18)</f>
        <v>2718.18</v>
      </c>
      <c r="M418" s="33" t="str">
        <f ca="1">IFERROR(__xludf.DUMMYFUNCTION("""COMPUTED_VALUE"""),"03 ORL")</f>
        <v>03 ORL</v>
      </c>
      <c r="N418" s="33" t="str">
        <f ca="1">IFERROR(__xludf.DUMMYFUNCTION("""COMPUTED_VALUE"""),"06 ORL")</f>
        <v>06 ORL</v>
      </c>
      <c r="O418" s="33" t="str">
        <f ca="1">IFERROR(__xludf.DUMMYFUNCTION("""COMPUTED_VALUE"""),"Dr, Álvaro Sánchez de Arriba")</f>
        <v>Dr, Álvaro Sánchez de Arriba</v>
      </c>
      <c r="P418" s="33" t="str">
        <f ca="1">IFERROR(__xludf.DUMMYFUNCTION("""COMPUTED_VALUE"""),"Lisandro Russian (Madrid, Cáceres, Toledo, Talavera y Logroño)")</f>
        <v>Lisandro Russian (Madrid, Cáceres, Toledo, Talavera y Logroño)</v>
      </c>
    </row>
    <row r="419" spans="2:16">
      <c r="B419" s="74">
        <f ca="1">IFERROR(__xludf.DUMMYFUNCTION("""COMPUTED_VALUE"""),2026)</f>
        <v>2026</v>
      </c>
      <c r="C419" s="56">
        <f ca="1">IFERROR(__xludf.DUMMYFUNCTION("""COMPUTED_VALUE"""),3)</f>
        <v>3</v>
      </c>
      <c r="D419" s="33" t="str">
        <f ca="1">IFERROR(__xludf.DUMMYFUNCTION("""COMPUTED_VALUE"""),"NO")</f>
        <v>NO</v>
      </c>
      <c r="E419" s="33" t="str">
        <f ca="1">IFERROR(__xludf.DUMMYFUNCTION("""COMPUTED_VALUE"""),"Logroño")</f>
        <v>Logroño</v>
      </c>
      <c r="F419" s="57">
        <f ca="1">IFERROR(__xludf.DUMMYFUNCTION("""COMPUTED_VALUE"""),46107)</f>
        <v>46107</v>
      </c>
      <c r="G419" s="57">
        <f ca="1">IFERROR(__xludf.DUMMYFUNCTION("""COMPUTED_VALUE"""),46063)</f>
        <v>46063</v>
      </c>
      <c r="H419" s="33" t="str">
        <f ca="1">IFERROR(__xludf.DUMMYFUNCTION("""COMPUTED_VALUE"""),"Logroño")</f>
        <v>Logroño</v>
      </c>
      <c r="I419" s="33" t="str">
        <f ca="1">IFERROR(__xludf.DUMMYFUNCTION("""COMPUTED_VALUE"""),"C202621094742102979")</f>
        <v>C202621094742102979</v>
      </c>
      <c r="J419" s="33" t="str">
        <f ca="1">IFERROR(__xludf.DUMMYFUNCTION("""COMPUTED_VALUE"""),"Juan Andrés Armesto Fernandez")</f>
        <v>Juan Andrés Armesto Fernandez</v>
      </c>
      <c r="K419" s="56">
        <f ca="1">IFERROR(__xludf.DUMMYFUNCTION("""COMPUTED_VALUE"""),2)</f>
        <v>2</v>
      </c>
      <c r="L419" s="62">
        <f ca="1">IFERROR(__xludf.DUMMYFUNCTION("""COMPUTED_VALUE"""),4136.36)</f>
        <v>4136.3599999999997</v>
      </c>
      <c r="M419" s="33" t="str">
        <f ca="1">IFERROR(__xludf.DUMMYFUNCTION("""COMPUTED_VALUE"""),"03 ORL")</f>
        <v>03 ORL</v>
      </c>
      <c r="N419" s="33" t="str">
        <f ca="1">IFERROR(__xludf.DUMMYFUNCTION("""COMPUTED_VALUE"""),"22 AUDIOMETRIA CLINICA")</f>
        <v>22 AUDIOMETRIA CLINICA</v>
      </c>
      <c r="O419" s="33" t="str">
        <f ca="1">IFERROR(__xludf.DUMMYFUNCTION("""COMPUTED_VALUE"""),"No recuerda ORL")</f>
        <v>No recuerda ORL</v>
      </c>
      <c r="P419" s="33" t="str">
        <f ca="1">IFERROR(__xludf.DUMMYFUNCTION("""COMPUTED_VALUE"""),"Lisandro Russian (Madrid, Cáceres, Toledo, Talavera y Logroño)")</f>
        <v>Lisandro Russian (Madrid, Cáceres, Toledo, Talavera y Logroño)</v>
      </c>
    </row>
    <row r="420" spans="2:16">
      <c r="B420" s="74">
        <f ca="1">IFERROR(__xludf.DUMMYFUNCTION("""COMPUTED_VALUE"""),2026)</f>
        <v>2026</v>
      </c>
      <c r="C420" s="56">
        <f ca="1">IFERROR(__xludf.DUMMYFUNCTION("""COMPUTED_VALUE"""),3)</f>
        <v>3</v>
      </c>
      <c r="D420" s="33" t="str">
        <f ca="1">IFERROR(__xludf.DUMMYFUNCTION("""COMPUTED_VALUE"""),"NO")</f>
        <v>NO</v>
      </c>
      <c r="E420" s="33" t="str">
        <f ca="1">IFERROR(__xludf.DUMMYFUNCTION("""COMPUTED_VALUE"""),"Logroño")</f>
        <v>Logroño</v>
      </c>
      <c r="F420" s="57">
        <f ca="1">IFERROR(__xludf.DUMMYFUNCTION("""COMPUTED_VALUE"""),46107)</f>
        <v>46107</v>
      </c>
      <c r="G420" s="57">
        <f ca="1">IFERROR(__xludf.DUMMYFUNCTION("""COMPUTED_VALUE"""),46085)</f>
        <v>46085</v>
      </c>
      <c r="H420" s="33" t="str">
        <f ca="1">IFERROR(__xludf.DUMMYFUNCTION("""COMPUTED_VALUE"""),"Logroño")</f>
        <v>Logroño</v>
      </c>
      <c r="I420" s="33" t="str">
        <f ca="1">IFERROR(__xludf.DUMMYFUNCTION("""COMPUTED_VALUE"""),"C202634162939043899")</f>
        <v>C202634162939043899</v>
      </c>
      <c r="J420" s="33" t="str">
        <f ca="1">IFERROR(__xludf.DUMMYFUNCTION("""COMPUTED_VALUE"""),"TERESA GONZALEZ PRECIADO")</f>
        <v>TERESA GONZALEZ PRECIADO</v>
      </c>
      <c r="K420" s="56">
        <f ca="1">IFERROR(__xludf.DUMMYFUNCTION("""COMPUTED_VALUE"""),2)</f>
        <v>2</v>
      </c>
      <c r="L420" s="62">
        <f ca="1">IFERROR(__xludf.DUMMYFUNCTION("""COMPUTED_VALUE"""),3631.82)</f>
        <v>3631.82</v>
      </c>
      <c r="M420" s="33" t="str">
        <f ca="1">IFERROR(__xludf.DUMMYFUNCTION("""COMPUTED_VALUE"""),"03 ORL")</f>
        <v>03 ORL</v>
      </c>
      <c r="N420" s="33" t="str">
        <f ca="1">IFERROR(__xludf.DUMMYFUNCTION("""COMPUTED_VALUE"""),"06 ORL")</f>
        <v>06 ORL</v>
      </c>
      <c r="O420" s="33" t="str">
        <f ca="1">IFERROR(__xludf.DUMMYFUNCTION("""COMPUTED_VALUE"""),"No recuerda ORL")</f>
        <v>No recuerda ORL</v>
      </c>
      <c r="P420" s="33" t="str">
        <f ca="1">IFERROR(__xludf.DUMMYFUNCTION("""COMPUTED_VALUE"""),"Lisandro Russian (Madrid, Cáceres, Toledo, Talavera y Logroño)")</f>
        <v>Lisandro Russian (Madrid, Cáceres, Toledo, Talavera y Logroño)</v>
      </c>
    </row>
    <row r="421" spans="2:16">
      <c r="B421" s="74">
        <f ca="1">IFERROR(__xludf.DUMMYFUNCTION("""COMPUTED_VALUE"""),2026)</f>
        <v>2026</v>
      </c>
      <c r="C421" s="56">
        <f ca="1">IFERROR(__xludf.DUMMYFUNCTION("""COMPUTED_VALUE"""),3)</f>
        <v>3</v>
      </c>
      <c r="D421" s="33" t="str">
        <f ca="1">IFERROR(__xludf.DUMMYFUNCTION("""COMPUTED_VALUE"""),"NO")</f>
        <v>NO</v>
      </c>
      <c r="E421" s="33" t="str">
        <f ca="1">IFERROR(__xludf.DUMMYFUNCTION("""COMPUTED_VALUE"""),"Almería")</f>
        <v>Almería</v>
      </c>
      <c r="F421" s="57">
        <f ca="1">IFERROR(__xludf.DUMMYFUNCTION("""COMPUTED_VALUE"""),46107)</f>
        <v>46107</v>
      </c>
      <c r="G421" s="57">
        <f ca="1">IFERROR(__xludf.DUMMYFUNCTION("""COMPUTED_VALUE"""),46086)</f>
        <v>46086</v>
      </c>
      <c r="H421" s="33" t="str">
        <f ca="1">IFERROR(__xludf.DUMMYFUNCTION("""COMPUTED_VALUE"""),"Almería")</f>
        <v>Almería</v>
      </c>
      <c r="I421" s="33" t="str">
        <f ca="1">IFERROR(__xludf.DUMMYFUNCTION("""COMPUTED_VALUE"""),"C20263511656958322")</f>
        <v>C20263511656958322</v>
      </c>
      <c r="J421" s="33" t="str">
        <f ca="1">IFERROR(__xludf.DUMMYFUNCTION("""COMPUTED_VALUE"""),"ENCARNACIÓN GONZALEZ HERNANDEZ")</f>
        <v>ENCARNACIÓN GONZALEZ HERNANDEZ</v>
      </c>
      <c r="K421" s="56">
        <f ca="1">IFERROR(__xludf.DUMMYFUNCTION("""COMPUTED_VALUE"""),1)</f>
        <v>1</v>
      </c>
      <c r="L421" s="62">
        <f ca="1">IFERROR(__xludf.DUMMYFUNCTION("""COMPUTED_VALUE"""),1545.45)</f>
        <v>1545.45</v>
      </c>
      <c r="M421" s="33" t="str">
        <f ca="1">IFERROR(__xludf.DUMMYFUNCTION("""COMPUTED_VALUE"""),"03 ORL")</f>
        <v>03 ORL</v>
      </c>
      <c r="N421" s="33" t="str">
        <f ca="1">IFERROR(__xludf.DUMMYFUNCTION("""COMPUTED_VALUE"""),"06 ORL")</f>
        <v>06 ORL</v>
      </c>
      <c r="O421" s="33" t="str">
        <f ca="1">IFERROR(__xludf.DUMMYFUNCTION("""COMPUTED_VALUE"""),"Dr, Antonio José Fernández Pérez")</f>
        <v>Dr, Antonio José Fernández Pérez</v>
      </c>
      <c r="P421" s="33" t="str">
        <f ca="1">IFERROR(__xludf.DUMMYFUNCTION("""COMPUTED_VALUE"""),"Ramon Ferrando(Valencia)")</f>
        <v>Ramon Ferrando(Valencia)</v>
      </c>
    </row>
    <row r="422" spans="2:16">
      <c r="B422" s="74">
        <f ca="1">IFERROR(__xludf.DUMMYFUNCTION("""COMPUTED_VALUE"""),2026)</f>
        <v>2026</v>
      </c>
      <c r="C422" s="56">
        <f ca="1">IFERROR(__xludf.DUMMYFUNCTION("""COMPUTED_VALUE"""),3)</f>
        <v>3</v>
      </c>
      <c r="D422" s="33" t="str">
        <f ca="1">IFERROR(__xludf.DUMMYFUNCTION("""COMPUTED_VALUE"""),"NO")</f>
        <v>NO</v>
      </c>
      <c r="E422" s="33" t="str">
        <f ca="1">IFERROR(__xludf.DUMMYFUNCTION("""COMPUTED_VALUE"""),"Talavera")</f>
        <v>Talavera</v>
      </c>
      <c r="F422" s="57">
        <f ca="1">IFERROR(__xludf.DUMMYFUNCTION("""COMPUTED_VALUE"""),46107)</f>
        <v>46107</v>
      </c>
      <c r="G422" s="57">
        <f ca="1">IFERROR(__xludf.DUMMYFUNCTION("""COMPUTED_VALUE"""),45751)</f>
        <v>45751</v>
      </c>
      <c r="H422" s="33" t="str">
        <f ca="1">IFERROR(__xludf.DUMMYFUNCTION("""COMPUTED_VALUE"""),"Talavera")</f>
        <v>Talavera</v>
      </c>
      <c r="I422" s="33" t="str">
        <f ca="1">IFERROR(__xludf.DUMMYFUNCTION("""COMPUTED_VALUE"""),"C2025411105516909")</f>
        <v>C2025411105516909</v>
      </c>
      <c r="J422" s="33" t="str">
        <f ca="1">IFERROR(__xludf.DUMMYFUNCTION("""COMPUTED_VALUE"""),"JULIA ROBLEDO MARTIN")</f>
        <v>JULIA ROBLEDO MARTIN</v>
      </c>
      <c r="K422" s="56">
        <f ca="1">IFERROR(__xludf.DUMMYFUNCTION("""COMPUTED_VALUE"""),2)</f>
        <v>2</v>
      </c>
      <c r="L422" s="62">
        <f ca="1">IFERROR(__xludf.DUMMYFUNCTION("""COMPUTED_VALUE"""),2718.18)</f>
        <v>2718.18</v>
      </c>
      <c r="M422" s="33" t="str">
        <f ca="1">IFERROR(__xludf.DUMMYFUNCTION("""COMPUTED_VALUE"""),"03 ORL")</f>
        <v>03 ORL</v>
      </c>
      <c r="N422" s="33" t="str">
        <f ca="1">IFERROR(__xludf.DUMMYFUNCTION("""COMPUTED_VALUE"""),"06 ORL")</f>
        <v>06 ORL</v>
      </c>
      <c r="O422" s="33" t="str">
        <f ca="1">IFERROR(__xludf.DUMMYFUNCTION("""COMPUTED_VALUE"""),"Dra, María Del Rocío Lobato Pérez")</f>
        <v>Dra, María Del Rocío Lobato Pérez</v>
      </c>
      <c r="P422" s="33" t="str">
        <f ca="1">IFERROR(__xludf.DUMMYFUNCTION("""COMPUTED_VALUE"""),"Lisandro Russian (Madrid, Cáceres, Toledo, Talavera y Logroño)")</f>
        <v>Lisandro Russian (Madrid, Cáceres, Toledo, Talavera y Logroño)</v>
      </c>
    </row>
    <row r="423" spans="2:16">
      <c r="B423" s="74">
        <f ca="1">IFERROR(__xludf.DUMMYFUNCTION("""COMPUTED_VALUE"""),2026)</f>
        <v>2026</v>
      </c>
      <c r="C423" s="56">
        <f ca="1">IFERROR(__xludf.DUMMYFUNCTION("""COMPUTED_VALUE"""),3)</f>
        <v>3</v>
      </c>
      <c r="D423" s="33" t="str">
        <f ca="1">IFERROR(__xludf.DUMMYFUNCTION("""COMPUTED_VALUE"""),"NO")</f>
        <v>NO</v>
      </c>
      <c r="E423" s="33" t="str">
        <f ca="1">IFERROR(__xludf.DUMMYFUNCTION("""COMPUTED_VALUE"""),"El Albir (Benidorm)")</f>
        <v>El Albir (Benidorm)</v>
      </c>
      <c r="F423" s="57">
        <f ca="1">IFERROR(__xludf.DUMMYFUNCTION("""COMPUTED_VALUE"""),46107)</f>
        <v>46107</v>
      </c>
      <c r="G423" s="57">
        <f ca="1">IFERROR(__xludf.DUMMYFUNCTION("""COMPUTED_VALUE"""),46064)</f>
        <v>46064</v>
      </c>
      <c r="H423" s="33" t="str">
        <f ca="1">IFERROR(__xludf.DUMMYFUNCTION("""COMPUTED_VALUE"""),"El Albir (Benidorm)")</f>
        <v>El Albir (Benidorm)</v>
      </c>
      <c r="I423" s="33" t="str">
        <f ca="1">IFERROR(__xludf.DUMMYFUNCTION("""COMPUTED_VALUE"""),"C202621115633636141")</f>
        <v>C202621115633636141</v>
      </c>
      <c r="J423" s="33" t="str">
        <f ca="1">IFERROR(__xludf.DUMMYFUNCTION("""COMPUTED_VALUE"""),"CLARA CORTES LAVIÓS")</f>
        <v>CLARA CORTES LAVIÓS</v>
      </c>
      <c r="K423" s="56">
        <f ca="1">IFERROR(__xludf.DUMMYFUNCTION("""COMPUTED_VALUE"""),2)</f>
        <v>2</v>
      </c>
      <c r="L423" s="62">
        <f ca="1">IFERROR(__xludf.DUMMYFUNCTION("""COMPUTED_VALUE"""),2772.27)</f>
        <v>2772.27</v>
      </c>
      <c r="M423" s="33" t="str">
        <f ca="1">IFERROR(__xludf.DUMMYFUNCTION("""COMPUTED_VALUE"""),"03 ORL")</f>
        <v>03 ORL</v>
      </c>
      <c r="N423" s="33" t="str">
        <f ca="1">IFERROR(__xludf.DUMMYFUNCTION("""COMPUTED_VALUE"""),"06 ORL")</f>
        <v>06 ORL</v>
      </c>
      <c r="O423" s="33" t="str">
        <f ca="1">IFERROR(__xludf.DUMMYFUNCTION("""COMPUTED_VALUE"""),"Dra, Isabel Polo Tomás")</f>
        <v>Dra, Isabel Polo Tomás</v>
      </c>
      <c r="P423" s="33" t="str">
        <f ca="1">IFERROR(__xludf.DUMMYFUNCTION("""COMPUTED_VALUE"""),"Ramon Ferrando(Valencia)")</f>
        <v>Ramon Ferrando(Valencia)</v>
      </c>
    </row>
    <row r="424" spans="2:16">
      <c r="B424" s="74">
        <f ca="1">IFERROR(__xludf.DUMMYFUNCTION("""COMPUTED_VALUE"""),2026)</f>
        <v>2026</v>
      </c>
      <c r="C424" s="56">
        <f ca="1">IFERROR(__xludf.DUMMYFUNCTION("""COMPUTED_VALUE"""),3)</f>
        <v>3</v>
      </c>
      <c r="D424" s="33" t="str">
        <f ca="1">IFERROR(__xludf.DUMMYFUNCTION("""COMPUTED_VALUE"""),"NO")</f>
        <v>NO</v>
      </c>
      <c r="E424" s="33" t="str">
        <f ca="1">IFERROR(__xludf.DUMMYFUNCTION("""COMPUTED_VALUE"""),"Madrid- La Oca")</f>
        <v>Madrid- La Oca</v>
      </c>
      <c r="F424" s="57">
        <f ca="1">IFERROR(__xludf.DUMMYFUNCTION("""COMPUTED_VALUE"""),46107)</f>
        <v>46107</v>
      </c>
      <c r="G424" s="57">
        <f ca="1">IFERROR(__xludf.DUMMYFUNCTION("""COMPUTED_VALUE"""),46073)</f>
        <v>46073</v>
      </c>
      <c r="H424" s="33" t="str">
        <f ca="1">IFERROR(__xludf.DUMMYFUNCTION("""COMPUTED_VALUE"""),"La Oca")</f>
        <v>La Oca</v>
      </c>
      <c r="I424" s="33" t="str">
        <f ca="1">IFERROR(__xludf.DUMMYFUNCTION("""COMPUTED_VALUE"""),"C202622016312913031")</f>
        <v>C202622016312913031</v>
      </c>
      <c r="J424" s="33" t="str">
        <f ca="1">IFERROR(__xludf.DUMMYFUNCTION("""COMPUTED_VALUE"""),"FERNANDO  CAMUÑAS LAZARO")</f>
        <v>FERNANDO  CAMUÑAS LAZARO</v>
      </c>
      <c r="K424" s="56">
        <f ca="1">IFERROR(__xludf.DUMMYFUNCTION("""COMPUTED_VALUE"""),1)</f>
        <v>1</v>
      </c>
      <c r="L424" s="62">
        <f ca="1">IFERROR(__xludf.DUMMYFUNCTION("""COMPUTED_VALUE"""),2180.91)</f>
        <v>2180.91</v>
      </c>
      <c r="M424" s="33" t="str">
        <f ca="1">IFERROR(__xludf.DUMMYFUNCTION("""COMPUTED_VALUE"""),"03 ORL")</f>
        <v>03 ORL</v>
      </c>
      <c r="N424" s="33" t="str">
        <f ca="1">IFERROR(__xludf.DUMMYFUNCTION("""COMPUTED_VALUE"""),"06 ORL")</f>
        <v>06 ORL</v>
      </c>
      <c r="O424" s="33" t="str">
        <f ca="1">IFERROR(__xludf.DUMMYFUNCTION("""COMPUTED_VALUE"""),"Dr, Andreas Schilling Borghesi")</f>
        <v>Dr, Andreas Schilling Borghesi</v>
      </c>
      <c r="P424" s="33" t="str">
        <f ca="1">IFERROR(__xludf.DUMMYFUNCTION("""COMPUTED_VALUE"""),"Maika Blázquez (Madrid)")</f>
        <v>Maika Blázquez (Madrid)</v>
      </c>
    </row>
    <row r="425" spans="2:16">
      <c r="B425" s="74">
        <f ca="1">IFERROR(__xludf.DUMMYFUNCTION("""COMPUTED_VALUE"""),2026)</f>
        <v>2026</v>
      </c>
      <c r="C425" s="56">
        <f ca="1">IFERROR(__xludf.DUMMYFUNCTION("""COMPUTED_VALUE"""),3)</f>
        <v>3</v>
      </c>
      <c r="D425" s="33" t="str">
        <f ca="1">IFERROR(__xludf.DUMMYFUNCTION("""COMPUTED_VALUE"""),"NO")</f>
        <v>NO</v>
      </c>
      <c r="E425" s="33" t="str">
        <f ca="1">IFERROR(__xludf.DUMMYFUNCTION("""COMPUTED_VALUE"""),"Fuenlabrada")</f>
        <v>Fuenlabrada</v>
      </c>
      <c r="F425" s="57">
        <f ca="1">IFERROR(__xludf.DUMMYFUNCTION("""COMPUTED_VALUE"""),46107)</f>
        <v>46107</v>
      </c>
      <c r="G425" s="57">
        <f ca="1">IFERROR(__xludf.DUMMYFUNCTION("""COMPUTED_VALUE"""),46078)</f>
        <v>46078</v>
      </c>
      <c r="H425" s="33" t="str">
        <f ca="1">IFERROR(__xludf.DUMMYFUNCTION("""COMPUTED_VALUE"""),"Fuenlabrada")</f>
        <v>Fuenlabrada</v>
      </c>
      <c r="I425" s="33" t="str">
        <f ca="1">IFERROR(__xludf.DUMMYFUNCTION("""COMPUTED_VALUE"""),"C202622511557773529")</f>
        <v>C202622511557773529</v>
      </c>
      <c r="J425" s="33" t="str">
        <f ca="1">IFERROR(__xludf.DUMMYFUNCTION("""COMPUTED_VALUE"""),"CARMEN  CUESTA GARCIA")</f>
        <v>CARMEN  CUESTA GARCIA</v>
      </c>
      <c r="K425" s="56">
        <f ca="1">IFERROR(__xludf.DUMMYFUNCTION("""COMPUTED_VALUE"""),1)</f>
        <v>1</v>
      </c>
      <c r="L425" s="62">
        <f ca="1">IFERROR(__xludf.DUMMYFUNCTION("""COMPUTED_VALUE"""),2180.91)</f>
        <v>2180.91</v>
      </c>
      <c r="M425" s="33" t="str">
        <f ca="1">IFERROR(__xludf.DUMMYFUNCTION("""COMPUTED_VALUE"""),"03 ORL")</f>
        <v>03 ORL</v>
      </c>
      <c r="N425" s="33" t="str">
        <f ca="1">IFERROR(__xludf.DUMMYFUNCTION("""COMPUTED_VALUE"""),"06 ORL")</f>
        <v>06 ORL</v>
      </c>
      <c r="O425" s="33" t="str">
        <f ca="1">IFERROR(__xludf.DUMMYFUNCTION("""COMPUTED_VALUE"""),"Dr, Raimundo Andres Navarro Mediano")</f>
        <v>Dr, Raimundo Andres Navarro Mediano</v>
      </c>
      <c r="P425" s="33" t="str">
        <f ca="1">IFERROR(__xludf.DUMMYFUNCTION("""COMPUTED_VALUE"""),"Maika Blázquez (Madrid)")</f>
        <v>Maika Blázquez (Madrid)</v>
      </c>
    </row>
    <row r="426" spans="2:16">
      <c r="B426" s="74">
        <f ca="1">IFERROR(__xludf.DUMMYFUNCTION("""COMPUTED_VALUE"""),2026)</f>
        <v>2026</v>
      </c>
      <c r="C426" s="56">
        <f ca="1">IFERROR(__xludf.DUMMYFUNCTION("""COMPUTED_VALUE"""),3)</f>
        <v>3</v>
      </c>
      <c r="D426" s="33" t="str">
        <f ca="1">IFERROR(__xludf.DUMMYFUNCTION("""COMPUTED_VALUE"""),"NO")</f>
        <v>NO</v>
      </c>
      <c r="E426" s="33" t="str">
        <f ca="1">IFERROR(__xludf.DUMMYFUNCTION("""COMPUTED_VALUE"""),"El Albir (Benidorm)")</f>
        <v>El Albir (Benidorm)</v>
      </c>
      <c r="F426" s="57">
        <f ca="1">IFERROR(__xludf.DUMMYFUNCTION("""COMPUTED_VALUE"""),46107)</f>
        <v>46107</v>
      </c>
      <c r="G426" s="57">
        <f ca="1">IFERROR(__xludf.DUMMYFUNCTION("""COMPUTED_VALUE"""),46059)</f>
        <v>46059</v>
      </c>
      <c r="H426" s="33" t="str">
        <f ca="1">IFERROR(__xludf.DUMMYFUNCTION("""COMPUTED_VALUE"""),"El Albir (Benidorm)")</f>
        <v>El Albir (Benidorm)</v>
      </c>
      <c r="I426" s="33" t="str">
        <f ca="1">IFERROR(__xludf.DUMMYFUNCTION("""COMPUTED_VALUE"""),"C20262616184191590")</f>
        <v>C20262616184191590</v>
      </c>
      <c r="J426" s="33" t="str">
        <f ca="1">IFERROR(__xludf.DUMMYFUNCTION("""COMPUTED_VALUE"""),"ANTONIO MUÑOZ VIVANCOS")</f>
        <v>ANTONIO MUÑOZ VIVANCOS</v>
      </c>
      <c r="K426" s="56">
        <f ca="1">IFERROR(__xludf.DUMMYFUNCTION("""COMPUTED_VALUE"""),2)</f>
        <v>2</v>
      </c>
      <c r="L426" s="62">
        <f ca="1">IFERROR(__xludf.DUMMYFUNCTION("""COMPUTED_VALUE"""),2718.18)</f>
        <v>2718.18</v>
      </c>
      <c r="M426" s="33" t="str">
        <f ca="1">IFERROR(__xludf.DUMMYFUNCTION("""COMPUTED_VALUE"""),"03 ORL")</f>
        <v>03 ORL</v>
      </c>
      <c r="N426" s="33" t="str">
        <f ca="1">IFERROR(__xludf.DUMMYFUNCTION("""COMPUTED_VALUE"""),"06 ORL")</f>
        <v>06 ORL</v>
      </c>
      <c r="O426" s="33" t="str">
        <f ca="1">IFERROR(__xludf.DUMMYFUNCTION("""COMPUTED_VALUE"""),"Dr, José María Laborda Margolles")</f>
        <v>Dr, José María Laborda Margolles</v>
      </c>
      <c r="P426" s="33" t="str">
        <f ca="1">IFERROR(__xludf.DUMMYFUNCTION("""COMPUTED_VALUE"""),"Ramon Ferrando(Valencia)")</f>
        <v>Ramon Ferrando(Valencia)</v>
      </c>
    </row>
    <row r="427" spans="2:16">
      <c r="B427" s="74">
        <f ca="1">IFERROR(__xludf.DUMMYFUNCTION("""COMPUTED_VALUE"""),2026)</f>
        <v>2026</v>
      </c>
      <c r="C427" s="56">
        <f ca="1">IFERROR(__xludf.DUMMYFUNCTION("""COMPUTED_VALUE"""),3)</f>
        <v>3</v>
      </c>
      <c r="D427" s="33" t="str">
        <f ca="1">IFERROR(__xludf.DUMMYFUNCTION("""COMPUTED_VALUE"""),"NO")</f>
        <v>NO</v>
      </c>
      <c r="E427" s="33" t="str">
        <f ca="1">IFERROR(__xludf.DUMMYFUNCTION("""COMPUTED_VALUE"""),"Zaragoza- Santander")</f>
        <v>Zaragoza- Santander</v>
      </c>
      <c r="F427" s="57">
        <f ca="1">IFERROR(__xludf.DUMMYFUNCTION("""COMPUTED_VALUE"""),46107)</f>
        <v>46107</v>
      </c>
      <c r="G427" s="57">
        <f ca="1">IFERROR(__xludf.DUMMYFUNCTION("""COMPUTED_VALUE"""),46008)</f>
        <v>46008</v>
      </c>
      <c r="H427" s="33" t="str">
        <f ca="1">IFERROR(__xludf.DUMMYFUNCTION("""COMPUTED_VALUE"""),"Zaragoza- Santander")</f>
        <v>Zaragoza- Santander</v>
      </c>
      <c r="I427" s="33" t="str">
        <f ca="1">IFERROR(__xludf.DUMMYFUNCTION("""COMPUTED_VALUE"""),"C202512171782383625")</f>
        <v>C202512171782383625</v>
      </c>
      <c r="J427" s="33" t="str">
        <f ca="1">IFERROR(__xludf.DUMMYFUNCTION("""COMPUTED_VALUE"""),"MARIA ANGELES ROMEO MALO")</f>
        <v>MARIA ANGELES ROMEO MALO</v>
      </c>
      <c r="K427" s="56">
        <f ca="1">IFERROR(__xludf.DUMMYFUNCTION("""COMPUTED_VALUE"""),2)</f>
        <v>2</v>
      </c>
      <c r="L427" s="62">
        <f ca="1">IFERROR(__xludf.DUMMYFUNCTION("""COMPUTED_VALUE"""),3136.36)</f>
        <v>3136.36</v>
      </c>
      <c r="M427" s="33" t="str">
        <f ca="1">IFERROR(__xludf.DUMMYFUNCTION("""COMPUTED_VALUE"""),"03 ORL")</f>
        <v>03 ORL</v>
      </c>
      <c r="N427" s="33" t="str">
        <f ca="1">IFERROR(__xludf.DUMMYFUNCTION("""COMPUTED_VALUE"""),"06 ORL")</f>
        <v>06 ORL</v>
      </c>
      <c r="O427" s="33" t="str">
        <f ca="1">IFERROR(__xludf.DUMMYFUNCTION("""COMPUTED_VALUE"""),"Dr, Jaime Leache Pueyo")</f>
        <v>Dr, Jaime Leache Pueyo</v>
      </c>
      <c r="P427" s="33" t="str">
        <f ca="1">IFERROR(__xludf.DUMMYFUNCTION("""COMPUTED_VALUE"""),"Ignacio Berdejo (Zaragoza)")</f>
        <v>Ignacio Berdejo (Zaragoza)</v>
      </c>
    </row>
    <row r="428" spans="2:16">
      <c r="B428" s="74">
        <f ca="1">IFERROR(__xludf.DUMMYFUNCTION("""COMPUTED_VALUE"""),2026)</f>
        <v>2026</v>
      </c>
      <c r="C428" s="56">
        <f ca="1">IFERROR(__xludf.DUMMYFUNCTION("""COMPUTED_VALUE"""),3)</f>
        <v>3</v>
      </c>
      <c r="D428" s="33" t="str">
        <f ca="1">IFERROR(__xludf.DUMMYFUNCTION("""COMPUTED_VALUE"""),"NO")</f>
        <v>NO</v>
      </c>
      <c r="E428" s="33" t="str">
        <f ca="1">IFERROR(__xludf.DUMMYFUNCTION("""COMPUTED_VALUE"""),"Almería")</f>
        <v>Almería</v>
      </c>
      <c r="F428" s="57">
        <f ca="1">IFERROR(__xludf.DUMMYFUNCTION("""COMPUTED_VALUE"""),46107)</f>
        <v>46107</v>
      </c>
      <c r="G428" s="57">
        <f ca="1">IFERROR(__xludf.DUMMYFUNCTION("""COMPUTED_VALUE"""),46086)</f>
        <v>46086</v>
      </c>
      <c r="H428" s="33" t="str">
        <f ca="1">IFERROR(__xludf.DUMMYFUNCTION("""COMPUTED_VALUE"""),"Almería")</f>
        <v>Almería</v>
      </c>
      <c r="I428" s="33" t="str">
        <f ca="1">IFERROR(__xludf.DUMMYFUNCTION("""COMPUTED_VALUE"""),"C202635164147856493")</f>
        <v>C202635164147856493</v>
      </c>
      <c r="J428" s="33" t="str">
        <f ca="1">IFERROR(__xludf.DUMMYFUNCTION("""COMPUTED_VALUE"""),"JOAQUIN MARTIN ALMECIJA")</f>
        <v>JOAQUIN MARTIN ALMECIJA</v>
      </c>
      <c r="K428" s="56">
        <f ca="1">IFERROR(__xludf.DUMMYFUNCTION("""COMPUTED_VALUE"""),1)</f>
        <v>1</v>
      </c>
      <c r="L428" s="62">
        <f ca="1">IFERROR(__xludf.DUMMYFUNCTION("""COMPUTED_VALUE"""),1631.82)</f>
        <v>1631.82</v>
      </c>
      <c r="M428" s="33" t="str">
        <f ca="1">IFERROR(__xludf.DUMMYFUNCTION("""COMPUTED_VALUE"""),"03 ORL")</f>
        <v>03 ORL</v>
      </c>
      <c r="N428" s="33" t="str">
        <f ca="1">IFERROR(__xludf.DUMMYFUNCTION("""COMPUTED_VALUE"""),"06 ORL")</f>
        <v>06 ORL</v>
      </c>
      <c r="O428" s="33" t="str">
        <f ca="1">IFERROR(__xludf.DUMMYFUNCTION("""COMPUTED_VALUE"""),"Dr, Daniel Alberto Finol Toro")</f>
        <v>Dr, Daniel Alberto Finol Toro</v>
      </c>
      <c r="P428" s="33" t="str">
        <f ca="1">IFERROR(__xludf.DUMMYFUNCTION("""COMPUTED_VALUE"""),"Ramon Ferrando(Valencia)")</f>
        <v>Ramon Ferrando(Valencia)</v>
      </c>
    </row>
    <row r="429" spans="2:16">
      <c r="B429" s="74">
        <f ca="1">IFERROR(__xludf.DUMMYFUNCTION("""COMPUTED_VALUE"""),2026)</f>
        <v>2026</v>
      </c>
      <c r="C429" s="56">
        <f ca="1">IFERROR(__xludf.DUMMYFUNCTION("""COMPUTED_VALUE"""),3)</f>
        <v>3</v>
      </c>
      <c r="D429" s="33" t="str">
        <f ca="1">IFERROR(__xludf.DUMMYFUNCTION("""COMPUTED_VALUE"""),"NO")</f>
        <v>NO</v>
      </c>
      <c r="E429" s="33" t="str">
        <f ca="1">IFERROR(__xludf.DUMMYFUNCTION("""COMPUTED_VALUE"""),"Santiago de Compostela")</f>
        <v>Santiago de Compostela</v>
      </c>
      <c r="F429" s="57">
        <f ca="1">IFERROR(__xludf.DUMMYFUNCTION("""COMPUTED_VALUE"""),46107)</f>
        <v>46107</v>
      </c>
      <c r="G429" s="57">
        <f ca="1">IFERROR(__xludf.DUMMYFUNCTION("""COMPUTED_VALUE"""),46086)</f>
        <v>46086</v>
      </c>
      <c r="H429" s="33" t="str">
        <f ca="1">IFERROR(__xludf.DUMMYFUNCTION("""COMPUTED_VALUE"""),"Santiago")</f>
        <v>Santiago</v>
      </c>
      <c r="I429" s="33" t="str">
        <f ca="1">IFERROR(__xludf.DUMMYFUNCTION("""COMPUTED_VALUE"""),"C20263510319025766")</f>
        <v>C20263510319025766</v>
      </c>
      <c r="J429" s="33" t="str">
        <f ca="1">IFERROR(__xludf.DUMMYFUNCTION("""COMPUTED_VALUE"""),"MARI CARMEN GARCIA GERPE")</f>
        <v>MARI CARMEN GARCIA GERPE</v>
      </c>
      <c r="K429" s="56">
        <f ca="1">IFERROR(__xludf.DUMMYFUNCTION("""COMPUTED_VALUE"""),2)</f>
        <v>2</v>
      </c>
      <c r="L429" s="62">
        <f ca="1">IFERROR(__xludf.DUMMYFUNCTION("""COMPUTED_VALUE"""),2918.18)</f>
        <v>2918.18</v>
      </c>
      <c r="M429" s="33" t="str">
        <f ca="1">IFERROR(__xludf.DUMMYFUNCTION("""COMPUTED_VALUE"""),"03 ORL")</f>
        <v>03 ORL</v>
      </c>
      <c r="N429" s="33" t="str">
        <f ca="1">IFERROR(__xludf.DUMMYFUNCTION("""COMPUTED_VALUE"""),"06 ORL")</f>
        <v>06 ORL</v>
      </c>
      <c r="O429" s="33" t="str">
        <f ca="1">IFERROR(__xludf.DUMMYFUNCTION("""COMPUTED_VALUE"""),"Dr, Gabriel Martínez Capoccini")</f>
        <v>Dr, Gabriel Martínez Capoccini</v>
      </c>
      <c r="P429" s="33" t="str">
        <f ca="1">IFERROR(__xludf.DUMMYFUNCTION("""COMPUTED_VALUE"""),"KiKo Ortega (Galicia)")</f>
        <v>KiKo Ortega (Galicia)</v>
      </c>
    </row>
    <row r="430" spans="2:16">
      <c r="B430" s="74">
        <f ca="1">IFERROR(__xludf.DUMMYFUNCTION("""COMPUTED_VALUE"""),2026)</f>
        <v>2026</v>
      </c>
      <c r="C430" s="56">
        <f ca="1">IFERROR(__xludf.DUMMYFUNCTION("""COMPUTED_VALUE"""),3)</f>
        <v>3</v>
      </c>
      <c r="D430" s="33" t="str">
        <f ca="1">IFERROR(__xludf.DUMMYFUNCTION("""COMPUTED_VALUE"""),"NO")</f>
        <v>NO</v>
      </c>
      <c r="E430" s="33" t="str">
        <f ca="1">IFERROR(__xludf.DUMMYFUNCTION("""COMPUTED_VALUE"""),"El Albir (Benidorm)")</f>
        <v>El Albir (Benidorm)</v>
      </c>
      <c r="F430" s="57">
        <f ca="1">IFERROR(__xludf.DUMMYFUNCTION("""COMPUTED_VALUE"""),46107)</f>
        <v>46107</v>
      </c>
      <c r="G430" s="57">
        <f ca="1">IFERROR(__xludf.DUMMYFUNCTION("""COMPUTED_VALUE"""),46043)</f>
        <v>46043</v>
      </c>
      <c r="H430" s="33" t="str">
        <f ca="1">IFERROR(__xludf.DUMMYFUNCTION("""COMPUTED_VALUE"""),"El Albir (Benidorm)")</f>
        <v>El Albir (Benidorm)</v>
      </c>
      <c r="I430" s="33" t="str">
        <f ca="1">IFERROR(__xludf.DUMMYFUNCTION("""COMPUTED_VALUE"""),"C202612111562968731")</f>
        <v>C202612111562968731</v>
      </c>
      <c r="J430" s="33" t="str">
        <f ca="1">IFERROR(__xludf.DUMMYFUNCTION("""COMPUTED_VALUE"""),"ANTONIO ANTON PEINADO")</f>
        <v>ANTONIO ANTON PEINADO</v>
      </c>
      <c r="K430" s="56">
        <f ca="1">IFERROR(__xludf.DUMMYFUNCTION("""COMPUTED_VALUE"""),2)</f>
        <v>2</v>
      </c>
      <c r="L430" s="62">
        <f ca="1">IFERROR(__xludf.DUMMYFUNCTION("""COMPUTED_VALUE"""),3631.82)</f>
        <v>3631.82</v>
      </c>
      <c r="M430" s="33" t="str">
        <f ca="1">IFERROR(__xludf.DUMMYFUNCTION("""COMPUTED_VALUE"""),"03 ORL")</f>
        <v>03 ORL</v>
      </c>
      <c r="N430" s="33" t="str">
        <f ca="1">IFERROR(__xludf.DUMMYFUNCTION("""COMPUTED_VALUE"""),"06 ORL")</f>
        <v>06 ORL</v>
      </c>
      <c r="O430" s="33" t="str">
        <f ca="1">IFERROR(__xludf.DUMMYFUNCTION("""COMPUTED_VALUE"""),"Dra, Isabel Polo Tomás")</f>
        <v>Dra, Isabel Polo Tomás</v>
      </c>
      <c r="P430" s="33" t="str">
        <f ca="1">IFERROR(__xludf.DUMMYFUNCTION("""COMPUTED_VALUE"""),"Ramon Ferrando(Valencia)")</f>
        <v>Ramon Ferrando(Valencia)</v>
      </c>
    </row>
    <row r="431" spans="2:16">
      <c r="B431" s="74">
        <f ca="1">IFERROR(__xludf.DUMMYFUNCTION("""COMPUTED_VALUE"""),2026)</f>
        <v>2026</v>
      </c>
      <c r="C431" s="56">
        <f ca="1">IFERROR(__xludf.DUMMYFUNCTION("""COMPUTED_VALUE"""),3)</f>
        <v>3</v>
      </c>
      <c r="D431" s="33" t="str">
        <f ca="1">IFERROR(__xludf.DUMMYFUNCTION("""COMPUTED_VALUE"""),"NO")</f>
        <v>NO</v>
      </c>
      <c r="E431" s="33" t="str">
        <f ca="1">IFERROR(__xludf.DUMMYFUNCTION("""COMPUTED_VALUE"""),"Madrid- Canillas")</f>
        <v>Madrid- Canillas</v>
      </c>
      <c r="F431" s="57">
        <f ca="1">IFERROR(__xludf.DUMMYFUNCTION("""COMPUTED_VALUE"""),46107)</f>
        <v>46107</v>
      </c>
      <c r="G431" s="57">
        <f ca="1">IFERROR(__xludf.DUMMYFUNCTION("""COMPUTED_VALUE"""),46084)</f>
        <v>46084</v>
      </c>
      <c r="H431" s="33" t="str">
        <f ca="1">IFERROR(__xludf.DUMMYFUNCTION("""COMPUTED_VALUE"""),"Canillas")</f>
        <v>Canillas</v>
      </c>
      <c r="I431" s="33" t="str">
        <f ca="1">IFERROR(__xludf.DUMMYFUNCTION("""COMPUTED_VALUE"""),"C20263391426799994")</f>
        <v>C20263391426799994</v>
      </c>
      <c r="J431" s="33" t="str">
        <f ca="1">IFERROR(__xludf.DUMMYFUNCTION("""COMPUTED_VALUE"""),"MARIA ELENA RODRIGUEZ ALULEMA")</f>
        <v>MARIA ELENA RODRIGUEZ ALULEMA</v>
      </c>
      <c r="K431" s="56">
        <f ca="1">IFERROR(__xludf.DUMMYFUNCTION("""COMPUTED_VALUE"""),2)</f>
        <v>2</v>
      </c>
      <c r="L431" s="62">
        <f ca="1">IFERROR(__xludf.DUMMYFUNCTION("""COMPUTED_VALUE"""),2718.18)</f>
        <v>2718.18</v>
      </c>
      <c r="M431" s="33" t="str">
        <f ca="1">IFERROR(__xludf.DUMMYFUNCTION("""COMPUTED_VALUE"""),"03 ORL")</f>
        <v>03 ORL</v>
      </c>
      <c r="N431" s="33" t="str">
        <f ca="1">IFERROR(__xludf.DUMMYFUNCTION("""COMPUTED_VALUE"""),"06 ORL")</f>
        <v>06 ORL</v>
      </c>
      <c r="O431" s="33" t="str">
        <f ca="1">IFERROR(__xludf.DUMMYFUNCTION("""COMPUTED_VALUE"""),"No recuerda ORL")</f>
        <v>No recuerda ORL</v>
      </c>
      <c r="P431" s="33" t="str">
        <f ca="1">IFERROR(__xludf.DUMMYFUNCTION("""COMPUTED_VALUE"""),"Maika Blázquez (Madrid)")</f>
        <v>Maika Blázquez (Madrid)</v>
      </c>
    </row>
    <row r="432" spans="2:16">
      <c r="B432" s="74">
        <f ca="1">IFERROR(__xludf.DUMMYFUNCTION("""COMPUTED_VALUE"""),2026)</f>
        <v>2026</v>
      </c>
      <c r="C432" s="56">
        <f ca="1">IFERROR(__xludf.DUMMYFUNCTION("""COMPUTED_VALUE"""),3)</f>
        <v>3</v>
      </c>
      <c r="D432" s="33" t="str">
        <f ca="1">IFERROR(__xludf.DUMMYFUNCTION("""COMPUTED_VALUE"""),"NO")</f>
        <v>NO</v>
      </c>
      <c r="E432" s="33" t="str">
        <f ca="1">IFERROR(__xludf.DUMMYFUNCTION("""COMPUTED_VALUE"""),"Getafe")</f>
        <v>Getafe</v>
      </c>
      <c r="F432" s="57">
        <f ca="1">IFERROR(__xludf.DUMMYFUNCTION("""COMPUTED_VALUE"""),46107)</f>
        <v>46107</v>
      </c>
      <c r="G432" s="57">
        <f ca="1">IFERROR(__xludf.DUMMYFUNCTION("""COMPUTED_VALUE"""),46076)</f>
        <v>46076</v>
      </c>
      <c r="H432" s="33" t="str">
        <f ca="1">IFERROR(__xludf.DUMMYFUNCTION("""COMPUTED_VALUE"""),"Getafe")</f>
        <v>Getafe</v>
      </c>
      <c r="I432" s="33" t="str">
        <f ca="1">IFERROR(__xludf.DUMMYFUNCTION("""COMPUTED_VALUE"""),"C202622311526574591")</f>
        <v>C202622311526574591</v>
      </c>
      <c r="J432" s="33" t="str">
        <f ca="1">IFERROR(__xludf.DUMMYFUNCTION("""COMPUTED_VALUE"""),"MAGDALENA  LOPEZ MORENA")</f>
        <v>MAGDALENA  LOPEZ MORENA</v>
      </c>
      <c r="K432" s="56">
        <f ca="1">IFERROR(__xludf.DUMMYFUNCTION("""COMPUTED_VALUE"""),2)</f>
        <v>2</v>
      </c>
      <c r="L432" s="62">
        <f ca="1">IFERROR(__xludf.DUMMYFUNCTION("""COMPUTED_VALUE"""),2718.19)</f>
        <v>2718.19</v>
      </c>
      <c r="M432" s="33" t="str">
        <f ca="1">IFERROR(__xludf.DUMMYFUNCTION("""COMPUTED_VALUE"""),"03 ORL")</f>
        <v>03 ORL</v>
      </c>
      <c r="N432" s="33" t="str">
        <f ca="1">IFERROR(__xludf.DUMMYFUNCTION("""COMPUTED_VALUE"""),"06 ORL")</f>
        <v>06 ORL</v>
      </c>
      <c r="O432" s="33" t="str">
        <f ca="1">IFERROR(__xludf.DUMMYFUNCTION("""COMPUTED_VALUE"""),"Dra, Cristina Herrero Fernández")</f>
        <v>Dra, Cristina Herrero Fernández</v>
      </c>
      <c r="P432" s="33" t="str">
        <f ca="1">IFERROR(__xludf.DUMMYFUNCTION("""COMPUTED_VALUE"""),"Maika Blázquez (Madrid)")</f>
        <v>Maika Blázquez (Madrid)</v>
      </c>
    </row>
    <row r="433" spans="2:16">
      <c r="B433" s="74">
        <f ca="1">IFERROR(__xludf.DUMMYFUNCTION("""COMPUTED_VALUE"""),2026)</f>
        <v>2026</v>
      </c>
      <c r="C433" s="56">
        <f ca="1">IFERROR(__xludf.DUMMYFUNCTION("""COMPUTED_VALUE"""),3)</f>
        <v>3</v>
      </c>
      <c r="D433" s="33" t="str">
        <f ca="1">IFERROR(__xludf.DUMMYFUNCTION("""COMPUTED_VALUE"""),"NO")</f>
        <v>NO</v>
      </c>
      <c r="E433" s="33" t="str">
        <f ca="1">IFERROR(__xludf.DUMMYFUNCTION("""COMPUTED_VALUE"""),"Valencia- Cádiz")</f>
        <v>Valencia- Cádiz</v>
      </c>
      <c r="F433" s="57">
        <f ca="1">IFERROR(__xludf.DUMMYFUNCTION("""COMPUTED_VALUE"""),46107)</f>
        <v>46107</v>
      </c>
      <c r="G433" s="57">
        <f ca="1">IFERROR(__xludf.DUMMYFUNCTION("""COMPUTED_VALUE"""),46030)</f>
        <v>46030</v>
      </c>
      <c r="H433" s="33" t="str">
        <f ca="1">IFERROR(__xludf.DUMMYFUNCTION("""COMPUTED_VALUE"""),"Valencia- Cádiz")</f>
        <v>Valencia- Cádiz</v>
      </c>
      <c r="I433" s="33" t="str">
        <f ca="1">IFERROR(__xludf.DUMMYFUNCTION("""COMPUTED_VALUE"""),"C202618113411407364")</f>
        <v>C202618113411407364</v>
      </c>
      <c r="J433" s="33" t="str">
        <f ca="1">IFERROR(__xludf.DUMMYFUNCTION("""COMPUTED_VALUE"""),"FRANCISCO JESÚS DE FRÍAS LUJÁN")</f>
        <v>FRANCISCO JESÚS DE FRÍAS LUJÁN</v>
      </c>
      <c r="K433" s="56">
        <f ca="1">IFERROR(__xludf.DUMMYFUNCTION("""COMPUTED_VALUE"""),1)</f>
        <v>1</v>
      </c>
      <c r="L433" s="62">
        <f ca="1">IFERROR(__xludf.DUMMYFUNCTION("""COMPUTED_VALUE"""),2481.82)</f>
        <v>2481.8200000000002</v>
      </c>
      <c r="M433" s="33" t="str">
        <f ca="1">IFERROR(__xludf.DUMMYFUNCTION("""COMPUTED_VALUE"""),"03 ORL")</f>
        <v>03 ORL</v>
      </c>
      <c r="N433" s="33" t="str">
        <f ca="1">IFERROR(__xludf.DUMMYFUNCTION("""COMPUTED_VALUE"""),"06 ORL")</f>
        <v>06 ORL</v>
      </c>
      <c r="O433" s="33" t="str">
        <f ca="1">IFERROR(__xludf.DUMMYFUNCTION("""COMPUTED_VALUE"""),"Dr, Martín Eduardo Marcano Acuña")</f>
        <v>Dr, Martín Eduardo Marcano Acuña</v>
      </c>
      <c r="P433" s="33" t="str">
        <f ca="1">IFERROR(__xludf.DUMMYFUNCTION("""COMPUTED_VALUE"""),"Ramon Ferrando(Valencia)")</f>
        <v>Ramon Ferrando(Valencia)</v>
      </c>
    </row>
    <row r="434" spans="2:16">
      <c r="B434" s="74">
        <f ca="1">IFERROR(__xludf.DUMMYFUNCTION("""COMPUTED_VALUE"""),2026)</f>
        <v>2026</v>
      </c>
      <c r="C434" s="56">
        <f ca="1">IFERROR(__xludf.DUMMYFUNCTION("""COMPUTED_VALUE"""),3)</f>
        <v>3</v>
      </c>
      <c r="D434" s="33" t="str">
        <f ca="1">IFERROR(__xludf.DUMMYFUNCTION("""COMPUTED_VALUE"""),"NO")</f>
        <v>NO</v>
      </c>
      <c r="E434" s="33" t="str">
        <f ca="1">IFERROR(__xludf.DUMMYFUNCTION("""COMPUTED_VALUE"""),"Leganés")</f>
        <v>Leganés</v>
      </c>
      <c r="F434" s="57">
        <f ca="1">IFERROR(__xludf.DUMMYFUNCTION("""COMPUTED_VALUE"""),46107)</f>
        <v>46107</v>
      </c>
      <c r="G434" s="57">
        <f ca="1">IFERROR(__xludf.DUMMYFUNCTION("""COMPUTED_VALUE"""),46077)</f>
        <v>46077</v>
      </c>
      <c r="H434" s="33" t="str">
        <f ca="1">IFERROR(__xludf.DUMMYFUNCTION("""COMPUTED_VALUE"""),"Leganés")</f>
        <v>Leganés</v>
      </c>
      <c r="I434" s="33" t="str">
        <f ca="1">IFERROR(__xludf.DUMMYFUNCTION("""COMPUTED_VALUE"""),"C202622411404039012")</f>
        <v>C202622411404039012</v>
      </c>
      <c r="J434" s="33" t="str">
        <f ca="1">IFERROR(__xludf.DUMMYFUNCTION("""COMPUTED_VALUE"""),"JESUS ANGEL ORTIZ GONZALEZ")</f>
        <v>JESUS ANGEL ORTIZ GONZALEZ</v>
      </c>
      <c r="K434" s="56">
        <f ca="1">IFERROR(__xludf.DUMMYFUNCTION("""COMPUTED_VALUE"""),2)</f>
        <v>2</v>
      </c>
      <c r="L434" s="62">
        <f ca="1">IFERROR(__xludf.DUMMYFUNCTION("""COMPUTED_VALUE"""),4136.36)</f>
        <v>4136.3599999999997</v>
      </c>
      <c r="M434" s="33" t="str">
        <f ca="1">IFERROR(__xludf.DUMMYFUNCTION("""COMPUTED_VALUE"""),"03 ORL")</f>
        <v>03 ORL</v>
      </c>
      <c r="N434" s="33" t="str">
        <f ca="1">IFERROR(__xludf.DUMMYFUNCTION("""COMPUTED_VALUE"""),"06 ORL")</f>
        <v>06 ORL</v>
      </c>
      <c r="O434" s="33" t="str">
        <f ca="1">IFERROR(__xludf.DUMMYFUNCTION("""COMPUTED_VALUE"""),"Dr, Jesús Atalaya Díaz")</f>
        <v>Dr, Jesús Atalaya Díaz</v>
      </c>
      <c r="P434" s="33" t="str">
        <f ca="1">IFERROR(__xludf.DUMMYFUNCTION("""COMPUTED_VALUE"""),"Maika Blázquez (Madrid)")</f>
        <v>Maika Blázquez (Madrid)</v>
      </c>
    </row>
    <row r="435" spans="2:16">
      <c r="B435" s="74">
        <f ca="1">IFERROR(__xludf.DUMMYFUNCTION("""COMPUTED_VALUE"""),2026)</f>
        <v>2026</v>
      </c>
      <c r="C435" s="56">
        <f ca="1">IFERROR(__xludf.DUMMYFUNCTION("""COMPUTED_VALUE"""),3)</f>
        <v>3</v>
      </c>
      <c r="D435" s="33" t="str">
        <f ca="1">IFERROR(__xludf.DUMMYFUNCTION("""COMPUTED_VALUE"""),"NO")</f>
        <v>NO</v>
      </c>
      <c r="E435" s="33" t="str">
        <f ca="1">IFERROR(__xludf.DUMMYFUNCTION("""COMPUTED_VALUE"""),"Madrid- Galileo")</f>
        <v>Madrid- Galileo</v>
      </c>
      <c r="F435" s="57">
        <f ca="1">IFERROR(__xludf.DUMMYFUNCTION("""COMPUTED_VALUE"""),46107)</f>
        <v>46107</v>
      </c>
      <c r="G435" s="57">
        <f ca="1">IFERROR(__xludf.DUMMYFUNCTION("""COMPUTED_VALUE"""),46093)</f>
        <v>46093</v>
      </c>
      <c r="H435" s="33" t="str">
        <f ca="1">IFERROR(__xludf.DUMMYFUNCTION("""COMPUTED_VALUE"""),"Moncloa")</f>
        <v>Moncloa</v>
      </c>
      <c r="I435" s="33" t="str">
        <f ca="1">IFERROR(__xludf.DUMMYFUNCTION("""COMPUTED_VALUE"""),"C202631217145355254")</f>
        <v>C202631217145355254</v>
      </c>
      <c r="J435" s="33" t="str">
        <f ca="1">IFERROR(__xludf.DUMMYFUNCTION("""COMPUTED_VALUE"""),"ANTONIO PULDAIN BENEYTEZ")</f>
        <v>ANTONIO PULDAIN BENEYTEZ</v>
      </c>
      <c r="K435" s="56">
        <f ca="1">IFERROR(__xludf.DUMMYFUNCTION("""COMPUTED_VALUE"""),2)</f>
        <v>2</v>
      </c>
      <c r="L435" s="62">
        <f ca="1">IFERROR(__xludf.DUMMYFUNCTION("""COMPUTED_VALUE"""),2582.27)</f>
        <v>2582.27</v>
      </c>
      <c r="M435" s="33" t="str">
        <f ca="1">IFERROR(__xludf.DUMMYFUNCTION("""COMPUTED_VALUE"""),"03 ORL")</f>
        <v>03 ORL</v>
      </c>
      <c r="N435" s="33" t="str">
        <f ca="1">IFERROR(__xludf.DUMMYFUNCTION("""COMPUTED_VALUE"""),"06 ORL")</f>
        <v>06 ORL</v>
      </c>
      <c r="O435" s="33" t="str">
        <f ca="1">IFERROR(__xludf.DUMMYFUNCTION("""COMPUTED_VALUE"""),"Dra, Sara Zaldivar Saiz Maza")</f>
        <v>Dra, Sara Zaldivar Saiz Maza</v>
      </c>
      <c r="P435" s="33" t="str">
        <f ca="1">IFERROR(__xludf.DUMMYFUNCTION("""COMPUTED_VALUE"""),"Maika Blázquez (Madrid)")</f>
        <v>Maika Blázquez (Madrid)</v>
      </c>
    </row>
    <row r="436" spans="2:16">
      <c r="B436" s="74">
        <f ca="1">IFERROR(__xludf.DUMMYFUNCTION("""COMPUTED_VALUE"""),2026)</f>
        <v>2026</v>
      </c>
      <c r="C436" s="56">
        <f ca="1">IFERROR(__xludf.DUMMYFUNCTION("""COMPUTED_VALUE"""),3)</f>
        <v>3</v>
      </c>
      <c r="D436" s="33" t="str">
        <f ca="1">IFERROR(__xludf.DUMMYFUNCTION("""COMPUTED_VALUE"""),"NO")</f>
        <v>NO</v>
      </c>
      <c r="E436" s="33" t="str">
        <f ca="1">IFERROR(__xludf.DUMMYFUNCTION("""COMPUTED_VALUE"""),"Fuenlabrada")</f>
        <v>Fuenlabrada</v>
      </c>
      <c r="F436" s="57">
        <f ca="1">IFERROR(__xludf.DUMMYFUNCTION("""COMPUTED_VALUE"""),46107)</f>
        <v>46107</v>
      </c>
      <c r="G436" s="57">
        <f ca="1">IFERROR(__xludf.DUMMYFUNCTION("""COMPUTED_VALUE"""),46071)</f>
        <v>46071</v>
      </c>
      <c r="H436" s="33" t="str">
        <f ca="1">IFERROR(__xludf.DUMMYFUNCTION("""COMPUTED_VALUE"""),"Fuenlabrada")</f>
        <v>Fuenlabrada</v>
      </c>
      <c r="I436" s="33" t="str">
        <f ca="1">IFERROR(__xludf.DUMMYFUNCTION("""COMPUTED_VALUE"""),"C202621885342242482")</f>
        <v>C202621885342242482</v>
      </c>
      <c r="J436" s="33" t="str">
        <f ca="1">IFERROR(__xludf.DUMMYFUNCTION("""COMPUTED_VALUE"""),"JUANA CHICA PECHARROMAN")</f>
        <v>JUANA CHICA PECHARROMAN</v>
      </c>
      <c r="K436" s="56">
        <f ca="1">IFERROR(__xludf.DUMMYFUNCTION("""COMPUTED_VALUE"""),2)</f>
        <v>2</v>
      </c>
      <c r="L436" s="62">
        <f ca="1">IFERROR(__xludf.DUMMYFUNCTION("""COMPUTED_VALUE"""),3631.82)</f>
        <v>3631.82</v>
      </c>
      <c r="M436" s="33" t="str">
        <f ca="1">IFERROR(__xludf.DUMMYFUNCTION("""COMPUTED_VALUE"""),"03 ORL")</f>
        <v>03 ORL</v>
      </c>
      <c r="N436" s="33" t="str">
        <f ca="1">IFERROR(__xludf.DUMMYFUNCTION("""COMPUTED_VALUE"""),"06 ORL")</f>
        <v>06 ORL</v>
      </c>
      <c r="O436" s="33" t="str">
        <f ca="1">IFERROR(__xludf.DUMMYFUNCTION("""COMPUTED_VALUE"""),"Dra, Paloma Martín-Aragón Martín")</f>
        <v>Dra, Paloma Martín-Aragón Martín</v>
      </c>
      <c r="P436" s="33" t="str">
        <f ca="1">IFERROR(__xludf.DUMMYFUNCTION("""COMPUTED_VALUE"""),"Maika Blázquez (Madrid)")</f>
        <v>Maika Blázquez (Madrid)</v>
      </c>
    </row>
    <row r="437" spans="2:16">
      <c r="B437" s="74">
        <f ca="1">IFERROR(__xludf.DUMMYFUNCTION("""COMPUTED_VALUE"""),2026)</f>
        <v>2026</v>
      </c>
      <c r="C437" s="56">
        <f ca="1">IFERROR(__xludf.DUMMYFUNCTION("""COMPUTED_VALUE"""),3)</f>
        <v>3</v>
      </c>
      <c r="D437" s="33" t="str">
        <f ca="1">IFERROR(__xludf.DUMMYFUNCTION("""COMPUTED_VALUE"""),"NO")</f>
        <v>NO</v>
      </c>
      <c r="E437" s="33" t="str">
        <f ca="1">IFERROR(__xludf.DUMMYFUNCTION("""COMPUTED_VALUE"""),"Alicante")</f>
        <v>Alicante</v>
      </c>
      <c r="F437" s="57">
        <f ca="1">IFERROR(__xludf.DUMMYFUNCTION("""COMPUTED_VALUE"""),46107)</f>
        <v>46107</v>
      </c>
      <c r="G437" s="57">
        <f ca="1">IFERROR(__xludf.DUMMYFUNCTION("""COMPUTED_VALUE"""),46079)</f>
        <v>46079</v>
      </c>
      <c r="H437" s="33" t="str">
        <f ca="1">IFERROR(__xludf.DUMMYFUNCTION("""COMPUTED_VALUE"""),"Alicante")</f>
        <v>Alicante</v>
      </c>
      <c r="I437" s="33" t="str">
        <f ca="1">IFERROR(__xludf.DUMMYFUNCTION("""COMPUTED_VALUE"""),"C20262269452713570")</f>
        <v>C20262269452713570</v>
      </c>
      <c r="J437" s="33" t="str">
        <f ca="1">IFERROR(__xludf.DUMMYFUNCTION("""COMPUTED_VALUE"""),"ASUNCION PASTOR TORREGROSA")</f>
        <v>ASUNCION PASTOR TORREGROSA</v>
      </c>
      <c r="K437" s="56">
        <f ca="1">IFERROR(__xludf.DUMMYFUNCTION("""COMPUTED_VALUE"""),2)</f>
        <v>2</v>
      </c>
      <c r="L437" s="62">
        <f ca="1">IFERROR(__xludf.DUMMYFUNCTION("""COMPUTED_VALUE"""),3631.82)</f>
        <v>3631.82</v>
      </c>
      <c r="M437" s="33" t="str">
        <f ca="1">IFERROR(__xludf.DUMMYFUNCTION("""COMPUTED_VALUE"""),"03 ORL")</f>
        <v>03 ORL</v>
      </c>
      <c r="N437" s="33" t="str">
        <f ca="1">IFERROR(__xludf.DUMMYFUNCTION("""COMPUTED_VALUE"""),"06 ORL")</f>
        <v>06 ORL</v>
      </c>
      <c r="O437" s="33" t="str">
        <f ca="1">IFERROR(__xludf.DUMMYFUNCTION("""COMPUTED_VALUE"""),"Dra, Maria Rosario Ferrandiz García")</f>
        <v>Dra, Maria Rosario Ferrandiz García</v>
      </c>
      <c r="P437" s="33" t="str">
        <f ca="1">IFERROR(__xludf.DUMMYFUNCTION("""COMPUTED_VALUE"""),"Iván Sánchez (Levante y Albacete)")</f>
        <v>Iván Sánchez (Levante y Albacete)</v>
      </c>
    </row>
    <row r="438" spans="2:16">
      <c r="B438" s="74">
        <f ca="1">IFERROR(__xludf.DUMMYFUNCTION("""COMPUTED_VALUE"""),2026)</f>
        <v>2026</v>
      </c>
      <c r="C438" s="56">
        <f ca="1">IFERROR(__xludf.DUMMYFUNCTION("""COMPUTED_VALUE"""),3)</f>
        <v>3</v>
      </c>
      <c r="D438" s="33" t="str">
        <f ca="1">IFERROR(__xludf.DUMMYFUNCTION("""COMPUTED_VALUE"""),"NO")</f>
        <v>NO</v>
      </c>
      <c r="E438" s="33" t="str">
        <f ca="1">IFERROR(__xludf.DUMMYFUNCTION("""COMPUTED_VALUE"""),"Logroño")</f>
        <v>Logroño</v>
      </c>
      <c r="F438" s="57">
        <f ca="1">IFERROR(__xludf.DUMMYFUNCTION("""COMPUTED_VALUE"""),46107)</f>
        <v>46107</v>
      </c>
      <c r="G438" s="57">
        <f ca="1">IFERROR(__xludf.DUMMYFUNCTION("""COMPUTED_VALUE"""),46063)</f>
        <v>46063</v>
      </c>
      <c r="H438" s="33" t="str">
        <f ca="1">IFERROR(__xludf.DUMMYFUNCTION("""COMPUTED_VALUE"""),"Logroño")</f>
        <v>Logroño</v>
      </c>
      <c r="I438" s="33" t="str">
        <f ca="1">IFERROR(__xludf.DUMMYFUNCTION("""COMPUTED_VALUE"""),"C202621012291805056")</f>
        <v>C202621012291805056</v>
      </c>
      <c r="J438" s="33" t="str">
        <f ca="1">IFERROR(__xludf.DUMMYFUNCTION("""COMPUTED_VALUE"""),"ANGEL VICTORIANO GOMEZ")</f>
        <v>ANGEL VICTORIANO GOMEZ</v>
      </c>
      <c r="K438" s="56">
        <f ca="1">IFERROR(__xludf.DUMMYFUNCTION("""COMPUTED_VALUE"""),2)</f>
        <v>2</v>
      </c>
      <c r="L438" s="62">
        <f ca="1">IFERROR(__xludf.DUMMYFUNCTION("""COMPUTED_VALUE"""),3631.82)</f>
        <v>3631.82</v>
      </c>
      <c r="M438" s="33" t="str">
        <f ca="1">IFERROR(__xludf.DUMMYFUNCTION("""COMPUTED_VALUE"""),"03 ORL")</f>
        <v>03 ORL</v>
      </c>
      <c r="N438" s="33" t="str">
        <f ca="1">IFERROR(__xludf.DUMMYFUNCTION("""COMPUTED_VALUE"""),"06 ORL")</f>
        <v>06 ORL</v>
      </c>
      <c r="O438" s="33" t="str">
        <f ca="1">IFERROR(__xludf.DUMMYFUNCTION("""COMPUTED_VALUE"""),"Dr, Fernando Salazar Barcelona")</f>
        <v>Dr, Fernando Salazar Barcelona</v>
      </c>
      <c r="P438" s="33" t="str">
        <f ca="1">IFERROR(__xludf.DUMMYFUNCTION("""COMPUTED_VALUE"""),"Lisandro Russian (Madrid, Cáceres, Toledo, Talavera y Logroño)")</f>
        <v>Lisandro Russian (Madrid, Cáceres, Toledo, Talavera y Logroño)</v>
      </c>
    </row>
    <row r="439" spans="2:16">
      <c r="B439" s="74">
        <f ca="1">IFERROR(__xludf.DUMMYFUNCTION("""COMPUTED_VALUE"""),2026)</f>
        <v>2026</v>
      </c>
      <c r="C439" s="56">
        <f ca="1">IFERROR(__xludf.DUMMYFUNCTION("""COMPUTED_VALUE"""),3)</f>
        <v>3</v>
      </c>
      <c r="D439" s="33" t="str">
        <f ca="1">IFERROR(__xludf.DUMMYFUNCTION("""COMPUTED_VALUE"""),"NO")</f>
        <v>NO</v>
      </c>
      <c r="E439" s="33" t="str">
        <f ca="1">IFERROR(__xludf.DUMMYFUNCTION("""COMPUTED_VALUE"""),"Jerez de la Frontera")</f>
        <v>Jerez de la Frontera</v>
      </c>
      <c r="F439" s="57">
        <f ca="1">IFERROR(__xludf.DUMMYFUNCTION("""COMPUTED_VALUE"""),46107)</f>
        <v>46107</v>
      </c>
      <c r="G439" s="57">
        <f ca="1">IFERROR(__xludf.DUMMYFUNCTION("""COMPUTED_VALUE"""),46072)</f>
        <v>46072</v>
      </c>
      <c r="H439" s="33" t="str">
        <f ca="1">IFERROR(__xludf.DUMMYFUNCTION("""COMPUTED_VALUE"""),"Jerez")</f>
        <v>Jerez</v>
      </c>
      <c r="I439" s="33" t="str">
        <f ca="1">IFERROR(__xludf.DUMMYFUNCTION("""COMPUTED_VALUE"""),"C202621912583028008")</f>
        <v>C202621912583028008</v>
      </c>
      <c r="J439" s="33" t="str">
        <f ca="1">IFERROR(__xludf.DUMMYFUNCTION("""COMPUTED_VALUE"""),"JERONIMA MARISCAL RAMIREZ")</f>
        <v>JERONIMA MARISCAL RAMIREZ</v>
      </c>
      <c r="K439" s="56">
        <f ca="1">IFERROR(__xludf.DUMMYFUNCTION("""COMPUTED_VALUE"""),2)</f>
        <v>2</v>
      </c>
      <c r="L439" s="62">
        <f ca="1">IFERROR(__xludf.DUMMYFUNCTION("""COMPUTED_VALUE"""),2918.18)</f>
        <v>2918.18</v>
      </c>
      <c r="M439" s="33" t="str">
        <f ca="1">IFERROR(__xludf.DUMMYFUNCTION("""COMPUTED_VALUE"""),"03 ORL")</f>
        <v>03 ORL</v>
      </c>
      <c r="N439" s="33" t="str">
        <f ca="1">IFERROR(__xludf.DUMMYFUNCTION("""COMPUTED_VALUE"""),"06 ORL")</f>
        <v>06 ORL</v>
      </c>
      <c r="O439" s="33" t="str">
        <f ca="1">IFERROR(__xludf.DUMMYFUNCTION("""COMPUTED_VALUE"""),"Dr, Miguel Ángel Fernández Andrade")</f>
        <v>Dr, Miguel Ángel Fernández Andrade</v>
      </c>
      <c r="P439" s="33" t="str">
        <f ca="1">IFERROR(__xludf.DUMMYFUNCTION("""COMPUTED_VALUE"""),"Luis Alberto Rodríguez (Andalucía y Badajoz)")</f>
        <v>Luis Alberto Rodríguez (Andalucía y Badajoz)</v>
      </c>
    </row>
    <row r="440" spans="2:16">
      <c r="B440" s="74">
        <f ca="1">IFERROR(__xludf.DUMMYFUNCTION("""COMPUTED_VALUE"""),2026)</f>
        <v>2026</v>
      </c>
      <c r="C440" s="56">
        <f ca="1">IFERROR(__xludf.DUMMYFUNCTION("""COMPUTED_VALUE"""),3)</f>
        <v>3</v>
      </c>
      <c r="D440" s="33" t="str">
        <f ca="1">IFERROR(__xludf.DUMMYFUNCTION("""COMPUTED_VALUE"""),"NO")</f>
        <v>NO</v>
      </c>
      <c r="E440" s="33" t="str">
        <f ca="1">IFERROR(__xludf.DUMMYFUNCTION("""COMPUTED_VALUE"""),"Madrid- Canillas")</f>
        <v>Madrid- Canillas</v>
      </c>
      <c r="F440" s="57">
        <f ca="1">IFERROR(__xludf.DUMMYFUNCTION("""COMPUTED_VALUE"""),46107)</f>
        <v>46107</v>
      </c>
      <c r="G440" s="57">
        <f ca="1">IFERROR(__xludf.DUMMYFUNCTION("""COMPUTED_VALUE"""),46091)</f>
        <v>46091</v>
      </c>
      <c r="H440" s="33" t="str">
        <f ca="1">IFERROR(__xludf.DUMMYFUNCTION("""COMPUTED_VALUE"""),"Canillas")</f>
        <v>Canillas</v>
      </c>
      <c r="I440" s="33" t="str">
        <f ca="1">IFERROR(__xludf.DUMMYFUNCTION("""COMPUTED_VALUE"""),"C202631014553821814")</f>
        <v>C202631014553821814</v>
      </c>
      <c r="J440" s="33" t="str">
        <f ca="1">IFERROR(__xludf.DUMMYFUNCTION("""COMPUTED_VALUE"""),"MARIA CONCEPCION  CASARIEGO CARBALLÉS")</f>
        <v>MARIA CONCEPCION  CASARIEGO CARBALLÉS</v>
      </c>
      <c r="K440" s="56">
        <f ca="1">IFERROR(__xludf.DUMMYFUNCTION("""COMPUTED_VALUE"""),2)</f>
        <v>2</v>
      </c>
      <c r="L440" s="62">
        <f ca="1">IFERROR(__xludf.DUMMYFUNCTION("""COMPUTED_VALUE"""),2718.18)</f>
        <v>2718.18</v>
      </c>
      <c r="M440" s="33" t="str">
        <f ca="1">IFERROR(__xludf.DUMMYFUNCTION("""COMPUTED_VALUE"""),"03 ORL")</f>
        <v>03 ORL</v>
      </c>
      <c r="N440" s="33" t="str">
        <f ca="1">IFERROR(__xludf.DUMMYFUNCTION("""COMPUTED_VALUE"""),"06 ORL")</f>
        <v>06 ORL</v>
      </c>
      <c r="O440" s="33" t="str">
        <f ca="1">IFERROR(__xludf.DUMMYFUNCTION("""COMPUTED_VALUE"""),"No recuerda ORL")</f>
        <v>No recuerda ORL</v>
      </c>
      <c r="P440" s="33" t="str">
        <f ca="1">IFERROR(__xludf.DUMMYFUNCTION("""COMPUTED_VALUE"""),"Maika Blázquez (Madrid)")</f>
        <v>Maika Blázquez (Madrid)</v>
      </c>
    </row>
    <row r="441" spans="2:16">
      <c r="B441" s="74">
        <f ca="1">IFERROR(__xludf.DUMMYFUNCTION("""COMPUTED_VALUE"""),2026)</f>
        <v>2026</v>
      </c>
      <c r="C441" s="56">
        <f ca="1">IFERROR(__xludf.DUMMYFUNCTION("""COMPUTED_VALUE"""),3)</f>
        <v>3</v>
      </c>
      <c r="D441" s="33" t="str">
        <f ca="1">IFERROR(__xludf.DUMMYFUNCTION("""COMPUTED_VALUE"""),"NO")</f>
        <v>NO</v>
      </c>
      <c r="E441" s="33" t="str">
        <f ca="1">IFERROR(__xludf.DUMMYFUNCTION("""COMPUTED_VALUE"""),"Ourense")</f>
        <v>Ourense</v>
      </c>
      <c r="F441" s="57">
        <f ca="1">IFERROR(__xludf.DUMMYFUNCTION("""COMPUTED_VALUE"""),46108)</f>
        <v>46108</v>
      </c>
      <c r="G441" s="57">
        <f ca="1">IFERROR(__xludf.DUMMYFUNCTION("""COMPUTED_VALUE"""),46090)</f>
        <v>46090</v>
      </c>
      <c r="H441" s="33" t="str">
        <f ca="1">IFERROR(__xludf.DUMMYFUNCTION("""COMPUTED_VALUE"""),"Orense")</f>
        <v>Orense</v>
      </c>
      <c r="I441" s="33" t="str">
        <f ca="1">IFERROR(__xludf.DUMMYFUNCTION("""COMPUTED_VALUE"""),"C20263985829847689")</f>
        <v>C20263985829847689</v>
      </c>
      <c r="J441" s="33" t="str">
        <f ca="1">IFERROR(__xludf.DUMMYFUNCTION("""COMPUTED_VALUE"""),"JOSE CAMIÑA FERNANDEZ")</f>
        <v>JOSE CAMIÑA FERNANDEZ</v>
      </c>
      <c r="K441" s="56">
        <f ca="1">IFERROR(__xludf.DUMMYFUNCTION("""COMPUTED_VALUE"""),2)</f>
        <v>2</v>
      </c>
      <c r="L441" s="62">
        <f ca="1">IFERROR(__xludf.DUMMYFUNCTION("""COMPUTED_VALUE"""),2718.18)</f>
        <v>2718.18</v>
      </c>
      <c r="M441" s="33" t="str">
        <f ca="1">IFERROR(__xludf.DUMMYFUNCTION("""COMPUTED_VALUE"""),"03 ORL")</f>
        <v>03 ORL</v>
      </c>
      <c r="N441" s="33" t="str">
        <f ca="1">IFERROR(__xludf.DUMMYFUNCTION("""COMPUTED_VALUE"""),"06 ORL")</f>
        <v>06 ORL</v>
      </c>
      <c r="O441" s="33" t="str">
        <f ca="1">IFERROR(__xludf.DUMMYFUNCTION("""COMPUTED_VALUE"""),"No recuerda ORL")</f>
        <v>No recuerda ORL</v>
      </c>
      <c r="P441" s="33" t="str">
        <f ca="1">IFERROR(__xludf.DUMMYFUNCTION("""COMPUTED_VALUE"""),"KiKo Ortega (Galicia)")</f>
        <v>KiKo Ortega (Galicia)</v>
      </c>
    </row>
    <row r="442" spans="2:16">
      <c r="B442" s="74">
        <f ca="1">IFERROR(__xludf.DUMMYFUNCTION("""COMPUTED_VALUE"""),2026)</f>
        <v>2026</v>
      </c>
      <c r="C442" s="56">
        <f ca="1">IFERROR(__xludf.DUMMYFUNCTION("""COMPUTED_VALUE"""),3)</f>
        <v>3</v>
      </c>
      <c r="D442" s="33" t="str">
        <f ca="1">IFERROR(__xludf.DUMMYFUNCTION("""COMPUTED_VALUE"""),"NO")</f>
        <v>NO</v>
      </c>
      <c r="E442" s="33" t="str">
        <f ca="1">IFERROR(__xludf.DUMMYFUNCTION("""COMPUTED_VALUE"""),"Murcia")</f>
        <v>Murcia</v>
      </c>
      <c r="F442" s="57">
        <f ca="1">IFERROR(__xludf.DUMMYFUNCTION("""COMPUTED_VALUE"""),46108)</f>
        <v>46108</v>
      </c>
      <c r="G442" s="57">
        <f ca="1">IFERROR(__xludf.DUMMYFUNCTION("""COMPUTED_VALUE"""),46073)</f>
        <v>46073</v>
      </c>
      <c r="H442" s="33" t="str">
        <f ca="1">IFERROR(__xludf.DUMMYFUNCTION("""COMPUTED_VALUE"""),"Murcia")</f>
        <v>Murcia</v>
      </c>
      <c r="I442" s="33" t="str">
        <f ca="1">IFERROR(__xludf.DUMMYFUNCTION("""COMPUTED_VALUE"""),"C20262209496240831")</f>
        <v>C20262209496240831</v>
      </c>
      <c r="J442" s="33" t="str">
        <f ca="1">IFERROR(__xludf.DUMMYFUNCTION("""COMPUTED_VALUE"""),"FRANCISCO MARTINEZ MADRID")</f>
        <v>FRANCISCO MARTINEZ MADRID</v>
      </c>
      <c r="K442" s="56">
        <f ca="1">IFERROR(__xludf.DUMMYFUNCTION("""COMPUTED_VALUE"""),2)</f>
        <v>2</v>
      </c>
      <c r="L442" s="62">
        <f ca="1">IFERROR(__xludf.DUMMYFUNCTION("""COMPUTED_VALUE"""),4309.55)</f>
        <v>4309.55</v>
      </c>
      <c r="M442" s="33" t="str">
        <f ca="1">IFERROR(__xludf.DUMMYFUNCTION("""COMPUTED_VALUE"""),"03 ORL")</f>
        <v>03 ORL</v>
      </c>
      <c r="N442" s="33" t="str">
        <f ca="1">IFERROR(__xludf.DUMMYFUNCTION("""COMPUTED_VALUE"""),"06 ORL")</f>
        <v>06 ORL</v>
      </c>
      <c r="O442" s="33" t="str">
        <f ca="1">IFERROR(__xludf.DUMMYFUNCTION("""COMPUTED_VALUE"""),"Dra, María Agustina Sevilla García")</f>
        <v>Dra, María Agustina Sevilla García</v>
      </c>
      <c r="P442" s="33" t="str">
        <f ca="1">IFERROR(__xludf.DUMMYFUNCTION("""COMPUTED_VALUE"""),"Iván Sánchez (Levante y Albacete)")</f>
        <v>Iván Sánchez (Levante y Albacete)</v>
      </c>
    </row>
    <row r="443" spans="2:16">
      <c r="B443" s="74">
        <f ca="1">IFERROR(__xludf.DUMMYFUNCTION("""COMPUTED_VALUE"""),2026)</f>
        <v>2026</v>
      </c>
      <c r="C443" s="56">
        <f ca="1">IFERROR(__xludf.DUMMYFUNCTION("""COMPUTED_VALUE"""),3)</f>
        <v>3</v>
      </c>
      <c r="D443" s="33" t="str">
        <f ca="1">IFERROR(__xludf.DUMMYFUNCTION("""COMPUTED_VALUE"""),"NO")</f>
        <v>NO</v>
      </c>
      <c r="E443" s="33" t="str">
        <f ca="1">IFERROR(__xludf.DUMMYFUNCTION("""COMPUTED_VALUE"""),"Alcorcón")</f>
        <v>Alcorcón</v>
      </c>
      <c r="F443" s="57">
        <f ca="1">IFERROR(__xludf.DUMMYFUNCTION("""COMPUTED_VALUE"""),46108)</f>
        <v>46108</v>
      </c>
      <c r="G443" s="57">
        <f ca="1">IFERROR(__xludf.DUMMYFUNCTION("""COMPUTED_VALUE"""),46078)</f>
        <v>46078</v>
      </c>
      <c r="H443" s="33" t="str">
        <f ca="1">IFERROR(__xludf.DUMMYFUNCTION("""COMPUTED_VALUE"""),"Alcorcón")</f>
        <v>Alcorcón</v>
      </c>
      <c r="I443" s="33" t="str">
        <f ca="1">IFERROR(__xludf.DUMMYFUNCTION("""COMPUTED_VALUE"""),"C202622510242287354")</f>
        <v>C202622510242287354</v>
      </c>
      <c r="J443" s="33" t="str">
        <f ca="1">IFERROR(__xludf.DUMMYFUNCTION("""COMPUTED_VALUE"""),"MARGARITA SANCHEZ DE SANDE")</f>
        <v>MARGARITA SANCHEZ DE SANDE</v>
      </c>
      <c r="K443" s="56">
        <f ca="1">IFERROR(__xludf.DUMMYFUNCTION("""COMPUTED_VALUE"""),2)</f>
        <v>2</v>
      </c>
      <c r="L443" s="62">
        <f ca="1">IFERROR(__xludf.DUMMYFUNCTION("""COMPUTED_VALUE"""),2718.18)</f>
        <v>2718.18</v>
      </c>
      <c r="M443" s="33" t="str">
        <f ca="1">IFERROR(__xludf.DUMMYFUNCTION("""COMPUTED_VALUE"""),"03 ORL")</f>
        <v>03 ORL</v>
      </c>
      <c r="N443" s="33" t="str">
        <f ca="1">IFERROR(__xludf.DUMMYFUNCTION("""COMPUTED_VALUE"""),"06 ORL")</f>
        <v>06 ORL</v>
      </c>
      <c r="O443" s="33" t="str">
        <f ca="1">IFERROR(__xludf.DUMMYFUNCTION("""COMPUTED_VALUE"""),"Dr, Adolfo Toledano Muñoz")</f>
        <v>Dr, Adolfo Toledano Muñoz</v>
      </c>
      <c r="P443" s="33" t="str">
        <f ca="1">IFERROR(__xludf.DUMMYFUNCTION("""COMPUTED_VALUE"""),"Maika Blázquez (Madrid)")</f>
        <v>Maika Blázquez (Madrid)</v>
      </c>
    </row>
    <row r="444" spans="2:16">
      <c r="B444" s="74">
        <f ca="1">IFERROR(__xludf.DUMMYFUNCTION("""COMPUTED_VALUE"""),2026)</f>
        <v>2026</v>
      </c>
      <c r="C444" s="56">
        <f ca="1">IFERROR(__xludf.DUMMYFUNCTION("""COMPUTED_VALUE"""),3)</f>
        <v>3</v>
      </c>
      <c r="D444" s="33" t="str">
        <f ca="1">IFERROR(__xludf.DUMMYFUNCTION("""COMPUTED_VALUE"""),"NO")</f>
        <v>NO</v>
      </c>
      <c r="E444" s="33" t="str">
        <f ca="1">IFERROR(__xludf.DUMMYFUNCTION("""COMPUTED_VALUE"""),"Jerez de la Frontera")</f>
        <v>Jerez de la Frontera</v>
      </c>
      <c r="F444" s="57">
        <f ca="1">IFERROR(__xludf.DUMMYFUNCTION("""COMPUTED_VALUE"""),46108)</f>
        <v>46108</v>
      </c>
      <c r="G444" s="57">
        <f ca="1">IFERROR(__xludf.DUMMYFUNCTION("""COMPUTED_VALUE"""),46094)</f>
        <v>46094</v>
      </c>
      <c r="H444" s="33" t="str">
        <f ca="1">IFERROR(__xludf.DUMMYFUNCTION("""COMPUTED_VALUE"""),"Jerez")</f>
        <v>Jerez</v>
      </c>
      <c r="I444" s="33" t="str">
        <f ca="1">IFERROR(__xludf.DUMMYFUNCTION("""COMPUTED_VALUE"""),"C202631310381793043")</f>
        <v>C202631310381793043</v>
      </c>
      <c r="J444" s="33" t="str">
        <f ca="1">IFERROR(__xludf.DUMMYFUNCTION("""COMPUTED_VALUE"""),"JUAN  RUIZ PEREZ")</f>
        <v>JUAN  RUIZ PEREZ</v>
      </c>
      <c r="K444" s="56">
        <f ca="1">IFERROR(__xludf.DUMMYFUNCTION("""COMPUTED_VALUE"""),2)</f>
        <v>2</v>
      </c>
      <c r="L444" s="62">
        <f ca="1">IFERROR(__xludf.DUMMYFUNCTION("""COMPUTED_VALUE"""),2918.18)</f>
        <v>2918.18</v>
      </c>
      <c r="M444" s="33" t="str">
        <f ca="1">IFERROR(__xludf.DUMMYFUNCTION("""COMPUTED_VALUE"""),"03 ORL")</f>
        <v>03 ORL</v>
      </c>
      <c r="N444" s="33" t="str">
        <f ca="1">IFERROR(__xludf.DUMMYFUNCTION("""COMPUTED_VALUE"""),"06 ORL")</f>
        <v>06 ORL</v>
      </c>
      <c r="O444" s="33" t="str">
        <f ca="1">IFERROR(__xludf.DUMMYFUNCTION("""COMPUTED_VALUE"""),"Dr, Miguel Ángel Fernández Andrade")</f>
        <v>Dr, Miguel Ángel Fernández Andrade</v>
      </c>
      <c r="P444" s="33" t="str">
        <f ca="1">IFERROR(__xludf.DUMMYFUNCTION("""COMPUTED_VALUE"""),"Luis Alberto Rodríguez (Andalucía y Badajoz)")</f>
        <v>Luis Alberto Rodríguez (Andalucía y Badajoz)</v>
      </c>
    </row>
    <row r="445" spans="2:16">
      <c r="B445" s="74">
        <f ca="1">IFERROR(__xludf.DUMMYFUNCTION("""COMPUTED_VALUE"""),2026)</f>
        <v>2026</v>
      </c>
      <c r="C445" s="56">
        <f ca="1">IFERROR(__xludf.DUMMYFUNCTION("""COMPUTED_VALUE"""),3)</f>
        <v>3</v>
      </c>
      <c r="D445" s="33" t="str">
        <f ca="1">IFERROR(__xludf.DUMMYFUNCTION("""COMPUTED_VALUE"""),"NO")</f>
        <v>NO</v>
      </c>
      <c r="E445" s="33" t="str">
        <f ca="1">IFERROR(__xludf.DUMMYFUNCTION("""COMPUTED_VALUE"""),"Toledo")</f>
        <v>Toledo</v>
      </c>
      <c r="F445" s="57">
        <f ca="1">IFERROR(__xludf.DUMMYFUNCTION("""COMPUTED_VALUE"""),46108)</f>
        <v>46108</v>
      </c>
      <c r="G445" s="57">
        <f ca="1">IFERROR(__xludf.DUMMYFUNCTION("""COMPUTED_VALUE"""),45791)</f>
        <v>45791</v>
      </c>
      <c r="H445" s="33" t="str">
        <f ca="1">IFERROR(__xludf.DUMMYFUNCTION("""COMPUTED_VALUE"""),"Toledo")</f>
        <v>Toledo</v>
      </c>
      <c r="I445" s="33" t="str">
        <f ca="1">IFERROR(__xludf.DUMMYFUNCTION("""COMPUTED_VALUE"""),"C202551611222412")</f>
        <v>C202551611222412</v>
      </c>
      <c r="J445" s="33" t="str">
        <f ca="1">IFERROR(__xludf.DUMMYFUNCTION("""COMPUTED_VALUE"""),"María Josefa  Calvo Aguado")</f>
        <v>María Josefa  Calvo Aguado</v>
      </c>
      <c r="K445" s="56">
        <f ca="1">IFERROR(__xludf.DUMMYFUNCTION("""COMPUTED_VALUE"""),2)</f>
        <v>2</v>
      </c>
      <c r="L445" s="62">
        <f ca="1">IFERROR(__xludf.DUMMYFUNCTION("""COMPUTED_VALUE"""),3181.82)</f>
        <v>3181.82</v>
      </c>
      <c r="M445" s="33" t="str">
        <f ca="1">IFERROR(__xludf.DUMMYFUNCTION("""COMPUTED_VALUE"""),"03 ORL")</f>
        <v>03 ORL</v>
      </c>
      <c r="N445" s="33" t="str">
        <f ca="1">IFERROR(__xludf.DUMMYFUNCTION("""COMPUTED_VALUE"""),"22 AUDIOMETRIA CLINICA")</f>
        <v>22 AUDIOMETRIA CLINICA</v>
      </c>
      <c r="O445" s="33" t="str">
        <f ca="1">IFERROR(__xludf.DUMMYFUNCTION("""COMPUTED_VALUE"""),"Dra, María Garrote Garrote")</f>
        <v>Dra, María Garrote Garrote</v>
      </c>
      <c r="P445" s="33" t="str">
        <f ca="1">IFERROR(__xludf.DUMMYFUNCTION("""COMPUTED_VALUE"""),"Maika Blázquez (Madrid)")</f>
        <v>Maika Blázquez (Madrid)</v>
      </c>
    </row>
    <row r="446" spans="2:16">
      <c r="B446" s="74">
        <f ca="1">IFERROR(__xludf.DUMMYFUNCTION("""COMPUTED_VALUE"""),2026)</f>
        <v>2026</v>
      </c>
      <c r="C446" s="56">
        <f ca="1">IFERROR(__xludf.DUMMYFUNCTION("""COMPUTED_VALUE"""),3)</f>
        <v>3</v>
      </c>
      <c r="D446" s="33" t="str">
        <f ca="1">IFERROR(__xludf.DUMMYFUNCTION("""COMPUTED_VALUE"""),"NO")</f>
        <v>NO</v>
      </c>
      <c r="E446" s="33" t="str">
        <f ca="1">IFERROR(__xludf.DUMMYFUNCTION("""COMPUTED_VALUE"""),"Madrid- Juan Bravo")</f>
        <v>Madrid- Juan Bravo</v>
      </c>
      <c r="F446" s="57">
        <f ca="1">IFERROR(__xludf.DUMMYFUNCTION("""COMPUTED_VALUE"""),46108)</f>
        <v>46108</v>
      </c>
      <c r="G446" s="57">
        <f ca="1">IFERROR(__xludf.DUMMYFUNCTION("""COMPUTED_VALUE"""),46084)</f>
        <v>46084</v>
      </c>
      <c r="H446" s="33" t="str">
        <f ca="1">IFERROR(__xludf.DUMMYFUNCTION("""COMPUTED_VALUE"""),"Juan Bravo")</f>
        <v>Juan Bravo</v>
      </c>
      <c r="I446" s="33" t="str">
        <f ca="1">IFERROR(__xludf.DUMMYFUNCTION("""COMPUTED_VALUE"""),"C20263393127841723")</f>
        <v>C20263393127841723</v>
      </c>
      <c r="J446" s="33" t="str">
        <f ca="1">IFERROR(__xludf.DUMMYFUNCTION("""COMPUTED_VALUE"""),"ISABEL  HERNANDEZ PEREZ")</f>
        <v>ISABEL  HERNANDEZ PEREZ</v>
      </c>
      <c r="K446" s="56">
        <f ca="1">IFERROR(__xludf.DUMMYFUNCTION("""COMPUTED_VALUE"""),1)</f>
        <v>1</v>
      </c>
      <c r="L446" s="62">
        <f ca="1">IFERROR(__xludf.DUMMYFUNCTION("""COMPUTED_VALUE"""),2481.82)</f>
        <v>2481.8200000000002</v>
      </c>
      <c r="M446" s="33" t="str">
        <f ca="1">IFERROR(__xludf.DUMMYFUNCTION("""COMPUTED_VALUE"""),"03 ORL")</f>
        <v>03 ORL</v>
      </c>
      <c r="N446" s="33" t="str">
        <f ca="1">IFERROR(__xludf.DUMMYFUNCTION("""COMPUTED_VALUE"""),"06 ORL")</f>
        <v>06 ORL</v>
      </c>
      <c r="O446" s="33" t="str">
        <f ca="1">IFERROR(__xludf.DUMMYFUNCTION("""COMPUTED_VALUE"""),"Dr, Carlos Barajas del Rosal")</f>
        <v>Dr, Carlos Barajas del Rosal</v>
      </c>
      <c r="P446" s="33" t="str">
        <f ca="1">IFERROR(__xludf.DUMMYFUNCTION("""COMPUTED_VALUE"""),"Lisandro Russian (Madrid, Cáceres, Toledo, Talavera y Logroño)")</f>
        <v>Lisandro Russian (Madrid, Cáceres, Toledo, Talavera y Logroño)</v>
      </c>
    </row>
    <row r="447" spans="2:16">
      <c r="B447" s="74">
        <f ca="1">IFERROR(__xludf.DUMMYFUNCTION("""COMPUTED_VALUE"""),2026)</f>
        <v>2026</v>
      </c>
      <c r="C447" s="56">
        <f ca="1">IFERROR(__xludf.DUMMYFUNCTION("""COMPUTED_VALUE"""),3)</f>
        <v>3</v>
      </c>
      <c r="D447" s="33" t="str">
        <f ca="1">IFERROR(__xludf.DUMMYFUNCTION("""COMPUTED_VALUE"""),"NO")</f>
        <v>NO</v>
      </c>
      <c r="E447" s="33" t="str">
        <f ca="1">IFERROR(__xludf.DUMMYFUNCTION("""COMPUTED_VALUE"""),"Albacete")</f>
        <v>Albacete</v>
      </c>
      <c r="F447" s="57">
        <f ca="1">IFERROR(__xludf.DUMMYFUNCTION("""COMPUTED_VALUE"""),46108)</f>
        <v>46108</v>
      </c>
      <c r="G447" s="57">
        <f ca="1">IFERROR(__xludf.DUMMYFUNCTION("""COMPUTED_VALUE"""),46072)</f>
        <v>46072</v>
      </c>
      <c r="H447" s="33" t="str">
        <f ca="1">IFERROR(__xludf.DUMMYFUNCTION("""COMPUTED_VALUE"""),"Albacete")</f>
        <v>Albacete</v>
      </c>
      <c r="I447" s="33" t="str">
        <f ca="1">IFERROR(__xludf.DUMMYFUNCTION("""COMPUTED_VALUE"""),"C202621917412256555")</f>
        <v>C202621917412256555</v>
      </c>
      <c r="J447" s="33" t="str">
        <f ca="1">IFERROR(__xludf.DUMMYFUNCTION("""COMPUTED_VALUE"""),"JOSE MATIAS ALONSO CASTILLO")</f>
        <v>JOSE MATIAS ALONSO CASTILLO</v>
      </c>
      <c r="K447" s="56">
        <f ca="1">IFERROR(__xludf.DUMMYFUNCTION("""COMPUTED_VALUE"""),2)</f>
        <v>2</v>
      </c>
      <c r="L447" s="62">
        <f ca="1">IFERROR(__xludf.DUMMYFUNCTION("""COMPUTED_VALUE"""),2918.18)</f>
        <v>2918.18</v>
      </c>
      <c r="M447" s="33" t="str">
        <f ca="1">IFERROR(__xludf.DUMMYFUNCTION("""COMPUTED_VALUE"""),"03 ORL")</f>
        <v>03 ORL</v>
      </c>
      <c r="N447" s="33" t="str">
        <f ca="1">IFERROR(__xludf.DUMMYFUNCTION("""COMPUTED_VALUE"""),"06 ORL")</f>
        <v>06 ORL</v>
      </c>
      <c r="O447" s="33" t="str">
        <f ca="1">IFERROR(__xludf.DUMMYFUNCTION("""COMPUTED_VALUE"""),"Dr, Javier García-Dueñas González")</f>
        <v>Dr, Javier García-Dueñas González</v>
      </c>
      <c r="P447" s="33" t="str">
        <f ca="1">IFERROR(__xludf.DUMMYFUNCTION("""COMPUTED_VALUE"""),"Iván Sánchez (Levante y Albacete)")</f>
        <v>Iván Sánchez (Levante y Albacete)</v>
      </c>
    </row>
    <row r="448" spans="2:16">
      <c r="B448" s="74">
        <f ca="1">IFERROR(__xludf.DUMMYFUNCTION("""COMPUTED_VALUE"""),2026)</f>
        <v>2026</v>
      </c>
      <c r="C448" s="56">
        <f ca="1">IFERROR(__xludf.DUMMYFUNCTION("""COMPUTED_VALUE"""),3)</f>
        <v>3</v>
      </c>
      <c r="D448" s="33" t="str">
        <f ca="1">IFERROR(__xludf.DUMMYFUNCTION("""COMPUTED_VALUE"""),"NO")</f>
        <v>NO</v>
      </c>
      <c r="E448" s="33" t="str">
        <f ca="1">IFERROR(__xludf.DUMMYFUNCTION("""COMPUTED_VALUE"""),"Madrid- Canillas")</f>
        <v>Madrid- Canillas</v>
      </c>
      <c r="F448" s="57">
        <f ca="1">IFERROR(__xludf.DUMMYFUNCTION("""COMPUTED_VALUE"""),46108)</f>
        <v>46108</v>
      </c>
      <c r="G448" s="57">
        <f ca="1">IFERROR(__xludf.DUMMYFUNCTION("""COMPUTED_VALUE"""),46085)</f>
        <v>46085</v>
      </c>
      <c r="H448" s="33" t="str">
        <f ca="1">IFERROR(__xludf.DUMMYFUNCTION("""COMPUTED_VALUE"""),"Canillas")</f>
        <v>Canillas</v>
      </c>
      <c r="I448" s="33" t="str">
        <f ca="1">IFERROR(__xludf.DUMMYFUNCTION("""COMPUTED_VALUE"""),"C20263410838508549")</f>
        <v>C20263410838508549</v>
      </c>
      <c r="J448" s="33" t="str">
        <f ca="1">IFERROR(__xludf.DUMMYFUNCTION("""COMPUTED_VALUE"""),"MARÍA LÓPEZ SACRISTÁN")</f>
        <v>MARÍA LÓPEZ SACRISTÁN</v>
      </c>
      <c r="K448" s="56">
        <f ca="1">IFERROR(__xludf.DUMMYFUNCTION("""COMPUTED_VALUE"""),2)</f>
        <v>2</v>
      </c>
      <c r="L448" s="62">
        <f ca="1">IFERROR(__xludf.DUMMYFUNCTION("""COMPUTED_VALUE"""),4536.36)</f>
        <v>4536.3599999999997</v>
      </c>
      <c r="M448" s="33" t="str">
        <f ca="1">IFERROR(__xludf.DUMMYFUNCTION("""COMPUTED_VALUE"""),"03 ORL")</f>
        <v>03 ORL</v>
      </c>
      <c r="N448" s="33" t="str">
        <f ca="1">IFERROR(__xludf.DUMMYFUNCTION("""COMPUTED_VALUE"""),"06 ORL")</f>
        <v>06 ORL</v>
      </c>
      <c r="O448" s="33" t="str">
        <f ca="1">IFERROR(__xludf.DUMMYFUNCTION("""COMPUTED_VALUE"""),"Dr, José Gustavo Barroso Braojos")</f>
        <v>Dr, José Gustavo Barroso Braojos</v>
      </c>
      <c r="P448" s="33" t="str">
        <f ca="1">IFERROR(__xludf.DUMMYFUNCTION("""COMPUTED_VALUE"""),"Maika Blázquez (Madrid)")</f>
        <v>Maika Blázquez (Madrid)</v>
      </c>
    </row>
    <row r="449" spans="2:16">
      <c r="B449" s="74">
        <f ca="1">IFERROR(__xludf.DUMMYFUNCTION("""COMPUTED_VALUE"""),2026)</f>
        <v>2026</v>
      </c>
      <c r="C449" s="56">
        <f ca="1">IFERROR(__xludf.DUMMYFUNCTION("""COMPUTED_VALUE"""),3)</f>
        <v>3</v>
      </c>
      <c r="D449" s="33" t="str">
        <f ca="1">IFERROR(__xludf.DUMMYFUNCTION("""COMPUTED_VALUE"""),"NO")</f>
        <v>NO</v>
      </c>
      <c r="E449" s="33" t="str">
        <f ca="1">IFERROR(__xludf.DUMMYFUNCTION("""COMPUTED_VALUE"""),"Madrid- Canillas")</f>
        <v>Madrid- Canillas</v>
      </c>
      <c r="F449" s="57">
        <f ca="1">IFERROR(__xludf.DUMMYFUNCTION("""COMPUTED_VALUE"""),46108)</f>
        <v>46108</v>
      </c>
      <c r="G449" s="57">
        <f ca="1">IFERROR(__xludf.DUMMYFUNCTION("""COMPUTED_VALUE"""),46104)</f>
        <v>46104</v>
      </c>
      <c r="H449" s="33" t="str">
        <f ca="1">IFERROR(__xludf.DUMMYFUNCTION("""COMPUTED_VALUE"""),"Canillas")</f>
        <v>Canillas</v>
      </c>
      <c r="I449" s="33" t="str">
        <f ca="1">IFERROR(__xludf.DUMMYFUNCTION("""COMPUTED_VALUE"""),"C202632393140116305")</f>
        <v>C202632393140116305</v>
      </c>
      <c r="J449" s="33" t="str">
        <f ca="1">IFERROR(__xludf.DUMMYFUNCTION("""COMPUTED_VALUE"""),"AVELINO GONZÁLEZ MARTÍNEZ")</f>
        <v>AVELINO GONZÁLEZ MARTÍNEZ</v>
      </c>
      <c r="K449" s="56">
        <f ca="1">IFERROR(__xludf.DUMMYFUNCTION("""COMPUTED_VALUE"""),2)</f>
        <v>2</v>
      </c>
      <c r="L449" s="62">
        <f ca="1">IFERROR(__xludf.DUMMYFUNCTION("""COMPUTED_VALUE"""),3631.73)</f>
        <v>3631.73</v>
      </c>
      <c r="M449" s="33" t="str">
        <f ca="1">IFERROR(__xludf.DUMMYFUNCTION("""COMPUTED_VALUE"""),"03 ORL")</f>
        <v>03 ORL</v>
      </c>
      <c r="N449" s="33" t="str">
        <f ca="1">IFERROR(__xludf.DUMMYFUNCTION("""COMPUTED_VALUE"""),"06 ORL")</f>
        <v>06 ORL</v>
      </c>
      <c r="O449" s="33" t="str">
        <f ca="1">IFERROR(__xludf.DUMMYFUNCTION("""COMPUTED_VALUE"""),"Dr, José Gustavo Barroso Braojos")</f>
        <v>Dr, José Gustavo Barroso Braojos</v>
      </c>
      <c r="P449" s="33" t="str">
        <f ca="1">IFERROR(__xludf.DUMMYFUNCTION("""COMPUTED_VALUE"""),"Maika Blázquez (Madrid)")</f>
        <v>Maika Blázquez (Madrid)</v>
      </c>
    </row>
    <row r="450" spans="2:16">
      <c r="B450" s="74">
        <f ca="1">IFERROR(__xludf.DUMMYFUNCTION("""COMPUTED_VALUE"""),2026)</f>
        <v>2026</v>
      </c>
      <c r="C450" s="56">
        <f ca="1">IFERROR(__xludf.DUMMYFUNCTION("""COMPUTED_VALUE"""),3)</f>
        <v>3</v>
      </c>
      <c r="D450" s="33" t="str">
        <f ca="1">IFERROR(__xludf.DUMMYFUNCTION("""COMPUTED_VALUE"""),"NO")</f>
        <v>NO</v>
      </c>
      <c r="E450" s="33" t="str">
        <f ca="1">IFERROR(__xludf.DUMMYFUNCTION("""COMPUTED_VALUE"""),"Madrid- Monforte de Lemos")</f>
        <v>Madrid- Monforte de Lemos</v>
      </c>
      <c r="F450" s="57">
        <f ca="1">IFERROR(__xludf.DUMMYFUNCTION("""COMPUTED_VALUE"""),46108)</f>
        <v>46108</v>
      </c>
      <c r="G450" s="57">
        <f ca="1">IFERROR(__xludf.DUMMYFUNCTION("""COMPUTED_VALUE"""),46084)</f>
        <v>46084</v>
      </c>
      <c r="H450" s="33" t="str">
        <f ca="1">IFERROR(__xludf.DUMMYFUNCTION("""COMPUTED_VALUE"""),"La Vaguada")</f>
        <v>La Vaguada</v>
      </c>
      <c r="I450" s="33" t="str">
        <f ca="1">IFERROR(__xludf.DUMMYFUNCTION("""COMPUTED_VALUE"""),"C2026331215182231")</f>
        <v>C2026331215182231</v>
      </c>
      <c r="J450" s="33" t="str">
        <f ca="1">IFERROR(__xludf.DUMMYFUNCTION("""COMPUTED_VALUE"""),"ANA MARÍA  MUNARRIZ PÉREZ")</f>
        <v>ANA MARÍA  MUNARRIZ PÉREZ</v>
      </c>
      <c r="K450" s="56">
        <f ca="1">IFERROR(__xludf.DUMMYFUNCTION("""COMPUTED_VALUE"""),2)</f>
        <v>2</v>
      </c>
      <c r="L450" s="62">
        <f ca="1">IFERROR(__xludf.DUMMYFUNCTION("""COMPUTED_VALUE"""),2718.18)</f>
        <v>2718.18</v>
      </c>
      <c r="M450" s="33" t="str">
        <f ca="1">IFERROR(__xludf.DUMMYFUNCTION("""COMPUTED_VALUE"""),"03 ORL")</f>
        <v>03 ORL</v>
      </c>
      <c r="N450" s="33" t="str">
        <f ca="1">IFERROR(__xludf.DUMMYFUNCTION("""COMPUTED_VALUE"""),"06 ORL")</f>
        <v>06 ORL</v>
      </c>
      <c r="O450" s="33" t="str">
        <f ca="1">IFERROR(__xludf.DUMMYFUNCTION("""COMPUTED_VALUE"""),"Dr, José Gustavo Barroso Braojos")</f>
        <v>Dr, José Gustavo Barroso Braojos</v>
      </c>
      <c r="P450" s="33" t="str">
        <f ca="1">IFERROR(__xludf.DUMMYFUNCTION("""COMPUTED_VALUE"""),"Maika Blázquez (Madrid)")</f>
        <v>Maika Blázquez (Madrid)</v>
      </c>
    </row>
    <row r="451" spans="2:16">
      <c r="B451" s="74">
        <f ca="1">IFERROR(__xludf.DUMMYFUNCTION("""COMPUTED_VALUE"""),2026)</f>
        <v>2026</v>
      </c>
      <c r="C451" s="56">
        <f ca="1">IFERROR(__xludf.DUMMYFUNCTION("""COMPUTED_VALUE"""),3)</f>
        <v>3</v>
      </c>
      <c r="D451" s="33" t="str">
        <f ca="1">IFERROR(__xludf.DUMMYFUNCTION("""COMPUTED_VALUE"""),"NO")</f>
        <v>NO</v>
      </c>
      <c r="E451" s="33" t="str">
        <f ca="1">IFERROR(__xludf.DUMMYFUNCTION("""COMPUTED_VALUE"""),"Madrid- Galileo")</f>
        <v>Madrid- Galileo</v>
      </c>
      <c r="F451" s="57">
        <f ca="1">IFERROR(__xludf.DUMMYFUNCTION("""COMPUTED_VALUE"""),46108)</f>
        <v>46108</v>
      </c>
      <c r="G451" s="57">
        <f ca="1">IFERROR(__xludf.DUMMYFUNCTION("""COMPUTED_VALUE"""),46078)</f>
        <v>46078</v>
      </c>
      <c r="H451" s="33" t="str">
        <f ca="1">IFERROR(__xludf.DUMMYFUNCTION("""COMPUTED_VALUE"""),"Moncloa")</f>
        <v>Moncloa</v>
      </c>
      <c r="I451" s="33" t="str">
        <f ca="1">IFERROR(__xludf.DUMMYFUNCTION("""COMPUTED_VALUE"""),"C202622592914979233")</f>
        <v>C202622592914979233</v>
      </c>
      <c r="J451" s="33" t="str">
        <f ca="1">IFERROR(__xludf.DUMMYFUNCTION("""COMPUTED_VALUE"""),"RUTH VIVAS FERMIN")</f>
        <v>RUTH VIVAS FERMIN</v>
      </c>
      <c r="K451" s="56">
        <f ca="1">IFERROR(__xludf.DUMMYFUNCTION("""COMPUTED_VALUE"""),1)</f>
        <v>1</v>
      </c>
      <c r="L451" s="62">
        <f ca="1">IFERROR(__xludf.DUMMYFUNCTION("""COMPUTED_VALUE"""),2180.91)</f>
        <v>2180.91</v>
      </c>
      <c r="M451" s="33" t="str">
        <f ca="1">IFERROR(__xludf.DUMMYFUNCTION("""COMPUTED_VALUE"""),"03 ORL")</f>
        <v>03 ORL</v>
      </c>
      <c r="N451" s="33" t="str">
        <f ca="1">IFERROR(__xludf.DUMMYFUNCTION("""COMPUTED_VALUE"""),"06 ORL")</f>
        <v>06 ORL</v>
      </c>
      <c r="O451" s="33" t="str">
        <f ca="1">IFERROR(__xludf.DUMMYFUNCTION("""COMPUTED_VALUE"""),"Dr, Carlos Velásquez Fermín")</f>
        <v>Dr, Carlos Velásquez Fermín</v>
      </c>
      <c r="P451" s="33" t="str">
        <f ca="1">IFERROR(__xludf.DUMMYFUNCTION("""COMPUTED_VALUE"""),"Iván Sánchez (Levante y Albacete)")</f>
        <v>Iván Sánchez (Levante y Albacete)</v>
      </c>
    </row>
    <row r="452" spans="2:16">
      <c r="B452" s="74">
        <f ca="1">IFERROR(__xludf.DUMMYFUNCTION("""COMPUTED_VALUE"""),2026)</f>
        <v>2026</v>
      </c>
      <c r="C452" s="56">
        <f ca="1">IFERROR(__xludf.DUMMYFUNCTION("""COMPUTED_VALUE"""),3)</f>
        <v>3</v>
      </c>
      <c r="D452" s="33" t="str">
        <f ca="1">IFERROR(__xludf.DUMMYFUNCTION("""COMPUTED_VALUE"""),"NO")</f>
        <v>NO</v>
      </c>
      <c r="E452" s="33" t="str">
        <f ca="1">IFERROR(__xludf.DUMMYFUNCTION("""COMPUTED_VALUE"""),"Jerez de la Frontera")</f>
        <v>Jerez de la Frontera</v>
      </c>
      <c r="F452" s="57">
        <f ca="1">IFERROR(__xludf.DUMMYFUNCTION("""COMPUTED_VALUE"""),46108)</f>
        <v>46108</v>
      </c>
      <c r="G452" s="57">
        <f ca="1">IFERROR(__xludf.DUMMYFUNCTION("""COMPUTED_VALUE"""),46083)</f>
        <v>46083</v>
      </c>
      <c r="H452" s="33" t="str">
        <f ca="1">IFERROR(__xludf.DUMMYFUNCTION("""COMPUTED_VALUE"""),"Jerez")</f>
        <v>Jerez</v>
      </c>
      <c r="I452" s="33" t="str">
        <f ca="1">IFERROR(__xludf.DUMMYFUNCTION("""COMPUTED_VALUE"""),"C20263285511881800")</f>
        <v>C20263285511881800</v>
      </c>
      <c r="J452" s="33" t="str">
        <f ca="1">IFERROR(__xludf.DUMMYFUNCTION("""COMPUTED_VALUE"""),"MIGUEL ANGEL  CASTILLEJO LOPEZ")</f>
        <v>MIGUEL ANGEL  CASTILLEJO LOPEZ</v>
      </c>
      <c r="K452" s="56">
        <f ca="1">IFERROR(__xludf.DUMMYFUNCTION("""COMPUTED_VALUE"""),1)</f>
        <v>1</v>
      </c>
      <c r="L452" s="62">
        <f ca="1">IFERROR(__xludf.DUMMYFUNCTION("""COMPUTED_VALUE"""),2722.73)</f>
        <v>2722.73</v>
      </c>
      <c r="M452" s="33" t="str">
        <f ca="1">IFERROR(__xludf.DUMMYFUNCTION("""COMPUTED_VALUE"""),"03 ORL")</f>
        <v>03 ORL</v>
      </c>
      <c r="N452" s="33" t="str">
        <f ca="1">IFERROR(__xludf.DUMMYFUNCTION("""COMPUTED_VALUE"""),"06 ORL")</f>
        <v>06 ORL</v>
      </c>
      <c r="O452" s="33" t="str">
        <f ca="1">IFERROR(__xludf.DUMMYFUNCTION("""COMPUTED_VALUE"""),"Dra, Maria Del Carmen Salom Coveñas")</f>
        <v>Dra, Maria Del Carmen Salom Coveñas</v>
      </c>
      <c r="P452" s="33" t="str">
        <f ca="1">IFERROR(__xludf.DUMMYFUNCTION("""COMPUTED_VALUE"""),"Luis Alberto Rodríguez (Andalucía y Badajoz)")</f>
        <v>Luis Alberto Rodríguez (Andalucía y Badajoz)</v>
      </c>
    </row>
    <row r="453" spans="2:16">
      <c r="B453" s="74">
        <f ca="1">IFERROR(__xludf.DUMMYFUNCTION("""COMPUTED_VALUE"""),2026)</f>
        <v>2026</v>
      </c>
      <c r="C453" s="56">
        <f ca="1">IFERROR(__xludf.DUMMYFUNCTION("""COMPUTED_VALUE"""),3)</f>
        <v>3</v>
      </c>
      <c r="D453" s="33" t="str">
        <f ca="1">IFERROR(__xludf.DUMMYFUNCTION("""COMPUTED_VALUE"""),"NO")</f>
        <v>NO</v>
      </c>
      <c r="E453" s="33" t="str">
        <f ca="1">IFERROR(__xludf.DUMMYFUNCTION("""COMPUTED_VALUE"""),"Valencia- Parra")</f>
        <v>Valencia- Parra</v>
      </c>
      <c r="F453" s="57">
        <f ca="1">IFERROR(__xludf.DUMMYFUNCTION("""COMPUTED_VALUE"""),46111)</f>
        <v>46111</v>
      </c>
      <c r="G453" s="57">
        <f ca="1">IFERROR(__xludf.DUMMYFUNCTION("""COMPUTED_VALUE"""),46045)</f>
        <v>46045</v>
      </c>
      <c r="H453" s="33" t="str">
        <f ca="1">IFERROR(__xludf.DUMMYFUNCTION("""COMPUTED_VALUE"""),"Valencia- Parra")</f>
        <v>Valencia- Parra</v>
      </c>
      <c r="I453" s="33" t="str">
        <f ca="1">IFERROR(__xludf.DUMMYFUNCTION("""COMPUTED_VALUE"""),"C202612310284907484")</f>
        <v>C202612310284907484</v>
      </c>
      <c r="J453" s="33" t="str">
        <f ca="1">IFERROR(__xludf.DUMMYFUNCTION("""COMPUTED_VALUE"""),"RAUL SORIA PINEL")</f>
        <v>RAUL SORIA PINEL</v>
      </c>
      <c r="K453" s="56">
        <f ca="1">IFERROR(__xludf.DUMMYFUNCTION("""COMPUTED_VALUE"""),2)</f>
        <v>2</v>
      </c>
      <c r="L453" s="62">
        <f ca="1">IFERROR(__xludf.DUMMYFUNCTION("""COMPUTED_VALUE"""),2718.18)</f>
        <v>2718.18</v>
      </c>
      <c r="M453" s="33" t="str">
        <f ca="1">IFERROR(__xludf.DUMMYFUNCTION("""COMPUTED_VALUE"""),"03 ORL")</f>
        <v>03 ORL</v>
      </c>
      <c r="N453" s="33" t="str">
        <f ca="1">IFERROR(__xludf.DUMMYFUNCTION("""COMPUTED_VALUE"""),"06 ORL")</f>
        <v>06 ORL</v>
      </c>
      <c r="O453" s="33" t="str">
        <f ca="1">IFERROR(__xludf.DUMMYFUNCTION("""COMPUTED_VALUE"""),"Dr, Raimon García Chillerón")</f>
        <v>Dr, Raimon García Chillerón</v>
      </c>
      <c r="P453" s="33" t="str">
        <f ca="1">IFERROR(__xludf.DUMMYFUNCTION("""COMPUTED_VALUE"""),"Ramon Ferrando(Valencia)")</f>
        <v>Ramon Ferrando(Valencia)</v>
      </c>
    </row>
    <row r="454" spans="2:16">
      <c r="B454" s="74">
        <f ca="1">IFERROR(__xludf.DUMMYFUNCTION("""COMPUTED_VALUE"""),2026)</f>
        <v>2026</v>
      </c>
      <c r="C454" s="56">
        <f ca="1">IFERROR(__xludf.DUMMYFUNCTION("""COMPUTED_VALUE"""),3)</f>
        <v>3</v>
      </c>
      <c r="D454" s="33" t="str">
        <f ca="1">IFERROR(__xludf.DUMMYFUNCTION("""COMPUTED_VALUE"""),"NO")</f>
        <v>NO</v>
      </c>
      <c r="E454" s="33" t="str">
        <f ca="1">IFERROR(__xludf.DUMMYFUNCTION("""COMPUTED_VALUE"""),"El Albir (Benidorm)")</f>
        <v>El Albir (Benidorm)</v>
      </c>
      <c r="F454" s="57">
        <f ca="1">IFERROR(__xludf.DUMMYFUNCTION("""COMPUTED_VALUE"""),46111)</f>
        <v>46111</v>
      </c>
      <c r="G454" s="57">
        <f ca="1">IFERROR(__xludf.DUMMYFUNCTION("""COMPUTED_VALUE"""),46030)</f>
        <v>46030</v>
      </c>
      <c r="H454" s="33" t="str">
        <f ca="1">IFERROR(__xludf.DUMMYFUNCTION("""COMPUTED_VALUE"""),"El Albir (Benidorm)")</f>
        <v>El Albir (Benidorm)</v>
      </c>
      <c r="I454" s="33" t="str">
        <f ca="1">IFERROR(__xludf.DUMMYFUNCTION("""COMPUTED_VALUE"""),"C202618165718382638")</f>
        <v>C202618165718382638</v>
      </c>
      <c r="J454" s="33" t="str">
        <f ca="1">IFERROR(__xludf.DUMMYFUNCTION("""COMPUTED_VALUE"""),"ENCARNA  DIAZ HORTELANO")</f>
        <v>ENCARNA  DIAZ HORTELANO</v>
      </c>
      <c r="K454" s="56">
        <f ca="1">IFERROR(__xludf.DUMMYFUNCTION("""COMPUTED_VALUE"""),2)</f>
        <v>2</v>
      </c>
      <c r="L454" s="62">
        <f ca="1">IFERROR(__xludf.DUMMYFUNCTION("""COMPUTED_VALUE"""),2582.27)</f>
        <v>2582.27</v>
      </c>
      <c r="M454" s="33" t="str">
        <f ca="1">IFERROR(__xludf.DUMMYFUNCTION("""COMPUTED_VALUE"""),"03 ORL")</f>
        <v>03 ORL</v>
      </c>
      <c r="N454" s="33" t="str">
        <f ca="1">IFERROR(__xludf.DUMMYFUNCTION("""COMPUTED_VALUE"""),"06 ORL")</f>
        <v>06 ORL</v>
      </c>
      <c r="O454" s="33" t="str">
        <f ca="1">IFERROR(__xludf.DUMMYFUNCTION("""COMPUTED_VALUE"""),"Dra, Salwa Laraqui Hossini")</f>
        <v>Dra, Salwa Laraqui Hossini</v>
      </c>
      <c r="P454" s="33" t="str">
        <f ca="1">IFERROR(__xludf.DUMMYFUNCTION("""COMPUTED_VALUE"""),"Iván Sánchez (Levante y Albacete)")</f>
        <v>Iván Sánchez (Levante y Albacete)</v>
      </c>
    </row>
    <row r="455" spans="2:16">
      <c r="B455" s="74">
        <f ca="1">IFERROR(__xludf.DUMMYFUNCTION("""COMPUTED_VALUE"""),2026)</f>
        <v>2026</v>
      </c>
      <c r="C455" s="56">
        <f ca="1">IFERROR(__xludf.DUMMYFUNCTION("""COMPUTED_VALUE"""),3)</f>
        <v>3</v>
      </c>
      <c r="D455" s="33" t="str">
        <f ca="1">IFERROR(__xludf.DUMMYFUNCTION("""COMPUTED_VALUE"""),"NO")</f>
        <v>NO</v>
      </c>
      <c r="E455" s="33" t="str">
        <f ca="1">IFERROR(__xludf.DUMMYFUNCTION("""COMPUTED_VALUE"""),"Alicante")</f>
        <v>Alicante</v>
      </c>
      <c r="F455" s="57">
        <f ca="1">IFERROR(__xludf.DUMMYFUNCTION("""COMPUTED_VALUE"""),46111)</f>
        <v>46111</v>
      </c>
      <c r="G455" s="57">
        <f ca="1">IFERROR(__xludf.DUMMYFUNCTION("""COMPUTED_VALUE"""),46090)</f>
        <v>46090</v>
      </c>
      <c r="H455" s="33" t="str">
        <f ca="1">IFERROR(__xludf.DUMMYFUNCTION("""COMPUTED_VALUE"""),"Alicante")</f>
        <v>Alicante</v>
      </c>
      <c r="I455" s="33" t="str">
        <f ca="1">IFERROR(__xludf.DUMMYFUNCTION("""COMPUTED_VALUE"""),"C202639162646500411")</f>
        <v>C202639162646500411</v>
      </c>
      <c r="J455" s="33" t="str">
        <f ca="1">IFERROR(__xludf.DUMMYFUNCTION("""COMPUTED_VALUE"""),"MAONNG LI")</f>
        <v>MAONNG LI</v>
      </c>
      <c r="K455" s="56">
        <f ca="1">IFERROR(__xludf.DUMMYFUNCTION("""COMPUTED_VALUE"""),2)</f>
        <v>2</v>
      </c>
      <c r="L455" s="62">
        <f ca="1">IFERROR(__xludf.DUMMYFUNCTION("""COMPUTED_VALUE"""),2718.18)</f>
        <v>2718.18</v>
      </c>
      <c r="M455" s="33" t="str">
        <f ca="1">IFERROR(__xludf.DUMMYFUNCTION("""COMPUTED_VALUE"""),"03 ORL")</f>
        <v>03 ORL</v>
      </c>
      <c r="N455" s="33" t="str">
        <f ca="1">IFERROR(__xludf.DUMMYFUNCTION("""COMPUTED_VALUE"""),"06 ORL")</f>
        <v>06 ORL</v>
      </c>
      <c r="O455" s="33" t="str">
        <f ca="1">IFERROR(__xludf.DUMMYFUNCTION("""COMPUTED_VALUE"""),"Dra, Maria Rosario Ferrandiz García")</f>
        <v>Dra, Maria Rosario Ferrandiz García</v>
      </c>
      <c r="P455" s="33" t="str">
        <f ca="1">IFERROR(__xludf.DUMMYFUNCTION("""COMPUTED_VALUE"""),"Iván Sánchez (Levante y Albacete)")</f>
        <v>Iván Sánchez (Levante y Albacete)</v>
      </c>
    </row>
    <row r="456" spans="2:16">
      <c r="B456" s="74">
        <f ca="1">IFERROR(__xludf.DUMMYFUNCTION("""COMPUTED_VALUE"""),2026)</f>
        <v>2026</v>
      </c>
      <c r="C456" s="56">
        <f ca="1">IFERROR(__xludf.DUMMYFUNCTION("""COMPUTED_VALUE"""),3)</f>
        <v>3</v>
      </c>
      <c r="D456" s="33" t="str">
        <f ca="1">IFERROR(__xludf.DUMMYFUNCTION("""COMPUTED_VALUE"""),"NO")</f>
        <v>NO</v>
      </c>
      <c r="E456" s="33" t="str">
        <f ca="1">IFERROR(__xludf.DUMMYFUNCTION("""COMPUTED_VALUE"""),"Valladolid")</f>
        <v>Valladolid</v>
      </c>
      <c r="F456" s="57">
        <f ca="1">IFERROR(__xludf.DUMMYFUNCTION("""COMPUTED_VALUE"""),46111)</f>
        <v>46111</v>
      </c>
      <c r="G456" s="57">
        <f ca="1">IFERROR(__xludf.DUMMYFUNCTION("""COMPUTED_VALUE"""),46079)</f>
        <v>46079</v>
      </c>
      <c r="H456" s="33" t="str">
        <f ca="1">IFERROR(__xludf.DUMMYFUNCTION("""COMPUTED_VALUE"""),"Valladolid")</f>
        <v>Valladolid</v>
      </c>
      <c r="I456" s="33" t="str">
        <f ca="1">IFERROR(__xludf.DUMMYFUNCTION("""COMPUTED_VALUE"""),"C202622611395939003")</f>
        <v>C202622611395939003</v>
      </c>
      <c r="J456" s="33" t="str">
        <f ca="1">IFERROR(__xludf.DUMMYFUNCTION("""COMPUTED_VALUE"""),"JUAN  DUARTE CARAVACA")</f>
        <v>JUAN  DUARTE CARAVACA</v>
      </c>
      <c r="K456" s="56">
        <f ca="1">IFERROR(__xludf.DUMMYFUNCTION("""COMPUTED_VALUE"""),1)</f>
        <v>1</v>
      </c>
      <c r="L456" s="62">
        <f ca="1">IFERROR(__xludf.DUMMYFUNCTION("""COMPUTED_VALUE"""),2080)</f>
        <v>2080</v>
      </c>
      <c r="M456" s="33" t="str">
        <f ca="1">IFERROR(__xludf.DUMMYFUNCTION("""COMPUTED_VALUE"""),"03 ORL")</f>
        <v>03 ORL</v>
      </c>
      <c r="N456" s="33" t="str">
        <f ca="1">IFERROR(__xludf.DUMMYFUNCTION("""COMPUTED_VALUE"""),"06 ORL")</f>
        <v>06 ORL</v>
      </c>
      <c r="O456" s="33" t="str">
        <f ca="1">IFERROR(__xludf.DUMMYFUNCTION("""COMPUTED_VALUE"""),"Dra, Ana Fernández Rodríguez")</f>
        <v>Dra, Ana Fernández Rodríguez</v>
      </c>
      <c r="P456" s="33" t="str">
        <f ca="1">IFERROR(__xludf.DUMMYFUNCTION("""COMPUTED_VALUE"""),"Alberto Moreno (Madrid)")</f>
        <v>Alberto Moreno (Madrid)</v>
      </c>
    </row>
    <row r="457" spans="2:16">
      <c r="B457" s="74">
        <f ca="1">IFERROR(__xludf.DUMMYFUNCTION("""COMPUTED_VALUE"""),2026)</f>
        <v>2026</v>
      </c>
      <c r="C457" s="56">
        <f ca="1">IFERROR(__xludf.DUMMYFUNCTION("""COMPUTED_VALUE"""),3)</f>
        <v>3</v>
      </c>
      <c r="D457" s="33" t="str">
        <f ca="1">IFERROR(__xludf.DUMMYFUNCTION("""COMPUTED_VALUE"""),"NO")</f>
        <v>NO</v>
      </c>
      <c r="E457" s="33" t="str">
        <f ca="1">IFERROR(__xludf.DUMMYFUNCTION("""COMPUTED_VALUE"""),"Madrid- Monforte de Lemos")</f>
        <v>Madrid- Monforte de Lemos</v>
      </c>
      <c r="F457" s="57">
        <f ca="1">IFERROR(__xludf.DUMMYFUNCTION("""COMPUTED_VALUE"""),46111)</f>
        <v>46111</v>
      </c>
      <c r="G457" s="57">
        <f ca="1">IFERROR(__xludf.DUMMYFUNCTION("""COMPUTED_VALUE"""),46070)</f>
        <v>46070</v>
      </c>
      <c r="H457" s="33" t="str">
        <f ca="1">IFERROR(__xludf.DUMMYFUNCTION("""COMPUTED_VALUE"""),"La Vaguada")</f>
        <v>La Vaguada</v>
      </c>
      <c r="I457" s="33" t="str">
        <f ca="1">IFERROR(__xludf.DUMMYFUNCTION("""COMPUTED_VALUE"""),"C202621717342062690")</f>
        <v>C202621717342062690</v>
      </c>
      <c r="J457" s="33" t="str">
        <f ca="1">IFERROR(__xludf.DUMMYFUNCTION("""COMPUTED_VALUE"""),"MARIA ROSA SÁNCHEZ-MONGE LAGUNA DE RINS")</f>
        <v>MARIA ROSA SÁNCHEZ-MONGE LAGUNA DE RINS</v>
      </c>
      <c r="K457" s="56">
        <f ca="1">IFERROR(__xludf.DUMMYFUNCTION("""COMPUTED_VALUE"""),2)</f>
        <v>2</v>
      </c>
      <c r="L457" s="62">
        <f ca="1">IFERROR(__xludf.DUMMYFUNCTION("""COMPUTED_VALUE"""),2718.18)</f>
        <v>2718.18</v>
      </c>
      <c r="M457" s="33" t="str">
        <f ca="1">IFERROR(__xludf.DUMMYFUNCTION("""COMPUTED_VALUE"""),"03 ORL")</f>
        <v>03 ORL</v>
      </c>
      <c r="N457" s="33" t="str">
        <f ca="1">IFERROR(__xludf.DUMMYFUNCTION("""COMPUTED_VALUE"""),"06 ORL")</f>
        <v>06 ORL</v>
      </c>
      <c r="O457" s="33" t="str">
        <f ca="1">IFERROR(__xludf.DUMMYFUNCTION("""COMPUTED_VALUE"""),"Dra, Victoria García Peces")</f>
        <v>Dra, Victoria García Peces</v>
      </c>
      <c r="P457" s="33" t="str">
        <f ca="1">IFERROR(__xludf.DUMMYFUNCTION("""COMPUTED_VALUE"""),"Maika Blázquez (Madrid)")</f>
        <v>Maika Blázquez (Madrid)</v>
      </c>
    </row>
    <row r="458" spans="2:16">
      <c r="B458" s="74">
        <f ca="1">IFERROR(__xludf.DUMMYFUNCTION("""COMPUTED_VALUE"""),2026)</f>
        <v>2026</v>
      </c>
      <c r="C458" s="56">
        <f ca="1">IFERROR(__xludf.DUMMYFUNCTION("""COMPUTED_VALUE"""),3)</f>
        <v>3</v>
      </c>
      <c r="D458" s="33" t="str">
        <f ca="1">IFERROR(__xludf.DUMMYFUNCTION("""COMPUTED_VALUE"""),"NO")</f>
        <v>NO</v>
      </c>
      <c r="E458" s="33" t="str">
        <f ca="1">IFERROR(__xludf.DUMMYFUNCTION("""COMPUTED_VALUE"""),"Zaragoza- León XIII")</f>
        <v>Zaragoza- León XIII</v>
      </c>
      <c r="F458" s="57">
        <f ca="1">IFERROR(__xludf.DUMMYFUNCTION("""COMPUTED_VALUE"""),46111)</f>
        <v>46111</v>
      </c>
      <c r="G458" s="57">
        <f ca="1">IFERROR(__xludf.DUMMYFUNCTION("""COMPUTED_VALUE"""),46083)</f>
        <v>46083</v>
      </c>
      <c r="H458" s="33" t="str">
        <f ca="1">IFERROR(__xludf.DUMMYFUNCTION("""COMPUTED_VALUE"""),"Zaragoza")</f>
        <v>Zaragoza</v>
      </c>
      <c r="I458" s="33" t="str">
        <f ca="1">IFERROR(__xludf.DUMMYFUNCTION("""COMPUTED_VALUE"""),"C20263210129072148")</f>
        <v>C20263210129072148</v>
      </c>
      <c r="J458" s="33" t="str">
        <f ca="1">IFERROR(__xludf.DUMMYFUNCTION("""COMPUTED_VALUE"""),"LUIS IBAÑEZ GALLEGO")</f>
        <v>LUIS IBAÑEZ GALLEGO</v>
      </c>
      <c r="K458" s="56">
        <f ca="1">IFERROR(__xludf.DUMMYFUNCTION("""COMPUTED_VALUE"""),2)</f>
        <v>2</v>
      </c>
      <c r="L458" s="62">
        <f ca="1">IFERROR(__xludf.DUMMYFUNCTION("""COMPUTED_VALUE"""),3627.27)</f>
        <v>3627.27</v>
      </c>
      <c r="M458" s="33" t="str">
        <f ca="1">IFERROR(__xludf.DUMMYFUNCTION("""COMPUTED_VALUE"""),"03 ORL")</f>
        <v>03 ORL</v>
      </c>
      <c r="N458" s="33" t="str">
        <f ca="1">IFERROR(__xludf.DUMMYFUNCTION("""COMPUTED_VALUE"""),"06 ORL")</f>
        <v>06 ORL</v>
      </c>
      <c r="O458" s="33" t="str">
        <f ca="1">IFERROR(__xludf.DUMMYFUNCTION("""COMPUTED_VALUE"""),"Dr, José Manuel García Solans-Esteras")</f>
        <v>Dr, José Manuel García Solans-Esteras</v>
      </c>
      <c r="P458" s="33" t="str">
        <f ca="1">IFERROR(__xludf.DUMMYFUNCTION("""COMPUTED_VALUE"""),"Ignacio Berdejo (Zaragoza)")</f>
        <v>Ignacio Berdejo (Zaragoza)</v>
      </c>
    </row>
    <row r="459" spans="2:16">
      <c r="B459" s="74">
        <f ca="1">IFERROR(__xludf.DUMMYFUNCTION("""COMPUTED_VALUE"""),2026)</f>
        <v>2026</v>
      </c>
      <c r="C459" s="56">
        <f ca="1">IFERROR(__xludf.DUMMYFUNCTION("""COMPUTED_VALUE"""),3)</f>
        <v>3</v>
      </c>
      <c r="D459" s="33" t="str">
        <f ca="1">IFERROR(__xludf.DUMMYFUNCTION("""COMPUTED_VALUE"""),"NO")</f>
        <v>NO</v>
      </c>
      <c r="E459" s="33" t="str">
        <f ca="1">IFERROR(__xludf.DUMMYFUNCTION("""COMPUTED_VALUE"""),"Orihuela")</f>
        <v>Orihuela</v>
      </c>
      <c r="F459" s="57">
        <f ca="1">IFERROR(__xludf.DUMMYFUNCTION("""COMPUTED_VALUE"""),46111)</f>
        <v>46111</v>
      </c>
      <c r="G459" s="57">
        <f ca="1">IFERROR(__xludf.DUMMYFUNCTION("""COMPUTED_VALUE"""),46097)</f>
        <v>46097</v>
      </c>
      <c r="H459" s="33" t="str">
        <f ca="1">IFERROR(__xludf.DUMMYFUNCTION("""COMPUTED_VALUE"""),"La Zenia")</f>
        <v>La Zenia</v>
      </c>
      <c r="I459" s="33" t="str">
        <f ca="1">IFERROR(__xludf.DUMMYFUNCTION("""COMPUTED_VALUE"""),"C202631610495728359")</f>
        <v>C202631610495728359</v>
      </c>
      <c r="J459" s="33" t="str">
        <f ca="1">IFERROR(__xludf.DUMMYFUNCTION("""COMPUTED_VALUE"""),"INMACULADA RIVES PIC")</f>
        <v>INMACULADA RIVES PIC</v>
      </c>
      <c r="K459" s="56">
        <f ca="1">IFERROR(__xludf.DUMMYFUNCTION("""COMPUTED_VALUE"""),2)</f>
        <v>2</v>
      </c>
      <c r="L459" s="62">
        <f ca="1">IFERROR(__xludf.DUMMYFUNCTION("""COMPUTED_VALUE"""),3631.82)</f>
        <v>3631.82</v>
      </c>
      <c r="M459" s="33" t="str">
        <f ca="1">IFERROR(__xludf.DUMMYFUNCTION("""COMPUTED_VALUE"""),"03 ORL")</f>
        <v>03 ORL</v>
      </c>
      <c r="N459" s="33" t="str">
        <f ca="1">IFERROR(__xludf.DUMMYFUNCTION("""COMPUTED_VALUE"""),"06 ORL")</f>
        <v>06 ORL</v>
      </c>
      <c r="O459" s="33" t="str">
        <f ca="1">IFERROR(__xludf.DUMMYFUNCTION("""COMPUTED_VALUE"""),"Dr, Carlos Velásquez Fermín")</f>
        <v>Dr, Carlos Velásquez Fermín</v>
      </c>
      <c r="P459" s="33" t="str">
        <f ca="1">IFERROR(__xludf.DUMMYFUNCTION("""COMPUTED_VALUE"""),"Iván Sánchez (Levante y Albacete)")</f>
        <v>Iván Sánchez (Levante y Albacete)</v>
      </c>
    </row>
    <row r="460" spans="2:16">
      <c r="B460" s="74">
        <f ca="1">IFERROR(__xludf.DUMMYFUNCTION("""COMPUTED_VALUE"""),2026)</f>
        <v>2026</v>
      </c>
      <c r="C460" s="56">
        <f ca="1">IFERROR(__xludf.DUMMYFUNCTION("""COMPUTED_VALUE"""),3)</f>
        <v>3</v>
      </c>
      <c r="D460" s="33" t="str">
        <f ca="1">IFERROR(__xludf.DUMMYFUNCTION("""COMPUTED_VALUE"""),"NO")</f>
        <v>NO</v>
      </c>
      <c r="E460" s="33" t="str">
        <f ca="1">IFERROR(__xludf.DUMMYFUNCTION("""COMPUTED_VALUE"""),"Orihuela")</f>
        <v>Orihuela</v>
      </c>
      <c r="F460" s="57">
        <f ca="1">IFERROR(__xludf.DUMMYFUNCTION("""COMPUTED_VALUE"""),46111)</f>
        <v>46111</v>
      </c>
      <c r="G460" s="57">
        <f ca="1">IFERROR(__xludf.DUMMYFUNCTION("""COMPUTED_VALUE"""),45838)</f>
        <v>45838</v>
      </c>
      <c r="H460" s="33" t="str">
        <f ca="1">IFERROR(__xludf.DUMMYFUNCTION("""COMPUTED_VALUE"""),"La Zenia")</f>
        <v>La Zenia</v>
      </c>
      <c r="I460" s="33" t="str">
        <f ca="1">IFERROR(__xludf.DUMMYFUNCTION("""COMPUTED_VALUE"""),"C202571171834930")</f>
        <v>C202571171834930</v>
      </c>
      <c r="J460" s="33" t="str">
        <f ca="1">IFERROR(__xludf.DUMMYFUNCTION("""COMPUTED_VALUE"""),"SOLANGE LAMIN")</f>
        <v>SOLANGE LAMIN</v>
      </c>
      <c r="K460" s="56">
        <f ca="1">IFERROR(__xludf.DUMMYFUNCTION("""COMPUTED_VALUE"""),1)</f>
        <v>1</v>
      </c>
      <c r="L460" s="62">
        <f ca="1">IFERROR(__xludf.DUMMYFUNCTION("""COMPUTED_VALUE"""),1631.82)</f>
        <v>1631.82</v>
      </c>
      <c r="M460" s="33" t="str">
        <f ca="1">IFERROR(__xludf.DUMMYFUNCTION("""COMPUTED_VALUE"""),"03 ORL")</f>
        <v>03 ORL</v>
      </c>
      <c r="N460" s="33" t="str">
        <f ca="1">IFERROR(__xludf.DUMMYFUNCTION("""COMPUTED_VALUE"""),"06 ORL")</f>
        <v>06 ORL</v>
      </c>
      <c r="O460" s="33" t="str">
        <f ca="1">IFERROR(__xludf.DUMMYFUNCTION("""COMPUTED_VALUE"""),"Dr, Carlos Velásquez Fermín")</f>
        <v>Dr, Carlos Velásquez Fermín</v>
      </c>
      <c r="P460" s="33" t="str">
        <f ca="1">IFERROR(__xludf.DUMMYFUNCTION("""COMPUTED_VALUE"""),"Iván Sánchez (Levante y Albacete)")</f>
        <v>Iván Sánchez (Levante y Albacete)</v>
      </c>
    </row>
    <row r="461" spans="2:16">
      <c r="B461" s="74">
        <f ca="1">IFERROR(__xludf.DUMMYFUNCTION("""COMPUTED_VALUE"""),2026)</f>
        <v>2026</v>
      </c>
      <c r="C461" s="56">
        <f ca="1">IFERROR(__xludf.DUMMYFUNCTION("""COMPUTED_VALUE"""),3)</f>
        <v>3</v>
      </c>
      <c r="D461" s="33" t="str">
        <f ca="1">IFERROR(__xludf.DUMMYFUNCTION("""COMPUTED_VALUE"""),"NO")</f>
        <v>NO</v>
      </c>
      <c r="E461" s="33" t="str">
        <f ca="1">IFERROR(__xludf.DUMMYFUNCTION("""COMPUTED_VALUE"""),"Madrid- Juan Bravo")</f>
        <v>Madrid- Juan Bravo</v>
      </c>
      <c r="F461" s="57">
        <f ca="1">IFERROR(__xludf.DUMMYFUNCTION("""COMPUTED_VALUE"""),46111)</f>
        <v>46111</v>
      </c>
      <c r="G461" s="57">
        <f ca="1">IFERROR(__xludf.DUMMYFUNCTION("""COMPUTED_VALUE"""),46078)</f>
        <v>46078</v>
      </c>
      <c r="H461" s="33" t="str">
        <f ca="1">IFERROR(__xludf.DUMMYFUNCTION("""COMPUTED_VALUE"""),"Juan Bravo")</f>
        <v>Juan Bravo</v>
      </c>
      <c r="I461" s="33" t="str">
        <f ca="1">IFERROR(__xludf.DUMMYFUNCTION("""COMPUTED_VALUE"""),"C202622510202918352")</f>
        <v>C202622510202918352</v>
      </c>
      <c r="J461" s="33" t="str">
        <f ca="1">IFERROR(__xludf.DUMMYFUNCTION("""COMPUTED_VALUE"""),"LIBOR  SECKA")</f>
        <v>LIBOR  SECKA</v>
      </c>
      <c r="K461" s="56">
        <f ca="1">IFERROR(__xludf.DUMMYFUNCTION("""COMPUTED_VALUE"""),2)</f>
        <v>2</v>
      </c>
      <c r="L461" s="62">
        <f ca="1">IFERROR(__xludf.DUMMYFUNCTION("""COMPUTED_VALUE"""),4154.22)</f>
        <v>4154.22</v>
      </c>
      <c r="M461" s="33" t="str">
        <f ca="1">IFERROR(__xludf.DUMMYFUNCTION("""COMPUTED_VALUE"""),"03 ORL")</f>
        <v>03 ORL</v>
      </c>
      <c r="N461" s="33" t="str">
        <f ca="1">IFERROR(__xludf.DUMMYFUNCTION("""COMPUTED_VALUE"""),"06 ORL")</f>
        <v>06 ORL</v>
      </c>
      <c r="O461" s="33" t="str">
        <f ca="1">IFERROR(__xludf.DUMMYFUNCTION("""COMPUTED_VALUE"""),"Dr, Carlos Barajas del Rosal")</f>
        <v>Dr, Carlos Barajas del Rosal</v>
      </c>
      <c r="P461" s="33" t="str">
        <f ca="1">IFERROR(__xludf.DUMMYFUNCTION("""COMPUTED_VALUE"""),"Lisandro Russian (Madrid, Cáceres, Toledo, Talavera y Logroño)")</f>
        <v>Lisandro Russian (Madrid, Cáceres, Toledo, Talavera y Logroño)</v>
      </c>
    </row>
    <row r="462" spans="2:16">
      <c r="B462" s="74">
        <f ca="1">IFERROR(__xludf.DUMMYFUNCTION("""COMPUTED_VALUE"""),2026)</f>
        <v>2026</v>
      </c>
      <c r="C462" s="56">
        <f ca="1">IFERROR(__xludf.DUMMYFUNCTION("""COMPUTED_VALUE"""),3)</f>
        <v>3</v>
      </c>
      <c r="D462" s="33" t="str">
        <f ca="1">IFERROR(__xludf.DUMMYFUNCTION("""COMPUTED_VALUE"""),"NO")</f>
        <v>NO</v>
      </c>
      <c r="E462" s="33" t="str">
        <f ca="1">IFERROR(__xludf.DUMMYFUNCTION("""COMPUTED_VALUE"""),"Murcia")</f>
        <v>Murcia</v>
      </c>
      <c r="F462" s="57">
        <f ca="1">IFERROR(__xludf.DUMMYFUNCTION("""COMPUTED_VALUE"""),46111)</f>
        <v>46111</v>
      </c>
      <c r="G462" s="57">
        <f ca="1">IFERROR(__xludf.DUMMYFUNCTION("""COMPUTED_VALUE"""),46079)</f>
        <v>46079</v>
      </c>
      <c r="H462" s="33" t="str">
        <f ca="1">IFERROR(__xludf.DUMMYFUNCTION("""COMPUTED_VALUE"""),"Murcia")</f>
        <v>Murcia</v>
      </c>
      <c r="I462" s="33" t="str">
        <f ca="1">IFERROR(__xludf.DUMMYFUNCTION("""COMPUTED_VALUE"""),"C202622617103051096")</f>
        <v>C202622617103051096</v>
      </c>
      <c r="J462" s="33" t="str">
        <f ca="1">IFERROR(__xludf.DUMMYFUNCTION("""COMPUTED_VALUE"""),"JOSE ALMAGRO MARMOL")</f>
        <v>JOSE ALMAGRO MARMOL</v>
      </c>
      <c r="K462" s="56">
        <f ca="1">IFERROR(__xludf.DUMMYFUNCTION("""COMPUTED_VALUE"""),1)</f>
        <v>1</v>
      </c>
      <c r="L462" s="62">
        <f ca="1">IFERROR(__xludf.DUMMYFUNCTION("""COMPUTED_VALUE"""),1631.82)</f>
        <v>1631.82</v>
      </c>
      <c r="M462" s="33" t="str">
        <f ca="1">IFERROR(__xludf.DUMMYFUNCTION("""COMPUTED_VALUE"""),"03 ORL")</f>
        <v>03 ORL</v>
      </c>
      <c r="N462" s="33" t="str">
        <f ca="1">IFERROR(__xludf.DUMMYFUNCTION("""COMPUTED_VALUE"""),"06 ORL")</f>
        <v>06 ORL</v>
      </c>
      <c r="O462" s="33" t="str">
        <f ca="1">IFERROR(__xludf.DUMMYFUNCTION("""COMPUTED_VALUE"""),"Dra, María Agustina Sevilla García")</f>
        <v>Dra, María Agustina Sevilla García</v>
      </c>
      <c r="P462" s="33" t="str">
        <f ca="1">IFERROR(__xludf.DUMMYFUNCTION("""COMPUTED_VALUE"""),"Iván Sánchez (Levante y Albacete)")</f>
        <v>Iván Sánchez (Levante y Albacete)</v>
      </c>
    </row>
    <row r="463" spans="2:16">
      <c r="B463" s="74">
        <f ca="1">IFERROR(__xludf.DUMMYFUNCTION("""COMPUTED_VALUE"""),2026)</f>
        <v>2026</v>
      </c>
      <c r="C463" s="56">
        <f ca="1">IFERROR(__xludf.DUMMYFUNCTION("""COMPUTED_VALUE"""),3)</f>
        <v>3</v>
      </c>
      <c r="D463" s="33" t="str">
        <f ca="1">IFERROR(__xludf.DUMMYFUNCTION("""COMPUTED_VALUE"""),"NO")</f>
        <v>NO</v>
      </c>
      <c r="E463" s="33" t="str">
        <f ca="1">IFERROR(__xludf.DUMMYFUNCTION("""COMPUTED_VALUE"""),"Madrid- Moratalaz")</f>
        <v>Madrid- Moratalaz</v>
      </c>
      <c r="F463" s="57">
        <f ca="1">IFERROR(__xludf.DUMMYFUNCTION("""COMPUTED_VALUE"""),46111)</f>
        <v>46111</v>
      </c>
      <c r="G463" s="57">
        <f ca="1">IFERROR(__xludf.DUMMYFUNCTION("""COMPUTED_VALUE"""),46094)</f>
        <v>46094</v>
      </c>
      <c r="H463" s="33" t="str">
        <f ca="1">IFERROR(__xludf.DUMMYFUNCTION("""COMPUTED_VALUE"""),"Moratalaz")</f>
        <v>Moratalaz</v>
      </c>
      <c r="I463" s="33" t="str">
        <f ca="1">IFERROR(__xludf.DUMMYFUNCTION("""COMPUTED_VALUE"""),"C202631312144876755")</f>
        <v>C202631312144876755</v>
      </c>
      <c r="J463" s="33" t="str">
        <f ca="1">IFERROR(__xludf.DUMMYFUNCTION("""COMPUTED_VALUE"""),"MARIA CARMONA AVILES")</f>
        <v>MARIA CARMONA AVILES</v>
      </c>
      <c r="K463" s="56">
        <f ca="1">IFERROR(__xludf.DUMMYFUNCTION("""COMPUTED_VALUE"""),1)</f>
        <v>1</v>
      </c>
      <c r="L463" s="62">
        <f ca="1">IFERROR(__xludf.DUMMYFUNCTION("""COMPUTED_VALUE"""),2357.73)</f>
        <v>2357.73</v>
      </c>
      <c r="M463" s="33" t="str">
        <f ca="1">IFERROR(__xludf.DUMMYFUNCTION("""COMPUTED_VALUE"""),"03 ORL")</f>
        <v>03 ORL</v>
      </c>
      <c r="N463" s="33" t="str">
        <f ca="1">IFERROR(__xludf.DUMMYFUNCTION("""COMPUTED_VALUE"""),"06 ORL")</f>
        <v>06 ORL</v>
      </c>
      <c r="O463" s="33" t="str">
        <f ca="1">IFERROR(__xludf.DUMMYFUNCTION("""COMPUTED_VALUE"""),"No recuerda ORL")</f>
        <v>No recuerda ORL</v>
      </c>
      <c r="P463" s="33" t="str">
        <f ca="1">IFERROR(__xludf.DUMMYFUNCTION("""COMPUTED_VALUE"""),"Maika Blázquez (Madrid)")</f>
        <v>Maika Blázquez (Madrid)</v>
      </c>
    </row>
    <row r="464" spans="2:16">
      <c r="B464" s="74">
        <f ca="1">IFERROR(__xludf.DUMMYFUNCTION("""COMPUTED_VALUE"""),2026)</f>
        <v>2026</v>
      </c>
      <c r="C464" s="56">
        <f ca="1">IFERROR(__xludf.DUMMYFUNCTION("""COMPUTED_VALUE"""),3)</f>
        <v>3</v>
      </c>
      <c r="D464" s="33" t="str">
        <f ca="1">IFERROR(__xludf.DUMMYFUNCTION("""COMPUTED_VALUE"""),"NO")</f>
        <v>NO</v>
      </c>
      <c r="E464" s="33" t="str">
        <f ca="1">IFERROR(__xludf.DUMMYFUNCTION("""COMPUTED_VALUE"""),"Madrid- Canillas")</f>
        <v>Madrid- Canillas</v>
      </c>
      <c r="F464" s="57">
        <f ca="1">IFERROR(__xludf.DUMMYFUNCTION("""COMPUTED_VALUE"""),46111)</f>
        <v>46111</v>
      </c>
      <c r="G464" s="57">
        <f ca="1">IFERROR(__xludf.DUMMYFUNCTION("""COMPUTED_VALUE"""),46069)</f>
        <v>46069</v>
      </c>
      <c r="H464" s="33" t="str">
        <f ca="1">IFERROR(__xludf.DUMMYFUNCTION("""COMPUTED_VALUE"""),"Canillas")</f>
        <v>Canillas</v>
      </c>
      <c r="I464" s="33" t="str">
        <f ca="1">IFERROR(__xludf.DUMMYFUNCTION("""COMPUTED_VALUE"""),"C202621612332097208")</f>
        <v>C202621612332097208</v>
      </c>
      <c r="J464" s="33" t="str">
        <f ca="1">IFERROR(__xludf.DUMMYFUNCTION("""COMPUTED_VALUE"""),"ELENA  GONZALEZ GONZALEZ")</f>
        <v>ELENA  GONZALEZ GONZALEZ</v>
      </c>
      <c r="K464" s="56">
        <f ca="1">IFERROR(__xludf.DUMMYFUNCTION("""COMPUTED_VALUE"""),2)</f>
        <v>2</v>
      </c>
      <c r="L464" s="62">
        <f ca="1">IFERROR(__xludf.DUMMYFUNCTION("""COMPUTED_VALUE"""),4136.36)</f>
        <v>4136.3599999999997</v>
      </c>
      <c r="M464" s="33" t="str">
        <f ca="1">IFERROR(__xludf.DUMMYFUNCTION("""COMPUTED_VALUE"""),"03 ORL")</f>
        <v>03 ORL</v>
      </c>
      <c r="N464" s="33" t="str">
        <f ca="1">IFERROR(__xludf.DUMMYFUNCTION("""COMPUTED_VALUE"""),"06 ORL")</f>
        <v>06 ORL</v>
      </c>
      <c r="O464" s="33" t="str">
        <f ca="1">IFERROR(__xludf.DUMMYFUNCTION("""COMPUTED_VALUE"""),"Dra, María del Mar Medina González")</f>
        <v>Dra, María del Mar Medina González</v>
      </c>
      <c r="P464" s="33" t="str">
        <f ca="1">IFERROR(__xludf.DUMMYFUNCTION("""COMPUTED_VALUE"""),"Maika Blázquez (Madrid)")</f>
        <v>Maika Blázquez (Madrid)</v>
      </c>
    </row>
    <row r="465" spans="2:16">
      <c r="B465" s="74">
        <f ca="1">IFERROR(__xludf.DUMMYFUNCTION("""COMPUTED_VALUE"""),2026)</f>
        <v>2026</v>
      </c>
      <c r="C465" s="56">
        <f ca="1">IFERROR(__xludf.DUMMYFUNCTION("""COMPUTED_VALUE"""),3)</f>
        <v>3</v>
      </c>
      <c r="D465" s="33" t="str">
        <f ca="1">IFERROR(__xludf.DUMMYFUNCTION("""COMPUTED_VALUE"""),"NO")</f>
        <v>NO</v>
      </c>
      <c r="E465" s="33" t="str">
        <f ca="1">IFERROR(__xludf.DUMMYFUNCTION("""COMPUTED_VALUE"""),"San Javier")</f>
        <v>San Javier</v>
      </c>
      <c r="F465" s="57">
        <f ca="1">IFERROR(__xludf.DUMMYFUNCTION("""COMPUTED_VALUE"""),46111)</f>
        <v>46111</v>
      </c>
      <c r="G465" s="57">
        <f ca="1">IFERROR(__xludf.DUMMYFUNCTION("""COMPUTED_VALUE"""),46079)</f>
        <v>46079</v>
      </c>
      <c r="H465" s="33" t="str">
        <f ca="1">IFERROR(__xludf.DUMMYFUNCTION("""COMPUTED_VALUE"""),"San Javier")</f>
        <v>San Javier</v>
      </c>
      <c r="I465" s="33" t="str">
        <f ca="1">IFERROR(__xludf.DUMMYFUNCTION("""COMPUTED_VALUE"""),"C202622610047193666")</f>
        <v>C202622610047193666</v>
      </c>
      <c r="J465" s="33" t="str">
        <f ca="1">IFERROR(__xludf.DUMMYFUNCTION("""COMPUTED_VALUE"""),"JOSEFA ISABEL MARIN GARCIA")</f>
        <v>JOSEFA ISABEL MARIN GARCIA</v>
      </c>
      <c r="K465" s="56">
        <f ca="1">IFERROR(__xludf.DUMMYFUNCTION("""COMPUTED_VALUE"""),2)</f>
        <v>2</v>
      </c>
      <c r="L465" s="62">
        <f ca="1">IFERROR(__xludf.DUMMYFUNCTION("""COMPUTED_VALUE"""),2718.18)</f>
        <v>2718.18</v>
      </c>
      <c r="M465" s="33" t="str">
        <f ca="1">IFERROR(__xludf.DUMMYFUNCTION("""COMPUTED_VALUE"""),"03 ORL")</f>
        <v>03 ORL</v>
      </c>
      <c r="N465" s="33" t="str">
        <f ca="1">IFERROR(__xludf.DUMMYFUNCTION("""COMPUTED_VALUE"""),"06 ORL")</f>
        <v>06 ORL</v>
      </c>
      <c r="O465" s="33" t="str">
        <f ca="1">IFERROR(__xludf.DUMMYFUNCTION("""COMPUTED_VALUE"""),"Dr, Andrés Barrios Recio")</f>
        <v>Dr, Andrés Barrios Recio</v>
      </c>
      <c r="P465" s="33" t="str">
        <f ca="1">IFERROR(__xludf.DUMMYFUNCTION("""COMPUTED_VALUE"""),"Iván Sánchez (Levante y Albacete)")</f>
        <v>Iván Sánchez (Levante y Albacete)</v>
      </c>
    </row>
    <row r="466" spans="2:16">
      <c r="B466" s="74">
        <f ca="1">IFERROR(__xludf.DUMMYFUNCTION("""COMPUTED_VALUE"""),2026)</f>
        <v>2026</v>
      </c>
      <c r="C466" s="56">
        <f ca="1">IFERROR(__xludf.DUMMYFUNCTION("""COMPUTED_VALUE"""),3)</f>
        <v>3</v>
      </c>
      <c r="D466" s="33" t="str">
        <f ca="1">IFERROR(__xludf.DUMMYFUNCTION("""COMPUTED_VALUE"""),"NO")</f>
        <v>NO</v>
      </c>
      <c r="E466" s="33" t="str">
        <f ca="1">IFERROR(__xludf.DUMMYFUNCTION("""COMPUTED_VALUE"""),"Logroño")</f>
        <v>Logroño</v>
      </c>
      <c r="F466" s="57">
        <f ca="1">IFERROR(__xludf.DUMMYFUNCTION("""COMPUTED_VALUE"""),46111)</f>
        <v>46111</v>
      </c>
      <c r="G466" s="57">
        <f ca="1">IFERROR(__xludf.DUMMYFUNCTION("""COMPUTED_VALUE"""),46069)</f>
        <v>46069</v>
      </c>
      <c r="H466" s="33" t="str">
        <f ca="1">IFERROR(__xludf.DUMMYFUNCTION("""COMPUTED_VALUE"""),"Logroño")</f>
        <v>Logroño</v>
      </c>
      <c r="I466" s="33" t="str">
        <f ca="1">IFERROR(__xludf.DUMMYFUNCTION("""COMPUTED_VALUE"""),"C202621692621997748")</f>
        <v>C202621692621997748</v>
      </c>
      <c r="J466" s="33" t="str">
        <f ca="1">IFERROR(__xludf.DUMMYFUNCTION("""COMPUTED_VALUE"""),"TERESA LERIA RUBIO")</f>
        <v>TERESA LERIA RUBIO</v>
      </c>
      <c r="K466" s="56">
        <f ca="1">IFERROR(__xludf.DUMMYFUNCTION("""COMPUTED_VALUE"""),2)</f>
        <v>2</v>
      </c>
      <c r="L466" s="62">
        <f ca="1">IFERROR(__xludf.DUMMYFUNCTION("""COMPUTED_VALUE"""),4136.36)</f>
        <v>4136.3599999999997</v>
      </c>
      <c r="M466" s="33" t="str">
        <f ca="1">IFERROR(__xludf.DUMMYFUNCTION("""COMPUTED_VALUE"""),"03 ORL")</f>
        <v>03 ORL</v>
      </c>
      <c r="N466" s="33" t="str">
        <f ca="1">IFERROR(__xludf.DUMMYFUNCTION("""COMPUTED_VALUE"""),"06 ORL")</f>
        <v>06 ORL</v>
      </c>
      <c r="O466" s="33" t="str">
        <f ca="1">IFERROR(__xludf.DUMMYFUNCTION("""COMPUTED_VALUE"""),"No recuerda ORL")</f>
        <v>No recuerda ORL</v>
      </c>
      <c r="P466" s="33" t="str">
        <f ca="1">IFERROR(__xludf.DUMMYFUNCTION("""COMPUTED_VALUE"""),"Lisandro Russian (Madrid, Cáceres, Toledo, Talavera y Logroño)")</f>
        <v>Lisandro Russian (Madrid, Cáceres, Toledo, Talavera y Logroño)</v>
      </c>
    </row>
    <row r="467" spans="2:16">
      <c r="B467" s="74">
        <f ca="1">IFERROR(__xludf.DUMMYFUNCTION("""COMPUTED_VALUE"""),2026)</f>
        <v>2026</v>
      </c>
      <c r="C467" s="56">
        <f ca="1">IFERROR(__xludf.DUMMYFUNCTION("""COMPUTED_VALUE"""),3)</f>
        <v>3</v>
      </c>
      <c r="D467" s="33" t="str">
        <f ca="1">IFERROR(__xludf.DUMMYFUNCTION("""COMPUTED_VALUE"""),"NO")</f>
        <v>NO</v>
      </c>
      <c r="E467" s="33" t="str">
        <f ca="1">IFERROR(__xludf.DUMMYFUNCTION("""COMPUTED_VALUE"""),"León")</f>
        <v>León</v>
      </c>
      <c r="F467" s="57">
        <f ca="1">IFERROR(__xludf.DUMMYFUNCTION("""COMPUTED_VALUE"""),46112)</f>
        <v>46112</v>
      </c>
      <c r="G467" s="57">
        <f ca="1">IFERROR(__xludf.DUMMYFUNCTION("""COMPUTED_VALUE"""),46065)</f>
        <v>46065</v>
      </c>
      <c r="H467" s="33" t="str">
        <f ca="1">IFERROR(__xludf.DUMMYFUNCTION("""COMPUTED_VALUE"""),"León")</f>
        <v>León</v>
      </c>
      <c r="I467" s="33" t="str">
        <f ca="1">IFERROR(__xludf.DUMMYFUNCTION("""COMPUTED_VALUE"""),"C202621216935172983")</f>
        <v>C202621216935172983</v>
      </c>
      <c r="J467" s="33" t="str">
        <f ca="1">IFERROR(__xludf.DUMMYFUNCTION("""COMPUTED_VALUE"""),"Natividad Martinez Torre")</f>
        <v>Natividad Martinez Torre</v>
      </c>
      <c r="K467" s="56">
        <f ca="1">IFERROR(__xludf.DUMMYFUNCTION("""COMPUTED_VALUE"""),1)</f>
        <v>1</v>
      </c>
      <c r="L467" s="62">
        <f ca="1">IFERROR(__xludf.DUMMYFUNCTION("""COMPUTED_VALUE"""),3743.18)</f>
        <v>3743.18</v>
      </c>
      <c r="M467" s="33" t="str">
        <f ca="1">IFERROR(__xludf.DUMMYFUNCTION("""COMPUTED_VALUE"""),"03 ORL")</f>
        <v>03 ORL</v>
      </c>
      <c r="N467" s="33" t="str">
        <f ca="1">IFERROR(__xludf.DUMMYFUNCTION("""COMPUTED_VALUE"""),"06 ORL")</f>
        <v>06 ORL</v>
      </c>
      <c r="O467" s="33" t="str">
        <f ca="1">IFERROR(__xludf.DUMMYFUNCTION("""COMPUTED_VALUE"""),"Dr, Alejandro Harguindey Antoli-Candela")</f>
        <v>Dr, Alejandro Harguindey Antoli-Candela</v>
      </c>
      <c r="P467" s="33" t="str">
        <f ca="1">IFERROR(__xludf.DUMMYFUNCTION("""COMPUTED_VALUE"""),"Maika Blázquez (Madrid)")</f>
        <v>Maika Blázquez (Madrid)</v>
      </c>
    </row>
    <row r="468" spans="2:16">
      <c r="B468" s="74">
        <f ca="1">IFERROR(__xludf.DUMMYFUNCTION("""COMPUTED_VALUE"""),2026)</f>
        <v>2026</v>
      </c>
      <c r="C468" s="56">
        <f ca="1">IFERROR(__xludf.DUMMYFUNCTION("""COMPUTED_VALUE"""),3)</f>
        <v>3</v>
      </c>
      <c r="D468" s="33" t="str">
        <f ca="1">IFERROR(__xludf.DUMMYFUNCTION("""COMPUTED_VALUE"""),"NO")</f>
        <v>NO</v>
      </c>
      <c r="E468" s="33" t="str">
        <f ca="1">IFERROR(__xludf.DUMMYFUNCTION("""COMPUTED_VALUE"""),"Murcia")</f>
        <v>Murcia</v>
      </c>
      <c r="F468" s="57">
        <f ca="1">IFERROR(__xludf.DUMMYFUNCTION("""COMPUTED_VALUE"""),46112)</f>
        <v>46112</v>
      </c>
      <c r="G468" s="57">
        <f ca="1">IFERROR(__xludf.DUMMYFUNCTION("""COMPUTED_VALUE"""),46071)</f>
        <v>46071</v>
      </c>
      <c r="H468" s="33" t="str">
        <f ca="1">IFERROR(__xludf.DUMMYFUNCTION("""COMPUTED_VALUE"""),"Murcia")</f>
        <v>Murcia</v>
      </c>
      <c r="I468" s="33" t="str">
        <f ca="1">IFERROR(__xludf.DUMMYFUNCTION("""COMPUTED_VALUE"""),"C202621816286922226")</f>
        <v>C202621816286922226</v>
      </c>
      <c r="J468" s="33" t="str">
        <f ca="1">IFERROR(__xludf.DUMMYFUNCTION("""COMPUTED_VALUE"""),"JOELLE MANTELET")</f>
        <v>JOELLE MANTELET</v>
      </c>
      <c r="K468" s="56">
        <f ca="1">IFERROR(__xludf.DUMMYFUNCTION("""COMPUTED_VALUE"""),2)</f>
        <v>2</v>
      </c>
      <c r="L468" s="62">
        <f ca="1">IFERROR(__xludf.DUMMYFUNCTION("""COMPUTED_VALUE"""),2718.18)</f>
        <v>2718.18</v>
      </c>
      <c r="M468" s="33" t="str">
        <f ca="1">IFERROR(__xludf.DUMMYFUNCTION("""COMPUTED_VALUE"""),"03 ORL")</f>
        <v>03 ORL</v>
      </c>
      <c r="N468" s="33" t="str">
        <f ca="1">IFERROR(__xludf.DUMMYFUNCTION("""COMPUTED_VALUE"""),"06 ORL")</f>
        <v>06 ORL</v>
      </c>
      <c r="O468" s="33" t="str">
        <f ca="1">IFERROR(__xludf.DUMMYFUNCTION("""COMPUTED_VALUE"""),"Dra, Nuria Salas Barrio")</f>
        <v>Dra, Nuria Salas Barrio</v>
      </c>
      <c r="P468" s="33" t="str">
        <f ca="1">IFERROR(__xludf.DUMMYFUNCTION("""COMPUTED_VALUE"""),"Iván Sánchez (Levante y Albacete)")</f>
        <v>Iván Sánchez (Levante y Albacete)</v>
      </c>
    </row>
    <row r="469" spans="2:16">
      <c r="B469" s="74">
        <f ca="1">IFERROR(__xludf.DUMMYFUNCTION("""COMPUTED_VALUE"""),2026)</f>
        <v>2026</v>
      </c>
      <c r="C469" s="56">
        <f ca="1">IFERROR(__xludf.DUMMYFUNCTION("""COMPUTED_VALUE"""),3)</f>
        <v>3</v>
      </c>
      <c r="D469" s="33" t="str">
        <f ca="1">IFERROR(__xludf.DUMMYFUNCTION("""COMPUTED_VALUE"""),"NO")</f>
        <v>NO</v>
      </c>
      <c r="E469" s="33" t="str">
        <f ca="1">IFERROR(__xludf.DUMMYFUNCTION("""COMPUTED_VALUE"""),"Madrid- Costa Rica")</f>
        <v>Madrid- Costa Rica</v>
      </c>
      <c r="F469" s="57">
        <f ca="1">IFERROR(__xludf.DUMMYFUNCTION("""COMPUTED_VALUE"""),46112)</f>
        <v>46112</v>
      </c>
      <c r="G469" s="57">
        <f ca="1">IFERROR(__xludf.DUMMYFUNCTION("""COMPUTED_VALUE"""),45973)</f>
        <v>45973</v>
      </c>
      <c r="H469" s="33" t="str">
        <f ca="1">IFERROR(__xludf.DUMMYFUNCTION("""COMPUTED_VALUE"""),"Costa Rica")</f>
        <v>Costa Rica</v>
      </c>
      <c r="I469" s="33" t="str">
        <f ca="1">IFERROR(__xludf.DUMMYFUNCTION("""COMPUTED_VALUE"""),"C202511121256727364")</f>
        <v>C202511121256727364</v>
      </c>
      <c r="J469" s="33" t="str">
        <f ca="1">IFERROR(__xludf.DUMMYFUNCTION("""COMPUTED_VALUE"""),"PEDRO  SAEZ GARCIA")</f>
        <v>PEDRO  SAEZ GARCIA</v>
      </c>
      <c r="K469" s="56">
        <f ca="1">IFERROR(__xludf.DUMMYFUNCTION("""COMPUTED_VALUE"""),-1)</f>
        <v>-1</v>
      </c>
      <c r="L469" s="62">
        <f ca="1">IFERROR(__xludf.DUMMYFUNCTION("""COMPUTED_VALUE"""),-1631.82)</f>
        <v>-1631.82</v>
      </c>
      <c r="M469" s="33" t="str">
        <f ca="1">IFERROR(__xludf.DUMMYFUNCTION("""COMPUTED_VALUE"""),"03 ORL")</f>
        <v>03 ORL</v>
      </c>
      <c r="N469" s="33" t="str">
        <f ca="1">IFERROR(__xludf.DUMMYFUNCTION("""COMPUTED_VALUE"""),"06 ORL")</f>
        <v>06 ORL</v>
      </c>
      <c r="O469" s="33" t="str">
        <f ca="1">IFERROR(__xludf.DUMMYFUNCTION("""COMPUTED_VALUE"""),"Dr. Luis Jiménez Ferreres")</f>
        <v>Dr. Luis Jiménez Ferreres</v>
      </c>
      <c r="P469" s="33" t="str">
        <f ca="1">IFERROR(__xludf.DUMMYFUNCTION("""COMPUTED_VALUE"""),"Lisandro Russian (Madrid, Cáceres, Toledo, Talavera y Logroño)")</f>
        <v>Lisandro Russian (Madrid, Cáceres, Toledo, Talavera y Logroño)</v>
      </c>
    </row>
    <row r="470" spans="2:16">
      <c r="B470" s="74">
        <f ca="1">IFERROR(__xludf.DUMMYFUNCTION("""COMPUTED_VALUE"""),2026)</f>
        <v>2026</v>
      </c>
      <c r="C470" s="56">
        <f ca="1">IFERROR(__xludf.DUMMYFUNCTION("""COMPUTED_VALUE"""),3)</f>
        <v>3</v>
      </c>
      <c r="D470" s="33" t="str">
        <f ca="1">IFERROR(__xludf.DUMMYFUNCTION("""COMPUTED_VALUE"""),"NO")</f>
        <v>NO</v>
      </c>
      <c r="E470" s="33" t="str">
        <f ca="1">IFERROR(__xludf.DUMMYFUNCTION("""COMPUTED_VALUE"""),"Albacete")</f>
        <v>Albacete</v>
      </c>
      <c r="F470" s="57">
        <f ca="1">IFERROR(__xludf.DUMMYFUNCTION("""COMPUTED_VALUE"""),46112)</f>
        <v>46112</v>
      </c>
      <c r="G470" s="57">
        <f ca="1">IFERROR(__xludf.DUMMYFUNCTION("""COMPUTED_VALUE"""),46077)</f>
        <v>46077</v>
      </c>
      <c r="H470" s="33" t="str">
        <f ca="1">IFERROR(__xludf.DUMMYFUNCTION("""COMPUTED_VALUE"""),"Albacete")</f>
        <v>Albacete</v>
      </c>
      <c r="I470" s="33" t="str">
        <f ca="1">IFERROR(__xludf.DUMMYFUNCTION("""COMPUTED_VALUE"""),"C202622415411463016")</f>
        <v>C202622415411463016</v>
      </c>
      <c r="J470" s="33" t="str">
        <f ca="1">IFERROR(__xludf.DUMMYFUNCTION("""COMPUTED_VALUE"""),"PALMIRA MUELA AZORIN")</f>
        <v>PALMIRA MUELA AZORIN</v>
      </c>
      <c r="K470" s="56">
        <f ca="1">IFERROR(__xludf.DUMMYFUNCTION("""COMPUTED_VALUE"""),2)</f>
        <v>2</v>
      </c>
      <c r="L470" s="62">
        <f ca="1">IFERROR(__xludf.DUMMYFUNCTION("""COMPUTED_VALUE"""),2818.18)</f>
        <v>2818.18</v>
      </c>
      <c r="M470" s="33" t="str">
        <f ca="1">IFERROR(__xludf.DUMMYFUNCTION("""COMPUTED_VALUE"""),"03 ORL")</f>
        <v>03 ORL</v>
      </c>
      <c r="N470" s="33" t="str">
        <f ca="1">IFERROR(__xludf.DUMMYFUNCTION("""COMPUTED_VALUE"""),"06 ORL")</f>
        <v>06 ORL</v>
      </c>
      <c r="O470" s="33" t="str">
        <f ca="1">IFERROR(__xludf.DUMMYFUNCTION("""COMPUTED_VALUE"""),"Dra, Alejandra Jara Maquilón")</f>
        <v>Dra, Alejandra Jara Maquilón</v>
      </c>
      <c r="P470" s="33" t="str">
        <f ca="1">IFERROR(__xludf.DUMMYFUNCTION("""COMPUTED_VALUE"""),"Iván Sánchez (Levante y Albacete)")</f>
        <v>Iván Sánchez (Levante y Albacete)</v>
      </c>
    </row>
    <row r="471" spans="2:16">
      <c r="B471" s="74">
        <f ca="1">IFERROR(__xludf.DUMMYFUNCTION("""COMPUTED_VALUE"""),2026)</f>
        <v>2026</v>
      </c>
      <c r="C471" s="56">
        <f ca="1">IFERROR(__xludf.DUMMYFUNCTION("""COMPUTED_VALUE"""),3)</f>
        <v>3</v>
      </c>
      <c r="D471" s="33" t="str">
        <f ca="1">IFERROR(__xludf.DUMMYFUNCTION("""COMPUTED_VALUE"""),"NO")</f>
        <v>NO</v>
      </c>
      <c r="E471" s="33" t="str">
        <f ca="1">IFERROR(__xludf.DUMMYFUNCTION("""COMPUTED_VALUE"""),"Murcia")</f>
        <v>Murcia</v>
      </c>
      <c r="F471" s="57">
        <f ca="1">IFERROR(__xludf.DUMMYFUNCTION("""COMPUTED_VALUE"""),46112)</f>
        <v>46112</v>
      </c>
      <c r="G471" s="57">
        <f ca="1">IFERROR(__xludf.DUMMYFUNCTION("""COMPUTED_VALUE"""),45308)</f>
        <v>45308</v>
      </c>
      <c r="H471" s="33" t="str">
        <f ca="1">IFERROR(__xludf.DUMMYFUNCTION("""COMPUTED_VALUE"""),"Murcia")</f>
        <v>Murcia</v>
      </c>
      <c r="I471" s="33" t="str">
        <f ca="1">IFERROR(__xludf.DUMMYFUNCTION("""COMPUTED_VALUE"""),"MUR-1812")</f>
        <v>MUR-1812</v>
      </c>
      <c r="J471" s="33" t="str">
        <f ca="1">IFERROR(__xludf.DUMMYFUNCTION("""COMPUTED_VALUE"""),"MARIA PILAR FERNANDEZ-PACHECO PEREZ")</f>
        <v>MARIA PILAR FERNANDEZ-PACHECO PEREZ</v>
      </c>
      <c r="K471" s="56">
        <f ca="1">IFERROR(__xludf.DUMMYFUNCTION("""COMPUTED_VALUE"""),1)</f>
        <v>1</v>
      </c>
      <c r="L471" s="62">
        <f ca="1">IFERROR(__xludf.DUMMYFUNCTION("""COMPUTED_VALUE"""),2482.69)</f>
        <v>2482.69</v>
      </c>
      <c r="M471" s="33" t="str">
        <f ca="1">IFERROR(__xludf.DUMMYFUNCTION("""COMPUTED_VALUE"""),"03 ORL")</f>
        <v>03 ORL</v>
      </c>
      <c r="N471" s="33" t="str">
        <f ca="1">IFERROR(__xludf.DUMMYFUNCTION("""COMPUTED_VALUE"""),"06 ORL")</f>
        <v>06 ORL</v>
      </c>
      <c r="O471" s="33" t="str">
        <f ca="1">IFERROR(__xludf.DUMMYFUNCTION("""COMPUTED_VALUE"""),"Dra, Ana Giribet Fernandez-Pacheco")</f>
        <v>Dra, Ana Giribet Fernandez-Pacheco</v>
      </c>
      <c r="P471" s="33" t="str">
        <f ca="1">IFERROR(__xludf.DUMMYFUNCTION("""COMPUTED_VALUE"""),"Iván Sánchez (Levante y Albacete)")</f>
        <v>Iván Sánchez (Levante y Albacete)</v>
      </c>
    </row>
    <row r="472" spans="2:16">
      <c r="B472" s="74">
        <f ca="1">IFERROR(__xludf.DUMMYFUNCTION("""COMPUTED_VALUE"""),2026)</f>
        <v>2026</v>
      </c>
      <c r="C472" s="56">
        <f ca="1">IFERROR(__xludf.DUMMYFUNCTION("""COMPUTED_VALUE"""),3)</f>
        <v>3</v>
      </c>
      <c r="D472" s="33" t="str">
        <f ca="1">IFERROR(__xludf.DUMMYFUNCTION("""COMPUTED_VALUE"""),"NO")</f>
        <v>NO</v>
      </c>
      <c r="E472" s="33" t="str">
        <f ca="1">IFERROR(__xludf.DUMMYFUNCTION("""COMPUTED_VALUE"""),"Getafe")</f>
        <v>Getafe</v>
      </c>
      <c r="F472" s="57">
        <f ca="1">IFERROR(__xludf.DUMMYFUNCTION("""COMPUTED_VALUE"""),46112)</f>
        <v>46112</v>
      </c>
      <c r="G472" s="57">
        <f ca="1">IFERROR(__xludf.DUMMYFUNCTION("""COMPUTED_VALUE"""),46078)</f>
        <v>46078</v>
      </c>
      <c r="H472" s="33" t="str">
        <f ca="1">IFERROR(__xludf.DUMMYFUNCTION("""COMPUTED_VALUE"""),"Getafe")</f>
        <v>Getafe</v>
      </c>
      <c r="I472" s="33" t="str">
        <f ca="1">IFERROR(__xludf.DUMMYFUNCTION("""COMPUTED_VALUE"""),"C202622510205223542")</f>
        <v>C202622510205223542</v>
      </c>
      <c r="J472" s="33" t="str">
        <f ca="1">IFERROR(__xludf.DUMMYFUNCTION("""COMPUTED_VALUE"""),"ESPERANZA IZQUIERDO LUIS")</f>
        <v>ESPERANZA IZQUIERDO LUIS</v>
      </c>
      <c r="K472" s="56">
        <f ca="1">IFERROR(__xludf.DUMMYFUNCTION("""COMPUTED_VALUE"""),2)</f>
        <v>2</v>
      </c>
      <c r="L472" s="62">
        <f ca="1">IFERROR(__xludf.DUMMYFUNCTION("""COMPUTED_VALUE"""),3450)</f>
        <v>3450</v>
      </c>
      <c r="M472" s="33" t="str">
        <f ca="1">IFERROR(__xludf.DUMMYFUNCTION("""COMPUTED_VALUE"""),"03 ORL")</f>
        <v>03 ORL</v>
      </c>
      <c r="N472" s="33" t="str">
        <f ca="1">IFERROR(__xludf.DUMMYFUNCTION("""COMPUTED_VALUE"""),"06 ORL")</f>
        <v>06 ORL</v>
      </c>
      <c r="O472" s="33" t="str">
        <f ca="1">IFERROR(__xludf.DUMMYFUNCTION("""COMPUTED_VALUE"""),"Dra, Cristina Herrero Fernández")</f>
        <v>Dra, Cristina Herrero Fernández</v>
      </c>
      <c r="P472" s="33" t="str">
        <f ca="1">IFERROR(__xludf.DUMMYFUNCTION("""COMPUTED_VALUE"""),"Maika Blázquez (Madrid)")</f>
        <v>Maika Blázquez (Madrid)</v>
      </c>
    </row>
    <row r="473" spans="2:16">
      <c r="B473" s="74">
        <f ca="1">IFERROR(__xludf.DUMMYFUNCTION("""COMPUTED_VALUE"""),2026)</f>
        <v>2026</v>
      </c>
      <c r="C473" s="56">
        <f ca="1">IFERROR(__xludf.DUMMYFUNCTION("""COMPUTED_VALUE"""),3)</f>
        <v>3</v>
      </c>
      <c r="D473" s="33" t="str">
        <f ca="1">IFERROR(__xludf.DUMMYFUNCTION("""COMPUTED_VALUE"""),"NO")</f>
        <v>NO</v>
      </c>
      <c r="E473" s="33" t="str">
        <f ca="1">IFERROR(__xludf.DUMMYFUNCTION("""COMPUTED_VALUE"""),"Leganés")</f>
        <v>Leganés</v>
      </c>
      <c r="F473" s="57">
        <f ca="1">IFERROR(__xludf.DUMMYFUNCTION("""COMPUTED_VALUE"""),46112)</f>
        <v>46112</v>
      </c>
      <c r="G473" s="57">
        <f ca="1">IFERROR(__xludf.DUMMYFUNCTION("""COMPUTED_VALUE"""),46070)</f>
        <v>46070</v>
      </c>
      <c r="H473" s="33" t="str">
        <f ca="1">IFERROR(__xludf.DUMMYFUNCTION("""COMPUTED_VALUE"""),"Leganés")</f>
        <v>Leganés</v>
      </c>
      <c r="I473" s="33" t="str">
        <f ca="1">IFERROR(__xludf.DUMMYFUNCTION("""COMPUTED_VALUE"""),"C202621718264768381")</f>
        <v>C202621718264768381</v>
      </c>
      <c r="J473" s="33" t="str">
        <f ca="1">IFERROR(__xludf.DUMMYFUNCTION("""COMPUTED_VALUE"""),"TERESA CHAMORRO LÓPEZ")</f>
        <v>TERESA CHAMORRO LÓPEZ</v>
      </c>
      <c r="K473" s="56">
        <f ca="1">IFERROR(__xludf.DUMMYFUNCTION("""COMPUTED_VALUE"""),2)</f>
        <v>2</v>
      </c>
      <c r="L473" s="62">
        <f ca="1">IFERROR(__xludf.DUMMYFUNCTION("""COMPUTED_VALUE"""),2718.18)</f>
        <v>2718.18</v>
      </c>
      <c r="M473" s="33" t="str">
        <f ca="1">IFERROR(__xludf.DUMMYFUNCTION("""COMPUTED_VALUE"""),"03 ORL")</f>
        <v>03 ORL</v>
      </c>
      <c r="N473" s="33" t="str">
        <f ca="1">IFERROR(__xludf.DUMMYFUNCTION("""COMPUTED_VALUE"""),"06 ORL")</f>
        <v>06 ORL</v>
      </c>
      <c r="O473" s="33" t="str">
        <f ca="1">IFERROR(__xludf.DUMMYFUNCTION("""COMPUTED_VALUE"""),"Dra, Elena Martín Bejerano")</f>
        <v>Dra, Elena Martín Bejerano</v>
      </c>
      <c r="P473" s="33" t="str">
        <f ca="1">IFERROR(__xludf.DUMMYFUNCTION("""COMPUTED_VALUE"""),"Maika Blázquez (Madrid)")</f>
        <v>Maika Blázquez (Madrid)</v>
      </c>
    </row>
    <row r="474" spans="2:16">
      <c r="B474" s="74">
        <f ca="1">IFERROR(__xludf.DUMMYFUNCTION("""COMPUTED_VALUE"""),2026)</f>
        <v>2026</v>
      </c>
      <c r="C474" s="56">
        <f ca="1">IFERROR(__xludf.DUMMYFUNCTION("""COMPUTED_VALUE"""),3)</f>
        <v>3</v>
      </c>
      <c r="D474" s="33" t="str">
        <f ca="1">IFERROR(__xludf.DUMMYFUNCTION("""COMPUTED_VALUE"""),"NO")</f>
        <v>NO</v>
      </c>
      <c r="E474" s="33" t="str">
        <f ca="1">IFERROR(__xludf.DUMMYFUNCTION("""COMPUTED_VALUE"""),"Murcia")</f>
        <v>Murcia</v>
      </c>
      <c r="F474" s="57">
        <f ca="1">IFERROR(__xludf.DUMMYFUNCTION("""COMPUTED_VALUE"""),46112)</f>
        <v>46112</v>
      </c>
      <c r="G474" s="57">
        <f ca="1">IFERROR(__xludf.DUMMYFUNCTION("""COMPUTED_VALUE"""),46056)</f>
        <v>46056</v>
      </c>
      <c r="H474" s="33" t="str">
        <f ca="1">IFERROR(__xludf.DUMMYFUNCTION("""COMPUTED_VALUE"""),"Murcia")</f>
        <v>Murcia</v>
      </c>
      <c r="I474" s="33" t="str">
        <f ca="1">IFERROR(__xludf.DUMMYFUNCTION("""COMPUTED_VALUE"""),"C202623101617395124")</f>
        <v>C202623101617395124</v>
      </c>
      <c r="J474" s="33" t="str">
        <f ca="1">IFERROR(__xludf.DUMMYFUNCTION("""COMPUTED_VALUE"""),"MANUEL FERNANDEZ GALLEGO")</f>
        <v>MANUEL FERNANDEZ GALLEGO</v>
      </c>
      <c r="K474" s="56">
        <f ca="1">IFERROR(__xludf.DUMMYFUNCTION("""COMPUTED_VALUE"""),2)</f>
        <v>2</v>
      </c>
      <c r="L474" s="62">
        <f ca="1">IFERROR(__xludf.DUMMYFUNCTION("""COMPUTED_VALUE"""),4136.36)</f>
        <v>4136.3599999999997</v>
      </c>
      <c r="M474" s="33" t="str">
        <f ca="1">IFERROR(__xludf.DUMMYFUNCTION("""COMPUTED_VALUE"""),"03 ORL")</f>
        <v>03 ORL</v>
      </c>
      <c r="N474" s="33" t="str">
        <f ca="1">IFERROR(__xludf.DUMMYFUNCTION("""COMPUTED_VALUE"""),"22 AUDIOMETRIA CLINICA")</f>
        <v>22 AUDIOMETRIA CLINICA</v>
      </c>
      <c r="O474" s="33" t="str">
        <f ca="1">IFERROR(__xludf.DUMMYFUNCTION("""COMPUTED_VALUE"""),"Dra, María Agustina Sevilla García")</f>
        <v>Dra, María Agustina Sevilla García</v>
      </c>
      <c r="P474" s="33" t="str">
        <f ca="1">IFERROR(__xludf.DUMMYFUNCTION("""COMPUTED_VALUE"""),"Iván Sánchez (Levante y Albacete)")</f>
        <v>Iván Sánchez (Levante y Albacete)</v>
      </c>
    </row>
    <row r="475" spans="2:16">
      <c r="B475" s="74">
        <f ca="1">IFERROR(__xludf.DUMMYFUNCTION("""COMPUTED_VALUE"""),2026)</f>
        <v>2026</v>
      </c>
      <c r="C475" s="56">
        <f ca="1">IFERROR(__xludf.DUMMYFUNCTION("""COMPUTED_VALUE"""),3)</f>
        <v>3</v>
      </c>
      <c r="D475" s="33" t="str">
        <f ca="1">IFERROR(__xludf.DUMMYFUNCTION("""COMPUTED_VALUE"""),"NO")</f>
        <v>NO</v>
      </c>
      <c r="E475" s="33" t="str">
        <f ca="1">IFERROR(__xludf.DUMMYFUNCTION("""COMPUTED_VALUE"""),"Salamanca")</f>
        <v>Salamanca</v>
      </c>
      <c r="F475" s="57">
        <f ca="1">IFERROR(__xludf.DUMMYFUNCTION("""COMPUTED_VALUE"""),46112)</f>
        <v>46112</v>
      </c>
      <c r="G475" s="57">
        <f ca="1">IFERROR(__xludf.DUMMYFUNCTION("""COMPUTED_VALUE"""),46071)</f>
        <v>46071</v>
      </c>
      <c r="H475" s="33" t="str">
        <f ca="1">IFERROR(__xludf.DUMMYFUNCTION("""COMPUTED_VALUE"""),"Salamanca")</f>
        <v>Salamanca</v>
      </c>
      <c r="I475" s="33" t="str">
        <f ca="1">IFERROR(__xludf.DUMMYFUNCTION("""COMPUTED_VALUE"""),"C202621812193368454")</f>
        <v>C202621812193368454</v>
      </c>
      <c r="J475" s="33" t="str">
        <f ca="1">IFERROR(__xludf.DUMMYFUNCTION("""COMPUTED_VALUE"""),"Carmen Guinarte Perez")</f>
        <v>Carmen Guinarte Perez</v>
      </c>
      <c r="K475" s="56">
        <f ca="1">IFERROR(__xludf.DUMMYFUNCTION("""COMPUTED_VALUE"""),2)</f>
        <v>2</v>
      </c>
      <c r="L475" s="62">
        <f ca="1">IFERROR(__xludf.DUMMYFUNCTION("""COMPUTED_VALUE"""),3730)</f>
        <v>3730</v>
      </c>
      <c r="M475" s="33" t="str">
        <f ca="1">IFERROR(__xludf.DUMMYFUNCTION("""COMPUTED_VALUE"""),"03 ORL")</f>
        <v>03 ORL</v>
      </c>
      <c r="N475" s="33" t="str">
        <f ca="1">IFERROR(__xludf.DUMMYFUNCTION("""COMPUTED_VALUE"""),"06 ORL")</f>
        <v>06 ORL</v>
      </c>
      <c r="O475" s="33" t="str">
        <f ca="1">IFERROR(__xludf.DUMMYFUNCTION("""COMPUTED_VALUE"""),"Dr, Ángel Muñoz Herrera")</f>
        <v>Dr, Ángel Muñoz Herrera</v>
      </c>
      <c r="P475" s="33" t="str">
        <f ca="1">IFERROR(__xludf.DUMMYFUNCTION("""COMPUTED_VALUE"""),"Alberto Moreno (Madrid)")</f>
        <v>Alberto Moreno (Madrid)</v>
      </c>
    </row>
    <row r="476" spans="2:16">
      <c r="B476" s="74">
        <f ca="1">IFERROR(__xludf.DUMMYFUNCTION("""COMPUTED_VALUE"""),2026)</f>
        <v>2026</v>
      </c>
      <c r="C476" s="56">
        <f ca="1">IFERROR(__xludf.DUMMYFUNCTION("""COMPUTED_VALUE"""),3)</f>
        <v>3</v>
      </c>
      <c r="D476" s="33" t="str">
        <f ca="1">IFERROR(__xludf.DUMMYFUNCTION("""COMPUTED_VALUE"""),"NO")</f>
        <v>NO</v>
      </c>
      <c r="E476" s="33" t="str">
        <f ca="1">IFERROR(__xludf.DUMMYFUNCTION("""COMPUTED_VALUE"""),"Leganés")</f>
        <v>Leganés</v>
      </c>
      <c r="F476" s="57">
        <f ca="1">IFERROR(__xludf.DUMMYFUNCTION("""COMPUTED_VALUE"""),46112)</f>
        <v>46112</v>
      </c>
      <c r="G476" s="57">
        <f ca="1">IFERROR(__xludf.DUMMYFUNCTION("""COMPUTED_VALUE"""),46090)</f>
        <v>46090</v>
      </c>
      <c r="H476" s="33" t="str">
        <f ca="1">IFERROR(__xludf.DUMMYFUNCTION("""COMPUTED_VALUE"""),"Leganés")</f>
        <v>Leganés</v>
      </c>
      <c r="I476" s="33" t="str">
        <f ca="1">IFERROR(__xludf.DUMMYFUNCTION("""COMPUTED_VALUE"""),"C2026399930726458")</f>
        <v>C2026399930726458</v>
      </c>
      <c r="J476" s="33" t="str">
        <f ca="1">IFERROR(__xludf.DUMMYFUNCTION("""COMPUTED_VALUE"""),"FRANCISCO SERRANO RODRIGUEZ DE GUZMAN")</f>
        <v>FRANCISCO SERRANO RODRIGUEZ DE GUZMAN</v>
      </c>
      <c r="K476" s="56">
        <f ca="1">IFERROR(__xludf.DUMMYFUNCTION("""COMPUTED_VALUE"""),2)</f>
        <v>2</v>
      </c>
      <c r="L476" s="62">
        <f ca="1">IFERROR(__xludf.DUMMYFUNCTION("""COMPUTED_VALUE"""),2718.18)</f>
        <v>2718.18</v>
      </c>
      <c r="M476" s="33" t="str">
        <f ca="1">IFERROR(__xludf.DUMMYFUNCTION("""COMPUTED_VALUE"""),"03 ORL")</f>
        <v>03 ORL</v>
      </c>
      <c r="N476" s="33" t="str">
        <f ca="1">IFERROR(__xludf.DUMMYFUNCTION("""COMPUTED_VALUE"""),"06 ORL")</f>
        <v>06 ORL</v>
      </c>
      <c r="O476" s="33" t="str">
        <f ca="1">IFERROR(__xludf.DUMMYFUNCTION("""COMPUTED_VALUE"""),"Dra, Nuria Arnaiz Canora")</f>
        <v>Dra, Nuria Arnaiz Canora</v>
      </c>
      <c r="P476" s="33" t="str">
        <f ca="1">IFERROR(__xludf.DUMMYFUNCTION("""COMPUTED_VALUE"""),"Maika Blázquez (Madrid)")</f>
        <v>Maika Blázquez (Madrid)</v>
      </c>
    </row>
    <row r="477" spans="2:16">
      <c r="B477" s="74">
        <f ca="1">IFERROR(__xludf.DUMMYFUNCTION("""COMPUTED_VALUE"""),2026)</f>
        <v>2026</v>
      </c>
      <c r="C477" s="56">
        <f ca="1">IFERROR(__xludf.DUMMYFUNCTION("""COMPUTED_VALUE"""),3)</f>
        <v>3</v>
      </c>
      <c r="D477" s="33" t="str">
        <f ca="1">IFERROR(__xludf.DUMMYFUNCTION("""COMPUTED_VALUE"""),"NO")</f>
        <v>NO</v>
      </c>
      <c r="E477" s="33" t="str">
        <f ca="1">IFERROR(__xludf.DUMMYFUNCTION("""COMPUTED_VALUE"""),"Logroño")</f>
        <v>Logroño</v>
      </c>
      <c r="F477" s="57">
        <f ca="1">IFERROR(__xludf.DUMMYFUNCTION("""COMPUTED_VALUE"""),46112)</f>
        <v>46112</v>
      </c>
      <c r="G477" s="57">
        <f ca="1">IFERROR(__xludf.DUMMYFUNCTION("""COMPUTED_VALUE"""),46062)</f>
        <v>46062</v>
      </c>
      <c r="H477" s="33" t="str">
        <f ca="1">IFERROR(__xludf.DUMMYFUNCTION("""COMPUTED_VALUE"""),"Logroño")</f>
        <v>Logroño</v>
      </c>
      <c r="I477" s="33" t="str">
        <f ca="1">IFERROR(__xludf.DUMMYFUNCTION("""COMPUTED_VALUE"""),"C2026291005304025")</f>
        <v>C2026291005304025</v>
      </c>
      <c r="J477" s="33" t="str">
        <f ca="1">IFERROR(__xludf.DUMMYFUNCTION("""COMPUTED_VALUE"""),"MARIA LOURDES  FRIAS VITORES")</f>
        <v>MARIA LOURDES  FRIAS VITORES</v>
      </c>
      <c r="K477" s="56">
        <f ca="1">IFERROR(__xludf.DUMMYFUNCTION("""COMPUTED_VALUE"""),2)</f>
        <v>2</v>
      </c>
      <c r="L477" s="62">
        <f ca="1">IFERROR(__xludf.DUMMYFUNCTION("""COMPUTED_VALUE"""),2718.18)</f>
        <v>2718.18</v>
      </c>
      <c r="M477" s="33" t="str">
        <f ca="1">IFERROR(__xludf.DUMMYFUNCTION("""COMPUTED_VALUE"""),"03 ORL")</f>
        <v>03 ORL</v>
      </c>
      <c r="N477" s="33" t="str">
        <f ca="1">IFERROR(__xludf.DUMMYFUNCTION("""COMPUTED_VALUE"""),"06 ORL")</f>
        <v>06 ORL</v>
      </c>
      <c r="O477" s="33" t="str">
        <f ca="1">IFERROR(__xludf.DUMMYFUNCTION("""COMPUTED_VALUE"""),"No recuerda ORL")</f>
        <v>No recuerda ORL</v>
      </c>
      <c r="P477" s="33" t="str">
        <f ca="1">IFERROR(__xludf.DUMMYFUNCTION("""COMPUTED_VALUE"""),"Lisandro Russian (Madrid, Cáceres, Toledo, Talavera y Logroño)")</f>
        <v>Lisandro Russian (Madrid, Cáceres, Toledo, Talavera y Logroño)</v>
      </c>
    </row>
    <row r="478" spans="2:16">
      <c r="B478" s="74">
        <f ca="1">IFERROR(__xludf.DUMMYFUNCTION("""COMPUTED_VALUE"""),2026)</f>
        <v>2026</v>
      </c>
      <c r="C478" s="56">
        <f ca="1">IFERROR(__xludf.DUMMYFUNCTION("""COMPUTED_VALUE"""),3)</f>
        <v>3</v>
      </c>
      <c r="D478" s="33" t="str">
        <f ca="1">IFERROR(__xludf.DUMMYFUNCTION("""COMPUTED_VALUE"""),"NO")</f>
        <v>NO</v>
      </c>
      <c r="E478" s="33" t="str">
        <f ca="1">IFERROR(__xludf.DUMMYFUNCTION("""COMPUTED_VALUE"""),"Valladolid")</f>
        <v>Valladolid</v>
      </c>
      <c r="F478" s="57">
        <f ca="1">IFERROR(__xludf.DUMMYFUNCTION("""COMPUTED_VALUE"""),46112)</f>
        <v>46112</v>
      </c>
      <c r="G478" s="57">
        <f ca="1">IFERROR(__xludf.DUMMYFUNCTION("""COMPUTED_VALUE"""),46058)</f>
        <v>46058</v>
      </c>
      <c r="H478" s="33" t="str">
        <f ca="1">IFERROR(__xludf.DUMMYFUNCTION("""COMPUTED_VALUE"""),"Valladolid")</f>
        <v>Valladolid</v>
      </c>
      <c r="I478" s="33" t="str">
        <f ca="1">IFERROR(__xludf.DUMMYFUNCTION("""COMPUTED_VALUE"""),"C202625165834361107")</f>
        <v>C202625165834361107</v>
      </c>
      <c r="J478" s="33" t="str">
        <f ca="1">IFERROR(__xludf.DUMMYFUNCTION("""COMPUTED_VALUE"""),"MARIA DEL CARMEN GARCIA RUA")</f>
        <v>MARIA DEL CARMEN GARCIA RUA</v>
      </c>
      <c r="K478" s="56">
        <f ca="1">IFERROR(__xludf.DUMMYFUNCTION("""COMPUTED_VALUE"""),1)</f>
        <v>1</v>
      </c>
      <c r="L478" s="62">
        <f ca="1">IFERROR(__xludf.DUMMYFUNCTION("""COMPUTED_VALUE"""),2307.27)</f>
        <v>2307.27</v>
      </c>
      <c r="M478" s="33" t="str">
        <f ca="1">IFERROR(__xludf.DUMMYFUNCTION("""COMPUTED_VALUE"""),"03 ORL")</f>
        <v>03 ORL</v>
      </c>
      <c r="N478" s="33" t="str">
        <f ca="1">IFERROR(__xludf.DUMMYFUNCTION("""COMPUTED_VALUE"""),"06 ORL")</f>
        <v>06 ORL</v>
      </c>
      <c r="O478" s="33" t="str">
        <f ca="1">IFERROR(__xludf.DUMMYFUNCTION("""COMPUTED_VALUE"""),"Dra, Ana Fernández Rodríguez")</f>
        <v>Dra, Ana Fernández Rodríguez</v>
      </c>
      <c r="P478" s="33" t="str">
        <f ca="1">IFERROR(__xludf.DUMMYFUNCTION("""COMPUTED_VALUE"""),"Alberto Moreno (Madrid)")</f>
        <v>Alberto Moreno (Madrid)</v>
      </c>
    </row>
    <row r="479" spans="2:16">
      <c r="B479" s="74">
        <f ca="1">IFERROR(__xludf.DUMMYFUNCTION("""COMPUTED_VALUE"""),2026)</f>
        <v>2026</v>
      </c>
      <c r="C479" s="56">
        <f ca="1">IFERROR(__xludf.DUMMYFUNCTION("""COMPUTED_VALUE"""),3)</f>
        <v>3</v>
      </c>
      <c r="D479" s="33" t="str">
        <f ca="1">IFERROR(__xludf.DUMMYFUNCTION("""COMPUTED_VALUE"""),"NO")</f>
        <v>NO</v>
      </c>
      <c r="E479" s="33" t="str">
        <f ca="1">IFERROR(__xludf.DUMMYFUNCTION("""COMPUTED_VALUE"""),"Logroño")</f>
        <v>Logroño</v>
      </c>
      <c r="F479" s="57">
        <f ca="1">IFERROR(__xludf.DUMMYFUNCTION("""COMPUTED_VALUE"""),46112)</f>
        <v>46112</v>
      </c>
      <c r="G479" s="57">
        <f ca="1">IFERROR(__xludf.DUMMYFUNCTION("""COMPUTED_VALUE"""),46014)</f>
        <v>46014</v>
      </c>
      <c r="H479" s="33" t="str">
        <f ca="1">IFERROR(__xludf.DUMMYFUNCTION("""COMPUTED_VALUE"""),"Logroño")</f>
        <v>Logroño</v>
      </c>
      <c r="I479" s="33" t="str">
        <f ca="1">IFERROR(__xludf.DUMMYFUNCTION("""COMPUTED_VALUE"""),"C20251223192557630")</f>
        <v>C20251223192557630</v>
      </c>
      <c r="J479" s="33" t="str">
        <f ca="1">IFERROR(__xludf.DUMMYFUNCTION("""COMPUTED_VALUE"""),"JULIA CASTELLANOS ZALDIBAR")</f>
        <v>JULIA CASTELLANOS ZALDIBAR</v>
      </c>
      <c r="K479" s="56">
        <f ca="1">IFERROR(__xludf.DUMMYFUNCTION("""COMPUTED_VALUE"""),2)</f>
        <v>2</v>
      </c>
      <c r="L479" s="62">
        <f ca="1">IFERROR(__xludf.DUMMYFUNCTION("""COMPUTED_VALUE"""),4136.36)</f>
        <v>4136.3599999999997</v>
      </c>
      <c r="M479" s="33" t="str">
        <f ca="1">IFERROR(__xludf.DUMMYFUNCTION("""COMPUTED_VALUE"""),"03 ORL")</f>
        <v>03 ORL</v>
      </c>
      <c r="N479" s="33" t="str">
        <f ca="1">IFERROR(__xludf.DUMMYFUNCTION("""COMPUTED_VALUE"""),"06 ORL")</f>
        <v>06 ORL</v>
      </c>
      <c r="O479" s="33" t="str">
        <f ca="1">IFERROR(__xludf.DUMMYFUNCTION("""COMPUTED_VALUE"""),"No recuerda ORL")</f>
        <v>No recuerda ORL</v>
      </c>
      <c r="P479" s="33" t="str">
        <f ca="1">IFERROR(__xludf.DUMMYFUNCTION("""COMPUTED_VALUE"""),"Lisandro Russian (Madrid, Cáceres, Toledo, Talavera y Logroño)")</f>
        <v>Lisandro Russian (Madrid, Cáceres, Toledo, Talavera y Logroño)</v>
      </c>
    </row>
    <row r="480" spans="2:16">
      <c r="B480" s="74">
        <f ca="1">IFERROR(__xludf.DUMMYFUNCTION("""COMPUTED_VALUE"""),2026)</f>
        <v>2026</v>
      </c>
      <c r="C480" s="56">
        <f ca="1">IFERROR(__xludf.DUMMYFUNCTION("""COMPUTED_VALUE"""),3)</f>
        <v>3</v>
      </c>
      <c r="D480" s="33" t="str">
        <f ca="1">IFERROR(__xludf.DUMMYFUNCTION("""COMPUTED_VALUE"""),"NO")</f>
        <v>NO</v>
      </c>
      <c r="E480" s="33" t="str">
        <f ca="1">IFERROR(__xludf.DUMMYFUNCTION("""COMPUTED_VALUE"""),"Madrid- Juan Bravo")</f>
        <v>Madrid- Juan Bravo</v>
      </c>
      <c r="F480" s="57">
        <f ca="1">IFERROR(__xludf.DUMMYFUNCTION("""COMPUTED_VALUE"""),46112)</f>
        <v>46112</v>
      </c>
      <c r="G480" s="57">
        <f ca="1">IFERROR(__xludf.DUMMYFUNCTION("""COMPUTED_VALUE"""),46044)</f>
        <v>46044</v>
      </c>
      <c r="H480" s="33" t="str">
        <f ca="1">IFERROR(__xludf.DUMMYFUNCTION("""COMPUTED_VALUE"""),"Juan Bravo")</f>
        <v>Juan Bravo</v>
      </c>
      <c r="I480" s="33" t="str">
        <f ca="1">IFERROR(__xludf.DUMMYFUNCTION("""COMPUTED_VALUE"""),"C202612211164410529")</f>
        <v>C202612211164410529</v>
      </c>
      <c r="J480" s="33" t="str">
        <f ca="1">IFERROR(__xludf.DUMMYFUNCTION("""COMPUTED_VALUE"""),"MARGARITA MARIN YECORA")</f>
        <v>MARGARITA MARIN YECORA</v>
      </c>
      <c r="K480" s="56">
        <f ca="1">IFERROR(__xludf.DUMMYFUNCTION("""COMPUTED_VALUE"""),2)</f>
        <v>2</v>
      </c>
      <c r="L480" s="62">
        <f ca="1">IFERROR(__xludf.DUMMYFUNCTION("""COMPUTED_VALUE"""),3631.82)</f>
        <v>3631.82</v>
      </c>
      <c r="M480" s="33" t="str">
        <f ca="1">IFERROR(__xludf.DUMMYFUNCTION("""COMPUTED_VALUE"""),"03 ORL")</f>
        <v>03 ORL</v>
      </c>
      <c r="N480" s="33" t="str">
        <f ca="1">IFERROR(__xludf.DUMMYFUNCTION("""COMPUTED_VALUE"""),"06 ORL")</f>
        <v>06 ORL</v>
      </c>
      <c r="O480" s="33" t="str">
        <f ca="1">IFERROR(__xludf.DUMMYFUNCTION("""COMPUTED_VALUE"""),"Dr, Carlos Barajas del Rosal")</f>
        <v>Dr, Carlos Barajas del Rosal</v>
      </c>
      <c r="P480" s="33" t="str">
        <f ca="1">IFERROR(__xludf.DUMMYFUNCTION("""COMPUTED_VALUE"""),"Lisandro Russian (Madrid, Cáceres, Toledo, Talavera y Logroño)")</f>
        <v>Lisandro Russian (Madrid, Cáceres, Toledo, Talavera y Logroño)</v>
      </c>
    </row>
    <row r="481" spans="2:16">
      <c r="B481" s="74">
        <f ca="1">IFERROR(__xludf.DUMMYFUNCTION("""COMPUTED_VALUE"""),2026)</f>
        <v>2026</v>
      </c>
      <c r="C481" s="56">
        <f ca="1">IFERROR(__xludf.DUMMYFUNCTION("""COMPUTED_VALUE"""),3)</f>
        <v>3</v>
      </c>
      <c r="D481" s="33" t="str">
        <f ca="1">IFERROR(__xludf.DUMMYFUNCTION("""COMPUTED_VALUE"""),"NO")</f>
        <v>NO</v>
      </c>
      <c r="E481" s="33" t="str">
        <f ca="1">IFERROR(__xludf.DUMMYFUNCTION("""COMPUTED_VALUE"""),"Madrid- Costa Rica")</f>
        <v>Madrid- Costa Rica</v>
      </c>
      <c r="F481" s="57">
        <f ca="1">IFERROR(__xludf.DUMMYFUNCTION("""COMPUTED_VALUE"""),46112)</f>
        <v>46112</v>
      </c>
      <c r="G481" s="57">
        <f ca="1">IFERROR(__xludf.DUMMYFUNCTION("""COMPUTED_VALUE"""),46064)</f>
        <v>46064</v>
      </c>
      <c r="H481" s="33" t="str">
        <f ca="1">IFERROR(__xludf.DUMMYFUNCTION("""COMPUTED_VALUE"""),"Costa Rica")</f>
        <v>Costa Rica</v>
      </c>
      <c r="I481" s="33" t="str">
        <f ca="1">IFERROR(__xludf.DUMMYFUNCTION("""COMPUTED_VALUE"""),"C202621193144091134")</f>
        <v>C202621193144091134</v>
      </c>
      <c r="J481" s="33" t="str">
        <f ca="1">IFERROR(__xludf.DUMMYFUNCTION("""COMPUTED_VALUE"""),"ANTONIO HUALDE MIGUEL")</f>
        <v>ANTONIO HUALDE MIGUEL</v>
      </c>
      <c r="K481" s="56">
        <f ca="1">IFERROR(__xludf.DUMMYFUNCTION("""COMPUTED_VALUE"""),2)</f>
        <v>2</v>
      </c>
      <c r="L481" s="62">
        <f ca="1">IFERROR(__xludf.DUMMYFUNCTION("""COMPUTED_VALUE"""),2718.18)</f>
        <v>2718.18</v>
      </c>
      <c r="M481" s="33" t="str">
        <f ca="1">IFERROR(__xludf.DUMMYFUNCTION("""COMPUTED_VALUE"""),"03 ORL")</f>
        <v>03 ORL</v>
      </c>
      <c r="N481" s="33" t="str">
        <f ca="1">IFERROR(__xludf.DUMMYFUNCTION("""COMPUTED_VALUE"""),"22 AUDIOMETRIA CLINICA")</f>
        <v>22 AUDIOMETRIA CLINICA</v>
      </c>
      <c r="O481" s="33" t="str">
        <f ca="1">IFERROR(__xludf.DUMMYFUNCTION("""COMPUTED_VALUE"""),"Dr, Jose Maria Hernandez Hernandez")</f>
        <v>Dr, Jose Maria Hernandez Hernandez</v>
      </c>
      <c r="P481" s="33" t="str">
        <f ca="1">IFERROR(__xludf.DUMMYFUNCTION("""COMPUTED_VALUE"""),"Luis Alberto Rodríguez (Andalucía y Badajoz)")</f>
        <v>Luis Alberto Rodríguez (Andalucía y Badajoz)</v>
      </c>
    </row>
    <row r="482" spans="2:16">
      <c r="B482" s="74">
        <f ca="1">IFERROR(__xludf.DUMMYFUNCTION("""COMPUTED_VALUE"""),2026)</f>
        <v>2026</v>
      </c>
      <c r="C482" s="56">
        <f ca="1">IFERROR(__xludf.DUMMYFUNCTION("""COMPUTED_VALUE"""),3)</f>
        <v>3</v>
      </c>
      <c r="D482" s="33" t="str">
        <f ca="1">IFERROR(__xludf.DUMMYFUNCTION("""COMPUTED_VALUE"""),"NO")</f>
        <v>NO</v>
      </c>
      <c r="E482" s="33" t="str">
        <f ca="1">IFERROR(__xludf.DUMMYFUNCTION("""COMPUTED_VALUE"""),"Ponferrada")</f>
        <v>Ponferrada</v>
      </c>
      <c r="F482" s="57">
        <f ca="1">IFERROR(__xludf.DUMMYFUNCTION("""COMPUTED_VALUE"""),46112)</f>
        <v>46112</v>
      </c>
      <c r="G482" s="57">
        <f ca="1">IFERROR(__xludf.DUMMYFUNCTION("""COMPUTED_VALUE"""),45819)</f>
        <v>45819</v>
      </c>
      <c r="H482" s="33" t="str">
        <f ca="1">IFERROR(__xludf.DUMMYFUNCTION("""COMPUTED_VALUE"""),"Ponferrada")</f>
        <v>Ponferrada</v>
      </c>
      <c r="I482" s="33" t="str">
        <f ca="1">IFERROR(__xludf.DUMMYFUNCTION("""COMPUTED_VALUE"""),"PON-937")</f>
        <v>PON-937</v>
      </c>
      <c r="J482" s="33" t="str">
        <f ca="1">IFERROR(__xludf.DUMMYFUNCTION("""COMPUTED_VALUE"""),"ANGUSTIAS RODRIGUEZ DIEZ")</f>
        <v>ANGUSTIAS RODRIGUEZ DIEZ</v>
      </c>
      <c r="K482" s="56">
        <f ca="1">IFERROR(__xludf.DUMMYFUNCTION("""COMPUTED_VALUE"""),2)</f>
        <v>2</v>
      </c>
      <c r="L482" s="62">
        <f ca="1">IFERROR(__xludf.DUMMYFUNCTION("""COMPUTED_VALUE"""),3181.82)</f>
        <v>3181.82</v>
      </c>
      <c r="M482" s="33" t="str">
        <f ca="1">IFERROR(__xludf.DUMMYFUNCTION("""COMPUTED_VALUE"""),"03 ORL")</f>
        <v>03 ORL</v>
      </c>
      <c r="N482" s="33" t="str">
        <f ca="1">IFERROR(__xludf.DUMMYFUNCTION("""COMPUTED_VALUE"""),"06 ORL")</f>
        <v>06 ORL</v>
      </c>
      <c r="O482" s="33" t="str">
        <f ca="1">IFERROR(__xludf.DUMMYFUNCTION("""COMPUTED_VALUE"""),"Dra, Mónica Granda Rosales")</f>
        <v>Dra, Mónica Granda Rosales</v>
      </c>
      <c r="P482" s="33" t="str">
        <f ca="1">IFERROR(__xludf.DUMMYFUNCTION("""COMPUTED_VALUE"""),"Alberto Moreno (Madrid)")</f>
        <v>Alberto Moreno (Madrid)</v>
      </c>
    </row>
    <row r="483" spans="2:16">
      <c r="B483" s="74">
        <f ca="1">IFERROR(__xludf.DUMMYFUNCTION("""COMPUTED_VALUE"""),2026)</f>
        <v>2026</v>
      </c>
      <c r="C483" s="56">
        <f ca="1">IFERROR(__xludf.DUMMYFUNCTION("""COMPUTED_VALUE"""),3)</f>
        <v>3</v>
      </c>
      <c r="D483" s="33" t="str">
        <f ca="1">IFERROR(__xludf.DUMMYFUNCTION("""COMPUTED_VALUE"""),"NO")</f>
        <v>NO</v>
      </c>
      <c r="E483" s="33" t="str">
        <f ca="1">IFERROR(__xludf.DUMMYFUNCTION("""COMPUTED_VALUE"""),"Fuenlabrada")</f>
        <v>Fuenlabrada</v>
      </c>
      <c r="F483" s="57">
        <f ca="1">IFERROR(__xludf.DUMMYFUNCTION("""COMPUTED_VALUE"""),46112)</f>
        <v>46112</v>
      </c>
      <c r="G483" s="57">
        <f ca="1">IFERROR(__xludf.DUMMYFUNCTION("""COMPUTED_VALUE"""),46083)</f>
        <v>46083</v>
      </c>
      <c r="H483" s="33" t="str">
        <f ca="1">IFERROR(__xludf.DUMMYFUNCTION("""COMPUTED_VALUE"""),"Fuenlabrada")</f>
        <v>Fuenlabrada</v>
      </c>
      <c r="I483" s="33" t="str">
        <f ca="1">IFERROR(__xludf.DUMMYFUNCTION("""COMPUTED_VALUE"""),"C202632103422747350")</f>
        <v>C202632103422747350</v>
      </c>
      <c r="J483" s="33" t="str">
        <f ca="1">IFERROR(__xludf.DUMMYFUNCTION("""COMPUTED_VALUE"""),"DEMETRIO GOMEZ DE LOS RIOS")</f>
        <v>DEMETRIO GOMEZ DE LOS RIOS</v>
      </c>
      <c r="K483" s="56">
        <f ca="1">IFERROR(__xludf.DUMMYFUNCTION("""COMPUTED_VALUE"""),2)</f>
        <v>2</v>
      </c>
      <c r="L483" s="62">
        <f ca="1">IFERROR(__xludf.DUMMYFUNCTION("""COMPUTED_VALUE"""),2718.18)</f>
        <v>2718.18</v>
      </c>
      <c r="M483" s="33" t="str">
        <f ca="1">IFERROR(__xludf.DUMMYFUNCTION("""COMPUTED_VALUE"""),"03 ORL")</f>
        <v>03 ORL</v>
      </c>
      <c r="N483" s="33" t="str">
        <f ca="1">IFERROR(__xludf.DUMMYFUNCTION("""COMPUTED_VALUE"""),"06 ORL")</f>
        <v>06 ORL</v>
      </c>
      <c r="O483" s="33" t="str">
        <f ca="1">IFERROR(__xludf.DUMMYFUNCTION("""COMPUTED_VALUE"""),"Dra, Concepcion Rodríguez Izquierdo")</f>
        <v>Dra, Concepcion Rodríguez Izquierdo</v>
      </c>
      <c r="P483" s="33" t="str">
        <f ca="1">IFERROR(__xludf.DUMMYFUNCTION("""COMPUTED_VALUE"""),"Maika Blázquez (Madrid)")</f>
        <v>Maika Blázquez (Madrid)</v>
      </c>
    </row>
    <row r="484" spans="2:16">
      <c r="B484" s="74">
        <f ca="1">IFERROR(__xludf.DUMMYFUNCTION("""COMPUTED_VALUE"""),2026)</f>
        <v>2026</v>
      </c>
      <c r="C484" s="56">
        <f ca="1">IFERROR(__xludf.DUMMYFUNCTION("""COMPUTED_VALUE"""),3)</f>
        <v>3</v>
      </c>
      <c r="D484" s="33" t="str">
        <f ca="1">IFERROR(__xludf.DUMMYFUNCTION("""COMPUTED_VALUE"""),"NO")</f>
        <v>NO</v>
      </c>
      <c r="E484" s="33" t="str">
        <f ca="1">IFERROR(__xludf.DUMMYFUNCTION("""COMPUTED_VALUE"""),"Ponferrada")</f>
        <v>Ponferrada</v>
      </c>
      <c r="F484" s="57">
        <f ca="1">IFERROR(__xludf.DUMMYFUNCTION("""COMPUTED_VALUE"""),46112)</f>
        <v>46112</v>
      </c>
      <c r="G484" s="57">
        <f ca="1">IFERROR(__xludf.DUMMYFUNCTION("""COMPUTED_VALUE"""),46041)</f>
        <v>46041</v>
      </c>
      <c r="H484" s="33" t="str">
        <f ca="1">IFERROR(__xludf.DUMMYFUNCTION("""COMPUTED_VALUE"""),"Ponferrada")</f>
        <v>Ponferrada</v>
      </c>
      <c r="I484" s="33" t="str">
        <f ca="1">IFERROR(__xludf.DUMMYFUNCTION("""COMPUTED_VALUE"""),"C202611915584584535")</f>
        <v>C202611915584584535</v>
      </c>
      <c r="J484" s="33" t="str">
        <f ca="1">IFERROR(__xludf.DUMMYFUNCTION("""COMPUTED_VALUE"""),"HARRISON AVENDAÑO CORREAL")</f>
        <v>HARRISON AVENDAÑO CORREAL</v>
      </c>
      <c r="K484" s="56">
        <f ca="1">IFERROR(__xludf.DUMMYFUNCTION("""COMPUTED_VALUE"""),1)</f>
        <v>1</v>
      </c>
      <c r="L484" s="62">
        <f ca="1">IFERROR(__xludf.DUMMYFUNCTION("""COMPUTED_VALUE"""),1909.09)</f>
        <v>1909.09</v>
      </c>
      <c r="M484" s="33" t="str">
        <f ca="1">IFERROR(__xludf.DUMMYFUNCTION("""COMPUTED_VALUE"""),"03 ORL")</f>
        <v>03 ORL</v>
      </c>
      <c r="N484" s="33" t="str">
        <f ca="1">IFERROR(__xludf.DUMMYFUNCTION("""COMPUTED_VALUE"""),"06 ORL")</f>
        <v>06 ORL</v>
      </c>
      <c r="O484" s="33" t="str">
        <f ca="1">IFERROR(__xludf.DUMMYFUNCTION("""COMPUTED_VALUE"""),"Dra, Xenia Mota Rojas")</f>
        <v>Dra, Xenia Mota Rojas</v>
      </c>
      <c r="P484" s="33" t="str">
        <f ca="1">IFERROR(__xludf.DUMMYFUNCTION("""COMPUTED_VALUE"""),"Alberto Moreno (Madrid)")</f>
        <v>Alberto Moreno (Madrid)</v>
      </c>
    </row>
    <row r="485" spans="2:16">
      <c r="B485" s="74">
        <f ca="1">IFERROR(__xludf.DUMMYFUNCTION("""COMPUTED_VALUE"""),2026)</f>
        <v>2026</v>
      </c>
      <c r="C485" s="56">
        <f ca="1">IFERROR(__xludf.DUMMYFUNCTION("""COMPUTED_VALUE"""),4)</f>
        <v>4</v>
      </c>
      <c r="D485" s="33" t="str">
        <f ca="1">IFERROR(__xludf.DUMMYFUNCTION("""COMPUTED_VALUE"""),"NO")</f>
        <v>NO</v>
      </c>
      <c r="E485" s="33" t="str">
        <f ca="1">IFERROR(__xludf.DUMMYFUNCTION("""COMPUTED_VALUE"""),"Sevilla- Ciencias")</f>
        <v>Sevilla- Ciencias</v>
      </c>
      <c r="F485" s="57">
        <f ca="1">IFERROR(__xludf.DUMMYFUNCTION("""COMPUTED_VALUE"""),46113)</f>
        <v>46113</v>
      </c>
      <c r="G485" s="57">
        <f ca="1">IFERROR(__xludf.DUMMYFUNCTION("""COMPUTED_VALUE"""),46059)</f>
        <v>46059</v>
      </c>
      <c r="H485" s="33" t="str">
        <f ca="1">IFERROR(__xludf.DUMMYFUNCTION("""COMPUTED_VALUE"""),"Sevilla Este")</f>
        <v>Sevilla Este</v>
      </c>
      <c r="I485" s="33" t="str">
        <f ca="1">IFERROR(__xludf.DUMMYFUNCTION("""COMPUTED_VALUE"""),"C202626122055211056")</f>
        <v>C202626122055211056</v>
      </c>
      <c r="J485" s="33" t="str">
        <f ca="1">IFERROR(__xludf.DUMMYFUNCTION("""COMPUTED_VALUE"""),"MARIA ISABEL GONZALEZ PEREZ")</f>
        <v>MARIA ISABEL GONZALEZ PEREZ</v>
      </c>
      <c r="K485" s="56">
        <f ca="1">IFERROR(__xludf.DUMMYFUNCTION("""COMPUTED_VALUE"""),2)</f>
        <v>2</v>
      </c>
      <c r="L485" s="62">
        <f ca="1">IFERROR(__xludf.DUMMYFUNCTION("""COMPUTED_VALUE"""),2718.18)</f>
        <v>2718.18</v>
      </c>
      <c r="M485" s="33" t="str">
        <f ca="1">IFERROR(__xludf.DUMMYFUNCTION("""COMPUTED_VALUE"""),"03 ORL")</f>
        <v>03 ORL</v>
      </c>
      <c r="N485" s="33" t="str">
        <f ca="1">IFERROR(__xludf.DUMMYFUNCTION("""COMPUTED_VALUE"""),"06 ORL")</f>
        <v>06 ORL</v>
      </c>
      <c r="O485" s="33" t="str">
        <f ca="1">IFERROR(__xludf.DUMMYFUNCTION("""COMPUTED_VALUE"""),"Dr, Jesús Crovato Rojas")</f>
        <v>Dr, Jesús Crovato Rojas</v>
      </c>
      <c r="P485" s="33" t="str">
        <f ca="1">IFERROR(__xludf.DUMMYFUNCTION("""COMPUTED_VALUE"""),"Luis Alberto Rodríguez (Andalucía y Badajoz)")</f>
        <v>Luis Alberto Rodríguez (Andalucía y Badajoz)</v>
      </c>
    </row>
    <row r="486" spans="2:16">
      <c r="B486" s="74">
        <f ca="1">IFERROR(__xludf.DUMMYFUNCTION("""COMPUTED_VALUE"""),2026)</f>
        <v>2026</v>
      </c>
      <c r="C486" s="56">
        <f ca="1">IFERROR(__xludf.DUMMYFUNCTION("""COMPUTED_VALUE"""),4)</f>
        <v>4</v>
      </c>
      <c r="D486" s="33" t="str">
        <f ca="1">IFERROR(__xludf.DUMMYFUNCTION("""COMPUTED_VALUE"""),"NO")</f>
        <v>NO</v>
      </c>
      <c r="E486" s="33" t="str">
        <f ca="1">IFERROR(__xludf.DUMMYFUNCTION("""COMPUTED_VALUE"""),"Cáceres")</f>
        <v>Cáceres</v>
      </c>
      <c r="F486" s="57">
        <f ca="1">IFERROR(__xludf.DUMMYFUNCTION("""COMPUTED_VALUE"""),46113)</f>
        <v>46113</v>
      </c>
      <c r="G486" s="57">
        <f ca="1">IFERROR(__xludf.DUMMYFUNCTION("""COMPUTED_VALUE"""),46069)</f>
        <v>46069</v>
      </c>
      <c r="H486" s="33" t="str">
        <f ca="1">IFERROR(__xludf.DUMMYFUNCTION("""COMPUTED_VALUE"""),"Cáceres")</f>
        <v>Cáceres</v>
      </c>
      <c r="I486" s="33" t="str">
        <f ca="1">IFERROR(__xludf.DUMMYFUNCTION("""COMPUTED_VALUE"""),"C202621611135700546")</f>
        <v>C202621611135700546</v>
      </c>
      <c r="J486" s="33" t="str">
        <f ca="1">IFERROR(__xludf.DUMMYFUNCTION("""COMPUTED_VALUE"""),"JUANA SANCHEZ BARRERO")</f>
        <v>JUANA SANCHEZ BARRERO</v>
      </c>
      <c r="K486" s="56">
        <f ca="1">IFERROR(__xludf.DUMMYFUNCTION("""COMPUTED_VALUE"""),2)</f>
        <v>2</v>
      </c>
      <c r="L486" s="62">
        <f ca="1">IFERROR(__xludf.DUMMYFUNCTION("""COMPUTED_VALUE"""),4181.82)</f>
        <v>4181.82</v>
      </c>
      <c r="M486" s="33" t="str">
        <f ca="1">IFERROR(__xludf.DUMMYFUNCTION("""COMPUTED_VALUE"""),"03 ORL")</f>
        <v>03 ORL</v>
      </c>
      <c r="N486" s="33" t="str">
        <f ca="1">IFERROR(__xludf.DUMMYFUNCTION("""COMPUTED_VALUE"""),"06 ORL")</f>
        <v>06 ORL</v>
      </c>
      <c r="O486" s="33" t="str">
        <f ca="1">IFERROR(__xludf.DUMMYFUNCTION("""COMPUTED_VALUE"""),"Dra, Isabel Bustillo García")</f>
        <v>Dra, Isabel Bustillo García</v>
      </c>
      <c r="P486" s="33" t="str">
        <f ca="1">IFERROR(__xludf.DUMMYFUNCTION("""COMPUTED_VALUE"""),"Luis Alberto Rodríguez (Andalucía y Badajoz)")</f>
        <v>Luis Alberto Rodríguez (Andalucía y Badajoz)</v>
      </c>
    </row>
    <row r="487" spans="2:16">
      <c r="B487" s="74">
        <f ca="1">IFERROR(__xludf.DUMMYFUNCTION("""COMPUTED_VALUE"""),2026)</f>
        <v>2026</v>
      </c>
      <c r="C487" s="56">
        <f ca="1">IFERROR(__xludf.DUMMYFUNCTION("""COMPUTED_VALUE"""),4)</f>
        <v>4</v>
      </c>
      <c r="D487" s="33" t="str">
        <f ca="1">IFERROR(__xludf.DUMMYFUNCTION("""COMPUTED_VALUE"""),"NO")</f>
        <v>NO</v>
      </c>
      <c r="E487" s="33" t="str">
        <f ca="1">IFERROR(__xludf.DUMMYFUNCTION("""COMPUTED_VALUE"""),"Valencia- Cádiz")</f>
        <v>Valencia- Cádiz</v>
      </c>
      <c r="F487" s="57">
        <f ca="1">IFERROR(__xludf.DUMMYFUNCTION("""COMPUTED_VALUE"""),46113)</f>
        <v>46113</v>
      </c>
      <c r="G487" s="57">
        <f ca="1">IFERROR(__xludf.DUMMYFUNCTION("""COMPUTED_VALUE"""),46069)</f>
        <v>46069</v>
      </c>
      <c r="H487" s="33" t="str">
        <f ca="1">IFERROR(__xludf.DUMMYFUNCTION("""COMPUTED_VALUE"""),"Valencia- Cádiz")</f>
        <v>Valencia- Cádiz</v>
      </c>
      <c r="I487" s="33" t="str">
        <f ca="1">IFERROR(__xludf.DUMMYFUNCTION("""COMPUTED_VALUE"""),"C202621611442285195")</f>
        <v>C202621611442285195</v>
      </c>
      <c r="J487" s="33" t="str">
        <f ca="1">IFERROR(__xludf.DUMMYFUNCTION("""COMPUTED_VALUE"""),"JOSEFA GARCIA TORRES")</f>
        <v>JOSEFA GARCIA TORRES</v>
      </c>
      <c r="K487" s="56">
        <f ca="1">IFERROR(__xludf.DUMMYFUNCTION("""COMPUTED_VALUE"""),1)</f>
        <v>1</v>
      </c>
      <c r="L487" s="62">
        <f ca="1">IFERROR(__xludf.DUMMYFUNCTION("""COMPUTED_VALUE"""),2357.73)</f>
        <v>2357.73</v>
      </c>
      <c r="M487" s="33" t="str">
        <f ca="1">IFERROR(__xludf.DUMMYFUNCTION("""COMPUTED_VALUE"""),"03 ORL")</f>
        <v>03 ORL</v>
      </c>
      <c r="N487" s="33" t="str">
        <f ca="1">IFERROR(__xludf.DUMMYFUNCTION("""COMPUTED_VALUE"""),"06 ORL")</f>
        <v>06 ORL</v>
      </c>
      <c r="O487" s="33" t="str">
        <f ca="1">IFERROR(__xludf.DUMMYFUNCTION("""COMPUTED_VALUE"""),"Marta Valenzuela Gras")</f>
        <v>Marta Valenzuela Gras</v>
      </c>
      <c r="P487" s="33" t="str">
        <f ca="1">IFERROR(__xludf.DUMMYFUNCTION("""COMPUTED_VALUE"""),"Ramon Ferrando(Valencia)")</f>
        <v>Ramon Ferrando(Valencia)</v>
      </c>
    </row>
    <row r="488" spans="2:16">
      <c r="B488" s="74">
        <f ca="1">IFERROR(__xludf.DUMMYFUNCTION("""COMPUTED_VALUE"""),2026)</f>
        <v>2026</v>
      </c>
      <c r="C488" s="56">
        <f ca="1">IFERROR(__xludf.DUMMYFUNCTION("""COMPUTED_VALUE"""),4)</f>
        <v>4</v>
      </c>
      <c r="D488" s="33" t="str">
        <f ca="1">IFERROR(__xludf.DUMMYFUNCTION("""COMPUTED_VALUE"""),"NO")</f>
        <v>NO</v>
      </c>
      <c r="E488" s="33" t="str">
        <f ca="1">IFERROR(__xludf.DUMMYFUNCTION("""COMPUTED_VALUE"""),"Badajoz")</f>
        <v>Badajoz</v>
      </c>
      <c r="F488" s="57">
        <f ca="1">IFERROR(__xludf.DUMMYFUNCTION("""COMPUTED_VALUE"""),46113)</f>
        <v>46113</v>
      </c>
      <c r="G488" s="57">
        <f ca="1">IFERROR(__xludf.DUMMYFUNCTION("""COMPUTED_VALUE"""),46062)</f>
        <v>46062</v>
      </c>
      <c r="H488" s="33" t="str">
        <f ca="1">IFERROR(__xludf.DUMMYFUNCTION("""COMPUTED_VALUE"""),"Badajoz")</f>
        <v>Badajoz</v>
      </c>
      <c r="I488" s="33" t="str">
        <f ca="1">IFERROR(__xludf.DUMMYFUNCTION("""COMPUTED_VALUE"""),"C202629111220648003")</f>
        <v>C202629111220648003</v>
      </c>
      <c r="J488" s="33" t="str">
        <f ca="1">IFERROR(__xludf.DUMMYFUNCTION("""COMPUTED_VALUE"""),"JOAQUIN MAURO FERNANDES")</f>
        <v>JOAQUIN MAURO FERNANDES</v>
      </c>
      <c r="K488" s="56">
        <f ca="1">IFERROR(__xludf.DUMMYFUNCTION("""COMPUTED_VALUE"""),2)</f>
        <v>2</v>
      </c>
      <c r="L488" s="62">
        <f ca="1">IFERROR(__xludf.DUMMYFUNCTION("""COMPUTED_VALUE"""),4136.36)</f>
        <v>4136.3599999999997</v>
      </c>
      <c r="M488" s="33" t="str">
        <f ca="1">IFERROR(__xludf.DUMMYFUNCTION("""COMPUTED_VALUE"""),"03 ORL")</f>
        <v>03 ORL</v>
      </c>
      <c r="N488" s="33" t="str">
        <f ca="1">IFERROR(__xludf.DUMMYFUNCTION("""COMPUTED_VALUE"""),"06 ORL")</f>
        <v>06 ORL</v>
      </c>
      <c r="O488" s="33" t="str">
        <f ca="1">IFERROR(__xludf.DUMMYFUNCTION("""COMPUTED_VALUE"""),"No recuerda ORL")</f>
        <v>No recuerda ORL</v>
      </c>
      <c r="P488" s="33" t="str">
        <f ca="1">IFERROR(__xludf.DUMMYFUNCTION("""COMPUTED_VALUE"""),"Luis Alberto Rodríguez (Andalucía y Badajoz)")</f>
        <v>Luis Alberto Rodríguez (Andalucía y Badajoz)</v>
      </c>
    </row>
    <row r="489" spans="2:16">
      <c r="B489" s="74">
        <f ca="1">IFERROR(__xludf.DUMMYFUNCTION("""COMPUTED_VALUE"""),2026)</f>
        <v>2026</v>
      </c>
      <c r="C489" s="56">
        <f ca="1">IFERROR(__xludf.DUMMYFUNCTION("""COMPUTED_VALUE"""),4)</f>
        <v>4</v>
      </c>
      <c r="D489" s="33" t="str">
        <f ca="1">IFERROR(__xludf.DUMMYFUNCTION("""COMPUTED_VALUE"""),"NO")</f>
        <v>NO</v>
      </c>
      <c r="E489" s="33" t="str">
        <f ca="1">IFERROR(__xludf.DUMMYFUNCTION("""COMPUTED_VALUE"""),"Valencia- Cádiz")</f>
        <v>Valencia- Cádiz</v>
      </c>
      <c r="F489" s="57">
        <f ca="1">IFERROR(__xludf.DUMMYFUNCTION("""COMPUTED_VALUE"""),46113)</f>
        <v>46113</v>
      </c>
      <c r="G489" s="57">
        <f ca="1">IFERROR(__xludf.DUMMYFUNCTION("""COMPUTED_VALUE"""),46029)</f>
        <v>46029</v>
      </c>
      <c r="H489" s="33" t="str">
        <f ca="1">IFERROR(__xludf.DUMMYFUNCTION("""COMPUTED_VALUE"""),"Valencia- Cádiz")</f>
        <v>Valencia- Cádiz</v>
      </c>
      <c r="I489" s="33" t="str">
        <f ca="1">IFERROR(__xludf.DUMMYFUNCTION("""COMPUTED_VALUE"""),"C20261791325929513")</f>
        <v>C20261791325929513</v>
      </c>
      <c r="J489" s="33" t="str">
        <f ca="1">IFERROR(__xludf.DUMMYFUNCTION("""COMPUTED_VALUE"""),"NEELAM MAHESH SAMTANI")</f>
        <v>NEELAM MAHESH SAMTANI</v>
      </c>
      <c r="K489" s="56">
        <f ca="1">IFERROR(__xludf.DUMMYFUNCTION("""COMPUTED_VALUE"""),1)</f>
        <v>1</v>
      </c>
      <c r="L489" s="62">
        <f ca="1">IFERROR(__xludf.DUMMYFUNCTION("""COMPUTED_VALUE"""),2180.91)</f>
        <v>2180.91</v>
      </c>
      <c r="M489" s="33" t="str">
        <f ca="1">IFERROR(__xludf.DUMMYFUNCTION("""COMPUTED_VALUE"""),"03 ORL")</f>
        <v>03 ORL</v>
      </c>
      <c r="N489" s="33" t="str">
        <f ca="1">IFERROR(__xludf.DUMMYFUNCTION("""COMPUTED_VALUE"""),"06 ORL")</f>
        <v>06 ORL</v>
      </c>
      <c r="O489" s="33" t="str">
        <f ca="1">IFERROR(__xludf.DUMMYFUNCTION("""COMPUTED_VALUE"""),"Dra, Carmen Comeche Cerverón")</f>
        <v>Dra, Carmen Comeche Cerverón</v>
      </c>
      <c r="P489" s="33" t="str">
        <f ca="1">IFERROR(__xludf.DUMMYFUNCTION("""COMPUTED_VALUE"""),"Ramon Ferrando(Valencia)")</f>
        <v>Ramon Ferrando(Valencia)</v>
      </c>
    </row>
    <row r="490" spans="2:16">
      <c r="B490" s="74">
        <f ca="1">IFERROR(__xludf.DUMMYFUNCTION("""COMPUTED_VALUE"""),2026)</f>
        <v>2026</v>
      </c>
      <c r="C490" s="56">
        <f ca="1">IFERROR(__xludf.DUMMYFUNCTION("""COMPUTED_VALUE"""),4)</f>
        <v>4</v>
      </c>
      <c r="D490" s="33" t="str">
        <f ca="1">IFERROR(__xludf.DUMMYFUNCTION("""COMPUTED_VALUE"""),"NO")</f>
        <v>NO</v>
      </c>
      <c r="E490" s="33" t="str">
        <f ca="1">IFERROR(__xludf.DUMMYFUNCTION("""COMPUTED_VALUE"""),"Cáceres")</f>
        <v>Cáceres</v>
      </c>
      <c r="F490" s="57">
        <f ca="1">IFERROR(__xludf.DUMMYFUNCTION("""COMPUTED_VALUE"""),46113)</f>
        <v>46113</v>
      </c>
      <c r="G490" s="57">
        <f ca="1">IFERROR(__xludf.DUMMYFUNCTION("""COMPUTED_VALUE"""),46076)</f>
        <v>46076</v>
      </c>
      <c r="H490" s="33" t="str">
        <f ca="1">IFERROR(__xludf.DUMMYFUNCTION("""COMPUTED_VALUE"""),"Cáceres")</f>
        <v>Cáceres</v>
      </c>
      <c r="I490" s="33" t="str">
        <f ca="1">IFERROR(__xludf.DUMMYFUNCTION("""COMPUTED_VALUE"""),"C20262238388559171")</f>
        <v>C20262238388559171</v>
      </c>
      <c r="J490" s="33" t="str">
        <f ca="1">IFERROR(__xludf.DUMMYFUNCTION("""COMPUTED_VALUE"""),"JOSE PORTILLO CAMPOS")</f>
        <v>JOSE PORTILLO CAMPOS</v>
      </c>
      <c r="K490" s="56">
        <f ca="1">IFERROR(__xludf.DUMMYFUNCTION("""COMPUTED_VALUE"""),2)</f>
        <v>2</v>
      </c>
      <c r="L490" s="62">
        <f ca="1">IFERROR(__xludf.DUMMYFUNCTION("""COMPUTED_VALUE"""),3345.45)</f>
        <v>3345.45</v>
      </c>
      <c r="M490" s="33" t="str">
        <f ca="1">IFERROR(__xludf.DUMMYFUNCTION("""COMPUTED_VALUE"""),"03 ORL")</f>
        <v>03 ORL</v>
      </c>
      <c r="N490" s="33" t="str">
        <f ca="1">IFERROR(__xludf.DUMMYFUNCTION("""COMPUTED_VALUE"""),"06 ORL")</f>
        <v>06 ORL</v>
      </c>
      <c r="O490" s="33" t="str">
        <f ca="1">IFERROR(__xludf.DUMMYFUNCTION("""COMPUTED_VALUE"""),"Dr, Andrés Paulino Herrera")</f>
        <v>Dr, Andrés Paulino Herrera</v>
      </c>
      <c r="P490" s="33" t="str">
        <f ca="1">IFERROR(__xludf.DUMMYFUNCTION("""COMPUTED_VALUE"""),"Luis Alberto Rodríguez (Andalucía y Badajoz)")</f>
        <v>Luis Alberto Rodríguez (Andalucía y Badajoz)</v>
      </c>
    </row>
    <row r="491" spans="2:16">
      <c r="B491" s="74">
        <f ca="1">IFERROR(__xludf.DUMMYFUNCTION("""COMPUTED_VALUE"""),2026)</f>
        <v>2026</v>
      </c>
      <c r="C491" s="56">
        <f ca="1">IFERROR(__xludf.DUMMYFUNCTION("""COMPUTED_VALUE"""),4)</f>
        <v>4</v>
      </c>
      <c r="D491" s="33" t="str">
        <f ca="1">IFERROR(__xludf.DUMMYFUNCTION("""COMPUTED_VALUE"""),"NO")</f>
        <v>NO</v>
      </c>
      <c r="E491" s="33" t="str">
        <f ca="1">IFERROR(__xludf.DUMMYFUNCTION("""COMPUTED_VALUE"""),"Cáceres")</f>
        <v>Cáceres</v>
      </c>
      <c r="F491" s="57">
        <f ca="1">IFERROR(__xludf.DUMMYFUNCTION("""COMPUTED_VALUE"""),46113)</f>
        <v>46113</v>
      </c>
      <c r="G491" s="57">
        <f ca="1">IFERROR(__xludf.DUMMYFUNCTION("""COMPUTED_VALUE"""),46087)</f>
        <v>46087</v>
      </c>
      <c r="H491" s="33" t="str">
        <f ca="1">IFERROR(__xludf.DUMMYFUNCTION("""COMPUTED_VALUE"""),"Cáceres")</f>
        <v>Cáceres</v>
      </c>
      <c r="I491" s="33" t="str">
        <f ca="1">IFERROR(__xludf.DUMMYFUNCTION("""COMPUTED_VALUE"""),"C202636185441845124")</f>
        <v>C202636185441845124</v>
      </c>
      <c r="J491" s="33" t="str">
        <f ca="1">IFERROR(__xludf.DUMMYFUNCTION("""COMPUTED_VALUE"""),"FRANCISCA CANTERO GONZALEZ")</f>
        <v>FRANCISCA CANTERO GONZALEZ</v>
      </c>
      <c r="K491" s="56">
        <f ca="1">IFERROR(__xludf.DUMMYFUNCTION("""COMPUTED_VALUE"""),1)</f>
        <v>1</v>
      </c>
      <c r="L491" s="62">
        <f ca="1">IFERROR(__xludf.DUMMYFUNCTION("""COMPUTED_VALUE"""),1772.73)</f>
        <v>1772.73</v>
      </c>
      <c r="M491" s="33" t="str">
        <f ca="1">IFERROR(__xludf.DUMMYFUNCTION("""COMPUTED_VALUE"""),"03 ORL")</f>
        <v>03 ORL</v>
      </c>
      <c r="N491" s="33" t="str">
        <f ca="1">IFERROR(__xludf.DUMMYFUNCTION("""COMPUTED_VALUE"""),"06 ORL")</f>
        <v>06 ORL</v>
      </c>
      <c r="O491" s="33" t="str">
        <f ca="1">IFERROR(__xludf.DUMMYFUNCTION("""COMPUTED_VALUE"""),"Dr, Manuel Cañete Domínguez")</f>
        <v>Dr, Manuel Cañete Domínguez</v>
      </c>
      <c r="P491" s="33" t="str">
        <f ca="1">IFERROR(__xludf.DUMMYFUNCTION("""COMPUTED_VALUE"""),"Luis Alberto Rodríguez (Andalucía y Badajoz)")</f>
        <v>Luis Alberto Rodríguez (Andalucía y Badajoz)</v>
      </c>
    </row>
    <row r="492" spans="2:16">
      <c r="B492" s="74">
        <f ca="1">IFERROR(__xludf.DUMMYFUNCTION("""COMPUTED_VALUE"""),2026)</f>
        <v>2026</v>
      </c>
      <c r="C492" s="56">
        <f ca="1">IFERROR(__xludf.DUMMYFUNCTION("""COMPUTED_VALUE"""),4)</f>
        <v>4</v>
      </c>
      <c r="D492" s="33" t="str">
        <f ca="1">IFERROR(__xludf.DUMMYFUNCTION("""COMPUTED_VALUE"""),"NO")</f>
        <v>NO</v>
      </c>
      <c r="E492" s="33" t="str">
        <f ca="1">IFERROR(__xludf.DUMMYFUNCTION("""COMPUTED_VALUE"""),"Logroño")</f>
        <v>Logroño</v>
      </c>
      <c r="F492" s="57">
        <f ca="1">IFERROR(__xludf.DUMMYFUNCTION("""COMPUTED_VALUE"""),46113)</f>
        <v>46113</v>
      </c>
      <c r="G492" s="57">
        <f ca="1">IFERROR(__xludf.DUMMYFUNCTION("""COMPUTED_VALUE"""),46092)</f>
        <v>46092</v>
      </c>
      <c r="H492" s="33" t="str">
        <f ca="1">IFERROR(__xludf.DUMMYFUNCTION("""COMPUTED_VALUE"""),"Logroño")</f>
        <v>Logroño</v>
      </c>
      <c r="I492" s="33" t="str">
        <f ca="1">IFERROR(__xludf.DUMMYFUNCTION("""COMPUTED_VALUE"""),"C202631114123342675")</f>
        <v>C202631114123342675</v>
      </c>
      <c r="J492" s="33" t="str">
        <f ca="1">IFERROR(__xludf.DUMMYFUNCTION("""COMPUTED_VALUE"""),"MARIA DEL PILAR FERNANDEZ MARTINEZ")</f>
        <v>MARIA DEL PILAR FERNANDEZ MARTINEZ</v>
      </c>
      <c r="K492" s="56">
        <f ca="1">IFERROR(__xludf.DUMMYFUNCTION("""COMPUTED_VALUE"""),1)</f>
        <v>1</v>
      </c>
      <c r="L492" s="62">
        <f ca="1">IFERROR(__xludf.DUMMYFUNCTION("""COMPUTED_VALUE"""),1631.82)</f>
        <v>1631.82</v>
      </c>
      <c r="M492" s="33" t="str">
        <f ca="1">IFERROR(__xludf.DUMMYFUNCTION("""COMPUTED_VALUE"""),"03 ORL")</f>
        <v>03 ORL</v>
      </c>
      <c r="N492" s="33" t="str">
        <f ca="1">IFERROR(__xludf.DUMMYFUNCTION("""COMPUTED_VALUE"""),"06 ORL")</f>
        <v>06 ORL</v>
      </c>
      <c r="O492" s="33" t="str">
        <f ca="1">IFERROR(__xludf.DUMMYFUNCTION("""COMPUTED_VALUE"""),"No recuerda ORL")</f>
        <v>No recuerda ORL</v>
      </c>
      <c r="P492" s="33" t="str">
        <f ca="1">IFERROR(__xludf.DUMMYFUNCTION("""COMPUTED_VALUE"""),"Luis Alberto Rodríguez (Andalucía y Badajoz)")</f>
        <v>Luis Alberto Rodríguez (Andalucía y Badajoz)</v>
      </c>
    </row>
    <row r="493" spans="2:16">
      <c r="B493" s="74">
        <f ca="1">IFERROR(__xludf.DUMMYFUNCTION("""COMPUTED_VALUE"""),2026)</f>
        <v>2026</v>
      </c>
      <c r="C493" s="56">
        <f ca="1">IFERROR(__xludf.DUMMYFUNCTION("""COMPUTED_VALUE"""),4)</f>
        <v>4</v>
      </c>
      <c r="D493" s="33" t="str">
        <f ca="1">IFERROR(__xludf.DUMMYFUNCTION("""COMPUTED_VALUE"""),"NO")</f>
        <v>NO</v>
      </c>
      <c r="E493" s="33" t="str">
        <f ca="1">IFERROR(__xludf.DUMMYFUNCTION("""COMPUTED_VALUE"""),"Logroño")</f>
        <v>Logroño</v>
      </c>
      <c r="F493" s="57">
        <f ca="1">IFERROR(__xludf.DUMMYFUNCTION("""COMPUTED_VALUE"""),46113)</f>
        <v>46113</v>
      </c>
      <c r="G493" s="57">
        <f ca="1">IFERROR(__xludf.DUMMYFUNCTION("""COMPUTED_VALUE"""),46084)</f>
        <v>46084</v>
      </c>
      <c r="H493" s="33" t="str">
        <f ca="1">IFERROR(__xludf.DUMMYFUNCTION("""COMPUTED_VALUE"""),"Logroño")</f>
        <v>Logroño</v>
      </c>
      <c r="I493" s="33" t="str">
        <f ca="1">IFERROR(__xludf.DUMMYFUNCTION("""COMPUTED_VALUE"""),"C202633153225937666")</f>
        <v>C202633153225937666</v>
      </c>
      <c r="J493" s="33" t="str">
        <f ca="1">IFERROR(__xludf.DUMMYFUNCTION("""COMPUTED_VALUE"""),"FILOMENA MARIA TRINIDAD GARCIA GARCIA")</f>
        <v>FILOMENA MARIA TRINIDAD GARCIA GARCIA</v>
      </c>
      <c r="K493" s="56">
        <f ca="1">IFERROR(__xludf.DUMMYFUNCTION("""COMPUTED_VALUE"""),2)</f>
        <v>2</v>
      </c>
      <c r="L493" s="62">
        <f ca="1">IFERROR(__xludf.DUMMYFUNCTION("""COMPUTED_VALUE"""),3450.22)</f>
        <v>3450.22</v>
      </c>
      <c r="M493" s="33" t="str">
        <f ca="1">IFERROR(__xludf.DUMMYFUNCTION("""COMPUTED_VALUE"""),"03 ORL")</f>
        <v>03 ORL</v>
      </c>
      <c r="N493" s="33" t="str">
        <f ca="1">IFERROR(__xludf.DUMMYFUNCTION("""COMPUTED_VALUE"""),"06 ORL")</f>
        <v>06 ORL</v>
      </c>
      <c r="O493" s="33" t="str">
        <f ca="1">IFERROR(__xludf.DUMMYFUNCTION("""COMPUTED_VALUE"""),"No recuerda ORL")</f>
        <v>No recuerda ORL</v>
      </c>
      <c r="P493" s="33" t="str">
        <f ca="1">IFERROR(__xludf.DUMMYFUNCTION("""COMPUTED_VALUE"""),"Luis Alberto Rodríguez (Andalucía y Badajoz)")</f>
        <v>Luis Alberto Rodríguez (Andalucía y Badajoz)</v>
      </c>
    </row>
    <row r="494" spans="2:16">
      <c r="B494" s="74">
        <f ca="1">IFERROR(__xludf.DUMMYFUNCTION("""COMPUTED_VALUE"""),2026)</f>
        <v>2026</v>
      </c>
      <c r="C494" s="56">
        <f ca="1">IFERROR(__xludf.DUMMYFUNCTION("""COMPUTED_VALUE"""),4)</f>
        <v>4</v>
      </c>
      <c r="D494" s="33" t="str">
        <f ca="1">IFERROR(__xludf.DUMMYFUNCTION("""COMPUTED_VALUE"""),"NO")</f>
        <v>NO</v>
      </c>
      <c r="E494" s="33" t="str">
        <f ca="1">IFERROR(__xludf.DUMMYFUNCTION("""COMPUTED_VALUE"""),"Ourense")</f>
        <v>Ourense</v>
      </c>
      <c r="F494" s="57">
        <f ca="1">IFERROR(__xludf.DUMMYFUNCTION("""COMPUTED_VALUE"""),46113)</f>
        <v>46113</v>
      </c>
      <c r="G494" s="57">
        <f ca="1">IFERROR(__xludf.DUMMYFUNCTION("""COMPUTED_VALUE"""),46036)</f>
        <v>46036</v>
      </c>
      <c r="H494" s="33" t="str">
        <f ca="1">IFERROR(__xludf.DUMMYFUNCTION("""COMPUTED_VALUE"""),"Orense")</f>
        <v>Orense</v>
      </c>
      <c r="I494" s="33" t="str">
        <f ca="1">IFERROR(__xludf.DUMMYFUNCTION("""COMPUTED_VALUE"""),"C202611413754509934")</f>
        <v>C202611413754509934</v>
      </c>
      <c r="J494" s="33" t="str">
        <f ca="1">IFERROR(__xludf.DUMMYFUNCTION("""COMPUTED_VALUE"""),"MARIA ELISA CEBREIRO FERNANDEZ")</f>
        <v>MARIA ELISA CEBREIRO FERNANDEZ</v>
      </c>
      <c r="K494" s="56">
        <f ca="1">IFERROR(__xludf.DUMMYFUNCTION("""COMPUTED_VALUE"""),-1)</f>
        <v>-1</v>
      </c>
      <c r="L494" s="62">
        <f ca="1">IFERROR(__xludf.DUMMYFUNCTION("""COMPUTED_VALUE"""),-2180.91)</f>
        <v>-2180.91</v>
      </c>
      <c r="M494" s="33" t="str">
        <f ca="1">IFERROR(__xludf.DUMMYFUNCTION("""COMPUTED_VALUE"""),"03 ORL")</f>
        <v>03 ORL</v>
      </c>
      <c r="N494" s="33" t="str">
        <f ca="1">IFERROR(__xludf.DUMMYFUNCTION("""COMPUTED_VALUE"""),"06 ORL")</f>
        <v>06 ORL</v>
      </c>
      <c r="O494" s="33" t="str">
        <f ca="1">IFERROR(__xludf.DUMMYFUNCTION("""COMPUTED_VALUE"""),"Dra, Ana Quintana Sanjuan")</f>
        <v>Dra, Ana Quintana Sanjuan</v>
      </c>
      <c r="P494" s="33" t="str">
        <f ca="1">IFERROR(__xludf.DUMMYFUNCTION("""COMPUTED_VALUE"""),"Kiko Ortega (Galicia)")</f>
        <v>Kiko Ortega (Galicia)</v>
      </c>
    </row>
    <row r="495" spans="2:16">
      <c r="B495" s="74">
        <f ca="1">IFERROR(__xludf.DUMMYFUNCTION("""COMPUTED_VALUE"""),2026)</f>
        <v>2026</v>
      </c>
      <c r="C495" s="56">
        <f ca="1">IFERROR(__xludf.DUMMYFUNCTION("""COMPUTED_VALUE"""),4)</f>
        <v>4</v>
      </c>
      <c r="D495" s="33" t="str">
        <f ca="1">IFERROR(__xludf.DUMMYFUNCTION("""COMPUTED_VALUE"""),"NO")</f>
        <v>NO</v>
      </c>
      <c r="E495" s="33" t="str">
        <f ca="1">IFERROR(__xludf.DUMMYFUNCTION("""COMPUTED_VALUE"""),"Valencia- Cádiz")</f>
        <v>Valencia- Cádiz</v>
      </c>
      <c r="F495" s="57">
        <f ca="1">IFERROR(__xludf.DUMMYFUNCTION("""COMPUTED_VALUE"""),46113)</f>
        <v>46113</v>
      </c>
      <c r="G495" s="57">
        <f ca="1">IFERROR(__xludf.DUMMYFUNCTION("""COMPUTED_VALUE"""),46048)</f>
        <v>46048</v>
      </c>
      <c r="H495" s="33" t="str">
        <f ca="1">IFERROR(__xludf.DUMMYFUNCTION("""COMPUTED_VALUE"""),"Valencia- Cádiz")</f>
        <v>Valencia- Cádiz</v>
      </c>
      <c r="I495" s="33" t="str">
        <f ca="1">IFERROR(__xludf.DUMMYFUNCTION("""COMPUTED_VALUE"""),"C202612616416828504")</f>
        <v>C202612616416828504</v>
      </c>
      <c r="J495" s="33" t="str">
        <f ca="1">IFERROR(__xludf.DUMMYFUNCTION("""COMPUTED_VALUE"""),"MARIA ANGELES MONTESINOS SANTOS")</f>
        <v>MARIA ANGELES MONTESINOS SANTOS</v>
      </c>
      <c r="K495" s="56">
        <f ca="1">IFERROR(__xludf.DUMMYFUNCTION("""COMPUTED_VALUE"""),2)</f>
        <v>2</v>
      </c>
      <c r="L495" s="62">
        <f ca="1">IFERROR(__xludf.DUMMYFUNCTION("""COMPUTED_VALUE"""),2718.18)</f>
        <v>2718.18</v>
      </c>
      <c r="M495" s="33" t="str">
        <f ca="1">IFERROR(__xludf.DUMMYFUNCTION("""COMPUTED_VALUE"""),"03 ORL")</f>
        <v>03 ORL</v>
      </c>
      <c r="N495" s="33" t="str">
        <f ca="1">IFERROR(__xludf.DUMMYFUNCTION("""COMPUTED_VALUE"""),"06 ORL")</f>
        <v>06 ORL</v>
      </c>
      <c r="O495" s="33" t="str">
        <f ca="1">IFERROR(__xludf.DUMMYFUNCTION("""COMPUTED_VALUE"""),"Dra, Celia López Molla")</f>
        <v>Dra, Celia López Molla</v>
      </c>
      <c r="P495" s="33" t="str">
        <f ca="1">IFERROR(__xludf.DUMMYFUNCTION("""COMPUTED_VALUE"""),"Ramon Ferrando(Valencia)")</f>
        <v>Ramon Ferrando(Valencia)</v>
      </c>
    </row>
    <row r="496" spans="2:16">
      <c r="B496" s="74">
        <f ca="1">IFERROR(__xludf.DUMMYFUNCTION("""COMPUTED_VALUE"""),2026)</f>
        <v>2026</v>
      </c>
      <c r="C496" s="56">
        <f ca="1">IFERROR(__xludf.DUMMYFUNCTION("""COMPUTED_VALUE"""),4)</f>
        <v>4</v>
      </c>
      <c r="D496" s="33" t="str">
        <f ca="1">IFERROR(__xludf.DUMMYFUNCTION("""COMPUTED_VALUE"""),"NO")</f>
        <v>NO</v>
      </c>
      <c r="E496" s="33" t="str">
        <f ca="1">IFERROR(__xludf.DUMMYFUNCTION("""COMPUTED_VALUE"""),"Valencia- Parra")</f>
        <v>Valencia- Parra</v>
      </c>
      <c r="F496" s="57">
        <f ca="1">IFERROR(__xludf.DUMMYFUNCTION("""COMPUTED_VALUE"""),46113)</f>
        <v>46113</v>
      </c>
      <c r="G496" s="57">
        <f ca="1">IFERROR(__xludf.DUMMYFUNCTION("""COMPUTED_VALUE"""),46085)</f>
        <v>46085</v>
      </c>
      <c r="H496" s="33" t="str">
        <f ca="1">IFERROR(__xludf.DUMMYFUNCTION("""COMPUTED_VALUE"""),"Valencia- Parra")</f>
        <v>Valencia- Parra</v>
      </c>
      <c r="I496" s="33" t="str">
        <f ca="1">IFERROR(__xludf.DUMMYFUNCTION("""COMPUTED_VALUE"""),"C202634105857508816")</f>
        <v>C202634105857508816</v>
      </c>
      <c r="J496" s="33" t="str">
        <f ca="1">IFERROR(__xludf.DUMMYFUNCTION("""COMPUTED_VALUE"""),"ALEX BOIX DEL OLMO")</f>
        <v>ALEX BOIX DEL OLMO</v>
      </c>
      <c r="K496" s="56">
        <f ca="1">IFERROR(__xludf.DUMMYFUNCTION("""COMPUTED_VALUE"""),2)</f>
        <v>2</v>
      </c>
      <c r="L496" s="62">
        <f ca="1">IFERROR(__xludf.DUMMYFUNCTION("""COMPUTED_VALUE"""),3631.82)</f>
        <v>3631.82</v>
      </c>
      <c r="M496" s="33" t="str">
        <f ca="1">IFERROR(__xludf.DUMMYFUNCTION("""COMPUTED_VALUE"""),"03 ORL")</f>
        <v>03 ORL</v>
      </c>
      <c r="N496" s="33" t="str">
        <f ca="1">IFERROR(__xludf.DUMMYFUNCTION("""COMPUTED_VALUE"""),"06 ORL")</f>
        <v>06 ORL</v>
      </c>
      <c r="O496" s="33" t="str">
        <f ca="1">IFERROR(__xludf.DUMMYFUNCTION("""COMPUTED_VALUE"""),"Dr, Manuel Mateos Fernández")</f>
        <v>Dr, Manuel Mateos Fernández</v>
      </c>
      <c r="P496" s="33" t="str">
        <f ca="1">IFERROR(__xludf.DUMMYFUNCTION("""COMPUTED_VALUE"""),"Ramon Ferrando(Valencia)")</f>
        <v>Ramon Ferrando(Valencia)</v>
      </c>
    </row>
    <row r="497" spans="2:16">
      <c r="B497" s="74">
        <f ca="1">IFERROR(__xludf.DUMMYFUNCTION("""COMPUTED_VALUE"""),2026)</f>
        <v>2026</v>
      </c>
      <c r="C497" s="56">
        <f ca="1">IFERROR(__xludf.DUMMYFUNCTION("""COMPUTED_VALUE"""),4)</f>
        <v>4</v>
      </c>
      <c r="D497" s="33" t="str">
        <f ca="1">IFERROR(__xludf.DUMMYFUNCTION("""COMPUTED_VALUE"""),"NO")</f>
        <v>NO</v>
      </c>
      <c r="E497" s="33" t="str">
        <f ca="1">IFERROR(__xludf.DUMMYFUNCTION("""COMPUTED_VALUE"""),"Valencia- Parra")</f>
        <v>Valencia- Parra</v>
      </c>
      <c r="F497" s="57">
        <f ca="1">IFERROR(__xludf.DUMMYFUNCTION("""COMPUTED_VALUE"""),46113)</f>
        <v>46113</v>
      </c>
      <c r="G497" s="57">
        <f ca="1">IFERROR(__xludf.DUMMYFUNCTION("""COMPUTED_VALUE"""),46069)</f>
        <v>46069</v>
      </c>
      <c r="H497" s="33" t="str">
        <f ca="1">IFERROR(__xludf.DUMMYFUNCTION("""COMPUTED_VALUE"""),"Valencia- Parra")</f>
        <v>Valencia- Parra</v>
      </c>
      <c r="I497" s="33" t="str">
        <f ca="1">IFERROR(__xludf.DUMMYFUNCTION("""COMPUTED_VALUE"""),"C202621616484989719")</f>
        <v>C202621616484989719</v>
      </c>
      <c r="J497" s="33" t="str">
        <f ca="1">IFERROR(__xludf.DUMMYFUNCTION("""COMPUTED_VALUE"""),"SALVADOR DONIS CORTINA")</f>
        <v>SALVADOR DONIS CORTINA</v>
      </c>
      <c r="K497" s="56">
        <f ca="1">IFERROR(__xludf.DUMMYFUNCTION("""COMPUTED_VALUE"""),2)</f>
        <v>2</v>
      </c>
      <c r="L497" s="62">
        <f ca="1">IFERROR(__xludf.DUMMYFUNCTION("""COMPUTED_VALUE"""),3631.82)</f>
        <v>3631.82</v>
      </c>
      <c r="M497" s="33" t="str">
        <f ca="1">IFERROR(__xludf.DUMMYFUNCTION("""COMPUTED_VALUE"""),"03 ORL")</f>
        <v>03 ORL</v>
      </c>
      <c r="N497" s="33" t="str">
        <f ca="1">IFERROR(__xludf.DUMMYFUNCTION("""COMPUTED_VALUE"""),"06 ORL")</f>
        <v>06 ORL</v>
      </c>
      <c r="O497" s="33" t="str">
        <f ca="1">IFERROR(__xludf.DUMMYFUNCTION("""COMPUTED_VALUE"""),"Dra, María José Lesmas Navarro")</f>
        <v>Dra, María José Lesmas Navarro</v>
      </c>
      <c r="P497" s="33" t="str">
        <f ca="1">IFERROR(__xludf.DUMMYFUNCTION("""COMPUTED_VALUE"""),"Ramon Ferrando(Valencia)")</f>
        <v>Ramon Ferrando(Valencia)</v>
      </c>
    </row>
    <row r="498" spans="2:16">
      <c r="B498" s="74">
        <f ca="1">IFERROR(__xludf.DUMMYFUNCTION("""COMPUTED_VALUE"""),2026)</f>
        <v>2026</v>
      </c>
      <c r="C498" s="56">
        <f ca="1">IFERROR(__xludf.DUMMYFUNCTION("""COMPUTED_VALUE"""),4)</f>
        <v>4</v>
      </c>
      <c r="D498" s="33" t="str">
        <f ca="1">IFERROR(__xludf.DUMMYFUNCTION("""COMPUTED_VALUE"""),"NO")</f>
        <v>NO</v>
      </c>
      <c r="E498" s="33" t="str">
        <f ca="1">IFERROR(__xludf.DUMMYFUNCTION("""COMPUTED_VALUE"""),"Murcia")</f>
        <v>Murcia</v>
      </c>
      <c r="F498" s="57">
        <f ca="1">IFERROR(__xludf.DUMMYFUNCTION("""COMPUTED_VALUE"""),46113)</f>
        <v>46113</v>
      </c>
      <c r="G498" s="57">
        <f ca="1">IFERROR(__xludf.DUMMYFUNCTION("""COMPUTED_VALUE"""),46085)</f>
        <v>46085</v>
      </c>
      <c r="H498" s="33" t="str">
        <f ca="1">IFERROR(__xludf.DUMMYFUNCTION("""COMPUTED_VALUE"""),"Murcia")</f>
        <v>Murcia</v>
      </c>
      <c r="I498" s="33" t="str">
        <f ca="1">IFERROR(__xludf.DUMMYFUNCTION("""COMPUTED_VALUE"""),"C202634122611315393")</f>
        <v>C202634122611315393</v>
      </c>
      <c r="J498" s="33" t="str">
        <f ca="1">IFERROR(__xludf.DUMMYFUNCTION("""COMPUTED_VALUE"""),"MARIA PEREZ PELLICER")</f>
        <v>MARIA PEREZ PELLICER</v>
      </c>
      <c r="K498" s="56">
        <f ca="1">IFERROR(__xludf.DUMMYFUNCTION("""COMPUTED_VALUE"""),1)</f>
        <v>1</v>
      </c>
      <c r="L498" s="62">
        <f ca="1">IFERROR(__xludf.DUMMYFUNCTION("""COMPUTED_VALUE"""),1631.82)</f>
        <v>1631.82</v>
      </c>
      <c r="M498" s="33" t="str">
        <f ca="1">IFERROR(__xludf.DUMMYFUNCTION("""COMPUTED_VALUE"""),"03 ORL")</f>
        <v>03 ORL</v>
      </c>
      <c r="N498" s="33" t="str">
        <f ca="1">IFERROR(__xludf.DUMMYFUNCTION("""COMPUTED_VALUE"""),"06 ORL")</f>
        <v>06 ORL</v>
      </c>
      <c r="O498" s="33" t="str">
        <f ca="1">IFERROR(__xludf.DUMMYFUNCTION("""COMPUTED_VALUE"""),"Dra, Cristina Esther Torregrosa Carrasquer")</f>
        <v>Dra, Cristina Esther Torregrosa Carrasquer</v>
      </c>
      <c r="P498" s="33" t="str">
        <f ca="1">IFERROR(__xludf.DUMMYFUNCTION("""COMPUTED_VALUE"""),"Iván Sánchez (Levante y Albacete)")</f>
        <v>Iván Sánchez (Levante y Albacete)</v>
      </c>
    </row>
    <row r="499" spans="2:16">
      <c r="B499" s="74">
        <f ca="1">IFERROR(__xludf.DUMMYFUNCTION("""COMPUTED_VALUE"""),2026)</f>
        <v>2026</v>
      </c>
      <c r="C499" s="56">
        <f ca="1">IFERROR(__xludf.DUMMYFUNCTION("""COMPUTED_VALUE"""),4)</f>
        <v>4</v>
      </c>
      <c r="D499" s="33" t="str">
        <f ca="1">IFERROR(__xludf.DUMMYFUNCTION("""COMPUTED_VALUE"""),"NO")</f>
        <v>NO</v>
      </c>
      <c r="E499" s="33" t="str">
        <f ca="1">IFERROR(__xludf.DUMMYFUNCTION("""COMPUTED_VALUE"""),"Alicante")</f>
        <v>Alicante</v>
      </c>
      <c r="F499" s="57">
        <f ca="1">IFERROR(__xludf.DUMMYFUNCTION("""COMPUTED_VALUE"""),46114)</f>
        <v>46114</v>
      </c>
      <c r="G499" s="57">
        <f ca="1">IFERROR(__xludf.DUMMYFUNCTION("""COMPUTED_VALUE"""),45099)</f>
        <v>45099</v>
      </c>
      <c r="H499" s="33" t="str">
        <f ca="1">IFERROR(__xludf.DUMMYFUNCTION("""COMPUTED_VALUE"""),"Alicante")</f>
        <v>Alicante</v>
      </c>
      <c r="I499" s="33" t="str">
        <f ca="1">IFERROR(__xludf.DUMMYFUNCTION("""COMPUTED_VALUE"""),"ALC-3494")</f>
        <v>ALC-3494</v>
      </c>
      <c r="J499" s="33" t="str">
        <f ca="1">IFERROR(__xludf.DUMMYFUNCTION("""COMPUTED_VALUE"""),"RICHARD JOHNSTON")</f>
        <v>RICHARD JOHNSTON</v>
      </c>
      <c r="K499" s="56">
        <f ca="1">IFERROR(__xludf.DUMMYFUNCTION("""COMPUTED_VALUE"""),2)</f>
        <v>2</v>
      </c>
      <c r="L499" s="62">
        <f ca="1">IFERROR(__xludf.DUMMYFUNCTION("""COMPUTED_VALUE"""),3087.04)</f>
        <v>3087.04</v>
      </c>
      <c r="M499" s="33" t="str">
        <f ca="1">IFERROR(__xludf.DUMMYFUNCTION("""COMPUTED_VALUE"""),"03 ORL")</f>
        <v>03 ORL</v>
      </c>
      <c r="N499" s="33" t="str">
        <f ca="1">IFERROR(__xludf.DUMMYFUNCTION("""COMPUTED_VALUE"""),"06 ORL")</f>
        <v>06 ORL</v>
      </c>
      <c r="O499" s="33" t="str">
        <f ca="1">IFERROR(__xludf.DUMMYFUNCTION("""COMPUTED_VALUE"""),"Dra, Maria Rosario Ferrandiz García")</f>
        <v>Dra, Maria Rosario Ferrandiz García</v>
      </c>
      <c r="P499" s="33" t="str">
        <f ca="1">IFERROR(__xludf.DUMMYFUNCTION("""COMPUTED_VALUE"""),"Iván Sánchez (Levante y Albacete)")</f>
        <v>Iván Sánchez (Levante y Albacete)</v>
      </c>
    </row>
    <row r="500" spans="2:16">
      <c r="B500" s="74">
        <f ca="1">IFERROR(__xludf.DUMMYFUNCTION("""COMPUTED_VALUE"""),2026)</f>
        <v>2026</v>
      </c>
      <c r="C500" s="56">
        <f ca="1">IFERROR(__xludf.DUMMYFUNCTION("""COMPUTED_VALUE"""),4)</f>
        <v>4</v>
      </c>
      <c r="D500" s="33" t="str">
        <f ca="1">IFERROR(__xludf.DUMMYFUNCTION("""COMPUTED_VALUE"""),"NO")</f>
        <v>NO</v>
      </c>
      <c r="E500" s="33" t="str">
        <f ca="1">IFERROR(__xludf.DUMMYFUNCTION("""COMPUTED_VALUE"""),"San Javier")</f>
        <v>San Javier</v>
      </c>
      <c r="F500" s="57">
        <f ca="1">IFERROR(__xludf.DUMMYFUNCTION("""COMPUTED_VALUE"""),46118)</f>
        <v>46118</v>
      </c>
      <c r="G500" s="57">
        <f ca="1">IFERROR(__xludf.DUMMYFUNCTION("""COMPUTED_VALUE"""),46084)</f>
        <v>46084</v>
      </c>
      <c r="H500" s="33" t="str">
        <f ca="1">IFERROR(__xludf.DUMMYFUNCTION("""COMPUTED_VALUE"""),"San Javier")</f>
        <v>San Javier</v>
      </c>
      <c r="I500" s="33" t="str">
        <f ca="1">IFERROR(__xludf.DUMMYFUNCTION("""COMPUTED_VALUE"""),"C202633183320857874")</f>
        <v>C202633183320857874</v>
      </c>
      <c r="J500" s="33" t="str">
        <f ca="1">IFERROR(__xludf.DUMMYFUNCTION("""COMPUTED_VALUE"""),"TERESA FRUTOS PINTADO")</f>
        <v>TERESA FRUTOS PINTADO</v>
      </c>
      <c r="K500" s="56">
        <f ca="1">IFERROR(__xludf.DUMMYFUNCTION("""COMPUTED_VALUE"""),2)</f>
        <v>2</v>
      </c>
      <c r="L500" s="62">
        <f ca="1">IFERROR(__xludf.DUMMYFUNCTION("""COMPUTED_VALUE"""),3631.82)</f>
        <v>3631.82</v>
      </c>
      <c r="M500" s="33" t="str">
        <f ca="1">IFERROR(__xludf.DUMMYFUNCTION("""COMPUTED_VALUE"""),"03 ORL")</f>
        <v>03 ORL</v>
      </c>
      <c r="N500" s="33" t="str">
        <f ca="1">IFERROR(__xludf.DUMMYFUNCTION("""COMPUTED_VALUE"""),"06 ORL")</f>
        <v>06 ORL</v>
      </c>
      <c r="O500" s="33" t="str">
        <f ca="1">IFERROR(__xludf.DUMMYFUNCTION("""COMPUTED_VALUE"""),"Dr, Enrique López Meseguer")</f>
        <v>Dr, Enrique López Meseguer</v>
      </c>
      <c r="P500" s="33" t="str">
        <f ca="1">IFERROR(__xludf.DUMMYFUNCTION("""COMPUTED_VALUE"""),"Iván Sánchez (Levante y Albacete)")</f>
        <v>Iván Sánchez (Levante y Albacete)</v>
      </c>
    </row>
    <row r="501" spans="2:16">
      <c r="B501" s="74">
        <f ca="1">IFERROR(__xludf.DUMMYFUNCTION("""COMPUTED_VALUE"""),2026)</f>
        <v>2026</v>
      </c>
      <c r="C501" s="56">
        <f ca="1">IFERROR(__xludf.DUMMYFUNCTION("""COMPUTED_VALUE"""),4)</f>
        <v>4</v>
      </c>
      <c r="D501" s="33" t="str">
        <f ca="1">IFERROR(__xludf.DUMMYFUNCTION("""COMPUTED_VALUE"""),"NO")</f>
        <v>NO</v>
      </c>
      <c r="E501" s="33" t="str">
        <f ca="1">IFERROR(__xludf.DUMMYFUNCTION("""COMPUTED_VALUE"""),"Móstoles")</f>
        <v>Móstoles</v>
      </c>
      <c r="F501" s="57">
        <f ca="1">IFERROR(__xludf.DUMMYFUNCTION("""COMPUTED_VALUE"""),46118)</f>
        <v>46118</v>
      </c>
      <c r="G501" s="57">
        <f ca="1">IFERROR(__xludf.DUMMYFUNCTION("""COMPUTED_VALUE"""),46079)</f>
        <v>46079</v>
      </c>
      <c r="H501" s="33" t="str">
        <f ca="1">IFERROR(__xludf.DUMMYFUNCTION("""COMPUTED_VALUE"""),"Móstoles")</f>
        <v>Móstoles</v>
      </c>
      <c r="I501" s="33" t="str">
        <f ca="1">IFERROR(__xludf.DUMMYFUNCTION("""COMPUTED_VALUE"""),"C202622616103451654")</f>
        <v>C202622616103451654</v>
      </c>
      <c r="J501" s="33" t="str">
        <f ca="1">IFERROR(__xludf.DUMMYFUNCTION("""COMPUTED_VALUE"""),"JONH ALFRED SABATINI")</f>
        <v>JONH ALFRED SABATINI</v>
      </c>
      <c r="K501" s="56">
        <f ca="1">IFERROR(__xludf.DUMMYFUNCTION("""COMPUTED_VALUE"""),2)</f>
        <v>2</v>
      </c>
      <c r="L501" s="62">
        <f ca="1">IFERROR(__xludf.DUMMYFUNCTION("""COMPUTED_VALUE"""),3631.82)</f>
        <v>3631.82</v>
      </c>
      <c r="M501" s="33" t="str">
        <f ca="1">IFERROR(__xludf.DUMMYFUNCTION("""COMPUTED_VALUE"""),"03 ORL")</f>
        <v>03 ORL</v>
      </c>
      <c r="N501" s="33" t="str">
        <f ca="1">IFERROR(__xludf.DUMMYFUNCTION("""COMPUTED_VALUE"""),"06 ORL")</f>
        <v>06 ORL</v>
      </c>
      <c r="O501" s="33" t="str">
        <f ca="1">IFERROR(__xludf.DUMMYFUNCTION("""COMPUTED_VALUE"""),"Dra, Laura del Toro Gil")</f>
        <v>Dra, Laura del Toro Gil</v>
      </c>
      <c r="P501" s="33" t="str">
        <f ca="1">IFERROR(__xludf.DUMMYFUNCTION("""COMPUTED_VALUE"""),"Maika Blázquez (Madrid)")</f>
        <v>Maika Blázquez (Madrid)</v>
      </c>
    </row>
    <row r="502" spans="2:16">
      <c r="B502" s="74">
        <f ca="1">IFERROR(__xludf.DUMMYFUNCTION("""COMPUTED_VALUE"""),2026)</f>
        <v>2026</v>
      </c>
      <c r="C502" s="56">
        <f ca="1">IFERROR(__xludf.DUMMYFUNCTION("""COMPUTED_VALUE"""),4)</f>
        <v>4</v>
      </c>
      <c r="D502" s="33" t="str">
        <f ca="1">IFERROR(__xludf.DUMMYFUNCTION("""COMPUTED_VALUE"""),"NO")</f>
        <v>NO</v>
      </c>
      <c r="E502" s="33" t="str">
        <f ca="1">IFERROR(__xludf.DUMMYFUNCTION("""COMPUTED_VALUE"""),"Sevilla- Montoto")</f>
        <v>Sevilla- Montoto</v>
      </c>
      <c r="F502" s="57">
        <f ca="1">IFERROR(__xludf.DUMMYFUNCTION("""COMPUTED_VALUE"""),46118)</f>
        <v>46118</v>
      </c>
      <c r="G502" s="57">
        <f ca="1">IFERROR(__xludf.DUMMYFUNCTION("""COMPUTED_VALUE"""),46079)</f>
        <v>46079</v>
      </c>
      <c r="H502" s="33" t="str">
        <f ca="1">IFERROR(__xludf.DUMMYFUNCTION("""COMPUTED_VALUE"""),"Montoto")</f>
        <v>Montoto</v>
      </c>
      <c r="I502" s="33" t="str">
        <f ca="1">IFERROR(__xludf.DUMMYFUNCTION("""COMPUTED_VALUE"""),"C202622612343624663")</f>
        <v>C202622612343624663</v>
      </c>
      <c r="J502" s="33" t="str">
        <f ca="1">IFERROR(__xludf.DUMMYFUNCTION("""COMPUTED_VALUE"""),"FLORA FERNANDEZ RIVAS")</f>
        <v>FLORA FERNANDEZ RIVAS</v>
      </c>
      <c r="K502" s="56">
        <f ca="1">IFERROR(__xludf.DUMMYFUNCTION("""COMPUTED_VALUE"""),2)</f>
        <v>2</v>
      </c>
      <c r="L502" s="62">
        <f ca="1">IFERROR(__xludf.DUMMYFUNCTION("""COMPUTED_VALUE"""),3450)</f>
        <v>3450</v>
      </c>
      <c r="M502" s="33" t="str">
        <f ca="1">IFERROR(__xludf.DUMMYFUNCTION("""COMPUTED_VALUE"""),"03 ORL")</f>
        <v>03 ORL</v>
      </c>
      <c r="N502" s="33" t="str">
        <f ca="1">IFERROR(__xludf.DUMMYFUNCTION("""COMPUTED_VALUE"""),"06 ORL")</f>
        <v>06 ORL</v>
      </c>
      <c r="O502" s="33" t="str">
        <f ca="1">IFERROR(__xludf.DUMMYFUNCTION("""COMPUTED_VALUE"""),"Dr, Alfonso María Pérez Sánchez")</f>
        <v>Dr, Alfonso María Pérez Sánchez</v>
      </c>
      <c r="P502" s="33" t="str">
        <f ca="1">IFERROR(__xludf.DUMMYFUNCTION("""COMPUTED_VALUE"""),"Luis Alberto Rodríguez (Andalucía y Badajoz)")</f>
        <v>Luis Alberto Rodríguez (Andalucía y Badajoz)</v>
      </c>
    </row>
    <row r="503" spans="2:16">
      <c r="B503" s="74">
        <f ca="1">IFERROR(__xludf.DUMMYFUNCTION("""COMPUTED_VALUE"""),2026)</f>
        <v>2026</v>
      </c>
      <c r="C503" s="56">
        <f ca="1">IFERROR(__xludf.DUMMYFUNCTION("""COMPUTED_VALUE"""),4)</f>
        <v>4</v>
      </c>
      <c r="D503" s="33" t="str">
        <f ca="1">IFERROR(__xludf.DUMMYFUNCTION("""COMPUTED_VALUE"""),"NO")</f>
        <v>NO</v>
      </c>
      <c r="E503" s="33" t="str">
        <f ca="1">IFERROR(__xludf.DUMMYFUNCTION("""COMPUTED_VALUE"""),"Salamanca")</f>
        <v>Salamanca</v>
      </c>
      <c r="F503" s="57">
        <f ca="1">IFERROR(__xludf.DUMMYFUNCTION("""COMPUTED_VALUE"""),46118)</f>
        <v>46118</v>
      </c>
      <c r="G503" s="57">
        <f ca="1">IFERROR(__xludf.DUMMYFUNCTION("""COMPUTED_VALUE"""),46069)</f>
        <v>46069</v>
      </c>
      <c r="H503" s="33" t="str">
        <f ca="1">IFERROR(__xludf.DUMMYFUNCTION("""COMPUTED_VALUE"""),"Salamanca")</f>
        <v>Salamanca</v>
      </c>
      <c r="I503" s="33" t="str">
        <f ca="1">IFERROR(__xludf.DUMMYFUNCTION("""COMPUTED_VALUE"""),"C202621617193508468")</f>
        <v>C202621617193508468</v>
      </c>
      <c r="J503" s="33" t="str">
        <f ca="1">IFERROR(__xludf.DUMMYFUNCTION("""COMPUTED_VALUE"""),"JUAN JOSE MARTIN GONZALO")</f>
        <v>JUAN JOSE MARTIN GONZALO</v>
      </c>
      <c r="K503" s="56">
        <f ca="1">IFERROR(__xludf.DUMMYFUNCTION("""COMPUTED_VALUE"""),1)</f>
        <v>1</v>
      </c>
      <c r="L503" s="62">
        <f ca="1">IFERROR(__xludf.DUMMYFUNCTION("""COMPUTED_VALUE"""),1784.55)</f>
        <v>1784.55</v>
      </c>
      <c r="M503" s="33" t="str">
        <f ca="1">IFERROR(__xludf.DUMMYFUNCTION("""COMPUTED_VALUE"""),"03 ORL")</f>
        <v>03 ORL</v>
      </c>
      <c r="N503" s="33" t="str">
        <f ca="1">IFERROR(__xludf.DUMMYFUNCTION("""COMPUTED_VALUE"""),"06 ORL")</f>
        <v>06 ORL</v>
      </c>
      <c r="O503" s="33" t="str">
        <f ca="1">IFERROR(__xludf.DUMMYFUNCTION("""COMPUTED_VALUE"""),"Dr, Jose Antonio Sancipriano Hernández")</f>
        <v>Dr, Jose Antonio Sancipriano Hernández</v>
      </c>
      <c r="P503" s="33" t="str">
        <f ca="1">IFERROR(__xludf.DUMMYFUNCTION("""COMPUTED_VALUE"""),"Alberto Moreno (Madrid)")</f>
        <v>Alberto Moreno (Madrid)</v>
      </c>
    </row>
    <row r="504" spans="2:16">
      <c r="B504" s="74">
        <f ca="1">IFERROR(__xludf.DUMMYFUNCTION("""COMPUTED_VALUE"""),2026)</f>
        <v>2026</v>
      </c>
      <c r="C504" s="56">
        <f ca="1">IFERROR(__xludf.DUMMYFUNCTION("""COMPUTED_VALUE"""),4)</f>
        <v>4</v>
      </c>
      <c r="D504" s="33" t="str">
        <f ca="1">IFERROR(__xludf.DUMMYFUNCTION("""COMPUTED_VALUE"""),"NO")</f>
        <v>NO</v>
      </c>
      <c r="E504" s="33" t="str">
        <f ca="1">IFERROR(__xludf.DUMMYFUNCTION("""COMPUTED_VALUE"""),"Sevilla- Montoto")</f>
        <v>Sevilla- Montoto</v>
      </c>
      <c r="F504" s="57">
        <f ca="1">IFERROR(__xludf.DUMMYFUNCTION("""COMPUTED_VALUE"""),46119)</f>
        <v>46119</v>
      </c>
      <c r="G504" s="57">
        <f ca="1">IFERROR(__xludf.DUMMYFUNCTION("""COMPUTED_VALUE"""),46029)</f>
        <v>46029</v>
      </c>
      <c r="H504" s="33" t="str">
        <f ca="1">IFERROR(__xludf.DUMMYFUNCTION("""COMPUTED_VALUE"""),"Montoto")</f>
        <v>Montoto</v>
      </c>
      <c r="I504" s="33" t="str">
        <f ca="1">IFERROR(__xludf.DUMMYFUNCTION("""COMPUTED_VALUE"""),"C202617113119363215")</f>
        <v>C202617113119363215</v>
      </c>
      <c r="J504" s="33" t="str">
        <f ca="1">IFERROR(__xludf.DUMMYFUNCTION("""COMPUTED_VALUE"""),"MARIA ANTONIA VILLEGAS MARQUEZ")</f>
        <v>MARIA ANTONIA VILLEGAS MARQUEZ</v>
      </c>
      <c r="K504" s="56">
        <f ca="1">IFERROR(__xludf.DUMMYFUNCTION("""COMPUTED_VALUE"""),2)</f>
        <v>2</v>
      </c>
      <c r="L504" s="62">
        <f ca="1">IFERROR(__xludf.DUMMYFUNCTION("""COMPUTED_VALUE"""),3631.82)</f>
        <v>3631.82</v>
      </c>
      <c r="M504" s="33" t="str">
        <f ca="1">IFERROR(__xludf.DUMMYFUNCTION("""COMPUTED_VALUE"""),"03 ORL")</f>
        <v>03 ORL</v>
      </c>
      <c r="N504" s="33" t="str">
        <f ca="1">IFERROR(__xludf.DUMMYFUNCTION("""COMPUTED_VALUE"""),"06 ORL")</f>
        <v>06 ORL</v>
      </c>
      <c r="O504" s="33" t="str">
        <f ca="1">IFERROR(__xludf.DUMMYFUNCTION("""COMPUTED_VALUE"""),"Dr, Antonio Gandúl Merchán")</f>
        <v>Dr, Antonio Gandúl Merchán</v>
      </c>
      <c r="P504" s="33" t="str">
        <f ca="1">IFERROR(__xludf.DUMMYFUNCTION("""COMPUTED_VALUE"""),"Luis Alberto Rodríguez (Andalucía y Badajoz)")</f>
        <v>Luis Alberto Rodríguez (Andalucía y Badajoz)</v>
      </c>
    </row>
    <row r="505" spans="2:16">
      <c r="B505" s="74">
        <f ca="1">IFERROR(__xludf.DUMMYFUNCTION("""COMPUTED_VALUE"""),2026)</f>
        <v>2026</v>
      </c>
      <c r="C505" s="56">
        <f ca="1">IFERROR(__xludf.DUMMYFUNCTION("""COMPUTED_VALUE"""),4)</f>
        <v>4</v>
      </c>
      <c r="D505" s="33" t="str">
        <f ca="1">IFERROR(__xludf.DUMMYFUNCTION("""COMPUTED_VALUE"""),"NO")</f>
        <v>NO</v>
      </c>
      <c r="E505" s="33" t="str">
        <f ca="1">IFERROR(__xludf.DUMMYFUNCTION("""COMPUTED_VALUE"""),"Ourense")</f>
        <v>Ourense</v>
      </c>
      <c r="F505" s="57">
        <f ca="1">IFERROR(__xludf.DUMMYFUNCTION("""COMPUTED_VALUE"""),46119)</f>
        <v>46119</v>
      </c>
      <c r="G505" s="57">
        <f ca="1">IFERROR(__xludf.DUMMYFUNCTION("""COMPUTED_VALUE"""),46086)</f>
        <v>46086</v>
      </c>
      <c r="H505" s="33" t="str">
        <f ca="1">IFERROR(__xludf.DUMMYFUNCTION("""COMPUTED_VALUE"""),"Orense")</f>
        <v>Orense</v>
      </c>
      <c r="I505" s="33" t="str">
        <f ca="1">IFERROR(__xludf.DUMMYFUNCTION("""COMPUTED_VALUE"""),"C202635124418697047")</f>
        <v>C202635124418697047</v>
      </c>
      <c r="J505" s="33" t="str">
        <f ca="1">IFERROR(__xludf.DUMMYFUNCTION("""COMPUTED_VALUE"""),"ROSA FERNANDEZ MORGADE")</f>
        <v>ROSA FERNANDEZ MORGADE</v>
      </c>
      <c r="K505" s="56">
        <f ca="1">IFERROR(__xludf.DUMMYFUNCTION("""COMPUTED_VALUE"""),2)</f>
        <v>2</v>
      </c>
      <c r="L505" s="62">
        <f ca="1">IFERROR(__xludf.DUMMYFUNCTION("""COMPUTED_VALUE"""),2718.18)</f>
        <v>2718.18</v>
      </c>
      <c r="M505" s="33" t="str">
        <f ca="1">IFERROR(__xludf.DUMMYFUNCTION("""COMPUTED_VALUE"""),"03 ORL")</f>
        <v>03 ORL</v>
      </c>
      <c r="N505" s="33" t="str">
        <f ca="1">IFERROR(__xludf.DUMMYFUNCTION("""COMPUTED_VALUE"""),"06 ORL")</f>
        <v>06 ORL</v>
      </c>
      <c r="O505" s="33" t="str">
        <f ca="1">IFERROR(__xludf.DUMMYFUNCTION("""COMPUTED_VALUE"""),"No recuerda ORL")</f>
        <v>No recuerda ORL</v>
      </c>
      <c r="P505" s="33" t="str">
        <f ca="1">IFERROR(__xludf.DUMMYFUNCTION("""COMPUTED_VALUE"""),"Kiko Ortega (Galicia)")</f>
        <v>Kiko Ortega (Galicia)</v>
      </c>
    </row>
    <row r="506" spans="2:16">
      <c r="B506" s="74">
        <f ca="1">IFERROR(__xludf.DUMMYFUNCTION("""COMPUTED_VALUE"""),2026)</f>
        <v>2026</v>
      </c>
      <c r="C506" s="56">
        <f ca="1">IFERROR(__xludf.DUMMYFUNCTION("""COMPUTED_VALUE"""),4)</f>
        <v>4</v>
      </c>
      <c r="D506" s="33" t="str">
        <f ca="1">IFERROR(__xludf.DUMMYFUNCTION("""COMPUTED_VALUE"""),"NO")</f>
        <v>NO</v>
      </c>
      <c r="E506" s="33" t="str">
        <f ca="1">IFERROR(__xludf.DUMMYFUNCTION("""COMPUTED_VALUE"""),"Madrid- Juan Bravo")</f>
        <v>Madrid- Juan Bravo</v>
      </c>
      <c r="F506" s="57">
        <f ca="1">IFERROR(__xludf.DUMMYFUNCTION("""COMPUTED_VALUE"""),46119)</f>
        <v>46119</v>
      </c>
      <c r="G506" s="57">
        <f ca="1">IFERROR(__xludf.DUMMYFUNCTION("""COMPUTED_VALUE"""),46092)</f>
        <v>46092</v>
      </c>
      <c r="H506" s="33" t="str">
        <f ca="1">IFERROR(__xludf.DUMMYFUNCTION("""COMPUTED_VALUE"""),"Juan Bravo")</f>
        <v>Juan Bravo</v>
      </c>
      <c r="I506" s="33" t="str">
        <f ca="1">IFERROR(__xludf.DUMMYFUNCTION("""COMPUTED_VALUE"""),"C202631111595485356")</f>
        <v>C202631111595485356</v>
      </c>
      <c r="J506" s="33" t="str">
        <f ca="1">IFERROR(__xludf.DUMMYFUNCTION("""COMPUTED_VALUE"""),"SERAFIN ARANDA GAMEZ")</f>
        <v>SERAFIN ARANDA GAMEZ</v>
      </c>
      <c r="K506" s="56">
        <f ca="1">IFERROR(__xludf.DUMMYFUNCTION("""COMPUTED_VALUE"""),2)</f>
        <v>2</v>
      </c>
      <c r="L506" s="62">
        <f ca="1">IFERROR(__xludf.DUMMYFUNCTION("""COMPUTED_VALUE"""),2718.18)</f>
        <v>2718.18</v>
      </c>
      <c r="M506" s="33" t="str">
        <f ca="1">IFERROR(__xludf.DUMMYFUNCTION("""COMPUTED_VALUE"""),"03 ORL")</f>
        <v>03 ORL</v>
      </c>
      <c r="N506" s="33" t="str">
        <f ca="1">IFERROR(__xludf.DUMMYFUNCTION("""COMPUTED_VALUE"""),"06 ORL")</f>
        <v>06 ORL</v>
      </c>
      <c r="O506" s="33" t="str">
        <f ca="1">IFERROR(__xludf.DUMMYFUNCTION("""COMPUTED_VALUE"""),"Dr, Carlos Barajas del Rosal")</f>
        <v>Dr, Carlos Barajas del Rosal</v>
      </c>
      <c r="P506" s="33" t="str">
        <f ca="1">IFERROR(__xludf.DUMMYFUNCTION("""COMPUTED_VALUE"""),"Lisandro Russian (Madrid, Cáceres, Toledo, Talavera y Logroño)")</f>
        <v>Lisandro Russian (Madrid, Cáceres, Toledo, Talavera y Logroño)</v>
      </c>
    </row>
    <row r="507" spans="2:16">
      <c r="B507" s="74">
        <f ca="1">IFERROR(__xludf.DUMMYFUNCTION("""COMPUTED_VALUE"""),2026)</f>
        <v>2026</v>
      </c>
      <c r="C507" s="56">
        <f ca="1">IFERROR(__xludf.DUMMYFUNCTION("""COMPUTED_VALUE"""),4)</f>
        <v>4</v>
      </c>
      <c r="D507" s="33" t="str">
        <f ca="1">IFERROR(__xludf.DUMMYFUNCTION("""COMPUTED_VALUE"""),"NO")</f>
        <v>NO</v>
      </c>
      <c r="E507" s="33" t="str">
        <f ca="1">IFERROR(__xludf.DUMMYFUNCTION("""COMPUTED_VALUE"""),"Madrid- Monforte de Lemos")</f>
        <v>Madrid- Monforte de Lemos</v>
      </c>
      <c r="F507" s="57">
        <f ca="1">IFERROR(__xludf.DUMMYFUNCTION("""COMPUTED_VALUE"""),46119)</f>
        <v>46119</v>
      </c>
      <c r="G507" s="57">
        <f ca="1">IFERROR(__xludf.DUMMYFUNCTION("""COMPUTED_VALUE"""),46097)</f>
        <v>46097</v>
      </c>
      <c r="H507" s="33" t="str">
        <f ca="1">IFERROR(__xludf.DUMMYFUNCTION("""COMPUTED_VALUE"""),"La Vaguada")</f>
        <v>La Vaguada</v>
      </c>
      <c r="I507" s="33" t="str">
        <f ca="1">IFERROR(__xludf.DUMMYFUNCTION("""COMPUTED_VALUE"""),"C202631611591040356")</f>
        <v>C202631611591040356</v>
      </c>
      <c r="J507" s="33" t="str">
        <f ca="1">IFERROR(__xludf.DUMMYFUNCTION("""COMPUTED_VALUE"""),"MARIA PILAR BAUTISTA ESQUIVEL")</f>
        <v>MARIA PILAR BAUTISTA ESQUIVEL</v>
      </c>
      <c r="K507" s="56">
        <f ca="1">IFERROR(__xludf.DUMMYFUNCTION("""COMPUTED_VALUE"""),2)</f>
        <v>2</v>
      </c>
      <c r="L507" s="62">
        <f ca="1">IFERROR(__xludf.DUMMYFUNCTION("""COMPUTED_VALUE"""),2718.18)</f>
        <v>2718.18</v>
      </c>
      <c r="M507" s="33" t="str">
        <f ca="1">IFERROR(__xludf.DUMMYFUNCTION("""COMPUTED_VALUE"""),"03 ORL")</f>
        <v>03 ORL</v>
      </c>
      <c r="N507" s="33" t="str">
        <f ca="1">IFERROR(__xludf.DUMMYFUNCTION("""COMPUTED_VALUE"""),"06 ORL")</f>
        <v>06 ORL</v>
      </c>
      <c r="O507" s="33" t="str">
        <f ca="1">IFERROR(__xludf.DUMMYFUNCTION("""COMPUTED_VALUE"""),"Dr, Esteban Scola Pliego")</f>
        <v>Dr, Esteban Scola Pliego</v>
      </c>
      <c r="P507" s="33" t="str">
        <f ca="1">IFERROR(__xludf.DUMMYFUNCTION("""COMPUTED_VALUE"""),"Maika Blázquez (Madrid)")</f>
        <v>Maika Blázquez (Madrid)</v>
      </c>
    </row>
    <row r="599" spans="14:15">
      <c r="O599" s="1"/>
    </row>
    <row r="608" spans="14:15">
      <c r="N608" s="1"/>
    </row>
    <row r="641" spans="10:10">
      <c r="J641" s="1"/>
    </row>
    <row r="730" spans="16:16">
      <c r="P730" s="1"/>
    </row>
    <row r="771" spans="15:15">
      <c r="O771" s="1"/>
    </row>
    <row r="914" spans="9:9">
      <c r="I914" s="1"/>
    </row>
    <row r="1179" spans="10:10">
      <c r="J1179" s="1"/>
    </row>
  </sheetData>
  <autoFilter ref="O1:O1848" xr:uid="{00000000-0009-0000-0000-000003000000}"/>
  <conditionalFormatting sqref="D1:D1848">
    <cfRule type="containsText" dxfId="5" priority="2" operator="containsText" text="SI">
      <formula>NOT(ISERROR(SEARCH(("SI"),(D1))))</formula>
    </cfRule>
  </conditionalFormatting>
  <conditionalFormatting sqref="J1:J1848">
    <cfRule type="cellIs" dxfId="4" priority="1" operator="lessThan">
      <formula>0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G1:G1000"/>
  <sheetViews>
    <sheetView showGridLines="0" workbookViewId="0"/>
  </sheetViews>
  <sheetFormatPr baseColWidth="10" defaultColWidth="12.6640625" defaultRowHeight="15" customHeight="1"/>
  <cols>
    <col min="1" max="1" width="11" customWidth="1"/>
    <col min="2" max="2" width="12.33203125" customWidth="1"/>
    <col min="3" max="3" width="13.83203125" customWidth="1"/>
    <col min="4" max="5" width="14.6640625" customWidth="1"/>
    <col min="6" max="6" width="12.5" customWidth="1"/>
    <col min="7" max="7" width="15.6640625" customWidth="1"/>
    <col min="8" max="47" width="11" customWidth="1"/>
  </cols>
  <sheetData>
    <row r="1" spans="7:7"/>
    <row r="2" spans="7:7"/>
    <row r="3" spans="7:7"/>
    <row r="4" spans="7:7"/>
    <row r="5" spans="7:7"/>
    <row r="6" spans="7:7"/>
    <row r="7" spans="7:7"/>
    <row r="8" spans="7:7">
      <c r="G8" s="76"/>
    </row>
    <row r="9" spans="7:7" ht="14.25" customHeight="1">
      <c r="G9" s="76"/>
    </row>
    <row r="10" spans="7:7" ht="12.75" customHeight="1">
      <c r="G10" s="76"/>
    </row>
    <row r="11" spans="7:7">
      <c r="G11" s="76"/>
    </row>
    <row r="12" spans="7:7">
      <c r="G12" s="76"/>
    </row>
    <row r="13" spans="7:7">
      <c r="G13" s="76"/>
    </row>
    <row r="14" spans="7:7">
      <c r="G14" s="76"/>
    </row>
    <row r="15" spans="7:7">
      <c r="G15" s="76"/>
    </row>
    <row r="16" spans="7:7">
      <c r="G16" s="76"/>
    </row>
    <row r="17" spans="7:7">
      <c r="G17" s="76"/>
    </row>
    <row r="18" spans="7:7">
      <c r="G18" s="76"/>
    </row>
    <row r="19" spans="7:7">
      <c r="G19" s="76"/>
    </row>
    <row r="20" spans="7:7">
      <c r="G20" s="76"/>
    </row>
    <row r="21" spans="7:7">
      <c r="G21" s="76"/>
    </row>
    <row r="22" spans="7:7">
      <c r="G22" s="76"/>
    </row>
    <row r="23" spans="7:7">
      <c r="G23" s="76"/>
    </row>
    <row r="24" spans="7:7">
      <c r="G24" s="76"/>
    </row>
    <row r="25" spans="7:7">
      <c r="G25" s="76"/>
    </row>
    <row r="26" spans="7:7">
      <c r="G26" s="76"/>
    </row>
    <row r="27" spans="7:7">
      <c r="G27" s="76"/>
    </row>
    <row r="28" spans="7:7">
      <c r="G28" s="76"/>
    </row>
    <row r="29" spans="7:7">
      <c r="G29" s="76"/>
    </row>
    <row r="30" spans="7:7">
      <c r="G30" s="76"/>
    </row>
    <row r="31" spans="7:7">
      <c r="G31" s="76"/>
    </row>
    <row r="32" spans="7:7">
      <c r="G32" s="76"/>
    </row>
    <row r="33" spans="7:7">
      <c r="G33" s="76"/>
    </row>
    <row r="34" spans="7:7">
      <c r="G34" s="76"/>
    </row>
    <row r="35" spans="7:7">
      <c r="G35" s="76"/>
    </row>
    <row r="36" spans="7:7">
      <c r="G36" s="76"/>
    </row>
    <row r="37" spans="7:7">
      <c r="G37" s="76"/>
    </row>
    <row r="38" spans="7:7">
      <c r="G38" s="76"/>
    </row>
    <row r="39" spans="7:7">
      <c r="G39" s="76"/>
    </row>
    <row r="40" spans="7:7">
      <c r="G40" s="76"/>
    </row>
    <row r="41" spans="7:7">
      <c r="G41" s="76"/>
    </row>
    <row r="42" spans="7:7">
      <c r="G42" s="76"/>
    </row>
    <row r="43" spans="7:7">
      <c r="G43" s="76"/>
    </row>
    <row r="44" spans="7:7">
      <c r="G44" s="76"/>
    </row>
    <row r="45" spans="7:7">
      <c r="G45" s="76"/>
    </row>
    <row r="46" spans="7:7">
      <c r="G46" s="76"/>
    </row>
    <row r="47" spans="7:7">
      <c r="G47" s="76"/>
    </row>
    <row r="48" spans="7:7">
      <c r="G48" s="76"/>
    </row>
    <row r="49" spans="7:7">
      <c r="G49" s="76"/>
    </row>
    <row r="50" spans="7:7">
      <c r="G50" s="76"/>
    </row>
    <row r="51" spans="7:7">
      <c r="G51" s="76"/>
    </row>
    <row r="52" spans="7:7">
      <c r="G52" s="76"/>
    </row>
    <row r="53" spans="7:7">
      <c r="G53" s="76"/>
    </row>
    <row r="54" spans="7:7">
      <c r="G54" s="76"/>
    </row>
    <row r="55" spans="7:7">
      <c r="G55" s="76"/>
    </row>
    <row r="56" spans="7:7">
      <c r="G56" s="76"/>
    </row>
    <row r="57" spans="7:7">
      <c r="G57" s="76"/>
    </row>
    <row r="58" spans="7:7">
      <c r="G58" s="76"/>
    </row>
    <row r="59" spans="7:7">
      <c r="G59" s="76"/>
    </row>
    <row r="60" spans="7:7">
      <c r="G60" s="76"/>
    </row>
    <row r="61" spans="7:7">
      <c r="G61" s="76"/>
    </row>
    <row r="62" spans="7:7">
      <c r="G62" s="76"/>
    </row>
    <row r="63" spans="7:7">
      <c r="G63" s="76"/>
    </row>
    <row r="64" spans="7:7">
      <c r="G64" s="76"/>
    </row>
    <row r="65" spans="7:7">
      <c r="G65" s="76"/>
    </row>
    <row r="66" spans="7:7">
      <c r="G66" s="76"/>
    </row>
    <row r="67" spans="7:7">
      <c r="G67" s="76"/>
    </row>
    <row r="68" spans="7:7">
      <c r="G68" s="76"/>
    </row>
    <row r="69" spans="7:7">
      <c r="G69" s="76"/>
    </row>
    <row r="70" spans="7:7">
      <c r="G70" s="76"/>
    </row>
    <row r="71" spans="7:7">
      <c r="G71" s="76"/>
    </row>
    <row r="72" spans="7:7">
      <c r="G72" s="76"/>
    </row>
    <row r="73" spans="7:7">
      <c r="G73" s="76"/>
    </row>
    <row r="74" spans="7:7">
      <c r="G74" s="76"/>
    </row>
    <row r="75" spans="7:7">
      <c r="G75" s="76"/>
    </row>
    <row r="76" spans="7:7">
      <c r="G76" s="76"/>
    </row>
    <row r="77" spans="7:7">
      <c r="G77" s="76"/>
    </row>
    <row r="78" spans="7:7">
      <c r="G78" s="76"/>
    </row>
    <row r="79" spans="7:7">
      <c r="G79" s="76"/>
    </row>
    <row r="80" spans="7:7">
      <c r="G80" s="76"/>
    </row>
    <row r="81" spans="7:7">
      <c r="G81" s="76"/>
    </row>
    <row r="82" spans="7:7">
      <c r="G82" s="76"/>
    </row>
    <row r="83" spans="7:7">
      <c r="G83" s="76"/>
    </row>
    <row r="84" spans="7:7">
      <c r="G84" s="76"/>
    </row>
    <row r="85" spans="7:7">
      <c r="G85" s="76"/>
    </row>
    <row r="86" spans="7:7">
      <c r="G86" s="76"/>
    </row>
    <row r="87" spans="7:7">
      <c r="G87" s="76"/>
    </row>
    <row r="88" spans="7:7">
      <c r="G88" s="76"/>
    </row>
    <row r="89" spans="7:7">
      <c r="G89" s="76"/>
    </row>
    <row r="90" spans="7:7">
      <c r="G90" s="76"/>
    </row>
    <row r="91" spans="7:7">
      <c r="G91" s="76"/>
    </row>
    <row r="92" spans="7:7">
      <c r="G92" s="76"/>
    </row>
    <row r="93" spans="7:7">
      <c r="G93" s="76"/>
    </row>
    <row r="94" spans="7:7">
      <c r="G94" s="76"/>
    </row>
    <row r="95" spans="7:7">
      <c r="G95" s="76"/>
    </row>
    <row r="96" spans="7:7">
      <c r="G96" s="76"/>
    </row>
    <row r="97" spans="7:7">
      <c r="G97" s="76"/>
    </row>
    <row r="98" spans="7:7">
      <c r="G98" s="76"/>
    </row>
    <row r="99" spans="7:7">
      <c r="G99" s="76"/>
    </row>
    <row r="100" spans="7:7">
      <c r="G100" s="76"/>
    </row>
    <row r="101" spans="7:7">
      <c r="G101" s="76"/>
    </row>
    <row r="102" spans="7:7">
      <c r="G102" s="76"/>
    </row>
    <row r="103" spans="7:7">
      <c r="G103" s="76"/>
    </row>
    <row r="104" spans="7:7">
      <c r="G104" s="76"/>
    </row>
    <row r="105" spans="7:7">
      <c r="G105" s="76"/>
    </row>
    <row r="106" spans="7:7">
      <c r="G106" s="76"/>
    </row>
    <row r="107" spans="7:7">
      <c r="G107" s="76"/>
    </row>
    <row r="108" spans="7:7">
      <c r="G108" s="76"/>
    </row>
    <row r="109" spans="7:7">
      <c r="G109" s="76"/>
    </row>
    <row r="110" spans="7:7">
      <c r="G110" s="76"/>
    </row>
    <row r="111" spans="7:7">
      <c r="G111" s="76"/>
    </row>
    <row r="112" spans="7:7">
      <c r="G112" s="76"/>
    </row>
    <row r="113" spans="7:7">
      <c r="G113" s="76"/>
    </row>
    <row r="114" spans="7:7">
      <c r="G114" s="76"/>
    </row>
    <row r="115" spans="7:7">
      <c r="G115" s="76"/>
    </row>
    <row r="116" spans="7:7">
      <c r="G116" s="76"/>
    </row>
    <row r="117" spans="7:7">
      <c r="G117" s="76"/>
    </row>
    <row r="118" spans="7:7">
      <c r="G118" s="76"/>
    </row>
    <row r="119" spans="7:7">
      <c r="G119" s="76"/>
    </row>
    <row r="120" spans="7:7">
      <c r="G120" s="76"/>
    </row>
    <row r="121" spans="7:7">
      <c r="G121" s="76"/>
    </row>
    <row r="122" spans="7:7">
      <c r="G122" s="76"/>
    </row>
    <row r="123" spans="7:7">
      <c r="G123" s="76"/>
    </row>
    <row r="124" spans="7:7">
      <c r="G124" s="76"/>
    </row>
    <row r="125" spans="7:7">
      <c r="G125" s="76"/>
    </row>
    <row r="126" spans="7:7">
      <c r="G126" s="76"/>
    </row>
    <row r="127" spans="7:7">
      <c r="G127" s="76"/>
    </row>
    <row r="128" spans="7:7">
      <c r="G128" s="76"/>
    </row>
    <row r="129" spans="7:7">
      <c r="G129" s="76"/>
    </row>
    <row r="130" spans="7:7">
      <c r="G130" s="76"/>
    </row>
    <row r="131" spans="7:7">
      <c r="G131" s="76"/>
    </row>
    <row r="132" spans="7:7">
      <c r="G132" s="76"/>
    </row>
    <row r="133" spans="7:7">
      <c r="G133" s="76"/>
    </row>
    <row r="134" spans="7:7">
      <c r="G134" s="76"/>
    </row>
    <row r="135" spans="7:7">
      <c r="G135" s="76"/>
    </row>
    <row r="136" spans="7:7">
      <c r="G136" s="76"/>
    </row>
    <row r="137" spans="7:7">
      <c r="G137" s="76"/>
    </row>
    <row r="138" spans="7:7">
      <c r="G138" s="76"/>
    </row>
    <row r="139" spans="7:7">
      <c r="G139" s="76"/>
    </row>
    <row r="140" spans="7:7">
      <c r="G140" s="76"/>
    </row>
    <row r="141" spans="7:7">
      <c r="G141" s="76"/>
    </row>
    <row r="142" spans="7:7">
      <c r="G142" s="76"/>
    </row>
    <row r="143" spans="7:7">
      <c r="G143" s="76"/>
    </row>
    <row r="144" spans="7:7">
      <c r="G144" s="76"/>
    </row>
    <row r="145" spans="7:7">
      <c r="G145" s="76"/>
    </row>
    <row r="146" spans="7:7">
      <c r="G146" s="76"/>
    </row>
    <row r="147" spans="7:7">
      <c r="G147" s="76"/>
    </row>
    <row r="148" spans="7:7">
      <c r="G148" s="76"/>
    </row>
    <row r="149" spans="7:7">
      <c r="G149" s="76"/>
    </row>
    <row r="150" spans="7:7">
      <c r="G150" s="76"/>
    </row>
    <row r="151" spans="7:7">
      <c r="G151" s="76"/>
    </row>
    <row r="152" spans="7:7">
      <c r="G152" s="76"/>
    </row>
    <row r="153" spans="7:7">
      <c r="G153" s="76"/>
    </row>
    <row r="154" spans="7:7">
      <c r="G154" s="76"/>
    </row>
    <row r="155" spans="7:7">
      <c r="G155" s="76"/>
    </row>
    <row r="156" spans="7:7">
      <c r="G156" s="76"/>
    </row>
    <row r="157" spans="7:7">
      <c r="G157" s="76"/>
    </row>
    <row r="158" spans="7:7">
      <c r="G158" s="76"/>
    </row>
    <row r="159" spans="7:7">
      <c r="G159" s="76"/>
    </row>
    <row r="160" spans="7:7">
      <c r="G160" s="76"/>
    </row>
    <row r="161" spans="7:7">
      <c r="G161" s="76"/>
    </row>
    <row r="162" spans="7:7">
      <c r="G162" s="76"/>
    </row>
    <row r="163" spans="7:7">
      <c r="G163" s="76"/>
    </row>
    <row r="164" spans="7:7">
      <c r="G164" s="76"/>
    </row>
    <row r="165" spans="7:7">
      <c r="G165" s="76"/>
    </row>
    <row r="166" spans="7:7">
      <c r="G166" s="76"/>
    </row>
    <row r="167" spans="7:7">
      <c r="G167" s="76"/>
    </row>
    <row r="168" spans="7:7">
      <c r="G168" s="76"/>
    </row>
    <row r="169" spans="7:7">
      <c r="G169" s="76"/>
    </row>
    <row r="170" spans="7:7">
      <c r="G170" s="76"/>
    </row>
    <row r="171" spans="7:7">
      <c r="G171" s="76"/>
    </row>
    <row r="172" spans="7:7">
      <c r="G172" s="76"/>
    </row>
    <row r="173" spans="7:7">
      <c r="G173" s="76"/>
    </row>
    <row r="174" spans="7:7">
      <c r="G174" s="76"/>
    </row>
    <row r="175" spans="7:7">
      <c r="G175" s="76"/>
    </row>
    <row r="176" spans="7:7">
      <c r="G176" s="76"/>
    </row>
    <row r="177" spans="7:7">
      <c r="G177" s="76"/>
    </row>
    <row r="178" spans="7:7">
      <c r="G178" s="76"/>
    </row>
    <row r="179" spans="7:7">
      <c r="G179" s="76"/>
    </row>
    <row r="180" spans="7:7">
      <c r="G180" s="76"/>
    </row>
    <row r="181" spans="7:7">
      <c r="G181" s="76"/>
    </row>
    <row r="182" spans="7:7">
      <c r="G182" s="76"/>
    </row>
    <row r="183" spans="7:7">
      <c r="G183" s="76"/>
    </row>
    <row r="184" spans="7:7">
      <c r="G184" s="76"/>
    </row>
    <row r="185" spans="7:7">
      <c r="G185" s="76"/>
    </row>
    <row r="186" spans="7:7">
      <c r="G186" s="76"/>
    </row>
    <row r="187" spans="7:7">
      <c r="G187" s="76"/>
    </row>
    <row r="188" spans="7:7">
      <c r="G188" s="76"/>
    </row>
    <row r="189" spans="7:7">
      <c r="G189" s="76"/>
    </row>
    <row r="190" spans="7:7">
      <c r="G190" s="76"/>
    </row>
    <row r="191" spans="7:7">
      <c r="G191" s="76"/>
    </row>
    <row r="192" spans="7:7">
      <c r="G192" s="76"/>
    </row>
    <row r="193" spans="7:7">
      <c r="G193" s="76"/>
    </row>
    <row r="194" spans="7:7">
      <c r="G194" s="76"/>
    </row>
    <row r="195" spans="7:7">
      <c r="G195" s="76"/>
    </row>
    <row r="196" spans="7:7">
      <c r="G196" s="76"/>
    </row>
    <row r="197" spans="7:7">
      <c r="G197" s="76"/>
    </row>
    <row r="198" spans="7:7">
      <c r="G198" s="76"/>
    </row>
    <row r="199" spans="7:7">
      <c r="G199" s="76"/>
    </row>
    <row r="200" spans="7:7">
      <c r="G200" s="76"/>
    </row>
    <row r="201" spans="7:7">
      <c r="G201" s="76"/>
    </row>
    <row r="202" spans="7:7">
      <c r="G202" s="76"/>
    </row>
    <row r="203" spans="7:7">
      <c r="G203" s="76"/>
    </row>
    <row r="204" spans="7:7">
      <c r="G204" s="76"/>
    </row>
    <row r="205" spans="7:7">
      <c r="G205" s="76"/>
    </row>
    <row r="206" spans="7:7">
      <c r="G206" s="76"/>
    </row>
    <row r="207" spans="7:7">
      <c r="G207" s="76"/>
    </row>
    <row r="208" spans="7:7">
      <c r="G208" s="76"/>
    </row>
    <row r="209" spans="7:7">
      <c r="G209" s="76"/>
    </row>
    <row r="210" spans="7:7">
      <c r="G210" s="76"/>
    </row>
    <row r="211" spans="7:7">
      <c r="G211" s="76"/>
    </row>
    <row r="212" spans="7:7">
      <c r="G212" s="76"/>
    </row>
    <row r="213" spans="7:7">
      <c r="G213" s="76"/>
    </row>
    <row r="214" spans="7:7">
      <c r="G214" s="76"/>
    </row>
    <row r="215" spans="7:7">
      <c r="G215" s="76"/>
    </row>
    <row r="216" spans="7:7">
      <c r="G216" s="76"/>
    </row>
    <row r="217" spans="7:7">
      <c r="G217" s="76"/>
    </row>
    <row r="218" spans="7:7">
      <c r="G218" s="76"/>
    </row>
    <row r="219" spans="7:7">
      <c r="G219" s="76"/>
    </row>
    <row r="220" spans="7:7">
      <c r="G220" s="76"/>
    </row>
    <row r="221" spans="7:7">
      <c r="G221" s="76"/>
    </row>
    <row r="222" spans="7:7">
      <c r="G222" s="76"/>
    </row>
    <row r="223" spans="7:7">
      <c r="G223" s="76"/>
    </row>
    <row r="224" spans="7:7">
      <c r="G224" s="76"/>
    </row>
    <row r="225" spans="7:7">
      <c r="G225" s="76"/>
    </row>
    <row r="226" spans="7:7">
      <c r="G226" s="76"/>
    </row>
    <row r="227" spans="7:7">
      <c r="G227" s="76"/>
    </row>
    <row r="228" spans="7:7">
      <c r="G228" s="76"/>
    </row>
    <row r="229" spans="7:7">
      <c r="G229" s="76"/>
    </row>
    <row r="230" spans="7:7">
      <c r="G230" s="76"/>
    </row>
    <row r="231" spans="7:7">
      <c r="G231" s="76"/>
    </row>
    <row r="232" spans="7:7">
      <c r="G232" s="76"/>
    </row>
    <row r="233" spans="7:7">
      <c r="G233" s="76"/>
    </row>
    <row r="234" spans="7:7">
      <c r="G234" s="76"/>
    </row>
    <row r="235" spans="7:7">
      <c r="G235" s="76"/>
    </row>
    <row r="236" spans="7:7">
      <c r="G236" s="76"/>
    </row>
    <row r="237" spans="7:7">
      <c r="G237" s="76"/>
    </row>
    <row r="238" spans="7:7">
      <c r="G238" s="76"/>
    </row>
    <row r="239" spans="7:7">
      <c r="G239" s="76"/>
    </row>
    <row r="240" spans="7:7">
      <c r="G240" s="76"/>
    </row>
    <row r="241" spans="7:7">
      <c r="G241" s="76"/>
    </row>
    <row r="242" spans="7:7">
      <c r="G242" s="76"/>
    </row>
    <row r="243" spans="7:7">
      <c r="G243" s="76"/>
    </row>
    <row r="244" spans="7:7">
      <c r="G244" s="76"/>
    </row>
    <row r="245" spans="7:7">
      <c r="G245" s="76"/>
    </row>
    <row r="246" spans="7:7">
      <c r="G246" s="76"/>
    </row>
    <row r="247" spans="7:7">
      <c r="G247" s="76"/>
    </row>
    <row r="248" spans="7:7">
      <c r="G248" s="76"/>
    </row>
    <row r="249" spans="7:7">
      <c r="G249" s="76"/>
    </row>
    <row r="250" spans="7:7">
      <c r="G250" s="76"/>
    </row>
    <row r="251" spans="7:7">
      <c r="G251" s="76"/>
    </row>
    <row r="252" spans="7:7">
      <c r="G252" s="76"/>
    </row>
    <row r="253" spans="7:7">
      <c r="G253" s="76"/>
    </row>
    <row r="254" spans="7:7">
      <c r="G254" s="76"/>
    </row>
    <row r="255" spans="7:7">
      <c r="G255" s="76"/>
    </row>
    <row r="256" spans="7:7">
      <c r="G256" s="76"/>
    </row>
    <row r="257" spans="7:7">
      <c r="G257" s="76"/>
    </row>
    <row r="258" spans="7:7">
      <c r="G258" s="76"/>
    </row>
    <row r="259" spans="7:7">
      <c r="G259" s="76"/>
    </row>
    <row r="260" spans="7:7">
      <c r="G260" s="76"/>
    </row>
    <row r="261" spans="7:7">
      <c r="G261" s="76"/>
    </row>
    <row r="262" spans="7:7">
      <c r="G262" s="76"/>
    </row>
    <row r="263" spans="7:7">
      <c r="G263" s="76"/>
    </row>
    <row r="264" spans="7:7">
      <c r="G264" s="76"/>
    </row>
    <row r="265" spans="7:7">
      <c r="G265" s="76"/>
    </row>
    <row r="266" spans="7:7">
      <c r="G266" s="76"/>
    </row>
    <row r="267" spans="7:7">
      <c r="G267" s="76"/>
    </row>
    <row r="268" spans="7:7">
      <c r="G268" s="76"/>
    </row>
    <row r="269" spans="7:7">
      <c r="G269" s="76"/>
    </row>
    <row r="270" spans="7:7">
      <c r="G270" s="76"/>
    </row>
    <row r="271" spans="7:7">
      <c r="G271" s="76"/>
    </row>
    <row r="272" spans="7:7">
      <c r="G272" s="76"/>
    </row>
    <row r="273" spans="7:7">
      <c r="G273" s="76"/>
    </row>
    <row r="274" spans="7:7">
      <c r="G274" s="76"/>
    </row>
    <row r="275" spans="7:7">
      <c r="G275" s="76"/>
    </row>
    <row r="276" spans="7:7">
      <c r="G276" s="76"/>
    </row>
    <row r="277" spans="7:7">
      <c r="G277" s="76"/>
    </row>
    <row r="278" spans="7:7">
      <c r="G278" s="76"/>
    </row>
    <row r="279" spans="7:7">
      <c r="G279" s="76"/>
    </row>
    <row r="280" spans="7:7">
      <c r="G280" s="76"/>
    </row>
    <row r="281" spans="7:7">
      <c r="G281" s="76"/>
    </row>
    <row r="282" spans="7:7">
      <c r="G282" s="76"/>
    </row>
    <row r="283" spans="7:7">
      <c r="G283" s="76"/>
    </row>
    <row r="284" spans="7:7">
      <c r="G284" s="76"/>
    </row>
    <row r="285" spans="7:7">
      <c r="G285" s="76"/>
    </row>
    <row r="286" spans="7:7">
      <c r="G286" s="76"/>
    </row>
    <row r="287" spans="7:7">
      <c r="G287" s="76"/>
    </row>
    <row r="288" spans="7:7">
      <c r="G288" s="76"/>
    </row>
    <row r="289" spans="7:7">
      <c r="G289" s="76"/>
    </row>
    <row r="290" spans="7:7">
      <c r="G290" s="76"/>
    </row>
    <row r="291" spans="7:7">
      <c r="G291" s="76"/>
    </row>
    <row r="292" spans="7:7">
      <c r="G292" s="76"/>
    </row>
    <row r="293" spans="7:7">
      <c r="G293" s="76"/>
    </row>
    <row r="294" spans="7:7">
      <c r="G294" s="76"/>
    </row>
    <row r="295" spans="7:7">
      <c r="G295" s="76"/>
    </row>
    <row r="296" spans="7:7">
      <c r="G296" s="76"/>
    </row>
    <row r="297" spans="7:7">
      <c r="G297" s="76"/>
    </row>
    <row r="298" spans="7:7">
      <c r="G298" s="76"/>
    </row>
    <row r="299" spans="7:7">
      <c r="G299" s="76"/>
    </row>
    <row r="300" spans="7:7">
      <c r="G300" s="76"/>
    </row>
    <row r="301" spans="7:7">
      <c r="G301" s="76"/>
    </row>
    <row r="302" spans="7:7">
      <c r="G302" s="76"/>
    </row>
    <row r="303" spans="7:7">
      <c r="G303" s="76"/>
    </row>
    <row r="304" spans="7:7">
      <c r="G304" s="76"/>
    </row>
    <row r="305" spans="7:7">
      <c r="G305" s="76"/>
    </row>
    <row r="306" spans="7:7">
      <c r="G306" s="76"/>
    </row>
    <row r="307" spans="7:7">
      <c r="G307" s="76"/>
    </row>
    <row r="308" spans="7:7">
      <c r="G308" s="76"/>
    </row>
    <row r="309" spans="7:7">
      <c r="G309" s="76"/>
    </row>
    <row r="310" spans="7:7">
      <c r="G310" s="76"/>
    </row>
    <row r="311" spans="7:7">
      <c r="G311" s="76"/>
    </row>
    <row r="312" spans="7:7">
      <c r="G312" s="76"/>
    </row>
    <row r="313" spans="7:7">
      <c r="G313" s="76"/>
    </row>
    <row r="314" spans="7:7">
      <c r="G314" s="76"/>
    </row>
    <row r="315" spans="7:7">
      <c r="G315" s="76"/>
    </row>
    <row r="316" spans="7:7">
      <c r="G316" s="76"/>
    </row>
    <row r="317" spans="7:7">
      <c r="G317" s="76"/>
    </row>
    <row r="318" spans="7:7">
      <c r="G318" s="76"/>
    </row>
    <row r="319" spans="7:7">
      <c r="G319" s="76"/>
    </row>
    <row r="320" spans="7:7">
      <c r="G320" s="76"/>
    </row>
    <row r="321" spans="7:7">
      <c r="G321" s="76"/>
    </row>
    <row r="322" spans="7:7">
      <c r="G322" s="76"/>
    </row>
    <row r="323" spans="7:7">
      <c r="G323" s="76"/>
    </row>
    <row r="324" spans="7:7">
      <c r="G324" s="76"/>
    </row>
    <row r="325" spans="7:7">
      <c r="G325" s="76"/>
    </row>
    <row r="326" spans="7:7">
      <c r="G326" s="76"/>
    </row>
    <row r="327" spans="7:7">
      <c r="G327" s="76"/>
    </row>
    <row r="328" spans="7:7">
      <c r="G328" s="76"/>
    </row>
    <row r="329" spans="7:7">
      <c r="G329" s="76"/>
    </row>
    <row r="330" spans="7:7">
      <c r="G330" s="76"/>
    </row>
    <row r="331" spans="7:7">
      <c r="G331" s="76"/>
    </row>
    <row r="332" spans="7:7">
      <c r="G332" s="76"/>
    </row>
    <row r="333" spans="7:7">
      <c r="G333" s="76"/>
    </row>
    <row r="334" spans="7:7">
      <c r="G334" s="76"/>
    </row>
    <row r="335" spans="7:7">
      <c r="G335" s="76"/>
    </row>
    <row r="336" spans="7:7">
      <c r="G336" s="76"/>
    </row>
    <row r="337" spans="7:7">
      <c r="G337" s="76"/>
    </row>
    <row r="338" spans="7:7">
      <c r="G338" s="76"/>
    </row>
    <row r="339" spans="7:7">
      <c r="G339" s="76"/>
    </row>
    <row r="340" spans="7:7">
      <c r="G340" s="76"/>
    </row>
    <row r="341" spans="7:7">
      <c r="G341" s="76"/>
    </row>
    <row r="342" spans="7:7">
      <c r="G342" s="76"/>
    </row>
    <row r="343" spans="7:7">
      <c r="G343" s="76"/>
    </row>
    <row r="344" spans="7:7">
      <c r="G344" s="76"/>
    </row>
    <row r="345" spans="7:7">
      <c r="G345" s="76"/>
    </row>
    <row r="346" spans="7:7">
      <c r="G346" s="76"/>
    </row>
    <row r="347" spans="7:7">
      <c r="G347" s="76"/>
    </row>
    <row r="348" spans="7:7">
      <c r="G348" s="76"/>
    </row>
    <row r="349" spans="7:7">
      <c r="G349" s="76"/>
    </row>
    <row r="350" spans="7:7">
      <c r="G350" s="76"/>
    </row>
    <row r="351" spans="7:7">
      <c r="G351" s="76"/>
    </row>
    <row r="352" spans="7:7">
      <c r="G352" s="76"/>
    </row>
    <row r="353" spans="7:7">
      <c r="G353" s="76"/>
    </row>
    <row r="354" spans="7:7">
      <c r="G354" s="76"/>
    </row>
    <row r="355" spans="7:7">
      <c r="G355" s="76"/>
    </row>
    <row r="356" spans="7:7">
      <c r="G356" s="76"/>
    </row>
    <row r="357" spans="7:7">
      <c r="G357" s="76"/>
    </row>
    <row r="358" spans="7:7">
      <c r="G358" s="76"/>
    </row>
    <row r="359" spans="7:7">
      <c r="G359" s="76"/>
    </row>
    <row r="360" spans="7:7">
      <c r="G360" s="76"/>
    </row>
    <row r="361" spans="7:7">
      <c r="G361" s="76"/>
    </row>
    <row r="362" spans="7:7">
      <c r="G362" s="76"/>
    </row>
    <row r="363" spans="7:7">
      <c r="G363" s="76"/>
    </row>
    <row r="364" spans="7:7">
      <c r="G364" s="76"/>
    </row>
    <row r="365" spans="7:7">
      <c r="G365" s="76"/>
    </row>
    <row r="366" spans="7:7">
      <c r="G366" s="76"/>
    </row>
    <row r="367" spans="7:7">
      <c r="G367" s="76"/>
    </row>
    <row r="368" spans="7:7">
      <c r="G368" s="76"/>
    </row>
    <row r="369" spans="7:7">
      <c r="G369" s="76"/>
    </row>
    <row r="370" spans="7:7">
      <c r="G370" s="76"/>
    </row>
    <row r="371" spans="7:7">
      <c r="G371" s="76"/>
    </row>
    <row r="372" spans="7:7">
      <c r="G372" s="76"/>
    </row>
    <row r="373" spans="7:7">
      <c r="G373" s="76"/>
    </row>
    <row r="374" spans="7:7">
      <c r="G374" s="76"/>
    </row>
    <row r="375" spans="7:7">
      <c r="G375" s="76"/>
    </row>
    <row r="376" spans="7:7">
      <c r="G376" s="76"/>
    </row>
    <row r="377" spans="7:7">
      <c r="G377" s="76"/>
    </row>
    <row r="378" spans="7:7">
      <c r="G378" s="76"/>
    </row>
    <row r="379" spans="7:7">
      <c r="G379" s="76"/>
    </row>
    <row r="380" spans="7:7">
      <c r="G380" s="76"/>
    </row>
    <row r="381" spans="7:7">
      <c r="G381" s="76"/>
    </row>
    <row r="382" spans="7:7">
      <c r="G382" s="76"/>
    </row>
    <row r="383" spans="7:7">
      <c r="G383" s="76"/>
    </row>
    <row r="384" spans="7:7">
      <c r="G384" s="76"/>
    </row>
    <row r="385" spans="7:7">
      <c r="G385" s="76"/>
    </row>
    <row r="386" spans="7:7">
      <c r="G386" s="76"/>
    </row>
    <row r="387" spans="7:7">
      <c r="G387" s="76"/>
    </row>
    <row r="388" spans="7:7">
      <c r="G388" s="76"/>
    </row>
    <row r="389" spans="7:7">
      <c r="G389" s="76"/>
    </row>
    <row r="390" spans="7:7">
      <c r="G390" s="76"/>
    </row>
    <row r="391" spans="7:7">
      <c r="G391" s="76"/>
    </row>
    <row r="392" spans="7:7">
      <c r="G392" s="76"/>
    </row>
    <row r="393" spans="7:7">
      <c r="G393" s="76"/>
    </row>
    <row r="394" spans="7:7">
      <c r="G394" s="76"/>
    </row>
    <row r="395" spans="7:7">
      <c r="G395" s="76"/>
    </row>
    <row r="396" spans="7:7">
      <c r="G396" s="76"/>
    </row>
    <row r="397" spans="7:7">
      <c r="G397" s="76"/>
    </row>
    <row r="398" spans="7:7">
      <c r="G398" s="76"/>
    </row>
    <row r="399" spans="7:7">
      <c r="G399" s="76"/>
    </row>
    <row r="400" spans="7:7">
      <c r="G400" s="76"/>
    </row>
    <row r="401" spans="7:7">
      <c r="G401" s="76"/>
    </row>
    <row r="402" spans="7:7">
      <c r="G402" s="76"/>
    </row>
    <row r="403" spans="7:7">
      <c r="G403" s="76"/>
    </row>
    <row r="404" spans="7:7">
      <c r="G404" s="76"/>
    </row>
    <row r="405" spans="7:7">
      <c r="G405" s="76"/>
    </row>
    <row r="406" spans="7:7">
      <c r="G406" s="76"/>
    </row>
    <row r="407" spans="7:7">
      <c r="G407" s="76"/>
    </row>
    <row r="408" spans="7:7">
      <c r="G408" s="76"/>
    </row>
    <row r="409" spans="7:7">
      <c r="G409" s="76"/>
    </row>
    <row r="410" spans="7:7">
      <c r="G410" s="76"/>
    </row>
    <row r="411" spans="7:7">
      <c r="G411" s="76"/>
    </row>
    <row r="412" spans="7:7">
      <c r="G412" s="76"/>
    </row>
    <row r="413" spans="7:7">
      <c r="G413" s="76"/>
    </row>
    <row r="414" spans="7:7">
      <c r="G414" s="76"/>
    </row>
    <row r="415" spans="7:7">
      <c r="G415" s="76"/>
    </row>
    <row r="416" spans="7:7">
      <c r="G416" s="76"/>
    </row>
    <row r="417" spans="7:7">
      <c r="G417" s="76"/>
    </row>
    <row r="418" spans="7:7">
      <c r="G418" s="76"/>
    </row>
    <row r="419" spans="7:7">
      <c r="G419" s="76"/>
    </row>
    <row r="420" spans="7:7">
      <c r="G420" s="76"/>
    </row>
    <row r="421" spans="7:7">
      <c r="G421" s="76"/>
    </row>
    <row r="422" spans="7:7">
      <c r="G422" s="76"/>
    </row>
    <row r="423" spans="7:7">
      <c r="G423" s="76"/>
    </row>
    <row r="424" spans="7:7">
      <c r="G424" s="76"/>
    </row>
    <row r="425" spans="7:7">
      <c r="G425" s="76"/>
    </row>
    <row r="426" spans="7:7">
      <c r="G426" s="76"/>
    </row>
    <row r="427" spans="7:7">
      <c r="G427" s="76"/>
    </row>
    <row r="428" spans="7:7">
      <c r="G428" s="76"/>
    </row>
    <row r="429" spans="7:7">
      <c r="G429" s="76"/>
    </row>
    <row r="430" spans="7:7">
      <c r="G430" s="76"/>
    </row>
    <row r="431" spans="7:7">
      <c r="G431" s="76"/>
    </row>
    <row r="432" spans="7:7">
      <c r="G432" s="76"/>
    </row>
    <row r="433" spans="7:7">
      <c r="G433" s="76"/>
    </row>
    <row r="434" spans="7:7">
      <c r="G434" s="76"/>
    </row>
    <row r="435" spans="7:7">
      <c r="G435" s="76"/>
    </row>
    <row r="436" spans="7:7">
      <c r="G436" s="76"/>
    </row>
    <row r="437" spans="7:7">
      <c r="G437" s="76"/>
    </row>
    <row r="438" spans="7:7">
      <c r="G438" s="76"/>
    </row>
    <row r="439" spans="7:7">
      <c r="G439" s="76"/>
    </row>
    <row r="440" spans="7:7">
      <c r="G440" s="76"/>
    </row>
    <row r="441" spans="7:7">
      <c r="G441" s="76"/>
    </row>
    <row r="442" spans="7:7">
      <c r="G442" s="76"/>
    </row>
    <row r="443" spans="7:7">
      <c r="G443" s="76"/>
    </row>
    <row r="444" spans="7:7">
      <c r="G444" s="76"/>
    </row>
    <row r="445" spans="7:7">
      <c r="G445" s="76"/>
    </row>
    <row r="446" spans="7:7">
      <c r="G446" s="76"/>
    </row>
    <row r="447" spans="7:7">
      <c r="G447" s="76"/>
    </row>
    <row r="448" spans="7:7">
      <c r="G448" s="76"/>
    </row>
    <row r="449" spans="7:7">
      <c r="G449" s="76"/>
    </row>
    <row r="450" spans="7:7">
      <c r="G450" s="76"/>
    </row>
    <row r="451" spans="7:7">
      <c r="G451" s="76"/>
    </row>
    <row r="452" spans="7:7">
      <c r="G452" s="76"/>
    </row>
    <row r="453" spans="7:7">
      <c r="G453" s="76"/>
    </row>
    <row r="454" spans="7:7">
      <c r="G454" s="76"/>
    </row>
    <row r="455" spans="7:7">
      <c r="G455" s="76"/>
    </row>
    <row r="456" spans="7:7">
      <c r="G456" s="76"/>
    </row>
    <row r="457" spans="7:7">
      <c r="G457" s="76"/>
    </row>
    <row r="458" spans="7:7">
      <c r="G458" s="76"/>
    </row>
    <row r="459" spans="7:7">
      <c r="G459" s="76"/>
    </row>
    <row r="460" spans="7:7">
      <c r="G460" s="76"/>
    </row>
    <row r="461" spans="7:7">
      <c r="G461" s="76"/>
    </row>
    <row r="462" spans="7:7">
      <c r="G462" s="76"/>
    </row>
    <row r="463" spans="7:7">
      <c r="G463" s="76"/>
    </row>
    <row r="464" spans="7:7">
      <c r="G464" s="76"/>
    </row>
    <row r="465" spans="7:7">
      <c r="G465" s="76"/>
    </row>
    <row r="466" spans="7:7">
      <c r="G466" s="76"/>
    </row>
    <row r="467" spans="7:7">
      <c r="G467" s="76"/>
    </row>
    <row r="468" spans="7:7">
      <c r="G468" s="76"/>
    </row>
    <row r="469" spans="7:7">
      <c r="G469" s="76"/>
    </row>
    <row r="470" spans="7:7">
      <c r="G470" s="76"/>
    </row>
    <row r="471" spans="7:7">
      <c r="G471" s="76"/>
    </row>
    <row r="472" spans="7:7">
      <c r="G472" s="76"/>
    </row>
    <row r="473" spans="7:7">
      <c r="G473" s="76"/>
    </row>
    <row r="474" spans="7:7">
      <c r="G474" s="76"/>
    </row>
    <row r="475" spans="7:7">
      <c r="G475" s="76"/>
    </row>
    <row r="476" spans="7:7">
      <c r="G476" s="76"/>
    </row>
    <row r="477" spans="7:7">
      <c r="G477" s="76"/>
    </row>
    <row r="478" spans="7:7">
      <c r="G478" s="76"/>
    </row>
    <row r="479" spans="7:7">
      <c r="G479" s="76"/>
    </row>
    <row r="480" spans="7:7">
      <c r="G480" s="76"/>
    </row>
    <row r="481" spans="7:7">
      <c r="G481" s="76"/>
    </row>
    <row r="482" spans="7:7">
      <c r="G482" s="76"/>
    </row>
    <row r="483" spans="7:7">
      <c r="G483" s="76"/>
    </row>
    <row r="484" spans="7:7">
      <c r="G484" s="76"/>
    </row>
    <row r="485" spans="7:7">
      <c r="G485" s="76"/>
    </row>
    <row r="486" spans="7:7">
      <c r="G486" s="76"/>
    </row>
    <row r="487" spans="7:7">
      <c r="G487" s="76"/>
    </row>
    <row r="488" spans="7:7">
      <c r="G488" s="76"/>
    </row>
    <row r="489" spans="7:7">
      <c r="G489" s="76"/>
    </row>
    <row r="490" spans="7:7">
      <c r="G490" s="76"/>
    </row>
    <row r="491" spans="7:7">
      <c r="G491" s="76"/>
    </row>
    <row r="492" spans="7:7">
      <c r="G492" s="76"/>
    </row>
    <row r="493" spans="7:7">
      <c r="G493" s="76"/>
    </row>
    <row r="494" spans="7:7">
      <c r="G494" s="76"/>
    </row>
    <row r="495" spans="7:7">
      <c r="G495" s="76"/>
    </row>
    <row r="496" spans="7:7">
      <c r="G496" s="76"/>
    </row>
    <row r="497" spans="7:7">
      <c r="G497" s="76"/>
    </row>
    <row r="498" spans="7:7">
      <c r="G498" s="76"/>
    </row>
    <row r="499" spans="7:7">
      <c r="G499" s="76"/>
    </row>
    <row r="500" spans="7:7">
      <c r="G500" s="76"/>
    </row>
    <row r="501" spans="7:7">
      <c r="G501" s="76"/>
    </row>
    <row r="502" spans="7:7">
      <c r="G502" s="76"/>
    </row>
    <row r="503" spans="7:7">
      <c r="G503" s="76"/>
    </row>
    <row r="504" spans="7:7">
      <c r="G504" s="76"/>
    </row>
    <row r="505" spans="7:7">
      <c r="G505" s="76"/>
    </row>
    <row r="506" spans="7:7">
      <c r="G506" s="76"/>
    </row>
    <row r="507" spans="7:7">
      <c r="G507" s="76"/>
    </row>
    <row r="508" spans="7:7">
      <c r="G508" s="76"/>
    </row>
    <row r="509" spans="7:7">
      <c r="G509" s="76"/>
    </row>
    <row r="510" spans="7:7">
      <c r="G510" s="76"/>
    </row>
    <row r="511" spans="7:7">
      <c r="G511" s="76"/>
    </row>
    <row r="512" spans="7:7">
      <c r="G512" s="76"/>
    </row>
    <row r="513" spans="7:7">
      <c r="G513" s="76"/>
    </row>
    <row r="514" spans="7:7">
      <c r="G514" s="76"/>
    </row>
    <row r="515" spans="7:7">
      <c r="G515" s="76"/>
    </row>
    <row r="516" spans="7:7">
      <c r="G516" s="76"/>
    </row>
    <row r="517" spans="7:7">
      <c r="G517" s="76"/>
    </row>
    <row r="518" spans="7:7">
      <c r="G518" s="76"/>
    </row>
    <row r="519" spans="7:7">
      <c r="G519" s="76"/>
    </row>
    <row r="520" spans="7:7">
      <c r="G520" s="76"/>
    </row>
    <row r="521" spans="7:7">
      <c r="G521" s="76"/>
    </row>
    <row r="522" spans="7:7">
      <c r="G522" s="76"/>
    </row>
    <row r="523" spans="7:7">
      <c r="G523" s="76"/>
    </row>
    <row r="524" spans="7:7">
      <c r="G524" s="76"/>
    </row>
    <row r="525" spans="7:7">
      <c r="G525" s="76"/>
    </row>
    <row r="526" spans="7:7">
      <c r="G526" s="76"/>
    </row>
    <row r="527" spans="7:7">
      <c r="G527" s="76"/>
    </row>
    <row r="528" spans="7:7">
      <c r="G528" s="76"/>
    </row>
    <row r="529" spans="7:7">
      <c r="G529" s="76"/>
    </row>
    <row r="530" spans="7:7">
      <c r="G530" s="76"/>
    </row>
    <row r="531" spans="7:7">
      <c r="G531" s="76"/>
    </row>
    <row r="532" spans="7:7">
      <c r="G532" s="76"/>
    </row>
    <row r="533" spans="7:7">
      <c r="G533" s="76"/>
    </row>
    <row r="534" spans="7:7">
      <c r="G534" s="76"/>
    </row>
    <row r="535" spans="7:7">
      <c r="G535" s="76"/>
    </row>
    <row r="536" spans="7:7">
      <c r="G536" s="76"/>
    </row>
    <row r="537" spans="7:7">
      <c r="G537" s="76"/>
    </row>
    <row r="538" spans="7:7">
      <c r="G538" s="76"/>
    </row>
    <row r="539" spans="7:7">
      <c r="G539" s="76"/>
    </row>
    <row r="540" spans="7:7">
      <c r="G540" s="76"/>
    </row>
    <row r="541" spans="7:7">
      <c r="G541" s="76"/>
    </row>
    <row r="542" spans="7:7">
      <c r="G542" s="76"/>
    </row>
    <row r="543" spans="7:7">
      <c r="G543" s="76"/>
    </row>
    <row r="544" spans="7:7">
      <c r="G544" s="76"/>
    </row>
    <row r="545" spans="7:7">
      <c r="G545" s="76"/>
    </row>
    <row r="546" spans="7:7">
      <c r="G546" s="76"/>
    </row>
    <row r="547" spans="7:7">
      <c r="G547" s="76"/>
    </row>
    <row r="548" spans="7:7">
      <c r="G548" s="76"/>
    </row>
    <row r="549" spans="7:7">
      <c r="G549" s="76"/>
    </row>
    <row r="550" spans="7:7">
      <c r="G550" s="76"/>
    </row>
    <row r="551" spans="7:7">
      <c r="G551" s="76"/>
    </row>
    <row r="552" spans="7:7">
      <c r="G552" s="76"/>
    </row>
    <row r="553" spans="7:7">
      <c r="G553" s="76"/>
    </row>
    <row r="554" spans="7:7">
      <c r="G554" s="76"/>
    </row>
    <row r="555" spans="7:7">
      <c r="G555" s="76"/>
    </row>
    <row r="556" spans="7:7">
      <c r="G556" s="76"/>
    </row>
    <row r="557" spans="7:7">
      <c r="G557" s="76"/>
    </row>
    <row r="558" spans="7:7">
      <c r="G558" s="76"/>
    </row>
    <row r="559" spans="7:7">
      <c r="G559" s="76"/>
    </row>
    <row r="560" spans="7:7">
      <c r="G560" s="76"/>
    </row>
    <row r="561" spans="7:7">
      <c r="G561" s="76"/>
    </row>
    <row r="562" spans="7:7">
      <c r="G562" s="76"/>
    </row>
    <row r="563" spans="7:7">
      <c r="G563" s="76"/>
    </row>
    <row r="564" spans="7:7">
      <c r="G564" s="76"/>
    </row>
    <row r="565" spans="7:7">
      <c r="G565" s="76"/>
    </row>
    <row r="566" spans="7:7">
      <c r="G566" s="76"/>
    </row>
    <row r="567" spans="7:7">
      <c r="G567" s="76"/>
    </row>
    <row r="568" spans="7:7">
      <c r="G568" s="76"/>
    </row>
    <row r="569" spans="7:7">
      <c r="G569" s="76"/>
    </row>
    <row r="570" spans="7:7">
      <c r="G570" s="76"/>
    </row>
    <row r="571" spans="7:7">
      <c r="G571" s="76"/>
    </row>
    <row r="572" spans="7:7">
      <c r="G572" s="76"/>
    </row>
    <row r="573" spans="7:7">
      <c r="G573" s="76"/>
    </row>
    <row r="574" spans="7:7">
      <c r="G574" s="76"/>
    </row>
    <row r="575" spans="7:7">
      <c r="G575" s="76"/>
    </row>
    <row r="576" spans="7:7">
      <c r="G576" s="76"/>
    </row>
    <row r="577" spans="7:7">
      <c r="G577" s="76"/>
    </row>
    <row r="578" spans="7:7">
      <c r="G578" s="76"/>
    </row>
    <row r="579" spans="7:7">
      <c r="G579" s="76"/>
    </row>
    <row r="580" spans="7:7">
      <c r="G580" s="76"/>
    </row>
    <row r="581" spans="7:7">
      <c r="G581" s="76"/>
    </row>
    <row r="582" spans="7:7">
      <c r="G582" s="76"/>
    </row>
    <row r="583" spans="7:7">
      <c r="G583" s="76"/>
    </row>
    <row r="584" spans="7:7">
      <c r="G584" s="76"/>
    </row>
    <row r="585" spans="7:7">
      <c r="G585" s="76"/>
    </row>
    <row r="586" spans="7:7">
      <c r="G586" s="76"/>
    </row>
    <row r="587" spans="7:7">
      <c r="G587" s="76"/>
    </row>
    <row r="588" spans="7:7">
      <c r="G588" s="76"/>
    </row>
    <row r="589" spans="7:7">
      <c r="G589" s="76"/>
    </row>
    <row r="590" spans="7:7">
      <c r="G590" s="76"/>
    </row>
    <row r="591" spans="7:7">
      <c r="G591" s="76"/>
    </row>
    <row r="592" spans="7:7">
      <c r="G592" s="76"/>
    </row>
    <row r="593" spans="7:7">
      <c r="G593" s="76"/>
    </row>
    <row r="594" spans="7:7">
      <c r="G594" s="76"/>
    </row>
    <row r="595" spans="7:7">
      <c r="G595" s="76"/>
    </row>
    <row r="596" spans="7:7">
      <c r="G596" s="76"/>
    </row>
    <row r="597" spans="7:7">
      <c r="G597" s="76"/>
    </row>
    <row r="598" spans="7:7">
      <c r="G598" s="76"/>
    </row>
    <row r="599" spans="7:7">
      <c r="G599" s="76"/>
    </row>
    <row r="600" spans="7:7">
      <c r="G600" s="76"/>
    </row>
    <row r="601" spans="7:7">
      <c r="G601" s="76"/>
    </row>
    <row r="602" spans="7:7">
      <c r="G602" s="76"/>
    </row>
    <row r="603" spans="7:7">
      <c r="G603" s="76"/>
    </row>
    <row r="604" spans="7:7">
      <c r="G604" s="76"/>
    </row>
    <row r="605" spans="7:7">
      <c r="G605" s="76"/>
    </row>
    <row r="606" spans="7:7">
      <c r="G606" s="76"/>
    </row>
    <row r="607" spans="7:7">
      <c r="G607" s="76"/>
    </row>
    <row r="608" spans="7:7">
      <c r="G608" s="76"/>
    </row>
    <row r="609" spans="7:7">
      <c r="G609" s="76"/>
    </row>
    <row r="610" spans="7:7">
      <c r="G610" s="76"/>
    </row>
    <row r="611" spans="7:7">
      <c r="G611" s="76"/>
    </row>
    <row r="612" spans="7:7">
      <c r="G612" s="76"/>
    </row>
    <row r="613" spans="7:7">
      <c r="G613" s="76"/>
    </row>
    <row r="614" spans="7:7">
      <c r="G614" s="76"/>
    </row>
    <row r="615" spans="7:7">
      <c r="G615" s="76"/>
    </row>
    <row r="616" spans="7:7">
      <c r="G616" s="76"/>
    </row>
    <row r="617" spans="7:7">
      <c r="G617" s="76"/>
    </row>
    <row r="618" spans="7:7">
      <c r="G618" s="76"/>
    </row>
    <row r="619" spans="7:7">
      <c r="G619" s="76"/>
    </row>
    <row r="620" spans="7:7">
      <c r="G620" s="76"/>
    </row>
    <row r="621" spans="7:7">
      <c r="G621" s="76"/>
    </row>
    <row r="622" spans="7:7">
      <c r="G622" s="76"/>
    </row>
    <row r="623" spans="7:7">
      <c r="G623" s="76"/>
    </row>
    <row r="624" spans="7:7">
      <c r="G624" s="76"/>
    </row>
    <row r="625" spans="7:7">
      <c r="G625" s="76"/>
    </row>
    <row r="626" spans="7:7">
      <c r="G626" s="76"/>
    </row>
    <row r="627" spans="7:7">
      <c r="G627" s="76"/>
    </row>
    <row r="628" spans="7:7">
      <c r="G628" s="76"/>
    </row>
    <row r="629" spans="7:7">
      <c r="G629" s="76"/>
    </row>
    <row r="630" spans="7:7">
      <c r="G630" s="76"/>
    </row>
    <row r="631" spans="7:7">
      <c r="G631" s="76"/>
    </row>
    <row r="632" spans="7:7">
      <c r="G632" s="76"/>
    </row>
    <row r="633" spans="7:7">
      <c r="G633" s="76"/>
    </row>
    <row r="634" spans="7:7">
      <c r="G634" s="76"/>
    </row>
    <row r="635" spans="7:7">
      <c r="G635" s="76"/>
    </row>
    <row r="636" spans="7:7">
      <c r="G636" s="76"/>
    </row>
    <row r="637" spans="7:7">
      <c r="G637" s="76"/>
    </row>
    <row r="638" spans="7:7">
      <c r="G638" s="76"/>
    </row>
    <row r="639" spans="7:7">
      <c r="G639" s="76"/>
    </row>
    <row r="640" spans="7:7">
      <c r="G640" s="76"/>
    </row>
    <row r="641" spans="7:7">
      <c r="G641" s="76"/>
    </row>
    <row r="642" spans="7:7">
      <c r="G642" s="76"/>
    </row>
    <row r="643" spans="7:7">
      <c r="G643" s="76"/>
    </row>
    <row r="644" spans="7:7">
      <c r="G644" s="76"/>
    </row>
    <row r="645" spans="7:7">
      <c r="G645" s="76"/>
    </row>
    <row r="646" spans="7:7">
      <c r="G646" s="76"/>
    </row>
    <row r="647" spans="7:7">
      <c r="G647" s="76"/>
    </row>
    <row r="648" spans="7:7">
      <c r="G648" s="76"/>
    </row>
    <row r="649" spans="7:7">
      <c r="G649" s="76"/>
    </row>
    <row r="650" spans="7:7">
      <c r="G650" s="76"/>
    </row>
    <row r="651" spans="7:7">
      <c r="G651" s="76"/>
    </row>
    <row r="652" spans="7:7">
      <c r="G652" s="76"/>
    </row>
    <row r="653" spans="7:7">
      <c r="G653" s="76"/>
    </row>
    <row r="654" spans="7:7">
      <c r="G654" s="76"/>
    </row>
    <row r="655" spans="7:7">
      <c r="G655" s="76"/>
    </row>
    <row r="656" spans="7:7">
      <c r="G656" s="76"/>
    </row>
    <row r="657" spans="7:7">
      <c r="G657" s="76"/>
    </row>
    <row r="658" spans="7:7">
      <c r="G658" s="76"/>
    </row>
    <row r="659" spans="7:7">
      <c r="G659" s="76"/>
    </row>
    <row r="660" spans="7:7">
      <c r="G660" s="76"/>
    </row>
    <row r="661" spans="7:7">
      <c r="G661" s="76"/>
    </row>
    <row r="662" spans="7:7">
      <c r="G662" s="76"/>
    </row>
    <row r="663" spans="7:7">
      <c r="G663" s="76"/>
    </row>
    <row r="664" spans="7:7">
      <c r="G664" s="76"/>
    </row>
    <row r="665" spans="7:7">
      <c r="G665" s="76"/>
    </row>
    <row r="666" spans="7:7">
      <c r="G666" s="76"/>
    </row>
    <row r="667" spans="7:7">
      <c r="G667" s="76"/>
    </row>
    <row r="668" spans="7:7">
      <c r="G668" s="76"/>
    </row>
    <row r="669" spans="7:7">
      <c r="G669" s="76"/>
    </row>
    <row r="670" spans="7:7">
      <c r="G670" s="76"/>
    </row>
    <row r="671" spans="7:7">
      <c r="G671" s="76"/>
    </row>
    <row r="672" spans="7:7">
      <c r="G672" s="76"/>
    </row>
    <row r="673" spans="7:7">
      <c r="G673" s="76"/>
    </row>
    <row r="674" spans="7:7">
      <c r="G674" s="76"/>
    </row>
    <row r="675" spans="7:7">
      <c r="G675" s="76"/>
    </row>
    <row r="676" spans="7:7">
      <c r="G676" s="76"/>
    </row>
    <row r="677" spans="7:7">
      <c r="G677" s="76"/>
    </row>
    <row r="678" spans="7:7">
      <c r="G678" s="76"/>
    </row>
    <row r="679" spans="7:7">
      <c r="G679" s="76"/>
    </row>
    <row r="680" spans="7:7">
      <c r="G680" s="76"/>
    </row>
    <row r="681" spans="7:7">
      <c r="G681" s="76"/>
    </row>
    <row r="682" spans="7:7">
      <c r="G682" s="76"/>
    </row>
    <row r="683" spans="7:7">
      <c r="G683" s="76"/>
    </row>
    <row r="684" spans="7:7">
      <c r="G684" s="76"/>
    </row>
    <row r="685" spans="7:7">
      <c r="G685" s="76"/>
    </row>
    <row r="686" spans="7:7">
      <c r="G686" s="76"/>
    </row>
    <row r="687" spans="7:7">
      <c r="G687" s="76"/>
    </row>
    <row r="688" spans="7:7">
      <c r="G688" s="76"/>
    </row>
    <row r="689" spans="7:7">
      <c r="G689" s="76"/>
    </row>
    <row r="690" spans="7:7">
      <c r="G690" s="76"/>
    </row>
    <row r="691" spans="7:7">
      <c r="G691" s="76"/>
    </row>
    <row r="692" spans="7:7">
      <c r="G692" s="76"/>
    </row>
    <row r="693" spans="7:7">
      <c r="G693" s="76"/>
    </row>
    <row r="694" spans="7:7">
      <c r="G694" s="76"/>
    </row>
    <row r="695" spans="7:7">
      <c r="G695" s="76"/>
    </row>
    <row r="696" spans="7:7">
      <c r="G696" s="76"/>
    </row>
    <row r="697" spans="7:7">
      <c r="G697" s="76"/>
    </row>
    <row r="698" spans="7:7">
      <c r="G698" s="76"/>
    </row>
    <row r="699" spans="7:7">
      <c r="G699" s="76"/>
    </row>
    <row r="700" spans="7:7">
      <c r="G700" s="76"/>
    </row>
    <row r="701" spans="7:7">
      <c r="G701" s="76"/>
    </row>
    <row r="702" spans="7:7">
      <c r="G702" s="76"/>
    </row>
    <row r="703" spans="7:7">
      <c r="G703" s="76"/>
    </row>
    <row r="704" spans="7:7">
      <c r="G704" s="76"/>
    </row>
    <row r="705" spans="7:7">
      <c r="G705" s="76"/>
    </row>
    <row r="706" spans="7:7">
      <c r="G706" s="76"/>
    </row>
    <row r="707" spans="7:7">
      <c r="G707" s="76"/>
    </row>
    <row r="708" spans="7:7">
      <c r="G708" s="76"/>
    </row>
    <row r="709" spans="7:7">
      <c r="G709" s="76"/>
    </row>
    <row r="710" spans="7:7">
      <c r="G710" s="76"/>
    </row>
    <row r="711" spans="7:7">
      <c r="G711" s="76"/>
    </row>
    <row r="712" spans="7:7">
      <c r="G712" s="76"/>
    </row>
    <row r="713" spans="7:7">
      <c r="G713" s="76"/>
    </row>
    <row r="714" spans="7:7">
      <c r="G714" s="76"/>
    </row>
    <row r="715" spans="7:7">
      <c r="G715" s="76"/>
    </row>
    <row r="716" spans="7:7">
      <c r="G716" s="76"/>
    </row>
    <row r="717" spans="7:7">
      <c r="G717" s="76"/>
    </row>
    <row r="718" spans="7:7">
      <c r="G718" s="76"/>
    </row>
    <row r="719" spans="7:7">
      <c r="G719" s="76"/>
    </row>
    <row r="720" spans="7:7">
      <c r="G720" s="76"/>
    </row>
    <row r="721" spans="7:7">
      <c r="G721" s="76"/>
    </row>
    <row r="722" spans="7:7">
      <c r="G722" s="76"/>
    </row>
    <row r="723" spans="7:7">
      <c r="G723" s="76"/>
    </row>
    <row r="724" spans="7:7">
      <c r="G724" s="76"/>
    </row>
    <row r="725" spans="7:7">
      <c r="G725" s="76"/>
    </row>
    <row r="726" spans="7:7">
      <c r="G726" s="76"/>
    </row>
    <row r="727" spans="7:7">
      <c r="G727" s="76"/>
    </row>
    <row r="728" spans="7:7">
      <c r="G728" s="76"/>
    </row>
    <row r="729" spans="7:7">
      <c r="G729" s="76"/>
    </row>
    <row r="730" spans="7:7">
      <c r="G730" s="76"/>
    </row>
    <row r="731" spans="7:7">
      <c r="G731" s="76"/>
    </row>
    <row r="732" spans="7:7">
      <c r="G732" s="76"/>
    </row>
    <row r="733" spans="7:7">
      <c r="G733" s="76"/>
    </row>
    <row r="734" spans="7:7">
      <c r="G734" s="76"/>
    </row>
    <row r="735" spans="7:7">
      <c r="G735" s="76"/>
    </row>
    <row r="736" spans="7:7">
      <c r="G736" s="76"/>
    </row>
    <row r="737" spans="7:7">
      <c r="G737" s="76"/>
    </row>
    <row r="738" spans="7:7">
      <c r="G738" s="76"/>
    </row>
    <row r="739" spans="7:7">
      <c r="G739" s="76"/>
    </row>
    <row r="740" spans="7:7">
      <c r="G740" s="76"/>
    </row>
    <row r="741" spans="7:7">
      <c r="G741" s="76"/>
    </row>
    <row r="742" spans="7:7">
      <c r="G742" s="76"/>
    </row>
    <row r="743" spans="7:7">
      <c r="G743" s="76"/>
    </row>
    <row r="744" spans="7:7">
      <c r="G744" s="76"/>
    </row>
    <row r="745" spans="7:7">
      <c r="G745" s="76"/>
    </row>
    <row r="746" spans="7:7">
      <c r="G746" s="76"/>
    </row>
    <row r="747" spans="7:7">
      <c r="G747" s="76"/>
    </row>
    <row r="748" spans="7:7">
      <c r="G748" s="76"/>
    </row>
    <row r="749" spans="7:7">
      <c r="G749" s="76"/>
    </row>
    <row r="750" spans="7:7">
      <c r="G750" s="76"/>
    </row>
    <row r="751" spans="7:7">
      <c r="G751" s="76"/>
    </row>
    <row r="752" spans="7:7">
      <c r="G752" s="76"/>
    </row>
    <row r="753" spans="7:7">
      <c r="G753" s="76"/>
    </row>
    <row r="754" spans="7:7">
      <c r="G754" s="76"/>
    </row>
    <row r="755" spans="7:7">
      <c r="G755" s="76"/>
    </row>
    <row r="756" spans="7:7">
      <c r="G756" s="76"/>
    </row>
    <row r="757" spans="7:7">
      <c r="G757" s="76"/>
    </row>
    <row r="758" spans="7:7">
      <c r="G758" s="76"/>
    </row>
    <row r="759" spans="7:7">
      <c r="G759" s="76"/>
    </row>
    <row r="760" spans="7:7">
      <c r="G760" s="76"/>
    </row>
    <row r="761" spans="7:7">
      <c r="G761" s="76"/>
    </row>
    <row r="762" spans="7:7">
      <c r="G762" s="76"/>
    </row>
    <row r="763" spans="7:7">
      <c r="G763" s="76"/>
    </row>
    <row r="764" spans="7:7">
      <c r="G764" s="76"/>
    </row>
    <row r="765" spans="7:7">
      <c r="G765" s="76"/>
    </row>
    <row r="766" spans="7:7">
      <c r="G766" s="76"/>
    </row>
    <row r="767" spans="7:7">
      <c r="G767" s="76"/>
    </row>
    <row r="768" spans="7:7">
      <c r="G768" s="76"/>
    </row>
    <row r="769" spans="7:7">
      <c r="G769" s="76"/>
    </row>
    <row r="770" spans="7:7">
      <c r="G770" s="76"/>
    </row>
    <row r="771" spans="7:7">
      <c r="G771" s="76"/>
    </row>
    <row r="772" spans="7:7">
      <c r="G772" s="76"/>
    </row>
    <row r="773" spans="7:7">
      <c r="G773" s="76"/>
    </row>
    <row r="774" spans="7:7">
      <c r="G774" s="76"/>
    </row>
    <row r="775" spans="7:7">
      <c r="G775" s="76"/>
    </row>
    <row r="776" spans="7:7">
      <c r="G776" s="76"/>
    </row>
    <row r="777" spans="7:7">
      <c r="G777" s="76"/>
    </row>
    <row r="778" spans="7:7">
      <c r="G778" s="76"/>
    </row>
    <row r="779" spans="7:7">
      <c r="G779" s="76"/>
    </row>
    <row r="780" spans="7:7">
      <c r="G780" s="76"/>
    </row>
    <row r="781" spans="7:7">
      <c r="G781" s="76"/>
    </row>
    <row r="782" spans="7:7">
      <c r="G782" s="76"/>
    </row>
    <row r="783" spans="7:7">
      <c r="G783" s="76"/>
    </row>
    <row r="784" spans="7:7">
      <c r="G784" s="76"/>
    </row>
    <row r="785" spans="7:7">
      <c r="G785" s="76"/>
    </row>
    <row r="786" spans="7:7">
      <c r="G786" s="76"/>
    </row>
    <row r="787" spans="7:7">
      <c r="G787" s="76"/>
    </row>
    <row r="788" spans="7:7">
      <c r="G788" s="76"/>
    </row>
    <row r="789" spans="7:7">
      <c r="G789" s="76"/>
    </row>
    <row r="790" spans="7:7">
      <c r="G790" s="76"/>
    </row>
    <row r="791" spans="7:7">
      <c r="G791" s="76"/>
    </row>
    <row r="792" spans="7:7">
      <c r="G792" s="76"/>
    </row>
    <row r="793" spans="7:7">
      <c r="G793" s="76"/>
    </row>
    <row r="794" spans="7:7">
      <c r="G794" s="76"/>
    </row>
    <row r="795" spans="7:7">
      <c r="G795" s="76"/>
    </row>
    <row r="796" spans="7:7">
      <c r="G796" s="76"/>
    </row>
    <row r="797" spans="7:7">
      <c r="G797" s="76"/>
    </row>
    <row r="798" spans="7:7">
      <c r="G798" s="76"/>
    </row>
    <row r="799" spans="7:7">
      <c r="G799" s="76"/>
    </row>
    <row r="800" spans="7:7">
      <c r="G800" s="76"/>
    </row>
    <row r="801" spans="7:7">
      <c r="G801" s="76"/>
    </row>
    <row r="802" spans="7:7">
      <c r="G802" s="76"/>
    </row>
    <row r="803" spans="7:7">
      <c r="G803" s="76"/>
    </row>
    <row r="804" spans="7:7">
      <c r="G804" s="76"/>
    </row>
    <row r="805" spans="7:7">
      <c r="G805" s="76"/>
    </row>
    <row r="806" spans="7:7">
      <c r="G806" s="76"/>
    </row>
    <row r="807" spans="7:7">
      <c r="G807" s="76"/>
    </row>
    <row r="808" spans="7:7">
      <c r="G808" s="76"/>
    </row>
    <row r="809" spans="7:7">
      <c r="G809" s="76"/>
    </row>
    <row r="810" spans="7:7">
      <c r="G810" s="76"/>
    </row>
    <row r="811" spans="7:7">
      <c r="G811" s="76"/>
    </row>
    <row r="812" spans="7:7">
      <c r="G812" s="76"/>
    </row>
    <row r="813" spans="7:7">
      <c r="G813" s="76"/>
    </row>
    <row r="814" spans="7:7">
      <c r="G814" s="76"/>
    </row>
    <row r="815" spans="7:7">
      <c r="G815" s="76"/>
    </row>
    <row r="816" spans="7:7">
      <c r="G816" s="76"/>
    </row>
    <row r="817" spans="7:7">
      <c r="G817" s="76"/>
    </row>
    <row r="818" spans="7:7">
      <c r="G818" s="76"/>
    </row>
    <row r="819" spans="7:7">
      <c r="G819" s="76"/>
    </row>
    <row r="820" spans="7:7">
      <c r="G820" s="76"/>
    </row>
    <row r="821" spans="7:7">
      <c r="G821" s="76"/>
    </row>
    <row r="822" spans="7:7">
      <c r="G822" s="76"/>
    </row>
    <row r="823" spans="7:7">
      <c r="G823" s="76"/>
    </row>
    <row r="824" spans="7:7">
      <c r="G824" s="76"/>
    </row>
    <row r="825" spans="7:7">
      <c r="G825" s="76"/>
    </row>
    <row r="826" spans="7:7">
      <c r="G826" s="76"/>
    </row>
    <row r="827" spans="7:7">
      <c r="G827" s="76"/>
    </row>
    <row r="828" spans="7:7">
      <c r="G828" s="76"/>
    </row>
    <row r="829" spans="7:7">
      <c r="G829" s="76"/>
    </row>
    <row r="830" spans="7:7">
      <c r="G830" s="76"/>
    </row>
    <row r="831" spans="7:7">
      <c r="G831" s="76"/>
    </row>
    <row r="832" spans="7:7">
      <c r="G832" s="76"/>
    </row>
    <row r="833" spans="7:7">
      <c r="G833" s="76"/>
    </row>
    <row r="834" spans="7:7">
      <c r="G834" s="76"/>
    </row>
    <row r="835" spans="7:7">
      <c r="G835" s="76"/>
    </row>
    <row r="836" spans="7:7">
      <c r="G836" s="76"/>
    </row>
    <row r="837" spans="7:7">
      <c r="G837" s="76"/>
    </row>
    <row r="838" spans="7:7">
      <c r="G838" s="76"/>
    </row>
    <row r="839" spans="7:7">
      <c r="G839" s="76"/>
    </row>
    <row r="840" spans="7:7">
      <c r="G840" s="76"/>
    </row>
    <row r="841" spans="7:7">
      <c r="G841" s="76"/>
    </row>
    <row r="842" spans="7:7">
      <c r="G842" s="76"/>
    </row>
    <row r="843" spans="7:7">
      <c r="G843" s="76"/>
    </row>
    <row r="844" spans="7:7">
      <c r="G844" s="76"/>
    </row>
    <row r="845" spans="7:7">
      <c r="G845" s="76"/>
    </row>
    <row r="846" spans="7:7">
      <c r="G846" s="76"/>
    </row>
    <row r="847" spans="7:7">
      <c r="G847" s="76"/>
    </row>
    <row r="848" spans="7:7">
      <c r="G848" s="76"/>
    </row>
    <row r="849" spans="7:7">
      <c r="G849" s="76"/>
    </row>
    <row r="850" spans="7:7">
      <c r="G850" s="76"/>
    </row>
    <row r="851" spans="7:7">
      <c r="G851" s="76"/>
    </row>
    <row r="852" spans="7:7">
      <c r="G852" s="76"/>
    </row>
    <row r="853" spans="7:7">
      <c r="G853" s="76"/>
    </row>
    <row r="854" spans="7:7">
      <c r="G854" s="76"/>
    </row>
    <row r="855" spans="7:7">
      <c r="G855" s="76"/>
    </row>
    <row r="856" spans="7:7">
      <c r="G856" s="76"/>
    </row>
    <row r="857" spans="7:7">
      <c r="G857" s="76"/>
    </row>
    <row r="858" spans="7:7">
      <c r="G858" s="76"/>
    </row>
    <row r="859" spans="7:7">
      <c r="G859" s="76"/>
    </row>
    <row r="860" spans="7:7">
      <c r="G860" s="76"/>
    </row>
    <row r="861" spans="7:7">
      <c r="G861" s="76"/>
    </row>
    <row r="862" spans="7:7">
      <c r="G862" s="76"/>
    </row>
    <row r="863" spans="7:7">
      <c r="G863" s="76"/>
    </row>
    <row r="864" spans="7:7">
      <c r="G864" s="76"/>
    </row>
    <row r="865" spans="7:7">
      <c r="G865" s="76"/>
    </row>
    <row r="866" spans="7:7">
      <c r="G866" s="76"/>
    </row>
    <row r="867" spans="7:7">
      <c r="G867" s="76"/>
    </row>
    <row r="868" spans="7:7">
      <c r="G868" s="76"/>
    </row>
    <row r="869" spans="7:7">
      <c r="G869" s="76"/>
    </row>
    <row r="870" spans="7:7">
      <c r="G870" s="76"/>
    </row>
    <row r="871" spans="7:7">
      <c r="G871" s="76"/>
    </row>
    <row r="872" spans="7:7">
      <c r="G872" s="76"/>
    </row>
    <row r="873" spans="7:7">
      <c r="G873" s="76"/>
    </row>
    <row r="874" spans="7:7">
      <c r="G874" s="76"/>
    </row>
    <row r="875" spans="7:7">
      <c r="G875" s="76"/>
    </row>
    <row r="876" spans="7:7">
      <c r="G876" s="76"/>
    </row>
    <row r="877" spans="7:7">
      <c r="G877" s="76"/>
    </row>
    <row r="878" spans="7:7">
      <c r="G878" s="76"/>
    </row>
    <row r="879" spans="7:7">
      <c r="G879" s="76"/>
    </row>
    <row r="880" spans="7:7">
      <c r="G880" s="76"/>
    </row>
    <row r="881" spans="7:7">
      <c r="G881" s="76"/>
    </row>
    <row r="882" spans="7:7">
      <c r="G882" s="76"/>
    </row>
    <row r="883" spans="7:7">
      <c r="G883" s="76"/>
    </row>
    <row r="884" spans="7:7">
      <c r="G884" s="76"/>
    </row>
    <row r="885" spans="7:7">
      <c r="G885" s="76"/>
    </row>
    <row r="886" spans="7:7">
      <c r="G886" s="76"/>
    </row>
    <row r="887" spans="7:7">
      <c r="G887" s="76"/>
    </row>
    <row r="888" spans="7:7">
      <c r="G888" s="76"/>
    </row>
    <row r="889" spans="7:7">
      <c r="G889" s="76"/>
    </row>
    <row r="890" spans="7:7">
      <c r="G890" s="76"/>
    </row>
    <row r="891" spans="7:7">
      <c r="G891" s="76"/>
    </row>
    <row r="892" spans="7:7">
      <c r="G892" s="76"/>
    </row>
    <row r="893" spans="7:7">
      <c r="G893" s="76"/>
    </row>
    <row r="894" spans="7:7">
      <c r="G894" s="76"/>
    </row>
    <row r="895" spans="7:7">
      <c r="G895" s="76"/>
    </row>
    <row r="896" spans="7:7">
      <c r="G896" s="76"/>
    </row>
    <row r="897" spans="7:7">
      <c r="G897" s="76"/>
    </row>
    <row r="898" spans="7:7">
      <c r="G898" s="76"/>
    </row>
    <row r="899" spans="7:7">
      <c r="G899" s="76"/>
    </row>
    <row r="900" spans="7:7">
      <c r="G900" s="76"/>
    </row>
    <row r="901" spans="7:7">
      <c r="G901" s="76"/>
    </row>
    <row r="902" spans="7:7">
      <c r="G902" s="76"/>
    </row>
    <row r="903" spans="7:7">
      <c r="G903" s="76"/>
    </row>
    <row r="904" spans="7:7">
      <c r="G904" s="76"/>
    </row>
    <row r="905" spans="7:7">
      <c r="G905" s="76"/>
    </row>
    <row r="906" spans="7:7">
      <c r="G906" s="76"/>
    </row>
    <row r="907" spans="7:7">
      <c r="G907" s="76"/>
    </row>
    <row r="908" spans="7:7">
      <c r="G908" s="76"/>
    </row>
    <row r="909" spans="7:7">
      <c r="G909" s="76"/>
    </row>
    <row r="910" spans="7:7">
      <c r="G910" s="76"/>
    </row>
    <row r="911" spans="7:7">
      <c r="G911" s="76"/>
    </row>
    <row r="912" spans="7:7">
      <c r="G912" s="76"/>
    </row>
    <row r="913" spans="7:7">
      <c r="G913" s="76"/>
    </row>
    <row r="914" spans="7:7">
      <c r="G914" s="76"/>
    </row>
    <row r="915" spans="7:7">
      <c r="G915" s="76"/>
    </row>
    <row r="916" spans="7:7">
      <c r="G916" s="76"/>
    </row>
    <row r="917" spans="7:7">
      <c r="G917" s="76"/>
    </row>
    <row r="918" spans="7:7">
      <c r="G918" s="76"/>
    </row>
    <row r="919" spans="7:7">
      <c r="G919" s="76"/>
    </row>
    <row r="920" spans="7:7">
      <c r="G920" s="76"/>
    </row>
    <row r="921" spans="7:7">
      <c r="G921" s="76"/>
    </row>
    <row r="922" spans="7:7">
      <c r="G922" s="76"/>
    </row>
    <row r="923" spans="7:7">
      <c r="G923" s="76"/>
    </row>
    <row r="924" spans="7:7">
      <c r="G924" s="76"/>
    </row>
    <row r="925" spans="7:7">
      <c r="G925" s="76"/>
    </row>
    <row r="926" spans="7:7">
      <c r="G926" s="76"/>
    </row>
    <row r="927" spans="7:7">
      <c r="G927" s="76"/>
    </row>
    <row r="928" spans="7:7">
      <c r="G928" s="76"/>
    </row>
    <row r="929" spans="7:7">
      <c r="G929" s="76"/>
    </row>
    <row r="930" spans="7:7">
      <c r="G930" s="76"/>
    </row>
    <row r="931" spans="7:7">
      <c r="G931" s="76"/>
    </row>
    <row r="932" spans="7:7">
      <c r="G932" s="76"/>
    </row>
    <row r="933" spans="7:7">
      <c r="G933" s="76"/>
    </row>
    <row r="934" spans="7:7">
      <c r="G934" s="76"/>
    </row>
    <row r="935" spans="7:7">
      <c r="G935" s="76"/>
    </row>
    <row r="936" spans="7:7">
      <c r="G936" s="76"/>
    </row>
    <row r="937" spans="7:7">
      <c r="G937" s="76"/>
    </row>
    <row r="938" spans="7:7">
      <c r="G938" s="76"/>
    </row>
    <row r="939" spans="7:7">
      <c r="G939" s="76"/>
    </row>
    <row r="940" spans="7:7">
      <c r="G940" s="76"/>
    </row>
    <row r="941" spans="7:7">
      <c r="G941" s="76"/>
    </row>
    <row r="942" spans="7:7">
      <c r="G942" s="76"/>
    </row>
    <row r="943" spans="7:7">
      <c r="G943" s="76"/>
    </row>
    <row r="944" spans="7:7">
      <c r="G944" s="76"/>
    </row>
    <row r="945" spans="7:7">
      <c r="G945" s="76"/>
    </row>
    <row r="946" spans="7:7">
      <c r="G946" s="76"/>
    </row>
    <row r="947" spans="7:7">
      <c r="G947" s="76"/>
    </row>
    <row r="948" spans="7:7">
      <c r="G948" s="76"/>
    </row>
    <row r="949" spans="7:7">
      <c r="G949" s="76"/>
    </row>
    <row r="950" spans="7:7">
      <c r="G950" s="76"/>
    </row>
    <row r="951" spans="7:7">
      <c r="G951" s="76"/>
    </row>
    <row r="952" spans="7:7">
      <c r="G952" s="76"/>
    </row>
    <row r="953" spans="7:7">
      <c r="G953" s="76"/>
    </row>
    <row r="954" spans="7:7">
      <c r="G954" s="76"/>
    </row>
    <row r="955" spans="7:7">
      <c r="G955" s="76"/>
    </row>
    <row r="956" spans="7:7">
      <c r="G956" s="76"/>
    </row>
    <row r="957" spans="7:7">
      <c r="G957" s="76"/>
    </row>
    <row r="958" spans="7:7">
      <c r="G958" s="76"/>
    </row>
    <row r="959" spans="7:7">
      <c r="G959" s="76"/>
    </row>
    <row r="960" spans="7:7">
      <c r="G960" s="76"/>
    </row>
    <row r="961" spans="7:7">
      <c r="G961" s="76"/>
    </row>
    <row r="962" spans="7:7">
      <c r="G962" s="76"/>
    </row>
    <row r="963" spans="7:7">
      <c r="G963" s="76"/>
    </row>
    <row r="964" spans="7:7">
      <c r="G964" s="76"/>
    </row>
    <row r="965" spans="7:7">
      <c r="G965" s="76"/>
    </row>
    <row r="966" spans="7:7">
      <c r="G966" s="76"/>
    </row>
    <row r="967" spans="7:7">
      <c r="G967" s="76"/>
    </row>
    <row r="968" spans="7:7">
      <c r="G968" s="76"/>
    </row>
    <row r="969" spans="7:7">
      <c r="G969" s="76"/>
    </row>
    <row r="970" spans="7:7">
      <c r="G970" s="76"/>
    </row>
    <row r="971" spans="7:7">
      <c r="G971" s="76"/>
    </row>
    <row r="972" spans="7:7">
      <c r="G972" s="76"/>
    </row>
    <row r="973" spans="7:7">
      <c r="G973" s="76"/>
    </row>
    <row r="974" spans="7:7">
      <c r="G974" s="76"/>
    </row>
    <row r="975" spans="7:7">
      <c r="G975" s="76"/>
    </row>
    <row r="976" spans="7:7">
      <c r="G976" s="76"/>
    </row>
    <row r="977" spans="7:7">
      <c r="G977" s="76"/>
    </row>
    <row r="978" spans="7:7">
      <c r="G978" s="76"/>
    </row>
    <row r="979" spans="7:7">
      <c r="G979" s="76"/>
    </row>
    <row r="980" spans="7:7">
      <c r="G980" s="76"/>
    </row>
    <row r="981" spans="7:7">
      <c r="G981" s="76"/>
    </row>
    <row r="982" spans="7:7">
      <c r="G982" s="76"/>
    </row>
    <row r="983" spans="7:7">
      <c r="G983" s="76"/>
    </row>
    <row r="984" spans="7:7">
      <c r="G984" s="76"/>
    </row>
    <row r="985" spans="7:7">
      <c r="G985" s="76"/>
    </row>
    <row r="986" spans="7:7">
      <c r="G986" s="76"/>
    </row>
    <row r="987" spans="7:7">
      <c r="G987" s="76"/>
    </row>
    <row r="988" spans="7:7">
      <c r="G988" s="76"/>
    </row>
    <row r="989" spans="7:7">
      <c r="G989" s="76"/>
    </row>
    <row r="990" spans="7:7">
      <c r="G990" s="76"/>
    </row>
    <row r="991" spans="7:7">
      <c r="G991" s="76"/>
    </row>
    <row r="992" spans="7:7">
      <c r="G992" s="76"/>
    </row>
    <row r="993" spans="7:7">
      <c r="G993" s="76"/>
    </row>
    <row r="994" spans="7:7">
      <c r="G994" s="76"/>
    </row>
    <row r="995" spans="7:7">
      <c r="G995" s="76"/>
    </row>
    <row r="996" spans="7:7">
      <c r="G996" s="76"/>
    </row>
    <row r="997" spans="7:7">
      <c r="G997" s="76"/>
    </row>
    <row r="998" spans="7:7">
      <c r="G998" s="76"/>
    </row>
    <row r="999" spans="7:7">
      <c r="G999" s="76"/>
    </row>
    <row r="1000" spans="7:7">
      <c r="G1000" s="7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FF00"/>
    <outlinePr summaryBelow="0" summaryRight="0"/>
  </sheetPr>
  <dimension ref="A1:BH2016"/>
  <sheetViews>
    <sheetView workbookViewId="0"/>
  </sheetViews>
  <sheetFormatPr baseColWidth="10" defaultColWidth="12.6640625" defaultRowHeight="15" customHeight="1"/>
  <cols>
    <col min="1" max="1" width="6.6640625" customWidth="1"/>
    <col min="2" max="2" width="30.5" customWidth="1"/>
    <col min="3" max="3" width="9.33203125" customWidth="1"/>
    <col min="4" max="4" width="9.1640625" customWidth="1"/>
    <col min="5" max="5" width="16.33203125" customWidth="1"/>
    <col min="6" max="6" width="11.83203125" customWidth="1"/>
    <col min="7" max="7" width="17.33203125" customWidth="1"/>
    <col min="8" max="8" width="30.6640625" customWidth="1"/>
    <col min="9" max="9" width="24.1640625" customWidth="1"/>
    <col min="10" max="10" width="11.83203125" customWidth="1"/>
    <col min="11" max="11" width="54.6640625" customWidth="1"/>
    <col min="12" max="12" width="34.6640625" customWidth="1"/>
    <col min="13" max="13" width="9.1640625" customWidth="1"/>
    <col min="14" max="14" width="11.33203125" hidden="1" customWidth="1"/>
    <col min="15" max="15" width="45" customWidth="1"/>
    <col min="16" max="16" width="41.5" customWidth="1"/>
    <col min="17" max="17" width="35" customWidth="1"/>
    <col min="18" max="18" width="32" customWidth="1"/>
    <col min="26" max="26" width="67" customWidth="1"/>
    <col min="27" max="27" width="55.6640625" customWidth="1"/>
    <col min="28" max="28" width="21" customWidth="1"/>
    <col min="29" max="29" width="22.6640625" customWidth="1"/>
    <col min="30" max="30" width="22" customWidth="1"/>
    <col min="31" max="31" width="18.5" customWidth="1"/>
    <col min="32" max="32" width="22.6640625" customWidth="1"/>
    <col min="33" max="33" width="19.33203125" customWidth="1"/>
  </cols>
  <sheetData>
    <row r="1" spans="1:60" ht="16">
      <c r="A1" s="77" t="s">
        <v>2824</v>
      </c>
      <c r="B1" s="77" t="s">
        <v>2825</v>
      </c>
      <c r="C1" s="77" t="s">
        <v>2826</v>
      </c>
      <c r="D1" s="78" t="s">
        <v>2827</v>
      </c>
      <c r="E1" s="79" t="s">
        <v>2828</v>
      </c>
      <c r="F1" s="79" t="s">
        <v>2829</v>
      </c>
      <c r="G1" s="79" t="s">
        <v>2830</v>
      </c>
      <c r="H1" s="77" t="s">
        <v>2831</v>
      </c>
      <c r="I1" s="79" t="s">
        <v>6</v>
      </c>
      <c r="J1" s="79" t="s">
        <v>2832</v>
      </c>
      <c r="K1" s="79" t="s">
        <v>2833</v>
      </c>
      <c r="L1" s="79" t="s">
        <v>2834</v>
      </c>
      <c r="M1" s="80" t="s">
        <v>2835</v>
      </c>
      <c r="N1" s="79" t="s">
        <v>2836</v>
      </c>
      <c r="O1" s="79" t="s">
        <v>2837</v>
      </c>
      <c r="P1" s="79" t="s">
        <v>2838</v>
      </c>
      <c r="Q1" s="79" t="s">
        <v>2839</v>
      </c>
      <c r="R1" s="79" t="s">
        <v>2840</v>
      </c>
      <c r="S1" s="79" t="s">
        <v>2841</v>
      </c>
      <c r="T1" s="79" t="s">
        <v>2842</v>
      </c>
      <c r="U1" s="79" t="s">
        <v>2843</v>
      </c>
      <c r="V1" s="79" t="s">
        <v>2844</v>
      </c>
      <c r="W1" s="79" t="s">
        <v>2845</v>
      </c>
      <c r="X1" s="79" t="s">
        <v>2846</v>
      </c>
      <c r="Y1" s="79" t="s">
        <v>2847</v>
      </c>
      <c r="Z1" s="81" t="s">
        <v>2848</v>
      </c>
      <c r="AA1" s="81" t="s">
        <v>2849</v>
      </c>
      <c r="AB1" s="81" t="s">
        <v>2850</v>
      </c>
      <c r="AC1" s="81" t="s">
        <v>2851</v>
      </c>
      <c r="AD1" s="81" t="s">
        <v>2852</v>
      </c>
      <c r="AE1" s="81" t="s">
        <v>2853</v>
      </c>
      <c r="AF1" s="81" t="s">
        <v>2854</v>
      </c>
      <c r="AG1" s="81" t="s">
        <v>2855</v>
      </c>
      <c r="AH1" s="81" t="s">
        <v>2856</v>
      </c>
      <c r="AI1" s="81" t="s">
        <v>2857</v>
      </c>
      <c r="AJ1" s="81" t="s">
        <v>2858</v>
      </c>
      <c r="AK1" s="81" t="s">
        <v>2859</v>
      </c>
      <c r="AL1" s="81" t="s">
        <v>2860</v>
      </c>
      <c r="AM1" s="81" t="s">
        <v>2861</v>
      </c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1"/>
      <c r="BF1" s="81"/>
      <c r="BG1" s="81"/>
      <c r="BH1" s="81"/>
    </row>
    <row r="2" spans="1:60" ht="16">
      <c r="A2" s="82" t="s">
        <v>17</v>
      </c>
      <c r="B2" s="82" t="s">
        <v>47</v>
      </c>
      <c r="C2" s="82">
        <v>1</v>
      </c>
      <c r="D2" s="83" t="str">
        <f t="shared" ref="D2:D11" si="0">IF(E2="","",LEFT(E2,SEARCH("/",E2)-1))</f>
        <v>ISL91</v>
      </c>
      <c r="E2" s="84" t="s">
        <v>2862</v>
      </c>
      <c r="F2" s="85">
        <v>46053</v>
      </c>
      <c r="G2" s="84" t="s">
        <v>2863</v>
      </c>
      <c r="H2" s="82" t="str">
        <f>VLOOKUP(D2,CODORL!Q:T,4,FALSE)</f>
        <v>Alejandra Jara Maquilón</v>
      </c>
      <c r="I2" s="84" t="s">
        <v>101</v>
      </c>
      <c r="J2" s="84" t="s">
        <v>2864</v>
      </c>
      <c r="K2" s="84" t="s">
        <v>2865</v>
      </c>
      <c r="L2" s="84" t="s">
        <v>2866</v>
      </c>
      <c r="M2" s="84">
        <v>600</v>
      </c>
      <c r="N2" s="84"/>
      <c r="O2" s="84" t="s">
        <v>2867</v>
      </c>
      <c r="P2" s="84"/>
      <c r="Q2" s="84"/>
      <c r="R2" s="84"/>
      <c r="S2" s="84"/>
      <c r="T2" s="84"/>
      <c r="U2" s="84"/>
      <c r="V2" s="84"/>
      <c r="W2" s="84"/>
      <c r="X2" s="84"/>
      <c r="Y2" s="84"/>
      <c r="Z2" s="86" t="str">
        <f t="shared" ref="Z2:AA2" si="1">CONCATENATE(AA2,",",AB2,",",AC2,",",AD2,",",AE2,",",AF2,",",AG2,",",AH2,",",AI2,",",AJ2)</f>
        <v>,,,,,,,,,,,,,,,,,,</v>
      </c>
      <c r="AA2" s="86" t="str">
        <f t="shared" si="1"/>
        <v>,,,,,,,,,</v>
      </c>
      <c r="AB2" s="87"/>
      <c r="AC2" s="87"/>
      <c r="AD2" s="87"/>
      <c r="AE2" s="87"/>
      <c r="AF2" s="87"/>
      <c r="AG2" s="87"/>
      <c r="AH2" s="87"/>
      <c r="AI2" s="87"/>
      <c r="AJ2" s="87"/>
      <c r="AK2" s="81"/>
      <c r="AL2" s="81">
        <f t="shared" ref="AL2:AL4" si="2">M2/300</f>
        <v>2</v>
      </c>
      <c r="AM2" s="81">
        <f t="shared" ref="AM2:AM4" si="3">COUNTA(AA2:AJ2)</f>
        <v>1</v>
      </c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  <c r="BA2" s="81"/>
      <c r="BB2" s="81"/>
      <c r="BC2" s="81"/>
      <c r="BD2" s="81"/>
      <c r="BE2" s="81"/>
      <c r="BF2" s="81"/>
      <c r="BG2" s="81"/>
      <c r="BH2" s="81"/>
    </row>
    <row r="3" spans="1:60" ht="16.5" customHeight="1">
      <c r="A3" s="82" t="s">
        <v>17</v>
      </c>
      <c r="B3" s="82" t="s">
        <v>47</v>
      </c>
      <c r="C3" s="82">
        <v>1</v>
      </c>
      <c r="D3" s="83" t="str">
        <f t="shared" si="0"/>
        <v>ISL91</v>
      </c>
      <c r="E3" s="84" t="s">
        <v>2868</v>
      </c>
      <c r="F3" s="85">
        <v>46053</v>
      </c>
      <c r="G3" s="84" t="s">
        <v>2869</v>
      </c>
      <c r="H3" s="82" t="str">
        <f>VLOOKUP(D3,CODORL!Q:T,4,FALSE)</f>
        <v>Alejandra Jara Maquilón</v>
      </c>
      <c r="I3" s="84" t="s">
        <v>101</v>
      </c>
      <c r="J3" s="84" t="s">
        <v>2864</v>
      </c>
      <c r="K3" s="84" t="s">
        <v>2865</v>
      </c>
      <c r="L3" s="84" t="s">
        <v>2866</v>
      </c>
      <c r="M3" s="84">
        <v>1200</v>
      </c>
      <c r="N3" s="84"/>
      <c r="O3" s="88" t="s">
        <v>2870</v>
      </c>
      <c r="P3" s="84" t="s">
        <v>2871</v>
      </c>
      <c r="Q3" s="84"/>
      <c r="R3" s="84"/>
      <c r="S3" s="84"/>
      <c r="T3" s="84"/>
      <c r="U3" s="84"/>
      <c r="V3" s="84"/>
      <c r="W3" s="84"/>
      <c r="X3" s="84"/>
      <c r="Y3" s="84"/>
      <c r="Z3" s="86" t="str">
        <f t="shared" ref="Z3:AA3" si="4">CONCATENATE(AA3,",",AB3,",",AC3,",",AD3,",",AE3,",",AF3,",",AG3,",",AH3,",",AI3,",",AJ3)</f>
        <v>,,,,,,,,,,,,,,,,,,</v>
      </c>
      <c r="AA3" s="86" t="str">
        <f t="shared" si="4"/>
        <v>,,,,,,,,,</v>
      </c>
      <c r="AB3" s="87"/>
      <c r="AC3" s="87"/>
      <c r="AD3" s="87"/>
      <c r="AE3" s="87"/>
      <c r="AF3" s="87"/>
      <c r="AG3" s="87"/>
      <c r="AH3" s="87"/>
      <c r="AI3" s="87"/>
      <c r="AJ3" s="87"/>
      <c r="AK3" s="81"/>
      <c r="AL3" s="81">
        <f t="shared" si="2"/>
        <v>4</v>
      </c>
      <c r="AM3" s="81">
        <f t="shared" si="3"/>
        <v>1</v>
      </c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1"/>
      <c r="BG3" s="81"/>
      <c r="BH3" s="81"/>
    </row>
    <row r="4" spans="1:60" ht="16">
      <c r="A4" s="82" t="s">
        <v>17</v>
      </c>
      <c r="B4" s="82" t="s">
        <v>47</v>
      </c>
      <c r="C4" s="82">
        <v>1</v>
      </c>
      <c r="D4" s="83" t="str">
        <f t="shared" si="0"/>
        <v>ISL136</v>
      </c>
      <c r="E4" s="84" t="s">
        <v>2872</v>
      </c>
      <c r="F4" s="85">
        <v>46053</v>
      </c>
      <c r="G4" s="84" t="s">
        <v>2873</v>
      </c>
      <c r="H4" s="82" t="str">
        <f>VLOOKUP(D4,CODORL!Q:T,4,FALSE)</f>
        <v>Oreana Carolina Camacaro González</v>
      </c>
      <c r="I4" s="89" t="s">
        <v>2874</v>
      </c>
      <c r="J4" s="89" t="s">
        <v>2875</v>
      </c>
      <c r="K4" s="89" t="s">
        <v>2876</v>
      </c>
      <c r="L4" s="89" t="s">
        <v>2877</v>
      </c>
      <c r="M4" s="89">
        <v>600</v>
      </c>
      <c r="N4" s="84"/>
      <c r="O4" s="84" t="s">
        <v>2878</v>
      </c>
      <c r="P4" s="344"/>
      <c r="Q4" s="345"/>
      <c r="R4" s="345"/>
      <c r="S4" s="84"/>
      <c r="T4" s="84"/>
      <c r="U4" s="84"/>
      <c r="V4" s="84"/>
      <c r="W4" s="84"/>
      <c r="X4" s="84"/>
      <c r="Y4" s="84"/>
      <c r="Z4" s="86" t="str">
        <f t="shared" ref="Z4:Z7" si="5">CONCATENATE(AA4,",",AB4,",",AC4,",",AD4,",",AE4,",",AF4,",",AG4,",",AH4,",",AI4,",",AJ4)</f>
        <v>,,,,,,,,,</v>
      </c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1"/>
      <c r="AL4" s="81">
        <f t="shared" si="2"/>
        <v>2</v>
      </c>
      <c r="AM4" s="81">
        <f t="shared" si="3"/>
        <v>0</v>
      </c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90"/>
      <c r="BC4" s="90"/>
      <c r="BD4" s="90"/>
      <c r="BE4" s="90"/>
      <c r="BF4" s="90"/>
      <c r="BG4" s="90"/>
      <c r="BH4" s="90"/>
    </row>
    <row r="5" spans="1:60" ht="16">
      <c r="A5" s="82" t="s">
        <v>11</v>
      </c>
      <c r="B5" s="82" t="s">
        <v>8</v>
      </c>
      <c r="C5" s="82">
        <v>1</v>
      </c>
      <c r="D5" s="83" t="str">
        <f t="shared" si="0"/>
        <v>MBM11</v>
      </c>
      <c r="E5" s="84" t="s">
        <v>2879</v>
      </c>
      <c r="F5" s="85">
        <v>46053</v>
      </c>
      <c r="G5" s="91" t="s">
        <v>2880</v>
      </c>
      <c r="H5" s="82" t="str">
        <f>VLOOKUP(D5,CODORL!Q:T,4,FALSE)</f>
        <v>Antonio Rodríguez Rivero</v>
      </c>
      <c r="I5" s="84" t="s">
        <v>358</v>
      </c>
      <c r="J5" s="84" t="s">
        <v>2881</v>
      </c>
      <c r="K5" s="84" t="s">
        <v>2882</v>
      </c>
      <c r="L5" s="84" t="s">
        <v>2883</v>
      </c>
      <c r="M5" s="84">
        <v>300</v>
      </c>
      <c r="N5" s="84"/>
      <c r="O5" s="88" t="s">
        <v>2884</v>
      </c>
      <c r="P5" s="91"/>
      <c r="Q5" s="84"/>
      <c r="R5" s="84"/>
      <c r="S5" s="84"/>
      <c r="T5" s="84"/>
      <c r="U5" s="84"/>
      <c r="V5" s="84"/>
      <c r="W5" s="84"/>
      <c r="X5" s="84"/>
      <c r="Y5" s="84"/>
      <c r="Z5" s="86" t="str">
        <f t="shared" si="5"/>
        <v>,,,,,,,,,</v>
      </c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1"/>
      <c r="AM5" s="81"/>
      <c r="AN5" s="81"/>
      <c r="AO5" s="81"/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  <c r="BD5" s="81"/>
      <c r="BE5" s="81"/>
      <c r="BF5" s="81"/>
      <c r="BG5" s="81"/>
      <c r="BH5" s="81"/>
    </row>
    <row r="6" spans="1:60" ht="16">
      <c r="A6" s="92" t="s">
        <v>11</v>
      </c>
      <c r="B6" s="92" t="s">
        <v>8</v>
      </c>
      <c r="C6" s="82">
        <v>1</v>
      </c>
      <c r="D6" s="83" t="str">
        <f t="shared" si="0"/>
        <v>MBM186</v>
      </c>
      <c r="E6" s="93" t="s">
        <v>2885</v>
      </c>
      <c r="F6" s="85">
        <v>46053</v>
      </c>
      <c r="G6" s="93" t="s">
        <v>2886</v>
      </c>
      <c r="H6" s="82" t="str">
        <f>VLOOKUP(D6,CODORL!Q:T,4,FALSE)</f>
        <v>Marta Abad Pascual</v>
      </c>
      <c r="I6" s="93" t="s">
        <v>2887</v>
      </c>
      <c r="J6" s="93" t="s">
        <v>2888</v>
      </c>
      <c r="K6" s="93" t="s">
        <v>2889</v>
      </c>
      <c r="L6" s="93" t="s">
        <v>2890</v>
      </c>
      <c r="M6" s="84">
        <v>600</v>
      </c>
      <c r="N6" s="91"/>
      <c r="O6" s="88" t="s">
        <v>2891</v>
      </c>
      <c r="P6" s="94"/>
      <c r="Q6" s="94"/>
      <c r="R6" s="94"/>
      <c r="S6" s="94"/>
      <c r="T6" s="94"/>
      <c r="U6" s="94"/>
      <c r="V6" s="94"/>
      <c r="W6" s="94"/>
      <c r="X6" s="94"/>
      <c r="Y6" s="94"/>
      <c r="Z6" s="86" t="str">
        <f t="shared" si="5"/>
        <v>,,,,,,,,,</v>
      </c>
      <c r="AA6" s="86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6">
        <f>M6/300</f>
        <v>2</v>
      </c>
      <c r="AM6" s="96">
        <f>COUNTA(AA6:AJ6)</f>
        <v>0</v>
      </c>
      <c r="AN6" s="95"/>
      <c r="AO6" s="95"/>
      <c r="AP6" s="95"/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81"/>
      <c r="BC6" s="81"/>
      <c r="BD6" s="81"/>
      <c r="BE6" s="81"/>
      <c r="BF6" s="81"/>
      <c r="BG6" s="81"/>
      <c r="BH6" s="81"/>
    </row>
    <row r="7" spans="1:60" ht="16">
      <c r="A7" s="82" t="s">
        <v>11</v>
      </c>
      <c r="B7" s="82" t="s">
        <v>8</v>
      </c>
      <c r="C7" s="82">
        <v>1</v>
      </c>
      <c r="D7" s="83" t="str">
        <f t="shared" si="0"/>
        <v>MBM109</v>
      </c>
      <c r="E7" s="84" t="s">
        <v>2892</v>
      </c>
      <c r="F7" s="85">
        <v>46053</v>
      </c>
      <c r="G7" s="84" t="s">
        <v>2893</v>
      </c>
      <c r="H7" s="82" t="str">
        <f>VLOOKUP(D7,CODORL!Q:T,4,FALSE)</f>
        <v>Desirée Méndez Brenderbache</v>
      </c>
      <c r="I7" s="84" t="s">
        <v>667</v>
      </c>
      <c r="J7" s="89" t="s">
        <v>2894</v>
      </c>
      <c r="K7" s="89" t="s">
        <v>2895</v>
      </c>
      <c r="L7" s="89" t="s">
        <v>2896</v>
      </c>
      <c r="M7" s="84">
        <v>300</v>
      </c>
      <c r="N7" s="84"/>
      <c r="O7" s="97" t="s">
        <v>2897</v>
      </c>
      <c r="P7" s="91"/>
      <c r="Q7" s="90"/>
      <c r="R7" s="84"/>
      <c r="S7" s="84"/>
      <c r="T7" s="84"/>
      <c r="U7" s="84"/>
      <c r="V7" s="84"/>
      <c r="W7" s="84"/>
      <c r="X7" s="84"/>
      <c r="Y7" s="84"/>
      <c r="Z7" s="86" t="str">
        <f t="shared" si="5"/>
        <v>,,,,,,,,,</v>
      </c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1"/>
      <c r="BF7" s="81"/>
      <c r="BG7" s="81"/>
      <c r="BH7" s="81"/>
    </row>
    <row r="8" spans="1:60" ht="15" customHeight="1">
      <c r="A8" s="82" t="s">
        <v>11</v>
      </c>
      <c r="B8" s="82" t="s">
        <v>2898</v>
      </c>
      <c r="C8" s="82">
        <v>1</v>
      </c>
      <c r="D8" s="83" t="str">
        <f t="shared" si="0"/>
        <v>RPG51</v>
      </c>
      <c r="E8" s="89" t="s">
        <v>2899</v>
      </c>
      <c r="F8" s="85">
        <v>46053</v>
      </c>
      <c r="G8" s="84" t="s">
        <v>2900</v>
      </c>
      <c r="H8" s="82" t="str">
        <f>VLOOKUP(D8,CODORL!Q:T,4,FALSE)</f>
        <v>María Rey Marcos</v>
      </c>
      <c r="I8" s="84" t="s">
        <v>2080</v>
      </c>
      <c r="J8" s="89" t="s">
        <v>2901</v>
      </c>
      <c r="K8" s="84" t="s">
        <v>2902</v>
      </c>
      <c r="L8" s="89" t="s">
        <v>2903</v>
      </c>
      <c r="M8" s="98">
        <v>600</v>
      </c>
      <c r="N8" s="98"/>
      <c r="O8" s="99" t="s">
        <v>2904</v>
      </c>
      <c r="P8" s="99" t="s">
        <v>2905</v>
      </c>
      <c r="Q8" s="99"/>
      <c r="R8" s="99"/>
      <c r="S8" s="99"/>
      <c r="T8" s="99"/>
      <c r="U8" s="84"/>
      <c r="V8" s="84"/>
      <c r="W8" s="84"/>
      <c r="X8" s="84"/>
      <c r="Y8" s="84"/>
      <c r="Z8" s="87" t="s">
        <v>2906</v>
      </c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100"/>
      <c r="BC8" s="100"/>
      <c r="BD8" s="100"/>
      <c r="BE8" s="100"/>
      <c r="BF8" s="100"/>
      <c r="BG8" s="100"/>
      <c r="BH8" s="100"/>
    </row>
    <row r="9" spans="1:60" ht="16">
      <c r="A9" s="82" t="s">
        <v>11</v>
      </c>
      <c r="B9" s="82" t="s">
        <v>2907</v>
      </c>
      <c r="C9" s="82">
        <v>1</v>
      </c>
      <c r="D9" s="83" t="str">
        <f t="shared" si="0"/>
        <v>MCC75</v>
      </c>
      <c r="E9" s="84" t="s">
        <v>2908</v>
      </c>
      <c r="F9" s="85">
        <v>46053</v>
      </c>
      <c r="G9" s="84" t="s">
        <v>2909</v>
      </c>
      <c r="H9" s="82" t="s">
        <v>2910</v>
      </c>
      <c r="I9" s="84" t="s">
        <v>2910</v>
      </c>
      <c r="J9" s="84" t="s">
        <v>2911</v>
      </c>
      <c r="K9" s="84" t="s">
        <v>2912</v>
      </c>
      <c r="L9" s="84" t="s">
        <v>2913</v>
      </c>
      <c r="M9" s="84">
        <v>150</v>
      </c>
      <c r="N9" s="84"/>
      <c r="O9" s="84" t="s">
        <v>2914</v>
      </c>
      <c r="P9" s="84"/>
      <c r="Q9" s="84"/>
      <c r="R9" s="84"/>
      <c r="S9" s="84"/>
      <c r="T9" s="84"/>
      <c r="U9" s="84"/>
      <c r="V9" s="84"/>
      <c r="W9" s="84"/>
      <c r="X9" s="84"/>
      <c r="Y9" s="84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1"/>
      <c r="AL9" s="81">
        <f t="shared" ref="AL9:AL10" si="6">M9/300</f>
        <v>0.5</v>
      </c>
      <c r="AM9" s="81">
        <f t="shared" ref="AM9:AM10" si="7">COUNTA(AA9:AJ9)</f>
        <v>0</v>
      </c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</row>
    <row r="10" spans="1:60" ht="16">
      <c r="A10" s="82" t="s">
        <v>11</v>
      </c>
      <c r="B10" s="82" t="s">
        <v>2907</v>
      </c>
      <c r="C10" s="82">
        <v>1</v>
      </c>
      <c r="D10" s="83" t="str">
        <f t="shared" si="0"/>
        <v>MCC75</v>
      </c>
      <c r="E10" s="84" t="s">
        <v>2915</v>
      </c>
      <c r="F10" s="85">
        <v>46053</v>
      </c>
      <c r="G10" s="84" t="s">
        <v>2916</v>
      </c>
      <c r="H10" s="82" t="s">
        <v>2910</v>
      </c>
      <c r="I10" s="84" t="s">
        <v>2910</v>
      </c>
      <c r="J10" s="84" t="s">
        <v>2911</v>
      </c>
      <c r="K10" s="84" t="s">
        <v>2912</v>
      </c>
      <c r="L10" s="84" t="s">
        <v>2913</v>
      </c>
      <c r="M10" s="84">
        <v>1200</v>
      </c>
      <c r="N10" s="84"/>
      <c r="O10" s="84" t="s">
        <v>2917</v>
      </c>
      <c r="P10" s="84" t="s">
        <v>2918</v>
      </c>
      <c r="Q10" s="84"/>
      <c r="R10" s="84"/>
      <c r="S10" s="84"/>
      <c r="T10" s="84"/>
      <c r="U10" s="84"/>
      <c r="V10" s="84"/>
      <c r="W10" s="84"/>
      <c r="X10" s="84"/>
      <c r="Y10" s="84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1"/>
      <c r="AL10" s="81">
        <f t="shared" si="6"/>
        <v>4</v>
      </c>
      <c r="AM10" s="81">
        <f t="shared" si="7"/>
        <v>0</v>
      </c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</row>
    <row r="11" spans="1:60" ht="16">
      <c r="A11" s="82" t="s">
        <v>17</v>
      </c>
      <c r="B11" s="82" t="s">
        <v>2919</v>
      </c>
      <c r="C11" s="82">
        <v>2</v>
      </c>
      <c r="D11" s="83" t="str">
        <f t="shared" si="0"/>
        <v>RFV33</v>
      </c>
      <c r="E11" s="101" t="s">
        <v>2920</v>
      </c>
      <c r="F11" s="102">
        <v>46081</v>
      </c>
      <c r="G11" s="103" t="s">
        <v>2921</v>
      </c>
      <c r="H11" s="82" t="str">
        <f>VLOOKUP(D11,CODORL!Q:T,4,FALSE)</f>
        <v>Paula Martínez-Ruiz De Apocada</v>
      </c>
      <c r="I11" s="103" t="s">
        <v>2456</v>
      </c>
      <c r="J11" s="103" t="s">
        <v>2922</v>
      </c>
      <c r="K11" s="103" t="s">
        <v>2923</v>
      </c>
      <c r="L11" s="103" t="s">
        <v>2924</v>
      </c>
      <c r="M11" s="84">
        <v>1500</v>
      </c>
      <c r="N11" s="84"/>
      <c r="O11" s="84" t="s">
        <v>2925</v>
      </c>
      <c r="P11" s="98" t="s">
        <v>2926</v>
      </c>
      <c r="Q11" s="84" t="s">
        <v>2927</v>
      </c>
      <c r="R11" s="84"/>
      <c r="S11" s="84"/>
      <c r="T11" s="84"/>
      <c r="U11" s="84"/>
      <c r="V11" s="84"/>
      <c r="W11" s="84"/>
      <c r="X11" s="84"/>
      <c r="Y11" s="84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</row>
    <row r="12" spans="1:60" ht="16">
      <c r="A12" s="104" t="s">
        <v>11</v>
      </c>
      <c r="B12" s="104" t="s">
        <v>8</v>
      </c>
      <c r="C12" s="82">
        <v>2</v>
      </c>
      <c r="D12" s="105" t="str">
        <f t="shared" ref="D12:D14" si="8">LEFT(E12,SEARCH("/",E12,1)-1)</f>
        <v>MBM128</v>
      </c>
      <c r="E12" s="47" t="s">
        <v>2928</v>
      </c>
      <c r="F12" s="102">
        <v>46081</v>
      </c>
      <c r="G12" s="106" t="s">
        <v>2929</v>
      </c>
      <c r="H12" s="104" t="str">
        <f>VLOOKUP(D12,CODORL!Q:T,4,FALSE)</f>
        <v>Karla Natali Montaño Rueda</v>
      </c>
      <c r="I12" s="47" t="s">
        <v>1679</v>
      </c>
      <c r="J12" s="107" t="s">
        <v>2930</v>
      </c>
      <c r="K12" s="107" t="s">
        <v>2931</v>
      </c>
      <c r="L12" s="108" t="s">
        <v>2932</v>
      </c>
      <c r="M12" s="101">
        <v>600</v>
      </c>
      <c r="N12" s="109"/>
      <c r="O12" s="1" t="s">
        <v>2933</v>
      </c>
      <c r="P12" s="40"/>
      <c r="Q12" s="40"/>
      <c r="R12" s="109"/>
      <c r="S12" s="109"/>
      <c r="T12" s="109"/>
      <c r="U12" s="109"/>
      <c r="V12" s="109"/>
      <c r="W12" s="109"/>
      <c r="X12" s="109"/>
      <c r="Y12" s="109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0"/>
      <c r="AQ12" s="110"/>
      <c r="AR12" s="110"/>
      <c r="AS12" s="110"/>
      <c r="AT12" s="110"/>
      <c r="AU12" s="110"/>
      <c r="AV12" s="110"/>
      <c r="AW12" s="110"/>
      <c r="AX12" s="110"/>
      <c r="AY12" s="110"/>
      <c r="AZ12" s="110"/>
      <c r="BA12" s="110"/>
      <c r="BB12" s="81"/>
      <c r="BC12" s="81"/>
      <c r="BD12" s="81"/>
      <c r="BE12" s="81"/>
      <c r="BF12" s="81"/>
      <c r="BG12" s="81"/>
      <c r="BH12" s="81"/>
    </row>
    <row r="13" spans="1:60" ht="16">
      <c r="A13" s="111" t="s">
        <v>11</v>
      </c>
      <c r="B13" s="111" t="s">
        <v>8</v>
      </c>
      <c r="C13" s="82">
        <v>2</v>
      </c>
      <c r="D13" s="112" t="str">
        <f t="shared" si="8"/>
        <v>MBM114</v>
      </c>
      <c r="E13" s="101" t="s">
        <v>2934</v>
      </c>
      <c r="F13" s="102">
        <v>46081</v>
      </c>
      <c r="G13" s="106" t="s">
        <v>2935</v>
      </c>
      <c r="H13" s="111" t="str">
        <f>VLOOKUP(D13,CODORL!Q:T,4,FALSE)</f>
        <v>Esther García López</v>
      </c>
      <c r="I13" s="101" t="s">
        <v>2936</v>
      </c>
      <c r="J13" s="101" t="s">
        <v>2937</v>
      </c>
      <c r="K13" s="101" t="s">
        <v>2938</v>
      </c>
      <c r="L13" s="101" t="s">
        <v>2939</v>
      </c>
      <c r="M13" s="101">
        <v>600</v>
      </c>
      <c r="N13" s="101"/>
      <c r="O13" s="1" t="s">
        <v>2940</v>
      </c>
      <c r="P13" s="113"/>
      <c r="Q13" s="101"/>
      <c r="R13" s="101"/>
      <c r="S13" s="101"/>
      <c r="T13" s="101"/>
      <c r="U13" s="101"/>
      <c r="V13" s="101"/>
      <c r="W13" s="101"/>
      <c r="X13" s="101"/>
      <c r="Y13" s="101"/>
      <c r="Z13" s="114" t="str">
        <f t="shared" ref="Z13:Z16" si="9">CONCATENATE(AA13,",",AB13,",",AC13,",",AD13,",",AE13,",",AF13,",",AG13,",",AH13,",",AI13,",",AJ13)</f>
        <v>,,,,,,,,,</v>
      </c>
      <c r="AA13" s="114"/>
      <c r="AB13" s="114"/>
      <c r="AC13" s="114"/>
      <c r="AD13" s="114"/>
      <c r="AE13" s="114"/>
      <c r="AF13" s="114"/>
      <c r="AG13" s="114"/>
      <c r="AH13" s="114"/>
      <c r="AI13" s="114"/>
      <c r="AJ13" s="114"/>
      <c r="AK13" s="115"/>
      <c r="AL13" s="115">
        <f t="shared" ref="AL13:AL16" si="10">M13/300</f>
        <v>2</v>
      </c>
      <c r="AM13" s="115">
        <f t="shared" ref="AM13:AM16" si="11">COUNTA(AA13:AJ13)</f>
        <v>0</v>
      </c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  <c r="AY13" s="115"/>
      <c r="AZ13" s="115"/>
      <c r="BA13" s="115"/>
      <c r="BB13" s="81"/>
      <c r="BC13" s="81"/>
      <c r="BD13" s="81"/>
      <c r="BE13" s="81"/>
      <c r="BF13" s="81"/>
      <c r="BG13" s="81"/>
      <c r="BH13" s="81"/>
    </row>
    <row r="14" spans="1:60" ht="16">
      <c r="A14" s="111" t="s">
        <v>11</v>
      </c>
      <c r="B14" s="111" t="s">
        <v>8</v>
      </c>
      <c r="C14" s="82">
        <v>2</v>
      </c>
      <c r="D14" s="112" t="str">
        <f t="shared" si="8"/>
        <v>MBM03</v>
      </c>
      <c r="E14" s="101" t="s">
        <v>2941</v>
      </c>
      <c r="F14" s="102">
        <v>46081</v>
      </c>
      <c r="G14" s="93" t="s">
        <v>2886</v>
      </c>
      <c r="H14" s="111" t="str">
        <f>VLOOKUP(D14,CODORL!Q:T,4,FALSE)</f>
        <v>Alejandro Harguindey Antoli-Candela</v>
      </c>
      <c r="I14" s="101" t="s">
        <v>2942</v>
      </c>
      <c r="J14" s="101" t="s">
        <v>2943</v>
      </c>
      <c r="K14" s="101" t="s">
        <v>2944</v>
      </c>
      <c r="L14" s="101" t="s">
        <v>2945</v>
      </c>
      <c r="M14" s="101">
        <v>300</v>
      </c>
      <c r="N14" s="101"/>
      <c r="O14" s="1" t="s">
        <v>2946</v>
      </c>
      <c r="P14" s="113"/>
      <c r="Q14" s="101"/>
      <c r="R14" s="101"/>
      <c r="S14" s="101"/>
      <c r="T14" s="101"/>
      <c r="U14" s="101"/>
      <c r="V14" s="101"/>
      <c r="W14" s="101"/>
      <c r="X14" s="101"/>
      <c r="Y14" s="101"/>
      <c r="Z14" s="114" t="str">
        <f t="shared" si="9"/>
        <v>,,,,,,,,,</v>
      </c>
      <c r="AA14" s="114"/>
      <c r="AB14" s="114"/>
      <c r="AC14" s="114"/>
      <c r="AD14" s="114"/>
      <c r="AE14" s="114"/>
      <c r="AF14" s="114"/>
      <c r="AG14" s="114"/>
      <c r="AH14" s="114"/>
      <c r="AI14" s="114"/>
      <c r="AJ14" s="114"/>
      <c r="AK14" s="115"/>
      <c r="AL14" s="115">
        <f t="shared" si="10"/>
        <v>1</v>
      </c>
      <c r="AM14" s="115">
        <f t="shared" si="11"/>
        <v>0</v>
      </c>
      <c r="AN14" s="115"/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  <c r="AY14" s="115"/>
      <c r="AZ14" s="115"/>
      <c r="BA14" s="115"/>
      <c r="BB14" s="81"/>
      <c r="BC14" s="81"/>
      <c r="BD14" s="81"/>
      <c r="BE14" s="81"/>
      <c r="BF14" s="81"/>
      <c r="BG14" s="81"/>
      <c r="BH14" s="81"/>
    </row>
    <row r="15" spans="1:60" ht="16">
      <c r="A15" s="92" t="s">
        <v>11</v>
      </c>
      <c r="B15" s="92" t="s">
        <v>8</v>
      </c>
      <c r="C15" s="82">
        <v>2</v>
      </c>
      <c r="D15" s="83" t="str">
        <f t="shared" ref="D15:D16" si="12">IF(E15="","",LEFT(E15,SEARCH("/",E15)-1))</f>
        <v>MBM186</v>
      </c>
      <c r="E15" s="93" t="s">
        <v>2947</v>
      </c>
      <c r="F15" s="102">
        <v>46081</v>
      </c>
      <c r="G15" s="93" t="s">
        <v>2886</v>
      </c>
      <c r="H15" s="82" t="str">
        <f>VLOOKUP(D15,CODORL!Q:T,4,FALSE)</f>
        <v>Marta Abad Pascual</v>
      </c>
      <c r="I15" s="93" t="s">
        <v>2887</v>
      </c>
      <c r="J15" s="93" t="s">
        <v>2888</v>
      </c>
      <c r="K15" s="93" t="s">
        <v>2889</v>
      </c>
      <c r="L15" s="93" t="s">
        <v>2890</v>
      </c>
      <c r="M15" s="84">
        <v>600</v>
      </c>
      <c r="N15" s="91"/>
      <c r="O15" s="1" t="s">
        <v>2948</v>
      </c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86" t="str">
        <f t="shared" si="9"/>
        <v>,,,,,,,,,</v>
      </c>
      <c r="AA15" s="86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6">
        <f t="shared" si="10"/>
        <v>2</v>
      </c>
      <c r="AM15" s="96">
        <f t="shared" si="11"/>
        <v>0</v>
      </c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5"/>
      <c r="AY15" s="95"/>
      <c r="AZ15" s="95"/>
      <c r="BA15" s="95"/>
      <c r="BB15" s="81"/>
      <c r="BC15" s="81"/>
      <c r="BD15" s="81"/>
      <c r="BE15" s="81"/>
      <c r="BF15" s="81"/>
      <c r="BG15" s="81"/>
      <c r="BH15" s="81"/>
    </row>
    <row r="16" spans="1:60" ht="16">
      <c r="A16" s="82" t="s">
        <v>17</v>
      </c>
      <c r="B16" s="82" t="s">
        <v>47</v>
      </c>
      <c r="C16" s="82">
        <v>2</v>
      </c>
      <c r="D16" s="83" t="str">
        <f t="shared" si="12"/>
        <v>ISL91</v>
      </c>
      <c r="E16" s="84" t="s">
        <v>2949</v>
      </c>
      <c r="F16" s="102">
        <v>46081</v>
      </c>
      <c r="G16" s="84" t="s">
        <v>2863</v>
      </c>
      <c r="H16" s="82" t="str">
        <f>VLOOKUP(D16,CODORL!Q:T,4,FALSE)</f>
        <v>Alejandra Jara Maquilón</v>
      </c>
      <c r="I16" s="84" t="s">
        <v>101</v>
      </c>
      <c r="J16" s="84" t="s">
        <v>2864</v>
      </c>
      <c r="K16" s="84" t="s">
        <v>2865</v>
      </c>
      <c r="L16" s="84" t="s">
        <v>2866</v>
      </c>
      <c r="M16" s="84">
        <v>600</v>
      </c>
      <c r="N16" s="84"/>
      <c r="O16" s="1" t="s">
        <v>2950</v>
      </c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6" t="str">
        <f t="shared" si="9"/>
        <v>,,,,,,,,,,,,,,,,,,</v>
      </c>
      <c r="AA16" s="86" t="str">
        <f>CONCATENATE(AB16,",",AC16,",",AD16,",",AE16,",",AF16,",",AG16,",",AH16,",",AI16,",",AJ16,",",AK16)</f>
        <v>,,,,,,,,,</v>
      </c>
      <c r="AB16" s="87"/>
      <c r="AC16" s="87"/>
      <c r="AD16" s="87"/>
      <c r="AE16" s="87"/>
      <c r="AF16" s="87"/>
      <c r="AG16" s="87"/>
      <c r="AH16" s="87"/>
      <c r="AI16" s="87"/>
      <c r="AJ16" s="87"/>
      <c r="AK16" s="81"/>
      <c r="AL16" s="81">
        <f t="shared" si="10"/>
        <v>2</v>
      </c>
      <c r="AM16" s="81">
        <f t="shared" si="11"/>
        <v>1</v>
      </c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</row>
    <row r="17" spans="1:60" ht="16">
      <c r="A17" s="111" t="s">
        <v>254</v>
      </c>
      <c r="B17" s="111" t="s">
        <v>47</v>
      </c>
      <c r="C17" s="82">
        <v>2</v>
      </c>
      <c r="D17" s="112" t="str">
        <f t="shared" ref="D17:D19" si="13">LEFT(E17,SEARCH("/",E17,1)-1)</f>
        <v>ISL122</v>
      </c>
      <c r="E17" s="101" t="s">
        <v>2951</v>
      </c>
      <c r="F17" s="102">
        <v>46081</v>
      </c>
      <c r="G17" s="101" t="s">
        <v>2869</v>
      </c>
      <c r="H17" s="82" t="str">
        <f>VLOOKUP(D17,CODORL!Q:T,4,FALSE)</f>
        <v>María Agustina Sevilla García</v>
      </c>
      <c r="I17" s="116" t="s">
        <v>2952</v>
      </c>
      <c r="J17" s="101" t="s">
        <v>2953</v>
      </c>
      <c r="K17" s="101" t="s">
        <v>2954</v>
      </c>
      <c r="L17" s="101" t="s">
        <v>2955</v>
      </c>
      <c r="M17" s="84">
        <v>1600</v>
      </c>
      <c r="N17" s="84"/>
      <c r="O17" s="1" t="s">
        <v>2956</v>
      </c>
      <c r="P17" s="84" t="s">
        <v>2957</v>
      </c>
      <c r="Q17" s="84"/>
      <c r="R17" s="84"/>
      <c r="S17" s="84"/>
      <c r="T17" s="84"/>
      <c r="U17" s="84"/>
      <c r="V17" s="84"/>
      <c r="W17" s="84"/>
      <c r="X17" s="84"/>
      <c r="Y17" s="84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</row>
    <row r="18" spans="1:60" ht="16">
      <c r="A18" s="111" t="s">
        <v>254</v>
      </c>
      <c r="B18" s="111" t="s">
        <v>47</v>
      </c>
      <c r="C18" s="82">
        <v>2</v>
      </c>
      <c r="D18" s="112" t="str">
        <f t="shared" si="13"/>
        <v>ISL122</v>
      </c>
      <c r="E18" s="101" t="s">
        <v>2958</v>
      </c>
      <c r="F18" s="102">
        <v>46081</v>
      </c>
      <c r="G18" s="101" t="s">
        <v>2873</v>
      </c>
      <c r="H18" s="82" t="str">
        <f>VLOOKUP(D18,CODORL!Q:T,4,FALSE)</f>
        <v>María Agustina Sevilla García</v>
      </c>
      <c r="I18" s="116" t="s">
        <v>2952</v>
      </c>
      <c r="J18" s="101" t="s">
        <v>2953</v>
      </c>
      <c r="K18" s="101" t="s">
        <v>2954</v>
      </c>
      <c r="L18" s="101" t="s">
        <v>2955</v>
      </c>
      <c r="M18" s="84">
        <v>800</v>
      </c>
      <c r="N18" s="84"/>
      <c r="O18" s="1" t="s">
        <v>2959</v>
      </c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</row>
    <row r="19" spans="1:60" ht="16">
      <c r="A19" s="111" t="s">
        <v>254</v>
      </c>
      <c r="B19" s="111" t="s">
        <v>47</v>
      </c>
      <c r="C19" s="82">
        <v>2</v>
      </c>
      <c r="D19" s="112" t="str">
        <f t="shared" si="13"/>
        <v>ISL122</v>
      </c>
      <c r="E19" s="101" t="s">
        <v>2960</v>
      </c>
      <c r="F19" s="102">
        <v>46081</v>
      </c>
      <c r="G19" s="101" t="s">
        <v>2961</v>
      </c>
      <c r="H19" s="82" t="str">
        <f>VLOOKUP(D19,CODORL!Q:T,4,FALSE)</f>
        <v>María Agustina Sevilla García</v>
      </c>
      <c r="I19" s="116" t="s">
        <v>2952</v>
      </c>
      <c r="J19" s="101" t="s">
        <v>2953</v>
      </c>
      <c r="K19" s="101" t="s">
        <v>2954</v>
      </c>
      <c r="L19" s="101" t="s">
        <v>2955</v>
      </c>
      <c r="M19" s="84">
        <v>800</v>
      </c>
      <c r="N19" s="84"/>
      <c r="O19" s="1" t="s">
        <v>2962</v>
      </c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</row>
    <row r="20" spans="1:60" ht="15" customHeight="1">
      <c r="A20" s="82" t="s">
        <v>11</v>
      </c>
      <c r="B20" s="82" t="s">
        <v>2898</v>
      </c>
      <c r="C20" s="82">
        <v>2</v>
      </c>
      <c r="D20" s="83" t="str">
        <f>IF(E20="","",LEFT(E20,SEARCH("/",E20)-1))</f>
        <v>RPG51</v>
      </c>
      <c r="E20" s="89" t="s">
        <v>2963</v>
      </c>
      <c r="F20" s="102">
        <v>46081</v>
      </c>
      <c r="G20" s="84" t="s">
        <v>2900</v>
      </c>
      <c r="H20" s="82" t="str">
        <f>VLOOKUP(D20,CODORL!Q:T,4,FALSE)</f>
        <v>María Rey Marcos</v>
      </c>
      <c r="I20" s="84" t="s">
        <v>2080</v>
      </c>
      <c r="J20" s="89" t="s">
        <v>2901</v>
      </c>
      <c r="K20" s="84" t="s">
        <v>2902</v>
      </c>
      <c r="L20" s="89" t="s">
        <v>2903</v>
      </c>
      <c r="M20" s="98">
        <v>900</v>
      </c>
      <c r="N20" s="98"/>
      <c r="O20" s="99" t="s">
        <v>2964</v>
      </c>
      <c r="P20" s="99" t="s">
        <v>2965</v>
      </c>
      <c r="Q20" s="99"/>
      <c r="R20" s="99"/>
      <c r="S20" s="99"/>
      <c r="T20" s="99"/>
      <c r="U20" s="84"/>
      <c r="V20" s="84"/>
      <c r="W20" s="84"/>
      <c r="X20" s="84"/>
      <c r="Y20" s="84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100"/>
      <c r="BC20" s="100"/>
      <c r="BD20" s="100"/>
      <c r="BE20" s="100"/>
      <c r="BF20" s="100"/>
      <c r="BG20" s="100"/>
      <c r="BH20" s="100"/>
    </row>
    <row r="21" spans="1:60" ht="16">
      <c r="A21" s="82" t="s">
        <v>17</v>
      </c>
      <c r="B21" s="82" t="s">
        <v>47</v>
      </c>
      <c r="C21" s="82">
        <v>2</v>
      </c>
      <c r="D21" s="83" t="s">
        <v>2490</v>
      </c>
      <c r="E21" s="84" t="s">
        <v>2966</v>
      </c>
      <c r="F21" s="102">
        <v>46081</v>
      </c>
      <c r="G21" s="84" t="s">
        <v>2863</v>
      </c>
      <c r="H21" s="82" t="str">
        <f>VLOOKUP(D21,CODORL!Q:T,4,FALSE)</f>
        <v>Pedro Masegosa Zapata</v>
      </c>
      <c r="I21" s="84" t="s">
        <v>2492</v>
      </c>
      <c r="J21" s="89" t="s">
        <v>2967</v>
      </c>
      <c r="K21" s="89" t="s">
        <v>2968</v>
      </c>
      <c r="L21" s="84" t="s">
        <v>2969</v>
      </c>
      <c r="M21" s="84">
        <v>300</v>
      </c>
      <c r="N21" s="84"/>
      <c r="O21" s="84" t="s">
        <v>2970</v>
      </c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</row>
    <row r="22" spans="1:60" ht="16">
      <c r="A22" s="111" t="s">
        <v>11</v>
      </c>
      <c r="B22" s="111" t="s">
        <v>2784</v>
      </c>
      <c r="C22" s="111">
        <v>2</v>
      </c>
      <c r="D22" s="112" t="str">
        <f t="shared" ref="D22:D23" si="14">LEFT(E22,SEARCH("/",E22,1)-1)</f>
        <v>LRM125</v>
      </c>
      <c r="E22" s="101" t="s">
        <v>2971</v>
      </c>
      <c r="F22" s="102">
        <v>46081</v>
      </c>
      <c r="G22" s="101" t="s">
        <v>2972</v>
      </c>
      <c r="H22" s="82" t="str">
        <f>VLOOKUP(D22,CODORL!Q:T,4,FALSE)</f>
        <v>Ainhoa Moreno Bravo</v>
      </c>
      <c r="I22" s="101" t="s">
        <v>71</v>
      </c>
      <c r="J22" s="101" t="s">
        <v>2973</v>
      </c>
      <c r="K22" s="101" t="s">
        <v>2974</v>
      </c>
      <c r="L22" s="101" t="s">
        <v>2975</v>
      </c>
      <c r="M22" s="101">
        <v>600</v>
      </c>
      <c r="N22" s="101"/>
      <c r="O22" s="101" t="s">
        <v>2976</v>
      </c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14" t="str">
        <f t="shared" ref="Z22:Z23" si="15">CONCATENATE(AA22,",",AB22,",",AC22,",",AD22,",",AE22,",",AF22,",",AG22,",",AH22,",",AI22,",",AJ22)</f>
        <v>,,,,,,,,,</v>
      </c>
      <c r="AA22" s="114"/>
      <c r="AB22" s="114"/>
      <c r="AC22" s="114"/>
      <c r="AD22" s="114"/>
      <c r="AE22" s="114"/>
      <c r="AF22" s="114"/>
      <c r="AG22" s="114"/>
      <c r="AH22" s="114"/>
      <c r="AI22" s="114"/>
      <c r="AJ22" s="114"/>
      <c r="AK22" s="114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81"/>
      <c r="BC22" s="81"/>
      <c r="BD22" s="81"/>
      <c r="BE22" s="81"/>
      <c r="BF22" s="81"/>
      <c r="BG22" s="81"/>
      <c r="BH22" s="81"/>
    </row>
    <row r="23" spans="1:60" ht="16">
      <c r="A23" s="111" t="s">
        <v>17</v>
      </c>
      <c r="B23" s="111" t="s">
        <v>14</v>
      </c>
      <c r="C23" s="111">
        <v>3</v>
      </c>
      <c r="D23" s="112" t="str">
        <f t="shared" si="14"/>
        <v>RFV22</v>
      </c>
      <c r="E23" s="101" t="s">
        <v>2977</v>
      </c>
      <c r="F23" s="117">
        <v>46112</v>
      </c>
      <c r="G23" s="101" t="s">
        <v>2921</v>
      </c>
      <c r="H23" s="82" t="str">
        <f>VLOOKUP(D23,CODORL!Q:T,4,FALSE)</f>
        <v>Martín Eduardo Marcano Acuña</v>
      </c>
      <c r="I23" s="101" t="s">
        <v>2215</v>
      </c>
      <c r="J23" s="101" t="s">
        <v>2978</v>
      </c>
      <c r="K23" s="101" t="s">
        <v>2979</v>
      </c>
      <c r="L23" s="101" t="s">
        <v>2980</v>
      </c>
      <c r="M23" s="101">
        <v>1050</v>
      </c>
      <c r="N23" s="101"/>
      <c r="O23" s="118" t="s">
        <v>2981</v>
      </c>
      <c r="P23" s="101" t="s">
        <v>2982</v>
      </c>
      <c r="Q23" s="101"/>
      <c r="R23" s="101"/>
      <c r="S23" s="101"/>
      <c r="T23" s="101"/>
      <c r="U23" s="101"/>
      <c r="V23" s="101"/>
      <c r="W23" s="101"/>
      <c r="X23" s="101"/>
      <c r="Y23" s="101"/>
      <c r="Z23" s="101" t="str">
        <f t="shared" si="15"/>
        <v>,,,,,,,,,</v>
      </c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19"/>
      <c r="AM23" s="119"/>
      <c r="AN23" s="119"/>
      <c r="AO23" s="119"/>
      <c r="AP23" s="119"/>
      <c r="AQ23" s="119"/>
      <c r="AR23" s="119"/>
      <c r="AS23" s="119"/>
      <c r="AT23" s="119"/>
      <c r="AU23" s="119"/>
      <c r="AV23" s="119"/>
      <c r="AW23" s="119"/>
      <c r="AX23" s="119"/>
      <c r="AY23" s="119"/>
      <c r="AZ23" s="119"/>
      <c r="BA23" s="119"/>
      <c r="BB23" s="79"/>
      <c r="BC23" s="79"/>
      <c r="BD23" s="79"/>
      <c r="BE23" s="79"/>
      <c r="BF23" s="79"/>
      <c r="BG23" s="79"/>
      <c r="BH23" s="79"/>
    </row>
    <row r="24" spans="1:60" ht="16">
      <c r="A24" s="111" t="s">
        <v>17</v>
      </c>
      <c r="B24" s="111" t="s">
        <v>14</v>
      </c>
      <c r="C24" s="111">
        <v>3</v>
      </c>
      <c r="D24" s="105" t="s">
        <v>2033</v>
      </c>
      <c r="E24" s="47" t="s">
        <v>2983</v>
      </c>
      <c r="F24" s="117">
        <v>46112</v>
      </c>
      <c r="G24" s="101" t="s">
        <v>2984</v>
      </c>
      <c r="H24" s="82" t="str">
        <f>VLOOKUP(D24,CODORL!Q:T,4,FALSE)</f>
        <v>María José Lesmas Navarro</v>
      </c>
      <c r="I24" s="120" t="s">
        <v>2035</v>
      </c>
      <c r="J24" s="120" t="s">
        <v>2985</v>
      </c>
      <c r="K24" s="101" t="s">
        <v>2986</v>
      </c>
      <c r="L24" s="120" t="s">
        <v>2987</v>
      </c>
      <c r="M24" s="101">
        <v>700</v>
      </c>
      <c r="N24" s="101"/>
      <c r="O24" s="121" t="s">
        <v>2988</v>
      </c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19"/>
      <c r="AN24" s="119"/>
      <c r="AO24" s="119"/>
      <c r="AP24" s="119"/>
      <c r="AQ24" s="119"/>
      <c r="AR24" s="119"/>
      <c r="AS24" s="119"/>
      <c r="AT24" s="119"/>
      <c r="AU24" s="119"/>
      <c r="AV24" s="119"/>
      <c r="AW24" s="119"/>
      <c r="AX24" s="119"/>
      <c r="AY24" s="119"/>
      <c r="AZ24" s="119"/>
      <c r="BA24" s="119"/>
      <c r="BB24" s="79"/>
      <c r="BC24" s="79"/>
      <c r="BD24" s="79"/>
      <c r="BE24" s="79"/>
      <c r="BF24" s="79"/>
      <c r="BG24" s="79"/>
      <c r="BH24" s="79"/>
    </row>
    <row r="25" spans="1:60" ht="16">
      <c r="A25" s="111" t="s">
        <v>11</v>
      </c>
      <c r="B25" s="111" t="s">
        <v>8</v>
      </c>
      <c r="C25" s="111">
        <v>3</v>
      </c>
      <c r="D25" s="112" t="str">
        <f>LEFT(E25,SEARCH("/",E25,1)-1)</f>
        <v>MBM11</v>
      </c>
      <c r="E25" s="101" t="s">
        <v>2989</v>
      </c>
      <c r="F25" s="117">
        <v>46112</v>
      </c>
      <c r="G25" s="101" t="s">
        <v>2929</v>
      </c>
      <c r="H25" s="82" t="str">
        <f>VLOOKUP(D25,CODORL!Q:T,4,FALSE)</f>
        <v>Antonio Rodríguez Rivero</v>
      </c>
      <c r="I25" s="101" t="s">
        <v>2990</v>
      </c>
      <c r="J25" s="101" t="s">
        <v>2881</v>
      </c>
      <c r="K25" s="101" t="s">
        <v>2882</v>
      </c>
      <c r="L25" s="101" t="s">
        <v>2883</v>
      </c>
      <c r="M25" s="101">
        <v>600</v>
      </c>
      <c r="N25" s="101"/>
      <c r="O25" s="121" t="s">
        <v>2991</v>
      </c>
      <c r="P25" s="101"/>
      <c r="Q25" s="122"/>
      <c r="R25" s="122"/>
      <c r="S25" s="122"/>
      <c r="T25" s="122"/>
      <c r="U25" s="122"/>
      <c r="V25" s="122"/>
      <c r="W25" s="101"/>
      <c r="X25" s="101"/>
      <c r="Y25" s="122"/>
      <c r="Z25" s="101"/>
      <c r="AA25" s="101" t="s">
        <v>2992</v>
      </c>
      <c r="AB25" s="101" t="s">
        <v>2993</v>
      </c>
      <c r="AC25" s="101" t="s">
        <v>2994</v>
      </c>
      <c r="AD25" s="101" t="s">
        <v>2995</v>
      </c>
      <c r="AE25" s="101" t="s">
        <v>2996</v>
      </c>
      <c r="AF25" s="101" t="s">
        <v>2997</v>
      </c>
      <c r="AG25" s="101" t="s">
        <v>2998</v>
      </c>
      <c r="AH25" s="101" t="s">
        <v>2999</v>
      </c>
      <c r="AI25" s="101" t="s">
        <v>3000</v>
      </c>
      <c r="AJ25" s="101" t="s">
        <v>3001</v>
      </c>
      <c r="AK25" s="123"/>
      <c r="AL25" s="123">
        <f t="shared" ref="AL25:AL26" si="16">M25/300</f>
        <v>2</v>
      </c>
      <c r="AM25" s="123">
        <f t="shared" ref="AM25:AM26" si="17">COUNTA(AA25:AJ25)</f>
        <v>10</v>
      </c>
      <c r="AN25" s="123"/>
      <c r="AO25" s="123"/>
      <c r="AP25" s="123"/>
      <c r="AQ25" s="123"/>
      <c r="AR25" s="123"/>
      <c r="AS25" s="123"/>
      <c r="AT25" s="123"/>
      <c r="AU25" s="123"/>
      <c r="AV25" s="123"/>
      <c r="AW25" s="123"/>
      <c r="AX25" s="123"/>
      <c r="AY25" s="123"/>
      <c r="AZ25" s="123"/>
      <c r="BA25" s="123"/>
      <c r="BB25" s="79"/>
      <c r="BC25" s="79"/>
      <c r="BD25" s="79"/>
      <c r="BE25" s="79"/>
      <c r="BF25" s="79"/>
      <c r="BG25" s="79"/>
      <c r="BH25" s="79"/>
    </row>
    <row r="26" spans="1:60" ht="16">
      <c r="A26" s="92" t="s">
        <v>11</v>
      </c>
      <c r="B26" s="92" t="s">
        <v>8</v>
      </c>
      <c r="C26" s="82">
        <v>3</v>
      </c>
      <c r="D26" s="83" t="str">
        <f>IF(E26="","",LEFT(E26,SEARCH("/",E26)-1))</f>
        <v>MBM186</v>
      </c>
      <c r="E26" s="93" t="s">
        <v>3002</v>
      </c>
      <c r="F26" s="117">
        <v>46112</v>
      </c>
      <c r="G26" s="93" t="s">
        <v>2886</v>
      </c>
      <c r="H26" s="82" t="str">
        <f>VLOOKUP(D26,CODORL!Q:T,4,FALSE)</f>
        <v>Marta Abad Pascual</v>
      </c>
      <c r="I26" s="93" t="s">
        <v>2887</v>
      </c>
      <c r="J26" s="93" t="s">
        <v>2888</v>
      </c>
      <c r="K26" s="93" t="s">
        <v>2889</v>
      </c>
      <c r="L26" s="93" t="s">
        <v>2890</v>
      </c>
      <c r="M26" s="84">
        <v>300</v>
      </c>
      <c r="N26" s="93"/>
      <c r="O26" s="121" t="s">
        <v>3003</v>
      </c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3" t="str">
        <f>CONCATENATE(AA26,",",AB26,",",AC26,",",AD26,",",AE26,",",AF26,",",AG26,",",AH26,",",AI26,",",AJ26)</f>
        <v>,,,,,,,,,</v>
      </c>
      <c r="AA26" s="93"/>
      <c r="AB26" s="94"/>
      <c r="AC26" s="94"/>
      <c r="AD26" s="94"/>
      <c r="AE26" s="94"/>
      <c r="AF26" s="94"/>
      <c r="AG26" s="94"/>
      <c r="AH26" s="94"/>
      <c r="AI26" s="94"/>
      <c r="AJ26" s="94"/>
      <c r="AK26" s="94"/>
      <c r="AL26" s="124">
        <f t="shared" si="16"/>
        <v>1</v>
      </c>
      <c r="AM26" s="124">
        <f t="shared" si="17"/>
        <v>0</v>
      </c>
      <c r="AN26" s="94"/>
      <c r="AO26" s="94"/>
      <c r="AP26" s="94"/>
      <c r="AQ26" s="94"/>
      <c r="AR26" s="94"/>
      <c r="AS26" s="94"/>
      <c r="AT26" s="94"/>
      <c r="AU26" s="94"/>
      <c r="AV26" s="94"/>
      <c r="AW26" s="94"/>
      <c r="AX26" s="94"/>
      <c r="AY26" s="94"/>
      <c r="AZ26" s="94"/>
      <c r="BA26" s="94"/>
      <c r="BB26" s="79"/>
      <c r="BC26" s="79"/>
      <c r="BD26" s="79"/>
      <c r="BE26" s="79"/>
      <c r="BF26" s="79"/>
      <c r="BG26" s="79"/>
      <c r="BH26" s="79"/>
    </row>
    <row r="27" spans="1:60" ht="16">
      <c r="A27" s="111" t="s">
        <v>254</v>
      </c>
      <c r="B27" s="111" t="s">
        <v>251</v>
      </c>
      <c r="C27" s="111">
        <v>3</v>
      </c>
      <c r="D27" s="112" t="s">
        <v>2733</v>
      </c>
      <c r="E27" s="101" t="s">
        <v>3004</v>
      </c>
      <c r="F27" s="117">
        <v>46112</v>
      </c>
      <c r="G27" s="47" t="s">
        <v>3005</v>
      </c>
      <c r="H27" s="82" t="str">
        <f>VLOOKUP(D27,CODORL!Q:T,4,FALSE)</f>
        <v>Vicente Mira Escartí</v>
      </c>
      <c r="I27" s="101" t="s">
        <v>2735</v>
      </c>
      <c r="J27" s="101" t="s">
        <v>3006</v>
      </c>
      <c r="K27" s="101" t="s">
        <v>3007</v>
      </c>
      <c r="L27" s="101" t="s">
        <v>3008</v>
      </c>
      <c r="M27" s="101">
        <v>400</v>
      </c>
      <c r="N27" s="101"/>
      <c r="O27" s="121" t="s">
        <v>3009</v>
      </c>
      <c r="P27" s="47"/>
      <c r="Q27" s="47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  <c r="AW27" s="119"/>
      <c r="AX27" s="119"/>
      <c r="AY27" s="119"/>
      <c r="AZ27" s="119"/>
      <c r="BA27" s="119"/>
      <c r="BB27" s="79"/>
      <c r="BC27" s="79"/>
      <c r="BD27" s="79"/>
      <c r="BE27" s="79"/>
      <c r="BF27" s="79"/>
      <c r="BG27" s="79"/>
      <c r="BH27" s="79"/>
    </row>
    <row r="28" spans="1:60" ht="15" customHeight="1">
      <c r="A28" s="111" t="s">
        <v>254</v>
      </c>
      <c r="B28" s="111" t="s">
        <v>251</v>
      </c>
      <c r="C28" s="82">
        <v>3</v>
      </c>
      <c r="D28" s="112" t="str">
        <f t="shared" ref="D28:D32" si="18">LEFT(E28,SEARCH("/",E28,1)-1)</f>
        <v>LAA77</v>
      </c>
      <c r="E28" s="101" t="s">
        <v>3010</v>
      </c>
      <c r="F28" s="117">
        <v>46112</v>
      </c>
      <c r="G28" s="101" t="s">
        <v>3011</v>
      </c>
      <c r="H28" s="82" t="str">
        <f>VLOOKUP(D28,CODORL!Q:T,4,FALSE)</f>
        <v>Mercedes Ceballos Cauto</v>
      </c>
      <c r="I28" s="101" t="str">
        <f>VLOOKUP(D28,CODORL!Q:T,4,FALSE)</f>
        <v>Mercedes Ceballos Cauto</v>
      </c>
      <c r="J28" s="101" t="s">
        <v>3012</v>
      </c>
      <c r="K28" s="101" t="s">
        <v>3013</v>
      </c>
      <c r="L28" s="101" t="s">
        <v>3014</v>
      </c>
      <c r="M28" s="101">
        <v>800</v>
      </c>
      <c r="N28" s="101"/>
      <c r="O28" s="125" t="s">
        <v>3015</v>
      </c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19"/>
      <c r="AL28" s="119"/>
      <c r="AM28" s="119"/>
      <c r="AN28" s="119"/>
      <c r="AO28" s="119"/>
      <c r="AP28" s="119"/>
      <c r="AQ28" s="119"/>
      <c r="AR28" s="119"/>
      <c r="AS28" s="119"/>
      <c r="AT28" s="119"/>
      <c r="AU28" s="119"/>
      <c r="AV28" s="119"/>
      <c r="AW28" s="119"/>
      <c r="AX28" s="119"/>
      <c r="AY28" s="119"/>
      <c r="AZ28" s="119"/>
      <c r="BA28" s="119"/>
      <c r="BB28" s="79"/>
      <c r="BC28" s="79"/>
      <c r="BD28" s="79"/>
      <c r="BE28" s="79"/>
      <c r="BF28" s="79"/>
      <c r="BG28" s="79"/>
      <c r="BH28" s="79"/>
    </row>
    <row r="29" spans="1:60" ht="16">
      <c r="A29" s="111" t="s">
        <v>254</v>
      </c>
      <c r="B29" s="111" t="s">
        <v>47</v>
      </c>
      <c r="C29" s="111">
        <v>3</v>
      </c>
      <c r="D29" s="112" t="str">
        <f t="shared" si="18"/>
        <v>ISL122</v>
      </c>
      <c r="E29" s="101" t="s">
        <v>3016</v>
      </c>
      <c r="F29" s="117">
        <v>46112</v>
      </c>
      <c r="G29" s="101" t="s">
        <v>2961</v>
      </c>
      <c r="H29" s="82" t="str">
        <f>VLOOKUP(D29,CODORL!Q:T,4,FALSE)</f>
        <v>María Agustina Sevilla García</v>
      </c>
      <c r="I29" s="101" t="s">
        <v>2952</v>
      </c>
      <c r="J29" s="101" t="s">
        <v>2953</v>
      </c>
      <c r="K29" s="101" t="s">
        <v>2954</v>
      </c>
      <c r="L29" s="101" t="s">
        <v>2955</v>
      </c>
      <c r="M29" s="84">
        <v>2800</v>
      </c>
      <c r="N29" s="84"/>
      <c r="O29" s="121" t="s">
        <v>3017</v>
      </c>
      <c r="P29" s="84" t="s">
        <v>3018</v>
      </c>
      <c r="Q29" s="84" t="s">
        <v>3019</v>
      </c>
      <c r="R29" s="84" t="s">
        <v>3020</v>
      </c>
      <c r="S29" s="84" t="s">
        <v>3017</v>
      </c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79"/>
      <c r="AL29" s="79"/>
      <c r="AM29" s="79"/>
      <c r="AN29" s="79"/>
      <c r="AO29" s="79"/>
      <c r="AP29" s="79"/>
      <c r="AQ29" s="79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79"/>
      <c r="BF29" s="79"/>
      <c r="BG29" s="79"/>
      <c r="BH29" s="79"/>
    </row>
    <row r="30" spans="1:60" ht="16">
      <c r="A30" s="111" t="s">
        <v>17</v>
      </c>
      <c r="B30" s="111" t="s">
        <v>14</v>
      </c>
      <c r="C30" s="111">
        <v>3</v>
      </c>
      <c r="D30" s="112" t="str">
        <f t="shared" si="18"/>
        <v>RFV24</v>
      </c>
      <c r="E30" s="101" t="s">
        <v>3021</v>
      </c>
      <c r="F30" s="117">
        <v>46112</v>
      </c>
      <c r="G30" s="101" t="s">
        <v>2984</v>
      </c>
      <c r="H30" s="111" t="str">
        <f>VLOOKUP(D30,CODORL!Q35:T1030,4,FALSE)</f>
        <v>Raimon García Chillerón</v>
      </c>
      <c r="I30" s="101" t="s">
        <v>2555</v>
      </c>
      <c r="J30" s="101" t="s">
        <v>3022</v>
      </c>
      <c r="K30" s="101" t="s">
        <v>3023</v>
      </c>
      <c r="L30" s="101" t="s">
        <v>3024</v>
      </c>
      <c r="M30" s="101">
        <v>700</v>
      </c>
      <c r="N30" s="101">
        <v>0</v>
      </c>
      <c r="O30" s="101" t="s">
        <v>3025</v>
      </c>
      <c r="P30" s="101"/>
      <c r="Q30" s="101"/>
      <c r="R30" s="101"/>
      <c r="S30" s="47"/>
      <c r="T30" s="47"/>
      <c r="U30" s="101"/>
      <c r="V30" s="47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19"/>
      <c r="AL30" s="119"/>
      <c r="AM30" s="119"/>
      <c r="AN30" s="119"/>
      <c r="AO30" s="119"/>
      <c r="AP30" s="119"/>
      <c r="AQ30" s="119"/>
      <c r="AR30" s="119"/>
      <c r="AS30" s="119"/>
      <c r="AT30" s="119"/>
      <c r="AU30" s="119"/>
      <c r="AV30" s="119"/>
      <c r="AW30" s="119"/>
      <c r="AX30" s="119"/>
      <c r="AY30" s="119"/>
      <c r="AZ30" s="119"/>
      <c r="BA30" s="119"/>
      <c r="BB30" s="79"/>
      <c r="BC30" s="79"/>
      <c r="BD30" s="79"/>
      <c r="BE30" s="79"/>
      <c r="BF30" s="79"/>
      <c r="BG30" s="79"/>
      <c r="BH30" s="79"/>
    </row>
    <row r="31" spans="1:60" ht="15.75" customHeight="1">
      <c r="A31" s="104" t="s">
        <v>17</v>
      </c>
      <c r="B31" s="104" t="s">
        <v>14</v>
      </c>
      <c r="C31" s="111">
        <v>3</v>
      </c>
      <c r="D31" s="105" t="str">
        <f t="shared" si="18"/>
        <v>RFV15</v>
      </c>
      <c r="E31" s="47" t="s">
        <v>3026</v>
      </c>
      <c r="F31" s="117">
        <v>46112</v>
      </c>
      <c r="G31" s="47" t="s">
        <v>2921</v>
      </c>
      <c r="H31" s="104" t="str">
        <f>VLOOKUP(D31,CODORL!Q:T,4,FALSE)</f>
        <v>Jean Franco Intraprendente Martini</v>
      </c>
      <c r="I31" s="47" t="s">
        <v>3027</v>
      </c>
      <c r="J31" s="47" t="s">
        <v>3028</v>
      </c>
      <c r="K31" s="47" t="s">
        <v>3029</v>
      </c>
      <c r="L31" s="47" t="s">
        <v>3030</v>
      </c>
      <c r="M31" s="101">
        <v>1400</v>
      </c>
      <c r="N31" s="47">
        <v>50</v>
      </c>
      <c r="O31" s="47" t="s">
        <v>3031</v>
      </c>
      <c r="P31" s="93" t="s">
        <v>3032</v>
      </c>
      <c r="Q31" s="48" t="s">
        <v>3033</v>
      </c>
      <c r="R31" s="109"/>
      <c r="S31" s="109"/>
      <c r="T31" s="109"/>
      <c r="U31" s="109"/>
      <c r="V31" s="109"/>
      <c r="W31" s="109"/>
      <c r="X31" s="109"/>
      <c r="Y31" s="109"/>
      <c r="Z31" s="47" t="str">
        <f t="shared" ref="Z31:Z32" si="19">CONCATENATE(AA31,",",AB31,",",AC31,",",AD31,",",AE31,",",AF31,",",AG31,",",AH31,",",AI31,",",AJ31)</f>
        <v>C202541112259462,,,,,,,,,</v>
      </c>
      <c r="AA31" s="47" t="s">
        <v>3034</v>
      </c>
      <c r="AB31" s="109"/>
      <c r="AC31" s="109"/>
      <c r="AD31" s="109"/>
      <c r="AE31" s="109"/>
      <c r="AF31" s="109"/>
      <c r="AG31" s="109"/>
      <c r="AH31" s="109"/>
      <c r="AI31" s="109"/>
      <c r="AJ31" s="109"/>
      <c r="AK31" s="109"/>
      <c r="AL31" s="126">
        <f t="shared" ref="AL31:AL32" si="20">M31/300</f>
        <v>4.666666666666667</v>
      </c>
      <c r="AM31" s="126">
        <f t="shared" ref="AM31:AM32" si="21">COUNTA(AA31:AJ31)</f>
        <v>1</v>
      </c>
      <c r="AN31" s="109"/>
      <c r="AO31" s="109"/>
      <c r="AP31" s="109"/>
      <c r="AQ31" s="109"/>
      <c r="AR31" s="109"/>
      <c r="AS31" s="109"/>
      <c r="AT31" s="109"/>
      <c r="AU31" s="109"/>
      <c r="AV31" s="109"/>
      <c r="AW31" s="109"/>
      <c r="AX31" s="109"/>
      <c r="AY31" s="109"/>
      <c r="AZ31" s="109"/>
      <c r="BA31" s="109"/>
      <c r="BB31" s="127"/>
      <c r="BC31" s="127"/>
      <c r="BD31" s="127"/>
      <c r="BE31" s="127"/>
      <c r="BF31" s="127"/>
      <c r="BG31" s="127"/>
      <c r="BH31" s="127"/>
    </row>
    <row r="32" spans="1:60" ht="16">
      <c r="A32" s="111" t="s">
        <v>11</v>
      </c>
      <c r="B32" s="111" t="s">
        <v>8</v>
      </c>
      <c r="C32" s="111">
        <v>3</v>
      </c>
      <c r="D32" s="112" t="str">
        <f t="shared" si="18"/>
        <v>MBM03</v>
      </c>
      <c r="E32" s="101" t="s">
        <v>3035</v>
      </c>
      <c r="F32" s="117">
        <v>46112</v>
      </c>
      <c r="G32" s="93" t="s">
        <v>2880</v>
      </c>
      <c r="H32" s="111" t="str">
        <f>VLOOKUP(D32,CODORL!Q:T,4,FALSE)</f>
        <v>Alejandro Harguindey Antoli-Candela</v>
      </c>
      <c r="I32" s="101" t="s">
        <v>2942</v>
      </c>
      <c r="J32" s="101" t="s">
        <v>2943</v>
      </c>
      <c r="K32" s="101" t="s">
        <v>2944</v>
      </c>
      <c r="L32" s="101" t="s">
        <v>2945</v>
      </c>
      <c r="M32" s="101">
        <v>300</v>
      </c>
      <c r="N32" s="101"/>
      <c r="O32" s="121" t="s">
        <v>3036</v>
      </c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 t="str">
        <f t="shared" si="19"/>
        <v>,,,,,,,,,</v>
      </c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19"/>
      <c r="AL32" s="119">
        <f t="shared" si="20"/>
        <v>1</v>
      </c>
      <c r="AM32" s="119">
        <f t="shared" si="21"/>
        <v>0</v>
      </c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79"/>
      <c r="BC32" s="79"/>
      <c r="BD32" s="79"/>
      <c r="BE32" s="79"/>
      <c r="BF32" s="79"/>
      <c r="BG32" s="79"/>
      <c r="BH32" s="79"/>
    </row>
    <row r="33" spans="1:60" ht="16">
      <c r="A33" s="128" t="s">
        <v>254</v>
      </c>
      <c r="B33" s="128" t="s">
        <v>251</v>
      </c>
      <c r="C33" s="129">
        <v>3</v>
      </c>
      <c r="D33" s="130" t="s">
        <v>1485</v>
      </c>
      <c r="E33" s="101" t="s">
        <v>3037</v>
      </c>
      <c r="F33" s="117">
        <v>46112</v>
      </c>
      <c r="G33" s="131" t="s">
        <v>3011</v>
      </c>
      <c r="H33" s="111" t="str">
        <f>VLOOKUP(D33,CODORL!Q:T,4,FALSE)</f>
        <v>José María Hernández Hernández</v>
      </c>
      <c r="I33" s="101" t="s">
        <v>1487</v>
      </c>
      <c r="J33" s="47" t="s">
        <v>3038</v>
      </c>
      <c r="K33" s="131" t="s">
        <v>3039</v>
      </c>
      <c r="L33" s="47" t="s">
        <v>3040</v>
      </c>
      <c r="M33" s="132">
        <v>800</v>
      </c>
      <c r="N33" s="131">
        <v>414118273</v>
      </c>
      <c r="O33" s="131" t="s">
        <v>3041</v>
      </c>
      <c r="P33" s="133"/>
      <c r="Q33" s="131"/>
      <c r="R33" s="131"/>
      <c r="S33" s="131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1"/>
      <c r="AG33" s="131"/>
      <c r="AH33" s="131"/>
      <c r="AI33" s="131"/>
      <c r="AJ33" s="131"/>
      <c r="AK33" s="131"/>
      <c r="AL33" s="131"/>
      <c r="AM33" s="131"/>
      <c r="AN33" s="131"/>
      <c r="AO33" s="79"/>
      <c r="AP33" s="79"/>
      <c r="AQ33" s="79"/>
      <c r="AR33" s="79"/>
      <c r="AS33" s="79"/>
      <c r="AT33" s="79"/>
      <c r="AU33" s="79"/>
      <c r="AV33" s="134"/>
      <c r="AW33" s="134"/>
      <c r="AX33" s="134"/>
      <c r="AY33" s="134"/>
      <c r="AZ33" s="134"/>
      <c r="BA33" s="134"/>
      <c r="BB33" s="134"/>
      <c r="BC33" s="134"/>
      <c r="BD33" s="134"/>
      <c r="BE33" s="134"/>
      <c r="BF33" s="134"/>
      <c r="BG33" s="134"/>
      <c r="BH33" s="134"/>
    </row>
    <row r="34" spans="1:60" ht="16">
      <c r="A34" s="128" t="s">
        <v>254</v>
      </c>
      <c r="B34" s="128" t="s">
        <v>251</v>
      </c>
      <c r="C34" s="129">
        <v>3</v>
      </c>
      <c r="D34" s="130" t="s">
        <v>1485</v>
      </c>
      <c r="E34" s="101" t="s">
        <v>3042</v>
      </c>
      <c r="F34" s="117">
        <v>46112</v>
      </c>
      <c r="G34" s="131" t="s">
        <v>3043</v>
      </c>
      <c r="H34" s="111" t="str">
        <f>VLOOKUP(D34,CODORL!Q:T,4,FALSE)</f>
        <v>José María Hernández Hernández</v>
      </c>
      <c r="I34" s="101" t="s">
        <v>1487</v>
      </c>
      <c r="J34" s="47" t="s">
        <v>3038</v>
      </c>
      <c r="K34" s="131" t="s">
        <v>3039</v>
      </c>
      <c r="L34" s="47" t="s">
        <v>3040</v>
      </c>
      <c r="M34" s="132">
        <v>800</v>
      </c>
      <c r="N34" s="131">
        <v>414118273</v>
      </c>
      <c r="O34" s="131" t="s">
        <v>3044</v>
      </c>
      <c r="P34" s="133"/>
      <c r="Q34" s="131"/>
      <c r="R34" s="131"/>
      <c r="S34" s="131"/>
      <c r="T34" s="131"/>
      <c r="U34" s="131"/>
      <c r="V34" s="131"/>
      <c r="W34" s="131"/>
      <c r="X34" s="131"/>
      <c r="Y34" s="131"/>
      <c r="Z34" s="131"/>
      <c r="AA34" s="131"/>
      <c r="AB34" s="131"/>
      <c r="AC34" s="131"/>
      <c r="AD34" s="131"/>
      <c r="AE34" s="131"/>
      <c r="AF34" s="131"/>
      <c r="AG34" s="131"/>
      <c r="AH34" s="131"/>
      <c r="AI34" s="131"/>
      <c r="AJ34" s="131"/>
      <c r="AK34" s="131"/>
      <c r="AL34" s="131"/>
      <c r="AM34" s="131"/>
      <c r="AN34" s="131"/>
      <c r="AO34" s="79"/>
      <c r="AP34" s="79"/>
      <c r="AQ34" s="79"/>
      <c r="AR34" s="79"/>
      <c r="AS34" s="79"/>
      <c r="AT34" s="79"/>
      <c r="AU34" s="79"/>
      <c r="AV34" s="134"/>
      <c r="AW34" s="134"/>
      <c r="AX34" s="134"/>
      <c r="AY34" s="134"/>
      <c r="AZ34" s="134"/>
      <c r="BA34" s="134"/>
      <c r="BB34" s="134"/>
      <c r="BC34" s="134"/>
      <c r="BD34" s="134"/>
      <c r="BE34" s="134"/>
      <c r="BF34" s="134"/>
      <c r="BG34" s="134"/>
      <c r="BH34" s="134"/>
    </row>
    <row r="35" spans="1:60" ht="16">
      <c r="A35" s="82" t="s">
        <v>11</v>
      </c>
      <c r="B35" s="111" t="s">
        <v>2784</v>
      </c>
      <c r="C35" s="111">
        <v>3</v>
      </c>
      <c r="D35" s="135" t="str">
        <f t="shared" ref="D35:D37" si="22">LEFT(E35,SEARCH("/",E35,1)-1)</f>
        <v>LRM246</v>
      </c>
      <c r="E35" s="101" t="s">
        <v>3045</v>
      </c>
      <c r="F35" s="117">
        <v>46112</v>
      </c>
      <c r="G35" s="101" t="s">
        <v>2972</v>
      </c>
      <c r="H35" s="111" t="str">
        <f>VLOOKUP(D35,CODORL!Q:T,4,FALSE)</f>
        <v>Maria Del Rocío Lobato Pérez</v>
      </c>
      <c r="I35" s="101" t="s">
        <v>3046</v>
      </c>
      <c r="J35" s="101" t="s">
        <v>3047</v>
      </c>
      <c r="K35" s="101" t="s">
        <v>3048</v>
      </c>
      <c r="L35" s="101" t="s">
        <v>3049</v>
      </c>
      <c r="M35" s="103">
        <v>600</v>
      </c>
      <c r="N35" s="101">
        <v>0</v>
      </c>
      <c r="O35" s="346" t="s">
        <v>3050</v>
      </c>
      <c r="P35" s="345"/>
      <c r="Q35" s="345"/>
      <c r="R35" s="101"/>
      <c r="S35" s="101"/>
      <c r="T35" s="101"/>
      <c r="U35" s="101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79"/>
      <c r="AL35" s="79"/>
      <c r="AM35" s="79"/>
      <c r="AN35" s="79"/>
      <c r="AO35" s="79"/>
      <c r="AP35" s="79"/>
      <c r="AQ35" s="79"/>
      <c r="AR35" s="79"/>
      <c r="AS35" s="79"/>
      <c r="AT35" s="79"/>
      <c r="AU35" s="79"/>
      <c r="AV35" s="79"/>
      <c r="AW35" s="79"/>
      <c r="AX35" s="79"/>
      <c r="AY35" s="79"/>
      <c r="AZ35" s="79"/>
      <c r="BA35" s="79"/>
      <c r="BB35" s="79"/>
      <c r="BC35" s="79"/>
      <c r="BD35" s="79"/>
      <c r="BE35" s="79"/>
      <c r="BF35" s="79"/>
      <c r="BG35" s="79"/>
      <c r="BH35" s="79"/>
    </row>
    <row r="36" spans="1:60" ht="16">
      <c r="A36" s="82" t="s">
        <v>254</v>
      </c>
      <c r="B36" s="111" t="s">
        <v>14</v>
      </c>
      <c r="C36" s="111">
        <v>4</v>
      </c>
      <c r="D36" s="112" t="str">
        <f t="shared" si="22"/>
        <v>RFV28</v>
      </c>
      <c r="E36" s="101" t="s">
        <v>3051</v>
      </c>
      <c r="F36" s="117">
        <v>46142</v>
      </c>
      <c r="G36" s="101" t="s">
        <v>2921</v>
      </c>
      <c r="H36" s="111" t="str">
        <f>VLOOKUP(D36,CODORL!Q:T,4,FALSE)</f>
        <v>Celia López Molla</v>
      </c>
      <c r="I36" s="101" t="s">
        <v>3052</v>
      </c>
      <c r="J36" s="101" t="s">
        <v>3053</v>
      </c>
      <c r="K36" s="101" t="s">
        <v>3054</v>
      </c>
      <c r="L36" s="101" t="s">
        <v>3055</v>
      </c>
      <c r="M36" s="84">
        <v>800</v>
      </c>
      <c r="N36" s="84"/>
      <c r="O36" s="84" t="s">
        <v>3056</v>
      </c>
      <c r="P36" s="344"/>
      <c r="Q36" s="345"/>
      <c r="R36" s="345"/>
      <c r="S36" s="84"/>
      <c r="T36" s="84"/>
      <c r="U36" s="84"/>
      <c r="V36" s="84"/>
      <c r="W36" s="84"/>
      <c r="X36" s="84"/>
      <c r="Y36" s="84"/>
      <c r="Z36" s="87"/>
      <c r="AA36" s="87"/>
      <c r="AB36" s="87"/>
      <c r="AC36" s="87"/>
      <c r="AD36" s="87"/>
      <c r="AE36" s="87"/>
      <c r="AF36" s="87"/>
      <c r="AG36" s="87"/>
      <c r="AH36" s="87"/>
      <c r="AI36" s="87"/>
      <c r="AJ36" s="87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</row>
    <row r="37" spans="1:60" ht="16">
      <c r="A37" s="82" t="s">
        <v>17</v>
      </c>
      <c r="B37" s="111" t="s">
        <v>14</v>
      </c>
      <c r="C37" s="111">
        <v>4</v>
      </c>
      <c r="D37" s="112" t="str">
        <f t="shared" si="22"/>
        <v>RFV28</v>
      </c>
      <c r="E37" s="101" t="s">
        <v>3057</v>
      </c>
      <c r="F37" s="117">
        <v>46142</v>
      </c>
      <c r="G37" s="101" t="s">
        <v>2921</v>
      </c>
      <c r="H37" s="111" t="str">
        <f>VLOOKUP(D37,CODORL!Q:T,4,FALSE)</f>
        <v>Celia López Molla</v>
      </c>
      <c r="I37" s="101" t="s">
        <v>3052</v>
      </c>
      <c r="J37" s="101" t="s">
        <v>3053</v>
      </c>
      <c r="K37" s="101" t="s">
        <v>3054</v>
      </c>
      <c r="L37" s="101" t="s">
        <v>3055</v>
      </c>
      <c r="M37" s="84">
        <v>700</v>
      </c>
      <c r="N37" s="84"/>
      <c r="O37" s="84" t="s">
        <v>3058</v>
      </c>
      <c r="P37" s="344"/>
      <c r="Q37" s="345"/>
      <c r="R37" s="345"/>
      <c r="S37" s="84"/>
      <c r="T37" s="84"/>
      <c r="U37" s="84"/>
      <c r="V37" s="84"/>
      <c r="W37" s="84"/>
      <c r="X37" s="84"/>
      <c r="Y37" s="84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</row>
    <row r="38" spans="1:60" ht="16">
      <c r="A38" s="82"/>
      <c r="B38" s="82"/>
      <c r="C38" s="82"/>
      <c r="D38" s="83"/>
      <c r="E38" s="89"/>
      <c r="F38" s="85"/>
      <c r="G38" s="84"/>
      <c r="H38" s="82"/>
      <c r="I38" s="89"/>
      <c r="J38" s="89"/>
      <c r="K38" s="89"/>
      <c r="L38" s="89"/>
      <c r="M38" s="84"/>
      <c r="N38" s="89"/>
      <c r="O38" s="89"/>
      <c r="P38" s="89"/>
      <c r="Q38" s="347"/>
      <c r="R38" s="345"/>
      <c r="S38" s="345"/>
      <c r="T38" s="84"/>
      <c r="U38" s="84"/>
      <c r="V38" s="84"/>
      <c r="W38" s="84"/>
      <c r="X38" s="84"/>
      <c r="Y38" s="84"/>
      <c r="Z38" s="87"/>
      <c r="AA38" s="87"/>
      <c r="AB38" s="87"/>
      <c r="AC38" s="87"/>
      <c r="AD38" s="87"/>
      <c r="AE38" s="87"/>
      <c r="AF38" s="87"/>
      <c r="AG38" s="87"/>
      <c r="AH38" s="87"/>
      <c r="AI38" s="87"/>
      <c r="AJ38" s="87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</row>
    <row r="39" spans="1:60" ht="16">
      <c r="A39" s="82"/>
      <c r="B39" s="82"/>
      <c r="C39" s="82"/>
      <c r="D39" s="83"/>
      <c r="E39" s="84"/>
      <c r="F39" s="85"/>
      <c r="G39" s="84"/>
      <c r="H39" s="82"/>
      <c r="I39" s="84"/>
      <c r="J39" s="84"/>
      <c r="K39" s="84"/>
      <c r="L39" s="84"/>
      <c r="M39" s="84"/>
      <c r="N39" s="84"/>
      <c r="O39" s="344"/>
      <c r="P39" s="345"/>
      <c r="Q39" s="84"/>
      <c r="R39" s="84"/>
      <c r="S39" s="84"/>
      <c r="T39" s="84"/>
      <c r="U39" s="84"/>
      <c r="V39" s="84"/>
      <c r="W39" s="136"/>
      <c r="X39" s="84"/>
      <c r="Y39" s="84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</row>
    <row r="40" spans="1:60" ht="16">
      <c r="A40" s="82"/>
      <c r="B40" s="82"/>
      <c r="C40" s="82"/>
      <c r="D40" s="83"/>
      <c r="E40" s="84"/>
      <c r="F40" s="85"/>
      <c r="G40" s="84"/>
      <c r="H40" s="82"/>
      <c r="I40" s="84"/>
      <c r="J40" s="84"/>
      <c r="K40" s="84"/>
      <c r="L40" s="84"/>
      <c r="M40" s="84"/>
      <c r="N40" s="84"/>
      <c r="O40" s="89"/>
      <c r="P40" s="347"/>
      <c r="Q40" s="345"/>
      <c r="R40" s="345"/>
      <c r="S40" s="84"/>
      <c r="T40" s="84"/>
      <c r="U40" s="84"/>
      <c r="V40" s="84"/>
      <c r="W40" s="84"/>
      <c r="X40" s="84"/>
      <c r="Y40" s="84"/>
      <c r="Z40" s="87"/>
      <c r="AA40" s="87"/>
      <c r="AB40" s="87"/>
      <c r="AC40" s="87"/>
      <c r="AD40" s="87"/>
      <c r="AE40" s="87"/>
      <c r="AF40" s="87"/>
      <c r="AG40" s="87"/>
      <c r="AH40" s="87"/>
      <c r="AI40" s="87"/>
      <c r="AJ40" s="87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1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</row>
    <row r="41" spans="1:60" ht="16">
      <c r="A41" s="82"/>
      <c r="B41" s="82"/>
      <c r="C41" s="82"/>
      <c r="D41" s="83"/>
      <c r="E41" s="84"/>
      <c r="F41" s="85"/>
      <c r="G41" s="84"/>
      <c r="H41" s="82"/>
      <c r="I41" s="84"/>
      <c r="J41" s="84"/>
      <c r="K41" s="84"/>
      <c r="L41" s="84"/>
      <c r="M41" s="84"/>
      <c r="N41" s="84"/>
      <c r="O41" s="344"/>
      <c r="P41" s="345"/>
      <c r="Q41" s="84"/>
      <c r="R41" s="84"/>
      <c r="S41" s="84"/>
      <c r="T41" s="84"/>
      <c r="U41" s="84"/>
      <c r="V41" s="89"/>
      <c r="W41" s="89"/>
      <c r="X41" s="89"/>
      <c r="Y41" s="84"/>
      <c r="Z41" s="87"/>
      <c r="AA41" s="137"/>
      <c r="AB41" s="137"/>
      <c r="AC41" s="137"/>
      <c r="AD41" s="137"/>
      <c r="AE41" s="137"/>
      <c r="AF41" s="87"/>
      <c r="AG41" s="87"/>
      <c r="AH41" s="87"/>
      <c r="AI41" s="87"/>
      <c r="AJ41" s="87"/>
      <c r="AK41" s="81"/>
      <c r="AL41" s="81"/>
      <c r="AM41" s="81"/>
      <c r="AN41" s="81"/>
      <c r="AO41" s="81"/>
      <c r="AP41" s="81"/>
      <c r="AQ41" s="81"/>
      <c r="AR41" s="81"/>
      <c r="AS41" s="81"/>
      <c r="AT41" s="81"/>
      <c r="AU41" s="81"/>
      <c r="AV41" s="81"/>
      <c r="AW41" s="81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</row>
    <row r="42" spans="1:60" ht="16">
      <c r="A42" s="82"/>
      <c r="B42" s="82"/>
      <c r="C42" s="82"/>
      <c r="D42" s="83"/>
      <c r="E42" s="84"/>
      <c r="F42" s="85"/>
      <c r="G42" s="84"/>
      <c r="H42" s="82"/>
      <c r="I42" s="84"/>
      <c r="J42" s="84"/>
      <c r="K42" s="84"/>
      <c r="L42" s="84"/>
      <c r="M42" s="84"/>
      <c r="N42" s="84"/>
      <c r="O42" s="344"/>
      <c r="P42" s="345"/>
      <c r="Q42" s="345"/>
      <c r="R42" s="84"/>
      <c r="S42" s="84"/>
      <c r="T42" s="84"/>
      <c r="U42" s="84"/>
      <c r="V42" s="84"/>
      <c r="W42" s="84"/>
      <c r="X42" s="84"/>
      <c r="Y42" s="84"/>
      <c r="Z42" s="87"/>
      <c r="AA42" s="87"/>
      <c r="AB42" s="87"/>
      <c r="AC42" s="87"/>
      <c r="AD42" s="87"/>
      <c r="AE42" s="87"/>
      <c r="AF42" s="87"/>
      <c r="AG42" s="87"/>
      <c r="AH42" s="87"/>
      <c r="AI42" s="87"/>
      <c r="AJ42" s="87"/>
      <c r="AK42" s="81"/>
      <c r="AL42" s="81"/>
      <c r="AM42" s="81"/>
      <c r="AN42" s="81"/>
      <c r="AO42" s="81"/>
      <c r="AP42" s="81"/>
      <c r="AQ42" s="81"/>
      <c r="AR42" s="81"/>
      <c r="AS42" s="81"/>
      <c r="AT42" s="81"/>
      <c r="AU42" s="81"/>
      <c r="AV42" s="81"/>
      <c r="AW42" s="81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</row>
    <row r="43" spans="1:60" ht="16">
      <c r="A43" s="82"/>
      <c r="B43" s="82"/>
      <c r="C43" s="82"/>
      <c r="D43" s="83"/>
      <c r="E43" s="84"/>
      <c r="F43" s="85"/>
      <c r="G43" s="84"/>
      <c r="H43" s="82"/>
      <c r="I43" s="84"/>
      <c r="J43" s="84"/>
      <c r="K43" s="84"/>
      <c r="L43" s="84"/>
      <c r="M43" s="84"/>
      <c r="N43" s="84"/>
      <c r="O43" s="84"/>
      <c r="P43" s="344"/>
      <c r="Q43" s="345"/>
      <c r="R43" s="345"/>
      <c r="S43" s="84"/>
      <c r="T43" s="84"/>
      <c r="U43" s="84"/>
      <c r="V43" s="84"/>
      <c r="W43" s="84"/>
      <c r="X43" s="84"/>
      <c r="Y43" s="84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1"/>
      <c r="AL43" s="81"/>
      <c r="AM43" s="81"/>
      <c r="AN43" s="81"/>
      <c r="AO43" s="81"/>
      <c r="AP43" s="81"/>
      <c r="AQ43" s="81"/>
      <c r="AR43" s="81"/>
      <c r="AS43" s="81"/>
      <c r="AT43" s="81"/>
      <c r="AU43" s="81"/>
      <c r="AV43" s="81"/>
      <c r="AW43" s="81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</row>
    <row r="44" spans="1:60" ht="16">
      <c r="A44" s="82"/>
      <c r="B44" s="82"/>
      <c r="C44" s="82"/>
      <c r="D44" s="83"/>
      <c r="E44" s="84"/>
      <c r="F44" s="138"/>
      <c r="G44" s="84"/>
      <c r="H44" s="82"/>
      <c r="I44" s="84"/>
      <c r="J44" s="89"/>
      <c r="K44" s="89"/>
      <c r="L44" s="89"/>
      <c r="M44" s="89"/>
      <c r="N44" s="84"/>
      <c r="O44" s="344"/>
      <c r="P44" s="345"/>
      <c r="Q44" s="345"/>
      <c r="R44" s="84"/>
      <c r="S44" s="84"/>
      <c r="T44" s="84"/>
      <c r="U44" s="84"/>
      <c r="V44" s="84"/>
      <c r="W44" s="84"/>
      <c r="X44" s="84"/>
      <c r="Y44" s="84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1"/>
      <c r="AL44" s="81"/>
      <c r="AM44" s="81"/>
      <c r="AN44" s="81"/>
      <c r="AO44" s="81"/>
      <c r="AP44" s="81"/>
      <c r="AQ44" s="81"/>
      <c r="AR44" s="81"/>
      <c r="AS44" s="81"/>
      <c r="AT44" s="81"/>
      <c r="AU44" s="81"/>
      <c r="AV44" s="81"/>
      <c r="AW44" s="81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</row>
    <row r="45" spans="1:60" ht="16">
      <c r="A45" s="82"/>
      <c r="B45" s="82"/>
      <c r="C45" s="82"/>
      <c r="D45" s="83"/>
      <c r="E45" s="84"/>
      <c r="F45" s="138"/>
      <c r="G45" s="84"/>
      <c r="H45" s="82"/>
      <c r="I45" s="84"/>
      <c r="J45" s="84"/>
      <c r="K45" s="84"/>
      <c r="L45" s="84"/>
      <c r="M45" s="89"/>
      <c r="N45" s="84"/>
      <c r="O45" s="89"/>
      <c r="P45" s="89"/>
      <c r="Q45" s="89"/>
      <c r="R45" s="89"/>
      <c r="S45" s="89"/>
      <c r="T45" s="89"/>
      <c r="U45" s="84"/>
      <c r="V45" s="344"/>
      <c r="W45" s="345"/>
      <c r="X45" s="345"/>
      <c r="Y45" s="84"/>
      <c r="Z45" s="87"/>
      <c r="AA45" s="87"/>
      <c r="AB45" s="87"/>
      <c r="AC45" s="87"/>
      <c r="AD45" s="87"/>
      <c r="AE45" s="87"/>
      <c r="AF45" s="87"/>
      <c r="AG45" s="87"/>
      <c r="AH45" s="87"/>
      <c r="AI45" s="87"/>
      <c r="AJ45" s="87"/>
      <c r="AK45" s="81"/>
      <c r="AL45" s="81"/>
      <c r="AM45" s="81"/>
      <c r="AN45" s="81"/>
      <c r="AO45" s="81"/>
      <c r="AP45" s="81"/>
      <c r="AQ45" s="81"/>
      <c r="AR45" s="81"/>
      <c r="AS45" s="81"/>
      <c r="AT45" s="81"/>
      <c r="AU45" s="81"/>
      <c r="AV45" s="81"/>
      <c r="AW45" s="81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</row>
    <row r="46" spans="1:60" ht="16">
      <c r="A46" s="82"/>
      <c r="B46" s="82"/>
      <c r="C46" s="82"/>
      <c r="D46" s="83"/>
      <c r="E46" s="89"/>
      <c r="F46" s="138"/>
      <c r="G46" s="89"/>
      <c r="H46" s="82"/>
      <c r="I46" s="89"/>
      <c r="J46" s="89"/>
      <c r="K46" s="89"/>
      <c r="L46" s="89"/>
      <c r="M46" s="89"/>
      <c r="N46" s="84"/>
      <c r="O46" s="347"/>
      <c r="P46" s="345"/>
      <c r="Q46" s="345"/>
      <c r="R46" s="89"/>
      <c r="S46" s="89"/>
      <c r="T46" s="89"/>
      <c r="U46" s="89"/>
      <c r="V46" s="89"/>
      <c r="W46" s="89"/>
      <c r="X46" s="89"/>
      <c r="Y46" s="89"/>
      <c r="Z46" s="87"/>
      <c r="AA46" s="87"/>
      <c r="AB46" s="87"/>
      <c r="AC46" s="87"/>
      <c r="AD46" s="87"/>
      <c r="AE46" s="87"/>
      <c r="AF46" s="87"/>
      <c r="AG46" s="87"/>
      <c r="AH46" s="87"/>
      <c r="AI46" s="87"/>
      <c r="AJ46" s="87"/>
      <c r="AK46" s="81"/>
      <c r="AL46" s="81"/>
      <c r="AM46" s="81"/>
      <c r="AN46" s="81"/>
      <c r="AO46" s="81"/>
      <c r="AP46" s="81"/>
      <c r="AQ46" s="81"/>
      <c r="AR46" s="81"/>
      <c r="AS46" s="81"/>
      <c r="AT46" s="81"/>
      <c r="AU46" s="81"/>
      <c r="AV46" s="81"/>
      <c r="AW46" s="81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</row>
    <row r="47" spans="1:60" ht="16">
      <c r="A47" s="82"/>
      <c r="B47" s="82"/>
      <c r="C47" s="82"/>
      <c r="D47" s="83"/>
      <c r="E47" s="89"/>
      <c r="F47" s="138"/>
      <c r="G47" s="84"/>
      <c r="H47" s="82"/>
      <c r="I47" s="89"/>
      <c r="J47" s="89"/>
      <c r="K47" s="84"/>
      <c r="L47" s="84"/>
      <c r="M47" s="89"/>
      <c r="N47" s="84"/>
      <c r="O47" s="84"/>
      <c r="P47" s="84"/>
      <c r="Q47" s="344"/>
      <c r="R47" s="345"/>
      <c r="S47" s="345"/>
      <c r="T47" s="84"/>
      <c r="U47" s="84"/>
      <c r="V47" s="84"/>
      <c r="W47" s="84"/>
      <c r="X47" s="84"/>
      <c r="Y47" s="84"/>
      <c r="Z47" s="87"/>
      <c r="AA47" s="87"/>
      <c r="AB47" s="87"/>
      <c r="AC47" s="87"/>
      <c r="AD47" s="87"/>
      <c r="AE47" s="87"/>
      <c r="AF47" s="87"/>
      <c r="AG47" s="87"/>
      <c r="AH47" s="87"/>
      <c r="AI47" s="87"/>
      <c r="AJ47" s="87"/>
      <c r="AK47" s="81"/>
      <c r="AL47" s="81"/>
      <c r="AM47" s="81"/>
      <c r="AN47" s="81"/>
      <c r="AO47" s="81"/>
      <c r="AP47" s="81"/>
      <c r="AQ47" s="81"/>
      <c r="AR47" s="81"/>
      <c r="AS47" s="81"/>
      <c r="AT47" s="81"/>
      <c r="AU47" s="81"/>
      <c r="AV47" s="81"/>
      <c r="AW47" s="81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</row>
    <row r="48" spans="1:60" ht="16">
      <c r="A48" s="82"/>
      <c r="B48" s="82"/>
      <c r="C48" s="82"/>
      <c r="D48" s="83"/>
      <c r="E48" s="89"/>
      <c r="F48" s="138"/>
      <c r="G48" s="84"/>
      <c r="H48" s="82"/>
      <c r="I48" s="89"/>
      <c r="J48" s="89"/>
      <c r="K48" s="84"/>
      <c r="L48" s="84"/>
      <c r="M48" s="89"/>
      <c r="N48" s="84"/>
      <c r="O48" s="84"/>
      <c r="P48" s="84"/>
      <c r="Q48" s="344"/>
      <c r="R48" s="345"/>
      <c r="S48" s="84"/>
      <c r="T48" s="84"/>
      <c r="U48" s="84"/>
      <c r="V48" s="84"/>
      <c r="W48" s="84"/>
      <c r="X48" s="84"/>
      <c r="Y48" s="84"/>
      <c r="Z48" s="87"/>
      <c r="AA48" s="87"/>
      <c r="AB48" s="87"/>
      <c r="AC48" s="87"/>
      <c r="AD48" s="87"/>
      <c r="AE48" s="87"/>
      <c r="AF48" s="87"/>
      <c r="AG48" s="87"/>
      <c r="AH48" s="87"/>
      <c r="AI48" s="87"/>
      <c r="AJ48" s="87"/>
      <c r="AK48" s="81"/>
      <c r="AL48" s="81"/>
      <c r="AM48" s="81"/>
      <c r="AN48" s="81"/>
      <c r="AO48" s="81"/>
      <c r="AP48" s="81"/>
      <c r="AQ48" s="81"/>
      <c r="AR48" s="81"/>
      <c r="AS48" s="81"/>
      <c r="AT48" s="81"/>
      <c r="AU48" s="81"/>
      <c r="AV48" s="81"/>
      <c r="AW48" s="81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</row>
    <row r="49" spans="1:60" ht="16">
      <c r="A49" s="82"/>
      <c r="B49" s="82"/>
      <c r="C49" s="82"/>
      <c r="D49" s="83"/>
      <c r="E49" s="89"/>
      <c r="F49" s="138"/>
      <c r="G49" s="84"/>
      <c r="H49" s="82"/>
      <c r="I49" s="89"/>
      <c r="J49" s="89"/>
      <c r="K49" s="84"/>
      <c r="L49" s="84"/>
      <c r="M49" s="89"/>
      <c r="N49" s="84"/>
      <c r="O49" s="84"/>
      <c r="P49" s="84"/>
      <c r="Q49" s="347"/>
      <c r="R49" s="345"/>
      <c r="S49" s="345"/>
      <c r="T49" s="345"/>
      <c r="U49" s="84"/>
      <c r="V49" s="84"/>
      <c r="W49" s="84"/>
      <c r="X49" s="84"/>
      <c r="Y49" s="84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1"/>
      <c r="AL49" s="81"/>
      <c r="AM49" s="81"/>
      <c r="AN49" s="81"/>
      <c r="AO49" s="81"/>
      <c r="AP49" s="81"/>
      <c r="AQ49" s="81"/>
      <c r="AR49" s="81"/>
      <c r="AS49" s="81"/>
      <c r="AT49" s="81"/>
      <c r="AU49" s="81"/>
      <c r="AV49" s="81"/>
      <c r="AW49" s="81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</row>
    <row r="50" spans="1:60" ht="16">
      <c r="A50" s="82"/>
      <c r="B50" s="82"/>
      <c r="C50" s="82"/>
      <c r="D50" s="83"/>
      <c r="E50" s="89"/>
      <c r="F50" s="138"/>
      <c r="G50" s="84"/>
      <c r="H50" s="82"/>
      <c r="I50" s="89"/>
      <c r="J50" s="89"/>
      <c r="K50" s="84"/>
      <c r="L50" s="84"/>
      <c r="M50" s="89"/>
      <c r="N50" s="84"/>
      <c r="O50" s="344"/>
      <c r="P50" s="345"/>
      <c r="Q50" s="84"/>
      <c r="R50" s="84"/>
      <c r="S50" s="84"/>
      <c r="T50" s="84"/>
      <c r="U50" s="84"/>
      <c r="V50" s="84"/>
      <c r="W50" s="84"/>
      <c r="X50" s="84"/>
      <c r="Y50" s="84"/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87"/>
      <c r="AK50" s="81"/>
      <c r="AL50" s="81"/>
      <c r="AM50" s="81"/>
      <c r="AN50" s="81"/>
      <c r="AO50" s="81"/>
      <c r="AP50" s="81"/>
      <c r="AQ50" s="81"/>
      <c r="AR50" s="81"/>
      <c r="AS50" s="81"/>
      <c r="AT50" s="81"/>
      <c r="AU50" s="81"/>
      <c r="AV50" s="81"/>
      <c r="AW50" s="81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</row>
    <row r="51" spans="1:60" ht="16">
      <c r="A51" s="82"/>
      <c r="B51" s="82"/>
      <c r="C51" s="82"/>
      <c r="D51" s="83"/>
      <c r="E51" s="84"/>
      <c r="F51" s="138"/>
      <c r="G51" s="84"/>
      <c r="H51" s="82"/>
      <c r="I51" s="84"/>
      <c r="J51" s="84"/>
      <c r="K51" s="84"/>
      <c r="L51" s="84"/>
      <c r="M51" s="89"/>
      <c r="N51" s="84"/>
      <c r="O51" s="89"/>
      <c r="P51" s="84"/>
      <c r="Q51" s="89"/>
      <c r="R51" s="84"/>
      <c r="S51" s="84"/>
      <c r="T51" s="84"/>
      <c r="U51" s="84"/>
      <c r="V51" s="84"/>
      <c r="W51" s="84"/>
      <c r="X51" s="84"/>
      <c r="Y51" s="84"/>
      <c r="Z51" s="87"/>
      <c r="AA51" s="87"/>
      <c r="AB51" s="87"/>
      <c r="AC51" s="87"/>
      <c r="AD51" s="87"/>
      <c r="AE51" s="87"/>
      <c r="AF51" s="87"/>
      <c r="AG51" s="87"/>
      <c r="AH51" s="87"/>
      <c r="AI51" s="87"/>
      <c r="AJ51" s="87"/>
      <c r="AK51" s="81"/>
      <c r="AL51" s="81"/>
      <c r="AM51" s="81"/>
      <c r="AN51" s="81"/>
      <c r="AO51" s="81"/>
      <c r="AP51" s="81"/>
      <c r="AQ51" s="81"/>
      <c r="AR51" s="81"/>
      <c r="AS51" s="81"/>
      <c r="AT51" s="81"/>
      <c r="AU51" s="81"/>
      <c r="AV51" s="81"/>
      <c r="AW51" s="81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</row>
    <row r="52" spans="1:60" ht="16">
      <c r="A52" s="82"/>
      <c r="B52" s="82"/>
      <c r="C52" s="82"/>
      <c r="D52" s="83"/>
      <c r="E52" s="84"/>
      <c r="F52" s="138"/>
      <c r="G52" s="84"/>
      <c r="H52" s="82"/>
      <c r="I52" s="84"/>
      <c r="J52" s="84"/>
      <c r="K52" s="84"/>
      <c r="L52" s="84"/>
      <c r="M52" s="89"/>
      <c r="N52" s="84"/>
      <c r="O52" s="89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7"/>
      <c r="AA52" s="87"/>
      <c r="AB52" s="87"/>
      <c r="AC52" s="87"/>
      <c r="AD52" s="87"/>
      <c r="AE52" s="87"/>
      <c r="AF52" s="87"/>
      <c r="AG52" s="87"/>
      <c r="AH52" s="87"/>
      <c r="AI52" s="87"/>
      <c r="AJ52" s="87"/>
      <c r="AK52" s="81"/>
      <c r="AL52" s="81"/>
      <c r="AM52" s="81"/>
      <c r="AN52" s="81"/>
      <c r="AO52" s="81"/>
      <c r="AP52" s="81"/>
      <c r="AQ52" s="81"/>
      <c r="AR52" s="81"/>
      <c r="AS52" s="81"/>
      <c r="AT52" s="81"/>
      <c r="AU52" s="81"/>
      <c r="AV52" s="81"/>
      <c r="AW52" s="81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</row>
    <row r="53" spans="1:60" ht="16">
      <c r="A53" s="82"/>
      <c r="B53" s="82"/>
      <c r="C53" s="82"/>
      <c r="D53" s="83"/>
      <c r="E53" s="84"/>
      <c r="F53" s="138"/>
      <c r="G53" s="89"/>
      <c r="H53" s="82"/>
      <c r="I53" s="89"/>
      <c r="J53" s="84"/>
      <c r="K53" s="84"/>
      <c r="L53" s="84"/>
      <c r="M53" s="89"/>
      <c r="N53" s="84"/>
      <c r="O53" s="89"/>
      <c r="P53" s="89"/>
      <c r="Q53" s="347"/>
      <c r="R53" s="345"/>
      <c r="S53" s="345"/>
      <c r="T53" s="84"/>
      <c r="U53" s="84"/>
      <c r="V53" s="84"/>
      <c r="W53" s="84"/>
      <c r="X53" s="84"/>
      <c r="Y53" s="84"/>
      <c r="Z53" s="87"/>
      <c r="AA53" s="87"/>
      <c r="AB53" s="87"/>
      <c r="AC53" s="87"/>
      <c r="AD53" s="87"/>
      <c r="AE53" s="87"/>
      <c r="AF53" s="87"/>
      <c r="AG53" s="87"/>
      <c r="AH53" s="87"/>
      <c r="AI53" s="87"/>
      <c r="AJ53" s="87"/>
      <c r="AK53" s="81"/>
      <c r="AL53" s="81"/>
      <c r="AM53" s="81"/>
      <c r="AN53" s="81"/>
      <c r="AO53" s="81"/>
      <c r="AP53" s="81"/>
      <c r="AQ53" s="81"/>
      <c r="AR53" s="81"/>
      <c r="AS53" s="81"/>
      <c r="AT53" s="81"/>
      <c r="AU53" s="81"/>
      <c r="AV53" s="81"/>
      <c r="AW53" s="81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</row>
    <row r="54" spans="1:60" ht="16">
      <c r="A54" s="82"/>
      <c r="B54" s="82"/>
      <c r="C54" s="82"/>
      <c r="D54" s="83"/>
      <c r="E54" s="84"/>
      <c r="F54" s="138"/>
      <c r="G54" s="84"/>
      <c r="H54" s="82"/>
      <c r="I54" s="84"/>
      <c r="J54" s="84"/>
      <c r="K54" s="84"/>
      <c r="L54" s="84"/>
      <c r="M54" s="89"/>
      <c r="N54" s="84"/>
      <c r="O54" s="347"/>
      <c r="P54" s="345"/>
      <c r="Q54" s="345"/>
      <c r="R54" s="84"/>
      <c r="S54" s="84"/>
      <c r="T54" s="84"/>
      <c r="U54" s="84"/>
      <c r="V54" s="84"/>
      <c r="W54" s="84"/>
      <c r="X54" s="84"/>
      <c r="Y54" s="84"/>
      <c r="Z54" s="87"/>
      <c r="AA54" s="87"/>
      <c r="AB54" s="87"/>
      <c r="AC54" s="87"/>
      <c r="AD54" s="87"/>
      <c r="AE54" s="87"/>
      <c r="AF54" s="87"/>
      <c r="AG54" s="87"/>
      <c r="AH54" s="87"/>
      <c r="AI54" s="87"/>
      <c r="AJ54" s="87"/>
      <c r="AK54" s="81"/>
      <c r="AL54" s="81"/>
      <c r="AM54" s="81"/>
      <c r="AN54" s="81"/>
      <c r="AO54" s="81"/>
      <c r="AP54" s="81"/>
      <c r="AQ54" s="81"/>
      <c r="AR54" s="81"/>
      <c r="AS54" s="81"/>
      <c r="AT54" s="81"/>
      <c r="AU54" s="81"/>
      <c r="AV54" s="81"/>
      <c r="AW54" s="81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</row>
    <row r="55" spans="1:60" ht="16">
      <c r="A55" s="82"/>
      <c r="B55" s="82"/>
      <c r="C55" s="82"/>
      <c r="D55" s="83"/>
      <c r="E55" s="84"/>
      <c r="F55" s="138"/>
      <c r="G55" s="84"/>
      <c r="H55" s="82"/>
      <c r="I55" s="84"/>
      <c r="J55" s="84"/>
      <c r="K55" s="84"/>
      <c r="L55" s="84"/>
      <c r="M55" s="89"/>
      <c r="N55" s="84"/>
      <c r="O55" s="347"/>
      <c r="P55" s="345"/>
      <c r="Q55" s="345"/>
      <c r="R55" s="84"/>
      <c r="S55" s="84"/>
      <c r="T55" s="84"/>
      <c r="U55" s="84"/>
      <c r="V55" s="84"/>
      <c r="W55" s="84"/>
      <c r="X55" s="84"/>
      <c r="Y55" s="84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1"/>
      <c r="AL55" s="81"/>
      <c r="AM55" s="81"/>
      <c r="AN55" s="81"/>
      <c r="AO55" s="81"/>
      <c r="AP55" s="81"/>
      <c r="AQ55" s="81"/>
      <c r="AR55" s="81"/>
      <c r="AS55" s="81"/>
      <c r="AT55" s="81"/>
      <c r="AU55" s="81"/>
      <c r="AV55" s="81"/>
      <c r="AW55" s="81"/>
      <c r="AX55" s="81"/>
      <c r="AY55" s="81"/>
      <c r="AZ55" s="81"/>
      <c r="BA55" s="81"/>
      <c r="BB55" s="81"/>
      <c r="BC55" s="81"/>
      <c r="BD55" s="81"/>
      <c r="BE55" s="81"/>
      <c r="BF55" s="81"/>
      <c r="BG55" s="81"/>
      <c r="BH55" s="81"/>
    </row>
    <row r="56" spans="1:60" ht="16">
      <c r="A56" s="82"/>
      <c r="B56" s="82"/>
      <c r="C56" s="82"/>
      <c r="D56" s="83"/>
      <c r="E56" s="84"/>
      <c r="F56" s="138"/>
      <c r="G56" s="84"/>
      <c r="H56" s="82"/>
      <c r="I56" s="84"/>
      <c r="J56" s="84"/>
      <c r="K56" s="84"/>
      <c r="L56" s="84"/>
      <c r="M56" s="89"/>
      <c r="N56" s="84"/>
      <c r="O56" s="344"/>
      <c r="P56" s="345"/>
      <c r="Q56" s="345"/>
      <c r="R56" s="84"/>
      <c r="S56" s="84"/>
      <c r="T56" s="84"/>
      <c r="U56" s="84"/>
      <c r="V56" s="84"/>
      <c r="W56" s="136"/>
      <c r="X56" s="84"/>
      <c r="Y56" s="84"/>
      <c r="Z56" s="87"/>
      <c r="AA56" s="87"/>
      <c r="AB56" s="87"/>
      <c r="AC56" s="87"/>
      <c r="AD56" s="87"/>
      <c r="AE56" s="87"/>
      <c r="AF56" s="87"/>
      <c r="AG56" s="87"/>
      <c r="AH56" s="87"/>
      <c r="AI56" s="87"/>
      <c r="AJ56" s="87"/>
      <c r="AK56" s="81"/>
      <c r="AL56" s="81"/>
      <c r="AM56" s="81"/>
      <c r="AN56" s="81"/>
      <c r="AO56" s="81"/>
      <c r="AP56" s="81"/>
      <c r="AQ56" s="81"/>
      <c r="AR56" s="81"/>
      <c r="AS56" s="81"/>
      <c r="AT56" s="81"/>
      <c r="AU56" s="81"/>
      <c r="AV56" s="81"/>
      <c r="AW56" s="81"/>
      <c r="AX56" s="81"/>
      <c r="AY56" s="81"/>
      <c r="AZ56" s="81"/>
      <c r="BA56" s="81"/>
      <c r="BB56" s="81"/>
      <c r="BC56" s="81"/>
      <c r="BD56" s="81"/>
      <c r="BE56" s="81"/>
      <c r="BF56" s="81"/>
      <c r="BG56" s="81"/>
      <c r="BH56" s="81"/>
    </row>
    <row r="57" spans="1:60" ht="16">
      <c r="A57" s="82"/>
      <c r="B57" s="82"/>
      <c r="C57" s="82"/>
      <c r="D57" s="83"/>
      <c r="E57" s="84"/>
      <c r="F57" s="138"/>
      <c r="G57" s="89"/>
      <c r="H57" s="82"/>
      <c r="I57" s="89"/>
      <c r="J57" s="89"/>
      <c r="K57" s="89"/>
      <c r="L57" s="89"/>
      <c r="M57" s="89"/>
      <c r="N57" s="84"/>
      <c r="O57" s="347"/>
      <c r="P57" s="345"/>
      <c r="Q57" s="345"/>
      <c r="R57" s="84"/>
      <c r="S57" s="84"/>
      <c r="T57" s="84"/>
      <c r="U57" s="84"/>
      <c r="V57" s="84"/>
      <c r="W57" s="84"/>
      <c r="X57" s="84"/>
      <c r="Y57" s="84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87"/>
      <c r="AK57" s="81"/>
      <c r="AL57" s="81"/>
      <c r="AM57" s="81"/>
      <c r="AN57" s="81"/>
      <c r="AO57" s="81"/>
      <c r="AP57" s="81"/>
      <c r="AQ57" s="81"/>
      <c r="AR57" s="81"/>
      <c r="AS57" s="81"/>
      <c r="AT57" s="81"/>
      <c r="AU57" s="81"/>
      <c r="AV57" s="81"/>
      <c r="AW57" s="81"/>
      <c r="AX57" s="81"/>
      <c r="AY57" s="81"/>
      <c r="AZ57" s="81"/>
      <c r="BA57" s="81"/>
      <c r="BB57" s="81"/>
      <c r="BC57" s="81"/>
      <c r="BD57" s="81"/>
      <c r="BE57" s="81"/>
      <c r="BF57" s="81"/>
      <c r="BG57" s="81"/>
      <c r="BH57" s="81"/>
    </row>
    <row r="58" spans="1:60" ht="16">
      <c r="A58" s="82"/>
      <c r="B58" s="82"/>
      <c r="C58" s="82"/>
      <c r="D58" s="83"/>
      <c r="E58" s="84"/>
      <c r="F58" s="138"/>
      <c r="G58" s="89"/>
      <c r="H58" s="82"/>
      <c r="I58" s="89"/>
      <c r="J58" s="84"/>
      <c r="K58" s="89"/>
      <c r="L58" s="89"/>
      <c r="M58" s="89"/>
      <c r="N58" s="84"/>
      <c r="O58" s="347"/>
      <c r="P58" s="345"/>
      <c r="Q58" s="345"/>
      <c r="R58" s="84"/>
      <c r="S58" s="84"/>
      <c r="T58" s="84"/>
      <c r="U58" s="84"/>
      <c r="V58" s="84"/>
      <c r="W58" s="84"/>
      <c r="X58" s="84"/>
      <c r="Y58" s="84"/>
      <c r="Z58" s="87"/>
      <c r="AA58" s="87"/>
      <c r="AB58" s="87"/>
      <c r="AC58" s="87"/>
      <c r="AD58" s="87"/>
      <c r="AE58" s="87"/>
      <c r="AF58" s="87"/>
      <c r="AG58" s="87"/>
      <c r="AH58" s="87"/>
      <c r="AI58" s="87"/>
      <c r="AJ58" s="87"/>
      <c r="AK58" s="81"/>
      <c r="AL58" s="81"/>
      <c r="AM58" s="81"/>
      <c r="AN58" s="81"/>
      <c r="AO58" s="81"/>
      <c r="AP58" s="81"/>
      <c r="AQ58" s="81"/>
      <c r="AR58" s="81"/>
      <c r="AS58" s="81"/>
      <c r="AT58" s="81"/>
      <c r="AU58" s="81"/>
      <c r="AV58" s="81"/>
      <c r="AW58" s="81"/>
      <c r="AX58" s="81"/>
      <c r="AY58" s="81"/>
      <c r="AZ58" s="81"/>
      <c r="BA58" s="81"/>
      <c r="BB58" s="81"/>
      <c r="BC58" s="81"/>
      <c r="BD58" s="81"/>
      <c r="BE58" s="81"/>
      <c r="BF58" s="81"/>
      <c r="BG58" s="81"/>
      <c r="BH58" s="81"/>
    </row>
    <row r="59" spans="1:60" ht="16">
      <c r="A59" s="82"/>
      <c r="B59" s="82"/>
      <c r="C59" s="82"/>
      <c r="D59" s="83"/>
      <c r="E59" s="84"/>
      <c r="F59" s="138"/>
      <c r="G59" s="89"/>
      <c r="H59" s="82"/>
      <c r="I59" s="89"/>
      <c r="J59" s="84"/>
      <c r="K59" s="84"/>
      <c r="L59" s="84"/>
      <c r="M59" s="89"/>
      <c r="N59" s="84"/>
      <c r="O59" s="89"/>
      <c r="P59" s="347"/>
      <c r="Q59" s="345"/>
      <c r="R59" s="345"/>
      <c r="S59" s="84"/>
      <c r="T59" s="84"/>
      <c r="U59" s="84"/>
      <c r="V59" s="84"/>
      <c r="W59" s="84"/>
      <c r="X59" s="84"/>
      <c r="Y59" s="84"/>
      <c r="Z59" s="87"/>
      <c r="AA59" s="87"/>
      <c r="AB59" s="87"/>
      <c r="AC59" s="87"/>
      <c r="AD59" s="87"/>
      <c r="AE59" s="87"/>
      <c r="AF59" s="87"/>
      <c r="AG59" s="87"/>
      <c r="AH59" s="87"/>
      <c r="AI59" s="87"/>
      <c r="AJ59" s="87"/>
      <c r="AK59" s="81"/>
      <c r="AL59" s="81"/>
      <c r="AM59" s="81"/>
      <c r="AN59" s="81"/>
      <c r="AO59" s="81"/>
      <c r="AP59" s="81"/>
      <c r="AQ59" s="81"/>
      <c r="AR59" s="81"/>
      <c r="AS59" s="81"/>
      <c r="AT59" s="81"/>
      <c r="AU59" s="81"/>
      <c r="AV59" s="81"/>
      <c r="AW59" s="81"/>
      <c r="AX59" s="81"/>
      <c r="AY59" s="81"/>
      <c r="AZ59" s="81"/>
      <c r="BA59" s="81"/>
      <c r="BB59" s="81"/>
      <c r="BC59" s="81"/>
      <c r="BD59" s="81"/>
      <c r="BE59" s="81"/>
      <c r="BF59" s="81"/>
      <c r="BG59" s="81"/>
      <c r="BH59" s="81"/>
    </row>
    <row r="60" spans="1:60" ht="16">
      <c r="A60" s="82"/>
      <c r="B60" s="82"/>
      <c r="C60" s="82"/>
      <c r="D60" s="83"/>
      <c r="E60" s="89"/>
      <c r="F60" s="138"/>
      <c r="G60" s="89"/>
      <c r="H60" s="82"/>
      <c r="I60" s="89"/>
      <c r="J60" s="89"/>
      <c r="K60" s="89"/>
      <c r="L60" s="89"/>
      <c r="M60" s="89"/>
      <c r="N60" s="84"/>
      <c r="O60" s="347"/>
      <c r="P60" s="345"/>
      <c r="Q60" s="345"/>
      <c r="R60" s="84"/>
      <c r="S60" s="84"/>
      <c r="T60" s="84"/>
      <c r="U60" s="84"/>
      <c r="V60" s="84"/>
      <c r="W60" s="84"/>
      <c r="X60" s="84"/>
      <c r="Y60" s="84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1"/>
      <c r="AL60" s="81"/>
      <c r="AM60" s="81"/>
      <c r="AN60" s="81"/>
      <c r="AO60" s="81"/>
      <c r="AP60" s="81"/>
      <c r="AQ60" s="81"/>
      <c r="AR60" s="81"/>
      <c r="AS60" s="81"/>
      <c r="AT60" s="81"/>
      <c r="AU60" s="81"/>
      <c r="AV60" s="81"/>
      <c r="AW60" s="81"/>
      <c r="AX60" s="81"/>
      <c r="AY60" s="81"/>
      <c r="AZ60" s="81"/>
      <c r="BA60" s="81"/>
      <c r="BB60" s="81"/>
      <c r="BC60" s="81"/>
      <c r="BD60" s="81"/>
      <c r="BE60" s="81"/>
      <c r="BF60" s="81"/>
      <c r="BG60" s="81"/>
      <c r="BH60" s="81"/>
    </row>
    <row r="61" spans="1:60" ht="16">
      <c r="A61" s="82"/>
      <c r="B61" s="82"/>
      <c r="C61" s="82"/>
      <c r="D61" s="83"/>
      <c r="E61" s="84"/>
      <c r="F61" s="138"/>
      <c r="G61" s="89"/>
      <c r="H61" s="82"/>
      <c r="I61" s="89"/>
      <c r="J61" s="89"/>
      <c r="K61" s="89"/>
      <c r="L61" s="89"/>
      <c r="M61" s="89"/>
      <c r="N61" s="84"/>
      <c r="O61" s="347"/>
      <c r="P61" s="345"/>
      <c r="Q61" s="345"/>
      <c r="R61" s="84"/>
      <c r="S61" s="84"/>
      <c r="T61" s="84"/>
      <c r="U61" s="84"/>
      <c r="V61" s="84"/>
      <c r="W61" s="84"/>
      <c r="X61" s="84"/>
      <c r="Y61" s="84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87"/>
      <c r="AK61" s="81"/>
      <c r="AL61" s="81"/>
      <c r="AM61" s="81"/>
      <c r="AN61" s="81"/>
      <c r="AO61" s="81"/>
      <c r="AP61" s="81"/>
      <c r="AQ61" s="81"/>
      <c r="AR61" s="81"/>
      <c r="AS61" s="81"/>
      <c r="AT61" s="81"/>
      <c r="AU61" s="81"/>
      <c r="AV61" s="81"/>
      <c r="AW61" s="81"/>
      <c r="AX61" s="81"/>
      <c r="AY61" s="81"/>
      <c r="AZ61" s="81"/>
      <c r="BA61" s="81"/>
      <c r="BB61" s="81"/>
      <c r="BC61" s="81"/>
      <c r="BD61" s="81"/>
      <c r="BE61" s="81"/>
      <c r="BF61" s="81"/>
      <c r="BG61" s="81"/>
      <c r="BH61" s="81"/>
    </row>
    <row r="62" spans="1:60" ht="16">
      <c r="A62" s="82"/>
      <c r="B62" s="82"/>
      <c r="C62" s="82"/>
      <c r="D62" s="83"/>
      <c r="E62" s="84"/>
      <c r="F62" s="138"/>
      <c r="G62" s="89"/>
      <c r="H62" s="82"/>
      <c r="I62" s="89"/>
      <c r="J62" s="89"/>
      <c r="K62" s="89"/>
      <c r="L62" s="89"/>
      <c r="M62" s="89"/>
      <c r="N62" s="84"/>
      <c r="O62" s="347"/>
      <c r="P62" s="345"/>
      <c r="Q62" s="345"/>
      <c r="R62" s="84"/>
      <c r="S62" s="84"/>
      <c r="T62" s="84"/>
      <c r="U62" s="84"/>
      <c r="V62" s="84"/>
      <c r="W62" s="84"/>
      <c r="X62" s="84"/>
      <c r="Y62" s="84"/>
      <c r="Z62" s="87"/>
      <c r="AA62" s="87"/>
      <c r="AB62" s="87"/>
      <c r="AC62" s="87"/>
      <c r="AD62" s="87"/>
      <c r="AE62" s="87"/>
      <c r="AF62" s="87"/>
      <c r="AG62" s="87"/>
      <c r="AH62" s="87"/>
      <c r="AI62" s="87"/>
      <c r="AJ62" s="87"/>
      <c r="AK62" s="81"/>
      <c r="AL62" s="81"/>
      <c r="AM62" s="81"/>
      <c r="AN62" s="81"/>
      <c r="AO62" s="81"/>
      <c r="AP62" s="81"/>
      <c r="AQ62" s="81"/>
      <c r="AR62" s="81"/>
      <c r="AS62" s="81"/>
      <c r="AT62" s="81"/>
      <c r="AU62" s="81"/>
      <c r="AV62" s="81"/>
      <c r="AW62" s="81"/>
      <c r="AX62" s="81"/>
      <c r="AY62" s="81"/>
      <c r="AZ62" s="81"/>
      <c r="BA62" s="81"/>
      <c r="BB62" s="81"/>
      <c r="BC62" s="81"/>
      <c r="BD62" s="81"/>
      <c r="BE62" s="81"/>
      <c r="BF62" s="81"/>
      <c r="BG62" s="81"/>
      <c r="BH62" s="81"/>
    </row>
    <row r="63" spans="1:60" ht="16">
      <c r="A63" s="82"/>
      <c r="B63" s="82"/>
      <c r="C63" s="82"/>
      <c r="D63" s="83"/>
      <c r="E63" s="84"/>
      <c r="F63" s="138"/>
      <c r="G63" s="84"/>
      <c r="H63" s="82"/>
      <c r="I63" s="89"/>
      <c r="J63" s="89"/>
      <c r="K63" s="89"/>
      <c r="L63" s="89"/>
      <c r="M63" s="89"/>
      <c r="N63" s="84"/>
      <c r="O63" s="89"/>
      <c r="P63" s="89"/>
      <c r="Q63" s="84"/>
      <c r="R63" s="84"/>
      <c r="S63" s="84"/>
      <c r="T63" s="84"/>
      <c r="U63" s="84"/>
      <c r="V63" s="84"/>
      <c r="W63" s="84"/>
      <c r="X63" s="84"/>
      <c r="Y63" s="84"/>
      <c r="Z63" s="87"/>
      <c r="AA63" s="87"/>
      <c r="AB63" s="87"/>
      <c r="AC63" s="87"/>
      <c r="AD63" s="87"/>
      <c r="AE63" s="87"/>
      <c r="AF63" s="87"/>
      <c r="AG63" s="87"/>
      <c r="AH63" s="87"/>
      <c r="AI63" s="87"/>
      <c r="AJ63" s="87"/>
      <c r="AK63" s="81"/>
      <c r="AL63" s="81"/>
      <c r="AM63" s="81"/>
      <c r="AN63" s="81"/>
      <c r="AO63" s="81"/>
      <c r="AP63" s="81"/>
      <c r="AQ63" s="81"/>
      <c r="AR63" s="81"/>
      <c r="AS63" s="81"/>
      <c r="AT63" s="81"/>
      <c r="AU63" s="81"/>
      <c r="AV63" s="81"/>
      <c r="AW63" s="81"/>
      <c r="AX63" s="81"/>
      <c r="AY63" s="81"/>
      <c r="AZ63" s="81"/>
      <c r="BA63" s="81"/>
      <c r="BB63" s="81"/>
      <c r="BC63" s="81"/>
      <c r="BD63" s="81"/>
      <c r="BE63" s="81"/>
      <c r="BF63" s="81"/>
      <c r="BG63" s="81"/>
      <c r="BH63" s="81"/>
    </row>
    <row r="64" spans="1:60" ht="16">
      <c r="A64" s="82"/>
      <c r="B64" s="82"/>
      <c r="C64" s="82"/>
      <c r="D64" s="83"/>
      <c r="E64" s="89"/>
      <c r="F64" s="138"/>
      <c r="G64" s="84"/>
      <c r="H64" s="82"/>
      <c r="I64" s="89"/>
      <c r="J64" s="89"/>
      <c r="K64" s="89"/>
      <c r="L64" s="89"/>
      <c r="M64" s="89"/>
      <c r="N64" s="84"/>
      <c r="O64" s="344"/>
      <c r="P64" s="345"/>
      <c r="Q64" s="345"/>
      <c r="R64" s="84"/>
      <c r="S64" s="84"/>
      <c r="T64" s="84"/>
      <c r="U64" s="84"/>
      <c r="V64" s="84"/>
      <c r="W64" s="84"/>
      <c r="X64" s="84"/>
      <c r="Y64" s="84"/>
      <c r="Z64" s="87"/>
      <c r="AA64" s="87"/>
      <c r="AB64" s="87"/>
      <c r="AC64" s="87"/>
      <c r="AD64" s="87"/>
      <c r="AE64" s="87"/>
      <c r="AF64" s="87"/>
      <c r="AG64" s="87"/>
      <c r="AH64" s="87"/>
      <c r="AI64" s="87"/>
      <c r="AJ64" s="87"/>
      <c r="AK64" s="81"/>
      <c r="AL64" s="81"/>
      <c r="AM64" s="81"/>
      <c r="AN64" s="81"/>
      <c r="AO64" s="81"/>
      <c r="AP64" s="81"/>
      <c r="AQ64" s="81"/>
      <c r="AR64" s="81"/>
      <c r="AS64" s="81"/>
      <c r="AT64" s="81"/>
      <c r="AU64" s="81"/>
      <c r="AV64" s="81"/>
      <c r="AW64" s="81"/>
      <c r="AX64" s="81"/>
      <c r="AY64" s="81"/>
      <c r="AZ64" s="81"/>
      <c r="BA64" s="81"/>
      <c r="BB64" s="81"/>
      <c r="BC64" s="81"/>
      <c r="BD64" s="81"/>
      <c r="BE64" s="81"/>
      <c r="BF64" s="81"/>
      <c r="BG64" s="81"/>
      <c r="BH64" s="81"/>
    </row>
    <row r="65" spans="1:60" ht="16">
      <c r="A65" s="82"/>
      <c r="B65" s="82"/>
      <c r="C65" s="82"/>
      <c r="D65" s="83"/>
      <c r="E65" s="89"/>
      <c r="F65" s="138"/>
      <c r="G65" s="84"/>
      <c r="H65" s="82"/>
      <c r="I65" s="89"/>
      <c r="J65" s="89"/>
      <c r="K65" s="89"/>
      <c r="L65" s="89"/>
      <c r="M65" s="89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  <c r="AK65" s="81"/>
      <c r="AL65" s="81"/>
      <c r="AM65" s="81"/>
      <c r="AN65" s="81"/>
      <c r="AO65" s="81"/>
      <c r="AP65" s="81"/>
      <c r="AQ65" s="81"/>
      <c r="AR65" s="81"/>
      <c r="AS65" s="81"/>
      <c r="AT65" s="81"/>
      <c r="AU65" s="81"/>
      <c r="AV65" s="81"/>
      <c r="AW65" s="81"/>
      <c r="AX65" s="81"/>
      <c r="AY65" s="81"/>
      <c r="AZ65" s="81"/>
      <c r="BA65" s="81"/>
      <c r="BB65" s="81"/>
      <c r="BC65" s="81"/>
      <c r="BD65" s="81"/>
      <c r="BE65" s="81"/>
      <c r="BF65" s="81"/>
      <c r="BG65" s="81"/>
      <c r="BH65" s="81"/>
    </row>
    <row r="66" spans="1:60" ht="16">
      <c r="A66" s="82"/>
      <c r="B66" s="82"/>
      <c r="C66" s="82"/>
      <c r="D66" s="83"/>
      <c r="E66" s="84"/>
      <c r="F66" s="138"/>
      <c r="G66" s="84"/>
      <c r="H66" s="82"/>
      <c r="I66" s="89"/>
      <c r="J66" s="89"/>
      <c r="K66" s="89"/>
      <c r="L66" s="89"/>
      <c r="M66" s="89"/>
      <c r="N66" s="84"/>
      <c r="O66" s="84"/>
      <c r="P66" s="344"/>
      <c r="Q66" s="345"/>
      <c r="R66" s="345"/>
      <c r="S66" s="84"/>
      <c r="T66" s="84"/>
      <c r="U66" s="84"/>
      <c r="V66" s="84"/>
      <c r="W66" s="84"/>
      <c r="X66" s="84"/>
      <c r="Y66" s="84"/>
      <c r="Z66" s="87"/>
      <c r="AA66" s="87"/>
      <c r="AB66" s="87"/>
      <c r="AC66" s="87"/>
      <c r="AD66" s="87"/>
      <c r="AE66" s="87"/>
      <c r="AF66" s="87"/>
      <c r="AG66" s="87"/>
      <c r="AH66" s="87"/>
      <c r="AI66" s="87"/>
      <c r="AJ66" s="87"/>
      <c r="AK66" s="81"/>
      <c r="AL66" s="81"/>
      <c r="AM66" s="81"/>
      <c r="AN66" s="81"/>
      <c r="AO66" s="81"/>
      <c r="AP66" s="81"/>
      <c r="AQ66" s="81"/>
      <c r="AR66" s="81"/>
      <c r="AS66" s="81"/>
      <c r="AT66" s="81"/>
      <c r="AU66" s="81"/>
      <c r="AV66" s="81"/>
      <c r="AW66" s="81"/>
      <c r="AX66" s="81"/>
      <c r="AY66" s="81"/>
      <c r="AZ66" s="81"/>
      <c r="BA66" s="81"/>
      <c r="BB66" s="81"/>
      <c r="BC66" s="81"/>
      <c r="BD66" s="81"/>
      <c r="BE66" s="81"/>
      <c r="BF66" s="81"/>
      <c r="BG66" s="81"/>
      <c r="BH66" s="81"/>
    </row>
    <row r="67" spans="1:60" ht="16">
      <c r="A67" s="82"/>
      <c r="B67" s="82"/>
      <c r="C67" s="82"/>
      <c r="D67" s="83"/>
      <c r="E67" s="89"/>
      <c r="F67" s="138"/>
      <c r="G67" s="84"/>
      <c r="H67" s="82"/>
      <c r="I67" s="89"/>
      <c r="J67" s="89"/>
      <c r="K67" s="89"/>
      <c r="L67" s="89"/>
      <c r="M67" s="84"/>
      <c r="N67" s="84"/>
      <c r="O67" s="84"/>
      <c r="P67" s="98"/>
      <c r="Q67" s="84"/>
      <c r="R67" s="84"/>
      <c r="S67" s="84"/>
      <c r="T67" s="84"/>
      <c r="U67" s="84"/>
      <c r="V67" s="84"/>
      <c r="W67" s="84"/>
      <c r="X67" s="84"/>
      <c r="Y67" s="84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1"/>
      <c r="AM67" s="81"/>
      <c r="AN67" s="81"/>
      <c r="AO67" s="81"/>
      <c r="AP67" s="81"/>
      <c r="AQ67" s="81"/>
      <c r="AR67" s="81"/>
      <c r="AS67" s="81"/>
      <c r="AT67" s="81"/>
      <c r="AU67" s="81"/>
      <c r="AV67" s="81"/>
      <c r="AW67" s="81"/>
      <c r="AX67" s="81"/>
      <c r="AY67" s="81"/>
      <c r="AZ67" s="81"/>
      <c r="BA67" s="81"/>
      <c r="BB67" s="81"/>
      <c r="BC67" s="81"/>
      <c r="BD67" s="81"/>
      <c r="BE67" s="81"/>
      <c r="BF67" s="81"/>
      <c r="BG67" s="81"/>
      <c r="BH67" s="81"/>
    </row>
    <row r="68" spans="1:60" ht="16">
      <c r="A68" s="82"/>
      <c r="B68" s="82"/>
      <c r="C68" s="82"/>
      <c r="D68" s="83"/>
      <c r="E68" s="84"/>
      <c r="F68" s="138"/>
      <c r="G68" s="84"/>
      <c r="H68" s="82"/>
      <c r="I68" s="84"/>
      <c r="J68" s="89"/>
      <c r="K68" s="89"/>
      <c r="L68" s="89"/>
      <c r="M68" s="89"/>
      <c r="N68" s="98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7"/>
      <c r="AA68" s="87"/>
      <c r="AB68" s="87"/>
      <c r="AC68" s="87"/>
      <c r="AD68" s="87"/>
      <c r="AE68" s="87"/>
      <c r="AF68" s="87"/>
      <c r="AG68" s="87"/>
      <c r="AH68" s="87"/>
      <c r="AI68" s="87"/>
      <c r="AJ68" s="87"/>
      <c r="AK68" s="81"/>
      <c r="AL68" s="81"/>
      <c r="AM68" s="81"/>
      <c r="AN68" s="81"/>
      <c r="AO68" s="81"/>
      <c r="AP68" s="81"/>
      <c r="AQ68" s="81"/>
      <c r="AR68" s="81"/>
      <c r="AS68" s="81"/>
      <c r="AT68" s="81"/>
      <c r="AU68" s="81"/>
      <c r="AV68" s="81"/>
      <c r="AW68" s="81"/>
      <c r="AX68" s="81"/>
      <c r="AY68" s="81"/>
      <c r="AZ68" s="81"/>
      <c r="BA68" s="81"/>
      <c r="BB68" s="81"/>
      <c r="BC68" s="81"/>
      <c r="BD68" s="81"/>
      <c r="BE68" s="81"/>
      <c r="BF68" s="81"/>
      <c r="BG68" s="81"/>
      <c r="BH68" s="81"/>
    </row>
    <row r="69" spans="1:60" ht="16">
      <c r="A69" s="82"/>
      <c r="B69" s="82"/>
      <c r="C69" s="82"/>
      <c r="D69" s="83"/>
      <c r="E69" s="84"/>
      <c r="F69" s="138"/>
      <c r="G69" s="84"/>
      <c r="H69" s="82"/>
      <c r="I69" s="84"/>
      <c r="J69" s="89"/>
      <c r="K69" s="89"/>
      <c r="L69" s="89"/>
      <c r="M69" s="89"/>
      <c r="N69" s="98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7"/>
      <c r="AA69" s="87"/>
      <c r="AB69" s="87"/>
      <c r="AC69" s="87"/>
      <c r="AD69" s="87"/>
      <c r="AE69" s="87"/>
      <c r="AF69" s="87"/>
      <c r="AG69" s="87"/>
      <c r="AH69" s="87"/>
      <c r="AI69" s="87"/>
      <c r="AJ69" s="87"/>
      <c r="AK69" s="81"/>
      <c r="AL69" s="81"/>
      <c r="AM69" s="81"/>
      <c r="AN69" s="81"/>
      <c r="AO69" s="81"/>
      <c r="AP69" s="81"/>
      <c r="AQ69" s="81"/>
      <c r="AR69" s="81"/>
      <c r="AS69" s="81"/>
      <c r="AT69" s="81"/>
      <c r="AU69" s="81"/>
      <c r="AV69" s="81"/>
      <c r="AW69" s="81"/>
      <c r="AX69" s="81"/>
      <c r="AY69" s="81"/>
      <c r="AZ69" s="81"/>
      <c r="BA69" s="81"/>
      <c r="BB69" s="81"/>
      <c r="BC69" s="81"/>
      <c r="BD69" s="81"/>
      <c r="BE69" s="81"/>
      <c r="BF69" s="81"/>
      <c r="BG69" s="81"/>
      <c r="BH69" s="81"/>
    </row>
    <row r="70" spans="1:60" ht="16">
      <c r="A70" s="82"/>
      <c r="B70" s="82"/>
      <c r="C70" s="82"/>
      <c r="D70" s="83"/>
      <c r="E70" s="84"/>
      <c r="F70" s="138"/>
      <c r="G70" s="84"/>
      <c r="H70" s="82"/>
      <c r="I70" s="84"/>
      <c r="J70" s="89"/>
      <c r="K70" s="89"/>
      <c r="L70" s="89"/>
      <c r="M70" s="89"/>
      <c r="N70" s="98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7"/>
      <c r="AA70" s="87"/>
      <c r="AB70" s="87"/>
      <c r="AC70" s="87"/>
      <c r="AD70" s="87"/>
      <c r="AE70" s="87"/>
      <c r="AF70" s="87"/>
      <c r="AG70" s="87"/>
      <c r="AH70" s="87"/>
      <c r="AI70" s="87"/>
      <c r="AJ70" s="87"/>
      <c r="AK70" s="81"/>
      <c r="AL70" s="81"/>
      <c r="AM70" s="81"/>
      <c r="AN70" s="81"/>
      <c r="AO70" s="81"/>
      <c r="AP70" s="81"/>
      <c r="AQ70" s="81"/>
      <c r="AR70" s="81"/>
      <c r="AS70" s="81"/>
      <c r="AT70" s="81"/>
      <c r="AU70" s="81"/>
      <c r="AV70" s="81"/>
      <c r="AW70" s="81"/>
      <c r="AX70" s="81"/>
      <c r="AY70" s="81"/>
      <c r="AZ70" s="81"/>
      <c r="BA70" s="81"/>
      <c r="BB70" s="81"/>
      <c r="BC70" s="81"/>
      <c r="BD70" s="81"/>
      <c r="BE70" s="81"/>
      <c r="BF70" s="81"/>
      <c r="BG70" s="81"/>
      <c r="BH70" s="81"/>
    </row>
    <row r="71" spans="1:60" ht="16">
      <c r="A71" s="82"/>
      <c r="B71" s="82"/>
      <c r="C71" s="82"/>
      <c r="D71" s="83"/>
      <c r="E71" s="84"/>
      <c r="F71" s="138"/>
      <c r="G71" s="84"/>
      <c r="H71" s="82"/>
      <c r="I71" s="84"/>
      <c r="J71" s="89"/>
      <c r="K71" s="89"/>
      <c r="L71" s="89"/>
      <c r="M71" s="89"/>
      <c r="N71" s="98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7"/>
      <c r="AA71" s="87"/>
      <c r="AB71" s="87"/>
      <c r="AC71" s="87"/>
      <c r="AD71" s="87"/>
      <c r="AE71" s="87"/>
      <c r="AF71" s="87"/>
      <c r="AG71" s="87"/>
      <c r="AH71" s="87"/>
      <c r="AI71" s="87"/>
      <c r="AJ71" s="87"/>
      <c r="AK71" s="81"/>
      <c r="AL71" s="81"/>
      <c r="AM71" s="81"/>
      <c r="AN71" s="81"/>
      <c r="AO71" s="81"/>
      <c r="AP71" s="81"/>
      <c r="AQ71" s="81"/>
      <c r="AR71" s="81"/>
      <c r="AS71" s="81"/>
      <c r="AT71" s="81"/>
      <c r="AU71" s="81"/>
      <c r="AV71" s="81"/>
      <c r="AW71" s="81"/>
      <c r="AX71" s="81"/>
      <c r="AY71" s="81"/>
      <c r="AZ71" s="81"/>
      <c r="BA71" s="81"/>
      <c r="BB71" s="81"/>
      <c r="BC71" s="81"/>
      <c r="BD71" s="81"/>
      <c r="BE71" s="81"/>
      <c r="BF71" s="81"/>
      <c r="BG71" s="81"/>
      <c r="BH71" s="81"/>
    </row>
    <row r="72" spans="1:60" ht="16">
      <c r="A72" s="82"/>
      <c r="B72" s="82"/>
      <c r="C72" s="82"/>
      <c r="D72" s="83"/>
      <c r="E72" s="84"/>
      <c r="F72" s="138"/>
      <c r="G72" s="84"/>
      <c r="H72" s="82"/>
      <c r="I72" s="84"/>
      <c r="J72" s="89"/>
      <c r="K72" s="89"/>
      <c r="L72" s="89"/>
      <c r="M72" s="89"/>
      <c r="N72" s="98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7"/>
      <c r="AA72" s="87"/>
      <c r="AB72" s="87"/>
      <c r="AC72" s="87"/>
      <c r="AD72" s="87"/>
      <c r="AE72" s="87"/>
      <c r="AF72" s="87"/>
      <c r="AG72" s="87"/>
      <c r="AH72" s="87"/>
      <c r="AI72" s="87"/>
      <c r="AJ72" s="87"/>
      <c r="AK72" s="81"/>
      <c r="AL72" s="81"/>
      <c r="AM72" s="81"/>
      <c r="AN72" s="81"/>
      <c r="AO72" s="81"/>
      <c r="AP72" s="81"/>
      <c r="AQ72" s="81"/>
      <c r="AR72" s="81"/>
      <c r="AS72" s="81"/>
      <c r="AT72" s="81"/>
      <c r="AU72" s="81"/>
      <c r="AV72" s="81"/>
      <c r="AW72" s="81"/>
      <c r="AX72" s="81"/>
      <c r="AY72" s="81"/>
      <c r="AZ72" s="81"/>
      <c r="BA72" s="81"/>
      <c r="BB72" s="81"/>
      <c r="BC72" s="81"/>
      <c r="BD72" s="81"/>
      <c r="BE72" s="81"/>
      <c r="BF72" s="81"/>
      <c r="BG72" s="81"/>
      <c r="BH72" s="81"/>
    </row>
    <row r="73" spans="1:60" ht="16">
      <c r="A73" s="82"/>
      <c r="B73" s="82"/>
      <c r="C73" s="82"/>
      <c r="D73" s="83"/>
      <c r="E73" s="84"/>
      <c r="F73" s="138"/>
      <c r="G73" s="84"/>
      <c r="H73" s="82"/>
      <c r="I73" s="84"/>
      <c r="J73" s="89"/>
      <c r="K73" s="89"/>
      <c r="L73" s="89"/>
      <c r="M73" s="89"/>
      <c r="N73" s="98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7"/>
      <c r="AA73" s="87"/>
      <c r="AB73" s="87"/>
      <c r="AC73" s="87"/>
      <c r="AD73" s="87"/>
      <c r="AE73" s="87"/>
      <c r="AF73" s="87"/>
      <c r="AG73" s="87"/>
      <c r="AH73" s="87"/>
      <c r="AI73" s="87"/>
      <c r="AJ73" s="87"/>
      <c r="AK73" s="81"/>
      <c r="AL73" s="81"/>
      <c r="AM73" s="81"/>
      <c r="AN73" s="81"/>
      <c r="AO73" s="81"/>
      <c r="AP73" s="81"/>
      <c r="AQ73" s="81"/>
      <c r="AR73" s="81"/>
      <c r="AS73" s="81"/>
      <c r="AT73" s="81"/>
      <c r="AU73" s="81"/>
      <c r="AV73" s="81"/>
      <c r="AW73" s="81"/>
      <c r="AX73" s="81"/>
      <c r="AY73" s="81"/>
      <c r="AZ73" s="81"/>
      <c r="BA73" s="81"/>
      <c r="BB73" s="81"/>
      <c r="BC73" s="81"/>
      <c r="BD73" s="81"/>
      <c r="BE73" s="81"/>
      <c r="BF73" s="81"/>
      <c r="BG73" s="81"/>
      <c r="BH73" s="81"/>
    </row>
    <row r="74" spans="1:60" ht="16">
      <c r="A74" s="82"/>
      <c r="B74" s="82"/>
      <c r="C74" s="82"/>
      <c r="D74" s="83"/>
      <c r="E74" s="84"/>
      <c r="F74" s="138"/>
      <c r="G74" s="84"/>
      <c r="H74" s="82"/>
      <c r="I74" s="84"/>
      <c r="J74" s="89"/>
      <c r="K74" s="89"/>
      <c r="L74" s="89"/>
      <c r="M74" s="89"/>
      <c r="N74" s="98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7"/>
      <c r="AA74" s="87"/>
      <c r="AB74" s="87"/>
      <c r="AC74" s="87"/>
      <c r="AD74" s="87"/>
      <c r="AE74" s="87"/>
      <c r="AF74" s="87"/>
      <c r="AG74" s="87"/>
      <c r="AH74" s="87"/>
      <c r="AI74" s="87"/>
      <c r="AJ74" s="87"/>
      <c r="AK74" s="81"/>
      <c r="AL74" s="81"/>
      <c r="AM74" s="81"/>
      <c r="AN74" s="81"/>
      <c r="AO74" s="81"/>
      <c r="AP74" s="81"/>
      <c r="AQ74" s="81"/>
      <c r="AR74" s="81"/>
      <c r="AS74" s="81"/>
      <c r="AT74" s="81"/>
      <c r="AU74" s="81"/>
      <c r="AV74" s="81"/>
      <c r="AW74" s="81"/>
      <c r="AX74" s="81"/>
      <c r="AY74" s="81"/>
      <c r="AZ74" s="81"/>
      <c r="BA74" s="81"/>
      <c r="BB74" s="81"/>
      <c r="BC74" s="81"/>
      <c r="BD74" s="81"/>
      <c r="BE74" s="81"/>
      <c r="BF74" s="81"/>
      <c r="BG74" s="81"/>
      <c r="BH74" s="81"/>
    </row>
    <row r="75" spans="1:60" ht="16">
      <c r="A75" s="82"/>
      <c r="B75" s="82"/>
      <c r="C75" s="82"/>
      <c r="D75" s="83"/>
      <c r="E75" s="84"/>
      <c r="F75" s="138"/>
      <c r="G75" s="84"/>
      <c r="H75" s="82"/>
      <c r="I75" s="84"/>
      <c r="J75" s="89"/>
      <c r="K75" s="89"/>
      <c r="L75" s="89"/>
      <c r="M75" s="89"/>
      <c r="N75" s="98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7"/>
      <c r="AA75" s="87"/>
      <c r="AB75" s="87"/>
      <c r="AC75" s="87"/>
      <c r="AD75" s="87"/>
      <c r="AE75" s="87"/>
      <c r="AF75" s="87"/>
      <c r="AG75" s="87"/>
      <c r="AH75" s="87"/>
      <c r="AI75" s="87"/>
      <c r="AJ75" s="87"/>
      <c r="AK75" s="81"/>
      <c r="AL75" s="81"/>
      <c r="AM75" s="81"/>
      <c r="AN75" s="81"/>
      <c r="AO75" s="81"/>
      <c r="AP75" s="81"/>
      <c r="AQ75" s="81"/>
      <c r="AR75" s="81"/>
      <c r="AS75" s="81"/>
      <c r="AT75" s="81"/>
      <c r="AU75" s="81"/>
      <c r="AV75" s="81"/>
      <c r="AW75" s="81"/>
      <c r="AX75" s="81"/>
      <c r="AY75" s="81"/>
      <c r="AZ75" s="81"/>
      <c r="BA75" s="81"/>
      <c r="BB75" s="81"/>
      <c r="BC75" s="81"/>
      <c r="BD75" s="81"/>
      <c r="BE75" s="81"/>
      <c r="BF75" s="81"/>
      <c r="BG75" s="81"/>
      <c r="BH75" s="81"/>
    </row>
    <row r="76" spans="1:60" ht="16">
      <c r="A76" s="82"/>
      <c r="B76" s="82"/>
      <c r="C76" s="82"/>
      <c r="D76" s="83"/>
      <c r="E76" s="84"/>
      <c r="F76" s="138"/>
      <c r="G76" s="84"/>
      <c r="H76" s="82"/>
      <c r="I76" s="84"/>
      <c r="J76" s="89"/>
      <c r="K76" s="89"/>
      <c r="L76" s="89"/>
      <c r="M76" s="89"/>
      <c r="N76" s="98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7"/>
      <c r="AA76" s="87"/>
      <c r="AB76" s="87"/>
      <c r="AC76" s="87"/>
      <c r="AD76" s="87"/>
      <c r="AE76" s="87"/>
      <c r="AF76" s="87"/>
      <c r="AG76" s="87"/>
      <c r="AH76" s="87"/>
      <c r="AI76" s="87"/>
      <c r="AJ76" s="87"/>
      <c r="AK76" s="81"/>
      <c r="AL76" s="81"/>
      <c r="AM76" s="81"/>
      <c r="AN76" s="81"/>
      <c r="AO76" s="81"/>
      <c r="AP76" s="81"/>
      <c r="AQ76" s="81"/>
      <c r="AR76" s="81"/>
      <c r="AS76" s="81"/>
      <c r="AT76" s="81"/>
      <c r="AU76" s="81"/>
      <c r="AV76" s="81"/>
      <c r="AW76" s="81"/>
      <c r="AX76" s="81"/>
      <c r="AY76" s="81"/>
      <c r="AZ76" s="81"/>
      <c r="BA76" s="81"/>
      <c r="BB76" s="81"/>
      <c r="BC76" s="81"/>
      <c r="BD76" s="81"/>
      <c r="BE76" s="81"/>
      <c r="BF76" s="81"/>
      <c r="BG76" s="81"/>
      <c r="BH76" s="81"/>
    </row>
    <row r="77" spans="1:60" ht="16">
      <c r="A77" s="82"/>
      <c r="B77" s="82"/>
      <c r="C77" s="82"/>
      <c r="D77" s="83"/>
      <c r="E77" s="84"/>
      <c r="F77" s="138"/>
      <c r="G77" s="84"/>
      <c r="H77" s="82"/>
      <c r="I77" s="84"/>
      <c r="J77" s="89"/>
      <c r="K77" s="89"/>
      <c r="L77" s="89"/>
      <c r="M77" s="89"/>
      <c r="N77" s="98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7"/>
      <c r="AA77" s="87"/>
      <c r="AB77" s="87"/>
      <c r="AC77" s="87"/>
      <c r="AD77" s="87"/>
      <c r="AE77" s="87"/>
      <c r="AF77" s="87"/>
      <c r="AG77" s="87"/>
      <c r="AH77" s="87"/>
      <c r="AI77" s="87"/>
      <c r="AJ77" s="87"/>
      <c r="AK77" s="81"/>
      <c r="AL77" s="81"/>
      <c r="AM77" s="81"/>
      <c r="AN77" s="81"/>
      <c r="AO77" s="81"/>
      <c r="AP77" s="81"/>
      <c r="AQ77" s="81"/>
      <c r="AR77" s="81"/>
      <c r="AS77" s="81"/>
      <c r="AT77" s="81"/>
      <c r="AU77" s="81"/>
      <c r="AV77" s="81"/>
      <c r="AW77" s="81"/>
      <c r="AX77" s="81"/>
      <c r="AY77" s="81"/>
      <c r="AZ77" s="81"/>
      <c r="BA77" s="81"/>
      <c r="BB77" s="81"/>
      <c r="BC77" s="81"/>
      <c r="BD77" s="81"/>
      <c r="BE77" s="81"/>
      <c r="BF77" s="81"/>
      <c r="BG77" s="81"/>
      <c r="BH77" s="81"/>
    </row>
    <row r="78" spans="1:60" ht="16">
      <c r="A78" s="82"/>
      <c r="B78" s="82"/>
      <c r="C78" s="82"/>
      <c r="D78" s="83"/>
      <c r="E78" s="84"/>
      <c r="F78" s="138"/>
      <c r="G78" s="84"/>
      <c r="H78" s="82"/>
      <c r="I78" s="84"/>
      <c r="J78" s="89"/>
      <c r="K78" s="89"/>
      <c r="L78" s="89"/>
      <c r="M78" s="89"/>
      <c r="N78" s="98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7"/>
      <c r="AA78" s="87"/>
      <c r="AB78" s="87"/>
      <c r="AC78" s="87"/>
      <c r="AD78" s="87"/>
      <c r="AE78" s="87"/>
      <c r="AF78" s="87"/>
      <c r="AG78" s="87"/>
      <c r="AH78" s="87"/>
      <c r="AI78" s="87"/>
      <c r="AJ78" s="87"/>
      <c r="AK78" s="81"/>
      <c r="AL78" s="81"/>
      <c r="AM78" s="81"/>
      <c r="AN78" s="81"/>
      <c r="AO78" s="81"/>
      <c r="AP78" s="81"/>
      <c r="AQ78" s="81"/>
      <c r="AR78" s="81"/>
      <c r="AS78" s="81"/>
      <c r="AT78" s="81"/>
      <c r="AU78" s="81"/>
      <c r="AV78" s="81"/>
      <c r="AW78" s="81"/>
      <c r="AX78" s="81"/>
      <c r="AY78" s="81"/>
      <c r="AZ78" s="81"/>
      <c r="BA78" s="81"/>
      <c r="BB78" s="81"/>
      <c r="BC78" s="81"/>
      <c r="BD78" s="81"/>
      <c r="BE78" s="81"/>
      <c r="BF78" s="81"/>
      <c r="BG78" s="81"/>
      <c r="BH78" s="81"/>
    </row>
    <row r="79" spans="1:60" ht="16">
      <c r="A79" s="82"/>
      <c r="B79" s="82"/>
      <c r="C79" s="82"/>
      <c r="D79" s="83"/>
      <c r="E79" s="84"/>
      <c r="F79" s="138"/>
      <c r="G79" s="84"/>
      <c r="H79" s="82"/>
      <c r="I79" s="84"/>
      <c r="J79" s="89"/>
      <c r="K79" s="89"/>
      <c r="L79" s="89"/>
      <c r="M79" s="89"/>
      <c r="N79" s="98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7"/>
      <c r="AA79" s="87"/>
      <c r="AB79" s="87"/>
      <c r="AC79" s="87"/>
      <c r="AD79" s="87"/>
      <c r="AE79" s="87"/>
      <c r="AF79" s="87"/>
      <c r="AG79" s="87"/>
      <c r="AH79" s="87"/>
      <c r="AI79" s="87"/>
      <c r="AJ79" s="87"/>
      <c r="AK79" s="81"/>
      <c r="AL79" s="81"/>
      <c r="AM79" s="81"/>
      <c r="AN79" s="81"/>
      <c r="AO79" s="81"/>
      <c r="AP79" s="81"/>
      <c r="AQ79" s="81"/>
      <c r="AR79" s="81"/>
      <c r="AS79" s="81"/>
      <c r="AT79" s="81"/>
      <c r="AU79" s="81"/>
      <c r="AV79" s="81"/>
      <c r="AW79" s="81"/>
      <c r="AX79" s="81"/>
      <c r="AY79" s="81"/>
      <c r="AZ79" s="81"/>
      <c r="BA79" s="81"/>
      <c r="BB79" s="81"/>
      <c r="BC79" s="81"/>
      <c r="BD79" s="81"/>
      <c r="BE79" s="81"/>
      <c r="BF79" s="81"/>
      <c r="BG79" s="81"/>
      <c r="BH79" s="81"/>
    </row>
    <row r="80" spans="1:60" ht="16">
      <c r="A80" s="82"/>
      <c r="B80" s="82"/>
      <c r="C80" s="82"/>
      <c r="D80" s="83"/>
      <c r="E80" s="84"/>
      <c r="F80" s="138"/>
      <c r="G80" s="84"/>
      <c r="H80" s="82"/>
      <c r="I80" s="84"/>
      <c r="J80" s="89"/>
      <c r="K80" s="84"/>
      <c r="L80" s="89"/>
      <c r="M80" s="89"/>
      <c r="N80" s="98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7"/>
      <c r="AA80" s="87"/>
      <c r="AB80" s="87"/>
      <c r="AC80" s="87"/>
      <c r="AD80" s="87"/>
      <c r="AE80" s="87"/>
      <c r="AF80" s="87"/>
      <c r="AG80" s="87"/>
      <c r="AH80" s="87"/>
      <c r="AI80" s="87"/>
      <c r="AJ80" s="87"/>
      <c r="AK80" s="81"/>
      <c r="AL80" s="81"/>
      <c r="AM80" s="81"/>
      <c r="AN80" s="81"/>
      <c r="AO80" s="81"/>
      <c r="AP80" s="81"/>
      <c r="AQ80" s="81"/>
      <c r="AR80" s="81"/>
      <c r="AS80" s="81"/>
      <c r="AT80" s="81"/>
      <c r="AU80" s="81"/>
      <c r="AV80" s="81"/>
      <c r="AW80" s="81"/>
      <c r="AX80" s="81"/>
      <c r="AY80" s="81"/>
      <c r="AZ80" s="81"/>
      <c r="BA80" s="81"/>
      <c r="BB80" s="81"/>
      <c r="BC80" s="81"/>
      <c r="BD80" s="81"/>
      <c r="BE80" s="81"/>
      <c r="BF80" s="81"/>
      <c r="BG80" s="81"/>
      <c r="BH80" s="81"/>
    </row>
    <row r="81" spans="1:60" ht="16">
      <c r="A81" s="82"/>
      <c r="B81" s="82"/>
      <c r="C81" s="82"/>
      <c r="D81" s="83"/>
      <c r="E81" s="84"/>
      <c r="F81" s="138"/>
      <c r="G81" s="84"/>
      <c r="H81" s="82"/>
      <c r="I81" s="84"/>
      <c r="J81" s="89"/>
      <c r="K81" s="89"/>
      <c r="L81" s="89"/>
      <c r="M81" s="89"/>
      <c r="N81" s="98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7"/>
      <c r="AA81" s="87"/>
      <c r="AB81" s="87"/>
      <c r="AC81" s="87"/>
      <c r="AD81" s="87"/>
      <c r="AE81" s="87"/>
      <c r="AF81" s="87"/>
      <c r="AG81" s="87"/>
      <c r="AH81" s="87"/>
      <c r="AI81" s="87"/>
      <c r="AJ81" s="87"/>
      <c r="AK81" s="81"/>
      <c r="AL81" s="81"/>
      <c r="AM81" s="81"/>
      <c r="AN81" s="81"/>
      <c r="AO81" s="81"/>
      <c r="AP81" s="81"/>
      <c r="AQ81" s="81"/>
      <c r="AR81" s="81"/>
      <c r="AS81" s="81"/>
      <c r="AT81" s="81"/>
      <c r="AU81" s="81"/>
      <c r="AV81" s="81"/>
      <c r="AW81" s="81"/>
      <c r="AX81" s="81"/>
      <c r="AY81" s="81"/>
      <c r="AZ81" s="81"/>
      <c r="BA81" s="81"/>
      <c r="BB81" s="81"/>
      <c r="BC81" s="81"/>
      <c r="BD81" s="81"/>
      <c r="BE81" s="81"/>
      <c r="BF81" s="81"/>
      <c r="BG81" s="81"/>
      <c r="BH81" s="81"/>
    </row>
    <row r="82" spans="1:60" ht="16">
      <c r="A82" s="82"/>
      <c r="B82" s="82"/>
      <c r="C82" s="82"/>
      <c r="D82" s="83"/>
      <c r="E82" s="84"/>
      <c r="F82" s="138"/>
      <c r="G82" s="84"/>
      <c r="H82" s="82"/>
      <c r="I82" s="84"/>
      <c r="J82" s="89"/>
      <c r="K82" s="89"/>
      <c r="L82" s="89"/>
      <c r="M82" s="89"/>
      <c r="N82" s="98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7"/>
      <c r="AA82" s="87"/>
      <c r="AB82" s="87"/>
      <c r="AC82" s="87"/>
      <c r="AD82" s="87"/>
      <c r="AE82" s="87"/>
      <c r="AF82" s="87"/>
      <c r="AG82" s="87"/>
      <c r="AH82" s="87"/>
      <c r="AI82" s="87"/>
      <c r="AJ82" s="87"/>
      <c r="AK82" s="81"/>
      <c r="AL82" s="81"/>
      <c r="AM82" s="81"/>
      <c r="AN82" s="81"/>
      <c r="AO82" s="81"/>
      <c r="AP82" s="81"/>
      <c r="AQ82" s="81"/>
      <c r="AR82" s="81"/>
      <c r="AS82" s="81"/>
      <c r="AT82" s="81"/>
      <c r="AU82" s="81"/>
      <c r="AV82" s="81"/>
      <c r="AW82" s="81"/>
      <c r="AX82" s="81"/>
      <c r="AY82" s="81"/>
      <c r="AZ82" s="81"/>
      <c r="BA82" s="81"/>
      <c r="BB82" s="81"/>
      <c r="BC82" s="81"/>
      <c r="BD82" s="81"/>
      <c r="BE82" s="81"/>
      <c r="BF82" s="81"/>
      <c r="BG82" s="81"/>
      <c r="BH82" s="81"/>
    </row>
    <row r="83" spans="1:60" ht="16">
      <c r="A83" s="82"/>
      <c r="B83" s="82"/>
      <c r="C83" s="82"/>
      <c r="D83" s="83"/>
      <c r="E83" s="84"/>
      <c r="F83" s="138"/>
      <c r="G83" s="84"/>
      <c r="H83" s="82"/>
      <c r="I83" s="84"/>
      <c r="J83" s="84"/>
      <c r="K83" s="84"/>
      <c r="L83" s="84"/>
      <c r="M83" s="84"/>
      <c r="N83" s="84"/>
      <c r="O83" s="84"/>
      <c r="P83" s="91"/>
      <c r="Q83" s="84"/>
      <c r="R83" s="84"/>
      <c r="S83" s="84"/>
      <c r="T83" s="84"/>
      <c r="U83" s="84"/>
      <c r="V83" s="84"/>
      <c r="W83" s="84"/>
      <c r="X83" s="84"/>
      <c r="Y83" s="84"/>
      <c r="Z83" s="87"/>
      <c r="AA83" s="87"/>
      <c r="AB83" s="87"/>
      <c r="AC83" s="87"/>
      <c r="AD83" s="87"/>
      <c r="AE83" s="87"/>
      <c r="AF83" s="87"/>
      <c r="AG83" s="87"/>
      <c r="AH83" s="87"/>
      <c r="AI83" s="87"/>
      <c r="AJ83" s="98"/>
      <c r="AK83" s="98"/>
      <c r="AL83" s="98"/>
      <c r="AM83" s="98"/>
      <c r="AN83" s="98"/>
      <c r="AO83" s="98"/>
      <c r="AP83" s="98"/>
      <c r="AQ83" s="98"/>
      <c r="AR83" s="98"/>
      <c r="AS83" s="98"/>
      <c r="AT83" s="98"/>
      <c r="AU83" s="98"/>
      <c r="AV83" s="98"/>
      <c r="AW83" s="98"/>
      <c r="AX83" s="98"/>
      <c r="AY83" s="98"/>
      <c r="AZ83" s="98"/>
      <c r="BA83" s="98"/>
      <c r="BB83" s="98"/>
      <c r="BC83" s="98"/>
      <c r="BD83" s="98"/>
      <c r="BE83" s="98"/>
      <c r="BF83" s="98"/>
      <c r="BG83" s="98"/>
      <c r="BH83" s="98"/>
    </row>
    <row r="84" spans="1:60" ht="16">
      <c r="A84" s="82"/>
      <c r="B84" s="82"/>
      <c r="C84" s="82"/>
      <c r="D84" s="83"/>
      <c r="E84" s="84"/>
      <c r="F84" s="138"/>
      <c r="G84" s="84"/>
      <c r="H84" s="82"/>
      <c r="I84" s="84"/>
      <c r="J84" s="84"/>
      <c r="K84" s="84"/>
      <c r="L84" s="84"/>
      <c r="M84" s="84"/>
      <c r="N84" s="84"/>
      <c r="O84" s="84"/>
      <c r="P84" s="84"/>
      <c r="Q84" s="84"/>
      <c r="R84" s="91"/>
      <c r="S84" s="91"/>
      <c r="T84" s="91"/>
      <c r="U84" s="84"/>
      <c r="V84" s="84"/>
      <c r="W84" s="84"/>
      <c r="X84" s="84"/>
      <c r="Y84" s="84"/>
      <c r="Z84" s="87"/>
      <c r="AA84" s="87"/>
      <c r="AB84" s="87"/>
      <c r="AC84" s="87"/>
      <c r="AD84" s="87"/>
      <c r="AE84" s="87"/>
      <c r="AF84" s="87"/>
      <c r="AG84" s="87"/>
      <c r="AH84" s="87"/>
      <c r="AI84" s="87"/>
      <c r="AJ84" s="98"/>
      <c r="AK84" s="98"/>
      <c r="AL84" s="98"/>
      <c r="AM84" s="98"/>
      <c r="AN84" s="98"/>
      <c r="AO84" s="98"/>
      <c r="AP84" s="98"/>
      <c r="AQ84" s="98"/>
      <c r="AR84" s="98"/>
      <c r="AS84" s="98"/>
      <c r="AT84" s="98"/>
      <c r="AU84" s="98"/>
      <c r="AV84" s="98"/>
      <c r="AW84" s="98"/>
      <c r="AX84" s="98"/>
      <c r="AY84" s="98"/>
      <c r="AZ84" s="98"/>
      <c r="BA84" s="98"/>
      <c r="BB84" s="98"/>
      <c r="BC84" s="98"/>
      <c r="BD84" s="98"/>
      <c r="BE84" s="98"/>
      <c r="BF84" s="98"/>
      <c r="BG84" s="98"/>
      <c r="BH84" s="98"/>
    </row>
    <row r="85" spans="1:60" ht="16">
      <c r="A85" s="82"/>
      <c r="B85" s="82"/>
      <c r="C85" s="82"/>
      <c r="D85" s="83"/>
      <c r="E85" s="84"/>
      <c r="F85" s="138"/>
      <c r="G85" s="84"/>
      <c r="H85" s="82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91"/>
      <c r="U85" s="91"/>
      <c r="V85" s="91"/>
      <c r="W85" s="84"/>
      <c r="X85" s="91"/>
      <c r="Y85" s="84"/>
      <c r="Z85" s="87"/>
      <c r="AA85" s="87"/>
      <c r="AB85" s="87"/>
      <c r="AC85" s="87"/>
      <c r="AD85" s="87"/>
      <c r="AE85" s="87"/>
      <c r="AF85" s="87"/>
      <c r="AG85" s="87"/>
      <c r="AH85" s="87"/>
      <c r="AI85" s="87"/>
      <c r="AJ85" s="98"/>
      <c r="AK85" s="98"/>
      <c r="AL85" s="98"/>
      <c r="AM85" s="98"/>
      <c r="AN85" s="98"/>
      <c r="AO85" s="98"/>
      <c r="AP85" s="98"/>
      <c r="AQ85" s="98"/>
      <c r="AR85" s="98"/>
      <c r="AS85" s="98"/>
      <c r="AT85" s="98"/>
      <c r="AU85" s="98"/>
      <c r="AV85" s="98"/>
      <c r="AW85" s="98"/>
      <c r="AX85" s="98"/>
      <c r="AY85" s="98"/>
      <c r="AZ85" s="98"/>
      <c r="BA85" s="98"/>
      <c r="BB85" s="98"/>
      <c r="BC85" s="98"/>
      <c r="BD85" s="98"/>
      <c r="BE85" s="98"/>
      <c r="BF85" s="98"/>
      <c r="BG85" s="98"/>
      <c r="BH85" s="98"/>
    </row>
    <row r="86" spans="1:60" ht="16">
      <c r="A86" s="82"/>
      <c r="B86" s="82"/>
      <c r="C86" s="82"/>
      <c r="D86" s="83"/>
      <c r="E86" s="84"/>
      <c r="F86" s="138"/>
      <c r="G86" s="84"/>
      <c r="H86" s="82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91"/>
      <c r="T86" s="91"/>
      <c r="U86" s="84"/>
      <c r="V86" s="91"/>
      <c r="W86" s="84"/>
      <c r="X86" s="84"/>
      <c r="Y86" s="84"/>
      <c r="Z86" s="87"/>
      <c r="AA86" s="87"/>
      <c r="AB86" s="87"/>
      <c r="AC86" s="87"/>
      <c r="AD86" s="87"/>
      <c r="AE86" s="87"/>
      <c r="AF86" s="87"/>
      <c r="AG86" s="87"/>
      <c r="AH86" s="87"/>
      <c r="AI86" s="87"/>
      <c r="AJ86" s="98"/>
      <c r="AK86" s="98"/>
      <c r="AL86" s="98"/>
      <c r="AM86" s="98"/>
      <c r="AN86" s="98"/>
      <c r="AO86" s="98"/>
      <c r="AP86" s="98"/>
      <c r="AQ86" s="98"/>
      <c r="AR86" s="98"/>
      <c r="AS86" s="98"/>
      <c r="AT86" s="98"/>
      <c r="AU86" s="98"/>
      <c r="AV86" s="98"/>
      <c r="AW86" s="98"/>
      <c r="AX86" s="98"/>
      <c r="AY86" s="98"/>
      <c r="AZ86" s="98"/>
      <c r="BA86" s="98"/>
      <c r="BB86" s="98"/>
      <c r="BC86" s="98"/>
      <c r="BD86" s="98"/>
      <c r="BE86" s="98"/>
      <c r="BF86" s="98"/>
      <c r="BG86" s="98"/>
      <c r="BH86" s="98"/>
    </row>
    <row r="87" spans="1:60" ht="16">
      <c r="A87" s="82"/>
      <c r="B87" s="82"/>
      <c r="C87" s="82"/>
      <c r="D87" s="83"/>
      <c r="E87" s="84"/>
      <c r="F87" s="138"/>
      <c r="G87" s="84"/>
      <c r="H87" s="82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91"/>
      <c r="T87" s="91"/>
      <c r="U87" s="84"/>
      <c r="V87" s="84"/>
      <c r="W87" s="84"/>
      <c r="X87" s="84"/>
      <c r="Y87" s="84"/>
      <c r="Z87" s="87"/>
      <c r="AA87" s="87"/>
      <c r="AB87" s="87"/>
      <c r="AC87" s="87"/>
      <c r="AD87" s="87"/>
      <c r="AE87" s="87"/>
      <c r="AF87" s="87"/>
      <c r="AG87" s="87"/>
      <c r="AH87" s="87"/>
      <c r="AI87" s="87"/>
      <c r="AJ87" s="98"/>
      <c r="AK87" s="98"/>
      <c r="AL87" s="98"/>
      <c r="AM87" s="98"/>
      <c r="AN87" s="98"/>
      <c r="AO87" s="98"/>
      <c r="AP87" s="98"/>
      <c r="AQ87" s="98"/>
      <c r="AR87" s="98"/>
      <c r="AS87" s="98"/>
      <c r="AT87" s="98"/>
      <c r="AU87" s="98"/>
      <c r="AV87" s="98"/>
      <c r="AW87" s="98"/>
      <c r="AX87" s="98"/>
      <c r="AY87" s="98"/>
      <c r="AZ87" s="98"/>
      <c r="BA87" s="98"/>
      <c r="BB87" s="98"/>
      <c r="BC87" s="98"/>
      <c r="BD87" s="98"/>
      <c r="BE87" s="98"/>
      <c r="BF87" s="98"/>
      <c r="BG87" s="98"/>
      <c r="BH87" s="98"/>
    </row>
    <row r="88" spans="1:60" ht="16">
      <c r="A88" s="82"/>
      <c r="B88" s="82"/>
      <c r="C88" s="82"/>
      <c r="D88" s="83"/>
      <c r="E88" s="84"/>
      <c r="F88" s="138"/>
      <c r="G88" s="84"/>
      <c r="H88" s="82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91"/>
      <c r="T88" s="91"/>
      <c r="U88" s="84"/>
      <c r="V88" s="84"/>
      <c r="W88" s="84"/>
      <c r="X88" s="84"/>
      <c r="Y88" s="84"/>
      <c r="Z88" s="87"/>
      <c r="AA88" s="87"/>
      <c r="AB88" s="87"/>
      <c r="AC88" s="87"/>
      <c r="AD88" s="87"/>
      <c r="AE88" s="87"/>
      <c r="AF88" s="87"/>
      <c r="AG88" s="87"/>
      <c r="AH88" s="87"/>
      <c r="AI88" s="87"/>
      <c r="AJ88" s="98"/>
      <c r="AK88" s="98"/>
      <c r="AL88" s="98"/>
      <c r="AM88" s="98"/>
      <c r="AN88" s="98"/>
      <c r="AO88" s="98"/>
      <c r="AP88" s="98"/>
      <c r="AQ88" s="98"/>
      <c r="AR88" s="98"/>
      <c r="AS88" s="98"/>
      <c r="AT88" s="98"/>
      <c r="AU88" s="98"/>
      <c r="AV88" s="98"/>
      <c r="AW88" s="98"/>
      <c r="AX88" s="98"/>
      <c r="AY88" s="98"/>
      <c r="AZ88" s="98"/>
      <c r="BA88" s="98"/>
      <c r="BB88" s="98"/>
      <c r="BC88" s="98"/>
      <c r="BD88" s="98"/>
      <c r="BE88" s="98"/>
      <c r="BF88" s="98"/>
      <c r="BG88" s="98"/>
      <c r="BH88" s="98"/>
    </row>
    <row r="89" spans="1:60" ht="16">
      <c r="A89" s="82"/>
      <c r="B89" s="82"/>
      <c r="C89" s="82"/>
      <c r="D89" s="83"/>
      <c r="E89" s="84"/>
      <c r="F89" s="138"/>
      <c r="G89" s="84"/>
      <c r="H89" s="82"/>
      <c r="I89" s="84"/>
      <c r="J89" s="84"/>
      <c r="K89" s="84"/>
      <c r="L89" s="84"/>
      <c r="M89" s="84"/>
      <c r="N89" s="84"/>
      <c r="O89" s="84"/>
      <c r="P89" s="91"/>
      <c r="Q89" s="84"/>
      <c r="R89" s="84"/>
      <c r="S89" s="84"/>
      <c r="T89" s="84"/>
      <c r="U89" s="84"/>
      <c r="V89" s="84"/>
      <c r="W89" s="84"/>
      <c r="X89" s="84"/>
      <c r="Y89" s="84"/>
      <c r="Z89" s="87"/>
      <c r="AA89" s="87"/>
      <c r="AB89" s="87"/>
      <c r="AC89" s="87"/>
      <c r="AD89" s="87"/>
      <c r="AE89" s="87"/>
      <c r="AF89" s="87"/>
      <c r="AG89" s="87"/>
      <c r="AH89" s="87"/>
      <c r="AI89" s="87"/>
      <c r="AJ89" s="98"/>
      <c r="AK89" s="98"/>
      <c r="AL89" s="98"/>
      <c r="AM89" s="98"/>
      <c r="AN89" s="98"/>
      <c r="AO89" s="98"/>
      <c r="AP89" s="98"/>
      <c r="AQ89" s="98"/>
      <c r="AR89" s="98"/>
      <c r="AS89" s="98"/>
      <c r="AT89" s="98"/>
      <c r="AU89" s="98"/>
      <c r="AV89" s="98"/>
      <c r="AW89" s="98"/>
      <c r="AX89" s="98"/>
      <c r="AY89" s="98"/>
      <c r="AZ89" s="98"/>
      <c r="BA89" s="98"/>
      <c r="BB89" s="98"/>
      <c r="BC89" s="98"/>
      <c r="BD89" s="98"/>
      <c r="BE89" s="98"/>
      <c r="BF89" s="98"/>
      <c r="BG89" s="98"/>
      <c r="BH89" s="98"/>
    </row>
    <row r="90" spans="1:60" ht="16">
      <c r="A90" s="82"/>
      <c r="B90" s="82"/>
      <c r="C90" s="82"/>
      <c r="D90" s="83"/>
      <c r="E90" s="84"/>
      <c r="F90" s="138"/>
      <c r="G90" s="84"/>
      <c r="H90" s="82"/>
      <c r="I90" s="84"/>
      <c r="J90" s="84"/>
      <c r="K90" s="84"/>
      <c r="L90" s="84"/>
      <c r="M90" s="84"/>
      <c r="N90" s="98"/>
      <c r="O90" s="84"/>
      <c r="P90" s="98"/>
      <c r="Q90" s="84"/>
      <c r="R90" s="84"/>
      <c r="S90" s="84"/>
      <c r="T90" s="84"/>
      <c r="U90" s="84"/>
      <c r="V90" s="84"/>
      <c r="W90" s="84"/>
      <c r="X90" s="84"/>
      <c r="Y90" s="84"/>
      <c r="Z90" s="87"/>
      <c r="AA90" s="87"/>
      <c r="AB90" s="87"/>
      <c r="AC90" s="87"/>
      <c r="AD90" s="87"/>
      <c r="AE90" s="87"/>
      <c r="AF90" s="87"/>
      <c r="AG90" s="87"/>
      <c r="AH90" s="87"/>
      <c r="AI90" s="87"/>
      <c r="AJ90" s="98"/>
      <c r="AK90" s="98"/>
      <c r="AL90" s="98"/>
      <c r="AM90" s="98"/>
      <c r="AN90" s="98"/>
      <c r="AO90" s="98"/>
      <c r="AP90" s="98"/>
      <c r="AQ90" s="98"/>
      <c r="AR90" s="98"/>
      <c r="AS90" s="98"/>
      <c r="AT90" s="98"/>
      <c r="AU90" s="98"/>
      <c r="AV90" s="98"/>
      <c r="AW90" s="98"/>
      <c r="AX90" s="98"/>
      <c r="AY90" s="98"/>
      <c r="AZ90" s="98"/>
      <c r="BA90" s="98"/>
      <c r="BB90" s="98"/>
      <c r="BC90" s="98"/>
      <c r="BD90" s="98"/>
      <c r="BE90" s="98"/>
      <c r="BF90" s="98"/>
      <c r="BG90" s="98"/>
      <c r="BH90" s="98"/>
    </row>
    <row r="91" spans="1:60" ht="16">
      <c r="A91" s="82"/>
      <c r="B91" s="82"/>
      <c r="C91" s="82"/>
      <c r="D91" s="83"/>
      <c r="E91" s="84"/>
      <c r="F91" s="138"/>
      <c r="G91" s="84"/>
      <c r="H91" s="82"/>
      <c r="I91" s="84"/>
      <c r="J91" s="84"/>
      <c r="K91" s="84"/>
      <c r="L91" s="84"/>
      <c r="M91" s="84"/>
      <c r="N91" s="84"/>
      <c r="O91" s="84"/>
      <c r="P91" s="91"/>
      <c r="Q91" s="84"/>
      <c r="R91" s="84"/>
      <c r="S91" s="84"/>
      <c r="T91" s="84"/>
      <c r="U91" s="84"/>
      <c r="V91" s="84"/>
      <c r="W91" s="84"/>
      <c r="X91" s="84"/>
      <c r="Y91" s="84"/>
      <c r="Z91" s="87"/>
      <c r="AA91" s="87"/>
      <c r="AB91" s="87"/>
      <c r="AC91" s="87"/>
      <c r="AD91" s="87"/>
      <c r="AE91" s="87"/>
      <c r="AF91" s="87"/>
      <c r="AG91" s="87"/>
      <c r="AH91" s="87"/>
      <c r="AI91" s="87"/>
      <c r="AJ91" s="98"/>
      <c r="AK91" s="98"/>
      <c r="AL91" s="98"/>
      <c r="AM91" s="98"/>
      <c r="AN91" s="98"/>
      <c r="AO91" s="98"/>
      <c r="AP91" s="98"/>
      <c r="AQ91" s="98"/>
      <c r="AR91" s="98"/>
      <c r="AS91" s="98"/>
      <c r="AT91" s="98"/>
      <c r="AU91" s="98"/>
      <c r="AV91" s="98"/>
      <c r="AW91" s="98"/>
      <c r="AX91" s="98"/>
      <c r="AY91" s="98"/>
      <c r="AZ91" s="98"/>
      <c r="BA91" s="98"/>
      <c r="BB91" s="98"/>
      <c r="BC91" s="98"/>
      <c r="BD91" s="98"/>
      <c r="BE91" s="98"/>
      <c r="BF91" s="98"/>
      <c r="BG91" s="98"/>
      <c r="BH91" s="98"/>
    </row>
    <row r="92" spans="1:60" ht="16">
      <c r="A92" s="82"/>
      <c r="B92" s="82"/>
      <c r="C92" s="82"/>
      <c r="D92" s="83"/>
      <c r="E92" s="84"/>
      <c r="F92" s="138"/>
      <c r="G92" s="84"/>
      <c r="H92" s="82"/>
      <c r="I92" s="84"/>
      <c r="J92" s="84"/>
      <c r="K92" s="84"/>
      <c r="L92" s="84"/>
      <c r="M92" s="84"/>
      <c r="N92" s="84"/>
      <c r="O92" s="84"/>
      <c r="P92" s="91"/>
      <c r="Q92" s="84"/>
      <c r="R92" s="84"/>
      <c r="S92" s="84"/>
      <c r="T92" s="84"/>
      <c r="U92" s="84"/>
      <c r="V92" s="84"/>
      <c r="W92" s="84"/>
      <c r="X92" s="84"/>
      <c r="Y92" s="84"/>
      <c r="Z92" s="87"/>
      <c r="AA92" s="87"/>
      <c r="AB92" s="87"/>
      <c r="AC92" s="87"/>
      <c r="AD92" s="87"/>
      <c r="AE92" s="87"/>
      <c r="AF92" s="87"/>
      <c r="AG92" s="87"/>
      <c r="AH92" s="87"/>
      <c r="AI92" s="87"/>
      <c r="AJ92" s="87"/>
      <c r="AK92" s="81"/>
      <c r="AL92" s="81"/>
      <c r="AM92" s="81"/>
      <c r="AN92" s="81"/>
      <c r="AO92" s="81"/>
      <c r="AP92" s="81"/>
      <c r="AQ92" s="81"/>
      <c r="AR92" s="81"/>
      <c r="AS92" s="81"/>
      <c r="AT92" s="81"/>
      <c r="AU92" s="81"/>
      <c r="AV92" s="81"/>
      <c r="AW92" s="81"/>
      <c r="AX92" s="81"/>
      <c r="AY92" s="81"/>
      <c r="AZ92" s="81"/>
      <c r="BA92" s="81"/>
      <c r="BB92" s="81"/>
      <c r="BC92" s="81"/>
      <c r="BD92" s="81"/>
      <c r="BE92" s="81"/>
      <c r="BF92" s="81"/>
      <c r="BG92" s="81"/>
      <c r="BH92" s="81"/>
    </row>
    <row r="93" spans="1:60" ht="16">
      <c r="A93" s="82"/>
      <c r="B93" s="82"/>
      <c r="C93" s="82"/>
      <c r="D93" s="83"/>
      <c r="E93" s="84"/>
      <c r="F93" s="138"/>
      <c r="G93" s="84"/>
      <c r="H93" s="82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91"/>
      <c r="T93" s="91"/>
      <c r="U93" s="84"/>
      <c r="V93" s="91"/>
      <c r="W93" s="84"/>
      <c r="X93" s="84"/>
      <c r="Y93" s="84"/>
      <c r="Z93" s="87"/>
      <c r="AA93" s="87"/>
      <c r="AB93" s="87"/>
      <c r="AC93" s="87"/>
      <c r="AD93" s="87"/>
      <c r="AE93" s="87"/>
      <c r="AF93" s="87"/>
      <c r="AG93" s="87"/>
      <c r="AH93" s="87"/>
      <c r="AI93" s="87"/>
      <c r="AJ93" s="87"/>
      <c r="AK93" s="81"/>
      <c r="AL93" s="81"/>
      <c r="AM93" s="81"/>
      <c r="AN93" s="81"/>
      <c r="AO93" s="81"/>
      <c r="AP93" s="81"/>
      <c r="AQ93" s="81"/>
      <c r="AR93" s="81"/>
      <c r="AS93" s="81"/>
      <c r="AT93" s="81"/>
      <c r="AU93" s="81"/>
      <c r="AV93" s="81"/>
      <c r="AW93" s="81"/>
      <c r="AX93" s="81"/>
      <c r="AY93" s="81"/>
      <c r="AZ93" s="81"/>
      <c r="BA93" s="81"/>
      <c r="BB93" s="81"/>
      <c r="BC93" s="81"/>
      <c r="BD93" s="81"/>
      <c r="BE93" s="81"/>
      <c r="BF93" s="81"/>
      <c r="BG93" s="81"/>
      <c r="BH93" s="81"/>
    </row>
    <row r="94" spans="1:60" ht="16">
      <c r="A94" s="82"/>
      <c r="B94" s="82"/>
      <c r="C94" s="82"/>
      <c r="D94" s="83"/>
      <c r="E94" s="84"/>
      <c r="F94" s="138"/>
      <c r="G94" s="84"/>
      <c r="H94" s="82"/>
      <c r="I94" s="84"/>
      <c r="J94" s="84"/>
      <c r="K94" s="84"/>
      <c r="L94" s="84"/>
      <c r="M94" s="84"/>
      <c r="N94" s="84"/>
      <c r="O94" s="84"/>
      <c r="P94" s="91"/>
      <c r="Q94" s="84"/>
      <c r="R94" s="84"/>
      <c r="S94" s="84"/>
      <c r="T94" s="84"/>
      <c r="U94" s="84"/>
      <c r="V94" s="84"/>
      <c r="W94" s="84"/>
      <c r="X94" s="84"/>
      <c r="Y94" s="84"/>
      <c r="Z94" s="87"/>
      <c r="AA94" s="87"/>
      <c r="AB94" s="87"/>
      <c r="AC94" s="87"/>
      <c r="AD94" s="87"/>
      <c r="AE94" s="87"/>
      <c r="AF94" s="87"/>
      <c r="AG94" s="87"/>
      <c r="AH94" s="87"/>
      <c r="AI94" s="87"/>
      <c r="AJ94" s="87"/>
      <c r="AK94" s="81"/>
      <c r="AL94" s="81"/>
      <c r="AM94" s="81"/>
      <c r="AN94" s="81"/>
      <c r="AO94" s="81"/>
      <c r="AP94" s="81"/>
      <c r="AQ94" s="81"/>
      <c r="AR94" s="81"/>
      <c r="AS94" s="81"/>
      <c r="AT94" s="81"/>
      <c r="AU94" s="81"/>
      <c r="AV94" s="81"/>
      <c r="AW94" s="81"/>
      <c r="AX94" s="81"/>
      <c r="AY94" s="81"/>
      <c r="AZ94" s="81"/>
      <c r="BA94" s="81"/>
      <c r="BB94" s="81"/>
      <c r="BC94" s="81"/>
      <c r="BD94" s="81"/>
      <c r="BE94" s="81"/>
      <c r="BF94" s="81"/>
      <c r="BG94" s="81"/>
      <c r="BH94" s="81"/>
    </row>
    <row r="95" spans="1:60" ht="16">
      <c r="A95" s="82"/>
      <c r="B95" s="82"/>
      <c r="C95" s="82"/>
      <c r="D95" s="83"/>
      <c r="E95" s="84"/>
      <c r="F95" s="138"/>
      <c r="G95" s="84"/>
      <c r="H95" s="82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7"/>
      <c r="AA95" s="87"/>
      <c r="AB95" s="87"/>
      <c r="AC95" s="87"/>
      <c r="AD95" s="87"/>
      <c r="AE95" s="87"/>
      <c r="AF95" s="87"/>
      <c r="AG95" s="87"/>
      <c r="AH95" s="87"/>
      <c r="AI95" s="87"/>
      <c r="AJ95" s="87"/>
      <c r="AK95" s="87"/>
      <c r="AL95" s="81"/>
      <c r="AM95" s="81"/>
      <c r="AN95" s="81"/>
      <c r="AO95" s="81"/>
      <c r="AP95" s="81"/>
      <c r="AQ95" s="81"/>
      <c r="AR95" s="81"/>
      <c r="AS95" s="81"/>
      <c r="AT95" s="81"/>
      <c r="AU95" s="81"/>
      <c r="AV95" s="81"/>
      <c r="AW95" s="81"/>
      <c r="AX95" s="81"/>
      <c r="AY95" s="81"/>
      <c r="AZ95" s="81"/>
      <c r="BA95" s="81"/>
      <c r="BB95" s="81"/>
      <c r="BC95" s="81"/>
      <c r="BD95" s="81"/>
      <c r="BE95" s="81"/>
      <c r="BF95" s="81"/>
      <c r="BG95" s="81"/>
      <c r="BH95" s="81"/>
    </row>
    <row r="96" spans="1:60" ht="16">
      <c r="A96" s="82"/>
      <c r="B96" s="82"/>
      <c r="C96" s="82"/>
      <c r="D96" s="83"/>
      <c r="E96" s="84"/>
      <c r="F96" s="138"/>
      <c r="G96" s="84"/>
      <c r="H96" s="82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7"/>
      <c r="AA96" s="87"/>
      <c r="AB96" s="87"/>
      <c r="AC96" s="87"/>
      <c r="AD96" s="87"/>
      <c r="AE96" s="87"/>
      <c r="AF96" s="87"/>
      <c r="AG96" s="87"/>
      <c r="AH96" s="87"/>
      <c r="AI96" s="87"/>
      <c r="AJ96" s="87"/>
      <c r="AK96" s="87"/>
      <c r="AL96" s="81"/>
      <c r="AM96" s="81"/>
      <c r="AN96" s="81"/>
      <c r="AO96" s="81"/>
      <c r="AP96" s="81"/>
      <c r="AQ96" s="81"/>
      <c r="AR96" s="81"/>
      <c r="AS96" s="81"/>
      <c r="AT96" s="81"/>
      <c r="AU96" s="81"/>
      <c r="AV96" s="81"/>
      <c r="AW96" s="81"/>
      <c r="AX96" s="81"/>
      <c r="AY96" s="81"/>
      <c r="AZ96" s="81"/>
      <c r="BA96" s="81"/>
      <c r="BB96" s="81"/>
      <c r="BC96" s="81"/>
      <c r="BD96" s="81"/>
      <c r="BE96" s="81"/>
      <c r="BF96" s="81"/>
      <c r="BG96" s="81"/>
      <c r="BH96" s="81"/>
    </row>
    <row r="97" spans="1:60" ht="16">
      <c r="A97" s="82"/>
      <c r="B97" s="82"/>
      <c r="C97" s="82"/>
      <c r="D97" s="83"/>
      <c r="E97" s="84"/>
      <c r="F97" s="138"/>
      <c r="G97" s="84"/>
      <c r="H97" s="82"/>
      <c r="I97" s="84"/>
      <c r="J97" s="84"/>
      <c r="K97" s="84"/>
      <c r="L97" s="84"/>
      <c r="M97" s="84"/>
      <c r="N97" s="84"/>
      <c r="O97" s="84"/>
      <c r="P97" s="98"/>
      <c r="Q97" s="84"/>
      <c r="R97" s="84"/>
      <c r="S97" s="84"/>
      <c r="T97" s="84"/>
      <c r="U97" s="84"/>
      <c r="V97" s="84"/>
      <c r="W97" s="84"/>
      <c r="X97" s="84"/>
      <c r="Y97" s="84"/>
      <c r="Z97" s="87"/>
      <c r="AA97" s="87"/>
      <c r="AB97" s="87"/>
      <c r="AC97" s="87"/>
      <c r="AD97" s="87"/>
      <c r="AE97" s="87"/>
      <c r="AF97" s="87"/>
      <c r="AG97" s="87"/>
      <c r="AH97" s="87"/>
      <c r="AI97" s="87"/>
      <c r="AJ97" s="87"/>
      <c r="AK97" s="87"/>
      <c r="AL97" s="81"/>
      <c r="AM97" s="81"/>
      <c r="AN97" s="81"/>
      <c r="AO97" s="81"/>
      <c r="AP97" s="81"/>
      <c r="AQ97" s="81"/>
      <c r="AR97" s="81"/>
      <c r="AS97" s="81"/>
      <c r="AT97" s="81"/>
      <c r="AU97" s="81"/>
      <c r="AV97" s="81"/>
      <c r="AW97" s="81"/>
      <c r="AX97" s="81"/>
      <c r="AY97" s="81"/>
      <c r="AZ97" s="81"/>
      <c r="BA97" s="81"/>
      <c r="BB97" s="81"/>
      <c r="BC97" s="81"/>
      <c r="BD97" s="81"/>
      <c r="BE97" s="81"/>
      <c r="BF97" s="81"/>
      <c r="BG97" s="81"/>
      <c r="BH97" s="81"/>
    </row>
    <row r="98" spans="1:60" ht="16">
      <c r="A98" s="82"/>
      <c r="B98" s="82"/>
      <c r="C98" s="82"/>
      <c r="D98" s="83"/>
      <c r="E98" s="84"/>
      <c r="F98" s="138"/>
      <c r="G98" s="84"/>
      <c r="H98" s="82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7"/>
      <c r="AA98" s="87"/>
      <c r="AB98" s="87"/>
      <c r="AC98" s="87"/>
      <c r="AD98" s="87"/>
      <c r="AE98" s="87"/>
      <c r="AF98" s="87"/>
      <c r="AG98" s="87"/>
      <c r="AH98" s="87"/>
      <c r="AI98" s="87"/>
      <c r="AJ98" s="87"/>
      <c r="AK98" s="87"/>
      <c r="AL98" s="81"/>
      <c r="AM98" s="81"/>
      <c r="AN98" s="81"/>
      <c r="AO98" s="81"/>
      <c r="AP98" s="81"/>
      <c r="AQ98" s="81"/>
      <c r="AR98" s="81"/>
      <c r="AS98" s="81"/>
      <c r="AT98" s="81"/>
      <c r="AU98" s="81"/>
      <c r="AV98" s="81"/>
      <c r="AW98" s="81"/>
      <c r="AX98" s="81"/>
      <c r="AY98" s="81"/>
      <c r="AZ98" s="81"/>
      <c r="BA98" s="81"/>
      <c r="BB98" s="81"/>
      <c r="BC98" s="81"/>
      <c r="BD98" s="81"/>
      <c r="BE98" s="81"/>
      <c r="BF98" s="81"/>
      <c r="BG98" s="81"/>
      <c r="BH98" s="81"/>
    </row>
    <row r="99" spans="1:60" ht="16">
      <c r="A99" s="82"/>
      <c r="B99" s="82"/>
      <c r="C99" s="82"/>
      <c r="D99" s="83"/>
      <c r="E99" s="84"/>
      <c r="F99" s="138"/>
      <c r="G99" s="84"/>
      <c r="H99" s="82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7"/>
      <c r="AA99" s="87"/>
      <c r="AB99" s="87"/>
      <c r="AC99" s="87"/>
      <c r="AD99" s="87"/>
      <c r="AE99" s="87"/>
      <c r="AF99" s="87"/>
      <c r="AG99" s="87"/>
      <c r="AH99" s="87"/>
      <c r="AI99" s="87"/>
      <c r="AJ99" s="87"/>
      <c r="AK99" s="87"/>
      <c r="AL99" s="81"/>
      <c r="AM99" s="81"/>
      <c r="AN99" s="81"/>
      <c r="AO99" s="81"/>
      <c r="AP99" s="81"/>
      <c r="AQ99" s="81"/>
      <c r="AR99" s="81"/>
      <c r="AS99" s="81"/>
      <c r="AT99" s="81"/>
      <c r="AU99" s="81"/>
      <c r="AV99" s="81"/>
      <c r="AW99" s="81"/>
      <c r="AX99" s="81"/>
      <c r="AY99" s="81"/>
      <c r="AZ99" s="81"/>
      <c r="BA99" s="81"/>
      <c r="BB99" s="81"/>
      <c r="BC99" s="81"/>
      <c r="BD99" s="81"/>
      <c r="BE99" s="81"/>
      <c r="BF99" s="81"/>
      <c r="BG99" s="81"/>
      <c r="BH99" s="81"/>
    </row>
    <row r="100" spans="1:60" ht="16">
      <c r="A100" s="82"/>
      <c r="B100" s="82"/>
      <c r="C100" s="82"/>
      <c r="D100" s="83"/>
      <c r="E100" s="84"/>
      <c r="F100" s="138"/>
      <c r="G100" s="84"/>
      <c r="H100" s="82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7"/>
      <c r="AA100" s="87"/>
      <c r="AB100" s="87"/>
      <c r="AC100" s="87"/>
      <c r="AD100" s="87"/>
      <c r="AE100" s="87"/>
      <c r="AF100" s="87"/>
      <c r="AG100" s="87"/>
      <c r="AH100" s="87"/>
      <c r="AI100" s="87"/>
      <c r="AJ100" s="87"/>
      <c r="AK100" s="87"/>
      <c r="AL100" s="81"/>
      <c r="AM100" s="81"/>
      <c r="AN100" s="81"/>
      <c r="AO100" s="81"/>
      <c r="AP100" s="81"/>
      <c r="AQ100" s="81"/>
      <c r="AR100" s="81"/>
      <c r="AS100" s="81"/>
      <c r="AT100" s="81"/>
      <c r="AU100" s="81"/>
      <c r="AV100" s="81"/>
      <c r="AW100" s="81"/>
      <c r="AX100" s="81"/>
      <c r="AY100" s="81"/>
      <c r="AZ100" s="81"/>
      <c r="BA100" s="81"/>
      <c r="BB100" s="81"/>
      <c r="BC100" s="81"/>
      <c r="BD100" s="81"/>
      <c r="BE100" s="81"/>
      <c r="BF100" s="81"/>
      <c r="BG100" s="81"/>
      <c r="BH100" s="81"/>
    </row>
    <row r="101" spans="1:60" ht="16">
      <c r="A101" s="82"/>
      <c r="B101" s="82"/>
      <c r="C101" s="82"/>
      <c r="D101" s="83"/>
      <c r="E101" s="84"/>
      <c r="F101" s="138"/>
      <c r="G101" s="84"/>
      <c r="H101" s="82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7"/>
      <c r="AA101" s="87"/>
      <c r="AB101" s="87"/>
      <c r="AC101" s="87"/>
      <c r="AD101" s="87"/>
      <c r="AE101" s="87"/>
      <c r="AF101" s="87"/>
      <c r="AG101" s="87"/>
      <c r="AH101" s="87"/>
      <c r="AI101" s="87"/>
      <c r="AJ101" s="87"/>
      <c r="AK101" s="87"/>
      <c r="AL101" s="81"/>
      <c r="AM101" s="81"/>
      <c r="AN101" s="81"/>
      <c r="AO101" s="81"/>
      <c r="AP101" s="81"/>
      <c r="AQ101" s="81"/>
      <c r="AR101" s="81"/>
      <c r="AS101" s="81"/>
      <c r="AT101" s="81"/>
      <c r="AU101" s="81"/>
      <c r="AV101" s="81"/>
      <c r="AW101" s="81"/>
      <c r="AX101" s="81"/>
      <c r="AY101" s="81"/>
      <c r="AZ101" s="81"/>
      <c r="BA101" s="81"/>
      <c r="BB101" s="81"/>
      <c r="BC101" s="81"/>
      <c r="BD101" s="81"/>
      <c r="BE101" s="81"/>
      <c r="BF101" s="81"/>
      <c r="BG101" s="81"/>
      <c r="BH101" s="81"/>
    </row>
    <row r="102" spans="1:60" ht="16">
      <c r="A102" s="82"/>
      <c r="B102" s="82"/>
      <c r="C102" s="82"/>
      <c r="D102" s="83"/>
      <c r="E102" s="84"/>
      <c r="F102" s="138"/>
      <c r="G102" s="84"/>
      <c r="H102" s="82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7"/>
      <c r="AA102" s="87"/>
      <c r="AB102" s="87"/>
      <c r="AC102" s="87"/>
      <c r="AD102" s="87"/>
      <c r="AE102" s="87"/>
      <c r="AF102" s="87"/>
      <c r="AG102" s="87"/>
      <c r="AH102" s="87"/>
      <c r="AI102" s="87"/>
      <c r="AJ102" s="87"/>
      <c r="AK102" s="87"/>
      <c r="AL102" s="81"/>
      <c r="AM102" s="81"/>
      <c r="AN102" s="81"/>
      <c r="AO102" s="81"/>
      <c r="AP102" s="81"/>
      <c r="AQ102" s="81"/>
      <c r="AR102" s="81"/>
      <c r="AS102" s="81"/>
      <c r="AT102" s="81"/>
      <c r="AU102" s="81"/>
      <c r="AV102" s="81"/>
      <c r="AW102" s="81"/>
      <c r="AX102" s="81"/>
      <c r="AY102" s="81"/>
      <c r="AZ102" s="81"/>
      <c r="BA102" s="81"/>
      <c r="BB102" s="81"/>
      <c r="BC102" s="81"/>
      <c r="BD102" s="81"/>
      <c r="BE102" s="81"/>
      <c r="BF102" s="81"/>
      <c r="BG102" s="81"/>
      <c r="BH102" s="81"/>
    </row>
    <row r="103" spans="1:60" ht="16">
      <c r="A103" s="82"/>
      <c r="B103" s="82"/>
      <c r="C103" s="82"/>
      <c r="D103" s="83"/>
      <c r="E103" s="84"/>
      <c r="F103" s="138"/>
      <c r="G103" s="84"/>
      <c r="H103" s="82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7"/>
      <c r="AA103" s="87"/>
      <c r="AB103" s="87"/>
      <c r="AC103" s="87"/>
      <c r="AD103" s="87"/>
      <c r="AE103" s="87"/>
      <c r="AF103" s="87"/>
      <c r="AG103" s="87"/>
      <c r="AH103" s="87"/>
      <c r="AI103" s="87"/>
      <c r="AJ103" s="87"/>
      <c r="AK103" s="87"/>
      <c r="AL103" s="81"/>
      <c r="AM103" s="81"/>
      <c r="AN103" s="81"/>
      <c r="AO103" s="81"/>
      <c r="AP103" s="81"/>
      <c r="AQ103" s="81"/>
      <c r="AR103" s="81"/>
      <c r="AS103" s="81"/>
      <c r="AT103" s="81"/>
      <c r="AU103" s="81"/>
      <c r="AV103" s="81"/>
      <c r="AW103" s="81"/>
      <c r="AX103" s="81"/>
      <c r="AY103" s="81"/>
      <c r="AZ103" s="81"/>
      <c r="BA103" s="81"/>
      <c r="BB103" s="81"/>
      <c r="BC103" s="81"/>
      <c r="BD103" s="81"/>
      <c r="BE103" s="81"/>
      <c r="BF103" s="81"/>
      <c r="BG103" s="81"/>
      <c r="BH103" s="81"/>
    </row>
    <row r="104" spans="1:60" ht="16">
      <c r="A104" s="82"/>
      <c r="B104" s="82"/>
      <c r="C104" s="82"/>
      <c r="D104" s="83"/>
      <c r="E104" s="84"/>
      <c r="F104" s="138"/>
      <c r="G104" s="84"/>
      <c r="H104" s="82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7"/>
      <c r="AA104" s="87"/>
      <c r="AB104" s="87"/>
      <c r="AC104" s="87"/>
      <c r="AD104" s="87"/>
      <c r="AE104" s="87"/>
      <c r="AF104" s="87"/>
      <c r="AG104" s="87"/>
      <c r="AH104" s="87"/>
      <c r="AI104" s="87"/>
      <c r="AJ104" s="87"/>
      <c r="AK104" s="87"/>
      <c r="AL104" s="81"/>
      <c r="AM104" s="81"/>
      <c r="AN104" s="81"/>
      <c r="AO104" s="81"/>
      <c r="AP104" s="81"/>
      <c r="AQ104" s="81"/>
      <c r="AR104" s="81"/>
      <c r="AS104" s="81"/>
      <c r="AT104" s="81"/>
      <c r="AU104" s="81"/>
      <c r="AV104" s="81"/>
      <c r="AW104" s="81"/>
      <c r="AX104" s="81"/>
      <c r="AY104" s="81"/>
      <c r="AZ104" s="81"/>
      <c r="BA104" s="81"/>
      <c r="BB104" s="81"/>
      <c r="BC104" s="81"/>
      <c r="BD104" s="81"/>
      <c r="BE104" s="81"/>
      <c r="BF104" s="81"/>
      <c r="BG104" s="81"/>
      <c r="BH104" s="81"/>
    </row>
    <row r="105" spans="1:60" ht="16">
      <c r="A105" s="82"/>
      <c r="B105" s="82"/>
      <c r="C105" s="82"/>
      <c r="D105" s="83"/>
      <c r="E105" s="84"/>
      <c r="F105" s="138"/>
      <c r="G105" s="84"/>
      <c r="H105" s="82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7"/>
      <c r="AA105" s="87"/>
      <c r="AB105" s="87"/>
      <c r="AC105" s="87"/>
      <c r="AD105" s="87"/>
      <c r="AE105" s="87"/>
      <c r="AF105" s="87"/>
      <c r="AG105" s="87"/>
      <c r="AH105" s="87"/>
      <c r="AI105" s="87"/>
      <c r="AJ105" s="87"/>
      <c r="AK105" s="87"/>
      <c r="AL105" s="81"/>
      <c r="AM105" s="81"/>
      <c r="AN105" s="81"/>
      <c r="AO105" s="81"/>
      <c r="AP105" s="81"/>
      <c r="AQ105" s="81"/>
      <c r="AR105" s="81"/>
      <c r="AS105" s="81"/>
      <c r="AT105" s="81"/>
      <c r="AU105" s="81"/>
      <c r="AV105" s="81"/>
      <c r="AW105" s="81"/>
      <c r="AX105" s="81"/>
      <c r="AY105" s="81"/>
      <c r="AZ105" s="81"/>
      <c r="BA105" s="81"/>
      <c r="BB105" s="81"/>
      <c r="BC105" s="81"/>
      <c r="BD105" s="81"/>
      <c r="BE105" s="81"/>
      <c r="BF105" s="81"/>
      <c r="BG105" s="81"/>
      <c r="BH105" s="81"/>
    </row>
    <row r="106" spans="1:60" ht="16">
      <c r="A106" s="82"/>
      <c r="B106" s="82"/>
      <c r="C106" s="82"/>
      <c r="D106" s="83"/>
      <c r="E106" s="84"/>
      <c r="F106" s="138"/>
      <c r="G106" s="84"/>
      <c r="H106" s="82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7"/>
      <c r="AA106" s="87"/>
      <c r="AB106" s="87"/>
      <c r="AC106" s="87"/>
      <c r="AD106" s="87"/>
      <c r="AE106" s="87"/>
      <c r="AF106" s="87"/>
      <c r="AG106" s="87"/>
      <c r="AH106" s="87"/>
      <c r="AI106" s="87"/>
      <c r="AJ106" s="87"/>
      <c r="AK106" s="87"/>
      <c r="AL106" s="81"/>
      <c r="AM106" s="81"/>
      <c r="AN106" s="81"/>
      <c r="AO106" s="81"/>
      <c r="AP106" s="81"/>
      <c r="AQ106" s="81"/>
      <c r="AR106" s="81"/>
      <c r="AS106" s="81"/>
      <c r="AT106" s="81"/>
      <c r="AU106" s="81"/>
      <c r="AV106" s="81"/>
      <c r="AW106" s="81"/>
      <c r="AX106" s="81"/>
      <c r="AY106" s="81"/>
      <c r="AZ106" s="81"/>
      <c r="BA106" s="81"/>
      <c r="BB106" s="81"/>
      <c r="BC106" s="81"/>
      <c r="BD106" s="81"/>
      <c r="BE106" s="81"/>
      <c r="BF106" s="81"/>
      <c r="BG106" s="81"/>
      <c r="BH106" s="81"/>
    </row>
    <row r="107" spans="1:60" ht="16">
      <c r="A107" s="82"/>
      <c r="B107" s="82"/>
      <c r="C107" s="82"/>
      <c r="D107" s="83"/>
      <c r="E107" s="84"/>
      <c r="F107" s="138"/>
      <c r="G107" s="84"/>
      <c r="H107" s="82"/>
      <c r="I107" s="84"/>
      <c r="J107" s="84"/>
      <c r="K107" s="84"/>
      <c r="L107" s="84"/>
      <c r="M107" s="84"/>
      <c r="N107" s="84"/>
      <c r="O107" s="84"/>
      <c r="P107" s="98"/>
      <c r="Q107" s="84"/>
      <c r="R107" s="84"/>
      <c r="S107" s="84"/>
      <c r="T107" s="84"/>
      <c r="U107" s="84"/>
      <c r="V107" s="84"/>
      <c r="W107" s="84"/>
      <c r="X107" s="84"/>
      <c r="Y107" s="84"/>
      <c r="Z107" s="87"/>
      <c r="AA107" s="87"/>
      <c r="AB107" s="87"/>
      <c r="AC107" s="87"/>
      <c r="AD107" s="87"/>
      <c r="AE107" s="87"/>
      <c r="AF107" s="87"/>
      <c r="AG107" s="87"/>
      <c r="AH107" s="87"/>
      <c r="AI107" s="87"/>
      <c r="AJ107" s="87"/>
      <c r="AK107" s="81"/>
      <c r="AL107" s="81"/>
      <c r="AM107" s="81"/>
      <c r="AN107" s="81"/>
      <c r="AO107" s="81"/>
      <c r="AP107" s="81"/>
      <c r="AQ107" s="81"/>
      <c r="AR107" s="81"/>
      <c r="AS107" s="81"/>
      <c r="AT107" s="81"/>
      <c r="AU107" s="81"/>
      <c r="AV107" s="81"/>
      <c r="AW107" s="81"/>
      <c r="AX107" s="81"/>
      <c r="AY107" s="81"/>
      <c r="AZ107" s="81"/>
      <c r="BA107" s="81"/>
      <c r="BB107" s="81"/>
      <c r="BC107" s="81"/>
      <c r="BD107" s="81"/>
      <c r="BE107" s="81"/>
      <c r="BF107" s="81"/>
      <c r="BG107" s="81"/>
      <c r="BH107" s="81"/>
    </row>
    <row r="108" spans="1:60" ht="16">
      <c r="A108" s="82"/>
      <c r="B108" s="82"/>
      <c r="C108" s="82"/>
      <c r="D108" s="83"/>
      <c r="E108" s="84"/>
      <c r="F108" s="138"/>
      <c r="G108" s="84"/>
      <c r="H108" s="82"/>
      <c r="I108" s="84"/>
      <c r="J108" s="89"/>
      <c r="K108" s="89"/>
      <c r="L108" s="89"/>
      <c r="M108" s="89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7"/>
      <c r="AA108" s="87"/>
      <c r="AB108" s="87"/>
      <c r="AC108" s="87"/>
      <c r="AD108" s="87"/>
      <c r="AE108" s="87"/>
      <c r="AF108" s="87"/>
      <c r="AG108" s="87"/>
      <c r="AH108" s="87"/>
      <c r="AI108" s="87"/>
      <c r="AJ108" s="87"/>
      <c r="AK108" s="81"/>
      <c r="AL108" s="81"/>
      <c r="AM108" s="81"/>
      <c r="AN108" s="81"/>
      <c r="AO108" s="81"/>
      <c r="AP108" s="81"/>
      <c r="AQ108" s="81"/>
      <c r="AR108" s="81"/>
      <c r="AS108" s="81"/>
      <c r="AT108" s="81"/>
      <c r="AU108" s="81"/>
      <c r="AV108" s="81"/>
      <c r="AW108" s="81"/>
      <c r="AX108" s="81"/>
      <c r="AY108" s="81"/>
      <c r="AZ108" s="81"/>
      <c r="BA108" s="81"/>
      <c r="BB108" s="81"/>
      <c r="BC108" s="81"/>
      <c r="BD108" s="81"/>
      <c r="BE108" s="81"/>
      <c r="BF108" s="81"/>
      <c r="BG108" s="81"/>
      <c r="BH108" s="81"/>
    </row>
    <row r="109" spans="1:60" ht="16">
      <c r="A109" s="82"/>
      <c r="B109" s="82"/>
      <c r="C109" s="82"/>
      <c r="D109" s="83"/>
      <c r="E109" s="84"/>
      <c r="F109" s="138"/>
      <c r="G109" s="84"/>
      <c r="H109" s="82"/>
      <c r="I109" s="89"/>
      <c r="J109" s="89"/>
      <c r="K109" s="89"/>
      <c r="L109" s="89"/>
      <c r="M109" s="89"/>
      <c r="N109" s="89"/>
      <c r="O109" s="84"/>
      <c r="P109" s="139"/>
      <c r="Q109" s="139"/>
      <c r="R109" s="139"/>
      <c r="S109" s="139"/>
      <c r="T109" s="139"/>
      <c r="U109" s="139"/>
      <c r="V109" s="139"/>
      <c r="W109" s="139"/>
      <c r="X109" s="139"/>
      <c r="Y109" s="139"/>
      <c r="Z109" s="87"/>
      <c r="AA109" s="87"/>
      <c r="AB109" s="87"/>
      <c r="AC109" s="87"/>
      <c r="AD109" s="87"/>
      <c r="AE109" s="87"/>
      <c r="AF109" s="87"/>
      <c r="AG109" s="87"/>
      <c r="AH109" s="87"/>
      <c r="AI109" s="87"/>
      <c r="AJ109" s="87"/>
      <c r="AK109" s="81"/>
      <c r="AL109" s="81"/>
      <c r="AM109" s="81"/>
      <c r="AN109" s="81"/>
      <c r="AO109" s="81"/>
      <c r="AP109" s="81"/>
      <c r="AQ109" s="81"/>
      <c r="AR109" s="81"/>
      <c r="AS109" s="81"/>
      <c r="AT109" s="81"/>
      <c r="AU109" s="81"/>
      <c r="AV109" s="81"/>
      <c r="AW109" s="81"/>
      <c r="AX109" s="81"/>
      <c r="AY109" s="81"/>
      <c r="AZ109" s="81"/>
      <c r="BA109" s="81"/>
      <c r="BB109" s="81"/>
      <c r="BC109" s="81"/>
      <c r="BD109" s="81"/>
      <c r="BE109" s="81"/>
      <c r="BF109" s="81"/>
      <c r="BG109" s="81"/>
      <c r="BH109" s="81"/>
    </row>
    <row r="110" spans="1:60" ht="16">
      <c r="A110" s="82"/>
      <c r="B110" s="82"/>
      <c r="C110" s="82"/>
      <c r="D110" s="83"/>
      <c r="E110" s="84"/>
      <c r="F110" s="138"/>
      <c r="G110" s="84"/>
      <c r="H110" s="82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7"/>
      <c r="AA110" s="87"/>
      <c r="AB110" s="87"/>
      <c r="AC110" s="87"/>
      <c r="AD110" s="87"/>
      <c r="AE110" s="87"/>
      <c r="AF110" s="87"/>
      <c r="AG110" s="87"/>
      <c r="AH110" s="87"/>
      <c r="AI110" s="87"/>
      <c r="AJ110" s="98"/>
      <c r="AK110" s="98"/>
      <c r="AL110" s="98"/>
      <c r="AM110" s="98"/>
      <c r="AN110" s="98"/>
      <c r="AO110" s="98"/>
      <c r="AP110" s="98"/>
      <c r="AQ110" s="98"/>
      <c r="AR110" s="98"/>
      <c r="AS110" s="98"/>
      <c r="AT110" s="98"/>
      <c r="AU110" s="98"/>
      <c r="AV110" s="98"/>
      <c r="AW110" s="98"/>
      <c r="AX110" s="98"/>
      <c r="AY110" s="98"/>
      <c r="AZ110" s="98"/>
      <c r="BA110" s="98"/>
      <c r="BB110" s="98"/>
      <c r="BC110" s="98"/>
      <c r="BD110" s="98"/>
      <c r="BE110" s="98"/>
      <c r="BF110" s="98"/>
      <c r="BG110" s="98"/>
      <c r="BH110" s="98"/>
    </row>
    <row r="111" spans="1:60" ht="16">
      <c r="A111" s="82"/>
      <c r="B111" s="82"/>
      <c r="C111" s="82"/>
      <c r="D111" s="83"/>
      <c r="E111" s="89"/>
      <c r="F111" s="138"/>
      <c r="G111" s="84"/>
      <c r="H111" s="82"/>
      <c r="I111" s="84"/>
      <c r="J111" s="89"/>
      <c r="K111" s="84"/>
      <c r="L111" s="89"/>
      <c r="M111" s="89"/>
      <c r="N111" s="89"/>
      <c r="O111" s="84"/>
      <c r="P111" s="98"/>
      <c r="Q111" s="84"/>
      <c r="R111" s="84"/>
      <c r="S111" s="84"/>
      <c r="T111" s="84"/>
      <c r="U111" s="84"/>
      <c r="V111" s="84"/>
      <c r="W111" s="84"/>
      <c r="X111" s="84"/>
      <c r="Y111" s="84"/>
      <c r="Z111" s="87"/>
      <c r="AA111" s="87"/>
      <c r="AB111" s="87"/>
      <c r="AC111" s="87"/>
      <c r="AD111" s="87"/>
      <c r="AE111" s="87"/>
      <c r="AF111" s="87"/>
      <c r="AG111" s="87"/>
      <c r="AH111" s="87"/>
      <c r="AI111" s="87"/>
      <c r="AJ111" s="87"/>
      <c r="AK111" s="81"/>
      <c r="AL111" s="81"/>
      <c r="AM111" s="81"/>
      <c r="AN111" s="81"/>
      <c r="AO111" s="81"/>
      <c r="AP111" s="81"/>
      <c r="AQ111" s="81"/>
      <c r="AR111" s="81"/>
      <c r="AS111" s="81"/>
      <c r="AT111" s="81"/>
      <c r="AU111" s="81"/>
      <c r="AV111" s="81"/>
      <c r="AW111" s="81"/>
      <c r="AX111" s="81"/>
      <c r="AY111" s="81"/>
      <c r="AZ111" s="81"/>
      <c r="BA111" s="81"/>
      <c r="BB111" s="81"/>
      <c r="BC111" s="81"/>
      <c r="BD111" s="81"/>
      <c r="BE111" s="81"/>
      <c r="BF111" s="81"/>
      <c r="BG111" s="81"/>
      <c r="BH111" s="81"/>
    </row>
    <row r="112" spans="1:60" ht="16">
      <c r="A112" s="82"/>
      <c r="B112" s="82"/>
      <c r="C112" s="82"/>
      <c r="D112" s="83"/>
      <c r="E112" s="84"/>
      <c r="F112" s="140"/>
      <c r="G112" s="84"/>
      <c r="H112" s="82"/>
      <c r="I112" s="84"/>
      <c r="J112" s="84"/>
      <c r="K112" s="84"/>
      <c r="L112" s="84"/>
      <c r="M112" s="84"/>
      <c r="N112" s="84"/>
      <c r="O112" s="98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7"/>
      <c r="AA112" s="87"/>
      <c r="AB112" s="87"/>
      <c r="AC112" s="87"/>
      <c r="AD112" s="87"/>
      <c r="AE112" s="87"/>
      <c r="AF112" s="87"/>
      <c r="AG112" s="87"/>
      <c r="AH112" s="87"/>
      <c r="AI112" s="87"/>
      <c r="AJ112" s="87"/>
      <c r="AK112" s="81"/>
      <c r="AL112" s="81"/>
      <c r="AM112" s="81"/>
      <c r="AN112" s="81"/>
      <c r="AO112" s="81"/>
      <c r="AP112" s="81"/>
      <c r="AQ112" s="81"/>
      <c r="AR112" s="81"/>
      <c r="AS112" s="81"/>
      <c r="AT112" s="81"/>
      <c r="AU112" s="81"/>
      <c r="AV112" s="81"/>
      <c r="AW112" s="81"/>
      <c r="AX112" s="81"/>
      <c r="AY112" s="81"/>
      <c r="AZ112" s="81"/>
      <c r="BA112" s="81"/>
      <c r="BB112" s="81"/>
      <c r="BC112" s="81"/>
      <c r="BD112" s="81"/>
      <c r="BE112" s="81"/>
      <c r="BF112" s="81"/>
      <c r="BG112" s="81"/>
      <c r="BH112" s="81"/>
    </row>
    <row r="113" spans="1:60" ht="16">
      <c r="A113" s="82"/>
      <c r="B113" s="82"/>
      <c r="C113" s="82"/>
      <c r="D113" s="83"/>
      <c r="E113" s="84"/>
      <c r="F113" s="140"/>
      <c r="G113" s="84"/>
      <c r="H113" s="82"/>
      <c r="I113" s="84"/>
      <c r="J113" s="84"/>
      <c r="K113" s="84"/>
      <c r="L113" s="84"/>
      <c r="M113" s="84"/>
      <c r="N113" s="84"/>
      <c r="O113" s="98"/>
      <c r="P113" s="91"/>
      <c r="Q113" s="84"/>
      <c r="R113" s="84"/>
      <c r="S113" s="84"/>
      <c r="T113" s="84"/>
      <c r="U113" s="84"/>
      <c r="V113" s="84"/>
      <c r="W113" s="84"/>
      <c r="X113" s="84"/>
      <c r="Y113" s="84"/>
      <c r="Z113" s="87"/>
      <c r="AA113" s="87"/>
      <c r="AB113" s="87"/>
      <c r="AC113" s="87"/>
      <c r="AD113" s="87"/>
      <c r="AE113" s="87"/>
      <c r="AF113" s="87"/>
      <c r="AG113" s="87"/>
      <c r="AH113" s="87"/>
      <c r="AI113" s="87"/>
      <c r="AJ113" s="87"/>
      <c r="AK113" s="81"/>
      <c r="AL113" s="81"/>
      <c r="AM113" s="81"/>
      <c r="AN113" s="81"/>
      <c r="AO113" s="81"/>
      <c r="AP113" s="81"/>
      <c r="AQ113" s="81"/>
      <c r="AR113" s="81"/>
      <c r="AS113" s="81"/>
      <c r="AT113" s="81"/>
      <c r="AU113" s="81"/>
      <c r="AV113" s="81"/>
      <c r="AW113" s="81"/>
      <c r="AX113" s="81"/>
      <c r="AY113" s="81"/>
      <c r="AZ113" s="81"/>
      <c r="BA113" s="81"/>
      <c r="BB113" s="81"/>
      <c r="BC113" s="81"/>
      <c r="BD113" s="81"/>
      <c r="BE113" s="81"/>
      <c r="BF113" s="81"/>
      <c r="BG113" s="81"/>
      <c r="BH113" s="81"/>
    </row>
    <row r="114" spans="1:60" ht="16">
      <c r="A114" s="82"/>
      <c r="B114" s="82"/>
      <c r="C114" s="82"/>
      <c r="D114" s="83"/>
      <c r="E114" s="84"/>
      <c r="F114" s="140"/>
      <c r="G114" s="84"/>
      <c r="H114" s="82"/>
      <c r="I114" s="84"/>
      <c r="J114" s="89"/>
      <c r="K114" s="89"/>
      <c r="L114" s="89"/>
      <c r="M114" s="84"/>
      <c r="N114" s="84"/>
      <c r="O114" s="98"/>
      <c r="P114" s="91"/>
      <c r="Q114" s="84"/>
      <c r="R114" s="84"/>
      <c r="S114" s="84"/>
      <c r="T114" s="84"/>
      <c r="U114" s="84"/>
      <c r="V114" s="84"/>
      <c r="W114" s="84"/>
      <c r="X114" s="84"/>
      <c r="Y114" s="84"/>
      <c r="Z114" s="87"/>
      <c r="AA114" s="87"/>
      <c r="AB114" s="87"/>
      <c r="AC114" s="87"/>
      <c r="AD114" s="87"/>
      <c r="AE114" s="87"/>
      <c r="AF114" s="87"/>
      <c r="AG114" s="87"/>
      <c r="AH114" s="87"/>
      <c r="AI114" s="87"/>
      <c r="AJ114" s="87"/>
      <c r="AK114" s="81"/>
      <c r="AL114" s="81"/>
      <c r="AM114" s="81"/>
      <c r="AN114" s="81"/>
      <c r="AO114" s="81"/>
      <c r="AP114" s="81"/>
      <c r="AQ114" s="81"/>
      <c r="AR114" s="81"/>
      <c r="AS114" s="81"/>
      <c r="AT114" s="81"/>
      <c r="AU114" s="81"/>
      <c r="AV114" s="81"/>
      <c r="AW114" s="81"/>
      <c r="AX114" s="81"/>
      <c r="AY114" s="81"/>
      <c r="AZ114" s="81"/>
      <c r="BA114" s="81"/>
      <c r="BB114" s="81"/>
      <c r="BC114" s="81"/>
      <c r="BD114" s="81"/>
      <c r="BE114" s="81"/>
      <c r="BF114" s="81"/>
      <c r="BG114" s="81"/>
      <c r="BH114" s="81"/>
    </row>
    <row r="115" spans="1:60" ht="16">
      <c r="A115" s="82"/>
      <c r="B115" s="82"/>
      <c r="C115" s="82"/>
      <c r="D115" s="83"/>
      <c r="E115" s="84"/>
      <c r="F115" s="140"/>
      <c r="G115" s="84"/>
      <c r="H115" s="82"/>
      <c r="I115" s="141"/>
      <c r="J115" s="139"/>
      <c r="K115" s="139"/>
      <c r="L115" s="139"/>
      <c r="M115" s="84"/>
      <c r="N115" s="84"/>
      <c r="O115" s="98"/>
      <c r="P115" s="98"/>
      <c r="Q115" s="98"/>
      <c r="R115" s="98"/>
      <c r="S115" s="98"/>
      <c r="T115" s="98"/>
      <c r="U115" s="98"/>
      <c r="V115" s="91"/>
      <c r="W115" s="98"/>
      <c r="X115" s="91"/>
      <c r="Y115" s="98"/>
      <c r="Z115" s="87"/>
      <c r="AA115" s="87"/>
      <c r="AB115" s="87"/>
      <c r="AC115" s="87"/>
      <c r="AD115" s="87"/>
      <c r="AE115" s="87"/>
      <c r="AF115" s="87"/>
      <c r="AG115" s="87"/>
      <c r="AH115" s="87"/>
      <c r="AI115" s="87"/>
      <c r="AJ115" s="87"/>
      <c r="AK115" s="81"/>
      <c r="AL115" s="81"/>
      <c r="AM115" s="81"/>
      <c r="AN115" s="81"/>
      <c r="AO115" s="81"/>
      <c r="AP115" s="81"/>
      <c r="AQ115" s="81"/>
      <c r="AR115" s="81"/>
      <c r="AS115" s="81"/>
      <c r="AT115" s="81"/>
      <c r="AU115" s="81"/>
      <c r="AV115" s="81"/>
      <c r="AW115" s="81"/>
      <c r="AX115" s="81"/>
      <c r="AY115" s="81"/>
      <c r="AZ115" s="81"/>
      <c r="BA115" s="81"/>
      <c r="BB115" s="81"/>
      <c r="BC115" s="81"/>
      <c r="BD115" s="81"/>
      <c r="BE115" s="81"/>
      <c r="BF115" s="81"/>
      <c r="BG115" s="81"/>
      <c r="BH115" s="81"/>
    </row>
    <row r="116" spans="1:60" ht="16">
      <c r="A116" s="82"/>
      <c r="B116" s="82"/>
      <c r="C116" s="82"/>
      <c r="D116" s="83"/>
      <c r="E116" s="84"/>
      <c r="F116" s="140"/>
      <c r="G116" s="84"/>
      <c r="H116" s="82"/>
      <c r="I116" s="84"/>
      <c r="J116" s="139"/>
      <c r="K116" s="139"/>
      <c r="L116" s="139"/>
      <c r="M116" s="84"/>
      <c r="N116" s="84"/>
      <c r="O116" s="98"/>
      <c r="P116" s="91"/>
      <c r="Q116" s="98"/>
      <c r="R116" s="91"/>
      <c r="S116" s="98"/>
      <c r="T116" s="98"/>
      <c r="U116" s="84"/>
      <c r="V116" s="84"/>
      <c r="W116" s="84"/>
      <c r="X116" s="84"/>
      <c r="Y116" s="84"/>
      <c r="Z116" s="87"/>
      <c r="AA116" s="87"/>
      <c r="AB116" s="87"/>
      <c r="AC116" s="87"/>
      <c r="AD116" s="87"/>
      <c r="AE116" s="87"/>
      <c r="AF116" s="87"/>
      <c r="AG116" s="87"/>
      <c r="AH116" s="87"/>
      <c r="AI116" s="87"/>
      <c r="AJ116" s="87"/>
      <c r="AK116" s="81"/>
      <c r="AL116" s="81"/>
      <c r="AM116" s="81"/>
      <c r="AN116" s="81"/>
      <c r="AO116" s="81"/>
      <c r="AP116" s="81"/>
      <c r="AQ116" s="81"/>
      <c r="AR116" s="81"/>
      <c r="AS116" s="81"/>
      <c r="AT116" s="81"/>
      <c r="AU116" s="81"/>
      <c r="AV116" s="81"/>
      <c r="AW116" s="81"/>
      <c r="AX116" s="81"/>
      <c r="AY116" s="81"/>
      <c r="AZ116" s="81"/>
      <c r="BA116" s="81"/>
      <c r="BB116" s="81"/>
      <c r="BC116" s="81"/>
      <c r="BD116" s="81"/>
      <c r="BE116" s="81"/>
      <c r="BF116" s="81"/>
      <c r="BG116" s="81"/>
      <c r="BH116" s="81"/>
    </row>
    <row r="117" spans="1:60" ht="16">
      <c r="A117" s="82"/>
      <c r="B117" s="82"/>
      <c r="C117" s="82"/>
      <c r="D117" s="83"/>
      <c r="E117" s="84"/>
      <c r="F117" s="140"/>
      <c r="G117" s="84"/>
      <c r="H117" s="82"/>
      <c r="I117" s="84"/>
      <c r="J117" s="139"/>
      <c r="K117" s="139"/>
      <c r="L117" s="139"/>
      <c r="M117" s="98"/>
      <c r="N117" s="98"/>
      <c r="O117" s="98"/>
      <c r="P117" s="98"/>
      <c r="Q117" s="98"/>
      <c r="R117" s="98"/>
      <c r="S117" s="84"/>
      <c r="T117" s="84"/>
      <c r="U117" s="84"/>
      <c r="V117" s="84"/>
      <c r="W117" s="84"/>
      <c r="X117" s="84"/>
      <c r="Y117" s="84"/>
      <c r="Z117" s="87"/>
      <c r="AA117" s="87"/>
      <c r="AB117" s="87"/>
      <c r="AC117" s="87"/>
      <c r="AD117" s="87"/>
      <c r="AE117" s="87"/>
      <c r="AF117" s="87"/>
      <c r="AG117" s="87"/>
      <c r="AH117" s="87"/>
      <c r="AI117" s="87"/>
      <c r="AJ117" s="87"/>
      <c r="AK117" s="81"/>
      <c r="AL117" s="81"/>
      <c r="AM117" s="81"/>
      <c r="AN117" s="81"/>
      <c r="AO117" s="81"/>
      <c r="AP117" s="81"/>
      <c r="AQ117" s="81"/>
      <c r="AR117" s="81"/>
      <c r="AS117" s="81"/>
      <c r="AT117" s="81"/>
      <c r="AU117" s="81"/>
      <c r="AV117" s="81"/>
      <c r="AW117" s="81"/>
      <c r="AX117" s="81"/>
      <c r="AY117" s="81"/>
      <c r="AZ117" s="81"/>
      <c r="BA117" s="81"/>
      <c r="BB117" s="81"/>
      <c r="BC117" s="81"/>
      <c r="BD117" s="81"/>
      <c r="BE117" s="81"/>
      <c r="BF117" s="81"/>
      <c r="BG117" s="81"/>
      <c r="BH117" s="81"/>
    </row>
    <row r="118" spans="1:60" ht="16">
      <c r="A118" s="82"/>
      <c r="B118" s="82"/>
      <c r="C118" s="82"/>
      <c r="D118" s="83"/>
      <c r="E118" s="89"/>
      <c r="F118" s="140"/>
      <c r="G118" s="84"/>
      <c r="H118" s="82"/>
      <c r="I118" s="84"/>
      <c r="J118" s="89"/>
      <c r="K118" s="84"/>
      <c r="L118" s="89"/>
      <c r="M118" s="98"/>
      <c r="N118" s="98"/>
      <c r="O118" s="84"/>
      <c r="P118" s="98"/>
      <c r="Q118" s="98"/>
      <c r="R118" s="91"/>
      <c r="S118" s="84"/>
      <c r="T118" s="84"/>
      <c r="U118" s="84"/>
      <c r="V118" s="84"/>
      <c r="W118" s="84"/>
      <c r="X118" s="84"/>
      <c r="Y118" s="84"/>
      <c r="Z118" s="87"/>
      <c r="AA118" s="87"/>
      <c r="AB118" s="87"/>
      <c r="AC118" s="87"/>
      <c r="AD118" s="87"/>
      <c r="AE118" s="87"/>
      <c r="AF118" s="87"/>
      <c r="AG118" s="87"/>
      <c r="AH118" s="87"/>
      <c r="AI118" s="87"/>
      <c r="AJ118" s="87"/>
      <c r="AK118" s="81"/>
      <c r="AL118" s="81"/>
      <c r="AM118" s="81"/>
      <c r="AN118" s="81"/>
      <c r="AO118" s="81"/>
      <c r="AP118" s="81"/>
      <c r="AQ118" s="81"/>
      <c r="AR118" s="81"/>
      <c r="AS118" s="81"/>
      <c r="AT118" s="81"/>
      <c r="AU118" s="81"/>
      <c r="AV118" s="81"/>
      <c r="AW118" s="81"/>
      <c r="AX118" s="81"/>
      <c r="AY118" s="81"/>
      <c r="AZ118" s="81"/>
      <c r="BA118" s="81"/>
      <c r="BB118" s="81"/>
      <c r="BC118" s="81"/>
      <c r="BD118" s="81"/>
      <c r="BE118" s="81"/>
      <c r="BF118" s="81"/>
      <c r="BG118" s="81"/>
      <c r="BH118" s="81"/>
    </row>
    <row r="119" spans="1:60" ht="16">
      <c r="A119" s="82"/>
      <c r="B119" s="82"/>
      <c r="C119" s="82"/>
      <c r="D119" s="83"/>
      <c r="E119" s="98"/>
      <c r="F119" s="140"/>
      <c r="G119" s="84"/>
      <c r="H119" s="82"/>
      <c r="I119" s="98"/>
      <c r="J119" s="98"/>
      <c r="K119" s="84"/>
      <c r="L119" s="98"/>
      <c r="M119" s="84"/>
      <c r="N119" s="84"/>
      <c r="O119" s="84"/>
      <c r="P119" s="84"/>
      <c r="Q119" s="84"/>
      <c r="R119" s="84"/>
      <c r="S119" s="91"/>
      <c r="T119" s="91"/>
      <c r="U119" s="84"/>
      <c r="V119" s="91"/>
      <c r="W119" s="84"/>
      <c r="X119" s="84"/>
      <c r="Y119" s="84"/>
      <c r="Z119" s="87"/>
      <c r="AA119" s="87"/>
      <c r="AB119" s="87"/>
      <c r="AC119" s="87"/>
      <c r="AD119" s="87"/>
      <c r="AE119" s="87"/>
      <c r="AF119" s="87"/>
      <c r="AG119" s="87"/>
      <c r="AH119" s="87"/>
      <c r="AI119" s="87"/>
      <c r="AJ119" s="87"/>
      <c r="AK119" s="81"/>
      <c r="AL119" s="81"/>
      <c r="AM119" s="81"/>
      <c r="AN119" s="81"/>
      <c r="AO119" s="81"/>
      <c r="AP119" s="81"/>
      <c r="AQ119" s="81"/>
      <c r="AR119" s="81"/>
      <c r="AS119" s="81"/>
      <c r="AT119" s="81"/>
      <c r="AU119" s="81"/>
      <c r="AV119" s="81"/>
      <c r="AW119" s="81"/>
      <c r="AX119" s="81"/>
      <c r="AY119" s="81"/>
      <c r="AZ119" s="81"/>
      <c r="BA119" s="81"/>
      <c r="BB119" s="81"/>
      <c r="BC119" s="81"/>
      <c r="BD119" s="81"/>
      <c r="BE119" s="81"/>
      <c r="BF119" s="81"/>
      <c r="BG119" s="81"/>
      <c r="BH119" s="81"/>
    </row>
    <row r="120" spans="1:60" ht="16">
      <c r="A120" s="82"/>
      <c r="B120" s="82"/>
      <c r="C120" s="82"/>
      <c r="D120" s="83"/>
      <c r="E120" s="139"/>
      <c r="F120" s="140"/>
      <c r="G120" s="84"/>
      <c r="H120" s="82"/>
      <c r="I120" s="98"/>
      <c r="J120" s="139"/>
      <c r="K120" s="139"/>
      <c r="L120" s="139"/>
      <c r="M120" s="98"/>
      <c r="N120" s="98"/>
      <c r="O120" s="84"/>
      <c r="P120" s="91"/>
      <c r="Q120" s="84"/>
      <c r="R120" s="84"/>
      <c r="S120" s="84"/>
      <c r="T120" s="84"/>
      <c r="U120" s="84"/>
      <c r="V120" s="84"/>
      <c r="W120" s="84"/>
      <c r="X120" s="84"/>
      <c r="Y120" s="84"/>
      <c r="Z120" s="87"/>
      <c r="AA120" s="87"/>
      <c r="AB120" s="87"/>
      <c r="AC120" s="87"/>
      <c r="AD120" s="87"/>
      <c r="AE120" s="87"/>
      <c r="AF120" s="87"/>
      <c r="AG120" s="87"/>
      <c r="AH120" s="87"/>
      <c r="AI120" s="87"/>
      <c r="AJ120" s="81"/>
      <c r="AK120" s="81"/>
      <c r="AL120" s="81"/>
      <c r="AM120" s="81"/>
      <c r="AN120" s="81"/>
      <c r="AO120" s="98"/>
      <c r="AP120" s="98"/>
      <c r="AQ120" s="98"/>
      <c r="AR120" s="98"/>
      <c r="AS120" s="98"/>
      <c r="AT120" s="98"/>
      <c r="AU120" s="98"/>
      <c r="AV120" s="98"/>
      <c r="AW120" s="98"/>
      <c r="AX120" s="98"/>
      <c r="AY120" s="98"/>
      <c r="AZ120" s="98"/>
      <c r="BA120" s="98"/>
      <c r="BB120" s="98"/>
      <c r="BC120" s="98"/>
      <c r="BD120" s="98"/>
      <c r="BE120" s="98"/>
      <c r="BF120" s="98"/>
      <c r="BG120" s="98"/>
      <c r="BH120" s="98"/>
    </row>
    <row r="121" spans="1:60" ht="16">
      <c r="A121" s="82"/>
      <c r="B121" s="82"/>
      <c r="C121" s="82"/>
      <c r="D121" s="83"/>
      <c r="E121" s="84"/>
      <c r="F121" s="140"/>
      <c r="G121" s="84"/>
      <c r="H121" s="82"/>
      <c r="I121" s="84"/>
      <c r="J121" s="84"/>
      <c r="K121" s="84"/>
      <c r="L121" s="84"/>
      <c r="M121" s="84"/>
      <c r="N121" s="84"/>
      <c r="O121" s="98"/>
      <c r="P121" s="98"/>
      <c r="Q121" s="91"/>
      <c r="R121" s="91"/>
      <c r="S121" s="84"/>
      <c r="T121" s="91"/>
      <c r="U121" s="84"/>
      <c r="V121" s="84"/>
      <c r="W121" s="84"/>
      <c r="X121" s="84"/>
      <c r="Y121" s="84"/>
      <c r="Z121" s="87"/>
      <c r="AA121" s="87"/>
      <c r="AB121" s="87"/>
      <c r="AC121" s="87"/>
      <c r="AD121" s="87"/>
      <c r="AE121" s="87"/>
      <c r="AF121" s="81"/>
      <c r="AG121" s="81"/>
      <c r="AH121" s="81"/>
      <c r="AI121" s="81"/>
      <c r="AJ121" s="81"/>
      <c r="AK121" s="98"/>
      <c r="AL121" s="98"/>
      <c r="AM121" s="98"/>
      <c r="AN121" s="98"/>
      <c r="AO121" s="98"/>
      <c r="AP121" s="98"/>
      <c r="AQ121" s="98"/>
      <c r="AR121" s="98"/>
      <c r="AS121" s="98"/>
      <c r="AT121" s="98"/>
      <c r="AU121" s="98"/>
      <c r="AV121" s="98"/>
      <c r="AW121" s="98"/>
      <c r="AX121" s="98"/>
      <c r="AY121" s="98"/>
      <c r="AZ121" s="98"/>
      <c r="BA121" s="98"/>
      <c r="BB121" s="98"/>
      <c r="BC121" s="98"/>
      <c r="BD121" s="98"/>
      <c r="BE121" s="98"/>
      <c r="BF121" s="98"/>
      <c r="BG121" s="98"/>
      <c r="BH121" s="98"/>
    </row>
    <row r="122" spans="1:60" ht="16">
      <c r="A122" s="82"/>
      <c r="B122" s="82"/>
      <c r="C122" s="82"/>
      <c r="D122" s="83"/>
      <c r="E122" s="84"/>
      <c r="F122" s="140"/>
      <c r="G122" s="84"/>
      <c r="H122" s="82"/>
      <c r="I122" s="84"/>
      <c r="J122" s="139"/>
      <c r="K122" s="139"/>
      <c r="L122" s="139"/>
      <c r="M122" s="84"/>
      <c r="N122" s="84"/>
      <c r="O122" s="98"/>
      <c r="P122" s="98"/>
      <c r="Q122" s="98"/>
      <c r="R122" s="98"/>
      <c r="S122" s="91"/>
      <c r="T122" s="91"/>
      <c r="U122" s="84"/>
      <c r="V122" s="84"/>
      <c r="W122" s="84"/>
      <c r="X122" s="84"/>
      <c r="Y122" s="84"/>
      <c r="Z122" s="87"/>
      <c r="AA122" s="87"/>
      <c r="AB122" s="87"/>
      <c r="AC122" s="87"/>
      <c r="AD122" s="87"/>
      <c r="AE122" s="87"/>
      <c r="AF122" s="87"/>
      <c r="AG122" s="87"/>
      <c r="AH122" s="87"/>
      <c r="AI122" s="87"/>
      <c r="AJ122" s="87"/>
      <c r="AK122" s="81"/>
      <c r="AL122" s="81"/>
      <c r="AM122" s="81"/>
      <c r="AN122" s="81"/>
      <c r="AO122" s="81"/>
      <c r="AP122" s="81"/>
      <c r="AQ122" s="81"/>
      <c r="AR122" s="81"/>
      <c r="AS122" s="81"/>
      <c r="AT122" s="81"/>
      <c r="AU122" s="81"/>
      <c r="AV122" s="81"/>
      <c r="AW122" s="81"/>
      <c r="AX122" s="81"/>
      <c r="AY122" s="81"/>
      <c r="AZ122" s="81"/>
      <c r="BA122" s="81"/>
      <c r="BB122" s="81"/>
      <c r="BC122" s="81"/>
      <c r="BD122" s="81"/>
      <c r="BE122" s="81"/>
      <c r="BF122" s="81"/>
      <c r="BG122" s="81"/>
      <c r="BH122" s="81"/>
    </row>
    <row r="123" spans="1:60" ht="16">
      <c r="A123" s="82"/>
      <c r="B123" s="82"/>
      <c r="C123" s="82"/>
      <c r="D123" s="83"/>
      <c r="E123" s="84"/>
      <c r="F123" s="140"/>
      <c r="G123" s="89"/>
      <c r="H123" s="82"/>
      <c r="I123" s="89"/>
      <c r="J123" s="89"/>
      <c r="K123" s="89"/>
      <c r="L123" s="89"/>
      <c r="M123" s="89"/>
      <c r="N123" s="84"/>
      <c r="O123" s="84"/>
      <c r="P123" s="93"/>
      <c r="Q123" s="89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79"/>
      <c r="AL123" s="79"/>
      <c r="AM123" s="79"/>
      <c r="AN123" s="79"/>
      <c r="AO123" s="79"/>
      <c r="AP123" s="79"/>
      <c r="AQ123" s="79"/>
      <c r="AR123" s="79"/>
      <c r="AS123" s="79"/>
      <c r="AT123" s="79"/>
      <c r="AU123" s="79"/>
      <c r="AV123" s="79"/>
      <c r="AW123" s="79"/>
      <c r="AX123" s="79"/>
      <c r="AY123" s="79"/>
      <c r="AZ123" s="79"/>
      <c r="BA123" s="79"/>
      <c r="BB123" s="79"/>
      <c r="BC123" s="79"/>
      <c r="BD123" s="79"/>
      <c r="BE123" s="79"/>
      <c r="BF123" s="79"/>
      <c r="BG123" s="79"/>
      <c r="BH123" s="79"/>
    </row>
    <row r="124" spans="1:60" ht="16">
      <c r="A124" s="82"/>
      <c r="B124" s="82"/>
      <c r="C124" s="82"/>
      <c r="D124" s="83"/>
      <c r="E124" s="84"/>
      <c r="F124" s="140"/>
      <c r="G124" s="91"/>
      <c r="H124" s="82"/>
      <c r="I124" s="84"/>
      <c r="J124" s="84"/>
      <c r="K124" s="84"/>
      <c r="L124" s="84"/>
      <c r="M124" s="84"/>
      <c r="N124" s="84"/>
      <c r="O124" s="84"/>
      <c r="P124" s="91"/>
      <c r="Q124" s="84"/>
      <c r="R124" s="84"/>
      <c r="S124" s="84"/>
      <c r="T124" s="84"/>
      <c r="U124" s="84"/>
      <c r="V124" s="84"/>
      <c r="W124" s="84"/>
      <c r="X124" s="84"/>
      <c r="Y124" s="84"/>
      <c r="Z124" s="87"/>
      <c r="AA124" s="87"/>
      <c r="AB124" s="87"/>
      <c r="AC124" s="87"/>
      <c r="AD124" s="87"/>
      <c r="AE124" s="87"/>
      <c r="AF124" s="87"/>
      <c r="AG124" s="87"/>
      <c r="AH124" s="87"/>
      <c r="AI124" s="87"/>
      <c r="AJ124" s="87"/>
      <c r="AK124" s="87"/>
      <c r="AL124" s="81"/>
      <c r="AM124" s="81"/>
      <c r="AN124" s="81"/>
      <c r="AO124" s="81"/>
      <c r="AP124" s="81"/>
      <c r="AQ124" s="81"/>
      <c r="AR124" s="81"/>
      <c r="AS124" s="81"/>
      <c r="AT124" s="81"/>
      <c r="AU124" s="81"/>
      <c r="AV124" s="81"/>
      <c r="AW124" s="81"/>
      <c r="AX124" s="81"/>
      <c r="AY124" s="81"/>
      <c r="AZ124" s="81"/>
      <c r="BA124" s="81"/>
      <c r="BB124" s="81"/>
      <c r="BC124" s="81"/>
      <c r="BD124" s="81"/>
      <c r="BE124" s="81"/>
      <c r="BF124" s="81"/>
      <c r="BG124" s="81"/>
      <c r="BH124" s="81"/>
    </row>
    <row r="125" spans="1:60" ht="16">
      <c r="A125" s="82"/>
      <c r="B125" s="82"/>
      <c r="C125" s="82"/>
      <c r="D125" s="83"/>
      <c r="E125" s="84"/>
      <c r="F125" s="140"/>
      <c r="G125" s="84"/>
      <c r="H125" s="82"/>
      <c r="I125" s="141"/>
      <c r="J125" s="139"/>
      <c r="K125" s="139"/>
      <c r="L125" s="139"/>
      <c r="M125" s="84"/>
      <c r="N125" s="84"/>
      <c r="O125" s="98"/>
      <c r="P125" s="91"/>
      <c r="Q125" s="98"/>
      <c r="R125" s="98"/>
      <c r="S125" s="98"/>
      <c r="T125" s="98"/>
      <c r="U125" s="98"/>
      <c r="V125" s="98"/>
      <c r="W125" s="84"/>
      <c r="X125" s="84"/>
      <c r="Y125" s="84"/>
      <c r="Z125" s="87"/>
      <c r="AA125" s="87"/>
      <c r="AB125" s="87"/>
      <c r="AC125" s="87"/>
      <c r="AD125" s="87"/>
      <c r="AE125" s="87"/>
      <c r="AF125" s="87"/>
      <c r="AG125" s="87"/>
      <c r="AH125" s="87"/>
      <c r="AI125" s="87"/>
      <c r="AJ125" s="87"/>
      <c r="AK125" s="81"/>
      <c r="AL125" s="81"/>
      <c r="AM125" s="81"/>
      <c r="AN125" s="81"/>
      <c r="AO125" s="81"/>
      <c r="AP125" s="81"/>
      <c r="AQ125" s="81"/>
      <c r="AR125" s="81"/>
      <c r="AS125" s="81"/>
      <c r="AT125" s="81"/>
      <c r="AU125" s="81"/>
      <c r="AV125" s="81"/>
      <c r="AW125" s="81"/>
      <c r="AX125" s="81"/>
      <c r="AY125" s="81"/>
      <c r="AZ125" s="81"/>
      <c r="BA125" s="81"/>
      <c r="BB125" s="81"/>
      <c r="BC125" s="81"/>
      <c r="BD125" s="81"/>
      <c r="BE125" s="81"/>
      <c r="BF125" s="81"/>
      <c r="BG125" s="81"/>
      <c r="BH125" s="81"/>
    </row>
    <row r="126" spans="1:60" ht="16">
      <c r="A126" s="82"/>
      <c r="B126" s="82"/>
      <c r="C126" s="82"/>
      <c r="D126" s="83"/>
      <c r="E126" s="89"/>
      <c r="F126" s="140"/>
      <c r="G126" s="84"/>
      <c r="H126" s="82"/>
      <c r="I126" s="84"/>
      <c r="J126" s="89"/>
      <c r="K126" s="84"/>
      <c r="L126" s="89"/>
      <c r="M126" s="98"/>
      <c r="N126" s="98"/>
      <c r="O126" s="98"/>
      <c r="P126" s="91"/>
      <c r="Q126" s="98"/>
      <c r="R126" s="98"/>
      <c r="S126" s="84"/>
      <c r="T126" s="84"/>
      <c r="U126" s="84"/>
      <c r="V126" s="84"/>
      <c r="W126" s="84"/>
      <c r="X126" s="84"/>
      <c r="Y126" s="84"/>
      <c r="Z126" s="87"/>
      <c r="AA126" s="87"/>
      <c r="AB126" s="87"/>
      <c r="AC126" s="87"/>
      <c r="AD126" s="87"/>
      <c r="AE126" s="87"/>
      <c r="AF126" s="87"/>
      <c r="AG126" s="87"/>
      <c r="AH126" s="87"/>
      <c r="AI126" s="87"/>
      <c r="AJ126" s="87"/>
      <c r="AK126" s="81"/>
      <c r="AL126" s="81"/>
      <c r="AM126" s="81"/>
      <c r="AN126" s="81"/>
      <c r="AO126" s="81"/>
      <c r="AP126" s="81"/>
      <c r="AQ126" s="81"/>
      <c r="AR126" s="81"/>
      <c r="AS126" s="81"/>
      <c r="AT126" s="81"/>
      <c r="AU126" s="81"/>
      <c r="AV126" s="81"/>
      <c r="AW126" s="81"/>
      <c r="AX126" s="81"/>
      <c r="AY126" s="81"/>
      <c r="AZ126" s="81"/>
      <c r="BA126" s="81"/>
      <c r="BB126" s="81"/>
      <c r="BC126" s="81"/>
      <c r="BD126" s="81"/>
      <c r="BE126" s="81"/>
      <c r="BF126" s="81"/>
      <c r="BG126" s="81"/>
      <c r="BH126" s="81"/>
    </row>
    <row r="127" spans="1:60" ht="16">
      <c r="A127" s="82"/>
      <c r="B127" s="82"/>
      <c r="C127" s="82"/>
      <c r="D127" s="83"/>
      <c r="E127" s="84"/>
      <c r="F127" s="140"/>
      <c r="G127" s="84"/>
      <c r="H127" s="82"/>
      <c r="I127" s="84"/>
      <c r="J127" s="89"/>
      <c r="K127" s="89"/>
      <c r="L127" s="89"/>
      <c r="M127" s="89"/>
      <c r="N127" s="98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7"/>
      <c r="AA127" s="87"/>
      <c r="AB127" s="87"/>
      <c r="AC127" s="87"/>
      <c r="AD127" s="87"/>
      <c r="AE127" s="87"/>
      <c r="AF127" s="87"/>
      <c r="AG127" s="87"/>
      <c r="AH127" s="87"/>
      <c r="AI127" s="87"/>
      <c r="AJ127" s="87"/>
      <c r="AK127" s="81"/>
      <c r="AL127" s="81"/>
      <c r="AM127" s="81"/>
      <c r="AN127" s="81"/>
      <c r="AO127" s="81"/>
      <c r="AP127" s="81"/>
      <c r="AQ127" s="81"/>
      <c r="AR127" s="81"/>
      <c r="AS127" s="81"/>
      <c r="AT127" s="81"/>
      <c r="AU127" s="81"/>
      <c r="AV127" s="81"/>
      <c r="AW127" s="81"/>
      <c r="AX127" s="81"/>
      <c r="AY127" s="81"/>
      <c r="AZ127" s="81"/>
      <c r="BA127" s="81"/>
      <c r="BB127" s="81"/>
      <c r="BC127" s="81"/>
      <c r="BD127" s="81"/>
      <c r="BE127" s="81"/>
      <c r="BF127" s="81"/>
      <c r="BG127" s="81"/>
      <c r="BH127" s="81"/>
    </row>
    <row r="128" spans="1:60" ht="16">
      <c r="A128" s="82"/>
      <c r="B128" s="82"/>
      <c r="C128" s="82"/>
      <c r="D128" s="83"/>
      <c r="E128" s="84"/>
      <c r="F128" s="140"/>
      <c r="G128" s="84"/>
      <c r="H128" s="82"/>
      <c r="I128" s="84"/>
      <c r="J128" s="84"/>
      <c r="K128" s="84"/>
      <c r="L128" s="84"/>
      <c r="M128" s="89"/>
      <c r="N128" s="98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7"/>
      <c r="AA128" s="87"/>
      <c r="AB128" s="87"/>
      <c r="AC128" s="87"/>
      <c r="AD128" s="87"/>
      <c r="AE128" s="87"/>
      <c r="AF128" s="87"/>
      <c r="AG128" s="87"/>
      <c r="AH128" s="87"/>
      <c r="AI128" s="87"/>
      <c r="AJ128" s="87"/>
      <c r="AK128" s="81"/>
      <c r="AL128" s="81"/>
      <c r="AM128" s="81"/>
      <c r="AN128" s="81"/>
      <c r="AO128" s="81"/>
      <c r="AP128" s="81"/>
      <c r="AQ128" s="81"/>
      <c r="AR128" s="81"/>
      <c r="AS128" s="81"/>
      <c r="AT128" s="81"/>
      <c r="AU128" s="81"/>
      <c r="AV128" s="81"/>
      <c r="AW128" s="81"/>
      <c r="AX128" s="81"/>
      <c r="AY128" s="81"/>
      <c r="AZ128" s="81"/>
      <c r="BA128" s="81"/>
      <c r="BB128" s="81"/>
      <c r="BC128" s="81"/>
      <c r="BD128" s="81"/>
      <c r="BE128" s="81"/>
      <c r="BF128" s="81"/>
      <c r="BG128" s="81"/>
      <c r="BH128" s="81"/>
    </row>
    <row r="129" spans="1:60" ht="16">
      <c r="A129" s="82"/>
      <c r="B129" s="82"/>
      <c r="C129" s="82"/>
      <c r="D129" s="83"/>
      <c r="E129" s="84"/>
      <c r="F129" s="140"/>
      <c r="G129" s="84"/>
      <c r="H129" s="82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7"/>
      <c r="AA129" s="87"/>
      <c r="AB129" s="87"/>
      <c r="AC129" s="87"/>
      <c r="AD129" s="87"/>
      <c r="AE129" s="87"/>
      <c r="AF129" s="87"/>
      <c r="AG129" s="87"/>
      <c r="AH129" s="87"/>
      <c r="AI129" s="87"/>
      <c r="AJ129" s="87"/>
      <c r="AK129" s="87"/>
      <c r="AL129" s="87"/>
      <c r="AM129" s="81"/>
      <c r="AN129" s="81"/>
      <c r="AO129" s="81"/>
      <c r="AP129" s="81"/>
      <c r="AQ129" s="81"/>
      <c r="AR129" s="81"/>
      <c r="AS129" s="81"/>
      <c r="AT129" s="81"/>
      <c r="AU129" s="81"/>
      <c r="AV129" s="81"/>
      <c r="AW129" s="81"/>
      <c r="AX129" s="81"/>
      <c r="AY129" s="81"/>
      <c r="AZ129" s="81"/>
      <c r="BA129" s="81"/>
      <c r="BB129" s="81"/>
      <c r="BC129" s="81"/>
      <c r="BD129" s="81"/>
      <c r="BE129" s="81"/>
      <c r="BF129" s="81"/>
      <c r="BG129" s="81"/>
      <c r="BH129" s="81"/>
    </row>
    <row r="130" spans="1:60" ht="16">
      <c r="A130" s="82"/>
      <c r="B130" s="82"/>
      <c r="C130" s="82"/>
      <c r="D130" s="83"/>
      <c r="E130" s="84"/>
      <c r="F130" s="140"/>
      <c r="G130" s="84"/>
      <c r="H130" s="82"/>
      <c r="I130" s="89"/>
      <c r="J130" s="89"/>
      <c r="K130" s="89"/>
      <c r="L130" s="89"/>
      <c r="M130" s="89"/>
      <c r="N130" s="89"/>
      <c r="O130" s="84"/>
      <c r="P130" s="139"/>
      <c r="Q130" s="139"/>
      <c r="R130" s="139"/>
      <c r="S130" s="139"/>
      <c r="T130" s="139"/>
      <c r="U130" s="139"/>
      <c r="V130" s="139"/>
      <c r="W130" s="139"/>
      <c r="X130" s="139"/>
      <c r="Y130" s="139"/>
      <c r="Z130" s="87"/>
      <c r="AA130" s="87"/>
      <c r="AB130" s="87"/>
      <c r="AC130" s="87"/>
      <c r="AD130" s="87"/>
      <c r="AE130" s="87"/>
      <c r="AF130" s="87"/>
      <c r="AG130" s="87"/>
      <c r="AH130" s="87"/>
      <c r="AI130" s="87"/>
      <c r="AJ130" s="87"/>
      <c r="AK130" s="81"/>
      <c r="AL130" s="81"/>
      <c r="AM130" s="81"/>
      <c r="AN130" s="81"/>
      <c r="AO130" s="81"/>
      <c r="AP130" s="81"/>
      <c r="AQ130" s="81"/>
      <c r="AR130" s="81"/>
      <c r="AS130" s="81"/>
      <c r="AT130" s="81"/>
      <c r="AU130" s="81"/>
      <c r="AV130" s="81"/>
      <c r="AW130" s="81"/>
      <c r="AX130" s="81"/>
      <c r="AY130" s="81"/>
      <c r="AZ130" s="81"/>
      <c r="BA130" s="81"/>
      <c r="BB130" s="81"/>
      <c r="BC130" s="81"/>
      <c r="BD130" s="81"/>
      <c r="BE130" s="81"/>
      <c r="BF130" s="81"/>
      <c r="BG130" s="81"/>
      <c r="BH130" s="81"/>
    </row>
    <row r="131" spans="1:60" ht="16">
      <c r="A131" s="82"/>
      <c r="B131" s="82"/>
      <c r="C131" s="82"/>
      <c r="D131" s="83"/>
      <c r="E131" s="84"/>
      <c r="F131" s="140"/>
      <c r="G131" s="84"/>
      <c r="H131" s="82"/>
      <c r="I131" s="84"/>
      <c r="J131" s="84"/>
      <c r="K131" s="84"/>
      <c r="L131" s="84"/>
      <c r="M131" s="84"/>
      <c r="N131" s="84"/>
      <c r="O131" s="142"/>
      <c r="P131" s="143"/>
      <c r="Q131" s="344"/>
      <c r="R131" s="345"/>
      <c r="S131" s="345"/>
      <c r="T131" s="84"/>
      <c r="U131" s="84"/>
      <c r="V131" s="84"/>
      <c r="W131" s="84"/>
      <c r="X131" s="84"/>
      <c r="Y131" s="84"/>
      <c r="Z131" s="87"/>
      <c r="AA131" s="87"/>
      <c r="AB131" s="87"/>
      <c r="AC131" s="87"/>
      <c r="AD131" s="87"/>
      <c r="AE131" s="87"/>
      <c r="AF131" s="87"/>
      <c r="AG131" s="87"/>
      <c r="AH131" s="87"/>
      <c r="AI131" s="87"/>
      <c r="AJ131" s="87"/>
      <c r="AK131" s="81"/>
      <c r="AL131" s="81"/>
      <c r="AM131" s="81"/>
      <c r="AN131" s="81"/>
      <c r="AO131" s="81"/>
      <c r="AP131" s="81"/>
      <c r="AQ131" s="81"/>
      <c r="AR131" s="81"/>
      <c r="AS131" s="81"/>
      <c r="AT131" s="81"/>
      <c r="AU131" s="81"/>
      <c r="AV131" s="81"/>
      <c r="AW131" s="81"/>
      <c r="AX131" s="81"/>
      <c r="AY131" s="81"/>
      <c r="AZ131" s="81"/>
      <c r="BA131" s="81"/>
      <c r="BB131" s="81"/>
      <c r="BC131" s="81"/>
      <c r="BD131" s="81"/>
      <c r="BE131" s="81"/>
      <c r="BF131" s="81"/>
      <c r="BG131" s="81"/>
      <c r="BH131" s="81"/>
    </row>
    <row r="132" spans="1:60" ht="16">
      <c r="A132" s="82"/>
      <c r="B132" s="82"/>
      <c r="C132" s="82"/>
      <c r="D132" s="83"/>
      <c r="E132" s="84"/>
      <c r="F132" s="140"/>
      <c r="G132" s="84"/>
      <c r="H132" s="82"/>
      <c r="I132" s="84"/>
      <c r="J132" s="84"/>
      <c r="K132" s="84"/>
      <c r="L132" s="84"/>
      <c r="M132" s="84"/>
      <c r="N132" s="84"/>
      <c r="O132" s="125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7"/>
      <c r="AA132" s="87"/>
      <c r="AB132" s="87"/>
      <c r="AC132" s="87"/>
      <c r="AD132" s="87"/>
      <c r="AE132" s="87"/>
      <c r="AF132" s="87"/>
      <c r="AG132" s="87"/>
      <c r="AH132" s="87"/>
      <c r="AI132" s="87"/>
      <c r="AJ132" s="87"/>
      <c r="AK132" s="81"/>
      <c r="AL132" s="81"/>
      <c r="AM132" s="81"/>
      <c r="AN132" s="81"/>
      <c r="AO132" s="81"/>
      <c r="AP132" s="81"/>
      <c r="AQ132" s="81"/>
      <c r="AR132" s="81"/>
      <c r="AS132" s="81"/>
      <c r="AT132" s="81"/>
      <c r="AU132" s="81"/>
      <c r="AV132" s="81"/>
      <c r="AW132" s="81"/>
      <c r="AX132" s="81"/>
      <c r="AY132" s="81"/>
      <c r="AZ132" s="81"/>
      <c r="BA132" s="81"/>
      <c r="BB132" s="81"/>
      <c r="BC132" s="81"/>
      <c r="BD132" s="81"/>
      <c r="BE132" s="81"/>
      <c r="BF132" s="81"/>
      <c r="BG132" s="81"/>
      <c r="BH132" s="81"/>
    </row>
    <row r="133" spans="1:60" ht="16">
      <c r="A133" s="82"/>
      <c r="B133" s="82"/>
      <c r="C133" s="82"/>
      <c r="D133" s="83"/>
      <c r="E133" s="84"/>
      <c r="F133" s="140"/>
      <c r="G133" s="91"/>
      <c r="H133" s="82"/>
      <c r="I133" s="84"/>
      <c r="J133" s="84"/>
      <c r="K133" s="84"/>
      <c r="L133" s="84"/>
      <c r="M133" s="84"/>
      <c r="N133" s="84"/>
      <c r="O133" s="91"/>
      <c r="P133" s="91"/>
      <c r="Q133" s="91"/>
      <c r="R133" s="84"/>
      <c r="S133" s="84"/>
      <c r="T133" s="84"/>
      <c r="U133" s="84"/>
      <c r="V133" s="84"/>
      <c r="W133" s="84"/>
      <c r="X133" s="84"/>
      <c r="Y133" s="84"/>
      <c r="Z133" s="87"/>
      <c r="AA133" s="87"/>
      <c r="AB133" s="87"/>
      <c r="AC133" s="87"/>
      <c r="AD133" s="87"/>
      <c r="AE133" s="87"/>
      <c r="AF133" s="87"/>
      <c r="AG133" s="87"/>
      <c r="AH133" s="87"/>
      <c r="AI133" s="87"/>
      <c r="AJ133" s="87"/>
      <c r="AK133" s="87"/>
      <c r="AL133" s="87"/>
      <c r="AM133" s="81"/>
      <c r="AN133" s="81"/>
      <c r="AO133" s="81"/>
      <c r="AP133" s="81"/>
      <c r="AQ133" s="81"/>
      <c r="AR133" s="81"/>
      <c r="AS133" s="81"/>
      <c r="AT133" s="81"/>
      <c r="AU133" s="81"/>
      <c r="AV133" s="81"/>
      <c r="AW133" s="81"/>
      <c r="AX133" s="81"/>
      <c r="AY133" s="81"/>
      <c r="AZ133" s="81"/>
      <c r="BA133" s="81"/>
      <c r="BB133" s="81"/>
      <c r="BC133" s="81"/>
      <c r="BD133" s="81"/>
      <c r="BE133" s="81"/>
      <c r="BF133" s="81"/>
      <c r="BG133" s="81"/>
      <c r="BH133" s="81"/>
    </row>
    <row r="134" spans="1:60" ht="16">
      <c r="A134" s="82"/>
      <c r="B134" s="82"/>
      <c r="C134" s="82"/>
      <c r="D134" s="83"/>
      <c r="E134" s="84"/>
      <c r="F134" s="140"/>
      <c r="G134" s="84"/>
      <c r="H134" s="82"/>
      <c r="I134" s="84"/>
      <c r="J134" s="84"/>
      <c r="K134" s="84"/>
      <c r="L134" s="84"/>
      <c r="M134" s="84"/>
      <c r="N134" s="84"/>
      <c r="O134" s="144"/>
      <c r="P134" s="98"/>
      <c r="Q134" s="91"/>
      <c r="R134" s="91"/>
      <c r="S134" s="84"/>
      <c r="T134" s="91"/>
      <c r="U134" s="84"/>
      <c r="V134" s="84"/>
      <c r="W134" s="84"/>
      <c r="X134" s="84"/>
      <c r="Y134" s="84"/>
      <c r="Z134" s="87"/>
      <c r="AA134" s="87"/>
      <c r="AB134" s="87"/>
      <c r="AC134" s="87"/>
      <c r="AD134" s="87"/>
      <c r="AE134" s="87"/>
      <c r="AF134" s="81"/>
      <c r="AG134" s="81"/>
      <c r="AH134" s="81"/>
      <c r="AI134" s="81"/>
      <c r="AJ134" s="81"/>
      <c r="AK134" s="98"/>
      <c r="AL134" s="98"/>
      <c r="AM134" s="98"/>
      <c r="AN134" s="98"/>
      <c r="AO134" s="98"/>
      <c r="AP134" s="98"/>
      <c r="AQ134" s="98"/>
      <c r="AR134" s="98"/>
      <c r="AS134" s="98"/>
      <c r="AT134" s="98"/>
      <c r="AU134" s="98"/>
      <c r="AV134" s="98"/>
      <c r="AW134" s="98"/>
      <c r="AX134" s="98"/>
      <c r="AY134" s="98"/>
      <c r="AZ134" s="98"/>
      <c r="BA134" s="98"/>
      <c r="BB134" s="98"/>
      <c r="BC134" s="98"/>
      <c r="BD134" s="98"/>
      <c r="BE134" s="98"/>
      <c r="BF134" s="98"/>
      <c r="BG134" s="98"/>
      <c r="BH134" s="98"/>
    </row>
    <row r="135" spans="1:60" ht="16">
      <c r="A135" s="82"/>
      <c r="B135" s="82"/>
      <c r="C135" s="82"/>
      <c r="D135" s="83"/>
      <c r="E135" s="84"/>
      <c r="F135" s="140"/>
      <c r="G135" s="84"/>
      <c r="H135" s="82"/>
      <c r="I135" s="84"/>
      <c r="J135" s="84"/>
      <c r="K135" s="84"/>
      <c r="L135" s="84"/>
      <c r="M135" s="84"/>
      <c r="N135" s="84"/>
      <c r="O135" s="98"/>
      <c r="P135" s="91"/>
      <c r="Q135" s="84"/>
      <c r="R135" s="84"/>
      <c r="S135" s="84"/>
      <c r="T135" s="84"/>
      <c r="U135" s="84"/>
      <c r="V135" s="84"/>
      <c r="W135" s="84"/>
      <c r="X135" s="84"/>
      <c r="Y135" s="84"/>
      <c r="Z135" s="87"/>
      <c r="AA135" s="87"/>
      <c r="AB135" s="87"/>
      <c r="AC135" s="87"/>
      <c r="AD135" s="87"/>
      <c r="AE135" s="87"/>
      <c r="AF135" s="87"/>
      <c r="AG135" s="87"/>
      <c r="AH135" s="87"/>
      <c r="AI135" s="87"/>
      <c r="AJ135" s="87"/>
      <c r="AK135" s="81"/>
      <c r="AL135" s="81"/>
      <c r="AM135" s="81"/>
      <c r="AN135" s="81"/>
      <c r="AO135" s="81"/>
      <c r="AP135" s="81"/>
      <c r="AQ135" s="81"/>
      <c r="AR135" s="81"/>
      <c r="AS135" s="81"/>
      <c r="AT135" s="81"/>
      <c r="AU135" s="81"/>
      <c r="AV135" s="81"/>
      <c r="AW135" s="81"/>
      <c r="AX135" s="81"/>
      <c r="AY135" s="81"/>
      <c r="AZ135" s="81"/>
      <c r="BA135" s="81"/>
      <c r="BB135" s="81"/>
      <c r="BC135" s="81"/>
      <c r="BD135" s="81"/>
      <c r="BE135" s="81"/>
      <c r="BF135" s="81"/>
      <c r="BG135" s="81"/>
      <c r="BH135" s="81"/>
    </row>
    <row r="136" spans="1:60" ht="16">
      <c r="A136" s="82"/>
      <c r="B136" s="82"/>
      <c r="C136" s="82"/>
      <c r="D136" s="83"/>
      <c r="E136" s="84"/>
      <c r="F136" s="140"/>
      <c r="G136" s="89"/>
      <c r="H136" s="82"/>
      <c r="I136" s="89"/>
      <c r="J136" s="89"/>
      <c r="K136" s="89"/>
      <c r="L136" s="89"/>
      <c r="M136" s="89"/>
      <c r="N136" s="84"/>
      <c r="O136" s="84"/>
      <c r="P136" s="93"/>
      <c r="Q136" s="89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79"/>
      <c r="AL136" s="79"/>
      <c r="AM136" s="79"/>
      <c r="AN136" s="79"/>
      <c r="AO136" s="79"/>
      <c r="AP136" s="79"/>
      <c r="AQ136" s="79"/>
      <c r="AR136" s="79"/>
      <c r="AS136" s="79"/>
      <c r="AT136" s="79"/>
      <c r="AU136" s="79"/>
      <c r="AV136" s="79"/>
      <c r="AW136" s="79"/>
      <c r="AX136" s="79"/>
      <c r="AY136" s="79"/>
      <c r="AZ136" s="79"/>
      <c r="BA136" s="79"/>
      <c r="BB136" s="79"/>
      <c r="BC136" s="79"/>
      <c r="BD136" s="79"/>
      <c r="BE136" s="79"/>
      <c r="BF136" s="79"/>
      <c r="BG136" s="79"/>
      <c r="BH136" s="79"/>
    </row>
    <row r="137" spans="1:60" ht="16">
      <c r="A137" s="82"/>
      <c r="B137" s="82"/>
      <c r="C137" s="82"/>
      <c r="D137" s="83"/>
      <c r="E137" s="84"/>
      <c r="F137" s="140"/>
      <c r="G137" s="91"/>
      <c r="H137" s="82"/>
      <c r="I137" s="84"/>
      <c r="J137" s="84"/>
      <c r="K137" s="84"/>
      <c r="L137" s="84"/>
      <c r="M137" s="84"/>
      <c r="N137" s="84"/>
      <c r="O137" s="98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7"/>
      <c r="AA137" s="87"/>
      <c r="AB137" s="87"/>
      <c r="AC137" s="87"/>
      <c r="AD137" s="87"/>
      <c r="AE137" s="87"/>
      <c r="AF137" s="87"/>
      <c r="AG137" s="87"/>
      <c r="AH137" s="87"/>
      <c r="AI137" s="87"/>
      <c r="AJ137" s="98"/>
      <c r="AK137" s="98"/>
      <c r="AL137" s="98"/>
      <c r="AM137" s="98"/>
      <c r="AN137" s="98"/>
      <c r="AO137" s="98"/>
      <c r="AP137" s="98"/>
      <c r="AQ137" s="98"/>
      <c r="AR137" s="98"/>
      <c r="AS137" s="98"/>
      <c r="AT137" s="98"/>
      <c r="AU137" s="98"/>
      <c r="AV137" s="98"/>
      <c r="AW137" s="98"/>
      <c r="AX137" s="98"/>
      <c r="AY137" s="98"/>
      <c r="AZ137" s="98"/>
      <c r="BA137" s="98"/>
      <c r="BB137" s="98"/>
      <c r="BC137" s="98"/>
      <c r="BD137" s="98"/>
      <c r="BE137" s="98"/>
      <c r="BF137" s="98"/>
      <c r="BG137" s="98"/>
      <c r="BH137" s="98"/>
    </row>
    <row r="138" spans="1:60" ht="16">
      <c r="A138" s="82"/>
      <c r="B138" s="82"/>
      <c r="C138" s="82"/>
      <c r="D138" s="83"/>
      <c r="E138" s="84"/>
      <c r="F138" s="140"/>
      <c r="G138" s="91"/>
      <c r="H138" s="82"/>
      <c r="I138" s="84"/>
      <c r="J138" s="84"/>
      <c r="K138" s="84"/>
      <c r="L138" s="84"/>
      <c r="M138" s="84"/>
      <c r="N138" s="84"/>
      <c r="O138" s="98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7"/>
      <c r="AA138" s="87"/>
      <c r="AB138" s="87"/>
      <c r="AC138" s="87"/>
      <c r="AD138" s="87"/>
      <c r="AE138" s="87"/>
      <c r="AF138" s="87"/>
      <c r="AG138" s="87"/>
      <c r="AH138" s="87"/>
      <c r="AI138" s="87"/>
      <c r="AJ138" s="98"/>
      <c r="AK138" s="98"/>
      <c r="AL138" s="98"/>
      <c r="AM138" s="98"/>
      <c r="AN138" s="98"/>
      <c r="AO138" s="98"/>
      <c r="AP138" s="98"/>
      <c r="AQ138" s="98"/>
      <c r="AR138" s="98"/>
      <c r="AS138" s="98"/>
      <c r="AT138" s="98"/>
      <c r="AU138" s="98"/>
      <c r="AV138" s="98"/>
      <c r="AW138" s="98"/>
      <c r="AX138" s="98"/>
      <c r="AY138" s="98"/>
      <c r="AZ138" s="98"/>
      <c r="BA138" s="98"/>
      <c r="BB138" s="98"/>
      <c r="BC138" s="98"/>
      <c r="BD138" s="98"/>
      <c r="BE138" s="98"/>
      <c r="BF138" s="98"/>
      <c r="BG138" s="98"/>
      <c r="BH138" s="98"/>
    </row>
    <row r="139" spans="1:60" ht="16">
      <c r="A139" s="82"/>
      <c r="B139" s="82"/>
      <c r="C139" s="82"/>
      <c r="D139" s="83"/>
      <c r="E139" s="84"/>
      <c r="F139" s="140"/>
      <c r="G139" s="84"/>
      <c r="H139" s="82"/>
      <c r="I139" s="84"/>
      <c r="J139" s="84"/>
      <c r="K139" s="84"/>
      <c r="L139" s="84"/>
      <c r="M139" s="89"/>
      <c r="N139" s="98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7"/>
      <c r="AA139" s="87"/>
      <c r="AB139" s="87"/>
      <c r="AC139" s="87"/>
      <c r="AD139" s="87"/>
      <c r="AE139" s="87"/>
      <c r="AF139" s="87"/>
      <c r="AG139" s="87"/>
      <c r="AH139" s="87"/>
      <c r="AI139" s="87"/>
      <c r="AJ139" s="87"/>
      <c r="AK139" s="81"/>
      <c r="AL139" s="81"/>
      <c r="AM139" s="81"/>
      <c r="AN139" s="81"/>
      <c r="AO139" s="81"/>
      <c r="AP139" s="81"/>
      <c r="AQ139" s="81"/>
      <c r="AR139" s="81"/>
      <c r="AS139" s="81"/>
      <c r="AT139" s="81"/>
      <c r="AU139" s="81"/>
      <c r="AV139" s="81"/>
      <c r="AW139" s="81"/>
      <c r="AX139" s="81"/>
      <c r="AY139" s="81"/>
      <c r="AZ139" s="81"/>
      <c r="BA139" s="81"/>
      <c r="BB139" s="81"/>
      <c r="BC139" s="81"/>
      <c r="BD139" s="81"/>
      <c r="BE139" s="81"/>
      <c r="BF139" s="81"/>
      <c r="BG139" s="81"/>
      <c r="BH139" s="81"/>
    </row>
    <row r="140" spans="1:60" ht="16">
      <c r="A140" s="82"/>
      <c r="B140" s="82"/>
      <c r="C140" s="82"/>
      <c r="D140" s="83"/>
      <c r="E140" s="84"/>
      <c r="F140" s="140"/>
      <c r="G140" s="91"/>
      <c r="H140" s="82"/>
      <c r="I140" s="84"/>
      <c r="J140" s="84"/>
      <c r="K140" s="84"/>
      <c r="L140" s="84"/>
      <c r="M140" s="84"/>
      <c r="N140" s="84"/>
      <c r="O140" s="84"/>
      <c r="P140" s="91"/>
      <c r="Q140" s="84"/>
      <c r="R140" s="84"/>
      <c r="S140" s="84"/>
      <c r="T140" s="84"/>
      <c r="U140" s="84"/>
      <c r="V140" s="84"/>
      <c r="W140" s="84"/>
      <c r="X140" s="84"/>
      <c r="Y140" s="84"/>
      <c r="Z140" s="87"/>
      <c r="AA140" s="87"/>
      <c r="AB140" s="87"/>
      <c r="AC140" s="87"/>
      <c r="AD140" s="87"/>
      <c r="AE140" s="87"/>
      <c r="AF140" s="87"/>
      <c r="AG140" s="87"/>
      <c r="AH140" s="87"/>
      <c r="AI140" s="87"/>
      <c r="AJ140" s="87"/>
      <c r="AK140" s="87"/>
      <c r="AL140" s="81"/>
      <c r="AM140" s="81"/>
      <c r="AN140" s="81"/>
      <c r="AO140" s="81"/>
      <c r="AP140" s="81"/>
      <c r="AQ140" s="81"/>
      <c r="AR140" s="81"/>
      <c r="AS140" s="81"/>
      <c r="AT140" s="81"/>
      <c r="AU140" s="81"/>
      <c r="AV140" s="81"/>
      <c r="AW140" s="81"/>
      <c r="AX140" s="81"/>
      <c r="AY140" s="81"/>
      <c r="AZ140" s="81"/>
      <c r="BA140" s="81"/>
      <c r="BB140" s="81"/>
      <c r="BC140" s="81"/>
      <c r="BD140" s="81"/>
      <c r="BE140" s="81"/>
      <c r="BF140" s="81"/>
      <c r="BG140" s="81"/>
      <c r="BH140" s="81"/>
    </row>
    <row r="141" spans="1:60" ht="16">
      <c r="A141" s="82"/>
      <c r="B141" s="82"/>
      <c r="C141" s="82"/>
      <c r="D141" s="83"/>
      <c r="E141" s="84"/>
      <c r="F141" s="140"/>
      <c r="G141" s="84"/>
      <c r="H141" s="82"/>
      <c r="I141" s="84"/>
      <c r="J141" s="89"/>
      <c r="K141" s="89"/>
      <c r="L141" s="89"/>
      <c r="M141" s="89"/>
      <c r="N141" s="98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7"/>
      <c r="AA141" s="87"/>
      <c r="AB141" s="87"/>
      <c r="AC141" s="87"/>
      <c r="AD141" s="87"/>
      <c r="AE141" s="87"/>
      <c r="AF141" s="87"/>
      <c r="AG141" s="87"/>
      <c r="AH141" s="87"/>
      <c r="AI141" s="87"/>
      <c r="AJ141" s="87"/>
      <c r="AK141" s="81"/>
      <c r="AL141" s="81"/>
      <c r="AM141" s="81"/>
      <c r="AN141" s="81"/>
      <c r="AO141" s="81"/>
      <c r="AP141" s="81"/>
      <c r="AQ141" s="81"/>
      <c r="AR141" s="81"/>
      <c r="AS141" s="81"/>
      <c r="AT141" s="81"/>
      <c r="AU141" s="81"/>
      <c r="AV141" s="81"/>
      <c r="AW141" s="81"/>
      <c r="AX141" s="81"/>
      <c r="AY141" s="81"/>
      <c r="AZ141" s="81"/>
      <c r="BA141" s="81"/>
      <c r="BB141" s="81"/>
      <c r="BC141" s="81"/>
      <c r="BD141" s="81"/>
      <c r="BE141" s="81"/>
      <c r="BF141" s="81"/>
      <c r="BG141" s="81"/>
      <c r="BH141" s="81"/>
    </row>
    <row r="142" spans="1:60" ht="16">
      <c r="A142" s="82"/>
      <c r="B142" s="82"/>
      <c r="C142" s="82"/>
      <c r="D142" s="83"/>
      <c r="E142" s="84"/>
      <c r="F142" s="140"/>
      <c r="G142" s="91"/>
      <c r="H142" s="82"/>
      <c r="I142" s="84"/>
      <c r="J142" s="145"/>
      <c r="K142" s="145"/>
      <c r="L142" s="146"/>
      <c r="M142" s="84"/>
      <c r="N142" s="84"/>
      <c r="O142" s="98"/>
      <c r="P142" s="91"/>
      <c r="Q142" s="84"/>
      <c r="R142" s="84"/>
      <c r="S142" s="84"/>
      <c r="T142" s="84"/>
      <c r="U142" s="84"/>
      <c r="V142" s="84"/>
      <c r="W142" s="84"/>
      <c r="X142" s="84"/>
      <c r="Y142" s="84"/>
      <c r="Z142" s="87"/>
      <c r="AA142" s="87"/>
      <c r="AB142" s="87"/>
      <c r="AC142" s="87"/>
      <c r="AD142" s="87"/>
      <c r="AE142" s="87"/>
      <c r="AF142" s="87"/>
      <c r="AG142" s="87"/>
      <c r="AH142" s="87"/>
      <c r="AI142" s="87"/>
      <c r="AJ142" s="87"/>
      <c r="AK142" s="87"/>
      <c r="AL142" s="87"/>
      <c r="AM142" s="81"/>
      <c r="AN142" s="81"/>
      <c r="AO142" s="81"/>
      <c r="AP142" s="81"/>
      <c r="AQ142" s="81"/>
      <c r="AR142" s="81"/>
      <c r="AS142" s="81"/>
      <c r="AT142" s="81"/>
      <c r="AU142" s="81"/>
      <c r="AV142" s="81"/>
      <c r="AW142" s="81"/>
      <c r="AX142" s="81"/>
      <c r="AY142" s="81"/>
      <c r="AZ142" s="81"/>
      <c r="BA142" s="81"/>
      <c r="BB142" s="81"/>
      <c r="BC142" s="81"/>
      <c r="BD142" s="81"/>
      <c r="BE142" s="81"/>
      <c r="BF142" s="81"/>
      <c r="BG142" s="81"/>
      <c r="BH142" s="81"/>
    </row>
    <row r="143" spans="1:60" ht="16">
      <c r="A143" s="82"/>
      <c r="B143" s="82"/>
      <c r="C143" s="82"/>
      <c r="D143" s="83"/>
      <c r="E143" s="84"/>
      <c r="F143" s="140"/>
      <c r="G143" s="84"/>
      <c r="H143" s="82"/>
      <c r="I143" s="84"/>
      <c r="J143" s="84"/>
      <c r="K143" s="84"/>
      <c r="L143" s="84"/>
      <c r="M143" s="84"/>
      <c r="N143" s="84"/>
      <c r="O143" s="98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7"/>
      <c r="AA143" s="87"/>
      <c r="AB143" s="87"/>
      <c r="AC143" s="87"/>
      <c r="AD143" s="87"/>
      <c r="AE143" s="87"/>
      <c r="AF143" s="87"/>
      <c r="AG143" s="87"/>
      <c r="AH143" s="87"/>
      <c r="AI143" s="87"/>
      <c r="AJ143" s="87"/>
      <c r="AK143" s="87"/>
      <c r="AL143" s="81"/>
      <c r="AM143" s="81"/>
      <c r="AN143" s="81"/>
      <c r="AO143" s="81"/>
      <c r="AP143" s="81"/>
      <c r="AQ143" s="81"/>
      <c r="AR143" s="81"/>
      <c r="AS143" s="81"/>
      <c r="AT143" s="81"/>
      <c r="AU143" s="81"/>
      <c r="AV143" s="81"/>
      <c r="AW143" s="81"/>
      <c r="AX143" s="81"/>
      <c r="AY143" s="81"/>
      <c r="AZ143" s="81"/>
      <c r="BA143" s="81"/>
      <c r="BB143" s="81"/>
      <c r="BC143" s="81"/>
      <c r="BD143" s="81"/>
      <c r="BE143" s="81"/>
      <c r="BF143" s="81"/>
      <c r="BG143" s="81"/>
      <c r="BH143" s="81"/>
    </row>
    <row r="144" spans="1:60" ht="16">
      <c r="A144" s="82"/>
      <c r="B144" s="82"/>
      <c r="C144" s="82"/>
      <c r="D144" s="83"/>
      <c r="E144" s="84"/>
      <c r="F144" s="140"/>
      <c r="G144" s="84"/>
      <c r="H144" s="82"/>
      <c r="I144" s="84"/>
      <c r="J144" s="84"/>
      <c r="K144" s="84"/>
      <c r="L144" s="84"/>
      <c r="M144" s="89"/>
      <c r="N144" s="84"/>
      <c r="O144" s="89"/>
      <c r="P144" s="84"/>
      <c r="Q144" s="89"/>
      <c r="R144" s="84"/>
      <c r="S144" s="84"/>
      <c r="T144" s="84"/>
      <c r="U144" s="84"/>
      <c r="V144" s="84"/>
      <c r="W144" s="84"/>
      <c r="X144" s="84"/>
      <c r="Y144" s="84"/>
      <c r="Z144" s="87"/>
      <c r="AA144" s="87"/>
      <c r="AB144" s="87"/>
      <c r="AC144" s="87"/>
      <c r="AD144" s="87"/>
      <c r="AE144" s="87"/>
      <c r="AF144" s="87"/>
      <c r="AG144" s="87"/>
      <c r="AH144" s="87"/>
      <c r="AI144" s="87"/>
      <c r="AJ144" s="87"/>
      <c r="AK144" s="81"/>
      <c r="AL144" s="81"/>
      <c r="AM144" s="81"/>
      <c r="AN144" s="81"/>
      <c r="AO144" s="81"/>
      <c r="AP144" s="81"/>
      <c r="AQ144" s="81"/>
      <c r="AR144" s="81"/>
      <c r="AS144" s="81"/>
      <c r="AT144" s="81"/>
      <c r="AU144" s="81"/>
      <c r="AV144" s="81"/>
      <c r="AW144" s="81"/>
      <c r="AX144" s="81"/>
      <c r="AY144" s="81"/>
      <c r="AZ144" s="81"/>
      <c r="BA144" s="81"/>
      <c r="BB144" s="81"/>
      <c r="BC144" s="81"/>
      <c r="BD144" s="81"/>
      <c r="BE144" s="81"/>
      <c r="BF144" s="81"/>
      <c r="BG144" s="81"/>
      <c r="BH144" s="81"/>
    </row>
    <row r="145" spans="1:60" ht="16">
      <c r="A145" s="82"/>
      <c r="B145" s="82"/>
      <c r="C145" s="82"/>
      <c r="D145" s="83"/>
      <c r="E145" s="84"/>
      <c r="F145" s="140"/>
      <c r="G145" s="84"/>
      <c r="H145" s="82"/>
      <c r="I145" s="84"/>
      <c r="J145" s="89"/>
      <c r="K145" s="89"/>
      <c r="L145" s="89"/>
      <c r="M145" s="89"/>
      <c r="N145" s="98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7"/>
      <c r="AA145" s="87"/>
      <c r="AB145" s="87"/>
      <c r="AC145" s="87"/>
      <c r="AD145" s="87"/>
      <c r="AE145" s="87"/>
      <c r="AF145" s="87"/>
      <c r="AG145" s="87"/>
      <c r="AH145" s="87"/>
      <c r="AI145" s="87"/>
      <c r="AJ145" s="87"/>
      <c r="AK145" s="81"/>
      <c r="AL145" s="81"/>
      <c r="AM145" s="81"/>
      <c r="AN145" s="81"/>
      <c r="AO145" s="81"/>
      <c r="AP145" s="81"/>
      <c r="AQ145" s="81"/>
      <c r="AR145" s="81"/>
      <c r="AS145" s="81"/>
      <c r="AT145" s="81"/>
      <c r="AU145" s="81"/>
      <c r="AV145" s="81"/>
      <c r="AW145" s="81"/>
      <c r="AX145" s="81"/>
      <c r="AY145" s="81"/>
      <c r="AZ145" s="81"/>
      <c r="BA145" s="81"/>
      <c r="BB145" s="81"/>
      <c r="BC145" s="81"/>
      <c r="BD145" s="81"/>
      <c r="BE145" s="81"/>
      <c r="BF145" s="81"/>
      <c r="BG145" s="81"/>
      <c r="BH145" s="81"/>
    </row>
    <row r="146" spans="1:60" ht="16">
      <c r="A146" s="82"/>
      <c r="B146" s="82"/>
      <c r="C146" s="82"/>
      <c r="D146" s="83"/>
      <c r="E146" s="84"/>
      <c r="F146" s="140"/>
      <c r="G146" s="84"/>
      <c r="H146" s="82"/>
      <c r="I146" s="84"/>
      <c r="J146" s="89"/>
      <c r="K146" s="89"/>
      <c r="L146" s="89"/>
      <c r="M146" s="89"/>
      <c r="N146" s="98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7"/>
      <c r="AA146" s="87"/>
      <c r="AB146" s="87"/>
      <c r="AC146" s="87"/>
      <c r="AD146" s="87"/>
      <c r="AE146" s="87"/>
      <c r="AF146" s="87"/>
      <c r="AG146" s="87"/>
      <c r="AH146" s="87"/>
      <c r="AI146" s="87"/>
      <c r="AJ146" s="87"/>
      <c r="AK146" s="81"/>
      <c r="AL146" s="81"/>
      <c r="AM146" s="81"/>
      <c r="AN146" s="81"/>
      <c r="AO146" s="81"/>
      <c r="AP146" s="81"/>
      <c r="AQ146" s="81"/>
      <c r="AR146" s="81"/>
      <c r="AS146" s="81"/>
      <c r="AT146" s="81"/>
      <c r="AU146" s="81"/>
      <c r="AV146" s="81"/>
      <c r="AW146" s="81"/>
      <c r="AX146" s="81"/>
      <c r="AY146" s="81"/>
      <c r="AZ146" s="81"/>
      <c r="BA146" s="81"/>
      <c r="BB146" s="81"/>
      <c r="BC146" s="81"/>
      <c r="BD146" s="81"/>
      <c r="BE146" s="81"/>
      <c r="BF146" s="81"/>
      <c r="BG146" s="81"/>
      <c r="BH146" s="81"/>
    </row>
    <row r="147" spans="1:60" ht="16">
      <c r="A147" s="82"/>
      <c r="B147" s="82"/>
      <c r="C147" s="82"/>
      <c r="D147" s="83"/>
      <c r="E147" s="84"/>
      <c r="F147" s="140"/>
      <c r="G147" s="84"/>
      <c r="H147" s="82"/>
      <c r="I147" s="84"/>
      <c r="J147" s="98"/>
      <c r="K147" s="84"/>
      <c r="L147" s="98"/>
      <c r="M147" s="84"/>
      <c r="N147" s="84"/>
      <c r="O147" s="84"/>
      <c r="P147" s="84"/>
      <c r="Q147" s="84"/>
      <c r="R147" s="84"/>
      <c r="S147" s="91"/>
      <c r="T147" s="91"/>
      <c r="U147" s="84"/>
      <c r="V147" s="91"/>
      <c r="W147" s="84"/>
      <c r="X147" s="84"/>
      <c r="Y147" s="84"/>
      <c r="Z147" s="87"/>
      <c r="AA147" s="87"/>
      <c r="AB147" s="87"/>
      <c r="AC147" s="87"/>
      <c r="AD147" s="87"/>
      <c r="AE147" s="87"/>
      <c r="AF147" s="87"/>
      <c r="AG147" s="87"/>
      <c r="AH147" s="87"/>
      <c r="AI147" s="87"/>
      <c r="AJ147" s="87"/>
      <c r="AK147" s="81"/>
      <c r="AL147" s="81"/>
      <c r="AM147" s="81"/>
      <c r="AN147" s="81"/>
      <c r="AO147" s="81"/>
      <c r="AP147" s="81"/>
      <c r="AQ147" s="81"/>
      <c r="AR147" s="81"/>
      <c r="AS147" s="81"/>
      <c r="AT147" s="81"/>
      <c r="AU147" s="81"/>
      <c r="AV147" s="81"/>
      <c r="AW147" s="81"/>
      <c r="AX147" s="81"/>
      <c r="AY147" s="81"/>
      <c r="AZ147" s="81"/>
      <c r="BA147" s="81"/>
      <c r="BB147" s="81"/>
      <c r="BC147" s="81"/>
      <c r="BD147" s="81"/>
      <c r="BE147" s="81"/>
      <c r="BF147" s="81"/>
      <c r="BG147" s="81"/>
      <c r="BH147" s="81"/>
    </row>
    <row r="148" spans="1:60" ht="16">
      <c r="A148" s="82"/>
      <c r="B148" s="82"/>
      <c r="C148" s="82"/>
      <c r="D148" s="83"/>
      <c r="E148" s="84"/>
      <c r="F148" s="140"/>
      <c r="G148" s="84"/>
      <c r="H148" s="82"/>
      <c r="I148" s="84"/>
      <c r="J148" s="98"/>
      <c r="K148" s="84"/>
      <c r="L148" s="98"/>
      <c r="M148" s="84"/>
      <c r="N148" s="84"/>
      <c r="O148" s="84"/>
      <c r="P148" s="84"/>
      <c r="Q148" s="84"/>
      <c r="R148" s="84"/>
      <c r="S148" s="91"/>
      <c r="T148" s="91"/>
      <c r="U148" s="84"/>
      <c r="V148" s="91"/>
      <c r="W148" s="84"/>
      <c r="X148" s="84"/>
      <c r="Y148" s="84"/>
      <c r="Z148" s="87"/>
      <c r="AA148" s="87"/>
      <c r="AB148" s="87"/>
      <c r="AC148" s="87"/>
      <c r="AD148" s="87"/>
      <c r="AE148" s="87"/>
      <c r="AF148" s="87"/>
      <c r="AG148" s="87"/>
      <c r="AH148" s="87"/>
      <c r="AI148" s="87"/>
      <c r="AJ148" s="87"/>
      <c r="AK148" s="81"/>
      <c r="AL148" s="81"/>
      <c r="AM148" s="81"/>
      <c r="AN148" s="81"/>
      <c r="AO148" s="81"/>
      <c r="AP148" s="81"/>
      <c r="AQ148" s="81"/>
      <c r="AR148" s="81"/>
      <c r="AS148" s="81"/>
      <c r="AT148" s="81"/>
      <c r="AU148" s="81"/>
      <c r="AV148" s="81"/>
      <c r="AW148" s="81"/>
      <c r="AX148" s="81"/>
      <c r="AY148" s="81"/>
      <c r="AZ148" s="81"/>
      <c r="BA148" s="81"/>
      <c r="BB148" s="81"/>
      <c r="BC148" s="81"/>
      <c r="BD148" s="81"/>
      <c r="BE148" s="81"/>
      <c r="BF148" s="81"/>
      <c r="BG148" s="81"/>
      <c r="BH148" s="81"/>
    </row>
    <row r="149" spans="1:60" ht="16">
      <c r="A149" s="82"/>
      <c r="B149" s="82"/>
      <c r="C149" s="82"/>
      <c r="D149" s="83"/>
      <c r="E149" s="84"/>
      <c r="F149" s="140"/>
      <c r="G149" s="89"/>
      <c r="H149" s="82"/>
      <c r="I149" s="89"/>
      <c r="J149" s="89"/>
      <c r="K149" s="89"/>
      <c r="L149" s="89"/>
      <c r="M149" s="89"/>
      <c r="N149" s="84"/>
      <c r="O149" s="144"/>
      <c r="P149" s="89"/>
      <c r="Q149" s="89"/>
      <c r="R149" s="84"/>
      <c r="S149" s="84"/>
      <c r="T149" s="84"/>
      <c r="U149" s="84"/>
      <c r="V149" s="84"/>
      <c r="W149" s="84"/>
      <c r="X149" s="84"/>
      <c r="Y149" s="84"/>
      <c r="Z149" s="87"/>
      <c r="AA149" s="87"/>
      <c r="AB149" s="87"/>
      <c r="AC149" s="87"/>
      <c r="AD149" s="87"/>
      <c r="AE149" s="87"/>
      <c r="AF149" s="87"/>
      <c r="AG149" s="87"/>
      <c r="AH149" s="87"/>
      <c r="AI149" s="87"/>
      <c r="AJ149" s="87"/>
      <c r="AK149" s="81"/>
      <c r="AL149" s="81"/>
      <c r="AM149" s="81"/>
      <c r="AN149" s="81"/>
      <c r="AO149" s="81"/>
      <c r="AP149" s="81"/>
      <c r="AQ149" s="81"/>
      <c r="AR149" s="81"/>
      <c r="AS149" s="81"/>
      <c r="AT149" s="81"/>
      <c r="AU149" s="81"/>
      <c r="AV149" s="81"/>
      <c r="AW149" s="81"/>
      <c r="AX149" s="81"/>
      <c r="AY149" s="81"/>
      <c r="AZ149" s="81"/>
      <c r="BA149" s="81"/>
      <c r="BB149" s="81"/>
      <c r="BC149" s="81"/>
      <c r="BD149" s="81"/>
      <c r="BE149" s="81"/>
      <c r="BF149" s="81"/>
      <c r="BG149" s="81"/>
      <c r="BH149" s="81"/>
    </row>
    <row r="150" spans="1:60" ht="16">
      <c r="A150" s="82"/>
      <c r="B150" s="82"/>
      <c r="C150" s="82"/>
      <c r="D150" s="83"/>
      <c r="E150" s="89"/>
      <c r="F150" s="140"/>
      <c r="G150" s="84"/>
      <c r="H150" s="82"/>
      <c r="I150" s="84"/>
      <c r="J150" s="89"/>
      <c r="K150" s="84"/>
      <c r="L150" s="89"/>
      <c r="M150" s="98"/>
      <c r="N150" s="98"/>
      <c r="O150" s="98"/>
      <c r="P150" s="91"/>
      <c r="Q150" s="98"/>
      <c r="R150" s="98"/>
      <c r="S150" s="84"/>
      <c r="T150" s="84"/>
      <c r="U150" s="84"/>
      <c r="V150" s="84"/>
      <c r="W150" s="84"/>
      <c r="X150" s="84"/>
      <c r="Y150" s="84"/>
      <c r="Z150" s="87"/>
      <c r="AA150" s="87"/>
      <c r="AB150" s="87"/>
      <c r="AC150" s="87"/>
      <c r="AD150" s="87"/>
      <c r="AE150" s="87"/>
      <c r="AF150" s="87"/>
      <c r="AG150" s="87"/>
      <c r="AH150" s="87"/>
      <c r="AI150" s="87"/>
      <c r="AJ150" s="87"/>
      <c r="AK150" s="81"/>
      <c r="AL150" s="81"/>
      <c r="AM150" s="81"/>
      <c r="AN150" s="81"/>
      <c r="AO150" s="81"/>
      <c r="AP150" s="81"/>
      <c r="AQ150" s="81"/>
      <c r="AR150" s="81"/>
      <c r="AS150" s="81"/>
      <c r="AT150" s="81"/>
      <c r="AU150" s="81"/>
      <c r="AV150" s="81"/>
      <c r="AW150" s="81"/>
      <c r="AX150" s="81"/>
      <c r="AY150" s="81"/>
      <c r="AZ150" s="81"/>
      <c r="BA150" s="81"/>
      <c r="BB150" s="81"/>
      <c r="BC150" s="81"/>
      <c r="BD150" s="81"/>
      <c r="BE150" s="81"/>
      <c r="BF150" s="81"/>
      <c r="BG150" s="81"/>
      <c r="BH150" s="81"/>
    </row>
    <row r="151" spans="1:60" ht="16">
      <c r="A151" s="82"/>
      <c r="B151" s="82"/>
      <c r="C151" s="82"/>
      <c r="D151" s="83"/>
      <c r="E151" s="84"/>
      <c r="F151" s="140"/>
      <c r="G151" s="84"/>
      <c r="H151" s="82"/>
      <c r="I151" s="84"/>
      <c r="J151" s="89"/>
      <c r="K151" s="89"/>
      <c r="L151" s="89"/>
      <c r="M151" s="89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7"/>
      <c r="AA151" s="87"/>
      <c r="AB151" s="87"/>
      <c r="AC151" s="87"/>
      <c r="AD151" s="87"/>
      <c r="AE151" s="87"/>
      <c r="AF151" s="87"/>
      <c r="AG151" s="87"/>
      <c r="AH151" s="87"/>
      <c r="AI151" s="87"/>
      <c r="AJ151" s="87"/>
      <c r="AK151" s="81"/>
      <c r="AL151" s="81"/>
      <c r="AM151" s="81"/>
      <c r="AN151" s="81"/>
      <c r="AO151" s="81"/>
      <c r="AP151" s="81"/>
      <c r="AQ151" s="81"/>
      <c r="AR151" s="81"/>
      <c r="AS151" s="81"/>
      <c r="AT151" s="81"/>
      <c r="AU151" s="81"/>
      <c r="AV151" s="81"/>
      <c r="AW151" s="81"/>
      <c r="AX151" s="81"/>
      <c r="AY151" s="81"/>
      <c r="AZ151" s="81"/>
      <c r="BA151" s="81"/>
      <c r="BB151" s="81"/>
      <c r="BC151" s="81"/>
      <c r="BD151" s="81"/>
      <c r="BE151" s="81"/>
      <c r="BF151" s="81"/>
      <c r="BG151" s="81"/>
      <c r="BH151" s="81"/>
    </row>
    <row r="152" spans="1:60" ht="16">
      <c r="A152" s="82"/>
      <c r="B152" s="82"/>
      <c r="C152" s="147"/>
      <c r="D152" s="83"/>
      <c r="E152" s="84"/>
      <c r="F152" s="148"/>
      <c r="G152" s="84"/>
      <c r="H152" s="82"/>
      <c r="I152" s="84"/>
      <c r="J152" s="84"/>
      <c r="K152" s="93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7"/>
      <c r="AA152" s="87"/>
      <c r="AB152" s="87"/>
      <c r="AC152" s="87"/>
      <c r="AD152" s="87"/>
      <c r="AE152" s="87"/>
      <c r="AF152" s="87"/>
      <c r="AG152" s="87"/>
      <c r="AH152" s="87"/>
      <c r="AI152" s="87"/>
      <c r="AJ152" s="87"/>
      <c r="AK152" s="87"/>
      <c r="AL152" s="87"/>
      <c r="AM152" s="81"/>
      <c r="AN152" s="81"/>
      <c r="AO152" s="81"/>
      <c r="AP152" s="81"/>
      <c r="AQ152" s="81"/>
      <c r="AR152" s="81"/>
      <c r="AS152" s="81"/>
      <c r="AT152" s="81"/>
      <c r="AU152" s="81"/>
      <c r="AV152" s="81"/>
      <c r="AW152" s="81"/>
      <c r="AX152" s="81"/>
      <c r="AY152" s="81"/>
      <c r="AZ152" s="81"/>
      <c r="BA152" s="81"/>
      <c r="BB152" s="81"/>
      <c r="BC152" s="81"/>
      <c r="BD152" s="81"/>
      <c r="BE152" s="81"/>
      <c r="BF152" s="81"/>
      <c r="BG152" s="81"/>
      <c r="BH152" s="81"/>
    </row>
    <row r="153" spans="1:60" ht="16">
      <c r="A153" s="82"/>
      <c r="B153" s="82"/>
      <c r="C153" s="147"/>
      <c r="D153" s="83"/>
      <c r="E153" s="84"/>
      <c r="F153" s="148"/>
      <c r="G153" s="84"/>
      <c r="H153" s="82"/>
      <c r="I153" s="89"/>
      <c r="J153" s="89"/>
      <c r="K153" s="89"/>
      <c r="L153" s="89"/>
      <c r="M153" s="89"/>
      <c r="N153" s="89"/>
      <c r="O153" s="84"/>
      <c r="P153" s="139"/>
      <c r="Q153" s="139"/>
      <c r="R153" s="139"/>
      <c r="S153" s="139"/>
      <c r="T153" s="139"/>
      <c r="U153" s="139"/>
      <c r="V153" s="139"/>
      <c r="W153" s="139"/>
      <c r="X153" s="139"/>
      <c r="Y153" s="139"/>
      <c r="Z153" s="87"/>
      <c r="AA153" s="87"/>
      <c r="AB153" s="87"/>
      <c r="AC153" s="87"/>
      <c r="AD153" s="87"/>
      <c r="AE153" s="87"/>
      <c r="AF153" s="87"/>
      <c r="AG153" s="87"/>
      <c r="AH153" s="87"/>
      <c r="AI153" s="87"/>
      <c r="AJ153" s="87"/>
      <c r="AK153" s="81"/>
      <c r="AL153" s="81"/>
      <c r="AM153" s="81"/>
      <c r="AN153" s="81"/>
      <c r="AO153" s="81"/>
      <c r="AP153" s="81"/>
      <c r="AQ153" s="81"/>
      <c r="AR153" s="81"/>
      <c r="AS153" s="81"/>
      <c r="AT153" s="81"/>
      <c r="AU153" s="81"/>
      <c r="AV153" s="81"/>
      <c r="AW153" s="81"/>
      <c r="AX153" s="81"/>
      <c r="AY153" s="81"/>
      <c r="AZ153" s="81"/>
      <c r="BA153" s="81"/>
      <c r="BB153" s="81"/>
      <c r="BC153" s="81"/>
      <c r="BD153" s="81"/>
      <c r="BE153" s="81"/>
      <c r="BF153" s="81"/>
      <c r="BG153" s="81"/>
      <c r="BH153" s="81"/>
    </row>
    <row r="154" spans="1:60" ht="16">
      <c r="A154" s="82"/>
      <c r="B154" s="82"/>
      <c r="C154" s="147"/>
      <c r="D154" s="149"/>
      <c r="E154" s="93"/>
      <c r="F154" s="148"/>
      <c r="G154" s="84"/>
      <c r="H154" s="82"/>
      <c r="I154" s="145"/>
      <c r="J154" s="145"/>
      <c r="K154" s="84"/>
      <c r="L154" s="146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7"/>
      <c r="AA154" s="87"/>
      <c r="AB154" s="87"/>
      <c r="AC154" s="87"/>
      <c r="AD154" s="87"/>
      <c r="AE154" s="87"/>
      <c r="AF154" s="87"/>
      <c r="AG154" s="87"/>
      <c r="AH154" s="87"/>
      <c r="AI154" s="87"/>
      <c r="AJ154" s="87"/>
      <c r="AK154" s="87"/>
      <c r="AL154" s="87"/>
      <c r="AM154" s="81"/>
      <c r="AN154" s="81"/>
      <c r="AO154" s="81"/>
      <c r="AP154" s="81"/>
      <c r="AQ154" s="81"/>
      <c r="AR154" s="81"/>
      <c r="AS154" s="81"/>
      <c r="AT154" s="81"/>
      <c r="AU154" s="81"/>
      <c r="AV154" s="81"/>
      <c r="AW154" s="81"/>
      <c r="AX154" s="81"/>
      <c r="AY154" s="81"/>
      <c r="AZ154" s="81"/>
      <c r="BA154" s="81"/>
      <c r="BB154" s="81"/>
      <c r="BC154" s="81"/>
      <c r="BD154" s="81"/>
      <c r="BE154" s="81"/>
      <c r="BF154" s="81"/>
      <c r="BG154" s="81"/>
      <c r="BH154" s="81"/>
    </row>
    <row r="155" spans="1:60" ht="16">
      <c r="A155" s="82"/>
      <c r="B155" s="82"/>
      <c r="C155" s="147"/>
      <c r="D155" s="83"/>
      <c r="E155" s="84"/>
      <c r="F155" s="148"/>
      <c r="G155" s="84"/>
      <c r="H155" s="82"/>
      <c r="I155" s="91"/>
      <c r="J155" s="93"/>
      <c r="K155" s="93"/>
      <c r="L155" s="93"/>
      <c r="M155" s="84"/>
      <c r="N155" s="93"/>
      <c r="O155" s="97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1"/>
      <c r="AA155" s="91"/>
      <c r="AB155" s="91"/>
      <c r="AC155" s="91"/>
      <c r="AD155" s="91"/>
      <c r="AE155" s="91"/>
      <c r="AF155" s="91"/>
      <c r="AG155" s="91"/>
      <c r="AH155" s="91"/>
      <c r="AI155" s="91"/>
      <c r="AJ155" s="91"/>
      <c r="AK155" s="91"/>
      <c r="AL155" s="91"/>
      <c r="AM155" s="91"/>
      <c r="AN155" s="91"/>
      <c r="AO155" s="91"/>
      <c r="AP155" s="91"/>
      <c r="AQ155" s="91"/>
      <c r="AR155" s="91"/>
      <c r="AS155" s="91"/>
      <c r="AT155" s="91"/>
      <c r="AU155" s="91"/>
      <c r="AV155" s="91"/>
      <c r="AW155" s="91"/>
      <c r="AX155" s="91"/>
      <c r="AY155" s="91"/>
      <c r="AZ155" s="91"/>
      <c r="BA155" s="91"/>
      <c r="BB155" s="91"/>
      <c r="BC155" s="91"/>
      <c r="BD155" s="91"/>
      <c r="BE155" s="91"/>
      <c r="BF155" s="91"/>
      <c r="BG155" s="91"/>
      <c r="BH155" s="91"/>
    </row>
    <row r="156" spans="1:60" ht="16">
      <c r="A156" s="82"/>
      <c r="B156" s="82"/>
      <c r="C156" s="147"/>
      <c r="D156" s="83"/>
      <c r="E156" s="84"/>
      <c r="F156" s="150"/>
      <c r="G156" s="84"/>
      <c r="H156" s="82"/>
      <c r="I156" s="84"/>
      <c r="J156" s="84"/>
      <c r="K156" s="84"/>
      <c r="L156" s="84"/>
      <c r="M156" s="84"/>
      <c r="N156" s="84"/>
      <c r="O156" s="84"/>
      <c r="P156" s="84"/>
      <c r="Q156" s="97"/>
      <c r="R156" s="84"/>
      <c r="S156" s="84"/>
      <c r="T156" s="84"/>
      <c r="U156" s="84"/>
      <c r="V156" s="84"/>
      <c r="W156" s="84"/>
      <c r="X156" s="84"/>
      <c r="Y156" s="84"/>
      <c r="Z156" s="87"/>
      <c r="AA156" s="87"/>
      <c r="AB156" s="87"/>
      <c r="AC156" s="87"/>
      <c r="AD156" s="87"/>
      <c r="AE156" s="87"/>
      <c r="AF156" s="87"/>
      <c r="AG156" s="87"/>
      <c r="AH156" s="87"/>
      <c r="AI156" s="87"/>
      <c r="AJ156" s="87"/>
      <c r="AK156" s="81"/>
      <c r="AL156" s="81"/>
      <c r="AM156" s="81"/>
      <c r="AN156" s="81"/>
      <c r="AO156" s="81"/>
      <c r="AP156" s="81"/>
      <c r="AQ156" s="81"/>
      <c r="AR156" s="81"/>
      <c r="AS156" s="81"/>
      <c r="AT156" s="81"/>
      <c r="AU156" s="81"/>
      <c r="AV156" s="81"/>
      <c r="AW156" s="81"/>
      <c r="AX156" s="81"/>
      <c r="AY156" s="81"/>
      <c r="AZ156" s="81"/>
      <c r="BA156" s="81"/>
      <c r="BB156" s="81"/>
      <c r="BC156" s="81"/>
      <c r="BD156" s="81"/>
      <c r="BE156" s="81"/>
      <c r="BF156" s="81"/>
      <c r="BG156" s="81"/>
      <c r="BH156" s="81"/>
    </row>
    <row r="157" spans="1:60" ht="16">
      <c r="A157" s="82"/>
      <c r="B157" s="82"/>
      <c r="C157" s="147"/>
      <c r="D157" s="83"/>
      <c r="E157" s="84"/>
      <c r="F157" s="148"/>
      <c r="G157" s="84"/>
      <c r="H157" s="82"/>
      <c r="I157" s="84"/>
      <c r="J157" s="84"/>
      <c r="K157" s="84"/>
      <c r="L157" s="84"/>
      <c r="M157" s="84"/>
      <c r="N157" s="84"/>
      <c r="O157" s="84"/>
      <c r="P157" s="97"/>
      <c r="Q157" s="84"/>
      <c r="R157" s="84"/>
      <c r="S157" s="84"/>
      <c r="T157" s="84"/>
      <c r="U157" s="84"/>
      <c r="V157" s="84"/>
      <c r="W157" s="84"/>
      <c r="X157" s="84"/>
      <c r="Y157" s="84"/>
      <c r="Z157" s="87"/>
      <c r="AA157" s="87"/>
      <c r="AB157" s="87"/>
      <c r="AC157" s="87"/>
      <c r="AD157" s="87"/>
      <c r="AE157" s="87"/>
      <c r="AF157" s="87"/>
      <c r="AG157" s="87"/>
      <c r="AH157" s="87"/>
      <c r="AI157" s="87"/>
      <c r="AJ157" s="87"/>
      <c r="AK157" s="87"/>
      <c r="AL157" s="87"/>
      <c r="AM157" s="81"/>
      <c r="AN157" s="81"/>
      <c r="AO157" s="81"/>
      <c r="AP157" s="81"/>
      <c r="AQ157" s="81"/>
      <c r="AR157" s="81"/>
      <c r="AS157" s="81"/>
      <c r="AT157" s="81"/>
      <c r="AU157" s="81"/>
      <c r="AV157" s="81"/>
      <c r="AW157" s="81"/>
      <c r="AX157" s="81"/>
      <c r="AY157" s="81"/>
      <c r="AZ157" s="81"/>
      <c r="BA157" s="81"/>
      <c r="BB157" s="81"/>
      <c r="BC157" s="81"/>
      <c r="BD157" s="81"/>
      <c r="BE157" s="81"/>
      <c r="BF157" s="81"/>
      <c r="BG157" s="81"/>
      <c r="BH157" s="81"/>
    </row>
    <row r="158" spans="1:60" ht="16">
      <c r="A158" s="82"/>
      <c r="B158" s="82"/>
      <c r="C158" s="147"/>
      <c r="D158" s="83"/>
      <c r="E158" s="84"/>
      <c r="F158" s="148"/>
      <c r="G158" s="91"/>
      <c r="H158" s="82"/>
      <c r="I158" s="84"/>
      <c r="J158" s="84"/>
      <c r="K158" s="84"/>
      <c r="L158" s="84"/>
      <c r="M158" s="84"/>
      <c r="N158" s="84"/>
      <c r="O158" s="84"/>
      <c r="P158" s="91"/>
      <c r="Q158" s="84"/>
      <c r="R158" s="84"/>
      <c r="S158" s="84"/>
      <c r="T158" s="84"/>
      <c r="U158" s="84"/>
      <c r="V158" s="84"/>
      <c r="W158" s="84"/>
      <c r="X158" s="84"/>
      <c r="Y158" s="84"/>
      <c r="Z158" s="87"/>
      <c r="AA158" s="87"/>
      <c r="AB158" s="87"/>
      <c r="AC158" s="87"/>
      <c r="AD158" s="87"/>
      <c r="AE158" s="87"/>
      <c r="AF158" s="87"/>
      <c r="AG158" s="87"/>
      <c r="AH158" s="87"/>
      <c r="AI158" s="87"/>
      <c r="AJ158" s="87"/>
      <c r="AK158" s="87"/>
      <c r="AL158" s="81"/>
      <c r="AM158" s="81"/>
      <c r="AN158" s="81"/>
      <c r="AO158" s="81"/>
      <c r="AP158" s="81"/>
      <c r="AQ158" s="81"/>
      <c r="AR158" s="81"/>
      <c r="AS158" s="81"/>
      <c r="AT158" s="81"/>
      <c r="AU158" s="81"/>
      <c r="AV158" s="81"/>
      <c r="AW158" s="81"/>
      <c r="AX158" s="81"/>
      <c r="AY158" s="81"/>
      <c r="AZ158" s="81"/>
      <c r="BA158" s="81"/>
      <c r="BB158" s="81"/>
      <c r="BC158" s="81"/>
      <c r="BD158" s="81"/>
      <c r="BE158" s="81"/>
      <c r="BF158" s="81"/>
      <c r="BG158" s="81"/>
      <c r="BH158" s="81"/>
    </row>
    <row r="159" spans="1:60" ht="16">
      <c r="A159" s="82"/>
      <c r="B159" s="82"/>
      <c r="C159" s="147"/>
      <c r="D159" s="83"/>
      <c r="E159" s="84"/>
      <c r="F159" s="148"/>
      <c r="G159" s="91"/>
      <c r="H159" s="82"/>
      <c r="I159" s="84"/>
      <c r="J159" s="84"/>
      <c r="K159" s="84"/>
      <c r="L159" s="84"/>
      <c r="M159" s="84"/>
      <c r="N159" s="84"/>
      <c r="O159" s="84"/>
      <c r="P159" s="91"/>
      <c r="Q159" s="84"/>
      <c r="R159" s="84"/>
      <c r="S159" s="84"/>
      <c r="T159" s="84"/>
      <c r="U159" s="84"/>
      <c r="V159" s="84"/>
      <c r="W159" s="84"/>
      <c r="X159" s="84"/>
      <c r="Y159" s="84"/>
      <c r="Z159" s="87"/>
      <c r="AA159" s="87"/>
      <c r="AB159" s="87"/>
      <c r="AC159" s="87"/>
      <c r="AD159" s="87"/>
      <c r="AE159" s="87"/>
      <c r="AF159" s="87"/>
      <c r="AG159" s="87"/>
      <c r="AH159" s="87"/>
      <c r="AI159" s="87"/>
      <c r="AJ159" s="87"/>
      <c r="AK159" s="87"/>
      <c r="AL159" s="81"/>
      <c r="AM159" s="81"/>
      <c r="AN159" s="81"/>
      <c r="AO159" s="81"/>
      <c r="AP159" s="81"/>
      <c r="AQ159" s="81"/>
      <c r="AR159" s="81"/>
      <c r="AS159" s="81"/>
      <c r="AT159" s="81"/>
      <c r="AU159" s="81"/>
      <c r="AV159" s="81"/>
      <c r="AW159" s="81"/>
      <c r="AX159" s="81"/>
      <c r="AY159" s="81"/>
      <c r="AZ159" s="81"/>
      <c r="BA159" s="81"/>
      <c r="BB159" s="81"/>
      <c r="BC159" s="81"/>
      <c r="BD159" s="81"/>
      <c r="BE159" s="81"/>
      <c r="BF159" s="81"/>
      <c r="BG159" s="81"/>
      <c r="BH159" s="81"/>
    </row>
    <row r="160" spans="1:60" ht="16">
      <c r="A160" s="82"/>
      <c r="B160" s="82"/>
      <c r="C160" s="147"/>
      <c r="D160" s="83"/>
      <c r="E160" s="84"/>
      <c r="F160" s="148"/>
      <c r="G160" s="84"/>
      <c r="H160" s="82"/>
      <c r="I160" s="84"/>
      <c r="J160" s="89"/>
      <c r="K160" s="89"/>
      <c r="L160" s="89"/>
      <c r="M160" s="89"/>
      <c r="N160" s="98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7"/>
      <c r="AA160" s="87"/>
      <c r="AB160" s="87"/>
      <c r="AC160" s="87"/>
      <c r="AD160" s="87"/>
      <c r="AE160" s="87"/>
      <c r="AF160" s="87"/>
      <c r="AG160" s="87"/>
      <c r="AH160" s="87"/>
      <c r="AI160" s="87"/>
      <c r="AJ160" s="87"/>
      <c r="AK160" s="81"/>
      <c r="AL160" s="81"/>
      <c r="AM160" s="81"/>
      <c r="AN160" s="81"/>
      <c r="AO160" s="81"/>
      <c r="AP160" s="81"/>
      <c r="AQ160" s="81"/>
      <c r="AR160" s="81"/>
      <c r="AS160" s="81"/>
      <c r="AT160" s="81"/>
      <c r="AU160" s="81"/>
      <c r="AV160" s="81"/>
      <c r="AW160" s="81"/>
      <c r="AX160" s="81"/>
      <c r="AY160" s="81"/>
      <c r="AZ160" s="81"/>
      <c r="BA160" s="81"/>
      <c r="BB160" s="81"/>
      <c r="BC160" s="81"/>
      <c r="BD160" s="81"/>
      <c r="BE160" s="81"/>
      <c r="BF160" s="81"/>
      <c r="BG160" s="81"/>
      <c r="BH160" s="81"/>
    </row>
    <row r="161" spans="1:60" ht="16">
      <c r="A161" s="82"/>
      <c r="B161" s="82"/>
      <c r="C161" s="147"/>
      <c r="D161" s="83"/>
      <c r="E161" s="84"/>
      <c r="F161" s="148"/>
      <c r="G161" s="84"/>
      <c r="H161" s="82"/>
      <c r="I161" s="84"/>
      <c r="J161" s="84"/>
      <c r="K161" s="84"/>
      <c r="L161" s="84"/>
      <c r="M161" s="84"/>
      <c r="N161" s="84"/>
      <c r="O161" s="98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7"/>
      <c r="AA161" s="87"/>
      <c r="AB161" s="87"/>
      <c r="AC161" s="87"/>
      <c r="AD161" s="87"/>
      <c r="AE161" s="87"/>
      <c r="AF161" s="87"/>
      <c r="AG161" s="87"/>
      <c r="AH161" s="87"/>
      <c r="AI161" s="87"/>
      <c r="AJ161" s="87"/>
      <c r="AK161" s="87"/>
      <c r="AL161" s="81"/>
      <c r="AM161" s="81"/>
      <c r="AN161" s="81"/>
      <c r="AO161" s="81"/>
      <c r="AP161" s="81"/>
      <c r="AQ161" s="81"/>
      <c r="AR161" s="81"/>
      <c r="AS161" s="81"/>
      <c r="AT161" s="81"/>
      <c r="AU161" s="81"/>
      <c r="AV161" s="81"/>
      <c r="AW161" s="81"/>
      <c r="AX161" s="81"/>
      <c r="AY161" s="81"/>
      <c r="AZ161" s="81"/>
      <c r="BA161" s="81"/>
      <c r="BB161" s="81"/>
      <c r="BC161" s="81"/>
      <c r="BD161" s="81"/>
      <c r="BE161" s="81"/>
      <c r="BF161" s="81"/>
      <c r="BG161" s="81"/>
      <c r="BH161" s="81"/>
    </row>
    <row r="162" spans="1:60" ht="16">
      <c r="A162" s="82"/>
      <c r="B162" s="82"/>
      <c r="C162" s="147"/>
      <c r="D162" s="83"/>
      <c r="E162" s="89"/>
      <c r="F162" s="148"/>
      <c r="G162" s="84"/>
      <c r="H162" s="82"/>
      <c r="I162" s="84"/>
      <c r="J162" s="89"/>
      <c r="K162" s="84"/>
      <c r="L162" s="89"/>
      <c r="M162" s="98"/>
      <c r="N162" s="98"/>
      <c r="O162" s="99"/>
      <c r="P162" s="99"/>
      <c r="Q162" s="99"/>
      <c r="R162" s="99"/>
      <c r="S162" s="99"/>
      <c r="T162" s="99"/>
      <c r="U162" s="84"/>
      <c r="V162" s="84"/>
      <c r="W162" s="84"/>
      <c r="X162" s="84"/>
      <c r="Y162" s="84"/>
      <c r="Z162" s="87"/>
      <c r="AA162" s="87"/>
      <c r="AB162" s="87"/>
      <c r="AC162" s="87"/>
      <c r="AD162" s="87"/>
      <c r="AE162" s="87"/>
      <c r="AF162" s="87"/>
      <c r="AG162" s="87"/>
      <c r="AH162" s="87"/>
      <c r="AI162" s="87"/>
      <c r="AJ162" s="87"/>
      <c r="AK162" s="81"/>
      <c r="AL162" s="81"/>
      <c r="AM162" s="81"/>
      <c r="AN162" s="81"/>
      <c r="AO162" s="81"/>
      <c r="AP162" s="81"/>
      <c r="AQ162" s="81"/>
      <c r="AR162" s="81"/>
      <c r="AS162" s="81"/>
      <c r="AT162" s="81"/>
      <c r="AU162" s="81"/>
      <c r="AV162" s="81"/>
      <c r="AW162" s="81"/>
      <c r="AX162" s="81"/>
      <c r="AY162" s="81"/>
      <c r="AZ162" s="81"/>
      <c r="BA162" s="81"/>
      <c r="BB162" s="81"/>
      <c r="BC162" s="81"/>
      <c r="BD162" s="81"/>
      <c r="BE162" s="81"/>
      <c r="BF162" s="81"/>
      <c r="BG162" s="81"/>
      <c r="BH162" s="81"/>
    </row>
    <row r="163" spans="1:60" ht="16">
      <c r="A163" s="82"/>
      <c r="B163" s="82"/>
      <c r="C163" s="147"/>
      <c r="D163" s="83"/>
      <c r="E163" s="84"/>
      <c r="F163" s="148"/>
      <c r="G163" s="84"/>
      <c r="H163" s="82"/>
      <c r="I163" s="84"/>
      <c r="J163" s="89"/>
      <c r="K163" s="89"/>
      <c r="L163" s="89"/>
      <c r="M163" s="84"/>
      <c r="N163" s="84"/>
      <c r="O163" s="97"/>
      <c r="P163" s="91"/>
      <c r="Q163" s="90"/>
      <c r="R163" s="84"/>
      <c r="S163" s="84"/>
      <c r="T163" s="84"/>
      <c r="U163" s="84"/>
      <c r="V163" s="84"/>
      <c r="W163" s="84"/>
      <c r="X163" s="84"/>
      <c r="Y163" s="84"/>
      <c r="Z163" s="87"/>
      <c r="AA163" s="87"/>
      <c r="AB163" s="87"/>
      <c r="AC163" s="87"/>
      <c r="AD163" s="87"/>
      <c r="AE163" s="87"/>
      <c r="AF163" s="87"/>
      <c r="AG163" s="87"/>
      <c r="AH163" s="87"/>
      <c r="AI163" s="87"/>
      <c r="AJ163" s="87"/>
      <c r="AK163" s="81"/>
      <c r="AL163" s="81"/>
      <c r="AM163" s="81"/>
      <c r="AN163" s="81"/>
      <c r="AO163" s="81"/>
      <c r="AP163" s="81"/>
      <c r="AQ163" s="81"/>
      <c r="AR163" s="81"/>
      <c r="AS163" s="81"/>
      <c r="AT163" s="81"/>
      <c r="AU163" s="81"/>
      <c r="AV163" s="81"/>
      <c r="AW163" s="81"/>
      <c r="AX163" s="81"/>
      <c r="AY163" s="81"/>
      <c r="AZ163" s="81"/>
      <c r="BA163" s="81"/>
      <c r="BB163" s="81"/>
      <c r="BC163" s="81"/>
      <c r="BD163" s="81"/>
      <c r="BE163" s="81"/>
      <c r="BF163" s="81"/>
      <c r="BG163" s="81"/>
      <c r="BH163" s="81"/>
    </row>
    <row r="164" spans="1:60" ht="16">
      <c r="A164" s="82"/>
      <c r="B164" s="82"/>
      <c r="C164" s="147"/>
      <c r="D164" s="83"/>
      <c r="E164" s="84"/>
      <c r="F164" s="148"/>
      <c r="G164" s="91"/>
      <c r="H164" s="82"/>
      <c r="I164" s="84"/>
      <c r="J164" s="145"/>
      <c r="K164" s="145"/>
      <c r="L164" s="146"/>
      <c r="M164" s="84"/>
      <c r="N164" s="84"/>
      <c r="O164" s="98"/>
      <c r="P164" s="91"/>
      <c r="Q164" s="90"/>
      <c r="R164" s="84"/>
      <c r="S164" s="84"/>
      <c r="T164" s="84"/>
      <c r="U164" s="84"/>
      <c r="V164" s="84"/>
      <c r="W164" s="84"/>
      <c r="X164" s="84"/>
      <c r="Y164" s="84"/>
      <c r="Z164" s="87"/>
      <c r="AA164" s="87"/>
      <c r="AB164" s="87"/>
      <c r="AC164" s="87"/>
      <c r="AD164" s="87"/>
      <c r="AE164" s="87"/>
      <c r="AF164" s="87"/>
      <c r="AG164" s="87"/>
      <c r="AH164" s="87"/>
      <c r="AI164" s="87"/>
      <c r="AJ164" s="87"/>
      <c r="AK164" s="87"/>
      <c r="AL164" s="87"/>
      <c r="AM164" s="81"/>
      <c r="AN164" s="81"/>
      <c r="AO164" s="81"/>
      <c r="AP164" s="81"/>
      <c r="AQ164" s="81"/>
      <c r="AR164" s="81"/>
      <c r="AS164" s="81"/>
      <c r="AT164" s="81"/>
      <c r="AU164" s="81"/>
      <c r="AV164" s="81"/>
      <c r="AW164" s="81"/>
      <c r="AX164" s="81"/>
      <c r="AY164" s="81"/>
      <c r="AZ164" s="81"/>
      <c r="BA164" s="81"/>
      <c r="BB164" s="81"/>
      <c r="BC164" s="81"/>
      <c r="BD164" s="81"/>
      <c r="BE164" s="81"/>
      <c r="BF164" s="81"/>
      <c r="BG164" s="81"/>
      <c r="BH164" s="81"/>
    </row>
    <row r="165" spans="1:60" ht="16">
      <c r="A165" s="82"/>
      <c r="B165" s="82"/>
      <c r="C165" s="147"/>
      <c r="D165" s="83"/>
      <c r="E165" s="84"/>
      <c r="F165" s="148"/>
      <c r="G165" s="91"/>
      <c r="H165" s="82"/>
      <c r="I165" s="84"/>
      <c r="J165" s="84"/>
      <c r="K165" s="84"/>
      <c r="L165" s="84"/>
      <c r="M165" s="84"/>
      <c r="N165" s="84"/>
      <c r="O165" s="97"/>
      <c r="P165" s="84"/>
      <c r="Q165" s="90"/>
      <c r="R165" s="84"/>
      <c r="S165" s="84"/>
      <c r="T165" s="84"/>
      <c r="U165" s="84"/>
      <c r="V165" s="84"/>
      <c r="W165" s="84"/>
      <c r="X165" s="84"/>
      <c r="Y165" s="84"/>
      <c r="Z165" s="87"/>
      <c r="AA165" s="87"/>
      <c r="AB165" s="87"/>
      <c r="AC165" s="87"/>
      <c r="AD165" s="87"/>
      <c r="AE165" s="87"/>
      <c r="AF165" s="87"/>
      <c r="AG165" s="87"/>
      <c r="AH165" s="87"/>
      <c r="AI165" s="87"/>
      <c r="AJ165" s="98"/>
      <c r="AK165" s="98"/>
      <c r="AL165" s="98"/>
      <c r="AM165" s="98"/>
      <c r="AN165" s="98"/>
      <c r="AO165" s="98"/>
      <c r="AP165" s="98"/>
      <c r="AQ165" s="98"/>
      <c r="AR165" s="98"/>
      <c r="AS165" s="98"/>
      <c r="AT165" s="98"/>
      <c r="AU165" s="98"/>
      <c r="AV165" s="98"/>
      <c r="AW165" s="98"/>
      <c r="AX165" s="98"/>
      <c r="AY165" s="98"/>
      <c r="AZ165" s="98"/>
      <c r="BA165" s="98"/>
      <c r="BB165" s="98"/>
      <c r="BC165" s="98"/>
      <c r="BD165" s="98"/>
      <c r="BE165" s="98"/>
      <c r="BF165" s="98"/>
      <c r="BG165" s="98"/>
      <c r="BH165" s="98"/>
    </row>
    <row r="166" spans="1:60" ht="16">
      <c r="A166" s="82"/>
      <c r="B166" s="82"/>
      <c r="C166" s="147"/>
      <c r="D166" s="83"/>
      <c r="E166" s="84"/>
      <c r="F166" s="148"/>
      <c r="G166" s="91"/>
      <c r="H166" s="82"/>
      <c r="I166" s="84"/>
      <c r="J166" s="84"/>
      <c r="K166" s="84"/>
      <c r="L166" s="84"/>
      <c r="M166" s="84"/>
      <c r="N166" s="84"/>
      <c r="O166" s="97"/>
      <c r="P166" s="84"/>
      <c r="Q166" s="90"/>
      <c r="R166" s="84"/>
      <c r="S166" s="84"/>
      <c r="T166" s="84"/>
      <c r="U166" s="84"/>
      <c r="V166" s="84"/>
      <c r="W166" s="84"/>
      <c r="X166" s="84"/>
      <c r="Y166" s="84"/>
      <c r="Z166" s="87"/>
      <c r="AA166" s="87"/>
      <c r="AB166" s="87"/>
      <c r="AC166" s="87"/>
      <c r="AD166" s="87"/>
      <c r="AE166" s="87"/>
      <c r="AF166" s="87"/>
      <c r="AG166" s="87"/>
      <c r="AH166" s="87"/>
      <c r="AI166" s="87"/>
      <c r="AJ166" s="98"/>
      <c r="AK166" s="98"/>
      <c r="AL166" s="98"/>
      <c r="AM166" s="98"/>
      <c r="AN166" s="98"/>
      <c r="AO166" s="98"/>
      <c r="AP166" s="98"/>
      <c r="AQ166" s="98"/>
      <c r="AR166" s="98"/>
      <c r="AS166" s="98"/>
      <c r="AT166" s="98"/>
      <c r="AU166" s="98"/>
      <c r="AV166" s="98"/>
      <c r="AW166" s="98"/>
      <c r="AX166" s="98"/>
      <c r="AY166" s="98"/>
      <c r="AZ166" s="98"/>
      <c r="BA166" s="98"/>
      <c r="BB166" s="98"/>
      <c r="BC166" s="98"/>
      <c r="BD166" s="98"/>
      <c r="BE166" s="98"/>
      <c r="BF166" s="98"/>
      <c r="BG166" s="98"/>
      <c r="BH166" s="98"/>
    </row>
    <row r="167" spans="1:60" ht="16">
      <c r="A167" s="82"/>
      <c r="B167" s="82"/>
      <c r="C167" s="147"/>
      <c r="D167" s="83"/>
      <c r="E167" s="84"/>
      <c r="F167" s="148"/>
      <c r="G167" s="84"/>
      <c r="H167" s="82"/>
      <c r="I167" s="84"/>
      <c r="J167" s="89"/>
      <c r="K167" s="89"/>
      <c r="L167" s="89"/>
      <c r="M167" s="89"/>
      <c r="N167" s="98"/>
      <c r="O167" s="84"/>
      <c r="P167" s="84"/>
      <c r="Q167" s="90"/>
      <c r="R167" s="84"/>
      <c r="S167" s="84"/>
      <c r="T167" s="84"/>
      <c r="U167" s="84"/>
      <c r="V167" s="84"/>
      <c r="W167" s="84"/>
      <c r="X167" s="84"/>
      <c r="Y167" s="84"/>
      <c r="Z167" s="87"/>
      <c r="AA167" s="87"/>
      <c r="AB167" s="87"/>
      <c r="AC167" s="87"/>
      <c r="AD167" s="87"/>
      <c r="AE167" s="87"/>
      <c r="AF167" s="87"/>
      <c r="AG167" s="87"/>
      <c r="AH167" s="87"/>
      <c r="AI167" s="87"/>
      <c r="AJ167" s="87"/>
      <c r="AK167" s="81"/>
      <c r="AL167" s="81"/>
      <c r="AM167" s="81"/>
      <c r="AN167" s="81"/>
      <c r="AO167" s="81"/>
      <c r="AP167" s="81"/>
      <c r="AQ167" s="81"/>
      <c r="AR167" s="81"/>
      <c r="AS167" s="81"/>
      <c r="AT167" s="81"/>
      <c r="AU167" s="81"/>
      <c r="AV167" s="81"/>
      <c r="AW167" s="81"/>
      <c r="AX167" s="81"/>
      <c r="AY167" s="81"/>
      <c r="AZ167" s="81"/>
      <c r="BA167" s="81"/>
      <c r="BB167" s="81"/>
      <c r="BC167" s="81"/>
      <c r="BD167" s="81"/>
      <c r="BE167" s="81"/>
      <c r="BF167" s="81"/>
      <c r="BG167" s="81"/>
      <c r="BH167" s="81"/>
    </row>
    <row r="168" spans="1:60" ht="16">
      <c r="A168" s="82"/>
      <c r="B168" s="82"/>
      <c r="C168" s="147"/>
      <c r="D168" s="83"/>
      <c r="E168" s="84"/>
      <c r="F168" s="151"/>
      <c r="G168" s="84"/>
      <c r="H168" s="82"/>
      <c r="I168" s="84"/>
      <c r="J168" s="84"/>
      <c r="K168" s="84"/>
      <c r="L168" s="84"/>
      <c r="M168" s="84"/>
      <c r="N168" s="84"/>
      <c r="O168" s="97"/>
      <c r="P168" s="84"/>
      <c r="Q168" s="84"/>
      <c r="R168" s="84"/>
      <c r="S168" s="91"/>
      <c r="T168" s="91"/>
      <c r="U168" s="84"/>
      <c r="V168" s="84"/>
      <c r="W168" s="84"/>
      <c r="X168" s="84"/>
      <c r="Y168" s="84"/>
      <c r="Z168" s="87"/>
      <c r="AA168" s="87"/>
      <c r="AB168" s="87"/>
      <c r="AC168" s="87"/>
      <c r="AD168" s="87"/>
      <c r="AE168" s="87"/>
      <c r="AF168" s="87"/>
      <c r="AG168" s="87"/>
      <c r="AH168" s="87"/>
      <c r="AI168" s="87"/>
      <c r="AJ168" s="98"/>
      <c r="AK168" s="98"/>
      <c r="AL168" s="98"/>
      <c r="AM168" s="98"/>
      <c r="AN168" s="98"/>
      <c r="AO168" s="98"/>
      <c r="AP168" s="98"/>
      <c r="AQ168" s="98"/>
      <c r="AR168" s="98"/>
      <c r="AS168" s="98"/>
      <c r="AT168" s="98"/>
      <c r="AU168" s="98"/>
      <c r="AV168" s="98"/>
      <c r="AW168" s="98"/>
      <c r="AX168" s="98"/>
      <c r="AY168" s="98"/>
      <c r="AZ168" s="98"/>
      <c r="BA168" s="98"/>
      <c r="BB168" s="98"/>
      <c r="BC168" s="98"/>
      <c r="BD168" s="98"/>
      <c r="BE168" s="98"/>
      <c r="BF168" s="98"/>
      <c r="BG168" s="98"/>
      <c r="BH168" s="98"/>
    </row>
    <row r="169" spans="1:60" ht="16">
      <c r="A169" s="82"/>
      <c r="B169" s="82"/>
      <c r="C169" s="147"/>
      <c r="D169" s="83"/>
      <c r="E169" s="84"/>
      <c r="F169" s="148"/>
      <c r="G169" s="89"/>
      <c r="H169" s="82"/>
      <c r="I169" s="89"/>
      <c r="J169" s="89"/>
      <c r="K169" s="89"/>
      <c r="L169" s="89"/>
      <c r="M169" s="89"/>
      <c r="N169" s="84"/>
      <c r="O169" s="98"/>
      <c r="P169" s="89"/>
      <c r="Q169" s="89"/>
      <c r="R169" s="84"/>
      <c r="S169" s="84"/>
      <c r="T169" s="84"/>
      <c r="U169" s="84"/>
      <c r="V169" s="84"/>
      <c r="W169" s="84"/>
      <c r="X169" s="84"/>
      <c r="Y169" s="84"/>
      <c r="Z169" s="87"/>
      <c r="AA169" s="87"/>
      <c r="AB169" s="87"/>
      <c r="AC169" s="87"/>
      <c r="AD169" s="87"/>
      <c r="AE169" s="87"/>
      <c r="AF169" s="87"/>
      <c r="AG169" s="87"/>
      <c r="AH169" s="87"/>
      <c r="AI169" s="87"/>
      <c r="AJ169" s="87"/>
      <c r="AK169" s="81"/>
      <c r="AL169" s="81"/>
      <c r="AM169" s="81"/>
      <c r="AN169" s="81"/>
      <c r="AO169" s="81"/>
      <c r="AP169" s="81"/>
      <c r="AQ169" s="81"/>
      <c r="AR169" s="81"/>
      <c r="AS169" s="81"/>
      <c r="AT169" s="81"/>
      <c r="AU169" s="81"/>
      <c r="AV169" s="81"/>
      <c r="AW169" s="81"/>
      <c r="AX169" s="81"/>
      <c r="AY169" s="81"/>
      <c r="AZ169" s="81"/>
      <c r="BA169" s="81"/>
      <c r="BB169" s="81"/>
      <c r="BC169" s="81"/>
      <c r="BD169" s="81"/>
      <c r="BE169" s="81"/>
      <c r="BF169" s="81"/>
      <c r="BG169" s="81"/>
      <c r="BH169" s="81"/>
    </row>
    <row r="170" spans="1:60" ht="16">
      <c r="A170" s="82"/>
      <c r="B170" s="82"/>
      <c r="C170" s="147"/>
      <c r="D170" s="83"/>
      <c r="E170" s="84"/>
      <c r="F170" s="151"/>
      <c r="G170" s="84"/>
      <c r="H170" s="82"/>
      <c r="I170" s="152"/>
      <c r="J170" s="84"/>
      <c r="K170" s="84"/>
      <c r="L170" s="84"/>
      <c r="M170" s="84"/>
      <c r="N170" s="84"/>
      <c r="O170" s="97"/>
      <c r="P170" s="97"/>
      <c r="Q170" s="97"/>
      <c r="R170" s="88"/>
      <c r="S170" s="88"/>
      <c r="T170" s="90"/>
      <c r="U170" s="90"/>
      <c r="V170" s="84"/>
      <c r="W170" s="84"/>
      <c r="X170" s="84"/>
      <c r="Y170" s="84"/>
      <c r="Z170" s="87"/>
      <c r="AA170" s="87"/>
      <c r="AB170" s="87"/>
      <c r="AC170" s="87"/>
      <c r="AD170" s="87"/>
      <c r="AE170" s="87"/>
      <c r="AF170" s="87"/>
      <c r="AG170" s="87"/>
      <c r="AH170" s="87"/>
      <c r="AI170" s="87"/>
      <c r="AJ170" s="87"/>
      <c r="AK170" s="87"/>
      <c r="AL170" s="87"/>
      <c r="AM170" s="81"/>
      <c r="AN170" s="81"/>
      <c r="AO170" s="81"/>
      <c r="AP170" s="81"/>
      <c r="AQ170" s="81"/>
      <c r="AR170" s="81"/>
      <c r="AS170" s="81"/>
      <c r="AT170" s="81"/>
      <c r="AU170" s="81"/>
      <c r="AV170" s="81"/>
      <c r="AW170" s="81"/>
      <c r="AX170" s="81"/>
      <c r="AY170" s="81"/>
      <c r="AZ170" s="81"/>
      <c r="BA170" s="81"/>
      <c r="BB170" s="81"/>
      <c r="BC170" s="81"/>
      <c r="BD170" s="81"/>
      <c r="BE170" s="81"/>
      <c r="BF170" s="81"/>
      <c r="BG170" s="81"/>
      <c r="BH170" s="81"/>
    </row>
    <row r="171" spans="1:60" ht="16">
      <c r="A171" s="82"/>
      <c r="B171" s="82"/>
      <c r="C171" s="82"/>
      <c r="D171" s="83"/>
      <c r="E171" s="84"/>
      <c r="F171" s="84"/>
      <c r="G171" s="84"/>
      <c r="H171" s="82"/>
      <c r="I171" s="152"/>
      <c r="J171" s="84"/>
      <c r="K171" s="84"/>
      <c r="L171" s="84"/>
      <c r="M171" s="84"/>
      <c r="N171" s="84"/>
      <c r="O171" s="90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7"/>
      <c r="AA171" s="87"/>
      <c r="AB171" s="87"/>
      <c r="AC171" s="87"/>
      <c r="AD171" s="87"/>
      <c r="AE171" s="87"/>
      <c r="AF171" s="87"/>
      <c r="AG171" s="87"/>
      <c r="AH171" s="87"/>
      <c r="AI171" s="87"/>
      <c r="AJ171" s="87"/>
      <c r="AK171" s="87"/>
      <c r="AL171" s="87"/>
      <c r="AM171" s="81"/>
      <c r="AN171" s="81"/>
      <c r="AO171" s="81"/>
      <c r="AP171" s="81"/>
      <c r="AQ171" s="81"/>
      <c r="AR171" s="81"/>
      <c r="AS171" s="81"/>
      <c r="AT171" s="81"/>
      <c r="AU171" s="81"/>
      <c r="AV171" s="81"/>
      <c r="AW171" s="81"/>
      <c r="AX171" s="81"/>
      <c r="AY171" s="81"/>
      <c r="AZ171" s="81"/>
      <c r="BA171" s="81"/>
      <c r="BB171" s="81"/>
      <c r="BC171" s="81"/>
      <c r="BD171" s="81"/>
      <c r="BE171" s="81"/>
      <c r="BF171" s="81"/>
      <c r="BG171" s="81"/>
      <c r="BH171" s="81"/>
    </row>
    <row r="172" spans="1:60" ht="16">
      <c r="A172" s="82"/>
      <c r="B172" s="82"/>
      <c r="C172" s="82"/>
      <c r="D172" s="83"/>
      <c r="E172" s="84"/>
      <c r="F172" s="140"/>
      <c r="G172" s="91"/>
      <c r="H172" s="82"/>
      <c r="I172" s="84"/>
      <c r="J172" s="84"/>
      <c r="K172" s="84"/>
      <c r="L172" s="84"/>
      <c r="M172" s="84"/>
      <c r="N172" s="84"/>
      <c r="O172" s="90"/>
      <c r="P172" s="91"/>
      <c r="Q172" s="84"/>
      <c r="R172" s="84"/>
      <c r="S172" s="84"/>
      <c r="T172" s="84"/>
      <c r="U172" s="84"/>
      <c r="V172" s="84"/>
      <c r="W172" s="84"/>
      <c r="X172" s="84"/>
      <c r="Y172" s="84"/>
      <c r="Z172" s="87"/>
      <c r="AA172" s="87"/>
      <c r="AB172" s="87"/>
      <c r="AC172" s="87"/>
      <c r="AD172" s="87"/>
      <c r="AE172" s="87"/>
      <c r="AF172" s="87"/>
      <c r="AG172" s="87"/>
      <c r="AH172" s="87"/>
      <c r="AI172" s="87"/>
      <c r="AJ172" s="87"/>
      <c r="AK172" s="87"/>
      <c r="AL172" s="81"/>
      <c r="AM172" s="81"/>
      <c r="AN172" s="81"/>
      <c r="AO172" s="81"/>
      <c r="AP172" s="81"/>
      <c r="AQ172" s="81"/>
      <c r="AR172" s="81"/>
      <c r="AS172" s="81"/>
      <c r="AT172" s="81"/>
      <c r="AU172" s="81"/>
      <c r="AV172" s="81"/>
      <c r="AW172" s="81"/>
      <c r="AX172" s="81"/>
      <c r="AY172" s="81"/>
      <c r="AZ172" s="81"/>
      <c r="BA172" s="81"/>
      <c r="BB172" s="81"/>
      <c r="BC172" s="81"/>
      <c r="BD172" s="81"/>
      <c r="BE172" s="81"/>
      <c r="BF172" s="81"/>
      <c r="BG172" s="81"/>
      <c r="BH172" s="81"/>
    </row>
    <row r="173" spans="1:60" ht="16">
      <c r="A173" s="82"/>
      <c r="B173" s="82"/>
      <c r="C173" s="82"/>
      <c r="D173" s="83"/>
      <c r="E173" s="84"/>
      <c r="F173" s="84"/>
      <c r="G173" s="84"/>
      <c r="H173" s="82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7"/>
      <c r="AA173" s="87"/>
      <c r="AB173" s="87"/>
      <c r="AC173" s="87"/>
      <c r="AD173" s="87"/>
      <c r="AE173" s="87"/>
      <c r="AF173" s="87"/>
      <c r="AG173" s="87"/>
      <c r="AH173" s="87"/>
      <c r="AI173" s="87"/>
      <c r="AJ173" s="87"/>
      <c r="AK173" s="87"/>
      <c r="AL173" s="87"/>
      <c r="AM173" s="81"/>
      <c r="AN173" s="81"/>
      <c r="AO173" s="81"/>
      <c r="AP173" s="81"/>
      <c r="AQ173" s="81"/>
      <c r="AR173" s="81"/>
      <c r="AS173" s="81"/>
      <c r="AT173" s="81"/>
      <c r="AU173" s="81"/>
      <c r="AV173" s="81"/>
      <c r="AW173" s="81"/>
      <c r="AX173" s="81"/>
      <c r="AY173" s="81"/>
      <c r="AZ173" s="81"/>
      <c r="BA173" s="81"/>
      <c r="BB173" s="81"/>
      <c r="BC173" s="81"/>
      <c r="BD173" s="81"/>
      <c r="BE173" s="81"/>
      <c r="BF173" s="81"/>
      <c r="BG173" s="81"/>
      <c r="BH173" s="81"/>
    </row>
    <row r="174" spans="1:60" ht="16">
      <c r="A174" s="82"/>
      <c r="B174" s="82"/>
      <c r="C174" s="82"/>
      <c r="D174" s="83"/>
      <c r="E174" s="84"/>
      <c r="F174" s="84"/>
      <c r="G174" s="84"/>
      <c r="H174" s="82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7"/>
      <c r="AA174" s="87"/>
      <c r="AB174" s="87"/>
      <c r="AC174" s="87"/>
      <c r="AD174" s="87"/>
      <c r="AE174" s="87"/>
      <c r="AF174" s="87"/>
      <c r="AG174" s="87"/>
      <c r="AH174" s="87"/>
      <c r="AI174" s="87"/>
      <c r="AJ174" s="87"/>
      <c r="AK174" s="87"/>
      <c r="AL174" s="87"/>
      <c r="AM174" s="81"/>
      <c r="AN174" s="81"/>
      <c r="AO174" s="81"/>
      <c r="AP174" s="81"/>
      <c r="AQ174" s="81"/>
      <c r="AR174" s="81"/>
      <c r="AS174" s="81"/>
      <c r="AT174" s="81"/>
      <c r="AU174" s="81"/>
      <c r="AV174" s="81"/>
      <c r="AW174" s="81"/>
      <c r="AX174" s="81"/>
      <c r="AY174" s="81"/>
      <c r="AZ174" s="81"/>
      <c r="BA174" s="81"/>
      <c r="BB174" s="81"/>
      <c r="BC174" s="81"/>
      <c r="BD174" s="81"/>
      <c r="BE174" s="81"/>
      <c r="BF174" s="81"/>
      <c r="BG174" s="81"/>
      <c r="BH174" s="81"/>
    </row>
    <row r="175" spans="1:60" ht="16">
      <c r="A175" s="82"/>
      <c r="B175" s="82"/>
      <c r="C175" s="82"/>
      <c r="D175" s="83"/>
      <c r="E175" s="84"/>
      <c r="F175" s="84"/>
      <c r="G175" s="84"/>
      <c r="H175" s="82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7"/>
      <c r="AA175" s="87"/>
      <c r="AB175" s="87"/>
      <c r="AC175" s="87"/>
      <c r="AD175" s="87"/>
      <c r="AE175" s="87"/>
      <c r="AF175" s="87"/>
      <c r="AG175" s="87"/>
      <c r="AH175" s="87"/>
      <c r="AI175" s="87"/>
      <c r="AJ175" s="87"/>
      <c r="AK175" s="87"/>
      <c r="AL175" s="87"/>
      <c r="AM175" s="81"/>
      <c r="AN175" s="81"/>
      <c r="AO175" s="81"/>
      <c r="AP175" s="81"/>
      <c r="AQ175" s="81"/>
      <c r="AR175" s="81"/>
      <c r="AS175" s="81"/>
      <c r="AT175" s="81"/>
      <c r="AU175" s="81"/>
      <c r="AV175" s="81"/>
      <c r="AW175" s="81"/>
      <c r="AX175" s="81"/>
      <c r="AY175" s="81"/>
      <c r="AZ175" s="81"/>
      <c r="BA175" s="81"/>
      <c r="BB175" s="81"/>
      <c r="BC175" s="81"/>
      <c r="BD175" s="81"/>
      <c r="BE175" s="81"/>
      <c r="BF175" s="81"/>
      <c r="BG175" s="81"/>
      <c r="BH175" s="81"/>
    </row>
    <row r="176" spans="1:60" ht="16">
      <c r="A176" s="82"/>
      <c r="B176" s="82"/>
      <c r="C176" s="82"/>
      <c r="D176" s="83"/>
      <c r="E176" s="84"/>
      <c r="F176" s="84"/>
      <c r="G176" s="84"/>
      <c r="H176" s="82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7"/>
      <c r="AA176" s="87"/>
      <c r="AB176" s="87"/>
      <c r="AC176" s="87"/>
      <c r="AD176" s="87"/>
      <c r="AE176" s="87"/>
      <c r="AF176" s="87"/>
      <c r="AG176" s="87"/>
      <c r="AH176" s="87"/>
      <c r="AI176" s="87"/>
      <c r="AJ176" s="87"/>
      <c r="AK176" s="87"/>
      <c r="AL176" s="87"/>
      <c r="AM176" s="81"/>
      <c r="AN176" s="81"/>
      <c r="AO176" s="81"/>
      <c r="AP176" s="81"/>
      <c r="AQ176" s="81"/>
      <c r="AR176" s="81"/>
      <c r="AS176" s="81"/>
      <c r="AT176" s="81"/>
      <c r="AU176" s="81"/>
      <c r="AV176" s="81"/>
      <c r="AW176" s="81"/>
      <c r="AX176" s="81"/>
      <c r="AY176" s="81"/>
      <c r="AZ176" s="81"/>
      <c r="BA176" s="81"/>
      <c r="BB176" s="81"/>
      <c r="BC176" s="81"/>
      <c r="BD176" s="81"/>
      <c r="BE176" s="81"/>
      <c r="BF176" s="81"/>
      <c r="BG176" s="81"/>
      <c r="BH176" s="81"/>
    </row>
    <row r="177" spans="1:60" ht="16">
      <c r="A177" s="82"/>
      <c r="B177" s="82"/>
      <c r="C177" s="82"/>
      <c r="D177" s="83"/>
      <c r="E177" s="84"/>
      <c r="F177" s="84"/>
      <c r="G177" s="84"/>
      <c r="H177" s="82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7"/>
      <c r="AA177" s="87"/>
      <c r="AB177" s="87"/>
      <c r="AC177" s="87"/>
      <c r="AD177" s="87"/>
      <c r="AE177" s="87"/>
      <c r="AF177" s="87"/>
      <c r="AG177" s="87"/>
      <c r="AH177" s="87"/>
      <c r="AI177" s="87"/>
      <c r="AJ177" s="87"/>
      <c r="AK177" s="87"/>
      <c r="AL177" s="87"/>
      <c r="AM177" s="81"/>
      <c r="AN177" s="81"/>
      <c r="AO177" s="81"/>
      <c r="AP177" s="81"/>
      <c r="AQ177" s="81"/>
      <c r="AR177" s="81"/>
      <c r="AS177" s="81"/>
      <c r="AT177" s="81"/>
      <c r="AU177" s="81"/>
      <c r="AV177" s="81"/>
      <c r="AW177" s="81"/>
      <c r="AX177" s="81"/>
      <c r="AY177" s="81"/>
      <c r="AZ177" s="81"/>
      <c r="BA177" s="81"/>
      <c r="BB177" s="81"/>
      <c r="BC177" s="81"/>
      <c r="BD177" s="81"/>
      <c r="BE177" s="81"/>
      <c r="BF177" s="81"/>
      <c r="BG177" s="81"/>
      <c r="BH177" s="81"/>
    </row>
    <row r="178" spans="1:60" ht="16">
      <c r="A178" s="82"/>
      <c r="B178" s="82"/>
      <c r="C178" s="82"/>
      <c r="D178" s="83"/>
      <c r="E178" s="84"/>
      <c r="F178" s="84"/>
      <c r="G178" s="84"/>
      <c r="H178" s="82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7"/>
      <c r="AA178" s="87"/>
      <c r="AB178" s="87"/>
      <c r="AC178" s="87"/>
      <c r="AD178" s="87"/>
      <c r="AE178" s="87"/>
      <c r="AF178" s="87"/>
      <c r="AG178" s="87"/>
      <c r="AH178" s="87"/>
      <c r="AI178" s="87"/>
      <c r="AJ178" s="87"/>
      <c r="AK178" s="87"/>
      <c r="AL178" s="87"/>
      <c r="AM178" s="81"/>
      <c r="AN178" s="81"/>
      <c r="AO178" s="81"/>
      <c r="AP178" s="81"/>
      <c r="AQ178" s="81"/>
      <c r="AR178" s="81"/>
      <c r="AS178" s="81"/>
      <c r="AT178" s="81"/>
      <c r="AU178" s="81"/>
      <c r="AV178" s="81"/>
      <c r="AW178" s="81"/>
      <c r="AX178" s="81"/>
      <c r="AY178" s="81"/>
      <c r="AZ178" s="81"/>
      <c r="BA178" s="81"/>
      <c r="BB178" s="81"/>
      <c r="BC178" s="81"/>
      <c r="BD178" s="81"/>
      <c r="BE178" s="81"/>
      <c r="BF178" s="81"/>
      <c r="BG178" s="81"/>
      <c r="BH178" s="81"/>
    </row>
    <row r="179" spans="1:60" ht="16">
      <c r="A179" s="82"/>
      <c r="B179" s="82"/>
      <c r="C179" s="82"/>
      <c r="D179" s="83"/>
      <c r="E179" s="84"/>
      <c r="F179" s="84"/>
      <c r="G179" s="84"/>
      <c r="H179" s="82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7"/>
      <c r="AA179" s="87"/>
      <c r="AB179" s="87"/>
      <c r="AC179" s="87"/>
      <c r="AD179" s="87"/>
      <c r="AE179" s="87"/>
      <c r="AF179" s="87"/>
      <c r="AG179" s="87"/>
      <c r="AH179" s="87"/>
      <c r="AI179" s="87"/>
      <c r="AJ179" s="87"/>
      <c r="AK179" s="87"/>
      <c r="AL179" s="87"/>
      <c r="AM179" s="87"/>
      <c r="AN179" s="87"/>
      <c r="AO179" s="87"/>
      <c r="AP179" s="87"/>
      <c r="AQ179" s="87"/>
      <c r="AR179" s="87"/>
      <c r="AS179" s="87"/>
      <c r="AT179" s="87"/>
      <c r="AU179" s="87"/>
      <c r="AV179" s="87"/>
      <c r="AW179" s="87"/>
      <c r="AX179" s="87"/>
      <c r="AY179" s="87"/>
      <c r="AZ179" s="87"/>
      <c r="BA179" s="87"/>
      <c r="BB179" s="87"/>
      <c r="BC179" s="87"/>
      <c r="BD179" s="87"/>
      <c r="BE179" s="87"/>
      <c r="BF179" s="87"/>
      <c r="BG179" s="87"/>
      <c r="BH179" s="87"/>
    </row>
    <row r="180" spans="1:60" ht="16">
      <c r="A180" s="82"/>
      <c r="B180" s="82"/>
      <c r="C180" s="82"/>
      <c r="D180" s="83"/>
      <c r="E180" s="84"/>
      <c r="F180" s="84"/>
      <c r="G180" s="84"/>
      <c r="H180" s="82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7"/>
      <c r="AA180" s="87"/>
      <c r="AB180" s="87"/>
      <c r="AC180" s="87"/>
      <c r="AD180" s="87"/>
      <c r="AE180" s="87"/>
      <c r="AF180" s="87"/>
      <c r="AG180" s="87"/>
      <c r="AH180" s="87"/>
      <c r="AI180" s="87"/>
      <c r="AJ180" s="87"/>
      <c r="AK180" s="87"/>
      <c r="AL180" s="87"/>
      <c r="AM180" s="87"/>
      <c r="AN180" s="87"/>
      <c r="AO180" s="87"/>
      <c r="AP180" s="87"/>
      <c r="AQ180" s="87"/>
      <c r="AR180" s="87"/>
      <c r="AS180" s="87"/>
      <c r="AT180" s="87"/>
      <c r="AU180" s="87"/>
      <c r="AV180" s="87"/>
      <c r="AW180" s="87"/>
      <c r="AX180" s="87"/>
      <c r="AY180" s="87"/>
      <c r="AZ180" s="87"/>
      <c r="BA180" s="87"/>
      <c r="BB180" s="87"/>
      <c r="BC180" s="87"/>
      <c r="BD180" s="87"/>
      <c r="BE180" s="87"/>
      <c r="BF180" s="87"/>
      <c r="BG180" s="87"/>
      <c r="BH180" s="87"/>
    </row>
    <row r="181" spans="1:60" ht="16">
      <c r="A181" s="82"/>
      <c r="B181" s="82"/>
      <c r="C181" s="82"/>
      <c r="D181" s="83"/>
      <c r="E181" s="84"/>
      <c r="F181" s="84"/>
      <c r="G181" s="84"/>
      <c r="H181" s="82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7"/>
      <c r="AA181" s="87"/>
      <c r="AB181" s="87"/>
      <c r="AC181" s="87"/>
      <c r="AD181" s="87"/>
      <c r="AE181" s="87"/>
      <c r="AF181" s="87"/>
      <c r="AG181" s="87"/>
      <c r="AH181" s="87"/>
      <c r="AI181" s="87"/>
      <c r="AJ181" s="87"/>
      <c r="AK181" s="87"/>
      <c r="AL181" s="87"/>
      <c r="AM181" s="87"/>
      <c r="AN181" s="87"/>
      <c r="AO181" s="87"/>
      <c r="AP181" s="87"/>
      <c r="AQ181" s="87"/>
      <c r="AR181" s="87"/>
      <c r="AS181" s="87"/>
      <c r="AT181" s="87"/>
      <c r="AU181" s="87"/>
      <c r="AV181" s="87"/>
      <c r="AW181" s="87"/>
      <c r="AX181" s="87"/>
      <c r="AY181" s="87"/>
      <c r="AZ181" s="87"/>
      <c r="BA181" s="87"/>
      <c r="BB181" s="87"/>
      <c r="BC181" s="87"/>
      <c r="BD181" s="87"/>
      <c r="BE181" s="87"/>
      <c r="BF181" s="87"/>
      <c r="BG181" s="87"/>
      <c r="BH181" s="87"/>
    </row>
    <row r="182" spans="1:60" ht="16">
      <c r="A182" s="82"/>
      <c r="B182" s="82"/>
      <c r="C182" s="82"/>
      <c r="D182" s="83"/>
      <c r="E182" s="84"/>
      <c r="F182" s="84"/>
      <c r="G182" s="84"/>
      <c r="H182" s="82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7"/>
      <c r="AA182" s="87"/>
      <c r="AB182" s="87"/>
      <c r="AC182" s="87"/>
      <c r="AD182" s="87"/>
      <c r="AE182" s="87"/>
      <c r="AF182" s="87"/>
      <c r="AG182" s="87"/>
      <c r="AH182" s="87"/>
      <c r="AI182" s="87"/>
      <c r="AJ182" s="87"/>
      <c r="AK182" s="87"/>
      <c r="AL182" s="87"/>
      <c r="AM182" s="87"/>
      <c r="AN182" s="87"/>
      <c r="AO182" s="87"/>
      <c r="AP182" s="87"/>
      <c r="AQ182" s="87"/>
      <c r="AR182" s="87"/>
      <c r="AS182" s="87"/>
      <c r="AT182" s="87"/>
      <c r="AU182" s="87"/>
      <c r="AV182" s="87"/>
      <c r="AW182" s="87"/>
      <c r="AX182" s="87"/>
      <c r="AY182" s="87"/>
      <c r="AZ182" s="87"/>
      <c r="BA182" s="87"/>
      <c r="BB182" s="87"/>
      <c r="BC182" s="87"/>
      <c r="BD182" s="87"/>
      <c r="BE182" s="87"/>
      <c r="BF182" s="87"/>
      <c r="BG182" s="87"/>
      <c r="BH182" s="87"/>
    </row>
    <row r="183" spans="1:60" ht="16">
      <c r="A183" s="82"/>
      <c r="B183" s="82"/>
      <c r="C183" s="82"/>
      <c r="D183" s="83"/>
      <c r="E183" s="84"/>
      <c r="F183" s="84"/>
      <c r="G183" s="84"/>
      <c r="H183" s="82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7"/>
      <c r="AA183" s="87"/>
      <c r="AB183" s="87"/>
      <c r="AC183" s="87"/>
      <c r="AD183" s="87"/>
      <c r="AE183" s="87"/>
      <c r="AF183" s="87"/>
      <c r="AG183" s="87"/>
      <c r="AH183" s="87"/>
      <c r="AI183" s="87"/>
      <c r="AJ183" s="87"/>
      <c r="AK183" s="87"/>
      <c r="AL183" s="87"/>
      <c r="AM183" s="87"/>
      <c r="AN183" s="87"/>
      <c r="AO183" s="87"/>
      <c r="AP183" s="87"/>
      <c r="AQ183" s="87"/>
      <c r="AR183" s="87"/>
      <c r="AS183" s="87"/>
      <c r="AT183" s="87"/>
      <c r="AU183" s="87"/>
      <c r="AV183" s="87"/>
      <c r="AW183" s="87"/>
      <c r="AX183" s="87"/>
      <c r="AY183" s="87"/>
      <c r="AZ183" s="87"/>
      <c r="BA183" s="87"/>
      <c r="BB183" s="87"/>
      <c r="BC183" s="87"/>
      <c r="BD183" s="87"/>
      <c r="BE183" s="87"/>
      <c r="BF183" s="87"/>
      <c r="BG183" s="87"/>
      <c r="BH183" s="87"/>
    </row>
    <row r="184" spans="1:60" ht="16">
      <c r="A184" s="82"/>
      <c r="B184" s="82"/>
      <c r="C184" s="82"/>
      <c r="D184" s="83"/>
      <c r="E184" s="84"/>
      <c r="F184" s="84"/>
      <c r="G184" s="84"/>
      <c r="H184" s="82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7"/>
      <c r="AA184" s="87"/>
      <c r="AB184" s="87"/>
      <c r="AC184" s="87"/>
      <c r="AD184" s="87"/>
      <c r="AE184" s="87"/>
      <c r="AF184" s="87"/>
      <c r="AG184" s="87"/>
      <c r="AH184" s="87"/>
      <c r="AI184" s="87"/>
      <c r="AJ184" s="87"/>
      <c r="AK184" s="87"/>
      <c r="AL184" s="87"/>
      <c r="AM184" s="87"/>
      <c r="AN184" s="87"/>
      <c r="AO184" s="87"/>
      <c r="AP184" s="87"/>
      <c r="AQ184" s="87"/>
      <c r="AR184" s="87"/>
      <c r="AS184" s="87"/>
      <c r="AT184" s="87"/>
      <c r="AU184" s="87"/>
      <c r="AV184" s="87"/>
      <c r="AW184" s="87"/>
      <c r="AX184" s="87"/>
      <c r="AY184" s="87"/>
      <c r="AZ184" s="87"/>
      <c r="BA184" s="87"/>
      <c r="BB184" s="87"/>
      <c r="BC184" s="87"/>
      <c r="BD184" s="87"/>
      <c r="BE184" s="87"/>
      <c r="BF184" s="87"/>
      <c r="BG184" s="87"/>
      <c r="BH184" s="87"/>
    </row>
    <row r="185" spans="1:60" ht="16">
      <c r="A185" s="82"/>
      <c r="B185" s="82"/>
      <c r="C185" s="82"/>
      <c r="D185" s="83"/>
      <c r="E185" s="84"/>
      <c r="F185" s="84"/>
      <c r="G185" s="84"/>
      <c r="H185" s="82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7"/>
      <c r="AA185" s="87"/>
      <c r="AB185" s="87"/>
      <c r="AC185" s="87"/>
      <c r="AD185" s="87"/>
      <c r="AE185" s="87"/>
      <c r="AF185" s="87"/>
      <c r="AG185" s="87"/>
      <c r="AH185" s="87"/>
      <c r="AI185" s="87"/>
      <c r="AJ185" s="87"/>
      <c r="AK185" s="87"/>
      <c r="AL185" s="87"/>
      <c r="AM185" s="87"/>
      <c r="AN185" s="87"/>
      <c r="AO185" s="87"/>
      <c r="AP185" s="87"/>
      <c r="AQ185" s="87"/>
      <c r="AR185" s="87"/>
      <c r="AS185" s="87"/>
      <c r="AT185" s="87"/>
      <c r="AU185" s="87"/>
      <c r="AV185" s="87"/>
      <c r="AW185" s="87"/>
      <c r="AX185" s="87"/>
      <c r="AY185" s="87"/>
      <c r="AZ185" s="87"/>
      <c r="BA185" s="87"/>
      <c r="BB185" s="87"/>
      <c r="BC185" s="87"/>
      <c r="BD185" s="87"/>
      <c r="BE185" s="87"/>
      <c r="BF185" s="87"/>
      <c r="BG185" s="87"/>
      <c r="BH185" s="87"/>
    </row>
    <row r="186" spans="1:60" ht="16">
      <c r="A186" s="82"/>
      <c r="B186" s="82"/>
      <c r="C186" s="82"/>
      <c r="D186" s="83"/>
      <c r="E186" s="84"/>
      <c r="F186" s="84"/>
      <c r="G186" s="84"/>
      <c r="H186" s="82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7"/>
      <c r="AA186" s="87"/>
      <c r="AB186" s="87"/>
      <c r="AC186" s="87"/>
      <c r="AD186" s="87"/>
      <c r="AE186" s="87"/>
      <c r="AF186" s="87"/>
      <c r="AG186" s="87"/>
      <c r="AH186" s="87"/>
      <c r="AI186" s="87"/>
      <c r="AJ186" s="87"/>
      <c r="AK186" s="87"/>
      <c r="AL186" s="87"/>
      <c r="AM186" s="87"/>
      <c r="AN186" s="87"/>
      <c r="AO186" s="87"/>
      <c r="AP186" s="87"/>
      <c r="AQ186" s="87"/>
      <c r="AR186" s="87"/>
      <c r="AS186" s="87"/>
      <c r="AT186" s="87"/>
      <c r="AU186" s="87"/>
      <c r="AV186" s="87"/>
      <c r="AW186" s="87"/>
      <c r="AX186" s="87"/>
      <c r="AY186" s="87"/>
      <c r="AZ186" s="87"/>
      <c r="BA186" s="87"/>
      <c r="BB186" s="87"/>
      <c r="BC186" s="87"/>
      <c r="BD186" s="87"/>
      <c r="BE186" s="87"/>
      <c r="BF186" s="87"/>
      <c r="BG186" s="87"/>
      <c r="BH186" s="87"/>
    </row>
    <row r="187" spans="1:60" ht="16">
      <c r="A187" s="82"/>
      <c r="B187" s="82"/>
      <c r="C187" s="82"/>
      <c r="D187" s="83"/>
      <c r="E187" s="84"/>
      <c r="F187" s="84"/>
      <c r="G187" s="84"/>
      <c r="H187" s="82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7"/>
      <c r="AA187" s="87"/>
      <c r="AB187" s="87"/>
      <c r="AC187" s="87"/>
      <c r="AD187" s="87"/>
      <c r="AE187" s="87"/>
      <c r="AF187" s="87"/>
      <c r="AG187" s="87"/>
      <c r="AH187" s="87"/>
      <c r="AI187" s="87"/>
      <c r="AJ187" s="87"/>
      <c r="AK187" s="87"/>
      <c r="AL187" s="87"/>
      <c r="AM187" s="87"/>
      <c r="AN187" s="87"/>
      <c r="AO187" s="87"/>
      <c r="AP187" s="87"/>
      <c r="AQ187" s="87"/>
      <c r="AR187" s="87"/>
      <c r="AS187" s="87"/>
      <c r="AT187" s="87"/>
      <c r="AU187" s="87"/>
      <c r="AV187" s="87"/>
      <c r="AW187" s="87"/>
      <c r="AX187" s="87"/>
      <c r="AY187" s="87"/>
      <c r="AZ187" s="87"/>
      <c r="BA187" s="87"/>
      <c r="BB187" s="87"/>
      <c r="BC187" s="87"/>
      <c r="BD187" s="87"/>
      <c r="BE187" s="87"/>
      <c r="BF187" s="87"/>
      <c r="BG187" s="87"/>
      <c r="BH187" s="87"/>
    </row>
    <row r="188" spans="1:60" ht="16">
      <c r="A188" s="82"/>
      <c r="B188" s="82"/>
      <c r="C188" s="82"/>
      <c r="D188" s="83"/>
      <c r="E188" s="84"/>
      <c r="F188" s="84"/>
      <c r="G188" s="84"/>
      <c r="H188" s="82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7"/>
      <c r="AA188" s="87"/>
      <c r="AB188" s="87"/>
      <c r="AC188" s="87"/>
      <c r="AD188" s="87"/>
      <c r="AE188" s="87"/>
      <c r="AF188" s="87"/>
      <c r="AG188" s="87"/>
      <c r="AH188" s="87"/>
      <c r="AI188" s="87"/>
      <c r="AJ188" s="87"/>
      <c r="AK188" s="87"/>
      <c r="AL188" s="87"/>
      <c r="AM188" s="87"/>
      <c r="AN188" s="87"/>
      <c r="AO188" s="87"/>
      <c r="AP188" s="87"/>
      <c r="AQ188" s="87"/>
      <c r="AR188" s="87"/>
      <c r="AS188" s="87"/>
      <c r="AT188" s="87"/>
      <c r="AU188" s="87"/>
      <c r="AV188" s="87"/>
      <c r="AW188" s="87"/>
      <c r="AX188" s="87"/>
      <c r="AY188" s="87"/>
      <c r="AZ188" s="87"/>
      <c r="BA188" s="87"/>
      <c r="BB188" s="87"/>
      <c r="BC188" s="87"/>
      <c r="BD188" s="87"/>
      <c r="BE188" s="87"/>
      <c r="BF188" s="87"/>
      <c r="BG188" s="87"/>
      <c r="BH188" s="87"/>
    </row>
    <row r="189" spans="1:60" ht="16">
      <c r="A189" s="82"/>
      <c r="B189" s="82"/>
      <c r="C189" s="82"/>
      <c r="D189" s="83"/>
      <c r="E189" s="84"/>
      <c r="F189" s="84"/>
      <c r="G189" s="84"/>
      <c r="H189" s="82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7"/>
      <c r="AA189" s="87"/>
      <c r="AB189" s="87"/>
      <c r="AC189" s="87"/>
      <c r="AD189" s="87"/>
      <c r="AE189" s="87"/>
      <c r="AF189" s="87"/>
      <c r="AG189" s="87"/>
      <c r="AH189" s="87"/>
      <c r="AI189" s="87"/>
      <c r="AJ189" s="87"/>
      <c r="AK189" s="87"/>
      <c r="AL189" s="87"/>
      <c r="AM189" s="87"/>
      <c r="AN189" s="87"/>
      <c r="AO189" s="87"/>
      <c r="AP189" s="87"/>
      <c r="AQ189" s="87"/>
      <c r="AR189" s="87"/>
      <c r="AS189" s="87"/>
      <c r="AT189" s="87"/>
      <c r="AU189" s="87"/>
      <c r="AV189" s="87"/>
      <c r="AW189" s="87"/>
      <c r="AX189" s="87"/>
      <c r="AY189" s="87"/>
      <c r="AZ189" s="87"/>
      <c r="BA189" s="87"/>
      <c r="BB189" s="87"/>
      <c r="BC189" s="87"/>
      <c r="BD189" s="87"/>
      <c r="BE189" s="87"/>
      <c r="BF189" s="87"/>
      <c r="BG189" s="87"/>
      <c r="BH189" s="87"/>
    </row>
    <row r="190" spans="1:60" ht="16">
      <c r="A190" s="82"/>
      <c r="B190" s="82"/>
      <c r="C190" s="82"/>
      <c r="D190" s="83"/>
      <c r="E190" s="84"/>
      <c r="F190" s="84"/>
      <c r="G190" s="84"/>
      <c r="H190" s="82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7"/>
      <c r="AA190" s="87"/>
      <c r="AB190" s="87"/>
      <c r="AC190" s="87"/>
      <c r="AD190" s="87"/>
      <c r="AE190" s="87"/>
      <c r="AF190" s="87"/>
      <c r="AG190" s="87"/>
      <c r="AH190" s="87"/>
      <c r="AI190" s="87"/>
      <c r="AJ190" s="87"/>
      <c r="AK190" s="87"/>
      <c r="AL190" s="87"/>
      <c r="AM190" s="87"/>
      <c r="AN190" s="87"/>
      <c r="AO190" s="87"/>
      <c r="AP190" s="87"/>
      <c r="AQ190" s="87"/>
      <c r="AR190" s="87"/>
      <c r="AS190" s="87"/>
      <c r="AT190" s="87"/>
      <c r="AU190" s="87"/>
      <c r="AV190" s="87"/>
      <c r="AW190" s="87"/>
      <c r="AX190" s="87"/>
      <c r="AY190" s="87"/>
      <c r="AZ190" s="87"/>
      <c r="BA190" s="87"/>
      <c r="BB190" s="87"/>
      <c r="BC190" s="87"/>
      <c r="BD190" s="87"/>
      <c r="BE190" s="87"/>
      <c r="BF190" s="87"/>
      <c r="BG190" s="87"/>
      <c r="BH190" s="87"/>
    </row>
    <row r="191" spans="1:60" ht="16">
      <c r="A191" s="82"/>
      <c r="B191" s="82"/>
      <c r="C191" s="82"/>
      <c r="D191" s="83"/>
      <c r="E191" s="84"/>
      <c r="F191" s="84"/>
      <c r="G191" s="84"/>
      <c r="H191" s="82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7"/>
      <c r="AA191" s="87"/>
      <c r="AB191" s="87"/>
      <c r="AC191" s="87"/>
      <c r="AD191" s="87"/>
      <c r="AE191" s="87"/>
      <c r="AF191" s="87"/>
      <c r="AG191" s="87"/>
      <c r="AH191" s="87"/>
      <c r="AI191" s="87"/>
      <c r="AJ191" s="87"/>
      <c r="AK191" s="87"/>
      <c r="AL191" s="87"/>
      <c r="AM191" s="87"/>
      <c r="AN191" s="87"/>
      <c r="AO191" s="87"/>
      <c r="AP191" s="87"/>
      <c r="AQ191" s="87"/>
      <c r="AR191" s="87"/>
      <c r="AS191" s="87"/>
      <c r="AT191" s="87"/>
      <c r="AU191" s="87"/>
      <c r="AV191" s="87"/>
      <c r="AW191" s="87"/>
      <c r="AX191" s="87"/>
      <c r="AY191" s="87"/>
      <c r="AZ191" s="87"/>
      <c r="BA191" s="87"/>
      <c r="BB191" s="87"/>
      <c r="BC191" s="87"/>
      <c r="BD191" s="87"/>
      <c r="BE191" s="87"/>
      <c r="BF191" s="87"/>
      <c r="BG191" s="87"/>
      <c r="BH191" s="87"/>
    </row>
    <row r="192" spans="1:60" ht="16">
      <c r="A192" s="82"/>
      <c r="B192" s="82"/>
      <c r="C192" s="82"/>
      <c r="D192" s="83"/>
      <c r="E192" s="84"/>
      <c r="F192" s="84"/>
      <c r="G192" s="84"/>
      <c r="H192" s="82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7"/>
      <c r="AA192" s="87"/>
      <c r="AB192" s="87"/>
      <c r="AC192" s="87"/>
      <c r="AD192" s="87"/>
      <c r="AE192" s="87"/>
      <c r="AF192" s="87"/>
      <c r="AG192" s="87"/>
      <c r="AH192" s="87"/>
      <c r="AI192" s="87"/>
      <c r="AJ192" s="87"/>
      <c r="AK192" s="87"/>
      <c r="AL192" s="87"/>
      <c r="AM192" s="87"/>
      <c r="AN192" s="87"/>
      <c r="AO192" s="87"/>
      <c r="AP192" s="87"/>
      <c r="AQ192" s="87"/>
      <c r="AR192" s="87"/>
      <c r="AS192" s="87"/>
      <c r="AT192" s="87"/>
      <c r="AU192" s="87"/>
      <c r="AV192" s="87"/>
      <c r="AW192" s="87"/>
      <c r="AX192" s="87"/>
      <c r="AY192" s="87"/>
      <c r="AZ192" s="87"/>
      <c r="BA192" s="87"/>
      <c r="BB192" s="87"/>
      <c r="BC192" s="87"/>
      <c r="BD192" s="87"/>
      <c r="BE192" s="87"/>
      <c r="BF192" s="87"/>
      <c r="BG192" s="87"/>
      <c r="BH192" s="87"/>
    </row>
    <row r="193" spans="1:60" ht="16">
      <c r="A193" s="82"/>
      <c r="B193" s="82"/>
      <c r="C193" s="82"/>
      <c r="D193" s="83"/>
      <c r="E193" s="84"/>
      <c r="F193" s="84"/>
      <c r="G193" s="84"/>
      <c r="H193" s="82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7"/>
      <c r="AA193" s="87"/>
      <c r="AB193" s="87"/>
      <c r="AC193" s="87"/>
      <c r="AD193" s="87"/>
      <c r="AE193" s="87"/>
      <c r="AF193" s="87"/>
      <c r="AG193" s="87"/>
      <c r="AH193" s="87"/>
      <c r="AI193" s="87"/>
      <c r="AJ193" s="87"/>
      <c r="AK193" s="87"/>
      <c r="AL193" s="87"/>
      <c r="AM193" s="87"/>
      <c r="AN193" s="87"/>
      <c r="AO193" s="87"/>
      <c r="AP193" s="87"/>
      <c r="AQ193" s="87"/>
      <c r="AR193" s="87"/>
      <c r="AS193" s="87"/>
      <c r="AT193" s="87"/>
      <c r="AU193" s="87"/>
      <c r="AV193" s="87"/>
      <c r="AW193" s="87"/>
      <c r="AX193" s="87"/>
      <c r="AY193" s="87"/>
      <c r="AZ193" s="87"/>
      <c r="BA193" s="87"/>
      <c r="BB193" s="87"/>
      <c r="BC193" s="87"/>
      <c r="BD193" s="87"/>
      <c r="BE193" s="87"/>
      <c r="BF193" s="87"/>
      <c r="BG193" s="87"/>
      <c r="BH193" s="87"/>
    </row>
    <row r="194" spans="1:60" ht="16">
      <c r="A194" s="82"/>
      <c r="B194" s="82"/>
      <c r="C194" s="82"/>
      <c r="D194" s="83"/>
      <c r="E194" s="84"/>
      <c r="F194" s="84"/>
      <c r="G194" s="84"/>
      <c r="H194" s="82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7"/>
      <c r="AA194" s="87"/>
      <c r="AB194" s="87"/>
      <c r="AC194" s="87"/>
      <c r="AD194" s="87"/>
      <c r="AE194" s="87"/>
      <c r="AF194" s="87"/>
      <c r="AG194" s="87"/>
      <c r="AH194" s="87"/>
      <c r="AI194" s="87"/>
      <c r="AJ194" s="87"/>
      <c r="AK194" s="87"/>
      <c r="AL194" s="87"/>
      <c r="AM194" s="87"/>
      <c r="AN194" s="87"/>
      <c r="AO194" s="87"/>
      <c r="AP194" s="87"/>
      <c r="AQ194" s="87"/>
      <c r="AR194" s="87"/>
      <c r="AS194" s="87"/>
      <c r="AT194" s="87"/>
      <c r="AU194" s="87"/>
      <c r="AV194" s="87"/>
      <c r="AW194" s="87"/>
      <c r="AX194" s="87"/>
      <c r="AY194" s="87"/>
      <c r="AZ194" s="87"/>
      <c r="BA194" s="87"/>
      <c r="BB194" s="87"/>
      <c r="BC194" s="87"/>
      <c r="BD194" s="87"/>
      <c r="BE194" s="87"/>
      <c r="BF194" s="87"/>
      <c r="BG194" s="87"/>
      <c r="BH194" s="87"/>
    </row>
    <row r="195" spans="1:60" ht="16">
      <c r="A195" s="82"/>
      <c r="B195" s="82"/>
      <c r="C195" s="82"/>
      <c r="D195" s="83"/>
      <c r="E195" s="84"/>
      <c r="F195" s="84"/>
      <c r="G195" s="84"/>
      <c r="H195" s="82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7"/>
      <c r="AA195" s="87"/>
      <c r="AB195" s="87"/>
      <c r="AC195" s="87"/>
      <c r="AD195" s="87"/>
      <c r="AE195" s="87"/>
      <c r="AF195" s="87"/>
      <c r="AG195" s="87"/>
      <c r="AH195" s="87"/>
      <c r="AI195" s="87"/>
      <c r="AJ195" s="87"/>
      <c r="AK195" s="87"/>
      <c r="AL195" s="87"/>
      <c r="AM195" s="87"/>
      <c r="AN195" s="87"/>
      <c r="AO195" s="87"/>
      <c r="AP195" s="87"/>
      <c r="AQ195" s="87"/>
      <c r="AR195" s="87"/>
      <c r="AS195" s="87"/>
      <c r="AT195" s="87"/>
      <c r="AU195" s="87"/>
      <c r="AV195" s="87"/>
      <c r="AW195" s="87"/>
      <c r="AX195" s="87"/>
      <c r="AY195" s="87"/>
      <c r="AZ195" s="87"/>
      <c r="BA195" s="87"/>
      <c r="BB195" s="87"/>
      <c r="BC195" s="87"/>
      <c r="BD195" s="87"/>
      <c r="BE195" s="87"/>
      <c r="BF195" s="87"/>
      <c r="BG195" s="87"/>
      <c r="BH195" s="87"/>
    </row>
    <row r="196" spans="1:60" ht="16">
      <c r="A196" s="82"/>
      <c r="B196" s="82"/>
      <c r="C196" s="82"/>
      <c r="D196" s="83"/>
      <c r="E196" s="84"/>
      <c r="F196" s="84"/>
      <c r="G196" s="84"/>
      <c r="H196" s="82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7"/>
      <c r="AA196" s="87"/>
      <c r="AB196" s="87"/>
      <c r="AC196" s="87"/>
      <c r="AD196" s="87"/>
      <c r="AE196" s="87"/>
      <c r="AF196" s="87"/>
      <c r="AG196" s="87"/>
      <c r="AH196" s="87"/>
      <c r="AI196" s="87"/>
      <c r="AJ196" s="87"/>
      <c r="AK196" s="87"/>
      <c r="AL196" s="87"/>
      <c r="AM196" s="87"/>
      <c r="AN196" s="87"/>
      <c r="AO196" s="87"/>
      <c r="AP196" s="87"/>
      <c r="AQ196" s="87"/>
      <c r="AR196" s="87"/>
      <c r="AS196" s="87"/>
      <c r="AT196" s="87"/>
      <c r="AU196" s="87"/>
      <c r="AV196" s="87"/>
      <c r="AW196" s="87"/>
      <c r="AX196" s="87"/>
      <c r="AY196" s="87"/>
      <c r="AZ196" s="87"/>
      <c r="BA196" s="87"/>
      <c r="BB196" s="87"/>
      <c r="BC196" s="87"/>
      <c r="BD196" s="87"/>
      <c r="BE196" s="87"/>
      <c r="BF196" s="87"/>
      <c r="BG196" s="87"/>
      <c r="BH196" s="87"/>
    </row>
    <row r="197" spans="1:60" ht="16">
      <c r="A197" s="82"/>
      <c r="B197" s="82"/>
      <c r="C197" s="82"/>
      <c r="D197" s="83"/>
      <c r="E197" s="84"/>
      <c r="F197" s="84"/>
      <c r="G197" s="84"/>
      <c r="H197" s="82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7"/>
      <c r="AA197" s="87"/>
      <c r="AB197" s="87"/>
      <c r="AC197" s="87"/>
      <c r="AD197" s="87"/>
      <c r="AE197" s="87"/>
      <c r="AF197" s="87"/>
      <c r="AG197" s="87"/>
      <c r="AH197" s="87"/>
      <c r="AI197" s="87"/>
      <c r="AJ197" s="87"/>
      <c r="AK197" s="87"/>
      <c r="AL197" s="87"/>
      <c r="AM197" s="87"/>
      <c r="AN197" s="87"/>
      <c r="AO197" s="87"/>
      <c r="AP197" s="87"/>
      <c r="AQ197" s="87"/>
      <c r="AR197" s="87"/>
      <c r="AS197" s="87"/>
      <c r="AT197" s="87"/>
      <c r="AU197" s="87"/>
      <c r="AV197" s="87"/>
      <c r="AW197" s="87"/>
      <c r="AX197" s="87"/>
      <c r="AY197" s="87"/>
      <c r="AZ197" s="87"/>
      <c r="BA197" s="87"/>
      <c r="BB197" s="87"/>
      <c r="BC197" s="87"/>
      <c r="BD197" s="87"/>
      <c r="BE197" s="87"/>
      <c r="BF197" s="87"/>
      <c r="BG197" s="87"/>
      <c r="BH197" s="87"/>
    </row>
    <row r="198" spans="1:60" ht="16">
      <c r="A198" s="82"/>
      <c r="B198" s="82"/>
      <c r="C198" s="82"/>
      <c r="D198" s="83"/>
      <c r="E198" s="84"/>
      <c r="F198" s="84"/>
      <c r="G198" s="84"/>
      <c r="H198" s="82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7"/>
      <c r="AA198" s="87"/>
      <c r="AB198" s="87"/>
      <c r="AC198" s="87"/>
      <c r="AD198" s="87"/>
      <c r="AE198" s="87"/>
      <c r="AF198" s="87"/>
      <c r="AG198" s="87"/>
      <c r="AH198" s="87"/>
      <c r="AI198" s="87"/>
      <c r="AJ198" s="87"/>
      <c r="AK198" s="87"/>
      <c r="AL198" s="87"/>
      <c r="AM198" s="87"/>
      <c r="AN198" s="87"/>
      <c r="AO198" s="87"/>
      <c r="AP198" s="87"/>
      <c r="AQ198" s="87"/>
      <c r="AR198" s="87"/>
      <c r="AS198" s="87"/>
      <c r="AT198" s="87"/>
      <c r="AU198" s="87"/>
      <c r="AV198" s="87"/>
      <c r="AW198" s="87"/>
      <c r="AX198" s="87"/>
      <c r="AY198" s="87"/>
      <c r="AZ198" s="87"/>
      <c r="BA198" s="87"/>
      <c r="BB198" s="87"/>
      <c r="BC198" s="87"/>
      <c r="BD198" s="87"/>
      <c r="BE198" s="87"/>
      <c r="BF198" s="87"/>
      <c r="BG198" s="87"/>
      <c r="BH198" s="87"/>
    </row>
    <row r="199" spans="1:60" ht="16">
      <c r="A199" s="82"/>
      <c r="B199" s="82"/>
      <c r="C199" s="82"/>
      <c r="D199" s="83"/>
      <c r="E199" s="84"/>
      <c r="F199" s="84"/>
      <c r="G199" s="84"/>
      <c r="H199" s="82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7"/>
      <c r="AA199" s="87"/>
      <c r="AB199" s="87"/>
      <c r="AC199" s="87"/>
      <c r="AD199" s="87"/>
      <c r="AE199" s="87"/>
      <c r="AF199" s="87"/>
      <c r="AG199" s="87"/>
      <c r="AH199" s="87"/>
      <c r="AI199" s="87"/>
      <c r="AJ199" s="87"/>
      <c r="AK199" s="87"/>
      <c r="AL199" s="87"/>
      <c r="AM199" s="87"/>
      <c r="AN199" s="87"/>
      <c r="AO199" s="87"/>
      <c r="AP199" s="87"/>
      <c r="AQ199" s="87"/>
      <c r="AR199" s="87"/>
      <c r="AS199" s="87"/>
      <c r="AT199" s="87"/>
      <c r="AU199" s="87"/>
      <c r="AV199" s="87"/>
      <c r="AW199" s="87"/>
      <c r="AX199" s="87"/>
      <c r="AY199" s="87"/>
      <c r="AZ199" s="87"/>
      <c r="BA199" s="87"/>
      <c r="BB199" s="87"/>
      <c r="BC199" s="87"/>
      <c r="BD199" s="87"/>
      <c r="BE199" s="87"/>
      <c r="BF199" s="87"/>
      <c r="BG199" s="87"/>
      <c r="BH199" s="87"/>
    </row>
    <row r="200" spans="1:60" ht="16">
      <c r="A200" s="82"/>
      <c r="B200" s="82"/>
      <c r="C200" s="82"/>
      <c r="D200" s="83"/>
      <c r="E200" s="84"/>
      <c r="F200" s="84"/>
      <c r="G200" s="84"/>
      <c r="H200" s="82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7"/>
      <c r="AA200" s="87"/>
      <c r="AB200" s="87"/>
      <c r="AC200" s="87"/>
      <c r="AD200" s="87"/>
      <c r="AE200" s="87"/>
      <c r="AF200" s="87"/>
      <c r="AG200" s="87"/>
      <c r="AH200" s="87"/>
      <c r="AI200" s="87"/>
      <c r="AJ200" s="87"/>
      <c r="AK200" s="87"/>
      <c r="AL200" s="87"/>
      <c r="AM200" s="87"/>
      <c r="AN200" s="87"/>
      <c r="AO200" s="87"/>
      <c r="AP200" s="87"/>
      <c r="AQ200" s="87"/>
      <c r="AR200" s="87"/>
      <c r="AS200" s="87"/>
      <c r="AT200" s="87"/>
      <c r="AU200" s="87"/>
      <c r="AV200" s="87"/>
      <c r="AW200" s="87"/>
      <c r="AX200" s="87"/>
      <c r="AY200" s="87"/>
      <c r="AZ200" s="87"/>
      <c r="BA200" s="87"/>
      <c r="BB200" s="87"/>
      <c r="BC200" s="87"/>
      <c r="BD200" s="87"/>
      <c r="BE200" s="87"/>
      <c r="BF200" s="87"/>
      <c r="BG200" s="87"/>
      <c r="BH200" s="87"/>
    </row>
    <row r="201" spans="1:60" ht="16">
      <c r="A201" s="82"/>
      <c r="B201" s="82"/>
      <c r="C201" s="82"/>
      <c r="D201" s="83"/>
      <c r="E201" s="84"/>
      <c r="F201" s="84"/>
      <c r="G201" s="84"/>
      <c r="H201" s="82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7"/>
      <c r="AA201" s="87"/>
      <c r="AB201" s="87"/>
      <c r="AC201" s="87"/>
      <c r="AD201" s="87"/>
      <c r="AE201" s="87"/>
      <c r="AF201" s="87"/>
      <c r="AG201" s="87"/>
      <c r="AH201" s="87"/>
      <c r="AI201" s="87"/>
      <c r="AJ201" s="87"/>
      <c r="AK201" s="87"/>
      <c r="AL201" s="87"/>
      <c r="AM201" s="87"/>
      <c r="AN201" s="87"/>
      <c r="AO201" s="87"/>
      <c r="AP201" s="87"/>
      <c r="AQ201" s="87"/>
      <c r="AR201" s="87"/>
      <c r="AS201" s="87"/>
      <c r="AT201" s="87"/>
      <c r="AU201" s="87"/>
      <c r="AV201" s="87"/>
      <c r="AW201" s="87"/>
      <c r="AX201" s="87"/>
      <c r="AY201" s="87"/>
      <c r="AZ201" s="87"/>
      <c r="BA201" s="87"/>
      <c r="BB201" s="87"/>
      <c r="BC201" s="87"/>
      <c r="BD201" s="87"/>
      <c r="BE201" s="87"/>
      <c r="BF201" s="87"/>
      <c r="BG201" s="87"/>
      <c r="BH201" s="87"/>
    </row>
    <row r="202" spans="1:60" ht="16">
      <c r="A202" s="82"/>
      <c r="B202" s="82"/>
      <c r="C202" s="82"/>
      <c r="D202" s="83"/>
      <c r="E202" s="84"/>
      <c r="F202" s="84"/>
      <c r="G202" s="84"/>
      <c r="H202" s="82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7"/>
      <c r="AA202" s="87"/>
      <c r="AB202" s="87"/>
      <c r="AC202" s="87"/>
      <c r="AD202" s="87"/>
      <c r="AE202" s="87"/>
      <c r="AF202" s="87"/>
      <c r="AG202" s="87"/>
      <c r="AH202" s="87"/>
      <c r="AI202" s="87"/>
      <c r="AJ202" s="87"/>
      <c r="AK202" s="87"/>
      <c r="AL202" s="87"/>
      <c r="AM202" s="87"/>
      <c r="AN202" s="87"/>
      <c r="AO202" s="87"/>
      <c r="AP202" s="87"/>
      <c r="AQ202" s="87"/>
      <c r="AR202" s="87"/>
      <c r="AS202" s="87"/>
      <c r="AT202" s="87"/>
      <c r="AU202" s="87"/>
      <c r="AV202" s="87"/>
      <c r="AW202" s="87"/>
      <c r="AX202" s="87"/>
      <c r="AY202" s="87"/>
      <c r="AZ202" s="87"/>
      <c r="BA202" s="87"/>
      <c r="BB202" s="87"/>
      <c r="BC202" s="87"/>
      <c r="BD202" s="87"/>
      <c r="BE202" s="87"/>
      <c r="BF202" s="87"/>
      <c r="BG202" s="87"/>
      <c r="BH202" s="87"/>
    </row>
    <row r="203" spans="1:60" ht="16">
      <c r="A203" s="82"/>
      <c r="B203" s="82"/>
      <c r="C203" s="82"/>
      <c r="D203" s="83"/>
      <c r="E203" s="84"/>
      <c r="F203" s="84"/>
      <c r="G203" s="84"/>
      <c r="H203" s="82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7"/>
      <c r="AA203" s="87"/>
      <c r="AB203" s="87"/>
      <c r="AC203" s="87"/>
      <c r="AD203" s="87"/>
      <c r="AE203" s="87"/>
      <c r="AF203" s="87"/>
      <c r="AG203" s="87"/>
      <c r="AH203" s="87"/>
      <c r="AI203" s="87"/>
      <c r="AJ203" s="87"/>
      <c r="AK203" s="87"/>
      <c r="AL203" s="87"/>
      <c r="AM203" s="87"/>
      <c r="AN203" s="87"/>
      <c r="AO203" s="87"/>
      <c r="AP203" s="87"/>
      <c r="AQ203" s="87"/>
      <c r="AR203" s="87"/>
      <c r="AS203" s="87"/>
      <c r="AT203" s="87"/>
      <c r="AU203" s="87"/>
      <c r="AV203" s="87"/>
      <c r="AW203" s="87"/>
      <c r="AX203" s="87"/>
      <c r="AY203" s="87"/>
      <c r="AZ203" s="87"/>
      <c r="BA203" s="87"/>
      <c r="BB203" s="87"/>
      <c r="BC203" s="87"/>
      <c r="BD203" s="87"/>
      <c r="BE203" s="87"/>
      <c r="BF203" s="87"/>
      <c r="BG203" s="87"/>
      <c r="BH203" s="87"/>
    </row>
    <row r="204" spans="1:60" ht="16">
      <c r="A204" s="82"/>
      <c r="B204" s="82"/>
      <c r="C204" s="82"/>
      <c r="D204" s="83"/>
      <c r="E204" s="84"/>
      <c r="F204" s="84"/>
      <c r="G204" s="84"/>
      <c r="H204" s="82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7"/>
      <c r="AA204" s="87"/>
      <c r="AB204" s="87"/>
      <c r="AC204" s="87"/>
      <c r="AD204" s="87"/>
      <c r="AE204" s="87"/>
      <c r="AF204" s="87"/>
      <c r="AG204" s="87"/>
      <c r="AH204" s="87"/>
      <c r="AI204" s="87"/>
      <c r="AJ204" s="87"/>
      <c r="AK204" s="87"/>
      <c r="AL204" s="87"/>
      <c r="AM204" s="87"/>
      <c r="AN204" s="87"/>
      <c r="AO204" s="87"/>
      <c r="AP204" s="87"/>
      <c r="AQ204" s="87"/>
      <c r="AR204" s="87"/>
      <c r="AS204" s="87"/>
      <c r="AT204" s="87"/>
      <c r="AU204" s="87"/>
      <c r="AV204" s="87"/>
      <c r="AW204" s="87"/>
      <c r="AX204" s="87"/>
      <c r="AY204" s="87"/>
      <c r="AZ204" s="87"/>
      <c r="BA204" s="87"/>
      <c r="BB204" s="87"/>
      <c r="BC204" s="87"/>
      <c r="BD204" s="87"/>
      <c r="BE204" s="87"/>
      <c r="BF204" s="87"/>
      <c r="BG204" s="87"/>
      <c r="BH204" s="87"/>
    </row>
    <row r="205" spans="1:60" ht="16">
      <c r="A205" s="82"/>
      <c r="B205" s="82"/>
      <c r="C205" s="82"/>
      <c r="D205" s="83"/>
      <c r="E205" s="84"/>
      <c r="F205" s="84"/>
      <c r="G205" s="84"/>
      <c r="H205" s="82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7"/>
      <c r="AA205" s="87"/>
      <c r="AB205" s="87"/>
      <c r="AC205" s="87"/>
      <c r="AD205" s="87"/>
      <c r="AE205" s="87"/>
      <c r="AF205" s="87"/>
      <c r="AG205" s="87"/>
      <c r="AH205" s="87"/>
      <c r="AI205" s="87"/>
      <c r="AJ205" s="87"/>
      <c r="AK205" s="87"/>
      <c r="AL205" s="87"/>
      <c r="AM205" s="87"/>
      <c r="AN205" s="87"/>
      <c r="AO205" s="87"/>
      <c r="AP205" s="87"/>
      <c r="AQ205" s="87"/>
      <c r="AR205" s="87"/>
      <c r="AS205" s="87"/>
      <c r="AT205" s="87"/>
      <c r="AU205" s="87"/>
      <c r="AV205" s="87"/>
      <c r="AW205" s="87"/>
      <c r="AX205" s="87"/>
      <c r="AY205" s="87"/>
      <c r="AZ205" s="87"/>
      <c r="BA205" s="87"/>
      <c r="BB205" s="87"/>
      <c r="BC205" s="87"/>
      <c r="BD205" s="87"/>
      <c r="BE205" s="87"/>
      <c r="BF205" s="87"/>
      <c r="BG205" s="87"/>
      <c r="BH205" s="87"/>
    </row>
    <row r="206" spans="1:60" ht="16">
      <c r="A206" s="82"/>
      <c r="B206" s="82"/>
      <c r="C206" s="82"/>
      <c r="D206" s="83"/>
      <c r="E206" s="84"/>
      <c r="F206" s="84"/>
      <c r="G206" s="84"/>
      <c r="H206" s="82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7"/>
      <c r="AA206" s="87"/>
      <c r="AB206" s="87"/>
      <c r="AC206" s="87"/>
      <c r="AD206" s="87"/>
      <c r="AE206" s="87"/>
      <c r="AF206" s="87"/>
      <c r="AG206" s="87"/>
      <c r="AH206" s="87"/>
      <c r="AI206" s="87"/>
      <c r="AJ206" s="87"/>
      <c r="AK206" s="87"/>
      <c r="AL206" s="87"/>
      <c r="AM206" s="87"/>
      <c r="AN206" s="87"/>
      <c r="AO206" s="87"/>
      <c r="AP206" s="87"/>
      <c r="AQ206" s="87"/>
      <c r="AR206" s="87"/>
      <c r="AS206" s="87"/>
      <c r="AT206" s="87"/>
      <c r="AU206" s="87"/>
      <c r="AV206" s="87"/>
      <c r="AW206" s="87"/>
      <c r="AX206" s="87"/>
      <c r="AY206" s="87"/>
      <c r="AZ206" s="87"/>
      <c r="BA206" s="87"/>
      <c r="BB206" s="87"/>
      <c r="BC206" s="87"/>
      <c r="BD206" s="87"/>
      <c r="BE206" s="87"/>
      <c r="BF206" s="87"/>
      <c r="BG206" s="87"/>
      <c r="BH206" s="87"/>
    </row>
    <row r="207" spans="1:60" ht="16">
      <c r="A207" s="82"/>
      <c r="B207" s="82"/>
      <c r="C207" s="82"/>
      <c r="D207" s="83"/>
      <c r="E207" s="84"/>
      <c r="F207" s="84"/>
      <c r="G207" s="84"/>
      <c r="H207" s="82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7"/>
      <c r="AA207" s="87"/>
      <c r="AB207" s="87"/>
      <c r="AC207" s="87"/>
      <c r="AD207" s="87"/>
      <c r="AE207" s="87"/>
      <c r="AF207" s="87"/>
      <c r="AG207" s="87"/>
      <c r="AH207" s="87"/>
      <c r="AI207" s="87"/>
      <c r="AJ207" s="87"/>
      <c r="AK207" s="87"/>
      <c r="AL207" s="87"/>
      <c r="AM207" s="87"/>
      <c r="AN207" s="87"/>
      <c r="AO207" s="87"/>
      <c r="AP207" s="87"/>
      <c r="AQ207" s="87"/>
      <c r="AR207" s="87"/>
      <c r="AS207" s="87"/>
      <c r="AT207" s="87"/>
      <c r="AU207" s="87"/>
      <c r="AV207" s="87"/>
      <c r="AW207" s="87"/>
      <c r="AX207" s="87"/>
      <c r="AY207" s="87"/>
      <c r="AZ207" s="87"/>
      <c r="BA207" s="87"/>
      <c r="BB207" s="87"/>
      <c r="BC207" s="87"/>
      <c r="BD207" s="87"/>
      <c r="BE207" s="87"/>
      <c r="BF207" s="87"/>
      <c r="BG207" s="87"/>
      <c r="BH207" s="87"/>
    </row>
    <row r="208" spans="1:60" ht="16">
      <c r="A208" s="82"/>
      <c r="B208" s="82"/>
      <c r="C208" s="82"/>
      <c r="D208" s="83"/>
      <c r="E208" s="84"/>
      <c r="F208" s="84"/>
      <c r="G208" s="84"/>
      <c r="H208" s="82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7"/>
      <c r="AA208" s="87"/>
      <c r="AB208" s="87"/>
      <c r="AC208" s="87"/>
      <c r="AD208" s="87"/>
      <c r="AE208" s="87"/>
      <c r="AF208" s="87"/>
      <c r="AG208" s="87"/>
      <c r="AH208" s="87"/>
      <c r="AI208" s="87"/>
      <c r="AJ208" s="87"/>
      <c r="AK208" s="87"/>
      <c r="AL208" s="87"/>
      <c r="AM208" s="87"/>
      <c r="AN208" s="87"/>
      <c r="AO208" s="87"/>
      <c r="AP208" s="87"/>
      <c r="AQ208" s="87"/>
      <c r="AR208" s="87"/>
      <c r="AS208" s="87"/>
      <c r="AT208" s="87"/>
      <c r="AU208" s="87"/>
      <c r="AV208" s="87"/>
      <c r="AW208" s="87"/>
      <c r="AX208" s="87"/>
      <c r="AY208" s="87"/>
      <c r="AZ208" s="87"/>
      <c r="BA208" s="87"/>
      <c r="BB208" s="87"/>
      <c r="BC208" s="87"/>
      <c r="BD208" s="87"/>
      <c r="BE208" s="87"/>
      <c r="BF208" s="87"/>
      <c r="BG208" s="87"/>
      <c r="BH208" s="87"/>
    </row>
    <row r="209" spans="1:60" ht="16">
      <c r="A209" s="82"/>
      <c r="B209" s="82"/>
      <c r="C209" s="82"/>
      <c r="D209" s="83"/>
      <c r="E209" s="84"/>
      <c r="F209" s="84"/>
      <c r="G209" s="84"/>
      <c r="H209" s="82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7"/>
      <c r="AA209" s="87"/>
      <c r="AB209" s="87"/>
      <c r="AC209" s="87"/>
      <c r="AD209" s="87"/>
      <c r="AE209" s="87"/>
      <c r="AF209" s="87"/>
      <c r="AG209" s="87"/>
      <c r="AH209" s="87"/>
      <c r="AI209" s="87"/>
      <c r="AJ209" s="87"/>
      <c r="AK209" s="87"/>
      <c r="AL209" s="87"/>
      <c r="AM209" s="87"/>
      <c r="AN209" s="87"/>
      <c r="AO209" s="87"/>
      <c r="AP209" s="87"/>
      <c r="AQ209" s="87"/>
      <c r="AR209" s="87"/>
      <c r="AS209" s="87"/>
      <c r="AT209" s="87"/>
      <c r="AU209" s="87"/>
      <c r="AV209" s="87"/>
      <c r="AW209" s="87"/>
      <c r="AX209" s="87"/>
      <c r="AY209" s="87"/>
      <c r="AZ209" s="87"/>
      <c r="BA209" s="87"/>
      <c r="BB209" s="87"/>
      <c r="BC209" s="87"/>
      <c r="BD209" s="87"/>
      <c r="BE209" s="87"/>
      <c r="BF209" s="87"/>
      <c r="BG209" s="87"/>
      <c r="BH209" s="87"/>
    </row>
    <row r="210" spans="1:60" ht="16">
      <c r="A210" s="82"/>
      <c r="B210" s="82"/>
      <c r="C210" s="82"/>
      <c r="D210" s="83"/>
      <c r="E210" s="84"/>
      <c r="F210" s="84"/>
      <c r="G210" s="84"/>
      <c r="H210" s="82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7"/>
      <c r="AA210" s="87"/>
      <c r="AB210" s="87"/>
      <c r="AC210" s="87"/>
      <c r="AD210" s="87"/>
      <c r="AE210" s="87"/>
      <c r="AF210" s="87"/>
      <c r="AG210" s="87"/>
      <c r="AH210" s="87"/>
      <c r="AI210" s="87"/>
      <c r="AJ210" s="87"/>
      <c r="AK210" s="87"/>
      <c r="AL210" s="87"/>
      <c r="AM210" s="87"/>
      <c r="AN210" s="87"/>
      <c r="AO210" s="87"/>
      <c r="AP210" s="87"/>
      <c r="AQ210" s="87"/>
      <c r="AR210" s="87"/>
      <c r="AS210" s="87"/>
      <c r="AT210" s="87"/>
      <c r="AU210" s="87"/>
      <c r="AV210" s="87"/>
      <c r="AW210" s="87"/>
      <c r="AX210" s="87"/>
      <c r="AY210" s="87"/>
      <c r="AZ210" s="87"/>
      <c r="BA210" s="87"/>
      <c r="BB210" s="87"/>
      <c r="BC210" s="87"/>
      <c r="BD210" s="87"/>
      <c r="BE210" s="87"/>
      <c r="BF210" s="87"/>
      <c r="BG210" s="87"/>
      <c r="BH210" s="87"/>
    </row>
    <row r="211" spans="1:60" ht="16">
      <c r="A211" s="82"/>
      <c r="B211" s="82"/>
      <c r="C211" s="82"/>
      <c r="D211" s="83"/>
      <c r="E211" s="84"/>
      <c r="F211" s="84"/>
      <c r="G211" s="84"/>
      <c r="H211" s="82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7"/>
      <c r="AA211" s="87"/>
      <c r="AB211" s="87"/>
      <c r="AC211" s="87"/>
      <c r="AD211" s="87"/>
      <c r="AE211" s="87"/>
      <c r="AF211" s="87"/>
      <c r="AG211" s="87"/>
      <c r="AH211" s="87"/>
      <c r="AI211" s="87"/>
      <c r="AJ211" s="87"/>
      <c r="AK211" s="87"/>
      <c r="AL211" s="87"/>
      <c r="AM211" s="87"/>
      <c r="AN211" s="87"/>
      <c r="AO211" s="87"/>
      <c r="AP211" s="87"/>
      <c r="AQ211" s="87"/>
      <c r="AR211" s="87"/>
      <c r="AS211" s="87"/>
      <c r="AT211" s="87"/>
      <c r="AU211" s="87"/>
      <c r="AV211" s="87"/>
      <c r="AW211" s="87"/>
      <c r="AX211" s="87"/>
      <c r="AY211" s="87"/>
      <c r="AZ211" s="87"/>
      <c r="BA211" s="87"/>
      <c r="BB211" s="87"/>
      <c r="BC211" s="87"/>
      <c r="BD211" s="87"/>
      <c r="BE211" s="87"/>
      <c r="BF211" s="87"/>
      <c r="BG211" s="87"/>
      <c r="BH211" s="87"/>
    </row>
    <row r="212" spans="1:60" ht="16">
      <c r="A212" s="82"/>
      <c r="B212" s="82"/>
      <c r="C212" s="82"/>
      <c r="D212" s="83"/>
      <c r="E212" s="84"/>
      <c r="F212" s="84"/>
      <c r="G212" s="84"/>
      <c r="H212" s="82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7"/>
      <c r="AA212" s="87"/>
      <c r="AB212" s="87"/>
      <c r="AC212" s="87"/>
      <c r="AD212" s="87"/>
      <c r="AE212" s="87"/>
      <c r="AF212" s="87"/>
      <c r="AG212" s="87"/>
      <c r="AH212" s="87"/>
      <c r="AI212" s="87"/>
      <c r="AJ212" s="87"/>
      <c r="AK212" s="87"/>
      <c r="AL212" s="87"/>
      <c r="AM212" s="87"/>
      <c r="AN212" s="87"/>
      <c r="AO212" s="87"/>
      <c r="AP212" s="87"/>
      <c r="AQ212" s="87"/>
      <c r="AR212" s="87"/>
      <c r="AS212" s="87"/>
      <c r="AT212" s="87"/>
      <c r="AU212" s="87"/>
      <c r="AV212" s="87"/>
      <c r="AW212" s="87"/>
      <c r="AX212" s="87"/>
      <c r="AY212" s="87"/>
      <c r="AZ212" s="87"/>
      <c r="BA212" s="87"/>
      <c r="BB212" s="87"/>
      <c r="BC212" s="87"/>
      <c r="BD212" s="87"/>
      <c r="BE212" s="87"/>
      <c r="BF212" s="87"/>
      <c r="BG212" s="87"/>
      <c r="BH212" s="87"/>
    </row>
    <row r="213" spans="1:60" ht="16">
      <c r="A213" s="82"/>
      <c r="B213" s="82"/>
      <c r="C213" s="82"/>
      <c r="D213" s="83"/>
      <c r="E213" s="84"/>
      <c r="F213" s="84"/>
      <c r="G213" s="84"/>
      <c r="H213" s="82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7"/>
      <c r="AA213" s="87"/>
      <c r="AB213" s="87"/>
      <c r="AC213" s="87"/>
      <c r="AD213" s="87"/>
      <c r="AE213" s="87"/>
      <c r="AF213" s="87"/>
      <c r="AG213" s="87"/>
      <c r="AH213" s="87"/>
      <c r="AI213" s="87"/>
      <c r="AJ213" s="87"/>
      <c r="AK213" s="87"/>
      <c r="AL213" s="87"/>
      <c r="AM213" s="87"/>
      <c r="AN213" s="87"/>
      <c r="AO213" s="87"/>
      <c r="AP213" s="87"/>
      <c r="AQ213" s="87"/>
      <c r="AR213" s="87"/>
      <c r="AS213" s="87"/>
      <c r="AT213" s="87"/>
      <c r="AU213" s="87"/>
      <c r="AV213" s="87"/>
      <c r="AW213" s="87"/>
      <c r="AX213" s="87"/>
      <c r="AY213" s="87"/>
      <c r="AZ213" s="87"/>
      <c r="BA213" s="87"/>
      <c r="BB213" s="87"/>
      <c r="BC213" s="87"/>
      <c r="BD213" s="87"/>
      <c r="BE213" s="87"/>
      <c r="BF213" s="87"/>
      <c r="BG213" s="87"/>
      <c r="BH213" s="87"/>
    </row>
    <row r="214" spans="1:60" ht="16">
      <c r="A214" s="82"/>
      <c r="B214" s="82"/>
      <c r="C214" s="82"/>
      <c r="D214" s="83"/>
      <c r="E214" s="84"/>
      <c r="F214" s="84"/>
      <c r="G214" s="84"/>
      <c r="H214" s="82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7"/>
      <c r="AA214" s="87"/>
      <c r="AB214" s="87"/>
      <c r="AC214" s="87"/>
      <c r="AD214" s="87"/>
      <c r="AE214" s="87"/>
      <c r="AF214" s="87"/>
      <c r="AG214" s="87"/>
      <c r="AH214" s="87"/>
      <c r="AI214" s="87"/>
      <c r="AJ214" s="87"/>
      <c r="AK214" s="87"/>
      <c r="AL214" s="87"/>
      <c r="AM214" s="87"/>
      <c r="AN214" s="87"/>
      <c r="AO214" s="87"/>
      <c r="AP214" s="87"/>
      <c r="AQ214" s="87"/>
      <c r="AR214" s="87"/>
      <c r="AS214" s="87"/>
      <c r="AT214" s="87"/>
      <c r="AU214" s="87"/>
      <c r="AV214" s="87"/>
      <c r="AW214" s="87"/>
      <c r="AX214" s="87"/>
      <c r="AY214" s="87"/>
      <c r="AZ214" s="87"/>
      <c r="BA214" s="87"/>
      <c r="BB214" s="87"/>
      <c r="BC214" s="87"/>
      <c r="BD214" s="87"/>
      <c r="BE214" s="87"/>
      <c r="BF214" s="87"/>
      <c r="BG214" s="87"/>
      <c r="BH214" s="87"/>
    </row>
    <row r="215" spans="1:60" ht="16">
      <c r="A215" s="82"/>
      <c r="B215" s="82"/>
      <c r="C215" s="82"/>
      <c r="D215" s="83"/>
      <c r="E215" s="84"/>
      <c r="F215" s="84"/>
      <c r="G215" s="84"/>
      <c r="H215" s="82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7"/>
      <c r="AA215" s="87"/>
      <c r="AB215" s="87"/>
      <c r="AC215" s="87"/>
      <c r="AD215" s="87"/>
      <c r="AE215" s="87"/>
      <c r="AF215" s="87"/>
      <c r="AG215" s="87"/>
      <c r="AH215" s="87"/>
      <c r="AI215" s="87"/>
      <c r="AJ215" s="87"/>
      <c r="AK215" s="87"/>
      <c r="AL215" s="87"/>
      <c r="AM215" s="87"/>
      <c r="AN215" s="87"/>
      <c r="AO215" s="87"/>
      <c r="AP215" s="87"/>
      <c r="AQ215" s="87"/>
      <c r="AR215" s="87"/>
      <c r="AS215" s="87"/>
      <c r="AT215" s="87"/>
      <c r="AU215" s="87"/>
      <c r="AV215" s="87"/>
      <c r="AW215" s="87"/>
      <c r="AX215" s="87"/>
      <c r="AY215" s="87"/>
      <c r="AZ215" s="87"/>
      <c r="BA215" s="87"/>
      <c r="BB215" s="87"/>
      <c r="BC215" s="87"/>
      <c r="BD215" s="87"/>
      <c r="BE215" s="87"/>
      <c r="BF215" s="87"/>
      <c r="BG215" s="87"/>
      <c r="BH215" s="87"/>
    </row>
    <row r="216" spans="1:60" ht="16">
      <c r="A216" s="82"/>
      <c r="B216" s="82"/>
      <c r="C216" s="82"/>
      <c r="D216" s="83"/>
      <c r="E216" s="84"/>
      <c r="F216" s="84"/>
      <c r="G216" s="84"/>
      <c r="H216" s="82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7"/>
      <c r="AA216" s="87"/>
      <c r="AB216" s="87"/>
      <c r="AC216" s="87"/>
      <c r="AD216" s="87"/>
      <c r="AE216" s="87"/>
      <c r="AF216" s="87"/>
      <c r="AG216" s="87"/>
      <c r="AH216" s="87"/>
      <c r="AI216" s="87"/>
      <c r="AJ216" s="87"/>
      <c r="AK216" s="87"/>
      <c r="AL216" s="87"/>
      <c r="AM216" s="87"/>
      <c r="AN216" s="87"/>
      <c r="AO216" s="87"/>
      <c r="AP216" s="87"/>
      <c r="AQ216" s="87"/>
      <c r="AR216" s="87"/>
      <c r="AS216" s="87"/>
      <c r="AT216" s="87"/>
      <c r="AU216" s="87"/>
      <c r="AV216" s="87"/>
      <c r="AW216" s="87"/>
      <c r="AX216" s="87"/>
      <c r="AY216" s="87"/>
      <c r="AZ216" s="87"/>
      <c r="BA216" s="87"/>
      <c r="BB216" s="87"/>
      <c r="BC216" s="87"/>
      <c r="BD216" s="87"/>
      <c r="BE216" s="87"/>
      <c r="BF216" s="87"/>
      <c r="BG216" s="87"/>
      <c r="BH216" s="87"/>
    </row>
    <row r="217" spans="1:60" ht="16">
      <c r="A217" s="82"/>
      <c r="B217" s="82"/>
      <c r="C217" s="82"/>
      <c r="D217" s="83"/>
      <c r="E217" s="84"/>
      <c r="F217" s="84"/>
      <c r="G217" s="84"/>
      <c r="H217" s="82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7"/>
      <c r="AA217" s="87"/>
      <c r="AB217" s="87"/>
      <c r="AC217" s="87"/>
      <c r="AD217" s="87"/>
      <c r="AE217" s="87"/>
      <c r="AF217" s="87"/>
      <c r="AG217" s="87"/>
      <c r="AH217" s="87"/>
      <c r="AI217" s="87"/>
      <c r="AJ217" s="87"/>
      <c r="AK217" s="87"/>
      <c r="AL217" s="87"/>
      <c r="AM217" s="87"/>
      <c r="AN217" s="87"/>
      <c r="AO217" s="87"/>
      <c r="AP217" s="87"/>
      <c r="AQ217" s="87"/>
      <c r="AR217" s="87"/>
      <c r="AS217" s="87"/>
      <c r="AT217" s="87"/>
      <c r="AU217" s="87"/>
      <c r="AV217" s="87"/>
      <c r="AW217" s="87"/>
      <c r="AX217" s="87"/>
      <c r="AY217" s="87"/>
      <c r="AZ217" s="87"/>
      <c r="BA217" s="87"/>
      <c r="BB217" s="87"/>
      <c r="BC217" s="87"/>
      <c r="BD217" s="87"/>
      <c r="BE217" s="87"/>
      <c r="BF217" s="87"/>
      <c r="BG217" s="87"/>
      <c r="BH217" s="87"/>
    </row>
    <row r="218" spans="1:60" ht="16">
      <c r="A218" s="82"/>
      <c r="B218" s="82"/>
      <c r="C218" s="82"/>
      <c r="D218" s="83"/>
      <c r="E218" s="84"/>
      <c r="F218" s="84"/>
      <c r="G218" s="84"/>
      <c r="H218" s="82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7"/>
      <c r="AA218" s="87"/>
      <c r="AB218" s="87"/>
      <c r="AC218" s="87"/>
      <c r="AD218" s="87"/>
      <c r="AE218" s="87"/>
      <c r="AF218" s="87"/>
      <c r="AG218" s="87"/>
      <c r="AH218" s="87"/>
      <c r="AI218" s="87"/>
      <c r="AJ218" s="87"/>
      <c r="AK218" s="87"/>
      <c r="AL218" s="87"/>
      <c r="AM218" s="87"/>
      <c r="AN218" s="87"/>
      <c r="AO218" s="87"/>
      <c r="AP218" s="87"/>
      <c r="AQ218" s="87"/>
      <c r="AR218" s="87"/>
      <c r="AS218" s="87"/>
      <c r="AT218" s="87"/>
      <c r="AU218" s="87"/>
      <c r="AV218" s="87"/>
      <c r="AW218" s="87"/>
      <c r="AX218" s="87"/>
      <c r="AY218" s="87"/>
      <c r="AZ218" s="87"/>
      <c r="BA218" s="87"/>
      <c r="BB218" s="87"/>
      <c r="BC218" s="87"/>
      <c r="BD218" s="87"/>
      <c r="BE218" s="87"/>
      <c r="BF218" s="87"/>
      <c r="BG218" s="87"/>
      <c r="BH218" s="87"/>
    </row>
    <row r="219" spans="1:60" ht="16">
      <c r="A219" s="82"/>
      <c r="B219" s="82"/>
      <c r="C219" s="82"/>
      <c r="D219" s="83"/>
      <c r="E219" s="84"/>
      <c r="F219" s="84"/>
      <c r="G219" s="84"/>
      <c r="H219" s="82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7"/>
      <c r="AA219" s="87"/>
      <c r="AB219" s="87"/>
      <c r="AC219" s="87"/>
      <c r="AD219" s="87"/>
      <c r="AE219" s="87"/>
      <c r="AF219" s="87"/>
      <c r="AG219" s="87"/>
      <c r="AH219" s="87"/>
      <c r="AI219" s="87"/>
      <c r="AJ219" s="87"/>
      <c r="AK219" s="87"/>
      <c r="AL219" s="87"/>
      <c r="AM219" s="87"/>
      <c r="AN219" s="87"/>
      <c r="AO219" s="87"/>
      <c r="AP219" s="87"/>
      <c r="AQ219" s="87"/>
      <c r="AR219" s="87"/>
      <c r="AS219" s="87"/>
      <c r="AT219" s="87"/>
      <c r="AU219" s="87"/>
      <c r="AV219" s="87"/>
      <c r="AW219" s="87"/>
      <c r="AX219" s="87"/>
      <c r="AY219" s="87"/>
      <c r="AZ219" s="87"/>
      <c r="BA219" s="87"/>
      <c r="BB219" s="87"/>
      <c r="BC219" s="87"/>
      <c r="BD219" s="87"/>
      <c r="BE219" s="87"/>
      <c r="BF219" s="87"/>
      <c r="BG219" s="87"/>
      <c r="BH219" s="87"/>
    </row>
    <row r="220" spans="1:60" ht="16">
      <c r="A220" s="82"/>
      <c r="B220" s="82"/>
      <c r="C220" s="82"/>
      <c r="D220" s="83"/>
      <c r="E220" s="84"/>
      <c r="F220" s="84"/>
      <c r="G220" s="84"/>
      <c r="H220" s="82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7"/>
      <c r="AA220" s="87"/>
      <c r="AB220" s="87"/>
      <c r="AC220" s="87"/>
      <c r="AD220" s="87"/>
      <c r="AE220" s="87"/>
      <c r="AF220" s="87"/>
      <c r="AG220" s="87"/>
      <c r="AH220" s="87"/>
      <c r="AI220" s="87"/>
      <c r="AJ220" s="87"/>
      <c r="AK220" s="87"/>
      <c r="AL220" s="87"/>
      <c r="AM220" s="87"/>
      <c r="AN220" s="87"/>
      <c r="AO220" s="87"/>
      <c r="AP220" s="87"/>
      <c r="AQ220" s="87"/>
      <c r="AR220" s="87"/>
      <c r="AS220" s="87"/>
      <c r="AT220" s="87"/>
      <c r="AU220" s="87"/>
      <c r="AV220" s="87"/>
      <c r="AW220" s="87"/>
      <c r="AX220" s="87"/>
      <c r="AY220" s="87"/>
      <c r="AZ220" s="87"/>
      <c r="BA220" s="87"/>
      <c r="BB220" s="87"/>
      <c r="BC220" s="87"/>
      <c r="BD220" s="87"/>
      <c r="BE220" s="87"/>
      <c r="BF220" s="87"/>
      <c r="BG220" s="87"/>
      <c r="BH220" s="87"/>
    </row>
    <row r="221" spans="1:60" ht="16">
      <c r="A221" s="82"/>
      <c r="B221" s="82"/>
      <c r="C221" s="82"/>
      <c r="D221" s="83"/>
      <c r="E221" s="84"/>
      <c r="F221" s="84"/>
      <c r="G221" s="84"/>
      <c r="H221" s="82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7"/>
      <c r="AA221" s="87"/>
      <c r="AB221" s="87"/>
      <c r="AC221" s="87"/>
      <c r="AD221" s="87"/>
      <c r="AE221" s="87"/>
      <c r="AF221" s="87"/>
      <c r="AG221" s="87"/>
      <c r="AH221" s="87"/>
      <c r="AI221" s="87"/>
      <c r="AJ221" s="87"/>
      <c r="AK221" s="87"/>
      <c r="AL221" s="87"/>
      <c r="AM221" s="87"/>
      <c r="AN221" s="87"/>
      <c r="AO221" s="87"/>
      <c r="AP221" s="87"/>
      <c r="AQ221" s="87"/>
      <c r="AR221" s="87"/>
      <c r="AS221" s="87"/>
      <c r="AT221" s="87"/>
      <c r="AU221" s="87"/>
      <c r="AV221" s="87"/>
      <c r="AW221" s="87"/>
      <c r="AX221" s="87"/>
      <c r="AY221" s="87"/>
      <c r="AZ221" s="87"/>
      <c r="BA221" s="87"/>
      <c r="BB221" s="87"/>
      <c r="BC221" s="87"/>
      <c r="BD221" s="87"/>
      <c r="BE221" s="87"/>
      <c r="BF221" s="87"/>
      <c r="BG221" s="87"/>
      <c r="BH221" s="87"/>
    </row>
    <row r="222" spans="1:60" ht="16">
      <c r="A222" s="82"/>
      <c r="B222" s="82"/>
      <c r="C222" s="82"/>
      <c r="D222" s="83"/>
      <c r="E222" s="84"/>
      <c r="F222" s="84"/>
      <c r="G222" s="84"/>
      <c r="H222" s="82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7"/>
      <c r="AA222" s="87"/>
      <c r="AB222" s="87"/>
      <c r="AC222" s="87"/>
      <c r="AD222" s="87"/>
      <c r="AE222" s="87"/>
      <c r="AF222" s="87"/>
      <c r="AG222" s="87"/>
      <c r="AH222" s="87"/>
      <c r="AI222" s="87"/>
      <c r="AJ222" s="87"/>
      <c r="AK222" s="87"/>
      <c r="AL222" s="87"/>
      <c r="AM222" s="87"/>
      <c r="AN222" s="87"/>
      <c r="AO222" s="87"/>
      <c r="AP222" s="87"/>
      <c r="AQ222" s="87"/>
      <c r="AR222" s="87"/>
      <c r="AS222" s="87"/>
      <c r="AT222" s="87"/>
      <c r="AU222" s="87"/>
      <c r="AV222" s="87"/>
      <c r="AW222" s="87"/>
      <c r="AX222" s="87"/>
      <c r="AY222" s="87"/>
      <c r="AZ222" s="87"/>
      <c r="BA222" s="87"/>
      <c r="BB222" s="87"/>
      <c r="BC222" s="87"/>
      <c r="BD222" s="87"/>
      <c r="BE222" s="87"/>
      <c r="BF222" s="87"/>
      <c r="BG222" s="87"/>
      <c r="BH222" s="87"/>
    </row>
    <row r="223" spans="1:60" ht="16">
      <c r="A223" s="82"/>
      <c r="B223" s="82"/>
      <c r="C223" s="82"/>
      <c r="D223" s="83"/>
      <c r="E223" s="84"/>
      <c r="F223" s="84"/>
      <c r="G223" s="84"/>
      <c r="H223" s="82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7"/>
      <c r="AA223" s="87"/>
      <c r="AB223" s="87"/>
      <c r="AC223" s="87"/>
      <c r="AD223" s="87"/>
      <c r="AE223" s="87"/>
      <c r="AF223" s="87"/>
      <c r="AG223" s="87"/>
      <c r="AH223" s="87"/>
      <c r="AI223" s="87"/>
      <c r="AJ223" s="87"/>
      <c r="AK223" s="87"/>
      <c r="AL223" s="87"/>
      <c r="AM223" s="87"/>
      <c r="AN223" s="87"/>
      <c r="AO223" s="87"/>
      <c r="AP223" s="87"/>
      <c r="AQ223" s="87"/>
      <c r="AR223" s="87"/>
      <c r="AS223" s="87"/>
      <c r="AT223" s="87"/>
      <c r="AU223" s="87"/>
      <c r="AV223" s="87"/>
      <c r="AW223" s="87"/>
      <c r="AX223" s="87"/>
      <c r="AY223" s="87"/>
      <c r="AZ223" s="87"/>
      <c r="BA223" s="87"/>
      <c r="BB223" s="87"/>
      <c r="BC223" s="87"/>
      <c r="BD223" s="87"/>
      <c r="BE223" s="87"/>
      <c r="BF223" s="87"/>
      <c r="BG223" s="87"/>
      <c r="BH223" s="87"/>
    </row>
    <row r="224" spans="1:60" ht="16">
      <c r="A224" s="82"/>
      <c r="B224" s="82"/>
      <c r="C224" s="82"/>
      <c r="D224" s="83"/>
      <c r="E224" s="84"/>
      <c r="F224" s="84"/>
      <c r="G224" s="84"/>
      <c r="H224" s="82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7"/>
      <c r="AA224" s="87"/>
      <c r="AB224" s="87"/>
      <c r="AC224" s="87"/>
      <c r="AD224" s="87"/>
      <c r="AE224" s="87"/>
      <c r="AF224" s="87"/>
      <c r="AG224" s="87"/>
      <c r="AH224" s="87"/>
      <c r="AI224" s="87"/>
      <c r="AJ224" s="87"/>
      <c r="AK224" s="87"/>
      <c r="AL224" s="87"/>
      <c r="AM224" s="87"/>
      <c r="AN224" s="87"/>
      <c r="AO224" s="87"/>
      <c r="AP224" s="87"/>
      <c r="AQ224" s="87"/>
      <c r="AR224" s="87"/>
      <c r="AS224" s="87"/>
      <c r="AT224" s="87"/>
      <c r="AU224" s="87"/>
      <c r="AV224" s="87"/>
      <c r="AW224" s="87"/>
      <c r="AX224" s="87"/>
      <c r="AY224" s="87"/>
      <c r="AZ224" s="87"/>
      <c r="BA224" s="87"/>
      <c r="BB224" s="87"/>
      <c r="BC224" s="87"/>
      <c r="BD224" s="87"/>
      <c r="BE224" s="87"/>
      <c r="BF224" s="87"/>
      <c r="BG224" s="87"/>
      <c r="BH224" s="87"/>
    </row>
    <row r="225" spans="1:60" ht="16">
      <c r="A225" s="82"/>
      <c r="B225" s="82"/>
      <c r="C225" s="82"/>
      <c r="D225" s="83"/>
      <c r="E225" s="84"/>
      <c r="F225" s="84"/>
      <c r="G225" s="84"/>
      <c r="H225" s="82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7"/>
      <c r="AA225" s="87"/>
      <c r="AB225" s="87"/>
      <c r="AC225" s="87"/>
      <c r="AD225" s="87"/>
      <c r="AE225" s="87"/>
      <c r="AF225" s="87"/>
      <c r="AG225" s="87"/>
      <c r="AH225" s="87"/>
      <c r="AI225" s="87"/>
      <c r="AJ225" s="87"/>
      <c r="AK225" s="87"/>
      <c r="AL225" s="87"/>
      <c r="AM225" s="87"/>
      <c r="AN225" s="87"/>
      <c r="AO225" s="87"/>
      <c r="AP225" s="87"/>
      <c r="AQ225" s="87"/>
      <c r="AR225" s="87"/>
      <c r="AS225" s="87"/>
      <c r="AT225" s="87"/>
      <c r="AU225" s="87"/>
      <c r="AV225" s="87"/>
      <c r="AW225" s="87"/>
      <c r="AX225" s="87"/>
      <c r="AY225" s="87"/>
      <c r="AZ225" s="87"/>
      <c r="BA225" s="87"/>
      <c r="BB225" s="87"/>
      <c r="BC225" s="87"/>
      <c r="BD225" s="87"/>
      <c r="BE225" s="87"/>
      <c r="BF225" s="87"/>
      <c r="BG225" s="87"/>
      <c r="BH225" s="87"/>
    </row>
    <row r="226" spans="1:60" ht="16">
      <c r="A226" s="82"/>
      <c r="B226" s="82"/>
      <c r="C226" s="82"/>
      <c r="D226" s="83"/>
      <c r="E226" s="84"/>
      <c r="F226" s="84"/>
      <c r="G226" s="84"/>
      <c r="H226" s="82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7"/>
      <c r="AA226" s="87"/>
      <c r="AB226" s="87"/>
      <c r="AC226" s="87"/>
      <c r="AD226" s="87"/>
      <c r="AE226" s="87"/>
      <c r="AF226" s="87"/>
      <c r="AG226" s="87"/>
      <c r="AH226" s="87"/>
      <c r="AI226" s="87"/>
      <c r="AJ226" s="87"/>
      <c r="AK226" s="87"/>
      <c r="AL226" s="87"/>
      <c r="AM226" s="87"/>
      <c r="AN226" s="87"/>
      <c r="AO226" s="87"/>
      <c r="AP226" s="87"/>
      <c r="AQ226" s="87"/>
      <c r="AR226" s="87"/>
      <c r="AS226" s="87"/>
      <c r="AT226" s="87"/>
      <c r="AU226" s="87"/>
      <c r="AV226" s="87"/>
      <c r="AW226" s="87"/>
      <c r="AX226" s="87"/>
      <c r="AY226" s="87"/>
      <c r="AZ226" s="87"/>
      <c r="BA226" s="87"/>
      <c r="BB226" s="87"/>
      <c r="BC226" s="87"/>
      <c r="BD226" s="87"/>
      <c r="BE226" s="87"/>
      <c r="BF226" s="87"/>
      <c r="BG226" s="87"/>
      <c r="BH226" s="87"/>
    </row>
    <row r="227" spans="1:60" ht="16">
      <c r="A227" s="82"/>
      <c r="B227" s="82"/>
      <c r="C227" s="82"/>
      <c r="D227" s="83"/>
      <c r="E227" s="84"/>
      <c r="F227" s="84"/>
      <c r="G227" s="84"/>
      <c r="H227" s="82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7"/>
      <c r="AA227" s="87"/>
      <c r="AB227" s="87"/>
      <c r="AC227" s="87"/>
      <c r="AD227" s="87"/>
      <c r="AE227" s="87"/>
      <c r="AF227" s="87"/>
      <c r="AG227" s="87"/>
      <c r="AH227" s="87"/>
      <c r="AI227" s="87"/>
      <c r="AJ227" s="87"/>
      <c r="AK227" s="87"/>
      <c r="AL227" s="87"/>
      <c r="AM227" s="87"/>
      <c r="AN227" s="87"/>
      <c r="AO227" s="87"/>
      <c r="AP227" s="87"/>
      <c r="AQ227" s="87"/>
      <c r="AR227" s="87"/>
      <c r="AS227" s="87"/>
      <c r="AT227" s="87"/>
      <c r="AU227" s="87"/>
      <c r="AV227" s="87"/>
      <c r="AW227" s="87"/>
      <c r="AX227" s="87"/>
      <c r="AY227" s="87"/>
      <c r="AZ227" s="87"/>
      <c r="BA227" s="87"/>
      <c r="BB227" s="87"/>
      <c r="BC227" s="87"/>
      <c r="BD227" s="87"/>
      <c r="BE227" s="87"/>
      <c r="BF227" s="87"/>
      <c r="BG227" s="87"/>
      <c r="BH227" s="87"/>
    </row>
    <row r="228" spans="1:60" ht="16">
      <c r="A228" s="82"/>
      <c r="B228" s="82"/>
      <c r="C228" s="82"/>
      <c r="D228" s="83"/>
      <c r="E228" s="84"/>
      <c r="F228" s="84"/>
      <c r="G228" s="84"/>
      <c r="H228" s="82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7"/>
      <c r="AA228" s="87"/>
      <c r="AB228" s="87"/>
      <c r="AC228" s="87"/>
      <c r="AD228" s="87"/>
      <c r="AE228" s="87"/>
      <c r="AF228" s="87"/>
      <c r="AG228" s="87"/>
      <c r="AH228" s="87"/>
      <c r="AI228" s="87"/>
      <c r="AJ228" s="87"/>
      <c r="AK228" s="87"/>
      <c r="AL228" s="87"/>
      <c r="AM228" s="87"/>
      <c r="AN228" s="87"/>
      <c r="AO228" s="87"/>
      <c r="AP228" s="87"/>
      <c r="AQ228" s="87"/>
      <c r="AR228" s="87"/>
      <c r="AS228" s="87"/>
      <c r="AT228" s="87"/>
      <c r="AU228" s="87"/>
      <c r="AV228" s="87"/>
      <c r="AW228" s="87"/>
      <c r="AX228" s="87"/>
      <c r="AY228" s="87"/>
      <c r="AZ228" s="87"/>
      <c r="BA228" s="87"/>
      <c r="BB228" s="87"/>
      <c r="BC228" s="87"/>
      <c r="BD228" s="87"/>
      <c r="BE228" s="87"/>
      <c r="BF228" s="87"/>
      <c r="BG228" s="87"/>
      <c r="BH228" s="87"/>
    </row>
    <row r="229" spans="1:60" ht="16">
      <c r="A229" s="82"/>
      <c r="B229" s="82"/>
      <c r="C229" s="82"/>
      <c r="D229" s="83"/>
      <c r="E229" s="84"/>
      <c r="F229" s="84"/>
      <c r="G229" s="84"/>
      <c r="H229" s="82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7"/>
      <c r="AA229" s="87"/>
      <c r="AB229" s="87"/>
      <c r="AC229" s="87"/>
      <c r="AD229" s="87"/>
      <c r="AE229" s="87"/>
      <c r="AF229" s="87"/>
      <c r="AG229" s="87"/>
      <c r="AH229" s="87"/>
      <c r="AI229" s="87"/>
      <c r="AJ229" s="87"/>
      <c r="AK229" s="87"/>
      <c r="AL229" s="87"/>
      <c r="AM229" s="87"/>
      <c r="AN229" s="87"/>
      <c r="AO229" s="87"/>
      <c r="AP229" s="87"/>
      <c r="AQ229" s="87"/>
      <c r="AR229" s="87"/>
      <c r="AS229" s="87"/>
      <c r="AT229" s="87"/>
      <c r="AU229" s="87"/>
      <c r="AV229" s="87"/>
      <c r="AW229" s="87"/>
      <c r="AX229" s="87"/>
      <c r="AY229" s="87"/>
      <c r="AZ229" s="87"/>
      <c r="BA229" s="87"/>
      <c r="BB229" s="87"/>
      <c r="BC229" s="87"/>
      <c r="BD229" s="87"/>
      <c r="BE229" s="87"/>
      <c r="BF229" s="87"/>
      <c r="BG229" s="87"/>
      <c r="BH229" s="87"/>
    </row>
    <row r="230" spans="1:60" ht="16">
      <c r="A230" s="82"/>
      <c r="B230" s="82"/>
      <c r="C230" s="82"/>
      <c r="D230" s="83"/>
      <c r="E230" s="84"/>
      <c r="F230" s="84"/>
      <c r="G230" s="84"/>
      <c r="H230" s="82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7"/>
      <c r="AA230" s="87"/>
      <c r="AB230" s="87"/>
      <c r="AC230" s="87"/>
      <c r="AD230" s="87"/>
      <c r="AE230" s="87"/>
      <c r="AF230" s="87"/>
      <c r="AG230" s="87"/>
      <c r="AH230" s="87"/>
      <c r="AI230" s="87"/>
      <c r="AJ230" s="87"/>
      <c r="AK230" s="87"/>
      <c r="AL230" s="87"/>
      <c r="AM230" s="87"/>
      <c r="AN230" s="87"/>
      <c r="AO230" s="87"/>
      <c r="AP230" s="87"/>
      <c r="AQ230" s="87"/>
      <c r="AR230" s="87"/>
      <c r="AS230" s="87"/>
      <c r="AT230" s="87"/>
      <c r="AU230" s="87"/>
      <c r="AV230" s="87"/>
      <c r="AW230" s="87"/>
      <c r="AX230" s="87"/>
      <c r="AY230" s="87"/>
      <c r="AZ230" s="87"/>
      <c r="BA230" s="87"/>
      <c r="BB230" s="87"/>
      <c r="BC230" s="87"/>
      <c r="BD230" s="87"/>
      <c r="BE230" s="87"/>
      <c r="BF230" s="87"/>
      <c r="BG230" s="87"/>
      <c r="BH230" s="87"/>
    </row>
    <row r="231" spans="1:60" ht="16">
      <c r="A231" s="82"/>
      <c r="B231" s="82"/>
      <c r="C231" s="82"/>
      <c r="D231" s="83"/>
      <c r="E231" s="84"/>
      <c r="F231" s="84"/>
      <c r="G231" s="84"/>
      <c r="H231" s="82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7"/>
      <c r="AA231" s="87"/>
      <c r="AB231" s="87"/>
      <c r="AC231" s="87"/>
      <c r="AD231" s="87"/>
      <c r="AE231" s="87"/>
      <c r="AF231" s="87"/>
      <c r="AG231" s="87"/>
      <c r="AH231" s="87"/>
      <c r="AI231" s="87"/>
      <c r="AJ231" s="87"/>
      <c r="AK231" s="87"/>
      <c r="AL231" s="87"/>
      <c r="AM231" s="87"/>
      <c r="AN231" s="87"/>
      <c r="AO231" s="87"/>
      <c r="AP231" s="87"/>
      <c r="AQ231" s="87"/>
      <c r="AR231" s="87"/>
      <c r="AS231" s="87"/>
      <c r="AT231" s="87"/>
      <c r="AU231" s="87"/>
      <c r="AV231" s="87"/>
      <c r="AW231" s="87"/>
      <c r="AX231" s="87"/>
      <c r="AY231" s="87"/>
      <c r="AZ231" s="87"/>
      <c r="BA231" s="87"/>
      <c r="BB231" s="87"/>
      <c r="BC231" s="87"/>
      <c r="BD231" s="87"/>
      <c r="BE231" s="87"/>
      <c r="BF231" s="87"/>
      <c r="BG231" s="87"/>
      <c r="BH231" s="87"/>
    </row>
    <row r="232" spans="1:60" ht="16">
      <c r="A232" s="82"/>
      <c r="B232" s="82"/>
      <c r="C232" s="82"/>
      <c r="D232" s="83"/>
      <c r="E232" s="84"/>
      <c r="F232" s="84"/>
      <c r="G232" s="84"/>
      <c r="H232" s="82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7"/>
      <c r="AA232" s="87"/>
      <c r="AB232" s="87"/>
      <c r="AC232" s="87"/>
      <c r="AD232" s="87"/>
      <c r="AE232" s="87"/>
      <c r="AF232" s="87"/>
      <c r="AG232" s="87"/>
      <c r="AH232" s="87"/>
      <c r="AI232" s="87"/>
      <c r="AJ232" s="87"/>
      <c r="AK232" s="87"/>
      <c r="AL232" s="87"/>
      <c r="AM232" s="87"/>
      <c r="AN232" s="87"/>
      <c r="AO232" s="87"/>
      <c r="AP232" s="87"/>
      <c r="AQ232" s="87"/>
      <c r="AR232" s="87"/>
      <c r="AS232" s="87"/>
      <c r="AT232" s="87"/>
      <c r="AU232" s="87"/>
      <c r="AV232" s="87"/>
      <c r="AW232" s="87"/>
      <c r="AX232" s="87"/>
      <c r="AY232" s="87"/>
      <c r="AZ232" s="87"/>
      <c r="BA232" s="87"/>
      <c r="BB232" s="87"/>
      <c r="BC232" s="87"/>
      <c r="BD232" s="87"/>
      <c r="BE232" s="87"/>
      <c r="BF232" s="87"/>
      <c r="BG232" s="87"/>
      <c r="BH232" s="87"/>
    </row>
    <row r="233" spans="1:60" ht="16">
      <c r="A233" s="82"/>
      <c r="B233" s="82"/>
      <c r="C233" s="82"/>
      <c r="D233" s="83"/>
      <c r="E233" s="84"/>
      <c r="F233" s="84"/>
      <c r="G233" s="84"/>
      <c r="H233" s="82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7"/>
      <c r="AA233" s="87"/>
      <c r="AB233" s="87"/>
      <c r="AC233" s="87"/>
      <c r="AD233" s="87"/>
      <c r="AE233" s="87"/>
      <c r="AF233" s="87"/>
      <c r="AG233" s="87"/>
      <c r="AH233" s="87"/>
      <c r="AI233" s="87"/>
      <c r="AJ233" s="87"/>
      <c r="AK233" s="87"/>
      <c r="AL233" s="87"/>
      <c r="AM233" s="87"/>
      <c r="AN233" s="87"/>
      <c r="AO233" s="87"/>
      <c r="AP233" s="87"/>
      <c r="AQ233" s="87"/>
      <c r="AR233" s="87"/>
      <c r="AS233" s="87"/>
      <c r="AT233" s="87"/>
      <c r="AU233" s="87"/>
      <c r="AV233" s="87"/>
      <c r="AW233" s="87"/>
      <c r="AX233" s="87"/>
      <c r="AY233" s="87"/>
      <c r="AZ233" s="87"/>
      <c r="BA233" s="87"/>
      <c r="BB233" s="87"/>
      <c r="BC233" s="87"/>
      <c r="BD233" s="87"/>
      <c r="BE233" s="87"/>
      <c r="BF233" s="87"/>
      <c r="BG233" s="87"/>
      <c r="BH233" s="87"/>
    </row>
    <row r="234" spans="1:60" ht="16">
      <c r="A234" s="82"/>
      <c r="B234" s="82"/>
      <c r="C234" s="82"/>
      <c r="D234" s="83"/>
      <c r="E234" s="84"/>
      <c r="F234" s="84"/>
      <c r="G234" s="84"/>
      <c r="H234" s="82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7"/>
      <c r="AA234" s="87"/>
      <c r="AB234" s="87"/>
      <c r="AC234" s="87"/>
      <c r="AD234" s="87"/>
      <c r="AE234" s="87"/>
      <c r="AF234" s="87"/>
      <c r="AG234" s="87"/>
      <c r="AH234" s="87"/>
      <c r="AI234" s="87"/>
      <c r="AJ234" s="87"/>
      <c r="AK234" s="87"/>
      <c r="AL234" s="87"/>
      <c r="AM234" s="87"/>
      <c r="AN234" s="87"/>
      <c r="AO234" s="87"/>
      <c r="AP234" s="87"/>
      <c r="AQ234" s="87"/>
      <c r="AR234" s="87"/>
      <c r="AS234" s="87"/>
      <c r="AT234" s="87"/>
      <c r="AU234" s="87"/>
      <c r="AV234" s="87"/>
      <c r="AW234" s="87"/>
      <c r="AX234" s="87"/>
      <c r="AY234" s="87"/>
      <c r="AZ234" s="87"/>
      <c r="BA234" s="87"/>
      <c r="BB234" s="87"/>
      <c r="BC234" s="87"/>
      <c r="BD234" s="87"/>
      <c r="BE234" s="87"/>
      <c r="BF234" s="87"/>
      <c r="BG234" s="87"/>
      <c r="BH234" s="87"/>
    </row>
    <row r="235" spans="1:60" ht="16">
      <c r="A235" s="82"/>
      <c r="B235" s="82"/>
      <c r="C235" s="82"/>
      <c r="D235" s="83"/>
      <c r="E235" s="84"/>
      <c r="F235" s="84"/>
      <c r="G235" s="84"/>
      <c r="H235" s="82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7"/>
      <c r="AA235" s="87"/>
      <c r="AB235" s="87"/>
      <c r="AC235" s="87"/>
      <c r="AD235" s="87"/>
      <c r="AE235" s="87"/>
      <c r="AF235" s="87"/>
      <c r="AG235" s="87"/>
      <c r="AH235" s="87"/>
      <c r="AI235" s="87"/>
      <c r="AJ235" s="87"/>
      <c r="AK235" s="87"/>
      <c r="AL235" s="87"/>
      <c r="AM235" s="87"/>
      <c r="AN235" s="87"/>
      <c r="AO235" s="87"/>
      <c r="AP235" s="87"/>
      <c r="AQ235" s="87"/>
      <c r="AR235" s="87"/>
      <c r="AS235" s="87"/>
      <c r="AT235" s="87"/>
      <c r="AU235" s="87"/>
      <c r="AV235" s="87"/>
      <c r="AW235" s="87"/>
      <c r="AX235" s="87"/>
      <c r="AY235" s="87"/>
      <c r="AZ235" s="87"/>
      <c r="BA235" s="87"/>
      <c r="BB235" s="87"/>
      <c r="BC235" s="87"/>
      <c r="BD235" s="87"/>
      <c r="BE235" s="87"/>
      <c r="BF235" s="87"/>
      <c r="BG235" s="87"/>
      <c r="BH235" s="87"/>
    </row>
    <row r="236" spans="1:60" ht="16">
      <c r="A236" s="82"/>
      <c r="B236" s="82"/>
      <c r="C236" s="82"/>
      <c r="D236" s="83"/>
      <c r="E236" s="84"/>
      <c r="F236" s="84"/>
      <c r="G236" s="84"/>
      <c r="H236" s="82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7"/>
      <c r="AA236" s="87"/>
      <c r="AB236" s="87"/>
      <c r="AC236" s="87"/>
      <c r="AD236" s="87"/>
      <c r="AE236" s="87"/>
      <c r="AF236" s="87"/>
      <c r="AG236" s="87"/>
      <c r="AH236" s="87"/>
      <c r="AI236" s="87"/>
      <c r="AJ236" s="87"/>
      <c r="AK236" s="87"/>
      <c r="AL236" s="87"/>
      <c r="AM236" s="87"/>
      <c r="AN236" s="87"/>
      <c r="AO236" s="87"/>
      <c r="AP236" s="87"/>
      <c r="AQ236" s="87"/>
      <c r="AR236" s="87"/>
      <c r="AS236" s="87"/>
      <c r="AT236" s="87"/>
      <c r="AU236" s="87"/>
      <c r="AV236" s="87"/>
      <c r="AW236" s="87"/>
      <c r="AX236" s="87"/>
      <c r="AY236" s="87"/>
      <c r="AZ236" s="87"/>
      <c r="BA236" s="87"/>
      <c r="BB236" s="87"/>
      <c r="BC236" s="87"/>
      <c r="BD236" s="87"/>
      <c r="BE236" s="87"/>
      <c r="BF236" s="87"/>
      <c r="BG236" s="87"/>
      <c r="BH236" s="87"/>
    </row>
    <row r="237" spans="1:60" ht="16">
      <c r="A237" s="82"/>
      <c r="B237" s="82"/>
      <c r="C237" s="82"/>
      <c r="D237" s="83"/>
      <c r="E237" s="84"/>
      <c r="F237" s="84"/>
      <c r="G237" s="84"/>
      <c r="H237" s="82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7"/>
      <c r="AA237" s="87"/>
      <c r="AB237" s="87"/>
      <c r="AC237" s="87"/>
      <c r="AD237" s="87"/>
      <c r="AE237" s="87"/>
      <c r="AF237" s="87"/>
      <c r="AG237" s="87"/>
      <c r="AH237" s="87"/>
      <c r="AI237" s="87"/>
      <c r="AJ237" s="87"/>
      <c r="AK237" s="87"/>
      <c r="AL237" s="87"/>
      <c r="AM237" s="87"/>
      <c r="AN237" s="87"/>
      <c r="AO237" s="87"/>
      <c r="AP237" s="87"/>
      <c r="AQ237" s="87"/>
      <c r="AR237" s="87"/>
      <c r="AS237" s="87"/>
      <c r="AT237" s="87"/>
      <c r="AU237" s="87"/>
      <c r="AV237" s="87"/>
      <c r="AW237" s="87"/>
      <c r="AX237" s="87"/>
      <c r="AY237" s="87"/>
      <c r="AZ237" s="87"/>
      <c r="BA237" s="87"/>
      <c r="BB237" s="87"/>
      <c r="BC237" s="87"/>
      <c r="BD237" s="87"/>
      <c r="BE237" s="87"/>
      <c r="BF237" s="87"/>
      <c r="BG237" s="87"/>
      <c r="BH237" s="87"/>
    </row>
    <row r="238" spans="1:60" ht="16">
      <c r="A238" s="82"/>
      <c r="B238" s="82"/>
      <c r="C238" s="82"/>
      <c r="D238" s="83"/>
      <c r="E238" s="84"/>
      <c r="F238" s="84"/>
      <c r="G238" s="84"/>
      <c r="H238" s="82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7"/>
      <c r="AA238" s="87"/>
      <c r="AB238" s="87"/>
      <c r="AC238" s="87"/>
      <c r="AD238" s="87"/>
      <c r="AE238" s="87"/>
      <c r="AF238" s="87"/>
      <c r="AG238" s="87"/>
      <c r="AH238" s="87"/>
      <c r="AI238" s="87"/>
      <c r="AJ238" s="87"/>
      <c r="AK238" s="87"/>
      <c r="AL238" s="87"/>
      <c r="AM238" s="87"/>
      <c r="AN238" s="87"/>
      <c r="AO238" s="87"/>
      <c r="AP238" s="87"/>
      <c r="AQ238" s="87"/>
      <c r="AR238" s="87"/>
      <c r="AS238" s="87"/>
      <c r="AT238" s="87"/>
      <c r="AU238" s="87"/>
      <c r="AV238" s="87"/>
      <c r="AW238" s="87"/>
      <c r="AX238" s="87"/>
      <c r="AY238" s="87"/>
      <c r="AZ238" s="87"/>
      <c r="BA238" s="87"/>
      <c r="BB238" s="87"/>
      <c r="BC238" s="87"/>
      <c r="BD238" s="87"/>
      <c r="BE238" s="87"/>
      <c r="BF238" s="87"/>
      <c r="BG238" s="87"/>
      <c r="BH238" s="87"/>
    </row>
    <row r="239" spans="1:60" ht="16">
      <c r="A239" s="82"/>
      <c r="B239" s="82"/>
      <c r="C239" s="82"/>
      <c r="D239" s="83"/>
      <c r="E239" s="84"/>
      <c r="F239" s="84"/>
      <c r="G239" s="84"/>
      <c r="H239" s="82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7"/>
      <c r="AA239" s="87"/>
      <c r="AB239" s="87"/>
      <c r="AC239" s="87"/>
      <c r="AD239" s="87"/>
      <c r="AE239" s="87"/>
      <c r="AF239" s="87"/>
      <c r="AG239" s="87"/>
      <c r="AH239" s="87"/>
      <c r="AI239" s="87"/>
      <c r="AJ239" s="87"/>
      <c r="AK239" s="87"/>
      <c r="AL239" s="87"/>
      <c r="AM239" s="87"/>
      <c r="AN239" s="87"/>
      <c r="AO239" s="87"/>
      <c r="AP239" s="87"/>
      <c r="AQ239" s="87"/>
      <c r="AR239" s="87"/>
      <c r="AS239" s="87"/>
      <c r="AT239" s="87"/>
      <c r="AU239" s="87"/>
      <c r="AV239" s="87"/>
      <c r="AW239" s="87"/>
      <c r="AX239" s="87"/>
      <c r="AY239" s="87"/>
      <c r="AZ239" s="87"/>
      <c r="BA239" s="87"/>
      <c r="BB239" s="87"/>
      <c r="BC239" s="87"/>
      <c r="BD239" s="87"/>
      <c r="BE239" s="87"/>
      <c r="BF239" s="87"/>
      <c r="BG239" s="87"/>
      <c r="BH239" s="87"/>
    </row>
    <row r="240" spans="1:60" ht="16">
      <c r="A240" s="82"/>
      <c r="B240" s="82"/>
      <c r="C240" s="82"/>
      <c r="D240" s="83"/>
      <c r="E240" s="84"/>
      <c r="F240" s="84"/>
      <c r="G240" s="84"/>
      <c r="H240" s="82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7"/>
      <c r="AA240" s="87"/>
      <c r="AB240" s="87"/>
      <c r="AC240" s="87"/>
      <c r="AD240" s="87"/>
      <c r="AE240" s="87"/>
      <c r="AF240" s="87"/>
      <c r="AG240" s="87"/>
      <c r="AH240" s="87"/>
      <c r="AI240" s="87"/>
      <c r="AJ240" s="87"/>
      <c r="AK240" s="87"/>
      <c r="AL240" s="87"/>
      <c r="AM240" s="87"/>
      <c r="AN240" s="87"/>
      <c r="AO240" s="87"/>
      <c r="AP240" s="87"/>
      <c r="AQ240" s="87"/>
      <c r="AR240" s="87"/>
      <c r="AS240" s="87"/>
      <c r="AT240" s="87"/>
      <c r="AU240" s="87"/>
      <c r="AV240" s="87"/>
      <c r="AW240" s="87"/>
      <c r="AX240" s="87"/>
      <c r="AY240" s="87"/>
      <c r="AZ240" s="87"/>
      <c r="BA240" s="87"/>
      <c r="BB240" s="87"/>
      <c r="BC240" s="87"/>
      <c r="BD240" s="87"/>
      <c r="BE240" s="87"/>
      <c r="BF240" s="87"/>
      <c r="BG240" s="87"/>
      <c r="BH240" s="87"/>
    </row>
    <row r="241" spans="1:60" ht="16">
      <c r="A241" s="82"/>
      <c r="B241" s="82"/>
      <c r="C241" s="82"/>
      <c r="D241" s="83"/>
      <c r="E241" s="84"/>
      <c r="F241" s="84"/>
      <c r="G241" s="84"/>
      <c r="H241" s="82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7"/>
      <c r="AA241" s="87"/>
      <c r="AB241" s="87"/>
      <c r="AC241" s="87"/>
      <c r="AD241" s="87"/>
      <c r="AE241" s="87"/>
      <c r="AF241" s="87"/>
      <c r="AG241" s="87"/>
      <c r="AH241" s="87"/>
      <c r="AI241" s="87"/>
      <c r="AJ241" s="87"/>
      <c r="AK241" s="87"/>
      <c r="AL241" s="87"/>
      <c r="AM241" s="87"/>
      <c r="AN241" s="87"/>
      <c r="AO241" s="87"/>
      <c r="AP241" s="87"/>
      <c r="AQ241" s="87"/>
      <c r="AR241" s="87"/>
      <c r="AS241" s="87"/>
      <c r="AT241" s="87"/>
      <c r="AU241" s="87"/>
      <c r="AV241" s="87"/>
      <c r="AW241" s="87"/>
      <c r="AX241" s="87"/>
      <c r="AY241" s="87"/>
      <c r="AZ241" s="87"/>
      <c r="BA241" s="87"/>
      <c r="BB241" s="87"/>
      <c r="BC241" s="87"/>
      <c r="BD241" s="87"/>
      <c r="BE241" s="87"/>
      <c r="BF241" s="87"/>
      <c r="BG241" s="87"/>
      <c r="BH241" s="87"/>
    </row>
    <row r="242" spans="1:60" ht="16">
      <c r="A242" s="82"/>
      <c r="B242" s="82"/>
      <c r="C242" s="82"/>
      <c r="D242" s="83"/>
      <c r="E242" s="84"/>
      <c r="F242" s="84"/>
      <c r="G242" s="84"/>
      <c r="H242" s="82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7"/>
      <c r="AA242" s="87"/>
      <c r="AB242" s="87"/>
      <c r="AC242" s="87"/>
      <c r="AD242" s="87"/>
      <c r="AE242" s="87"/>
      <c r="AF242" s="87"/>
      <c r="AG242" s="87"/>
      <c r="AH242" s="87"/>
      <c r="AI242" s="87"/>
      <c r="AJ242" s="87"/>
      <c r="AK242" s="87"/>
      <c r="AL242" s="87"/>
      <c r="AM242" s="87"/>
      <c r="AN242" s="87"/>
      <c r="AO242" s="87"/>
      <c r="AP242" s="87"/>
      <c r="AQ242" s="87"/>
      <c r="AR242" s="87"/>
      <c r="AS242" s="87"/>
      <c r="AT242" s="87"/>
      <c r="AU242" s="87"/>
      <c r="AV242" s="87"/>
      <c r="AW242" s="87"/>
      <c r="AX242" s="87"/>
      <c r="AY242" s="87"/>
      <c r="AZ242" s="87"/>
      <c r="BA242" s="87"/>
      <c r="BB242" s="87"/>
      <c r="BC242" s="87"/>
      <c r="BD242" s="87"/>
      <c r="BE242" s="87"/>
      <c r="BF242" s="87"/>
      <c r="BG242" s="87"/>
      <c r="BH242" s="87"/>
    </row>
    <row r="243" spans="1:60" ht="16">
      <c r="A243" s="82"/>
      <c r="B243" s="82"/>
      <c r="C243" s="82"/>
      <c r="D243" s="83"/>
      <c r="E243" s="84"/>
      <c r="F243" s="84"/>
      <c r="G243" s="84"/>
      <c r="H243" s="82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7"/>
      <c r="AA243" s="87"/>
      <c r="AB243" s="87"/>
      <c r="AC243" s="87"/>
      <c r="AD243" s="87"/>
      <c r="AE243" s="87"/>
      <c r="AF243" s="87"/>
      <c r="AG243" s="87"/>
      <c r="AH243" s="87"/>
      <c r="AI243" s="87"/>
      <c r="AJ243" s="87"/>
      <c r="AK243" s="87"/>
      <c r="AL243" s="87"/>
      <c r="AM243" s="87"/>
      <c r="AN243" s="87"/>
      <c r="AO243" s="87"/>
      <c r="AP243" s="87"/>
      <c r="AQ243" s="87"/>
      <c r="AR243" s="87"/>
      <c r="AS243" s="87"/>
      <c r="AT243" s="87"/>
      <c r="AU243" s="87"/>
      <c r="AV243" s="87"/>
      <c r="AW243" s="87"/>
      <c r="AX243" s="87"/>
      <c r="AY243" s="87"/>
      <c r="AZ243" s="87"/>
      <c r="BA243" s="87"/>
      <c r="BB243" s="87"/>
      <c r="BC243" s="87"/>
      <c r="BD243" s="87"/>
      <c r="BE243" s="87"/>
      <c r="BF243" s="87"/>
      <c r="BG243" s="87"/>
      <c r="BH243" s="87"/>
    </row>
    <row r="244" spans="1:60" ht="16">
      <c r="A244" s="82"/>
      <c r="B244" s="82"/>
      <c r="C244" s="82"/>
      <c r="D244" s="83"/>
      <c r="E244" s="84"/>
      <c r="F244" s="84"/>
      <c r="G244" s="84"/>
      <c r="H244" s="82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7"/>
      <c r="AA244" s="87"/>
      <c r="AB244" s="87"/>
      <c r="AC244" s="87"/>
      <c r="AD244" s="87"/>
      <c r="AE244" s="87"/>
      <c r="AF244" s="87"/>
      <c r="AG244" s="87"/>
      <c r="AH244" s="87"/>
      <c r="AI244" s="87"/>
      <c r="AJ244" s="87"/>
      <c r="AK244" s="87"/>
      <c r="AL244" s="87"/>
      <c r="AM244" s="87"/>
      <c r="AN244" s="87"/>
      <c r="AO244" s="87"/>
      <c r="AP244" s="87"/>
      <c r="AQ244" s="87"/>
      <c r="AR244" s="87"/>
      <c r="AS244" s="87"/>
      <c r="AT244" s="87"/>
      <c r="AU244" s="87"/>
      <c r="AV244" s="87"/>
      <c r="AW244" s="87"/>
      <c r="AX244" s="87"/>
      <c r="AY244" s="87"/>
      <c r="AZ244" s="87"/>
      <c r="BA244" s="87"/>
      <c r="BB244" s="87"/>
      <c r="BC244" s="87"/>
      <c r="BD244" s="87"/>
      <c r="BE244" s="87"/>
      <c r="BF244" s="87"/>
      <c r="BG244" s="87"/>
      <c r="BH244" s="87"/>
    </row>
    <row r="245" spans="1:60" ht="16">
      <c r="A245" s="82"/>
      <c r="B245" s="82"/>
      <c r="C245" s="82"/>
      <c r="D245" s="83"/>
      <c r="E245" s="84"/>
      <c r="F245" s="84"/>
      <c r="G245" s="84"/>
      <c r="H245" s="82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7"/>
      <c r="AA245" s="87"/>
      <c r="AB245" s="87"/>
      <c r="AC245" s="87"/>
      <c r="AD245" s="87"/>
      <c r="AE245" s="87"/>
      <c r="AF245" s="87"/>
      <c r="AG245" s="87"/>
      <c r="AH245" s="87"/>
      <c r="AI245" s="87"/>
      <c r="AJ245" s="87"/>
      <c r="AK245" s="87"/>
      <c r="AL245" s="87"/>
      <c r="AM245" s="87"/>
      <c r="AN245" s="87"/>
      <c r="AO245" s="87"/>
      <c r="AP245" s="87"/>
      <c r="AQ245" s="87"/>
      <c r="AR245" s="87"/>
      <c r="AS245" s="87"/>
      <c r="AT245" s="87"/>
      <c r="AU245" s="87"/>
      <c r="AV245" s="87"/>
      <c r="AW245" s="87"/>
      <c r="AX245" s="87"/>
      <c r="AY245" s="87"/>
      <c r="AZ245" s="87"/>
      <c r="BA245" s="87"/>
      <c r="BB245" s="87"/>
      <c r="BC245" s="87"/>
      <c r="BD245" s="87"/>
      <c r="BE245" s="87"/>
      <c r="BF245" s="87"/>
      <c r="BG245" s="87"/>
      <c r="BH245" s="87"/>
    </row>
    <row r="246" spans="1:60" ht="16">
      <c r="A246" s="82"/>
      <c r="B246" s="82"/>
      <c r="C246" s="82"/>
      <c r="D246" s="83"/>
      <c r="E246" s="84"/>
      <c r="F246" s="84"/>
      <c r="G246" s="84"/>
      <c r="H246" s="82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7"/>
      <c r="AA246" s="87"/>
      <c r="AB246" s="87"/>
      <c r="AC246" s="87"/>
      <c r="AD246" s="87"/>
      <c r="AE246" s="87"/>
      <c r="AF246" s="87"/>
      <c r="AG246" s="87"/>
      <c r="AH246" s="87"/>
      <c r="AI246" s="87"/>
      <c r="AJ246" s="87"/>
      <c r="AK246" s="87"/>
      <c r="AL246" s="87"/>
      <c r="AM246" s="87"/>
      <c r="AN246" s="87"/>
      <c r="AO246" s="87"/>
      <c r="AP246" s="87"/>
      <c r="AQ246" s="87"/>
      <c r="AR246" s="87"/>
      <c r="AS246" s="87"/>
      <c r="AT246" s="87"/>
      <c r="AU246" s="87"/>
      <c r="AV246" s="87"/>
      <c r="AW246" s="87"/>
      <c r="AX246" s="87"/>
      <c r="AY246" s="87"/>
      <c r="AZ246" s="87"/>
      <c r="BA246" s="87"/>
      <c r="BB246" s="87"/>
      <c r="BC246" s="87"/>
      <c r="BD246" s="87"/>
      <c r="BE246" s="87"/>
      <c r="BF246" s="87"/>
      <c r="BG246" s="87"/>
      <c r="BH246" s="87"/>
    </row>
    <row r="247" spans="1:60" ht="16">
      <c r="A247" s="82"/>
      <c r="B247" s="82"/>
      <c r="C247" s="82"/>
      <c r="D247" s="83"/>
      <c r="E247" s="84"/>
      <c r="F247" s="84"/>
      <c r="G247" s="84"/>
      <c r="H247" s="82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7"/>
      <c r="AA247" s="87"/>
      <c r="AB247" s="87"/>
      <c r="AC247" s="87"/>
      <c r="AD247" s="87"/>
      <c r="AE247" s="87"/>
      <c r="AF247" s="87"/>
      <c r="AG247" s="87"/>
      <c r="AH247" s="87"/>
      <c r="AI247" s="87"/>
      <c r="AJ247" s="87"/>
      <c r="AK247" s="87"/>
      <c r="AL247" s="87"/>
      <c r="AM247" s="87"/>
      <c r="AN247" s="87"/>
      <c r="AO247" s="87"/>
      <c r="AP247" s="87"/>
      <c r="AQ247" s="87"/>
      <c r="AR247" s="87"/>
      <c r="AS247" s="87"/>
      <c r="AT247" s="87"/>
      <c r="AU247" s="87"/>
      <c r="AV247" s="87"/>
      <c r="AW247" s="87"/>
      <c r="AX247" s="87"/>
      <c r="AY247" s="87"/>
      <c r="AZ247" s="87"/>
      <c r="BA247" s="87"/>
      <c r="BB247" s="87"/>
      <c r="BC247" s="87"/>
      <c r="BD247" s="87"/>
      <c r="BE247" s="87"/>
      <c r="BF247" s="87"/>
      <c r="BG247" s="87"/>
      <c r="BH247" s="87"/>
    </row>
    <row r="248" spans="1:60" ht="16">
      <c r="A248" s="82"/>
      <c r="B248" s="82"/>
      <c r="C248" s="82"/>
      <c r="D248" s="83"/>
      <c r="E248" s="84"/>
      <c r="F248" s="84"/>
      <c r="G248" s="84"/>
      <c r="H248" s="82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7"/>
      <c r="AA248" s="87"/>
      <c r="AB248" s="87"/>
      <c r="AC248" s="87"/>
      <c r="AD248" s="87"/>
      <c r="AE248" s="87"/>
      <c r="AF248" s="87"/>
      <c r="AG248" s="87"/>
      <c r="AH248" s="87"/>
      <c r="AI248" s="87"/>
      <c r="AJ248" s="87"/>
      <c r="AK248" s="87"/>
      <c r="AL248" s="87"/>
      <c r="AM248" s="87"/>
      <c r="AN248" s="87"/>
      <c r="AO248" s="87"/>
      <c r="AP248" s="87"/>
      <c r="AQ248" s="87"/>
      <c r="AR248" s="87"/>
      <c r="AS248" s="87"/>
      <c r="AT248" s="87"/>
      <c r="AU248" s="87"/>
      <c r="AV248" s="87"/>
      <c r="AW248" s="87"/>
      <c r="AX248" s="87"/>
      <c r="AY248" s="87"/>
      <c r="AZ248" s="87"/>
      <c r="BA248" s="87"/>
      <c r="BB248" s="87"/>
      <c r="BC248" s="87"/>
      <c r="BD248" s="87"/>
      <c r="BE248" s="87"/>
      <c r="BF248" s="87"/>
      <c r="BG248" s="87"/>
      <c r="BH248" s="87"/>
    </row>
    <row r="249" spans="1:60" ht="16">
      <c r="A249" s="82"/>
      <c r="B249" s="82"/>
      <c r="C249" s="82"/>
      <c r="D249" s="83"/>
      <c r="E249" s="84"/>
      <c r="F249" s="84"/>
      <c r="G249" s="84"/>
      <c r="H249" s="82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7"/>
      <c r="AA249" s="87"/>
      <c r="AB249" s="87"/>
      <c r="AC249" s="87"/>
      <c r="AD249" s="87"/>
      <c r="AE249" s="87"/>
      <c r="AF249" s="87"/>
      <c r="AG249" s="87"/>
      <c r="AH249" s="87"/>
      <c r="AI249" s="87"/>
      <c r="AJ249" s="87"/>
      <c r="AK249" s="87"/>
      <c r="AL249" s="87"/>
      <c r="AM249" s="87"/>
      <c r="AN249" s="87"/>
      <c r="AO249" s="87"/>
      <c r="AP249" s="87"/>
      <c r="AQ249" s="87"/>
      <c r="AR249" s="87"/>
      <c r="AS249" s="87"/>
      <c r="AT249" s="87"/>
      <c r="AU249" s="87"/>
      <c r="AV249" s="87"/>
      <c r="AW249" s="87"/>
      <c r="AX249" s="87"/>
      <c r="AY249" s="87"/>
      <c r="AZ249" s="87"/>
      <c r="BA249" s="87"/>
      <c r="BB249" s="87"/>
      <c r="BC249" s="87"/>
      <c r="BD249" s="87"/>
      <c r="BE249" s="87"/>
      <c r="BF249" s="87"/>
      <c r="BG249" s="87"/>
      <c r="BH249" s="87"/>
    </row>
    <row r="250" spans="1:60" ht="16">
      <c r="A250" s="82"/>
      <c r="B250" s="82"/>
      <c r="C250" s="82"/>
      <c r="D250" s="83"/>
      <c r="E250" s="84"/>
      <c r="F250" s="84"/>
      <c r="G250" s="84"/>
      <c r="H250" s="82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7"/>
      <c r="AA250" s="87"/>
      <c r="AB250" s="87"/>
      <c r="AC250" s="87"/>
      <c r="AD250" s="87"/>
      <c r="AE250" s="87"/>
      <c r="AF250" s="87"/>
      <c r="AG250" s="87"/>
      <c r="AH250" s="87"/>
      <c r="AI250" s="87"/>
      <c r="AJ250" s="87"/>
      <c r="AK250" s="87"/>
      <c r="AL250" s="87"/>
      <c r="AM250" s="87"/>
      <c r="AN250" s="87"/>
      <c r="AO250" s="87"/>
      <c r="AP250" s="87"/>
      <c r="AQ250" s="87"/>
      <c r="AR250" s="87"/>
      <c r="AS250" s="87"/>
      <c r="AT250" s="87"/>
      <c r="AU250" s="87"/>
      <c r="AV250" s="87"/>
      <c r="AW250" s="87"/>
      <c r="AX250" s="87"/>
      <c r="AY250" s="87"/>
      <c r="AZ250" s="87"/>
      <c r="BA250" s="87"/>
      <c r="BB250" s="87"/>
      <c r="BC250" s="87"/>
      <c r="BD250" s="87"/>
      <c r="BE250" s="87"/>
      <c r="BF250" s="87"/>
      <c r="BG250" s="87"/>
      <c r="BH250" s="87"/>
    </row>
    <row r="251" spans="1:60" ht="16">
      <c r="A251" s="82"/>
      <c r="B251" s="82"/>
      <c r="C251" s="82"/>
      <c r="D251" s="83"/>
      <c r="E251" s="84"/>
      <c r="F251" s="84"/>
      <c r="G251" s="84"/>
      <c r="H251" s="82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7"/>
      <c r="AA251" s="87"/>
      <c r="AB251" s="87"/>
      <c r="AC251" s="87"/>
      <c r="AD251" s="87"/>
      <c r="AE251" s="87"/>
      <c r="AF251" s="87"/>
      <c r="AG251" s="87"/>
      <c r="AH251" s="87"/>
      <c r="AI251" s="87"/>
      <c r="AJ251" s="87"/>
      <c r="AK251" s="87"/>
      <c r="AL251" s="87"/>
      <c r="AM251" s="87"/>
      <c r="AN251" s="87"/>
      <c r="AO251" s="87"/>
      <c r="AP251" s="87"/>
      <c r="AQ251" s="87"/>
      <c r="AR251" s="87"/>
      <c r="AS251" s="87"/>
      <c r="AT251" s="87"/>
      <c r="AU251" s="87"/>
      <c r="AV251" s="87"/>
      <c r="AW251" s="87"/>
      <c r="AX251" s="87"/>
      <c r="AY251" s="87"/>
      <c r="AZ251" s="87"/>
      <c r="BA251" s="87"/>
      <c r="BB251" s="87"/>
      <c r="BC251" s="87"/>
      <c r="BD251" s="87"/>
      <c r="BE251" s="87"/>
      <c r="BF251" s="87"/>
      <c r="BG251" s="87"/>
      <c r="BH251" s="87"/>
    </row>
    <row r="252" spans="1:60" ht="16">
      <c r="A252" s="82"/>
      <c r="B252" s="82"/>
      <c r="C252" s="82"/>
      <c r="D252" s="83"/>
      <c r="E252" s="84"/>
      <c r="F252" s="84"/>
      <c r="G252" s="84"/>
      <c r="H252" s="82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7"/>
      <c r="AA252" s="87"/>
      <c r="AB252" s="87"/>
      <c r="AC252" s="87"/>
      <c r="AD252" s="87"/>
      <c r="AE252" s="87"/>
      <c r="AF252" s="87"/>
      <c r="AG252" s="87"/>
      <c r="AH252" s="87"/>
      <c r="AI252" s="87"/>
      <c r="AJ252" s="87"/>
      <c r="AK252" s="87"/>
      <c r="AL252" s="87"/>
      <c r="AM252" s="87"/>
      <c r="AN252" s="87"/>
      <c r="AO252" s="87"/>
      <c r="AP252" s="87"/>
      <c r="AQ252" s="87"/>
      <c r="AR252" s="87"/>
      <c r="AS252" s="87"/>
      <c r="AT252" s="87"/>
      <c r="AU252" s="87"/>
      <c r="AV252" s="87"/>
      <c r="AW252" s="87"/>
      <c r="AX252" s="87"/>
      <c r="AY252" s="87"/>
      <c r="AZ252" s="87"/>
      <c r="BA252" s="87"/>
      <c r="BB252" s="87"/>
      <c r="BC252" s="87"/>
      <c r="BD252" s="87"/>
      <c r="BE252" s="87"/>
      <c r="BF252" s="87"/>
      <c r="BG252" s="87"/>
      <c r="BH252" s="87"/>
    </row>
    <row r="253" spans="1:60" ht="16">
      <c r="A253" s="82"/>
      <c r="B253" s="82"/>
      <c r="C253" s="82"/>
      <c r="D253" s="83"/>
      <c r="E253" s="84"/>
      <c r="F253" s="84"/>
      <c r="G253" s="84"/>
      <c r="H253" s="82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7"/>
      <c r="AA253" s="87"/>
      <c r="AB253" s="87"/>
      <c r="AC253" s="87"/>
      <c r="AD253" s="87"/>
      <c r="AE253" s="87"/>
      <c r="AF253" s="87"/>
      <c r="AG253" s="87"/>
      <c r="AH253" s="87"/>
      <c r="AI253" s="87"/>
      <c r="AJ253" s="87"/>
      <c r="AK253" s="87"/>
      <c r="AL253" s="87"/>
      <c r="AM253" s="87"/>
      <c r="AN253" s="87"/>
      <c r="AO253" s="87"/>
      <c r="AP253" s="87"/>
      <c r="AQ253" s="87"/>
      <c r="AR253" s="87"/>
      <c r="AS253" s="87"/>
      <c r="AT253" s="87"/>
      <c r="AU253" s="87"/>
      <c r="AV253" s="87"/>
      <c r="AW253" s="87"/>
      <c r="AX253" s="87"/>
      <c r="AY253" s="87"/>
      <c r="AZ253" s="87"/>
      <c r="BA253" s="87"/>
      <c r="BB253" s="87"/>
      <c r="BC253" s="87"/>
      <c r="BD253" s="87"/>
      <c r="BE253" s="87"/>
      <c r="BF253" s="87"/>
      <c r="BG253" s="87"/>
      <c r="BH253" s="87"/>
    </row>
    <row r="254" spans="1:60" ht="16">
      <c r="A254" s="82"/>
      <c r="B254" s="82"/>
      <c r="C254" s="82"/>
      <c r="D254" s="83"/>
      <c r="E254" s="84"/>
      <c r="F254" s="84"/>
      <c r="G254" s="84"/>
      <c r="H254" s="82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7"/>
      <c r="AA254" s="87"/>
      <c r="AB254" s="87"/>
      <c r="AC254" s="87"/>
      <c r="AD254" s="87"/>
      <c r="AE254" s="87"/>
      <c r="AF254" s="87"/>
      <c r="AG254" s="87"/>
      <c r="AH254" s="87"/>
      <c r="AI254" s="87"/>
      <c r="AJ254" s="87"/>
      <c r="AK254" s="87"/>
      <c r="AL254" s="87"/>
      <c r="AM254" s="87"/>
      <c r="AN254" s="87"/>
      <c r="AO254" s="87"/>
      <c r="AP254" s="87"/>
      <c r="AQ254" s="87"/>
      <c r="AR254" s="87"/>
      <c r="AS254" s="87"/>
      <c r="AT254" s="87"/>
      <c r="AU254" s="87"/>
      <c r="AV254" s="87"/>
      <c r="AW254" s="87"/>
      <c r="AX254" s="87"/>
      <c r="AY254" s="87"/>
      <c r="AZ254" s="87"/>
      <c r="BA254" s="87"/>
      <c r="BB254" s="87"/>
      <c r="BC254" s="87"/>
      <c r="BD254" s="87"/>
      <c r="BE254" s="87"/>
      <c r="BF254" s="87"/>
      <c r="BG254" s="87"/>
      <c r="BH254" s="87"/>
    </row>
    <row r="255" spans="1:60" ht="16">
      <c r="A255" s="82"/>
      <c r="B255" s="82"/>
      <c r="C255" s="82"/>
      <c r="D255" s="83"/>
      <c r="E255" s="84"/>
      <c r="F255" s="84"/>
      <c r="G255" s="84"/>
      <c r="H255" s="82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7"/>
      <c r="AA255" s="87"/>
      <c r="AB255" s="87"/>
      <c r="AC255" s="87"/>
      <c r="AD255" s="87"/>
      <c r="AE255" s="87"/>
      <c r="AF255" s="87"/>
      <c r="AG255" s="87"/>
      <c r="AH255" s="87"/>
      <c r="AI255" s="87"/>
      <c r="AJ255" s="87"/>
      <c r="AK255" s="87"/>
      <c r="AL255" s="87"/>
      <c r="AM255" s="87"/>
      <c r="AN255" s="87"/>
      <c r="AO255" s="87"/>
      <c r="AP255" s="87"/>
      <c r="AQ255" s="87"/>
      <c r="AR255" s="87"/>
      <c r="AS255" s="87"/>
      <c r="AT255" s="87"/>
      <c r="AU255" s="87"/>
      <c r="AV255" s="87"/>
      <c r="AW255" s="87"/>
      <c r="AX255" s="87"/>
      <c r="AY255" s="87"/>
      <c r="AZ255" s="87"/>
      <c r="BA255" s="87"/>
      <c r="BB255" s="87"/>
      <c r="BC255" s="87"/>
      <c r="BD255" s="87"/>
      <c r="BE255" s="87"/>
      <c r="BF255" s="87"/>
      <c r="BG255" s="87"/>
      <c r="BH255" s="87"/>
    </row>
    <row r="256" spans="1:60" ht="16">
      <c r="A256" s="82"/>
      <c r="B256" s="82"/>
      <c r="C256" s="82"/>
      <c r="D256" s="83"/>
      <c r="E256" s="84"/>
      <c r="F256" s="84"/>
      <c r="G256" s="84"/>
      <c r="H256" s="82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7"/>
      <c r="AA256" s="87"/>
      <c r="AB256" s="87"/>
      <c r="AC256" s="87"/>
      <c r="AD256" s="87"/>
      <c r="AE256" s="87"/>
      <c r="AF256" s="87"/>
      <c r="AG256" s="87"/>
      <c r="AH256" s="87"/>
      <c r="AI256" s="87"/>
      <c r="AJ256" s="87"/>
      <c r="AK256" s="87"/>
      <c r="AL256" s="87"/>
      <c r="AM256" s="87"/>
      <c r="AN256" s="87"/>
      <c r="AO256" s="87"/>
      <c r="AP256" s="87"/>
      <c r="AQ256" s="87"/>
      <c r="AR256" s="87"/>
      <c r="AS256" s="87"/>
      <c r="AT256" s="87"/>
      <c r="AU256" s="87"/>
      <c r="AV256" s="87"/>
      <c r="AW256" s="87"/>
      <c r="AX256" s="87"/>
      <c r="AY256" s="87"/>
      <c r="AZ256" s="87"/>
      <c r="BA256" s="87"/>
      <c r="BB256" s="87"/>
      <c r="BC256" s="87"/>
      <c r="BD256" s="87"/>
      <c r="BE256" s="87"/>
      <c r="BF256" s="87"/>
      <c r="BG256" s="87"/>
      <c r="BH256" s="87"/>
    </row>
    <row r="257" spans="1:60" ht="16">
      <c r="A257" s="82"/>
      <c r="B257" s="82"/>
      <c r="C257" s="82"/>
      <c r="D257" s="83"/>
      <c r="E257" s="84"/>
      <c r="F257" s="84"/>
      <c r="G257" s="84"/>
      <c r="H257" s="82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7"/>
      <c r="AA257" s="87"/>
      <c r="AB257" s="87"/>
      <c r="AC257" s="87"/>
      <c r="AD257" s="87"/>
      <c r="AE257" s="87"/>
      <c r="AF257" s="87"/>
      <c r="AG257" s="87"/>
      <c r="AH257" s="87"/>
      <c r="AI257" s="87"/>
      <c r="AJ257" s="87"/>
      <c r="AK257" s="87"/>
      <c r="AL257" s="87"/>
      <c r="AM257" s="87"/>
      <c r="AN257" s="87"/>
      <c r="AO257" s="87"/>
      <c r="AP257" s="87"/>
      <c r="AQ257" s="87"/>
      <c r="AR257" s="87"/>
      <c r="AS257" s="87"/>
      <c r="AT257" s="87"/>
      <c r="AU257" s="87"/>
      <c r="AV257" s="87"/>
      <c r="AW257" s="87"/>
      <c r="AX257" s="87"/>
      <c r="AY257" s="87"/>
      <c r="AZ257" s="87"/>
      <c r="BA257" s="87"/>
      <c r="BB257" s="87"/>
      <c r="BC257" s="87"/>
      <c r="BD257" s="87"/>
      <c r="BE257" s="87"/>
      <c r="BF257" s="87"/>
      <c r="BG257" s="87"/>
      <c r="BH257" s="87"/>
    </row>
    <row r="258" spans="1:60" ht="16">
      <c r="A258" s="82"/>
      <c r="B258" s="82"/>
      <c r="C258" s="82"/>
      <c r="D258" s="83"/>
      <c r="E258" s="84"/>
      <c r="F258" s="84"/>
      <c r="G258" s="84"/>
      <c r="H258" s="82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7"/>
      <c r="AA258" s="87"/>
      <c r="AB258" s="87"/>
      <c r="AC258" s="87"/>
      <c r="AD258" s="87"/>
      <c r="AE258" s="87"/>
      <c r="AF258" s="87"/>
      <c r="AG258" s="87"/>
      <c r="AH258" s="87"/>
      <c r="AI258" s="87"/>
      <c r="AJ258" s="87"/>
      <c r="AK258" s="87"/>
      <c r="AL258" s="87"/>
      <c r="AM258" s="87"/>
      <c r="AN258" s="87"/>
      <c r="AO258" s="87"/>
      <c r="AP258" s="87"/>
      <c r="AQ258" s="87"/>
      <c r="AR258" s="87"/>
      <c r="AS258" s="87"/>
      <c r="AT258" s="87"/>
      <c r="AU258" s="87"/>
      <c r="AV258" s="87"/>
      <c r="AW258" s="87"/>
      <c r="AX258" s="87"/>
      <c r="AY258" s="87"/>
      <c r="AZ258" s="87"/>
      <c r="BA258" s="87"/>
      <c r="BB258" s="87"/>
      <c r="BC258" s="87"/>
      <c r="BD258" s="87"/>
      <c r="BE258" s="87"/>
      <c r="BF258" s="87"/>
      <c r="BG258" s="87"/>
      <c r="BH258" s="87"/>
    </row>
    <row r="259" spans="1:60" ht="16">
      <c r="A259" s="82"/>
      <c r="B259" s="82"/>
      <c r="C259" s="82"/>
      <c r="D259" s="83"/>
      <c r="E259" s="84"/>
      <c r="F259" s="84"/>
      <c r="G259" s="84"/>
      <c r="H259" s="82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7"/>
      <c r="AA259" s="87"/>
      <c r="AB259" s="87"/>
      <c r="AC259" s="87"/>
      <c r="AD259" s="87"/>
      <c r="AE259" s="87"/>
      <c r="AF259" s="87"/>
      <c r="AG259" s="87"/>
      <c r="AH259" s="87"/>
      <c r="AI259" s="87"/>
      <c r="AJ259" s="87"/>
      <c r="AK259" s="87"/>
      <c r="AL259" s="87"/>
      <c r="AM259" s="87"/>
      <c r="AN259" s="87"/>
      <c r="AO259" s="87"/>
      <c r="AP259" s="87"/>
      <c r="AQ259" s="87"/>
      <c r="AR259" s="87"/>
      <c r="AS259" s="87"/>
      <c r="AT259" s="87"/>
      <c r="AU259" s="87"/>
      <c r="AV259" s="87"/>
      <c r="AW259" s="87"/>
      <c r="AX259" s="87"/>
      <c r="AY259" s="87"/>
      <c r="AZ259" s="87"/>
      <c r="BA259" s="87"/>
      <c r="BB259" s="87"/>
      <c r="BC259" s="87"/>
      <c r="BD259" s="87"/>
      <c r="BE259" s="87"/>
      <c r="BF259" s="87"/>
      <c r="BG259" s="87"/>
      <c r="BH259" s="87"/>
    </row>
    <row r="260" spans="1:60" ht="16">
      <c r="A260" s="82"/>
      <c r="B260" s="82"/>
      <c r="C260" s="82"/>
      <c r="D260" s="83"/>
      <c r="E260" s="84"/>
      <c r="F260" s="84"/>
      <c r="G260" s="84"/>
      <c r="H260" s="82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7"/>
      <c r="AA260" s="87"/>
      <c r="AB260" s="87"/>
      <c r="AC260" s="87"/>
      <c r="AD260" s="87"/>
      <c r="AE260" s="87"/>
      <c r="AF260" s="87"/>
      <c r="AG260" s="87"/>
      <c r="AH260" s="87"/>
      <c r="AI260" s="87"/>
      <c r="AJ260" s="87"/>
      <c r="AK260" s="87"/>
      <c r="AL260" s="87"/>
      <c r="AM260" s="87"/>
      <c r="AN260" s="87"/>
      <c r="AO260" s="87"/>
      <c r="AP260" s="87"/>
      <c r="AQ260" s="87"/>
      <c r="AR260" s="87"/>
      <c r="AS260" s="87"/>
      <c r="AT260" s="87"/>
      <c r="AU260" s="87"/>
      <c r="AV260" s="87"/>
      <c r="AW260" s="87"/>
      <c r="AX260" s="87"/>
      <c r="AY260" s="87"/>
      <c r="AZ260" s="87"/>
      <c r="BA260" s="87"/>
      <c r="BB260" s="87"/>
      <c r="BC260" s="87"/>
      <c r="BD260" s="87"/>
      <c r="BE260" s="87"/>
      <c r="BF260" s="87"/>
      <c r="BG260" s="87"/>
      <c r="BH260" s="87"/>
    </row>
    <row r="261" spans="1:60" ht="16">
      <c r="A261" s="82"/>
      <c r="B261" s="82"/>
      <c r="C261" s="82"/>
      <c r="D261" s="83"/>
      <c r="E261" s="84"/>
      <c r="F261" s="84"/>
      <c r="G261" s="84"/>
      <c r="H261" s="82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7"/>
      <c r="AA261" s="87"/>
      <c r="AB261" s="87"/>
      <c r="AC261" s="87"/>
      <c r="AD261" s="87"/>
      <c r="AE261" s="87"/>
      <c r="AF261" s="87"/>
      <c r="AG261" s="87"/>
      <c r="AH261" s="87"/>
      <c r="AI261" s="87"/>
      <c r="AJ261" s="87"/>
      <c r="AK261" s="87"/>
      <c r="AL261" s="87"/>
      <c r="AM261" s="87"/>
      <c r="AN261" s="87"/>
      <c r="AO261" s="87"/>
      <c r="AP261" s="87"/>
      <c r="AQ261" s="87"/>
      <c r="AR261" s="87"/>
      <c r="AS261" s="87"/>
      <c r="AT261" s="87"/>
      <c r="AU261" s="87"/>
      <c r="AV261" s="87"/>
      <c r="AW261" s="87"/>
      <c r="AX261" s="87"/>
      <c r="AY261" s="87"/>
      <c r="AZ261" s="87"/>
      <c r="BA261" s="87"/>
      <c r="BB261" s="87"/>
      <c r="BC261" s="87"/>
      <c r="BD261" s="87"/>
      <c r="BE261" s="87"/>
      <c r="BF261" s="87"/>
      <c r="BG261" s="87"/>
      <c r="BH261" s="87"/>
    </row>
    <row r="262" spans="1:60" ht="16">
      <c r="A262" s="82"/>
      <c r="B262" s="82"/>
      <c r="C262" s="82"/>
      <c r="D262" s="83"/>
      <c r="E262" s="84"/>
      <c r="F262" s="84"/>
      <c r="G262" s="84"/>
      <c r="H262" s="82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7"/>
      <c r="AA262" s="87"/>
      <c r="AB262" s="87"/>
      <c r="AC262" s="87"/>
      <c r="AD262" s="87"/>
      <c r="AE262" s="87"/>
      <c r="AF262" s="87"/>
      <c r="AG262" s="87"/>
      <c r="AH262" s="87"/>
      <c r="AI262" s="87"/>
      <c r="AJ262" s="87"/>
      <c r="AK262" s="87"/>
      <c r="AL262" s="87"/>
      <c r="AM262" s="87"/>
      <c r="AN262" s="87"/>
      <c r="AO262" s="87"/>
      <c r="AP262" s="87"/>
      <c r="AQ262" s="87"/>
      <c r="AR262" s="87"/>
      <c r="AS262" s="87"/>
      <c r="AT262" s="87"/>
      <c r="AU262" s="87"/>
      <c r="AV262" s="87"/>
      <c r="AW262" s="87"/>
      <c r="AX262" s="87"/>
      <c r="AY262" s="87"/>
      <c r="AZ262" s="87"/>
      <c r="BA262" s="87"/>
      <c r="BB262" s="87"/>
      <c r="BC262" s="87"/>
      <c r="BD262" s="87"/>
      <c r="BE262" s="87"/>
      <c r="BF262" s="87"/>
      <c r="BG262" s="87"/>
      <c r="BH262" s="87"/>
    </row>
    <row r="263" spans="1:60" ht="16">
      <c r="A263" s="82"/>
      <c r="B263" s="82"/>
      <c r="C263" s="82"/>
      <c r="D263" s="83"/>
      <c r="E263" s="84"/>
      <c r="F263" s="84"/>
      <c r="G263" s="84"/>
      <c r="H263" s="82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7"/>
      <c r="AA263" s="87"/>
      <c r="AB263" s="87"/>
      <c r="AC263" s="87"/>
      <c r="AD263" s="87"/>
      <c r="AE263" s="87"/>
      <c r="AF263" s="87"/>
      <c r="AG263" s="87"/>
      <c r="AH263" s="87"/>
      <c r="AI263" s="87"/>
      <c r="AJ263" s="87"/>
      <c r="AK263" s="87"/>
      <c r="AL263" s="87"/>
      <c r="AM263" s="87"/>
      <c r="AN263" s="87"/>
      <c r="AO263" s="87"/>
      <c r="AP263" s="87"/>
      <c r="AQ263" s="87"/>
      <c r="AR263" s="87"/>
      <c r="AS263" s="87"/>
      <c r="AT263" s="87"/>
      <c r="AU263" s="87"/>
      <c r="AV263" s="87"/>
      <c r="AW263" s="87"/>
      <c r="AX263" s="87"/>
      <c r="AY263" s="87"/>
      <c r="AZ263" s="87"/>
      <c r="BA263" s="87"/>
      <c r="BB263" s="87"/>
      <c r="BC263" s="87"/>
      <c r="BD263" s="87"/>
      <c r="BE263" s="87"/>
      <c r="BF263" s="87"/>
      <c r="BG263" s="87"/>
      <c r="BH263" s="87"/>
    </row>
    <row r="264" spans="1:60" ht="16">
      <c r="A264" s="82"/>
      <c r="B264" s="82"/>
      <c r="C264" s="82"/>
      <c r="D264" s="83"/>
      <c r="E264" s="84"/>
      <c r="F264" s="84"/>
      <c r="G264" s="84"/>
      <c r="H264" s="82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7"/>
      <c r="AA264" s="87"/>
      <c r="AB264" s="87"/>
      <c r="AC264" s="87"/>
      <c r="AD264" s="87"/>
      <c r="AE264" s="87"/>
      <c r="AF264" s="87"/>
      <c r="AG264" s="87"/>
      <c r="AH264" s="87"/>
      <c r="AI264" s="87"/>
      <c r="AJ264" s="87"/>
      <c r="AK264" s="87"/>
      <c r="AL264" s="87"/>
      <c r="AM264" s="87"/>
      <c r="AN264" s="87"/>
      <c r="AO264" s="87"/>
      <c r="AP264" s="87"/>
      <c r="AQ264" s="87"/>
      <c r="AR264" s="87"/>
      <c r="AS264" s="87"/>
      <c r="AT264" s="87"/>
      <c r="AU264" s="87"/>
      <c r="AV264" s="87"/>
      <c r="AW264" s="87"/>
      <c r="AX264" s="87"/>
      <c r="AY264" s="87"/>
      <c r="AZ264" s="87"/>
      <c r="BA264" s="87"/>
      <c r="BB264" s="87"/>
      <c r="BC264" s="87"/>
      <c r="BD264" s="87"/>
      <c r="BE264" s="87"/>
      <c r="BF264" s="87"/>
      <c r="BG264" s="87"/>
      <c r="BH264" s="87"/>
    </row>
    <row r="265" spans="1:60" ht="16">
      <c r="A265" s="82"/>
      <c r="B265" s="82"/>
      <c r="C265" s="82"/>
      <c r="D265" s="83"/>
      <c r="E265" s="84"/>
      <c r="F265" s="84"/>
      <c r="G265" s="84"/>
      <c r="H265" s="82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7"/>
      <c r="AA265" s="87"/>
      <c r="AB265" s="87"/>
      <c r="AC265" s="87"/>
      <c r="AD265" s="87"/>
      <c r="AE265" s="87"/>
      <c r="AF265" s="87"/>
      <c r="AG265" s="87"/>
      <c r="AH265" s="87"/>
      <c r="AI265" s="87"/>
      <c r="AJ265" s="87"/>
      <c r="AK265" s="87"/>
      <c r="AL265" s="87"/>
      <c r="AM265" s="87"/>
      <c r="AN265" s="87"/>
      <c r="AO265" s="87"/>
      <c r="AP265" s="87"/>
      <c r="AQ265" s="87"/>
      <c r="AR265" s="87"/>
      <c r="AS265" s="87"/>
      <c r="AT265" s="87"/>
      <c r="AU265" s="87"/>
      <c r="AV265" s="87"/>
      <c r="AW265" s="87"/>
      <c r="AX265" s="87"/>
      <c r="AY265" s="87"/>
      <c r="AZ265" s="87"/>
      <c r="BA265" s="87"/>
      <c r="BB265" s="87"/>
      <c r="BC265" s="87"/>
      <c r="BD265" s="87"/>
      <c r="BE265" s="87"/>
      <c r="BF265" s="87"/>
      <c r="BG265" s="87"/>
      <c r="BH265" s="87"/>
    </row>
    <row r="266" spans="1:60" ht="16">
      <c r="A266" s="82"/>
      <c r="B266" s="82"/>
      <c r="C266" s="82"/>
      <c r="D266" s="83"/>
      <c r="E266" s="84"/>
      <c r="F266" s="84"/>
      <c r="G266" s="84"/>
      <c r="H266" s="82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7"/>
      <c r="AA266" s="87"/>
      <c r="AB266" s="87"/>
      <c r="AC266" s="87"/>
      <c r="AD266" s="87"/>
      <c r="AE266" s="87"/>
      <c r="AF266" s="87"/>
      <c r="AG266" s="87"/>
      <c r="AH266" s="87"/>
      <c r="AI266" s="87"/>
      <c r="AJ266" s="87"/>
      <c r="AK266" s="87"/>
      <c r="AL266" s="87"/>
      <c r="AM266" s="87"/>
      <c r="AN266" s="87"/>
      <c r="AO266" s="87"/>
      <c r="AP266" s="87"/>
      <c r="AQ266" s="87"/>
      <c r="AR266" s="87"/>
      <c r="AS266" s="87"/>
      <c r="AT266" s="87"/>
      <c r="AU266" s="87"/>
      <c r="AV266" s="87"/>
      <c r="AW266" s="87"/>
      <c r="AX266" s="87"/>
      <c r="AY266" s="87"/>
      <c r="AZ266" s="87"/>
      <c r="BA266" s="87"/>
      <c r="BB266" s="87"/>
      <c r="BC266" s="87"/>
      <c r="BD266" s="87"/>
      <c r="BE266" s="87"/>
      <c r="BF266" s="87"/>
      <c r="BG266" s="87"/>
      <c r="BH266" s="87"/>
    </row>
    <row r="267" spans="1:60" ht="16">
      <c r="A267" s="82"/>
      <c r="B267" s="82"/>
      <c r="C267" s="82"/>
      <c r="D267" s="83"/>
      <c r="E267" s="84"/>
      <c r="F267" s="84"/>
      <c r="G267" s="84"/>
      <c r="H267" s="82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7"/>
      <c r="AA267" s="87"/>
      <c r="AB267" s="87"/>
      <c r="AC267" s="87"/>
      <c r="AD267" s="87"/>
      <c r="AE267" s="87"/>
      <c r="AF267" s="87"/>
      <c r="AG267" s="87"/>
      <c r="AH267" s="87"/>
      <c r="AI267" s="87"/>
      <c r="AJ267" s="87"/>
      <c r="AK267" s="87"/>
      <c r="AL267" s="87"/>
      <c r="AM267" s="87"/>
      <c r="AN267" s="87"/>
      <c r="AO267" s="87"/>
      <c r="AP267" s="87"/>
      <c r="AQ267" s="87"/>
      <c r="AR267" s="87"/>
      <c r="AS267" s="87"/>
      <c r="AT267" s="87"/>
      <c r="AU267" s="87"/>
      <c r="AV267" s="87"/>
      <c r="AW267" s="87"/>
      <c r="AX267" s="87"/>
      <c r="AY267" s="87"/>
      <c r="AZ267" s="87"/>
      <c r="BA267" s="87"/>
      <c r="BB267" s="87"/>
      <c r="BC267" s="87"/>
      <c r="BD267" s="87"/>
      <c r="BE267" s="87"/>
      <c r="BF267" s="87"/>
      <c r="BG267" s="87"/>
      <c r="BH267" s="87"/>
    </row>
    <row r="268" spans="1:60" ht="16">
      <c r="A268" s="82"/>
      <c r="B268" s="82"/>
      <c r="C268" s="82"/>
      <c r="D268" s="83"/>
      <c r="E268" s="84"/>
      <c r="F268" s="84"/>
      <c r="G268" s="84"/>
      <c r="H268" s="82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7"/>
      <c r="AA268" s="87"/>
      <c r="AB268" s="87"/>
      <c r="AC268" s="87"/>
      <c r="AD268" s="87"/>
      <c r="AE268" s="87"/>
      <c r="AF268" s="87"/>
      <c r="AG268" s="87"/>
      <c r="AH268" s="87"/>
      <c r="AI268" s="87"/>
      <c r="AJ268" s="87"/>
      <c r="AK268" s="87"/>
      <c r="AL268" s="87"/>
      <c r="AM268" s="87"/>
      <c r="AN268" s="87"/>
      <c r="AO268" s="87"/>
      <c r="AP268" s="87"/>
      <c r="AQ268" s="87"/>
      <c r="AR268" s="87"/>
      <c r="AS268" s="87"/>
      <c r="AT268" s="87"/>
      <c r="AU268" s="87"/>
      <c r="AV268" s="87"/>
      <c r="AW268" s="87"/>
      <c r="AX268" s="87"/>
      <c r="AY268" s="87"/>
      <c r="AZ268" s="87"/>
      <c r="BA268" s="87"/>
      <c r="BB268" s="87"/>
      <c r="BC268" s="87"/>
      <c r="BD268" s="87"/>
      <c r="BE268" s="87"/>
      <c r="BF268" s="87"/>
      <c r="BG268" s="87"/>
      <c r="BH268" s="87"/>
    </row>
    <row r="269" spans="1:60" ht="16">
      <c r="A269" s="82"/>
      <c r="B269" s="82"/>
      <c r="C269" s="82"/>
      <c r="D269" s="83"/>
      <c r="E269" s="84"/>
      <c r="F269" s="84"/>
      <c r="G269" s="84"/>
      <c r="H269" s="82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7"/>
      <c r="AA269" s="87"/>
      <c r="AB269" s="87"/>
      <c r="AC269" s="87"/>
      <c r="AD269" s="87"/>
      <c r="AE269" s="87"/>
      <c r="AF269" s="87"/>
      <c r="AG269" s="87"/>
      <c r="AH269" s="87"/>
      <c r="AI269" s="87"/>
      <c r="AJ269" s="87"/>
      <c r="AK269" s="87"/>
      <c r="AL269" s="87"/>
      <c r="AM269" s="87"/>
      <c r="AN269" s="87"/>
      <c r="AO269" s="87"/>
      <c r="AP269" s="87"/>
      <c r="AQ269" s="87"/>
      <c r="AR269" s="87"/>
      <c r="AS269" s="87"/>
      <c r="AT269" s="87"/>
      <c r="AU269" s="87"/>
      <c r="AV269" s="87"/>
      <c r="AW269" s="87"/>
      <c r="AX269" s="87"/>
      <c r="AY269" s="87"/>
      <c r="AZ269" s="87"/>
      <c r="BA269" s="87"/>
      <c r="BB269" s="87"/>
      <c r="BC269" s="87"/>
      <c r="BD269" s="87"/>
      <c r="BE269" s="87"/>
      <c r="BF269" s="87"/>
      <c r="BG269" s="87"/>
      <c r="BH269" s="87"/>
    </row>
    <row r="270" spans="1:60" ht="16">
      <c r="A270" s="82"/>
      <c r="B270" s="82"/>
      <c r="C270" s="82"/>
      <c r="D270" s="83"/>
      <c r="E270" s="84"/>
      <c r="F270" s="84"/>
      <c r="G270" s="84"/>
      <c r="H270" s="82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7"/>
      <c r="AA270" s="87"/>
      <c r="AB270" s="87"/>
      <c r="AC270" s="87"/>
      <c r="AD270" s="87"/>
      <c r="AE270" s="87"/>
      <c r="AF270" s="87"/>
      <c r="AG270" s="87"/>
      <c r="AH270" s="87"/>
      <c r="AI270" s="87"/>
      <c r="AJ270" s="87"/>
      <c r="AK270" s="87"/>
      <c r="AL270" s="87"/>
      <c r="AM270" s="87"/>
      <c r="AN270" s="87"/>
      <c r="AO270" s="87"/>
      <c r="AP270" s="87"/>
      <c r="AQ270" s="87"/>
      <c r="AR270" s="87"/>
      <c r="AS270" s="87"/>
      <c r="AT270" s="87"/>
      <c r="AU270" s="87"/>
      <c r="AV270" s="87"/>
      <c r="AW270" s="87"/>
      <c r="AX270" s="87"/>
      <c r="AY270" s="87"/>
      <c r="AZ270" s="87"/>
      <c r="BA270" s="87"/>
      <c r="BB270" s="87"/>
      <c r="BC270" s="87"/>
      <c r="BD270" s="87"/>
      <c r="BE270" s="87"/>
      <c r="BF270" s="87"/>
      <c r="BG270" s="87"/>
      <c r="BH270" s="87"/>
    </row>
    <row r="271" spans="1:60" ht="16">
      <c r="A271" s="82"/>
      <c r="B271" s="82"/>
      <c r="C271" s="82"/>
      <c r="D271" s="83"/>
      <c r="E271" s="84"/>
      <c r="F271" s="84"/>
      <c r="G271" s="84"/>
      <c r="H271" s="82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7"/>
      <c r="AA271" s="87"/>
      <c r="AB271" s="87"/>
      <c r="AC271" s="87"/>
      <c r="AD271" s="87"/>
      <c r="AE271" s="87"/>
      <c r="AF271" s="87"/>
      <c r="AG271" s="87"/>
      <c r="AH271" s="87"/>
      <c r="AI271" s="87"/>
      <c r="AJ271" s="87"/>
      <c r="AK271" s="87"/>
      <c r="AL271" s="87"/>
      <c r="AM271" s="87"/>
      <c r="AN271" s="87"/>
      <c r="AO271" s="87"/>
      <c r="AP271" s="87"/>
      <c r="AQ271" s="87"/>
      <c r="AR271" s="87"/>
      <c r="AS271" s="87"/>
      <c r="AT271" s="87"/>
      <c r="AU271" s="87"/>
      <c r="AV271" s="87"/>
      <c r="AW271" s="87"/>
      <c r="AX271" s="87"/>
      <c r="AY271" s="87"/>
      <c r="AZ271" s="87"/>
      <c r="BA271" s="87"/>
      <c r="BB271" s="87"/>
      <c r="BC271" s="87"/>
      <c r="BD271" s="87"/>
      <c r="BE271" s="87"/>
      <c r="BF271" s="87"/>
      <c r="BG271" s="87"/>
      <c r="BH271" s="87"/>
    </row>
    <row r="272" spans="1:60" ht="16">
      <c r="A272" s="82"/>
      <c r="B272" s="82"/>
      <c r="C272" s="82"/>
      <c r="D272" s="83"/>
      <c r="E272" s="84"/>
      <c r="F272" s="84"/>
      <c r="G272" s="84"/>
      <c r="H272" s="82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7"/>
      <c r="AA272" s="87"/>
      <c r="AB272" s="87"/>
      <c r="AC272" s="87"/>
      <c r="AD272" s="87"/>
      <c r="AE272" s="87"/>
      <c r="AF272" s="87"/>
      <c r="AG272" s="87"/>
      <c r="AH272" s="87"/>
      <c r="AI272" s="87"/>
      <c r="AJ272" s="87"/>
      <c r="AK272" s="87"/>
      <c r="AL272" s="87"/>
      <c r="AM272" s="87"/>
      <c r="AN272" s="87"/>
      <c r="AO272" s="87"/>
      <c r="AP272" s="87"/>
      <c r="AQ272" s="87"/>
      <c r="AR272" s="87"/>
      <c r="AS272" s="87"/>
      <c r="AT272" s="87"/>
      <c r="AU272" s="87"/>
      <c r="AV272" s="87"/>
      <c r="AW272" s="87"/>
      <c r="AX272" s="87"/>
      <c r="AY272" s="87"/>
      <c r="AZ272" s="87"/>
      <c r="BA272" s="87"/>
      <c r="BB272" s="87"/>
      <c r="BC272" s="87"/>
      <c r="BD272" s="87"/>
      <c r="BE272" s="87"/>
      <c r="BF272" s="87"/>
      <c r="BG272" s="87"/>
      <c r="BH272" s="87"/>
    </row>
    <row r="273" spans="1:60" ht="16">
      <c r="A273" s="82"/>
      <c r="B273" s="82"/>
      <c r="C273" s="82"/>
      <c r="D273" s="83"/>
      <c r="E273" s="84"/>
      <c r="F273" s="84"/>
      <c r="G273" s="84"/>
      <c r="H273" s="82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7"/>
      <c r="AA273" s="87"/>
      <c r="AB273" s="87"/>
      <c r="AC273" s="87"/>
      <c r="AD273" s="87"/>
      <c r="AE273" s="87"/>
      <c r="AF273" s="87"/>
      <c r="AG273" s="87"/>
      <c r="AH273" s="87"/>
      <c r="AI273" s="87"/>
      <c r="AJ273" s="87"/>
      <c r="AK273" s="87"/>
      <c r="AL273" s="87"/>
      <c r="AM273" s="87"/>
      <c r="AN273" s="87"/>
      <c r="AO273" s="87"/>
      <c r="AP273" s="87"/>
      <c r="AQ273" s="87"/>
      <c r="AR273" s="87"/>
      <c r="AS273" s="87"/>
      <c r="AT273" s="87"/>
      <c r="AU273" s="87"/>
      <c r="AV273" s="87"/>
      <c r="AW273" s="87"/>
      <c r="AX273" s="87"/>
      <c r="AY273" s="87"/>
      <c r="AZ273" s="87"/>
      <c r="BA273" s="87"/>
      <c r="BB273" s="87"/>
      <c r="BC273" s="87"/>
      <c r="BD273" s="87"/>
      <c r="BE273" s="87"/>
      <c r="BF273" s="87"/>
      <c r="BG273" s="87"/>
      <c r="BH273" s="87"/>
    </row>
    <row r="274" spans="1:60" ht="16">
      <c r="A274" s="82"/>
      <c r="B274" s="82"/>
      <c r="C274" s="82"/>
      <c r="D274" s="83"/>
      <c r="E274" s="84"/>
      <c r="F274" s="84"/>
      <c r="G274" s="84"/>
      <c r="H274" s="82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7"/>
      <c r="AA274" s="87"/>
      <c r="AB274" s="87"/>
      <c r="AC274" s="87"/>
      <c r="AD274" s="87"/>
      <c r="AE274" s="87"/>
      <c r="AF274" s="87"/>
      <c r="AG274" s="87"/>
      <c r="AH274" s="87"/>
      <c r="AI274" s="87"/>
      <c r="AJ274" s="87"/>
      <c r="AK274" s="87"/>
      <c r="AL274" s="87"/>
      <c r="AM274" s="87"/>
      <c r="AN274" s="87"/>
      <c r="AO274" s="87"/>
      <c r="AP274" s="87"/>
      <c r="AQ274" s="87"/>
      <c r="AR274" s="87"/>
      <c r="AS274" s="87"/>
      <c r="AT274" s="87"/>
      <c r="AU274" s="87"/>
      <c r="AV274" s="87"/>
      <c r="AW274" s="87"/>
      <c r="AX274" s="87"/>
      <c r="AY274" s="87"/>
      <c r="AZ274" s="87"/>
      <c r="BA274" s="87"/>
      <c r="BB274" s="87"/>
      <c r="BC274" s="87"/>
      <c r="BD274" s="87"/>
      <c r="BE274" s="87"/>
      <c r="BF274" s="87"/>
      <c r="BG274" s="87"/>
      <c r="BH274" s="87"/>
    </row>
    <row r="275" spans="1:60" ht="16">
      <c r="A275" s="82"/>
      <c r="B275" s="82"/>
      <c r="C275" s="82"/>
      <c r="D275" s="83"/>
      <c r="E275" s="84"/>
      <c r="F275" s="84"/>
      <c r="G275" s="84"/>
      <c r="H275" s="82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7"/>
      <c r="AA275" s="87"/>
      <c r="AB275" s="87"/>
      <c r="AC275" s="87"/>
      <c r="AD275" s="87"/>
      <c r="AE275" s="87"/>
      <c r="AF275" s="87"/>
      <c r="AG275" s="87"/>
      <c r="AH275" s="87"/>
      <c r="AI275" s="87"/>
      <c r="AJ275" s="87"/>
      <c r="AK275" s="87"/>
      <c r="AL275" s="87"/>
      <c r="AM275" s="87"/>
      <c r="AN275" s="87"/>
      <c r="AO275" s="87"/>
      <c r="AP275" s="87"/>
      <c r="AQ275" s="87"/>
      <c r="AR275" s="87"/>
      <c r="AS275" s="87"/>
      <c r="AT275" s="87"/>
      <c r="AU275" s="87"/>
      <c r="AV275" s="87"/>
      <c r="AW275" s="87"/>
      <c r="AX275" s="87"/>
      <c r="AY275" s="87"/>
      <c r="AZ275" s="87"/>
      <c r="BA275" s="87"/>
      <c r="BB275" s="87"/>
      <c r="BC275" s="87"/>
      <c r="BD275" s="87"/>
      <c r="BE275" s="87"/>
      <c r="BF275" s="87"/>
      <c r="BG275" s="87"/>
      <c r="BH275" s="87"/>
    </row>
    <row r="276" spans="1:60" ht="16">
      <c r="A276" s="82"/>
      <c r="B276" s="82"/>
      <c r="C276" s="82"/>
      <c r="D276" s="83"/>
      <c r="E276" s="84"/>
      <c r="F276" s="84"/>
      <c r="G276" s="84"/>
      <c r="H276" s="82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7"/>
      <c r="AA276" s="87"/>
      <c r="AB276" s="87"/>
      <c r="AC276" s="87"/>
      <c r="AD276" s="87"/>
      <c r="AE276" s="87"/>
      <c r="AF276" s="87"/>
      <c r="AG276" s="87"/>
      <c r="AH276" s="87"/>
      <c r="AI276" s="87"/>
      <c r="AJ276" s="87"/>
      <c r="AK276" s="87"/>
      <c r="AL276" s="87"/>
      <c r="AM276" s="87"/>
      <c r="AN276" s="87"/>
      <c r="AO276" s="87"/>
      <c r="AP276" s="87"/>
      <c r="AQ276" s="87"/>
      <c r="AR276" s="87"/>
      <c r="AS276" s="87"/>
      <c r="AT276" s="87"/>
      <c r="AU276" s="87"/>
      <c r="AV276" s="87"/>
      <c r="AW276" s="87"/>
      <c r="AX276" s="87"/>
      <c r="AY276" s="87"/>
      <c r="AZ276" s="87"/>
      <c r="BA276" s="87"/>
      <c r="BB276" s="87"/>
      <c r="BC276" s="87"/>
      <c r="BD276" s="87"/>
      <c r="BE276" s="87"/>
      <c r="BF276" s="87"/>
      <c r="BG276" s="87"/>
      <c r="BH276" s="87"/>
    </row>
    <row r="277" spans="1:60" ht="16">
      <c r="A277" s="82"/>
      <c r="B277" s="82"/>
      <c r="C277" s="82"/>
      <c r="D277" s="83"/>
      <c r="E277" s="84"/>
      <c r="F277" s="84"/>
      <c r="G277" s="84"/>
      <c r="H277" s="82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7"/>
      <c r="AA277" s="87"/>
      <c r="AB277" s="87"/>
      <c r="AC277" s="87"/>
      <c r="AD277" s="87"/>
      <c r="AE277" s="87"/>
      <c r="AF277" s="87"/>
      <c r="AG277" s="87"/>
      <c r="AH277" s="87"/>
      <c r="AI277" s="87"/>
      <c r="AJ277" s="87"/>
      <c r="AK277" s="87"/>
      <c r="AL277" s="87"/>
      <c r="AM277" s="87"/>
      <c r="AN277" s="87"/>
      <c r="AO277" s="87"/>
      <c r="AP277" s="87"/>
      <c r="AQ277" s="87"/>
      <c r="AR277" s="87"/>
      <c r="AS277" s="87"/>
      <c r="AT277" s="87"/>
      <c r="AU277" s="87"/>
      <c r="AV277" s="87"/>
      <c r="AW277" s="87"/>
      <c r="AX277" s="87"/>
      <c r="AY277" s="87"/>
      <c r="AZ277" s="87"/>
      <c r="BA277" s="87"/>
      <c r="BB277" s="87"/>
      <c r="BC277" s="87"/>
      <c r="BD277" s="87"/>
      <c r="BE277" s="87"/>
      <c r="BF277" s="87"/>
      <c r="BG277" s="87"/>
      <c r="BH277" s="87"/>
    </row>
    <row r="278" spans="1:60" ht="16">
      <c r="A278" s="82"/>
      <c r="B278" s="82"/>
      <c r="C278" s="82"/>
      <c r="D278" s="83"/>
      <c r="E278" s="84"/>
      <c r="F278" s="84"/>
      <c r="G278" s="84"/>
      <c r="H278" s="82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7"/>
      <c r="AA278" s="87"/>
      <c r="AB278" s="87"/>
      <c r="AC278" s="87"/>
      <c r="AD278" s="87"/>
      <c r="AE278" s="87"/>
      <c r="AF278" s="87"/>
      <c r="AG278" s="87"/>
      <c r="AH278" s="87"/>
      <c r="AI278" s="87"/>
      <c r="AJ278" s="87"/>
      <c r="AK278" s="87"/>
      <c r="AL278" s="87"/>
      <c r="AM278" s="87"/>
      <c r="AN278" s="87"/>
      <c r="AO278" s="87"/>
      <c r="AP278" s="87"/>
      <c r="AQ278" s="87"/>
      <c r="AR278" s="87"/>
      <c r="AS278" s="87"/>
      <c r="AT278" s="87"/>
      <c r="AU278" s="87"/>
      <c r="AV278" s="87"/>
      <c r="AW278" s="87"/>
      <c r="AX278" s="87"/>
      <c r="AY278" s="87"/>
      <c r="AZ278" s="87"/>
      <c r="BA278" s="87"/>
      <c r="BB278" s="87"/>
      <c r="BC278" s="87"/>
      <c r="BD278" s="87"/>
      <c r="BE278" s="87"/>
      <c r="BF278" s="87"/>
      <c r="BG278" s="87"/>
      <c r="BH278" s="87"/>
    </row>
    <row r="279" spans="1:60" ht="16">
      <c r="A279" s="82"/>
      <c r="B279" s="82"/>
      <c r="C279" s="82"/>
      <c r="D279" s="83"/>
      <c r="E279" s="84"/>
      <c r="F279" s="84"/>
      <c r="G279" s="84"/>
      <c r="H279" s="82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7"/>
      <c r="AA279" s="87"/>
      <c r="AB279" s="87"/>
      <c r="AC279" s="87"/>
      <c r="AD279" s="87"/>
      <c r="AE279" s="87"/>
      <c r="AF279" s="87"/>
      <c r="AG279" s="87"/>
      <c r="AH279" s="87"/>
      <c r="AI279" s="87"/>
      <c r="AJ279" s="87"/>
      <c r="AK279" s="87"/>
      <c r="AL279" s="87"/>
      <c r="AM279" s="87"/>
      <c r="AN279" s="87"/>
      <c r="AO279" s="87"/>
      <c r="AP279" s="87"/>
      <c r="AQ279" s="87"/>
      <c r="AR279" s="87"/>
      <c r="AS279" s="87"/>
      <c r="AT279" s="87"/>
      <c r="AU279" s="87"/>
      <c r="AV279" s="87"/>
      <c r="AW279" s="87"/>
      <c r="AX279" s="87"/>
      <c r="AY279" s="87"/>
      <c r="AZ279" s="87"/>
      <c r="BA279" s="87"/>
      <c r="BB279" s="87"/>
      <c r="BC279" s="87"/>
      <c r="BD279" s="87"/>
      <c r="BE279" s="87"/>
      <c r="BF279" s="87"/>
      <c r="BG279" s="87"/>
      <c r="BH279" s="87"/>
    </row>
    <row r="280" spans="1:60" ht="16">
      <c r="A280" s="82"/>
      <c r="B280" s="82"/>
      <c r="C280" s="82"/>
      <c r="D280" s="83"/>
      <c r="E280" s="84"/>
      <c r="F280" s="84"/>
      <c r="G280" s="84"/>
      <c r="H280" s="82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7"/>
      <c r="AA280" s="87"/>
      <c r="AB280" s="87"/>
      <c r="AC280" s="87"/>
      <c r="AD280" s="87"/>
      <c r="AE280" s="87"/>
      <c r="AF280" s="87"/>
      <c r="AG280" s="87"/>
      <c r="AH280" s="87"/>
      <c r="AI280" s="87"/>
      <c r="AJ280" s="87"/>
      <c r="AK280" s="87"/>
      <c r="AL280" s="87"/>
      <c r="AM280" s="87"/>
      <c r="AN280" s="87"/>
      <c r="AO280" s="87"/>
      <c r="AP280" s="87"/>
      <c r="AQ280" s="87"/>
      <c r="AR280" s="87"/>
      <c r="AS280" s="87"/>
      <c r="AT280" s="87"/>
      <c r="AU280" s="87"/>
      <c r="AV280" s="87"/>
      <c r="AW280" s="87"/>
      <c r="AX280" s="87"/>
      <c r="AY280" s="87"/>
      <c r="AZ280" s="87"/>
      <c r="BA280" s="87"/>
      <c r="BB280" s="87"/>
      <c r="BC280" s="87"/>
      <c r="BD280" s="87"/>
      <c r="BE280" s="87"/>
      <c r="BF280" s="87"/>
      <c r="BG280" s="87"/>
      <c r="BH280" s="87"/>
    </row>
    <row r="281" spans="1:60" ht="16">
      <c r="A281" s="82"/>
      <c r="B281" s="82"/>
      <c r="C281" s="82"/>
      <c r="D281" s="83"/>
      <c r="E281" s="84"/>
      <c r="F281" s="84"/>
      <c r="G281" s="84"/>
      <c r="H281" s="82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7"/>
      <c r="AA281" s="87"/>
      <c r="AB281" s="87"/>
      <c r="AC281" s="87"/>
      <c r="AD281" s="87"/>
      <c r="AE281" s="87"/>
      <c r="AF281" s="87"/>
      <c r="AG281" s="87"/>
      <c r="AH281" s="87"/>
      <c r="AI281" s="87"/>
      <c r="AJ281" s="87"/>
      <c r="AK281" s="87"/>
      <c r="AL281" s="87"/>
      <c r="AM281" s="87"/>
      <c r="AN281" s="87"/>
      <c r="AO281" s="87"/>
      <c r="AP281" s="87"/>
      <c r="AQ281" s="87"/>
      <c r="AR281" s="87"/>
      <c r="AS281" s="87"/>
      <c r="AT281" s="87"/>
      <c r="AU281" s="87"/>
      <c r="AV281" s="87"/>
      <c r="AW281" s="87"/>
      <c r="AX281" s="87"/>
      <c r="AY281" s="87"/>
      <c r="AZ281" s="87"/>
      <c r="BA281" s="87"/>
      <c r="BB281" s="87"/>
      <c r="BC281" s="87"/>
      <c r="BD281" s="87"/>
      <c r="BE281" s="87"/>
      <c r="BF281" s="87"/>
      <c r="BG281" s="87"/>
      <c r="BH281" s="87"/>
    </row>
    <row r="282" spans="1:60" ht="16">
      <c r="A282" s="82"/>
      <c r="B282" s="82"/>
      <c r="C282" s="82"/>
      <c r="D282" s="83"/>
      <c r="E282" s="84"/>
      <c r="F282" s="84"/>
      <c r="G282" s="84"/>
      <c r="H282" s="82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7"/>
      <c r="AA282" s="87"/>
      <c r="AB282" s="87"/>
      <c r="AC282" s="87"/>
      <c r="AD282" s="87"/>
      <c r="AE282" s="87"/>
      <c r="AF282" s="87"/>
      <c r="AG282" s="87"/>
      <c r="AH282" s="87"/>
      <c r="AI282" s="87"/>
      <c r="AJ282" s="87"/>
      <c r="AK282" s="87"/>
      <c r="AL282" s="87"/>
      <c r="AM282" s="87"/>
      <c r="AN282" s="87"/>
      <c r="AO282" s="87"/>
      <c r="AP282" s="87"/>
      <c r="AQ282" s="87"/>
      <c r="AR282" s="87"/>
      <c r="AS282" s="87"/>
      <c r="AT282" s="87"/>
      <c r="AU282" s="87"/>
      <c r="AV282" s="87"/>
      <c r="AW282" s="87"/>
      <c r="AX282" s="87"/>
      <c r="AY282" s="87"/>
      <c r="AZ282" s="87"/>
      <c r="BA282" s="87"/>
      <c r="BB282" s="87"/>
      <c r="BC282" s="87"/>
      <c r="BD282" s="87"/>
      <c r="BE282" s="87"/>
      <c r="BF282" s="87"/>
      <c r="BG282" s="87"/>
      <c r="BH282" s="87"/>
    </row>
    <row r="283" spans="1:60" ht="16">
      <c r="A283" s="82"/>
      <c r="B283" s="82"/>
      <c r="C283" s="82"/>
      <c r="D283" s="83"/>
      <c r="E283" s="84"/>
      <c r="F283" s="84"/>
      <c r="G283" s="84"/>
      <c r="H283" s="82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7"/>
      <c r="AA283" s="87"/>
      <c r="AB283" s="87"/>
      <c r="AC283" s="87"/>
      <c r="AD283" s="87"/>
      <c r="AE283" s="87"/>
      <c r="AF283" s="87"/>
      <c r="AG283" s="87"/>
      <c r="AH283" s="87"/>
      <c r="AI283" s="87"/>
      <c r="AJ283" s="87"/>
      <c r="AK283" s="87"/>
      <c r="AL283" s="87"/>
      <c r="AM283" s="87"/>
      <c r="AN283" s="87"/>
      <c r="AO283" s="87"/>
      <c r="AP283" s="87"/>
      <c r="AQ283" s="87"/>
      <c r="AR283" s="87"/>
      <c r="AS283" s="87"/>
      <c r="AT283" s="87"/>
      <c r="AU283" s="87"/>
      <c r="AV283" s="87"/>
      <c r="AW283" s="87"/>
      <c r="AX283" s="87"/>
      <c r="AY283" s="87"/>
      <c r="AZ283" s="87"/>
      <c r="BA283" s="87"/>
      <c r="BB283" s="87"/>
      <c r="BC283" s="87"/>
      <c r="BD283" s="87"/>
      <c r="BE283" s="87"/>
      <c r="BF283" s="87"/>
      <c r="BG283" s="87"/>
      <c r="BH283" s="87"/>
    </row>
    <row r="284" spans="1:60" ht="16">
      <c r="A284" s="82"/>
      <c r="B284" s="82"/>
      <c r="C284" s="82"/>
      <c r="D284" s="83"/>
      <c r="E284" s="84"/>
      <c r="F284" s="84"/>
      <c r="G284" s="84"/>
      <c r="H284" s="82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7"/>
      <c r="AA284" s="87"/>
      <c r="AB284" s="87"/>
      <c r="AC284" s="87"/>
      <c r="AD284" s="87"/>
      <c r="AE284" s="87"/>
      <c r="AF284" s="87"/>
      <c r="AG284" s="87"/>
      <c r="AH284" s="87"/>
      <c r="AI284" s="87"/>
      <c r="AJ284" s="87"/>
      <c r="AK284" s="87"/>
      <c r="AL284" s="87"/>
      <c r="AM284" s="87"/>
      <c r="AN284" s="87"/>
      <c r="AO284" s="87"/>
      <c r="AP284" s="87"/>
      <c r="AQ284" s="87"/>
      <c r="AR284" s="87"/>
      <c r="AS284" s="87"/>
      <c r="AT284" s="87"/>
      <c r="AU284" s="87"/>
      <c r="AV284" s="87"/>
      <c r="AW284" s="87"/>
      <c r="AX284" s="87"/>
      <c r="AY284" s="87"/>
      <c r="AZ284" s="87"/>
      <c r="BA284" s="87"/>
      <c r="BB284" s="87"/>
      <c r="BC284" s="87"/>
      <c r="BD284" s="87"/>
      <c r="BE284" s="87"/>
      <c r="BF284" s="87"/>
      <c r="BG284" s="87"/>
      <c r="BH284" s="87"/>
    </row>
    <row r="285" spans="1:60" ht="16">
      <c r="A285" s="82"/>
      <c r="B285" s="82"/>
      <c r="C285" s="82"/>
      <c r="D285" s="83"/>
      <c r="E285" s="84"/>
      <c r="F285" s="84"/>
      <c r="G285" s="84"/>
      <c r="H285" s="82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7"/>
      <c r="AA285" s="87"/>
      <c r="AB285" s="87"/>
      <c r="AC285" s="87"/>
      <c r="AD285" s="87"/>
      <c r="AE285" s="87"/>
      <c r="AF285" s="87"/>
      <c r="AG285" s="87"/>
      <c r="AH285" s="87"/>
      <c r="AI285" s="87"/>
      <c r="AJ285" s="87"/>
      <c r="AK285" s="87"/>
      <c r="AL285" s="87"/>
      <c r="AM285" s="87"/>
      <c r="AN285" s="87"/>
      <c r="AO285" s="87"/>
      <c r="AP285" s="87"/>
      <c r="AQ285" s="87"/>
      <c r="AR285" s="87"/>
      <c r="AS285" s="87"/>
      <c r="AT285" s="87"/>
      <c r="AU285" s="87"/>
      <c r="AV285" s="87"/>
      <c r="AW285" s="87"/>
      <c r="AX285" s="87"/>
      <c r="AY285" s="87"/>
      <c r="AZ285" s="87"/>
      <c r="BA285" s="87"/>
      <c r="BB285" s="87"/>
      <c r="BC285" s="87"/>
      <c r="BD285" s="87"/>
      <c r="BE285" s="87"/>
      <c r="BF285" s="87"/>
      <c r="BG285" s="87"/>
      <c r="BH285" s="87"/>
    </row>
    <row r="286" spans="1:60" ht="16">
      <c r="A286" s="82"/>
      <c r="B286" s="82"/>
      <c r="C286" s="82"/>
      <c r="D286" s="83"/>
      <c r="E286" s="84"/>
      <c r="F286" s="84"/>
      <c r="G286" s="84"/>
      <c r="H286" s="82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7"/>
      <c r="AA286" s="87"/>
      <c r="AB286" s="87"/>
      <c r="AC286" s="87"/>
      <c r="AD286" s="87"/>
      <c r="AE286" s="87"/>
      <c r="AF286" s="87"/>
      <c r="AG286" s="87"/>
      <c r="AH286" s="87"/>
      <c r="AI286" s="87"/>
      <c r="AJ286" s="87"/>
      <c r="AK286" s="87"/>
      <c r="AL286" s="87"/>
      <c r="AM286" s="87"/>
      <c r="AN286" s="87"/>
      <c r="AO286" s="87"/>
      <c r="AP286" s="87"/>
      <c r="AQ286" s="87"/>
      <c r="AR286" s="87"/>
      <c r="AS286" s="87"/>
      <c r="AT286" s="87"/>
      <c r="AU286" s="87"/>
      <c r="AV286" s="87"/>
      <c r="AW286" s="87"/>
      <c r="AX286" s="87"/>
      <c r="AY286" s="87"/>
      <c r="AZ286" s="87"/>
      <c r="BA286" s="87"/>
      <c r="BB286" s="87"/>
      <c r="BC286" s="87"/>
      <c r="BD286" s="87"/>
      <c r="BE286" s="87"/>
      <c r="BF286" s="87"/>
      <c r="BG286" s="87"/>
      <c r="BH286" s="87"/>
    </row>
    <row r="287" spans="1:60" ht="16">
      <c r="A287" s="82"/>
      <c r="B287" s="82"/>
      <c r="C287" s="82"/>
      <c r="D287" s="83"/>
      <c r="E287" s="84"/>
      <c r="F287" s="84"/>
      <c r="G287" s="84"/>
      <c r="H287" s="82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7"/>
      <c r="AA287" s="87"/>
      <c r="AB287" s="87"/>
      <c r="AC287" s="87"/>
      <c r="AD287" s="87"/>
      <c r="AE287" s="87"/>
      <c r="AF287" s="87"/>
      <c r="AG287" s="87"/>
      <c r="AH287" s="87"/>
      <c r="AI287" s="87"/>
      <c r="AJ287" s="87"/>
      <c r="AK287" s="87"/>
      <c r="AL287" s="87"/>
      <c r="AM287" s="87"/>
      <c r="AN287" s="87"/>
      <c r="AO287" s="87"/>
      <c r="AP287" s="87"/>
      <c r="AQ287" s="87"/>
      <c r="AR287" s="87"/>
      <c r="AS287" s="87"/>
      <c r="AT287" s="87"/>
      <c r="AU287" s="87"/>
      <c r="AV287" s="87"/>
      <c r="AW287" s="87"/>
      <c r="AX287" s="87"/>
      <c r="AY287" s="87"/>
      <c r="AZ287" s="87"/>
      <c r="BA287" s="87"/>
      <c r="BB287" s="87"/>
      <c r="BC287" s="87"/>
      <c r="BD287" s="87"/>
      <c r="BE287" s="87"/>
      <c r="BF287" s="87"/>
      <c r="BG287" s="87"/>
      <c r="BH287" s="87"/>
    </row>
    <row r="288" spans="1:60" ht="16">
      <c r="A288" s="82"/>
      <c r="B288" s="82"/>
      <c r="C288" s="82"/>
      <c r="D288" s="83"/>
      <c r="E288" s="84"/>
      <c r="F288" s="84"/>
      <c r="G288" s="84"/>
      <c r="H288" s="82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7"/>
      <c r="AA288" s="87"/>
      <c r="AB288" s="87"/>
      <c r="AC288" s="87"/>
      <c r="AD288" s="87"/>
      <c r="AE288" s="87"/>
      <c r="AF288" s="87"/>
      <c r="AG288" s="87"/>
      <c r="AH288" s="87"/>
      <c r="AI288" s="87"/>
      <c r="AJ288" s="87"/>
      <c r="AK288" s="87"/>
      <c r="AL288" s="87"/>
      <c r="AM288" s="87"/>
      <c r="AN288" s="87"/>
      <c r="AO288" s="87"/>
      <c r="AP288" s="87"/>
      <c r="AQ288" s="87"/>
      <c r="AR288" s="87"/>
      <c r="AS288" s="87"/>
      <c r="AT288" s="87"/>
      <c r="AU288" s="87"/>
      <c r="AV288" s="87"/>
      <c r="AW288" s="87"/>
      <c r="AX288" s="87"/>
      <c r="AY288" s="87"/>
      <c r="AZ288" s="87"/>
      <c r="BA288" s="87"/>
      <c r="BB288" s="87"/>
      <c r="BC288" s="87"/>
      <c r="BD288" s="87"/>
      <c r="BE288" s="87"/>
      <c r="BF288" s="87"/>
      <c r="BG288" s="87"/>
      <c r="BH288" s="87"/>
    </row>
    <row r="289" spans="1:60" ht="16">
      <c r="A289" s="82"/>
      <c r="B289" s="82"/>
      <c r="C289" s="82"/>
      <c r="D289" s="83"/>
      <c r="E289" s="84"/>
      <c r="F289" s="84"/>
      <c r="G289" s="84"/>
      <c r="H289" s="82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7"/>
      <c r="AA289" s="87"/>
      <c r="AB289" s="87"/>
      <c r="AC289" s="87"/>
      <c r="AD289" s="87"/>
      <c r="AE289" s="87"/>
      <c r="AF289" s="87"/>
      <c r="AG289" s="87"/>
      <c r="AH289" s="87"/>
      <c r="AI289" s="87"/>
      <c r="AJ289" s="87"/>
      <c r="AK289" s="87"/>
      <c r="AL289" s="87"/>
      <c r="AM289" s="87"/>
      <c r="AN289" s="87"/>
      <c r="AO289" s="87"/>
      <c r="AP289" s="87"/>
      <c r="AQ289" s="87"/>
      <c r="AR289" s="87"/>
      <c r="AS289" s="87"/>
      <c r="AT289" s="87"/>
      <c r="AU289" s="87"/>
      <c r="AV289" s="87"/>
      <c r="AW289" s="87"/>
      <c r="AX289" s="87"/>
      <c r="AY289" s="87"/>
      <c r="AZ289" s="87"/>
      <c r="BA289" s="87"/>
      <c r="BB289" s="87"/>
      <c r="BC289" s="87"/>
      <c r="BD289" s="87"/>
      <c r="BE289" s="87"/>
      <c r="BF289" s="87"/>
      <c r="BG289" s="87"/>
      <c r="BH289" s="87"/>
    </row>
    <row r="290" spans="1:60" ht="16">
      <c r="A290" s="82"/>
      <c r="B290" s="82"/>
      <c r="C290" s="82"/>
      <c r="D290" s="83"/>
      <c r="E290" s="84"/>
      <c r="F290" s="84"/>
      <c r="G290" s="84"/>
      <c r="H290" s="82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7"/>
      <c r="AA290" s="87"/>
      <c r="AB290" s="87"/>
      <c r="AC290" s="87"/>
      <c r="AD290" s="87"/>
      <c r="AE290" s="87"/>
      <c r="AF290" s="87"/>
      <c r="AG290" s="87"/>
      <c r="AH290" s="87"/>
      <c r="AI290" s="87"/>
      <c r="AJ290" s="87"/>
      <c r="AK290" s="87"/>
      <c r="AL290" s="87"/>
      <c r="AM290" s="87"/>
      <c r="AN290" s="87"/>
      <c r="AO290" s="87"/>
      <c r="AP290" s="87"/>
      <c r="AQ290" s="87"/>
      <c r="AR290" s="87"/>
      <c r="AS290" s="87"/>
      <c r="AT290" s="87"/>
      <c r="AU290" s="87"/>
      <c r="AV290" s="87"/>
      <c r="AW290" s="87"/>
      <c r="AX290" s="87"/>
      <c r="AY290" s="87"/>
      <c r="AZ290" s="87"/>
      <c r="BA290" s="87"/>
      <c r="BB290" s="87"/>
      <c r="BC290" s="87"/>
      <c r="BD290" s="87"/>
      <c r="BE290" s="87"/>
      <c r="BF290" s="87"/>
      <c r="BG290" s="87"/>
      <c r="BH290" s="87"/>
    </row>
    <row r="291" spans="1:60" ht="16">
      <c r="A291" s="82"/>
      <c r="B291" s="82"/>
      <c r="C291" s="82"/>
      <c r="D291" s="83"/>
      <c r="E291" s="84"/>
      <c r="F291" s="84"/>
      <c r="G291" s="84"/>
      <c r="H291" s="82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7"/>
      <c r="AA291" s="87"/>
      <c r="AB291" s="87"/>
      <c r="AC291" s="87"/>
      <c r="AD291" s="87"/>
      <c r="AE291" s="87"/>
      <c r="AF291" s="87"/>
      <c r="AG291" s="87"/>
      <c r="AH291" s="87"/>
      <c r="AI291" s="87"/>
      <c r="AJ291" s="87"/>
      <c r="AK291" s="87"/>
      <c r="AL291" s="87"/>
      <c r="AM291" s="87"/>
      <c r="AN291" s="87"/>
      <c r="AO291" s="87"/>
      <c r="AP291" s="87"/>
      <c r="AQ291" s="87"/>
      <c r="AR291" s="87"/>
      <c r="AS291" s="87"/>
      <c r="AT291" s="87"/>
      <c r="AU291" s="87"/>
      <c r="AV291" s="87"/>
      <c r="AW291" s="87"/>
      <c r="AX291" s="87"/>
      <c r="AY291" s="87"/>
      <c r="AZ291" s="87"/>
      <c r="BA291" s="87"/>
      <c r="BB291" s="87"/>
      <c r="BC291" s="87"/>
      <c r="BD291" s="87"/>
      <c r="BE291" s="87"/>
      <c r="BF291" s="87"/>
      <c r="BG291" s="87"/>
      <c r="BH291" s="87"/>
    </row>
    <row r="292" spans="1:60" ht="16">
      <c r="A292" s="82"/>
      <c r="B292" s="82"/>
      <c r="C292" s="82"/>
      <c r="D292" s="83"/>
      <c r="E292" s="84"/>
      <c r="F292" s="84"/>
      <c r="G292" s="84"/>
      <c r="H292" s="82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7"/>
      <c r="AA292" s="87"/>
      <c r="AB292" s="87"/>
      <c r="AC292" s="87"/>
      <c r="AD292" s="87"/>
      <c r="AE292" s="87"/>
      <c r="AF292" s="87"/>
      <c r="AG292" s="87"/>
      <c r="AH292" s="87"/>
      <c r="AI292" s="87"/>
      <c r="AJ292" s="87"/>
      <c r="AK292" s="87"/>
      <c r="AL292" s="87"/>
      <c r="AM292" s="87"/>
      <c r="AN292" s="87"/>
      <c r="AO292" s="87"/>
      <c r="AP292" s="87"/>
      <c r="AQ292" s="87"/>
      <c r="AR292" s="87"/>
      <c r="AS292" s="87"/>
      <c r="AT292" s="87"/>
      <c r="AU292" s="87"/>
      <c r="AV292" s="87"/>
      <c r="AW292" s="87"/>
      <c r="AX292" s="87"/>
      <c r="AY292" s="87"/>
      <c r="AZ292" s="87"/>
      <c r="BA292" s="87"/>
      <c r="BB292" s="87"/>
      <c r="BC292" s="87"/>
      <c r="BD292" s="87"/>
      <c r="BE292" s="87"/>
      <c r="BF292" s="87"/>
      <c r="BG292" s="87"/>
      <c r="BH292" s="87"/>
    </row>
    <row r="293" spans="1:60" ht="16">
      <c r="A293" s="82"/>
      <c r="B293" s="82"/>
      <c r="C293" s="82"/>
      <c r="D293" s="83"/>
      <c r="E293" s="84"/>
      <c r="F293" s="84"/>
      <c r="G293" s="84"/>
      <c r="H293" s="82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7"/>
      <c r="AA293" s="87"/>
      <c r="AB293" s="87"/>
      <c r="AC293" s="87"/>
      <c r="AD293" s="87"/>
      <c r="AE293" s="87"/>
      <c r="AF293" s="87"/>
      <c r="AG293" s="87"/>
      <c r="AH293" s="87"/>
      <c r="AI293" s="87"/>
      <c r="AJ293" s="87"/>
      <c r="AK293" s="87"/>
      <c r="AL293" s="87"/>
      <c r="AM293" s="87"/>
      <c r="AN293" s="87"/>
      <c r="AO293" s="87"/>
      <c r="AP293" s="87"/>
      <c r="AQ293" s="87"/>
      <c r="AR293" s="87"/>
      <c r="AS293" s="87"/>
      <c r="AT293" s="87"/>
      <c r="AU293" s="87"/>
      <c r="AV293" s="87"/>
      <c r="AW293" s="87"/>
      <c r="AX293" s="87"/>
      <c r="AY293" s="87"/>
      <c r="AZ293" s="87"/>
      <c r="BA293" s="87"/>
      <c r="BB293" s="87"/>
      <c r="BC293" s="87"/>
      <c r="BD293" s="87"/>
      <c r="BE293" s="87"/>
      <c r="BF293" s="87"/>
      <c r="BG293" s="87"/>
      <c r="BH293" s="87"/>
    </row>
    <row r="294" spans="1:60" ht="16">
      <c r="A294" s="82"/>
      <c r="B294" s="82"/>
      <c r="C294" s="82"/>
      <c r="D294" s="83"/>
      <c r="E294" s="84"/>
      <c r="F294" s="84"/>
      <c r="G294" s="84"/>
      <c r="H294" s="82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7"/>
      <c r="AA294" s="87"/>
      <c r="AB294" s="87"/>
      <c r="AC294" s="87"/>
      <c r="AD294" s="87"/>
      <c r="AE294" s="87"/>
      <c r="AF294" s="87"/>
      <c r="AG294" s="87"/>
      <c r="AH294" s="87"/>
      <c r="AI294" s="87"/>
      <c r="AJ294" s="87"/>
      <c r="AK294" s="87"/>
      <c r="AL294" s="87"/>
      <c r="AM294" s="87"/>
      <c r="AN294" s="87"/>
      <c r="AO294" s="87"/>
      <c r="AP294" s="87"/>
      <c r="AQ294" s="87"/>
      <c r="AR294" s="87"/>
      <c r="AS294" s="87"/>
      <c r="AT294" s="87"/>
      <c r="AU294" s="87"/>
      <c r="AV294" s="87"/>
      <c r="AW294" s="87"/>
      <c r="AX294" s="87"/>
      <c r="AY294" s="87"/>
      <c r="AZ294" s="87"/>
      <c r="BA294" s="87"/>
      <c r="BB294" s="87"/>
      <c r="BC294" s="87"/>
      <c r="BD294" s="87"/>
      <c r="BE294" s="87"/>
      <c r="BF294" s="87"/>
      <c r="BG294" s="87"/>
      <c r="BH294" s="87"/>
    </row>
    <row r="295" spans="1:60" ht="16">
      <c r="A295" s="82"/>
      <c r="B295" s="82"/>
      <c r="C295" s="82"/>
      <c r="D295" s="83"/>
      <c r="E295" s="84"/>
      <c r="F295" s="84"/>
      <c r="G295" s="84"/>
      <c r="H295" s="82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7"/>
      <c r="AA295" s="87"/>
      <c r="AB295" s="87"/>
      <c r="AC295" s="87"/>
      <c r="AD295" s="87"/>
      <c r="AE295" s="87"/>
      <c r="AF295" s="87"/>
      <c r="AG295" s="87"/>
      <c r="AH295" s="87"/>
      <c r="AI295" s="87"/>
      <c r="AJ295" s="87"/>
      <c r="AK295" s="87"/>
      <c r="AL295" s="87"/>
      <c r="AM295" s="87"/>
      <c r="AN295" s="87"/>
      <c r="AO295" s="87"/>
      <c r="AP295" s="87"/>
      <c r="AQ295" s="87"/>
      <c r="AR295" s="87"/>
      <c r="AS295" s="87"/>
      <c r="AT295" s="87"/>
      <c r="AU295" s="87"/>
      <c r="AV295" s="87"/>
      <c r="AW295" s="87"/>
      <c r="AX295" s="87"/>
      <c r="AY295" s="87"/>
      <c r="AZ295" s="87"/>
      <c r="BA295" s="87"/>
      <c r="BB295" s="87"/>
      <c r="BC295" s="87"/>
      <c r="BD295" s="87"/>
      <c r="BE295" s="87"/>
      <c r="BF295" s="87"/>
      <c r="BG295" s="87"/>
      <c r="BH295" s="87"/>
    </row>
    <row r="296" spans="1:60" ht="16">
      <c r="A296" s="82"/>
      <c r="B296" s="82"/>
      <c r="C296" s="82"/>
      <c r="D296" s="83"/>
      <c r="E296" s="84"/>
      <c r="F296" s="84"/>
      <c r="G296" s="84"/>
      <c r="H296" s="82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7"/>
      <c r="AA296" s="87"/>
      <c r="AB296" s="87"/>
      <c r="AC296" s="87"/>
      <c r="AD296" s="87"/>
      <c r="AE296" s="87"/>
      <c r="AF296" s="87"/>
      <c r="AG296" s="87"/>
      <c r="AH296" s="87"/>
      <c r="AI296" s="87"/>
      <c r="AJ296" s="87"/>
      <c r="AK296" s="87"/>
      <c r="AL296" s="87"/>
      <c r="AM296" s="87"/>
      <c r="AN296" s="87"/>
      <c r="AO296" s="87"/>
      <c r="AP296" s="87"/>
      <c r="AQ296" s="87"/>
      <c r="AR296" s="87"/>
      <c r="AS296" s="87"/>
      <c r="AT296" s="87"/>
      <c r="AU296" s="87"/>
      <c r="AV296" s="87"/>
      <c r="AW296" s="87"/>
      <c r="AX296" s="87"/>
      <c r="AY296" s="87"/>
      <c r="AZ296" s="87"/>
      <c r="BA296" s="87"/>
      <c r="BB296" s="87"/>
      <c r="BC296" s="87"/>
      <c r="BD296" s="87"/>
      <c r="BE296" s="87"/>
      <c r="BF296" s="87"/>
      <c r="BG296" s="87"/>
      <c r="BH296" s="87"/>
    </row>
    <row r="297" spans="1:60" ht="16">
      <c r="A297" s="82"/>
      <c r="B297" s="82"/>
      <c r="C297" s="82"/>
      <c r="D297" s="83"/>
      <c r="E297" s="84"/>
      <c r="F297" s="84"/>
      <c r="G297" s="84"/>
      <c r="H297" s="82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7"/>
      <c r="AA297" s="87"/>
      <c r="AB297" s="87"/>
      <c r="AC297" s="87"/>
      <c r="AD297" s="87"/>
      <c r="AE297" s="87"/>
      <c r="AF297" s="87"/>
      <c r="AG297" s="87"/>
      <c r="AH297" s="87"/>
      <c r="AI297" s="87"/>
      <c r="AJ297" s="87"/>
      <c r="AK297" s="87"/>
      <c r="AL297" s="87"/>
      <c r="AM297" s="87"/>
      <c r="AN297" s="87"/>
      <c r="AO297" s="87"/>
      <c r="AP297" s="87"/>
      <c r="AQ297" s="87"/>
      <c r="AR297" s="87"/>
      <c r="AS297" s="87"/>
      <c r="AT297" s="87"/>
      <c r="AU297" s="87"/>
      <c r="AV297" s="87"/>
      <c r="AW297" s="87"/>
      <c r="AX297" s="87"/>
      <c r="AY297" s="87"/>
      <c r="AZ297" s="87"/>
      <c r="BA297" s="87"/>
      <c r="BB297" s="87"/>
      <c r="BC297" s="87"/>
      <c r="BD297" s="87"/>
      <c r="BE297" s="87"/>
      <c r="BF297" s="87"/>
      <c r="BG297" s="87"/>
      <c r="BH297" s="87"/>
    </row>
    <row r="298" spans="1:60" ht="16">
      <c r="A298" s="82"/>
      <c r="B298" s="82"/>
      <c r="C298" s="82"/>
      <c r="D298" s="83"/>
      <c r="E298" s="84"/>
      <c r="F298" s="84"/>
      <c r="G298" s="84"/>
      <c r="H298" s="82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7"/>
      <c r="AA298" s="87"/>
      <c r="AB298" s="87"/>
      <c r="AC298" s="87"/>
      <c r="AD298" s="87"/>
      <c r="AE298" s="87"/>
      <c r="AF298" s="87"/>
      <c r="AG298" s="87"/>
      <c r="AH298" s="87"/>
      <c r="AI298" s="87"/>
      <c r="AJ298" s="87"/>
      <c r="AK298" s="87"/>
      <c r="AL298" s="87"/>
      <c r="AM298" s="87"/>
      <c r="AN298" s="87"/>
      <c r="AO298" s="87"/>
      <c r="AP298" s="87"/>
      <c r="AQ298" s="87"/>
      <c r="AR298" s="87"/>
      <c r="AS298" s="87"/>
      <c r="AT298" s="87"/>
      <c r="AU298" s="87"/>
      <c r="AV298" s="87"/>
      <c r="AW298" s="87"/>
      <c r="AX298" s="87"/>
      <c r="AY298" s="87"/>
      <c r="AZ298" s="87"/>
      <c r="BA298" s="87"/>
      <c r="BB298" s="87"/>
      <c r="BC298" s="87"/>
      <c r="BD298" s="87"/>
      <c r="BE298" s="87"/>
      <c r="BF298" s="87"/>
      <c r="BG298" s="87"/>
      <c r="BH298" s="87"/>
    </row>
    <row r="299" spans="1:60" ht="16">
      <c r="A299" s="82"/>
      <c r="B299" s="82"/>
      <c r="C299" s="82"/>
      <c r="D299" s="83"/>
      <c r="E299" s="84"/>
      <c r="F299" s="84"/>
      <c r="G299" s="84"/>
      <c r="H299" s="82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7"/>
      <c r="AA299" s="87"/>
      <c r="AB299" s="87"/>
      <c r="AC299" s="87"/>
      <c r="AD299" s="87"/>
      <c r="AE299" s="87"/>
      <c r="AF299" s="87"/>
      <c r="AG299" s="87"/>
      <c r="AH299" s="87"/>
      <c r="AI299" s="87"/>
      <c r="AJ299" s="87"/>
      <c r="AK299" s="87"/>
      <c r="AL299" s="87"/>
      <c r="AM299" s="87"/>
      <c r="AN299" s="87"/>
      <c r="AO299" s="87"/>
      <c r="AP299" s="87"/>
      <c r="AQ299" s="87"/>
      <c r="AR299" s="87"/>
      <c r="AS299" s="87"/>
      <c r="AT299" s="87"/>
      <c r="AU299" s="87"/>
      <c r="AV299" s="87"/>
      <c r="AW299" s="87"/>
      <c r="AX299" s="87"/>
      <c r="AY299" s="87"/>
      <c r="AZ299" s="87"/>
      <c r="BA299" s="87"/>
      <c r="BB299" s="87"/>
      <c r="BC299" s="87"/>
      <c r="BD299" s="87"/>
      <c r="BE299" s="87"/>
      <c r="BF299" s="87"/>
      <c r="BG299" s="87"/>
      <c r="BH299" s="87"/>
    </row>
    <row r="300" spans="1:60" ht="16">
      <c r="A300" s="82"/>
      <c r="B300" s="82"/>
      <c r="C300" s="82"/>
      <c r="D300" s="83"/>
      <c r="E300" s="84"/>
      <c r="F300" s="84"/>
      <c r="G300" s="84"/>
      <c r="H300" s="82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7"/>
      <c r="AA300" s="87"/>
      <c r="AB300" s="87"/>
      <c r="AC300" s="87"/>
      <c r="AD300" s="87"/>
      <c r="AE300" s="87"/>
      <c r="AF300" s="87"/>
      <c r="AG300" s="87"/>
      <c r="AH300" s="87"/>
      <c r="AI300" s="87"/>
      <c r="AJ300" s="87"/>
      <c r="AK300" s="87"/>
      <c r="AL300" s="87"/>
      <c r="AM300" s="87"/>
      <c r="AN300" s="87"/>
      <c r="AO300" s="87"/>
      <c r="AP300" s="87"/>
      <c r="AQ300" s="87"/>
      <c r="AR300" s="87"/>
      <c r="AS300" s="87"/>
      <c r="AT300" s="87"/>
      <c r="AU300" s="87"/>
      <c r="AV300" s="87"/>
      <c r="AW300" s="87"/>
      <c r="AX300" s="87"/>
      <c r="AY300" s="87"/>
      <c r="AZ300" s="87"/>
      <c r="BA300" s="87"/>
      <c r="BB300" s="87"/>
      <c r="BC300" s="87"/>
      <c r="BD300" s="87"/>
      <c r="BE300" s="87"/>
      <c r="BF300" s="87"/>
      <c r="BG300" s="87"/>
      <c r="BH300" s="87"/>
    </row>
    <row r="301" spans="1:60" ht="16">
      <c r="A301" s="82"/>
      <c r="B301" s="82"/>
      <c r="C301" s="82"/>
      <c r="D301" s="83"/>
      <c r="E301" s="84"/>
      <c r="F301" s="84"/>
      <c r="G301" s="84"/>
      <c r="H301" s="82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7"/>
      <c r="AA301" s="87"/>
      <c r="AB301" s="87"/>
      <c r="AC301" s="87"/>
      <c r="AD301" s="87"/>
      <c r="AE301" s="87"/>
      <c r="AF301" s="87"/>
      <c r="AG301" s="87"/>
      <c r="AH301" s="87"/>
      <c r="AI301" s="87"/>
      <c r="AJ301" s="87"/>
      <c r="AK301" s="87"/>
      <c r="AL301" s="87"/>
      <c r="AM301" s="87"/>
      <c r="AN301" s="87"/>
      <c r="AO301" s="87"/>
      <c r="AP301" s="87"/>
      <c r="AQ301" s="87"/>
      <c r="AR301" s="87"/>
      <c r="AS301" s="87"/>
      <c r="AT301" s="87"/>
      <c r="AU301" s="87"/>
      <c r="AV301" s="87"/>
      <c r="AW301" s="87"/>
      <c r="AX301" s="87"/>
      <c r="AY301" s="87"/>
      <c r="AZ301" s="87"/>
      <c r="BA301" s="87"/>
      <c r="BB301" s="87"/>
      <c r="BC301" s="87"/>
      <c r="BD301" s="87"/>
      <c r="BE301" s="87"/>
      <c r="BF301" s="87"/>
      <c r="BG301" s="87"/>
      <c r="BH301" s="87"/>
    </row>
    <row r="302" spans="1:60" ht="16">
      <c r="A302" s="82"/>
      <c r="B302" s="82"/>
      <c r="C302" s="82"/>
      <c r="D302" s="83"/>
      <c r="E302" s="84"/>
      <c r="F302" s="84"/>
      <c r="G302" s="84"/>
      <c r="H302" s="82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7"/>
      <c r="AA302" s="87"/>
      <c r="AB302" s="87"/>
      <c r="AC302" s="87"/>
      <c r="AD302" s="87"/>
      <c r="AE302" s="87"/>
      <c r="AF302" s="87"/>
      <c r="AG302" s="87"/>
      <c r="AH302" s="87"/>
      <c r="AI302" s="87"/>
      <c r="AJ302" s="87"/>
      <c r="AK302" s="87"/>
      <c r="AL302" s="87"/>
      <c r="AM302" s="87"/>
      <c r="AN302" s="87"/>
      <c r="AO302" s="87"/>
      <c r="AP302" s="87"/>
      <c r="AQ302" s="87"/>
      <c r="AR302" s="87"/>
      <c r="AS302" s="87"/>
      <c r="AT302" s="87"/>
      <c r="AU302" s="87"/>
      <c r="AV302" s="87"/>
      <c r="AW302" s="87"/>
      <c r="AX302" s="87"/>
      <c r="AY302" s="87"/>
      <c r="AZ302" s="87"/>
      <c r="BA302" s="87"/>
      <c r="BB302" s="87"/>
      <c r="BC302" s="87"/>
      <c r="BD302" s="87"/>
      <c r="BE302" s="87"/>
      <c r="BF302" s="87"/>
      <c r="BG302" s="87"/>
      <c r="BH302" s="87"/>
    </row>
    <row r="303" spans="1:60" ht="16">
      <c r="A303" s="82"/>
      <c r="B303" s="82"/>
      <c r="C303" s="82"/>
      <c r="D303" s="83"/>
      <c r="E303" s="84"/>
      <c r="F303" s="84"/>
      <c r="G303" s="84"/>
      <c r="H303" s="82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7"/>
      <c r="AA303" s="87"/>
      <c r="AB303" s="87"/>
      <c r="AC303" s="87"/>
      <c r="AD303" s="87"/>
      <c r="AE303" s="87"/>
      <c r="AF303" s="87"/>
      <c r="AG303" s="87"/>
      <c r="AH303" s="87"/>
      <c r="AI303" s="87"/>
      <c r="AJ303" s="87"/>
      <c r="AK303" s="87"/>
      <c r="AL303" s="87"/>
      <c r="AM303" s="87"/>
      <c r="AN303" s="87"/>
      <c r="AO303" s="87"/>
      <c r="AP303" s="87"/>
      <c r="AQ303" s="87"/>
      <c r="AR303" s="87"/>
      <c r="AS303" s="87"/>
      <c r="AT303" s="87"/>
      <c r="AU303" s="87"/>
      <c r="AV303" s="87"/>
      <c r="AW303" s="87"/>
      <c r="AX303" s="87"/>
      <c r="AY303" s="87"/>
      <c r="AZ303" s="87"/>
      <c r="BA303" s="87"/>
      <c r="BB303" s="87"/>
      <c r="BC303" s="87"/>
      <c r="BD303" s="87"/>
      <c r="BE303" s="87"/>
      <c r="BF303" s="87"/>
      <c r="BG303" s="87"/>
      <c r="BH303" s="87"/>
    </row>
    <row r="304" spans="1:60" ht="16">
      <c r="A304" s="82"/>
      <c r="B304" s="82"/>
      <c r="C304" s="82"/>
      <c r="D304" s="83"/>
      <c r="E304" s="84"/>
      <c r="F304" s="84"/>
      <c r="G304" s="84"/>
      <c r="H304" s="82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7"/>
      <c r="AA304" s="87"/>
      <c r="AB304" s="87"/>
      <c r="AC304" s="87"/>
      <c r="AD304" s="87"/>
      <c r="AE304" s="87"/>
      <c r="AF304" s="87"/>
      <c r="AG304" s="87"/>
      <c r="AH304" s="87"/>
      <c r="AI304" s="87"/>
      <c r="AJ304" s="87"/>
      <c r="AK304" s="87"/>
      <c r="AL304" s="87"/>
      <c r="AM304" s="87"/>
      <c r="AN304" s="87"/>
      <c r="AO304" s="87"/>
      <c r="AP304" s="87"/>
      <c r="AQ304" s="87"/>
      <c r="AR304" s="87"/>
      <c r="AS304" s="87"/>
      <c r="AT304" s="87"/>
      <c r="AU304" s="87"/>
      <c r="AV304" s="87"/>
      <c r="AW304" s="87"/>
      <c r="AX304" s="87"/>
      <c r="AY304" s="87"/>
      <c r="AZ304" s="87"/>
      <c r="BA304" s="87"/>
      <c r="BB304" s="87"/>
      <c r="BC304" s="87"/>
      <c r="BD304" s="87"/>
      <c r="BE304" s="87"/>
      <c r="BF304" s="87"/>
      <c r="BG304" s="87"/>
      <c r="BH304" s="87"/>
    </row>
    <row r="305" spans="1:60" ht="16">
      <c r="A305" s="82"/>
      <c r="B305" s="82"/>
      <c r="C305" s="82"/>
      <c r="D305" s="83"/>
      <c r="E305" s="84"/>
      <c r="F305" s="84"/>
      <c r="G305" s="84"/>
      <c r="H305" s="82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7"/>
      <c r="AA305" s="87"/>
      <c r="AB305" s="87"/>
      <c r="AC305" s="87"/>
      <c r="AD305" s="87"/>
      <c r="AE305" s="87"/>
      <c r="AF305" s="87"/>
      <c r="AG305" s="87"/>
      <c r="AH305" s="87"/>
      <c r="AI305" s="87"/>
      <c r="AJ305" s="87"/>
      <c r="AK305" s="87"/>
      <c r="AL305" s="87"/>
      <c r="AM305" s="87"/>
      <c r="AN305" s="87"/>
      <c r="AO305" s="87"/>
      <c r="AP305" s="87"/>
      <c r="AQ305" s="87"/>
      <c r="AR305" s="87"/>
      <c r="AS305" s="87"/>
      <c r="AT305" s="87"/>
      <c r="AU305" s="87"/>
      <c r="AV305" s="87"/>
      <c r="AW305" s="87"/>
      <c r="AX305" s="87"/>
      <c r="AY305" s="87"/>
      <c r="AZ305" s="87"/>
      <c r="BA305" s="87"/>
      <c r="BB305" s="87"/>
      <c r="BC305" s="87"/>
      <c r="BD305" s="87"/>
      <c r="BE305" s="87"/>
      <c r="BF305" s="87"/>
      <c r="BG305" s="87"/>
      <c r="BH305" s="87"/>
    </row>
    <row r="306" spans="1:60" ht="16">
      <c r="A306" s="82"/>
      <c r="B306" s="82"/>
      <c r="C306" s="82"/>
      <c r="D306" s="83"/>
      <c r="E306" s="84"/>
      <c r="F306" s="84"/>
      <c r="G306" s="84"/>
      <c r="H306" s="82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7"/>
      <c r="AA306" s="87"/>
      <c r="AB306" s="87"/>
      <c r="AC306" s="87"/>
      <c r="AD306" s="87"/>
      <c r="AE306" s="87"/>
      <c r="AF306" s="87"/>
      <c r="AG306" s="87"/>
      <c r="AH306" s="87"/>
      <c r="AI306" s="87"/>
      <c r="AJ306" s="87"/>
      <c r="AK306" s="87"/>
      <c r="AL306" s="87"/>
      <c r="AM306" s="87"/>
      <c r="AN306" s="87"/>
      <c r="AO306" s="87"/>
      <c r="AP306" s="87"/>
      <c r="AQ306" s="87"/>
      <c r="AR306" s="87"/>
      <c r="AS306" s="87"/>
      <c r="AT306" s="87"/>
      <c r="AU306" s="87"/>
      <c r="AV306" s="87"/>
      <c r="AW306" s="87"/>
      <c r="AX306" s="87"/>
      <c r="AY306" s="87"/>
      <c r="AZ306" s="87"/>
      <c r="BA306" s="87"/>
      <c r="BB306" s="87"/>
      <c r="BC306" s="87"/>
      <c r="BD306" s="87"/>
      <c r="BE306" s="87"/>
      <c r="BF306" s="87"/>
      <c r="BG306" s="87"/>
      <c r="BH306" s="87"/>
    </row>
    <row r="307" spans="1:60" ht="16">
      <c r="A307" s="82"/>
      <c r="B307" s="82"/>
      <c r="C307" s="82"/>
      <c r="D307" s="83"/>
      <c r="E307" s="84"/>
      <c r="F307" s="84"/>
      <c r="G307" s="84"/>
      <c r="H307" s="82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7"/>
      <c r="AA307" s="87"/>
      <c r="AB307" s="87"/>
      <c r="AC307" s="87"/>
      <c r="AD307" s="87"/>
      <c r="AE307" s="87"/>
      <c r="AF307" s="87"/>
      <c r="AG307" s="87"/>
      <c r="AH307" s="87"/>
      <c r="AI307" s="87"/>
      <c r="AJ307" s="87"/>
      <c r="AK307" s="87"/>
      <c r="AL307" s="87"/>
      <c r="AM307" s="87"/>
      <c r="AN307" s="87"/>
      <c r="AO307" s="87"/>
      <c r="AP307" s="87"/>
      <c r="AQ307" s="87"/>
      <c r="AR307" s="87"/>
      <c r="AS307" s="87"/>
      <c r="AT307" s="87"/>
      <c r="AU307" s="87"/>
      <c r="AV307" s="87"/>
      <c r="AW307" s="87"/>
      <c r="AX307" s="87"/>
      <c r="AY307" s="87"/>
      <c r="AZ307" s="87"/>
      <c r="BA307" s="87"/>
      <c r="BB307" s="87"/>
      <c r="BC307" s="87"/>
      <c r="BD307" s="87"/>
      <c r="BE307" s="87"/>
      <c r="BF307" s="87"/>
      <c r="BG307" s="87"/>
      <c r="BH307" s="87"/>
    </row>
    <row r="308" spans="1:60" ht="16">
      <c r="A308" s="82"/>
      <c r="B308" s="82"/>
      <c r="C308" s="82"/>
      <c r="D308" s="83"/>
      <c r="E308" s="84"/>
      <c r="F308" s="84"/>
      <c r="G308" s="84"/>
      <c r="H308" s="82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7"/>
      <c r="AA308" s="87"/>
      <c r="AB308" s="87"/>
      <c r="AC308" s="87"/>
      <c r="AD308" s="87"/>
      <c r="AE308" s="87"/>
      <c r="AF308" s="87"/>
      <c r="AG308" s="87"/>
      <c r="AH308" s="87"/>
      <c r="AI308" s="87"/>
      <c r="AJ308" s="87"/>
      <c r="AK308" s="87"/>
      <c r="AL308" s="87"/>
      <c r="AM308" s="87"/>
      <c r="AN308" s="87"/>
      <c r="AO308" s="87"/>
      <c r="AP308" s="87"/>
      <c r="AQ308" s="87"/>
      <c r="AR308" s="87"/>
      <c r="AS308" s="87"/>
      <c r="AT308" s="87"/>
      <c r="AU308" s="87"/>
      <c r="AV308" s="87"/>
      <c r="AW308" s="87"/>
      <c r="AX308" s="87"/>
      <c r="AY308" s="87"/>
      <c r="AZ308" s="87"/>
      <c r="BA308" s="87"/>
      <c r="BB308" s="87"/>
      <c r="BC308" s="87"/>
      <c r="BD308" s="87"/>
      <c r="BE308" s="87"/>
      <c r="BF308" s="87"/>
      <c r="BG308" s="87"/>
      <c r="BH308" s="87"/>
    </row>
    <row r="309" spans="1:60" ht="16">
      <c r="A309" s="82"/>
      <c r="B309" s="82"/>
      <c r="C309" s="82"/>
      <c r="D309" s="83"/>
      <c r="E309" s="84"/>
      <c r="F309" s="84"/>
      <c r="G309" s="84"/>
      <c r="H309" s="82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7"/>
      <c r="AA309" s="87"/>
      <c r="AB309" s="87"/>
      <c r="AC309" s="87"/>
      <c r="AD309" s="87"/>
      <c r="AE309" s="87"/>
      <c r="AF309" s="87"/>
      <c r="AG309" s="87"/>
      <c r="AH309" s="87"/>
      <c r="AI309" s="87"/>
      <c r="AJ309" s="87"/>
      <c r="AK309" s="87"/>
      <c r="AL309" s="87"/>
      <c r="AM309" s="87"/>
      <c r="AN309" s="87"/>
      <c r="AO309" s="87"/>
      <c r="AP309" s="87"/>
      <c r="AQ309" s="87"/>
      <c r="AR309" s="87"/>
      <c r="AS309" s="87"/>
      <c r="AT309" s="87"/>
      <c r="AU309" s="87"/>
      <c r="AV309" s="87"/>
      <c r="AW309" s="87"/>
      <c r="AX309" s="87"/>
      <c r="AY309" s="87"/>
      <c r="AZ309" s="87"/>
      <c r="BA309" s="87"/>
      <c r="BB309" s="87"/>
      <c r="BC309" s="87"/>
      <c r="BD309" s="87"/>
      <c r="BE309" s="87"/>
      <c r="BF309" s="87"/>
      <c r="BG309" s="87"/>
      <c r="BH309" s="87"/>
    </row>
    <row r="310" spans="1:60" ht="16">
      <c r="A310" s="82"/>
      <c r="B310" s="82"/>
      <c r="C310" s="82"/>
      <c r="D310" s="83"/>
      <c r="E310" s="84"/>
      <c r="F310" s="84"/>
      <c r="G310" s="84"/>
      <c r="H310" s="82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7"/>
      <c r="AA310" s="87"/>
      <c r="AB310" s="87"/>
      <c r="AC310" s="87"/>
      <c r="AD310" s="87"/>
      <c r="AE310" s="87"/>
      <c r="AF310" s="87"/>
      <c r="AG310" s="87"/>
      <c r="AH310" s="87"/>
      <c r="AI310" s="87"/>
      <c r="AJ310" s="87"/>
      <c r="AK310" s="87"/>
      <c r="AL310" s="87"/>
      <c r="AM310" s="87"/>
      <c r="AN310" s="87"/>
      <c r="AO310" s="87"/>
      <c r="AP310" s="87"/>
      <c r="AQ310" s="87"/>
      <c r="AR310" s="87"/>
      <c r="AS310" s="87"/>
      <c r="AT310" s="87"/>
      <c r="AU310" s="87"/>
      <c r="AV310" s="87"/>
      <c r="AW310" s="87"/>
      <c r="AX310" s="87"/>
      <c r="AY310" s="87"/>
      <c r="AZ310" s="87"/>
      <c r="BA310" s="87"/>
      <c r="BB310" s="87"/>
      <c r="BC310" s="87"/>
      <c r="BD310" s="87"/>
      <c r="BE310" s="87"/>
      <c r="BF310" s="87"/>
      <c r="BG310" s="87"/>
      <c r="BH310" s="87"/>
    </row>
    <row r="311" spans="1:60" ht="16">
      <c r="A311" s="82"/>
      <c r="B311" s="82"/>
      <c r="C311" s="82"/>
      <c r="D311" s="83"/>
      <c r="E311" s="84"/>
      <c r="F311" s="84"/>
      <c r="G311" s="84"/>
      <c r="H311" s="82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7"/>
      <c r="AA311" s="87"/>
      <c r="AB311" s="87"/>
      <c r="AC311" s="87"/>
      <c r="AD311" s="87"/>
      <c r="AE311" s="87"/>
      <c r="AF311" s="87"/>
      <c r="AG311" s="87"/>
      <c r="AH311" s="87"/>
      <c r="AI311" s="87"/>
      <c r="AJ311" s="87"/>
      <c r="AK311" s="87"/>
      <c r="AL311" s="87"/>
      <c r="AM311" s="87"/>
      <c r="AN311" s="87"/>
      <c r="AO311" s="87"/>
      <c r="AP311" s="87"/>
      <c r="AQ311" s="87"/>
      <c r="AR311" s="87"/>
      <c r="AS311" s="87"/>
      <c r="AT311" s="87"/>
      <c r="AU311" s="87"/>
      <c r="AV311" s="87"/>
      <c r="AW311" s="87"/>
      <c r="AX311" s="87"/>
      <c r="AY311" s="87"/>
      <c r="AZ311" s="87"/>
      <c r="BA311" s="87"/>
      <c r="BB311" s="87"/>
      <c r="BC311" s="87"/>
      <c r="BD311" s="87"/>
      <c r="BE311" s="87"/>
      <c r="BF311" s="87"/>
      <c r="BG311" s="87"/>
      <c r="BH311" s="87"/>
    </row>
    <row r="312" spans="1:60" ht="16">
      <c r="A312" s="82"/>
      <c r="B312" s="82"/>
      <c r="C312" s="82"/>
      <c r="D312" s="83"/>
      <c r="E312" s="84"/>
      <c r="F312" s="84"/>
      <c r="G312" s="84"/>
      <c r="H312" s="82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7"/>
      <c r="AA312" s="87"/>
      <c r="AB312" s="87"/>
      <c r="AC312" s="87"/>
      <c r="AD312" s="87"/>
      <c r="AE312" s="87"/>
      <c r="AF312" s="87"/>
      <c r="AG312" s="87"/>
      <c r="AH312" s="87"/>
      <c r="AI312" s="87"/>
      <c r="AJ312" s="87"/>
      <c r="AK312" s="87"/>
      <c r="AL312" s="87"/>
      <c r="AM312" s="87"/>
      <c r="AN312" s="87"/>
      <c r="AO312" s="87"/>
      <c r="AP312" s="87"/>
      <c r="AQ312" s="87"/>
      <c r="AR312" s="87"/>
      <c r="AS312" s="87"/>
      <c r="AT312" s="87"/>
      <c r="AU312" s="87"/>
      <c r="AV312" s="87"/>
      <c r="AW312" s="87"/>
      <c r="AX312" s="87"/>
      <c r="AY312" s="87"/>
      <c r="AZ312" s="87"/>
      <c r="BA312" s="87"/>
      <c r="BB312" s="87"/>
      <c r="BC312" s="87"/>
      <c r="BD312" s="87"/>
      <c r="BE312" s="87"/>
      <c r="BF312" s="87"/>
      <c r="BG312" s="87"/>
      <c r="BH312" s="87"/>
    </row>
    <row r="313" spans="1:60" ht="16">
      <c r="A313" s="82"/>
      <c r="B313" s="82"/>
      <c r="C313" s="82"/>
      <c r="D313" s="83"/>
      <c r="E313" s="84"/>
      <c r="F313" s="84"/>
      <c r="G313" s="84"/>
      <c r="H313" s="82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7"/>
      <c r="AA313" s="87"/>
      <c r="AB313" s="87"/>
      <c r="AC313" s="87"/>
      <c r="AD313" s="87"/>
      <c r="AE313" s="87"/>
      <c r="AF313" s="87"/>
      <c r="AG313" s="87"/>
      <c r="AH313" s="87"/>
      <c r="AI313" s="87"/>
      <c r="AJ313" s="87"/>
      <c r="AK313" s="87"/>
      <c r="AL313" s="87"/>
      <c r="AM313" s="87"/>
      <c r="AN313" s="87"/>
      <c r="AO313" s="87"/>
      <c r="AP313" s="87"/>
      <c r="AQ313" s="87"/>
      <c r="AR313" s="87"/>
      <c r="AS313" s="87"/>
      <c r="AT313" s="87"/>
      <c r="AU313" s="87"/>
      <c r="AV313" s="87"/>
      <c r="AW313" s="87"/>
      <c r="AX313" s="87"/>
      <c r="AY313" s="87"/>
      <c r="AZ313" s="87"/>
      <c r="BA313" s="87"/>
      <c r="BB313" s="87"/>
      <c r="BC313" s="87"/>
      <c r="BD313" s="87"/>
      <c r="BE313" s="87"/>
      <c r="BF313" s="87"/>
      <c r="BG313" s="87"/>
      <c r="BH313" s="87"/>
    </row>
    <row r="314" spans="1:60" ht="16">
      <c r="A314" s="82"/>
      <c r="B314" s="82"/>
      <c r="C314" s="82"/>
      <c r="D314" s="83"/>
      <c r="E314" s="84"/>
      <c r="F314" s="84"/>
      <c r="G314" s="84"/>
      <c r="H314" s="82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7"/>
      <c r="AA314" s="87"/>
      <c r="AB314" s="87"/>
      <c r="AC314" s="87"/>
      <c r="AD314" s="87"/>
      <c r="AE314" s="87"/>
      <c r="AF314" s="87"/>
      <c r="AG314" s="87"/>
      <c r="AH314" s="87"/>
      <c r="AI314" s="87"/>
      <c r="AJ314" s="87"/>
      <c r="AK314" s="87"/>
      <c r="AL314" s="87"/>
      <c r="AM314" s="87"/>
      <c r="AN314" s="87"/>
      <c r="AO314" s="87"/>
      <c r="AP314" s="87"/>
      <c r="AQ314" s="87"/>
      <c r="AR314" s="87"/>
      <c r="AS314" s="87"/>
      <c r="AT314" s="87"/>
      <c r="AU314" s="87"/>
      <c r="AV314" s="87"/>
      <c r="AW314" s="87"/>
      <c r="AX314" s="87"/>
      <c r="AY314" s="87"/>
      <c r="AZ314" s="87"/>
      <c r="BA314" s="87"/>
      <c r="BB314" s="87"/>
      <c r="BC314" s="87"/>
      <c r="BD314" s="87"/>
      <c r="BE314" s="87"/>
      <c r="BF314" s="87"/>
      <c r="BG314" s="87"/>
      <c r="BH314" s="87"/>
    </row>
    <row r="315" spans="1:60" ht="16">
      <c r="A315" s="82"/>
      <c r="B315" s="82"/>
      <c r="C315" s="82"/>
      <c r="D315" s="83"/>
      <c r="E315" s="84"/>
      <c r="F315" s="84"/>
      <c r="G315" s="84"/>
      <c r="H315" s="82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7"/>
      <c r="AA315" s="87"/>
      <c r="AB315" s="87"/>
      <c r="AC315" s="87"/>
      <c r="AD315" s="87"/>
      <c r="AE315" s="87"/>
      <c r="AF315" s="87"/>
      <c r="AG315" s="87"/>
      <c r="AH315" s="87"/>
      <c r="AI315" s="87"/>
      <c r="AJ315" s="87"/>
      <c r="AK315" s="87"/>
      <c r="AL315" s="87"/>
      <c r="AM315" s="87"/>
      <c r="AN315" s="87"/>
      <c r="AO315" s="87"/>
      <c r="AP315" s="87"/>
      <c r="AQ315" s="87"/>
      <c r="AR315" s="87"/>
      <c r="AS315" s="87"/>
      <c r="AT315" s="87"/>
      <c r="AU315" s="87"/>
      <c r="AV315" s="87"/>
      <c r="AW315" s="87"/>
      <c r="AX315" s="87"/>
      <c r="AY315" s="87"/>
      <c r="AZ315" s="87"/>
      <c r="BA315" s="87"/>
      <c r="BB315" s="87"/>
      <c r="BC315" s="87"/>
      <c r="BD315" s="87"/>
      <c r="BE315" s="87"/>
      <c r="BF315" s="87"/>
      <c r="BG315" s="87"/>
      <c r="BH315" s="87"/>
    </row>
    <row r="316" spans="1:60" ht="16">
      <c r="A316" s="82"/>
      <c r="B316" s="82"/>
      <c r="C316" s="82"/>
      <c r="D316" s="83"/>
      <c r="E316" s="84"/>
      <c r="F316" s="84"/>
      <c r="G316" s="84"/>
      <c r="H316" s="82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7"/>
      <c r="AA316" s="87"/>
      <c r="AB316" s="87"/>
      <c r="AC316" s="87"/>
      <c r="AD316" s="87"/>
      <c r="AE316" s="87"/>
      <c r="AF316" s="87"/>
      <c r="AG316" s="87"/>
      <c r="AH316" s="87"/>
      <c r="AI316" s="87"/>
      <c r="AJ316" s="87"/>
      <c r="AK316" s="87"/>
      <c r="AL316" s="87"/>
      <c r="AM316" s="87"/>
      <c r="AN316" s="87"/>
      <c r="AO316" s="87"/>
      <c r="AP316" s="87"/>
      <c r="AQ316" s="87"/>
      <c r="AR316" s="87"/>
      <c r="AS316" s="87"/>
      <c r="AT316" s="87"/>
      <c r="AU316" s="87"/>
      <c r="AV316" s="87"/>
      <c r="AW316" s="87"/>
      <c r="AX316" s="87"/>
      <c r="AY316" s="87"/>
      <c r="AZ316" s="87"/>
      <c r="BA316" s="87"/>
      <c r="BB316" s="87"/>
      <c r="BC316" s="87"/>
      <c r="BD316" s="87"/>
      <c r="BE316" s="87"/>
      <c r="BF316" s="87"/>
      <c r="BG316" s="87"/>
      <c r="BH316" s="87"/>
    </row>
    <row r="317" spans="1:60" ht="16">
      <c r="A317" s="82"/>
      <c r="B317" s="82"/>
      <c r="C317" s="82"/>
      <c r="D317" s="83"/>
      <c r="E317" s="84"/>
      <c r="F317" s="84"/>
      <c r="G317" s="84"/>
      <c r="H317" s="82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7"/>
      <c r="AA317" s="87"/>
      <c r="AB317" s="87"/>
      <c r="AC317" s="87"/>
      <c r="AD317" s="87"/>
      <c r="AE317" s="87"/>
      <c r="AF317" s="87"/>
      <c r="AG317" s="87"/>
      <c r="AH317" s="87"/>
      <c r="AI317" s="87"/>
      <c r="AJ317" s="87"/>
      <c r="AK317" s="87"/>
      <c r="AL317" s="87"/>
      <c r="AM317" s="87"/>
      <c r="AN317" s="87"/>
      <c r="AO317" s="87"/>
      <c r="AP317" s="87"/>
      <c r="AQ317" s="87"/>
      <c r="AR317" s="87"/>
      <c r="AS317" s="87"/>
      <c r="AT317" s="87"/>
      <c r="AU317" s="87"/>
      <c r="AV317" s="87"/>
      <c r="AW317" s="87"/>
      <c r="AX317" s="87"/>
      <c r="AY317" s="87"/>
      <c r="AZ317" s="87"/>
      <c r="BA317" s="87"/>
      <c r="BB317" s="87"/>
      <c r="BC317" s="87"/>
      <c r="BD317" s="87"/>
      <c r="BE317" s="87"/>
      <c r="BF317" s="87"/>
      <c r="BG317" s="87"/>
      <c r="BH317" s="87"/>
    </row>
    <row r="318" spans="1:60" ht="16">
      <c r="A318" s="82"/>
      <c r="B318" s="82"/>
      <c r="C318" s="82"/>
      <c r="D318" s="83"/>
      <c r="E318" s="84"/>
      <c r="F318" s="84"/>
      <c r="G318" s="84"/>
      <c r="H318" s="82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7"/>
      <c r="AA318" s="87"/>
      <c r="AB318" s="87"/>
      <c r="AC318" s="87"/>
      <c r="AD318" s="87"/>
      <c r="AE318" s="87"/>
      <c r="AF318" s="87"/>
      <c r="AG318" s="87"/>
      <c r="AH318" s="87"/>
      <c r="AI318" s="87"/>
      <c r="AJ318" s="87"/>
      <c r="AK318" s="87"/>
      <c r="AL318" s="87"/>
      <c r="AM318" s="87"/>
      <c r="AN318" s="87"/>
      <c r="AO318" s="87"/>
      <c r="AP318" s="87"/>
      <c r="AQ318" s="87"/>
      <c r="AR318" s="87"/>
      <c r="AS318" s="87"/>
      <c r="AT318" s="87"/>
      <c r="AU318" s="87"/>
      <c r="AV318" s="87"/>
      <c r="AW318" s="87"/>
      <c r="AX318" s="87"/>
      <c r="AY318" s="87"/>
      <c r="AZ318" s="87"/>
      <c r="BA318" s="87"/>
      <c r="BB318" s="87"/>
      <c r="BC318" s="87"/>
      <c r="BD318" s="87"/>
      <c r="BE318" s="87"/>
      <c r="BF318" s="87"/>
      <c r="BG318" s="87"/>
      <c r="BH318" s="87"/>
    </row>
    <row r="319" spans="1:60" ht="16">
      <c r="A319" s="82"/>
      <c r="B319" s="82"/>
      <c r="C319" s="82"/>
      <c r="D319" s="83"/>
      <c r="E319" s="84"/>
      <c r="F319" s="84"/>
      <c r="G319" s="84"/>
      <c r="H319" s="82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7"/>
      <c r="AA319" s="87"/>
      <c r="AB319" s="87"/>
      <c r="AC319" s="87"/>
      <c r="AD319" s="87"/>
      <c r="AE319" s="87"/>
      <c r="AF319" s="87"/>
      <c r="AG319" s="87"/>
      <c r="AH319" s="87"/>
      <c r="AI319" s="87"/>
      <c r="AJ319" s="87"/>
      <c r="AK319" s="87"/>
      <c r="AL319" s="87"/>
      <c r="AM319" s="87"/>
      <c r="AN319" s="87"/>
      <c r="AO319" s="87"/>
      <c r="AP319" s="87"/>
      <c r="AQ319" s="87"/>
      <c r="AR319" s="87"/>
      <c r="AS319" s="87"/>
      <c r="AT319" s="87"/>
      <c r="AU319" s="87"/>
      <c r="AV319" s="87"/>
      <c r="AW319" s="87"/>
      <c r="AX319" s="87"/>
      <c r="AY319" s="87"/>
      <c r="AZ319" s="87"/>
      <c r="BA319" s="87"/>
      <c r="BB319" s="87"/>
      <c r="BC319" s="87"/>
      <c r="BD319" s="87"/>
      <c r="BE319" s="87"/>
      <c r="BF319" s="87"/>
      <c r="BG319" s="87"/>
      <c r="BH319" s="87"/>
    </row>
    <row r="320" spans="1:60" ht="16">
      <c r="A320" s="82"/>
      <c r="B320" s="82"/>
      <c r="C320" s="82"/>
      <c r="D320" s="83"/>
      <c r="E320" s="84"/>
      <c r="F320" s="84"/>
      <c r="G320" s="84"/>
      <c r="H320" s="82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7"/>
      <c r="AA320" s="87"/>
      <c r="AB320" s="87"/>
      <c r="AC320" s="87"/>
      <c r="AD320" s="87"/>
      <c r="AE320" s="87"/>
      <c r="AF320" s="87"/>
      <c r="AG320" s="87"/>
      <c r="AH320" s="87"/>
      <c r="AI320" s="87"/>
      <c r="AJ320" s="87"/>
      <c r="AK320" s="87"/>
      <c r="AL320" s="87"/>
      <c r="AM320" s="87"/>
      <c r="AN320" s="87"/>
      <c r="AO320" s="87"/>
      <c r="AP320" s="87"/>
      <c r="AQ320" s="87"/>
      <c r="AR320" s="87"/>
      <c r="AS320" s="87"/>
      <c r="AT320" s="87"/>
      <c r="AU320" s="87"/>
      <c r="AV320" s="87"/>
      <c r="AW320" s="87"/>
      <c r="AX320" s="87"/>
      <c r="AY320" s="87"/>
      <c r="AZ320" s="87"/>
      <c r="BA320" s="87"/>
      <c r="BB320" s="87"/>
      <c r="BC320" s="87"/>
      <c r="BD320" s="87"/>
      <c r="BE320" s="87"/>
      <c r="BF320" s="87"/>
      <c r="BG320" s="87"/>
      <c r="BH320" s="87"/>
    </row>
    <row r="321" spans="1:60" ht="16">
      <c r="A321" s="82"/>
      <c r="B321" s="82"/>
      <c r="C321" s="82"/>
      <c r="D321" s="83"/>
      <c r="E321" s="84"/>
      <c r="F321" s="84"/>
      <c r="G321" s="84"/>
      <c r="H321" s="82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7"/>
      <c r="AA321" s="87"/>
      <c r="AB321" s="87"/>
      <c r="AC321" s="87"/>
      <c r="AD321" s="87"/>
      <c r="AE321" s="87"/>
      <c r="AF321" s="87"/>
      <c r="AG321" s="87"/>
      <c r="AH321" s="87"/>
      <c r="AI321" s="87"/>
      <c r="AJ321" s="87"/>
      <c r="AK321" s="87"/>
      <c r="AL321" s="87"/>
      <c r="AM321" s="87"/>
      <c r="AN321" s="87"/>
      <c r="AO321" s="87"/>
      <c r="AP321" s="87"/>
      <c r="AQ321" s="87"/>
      <c r="AR321" s="87"/>
      <c r="AS321" s="87"/>
      <c r="AT321" s="87"/>
      <c r="AU321" s="87"/>
      <c r="AV321" s="87"/>
      <c r="AW321" s="87"/>
      <c r="AX321" s="87"/>
      <c r="AY321" s="87"/>
      <c r="AZ321" s="87"/>
      <c r="BA321" s="87"/>
      <c r="BB321" s="87"/>
      <c r="BC321" s="87"/>
      <c r="BD321" s="87"/>
      <c r="BE321" s="87"/>
      <c r="BF321" s="87"/>
      <c r="BG321" s="87"/>
      <c r="BH321" s="87"/>
    </row>
    <row r="322" spans="1:60" ht="16">
      <c r="A322" s="82"/>
      <c r="B322" s="82"/>
      <c r="C322" s="82"/>
      <c r="D322" s="83"/>
      <c r="E322" s="84"/>
      <c r="F322" s="84"/>
      <c r="G322" s="84"/>
      <c r="H322" s="82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7"/>
      <c r="AA322" s="87"/>
      <c r="AB322" s="87"/>
      <c r="AC322" s="87"/>
      <c r="AD322" s="87"/>
      <c r="AE322" s="87"/>
      <c r="AF322" s="87"/>
      <c r="AG322" s="87"/>
      <c r="AH322" s="87"/>
      <c r="AI322" s="87"/>
      <c r="AJ322" s="87"/>
      <c r="AK322" s="87"/>
      <c r="AL322" s="87"/>
      <c r="AM322" s="87"/>
      <c r="AN322" s="87"/>
      <c r="AO322" s="87"/>
      <c r="AP322" s="87"/>
      <c r="AQ322" s="87"/>
      <c r="AR322" s="87"/>
      <c r="AS322" s="87"/>
      <c r="AT322" s="87"/>
      <c r="AU322" s="87"/>
      <c r="AV322" s="87"/>
      <c r="AW322" s="87"/>
      <c r="AX322" s="87"/>
      <c r="AY322" s="87"/>
      <c r="AZ322" s="87"/>
      <c r="BA322" s="87"/>
      <c r="BB322" s="87"/>
      <c r="BC322" s="87"/>
      <c r="BD322" s="87"/>
      <c r="BE322" s="87"/>
      <c r="BF322" s="87"/>
      <c r="BG322" s="87"/>
      <c r="BH322" s="87"/>
    </row>
    <row r="323" spans="1:60" ht="16">
      <c r="A323" s="82"/>
      <c r="B323" s="82"/>
      <c r="C323" s="82"/>
      <c r="D323" s="83"/>
      <c r="E323" s="84"/>
      <c r="F323" s="84"/>
      <c r="G323" s="84"/>
      <c r="H323" s="82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7"/>
      <c r="AA323" s="87"/>
      <c r="AB323" s="87"/>
      <c r="AC323" s="87"/>
      <c r="AD323" s="87"/>
      <c r="AE323" s="87"/>
      <c r="AF323" s="87"/>
      <c r="AG323" s="87"/>
      <c r="AH323" s="87"/>
      <c r="AI323" s="87"/>
      <c r="AJ323" s="87"/>
      <c r="AK323" s="87"/>
      <c r="AL323" s="87"/>
      <c r="AM323" s="87"/>
      <c r="AN323" s="87"/>
      <c r="AO323" s="87"/>
      <c r="AP323" s="87"/>
      <c r="AQ323" s="87"/>
      <c r="AR323" s="87"/>
      <c r="AS323" s="87"/>
      <c r="AT323" s="87"/>
      <c r="AU323" s="87"/>
      <c r="AV323" s="87"/>
      <c r="AW323" s="87"/>
      <c r="AX323" s="87"/>
      <c r="AY323" s="87"/>
      <c r="AZ323" s="87"/>
      <c r="BA323" s="87"/>
      <c r="BB323" s="87"/>
      <c r="BC323" s="87"/>
      <c r="BD323" s="87"/>
      <c r="BE323" s="87"/>
      <c r="BF323" s="87"/>
      <c r="BG323" s="87"/>
      <c r="BH323" s="87"/>
    </row>
    <row r="324" spans="1:60" ht="16">
      <c r="A324" s="82"/>
      <c r="B324" s="82"/>
      <c r="C324" s="82"/>
      <c r="D324" s="83"/>
      <c r="E324" s="84"/>
      <c r="F324" s="84"/>
      <c r="G324" s="84"/>
      <c r="H324" s="82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7"/>
      <c r="AA324" s="87"/>
      <c r="AB324" s="87"/>
      <c r="AC324" s="87"/>
      <c r="AD324" s="87"/>
      <c r="AE324" s="87"/>
      <c r="AF324" s="87"/>
      <c r="AG324" s="87"/>
      <c r="AH324" s="87"/>
      <c r="AI324" s="87"/>
      <c r="AJ324" s="87"/>
      <c r="AK324" s="87"/>
      <c r="AL324" s="87"/>
      <c r="AM324" s="87"/>
      <c r="AN324" s="87"/>
      <c r="AO324" s="87"/>
      <c r="AP324" s="87"/>
      <c r="AQ324" s="87"/>
      <c r="AR324" s="87"/>
      <c r="AS324" s="87"/>
      <c r="AT324" s="87"/>
      <c r="AU324" s="87"/>
      <c r="AV324" s="87"/>
      <c r="AW324" s="87"/>
      <c r="AX324" s="87"/>
      <c r="AY324" s="87"/>
      <c r="AZ324" s="87"/>
      <c r="BA324" s="87"/>
      <c r="BB324" s="87"/>
      <c r="BC324" s="87"/>
      <c r="BD324" s="87"/>
      <c r="BE324" s="87"/>
      <c r="BF324" s="87"/>
      <c r="BG324" s="87"/>
      <c r="BH324" s="87"/>
    </row>
    <row r="325" spans="1:60" ht="16">
      <c r="A325" s="82"/>
      <c r="B325" s="82"/>
      <c r="C325" s="82"/>
      <c r="D325" s="83"/>
      <c r="E325" s="84"/>
      <c r="F325" s="84"/>
      <c r="G325" s="84"/>
      <c r="H325" s="82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7"/>
      <c r="AA325" s="87"/>
      <c r="AB325" s="87"/>
      <c r="AC325" s="87"/>
      <c r="AD325" s="87"/>
      <c r="AE325" s="87"/>
      <c r="AF325" s="87"/>
      <c r="AG325" s="87"/>
      <c r="AH325" s="87"/>
      <c r="AI325" s="87"/>
      <c r="AJ325" s="87"/>
      <c r="AK325" s="87"/>
      <c r="AL325" s="87"/>
      <c r="AM325" s="87"/>
      <c r="AN325" s="87"/>
      <c r="AO325" s="87"/>
      <c r="AP325" s="87"/>
      <c r="AQ325" s="87"/>
      <c r="AR325" s="87"/>
      <c r="AS325" s="87"/>
      <c r="AT325" s="87"/>
      <c r="AU325" s="87"/>
      <c r="AV325" s="87"/>
      <c r="AW325" s="87"/>
      <c r="AX325" s="87"/>
      <c r="AY325" s="87"/>
      <c r="AZ325" s="87"/>
      <c r="BA325" s="87"/>
      <c r="BB325" s="87"/>
      <c r="BC325" s="87"/>
      <c r="BD325" s="87"/>
      <c r="BE325" s="87"/>
      <c r="BF325" s="87"/>
      <c r="BG325" s="87"/>
      <c r="BH325" s="87"/>
    </row>
    <row r="326" spans="1:60" ht="16">
      <c r="A326" s="82"/>
      <c r="B326" s="82"/>
      <c r="C326" s="82"/>
      <c r="D326" s="83"/>
      <c r="E326" s="84"/>
      <c r="F326" s="84"/>
      <c r="G326" s="84"/>
      <c r="H326" s="82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7"/>
      <c r="AA326" s="87"/>
      <c r="AB326" s="87"/>
      <c r="AC326" s="87"/>
      <c r="AD326" s="87"/>
      <c r="AE326" s="87"/>
      <c r="AF326" s="87"/>
      <c r="AG326" s="87"/>
      <c r="AH326" s="87"/>
      <c r="AI326" s="87"/>
      <c r="AJ326" s="87"/>
      <c r="AK326" s="87"/>
      <c r="AL326" s="87"/>
      <c r="AM326" s="87"/>
      <c r="AN326" s="87"/>
      <c r="AO326" s="87"/>
      <c r="AP326" s="87"/>
      <c r="AQ326" s="87"/>
      <c r="AR326" s="87"/>
      <c r="AS326" s="87"/>
      <c r="AT326" s="87"/>
      <c r="AU326" s="87"/>
      <c r="AV326" s="87"/>
      <c r="AW326" s="87"/>
      <c r="AX326" s="87"/>
      <c r="AY326" s="87"/>
      <c r="AZ326" s="87"/>
      <c r="BA326" s="87"/>
      <c r="BB326" s="87"/>
      <c r="BC326" s="87"/>
      <c r="BD326" s="87"/>
      <c r="BE326" s="87"/>
      <c r="BF326" s="87"/>
      <c r="BG326" s="87"/>
      <c r="BH326" s="87"/>
    </row>
    <row r="327" spans="1:60" ht="16">
      <c r="A327" s="82"/>
      <c r="B327" s="82"/>
      <c r="C327" s="82"/>
      <c r="D327" s="83"/>
      <c r="E327" s="84"/>
      <c r="F327" s="84"/>
      <c r="G327" s="84"/>
      <c r="H327" s="82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7"/>
      <c r="AA327" s="87"/>
      <c r="AB327" s="87"/>
      <c r="AC327" s="87"/>
      <c r="AD327" s="87"/>
      <c r="AE327" s="87"/>
      <c r="AF327" s="87"/>
      <c r="AG327" s="87"/>
      <c r="AH327" s="87"/>
      <c r="AI327" s="87"/>
      <c r="AJ327" s="87"/>
      <c r="AK327" s="87"/>
      <c r="AL327" s="87"/>
      <c r="AM327" s="87"/>
      <c r="AN327" s="87"/>
      <c r="AO327" s="87"/>
      <c r="AP327" s="87"/>
      <c r="AQ327" s="87"/>
      <c r="AR327" s="87"/>
      <c r="AS327" s="87"/>
      <c r="AT327" s="87"/>
      <c r="AU327" s="87"/>
      <c r="AV327" s="87"/>
      <c r="AW327" s="87"/>
      <c r="AX327" s="87"/>
      <c r="AY327" s="87"/>
      <c r="AZ327" s="87"/>
      <c r="BA327" s="87"/>
      <c r="BB327" s="87"/>
      <c r="BC327" s="87"/>
      <c r="BD327" s="87"/>
      <c r="BE327" s="87"/>
      <c r="BF327" s="87"/>
      <c r="BG327" s="87"/>
      <c r="BH327" s="87"/>
    </row>
    <row r="328" spans="1:60" ht="16">
      <c r="A328" s="82"/>
      <c r="B328" s="82"/>
      <c r="C328" s="82"/>
      <c r="D328" s="83"/>
      <c r="E328" s="84"/>
      <c r="F328" s="84"/>
      <c r="G328" s="84"/>
      <c r="H328" s="82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7"/>
      <c r="AA328" s="87"/>
      <c r="AB328" s="87"/>
      <c r="AC328" s="87"/>
      <c r="AD328" s="87"/>
      <c r="AE328" s="87"/>
      <c r="AF328" s="87"/>
      <c r="AG328" s="87"/>
      <c r="AH328" s="87"/>
      <c r="AI328" s="87"/>
      <c r="AJ328" s="87"/>
      <c r="AK328" s="87"/>
      <c r="AL328" s="87"/>
      <c r="AM328" s="87"/>
      <c r="AN328" s="87"/>
      <c r="AO328" s="87"/>
      <c r="AP328" s="87"/>
      <c r="AQ328" s="87"/>
      <c r="AR328" s="87"/>
      <c r="AS328" s="87"/>
      <c r="AT328" s="87"/>
      <c r="AU328" s="87"/>
      <c r="AV328" s="87"/>
      <c r="AW328" s="87"/>
      <c r="AX328" s="87"/>
      <c r="AY328" s="87"/>
      <c r="AZ328" s="87"/>
      <c r="BA328" s="87"/>
      <c r="BB328" s="87"/>
      <c r="BC328" s="87"/>
      <c r="BD328" s="87"/>
      <c r="BE328" s="87"/>
      <c r="BF328" s="87"/>
      <c r="BG328" s="87"/>
      <c r="BH328" s="87"/>
    </row>
    <row r="329" spans="1:60" ht="16">
      <c r="A329" s="82"/>
      <c r="B329" s="82"/>
      <c r="C329" s="82"/>
      <c r="D329" s="83"/>
      <c r="E329" s="84"/>
      <c r="F329" s="84"/>
      <c r="G329" s="84"/>
      <c r="H329" s="82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7"/>
      <c r="AA329" s="87"/>
      <c r="AB329" s="87"/>
      <c r="AC329" s="87"/>
      <c r="AD329" s="87"/>
      <c r="AE329" s="87"/>
      <c r="AF329" s="87"/>
      <c r="AG329" s="87"/>
      <c r="AH329" s="87"/>
      <c r="AI329" s="87"/>
      <c r="AJ329" s="87"/>
      <c r="AK329" s="87"/>
      <c r="AL329" s="87"/>
      <c r="AM329" s="87"/>
      <c r="AN329" s="87"/>
      <c r="AO329" s="87"/>
      <c r="AP329" s="87"/>
      <c r="AQ329" s="87"/>
      <c r="AR329" s="87"/>
      <c r="AS329" s="87"/>
      <c r="AT329" s="87"/>
      <c r="AU329" s="87"/>
      <c r="AV329" s="87"/>
      <c r="AW329" s="87"/>
      <c r="AX329" s="87"/>
      <c r="AY329" s="87"/>
      <c r="AZ329" s="87"/>
      <c r="BA329" s="87"/>
      <c r="BB329" s="87"/>
      <c r="BC329" s="87"/>
      <c r="BD329" s="87"/>
      <c r="BE329" s="87"/>
      <c r="BF329" s="87"/>
      <c r="BG329" s="87"/>
      <c r="BH329" s="87"/>
    </row>
    <row r="330" spans="1:60" ht="16">
      <c r="A330" s="82"/>
      <c r="B330" s="82"/>
      <c r="C330" s="82"/>
      <c r="D330" s="83"/>
      <c r="E330" s="84"/>
      <c r="F330" s="84"/>
      <c r="G330" s="84"/>
      <c r="H330" s="82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7"/>
      <c r="AA330" s="87"/>
      <c r="AB330" s="87"/>
      <c r="AC330" s="87"/>
      <c r="AD330" s="87"/>
      <c r="AE330" s="87"/>
      <c r="AF330" s="87"/>
      <c r="AG330" s="87"/>
      <c r="AH330" s="87"/>
      <c r="AI330" s="87"/>
      <c r="AJ330" s="87"/>
      <c r="AK330" s="87"/>
      <c r="AL330" s="87"/>
      <c r="AM330" s="87"/>
      <c r="AN330" s="87"/>
      <c r="AO330" s="87"/>
      <c r="AP330" s="87"/>
      <c r="AQ330" s="87"/>
      <c r="AR330" s="87"/>
      <c r="AS330" s="87"/>
      <c r="AT330" s="87"/>
      <c r="AU330" s="87"/>
      <c r="AV330" s="87"/>
      <c r="AW330" s="87"/>
      <c r="AX330" s="87"/>
      <c r="AY330" s="87"/>
      <c r="AZ330" s="87"/>
      <c r="BA330" s="87"/>
      <c r="BB330" s="87"/>
      <c r="BC330" s="87"/>
      <c r="BD330" s="87"/>
      <c r="BE330" s="87"/>
      <c r="BF330" s="87"/>
      <c r="BG330" s="87"/>
      <c r="BH330" s="87"/>
    </row>
    <row r="331" spans="1:60" ht="16">
      <c r="A331" s="82"/>
      <c r="B331" s="82"/>
      <c r="C331" s="82"/>
      <c r="D331" s="83"/>
      <c r="E331" s="84"/>
      <c r="F331" s="84"/>
      <c r="G331" s="84"/>
      <c r="H331" s="82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7"/>
      <c r="AA331" s="87"/>
      <c r="AB331" s="87"/>
      <c r="AC331" s="87"/>
      <c r="AD331" s="87"/>
      <c r="AE331" s="87"/>
      <c r="AF331" s="87"/>
      <c r="AG331" s="87"/>
      <c r="AH331" s="87"/>
      <c r="AI331" s="87"/>
      <c r="AJ331" s="87"/>
      <c r="AK331" s="87"/>
      <c r="AL331" s="87"/>
      <c r="AM331" s="87"/>
      <c r="AN331" s="87"/>
      <c r="AO331" s="87"/>
      <c r="AP331" s="87"/>
      <c r="AQ331" s="87"/>
      <c r="AR331" s="87"/>
      <c r="AS331" s="87"/>
      <c r="AT331" s="87"/>
      <c r="AU331" s="87"/>
      <c r="AV331" s="87"/>
      <c r="AW331" s="87"/>
      <c r="AX331" s="87"/>
      <c r="AY331" s="87"/>
      <c r="AZ331" s="87"/>
      <c r="BA331" s="87"/>
      <c r="BB331" s="87"/>
      <c r="BC331" s="87"/>
      <c r="BD331" s="87"/>
      <c r="BE331" s="87"/>
      <c r="BF331" s="87"/>
      <c r="BG331" s="87"/>
      <c r="BH331" s="87"/>
    </row>
    <row r="332" spans="1:60" ht="16">
      <c r="A332" s="82"/>
      <c r="B332" s="82"/>
      <c r="C332" s="82"/>
      <c r="D332" s="83"/>
      <c r="E332" s="84"/>
      <c r="F332" s="84"/>
      <c r="G332" s="84"/>
      <c r="H332" s="82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7"/>
      <c r="AA332" s="87"/>
      <c r="AB332" s="87"/>
      <c r="AC332" s="87"/>
      <c r="AD332" s="87"/>
      <c r="AE332" s="87"/>
      <c r="AF332" s="87"/>
      <c r="AG332" s="87"/>
      <c r="AH332" s="87"/>
      <c r="AI332" s="87"/>
      <c r="AJ332" s="87"/>
      <c r="AK332" s="87"/>
      <c r="AL332" s="87"/>
      <c r="AM332" s="87"/>
      <c r="AN332" s="87"/>
      <c r="AO332" s="87"/>
      <c r="AP332" s="87"/>
      <c r="AQ332" s="87"/>
      <c r="AR332" s="87"/>
      <c r="AS332" s="87"/>
      <c r="AT332" s="87"/>
      <c r="AU332" s="87"/>
      <c r="AV332" s="87"/>
      <c r="AW332" s="87"/>
      <c r="AX332" s="87"/>
      <c r="AY332" s="87"/>
      <c r="AZ332" s="87"/>
      <c r="BA332" s="87"/>
      <c r="BB332" s="87"/>
      <c r="BC332" s="87"/>
      <c r="BD332" s="87"/>
      <c r="BE332" s="87"/>
      <c r="BF332" s="87"/>
      <c r="BG332" s="87"/>
      <c r="BH332" s="87"/>
    </row>
    <row r="333" spans="1:60" ht="16">
      <c r="A333" s="82"/>
      <c r="B333" s="82"/>
      <c r="C333" s="82"/>
      <c r="D333" s="83"/>
      <c r="E333" s="84"/>
      <c r="F333" s="84"/>
      <c r="G333" s="84"/>
      <c r="H333" s="82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7"/>
      <c r="AA333" s="87"/>
      <c r="AB333" s="87"/>
      <c r="AC333" s="87"/>
      <c r="AD333" s="87"/>
      <c r="AE333" s="87"/>
      <c r="AF333" s="87"/>
      <c r="AG333" s="87"/>
      <c r="AH333" s="87"/>
      <c r="AI333" s="87"/>
      <c r="AJ333" s="87"/>
      <c r="AK333" s="87"/>
      <c r="AL333" s="87"/>
      <c r="AM333" s="87"/>
      <c r="AN333" s="87"/>
      <c r="AO333" s="87"/>
      <c r="AP333" s="87"/>
      <c r="AQ333" s="87"/>
      <c r="AR333" s="87"/>
      <c r="AS333" s="87"/>
      <c r="AT333" s="87"/>
      <c r="AU333" s="87"/>
      <c r="AV333" s="87"/>
      <c r="AW333" s="87"/>
      <c r="AX333" s="87"/>
      <c r="AY333" s="87"/>
      <c r="AZ333" s="87"/>
      <c r="BA333" s="87"/>
      <c r="BB333" s="87"/>
      <c r="BC333" s="87"/>
      <c r="BD333" s="87"/>
      <c r="BE333" s="87"/>
      <c r="BF333" s="87"/>
      <c r="BG333" s="87"/>
      <c r="BH333" s="87"/>
    </row>
    <row r="334" spans="1:60" ht="16">
      <c r="A334" s="82"/>
      <c r="B334" s="82"/>
      <c r="C334" s="82"/>
      <c r="D334" s="83"/>
      <c r="E334" s="84"/>
      <c r="F334" s="84"/>
      <c r="G334" s="84"/>
      <c r="H334" s="82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7"/>
      <c r="AA334" s="87"/>
      <c r="AB334" s="87"/>
      <c r="AC334" s="87"/>
      <c r="AD334" s="87"/>
      <c r="AE334" s="87"/>
      <c r="AF334" s="87"/>
      <c r="AG334" s="87"/>
      <c r="AH334" s="87"/>
      <c r="AI334" s="87"/>
      <c r="AJ334" s="87"/>
      <c r="AK334" s="87"/>
      <c r="AL334" s="87"/>
      <c r="AM334" s="87"/>
      <c r="AN334" s="87"/>
      <c r="AO334" s="87"/>
      <c r="AP334" s="87"/>
      <c r="AQ334" s="87"/>
      <c r="AR334" s="87"/>
      <c r="AS334" s="87"/>
      <c r="AT334" s="87"/>
      <c r="AU334" s="87"/>
      <c r="AV334" s="87"/>
      <c r="AW334" s="87"/>
      <c r="AX334" s="87"/>
      <c r="AY334" s="87"/>
      <c r="AZ334" s="87"/>
      <c r="BA334" s="87"/>
      <c r="BB334" s="87"/>
      <c r="BC334" s="87"/>
      <c r="BD334" s="87"/>
      <c r="BE334" s="87"/>
      <c r="BF334" s="87"/>
      <c r="BG334" s="87"/>
      <c r="BH334" s="87"/>
    </row>
    <row r="335" spans="1:60" ht="16">
      <c r="A335" s="82"/>
      <c r="B335" s="82"/>
      <c r="C335" s="82"/>
      <c r="D335" s="83"/>
      <c r="E335" s="84"/>
      <c r="F335" s="84"/>
      <c r="G335" s="84"/>
      <c r="H335" s="82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7"/>
      <c r="AA335" s="87"/>
      <c r="AB335" s="87"/>
      <c r="AC335" s="87"/>
      <c r="AD335" s="87"/>
      <c r="AE335" s="87"/>
      <c r="AF335" s="87"/>
      <c r="AG335" s="87"/>
      <c r="AH335" s="87"/>
      <c r="AI335" s="87"/>
      <c r="AJ335" s="87"/>
      <c r="AK335" s="87"/>
      <c r="AL335" s="87"/>
      <c r="AM335" s="87"/>
      <c r="AN335" s="87"/>
      <c r="AO335" s="87"/>
      <c r="AP335" s="87"/>
      <c r="AQ335" s="87"/>
      <c r="AR335" s="87"/>
      <c r="AS335" s="87"/>
      <c r="AT335" s="87"/>
      <c r="AU335" s="87"/>
      <c r="AV335" s="87"/>
      <c r="AW335" s="87"/>
      <c r="AX335" s="87"/>
      <c r="AY335" s="87"/>
      <c r="AZ335" s="87"/>
      <c r="BA335" s="87"/>
      <c r="BB335" s="87"/>
      <c r="BC335" s="87"/>
      <c r="BD335" s="87"/>
      <c r="BE335" s="87"/>
      <c r="BF335" s="87"/>
      <c r="BG335" s="87"/>
      <c r="BH335" s="87"/>
    </row>
    <row r="336" spans="1:60" ht="16">
      <c r="A336" s="82"/>
      <c r="B336" s="82"/>
      <c r="C336" s="82"/>
      <c r="D336" s="83"/>
      <c r="E336" s="84"/>
      <c r="F336" s="84"/>
      <c r="G336" s="84"/>
      <c r="H336" s="82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7"/>
      <c r="AA336" s="87"/>
      <c r="AB336" s="87"/>
      <c r="AC336" s="87"/>
      <c r="AD336" s="87"/>
      <c r="AE336" s="87"/>
      <c r="AF336" s="87"/>
      <c r="AG336" s="87"/>
      <c r="AH336" s="87"/>
      <c r="AI336" s="87"/>
      <c r="AJ336" s="87"/>
      <c r="AK336" s="87"/>
      <c r="AL336" s="87"/>
      <c r="AM336" s="87"/>
      <c r="AN336" s="87"/>
      <c r="AO336" s="87"/>
      <c r="AP336" s="87"/>
      <c r="AQ336" s="87"/>
      <c r="AR336" s="87"/>
      <c r="AS336" s="87"/>
      <c r="AT336" s="87"/>
      <c r="AU336" s="87"/>
      <c r="AV336" s="87"/>
      <c r="AW336" s="87"/>
      <c r="AX336" s="87"/>
      <c r="AY336" s="87"/>
      <c r="AZ336" s="87"/>
      <c r="BA336" s="87"/>
      <c r="BB336" s="87"/>
      <c r="BC336" s="87"/>
      <c r="BD336" s="87"/>
      <c r="BE336" s="87"/>
      <c r="BF336" s="87"/>
      <c r="BG336" s="87"/>
      <c r="BH336" s="87"/>
    </row>
    <row r="337" spans="1:60" ht="16">
      <c r="A337" s="82"/>
      <c r="B337" s="82"/>
      <c r="C337" s="82"/>
      <c r="D337" s="83"/>
      <c r="E337" s="84"/>
      <c r="F337" s="84"/>
      <c r="G337" s="84"/>
      <c r="H337" s="82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7"/>
      <c r="AA337" s="87"/>
      <c r="AB337" s="87"/>
      <c r="AC337" s="87"/>
      <c r="AD337" s="87"/>
      <c r="AE337" s="87"/>
      <c r="AF337" s="87"/>
      <c r="AG337" s="87"/>
      <c r="AH337" s="87"/>
      <c r="AI337" s="87"/>
      <c r="AJ337" s="87"/>
      <c r="AK337" s="87"/>
      <c r="AL337" s="87"/>
      <c r="AM337" s="87"/>
      <c r="AN337" s="87"/>
      <c r="AO337" s="87"/>
      <c r="AP337" s="87"/>
      <c r="AQ337" s="87"/>
      <c r="AR337" s="87"/>
      <c r="AS337" s="87"/>
      <c r="AT337" s="87"/>
      <c r="AU337" s="87"/>
      <c r="AV337" s="87"/>
      <c r="AW337" s="87"/>
      <c r="AX337" s="87"/>
      <c r="AY337" s="87"/>
      <c r="AZ337" s="87"/>
      <c r="BA337" s="87"/>
      <c r="BB337" s="87"/>
      <c r="BC337" s="87"/>
      <c r="BD337" s="87"/>
      <c r="BE337" s="87"/>
      <c r="BF337" s="87"/>
      <c r="BG337" s="87"/>
      <c r="BH337" s="87"/>
    </row>
    <row r="338" spans="1:60" ht="16">
      <c r="A338" s="82"/>
      <c r="B338" s="82"/>
      <c r="C338" s="82"/>
      <c r="D338" s="83"/>
      <c r="E338" s="84"/>
      <c r="F338" s="84"/>
      <c r="G338" s="84"/>
      <c r="H338" s="82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7"/>
      <c r="AA338" s="87"/>
      <c r="AB338" s="87"/>
      <c r="AC338" s="87"/>
      <c r="AD338" s="87"/>
      <c r="AE338" s="87"/>
      <c r="AF338" s="87"/>
      <c r="AG338" s="87"/>
      <c r="AH338" s="87"/>
      <c r="AI338" s="87"/>
      <c r="AJ338" s="87"/>
      <c r="AK338" s="87"/>
      <c r="AL338" s="87"/>
      <c r="AM338" s="87"/>
      <c r="AN338" s="87"/>
      <c r="AO338" s="87"/>
      <c r="AP338" s="87"/>
      <c r="AQ338" s="87"/>
      <c r="AR338" s="87"/>
      <c r="AS338" s="87"/>
      <c r="AT338" s="87"/>
      <c r="AU338" s="87"/>
      <c r="AV338" s="87"/>
      <c r="AW338" s="87"/>
      <c r="AX338" s="87"/>
      <c r="AY338" s="87"/>
      <c r="AZ338" s="87"/>
      <c r="BA338" s="87"/>
      <c r="BB338" s="87"/>
      <c r="BC338" s="87"/>
      <c r="BD338" s="87"/>
      <c r="BE338" s="87"/>
      <c r="BF338" s="87"/>
      <c r="BG338" s="87"/>
      <c r="BH338" s="87"/>
    </row>
    <row r="339" spans="1:60" ht="16">
      <c r="A339" s="82"/>
      <c r="B339" s="82"/>
      <c r="C339" s="82"/>
      <c r="D339" s="83"/>
      <c r="E339" s="84"/>
      <c r="F339" s="84"/>
      <c r="G339" s="84"/>
      <c r="H339" s="82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7"/>
      <c r="AA339" s="87"/>
      <c r="AB339" s="87"/>
      <c r="AC339" s="87"/>
      <c r="AD339" s="87"/>
      <c r="AE339" s="87"/>
      <c r="AF339" s="87"/>
      <c r="AG339" s="87"/>
      <c r="AH339" s="87"/>
      <c r="AI339" s="87"/>
      <c r="AJ339" s="87"/>
      <c r="AK339" s="87"/>
      <c r="AL339" s="87"/>
      <c r="AM339" s="87"/>
      <c r="AN339" s="87"/>
      <c r="AO339" s="87"/>
      <c r="AP339" s="87"/>
      <c r="AQ339" s="87"/>
      <c r="AR339" s="87"/>
      <c r="AS339" s="87"/>
      <c r="AT339" s="87"/>
      <c r="AU339" s="87"/>
      <c r="AV339" s="87"/>
      <c r="AW339" s="87"/>
      <c r="AX339" s="87"/>
      <c r="AY339" s="87"/>
      <c r="AZ339" s="87"/>
      <c r="BA339" s="87"/>
      <c r="BB339" s="87"/>
      <c r="BC339" s="87"/>
      <c r="BD339" s="87"/>
      <c r="BE339" s="87"/>
      <c r="BF339" s="87"/>
      <c r="BG339" s="87"/>
      <c r="BH339" s="87"/>
    </row>
    <row r="340" spans="1:60" ht="16">
      <c r="A340" s="82"/>
      <c r="B340" s="82"/>
      <c r="C340" s="82"/>
      <c r="D340" s="83"/>
      <c r="E340" s="84"/>
      <c r="F340" s="84"/>
      <c r="G340" s="84"/>
      <c r="H340" s="82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7"/>
      <c r="AA340" s="87"/>
      <c r="AB340" s="87"/>
      <c r="AC340" s="87"/>
      <c r="AD340" s="87"/>
      <c r="AE340" s="87"/>
      <c r="AF340" s="87"/>
      <c r="AG340" s="87"/>
      <c r="AH340" s="87"/>
      <c r="AI340" s="87"/>
      <c r="AJ340" s="87"/>
      <c r="AK340" s="87"/>
      <c r="AL340" s="87"/>
      <c r="AM340" s="87"/>
      <c r="AN340" s="87"/>
      <c r="AO340" s="87"/>
      <c r="AP340" s="87"/>
      <c r="AQ340" s="87"/>
      <c r="AR340" s="87"/>
      <c r="AS340" s="87"/>
      <c r="AT340" s="87"/>
      <c r="AU340" s="87"/>
      <c r="AV340" s="87"/>
      <c r="AW340" s="87"/>
      <c r="AX340" s="87"/>
      <c r="AY340" s="87"/>
      <c r="AZ340" s="87"/>
      <c r="BA340" s="87"/>
      <c r="BB340" s="87"/>
      <c r="BC340" s="87"/>
      <c r="BD340" s="87"/>
      <c r="BE340" s="87"/>
      <c r="BF340" s="87"/>
      <c r="BG340" s="87"/>
      <c r="BH340" s="87"/>
    </row>
    <row r="341" spans="1:60" ht="16">
      <c r="A341" s="82"/>
      <c r="B341" s="82"/>
      <c r="C341" s="82"/>
      <c r="D341" s="83"/>
      <c r="E341" s="84"/>
      <c r="F341" s="84"/>
      <c r="G341" s="84"/>
      <c r="H341" s="82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7"/>
      <c r="AA341" s="87"/>
      <c r="AB341" s="87"/>
      <c r="AC341" s="87"/>
      <c r="AD341" s="87"/>
      <c r="AE341" s="87"/>
      <c r="AF341" s="87"/>
      <c r="AG341" s="87"/>
      <c r="AH341" s="87"/>
      <c r="AI341" s="87"/>
      <c r="AJ341" s="87"/>
      <c r="AK341" s="87"/>
      <c r="AL341" s="87"/>
      <c r="AM341" s="87"/>
      <c r="AN341" s="87"/>
      <c r="AO341" s="87"/>
      <c r="AP341" s="87"/>
      <c r="AQ341" s="87"/>
      <c r="AR341" s="87"/>
      <c r="AS341" s="87"/>
      <c r="AT341" s="87"/>
      <c r="AU341" s="87"/>
      <c r="AV341" s="87"/>
      <c r="AW341" s="87"/>
      <c r="AX341" s="87"/>
      <c r="AY341" s="87"/>
      <c r="AZ341" s="87"/>
      <c r="BA341" s="87"/>
      <c r="BB341" s="87"/>
      <c r="BC341" s="87"/>
      <c r="BD341" s="87"/>
      <c r="BE341" s="87"/>
      <c r="BF341" s="87"/>
      <c r="BG341" s="87"/>
      <c r="BH341" s="87"/>
    </row>
    <row r="342" spans="1:60" ht="16">
      <c r="A342" s="82"/>
      <c r="B342" s="82"/>
      <c r="C342" s="82"/>
      <c r="D342" s="83"/>
      <c r="E342" s="84"/>
      <c r="F342" s="84"/>
      <c r="G342" s="84"/>
      <c r="H342" s="82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7"/>
      <c r="AA342" s="87"/>
      <c r="AB342" s="87"/>
      <c r="AC342" s="87"/>
      <c r="AD342" s="87"/>
      <c r="AE342" s="87"/>
      <c r="AF342" s="87"/>
      <c r="AG342" s="87"/>
      <c r="AH342" s="87"/>
      <c r="AI342" s="87"/>
      <c r="AJ342" s="87"/>
      <c r="AK342" s="87"/>
      <c r="AL342" s="87"/>
      <c r="AM342" s="87"/>
      <c r="AN342" s="87"/>
      <c r="AO342" s="87"/>
      <c r="AP342" s="87"/>
      <c r="AQ342" s="87"/>
      <c r="AR342" s="87"/>
      <c r="AS342" s="87"/>
      <c r="AT342" s="87"/>
      <c r="AU342" s="87"/>
      <c r="AV342" s="87"/>
      <c r="AW342" s="87"/>
      <c r="AX342" s="87"/>
      <c r="AY342" s="87"/>
      <c r="AZ342" s="87"/>
      <c r="BA342" s="87"/>
      <c r="BB342" s="87"/>
      <c r="BC342" s="87"/>
      <c r="BD342" s="87"/>
      <c r="BE342" s="87"/>
      <c r="BF342" s="87"/>
      <c r="BG342" s="87"/>
      <c r="BH342" s="87"/>
    </row>
    <row r="343" spans="1:60" ht="16">
      <c r="A343" s="82"/>
      <c r="B343" s="82"/>
      <c r="C343" s="82"/>
      <c r="D343" s="83"/>
      <c r="E343" s="84"/>
      <c r="F343" s="84"/>
      <c r="G343" s="84"/>
      <c r="H343" s="82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7"/>
      <c r="AA343" s="87"/>
      <c r="AB343" s="87"/>
      <c r="AC343" s="87"/>
      <c r="AD343" s="87"/>
      <c r="AE343" s="87"/>
      <c r="AF343" s="87"/>
      <c r="AG343" s="87"/>
      <c r="AH343" s="87"/>
      <c r="AI343" s="87"/>
      <c r="AJ343" s="87"/>
      <c r="AK343" s="87"/>
      <c r="AL343" s="87"/>
      <c r="AM343" s="87"/>
      <c r="AN343" s="87"/>
      <c r="AO343" s="87"/>
      <c r="AP343" s="87"/>
      <c r="AQ343" s="87"/>
      <c r="AR343" s="87"/>
      <c r="AS343" s="87"/>
      <c r="AT343" s="87"/>
      <c r="AU343" s="87"/>
      <c r="AV343" s="87"/>
      <c r="AW343" s="87"/>
      <c r="AX343" s="87"/>
      <c r="AY343" s="87"/>
      <c r="AZ343" s="87"/>
      <c r="BA343" s="87"/>
      <c r="BB343" s="87"/>
      <c r="BC343" s="87"/>
      <c r="BD343" s="87"/>
      <c r="BE343" s="87"/>
      <c r="BF343" s="87"/>
      <c r="BG343" s="87"/>
      <c r="BH343" s="87"/>
    </row>
    <row r="344" spans="1:60" ht="16">
      <c r="A344" s="82"/>
      <c r="B344" s="82"/>
      <c r="C344" s="82"/>
      <c r="D344" s="83"/>
      <c r="E344" s="84"/>
      <c r="F344" s="84"/>
      <c r="G344" s="84"/>
      <c r="H344" s="82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7"/>
      <c r="AA344" s="87"/>
      <c r="AB344" s="87"/>
      <c r="AC344" s="87"/>
      <c r="AD344" s="87"/>
      <c r="AE344" s="87"/>
      <c r="AF344" s="87"/>
      <c r="AG344" s="87"/>
      <c r="AH344" s="87"/>
      <c r="AI344" s="87"/>
      <c r="AJ344" s="87"/>
      <c r="AK344" s="87"/>
      <c r="AL344" s="87"/>
      <c r="AM344" s="87"/>
      <c r="AN344" s="87"/>
      <c r="AO344" s="87"/>
      <c r="AP344" s="87"/>
      <c r="AQ344" s="87"/>
      <c r="AR344" s="87"/>
      <c r="AS344" s="87"/>
      <c r="AT344" s="87"/>
      <c r="AU344" s="87"/>
      <c r="AV344" s="87"/>
      <c r="AW344" s="87"/>
      <c r="AX344" s="87"/>
      <c r="AY344" s="87"/>
      <c r="AZ344" s="87"/>
      <c r="BA344" s="87"/>
      <c r="BB344" s="87"/>
      <c r="BC344" s="87"/>
      <c r="BD344" s="87"/>
      <c r="BE344" s="87"/>
      <c r="BF344" s="87"/>
      <c r="BG344" s="87"/>
      <c r="BH344" s="87"/>
    </row>
    <row r="345" spans="1:60" ht="16">
      <c r="A345" s="82"/>
      <c r="B345" s="82"/>
      <c r="C345" s="82"/>
      <c r="D345" s="83"/>
      <c r="E345" s="84"/>
      <c r="F345" s="84"/>
      <c r="G345" s="84"/>
      <c r="H345" s="82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7"/>
      <c r="AA345" s="87"/>
      <c r="AB345" s="87"/>
      <c r="AC345" s="87"/>
      <c r="AD345" s="87"/>
      <c r="AE345" s="87"/>
      <c r="AF345" s="87"/>
      <c r="AG345" s="87"/>
      <c r="AH345" s="87"/>
      <c r="AI345" s="87"/>
      <c r="AJ345" s="87"/>
      <c r="AK345" s="87"/>
      <c r="AL345" s="87"/>
      <c r="AM345" s="87"/>
      <c r="AN345" s="87"/>
      <c r="AO345" s="87"/>
      <c r="AP345" s="87"/>
      <c r="AQ345" s="87"/>
      <c r="AR345" s="87"/>
      <c r="AS345" s="87"/>
      <c r="AT345" s="87"/>
      <c r="AU345" s="87"/>
      <c r="AV345" s="87"/>
      <c r="AW345" s="87"/>
      <c r="AX345" s="87"/>
      <c r="AY345" s="87"/>
      <c r="AZ345" s="87"/>
      <c r="BA345" s="87"/>
      <c r="BB345" s="87"/>
      <c r="BC345" s="87"/>
      <c r="BD345" s="87"/>
      <c r="BE345" s="87"/>
      <c r="BF345" s="87"/>
      <c r="BG345" s="87"/>
      <c r="BH345" s="87"/>
    </row>
    <row r="346" spans="1:60" ht="16">
      <c r="A346" s="82"/>
      <c r="B346" s="82"/>
      <c r="C346" s="82"/>
      <c r="D346" s="83"/>
      <c r="E346" s="84"/>
      <c r="F346" s="84"/>
      <c r="G346" s="84"/>
      <c r="H346" s="82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7"/>
      <c r="AA346" s="87"/>
      <c r="AB346" s="87"/>
      <c r="AC346" s="87"/>
      <c r="AD346" s="87"/>
      <c r="AE346" s="87"/>
      <c r="AF346" s="87"/>
      <c r="AG346" s="87"/>
      <c r="AH346" s="87"/>
      <c r="AI346" s="87"/>
      <c r="AJ346" s="87"/>
      <c r="AK346" s="87"/>
      <c r="AL346" s="87"/>
      <c r="AM346" s="87"/>
      <c r="AN346" s="87"/>
      <c r="AO346" s="87"/>
      <c r="AP346" s="87"/>
      <c r="AQ346" s="87"/>
      <c r="AR346" s="87"/>
      <c r="AS346" s="87"/>
      <c r="AT346" s="87"/>
      <c r="AU346" s="87"/>
      <c r="AV346" s="87"/>
      <c r="AW346" s="87"/>
      <c r="AX346" s="87"/>
      <c r="AY346" s="87"/>
      <c r="AZ346" s="87"/>
      <c r="BA346" s="87"/>
      <c r="BB346" s="87"/>
      <c r="BC346" s="87"/>
      <c r="BD346" s="87"/>
      <c r="BE346" s="87"/>
      <c r="BF346" s="87"/>
      <c r="BG346" s="87"/>
      <c r="BH346" s="87"/>
    </row>
    <row r="347" spans="1:60" ht="16">
      <c r="A347" s="82"/>
      <c r="B347" s="82"/>
      <c r="C347" s="82"/>
      <c r="D347" s="83"/>
      <c r="E347" s="84"/>
      <c r="F347" s="84"/>
      <c r="G347" s="84"/>
      <c r="H347" s="82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7"/>
      <c r="AA347" s="87"/>
      <c r="AB347" s="87"/>
      <c r="AC347" s="87"/>
      <c r="AD347" s="87"/>
      <c r="AE347" s="87"/>
      <c r="AF347" s="87"/>
      <c r="AG347" s="87"/>
      <c r="AH347" s="87"/>
      <c r="AI347" s="87"/>
      <c r="AJ347" s="87"/>
      <c r="AK347" s="87"/>
      <c r="AL347" s="87"/>
      <c r="AM347" s="87"/>
      <c r="AN347" s="87"/>
      <c r="AO347" s="87"/>
      <c r="AP347" s="87"/>
      <c r="AQ347" s="87"/>
      <c r="AR347" s="87"/>
      <c r="AS347" s="87"/>
      <c r="AT347" s="87"/>
      <c r="AU347" s="87"/>
      <c r="AV347" s="87"/>
      <c r="AW347" s="87"/>
      <c r="AX347" s="87"/>
      <c r="AY347" s="87"/>
      <c r="AZ347" s="87"/>
      <c r="BA347" s="87"/>
      <c r="BB347" s="87"/>
      <c r="BC347" s="87"/>
      <c r="BD347" s="87"/>
      <c r="BE347" s="87"/>
      <c r="BF347" s="87"/>
      <c r="BG347" s="87"/>
      <c r="BH347" s="87"/>
    </row>
    <row r="348" spans="1:60" ht="16">
      <c r="A348" s="82"/>
      <c r="B348" s="82"/>
      <c r="C348" s="82"/>
      <c r="D348" s="83"/>
      <c r="E348" s="84"/>
      <c r="F348" s="84"/>
      <c r="G348" s="84"/>
      <c r="H348" s="82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7"/>
      <c r="AA348" s="87"/>
      <c r="AB348" s="87"/>
      <c r="AC348" s="87"/>
      <c r="AD348" s="87"/>
      <c r="AE348" s="87"/>
      <c r="AF348" s="87"/>
      <c r="AG348" s="87"/>
      <c r="AH348" s="87"/>
      <c r="AI348" s="87"/>
      <c r="AJ348" s="87"/>
      <c r="AK348" s="87"/>
      <c r="AL348" s="87"/>
      <c r="AM348" s="87"/>
      <c r="AN348" s="87"/>
      <c r="AO348" s="87"/>
      <c r="AP348" s="87"/>
      <c r="AQ348" s="87"/>
      <c r="AR348" s="87"/>
      <c r="AS348" s="87"/>
      <c r="AT348" s="87"/>
      <c r="AU348" s="87"/>
      <c r="AV348" s="87"/>
      <c r="AW348" s="87"/>
      <c r="AX348" s="87"/>
      <c r="AY348" s="87"/>
      <c r="AZ348" s="87"/>
      <c r="BA348" s="87"/>
      <c r="BB348" s="87"/>
      <c r="BC348" s="87"/>
      <c r="BD348" s="87"/>
      <c r="BE348" s="87"/>
      <c r="BF348" s="87"/>
      <c r="BG348" s="87"/>
      <c r="BH348" s="87"/>
    </row>
    <row r="349" spans="1:60" ht="16">
      <c r="A349" s="82"/>
      <c r="B349" s="82"/>
      <c r="C349" s="82"/>
      <c r="D349" s="83"/>
      <c r="E349" s="84"/>
      <c r="F349" s="84"/>
      <c r="G349" s="84"/>
      <c r="H349" s="82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7"/>
      <c r="AA349" s="87"/>
      <c r="AB349" s="87"/>
      <c r="AC349" s="87"/>
      <c r="AD349" s="87"/>
      <c r="AE349" s="87"/>
      <c r="AF349" s="87"/>
      <c r="AG349" s="87"/>
      <c r="AH349" s="87"/>
      <c r="AI349" s="87"/>
      <c r="AJ349" s="87"/>
      <c r="AK349" s="87"/>
      <c r="AL349" s="87"/>
      <c r="AM349" s="87"/>
      <c r="AN349" s="87"/>
      <c r="AO349" s="87"/>
      <c r="AP349" s="87"/>
      <c r="AQ349" s="87"/>
      <c r="AR349" s="87"/>
      <c r="AS349" s="87"/>
      <c r="AT349" s="87"/>
      <c r="AU349" s="87"/>
      <c r="AV349" s="87"/>
      <c r="AW349" s="87"/>
      <c r="AX349" s="87"/>
      <c r="AY349" s="87"/>
      <c r="AZ349" s="87"/>
      <c r="BA349" s="87"/>
      <c r="BB349" s="87"/>
      <c r="BC349" s="87"/>
      <c r="BD349" s="87"/>
      <c r="BE349" s="87"/>
      <c r="BF349" s="87"/>
      <c r="BG349" s="87"/>
      <c r="BH349" s="87"/>
    </row>
    <row r="350" spans="1:60" ht="16">
      <c r="A350" s="82"/>
      <c r="B350" s="82"/>
      <c r="C350" s="82"/>
      <c r="D350" s="83"/>
      <c r="E350" s="84"/>
      <c r="F350" s="84"/>
      <c r="G350" s="84"/>
      <c r="H350" s="82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7"/>
      <c r="AA350" s="87"/>
      <c r="AB350" s="87"/>
      <c r="AC350" s="87"/>
      <c r="AD350" s="87"/>
      <c r="AE350" s="87"/>
      <c r="AF350" s="87"/>
      <c r="AG350" s="87"/>
      <c r="AH350" s="87"/>
      <c r="AI350" s="87"/>
      <c r="AJ350" s="87"/>
      <c r="AK350" s="87"/>
      <c r="AL350" s="87"/>
      <c r="AM350" s="87"/>
      <c r="AN350" s="87"/>
      <c r="AO350" s="87"/>
      <c r="AP350" s="87"/>
      <c r="AQ350" s="87"/>
      <c r="AR350" s="87"/>
      <c r="AS350" s="87"/>
      <c r="AT350" s="87"/>
      <c r="AU350" s="87"/>
      <c r="AV350" s="87"/>
      <c r="AW350" s="87"/>
      <c r="AX350" s="87"/>
      <c r="AY350" s="87"/>
      <c r="AZ350" s="87"/>
      <c r="BA350" s="87"/>
      <c r="BB350" s="87"/>
      <c r="BC350" s="87"/>
      <c r="BD350" s="87"/>
      <c r="BE350" s="87"/>
      <c r="BF350" s="87"/>
      <c r="BG350" s="87"/>
      <c r="BH350" s="87"/>
    </row>
    <row r="351" spans="1:60" ht="16">
      <c r="A351" s="82"/>
      <c r="B351" s="82"/>
      <c r="C351" s="82"/>
      <c r="D351" s="83"/>
      <c r="E351" s="84"/>
      <c r="F351" s="84"/>
      <c r="G351" s="84"/>
      <c r="H351" s="82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7"/>
      <c r="AA351" s="87"/>
      <c r="AB351" s="87"/>
      <c r="AC351" s="87"/>
      <c r="AD351" s="87"/>
      <c r="AE351" s="87"/>
      <c r="AF351" s="87"/>
      <c r="AG351" s="87"/>
      <c r="AH351" s="87"/>
      <c r="AI351" s="87"/>
      <c r="AJ351" s="87"/>
      <c r="AK351" s="87"/>
      <c r="AL351" s="87"/>
      <c r="AM351" s="87"/>
      <c r="AN351" s="87"/>
      <c r="AO351" s="87"/>
      <c r="AP351" s="87"/>
      <c r="AQ351" s="87"/>
      <c r="AR351" s="87"/>
      <c r="AS351" s="87"/>
      <c r="AT351" s="87"/>
      <c r="AU351" s="87"/>
      <c r="AV351" s="87"/>
      <c r="AW351" s="87"/>
      <c r="AX351" s="87"/>
      <c r="AY351" s="87"/>
      <c r="AZ351" s="87"/>
      <c r="BA351" s="87"/>
      <c r="BB351" s="87"/>
      <c r="BC351" s="87"/>
      <c r="BD351" s="87"/>
      <c r="BE351" s="87"/>
      <c r="BF351" s="87"/>
      <c r="BG351" s="87"/>
      <c r="BH351" s="87"/>
    </row>
    <row r="352" spans="1:60" ht="16">
      <c r="A352" s="82"/>
      <c r="B352" s="82"/>
      <c r="C352" s="82"/>
      <c r="D352" s="83"/>
      <c r="E352" s="84"/>
      <c r="F352" s="84"/>
      <c r="G352" s="84"/>
      <c r="H352" s="82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7"/>
      <c r="AA352" s="87"/>
      <c r="AB352" s="87"/>
      <c r="AC352" s="87"/>
      <c r="AD352" s="87"/>
      <c r="AE352" s="87"/>
      <c r="AF352" s="87"/>
      <c r="AG352" s="87"/>
      <c r="AH352" s="87"/>
      <c r="AI352" s="87"/>
      <c r="AJ352" s="87"/>
      <c r="AK352" s="87"/>
      <c r="AL352" s="87"/>
      <c r="AM352" s="87"/>
      <c r="AN352" s="87"/>
      <c r="AO352" s="87"/>
      <c r="AP352" s="87"/>
      <c r="AQ352" s="87"/>
      <c r="AR352" s="87"/>
      <c r="AS352" s="87"/>
      <c r="AT352" s="87"/>
      <c r="AU352" s="87"/>
      <c r="AV352" s="87"/>
      <c r="AW352" s="87"/>
      <c r="AX352" s="87"/>
      <c r="AY352" s="87"/>
      <c r="AZ352" s="87"/>
      <c r="BA352" s="87"/>
      <c r="BB352" s="87"/>
      <c r="BC352" s="87"/>
      <c r="BD352" s="87"/>
      <c r="BE352" s="87"/>
      <c r="BF352" s="87"/>
      <c r="BG352" s="87"/>
      <c r="BH352" s="87"/>
    </row>
    <row r="353" spans="1:60" ht="16">
      <c r="A353" s="82"/>
      <c r="B353" s="82"/>
      <c r="C353" s="82"/>
      <c r="D353" s="83"/>
      <c r="E353" s="84"/>
      <c r="F353" s="84"/>
      <c r="G353" s="84"/>
      <c r="H353" s="82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7"/>
      <c r="AA353" s="87"/>
      <c r="AB353" s="87"/>
      <c r="AC353" s="87"/>
      <c r="AD353" s="87"/>
      <c r="AE353" s="87"/>
      <c r="AF353" s="87"/>
      <c r="AG353" s="87"/>
      <c r="AH353" s="87"/>
      <c r="AI353" s="87"/>
      <c r="AJ353" s="87"/>
      <c r="AK353" s="87"/>
      <c r="AL353" s="87"/>
      <c r="AM353" s="87"/>
      <c r="AN353" s="87"/>
      <c r="AO353" s="87"/>
      <c r="AP353" s="87"/>
      <c r="AQ353" s="87"/>
      <c r="AR353" s="87"/>
      <c r="AS353" s="87"/>
      <c r="AT353" s="87"/>
      <c r="AU353" s="87"/>
      <c r="AV353" s="87"/>
      <c r="AW353" s="87"/>
      <c r="AX353" s="87"/>
      <c r="AY353" s="87"/>
      <c r="AZ353" s="87"/>
      <c r="BA353" s="87"/>
      <c r="BB353" s="87"/>
      <c r="BC353" s="87"/>
      <c r="BD353" s="87"/>
      <c r="BE353" s="87"/>
      <c r="BF353" s="87"/>
      <c r="BG353" s="87"/>
      <c r="BH353" s="87"/>
    </row>
    <row r="354" spans="1:60" ht="16">
      <c r="A354" s="82"/>
      <c r="B354" s="82"/>
      <c r="C354" s="82"/>
      <c r="D354" s="83"/>
      <c r="E354" s="84"/>
      <c r="F354" s="84"/>
      <c r="G354" s="84"/>
      <c r="H354" s="82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7"/>
      <c r="AA354" s="87"/>
      <c r="AB354" s="87"/>
      <c r="AC354" s="87"/>
      <c r="AD354" s="87"/>
      <c r="AE354" s="87"/>
      <c r="AF354" s="87"/>
      <c r="AG354" s="87"/>
      <c r="AH354" s="87"/>
      <c r="AI354" s="87"/>
      <c r="AJ354" s="87"/>
      <c r="AK354" s="87"/>
      <c r="AL354" s="87"/>
      <c r="AM354" s="87"/>
      <c r="AN354" s="87"/>
      <c r="AO354" s="87"/>
      <c r="AP354" s="87"/>
      <c r="AQ354" s="87"/>
      <c r="AR354" s="87"/>
      <c r="AS354" s="87"/>
      <c r="AT354" s="87"/>
      <c r="AU354" s="87"/>
      <c r="AV354" s="87"/>
      <c r="AW354" s="87"/>
      <c r="AX354" s="87"/>
      <c r="AY354" s="87"/>
      <c r="AZ354" s="87"/>
      <c r="BA354" s="87"/>
      <c r="BB354" s="87"/>
      <c r="BC354" s="87"/>
      <c r="BD354" s="87"/>
      <c r="BE354" s="87"/>
      <c r="BF354" s="87"/>
      <c r="BG354" s="87"/>
      <c r="BH354" s="87"/>
    </row>
    <row r="355" spans="1:60" ht="16">
      <c r="A355" s="82"/>
      <c r="B355" s="82"/>
      <c r="C355" s="82"/>
      <c r="D355" s="83"/>
      <c r="E355" s="84"/>
      <c r="F355" s="84"/>
      <c r="G355" s="84"/>
      <c r="H355" s="82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7"/>
      <c r="AA355" s="87"/>
      <c r="AB355" s="87"/>
      <c r="AC355" s="87"/>
      <c r="AD355" s="87"/>
      <c r="AE355" s="87"/>
      <c r="AF355" s="87"/>
      <c r="AG355" s="87"/>
      <c r="AH355" s="87"/>
      <c r="AI355" s="87"/>
      <c r="AJ355" s="87"/>
      <c r="AK355" s="87"/>
      <c r="AL355" s="87"/>
      <c r="AM355" s="87"/>
      <c r="AN355" s="87"/>
      <c r="AO355" s="87"/>
      <c r="AP355" s="87"/>
      <c r="AQ355" s="87"/>
      <c r="AR355" s="87"/>
      <c r="AS355" s="87"/>
      <c r="AT355" s="87"/>
      <c r="AU355" s="87"/>
      <c r="AV355" s="87"/>
      <c r="AW355" s="87"/>
      <c r="AX355" s="87"/>
      <c r="AY355" s="87"/>
      <c r="AZ355" s="87"/>
      <c r="BA355" s="87"/>
      <c r="BB355" s="87"/>
      <c r="BC355" s="87"/>
      <c r="BD355" s="87"/>
      <c r="BE355" s="87"/>
      <c r="BF355" s="87"/>
      <c r="BG355" s="87"/>
      <c r="BH355" s="87"/>
    </row>
    <row r="356" spans="1:60" ht="16">
      <c r="A356" s="82"/>
      <c r="B356" s="82"/>
      <c r="C356" s="82"/>
      <c r="D356" s="83"/>
      <c r="E356" s="84"/>
      <c r="F356" s="84"/>
      <c r="G356" s="84"/>
      <c r="H356" s="82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7"/>
      <c r="AA356" s="87"/>
      <c r="AB356" s="87"/>
      <c r="AC356" s="87"/>
      <c r="AD356" s="87"/>
      <c r="AE356" s="87"/>
      <c r="AF356" s="87"/>
      <c r="AG356" s="87"/>
      <c r="AH356" s="87"/>
      <c r="AI356" s="87"/>
      <c r="AJ356" s="87"/>
      <c r="AK356" s="87"/>
      <c r="AL356" s="87"/>
      <c r="AM356" s="87"/>
      <c r="AN356" s="87"/>
      <c r="AO356" s="87"/>
      <c r="AP356" s="87"/>
      <c r="AQ356" s="87"/>
      <c r="AR356" s="87"/>
      <c r="AS356" s="87"/>
      <c r="AT356" s="87"/>
      <c r="AU356" s="87"/>
      <c r="AV356" s="87"/>
      <c r="AW356" s="87"/>
      <c r="AX356" s="87"/>
      <c r="AY356" s="87"/>
      <c r="AZ356" s="87"/>
      <c r="BA356" s="87"/>
      <c r="BB356" s="87"/>
      <c r="BC356" s="87"/>
      <c r="BD356" s="87"/>
      <c r="BE356" s="87"/>
      <c r="BF356" s="87"/>
      <c r="BG356" s="87"/>
      <c r="BH356" s="87"/>
    </row>
    <row r="357" spans="1:60" ht="16">
      <c r="A357" s="82"/>
      <c r="B357" s="82"/>
      <c r="C357" s="82"/>
      <c r="D357" s="83"/>
      <c r="E357" s="84"/>
      <c r="F357" s="84"/>
      <c r="G357" s="84"/>
      <c r="H357" s="82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7"/>
      <c r="AA357" s="87"/>
      <c r="AB357" s="87"/>
      <c r="AC357" s="87"/>
      <c r="AD357" s="87"/>
      <c r="AE357" s="87"/>
      <c r="AF357" s="87"/>
      <c r="AG357" s="87"/>
      <c r="AH357" s="87"/>
      <c r="AI357" s="87"/>
      <c r="AJ357" s="87"/>
      <c r="AK357" s="87"/>
      <c r="AL357" s="87"/>
      <c r="AM357" s="87"/>
      <c r="AN357" s="87"/>
      <c r="AO357" s="87"/>
      <c r="AP357" s="87"/>
      <c r="AQ357" s="87"/>
      <c r="AR357" s="87"/>
      <c r="AS357" s="87"/>
      <c r="AT357" s="87"/>
      <c r="AU357" s="87"/>
      <c r="AV357" s="87"/>
      <c r="AW357" s="87"/>
      <c r="AX357" s="87"/>
      <c r="AY357" s="87"/>
      <c r="AZ357" s="87"/>
      <c r="BA357" s="87"/>
      <c r="BB357" s="87"/>
      <c r="BC357" s="87"/>
      <c r="BD357" s="87"/>
      <c r="BE357" s="87"/>
      <c r="BF357" s="87"/>
      <c r="BG357" s="87"/>
      <c r="BH357" s="87"/>
    </row>
    <row r="358" spans="1:60" ht="16">
      <c r="A358" s="82"/>
      <c r="B358" s="82"/>
      <c r="C358" s="82"/>
      <c r="D358" s="83"/>
      <c r="E358" s="84"/>
      <c r="F358" s="84"/>
      <c r="G358" s="84"/>
      <c r="H358" s="82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7"/>
      <c r="AA358" s="87"/>
      <c r="AB358" s="87"/>
      <c r="AC358" s="87"/>
      <c r="AD358" s="87"/>
      <c r="AE358" s="87"/>
      <c r="AF358" s="87"/>
      <c r="AG358" s="87"/>
      <c r="AH358" s="87"/>
      <c r="AI358" s="87"/>
      <c r="AJ358" s="87"/>
      <c r="AK358" s="87"/>
      <c r="AL358" s="87"/>
      <c r="AM358" s="87"/>
      <c r="AN358" s="87"/>
      <c r="AO358" s="87"/>
      <c r="AP358" s="87"/>
      <c r="AQ358" s="87"/>
      <c r="AR358" s="87"/>
      <c r="AS358" s="87"/>
      <c r="AT358" s="87"/>
      <c r="AU358" s="87"/>
      <c r="AV358" s="87"/>
      <c r="AW358" s="87"/>
      <c r="AX358" s="87"/>
      <c r="AY358" s="87"/>
      <c r="AZ358" s="87"/>
      <c r="BA358" s="87"/>
      <c r="BB358" s="87"/>
      <c r="BC358" s="87"/>
      <c r="BD358" s="87"/>
      <c r="BE358" s="87"/>
      <c r="BF358" s="87"/>
      <c r="BG358" s="87"/>
      <c r="BH358" s="87"/>
    </row>
    <row r="359" spans="1:60" ht="16">
      <c r="A359" s="82"/>
      <c r="B359" s="82"/>
      <c r="C359" s="82"/>
      <c r="D359" s="83"/>
      <c r="E359" s="84"/>
      <c r="F359" s="84"/>
      <c r="G359" s="84"/>
      <c r="H359" s="82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7"/>
      <c r="AA359" s="87"/>
      <c r="AB359" s="87"/>
      <c r="AC359" s="87"/>
      <c r="AD359" s="87"/>
      <c r="AE359" s="87"/>
      <c r="AF359" s="87"/>
      <c r="AG359" s="87"/>
      <c r="AH359" s="87"/>
      <c r="AI359" s="87"/>
      <c r="AJ359" s="87"/>
      <c r="AK359" s="87"/>
      <c r="AL359" s="87"/>
      <c r="AM359" s="87"/>
      <c r="AN359" s="87"/>
      <c r="AO359" s="87"/>
      <c r="AP359" s="87"/>
      <c r="AQ359" s="87"/>
      <c r="AR359" s="87"/>
      <c r="AS359" s="87"/>
      <c r="AT359" s="87"/>
      <c r="AU359" s="87"/>
      <c r="AV359" s="87"/>
      <c r="AW359" s="87"/>
      <c r="AX359" s="87"/>
      <c r="AY359" s="87"/>
      <c r="AZ359" s="87"/>
      <c r="BA359" s="87"/>
      <c r="BB359" s="87"/>
      <c r="BC359" s="87"/>
      <c r="BD359" s="87"/>
      <c r="BE359" s="87"/>
      <c r="BF359" s="87"/>
      <c r="BG359" s="87"/>
      <c r="BH359" s="87"/>
    </row>
    <row r="360" spans="1:60" ht="16">
      <c r="A360" s="82"/>
      <c r="B360" s="82"/>
      <c r="C360" s="82"/>
      <c r="D360" s="83"/>
      <c r="E360" s="84"/>
      <c r="F360" s="84"/>
      <c r="G360" s="84"/>
      <c r="H360" s="82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7"/>
      <c r="AA360" s="87"/>
      <c r="AB360" s="87"/>
      <c r="AC360" s="87"/>
      <c r="AD360" s="87"/>
      <c r="AE360" s="87"/>
      <c r="AF360" s="87"/>
      <c r="AG360" s="87"/>
      <c r="AH360" s="87"/>
      <c r="AI360" s="87"/>
      <c r="AJ360" s="87"/>
      <c r="AK360" s="87"/>
      <c r="AL360" s="87"/>
      <c r="AM360" s="87"/>
      <c r="AN360" s="87"/>
      <c r="AO360" s="87"/>
      <c r="AP360" s="87"/>
      <c r="AQ360" s="87"/>
      <c r="AR360" s="87"/>
      <c r="AS360" s="87"/>
      <c r="AT360" s="87"/>
      <c r="AU360" s="87"/>
      <c r="AV360" s="87"/>
      <c r="AW360" s="87"/>
      <c r="AX360" s="87"/>
      <c r="AY360" s="87"/>
      <c r="AZ360" s="87"/>
      <c r="BA360" s="87"/>
      <c r="BB360" s="87"/>
      <c r="BC360" s="87"/>
      <c r="BD360" s="87"/>
      <c r="BE360" s="87"/>
      <c r="BF360" s="87"/>
      <c r="BG360" s="87"/>
      <c r="BH360" s="87"/>
    </row>
    <row r="361" spans="1:60" ht="16">
      <c r="A361" s="82"/>
      <c r="B361" s="82"/>
      <c r="C361" s="82"/>
      <c r="D361" s="83"/>
      <c r="E361" s="84"/>
      <c r="F361" s="84"/>
      <c r="G361" s="84"/>
      <c r="H361" s="82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7"/>
      <c r="AA361" s="87"/>
      <c r="AB361" s="87"/>
      <c r="AC361" s="87"/>
      <c r="AD361" s="87"/>
      <c r="AE361" s="87"/>
      <c r="AF361" s="87"/>
      <c r="AG361" s="87"/>
      <c r="AH361" s="87"/>
      <c r="AI361" s="87"/>
      <c r="AJ361" s="87"/>
      <c r="AK361" s="87"/>
      <c r="AL361" s="87"/>
      <c r="AM361" s="87"/>
      <c r="AN361" s="87"/>
      <c r="AO361" s="87"/>
      <c r="AP361" s="87"/>
      <c r="AQ361" s="87"/>
      <c r="AR361" s="87"/>
      <c r="AS361" s="87"/>
      <c r="AT361" s="87"/>
      <c r="AU361" s="87"/>
      <c r="AV361" s="87"/>
      <c r="AW361" s="87"/>
      <c r="AX361" s="87"/>
      <c r="AY361" s="87"/>
      <c r="AZ361" s="87"/>
      <c r="BA361" s="87"/>
      <c r="BB361" s="87"/>
      <c r="BC361" s="87"/>
      <c r="BD361" s="87"/>
      <c r="BE361" s="87"/>
      <c r="BF361" s="87"/>
      <c r="BG361" s="87"/>
      <c r="BH361" s="87"/>
    </row>
    <row r="362" spans="1:60" ht="16">
      <c r="A362" s="82"/>
      <c r="B362" s="82"/>
      <c r="C362" s="82"/>
      <c r="D362" s="83"/>
      <c r="E362" s="84"/>
      <c r="F362" s="84"/>
      <c r="G362" s="84"/>
      <c r="H362" s="82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7"/>
      <c r="AA362" s="87"/>
      <c r="AB362" s="87"/>
      <c r="AC362" s="87"/>
      <c r="AD362" s="87"/>
      <c r="AE362" s="87"/>
      <c r="AF362" s="87"/>
      <c r="AG362" s="87"/>
      <c r="AH362" s="87"/>
      <c r="AI362" s="87"/>
      <c r="AJ362" s="87"/>
      <c r="AK362" s="87"/>
      <c r="AL362" s="87"/>
      <c r="AM362" s="87"/>
      <c r="AN362" s="87"/>
      <c r="AO362" s="87"/>
      <c r="AP362" s="87"/>
      <c r="AQ362" s="87"/>
      <c r="AR362" s="87"/>
      <c r="AS362" s="87"/>
      <c r="AT362" s="87"/>
      <c r="AU362" s="87"/>
      <c r="AV362" s="87"/>
      <c r="AW362" s="87"/>
      <c r="AX362" s="87"/>
      <c r="AY362" s="87"/>
      <c r="AZ362" s="87"/>
      <c r="BA362" s="87"/>
      <c r="BB362" s="87"/>
      <c r="BC362" s="87"/>
      <c r="BD362" s="87"/>
      <c r="BE362" s="87"/>
      <c r="BF362" s="87"/>
      <c r="BG362" s="87"/>
      <c r="BH362" s="87"/>
    </row>
    <row r="363" spans="1:60" ht="16">
      <c r="A363" s="82"/>
      <c r="B363" s="82"/>
      <c r="C363" s="82"/>
      <c r="D363" s="83"/>
      <c r="E363" s="84"/>
      <c r="F363" s="84"/>
      <c r="G363" s="84"/>
      <c r="H363" s="82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7"/>
      <c r="AA363" s="87"/>
      <c r="AB363" s="87"/>
      <c r="AC363" s="87"/>
      <c r="AD363" s="87"/>
      <c r="AE363" s="87"/>
      <c r="AF363" s="87"/>
      <c r="AG363" s="87"/>
      <c r="AH363" s="87"/>
      <c r="AI363" s="87"/>
      <c r="AJ363" s="87"/>
      <c r="AK363" s="87"/>
      <c r="AL363" s="87"/>
      <c r="AM363" s="87"/>
      <c r="AN363" s="87"/>
      <c r="AO363" s="87"/>
      <c r="AP363" s="87"/>
      <c r="AQ363" s="87"/>
      <c r="AR363" s="87"/>
      <c r="AS363" s="87"/>
      <c r="AT363" s="87"/>
      <c r="AU363" s="87"/>
      <c r="AV363" s="87"/>
      <c r="AW363" s="87"/>
      <c r="AX363" s="87"/>
      <c r="AY363" s="87"/>
      <c r="AZ363" s="87"/>
      <c r="BA363" s="87"/>
      <c r="BB363" s="87"/>
      <c r="BC363" s="87"/>
      <c r="BD363" s="87"/>
      <c r="BE363" s="87"/>
      <c r="BF363" s="87"/>
      <c r="BG363" s="87"/>
      <c r="BH363" s="87"/>
    </row>
    <row r="364" spans="1:60" ht="16">
      <c r="A364" s="82"/>
      <c r="B364" s="82"/>
      <c r="C364" s="82"/>
      <c r="D364" s="83"/>
      <c r="E364" s="84"/>
      <c r="F364" s="84"/>
      <c r="G364" s="84"/>
      <c r="H364" s="82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7"/>
      <c r="AA364" s="87"/>
      <c r="AB364" s="87"/>
      <c r="AC364" s="87"/>
      <c r="AD364" s="87"/>
      <c r="AE364" s="87"/>
      <c r="AF364" s="87"/>
      <c r="AG364" s="87"/>
      <c r="AH364" s="87"/>
      <c r="AI364" s="87"/>
      <c r="AJ364" s="87"/>
      <c r="AK364" s="87"/>
      <c r="AL364" s="87"/>
      <c r="AM364" s="87"/>
      <c r="AN364" s="87"/>
      <c r="AO364" s="87"/>
      <c r="AP364" s="87"/>
      <c r="AQ364" s="87"/>
      <c r="AR364" s="87"/>
      <c r="AS364" s="87"/>
      <c r="AT364" s="87"/>
      <c r="AU364" s="87"/>
      <c r="AV364" s="87"/>
      <c r="AW364" s="87"/>
      <c r="AX364" s="87"/>
      <c r="AY364" s="87"/>
      <c r="AZ364" s="87"/>
      <c r="BA364" s="87"/>
      <c r="BB364" s="87"/>
      <c r="BC364" s="87"/>
      <c r="BD364" s="87"/>
      <c r="BE364" s="87"/>
      <c r="BF364" s="87"/>
      <c r="BG364" s="87"/>
      <c r="BH364" s="87"/>
    </row>
    <row r="365" spans="1:60" ht="16">
      <c r="A365" s="82"/>
      <c r="B365" s="82"/>
      <c r="C365" s="82"/>
      <c r="D365" s="83"/>
      <c r="E365" s="84"/>
      <c r="F365" s="84"/>
      <c r="G365" s="84"/>
      <c r="H365" s="82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7"/>
      <c r="AA365" s="87"/>
      <c r="AB365" s="87"/>
      <c r="AC365" s="87"/>
      <c r="AD365" s="87"/>
      <c r="AE365" s="87"/>
      <c r="AF365" s="87"/>
      <c r="AG365" s="87"/>
      <c r="AH365" s="87"/>
      <c r="AI365" s="87"/>
      <c r="AJ365" s="87"/>
      <c r="AK365" s="87"/>
      <c r="AL365" s="87"/>
      <c r="AM365" s="87"/>
      <c r="AN365" s="87"/>
      <c r="AO365" s="87"/>
      <c r="AP365" s="87"/>
      <c r="AQ365" s="87"/>
      <c r="AR365" s="87"/>
      <c r="AS365" s="87"/>
      <c r="AT365" s="87"/>
      <c r="AU365" s="87"/>
      <c r="AV365" s="87"/>
      <c r="AW365" s="87"/>
      <c r="AX365" s="87"/>
      <c r="AY365" s="87"/>
      <c r="AZ365" s="87"/>
      <c r="BA365" s="87"/>
      <c r="BB365" s="87"/>
      <c r="BC365" s="87"/>
      <c r="BD365" s="87"/>
      <c r="BE365" s="87"/>
      <c r="BF365" s="87"/>
      <c r="BG365" s="87"/>
      <c r="BH365" s="87"/>
    </row>
    <row r="366" spans="1:60" ht="16">
      <c r="A366" s="82"/>
      <c r="B366" s="82"/>
      <c r="C366" s="82"/>
      <c r="D366" s="83"/>
      <c r="E366" s="84"/>
      <c r="F366" s="84"/>
      <c r="G366" s="84"/>
      <c r="H366" s="82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7"/>
      <c r="AA366" s="87"/>
      <c r="AB366" s="87"/>
      <c r="AC366" s="87"/>
      <c r="AD366" s="87"/>
      <c r="AE366" s="87"/>
      <c r="AF366" s="87"/>
      <c r="AG366" s="87"/>
      <c r="AH366" s="87"/>
      <c r="AI366" s="87"/>
      <c r="AJ366" s="87"/>
      <c r="AK366" s="87"/>
      <c r="AL366" s="87"/>
      <c r="AM366" s="87"/>
      <c r="AN366" s="87"/>
      <c r="AO366" s="87"/>
      <c r="AP366" s="87"/>
      <c r="AQ366" s="87"/>
      <c r="AR366" s="87"/>
      <c r="AS366" s="87"/>
      <c r="AT366" s="87"/>
      <c r="AU366" s="87"/>
      <c r="AV366" s="87"/>
      <c r="AW366" s="87"/>
      <c r="AX366" s="87"/>
      <c r="AY366" s="87"/>
      <c r="AZ366" s="87"/>
      <c r="BA366" s="87"/>
      <c r="BB366" s="87"/>
      <c r="BC366" s="87"/>
      <c r="BD366" s="87"/>
      <c r="BE366" s="87"/>
      <c r="BF366" s="87"/>
      <c r="BG366" s="87"/>
      <c r="BH366" s="87"/>
    </row>
    <row r="367" spans="1:60" ht="16">
      <c r="A367" s="82"/>
      <c r="B367" s="82"/>
      <c r="C367" s="82"/>
      <c r="D367" s="83"/>
      <c r="E367" s="84"/>
      <c r="F367" s="84"/>
      <c r="G367" s="84"/>
      <c r="H367" s="82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7"/>
      <c r="AA367" s="87"/>
      <c r="AB367" s="87"/>
      <c r="AC367" s="87"/>
      <c r="AD367" s="87"/>
      <c r="AE367" s="87"/>
      <c r="AF367" s="87"/>
      <c r="AG367" s="87"/>
      <c r="AH367" s="87"/>
      <c r="AI367" s="87"/>
      <c r="AJ367" s="87"/>
      <c r="AK367" s="87"/>
      <c r="AL367" s="87"/>
      <c r="AM367" s="87"/>
      <c r="AN367" s="87"/>
      <c r="AO367" s="87"/>
      <c r="AP367" s="87"/>
      <c r="AQ367" s="87"/>
      <c r="AR367" s="87"/>
      <c r="AS367" s="87"/>
      <c r="AT367" s="87"/>
      <c r="AU367" s="87"/>
      <c r="AV367" s="87"/>
      <c r="AW367" s="87"/>
      <c r="AX367" s="87"/>
      <c r="AY367" s="87"/>
      <c r="AZ367" s="87"/>
      <c r="BA367" s="87"/>
      <c r="BB367" s="87"/>
      <c r="BC367" s="87"/>
      <c r="BD367" s="87"/>
      <c r="BE367" s="87"/>
      <c r="BF367" s="87"/>
      <c r="BG367" s="87"/>
      <c r="BH367" s="87"/>
    </row>
    <row r="368" spans="1:60" ht="16">
      <c r="A368" s="82"/>
      <c r="B368" s="82"/>
      <c r="C368" s="82"/>
      <c r="D368" s="83"/>
      <c r="E368" s="84"/>
      <c r="F368" s="84"/>
      <c r="G368" s="84"/>
      <c r="H368" s="82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7"/>
      <c r="AA368" s="87"/>
      <c r="AB368" s="87"/>
      <c r="AC368" s="87"/>
      <c r="AD368" s="87"/>
      <c r="AE368" s="87"/>
      <c r="AF368" s="87"/>
      <c r="AG368" s="87"/>
      <c r="AH368" s="87"/>
      <c r="AI368" s="87"/>
      <c r="AJ368" s="87"/>
      <c r="AK368" s="87"/>
      <c r="AL368" s="87"/>
      <c r="AM368" s="87"/>
      <c r="AN368" s="87"/>
      <c r="AO368" s="87"/>
      <c r="AP368" s="87"/>
      <c r="AQ368" s="87"/>
      <c r="AR368" s="87"/>
      <c r="AS368" s="87"/>
      <c r="AT368" s="87"/>
      <c r="AU368" s="87"/>
      <c r="AV368" s="87"/>
      <c r="AW368" s="87"/>
      <c r="AX368" s="87"/>
      <c r="AY368" s="87"/>
      <c r="AZ368" s="87"/>
      <c r="BA368" s="87"/>
      <c r="BB368" s="87"/>
      <c r="BC368" s="87"/>
      <c r="BD368" s="87"/>
      <c r="BE368" s="87"/>
      <c r="BF368" s="87"/>
      <c r="BG368" s="87"/>
      <c r="BH368" s="87"/>
    </row>
    <row r="369" spans="1:60" ht="16">
      <c r="A369" s="82"/>
      <c r="B369" s="82"/>
      <c r="C369" s="82"/>
      <c r="D369" s="83"/>
      <c r="E369" s="84"/>
      <c r="F369" s="84"/>
      <c r="G369" s="84"/>
      <c r="H369" s="82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7"/>
      <c r="AA369" s="87"/>
      <c r="AB369" s="87"/>
      <c r="AC369" s="87"/>
      <c r="AD369" s="87"/>
      <c r="AE369" s="87"/>
      <c r="AF369" s="87"/>
      <c r="AG369" s="87"/>
      <c r="AH369" s="87"/>
      <c r="AI369" s="87"/>
      <c r="AJ369" s="87"/>
      <c r="AK369" s="87"/>
      <c r="AL369" s="87"/>
      <c r="AM369" s="87"/>
      <c r="AN369" s="87"/>
      <c r="AO369" s="87"/>
      <c r="AP369" s="87"/>
      <c r="AQ369" s="87"/>
      <c r="AR369" s="87"/>
      <c r="AS369" s="87"/>
      <c r="AT369" s="87"/>
      <c r="AU369" s="87"/>
      <c r="AV369" s="87"/>
      <c r="AW369" s="87"/>
      <c r="AX369" s="87"/>
      <c r="AY369" s="87"/>
      <c r="AZ369" s="87"/>
      <c r="BA369" s="87"/>
      <c r="BB369" s="87"/>
      <c r="BC369" s="87"/>
      <c r="BD369" s="87"/>
      <c r="BE369" s="87"/>
      <c r="BF369" s="87"/>
      <c r="BG369" s="87"/>
      <c r="BH369" s="87"/>
    </row>
    <row r="370" spans="1:60" ht="16">
      <c r="A370" s="82"/>
      <c r="B370" s="82"/>
      <c r="C370" s="82"/>
      <c r="D370" s="83"/>
      <c r="E370" s="84"/>
      <c r="F370" s="84"/>
      <c r="G370" s="84"/>
      <c r="H370" s="82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7"/>
      <c r="AA370" s="87"/>
      <c r="AB370" s="87"/>
      <c r="AC370" s="87"/>
      <c r="AD370" s="87"/>
      <c r="AE370" s="87"/>
      <c r="AF370" s="87"/>
      <c r="AG370" s="87"/>
      <c r="AH370" s="87"/>
      <c r="AI370" s="87"/>
      <c r="AJ370" s="87"/>
      <c r="AK370" s="87"/>
      <c r="AL370" s="87"/>
      <c r="AM370" s="87"/>
      <c r="AN370" s="87"/>
      <c r="AO370" s="87"/>
      <c r="AP370" s="87"/>
      <c r="AQ370" s="87"/>
      <c r="AR370" s="87"/>
      <c r="AS370" s="87"/>
      <c r="AT370" s="87"/>
      <c r="AU370" s="87"/>
      <c r="AV370" s="87"/>
      <c r="AW370" s="87"/>
      <c r="AX370" s="87"/>
      <c r="AY370" s="87"/>
      <c r="AZ370" s="87"/>
      <c r="BA370" s="87"/>
      <c r="BB370" s="87"/>
      <c r="BC370" s="87"/>
      <c r="BD370" s="87"/>
      <c r="BE370" s="87"/>
      <c r="BF370" s="87"/>
      <c r="BG370" s="87"/>
      <c r="BH370" s="87"/>
    </row>
    <row r="371" spans="1:60" ht="16">
      <c r="A371" s="82"/>
      <c r="B371" s="82"/>
      <c r="C371" s="82"/>
      <c r="D371" s="83"/>
      <c r="E371" s="84"/>
      <c r="F371" s="84"/>
      <c r="G371" s="84"/>
      <c r="H371" s="82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7"/>
      <c r="AA371" s="87"/>
      <c r="AB371" s="87"/>
      <c r="AC371" s="87"/>
      <c r="AD371" s="87"/>
      <c r="AE371" s="87"/>
      <c r="AF371" s="87"/>
      <c r="AG371" s="87"/>
      <c r="AH371" s="87"/>
      <c r="AI371" s="87"/>
      <c r="AJ371" s="87"/>
      <c r="AK371" s="87"/>
      <c r="AL371" s="87"/>
      <c r="AM371" s="87"/>
      <c r="AN371" s="87"/>
      <c r="AO371" s="87"/>
      <c r="AP371" s="87"/>
      <c r="AQ371" s="87"/>
      <c r="AR371" s="87"/>
      <c r="AS371" s="87"/>
      <c r="AT371" s="87"/>
      <c r="AU371" s="87"/>
      <c r="AV371" s="87"/>
      <c r="AW371" s="87"/>
      <c r="AX371" s="87"/>
      <c r="AY371" s="87"/>
      <c r="AZ371" s="87"/>
      <c r="BA371" s="87"/>
      <c r="BB371" s="87"/>
      <c r="BC371" s="87"/>
      <c r="BD371" s="87"/>
      <c r="BE371" s="87"/>
      <c r="BF371" s="87"/>
      <c r="BG371" s="87"/>
      <c r="BH371" s="87"/>
    </row>
    <row r="372" spans="1:60" ht="16">
      <c r="A372" s="82"/>
      <c r="B372" s="82"/>
      <c r="C372" s="82"/>
      <c r="D372" s="83"/>
      <c r="E372" s="84"/>
      <c r="F372" s="84"/>
      <c r="G372" s="84"/>
      <c r="H372" s="82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7"/>
      <c r="AA372" s="87"/>
      <c r="AB372" s="87"/>
      <c r="AC372" s="87"/>
      <c r="AD372" s="87"/>
      <c r="AE372" s="87"/>
      <c r="AF372" s="87"/>
      <c r="AG372" s="87"/>
      <c r="AH372" s="87"/>
      <c r="AI372" s="87"/>
      <c r="AJ372" s="87"/>
      <c r="AK372" s="87"/>
      <c r="AL372" s="87"/>
      <c r="AM372" s="87"/>
      <c r="AN372" s="87"/>
      <c r="AO372" s="87"/>
      <c r="AP372" s="87"/>
      <c r="AQ372" s="87"/>
      <c r="AR372" s="87"/>
      <c r="AS372" s="87"/>
      <c r="AT372" s="87"/>
      <c r="AU372" s="87"/>
      <c r="AV372" s="87"/>
      <c r="AW372" s="87"/>
      <c r="AX372" s="87"/>
      <c r="AY372" s="87"/>
      <c r="AZ372" s="87"/>
      <c r="BA372" s="87"/>
      <c r="BB372" s="87"/>
      <c r="BC372" s="87"/>
      <c r="BD372" s="87"/>
      <c r="BE372" s="87"/>
      <c r="BF372" s="87"/>
      <c r="BG372" s="87"/>
      <c r="BH372" s="87"/>
    </row>
    <row r="373" spans="1:60" ht="16">
      <c r="A373" s="82"/>
      <c r="B373" s="82"/>
      <c r="C373" s="82"/>
      <c r="D373" s="83"/>
      <c r="E373" s="84"/>
      <c r="F373" s="84"/>
      <c r="G373" s="84"/>
      <c r="H373" s="82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7"/>
      <c r="AA373" s="87"/>
      <c r="AB373" s="87"/>
      <c r="AC373" s="87"/>
      <c r="AD373" s="87"/>
      <c r="AE373" s="87"/>
      <c r="AF373" s="87"/>
      <c r="AG373" s="87"/>
      <c r="AH373" s="87"/>
      <c r="AI373" s="87"/>
      <c r="AJ373" s="87"/>
      <c r="AK373" s="87"/>
      <c r="AL373" s="87"/>
      <c r="AM373" s="87"/>
      <c r="AN373" s="87"/>
      <c r="AO373" s="87"/>
      <c r="AP373" s="87"/>
      <c r="AQ373" s="87"/>
      <c r="AR373" s="87"/>
      <c r="AS373" s="87"/>
      <c r="AT373" s="87"/>
      <c r="AU373" s="87"/>
      <c r="AV373" s="87"/>
      <c r="AW373" s="87"/>
      <c r="AX373" s="87"/>
      <c r="AY373" s="87"/>
      <c r="AZ373" s="87"/>
      <c r="BA373" s="87"/>
      <c r="BB373" s="87"/>
      <c r="BC373" s="87"/>
      <c r="BD373" s="87"/>
      <c r="BE373" s="87"/>
      <c r="BF373" s="87"/>
      <c r="BG373" s="87"/>
      <c r="BH373" s="87"/>
    </row>
    <row r="374" spans="1:60" ht="16">
      <c r="A374" s="82"/>
      <c r="B374" s="82"/>
      <c r="C374" s="82"/>
      <c r="D374" s="83"/>
      <c r="E374" s="84"/>
      <c r="F374" s="84"/>
      <c r="G374" s="84"/>
      <c r="H374" s="82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7"/>
      <c r="AA374" s="87"/>
      <c r="AB374" s="87"/>
      <c r="AC374" s="87"/>
      <c r="AD374" s="87"/>
      <c r="AE374" s="87"/>
      <c r="AF374" s="87"/>
      <c r="AG374" s="87"/>
      <c r="AH374" s="87"/>
      <c r="AI374" s="87"/>
      <c r="AJ374" s="87"/>
      <c r="AK374" s="87"/>
      <c r="AL374" s="87"/>
      <c r="AM374" s="87"/>
      <c r="AN374" s="87"/>
      <c r="AO374" s="87"/>
      <c r="AP374" s="87"/>
      <c r="AQ374" s="87"/>
      <c r="AR374" s="87"/>
      <c r="AS374" s="87"/>
      <c r="AT374" s="87"/>
      <c r="AU374" s="87"/>
      <c r="AV374" s="87"/>
      <c r="AW374" s="87"/>
      <c r="AX374" s="87"/>
      <c r="AY374" s="87"/>
      <c r="AZ374" s="87"/>
      <c r="BA374" s="87"/>
      <c r="BB374" s="87"/>
      <c r="BC374" s="87"/>
      <c r="BD374" s="87"/>
      <c r="BE374" s="87"/>
      <c r="BF374" s="87"/>
      <c r="BG374" s="87"/>
      <c r="BH374" s="87"/>
    </row>
    <row r="375" spans="1:60" ht="16">
      <c r="A375" s="82"/>
      <c r="B375" s="82"/>
      <c r="C375" s="82"/>
      <c r="D375" s="83"/>
      <c r="E375" s="84"/>
      <c r="F375" s="84"/>
      <c r="G375" s="84"/>
      <c r="H375" s="82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7"/>
      <c r="AA375" s="87"/>
      <c r="AB375" s="87"/>
      <c r="AC375" s="87"/>
      <c r="AD375" s="87"/>
      <c r="AE375" s="87"/>
      <c r="AF375" s="87"/>
      <c r="AG375" s="87"/>
      <c r="AH375" s="87"/>
      <c r="AI375" s="87"/>
      <c r="AJ375" s="87"/>
      <c r="AK375" s="87"/>
      <c r="AL375" s="87"/>
      <c r="AM375" s="87"/>
      <c r="AN375" s="87"/>
      <c r="AO375" s="87"/>
      <c r="AP375" s="87"/>
      <c r="AQ375" s="87"/>
      <c r="AR375" s="87"/>
      <c r="AS375" s="87"/>
      <c r="AT375" s="87"/>
      <c r="AU375" s="87"/>
      <c r="AV375" s="87"/>
      <c r="AW375" s="87"/>
      <c r="AX375" s="87"/>
      <c r="AY375" s="87"/>
      <c r="AZ375" s="87"/>
      <c r="BA375" s="87"/>
      <c r="BB375" s="87"/>
      <c r="BC375" s="87"/>
      <c r="BD375" s="87"/>
      <c r="BE375" s="87"/>
      <c r="BF375" s="87"/>
      <c r="BG375" s="87"/>
      <c r="BH375" s="87"/>
    </row>
    <row r="376" spans="1:60" ht="16">
      <c r="A376" s="82"/>
      <c r="B376" s="82"/>
      <c r="C376" s="82"/>
      <c r="D376" s="83"/>
      <c r="E376" s="84"/>
      <c r="F376" s="84"/>
      <c r="G376" s="84"/>
      <c r="H376" s="82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7"/>
      <c r="AA376" s="87"/>
      <c r="AB376" s="87"/>
      <c r="AC376" s="87"/>
      <c r="AD376" s="87"/>
      <c r="AE376" s="87"/>
      <c r="AF376" s="87"/>
      <c r="AG376" s="87"/>
      <c r="AH376" s="87"/>
      <c r="AI376" s="87"/>
      <c r="AJ376" s="87"/>
      <c r="AK376" s="87"/>
      <c r="AL376" s="87"/>
      <c r="AM376" s="87"/>
      <c r="AN376" s="87"/>
      <c r="AO376" s="87"/>
      <c r="AP376" s="87"/>
      <c r="AQ376" s="87"/>
      <c r="AR376" s="87"/>
      <c r="AS376" s="87"/>
      <c r="AT376" s="87"/>
      <c r="AU376" s="87"/>
      <c r="AV376" s="87"/>
      <c r="AW376" s="87"/>
      <c r="AX376" s="87"/>
      <c r="AY376" s="87"/>
      <c r="AZ376" s="87"/>
      <c r="BA376" s="87"/>
      <c r="BB376" s="87"/>
      <c r="BC376" s="87"/>
      <c r="BD376" s="87"/>
      <c r="BE376" s="87"/>
      <c r="BF376" s="87"/>
      <c r="BG376" s="87"/>
      <c r="BH376" s="87"/>
    </row>
    <row r="377" spans="1:60" ht="16">
      <c r="A377" s="82"/>
      <c r="B377" s="82"/>
      <c r="C377" s="82"/>
      <c r="D377" s="83"/>
      <c r="E377" s="84"/>
      <c r="F377" s="84"/>
      <c r="G377" s="84"/>
      <c r="H377" s="82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7"/>
      <c r="AA377" s="87"/>
      <c r="AB377" s="87"/>
      <c r="AC377" s="87"/>
      <c r="AD377" s="87"/>
      <c r="AE377" s="87"/>
      <c r="AF377" s="87"/>
      <c r="AG377" s="87"/>
      <c r="AH377" s="87"/>
      <c r="AI377" s="87"/>
      <c r="AJ377" s="87"/>
      <c r="AK377" s="87"/>
      <c r="AL377" s="87"/>
      <c r="AM377" s="87"/>
      <c r="AN377" s="87"/>
      <c r="AO377" s="87"/>
      <c r="AP377" s="87"/>
      <c r="AQ377" s="87"/>
      <c r="AR377" s="87"/>
      <c r="AS377" s="87"/>
      <c r="AT377" s="87"/>
      <c r="AU377" s="87"/>
      <c r="AV377" s="87"/>
      <c r="AW377" s="87"/>
      <c r="AX377" s="87"/>
      <c r="AY377" s="87"/>
      <c r="AZ377" s="87"/>
      <c r="BA377" s="87"/>
      <c r="BB377" s="87"/>
      <c r="BC377" s="87"/>
      <c r="BD377" s="87"/>
      <c r="BE377" s="87"/>
      <c r="BF377" s="87"/>
      <c r="BG377" s="87"/>
      <c r="BH377" s="87"/>
    </row>
    <row r="378" spans="1:60" ht="16">
      <c r="A378" s="82"/>
      <c r="B378" s="82"/>
      <c r="C378" s="82"/>
      <c r="D378" s="83"/>
      <c r="E378" s="84"/>
      <c r="F378" s="84"/>
      <c r="G378" s="84"/>
      <c r="H378" s="82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7"/>
      <c r="AA378" s="87"/>
      <c r="AB378" s="87"/>
      <c r="AC378" s="87"/>
      <c r="AD378" s="87"/>
      <c r="AE378" s="87"/>
      <c r="AF378" s="87"/>
      <c r="AG378" s="87"/>
      <c r="AH378" s="87"/>
      <c r="AI378" s="87"/>
      <c r="AJ378" s="87"/>
      <c r="AK378" s="87"/>
      <c r="AL378" s="87"/>
      <c r="AM378" s="87"/>
      <c r="AN378" s="87"/>
      <c r="AO378" s="87"/>
      <c r="AP378" s="87"/>
      <c r="AQ378" s="87"/>
      <c r="AR378" s="87"/>
      <c r="AS378" s="87"/>
      <c r="AT378" s="87"/>
      <c r="AU378" s="87"/>
      <c r="AV378" s="87"/>
      <c r="AW378" s="87"/>
      <c r="AX378" s="87"/>
      <c r="AY378" s="87"/>
      <c r="AZ378" s="87"/>
      <c r="BA378" s="87"/>
      <c r="BB378" s="87"/>
      <c r="BC378" s="87"/>
      <c r="BD378" s="87"/>
      <c r="BE378" s="87"/>
      <c r="BF378" s="87"/>
      <c r="BG378" s="87"/>
      <c r="BH378" s="87"/>
    </row>
    <row r="379" spans="1:60" ht="16">
      <c r="A379" s="82"/>
      <c r="B379" s="82"/>
      <c r="C379" s="82"/>
      <c r="D379" s="83"/>
      <c r="E379" s="84"/>
      <c r="F379" s="84"/>
      <c r="G379" s="84"/>
      <c r="H379" s="82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7"/>
      <c r="AA379" s="87"/>
      <c r="AB379" s="87"/>
      <c r="AC379" s="87"/>
      <c r="AD379" s="87"/>
      <c r="AE379" s="87"/>
      <c r="AF379" s="87"/>
      <c r="AG379" s="87"/>
      <c r="AH379" s="87"/>
      <c r="AI379" s="87"/>
      <c r="AJ379" s="87"/>
      <c r="AK379" s="87"/>
      <c r="AL379" s="87"/>
      <c r="AM379" s="87"/>
      <c r="AN379" s="87"/>
      <c r="AO379" s="87"/>
      <c r="AP379" s="87"/>
      <c r="AQ379" s="87"/>
      <c r="AR379" s="87"/>
      <c r="AS379" s="87"/>
      <c r="AT379" s="87"/>
      <c r="AU379" s="87"/>
      <c r="AV379" s="87"/>
      <c r="AW379" s="87"/>
      <c r="AX379" s="87"/>
      <c r="AY379" s="87"/>
      <c r="AZ379" s="87"/>
      <c r="BA379" s="87"/>
      <c r="BB379" s="87"/>
      <c r="BC379" s="87"/>
      <c r="BD379" s="87"/>
      <c r="BE379" s="87"/>
      <c r="BF379" s="87"/>
      <c r="BG379" s="87"/>
      <c r="BH379" s="87"/>
    </row>
    <row r="380" spans="1:60" ht="16">
      <c r="A380" s="82"/>
      <c r="B380" s="82"/>
      <c r="C380" s="82"/>
      <c r="D380" s="83"/>
      <c r="E380" s="84"/>
      <c r="F380" s="84"/>
      <c r="G380" s="84"/>
      <c r="H380" s="82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7"/>
      <c r="AA380" s="87"/>
      <c r="AB380" s="87"/>
      <c r="AC380" s="87"/>
      <c r="AD380" s="87"/>
      <c r="AE380" s="87"/>
      <c r="AF380" s="87"/>
      <c r="AG380" s="87"/>
      <c r="AH380" s="87"/>
      <c r="AI380" s="87"/>
      <c r="AJ380" s="87"/>
      <c r="AK380" s="87"/>
      <c r="AL380" s="87"/>
      <c r="AM380" s="87"/>
      <c r="AN380" s="87"/>
      <c r="AO380" s="87"/>
      <c r="AP380" s="87"/>
      <c r="AQ380" s="87"/>
      <c r="AR380" s="87"/>
      <c r="AS380" s="87"/>
      <c r="AT380" s="87"/>
      <c r="AU380" s="87"/>
      <c r="AV380" s="87"/>
      <c r="AW380" s="87"/>
      <c r="AX380" s="87"/>
      <c r="AY380" s="87"/>
      <c r="AZ380" s="87"/>
      <c r="BA380" s="87"/>
      <c r="BB380" s="87"/>
      <c r="BC380" s="87"/>
      <c r="BD380" s="87"/>
      <c r="BE380" s="87"/>
      <c r="BF380" s="87"/>
      <c r="BG380" s="87"/>
      <c r="BH380" s="87"/>
    </row>
    <row r="381" spans="1:60" ht="16">
      <c r="A381" s="82"/>
      <c r="B381" s="82"/>
      <c r="C381" s="82"/>
      <c r="D381" s="83"/>
      <c r="E381" s="84"/>
      <c r="F381" s="84"/>
      <c r="G381" s="84"/>
      <c r="H381" s="82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7"/>
      <c r="AA381" s="87"/>
      <c r="AB381" s="87"/>
      <c r="AC381" s="87"/>
      <c r="AD381" s="87"/>
      <c r="AE381" s="87"/>
      <c r="AF381" s="87"/>
      <c r="AG381" s="87"/>
      <c r="AH381" s="87"/>
      <c r="AI381" s="87"/>
      <c r="AJ381" s="87"/>
      <c r="AK381" s="87"/>
      <c r="AL381" s="87"/>
      <c r="AM381" s="87"/>
      <c r="AN381" s="87"/>
      <c r="AO381" s="87"/>
      <c r="AP381" s="87"/>
      <c r="AQ381" s="87"/>
      <c r="AR381" s="87"/>
      <c r="AS381" s="87"/>
      <c r="AT381" s="87"/>
      <c r="AU381" s="87"/>
      <c r="AV381" s="87"/>
      <c r="AW381" s="87"/>
      <c r="AX381" s="87"/>
      <c r="AY381" s="87"/>
      <c r="AZ381" s="87"/>
      <c r="BA381" s="87"/>
      <c r="BB381" s="87"/>
      <c r="BC381" s="87"/>
      <c r="BD381" s="87"/>
      <c r="BE381" s="87"/>
      <c r="BF381" s="87"/>
      <c r="BG381" s="87"/>
      <c r="BH381" s="87"/>
    </row>
    <row r="382" spans="1:60" ht="16">
      <c r="A382" s="82"/>
      <c r="B382" s="82"/>
      <c r="C382" s="82"/>
      <c r="D382" s="83"/>
      <c r="E382" s="84"/>
      <c r="F382" s="84"/>
      <c r="G382" s="84"/>
      <c r="H382" s="82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7"/>
      <c r="AA382" s="87"/>
      <c r="AB382" s="87"/>
      <c r="AC382" s="87"/>
      <c r="AD382" s="87"/>
      <c r="AE382" s="87"/>
      <c r="AF382" s="87"/>
      <c r="AG382" s="87"/>
      <c r="AH382" s="87"/>
      <c r="AI382" s="87"/>
      <c r="AJ382" s="87"/>
      <c r="AK382" s="87"/>
      <c r="AL382" s="87"/>
      <c r="AM382" s="87"/>
      <c r="AN382" s="87"/>
      <c r="AO382" s="87"/>
      <c r="AP382" s="87"/>
      <c r="AQ382" s="87"/>
      <c r="AR382" s="87"/>
      <c r="AS382" s="87"/>
      <c r="AT382" s="87"/>
      <c r="AU382" s="87"/>
      <c r="AV382" s="87"/>
      <c r="AW382" s="87"/>
      <c r="AX382" s="87"/>
      <c r="AY382" s="87"/>
      <c r="AZ382" s="87"/>
      <c r="BA382" s="87"/>
      <c r="BB382" s="87"/>
      <c r="BC382" s="87"/>
      <c r="BD382" s="87"/>
      <c r="BE382" s="87"/>
      <c r="BF382" s="87"/>
      <c r="BG382" s="87"/>
      <c r="BH382" s="87"/>
    </row>
    <row r="383" spans="1:60" ht="16">
      <c r="A383" s="82"/>
      <c r="B383" s="82"/>
      <c r="C383" s="82"/>
      <c r="D383" s="83"/>
      <c r="E383" s="84"/>
      <c r="F383" s="84"/>
      <c r="G383" s="84"/>
      <c r="H383" s="82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7"/>
      <c r="AA383" s="87"/>
      <c r="AB383" s="87"/>
      <c r="AC383" s="87"/>
      <c r="AD383" s="87"/>
      <c r="AE383" s="87"/>
      <c r="AF383" s="87"/>
      <c r="AG383" s="87"/>
      <c r="AH383" s="87"/>
      <c r="AI383" s="87"/>
      <c r="AJ383" s="87"/>
      <c r="AK383" s="87"/>
      <c r="AL383" s="87"/>
      <c r="AM383" s="87"/>
      <c r="AN383" s="87"/>
      <c r="AO383" s="87"/>
      <c r="AP383" s="87"/>
      <c r="AQ383" s="87"/>
      <c r="AR383" s="87"/>
      <c r="AS383" s="87"/>
      <c r="AT383" s="87"/>
      <c r="AU383" s="87"/>
      <c r="AV383" s="87"/>
      <c r="AW383" s="87"/>
      <c r="AX383" s="87"/>
      <c r="AY383" s="87"/>
      <c r="AZ383" s="87"/>
      <c r="BA383" s="87"/>
      <c r="BB383" s="87"/>
      <c r="BC383" s="87"/>
      <c r="BD383" s="87"/>
      <c r="BE383" s="87"/>
      <c r="BF383" s="87"/>
      <c r="BG383" s="87"/>
      <c r="BH383" s="87"/>
    </row>
    <row r="384" spans="1:60" ht="16">
      <c r="A384" s="82"/>
      <c r="B384" s="82"/>
      <c r="C384" s="82"/>
      <c r="D384" s="83"/>
      <c r="E384" s="84"/>
      <c r="F384" s="84"/>
      <c r="G384" s="84"/>
      <c r="H384" s="82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7"/>
      <c r="AA384" s="87"/>
      <c r="AB384" s="87"/>
      <c r="AC384" s="87"/>
      <c r="AD384" s="87"/>
      <c r="AE384" s="87"/>
      <c r="AF384" s="87"/>
      <c r="AG384" s="87"/>
      <c r="AH384" s="87"/>
      <c r="AI384" s="87"/>
      <c r="AJ384" s="87"/>
      <c r="AK384" s="87"/>
      <c r="AL384" s="87"/>
      <c r="AM384" s="87"/>
      <c r="AN384" s="87"/>
      <c r="AO384" s="87"/>
      <c r="AP384" s="87"/>
      <c r="AQ384" s="87"/>
      <c r="AR384" s="87"/>
      <c r="AS384" s="87"/>
      <c r="AT384" s="87"/>
      <c r="AU384" s="87"/>
      <c r="AV384" s="87"/>
      <c r="AW384" s="87"/>
      <c r="AX384" s="87"/>
      <c r="AY384" s="87"/>
      <c r="AZ384" s="87"/>
      <c r="BA384" s="87"/>
      <c r="BB384" s="87"/>
      <c r="BC384" s="87"/>
      <c r="BD384" s="87"/>
      <c r="BE384" s="87"/>
      <c r="BF384" s="87"/>
      <c r="BG384" s="87"/>
      <c r="BH384" s="87"/>
    </row>
    <row r="385" spans="1:60" ht="16">
      <c r="A385" s="82"/>
      <c r="B385" s="82"/>
      <c r="C385" s="82"/>
      <c r="D385" s="83"/>
      <c r="E385" s="84"/>
      <c r="F385" s="84"/>
      <c r="G385" s="84"/>
      <c r="H385" s="82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7"/>
      <c r="AA385" s="87"/>
      <c r="AB385" s="87"/>
      <c r="AC385" s="87"/>
      <c r="AD385" s="87"/>
      <c r="AE385" s="87"/>
      <c r="AF385" s="87"/>
      <c r="AG385" s="87"/>
      <c r="AH385" s="87"/>
      <c r="AI385" s="87"/>
      <c r="AJ385" s="87"/>
      <c r="AK385" s="87"/>
      <c r="AL385" s="87"/>
      <c r="AM385" s="87"/>
      <c r="AN385" s="87"/>
      <c r="AO385" s="87"/>
      <c r="AP385" s="87"/>
      <c r="AQ385" s="87"/>
      <c r="AR385" s="87"/>
      <c r="AS385" s="87"/>
      <c r="AT385" s="87"/>
      <c r="AU385" s="87"/>
      <c r="AV385" s="87"/>
      <c r="AW385" s="87"/>
      <c r="AX385" s="87"/>
      <c r="AY385" s="87"/>
      <c r="AZ385" s="87"/>
      <c r="BA385" s="87"/>
      <c r="BB385" s="87"/>
      <c r="BC385" s="87"/>
      <c r="BD385" s="87"/>
      <c r="BE385" s="87"/>
      <c r="BF385" s="87"/>
      <c r="BG385" s="87"/>
      <c r="BH385" s="87"/>
    </row>
    <row r="386" spans="1:60" ht="16">
      <c r="A386" s="82"/>
      <c r="B386" s="82"/>
      <c r="C386" s="82"/>
      <c r="D386" s="83"/>
      <c r="E386" s="84"/>
      <c r="F386" s="84"/>
      <c r="G386" s="84"/>
      <c r="H386" s="82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7"/>
      <c r="AA386" s="87"/>
      <c r="AB386" s="87"/>
      <c r="AC386" s="87"/>
      <c r="AD386" s="87"/>
      <c r="AE386" s="87"/>
      <c r="AF386" s="87"/>
      <c r="AG386" s="87"/>
      <c r="AH386" s="87"/>
      <c r="AI386" s="87"/>
      <c r="AJ386" s="87"/>
      <c r="AK386" s="87"/>
      <c r="AL386" s="87"/>
      <c r="AM386" s="87"/>
      <c r="AN386" s="87"/>
      <c r="AO386" s="87"/>
      <c r="AP386" s="87"/>
      <c r="AQ386" s="87"/>
      <c r="AR386" s="87"/>
      <c r="AS386" s="87"/>
      <c r="AT386" s="87"/>
      <c r="AU386" s="87"/>
      <c r="AV386" s="87"/>
      <c r="AW386" s="87"/>
      <c r="AX386" s="87"/>
      <c r="AY386" s="87"/>
      <c r="AZ386" s="87"/>
      <c r="BA386" s="87"/>
      <c r="BB386" s="87"/>
      <c r="BC386" s="87"/>
      <c r="BD386" s="87"/>
      <c r="BE386" s="87"/>
      <c r="BF386" s="87"/>
      <c r="BG386" s="87"/>
      <c r="BH386" s="87"/>
    </row>
    <row r="387" spans="1:60" ht="16">
      <c r="A387" s="82"/>
      <c r="B387" s="82"/>
      <c r="C387" s="82"/>
      <c r="D387" s="83"/>
      <c r="E387" s="84"/>
      <c r="F387" s="84"/>
      <c r="G387" s="84"/>
      <c r="H387" s="82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7"/>
      <c r="AA387" s="87"/>
      <c r="AB387" s="87"/>
      <c r="AC387" s="87"/>
      <c r="AD387" s="87"/>
      <c r="AE387" s="87"/>
      <c r="AF387" s="87"/>
      <c r="AG387" s="87"/>
      <c r="AH387" s="87"/>
      <c r="AI387" s="87"/>
      <c r="AJ387" s="87"/>
      <c r="AK387" s="87"/>
      <c r="AL387" s="87"/>
      <c r="AM387" s="87"/>
      <c r="AN387" s="87"/>
      <c r="AO387" s="87"/>
      <c r="AP387" s="87"/>
      <c r="AQ387" s="87"/>
      <c r="AR387" s="87"/>
      <c r="AS387" s="87"/>
      <c r="AT387" s="87"/>
      <c r="AU387" s="87"/>
      <c r="AV387" s="87"/>
      <c r="AW387" s="87"/>
      <c r="AX387" s="87"/>
      <c r="AY387" s="87"/>
      <c r="AZ387" s="87"/>
      <c r="BA387" s="87"/>
      <c r="BB387" s="87"/>
      <c r="BC387" s="87"/>
      <c r="BD387" s="87"/>
      <c r="BE387" s="87"/>
      <c r="BF387" s="87"/>
      <c r="BG387" s="87"/>
      <c r="BH387" s="87"/>
    </row>
    <row r="388" spans="1:60" ht="16">
      <c r="A388" s="82"/>
      <c r="B388" s="82"/>
      <c r="C388" s="82"/>
      <c r="D388" s="83"/>
      <c r="E388" s="84"/>
      <c r="F388" s="84"/>
      <c r="G388" s="84"/>
      <c r="H388" s="82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7"/>
      <c r="AA388" s="87"/>
      <c r="AB388" s="87"/>
      <c r="AC388" s="87"/>
      <c r="AD388" s="87"/>
      <c r="AE388" s="87"/>
      <c r="AF388" s="87"/>
      <c r="AG388" s="87"/>
      <c r="AH388" s="87"/>
      <c r="AI388" s="87"/>
      <c r="AJ388" s="87"/>
      <c r="AK388" s="87"/>
      <c r="AL388" s="87"/>
      <c r="AM388" s="87"/>
      <c r="AN388" s="87"/>
      <c r="AO388" s="87"/>
      <c r="AP388" s="87"/>
      <c r="AQ388" s="87"/>
      <c r="AR388" s="87"/>
      <c r="AS388" s="87"/>
      <c r="AT388" s="87"/>
      <c r="AU388" s="87"/>
      <c r="AV388" s="87"/>
      <c r="AW388" s="87"/>
      <c r="AX388" s="87"/>
      <c r="AY388" s="87"/>
      <c r="AZ388" s="87"/>
      <c r="BA388" s="87"/>
      <c r="BB388" s="87"/>
      <c r="BC388" s="87"/>
      <c r="BD388" s="87"/>
      <c r="BE388" s="87"/>
      <c r="BF388" s="87"/>
      <c r="BG388" s="87"/>
      <c r="BH388" s="87"/>
    </row>
    <row r="389" spans="1:60" ht="16">
      <c r="A389" s="82"/>
      <c r="B389" s="82"/>
      <c r="C389" s="82"/>
      <c r="D389" s="83"/>
      <c r="E389" s="84"/>
      <c r="F389" s="84"/>
      <c r="G389" s="84"/>
      <c r="H389" s="82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7"/>
      <c r="AA389" s="87"/>
      <c r="AB389" s="87"/>
      <c r="AC389" s="87"/>
      <c r="AD389" s="87"/>
      <c r="AE389" s="87"/>
      <c r="AF389" s="87"/>
      <c r="AG389" s="87"/>
      <c r="AH389" s="87"/>
      <c r="AI389" s="87"/>
      <c r="AJ389" s="87"/>
      <c r="AK389" s="87"/>
      <c r="AL389" s="87"/>
      <c r="AM389" s="87"/>
      <c r="AN389" s="87"/>
      <c r="AO389" s="87"/>
      <c r="AP389" s="87"/>
      <c r="AQ389" s="87"/>
      <c r="AR389" s="87"/>
      <c r="AS389" s="87"/>
      <c r="AT389" s="87"/>
      <c r="AU389" s="87"/>
      <c r="AV389" s="87"/>
      <c r="AW389" s="87"/>
      <c r="AX389" s="87"/>
      <c r="AY389" s="87"/>
      <c r="AZ389" s="87"/>
      <c r="BA389" s="87"/>
      <c r="BB389" s="87"/>
      <c r="BC389" s="87"/>
      <c r="BD389" s="87"/>
      <c r="BE389" s="87"/>
      <c r="BF389" s="87"/>
      <c r="BG389" s="87"/>
      <c r="BH389" s="87"/>
    </row>
    <row r="390" spans="1:60" ht="16">
      <c r="A390" s="82"/>
      <c r="B390" s="82"/>
      <c r="C390" s="82"/>
      <c r="D390" s="83"/>
      <c r="E390" s="84"/>
      <c r="F390" s="84"/>
      <c r="G390" s="84"/>
      <c r="H390" s="82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7"/>
      <c r="AA390" s="87"/>
      <c r="AB390" s="87"/>
      <c r="AC390" s="87"/>
      <c r="AD390" s="87"/>
      <c r="AE390" s="87"/>
      <c r="AF390" s="87"/>
      <c r="AG390" s="87"/>
      <c r="AH390" s="87"/>
      <c r="AI390" s="87"/>
      <c r="AJ390" s="87"/>
      <c r="AK390" s="87"/>
      <c r="AL390" s="87"/>
      <c r="AM390" s="87"/>
      <c r="AN390" s="87"/>
      <c r="AO390" s="87"/>
      <c r="AP390" s="87"/>
      <c r="AQ390" s="87"/>
      <c r="AR390" s="87"/>
      <c r="AS390" s="87"/>
      <c r="AT390" s="87"/>
      <c r="AU390" s="87"/>
      <c r="AV390" s="87"/>
      <c r="AW390" s="87"/>
      <c r="AX390" s="87"/>
      <c r="AY390" s="87"/>
      <c r="AZ390" s="87"/>
      <c r="BA390" s="87"/>
      <c r="BB390" s="87"/>
      <c r="BC390" s="87"/>
      <c r="BD390" s="87"/>
      <c r="BE390" s="87"/>
      <c r="BF390" s="87"/>
      <c r="BG390" s="87"/>
      <c r="BH390" s="87"/>
    </row>
    <row r="391" spans="1:60" ht="16">
      <c r="A391" s="82"/>
      <c r="B391" s="82"/>
      <c r="C391" s="82"/>
      <c r="D391" s="83"/>
      <c r="E391" s="84"/>
      <c r="F391" s="84"/>
      <c r="G391" s="84"/>
      <c r="H391" s="82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7"/>
      <c r="AA391" s="87"/>
      <c r="AB391" s="87"/>
      <c r="AC391" s="87"/>
      <c r="AD391" s="87"/>
      <c r="AE391" s="87"/>
      <c r="AF391" s="87"/>
      <c r="AG391" s="87"/>
      <c r="AH391" s="87"/>
      <c r="AI391" s="87"/>
      <c r="AJ391" s="87"/>
      <c r="AK391" s="87"/>
      <c r="AL391" s="87"/>
      <c r="AM391" s="87"/>
      <c r="AN391" s="87"/>
      <c r="AO391" s="87"/>
      <c r="AP391" s="87"/>
      <c r="AQ391" s="87"/>
      <c r="AR391" s="87"/>
      <c r="AS391" s="87"/>
      <c r="AT391" s="87"/>
      <c r="AU391" s="87"/>
      <c r="AV391" s="87"/>
      <c r="AW391" s="87"/>
      <c r="AX391" s="87"/>
      <c r="AY391" s="87"/>
      <c r="AZ391" s="87"/>
      <c r="BA391" s="87"/>
      <c r="BB391" s="87"/>
      <c r="BC391" s="87"/>
      <c r="BD391" s="87"/>
      <c r="BE391" s="87"/>
      <c r="BF391" s="87"/>
      <c r="BG391" s="87"/>
      <c r="BH391" s="87"/>
    </row>
    <row r="392" spans="1:60" ht="16">
      <c r="A392" s="82"/>
      <c r="B392" s="82"/>
      <c r="C392" s="82"/>
      <c r="D392" s="83"/>
      <c r="E392" s="84"/>
      <c r="F392" s="84"/>
      <c r="G392" s="84"/>
      <c r="H392" s="82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7"/>
      <c r="AA392" s="87"/>
      <c r="AB392" s="87"/>
      <c r="AC392" s="87"/>
      <c r="AD392" s="87"/>
      <c r="AE392" s="87"/>
      <c r="AF392" s="87"/>
      <c r="AG392" s="87"/>
      <c r="AH392" s="87"/>
      <c r="AI392" s="87"/>
      <c r="AJ392" s="87"/>
      <c r="AK392" s="87"/>
      <c r="AL392" s="87"/>
      <c r="AM392" s="87"/>
      <c r="AN392" s="87"/>
      <c r="AO392" s="87"/>
      <c r="AP392" s="87"/>
      <c r="AQ392" s="87"/>
      <c r="AR392" s="87"/>
      <c r="AS392" s="87"/>
      <c r="AT392" s="87"/>
      <c r="AU392" s="87"/>
      <c r="AV392" s="87"/>
      <c r="AW392" s="87"/>
      <c r="AX392" s="87"/>
      <c r="AY392" s="87"/>
      <c r="AZ392" s="87"/>
      <c r="BA392" s="87"/>
      <c r="BB392" s="87"/>
      <c r="BC392" s="87"/>
      <c r="BD392" s="87"/>
      <c r="BE392" s="87"/>
      <c r="BF392" s="87"/>
      <c r="BG392" s="87"/>
      <c r="BH392" s="87"/>
    </row>
    <row r="393" spans="1:60" ht="16">
      <c r="A393" s="82"/>
      <c r="B393" s="82"/>
      <c r="C393" s="82"/>
      <c r="D393" s="83"/>
      <c r="E393" s="84"/>
      <c r="F393" s="84"/>
      <c r="G393" s="84"/>
      <c r="H393" s="82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7"/>
      <c r="AA393" s="87"/>
      <c r="AB393" s="87"/>
      <c r="AC393" s="87"/>
      <c r="AD393" s="87"/>
      <c r="AE393" s="87"/>
      <c r="AF393" s="87"/>
      <c r="AG393" s="87"/>
      <c r="AH393" s="87"/>
      <c r="AI393" s="87"/>
      <c r="AJ393" s="87"/>
      <c r="AK393" s="87"/>
      <c r="AL393" s="87"/>
      <c r="AM393" s="87"/>
      <c r="AN393" s="87"/>
      <c r="AO393" s="87"/>
      <c r="AP393" s="87"/>
      <c r="AQ393" s="87"/>
      <c r="AR393" s="87"/>
      <c r="AS393" s="87"/>
      <c r="AT393" s="87"/>
      <c r="AU393" s="87"/>
      <c r="AV393" s="87"/>
      <c r="AW393" s="87"/>
      <c r="AX393" s="87"/>
      <c r="AY393" s="87"/>
      <c r="AZ393" s="87"/>
      <c r="BA393" s="87"/>
      <c r="BB393" s="87"/>
      <c r="BC393" s="87"/>
      <c r="BD393" s="87"/>
      <c r="BE393" s="87"/>
      <c r="BF393" s="87"/>
      <c r="BG393" s="87"/>
      <c r="BH393" s="87"/>
    </row>
    <row r="394" spans="1:60" ht="16">
      <c r="A394" s="82"/>
      <c r="B394" s="82"/>
      <c r="C394" s="82"/>
      <c r="D394" s="83"/>
      <c r="E394" s="84"/>
      <c r="F394" s="84"/>
      <c r="G394" s="84"/>
      <c r="H394" s="82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7"/>
      <c r="AA394" s="87"/>
      <c r="AB394" s="87"/>
      <c r="AC394" s="87"/>
      <c r="AD394" s="87"/>
      <c r="AE394" s="87"/>
      <c r="AF394" s="87"/>
      <c r="AG394" s="87"/>
      <c r="AH394" s="87"/>
      <c r="AI394" s="87"/>
      <c r="AJ394" s="87"/>
      <c r="AK394" s="87"/>
      <c r="AL394" s="87"/>
      <c r="AM394" s="87"/>
      <c r="AN394" s="87"/>
      <c r="AO394" s="87"/>
      <c r="AP394" s="87"/>
      <c r="AQ394" s="87"/>
      <c r="AR394" s="87"/>
      <c r="AS394" s="87"/>
      <c r="AT394" s="87"/>
      <c r="AU394" s="87"/>
      <c r="AV394" s="87"/>
      <c r="AW394" s="87"/>
      <c r="AX394" s="87"/>
      <c r="AY394" s="87"/>
      <c r="AZ394" s="87"/>
      <c r="BA394" s="87"/>
      <c r="BB394" s="87"/>
      <c r="BC394" s="87"/>
      <c r="BD394" s="87"/>
      <c r="BE394" s="87"/>
      <c r="BF394" s="87"/>
      <c r="BG394" s="87"/>
      <c r="BH394" s="87"/>
    </row>
    <row r="395" spans="1:60" ht="16">
      <c r="A395" s="82"/>
      <c r="B395" s="82"/>
      <c r="C395" s="82"/>
      <c r="D395" s="83"/>
      <c r="E395" s="84"/>
      <c r="F395" s="84"/>
      <c r="G395" s="84"/>
      <c r="H395" s="82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7"/>
      <c r="AA395" s="87"/>
      <c r="AB395" s="87"/>
      <c r="AC395" s="87"/>
      <c r="AD395" s="87"/>
      <c r="AE395" s="87"/>
      <c r="AF395" s="87"/>
      <c r="AG395" s="87"/>
      <c r="AH395" s="87"/>
      <c r="AI395" s="87"/>
      <c r="AJ395" s="87"/>
      <c r="AK395" s="87"/>
      <c r="AL395" s="87"/>
      <c r="AM395" s="87"/>
      <c r="AN395" s="87"/>
      <c r="AO395" s="87"/>
      <c r="AP395" s="87"/>
      <c r="AQ395" s="87"/>
      <c r="AR395" s="87"/>
      <c r="AS395" s="87"/>
      <c r="AT395" s="87"/>
      <c r="AU395" s="87"/>
      <c r="AV395" s="87"/>
      <c r="AW395" s="87"/>
      <c r="AX395" s="87"/>
      <c r="AY395" s="87"/>
      <c r="AZ395" s="87"/>
      <c r="BA395" s="87"/>
      <c r="BB395" s="87"/>
      <c r="BC395" s="87"/>
      <c r="BD395" s="87"/>
      <c r="BE395" s="87"/>
      <c r="BF395" s="87"/>
      <c r="BG395" s="87"/>
      <c r="BH395" s="87"/>
    </row>
    <row r="396" spans="1:60" ht="16">
      <c r="A396" s="82"/>
      <c r="B396" s="82"/>
      <c r="C396" s="82"/>
      <c r="D396" s="83"/>
      <c r="E396" s="84"/>
      <c r="F396" s="84"/>
      <c r="G396" s="84"/>
      <c r="H396" s="82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7"/>
      <c r="AA396" s="87"/>
      <c r="AB396" s="87"/>
      <c r="AC396" s="87"/>
      <c r="AD396" s="87"/>
      <c r="AE396" s="87"/>
      <c r="AF396" s="87"/>
      <c r="AG396" s="87"/>
      <c r="AH396" s="87"/>
      <c r="AI396" s="87"/>
      <c r="AJ396" s="87"/>
      <c r="AK396" s="87"/>
      <c r="AL396" s="87"/>
      <c r="AM396" s="87"/>
      <c r="AN396" s="87"/>
      <c r="AO396" s="87"/>
      <c r="AP396" s="87"/>
      <c r="AQ396" s="87"/>
      <c r="AR396" s="87"/>
      <c r="AS396" s="87"/>
      <c r="AT396" s="87"/>
      <c r="AU396" s="87"/>
      <c r="AV396" s="87"/>
      <c r="AW396" s="87"/>
      <c r="AX396" s="87"/>
      <c r="AY396" s="87"/>
      <c r="AZ396" s="87"/>
      <c r="BA396" s="87"/>
      <c r="BB396" s="87"/>
      <c r="BC396" s="87"/>
      <c r="BD396" s="87"/>
      <c r="BE396" s="87"/>
      <c r="BF396" s="87"/>
      <c r="BG396" s="87"/>
      <c r="BH396" s="87"/>
    </row>
    <row r="397" spans="1:60" ht="16">
      <c r="A397" s="82"/>
      <c r="B397" s="82"/>
      <c r="C397" s="82"/>
      <c r="D397" s="83"/>
      <c r="E397" s="84"/>
      <c r="F397" s="84"/>
      <c r="G397" s="84"/>
      <c r="H397" s="82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7"/>
      <c r="AA397" s="87"/>
      <c r="AB397" s="87"/>
      <c r="AC397" s="87"/>
      <c r="AD397" s="87"/>
      <c r="AE397" s="87"/>
      <c r="AF397" s="87"/>
      <c r="AG397" s="87"/>
      <c r="AH397" s="87"/>
      <c r="AI397" s="87"/>
      <c r="AJ397" s="87"/>
      <c r="AK397" s="87"/>
      <c r="AL397" s="87"/>
      <c r="AM397" s="87"/>
      <c r="AN397" s="87"/>
      <c r="AO397" s="87"/>
      <c r="AP397" s="87"/>
      <c r="AQ397" s="87"/>
      <c r="AR397" s="87"/>
      <c r="AS397" s="87"/>
      <c r="AT397" s="87"/>
      <c r="AU397" s="87"/>
      <c r="AV397" s="87"/>
      <c r="AW397" s="87"/>
      <c r="AX397" s="87"/>
      <c r="AY397" s="87"/>
      <c r="AZ397" s="87"/>
      <c r="BA397" s="87"/>
      <c r="BB397" s="87"/>
      <c r="BC397" s="87"/>
      <c r="BD397" s="87"/>
      <c r="BE397" s="87"/>
      <c r="BF397" s="87"/>
      <c r="BG397" s="87"/>
      <c r="BH397" s="87"/>
    </row>
    <row r="398" spans="1:60" ht="16">
      <c r="A398" s="82"/>
      <c r="B398" s="82"/>
      <c r="C398" s="82"/>
      <c r="D398" s="83"/>
      <c r="E398" s="84"/>
      <c r="F398" s="84"/>
      <c r="G398" s="84"/>
      <c r="H398" s="82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7"/>
      <c r="AA398" s="87"/>
      <c r="AB398" s="87"/>
      <c r="AC398" s="87"/>
      <c r="AD398" s="87"/>
      <c r="AE398" s="87"/>
      <c r="AF398" s="87"/>
      <c r="AG398" s="87"/>
      <c r="AH398" s="87"/>
      <c r="AI398" s="87"/>
      <c r="AJ398" s="87"/>
      <c r="AK398" s="87"/>
      <c r="AL398" s="87"/>
      <c r="AM398" s="87"/>
      <c r="AN398" s="87"/>
      <c r="AO398" s="87"/>
      <c r="AP398" s="87"/>
      <c r="AQ398" s="87"/>
      <c r="AR398" s="87"/>
      <c r="AS398" s="87"/>
      <c r="AT398" s="87"/>
      <c r="AU398" s="87"/>
      <c r="AV398" s="87"/>
      <c r="AW398" s="87"/>
      <c r="AX398" s="87"/>
      <c r="AY398" s="87"/>
      <c r="AZ398" s="87"/>
      <c r="BA398" s="87"/>
      <c r="BB398" s="87"/>
      <c r="BC398" s="87"/>
      <c r="BD398" s="87"/>
      <c r="BE398" s="87"/>
      <c r="BF398" s="87"/>
      <c r="BG398" s="87"/>
      <c r="BH398" s="87"/>
    </row>
    <row r="399" spans="1:60" ht="16">
      <c r="A399" s="82"/>
      <c r="B399" s="82"/>
      <c r="C399" s="82"/>
      <c r="D399" s="83"/>
      <c r="E399" s="84"/>
      <c r="F399" s="84"/>
      <c r="G399" s="84"/>
      <c r="H399" s="82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7"/>
      <c r="AA399" s="87"/>
      <c r="AB399" s="87"/>
      <c r="AC399" s="87"/>
      <c r="AD399" s="87"/>
      <c r="AE399" s="87"/>
      <c r="AF399" s="87"/>
      <c r="AG399" s="87"/>
      <c r="AH399" s="87"/>
      <c r="AI399" s="87"/>
      <c r="AJ399" s="87"/>
      <c r="AK399" s="87"/>
      <c r="AL399" s="87"/>
      <c r="AM399" s="87"/>
      <c r="AN399" s="87"/>
      <c r="AO399" s="87"/>
      <c r="AP399" s="87"/>
      <c r="AQ399" s="87"/>
      <c r="AR399" s="87"/>
      <c r="AS399" s="87"/>
      <c r="AT399" s="87"/>
      <c r="AU399" s="87"/>
      <c r="AV399" s="87"/>
      <c r="AW399" s="87"/>
      <c r="AX399" s="87"/>
      <c r="AY399" s="87"/>
      <c r="AZ399" s="87"/>
      <c r="BA399" s="87"/>
      <c r="BB399" s="87"/>
      <c r="BC399" s="87"/>
      <c r="BD399" s="87"/>
      <c r="BE399" s="87"/>
      <c r="BF399" s="87"/>
      <c r="BG399" s="87"/>
      <c r="BH399" s="87"/>
    </row>
    <row r="400" spans="1:60" ht="16">
      <c r="A400" s="82"/>
      <c r="B400" s="82"/>
      <c r="C400" s="82"/>
      <c r="D400" s="83"/>
      <c r="E400" s="84"/>
      <c r="F400" s="84"/>
      <c r="G400" s="84"/>
      <c r="H400" s="82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7"/>
      <c r="AA400" s="87"/>
      <c r="AB400" s="87"/>
      <c r="AC400" s="87"/>
      <c r="AD400" s="87"/>
      <c r="AE400" s="87"/>
      <c r="AF400" s="87"/>
      <c r="AG400" s="87"/>
      <c r="AH400" s="87"/>
      <c r="AI400" s="87"/>
      <c r="AJ400" s="87"/>
      <c r="AK400" s="87"/>
      <c r="AL400" s="87"/>
      <c r="AM400" s="87"/>
      <c r="AN400" s="87"/>
      <c r="AO400" s="87"/>
      <c r="AP400" s="87"/>
      <c r="AQ400" s="87"/>
      <c r="AR400" s="87"/>
      <c r="AS400" s="87"/>
      <c r="AT400" s="87"/>
      <c r="AU400" s="87"/>
      <c r="AV400" s="87"/>
      <c r="AW400" s="87"/>
      <c r="AX400" s="87"/>
      <c r="AY400" s="87"/>
      <c r="AZ400" s="87"/>
      <c r="BA400" s="87"/>
      <c r="BB400" s="87"/>
      <c r="BC400" s="87"/>
      <c r="BD400" s="87"/>
      <c r="BE400" s="87"/>
      <c r="BF400" s="87"/>
      <c r="BG400" s="87"/>
      <c r="BH400" s="87"/>
    </row>
    <row r="401" spans="1:60" ht="16">
      <c r="A401" s="82"/>
      <c r="B401" s="82"/>
      <c r="C401" s="82"/>
      <c r="D401" s="83"/>
      <c r="E401" s="84"/>
      <c r="F401" s="84"/>
      <c r="G401" s="84"/>
      <c r="H401" s="82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7"/>
      <c r="AA401" s="87"/>
      <c r="AB401" s="87"/>
      <c r="AC401" s="87"/>
      <c r="AD401" s="87"/>
      <c r="AE401" s="87"/>
      <c r="AF401" s="87"/>
      <c r="AG401" s="87"/>
      <c r="AH401" s="87"/>
      <c r="AI401" s="87"/>
      <c r="AJ401" s="87"/>
      <c r="AK401" s="87"/>
      <c r="AL401" s="87"/>
      <c r="AM401" s="87"/>
      <c r="AN401" s="87"/>
      <c r="AO401" s="87"/>
      <c r="AP401" s="87"/>
      <c r="AQ401" s="87"/>
      <c r="AR401" s="87"/>
      <c r="AS401" s="87"/>
      <c r="AT401" s="87"/>
      <c r="AU401" s="87"/>
      <c r="AV401" s="87"/>
      <c r="AW401" s="87"/>
      <c r="AX401" s="87"/>
      <c r="AY401" s="87"/>
      <c r="AZ401" s="87"/>
      <c r="BA401" s="87"/>
      <c r="BB401" s="87"/>
      <c r="BC401" s="87"/>
      <c r="BD401" s="87"/>
      <c r="BE401" s="87"/>
      <c r="BF401" s="87"/>
      <c r="BG401" s="87"/>
      <c r="BH401" s="87"/>
    </row>
    <row r="402" spans="1:60" ht="16">
      <c r="A402" s="82"/>
      <c r="B402" s="82"/>
      <c r="C402" s="82"/>
      <c r="D402" s="83"/>
      <c r="E402" s="84"/>
      <c r="F402" s="84"/>
      <c r="G402" s="84"/>
      <c r="H402" s="82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7"/>
      <c r="AA402" s="87"/>
      <c r="AB402" s="87"/>
      <c r="AC402" s="87"/>
      <c r="AD402" s="87"/>
      <c r="AE402" s="87"/>
      <c r="AF402" s="87"/>
      <c r="AG402" s="87"/>
      <c r="AH402" s="87"/>
      <c r="AI402" s="87"/>
      <c r="AJ402" s="87"/>
      <c r="AK402" s="87"/>
      <c r="AL402" s="87"/>
      <c r="AM402" s="87"/>
      <c r="AN402" s="87"/>
      <c r="AO402" s="87"/>
      <c r="AP402" s="87"/>
      <c r="AQ402" s="87"/>
      <c r="AR402" s="87"/>
      <c r="AS402" s="87"/>
      <c r="AT402" s="87"/>
      <c r="AU402" s="87"/>
      <c r="AV402" s="87"/>
      <c r="AW402" s="87"/>
      <c r="AX402" s="87"/>
      <c r="AY402" s="87"/>
      <c r="AZ402" s="87"/>
      <c r="BA402" s="87"/>
      <c r="BB402" s="87"/>
      <c r="BC402" s="87"/>
      <c r="BD402" s="87"/>
      <c r="BE402" s="87"/>
      <c r="BF402" s="87"/>
      <c r="BG402" s="87"/>
      <c r="BH402" s="87"/>
    </row>
    <row r="403" spans="1:60" ht="16">
      <c r="A403" s="82"/>
      <c r="B403" s="82"/>
      <c r="C403" s="82"/>
      <c r="D403" s="83"/>
      <c r="E403" s="84"/>
      <c r="F403" s="84"/>
      <c r="G403" s="84"/>
      <c r="H403" s="82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7"/>
      <c r="AA403" s="87"/>
      <c r="AB403" s="87"/>
      <c r="AC403" s="87"/>
      <c r="AD403" s="87"/>
      <c r="AE403" s="87"/>
      <c r="AF403" s="87"/>
      <c r="AG403" s="87"/>
      <c r="AH403" s="87"/>
      <c r="AI403" s="87"/>
      <c r="AJ403" s="87"/>
      <c r="AK403" s="87"/>
      <c r="AL403" s="87"/>
      <c r="AM403" s="87"/>
      <c r="AN403" s="87"/>
      <c r="AO403" s="87"/>
      <c r="AP403" s="87"/>
      <c r="AQ403" s="87"/>
      <c r="AR403" s="87"/>
      <c r="AS403" s="87"/>
      <c r="AT403" s="87"/>
      <c r="AU403" s="87"/>
      <c r="AV403" s="87"/>
      <c r="AW403" s="87"/>
      <c r="AX403" s="87"/>
      <c r="AY403" s="87"/>
      <c r="AZ403" s="87"/>
      <c r="BA403" s="87"/>
      <c r="BB403" s="87"/>
      <c r="BC403" s="87"/>
      <c r="BD403" s="87"/>
      <c r="BE403" s="87"/>
      <c r="BF403" s="87"/>
      <c r="BG403" s="87"/>
      <c r="BH403" s="87"/>
    </row>
    <row r="404" spans="1:60" ht="16">
      <c r="A404" s="82"/>
      <c r="B404" s="82"/>
      <c r="C404" s="82"/>
      <c r="D404" s="83"/>
      <c r="E404" s="84"/>
      <c r="F404" s="84"/>
      <c r="G404" s="84"/>
      <c r="H404" s="82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7"/>
      <c r="AA404" s="87"/>
      <c r="AB404" s="87"/>
      <c r="AC404" s="87"/>
      <c r="AD404" s="87"/>
      <c r="AE404" s="87"/>
      <c r="AF404" s="87"/>
      <c r="AG404" s="87"/>
      <c r="AH404" s="87"/>
      <c r="AI404" s="87"/>
      <c r="AJ404" s="87"/>
      <c r="AK404" s="87"/>
      <c r="AL404" s="87"/>
      <c r="AM404" s="87"/>
      <c r="AN404" s="87"/>
      <c r="AO404" s="87"/>
      <c r="AP404" s="87"/>
      <c r="AQ404" s="87"/>
      <c r="AR404" s="87"/>
      <c r="AS404" s="87"/>
      <c r="AT404" s="87"/>
      <c r="AU404" s="87"/>
      <c r="AV404" s="87"/>
      <c r="AW404" s="87"/>
      <c r="AX404" s="87"/>
      <c r="AY404" s="87"/>
      <c r="AZ404" s="87"/>
      <c r="BA404" s="87"/>
      <c r="BB404" s="87"/>
      <c r="BC404" s="87"/>
      <c r="BD404" s="87"/>
      <c r="BE404" s="87"/>
      <c r="BF404" s="87"/>
      <c r="BG404" s="87"/>
      <c r="BH404" s="87"/>
    </row>
    <row r="405" spans="1:60" ht="16">
      <c r="A405" s="82"/>
      <c r="B405" s="82"/>
      <c r="C405" s="82"/>
      <c r="D405" s="83"/>
      <c r="E405" s="84"/>
      <c r="F405" s="84"/>
      <c r="G405" s="84"/>
      <c r="H405" s="82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7"/>
      <c r="AA405" s="87"/>
      <c r="AB405" s="87"/>
      <c r="AC405" s="87"/>
      <c r="AD405" s="87"/>
      <c r="AE405" s="87"/>
      <c r="AF405" s="87"/>
      <c r="AG405" s="87"/>
      <c r="AH405" s="87"/>
      <c r="AI405" s="87"/>
      <c r="AJ405" s="87"/>
      <c r="AK405" s="87"/>
      <c r="AL405" s="87"/>
      <c r="AM405" s="87"/>
      <c r="AN405" s="87"/>
      <c r="AO405" s="87"/>
      <c r="AP405" s="87"/>
      <c r="AQ405" s="87"/>
      <c r="AR405" s="87"/>
      <c r="AS405" s="87"/>
      <c r="AT405" s="87"/>
      <c r="AU405" s="87"/>
      <c r="AV405" s="87"/>
      <c r="AW405" s="87"/>
      <c r="AX405" s="87"/>
      <c r="AY405" s="87"/>
      <c r="AZ405" s="87"/>
      <c r="BA405" s="87"/>
      <c r="BB405" s="87"/>
      <c r="BC405" s="87"/>
      <c r="BD405" s="87"/>
      <c r="BE405" s="87"/>
      <c r="BF405" s="87"/>
      <c r="BG405" s="87"/>
      <c r="BH405" s="87"/>
    </row>
    <row r="406" spans="1:60" ht="16">
      <c r="A406" s="82"/>
      <c r="B406" s="82"/>
      <c r="C406" s="82"/>
      <c r="D406" s="83"/>
      <c r="E406" s="84"/>
      <c r="F406" s="84"/>
      <c r="G406" s="84"/>
      <c r="H406" s="82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7"/>
      <c r="AA406" s="87"/>
      <c r="AB406" s="87"/>
      <c r="AC406" s="87"/>
      <c r="AD406" s="87"/>
      <c r="AE406" s="87"/>
      <c r="AF406" s="87"/>
      <c r="AG406" s="87"/>
      <c r="AH406" s="87"/>
      <c r="AI406" s="87"/>
      <c r="AJ406" s="87"/>
      <c r="AK406" s="87"/>
      <c r="AL406" s="87"/>
      <c r="AM406" s="87"/>
      <c r="AN406" s="87"/>
      <c r="AO406" s="87"/>
      <c r="AP406" s="87"/>
      <c r="AQ406" s="87"/>
      <c r="AR406" s="87"/>
      <c r="AS406" s="87"/>
      <c r="AT406" s="87"/>
      <c r="AU406" s="87"/>
      <c r="AV406" s="87"/>
      <c r="AW406" s="87"/>
      <c r="AX406" s="87"/>
      <c r="AY406" s="87"/>
      <c r="AZ406" s="87"/>
      <c r="BA406" s="87"/>
      <c r="BB406" s="87"/>
      <c r="BC406" s="87"/>
      <c r="BD406" s="87"/>
      <c r="BE406" s="87"/>
      <c r="BF406" s="87"/>
      <c r="BG406" s="87"/>
      <c r="BH406" s="87"/>
    </row>
    <row r="407" spans="1:60" ht="16">
      <c r="A407" s="82"/>
      <c r="B407" s="82"/>
      <c r="C407" s="82"/>
      <c r="D407" s="83"/>
      <c r="E407" s="84"/>
      <c r="F407" s="84"/>
      <c r="G407" s="84"/>
      <c r="H407" s="82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7"/>
      <c r="AA407" s="87"/>
      <c r="AB407" s="87"/>
      <c r="AC407" s="87"/>
      <c r="AD407" s="87"/>
      <c r="AE407" s="87"/>
      <c r="AF407" s="87"/>
      <c r="AG407" s="87"/>
      <c r="AH407" s="87"/>
      <c r="AI407" s="87"/>
      <c r="AJ407" s="87"/>
      <c r="AK407" s="87"/>
      <c r="AL407" s="87"/>
      <c r="AM407" s="87"/>
      <c r="AN407" s="87"/>
      <c r="AO407" s="87"/>
      <c r="AP407" s="87"/>
      <c r="AQ407" s="87"/>
      <c r="AR407" s="87"/>
      <c r="AS407" s="87"/>
      <c r="AT407" s="87"/>
      <c r="AU407" s="87"/>
      <c r="AV407" s="87"/>
      <c r="AW407" s="87"/>
      <c r="AX407" s="87"/>
      <c r="AY407" s="87"/>
      <c r="AZ407" s="87"/>
      <c r="BA407" s="87"/>
      <c r="BB407" s="87"/>
      <c r="BC407" s="87"/>
      <c r="BD407" s="87"/>
      <c r="BE407" s="87"/>
      <c r="BF407" s="87"/>
      <c r="BG407" s="87"/>
      <c r="BH407" s="87"/>
    </row>
    <row r="408" spans="1:60" ht="16">
      <c r="A408" s="82"/>
      <c r="B408" s="82"/>
      <c r="C408" s="82"/>
      <c r="D408" s="83"/>
      <c r="E408" s="84"/>
      <c r="F408" s="84"/>
      <c r="G408" s="84"/>
      <c r="H408" s="82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7"/>
      <c r="AA408" s="87"/>
      <c r="AB408" s="87"/>
      <c r="AC408" s="87"/>
      <c r="AD408" s="87"/>
      <c r="AE408" s="87"/>
      <c r="AF408" s="87"/>
      <c r="AG408" s="87"/>
      <c r="AH408" s="87"/>
      <c r="AI408" s="87"/>
      <c r="AJ408" s="87"/>
      <c r="AK408" s="87"/>
      <c r="AL408" s="87"/>
      <c r="AM408" s="87"/>
      <c r="AN408" s="87"/>
      <c r="AO408" s="87"/>
      <c r="AP408" s="87"/>
      <c r="AQ408" s="87"/>
      <c r="AR408" s="87"/>
      <c r="AS408" s="87"/>
      <c r="AT408" s="87"/>
      <c r="AU408" s="87"/>
      <c r="AV408" s="87"/>
      <c r="AW408" s="87"/>
      <c r="AX408" s="87"/>
      <c r="AY408" s="87"/>
      <c r="AZ408" s="87"/>
      <c r="BA408" s="87"/>
      <c r="BB408" s="87"/>
      <c r="BC408" s="87"/>
      <c r="BD408" s="87"/>
      <c r="BE408" s="87"/>
      <c r="BF408" s="87"/>
      <c r="BG408" s="87"/>
      <c r="BH408" s="87"/>
    </row>
    <row r="409" spans="1:60" ht="16">
      <c r="A409" s="82"/>
      <c r="B409" s="82"/>
      <c r="C409" s="82"/>
      <c r="D409" s="83"/>
      <c r="E409" s="84"/>
      <c r="F409" s="84"/>
      <c r="G409" s="84"/>
      <c r="H409" s="82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7"/>
      <c r="AA409" s="87"/>
      <c r="AB409" s="87"/>
      <c r="AC409" s="87"/>
      <c r="AD409" s="87"/>
      <c r="AE409" s="87"/>
      <c r="AF409" s="87"/>
      <c r="AG409" s="87"/>
      <c r="AH409" s="87"/>
      <c r="AI409" s="87"/>
      <c r="AJ409" s="87"/>
      <c r="AK409" s="87"/>
      <c r="AL409" s="87"/>
      <c r="AM409" s="87"/>
      <c r="AN409" s="87"/>
      <c r="AO409" s="87"/>
      <c r="AP409" s="87"/>
      <c r="AQ409" s="87"/>
      <c r="AR409" s="87"/>
      <c r="AS409" s="87"/>
      <c r="AT409" s="87"/>
      <c r="AU409" s="87"/>
      <c r="AV409" s="87"/>
      <c r="AW409" s="87"/>
      <c r="AX409" s="87"/>
      <c r="AY409" s="87"/>
      <c r="AZ409" s="87"/>
      <c r="BA409" s="87"/>
      <c r="BB409" s="87"/>
      <c r="BC409" s="87"/>
      <c r="BD409" s="87"/>
      <c r="BE409" s="87"/>
      <c r="BF409" s="87"/>
      <c r="BG409" s="87"/>
      <c r="BH409" s="87"/>
    </row>
    <row r="410" spans="1:60" ht="16">
      <c r="A410" s="82"/>
      <c r="B410" s="82"/>
      <c r="C410" s="82"/>
      <c r="D410" s="83"/>
      <c r="E410" s="84"/>
      <c r="F410" s="84"/>
      <c r="G410" s="84"/>
      <c r="H410" s="82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7"/>
      <c r="AA410" s="87"/>
      <c r="AB410" s="87"/>
      <c r="AC410" s="87"/>
      <c r="AD410" s="87"/>
      <c r="AE410" s="87"/>
      <c r="AF410" s="87"/>
      <c r="AG410" s="87"/>
      <c r="AH410" s="87"/>
      <c r="AI410" s="87"/>
      <c r="AJ410" s="87"/>
      <c r="AK410" s="87"/>
      <c r="AL410" s="87"/>
      <c r="AM410" s="87"/>
      <c r="AN410" s="87"/>
      <c r="AO410" s="87"/>
      <c r="AP410" s="87"/>
      <c r="AQ410" s="87"/>
      <c r="AR410" s="87"/>
      <c r="AS410" s="87"/>
      <c r="AT410" s="87"/>
      <c r="AU410" s="87"/>
      <c r="AV410" s="87"/>
      <c r="AW410" s="87"/>
      <c r="AX410" s="87"/>
      <c r="AY410" s="87"/>
      <c r="AZ410" s="87"/>
      <c r="BA410" s="87"/>
      <c r="BB410" s="87"/>
      <c r="BC410" s="87"/>
      <c r="BD410" s="87"/>
      <c r="BE410" s="87"/>
      <c r="BF410" s="87"/>
      <c r="BG410" s="87"/>
      <c r="BH410" s="87"/>
    </row>
    <row r="411" spans="1:60" ht="16">
      <c r="A411" s="82"/>
      <c r="B411" s="82"/>
      <c r="C411" s="82"/>
      <c r="D411" s="83"/>
      <c r="E411" s="84"/>
      <c r="F411" s="84"/>
      <c r="G411" s="84"/>
      <c r="H411" s="82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7"/>
      <c r="AA411" s="87"/>
      <c r="AB411" s="87"/>
      <c r="AC411" s="87"/>
      <c r="AD411" s="87"/>
      <c r="AE411" s="87"/>
      <c r="AF411" s="87"/>
      <c r="AG411" s="87"/>
      <c r="AH411" s="87"/>
      <c r="AI411" s="87"/>
      <c r="AJ411" s="87"/>
      <c r="AK411" s="87"/>
      <c r="AL411" s="87"/>
      <c r="AM411" s="87"/>
      <c r="AN411" s="87"/>
      <c r="AO411" s="87"/>
      <c r="AP411" s="87"/>
      <c r="AQ411" s="87"/>
      <c r="AR411" s="87"/>
      <c r="AS411" s="87"/>
      <c r="AT411" s="87"/>
      <c r="AU411" s="87"/>
      <c r="AV411" s="87"/>
      <c r="AW411" s="87"/>
      <c r="AX411" s="87"/>
      <c r="AY411" s="87"/>
      <c r="AZ411" s="87"/>
      <c r="BA411" s="87"/>
      <c r="BB411" s="87"/>
      <c r="BC411" s="87"/>
      <c r="BD411" s="87"/>
      <c r="BE411" s="87"/>
      <c r="BF411" s="87"/>
      <c r="BG411" s="87"/>
      <c r="BH411" s="87"/>
    </row>
    <row r="412" spans="1:60" ht="16">
      <c r="A412" s="82"/>
      <c r="B412" s="82"/>
      <c r="C412" s="82"/>
      <c r="D412" s="83"/>
      <c r="E412" s="84"/>
      <c r="F412" s="84"/>
      <c r="G412" s="84"/>
      <c r="H412" s="82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7"/>
      <c r="AA412" s="87"/>
      <c r="AB412" s="87"/>
      <c r="AC412" s="87"/>
      <c r="AD412" s="87"/>
      <c r="AE412" s="87"/>
      <c r="AF412" s="87"/>
      <c r="AG412" s="87"/>
      <c r="AH412" s="87"/>
      <c r="AI412" s="87"/>
      <c r="AJ412" s="87"/>
      <c r="AK412" s="87"/>
      <c r="AL412" s="87"/>
      <c r="AM412" s="87"/>
      <c r="AN412" s="87"/>
      <c r="AO412" s="87"/>
      <c r="AP412" s="87"/>
      <c r="AQ412" s="87"/>
      <c r="AR412" s="87"/>
      <c r="AS412" s="87"/>
      <c r="AT412" s="87"/>
      <c r="AU412" s="87"/>
      <c r="AV412" s="87"/>
      <c r="AW412" s="87"/>
      <c r="AX412" s="87"/>
      <c r="AY412" s="87"/>
      <c r="AZ412" s="87"/>
      <c r="BA412" s="87"/>
      <c r="BB412" s="87"/>
      <c r="BC412" s="87"/>
      <c r="BD412" s="87"/>
      <c r="BE412" s="87"/>
      <c r="BF412" s="87"/>
      <c r="BG412" s="87"/>
      <c r="BH412" s="87"/>
    </row>
    <row r="413" spans="1:60" ht="16">
      <c r="A413" s="82"/>
      <c r="B413" s="82"/>
      <c r="C413" s="82"/>
      <c r="D413" s="83"/>
      <c r="E413" s="84"/>
      <c r="F413" s="84"/>
      <c r="G413" s="84"/>
      <c r="H413" s="82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7"/>
      <c r="AA413" s="87"/>
      <c r="AB413" s="87"/>
      <c r="AC413" s="87"/>
      <c r="AD413" s="87"/>
      <c r="AE413" s="87"/>
      <c r="AF413" s="87"/>
      <c r="AG413" s="87"/>
      <c r="AH413" s="87"/>
      <c r="AI413" s="87"/>
      <c r="AJ413" s="87"/>
      <c r="AK413" s="87"/>
      <c r="AL413" s="87"/>
      <c r="AM413" s="87"/>
      <c r="AN413" s="87"/>
      <c r="AO413" s="87"/>
      <c r="AP413" s="87"/>
      <c r="AQ413" s="87"/>
      <c r="AR413" s="87"/>
      <c r="AS413" s="87"/>
      <c r="AT413" s="87"/>
      <c r="AU413" s="87"/>
      <c r="AV413" s="87"/>
      <c r="AW413" s="87"/>
      <c r="AX413" s="87"/>
      <c r="AY413" s="87"/>
      <c r="AZ413" s="87"/>
      <c r="BA413" s="87"/>
      <c r="BB413" s="87"/>
      <c r="BC413" s="87"/>
      <c r="BD413" s="87"/>
      <c r="BE413" s="87"/>
      <c r="BF413" s="87"/>
      <c r="BG413" s="87"/>
      <c r="BH413" s="87"/>
    </row>
    <row r="414" spans="1:60" ht="16">
      <c r="A414" s="82"/>
      <c r="B414" s="82"/>
      <c r="C414" s="82"/>
      <c r="D414" s="83"/>
      <c r="E414" s="84"/>
      <c r="F414" s="84"/>
      <c r="G414" s="84"/>
      <c r="H414" s="82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7"/>
      <c r="AA414" s="87"/>
      <c r="AB414" s="87"/>
      <c r="AC414" s="87"/>
      <c r="AD414" s="87"/>
      <c r="AE414" s="87"/>
      <c r="AF414" s="87"/>
      <c r="AG414" s="87"/>
      <c r="AH414" s="87"/>
      <c r="AI414" s="87"/>
      <c r="AJ414" s="87"/>
      <c r="AK414" s="87"/>
      <c r="AL414" s="87"/>
      <c r="AM414" s="87"/>
      <c r="AN414" s="87"/>
      <c r="AO414" s="87"/>
      <c r="AP414" s="87"/>
      <c r="AQ414" s="87"/>
      <c r="AR414" s="87"/>
      <c r="AS414" s="87"/>
      <c r="AT414" s="87"/>
      <c r="AU414" s="87"/>
      <c r="AV414" s="87"/>
      <c r="AW414" s="87"/>
      <c r="AX414" s="87"/>
      <c r="AY414" s="87"/>
      <c r="AZ414" s="87"/>
      <c r="BA414" s="87"/>
      <c r="BB414" s="87"/>
      <c r="BC414" s="87"/>
      <c r="BD414" s="87"/>
      <c r="BE414" s="87"/>
      <c r="BF414" s="87"/>
      <c r="BG414" s="87"/>
      <c r="BH414" s="87"/>
    </row>
    <row r="415" spans="1:60" ht="16">
      <c r="A415" s="82"/>
      <c r="B415" s="82"/>
      <c r="C415" s="82"/>
      <c r="D415" s="83"/>
      <c r="E415" s="84"/>
      <c r="F415" s="84"/>
      <c r="G415" s="84"/>
      <c r="H415" s="82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7"/>
      <c r="AA415" s="87"/>
      <c r="AB415" s="87"/>
      <c r="AC415" s="87"/>
      <c r="AD415" s="87"/>
      <c r="AE415" s="87"/>
      <c r="AF415" s="87"/>
      <c r="AG415" s="87"/>
      <c r="AH415" s="87"/>
      <c r="AI415" s="87"/>
      <c r="AJ415" s="87"/>
      <c r="AK415" s="87"/>
      <c r="AL415" s="87"/>
      <c r="AM415" s="87"/>
      <c r="AN415" s="87"/>
      <c r="AO415" s="87"/>
      <c r="AP415" s="87"/>
      <c r="AQ415" s="87"/>
      <c r="AR415" s="87"/>
      <c r="AS415" s="87"/>
      <c r="AT415" s="87"/>
      <c r="AU415" s="87"/>
      <c r="AV415" s="87"/>
      <c r="AW415" s="87"/>
      <c r="AX415" s="87"/>
      <c r="AY415" s="87"/>
      <c r="AZ415" s="87"/>
      <c r="BA415" s="87"/>
      <c r="BB415" s="87"/>
      <c r="BC415" s="87"/>
      <c r="BD415" s="87"/>
      <c r="BE415" s="87"/>
      <c r="BF415" s="87"/>
      <c r="BG415" s="87"/>
      <c r="BH415" s="87"/>
    </row>
    <row r="416" spans="1:60" ht="16">
      <c r="A416" s="82"/>
      <c r="B416" s="82"/>
      <c r="C416" s="82"/>
      <c r="D416" s="83"/>
      <c r="E416" s="84"/>
      <c r="F416" s="84"/>
      <c r="G416" s="84"/>
      <c r="H416" s="82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7"/>
      <c r="AA416" s="87"/>
      <c r="AB416" s="87"/>
      <c r="AC416" s="87"/>
      <c r="AD416" s="87"/>
      <c r="AE416" s="87"/>
      <c r="AF416" s="87"/>
      <c r="AG416" s="87"/>
      <c r="AH416" s="87"/>
      <c r="AI416" s="87"/>
      <c r="AJ416" s="87"/>
      <c r="AK416" s="87"/>
      <c r="AL416" s="87"/>
      <c r="AM416" s="87"/>
      <c r="AN416" s="87"/>
      <c r="AO416" s="87"/>
      <c r="AP416" s="87"/>
      <c r="AQ416" s="87"/>
      <c r="AR416" s="87"/>
      <c r="AS416" s="87"/>
      <c r="AT416" s="87"/>
      <c r="AU416" s="87"/>
      <c r="AV416" s="87"/>
      <c r="AW416" s="87"/>
      <c r="AX416" s="87"/>
      <c r="AY416" s="87"/>
      <c r="AZ416" s="87"/>
      <c r="BA416" s="87"/>
      <c r="BB416" s="87"/>
      <c r="BC416" s="87"/>
      <c r="BD416" s="87"/>
      <c r="BE416" s="87"/>
      <c r="BF416" s="87"/>
      <c r="BG416" s="87"/>
      <c r="BH416" s="87"/>
    </row>
    <row r="417" spans="1:60" ht="16">
      <c r="A417" s="82"/>
      <c r="B417" s="82"/>
      <c r="C417" s="82"/>
      <c r="D417" s="83"/>
      <c r="E417" s="84"/>
      <c r="F417" s="84"/>
      <c r="G417" s="84"/>
      <c r="H417" s="82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7"/>
      <c r="AA417" s="87"/>
      <c r="AB417" s="87"/>
      <c r="AC417" s="87"/>
      <c r="AD417" s="87"/>
      <c r="AE417" s="87"/>
      <c r="AF417" s="87"/>
      <c r="AG417" s="87"/>
      <c r="AH417" s="87"/>
      <c r="AI417" s="87"/>
      <c r="AJ417" s="87"/>
      <c r="AK417" s="87"/>
      <c r="AL417" s="87"/>
      <c r="AM417" s="87"/>
      <c r="AN417" s="87"/>
      <c r="AO417" s="87"/>
      <c r="AP417" s="87"/>
      <c r="AQ417" s="87"/>
      <c r="AR417" s="87"/>
      <c r="AS417" s="87"/>
      <c r="AT417" s="87"/>
      <c r="AU417" s="87"/>
      <c r="AV417" s="87"/>
      <c r="AW417" s="87"/>
      <c r="AX417" s="87"/>
      <c r="AY417" s="87"/>
      <c r="AZ417" s="87"/>
      <c r="BA417" s="87"/>
      <c r="BB417" s="87"/>
      <c r="BC417" s="87"/>
      <c r="BD417" s="87"/>
      <c r="BE417" s="87"/>
      <c r="BF417" s="87"/>
      <c r="BG417" s="87"/>
      <c r="BH417" s="87"/>
    </row>
    <row r="418" spans="1:60" ht="16">
      <c r="A418" s="82"/>
      <c r="B418" s="82"/>
      <c r="C418" s="82"/>
      <c r="D418" s="83"/>
      <c r="E418" s="84"/>
      <c r="F418" s="84"/>
      <c r="G418" s="84"/>
      <c r="H418" s="82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7"/>
      <c r="AA418" s="87"/>
      <c r="AB418" s="87"/>
      <c r="AC418" s="87"/>
      <c r="AD418" s="87"/>
      <c r="AE418" s="87"/>
      <c r="AF418" s="87"/>
      <c r="AG418" s="87"/>
      <c r="AH418" s="87"/>
      <c r="AI418" s="87"/>
      <c r="AJ418" s="87"/>
      <c r="AK418" s="87"/>
      <c r="AL418" s="87"/>
      <c r="AM418" s="87"/>
      <c r="AN418" s="87"/>
      <c r="AO418" s="87"/>
      <c r="AP418" s="87"/>
      <c r="AQ418" s="87"/>
      <c r="AR418" s="87"/>
      <c r="AS418" s="87"/>
      <c r="AT418" s="87"/>
      <c r="AU418" s="87"/>
      <c r="AV418" s="87"/>
      <c r="AW418" s="87"/>
      <c r="AX418" s="87"/>
      <c r="AY418" s="87"/>
      <c r="AZ418" s="87"/>
      <c r="BA418" s="87"/>
      <c r="BB418" s="87"/>
      <c r="BC418" s="87"/>
      <c r="BD418" s="87"/>
      <c r="BE418" s="87"/>
      <c r="BF418" s="87"/>
      <c r="BG418" s="87"/>
      <c r="BH418" s="87"/>
    </row>
    <row r="419" spans="1:60" ht="16">
      <c r="A419" s="82"/>
      <c r="B419" s="82"/>
      <c r="C419" s="82"/>
      <c r="D419" s="83"/>
      <c r="E419" s="84"/>
      <c r="F419" s="84"/>
      <c r="G419" s="84"/>
      <c r="H419" s="82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7"/>
      <c r="AA419" s="87"/>
      <c r="AB419" s="87"/>
      <c r="AC419" s="87"/>
      <c r="AD419" s="87"/>
      <c r="AE419" s="87"/>
      <c r="AF419" s="87"/>
      <c r="AG419" s="87"/>
      <c r="AH419" s="87"/>
      <c r="AI419" s="87"/>
      <c r="AJ419" s="87"/>
      <c r="AK419" s="87"/>
      <c r="AL419" s="87"/>
      <c r="AM419" s="87"/>
      <c r="AN419" s="87"/>
      <c r="AO419" s="87"/>
      <c r="AP419" s="87"/>
      <c r="AQ419" s="87"/>
      <c r="AR419" s="87"/>
      <c r="AS419" s="87"/>
      <c r="AT419" s="87"/>
      <c r="AU419" s="87"/>
      <c r="AV419" s="87"/>
      <c r="AW419" s="87"/>
      <c r="AX419" s="87"/>
      <c r="AY419" s="87"/>
      <c r="AZ419" s="87"/>
      <c r="BA419" s="87"/>
      <c r="BB419" s="87"/>
      <c r="BC419" s="87"/>
      <c r="BD419" s="87"/>
      <c r="BE419" s="87"/>
      <c r="BF419" s="87"/>
      <c r="BG419" s="87"/>
      <c r="BH419" s="87"/>
    </row>
    <row r="420" spans="1:60" ht="16">
      <c r="A420" s="82"/>
      <c r="B420" s="82"/>
      <c r="C420" s="82"/>
      <c r="D420" s="83"/>
      <c r="E420" s="84"/>
      <c r="F420" s="84"/>
      <c r="G420" s="84"/>
      <c r="H420" s="82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7"/>
      <c r="AA420" s="87"/>
      <c r="AB420" s="87"/>
      <c r="AC420" s="87"/>
      <c r="AD420" s="87"/>
      <c r="AE420" s="87"/>
      <c r="AF420" s="87"/>
      <c r="AG420" s="87"/>
      <c r="AH420" s="87"/>
      <c r="AI420" s="87"/>
      <c r="AJ420" s="87"/>
      <c r="AK420" s="87"/>
      <c r="AL420" s="87"/>
      <c r="AM420" s="87"/>
      <c r="AN420" s="87"/>
      <c r="AO420" s="87"/>
      <c r="AP420" s="87"/>
      <c r="AQ420" s="87"/>
      <c r="AR420" s="87"/>
      <c r="AS420" s="87"/>
      <c r="AT420" s="87"/>
      <c r="AU420" s="87"/>
      <c r="AV420" s="87"/>
      <c r="AW420" s="87"/>
      <c r="AX420" s="87"/>
      <c r="AY420" s="87"/>
      <c r="AZ420" s="87"/>
      <c r="BA420" s="87"/>
      <c r="BB420" s="87"/>
      <c r="BC420" s="87"/>
      <c r="BD420" s="87"/>
      <c r="BE420" s="87"/>
      <c r="BF420" s="87"/>
      <c r="BG420" s="87"/>
      <c r="BH420" s="87"/>
    </row>
    <row r="421" spans="1:60" ht="16">
      <c r="A421" s="82"/>
      <c r="B421" s="82"/>
      <c r="C421" s="82"/>
      <c r="D421" s="83"/>
      <c r="E421" s="84"/>
      <c r="F421" s="84"/>
      <c r="G421" s="84"/>
      <c r="H421" s="82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7"/>
      <c r="AA421" s="87"/>
      <c r="AB421" s="87"/>
      <c r="AC421" s="87"/>
      <c r="AD421" s="87"/>
      <c r="AE421" s="87"/>
      <c r="AF421" s="87"/>
      <c r="AG421" s="87"/>
      <c r="AH421" s="87"/>
      <c r="AI421" s="87"/>
      <c r="AJ421" s="87"/>
      <c r="AK421" s="87"/>
      <c r="AL421" s="87"/>
      <c r="AM421" s="87"/>
      <c r="AN421" s="87"/>
      <c r="AO421" s="87"/>
      <c r="AP421" s="87"/>
      <c r="AQ421" s="87"/>
      <c r="AR421" s="87"/>
      <c r="AS421" s="87"/>
      <c r="AT421" s="87"/>
      <c r="AU421" s="87"/>
      <c r="AV421" s="87"/>
      <c r="AW421" s="87"/>
      <c r="AX421" s="87"/>
      <c r="AY421" s="87"/>
      <c r="AZ421" s="87"/>
      <c r="BA421" s="87"/>
      <c r="BB421" s="87"/>
      <c r="BC421" s="87"/>
      <c r="BD421" s="87"/>
      <c r="BE421" s="87"/>
      <c r="BF421" s="87"/>
      <c r="BG421" s="87"/>
      <c r="BH421" s="87"/>
    </row>
    <row r="422" spans="1:60" ht="16">
      <c r="A422" s="82"/>
      <c r="B422" s="82"/>
      <c r="C422" s="82"/>
      <c r="D422" s="83"/>
      <c r="E422" s="84"/>
      <c r="F422" s="84"/>
      <c r="G422" s="84"/>
      <c r="H422" s="82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7"/>
      <c r="AA422" s="87"/>
      <c r="AB422" s="87"/>
      <c r="AC422" s="87"/>
      <c r="AD422" s="87"/>
      <c r="AE422" s="87"/>
      <c r="AF422" s="87"/>
      <c r="AG422" s="87"/>
      <c r="AH422" s="87"/>
      <c r="AI422" s="87"/>
      <c r="AJ422" s="87"/>
      <c r="AK422" s="87"/>
      <c r="AL422" s="87"/>
      <c r="AM422" s="87"/>
      <c r="AN422" s="87"/>
      <c r="AO422" s="87"/>
      <c r="AP422" s="87"/>
      <c r="AQ422" s="87"/>
      <c r="AR422" s="87"/>
      <c r="AS422" s="87"/>
      <c r="AT422" s="87"/>
      <c r="AU422" s="87"/>
      <c r="AV422" s="87"/>
      <c r="AW422" s="87"/>
      <c r="AX422" s="87"/>
      <c r="AY422" s="87"/>
      <c r="AZ422" s="87"/>
      <c r="BA422" s="87"/>
      <c r="BB422" s="87"/>
      <c r="BC422" s="87"/>
      <c r="BD422" s="87"/>
      <c r="BE422" s="87"/>
      <c r="BF422" s="87"/>
      <c r="BG422" s="87"/>
      <c r="BH422" s="87"/>
    </row>
    <row r="423" spans="1:60" ht="16">
      <c r="A423" s="82"/>
      <c r="B423" s="82"/>
      <c r="C423" s="82"/>
      <c r="D423" s="83"/>
      <c r="E423" s="84"/>
      <c r="F423" s="84"/>
      <c r="G423" s="84"/>
      <c r="H423" s="82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7"/>
      <c r="AA423" s="87"/>
      <c r="AB423" s="87"/>
      <c r="AC423" s="87"/>
      <c r="AD423" s="87"/>
      <c r="AE423" s="87"/>
      <c r="AF423" s="87"/>
      <c r="AG423" s="87"/>
      <c r="AH423" s="87"/>
      <c r="AI423" s="87"/>
      <c r="AJ423" s="87"/>
      <c r="AK423" s="87"/>
      <c r="AL423" s="87"/>
      <c r="AM423" s="87"/>
      <c r="AN423" s="87"/>
      <c r="AO423" s="87"/>
      <c r="AP423" s="87"/>
      <c r="AQ423" s="87"/>
      <c r="AR423" s="87"/>
      <c r="AS423" s="87"/>
      <c r="AT423" s="87"/>
      <c r="AU423" s="87"/>
      <c r="AV423" s="87"/>
      <c r="AW423" s="87"/>
      <c r="AX423" s="87"/>
      <c r="AY423" s="87"/>
      <c r="AZ423" s="87"/>
      <c r="BA423" s="87"/>
      <c r="BB423" s="87"/>
      <c r="BC423" s="87"/>
      <c r="BD423" s="87"/>
      <c r="BE423" s="87"/>
      <c r="BF423" s="87"/>
      <c r="BG423" s="87"/>
      <c r="BH423" s="87"/>
    </row>
    <row r="424" spans="1:60" ht="16">
      <c r="A424" s="82"/>
      <c r="B424" s="82"/>
      <c r="C424" s="82"/>
      <c r="D424" s="83"/>
      <c r="E424" s="84"/>
      <c r="F424" s="84"/>
      <c r="G424" s="84"/>
      <c r="H424" s="82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7"/>
      <c r="AA424" s="87"/>
      <c r="AB424" s="87"/>
      <c r="AC424" s="87"/>
      <c r="AD424" s="87"/>
      <c r="AE424" s="87"/>
      <c r="AF424" s="87"/>
      <c r="AG424" s="87"/>
      <c r="AH424" s="87"/>
      <c r="AI424" s="87"/>
      <c r="AJ424" s="87"/>
      <c r="AK424" s="87"/>
      <c r="AL424" s="87"/>
      <c r="AM424" s="87"/>
      <c r="AN424" s="87"/>
      <c r="AO424" s="87"/>
      <c r="AP424" s="87"/>
      <c r="AQ424" s="87"/>
      <c r="AR424" s="87"/>
      <c r="AS424" s="87"/>
      <c r="AT424" s="87"/>
      <c r="AU424" s="87"/>
      <c r="AV424" s="87"/>
      <c r="AW424" s="87"/>
      <c r="AX424" s="87"/>
      <c r="AY424" s="87"/>
      <c r="AZ424" s="87"/>
      <c r="BA424" s="87"/>
      <c r="BB424" s="87"/>
      <c r="BC424" s="87"/>
      <c r="BD424" s="87"/>
      <c r="BE424" s="87"/>
      <c r="BF424" s="87"/>
      <c r="BG424" s="87"/>
      <c r="BH424" s="87"/>
    </row>
    <row r="425" spans="1:60" ht="16">
      <c r="A425" s="82"/>
      <c r="B425" s="82"/>
      <c r="C425" s="82"/>
      <c r="D425" s="83"/>
      <c r="E425" s="84"/>
      <c r="F425" s="84"/>
      <c r="G425" s="84"/>
      <c r="H425" s="82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7"/>
      <c r="AA425" s="87"/>
      <c r="AB425" s="87"/>
      <c r="AC425" s="87"/>
      <c r="AD425" s="87"/>
      <c r="AE425" s="87"/>
      <c r="AF425" s="87"/>
      <c r="AG425" s="87"/>
      <c r="AH425" s="87"/>
      <c r="AI425" s="87"/>
      <c r="AJ425" s="87"/>
      <c r="AK425" s="87"/>
      <c r="AL425" s="87"/>
      <c r="AM425" s="87"/>
      <c r="AN425" s="87"/>
      <c r="AO425" s="87"/>
      <c r="AP425" s="87"/>
      <c r="AQ425" s="87"/>
      <c r="AR425" s="87"/>
      <c r="AS425" s="87"/>
      <c r="AT425" s="87"/>
      <c r="AU425" s="87"/>
      <c r="AV425" s="87"/>
      <c r="AW425" s="87"/>
      <c r="AX425" s="87"/>
      <c r="AY425" s="87"/>
      <c r="AZ425" s="87"/>
      <c r="BA425" s="87"/>
      <c r="BB425" s="87"/>
      <c r="BC425" s="87"/>
      <c r="BD425" s="87"/>
      <c r="BE425" s="87"/>
      <c r="BF425" s="87"/>
      <c r="BG425" s="87"/>
      <c r="BH425" s="87"/>
    </row>
    <row r="426" spans="1:60" ht="16">
      <c r="A426" s="82"/>
      <c r="B426" s="82"/>
      <c r="C426" s="82"/>
      <c r="D426" s="83"/>
      <c r="E426" s="84"/>
      <c r="F426" s="84"/>
      <c r="G426" s="84"/>
      <c r="H426" s="82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7"/>
      <c r="AA426" s="87"/>
      <c r="AB426" s="87"/>
      <c r="AC426" s="87"/>
      <c r="AD426" s="87"/>
      <c r="AE426" s="87"/>
      <c r="AF426" s="87"/>
      <c r="AG426" s="87"/>
      <c r="AH426" s="87"/>
      <c r="AI426" s="87"/>
      <c r="AJ426" s="87"/>
      <c r="AK426" s="87"/>
      <c r="AL426" s="87"/>
      <c r="AM426" s="87"/>
      <c r="AN426" s="87"/>
      <c r="AO426" s="87"/>
      <c r="AP426" s="87"/>
      <c r="AQ426" s="87"/>
      <c r="AR426" s="87"/>
      <c r="AS426" s="87"/>
      <c r="AT426" s="87"/>
      <c r="AU426" s="87"/>
      <c r="AV426" s="87"/>
      <c r="AW426" s="87"/>
      <c r="AX426" s="87"/>
      <c r="AY426" s="87"/>
      <c r="AZ426" s="87"/>
      <c r="BA426" s="87"/>
      <c r="BB426" s="87"/>
      <c r="BC426" s="87"/>
      <c r="BD426" s="87"/>
      <c r="BE426" s="87"/>
      <c r="BF426" s="87"/>
      <c r="BG426" s="87"/>
      <c r="BH426" s="87"/>
    </row>
    <row r="427" spans="1:60" ht="16">
      <c r="A427" s="82"/>
      <c r="B427" s="82"/>
      <c r="C427" s="82"/>
      <c r="D427" s="83"/>
      <c r="E427" s="84"/>
      <c r="F427" s="84"/>
      <c r="G427" s="84"/>
      <c r="H427" s="82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7"/>
      <c r="AA427" s="87"/>
      <c r="AB427" s="87"/>
      <c r="AC427" s="87"/>
      <c r="AD427" s="87"/>
      <c r="AE427" s="87"/>
      <c r="AF427" s="87"/>
      <c r="AG427" s="87"/>
      <c r="AH427" s="87"/>
      <c r="AI427" s="87"/>
      <c r="AJ427" s="87"/>
      <c r="AK427" s="87"/>
      <c r="AL427" s="87"/>
      <c r="AM427" s="87"/>
      <c r="AN427" s="87"/>
      <c r="AO427" s="87"/>
      <c r="AP427" s="87"/>
      <c r="AQ427" s="87"/>
      <c r="AR427" s="87"/>
      <c r="AS427" s="87"/>
      <c r="AT427" s="87"/>
      <c r="AU427" s="87"/>
      <c r="AV427" s="87"/>
      <c r="AW427" s="87"/>
      <c r="AX427" s="87"/>
      <c r="AY427" s="87"/>
      <c r="AZ427" s="87"/>
      <c r="BA427" s="87"/>
      <c r="BB427" s="87"/>
      <c r="BC427" s="87"/>
      <c r="BD427" s="87"/>
      <c r="BE427" s="87"/>
      <c r="BF427" s="87"/>
      <c r="BG427" s="87"/>
      <c r="BH427" s="87"/>
    </row>
    <row r="428" spans="1:60" ht="16">
      <c r="A428" s="82"/>
      <c r="B428" s="82"/>
      <c r="C428" s="82"/>
      <c r="D428" s="83"/>
      <c r="E428" s="84"/>
      <c r="F428" s="84"/>
      <c r="G428" s="84"/>
      <c r="H428" s="82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7"/>
      <c r="AA428" s="87"/>
      <c r="AB428" s="87"/>
      <c r="AC428" s="87"/>
      <c r="AD428" s="87"/>
      <c r="AE428" s="87"/>
      <c r="AF428" s="87"/>
      <c r="AG428" s="87"/>
      <c r="AH428" s="87"/>
      <c r="AI428" s="87"/>
      <c r="AJ428" s="87"/>
      <c r="AK428" s="87"/>
      <c r="AL428" s="87"/>
      <c r="AM428" s="87"/>
      <c r="AN428" s="87"/>
      <c r="AO428" s="87"/>
      <c r="AP428" s="87"/>
      <c r="AQ428" s="87"/>
      <c r="AR428" s="87"/>
      <c r="AS428" s="87"/>
      <c r="AT428" s="87"/>
      <c r="AU428" s="87"/>
      <c r="AV428" s="87"/>
      <c r="AW428" s="87"/>
      <c r="AX428" s="87"/>
      <c r="AY428" s="87"/>
      <c r="AZ428" s="87"/>
      <c r="BA428" s="87"/>
      <c r="BB428" s="87"/>
      <c r="BC428" s="87"/>
      <c r="BD428" s="87"/>
      <c r="BE428" s="87"/>
      <c r="BF428" s="87"/>
      <c r="BG428" s="87"/>
      <c r="BH428" s="87"/>
    </row>
    <row r="429" spans="1:60" ht="16">
      <c r="A429" s="82"/>
      <c r="B429" s="82"/>
      <c r="C429" s="82"/>
      <c r="D429" s="83"/>
      <c r="E429" s="84"/>
      <c r="F429" s="84"/>
      <c r="G429" s="84"/>
      <c r="H429" s="82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7"/>
      <c r="AA429" s="87"/>
      <c r="AB429" s="87"/>
      <c r="AC429" s="87"/>
      <c r="AD429" s="87"/>
      <c r="AE429" s="87"/>
      <c r="AF429" s="87"/>
      <c r="AG429" s="87"/>
      <c r="AH429" s="87"/>
      <c r="AI429" s="87"/>
      <c r="AJ429" s="87"/>
      <c r="AK429" s="87"/>
      <c r="AL429" s="87"/>
      <c r="AM429" s="87"/>
      <c r="AN429" s="87"/>
      <c r="AO429" s="87"/>
      <c r="AP429" s="87"/>
      <c r="AQ429" s="87"/>
      <c r="AR429" s="87"/>
      <c r="AS429" s="87"/>
      <c r="AT429" s="87"/>
      <c r="AU429" s="87"/>
      <c r="AV429" s="87"/>
      <c r="AW429" s="87"/>
      <c r="AX429" s="87"/>
      <c r="AY429" s="87"/>
      <c r="AZ429" s="87"/>
      <c r="BA429" s="87"/>
      <c r="BB429" s="87"/>
      <c r="BC429" s="87"/>
      <c r="BD429" s="87"/>
      <c r="BE429" s="87"/>
      <c r="BF429" s="87"/>
      <c r="BG429" s="87"/>
      <c r="BH429" s="87"/>
    </row>
    <row r="430" spans="1:60" ht="16">
      <c r="A430" s="82"/>
      <c r="B430" s="82"/>
      <c r="C430" s="82"/>
      <c r="D430" s="83"/>
      <c r="E430" s="84"/>
      <c r="F430" s="84"/>
      <c r="G430" s="84"/>
      <c r="H430" s="82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7"/>
      <c r="AA430" s="87"/>
      <c r="AB430" s="87"/>
      <c r="AC430" s="87"/>
      <c r="AD430" s="87"/>
      <c r="AE430" s="87"/>
      <c r="AF430" s="87"/>
      <c r="AG430" s="87"/>
      <c r="AH430" s="87"/>
      <c r="AI430" s="87"/>
      <c r="AJ430" s="87"/>
      <c r="AK430" s="87"/>
      <c r="AL430" s="87"/>
      <c r="AM430" s="87"/>
      <c r="AN430" s="87"/>
      <c r="AO430" s="87"/>
      <c r="AP430" s="87"/>
      <c r="AQ430" s="87"/>
      <c r="AR430" s="87"/>
      <c r="AS430" s="87"/>
      <c r="AT430" s="87"/>
      <c r="AU430" s="87"/>
      <c r="AV430" s="87"/>
      <c r="AW430" s="87"/>
      <c r="AX430" s="87"/>
      <c r="AY430" s="87"/>
      <c r="AZ430" s="87"/>
      <c r="BA430" s="87"/>
      <c r="BB430" s="87"/>
      <c r="BC430" s="87"/>
      <c r="BD430" s="87"/>
      <c r="BE430" s="87"/>
      <c r="BF430" s="87"/>
      <c r="BG430" s="87"/>
      <c r="BH430" s="87"/>
    </row>
    <row r="431" spans="1:60" ht="16">
      <c r="A431" s="82"/>
      <c r="B431" s="82"/>
      <c r="C431" s="82"/>
      <c r="D431" s="83"/>
      <c r="E431" s="84"/>
      <c r="F431" s="84"/>
      <c r="G431" s="84"/>
      <c r="H431" s="82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7"/>
      <c r="AA431" s="87"/>
      <c r="AB431" s="87"/>
      <c r="AC431" s="87"/>
      <c r="AD431" s="87"/>
      <c r="AE431" s="87"/>
      <c r="AF431" s="87"/>
      <c r="AG431" s="87"/>
      <c r="AH431" s="87"/>
      <c r="AI431" s="87"/>
      <c r="AJ431" s="87"/>
      <c r="AK431" s="87"/>
      <c r="AL431" s="87"/>
      <c r="AM431" s="87"/>
      <c r="AN431" s="87"/>
      <c r="AO431" s="87"/>
      <c r="AP431" s="87"/>
      <c r="AQ431" s="87"/>
      <c r="AR431" s="87"/>
      <c r="AS431" s="87"/>
      <c r="AT431" s="87"/>
      <c r="AU431" s="87"/>
      <c r="AV431" s="87"/>
      <c r="AW431" s="87"/>
      <c r="AX431" s="87"/>
      <c r="AY431" s="87"/>
      <c r="AZ431" s="87"/>
      <c r="BA431" s="87"/>
      <c r="BB431" s="87"/>
      <c r="BC431" s="87"/>
      <c r="BD431" s="87"/>
      <c r="BE431" s="87"/>
      <c r="BF431" s="87"/>
      <c r="BG431" s="87"/>
      <c r="BH431" s="87"/>
    </row>
    <row r="432" spans="1:60" ht="16">
      <c r="A432" s="82"/>
      <c r="B432" s="82"/>
      <c r="C432" s="82"/>
      <c r="D432" s="83"/>
      <c r="E432" s="84"/>
      <c r="F432" s="84"/>
      <c r="G432" s="84"/>
      <c r="H432" s="82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7"/>
      <c r="AA432" s="87"/>
      <c r="AB432" s="87"/>
      <c r="AC432" s="87"/>
      <c r="AD432" s="87"/>
      <c r="AE432" s="87"/>
      <c r="AF432" s="87"/>
      <c r="AG432" s="87"/>
      <c r="AH432" s="87"/>
      <c r="AI432" s="87"/>
      <c r="AJ432" s="87"/>
      <c r="AK432" s="87"/>
      <c r="AL432" s="87"/>
      <c r="AM432" s="87"/>
      <c r="AN432" s="87"/>
      <c r="AO432" s="87"/>
      <c r="AP432" s="87"/>
      <c r="AQ432" s="87"/>
      <c r="AR432" s="87"/>
      <c r="AS432" s="87"/>
      <c r="AT432" s="87"/>
      <c r="AU432" s="87"/>
      <c r="AV432" s="87"/>
      <c r="AW432" s="87"/>
      <c r="AX432" s="87"/>
      <c r="AY432" s="87"/>
      <c r="AZ432" s="87"/>
      <c r="BA432" s="87"/>
      <c r="BB432" s="87"/>
      <c r="BC432" s="87"/>
      <c r="BD432" s="87"/>
      <c r="BE432" s="87"/>
      <c r="BF432" s="87"/>
      <c r="BG432" s="87"/>
      <c r="BH432" s="87"/>
    </row>
    <row r="433" spans="1:60" ht="16">
      <c r="A433" s="82"/>
      <c r="B433" s="82"/>
      <c r="C433" s="82"/>
      <c r="D433" s="83"/>
      <c r="E433" s="84"/>
      <c r="F433" s="84"/>
      <c r="G433" s="84"/>
      <c r="H433" s="82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7"/>
      <c r="AA433" s="87"/>
      <c r="AB433" s="87"/>
      <c r="AC433" s="87"/>
      <c r="AD433" s="87"/>
      <c r="AE433" s="87"/>
      <c r="AF433" s="87"/>
      <c r="AG433" s="87"/>
      <c r="AH433" s="87"/>
      <c r="AI433" s="87"/>
      <c r="AJ433" s="87"/>
      <c r="AK433" s="87"/>
      <c r="AL433" s="87"/>
      <c r="AM433" s="87"/>
      <c r="AN433" s="87"/>
      <c r="AO433" s="87"/>
      <c r="AP433" s="87"/>
      <c r="AQ433" s="87"/>
      <c r="AR433" s="87"/>
      <c r="AS433" s="87"/>
      <c r="AT433" s="87"/>
      <c r="AU433" s="87"/>
      <c r="AV433" s="87"/>
      <c r="AW433" s="87"/>
      <c r="AX433" s="87"/>
      <c r="AY433" s="87"/>
      <c r="AZ433" s="87"/>
      <c r="BA433" s="87"/>
      <c r="BB433" s="87"/>
      <c r="BC433" s="87"/>
      <c r="BD433" s="87"/>
      <c r="BE433" s="87"/>
      <c r="BF433" s="87"/>
      <c r="BG433" s="87"/>
      <c r="BH433" s="87"/>
    </row>
    <row r="434" spans="1:60" ht="16">
      <c r="A434" s="82"/>
      <c r="B434" s="82"/>
      <c r="C434" s="82"/>
      <c r="D434" s="83"/>
      <c r="E434" s="84"/>
      <c r="F434" s="84"/>
      <c r="G434" s="84"/>
      <c r="H434" s="82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7"/>
      <c r="AA434" s="87"/>
      <c r="AB434" s="87"/>
      <c r="AC434" s="87"/>
      <c r="AD434" s="87"/>
      <c r="AE434" s="87"/>
      <c r="AF434" s="87"/>
      <c r="AG434" s="87"/>
      <c r="AH434" s="87"/>
      <c r="AI434" s="87"/>
      <c r="AJ434" s="87"/>
      <c r="AK434" s="87"/>
      <c r="AL434" s="87"/>
      <c r="AM434" s="87"/>
      <c r="AN434" s="87"/>
      <c r="AO434" s="87"/>
      <c r="AP434" s="87"/>
      <c r="AQ434" s="87"/>
      <c r="AR434" s="87"/>
      <c r="AS434" s="87"/>
      <c r="AT434" s="87"/>
      <c r="AU434" s="87"/>
      <c r="AV434" s="87"/>
      <c r="AW434" s="87"/>
      <c r="AX434" s="87"/>
      <c r="AY434" s="87"/>
      <c r="AZ434" s="87"/>
      <c r="BA434" s="87"/>
      <c r="BB434" s="87"/>
      <c r="BC434" s="87"/>
      <c r="BD434" s="87"/>
      <c r="BE434" s="87"/>
      <c r="BF434" s="87"/>
      <c r="BG434" s="87"/>
      <c r="BH434" s="87"/>
    </row>
    <row r="435" spans="1:60" ht="16">
      <c r="A435" s="82"/>
      <c r="B435" s="82"/>
      <c r="C435" s="82"/>
      <c r="D435" s="83"/>
      <c r="E435" s="84"/>
      <c r="F435" s="84"/>
      <c r="G435" s="84"/>
      <c r="H435" s="82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7"/>
      <c r="AA435" s="87"/>
      <c r="AB435" s="87"/>
      <c r="AC435" s="87"/>
      <c r="AD435" s="87"/>
      <c r="AE435" s="87"/>
      <c r="AF435" s="87"/>
      <c r="AG435" s="87"/>
      <c r="AH435" s="87"/>
      <c r="AI435" s="87"/>
      <c r="AJ435" s="87"/>
      <c r="AK435" s="87"/>
      <c r="AL435" s="87"/>
      <c r="AM435" s="87"/>
      <c r="AN435" s="87"/>
      <c r="AO435" s="87"/>
      <c r="AP435" s="87"/>
      <c r="AQ435" s="87"/>
      <c r="AR435" s="87"/>
      <c r="AS435" s="87"/>
      <c r="AT435" s="87"/>
      <c r="AU435" s="87"/>
      <c r="AV435" s="87"/>
      <c r="AW435" s="87"/>
      <c r="AX435" s="87"/>
      <c r="AY435" s="87"/>
      <c r="AZ435" s="87"/>
      <c r="BA435" s="87"/>
      <c r="BB435" s="87"/>
      <c r="BC435" s="87"/>
      <c r="BD435" s="87"/>
      <c r="BE435" s="87"/>
      <c r="BF435" s="87"/>
      <c r="BG435" s="87"/>
      <c r="BH435" s="87"/>
    </row>
    <row r="436" spans="1:60" ht="16">
      <c r="A436" s="82"/>
      <c r="B436" s="82"/>
      <c r="C436" s="82"/>
      <c r="D436" s="83"/>
      <c r="E436" s="84"/>
      <c r="F436" s="84"/>
      <c r="G436" s="84"/>
      <c r="H436" s="82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7"/>
      <c r="AA436" s="87"/>
      <c r="AB436" s="87"/>
      <c r="AC436" s="87"/>
      <c r="AD436" s="87"/>
      <c r="AE436" s="87"/>
      <c r="AF436" s="87"/>
      <c r="AG436" s="87"/>
      <c r="AH436" s="87"/>
      <c r="AI436" s="87"/>
      <c r="AJ436" s="87"/>
      <c r="AK436" s="87"/>
      <c r="AL436" s="87"/>
      <c r="AM436" s="87"/>
      <c r="AN436" s="87"/>
      <c r="AO436" s="87"/>
      <c r="AP436" s="87"/>
      <c r="AQ436" s="87"/>
      <c r="AR436" s="87"/>
      <c r="AS436" s="87"/>
      <c r="AT436" s="87"/>
      <c r="AU436" s="87"/>
      <c r="AV436" s="87"/>
      <c r="AW436" s="87"/>
      <c r="AX436" s="87"/>
      <c r="AY436" s="87"/>
      <c r="AZ436" s="87"/>
      <c r="BA436" s="87"/>
      <c r="BB436" s="87"/>
      <c r="BC436" s="87"/>
      <c r="BD436" s="87"/>
      <c r="BE436" s="87"/>
      <c r="BF436" s="87"/>
      <c r="BG436" s="87"/>
      <c r="BH436" s="87"/>
    </row>
    <row r="437" spans="1:60" ht="16">
      <c r="A437" s="82"/>
      <c r="B437" s="82"/>
      <c r="C437" s="82"/>
      <c r="D437" s="83"/>
      <c r="E437" s="84"/>
      <c r="F437" s="84"/>
      <c r="G437" s="84"/>
      <c r="H437" s="82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7"/>
      <c r="AA437" s="87"/>
      <c r="AB437" s="87"/>
      <c r="AC437" s="87"/>
      <c r="AD437" s="87"/>
      <c r="AE437" s="87"/>
      <c r="AF437" s="87"/>
      <c r="AG437" s="87"/>
      <c r="AH437" s="87"/>
      <c r="AI437" s="87"/>
      <c r="AJ437" s="87"/>
      <c r="AK437" s="87"/>
      <c r="AL437" s="87"/>
      <c r="AM437" s="87"/>
      <c r="AN437" s="87"/>
      <c r="AO437" s="87"/>
      <c r="AP437" s="87"/>
      <c r="AQ437" s="87"/>
      <c r="AR437" s="87"/>
      <c r="AS437" s="87"/>
      <c r="AT437" s="87"/>
      <c r="AU437" s="87"/>
      <c r="AV437" s="87"/>
      <c r="AW437" s="87"/>
      <c r="AX437" s="87"/>
      <c r="AY437" s="87"/>
      <c r="AZ437" s="87"/>
      <c r="BA437" s="87"/>
      <c r="BB437" s="87"/>
      <c r="BC437" s="87"/>
      <c r="BD437" s="87"/>
      <c r="BE437" s="87"/>
      <c r="BF437" s="87"/>
      <c r="BG437" s="87"/>
      <c r="BH437" s="87"/>
    </row>
    <row r="438" spans="1:60" ht="16">
      <c r="A438" s="82"/>
      <c r="B438" s="82"/>
      <c r="C438" s="82"/>
      <c r="D438" s="83"/>
      <c r="E438" s="84"/>
      <c r="F438" s="84"/>
      <c r="G438" s="84"/>
      <c r="H438" s="82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7"/>
      <c r="AA438" s="87"/>
      <c r="AB438" s="87"/>
      <c r="AC438" s="87"/>
      <c r="AD438" s="87"/>
      <c r="AE438" s="87"/>
      <c r="AF438" s="87"/>
      <c r="AG438" s="87"/>
      <c r="AH438" s="87"/>
      <c r="AI438" s="87"/>
      <c r="AJ438" s="87"/>
      <c r="AK438" s="87"/>
      <c r="AL438" s="87"/>
      <c r="AM438" s="87"/>
      <c r="AN438" s="87"/>
      <c r="AO438" s="87"/>
      <c r="AP438" s="87"/>
      <c r="AQ438" s="87"/>
      <c r="AR438" s="87"/>
      <c r="AS438" s="87"/>
      <c r="AT438" s="87"/>
      <c r="AU438" s="87"/>
      <c r="AV438" s="87"/>
      <c r="AW438" s="87"/>
      <c r="AX438" s="87"/>
      <c r="AY438" s="87"/>
      <c r="AZ438" s="87"/>
      <c r="BA438" s="87"/>
      <c r="BB438" s="87"/>
      <c r="BC438" s="87"/>
      <c r="BD438" s="87"/>
      <c r="BE438" s="87"/>
      <c r="BF438" s="87"/>
      <c r="BG438" s="87"/>
      <c r="BH438" s="87"/>
    </row>
    <row r="439" spans="1:60" ht="16">
      <c r="A439" s="82"/>
      <c r="B439" s="82"/>
      <c r="C439" s="82"/>
      <c r="D439" s="83"/>
      <c r="E439" s="84"/>
      <c r="F439" s="84"/>
      <c r="G439" s="84"/>
      <c r="H439" s="82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7"/>
      <c r="AA439" s="87"/>
      <c r="AB439" s="87"/>
      <c r="AC439" s="87"/>
      <c r="AD439" s="87"/>
      <c r="AE439" s="87"/>
      <c r="AF439" s="87"/>
      <c r="AG439" s="87"/>
      <c r="AH439" s="87"/>
      <c r="AI439" s="87"/>
      <c r="AJ439" s="87"/>
      <c r="AK439" s="87"/>
      <c r="AL439" s="87"/>
      <c r="AM439" s="87"/>
      <c r="AN439" s="87"/>
      <c r="AO439" s="87"/>
      <c r="AP439" s="87"/>
      <c r="AQ439" s="87"/>
      <c r="AR439" s="87"/>
      <c r="AS439" s="87"/>
      <c r="AT439" s="87"/>
      <c r="AU439" s="87"/>
      <c r="AV439" s="87"/>
      <c r="AW439" s="87"/>
      <c r="AX439" s="87"/>
      <c r="AY439" s="87"/>
      <c r="AZ439" s="87"/>
      <c r="BA439" s="87"/>
      <c r="BB439" s="87"/>
      <c r="BC439" s="87"/>
      <c r="BD439" s="87"/>
      <c r="BE439" s="87"/>
      <c r="BF439" s="87"/>
      <c r="BG439" s="87"/>
      <c r="BH439" s="87"/>
    </row>
    <row r="440" spans="1:60" ht="16">
      <c r="A440" s="82"/>
      <c r="B440" s="82"/>
      <c r="C440" s="82"/>
      <c r="D440" s="83"/>
      <c r="E440" s="84"/>
      <c r="F440" s="84"/>
      <c r="G440" s="84"/>
      <c r="H440" s="82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7"/>
      <c r="AA440" s="87"/>
      <c r="AB440" s="87"/>
      <c r="AC440" s="87"/>
      <c r="AD440" s="87"/>
      <c r="AE440" s="87"/>
      <c r="AF440" s="87"/>
      <c r="AG440" s="87"/>
      <c r="AH440" s="87"/>
      <c r="AI440" s="87"/>
      <c r="AJ440" s="87"/>
      <c r="AK440" s="87"/>
      <c r="AL440" s="87"/>
      <c r="AM440" s="87"/>
      <c r="AN440" s="87"/>
      <c r="AO440" s="87"/>
      <c r="AP440" s="87"/>
      <c r="AQ440" s="87"/>
      <c r="AR440" s="87"/>
      <c r="AS440" s="87"/>
      <c r="AT440" s="87"/>
      <c r="AU440" s="87"/>
      <c r="AV440" s="87"/>
      <c r="AW440" s="87"/>
      <c r="AX440" s="87"/>
      <c r="AY440" s="87"/>
      <c r="AZ440" s="87"/>
      <c r="BA440" s="87"/>
      <c r="BB440" s="87"/>
      <c r="BC440" s="87"/>
      <c r="BD440" s="87"/>
      <c r="BE440" s="87"/>
      <c r="BF440" s="87"/>
      <c r="BG440" s="87"/>
      <c r="BH440" s="87"/>
    </row>
    <row r="441" spans="1:60" ht="16">
      <c r="A441" s="82"/>
      <c r="B441" s="82"/>
      <c r="C441" s="82"/>
      <c r="D441" s="83"/>
      <c r="E441" s="84"/>
      <c r="F441" s="84"/>
      <c r="G441" s="84"/>
      <c r="H441" s="82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7"/>
      <c r="AA441" s="87"/>
      <c r="AB441" s="87"/>
      <c r="AC441" s="87"/>
      <c r="AD441" s="87"/>
      <c r="AE441" s="87"/>
      <c r="AF441" s="87"/>
      <c r="AG441" s="87"/>
      <c r="AH441" s="87"/>
      <c r="AI441" s="87"/>
      <c r="AJ441" s="87"/>
      <c r="AK441" s="87"/>
      <c r="AL441" s="87"/>
      <c r="AM441" s="87"/>
      <c r="AN441" s="87"/>
      <c r="AO441" s="87"/>
      <c r="AP441" s="87"/>
      <c r="AQ441" s="87"/>
      <c r="AR441" s="87"/>
      <c r="AS441" s="87"/>
      <c r="AT441" s="87"/>
      <c r="AU441" s="87"/>
      <c r="AV441" s="87"/>
      <c r="AW441" s="87"/>
      <c r="AX441" s="87"/>
      <c r="AY441" s="87"/>
      <c r="AZ441" s="87"/>
      <c r="BA441" s="87"/>
      <c r="BB441" s="87"/>
      <c r="BC441" s="87"/>
      <c r="BD441" s="87"/>
      <c r="BE441" s="87"/>
      <c r="BF441" s="87"/>
      <c r="BG441" s="87"/>
      <c r="BH441" s="87"/>
    </row>
    <row r="442" spans="1:60" ht="16">
      <c r="A442" s="82"/>
      <c r="B442" s="82"/>
      <c r="C442" s="82"/>
      <c r="D442" s="83"/>
      <c r="E442" s="84"/>
      <c r="F442" s="84"/>
      <c r="G442" s="84"/>
      <c r="H442" s="82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7"/>
      <c r="AA442" s="87"/>
      <c r="AB442" s="87"/>
      <c r="AC442" s="87"/>
      <c r="AD442" s="87"/>
      <c r="AE442" s="87"/>
      <c r="AF442" s="87"/>
      <c r="AG442" s="87"/>
      <c r="AH442" s="87"/>
      <c r="AI442" s="87"/>
      <c r="AJ442" s="87"/>
      <c r="AK442" s="87"/>
      <c r="AL442" s="87"/>
      <c r="AM442" s="87"/>
      <c r="AN442" s="87"/>
      <c r="AO442" s="87"/>
      <c r="AP442" s="87"/>
      <c r="AQ442" s="87"/>
      <c r="AR442" s="87"/>
      <c r="AS442" s="87"/>
      <c r="AT442" s="87"/>
      <c r="AU442" s="87"/>
      <c r="AV442" s="87"/>
      <c r="AW442" s="87"/>
      <c r="AX442" s="87"/>
      <c r="AY442" s="87"/>
      <c r="AZ442" s="87"/>
      <c r="BA442" s="87"/>
      <c r="BB442" s="87"/>
      <c r="BC442" s="87"/>
      <c r="BD442" s="87"/>
      <c r="BE442" s="87"/>
      <c r="BF442" s="87"/>
      <c r="BG442" s="87"/>
      <c r="BH442" s="87"/>
    </row>
    <row r="443" spans="1:60" ht="16">
      <c r="A443" s="82"/>
      <c r="B443" s="82"/>
      <c r="C443" s="82"/>
      <c r="D443" s="83"/>
      <c r="E443" s="84"/>
      <c r="F443" s="84"/>
      <c r="G443" s="84"/>
      <c r="H443" s="82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7"/>
      <c r="AA443" s="87"/>
      <c r="AB443" s="87"/>
      <c r="AC443" s="87"/>
      <c r="AD443" s="87"/>
      <c r="AE443" s="87"/>
      <c r="AF443" s="87"/>
      <c r="AG443" s="87"/>
      <c r="AH443" s="87"/>
      <c r="AI443" s="87"/>
      <c r="AJ443" s="87"/>
      <c r="AK443" s="87"/>
      <c r="AL443" s="87"/>
      <c r="AM443" s="87"/>
      <c r="AN443" s="87"/>
      <c r="AO443" s="87"/>
      <c r="AP443" s="87"/>
      <c r="AQ443" s="87"/>
      <c r="AR443" s="87"/>
      <c r="AS443" s="87"/>
      <c r="AT443" s="87"/>
      <c r="AU443" s="87"/>
      <c r="AV443" s="87"/>
      <c r="AW443" s="87"/>
      <c r="AX443" s="87"/>
      <c r="AY443" s="87"/>
      <c r="AZ443" s="87"/>
      <c r="BA443" s="87"/>
      <c r="BB443" s="87"/>
      <c r="BC443" s="87"/>
      <c r="BD443" s="87"/>
      <c r="BE443" s="87"/>
      <c r="BF443" s="87"/>
      <c r="BG443" s="87"/>
      <c r="BH443" s="87"/>
    </row>
    <row r="444" spans="1:60" ht="16">
      <c r="A444" s="82"/>
      <c r="B444" s="82"/>
      <c r="C444" s="82"/>
      <c r="D444" s="83"/>
      <c r="E444" s="84"/>
      <c r="F444" s="84"/>
      <c r="G444" s="84"/>
      <c r="H444" s="82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7"/>
      <c r="AA444" s="87"/>
      <c r="AB444" s="87"/>
      <c r="AC444" s="87"/>
      <c r="AD444" s="87"/>
      <c r="AE444" s="87"/>
      <c r="AF444" s="87"/>
      <c r="AG444" s="87"/>
      <c r="AH444" s="87"/>
      <c r="AI444" s="87"/>
      <c r="AJ444" s="87"/>
      <c r="AK444" s="87"/>
      <c r="AL444" s="87"/>
      <c r="AM444" s="87"/>
      <c r="AN444" s="87"/>
      <c r="AO444" s="87"/>
      <c r="AP444" s="87"/>
      <c r="AQ444" s="87"/>
      <c r="AR444" s="87"/>
      <c r="AS444" s="87"/>
      <c r="AT444" s="87"/>
      <c r="AU444" s="87"/>
      <c r="AV444" s="87"/>
      <c r="AW444" s="87"/>
      <c r="AX444" s="87"/>
      <c r="AY444" s="87"/>
      <c r="AZ444" s="87"/>
      <c r="BA444" s="87"/>
      <c r="BB444" s="87"/>
      <c r="BC444" s="87"/>
      <c r="BD444" s="87"/>
      <c r="BE444" s="87"/>
      <c r="BF444" s="87"/>
      <c r="BG444" s="87"/>
      <c r="BH444" s="87"/>
    </row>
    <row r="445" spans="1:60" ht="16">
      <c r="A445" s="82"/>
      <c r="B445" s="82"/>
      <c r="C445" s="82"/>
      <c r="D445" s="83"/>
      <c r="E445" s="84"/>
      <c r="F445" s="84"/>
      <c r="G445" s="84"/>
      <c r="H445" s="82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7"/>
      <c r="AA445" s="87"/>
      <c r="AB445" s="87"/>
      <c r="AC445" s="87"/>
      <c r="AD445" s="87"/>
      <c r="AE445" s="87"/>
      <c r="AF445" s="87"/>
      <c r="AG445" s="87"/>
      <c r="AH445" s="87"/>
      <c r="AI445" s="87"/>
      <c r="AJ445" s="87"/>
      <c r="AK445" s="87"/>
      <c r="AL445" s="87"/>
      <c r="AM445" s="87"/>
      <c r="AN445" s="87"/>
      <c r="AO445" s="87"/>
      <c r="AP445" s="87"/>
      <c r="AQ445" s="87"/>
      <c r="AR445" s="87"/>
      <c r="AS445" s="87"/>
      <c r="AT445" s="87"/>
      <c r="AU445" s="87"/>
      <c r="AV445" s="87"/>
      <c r="AW445" s="87"/>
      <c r="AX445" s="87"/>
      <c r="AY445" s="87"/>
      <c r="AZ445" s="87"/>
      <c r="BA445" s="87"/>
      <c r="BB445" s="87"/>
      <c r="BC445" s="87"/>
      <c r="BD445" s="87"/>
      <c r="BE445" s="87"/>
      <c r="BF445" s="87"/>
      <c r="BG445" s="87"/>
      <c r="BH445" s="87"/>
    </row>
    <row r="446" spans="1:60" ht="16">
      <c r="A446" s="82"/>
      <c r="B446" s="82"/>
      <c r="C446" s="82"/>
      <c r="D446" s="83"/>
      <c r="E446" s="84"/>
      <c r="F446" s="84"/>
      <c r="G446" s="84"/>
      <c r="H446" s="82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7"/>
      <c r="AA446" s="87"/>
      <c r="AB446" s="87"/>
      <c r="AC446" s="87"/>
      <c r="AD446" s="87"/>
      <c r="AE446" s="87"/>
      <c r="AF446" s="87"/>
      <c r="AG446" s="87"/>
      <c r="AH446" s="87"/>
      <c r="AI446" s="87"/>
      <c r="AJ446" s="87"/>
      <c r="AK446" s="87"/>
      <c r="AL446" s="87"/>
      <c r="AM446" s="87"/>
      <c r="AN446" s="87"/>
      <c r="AO446" s="87"/>
      <c r="AP446" s="87"/>
      <c r="AQ446" s="87"/>
      <c r="AR446" s="87"/>
      <c r="AS446" s="87"/>
      <c r="AT446" s="87"/>
      <c r="AU446" s="87"/>
      <c r="AV446" s="87"/>
      <c r="AW446" s="87"/>
      <c r="AX446" s="87"/>
      <c r="AY446" s="87"/>
      <c r="AZ446" s="87"/>
      <c r="BA446" s="87"/>
      <c r="BB446" s="87"/>
      <c r="BC446" s="87"/>
      <c r="BD446" s="87"/>
      <c r="BE446" s="87"/>
      <c r="BF446" s="87"/>
      <c r="BG446" s="87"/>
      <c r="BH446" s="87"/>
    </row>
    <row r="447" spans="1:60" ht="16">
      <c r="A447" s="82"/>
      <c r="B447" s="82"/>
      <c r="C447" s="82"/>
      <c r="D447" s="83"/>
      <c r="E447" s="84"/>
      <c r="F447" s="84"/>
      <c r="G447" s="84"/>
      <c r="H447" s="82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7"/>
      <c r="AA447" s="87"/>
      <c r="AB447" s="87"/>
      <c r="AC447" s="87"/>
      <c r="AD447" s="87"/>
      <c r="AE447" s="87"/>
      <c r="AF447" s="87"/>
      <c r="AG447" s="87"/>
      <c r="AH447" s="87"/>
      <c r="AI447" s="87"/>
      <c r="AJ447" s="87"/>
      <c r="AK447" s="87"/>
      <c r="AL447" s="87"/>
      <c r="AM447" s="87"/>
      <c r="AN447" s="87"/>
      <c r="AO447" s="87"/>
      <c r="AP447" s="87"/>
      <c r="AQ447" s="87"/>
      <c r="AR447" s="87"/>
      <c r="AS447" s="87"/>
      <c r="AT447" s="87"/>
      <c r="AU447" s="87"/>
      <c r="AV447" s="87"/>
      <c r="AW447" s="87"/>
      <c r="AX447" s="87"/>
      <c r="AY447" s="87"/>
      <c r="AZ447" s="87"/>
      <c r="BA447" s="87"/>
      <c r="BB447" s="87"/>
      <c r="BC447" s="87"/>
      <c r="BD447" s="87"/>
      <c r="BE447" s="87"/>
      <c r="BF447" s="87"/>
      <c r="BG447" s="87"/>
      <c r="BH447" s="87"/>
    </row>
    <row r="448" spans="1:60" ht="16">
      <c r="A448" s="82"/>
      <c r="B448" s="82"/>
      <c r="C448" s="82"/>
      <c r="D448" s="83"/>
      <c r="E448" s="84"/>
      <c r="F448" s="84"/>
      <c r="G448" s="84"/>
      <c r="H448" s="82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7"/>
      <c r="AA448" s="87"/>
      <c r="AB448" s="87"/>
      <c r="AC448" s="87"/>
      <c r="AD448" s="87"/>
      <c r="AE448" s="87"/>
      <c r="AF448" s="87"/>
      <c r="AG448" s="87"/>
      <c r="AH448" s="87"/>
      <c r="AI448" s="87"/>
      <c r="AJ448" s="87"/>
      <c r="AK448" s="87"/>
      <c r="AL448" s="87"/>
      <c r="AM448" s="87"/>
      <c r="AN448" s="87"/>
      <c r="AO448" s="87"/>
      <c r="AP448" s="87"/>
      <c r="AQ448" s="87"/>
      <c r="AR448" s="87"/>
      <c r="AS448" s="87"/>
      <c r="AT448" s="87"/>
      <c r="AU448" s="87"/>
      <c r="AV448" s="87"/>
      <c r="AW448" s="87"/>
      <c r="AX448" s="87"/>
      <c r="AY448" s="87"/>
      <c r="AZ448" s="87"/>
      <c r="BA448" s="87"/>
      <c r="BB448" s="87"/>
      <c r="BC448" s="87"/>
      <c r="BD448" s="87"/>
      <c r="BE448" s="87"/>
      <c r="BF448" s="87"/>
      <c r="BG448" s="87"/>
      <c r="BH448" s="87"/>
    </row>
    <row r="449" spans="1:60" ht="16">
      <c r="A449" s="82"/>
      <c r="B449" s="82"/>
      <c r="C449" s="82"/>
      <c r="D449" s="83"/>
      <c r="E449" s="84"/>
      <c r="F449" s="84"/>
      <c r="G449" s="84"/>
      <c r="H449" s="82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7"/>
      <c r="AA449" s="87"/>
      <c r="AB449" s="87"/>
      <c r="AC449" s="87"/>
      <c r="AD449" s="87"/>
      <c r="AE449" s="87"/>
      <c r="AF449" s="87"/>
      <c r="AG449" s="87"/>
      <c r="AH449" s="87"/>
      <c r="AI449" s="87"/>
      <c r="AJ449" s="87"/>
      <c r="AK449" s="87"/>
      <c r="AL449" s="87"/>
      <c r="AM449" s="87"/>
      <c r="AN449" s="87"/>
      <c r="AO449" s="87"/>
      <c r="AP449" s="87"/>
      <c r="AQ449" s="87"/>
      <c r="AR449" s="87"/>
      <c r="AS449" s="87"/>
      <c r="AT449" s="87"/>
      <c r="AU449" s="87"/>
      <c r="AV449" s="87"/>
      <c r="AW449" s="87"/>
      <c r="AX449" s="87"/>
      <c r="AY449" s="87"/>
      <c r="AZ449" s="87"/>
      <c r="BA449" s="87"/>
      <c r="BB449" s="87"/>
      <c r="BC449" s="87"/>
      <c r="BD449" s="87"/>
      <c r="BE449" s="87"/>
      <c r="BF449" s="87"/>
      <c r="BG449" s="87"/>
      <c r="BH449" s="87"/>
    </row>
    <row r="450" spans="1:60" ht="16">
      <c r="A450" s="82"/>
      <c r="B450" s="82"/>
      <c r="C450" s="82"/>
      <c r="D450" s="83"/>
      <c r="E450" s="84"/>
      <c r="F450" s="84"/>
      <c r="G450" s="84"/>
      <c r="H450" s="82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7"/>
      <c r="AA450" s="87"/>
      <c r="AB450" s="87"/>
      <c r="AC450" s="87"/>
      <c r="AD450" s="87"/>
      <c r="AE450" s="87"/>
      <c r="AF450" s="87"/>
      <c r="AG450" s="87"/>
      <c r="AH450" s="87"/>
      <c r="AI450" s="87"/>
      <c r="AJ450" s="87"/>
      <c r="AK450" s="87"/>
      <c r="AL450" s="87"/>
      <c r="AM450" s="87"/>
      <c r="AN450" s="87"/>
      <c r="AO450" s="87"/>
      <c r="AP450" s="87"/>
      <c r="AQ450" s="87"/>
      <c r="AR450" s="87"/>
      <c r="AS450" s="87"/>
      <c r="AT450" s="87"/>
      <c r="AU450" s="87"/>
      <c r="AV450" s="87"/>
      <c r="AW450" s="87"/>
      <c r="AX450" s="87"/>
      <c r="AY450" s="87"/>
      <c r="AZ450" s="87"/>
      <c r="BA450" s="87"/>
      <c r="BB450" s="87"/>
      <c r="BC450" s="87"/>
      <c r="BD450" s="87"/>
      <c r="BE450" s="87"/>
      <c r="BF450" s="87"/>
      <c r="BG450" s="87"/>
      <c r="BH450" s="87"/>
    </row>
    <row r="451" spans="1:60" ht="16">
      <c r="A451" s="82"/>
      <c r="B451" s="82"/>
      <c r="C451" s="82"/>
      <c r="D451" s="83"/>
      <c r="E451" s="84"/>
      <c r="F451" s="84"/>
      <c r="G451" s="84"/>
      <c r="H451" s="82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7"/>
      <c r="AA451" s="87"/>
      <c r="AB451" s="87"/>
      <c r="AC451" s="87"/>
      <c r="AD451" s="87"/>
      <c r="AE451" s="87"/>
      <c r="AF451" s="87"/>
      <c r="AG451" s="87"/>
      <c r="AH451" s="87"/>
      <c r="AI451" s="87"/>
      <c r="AJ451" s="87"/>
      <c r="AK451" s="87"/>
      <c r="AL451" s="87"/>
      <c r="AM451" s="87"/>
      <c r="AN451" s="87"/>
      <c r="AO451" s="87"/>
      <c r="AP451" s="87"/>
      <c r="AQ451" s="87"/>
      <c r="AR451" s="87"/>
      <c r="AS451" s="87"/>
      <c r="AT451" s="87"/>
      <c r="AU451" s="87"/>
      <c r="AV451" s="87"/>
      <c r="AW451" s="87"/>
      <c r="AX451" s="87"/>
      <c r="AY451" s="87"/>
      <c r="AZ451" s="87"/>
      <c r="BA451" s="87"/>
      <c r="BB451" s="87"/>
      <c r="BC451" s="87"/>
      <c r="BD451" s="87"/>
      <c r="BE451" s="87"/>
      <c r="BF451" s="87"/>
      <c r="BG451" s="87"/>
      <c r="BH451" s="87"/>
    </row>
    <row r="452" spans="1:60" ht="16">
      <c r="A452" s="82"/>
      <c r="B452" s="82"/>
      <c r="C452" s="82"/>
      <c r="D452" s="83"/>
      <c r="E452" s="84"/>
      <c r="F452" s="84"/>
      <c r="G452" s="84"/>
      <c r="H452" s="82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7"/>
      <c r="AA452" s="87"/>
      <c r="AB452" s="87"/>
      <c r="AC452" s="87"/>
      <c r="AD452" s="87"/>
      <c r="AE452" s="87"/>
      <c r="AF452" s="87"/>
      <c r="AG452" s="87"/>
      <c r="AH452" s="87"/>
      <c r="AI452" s="87"/>
      <c r="AJ452" s="87"/>
      <c r="AK452" s="87"/>
      <c r="AL452" s="87"/>
      <c r="AM452" s="87"/>
      <c r="AN452" s="87"/>
      <c r="AO452" s="87"/>
      <c r="AP452" s="87"/>
      <c r="AQ452" s="87"/>
      <c r="AR452" s="87"/>
      <c r="AS452" s="87"/>
      <c r="AT452" s="87"/>
      <c r="AU452" s="87"/>
      <c r="AV452" s="87"/>
      <c r="AW452" s="87"/>
      <c r="AX452" s="87"/>
      <c r="AY452" s="87"/>
      <c r="AZ452" s="87"/>
      <c r="BA452" s="87"/>
      <c r="BB452" s="87"/>
      <c r="BC452" s="87"/>
      <c r="BD452" s="87"/>
      <c r="BE452" s="87"/>
      <c r="BF452" s="87"/>
      <c r="BG452" s="87"/>
      <c r="BH452" s="87"/>
    </row>
    <row r="453" spans="1:60" ht="16">
      <c r="A453" s="82"/>
      <c r="B453" s="82"/>
      <c r="C453" s="82"/>
      <c r="D453" s="83"/>
      <c r="E453" s="84"/>
      <c r="F453" s="84"/>
      <c r="G453" s="84"/>
      <c r="H453" s="82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7"/>
      <c r="AA453" s="87"/>
      <c r="AB453" s="87"/>
      <c r="AC453" s="87"/>
      <c r="AD453" s="87"/>
      <c r="AE453" s="87"/>
      <c r="AF453" s="87"/>
      <c r="AG453" s="87"/>
      <c r="AH453" s="87"/>
      <c r="AI453" s="87"/>
      <c r="AJ453" s="87"/>
      <c r="AK453" s="87"/>
      <c r="AL453" s="87"/>
      <c r="AM453" s="87"/>
      <c r="AN453" s="87"/>
      <c r="AO453" s="87"/>
      <c r="AP453" s="87"/>
      <c r="AQ453" s="87"/>
      <c r="AR453" s="87"/>
      <c r="AS453" s="87"/>
      <c r="AT453" s="87"/>
      <c r="AU453" s="87"/>
      <c r="AV453" s="87"/>
      <c r="AW453" s="87"/>
      <c r="AX453" s="87"/>
      <c r="AY453" s="87"/>
      <c r="AZ453" s="87"/>
      <c r="BA453" s="87"/>
      <c r="BB453" s="87"/>
      <c r="BC453" s="87"/>
      <c r="BD453" s="87"/>
      <c r="BE453" s="87"/>
      <c r="BF453" s="87"/>
      <c r="BG453" s="87"/>
      <c r="BH453" s="87"/>
    </row>
    <row r="454" spans="1:60" ht="16">
      <c r="A454" s="82"/>
      <c r="B454" s="82"/>
      <c r="C454" s="82"/>
      <c r="D454" s="83"/>
      <c r="E454" s="84"/>
      <c r="F454" s="84"/>
      <c r="G454" s="84"/>
      <c r="H454" s="82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7"/>
      <c r="AA454" s="87"/>
      <c r="AB454" s="87"/>
      <c r="AC454" s="87"/>
      <c r="AD454" s="87"/>
      <c r="AE454" s="87"/>
      <c r="AF454" s="87"/>
      <c r="AG454" s="87"/>
      <c r="AH454" s="87"/>
      <c r="AI454" s="87"/>
      <c r="AJ454" s="87"/>
      <c r="AK454" s="87"/>
      <c r="AL454" s="87"/>
      <c r="AM454" s="87"/>
      <c r="AN454" s="87"/>
      <c r="AO454" s="87"/>
      <c r="AP454" s="87"/>
      <c r="AQ454" s="87"/>
      <c r="AR454" s="87"/>
      <c r="AS454" s="87"/>
      <c r="AT454" s="87"/>
      <c r="AU454" s="87"/>
      <c r="AV454" s="87"/>
      <c r="AW454" s="87"/>
      <c r="AX454" s="87"/>
      <c r="AY454" s="87"/>
      <c r="AZ454" s="87"/>
      <c r="BA454" s="87"/>
      <c r="BB454" s="87"/>
      <c r="BC454" s="87"/>
      <c r="BD454" s="87"/>
      <c r="BE454" s="87"/>
      <c r="BF454" s="87"/>
      <c r="BG454" s="87"/>
      <c r="BH454" s="87"/>
    </row>
    <row r="455" spans="1:60" ht="16">
      <c r="A455" s="82"/>
      <c r="B455" s="82"/>
      <c r="C455" s="82"/>
      <c r="D455" s="83"/>
      <c r="E455" s="84"/>
      <c r="F455" s="84"/>
      <c r="G455" s="84"/>
      <c r="H455" s="82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7"/>
      <c r="AA455" s="87"/>
      <c r="AB455" s="87"/>
      <c r="AC455" s="87"/>
      <c r="AD455" s="87"/>
      <c r="AE455" s="87"/>
      <c r="AF455" s="87"/>
      <c r="AG455" s="87"/>
      <c r="AH455" s="87"/>
      <c r="AI455" s="87"/>
      <c r="AJ455" s="87"/>
      <c r="AK455" s="87"/>
      <c r="AL455" s="87"/>
      <c r="AM455" s="87"/>
      <c r="AN455" s="87"/>
      <c r="AO455" s="87"/>
      <c r="AP455" s="87"/>
      <c r="AQ455" s="87"/>
      <c r="AR455" s="87"/>
      <c r="AS455" s="87"/>
      <c r="AT455" s="87"/>
      <c r="AU455" s="87"/>
      <c r="AV455" s="87"/>
      <c r="AW455" s="87"/>
      <c r="AX455" s="87"/>
      <c r="AY455" s="87"/>
      <c r="AZ455" s="87"/>
      <c r="BA455" s="87"/>
      <c r="BB455" s="87"/>
      <c r="BC455" s="87"/>
      <c r="BD455" s="87"/>
      <c r="BE455" s="87"/>
      <c r="BF455" s="87"/>
      <c r="BG455" s="87"/>
      <c r="BH455" s="87"/>
    </row>
    <row r="456" spans="1:60" ht="16">
      <c r="A456" s="82"/>
      <c r="B456" s="82"/>
      <c r="C456" s="82"/>
      <c r="D456" s="83"/>
      <c r="E456" s="84"/>
      <c r="F456" s="84"/>
      <c r="G456" s="84"/>
      <c r="H456" s="82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7"/>
      <c r="AA456" s="87"/>
      <c r="AB456" s="87"/>
      <c r="AC456" s="87"/>
      <c r="AD456" s="87"/>
      <c r="AE456" s="87"/>
      <c r="AF456" s="87"/>
      <c r="AG456" s="87"/>
      <c r="AH456" s="87"/>
      <c r="AI456" s="87"/>
      <c r="AJ456" s="87"/>
      <c r="AK456" s="87"/>
      <c r="AL456" s="87"/>
      <c r="AM456" s="87"/>
      <c r="AN456" s="87"/>
      <c r="AO456" s="87"/>
      <c r="AP456" s="87"/>
      <c r="AQ456" s="87"/>
      <c r="AR456" s="87"/>
      <c r="AS456" s="87"/>
      <c r="AT456" s="87"/>
      <c r="AU456" s="87"/>
      <c r="AV456" s="87"/>
      <c r="AW456" s="87"/>
      <c r="AX456" s="87"/>
      <c r="AY456" s="87"/>
      <c r="AZ456" s="87"/>
      <c r="BA456" s="87"/>
      <c r="BB456" s="87"/>
      <c r="BC456" s="87"/>
      <c r="BD456" s="87"/>
      <c r="BE456" s="87"/>
      <c r="BF456" s="87"/>
      <c r="BG456" s="87"/>
      <c r="BH456" s="87"/>
    </row>
    <row r="457" spans="1:60" ht="16">
      <c r="A457" s="82"/>
      <c r="B457" s="82"/>
      <c r="C457" s="82"/>
      <c r="D457" s="83"/>
      <c r="E457" s="84"/>
      <c r="F457" s="84"/>
      <c r="G457" s="84"/>
      <c r="H457" s="82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7"/>
      <c r="AA457" s="87"/>
      <c r="AB457" s="87"/>
      <c r="AC457" s="87"/>
      <c r="AD457" s="87"/>
      <c r="AE457" s="87"/>
      <c r="AF457" s="87"/>
      <c r="AG457" s="87"/>
      <c r="AH457" s="87"/>
      <c r="AI457" s="87"/>
      <c r="AJ457" s="87"/>
      <c r="AK457" s="87"/>
      <c r="AL457" s="87"/>
      <c r="AM457" s="87"/>
      <c r="AN457" s="87"/>
      <c r="AO457" s="87"/>
      <c r="AP457" s="87"/>
      <c r="AQ457" s="87"/>
      <c r="AR457" s="87"/>
      <c r="AS457" s="87"/>
      <c r="AT457" s="87"/>
      <c r="AU457" s="87"/>
      <c r="AV457" s="87"/>
      <c r="AW457" s="87"/>
      <c r="AX457" s="87"/>
      <c r="AY457" s="87"/>
      <c r="AZ457" s="87"/>
      <c r="BA457" s="87"/>
      <c r="BB457" s="87"/>
      <c r="BC457" s="87"/>
      <c r="BD457" s="87"/>
      <c r="BE457" s="87"/>
      <c r="BF457" s="87"/>
      <c r="BG457" s="87"/>
      <c r="BH457" s="87"/>
    </row>
    <row r="458" spans="1:60" ht="16">
      <c r="A458" s="82"/>
      <c r="B458" s="82"/>
      <c r="C458" s="82"/>
      <c r="D458" s="83"/>
      <c r="E458" s="84"/>
      <c r="F458" s="84"/>
      <c r="G458" s="84"/>
      <c r="H458" s="82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7"/>
      <c r="AA458" s="87"/>
      <c r="AB458" s="87"/>
      <c r="AC458" s="87"/>
      <c r="AD458" s="87"/>
      <c r="AE458" s="87"/>
      <c r="AF458" s="87"/>
      <c r="AG458" s="87"/>
      <c r="AH458" s="87"/>
      <c r="AI458" s="87"/>
      <c r="AJ458" s="87"/>
      <c r="AK458" s="87"/>
      <c r="AL458" s="87"/>
      <c r="AM458" s="87"/>
      <c r="AN458" s="87"/>
      <c r="AO458" s="87"/>
      <c r="AP458" s="87"/>
      <c r="AQ458" s="87"/>
      <c r="AR458" s="87"/>
      <c r="AS458" s="87"/>
      <c r="AT458" s="87"/>
      <c r="AU458" s="87"/>
      <c r="AV458" s="87"/>
      <c r="AW458" s="87"/>
      <c r="AX458" s="87"/>
      <c r="AY458" s="87"/>
      <c r="AZ458" s="87"/>
      <c r="BA458" s="87"/>
      <c r="BB458" s="87"/>
      <c r="BC458" s="87"/>
      <c r="BD458" s="87"/>
      <c r="BE458" s="87"/>
      <c r="BF458" s="87"/>
      <c r="BG458" s="87"/>
      <c r="BH458" s="87"/>
    </row>
    <row r="459" spans="1:60" ht="16">
      <c r="A459" s="82"/>
      <c r="B459" s="82"/>
      <c r="C459" s="82"/>
      <c r="D459" s="83"/>
      <c r="E459" s="84"/>
      <c r="F459" s="84"/>
      <c r="G459" s="84"/>
      <c r="H459" s="82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7"/>
      <c r="AA459" s="87"/>
      <c r="AB459" s="87"/>
      <c r="AC459" s="87"/>
      <c r="AD459" s="87"/>
      <c r="AE459" s="87"/>
      <c r="AF459" s="87"/>
      <c r="AG459" s="87"/>
      <c r="AH459" s="87"/>
      <c r="AI459" s="87"/>
      <c r="AJ459" s="87"/>
      <c r="AK459" s="87"/>
      <c r="AL459" s="87"/>
      <c r="AM459" s="87"/>
      <c r="AN459" s="87"/>
      <c r="AO459" s="87"/>
      <c r="AP459" s="87"/>
      <c r="AQ459" s="87"/>
      <c r="AR459" s="87"/>
      <c r="AS459" s="87"/>
      <c r="AT459" s="87"/>
      <c r="AU459" s="87"/>
      <c r="AV459" s="87"/>
      <c r="AW459" s="87"/>
      <c r="AX459" s="87"/>
      <c r="AY459" s="87"/>
      <c r="AZ459" s="87"/>
      <c r="BA459" s="87"/>
      <c r="BB459" s="87"/>
      <c r="BC459" s="87"/>
      <c r="BD459" s="87"/>
      <c r="BE459" s="87"/>
      <c r="BF459" s="87"/>
      <c r="BG459" s="87"/>
      <c r="BH459" s="87"/>
    </row>
    <row r="460" spans="1:60" ht="16">
      <c r="A460" s="82"/>
      <c r="B460" s="82"/>
      <c r="C460" s="82"/>
      <c r="D460" s="83"/>
      <c r="E460" s="84"/>
      <c r="F460" s="84"/>
      <c r="G460" s="84"/>
      <c r="H460" s="82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7"/>
      <c r="AA460" s="87"/>
      <c r="AB460" s="87"/>
      <c r="AC460" s="87"/>
      <c r="AD460" s="87"/>
      <c r="AE460" s="87"/>
      <c r="AF460" s="87"/>
      <c r="AG460" s="87"/>
      <c r="AH460" s="87"/>
      <c r="AI460" s="87"/>
      <c r="AJ460" s="87"/>
      <c r="AK460" s="87"/>
      <c r="AL460" s="87"/>
      <c r="AM460" s="87"/>
      <c r="AN460" s="87"/>
      <c r="AO460" s="87"/>
      <c r="AP460" s="87"/>
      <c r="AQ460" s="87"/>
      <c r="AR460" s="87"/>
      <c r="AS460" s="87"/>
      <c r="AT460" s="87"/>
      <c r="AU460" s="87"/>
      <c r="AV460" s="87"/>
      <c r="AW460" s="87"/>
      <c r="AX460" s="87"/>
      <c r="AY460" s="87"/>
      <c r="AZ460" s="87"/>
      <c r="BA460" s="87"/>
      <c r="BB460" s="87"/>
      <c r="BC460" s="87"/>
      <c r="BD460" s="87"/>
      <c r="BE460" s="87"/>
      <c r="BF460" s="87"/>
      <c r="BG460" s="87"/>
      <c r="BH460" s="87"/>
    </row>
    <row r="461" spans="1:60" ht="16">
      <c r="A461" s="82"/>
      <c r="B461" s="82"/>
      <c r="C461" s="82"/>
      <c r="D461" s="83"/>
      <c r="E461" s="84"/>
      <c r="F461" s="84"/>
      <c r="G461" s="84"/>
      <c r="H461" s="82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7"/>
      <c r="AA461" s="87"/>
      <c r="AB461" s="87"/>
      <c r="AC461" s="87"/>
      <c r="AD461" s="87"/>
      <c r="AE461" s="87"/>
      <c r="AF461" s="87"/>
      <c r="AG461" s="87"/>
      <c r="AH461" s="87"/>
      <c r="AI461" s="87"/>
      <c r="AJ461" s="87"/>
      <c r="AK461" s="87"/>
      <c r="AL461" s="87"/>
      <c r="AM461" s="87"/>
      <c r="AN461" s="87"/>
      <c r="AO461" s="87"/>
      <c r="AP461" s="87"/>
      <c r="AQ461" s="87"/>
      <c r="AR461" s="87"/>
      <c r="AS461" s="87"/>
      <c r="AT461" s="87"/>
      <c r="AU461" s="87"/>
      <c r="AV461" s="87"/>
      <c r="AW461" s="87"/>
      <c r="AX461" s="87"/>
      <c r="AY461" s="87"/>
      <c r="AZ461" s="87"/>
      <c r="BA461" s="87"/>
      <c r="BB461" s="87"/>
      <c r="BC461" s="87"/>
      <c r="BD461" s="87"/>
      <c r="BE461" s="87"/>
      <c r="BF461" s="87"/>
      <c r="BG461" s="87"/>
      <c r="BH461" s="87"/>
    </row>
    <row r="462" spans="1:60" ht="16">
      <c r="A462" s="82"/>
      <c r="B462" s="82"/>
      <c r="C462" s="82"/>
      <c r="D462" s="83"/>
      <c r="E462" s="84"/>
      <c r="F462" s="84"/>
      <c r="G462" s="84"/>
      <c r="H462" s="82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7"/>
      <c r="AA462" s="87"/>
      <c r="AB462" s="87"/>
      <c r="AC462" s="87"/>
      <c r="AD462" s="87"/>
      <c r="AE462" s="87"/>
      <c r="AF462" s="87"/>
      <c r="AG462" s="87"/>
      <c r="AH462" s="87"/>
      <c r="AI462" s="87"/>
      <c r="AJ462" s="87"/>
      <c r="AK462" s="87"/>
      <c r="AL462" s="87"/>
      <c r="AM462" s="87"/>
      <c r="AN462" s="87"/>
      <c r="AO462" s="87"/>
      <c r="AP462" s="87"/>
      <c r="AQ462" s="87"/>
      <c r="AR462" s="87"/>
      <c r="AS462" s="87"/>
      <c r="AT462" s="87"/>
      <c r="AU462" s="87"/>
      <c r="AV462" s="87"/>
      <c r="AW462" s="87"/>
      <c r="AX462" s="87"/>
      <c r="AY462" s="87"/>
      <c r="AZ462" s="87"/>
      <c r="BA462" s="87"/>
      <c r="BB462" s="87"/>
      <c r="BC462" s="87"/>
      <c r="BD462" s="87"/>
      <c r="BE462" s="87"/>
      <c r="BF462" s="87"/>
      <c r="BG462" s="87"/>
      <c r="BH462" s="87"/>
    </row>
    <row r="463" spans="1:60" ht="16">
      <c r="A463" s="82"/>
      <c r="B463" s="82"/>
      <c r="C463" s="82"/>
      <c r="D463" s="83"/>
      <c r="E463" s="84"/>
      <c r="F463" s="84"/>
      <c r="G463" s="84"/>
      <c r="H463" s="82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7"/>
      <c r="AA463" s="87"/>
      <c r="AB463" s="87"/>
      <c r="AC463" s="87"/>
      <c r="AD463" s="87"/>
      <c r="AE463" s="87"/>
      <c r="AF463" s="87"/>
      <c r="AG463" s="87"/>
      <c r="AH463" s="87"/>
      <c r="AI463" s="87"/>
      <c r="AJ463" s="87"/>
      <c r="AK463" s="87"/>
      <c r="AL463" s="87"/>
      <c r="AM463" s="87"/>
      <c r="AN463" s="87"/>
      <c r="AO463" s="87"/>
      <c r="AP463" s="87"/>
      <c r="AQ463" s="87"/>
      <c r="AR463" s="87"/>
      <c r="AS463" s="87"/>
      <c r="AT463" s="87"/>
      <c r="AU463" s="87"/>
      <c r="AV463" s="87"/>
      <c r="AW463" s="87"/>
      <c r="AX463" s="87"/>
      <c r="AY463" s="87"/>
      <c r="AZ463" s="87"/>
      <c r="BA463" s="87"/>
      <c r="BB463" s="87"/>
      <c r="BC463" s="87"/>
      <c r="BD463" s="87"/>
      <c r="BE463" s="87"/>
      <c r="BF463" s="87"/>
      <c r="BG463" s="87"/>
      <c r="BH463" s="87"/>
    </row>
    <row r="464" spans="1:60" ht="16">
      <c r="A464" s="82"/>
      <c r="B464" s="82"/>
      <c r="C464" s="82"/>
      <c r="D464" s="83"/>
      <c r="E464" s="84"/>
      <c r="F464" s="84"/>
      <c r="G464" s="84"/>
      <c r="H464" s="82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7"/>
      <c r="AA464" s="87"/>
      <c r="AB464" s="87"/>
      <c r="AC464" s="87"/>
      <c r="AD464" s="87"/>
      <c r="AE464" s="87"/>
      <c r="AF464" s="87"/>
      <c r="AG464" s="87"/>
      <c r="AH464" s="87"/>
      <c r="AI464" s="87"/>
      <c r="AJ464" s="87"/>
      <c r="AK464" s="87"/>
      <c r="AL464" s="87"/>
      <c r="AM464" s="87"/>
      <c r="AN464" s="87"/>
      <c r="AO464" s="87"/>
      <c r="AP464" s="87"/>
      <c r="AQ464" s="87"/>
      <c r="AR464" s="87"/>
      <c r="AS464" s="87"/>
      <c r="AT464" s="87"/>
      <c r="AU464" s="87"/>
      <c r="AV464" s="87"/>
      <c r="AW464" s="87"/>
      <c r="AX464" s="87"/>
      <c r="AY464" s="87"/>
      <c r="AZ464" s="87"/>
      <c r="BA464" s="87"/>
      <c r="BB464" s="87"/>
      <c r="BC464" s="87"/>
      <c r="BD464" s="87"/>
      <c r="BE464" s="87"/>
      <c r="BF464" s="87"/>
      <c r="BG464" s="87"/>
      <c r="BH464" s="87"/>
    </row>
    <row r="465" spans="1:60" ht="16">
      <c r="A465" s="82"/>
      <c r="B465" s="82"/>
      <c r="C465" s="82"/>
      <c r="D465" s="83"/>
      <c r="E465" s="84"/>
      <c r="F465" s="84"/>
      <c r="G465" s="84"/>
      <c r="H465" s="82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7"/>
      <c r="AA465" s="87"/>
      <c r="AB465" s="87"/>
      <c r="AC465" s="87"/>
      <c r="AD465" s="87"/>
      <c r="AE465" s="87"/>
      <c r="AF465" s="87"/>
      <c r="AG465" s="87"/>
      <c r="AH465" s="87"/>
      <c r="AI465" s="87"/>
      <c r="AJ465" s="87"/>
      <c r="AK465" s="87"/>
      <c r="AL465" s="87"/>
      <c r="AM465" s="87"/>
      <c r="AN465" s="87"/>
      <c r="AO465" s="87"/>
      <c r="AP465" s="87"/>
      <c r="AQ465" s="87"/>
      <c r="AR465" s="87"/>
      <c r="AS465" s="87"/>
      <c r="AT465" s="87"/>
      <c r="AU465" s="87"/>
      <c r="AV465" s="87"/>
      <c r="AW465" s="87"/>
      <c r="AX465" s="87"/>
      <c r="AY465" s="87"/>
      <c r="AZ465" s="87"/>
      <c r="BA465" s="87"/>
      <c r="BB465" s="87"/>
      <c r="BC465" s="87"/>
      <c r="BD465" s="87"/>
      <c r="BE465" s="87"/>
      <c r="BF465" s="87"/>
      <c r="BG465" s="87"/>
      <c r="BH465" s="87"/>
    </row>
    <row r="466" spans="1:60" ht="16">
      <c r="A466" s="82"/>
      <c r="B466" s="82"/>
      <c r="C466" s="82"/>
      <c r="D466" s="83"/>
      <c r="E466" s="84"/>
      <c r="F466" s="84"/>
      <c r="G466" s="84"/>
      <c r="H466" s="82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7"/>
      <c r="AA466" s="87"/>
      <c r="AB466" s="87"/>
      <c r="AC466" s="87"/>
      <c r="AD466" s="87"/>
      <c r="AE466" s="87"/>
      <c r="AF466" s="87"/>
      <c r="AG466" s="87"/>
      <c r="AH466" s="87"/>
      <c r="AI466" s="87"/>
      <c r="AJ466" s="87"/>
      <c r="AK466" s="87"/>
      <c r="AL466" s="87"/>
      <c r="AM466" s="87"/>
      <c r="AN466" s="87"/>
      <c r="AO466" s="87"/>
      <c r="AP466" s="87"/>
      <c r="AQ466" s="87"/>
      <c r="AR466" s="87"/>
      <c r="AS466" s="87"/>
      <c r="AT466" s="87"/>
      <c r="AU466" s="87"/>
      <c r="AV466" s="87"/>
      <c r="AW466" s="87"/>
      <c r="AX466" s="87"/>
      <c r="AY466" s="87"/>
      <c r="AZ466" s="87"/>
      <c r="BA466" s="87"/>
      <c r="BB466" s="87"/>
      <c r="BC466" s="87"/>
      <c r="BD466" s="87"/>
      <c r="BE466" s="87"/>
      <c r="BF466" s="87"/>
      <c r="BG466" s="87"/>
      <c r="BH466" s="87"/>
    </row>
    <row r="467" spans="1:60" ht="16">
      <c r="A467" s="82"/>
      <c r="B467" s="82"/>
      <c r="C467" s="82"/>
      <c r="D467" s="83"/>
      <c r="E467" s="84"/>
      <c r="F467" s="84"/>
      <c r="G467" s="84"/>
      <c r="H467" s="82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7"/>
      <c r="AA467" s="87"/>
      <c r="AB467" s="87"/>
      <c r="AC467" s="87"/>
      <c r="AD467" s="87"/>
      <c r="AE467" s="87"/>
      <c r="AF467" s="87"/>
      <c r="AG467" s="87"/>
      <c r="AH467" s="87"/>
      <c r="AI467" s="87"/>
      <c r="AJ467" s="87"/>
      <c r="AK467" s="87"/>
      <c r="AL467" s="87"/>
      <c r="AM467" s="87"/>
      <c r="AN467" s="87"/>
      <c r="AO467" s="87"/>
      <c r="AP467" s="87"/>
      <c r="AQ467" s="87"/>
      <c r="AR467" s="87"/>
      <c r="AS467" s="87"/>
      <c r="AT467" s="87"/>
      <c r="AU467" s="87"/>
      <c r="AV467" s="87"/>
      <c r="AW467" s="87"/>
      <c r="AX467" s="87"/>
      <c r="AY467" s="87"/>
      <c r="AZ467" s="87"/>
      <c r="BA467" s="87"/>
      <c r="BB467" s="87"/>
      <c r="BC467" s="87"/>
      <c r="BD467" s="87"/>
      <c r="BE467" s="87"/>
      <c r="BF467" s="87"/>
      <c r="BG467" s="87"/>
      <c r="BH467" s="87"/>
    </row>
    <row r="468" spans="1:60" ht="16">
      <c r="A468" s="82"/>
      <c r="B468" s="82"/>
      <c r="C468" s="82"/>
      <c r="D468" s="83"/>
      <c r="E468" s="84"/>
      <c r="F468" s="84"/>
      <c r="G468" s="84"/>
      <c r="H468" s="82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7"/>
      <c r="AA468" s="87"/>
      <c r="AB468" s="87"/>
      <c r="AC468" s="87"/>
      <c r="AD468" s="87"/>
      <c r="AE468" s="87"/>
      <c r="AF468" s="87"/>
      <c r="AG468" s="87"/>
      <c r="AH468" s="87"/>
      <c r="AI468" s="87"/>
      <c r="AJ468" s="87"/>
      <c r="AK468" s="87"/>
      <c r="AL468" s="87"/>
      <c r="AM468" s="87"/>
      <c r="AN468" s="87"/>
      <c r="AO468" s="87"/>
      <c r="AP468" s="87"/>
      <c r="AQ468" s="87"/>
      <c r="AR468" s="87"/>
      <c r="AS468" s="87"/>
      <c r="AT468" s="87"/>
      <c r="AU468" s="87"/>
      <c r="AV468" s="87"/>
      <c r="AW468" s="87"/>
      <c r="AX468" s="87"/>
      <c r="AY468" s="87"/>
      <c r="AZ468" s="87"/>
      <c r="BA468" s="87"/>
      <c r="BB468" s="87"/>
      <c r="BC468" s="87"/>
      <c r="BD468" s="87"/>
      <c r="BE468" s="87"/>
      <c r="BF468" s="87"/>
      <c r="BG468" s="87"/>
      <c r="BH468" s="87"/>
    </row>
    <row r="469" spans="1:60" ht="16">
      <c r="A469" s="82"/>
      <c r="B469" s="82"/>
      <c r="C469" s="82"/>
      <c r="D469" s="83"/>
      <c r="E469" s="84"/>
      <c r="F469" s="84"/>
      <c r="G469" s="84"/>
      <c r="H469" s="82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7"/>
      <c r="AA469" s="87"/>
      <c r="AB469" s="87"/>
      <c r="AC469" s="87"/>
      <c r="AD469" s="87"/>
      <c r="AE469" s="87"/>
      <c r="AF469" s="87"/>
      <c r="AG469" s="87"/>
      <c r="AH469" s="87"/>
      <c r="AI469" s="87"/>
      <c r="AJ469" s="87"/>
      <c r="AK469" s="87"/>
      <c r="AL469" s="87"/>
      <c r="AM469" s="87"/>
      <c r="AN469" s="87"/>
      <c r="AO469" s="87"/>
      <c r="AP469" s="87"/>
      <c r="AQ469" s="87"/>
      <c r="AR469" s="87"/>
      <c r="AS469" s="87"/>
      <c r="AT469" s="87"/>
      <c r="AU469" s="87"/>
      <c r="AV469" s="87"/>
      <c r="AW469" s="87"/>
      <c r="AX469" s="87"/>
      <c r="AY469" s="87"/>
      <c r="AZ469" s="87"/>
      <c r="BA469" s="87"/>
      <c r="BB469" s="87"/>
      <c r="BC469" s="87"/>
      <c r="BD469" s="87"/>
      <c r="BE469" s="87"/>
      <c r="BF469" s="87"/>
      <c r="BG469" s="87"/>
      <c r="BH469" s="87"/>
    </row>
    <row r="470" spans="1:60" ht="16">
      <c r="A470" s="82"/>
      <c r="B470" s="82"/>
      <c r="C470" s="82"/>
      <c r="D470" s="83"/>
      <c r="E470" s="84"/>
      <c r="F470" s="84"/>
      <c r="G470" s="84"/>
      <c r="H470" s="82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7"/>
      <c r="AA470" s="87"/>
      <c r="AB470" s="87"/>
      <c r="AC470" s="87"/>
      <c r="AD470" s="87"/>
      <c r="AE470" s="87"/>
      <c r="AF470" s="87"/>
      <c r="AG470" s="87"/>
      <c r="AH470" s="87"/>
      <c r="AI470" s="87"/>
      <c r="AJ470" s="87"/>
      <c r="AK470" s="87"/>
      <c r="AL470" s="87"/>
      <c r="AM470" s="87"/>
      <c r="AN470" s="87"/>
      <c r="AO470" s="87"/>
      <c r="AP470" s="87"/>
      <c r="AQ470" s="87"/>
      <c r="AR470" s="87"/>
      <c r="AS470" s="87"/>
      <c r="AT470" s="87"/>
      <c r="AU470" s="87"/>
      <c r="AV470" s="87"/>
      <c r="AW470" s="87"/>
      <c r="AX470" s="87"/>
      <c r="AY470" s="87"/>
      <c r="AZ470" s="87"/>
      <c r="BA470" s="87"/>
      <c r="BB470" s="87"/>
      <c r="BC470" s="87"/>
      <c r="BD470" s="87"/>
      <c r="BE470" s="87"/>
      <c r="BF470" s="87"/>
      <c r="BG470" s="87"/>
      <c r="BH470" s="87"/>
    </row>
    <row r="471" spans="1:60" ht="16">
      <c r="A471" s="82"/>
      <c r="B471" s="82"/>
      <c r="C471" s="82"/>
      <c r="D471" s="83"/>
      <c r="E471" s="84"/>
      <c r="F471" s="84"/>
      <c r="G471" s="84"/>
      <c r="H471" s="82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7"/>
      <c r="AA471" s="87"/>
      <c r="AB471" s="87"/>
      <c r="AC471" s="87"/>
      <c r="AD471" s="87"/>
      <c r="AE471" s="87"/>
      <c r="AF471" s="87"/>
      <c r="AG471" s="87"/>
      <c r="AH471" s="87"/>
      <c r="AI471" s="87"/>
      <c r="AJ471" s="87"/>
      <c r="AK471" s="87"/>
      <c r="AL471" s="87"/>
      <c r="AM471" s="87"/>
      <c r="AN471" s="87"/>
      <c r="AO471" s="87"/>
      <c r="AP471" s="87"/>
      <c r="AQ471" s="87"/>
      <c r="AR471" s="87"/>
      <c r="AS471" s="87"/>
      <c r="AT471" s="87"/>
      <c r="AU471" s="87"/>
      <c r="AV471" s="87"/>
      <c r="AW471" s="87"/>
      <c r="AX471" s="87"/>
      <c r="AY471" s="87"/>
      <c r="AZ471" s="87"/>
      <c r="BA471" s="87"/>
      <c r="BB471" s="87"/>
      <c r="BC471" s="87"/>
      <c r="BD471" s="87"/>
      <c r="BE471" s="87"/>
      <c r="BF471" s="87"/>
      <c r="BG471" s="87"/>
      <c r="BH471" s="87"/>
    </row>
    <row r="472" spans="1:60" ht="16">
      <c r="A472" s="82"/>
      <c r="B472" s="82"/>
      <c r="C472" s="82"/>
      <c r="D472" s="83"/>
      <c r="E472" s="84"/>
      <c r="F472" s="84"/>
      <c r="G472" s="84"/>
      <c r="H472" s="82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7"/>
      <c r="AA472" s="87"/>
      <c r="AB472" s="87"/>
      <c r="AC472" s="87"/>
      <c r="AD472" s="87"/>
      <c r="AE472" s="87"/>
      <c r="AF472" s="87"/>
      <c r="AG472" s="87"/>
      <c r="AH472" s="87"/>
      <c r="AI472" s="87"/>
      <c r="AJ472" s="87"/>
      <c r="AK472" s="87"/>
      <c r="AL472" s="87"/>
      <c r="AM472" s="87"/>
      <c r="AN472" s="87"/>
      <c r="AO472" s="87"/>
      <c r="AP472" s="87"/>
      <c r="AQ472" s="87"/>
      <c r="AR472" s="87"/>
      <c r="AS472" s="87"/>
      <c r="AT472" s="87"/>
      <c r="AU472" s="87"/>
      <c r="AV472" s="87"/>
      <c r="AW472" s="87"/>
      <c r="AX472" s="87"/>
      <c r="AY472" s="87"/>
      <c r="AZ472" s="87"/>
      <c r="BA472" s="87"/>
      <c r="BB472" s="87"/>
      <c r="BC472" s="87"/>
      <c r="BD472" s="87"/>
      <c r="BE472" s="87"/>
      <c r="BF472" s="87"/>
      <c r="BG472" s="87"/>
      <c r="BH472" s="87"/>
    </row>
    <row r="473" spans="1:60" ht="16">
      <c r="A473" s="82"/>
      <c r="B473" s="82"/>
      <c r="C473" s="82"/>
      <c r="D473" s="83"/>
      <c r="E473" s="84"/>
      <c r="F473" s="84"/>
      <c r="G473" s="84"/>
      <c r="H473" s="82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7"/>
      <c r="AA473" s="87"/>
      <c r="AB473" s="87"/>
      <c r="AC473" s="87"/>
      <c r="AD473" s="87"/>
      <c r="AE473" s="87"/>
      <c r="AF473" s="87"/>
      <c r="AG473" s="87"/>
      <c r="AH473" s="87"/>
      <c r="AI473" s="87"/>
      <c r="AJ473" s="87"/>
      <c r="AK473" s="87"/>
      <c r="AL473" s="87"/>
      <c r="AM473" s="87"/>
      <c r="AN473" s="87"/>
      <c r="AO473" s="87"/>
      <c r="AP473" s="87"/>
      <c r="AQ473" s="87"/>
      <c r="AR473" s="87"/>
      <c r="AS473" s="87"/>
      <c r="AT473" s="87"/>
      <c r="AU473" s="87"/>
      <c r="AV473" s="87"/>
      <c r="AW473" s="87"/>
      <c r="AX473" s="87"/>
      <c r="AY473" s="87"/>
      <c r="AZ473" s="87"/>
      <c r="BA473" s="87"/>
      <c r="BB473" s="87"/>
      <c r="BC473" s="87"/>
      <c r="BD473" s="87"/>
      <c r="BE473" s="87"/>
      <c r="BF473" s="87"/>
      <c r="BG473" s="87"/>
      <c r="BH473" s="87"/>
    </row>
    <row r="474" spans="1:60" ht="16">
      <c r="A474" s="82"/>
      <c r="B474" s="82"/>
      <c r="C474" s="82"/>
      <c r="D474" s="83"/>
      <c r="E474" s="84"/>
      <c r="F474" s="84"/>
      <c r="G474" s="84"/>
      <c r="H474" s="82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7"/>
      <c r="AA474" s="87"/>
      <c r="AB474" s="87"/>
      <c r="AC474" s="87"/>
      <c r="AD474" s="87"/>
      <c r="AE474" s="87"/>
      <c r="AF474" s="87"/>
      <c r="AG474" s="87"/>
      <c r="AH474" s="87"/>
      <c r="AI474" s="87"/>
      <c r="AJ474" s="87"/>
      <c r="AK474" s="87"/>
      <c r="AL474" s="87"/>
      <c r="AM474" s="87"/>
      <c r="AN474" s="87"/>
      <c r="AO474" s="87"/>
      <c r="AP474" s="87"/>
      <c r="AQ474" s="87"/>
      <c r="AR474" s="87"/>
      <c r="AS474" s="87"/>
      <c r="AT474" s="87"/>
      <c r="AU474" s="87"/>
      <c r="AV474" s="87"/>
      <c r="AW474" s="87"/>
      <c r="AX474" s="87"/>
      <c r="AY474" s="87"/>
      <c r="AZ474" s="87"/>
      <c r="BA474" s="87"/>
      <c r="BB474" s="87"/>
      <c r="BC474" s="87"/>
      <c r="BD474" s="87"/>
      <c r="BE474" s="87"/>
      <c r="BF474" s="87"/>
      <c r="BG474" s="87"/>
      <c r="BH474" s="87"/>
    </row>
    <row r="475" spans="1:60" ht="16">
      <c r="A475" s="82"/>
      <c r="B475" s="82"/>
      <c r="C475" s="82"/>
      <c r="D475" s="83"/>
      <c r="E475" s="84"/>
      <c r="F475" s="84"/>
      <c r="G475" s="84"/>
      <c r="H475" s="82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7"/>
      <c r="AA475" s="87"/>
      <c r="AB475" s="87"/>
      <c r="AC475" s="87"/>
      <c r="AD475" s="87"/>
      <c r="AE475" s="87"/>
      <c r="AF475" s="87"/>
      <c r="AG475" s="87"/>
      <c r="AH475" s="87"/>
      <c r="AI475" s="87"/>
      <c r="AJ475" s="87"/>
      <c r="AK475" s="87"/>
      <c r="AL475" s="87"/>
      <c r="AM475" s="87"/>
      <c r="AN475" s="87"/>
      <c r="AO475" s="87"/>
      <c r="AP475" s="87"/>
      <c r="AQ475" s="87"/>
      <c r="AR475" s="87"/>
      <c r="AS475" s="87"/>
      <c r="AT475" s="87"/>
      <c r="AU475" s="87"/>
      <c r="AV475" s="87"/>
      <c r="AW475" s="87"/>
      <c r="AX475" s="87"/>
      <c r="AY475" s="87"/>
      <c r="AZ475" s="87"/>
      <c r="BA475" s="87"/>
      <c r="BB475" s="87"/>
      <c r="BC475" s="87"/>
      <c r="BD475" s="87"/>
      <c r="BE475" s="87"/>
      <c r="BF475" s="87"/>
      <c r="BG475" s="87"/>
      <c r="BH475" s="87"/>
    </row>
    <row r="476" spans="1:60" ht="16">
      <c r="A476" s="82"/>
      <c r="B476" s="82"/>
      <c r="C476" s="82"/>
      <c r="D476" s="83"/>
      <c r="E476" s="84"/>
      <c r="F476" s="84"/>
      <c r="G476" s="84"/>
      <c r="H476" s="82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7"/>
      <c r="AA476" s="87"/>
      <c r="AB476" s="87"/>
      <c r="AC476" s="87"/>
      <c r="AD476" s="87"/>
      <c r="AE476" s="87"/>
      <c r="AF476" s="87"/>
      <c r="AG476" s="87"/>
      <c r="AH476" s="87"/>
      <c r="AI476" s="87"/>
      <c r="AJ476" s="87"/>
      <c r="AK476" s="87"/>
      <c r="AL476" s="87"/>
      <c r="AM476" s="87"/>
      <c r="AN476" s="87"/>
      <c r="AO476" s="87"/>
      <c r="AP476" s="87"/>
      <c r="AQ476" s="87"/>
      <c r="AR476" s="87"/>
      <c r="AS476" s="87"/>
      <c r="AT476" s="87"/>
      <c r="AU476" s="87"/>
      <c r="AV476" s="87"/>
      <c r="AW476" s="87"/>
      <c r="AX476" s="87"/>
      <c r="AY476" s="87"/>
      <c r="AZ476" s="87"/>
      <c r="BA476" s="87"/>
      <c r="BB476" s="87"/>
      <c r="BC476" s="87"/>
      <c r="BD476" s="87"/>
      <c r="BE476" s="87"/>
      <c r="BF476" s="87"/>
      <c r="BG476" s="87"/>
      <c r="BH476" s="87"/>
    </row>
    <row r="477" spans="1:60" ht="16">
      <c r="A477" s="82"/>
      <c r="B477" s="82"/>
      <c r="C477" s="82"/>
      <c r="D477" s="83"/>
      <c r="E477" s="84"/>
      <c r="F477" s="84"/>
      <c r="G477" s="84"/>
      <c r="H477" s="82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7"/>
      <c r="AA477" s="87"/>
      <c r="AB477" s="87"/>
      <c r="AC477" s="87"/>
      <c r="AD477" s="87"/>
      <c r="AE477" s="87"/>
      <c r="AF477" s="87"/>
      <c r="AG477" s="87"/>
      <c r="AH477" s="87"/>
      <c r="AI477" s="87"/>
      <c r="AJ477" s="87"/>
      <c r="AK477" s="87"/>
      <c r="AL477" s="87"/>
      <c r="AM477" s="87"/>
      <c r="AN477" s="87"/>
      <c r="AO477" s="87"/>
      <c r="AP477" s="87"/>
      <c r="AQ477" s="87"/>
      <c r="AR477" s="87"/>
      <c r="AS477" s="87"/>
      <c r="AT477" s="87"/>
      <c r="AU477" s="87"/>
      <c r="AV477" s="87"/>
      <c r="AW477" s="87"/>
      <c r="AX477" s="87"/>
      <c r="AY477" s="87"/>
      <c r="AZ477" s="87"/>
      <c r="BA477" s="87"/>
      <c r="BB477" s="87"/>
      <c r="BC477" s="87"/>
      <c r="BD477" s="87"/>
      <c r="BE477" s="87"/>
      <c r="BF477" s="87"/>
      <c r="BG477" s="87"/>
      <c r="BH477" s="87"/>
    </row>
    <row r="478" spans="1:60" ht="16">
      <c r="A478" s="82"/>
      <c r="B478" s="82"/>
      <c r="C478" s="82"/>
      <c r="D478" s="83"/>
      <c r="E478" s="84"/>
      <c r="F478" s="84"/>
      <c r="G478" s="84"/>
      <c r="H478" s="82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7"/>
      <c r="AA478" s="87"/>
      <c r="AB478" s="87"/>
      <c r="AC478" s="87"/>
      <c r="AD478" s="87"/>
      <c r="AE478" s="87"/>
      <c r="AF478" s="87"/>
      <c r="AG478" s="87"/>
      <c r="AH478" s="87"/>
      <c r="AI478" s="87"/>
      <c r="AJ478" s="87"/>
      <c r="AK478" s="87"/>
      <c r="AL478" s="87"/>
      <c r="AM478" s="87"/>
      <c r="AN478" s="87"/>
      <c r="AO478" s="87"/>
      <c r="AP478" s="87"/>
      <c r="AQ478" s="87"/>
      <c r="AR478" s="87"/>
      <c r="AS478" s="87"/>
      <c r="AT478" s="87"/>
      <c r="AU478" s="87"/>
      <c r="AV478" s="87"/>
      <c r="AW478" s="87"/>
      <c r="AX478" s="87"/>
      <c r="AY478" s="87"/>
      <c r="AZ478" s="87"/>
      <c r="BA478" s="87"/>
      <c r="BB478" s="87"/>
      <c r="BC478" s="87"/>
      <c r="BD478" s="87"/>
      <c r="BE478" s="87"/>
      <c r="BF478" s="87"/>
      <c r="BG478" s="87"/>
      <c r="BH478" s="87"/>
    </row>
    <row r="479" spans="1:60" ht="16">
      <c r="A479" s="82"/>
      <c r="B479" s="82"/>
      <c r="C479" s="82"/>
      <c r="D479" s="83"/>
      <c r="E479" s="84"/>
      <c r="F479" s="84"/>
      <c r="G479" s="84"/>
      <c r="H479" s="82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7"/>
      <c r="AA479" s="87"/>
      <c r="AB479" s="87"/>
      <c r="AC479" s="87"/>
      <c r="AD479" s="87"/>
      <c r="AE479" s="87"/>
      <c r="AF479" s="87"/>
      <c r="AG479" s="87"/>
      <c r="AH479" s="87"/>
      <c r="AI479" s="87"/>
      <c r="AJ479" s="87"/>
      <c r="AK479" s="87"/>
      <c r="AL479" s="87"/>
      <c r="AM479" s="87"/>
      <c r="AN479" s="87"/>
      <c r="AO479" s="87"/>
      <c r="AP479" s="87"/>
      <c r="AQ479" s="87"/>
      <c r="AR479" s="87"/>
      <c r="AS479" s="87"/>
      <c r="AT479" s="87"/>
      <c r="AU479" s="87"/>
      <c r="AV479" s="87"/>
      <c r="AW479" s="87"/>
      <c r="AX479" s="87"/>
      <c r="AY479" s="87"/>
      <c r="AZ479" s="87"/>
      <c r="BA479" s="87"/>
      <c r="BB479" s="87"/>
      <c r="BC479" s="87"/>
      <c r="BD479" s="87"/>
      <c r="BE479" s="87"/>
      <c r="BF479" s="87"/>
      <c r="BG479" s="87"/>
      <c r="BH479" s="87"/>
    </row>
    <row r="480" spans="1:60" ht="16">
      <c r="A480" s="82"/>
      <c r="B480" s="82"/>
      <c r="C480" s="82"/>
      <c r="D480" s="83"/>
      <c r="E480" s="84"/>
      <c r="F480" s="84"/>
      <c r="G480" s="84"/>
      <c r="H480" s="82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7"/>
      <c r="AA480" s="87"/>
      <c r="AB480" s="87"/>
      <c r="AC480" s="87"/>
      <c r="AD480" s="87"/>
      <c r="AE480" s="87"/>
      <c r="AF480" s="87"/>
      <c r="AG480" s="87"/>
      <c r="AH480" s="87"/>
      <c r="AI480" s="87"/>
      <c r="AJ480" s="87"/>
      <c r="AK480" s="87"/>
      <c r="AL480" s="87"/>
      <c r="AM480" s="87"/>
      <c r="AN480" s="87"/>
      <c r="AO480" s="87"/>
      <c r="AP480" s="87"/>
      <c r="AQ480" s="87"/>
      <c r="AR480" s="87"/>
      <c r="AS480" s="87"/>
      <c r="AT480" s="87"/>
      <c r="AU480" s="87"/>
      <c r="AV480" s="87"/>
      <c r="AW480" s="87"/>
      <c r="AX480" s="87"/>
      <c r="AY480" s="87"/>
      <c r="AZ480" s="87"/>
      <c r="BA480" s="87"/>
      <c r="BB480" s="87"/>
      <c r="BC480" s="87"/>
      <c r="BD480" s="87"/>
      <c r="BE480" s="87"/>
      <c r="BF480" s="87"/>
      <c r="BG480" s="87"/>
      <c r="BH480" s="87"/>
    </row>
    <row r="481" spans="1:60" ht="16">
      <c r="A481" s="82"/>
      <c r="B481" s="82"/>
      <c r="C481" s="82"/>
      <c r="D481" s="83"/>
      <c r="E481" s="84"/>
      <c r="F481" s="84"/>
      <c r="G481" s="84"/>
      <c r="H481" s="82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7"/>
      <c r="AA481" s="87"/>
      <c r="AB481" s="87"/>
      <c r="AC481" s="87"/>
      <c r="AD481" s="87"/>
      <c r="AE481" s="87"/>
      <c r="AF481" s="87"/>
      <c r="AG481" s="87"/>
      <c r="AH481" s="87"/>
      <c r="AI481" s="87"/>
      <c r="AJ481" s="87"/>
      <c r="AK481" s="87"/>
      <c r="AL481" s="87"/>
      <c r="AM481" s="87"/>
      <c r="AN481" s="87"/>
      <c r="AO481" s="87"/>
      <c r="AP481" s="87"/>
      <c r="AQ481" s="87"/>
      <c r="AR481" s="87"/>
      <c r="AS481" s="87"/>
      <c r="AT481" s="87"/>
      <c r="AU481" s="87"/>
      <c r="AV481" s="87"/>
      <c r="AW481" s="87"/>
      <c r="AX481" s="87"/>
      <c r="AY481" s="87"/>
      <c r="AZ481" s="87"/>
      <c r="BA481" s="87"/>
      <c r="BB481" s="87"/>
      <c r="BC481" s="87"/>
      <c r="BD481" s="87"/>
      <c r="BE481" s="87"/>
      <c r="BF481" s="87"/>
      <c r="BG481" s="87"/>
      <c r="BH481" s="87"/>
    </row>
    <row r="482" spans="1:60" ht="16">
      <c r="A482" s="82"/>
      <c r="B482" s="82"/>
      <c r="C482" s="82"/>
      <c r="D482" s="83"/>
      <c r="E482" s="84"/>
      <c r="F482" s="84"/>
      <c r="G482" s="84"/>
      <c r="H482" s="82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7"/>
      <c r="AA482" s="87"/>
      <c r="AB482" s="87"/>
      <c r="AC482" s="87"/>
      <c r="AD482" s="87"/>
      <c r="AE482" s="87"/>
      <c r="AF482" s="87"/>
      <c r="AG482" s="87"/>
      <c r="AH482" s="87"/>
      <c r="AI482" s="87"/>
      <c r="AJ482" s="87"/>
      <c r="AK482" s="87"/>
      <c r="AL482" s="87"/>
      <c r="AM482" s="87"/>
      <c r="AN482" s="87"/>
      <c r="AO482" s="87"/>
      <c r="AP482" s="87"/>
      <c r="AQ482" s="87"/>
      <c r="AR482" s="87"/>
      <c r="AS482" s="87"/>
      <c r="AT482" s="87"/>
      <c r="AU482" s="87"/>
      <c r="AV482" s="87"/>
      <c r="AW482" s="87"/>
      <c r="AX482" s="87"/>
      <c r="AY482" s="87"/>
      <c r="AZ482" s="87"/>
      <c r="BA482" s="87"/>
      <c r="BB482" s="87"/>
      <c r="BC482" s="87"/>
      <c r="BD482" s="87"/>
      <c r="BE482" s="87"/>
      <c r="BF482" s="87"/>
      <c r="BG482" s="87"/>
      <c r="BH482" s="87"/>
    </row>
    <row r="483" spans="1:60" ht="16">
      <c r="A483" s="82"/>
      <c r="B483" s="82"/>
      <c r="C483" s="82"/>
      <c r="D483" s="83"/>
      <c r="E483" s="84"/>
      <c r="F483" s="84"/>
      <c r="G483" s="84"/>
      <c r="H483" s="82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7"/>
      <c r="AA483" s="87"/>
      <c r="AB483" s="87"/>
      <c r="AC483" s="87"/>
      <c r="AD483" s="87"/>
      <c r="AE483" s="87"/>
      <c r="AF483" s="87"/>
      <c r="AG483" s="87"/>
      <c r="AH483" s="87"/>
      <c r="AI483" s="87"/>
      <c r="AJ483" s="87"/>
      <c r="AK483" s="87"/>
      <c r="AL483" s="87"/>
      <c r="AM483" s="87"/>
      <c r="AN483" s="87"/>
      <c r="AO483" s="87"/>
      <c r="AP483" s="87"/>
      <c r="AQ483" s="87"/>
      <c r="AR483" s="87"/>
      <c r="AS483" s="87"/>
      <c r="AT483" s="87"/>
      <c r="AU483" s="87"/>
      <c r="AV483" s="87"/>
      <c r="AW483" s="87"/>
      <c r="AX483" s="87"/>
      <c r="AY483" s="87"/>
      <c r="AZ483" s="87"/>
      <c r="BA483" s="87"/>
      <c r="BB483" s="87"/>
      <c r="BC483" s="87"/>
      <c r="BD483" s="87"/>
      <c r="BE483" s="87"/>
      <c r="BF483" s="87"/>
      <c r="BG483" s="87"/>
      <c r="BH483" s="87"/>
    </row>
    <row r="484" spans="1:60" ht="16">
      <c r="A484" s="82"/>
      <c r="B484" s="82"/>
      <c r="C484" s="82"/>
      <c r="D484" s="83"/>
      <c r="E484" s="84"/>
      <c r="F484" s="84"/>
      <c r="G484" s="84"/>
      <c r="H484" s="82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7"/>
      <c r="AA484" s="87"/>
      <c r="AB484" s="87"/>
      <c r="AC484" s="87"/>
      <c r="AD484" s="87"/>
      <c r="AE484" s="87"/>
      <c r="AF484" s="87"/>
      <c r="AG484" s="87"/>
      <c r="AH484" s="87"/>
      <c r="AI484" s="87"/>
      <c r="AJ484" s="87"/>
      <c r="AK484" s="87"/>
      <c r="AL484" s="87"/>
      <c r="AM484" s="87"/>
      <c r="AN484" s="87"/>
      <c r="AO484" s="87"/>
      <c r="AP484" s="87"/>
      <c r="AQ484" s="87"/>
      <c r="AR484" s="87"/>
      <c r="AS484" s="87"/>
      <c r="AT484" s="87"/>
      <c r="AU484" s="87"/>
      <c r="AV484" s="87"/>
      <c r="AW484" s="87"/>
      <c r="AX484" s="87"/>
      <c r="AY484" s="87"/>
      <c r="AZ484" s="87"/>
      <c r="BA484" s="87"/>
      <c r="BB484" s="87"/>
      <c r="BC484" s="87"/>
      <c r="BD484" s="87"/>
      <c r="BE484" s="87"/>
      <c r="BF484" s="87"/>
      <c r="BG484" s="87"/>
      <c r="BH484" s="87"/>
    </row>
    <row r="485" spans="1:60" ht="16">
      <c r="A485" s="82"/>
      <c r="B485" s="82"/>
      <c r="C485" s="82"/>
      <c r="D485" s="83"/>
      <c r="E485" s="84"/>
      <c r="F485" s="84"/>
      <c r="G485" s="84"/>
      <c r="H485" s="82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7"/>
      <c r="AA485" s="87"/>
      <c r="AB485" s="87"/>
      <c r="AC485" s="87"/>
      <c r="AD485" s="87"/>
      <c r="AE485" s="87"/>
      <c r="AF485" s="87"/>
      <c r="AG485" s="87"/>
      <c r="AH485" s="87"/>
      <c r="AI485" s="87"/>
      <c r="AJ485" s="87"/>
      <c r="AK485" s="87"/>
      <c r="AL485" s="87"/>
      <c r="AM485" s="87"/>
      <c r="AN485" s="87"/>
      <c r="AO485" s="87"/>
      <c r="AP485" s="87"/>
      <c r="AQ485" s="87"/>
      <c r="AR485" s="87"/>
      <c r="AS485" s="87"/>
      <c r="AT485" s="87"/>
      <c r="AU485" s="87"/>
      <c r="AV485" s="87"/>
      <c r="AW485" s="87"/>
      <c r="AX485" s="87"/>
      <c r="AY485" s="87"/>
      <c r="AZ485" s="87"/>
      <c r="BA485" s="87"/>
      <c r="BB485" s="87"/>
      <c r="BC485" s="87"/>
      <c r="BD485" s="87"/>
      <c r="BE485" s="87"/>
      <c r="BF485" s="87"/>
      <c r="BG485" s="87"/>
      <c r="BH485" s="87"/>
    </row>
    <row r="486" spans="1:60" ht="16">
      <c r="A486" s="82"/>
      <c r="B486" s="82"/>
      <c r="C486" s="82"/>
      <c r="D486" s="83"/>
      <c r="E486" s="84"/>
      <c r="F486" s="84"/>
      <c r="G486" s="84"/>
      <c r="H486" s="82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7"/>
      <c r="AA486" s="87"/>
      <c r="AB486" s="87"/>
      <c r="AC486" s="87"/>
      <c r="AD486" s="87"/>
      <c r="AE486" s="87"/>
      <c r="AF486" s="87"/>
      <c r="AG486" s="87"/>
      <c r="AH486" s="87"/>
      <c r="AI486" s="87"/>
      <c r="AJ486" s="87"/>
      <c r="AK486" s="87"/>
      <c r="AL486" s="87"/>
      <c r="AM486" s="87"/>
      <c r="AN486" s="87"/>
      <c r="AO486" s="87"/>
      <c r="AP486" s="87"/>
      <c r="AQ486" s="87"/>
      <c r="AR486" s="87"/>
      <c r="AS486" s="87"/>
      <c r="AT486" s="87"/>
      <c r="AU486" s="87"/>
      <c r="AV486" s="87"/>
      <c r="AW486" s="87"/>
      <c r="AX486" s="87"/>
      <c r="AY486" s="87"/>
      <c r="AZ486" s="87"/>
      <c r="BA486" s="87"/>
      <c r="BB486" s="87"/>
      <c r="BC486" s="87"/>
      <c r="BD486" s="87"/>
      <c r="BE486" s="87"/>
      <c r="BF486" s="87"/>
      <c r="BG486" s="87"/>
      <c r="BH486" s="87"/>
    </row>
    <row r="487" spans="1:60" ht="16">
      <c r="A487" s="82"/>
      <c r="B487" s="82"/>
      <c r="C487" s="82"/>
      <c r="D487" s="83"/>
      <c r="E487" s="84"/>
      <c r="F487" s="84"/>
      <c r="G487" s="84"/>
      <c r="H487" s="82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7"/>
      <c r="AA487" s="87"/>
      <c r="AB487" s="87"/>
      <c r="AC487" s="87"/>
      <c r="AD487" s="87"/>
      <c r="AE487" s="87"/>
      <c r="AF487" s="87"/>
      <c r="AG487" s="87"/>
      <c r="AH487" s="87"/>
      <c r="AI487" s="87"/>
      <c r="AJ487" s="87"/>
      <c r="AK487" s="87"/>
      <c r="AL487" s="87"/>
      <c r="AM487" s="87"/>
      <c r="AN487" s="87"/>
      <c r="AO487" s="87"/>
      <c r="AP487" s="87"/>
      <c r="AQ487" s="87"/>
      <c r="AR487" s="87"/>
      <c r="AS487" s="87"/>
      <c r="AT487" s="87"/>
      <c r="AU487" s="87"/>
      <c r="AV487" s="87"/>
      <c r="AW487" s="87"/>
      <c r="AX487" s="87"/>
      <c r="AY487" s="87"/>
      <c r="AZ487" s="87"/>
      <c r="BA487" s="87"/>
      <c r="BB487" s="87"/>
      <c r="BC487" s="87"/>
      <c r="BD487" s="87"/>
      <c r="BE487" s="87"/>
      <c r="BF487" s="87"/>
      <c r="BG487" s="87"/>
      <c r="BH487" s="87"/>
    </row>
    <row r="488" spans="1:60" ht="16">
      <c r="A488" s="82"/>
      <c r="B488" s="82"/>
      <c r="C488" s="82"/>
      <c r="D488" s="83"/>
      <c r="E488" s="84"/>
      <c r="F488" s="84"/>
      <c r="G488" s="84"/>
      <c r="H488" s="82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7"/>
      <c r="AA488" s="87"/>
      <c r="AB488" s="87"/>
      <c r="AC488" s="87"/>
      <c r="AD488" s="87"/>
      <c r="AE488" s="87"/>
      <c r="AF488" s="87"/>
      <c r="AG488" s="87"/>
      <c r="AH488" s="87"/>
      <c r="AI488" s="87"/>
      <c r="AJ488" s="87"/>
      <c r="AK488" s="87"/>
      <c r="AL488" s="87"/>
      <c r="AM488" s="87"/>
      <c r="AN488" s="87"/>
      <c r="AO488" s="87"/>
      <c r="AP488" s="87"/>
      <c r="AQ488" s="87"/>
      <c r="AR488" s="87"/>
      <c r="AS488" s="87"/>
      <c r="AT488" s="87"/>
      <c r="AU488" s="87"/>
      <c r="AV488" s="87"/>
      <c r="AW488" s="87"/>
      <c r="AX488" s="87"/>
      <c r="AY488" s="87"/>
      <c r="AZ488" s="87"/>
      <c r="BA488" s="87"/>
      <c r="BB488" s="87"/>
      <c r="BC488" s="87"/>
      <c r="BD488" s="87"/>
      <c r="BE488" s="87"/>
      <c r="BF488" s="87"/>
      <c r="BG488" s="87"/>
      <c r="BH488" s="87"/>
    </row>
    <row r="489" spans="1:60" ht="16">
      <c r="A489" s="82"/>
      <c r="B489" s="82"/>
      <c r="C489" s="82"/>
      <c r="D489" s="83"/>
      <c r="E489" s="84"/>
      <c r="F489" s="84"/>
      <c r="G489" s="84"/>
      <c r="H489" s="82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7"/>
      <c r="AA489" s="87"/>
      <c r="AB489" s="87"/>
      <c r="AC489" s="87"/>
      <c r="AD489" s="87"/>
      <c r="AE489" s="87"/>
      <c r="AF489" s="87"/>
      <c r="AG489" s="87"/>
      <c r="AH489" s="87"/>
      <c r="AI489" s="87"/>
      <c r="AJ489" s="87"/>
      <c r="AK489" s="87"/>
      <c r="AL489" s="87"/>
      <c r="AM489" s="87"/>
      <c r="AN489" s="87"/>
      <c r="AO489" s="87"/>
      <c r="AP489" s="87"/>
      <c r="AQ489" s="87"/>
      <c r="AR489" s="87"/>
      <c r="AS489" s="87"/>
      <c r="AT489" s="87"/>
      <c r="AU489" s="87"/>
      <c r="AV489" s="87"/>
      <c r="AW489" s="87"/>
      <c r="AX489" s="87"/>
      <c r="AY489" s="87"/>
      <c r="AZ489" s="87"/>
      <c r="BA489" s="87"/>
      <c r="BB489" s="87"/>
      <c r="BC489" s="87"/>
      <c r="BD489" s="87"/>
      <c r="BE489" s="87"/>
      <c r="BF489" s="87"/>
      <c r="BG489" s="87"/>
      <c r="BH489" s="87"/>
    </row>
    <row r="490" spans="1:60" ht="16">
      <c r="A490" s="82"/>
      <c r="B490" s="82"/>
      <c r="C490" s="82"/>
      <c r="D490" s="83"/>
      <c r="E490" s="84"/>
      <c r="F490" s="84"/>
      <c r="G490" s="84"/>
      <c r="H490" s="82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7"/>
      <c r="AA490" s="87"/>
      <c r="AB490" s="87"/>
      <c r="AC490" s="87"/>
      <c r="AD490" s="87"/>
      <c r="AE490" s="87"/>
      <c r="AF490" s="87"/>
      <c r="AG490" s="87"/>
      <c r="AH490" s="87"/>
      <c r="AI490" s="87"/>
      <c r="AJ490" s="87"/>
      <c r="AK490" s="87"/>
      <c r="AL490" s="87"/>
      <c r="AM490" s="87"/>
      <c r="AN490" s="87"/>
      <c r="AO490" s="87"/>
      <c r="AP490" s="87"/>
      <c r="AQ490" s="87"/>
      <c r="AR490" s="87"/>
      <c r="AS490" s="87"/>
      <c r="AT490" s="87"/>
      <c r="AU490" s="87"/>
      <c r="AV490" s="87"/>
      <c r="AW490" s="87"/>
      <c r="AX490" s="87"/>
      <c r="AY490" s="87"/>
      <c r="AZ490" s="87"/>
      <c r="BA490" s="87"/>
      <c r="BB490" s="87"/>
      <c r="BC490" s="87"/>
      <c r="BD490" s="87"/>
      <c r="BE490" s="87"/>
      <c r="BF490" s="87"/>
      <c r="BG490" s="87"/>
      <c r="BH490" s="87"/>
    </row>
    <row r="491" spans="1:60" ht="16">
      <c r="A491" s="82"/>
      <c r="B491" s="82"/>
      <c r="C491" s="82"/>
      <c r="D491" s="83"/>
      <c r="E491" s="84"/>
      <c r="F491" s="84"/>
      <c r="G491" s="84"/>
      <c r="H491" s="82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7"/>
      <c r="AA491" s="87"/>
      <c r="AB491" s="87"/>
      <c r="AC491" s="87"/>
      <c r="AD491" s="87"/>
      <c r="AE491" s="87"/>
      <c r="AF491" s="87"/>
      <c r="AG491" s="87"/>
      <c r="AH491" s="87"/>
      <c r="AI491" s="87"/>
      <c r="AJ491" s="87"/>
      <c r="AK491" s="87"/>
      <c r="AL491" s="87"/>
      <c r="AM491" s="87"/>
      <c r="AN491" s="87"/>
      <c r="AO491" s="87"/>
      <c r="AP491" s="87"/>
      <c r="AQ491" s="87"/>
      <c r="AR491" s="87"/>
      <c r="AS491" s="87"/>
      <c r="AT491" s="87"/>
      <c r="AU491" s="87"/>
      <c r="AV491" s="87"/>
      <c r="AW491" s="87"/>
      <c r="AX491" s="87"/>
      <c r="AY491" s="87"/>
      <c r="AZ491" s="87"/>
      <c r="BA491" s="87"/>
      <c r="BB491" s="87"/>
      <c r="BC491" s="87"/>
      <c r="BD491" s="87"/>
      <c r="BE491" s="87"/>
      <c r="BF491" s="87"/>
      <c r="BG491" s="87"/>
      <c r="BH491" s="87"/>
    </row>
    <row r="492" spans="1:60" ht="16">
      <c r="A492" s="82"/>
      <c r="B492" s="82"/>
      <c r="C492" s="82"/>
      <c r="D492" s="83"/>
      <c r="E492" s="84"/>
      <c r="F492" s="84"/>
      <c r="G492" s="84"/>
      <c r="H492" s="82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7"/>
      <c r="AA492" s="87"/>
      <c r="AB492" s="87"/>
      <c r="AC492" s="87"/>
      <c r="AD492" s="87"/>
      <c r="AE492" s="87"/>
      <c r="AF492" s="87"/>
      <c r="AG492" s="87"/>
      <c r="AH492" s="87"/>
      <c r="AI492" s="87"/>
      <c r="AJ492" s="87"/>
      <c r="AK492" s="87"/>
      <c r="AL492" s="87"/>
      <c r="AM492" s="87"/>
      <c r="AN492" s="87"/>
      <c r="AO492" s="87"/>
      <c r="AP492" s="87"/>
      <c r="AQ492" s="87"/>
      <c r="AR492" s="87"/>
      <c r="AS492" s="87"/>
      <c r="AT492" s="87"/>
      <c r="AU492" s="87"/>
      <c r="AV492" s="87"/>
      <c r="AW492" s="87"/>
      <c r="AX492" s="87"/>
      <c r="AY492" s="87"/>
      <c r="AZ492" s="87"/>
      <c r="BA492" s="87"/>
      <c r="BB492" s="87"/>
      <c r="BC492" s="87"/>
      <c r="BD492" s="87"/>
      <c r="BE492" s="87"/>
      <c r="BF492" s="87"/>
      <c r="BG492" s="87"/>
      <c r="BH492" s="87"/>
    </row>
    <row r="493" spans="1:60" ht="16">
      <c r="A493" s="82"/>
      <c r="B493" s="82"/>
      <c r="C493" s="82"/>
      <c r="D493" s="83"/>
      <c r="E493" s="84"/>
      <c r="F493" s="84"/>
      <c r="G493" s="84"/>
      <c r="H493" s="82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7"/>
      <c r="AA493" s="87"/>
      <c r="AB493" s="87"/>
      <c r="AC493" s="87"/>
      <c r="AD493" s="87"/>
      <c r="AE493" s="87"/>
      <c r="AF493" s="87"/>
      <c r="AG493" s="87"/>
      <c r="AH493" s="87"/>
      <c r="AI493" s="87"/>
      <c r="AJ493" s="87"/>
      <c r="AK493" s="87"/>
      <c r="AL493" s="87"/>
      <c r="AM493" s="87"/>
      <c r="AN493" s="87"/>
      <c r="AO493" s="87"/>
      <c r="AP493" s="87"/>
      <c r="AQ493" s="87"/>
      <c r="AR493" s="87"/>
      <c r="AS493" s="87"/>
      <c r="AT493" s="87"/>
      <c r="AU493" s="87"/>
      <c r="AV493" s="87"/>
      <c r="AW493" s="87"/>
      <c r="AX493" s="87"/>
      <c r="AY493" s="87"/>
      <c r="AZ493" s="87"/>
      <c r="BA493" s="87"/>
      <c r="BB493" s="87"/>
      <c r="BC493" s="87"/>
      <c r="BD493" s="87"/>
      <c r="BE493" s="87"/>
      <c r="BF493" s="87"/>
      <c r="BG493" s="87"/>
      <c r="BH493" s="87"/>
    </row>
    <row r="494" spans="1:60" ht="16">
      <c r="A494" s="82"/>
      <c r="B494" s="82"/>
      <c r="C494" s="82"/>
      <c r="D494" s="83"/>
      <c r="E494" s="84"/>
      <c r="F494" s="84"/>
      <c r="G494" s="84"/>
      <c r="H494" s="82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7"/>
      <c r="AA494" s="87"/>
      <c r="AB494" s="87"/>
      <c r="AC494" s="87"/>
      <c r="AD494" s="87"/>
      <c r="AE494" s="87"/>
      <c r="AF494" s="87"/>
      <c r="AG494" s="87"/>
      <c r="AH494" s="87"/>
      <c r="AI494" s="87"/>
      <c r="AJ494" s="87"/>
      <c r="AK494" s="87"/>
      <c r="AL494" s="87"/>
      <c r="AM494" s="87"/>
      <c r="AN494" s="87"/>
      <c r="AO494" s="87"/>
      <c r="AP494" s="87"/>
      <c r="AQ494" s="87"/>
      <c r="AR494" s="87"/>
      <c r="AS494" s="87"/>
      <c r="AT494" s="87"/>
      <c r="AU494" s="87"/>
      <c r="AV494" s="87"/>
      <c r="AW494" s="87"/>
      <c r="AX494" s="87"/>
      <c r="AY494" s="87"/>
      <c r="AZ494" s="87"/>
      <c r="BA494" s="87"/>
      <c r="BB494" s="87"/>
      <c r="BC494" s="87"/>
      <c r="BD494" s="87"/>
      <c r="BE494" s="87"/>
      <c r="BF494" s="87"/>
      <c r="BG494" s="87"/>
      <c r="BH494" s="87"/>
    </row>
    <row r="495" spans="1:60" ht="16">
      <c r="A495" s="82"/>
      <c r="B495" s="82"/>
      <c r="C495" s="82"/>
      <c r="D495" s="83"/>
      <c r="E495" s="84"/>
      <c r="F495" s="84"/>
      <c r="G495" s="84"/>
      <c r="H495" s="82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7"/>
      <c r="AA495" s="87"/>
      <c r="AB495" s="87"/>
      <c r="AC495" s="87"/>
      <c r="AD495" s="87"/>
      <c r="AE495" s="87"/>
      <c r="AF495" s="87"/>
      <c r="AG495" s="87"/>
      <c r="AH495" s="87"/>
      <c r="AI495" s="87"/>
      <c r="AJ495" s="87"/>
      <c r="AK495" s="87"/>
      <c r="AL495" s="87"/>
      <c r="AM495" s="87"/>
      <c r="AN495" s="87"/>
      <c r="AO495" s="87"/>
      <c r="AP495" s="87"/>
      <c r="AQ495" s="87"/>
      <c r="AR495" s="87"/>
      <c r="AS495" s="87"/>
      <c r="AT495" s="87"/>
      <c r="AU495" s="87"/>
      <c r="AV495" s="87"/>
      <c r="AW495" s="87"/>
      <c r="AX495" s="87"/>
      <c r="AY495" s="87"/>
      <c r="AZ495" s="87"/>
      <c r="BA495" s="87"/>
      <c r="BB495" s="87"/>
      <c r="BC495" s="87"/>
      <c r="BD495" s="87"/>
      <c r="BE495" s="87"/>
      <c r="BF495" s="87"/>
      <c r="BG495" s="87"/>
      <c r="BH495" s="87"/>
    </row>
    <row r="496" spans="1:60" ht="16">
      <c r="A496" s="82"/>
      <c r="B496" s="82"/>
      <c r="C496" s="82"/>
      <c r="D496" s="83"/>
      <c r="E496" s="84"/>
      <c r="F496" s="84"/>
      <c r="G496" s="84"/>
      <c r="H496" s="82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7"/>
      <c r="AA496" s="87"/>
      <c r="AB496" s="87"/>
      <c r="AC496" s="87"/>
      <c r="AD496" s="87"/>
      <c r="AE496" s="87"/>
      <c r="AF496" s="87"/>
      <c r="AG496" s="87"/>
      <c r="AH496" s="87"/>
      <c r="AI496" s="87"/>
      <c r="AJ496" s="87"/>
      <c r="AK496" s="87"/>
      <c r="AL496" s="87"/>
      <c r="AM496" s="87"/>
      <c r="AN496" s="87"/>
      <c r="AO496" s="87"/>
      <c r="AP496" s="87"/>
      <c r="AQ496" s="87"/>
      <c r="AR496" s="87"/>
      <c r="AS496" s="87"/>
      <c r="AT496" s="87"/>
      <c r="AU496" s="87"/>
      <c r="AV496" s="87"/>
      <c r="AW496" s="87"/>
      <c r="AX496" s="87"/>
      <c r="AY496" s="87"/>
      <c r="AZ496" s="87"/>
      <c r="BA496" s="87"/>
      <c r="BB496" s="87"/>
      <c r="BC496" s="87"/>
      <c r="BD496" s="87"/>
      <c r="BE496" s="87"/>
      <c r="BF496" s="87"/>
      <c r="BG496" s="87"/>
      <c r="BH496" s="87"/>
    </row>
    <row r="497" spans="1:60" ht="16">
      <c r="A497" s="82"/>
      <c r="B497" s="82"/>
      <c r="C497" s="82"/>
      <c r="D497" s="83"/>
      <c r="E497" s="84"/>
      <c r="F497" s="84"/>
      <c r="G497" s="84"/>
      <c r="H497" s="82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7"/>
      <c r="AA497" s="87"/>
      <c r="AB497" s="87"/>
      <c r="AC497" s="87"/>
      <c r="AD497" s="87"/>
      <c r="AE497" s="87"/>
      <c r="AF497" s="87"/>
      <c r="AG497" s="87"/>
      <c r="AH497" s="87"/>
      <c r="AI497" s="87"/>
      <c r="AJ497" s="87"/>
      <c r="AK497" s="87"/>
      <c r="AL497" s="87"/>
      <c r="AM497" s="87"/>
      <c r="AN497" s="87"/>
      <c r="AO497" s="87"/>
      <c r="AP497" s="87"/>
      <c r="AQ497" s="87"/>
      <c r="AR497" s="87"/>
      <c r="AS497" s="87"/>
      <c r="AT497" s="87"/>
      <c r="AU497" s="87"/>
      <c r="AV497" s="87"/>
      <c r="AW497" s="87"/>
      <c r="AX497" s="87"/>
      <c r="AY497" s="87"/>
      <c r="AZ497" s="87"/>
      <c r="BA497" s="87"/>
      <c r="BB497" s="87"/>
      <c r="BC497" s="87"/>
      <c r="BD497" s="87"/>
      <c r="BE497" s="87"/>
      <c r="BF497" s="87"/>
      <c r="BG497" s="87"/>
      <c r="BH497" s="87"/>
    </row>
    <row r="498" spans="1:60" ht="16">
      <c r="A498" s="82"/>
      <c r="B498" s="82"/>
      <c r="C498" s="82"/>
      <c r="D498" s="83"/>
      <c r="E498" s="84"/>
      <c r="F498" s="84"/>
      <c r="G498" s="84"/>
      <c r="H498" s="82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7"/>
      <c r="AA498" s="87"/>
      <c r="AB498" s="87"/>
      <c r="AC498" s="87"/>
      <c r="AD498" s="87"/>
      <c r="AE498" s="87"/>
      <c r="AF498" s="87"/>
      <c r="AG498" s="87"/>
      <c r="AH498" s="87"/>
      <c r="AI498" s="87"/>
      <c r="AJ498" s="87"/>
      <c r="AK498" s="87"/>
      <c r="AL498" s="87"/>
      <c r="AM498" s="87"/>
      <c r="AN498" s="87"/>
      <c r="AO498" s="87"/>
      <c r="AP498" s="87"/>
      <c r="AQ498" s="87"/>
      <c r="AR498" s="87"/>
      <c r="AS498" s="87"/>
      <c r="AT498" s="87"/>
      <c r="AU498" s="87"/>
      <c r="AV498" s="87"/>
      <c r="AW498" s="87"/>
      <c r="AX498" s="87"/>
      <c r="AY498" s="87"/>
      <c r="AZ498" s="87"/>
      <c r="BA498" s="87"/>
      <c r="BB498" s="87"/>
      <c r="BC498" s="87"/>
      <c r="BD498" s="87"/>
      <c r="BE498" s="87"/>
      <c r="BF498" s="87"/>
      <c r="BG498" s="87"/>
      <c r="BH498" s="87"/>
    </row>
    <row r="499" spans="1:60" ht="16">
      <c r="A499" s="82"/>
      <c r="B499" s="82"/>
      <c r="C499" s="82"/>
      <c r="D499" s="83"/>
      <c r="E499" s="84"/>
      <c r="F499" s="84"/>
      <c r="G499" s="84"/>
      <c r="H499" s="82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7"/>
      <c r="AA499" s="87"/>
      <c r="AB499" s="87"/>
      <c r="AC499" s="87"/>
      <c r="AD499" s="87"/>
      <c r="AE499" s="87"/>
      <c r="AF499" s="87"/>
      <c r="AG499" s="87"/>
      <c r="AH499" s="87"/>
      <c r="AI499" s="87"/>
      <c r="AJ499" s="87"/>
      <c r="AK499" s="87"/>
      <c r="AL499" s="87"/>
      <c r="AM499" s="87"/>
      <c r="AN499" s="87"/>
      <c r="AO499" s="87"/>
      <c r="AP499" s="87"/>
      <c r="AQ499" s="87"/>
      <c r="AR499" s="87"/>
      <c r="AS499" s="87"/>
      <c r="AT499" s="87"/>
      <c r="AU499" s="87"/>
      <c r="AV499" s="87"/>
      <c r="AW499" s="87"/>
      <c r="AX499" s="87"/>
      <c r="AY499" s="87"/>
      <c r="AZ499" s="87"/>
      <c r="BA499" s="87"/>
      <c r="BB499" s="87"/>
      <c r="BC499" s="87"/>
      <c r="BD499" s="87"/>
      <c r="BE499" s="87"/>
      <c r="BF499" s="87"/>
      <c r="BG499" s="87"/>
      <c r="BH499" s="87"/>
    </row>
    <row r="500" spans="1:60" ht="16">
      <c r="A500" s="82"/>
      <c r="B500" s="82"/>
      <c r="C500" s="82"/>
      <c r="D500" s="83"/>
      <c r="E500" s="84"/>
      <c r="F500" s="84"/>
      <c r="G500" s="84"/>
      <c r="H500" s="82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7"/>
      <c r="AA500" s="87"/>
      <c r="AB500" s="87"/>
      <c r="AC500" s="87"/>
      <c r="AD500" s="87"/>
      <c r="AE500" s="87"/>
      <c r="AF500" s="87"/>
      <c r="AG500" s="87"/>
      <c r="AH500" s="87"/>
      <c r="AI500" s="87"/>
      <c r="AJ500" s="87"/>
      <c r="AK500" s="87"/>
      <c r="AL500" s="87"/>
      <c r="AM500" s="87"/>
      <c r="AN500" s="87"/>
      <c r="AO500" s="87"/>
      <c r="AP500" s="87"/>
      <c r="AQ500" s="87"/>
      <c r="AR500" s="87"/>
      <c r="AS500" s="87"/>
      <c r="AT500" s="87"/>
      <c r="AU500" s="87"/>
      <c r="AV500" s="87"/>
      <c r="AW500" s="87"/>
      <c r="AX500" s="87"/>
      <c r="AY500" s="87"/>
      <c r="AZ500" s="87"/>
      <c r="BA500" s="87"/>
      <c r="BB500" s="87"/>
      <c r="BC500" s="87"/>
      <c r="BD500" s="87"/>
      <c r="BE500" s="87"/>
      <c r="BF500" s="87"/>
      <c r="BG500" s="87"/>
      <c r="BH500" s="87"/>
    </row>
    <row r="501" spans="1:60" ht="16">
      <c r="A501" s="82"/>
      <c r="B501" s="82"/>
      <c r="C501" s="82"/>
      <c r="D501" s="83"/>
      <c r="E501" s="84"/>
      <c r="F501" s="84"/>
      <c r="G501" s="84"/>
      <c r="H501" s="82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7"/>
      <c r="AA501" s="87"/>
      <c r="AB501" s="87"/>
      <c r="AC501" s="87"/>
      <c r="AD501" s="87"/>
      <c r="AE501" s="87"/>
      <c r="AF501" s="87"/>
      <c r="AG501" s="87"/>
      <c r="AH501" s="87"/>
      <c r="AI501" s="87"/>
      <c r="AJ501" s="87"/>
      <c r="AK501" s="87"/>
      <c r="AL501" s="87"/>
      <c r="AM501" s="87"/>
      <c r="AN501" s="87"/>
      <c r="AO501" s="87"/>
      <c r="AP501" s="87"/>
      <c r="AQ501" s="87"/>
      <c r="AR501" s="87"/>
      <c r="AS501" s="87"/>
      <c r="AT501" s="87"/>
      <c r="AU501" s="87"/>
      <c r="AV501" s="87"/>
      <c r="AW501" s="87"/>
      <c r="AX501" s="87"/>
      <c r="AY501" s="87"/>
      <c r="AZ501" s="87"/>
      <c r="BA501" s="87"/>
      <c r="BB501" s="87"/>
      <c r="BC501" s="87"/>
      <c r="BD501" s="87"/>
      <c r="BE501" s="87"/>
      <c r="BF501" s="87"/>
      <c r="BG501" s="87"/>
      <c r="BH501" s="87"/>
    </row>
    <row r="502" spans="1:60" ht="16">
      <c r="A502" s="82"/>
      <c r="B502" s="82"/>
      <c r="C502" s="82"/>
      <c r="D502" s="83"/>
      <c r="E502" s="84"/>
      <c r="F502" s="84"/>
      <c r="G502" s="84"/>
      <c r="H502" s="82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7"/>
      <c r="AA502" s="87"/>
      <c r="AB502" s="87"/>
      <c r="AC502" s="87"/>
      <c r="AD502" s="87"/>
      <c r="AE502" s="87"/>
      <c r="AF502" s="87"/>
      <c r="AG502" s="87"/>
      <c r="AH502" s="87"/>
      <c r="AI502" s="87"/>
      <c r="AJ502" s="87"/>
      <c r="AK502" s="87"/>
      <c r="AL502" s="87"/>
      <c r="AM502" s="87"/>
      <c r="AN502" s="87"/>
      <c r="AO502" s="87"/>
      <c r="AP502" s="87"/>
      <c r="AQ502" s="87"/>
      <c r="AR502" s="87"/>
      <c r="AS502" s="87"/>
      <c r="AT502" s="87"/>
      <c r="AU502" s="87"/>
      <c r="AV502" s="87"/>
      <c r="AW502" s="87"/>
      <c r="AX502" s="87"/>
      <c r="AY502" s="87"/>
      <c r="AZ502" s="87"/>
      <c r="BA502" s="87"/>
      <c r="BB502" s="87"/>
      <c r="BC502" s="87"/>
      <c r="BD502" s="87"/>
      <c r="BE502" s="87"/>
      <c r="BF502" s="87"/>
      <c r="BG502" s="87"/>
      <c r="BH502" s="87"/>
    </row>
    <row r="503" spans="1:60" ht="16">
      <c r="A503" s="82"/>
      <c r="B503" s="82"/>
      <c r="C503" s="82"/>
      <c r="D503" s="83"/>
      <c r="E503" s="84"/>
      <c r="F503" s="84"/>
      <c r="G503" s="84"/>
      <c r="H503" s="82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7"/>
      <c r="AA503" s="87"/>
      <c r="AB503" s="87"/>
      <c r="AC503" s="87"/>
      <c r="AD503" s="87"/>
      <c r="AE503" s="87"/>
      <c r="AF503" s="87"/>
      <c r="AG503" s="87"/>
      <c r="AH503" s="87"/>
      <c r="AI503" s="87"/>
      <c r="AJ503" s="87"/>
      <c r="AK503" s="87"/>
      <c r="AL503" s="87"/>
      <c r="AM503" s="87"/>
      <c r="AN503" s="87"/>
      <c r="AO503" s="87"/>
      <c r="AP503" s="87"/>
      <c r="AQ503" s="87"/>
      <c r="AR503" s="87"/>
      <c r="AS503" s="87"/>
      <c r="AT503" s="87"/>
      <c r="AU503" s="87"/>
      <c r="AV503" s="87"/>
      <c r="AW503" s="87"/>
      <c r="AX503" s="87"/>
      <c r="AY503" s="87"/>
      <c r="AZ503" s="87"/>
      <c r="BA503" s="87"/>
      <c r="BB503" s="87"/>
      <c r="BC503" s="87"/>
      <c r="BD503" s="87"/>
      <c r="BE503" s="87"/>
      <c r="BF503" s="87"/>
      <c r="BG503" s="87"/>
      <c r="BH503" s="87"/>
    </row>
    <row r="504" spans="1:60" ht="16">
      <c r="A504" s="82"/>
      <c r="B504" s="82"/>
      <c r="C504" s="82"/>
      <c r="D504" s="83"/>
      <c r="E504" s="84"/>
      <c r="F504" s="84"/>
      <c r="G504" s="84"/>
      <c r="H504" s="82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7"/>
      <c r="AA504" s="87"/>
      <c r="AB504" s="87"/>
      <c r="AC504" s="87"/>
      <c r="AD504" s="87"/>
      <c r="AE504" s="87"/>
      <c r="AF504" s="87"/>
      <c r="AG504" s="87"/>
      <c r="AH504" s="87"/>
      <c r="AI504" s="87"/>
      <c r="AJ504" s="87"/>
      <c r="AK504" s="87"/>
      <c r="AL504" s="87"/>
      <c r="AM504" s="87"/>
      <c r="AN504" s="87"/>
      <c r="AO504" s="87"/>
      <c r="AP504" s="87"/>
      <c r="AQ504" s="87"/>
      <c r="AR504" s="87"/>
      <c r="AS504" s="87"/>
      <c r="AT504" s="87"/>
      <c r="AU504" s="87"/>
      <c r="AV504" s="87"/>
      <c r="AW504" s="87"/>
      <c r="AX504" s="87"/>
      <c r="AY504" s="87"/>
      <c r="AZ504" s="87"/>
      <c r="BA504" s="87"/>
      <c r="BB504" s="87"/>
      <c r="BC504" s="87"/>
      <c r="BD504" s="87"/>
      <c r="BE504" s="87"/>
      <c r="BF504" s="87"/>
      <c r="BG504" s="87"/>
      <c r="BH504" s="87"/>
    </row>
    <row r="505" spans="1:60" ht="16">
      <c r="A505" s="82"/>
      <c r="B505" s="82"/>
      <c r="C505" s="82"/>
      <c r="D505" s="83"/>
      <c r="E505" s="84"/>
      <c r="F505" s="84"/>
      <c r="G505" s="84"/>
      <c r="H505" s="82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7"/>
      <c r="AA505" s="87"/>
      <c r="AB505" s="87"/>
      <c r="AC505" s="87"/>
      <c r="AD505" s="87"/>
      <c r="AE505" s="87"/>
      <c r="AF505" s="87"/>
      <c r="AG505" s="87"/>
      <c r="AH505" s="87"/>
      <c r="AI505" s="87"/>
      <c r="AJ505" s="87"/>
      <c r="AK505" s="87"/>
      <c r="AL505" s="87"/>
      <c r="AM505" s="87"/>
      <c r="AN505" s="87"/>
      <c r="AO505" s="87"/>
      <c r="AP505" s="87"/>
      <c r="AQ505" s="87"/>
      <c r="AR505" s="87"/>
      <c r="AS505" s="87"/>
      <c r="AT505" s="87"/>
      <c r="AU505" s="87"/>
      <c r="AV505" s="87"/>
      <c r="AW505" s="87"/>
      <c r="AX505" s="87"/>
      <c r="AY505" s="87"/>
      <c r="AZ505" s="87"/>
      <c r="BA505" s="87"/>
      <c r="BB505" s="87"/>
      <c r="BC505" s="87"/>
      <c r="BD505" s="87"/>
      <c r="BE505" s="87"/>
      <c r="BF505" s="87"/>
      <c r="BG505" s="87"/>
      <c r="BH505" s="87"/>
    </row>
    <row r="506" spans="1:60" ht="16">
      <c r="A506" s="82"/>
      <c r="B506" s="82"/>
      <c r="C506" s="82"/>
      <c r="D506" s="83"/>
      <c r="E506" s="84"/>
      <c r="F506" s="84"/>
      <c r="G506" s="84"/>
      <c r="H506" s="82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7"/>
      <c r="AA506" s="87"/>
      <c r="AB506" s="87"/>
      <c r="AC506" s="87"/>
      <c r="AD506" s="87"/>
      <c r="AE506" s="87"/>
      <c r="AF506" s="87"/>
      <c r="AG506" s="87"/>
      <c r="AH506" s="87"/>
      <c r="AI506" s="87"/>
      <c r="AJ506" s="87"/>
      <c r="AK506" s="87"/>
      <c r="AL506" s="87"/>
      <c r="AM506" s="87"/>
      <c r="AN506" s="87"/>
      <c r="AO506" s="87"/>
      <c r="AP506" s="87"/>
      <c r="AQ506" s="87"/>
      <c r="AR506" s="87"/>
      <c r="AS506" s="87"/>
      <c r="AT506" s="87"/>
      <c r="AU506" s="87"/>
      <c r="AV506" s="87"/>
      <c r="AW506" s="87"/>
      <c r="AX506" s="87"/>
      <c r="AY506" s="87"/>
      <c r="AZ506" s="87"/>
      <c r="BA506" s="87"/>
      <c r="BB506" s="87"/>
      <c r="BC506" s="87"/>
      <c r="BD506" s="87"/>
      <c r="BE506" s="87"/>
      <c r="BF506" s="87"/>
      <c r="BG506" s="87"/>
      <c r="BH506" s="87"/>
    </row>
    <row r="507" spans="1:60" ht="16">
      <c r="A507" s="82"/>
      <c r="B507" s="82"/>
      <c r="C507" s="82"/>
      <c r="D507" s="83"/>
      <c r="E507" s="84"/>
      <c r="F507" s="84"/>
      <c r="G507" s="84"/>
      <c r="H507" s="82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7"/>
      <c r="AA507" s="87"/>
      <c r="AB507" s="87"/>
      <c r="AC507" s="87"/>
      <c r="AD507" s="87"/>
      <c r="AE507" s="87"/>
      <c r="AF507" s="87"/>
      <c r="AG507" s="87"/>
      <c r="AH507" s="87"/>
      <c r="AI507" s="87"/>
      <c r="AJ507" s="87"/>
      <c r="AK507" s="87"/>
      <c r="AL507" s="87"/>
      <c r="AM507" s="87"/>
      <c r="AN507" s="87"/>
      <c r="AO507" s="87"/>
      <c r="AP507" s="87"/>
      <c r="AQ507" s="87"/>
      <c r="AR507" s="87"/>
      <c r="AS507" s="87"/>
      <c r="AT507" s="87"/>
      <c r="AU507" s="87"/>
      <c r="AV507" s="87"/>
      <c r="AW507" s="87"/>
      <c r="AX507" s="87"/>
      <c r="AY507" s="87"/>
      <c r="AZ507" s="87"/>
      <c r="BA507" s="87"/>
      <c r="BB507" s="87"/>
      <c r="BC507" s="87"/>
      <c r="BD507" s="87"/>
      <c r="BE507" s="87"/>
      <c r="BF507" s="87"/>
      <c r="BG507" s="87"/>
      <c r="BH507" s="87"/>
    </row>
    <row r="508" spans="1:60" ht="16">
      <c r="A508" s="82"/>
      <c r="B508" s="82"/>
      <c r="C508" s="82"/>
      <c r="D508" s="83"/>
      <c r="E508" s="84"/>
      <c r="F508" s="84"/>
      <c r="G508" s="84"/>
      <c r="H508" s="82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7"/>
      <c r="AA508" s="87"/>
      <c r="AB508" s="87"/>
      <c r="AC508" s="87"/>
      <c r="AD508" s="87"/>
      <c r="AE508" s="87"/>
      <c r="AF508" s="87"/>
      <c r="AG508" s="87"/>
      <c r="AH508" s="87"/>
      <c r="AI508" s="87"/>
      <c r="AJ508" s="87"/>
      <c r="AK508" s="87"/>
      <c r="AL508" s="87"/>
      <c r="AM508" s="87"/>
      <c r="AN508" s="87"/>
      <c r="AO508" s="87"/>
      <c r="AP508" s="87"/>
      <c r="AQ508" s="87"/>
      <c r="AR508" s="87"/>
      <c r="AS508" s="87"/>
      <c r="AT508" s="87"/>
      <c r="AU508" s="87"/>
      <c r="AV508" s="87"/>
      <c r="AW508" s="87"/>
      <c r="AX508" s="87"/>
      <c r="AY508" s="87"/>
      <c r="AZ508" s="87"/>
      <c r="BA508" s="87"/>
      <c r="BB508" s="87"/>
      <c r="BC508" s="87"/>
      <c r="BD508" s="87"/>
      <c r="BE508" s="87"/>
      <c r="BF508" s="87"/>
      <c r="BG508" s="87"/>
      <c r="BH508" s="87"/>
    </row>
    <row r="509" spans="1:60" ht="16">
      <c r="A509" s="82"/>
      <c r="B509" s="82"/>
      <c r="C509" s="82"/>
      <c r="D509" s="83"/>
      <c r="E509" s="84"/>
      <c r="F509" s="84"/>
      <c r="G509" s="84"/>
      <c r="H509" s="82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7"/>
      <c r="AA509" s="87"/>
      <c r="AB509" s="87"/>
      <c r="AC509" s="87"/>
      <c r="AD509" s="87"/>
      <c r="AE509" s="87"/>
      <c r="AF509" s="87"/>
      <c r="AG509" s="87"/>
      <c r="AH509" s="87"/>
      <c r="AI509" s="87"/>
      <c r="AJ509" s="87"/>
      <c r="AK509" s="87"/>
      <c r="AL509" s="87"/>
      <c r="AM509" s="87"/>
      <c r="AN509" s="87"/>
      <c r="AO509" s="87"/>
      <c r="AP509" s="87"/>
      <c r="AQ509" s="87"/>
      <c r="AR509" s="87"/>
      <c r="AS509" s="87"/>
      <c r="AT509" s="87"/>
      <c r="AU509" s="87"/>
      <c r="AV509" s="87"/>
      <c r="AW509" s="87"/>
      <c r="AX509" s="87"/>
      <c r="AY509" s="87"/>
      <c r="AZ509" s="87"/>
      <c r="BA509" s="87"/>
      <c r="BB509" s="87"/>
      <c r="BC509" s="87"/>
      <c r="BD509" s="87"/>
      <c r="BE509" s="87"/>
      <c r="BF509" s="87"/>
      <c r="BG509" s="87"/>
      <c r="BH509" s="87"/>
    </row>
    <row r="510" spans="1:60" ht="16">
      <c r="A510" s="82"/>
      <c r="B510" s="82"/>
      <c r="C510" s="82"/>
      <c r="D510" s="83"/>
      <c r="E510" s="84"/>
      <c r="F510" s="84"/>
      <c r="G510" s="84"/>
      <c r="H510" s="82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7"/>
      <c r="AA510" s="87"/>
      <c r="AB510" s="87"/>
      <c r="AC510" s="87"/>
      <c r="AD510" s="87"/>
      <c r="AE510" s="87"/>
      <c r="AF510" s="87"/>
      <c r="AG510" s="87"/>
      <c r="AH510" s="87"/>
      <c r="AI510" s="87"/>
      <c r="AJ510" s="87"/>
      <c r="AK510" s="87"/>
      <c r="AL510" s="87"/>
      <c r="AM510" s="87"/>
      <c r="AN510" s="87"/>
      <c r="AO510" s="87"/>
      <c r="AP510" s="87"/>
      <c r="AQ510" s="87"/>
      <c r="AR510" s="87"/>
      <c r="AS510" s="87"/>
      <c r="AT510" s="87"/>
      <c r="AU510" s="87"/>
      <c r="AV510" s="87"/>
      <c r="AW510" s="87"/>
      <c r="AX510" s="87"/>
      <c r="AY510" s="87"/>
      <c r="AZ510" s="87"/>
      <c r="BA510" s="87"/>
      <c r="BB510" s="87"/>
      <c r="BC510" s="87"/>
      <c r="BD510" s="87"/>
      <c r="BE510" s="87"/>
      <c r="BF510" s="87"/>
      <c r="BG510" s="87"/>
      <c r="BH510" s="87"/>
    </row>
    <row r="511" spans="1:60" ht="16">
      <c r="A511" s="82"/>
      <c r="B511" s="82"/>
      <c r="C511" s="82"/>
      <c r="D511" s="83"/>
      <c r="E511" s="84"/>
      <c r="F511" s="84"/>
      <c r="G511" s="84"/>
      <c r="H511" s="82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7"/>
      <c r="AA511" s="87"/>
      <c r="AB511" s="87"/>
      <c r="AC511" s="87"/>
      <c r="AD511" s="87"/>
      <c r="AE511" s="87"/>
      <c r="AF511" s="87"/>
      <c r="AG511" s="87"/>
      <c r="AH511" s="87"/>
      <c r="AI511" s="87"/>
      <c r="AJ511" s="87"/>
      <c r="AK511" s="87"/>
      <c r="AL511" s="87"/>
      <c r="AM511" s="87"/>
      <c r="AN511" s="87"/>
      <c r="AO511" s="87"/>
      <c r="AP511" s="87"/>
      <c r="AQ511" s="87"/>
      <c r="AR511" s="87"/>
      <c r="AS511" s="87"/>
      <c r="AT511" s="87"/>
      <c r="AU511" s="87"/>
      <c r="AV511" s="87"/>
      <c r="AW511" s="87"/>
      <c r="AX511" s="87"/>
      <c r="AY511" s="87"/>
      <c r="AZ511" s="87"/>
      <c r="BA511" s="87"/>
      <c r="BB511" s="87"/>
      <c r="BC511" s="87"/>
      <c r="BD511" s="87"/>
      <c r="BE511" s="87"/>
      <c r="BF511" s="87"/>
      <c r="BG511" s="87"/>
      <c r="BH511" s="87"/>
    </row>
    <row r="512" spans="1:60" ht="16">
      <c r="A512" s="82"/>
      <c r="B512" s="82"/>
      <c r="C512" s="82"/>
      <c r="D512" s="83"/>
      <c r="E512" s="84"/>
      <c r="F512" s="84"/>
      <c r="G512" s="84"/>
      <c r="H512" s="82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7"/>
      <c r="AA512" s="87"/>
      <c r="AB512" s="87"/>
      <c r="AC512" s="87"/>
      <c r="AD512" s="87"/>
      <c r="AE512" s="87"/>
      <c r="AF512" s="87"/>
      <c r="AG512" s="87"/>
      <c r="AH512" s="87"/>
      <c r="AI512" s="87"/>
      <c r="AJ512" s="87"/>
      <c r="AK512" s="87"/>
      <c r="AL512" s="87"/>
      <c r="AM512" s="87"/>
      <c r="AN512" s="87"/>
      <c r="AO512" s="87"/>
      <c r="AP512" s="87"/>
      <c r="AQ512" s="87"/>
      <c r="AR512" s="87"/>
      <c r="AS512" s="87"/>
      <c r="AT512" s="87"/>
      <c r="AU512" s="87"/>
      <c r="AV512" s="87"/>
      <c r="AW512" s="87"/>
      <c r="AX512" s="87"/>
      <c r="AY512" s="87"/>
      <c r="AZ512" s="87"/>
      <c r="BA512" s="87"/>
      <c r="BB512" s="87"/>
      <c r="BC512" s="87"/>
      <c r="BD512" s="87"/>
      <c r="BE512" s="87"/>
      <c r="BF512" s="87"/>
      <c r="BG512" s="87"/>
      <c r="BH512" s="87"/>
    </row>
    <row r="513" spans="1:60" ht="16">
      <c r="A513" s="82"/>
      <c r="B513" s="82"/>
      <c r="C513" s="82"/>
      <c r="D513" s="83"/>
      <c r="E513" s="84"/>
      <c r="F513" s="84"/>
      <c r="G513" s="84"/>
      <c r="H513" s="82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7"/>
      <c r="AA513" s="87"/>
      <c r="AB513" s="87"/>
      <c r="AC513" s="87"/>
      <c r="AD513" s="87"/>
      <c r="AE513" s="87"/>
      <c r="AF513" s="87"/>
      <c r="AG513" s="87"/>
      <c r="AH513" s="87"/>
      <c r="AI513" s="87"/>
      <c r="AJ513" s="87"/>
      <c r="AK513" s="87"/>
      <c r="AL513" s="87"/>
      <c r="AM513" s="87"/>
      <c r="AN513" s="87"/>
      <c r="AO513" s="87"/>
      <c r="AP513" s="87"/>
      <c r="AQ513" s="87"/>
      <c r="AR513" s="87"/>
      <c r="AS513" s="87"/>
      <c r="AT513" s="87"/>
      <c r="AU513" s="87"/>
      <c r="AV513" s="87"/>
      <c r="AW513" s="87"/>
      <c r="AX513" s="87"/>
      <c r="AY513" s="87"/>
      <c r="AZ513" s="87"/>
      <c r="BA513" s="87"/>
      <c r="BB513" s="87"/>
      <c r="BC513" s="87"/>
      <c r="BD513" s="87"/>
      <c r="BE513" s="87"/>
      <c r="BF513" s="87"/>
      <c r="BG513" s="87"/>
      <c r="BH513" s="87"/>
    </row>
    <row r="514" spans="1:60" ht="16">
      <c r="A514" s="82"/>
      <c r="B514" s="82"/>
      <c r="C514" s="82"/>
      <c r="D514" s="83"/>
      <c r="E514" s="84"/>
      <c r="F514" s="84"/>
      <c r="G514" s="84"/>
      <c r="H514" s="82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7"/>
      <c r="AA514" s="87"/>
      <c r="AB514" s="87"/>
      <c r="AC514" s="87"/>
      <c r="AD514" s="87"/>
      <c r="AE514" s="87"/>
      <c r="AF514" s="87"/>
      <c r="AG514" s="87"/>
      <c r="AH514" s="87"/>
      <c r="AI514" s="87"/>
      <c r="AJ514" s="87"/>
      <c r="AK514" s="87"/>
      <c r="AL514" s="87"/>
      <c r="AM514" s="87"/>
      <c r="AN514" s="87"/>
      <c r="AO514" s="87"/>
      <c r="AP514" s="87"/>
      <c r="AQ514" s="87"/>
      <c r="AR514" s="87"/>
      <c r="AS514" s="87"/>
      <c r="AT514" s="87"/>
      <c r="AU514" s="87"/>
      <c r="AV514" s="87"/>
      <c r="AW514" s="87"/>
      <c r="AX514" s="87"/>
      <c r="AY514" s="87"/>
      <c r="AZ514" s="87"/>
      <c r="BA514" s="87"/>
      <c r="BB514" s="87"/>
      <c r="BC514" s="87"/>
      <c r="BD514" s="87"/>
      <c r="BE514" s="87"/>
      <c r="BF514" s="87"/>
      <c r="BG514" s="87"/>
      <c r="BH514" s="87"/>
    </row>
    <row r="515" spans="1:60" ht="16">
      <c r="A515" s="82"/>
      <c r="B515" s="82"/>
      <c r="C515" s="82"/>
      <c r="D515" s="83"/>
      <c r="E515" s="84"/>
      <c r="F515" s="84"/>
      <c r="G515" s="84"/>
      <c r="H515" s="82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7"/>
      <c r="AA515" s="87"/>
      <c r="AB515" s="87"/>
      <c r="AC515" s="87"/>
      <c r="AD515" s="87"/>
      <c r="AE515" s="87"/>
      <c r="AF515" s="87"/>
      <c r="AG515" s="87"/>
      <c r="AH515" s="87"/>
      <c r="AI515" s="87"/>
      <c r="AJ515" s="87"/>
      <c r="AK515" s="87"/>
      <c r="AL515" s="87"/>
      <c r="AM515" s="87"/>
      <c r="AN515" s="87"/>
      <c r="AO515" s="87"/>
      <c r="AP515" s="87"/>
      <c r="AQ515" s="87"/>
      <c r="AR515" s="87"/>
      <c r="AS515" s="87"/>
      <c r="AT515" s="87"/>
      <c r="AU515" s="87"/>
      <c r="AV515" s="87"/>
      <c r="AW515" s="87"/>
      <c r="AX515" s="87"/>
      <c r="AY515" s="87"/>
      <c r="AZ515" s="87"/>
      <c r="BA515" s="87"/>
      <c r="BB515" s="87"/>
      <c r="BC515" s="87"/>
      <c r="BD515" s="87"/>
      <c r="BE515" s="87"/>
      <c r="BF515" s="87"/>
      <c r="BG515" s="87"/>
      <c r="BH515" s="87"/>
    </row>
    <row r="516" spans="1:60" ht="16">
      <c r="A516" s="82"/>
      <c r="B516" s="82"/>
      <c r="C516" s="82"/>
      <c r="D516" s="83"/>
      <c r="E516" s="84"/>
      <c r="F516" s="84"/>
      <c r="G516" s="84"/>
      <c r="H516" s="82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7"/>
      <c r="AA516" s="87"/>
      <c r="AB516" s="87"/>
      <c r="AC516" s="87"/>
      <c r="AD516" s="87"/>
      <c r="AE516" s="87"/>
      <c r="AF516" s="87"/>
      <c r="AG516" s="87"/>
      <c r="AH516" s="87"/>
      <c r="AI516" s="87"/>
      <c r="AJ516" s="87"/>
      <c r="AK516" s="87"/>
      <c r="AL516" s="87"/>
      <c r="AM516" s="87"/>
      <c r="AN516" s="87"/>
      <c r="AO516" s="87"/>
      <c r="AP516" s="87"/>
      <c r="AQ516" s="87"/>
      <c r="AR516" s="87"/>
      <c r="AS516" s="87"/>
      <c r="AT516" s="87"/>
      <c r="AU516" s="87"/>
      <c r="AV516" s="87"/>
      <c r="AW516" s="87"/>
      <c r="AX516" s="87"/>
      <c r="AY516" s="87"/>
      <c r="AZ516" s="87"/>
      <c r="BA516" s="87"/>
      <c r="BB516" s="87"/>
      <c r="BC516" s="87"/>
      <c r="BD516" s="87"/>
      <c r="BE516" s="87"/>
      <c r="BF516" s="87"/>
      <c r="BG516" s="87"/>
      <c r="BH516" s="87"/>
    </row>
    <row r="517" spans="1:60" ht="16">
      <c r="A517" s="82"/>
      <c r="B517" s="82"/>
      <c r="C517" s="82"/>
      <c r="D517" s="83"/>
      <c r="E517" s="84"/>
      <c r="F517" s="84"/>
      <c r="G517" s="84"/>
      <c r="H517" s="82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7"/>
      <c r="AA517" s="87"/>
      <c r="AB517" s="87"/>
      <c r="AC517" s="87"/>
      <c r="AD517" s="87"/>
      <c r="AE517" s="87"/>
      <c r="AF517" s="87"/>
      <c r="AG517" s="87"/>
      <c r="AH517" s="87"/>
      <c r="AI517" s="87"/>
      <c r="AJ517" s="87"/>
      <c r="AK517" s="87"/>
      <c r="AL517" s="87"/>
      <c r="AM517" s="87"/>
      <c r="AN517" s="87"/>
      <c r="AO517" s="87"/>
      <c r="AP517" s="87"/>
      <c r="AQ517" s="87"/>
      <c r="AR517" s="87"/>
      <c r="AS517" s="87"/>
      <c r="AT517" s="87"/>
      <c r="AU517" s="87"/>
      <c r="AV517" s="87"/>
      <c r="AW517" s="87"/>
      <c r="AX517" s="87"/>
      <c r="AY517" s="87"/>
      <c r="AZ517" s="87"/>
      <c r="BA517" s="87"/>
      <c r="BB517" s="87"/>
      <c r="BC517" s="87"/>
      <c r="BD517" s="87"/>
      <c r="BE517" s="87"/>
      <c r="BF517" s="87"/>
      <c r="BG517" s="87"/>
      <c r="BH517" s="87"/>
    </row>
    <row r="518" spans="1:60" ht="16">
      <c r="A518" s="82"/>
      <c r="B518" s="82"/>
      <c r="C518" s="82"/>
      <c r="D518" s="83"/>
      <c r="E518" s="84"/>
      <c r="F518" s="84"/>
      <c r="G518" s="84"/>
      <c r="H518" s="82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7"/>
      <c r="AA518" s="87"/>
      <c r="AB518" s="87"/>
      <c r="AC518" s="87"/>
      <c r="AD518" s="87"/>
      <c r="AE518" s="87"/>
      <c r="AF518" s="87"/>
      <c r="AG518" s="87"/>
      <c r="AH518" s="87"/>
      <c r="AI518" s="87"/>
      <c r="AJ518" s="87"/>
      <c r="AK518" s="87"/>
      <c r="AL518" s="87"/>
      <c r="AM518" s="87"/>
      <c r="AN518" s="87"/>
      <c r="AO518" s="87"/>
      <c r="AP518" s="87"/>
      <c r="AQ518" s="87"/>
      <c r="AR518" s="87"/>
      <c r="AS518" s="87"/>
      <c r="AT518" s="87"/>
      <c r="AU518" s="87"/>
      <c r="AV518" s="87"/>
      <c r="AW518" s="87"/>
      <c r="AX518" s="87"/>
      <c r="AY518" s="87"/>
      <c r="AZ518" s="87"/>
      <c r="BA518" s="87"/>
      <c r="BB518" s="87"/>
      <c r="BC518" s="87"/>
      <c r="BD518" s="87"/>
      <c r="BE518" s="87"/>
      <c r="BF518" s="87"/>
      <c r="BG518" s="87"/>
      <c r="BH518" s="87"/>
    </row>
    <row r="519" spans="1:60" ht="16">
      <c r="A519" s="82"/>
      <c r="B519" s="82"/>
      <c r="C519" s="82"/>
      <c r="D519" s="83"/>
      <c r="E519" s="84"/>
      <c r="F519" s="84"/>
      <c r="G519" s="84"/>
      <c r="H519" s="82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7"/>
      <c r="AA519" s="87"/>
      <c r="AB519" s="87"/>
      <c r="AC519" s="87"/>
      <c r="AD519" s="87"/>
      <c r="AE519" s="87"/>
      <c r="AF519" s="87"/>
      <c r="AG519" s="87"/>
      <c r="AH519" s="87"/>
      <c r="AI519" s="87"/>
      <c r="AJ519" s="87"/>
      <c r="AK519" s="87"/>
      <c r="AL519" s="87"/>
      <c r="AM519" s="87"/>
      <c r="AN519" s="87"/>
      <c r="AO519" s="87"/>
      <c r="AP519" s="87"/>
      <c r="AQ519" s="87"/>
      <c r="AR519" s="87"/>
      <c r="AS519" s="87"/>
      <c r="AT519" s="87"/>
      <c r="AU519" s="87"/>
      <c r="AV519" s="87"/>
      <c r="AW519" s="87"/>
      <c r="AX519" s="87"/>
      <c r="AY519" s="87"/>
      <c r="AZ519" s="87"/>
      <c r="BA519" s="87"/>
      <c r="BB519" s="87"/>
      <c r="BC519" s="87"/>
      <c r="BD519" s="87"/>
      <c r="BE519" s="87"/>
      <c r="BF519" s="87"/>
      <c r="BG519" s="87"/>
      <c r="BH519" s="87"/>
    </row>
    <row r="520" spans="1:60" ht="16">
      <c r="A520" s="82"/>
      <c r="B520" s="82"/>
      <c r="C520" s="82"/>
      <c r="D520" s="83"/>
      <c r="E520" s="84"/>
      <c r="F520" s="84"/>
      <c r="G520" s="84"/>
      <c r="H520" s="82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7"/>
      <c r="AA520" s="87"/>
      <c r="AB520" s="87"/>
      <c r="AC520" s="87"/>
      <c r="AD520" s="87"/>
      <c r="AE520" s="87"/>
      <c r="AF520" s="87"/>
      <c r="AG520" s="87"/>
      <c r="AH520" s="87"/>
      <c r="AI520" s="87"/>
      <c r="AJ520" s="87"/>
      <c r="AK520" s="87"/>
      <c r="AL520" s="87"/>
      <c r="AM520" s="87"/>
      <c r="AN520" s="87"/>
      <c r="AO520" s="87"/>
      <c r="AP520" s="87"/>
      <c r="AQ520" s="87"/>
      <c r="AR520" s="87"/>
      <c r="AS520" s="87"/>
      <c r="AT520" s="87"/>
      <c r="AU520" s="87"/>
      <c r="AV520" s="87"/>
      <c r="AW520" s="87"/>
      <c r="AX520" s="87"/>
      <c r="AY520" s="87"/>
      <c r="AZ520" s="87"/>
      <c r="BA520" s="87"/>
      <c r="BB520" s="87"/>
      <c r="BC520" s="87"/>
      <c r="BD520" s="87"/>
      <c r="BE520" s="87"/>
      <c r="BF520" s="87"/>
      <c r="BG520" s="87"/>
      <c r="BH520" s="87"/>
    </row>
    <row r="521" spans="1:60" ht="16">
      <c r="A521" s="82"/>
      <c r="B521" s="82"/>
      <c r="C521" s="82"/>
      <c r="D521" s="83"/>
      <c r="E521" s="84"/>
      <c r="F521" s="84"/>
      <c r="G521" s="84"/>
      <c r="H521" s="82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7"/>
      <c r="AA521" s="87"/>
      <c r="AB521" s="87"/>
      <c r="AC521" s="87"/>
      <c r="AD521" s="87"/>
      <c r="AE521" s="87"/>
      <c r="AF521" s="87"/>
      <c r="AG521" s="87"/>
      <c r="AH521" s="87"/>
      <c r="AI521" s="87"/>
      <c r="AJ521" s="87"/>
      <c r="AK521" s="87"/>
      <c r="AL521" s="87"/>
      <c r="AM521" s="87"/>
      <c r="AN521" s="87"/>
      <c r="AO521" s="87"/>
      <c r="AP521" s="87"/>
      <c r="AQ521" s="87"/>
      <c r="AR521" s="87"/>
      <c r="AS521" s="87"/>
      <c r="AT521" s="87"/>
      <c r="AU521" s="87"/>
      <c r="AV521" s="87"/>
      <c r="AW521" s="87"/>
      <c r="AX521" s="87"/>
      <c r="AY521" s="87"/>
      <c r="AZ521" s="87"/>
      <c r="BA521" s="87"/>
      <c r="BB521" s="87"/>
      <c r="BC521" s="87"/>
      <c r="BD521" s="87"/>
      <c r="BE521" s="87"/>
      <c r="BF521" s="87"/>
      <c r="BG521" s="87"/>
      <c r="BH521" s="87"/>
    </row>
    <row r="522" spans="1:60" ht="16">
      <c r="A522" s="82"/>
      <c r="B522" s="82"/>
      <c r="C522" s="82"/>
      <c r="D522" s="83"/>
      <c r="E522" s="84"/>
      <c r="F522" s="84"/>
      <c r="G522" s="84"/>
      <c r="H522" s="82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7"/>
      <c r="AA522" s="87"/>
      <c r="AB522" s="87"/>
      <c r="AC522" s="87"/>
      <c r="AD522" s="87"/>
      <c r="AE522" s="87"/>
      <c r="AF522" s="87"/>
      <c r="AG522" s="87"/>
      <c r="AH522" s="87"/>
      <c r="AI522" s="87"/>
      <c r="AJ522" s="87"/>
      <c r="AK522" s="87"/>
      <c r="AL522" s="87"/>
      <c r="AM522" s="87"/>
      <c r="AN522" s="87"/>
      <c r="AO522" s="87"/>
      <c r="AP522" s="87"/>
      <c r="AQ522" s="87"/>
      <c r="AR522" s="87"/>
      <c r="AS522" s="87"/>
      <c r="AT522" s="87"/>
      <c r="AU522" s="87"/>
      <c r="AV522" s="87"/>
      <c r="AW522" s="87"/>
      <c r="AX522" s="87"/>
      <c r="AY522" s="87"/>
      <c r="AZ522" s="87"/>
      <c r="BA522" s="87"/>
      <c r="BB522" s="87"/>
      <c r="BC522" s="87"/>
      <c r="BD522" s="87"/>
      <c r="BE522" s="87"/>
      <c r="BF522" s="87"/>
      <c r="BG522" s="87"/>
      <c r="BH522" s="87"/>
    </row>
    <row r="523" spans="1:60" ht="16">
      <c r="A523" s="82"/>
      <c r="B523" s="82"/>
      <c r="C523" s="82"/>
      <c r="D523" s="83"/>
      <c r="E523" s="84"/>
      <c r="F523" s="84"/>
      <c r="G523" s="84"/>
      <c r="H523" s="82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7"/>
      <c r="AA523" s="87"/>
      <c r="AB523" s="87"/>
      <c r="AC523" s="87"/>
      <c r="AD523" s="87"/>
      <c r="AE523" s="87"/>
      <c r="AF523" s="87"/>
      <c r="AG523" s="87"/>
      <c r="AH523" s="87"/>
      <c r="AI523" s="87"/>
      <c r="AJ523" s="87"/>
      <c r="AK523" s="87"/>
      <c r="AL523" s="87"/>
      <c r="AM523" s="87"/>
      <c r="AN523" s="87"/>
      <c r="AO523" s="87"/>
      <c r="AP523" s="87"/>
      <c r="AQ523" s="87"/>
      <c r="AR523" s="87"/>
      <c r="AS523" s="87"/>
      <c r="AT523" s="87"/>
      <c r="AU523" s="87"/>
      <c r="AV523" s="87"/>
      <c r="AW523" s="87"/>
      <c r="AX523" s="87"/>
      <c r="AY523" s="87"/>
      <c r="AZ523" s="87"/>
      <c r="BA523" s="87"/>
      <c r="BB523" s="87"/>
      <c r="BC523" s="87"/>
      <c r="BD523" s="87"/>
      <c r="BE523" s="87"/>
      <c r="BF523" s="87"/>
      <c r="BG523" s="87"/>
      <c r="BH523" s="87"/>
    </row>
    <row r="524" spans="1:60" ht="16">
      <c r="A524" s="82"/>
      <c r="B524" s="82"/>
      <c r="C524" s="82"/>
      <c r="D524" s="83"/>
      <c r="E524" s="84"/>
      <c r="F524" s="84"/>
      <c r="G524" s="84"/>
      <c r="H524" s="82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7"/>
      <c r="AA524" s="87"/>
      <c r="AB524" s="87"/>
      <c r="AC524" s="87"/>
      <c r="AD524" s="87"/>
      <c r="AE524" s="87"/>
      <c r="AF524" s="87"/>
      <c r="AG524" s="87"/>
      <c r="AH524" s="87"/>
      <c r="AI524" s="87"/>
      <c r="AJ524" s="87"/>
      <c r="AK524" s="87"/>
      <c r="AL524" s="87"/>
      <c r="AM524" s="87"/>
      <c r="AN524" s="87"/>
      <c r="AO524" s="87"/>
      <c r="AP524" s="87"/>
      <c r="AQ524" s="87"/>
      <c r="AR524" s="87"/>
      <c r="AS524" s="87"/>
      <c r="AT524" s="87"/>
      <c r="AU524" s="87"/>
      <c r="AV524" s="87"/>
      <c r="AW524" s="87"/>
      <c r="AX524" s="87"/>
      <c r="AY524" s="87"/>
      <c r="AZ524" s="87"/>
      <c r="BA524" s="87"/>
      <c r="BB524" s="87"/>
      <c r="BC524" s="87"/>
      <c r="BD524" s="87"/>
      <c r="BE524" s="87"/>
      <c r="BF524" s="87"/>
      <c r="BG524" s="87"/>
      <c r="BH524" s="87"/>
    </row>
    <row r="525" spans="1:60" ht="16">
      <c r="A525" s="82"/>
      <c r="B525" s="82"/>
      <c r="C525" s="82"/>
      <c r="D525" s="83"/>
      <c r="E525" s="84"/>
      <c r="F525" s="84"/>
      <c r="G525" s="84"/>
      <c r="H525" s="82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7"/>
      <c r="AA525" s="87"/>
      <c r="AB525" s="87"/>
      <c r="AC525" s="87"/>
      <c r="AD525" s="87"/>
      <c r="AE525" s="87"/>
      <c r="AF525" s="87"/>
      <c r="AG525" s="87"/>
      <c r="AH525" s="87"/>
      <c r="AI525" s="87"/>
      <c r="AJ525" s="87"/>
      <c r="AK525" s="87"/>
      <c r="AL525" s="87"/>
      <c r="AM525" s="87"/>
      <c r="AN525" s="87"/>
      <c r="AO525" s="87"/>
      <c r="AP525" s="87"/>
      <c r="AQ525" s="87"/>
      <c r="AR525" s="87"/>
      <c r="AS525" s="87"/>
      <c r="AT525" s="87"/>
      <c r="AU525" s="87"/>
      <c r="AV525" s="87"/>
      <c r="AW525" s="87"/>
      <c r="AX525" s="87"/>
      <c r="AY525" s="87"/>
      <c r="AZ525" s="87"/>
      <c r="BA525" s="87"/>
      <c r="BB525" s="87"/>
      <c r="BC525" s="87"/>
      <c r="BD525" s="87"/>
      <c r="BE525" s="87"/>
      <c r="BF525" s="87"/>
      <c r="BG525" s="87"/>
      <c r="BH525" s="87"/>
    </row>
    <row r="526" spans="1:60" ht="16">
      <c r="A526" s="82"/>
      <c r="B526" s="82"/>
      <c r="C526" s="82"/>
      <c r="D526" s="83"/>
      <c r="E526" s="84"/>
      <c r="F526" s="84"/>
      <c r="G526" s="84"/>
      <c r="H526" s="82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7"/>
      <c r="AA526" s="87"/>
      <c r="AB526" s="87"/>
      <c r="AC526" s="87"/>
      <c r="AD526" s="87"/>
      <c r="AE526" s="87"/>
      <c r="AF526" s="87"/>
      <c r="AG526" s="87"/>
      <c r="AH526" s="87"/>
      <c r="AI526" s="87"/>
      <c r="AJ526" s="87"/>
      <c r="AK526" s="87"/>
      <c r="AL526" s="87"/>
      <c r="AM526" s="87"/>
      <c r="AN526" s="87"/>
      <c r="AO526" s="87"/>
      <c r="AP526" s="87"/>
      <c r="AQ526" s="87"/>
      <c r="AR526" s="87"/>
      <c r="AS526" s="87"/>
      <c r="AT526" s="87"/>
      <c r="AU526" s="87"/>
      <c r="AV526" s="87"/>
      <c r="AW526" s="87"/>
      <c r="AX526" s="87"/>
      <c r="AY526" s="87"/>
      <c r="AZ526" s="87"/>
      <c r="BA526" s="87"/>
      <c r="BB526" s="87"/>
      <c r="BC526" s="87"/>
      <c r="BD526" s="87"/>
      <c r="BE526" s="87"/>
      <c r="BF526" s="87"/>
      <c r="BG526" s="87"/>
      <c r="BH526" s="87"/>
    </row>
    <row r="527" spans="1:60" ht="16">
      <c r="A527" s="82"/>
      <c r="B527" s="82"/>
      <c r="C527" s="82"/>
      <c r="D527" s="83"/>
      <c r="E527" s="84"/>
      <c r="F527" s="84"/>
      <c r="G527" s="84"/>
      <c r="H527" s="82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7"/>
      <c r="AA527" s="87"/>
      <c r="AB527" s="87"/>
      <c r="AC527" s="87"/>
      <c r="AD527" s="87"/>
      <c r="AE527" s="87"/>
      <c r="AF527" s="87"/>
      <c r="AG527" s="87"/>
      <c r="AH527" s="87"/>
      <c r="AI527" s="87"/>
      <c r="AJ527" s="87"/>
      <c r="AK527" s="87"/>
      <c r="AL527" s="87"/>
      <c r="AM527" s="87"/>
      <c r="AN527" s="87"/>
      <c r="AO527" s="87"/>
      <c r="AP527" s="87"/>
      <c r="AQ527" s="87"/>
      <c r="AR527" s="87"/>
      <c r="AS527" s="87"/>
      <c r="AT527" s="87"/>
      <c r="AU527" s="87"/>
      <c r="AV527" s="87"/>
      <c r="AW527" s="87"/>
      <c r="AX527" s="87"/>
      <c r="AY527" s="87"/>
      <c r="AZ527" s="87"/>
      <c r="BA527" s="87"/>
      <c r="BB527" s="87"/>
      <c r="BC527" s="87"/>
      <c r="BD527" s="87"/>
      <c r="BE527" s="87"/>
      <c r="BF527" s="87"/>
      <c r="BG527" s="87"/>
      <c r="BH527" s="87"/>
    </row>
    <row r="528" spans="1:60" ht="16">
      <c r="A528" s="82"/>
      <c r="B528" s="82"/>
      <c r="C528" s="82"/>
      <c r="D528" s="83"/>
      <c r="E528" s="84"/>
      <c r="F528" s="84"/>
      <c r="G528" s="84"/>
      <c r="H528" s="82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7"/>
      <c r="AA528" s="87"/>
      <c r="AB528" s="87"/>
      <c r="AC528" s="87"/>
      <c r="AD528" s="87"/>
      <c r="AE528" s="87"/>
      <c r="AF528" s="87"/>
      <c r="AG528" s="87"/>
      <c r="AH528" s="87"/>
      <c r="AI528" s="87"/>
      <c r="AJ528" s="87"/>
      <c r="AK528" s="87"/>
      <c r="AL528" s="87"/>
      <c r="AM528" s="87"/>
      <c r="AN528" s="87"/>
      <c r="AO528" s="87"/>
      <c r="AP528" s="87"/>
      <c r="AQ528" s="87"/>
      <c r="AR528" s="87"/>
      <c r="AS528" s="87"/>
      <c r="AT528" s="87"/>
      <c r="AU528" s="87"/>
      <c r="AV528" s="87"/>
      <c r="AW528" s="87"/>
      <c r="AX528" s="87"/>
      <c r="AY528" s="87"/>
      <c r="AZ528" s="87"/>
      <c r="BA528" s="87"/>
      <c r="BB528" s="87"/>
      <c r="BC528" s="87"/>
      <c r="BD528" s="87"/>
      <c r="BE528" s="87"/>
      <c r="BF528" s="87"/>
      <c r="BG528" s="87"/>
      <c r="BH528" s="87"/>
    </row>
    <row r="529" spans="1:60" ht="16">
      <c r="A529" s="82"/>
      <c r="B529" s="82"/>
      <c r="C529" s="82"/>
      <c r="D529" s="83"/>
      <c r="E529" s="84"/>
      <c r="F529" s="84"/>
      <c r="G529" s="84"/>
      <c r="H529" s="82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7"/>
      <c r="AA529" s="87"/>
      <c r="AB529" s="87"/>
      <c r="AC529" s="87"/>
      <c r="AD529" s="87"/>
      <c r="AE529" s="87"/>
      <c r="AF529" s="87"/>
      <c r="AG529" s="87"/>
      <c r="AH529" s="87"/>
      <c r="AI529" s="87"/>
      <c r="AJ529" s="87"/>
      <c r="AK529" s="87"/>
      <c r="AL529" s="87"/>
      <c r="AM529" s="87"/>
      <c r="AN529" s="87"/>
      <c r="AO529" s="87"/>
      <c r="AP529" s="87"/>
      <c r="AQ529" s="87"/>
      <c r="AR529" s="87"/>
      <c r="AS529" s="87"/>
      <c r="AT529" s="87"/>
      <c r="AU529" s="87"/>
      <c r="AV529" s="87"/>
      <c r="AW529" s="87"/>
      <c r="AX529" s="87"/>
      <c r="AY529" s="87"/>
      <c r="AZ529" s="87"/>
      <c r="BA529" s="87"/>
      <c r="BB529" s="87"/>
      <c r="BC529" s="87"/>
      <c r="BD529" s="87"/>
      <c r="BE529" s="87"/>
      <c r="BF529" s="87"/>
      <c r="BG529" s="87"/>
      <c r="BH529" s="87"/>
    </row>
    <row r="530" spans="1:60" ht="16">
      <c r="A530" s="82"/>
      <c r="B530" s="82"/>
      <c r="C530" s="82"/>
      <c r="D530" s="83"/>
      <c r="E530" s="84"/>
      <c r="F530" s="84"/>
      <c r="G530" s="84"/>
      <c r="H530" s="82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7"/>
      <c r="AA530" s="87"/>
      <c r="AB530" s="87"/>
      <c r="AC530" s="87"/>
      <c r="AD530" s="87"/>
      <c r="AE530" s="87"/>
      <c r="AF530" s="87"/>
      <c r="AG530" s="87"/>
      <c r="AH530" s="87"/>
      <c r="AI530" s="87"/>
      <c r="AJ530" s="87"/>
      <c r="AK530" s="87"/>
      <c r="AL530" s="87"/>
      <c r="AM530" s="87"/>
      <c r="AN530" s="87"/>
      <c r="AO530" s="87"/>
      <c r="AP530" s="87"/>
      <c r="AQ530" s="87"/>
      <c r="AR530" s="87"/>
      <c r="AS530" s="87"/>
      <c r="AT530" s="87"/>
      <c r="AU530" s="87"/>
      <c r="AV530" s="87"/>
      <c r="AW530" s="87"/>
      <c r="AX530" s="87"/>
      <c r="AY530" s="87"/>
      <c r="AZ530" s="87"/>
      <c r="BA530" s="87"/>
      <c r="BB530" s="87"/>
      <c r="BC530" s="87"/>
      <c r="BD530" s="87"/>
      <c r="BE530" s="87"/>
      <c r="BF530" s="87"/>
      <c r="BG530" s="87"/>
      <c r="BH530" s="87"/>
    </row>
    <row r="531" spans="1:60" ht="16">
      <c r="A531" s="82"/>
      <c r="B531" s="82"/>
      <c r="C531" s="82"/>
      <c r="D531" s="83"/>
      <c r="E531" s="84"/>
      <c r="F531" s="84"/>
      <c r="G531" s="84"/>
      <c r="H531" s="82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7"/>
      <c r="AA531" s="87"/>
      <c r="AB531" s="87"/>
      <c r="AC531" s="87"/>
      <c r="AD531" s="87"/>
      <c r="AE531" s="87"/>
      <c r="AF531" s="87"/>
      <c r="AG531" s="87"/>
      <c r="AH531" s="87"/>
      <c r="AI531" s="87"/>
      <c r="AJ531" s="87"/>
      <c r="AK531" s="87"/>
      <c r="AL531" s="87"/>
      <c r="AM531" s="87"/>
      <c r="AN531" s="87"/>
      <c r="AO531" s="87"/>
      <c r="AP531" s="87"/>
      <c r="AQ531" s="87"/>
      <c r="AR531" s="87"/>
      <c r="AS531" s="87"/>
      <c r="AT531" s="87"/>
      <c r="AU531" s="87"/>
      <c r="AV531" s="87"/>
      <c r="AW531" s="87"/>
      <c r="AX531" s="87"/>
      <c r="AY531" s="87"/>
      <c r="AZ531" s="87"/>
      <c r="BA531" s="87"/>
      <c r="BB531" s="87"/>
      <c r="BC531" s="87"/>
      <c r="BD531" s="87"/>
      <c r="BE531" s="87"/>
      <c r="BF531" s="87"/>
      <c r="BG531" s="87"/>
      <c r="BH531" s="87"/>
    </row>
    <row r="532" spans="1:60" ht="16">
      <c r="A532" s="82"/>
      <c r="B532" s="82"/>
      <c r="C532" s="82"/>
      <c r="D532" s="83"/>
      <c r="E532" s="84"/>
      <c r="F532" s="84"/>
      <c r="G532" s="84"/>
      <c r="H532" s="82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7"/>
      <c r="AA532" s="87"/>
      <c r="AB532" s="87"/>
      <c r="AC532" s="87"/>
      <c r="AD532" s="87"/>
      <c r="AE532" s="87"/>
      <c r="AF532" s="87"/>
      <c r="AG532" s="87"/>
      <c r="AH532" s="87"/>
      <c r="AI532" s="87"/>
      <c r="AJ532" s="87"/>
      <c r="AK532" s="87"/>
      <c r="AL532" s="87"/>
      <c r="AM532" s="87"/>
      <c r="AN532" s="87"/>
      <c r="AO532" s="87"/>
      <c r="AP532" s="87"/>
      <c r="AQ532" s="87"/>
      <c r="AR532" s="87"/>
      <c r="AS532" s="87"/>
      <c r="AT532" s="87"/>
      <c r="AU532" s="87"/>
      <c r="AV532" s="87"/>
      <c r="AW532" s="87"/>
      <c r="AX532" s="87"/>
      <c r="AY532" s="87"/>
      <c r="AZ532" s="87"/>
      <c r="BA532" s="87"/>
      <c r="BB532" s="87"/>
      <c r="BC532" s="87"/>
      <c r="BD532" s="87"/>
      <c r="BE532" s="87"/>
      <c r="BF532" s="87"/>
      <c r="BG532" s="87"/>
      <c r="BH532" s="87"/>
    </row>
    <row r="533" spans="1:60" ht="16">
      <c r="A533" s="82"/>
      <c r="B533" s="82"/>
      <c r="C533" s="82"/>
      <c r="D533" s="83"/>
      <c r="E533" s="84"/>
      <c r="F533" s="84"/>
      <c r="G533" s="84"/>
      <c r="H533" s="82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7"/>
      <c r="AA533" s="87"/>
      <c r="AB533" s="87"/>
      <c r="AC533" s="87"/>
      <c r="AD533" s="87"/>
      <c r="AE533" s="87"/>
      <c r="AF533" s="87"/>
      <c r="AG533" s="87"/>
      <c r="AH533" s="87"/>
      <c r="AI533" s="87"/>
      <c r="AJ533" s="87"/>
      <c r="AK533" s="87"/>
      <c r="AL533" s="87"/>
      <c r="AM533" s="87"/>
      <c r="AN533" s="87"/>
      <c r="AO533" s="87"/>
      <c r="AP533" s="87"/>
      <c r="AQ533" s="87"/>
      <c r="AR533" s="87"/>
      <c r="AS533" s="87"/>
      <c r="AT533" s="87"/>
      <c r="AU533" s="87"/>
      <c r="AV533" s="87"/>
      <c r="AW533" s="87"/>
      <c r="AX533" s="87"/>
      <c r="AY533" s="87"/>
      <c r="AZ533" s="87"/>
      <c r="BA533" s="87"/>
      <c r="BB533" s="87"/>
      <c r="BC533" s="87"/>
      <c r="BD533" s="87"/>
      <c r="BE533" s="87"/>
      <c r="BF533" s="87"/>
      <c r="BG533" s="87"/>
      <c r="BH533" s="87"/>
    </row>
    <row r="534" spans="1:60" ht="16">
      <c r="A534" s="82"/>
      <c r="B534" s="82"/>
      <c r="C534" s="82"/>
      <c r="D534" s="83"/>
      <c r="E534" s="84"/>
      <c r="F534" s="84"/>
      <c r="G534" s="84"/>
      <c r="H534" s="82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7"/>
      <c r="AA534" s="87"/>
      <c r="AB534" s="87"/>
      <c r="AC534" s="87"/>
      <c r="AD534" s="87"/>
      <c r="AE534" s="87"/>
      <c r="AF534" s="87"/>
      <c r="AG534" s="87"/>
      <c r="AH534" s="87"/>
      <c r="AI534" s="87"/>
      <c r="AJ534" s="87"/>
      <c r="AK534" s="87"/>
      <c r="AL534" s="87"/>
      <c r="AM534" s="87"/>
      <c r="AN534" s="87"/>
      <c r="AO534" s="87"/>
      <c r="AP534" s="87"/>
      <c r="AQ534" s="87"/>
      <c r="AR534" s="87"/>
      <c r="AS534" s="87"/>
      <c r="AT534" s="87"/>
      <c r="AU534" s="87"/>
      <c r="AV534" s="87"/>
      <c r="AW534" s="87"/>
      <c r="AX534" s="87"/>
      <c r="AY534" s="87"/>
      <c r="AZ534" s="87"/>
      <c r="BA534" s="87"/>
      <c r="BB534" s="87"/>
      <c r="BC534" s="87"/>
      <c r="BD534" s="87"/>
      <c r="BE534" s="87"/>
      <c r="BF534" s="87"/>
      <c r="BG534" s="87"/>
      <c r="BH534" s="87"/>
    </row>
    <row r="535" spans="1:60" ht="16">
      <c r="A535" s="82"/>
      <c r="B535" s="82"/>
      <c r="C535" s="82"/>
      <c r="D535" s="83"/>
      <c r="E535" s="84"/>
      <c r="F535" s="84"/>
      <c r="G535" s="84"/>
      <c r="H535" s="82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7"/>
      <c r="AA535" s="87"/>
      <c r="AB535" s="87"/>
      <c r="AC535" s="87"/>
      <c r="AD535" s="87"/>
      <c r="AE535" s="87"/>
      <c r="AF535" s="87"/>
      <c r="AG535" s="87"/>
      <c r="AH535" s="87"/>
      <c r="AI535" s="87"/>
      <c r="AJ535" s="87"/>
      <c r="AK535" s="87"/>
      <c r="AL535" s="87"/>
      <c r="AM535" s="87"/>
      <c r="AN535" s="87"/>
      <c r="AO535" s="87"/>
      <c r="AP535" s="87"/>
      <c r="AQ535" s="87"/>
      <c r="AR535" s="87"/>
      <c r="AS535" s="87"/>
      <c r="AT535" s="87"/>
      <c r="AU535" s="87"/>
      <c r="AV535" s="87"/>
      <c r="AW535" s="87"/>
      <c r="AX535" s="87"/>
      <c r="AY535" s="87"/>
      <c r="AZ535" s="87"/>
      <c r="BA535" s="87"/>
      <c r="BB535" s="87"/>
      <c r="BC535" s="87"/>
      <c r="BD535" s="87"/>
      <c r="BE535" s="87"/>
      <c r="BF535" s="87"/>
      <c r="BG535" s="87"/>
      <c r="BH535" s="87"/>
    </row>
    <row r="536" spans="1:60" ht="16">
      <c r="A536" s="82"/>
      <c r="B536" s="82"/>
      <c r="C536" s="82"/>
      <c r="D536" s="83"/>
      <c r="E536" s="84"/>
      <c r="F536" s="84"/>
      <c r="G536" s="84"/>
      <c r="H536" s="82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7"/>
      <c r="AA536" s="87"/>
      <c r="AB536" s="87"/>
      <c r="AC536" s="87"/>
      <c r="AD536" s="87"/>
      <c r="AE536" s="87"/>
      <c r="AF536" s="87"/>
      <c r="AG536" s="87"/>
      <c r="AH536" s="87"/>
      <c r="AI536" s="87"/>
      <c r="AJ536" s="87"/>
      <c r="AK536" s="87"/>
      <c r="AL536" s="87"/>
      <c r="AM536" s="87"/>
      <c r="AN536" s="87"/>
      <c r="AO536" s="87"/>
      <c r="AP536" s="87"/>
      <c r="AQ536" s="87"/>
      <c r="AR536" s="87"/>
      <c r="AS536" s="87"/>
      <c r="AT536" s="87"/>
      <c r="AU536" s="87"/>
      <c r="AV536" s="87"/>
      <c r="AW536" s="87"/>
      <c r="AX536" s="87"/>
      <c r="AY536" s="87"/>
      <c r="AZ536" s="87"/>
      <c r="BA536" s="87"/>
      <c r="BB536" s="87"/>
      <c r="BC536" s="87"/>
      <c r="BD536" s="87"/>
      <c r="BE536" s="87"/>
      <c r="BF536" s="87"/>
      <c r="BG536" s="87"/>
      <c r="BH536" s="87"/>
    </row>
    <row r="537" spans="1:60" ht="16">
      <c r="A537" s="82"/>
      <c r="B537" s="82"/>
      <c r="C537" s="82"/>
      <c r="D537" s="83"/>
      <c r="E537" s="84"/>
      <c r="F537" s="84"/>
      <c r="G537" s="84"/>
      <c r="H537" s="82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7"/>
      <c r="AA537" s="87"/>
      <c r="AB537" s="87"/>
      <c r="AC537" s="87"/>
      <c r="AD537" s="87"/>
      <c r="AE537" s="87"/>
      <c r="AF537" s="87"/>
      <c r="AG537" s="87"/>
      <c r="AH537" s="87"/>
      <c r="AI537" s="87"/>
      <c r="AJ537" s="87"/>
      <c r="AK537" s="87"/>
      <c r="AL537" s="87"/>
      <c r="AM537" s="87"/>
      <c r="AN537" s="87"/>
      <c r="AO537" s="87"/>
      <c r="AP537" s="87"/>
      <c r="AQ537" s="87"/>
      <c r="AR537" s="87"/>
      <c r="AS537" s="87"/>
      <c r="AT537" s="87"/>
      <c r="AU537" s="87"/>
      <c r="AV537" s="87"/>
      <c r="AW537" s="87"/>
      <c r="AX537" s="87"/>
      <c r="AY537" s="87"/>
      <c r="AZ537" s="87"/>
      <c r="BA537" s="87"/>
      <c r="BB537" s="87"/>
      <c r="BC537" s="87"/>
      <c r="BD537" s="87"/>
      <c r="BE537" s="87"/>
      <c r="BF537" s="87"/>
      <c r="BG537" s="87"/>
      <c r="BH537" s="87"/>
    </row>
    <row r="538" spans="1:60" ht="16">
      <c r="A538" s="82"/>
      <c r="B538" s="82"/>
      <c r="C538" s="82"/>
      <c r="D538" s="83"/>
      <c r="E538" s="84"/>
      <c r="F538" s="84"/>
      <c r="G538" s="84"/>
      <c r="H538" s="82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7"/>
      <c r="AA538" s="87"/>
      <c r="AB538" s="87"/>
      <c r="AC538" s="87"/>
      <c r="AD538" s="87"/>
      <c r="AE538" s="87"/>
      <c r="AF538" s="87"/>
      <c r="AG538" s="87"/>
      <c r="AH538" s="87"/>
      <c r="AI538" s="87"/>
      <c r="AJ538" s="87"/>
      <c r="AK538" s="87"/>
      <c r="AL538" s="87"/>
      <c r="AM538" s="87"/>
      <c r="AN538" s="87"/>
      <c r="AO538" s="87"/>
      <c r="AP538" s="87"/>
      <c r="AQ538" s="87"/>
      <c r="AR538" s="87"/>
      <c r="AS538" s="87"/>
      <c r="AT538" s="87"/>
      <c r="AU538" s="87"/>
      <c r="AV538" s="87"/>
      <c r="AW538" s="87"/>
      <c r="AX538" s="87"/>
      <c r="AY538" s="87"/>
      <c r="AZ538" s="87"/>
      <c r="BA538" s="87"/>
      <c r="BB538" s="87"/>
      <c r="BC538" s="87"/>
      <c r="BD538" s="87"/>
      <c r="BE538" s="87"/>
      <c r="BF538" s="87"/>
      <c r="BG538" s="87"/>
      <c r="BH538" s="87"/>
    </row>
    <row r="539" spans="1:60" ht="16">
      <c r="A539" s="82"/>
      <c r="B539" s="82"/>
      <c r="C539" s="82"/>
      <c r="D539" s="83"/>
      <c r="E539" s="84"/>
      <c r="F539" s="84"/>
      <c r="G539" s="84"/>
      <c r="H539" s="82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7"/>
      <c r="AA539" s="87"/>
      <c r="AB539" s="87"/>
      <c r="AC539" s="87"/>
      <c r="AD539" s="87"/>
      <c r="AE539" s="87"/>
      <c r="AF539" s="87"/>
      <c r="AG539" s="87"/>
      <c r="AH539" s="87"/>
      <c r="AI539" s="87"/>
      <c r="AJ539" s="87"/>
      <c r="AK539" s="87"/>
      <c r="AL539" s="87"/>
      <c r="AM539" s="87"/>
      <c r="AN539" s="87"/>
      <c r="AO539" s="87"/>
      <c r="AP539" s="87"/>
      <c r="AQ539" s="87"/>
      <c r="AR539" s="87"/>
      <c r="AS539" s="87"/>
      <c r="AT539" s="87"/>
      <c r="AU539" s="87"/>
      <c r="AV539" s="87"/>
      <c r="AW539" s="87"/>
      <c r="AX539" s="87"/>
      <c r="AY539" s="87"/>
      <c r="AZ539" s="87"/>
      <c r="BA539" s="87"/>
      <c r="BB539" s="87"/>
      <c r="BC539" s="87"/>
      <c r="BD539" s="87"/>
      <c r="BE539" s="87"/>
      <c r="BF539" s="87"/>
      <c r="BG539" s="87"/>
      <c r="BH539" s="87"/>
    </row>
    <row r="540" spans="1:60" ht="16">
      <c r="A540" s="82"/>
      <c r="B540" s="82"/>
      <c r="C540" s="82"/>
      <c r="D540" s="83"/>
      <c r="E540" s="84"/>
      <c r="F540" s="84"/>
      <c r="G540" s="84"/>
      <c r="H540" s="82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7"/>
      <c r="AA540" s="87"/>
      <c r="AB540" s="87"/>
      <c r="AC540" s="87"/>
      <c r="AD540" s="87"/>
      <c r="AE540" s="87"/>
      <c r="AF540" s="87"/>
      <c r="AG540" s="87"/>
      <c r="AH540" s="87"/>
      <c r="AI540" s="87"/>
      <c r="AJ540" s="87"/>
      <c r="AK540" s="87"/>
      <c r="AL540" s="87"/>
      <c r="AM540" s="87"/>
      <c r="AN540" s="87"/>
      <c r="AO540" s="87"/>
      <c r="AP540" s="87"/>
      <c r="AQ540" s="87"/>
      <c r="AR540" s="87"/>
      <c r="AS540" s="87"/>
      <c r="AT540" s="87"/>
      <c r="AU540" s="87"/>
      <c r="AV540" s="87"/>
      <c r="AW540" s="87"/>
      <c r="AX540" s="87"/>
      <c r="AY540" s="87"/>
      <c r="AZ540" s="87"/>
      <c r="BA540" s="87"/>
      <c r="BB540" s="87"/>
      <c r="BC540" s="87"/>
      <c r="BD540" s="87"/>
      <c r="BE540" s="87"/>
      <c r="BF540" s="87"/>
      <c r="BG540" s="87"/>
      <c r="BH540" s="87"/>
    </row>
    <row r="541" spans="1:60" ht="16">
      <c r="A541" s="82"/>
      <c r="B541" s="82"/>
      <c r="C541" s="82"/>
      <c r="D541" s="83"/>
      <c r="E541" s="84"/>
      <c r="F541" s="84"/>
      <c r="G541" s="84"/>
      <c r="H541" s="82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7"/>
      <c r="AA541" s="87"/>
      <c r="AB541" s="87"/>
      <c r="AC541" s="87"/>
      <c r="AD541" s="87"/>
      <c r="AE541" s="87"/>
      <c r="AF541" s="87"/>
      <c r="AG541" s="87"/>
      <c r="AH541" s="87"/>
      <c r="AI541" s="87"/>
      <c r="AJ541" s="87"/>
      <c r="AK541" s="87"/>
      <c r="AL541" s="87"/>
      <c r="AM541" s="87"/>
      <c r="AN541" s="87"/>
      <c r="AO541" s="87"/>
      <c r="AP541" s="87"/>
      <c r="AQ541" s="87"/>
      <c r="AR541" s="87"/>
      <c r="AS541" s="87"/>
      <c r="AT541" s="87"/>
      <c r="AU541" s="87"/>
      <c r="AV541" s="87"/>
      <c r="AW541" s="87"/>
      <c r="AX541" s="87"/>
      <c r="AY541" s="87"/>
      <c r="AZ541" s="87"/>
      <c r="BA541" s="87"/>
      <c r="BB541" s="87"/>
      <c r="BC541" s="87"/>
      <c r="BD541" s="87"/>
      <c r="BE541" s="87"/>
      <c r="BF541" s="87"/>
      <c r="BG541" s="87"/>
      <c r="BH541" s="87"/>
    </row>
    <row r="542" spans="1:60" ht="16">
      <c r="A542" s="82"/>
      <c r="B542" s="82"/>
      <c r="C542" s="82"/>
      <c r="D542" s="83"/>
      <c r="E542" s="84"/>
      <c r="F542" s="84"/>
      <c r="G542" s="84"/>
      <c r="H542" s="82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7"/>
      <c r="AA542" s="87"/>
      <c r="AB542" s="87"/>
      <c r="AC542" s="87"/>
      <c r="AD542" s="87"/>
      <c r="AE542" s="87"/>
      <c r="AF542" s="87"/>
      <c r="AG542" s="87"/>
      <c r="AH542" s="87"/>
      <c r="AI542" s="87"/>
      <c r="AJ542" s="87"/>
      <c r="AK542" s="87"/>
      <c r="AL542" s="87"/>
      <c r="AM542" s="87"/>
      <c r="AN542" s="87"/>
      <c r="AO542" s="87"/>
      <c r="AP542" s="87"/>
      <c r="AQ542" s="87"/>
      <c r="AR542" s="87"/>
      <c r="AS542" s="87"/>
      <c r="AT542" s="87"/>
      <c r="AU542" s="87"/>
      <c r="AV542" s="87"/>
      <c r="AW542" s="87"/>
      <c r="AX542" s="87"/>
      <c r="AY542" s="87"/>
      <c r="AZ542" s="87"/>
      <c r="BA542" s="87"/>
      <c r="BB542" s="87"/>
      <c r="BC542" s="87"/>
      <c r="BD542" s="87"/>
      <c r="BE542" s="87"/>
      <c r="BF542" s="87"/>
      <c r="BG542" s="87"/>
      <c r="BH542" s="87"/>
    </row>
    <row r="543" spans="1:60" ht="16">
      <c r="A543" s="82"/>
      <c r="B543" s="82"/>
      <c r="C543" s="82"/>
      <c r="D543" s="83"/>
      <c r="E543" s="84"/>
      <c r="F543" s="84"/>
      <c r="G543" s="84"/>
      <c r="H543" s="82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7"/>
      <c r="AA543" s="87"/>
      <c r="AB543" s="87"/>
      <c r="AC543" s="87"/>
      <c r="AD543" s="87"/>
      <c r="AE543" s="87"/>
      <c r="AF543" s="87"/>
      <c r="AG543" s="87"/>
      <c r="AH543" s="87"/>
      <c r="AI543" s="87"/>
      <c r="AJ543" s="87"/>
      <c r="AK543" s="87"/>
      <c r="AL543" s="87"/>
      <c r="AM543" s="87"/>
      <c r="AN543" s="87"/>
      <c r="AO543" s="87"/>
      <c r="AP543" s="87"/>
      <c r="AQ543" s="87"/>
      <c r="AR543" s="87"/>
      <c r="AS543" s="87"/>
      <c r="AT543" s="87"/>
      <c r="AU543" s="87"/>
      <c r="AV543" s="87"/>
      <c r="AW543" s="87"/>
      <c r="AX543" s="87"/>
      <c r="AY543" s="87"/>
      <c r="AZ543" s="87"/>
      <c r="BA543" s="87"/>
      <c r="BB543" s="87"/>
      <c r="BC543" s="87"/>
      <c r="BD543" s="87"/>
      <c r="BE543" s="87"/>
      <c r="BF543" s="87"/>
      <c r="BG543" s="87"/>
      <c r="BH543" s="87"/>
    </row>
    <row r="544" spans="1:60" ht="16">
      <c r="A544" s="82"/>
      <c r="B544" s="82"/>
      <c r="C544" s="82"/>
      <c r="D544" s="83"/>
      <c r="E544" s="84"/>
      <c r="F544" s="84"/>
      <c r="G544" s="84"/>
      <c r="H544" s="82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7"/>
      <c r="AA544" s="87"/>
      <c r="AB544" s="87"/>
      <c r="AC544" s="87"/>
      <c r="AD544" s="87"/>
      <c r="AE544" s="87"/>
      <c r="AF544" s="87"/>
      <c r="AG544" s="87"/>
      <c r="AH544" s="87"/>
      <c r="AI544" s="87"/>
      <c r="AJ544" s="87"/>
      <c r="AK544" s="87"/>
      <c r="AL544" s="87"/>
      <c r="AM544" s="87"/>
      <c r="AN544" s="87"/>
      <c r="AO544" s="87"/>
      <c r="AP544" s="87"/>
      <c r="AQ544" s="87"/>
      <c r="AR544" s="87"/>
      <c r="AS544" s="87"/>
      <c r="AT544" s="87"/>
      <c r="AU544" s="87"/>
      <c r="AV544" s="87"/>
      <c r="AW544" s="87"/>
      <c r="AX544" s="87"/>
      <c r="AY544" s="87"/>
      <c r="AZ544" s="87"/>
      <c r="BA544" s="87"/>
      <c r="BB544" s="87"/>
      <c r="BC544" s="87"/>
      <c r="BD544" s="87"/>
      <c r="BE544" s="87"/>
      <c r="BF544" s="87"/>
      <c r="BG544" s="87"/>
      <c r="BH544" s="87"/>
    </row>
    <row r="545" spans="1:60" ht="16">
      <c r="A545" s="82"/>
      <c r="B545" s="82"/>
      <c r="C545" s="82"/>
      <c r="D545" s="83"/>
      <c r="E545" s="84"/>
      <c r="F545" s="84"/>
      <c r="G545" s="84"/>
      <c r="H545" s="82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7"/>
      <c r="AA545" s="87"/>
      <c r="AB545" s="87"/>
      <c r="AC545" s="87"/>
      <c r="AD545" s="87"/>
      <c r="AE545" s="87"/>
      <c r="AF545" s="87"/>
      <c r="AG545" s="87"/>
      <c r="AH545" s="87"/>
      <c r="AI545" s="87"/>
      <c r="AJ545" s="87"/>
      <c r="AK545" s="87"/>
      <c r="AL545" s="87"/>
      <c r="AM545" s="87"/>
      <c r="AN545" s="87"/>
      <c r="AO545" s="87"/>
      <c r="AP545" s="87"/>
      <c r="AQ545" s="87"/>
      <c r="AR545" s="87"/>
      <c r="AS545" s="87"/>
      <c r="AT545" s="87"/>
      <c r="AU545" s="87"/>
      <c r="AV545" s="87"/>
      <c r="AW545" s="87"/>
      <c r="AX545" s="87"/>
      <c r="AY545" s="87"/>
      <c r="AZ545" s="87"/>
      <c r="BA545" s="87"/>
      <c r="BB545" s="87"/>
      <c r="BC545" s="87"/>
      <c r="BD545" s="87"/>
      <c r="BE545" s="87"/>
      <c r="BF545" s="87"/>
      <c r="BG545" s="87"/>
      <c r="BH545" s="87"/>
    </row>
    <row r="546" spans="1:60" ht="16">
      <c r="A546" s="82"/>
      <c r="B546" s="82"/>
      <c r="C546" s="82"/>
      <c r="D546" s="83"/>
      <c r="E546" s="84"/>
      <c r="F546" s="84"/>
      <c r="G546" s="84"/>
      <c r="H546" s="82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7"/>
      <c r="AA546" s="87"/>
      <c r="AB546" s="87"/>
      <c r="AC546" s="87"/>
      <c r="AD546" s="87"/>
      <c r="AE546" s="87"/>
      <c r="AF546" s="87"/>
      <c r="AG546" s="87"/>
      <c r="AH546" s="87"/>
      <c r="AI546" s="87"/>
      <c r="AJ546" s="87"/>
      <c r="AK546" s="87"/>
      <c r="AL546" s="87"/>
      <c r="AM546" s="87"/>
      <c r="AN546" s="87"/>
      <c r="AO546" s="87"/>
      <c r="AP546" s="87"/>
      <c r="AQ546" s="87"/>
      <c r="AR546" s="87"/>
      <c r="AS546" s="87"/>
      <c r="AT546" s="87"/>
      <c r="AU546" s="87"/>
      <c r="AV546" s="87"/>
      <c r="AW546" s="87"/>
      <c r="AX546" s="87"/>
      <c r="AY546" s="87"/>
      <c r="AZ546" s="87"/>
      <c r="BA546" s="87"/>
      <c r="BB546" s="87"/>
      <c r="BC546" s="87"/>
      <c r="BD546" s="87"/>
      <c r="BE546" s="87"/>
      <c r="BF546" s="87"/>
      <c r="BG546" s="87"/>
      <c r="BH546" s="87"/>
    </row>
    <row r="547" spans="1:60" ht="16">
      <c r="A547" s="82"/>
      <c r="B547" s="82"/>
      <c r="C547" s="82"/>
      <c r="D547" s="83"/>
      <c r="E547" s="84"/>
      <c r="F547" s="84"/>
      <c r="G547" s="84"/>
      <c r="H547" s="82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7"/>
      <c r="AA547" s="87"/>
      <c r="AB547" s="87"/>
      <c r="AC547" s="87"/>
      <c r="AD547" s="87"/>
      <c r="AE547" s="87"/>
      <c r="AF547" s="87"/>
      <c r="AG547" s="87"/>
      <c r="AH547" s="87"/>
      <c r="AI547" s="87"/>
      <c r="AJ547" s="87"/>
      <c r="AK547" s="87"/>
      <c r="AL547" s="87"/>
      <c r="AM547" s="87"/>
      <c r="AN547" s="87"/>
      <c r="AO547" s="87"/>
      <c r="AP547" s="87"/>
      <c r="AQ547" s="87"/>
      <c r="AR547" s="87"/>
      <c r="AS547" s="87"/>
      <c r="AT547" s="87"/>
      <c r="AU547" s="87"/>
      <c r="AV547" s="87"/>
      <c r="AW547" s="87"/>
      <c r="AX547" s="87"/>
      <c r="AY547" s="87"/>
      <c r="AZ547" s="87"/>
      <c r="BA547" s="87"/>
      <c r="BB547" s="87"/>
      <c r="BC547" s="87"/>
      <c r="BD547" s="87"/>
      <c r="BE547" s="87"/>
      <c r="BF547" s="87"/>
      <c r="BG547" s="87"/>
      <c r="BH547" s="87"/>
    </row>
    <row r="548" spans="1:60" ht="16">
      <c r="A548" s="82"/>
      <c r="B548" s="82"/>
      <c r="C548" s="82"/>
      <c r="D548" s="83"/>
      <c r="E548" s="84"/>
      <c r="F548" s="84"/>
      <c r="G548" s="84"/>
      <c r="H548" s="82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7"/>
      <c r="AA548" s="87"/>
      <c r="AB548" s="87"/>
      <c r="AC548" s="87"/>
      <c r="AD548" s="87"/>
      <c r="AE548" s="87"/>
      <c r="AF548" s="87"/>
      <c r="AG548" s="87"/>
      <c r="AH548" s="87"/>
      <c r="AI548" s="87"/>
      <c r="AJ548" s="87"/>
      <c r="AK548" s="87"/>
      <c r="AL548" s="87"/>
      <c r="AM548" s="87"/>
      <c r="AN548" s="87"/>
      <c r="AO548" s="87"/>
      <c r="AP548" s="87"/>
      <c r="AQ548" s="87"/>
      <c r="AR548" s="87"/>
      <c r="AS548" s="87"/>
      <c r="AT548" s="87"/>
      <c r="AU548" s="87"/>
      <c r="AV548" s="87"/>
      <c r="AW548" s="87"/>
      <c r="AX548" s="87"/>
      <c r="AY548" s="87"/>
      <c r="AZ548" s="87"/>
      <c r="BA548" s="87"/>
      <c r="BB548" s="87"/>
      <c r="BC548" s="87"/>
      <c r="BD548" s="87"/>
      <c r="BE548" s="87"/>
      <c r="BF548" s="87"/>
      <c r="BG548" s="87"/>
      <c r="BH548" s="87"/>
    </row>
    <row r="549" spans="1:60" ht="16">
      <c r="A549" s="82"/>
      <c r="B549" s="82"/>
      <c r="C549" s="82"/>
      <c r="D549" s="83"/>
      <c r="E549" s="84"/>
      <c r="F549" s="84"/>
      <c r="G549" s="84"/>
      <c r="H549" s="82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7"/>
      <c r="AA549" s="87"/>
      <c r="AB549" s="87"/>
      <c r="AC549" s="87"/>
      <c r="AD549" s="87"/>
      <c r="AE549" s="87"/>
      <c r="AF549" s="87"/>
      <c r="AG549" s="87"/>
      <c r="AH549" s="87"/>
      <c r="AI549" s="87"/>
      <c r="AJ549" s="87"/>
      <c r="AK549" s="87"/>
      <c r="AL549" s="87"/>
      <c r="AM549" s="87"/>
      <c r="AN549" s="87"/>
      <c r="AO549" s="87"/>
      <c r="AP549" s="87"/>
      <c r="AQ549" s="87"/>
      <c r="AR549" s="87"/>
      <c r="AS549" s="87"/>
      <c r="AT549" s="87"/>
      <c r="AU549" s="87"/>
      <c r="AV549" s="87"/>
      <c r="AW549" s="87"/>
      <c r="AX549" s="87"/>
      <c r="AY549" s="87"/>
      <c r="AZ549" s="87"/>
      <c r="BA549" s="87"/>
      <c r="BB549" s="87"/>
      <c r="BC549" s="87"/>
      <c r="BD549" s="87"/>
      <c r="BE549" s="87"/>
      <c r="BF549" s="87"/>
      <c r="BG549" s="87"/>
      <c r="BH549" s="87"/>
    </row>
    <row r="550" spans="1:60" ht="16">
      <c r="A550" s="82"/>
      <c r="B550" s="82"/>
      <c r="C550" s="82"/>
      <c r="D550" s="83"/>
      <c r="E550" s="84"/>
      <c r="F550" s="84"/>
      <c r="G550" s="84"/>
      <c r="H550" s="82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7"/>
      <c r="AA550" s="87"/>
      <c r="AB550" s="87"/>
      <c r="AC550" s="87"/>
      <c r="AD550" s="87"/>
      <c r="AE550" s="87"/>
      <c r="AF550" s="87"/>
      <c r="AG550" s="87"/>
      <c r="AH550" s="87"/>
      <c r="AI550" s="87"/>
      <c r="AJ550" s="87"/>
      <c r="AK550" s="87"/>
      <c r="AL550" s="87"/>
      <c r="AM550" s="87"/>
      <c r="AN550" s="87"/>
      <c r="AO550" s="87"/>
      <c r="AP550" s="87"/>
      <c r="AQ550" s="87"/>
      <c r="AR550" s="87"/>
      <c r="AS550" s="87"/>
      <c r="AT550" s="87"/>
      <c r="AU550" s="87"/>
      <c r="AV550" s="87"/>
      <c r="AW550" s="87"/>
      <c r="AX550" s="87"/>
      <c r="AY550" s="87"/>
      <c r="AZ550" s="87"/>
      <c r="BA550" s="87"/>
      <c r="BB550" s="87"/>
      <c r="BC550" s="87"/>
      <c r="BD550" s="87"/>
      <c r="BE550" s="87"/>
      <c r="BF550" s="87"/>
      <c r="BG550" s="87"/>
      <c r="BH550" s="87"/>
    </row>
    <row r="551" spans="1:60" ht="16">
      <c r="A551" s="82"/>
      <c r="B551" s="82"/>
      <c r="C551" s="82"/>
      <c r="D551" s="83"/>
      <c r="E551" s="84"/>
      <c r="F551" s="84"/>
      <c r="G551" s="84"/>
      <c r="H551" s="82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7"/>
      <c r="AA551" s="87"/>
      <c r="AB551" s="87"/>
      <c r="AC551" s="87"/>
      <c r="AD551" s="87"/>
      <c r="AE551" s="87"/>
      <c r="AF551" s="87"/>
      <c r="AG551" s="87"/>
      <c r="AH551" s="87"/>
      <c r="AI551" s="87"/>
      <c r="AJ551" s="87"/>
      <c r="AK551" s="87"/>
      <c r="AL551" s="87"/>
      <c r="AM551" s="87"/>
      <c r="AN551" s="87"/>
      <c r="AO551" s="87"/>
      <c r="AP551" s="87"/>
      <c r="AQ551" s="87"/>
      <c r="AR551" s="87"/>
      <c r="AS551" s="87"/>
      <c r="AT551" s="87"/>
      <c r="AU551" s="87"/>
      <c r="AV551" s="87"/>
      <c r="AW551" s="87"/>
      <c r="AX551" s="87"/>
      <c r="AY551" s="87"/>
      <c r="AZ551" s="87"/>
      <c r="BA551" s="87"/>
      <c r="BB551" s="87"/>
      <c r="BC551" s="87"/>
      <c r="BD551" s="87"/>
      <c r="BE551" s="87"/>
      <c r="BF551" s="87"/>
      <c r="BG551" s="87"/>
      <c r="BH551" s="87"/>
    </row>
    <row r="552" spans="1:60" ht="16">
      <c r="A552" s="82"/>
      <c r="B552" s="82"/>
      <c r="C552" s="82"/>
      <c r="D552" s="83"/>
      <c r="E552" s="84"/>
      <c r="F552" s="84"/>
      <c r="G552" s="84"/>
      <c r="H552" s="82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7"/>
      <c r="AA552" s="87"/>
      <c r="AB552" s="87"/>
      <c r="AC552" s="87"/>
      <c r="AD552" s="87"/>
      <c r="AE552" s="87"/>
      <c r="AF552" s="87"/>
      <c r="AG552" s="87"/>
      <c r="AH552" s="87"/>
      <c r="AI552" s="87"/>
      <c r="AJ552" s="87"/>
      <c r="AK552" s="87"/>
      <c r="AL552" s="87"/>
      <c r="AM552" s="87"/>
      <c r="AN552" s="87"/>
      <c r="AO552" s="87"/>
      <c r="AP552" s="87"/>
      <c r="AQ552" s="87"/>
      <c r="AR552" s="87"/>
      <c r="AS552" s="87"/>
      <c r="AT552" s="87"/>
      <c r="AU552" s="87"/>
      <c r="AV552" s="87"/>
      <c r="AW552" s="87"/>
      <c r="AX552" s="87"/>
      <c r="AY552" s="87"/>
      <c r="AZ552" s="87"/>
      <c r="BA552" s="87"/>
      <c r="BB552" s="87"/>
      <c r="BC552" s="87"/>
      <c r="BD552" s="87"/>
      <c r="BE552" s="87"/>
      <c r="BF552" s="87"/>
      <c r="BG552" s="87"/>
      <c r="BH552" s="87"/>
    </row>
    <row r="553" spans="1:60" ht="16">
      <c r="A553" s="82"/>
      <c r="B553" s="82"/>
      <c r="C553" s="82"/>
      <c r="D553" s="83"/>
      <c r="E553" s="84"/>
      <c r="F553" s="84"/>
      <c r="G553" s="84"/>
      <c r="H553" s="82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7"/>
      <c r="AA553" s="87"/>
      <c r="AB553" s="87"/>
      <c r="AC553" s="87"/>
      <c r="AD553" s="87"/>
      <c r="AE553" s="87"/>
      <c r="AF553" s="87"/>
      <c r="AG553" s="87"/>
      <c r="AH553" s="87"/>
      <c r="AI553" s="87"/>
      <c r="AJ553" s="87"/>
      <c r="AK553" s="87"/>
      <c r="AL553" s="87"/>
      <c r="AM553" s="87"/>
      <c r="AN553" s="87"/>
      <c r="AO553" s="87"/>
      <c r="AP553" s="87"/>
      <c r="AQ553" s="87"/>
      <c r="AR553" s="87"/>
      <c r="AS553" s="87"/>
      <c r="AT553" s="87"/>
      <c r="AU553" s="87"/>
      <c r="AV553" s="87"/>
      <c r="AW553" s="87"/>
      <c r="AX553" s="87"/>
      <c r="AY553" s="87"/>
      <c r="AZ553" s="87"/>
      <c r="BA553" s="87"/>
      <c r="BB553" s="87"/>
      <c r="BC553" s="87"/>
      <c r="BD553" s="87"/>
      <c r="BE553" s="87"/>
      <c r="BF553" s="87"/>
      <c r="BG553" s="87"/>
      <c r="BH553" s="87"/>
    </row>
    <row r="554" spans="1:60" ht="16">
      <c r="A554" s="82"/>
      <c r="B554" s="82"/>
      <c r="C554" s="82"/>
      <c r="D554" s="83"/>
      <c r="E554" s="84"/>
      <c r="F554" s="84"/>
      <c r="G554" s="84"/>
      <c r="H554" s="82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7"/>
      <c r="AA554" s="87"/>
      <c r="AB554" s="87"/>
      <c r="AC554" s="87"/>
      <c r="AD554" s="87"/>
      <c r="AE554" s="87"/>
      <c r="AF554" s="87"/>
      <c r="AG554" s="87"/>
      <c r="AH554" s="87"/>
      <c r="AI554" s="87"/>
      <c r="AJ554" s="87"/>
      <c r="AK554" s="87"/>
      <c r="AL554" s="87"/>
      <c r="AM554" s="87"/>
      <c r="AN554" s="87"/>
      <c r="AO554" s="87"/>
      <c r="AP554" s="87"/>
      <c r="AQ554" s="87"/>
      <c r="AR554" s="87"/>
      <c r="AS554" s="87"/>
      <c r="AT554" s="87"/>
      <c r="AU554" s="87"/>
      <c r="AV554" s="87"/>
      <c r="AW554" s="87"/>
      <c r="AX554" s="87"/>
      <c r="AY554" s="87"/>
      <c r="AZ554" s="87"/>
      <c r="BA554" s="87"/>
      <c r="BB554" s="87"/>
      <c r="BC554" s="87"/>
      <c r="BD554" s="87"/>
      <c r="BE554" s="87"/>
      <c r="BF554" s="87"/>
      <c r="BG554" s="87"/>
      <c r="BH554" s="87"/>
    </row>
    <row r="555" spans="1:60" ht="16">
      <c r="A555" s="82"/>
      <c r="B555" s="82"/>
      <c r="C555" s="82"/>
      <c r="D555" s="83"/>
      <c r="E555" s="84"/>
      <c r="F555" s="84"/>
      <c r="G555" s="84"/>
      <c r="H555" s="82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7"/>
      <c r="AA555" s="87"/>
      <c r="AB555" s="87"/>
      <c r="AC555" s="87"/>
      <c r="AD555" s="87"/>
      <c r="AE555" s="87"/>
      <c r="AF555" s="87"/>
      <c r="AG555" s="87"/>
      <c r="AH555" s="87"/>
      <c r="AI555" s="87"/>
      <c r="AJ555" s="87"/>
      <c r="AK555" s="87"/>
      <c r="AL555" s="87"/>
      <c r="AM555" s="87"/>
      <c r="AN555" s="87"/>
      <c r="AO555" s="87"/>
      <c r="AP555" s="87"/>
      <c r="AQ555" s="87"/>
      <c r="AR555" s="87"/>
      <c r="AS555" s="87"/>
      <c r="AT555" s="87"/>
      <c r="AU555" s="87"/>
      <c r="AV555" s="87"/>
      <c r="AW555" s="87"/>
      <c r="AX555" s="87"/>
      <c r="AY555" s="87"/>
      <c r="AZ555" s="87"/>
      <c r="BA555" s="87"/>
      <c r="BB555" s="87"/>
      <c r="BC555" s="87"/>
      <c r="BD555" s="87"/>
      <c r="BE555" s="87"/>
      <c r="BF555" s="87"/>
      <c r="BG555" s="87"/>
      <c r="BH555" s="87"/>
    </row>
    <row r="556" spans="1:60" ht="16">
      <c r="A556" s="82"/>
      <c r="B556" s="82"/>
      <c r="C556" s="82"/>
      <c r="D556" s="83"/>
      <c r="E556" s="84"/>
      <c r="F556" s="84"/>
      <c r="G556" s="84"/>
      <c r="H556" s="82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7"/>
      <c r="AA556" s="87"/>
      <c r="AB556" s="87"/>
      <c r="AC556" s="87"/>
      <c r="AD556" s="87"/>
      <c r="AE556" s="87"/>
      <c r="AF556" s="87"/>
      <c r="AG556" s="87"/>
      <c r="AH556" s="87"/>
      <c r="AI556" s="87"/>
      <c r="AJ556" s="87"/>
      <c r="AK556" s="87"/>
      <c r="AL556" s="87"/>
      <c r="AM556" s="87"/>
      <c r="AN556" s="87"/>
      <c r="AO556" s="87"/>
      <c r="AP556" s="87"/>
      <c r="AQ556" s="87"/>
      <c r="AR556" s="87"/>
      <c r="AS556" s="87"/>
      <c r="AT556" s="87"/>
      <c r="AU556" s="87"/>
      <c r="AV556" s="87"/>
      <c r="AW556" s="87"/>
      <c r="AX556" s="87"/>
      <c r="AY556" s="87"/>
      <c r="AZ556" s="87"/>
      <c r="BA556" s="87"/>
      <c r="BB556" s="87"/>
      <c r="BC556" s="87"/>
      <c r="BD556" s="87"/>
      <c r="BE556" s="87"/>
      <c r="BF556" s="87"/>
      <c r="BG556" s="87"/>
      <c r="BH556" s="87"/>
    </row>
    <row r="557" spans="1:60" ht="16">
      <c r="A557" s="82"/>
      <c r="B557" s="82"/>
      <c r="C557" s="82"/>
      <c r="D557" s="83"/>
      <c r="E557" s="84"/>
      <c r="F557" s="84"/>
      <c r="G557" s="84"/>
      <c r="H557" s="82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7"/>
      <c r="AA557" s="87"/>
      <c r="AB557" s="87"/>
      <c r="AC557" s="87"/>
      <c r="AD557" s="87"/>
      <c r="AE557" s="87"/>
      <c r="AF557" s="87"/>
      <c r="AG557" s="87"/>
      <c r="AH557" s="87"/>
      <c r="AI557" s="87"/>
      <c r="AJ557" s="87"/>
      <c r="AK557" s="87"/>
      <c r="AL557" s="87"/>
      <c r="AM557" s="87"/>
      <c r="AN557" s="87"/>
      <c r="AO557" s="87"/>
      <c r="AP557" s="87"/>
      <c r="AQ557" s="87"/>
      <c r="AR557" s="87"/>
      <c r="AS557" s="87"/>
      <c r="AT557" s="87"/>
      <c r="AU557" s="87"/>
      <c r="AV557" s="87"/>
      <c r="AW557" s="87"/>
      <c r="AX557" s="87"/>
      <c r="AY557" s="87"/>
      <c r="AZ557" s="87"/>
      <c r="BA557" s="87"/>
      <c r="BB557" s="87"/>
      <c r="BC557" s="87"/>
      <c r="BD557" s="87"/>
      <c r="BE557" s="87"/>
      <c r="BF557" s="87"/>
      <c r="BG557" s="87"/>
      <c r="BH557" s="87"/>
    </row>
    <row r="558" spans="1:60" ht="16">
      <c r="A558" s="82"/>
      <c r="B558" s="82"/>
      <c r="C558" s="82"/>
      <c r="D558" s="83"/>
      <c r="E558" s="84"/>
      <c r="F558" s="84"/>
      <c r="G558" s="84"/>
      <c r="H558" s="82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7"/>
      <c r="AA558" s="87"/>
      <c r="AB558" s="87"/>
      <c r="AC558" s="87"/>
      <c r="AD558" s="87"/>
      <c r="AE558" s="87"/>
      <c r="AF558" s="87"/>
      <c r="AG558" s="87"/>
      <c r="AH558" s="87"/>
      <c r="AI558" s="87"/>
      <c r="AJ558" s="87"/>
      <c r="AK558" s="87"/>
      <c r="AL558" s="87"/>
      <c r="AM558" s="87"/>
      <c r="AN558" s="87"/>
      <c r="AO558" s="87"/>
      <c r="AP558" s="87"/>
      <c r="AQ558" s="87"/>
      <c r="AR558" s="87"/>
      <c r="AS558" s="87"/>
      <c r="AT558" s="87"/>
      <c r="AU558" s="87"/>
      <c r="AV558" s="87"/>
      <c r="AW558" s="87"/>
      <c r="AX558" s="87"/>
      <c r="AY558" s="87"/>
      <c r="AZ558" s="87"/>
      <c r="BA558" s="87"/>
      <c r="BB558" s="87"/>
      <c r="BC558" s="87"/>
      <c r="BD558" s="87"/>
      <c r="BE558" s="87"/>
      <c r="BF558" s="87"/>
      <c r="BG558" s="87"/>
      <c r="BH558" s="87"/>
    </row>
    <row r="559" spans="1:60" ht="16">
      <c r="A559" s="82"/>
      <c r="B559" s="82"/>
      <c r="C559" s="82"/>
      <c r="D559" s="83"/>
      <c r="E559" s="84"/>
      <c r="F559" s="84"/>
      <c r="G559" s="84"/>
      <c r="H559" s="82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7"/>
      <c r="AA559" s="87"/>
      <c r="AB559" s="87"/>
      <c r="AC559" s="87"/>
      <c r="AD559" s="87"/>
      <c r="AE559" s="87"/>
      <c r="AF559" s="87"/>
      <c r="AG559" s="87"/>
      <c r="AH559" s="87"/>
      <c r="AI559" s="87"/>
      <c r="AJ559" s="87"/>
      <c r="AK559" s="87"/>
      <c r="AL559" s="87"/>
      <c r="AM559" s="87"/>
      <c r="AN559" s="87"/>
      <c r="AO559" s="87"/>
      <c r="AP559" s="87"/>
      <c r="AQ559" s="87"/>
      <c r="AR559" s="87"/>
      <c r="AS559" s="87"/>
      <c r="AT559" s="87"/>
      <c r="AU559" s="87"/>
      <c r="AV559" s="87"/>
      <c r="AW559" s="87"/>
      <c r="AX559" s="87"/>
      <c r="AY559" s="87"/>
      <c r="AZ559" s="87"/>
      <c r="BA559" s="87"/>
      <c r="BB559" s="87"/>
      <c r="BC559" s="87"/>
      <c r="BD559" s="87"/>
      <c r="BE559" s="87"/>
      <c r="BF559" s="87"/>
      <c r="BG559" s="87"/>
      <c r="BH559" s="87"/>
    </row>
    <row r="560" spans="1:60" ht="16">
      <c r="A560" s="82"/>
      <c r="B560" s="82"/>
      <c r="C560" s="82"/>
      <c r="D560" s="83"/>
      <c r="E560" s="84"/>
      <c r="F560" s="84"/>
      <c r="G560" s="84"/>
      <c r="H560" s="82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7"/>
      <c r="AA560" s="87"/>
      <c r="AB560" s="87"/>
      <c r="AC560" s="87"/>
      <c r="AD560" s="87"/>
      <c r="AE560" s="87"/>
      <c r="AF560" s="87"/>
      <c r="AG560" s="87"/>
      <c r="AH560" s="87"/>
      <c r="AI560" s="87"/>
      <c r="AJ560" s="87"/>
      <c r="AK560" s="87"/>
      <c r="AL560" s="87"/>
      <c r="AM560" s="87"/>
      <c r="AN560" s="87"/>
      <c r="AO560" s="87"/>
      <c r="AP560" s="87"/>
      <c r="AQ560" s="87"/>
      <c r="AR560" s="87"/>
      <c r="AS560" s="87"/>
      <c r="AT560" s="87"/>
      <c r="AU560" s="87"/>
      <c r="AV560" s="87"/>
      <c r="AW560" s="87"/>
      <c r="AX560" s="87"/>
      <c r="AY560" s="87"/>
      <c r="AZ560" s="87"/>
      <c r="BA560" s="87"/>
      <c r="BB560" s="87"/>
      <c r="BC560" s="87"/>
      <c r="BD560" s="87"/>
      <c r="BE560" s="87"/>
      <c r="BF560" s="87"/>
      <c r="BG560" s="87"/>
      <c r="BH560" s="87"/>
    </row>
    <row r="561" spans="1:60" ht="16">
      <c r="A561" s="82"/>
      <c r="B561" s="82"/>
      <c r="C561" s="82"/>
      <c r="D561" s="83"/>
      <c r="E561" s="84"/>
      <c r="F561" s="84"/>
      <c r="G561" s="84"/>
      <c r="H561" s="82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7"/>
      <c r="AA561" s="87"/>
      <c r="AB561" s="87"/>
      <c r="AC561" s="87"/>
      <c r="AD561" s="87"/>
      <c r="AE561" s="87"/>
      <c r="AF561" s="87"/>
      <c r="AG561" s="87"/>
      <c r="AH561" s="87"/>
      <c r="AI561" s="87"/>
      <c r="AJ561" s="87"/>
      <c r="AK561" s="87"/>
      <c r="AL561" s="87"/>
      <c r="AM561" s="87"/>
      <c r="AN561" s="87"/>
      <c r="AO561" s="87"/>
      <c r="AP561" s="87"/>
      <c r="AQ561" s="87"/>
      <c r="AR561" s="87"/>
      <c r="AS561" s="87"/>
      <c r="AT561" s="87"/>
      <c r="AU561" s="87"/>
      <c r="AV561" s="87"/>
      <c r="AW561" s="87"/>
      <c r="AX561" s="87"/>
      <c r="AY561" s="87"/>
      <c r="AZ561" s="87"/>
      <c r="BA561" s="87"/>
      <c r="BB561" s="87"/>
      <c r="BC561" s="87"/>
      <c r="BD561" s="87"/>
      <c r="BE561" s="87"/>
      <c r="BF561" s="87"/>
      <c r="BG561" s="87"/>
      <c r="BH561" s="87"/>
    </row>
    <row r="562" spans="1:60" ht="16">
      <c r="A562" s="82"/>
      <c r="B562" s="82"/>
      <c r="C562" s="82"/>
      <c r="D562" s="83"/>
      <c r="E562" s="84"/>
      <c r="F562" s="84"/>
      <c r="G562" s="84"/>
      <c r="H562" s="82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7"/>
      <c r="AA562" s="87"/>
      <c r="AB562" s="87"/>
      <c r="AC562" s="87"/>
      <c r="AD562" s="87"/>
      <c r="AE562" s="87"/>
      <c r="AF562" s="87"/>
      <c r="AG562" s="87"/>
      <c r="AH562" s="87"/>
      <c r="AI562" s="87"/>
      <c r="AJ562" s="87"/>
      <c r="AK562" s="87"/>
      <c r="AL562" s="87"/>
      <c r="AM562" s="87"/>
      <c r="AN562" s="87"/>
      <c r="AO562" s="87"/>
      <c r="AP562" s="87"/>
      <c r="AQ562" s="87"/>
      <c r="AR562" s="87"/>
      <c r="AS562" s="87"/>
      <c r="AT562" s="87"/>
      <c r="AU562" s="87"/>
      <c r="AV562" s="87"/>
      <c r="AW562" s="87"/>
      <c r="AX562" s="87"/>
      <c r="AY562" s="87"/>
      <c r="AZ562" s="87"/>
      <c r="BA562" s="87"/>
      <c r="BB562" s="87"/>
      <c r="BC562" s="87"/>
      <c r="BD562" s="87"/>
      <c r="BE562" s="87"/>
      <c r="BF562" s="87"/>
      <c r="BG562" s="87"/>
      <c r="BH562" s="87"/>
    </row>
    <row r="563" spans="1:60" ht="16">
      <c r="A563" s="82"/>
      <c r="B563" s="82"/>
      <c r="C563" s="82"/>
      <c r="D563" s="83"/>
      <c r="E563" s="84"/>
      <c r="F563" s="84"/>
      <c r="G563" s="84"/>
      <c r="H563" s="82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7"/>
      <c r="AA563" s="87"/>
      <c r="AB563" s="87"/>
      <c r="AC563" s="87"/>
      <c r="AD563" s="87"/>
      <c r="AE563" s="87"/>
      <c r="AF563" s="87"/>
      <c r="AG563" s="87"/>
      <c r="AH563" s="87"/>
      <c r="AI563" s="87"/>
      <c r="AJ563" s="87"/>
      <c r="AK563" s="87"/>
      <c r="AL563" s="87"/>
      <c r="AM563" s="87"/>
      <c r="AN563" s="87"/>
      <c r="AO563" s="87"/>
      <c r="AP563" s="87"/>
      <c r="AQ563" s="87"/>
      <c r="AR563" s="87"/>
      <c r="AS563" s="87"/>
      <c r="AT563" s="87"/>
      <c r="AU563" s="87"/>
      <c r="AV563" s="87"/>
      <c r="AW563" s="87"/>
      <c r="AX563" s="87"/>
      <c r="AY563" s="87"/>
      <c r="AZ563" s="87"/>
      <c r="BA563" s="87"/>
      <c r="BB563" s="87"/>
      <c r="BC563" s="87"/>
      <c r="BD563" s="87"/>
      <c r="BE563" s="87"/>
      <c r="BF563" s="87"/>
      <c r="BG563" s="87"/>
      <c r="BH563" s="87"/>
    </row>
    <row r="564" spans="1:60" ht="16">
      <c r="A564" s="82"/>
      <c r="B564" s="82"/>
      <c r="C564" s="82"/>
      <c r="D564" s="83"/>
      <c r="E564" s="84"/>
      <c r="F564" s="84"/>
      <c r="G564" s="84"/>
      <c r="H564" s="82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7"/>
      <c r="AA564" s="87"/>
      <c r="AB564" s="87"/>
      <c r="AC564" s="87"/>
      <c r="AD564" s="87"/>
      <c r="AE564" s="87"/>
      <c r="AF564" s="87"/>
      <c r="AG564" s="87"/>
      <c r="AH564" s="87"/>
      <c r="AI564" s="87"/>
      <c r="AJ564" s="87"/>
      <c r="AK564" s="87"/>
      <c r="AL564" s="87"/>
      <c r="AM564" s="87"/>
      <c r="AN564" s="87"/>
      <c r="AO564" s="87"/>
      <c r="AP564" s="87"/>
      <c r="AQ564" s="87"/>
      <c r="AR564" s="87"/>
      <c r="AS564" s="87"/>
      <c r="AT564" s="87"/>
      <c r="AU564" s="87"/>
      <c r="AV564" s="87"/>
      <c r="AW564" s="87"/>
      <c r="AX564" s="87"/>
      <c r="AY564" s="87"/>
      <c r="AZ564" s="87"/>
      <c r="BA564" s="87"/>
      <c r="BB564" s="87"/>
      <c r="BC564" s="87"/>
      <c r="BD564" s="87"/>
      <c r="BE564" s="87"/>
      <c r="BF564" s="87"/>
      <c r="BG564" s="87"/>
      <c r="BH564" s="87"/>
    </row>
    <row r="565" spans="1:60" ht="16">
      <c r="A565" s="82"/>
      <c r="B565" s="82"/>
      <c r="C565" s="82"/>
      <c r="D565" s="83"/>
      <c r="E565" s="84"/>
      <c r="F565" s="84"/>
      <c r="G565" s="84"/>
      <c r="H565" s="82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7"/>
      <c r="AA565" s="87"/>
      <c r="AB565" s="87"/>
      <c r="AC565" s="87"/>
      <c r="AD565" s="87"/>
      <c r="AE565" s="87"/>
      <c r="AF565" s="87"/>
      <c r="AG565" s="87"/>
      <c r="AH565" s="87"/>
      <c r="AI565" s="87"/>
      <c r="AJ565" s="87"/>
      <c r="AK565" s="87"/>
      <c r="AL565" s="87"/>
      <c r="AM565" s="87"/>
      <c r="AN565" s="87"/>
      <c r="AO565" s="87"/>
      <c r="AP565" s="87"/>
      <c r="AQ565" s="87"/>
      <c r="AR565" s="87"/>
      <c r="AS565" s="87"/>
      <c r="AT565" s="87"/>
      <c r="AU565" s="87"/>
      <c r="AV565" s="87"/>
      <c r="AW565" s="87"/>
      <c r="AX565" s="87"/>
      <c r="AY565" s="87"/>
      <c r="AZ565" s="87"/>
      <c r="BA565" s="87"/>
      <c r="BB565" s="87"/>
      <c r="BC565" s="87"/>
      <c r="BD565" s="87"/>
      <c r="BE565" s="87"/>
      <c r="BF565" s="87"/>
      <c r="BG565" s="87"/>
      <c r="BH565" s="87"/>
    </row>
    <row r="566" spans="1:60" ht="16">
      <c r="A566" s="82"/>
      <c r="B566" s="82"/>
      <c r="C566" s="82"/>
      <c r="D566" s="83"/>
      <c r="E566" s="84"/>
      <c r="F566" s="84"/>
      <c r="G566" s="84"/>
      <c r="H566" s="82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7"/>
      <c r="AA566" s="87"/>
      <c r="AB566" s="87"/>
      <c r="AC566" s="87"/>
      <c r="AD566" s="87"/>
      <c r="AE566" s="87"/>
      <c r="AF566" s="87"/>
      <c r="AG566" s="87"/>
      <c r="AH566" s="87"/>
      <c r="AI566" s="87"/>
      <c r="AJ566" s="87"/>
      <c r="AK566" s="87"/>
      <c r="AL566" s="87"/>
      <c r="AM566" s="87"/>
      <c r="AN566" s="87"/>
      <c r="AO566" s="87"/>
      <c r="AP566" s="87"/>
      <c r="AQ566" s="87"/>
      <c r="AR566" s="87"/>
      <c r="AS566" s="87"/>
      <c r="AT566" s="87"/>
      <c r="AU566" s="87"/>
      <c r="AV566" s="87"/>
      <c r="AW566" s="87"/>
      <c r="AX566" s="87"/>
      <c r="AY566" s="87"/>
      <c r="AZ566" s="87"/>
      <c r="BA566" s="87"/>
      <c r="BB566" s="87"/>
      <c r="BC566" s="87"/>
      <c r="BD566" s="87"/>
      <c r="BE566" s="87"/>
      <c r="BF566" s="87"/>
      <c r="BG566" s="87"/>
      <c r="BH566" s="87"/>
    </row>
    <row r="567" spans="1:60" ht="16">
      <c r="A567" s="82"/>
      <c r="B567" s="82"/>
      <c r="C567" s="82"/>
      <c r="D567" s="83"/>
      <c r="E567" s="84"/>
      <c r="F567" s="84"/>
      <c r="G567" s="84"/>
      <c r="H567" s="82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7"/>
      <c r="AA567" s="87"/>
      <c r="AB567" s="87"/>
      <c r="AC567" s="87"/>
      <c r="AD567" s="87"/>
      <c r="AE567" s="87"/>
      <c r="AF567" s="87"/>
      <c r="AG567" s="87"/>
      <c r="AH567" s="87"/>
      <c r="AI567" s="87"/>
      <c r="AJ567" s="87"/>
      <c r="AK567" s="87"/>
      <c r="AL567" s="87"/>
      <c r="AM567" s="87"/>
      <c r="AN567" s="87"/>
      <c r="AO567" s="87"/>
      <c r="AP567" s="87"/>
      <c r="AQ567" s="87"/>
      <c r="AR567" s="87"/>
      <c r="AS567" s="87"/>
      <c r="AT567" s="87"/>
      <c r="AU567" s="87"/>
      <c r="AV567" s="87"/>
      <c r="AW567" s="87"/>
      <c r="AX567" s="87"/>
      <c r="AY567" s="87"/>
      <c r="AZ567" s="87"/>
      <c r="BA567" s="87"/>
      <c r="BB567" s="87"/>
      <c r="BC567" s="87"/>
      <c r="BD567" s="87"/>
      <c r="BE567" s="87"/>
      <c r="BF567" s="87"/>
      <c r="BG567" s="87"/>
      <c r="BH567" s="87"/>
    </row>
    <row r="568" spans="1:60" ht="16">
      <c r="A568" s="82"/>
      <c r="B568" s="82"/>
      <c r="C568" s="82"/>
      <c r="D568" s="83"/>
      <c r="E568" s="84"/>
      <c r="F568" s="84"/>
      <c r="G568" s="84"/>
      <c r="H568" s="82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7"/>
      <c r="AA568" s="87"/>
      <c r="AB568" s="87"/>
      <c r="AC568" s="87"/>
      <c r="AD568" s="87"/>
      <c r="AE568" s="87"/>
      <c r="AF568" s="87"/>
      <c r="AG568" s="87"/>
      <c r="AH568" s="87"/>
      <c r="AI568" s="87"/>
      <c r="AJ568" s="87"/>
      <c r="AK568" s="87"/>
      <c r="AL568" s="87"/>
      <c r="AM568" s="87"/>
      <c r="AN568" s="87"/>
      <c r="AO568" s="87"/>
      <c r="AP568" s="87"/>
      <c r="AQ568" s="87"/>
      <c r="AR568" s="87"/>
      <c r="AS568" s="87"/>
      <c r="AT568" s="87"/>
      <c r="AU568" s="87"/>
      <c r="AV568" s="87"/>
      <c r="AW568" s="87"/>
      <c r="AX568" s="87"/>
      <c r="AY568" s="87"/>
      <c r="AZ568" s="87"/>
      <c r="BA568" s="87"/>
      <c r="BB568" s="87"/>
      <c r="BC568" s="87"/>
      <c r="BD568" s="87"/>
      <c r="BE568" s="87"/>
      <c r="BF568" s="87"/>
      <c r="BG568" s="87"/>
      <c r="BH568" s="87"/>
    </row>
    <row r="569" spans="1:60" ht="16">
      <c r="A569" s="82"/>
      <c r="B569" s="82"/>
      <c r="C569" s="82"/>
      <c r="D569" s="83"/>
      <c r="E569" s="84"/>
      <c r="F569" s="84"/>
      <c r="G569" s="84"/>
      <c r="H569" s="82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7"/>
      <c r="AA569" s="87"/>
      <c r="AB569" s="87"/>
      <c r="AC569" s="87"/>
      <c r="AD569" s="87"/>
      <c r="AE569" s="87"/>
      <c r="AF569" s="87"/>
      <c r="AG569" s="87"/>
      <c r="AH569" s="87"/>
      <c r="AI569" s="87"/>
      <c r="AJ569" s="87"/>
      <c r="AK569" s="87"/>
      <c r="AL569" s="87"/>
      <c r="AM569" s="87"/>
      <c r="AN569" s="87"/>
      <c r="AO569" s="87"/>
      <c r="AP569" s="87"/>
      <c r="AQ569" s="87"/>
      <c r="AR569" s="87"/>
      <c r="AS569" s="87"/>
      <c r="AT569" s="87"/>
      <c r="AU569" s="87"/>
      <c r="AV569" s="87"/>
      <c r="AW569" s="87"/>
      <c r="AX569" s="87"/>
      <c r="AY569" s="87"/>
      <c r="AZ569" s="87"/>
      <c r="BA569" s="87"/>
      <c r="BB569" s="87"/>
      <c r="BC569" s="87"/>
      <c r="BD569" s="87"/>
      <c r="BE569" s="87"/>
      <c r="BF569" s="87"/>
      <c r="BG569" s="87"/>
      <c r="BH569" s="87"/>
    </row>
    <row r="570" spans="1:60" ht="16">
      <c r="A570" s="82"/>
      <c r="B570" s="82"/>
      <c r="C570" s="82"/>
      <c r="D570" s="83"/>
      <c r="E570" s="84"/>
      <c r="F570" s="84"/>
      <c r="G570" s="84"/>
      <c r="H570" s="82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7"/>
      <c r="AA570" s="87"/>
      <c r="AB570" s="87"/>
      <c r="AC570" s="87"/>
      <c r="AD570" s="87"/>
      <c r="AE570" s="87"/>
      <c r="AF570" s="87"/>
      <c r="AG570" s="87"/>
      <c r="AH570" s="87"/>
      <c r="AI570" s="87"/>
      <c r="AJ570" s="87"/>
      <c r="AK570" s="87"/>
      <c r="AL570" s="87"/>
      <c r="AM570" s="87"/>
      <c r="AN570" s="87"/>
      <c r="AO570" s="87"/>
      <c r="AP570" s="87"/>
      <c r="AQ570" s="87"/>
      <c r="AR570" s="87"/>
      <c r="AS570" s="87"/>
      <c r="AT570" s="87"/>
      <c r="AU570" s="87"/>
      <c r="AV570" s="87"/>
      <c r="AW570" s="87"/>
      <c r="AX570" s="87"/>
      <c r="AY570" s="87"/>
      <c r="AZ570" s="87"/>
      <c r="BA570" s="87"/>
      <c r="BB570" s="87"/>
      <c r="BC570" s="87"/>
      <c r="BD570" s="87"/>
      <c r="BE570" s="87"/>
      <c r="BF570" s="87"/>
      <c r="BG570" s="87"/>
      <c r="BH570" s="87"/>
    </row>
    <row r="571" spans="1:60" ht="16">
      <c r="A571" s="82"/>
      <c r="B571" s="82"/>
      <c r="C571" s="82"/>
      <c r="D571" s="83"/>
      <c r="E571" s="84"/>
      <c r="F571" s="84"/>
      <c r="G571" s="84"/>
      <c r="H571" s="82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7"/>
      <c r="AA571" s="87"/>
      <c r="AB571" s="87"/>
      <c r="AC571" s="87"/>
      <c r="AD571" s="87"/>
      <c r="AE571" s="87"/>
      <c r="AF571" s="87"/>
      <c r="AG571" s="87"/>
      <c r="AH571" s="87"/>
      <c r="AI571" s="87"/>
      <c r="AJ571" s="87"/>
      <c r="AK571" s="87"/>
      <c r="AL571" s="87"/>
      <c r="AM571" s="87"/>
      <c r="AN571" s="87"/>
      <c r="AO571" s="87"/>
      <c r="AP571" s="87"/>
      <c r="AQ571" s="87"/>
      <c r="AR571" s="87"/>
      <c r="AS571" s="87"/>
      <c r="AT571" s="87"/>
      <c r="AU571" s="87"/>
      <c r="AV571" s="87"/>
      <c r="AW571" s="87"/>
      <c r="AX571" s="87"/>
      <c r="AY571" s="87"/>
      <c r="AZ571" s="87"/>
      <c r="BA571" s="87"/>
      <c r="BB571" s="87"/>
      <c r="BC571" s="87"/>
      <c r="BD571" s="87"/>
      <c r="BE571" s="87"/>
      <c r="BF571" s="87"/>
      <c r="BG571" s="87"/>
      <c r="BH571" s="87"/>
    </row>
    <row r="572" spans="1:60" ht="16">
      <c r="A572" s="82"/>
      <c r="B572" s="82"/>
      <c r="C572" s="82"/>
      <c r="D572" s="83"/>
      <c r="E572" s="84"/>
      <c r="F572" s="84"/>
      <c r="G572" s="84"/>
      <c r="H572" s="82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7"/>
      <c r="AA572" s="87"/>
      <c r="AB572" s="87"/>
      <c r="AC572" s="87"/>
      <c r="AD572" s="87"/>
      <c r="AE572" s="87"/>
      <c r="AF572" s="87"/>
      <c r="AG572" s="87"/>
      <c r="AH572" s="87"/>
      <c r="AI572" s="87"/>
      <c r="AJ572" s="87"/>
      <c r="AK572" s="87"/>
      <c r="AL572" s="87"/>
      <c r="AM572" s="87"/>
      <c r="AN572" s="87"/>
      <c r="AO572" s="87"/>
      <c r="AP572" s="87"/>
      <c r="AQ572" s="87"/>
      <c r="AR572" s="87"/>
      <c r="AS572" s="87"/>
      <c r="AT572" s="87"/>
      <c r="AU572" s="87"/>
      <c r="AV572" s="87"/>
      <c r="AW572" s="87"/>
      <c r="AX572" s="87"/>
      <c r="AY572" s="87"/>
      <c r="AZ572" s="87"/>
      <c r="BA572" s="87"/>
      <c r="BB572" s="87"/>
      <c r="BC572" s="87"/>
      <c r="BD572" s="87"/>
      <c r="BE572" s="87"/>
      <c r="BF572" s="87"/>
      <c r="BG572" s="87"/>
      <c r="BH572" s="87"/>
    </row>
    <row r="573" spans="1:60" ht="16">
      <c r="A573" s="82"/>
      <c r="B573" s="82"/>
      <c r="C573" s="82"/>
      <c r="D573" s="83"/>
      <c r="E573" s="84"/>
      <c r="F573" s="84"/>
      <c r="G573" s="84"/>
      <c r="H573" s="82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7"/>
      <c r="AA573" s="87"/>
      <c r="AB573" s="87"/>
      <c r="AC573" s="87"/>
      <c r="AD573" s="87"/>
      <c r="AE573" s="87"/>
      <c r="AF573" s="87"/>
      <c r="AG573" s="87"/>
      <c r="AH573" s="87"/>
      <c r="AI573" s="87"/>
      <c r="AJ573" s="87"/>
      <c r="AK573" s="87"/>
      <c r="AL573" s="87"/>
      <c r="AM573" s="87"/>
      <c r="AN573" s="87"/>
      <c r="AO573" s="87"/>
      <c r="AP573" s="87"/>
      <c r="AQ573" s="87"/>
      <c r="AR573" s="87"/>
      <c r="AS573" s="87"/>
      <c r="AT573" s="87"/>
      <c r="AU573" s="87"/>
      <c r="AV573" s="87"/>
      <c r="AW573" s="87"/>
      <c r="AX573" s="87"/>
      <c r="AY573" s="87"/>
      <c r="AZ573" s="87"/>
      <c r="BA573" s="87"/>
      <c r="BB573" s="87"/>
      <c r="BC573" s="87"/>
      <c r="BD573" s="87"/>
      <c r="BE573" s="87"/>
      <c r="BF573" s="87"/>
      <c r="BG573" s="87"/>
      <c r="BH573" s="87"/>
    </row>
    <row r="574" spans="1:60" ht="16">
      <c r="A574" s="82"/>
      <c r="B574" s="82"/>
      <c r="C574" s="82"/>
      <c r="D574" s="83"/>
      <c r="E574" s="84"/>
      <c r="F574" s="84"/>
      <c r="G574" s="84"/>
      <c r="H574" s="82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7"/>
      <c r="AA574" s="87"/>
      <c r="AB574" s="87"/>
      <c r="AC574" s="87"/>
      <c r="AD574" s="87"/>
      <c r="AE574" s="87"/>
      <c r="AF574" s="87"/>
      <c r="AG574" s="87"/>
      <c r="AH574" s="87"/>
      <c r="AI574" s="87"/>
      <c r="AJ574" s="87"/>
      <c r="AK574" s="87"/>
      <c r="AL574" s="87"/>
      <c r="AM574" s="87"/>
      <c r="AN574" s="87"/>
      <c r="AO574" s="87"/>
      <c r="AP574" s="87"/>
      <c r="AQ574" s="87"/>
      <c r="AR574" s="87"/>
      <c r="AS574" s="87"/>
      <c r="AT574" s="87"/>
      <c r="AU574" s="87"/>
      <c r="AV574" s="87"/>
      <c r="AW574" s="87"/>
      <c r="AX574" s="87"/>
      <c r="AY574" s="87"/>
      <c r="AZ574" s="87"/>
      <c r="BA574" s="87"/>
      <c r="BB574" s="87"/>
      <c r="BC574" s="87"/>
      <c r="BD574" s="87"/>
      <c r="BE574" s="87"/>
      <c r="BF574" s="87"/>
      <c r="BG574" s="87"/>
      <c r="BH574" s="87"/>
    </row>
    <row r="575" spans="1:60" ht="16">
      <c r="A575" s="82"/>
      <c r="B575" s="82"/>
      <c r="C575" s="82"/>
      <c r="D575" s="83"/>
      <c r="E575" s="84"/>
      <c r="F575" s="84"/>
      <c r="G575" s="84"/>
      <c r="H575" s="82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7"/>
      <c r="AA575" s="87"/>
      <c r="AB575" s="87"/>
      <c r="AC575" s="87"/>
      <c r="AD575" s="87"/>
      <c r="AE575" s="87"/>
      <c r="AF575" s="87"/>
      <c r="AG575" s="87"/>
      <c r="AH575" s="87"/>
      <c r="AI575" s="87"/>
      <c r="AJ575" s="87"/>
      <c r="AK575" s="87"/>
      <c r="AL575" s="87"/>
      <c r="AM575" s="87"/>
      <c r="AN575" s="87"/>
      <c r="AO575" s="87"/>
      <c r="AP575" s="87"/>
      <c r="AQ575" s="87"/>
      <c r="AR575" s="87"/>
      <c r="AS575" s="87"/>
      <c r="AT575" s="87"/>
      <c r="AU575" s="87"/>
      <c r="AV575" s="87"/>
      <c r="AW575" s="87"/>
      <c r="AX575" s="87"/>
      <c r="AY575" s="87"/>
      <c r="AZ575" s="87"/>
      <c r="BA575" s="87"/>
      <c r="BB575" s="87"/>
      <c r="BC575" s="87"/>
      <c r="BD575" s="87"/>
      <c r="BE575" s="87"/>
      <c r="BF575" s="87"/>
      <c r="BG575" s="87"/>
      <c r="BH575" s="87"/>
    </row>
    <row r="576" spans="1:60" ht="16">
      <c r="A576" s="82"/>
      <c r="B576" s="82"/>
      <c r="C576" s="82"/>
      <c r="D576" s="83"/>
      <c r="E576" s="84"/>
      <c r="F576" s="84"/>
      <c r="G576" s="84"/>
      <c r="H576" s="82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7"/>
      <c r="AA576" s="87"/>
      <c r="AB576" s="87"/>
      <c r="AC576" s="87"/>
      <c r="AD576" s="87"/>
      <c r="AE576" s="87"/>
      <c r="AF576" s="87"/>
      <c r="AG576" s="87"/>
      <c r="AH576" s="87"/>
      <c r="AI576" s="87"/>
      <c r="AJ576" s="87"/>
      <c r="AK576" s="87"/>
      <c r="AL576" s="87"/>
      <c r="AM576" s="87"/>
      <c r="AN576" s="87"/>
      <c r="AO576" s="87"/>
      <c r="AP576" s="87"/>
      <c r="AQ576" s="87"/>
      <c r="AR576" s="87"/>
      <c r="AS576" s="87"/>
      <c r="AT576" s="87"/>
      <c r="AU576" s="87"/>
      <c r="AV576" s="87"/>
      <c r="AW576" s="87"/>
      <c r="AX576" s="87"/>
      <c r="AY576" s="87"/>
      <c r="AZ576" s="87"/>
      <c r="BA576" s="87"/>
      <c r="BB576" s="87"/>
      <c r="BC576" s="87"/>
      <c r="BD576" s="87"/>
      <c r="BE576" s="87"/>
      <c r="BF576" s="87"/>
      <c r="BG576" s="87"/>
      <c r="BH576" s="87"/>
    </row>
    <row r="577" spans="1:60" ht="16">
      <c r="A577" s="82"/>
      <c r="B577" s="82"/>
      <c r="C577" s="82"/>
      <c r="D577" s="83"/>
      <c r="E577" s="84"/>
      <c r="F577" s="84"/>
      <c r="G577" s="84"/>
      <c r="H577" s="82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7"/>
      <c r="AA577" s="87"/>
      <c r="AB577" s="87"/>
      <c r="AC577" s="87"/>
      <c r="AD577" s="87"/>
      <c r="AE577" s="87"/>
      <c r="AF577" s="87"/>
      <c r="AG577" s="87"/>
      <c r="AH577" s="87"/>
      <c r="AI577" s="87"/>
      <c r="AJ577" s="87"/>
      <c r="AK577" s="87"/>
      <c r="AL577" s="87"/>
      <c r="AM577" s="87"/>
      <c r="AN577" s="87"/>
      <c r="AO577" s="87"/>
      <c r="AP577" s="87"/>
      <c r="AQ577" s="87"/>
      <c r="AR577" s="87"/>
      <c r="AS577" s="87"/>
      <c r="AT577" s="87"/>
      <c r="AU577" s="87"/>
      <c r="AV577" s="87"/>
      <c r="AW577" s="87"/>
      <c r="AX577" s="87"/>
      <c r="AY577" s="87"/>
      <c r="AZ577" s="87"/>
      <c r="BA577" s="87"/>
      <c r="BB577" s="87"/>
      <c r="BC577" s="87"/>
      <c r="BD577" s="87"/>
      <c r="BE577" s="87"/>
      <c r="BF577" s="87"/>
      <c r="BG577" s="87"/>
      <c r="BH577" s="87"/>
    </row>
    <row r="578" spans="1:60" ht="16">
      <c r="A578" s="82"/>
      <c r="B578" s="82"/>
      <c r="C578" s="82"/>
      <c r="D578" s="83"/>
      <c r="E578" s="84"/>
      <c r="F578" s="84"/>
      <c r="G578" s="84"/>
      <c r="H578" s="82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7"/>
      <c r="AA578" s="87"/>
      <c r="AB578" s="87"/>
      <c r="AC578" s="87"/>
      <c r="AD578" s="87"/>
      <c r="AE578" s="87"/>
      <c r="AF578" s="87"/>
      <c r="AG578" s="87"/>
      <c r="AH578" s="87"/>
      <c r="AI578" s="87"/>
      <c r="AJ578" s="87"/>
      <c r="AK578" s="87"/>
      <c r="AL578" s="87"/>
      <c r="AM578" s="87"/>
      <c r="AN578" s="87"/>
      <c r="AO578" s="87"/>
      <c r="AP578" s="87"/>
      <c r="AQ578" s="87"/>
      <c r="AR578" s="87"/>
      <c r="AS578" s="87"/>
      <c r="AT578" s="87"/>
      <c r="AU578" s="87"/>
      <c r="AV578" s="87"/>
      <c r="AW578" s="87"/>
      <c r="AX578" s="87"/>
      <c r="AY578" s="87"/>
      <c r="AZ578" s="87"/>
      <c r="BA578" s="87"/>
      <c r="BB578" s="87"/>
      <c r="BC578" s="87"/>
      <c r="BD578" s="87"/>
      <c r="BE578" s="87"/>
      <c r="BF578" s="87"/>
      <c r="BG578" s="87"/>
      <c r="BH578" s="87"/>
    </row>
    <row r="579" spans="1:60" ht="16">
      <c r="A579" s="82"/>
      <c r="B579" s="82"/>
      <c r="C579" s="82"/>
      <c r="D579" s="83"/>
      <c r="E579" s="84"/>
      <c r="F579" s="84"/>
      <c r="G579" s="84"/>
      <c r="H579" s="82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7"/>
      <c r="AA579" s="87"/>
      <c r="AB579" s="87"/>
      <c r="AC579" s="87"/>
      <c r="AD579" s="87"/>
      <c r="AE579" s="87"/>
      <c r="AF579" s="87"/>
      <c r="AG579" s="87"/>
      <c r="AH579" s="87"/>
      <c r="AI579" s="87"/>
      <c r="AJ579" s="87"/>
      <c r="AK579" s="87"/>
      <c r="AL579" s="87"/>
      <c r="AM579" s="87"/>
      <c r="AN579" s="87"/>
      <c r="AO579" s="87"/>
      <c r="AP579" s="87"/>
      <c r="AQ579" s="87"/>
      <c r="AR579" s="87"/>
      <c r="AS579" s="87"/>
      <c r="AT579" s="87"/>
      <c r="AU579" s="87"/>
      <c r="AV579" s="87"/>
      <c r="AW579" s="87"/>
      <c r="AX579" s="87"/>
      <c r="AY579" s="87"/>
      <c r="AZ579" s="87"/>
      <c r="BA579" s="87"/>
      <c r="BB579" s="87"/>
      <c r="BC579" s="87"/>
      <c r="BD579" s="87"/>
      <c r="BE579" s="87"/>
      <c r="BF579" s="87"/>
      <c r="BG579" s="87"/>
      <c r="BH579" s="87"/>
    </row>
    <row r="580" spans="1:60" ht="16">
      <c r="A580" s="82"/>
      <c r="B580" s="82"/>
      <c r="C580" s="82"/>
      <c r="D580" s="83"/>
      <c r="E580" s="84"/>
      <c r="F580" s="84"/>
      <c r="G580" s="84"/>
      <c r="H580" s="82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7"/>
      <c r="AA580" s="87"/>
      <c r="AB580" s="87"/>
      <c r="AC580" s="87"/>
      <c r="AD580" s="87"/>
      <c r="AE580" s="87"/>
      <c r="AF580" s="87"/>
      <c r="AG580" s="87"/>
      <c r="AH580" s="87"/>
      <c r="AI580" s="87"/>
      <c r="AJ580" s="87"/>
      <c r="AK580" s="87"/>
      <c r="AL580" s="87"/>
      <c r="AM580" s="87"/>
      <c r="AN580" s="87"/>
      <c r="AO580" s="87"/>
      <c r="AP580" s="87"/>
      <c r="AQ580" s="87"/>
      <c r="AR580" s="87"/>
      <c r="AS580" s="87"/>
      <c r="AT580" s="87"/>
      <c r="AU580" s="87"/>
      <c r="AV580" s="87"/>
      <c r="AW580" s="87"/>
      <c r="AX580" s="87"/>
      <c r="AY580" s="87"/>
      <c r="AZ580" s="87"/>
      <c r="BA580" s="87"/>
      <c r="BB580" s="87"/>
      <c r="BC580" s="87"/>
      <c r="BD580" s="87"/>
      <c r="BE580" s="87"/>
      <c r="BF580" s="87"/>
      <c r="BG580" s="87"/>
      <c r="BH580" s="87"/>
    </row>
    <row r="581" spans="1:60" ht="16">
      <c r="A581" s="82"/>
      <c r="B581" s="82"/>
      <c r="C581" s="82"/>
      <c r="D581" s="83"/>
      <c r="E581" s="84"/>
      <c r="F581" s="84"/>
      <c r="G581" s="84"/>
      <c r="H581" s="82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7"/>
      <c r="AA581" s="87"/>
      <c r="AB581" s="87"/>
      <c r="AC581" s="87"/>
      <c r="AD581" s="87"/>
      <c r="AE581" s="87"/>
      <c r="AF581" s="87"/>
      <c r="AG581" s="87"/>
      <c r="AH581" s="87"/>
      <c r="AI581" s="87"/>
      <c r="AJ581" s="87"/>
      <c r="AK581" s="87"/>
      <c r="AL581" s="87"/>
      <c r="AM581" s="87"/>
      <c r="AN581" s="87"/>
      <c r="AO581" s="87"/>
      <c r="AP581" s="87"/>
      <c r="AQ581" s="87"/>
      <c r="AR581" s="87"/>
      <c r="AS581" s="87"/>
      <c r="AT581" s="87"/>
      <c r="AU581" s="87"/>
      <c r="AV581" s="87"/>
      <c r="AW581" s="87"/>
      <c r="AX581" s="87"/>
      <c r="AY581" s="87"/>
      <c r="AZ581" s="87"/>
      <c r="BA581" s="87"/>
      <c r="BB581" s="87"/>
      <c r="BC581" s="87"/>
      <c r="BD581" s="87"/>
      <c r="BE581" s="87"/>
      <c r="BF581" s="87"/>
      <c r="BG581" s="87"/>
      <c r="BH581" s="87"/>
    </row>
    <row r="582" spans="1:60" ht="16">
      <c r="A582" s="82"/>
      <c r="B582" s="82"/>
      <c r="C582" s="82"/>
      <c r="D582" s="83"/>
      <c r="E582" s="84"/>
      <c r="F582" s="84"/>
      <c r="G582" s="84"/>
      <c r="H582" s="82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7"/>
      <c r="AA582" s="87"/>
      <c r="AB582" s="87"/>
      <c r="AC582" s="87"/>
      <c r="AD582" s="87"/>
      <c r="AE582" s="87"/>
      <c r="AF582" s="87"/>
      <c r="AG582" s="87"/>
      <c r="AH582" s="87"/>
      <c r="AI582" s="87"/>
      <c r="AJ582" s="87"/>
      <c r="AK582" s="87"/>
      <c r="AL582" s="87"/>
      <c r="AM582" s="87"/>
      <c r="AN582" s="87"/>
      <c r="AO582" s="87"/>
      <c r="AP582" s="87"/>
      <c r="AQ582" s="87"/>
      <c r="AR582" s="87"/>
      <c r="AS582" s="87"/>
      <c r="AT582" s="87"/>
      <c r="AU582" s="87"/>
      <c r="AV582" s="87"/>
      <c r="AW582" s="87"/>
      <c r="AX582" s="87"/>
      <c r="AY582" s="87"/>
      <c r="AZ582" s="87"/>
      <c r="BA582" s="87"/>
      <c r="BB582" s="87"/>
      <c r="BC582" s="87"/>
      <c r="BD582" s="87"/>
      <c r="BE582" s="87"/>
      <c r="BF582" s="87"/>
      <c r="BG582" s="87"/>
      <c r="BH582" s="87"/>
    </row>
    <row r="583" spans="1:60" ht="16">
      <c r="A583" s="82"/>
      <c r="B583" s="82"/>
      <c r="C583" s="82"/>
      <c r="D583" s="83"/>
      <c r="E583" s="84"/>
      <c r="F583" s="84"/>
      <c r="G583" s="84"/>
      <c r="H583" s="82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7"/>
      <c r="AA583" s="87"/>
      <c r="AB583" s="87"/>
      <c r="AC583" s="87"/>
      <c r="AD583" s="87"/>
      <c r="AE583" s="87"/>
      <c r="AF583" s="87"/>
      <c r="AG583" s="87"/>
      <c r="AH583" s="87"/>
      <c r="AI583" s="87"/>
      <c r="AJ583" s="87"/>
      <c r="AK583" s="87"/>
      <c r="AL583" s="87"/>
      <c r="AM583" s="87"/>
      <c r="AN583" s="87"/>
      <c r="AO583" s="87"/>
      <c r="AP583" s="87"/>
      <c r="AQ583" s="87"/>
      <c r="AR583" s="87"/>
      <c r="AS583" s="87"/>
      <c r="AT583" s="87"/>
      <c r="AU583" s="87"/>
      <c r="AV583" s="87"/>
      <c r="AW583" s="87"/>
      <c r="AX583" s="87"/>
      <c r="AY583" s="87"/>
      <c r="AZ583" s="87"/>
      <c r="BA583" s="87"/>
      <c r="BB583" s="87"/>
      <c r="BC583" s="87"/>
      <c r="BD583" s="87"/>
      <c r="BE583" s="87"/>
      <c r="BF583" s="87"/>
      <c r="BG583" s="87"/>
      <c r="BH583" s="87"/>
    </row>
    <row r="584" spans="1:60" ht="16">
      <c r="A584" s="82"/>
      <c r="B584" s="82"/>
      <c r="C584" s="82"/>
      <c r="D584" s="83"/>
      <c r="E584" s="84"/>
      <c r="F584" s="84"/>
      <c r="G584" s="84"/>
      <c r="H584" s="82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7"/>
      <c r="AA584" s="87"/>
      <c r="AB584" s="87"/>
      <c r="AC584" s="87"/>
      <c r="AD584" s="87"/>
      <c r="AE584" s="87"/>
      <c r="AF584" s="87"/>
      <c r="AG584" s="87"/>
      <c r="AH584" s="87"/>
      <c r="AI584" s="87"/>
      <c r="AJ584" s="87"/>
      <c r="AK584" s="87"/>
      <c r="AL584" s="87"/>
      <c r="AM584" s="87"/>
      <c r="AN584" s="87"/>
      <c r="AO584" s="87"/>
      <c r="AP584" s="87"/>
      <c r="AQ584" s="87"/>
      <c r="AR584" s="87"/>
      <c r="AS584" s="87"/>
      <c r="AT584" s="87"/>
      <c r="AU584" s="87"/>
      <c r="AV584" s="87"/>
      <c r="AW584" s="87"/>
      <c r="AX584" s="87"/>
      <c r="AY584" s="87"/>
      <c r="AZ584" s="87"/>
      <c r="BA584" s="87"/>
      <c r="BB584" s="87"/>
      <c r="BC584" s="87"/>
      <c r="BD584" s="87"/>
      <c r="BE584" s="87"/>
      <c r="BF584" s="87"/>
      <c r="BG584" s="87"/>
      <c r="BH584" s="87"/>
    </row>
    <row r="585" spans="1:60" ht="16">
      <c r="A585" s="82"/>
      <c r="B585" s="82"/>
      <c r="C585" s="82"/>
      <c r="D585" s="83"/>
      <c r="E585" s="84"/>
      <c r="F585" s="84"/>
      <c r="G585" s="84"/>
      <c r="H585" s="82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7"/>
      <c r="AA585" s="87"/>
      <c r="AB585" s="87"/>
      <c r="AC585" s="87"/>
      <c r="AD585" s="87"/>
      <c r="AE585" s="87"/>
      <c r="AF585" s="87"/>
      <c r="AG585" s="87"/>
      <c r="AH585" s="87"/>
      <c r="AI585" s="87"/>
      <c r="AJ585" s="87"/>
      <c r="AK585" s="87"/>
      <c r="AL585" s="87"/>
      <c r="AM585" s="87"/>
      <c r="AN585" s="87"/>
      <c r="AO585" s="87"/>
      <c r="AP585" s="87"/>
      <c r="AQ585" s="87"/>
      <c r="AR585" s="87"/>
      <c r="AS585" s="87"/>
      <c r="AT585" s="87"/>
      <c r="AU585" s="87"/>
      <c r="AV585" s="87"/>
      <c r="AW585" s="87"/>
      <c r="AX585" s="87"/>
      <c r="AY585" s="87"/>
      <c r="AZ585" s="87"/>
      <c r="BA585" s="87"/>
      <c r="BB585" s="87"/>
      <c r="BC585" s="87"/>
      <c r="BD585" s="87"/>
      <c r="BE585" s="87"/>
      <c r="BF585" s="87"/>
      <c r="BG585" s="87"/>
      <c r="BH585" s="87"/>
    </row>
    <row r="586" spans="1:60" ht="16">
      <c r="A586" s="82"/>
      <c r="B586" s="82"/>
      <c r="C586" s="82"/>
      <c r="D586" s="83"/>
      <c r="E586" s="84"/>
      <c r="F586" s="84"/>
      <c r="G586" s="84"/>
      <c r="H586" s="82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7"/>
      <c r="AA586" s="87"/>
      <c r="AB586" s="87"/>
      <c r="AC586" s="87"/>
      <c r="AD586" s="87"/>
      <c r="AE586" s="87"/>
      <c r="AF586" s="87"/>
      <c r="AG586" s="87"/>
      <c r="AH586" s="87"/>
      <c r="AI586" s="87"/>
      <c r="AJ586" s="87"/>
      <c r="AK586" s="87"/>
      <c r="AL586" s="87"/>
      <c r="AM586" s="87"/>
      <c r="AN586" s="87"/>
      <c r="AO586" s="87"/>
      <c r="AP586" s="87"/>
      <c r="AQ586" s="87"/>
      <c r="AR586" s="87"/>
      <c r="AS586" s="87"/>
      <c r="AT586" s="87"/>
      <c r="AU586" s="87"/>
      <c r="AV586" s="87"/>
      <c r="AW586" s="87"/>
      <c r="AX586" s="87"/>
      <c r="AY586" s="87"/>
      <c r="AZ586" s="87"/>
      <c r="BA586" s="87"/>
      <c r="BB586" s="87"/>
      <c r="BC586" s="87"/>
      <c r="BD586" s="87"/>
      <c r="BE586" s="87"/>
      <c r="BF586" s="87"/>
      <c r="BG586" s="87"/>
      <c r="BH586" s="87"/>
    </row>
    <row r="587" spans="1:60" ht="16">
      <c r="A587" s="82"/>
      <c r="B587" s="82"/>
      <c r="C587" s="82"/>
      <c r="D587" s="83"/>
      <c r="E587" s="84"/>
      <c r="F587" s="84"/>
      <c r="G587" s="84"/>
      <c r="H587" s="82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7"/>
      <c r="AA587" s="87"/>
      <c r="AB587" s="87"/>
      <c r="AC587" s="87"/>
      <c r="AD587" s="87"/>
      <c r="AE587" s="87"/>
      <c r="AF587" s="87"/>
      <c r="AG587" s="87"/>
      <c r="AH587" s="87"/>
      <c r="AI587" s="87"/>
      <c r="AJ587" s="87"/>
      <c r="AK587" s="87"/>
      <c r="AL587" s="87"/>
      <c r="AM587" s="87"/>
      <c r="AN587" s="87"/>
      <c r="AO587" s="87"/>
      <c r="AP587" s="87"/>
      <c r="AQ587" s="87"/>
      <c r="AR587" s="87"/>
      <c r="AS587" s="87"/>
      <c r="AT587" s="87"/>
      <c r="AU587" s="87"/>
      <c r="AV587" s="87"/>
      <c r="AW587" s="87"/>
      <c r="AX587" s="87"/>
      <c r="AY587" s="87"/>
      <c r="AZ587" s="87"/>
      <c r="BA587" s="87"/>
      <c r="BB587" s="87"/>
      <c r="BC587" s="87"/>
      <c r="BD587" s="87"/>
      <c r="BE587" s="87"/>
      <c r="BF587" s="87"/>
      <c r="BG587" s="87"/>
      <c r="BH587" s="87"/>
    </row>
    <row r="588" spans="1:60" ht="16">
      <c r="A588" s="82"/>
      <c r="B588" s="82"/>
      <c r="C588" s="82"/>
      <c r="D588" s="83"/>
      <c r="E588" s="84"/>
      <c r="F588" s="84"/>
      <c r="G588" s="84"/>
      <c r="H588" s="82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7"/>
      <c r="AA588" s="87"/>
      <c r="AB588" s="87"/>
      <c r="AC588" s="87"/>
      <c r="AD588" s="87"/>
      <c r="AE588" s="87"/>
      <c r="AF588" s="87"/>
      <c r="AG588" s="87"/>
      <c r="AH588" s="87"/>
      <c r="AI588" s="87"/>
      <c r="AJ588" s="87"/>
      <c r="AK588" s="87"/>
      <c r="AL588" s="87"/>
      <c r="AM588" s="87"/>
      <c r="AN588" s="87"/>
      <c r="AO588" s="87"/>
      <c r="AP588" s="87"/>
      <c r="AQ588" s="87"/>
      <c r="AR588" s="87"/>
      <c r="AS588" s="87"/>
      <c r="AT588" s="87"/>
      <c r="AU588" s="87"/>
      <c r="AV588" s="87"/>
      <c r="AW588" s="87"/>
      <c r="AX588" s="87"/>
      <c r="AY588" s="87"/>
      <c r="AZ588" s="87"/>
      <c r="BA588" s="87"/>
      <c r="BB588" s="87"/>
      <c r="BC588" s="87"/>
      <c r="BD588" s="87"/>
      <c r="BE588" s="87"/>
      <c r="BF588" s="87"/>
      <c r="BG588" s="87"/>
      <c r="BH588" s="87"/>
    </row>
    <row r="589" spans="1:60" ht="16">
      <c r="A589" s="82"/>
      <c r="B589" s="82"/>
      <c r="C589" s="82"/>
      <c r="D589" s="83"/>
      <c r="E589" s="84"/>
      <c r="F589" s="84"/>
      <c r="G589" s="84"/>
      <c r="H589" s="82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7"/>
      <c r="AA589" s="87"/>
      <c r="AB589" s="87"/>
      <c r="AC589" s="87"/>
      <c r="AD589" s="87"/>
      <c r="AE589" s="87"/>
      <c r="AF589" s="87"/>
      <c r="AG589" s="87"/>
      <c r="AH589" s="87"/>
      <c r="AI589" s="87"/>
      <c r="AJ589" s="87"/>
      <c r="AK589" s="87"/>
      <c r="AL589" s="87"/>
      <c r="AM589" s="87"/>
      <c r="AN589" s="87"/>
      <c r="AO589" s="87"/>
      <c r="AP589" s="87"/>
      <c r="AQ589" s="87"/>
      <c r="AR589" s="87"/>
      <c r="AS589" s="87"/>
      <c r="AT589" s="87"/>
      <c r="AU589" s="87"/>
      <c r="AV589" s="87"/>
      <c r="AW589" s="87"/>
      <c r="AX589" s="87"/>
      <c r="AY589" s="87"/>
      <c r="AZ589" s="87"/>
      <c r="BA589" s="87"/>
      <c r="BB589" s="87"/>
      <c r="BC589" s="87"/>
      <c r="BD589" s="87"/>
      <c r="BE589" s="87"/>
      <c r="BF589" s="87"/>
      <c r="BG589" s="87"/>
      <c r="BH589" s="87"/>
    </row>
    <row r="590" spans="1:60" ht="16">
      <c r="A590" s="82"/>
      <c r="B590" s="82"/>
      <c r="C590" s="82"/>
      <c r="D590" s="83"/>
      <c r="E590" s="84"/>
      <c r="F590" s="84"/>
      <c r="G590" s="84"/>
      <c r="H590" s="82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7"/>
      <c r="AA590" s="87"/>
      <c r="AB590" s="87"/>
      <c r="AC590" s="87"/>
      <c r="AD590" s="87"/>
      <c r="AE590" s="87"/>
      <c r="AF590" s="87"/>
      <c r="AG590" s="87"/>
      <c r="AH590" s="87"/>
      <c r="AI590" s="87"/>
      <c r="AJ590" s="87"/>
      <c r="AK590" s="87"/>
      <c r="AL590" s="87"/>
      <c r="AM590" s="87"/>
      <c r="AN590" s="87"/>
      <c r="AO590" s="87"/>
      <c r="AP590" s="87"/>
      <c r="AQ590" s="87"/>
      <c r="AR590" s="87"/>
      <c r="AS590" s="87"/>
      <c r="AT590" s="87"/>
      <c r="AU590" s="87"/>
      <c r="AV590" s="87"/>
      <c r="AW590" s="87"/>
      <c r="AX590" s="87"/>
      <c r="AY590" s="87"/>
      <c r="AZ590" s="87"/>
      <c r="BA590" s="87"/>
      <c r="BB590" s="87"/>
      <c r="BC590" s="87"/>
      <c r="BD590" s="87"/>
      <c r="BE590" s="87"/>
      <c r="BF590" s="87"/>
      <c r="BG590" s="87"/>
      <c r="BH590" s="87"/>
    </row>
    <row r="591" spans="1:60" ht="16">
      <c r="A591" s="82"/>
      <c r="B591" s="82"/>
      <c r="C591" s="82"/>
      <c r="D591" s="83"/>
      <c r="E591" s="84"/>
      <c r="F591" s="84"/>
      <c r="G591" s="84"/>
      <c r="H591" s="82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7"/>
      <c r="AA591" s="87"/>
      <c r="AB591" s="87"/>
      <c r="AC591" s="87"/>
      <c r="AD591" s="87"/>
      <c r="AE591" s="87"/>
      <c r="AF591" s="87"/>
      <c r="AG591" s="87"/>
      <c r="AH591" s="87"/>
      <c r="AI591" s="87"/>
      <c r="AJ591" s="87"/>
      <c r="AK591" s="87"/>
      <c r="AL591" s="87"/>
      <c r="AM591" s="87"/>
      <c r="AN591" s="87"/>
      <c r="AO591" s="87"/>
      <c r="AP591" s="87"/>
      <c r="AQ591" s="87"/>
      <c r="AR591" s="87"/>
      <c r="AS591" s="87"/>
      <c r="AT591" s="87"/>
      <c r="AU591" s="87"/>
      <c r="AV591" s="87"/>
      <c r="AW591" s="87"/>
      <c r="AX591" s="87"/>
      <c r="AY591" s="87"/>
      <c r="AZ591" s="87"/>
      <c r="BA591" s="87"/>
      <c r="BB591" s="87"/>
      <c r="BC591" s="87"/>
      <c r="BD591" s="87"/>
      <c r="BE591" s="87"/>
      <c r="BF591" s="87"/>
      <c r="BG591" s="87"/>
      <c r="BH591" s="87"/>
    </row>
    <row r="592" spans="1:60" ht="16">
      <c r="A592" s="82"/>
      <c r="B592" s="82"/>
      <c r="C592" s="82"/>
      <c r="D592" s="83"/>
      <c r="E592" s="84"/>
      <c r="F592" s="84"/>
      <c r="G592" s="84"/>
      <c r="H592" s="82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7"/>
      <c r="AA592" s="87"/>
      <c r="AB592" s="87"/>
      <c r="AC592" s="87"/>
      <c r="AD592" s="87"/>
      <c r="AE592" s="87"/>
      <c r="AF592" s="87"/>
      <c r="AG592" s="87"/>
      <c r="AH592" s="87"/>
      <c r="AI592" s="87"/>
      <c r="AJ592" s="87"/>
      <c r="AK592" s="87"/>
      <c r="AL592" s="87"/>
      <c r="AM592" s="87"/>
      <c r="AN592" s="87"/>
      <c r="AO592" s="87"/>
      <c r="AP592" s="87"/>
      <c r="AQ592" s="87"/>
      <c r="AR592" s="87"/>
      <c r="AS592" s="87"/>
      <c r="AT592" s="87"/>
      <c r="AU592" s="87"/>
      <c r="AV592" s="87"/>
      <c r="AW592" s="87"/>
      <c r="AX592" s="87"/>
      <c r="AY592" s="87"/>
      <c r="AZ592" s="87"/>
      <c r="BA592" s="87"/>
      <c r="BB592" s="87"/>
      <c r="BC592" s="87"/>
      <c r="BD592" s="87"/>
      <c r="BE592" s="87"/>
      <c r="BF592" s="87"/>
      <c r="BG592" s="87"/>
      <c r="BH592" s="87"/>
    </row>
    <row r="593" spans="1:60" ht="16">
      <c r="A593" s="82"/>
      <c r="B593" s="82"/>
      <c r="C593" s="82"/>
      <c r="D593" s="83"/>
      <c r="E593" s="84"/>
      <c r="F593" s="84"/>
      <c r="G593" s="84"/>
      <c r="H593" s="82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7"/>
      <c r="AA593" s="87"/>
      <c r="AB593" s="87"/>
      <c r="AC593" s="87"/>
      <c r="AD593" s="87"/>
      <c r="AE593" s="87"/>
      <c r="AF593" s="87"/>
      <c r="AG593" s="87"/>
      <c r="AH593" s="87"/>
      <c r="AI593" s="87"/>
      <c r="AJ593" s="87"/>
      <c r="AK593" s="87"/>
      <c r="AL593" s="87"/>
      <c r="AM593" s="87"/>
      <c r="AN593" s="87"/>
      <c r="AO593" s="87"/>
      <c r="AP593" s="87"/>
      <c r="AQ593" s="87"/>
      <c r="AR593" s="87"/>
      <c r="AS593" s="87"/>
      <c r="AT593" s="87"/>
      <c r="AU593" s="87"/>
      <c r="AV593" s="87"/>
      <c r="AW593" s="87"/>
      <c r="AX593" s="87"/>
      <c r="AY593" s="87"/>
      <c r="AZ593" s="87"/>
      <c r="BA593" s="87"/>
      <c r="BB593" s="87"/>
      <c r="BC593" s="87"/>
      <c r="BD593" s="87"/>
      <c r="BE593" s="87"/>
      <c r="BF593" s="87"/>
      <c r="BG593" s="87"/>
      <c r="BH593" s="87"/>
    </row>
    <row r="594" spans="1:60" ht="16">
      <c r="A594" s="82"/>
      <c r="B594" s="82"/>
      <c r="C594" s="82"/>
      <c r="D594" s="83"/>
      <c r="E594" s="84"/>
      <c r="F594" s="84"/>
      <c r="G594" s="84"/>
      <c r="H594" s="82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7"/>
      <c r="AA594" s="87"/>
      <c r="AB594" s="87"/>
      <c r="AC594" s="87"/>
      <c r="AD594" s="87"/>
      <c r="AE594" s="87"/>
      <c r="AF594" s="87"/>
      <c r="AG594" s="87"/>
      <c r="AH594" s="87"/>
      <c r="AI594" s="87"/>
      <c r="AJ594" s="87"/>
      <c r="AK594" s="87"/>
      <c r="AL594" s="87"/>
      <c r="AM594" s="87"/>
      <c r="AN594" s="87"/>
      <c r="AO594" s="87"/>
      <c r="AP594" s="87"/>
      <c r="AQ594" s="87"/>
      <c r="AR594" s="87"/>
      <c r="AS594" s="87"/>
      <c r="AT594" s="87"/>
      <c r="AU594" s="87"/>
      <c r="AV594" s="87"/>
      <c r="AW594" s="87"/>
      <c r="AX594" s="87"/>
      <c r="AY594" s="87"/>
      <c r="AZ594" s="87"/>
      <c r="BA594" s="87"/>
      <c r="BB594" s="87"/>
      <c r="BC594" s="87"/>
      <c r="BD594" s="87"/>
      <c r="BE594" s="87"/>
      <c r="BF594" s="87"/>
      <c r="BG594" s="87"/>
      <c r="BH594" s="87"/>
    </row>
    <row r="595" spans="1:60" ht="16">
      <c r="A595" s="82"/>
      <c r="B595" s="82"/>
      <c r="C595" s="82"/>
      <c r="D595" s="83"/>
      <c r="E595" s="84"/>
      <c r="F595" s="84"/>
      <c r="G595" s="84"/>
      <c r="H595" s="82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7"/>
      <c r="AA595" s="87"/>
      <c r="AB595" s="87"/>
      <c r="AC595" s="87"/>
      <c r="AD595" s="87"/>
      <c r="AE595" s="87"/>
      <c r="AF595" s="87"/>
      <c r="AG595" s="87"/>
      <c r="AH595" s="87"/>
      <c r="AI595" s="87"/>
      <c r="AJ595" s="87"/>
      <c r="AK595" s="87"/>
      <c r="AL595" s="87"/>
      <c r="AM595" s="87"/>
      <c r="AN595" s="87"/>
      <c r="AO595" s="87"/>
      <c r="AP595" s="87"/>
      <c r="AQ595" s="87"/>
      <c r="AR595" s="87"/>
      <c r="AS595" s="87"/>
      <c r="AT595" s="87"/>
      <c r="AU595" s="87"/>
      <c r="AV595" s="87"/>
      <c r="AW595" s="87"/>
      <c r="AX595" s="87"/>
      <c r="AY595" s="87"/>
      <c r="AZ595" s="87"/>
      <c r="BA595" s="87"/>
      <c r="BB595" s="87"/>
      <c r="BC595" s="87"/>
      <c r="BD595" s="87"/>
      <c r="BE595" s="87"/>
      <c r="BF595" s="87"/>
      <c r="BG595" s="87"/>
      <c r="BH595" s="87"/>
    </row>
    <row r="596" spans="1:60" ht="16">
      <c r="A596" s="82"/>
      <c r="B596" s="82"/>
      <c r="C596" s="82"/>
      <c r="D596" s="83"/>
      <c r="E596" s="84"/>
      <c r="F596" s="84"/>
      <c r="G596" s="84"/>
      <c r="H596" s="82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7"/>
      <c r="AA596" s="87"/>
      <c r="AB596" s="87"/>
      <c r="AC596" s="87"/>
      <c r="AD596" s="87"/>
      <c r="AE596" s="87"/>
      <c r="AF596" s="87"/>
      <c r="AG596" s="87"/>
      <c r="AH596" s="87"/>
      <c r="AI596" s="87"/>
      <c r="AJ596" s="87"/>
      <c r="AK596" s="87"/>
      <c r="AL596" s="87"/>
      <c r="AM596" s="87"/>
      <c r="AN596" s="87"/>
      <c r="AO596" s="87"/>
      <c r="AP596" s="87"/>
      <c r="AQ596" s="87"/>
      <c r="AR596" s="87"/>
      <c r="AS596" s="87"/>
      <c r="AT596" s="87"/>
      <c r="AU596" s="87"/>
      <c r="AV596" s="87"/>
      <c r="AW596" s="87"/>
      <c r="AX596" s="87"/>
      <c r="AY596" s="87"/>
      <c r="AZ596" s="87"/>
      <c r="BA596" s="87"/>
      <c r="BB596" s="87"/>
      <c r="BC596" s="87"/>
      <c r="BD596" s="87"/>
      <c r="BE596" s="87"/>
      <c r="BF596" s="87"/>
      <c r="BG596" s="87"/>
      <c r="BH596" s="87"/>
    </row>
    <row r="597" spans="1:60" ht="16">
      <c r="A597" s="82"/>
      <c r="B597" s="82"/>
      <c r="C597" s="82"/>
      <c r="D597" s="83"/>
      <c r="E597" s="84"/>
      <c r="F597" s="84"/>
      <c r="G597" s="84"/>
      <c r="H597" s="82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7"/>
      <c r="AA597" s="87"/>
      <c r="AB597" s="87"/>
      <c r="AC597" s="87"/>
      <c r="AD597" s="87"/>
      <c r="AE597" s="87"/>
      <c r="AF597" s="87"/>
      <c r="AG597" s="87"/>
      <c r="AH597" s="87"/>
      <c r="AI597" s="87"/>
      <c r="AJ597" s="87"/>
      <c r="AK597" s="87"/>
      <c r="AL597" s="87"/>
      <c r="AM597" s="87"/>
      <c r="AN597" s="87"/>
      <c r="AO597" s="87"/>
      <c r="AP597" s="87"/>
      <c r="AQ597" s="87"/>
      <c r="AR597" s="87"/>
      <c r="AS597" s="87"/>
      <c r="AT597" s="87"/>
      <c r="AU597" s="87"/>
      <c r="AV597" s="87"/>
      <c r="AW597" s="87"/>
      <c r="AX597" s="87"/>
      <c r="AY597" s="87"/>
      <c r="AZ597" s="87"/>
      <c r="BA597" s="87"/>
      <c r="BB597" s="87"/>
      <c r="BC597" s="87"/>
      <c r="BD597" s="87"/>
      <c r="BE597" s="87"/>
      <c r="BF597" s="87"/>
      <c r="BG597" s="87"/>
      <c r="BH597" s="87"/>
    </row>
    <row r="598" spans="1:60" ht="16">
      <c r="A598" s="82"/>
      <c r="B598" s="82"/>
      <c r="C598" s="82"/>
      <c r="D598" s="83"/>
      <c r="E598" s="84"/>
      <c r="F598" s="84"/>
      <c r="G598" s="84"/>
      <c r="H598" s="82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7"/>
      <c r="AA598" s="87"/>
      <c r="AB598" s="87"/>
      <c r="AC598" s="87"/>
      <c r="AD598" s="87"/>
      <c r="AE598" s="87"/>
      <c r="AF598" s="87"/>
      <c r="AG598" s="87"/>
      <c r="AH598" s="87"/>
      <c r="AI598" s="87"/>
      <c r="AJ598" s="87"/>
      <c r="AK598" s="87"/>
      <c r="AL598" s="87"/>
      <c r="AM598" s="87"/>
      <c r="AN598" s="87"/>
      <c r="AO598" s="87"/>
      <c r="AP598" s="87"/>
      <c r="AQ598" s="87"/>
      <c r="AR598" s="87"/>
      <c r="AS598" s="87"/>
      <c r="AT598" s="87"/>
      <c r="AU598" s="87"/>
      <c r="AV598" s="87"/>
      <c r="AW598" s="87"/>
      <c r="AX598" s="87"/>
      <c r="AY598" s="87"/>
      <c r="AZ598" s="87"/>
      <c r="BA598" s="87"/>
      <c r="BB598" s="87"/>
      <c r="BC598" s="87"/>
      <c r="BD598" s="87"/>
      <c r="BE598" s="87"/>
      <c r="BF598" s="87"/>
      <c r="BG598" s="87"/>
      <c r="BH598" s="87"/>
    </row>
    <row r="599" spans="1:60" ht="16">
      <c r="A599" s="82"/>
      <c r="B599" s="82"/>
      <c r="C599" s="82"/>
      <c r="D599" s="83"/>
      <c r="E599" s="84"/>
      <c r="F599" s="84"/>
      <c r="G599" s="84"/>
      <c r="H599" s="82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7"/>
      <c r="AA599" s="87"/>
      <c r="AB599" s="87"/>
      <c r="AC599" s="87"/>
      <c r="AD599" s="87"/>
      <c r="AE599" s="87"/>
      <c r="AF599" s="87"/>
      <c r="AG599" s="87"/>
      <c r="AH599" s="87"/>
      <c r="AI599" s="87"/>
      <c r="AJ599" s="87"/>
      <c r="AK599" s="87"/>
      <c r="AL599" s="87"/>
      <c r="AM599" s="87"/>
      <c r="AN599" s="87"/>
      <c r="AO599" s="87"/>
      <c r="AP599" s="87"/>
      <c r="AQ599" s="87"/>
      <c r="AR599" s="87"/>
      <c r="AS599" s="87"/>
      <c r="AT599" s="87"/>
      <c r="AU599" s="87"/>
      <c r="AV599" s="87"/>
      <c r="AW599" s="87"/>
      <c r="AX599" s="87"/>
      <c r="AY599" s="87"/>
      <c r="AZ599" s="87"/>
      <c r="BA599" s="87"/>
      <c r="BB599" s="87"/>
      <c r="BC599" s="87"/>
      <c r="BD599" s="87"/>
      <c r="BE599" s="87"/>
      <c r="BF599" s="87"/>
      <c r="BG599" s="87"/>
      <c r="BH599" s="87"/>
    </row>
    <row r="600" spans="1:60" ht="16">
      <c r="A600" s="82"/>
      <c r="B600" s="82"/>
      <c r="C600" s="82"/>
      <c r="D600" s="83"/>
      <c r="E600" s="84"/>
      <c r="F600" s="84"/>
      <c r="G600" s="84"/>
      <c r="H600" s="82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7"/>
      <c r="AA600" s="87"/>
      <c r="AB600" s="87"/>
      <c r="AC600" s="87"/>
      <c r="AD600" s="87"/>
      <c r="AE600" s="87"/>
      <c r="AF600" s="87"/>
      <c r="AG600" s="87"/>
      <c r="AH600" s="87"/>
      <c r="AI600" s="87"/>
      <c r="AJ600" s="87"/>
      <c r="AK600" s="87"/>
      <c r="AL600" s="87"/>
      <c r="AM600" s="87"/>
      <c r="AN600" s="87"/>
      <c r="AO600" s="87"/>
      <c r="AP600" s="87"/>
      <c r="AQ600" s="87"/>
      <c r="AR600" s="87"/>
      <c r="AS600" s="87"/>
      <c r="AT600" s="87"/>
      <c r="AU600" s="87"/>
      <c r="AV600" s="87"/>
      <c r="AW600" s="87"/>
      <c r="AX600" s="87"/>
      <c r="AY600" s="87"/>
      <c r="AZ600" s="87"/>
      <c r="BA600" s="87"/>
      <c r="BB600" s="87"/>
      <c r="BC600" s="87"/>
      <c r="BD600" s="87"/>
      <c r="BE600" s="87"/>
      <c r="BF600" s="87"/>
      <c r="BG600" s="87"/>
      <c r="BH600" s="87"/>
    </row>
    <row r="601" spans="1:60" ht="16">
      <c r="A601" s="82"/>
      <c r="B601" s="82"/>
      <c r="C601" s="82"/>
      <c r="D601" s="83"/>
      <c r="E601" s="84"/>
      <c r="F601" s="84"/>
      <c r="G601" s="84"/>
      <c r="H601" s="82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7"/>
      <c r="AA601" s="87"/>
      <c r="AB601" s="87"/>
      <c r="AC601" s="87"/>
      <c r="AD601" s="87"/>
      <c r="AE601" s="87"/>
      <c r="AF601" s="87"/>
      <c r="AG601" s="87"/>
      <c r="AH601" s="87"/>
      <c r="AI601" s="87"/>
      <c r="AJ601" s="87"/>
      <c r="AK601" s="87"/>
      <c r="AL601" s="87"/>
      <c r="AM601" s="87"/>
      <c r="AN601" s="87"/>
      <c r="AO601" s="87"/>
      <c r="AP601" s="87"/>
      <c r="AQ601" s="87"/>
      <c r="AR601" s="87"/>
      <c r="AS601" s="87"/>
      <c r="AT601" s="87"/>
      <c r="AU601" s="87"/>
      <c r="AV601" s="87"/>
      <c r="AW601" s="87"/>
      <c r="AX601" s="87"/>
      <c r="AY601" s="87"/>
      <c r="AZ601" s="87"/>
      <c r="BA601" s="87"/>
      <c r="BB601" s="87"/>
      <c r="BC601" s="87"/>
      <c r="BD601" s="87"/>
      <c r="BE601" s="87"/>
      <c r="BF601" s="87"/>
      <c r="BG601" s="87"/>
      <c r="BH601" s="87"/>
    </row>
    <row r="602" spans="1:60" ht="16">
      <c r="A602" s="82"/>
      <c r="B602" s="82"/>
      <c r="C602" s="82"/>
      <c r="D602" s="83"/>
      <c r="E602" s="84"/>
      <c r="F602" s="84"/>
      <c r="G602" s="84"/>
      <c r="H602" s="82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7"/>
      <c r="AA602" s="87"/>
      <c r="AB602" s="87"/>
      <c r="AC602" s="87"/>
      <c r="AD602" s="87"/>
      <c r="AE602" s="87"/>
      <c r="AF602" s="87"/>
      <c r="AG602" s="87"/>
      <c r="AH602" s="87"/>
      <c r="AI602" s="87"/>
      <c r="AJ602" s="87"/>
      <c r="AK602" s="87"/>
      <c r="AL602" s="87"/>
      <c r="AM602" s="87"/>
      <c r="AN602" s="87"/>
      <c r="AO602" s="87"/>
      <c r="AP602" s="87"/>
      <c r="AQ602" s="87"/>
      <c r="AR602" s="87"/>
      <c r="AS602" s="87"/>
      <c r="AT602" s="87"/>
      <c r="AU602" s="87"/>
      <c r="AV602" s="87"/>
      <c r="AW602" s="87"/>
      <c r="AX602" s="87"/>
      <c r="AY602" s="87"/>
      <c r="AZ602" s="87"/>
      <c r="BA602" s="87"/>
      <c r="BB602" s="87"/>
      <c r="BC602" s="87"/>
      <c r="BD602" s="87"/>
      <c r="BE602" s="87"/>
      <c r="BF602" s="87"/>
      <c r="BG602" s="87"/>
      <c r="BH602" s="87"/>
    </row>
    <row r="603" spans="1:60" ht="16">
      <c r="A603" s="82"/>
      <c r="B603" s="82"/>
      <c r="C603" s="82"/>
      <c r="D603" s="83"/>
      <c r="E603" s="84"/>
      <c r="F603" s="84"/>
      <c r="G603" s="84"/>
      <c r="H603" s="82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7"/>
      <c r="AA603" s="87"/>
      <c r="AB603" s="87"/>
      <c r="AC603" s="87"/>
      <c r="AD603" s="87"/>
      <c r="AE603" s="87"/>
      <c r="AF603" s="87"/>
      <c r="AG603" s="87"/>
      <c r="AH603" s="87"/>
      <c r="AI603" s="87"/>
      <c r="AJ603" s="87"/>
      <c r="AK603" s="87"/>
      <c r="AL603" s="87"/>
      <c r="AM603" s="87"/>
      <c r="AN603" s="87"/>
      <c r="AO603" s="87"/>
      <c r="AP603" s="87"/>
      <c r="AQ603" s="87"/>
      <c r="AR603" s="87"/>
      <c r="AS603" s="87"/>
      <c r="AT603" s="87"/>
      <c r="AU603" s="87"/>
      <c r="AV603" s="87"/>
      <c r="AW603" s="87"/>
      <c r="AX603" s="87"/>
      <c r="AY603" s="87"/>
      <c r="AZ603" s="87"/>
      <c r="BA603" s="87"/>
      <c r="BB603" s="87"/>
      <c r="BC603" s="87"/>
      <c r="BD603" s="87"/>
      <c r="BE603" s="87"/>
      <c r="BF603" s="87"/>
      <c r="BG603" s="87"/>
      <c r="BH603" s="87"/>
    </row>
    <row r="604" spans="1:60" ht="16">
      <c r="A604" s="82"/>
      <c r="B604" s="82"/>
      <c r="C604" s="82"/>
      <c r="D604" s="83"/>
      <c r="E604" s="84"/>
      <c r="F604" s="84"/>
      <c r="G604" s="84"/>
      <c r="H604" s="82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7"/>
      <c r="AA604" s="87"/>
      <c r="AB604" s="87"/>
      <c r="AC604" s="87"/>
      <c r="AD604" s="87"/>
      <c r="AE604" s="87"/>
      <c r="AF604" s="87"/>
      <c r="AG604" s="87"/>
      <c r="AH604" s="87"/>
      <c r="AI604" s="87"/>
      <c r="AJ604" s="87"/>
      <c r="AK604" s="87"/>
      <c r="AL604" s="87"/>
      <c r="AM604" s="87"/>
      <c r="AN604" s="87"/>
      <c r="AO604" s="87"/>
      <c r="AP604" s="87"/>
      <c r="AQ604" s="87"/>
      <c r="AR604" s="87"/>
      <c r="AS604" s="87"/>
      <c r="AT604" s="87"/>
      <c r="AU604" s="87"/>
      <c r="AV604" s="87"/>
      <c r="AW604" s="87"/>
      <c r="AX604" s="87"/>
      <c r="AY604" s="87"/>
      <c r="AZ604" s="87"/>
      <c r="BA604" s="87"/>
      <c r="BB604" s="87"/>
      <c r="BC604" s="87"/>
      <c r="BD604" s="87"/>
      <c r="BE604" s="87"/>
      <c r="BF604" s="87"/>
      <c r="BG604" s="87"/>
      <c r="BH604" s="87"/>
    </row>
    <row r="605" spans="1:60" ht="16">
      <c r="A605" s="82"/>
      <c r="B605" s="82"/>
      <c r="C605" s="82"/>
      <c r="D605" s="83"/>
      <c r="E605" s="84"/>
      <c r="F605" s="84"/>
      <c r="G605" s="84"/>
      <c r="H605" s="82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7"/>
      <c r="AA605" s="87"/>
      <c r="AB605" s="87"/>
      <c r="AC605" s="87"/>
      <c r="AD605" s="87"/>
      <c r="AE605" s="87"/>
      <c r="AF605" s="87"/>
      <c r="AG605" s="87"/>
      <c r="AH605" s="87"/>
      <c r="AI605" s="87"/>
      <c r="AJ605" s="87"/>
      <c r="AK605" s="87"/>
      <c r="AL605" s="87"/>
      <c r="AM605" s="87"/>
      <c r="AN605" s="87"/>
      <c r="AO605" s="87"/>
      <c r="AP605" s="87"/>
      <c r="AQ605" s="87"/>
      <c r="AR605" s="87"/>
      <c r="AS605" s="87"/>
      <c r="AT605" s="87"/>
      <c r="AU605" s="87"/>
      <c r="AV605" s="87"/>
      <c r="AW605" s="87"/>
      <c r="AX605" s="87"/>
      <c r="AY605" s="87"/>
      <c r="AZ605" s="87"/>
      <c r="BA605" s="87"/>
      <c r="BB605" s="87"/>
      <c r="BC605" s="87"/>
      <c r="BD605" s="87"/>
      <c r="BE605" s="87"/>
      <c r="BF605" s="87"/>
      <c r="BG605" s="87"/>
      <c r="BH605" s="87"/>
    </row>
    <row r="606" spans="1:60" ht="16">
      <c r="A606" s="82"/>
      <c r="B606" s="82"/>
      <c r="C606" s="82"/>
      <c r="D606" s="83"/>
      <c r="E606" s="84"/>
      <c r="F606" s="84"/>
      <c r="G606" s="84"/>
      <c r="H606" s="82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7"/>
      <c r="AA606" s="87"/>
      <c r="AB606" s="87"/>
      <c r="AC606" s="87"/>
      <c r="AD606" s="87"/>
      <c r="AE606" s="87"/>
      <c r="AF606" s="87"/>
      <c r="AG606" s="87"/>
      <c r="AH606" s="87"/>
      <c r="AI606" s="87"/>
      <c r="AJ606" s="87"/>
      <c r="AK606" s="87"/>
      <c r="AL606" s="87"/>
      <c r="AM606" s="87"/>
      <c r="AN606" s="87"/>
      <c r="AO606" s="87"/>
      <c r="AP606" s="87"/>
      <c r="AQ606" s="87"/>
      <c r="AR606" s="87"/>
      <c r="AS606" s="87"/>
      <c r="AT606" s="87"/>
      <c r="AU606" s="87"/>
      <c r="AV606" s="87"/>
      <c r="AW606" s="87"/>
      <c r="AX606" s="87"/>
      <c r="AY606" s="87"/>
      <c r="AZ606" s="87"/>
      <c r="BA606" s="87"/>
      <c r="BB606" s="87"/>
      <c r="BC606" s="87"/>
      <c r="BD606" s="87"/>
      <c r="BE606" s="87"/>
      <c r="BF606" s="87"/>
      <c r="BG606" s="87"/>
      <c r="BH606" s="87"/>
    </row>
    <row r="607" spans="1:60" ht="16">
      <c r="A607" s="82"/>
      <c r="B607" s="82"/>
      <c r="C607" s="82"/>
      <c r="D607" s="83"/>
      <c r="E607" s="84"/>
      <c r="F607" s="84"/>
      <c r="G607" s="84"/>
      <c r="H607" s="82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7"/>
      <c r="AA607" s="87"/>
      <c r="AB607" s="87"/>
      <c r="AC607" s="87"/>
      <c r="AD607" s="87"/>
      <c r="AE607" s="87"/>
      <c r="AF607" s="87"/>
      <c r="AG607" s="87"/>
      <c r="AH607" s="87"/>
      <c r="AI607" s="87"/>
      <c r="AJ607" s="87"/>
      <c r="AK607" s="87"/>
      <c r="AL607" s="87"/>
      <c r="AM607" s="87"/>
      <c r="AN607" s="87"/>
      <c r="AO607" s="87"/>
      <c r="AP607" s="87"/>
      <c r="AQ607" s="87"/>
      <c r="AR607" s="87"/>
      <c r="AS607" s="87"/>
      <c r="AT607" s="87"/>
      <c r="AU607" s="87"/>
      <c r="AV607" s="87"/>
      <c r="AW607" s="87"/>
      <c r="AX607" s="87"/>
      <c r="AY607" s="87"/>
      <c r="AZ607" s="87"/>
      <c r="BA607" s="87"/>
      <c r="BB607" s="87"/>
      <c r="BC607" s="87"/>
      <c r="BD607" s="87"/>
      <c r="BE607" s="87"/>
      <c r="BF607" s="87"/>
      <c r="BG607" s="87"/>
      <c r="BH607" s="87"/>
    </row>
    <row r="608" spans="1:60" ht="16">
      <c r="A608" s="82"/>
      <c r="B608" s="82"/>
      <c r="C608" s="82"/>
      <c r="D608" s="83"/>
      <c r="E608" s="84"/>
      <c r="F608" s="84"/>
      <c r="G608" s="84"/>
      <c r="H608" s="82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7"/>
      <c r="AA608" s="87"/>
      <c r="AB608" s="87"/>
      <c r="AC608" s="87"/>
      <c r="AD608" s="87"/>
      <c r="AE608" s="87"/>
      <c r="AF608" s="87"/>
      <c r="AG608" s="87"/>
      <c r="AH608" s="87"/>
      <c r="AI608" s="87"/>
      <c r="AJ608" s="87"/>
      <c r="AK608" s="87"/>
      <c r="AL608" s="87"/>
      <c r="AM608" s="87"/>
      <c r="AN608" s="87"/>
      <c r="AO608" s="87"/>
      <c r="AP608" s="87"/>
      <c r="AQ608" s="87"/>
      <c r="AR608" s="87"/>
      <c r="AS608" s="87"/>
      <c r="AT608" s="87"/>
      <c r="AU608" s="87"/>
      <c r="AV608" s="87"/>
      <c r="AW608" s="87"/>
      <c r="AX608" s="87"/>
      <c r="AY608" s="87"/>
      <c r="AZ608" s="87"/>
      <c r="BA608" s="87"/>
      <c r="BB608" s="87"/>
      <c r="BC608" s="87"/>
      <c r="BD608" s="87"/>
      <c r="BE608" s="87"/>
      <c r="BF608" s="87"/>
      <c r="BG608" s="87"/>
      <c r="BH608" s="87"/>
    </row>
    <row r="609" spans="1:60" ht="16">
      <c r="A609" s="82"/>
      <c r="B609" s="82"/>
      <c r="C609" s="82"/>
      <c r="D609" s="83"/>
      <c r="E609" s="84"/>
      <c r="F609" s="84"/>
      <c r="G609" s="84"/>
      <c r="H609" s="82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7"/>
      <c r="AA609" s="87"/>
      <c r="AB609" s="87"/>
      <c r="AC609" s="87"/>
      <c r="AD609" s="87"/>
      <c r="AE609" s="87"/>
      <c r="AF609" s="87"/>
      <c r="AG609" s="87"/>
      <c r="AH609" s="87"/>
      <c r="AI609" s="87"/>
      <c r="AJ609" s="87"/>
      <c r="AK609" s="87"/>
      <c r="AL609" s="87"/>
      <c r="AM609" s="87"/>
      <c r="AN609" s="87"/>
      <c r="AO609" s="87"/>
      <c r="AP609" s="87"/>
      <c r="AQ609" s="87"/>
      <c r="AR609" s="87"/>
      <c r="AS609" s="87"/>
      <c r="AT609" s="87"/>
      <c r="AU609" s="87"/>
      <c r="AV609" s="87"/>
      <c r="AW609" s="87"/>
      <c r="AX609" s="87"/>
      <c r="AY609" s="87"/>
      <c r="AZ609" s="87"/>
      <c r="BA609" s="87"/>
      <c r="BB609" s="87"/>
      <c r="BC609" s="87"/>
      <c r="BD609" s="87"/>
      <c r="BE609" s="87"/>
      <c r="BF609" s="87"/>
      <c r="BG609" s="87"/>
      <c r="BH609" s="87"/>
    </row>
    <row r="610" spans="1:60" ht="16">
      <c r="A610" s="82"/>
      <c r="B610" s="82"/>
      <c r="C610" s="82"/>
      <c r="D610" s="83"/>
      <c r="E610" s="84"/>
      <c r="F610" s="84"/>
      <c r="G610" s="84"/>
      <c r="H610" s="82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7"/>
      <c r="AA610" s="87"/>
      <c r="AB610" s="87"/>
      <c r="AC610" s="87"/>
      <c r="AD610" s="87"/>
      <c r="AE610" s="87"/>
      <c r="AF610" s="87"/>
      <c r="AG610" s="87"/>
      <c r="AH610" s="87"/>
      <c r="AI610" s="87"/>
      <c r="AJ610" s="87"/>
      <c r="AK610" s="87"/>
      <c r="AL610" s="87"/>
      <c r="AM610" s="87"/>
      <c r="AN610" s="87"/>
      <c r="AO610" s="87"/>
      <c r="AP610" s="87"/>
      <c r="AQ610" s="87"/>
      <c r="AR610" s="87"/>
      <c r="AS610" s="87"/>
      <c r="AT610" s="87"/>
      <c r="AU610" s="87"/>
      <c r="AV610" s="87"/>
      <c r="AW610" s="87"/>
      <c r="AX610" s="87"/>
      <c r="AY610" s="87"/>
      <c r="AZ610" s="87"/>
      <c r="BA610" s="87"/>
      <c r="BB610" s="87"/>
      <c r="BC610" s="87"/>
      <c r="BD610" s="87"/>
      <c r="BE610" s="87"/>
      <c r="BF610" s="87"/>
      <c r="BG610" s="87"/>
      <c r="BH610" s="87"/>
    </row>
    <row r="611" spans="1:60" ht="16">
      <c r="A611" s="82"/>
      <c r="B611" s="82"/>
      <c r="C611" s="82"/>
      <c r="D611" s="83"/>
      <c r="E611" s="84"/>
      <c r="F611" s="84"/>
      <c r="G611" s="84"/>
      <c r="H611" s="82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7"/>
      <c r="AA611" s="87"/>
      <c r="AB611" s="87"/>
      <c r="AC611" s="87"/>
      <c r="AD611" s="87"/>
      <c r="AE611" s="87"/>
      <c r="AF611" s="87"/>
      <c r="AG611" s="87"/>
      <c r="AH611" s="87"/>
      <c r="AI611" s="87"/>
      <c r="AJ611" s="87"/>
      <c r="AK611" s="87"/>
      <c r="AL611" s="87"/>
      <c r="AM611" s="87"/>
      <c r="AN611" s="87"/>
      <c r="AO611" s="87"/>
      <c r="AP611" s="87"/>
      <c r="AQ611" s="87"/>
      <c r="AR611" s="87"/>
      <c r="AS611" s="87"/>
      <c r="AT611" s="87"/>
      <c r="AU611" s="87"/>
      <c r="AV611" s="87"/>
      <c r="AW611" s="87"/>
      <c r="AX611" s="87"/>
      <c r="AY611" s="87"/>
      <c r="AZ611" s="87"/>
      <c r="BA611" s="87"/>
      <c r="BB611" s="87"/>
      <c r="BC611" s="87"/>
      <c r="BD611" s="87"/>
      <c r="BE611" s="87"/>
      <c r="BF611" s="87"/>
      <c r="BG611" s="87"/>
      <c r="BH611" s="87"/>
    </row>
    <row r="612" spans="1:60" ht="16">
      <c r="A612" s="82"/>
      <c r="B612" s="82"/>
      <c r="C612" s="82"/>
      <c r="D612" s="83"/>
      <c r="E612" s="84"/>
      <c r="F612" s="84"/>
      <c r="G612" s="84"/>
      <c r="H612" s="82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7"/>
      <c r="AA612" s="87"/>
      <c r="AB612" s="87"/>
      <c r="AC612" s="87"/>
      <c r="AD612" s="87"/>
      <c r="AE612" s="87"/>
      <c r="AF612" s="87"/>
      <c r="AG612" s="87"/>
      <c r="AH612" s="87"/>
      <c r="AI612" s="87"/>
      <c r="AJ612" s="87"/>
      <c r="AK612" s="87"/>
      <c r="AL612" s="87"/>
      <c r="AM612" s="87"/>
      <c r="AN612" s="87"/>
      <c r="AO612" s="87"/>
      <c r="AP612" s="87"/>
      <c r="AQ612" s="87"/>
      <c r="AR612" s="87"/>
      <c r="AS612" s="87"/>
      <c r="AT612" s="87"/>
      <c r="AU612" s="87"/>
      <c r="AV612" s="87"/>
      <c r="AW612" s="87"/>
      <c r="AX612" s="87"/>
      <c r="AY612" s="87"/>
      <c r="AZ612" s="87"/>
      <c r="BA612" s="87"/>
      <c r="BB612" s="87"/>
      <c r="BC612" s="87"/>
      <c r="BD612" s="87"/>
      <c r="BE612" s="87"/>
      <c r="BF612" s="87"/>
      <c r="BG612" s="87"/>
      <c r="BH612" s="87"/>
    </row>
    <row r="613" spans="1:60" ht="16">
      <c r="A613" s="82"/>
      <c r="B613" s="82"/>
      <c r="C613" s="82"/>
      <c r="D613" s="83"/>
      <c r="E613" s="84"/>
      <c r="F613" s="84"/>
      <c r="G613" s="84"/>
      <c r="H613" s="82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7"/>
      <c r="AA613" s="87"/>
      <c r="AB613" s="87"/>
      <c r="AC613" s="87"/>
      <c r="AD613" s="87"/>
      <c r="AE613" s="87"/>
      <c r="AF613" s="87"/>
      <c r="AG613" s="87"/>
      <c r="AH613" s="87"/>
      <c r="AI613" s="87"/>
      <c r="AJ613" s="87"/>
      <c r="AK613" s="87"/>
      <c r="AL613" s="87"/>
      <c r="AM613" s="87"/>
      <c r="AN613" s="87"/>
      <c r="AO613" s="87"/>
      <c r="AP613" s="87"/>
      <c r="AQ613" s="87"/>
      <c r="AR613" s="87"/>
      <c r="AS613" s="87"/>
      <c r="AT613" s="87"/>
      <c r="AU613" s="87"/>
      <c r="AV613" s="87"/>
      <c r="AW613" s="87"/>
      <c r="AX613" s="87"/>
      <c r="AY613" s="87"/>
      <c r="AZ613" s="87"/>
      <c r="BA613" s="87"/>
      <c r="BB613" s="87"/>
      <c r="BC613" s="87"/>
      <c r="BD613" s="87"/>
      <c r="BE613" s="87"/>
      <c r="BF613" s="87"/>
      <c r="BG613" s="87"/>
      <c r="BH613" s="87"/>
    </row>
    <row r="614" spans="1:60" ht="16">
      <c r="A614" s="82"/>
      <c r="B614" s="82"/>
      <c r="C614" s="82"/>
      <c r="D614" s="83"/>
      <c r="E614" s="84"/>
      <c r="F614" s="84"/>
      <c r="G614" s="84"/>
      <c r="H614" s="82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7"/>
      <c r="AA614" s="87"/>
      <c r="AB614" s="87"/>
      <c r="AC614" s="87"/>
      <c r="AD614" s="87"/>
      <c r="AE614" s="87"/>
      <c r="AF614" s="87"/>
      <c r="AG614" s="87"/>
      <c r="AH614" s="87"/>
      <c r="AI614" s="87"/>
      <c r="AJ614" s="87"/>
      <c r="AK614" s="87"/>
      <c r="AL614" s="87"/>
      <c r="AM614" s="87"/>
      <c r="AN614" s="87"/>
      <c r="AO614" s="87"/>
      <c r="AP614" s="87"/>
      <c r="AQ614" s="87"/>
      <c r="AR614" s="87"/>
      <c r="AS614" s="87"/>
      <c r="AT614" s="87"/>
      <c r="AU614" s="87"/>
      <c r="AV614" s="87"/>
      <c r="AW614" s="87"/>
      <c r="AX614" s="87"/>
      <c r="AY614" s="87"/>
      <c r="AZ614" s="87"/>
      <c r="BA614" s="87"/>
      <c r="BB614" s="87"/>
      <c r="BC614" s="87"/>
      <c r="BD614" s="87"/>
      <c r="BE614" s="87"/>
      <c r="BF614" s="87"/>
      <c r="BG614" s="87"/>
      <c r="BH614" s="87"/>
    </row>
    <row r="615" spans="1:60" ht="16">
      <c r="A615" s="82"/>
      <c r="B615" s="82"/>
      <c r="C615" s="82"/>
      <c r="D615" s="83"/>
      <c r="E615" s="84"/>
      <c r="F615" s="84"/>
      <c r="G615" s="84"/>
      <c r="H615" s="82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7"/>
      <c r="AA615" s="87"/>
      <c r="AB615" s="87"/>
      <c r="AC615" s="87"/>
      <c r="AD615" s="87"/>
      <c r="AE615" s="87"/>
      <c r="AF615" s="87"/>
      <c r="AG615" s="87"/>
      <c r="AH615" s="87"/>
      <c r="AI615" s="87"/>
      <c r="AJ615" s="87"/>
      <c r="AK615" s="87"/>
      <c r="AL615" s="87"/>
      <c r="AM615" s="87"/>
      <c r="AN615" s="87"/>
      <c r="AO615" s="87"/>
      <c r="AP615" s="87"/>
      <c r="AQ615" s="87"/>
      <c r="AR615" s="87"/>
      <c r="AS615" s="87"/>
      <c r="AT615" s="87"/>
      <c r="AU615" s="87"/>
      <c r="AV615" s="87"/>
      <c r="AW615" s="87"/>
      <c r="AX615" s="87"/>
      <c r="AY615" s="87"/>
      <c r="AZ615" s="87"/>
      <c r="BA615" s="87"/>
      <c r="BB615" s="87"/>
      <c r="BC615" s="87"/>
      <c r="BD615" s="87"/>
      <c r="BE615" s="87"/>
      <c r="BF615" s="87"/>
      <c r="BG615" s="87"/>
      <c r="BH615" s="87"/>
    </row>
    <row r="616" spans="1:60" ht="16">
      <c r="A616" s="82"/>
      <c r="B616" s="82"/>
      <c r="C616" s="82"/>
      <c r="D616" s="83"/>
      <c r="E616" s="84"/>
      <c r="F616" s="84"/>
      <c r="G616" s="84"/>
      <c r="H616" s="82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7"/>
      <c r="AA616" s="87"/>
      <c r="AB616" s="87"/>
      <c r="AC616" s="87"/>
      <c r="AD616" s="87"/>
      <c r="AE616" s="87"/>
      <c r="AF616" s="87"/>
      <c r="AG616" s="87"/>
      <c r="AH616" s="87"/>
      <c r="AI616" s="87"/>
      <c r="AJ616" s="87"/>
      <c r="AK616" s="87"/>
      <c r="AL616" s="87"/>
      <c r="AM616" s="87"/>
      <c r="AN616" s="87"/>
      <c r="AO616" s="87"/>
      <c r="AP616" s="87"/>
      <c r="AQ616" s="87"/>
      <c r="AR616" s="87"/>
      <c r="AS616" s="87"/>
      <c r="AT616" s="87"/>
      <c r="AU616" s="87"/>
      <c r="AV616" s="87"/>
      <c r="AW616" s="87"/>
      <c r="AX616" s="87"/>
      <c r="AY616" s="87"/>
      <c r="AZ616" s="87"/>
      <c r="BA616" s="87"/>
      <c r="BB616" s="87"/>
      <c r="BC616" s="87"/>
      <c r="BD616" s="87"/>
      <c r="BE616" s="87"/>
      <c r="BF616" s="87"/>
      <c r="BG616" s="87"/>
      <c r="BH616" s="87"/>
    </row>
    <row r="617" spans="1:60" ht="16">
      <c r="A617" s="82"/>
      <c r="B617" s="82"/>
      <c r="C617" s="82"/>
      <c r="D617" s="83"/>
      <c r="E617" s="84"/>
      <c r="F617" s="84"/>
      <c r="G617" s="84"/>
      <c r="H617" s="82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7"/>
      <c r="AA617" s="87"/>
      <c r="AB617" s="87"/>
      <c r="AC617" s="87"/>
      <c r="AD617" s="87"/>
      <c r="AE617" s="87"/>
      <c r="AF617" s="87"/>
      <c r="AG617" s="87"/>
      <c r="AH617" s="87"/>
      <c r="AI617" s="87"/>
      <c r="AJ617" s="87"/>
      <c r="AK617" s="87"/>
      <c r="AL617" s="87"/>
      <c r="AM617" s="87"/>
      <c r="AN617" s="87"/>
      <c r="AO617" s="87"/>
      <c r="AP617" s="87"/>
      <c r="AQ617" s="87"/>
      <c r="AR617" s="87"/>
      <c r="AS617" s="87"/>
      <c r="AT617" s="87"/>
      <c r="AU617" s="87"/>
      <c r="AV617" s="87"/>
      <c r="AW617" s="87"/>
      <c r="AX617" s="87"/>
      <c r="AY617" s="87"/>
      <c r="AZ617" s="87"/>
      <c r="BA617" s="87"/>
      <c r="BB617" s="87"/>
      <c r="BC617" s="87"/>
      <c r="BD617" s="87"/>
      <c r="BE617" s="87"/>
      <c r="BF617" s="87"/>
      <c r="BG617" s="87"/>
      <c r="BH617" s="87"/>
    </row>
    <row r="618" spans="1:60" ht="16">
      <c r="A618" s="82"/>
      <c r="B618" s="82"/>
      <c r="C618" s="82"/>
      <c r="D618" s="83"/>
      <c r="E618" s="84"/>
      <c r="F618" s="84"/>
      <c r="G618" s="84"/>
      <c r="H618" s="82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7"/>
      <c r="AA618" s="87"/>
      <c r="AB618" s="87"/>
      <c r="AC618" s="87"/>
      <c r="AD618" s="87"/>
      <c r="AE618" s="87"/>
      <c r="AF618" s="87"/>
      <c r="AG618" s="87"/>
      <c r="AH618" s="87"/>
      <c r="AI618" s="87"/>
      <c r="AJ618" s="87"/>
      <c r="AK618" s="87"/>
      <c r="AL618" s="87"/>
      <c r="AM618" s="87"/>
      <c r="AN618" s="87"/>
      <c r="AO618" s="87"/>
      <c r="AP618" s="87"/>
      <c r="AQ618" s="87"/>
      <c r="AR618" s="87"/>
      <c r="AS618" s="87"/>
      <c r="AT618" s="87"/>
      <c r="AU618" s="87"/>
      <c r="AV618" s="87"/>
      <c r="AW618" s="87"/>
      <c r="AX618" s="87"/>
      <c r="AY618" s="87"/>
      <c r="AZ618" s="87"/>
      <c r="BA618" s="87"/>
      <c r="BB618" s="87"/>
      <c r="BC618" s="87"/>
      <c r="BD618" s="87"/>
      <c r="BE618" s="87"/>
      <c r="BF618" s="87"/>
      <c r="BG618" s="87"/>
      <c r="BH618" s="87"/>
    </row>
    <row r="619" spans="1:60" ht="16">
      <c r="A619" s="82"/>
      <c r="B619" s="82"/>
      <c r="C619" s="82"/>
      <c r="D619" s="83"/>
      <c r="E619" s="84"/>
      <c r="F619" s="84"/>
      <c r="G619" s="84"/>
      <c r="H619" s="82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7"/>
      <c r="AA619" s="87"/>
      <c r="AB619" s="87"/>
      <c r="AC619" s="87"/>
      <c r="AD619" s="87"/>
      <c r="AE619" s="87"/>
      <c r="AF619" s="87"/>
      <c r="AG619" s="87"/>
      <c r="AH619" s="87"/>
      <c r="AI619" s="87"/>
      <c r="AJ619" s="87"/>
      <c r="AK619" s="87"/>
      <c r="AL619" s="87"/>
      <c r="AM619" s="87"/>
      <c r="AN619" s="87"/>
      <c r="AO619" s="87"/>
      <c r="AP619" s="87"/>
      <c r="AQ619" s="87"/>
      <c r="AR619" s="87"/>
      <c r="AS619" s="87"/>
      <c r="AT619" s="87"/>
      <c r="AU619" s="87"/>
      <c r="AV619" s="87"/>
      <c r="AW619" s="87"/>
      <c r="AX619" s="87"/>
      <c r="AY619" s="87"/>
      <c r="AZ619" s="87"/>
      <c r="BA619" s="87"/>
      <c r="BB619" s="87"/>
      <c r="BC619" s="87"/>
      <c r="BD619" s="87"/>
      <c r="BE619" s="87"/>
      <c r="BF619" s="87"/>
      <c r="BG619" s="87"/>
      <c r="BH619" s="87"/>
    </row>
    <row r="620" spans="1:60" ht="16">
      <c r="A620" s="82"/>
      <c r="B620" s="82"/>
      <c r="C620" s="82"/>
      <c r="D620" s="83"/>
      <c r="E620" s="84"/>
      <c r="F620" s="84"/>
      <c r="G620" s="84"/>
      <c r="H620" s="82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7"/>
      <c r="AA620" s="87"/>
      <c r="AB620" s="87"/>
      <c r="AC620" s="87"/>
      <c r="AD620" s="87"/>
      <c r="AE620" s="87"/>
      <c r="AF620" s="87"/>
      <c r="AG620" s="87"/>
      <c r="AH620" s="87"/>
      <c r="AI620" s="87"/>
      <c r="AJ620" s="87"/>
      <c r="AK620" s="87"/>
      <c r="AL620" s="87"/>
      <c r="AM620" s="87"/>
      <c r="AN620" s="87"/>
      <c r="AO620" s="87"/>
      <c r="AP620" s="87"/>
      <c r="AQ620" s="87"/>
      <c r="AR620" s="87"/>
      <c r="AS620" s="87"/>
      <c r="AT620" s="87"/>
      <c r="AU620" s="87"/>
      <c r="AV620" s="87"/>
      <c r="AW620" s="87"/>
      <c r="AX620" s="87"/>
      <c r="AY620" s="87"/>
      <c r="AZ620" s="87"/>
      <c r="BA620" s="87"/>
      <c r="BB620" s="87"/>
      <c r="BC620" s="87"/>
      <c r="BD620" s="87"/>
      <c r="BE620" s="87"/>
      <c r="BF620" s="87"/>
      <c r="BG620" s="87"/>
      <c r="BH620" s="87"/>
    </row>
    <row r="621" spans="1:60" ht="16">
      <c r="A621" s="82"/>
      <c r="B621" s="82"/>
      <c r="C621" s="82"/>
      <c r="D621" s="83"/>
      <c r="E621" s="84"/>
      <c r="F621" s="84"/>
      <c r="G621" s="84"/>
      <c r="H621" s="82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7"/>
      <c r="AA621" s="87"/>
      <c r="AB621" s="87"/>
      <c r="AC621" s="87"/>
      <c r="AD621" s="87"/>
      <c r="AE621" s="87"/>
      <c r="AF621" s="87"/>
      <c r="AG621" s="87"/>
      <c r="AH621" s="87"/>
      <c r="AI621" s="87"/>
      <c r="AJ621" s="87"/>
      <c r="AK621" s="87"/>
      <c r="AL621" s="87"/>
      <c r="AM621" s="87"/>
      <c r="AN621" s="87"/>
      <c r="AO621" s="87"/>
      <c r="AP621" s="87"/>
      <c r="AQ621" s="87"/>
      <c r="AR621" s="87"/>
      <c r="AS621" s="87"/>
      <c r="AT621" s="87"/>
      <c r="AU621" s="87"/>
      <c r="AV621" s="87"/>
      <c r="AW621" s="87"/>
      <c r="AX621" s="87"/>
      <c r="AY621" s="87"/>
      <c r="AZ621" s="87"/>
      <c r="BA621" s="87"/>
      <c r="BB621" s="87"/>
      <c r="BC621" s="87"/>
      <c r="BD621" s="87"/>
      <c r="BE621" s="87"/>
      <c r="BF621" s="87"/>
      <c r="BG621" s="87"/>
      <c r="BH621" s="87"/>
    </row>
    <row r="622" spans="1:60" ht="16">
      <c r="A622" s="82"/>
      <c r="B622" s="82"/>
      <c r="C622" s="82"/>
      <c r="D622" s="83"/>
      <c r="E622" s="84"/>
      <c r="F622" s="84"/>
      <c r="G622" s="84"/>
      <c r="H622" s="82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7"/>
      <c r="AA622" s="87"/>
      <c r="AB622" s="87"/>
      <c r="AC622" s="87"/>
      <c r="AD622" s="87"/>
      <c r="AE622" s="87"/>
      <c r="AF622" s="87"/>
      <c r="AG622" s="87"/>
      <c r="AH622" s="87"/>
      <c r="AI622" s="87"/>
      <c r="AJ622" s="87"/>
      <c r="AK622" s="87"/>
      <c r="AL622" s="87"/>
      <c r="AM622" s="87"/>
      <c r="AN622" s="87"/>
      <c r="AO622" s="87"/>
      <c r="AP622" s="87"/>
      <c r="AQ622" s="87"/>
      <c r="AR622" s="87"/>
      <c r="AS622" s="87"/>
      <c r="AT622" s="87"/>
      <c r="AU622" s="87"/>
      <c r="AV622" s="87"/>
      <c r="AW622" s="87"/>
      <c r="AX622" s="87"/>
      <c r="AY622" s="87"/>
      <c r="AZ622" s="87"/>
      <c r="BA622" s="87"/>
      <c r="BB622" s="87"/>
      <c r="BC622" s="87"/>
      <c r="BD622" s="87"/>
      <c r="BE622" s="87"/>
      <c r="BF622" s="87"/>
      <c r="BG622" s="87"/>
      <c r="BH622" s="87"/>
    </row>
    <row r="623" spans="1:60" ht="16">
      <c r="A623" s="82"/>
      <c r="B623" s="82"/>
      <c r="C623" s="82"/>
      <c r="D623" s="83"/>
      <c r="E623" s="84"/>
      <c r="F623" s="84"/>
      <c r="G623" s="84"/>
      <c r="H623" s="82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7"/>
      <c r="AA623" s="87"/>
      <c r="AB623" s="87"/>
      <c r="AC623" s="87"/>
      <c r="AD623" s="87"/>
      <c r="AE623" s="87"/>
      <c r="AF623" s="87"/>
      <c r="AG623" s="87"/>
      <c r="AH623" s="87"/>
      <c r="AI623" s="87"/>
      <c r="AJ623" s="87"/>
      <c r="AK623" s="87"/>
      <c r="AL623" s="87"/>
      <c r="AM623" s="87"/>
      <c r="AN623" s="87"/>
      <c r="AO623" s="87"/>
      <c r="AP623" s="87"/>
      <c r="AQ623" s="87"/>
      <c r="AR623" s="87"/>
      <c r="AS623" s="87"/>
      <c r="AT623" s="87"/>
      <c r="AU623" s="87"/>
      <c r="AV623" s="87"/>
      <c r="AW623" s="87"/>
      <c r="AX623" s="87"/>
      <c r="AY623" s="87"/>
      <c r="AZ623" s="87"/>
      <c r="BA623" s="87"/>
      <c r="BB623" s="87"/>
      <c r="BC623" s="87"/>
      <c r="BD623" s="87"/>
      <c r="BE623" s="87"/>
      <c r="BF623" s="87"/>
      <c r="BG623" s="87"/>
      <c r="BH623" s="87"/>
    </row>
    <row r="624" spans="1:60" ht="16">
      <c r="A624" s="82"/>
      <c r="B624" s="82"/>
      <c r="C624" s="82"/>
      <c r="D624" s="83"/>
      <c r="E624" s="84"/>
      <c r="F624" s="84"/>
      <c r="G624" s="84"/>
      <c r="H624" s="82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7"/>
      <c r="AA624" s="87"/>
      <c r="AB624" s="87"/>
      <c r="AC624" s="87"/>
      <c r="AD624" s="87"/>
      <c r="AE624" s="87"/>
      <c r="AF624" s="87"/>
      <c r="AG624" s="87"/>
      <c r="AH624" s="87"/>
      <c r="AI624" s="87"/>
      <c r="AJ624" s="87"/>
      <c r="AK624" s="87"/>
      <c r="AL624" s="87"/>
      <c r="AM624" s="87"/>
      <c r="AN624" s="87"/>
      <c r="AO624" s="87"/>
      <c r="AP624" s="87"/>
      <c r="AQ624" s="87"/>
      <c r="AR624" s="87"/>
      <c r="AS624" s="87"/>
      <c r="AT624" s="87"/>
      <c r="AU624" s="87"/>
      <c r="AV624" s="87"/>
      <c r="AW624" s="87"/>
      <c r="AX624" s="87"/>
      <c r="AY624" s="87"/>
      <c r="AZ624" s="87"/>
      <c r="BA624" s="87"/>
      <c r="BB624" s="87"/>
      <c r="BC624" s="87"/>
      <c r="BD624" s="87"/>
      <c r="BE624" s="87"/>
      <c r="BF624" s="87"/>
      <c r="BG624" s="87"/>
      <c r="BH624" s="87"/>
    </row>
    <row r="625" spans="1:60" ht="16">
      <c r="A625" s="82"/>
      <c r="B625" s="82"/>
      <c r="C625" s="82"/>
      <c r="D625" s="83"/>
      <c r="E625" s="84"/>
      <c r="F625" s="84"/>
      <c r="G625" s="84"/>
      <c r="H625" s="82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7"/>
      <c r="AA625" s="87"/>
      <c r="AB625" s="87"/>
      <c r="AC625" s="87"/>
      <c r="AD625" s="87"/>
      <c r="AE625" s="87"/>
      <c r="AF625" s="87"/>
      <c r="AG625" s="87"/>
      <c r="AH625" s="87"/>
      <c r="AI625" s="87"/>
      <c r="AJ625" s="87"/>
      <c r="AK625" s="87"/>
      <c r="AL625" s="87"/>
      <c r="AM625" s="87"/>
      <c r="AN625" s="87"/>
      <c r="AO625" s="87"/>
      <c r="AP625" s="87"/>
      <c r="AQ625" s="87"/>
      <c r="AR625" s="87"/>
      <c r="AS625" s="87"/>
      <c r="AT625" s="87"/>
      <c r="AU625" s="87"/>
      <c r="AV625" s="87"/>
      <c r="AW625" s="87"/>
      <c r="AX625" s="87"/>
      <c r="AY625" s="87"/>
      <c r="AZ625" s="87"/>
      <c r="BA625" s="87"/>
      <c r="BB625" s="87"/>
      <c r="BC625" s="87"/>
      <c r="BD625" s="87"/>
      <c r="BE625" s="87"/>
      <c r="BF625" s="87"/>
      <c r="BG625" s="87"/>
      <c r="BH625" s="87"/>
    </row>
    <row r="626" spans="1:60" ht="16">
      <c r="A626" s="82"/>
      <c r="B626" s="82"/>
      <c r="C626" s="82"/>
      <c r="D626" s="83"/>
      <c r="E626" s="84"/>
      <c r="F626" s="84"/>
      <c r="G626" s="84"/>
      <c r="H626" s="82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7"/>
      <c r="AA626" s="87"/>
      <c r="AB626" s="87"/>
      <c r="AC626" s="87"/>
      <c r="AD626" s="87"/>
      <c r="AE626" s="87"/>
      <c r="AF626" s="87"/>
      <c r="AG626" s="87"/>
      <c r="AH626" s="87"/>
      <c r="AI626" s="87"/>
      <c r="AJ626" s="87"/>
      <c r="AK626" s="87"/>
      <c r="AL626" s="87"/>
      <c r="AM626" s="87"/>
      <c r="AN626" s="87"/>
      <c r="AO626" s="87"/>
      <c r="AP626" s="87"/>
      <c r="AQ626" s="87"/>
      <c r="AR626" s="87"/>
      <c r="AS626" s="87"/>
      <c r="AT626" s="87"/>
      <c r="AU626" s="87"/>
      <c r="AV626" s="87"/>
      <c r="AW626" s="87"/>
      <c r="AX626" s="87"/>
      <c r="AY626" s="87"/>
      <c r="AZ626" s="87"/>
      <c r="BA626" s="87"/>
      <c r="BB626" s="87"/>
      <c r="BC626" s="87"/>
      <c r="BD626" s="87"/>
      <c r="BE626" s="87"/>
      <c r="BF626" s="87"/>
      <c r="BG626" s="87"/>
      <c r="BH626" s="87"/>
    </row>
    <row r="627" spans="1:60" ht="16">
      <c r="A627" s="82"/>
      <c r="B627" s="82"/>
      <c r="C627" s="82"/>
      <c r="D627" s="83"/>
      <c r="E627" s="84"/>
      <c r="F627" s="84"/>
      <c r="G627" s="84"/>
      <c r="H627" s="82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7"/>
      <c r="AA627" s="87"/>
      <c r="AB627" s="87"/>
      <c r="AC627" s="87"/>
      <c r="AD627" s="87"/>
      <c r="AE627" s="87"/>
      <c r="AF627" s="87"/>
      <c r="AG627" s="87"/>
      <c r="AH627" s="87"/>
      <c r="AI627" s="87"/>
      <c r="AJ627" s="87"/>
      <c r="AK627" s="87"/>
      <c r="AL627" s="87"/>
      <c r="AM627" s="87"/>
      <c r="AN627" s="87"/>
      <c r="AO627" s="87"/>
      <c r="AP627" s="87"/>
      <c r="AQ627" s="87"/>
      <c r="AR627" s="87"/>
      <c r="AS627" s="87"/>
      <c r="AT627" s="87"/>
      <c r="AU627" s="87"/>
      <c r="AV627" s="87"/>
      <c r="AW627" s="87"/>
      <c r="AX627" s="87"/>
      <c r="AY627" s="87"/>
      <c r="AZ627" s="87"/>
      <c r="BA627" s="87"/>
      <c r="BB627" s="87"/>
      <c r="BC627" s="87"/>
      <c r="BD627" s="87"/>
      <c r="BE627" s="87"/>
      <c r="BF627" s="87"/>
      <c r="BG627" s="87"/>
      <c r="BH627" s="87"/>
    </row>
    <row r="628" spans="1:60" ht="16">
      <c r="A628" s="82"/>
      <c r="B628" s="82"/>
      <c r="C628" s="82"/>
      <c r="D628" s="83"/>
      <c r="E628" s="84"/>
      <c r="F628" s="84"/>
      <c r="G628" s="84"/>
      <c r="H628" s="82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7"/>
      <c r="AA628" s="87"/>
      <c r="AB628" s="87"/>
      <c r="AC628" s="87"/>
      <c r="AD628" s="87"/>
      <c r="AE628" s="87"/>
      <c r="AF628" s="87"/>
      <c r="AG628" s="87"/>
      <c r="AH628" s="87"/>
      <c r="AI628" s="87"/>
      <c r="AJ628" s="87"/>
      <c r="AK628" s="87"/>
      <c r="AL628" s="87"/>
      <c r="AM628" s="87"/>
      <c r="AN628" s="87"/>
      <c r="AO628" s="87"/>
      <c r="AP628" s="87"/>
      <c r="AQ628" s="87"/>
      <c r="AR628" s="87"/>
      <c r="AS628" s="87"/>
      <c r="AT628" s="87"/>
      <c r="AU628" s="87"/>
      <c r="AV628" s="87"/>
      <c r="AW628" s="87"/>
      <c r="AX628" s="87"/>
      <c r="AY628" s="87"/>
      <c r="AZ628" s="87"/>
      <c r="BA628" s="87"/>
      <c r="BB628" s="87"/>
      <c r="BC628" s="87"/>
      <c r="BD628" s="87"/>
      <c r="BE628" s="87"/>
      <c r="BF628" s="87"/>
      <c r="BG628" s="87"/>
      <c r="BH628" s="87"/>
    </row>
    <row r="629" spans="1:60" ht="16">
      <c r="A629" s="82"/>
      <c r="B629" s="82"/>
      <c r="C629" s="82"/>
      <c r="D629" s="83"/>
      <c r="E629" s="84"/>
      <c r="F629" s="84"/>
      <c r="G629" s="84"/>
      <c r="H629" s="82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7"/>
      <c r="AA629" s="87"/>
      <c r="AB629" s="87"/>
      <c r="AC629" s="87"/>
      <c r="AD629" s="87"/>
      <c r="AE629" s="87"/>
      <c r="AF629" s="87"/>
      <c r="AG629" s="87"/>
      <c r="AH629" s="87"/>
      <c r="AI629" s="87"/>
      <c r="AJ629" s="87"/>
      <c r="AK629" s="87"/>
      <c r="AL629" s="87"/>
      <c r="AM629" s="87"/>
      <c r="AN629" s="87"/>
      <c r="AO629" s="87"/>
      <c r="AP629" s="87"/>
      <c r="AQ629" s="87"/>
      <c r="AR629" s="87"/>
      <c r="AS629" s="87"/>
      <c r="AT629" s="87"/>
      <c r="AU629" s="87"/>
      <c r="AV629" s="87"/>
      <c r="AW629" s="87"/>
      <c r="AX629" s="87"/>
      <c r="AY629" s="87"/>
      <c r="AZ629" s="87"/>
      <c r="BA629" s="87"/>
      <c r="BB629" s="87"/>
      <c r="BC629" s="87"/>
      <c r="BD629" s="87"/>
      <c r="BE629" s="87"/>
      <c r="BF629" s="87"/>
      <c r="BG629" s="87"/>
      <c r="BH629" s="87"/>
    </row>
    <row r="630" spans="1:60" ht="16">
      <c r="A630" s="82"/>
      <c r="B630" s="82"/>
      <c r="C630" s="82"/>
      <c r="D630" s="83"/>
      <c r="E630" s="84"/>
      <c r="F630" s="84"/>
      <c r="G630" s="84"/>
      <c r="H630" s="82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7"/>
      <c r="AA630" s="87"/>
      <c r="AB630" s="87"/>
      <c r="AC630" s="87"/>
      <c r="AD630" s="87"/>
      <c r="AE630" s="87"/>
      <c r="AF630" s="87"/>
      <c r="AG630" s="87"/>
      <c r="AH630" s="87"/>
      <c r="AI630" s="87"/>
      <c r="AJ630" s="87"/>
      <c r="AK630" s="87"/>
      <c r="AL630" s="87"/>
      <c r="AM630" s="87"/>
      <c r="AN630" s="87"/>
      <c r="AO630" s="87"/>
      <c r="AP630" s="87"/>
      <c r="AQ630" s="87"/>
      <c r="AR630" s="87"/>
      <c r="AS630" s="87"/>
      <c r="AT630" s="87"/>
      <c r="AU630" s="87"/>
      <c r="AV630" s="87"/>
      <c r="AW630" s="87"/>
      <c r="AX630" s="87"/>
      <c r="AY630" s="87"/>
      <c r="AZ630" s="87"/>
      <c r="BA630" s="87"/>
      <c r="BB630" s="87"/>
      <c r="BC630" s="87"/>
      <c r="BD630" s="87"/>
      <c r="BE630" s="87"/>
      <c r="BF630" s="87"/>
      <c r="BG630" s="87"/>
      <c r="BH630" s="87"/>
    </row>
    <row r="631" spans="1:60" ht="16">
      <c r="A631" s="82"/>
      <c r="B631" s="82"/>
      <c r="C631" s="82"/>
      <c r="D631" s="83"/>
      <c r="E631" s="84"/>
      <c r="F631" s="84"/>
      <c r="G631" s="84"/>
      <c r="H631" s="82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7"/>
      <c r="AA631" s="87"/>
      <c r="AB631" s="87"/>
      <c r="AC631" s="87"/>
      <c r="AD631" s="87"/>
      <c r="AE631" s="87"/>
      <c r="AF631" s="87"/>
      <c r="AG631" s="87"/>
      <c r="AH631" s="87"/>
      <c r="AI631" s="87"/>
      <c r="AJ631" s="87"/>
      <c r="AK631" s="87"/>
      <c r="AL631" s="87"/>
      <c r="AM631" s="87"/>
      <c r="AN631" s="87"/>
      <c r="AO631" s="87"/>
      <c r="AP631" s="87"/>
      <c r="AQ631" s="87"/>
      <c r="AR631" s="87"/>
      <c r="AS631" s="87"/>
      <c r="AT631" s="87"/>
      <c r="AU631" s="87"/>
      <c r="AV631" s="87"/>
      <c r="AW631" s="87"/>
      <c r="AX631" s="87"/>
      <c r="AY631" s="87"/>
      <c r="AZ631" s="87"/>
      <c r="BA631" s="87"/>
      <c r="BB631" s="87"/>
      <c r="BC631" s="87"/>
      <c r="BD631" s="87"/>
      <c r="BE631" s="87"/>
      <c r="BF631" s="87"/>
      <c r="BG631" s="87"/>
      <c r="BH631" s="87"/>
    </row>
    <row r="632" spans="1:60" ht="16">
      <c r="A632" s="82"/>
      <c r="B632" s="82"/>
      <c r="C632" s="82"/>
      <c r="D632" s="83"/>
      <c r="E632" s="84"/>
      <c r="F632" s="84"/>
      <c r="G632" s="84"/>
      <c r="H632" s="82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7"/>
      <c r="AA632" s="87"/>
      <c r="AB632" s="87"/>
      <c r="AC632" s="87"/>
      <c r="AD632" s="87"/>
      <c r="AE632" s="87"/>
      <c r="AF632" s="87"/>
      <c r="AG632" s="87"/>
      <c r="AH632" s="87"/>
      <c r="AI632" s="87"/>
      <c r="AJ632" s="87"/>
      <c r="AK632" s="87"/>
      <c r="AL632" s="87"/>
      <c r="AM632" s="87"/>
      <c r="AN632" s="87"/>
      <c r="AO632" s="87"/>
      <c r="AP632" s="87"/>
      <c r="AQ632" s="87"/>
      <c r="AR632" s="87"/>
      <c r="AS632" s="87"/>
      <c r="AT632" s="87"/>
      <c r="AU632" s="87"/>
      <c r="AV632" s="87"/>
      <c r="AW632" s="87"/>
      <c r="AX632" s="87"/>
      <c r="AY632" s="87"/>
      <c r="AZ632" s="87"/>
      <c r="BA632" s="87"/>
      <c r="BB632" s="87"/>
      <c r="BC632" s="87"/>
      <c r="BD632" s="87"/>
      <c r="BE632" s="87"/>
      <c r="BF632" s="87"/>
      <c r="BG632" s="87"/>
      <c r="BH632" s="87"/>
    </row>
    <row r="633" spans="1:60" ht="16">
      <c r="A633" s="82"/>
      <c r="B633" s="82"/>
      <c r="C633" s="82"/>
      <c r="D633" s="83"/>
      <c r="E633" s="84"/>
      <c r="F633" s="84"/>
      <c r="G633" s="84"/>
      <c r="H633" s="82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7"/>
      <c r="AA633" s="87"/>
      <c r="AB633" s="87"/>
      <c r="AC633" s="87"/>
      <c r="AD633" s="87"/>
      <c r="AE633" s="87"/>
      <c r="AF633" s="87"/>
      <c r="AG633" s="87"/>
      <c r="AH633" s="87"/>
      <c r="AI633" s="87"/>
      <c r="AJ633" s="87"/>
      <c r="AK633" s="87"/>
      <c r="AL633" s="87"/>
      <c r="AM633" s="87"/>
      <c r="AN633" s="87"/>
      <c r="AO633" s="87"/>
      <c r="AP633" s="87"/>
      <c r="AQ633" s="87"/>
      <c r="AR633" s="87"/>
      <c r="AS633" s="87"/>
      <c r="AT633" s="87"/>
      <c r="AU633" s="87"/>
      <c r="AV633" s="87"/>
      <c r="AW633" s="87"/>
      <c r="AX633" s="87"/>
      <c r="AY633" s="87"/>
      <c r="AZ633" s="87"/>
      <c r="BA633" s="87"/>
      <c r="BB633" s="87"/>
      <c r="BC633" s="87"/>
      <c r="BD633" s="87"/>
      <c r="BE633" s="87"/>
      <c r="BF633" s="87"/>
      <c r="BG633" s="87"/>
      <c r="BH633" s="87"/>
    </row>
    <row r="634" spans="1:60" ht="16">
      <c r="A634" s="82"/>
      <c r="B634" s="82"/>
      <c r="C634" s="82"/>
      <c r="D634" s="83"/>
      <c r="E634" s="84"/>
      <c r="F634" s="84"/>
      <c r="G634" s="84"/>
      <c r="H634" s="82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7"/>
      <c r="AA634" s="87"/>
      <c r="AB634" s="87"/>
      <c r="AC634" s="87"/>
      <c r="AD634" s="87"/>
      <c r="AE634" s="87"/>
      <c r="AF634" s="87"/>
      <c r="AG634" s="87"/>
      <c r="AH634" s="87"/>
      <c r="AI634" s="87"/>
      <c r="AJ634" s="87"/>
      <c r="AK634" s="87"/>
      <c r="AL634" s="87"/>
      <c r="AM634" s="87"/>
      <c r="AN634" s="87"/>
      <c r="AO634" s="87"/>
      <c r="AP634" s="87"/>
      <c r="AQ634" s="87"/>
      <c r="AR634" s="87"/>
      <c r="AS634" s="87"/>
      <c r="AT634" s="87"/>
      <c r="AU634" s="87"/>
      <c r="AV634" s="87"/>
      <c r="AW634" s="87"/>
      <c r="AX634" s="87"/>
      <c r="AY634" s="87"/>
      <c r="AZ634" s="87"/>
      <c r="BA634" s="87"/>
      <c r="BB634" s="87"/>
      <c r="BC634" s="87"/>
      <c r="BD634" s="87"/>
      <c r="BE634" s="87"/>
      <c r="BF634" s="87"/>
      <c r="BG634" s="87"/>
      <c r="BH634" s="87"/>
    </row>
    <row r="635" spans="1:60" ht="16">
      <c r="A635" s="82"/>
      <c r="B635" s="82"/>
      <c r="C635" s="82"/>
      <c r="D635" s="83"/>
      <c r="E635" s="84"/>
      <c r="F635" s="84"/>
      <c r="G635" s="84"/>
      <c r="H635" s="82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7"/>
      <c r="AA635" s="87"/>
      <c r="AB635" s="87"/>
      <c r="AC635" s="87"/>
      <c r="AD635" s="87"/>
      <c r="AE635" s="87"/>
      <c r="AF635" s="87"/>
      <c r="AG635" s="87"/>
      <c r="AH635" s="87"/>
      <c r="AI635" s="87"/>
      <c r="AJ635" s="87"/>
      <c r="AK635" s="87"/>
      <c r="AL635" s="87"/>
      <c r="AM635" s="87"/>
      <c r="AN635" s="87"/>
      <c r="AO635" s="87"/>
      <c r="AP635" s="87"/>
      <c r="AQ635" s="87"/>
      <c r="AR635" s="87"/>
      <c r="AS635" s="87"/>
      <c r="AT635" s="87"/>
      <c r="AU635" s="87"/>
      <c r="AV635" s="87"/>
      <c r="AW635" s="87"/>
      <c r="AX635" s="87"/>
      <c r="AY635" s="87"/>
      <c r="AZ635" s="87"/>
      <c r="BA635" s="87"/>
      <c r="BB635" s="87"/>
      <c r="BC635" s="87"/>
      <c r="BD635" s="87"/>
      <c r="BE635" s="87"/>
      <c r="BF635" s="87"/>
      <c r="BG635" s="87"/>
      <c r="BH635" s="87"/>
    </row>
    <row r="636" spans="1:60" ht="16">
      <c r="A636" s="82"/>
      <c r="B636" s="82"/>
      <c r="C636" s="82"/>
      <c r="D636" s="83"/>
      <c r="E636" s="84"/>
      <c r="F636" s="84"/>
      <c r="G636" s="84"/>
      <c r="H636" s="82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7"/>
      <c r="AA636" s="87"/>
      <c r="AB636" s="87"/>
      <c r="AC636" s="87"/>
      <c r="AD636" s="87"/>
      <c r="AE636" s="87"/>
      <c r="AF636" s="87"/>
      <c r="AG636" s="87"/>
      <c r="AH636" s="87"/>
      <c r="AI636" s="87"/>
      <c r="AJ636" s="87"/>
      <c r="AK636" s="87"/>
      <c r="AL636" s="87"/>
      <c r="AM636" s="87"/>
      <c r="AN636" s="87"/>
      <c r="AO636" s="87"/>
      <c r="AP636" s="87"/>
      <c r="AQ636" s="87"/>
      <c r="AR636" s="87"/>
      <c r="AS636" s="87"/>
      <c r="AT636" s="87"/>
      <c r="AU636" s="87"/>
      <c r="AV636" s="87"/>
      <c r="AW636" s="87"/>
      <c r="AX636" s="87"/>
      <c r="AY636" s="87"/>
      <c r="AZ636" s="87"/>
      <c r="BA636" s="87"/>
      <c r="BB636" s="87"/>
      <c r="BC636" s="87"/>
      <c r="BD636" s="87"/>
      <c r="BE636" s="87"/>
      <c r="BF636" s="87"/>
      <c r="BG636" s="87"/>
      <c r="BH636" s="87"/>
    </row>
    <row r="637" spans="1:60" ht="16">
      <c r="A637" s="82"/>
      <c r="B637" s="82"/>
      <c r="C637" s="82"/>
      <c r="D637" s="83"/>
      <c r="E637" s="84"/>
      <c r="F637" s="84"/>
      <c r="G637" s="84"/>
      <c r="H637" s="82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7"/>
      <c r="AA637" s="87"/>
      <c r="AB637" s="87"/>
      <c r="AC637" s="87"/>
      <c r="AD637" s="87"/>
      <c r="AE637" s="87"/>
      <c r="AF637" s="87"/>
      <c r="AG637" s="87"/>
      <c r="AH637" s="87"/>
      <c r="AI637" s="87"/>
      <c r="AJ637" s="87"/>
      <c r="AK637" s="87"/>
      <c r="AL637" s="87"/>
      <c r="AM637" s="87"/>
      <c r="AN637" s="87"/>
      <c r="AO637" s="87"/>
      <c r="AP637" s="87"/>
      <c r="AQ637" s="87"/>
      <c r="AR637" s="87"/>
      <c r="AS637" s="87"/>
      <c r="AT637" s="87"/>
      <c r="AU637" s="87"/>
      <c r="AV637" s="87"/>
      <c r="AW637" s="87"/>
      <c r="AX637" s="87"/>
      <c r="AY637" s="87"/>
      <c r="AZ637" s="87"/>
      <c r="BA637" s="87"/>
      <c r="BB637" s="87"/>
      <c r="BC637" s="87"/>
      <c r="BD637" s="87"/>
      <c r="BE637" s="87"/>
      <c r="BF637" s="87"/>
      <c r="BG637" s="87"/>
      <c r="BH637" s="87"/>
    </row>
    <row r="638" spans="1:60" ht="16">
      <c r="A638" s="82"/>
      <c r="B638" s="82"/>
      <c r="C638" s="82"/>
      <c r="D638" s="83"/>
      <c r="E638" s="84"/>
      <c r="F638" s="84"/>
      <c r="G638" s="84"/>
      <c r="H638" s="82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7"/>
      <c r="AA638" s="87"/>
      <c r="AB638" s="87"/>
      <c r="AC638" s="87"/>
      <c r="AD638" s="87"/>
      <c r="AE638" s="87"/>
      <c r="AF638" s="87"/>
      <c r="AG638" s="87"/>
      <c r="AH638" s="87"/>
      <c r="AI638" s="87"/>
      <c r="AJ638" s="87"/>
      <c r="AK638" s="87"/>
      <c r="AL638" s="87"/>
      <c r="AM638" s="87"/>
      <c r="AN638" s="87"/>
      <c r="AO638" s="87"/>
      <c r="AP638" s="87"/>
      <c r="AQ638" s="87"/>
      <c r="AR638" s="87"/>
      <c r="AS638" s="87"/>
      <c r="AT638" s="87"/>
      <c r="AU638" s="87"/>
      <c r="AV638" s="87"/>
      <c r="AW638" s="87"/>
      <c r="AX638" s="87"/>
      <c r="AY638" s="87"/>
      <c r="AZ638" s="87"/>
      <c r="BA638" s="87"/>
      <c r="BB638" s="87"/>
      <c r="BC638" s="87"/>
      <c r="BD638" s="87"/>
      <c r="BE638" s="87"/>
      <c r="BF638" s="87"/>
      <c r="BG638" s="87"/>
      <c r="BH638" s="87"/>
    </row>
    <row r="639" spans="1:60" ht="16">
      <c r="A639" s="82"/>
      <c r="B639" s="82"/>
      <c r="C639" s="82"/>
      <c r="D639" s="83"/>
      <c r="E639" s="84"/>
      <c r="F639" s="84"/>
      <c r="G639" s="84"/>
      <c r="H639" s="82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7"/>
      <c r="AA639" s="87"/>
      <c r="AB639" s="87"/>
      <c r="AC639" s="87"/>
      <c r="AD639" s="87"/>
      <c r="AE639" s="87"/>
      <c r="AF639" s="87"/>
      <c r="AG639" s="87"/>
      <c r="AH639" s="87"/>
      <c r="AI639" s="87"/>
      <c r="AJ639" s="87"/>
      <c r="AK639" s="87"/>
      <c r="AL639" s="87"/>
      <c r="AM639" s="87"/>
      <c r="AN639" s="87"/>
      <c r="AO639" s="87"/>
      <c r="AP639" s="87"/>
      <c r="AQ639" s="87"/>
      <c r="AR639" s="87"/>
      <c r="AS639" s="87"/>
      <c r="AT639" s="87"/>
      <c r="AU639" s="87"/>
      <c r="AV639" s="87"/>
      <c r="AW639" s="87"/>
      <c r="AX639" s="87"/>
      <c r="AY639" s="87"/>
      <c r="AZ639" s="87"/>
      <c r="BA639" s="87"/>
      <c r="BB639" s="87"/>
      <c r="BC639" s="87"/>
      <c r="BD639" s="87"/>
      <c r="BE639" s="87"/>
      <c r="BF639" s="87"/>
      <c r="BG639" s="87"/>
      <c r="BH639" s="87"/>
    </row>
    <row r="640" spans="1:60" ht="16">
      <c r="A640" s="82"/>
      <c r="B640" s="82"/>
      <c r="C640" s="82"/>
      <c r="D640" s="83"/>
      <c r="E640" s="84"/>
      <c r="F640" s="84"/>
      <c r="G640" s="84"/>
      <c r="H640" s="82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7"/>
      <c r="AA640" s="87"/>
      <c r="AB640" s="87"/>
      <c r="AC640" s="87"/>
      <c r="AD640" s="87"/>
      <c r="AE640" s="87"/>
      <c r="AF640" s="87"/>
      <c r="AG640" s="87"/>
      <c r="AH640" s="87"/>
      <c r="AI640" s="87"/>
      <c r="AJ640" s="87"/>
      <c r="AK640" s="87"/>
      <c r="AL640" s="87"/>
      <c r="AM640" s="87"/>
      <c r="AN640" s="87"/>
      <c r="AO640" s="87"/>
      <c r="AP640" s="87"/>
      <c r="AQ640" s="87"/>
      <c r="AR640" s="87"/>
      <c r="AS640" s="87"/>
      <c r="AT640" s="87"/>
      <c r="AU640" s="87"/>
      <c r="AV640" s="87"/>
      <c r="AW640" s="87"/>
      <c r="AX640" s="87"/>
      <c r="AY640" s="87"/>
      <c r="AZ640" s="87"/>
      <c r="BA640" s="87"/>
      <c r="BB640" s="87"/>
      <c r="BC640" s="87"/>
      <c r="BD640" s="87"/>
      <c r="BE640" s="87"/>
      <c r="BF640" s="87"/>
      <c r="BG640" s="87"/>
      <c r="BH640" s="87"/>
    </row>
    <row r="641" spans="1:60" ht="16">
      <c r="A641" s="82"/>
      <c r="B641" s="82"/>
      <c r="C641" s="82"/>
      <c r="D641" s="83"/>
      <c r="E641" s="84"/>
      <c r="F641" s="84"/>
      <c r="G641" s="84"/>
      <c r="H641" s="82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7"/>
      <c r="AA641" s="87"/>
      <c r="AB641" s="87"/>
      <c r="AC641" s="87"/>
      <c r="AD641" s="87"/>
      <c r="AE641" s="87"/>
      <c r="AF641" s="87"/>
      <c r="AG641" s="87"/>
      <c r="AH641" s="87"/>
      <c r="AI641" s="87"/>
      <c r="AJ641" s="87"/>
      <c r="AK641" s="87"/>
      <c r="AL641" s="87"/>
      <c r="AM641" s="87"/>
      <c r="AN641" s="87"/>
      <c r="AO641" s="87"/>
      <c r="AP641" s="87"/>
      <c r="AQ641" s="87"/>
      <c r="AR641" s="87"/>
      <c r="AS641" s="87"/>
      <c r="AT641" s="87"/>
      <c r="AU641" s="87"/>
      <c r="AV641" s="87"/>
      <c r="AW641" s="87"/>
      <c r="AX641" s="87"/>
      <c r="AY641" s="87"/>
      <c r="AZ641" s="87"/>
      <c r="BA641" s="87"/>
      <c r="BB641" s="87"/>
      <c r="BC641" s="87"/>
      <c r="BD641" s="87"/>
      <c r="BE641" s="87"/>
      <c r="BF641" s="87"/>
      <c r="BG641" s="87"/>
      <c r="BH641" s="87"/>
    </row>
    <row r="642" spans="1:60" ht="16">
      <c r="A642" s="82"/>
      <c r="B642" s="82"/>
      <c r="C642" s="82"/>
      <c r="D642" s="83"/>
      <c r="E642" s="84"/>
      <c r="F642" s="84"/>
      <c r="G642" s="84"/>
      <c r="H642" s="82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7"/>
      <c r="AA642" s="87"/>
      <c r="AB642" s="87"/>
      <c r="AC642" s="87"/>
      <c r="AD642" s="87"/>
      <c r="AE642" s="87"/>
      <c r="AF642" s="87"/>
      <c r="AG642" s="87"/>
      <c r="AH642" s="87"/>
      <c r="AI642" s="87"/>
      <c r="AJ642" s="87"/>
      <c r="AK642" s="87"/>
      <c r="AL642" s="87"/>
      <c r="AM642" s="87"/>
      <c r="AN642" s="87"/>
      <c r="AO642" s="87"/>
      <c r="AP642" s="87"/>
      <c r="AQ642" s="87"/>
      <c r="AR642" s="87"/>
      <c r="AS642" s="87"/>
      <c r="AT642" s="87"/>
      <c r="AU642" s="87"/>
      <c r="AV642" s="87"/>
      <c r="AW642" s="87"/>
      <c r="AX642" s="87"/>
      <c r="AY642" s="87"/>
      <c r="AZ642" s="87"/>
      <c r="BA642" s="87"/>
      <c r="BB642" s="87"/>
      <c r="BC642" s="87"/>
      <c r="BD642" s="87"/>
      <c r="BE642" s="87"/>
      <c r="BF642" s="87"/>
      <c r="BG642" s="87"/>
      <c r="BH642" s="87"/>
    </row>
    <row r="643" spans="1:60" ht="16">
      <c r="A643" s="82"/>
      <c r="B643" s="82"/>
      <c r="C643" s="82"/>
      <c r="D643" s="83"/>
      <c r="E643" s="84"/>
      <c r="F643" s="84"/>
      <c r="G643" s="84"/>
      <c r="H643" s="82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7"/>
      <c r="AA643" s="87"/>
      <c r="AB643" s="87"/>
      <c r="AC643" s="87"/>
      <c r="AD643" s="87"/>
      <c r="AE643" s="87"/>
      <c r="AF643" s="87"/>
      <c r="AG643" s="87"/>
      <c r="AH643" s="87"/>
      <c r="AI643" s="87"/>
      <c r="AJ643" s="87"/>
      <c r="AK643" s="87"/>
      <c r="AL643" s="87"/>
      <c r="AM643" s="87"/>
      <c r="AN643" s="87"/>
      <c r="AO643" s="87"/>
      <c r="AP643" s="87"/>
      <c r="AQ643" s="87"/>
      <c r="AR643" s="87"/>
      <c r="AS643" s="87"/>
      <c r="AT643" s="87"/>
      <c r="AU643" s="87"/>
      <c r="AV643" s="87"/>
      <c r="AW643" s="87"/>
      <c r="AX643" s="87"/>
      <c r="AY643" s="87"/>
      <c r="AZ643" s="87"/>
      <c r="BA643" s="87"/>
      <c r="BB643" s="87"/>
      <c r="BC643" s="87"/>
      <c r="BD643" s="87"/>
      <c r="BE643" s="87"/>
      <c r="BF643" s="87"/>
      <c r="BG643" s="87"/>
      <c r="BH643" s="87"/>
    </row>
    <row r="644" spans="1:60" ht="16">
      <c r="A644" s="82"/>
      <c r="B644" s="82"/>
      <c r="C644" s="82"/>
      <c r="D644" s="83"/>
      <c r="E644" s="84"/>
      <c r="F644" s="84"/>
      <c r="G644" s="84"/>
      <c r="H644" s="82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7"/>
      <c r="AA644" s="87"/>
      <c r="AB644" s="87"/>
      <c r="AC644" s="87"/>
      <c r="AD644" s="87"/>
      <c r="AE644" s="87"/>
      <c r="AF644" s="87"/>
      <c r="AG644" s="87"/>
      <c r="AH644" s="87"/>
      <c r="AI644" s="87"/>
      <c r="AJ644" s="87"/>
      <c r="AK644" s="87"/>
      <c r="AL644" s="87"/>
      <c r="AM644" s="87"/>
      <c r="AN644" s="87"/>
      <c r="AO644" s="87"/>
      <c r="AP644" s="87"/>
      <c r="AQ644" s="87"/>
      <c r="AR644" s="87"/>
      <c r="AS644" s="87"/>
      <c r="AT644" s="87"/>
      <c r="AU644" s="87"/>
      <c r="AV644" s="87"/>
      <c r="AW644" s="87"/>
      <c r="AX644" s="87"/>
      <c r="AY644" s="87"/>
      <c r="AZ644" s="87"/>
      <c r="BA644" s="87"/>
      <c r="BB644" s="87"/>
      <c r="BC644" s="87"/>
      <c r="BD644" s="87"/>
      <c r="BE644" s="87"/>
      <c r="BF644" s="87"/>
      <c r="BG644" s="87"/>
      <c r="BH644" s="87"/>
    </row>
    <row r="645" spans="1:60" ht="16">
      <c r="A645" s="82"/>
      <c r="B645" s="82"/>
      <c r="C645" s="82"/>
      <c r="D645" s="83"/>
      <c r="E645" s="84"/>
      <c r="F645" s="84"/>
      <c r="G645" s="84"/>
      <c r="H645" s="82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7"/>
      <c r="AA645" s="87"/>
      <c r="AB645" s="87"/>
      <c r="AC645" s="87"/>
      <c r="AD645" s="87"/>
      <c r="AE645" s="87"/>
      <c r="AF645" s="87"/>
      <c r="AG645" s="87"/>
      <c r="AH645" s="87"/>
      <c r="AI645" s="87"/>
      <c r="AJ645" s="87"/>
      <c r="AK645" s="87"/>
      <c r="AL645" s="87"/>
      <c r="AM645" s="87"/>
      <c r="AN645" s="87"/>
      <c r="AO645" s="87"/>
      <c r="AP645" s="87"/>
      <c r="AQ645" s="87"/>
      <c r="AR645" s="87"/>
      <c r="AS645" s="87"/>
      <c r="AT645" s="87"/>
      <c r="AU645" s="87"/>
      <c r="AV645" s="87"/>
      <c r="AW645" s="87"/>
      <c r="AX645" s="87"/>
      <c r="AY645" s="87"/>
      <c r="AZ645" s="87"/>
      <c r="BA645" s="87"/>
      <c r="BB645" s="87"/>
      <c r="BC645" s="87"/>
      <c r="BD645" s="87"/>
      <c r="BE645" s="87"/>
      <c r="BF645" s="87"/>
      <c r="BG645" s="87"/>
      <c r="BH645" s="87"/>
    </row>
    <row r="646" spans="1:60" ht="16">
      <c r="A646" s="82"/>
      <c r="B646" s="82"/>
      <c r="C646" s="82"/>
      <c r="D646" s="83"/>
      <c r="E646" s="84"/>
      <c r="F646" s="84"/>
      <c r="G646" s="84"/>
      <c r="H646" s="82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7"/>
      <c r="AA646" s="87"/>
      <c r="AB646" s="87"/>
      <c r="AC646" s="87"/>
      <c r="AD646" s="87"/>
      <c r="AE646" s="87"/>
      <c r="AF646" s="87"/>
      <c r="AG646" s="87"/>
      <c r="AH646" s="87"/>
      <c r="AI646" s="87"/>
      <c r="AJ646" s="87"/>
      <c r="AK646" s="87"/>
      <c r="AL646" s="87"/>
      <c r="AM646" s="87"/>
      <c r="AN646" s="87"/>
      <c r="AO646" s="87"/>
      <c r="AP646" s="87"/>
      <c r="AQ646" s="87"/>
      <c r="AR646" s="87"/>
      <c r="AS646" s="87"/>
      <c r="AT646" s="87"/>
      <c r="AU646" s="87"/>
      <c r="AV646" s="87"/>
      <c r="AW646" s="87"/>
      <c r="AX646" s="87"/>
      <c r="AY646" s="87"/>
      <c r="AZ646" s="87"/>
      <c r="BA646" s="87"/>
      <c r="BB646" s="87"/>
      <c r="BC646" s="87"/>
      <c r="BD646" s="87"/>
      <c r="BE646" s="87"/>
      <c r="BF646" s="87"/>
      <c r="BG646" s="87"/>
      <c r="BH646" s="87"/>
    </row>
    <row r="647" spans="1:60" ht="16">
      <c r="A647" s="82"/>
      <c r="B647" s="82"/>
      <c r="C647" s="82"/>
      <c r="D647" s="83"/>
      <c r="E647" s="84"/>
      <c r="F647" s="84"/>
      <c r="G647" s="84"/>
      <c r="H647" s="82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7"/>
      <c r="AA647" s="87"/>
      <c r="AB647" s="87"/>
      <c r="AC647" s="87"/>
      <c r="AD647" s="87"/>
      <c r="AE647" s="87"/>
      <c r="AF647" s="87"/>
      <c r="AG647" s="87"/>
      <c r="AH647" s="87"/>
      <c r="AI647" s="87"/>
      <c r="AJ647" s="87"/>
      <c r="AK647" s="87"/>
      <c r="AL647" s="87"/>
      <c r="AM647" s="87"/>
      <c r="AN647" s="87"/>
      <c r="AO647" s="87"/>
      <c r="AP647" s="87"/>
      <c r="AQ647" s="87"/>
      <c r="AR647" s="87"/>
      <c r="AS647" s="87"/>
      <c r="AT647" s="87"/>
      <c r="AU647" s="87"/>
      <c r="AV647" s="87"/>
      <c r="AW647" s="87"/>
      <c r="AX647" s="87"/>
      <c r="AY647" s="87"/>
      <c r="AZ647" s="87"/>
      <c r="BA647" s="87"/>
      <c r="BB647" s="87"/>
      <c r="BC647" s="87"/>
      <c r="BD647" s="87"/>
      <c r="BE647" s="87"/>
      <c r="BF647" s="87"/>
      <c r="BG647" s="87"/>
      <c r="BH647" s="87"/>
    </row>
    <row r="648" spans="1:60" ht="16">
      <c r="A648" s="82"/>
      <c r="B648" s="82"/>
      <c r="C648" s="82"/>
      <c r="D648" s="83"/>
      <c r="E648" s="84"/>
      <c r="F648" s="84"/>
      <c r="G648" s="84"/>
      <c r="H648" s="82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7"/>
      <c r="AA648" s="87"/>
      <c r="AB648" s="87"/>
      <c r="AC648" s="87"/>
      <c r="AD648" s="87"/>
      <c r="AE648" s="87"/>
      <c r="AF648" s="87"/>
      <c r="AG648" s="87"/>
      <c r="AH648" s="87"/>
      <c r="AI648" s="87"/>
      <c r="AJ648" s="87"/>
      <c r="AK648" s="87"/>
      <c r="AL648" s="87"/>
      <c r="AM648" s="87"/>
      <c r="AN648" s="87"/>
      <c r="AO648" s="87"/>
      <c r="AP648" s="87"/>
      <c r="AQ648" s="87"/>
      <c r="AR648" s="87"/>
      <c r="AS648" s="87"/>
      <c r="AT648" s="87"/>
      <c r="AU648" s="87"/>
      <c r="AV648" s="87"/>
      <c r="AW648" s="87"/>
      <c r="AX648" s="87"/>
      <c r="AY648" s="87"/>
      <c r="AZ648" s="87"/>
      <c r="BA648" s="87"/>
      <c r="BB648" s="87"/>
      <c r="BC648" s="87"/>
      <c r="BD648" s="87"/>
      <c r="BE648" s="87"/>
      <c r="BF648" s="87"/>
      <c r="BG648" s="87"/>
      <c r="BH648" s="87"/>
    </row>
    <row r="649" spans="1:60" ht="16">
      <c r="A649" s="82"/>
      <c r="B649" s="82"/>
      <c r="C649" s="82"/>
      <c r="D649" s="83"/>
      <c r="E649" s="84"/>
      <c r="F649" s="84"/>
      <c r="G649" s="84"/>
      <c r="H649" s="82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7"/>
      <c r="AA649" s="87"/>
      <c r="AB649" s="87"/>
      <c r="AC649" s="87"/>
      <c r="AD649" s="87"/>
      <c r="AE649" s="87"/>
      <c r="AF649" s="87"/>
      <c r="AG649" s="87"/>
      <c r="AH649" s="87"/>
      <c r="AI649" s="87"/>
      <c r="AJ649" s="87"/>
      <c r="AK649" s="87"/>
      <c r="AL649" s="87"/>
      <c r="AM649" s="87"/>
      <c r="AN649" s="87"/>
      <c r="AO649" s="87"/>
      <c r="AP649" s="87"/>
      <c r="AQ649" s="87"/>
      <c r="AR649" s="87"/>
      <c r="AS649" s="87"/>
      <c r="AT649" s="87"/>
      <c r="AU649" s="87"/>
      <c r="AV649" s="87"/>
      <c r="AW649" s="87"/>
      <c r="AX649" s="87"/>
      <c r="AY649" s="87"/>
      <c r="AZ649" s="87"/>
      <c r="BA649" s="87"/>
      <c r="BB649" s="87"/>
      <c r="BC649" s="87"/>
      <c r="BD649" s="87"/>
      <c r="BE649" s="87"/>
      <c r="BF649" s="87"/>
      <c r="BG649" s="87"/>
      <c r="BH649" s="87"/>
    </row>
    <row r="650" spans="1:60" ht="16">
      <c r="A650" s="82"/>
      <c r="B650" s="82"/>
      <c r="C650" s="82"/>
      <c r="D650" s="83"/>
      <c r="E650" s="84"/>
      <c r="F650" s="84"/>
      <c r="G650" s="84"/>
      <c r="H650" s="82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7"/>
      <c r="AA650" s="87"/>
      <c r="AB650" s="87"/>
      <c r="AC650" s="87"/>
      <c r="AD650" s="87"/>
      <c r="AE650" s="87"/>
      <c r="AF650" s="87"/>
      <c r="AG650" s="87"/>
      <c r="AH650" s="87"/>
      <c r="AI650" s="87"/>
      <c r="AJ650" s="87"/>
      <c r="AK650" s="87"/>
      <c r="AL650" s="87"/>
      <c r="AM650" s="87"/>
      <c r="AN650" s="87"/>
      <c r="AO650" s="87"/>
      <c r="AP650" s="87"/>
      <c r="AQ650" s="87"/>
      <c r="AR650" s="87"/>
      <c r="AS650" s="87"/>
      <c r="AT650" s="87"/>
      <c r="AU650" s="87"/>
      <c r="AV650" s="87"/>
      <c r="AW650" s="87"/>
      <c r="AX650" s="87"/>
      <c r="AY650" s="87"/>
      <c r="AZ650" s="87"/>
      <c r="BA650" s="87"/>
      <c r="BB650" s="87"/>
      <c r="BC650" s="87"/>
      <c r="BD650" s="87"/>
      <c r="BE650" s="87"/>
      <c r="BF650" s="87"/>
      <c r="BG650" s="87"/>
      <c r="BH650" s="87"/>
    </row>
    <row r="651" spans="1:60" ht="16">
      <c r="A651" s="82"/>
      <c r="B651" s="82"/>
      <c r="C651" s="82"/>
      <c r="D651" s="83"/>
      <c r="E651" s="84"/>
      <c r="F651" s="84"/>
      <c r="G651" s="84"/>
      <c r="H651" s="82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7"/>
      <c r="AA651" s="87"/>
      <c r="AB651" s="87"/>
      <c r="AC651" s="87"/>
      <c r="AD651" s="87"/>
      <c r="AE651" s="87"/>
      <c r="AF651" s="87"/>
      <c r="AG651" s="87"/>
      <c r="AH651" s="87"/>
      <c r="AI651" s="87"/>
      <c r="AJ651" s="87"/>
      <c r="AK651" s="87"/>
      <c r="AL651" s="87"/>
      <c r="AM651" s="87"/>
      <c r="AN651" s="87"/>
      <c r="AO651" s="87"/>
      <c r="AP651" s="87"/>
      <c r="AQ651" s="87"/>
      <c r="AR651" s="87"/>
      <c r="AS651" s="87"/>
      <c r="AT651" s="87"/>
      <c r="AU651" s="87"/>
      <c r="AV651" s="87"/>
      <c r="AW651" s="87"/>
      <c r="AX651" s="87"/>
      <c r="AY651" s="87"/>
      <c r="AZ651" s="87"/>
      <c r="BA651" s="87"/>
      <c r="BB651" s="87"/>
      <c r="BC651" s="87"/>
      <c r="BD651" s="87"/>
      <c r="BE651" s="87"/>
      <c r="BF651" s="87"/>
      <c r="BG651" s="87"/>
      <c r="BH651" s="87"/>
    </row>
    <row r="652" spans="1:60" ht="16">
      <c r="A652" s="82"/>
      <c r="B652" s="82"/>
      <c r="C652" s="82"/>
      <c r="D652" s="83"/>
      <c r="E652" s="84"/>
      <c r="F652" s="84"/>
      <c r="G652" s="84"/>
      <c r="H652" s="82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7"/>
      <c r="AA652" s="87"/>
      <c r="AB652" s="87"/>
      <c r="AC652" s="87"/>
      <c r="AD652" s="87"/>
      <c r="AE652" s="87"/>
      <c r="AF652" s="87"/>
      <c r="AG652" s="87"/>
      <c r="AH652" s="87"/>
      <c r="AI652" s="87"/>
      <c r="AJ652" s="87"/>
      <c r="AK652" s="87"/>
      <c r="AL652" s="87"/>
      <c r="AM652" s="87"/>
      <c r="AN652" s="87"/>
      <c r="AO652" s="87"/>
      <c r="AP652" s="87"/>
      <c r="AQ652" s="87"/>
      <c r="AR652" s="87"/>
      <c r="AS652" s="87"/>
      <c r="AT652" s="87"/>
      <c r="AU652" s="87"/>
      <c r="AV652" s="87"/>
      <c r="AW652" s="87"/>
      <c r="AX652" s="87"/>
      <c r="AY652" s="87"/>
      <c r="AZ652" s="87"/>
      <c r="BA652" s="87"/>
      <c r="BB652" s="87"/>
      <c r="BC652" s="87"/>
      <c r="BD652" s="87"/>
      <c r="BE652" s="87"/>
      <c r="BF652" s="87"/>
      <c r="BG652" s="87"/>
      <c r="BH652" s="87"/>
    </row>
    <row r="653" spans="1:60" ht="16">
      <c r="A653" s="82"/>
      <c r="B653" s="82"/>
      <c r="C653" s="82"/>
      <c r="D653" s="83"/>
      <c r="E653" s="84"/>
      <c r="F653" s="84"/>
      <c r="G653" s="84"/>
      <c r="H653" s="82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7"/>
      <c r="AA653" s="87"/>
      <c r="AB653" s="87"/>
      <c r="AC653" s="87"/>
      <c r="AD653" s="87"/>
      <c r="AE653" s="87"/>
      <c r="AF653" s="87"/>
      <c r="AG653" s="87"/>
      <c r="AH653" s="87"/>
      <c r="AI653" s="87"/>
      <c r="AJ653" s="87"/>
      <c r="AK653" s="87"/>
      <c r="AL653" s="87"/>
      <c r="AM653" s="87"/>
      <c r="AN653" s="87"/>
      <c r="AO653" s="87"/>
      <c r="AP653" s="87"/>
      <c r="AQ653" s="87"/>
      <c r="AR653" s="87"/>
      <c r="AS653" s="87"/>
      <c r="AT653" s="87"/>
      <c r="AU653" s="87"/>
      <c r="AV653" s="87"/>
      <c r="AW653" s="87"/>
      <c r="AX653" s="87"/>
      <c r="AY653" s="87"/>
      <c r="AZ653" s="87"/>
      <c r="BA653" s="87"/>
      <c r="BB653" s="87"/>
      <c r="BC653" s="87"/>
      <c r="BD653" s="87"/>
      <c r="BE653" s="87"/>
      <c r="BF653" s="87"/>
      <c r="BG653" s="87"/>
      <c r="BH653" s="87"/>
    </row>
    <row r="654" spans="1:60" ht="16">
      <c r="A654" s="82"/>
      <c r="B654" s="82"/>
      <c r="C654" s="82"/>
      <c r="D654" s="83"/>
      <c r="E654" s="84"/>
      <c r="F654" s="84"/>
      <c r="G654" s="84"/>
      <c r="H654" s="82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7"/>
      <c r="AA654" s="87"/>
      <c r="AB654" s="87"/>
      <c r="AC654" s="87"/>
      <c r="AD654" s="87"/>
      <c r="AE654" s="87"/>
      <c r="AF654" s="87"/>
      <c r="AG654" s="87"/>
      <c r="AH654" s="87"/>
      <c r="AI654" s="87"/>
      <c r="AJ654" s="87"/>
      <c r="AK654" s="87"/>
      <c r="AL654" s="87"/>
      <c r="AM654" s="87"/>
      <c r="AN654" s="87"/>
      <c r="AO654" s="87"/>
      <c r="AP654" s="87"/>
      <c r="AQ654" s="87"/>
      <c r="AR654" s="87"/>
      <c r="AS654" s="87"/>
      <c r="AT654" s="87"/>
      <c r="AU654" s="87"/>
      <c r="AV654" s="87"/>
      <c r="AW654" s="87"/>
      <c r="AX654" s="87"/>
      <c r="AY654" s="87"/>
      <c r="AZ654" s="87"/>
      <c r="BA654" s="87"/>
      <c r="BB654" s="87"/>
      <c r="BC654" s="87"/>
      <c r="BD654" s="87"/>
      <c r="BE654" s="87"/>
      <c r="BF654" s="87"/>
      <c r="BG654" s="87"/>
      <c r="BH654" s="87"/>
    </row>
    <row r="655" spans="1:60" ht="16">
      <c r="A655" s="82"/>
      <c r="B655" s="82"/>
      <c r="C655" s="82"/>
      <c r="D655" s="83"/>
      <c r="E655" s="84"/>
      <c r="F655" s="84"/>
      <c r="G655" s="84"/>
      <c r="H655" s="82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7"/>
      <c r="AA655" s="87"/>
      <c r="AB655" s="87"/>
      <c r="AC655" s="87"/>
      <c r="AD655" s="87"/>
      <c r="AE655" s="87"/>
      <c r="AF655" s="87"/>
      <c r="AG655" s="87"/>
      <c r="AH655" s="87"/>
      <c r="AI655" s="87"/>
      <c r="AJ655" s="87"/>
      <c r="AK655" s="87"/>
      <c r="AL655" s="87"/>
      <c r="AM655" s="87"/>
      <c r="AN655" s="87"/>
      <c r="AO655" s="87"/>
      <c r="AP655" s="87"/>
      <c r="AQ655" s="87"/>
      <c r="AR655" s="87"/>
      <c r="AS655" s="87"/>
      <c r="AT655" s="87"/>
      <c r="AU655" s="87"/>
      <c r="AV655" s="87"/>
      <c r="AW655" s="87"/>
      <c r="AX655" s="87"/>
      <c r="AY655" s="87"/>
      <c r="AZ655" s="87"/>
      <c r="BA655" s="87"/>
      <c r="BB655" s="87"/>
      <c r="BC655" s="87"/>
      <c r="BD655" s="87"/>
      <c r="BE655" s="87"/>
      <c r="BF655" s="87"/>
      <c r="BG655" s="87"/>
      <c r="BH655" s="87"/>
    </row>
    <row r="656" spans="1:60" ht="16">
      <c r="A656" s="82"/>
      <c r="B656" s="82"/>
      <c r="C656" s="82"/>
      <c r="D656" s="83"/>
      <c r="E656" s="84"/>
      <c r="F656" s="84"/>
      <c r="G656" s="84"/>
      <c r="H656" s="82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7"/>
      <c r="AA656" s="87"/>
      <c r="AB656" s="87"/>
      <c r="AC656" s="87"/>
      <c r="AD656" s="87"/>
      <c r="AE656" s="87"/>
      <c r="AF656" s="87"/>
      <c r="AG656" s="87"/>
      <c r="AH656" s="87"/>
      <c r="AI656" s="87"/>
      <c r="AJ656" s="87"/>
      <c r="AK656" s="87"/>
      <c r="AL656" s="87"/>
      <c r="AM656" s="87"/>
      <c r="AN656" s="87"/>
      <c r="AO656" s="87"/>
      <c r="AP656" s="87"/>
      <c r="AQ656" s="87"/>
      <c r="AR656" s="87"/>
      <c r="AS656" s="87"/>
      <c r="AT656" s="87"/>
      <c r="AU656" s="87"/>
      <c r="AV656" s="87"/>
      <c r="AW656" s="87"/>
      <c r="AX656" s="87"/>
      <c r="AY656" s="87"/>
      <c r="AZ656" s="87"/>
      <c r="BA656" s="87"/>
      <c r="BB656" s="87"/>
      <c r="BC656" s="87"/>
      <c r="BD656" s="87"/>
      <c r="BE656" s="87"/>
      <c r="BF656" s="87"/>
      <c r="BG656" s="87"/>
      <c r="BH656" s="87"/>
    </row>
    <row r="657" spans="1:60" ht="16">
      <c r="A657" s="82"/>
      <c r="B657" s="82"/>
      <c r="C657" s="82"/>
      <c r="D657" s="83"/>
      <c r="E657" s="84"/>
      <c r="F657" s="84"/>
      <c r="G657" s="84"/>
      <c r="H657" s="82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7"/>
      <c r="AA657" s="87"/>
      <c r="AB657" s="87"/>
      <c r="AC657" s="87"/>
      <c r="AD657" s="87"/>
      <c r="AE657" s="87"/>
      <c r="AF657" s="87"/>
      <c r="AG657" s="87"/>
      <c r="AH657" s="87"/>
      <c r="AI657" s="87"/>
      <c r="AJ657" s="87"/>
      <c r="AK657" s="87"/>
      <c r="AL657" s="87"/>
      <c r="AM657" s="87"/>
      <c r="AN657" s="87"/>
      <c r="AO657" s="87"/>
      <c r="AP657" s="87"/>
      <c r="AQ657" s="87"/>
      <c r="AR657" s="87"/>
      <c r="AS657" s="87"/>
      <c r="AT657" s="87"/>
      <c r="AU657" s="87"/>
      <c r="AV657" s="87"/>
      <c r="AW657" s="87"/>
      <c r="AX657" s="87"/>
      <c r="AY657" s="87"/>
      <c r="AZ657" s="87"/>
      <c r="BA657" s="87"/>
      <c r="BB657" s="87"/>
      <c r="BC657" s="87"/>
      <c r="BD657" s="87"/>
      <c r="BE657" s="87"/>
      <c r="BF657" s="87"/>
      <c r="BG657" s="87"/>
      <c r="BH657" s="87"/>
    </row>
    <row r="658" spans="1:60" ht="16">
      <c r="A658" s="82"/>
      <c r="B658" s="82"/>
      <c r="C658" s="82"/>
      <c r="D658" s="83"/>
      <c r="E658" s="84"/>
      <c r="F658" s="84"/>
      <c r="G658" s="84"/>
      <c r="H658" s="82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7"/>
      <c r="AA658" s="87"/>
      <c r="AB658" s="87"/>
      <c r="AC658" s="87"/>
      <c r="AD658" s="87"/>
      <c r="AE658" s="87"/>
      <c r="AF658" s="87"/>
      <c r="AG658" s="87"/>
      <c r="AH658" s="87"/>
      <c r="AI658" s="87"/>
      <c r="AJ658" s="87"/>
      <c r="AK658" s="87"/>
      <c r="AL658" s="87"/>
      <c r="AM658" s="87"/>
      <c r="AN658" s="87"/>
      <c r="AO658" s="87"/>
      <c r="AP658" s="87"/>
      <c r="AQ658" s="87"/>
      <c r="AR658" s="87"/>
      <c r="AS658" s="87"/>
      <c r="AT658" s="87"/>
      <c r="AU658" s="87"/>
      <c r="AV658" s="87"/>
      <c r="AW658" s="87"/>
      <c r="AX658" s="87"/>
      <c r="AY658" s="87"/>
      <c r="AZ658" s="87"/>
      <c r="BA658" s="87"/>
      <c r="BB658" s="87"/>
      <c r="BC658" s="87"/>
      <c r="BD658" s="87"/>
      <c r="BE658" s="87"/>
      <c r="BF658" s="87"/>
      <c r="BG658" s="87"/>
      <c r="BH658" s="87"/>
    </row>
    <row r="659" spans="1:60" ht="16">
      <c r="A659" s="82"/>
      <c r="B659" s="82"/>
      <c r="C659" s="82"/>
      <c r="D659" s="83"/>
      <c r="E659" s="84"/>
      <c r="F659" s="84"/>
      <c r="G659" s="84"/>
      <c r="H659" s="82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7"/>
      <c r="AA659" s="87"/>
      <c r="AB659" s="87"/>
      <c r="AC659" s="87"/>
      <c r="AD659" s="87"/>
      <c r="AE659" s="87"/>
      <c r="AF659" s="87"/>
      <c r="AG659" s="87"/>
      <c r="AH659" s="87"/>
      <c r="AI659" s="87"/>
      <c r="AJ659" s="87"/>
      <c r="AK659" s="87"/>
      <c r="AL659" s="87"/>
      <c r="AM659" s="87"/>
      <c r="AN659" s="87"/>
      <c r="AO659" s="87"/>
      <c r="AP659" s="87"/>
      <c r="AQ659" s="87"/>
      <c r="AR659" s="87"/>
      <c r="AS659" s="87"/>
      <c r="AT659" s="87"/>
      <c r="AU659" s="87"/>
      <c r="AV659" s="87"/>
      <c r="AW659" s="87"/>
      <c r="AX659" s="87"/>
      <c r="AY659" s="87"/>
      <c r="AZ659" s="87"/>
      <c r="BA659" s="87"/>
      <c r="BB659" s="87"/>
      <c r="BC659" s="87"/>
      <c r="BD659" s="87"/>
      <c r="BE659" s="87"/>
      <c r="BF659" s="87"/>
      <c r="BG659" s="87"/>
      <c r="BH659" s="87"/>
    </row>
    <row r="660" spans="1:60" ht="16">
      <c r="A660" s="82"/>
      <c r="B660" s="82"/>
      <c r="C660" s="82"/>
      <c r="D660" s="83"/>
      <c r="E660" s="84"/>
      <c r="F660" s="84"/>
      <c r="G660" s="84"/>
      <c r="H660" s="82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7"/>
      <c r="AA660" s="87"/>
      <c r="AB660" s="87"/>
      <c r="AC660" s="87"/>
      <c r="AD660" s="87"/>
      <c r="AE660" s="87"/>
      <c r="AF660" s="87"/>
      <c r="AG660" s="87"/>
      <c r="AH660" s="87"/>
      <c r="AI660" s="87"/>
      <c r="AJ660" s="87"/>
      <c r="AK660" s="87"/>
      <c r="AL660" s="87"/>
      <c r="AM660" s="87"/>
      <c r="AN660" s="87"/>
      <c r="AO660" s="87"/>
      <c r="AP660" s="87"/>
      <c r="AQ660" s="87"/>
      <c r="AR660" s="87"/>
      <c r="AS660" s="87"/>
      <c r="AT660" s="87"/>
      <c r="AU660" s="87"/>
      <c r="AV660" s="87"/>
      <c r="AW660" s="87"/>
      <c r="AX660" s="87"/>
      <c r="AY660" s="87"/>
      <c r="AZ660" s="87"/>
      <c r="BA660" s="87"/>
      <c r="BB660" s="87"/>
      <c r="BC660" s="87"/>
      <c r="BD660" s="87"/>
      <c r="BE660" s="87"/>
      <c r="BF660" s="87"/>
      <c r="BG660" s="87"/>
      <c r="BH660" s="87"/>
    </row>
    <row r="661" spans="1:60" ht="16">
      <c r="A661" s="82"/>
      <c r="B661" s="82"/>
      <c r="C661" s="82"/>
      <c r="D661" s="83"/>
      <c r="E661" s="84"/>
      <c r="F661" s="84"/>
      <c r="G661" s="84"/>
      <c r="H661" s="82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7"/>
      <c r="AA661" s="87"/>
      <c r="AB661" s="87"/>
      <c r="AC661" s="87"/>
      <c r="AD661" s="87"/>
      <c r="AE661" s="87"/>
      <c r="AF661" s="87"/>
      <c r="AG661" s="87"/>
      <c r="AH661" s="87"/>
      <c r="AI661" s="87"/>
      <c r="AJ661" s="87"/>
      <c r="AK661" s="87"/>
      <c r="AL661" s="87"/>
      <c r="AM661" s="87"/>
      <c r="AN661" s="87"/>
      <c r="AO661" s="87"/>
      <c r="AP661" s="87"/>
      <c r="AQ661" s="87"/>
      <c r="AR661" s="87"/>
      <c r="AS661" s="87"/>
      <c r="AT661" s="87"/>
      <c r="AU661" s="87"/>
      <c r="AV661" s="87"/>
      <c r="AW661" s="87"/>
      <c r="AX661" s="87"/>
      <c r="AY661" s="87"/>
      <c r="AZ661" s="87"/>
      <c r="BA661" s="87"/>
      <c r="BB661" s="87"/>
      <c r="BC661" s="87"/>
      <c r="BD661" s="87"/>
      <c r="BE661" s="87"/>
      <c r="BF661" s="87"/>
      <c r="BG661" s="87"/>
      <c r="BH661" s="87"/>
    </row>
    <row r="662" spans="1:60" ht="16">
      <c r="A662" s="82"/>
      <c r="B662" s="82"/>
      <c r="C662" s="82"/>
      <c r="D662" s="83"/>
      <c r="E662" s="84"/>
      <c r="F662" s="84"/>
      <c r="G662" s="84"/>
      <c r="H662" s="82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7"/>
      <c r="AA662" s="87"/>
      <c r="AB662" s="87"/>
      <c r="AC662" s="87"/>
      <c r="AD662" s="87"/>
      <c r="AE662" s="87"/>
      <c r="AF662" s="87"/>
      <c r="AG662" s="87"/>
      <c r="AH662" s="87"/>
      <c r="AI662" s="87"/>
      <c r="AJ662" s="87"/>
      <c r="AK662" s="87"/>
      <c r="AL662" s="87"/>
      <c r="AM662" s="87"/>
      <c r="AN662" s="87"/>
      <c r="AO662" s="87"/>
      <c r="AP662" s="87"/>
      <c r="AQ662" s="87"/>
      <c r="AR662" s="87"/>
      <c r="AS662" s="87"/>
      <c r="AT662" s="87"/>
      <c r="AU662" s="87"/>
      <c r="AV662" s="87"/>
      <c r="AW662" s="87"/>
      <c r="AX662" s="87"/>
      <c r="AY662" s="87"/>
      <c r="AZ662" s="87"/>
      <c r="BA662" s="87"/>
      <c r="BB662" s="87"/>
      <c r="BC662" s="87"/>
      <c r="BD662" s="87"/>
      <c r="BE662" s="87"/>
      <c r="BF662" s="87"/>
      <c r="BG662" s="87"/>
      <c r="BH662" s="87"/>
    </row>
    <row r="663" spans="1:60" ht="16">
      <c r="A663" s="82"/>
      <c r="B663" s="82"/>
      <c r="C663" s="82"/>
      <c r="D663" s="83"/>
      <c r="E663" s="84"/>
      <c r="F663" s="84"/>
      <c r="G663" s="84"/>
      <c r="H663" s="82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7"/>
      <c r="AA663" s="87"/>
      <c r="AB663" s="87"/>
      <c r="AC663" s="87"/>
      <c r="AD663" s="87"/>
      <c r="AE663" s="87"/>
      <c r="AF663" s="87"/>
      <c r="AG663" s="87"/>
      <c r="AH663" s="87"/>
      <c r="AI663" s="87"/>
      <c r="AJ663" s="87"/>
      <c r="AK663" s="87"/>
      <c r="AL663" s="87"/>
      <c r="AM663" s="87"/>
      <c r="AN663" s="87"/>
      <c r="AO663" s="87"/>
      <c r="AP663" s="87"/>
      <c r="AQ663" s="87"/>
      <c r="AR663" s="87"/>
      <c r="AS663" s="87"/>
      <c r="AT663" s="87"/>
      <c r="AU663" s="87"/>
      <c r="AV663" s="87"/>
      <c r="AW663" s="87"/>
      <c r="AX663" s="87"/>
      <c r="AY663" s="87"/>
      <c r="AZ663" s="87"/>
      <c r="BA663" s="87"/>
      <c r="BB663" s="87"/>
      <c r="BC663" s="87"/>
      <c r="BD663" s="87"/>
      <c r="BE663" s="87"/>
      <c r="BF663" s="87"/>
      <c r="BG663" s="87"/>
      <c r="BH663" s="87"/>
    </row>
    <row r="664" spans="1:60" ht="16">
      <c r="A664" s="82"/>
      <c r="B664" s="82"/>
      <c r="C664" s="82"/>
      <c r="D664" s="83"/>
      <c r="E664" s="84"/>
      <c r="F664" s="84"/>
      <c r="G664" s="84"/>
      <c r="H664" s="82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7"/>
      <c r="AA664" s="87"/>
      <c r="AB664" s="87"/>
      <c r="AC664" s="87"/>
      <c r="AD664" s="87"/>
      <c r="AE664" s="87"/>
      <c r="AF664" s="87"/>
      <c r="AG664" s="87"/>
      <c r="AH664" s="87"/>
      <c r="AI664" s="87"/>
      <c r="AJ664" s="87"/>
      <c r="AK664" s="87"/>
      <c r="AL664" s="87"/>
      <c r="AM664" s="87"/>
      <c r="AN664" s="87"/>
      <c r="AO664" s="87"/>
      <c r="AP664" s="87"/>
      <c r="AQ664" s="87"/>
      <c r="AR664" s="87"/>
      <c r="AS664" s="87"/>
      <c r="AT664" s="87"/>
      <c r="AU664" s="87"/>
      <c r="AV664" s="87"/>
      <c r="AW664" s="87"/>
      <c r="AX664" s="87"/>
      <c r="AY664" s="87"/>
      <c r="AZ664" s="87"/>
      <c r="BA664" s="87"/>
      <c r="BB664" s="87"/>
      <c r="BC664" s="87"/>
      <c r="BD664" s="87"/>
      <c r="BE664" s="87"/>
      <c r="BF664" s="87"/>
      <c r="BG664" s="87"/>
      <c r="BH664" s="87"/>
    </row>
    <row r="665" spans="1:60" ht="16">
      <c r="A665" s="82"/>
      <c r="B665" s="82"/>
      <c r="C665" s="82"/>
      <c r="D665" s="83"/>
      <c r="E665" s="84"/>
      <c r="F665" s="84"/>
      <c r="G665" s="84"/>
      <c r="H665" s="82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7"/>
      <c r="AA665" s="87"/>
      <c r="AB665" s="87"/>
      <c r="AC665" s="87"/>
      <c r="AD665" s="87"/>
      <c r="AE665" s="87"/>
      <c r="AF665" s="87"/>
      <c r="AG665" s="87"/>
      <c r="AH665" s="87"/>
      <c r="AI665" s="87"/>
      <c r="AJ665" s="87"/>
      <c r="AK665" s="87"/>
      <c r="AL665" s="87"/>
      <c r="AM665" s="87"/>
      <c r="AN665" s="87"/>
      <c r="AO665" s="87"/>
      <c r="AP665" s="87"/>
      <c r="AQ665" s="87"/>
      <c r="AR665" s="87"/>
      <c r="AS665" s="87"/>
      <c r="AT665" s="87"/>
      <c r="AU665" s="87"/>
      <c r="AV665" s="87"/>
      <c r="AW665" s="87"/>
      <c r="AX665" s="87"/>
      <c r="AY665" s="87"/>
      <c r="AZ665" s="87"/>
      <c r="BA665" s="87"/>
      <c r="BB665" s="87"/>
      <c r="BC665" s="87"/>
      <c r="BD665" s="87"/>
      <c r="BE665" s="87"/>
      <c r="BF665" s="87"/>
      <c r="BG665" s="87"/>
      <c r="BH665" s="87"/>
    </row>
    <row r="666" spans="1:60" ht="16">
      <c r="A666" s="82"/>
      <c r="B666" s="82"/>
      <c r="C666" s="82"/>
      <c r="D666" s="83"/>
      <c r="E666" s="84"/>
      <c r="F666" s="84"/>
      <c r="G666" s="84"/>
      <c r="H666" s="82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7"/>
      <c r="AA666" s="87"/>
      <c r="AB666" s="87"/>
      <c r="AC666" s="87"/>
      <c r="AD666" s="87"/>
      <c r="AE666" s="87"/>
      <c r="AF666" s="87"/>
      <c r="AG666" s="87"/>
      <c r="AH666" s="87"/>
      <c r="AI666" s="87"/>
      <c r="AJ666" s="87"/>
      <c r="AK666" s="87"/>
      <c r="AL666" s="87"/>
      <c r="AM666" s="87"/>
      <c r="AN666" s="87"/>
      <c r="AO666" s="87"/>
      <c r="AP666" s="87"/>
      <c r="AQ666" s="87"/>
      <c r="AR666" s="87"/>
      <c r="AS666" s="87"/>
      <c r="AT666" s="87"/>
      <c r="AU666" s="87"/>
      <c r="AV666" s="87"/>
      <c r="AW666" s="87"/>
      <c r="AX666" s="87"/>
      <c r="AY666" s="87"/>
      <c r="AZ666" s="87"/>
      <c r="BA666" s="87"/>
      <c r="BB666" s="87"/>
      <c r="BC666" s="87"/>
      <c r="BD666" s="87"/>
      <c r="BE666" s="87"/>
      <c r="BF666" s="87"/>
      <c r="BG666" s="87"/>
      <c r="BH666" s="87"/>
    </row>
    <row r="667" spans="1:60" ht="16">
      <c r="A667" s="82"/>
      <c r="B667" s="82"/>
      <c r="C667" s="82"/>
      <c r="D667" s="83"/>
      <c r="E667" s="84"/>
      <c r="F667" s="84"/>
      <c r="G667" s="84"/>
      <c r="H667" s="82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7"/>
      <c r="AA667" s="87"/>
      <c r="AB667" s="87"/>
      <c r="AC667" s="87"/>
      <c r="AD667" s="87"/>
      <c r="AE667" s="87"/>
      <c r="AF667" s="87"/>
      <c r="AG667" s="87"/>
      <c r="AH667" s="87"/>
      <c r="AI667" s="87"/>
      <c r="AJ667" s="87"/>
      <c r="AK667" s="87"/>
      <c r="AL667" s="87"/>
      <c r="AM667" s="87"/>
      <c r="AN667" s="87"/>
      <c r="AO667" s="87"/>
      <c r="AP667" s="87"/>
      <c r="AQ667" s="87"/>
      <c r="AR667" s="87"/>
      <c r="AS667" s="87"/>
      <c r="AT667" s="87"/>
      <c r="AU667" s="87"/>
      <c r="AV667" s="87"/>
      <c r="AW667" s="87"/>
      <c r="AX667" s="87"/>
      <c r="AY667" s="87"/>
      <c r="AZ667" s="87"/>
      <c r="BA667" s="87"/>
      <c r="BB667" s="87"/>
      <c r="BC667" s="87"/>
      <c r="BD667" s="87"/>
      <c r="BE667" s="87"/>
      <c r="BF667" s="87"/>
      <c r="BG667" s="87"/>
      <c r="BH667" s="87"/>
    </row>
    <row r="668" spans="1:60" ht="16">
      <c r="A668" s="82"/>
      <c r="B668" s="82"/>
      <c r="C668" s="82"/>
      <c r="D668" s="83"/>
      <c r="E668" s="84"/>
      <c r="F668" s="84"/>
      <c r="G668" s="84"/>
      <c r="H668" s="82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7"/>
      <c r="AA668" s="87"/>
      <c r="AB668" s="87"/>
      <c r="AC668" s="87"/>
      <c r="AD668" s="87"/>
      <c r="AE668" s="87"/>
      <c r="AF668" s="87"/>
      <c r="AG668" s="87"/>
      <c r="AH668" s="87"/>
      <c r="AI668" s="87"/>
      <c r="AJ668" s="87"/>
      <c r="AK668" s="87"/>
      <c r="AL668" s="87"/>
      <c r="AM668" s="87"/>
      <c r="AN668" s="87"/>
      <c r="AO668" s="87"/>
      <c r="AP668" s="87"/>
      <c r="AQ668" s="87"/>
      <c r="AR668" s="87"/>
      <c r="AS668" s="87"/>
      <c r="AT668" s="87"/>
      <c r="AU668" s="87"/>
      <c r="AV668" s="87"/>
      <c r="AW668" s="87"/>
      <c r="AX668" s="87"/>
      <c r="AY668" s="87"/>
      <c r="AZ668" s="87"/>
      <c r="BA668" s="87"/>
      <c r="BB668" s="87"/>
      <c r="BC668" s="87"/>
      <c r="BD668" s="87"/>
      <c r="BE668" s="87"/>
      <c r="BF668" s="87"/>
      <c r="BG668" s="87"/>
      <c r="BH668" s="87"/>
    </row>
    <row r="669" spans="1:60" ht="16">
      <c r="A669" s="82"/>
      <c r="B669" s="82"/>
      <c r="C669" s="82"/>
      <c r="D669" s="83"/>
      <c r="E669" s="84"/>
      <c r="F669" s="84"/>
      <c r="G669" s="84"/>
      <c r="H669" s="82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7"/>
      <c r="AA669" s="87"/>
      <c r="AB669" s="87"/>
      <c r="AC669" s="87"/>
      <c r="AD669" s="87"/>
      <c r="AE669" s="87"/>
      <c r="AF669" s="87"/>
      <c r="AG669" s="87"/>
      <c r="AH669" s="87"/>
      <c r="AI669" s="87"/>
      <c r="AJ669" s="87"/>
      <c r="AK669" s="87"/>
      <c r="AL669" s="87"/>
      <c r="AM669" s="87"/>
      <c r="AN669" s="87"/>
      <c r="AO669" s="87"/>
      <c r="AP669" s="87"/>
      <c r="AQ669" s="87"/>
      <c r="AR669" s="87"/>
      <c r="AS669" s="87"/>
      <c r="AT669" s="87"/>
      <c r="AU669" s="87"/>
      <c r="AV669" s="87"/>
      <c r="AW669" s="87"/>
      <c r="AX669" s="87"/>
      <c r="AY669" s="87"/>
      <c r="AZ669" s="87"/>
      <c r="BA669" s="87"/>
      <c r="BB669" s="87"/>
      <c r="BC669" s="87"/>
      <c r="BD669" s="87"/>
      <c r="BE669" s="87"/>
      <c r="BF669" s="87"/>
      <c r="BG669" s="87"/>
      <c r="BH669" s="87"/>
    </row>
    <row r="670" spans="1:60" ht="16">
      <c r="A670" s="82"/>
      <c r="B670" s="82"/>
      <c r="C670" s="82"/>
      <c r="D670" s="83"/>
      <c r="E670" s="84"/>
      <c r="F670" s="84"/>
      <c r="G670" s="84"/>
      <c r="H670" s="82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7"/>
      <c r="AA670" s="87"/>
      <c r="AB670" s="87"/>
      <c r="AC670" s="87"/>
      <c r="AD670" s="87"/>
      <c r="AE670" s="87"/>
      <c r="AF670" s="87"/>
      <c r="AG670" s="87"/>
      <c r="AH670" s="87"/>
      <c r="AI670" s="87"/>
      <c r="AJ670" s="87"/>
      <c r="AK670" s="87"/>
      <c r="AL670" s="87"/>
      <c r="AM670" s="87"/>
      <c r="AN670" s="87"/>
      <c r="AO670" s="87"/>
      <c r="AP670" s="87"/>
      <c r="AQ670" s="87"/>
      <c r="AR670" s="87"/>
      <c r="AS670" s="87"/>
      <c r="AT670" s="87"/>
      <c r="AU670" s="87"/>
      <c r="AV670" s="87"/>
      <c r="AW670" s="87"/>
      <c r="AX670" s="87"/>
      <c r="AY670" s="87"/>
      <c r="AZ670" s="87"/>
      <c r="BA670" s="87"/>
      <c r="BB670" s="87"/>
      <c r="BC670" s="87"/>
      <c r="BD670" s="87"/>
      <c r="BE670" s="87"/>
      <c r="BF670" s="87"/>
      <c r="BG670" s="87"/>
      <c r="BH670" s="87"/>
    </row>
    <row r="671" spans="1:60" ht="16">
      <c r="A671" s="82"/>
      <c r="B671" s="82"/>
      <c r="C671" s="82"/>
      <c r="D671" s="83"/>
      <c r="E671" s="84"/>
      <c r="F671" s="84"/>
      <c r="G671" s="84"/>
      <c r="H671" s="82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7"/>
      <c r="AA671" s="87"/>
      <c r="AB671" s="87"/>
      <c r="AC671" s="87"/>
      <c r="AD671" s="87"/>
      <c r="AE671" s="87"/>
      <c r="AF671" s="87"/>
      <c r="AG671" s="87"/>
      <c r="AH671" s="87"/>
      <c r="AI671" s="87"/>
      <c r="AJ671" s="87"/>
      <c r="AK671" s="87"/>
      <c r="AL671" s="87"/>
      <c r="AM671" s="87"/>
      <c r="AN671" s="87"/>
      <c r="AO671" s="87"/>
      <c r="AP671" s="87"/>
      <c r="AQ671" s="87"/>
      <c r="AR671" s="87"/>
      <c r="AS671" s="87"/>
      <c r="AT671" s="87"/>
      <c r="AU671" s="87"/>
      <c r="AV671" s="87"/>
      <c r="AW671" s="87"/>
      <c r="AX671" s="87"/>
      <c r="AY671" s="87"/>
      <c r="AZ671" s="87"/>
      <c r="BA671" s="87"/>
      <c r="BB671" s="87"/>
      <c r="BC671" s="87"/>
      <c r="BD671" s="87"/>
      <c r="BE671" s="87"/>
      <c r="BF671" s="87"/>
      <c r="BG671" s="87"/>
      <c r="BH671" s="87"/>
    </row>
    <row r="672" spans="1:60" ht="16">
      <c r="A672" s="82"/>
      <c r="B672" s="82"/>
      <c r="C672" s="82"/>
      <c r="D672" s="83"/>
      <c r="E672" s="84"/>
      <c r="F672" s="84"/>
      <c r="G672" s="84"/>
      <c r="H672" s="82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7"/>
      <c r="AA672" s="87"/>
      <c r="AB672" s="87"/>
      <c r="AC672" s="87"/>
      <c r="AD672" s="87"/>
      <c r="AE672" s="87"/>
      <c r="AF672" s="87"/>
      <c r="AG672" s="87"/>
      <c r="AH672" s="87"/>
      <c r="AI672" s="87"/>
      <c r="AJ672" s="87"/>
      <c r="AK672" s="87"/>
      <c r="AL672" s="87"/>
      <c r="AM672" s="87"/>
      <c r="AN672" s="87"/>
      <c r="AO672" s="87"/>
      <c r="AP672" s="87"/>
      <c r="AQ672" s="87"/>
      <c r="AR672" s="87"/>
      <c r="AS672" s="87"/>
      <c r="AT672" s="87"/>
      <c r="AU672" s="87"/>
      <c r="AV672" s="87"/>
      <c r="AW672" s="87"/>
      <c r="AX672" s="87"/>
      <c r="AY672" s="87"/>
      <c r="AZ672" s="87"/>
      <c r="BA672" s="87"/>
      <c r="BB672" s="87"/>
      <c r="BC672" s="87"/>
      <c r="BD672" s="87"/>
      <c r="BE672" s="87"/>
      <c r="BF672" s="87"/>
      <c r="BG672" s="87"/>
      <c r="BH672" s="87"/>
    </row>
    <row r="673" spans="1:60" ht="16">
      <c r="A673" s="82"/>
      <c r="B673" s="82"/>
      <c r="C673" s="82"/>
      <c r="D673" s="83"/>
      <c r="E673" s="84"/>
      <c r="F673" s="84"/>
      <c r="G673" s="84"/>
      <c r="H673" s="82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7"/>
      <c r="AA673" s="87"/>
      <c r="AB673" s="87"/>
      <c r="AC673" s="87"/>
      <c r="AD673" s="87"/>
      <c r="AE673" s="87"/>
      <c r="AF673" s="87"/>
      <c r="AG673" s="87"/>
      <c r="AH673" s="87"/>
      <c r="AI673" s="87"/>
      <c r="AJ673" s="87"/>
      <c r="AK673" s="87"/>
      <c r="AL673" s="87"/>
      <c r="AM673" s="87"/>
      <c r="AN673" s="87"/>
      <c r="AO673" s="87"/>
      <c r="AP673" s="87"/>
      <c r="AQ673" s="87"/>
      <c r="AR673" s="87"/>
      <c r="AS673" s="87"/>
      <c r="AT673" s="87"/>
      <c r="AU673" s="87"/>
      <c r="AV673" s="87"/>
      <c r="AW673" s="87"/>
      <c r="AX673" s="87"/>
      <c r="AY673" s="87"/>
      <c r="AZ673" s="87"/>
      <c r="BA673" s="87"/>
      <c r="BB673" s="87"/>
      <c r="BC673" s="87"/>
      <c r="BD673" s="87"/>
      <c r="BE673" s="87"/>
      <c r="BF673" s="87"/>
      <c r="BG673" s="87"/>
      <c r="BH673" s="87"/>
    </row>
    <row r="674" spans="1:60" ht="16">
      <c r="A674" s="82"/>
      <c r="B674" s="82"/>
      <c r="C674" s="82"/>
      <c r="D674" s="83"/>
      <c r="E674" s="84"/>
      <c r="F674" s="84"/>
      <c r="G674" s="84"/>
      <c r="H674" s="82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7"/>
      <c r="AA674" s="87"/>
      <c r="AB674" s="87"/>
      <c r="AC674" s="87"/>
      <c r="AD674" s="87"/>
      <c r="AE674" s="87"/>
      <c r="AF674" s="87"/>
      <c r="AG674" s="87"/>
      <c r="AH674" s="87"/>
      <c r="AI674" s="87"/>
      <c r="AJ674" s="87"/>
      <c r="AK674" s="87"/>
      <c r="AL674" s="87"/>
      <c r="AM674" s="87"/>
      <c r="AN674" s="87"/>
      <c r="AO674" s="87"/>
      <c r="AP674" s="87"/>
      <c r="AQ674" s="87"/>
      <c r="AR674" s="87"/>
      <c r="AS674" s="87"/>
      <c r="AT674" s="87"/>
      <c r="AU674" s="87"/>
      <c r="AV674" s="87"/>
      <c r="AW674" s="87"/>
      <c r="AX674" s="87"/>
      <c r="AY674" s="87"/>
      <c r="AZ674" s="87"/>
      <c r="BA674" s="87"/>
      <c r="BB674" s="87"/>
      <c r="BC674" s="87"/>
      <c r="BD674" s="87"/>
      <c r="BE674" s="87"/>
      <c r="BF674" s="87"/>
      <c r="BG674" s="87"/>
      <c r="BH674" s="87"/>
    </row>
    <row r="675" spans="1:60" ht="16">
      <c r="A675" s="82"/>
      <c r="B675" s="82"/>
      <c r="C675" s="82"/>
      <c r="D675" s="83"/>
      <c r="E675" s="84"/>
      <c r="F675" s="84"/>
      <c r="G675" s="84"/>
      <c r="H675" s="82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7"/>
      <c r="AA675" s="87"/>
      <c r="AB675" s="87"/>
      <c r="AC675" s="87"/>
      <c r="AD675" s="87"/>
      <c r="AE675" s="87"/>
      <c r="AF675" s="87"/>
      <c r="AG675" s="87"/>
      <c r="AH675" s="87"/>
      <c r="AI675" s="87"/>
      <c r="AJ675" s="87"/>
      <c r="AK675" s="87"/>
      <c r="AL675" s="87"/>
      <c r="AM675" s="87"/>
      <c r="AN675" s="87"/>
      <c r="AO675" s="87"/>
      <c r="AP675" s="87"/>
      <c r="AQ675" s="87"/>
      <c r="AR675" s="87"/>
      <c r="AS675" s="87"/>
      <c r="AT675" s="87"/>
      <c r="AU675" s="87"/>
      <c r="AV675" s="87"/>
      <c r="AW675" s="87"/>
      <c r="AX675" s="87"/>
      <c r="AY675" s="87"/>
      <c r="AZ675" s="87"/>
      <c r="BA675" s="87"/>
      <c r="BB675" s="87"/>
      <c r="BC675" s="87"/>
      <c r="BD675" s="87"/>
      <c r="BE675" s="87"/>
      <c r="BF675" s="87"/>
      <c r="BG675" s="87"/>
      <c r="BH675" s="87"/>
    </row>
    <row r="676" spans="1:60" ht="16">
      <c r="A676" s="82"/>
      <c r="B676" s="82"/>
      <c r="C676" s="82"/>
      <c r="D676" s="83"/>
      <c r="E676" s="84"/>
      <c r="F676" s="84"/>
      <c r="G676" s="84"/>
      <c r="H676" s="82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7"/>
      <c r="AA676" s="87"/>
      <c r="AB676" s="87"/>
      <c r="AC676" s="87"/>
      <c r="AD676" s="87"/>
      <c r="AE676" s="87"/>
      <c r="AF676" s="87"/>
      <c r="AG676" s="87"/>
      <c r="AH676" s="87"/>
      <c r="AI676" s="87"/>
      <c r="AJ676" s="87"/>
      <c r="AK676" s="87"/>
      <c r="AL676" s="87"/>
      <c r="AM676" s="87"/>
      <c r="AN676" s="87"/>
      <c r="AO676" s="87"/>
      <c r="AP676" s="87"/>
      <c r="AQ676" s="87"/>
      <c r="AR676" s="87"/>
      <c r="AS676" s="87"/>
      <c r="AT676" s="87"/>
      <c r="AU676" s="87"/>
      <c r="AV676" s="87"/>
      <c r="AW676" s="87"/>
      <c r="AX676" s="87"/>
      <c r="AY676" s="87"/>
      <c r="AZ676" s="87"/>
      <c r="BA676" s="87"/>
      <c r="BB676" s="87"/>
      <c r="BC676" s="87"/>
      <c r="BD676" s="87"/>
      <c r="BE676" s="87"/>
      <c r="BF676" s="87"/>
      <c r="BG676" s="87"/>
      <c r="BH676" s="87"/>
    </row>
    <row r="677" spans="1:60" ht="16">
      <c r="A677" s="82"/>
      <c r="B677" s="82"/>
      <c r="C677" s="82"/>
      <c r="D677" s="83"/>
      <c r="E677" s="84"/>
      <c r="F677" s="84"/>
      <c r="G677" s="84"/>
      <c r="H677" s="82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7"/>
      <c r="AA677" s="87"/>
      <c r="AB677" s="87"/>
      <c r="AC677" s="87"/>
      <c r="AD677" s="87"/>
      <c r="AE677" s="87"/>
      <c r="AF677" s="87"/>
      <c r="AG677" s="87"/>
      <c r="AH677" s="87"/>
      <c r="AI677" s="87"/>
      <c r="AJ677" s="87"/>
      <c r="AK677" s="87"/>
      <c r="AL677" s="87"/>
      <c r="AM677" s="87"/>
      <c r="AN677" s="87"/>
      <c r="AO677" s="87"/>
      <c r="AP677" s="87"/>
      <c r="AQ677" s="87"/>
      <c r="AR677" s="87"/>
      <c r="AS677" s="87"/>
      <c r="AT677" s="87"/>
      <c r="AU677" s="87"/>
      <c r="AV677" s="87"/>
      <c r="AW677" s="87"/>
      <c r="AX677" s="87"/>
      <c r="AY677" s="87"/>
      <c r="AZ677" s="87"/>
      <c r="BA677" s="87"/>
      <c r="BB677" s="87"/>
      <c r="BC677" s="87"/>
      <c r="BD677" s="87"/>
      <c r="BE677" s="87"/>
      <c r="BF677" s="87"/>
      <c r="BG677" s="87"/>
      <c r="BH677" s="87"/>
    </row>
    <row r="678" spans="1:60" ht="16">
      <c r="A678" s="82"/>
      <c r="B678" s="82"/>
      <c r="C678" s="82"/>
      <c r="D678" s="83"/>
      <c r="E678" s="84"/>
      <c r="F678" s="84"/>
      <c r="G678" s="84"/>
      <c r="H678" s="82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7"/>
      <c r="AA678" s="87"/>
      <c r="AB678" s="87"/>
      <c r="AC678" s="87"/>
      <c r="AD678" s="87"/>
      <c r="AE678" s="87"/>
      <c r="AF678" s="87"/>
      <c r="AG678" s="87"/>
      <c r="AH678" s="87"/>
      <c r="AI678" s="87"/>
      <c r="AJ678" s="87"/>
      <c r="AK678" s="87"/>
      <c r="AL678" s="87"/>
      <c r="AM678" s="87"/>
      <c r="AN678" s="87"/>
      <c r="AO678" s="87"/>
      <c r="AP678" s="87"/>
      <c r="AQ678" s="87"/>
      <c r="AR678" s="87"/>
      <c r="AS678" s="87"/>
      <c r="AT678" s="87"/>
      <c r="AU678" s="87"/>
      <c r="AV678" s="87"/>
      <c r="AW678" s="87"/>
      <c r="AX678" s="87"/>
      <c r="AY678" s="87"/>
      <c r="AZ678" s="87"/>
      <c r="BA678" s="87"/>
      <c r="BB678" s="87"/>
      <c r="BC678" s="87"/>
      <c r="BD678" s="87"/>
      <c r="BE678" s="87"/>
      <c r="BF678" s="87"/>
      <c r="BG678" s="87"/>
      <c r="BH678" s="87"/>
    </row>
    <row r="679" spans="1:60" ht="16">
      <c r="A679" s="82"/>
      <c r="B679" s="82"/>
      <c r="C679" s="82"/>
      <c r="D679" s="83"/>
      <c r="E679" s="84"/>
      <c r="F679" s="84"/>
      <c r="G679" s="84"/>
      <c r="H679" s="82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7"/>
      <c r="AA679" s="87"/>
      <c r="AB679" s="87"/>
      <c r="AC679" s="87"/>
      <c r="AD679" s="87"/>
      <c r="AE679" s="87"/>
      <c r="AF679" s="87"/>
      <c r="AG679" s="87"/>
      <c r="AH679" s="87"/>
      <c r="AI679" s="87"/>
      <c r="AJ679" s="87"/>
      <c r="AK679" s="87"/>
      <c r="AL679" s="87"/>
      <c r="AM679" s="87"/>
      <c r="AN679" s="87"/>
      <c r="AO679" s="87"/>
      <c r="AP679" s="87"/>
      <c r="AQ679" s="87"/>
      <c r="AR679" s="87"/>
      <c r="AS679" s="87"/>
      <c r="AT679" s="87"/>
      <c r="AU679" s="87"/>
      <c r="AV679" s="87"/>
      <c r="AW679" s="87"/>
      <c r="AX679" s="87"/>
      <c r="AY679" s="87"/>
      <c r="AZ679" s="87"/>
      <c r="BA679" s="87"/>
      <c r="BB679" s="87"/>
      <c r="BC679" s="87"/>
      <c r="BD679" s="87"/>
      <c r="BE679" s="87"/>
      <c r="BF679" s="87"/>
      <c r="BG679" s="87"/>
      <c r="BH679" s="87"/>
    </row>
    <row r="680" spans="1:60" ht="16">
      <c r="A680" s="82"/>
      <c r="B680" s="82"/>
      <c r="C680" s="82"/>
      <c r="D680" s="83"/>
      <c r="E680" s="84"/>
      <c r="F680" s="84"/>
      <c r="G680" s="84"/>
      <c r="H680" s="82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7"/>
      <c r="AA680" s="87"/>
      <c r="AB680" s="87"/>
      <c r="AC680" s="87"/>
      <c r="AD680" s="87"/>
      <c r="AE680" s="87"/>
      <c r="AF680" s="87"/>
      <c r="AG680" s="87"/>
      <c r="AH680" s="87"/>
      <c r="AI680" s="87"/>
      <c r="AJ680" s="87"/>
      <c r="AK680" s="87"/>
      <c r="AL680" s="87"/>
      <c r="AM680" s="87"/>
      <c r="AN680" s="87"/>
      <c r="AO680" s="87"/>
      <c r="AP680" s="87"/>
      <c r="AQ680" s="87"/>
      <c r="AR680" s="87"/>
      <c r="AS680" s="87"/>
      <c r="AT680" s="87"/>
      <c r="AU680" s="87"/>
      <c r="AV680" s="87"/>
      <c r="AW680" s="87"/>
      <c r="AX680" s="87"/>
      <c r="AY680" s="87"/>
      <c r="AZ680" s="87"/>
      <c r="BA680" s="87"/>
      <c r="BB680" s="87"/>
      <c r="BC680" s="87"/>
      <c r="BD680" s="87"/>
      <c r="BE680" s="87"/>
      <c r="BF680" s="87"/>
      <c r="BG680" s="87"/>
      <c r="BH680" s="87"/>
    </row>
    <row r="681" spans="1:60" ht="16">
      <c r="A681" s="82"/>
      <c r="B681" s="82"/>
      <c r="C681" s="82"/>
      <c r="D681" s="83"/>
      <c r="E681" s="84"/>
      <c r="F681" s="84"/>
      <c r="G681" s="84"/>
      <c r="H681" s="82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7"/>
      <c r="AA681" s="87"/>
      <c r="AB681" s="87"/>
      <c r="AC681" s="87"/>
      <c r="AD681" s="87"/>
      <c r="AE681" s="87"/>
      <c r="AF681" s="87"/>
      <c r="AG681" s="87"/>
      <c r="AH681" s="87"/>
      <c r="AI681" s="87"/>
      <c r="AJ681" s="87"/>
      <c r="AK681" s="87"/>
      <c r="AL681" s="87"/>
      <c r="AM681" s="87"/>
      <c r="AN681" s="87"/>
      <c r="AO681" s="87"/>
      <c r="AP681" s="87"/>
      <c r="AQ681" s="87"/>
      <c r="AR681" s="87"/>
      <c r="AS681" s="87"/>
      <c r="AT681" s="87"/>
      <c r="AU681" s="87"/>
      <c r="AV681" s="87"/>
      <c r="AW681" s="87"/>
      <c r="AX681" s="87"/>
      <c r="AY681" s="87"/>
      <c r="AZ681" s="87"/>
      <c r="BA681" s="87"/>
      <c r="BB681" s="87"/>
      <c r="BC681" s="87"/>
      <c r="BD681" s="87"/>
      <c r="BE681" s="87"/>
      <c r="BF681" s="87"/>
      <c r="BG681" s="87"/>
      <c r="BH681" s="87"/>
    </row>
    <row r="682" spans="1:60" ht="16">
      <c r="A682" s="82"/>
      <c r="B682" s="82"/>
      <c r="C682" s="82"/>
      <c r="D682" s="83"/>
      <c r="E682" s="84"/>
      <c r="F682" s="84"/>
      <c r="G682" s="84"/>
      <c r="H682" s="82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7"/>
      <c r="AA682" s="87"/>
      <c r="AB682" s="87"/>
      <c r="AC682" s="87"/>
      <c r="AD682" s="87"/>
      <c r="AE682" s="87"/>
      <c r="AF682" s="87"/>
      <c r="AG682" s="87"/>
      <c r="AH682" s="87"/>
      <c r="AI682" s="87"/>
      <c r="AJ682" s="87"/>
      <c r="AK682" s="87"/>
      <c r="AL682" s="87"/>
      <c r="AM682" s="87"/>
      <c r="AN682" s="87"/>
      <c r="AO682" s="87"/>
      <c r="AP682" s="87"/>
      <c r="AQ682" s="87"/>
      <c r="AR682" s="87"/>
      <c r="AS682" s="87"/>
      <c r="AT682" s="87"/>
      <c r="AU682" s="87"/>
      <c r="AV682" s="87"/>
      <c r="AW682" s="87"/>
      <c r="AX682" s="87"/>
      <c r="AY682" s="87"/>
      <c r="AZ682" s="87"/>
      <c r="BA682" s="87"/>
      <c r="BB682" s="87"/>
      <c r="BC682" s="87"/>
      <c r="BD682" s="87"/>
      <c r="BE682" s="87"/>
      <c r="BF682" s="87"/>
      <c r="BG682" s="87"/>
      <c r="BH682" s="87"/>
    </row>
    <row r="683" spans="1:60" ht="16">
      <c r="A683" s="82"/>
      <c r="B683" s="82"/>
      <c r="C683" s="82"/>
      <c r="D683" s="83"/>
      <c r="E683" s="84"/>
      <c r="F683" s="84"/>
      <c r="G683" s="84"/>
      <c r="H683" s="82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7"/>
      <c r="AA683" s="87"/>
      <c r="AB683" s="87"/>
      <c r="AC683" s="87"/>
      <c r="AD683" s="87"/>
      <c r="AE683" s="87"/>
      <c r="AF683" s="87"/>
      <c r="AG683" s="87"/>
      <c r="AH683" s="87"/>
      <c r="AI683" s="87"/>
      <c r="AJ683" s="87"/>
      <c r="AK683" s="87"/>
      <c r="AL683" s="87"/>
      <c r="AM683" s="87"/>
      <c r="AN683" s="87"/>
      <c r="AO683" s="87"/>
      <c r="AP683" s="87"/>
      <c r="AQ683" s="87"/>
      <c r="AR683" s="87"/>
      <c r="AS683" s="87"/>
      <c r="AT683" s="87"/>
      <c r="AU683" s="87"/>
      <c r="AV683" s="87"/>
      <c r="AW683" s="87"/>
      <c r="AX683" s="87"/>
      <c r="AY683" s="87"/>
      <c r="AZ683" s="87"/>
      <c r="BA683" s="87"/>
      <c r="BB683" s="87"/>
      <c r="BC683" s="87"/>
      <c r="BD683" s="87"/>
      <c r="BE683" s="87"/>
      <c r="BF683" s="87"/>
      <c r="BG683" s="87"/>
      <c r="BH683" s="87"/>
    </row>
    <row r="684" spans="1:60" ht="16">
      <c r="A684" s="82"/>
      <c r="B684" s="82"/>
      <c r="C684" s="82"/>
      <c r="D684" s="83"/>
      <c r="E684" s="84"/>
      <c r="F684" s="84"/>
      <c r="G684" s="84"/>
      <c r="H684" s="82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7"/>
      <c r="AA684" s="87"/>
      <c r="AB684" s="87"/>
      <c r="AC684" s="87"/>
      <c r="AD684" s="87"/>
      <c r="AE684" s="87"/>
      <c r="AF684" s="87"/>
      <c r="AG684" s="87"/>
      <c r="AH684" s="87"/>
      <c r="AI684" s="87"/>
      <c r="AJ684" s="87"/>
      <c r="AK684" s="87"/>
      <c r="AL684" s="87"/>
      <c r="AM684" s="87"/>
      <c r="AN684" s="87"/>
      <c r="AO684" s="87"/>
      <c r="AP684" s="87"/>
      <c r="AQ684" s="87"/>
      <c r="AR684" s="87"/>
      <c r="AS684" s="87"/>
      <c r="AT684" s="87"/>
      <c r="AU684" s="87"/>
      <c r="AV684" s="87"/>
      <c r="AW684" s="87"/>
      <c r="AX684" s="87"/>
      <c r="AY684" s="87"/>
      <c r="AZ684" s="87"/>
      <c r="BA684" s="87"/>
      <c r="BB684" s="87"/>
      <c r="BC684" s="87"/>
      <c r="BD684" s="87"/>
      <c r="BE684" s="87"/>
      <c r="BF684" s="87"/>
      <c r="BG684" s="87"/>
      <c r="BH684" s="87"/>
    </row>
    <row r="685" spans="1:60" ht="16">
      <c r="A685" s="82"/>
      <c r="B685" s="82"/>
      <c r="C685" s="82"/>
      <c r="D685" s="83"/>
      <c r="E685" s="84"/>
      <c r="F685" s="84"/>
      <c r="G685" s="84"/>
      <c r="H685" s="82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7"/>
      <c r="AA685" s="87"/>
      <c r="AB685" s="87"/>
      <c r="AC685" s="87"/>
      <c r="AD685" s="87"/>
      <c r="AE685" s="87"/>
      <c r="AF685" s="87"/>
      <c r="AG685" s="87"/>
      <c r="AH685" s="87"/>
      <c r="AI685" s="87"/>
      <c r="AJ685" s="87"/>
      <c r="AK685" s="87"/>
      <c r="AL685" s="87"/>
      <c r="AM685" s="87"/>
      <c r="AN685" s="87"/>
      <c r="AO685" s="87"/>
      <c r="AP685" s="87"/>
      <c r="AQ685" s="87"/>
      <c r="AR685" s="87"/>
      <c r="AS685" s="87"/>
      <c r="AT685" s="87"/>
      <c r="AU685" s="87"/>
      <c r="AV685" s="87"/>
      <c r="AW685" s="87"/>
      <c r="AX685" s="87"/>
      <c r="AY685" s="87"/>
      <c r="AZ685" s="87"/>
      <c r="BA685" s="87"/>
      <c r="BB685" s="87"/>
      <c r="BC685" s="87"/>
      <c r="BD685" s="87"/>
      <c r="BE685" s="87"/>
      <c r="BF685" s="87"/>
      <c r="BG685" s="87"/>
      <c r="BH685" s="87"/>
    </row>
    <row r="686" spans="1:60" ht="16">
      <c r="A686" s="82"/>
      <c r="B686" s="82"/>
      <c r="C686" s="82"/>
      <c r="D686" s="83"/>
      <c r="E686" s="84"/>
      <c r="F686" s="84"/>
      <c r="G686" s="84"/>
      <c r="H686" s="82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7"/>
      <c r="AA686" s="87"/>
      <c r="AB686" s="87"/>
      <c r="AC686" s="87"/>
      <c r="AD686" s="87"/>
      <c r="AE686" s="87"/>
      <c r="AF686" s="87"/>
      <c r="AG686" s="87"/>
      <c r="AH686" s="87"/>
      <c r="AI686" s="87"/>
      <c r="AJ686" s="87"/>
      <c r="AK686" s="87"/>
      <c r="AL686" s="87"/>
      <c r="AM686" s="87"/>
      <c r="AN686" s="87"/>
      <c r="AO686" s="87"/>
      <c r="AP686" s="87"/>
      <c r="AQ686" s="87"/>
      <c r="AR686" s="87"/>
      <c r="AS686" s="87"/>
      <c r="AT686" s="87"/>
      <c r="AU686" s="87"/>
      <c r="AV686" s="87"/>
      <c r="AW686" s="87"/>
      <c r="AX686" s="87"/>
      <c r="AY686" s="87"/>
      <c r="AZ686" s="87"/>
      <c r="BA686" s="87"/>
      <c r="BB686" s="87"/>
      <c r="BC686" s="87"/>
      <c r="BD686" s="87"/>
      <c r="BE686" s="87"/>
      <c r="BF686" s="87"/>
      <c r="BG686" s="87"/>
      <c r="BH686" s="87"/>
    </row>
    <row r="687" spans="1:60" ht="16">
      <c r="A687" s="82"/>
      <c r="B687" s="82"/>
      <c r="C687" s="82"/>
      <c r="D687" s="83"/>
      <c r="E687" s="84"/>
      <c r="F687" s="84"/>
      <c r="G687" s="84"/>
      <c r="H687" s="82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7"/>
      <c r="AA687" s="87"/>
      <c r="AB687" s="87"/>
      <c r="AC687" s="87"/>
      <c r="AD687" s="87"/>
      <c r="AE687" s="87"/>
      <c r="AF687" s="87"/>
      <c r="AG687" s="87"/>
      <c r="AH687" s="87"/>
      <c r="AI687" s="87"/>
      <c r="AJ687" s="87"/>
      <c r="AK687" s="87"/>
      <c r="AL687" s="87"/>
      <c r="AM687" s="87"/>
      <c r="AN687" s="87"/>
      <c r="AO687" s="87"/>
      <c r="AP687" s="87"/>
      <c r="AQ687" s="87"/>
      <c r="AR687" s="87"/>
      <c r="AS687" s="87"/>
      <c r="AT687" s="87"/>
      <c r="AU687" s="87"/>
      <c r="AV687" s="87"/>
      <c r="AW687" s="87"/>
      <c r="AX687" s="87"/>
      <c r="AY687" s="87"/>
      <c r="AZ687" s="87"/>
      <c r="BA687" s="87"/>
      <c r="BB687" s="87"/>
      <c r="BC687" s="87"/>
      <c r="BD687" s="87"/>
      <c r="BE687" s="87"/>
      <c r="BF687" s="87"/>
      <c r="BG687" s="87"/>
      <c r="BH687" s="87"/>
    </row>
    <row r="688" spans="1:60" ht="16">
      <c r="A688" s="82"/>
      <c r="B688" s="82"/>
      <c r="C688" s="82"/>
      <c r="D688" s="83"/>
      <c r="E688" s="84"/>
      <c r="F688" s="84"/>
      <c r="G688" s="84"/>
      <c r="H688" s="82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7"/>
      <c r="AA688" s="87"/>
      <c r="AB688" s="87"/>
      <c r="AC688" s="87"/>
      <c r="AD688" s="87"/>
      <c r="AE688" s="87"/>
      <c r="AF688" s="87"/>
      <c r="AG688" s="87"/>
      <c r="AH688" s="87"/>
      <c r="AI688" s="87"/>
      <c r="AJ688" s="87"/>
      <c r="AK688" s="87"/>
      <c r="AL688" s="87"/>
      <c r="AM688" s="87"/>
      <c r="AN688" s="87"/>
      <c r="AO688" s="87"/>
      <c r="AP688" s="87"/>
      <c r="AQ688" s="87"/>
      <c r="AR688" s="87"/>
      <c r="AS688" s="87"/>
      <c r="AT688" s="87"/>
      <c r="AU688" s="87"/>
      <c r="AV688" s="87"/>
      <c r="AW688" s="87"/>
      <c r="AX688" s="87"/>
      <c r="AY688" s="87"/>
      <c r="AZ688" s="87"/>
      <c r="BA688" s="87"/>
      <c r="BB688" s="87"/>
      <c r="BC688" s="87"/>
      <c r="BD688" s="87"/>
      <c r="BE688" s="87"/>
      <c r="BF688" s="87"/>
      <c r="BG688" s="87"/>
      <c r="BH688" s="87"/>
    </row>
    <row r="689" spans="1:60" ht="16">
      <c r="A689" s="82"/>
      <c r="B689" s="82"/>
      <c r="C689" s="82"/>
      <c r="D689" s="83"/>
      <c r="E689" s="84"/>
      <c r="F689" s="84"/>
      <c r="G689" s="84"/>
      <c r="H689" s="82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7"/>
      <c r="AA689" s="87"/>
      <c r="AB689" s="87"/>
      <c r="AC689" s="87"/>
      <c r="AD689" s="87"/>
      <c r="AE689" s="87"/>
      <c r="AF689" s="87"/>
      <c r="AG689" s="87"/>
      <c r="AH689" s="87"/>
      <c r="AI689" s="87"/>
      <c r="AJ689" s="87"/>
      <c r="AK689" s="87"/>
      <c r="AL689" s="87"/>
      <c r="AM689" s="87"/>
      <c r="AN689" s="87"/>
      <c r="AO689" s="87"/>
      <c r="AP689" s="87"/>
      <c r="AQ689" s="87"/>
      <c r="AR689" s="87"/>
      <c r="AS689" s="87"/>
      <c r="AT689" s="87"/>
      <c r="AU689" s="87"/>
      <c r="AV689" s="87"/>
      <c r="AW689" s="87"/>
      <c r="AX689" s="87"/>
      <c r="AY689" s="87"/>
      <c r="AZ689" s="87"/>
      <c r="BA689" s="87"/>
      <c r="BB689" s="87"/>
      <c r="BC689" s="87"/>
      <c r="BD689" s="87"/>
      <c r="BE689" s="87"/>
      <c r="BF689" s="87"/>
      <c r="BG689" s="87"/>
      <c r="BH689" s="87"/>
    </row>
    <row r="690" spans="1:60" ht="16">
      <c r="A690" s="82"/>
      <c r="B690" s="82"/>
      <c r="C690" s="82"/>
      <c r="D690" s="83"/>
      <c r="E690" s="84"/>
      <c r="F690" s="84"/>
      <c r="G690" s="84"/>
      <c r="H690" s="82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7"/>
      <c r="AA690" s="87"/>
      <c r="AB690" s="87"/>
      <c r="AC690" s="87"/>
      <c r="AD690" s="87"/>
      <c r="AE690" s="87"/>
      <c r="AF690" s="87"/>
      <c r="AG690" s="87"/>
      <c r="AH690" s="87"/>
      <c r="AI690" s="87"/>
      <c r="AJ690" s="87"/>
      <c r="AK690" s="87"/>
      <c r="AL690" s="87"/>
      <c r="AM690" s="87"/>
      <c r="AN690" s="87"/>
      <c r="AO690" s="87"/>
      <c r="AP690" s="87"/>
      <c r="AQ690" s="87"/>
      <c r="AR690" s="87"/>
      <c r="AS690" s="87"/>
      <c r="AT690" s="87"/>
      <c r="AU690" s="87"/>
      <c r="AV690" s="87"/>
      <c r="AW690" s="87"/>
      <c r="AX690" s="87"/>
      <c r="AY690" s="87"/>
      <c r="AZ690" s="87"/>
      <c r="BA690" s="87"/>
      <c r="BB690" s="87"/>
      <c r="BC690" s="87"/>
      <c r="BD690" s="87"/>
      <c r="BE690" s="87"/>
      <c r="BF690" s="87"/>
      <c r="BG690" s="87"/>
      <c r="BH690" s="87"/>
    </row>
    <row r="691" spans="1:60" ht="16">
      <c r="A691" s="82"/>
      <c r="B691" s="82"/>
      <c r="C691" s="82"/>
      <c r="D691" s="83"/>
      <c r="E691" s="84"/>
      <c r="F691" s="84"/>
      <c r="G691" s="84"/>
      <c r="H691" s="82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7"/>
      <c r="AA691" s="87"/>
      <c r="AB691" s="87"/>
      <c r="AC691" s="87"/>
      <c r="AD691" s="87"/>
      <c r="AE691" s="87"/>
      <c r="AF691" s="87"/>
      <c r="AG691" s="87"/>
      <c r="AH691" s="87"/>
      <c r="AI691" s="87"/>
      <c r="AJ691" s="87"/>
      <c r="AK691" s="87"/>
      <c r="AL691" s="87"/>
      <c r="AM691" s="87"/>
      <c r="AN691" s="87"/>
      <c r="AO691" s="87"/>
      <c r="AP691" s="87"/>
      <c r="AQ691" s="87"/>
      <c r="AR691" s="87"/>
      <c r="AS691" s="87"/>
      <c r="AT691" s="87"/>
      <c r="AU691" s="87"/>
      <c r="AV691" s="87"/>
      <c r="AW691" s="87"/>
      <c r="AX691" s="87"/>
      <c r="AY691" s="87"/>
      <c r="AZ691" s="87"/>
      <c r="BA691" s="87"/>
      <c r="BB691" s="87"/>
      <c r="BC691" s="87"/>
      <c r="BD691" s="87"/>
      <c r="BE691" s="87"/>
      <c r="BF691" s="87"/>
      <c r="BG691" s="87"/>
      <c r="BH691" s="87"/>
    </row>
    <row r="692" spans="1:60" ht="16">
      <c r="A692" s="82"/>
      <c r="B692" s="82"/>
      <c r="C692" s="82"/>
      <c r="D692" s="83"/>
      <c r="E692" s="84"/>
      <c r="F692" s="84"/>
      <c r="G692" s="84"/>
      <c r="H692" s="82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7"/>
      <c r="AA692" s="87"/>
      <c r="AB692" s="87"/>
      <c r="AC692" s="87"/>
      <c r="AD692" s="87"/>
      <c r="AE692" s="87"/>
      <c r="AF692" s="87"/>
      <c r="AG692" s="87"/>
      <c r="AH692" s="87"/>
      <c r="AI692" s="87"/>
      <c r="AJ692" s="87"/>
      <c r="AK692" s="87"/>
      <c r="AL692" s="87"/>
      <c r="AM692" s="87"/>
      <c r="AN692" s="87"/>
      <c r="AO692" s="87"/>
      <c r="AP692" s="87"/>
      <c r="AQ692" s="87"/>
      <c r="AR692" s="87"/>
      <c r="AS692" s="87"/>
      <c r="AT692" s="87"/>
      <c r="AU692" s="87"/>
      <c r="AV692" s="87"/>
      <c r="AW692" s="87"/>
      <c r="AX692" s="87"/>
      <c r="AY692" s="87"/>
      <c r="AZ692" s="87"/>
      <c r="BA692" s="87"/>
      <c r="BB692" s="87"/>
      <c r="BC692" s="87"/>
      <c r="BD692" s="87"/>
      <c r="BE692" s="87"/>
      <c r="BF692" s="87"/>
      <c r="BG692" s="87"/>
      <c r="BH692" s="87"/>
    </row>
    <row r="693" spans="1:60" ht="16">
      <c r="A693" s="82"/>
      <c r="B693" s="82"/>
      <c r="C693" s="82"/>
      <c r="D693" s="83"/>
      <c r="E693" s="84"/>
      <c r="F693" s="84"/>
      <c r="G693" s="84"/>
      <c r="H693" s="82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7"/>
      <c r="AA693" s="87"/>
      <c r="AB693" s="87"/>
      <c r="AC693" s="87"/>
      <c r="AD693" s="87"/>
      <c r="AE693" s="87"/>
      <c r="AF693" s="87"/>
      <c r="AG693" s="87"/>
      <c r="AH693" s="87"/>
      <c r="AI693" s="87"/>
      <c r="AJ693" s="87"/>
      <c r="AK693" s="87"/>
      <c r="AL693" s="87"/>
      <c r="AM693" s="87"/>
      <c r="AN693" s="87"/>
      <c r="AO693" s="87"/>
      <c r="AP693" s="87"/>
      <c r="AQ693" s="87"/>
      <c r="AR693" s="87"/>
      <c r="AS693" s="87"/>
      <c r="AT693" s="87"/>
      <c r="AU693" s="87"/>
      <c r="AV693" s="87"/>
      <c r="AW693" s="87"/>
      <c r="AX693" s="87"/>
      <c r="AY693" s="87"/>
      <c r="AZ693" s="87"/>
      <c r="BA693" s="87"/>
      <c r="BB693" s="87"/>
      <c r="BC693" s="87"/>
      <c r="BD693" s="87"/>
      <c r="BE693" s="87"/>
      <c r="BF693" s="87"/>
      <c r="BG693" s="87"/>
      <c r="BH693" s="87"/>
    </row>
    <row r="694" spans="1:60" ht="16">
      <c r="A694" s="82"/>
      <c r="B694" s="82"/>
      <c r="C694" s="82"/>
      <c r="D694" s="83"/>
      <c r="E694" s="84"/>
      <c r="F694" s="84"/>
      <c r="G694" s="84"/>
      <c r="H694" s="82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7"/>
      <c r="AA694" s="87"/>
      <c r="AB694" s="87"/>
      <c r="AC694" s="87"/>
      <c r="AD694" s="87"/>
      <c r="AE694" s="87"/>
      <c r="AF694" s="87"/>
      <c r="AG694" s="87"/>
      <c r="AH694" s="87"/>
      <c r="AI694" s="87"/>
      <c r="AJ694" s="87"/>
      <c r="AK694" s="87"/>
      <c r="AL694" s="87"/>
      <c r="AM694" s="87"/>
      <c r="AN694" s="87"/>
      <c r="AO694" s="87"/>
      <c r="AP694" s="87"/>
      <c r="AQ694" s="87"/>
      <c r="AR694" s="87"/>
      <c r="AS694" s="87"/>
      <c r="AT694" s="87"/>
      <c r="AU694" s="87"/>
      <c r="AV694" s="87"/>
      <c r="AW694" s="87"/>
      <c r="AX694" s="87"/>
      <c r="AY694" s="87"/>
      <c r="AZ694" s="87"/>
      <c r="BA694" s="87"/>
      <c r="BB694" s="87"/>
      <c r="BC694" s="87"/>
      <c r="BD694" s="87"/>
      <c r="BE694" s="87"/>
      <c r="BF694" s="87"/>
      <c r="BG694" s="87"/>
      <c r="BH694" s="87"/>
    </row>
    <row r="695" spans="1:60" ht="16">
      <c r="A695" s="82"/>
      <c r="B695" s="82"/>
      <c r="C695" s="82"/>
      <c r="D695" s="83"/>
      <c r="E695" s="84"/>
      <c r="F695" s="84"/>
      <c r="G695" s="84"/>
      <c r="H695" s="82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7"/>
      <c r="AA695" s="87"/>
      <c r="AB695" s="87"/>
      <c r="AC695" s="87"/>
      <c r="AD695" s="87"/>
      <c r="AE695" s="87"/>
      <c r="AF695" s="87"/>
      <c r="AG695" s="87"/>
      <c r="AH695" s="87"/>
      <c r="AI695" s="87"/>
      <c r="AJ695" s="87"/>
      <c r="AK695" s="87"/>
      <c r="AL695" s="87"/>
      <c r="AM695" s="87"/>
      <c r="AN695" s="87"/>
      <c r="AO695" s="87"/>
      <c r="AP695" s="87"/>
      <c r="AQ695" s="87"/>
      <c r="AR695" s="87"/>
      <c r="AS695" s="87"/>
      <c r="AT695" s="87"/>
      <c r="AU695" s="87"/>
      <c r="AV695" s="87"/>
      <c r="AW695" s="87"/>
      <c r="AX695" s="87"/>
      <c r="AY695" s="87"/>
      <c r="AZ695" s="87"/>
      <c r="BA695" s="87"/>
      <c r="BB695" s="87"/>
      <c r="BC695" s="87"/>
      <c r="BD695" s="87"/>
      <c r="BE695" s="87"/>
      <c r="BF695" s="87"/>
      <c r="BG695" s="87"/>
      <c r="BH695" s="87"/>
    </row>
    <row r="696" spans="1:60" ht="16">
      <c r="A696" s="82"/>
      <c r="B696" s="82"/>
      <c r="C696" s="82"/>
      <c r="D696" s="83"/>
      <c r="E696" s="84"/>
      <c r="F696" s="84"/>
      <c r="G696" s="84"/>
      <c r="H696" s="82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7"/>
      <c r="AA696" s="87"/>
      <c r="AB696" s="87"/>
      <c r="AC696" s="87"/>
      <c r="AD696" s="87"/>
      <c r="AE696" s="87"/>
      <c r="AF696" s="87"/>
      <c r="AG696" s="87"/>
      <c r="AH696" s="87"/>
      <c r="AI696" s="87"/>
      <c r="AJ696" s="87"/>
      <c r="AK696" s="87"/>
      <c r="AL696" s="87"/>
      <c r="AM696" s="87"/>
      <c r="AN696" s="87"/>
      <c r="AO696" s="87"/>
      <c r="AP696" s="87"/>
      <c r="AQ696" s="87"/>
      <c r="AR696" s="87"/>
      <c r="AS696" s="87"/>
      <c r="AT696" s="87"/>
      <c r="AU696" s="87"/>
      <c r="AV696" s="87"/>
      <c r="AW696" s="87"/>
      <c r="AX696" s="87"/>
      <c r="AY696" s="87"/>
      <c r="AZ696" s="87"/>
      <c r="BA696" s="87"/>
      <c r="BB696" s="87"/>
      <c r="BC696" s="87"/>
      <c r="BD696" s="87"/>
      <c r="BE696" s="87"/>
      <c r="BF696" s="87"/>
      <c r="BG696" s="87"/>
      <c r="BH696" s="87"/>
    </row>
    <row r="697" spans="1:60" ht="16">
      <c r="A697" s="82"/>
      <c r="B697" s="82"/>
      <c r="C697" s="82"/>
      <c r="D697" s="83"/>
      <c r="E697" s="84"/>
      <c r="F697" s="84"/>
      <c r="G697" s="84"/>
      <c r="H697" s="82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7"/>
      <c r="AA697" s="87"/>
      <c r="AB697" s="87"/>
      <c r="AC697" s="87"/>
      <c r="AD697" s="87"/>
      <c r="AE697" s="87"/>
      <c r="AF697" s="87"/>
      <c r="AG697" s="87"/>
      <c r="AH697" s="87"/>
      <c r="AI697" s="87"/>
      <c r="AJ697" s="87"/>
      <c r="AK697" s="87"/>
      <c r="AL697" s="87"/>
      <c r="AM697" s="87"/>
      <c r="AN697" s="87"/>
      <c r="AO697" s="87"/>
      <c r="AP697" s="87"/>
      <c r="AQ697" s="87"/>
      <c r="AR697" s="87"/>
      <c r="AS697" s="87"/>
      <c r="AT697" s="87"/>
      <c r="AU697" s="87"/>
      <c r="AV697" s="87"/>
      <c r="AW697" s="87"/>
      <c r="AX697" s="87"/>
      <c r="AY697" s="87"/>
      <c r="AZ697" s="87"/>
      <c r="BA697" s="87"/>
      <c r="BB697" s="87"/>
      <c r="BC697" s="87"/>
      <c r="BD697" s="87"/>
      <c r="BE697" s="87"/>
      <c r="BF697" s="87"/>
      <c r="BG697" s="87"/>
      <c r="BH697" s="87"/>
    </row>
    <row r="698" spans="1:60" ht="16">
      <c r="A698" s="82"/>
      <c r="B698" s="82"/>
      <c r="C698" s="82"/>
      <c r="D698" s="83"/>
      <c r="E698" s="84"/>
      <c r="F698" s="84"/>
      <c r="G698" s="84"/>
      <c r="H698" s="82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7"/>
      <c r="AA698" s="87"/>
      <c r="AB698" s="87"/>
      <c r="AC698" s="87"/>
      <c r="AD698" s="87"/>
      <c r="AE698" s="87"/>
      <c r="AF698" s="87"/>
      <c r="AG698" s="87"/>
      <c r="AH698" s="87"/>
      <c r="AI698" s="87"/>
      <c r="AJ698" s="87"/>
      <c r="AK698" s="87"/>
      <c r="AL698" s="87"/>
      <c r="AM698" s="87"/>
      <c r="AN698" s="87"/>
      <c r="AO698" s="87"/>
      <c r="AP698" s="87"/>
      <c r="AQ698" s="87"/>
      <c r="AR698" s="87"/>
      <c r="AS698" s="87"/>
      <c r="AT698" s="87"/>
      <c r="AU698" s="87"/>
      <c r="AV698" s="87"/>
      <c r="AW698" s="87"/>
      <c r="AX698" s="87"/>
      <c r="AY698" s="87"/>
      <c r="AZ698" s="87"/>
      <c r="BA698" s="87"/>
      <c r="BB698" s="87"/>
      <c r="BC698" s="87"/>
      <c r="BD698" s="87"/>
      <c r="BE698" s="87"/>
      <c r="BF698" s="87"/>
      <c r="BG698" s="87"/>
      <c r="BH698" s="87"/>
    </row>
    <row r="699" spans="1:60" ht="16">
      <c r="A699" s="82"/>
      <c r="B699" s="82"/>
      <c r="C699" s="82"/>
      <c r="D699" s="83"/>
      <c r="E699" s="84"/>
      <c r="F699" s="84"/>
      <c r="G699" s="84"/>
      <c r="H699" s="82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7"/>
      <c r="AA699" s="87"/>
      <c r="AB699" s="87"/>
      <c r="AC699" s="87"/>
      <c r="AD699" s="87"/>
      <c r="AE699" s="87"/>
      <c r="AF699" s="87"/>
      <c r="AG699" s="87"/>
      <c r="AH699" s="87"/>
      <c r="AI699" s="87"/>
      <c r="AJ699" s="87"/>
      <c r="AK699" s="87"/>
      <c r="AL699" s="87"/>
      <c r="AM699" s="87"/>
      <c r="AN699" s="87"/>
      <c r="AO699" s="87"/>
      <c r="AP699" s="87"/>
      <c r="AQ699" s="87"/>
      <c r="AR699" s="87"/>
      <c r="AS699" s="87"/>
      <c r="AT699" s="87"/>
      <c r="AU699" s="87"/>
      <c r="AV699" s="87"/>
      <c r="AW699" s="87"/>
      <c r="AX699" s="87"/>
      <c r="AY699" s="87"/>
      <c r="AZ699" s="87"/>
      <c r="BA699" s="87"/>
      <c r="BB699" s="87"/>
      <c r="BC699" s="87"/>
      <c r="BD699" s="87"/>
      <c r="BE699" s="87"/>
      <c r="BF699" s="87"/>
      <c r="BG699" s="87"/>
      <c r="BH699" s="87"/>
    </row>
    <row r="700" spans="1:60" ht="16">
      <c r="A700" s="82"/>
      <c r="B700" s="82"/>
      <c r="C700" s="82"/>
      <c r="D700" s="83"/>
      <c r="E700" s="84"/>
      <c r="F700" s="84"/>
      <c r="G700" s="84"/>
      <c r="H700" s="82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7"/>
      <c r="AA700" s="87"/>
      <c r="AB700" s="87"/>
      <c r="AC700" s="87"/>
      <c r="AD700" s="87"/>
      <c r="AE700" s="87"/>
      <c r="AF700" s="87"/>
      <c r="AG700" s="87"/>
      <c r="AH700" s="87"/>
      <c r="AI700" s="87"/>
      <c r="AJ700" s="87"/>
      <c r="AK700" s="87"/>
      <c r="AL700" s="87"/>
      <c r="AM700" s="87"/>
      <c r="AN700" s="87"/>
      <c r="AO700" s="87"/>
      <c r="AP700" s="87"/>
      <c r="AQ700" s="87"/>
      <c r="AR700" s="87"/>
      <c r="AS700" s="87"/>
      <c r="AT700" s="87"/>
      <c r="AU700" s="87"/>
      <c r="AV700" s="87"/>
      <c r="AW700" s="87"/>
      <c r="AX700" s="87"/>
      <c r="AY700" s="87"/>
      <c r="AZ700" s="87"/>
      <c r="BA700" s="87"/>
      <c r="BB700" s="87"/>
      <c r="BC700" s="87"/>
      <c r="BD700" s="87"/>
      <c r="BE700" s="87"/>
      <c r="BF700" s="87"/>
      <c r="BG700" s="87"/>
      <c r="BH700" s="87"/>
    </row>
    <row r="701" spans="1:60" ht="16">
      <c r="A701" s="82"/>
      <c r="B701" s="82"/>
      <c r="C701" s="82"/>
      <c r="D701" s="83"/>
      <c r="E701" s="84"/>
      <c r="F701" s="84"/>
      <c r="G701" s="84"/>
      <c r="H701" s="82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7"/>
      <c r="AA701" s="87"/>
      <c r="AB701" s="87"/>
      <c r="AC701" s="87"/>
      <c r="AD701" s="87"/>
      <c r="AE701" s="87"/>
      <c r="AF701" s="87"/>
      <c r="AG701" s="87"/>
      <c r="AH701" s="87"/>
      <c r="AI701" s="87"/>
      <c r="AJ701" s="87"/>
      <c r="AK701" s="87"/>
      <c r="AL701" s="87"/>
      <c r="AM701" s="87"/>
      <c r="AN701" s="87"/>
      <c r="AO701" s="87"/>
      <c r="AP701" s="87"/>
      <c r="AQ701" s="87"/>
      <c r="AR701" s="87"/>
      <c r="AS701" s="87"/>
      <c r="AT701" s="87"/>
      <c r="AU701" s="87"/>
      <c r="AV701" s="87"/>
      <c r="AW701" s="87"/>
      <c r="AX701" s="87"/>
      <c r="AY701" s="87"/>
      <c r="AZ701" s="87"/>
      <c r="BA701" s="87"/>
      <c r="BB701" s="87"/>
      <c r="BC701" s="87"/>
      <c r="BD701" s="87"/>
      <c r="BE701" s="87"/>
      <c r="BF701" s="87"/>
      <c r="BG701" s="87"/>
      <c r="BH701" s="87"/>
    </row>
    <row r="702" spans="1:60" ht="16">
      <c r="A702" s="82"/>
      <c r="B702" s="82"/>
      <c r="C702" s="82"/>
      <c r="D702" s="83"/>
      <c r="E702" s="84"/>
      <c r="F702" s="84"/>
      <c r="G702" s="84"/>
      <c r="H702" s="82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7"/>
      <c r="AA702" s="87"/>
      <c r="AB702" s="87"/>
      <c r="AC702" s="87"/>
      <c r="AD702" s="87"/>
      <c r="AE702" s="87"/>
      <c r="AF702" s="87"/>
      <c r="AG702" s="87"/>
      <c r="AH702" s="87"/>
      <c r="AI702" s="87"/>
      <c r="AJ702" s="87"/>
      <c r="AK702" s="87"/>
      <c r="AL702" s="87"/>
      <c r="AM702" s="87"/>
      <c r="AN702" s="87"/>
      <c r="AO702" s="87"/>
      <c r="AP702" s="87"/>
      <c r="AQ702" s="87"/>
      <c r="AR702" s="87"/>
      <c r="AS702" s="87"/>
      <c r="AT702" s="87"/>
      <c r="AU702" s="87"/>
      <c r="AV702" s="87"/>
      <c r="AW702" s="87"/>
      <c r="AX702" s="87"/>
      <c r="AY702" s="87"/>
      <c r="AZ702" s="87"/>
      <c r="BA702" s="87"/>
      <c r="BB702" s="87"/>
      <c r="BC702" s="87"/>
      <c r="BD702" s="87"/>
      <c r="BE702" s="87"/>
      <c r="BF702" s="87"/>
      <c r="BG702" s="87"/>
      <c r="BH702" s="87"/>
    </row>
    <row r="703" spans="1:60" ht="16">
      <c r="A703" s="82"/>
      <c r="B703" s="82"/>
      <c r="C703" s="82"/>
      <c r="D703" s="83"/>
      <c r="E703" s="84"/>
      <c r="F703" s="84"/>
      <c r="G703" s="84"/>
      <c r="H703" s="82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7"/>
      <c r="AA703" s="87"/>
      <c r="AB703" s="87"/>
      <c r="AC703" s="87"/>
      <c r="AD703" s="87"/>
      <c r="AE703" s="87"/>
      <c r="AF703" s="87"/>
      <c r="AG703" s="87"/>
      <c r="AH703" s="87"/>
      <c r="AI703" s="87"/>
      <c r="AJ703" s="87"/>
      <c r="AK703" s="87"/>
      <c r="AL703" s="87"/>
      <c r="AM703" s="87"/>
      <c r="AN703" s="87"/>
      <c r="AO703" s="87"/>
      <c r="AP703" s="87"/>
      <c r="AQ703" s="87"/>
      <c r="AR703" s="87"/>
      <c r="AS703" s="87"/>
      <c r="AT703" s="87"/>
      <c r="AU703" s="87"/>
      <c r="AV703" s="87"/>
      <c r="AW703" s="87"/>
      <c r="AX703" s="87"/>
      <c r="AY703" s="87"/>
      <c r="AZ703" s="87"/>
      <c r="BA703" s="87"/>
      <c r="BB703" s="87"/>
      <c r="BC703" s="87"/>
      <c r="BD703" s="87"/>
      <c r="BE703" s="87"/>
      <c r="BF703" s="87"/>
      <c r="BG703" s="87"/>
      <c r="BH703" s="87"/>
    </row>
    <row r="704" spans="1:60" ht="16">
      <c r="A704" s="82"/>
      <c r="B704" s="82"/>
      <c r="C704" s="82"/>
      <c r="D704" s="83"/>
      <c r="E704" s="84"/>
      <c r="F704" s="84"/>
      <c r="G704" s="84"/>
      <c r="H704" s="82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7"/>
      <c r="AA704" s="87"/>
      <c r="AB704" s="87"/>
      <c r="AC704" s="87"/>
      <c r="AD704" s="87"/>
      <c r="AE704" s="87"/>
      <c r="AF704" s="87"/>
      <c r="AG704" s="87"/>
      <c r="AH704" s="87"/>
      <c r="AI704" s="87"/>
      <c r="AJ704" s="87"/>
      <c r="AK704" s="87"/>
      <c r="AL704" s="87"/>
      <c r="AM704" s="87"/>
      <c r="AN704" s="87"/>
      <c r="AO704" s="87"/>
      <c r="AP704" s="87"/>
      <c r="AQ704" s="87"/>
      <c r="AR704" s="87"/>
      <c r="AS704" s="87"/>
      <c r="AT704" s="87"/>
      <c r="AU704" s="87"/>
      <c r="AV704" s="87"/>
      <c r="AW704" s="87"/>
      <c r="AX704" s="87"/>
      <c r="AY704" s="87"/>
      <c r="AZ704" s="87"/>
      <c r="BA704" s="87"/>
      <c r="BB704" s="87"/>
      <c r="BC704" s="87"/>
      <c r="BD704" s="87"/>
      <c r="BE704" s="87"/>
      <c r="BF704" s="87"/>
      <c r="BG704" s="87"/>
      <c r="BH704" s="87"/>
    </row>
    <row r="705" spans="1:60" ht="16">
      <c r="A705" s="82"/>
      <c r="B705" s="82"/>
      <c r="C705" s="82"/>
      <c r="D705" s="83"/>
      <c r="E705" s="84"/>
      <c r="F705" s="84"/>
      <c r="G705" s="84"/>
      <c r="H705" s="82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7"/>
      <c r="AA705" s="87"/>
      <c r="AB705" s="87"/>
      <c r="AC705" s="87"/>
      <c r="AD705" s="87"/>
      <c r="AE705" s="87"/>
      <c r="AF705" s="87"/>
      <c r="AG705" s="87"/>
      <c r="AH705" s="87"/>
      <c r="AI705" s="87"/>
      <c r="AJ705" s="87"/>
      <c r="AK705" s="87"/>
      <c r="AL705" s="87"/>
      <c r="AM705" s="87"/>
      <c r="AN705" s="87"/>
      <c r="AO705" s="87"/>
      <c r="AP705" s="87"/>
      <c r="AQ705" s="87"/>
      <c r="AR705" s="87"/>
      <c r="AS705" s="87"/>
      <c r="AT705" s="87"/>
      <c r="AU705" s="87"/>
      <c r="AV705" s="87"/>
      <c r="AW705" s="87"/>
      <c r="AX705" s="87"/>
      <c r="AY705" s="87"/>
      <c r="AZ705" s="87"/>
      <c r="BA705" s="87"/>
      <c r="BB705" s="87"/>
      <c r="BC705" s="87"/>
      <c r="BD705" s="87"/>
      <c r="BE705" s="87"/>
      <c r="BF705" s="87"/>
      <c r="BG705" s="87"/>
      <c r="BH705" s="87"/>
    </row>
    <row r="706" spans="1:60" ht="16">
      <c r="A706" s="82"/>
      <c r="B706" s="82"/>
      <c r="C706" s="82"/>
      <c r="D706" s="83"/>
      <c r="E706" s="84"/>
      <c r="F706" s="84"/>
      <c r="G706" s="84"/>
      <c r="H706" s="82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7"/>
      <c r="AA706" s="87"/>
      <c r="AB706" s="87"/>
      <c r="AC706" s="87"/>
      <c r="AD706" s="87"/>
      <c r="AE706" s="87"/>
      <c r="AF706" s="87"/>
      <c r="AG706" s="87"/>
      <c r="AH706" s="87"/>
      <c r="AI706" s="87"/>
      <c r="AJ706" s="87"/>
      <c r="AK706" s="87"/>
      <c r="AL706" s="87"/>
      <c r="AM706" s="87"/>
      <c r="AN706" s="87"/>
      <c r="AO706" s="87"/>
      <c r="AP706" s="87"/>
      <c r="AQ706" s="87"/>
      <c r="AR706" s="87"/>
      <c r="AS706" s="87"/>
      <c r="AT706" s="87"/>
      <c r="AU706" s="87"/>
      <c r="AV706" s="87"/>
      <c r="AW706" s="87"/>
      <c r="AX706" s="87"/>
      <c r="AY706" s="87"/>
      <c r="AZ706" s="87"/>
      <c r="BA706" s="87"/>
      <c r="BB706" s="87"/>
      <c r="BC706" s="87"/>
      <c r="BD706" s="87"/>
      <c r="BE706" s="87"/>
      <c r="BF706" s="87"/>
      <c r="BG706" s="87"/>
      <c r="BH706" s="87"/>
    </row>
    <row r="707" spans="1:60" ht="16">
      <c r="A707" s="82"/>
      <c r="B707" s="82"/>
      <c r="C707" s="82"/>
      <c r="D707" s="83"/>
      <c r="E707" s="84"/>
      <c r="F707" s="84"/>
      <c r="G707" s="84"/>
      <c r="H707" s="82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7"/>
      <c r="AA707" s="87"/>
      <c r="AB707" s="87"/>
      <c r="AC707" s="87"/>
      <c r="AD707" s="87"/>
      <c r="AE707" s="87"/>
      <c r="AF707" s="87"/>
      <c r="AG707" s="87"/>
      <c r="AH707" s="87"/>
      <c r="AI707" s="87"/>
      <c r="AJ707" s="87"/>
      <c r="AK707" s="87"/>
      <c r="AL707" s="87"/>
      <c r="AM707" s="87"/>
      <c r="AN707" s="87"/>
      <c r="AO707" s="87"/>
      <c r="AP707" s="87"/>
      <c r="AQ707" s="87"/>
      <c r="AR707" s="87"/>
      <c r="AS707" s="87"/>
      <c r="AT707" s="87"/>
      <c r="AU707" s="87"/>
      <c r="AV707" s="87"/>
      <c r="AW707" s="87"/>
      <c r="AX707" s="87"/>
      <c r="AY707" s="87"/>
      <c r="AZ707" s="87"/>
      <c r="BA707" s="87"/>
      <c r="BB707" s="87"/>
      <c r="BC707" s="87"/>
      <c r="BD707" s="87"/>
      <c r="BE707" s="87"/>
      <c r="BF707" s="87"/>
      <c r="BG707" s="87"/>
      <c r="BH707" s="87"/>
    </row>
    <row r="708" spans="1:60" ht="16">
      <c r="A708" s="82"/>
      <c r="B708" s="82"/>
      <c r="C708" s="82"/>
      <c r="D708" s="83"/>
      <c r="E708" s="84"/>
      <c r="F708" s="84"/>
      <c r="G708" s="84"/>
      <c r="H708" s="82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7"/>
      <c r="AA708" s="87"/>
      <c r="AB708" s="87"/>
      <c r="AC708" s="87"/>
      <c r="AD708" s="87"/>
      <c r="AE708" s="87"/>
      <c r="AF708" s="87"/>
      <c r="AG708" s="87"/>
      <c r="AH708" s="87"/>
      <c r="AI708" s="87"/>
      <c r="AJ708" s="87"/>
      <c r="AK708" s="87"/>
      <c r="AL708" s="87"/>
      <c r="AM708" s="87"/>
      <c r="AN708" s="87"/>
      <c r="AO708" s="87"/>
      <c r="AP708" s="87"/>
      <c r="AQ708" s="87"/>
      <c r="AR708" s="87"/>
      <c r="AS708" s="87"/>
      <c r="AT708" s="87"/>
      <c r="AU708" s="87"/>
      <c r="AV708" s="87"/>
      <c r="AW708" s="87"/>
      <c r="AX708" s="87"/>
      <c r="AY708" s="87"/>
      <c r="AZ708" s="87"/>
      <c r="BA708" s="87"/>
      <c r="BB708" s="87"/>
      <c r="BC708" s="87"/>
      <c r="BD708" s="87"/>
      <c r="BE708" s="87"/>
      <c r="BF708" s="87"/>
      <c r="BG708" s="87"/>
      <c r="BH708" s="87"/>
    </row>
    <row r="709" spans="1:60" ht="16">
      <c r="A709" s="82"/>
      <c r="B709" s="82"/>
      <c r="C709" s="82"/>
      <c r="D709" s="83"/>
      <c r="E709" s="84"/>
      <c r="F709" s="84"/>
      <c r="G709" s="84"/>
      <c r="H709" s="82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7"/>
      <c r="AA709" s="87"/>
      <c r="AB709" s="87"/>
      <c r="AC709" s="87"/>
      <c r="AD709" s="87"/>
      <c r="AE709" s="87"/>
      <c r="AF709" s="87"/>
      <c r="AG709" s="87"/>
      <c r="AH709" s="87"/>
      <c r="AI709" s="87"/>
      <c r="AJ709" s="87"/>
      <c r="AK709" s="87"/>
      <c r="AL709" s="87"/>
      <c r="AM709" s="87"/>
      <c r="AN709" s="87"/>
      <c r="AO709" s="87"/>
      <c r="AP709" s="87"/>
      <c r="AQ709" s="87"/>
      <c r="AR709" s="87"/>
      <c r="AS709" s="87"/>
      <c r="AT709" s="87"/>
      <c r="AU709" s="87"/>
      <c r="AV709" s="87"/>
      <c r="AW709" s="87"/>
      <c r="AX709" s="87"/>
      <c r="AY709" s="87"/>
      <c r="AZ709" s="87"/>
      <c r="BA709" s="87"/>
      <c r="BB709" s="87"/>
      <c r="BC709" s="87"/>
      <c r="BD709" s="87"/>
      <c r="BE709" s="87"/>
      <c r="BF709" s="87"/>
      <c r="BG709" s="87"/>
      <c r="BH709" s="87"/>
    </row>
    <row r="710" spans="1:60" ht="16">
      <c r="A710" s="82"/>
      <c r="B710" s="82"/>
      <c r="C710" s="82"/>
      <c r="D710" s="83"/>
      <c r="E710" s="84"/>
      <c r="F710" s="84"/>
      <c r="G710" s="84"/>
      <c r="H710" s="82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7"/>
      <c r="AA710" s="87"/>
      <c r="AB710" s="87"/>
      <c r="AC710" s="87"/>
      <c r="AD710" s="87"/>
      <c r="AE710" s="87"/>
      <c r="AF710" s="87"/>
      <c r="AG710" s="87"/>
      <c r="AH710" s="87"/>
      <c r="AI710" s="87"/>
      <c r="AJ710" s="87"/>
      <c r="AK710" s="87"/>
      <c r="AL710" s="87"/>
      <c r="AM710" s="87"/>
      <c r="AN710" s="87"/>
      <c r="AO710" s="87"/>
      <c r="AP710" s="87"/>
      <c r="AQ710" s="87"/>
      <c r="AR710" s="87"/>
      <c r="AS710" s="87"/>
      <c r="AT710" s="87"/>
      <c r="AU710" s="87"/>
      <c r="AV710" s="87"/>
      <c r="AW710" s="87"/>
      <c r="AX710" s="87"/>
      <c r="AY710" s="87"/>
      <c r="AZ710" s="87"/>
      <c r="BA710" s="87"/>
      <c r="BB710" s="87"/>
      <c r="BC710" s="87"/>
      <c r="BD710" s="87"/>
      <c r="BE710" s="87"/>
      <c r="BF710" s="87"/>
      <c r="BG710" s="87"/>
      <c r="BH710" s="87"/>
    </row>
    <row r="711" spans="1:60" ht="16">
      <c r="A711" s="82"/>
      <c r="B711" s="82"/>
      <c r="C711" s="82"/>
      <c r="D711" s="83"/>
      <c r="E711" s="84"/>
      <c r="F711" s="84"/>
      <c r="G711" s="84"/>
      <c r="H711" s="82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7"/>
      <c r="AA711" s="87"/>
      <c r="AB711" s="87"/>
      <c r="AC711" s="87"/>
      <c r="AD711" s="87"/>
      <c r="AE711" s="87"/>
      <c r="AF711" s="87"/>
      <c r="AG711" s="87"/>
      <c r="AH711" s="87"/>
      <c r="AI711" s="87"/>
      <c r="AJ711" s="87"/>
      <c r="AK711" s="87"/>
      <c r="AL711" s="87"/>
      <c r="AM711" s="87"/>
      <c r="AN711" s="87"/>
      <c r="AO711" s="87"/>
      <c r="AP711" s="87"/>
      <c r="AQ711" s="87"/>
      <c r="AR711" s="87"/>
      <c r="AS711" s="87"/>
      <c r="AT711" s="87"/>
      <c r="AU711" s="87"/>
      <c r="AV711" s="87"/>
      <c r="AW711" s="87"/>
      <c r="AX711" s="87"/>
      <c r="AY711" s="87"/>
      <c r="AZ711" s="87"/>
      <c r="BA711" s="87"/>
      <c r="BB711" s="87"/>
      <c r="BC711" s="87"/>
      <c r="BD711" s="87"/>
      <c r="BE711" s="87"/>
      <c r="BF711" s="87"/>
      <c r="BG711" s="87"/>
      <c r="BH711" s="87"/>
    </row>
    <row r="712" spans="1:60" ht="16">
      <c r="A712" s="82"/>
      <c r="B712" s="82"/>
      <c r="C712" s="82"/>
      <c r="D712" s="83"/>
      <c r="E712" s="84"/>
      <c r="F712" s="84"/>
      <c r="G712" s="84"/>
      <c r="H712" s="82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7"/>
      <c r="AA712" s="87"/>
      <c r="AB712" s="87"/>
      <c r="AC712" s="87"/>
      <c r="AD712" s="87"/>
      <c r="AE712" s="87"/>
      <c r="AF712" s="87"/>
      <c r="AG712" s="87"/>
      <c r="AH712" s="87"/>
      <c r="AI712" s="87"/>
      <c r="AJ712" s="87"/>
      <c r="AK712" s="87"/>
      <c r="AL712" s="87"/>
      <c r="AM712" s="87"/>
      <c r="AN712" s="87"/>
      <c r="AO712" s="87"/>
      <c r="AP712" s="87"/>
      <c r="AQ712" s="87"/>
      <c r="AR712" s="87"/>
      <c r="AS712" s="87"/>
      <c r="AT712" s="87"/>
      <c r="AU712" s="87"/>
      <c r="AV712" s="87"/>
      <c r="AW712" s="87"/>
      <c r="AX712" s="87"/>
      <c r="AY712" s="87"/>
      <c r="AZ712" s="87"/>
      <c r="BA712" s="87"/>
      <c r="BB712" s="87"/>
      <c r="BC712" s="87"/>
      <c r="BD712" s="87"/>
      <c r="BE712" s="87"/>
      <c r="BF712" s="87"/>
      <c r="BG712" s="87"/>
      <c r="BH712" s="87"/>
    </row>
    <row r="713" spans="1:60" ht="16">
      <c r="A713" s="82"/>
      <c r="B713" s="82"/>
      <c r="C713" s="82"/>
      <c r="D713" s="83"/>
      <c r="E713" s="84"/>
      <c r="F713" s="84"/>
      <c r="G713" s="84"/>
      <c r="H713" s="82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7"/>
      <c r="AA713" s="87"/>
      <c r="AB713" s="87"/>
      <c r="AC713" s="87"/>
      <c r="AD713" s="87"/>
      <c r="AE713" s="87"/>
      <c r="AF713" s="87"/>
      <c r="AG713" s="87"/>
      <c r="AH713" s="87"/>
      <c r="AI713" s="87"/>
      <c r="AJ713" s="87"/>
      <c r="AK713" s="87"/>
      <c r="AL713" s="87"/>
      <c r="AM713" s="87"/>
      <c r="AN713" s="87"/>
      <c r="AO713" s="87"/>
      <c r="AP713" s="87"/>
      <c r="AQ713" s="87"/>
      <c r="AR713" s="87"/>
      <c r="AS713" s="87"/>
      <c r="AT713" s="87"/>
      <c r="AU713" s="87"/>
      <c r="AV713" s="87"/>
      <c r="AW713" s="87"/>
      <c r="AX713" s="87"/>
      <c r="AY713" s="87"/>
      <c r="AZ713" s="87"/>
      <c r="BA713" s="87"/>
      <c r="BB713" s="87"/>
      <c r="BC713" s="87"/>
      <c r="BD713" s="87"/>
      <c r="BE713" s="87"/>
      <c r="BF713" s="87"/>
      <c r="BG713" s="87"/>
      <c r="BH713" s="87"/>
    </row>
    <row r="714" spans="1:60" ht="16">
      <c r="A714" s="82"/>
      <c r="B714" s="82"/>
      <c r="C714" s="82"/>
      <c r="D714" s="83"/>
      <c r="E714" s="84"/>
      <c r="F714" s="84"/>
      <c r="G714" s="84"/>
      <c r="H714" s="82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7"/>
      <c r="AA714" s="87"/>
      <c r="AB714" s="87"/>
      <c r="AC714" s="87"/>
      <c r="AD714" s="87"/>
      <c r="AE714" s="87"/>
      <c r="AF714" s="87"/>
      <c r="AG714" s="87"/>
      <c r="AH714" s="87"/>
      <c r="AI714" s="87"/>
      <c r="AJ714" s="87"/>
      <c r="AK714" s="87"/>
      <c r="AL714" s="87"/>
      <c r="AM714" s="87"/>
      <c r="AN714" s="87"/>
      <c r="AO714" s="87"/>
      <c r="AP714" s="87"/>
      <c r="AQ714" s="87"/>
      <c r="AR714" s="87"/>
      <c r="AS714" s="87"/>
      <c r="AT714" s="87"/>
      <c r="AU714" s="87"/>
      <c r="AV714" s="87"/>
      <c r="AW714" s="87"/>
      <c r="AX714" s="87"/>
      <c r="AY714" s="87"/>
      <c r="AZ714" s="87"/>
      <c r="BA714" s="87"/>
      <c r="BB714" s="87"/>
      <c r="BC714" s="87"/>
      <c r="BD714" s="87"/>
      <c r="BE714" s="87"/>
      <c r="BF714" s="87"/>
      <c r="BG714" s="87"/>
      <c r="BH714" s="87"/>
    </row>
    <row r="715" spans="1:60" ht="16">
      <c r="A715" s="82"/>
      <c r="B715" s="82"/>
      <c r="C715" s="82"/>
      <c r="D715" s="83"/>
      <c r="E715" s="84"/>
      <c r="F715" s="84"/>
      <c r="G715" s="84"/>
      <c r="H715" s="82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7"/>
      <c r="AA715" s="87"/>
      <c r="AB715" s="87"/>
      <c r="AC715" s="87"/>
      <c r="AD715" s="87"/>
      <c r="AE715" s="87"/>
      <c r="AF715" s="87"/>
      <c r="AG715" s="87"/>
      <c r="AH715" s="87"/>
      <c r="AI715" s="87"/>
      <c r="AJ715" s="87"/>
      <c r="AK715" s="87"/>
      <c r="AL715" s="87"/>
      <c r="AM715" s="87"/>
      <c r="AN715" s="87"/>
      <c r="AO715" s="87"/>
      <c r="AP715" s="87"/>
      <c r="AQ715" s="87"/>
      <c r="AR715" s="87"/>
      <c r="AS715" s="87"/>
      <c r="AT715" s="87"/>
      <c r="AU715" s="87"/>
      <c r="AV715" s="87"/>
      <c r="AW715" s="87"/>
      <c r="AX715" s="87"/>
      <c r="AY715" s="87"/>
      <c r="AZ715" s="87"/>
      <c r="BA715" s="87"/>
      <c r="BB715" s="87"/>
      <c r="BC715" s="87"/>
      <c r="BD715" s="87"/>
      <c r="BE715" s="87"/>
      <c r="BF715" s="87"/>
      <c r="BG715" s="87"/>
      <c r="BH715" s="87"/>
    </row>
    <row r="716" spans="1:60" ht="16">
      <c r="A716" s="82"/>
      <c r="B716" s="82"/>
      <c r="C716" s="82"/>
      <c r="D716" s="83"/>
      <c r="E716" s="84"/>
      <c r="F716" s="84"/>
      <c r="G716" s="84"/>
      <c r="H716" s="82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7"/>
      <c r="AA716" s="87"/>
      <c r="AB716" s="87"/>
      <c r="AC716" s="87"/>
      <c r="AD716" s="87"/>
      <c r="AE716" s="87"/>
      <c r="AF716" s="87"/>
      <c r="AG716" s="87"/>
      <c r="AH716" s="87"/>
      <c r="AI716" s="87"/>
      <c r="AJ716" s="87"/>
      <c r="AK716" s="87"/>
      <c r="AL716" s="87"/>
      <c r="AM716" s="87"/>
      <c r="AN716" s="87"/>
      <c r="AO716" s="87"/>
      <c r="AP716" s="87"/>
      <c r="AQ716" s="87"/>
      <c r="AR716" s="87"/>
      <c r="AS716" s="87"/>
      <c r="AT716" s="87"/>
      <c r="AU716" s="87"/>
      <c r="AV716" s="87"/>
      <c r="AW716" s="87"/>
      <c r="AX716" s="87"/>
      <c r="AY716" s="87"/>
      <c r="AZ716" s="87"/>
      <c r="BA716" s="87"/>
      <c r="BB716" s="87"/>
      <c r="BC716" s="87"/>
      <c r="BD716" s="87"/>
      <c r="BE716" s="87"/>
      <c r="BF716" s="87"/>
      <c r="BG716" s="87"/>
      <c r="BH716" s="87"/>
    </row>
    <row r="717" spans="1:60" ht="16">
      <c r="A717" s="82"/>
      <c r="B717" s="82"/>
      <c r="C717" s="82"/>
      <c r="D717" s="83"/>
      <c r="E717" s="84"/>
      <c r="F717" s="84"/>
      <c r="G717" s="84"/>
      <c r="H717" s="82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7"/>
      <c r="AA717" s="87"/>
      <c r="AB717" s="87"/>
      <c r="AC717" s="87"/>
      <c r="AD717" s="87"/>
      <c r="AE717" s="87"/>
      <c r="AF717" s="87"/>
      <c r="AG717" s="87"/>
      <c r="AH717" s="87"/>
      <c r="AI717" s="87"/>
      <c r="AJ717" s="87"/>
      <c r="AK717" s="87"/>
      <c r="AL717" s="87"/>
      <c r="AM717" s="87"/>
      <c r="AN717" s="87"/>
      <c r="AO717" s="87"/>
      <c r="AP717" s="87"/>
      <c r="AQ717" s="87"/>
      <c r="AR717" s="87"/>
      <c r="AS717" s="87"/>
      <c r="AT717" s="87"/>
      <c r="AU717" s="87"/>
      <c r="AV717" s="87"/>
      <c r="AW717" s="87"/>
      <c r="AX717" s="87"/>
      <c r="AY717" s="87"/>
      <c r="AZ717" s="87"/>
      <c r="BA717" s="87"/>
      <c r="BB717" s="87"/>
      <c r="BC717" s="87"/>
      <c r="BD717" s="87"/>
      <c r="BE717" s="87"/>
      <c r="BF717" s="87"/>
      <c r="BG717" s="87"/>
      <c r="BH717" s="87"/>
    </row>
    <row r="718" spans="1:60" ht="16">
      <c r="A718" s="82"/>
      <c r="B718" s="82"/>
      <c r="C718" s="82"/>
      <c r="D718" s="83"/>
      <c r="E718" s="84"/>
      <c r="F718" s="84"/>
      <c r="G718" s="84"/>
      <c r="H718" s="82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7"/>
      <c r="AA718" s="87"/>
      <c r="AB718" s="87"/>
      <c r="AC718" s="87"/>
      <c r="AD718" s="87"/>
      <c r="AE718" s="87"/>
      <c r="AF718" s="87"/>
      <c r="AG718" s="87"/>
      <c r="AH718" s="87"/>
      <c r="AI718" s="87"/>
      <c r="AJ718" s="87"/>
      <c r="AK718" s="87"/>
      <c r="AL718" s="87"/>
      <c r="AM718" s="87"/>
      <c r="AN718" s="87"/>
      <c r="AO718" s="87"/>
      <c r="AP718" s="87"/>
      <c r="AQ718" s="87"/>
      <c r="AR718" s="87"/>
      <c r="AS718" s="87"/>
      <c r="AT718" s="87"/>
      <c r="AU718" s="87"/>
      <c r="AV718" s="87"/>
      <c r="AW718" s="87"/>
      <c r="AX718" s="87"/>
      <c r="AY718" s="87"/>
      <c r="AZ718" s="87"/>
      <c r="BA718" s="87"/>
      <c r="BB718" s="87"/>
      <c r="BC718" s="87"/>
      <c r="BD718" s="87"/>
      <c r="BE718" s="87"/>
      <c r="BF718" s="87"/>
      <c r="BG718" s="87"/>
      <c r="BH718" s="87"/>
    </row>
    <row r="719" spans="1:60" ht="16">
      <c r="A719" s="82"/>
      <c r="B719" s="82"/>
      <c r="C719" s="82"/>
      <c r="D719" s="83"/>
      <c r="E719" s="84"/>
      <c r="F719" s="84"/>
      <c r="G719" s="84"/>
      <c r="H719" s="82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7"/>
      <c r="AA719" s="87"/>
      <c r="AB719" s="87"/>
      <c r="AC719" s="87"/>
      <c r="AD719" s="87"/>
      <c r="AE719" s="87"/>
      <c r="AF719" s="87"/>
      <c r="AG719" s="87"/>
      <c r="AH719" s="87"/>
      <c r="AI719" s="87"/>
      <c r="AJ719" s="87"/>
      <c r="AK719" s="87"/>
      <c r="AL719" s="87"/>
      <c r="AM719" s="87"/>
      <c r="AN719" s="87"/>
      <c r="AO719" s="87"/>
      <c r="AP719" s="87"/>
      <c r="AQ719" s="87"/>
      <c r="AR719" s="87"/>
      <c r="AS719" s="87"/>
      <c r="AT719" s="87"/>
      <c r="AU719" s="87"/>
      <c r="AV719" s="87"/>
      <c r="AW719" s="87"/>
      <c r="AX719" s="87"/>
      <c r="AY719" s="87"/>
      <c r="AZ719" s="87"/>
      <c r="BA719" s="87"/>
      <c r="BB719" s="87"/>
      <c r="BC719" s="87"/>
      <c r="BD719" s="87"/>
      <c r="BE719" s="87"/>
      <c r="BF719" s="87"/>
      <c r="BG719" s="87"/>
      <c r="BH719" s="87"/>
    </row>
    <row r="720" spans="1:60" ht="16">
      <c r="A720" s="82"/>
      <c r="B720" s="82"/>
      <c r="C720" s="82"/>
      <c r="D720" s="83"/>
      <c r="E720" s="84"/>
      <c r="F720" s="84"/>
      <c r="G720" s="84"/>
      <c r="H720" s="82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7"/>
      <c r="AA720" s="87"/>
      <c r="AB720" s="87"/>
      <c r="AC720" s="87"/>
      <c r="AD720" s="87"/>
      <c r="AE720" s="87"/>
      <c r="AF720" s="87"/>
      <c r="AG720" s="87"/>
      <c r="AH720" s="87"/>
      <c r="AI720" s="87"/>
      <c r="AJ720" s="87"/>
      <c r="AK720" s="87"/>
      <c r="AL720" s="87"/>
      <c r="AM720" s="87"/>
      <c r="AN720" s="87"/>
      <c r="AO720" s="87"/>
      <c r="AP720" s="87"/>
      <c r="AQ720" s="87"/>
      <c r="AR720" s="87"/>
      <c r="AS720" s="87"/>
      <c r="AT720" s="87"/>
      <c r="AU720" s="87"/>
      <c r="AV720" s="87"/>
      <c r="AW720" s="87"/>
      <c r="AX720" s="87"/>
      <c r="AY720" s="87"/>
      <c r="AZ720" s="87"/>
      <c r="BA720" s="87"/>
      <c r="BB720" s="87"/>
      <c r="BC720" s="87"/>
      <c r="BD720" s="87"/>
      <c r="BE720" s="87"/>
      <c r="BF720" s="87"/>
      <c r="BG720" s="87"/>
      <c r="BH720" s="87"/>
    </row>
    <row r="721" spans="1:60" ht="16">
      <c r="A721" s="82"/>
      <c r="B721" s="82"/>
      <c r="C721" s="82"/>
      <c r="D721" s="83"/>
      <c r="E721" s="84"/>
      <c r="F721" s="84"/>
      <c r="G721" s="84"/>
      <c r="H721" s="82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7"/>
      <c r="AA721" s="87"/>
      <c r="AB721" s="87"/>
      <c r="AC721" s="87"/>
      <c r="AD721" s="87"/>
      <c r="AE721" s="87"/>
      <c r="AF721" s="87"/>
      <c r="AG721" s="87"/>
      <c r="AH721" s="87"/>
      <c r="AI721" s="87"/>
      <c r="AJ721" s="87"/>
      <c r="AK721" s="87"/>
      <c r="AL721" s="87"/>
      <c r="AM721" s="87"/>
      <c r="AN721" s="87"/>
      <c r="AO721" s="87"/>
      <c r="AP721" s="87"/>
      <c r="AQ721" s="87"/>
      <c r="AR721" s="87"/>
      <c r="AS721" s="87"/>
      <c r="AT721" s="87"/>
      <c r="AU721" s="87"/>
      <c r="AV721" s="87"/>
      <c r="AW721" s="87"/>
      <c r="AX721" s="87"/>
      <c r="AY721" s="87"/>
      <c r="AZ721" s="87"/>
      <c r="BA721" s="87"/>
      <c r="BB721" s="87"/>
      <c r="BC721" s="87"/>
      <c r="BD721" s="87"/>
      <c r="BE721" s="87"/>
      <c r="BF721" s="87"/>
      <c r="BG721" s="87"/>
      <c r="BH721" s="87"/>
    </row>
    <row r="722" spans="1:60" ht="16">
      <c r="A722" s="82"/>
      <c r="B722" s="82"/>
      <c r="C722" s="82"/>
      <c r="D722" s="83"/>
      <c r="E722" s="84"/>
      <c r="F722" s="84"/>
      <c r="G722" s="84"/>
      <c r="H722" s="82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7"/>
      <c r="AA722" s="87"/>
      <c r="AB722" s="87"/>
      <c r="AC722" s="87"/>
      <c r="AD722" s="87"/>
      <c r="AE722" s="87"/>
      <c r="AF722" s="87"/>
      <c r="AG722" s="87"/>
      <c r="AH722" s="87"/>
      <c r="AI722" s="87"/>
      <c r="AJ722" s="87"/>
      <c r="AK722" s="87"/>
      <c r="AL722" s="87"/>
      <c r="AM722" s="87"/>
      <c r="AN722" s="87"/>
      <c r="AO722" s="87"/>
      <c r="AP722" s="87"/>
      <c r="AQ722" s="87"/>
      <c r="AR722" s="87"/>
      <c r="AS722" s="87"/>
      <c r="AT722" s="87"/>
      <c r="AU722" s="87"/>
      <c r="AV722" s="87"/>
      <c r="AW722" s="87"/>
      <c r="AX722" s="87"/>
      <c r="AY722" s="87"/>
      <c r="AZ722" s="87"/>
      <c r="BA722" s="87"/>
      <c r="BB722" s="87"/>
      <c r="BC722" s="87"/>
      <c r="BD722" s="87"/>
      <c r="BE722" s="87"/>
      <c r="BF722" s="87"/>
      <c r="BG722" s="87"/>
      <c r="BH722" s="87"/>
    </row>
    <row r="723" spans="1:60" ht="16">
      <c r="A723" s="82"/>
      <c r="B723" s="82"/>
      <c r="C723" s="82"/>
      <c r="D723" s="83"/>
      <c r="E723" s="84"/>
      <c r="F723" s="84"/>
      <c r="G723" s="84"/>
      <c r="H723" s="82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7"/>
      <c r="AA723" s="87"/>
      <c r="AB723" s="87"/>
      <c r="AC723" s="87"/>
      <c r="AD723" s="87"/>
      <c r="AE723" s="87"/>
      <c r="AF723" s="87"/>
      <c r="AG723" s="87"/>
      <c r="AH723" s="87"/>
      <c r="AI723" s="87"/>
      <c r="AJ723" s="87"/>
      <c r="AK723" s="87"/>
      <c r="AL723" s="87"/>
      <c r="AM723" s="87"/>
      <c r="AN723" s="87"/>
      <c r="AO723" s="87"/>
      <c r="AP723" s="87"/>
      <c r="AQ723" s="87"/>
      <c r="AR723" s="87"/>
      <c r="AS723" s="87"/>
      <c r="AT723" s="87"/>
      <c r="AU723" s="87"/>
      <c r="AV723" s="87"/>
      <c r="AW723" s="87"/>
      <c r="AX723" s="87"/>
      <c r="AY723" s="87"/>
      <c r="AZ723" s="87"/>
      <c r="BA723" s="87"/>
      <c r="BB723" s="87"/>
      <c r="BC723" s="87"/>
      <c r="BD723" s="87"/>
      <c r="BE723" s="87"/>
      <c r="BF723" s="87"/>
      <c r="BG723" s="87"/>
      <c r="BH723" s="87"/>
    </row>
    <row r="724" spans="1:60" ht="16">
      <c r="A724" s="82"/>
      <c r="B724" s="82"/>
      <c r="C724" s="82"/>
      <c r="D724" s="83"/>
      <c r="E724" s="84"/>
      <c r="F724" s="84"/>
      <c r="G724" s="84"/>
      <c r="H724" s="82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7"/>
      <c r="AA724" s="87"/>
      <c r="AB724" s="87"/>
      <c r="AC724" s="87"/>
      <c r="AD724" s="87"/>
      <c r="AE724" s="87"/>
      <c r="AF724" s="87"/>
      <c r="AG724" s="87"/>
      <c r="AH724" s="87"/>
      <c r="AI724" s="87"/>
      <c r="AJ724" s="87"/>
      <c r="AK724" s="87"/>
      <c r="AL724" s="87"/>
      <c r="AM724" s="87"/>
      <c r="AN724" s="87"/>
      <c r="AO724" s="87"/>
      <c r="AP724" s="87"/>
      <c r="AQ724" s="87"/>
      <c r="AR724" s="87"/>
      <c r="AS724" s="87"/>
      <c r="AT724" s="87"/>
      <c r="AU724" s="87"/>
      <c r="AV724" s="87"/>
      <c r="AW724" s="87"/>
      <c r="AX724" s="87"/>
      <c r="AY724" s="87"/>
      <c r="AZ724" s="87"/>
      <c r="BA724" s="87"/>
      <c r="BB724" s="87"/>
      <c r="BC724" s="87"/>
      <c r="BD724" s="87"/>
      <c r="BE724" s="87"/>
      <c r="BF724" s="87"/>
      <c r="BG724" s="87"/>
      <c r="BH724" s="87"/>
    </row>
    <row r="725" spans="1:60" ht="16">
      <c r="A725" s="82"/>
      <c r="B725" s="82"/>
      <c r="C725" s="82"/>
      <c r="D725" s="83"/>
      <c r="E725" s="84"/>
      <c r="F725" s="84"/>
      <c r="G725" s="84"/>
      <c r="H725" s="82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7"/>
      <c r="AA725" s="87"/>
      <c r="AB725" s="87"/>
      <c r="AC725" s="87"/>
      <c r="AD725" s="87"/>
      <c r="AE725" s="87"/>
      <c r="AF725" s="87"/>
      <c r="AG725" s="87"/>
      <c r="AH725" s="87"/>
      <c r="AI725" s="87"/>
      <c r="AJ725" s="87"/>
      <c r="AK725" s="87"/>
      <c r="AL725" s="87"/>
      <c r="AM725" s="87"/>
      <c r="AN725" s="87"/>
      <c r="AO725" s="87"/>
      <c r="AP725" s="87"/>
      <c r="AQ725" s="87"/>
      <c r="AR725" s="87"/>
      <c r="AS725" s="87"/>
      <c r="AT725" s="87"/>
      <c r="AU725" s="87"/>
      <c r="AV725" s="87"/>
      <c r="AW725" s="87"/>
      <c r="AX725" s="87"/>
      <c r="AY725" s="87"/>
      <c r="AZ725" s="87"/>
      <c r="BA725" s="87"/>
      <c r="BB725" s="87"/>
      <c r="BC725" s="87"/>
      <c r="BD725" s="87"/>
      <c r="BE725" s="87"/>
      <c r="BF725" s="87"/>
      <c r="BG725" s="87"/>
      <c r="BH725" s="87"/>
    </row>
    <row r="726" spans="1:60" ht="16">
      <c r="A726" s="82"/>
      <c r="B726" s="82"/>
      <c r="C726" s="82"/>
      <c r="D726" s="83"/>
      <c r="E726" s="84"/>
      <c r="F726" s="84"/>
      <c r="G726" s="84"/>
      <c r="H726" s="82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7"/>
      <c r="AA726" s="87"/>
      <c r="AB726" s="87"/>
      <c r="AC726" s="87"/>
      <c r="AD726" s="87"/>
      <c r="AE726" s="87"/>
      <c r="AF726" s="87"/>
      <c r="AG726" s="87"/>
      <c r="AH726" s="87"/>
      <c r="AI726" s="87"/>
      <c r="AJ726" s="87"/>
      <c r="AK726" s="87"/>
      <c r="AL726" s="87"/>
      <c r="AM726" s="87"/>
      <c r="AN726" s="87"/>
      <c r="AO726" s="87"/>
      <c r="AP726" s="87"/>
      <c r="AQ726" s="87"/>
      <c r="AR726" s="87"/>
      <c r="AS726" s="87"/>
      <c r="AT726" s="87"/>
      <c r="AU726" s="87"/>
      <c r="AV726" s="87"/>
      <c r="AW726" s="87"/>
      <c r="AX726" s="87"/>
      <c r="AY726" s="87"/>
      <c r="AZ726" s="87"/>
      <c r="BA726" s="87"/>
      <c r="BB726" s="87"/>
      <c r="BC726" s="87"/>
      <c r="BD726" s="87"/>
      <c r="BE726" s="87"/>
      <c r="BF726" s="87"/>
      <c r="BG726" s="87"/>
      <c r="BH726" s="87"/>
    </row>
    <row r="727" spans="1:60" ht="16">
      <c r="A727" s="82"/>
      <c r="B727" s="82"/>
      <c r="C727" s="82"/>
      <c r="D727" s="83"/>
      <c r="E727" s="84"/>
      <c r="F727" s="84"/>
      <c r="G727" s="84"/>
      <c r="H727" s="82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7"/>
      <c r="AA727" s="87"/>
      <c r="AB727" s="87"/>
      <c r="AC727" s="87"/>
      <c r="AD727" s="87"/>
      <c r="AE727" s="87"/>
      <c r="AF727" s="87"/>
      <c r="AG727" s="87"/>
      <c r="AH727" s="87"/>
      <c r="AI727" s="87"/>
      <c r="AJ727" s="87"/>
      <c r="AK727" s="87"/>
      <c r="AL727" s="87"/>
      <c r="AM727" s="87"/>
      <c r="AN727" s="87"/>
      <c r="AO727" s="87"/>
      <c r="AP727" s="87"/>
      <c r="AQ727" s="87"/>
      <c r="AR727" s="87"/>
      <c r="AS727" s="87"/>
      <c r="AT727" s="87"/>
      <c r="AU727" s="87"/>
      <c r="AV727" s="87"/>
      <c r="AW727" s="87"/>
      <c r="AX727" s="87"/>
      <c r="AY727" s="87"/>
      <c r="AZ727" s="87"/>
      <c r="BA727" s="87"/>
      <c r="BB727" s="87"/>
      <c r="BC727" s="87"/>
      <c r="BD727" s="87"/>
      <c r="BE727" s="87"/>
      <c r="BF727" s="87"/>
      <c r="BG727" s="87"/>
      <c r="BH727" s="87"/>
    </row>
    <row r="728" spans="1:60" ht="16">
      <c r="A728" s="82"/>
      <c r="B728" s="82"/>
      <c r="C728" s="82"/>
      <c r="D728" s="83"/>
      <c r="E728" s="84"/>
      <c r="F728" s="84"/>
      <c r="G728" s="84"/>
      <c r="H728" s="82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7"/>
      <c r="AA728" s="87"/>
      <c r="AB728" s="87"/>
      <c r="AC728" s="87"/>
      <c r="AD728" s="87"/>
      <c r="AE728" s="87"/>
      <c r="AF728" s="87"/>
      <c r="AG728" s="87"/>
      <c r="AH728" s="87"/>
      <c r="AI728" s="87"/>
      <c r="AJ728" s="87"/>
      <c r="AK728" s="87"/>
      <c r="AL728" s="87"/>
      <c r="AM728" s="87"/>
      <c r="AN728" s="87"/>
      <c r="AO728" s="87"/>
      <c r="AP728" s="87"/>
      <c r="AQ728" s="87"/>
      <c r="AR728" s="87"/>
      <c r="AS728" s="87"/>
      <c r="AT728" s="87"/>
      <c r="AU728" s="87"/>
      <c r="AV728" s="87"/>
      <c r="AW728" s="87"/>
      <c r="AX728" s="87"/>
      <c r="AY728" s="87"/>
      <c r="AZ728" s="87"/>
      <c r="BA728" s="87"/>
      <c r="BB728" s="87"/>
      <c r="BC728" s="87"/>
      <c r="BD728" s="87"/>
      <c r="BE728" s="87"/>
      <c r="BF728" s="87"/>
      <c r="BG728" s="87"/>
      <c r="BH728" s="87"/>
    </row>
    <row r="729" spans="1:60" ht="16">
      <c r="A729" s="82"/>
      <c r="B729" s="82"/>
      <c r="C729" s="82"/>
      <c r="D729" s="83"/>
      <c r="E729" s="84"/>
      <c r="F729" s="84"/>
      <c r="G729" s="84"/>
      <c r="H729" s="82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7"/>
      <c r="AA729" s="87"/>
      <c r="AB729" s="87"/>
      <c r="AC729" s="87"/>
      <c r="AD729" s="87"/>
      <c r="AE729" s="87"/>
      <c r="AF729" s="87"/>
      <c r="AG729" s="87"/>
      <c r="AH729" s="87"/>
      <c r="AI729" s="87"/>
      <c r="AJ729" s="87"/>
      <c r="AK729" s="87"/>
      <c r="AL729" s="87"/>
      <c r="AM729" s="87"/>
      <c r="AN729" s="87"/>
      <c r="AO729" s="87"/>
      <c r="AP729" s="87"/>
      <c r="AQ729" s="87"/>
      <c r="AR729" s="87"/>
      <c r="AS729" s="87"/>
      <c r="AT729" s="87"/>
      <c r="AU729" s="87"/>
      <c r="AV729" s="87"/>
      <c r="AW729" s="87"/>
      <c r="AX729" s="87"/>
      <c r="AY729" s="87"/>
      <c r="AZ729" s="87"/>
      <c r="BA729" s="87"/>
      <c r="BB729" s="87"/>
      <c r="BC729" s="87"/>
      <c r="BD729" s="87"/>
      <c r="BE729" s="87"/>
      <c r="BF729" s="87"/>
      <c r="BG729" s="87"/>
      <c r="BH729" s="87"/>
    </row>
    <row r="730" spans="1:60" ht="16">
      <c r="A730" s="82"/>
      <c r="B730" s="82"/>
      <c r="C730" s="82"/>
      <c r="D730" s="83"/>
      <c r="E730" s="84"/>
      <c r="F730" s="84"/>
      <c r="G730" s="84"/>
      <c r="H730" s="82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7"/>
      <c r="AA730" s="87"/>
      <c r="AB730" s="87"/>
      <c r="AC730" s="87"/>
      <c r="AD730" s="87"/>
      <c r="AE730" s="87"/>
      <c r="AF730" s="87"/>
      <c r="AG730" s="87"/>
      <c r="AH730" s="87"/>
      <c r="AI730" s="87"/>
      <c r="AJ730" s="87"/>
      <c r="AK730" s="87"/>
      <c r="AL730" s="87"/>
      <c r="AM730" s="87"/>
      <c r="AN730" s="87"/>
      <c r="AO730" s="87"/>
      <c r="AP730" s="87"/>
      <c r="AQ730" s="87"/>
      <c r="AR730" s="87"/>
      <c r="AS730" s="87"/>
      <c r="AT730" s="87"/>
      <c r="AU730" s="87"/>
      <c r="AV730" s="87"/>
      <c r="AW730" s="87"/>
      <c r="AX730" s="87"/>
      <c r="AY730" s="87"/>
      <c r="AZ730" s="87"/>
      <c r="BA730" s="87"/>
      <c r="BB730" s="87"/>
      <c r="BC730" s="87"/>
      <c r="BD730" s="87"/>
      <c r="BE730" s="87"/>
      <c r="BF730" s="87"/>
      <c r="BG730" s="87"/>
      <c r="BH730" s="87"/>
    </row>
    <row r="731" spans="1:60" ht="16">
      <c r="A731" s="82"/>
      <c r="B731" s="82"/>
      <c r="C731" s="82"/>
      <c r="D731" s="83"/>
      <c r="E731" s="84"/>
      <c r="F731" s="84"/>
      <c r="G731" s="84"/>
      <c r="H731" s="82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7"/>
      <c r="AA731" s="87"/>
      <c r="AB731" s="87"/>
      <c r="AC731" s="87"/>
      <c r="AD731" s="87"/>
      <c r="AE731" s="87"/>
      <c r="AF731" s="87"/>
      <c r="AG731" s="87"/>
      <c r="AH731" s="87"/>
      <c r="AI731" s="87"/>
      <c r="AJ731" s="87"/>
      <c r="AK731" s="87"/>
      <c r="AL731" s="87"/>
      <c r="AM731" s="87"/>
      <c r="AN731" s="87"/>
      <c r="AO731" s="87"/>
      <c r="AP731" s="87"/>
      <c r="AQ731" s="87"/>
      <c r="AR731" s="87"/>
      <c r="AS731" s="87"/>
      <c r="AT731" s="87"/>
      <c r="AU731" s="87"/>
      <c r="AV731" s="87"/>
      <c r="AW731" s="87"/>
      <c r="AX731" s="87"/>
      <c r="AY731" s="87"/>
      <c r="AZ731" s="87"/>
      <c r="BA731" s="87"/>
      <c r="BB731" s="87"/>
      <c r="BC731" s="87"/>
      <c r="BD731" s="87"/>
      <c r="BE731" s="87"/>
      <c r="BF731" s="87"/>
      <c r="BG731" s="87"/>
      <c r="BH731" s="87"/>
    </row>
    <row r="732" spans="1:60" ht="16">
      <c r="A732" s="82"/>
      <c r="B732" s="82"/>
      <c r="C732" s="82"/>
      <c r="D732" s="83"/>
      <c r="E732" s="84"/>
      <c r="F732" s="84"/>
      <c r="G732" s="84"/>
      <c r="H732" s="82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7"/>
      <c r="AA732" s="87"/>
      <c r="AB732" s="87"/>
      <c r="AC732" s="87"/>
      <c r="AD732" s="87"/>
      <c r="AE732" s="87"/>
      <c r="AF732" s="87"/>
      <c r="AG732" s="87"/>
      <c r="AH732" s="87"/>
      <c r="AI732" s="87"/>
      <c r="AJ732" s="87"/>
      <c r="AK732" s="87"/>
      <c r="AL732" s="87"/>
      <c r="AM732" s="87"/>
      <c r="AN732" s="87"/>
      <c r="AO732" s="87"/>
      <c r="AP732" s="87"/>
      <c r="AQ732" s="87"/>
      <c r="AR732" s="87"/>
      <c r="AS732" s="87"/>
      <c r="AT732" s="87"/>
      <c r="AU732" s="87"/>
      <c r="AV732" s="87"/>
      <c r="AW732" s="87"/>
      <c r="AX732" s="87"/>
      <c r="AY732" s="87"/>
      <c r="AZ732" s="87"/>
      <c r="BA732" s="87"/>
      <c r="BB732" s="87"/>
      <c r="BC732" s="87"/>
      <c r="BD732" s="87"/>
      <c r="BE732" s="87"/>
      <c r="BF732" s="87"/>
      <c r="BG732" s="87"/>
      <c r="BH732" s="87"/>
    </row>
    <row r="733" spans="1:60" ht="16">
      <c r="A733" s="82"/>
      <c r="B733" s="82"/>
      <c r="C733" s="82"/>
      <c r="D733" s="83"/>
      <c r="E733" s="84"/>
      <c r="F733" s="84"/>
      <c r="G733" s="84"/>
      <c r="H733" s="82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7"/>
      <c r="AA733" s="87"/>
      <c r="AB733" s="87"/>
      <c r="AC733" s="87"/>
      <c r="AD733" s="87"/>
      <c r="AE733" s="87"/>
      <c r="AF733" s="87"/>
      <c r="AG733" s="87"/>
      <c r="AH733" s="87"/>
      <c r="AI733" s="87"/>
      <c r="AJ733" s="87"/>
      <c r="AK733" s="87"/>
      <c r="AL733" s="87"/>
      <c r="AM733" s="87"/>
      <c r="AN733" s="87"/>
      <c r="AO733" s="87"/>
      <c r="AP733" s="87"/>
      <c r="AQ733" s="87"/>
      <c r="AR733" s="87"/>
      <c r="AS733" s="87"/>
      <c r="AT733" s="87"/>
      <c r="AU733" s="87"/>
      <c r="AV733" s="87"/>
      <c r="AW733" s="87"/>
      <c r="AX733" s="87"/>
      <c r="AY733" s="87"/>
      <c r="AZ733" s="87"/>
      <c r="BA733" s="87"/>
      <c r="BB733" s="87"/>
      <c r="BC733" s="87"/>
      <c r="BD733" s="87"/>
      <c r="BE733" s="87"/>
      <c r="BF733" s="87"/>
      <c r="BG733" s="87"/>
      <c r="BH733" s="87"/>
    </row>
    <row r="734" spans="1:60" ht="16">
      <c r="A734" s="82"/>
      <c r="B734" s="82"/>
      <c r="C734" s="82"/>
      <c r="D734" s="83"/>
      <c r="E734" s="84"/>
      <c r="F734" s="84"/>
      <c r="G734" s="84"/>
      <c r="H734" s="82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7"/>
      <c r="AA734" s="87"/>
      <c r="AB734" s="87"/>
      <c r="AC734" s="87"/>
      <c r="AD734" s="87"/>
      <c r="AE734" s="87"/>
      <c r="AF734" s="87"/>
      <c r="AG734" s="87"/>
      <c r="AH734" s="87"/>
      <c r="AI734" s="87"/>
      <c r="AJ734" s="87"/>
      <c r="AK734" s="87"/>
      <c r="AL734" s="87"/>
      <c r="AM734" s="87"/>
      <c r="AN734" s="87"/>
      <c r="AO734" s="87"/>
      <c r="AP734" s="87"/>
      <c r="AQ734" s="87"/>
      <c r="AR734" s="87"/>
      <c r="AS734" s="87"/>
      <c r="AT734" s="87"/>
      <c r="AU734" s="87"/>
      <c r="AV734" s="87"/>
      <c r="AW734" s="87"/>
      <c r="AX734" s="87"/>
      <c r="AY734" s="87"/>
      <c r="AZ734" s="87"/>
      <c r="BA734" s="87"/>
      <c r="BB734" s="87"/>
      <c r="BC734" s="87"/>
      <c r="BD734" s="87"/>
      <c r="BE734" s="87"/>
      <c r="BF734" s="87"/>
      <c r="BG734" s="87"/>
      <c r="BH734" s="87"/>
    </row>
    <row r="735" spans="1:60" ht="16">
      <c r="A735" s="82"/>
      <c r="B735" s="82"/>
      <c r="C735" s="82"/>
      <c r="D735" s="83"/>
      <c r="E735" s="84"/>
      <c r="F735" s="84"/>
      <c r="G735" s="84"/>
      <c r="H735" s="82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7"/>
      <c r="AA735" s="87"/>
      <c r="AB735" s="87"/>
      <c r="AC735" s="87"/>
      <c r="AD735" s="87"/>
      <c r="AE735" s="87"/>
      <c r="AF735" s="87"/>
      <c r="AG735" s="87"/>
      <c r="AH735" s="87"/>
      <c r="AI735" s="87"/>
      <c r="AJ735" s="87"/>
      <c r="AK735" s="87"/>
      <c r="AL735" s="87"/>
      <c r="AM735" s="87"/>
      <c r="AN735" s="87"/>
      <c r="AO735" s="87"/>
      <c r="AP735" s="87"/>
      <c r="AQ735" s="87"/>
      <c r="AR735" s="87"/>
      <c r="AS735" s="87"/>
      <c r="AT735" s="87"/>
      <c r="AU735" s="87"/>
      <c r="AV735" s="87"/>
      <c r="AW735" s="87"/>
      <c r="AX735" s="87"/>
      <c r="AY735" s="87"/>
      <c r="AZ735" s="87"/>
      <c r="BA735" s="87"/>
      <c r="BB735" s="87"/>
      <c r="BC735" s="87"/>
      <c r="BD735" s="87"/>
      <c r="BE735" s="87"/>
      <c r="BF735" s="87"/>
      <c r="BG735" s="87"/>
      <c r="BH735" s="87"/>
    </row>
    <row r="736" spans="1:60" ht="16">
      <c r="A736" s="82"/>
      <c r="B736" s="82"/>
      <c r="C736" s="82"/>
      <c r="D736" s="83"/>
      <c r="E736" s="84"/>
      <c r="F736" s="84"/>
      <c r="G736" s="84"/>
      <c r="H736" s="82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7"/>
      <c r="AA736" s="87"/>
      <c r="AB736" s="87"/>
      <c r="AC736" s="87"/>
      <c r="AD736" s="87"/>
      <c r="AE736" s="87"/>
      <c r="AF736" s="87"/>
      <c r="AG736" s="87"/>
      <c r="AH736" s="87"/>
      <c r="AI736" s="87"/>
      <c r="AJ736" s="87"/>
      <c r="AK736" s="87"/>
      <c r="AL736" s="87"/>
      <c r="AM736" s="87"/>
      <c r="AN736" s="87"/>
      <c r="AO736" s="87"/>
      <c r="AP736" s="87"/>
      <c r="AQ736" s="87"/>
      <c r="AR736" s="87"/>
      <c r="AS736" s="87"/>
      <c r="AT736" s="87"/>
      <c r="AU736" s="87"/>
      <c r="AV736" s="87"/>
      <c r="AW736" s="87"/>
      <c r="AX736" s="87"/>
      <c r="AY736" s="87"/>
      <c r="AZ736" s="87"/>
      <c r="BA736" s="87"/>
      <c r="BB736" s="87"/>
      <c r="BC736" s="87"/>
      <c r="BD736" s="87"/>
      <c r="BE736" s="87"/>
      <c r="BF736" s="87"/>
      <c r="BG736" s="87"/>
      <c r="BH736" s="87"/>
    </row>
    <row r="737" spans="1:60" ht="16">
      <c r="A737" s="82"/>
      <c r="B737" s="82"/>
      <c r="C737" s="82"/>
      <c r="D737" s="83"/>
      <c r="E737" s="84"/>
      <c r="F737" s="84"/>
      <c r="G737" s="84"/>
      <c r="H737" s="82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7"/>
      <c r="AA737" s="87"/>
      <c r="AB737" s="87"/>
      <c r="AC737" s="87"/>
      <c r="AD737" s="87"/>
      <c r="AE737" s="87"/>
      <c r="AF737" s="87"/>
      <c r="AG737" s="87"/>
      <c r="AH737" s="87"/>
      <c r="AI737" s="87"/>
      <c r="AJ737" s="87"/>
      <c r="AK737" s="87"/>
      <c r="AL737" s="87"/>
      <c r="AM737" s="87"/>
      <c r="AN737" s="87"/>
      <c r="AO737" s="87"/>
      <c r="AP737" s="87"/>
      <c r="AQ737" s="87"/>
      <c r="AR737" s="87"/>
      <c r="AS737" s="87"/>
      <c r="AT737" s="87"/>
      <c r="AU737" s="87"/>
      <c r="AV737" s="87"/>
      <c r="AW737" s="87"/>
      <c r="AX737" s="87"/>
      <c r="AY737" s="87"/>
      <c r="AZ737" s="87"/>
      <c r="BA737" s="87"/>
      <c r="BB737" s="87"/>
      <c r="BC737" s="87"/>
      <c r="BD737" s="87"/>
      <c r="BE737" s="87"/>
      <c r="BF737" s="87"/>
      <c r="BG737" s="87"/>
      <c r="BH737" s="87"/>
    </row>
    <row r="738" spans="1:60" ht="16">
      <c r="A738" s="82"/>
      <c r="B738" s="82"/>
      <c r="C738" s="82"/>
      <c r="D738" s="83"/>
      <c r="E738" s="84"/>
      <c r="F738" s="84"/>
      <c r="G738" s="84"/>
      <c r="H738" s="82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7"/>
      <c r="AA738" s="87"/>
      <c r="AB738" s="87"/>
      <c r="AC738" s="87"/>
      <c r="AD738" s="87"/>
      <c r="AE738" s="87"/>
      <c r="AF738" s="87"/>
      <c r="AG738" s="87"/>
      <c r="AH738" s="87"/>
      <c r="AI738" s="87"/>
      <c r="AJ738" s="87"/>
      <c r="AK738" s="87"/>
      <c r="AL738" s="87"/>
      <c r="AM738" s="87"/>
      <c r="AN738" s="87"/>
      <c r="AO738" s="87"/>
      <c r="AP738" s="87"/>
      <c r="AQ738" s="87"/>
      <c r="AR738" s="87"/>
      <c r="AS738" s="87"/>
      <c r="AT738" s="87"/>
      <c r="AU738" s="87"/>
      <c r="AV738" s="87"/>
      <c r="AW738" s="87"/>
      <c r="AX738" s="87"/>
      <c r="AY738" s="87"/>
      <c r="AZ738" s="87"/>
      <c r="BA738" s="87"/>
      <c r="BB738" s="87"/>
      <c r="BC738" s="87"/>
      <c r="BD738" s="87"/>
      <c r="BE738" s="87"/>
      <c r="BF738" s="87"/>
      <c r="BG738" s="87"/>
      <c r="BH738" s="87"/>
    </row>
    <row r="739" spans="1:60" ht="16">
      <c r="A739" s="82"/>
      <c r="B739" s="82"/>
      <c r="C739" s="82"/>
      <c r="D739" s="83"/>
      <c r="E739" s="84"/>
      <c r="F739" s="84"/>
      <c r="G739" s="84"/>
      <c r="H739" s="82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7"/>
      <c r="AA739" s="87"/>
      <c r="AB739" s="87"/>
      <c r="AC739" s="87"/>
      <c r="AD739" s="87"/>
      <c r="AE739" s="87"/>
      <c r="AF739" s="87"/>
      <c r="AG739" s="87"/>
      <c r="AH739" s="87"/>
      <c r="AI739" s="87"/>
      <c r="AJ739" s="87"/>
      <c r="AK739" s="87"/>
      <c r="AL739" s="87"/>
      <c r="AM739" s="87"/>
      <c r="AN739" s="87"/>
      <c r="AO739" s="87"/>
      <c r="AP739" s="87"/>
      <c r="AQ739" s="87"/>
      <c r="AR739" s="87"/>
      <c r="AS739" s="87"/>
      <c r="AT739" s="87"/>
      <c r="AU739" s="87"/>
      <c r="AV739" s="87"/>
      <c r="AW739" s="87"/>
      <c r="AX739" s="87"/>
      <c r="AY739" s="87"/>
      <c r="AZ739" s="87"/>
      <c r="BA739" s="87"/>
      <c r="BB739" s="87"/>
      <c r="BC739" s="87"/>
      <c r="BD739" s="87"/>
      <c r="BE739" s="87"/>
      <c r="BF739" s="87"/>
      <c r="BG739" s="87"/>
      <c r="BH739" s="87"/>
    </row>
    <row r="740" spans="1:60" ht="16">
      <c r="A740" s="82"/>
      <c r="B740" s="82"/>
      <c r="C740" s="82"/>
      <c r="D740" s="83"/>
      <c r="E740" s="84"/>
      <c r="F740" s="84"/>
      <c r="G740" s="84"/>
      <c r="H740" s="82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7"/>
      <c r="AA740" s="87"/>
      <c r="AB740" s="87"/>
      <c r="AC740" s="87"/>
      <c r="AD740" s="87"/>
      <c r="AE740" s="87"/>
      <c r="AF740" s="87"/>
      <c r="AG740" s="87"/>
      <c r="AH740" s="87"/>
      <c r="AI740" s="87"/>
      <c r="AJ740" s="87"/>
      <c r="AK740" s="87"/>
      <c r="AL740" s="87"/>
      <c r="AM740" s="87"/>
      <c r="AN740" s="87"/>
      <c r="AO740" s="87"/>
      <c r="AP740" s="87"/>
      <c r="AQ740" s="87"/>
      <c r="AR740" s="87"/>
      <c r="AS740" s="87"/>
      <c r="AT740" s="87"/>
      <c r="AU740" s="87"/>
      <c r="AV740" s="87"/>
      <c r="AW740" s="87"/>
      <c r="AX740" s="87"/>
      <c r="AY740" s="87"/>
      <c r="AZ740" s="87"/>
      <c r="BA740" s="87"/>
      <c r="BB740" s="87"/>
      <c r="BC740" s="87"/>
      <c r="BD740" s="87"/>
      <c r="BE740" s="87"/>
      <c r="BF740" s="87"/>
      <c r="BG740" s="87"/>
      <c r="BH740" s="87"/>
    </row>
    <row r="741" spans="1:60" ht="16">
      <c r="A741" s="82"/>
      <c r="B741" s="82"/>
      <c r="C741" s="82"/>
      <c r="D741" s="83"/>
      <c r="E741" s="84"/>
      <c r="F741" s="84"/>
      <c r="G741" s="84"/>
      <c r="H741" s="82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7"/>
      <c r="AA741" s="87"/>
      <c r="AB741" s="87"/>
      <c r="AC741" s="87"/>
      <c r="AD741" s="87"/>
      <c r="AE741" s="87"/>
      <c r="AF741" s="87"/>
      <c r="AG741" s="87"/>
      <c r="AH741" s="87"/>
      <c r="AI741" s="87"/>
      <c r="AJ741" s="87"/>
      <c r="AK741" s="87"/>
      <c r="AL741" s="87"/>
      <c r="AM741" s="87"/>
      <c r="AN741" s="87"/>
      <c r="AO741" s="87"/>
      <c r="AP741" s="87"/>
      <c r="AQ741" s="87"/>
      <c r="AR741" s="87"/>
      <c r="AS741" s="87"/>
      <c r="AT741" s="87"/>
      <c r="AU741" s="87"/>
      <c r="AV741" s="87"/>
      <c r="AW741" s="87"/>
      <c r="AX741" s="87"/>
      <c r="AY741" s="87"/>
      <c r="AZ741" s="87"/>
      <c r="BA741" s="87"/>
      <c r="BB741" s="87"/>
      <c r="BC741" s="87"/>
      <c r="BD741" s="87"/>
      <c r="BE741" s="87"/>
      <c r="BF741" s="87"/>
      <c r="BG741" s="87"/>
      <c r="BH741" s="87"/>
    </row>
    <row r="742" spans="1:60" ht="16">
      <c r="A742" s="82"/>
      <c r="B742" s="82"/>
      <c r="C742" s="82"/>
      <c r="D742" s="83"/>
      <c r="E742" s="84"/>
      <c r="F742" s="84"/>
      <c r="G742" s="84"/>
      <c r="H742" s="82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7"/>
      <c r="AA742" s="87"/>
      <c r="AB742" s="87"/>
      <c r="AC742" s="87"/>
      <c r="AD742" s="87"/>
      <c r="AE742" s="87"/>
      <c r="AF742" s="87"/>
      <c r="AG742" s="87"/>
      <c r="AH742" s="87"/>
      <c r="AI742" s="87"/>
      <c r="AJ742" s="87"/>
      <c r="AK742" s="87"/>
      <c r="AL742" s="87"/>
      <c r="AM742" s="87"/>
      <c r="AN742" s="87"/>
      <c r="AO742" s="87"/>
      <c r="AP742" s="87"/>
      <c r="AQ742" s="87"/>
      <c r="AR742" s="87"/>
      <c r="AS742" s="87"/>
      <c r="AT742" s="87"/>
      <c r="AU742" s="87"/>
      <c r="AV742" s="87"/>
      <c r="AW742" s="87"/>
      <c r="AX742" s="87"/>
      <c r="AY742" s="87"/>
      <c r="AZ742" s="87"/>
      <c r="BA742" s="87"/>
      <c r="BB742" s="87"/>
      <c r="BC742" s="87"/>
      <c r="BD742" s="87"/>
      <c r="BE742" s="87"/>
      <c r="BF742" s="87"/>
      <c r="BG742" s="87"/>
      <c r="BH742" s="87"/>
    </row>
    <row r="743" spans="1:60" ht="16">
      <c r="A743" s="82"/>
      <c r="B743" s="82"/>
      <c r="C743" s="82"/>
      <c r="D743" s="83"/>
      <c r="E743" s="84"/>
      <c r="F743" s="84"/>
      <c r="G743" s="84"/>
      <c r="H743" s="82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7"/>
      <c r="AA743" s="87"/>
      <c r="AB743" s="87"/>
      <c r="AC743" s="87"/>
      <c r="AD743" s="87"/>
      <c r="AE743" s="87"/>
      <c r="AF743" s="87"/>
      <c r="AG743" s="87"/>
      <c r="AH743" s="87"/>
      <c r="AI743" s="87"/>
      <c r="AJ743" s="87"/>
      <c r="AK743" s="87"/>
      <c r="AL743" s="87"/>
      <c r="AM743" s="87"/>
      <c r="AN743" s="87"/>
      <c r="AO743" s="87"/>
      <c r="AP743" s="87"/>
      <c r="AQ743" s="87"/>
      <c r="AR743" s="87"/>
      <c r="AS743" s="87"/>
      <c r="AT743" s="87"/>
      <c r="AU743" s="87"/>
      <c r="AV743" s="87"/>
      <c r="AW743" s="87"/>
      <c r="AX743" s="87"/>
      <c r="AY743" s="87"/>
      <c r="AZ743" s="87"/>
      <c r="BA743" s="87"/>
      <c r="BB743" s="87"/>
      <c r="BC743" s="87"/>
      <c r="BD743" s="87"/>
      <c r="BE743" s="87"/>
      <c r="BF743" s="87"/>
      <c r="BG743" s="87"/>
      <c r="BH743" s="87"/>
    </row>
    <row r="744" spans="1:60" ht="16">
      <c r="A744" s="82"/>
      <c r="B744" s="82"/>
      <c r="C744" s="82"/>
      <c r="D744" s="83"/>
      <c r="E744" s="84"/>
      <c r="F744" s="84"/>
      <c r="G744" s="84"/>
      <c r="H744" s="82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7"/>
      <c r="AA744" s="87"/>
      <c r="AB744" s="87"/>
      <c r="AC744" s="87"/>
      <c r="AD744" s="87"/>
      <c r="AE744" s="87"/>
      <c r="AF744" s="87"/>
      <c r="AG744" s="87"/>
      <c r="AH744" s="87"/>
      <c r="AI744" s="87"/>
      <c r="AJ744" s="87"/>
      <c r="AK744" s="87"/>
      <c r="AL744" s="87"/>
      <c r="AM744" s="87"/>
      <c r="AN744" s="87"/>
      <c r="AO744" s="87"/>
      <c r="AP744" s="87"/>
      <c r="AQ744" s="87"/>
      <c r="AR744" s="87"/>
      <c r="AS744" s="87"/>
      <c r="AT744" s="87"/>
      <c r="AU744" s="87"/>
      <c r="AV744" s="87"/>
      <c r="AW744" s="87"/>
      <c r="AX744" s="87"/>
      <c r="AY744" s="87"/>
      <c r="AZ744" s="87"/>
      <c r="BA744" s="87"/>
      <c r="BB744" s="87"/>
      <c r="BC744" s="87"/>
      <c r="BD744" s="87"/>
      <c r="BE744" s="87"/>
      <c r="BF744" s="87"/>
      <c r="BG744" s="87"/>
      <c r="BH744" s="87"/>
    </row>
    <row r="745" spans="1:60" ht="16">
      <c r="A745" s="82"/>
      <c r="B745" s="82"/>
      <c r="C745" s="82"/>
      <c r="D745" s="83"/>
      <c r="E745" s="84"/>
      <c r="F745" s="84"/>
      <c r="G745" s="84"/>
      <c r="H745" s="82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7"/>
      <c r="AA745" s="87"/>
      <c r="AB745" s="87"/>
      <c r="AC745" s="87"/>
      <c r="AD745" s="87"/>
      <c r="AE745" s="87"/>
      <c r="AF745" s="87"/>
      <c r="AG745" s="87"/>
      <c r="AH745" s="87"/>
      <c r="AI745" s="87"/>
      <c r="AJ745" s="87"/>
      <c r="AK745" s="87"/>
      <c r="AL745" s="87"/>
      <c r="AM745" s="87"/>
      <c r="AN745" s="87"/>
      <c r="AO745" s="87"/>
      <c r="AP745" s="87"/>
      <c r="AQ745" s="87"/>
      <c r="AR745" s="87"/>
      <c r="AS745" s="87"/>
      <c r="AT745" s="87"/>
      <c r="AU745" s="87"/>
      <c r="AV745" s="87"/>
      <c r="AW745" s="87"/>
      <c r="AX745" s="87"/>
      <c r="AY745" s="87"/>
      <c r="AZ745" s="87"/>
      <c r="BA745" s="87"/>
      <c r="BB745" s="87"/>
      <c r="BC745" s="87"/>
      <c r="BD745" s="87"/>
      <c r="BE745" s="87"/>
      <c r="BF745" s="87"/>
      <c r="BG745" s="87"/>
      <c r="BH745" s="87"/>
    </row>
    <row r="746" spans="1:60" ht="16">
      <c r="A746" s="82"/>
      <c r="B746" s="82"/>
      <c r="C746" s="82"/>
      <c r="D746" s="83"/>
      <c r="E746" s="84"/>
      <c r="F746" s="84"/>
      <c r="G746" s="84"/>
      <c r="H746" s="82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7"/>
      <c r="AA746" s="87"/>
      <c r="AB746" s="87"/>
      <c r="AC746" s="87"/>
      <c r="AD746" s="87"/>
      <c r="AE746" s="87"/>
      <c r="AF746" s="87"/>
      <c r="AG746" s="87"/>
      <c r="AH746" s="87"/>
      <c r="AI746" s="87"/>
      <c r="AJ746" s="87"/>
      <c r="AK746" s="87"/>
      <c r="AL746" s="87"/>
      <c r="AM746" s="87"/>
      <c r="AN746" s="87"/>
      <c r="AO746" s="87"/>
      <c r="AP746" s="87"/>
      <c r="AQ746" s="87"/>
      <c r="AR746" s="87"/>
      <c r="AS746" s="87"/>
      <c r="AT746" s="87"/>
      <c r="AU746" s="87"/>
      <c r="AV746" s="87"/>
      <c r="AW746" s="87"/>
      <c r="AX746" s="87"/>
      <c r="AY746" s="87"/>
      <c r="AZ746" s="87"/>
      <c r="BA746" s="87"/>
      <c r="BB746" s="87"/>
      <c r="BC746" s="87"/>
      <c r="BD746" s="87"/>
      <c r="BE746" s="87"/>
      <c r="BF746" s="87"/>
      <c r="BG746" s="87"/>
      <c r="BH746" s="87"/>
    </row>
    <row r="747" spans="1:60" ht="16">
      <c r="A747" s="82"/>
      <c r="B747" s="82"/>
      <c r="C747" s="82"/>
      <c r="D747" s="83"/>
      <c r="E747" s="84"/>
      <c r="F747" s="84"/>
      <c r="G747" s="84"/>
      <c r="H747" s="82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7"/>
      <c r="AA747" s="87"/>
      <c r="AB747" s="87"/>
      <c r="AC747" s="87"/>
      <c r="AD747" s="87"/>
      <c r="AE747" s="87"/>
      <c r="AF747" s="87"/>
      <c r="AG747" s="87"/>
      <c r="AH747" s="87"/>
      <c r="AI747" s="87"/>
      <c r="AJ747" s="87"/>
      <c r="AK747" s="87"/>
      <c r="AL747" s="87"/>
      <c r="AM747" s="87"/>
      <c r="AN747" s="87"/>
      <c r="AO747" s="87"/>
      <c r="AP747" s="87"/>
      <c r="AQ747" s="87"/>
      <c r="AR747" s="87"/>
      <c r="AS747" s="87"/>
      <c r="AT747" s="87"/>
      <c r="AU747" s="87"/>
      <c r="AV747" s="87"/>
      <c r="AW747" s="87"/>
      <c r="AX747" s="87"/>
      <c r="AY747" s="87"/>
      <c r="AZ747" s="87"/>
      <c r="BA747" s="87"/>
      <c r="BB747" s="87"/>
      <c r="BC747" s="87"/>
      <c r="BD747" s="87"/>
      <c r="BE747" s="87"/>
      <c r="BF747" s="87"/>
      <c r="BG747" s="87"/>
      <c r="BH747" s="87"/>
    </row>
    <row r="748" spans="1:60" ht="16">
      <c r="A748" s="82"/>
      <c r="B748" s="82"/>
      <c r="C748" s="82"/>
      <c r="D748" s="83"/>
      <c r="E748" s="84"/>
      <c r="F748" s="84"/>
      <c r="G748" s="84"/>
      <c r="H748" s="82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7"/>
      <c r="AA748" s="87"/>
      <c r="AB748" s="87"/>
      <c r="AC748" s="87"/>
      <c r="AD748" s="87"/>
      <c r="AE748" s="87"/>
      <c r="AF748" s="87"/>
      <c r="AG748" s="87"/>
      <c r="AH748" s="87"/>
      <c r="AI748" s="87"/>
      <c r="AJ748" s="87"/>
      <c r="AK748" s="87"/>
      <c r="AL748" s="87"/>
      <c r="AM748" s="87"/>
      <c r="AN748" s="87"/>
      <c r="AO748" s="87"/>
      <c r="AP748" s="87"/>
      <c r="AQ748" s="87"/>
      <c r="AR748" s="87"/>
      <c r="AS748" s="87"/>
      <c r="AT748" s="87"/>
      <c r="AU748" s="87"/>
      <c r="AV748" s="87"/>
      <c r="AW748" s="87"/>
      <c r="AX748" s="87"/>
      <c r="AY748" s="87"/>
      <c r="AZ748" s="87"/>
      <c r="BA748" s="87"/>
      <c r="BB748" s="87"/>
      <c r="BC748" s="87"/>
      <c r="BD748" s="87"/>
      <c r="BE748" s="87"/>
      <c r="BF748" s="87"/>
      <c r="BG748" s="87"/>
      <c r="BH748" s="87"/>
    </row>
    <row r="749" spans="1:60" ht="16">
      <c r="A749" s="82"/>
      <c r="B749" s="82"/>
      <c r="C749" s="82"/>
      <c r="D749" s="83"/>
      <c r="E749" s="84"/>
      <c r="F749" s="84"/>
      <c r="G749" s="84"/>
      <c r="H749" s="82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7"/>
      <c r="AA749" s="87"/>
      <c r="AB749" s="87"/>
      <c r="AC749" s="87"/>
      <c r="AD749" s="87"/>
      <c r="AE749" s="87"/>
      <c r="AF749" s="87"/>
      <c r="AG749" s="87"/>
      <c r="AH749" s="87"/>
      <c r="AI749" s="87"/>
      <c r="AJ749" s="87"/>
      <c r="AK749" s="87"/>
      <c r="AL749" s="87"/>
      <c r="AM749" s="87"/>
      <c r="AN749" s="87"/>
      <c r="AO749" s="87"/>
      <c r="AP749" s="87"/>
      <c r="AQ749" s="87"/>
      <c r="AR749" s="87"/>
      <c r="AS749" s="87"/>
      <c r="AT749" s="87"/>
      <c r="AU749" s="87"/>
      <c r="AV749" s="87"/>
      <c r="AW749" s="87"/>
      <c r="AX749" s="87"/>
      <c r="AY749" s="87"/>
      <c r="AZ749" s="87"/>
      <c r="BA749" s="87"/>
      <c r="BB749" s="87"/>
      <c r="BC749" s="87"/>
      <c r="BD749" s="87"/>
      <c r="BE749" s="87"/>
      <c r="BF749" s="87"/>
      <c r="BG749" s="87"/>
      <c r="BH749" s="87"/>
    </row>
    <row r="750" spans="1:60" ht="16">
      <c r="A750" s="82"/>
      <c r="B750" s="82"/>
      <c r="C750" s="82"/>
      <c r="D750" s="83"/>
      <c r="E750" s="84"/>
      <c r="F750" s="84"/>
      <c r="G750" s="84"/>
      <c r="H750" s="82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7"/>
      <c r="AA750" s="87"/>
      <c r="AB750" s="87"/>
      <c r="AC750" s="87"/>
      <c r="AD750" s="87"/>
      <c r="AE750" s="87"/>
      <c r="AF750" s="87"/>
      <c r="AG750" s="87"/>
      <c r="AH750" s="87"/>
      <c r="AI750" s="87"/>
      <c r="AJ750" s="87"/>
      <c r="AK750" s="87"/>
      <c r="AL750" s="87"/>
      <c r="AM750" s="87"/>
      <c r="AN750" s="87"/>
      <c r="AO750" s="87"/>
      <c r="AP750" s="87"/>
      <c r="AQ750" s="87"/>
      <c r="AR750" s="87"/>
      <c r="AS750" s="87"/>
      <c r="AT750" s="87"/>
      <c r="AU750" s="87"/>
      <c r="AV750" s="87"/>
      <c r="AW750" s="87"/>
      <c r="AX750" s="87"/>
      <c r="AY750" s="87"/>
      <c r="AZ750" s="87"/>
      <c r="BA750" s="87"/>
      <c r="BB750" s="87"/>
      <c r="BC750" s="87"/>
      <c r="BD750" s="87"/>
      <c r="BE750" s="87"/>
      <c r="BF750" s="87"/>
      <c r="BG750" s="87"/>
      <c r="BH750" s="87"/>
    </row>
    <row r="751" spans="1:60" ht="16">
      <c r="A751" s="82"/>
      <c r="B751" s="82"/>
      <c r="C751" s="82"/>
      <c r="D751" s="83"/>
      <c r="E751" s="84"/>
      <c r="F751" s="84"/>
      <c r="G751" s="84"/>
      <c r="H751" s="82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7"/>
      <c r="AA751" s="87"/>
      <c r="AB751" s="87"/>
      <c r="AC751" s="87"/>
      <c r="AD751" s="87"/>
      <c r="AE751" s="87"/>
      <c r="AF751" s="87"/>
      <c r="AG751" s="87"/>
      <c r="AH751" s="87"/>
      <c r="AI751" s="87"/>
      <c r="AJ751" s="87"/>
      <c r="AK751" s="87"/>
      <c r="AL751" s="87"/>
      <c r="AM751" s="87"/>
      <c r="AN751" s="87"/>
      <c r="AO751" s="87"/>
      <c r="AP751" s="87"/>
      <c r="AQ751" s="87"/>
      <c r="AR751" s="87"/>
      <c r="AS751" s="87"/>
      <c r="AT751" s="87"/>
      <c r="AU751" s="87"/>
      <c r="AV751" s="87"/>
      <c r="AW751" s="87"/>
      <c r="AX751" s="87"/>
      <c r="AY751" s="87"/>
      <c r="AZ751" s="87"/>
      <c r="BA751" s="87"/>
      <c r="BB751" s="87"/>
      <c r="BC751" s="87"/>
      <c r="BD751" s="87"/>
      <c r="BE751" s="87"/>
      <c r="BF751" s="87"/>
      <c r="BG751" s="87"/>
      <c r="BH751" s="87"/>
    </row>
    <row r="752" spans="1:60" ht="16">
      <c r="A752" s="82"/>
      <c r="B752" s="82"/>
      <c r="C752" s="82"/>
      <c r="D752" s="83"/>
      <c r="E752" s="84"/>
      <c r="F752" s="84"/>
      <c r="G752" s="84"/>
      <c r="H752" s="82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7"/>
      <c r="AA752" s="87"/>
      <c r="AB752" s="87"/>
      <c r="AC752" s="87"/>
      <c r="AD752" s="87"/>
      <c r="AE752" s="87"/>
      <c r="AF752" s="87"/>
      <c r="AG752" s="87"/>
      <c r="AH752" s="87"/>
      <c r="AI752" s="87"/>
      <c r="AJ752" s="87"/>
      <c r="AK752" s="87"/>
      <c r="AL752" s="87"/>
      <c r="AM752" s="87"/>
      <c r="AN752" s="87"/>
      <c r="AO752" s="87"/>
      <c r="AP752" s="87"/>
      <c r="AQ752" s="87"/>
      <c r="AR752" s="87"/>
      <c r="AS752" s="87"/>
      <c r="AT752" s="87"/>
      <c r="AU752" s="87"/>
      <c r="AV752" s="87"/>
      <c r="AW752" s="87"/>
      <c r="AX752" s="87"/>
      <c r="AY752" s="87"/>
      <c r="AZ752" s="87"/>
      <c r="BA752" s="87"/>
      <c r="BB752" s="87"/>
      <c r="BC752" s="87"/>
      <c r="BD752" s="87"/>
      <c r="BE752" s="87"/>
      <c r="BF752" s="87"/>
      <c r="BG752" s="87"/>
      <c r="BH752" s="87"/>
    </row>
    <row r="753" spans="1:60" ht="16">
      <c r="A753" s="82"/>
      <c r="B753" s="82"/>
      <c r="C753" s="82"/>
      <c r="D753" s="83"/>
      <c r="E753" s="84"/>
      <c r="F753" s="84"/>
      <c r="G753" s="84"/>
      <c r="H753" s="82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7"/>
      <c r="AA753" s="87"/>
      <c r="AB753" s="87"/>
      <c r="AC753" s="87"/>
      <c r="AD753" s="87"/>
      <c r="AE753" s="87"/>
      <c r="AF753" s="87"/>
      <c r="AG753" s="87"/>
      <c r="AH753" s="87"/>
      <c r="AI753" s="87"/>
      <c r="AJ753" s="87"/>
      <c r="AK753" s="87"/>
      <c r="AL753" s="87"/>
      <c r="AM753" s="87"/>
      <c r="AN753" s="87"/>
      <c r="AO753" s="87"/>
      <c r="AP753" s="87"/>
      <c r="AQ753" s="87"/>
      <c r="AR753" s="87"/>
      <c r="AS753" s="87"/>
      <c r="AT753" s="87"/>
      <c r="AU753" s="87"/>
      <c r="AV753" s="87"/>
      <c r="AW753" s="87"/>
      <c r="AX753" s="87"/>
      <c r="AY753" s="87"/>
      <c r="AZ753" s="87"/>
      <c r="BA753" s="87"/>
      <c r="BB753" s="87"/>
      <c r="BC753" s="87"/>
      <c r="BD753" s="87"/>
      <c r="BE753" s="87"/>
      <c r="BF753" s="87"/>
      <c r="BG753" s="87"/>
      <c r="BH753" s="87"/>
    </row>
    <row r="754" spans="1:60" ht="16">
      <c r="A754" s="82"/>
      <c r="B754" s="82"/>
      <c r="C754" s="82"/>
      <c r="D754" s="83"/>
      <c r="E754" s="84"/>
      <c r="F754" s="84"/>
      <c r="G754" s="84"/>
      <c r="H754" s="82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7"/>
      <c r="AA754" s="87"/>
      <c r="AB754" s="87"/>
      <c r="AC754" s="87"/>
      <c r="AD754" s="87"/>
      <c r="AE754" s="87"/>
      <c r="AF754" s="87"/>
      <c r="AG754" s="87"/>
      <c r="AH754" s="87"/>
      <c r="AI754" s="87"/>
      <c r="AJ754" s="87"/>
      <c r="AK754" s="87"/>
      <c r="AL754" s="87"/>
      <c r="AM754" s="87"/>
      <c r="AN754" s="87"/>
      <c r="AO754" s="87"/>
      <c r="AP754" s="87"/>
      <c r="AQ754" s="87"/>
      <c r="AR754" s="87"/>
      <c r="AS754" s="87"/>
      <c r="AT754" s="87"/>
      <c r="AU754" s="87"/>
      <c r="AV754" s="87"/>
      <c r="AW754" s="87"/>
      <c r="AX754" s="87"/>
      <c r="AY754" s="87"/>
      <c r="AZ754" s="87"/>
      <c r="BA754" s="87"/>
      <c r="BB754" s="87"/>
      <c r="BC754" s="87"/>
      <c r="BD754" s="87"/>
      <c r="BE754" s="87"/>
      <c r="BF754" s="87"/>
      <c r="BG754" s="87"/>
      <c r="BH754" s="87"/>
    </row>
    <row r="755" spans="1:60" ht="16">
      <c r="A755" s="82"/>
      <c r="B755" s="82"/>
      <c r="C755" s="82"/>
      <c r="D755" s="83"/>
      <c r="E755" s="84"/>
      <c r="F755" s="84"/>
      <c r="G755" s="84"/>
      <c r="H755" s="82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7"/>
      <c r="AA755" s="87"/>
      <c r="AB755" s="87"/>
      <c r="AC755" s="87"/>
      <c r="AD755" s="87"/>
      <c r="AE755" s="87"/>
      <c r="AF755" s="87"/>
      <c r="AG755" s="87"/>
      <c r="AH755" s="87"/>
      <c r="AI755" s="87"/>
      <c r="AJ755" s="87"/>
      <c r="AK755" s="87"/>
      <c r="AL755" s="87"/>
      <c r="AM755" s="87"/>
      <c r="AN755" s="87"/>
      <c r="AO755" s="87"/>
      <c r="AP755" s="87"/>
      <c r="AQ755" s="87"/>
      <c r="AR755" s="87"/>
      <c r="AS755" s="87"/>
      <c r="AT755" s="87"/>
      <c r="AU755" s="87"/>
      <c r="AV755" s="87"/>
      <c r="AW755" s="87"/>
      <c r="AX755" s="87"/>
      <c r="AY755" s="87"/>
      <c r="AZ755" s="87"/>
      <c r="BA755" s="87"/>
      <c r="BB755" s="87"/>
      <c r="BC755" s="87"/>
      <c r="BD755" s="87"/>
      <c r="BE755" s="87"/>
      <c r="BF755" s="87"/>
      <c r="BG755" s="87"/>
      <c r="BH755" s="87"/>
    </row>
    <row r="756" spans="1:60" ht="16">
      <c r="A756" s="82"/>
      <c r="B756" s="82"/>
      <c r="C756" s="82"/>
      <c r="D756" s="83"/>
      <c r="E756" s="84"/>
      <c r="F756" s="84"/>
      <c r="G756" s="84"/>
      <c r="H756" s="82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7"/>
      <c r="AA756" s="87"/>
      <c r="AB756" s="87"/>
      <c r="AC756" s="87"/>
      <c r="AD756" s="87"/>
      <c r="AE756" s="87"/>
      <c r="AF756" s="87"/>
      <c r="AG756" s="87"/>
      <c r="AH756" s="87"/>
      <c r="AI756" s="87"/>
      <c r="AJ756" s="87"/>
      <c r="AK756" s="87"/>
      <c r="AL756" s="87"/>
      <c r="AM756" s="87"/>
      <c r="AN756" s="87"/>
      <c r="AO756" s="87"/>
      <c r="AP756" s="87"/>
      <c r="AQ756" s="87"/>
      <c r="AR756" s="87"/>
      <c r="AS756" s="87"/>
      <c r="AT756" s="87"/>
      <c r="AU756" s="87"/>
      <c r="AV756" s="87"/>
      <c r="AW756" s="87"/>
      <c r="AX756" s="87"/>
      <c r="AY756" s="87"/>
      <c r="AZ756" s="87"/>
      <c r="BA756" s="87"/>
      <c r="BB756" s="87"/>
      <c r="BC756" s="87"/>
      <c r="BD756" s="87"/>
      <c r="BE756" s="87"/>
      <c r="BF756" s="87"/>
      <c r="BG756" s="87"/>
      <c r="BH756" s="87"/>
    </row>
    <row r="757" spans="1:60" ht="16">
      <c r="A757" s="82"/>
      <c r="B757" s="82"/>
      <c r="C757" s="82"/>
      <c r="D757" s="83"/>
      <c r="E757" s="84"/>
      <c r="F757" s="84"/>
      <c r="G757" s="84"/>
      <c r="H757" s="82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7"/>
      <c r="AA757" s="87"/>
      <c r="AB757" s="87"/>
      <c r="AC757" s="87"/>
      <c r="AD757" s="87"/>
      <c r="AE757" s="87"/>
      <c r="AF757" s="87"/>
      <c r="AG757" s="87"/>
      <c r="AH757" s="87"/>
      <c r="AI757" s="87"/>
      <c r="AJ757" s="87"/>
      <c r="AK757" s="87"/>
      <c r="AL757" s="87"/>
      <c r="AM757" s="87"/>
      <c r="AN757" s="87"/>
      <c r="AO757" s="87"/>
      <c r="AP757" s="87"/>
      <c r="AQ757" s="87"/>
      <c r="AR757" s="87"/>
      <c r="AS757" s="87"/>
      <c r="AT757" s="87"/>
      <c r="AU757" s="87"/>
      <c r="AV757" s="87"/>
      <c r="AW757" s="87"/>
      <c r="AX757" s="87"/>
      <c r="AY757" s="87"/>
      <c r="AZ757" s="87"/>
      <c r="BA757" s="87"/>
      <c r="BB757" s="87"/>
      <c r="BC757" s="87"/>
      <c r="BD757" s="87"/>
      <c r="BE757" s="87"/>
      <c r="BF757" s="87"/>
      <c r="BG757" s="87"/>
      <c r="BH757" s="87"/>
    </row>
    <row r="758" spans="1:60" ht="16">
      <c r="A758" s="82"/>
      <c r="B758" s="82"/>
      <c r="C758" s="82"/>
      <c r="D758" s="83"/>
      <c r="E758" s="84"/>
      <c r="F758" s="84"/>
      <c r="G758" s="84"/>
      <c r="H758" s="82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7"/>
      <c r="AA758" s="87"/>
      <c r="AB758" s="87"/>
      <c r="AC758" s="87"/>
      <c r="AD758" s="87"/>
      <c r="AE758" s="87"/>
      <c r="AF758" s="87"/>
      <c r="AG758" s="87"/>
      <c r="AH758" s="87"/>
      <c r="AI758" s="87"/>
      <c r="AJ758" s="87"/>
      <c r="AK758" s="87"/>
      <c r="AL758" s="87"/>
      <c r="AM758" s="87"/>
      <c r="AN758" s="87"/>
      <c r="AO758" s="87"/>
      <c r="AP758" s="87"/>
      <c r="AQ758" s="87"/>
      <c r="AR758" s="87"/>
      <c r="AS758" s="87"/>
      <c r="AT758" s="87"/>
      <c r="AU758" s="87"/>
      <c r="AV758" s="87"/>
      <c r="AW758" s="87"/>
      <c r="AX758" s="87"/>
      <c r="AY758" s="87"/>
      <c r="AZ758" s="87"/>
      <c r="BA758" s="87"/>
      <c r="BB758" s="87"/>
      <c r="BC758" s="87"/>
      <c r="BD758" s="87"/>
      <c r="BE758" s="87"/>
      <c r="BF758" s="87"/>
      <c r="BG758" s="87"/>
      <c r="BH758" s="87"/>
    </row>
    <row r="759" spans="1:60" ht="16">
      <c r="A759" s="82"/>
      <c r="B759" s="82"/>
      <c r="C759" s="82"/>
      <c r="D759" s="83"/>
      <c r="E759" s="84"/>
      <c r="F759" s="84"/>
      <c r="G759" s="84"/>
      <c r="H759" s="82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7"/>
      <c r="AA759" s="87"/>
      <c r="AB759" s="87"/>
      <c r="AC759" s="87"/>
      <c r="AD759" s="87"/>
      <c r="AE759" s="87"/>
      <c r="AF759" s="87"/>
      <c r="AG759" s="87"/>
      <c r="AH759" s="87"/>
      <c r="AI759" s="87"/>
      <c r="AJ759" s="87"/>
      <c r="AK759" s="87"/>
      <c r="AL759" s="87"/>
      <c r="AM759" s="87"/>
      <c r="AN759" s="87"/>
      <c r="AO759" s="87"/>
      <c r="AP759" s="87"/>
      <c r="AQ759" s="87"/>
      <c r="AR759" s="87"/>
      <c r="AS759" s="87"/>
      <c r="AT759" s="87"/>
      <c r="AU759" s="87"/>
      <c r="AV759" s="87"/>
      <c r="AW759" s="87"/>
      <c r="AX759" s="87"/>
      <c r="AY759" s="87"/>
      <c r="AZ759" s="87"/>
      <c r="BA759" s="87"/>
      <c r="BB759" s="87"/>
      <c r="BC759" s="87"/>
      <c r="BD759" s="87"/>
      <c r="BE759" s="87"/>
      <c r="BF759" s="87"/>
      <c r="BG759" s="87"/>
      <c r="BH759" s="87"/>
    </row>
    <row r="760" spans="1:60" ht="16">
      <c r="A760" s="82"/>
      <c r="B760" s="82"/>
      <c r="C760" s="82"/>
      <c r="D760" s="83"/>
      <c r="E760" s="84"/>
      <c r="F760" s="84"/>
      <c r="G760" s="84"/>
      <c r="H760" s="82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7"/>
      <c r="AA760" s="87"/>
      <c r="AB760" s="87"/>
      <c r="AC760" s="87"/>
      <c r="AD760" s="87"/>
      <c r="AE760" s="87"/>
      <c r="AF760" s="87"/>
      <c r="AG760" s="87"/>
      <c r="AH760" s="87"/>
      <c r="AI760" s="87"/>
      <c r="AJ760" s="87"/>
      <c r="AK760" s="87"/>
      <c r="AL760" s="87"/>
      <c r="AM760" s="87"/>
      <c r="AN760" s="87"/>
      <c r="AO760" s="87"/>
      <c r="AP760" s="87"/>
      <c r="AQ760" s="87"/>
      <c r="AR760" s="87"/>
      <c r="AS760" s="87"/>
      <c r="AT760" s="87"/>
      <c r="AU760" s="87"/>
      <c r="AV760" s="87"/>
      <c r="AW760" s="87"/>
      <c r="AX760" s="87"/>
      <c r="AY760" s="87"/>
      <c r="AZ760" s="87"/>
      <c r="BA760" s="87"/>
      <c r="BB760" s="87"/>
      <c r="BC760" s="87"/>
      <c r="BD760" s="87"/>
      <c r="BE760" s="87"/>
      <c r="BF760" s="87"/>
      <c r="BG760" s="87"/>
      <c r="BH760" s="87"/>
    </row>
    <row r="761" spans="1:60" ht="16">
      <c r="A761" s="82"/>
      <c r="B761" s="82"/>
      <c r="C761" s="82"/>
      <c r="D761" s="83"/>
      <c r="E761" s="84"/>
      <c r="F761" s="84"/>
      <c r="G761" s="84"/>
      <c r="H761" s="82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7"/>
      <c r="AA761" s="87"/>
      <c r="AB761" s="87"/>
      <c r="AC761" s="87"/>
      <c r="AD761" s="87"/>
      <c r="AE761" s="87"/>
      <c r="AF761" s="87"/>
      <c r="AG761" s="87"/>
      <c r="AH761" s="87"/>
      <c r="AI761" s="87"/>
      <c r="AJ761" s="87"/>
      <c r="AK761" s="87"/>
      <c r="AL761" s="87"/>
      <c r="AM761" s="87"/>
      <c r="AN761" s="87"/>
      <c r="AO761" s="87"/>
      <c r="AP761" s="87"/>
      <c r="AQ761" s="87"/>
      <c r="AR761" s="87"/>
      <c r="AS761" s="87"/>
      <c r="AT761" s="87"/>
      <c r="AU761" s="87"/>
      <c r="AV761" s="87"/>
      <c r="AW761" s="87"/>
      <c r="AX761" s="87"/>
      <c r="AY761" s="87"/>
      <c r="AZ761" s="87"/>
      <c r="BA761" s="87"/>
      <c r="BB761" s="87"/>
      <c r="BC761" s="87"/>
      <c r="BD761" s="87"/>
      <c r="BE761" s="87"/>
      <c r="BF761" s="87"/>
      <c r="BG761" s="87"/>
      <c r="BH761" s="87"/>
    </row>
    <row r="762" spans="1:60" ht="16">
      <c r="A762" s="82"/>
      <c r="B762" s="82"/>
      <c r="C762" s="82"/>
      <c r="D762" s="83"/>
      <c r="E762" s="84"/>
      <c r="F762" s="84"/>
      <c r="G762" s="84"/>
      <c r="H762" s="82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7"/>
      <c r="AA762" s="87"/>
      <c r="AB762" s="87"/>
      <c r="AC762" s="87"/>
      <c r="AD762" s="87"/>
      <c r="AE762" s="87"/>
      <c r="AF762" s="87"/>
      <c r="AG762" s="87"/>
      <c r="AH762" s="87"/>
      <c r="AI762" s="87"/>
      <c r="AJ762" s="87"/>
      <c r="AK762" s="87"/>
      <c r="AL762" s="87"/>
      <c r="AM762" s="87"/>
      <c r="AN762" s="87"/>
      <c r="AO762" s="87"/>
      <c r="AP762" s="87"/>
      <c r="AQ762" s="87"/>
      <c r="AR762" s="87"/>
      <c r="AS762" s="87"/>
      <c r="AT762" s="87"/>
      <c r="AU762" s="87"/>
      <c r="AV762" s="87"/>
      <c r="AW762" s="87"/>
      <c r="AX762" s="87"/>
      <c r="AY762" s="87"/>
      <c r="AZ762" s="87"/>
      <c r="BA762" s="87"/>
      <c r="BB762" s="87"/>
      <c r="BC762" s="87"/>
      <c r="BD762" s="87"/>
      <c r="BE762" s="87"/>
      <c r="BF762" s="87"/>
      <c r="BG762" s="87"/>
      <c r="BH762" s="87"/>
    </row>
    <row r="763" spans="1:60" ht="16">
      <c r="A763" s="82"/>
      <c r="B763" s="82"/>
      <c r="C763" s="82"/>
      <c r="D763" s="83"/>
      <c r="E763" s="84"/>
      <c r="F763" s="84"/>
      <c r="G763" s="84"/>
      <c r="H763" s="82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7"/>
      <c r="AA763" s="87"/>
      <c r="AB763" s="87"/>
      <c r="AC763" s="87"/>
      <c r="AD763" s="87"/>
      <c r="AE763" s="87"/>
      <c r="AF763" s="87"/>
      <c r="AG763" s="87"/>
      <c r="AH763" s="87"/>
      <c r="AI763" s="87"/>
      <c r="AJ763" s="87"/>
      <c r="AK763" s="87"/>
      <c r="AL763" s="87"/>
      <c r="AM763" s="87"/>
      <c r="AN763" s="87"/>
      <c r="AO763" s="87"/>
      <c r="AP763" s="87"/>
      <c r="AQ763" s="87"/>
      <c r="AR763" s="87"/>
      <c r="AS763" s="87"/>
      <c r="AT763" s="87"/>
      <c r="AU763" s="87"/>
      <c r="AV763" s="87"/>
      <c r="AW763" s="87"/>
      <c r="AX763" s="87"/>
      <c r="AY763" s="87"/>
      <c r="AZ763" s="87"/>
      <c r="BA763" s="87"/>
      <c r="BB763" s="87"/>
      <c r="BC763" s="87"/>
      <c r="BD763" s="87"/>
      <c r="BE763" s="87"/>
      <c r="BF763" s="87"/>
      <c r="BG763" s="87"/>
      <c r="BH763" s="87"/>
    </row>
    <row r="764" spans="1:60" ht="16">
      <c r="A764" s="82"/>
      <c r="B764" s="82"/>
      <c r="C764" s="82"/>
      <c r="D764" s="83"/>
      <c r="E764" s="84"/>
      <c r="F764" s="84"/>
      <c r="G764" s="84"/>
      <c r="H764" s="82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7"/>
      <c r="AA764" s="87"/>
      <c r="AB764" s="87"/>
      <c r="AC764" s="87"/>
      <c r="AD764" s="87"/>
      <c r="AE764" s="87"/>
      <c r="AF764" s="87"/>
      <c r="AG764" s="87"/>
      <c r="AH764" s="87"/>
      <c r="AI764" s="87"/>
      <c r="AJ764" s="87"/>
      <c r="AK764" s="87"/>
      <c r="AL764" s="87"/>
      <c r="AM764" s="87"/>
      <c r="AN764" s="87"/>
      <c r="AO764" s="87"/>
      <c r="AP764" s="87"/>
      <c r="AQ764" s="87"/>
      <c r="AR764" s="87"/>
      <c r="AS764" s="87"/>
      <c r="AT764" s="87"/>
      <c r="AU764" s="87"/>
      <c r="AV764" s="87"/>
      <c r="AW764" s="87"/>
      <c r="AX764" s="87"/>
      <c r="AY764" s="87"/>
      <c r="AZ764" s="87"/>
      <c r="BA764" s="87"/>
      <c r="BB764" s="87"/>
      <c r="BC764" s="87"/>
      <c r="BD764" s="87"/>
      <c r="BE764" s="87"/>
      <c r="BF764" s="87"/>
      <c r="BG764" s="87"/>
      <c r="BH764" s="87"/>
    </row>
    <row r="765" spans="1:60" ht="16">
      <c r="A765" s="82"/>
      <c r="B765" s="82"/>
      <c r="C765" s="82"/>
      <c r="D765" s="83"/>
      <c r="E765" s="84"/>
      <c r="F765" s="84"/>
      <c r="G765" s="84"/>
      <c r="H765" s="82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7"/>
      <c r="AA765" s="87"/>
      <c r="AB765" s="87"/>
      <c r="AC765" s="87"/>
      <c r="AD765" s="87"/>
      <c r="AE765" s="87"/>
      <c r="AF765" s="87"/>
      <c r="AG765" s="87"/>
      <c r="AH765" s="87"/>
      <c r="AI765" s="87"/>
      <c r="AJ765" s="87"/>
      <c r="AK765" s="87"/>
      <c r="AL765" s="87"/>
      <c r="AM765" s="87"/>
      <c r="AN765" s="87"/>
      <c r="AO765" s="87"/>
      <c r="AP765" s="87"/>
      <c r="AQ765" s="87"/>
      <c r="AR765" s="87"/>
      <c r="AS765" s="87"/>
      <c r="AT765" s="87"/>
      <c r="AU765" s="87"/>
      <c r="AV765" s="87"/>
      <c r="AW765" s="87"/>
      <c r="AX765" s="87"/>
      <c r="AY765" s="87"/>
      <c r="AZ765" s="87"/>
      <c r="BA765" s="87"/>
      <c r="BB765" s="87"/>
      <c r="BC765" s="87"/>
      <c r="BD765" s="87"/>
      <c r="BE765" s="87"/>
      <c r="BF765" s="87"/>
      <c r="BG765" s="87"/>
      <c r="BH765" s="87"/>
    </row>
    <row r="766" spans="1:60" ht="16">
      <c r="A766" s="82"/>
      <c r="B766" s="82"/>
      <c r="C766" s="82"/>
      <c r="D766" s="83"/>
      <c r="E766" s="84"/>
      <c r="F766" s="84"/>
      <c r="G766" s="84"/>
      <c r="H766" s="82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7"/>
      <c r="AA766" s="87"/>
      <c r="AB766" s="87"/>
      <c r="AC766" s="87"/>
      <c r="AD766" s="87"/>
      <c r="AE766" s="87"/>
      <c r="AF766" s="87"/>
      <c r="AG766" s="87"/>
      <c r="AH766" s="87"/>
      <c r="AI766" s="87"/>
      <c r="AJ766" s="87"/>
      <c r="AK766" s="87"/>
      <c r="AL766" s="87"/>
      <c r="AM766" s="87"/>
      <c r="AN766" s="87"/>
      <c r="AO766" s="87"/>
      <c r="AP766" s="87"/>
      <c r="AQ766" s="87"/>
      <c r="AR766" s="87"/>
      <c r="AS766" s="87"/>
      <c r="AT766" s="87"/>
      <c r="AU766" s="87"/>
      <c r="AV766" s="87"/>
      <c r="AW766" s="87"/>
      <c r="AX766" s="87"/>
      <c r="AY766" s="87"/>
      <c r="AZ766" s="87"/>
      <c r="BA766" s="87"/>
      <c r="BB766" s="87"/>
      <c r="BC766" s="87"/>
      <c r="BD766" s="87"/>
      <c r="BE766" s="87"/>
      <c r="BF766" s="87"/>
      <c r="BG766" s="87"/>
      <c r="BH766" s="87"/>
    </row>
    <row r="767" spans="1:60" ht="16">
      <c r="A767" s="82"/>
      <c r="B767" s="82"/>
      <c r="C767" s="82"/>
      <c r="D767" s="83"/>
      <c r="E767" s="84"/>
      <c r="F767" s="84"/>
      <c r="G767" s="84"/>
      <c r="H767" s="82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7"/>
      <c r="AA767" s="87"/>
      <c r="AB767" s="87"/>
      <c r="AC767" s="87"/>
      <c r="AD767" s="87"/>
      <c r="AE767" s="87"/>
      <c r="AF767" s="87"/>
      <c r="AG767" s="87"/>
      <c r="AH767" s="87"/>
      <c r="AI767" s="87"/>
      <c r="AJ767" s="87"/>
      <c r="AK767" s="87"/>
      <c r="AL767" s="87"/>
      <c r="AM767" s="87"/>
      <c r="AN767" s="87"/>
      <c r="AO767" s="87"/>
      <c r="AP767" s="87"/>
      <c r="AQ767" s="87"/>
      <c r="AR767" s="87"/>
      <c r="AS767" s="87"/>
      <c r="AT767" s="87"/>
      <c r="AU767" s="87"/>
      <c r="AV767" s="87"/>
      <c r="AW767" s="87"/>
      <c r="AX767" s="87"/>
      <c r="AY767" s="87"/>
      <c r="AZ767" s="87"/>
      <c r="BA767" s="87"/>
      <c r="BB767" s="87"/>
      <c r="BC767" s="87"/>
      <c r="BD767" s="87"/>
      <c r="BE767" s="87"/>
      <c r="BF767" s="87"/>
      <c r="BG767" s="87"/>
      <c r="BH767" s="87"/>
    </row>
    <row r="768" spans="1:60" ht="16">
      <c r="A768" s="82"/>
      <c r="B768" s="82"/>
      <c r="C768" s="82"/>
      <c r="D768" s="83"/>
      <c r="E768" s="84"/>
      <c r="F768" s="84"/>
      <c r="G768" s="84"/>
      <c r="H768" s="82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7"/>
      <c r="AA768" s="87"/>
      <c r="AB768" s="87"/>
      <c r="AC768" s="87"/>
      <c r="AD768" s="87"/>
      <c r="AE768" s="87"/>
      <c r="AF768" s="87"/>
      <c r="AG768" s="87"/>
      <c r="AH768" s="87"/>
      <c r="AI768" s="87"/>
      <c r="AJ768" s="87"/>
      <c r="AK768" s="87"/>
      <c r="AL768" s="87"/>
      <c r="AM768" s="87"/>
      <c r="AN768" s="87"/>
      <c r="AO768" s="87"/>
      <c r="AP768" s="87"/>
      <c r="AQ768" s="87"/>
      <c r="AR768" s="87"/>
      <c r="AS768" s="87"/>
      <c r="AT768" s="87"/>
      <c r="AU768" s="87"/>
      <c r="AV768" s="87"/>
      <c r="AW768" s="87"/>
      <c r="AX768" s="87"/>
      <c r="AY768" s="87"/>
      <c r="AZ768" s="87"/>
      <c r="BA768" s="87"/>
      <c r="BB768" s="87"/>
      <c r="BC768" s="87"/>
      <c r="BD768" s="87"/>
      <c r="BE768" s="87"/>
      <c r="BF768" s="87"/>
      <c r="BG768" s="87"/>
      <c r="BH768" s="87"/>
    </row>
    <row r="769" spans="1:60" ht="16">
      <c r="A769" s="82"/>
      <c r="B769" s="82"/>
      <c r="C769" s="82"/>
      <c r="D769" s="83"/>
      <c r="E769" s="84"/>
      <c r="F769" s="84"/>
      <c r="G769" s="84"/>
      <c r="H769" s="82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7"/>
      <c r="AA769" s="87"/>
      <c r="AB769" s="87"/>
      <c r="AC769" s="87"/>
      <c r="AD769" s="87"/>
      <c r="AE769" s="87"/>
      <c r="AF769" s="87"/>
      <c r="AG769" s="87"/>
      <c r="AH769" s="87"/>
      <c r="AI769" s="87"/>
      <c r="AJ769" s="87"/>
      <c r="AK769" s="87"/>
      <c r="AL769" s="87"/>
      <c r="AM769" s="87"/>
      <c r="AN769" s="87"/>
      <c r="AO769" s="87"/>
      <c r="AP769" s="87"/>
      <c r="AQ769" s="87"/>
      <c r="AR769" s="87"/>
      <c r="AS769" s="87"/>
      <c r="AT769" s="87"/>
      <c r="AU769" s="87"/>
      <c r="AV769" s="87"/>
      <c r="AW769" s="87"/>
      <c r="AX769" s="87"/>
      <c r="AY769" s="87"/>
      <c r="AZ769" s="87"/>
      <c r="BA769" s="87"/>
      <c r="BB769" s="87"/>
      <c r="BC769" s="87"/>
      <c r="BD769" s="87"/>
      <c r="BE769" s="87"/>
      <c r="BF769" s="87"/>
      <c r="BG769" s="87"/>
      <c r="BH769" s="87"/>
    </row>
    <row r="770" spans="1:60" ht="16">
      <c r="A770" s="82"/>
      <c r="B770" s="82"/>
      <c r="C770" s="82"/>
      <c r="D770" s="83"/>
      <c r="E770" s="84"/>
      <c r="F770" s="84"/>
      <c r="G770" s="84"/>
      <c r="H770" s="82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7"/>
      <c r="AA770" s="87"/>
      <c r="AB770" s="87"/>
      <c r="AC770" s="87"/>
      <c r="AD770" s="87"/>
      <c r="AE770" s="87"/>
      <c r="AF770" s="87"/>
      <c r="AG770" s="87"/>
      <c r="AH770" s="87"/>
      <c r="AI770" s="87"/>
      <c r="AJ770" s="87"/>
      <c r="AK770" s="87"/>
      <c r="AL770" s="87"/>
      <c r="AM770" s="87"/>
      <c r="AN770" s="87"/>
      <c r="AO770" s="87"/>
      <c r="AP770" s="87"/>
      <c r="AQ770" s="87"/>
      <c r="AR770" s="87"/>
      <c r="AS770" s="87"/>
      <c r="AT770" s="87"/>
      <c r="AU770" s="87"/>
      <c r="AV770" s="87"/>
      <c r="AW770" s="87"/>
      <c r="AX770" s="87"/>
      <c r="AY770" s="87"/>
      <c r="AZ770" s="87"/>
      <c r="BA770" s="87"/>
      <c r="BB770" s="87"/>
      <c r="BC770" s="87"/>
      <c r="BD770" s="87"/>
      <c r="BE770" s="87"/>
      <c r="BF770" s="87"/>
      <c r="BG770" s="87"/>
      <c r="BH770" s="87"/>
    </row>
    <row r="771" spans="1:60" ht="16">
      <c r="A771" s="82"/>
      <c r="B771" s="82"/>
      <c r="C771" s="82"/>
      <c r="D771" s="83"/>
      <c r="E771" s="84"/>
      <c r="F771" s="84"/>
      <c r="G771" s="84"/>
      <c r="H771" s="82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7"/>
      <c r="AA771" s="87"/>
      <c r="AB771" s="87"/>
      <c r="AC771" s="87"/>
      <c r="AD771" s="87"/>
      <c r="AE771" s="87"/>
      <c r="AF771" s="87"/>
      <c r="AG771" s="87"/>
      <c r="AH771" s="87"/>
      <c r="AI771" s="87"/>
      <c r="AJ771" s="87"/>
      <c r="AK771" s="87"/>
      <c r="AL771" s="87"/>
      <c r="AM771" s="87"/>
      <c r="AN771" s="87"/>
      <c r="AO771" s="87"/>
      <c r="AP771" s="87"/>
      <c r="AQ771" s="87"/>
      <c r="AR771" s="87"/>
      <c r="AS771" s="87"/>
      <c r="AT771" s="87"/>
      <c r="AU771" s="87"/>
      <c r="AV771" s="87"/>
      <c r="AW771" s="87"/>
      <c r="AX771" s="87"/>
      <c r="AY771" s="87"/>
      <c r="AZ771" s="87"/>
      <c r="BA771" s="87"/>
      <c r="BB771" s="87"/>
      <c r="BC771" s="87"/>
      <c r="BD771" s="87"/>
      <c r="BE771" s="87"/>
      <c r="BF771" s="87"/>
      <c r="BG771" s="87"/>
      <c r="BH771" s="87"/>
    </row>
    <row r="772" spans="1:60" ht="16">
      <c r="A772" s="82"/>
      <c r="B772" s="82"/>
      <c r="C772" s="82"/>
      <c r="D772" s="83"/>
      <c r="E772" s="84"/>
      <c r="F772" s="84"/>
      <c r="G772" s="84"/>
      <c r="H772" s="82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7"/>
      <c r="AA772" s="87"/>
      <c r="AB772" s="87"/>
      <c r="AC772" s="87"/>
      <c r="AD772" s="87"/>
      <c r="AE772" s="87"/>
      <c r="AF772" s="87"/>
      <c r="AG772" s="87"/>
      <c r="AH772" s="87"/>
      <c r="AI772" s="87"/>
      <c r="AJ772" s="87"/>
      <c r="AK772" s="87"/>
      <c r="AL772" s="87"/>
      <c r="AM772" s="87"/>
      <c r="AN772" s="87"/>
      <c r="AO772" s="87"/>
      <c r="AP772" s="87"/>
      <c r="AQ772" s="87"/>
      <c r="AR772" s="87"/>
      <c r="AS772" s="87"/>
      <c r="AT772" s="87"/>
      <c r="AU772" s="87"/>
      <c r="AV772" s="87"/>
      <c r="AW772" s="87"/>
      <c r="AX772" s="87"/>
      <c r="AY772" s="87"/>
      <c r="AZ772" s="87"/>
      <c r="BA772" s="87"/>
      <c r="BB772" s="87"/>
      <c r="BC772" s="87"/>
      <c r="BD772" s="87"/>
      <c r="BE772" s="87"/>
      <c r="BF772" s="87"/>
      <c r="BG772" s="87"/>
      <c r="BH772" s="87"/>
    </row>
    <row r="773" spans="1:60" ht="16">
      <c r="A773" s="82"/>
      <c r="B773" s="82"/>
      <c r="C773" s="82"/>
      <c r="D773" s="83"/>
      <c r="E773" s="84"/>
      <c r="F773" s="84"/>
      <c r="G773" s="84"/>
      <c r="H773" s="82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7"/>
      <c r="AA773" s="87"/>
      <c r="AB773" s="87"/>
      <c r="AC773" s="87"/>
      <c r="AD773" s="87"/>
      <c r="AE773" s="87"/>
      <c r="AF773" s="87"/>
      <c r="AG773" s="87"/>
      <c r="AH773" s="87"/>
      <c r="AI773" s="87"/>
      <c r="AJ773" s="87"/>
      <c r="AK773" s="87"/>
      <c r="AL773" s="87"/>
      <c r="AM773" s="87"/>
      <c r="AN773" s="87"/>
      <c r="AO773" s="87"/>
      <c r="AP773" s="87"/>
      <c r="AQ773" s="87"/>
      <c r="AR773" s="87"/>
      <c r="AS773" s="87"/>
      <c r="AT773" s="87"/>
      <c r="AU773" s="87"/>
      <c r="AV773" s="87"/>
      <c r="AW773" s="87"/>
      <c r="AX773" s="87"/>
      <c r="AY773" s="87"/>
      <c r="AZ773" s="87"/>
      <c r="BA773" s="87"/>
      <c r="BB773" s="87"/>
      <c r="BC773" s="87"/>
      <c r="BD773" s="87"/>
      <c r="BE773" s="87"/>
      <c r="BF773" s="87"/>
      <c r="BG773" s="87"/>
      <c r="BH773" s="87"/>
    </row>
    <row r="774" spans="1:60" ht="16">
      <c r="A774" s="82"/>
      <c r="B774" s="82"/>
      <c r="C774" s="82"/>
      <c r="D774" s="83"/>
      <c r="E774" s="84"/>
      <c r="F774" s="84"/>
      <c r="G774" s="84"/>
      <c r="H774" s="82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7"/>
      <c r="AA774" s="87"/>
      <c r="AB774" s="87"/>
      <c r="AC774" s="87"/>
      <c r="AD774" s="87"/>
      <c r="AE774" s="87"/>
      <c r="AF774" s="87"/>
      <c r="AG774" s="87"/>
      <c r="AH774" s="87"/>
      <c r="AI774" s="87"/>
      <c r="AJ774" s="87"/>
      <c r="AK774" s="87"/>
      <c r="AL774" s="87"/>
      <c r="AM774" s="87"/>
      <c r="AN774" s="87"/>
      <c r="AO774" s="87"/>
      <c r="AP774" s="87"/>
      <c r="AQ774" s="87"/>
      <c r="AR774" s="87"/>
      <c r="AS774" s="87"/>
      <c r="AT774" s="87"/>
      <c r="AU774" s="87"/>
      <c r="AV774" s="87"/>
      <c r="AW774" s="87"/>
      <c r="AX774" s="87"/>
      <c r="AY774" s="87"/>
      <c r="AZ774" s="87"/>
      <c r="BA774" s="87"/>
      <c r="BB774" s="87"/>
      <c r="BC774" s="87"/>
      <c r="BD774" s="87"/>
      <c r="BE774" s="87"/>
      <c r="BF774" s="87"/>
      <c r="BG774" s="87"/>
      <c r="BH774" s="87"/>
    </row>
    <row r="775" spans="1:60" ht="16">
      <c r="A775" s="82"/>
      <c r="B775" s="82"/>
      <c r="C775" s="82"/>
      <c r="D775" s="83"/>
      <c r="E775" s="84"/>
      <c r="F775" s="84"/>
      <c r="G775" s="84"/>
      <c r="H775" s="82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7"/>
      <c r="AA775" s="87"/>
      <c r="AB775" s="87"/>
      <c r="AC775" s="87"/>
      <c r="AD775" s="87"/>
      <c r="AE775" s="87"/>
      <c r="AF775" s="87"/>
      <c r="AG775" s="87"/>
      <c r="AH775" s="87"/>
      <c r="AI775" s="87"/>
      <c r="AJ775" s="87"/>
      <c r="AK775" s="87"/>
      <c r="AL775" s="87"/>
      <c r="AM775" s="87"/>
      <c r="AN775" s="87"/>
      <c r="AO775" s="87"/>
      <c r="AP775" s="87"/>
      <c r="AQ775" s="87"/>
      <c r="AR775" s="87"/>
      <c r="AS775" s="87"/>
      <c r="AT775" s="87"/>
      <c r="AU775" s="87"/>
      <c r="AV775" s="87"/>
      <c r="AW775" s="87"/>
      <c r="AX775" s="87"/>
      <c r="AY775" s="87"/>
      <c r="AZ775" s="87"/>
      <c r="BA775" s="87"/>
      <c r="BB775" s="87"/>
      <c r="BC775" s="87"/>
      <c r="BD775" s="87"/>
      <c r="BE775" s="87"/>
      <c r="BF775" s="87"/>
      <c r="BG775" s="87"/>
      <c r="BH775" s="87"/>
    </row>
    <row r="776" spans="1:60" ht="16">
      <c r="A776" s="82"/>
      <c r="B776" s="82"/>
      <c r="C776" s="82"/>
      <c r="D776" s="83"/>
      <c r="E776" s="84"/>
      <c r="F776" s="84"/>
      <c r="G776" s="84"/>
      <c r="H776" s="82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7"/>
      <c r="AA776" s="87"/>
      <c r="AB776" s="87"/>
      <c r="AC776" s="87"/>
      <c r="AD776" s="87"/>
      <c r="AE776" s="87"/>
      <c r="AF776" s="87"/>
      <c r="AG776" s="87"/>
      <c r="AH776" s="87"/>
      <c r="AI776" s="87"/>
      <c r="AJ776" s="87"/>
      <c r="AK776" s="87"/>
      <c r="AL776" s="87"/>
      <c r="AM776" s="87"/>
      <c r="AN776" s="87"/>
      <c r="AO776" s="87"/>
      <c r="AP776" s="87"/>
      <c r="AQ776" s="87"/>
      <c r="AR776" s="87"/>
      <c r="AS776" s="87"/>
      <c r="AT776" s="87"/>
      <c r="AU776" s="87"/>
      <c r="AV776" s="87"/>
      <c r="AW776" s="87"/>
      <c r="AX776" s="87"/>
      <c r="AY776" s="87"/>
      <c r="AZ776" s="87"/>
      <c r="BA776" s="87"/>
      <c r="BB776" s="87"/>
      <c r="BC776" s="87"/>
      <c r="BD776" s="87"/>
      <c r="BE776" s="87"/>
      <c r="BF776" s="87"/>
      <c r="BG776" s="87"/>
      <c r="BH776" s="87"/>
    </row>
    <row r="777" spans="1:60" ht="16">
      <c r="A777" s="82"/>
      <c r="B777" s="82"/>
      <c r="C777" s="82"/>
      <c r="D777" s="83"/>
      <c r="E777" s="84"/>
      <c r="F777" s="84"/>
      <c r="G777" s="84"/>
      <c r="H777" s="82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7"/>
      <c r="AA777" s="87"/>
      <c r="AB777" s="87"/>
      <c r="AC777" s="87"/>
      <c r="AD777" s="87"/>
      <c r="AE777" s="87"/>
      <c r="AF777" s="87"/>
      <c r="AG777" s="87"/>
      <c r="AH777" s="87"/>
      <c r="AI777" s="87"/>
      <c r="AJ777" s="87"/>
      <c r="AK777" s="87"/>
      <c r="AL777" s="87"/>
      <c r="AM777" s="87"/>
      <c r="AN777" s="87"/>
      <c r="AO777" s="87"/>
      <c r="AP777" s="87"/>
      <c r="AQ777" s="87"/>
      <c r="AR777" s="87"/>
      <c r="AS777" s="87"/>
      <c r="AT777" s="87"/>
      <c r="AU777" s="87"/>
      <c r="AV777" s="87"/>
      <c r="AW777" s="87"/>
      <c r="AX777" s="87"/>
      <c r="AY777" s="87"/>
      <c r="AZ777" s="87"/>
      <c r="BA777" s="87"/>
      <c r="BB777" s="87"/>
      <c r="BC777" s="87"/>
      <c r="BD777" s="87"/>
      <c r="BE777" s="87"/>
      <c r="BF777" s="87"/>
      <c r="BG777" s="87"/>
      <c r="BH777" s="87"/>
    </row>
    <row r="778" spans="1:60" ht="16">
      <c r="A778" s="82"/>
      <c r="B778" s="82"/>
      <c r="C778" s="82"/>
      <c r="D778" s="83"/>
      <c r="E778" s="84"/>
      <c r="F778" s="84"/>
      <c r="G778" s="84"/>
      <c r="H778" s="82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7"/>
      <c r="AA778" s="87"/>
      <c r="AB778" s="87"/>
      <c r="AC778" s="87"/>
      <c r="AD778" s="87"/>
      <c r="AE778" s="87"/>
      <c r="AF778" s="87"/>
      <c r="AG778" s="87"/>
      <c r="AH778" s="87"/>
      <c r="AI778" s="87"/>
      <c r="AJ778" s="87"/>
      <c r="AK778" s="87"/>
      <c r="AL778" s="87"/>
      <c r="AM778" s="87"/>
      <c r="AN778" s="87"/>
      <c r="AO778" s="87"/>
      <c r="AP778" s="87"/>
      <c r="AQ778" s="87"/>
      <c r="AR778" s="87"/>
      <c r="AS778" s="87"/>
      <c r="AT778" s="87"/>
      <c r="AU778" s="87"/>
      <c r="AV778" s="87"/>
      <c r="AW778" s="87"/>
      <c r="AX778" s="87"/>
      <c r="AY778" s="87"/>
      <c r="AZ778" s="87"/>
      <c r="BA778" s="87"/>
      <c r="BB778" s="87"/>
      <c r="BC778" s="87"/>
      <c r="BD778" s="87"/>
      <c r="BE778" s="87"/>
      <c r="BF778" s="87"/>
      <c r="BG778" s="87"/>
      <c r="BH778" s="87"/>
    </row>
    <row r="779" spans="1:60" ht="16">
      <c r="A779" s="82"/>
      <c r="B779" s="82"/>
      <c r="C779" s="82"/>
      <c r="D779" s="83"/>
      <c r="E779" s="84"/>
      <c r="F779" s="84"/>
      <c r="G779" s="84"/>
      <c r="H779" s="82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7"/>
      <c r="AA779" s="87"/>
      <c r="AB779" s="87"/>
      <c r="AC779" s="87"/>
      <c r="AD779" s="87"/>
      <c r="AE779" s="87"/>
      <c r="AF779" s="87"/>
      <c r="AG779" s="87"/>
      <c r="AH779" s="87"/>
      <c r="AI779" s="87"/>
      <c r="AJ779" s="87"/>
      <c r="AK779" s="87"/>
      <c r="AL779" s="87"/>
      <c r="AM779" s="87"/>
      <c r="AN779" s="87"/>
      <c r="AO779" s="87"/>
      <c r="AP779" s="87"/>
      <c r="AQ779" s="87"/>
      <c r="AR779" s="87"/>
      <c r="AS779" s="87"/>
      <c r="AT779" s="87"/>
      <c r="AU779" s="87"/>
      <c r="AV779" s="87"/>
      <c r="AW779" s="87"/>
      <c r="AX779" s="87"/>
      <c r="AY779" s="87"/>
      <c r="AZ779" s="87"/>
      <c r="BA779" s="87"/>
      <c r="BB779" s="87"/>
      <c r="BC779" s="87"/>
      <c r="BD779" s="87"/>
      <c r="BE779" s="87"/>
      <c r="BF779" s="87"/>
      <c r="BG779" s="87"/>
      <c r="BH779" s="87"/>
    </row>
    <row r="780" spans="1:60" ht="16">
      <c r="A780" s="82"/>
      <c r="B780" s="82"/>
      <c r="C780" s="82"/>
      <c r="D780" s="83"/>
      <c r="E780" s="84"/>
      <c r="F780" s="84"/>
      <c r="G780" s="84"/>
      <c r="H780" s="82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7"/>
      <c r="AA780" s="87"/>
      <c r="AB780" s="87"/>
      <c r="AC780" s="87"/>
      <c r="AD780" s="87"/>
      <c r="AE780" s="87"/>
      <c r="AF780" s="87"/>
      <c r="AG780" s="87"/>
      <c r="AH780" s="87"/>
      <c r="AI780" s="87"/>
      <c r="AJ780" s="87"/>
      <c r="AK780" s="87"/>
      <c r="AL780" s="87"/>
      <c r="AM780" s="87"/>
      <c r="AN780" s="87"/>
      <c r="AO780" s="87"/>
      <c r="AP780" s="87"/>
      <c r="AQ780" s="87"/>
      <c r="AR780" s="87"/>
      <c r="AS780" s="87"/>
      <c r="AT780" s="87"/>
      <c r="AU780" s="87"/>
      <c r="AV780" s="87"/>
      <c r="AW780" s="87"/>
      <c r="AX780" s="87"/>
      <c r="AY780" s="87"/>
      <c r="AZ780" s="87"/>
      <c r="BA780" s="87"/>
      <c r="BB780" s="87"/>
      <c r="BC780" s="87"/>
      <c r="BD780" s="87"/>
      <c r="BE780" s="87"/>
      <c r="BF780" s="87"/>
      <c r="BG780" s="87"/>
      <c r="BH780" s="87"/>
    </row>
    <row r="781" spans="1:60" ht="16">
      <c r="A781" s="82"/>
      <c r="B781" s="82"/>
      <c r="C781" s="82"/>
      <c r="D781" s="83"/>
      <c r="E781" s="84"/>
      <c r="F781" s="84"/>
      <c r="G781" s="84"/>
      <c r="H781" s="82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7"/>
      <c r="AA781" s="87"/>
      <c r="AB781" s="87"/>
      <c r="AC781" s="87"/>
      <c r="AD781" s="87"/>
      <c r="AE781" s="87"/>
      <c r="AF781" s="87"/>
      <c r="AG781" s="87"/>
      <c r="AH781" s="87"/>
      <c r="AI781" s="87"/>
      <c r="AJ781" s="87"/>
      <c r="AK781" s="87"/>
      <c r="AL781" s="87"/>
      <c r="AM781" s="87"/>
      <c r="AN781" s="87"/>
      <c r="AO781" s="87"/>
      <c r="AP781" s="87"/>
      <c r="AQ781" s="87"/>
      <c r="AR781" s="87"/>
      <c r="AS781" s="87"/>
      <c r="AT781" s="87"/>
      <c r="AU781" s="87"/>
      <c r="AV781" s="87"/>
      <c r="AW781" s="87"/>
      <c r="AX781" s="87"/>
      <c r="AY781" s="87"/>
      <c r="AZ781" s="87"/>
      <c r="BA781" s="87"/>
      <c r="BB781" s="87"/>
      <c r="BC781" s="87"/>
      <c r="BD781" s="87"/>
      <c r="BE781" s="87"/>
      <c r="BF781" s="87"/>
      <c r="BG781" s="87"/>
      <c r="BH781" s="87"/>
    </row>
    <row r="782" spans="1:60" ht="16">
      <c r="A782" s="82"/>
      <c r="B782" s="82"/>
      <c r="C782" s="82"/>
      <c r="D782" s="83"/>
      <c r="E782" s="84"/>
      <c r="F782" s="84"/>
      <c r="G782" s="84"/>
      <c r="H782" s="82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7"/>
      <c r="AA782" s="87"/>
      <c r="AB782" s="87"/>
      <c r="AC782" s="87"/>
      <c r="AD782" s="87"/>
      <c r="AE782" s="87"/>
      <c r="AF782" s="87"/>
      <c r="AG782" s="87"/>
      <c r="AH782" s="87"/>
      <c r="AI782" s="87"/>
      <c r="AJ782" s="87"/>
      <c r="AK782" s="87"/>
      <c r="AL782" s="87"/>
      <c r="AM782" s="87"/>
      <c r="AN782" s="87"/>
      <c r="AO782" s="87"/>
      <c r="AP782" s="87"/>
      <c r="AQ782" s="87"/>
      <c r="AR782" s="87"/>
      <c r="AS782" s="87"/>
      <c r="AT782" s="87"/>
      <c r="AU782" s="87"/>
      <c r="AV782" s="87"/>
      <c r="AW782" s="87"/>
      <c r="AX782" s="87"/>
      <c r="AY782" s="87"/>
      <c r="AZ782" s="87"/>
      <c r="BA782" s="87"/>
      <c r="BB782" s="87"/>
      <c r="BC782" s="87"/>
      <c r="BD782" s="87"/>
      <c r="BE782" s="87"/>
      <c r="BF782" s="87"/>
      <c r="BG782" s="87"/>
      <c r="BH782" s="87"/>
    </row>
    <row r="783" spans="1:60" ht="16">
      <c r="A783" s="82"/>
      <c r="B783" s="82"/>
      <c r="C783" s="82"/>
      <c r="D783" s="83"/>
      <c r="E783" s="84"/>
      <c r="F783" s="84"/>
      <c r="G783" s="84"/>
      <c r="H783" s="82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7"/>
      <c r="AA783" s="87"/>
      <c r="AB783" s="87"/>
      <c r="AC783" s="87"/>
      <c r="AD783" s="87"/>
      <c r="AE783" s="87"/>
      <c r="AF783" s="87"/>
      <c r="AG783" s="87"/>
      <c r="AH783" s="87"/>
      <c r="AI783" s="87"/>
      <c r="AJ783" s="87"/>
      <c r="AK783" s="87"/>
      <c r="AL783" s="87"/>
      <c r="AM783" s="87"/>
      <c r="AN783" s="87"/>
      <c r="AO783" s="87"/>
      <c r="AP783" s="87"/>
      <c r="AQ783" s="87"/>
      <c r="AR783" s="87"/>
      <c r="AS783" s="87"/>
      <c r="AT783" s="87"/>
      <c r="AU783" s="87"/>
      <c r="AV783" s="87"/>
      <c r="AW783" s="87"/>
      <c r="AX783" s="87"/>
      <c r="AY783" s="87"/>
      <c r="AZ783" s="87"/>
      <c r="BA783" s="87"/>
      <c r="BB783" s="87"/>
      <c r="BC783" s="87"/>
      <c r="BD783" s="87"/>
      <c r="BE783" s="87"/>
      <c r="BF783" s="87"/>
      <c r="BG783" s="87"/>
      <c r="BH783" s="87"/>
    </row>
    <row r="784" spans="1:60" ht="16">
      <c r="A784" s="82"/>
      <c r="B784" s="82"/>
      <c r="C784" s="82"/>
      <c r="D784" s="83"/>
      <c r="E784" s="84"/>
      <c r="F784" s="84"/>
      <c r="G784" s="84"/>
      <c r="H784" s="82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7"/>
      <c r="AA784" s="87"/>
      <c r="AB784" s="87"/>
      <c r="AC784" s="87"/>
      <c r="AD784" s="87"/>
      <c r="AE784" s="87"/>
      <c r="AF784" s="87"/>
      <c r="AG784" s="87"/>
      <c r="AH784" s="87"/>
      <c r="AI784" s="87"/>
      <c r="AJ784" s="87"/>
      <c r="AK784" s="87"/>
      <c r="AL784" s="87"/>
      <c r="AM784" s="87"/>
      <c r="AN784" s="87"/>
      <c r="AO784" s="87"/>
      <c r="AP784" s="87"/>
      <c r="AQ784" s="87"/>
      <c r="AR784" s="87"/>
      <c r="AS784" s="87"/>
      <c r="AT784" s="87"/>
      <c r="AU784" s="87"/>
      <c r="AV784" s="87"/>
      <c r="AW784" s="87"/>
      <c r="AX784" s="87"/>
      <c r="AY784" s="87"/>
      <c r="AZ784" s="87"/>
      <c r="BA784" s="87"/>
      <c r="BB784" s="87"/>
      <c r="BC784" s="87"/>
      <c r="BD784" s="87"/>
      <c r="BE784" s="87"/>
      <c r="BF784" s="87"/>
      <c r="BG784" s="87"/>
      <c r="BH784" s="87"/>
    </row>
    <row r="785" spans="1:60" ht="16">
      <c r="A785" s="82"/>
      <c r="B785" s="82"/>
      <c r="C785" s="82"/>
      <c r="D785" s="83"/>
      <c r="E785" s="84"/>
      <c r="F785" s="84"/>
      <c r="G785" s="84"/>
      <c r="H785" s="82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7"/>
      <c r="AA785" s="87"/>
      <c r="AB785" s="87"/>
      <c r="AC785" s="87"/>
      <c r="AD785" s="87"/>
      <c r="AE785" s="87"/>
      <c r="AF785" s="87"/>
      <c r="AG785" s="87"/>
      <c r="AH785" s="87"/>
      <c r="AI785" s="87"/>
      <c r="AJ785" s="87"/>
      <c r="AK785" s="87"/>
      <c r="AL785" s="87"/>
      <c r="AM785" s="87"/>
      <c r="AN785" s="87"/>
      <c r="AO785" s="87"/>
      <c r="AP785" s="87"/>
      <c r="AQ785" s="87"/>
      <c r="AR785" s="87"/>
      <c r="AS785" s="87"/>
      <c r="AT785" s="87"/>
      <c r="AU785" s="87"/>
      <c r="AV785" s="87"/>
      <c r="AW785" s="87"/>
      <c r="AX785" s="87"/>
      <c r="AY785" s="87"/>
      <c r="AZ785" s="87"/>
      <c r="BA785" s="87"/>
      <c r="BB785" s="87"/>
      <c r="BC785" s="87"/>
      <c r="BD785" s="87"/>
      <c r="BE785" s="87"/>
      <c r="BF785" s="87"/>
      <c r="BG785" s="87"/>
      <c r="BH785" s="87"/>
    </row>
    <row r="786" spans="1:60" ht="16">
      <c r="A786" s="82"/>
      <c r="B786" s="82"/>
      <c r="C786" s="82"/>
      <c r="D786" s="83"/>
      <c r="E786" s="84"/>
      <c r="F786" s="84"/>
      <c r="G786" s="84"/>
      <c r="H786" s="82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7"/>
      <c r="AA786" s="87"/>
      <c r="AB786" s="87"/>
      <c r="AC786" s="87"/>
      <c r="AD786" s="87"/>
      <c r="AE786" s="87"/>
      <c r="AF786" s="87"/>
      <c r="AG786" s="87"/>
      <c r="AH786" s="87"/>
      <c r="AI786" s="87"/>
      <c r="AJ786" s="87"/>
      <c r="AK786" s="87"/>
      <c r="AL786" s="87"/>
      <c r="AM786" s="87"/>
      <c r="AN786" s="87"/>
      <c r="AO786" s="87"/>
      <c r="AP786" s="87"/>
      <c r="AQ786" s="87"/>
      <c r="AR786" s="87"/>
      <c r="AS786" s="87"/>
      <c r="AT786" s="87"/>
      <c r="AU786" s="87"/>
      <c r="AV786" s="87"/>
      <c r="AW786" s="87"/>
      <c r="AX786" s="87"/>
      <c r="AY786" s="87"/>
      <c r="AZ786" s="87"/>
      <c r="BA786" s="87"/>
      <c r="BB786" s="87"/>
      <c r="BC786" s="87"/>
      <c r="BD786" s="87"/>
      <c r="BE786" s="87"/>
      <c r="BF786" s="87"/>
      <c r="BG786" s="87"/>
      <c r="BH786" s="87"/>
    </row>
    <row r="787" spans="1:60" ht="16">
      <c r="A787" s="82"/>
      <c r="B787" s="82"/>
      <c r="C787" s="82"/>
      <c r="D787" s="83"/>
      <c r="E787" s="84"/>
      <c r="F787" s="84"/>
      <c r="G787" s="84"/>
      <c r="H787" s="82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7"/>
      <c r="AA787" s="87"/>
      <c r="AB787" s="87"/>
      <c r="AC787" s="87"/>
      <c r="AD787" s="87"/>
      <c r="AE787" s="87"/>
      <c r="AF787" s="87"/>
      <c r="AG787" s="87"/>
      <c r="AH787" s="87"/>
      <c r="AI787" s="87"/>
      <c r="AJ787" s="87"/>
      <c r="AK787" s="87"/>
      <c r="AL787" s="87"/>
      <c r="AM787" s="87"/>
      <c r="AN787" s="87"/>
      <c r="AO787" s="87"/>
      <c r="AP787" s="87"/>
      <c r="AQ787" s="87"/>
      <c r="AR787" s="87"/>
      <c r="AS787" s="87"/>
      <c r="AT787" s="87"/>
      <c r="AU787" s="87"/>
      <c r="AV787" s="87"/>
      <c r="AW787" s="87"/>
      <c r="AX787" s="87"/>
      <c r="AY787" s="87"/>
      <c r="AZ787" s="87"/>
      <c r="BA787" s="87"/>
      <c r="BB787" s="87"/>
      <c r="BC787" s="87"/>
      <c r="BD787" s="87"/>
      <c r="BE787" s="87"/>
      <c r="BF787" s="87"/>
      <c r="BG787" s="87"/>
      <c r="BH787" s="87"/>
    </row>
    <row r="788" spans="1:60" ht="16">
      <c r="A788" s="82"/>
      <c r="B788" s="82"/>
      <c r="C788" s="82"/>
      <c r="D788" s="83"/>
      <c r="E788" s="84"/>
      <c r="F788" s="84"/>
      <c r="G788" s="84"/>
      <c r="H788" s="82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7"/>
      <c r="AA788" s="87"/>
      <c r="AB788" s="87"/>
      <c r="AC788" s="87"/>
      <c r="AD788" s="87"/>
      <c r="AE788" s="87"/>
      <c r="AF788" s="87"/>
      <c r="AG788" s="87"/>
      <c r="AH788" s="87"/>
      <c r="AI788" s="87"/>
      <c r="AJ788" s="87"/>
      <c r="AK788" s="87"/>
      <c r="AL788" s="87"/>
      <c r="AM788" s="87"/>
      <c r="AN788" s="87"/>
      <c r="AO788" s="87"/>
      <c r="AP788" s="87"/>
      <c r="AQ788" s="87"/>
      <c r="AR788" s="87"/>
      <c r="AS788" s="87"/>
      <c r="AT788" s="87"/>
      <c r="AU788" s="87"/>
      <c r="AV788" s="87"/>
      <c r="AW788" s="87"/>
      <c r="AX788" s="87"/>
      <c r="AY788" s="87"/>
      <c r="AZ788" s="87"/>
      <c r="BA788" s="87"/>
      <c r="BB788" s="87"/>
      <c r="BC788" s="87"/>
      <c r="BD788" s="87"/>
      <c r="BE788" s="87"/>
      <c r="BF788" s="87"/>
      <c r="BG788" s="87"/>
      <c r="BH788" s="87"/>
    </row>
    <row r="789" spans="1:60" ht="16">
      <c r="A789" s="82"/>
      <c r="B789" s="82"/>
      <c r="C789" s="82"/>
      <c r="D789" s="83"/>
      <c r="E789" s="84"/>
      <c r="F789" s="84"/>
      <c r="G789" s="84"/>
      <c r="H789" s="82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7"/>
      <c r="AA789" s="87"/>
      <c r="AB789" s="87"/>
      <c r="AC789" s="87"/>
      <c r="AD789" s="87"/>
      <c r="AE789" s="87"/>
      <c r="AF789" s="87"/>
      <c r="AG789" s="87"/>
      <c r="AH789" s="87"/>
      <c r="AI789" s="87"/>
      <c r="AJ789" s="87"/>
      <c r="AK789" s="87"/>
      <c r="AL789" s="87"/>
      <c r="AM789" s="87"/>
      <c r="AN789" s="87"/>
      <c r="AO789" s="87"/>
      <c r="AP789" s="87"/>
      <c r="AQ789" s="87"/>
      <c r="AR789" s="87"/>
      <c r="AS789" s="87"/>
      <c r="AT789" s="87"/>
      <c r="AU789" s="87"/>
      <c r="AV789" s="87"/>
      <c r="AW789" s="87"/>
      <c r="AX789" s="87"/>
      <c r="AY789" s="87"/>
      <c r="AZ789" s="87"/>
      <c r="BA789" s="87"/>
      <c r="BB789" s="87"/>
      <c r="BC789" s="87"/>
      <c r="BD789" s="87"/>
      <c r="BE789" s="87"/>
      <c r="BF789" s="87"/>
      <c r="BG789" s="87"/>
      <c r="BH789" s="87"/>
    </row>
    <row r="790" spans="1:60" ht="16">
      <c r="A790" s="82"/>
      <c r="B790" s="82"/>
      <c r="C790" s="82"/>
      <c r="D790" s="83"/>
      <c r="E790" s="84"/>
      <c r="F790" s="84"/>
      <c r="G790" s="84"/>
      <c r="H790" s="82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7"/>
      <c r="AA790" s="87"/>
      <c r="AB790" s="87"/>
      <c r="AC790" s="87"/>
      <c r="AD790" s="87"/>
      <c r="AE790" s="87"/>
      <c r="AF790" s="87"/>
      <c r="AG790" s="87"/>
      <c r="AH790" s="87"/>
      <c r="AI790" s="87"/>
      <c r="AJ790" s="87"/>
      <c r="AK790" s="87"/>
      <c r="AL790" s="87"/>
      <c r="AM790" s="87"/>
      <c r="AN790" s="87"/>
      <c r="AO790" s="87"/>
      <c r="AP790" s="87"/>
      <c r="AQ790" s="87"/>
      <c r="AR790" s="87"/>
      <c r="AS790" s="87"/>
      <c r="AT790" s="87"/>
      <c r="AU790" s="87"/>
      <c r="AV790" s="87"/>
      <c r="AW790" s="87"/>
      <c r="AX790" s="87"/>
      <c r="AY790" s="87"/>
      <c r="AZ790" s="87"/>
      <c r="BA790" s="87"/>
      <c r="BB790" s="87"/>
      <c r="BC790" s="87"/>
      <c r="BD790" s="87"/>
      <c r="BE790" s="87"/>
      <c r="BF790" s="87"/>
      <c r="BG790" s="87"/>
      <c r="BH790" s="87"/>
    </row>
    <row r="791" spans="1:60" ht="16">
      <c r="A791" s="82"/>
      <c r="B791" s="82"/>
      <c r="C791" s="82"/>
      <c r="D791" s="83"/>
      <c r="E791" s="84"/>
      <c r="F791" s="84"/>
      <c r="G791" s="84"/>
      <c r="H791" s="82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7"/>
      <c r="AA791" s="87"/>
      <c r="AB791" s="87"/>
      <c r="AC791" s="87"/>
      <c r="AD791" s="87"/>
      <c r="AE791" s="87"/>
      <c r="AF791" s="87"/>
      <c r="AG791" s="87"/>
      <c r="AH791" s="87"/>
      <c r="AI791" s="87"/>
      <c r="AJ791" s="87"/>
      <c r="AK791" s="87"/>
      <c r="AL791" s="87"/>
      <c r="AM791" s="87"/>
      <c r="AN791" s="87"/>
      <c r="AO791" s="87"/>
      <c r="AP791" s="87"/>
      <c r="AQ791" s="87"/>
      <c r="AR791" s="87"/>
      <c r="AS791" s="87"/>
      <c r="AT791" s="87"/>
      <c r="AU791" s="87"/>
      <c r="AV791" s="87"/>
      <c r="AW791" s="87"/>
      <c r="AX791" s="87"/>
      <c r="AY791" s="87"/>
      <c r="AZ791" s="87"/>
      <c r="BA791" s="87"/>
      <c r="BB791" s="87"/>
      <c r="BC791" s="87"/>
      <c r="BD791" s="87"/>
      <c r="BE791" s="87"/>
      <c r="BF791" s="87"/>
      <c r="BG791" s="87"/>
      <c r="BH791" s="87"/>
    </row>
    <row r="792" spans="1:60" ht="16">
      <c r="A792" s="82"/>
      <c r="B792" s="82"/>
      <c r="C792" s="82"/>
      <c r="D792" s="83"/>
      <c r="E792" s="84"/>
      <c r="F792" s="84"/>
      <c r="G792" s="84"/>
      <c r="H792" s="82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7"/>
      <c r="AA792" s="87"/>
      <c r="AB792" s="87"/>
      <c r="AC792" s="87"/>
      <c r="AD792" s="87"/>
      <c r="AE792" s="87"/>
      <c r="AF792" s="87"/>
      <c r="AG792" s="87"/>
      <c r="AH792" s="87"/>
      <c r="AI792" s="87"/>
      <c r="AJ792" s="87"/>
      <c r="AK792" s="87"/>
      <c r="AL792" s="87"/>
      <c r="AM792" s="87"/>
      <c r="AN792" s="87"/>
      <c r="AO792" s="87"/>
      <c r="AP792" s="87"/>
      <c r="AQ792" s="87"/>
      <c r="AR792" s="87"/>
      <c r="AS792" s="87"/>
      <c r="AT792" s="87"/>
      <c r="AU792" s="87"/>
      <c r="AV792" s="87"/>
      <c r="AW792" s="87"/>
      <c r="AX792" s="87"/>
      <c r="AY792" s="87"/>
      <c r="AZ792" s="87"/>
      <c r="BA792" s="87"/>
      <c r="BB792" s="87"/>
      <c r="BC792" s="87"/>
      <c r="BD792" s="87"/>
      <c r="BE792" s="87"/>
      <c r="BF792" s="87"/>
      <c r="BG792" s="87"/>
      <c r="BH792" s="87"/>
    </row>
    <row r="793" spans="1:60" ht="16">
      <c r="A793" s="82"/>
      <c r="B793" s="82"/>
      <c r="C793" s="82"/>
      <c r="D793" s="83"/>
      <c r="E793" s="84"/>
      <c r="F793" s="84"/>
      <c r="G793" s="84"/>
      <c r="H793" s="82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7"/>
      <c r="AA793" s="87"/>
      <c r="AB793" s="87"/>
      <c r="AC793" s="87"/>
      <c r="AD793" s="87"/>
      <c r="AE793" s="87"/>
      <c r="AF793" s="87"/>
      <c r="AG793" s="87"/>
      <c r="AH793" s="87"/>
      <c r="AI793" s="87"/>
      <c r="AJ793" s="87"/>
      <c r="AK793" s="87"/>
      <c r="AL793" s="87"/>
      <c r="AM793" s="87"/>
      <c r="AN793" s="87"/>
      <c r="AO793" s="87"/>
      <c r="AP793" s="87"/>
      <c r="AQ793" s="87"/>
      <c r="AR793" s="87"/>
      <c r="AS793" s="87"/>
      <c r="AT793" s="87"/>
      <c r="AU793" s="87"/>
      <c r="AV793" s="87"/>
      <c r="AW793" s="87"/>
      <c r="AX793" s="87"/>
      <c r="AY793" s="87"/>
      <c r="AZ793" s="87"/>
      <c r="BA793" s="87"/>
      <c r="BB793" s="87"/>
      <c r="BC793" s="87"/>
      <c r="BD793" s="87"/>
      <c r="BE793" s="87"/>
      <c r="BF793" s="87"/>
      <c r="BG793" s="87"/>
      <c r="BH793" s="87"/>
    </row>
    <row r="794" spans="1:60" ht="16">
      <c r="A794" s="82"/>
      <c r="B794" s="82"/>
      <c r="C794" s="82"/>
      <c r="D794" s="83"/>
      <c r="E794" s="84"/>
      <c r="F794" s="84"/>
      <c r="G794" s="84"/>
      <c r="H794" s="82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7"/>
      <c r="AA794" s="87"/>
      <c r="AB794" s="87"/>
      <c r="AC794" s="87"/>
      <c r="AD794" s="87"/>
      <c r="AE794" s="87"/>
      <c r="AF794" s="87"/>
      <c r="AG794" s="87"/>
      <c r="AH794" s="87"/>
      <c r="AI794" s="87"/>
      <c r="AJ794" s="87"/>
      <c r="AK794" s="87"/>
      <c r="AL794" s="87"/>
      <c r="AM794" s="87"/>
      <c r="AN794" s="87"/>
      <c r="AO794" s="87"/>
      <c r="AP794" s="87"/>
      <c r="AQ794" s="87"/>
      <c r="AR794" s="87"/>
      <c r="AS794" s="87"/>
      <c r="AT794" s="87"/>
      <c r="AU794" s="87"/>
      <c r="AV794" s="87"/>
      <c r="AW794" s="87"/>
      <c r="AX794" s="87"/>
      <c r="AY794" s="87"/>
      <c r="AZ794" s="87"/>
      <c r="BA794" s="87"/>
      <c r="BB794" s="87"/>
      <c r="BC794" s="87"/>
      <c r="BD794" s="87"/>
      <c r="BE794" s="87"/>
      <c r="BF794" s="87"/>
      <c r="BG794" s="87"/>
      <c r="BH794" s="87"/>
    </row>
    <row r="795" spans="1:60" ht="16">
      <c r="A795" s="82"/>
      <c r="B795" s="82"/>
      <c r="C795" s="82"/>
      <c r="D795" s="83"/>
      <c r="E795" s="84"/>
      <c r="F795" s="84"/>
      <c r="G795" s="84"/>
      <c r="H795" s="82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7"/>
      <c r="AA795" s="87"/>
      <c r="AB795" s="87"/>
      <c r="AC795" s="87"/>
      <c r="AD795" s="87"/>
      <c r="AE795" s="87"/>
      <c r="AF795" s="87"/>
      <c r="AG795" s="87"/>
      <c r="AH795" s="87"/>
      <c r="AI795" s="87"/>
      <c r="AJ795" s="87"/>
      <c r="AK795" s="87"/>
      <c r="AL795" s="87"/>
      <c r="AM795" s="87"/>
      <c r="AN795" s="87"/>
      <c r="AO795" s="87"/>
      <c r="AP795" s="87"/>
      <c r="AQ795" s="87"/>
      <c r="AR795" s="87"/>
      <c r="AS795" s="87"/>
      <c r="AT795" s="87"/>
      <c r="AU795" s="87"/>
      <c r="AV795" s="87"/>
      <c r="AW795" s="87"/>
      <c r="AX795" s="87"/>
      <c r="AY795" s="87"/>
      <c r="AZ795" s="87"/>
      <c r="BA795" s="87"/>
      <c r="BB795" s="87"/>
      <c r="BC795" s="87"/>
      <c r="BD795" s="87"/>
      <c r="BE795" s="87"/>
      <c r="BF795" s="87"/>
      <c r="BG795" s="87"/>
      <c r="BH795" s="87"/>
    </row>
    <row r="796" spans="1:60" ht="16">
      <c r="A796" s="82"/>
      <c r="B796" s="82"/>
      <c r="C796" s="82"/>
      <c r="D796" s="83"/>
      <c r="E796" s="84"/>
      <c r="F796" s="84"/>
      <c r="G796" s="84"/>
      <c r="H796" s="82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7"/>
      <c r="AA796" s="87"/>
      <c r="AB796" s="87"/>
      <c r="AC796" s="87"/>
      <c r="AD796" s="87"/>
      <c r="AE796" s="87"/>
      <c r="AF796" s="87"/>
      <c r="AG796" s="87"/>
      <c r="AH796" s="87"/>
      <c r="AI796" s="87"/>
      <c r="AJ796" s="87"/>
      <c r="AK796" s="87"/>
      <c r="AL796" s="87"/>
      <c r="AM796" s="87"/>
      <c r="AN796" s="87"/>
      <c r="AO796" s="87"/>
      <c r="AP796" s="87"/>
      <c r="AQ796" s="87"/>
      <c r="AR796" s="87"/>
      <c r="AS796" s="87"/>
      <c r="AT796" s="87"/>
      <c r="AU796" s="87"/>
      <c r="AV796" s="87"/>
      <c r="AW796" s="87"/>
      <c r="AX796" s="87"/>
      <c r="AY796" s="87"/>
      <c r="AZ796" s="87"/>
      <c r="BA796" s="87"/>
      <c r="BB796" s="87"/>
      <c r="BC796" s="87"/>
      <c r="BD796" s="87"/>
      <c r="BE796" s="87"/>
      <c r="BF796" s="87"/>
      <c r="BG796" s="87"/>
      <c r="BH796" s="87"/>
    </row>
    <row r="797" spans="1:60" ht="16">
      <c r="A797" s="82"/>
      <c r="B797" s="82"/>
      <c r="C797" s="82"/>
      <c r="D797" s="83"/>
      <c r="E797" s="84"/>
      <c r="F797" s="84"/>
      <c r="G797" s="84"/>
      <c r="H797" s="82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7"/>
      <c r="AA797" s="87"/>
      <c r="AB797" s="87"/>
      <c r="AC797" s="87"/>
      <c r="AD797" s="87"/>
      <c r="AE797" s="87"/>
      <c r="AF797" s="87"/>
      <c r="AG797" s="87"/>
      <c r="AH797" s="87"/>
      <c r="AI797" s="87"/>
      <c r="AJ797" s="87"/>
      <c r="AK797" s="87"/>
      <c r="AL797" s="87"/>
      <c r="AM797" s="87"/>
      <c r="AN797" s="87"/>
      <c r="AO797" s="87"/>
      <c r="AP797" s="87"/>
      <c r="AQ797" s="87"/>
      <c r="AR797" s="87"/>
      <c r="AS797" s="87"/>
      <c r="AT797" s="87"/>
      <c r="AU797" s="87"/>
      <c r="AV797" s="87"/>
      <c r="AW797" s="87"/>
      <c r="AX797" s="87"/>
      <c r="AY797" s="87"/>
      <c r="AZ797" s="87"/>
      <c r="BA797" s="87"/>
      <c r="BB797" s="87"/>
      <c r="BC797" s="87"/>
      <c r="BD797" s="87"/>
      <c r="BE797" s="87"/>
      <c r="BF797" s="87"/>
      <c r="BG797" s="87"/>
      <c r="BH797" s="87"/>
    </row>
    <row r="798" spans="1:60" ht="16">
      <c r="A798" s="82"/>
      <c r="B798" s="82"/>
      <c r="C798" s="82"/>
      <c r="D798" s="83"/>
      <c r="E798" s="84"/>
      <c r="F798" s="84"/>
      <c r="G798" s="84"/>
      <c r="H798" s="82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7"/>
      <c r="AA798" s="87"/>
      <c r="AB798" s="87"/>
      <c r="AC798" s="87"/>
      <c r="AD798" s="87"/>
      <c r="AE798" s="87"/>
      <c r="AF798" s="87"/>
      <c r="AG798" s="87"/>
      <c r="AH798" s="87"/>
      <c r="AI798" s="87"/>
      <c r="AJ798" s="87"/>
      <c r="AK798" s="87"/>
      <c r="AL798" s="87"/>
      <c r="AM798" s="87"/>
      <c r="AN798" s="87"/>
      <c r="AO798" s="87"/>
      <c r="AP798" s="87"/>
      <c r="AQ798" s="87"/>
      <c r="AR798" s="87"/>
      <c r="AS798" s="87"/>
      <c r="AT798" s="87"/>
      <c r="AU798" s="87"/>
      <c r="AV798" s="87"/>
      <c r="AW798" s="87"/>
      <c r="AX798" s="87"/>
      <c r="AY798" s="87"/>
      <c r="AZ798" s="87"/>
      <c r="BA798" s="87"/>
      <c r="BB798" s="87"/>
      <c r="BC798" s="87"/>
      <c r="BD798" s="87"/>
      <c r="BE798" s="87"/>
      <c r="BF798" s="87"/>
      <c r="BG798" s="87"/>
      <c r="BH798" s="87"/>
    </row>
    <row r="799" spans="1:60" ht="16">
      <c r="A799" s="82"/>
      <c r="B799" s="82"/>
      <c r="C799" s="82"/>
      <c r="D799" s="83"/>
      <c r="E799" s="84"/>
      <c r="F799" s="84"/>
      <c r="G799" s="84"/>
      <c r="H799" s="82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7"/>
      <c r="AA799" s="87"/>
      <c r="AB799" s="87"/>
      <c r="AC799" s="87"/>
      <c r="AD799" s="87"/>
      <c r="AE799" s="87"/>
      <c r="AF799" s="87"/>
      <c r="AG799" s="87"/>
      <c r="AH799" s="87"/>
      <c r="AI799" s="87"/>
      <c r="AJ799" s="87"/>
      <c r="AK799" s="87"/>
      <c r="AL799" s="87"/>
      <c r="AM799" s="87"/>
      <c r="AN799" s="87"/>
      <c r="AO799" s="87"/>
      <c r="AP799" s="87"/>
      <c r="AQ799" s="87"/>
      <c r="AR799" s="87"/>
      <c r="AS799" s="87"/>
      <c r="AT799" s="87"/>
      <c r="AU799" s="87"/>
      <c r="AV799" s="87"/>
      <c r="AW799" s="87"/>
      <c r="AX799" s="87"/>
      <c r="AY799" s="87"/>
      <c r="AZ799" s="87"/>
      <c r="BA799" s="87"/>
      <c r="BB799" s="87"/>
      <c r="BC799" s="87"/>
      <c r="BD799" s="87"/>
      <c r="BE799" s="87"/>
      <c r="BF799" s="87"/>
      <c r="BG799" s="87"/>
      <c r="BH799" s="87"/>
    </row>
    <row r="800" spans="1:60" ht="16">
      <c r="A800" s="82"/>
      <c r="B800" s="82"/>
      <c r="C800" s="82"/>
      <c r="D800" s="83"/>
      <c r="E800" s="84"/>
      <c r="F800" s="84"/>
      <c r="G800" s="84"/>
      <c r="H800" s="82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7"/>
      <c r="AA800" s="87"/>
      <c r="AB800" s="87"/>
      <c r="AC800" s="87"/>
      <c r="AD800" s="87"/>
      <c r="AE800" s="87"/>
      <c r="AF800" s="87"/>
      <c r="AG800" s="87"/>
      <c r="AH800" s="87"/>
      <c r="AI800" s="87"/>
      <c r="AJ800" s="87"/>
      <c r="AK800" s="87"/>
      <c r="AL800" s="87"/>
      <c r="AM800" s="87"/>
      <c r="AN800" s="87"/>
      <c r="AO800" s="87"/>
      <c r="AP800" s="87"/>
      <c r="AQ800" s="87"/>
      <c r="AR800" s="87"/>
      <c r="AS800" s="87"/>
      <c r="AT800" s="87"/>
      <c r="AU800" s="87"/>
      <c r="AV800" s="87"/>
      <c r="AW800" s="87"/>
      <c r="AX800" s="87"/>
      <c r="AY800" s="87"/>
      <c r="AZ800" s="87"/>
      <c r="BA800" s="87"/>
      <c r="BB800" s="87"/>
      <c r="BC800" s="87"/>
      <c r="BD800" s="87"/>
      <c r="BE800" s="87"/>
      <c r="BF800" s="87"/>
      <c r="BG800" s="87"/>
      <c r="BH800" s="87"/>
    </row>
    <row r="801" spans="1:60" ht="16">
      <c r="A801" s="82"/>
      <c r="B801" s="82"/>
      <c r="C801" s="82"/>
      <c r="D801" s="83"/>
      <c r="E801" s="84"/>
      <c r="F801" s="84"/>
      <c r="G801" s="84"/>
      <c r="H801" s="82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7"/>
      <c r="AA801" s="87"/>
      <c r="AB801" s="87"/>
      <c r="AC801" s="87"/>
      <c r="AD801" s="87"/>
      <c r="AE801" s="87"/>
      <c r="AF801" s="87"/>
      <c r="AG801" s="87"/>
      <c r="AH801" s="87"/>
      <c r="AI801" s="87"/>
      <c r="AJ801" s="87"/>
      <c r="AK801" s="87"/>
      <c r="AL801" s="87"/>
      <c r="AM801" s="87"/>
      <c r="AN801" s="87"/>
      <c r="AO801" s="87"/>
      <c r="AP801" s="87"/>
      <c r="AQ801" s="87"/>
      <c r="AR801" s="87"/>
      <c r="AS801" s="87"/>
      <c r="AT801" s="87"/>
      <c r="AU801" s="87"/>
      <c r="AV801" s="87"/>
      <c r="AW801" s="87"/>
      <c r="AX801" s="87"/>
      <c r="AY801" s="87"/>
      <c r="AZ801" s="87"/>
      <c r="BA801" s="87"/>
      <c r="BB801" s="87"/>
      <c r="BC801" s="87"/>
      <c r="BD801" s="87"/>
      <c r="BE801" s="87"/>
      <c r="BF801" s="87"/>
      <c r="BG801" s="87"/>
      <c r="BH801" s="87"/>
    </row>
    <row r="802" spans="1:60" ht="16">
      <c r="A802" s="82"/>
      <c r="B802" s="82"/>
      <c r="C802" s="82"/>
      <c r="D802" s="83"/>
      <c r="E802" s="84"/>
      <c r="F802" s="84"/>
      <c r="G802" s="84"/>
      <c r="H802" s="82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7"/>
      <c r="AA802" s="87"/>
      <c r="AB802" s="87"/>
      <c r="AC802" s="87"/>
      <c r="AD802" s="87"/>
      <c r="AE802" s="87"/>
      <c r="AF802" s="87"/>
      <c r="AG802" s="87"/>
      <c r="AH802" s="87"/>
      <c r="AI802" s="87"/>
      <c r="AJ802" s="87"/>
      <c r="AK802" s="87"/>
      <c r="AL802" s="87"/>
      <c r="AM802" s="87"/>
      <c r="AN802" s="87"/>
      <c r="AO802" s="87"/>
      <c r="AP802" s="87"/>
      <c r="AQ802" s="87"/>
      <c r="AR802" s="87"/>
      <c r="AS802" s="87"/>
      <c r="AT802" s="87"/>
      <c r="AU802" s="87"/>
      <c r="AV802" s="87"/>
      <c r="AW802" s="87"/>
      <c r="AX802" s="87"/>
      <c r="AY802" s="87"/>
      <c r="AZ802" s="87"/>
      <c r="BA802" s="87"/>
      <c r="BB802" s="87"/>
      <c r="BC802" s="87"/>
      <c r="BD802" s="87"/>
      <c r="BE802" s="87"/>
      <c r="BF802" s="87"/>
      <c r="BG802" s="87"/>
      <c r="BH802" s="87"/>
    </row>
    <row r="803" spans="1:60" ht="16">
      <c r="A803" s="82"/>
      <c r="B803" s="82"/>
      <c r="C803" s="82"/>
      <c r="D803" s="83"/>
      <c r="E803" s="84"/>
      <c r="F803" s="84"/>
      <c r="G803" s="84"/>
      <c r="H803" s="82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7"/>
      <c r="AA803" s="87"/>
      <c r="AB803" s="87"/>
      <c r="AC803" s="87"/>
      <c r="AD803" s="87"/>
      <c r="AE803" s="87"/>
      <c r="AF803" s="87"/>
      <c r="AG803" s="87"/>
      <c r="AH803" s="87"/>
      <c r="AI803" s="87"/>
      <c r="AJ803" s="87"/>
      <c r="AK803" s="87"/>
      <c r="AL803" s="87"/>
      <c r="AM803" s="87"/>
      <c r="AN803" s="87"/>
      <c r="AO803" s="87"/>
      <c r="AP803" s="87"/>
      <c r="AQ803" s="87"/>
      <c r="AR803" s="87"/>
      <c r="AS803" s="87"/>
      <c r="AT803" s="87"/>
      <c r="AU803" s="87"/>
      <c r="AV803" s="87"/>
      <c r="AW803" s="87"/>
      <c r="AX803" s="87"/>
      <c r="AY803" s="87"/>
      <c r="AZ803" s="87"/>
      <c r="BA803" s="87"/>
      <c r="BB803" s="87"/>
      <c r="BC803" s="87"/>
      <c r="BD803" s="87"/>
      <c r="BE803" s="87"/>
      <c r="BF803" s="87"/>
      <c r="BG803" s="87"/>
      <c r="BH803" s="87"/>
    </row>
    <row r="804" spans="1:60" ht="16">
      <c r="A804" s="82"/>
      <c r="B804" s="82"/>
      <c r="C804" s="82"/>
      <c r="D804" s="83"/>
      <c r="E804" s="84"/>
      <c r="F804" s="84"/>
      <c r="G804" s="84"/>
      <c r="H804" s="82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7"/>
      <c r="AA804" s="87"/>
      <c r="AB804" s="87"/>
      <c r="AC804" s="87"/>
      <c r="AD804" s="87"/>
      <c r="AE804" s="87"/>
      <c r="AF804" s="87"/>
      <c r="AG804" s="87"/>
      <c r="AH804" s="87"/>
      <c r="AI804" s="87"/>
      <c r="AJ804" s="87"/>
      <c r="AK804" s="87"/>
      <c r="AL804" s="87"/>
      <c r="AM804" s="87"/>
      <c r="AN804" s="87"/>
      <c r="AO804" s="87"/>
      <c r="AP804" s="87"/>
      <c r="AQ804" s="87"/>
      <c r="AR804" s="87"/>
      <c r="AS804" s="87"/>
      <c r="AT804" s="87"/>
      <c r="AU804" s="87"/>
      <c r="AV804" s="87"/>
      <c r="AW804" s="87"/>
      <c r="AX804" s="87"/>
      <c r="AY804" s="87"/>
      <c r="AZ804" s="87"/>
      <c r="BA804" s="87"/>
      <c r="BB804" s="87"/>
      <c r="BC804" s="87"/>
      <c r="BD804" s="87"/>
      <c r="BE804" s="87"/>
      <c r="BF804" s="87"/>
      <c r="BG804" s="87"/>
      <c r="BH804" s="87"/>
    </row>
    <row r="805" spans="1:60" ht="16">
      <c r="A805" s="82"/>
      <c r="B805" s="82"/>
      <c r="C805" s="82"/>
      <c r="D805" s="83"/>
      <c r="E805" s="84"/>
      <c r="F805" s="84"/>
      <c r="G805" s="84"/>
      <c r="H805" s="82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7"/>
      <c r="AA805" s="87"/>
      <c r="AB805" s="87"/>
      <c r="AC805" s="87"/>
      <c r="AD805" s="87"/>
      <c r="AE805" s="87"/>
      <c r="AF805" s="87"/>
      <c r="AG805" s="87"/>
      <c r="AH805" s="87"/>
      <c r="AI805" s="87"/>
      <c r="AJ805" s="87"/>
      <c r="AK805" s="87"/>
      <c r="AL805" s="87"/>
      <c r="AM805" s="87"/>
      <c r="AN805" s="87"/>
      <c r="AO805" s="87"/>
      <c r="AP805" s="87"/>
      <c r="AQ805" s="87"/>
      <c r="AR805" s="87"/>
      <c r="AS805" s="87"/>
      <c r="AT805" s="87"/>
      <c r="AU805" s="87"/>
      <c r="AV805" s="87"/>
      <c r="AW805" s="87"/>
      <c r="AX805" s="87"/>
      <c r="AY805" s="87"/>
      <c r="AZ805" s="87"/>
      <c r="BA805" s="87"/>
      <c r="BB805" s="87"/>
      <c r="BC805" s="87"/>
      <c r="BD805" s="87"/>
      <c r="BE805" s="87"/>
      <c r="BF805" s="87"/>
      <c r="BG805" s="87"/>
      <c r="BH805" s="87"/>
    </row>
    <row r="806" spans="1:60" ht="16">
      <c r="A806" s="82"/>
      <c r="B806" s="82"/>
      <c r="C806" s="82"/>
      <c r="D806" s="83"/>
      <c r="E806" s="84"/>
      <c r="F806" s="84"/>
      <c r="G806" s="84"/>
      <c r="H806" s="82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7"/>
      <c r="AA806" s="87"/>
      <c r="AB806" s="87"/>
      <c r="AC806" s="87"/>
      <c r="AD806" s="87"/>
      <c r="AE806" s="87"/>
      <c r="AF806" s="87"/>
      <c r="AG806" s="87"/>
      <c r="AH806" s="87"/>
      <c r="AI806" s="87"/>
      <c r="AJ806" s="87"/>
      <c r="AK806" s="87"/>
      <c r="AL806" s="87"/>
      <c r="AM806" s="87"/>
      <c r="AN806" s="87"/>
      <c r="AO806" s="87"/>
      <c r="AP806" s="87"/>
      <c r="AQ806" s="87"/>
      <c r="AR806" s="87"/>
      <c r="AS806" s="87"/>
      <c r="AT806" s="87"/>
      <c r="AU806" s="87"/>
      <c r="AV806" s="87"/>
      <c r="AW806" s="87"/>
      <c r="AX806" s="87"/>
      <c r="AY806" s="87"/>
      <c r="AZ806" s="87"/>
      <c r="BA806" s="87"/>
      <c r="BB806" s="87"/>
      <c r="BC806" s="87"/>
      <c r="BD806" s="87"/>
      <c r="BE806" s="87"/>
      <c r="BF806" s="87"/>
      <c r="BG806" s="87"/>
      <c r="BH806" s="87"/>
    </row>
    <row r="807" spans="1:60" ht="16">
      <c r="A807" s="82"/>
      <c r="B807" s="82"/>
      <c r="C807" s="82"/>
      <c r="D807" s="83"/>
      <c r="E807" s="84"/>
      <c r="F807" s="84"/>
      <c r="G807" s="84"/>
      <c r="H807" s="82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7"/>
      <c r="AA807" s="87"/>
      <c r="AB807" s="87"/>
      <c r="AC807" s="87"/>
      <c r="AD807" s="87"/>
      <c r="AE807" s="87"/>
      <c r="AF807" s="87"/>
      <c r="AG807" s="87"/>
      <c r="AH807" s="87"/>
      <c r="AI807" s="87"/>
      <c r="AJ807" s="87"/>
      <c r="AK807" s="87"/>
      <c r="AL807" s="87"/>
      <c r="AM807" s="87"/>
      <c r="AN807" s="87"/>
      <c r="AO807" s="87"/>
      <c r="AP807" s="87"/>
      <c r="AQ807" s="87"/>
      <c r="AR807" s="87"/>
      <c r="AS807" s="87"/>
      <c r="AT807" s="87"/>
      <c r="AU807" s="87"/>
      <c r="AV807" s="87"/>
      <c r="AW807" s="87"/>
      <c r="AX807" s="87"/>
      <c r="AY807" s="87"/>
      <c r="AZ807" s="87"/>
      <c r="BA807" s="87"/>
      <c r="BB807" s="87"/>
      <c r="BC807" s="87"/>
      <c r="BD807" s="87"/>
      <c r="BE807" s="87"/>
      <c r="BF807" s="87"/>
      <c r="BG807" s="87"/>
      <c r="BH807" s="87"/>
    </row>
    <row r="808" spans="1:60" ht="16">
      <c r="A808" s="82"/>
      <c r="B808" s="82"/>
      <c r="C808" s="82"/>
      <c r="D808" s="83"/>
      <c r="E808" s="84"/>
      <c r="F808" s="84"/>
      <c r="G808" s="84"/>
      <c r="H808" s="82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7"/>
      <c r="AA808" s="87"/>
      <c r="AB808" s="87"/>
      <c r="AC808" s="87"/>
      <c r="AD808" s="87"/>
      <c r="AE808" s="87"/>
      <c r="AF808" s="87"/>
      <c r="AG808" s="87"/>
      <c r="AH808" s="87"/>
      <c r="AI808" s="87"/>
      <c r="AJ808" s="87"/>
      <c r="AK808" s="87"/>
      <c r="AL808" s="87"/>
      <c r="AM808" s="87"/>
      <c r="AN808" s="87"/>
      <c r="AO808" s="87"/>
      <c r="AP808" s="87"/>
      <c r="AQ808" s="87"/>
      <c r="AR808" s="87"/>
      <c r="AS808" s="87"/>
      <c r="AT808" s="87"/>
      <c r="AU808" s="87"/>
      <c r="AV808" s="87"/>
      <c r="AW808" s="87"/>
      <c r="AX808" s="87"/>
      <c r="AY808" s="87"/>
      <c r="AZ808" s="87"/>
      <c r="BA808" s="87"/>
      <c r="BB808" s="87"/>
      <c r="BC808" s="87"/>
      <c r="BD808" s="87"/>
      <c r="BE808" s="87"/>
      <c r="BF808" s="87"/>
      <c r="BG808" s="87"/>
      <c r="BH808" s="87"/>
    </row>
    <row r="809" spans="1:60" ht="16">
      <c r="A809" s="82"/>
      <c r="B809" s="82"/>
      <c r="C809" s="82"/>
      <c r="D809" s="83"/>
      <c r="E809" s="84"/>
      <c r="F809" s="84"/>
      <c r="G809" s="84"/>
      <c r="H809" s="82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7"/>
      <c r="AA809" s="87"/>
      <c r="AB809" s="87"/>
      <c r="AC809" s="87"/>
      <c r="AD809" s="87"/>
      <c r="AE809" s="87"/>
      <c r="AF809" s="87"/>
      <c r="AG809" s="87"/>
      <c r="AH809" s="87"/>
      <c r="AI809" s="87"/>
      <c r="AJ809" s="87"/>
      <c r="AK809" s="87"/>
      <c r="AL809" s="87"/>
      <c r="AM809" s="87"/>
      <c r="AN809" s="87"/>
      <c r="AO809" s="87"/>
      <c r="AP809" s="87"/>
      <c r="AQ809" s="87"/>
      <c r="AR809" s="87"/>
      <c r="AS809" s="87"/>
      <c r="AT809" s="87"/>
      <c r="AU809" s="87"/>
      <c r="AV809" s="87"/>
      <c r="AW809" s="87"/>
      <c r="AX809" s="87"/>
      <c r="AY809" s="87"/>
      <c r="AZ809" s="87"/>
      <c r="BA809" s="87"/>
      <c r="BB809" s="87"/>
      <c r="BC809" s="87"/>
      <c r="BD809" s="87"/>
      <c r="BE809" s="87"/>
      <c r="BF809" s="87"/>
      <c r="BG809" s="87"/>
      <c r="BH809" s="87"/>
    </row>
    <row r="810" spans="1:60" ht="16">
      <c r="A810" s="82"/>
      <c r="B810" s="82"/>
      <c r="C810" s="82"/>
      <c r="D810" s="83"/>
      <c r="E810" s="84"/>
      <c r="F810" s="84"/>
      <c r="G810" s="84"/>
      <c r="H810" s="82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7"/>
      <c r="AA810" s="87"/>
      <c r="AB810" s="87"/>
      <c r="AC810" s="87"/>
      <c r="AD810" s="87"/>
      <c r="AE810" s="87"/>
      <c r="AF810" s="87"/>
      <c r="AG810" s="87"/>
      <c r="AH810" s="87"/>
      <c r="AI810" s="87"/>
      <c r="AJ810" s="87"/>
      <c r="AK810" s="87"/>
      <c r="AL810" s="87"/>
      <c r="AM810" s="87"/>
      <c r="AN810" s="87"/>
      <c r="AO810" s="87"/>
      <c r="AP810" s="87"/>
      <c r="AQ810" s="87"/>
      <c r="AR810" s="87"/>
      <c r="AS810" s="87"/>
      <c r="AT810" s="87"/>
      <c r="AU810" s="87"/>
      <c r="AV810" s="87"/>
      <c r="AW810" s="87"/>
      <c r="AX810" s="87"/>
      <c r="AY810" s="87"/>
      <c r="AZ810" s="87"/>
      <c r="BA810" s="87"/>
      <c r="BB810" s="87"/>
      <c r="BC810" s="87"/>
      <c r="BD810" s="87"/>
      <c r="BE810" s="87"/>
      <c r="BF810" s="87"/>
      <c r="BG810" s="87"/>
      <c r="BH810" s="87"/>
    </row>
    <row r="811" spans="1:60" ht="16">
      <c r="A811" s="82"/>
      <c r="B811" s="82"/>
      <c r="C811" s="82"/>
      <c r="D811" s="83"/>
      <c r="E811" s="84"/>
      <c r="F811" s="84"/>
      <c r="G811" s="84"/>
      <c r="H811" s="82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7"/>
      <c r="AA811" s="87"/>
      <c r="AB811" s="87"/>
      <c r="AC811" s="87"/>
      <c r="AD811" s="87"/>
      <c r="AE811" s="87"/>
      <c r="AF811" s="87"/>
      <c r="AG811" s="87"/>
      <c r="AH811" s="87"/>
      <c r="AI811" s="87"/>
      <c r="AJ811" s="87"/>
      <c r="AK811" s="87"/>
      <c r="AL811" s="87"/>
      <c r="AM811" s="87"/>
      <c r="AN811" s="87"/>
      <c r="AO811" s="87"/>
      <c r="AP811" s="87"/>
      <c r="AQ811" s="87"/>
      <c r="AR811" s="87"/>
      <c r="AS811" s="87"/>
      <c r="AT811" s="87"/>
      <c r="AU811" s="87"/>
      <c r="AV811" s="87"/>
      <c r="AW811" s="87"/>
      <c r="AX811" s="87"/>
      <c r="AY811" s="87"/>
      <c r="AZ811" s="87"/>
      <c r="BA811" s="87"/>
      <c r="BB811" s="87"/>
      <c r="BC811" s="87"/>
      <c r="BD811" s="87"/>
      <c r="BE811" s="87"/>
      <c r="BF811" s="87"/>
      <c r="BG811" s="87"/>
      <c r="BH811" s="87"/>
    </row>
    <row r="812" spans="1:60" ht="16">
      <c r="A812" s="82"/>
      <c r="B812" s="82"/>
      <c r="C812" s="82"/>
      <c r="D812" s="83"/>
      <c r="E812" s="84"/>
      <c r="F812" s="84"/>
      <c r="G812" s="84"/>
      <c r="H812" s="82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7"/>
      <c r="AA812" s="87"/>
      <c r="AB812" s="87"/>
      <c r="AC812" s="87"/>
      <c r="AD812" s="87"/>
      <c r="AE812" s="87"/>
      <c r="AF812" s="87"/>
      <c r="AG812" s="87"/>
      <c r="AH812" s="87"/>
      <c r="AI812" s="87"/>
      <c r="AJ812" s="87"/>
      <c r="AK812" s="87"/>
      <c r="AL812" s="87"/>
      <c r="AM812" s="87"/>
      <c r="AN812" s="87"/>
      <c r="AO812" s="87"/>
      <c r="AP812" s="87"/>
      <c r="AQ812" s="87"/>
      <c r="AR812" s="87"/>
      <c r="AS812" s="87"/>
      <c r="AT812" s="87"/>
      <c r="AU812" s="87"/>
      <c r="AV812" s="87"/>
      <c r="AW812" s="87"/>
      <c r="AX812" s="87"/>
      <c r="AY812" s="87"/>
      <c r="AZ812" s="87"/>
      <c r="BA812" s="87"/>
      <c r="BB812" s="87"/>
      <c r="BC812" s="87"/>
      <c r="BD812" s="87"/>
      <c r="BE812" s="87"/>
      <c r="BF812" s="87"/>
      <c r="BG812" s="87"/>
      <c r="BH812" s="87"/>
    </row>
    <row r="813" spans="1:60" ht="16">
      <c r="A813" s="82"/>
      <c r="B813" s="82"/>
      <c r="C813" s="82"/>
      <c r="D813" s="83"/>
      <c r="E813" s="84"/>
      <c r="F813" s="84"/>
      <c r="G813" s="84"/>
      <c r="H813" s="82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7"/>
      <c r="AA813" s="87"/>
      <c r="AB813" s="87"/>
      <c r="AC813" s="87"/>
      <c r="AD813" s="87"/>
      <c r="AE813" s="87"/>
      <c r="AF813" s="87"/>
      <c r="AG813" s="87"/>
      <c r="AH813" s="87"/>
      <c r="AI813" s="87"/>
      <c r="AJ813" s="87"/>
      <c r="AK813" s="87"/>
      <c r="AL813" s="87"/>
      <c r="AM813" s="87"/>
      <c r="AN813" s="87"/>
      <c r="AO813" s="87"/>
      <c r="AP813" s="87"/>
      <c r="AQ813" s="87"/>
      <c r="AR813" s="87"/>
      <c r="AS813" s="87"/>
      <c r="AT813" s="87"/>
      <c r="AU813" s="87"/>
      <c r="AV813" s="87"/>
      <c r="AW813" s="87"/>
      <c r="AX813" s="87"/>
      <c r="AY813" s="87"/>
      <c r="AZ813" s="87"/>
      <c r="BA813" s="87"/>
      <c r="BB813" s="87"/>
      <c r="BC813" s="87"/>
      <c r="BD813" s="87"/>
      <c r="BE813" s="87"/>
      <c r="BF813" s="87"/>
      <c r="BG813" s="87"/>
      <c r="BH813" s="87"/>
    </row>
    <row r="814" spans="1:60" ht="16">
      <c r="A814" s="82"/>
      <c r="B814" s="82"/>
      <c r="C814" s="82"/>
      <c r="D814" s="83"/>
      <c r="E814" s="84"/>
      <c r="F814" s="84"/>
      <c r="G814" s="84"/>
      <c r="H814" s="82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7"/>
      <c r="AA814" s="87"/>
      <c r="AB814" s="87"/>
      <c r="AC814" s="87"/>
      <c r="AD814" s="87"/>
      <c r="AE814" s="87"/>
      <c r="AF814" s="87"/>
      <c r="AG814" s="87"/>
      <c r="AH814" s="87"/>
      <c r="AI814" s="87"/>
      <c r="AJ814" s="87"/>
      <c r="AK814" s="87"/>
      <c r="AL814" s="87"/>
      <c r="AM814" s="87"/>
      <c r="AN814" s="87"/>
      <c r="AO814" s="87"/>
      <c r="AP814" s="87"/>
      <c r="AQ814" s="87"/>
      <c r="AR814" s="87"/>
      <c r="AS814" s="87"/>
      <c r="AT814" s="87"/>
      <c r="AU814" s="87"/>
      <c r="AV814" s="87"/>
      <c r="AW814" s="87"/>
      <c r="AX814" s="87"/>
      <c r="AY814" s="87"/>
      <c r="AZ814" s="87"/>
      <c r="BA814" s="87"/>
      <c r="BB814" s="87"/>
      <c r="BC814" s="87"/>
      <c r="BD814" s="87"/>
      <c r="BE814" s="87"/>
      <c r="BF814" s="87"/>
      <c r="BG814" s="87"/>
      <c r="BH814" s="87"/>
    </row>
    <row r="815" spans="1:60" ht="16">
      <c r="A815" s="82"/>
      <c r="B815" s="82"/>
      <c r="C815" s="82"/>
      <c r="D815" s="83"/>
      <c r="E815" s="84"/>
      <c r="F815" s="84"/>
      <c r="G815" s="84"/>
      <c r="H815" s="82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7"/>
      <c r="AA815" s="87"/>
      <c r="AB815" s="87"/>
      <c r="AC815" s="87"/>
      <c r="AD815" s="87"/>
      <c r="AE815" s="87"/>
      <c r="AF815" s="87"/>
      <c r="AG815" s="87"/>
      <c r="AH815" s="87"/>
      <c r="AI815" s="87"/>
      <c r="AJ815" s="87"/>
      <c r="AK815" s="87"/>
      <c r="AL815" s="87"/>
      <c r="AM815" s="87"/>
      <c r="AN815" s="87"/>
      <c r="AO815" s="87"/>
      <c r="AP815" s="87"/>
      <c r="AQ815" s="87"/>
      <c r="AR815" s="87"/>
      <c r="AS815" s="87"/>
      <c r="AT815" s="87"/>
      <c r="AU815" s="87"/>
      <c r="AV815" s="87"/>
      <c r="AW815" s="87"/>
      <c r="AX815" s="87"/>
      <c r="AY815" s="87"/>
      <c r="AZ815" s="87"/>
      <c r="BA815" s="87"/>
      <c r="BB815" s="87"/>
      <c r="BC815" s="87"/>
      <c r="BD815" s="87"/>
      <c r="BE815" s="87"/>
      <c r="BF815" s="87"/>
      <c r="BG815" s="87"/>
      <c r="BH815" s="87"/>
    </row>
    <row r="816" spans="1:60" ht="16">
      <c r="A816" s="82"/>
      <c r="B816" s="82"/>
      <c r="C816" s="82"/>
      <c r="D816" s="83"/>
      <c r="E816" s="84"/>
      <c r="F816" s="84"/>
      <c r="G816" s="84"/>
      <c r="H816" s="82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7"/>
      <c r="AA816" s="87"/>
      <c r="AB816" s="87"/>
      <c r="AC816" s="87"/>
      <c r="AD816" s="87"/>
      <c r="AE816" s="87"/>
      <c r="AF816" s="87"/>
      <c r="AG816" s="87"/>
      <c r="AH816" s="87"/>
      <c r="AI816" s="87"/>
      <c r="AJ816" s="87"/>
      <c r="AK816" s="87"/>
      <c r="AL816" s="87"/>
      <c r="AM816" s="87"/>
      <c r="AN816" s="87"/>
      <c r="AO816" s="87"/>
      <c r="AP816" s="87"/>
      <c r="AQ816" s="87"/>
      <c r="AR816" s="87"/>
      <c r="AS816" s="87"/>
      <c r="AT816" s="87"/>
      <c r="AU816" s="87"/>
      <c r="AV816" s="87"/>
      <c r="AW816" s="87"/>
      <c r="AX816" s="87"/>
      <c r="AY816" s="87"/>
      <c r="AZ816" s="87"/>
      <c r="BA816" s="87"/>
      <c r="BB816" s="87"/>
      <c r="BC816" s="87"/>
      <c r="BD816" s="87"/>
      <c r="BE816" s="87"/>
      <c r="BF816" s="87"/>
      <c r="BG816" s="87"/>
      <c r="BH816" s="87"/>
    </row>
    <row r="817" spans="1:60" ht="16">
      <c r="A817" s="82"/>
      <c r="B817" s="82"/>
      <c r="C817" s="82"/>
      <c r="D817" s="83"/>
      <c r="E817" s="84"/>
      <c r="F817" s="84"/>
      <c r="G817" s="84"/>
      <c r="H817" s="82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7"/>
      <c r="AA817" s="87"/>
      <c r="AB817" s="87"/>
      <c r="AC817" s="87"/>
      <c r="AD817" s="87"/>
      <c r="AE817" s="87"/>
      <c r="AF817" s="87"/>
      <c r="AG817" s="87"/>
      <c r="AH817" s="87"/>
      <c r="AI817" s="87"/>
      <c r="AJ817" s="87"/>
      <c r="AK817" s="87"/>
      <c r="AL817" s="87"/>
      <c r="AM817" s="87"/>
      <c r="AN817" s="87"/>
      <c r="AO817" s="87"/>
      <c r="AP817" s="87"/>
      <c r="AQ817" s="87"/>
      <c r="AR817" s="87"/>
      <c r="AS817" s="87"/>
      <c r="AT817" s="87"/>
      <c r="AU817" s="87"/>
      <c r="AV817" s="87"/>
      <c r="AW817" s="87"/>
      <c r="AX817" s="87"/>
      <c r="AY817" s="87"/>
      <c r="AZ817" s="87"/>
      <c r="BA817" s="87"/>
      <c r="BB817" s="87"/>
      <c r="BC817" s="87"/>
      <c r="BD817" s="87"/>
      <c r="BE817" s="87"/>
      <c r="BF817" s="87"/>
      <c r="BG817" s="87"/>
      <c r="BH817" s="87"/>
    </row>
    <row r="818" spans="1:60" ht="16">
      <c r="A818" s="82"/>
      <c r="B818" s="82"/>
      <c r="C818" s="82"/>
      <c r="D818" s="83"/>
      <c r="E818" s="84"/>
      <c r="F818" s="84"/>
      <c r="G818" s="84"/>
      <c r="H818" s="82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7"/>
      <c r="AA818" s="87"/>
      <c r="AB818" s="87"/>
      <c r="AC818" s="87"/>
      <c r="AD818" s="87"/>
      <c r="AE818" s="87"/>
      <c r="AF818" s="87"/>
      <c r="AG818" s="87"/>
      <c r="AH818" s="87"/>
      <c r="AI818" s="87"/>
      <c r="AJ818" s="87"/>
      <c r="AK818" s="87"/>
      <c r="AL818" s="87"/>
      <c r="AM818" s="87"/>
      <c r="AN818" s="87"/>
      <c r="AO818" s="87"/>
      <c r="AP818" s="87"/>
      <c r="AQ818" s="87"/>
      <c r="AR818" s="87"/>
      <c r="AS818" s="87"/>
      <c r="AT818" s="87"/>
      <c r="AU818" s="87"/>
      <c r="AV818" s="87"/>
      <c r="AW818" s="87"/>
      <c r="AX818" s="87"/>
      <c r="AY818" s="87"/>
      <c r="AZ818" s="87"/>
      <c r="BA818" s="87"/>
      <c r="BB818" s="87"/>
      <c r="BC818" s="87"/>
      <c r="BD818" s="87"/>
      <c r="BE818" s="87"/>
      <c r="BF818" s="87"/>
      <c r="BG818" s="87"/>
      <c r="BH818" s="87"/>
    </row>
    <row r="819" spans="1:60" ht="16">
      <c r="A819" s="82"/>
      <c r="B819" s="82"/>
      <c r="C819" s="82"/>
      <c r="D819" s="83"/>
      <c r="E819" s="84"/>
      <c r="F819" s="84"/>
      <c r="G819" s="84"/>
      <c r="H819" s="82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7"/>
      <c r="AA819" s="87"/>
      <c r="AB819" s="87"/>
      <c r="AC819" s="87"/>
      <c r="AD819" s="87"/>
      <c r="AE819" s="87"/>
      <c r="AF819" s="87"/>
      <c r="AG819" s="87"/>
      <c r="AH819" s="87"/>
      <c r="AI819" s="87"/>
      <c r="AJ819" s="87"/>
      <c r="AK819" s="87"/>
      <c r="AL819" s="87"/>
      <c r="AM819" s="87"/>
      <c r="AN819" s="87"/>
      <c r="AO819" s="87"/>
      <c r="AP819" s="87"/>
      <c r="AQ819" s="87"/>
      <c r="AR819" s="87"/>
      <c r="AS819" s="87"/>
      <c r="AT819" s="87"/>
      <c r="AU819" s="87"/>
      <c r="AV819" s="87"/>
      <c r="AW819" s="87"/>
      <c r="AX819" s="87"/>
      <c r="AY819" s="87"/>
      <c r="AZ819" s="87"/>
      <c r="BA819" s="87"/>
      <c r="BB819" s="87"/>
      <c r="BC819" s="87"/>
      <c r="BD819" s="87"/>
      <c r="BE819" s="87"/>
      <c r="BF819" s="87"/>
      <c r="BG819" s="87"/>
      <c r="BH819" s="87"/>
    </row>
    <row r="820" spans="1:60" ht="16">
      <c r="A820" s="82"/>
      <c r="B820" s="82"/>
      <c r="C820" s="82"/>
      <c r="D820" s="83"/>
      <c r="E820" s="84"/>
      <c r="F820" s="84"/>
      <c r="G820" s="84"/>
      <c r="H820" s="82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7"/>
      <c r="AA820" s="87"/>
      <c r="AB820" s="87"/>
      <c r="AC820" s="87"/>
      <c r="AD820" s="87"/>
      <c r="AE820" s="87"/>
      <c r="AF820" s="87"/>
      <c r="AG820" s="87"/>
      <c r="AH820" s="87"/>
      <c r="AI820" s="87"/>
      <c r="AJ820" s="87"/>
      <c r="AK820" s="87"/>
      <c r="AL820" s="87"/>
      <c r="AM820" s="87"/>
      <c r="AN820" s="87"/>
      <c r="AO820" s="87"/>
      <c r="AP820" s="87"/>
      <c r="AQ820" s="87"/>
      <c r="AR820" s="87"/>
      <c r="AS820" s="87"/>
      <c r="AT820" s="87"/>
      <c r="AU820" s="87"/>
      <c r="AV820" s="87"/>
      <c r="AW820" s="87"/>
      <c r="AX820" s="87"/>
      <c r="AY820" s="87"/>
      <c r="AZ820" s="87"/>
      <c r="BA820" s="87"/>
      <c r="BB820" s="87"/>
      <c r="BC820" s="87"/>
      <c r="BD820" s="87"/>
      <c r="BE820" s="87"/>
      <c r="BF820" s="87"/>
      <c r="BG820" s="87"/>
      <c r="BH820" s="87"/>
    </row>
    <row r="821" spans="1:60" ht="16">
      <c r="A821" s="82"/>
      <c r="B821" s="82"/>
      <c r="C821" s="82"/>
      <c r="D821" s="83"/>
      <c r="E821" s="84"/>
      <c r="F821" s="84"/>
      <c r="G821" s="84"/>
      <c r="H821" s="82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7"/>
      <c r="AA821" s="87"/>
      <c r="AB821" s="87"/>
      <c r="AC821" s="87"/>
      <c r="AD821" s="87"/>
      <c r="AE821" s="87"/>
      <c r="AF821" s="87"/>
      <c r="AG821" s="87"/>
      <c r="AH821" s="87"/>
      <c r="AI821" s="87"/>
      <c r="AJ821" s="87"/>
      <c r="AK821" s="87"/>
      <c r="AL821" s="87"/>
      <c r="AM821" s="87"/>
      <c r="AN821" s="87"/>
      <c r="AO821" s="87"/>
      <c r="AP821" s="87"/>
      <c r="AQ821" s="87"/>
      <c r="AR821" s="87"/>
      <c r="AS821" s="87"/>
      <c r="AT821" s="87"/>
      <c r="AU821" s="87"/>
      <c r="AV821" s="87"/>
      <c r="AW821" s="87"/>
      <c r="AX821" s="87"/>
      <c r="AY821" s="87"/>
      <c r="AZ821" s="87"/>
      <c r="BA821" s="87"/>
      <c r="BB821" s="87"/>
      <c r="BC821" s="87"/>
      <c r="BD821" s="87"/>
      <c r="BE821" s="87"/>
      <c r="BF821" s="87"/>
      <c r="BG821" s="87"/>
      <c r="BH821" s="87"/>
    </row>
    <row r="822" spans="1:60" ht="16">
      <c r="A822" s="82"/>
      <c r="B822" s="82"/>
      <c r="C822" s="82"/>
      <c r="D822" s="83"/>
      <c r="E822" s="84"/>
      <c r="F822" s="84"/>
      <c r="G822" s="84"/>
      <c r="H822" s="82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7"/>
      <c r="AA822" s="87"/>
      <c r="AB822" s="87"/>
      <c r="AC822" s="87"/>
      <c r="AD822" s="87"/>
      <c r="AE822" s="87"/>
      <c r="AF822" s="87"/>
      <c r="AG822" s="87"/>
      <c r="AH822" s="87"/>
      <c r="AI822" s="87"/>
      <c r="AJ822" s="87"/>
      <c r="AK822" s="87"/>
      <c r="AL822" s="87"/>
      <c r="AM822" s="87"/>
      <c r="AN822" s="87"/>
      <c r="AO822" s="87"/>
      <c r="AP822" s="87"/>
      <c r="AQ822" s="87"/>
      <c r="AR822" s="87"/>
      <c r="AS822" s="87"/>
      <c r="AT822" s="87"/>
      <c r="AU822" s="87"/>
      <c r="AV822" s="87"/>
      <c r="AW822" s="87"/>
      <c r="AX822" s="87"/>
      <c r="AY822" s="87"/>
      <c r="AZ822" s="87"/>
      <c r="BA822" s="87"/>
      <c r="BB822" s="87"/>
      <c r="BC822" s="87"/>
      <c r="BD822" s="87"/>
      <c r="BE822" s="87"/>
      <c r="BF822" s="87"/>
      <c r="BG822" s="87"/>
      <c r="BH822" s="87"/>
    </row>
    <row r="823" spans="1:60" ht="16">
      <c r="A823" s="82"/>
      <c r="B823" s="82"/>
      <c r="C823" s="82"/>
      <c r="D823" s="83"/>
      <c r="E823" s="84"/>
      <c r="F823" s="84"/>
      <c r="G823" s="84"/>
      <c r="H823" s="82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7"/>
      <c r="AA823" s="87"/>
      <c r="AB823" s="87"/>
      <c r="AC823" s="87"/>
      <c r="AD823" s="87"/>
      <c r="AE823" s="87"/>
      <c r="AF823" s="87"/>
      <c r="AG823" s="87"/>
      <c r="AH823" s="87"/>
      <c r="AI823" s="87"/>
      <c r="AJ823" s="87"/>
      <c r="AK823" s="87"/>
      <c r="AL823" s="87"/>
      <c r="AM823" s="87"/>
      <c r="AN823" s="87"/>
      <c r="AO823" s="87"/>
      <c r="AP823" s="87"/>
      <c r="AQ823" s="87"/>
      <c r="AR823" s="87"/>
      <c r="AS823" s="87"/>
      <c r="AT823" s="87"/>
      <c r="AU823" s="87"/>
      <c r="AV823" s="87"/>
      <c r="AW823" s="87"/>
      <c r="AX823" s="87"/>
      <c r="AY823" s="87"/>
      <c r="AZ823" s="87"/>
      <c r="BA823" s="87"/>
      <c r="BB823" s="87"/>
      <c r="BC823" s="87"/>
      <c r="BD823" s="87"/>
      <c r="BE823" s="87"/>
      <c r="BF823" s="87"/>
      <c r="BG823" s="87"/>
      <c r="BH823" s="87"/>
    </row>
    <row r="824" spans="1:60" ht="16">
      <c r="A824" s="82"/>
      <c r="B824" s="82"/>
      <c r="C824" s="82"/>
      <c r="D824" s="83"/>
      <c r="E824" s="84"/>
      <c r="F824" s="84"/>
      <c r="G824" s="84"/>
      <c r="H824" s="82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7"/>
      <c r="AA824" s="87"/>
      <c r="AB824" s="87"/>
      <c r="AC824" s="87"/>
      <c r="AD824" s="87"/>
      <c r="AE824" s="87"/>
      <c r="AF824" s="87"/>
      <c r="AG824" s="87"/>
      <c r="AH824" s="87"/>
      <c r="AI824" s="87"/>
      <c r="AJ824" s="87"/>
      <c r="AK824" s="87"/>
      <c r="AL824" s="87"/>
      <c r="AM824" s="87"/>
      <c r="AN824" s="87"/>
      <c r="AO824" s="87"/>
      <c r="AP824" s="87"/>
      <c r="AQ824" s="87"/>
      <c r="AR824" s="87"/>
      <c r="AS824" s="87"/>
      <c r="AT824" s="87"/>
      <c r="AU824" s="87"/>
      <c r="AV824" s="87"/>
      <c r="AW824" s="87"/>
      <c r="AX824" s="87"/>
      <c r="AY824" s="87"/>
      <c r="AZ824" s="87"/>
      <c r="BA824" s="87"/>
      <c r="BB824" s="87"/>
      <c r="BC824" s="87"/>
      <c r="BD824" s="87"/>
      <c r="BE824" s="87"/>
      <c r="BF824" s="87"/>
      <c r="BG824" s="87"/>
      <c r="BH824" s="87"/>
    </row>
    <row r="825" spans="1:60" ht="16">
      <c r="A825" s="82"/>
      <c r="B825" s="82"/>
      <c r="C825" s="82"/>
      <c r="D825" s="83"/>
      <c r="E825" s="84"/>
      <c r="F825" s="84"/>
      <c r="G825" s="84"/>
      <c r="H825" s="82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7"/>
      <c r="AA825" s="87"/>
      <c r="AB825" s="87"/>
      <c r="AC825" s="87"/>
      <c r="AD825" s="87"/>
      <c r="AE825" s="87"/>
      <c r="AF825" s="87"/>
      <c r="AG825" s="87"/>
      <c r="AH825" s="87"/>
      <c r="AI825" s="87"/>
      <c r="AJ825" s="87"/>
      <c r="AK825" s="87"/>
      <c r="AL825" s="87"/>
      <c r="AM825" s="87"/>
      <c r="AN825" s="87"/>
      <c r="AO825" s="87"/>
      <c r="AP825" s="87"/>
      <c r="AQ825" s="87"/>
      <c r="AR825" s="87"/>
      <c r="AS825" s="87"/>
      <c r="AT825" s="87"/>
      <c r="AU825" s="87"/>
      <c r="AV825" s="87"/>
      <c r="AW825" s="87"/>
      <c r="AX825" s="87"/>
      <c r="AY825" s="87"/>
      <c r="AZ825" s="87"/>
      <c r="BA825" s="87"/>
      <c r="BB825" s="87"/>
      <c r="BC825" s="87"/>
      <c r="BD825" s="87"/>
      <c r="BE825" s="87"/>
      <c r="BF825" s="87"/>
      <c r="BG825" s="87"/>
      <c r="BH825" s="87"/>
    </row>
    <row r="826" spans="1:60" ht="16">
      <c r="A826" s="82"/>
      <c r="B826" s="82"/>
      <c r="C826" s="82"/>
      <c r="D826" s="83"/>
      <c r="E826" s="84"/>
      <c r="F826" s="84"/>
      <c r="G826" s="84"/>
      <c r="H826" s="82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7"/>
      <c r="AA826" s="87"/>
      <c r="AB826" s="87"/>
      <c r="AC826" s="87"/>
      <c r="AD826" s="87"/>
      <c r="AE826" s="87"/>
      <c r="AF826" s="87"/>
      <c r="AG826" s="87"/>
      <c r="AH826" s="87"/>
      <c r="AI826" s="87"/>
      <c r="AJ826" s="87"/>
      <c r="AK826" s="87"/>
      <c r="AL826" s="87"/>
      <c r="AM826" s="87"/>
      <c r="AN826" s="87"/>
      <c r="AO826" s="87"/>
      <c r="AP826" s="87"/>
      <c r="AQ826" s="87"/>
      <c r="AR826" s="87"/>
      <c r="AS826" s="87"/>
      <c r="AT826" s="87"/>
      <c r="AU826" s="87"/>
      <c r="AV826" s="87"/>
      <c r="AW826" s="87"/>
      <c r="AX826" s="87"/>
      <c r="AY826" s="87"/>
      <c r="AZ826" s="87"/>
      <c r="BA826" s="87"/>
      <c r="BB826" s="87"/>
      <c r="BC826" s="87"/>
      <c r="BD826" s="87"/>
      <c r="BE826" s="87"/>
      <c r="BF826" s="87"/>
      <c r="BG826" s="87"/>
      <c r="BH826" s="87"/>
    </row>
    <row r="827" spans="1:60" ht="16">
      <c r="A827" s="82"/>
      <c r="B827" s="82"/>
      <c r="C827" s="82"/>
      <c r="D827" s="83"/>
      <c r="E827" s="84"/>
      <c r="F827" s="84"/>
      <c r="G827" s="84"/>
      <c r="H827" s="82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7"/>
      <c r="AA827" s="87"/>
      <c r="AB827" s="87"/>
      <c r="AC827" s="87"/>
      <c r="AD827" s="87"/>
      <c r="AE827" s="87"/>
      <c r="AF827" s="87"/>
      <c r="AG827" s="87"/>
      <c r="AH827" s="87"/>
      <c r="AI827" s="87"/>
      <c r="AJ827" s="87"/>
      <c r="AK827" s="87"/>
      <c r="AL827" s="87"/>
      <c r="AM827" s="87"/>
      <c r="AN827" s="87"/>
      <c r="AO827" s="87"/>
      <c r="AP827" s="87"/>
      <c r="AQ827" s="87"/>
      <c r="AR827" s="87"/>
      <c r="AS827" s="87"/>
      <c r="AT827" s="87"/>
      <c r="AU827" s="87"/>
      <c r="AV827" s="87"/>
      <c r="AW827" s="87"/>
      <c r="AX827" s="87"/>
      <c r="AY827" s="87"/>
      <c r="AZ827" s="87"/>
      <c r="BA827" s="87"/>
      <c r="BB827" s="87"/>
      <c r="BC827" s="87"/>
      <c r="BD827" s="87"/>
      <c r="BE827" s="87"/>
      <c r="BF827" s="87"/>
      <c r="BG827" s="87"/>
      <c r="BH827" s="87"/>
    </row>
    <row r="828" spans="1:60" ht="16">
      <c r="A828" s="82"/>
      <c r="B828" s="82"/>
      <c r="C828" s="82"/>
      <c r="D828" s="83"/>
      <c r="E828" s="84"/>
      <c r="F828" s="84"/>
      <c r="G828" s="84"/>
      <c r="H828" s="82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7"/>
      <c r="AA828" s="87"/>
      <c r="AB828" s="87"/>
      <c r="AC828" s="87"/>
      <c r="AD828" s="87"/>
      <c r="AE828" s="87"/>
      <c r="AF828" s="87"/>
      <c r="AG828" s="87"/>
      <c r="AH828" s="87"/>
      <c r="AI828" s="87"/>
      <c r="AJ828" s="87"/>
      <c r="AK828" s="87"/>
      <c r="AL828" s="87"/>
      <c r="AM828" s="87"/>
      <c r="AN828" s="87"/>
      <c r="AO828" s="87"/>
      <c r="AP828" s="87"/>
      <c r="AQ828" s="87"/>
      <c r="AR828" s="87"/>
      <c r="AS828" s="87"/>
      <c r="AT828" s="87"/>
      <c r="AU828" s="87"/>
      <c r="AV828" s="87"/>
      <c r="AW828" s="87"/>
      <c r="AX828" s="87"/>
      <c r="AY828" s="87"/>
      <c r="AZ828" s="87"/>
      <c r="BA828" s="87"/>
      <c r="BB828" s="87"/>
      <c r="BC828" s="87"/>
      <c r="BD828" s="87"/>
      <c r="BE828" s="87"/>
      <c r="BF828" s="87"/>
      <c r="BG828" s="87"/>
      <c r="BH828" s="87"/>
    </row>
    <row r="829" spans="1:60" ht="16">
      <c r="A829" s="82"/>
      <c r="B829" s="82"/>
      <c r="C829" s="82"/>
      <c r="D829" s="83"/>
      <c r="E829" s="84"/>
      <c r="F829" s="84"/>
      <c r="G829" s="84"/>
      <c r="H829" s="82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7"/>
      <c r="AA829" s="87"/>
      <c r="AB829" s="87"/>
      <c r="AC829" s="87"/>
      <c r="AD829" s="87"/>
      <c r="AE829" s="87"/>
      <c r="AF829" s="87"/>
      <c r="AG829" s="87"/>
      <c r="AH829" s="87"/>
      <c r="AI829" s="87"/>
      <c r="AJ829" s="87"/>
      <c r="AK829" s="87"/>
      <c r="AL829" s="87"/>
      <c r="AM829" s="87"/>
      <c r="AN829" s="87"/>
      <c r="AO829" s="87"/>
      <c r="AP829" s="87"/>
      <c r="AQ829" s="87"/>
      <c r="AR829" s="87"/>
      <c r="AS829" s="87"/>
      <c r="AT829" s="87"/>
      <c r="AU829" s="87"/>
      <c r="AV829" s="87"/>
      <c r="AW829" s="87"/>
      <c r="AX829" s="87"/>
      <c r="AY829" s="87"/>
      <c r="AZ829" s="87"/>
      <c r="BA829" s="87"/>
      <c r="BB829" s="87"/>
      <c r="BC829" s="87"/>
      <c r="BD829" s="87"/>
      <c r="BE829" s="87"/>
      <c r="BF829" s="87"/>
      <c r="BG829" s="87"/>
      <c r="BH829" s="87"/>
    </row>
    <row r="830" spans="1:60" ht="16">
      <c r="A830" s="82"/>
      <c r="B830" s="82"/>
      <c r="C830" s="82"/>
      <c r="D830" s="83"/>
      <c r="E830" s="84"/>
      <c r="F830" s="84"/>
      <c r="G830" s="84"/>
      <c r="H830" s="82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7"/>
      <c r="AA830" s="87"/>
      <c r="AB830" s="87"/>
      <c r="AC830" s="87"/>
      <c r="AD830" s="87"/>
      <c r="AE830" s="87"/>
      <c r="AF830" s="87"/>
      <c r="AG830" s="87"/>
      <c r="AH830" s="87"/>
      <c r="AI830" s="87"/>
      <c r="AJ830" s="87"/>
      <c r="AK830" s="87"/>
      <c r="AL830" s="87"/>
      <c r="AM830" s="87"/>
      <c r="AN830" s="87"/>
      <c r="AO830" s="87"/>
      <c r="AP830" s="87"/>
      <c r="AQ830" s="87"/>
      <c r="AR830" s="87"/>
      <c r="AS830" s="87"/>
      <c r="AT830" s="87"/>
      <c r="AU830" s="87"/>
      <c r="AV830" s="87"/>
      <c r="AW830" s="87"/>
      <c r="AX830" s="87"/>
      <c r="AY830" s="87"/>
      <c r="AZ830" s="87"/>
      <c r="BA830" s="87"/>
      <c r="BB830" s="87"/>
      <c r="BC830" s="87"/>
      <c r="BD830" s="87"/>
      <c r="BE830" s="87"/>
      <c r="BF830" s="87"/>
      <c r="BG830" s="87"/>
      <c r="BH830" s="87"/>
    </row>
    <row r="831" spans="1:60" ht="16">
      <c r="A831" s="82"/>
      <c r="B831" s="82"/>
      <c r="C831" s="82"/>
      <c r="D831" s="83"/>
      <c r="E831" s="84"/>
      <c r="F831" s="84"/>
      <c r="G831" s="84"/>
      <c r="H831" s="82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7"/>
      <c r="AA831" s="87"/>
      <c r="AB831" s="87"/>
      <c r="AC831" s="87"/>
      <c r="AD831" s="87"/>
      <c r="AE831" s="87"/>
      <c r="AF831" s="87"/>
      <c r="AG831" s="87"/>
      <c r="AH831" s="87"/>
      <c r="AI831" s="87"/>
      <c r="AJ831" s="87"/>
      <c r="AK831" s="87"/>
      <c r="AL831" s="87"/>
      <c r="AM831" s="87"/>
      <c r="AN831" s="87"/>
      <c r="AO831" s="87"/>
      <c r="AP831" s="87"/>
      <c r="AQ831" s="87"/>
      <c r="AR831" s="87"/>
      <c r="AS831" s="87"/>
      <c r="AT831" s="87"/>
      <c r="AU831" s="87"/>
      <c r="AV831" s="87"/>
      <c r="AW831" s="87"/>
      <c r="AX831" s="87"/>
      <c r="AY831" s="87"/>
      <c r="AZ831" s="87"/>
      <c r="BA831" s="87"/>
      <c r="BB831" s="87"/>
      <c r="BC831" s="87"/>
      <c r="BD831" s="87"/>
      <c r="BE831" s="87"/>
      <c r="BF831" s="87"/>
      <c r="BG831" s="87"/>
      <c r="BH831" s="87"/>
    </row>
    <row r="832" spans="1:60" ht="16">
      <c r="A832" s="82"/>
      <c r="B832" s="82"/>
      <c r="C832" s="82"/>
      <c r="D832" s="83"/>
      <c r="E832" s="84"/>
      <c r="F832" s="84"/>
      <c r="G832" s="84"/>
      <c r="H832" s="82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7"/>
      <c r="AA832" s="87"/>
      <c r="AB832" s="87"/>
      <c r="AC832" s="87"/>
      <c r="AD832" s="87"/>
      <c r="AE832" s="87"/>
      <c r="AF832" s="87"/>
      <c r="AG832" s="87"/>
      <c r="AH832" s="87"/>
      <c r="AI832" s="87"/>
      <c r="AJ832" s="87"/>
      <c r="AK832" s="87"/>
      <c r="AL832" s="87"/>
      <c r="AM832" s="87"/>
      <c r="AN832" s="87"/>
      <c r="AO832" s="87"/>
      <c r="AP832" s="87"/>
      <c r="AQ832" s="87"/>
      <c r="AR832" s="87"/>
      <c r="AS832" s="87"/>
      <c r="AT832" s="87"/>
      <c r="AU832" s="87"/>
      <c r="AV832" s="87"/>
      <c r="AW832" s="87"/>
      <c r="AX832" s="87"/>
      <c r="AY832" s="87"/>
      <c r="AZ832" s="87"/>
      <c r="BA832" s="87"/>
      <c r="BB832" s="87"/>
      <c r="BC832" s="87"/>
      <c r="BD832" s="87"/>
      <c r="BE832" s="87"/>
      <c r="BF832" s="87"/>
      <c r="BG832" s="87"/>
      <c r="BH832" s="87"/>
    </row>
    <row r="833" spans="1:60" ht="16">
      <c r="A833" s="82"/>
      <c r="B833" s="82"/>
      <c r="C833" s="82"/>
      <c r="D833" s="83"/>
      <c r="E833" s="84"/>
      <c r="F833" s="84"/>
      <c r="G833" s="84"/>
      <c r="H833" s="82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7"/>
      <c r="AA833" s="87"/>
      <c r="AB833" s="87"/>
      <c r="AC833" s="87"/>
      <c r="AD833" s="87"/>
      <c r="AE833" s="87"/>
      <c r="AF833" s="87"/>
      <c r="AG833" s="87"/>
      <c r="AH833" s="87"/>
      <c r="AI833" s="87"/>
      <c r="AJ833" s="87"/>
      <c r="AK833" s="87"/>
      <c r="AL833" s="87"/>
      <c r="AM833" s="87"/>
      <c r="AN833" s="87"/>
      <c r="AO833" s="87"/>
      <c r="AP833" s="87"/>
      <c r="AQ833" s="87"/>
      <c r="AR833" s="87"/>
      <c r="AS833" s="87"/>
      <c r="AT833" s="87"/>
      <c r="AU833" s="87"/>
      <c r="AV833" s="87"/>
      <c r="AW833" s="87"/>
      <c r="AX833" s="87"/>
      <c r="AY833" s="87"/>
      <c r="AZ833" s="87"/>
      <c r="BA833" s="87"/>
      <c r="BB833" s="87"/>
      <c r="BC833" s="87"/>
      <c r="BD833" s="87"/>
      <c r="BE833" s="87"/>
      <c r="BF833" s="87"/>
      <c r="BG833" s="87"/>
      <c r="BH833" s="87"/>
    </row>
    <row r="834" spans="1:60" ht="16">
      <c r="A834" s="82"/>
      <c r="B834" s="82"/>
      <c r="C834" s="82"/>
      <c r="D834" s="83"/>
      <c r="E834" s="84"/>
      <c r="F834" s="84"/>
      <c r="G834" s="84"/>
      <c r="H834" s="82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7"/>
      <c r="AA834" s="87"/>
      <c r="AB834" s="87"/>
      <c r="AC834" s="87"/>
      <c r="AD834" s="87"/>
      <c r="AE834" s="87"/>
      <c r="AF834" s="87"/>
      <c r="AG834" s="87"/>
      <c r="AH834" s="87"/>
      <c r="AI834" s="87"/>
      <c r="AJ834" s="87"/>
      <c r="AK834" s="87"/>
      <c r="AL834" s="87"/>
      <c r="AM834" s="87"/>
      <c r="AN834" s="87"/>
      <c r="AO834" s="87"/>
      <c r="AP834" s="87"/>
      <c r="AQ834" s="87"/>
      <c r="AR834" s="87"/>
      <c r="AS834" s="87"/>
      <c r="AT834" s="87"/>
      <c r="AU834" s="87"/>
      <c r="AV834" s="87"/>
      <c r="AW834" s="87"/>
      <c r="AX834" s="87"/>
      <c r="AY834" s="87"/>
      <c r="AZ834" s="87"/>
      <c r="BA834" s="87"/>
      <c r="BB834" s="87"/>
      <c r="BC834" s="87"/>
      <c r="BD834" s="87"/>
      <c r="BE834" s="87"/>
      <c r="BF834" s="87"/>
      <c r="BG834" s="87"/>
      <c r="BH834" s="87"/>
    </row>
    <row r="835" spans="1:60" ht="16">
      <c r="A835" s="82"/>
      <c r="B835" s="82"/>
      <c r="C835" s="82"/>
      <c r="D835" s="83"/>
      <c r="E835" s="84"/>
      <c r="F835" s="84"/>
      <c r="G835" s="84"/>
      <c r="H835" s="82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7"/>
      <c r="AA835" s="87"/>
      <c r="AB835" s="87"/>
      <c r="AC835" s="87"/>
      <c r="AD835" s="87"/>
      <c r="AE835" s="87"/>
      <c r="AF835" s="87"/>
      <c r="AG835" s="87"/>
      <c r="AH835" s="87"/>
      <c r="AI835" s="87"/>
      <c r="AJ835" s="87"/>
      <c r="AK835" s="87"/>
      <c r="AL835" s="87"/>
      <c r="AM835" s="87"/>
      <c r="AN835" s="87"/>
      <c r="AO835" s="87"/>
      <c r="AP835" s="87"/>
      <c r="AQ835" s="87"/>
      <c r="AR835" s="87"/>
      <c r="AS835" s="87"/>
      <c r="AT835" s="87"/>
      <c r="AU835" s="87"/>
      <c r="AV835" s="87"/>
      <c r="AW835" s="87"/>
      <c r="AX835" s="87"/>
      <c r="AY835" s="87"/>
      <c r="AZ835" s="87"/>
      <c r="BA835" s="87"/>
      <c r="BB835" s="87"/>
      <c r="BC835" s="87"/>
      <c r="BD835" s="87"/>
      <c r="BE835" s="87"/>
      <c r="BF835" s="87"/>
      <c r="BG835" s="87"/>
      <c r="BH835" s="87"/>
    </row>
    <row r="836" spans="1:60" ht="16">
      <c r="A836" s="82"/>
      <c r="B836" s="82"/>
      <c r="C836" s="82"/>
      <c r="D836" s="83"/>
      <c r="E836" s="84"/>
      <c r="F836" s="84"/>
      <c r="G836" s="84"/>
      <c r="H836" s="82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7"/>
      <c r="AA836" s="87"/>
      <c r="AB836" s="87"/>
      <c r="AC836" s="87"/>
      <c r="AD836" s="87"/>
      <c r="AE836" s="87"/>
      <c r="AF836" s="87"/>
      <c r="AG836" s="87"/>
      <c r="AH836" s="87"/>
      <c r="AI836" s="87"/>
      <c r="AJ836" s="87"/>
      <c r="AK836" s="87"/>
      <c r="AL836" s="87"/>
      <c r="AM836" s="87"/>
      <c r="AN836" s="87"/>
      <c r="AO836" s="87"/>
      <c r="AP836" s="87"/>
      <c r="AQ836" s="87"/>
      <c r="AR836" s="87"/>
      <c r="AS836" s="87"/>
      <c r="AT836" s="87"/>
      <c r="AU836" s="87"/>
      <c r="AV836" s="87"/>
      <c r="AW836" s="87"/>
      <c r="AX836" s="87"/>
      <c r="AY836" s="87"/>
      <c r="AZ836" s="87"/>
      <c r="BA836" s="87"/>
      <c r="BB836" s="87"/>
      <c r="BC836" s="87"/>
      <c r="BD836" s="87"/>
      <c r="BE836" s="87"/>
      <c r="BF836" s="87"/>
      <c r="BG836" s="87"/>
      <c r="BH836" s="87"/>
    </row>
    <row r="837" spans="1:60" ht="16">
      <c r="A837" s="82"/>
      <c r="B837" s="82"/>
      <c r="C837" s="82"/>
      <c r="D837" s="83"/>
      <c r="E837" s="84"/>
      <c r="F837" s="84"/>
      <c r="G837" s="84"/>
      <c r="H837" s="82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7"/>
      <c r="AA837" s="87"/>
      <c r="AB837" s="87"/>
      <c r="AC837" s="87"/>
      <c r="AD837" s="87"/>
      <c r="AE837" s="87"/>
      <c r="AF837" s="87"/>
      <c r="AG837" s="87"/>
      <c r="AH837" s="87"/>
      <c r="AI837" s="87"/>
      <c r="AJ837" s="87"/>
      <c r="AK837" s="87"/>
      <c r="AL837" s="87"/>
      <c r="AM837" s="87"/>
      <c r="AN837" s="87"/>
      <c r="AO837" s="87"/>
      <c r="AP837" s="87"/>
      <c r="AQ837" s="87"/>
      <c r="AR837" s="87"/>
      <c r="AS837" s="87"/>
      <c r="AT837" s="87"/>
      <c r="AU837" s="87"/>
      <c r="AV837" s="87"/>
      <c r="AW837" s="87"/>
      <c r="AX837" s="87"/>
      <c r="AY837" s="87"/>
      <c r="AZ837" s="87"/>
      <c r="BA837" s="87"/>
      <c r="BB837" s="87"/>
      <c r="BC837" s="87"/>
      <c r="BD837" s="87"/>
      <c r="BE837" s="87"/>
      <c r="BF837" s="87"/>
      <c r="BG837" s="87"/>
      <c r="BH837" s="87"/>
    </row>
    <row r="838" spans="1:60" ht="16">
      <c r="A838" s="82"/>
      <c r="B838" s="82"/>
      <c r="C838" s="82"/>
      <c r="D838" s="83"/>
      <c r="E838" s="84"/>
      <c r="F838" s="84"/>
      <c r="G838" s="84"/>
      <c r="H838" s="82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7"/>
      <c r="AA838" s="87"/>
      <c r="AB838" s="87"/>
      <c r="AC838" s="87"/>
      <c r="AD838" s="87"/>
      <c r="AE838" s="87"/>
      <c r="AF838" s="87"/>
      <c r="AG838" s="87"/>
      <c r="AH838" s="87"/>
      <c r="AI838" s="87"/>
      <c r="AJ838" s="87"/>
      <c r="AK838" s="87"/>
      <c r="AL838" s="87"/>
      <c r="AM838" s="87"/>
      <c r="AN838" s="87"/>
      <c r="AO838" s="87"/>
      <c r="AP838" s="87"/>
      <c r="AQ838" s="87"/>
      <c r="AR838" s="87"/>
      <c r="AS838" s="87"/>
      <c r="AT838" s="87"/>
      <c r="AU838" s="87"/>
      <c r="AV838" s="87"/>
      <c r="AW838" s="87"/>
      <c r="AX838" s="87"/>
      <c r="AY838" s="87"/>
      <c r="AZ838" s="87"/>
      <c r="BA838" s="87"/>
      <c r="BB838" s="87"/>
      <c r="BC838" s="87"/>
      <c r="BD838" s="87"/>
      <c r="BE838" s="87"/>
      <c r="BF838" s="87"/>
      <c r="BG838" s="87"/>
      <c r="BH838" s="87"/>
    </row>
    <row r="839" spans="1:60" ht="16">
      <c r="A839" s="82"/>
      <c r="B839" s="82"/>
      <c r="C839" s="82"/>
      <c r="D839" s="83"/>
      <c r="E839" s="84"/>
      <c r="F839" s="84"/>
      <c r="G839" s="84"/>
      <c r="H839" s="82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7"/>
      <c r="AA839" s="87"/>
      <c r="AB839" s="87"/>
      <c r="AC839" s="87"/>
      <c r="AD839" s="87"/>
      <c r="AE839" s="87"/>
      <c r="AF839" s="87"/>
      <c r="AG839" s="87"/>
      <c r="AH839" s="87"/>
      <c r="AI839" s="87"/>
      <c r="AJ839" s="87"/>
      <c r="AK839" s="87"/>
      <c r="AL839" s="87"/>
      <c r="AM839" s="87"/>
      <c r="AN839" s="87"/>
      <c r="AO839" s="87"/>
      <c r="AP839" s="87"/>
      <c r="AQ839" s="87"/>
      <c r="AR839" s="87"/>
      <c r="AS839" s="87"/>
      <c r="AT839" s="87"/>
      <c r="AU839" s="87"/>
      <c r="AV839" s="87"/>
      <c r="AW839" s="87"/>
      <c r="AX839" s="87"/>
      <c r="AY839" s="87"/>
      <c r="AZ839" s="87"/>
      <c r="BA839" s="87"/>
      <c r="BB839" s="87"/>
      <c r="BC839" s="87"/>
      <c r="BD839" s="87"/>
      <c r="BE839" s="87"/>
      <c r="BF839" s="87"/>
      <c r="BG839" s="87"/>
      <c r="BH839" s="87"/>
    </row>
    <row r="840" spans="1:60" ht="16">
      <c r="A840" s="82"/>
      <c r="B840" s="82"/>
      <c r="C840" s="82"/>
      <c r="D840" s="83"/>
      <c r="E840" s="84"/>
      <c r="F840" s="84"/>
      <c r="G840" s="84"/>
      <c r="H840" s="82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7"/>
      <c r="AA840" s="87"/>
      <c r="AB840" s="87"/>
      <c r="AC840" s="87"/>
      <c r="AD840" s="87"/>
      <c r="AE840" s="87"/>
      <c r="AF840" s="87"/>
      <c r="AG840" s="87"/>
      <c r="AH840" s="87"/>
      <c r="AI840" s="87"/>
      <c r="AJ840" s="87"/>
      <c r="AK840" s="87"/>
      <c r="AL840" s="87"/>
      <c r="AM840" s="87"/>
      <c r="AN840" s="87"/>
      <c r="AO840" s="87"/>
      <c r="AP840" s="87"/>
      <c r="AQ840" s="87"/>
      <c r="AR840" s="87"/>
      <c r="AS840" s="87"/>
      <c r="AT840" s="87"/>
      <c r="AU840" s="87"/>
      <c r="AV840" s="87"/>
      <c r="AW840" s="87"/>
      <c r="AX840" s="87"/>
      <c r="AY840" s="87"/>
      <c r="AZ840" s="87"/>
      <c r="BA840" s="87"/>
      <c r="BB840" s="87"/>
      <c r="BC840" s="87"/>
      <c r="BD840" s="87"/>
      <c r="BE840" s="87"/>
      <c r="BF840" s="87"/>
      <c r="BG840" s="87"/>
      <c r="BH840" s="87"/>
    </row>
    <row r="841" spans="1:60" ht="16">
      <c r="A841" s="82"/>
      <c r="B841" s="82"/>
      <c r="C841" s="82"/>
      <c r="D841" s="83"/>
      <c r="E841" s="84"/>
      <c r="F841" s="84"/>
      <c r="G841" s="84"/>
      <c r="H841" s="82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7"/>
      <c r="AA841" s="87"/>
      <c r="AB841" s="87"/>
      <c r="AC841" s="87"/>
      <c r="AD841" s="87"/>
      <c r="AE841" s="87"/>
      <c r="AF841" s="87"/>
      <c r="AG841" s="87"/>
      <c r="AH841" s="87"/>
      <c r="AI841" s="87"/>
      <c r="AJ841" s="87"/>
      <c r="AK841" s="87"/>
      <c r="AL841" s="87"/>
      <c r="AM841" s="87"/>
      <c r="AN841" s="87"/>
      <c r="AO841" s="87"/>
      <c r="AP841" s="87"/>
      <c r="AQ841" s="87"/>
      <c r="AR841" s="87"/>
      <c r="AS841" s="87"/>
      <c r="AT841" s="87"/>
      <c r="AU841" s="87"/>
      <c r="AV841" s="87"/>
      <c r="AW841" s="87"/>
      <c r="AX841" s="87"/>
      <c r="AY841" s="87"/>
      <c r="AZ841" s="87"/>
      <c r="BA841" s="87"/>
      <c r="BB841" s="87"/>
      <c r="BC841" s="87"/>
      <c r="BD841" s="87"/>
      <c r="BE841" s="87"/>
      <c r="BF841" s="87"/>
      <c r="BG841" s="87"/>
      <c r="BH841" s="87"/>
    </row>
    <row r="842" spans="1:60" ht="16">
      <c r="A842" s="82"/>
      <c r="B842" s="82"/>
      <c r="C842" s="82"/>
      <c r="D842" s="83"/>
      <c r="E842" s="84"/>
      <c r="F842" s="84"/>
      <c r="G842" s="84"/>
      <c r="H842" s="82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7"/>
      <c r="AA842" s="87"/>
      <c r="AB842" s="87"/>
      <c r="AC842" s="87"/>
      <c r="AD842" s="87"/>
      <c r="AE842" s="87"/>
      <c r="AF842" s="87"/>
      <c r="AG842" s="87"/>
      <c r="AH842" s="87"/>
      <c r="AI842" s="87"/>
      <c r="AJ842" s="87"/>
      <c r="AK842" s="87"/>
      <c r="AL842" s="87"/>
      <c r="AM842" s="87"/>
      <c r="AN842" s="87"/>
      <c r="AO842" s="87"/>
      <c r="AP842" s="87"/>
      <c r="AQ842" s="87"/>
      <c r="AR842" s="87"/>
      <c r="AS842" s="87"/>
      <c r="AT842" s="87"/>
      <c r="AU842" s="87"/>
      <c r="AV842" s="87"/>
      <c r="AW842" s="87"/>
      <c r="AX842" s="87"/>
      <c r="AY842" s="87"/>
      <c r="AZ842" s="87"/>
      <c r="BA842" s="87"/>
      <c r="BB842" s="87"/>
      <c r="BC842" s="87"/>
      <c r="BD842" s="87"/>
      <c r="BE842" s="87"/>
      <c r="BF842" s="87"/>
      <c r="BG842" s="87"/>
      <c r="BH842" s="87"/>
    </row>
    <row r="843" spans="1:60" ht="16">
      <c r="A843" s="82"/>
      <c r="B843" s="82"/>
      <c r="C843" s="82"/>
      <c r="D843" s="83"/>
      <c r="E843" s="84"/>
      <c r="F843" s="84"/>
      <c r="G843" s="84"/>
      <c r="H843" s="82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7"/>
      <c r="AA843" s="87"/>
      <c r="AB843" s="87"/>
      <c r="AC843" s="87"/>
      <c r="AD843" s="87"/>
      <c r="AE843" s="87"/>
      <c r="AF843" s="87"/>
      <c r="AG843" s="87"/>
      <c r="AH843" s="87"/>
      <c r="AI843" s="87"/>
      <c r="AJ843" s="87"/>
      <c r="AK843" s="87"/>
      <c r="AL843" s="87"/>
      <c r="AM843" s="87"/>
      <c r="AN843" s="87"/>
      <c r="AO843" s="87"/>
      <c r="AP843" s="87"/>
      <c r="AQ843" s="87"/>
      <c r="AR843" s="87"/>
      <c r="AS843" s="87"/>
      <c r="AT843" s="87"/>
      <c r="AU843" s="87"/>
      <c r="AV843" s="87"/>
      <c r="AW843" s="87"/>
      <c r="AX843" s="87"/>
      <c r="AY843" s="87"/>
      <c r="AZ843" s="87"/>
      <c r="BA843" s="87"/>
      <c r="BB843" s="87"/>
      <c r="BC843" s="87"/>
      <c r="BD843" s="87"/>
      <c r="BE843" s="87"/>
      <c r="BF843" s="87"/>
      <c r="BG843" s="87"/>
      <c r="BH843" s="87"/>
    </row>
    <row r="844" spans="1:60" ht="16">
      <c r="A844" s="82"/>
      <c r="B844" s="82"/>
      <c r="C844" s="82"/>
      <c r="D844" s="83"/>
      <c r="E844" s="84"/>
      <c r="F844" s="84"/>
      <c r="G844" s="84"/>
      <c r="H844" s="82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7"/>
      <c r="AA844" s="87"/>
      <c r="AB844" s="87"/>
      <c r="AC844" s="87"/>
      <c r="AD844" s="87"/>
      <c r="AE844" s="87"/>
      <c r="AF844" s="87"/>
      <c r="AG844" s="87"/>
      <c r="AH844" s="87"/>
      <c r="AI844" s="87"/>
      <c r="AJ844" s="87"/>
      <c r="AK844" s="87"/>
      <c r="AL844" s="87"/>
      <c r="AM844" s="87"/>
      <c r="AN844" s="87"/>
      <c r="AO844" s="87"/>
      <c r="AP844" s="87"/>
      <c r="AQ844" s="87"/>
      <c r="AR844" s="87"/>
      <c r="AS844" s="87"/>
      <c r="AT844" s="87"/>
      <c r="AU844" s="87"/>
      <c r="AV844" s="87"/>
      <c r="AW844" s="87"/>
      <c r="AX844" s="87"/>
      <c r="AY844" s="87"/>
      <c r="AZ844" s="87"/>
      <c r="BA844" s="87"/>
      <c r="BB844" s="87"/>
      <c r="BC844" s="87"/>
      <c r="BD844" s="87"/>
      <c r="BE844" s="87"/>
      <c r="BF844" s="87"/>
      <c r="BG844" s="87"/>
      <c r="BH844" s="87"/>
    </row>
    <row r="845" spans="1:60" ht="16">
      <c r="A845" s="82"/>
      <c r="B845" s="82"/>
      <c r="C845" s="82"/>
      <c r="D845" s="83"/>
      <c r="E845" s="84"/>
      <c r="F845" s="84"/>
      <c r="G845" s="84"/>
      <c r="H845" s="82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7"/>
      <c r="AA845" s="87"/>
      <c r="AB845" s="87"/>
      <c r="AC845" s="87"/>
      <c r="AD845" s="87"/>
      <c r="AE845" s="87"/>
      <c r="AF845" s="87"/>
      <c r="AG845" s="87"/>
      <c r="AH845" s="87"/>
      <c r="AI845" s="87"/>
      <c r="AJ845" s="87"/>
      <c r="AK845" s="87"/>
      <c r="AL845" s="87"/>
      <c r="AM845" s="87"/>
      <c r="AN845" s="87"/>
      <c r="AO845" s="87"/>
      <c r="AP845" s="87"/>
      <c r="AQ845" s="87"/>
      <c r="AR845" s="87"/>
      <c r="AS845" s="87"/>
      <c r="AT845" s="87"/>
      <c r="AU845" s="87"/>
      <c r="AV845" s="87"/>
      <c r="AW845" s="87"/>
      <c r="AX845" s="87"/>
      <c r="AY845" s="87"/>
      <c r="AZ845" s="87"/>
      <c r="BA845" s="87"/>
      <c r="BB845" s="87"/>
      <c r="BC845" s="87"/>
      <c r="BD845" s="87"/>
      <c r="BE845" s="87"/>
      <c r="BF845" s="87"/>
      <c r="BG845" s="87"/>
      <c r="BH845" s="87"/>
    </row>
    <row r="846" spans="1:60" ht="16">
      <c r="A846" s="82"/>
      <c r="B846" s="82"/>
      <c r="C846" s="82"/>
      <c r="D846" s="83"/>
      <c r="E846" s="84"/>
      <c r="F846" s="84"/>
      <c r="G846" s="84"/>
      <c r="H846" s="82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7"/>
      <c r="AA846" s="87"/>
      <c r="AB846" s="87"/>
      <c r="AC846" s="87"/>
      <c r="AD846" s="87"/>
      <c r="AE846" s="87"/>
      <c r="AF846" s="87"/>
      <c r="AG846" s="87"/>
      <c r="AH846" s="87"/>
      <c r="AI846" s="87"/>
      <c r="AJ846" s="87"/>
      <c r="AK846" s="87"/>
      <c r="AL846" s="87"/>
      <c r="AM846" s="87"/>
      <c r="AN846" s="87"/>
      <c r="AO846" s="87"/>
      <c r="AP846" s="87"/>
      <c r="AQ846" s="87"/>
      <c r="AR846" s="87"/>
      <c r="AS846" s="87"/>
      <c r="AT846" s="87"/>
      <c r="AU846" s="87"/>
      <c r="AV846" s="87"/>
      <c r="AW846" s="87"/>
      <c r="AX846" s="87"/>
      <c r="AY846" s="87"/>
      <c r="AZ846" s="87"/>
      <c r="BA846" s="87"/>
      <c r="BB846" s="87"/>
      <c r="BC846" s="87"/>
      <c r="BD846" s="87"/>
      <c r="BE846" s="87"/>
      <c r="BF846" s="87"/>
      <c r="BG846" s="87"/>
      <c r="BH846" s="87"/>
    </row>
    <row r="847" spans="1:60" ht="16">
      <c r="A847" s="82"/>
      <c r="B847" s="82"/>
      <c r="C847" s="82"/>
      <c r="D847" s="83"/>
      <c r="E847" s="84"/>
      <c r="F847" s="84"/>
      <c r="G847" s="84"/>
      <c r="H847" s="82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7"/>
      <c r="AA847" s="87"/>
      <c r="AB847" s="87"/>
      <c r="AC847" s="87"/>
      <c r="AD847" s="87"/>
      <c r="AE847" s="87"/>
      <c r="AF847" s="87"/>
      <c r="AG847" s="87"/>
      <c r="AH847" s="87"/>
      <c r="AI847" s="87"/>
      <c r="AJ847" s="87"/>
      <c r="AK847" s="87"/>
      <c r="AL847" s="87"/>
      <c r="AM847" s="87"/>
      <c r="AN847" s="87"/>
      <c r="AO847" s="87"/>
      <c r="AP847" s="87"/>
      <c r="AQ847" s="87"/>
      <c r="AR847" s="87"/>
      <c r="AS847" s="87"/>
      <c r="AT847" s="87"/>
      <c r="AU847" s="87"/>
      <c r="AV847" s="87"/>
      <c r="AW847" s="87"/>
      <c r="AX847" s="87"/>
      <c r="AY847" s="87"/>
      <c r="AZ847" s="87"/>
      <c r="BA847" s="87"/>
      <c r="BB847" s="87"/>
      <c r="BC847" s="87"/>
      <c r="BD847" s="87"/>
      <c r="BE847" s="87"/>
      <c r="BF847" s="87"/>
      <c r="BG847" s="87"/>
      <c r="BH847" s="87"/>
    </row>
    <row r="848" spans="1:60" ht="16">
      <c r="A848" s="82"/>
      <c r="B848" s="82"/>
      <c r="C848" s="82"/>
      <c r="D848" s="83"/>
      <c r="E848" s="84"/>
      <c r="F848" s="84"/>
      <c r="G848" s="84"/>
      <c r="H848" s="82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7"/>
      <c r="AA848" s="87"/>
      <c r="AB848" s="87"/>
      <c r="AC848" s="87"/>
      <c r="AD848" s="87"/>
      <c r="AE848" s="87"/>
      <c r="AF848" s="87"/>
      <c r="AG848" s="87"/>
      <c r="AH848" s="87"/>
      <c r="AI848" s="87"/>
      <c r="AJ848" s="87"/>
      <c r="AK848" s="87"/>
      <c r="AL848" s="87"/>
      <c r="AM848" s="87"/>
      <c r="AN848" s="87"/>
      <c r="AO848" s="87"/>
      <c r="AP848" s="87"/>
      <c r="AQ848" s="87"/>
      <c r="AR848" s="87"/>
      <c r="AS848" s="87"/>
      <c r="AT848" s="87"/>
      <c r="AU848" s="87"/>
      <c r="AV848" s="87"/>
      <c r="AW848" s="87"/>
      <c r="AX848" s="87"/>
      <c r="AY848" s="87"/>
      <c r="AZ848" s="87"/>
      <c r="BA848" s="87"/>
      <c r="BB848" s="87"/>
      <c r="BC848" s="87"/>
      <c r="BD848" s="87"/>
      <c r="BE848" s="87"/>
      <c r="BF848" s="87"/>
      <c r="BG848" s="87"/>
      <c r="BH848" s="87"/>
    </row>
    <row r="849" spans="1:60" ht="16">
      <c r="A849" s="82"/>
      <c r="B849" s="82"/>
      <c r="C849" s="82"/>
      <c r="D849" s="83"/>
      <c r="E849" s="84"/>
      <c r="F849" s="84"/>
      <c r="G849" s="84"/>
      <c r="H849" s="82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7"/>
      <c r="AA849" s="87"/>
      <c r="AB849" s="87"/>
      <c r="AC849" s="87"/>
      <c r="AD849" s="87"/>
      <c r="AE849" s="87"/>
      <c r="AF849" s="87"/>
      <c r="AG849" s="87"/>
      <c r="AH849" s="87"/>
      <c r="AI849" s="87"/>
      <c r="AJ849" s="87"/>
      <c r="AK849" s="87"/>
      <c r="AL849" s="87"/>
      <c r="AM849" s="87"/>
      <c r="AN849" s="87"/>
      <c r="AO849" s="87"/>
      <c r="AP849" s="87"/>
      <c r="AQ849" s="87"/>
      <c r="AR849" s="87"/>
      <c r="AS849" s="87"/>
      <c r="AT849" s="87"/>
      <c r="AU849" s="87"/>
      <c r="AV849" s="87"/>
      <c r="AW849" s="87"/>
      <c r="AX849" s="87"/>
      <c r="AY849" s="87"/>
      <c r="AZ849" s="87"/>
      <c r="BA849" s="87"/>
      <c r="BB849" s="87"/>
      <c r="BC849" s="87"/>
      <c r="BD849" s="87"/>
      <c r="BE849" s="87"/>
      <c r="BF849" s="87"/>
      <c r="BG849" s="87"/>
      <c r="BH849" s="87"/>
    </row>
    <row r="850" spans="1:60" ht="16">
      <c r="A850" s="82"/>
      <c r="B850" s="82"/>
      <c r="C850" s="82"/>
      <c r="D850" s="83"/>
      <c r="E850" s="84"/>
      <c r="F850" s="84"/>
      <c r="G850" s="84"/>
      <c r="H850" s="82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7"/>
      <c r="AA850" s="87"/>
      <c r="AB850" s="87"/>
      <c r="AC850" s="87"/>
      <c r="AD850" s="87"/>
      <c r="AE850" s="87"/>
      <c r="AF850" s="87"/>
      <c r="AG850" s="87"/>
      <c r="AH850" s="87"/>
      <c r="AI850" s="87"/>
      <c r="AJ850" s="87"/>
      <c r="AK850" s="87"/>
      <c r="AL850" s="87"/>
      <c r="AM850" s="87"/>
      <c r="AN850" s="87"/>
      <c r="AO850" s="87"/>
      <c r="AP850" s="87"/>
      <c r="AQ850" s="87"/>
      <c r="AR850" s="87"/>
      <c r="AS850" s="87"/>
      <c r="AT850" s="87"/>
      <c r="AU850" s="87"/>
      <c r="AV850" s="87"/>
      <c r="AW850" s="87"/>
      <c r="AX850" s="87"/>
      <c r="AY850" s="87"/>
      <c r="AZ850" s="87"/>
      <c r="BA850" s="87"/>
      <c r="BB850" s="87"/>
      <c r="BC850" s="87"/>
      <c r="BD850" s="87"/>
      <c r="BE850" s="87"/>
      <c r="BF850" s="87"/>
      <c r="BG850" s="87"/>
      <c r="BH850" s="87"/>
    </row>
    <row r="851" spans="1:60" ht="16">
      <c r="A851" s="82"/>
      <c r="B851" s="82"/>
      <c r="C851" s="82"/>
      <c r="D851" s="83"/>
      <c r="E851" s="84"/>
      <c r="F851" s="84"/>
      <c r="G851" s="84"/>
      <c r="H851" s="82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7"/>
      <c r="AA851" s="87"/>
      <c r="AB851" s="87"/>
      <c r="AC851" s="87"/>
      <c r="AD851" s="87"/>
      <c r="AE851" s="87"/>
      <c r="AF851" s="87"/>
      <c r="AG851" s="87"/>
      <c r="AH851" s="87"/>
      <c r="AI851" s="87"/>
      <c r="AJ851" s="87"/>
      <c r="AK851" s="87"/>
      <c r="AL851" s="87"/>
      <c r="AM851" s="87"/>
      <c r="AN851" s="87"/>
      <c r="AO851" s="87"/>
      <c r="AP851" s="87"/>
      <c r="AQ851" s="87"/>
      <c r="AR851" s="87"/>
      <c r="AS851" s="87"/>
      <c r="AT851" s="87"/>
      <c r="AU851" s="87"/>
      <c r="AV851" s="87"/>
      <c r="AW851" s="87"/>
      <c r="AX851" s="87"/>
      <c r="AY851" s="87"/>
      <c r="AZ851" s="87"/>
      <c r="BA851" s="87"/>
      <c r="BB851" s="87"/>
      <c r="BC851" s="87"/>
      <c r="BD851" s="87"/>
      <c r="BE851" s="87"/>
      <c r="BF851" s="87"/>
      <c r="BG851" s="87"/>
      <c r="BH851" s="87"/>
    </row>
    <row r="852" spans="1:60" ht="16">
      <c r="A852" s="82"/>
      <c r="B852" s="82"/>
      <c r="C852" s="82"/>
      <c r="D852" s="83"/>
      <c r="E852" s="84"/>
      <c r="F852" s="84"/>
      <c r="G852" s="84"/>
      <c r="H852" s="82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7"/>
      <c r="AA852" s="87"/>
      <c r="AB852" s="87"/>
      <c r="AC852" s="87"/>
      <c r="AD852" s="87"/>
      <c r="AE852" s="87"/>
      <c r="AF852" s="87"/>
      <c r="AG852" s="87"/>
      <c r="AH852" s="87"/>
      <c r="AI852" s="87"/>
      <c r="AJ852" s="87"/>
      <c r="AK852" s="87"/>
      <c r="AL852" s="87"/>
      <c r="AM852" s="87"/>
      <c r="AN852" s="87"/>
      <c r="AO852" s="87"/>
      <c r="AP852" s="87"/>
      <c r="AQ852" s="87"/>
      <c r="AR852" s="87"/>
      <c r="AS852" s="87"/>
      <c r="AT852" s="87"/>
      <c r="AU852" s="87"/>
      <c r="AV852" s="87"/>
      <c r="AW852" s="87"/>
      <c r="AX852" s="87"/>
      <c r="AY852" s="87"/>
      <c r="AZ852" s="87"/>
      <c r="BA852" s="87"/>
      <c r="BB852" s="87"/>
      <c r="BC852" s="87"/>
      <c r="BD852" s="87"/>
      <c r="BE852" s="87"/>
      <c r="BF852" s="87"/>
      <c r="BG852" s="87"/>
      <c r="BH852" s="87"/>
    </row>
    <row r="853" spans="1:60" ht="16">
      <c r="A853" s="82"/>
      <c r="B853" s="82"/>
      <c r="C853" s="82"/>
      <c r="D853" s="83"/>
      <c r="E853" s="84"/>
      <c r="F853" s="84"/>
      <c r="G853" s="84"/>
      <c r="H853" s="82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7"/>
      <c r="AA853" s="87"/>
      <c r="AB853" s="87"/>
      <c r="AC853" s="87"/>
      <c r="AD853" s="87"/>
      <c r="AE853" s="87"/>
      <c r="AF853" s="87"/>
      <c r="AG853" s="87"/>
      <c r="AH853" s="87"/>
      <c r="AI853" s="87"/>
      <c r="AJ853" s="87"/>
      <c r="AK853" s="87"/>
      <c r="AL853" s="87"/>
      <c r="AM853" s="87"/>
      <c r="AN853" s="87"/>
      <c r="AO853" s="87"/>
      <c r="AP853" s="87"/>
      <c r="AQ853" s="87"/>
      <c r="AR853" s="87"/>
      <c r="AS853" s="87"/>
      <c r="AT853" s="87"/>
      <c r="AU853" s="87"/>
      <c r="AV853" s="87"/>
      <c r="AW853" s="87"/>
      <c r="AX853" s="87"/>
      <c r="AY853" s="87"/>
      <c r="AZ853" s="87"/>
      <c r="BA853" s="87"/>
      <c r="BB853" s="87"/>
      <c r="BC853" s="87"/>
      <c r="BD853" s="87"/>
      <c r="BE853" s="87"/>
      <c r="BF853" s="87"/>
      <c r="BG853" s="87"/>
      <c r="BH853" s="87"/>
    </row>
    <row r="854" spans="1:60" ht="16">
      <c r="A854" s="82"/>
      <c r="B854" s="82"/>
      <c r="C854" s="82"/>
      <c r="D854" s="83"/>
      <c r="E854" s="84"/>
      <c r="F854" s="84"/>
      <c r="G854" s="84"/>
      <c r="H854" s="82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7"/>
      <c r="AA854" s="87"/>
      <c r="AB854" s="87"/>
      <c r="AC854" s="87"/>
      <c r="AD854" s="87"/>
      <c r="AE854" s="87"/>
      <c r="AF854" s="87"/>
      <c r="AG854" s="87"/>
      <c r="AH854" s="87"/>
      <c r="AI854" s="87"/>
      <c r="AJ854" s="87"/>
      <c r="AK854" s="87"/>
      <c r="AL854" s="87"/>
      <c r="AM854" s="87"/>
      <c r="AN854" s="87"/>
      <c r="AO854" s="87"/>
      <c r="AP854" s="87"/>
      <c r="AQ854" s="87"/>
      <c r="AR854" s="87"/>
      <c r="AS854" s="87"/>
      <c r="AT854" s="87"/>
      <c r="AU854" s="87"/>
      <c r="AV854" s="87"/>
      <c r="AW854" s="87"/>
      <c r="AX854" s="87"/>
      <c r="AY854" s="87"/>
      <c r="AZ854" s="87"/>
      <c r="BA854" s="87"/>
      <c r="BB854" s="87"/>
      <c r="BC854" s="87"/>
      <c r="BD854" s="87"/>
      <c r="BE854" s="87"/>
      <c r="BF854" s="87"/>
      <c r="BG854" s="87"/>
      <c r="BH854" s="87"/>
    </row>
    <row r="855" spans="1:60" ht="16">
      <c r="A855" s="82"/>
      <c r="B855" s="82"/>
      <c r="C855" s="82"/>
      <c r="D855" s="83"/>
      <c r="E855" s="84"/>
      <c r="F855" s="84"/>
      <c r="G855" s="84"/>
      <c r="H855" s="82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7"/>
      <c r="AA855" s="87"/>
      <c r="AB855" s="87"/>
      <c r="AC855" s="87"/>
      <c r="AD855" s="87"/>
      <c r="AE855" s="87"/>
      <c r="AF855" s="87"/>
      <c r="AG855" s="87"/>
      <c r="AH855" s="87"/>
      <c r="AI855" s="87"/>
      <c r="AJ855" s="87"/>
      <c r="AK855" s="87"/>
      <c r="AL855" s="87"/>
      <c r="AM855" s="87"/>
      <c r="AN855" s="87"/>
      <c r="AO855" s="87"/>
      <c r="AP855" s="87"/>
      <c r="AQ855" s="87"/>
      <c r="AR855" s="87"/>
      <c r="AS855" s="87"/>
      <c r="AT855" s="87"/>
      <c r="AU855" s="87"/>
      <c r="AV855" s="87"/>
      <c r="AW855" s="87"/>
      <c r="AX855" s="87"/>
      <c r="AY855" s="87"/>
      <c r="AZ855" s="87"/>
      <c r="BA855" s="87"/>
      <c r="BB855" s="87"/>
      <c r="BC855" s="87"/>
      <c r="BD855" s="87"/>
      <c r="BE855" s="87"/>
      <c r="BF855" s="87"/>
      <c r="BG855" s="87"/>
      <c r="BH855" s="87"/>
    </row>
    <row r="856" spans="1:60" ht="16">
      <c r="A856" s="82"/>
      <c r="B856" s="82"/>
      <c r="C856" s="82"/>
      <c r="D856" s="83"/>
      <c r="E856" s="84"/>
      <c r="F856" s="84"/>
      <c r="G856" s="84"/>
      <c r="H856" s="82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7"/>
      <c r="AA856" s="87"/>
      <c r="AB856" s="87"/>
      <c r="AC856" s="87"/>
      <c r="AD856" s="87"/>
      <c r="AE856" s="87"/>
      <c r="AF856" s="87"/>
      <c r="AG856" s="87"/>
      <c r="AH856" s="87"/>
      <c r="AI856" s="87"/>
      <c r="AJ856" s="87"/>
      <c r="AK856" s="87"/>
      <c r="AL856" s="87"/>
      <c r="AM856" s="87"/>
      <c r="AN856" s="87"/>
      <c r="AO856" s="87"/>
      <c r="AP856" s="87"/>
      <c r="AQ856" s="87"/>
      <c r="AR856" s="87"/>
      <c r="AS856" s="87"/>
      <c r="AT856" s="87"/>
      <c r="AU856" s="87"/>
      <c r="AV856" s="87"/>
      <c r="AW856" s="87"/>
      <c r="AX856" s="87"/>
      <c r="AY856" s="87"/>
      <c r="AZ856" s="87"/>
      <c r="BA856" s="87"/>
      <c r="BB856" s="87"/>
      <c r="BC856" s="87"/>
      <c r="BD856" s="87"/>
      <c r="BE856" s="87"/>
      <c r="BF856" s="87"/>
      <c r="BG856" s="87"/>
      <c r="BH856" s="87"/>
    </row>
    <row r="857" spans="1:60" ht="16">
      <c r="A857" s="82"/>
      <c r="B857" s="82"/>
      <c r="C857" s="82"/>
      <c r="D857" s="83"/>
      <c r="E857" s="84"/>
      <c r="F857" s="84"/>
      <c r="G857" s="84"/>
      <c r="H857" s="82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7"/>
      <c r="AA857" s="87"/>
      <c r="AB857" s="87"/>
      <c r="AC857" s="87"/>
      <c r="AD857" s="87"/>
      <c r="AE857" s="87"/>
      <c r="AF857" s="87"/>
      <c r="AG857" s="87"/>
      <c r="AH857" s="87"/>
      <c r="AI857" s="87"/>
      <c r="AJ857" s="87"/>
      <c r="AK857" s="87"/>
      <c r="AL857" s="87"/>
      <c r="AM857" s="87"/>
      <c r="AN857" s="87"/>
      <c r="AO857" s="87"/>
      <c r="AP857" s="87"/>
      <c r="AQ857" s="87"/>
      <c r="AR857" s="87"/>
      <c r="AS857" s="87"/>
      <c r="AT857" s="87"/>
      <c r="AU857" s="87"/>
      <c r="AV857" s="87"/>
      <c r="AW857" s="87"/>
      <c r="AX857" s="87"/>
      <c r="AY857" s="87"/>
      <c r="AZ857" s="87"/>
      <c r="BA857" s="87"/>
      <c r="BB857" s="87"/>
      <c r="BC857" s="87"/>
      <c r="BD857" s="87"/>
      <c r="BE857" s="87"/>
      <c r="BF857" s="87"/>
      <c r="BG857" s="87"/>
      <c r="BH857" s="87"/>
    </row>
    <row r="858" spans="1:60" ht="16">
      <c r="A858" s="82"/>
      <c r="B858" s="82"/>
      <c r="C858" s="82"/>
      <c r="D858" s="83"/>
      <c r="E858" s="84"/>
      <c r="F858" s="84"/>
      <c r="G858" s="84"/>
      <c r="H858" s="82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7"/>
      <c r="AA858" s="87"/>
      <c r="AB858" s="87"/>
      <c r="AC858" s="87"/>
      <c r="AD858" s="87"/>
      <c r="AE858" s="87"/>
      <c r="AF858" s="87"/>
      <c r="AG858" s="87"/>
      <c r="AH858" s="87"/>
      <c r="AI858" s="87"/>
      <c r="AJ858" s="87"/>
      <c r="AK858" s="87"/>
      <c r="AL858" s="87"/>
      <c r="AM858" s="87"/>
      <c r="AN858" s="87"/>
      <c r="AO858" s="87"/>
      <c r="AP858" s="87"/>
      <c r="AQ858" s="87"/>
      <c r="AR858" s="87"/>
      <c r="AS858" s="87"/>
      <c r="AT858" s="87"/>
      <c r="AU858" s="87"/>
      <c r="AV858" s="87"/>
      <c r="AW858" s="87"/>
      <c r="AX858" s="87"/>
      <c r="AY858" s="87"/>
      <c r="AZ858" s="87"/>
      <c r="BA858" s="87"/>
      <c r="BB858" s="87"/>
      <c r="BC858" s="87"/>
      <c r="BD858" s="87"/>
      <c r="BE858" s="87"/>
      <c r="BF858" s="87"/>
      <c r="BG858" s="87"/>
      <c r="BH858" s="87"/>
    </row>
    <row r="859" spans="1:60" ht="16">
      <c r="A859" s="82"/>
      <c r="B859" s="82"/>
      <c r="C859" s="82"/>
      <c r="D859" s="83"/>
      <c r="E859" s="84"/>
      <c r="F859" s="84"/>
      <c r="G859" s="84"/>
      <c r="H859" s="82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7"/>
      <c r="AA859" s="87"/>
      <c r="AB859" s="87"/>
      <c r="AC859" s="87"/>
      <c r="AD859" s="87"/>
      <c r="AE859" s="87"/>
      <c r="AF859" s="87"/>
      <c r="AG859" s="87"/>
      <c r="AH859" s="87"/>
      <c r="AI859" s="87"/>
      <c r="AJ859" s="87"/>
      <c r="AK859" s="87"/>
      <c r="AL859" s="87"/>
      <c r="AM859" s="87"/>
      <c r="AN859" s="87"/>
      <c r="AO859" s="87"/>
      <c r="AP859" s="87"/>
      <c r="AQ859" s="87"/>
      <c r="AR859" s="87"/>
      <c r="AS859" s="87"/>
      <c r="AT859" s="87"/>
      <c r="AU859" s="87"/>
      <c r="AV859" s="87"/>
      <c r="AW859" s="87"/>
      <c r="AX859" s="87"/>
      <c r="AY859" s="87"/>
      <c r="AZ859" s="87"/>
      <c r="BA859" s="87"/>
      <c r="BB859" s="87"/>
      <c r="BC859" s="87"/>
      <c r="BD859" s="87"/>
      <c r="BE859" s="87"/>
      <c r="BF859" s="87"/>
      <c r="BG859" s="87"/>
      <c r="BH859" s="87"/>
    </row>
    <row r="860" spans="1:60" ht="16">
      <c r="A860" s="82"/>
      <c r="B860" s="82"/>
      <c r="C860" s="82"/>
      <c r="D860" s="83"/>
      <c r="E860" s="84"/>
      <c r="F860" s="84"/>
      <c r="G860" s="84"/>
      <c r="H860" s="82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7"/>
      <c r="AA860" s="87"/>
      <c r="AB860" s="87"/>
      <c r="AC860" s="87"/>
      <c r="AD860" s="87"/>
      <c r="AE860" s="87"/>
      <c r="AF860" s="87"/>
      <c r="AG860" s="87"/>
      <c r="AH860" s="87"/>
      <c r="AI860" s="87"/>
      <c r="AJ860" s="87"/>
      <c r="AK860" s="87"/>
      <c r="AL860" s="87"/>
      <c r="AM860" s="87"/>
      <c r="AN860" s="87"/>
      <c r="AO860" s="87"/>
      <c r="AP860" s="87"/>
      <c r="AQ860" s="87"/>
      <c r="AR860" s="87"/>
      <c r="AS860" s="87"/>
      <c r="AT860" s="87"/>
      <c r="AU860" s="87"/>
      <c r="AV860" s="87"/>
      <c r="AW860" s="87"/>
      <c r="AX860" s="87"/>
      <c r="AY860" s="87"/>
      <c r="AZ860" s="87"/>
      <c r="BA860" s="87"/>
      <c r="BB860" s="87"/>
      <c r="BC860" s="87"/>
      <c r="BD860" s="87"/>
      <c r="BE860" s="87"/>
      <c r="BF860" s="87"/>
      <c r="BG860" s="87"/>
      <c r="BH860" s="87"/>
    </row>
    <row r="861" spans="1:60" ht="16">
      <c r="A861" s="82"/>
      <c r="B861" s="82"/>
      <c r="C861" s="82"/>
      <c r="D861" s="83"/>
      <c r="E861" s="84"/>
      <c r="F861" s="84"/>
      <c r="G861" s="84"/>
      <c r="H861" s="82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7"/>
      <c r="AA861" s="87"/>
      <c r="AB861" s="87"/>
      <c r="AC861" s="87"/>
      <c r="AD861" s="87"/>
      <c r="AE861" s="87"/>
      <c r="AF861" s="87"/>
      <c r="AG861" s="87"/>
      <c r="AH861" s="87"/>
      <c r="AI861" s="87"/>
      <c r="AJ861" s="87"/>
      <c r="AK861" s="87"/>
      <c r="AL861" s="87"/>
      <c r="AM861" s="87"/>
      <c r="AN861" s="87"/>
      <c r="AO861" s="87"/>
      <c r="AP861" s="87"/>
      <c r="AQ861" s="87"/>
      <c r="AR861" s="87"/>
      <c r="AS861" s="87"/>
      <c r="AT861" s="87"/>
      <c r="AU861" s="87"/>
      <c r="AV861" s="87"/>
      <c r="AW861" s="87"/>
      <c r="AX861" s="87"/>
      <c r="AY861" s="87"/>
      <c r="AZ861" s="87"/>
      <c r="BA861" s="87"/>
      <c r="BB861" s="87"/>
      <c r="BC861" s="87"/>
      <c r="BD861" s="87"/>
      <c r="BE861" s="87"/>
      <c r="BF861" s="87"/>
      <c r="BG861" s="87"/>
      <c r="BH861" s="87"/>
    </row>
    <row r="862" spans="1:60" ht="16">
      <c r="A862" s="82"/>
      <c r="B862" s="82"/>
      <c r="C862" s="82"/>
      <c r="D862" s="83"/>
      <c r="E862" s="84"/>
      <c r="F862" s="84"/>
      <c r="G862" s="84"/>
      <c r="H862" s="82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7"/>
      <c r="AA862" s="87"/>
      <c r="AB862" s="87"/>
      <c r="AC862" s="87"/>
      <c r="AD862" s="87"/>
      <c r="AE862" s="87"/>
      <c r="AF862" s="87"/>
      <c r="AG862" s="87"/>
      <c r="AH862" s="87"/>
      <c r="AI862" s="87"/>
      <c r="AJ862" s="87"/>
      <c r="AK862" s="87"/>
      <c r="AL862" s="87"/>
      <c r="AM862" s="87"/>
      <c r="AN862" s="87"/>
      <c r="AO862" s="87"/>
      <c r="AP862" s="87"/>
      <c r="AQ862" s="87"/>
      <c r="AR862" s="87"/>
      <c r="AS862" s="87"/>
      <c r="AT862" s="87"/>
      <c r="AU862" s="87"/>
      <c r="AV862" s="87"/>
      <c r="AW862" s="87"/>
      <c r="AX862" s="87"/>
      <c r="AY862" s="87"/>
      <c r="AZ862" s="87"/>
      <c r="BA862" s="87"/>
      <c r="BB862" s="87"/>
      <c r="BC862" s="87"/>
      <c r="BD862" s="87"/>
      <c r="BE862" s="87"/>
      <c r="BF862" s="87"/>
      <c r="BG862" s="87"/>
      <c r="BH862" s="87"/>
    </row>
    <row r="863" spans="1:60" ht="16">
      <c r="A863" s="82"/>
      <c r="B863" s="82"/>
      <c r="C863" s="82"/>
      <c r="D863" s="83"/>
      <c r="E863" s="84"/>
      <c r="F863" s="84"/>
      <c r="G863" s="84"/>
      <c r="H863" s="82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7"/>
      <c r="AA863" s="87"/>
      <c r="AB863" s="87"/>
      <c r="AC863" s="87"/>
      <c r="AD863" s="87"/>
      <c r="AE863" s="87"/>
      <c r="AF863" s="87"/>
      <c r="AG863" s="87"/>
      <c r="AH863" s="87"/>
      <c r="AI863" s="87"/>
      <c r="AJ863" s="87"/>
      <c r="AK863" s="87"/>
      <c r="AL863" s="87"/>
      <c r="AM863" s="87"/>
      <c r="AN863" s="87"/>
      <c r="AO863" s="87"/>
      <c r="AP863" s="87"/>
      <c r="AQ863" s="87"/>
      <c r="AR863" s="87"/>
      <c r="AS863" s="87"/>
      <c r="AT863" s="87"/>
      <c r="AU863" s="87"/>
      <c r="AV863" s="87"/>
      <c r="AW863" s="87"/>
      <c r="AX863" s="87"/>
      <c r="AY863" s="87"/>
      <c r="AZ863" s="87"/>
      <c r="BA863" s="87"/>
      <c r="BB863" s="87"/>
      <c r="BC863" s="87"/>
      <c r="BD863" s="87"/>
      <c r="BE863" s="87"/>
      <c r="BF863" s="87"/>
      <c r="BG863" s="87"/>
      <c r="BH863" s="87"/>
    </row>
    <row r="864" spans="1:60" ht="16">
      <c r="A864" s="82"/>
      <c r="B864" s="82"/>
      <c r="C864" s="82"/>
      <c r="D864" s="83"/>
      <c r="E864" s="84"/>
      <c r="F864" s="84"/>
      <c r="G864" s="84"/>
      <c r="H864" s="82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7"/>
      <c r="AA864" s="87"/>
      <c r="AB864" s="87"/>
      <c r="AC864" s="87"/>
      <c r="AD864" s="87"/>
      <c r="AE864" s="87"/>
      <c r="AF864" s="87"/>
      <c r="AG864" s="87"/>
      <c r="AH864" s="87"/>
      <c r="AI864" s="87"/>
      <c r="AJ864" s="87"/>
      <c r="AK864" s="87"/>
      <c r="AL864" s="87"/>
      <c r="AM864" s="87"/>
      <c r="AN864" s="87"/>
      <c r="AO864" s="87"/>
      <c r="AP864" s="87"/>
      <c r="AQ864" s="87"/>
      <c r="AR864" s="87"/>
      <c r="AS864" s="87"/>
      <c r="AT864" s="87"/>
      <c r="AU864" s="87"/>
      <c r="AV864" s="87"/>
      <c r="AW864" s="87"/>
      <c r="AX864" s="87"/>
      <c r="AY864" s="87"/>
      <c r="AZ864" s="87"/>
      <c r="BA864" s="87"/>
      <c r="BB864" s="87"/>
      <c r="BC864" s="87"/>
      <c r="BD864" s="87"/>
      <c r="BE864" s="87"/>
      <c r="BF864" s="87"/>
      <c r="BG864" s="87"/>
      <c r="BH864" s="87"/>
    </row>
    <row r="865" spans="1:60" ht="16">
      <c r="A865" s="82"/>
      <c r="B865" s="82"/>
      <c r="C865" s="82"/>
      <c r="D865" s="83"/>
      <c r="E865" s="84"/>
      <c r="F865" s="84"/>
      <c r="G865" s="84"/>
      <c r="H865" s="82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7"/>
      <c r="AA865" s="87"/>
      <c r="AB865" s="87"/>
      <c r="AC865" s="87"/>
      <c r="AD865" s="87"/>
      <c r="AE865" s="87"/>
      <c r="AF865" s="87"/>
      <c r="AG865" s="87"/>
      <c r="AH865" s="87"/>
      <c r="AI865" s="87"/>
      <c r="AJ865" s="87"/>
      <c r="AK865" s="87"/>
      <c r="AL865" s="87"/>
      <c r="AM865" s="87"/>
      <c r="AN865" s="87"/>
      <c r="AO865" s="87"/>
      <c r="AP865" s="87"/>
      <c r="AQ865" s="87"/>
      <c r="AR865" s="87"/>
      <c r="AS865" s="87"/>
      <c r="AT865" s="87"/>
      <c r="AU865" s="87"/>
      <c r="AV865" s="87"/>
      <c r="AW865" s="87"/>
      <c r="AX865" s="87"/>
      <c r="AY865" s="87"/>
      <c r="AZ865" s="87"/>
      <c r="BA865" s="87"/>
      <c r="BB865" s="87"/>
      <c r="BC865" s="87"/>
      <c r="BD865" s="87"/>
      <c r="BE865" s="87"/>
      <c r="BF865" s="87"/>
      <c r="BG865" s="87"/>
      <c r="BH865" s="87"/>
    </row>
    <row r="866" spans="1:60" ht="16">
      <c r="A866" s="82"/>
      <c r="B866" s="82"/>
      <c r="C866" s="82"/>
      <c r="D866" s="83"/>
      <c r="E866" s="84"/>
      <c r="F866" s="84"/>
      <c r="G866" s="84"/>
      <c r="H866" s="82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7"/>
      <c r="AA866" s="87"/>
      <c r="AB866" s="87"/>
      <c r="AC866" s="87"/>
      <c r="AD866" s="87"/>
      <c r="AE866" s="87"/>
      <c r="AF866" s="87"/>
      <c r="AG866" s="87"/>
      <c r="AH866" s="87"/>
      <c r="AI866" s="87"/>
      <c r="AJ866" s="87"/>
      <c r="AK866" s="87"/>
      <c r="AL866" s="87"/>
      <c r="AM866" s="87"/>
      <c r="AN866" s="87"/>
      <c r="AO866" s="87"/>
      <c r="AP866" s="87"/>
      <c r="AQ866" s="87"/>
      <c r="AR866" s="87"/>
      <c r="AS866" s="87"/>
      <c r="AT866" s="87"/>
      <c r="AU866" s="87"/>
      <c r="AV866" s="87"/>
      <c r="AW866" s="87"/>
      <c r="AX866" s="87"/>
      <c r="AY866" s="87"/>
      <c r="AZ866" s="87"/>
      <c r="BA866" s="87"/>
      <c r="BB866" s="87"/>
      <c r="BC866" s="87"/>
      <c r="BD866" s="87"/>
      <c r="BE866" s="87"/>
      <c r="BF866" s="87"/>
      <c r="BG866" s="87"/>
      <c r="BH866" s="87"/>
    </row>
    <row r="867" spans="1:60" ht="16">
      <c r="A867" s="82"/>
      <c r="B867" s="82"/>
      <c r="C867" s="82"/>
      <c r="D867" s="83"/>
      <c r="E867" s="84"/>
      <c r="F867" s="84"/>
      <c r="G867" s="84"/>
      <c r="H867" s="82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7"/>
      <c r="AA867" s="87"/>
      <c r="AB867" s="87"/>
      <c r="AC867" s="87"/>
      <c r="AD867" s="87"/>
      <c r="AE867" s="87"/>
      <c r="AF867" s="87"/>
      <c r="AG867" s="87"/>
      <c r="AH867" s="87"/>
      <c r="AI867" s="87"/>
      <c r="AJ867" s="87"/>
      <c r="AK867" s="87"/>
      <c r="AL867" s="87"/>
      <c r="AM867" s="87"/>
      <c r="AN867" s="87"/>
      <c r="AO867" s="87"/>
      <c r="AP867" s="87"/>
      <c r="AQ867" s="87"/>
      <c r="AR867" s="87"/>
      <c r="AS867" s="87"/>
      <c r="AT867" s="87"/>
      <c r="AU867" s="87"/>
      <c r="AV867" s="87"/>
      <c r="AW867" s="87"/>
      <c r="AX867" s="87"/>
      <c r="AY867" s="87"/>
      <c r="AZ867" s="87"/>
      <c r="BA867" s="87"/>
      <c r="BB867" s="87"/>
      <c r="BC867" s="87"/>
      <c r="BD867" s="87"/>
      <c r="BE867" s="87"/>
      <c r="BF867" s="87"/>
      <c r="BG867" s="87"/>
      <c r="BH867" s="87"/>
    </row>
    <row r="868" spans="1:60" ht="16">
      <c r="A868" s="82"/>
      <c r="B868" s="82"/>
      <c r="C868" s="82"/>
      <c r="D868" s="83"/>
      <c r="E868" s="84"/>
      <c r="F868" s="84"/>
      <c r="G868" s="84"/>
      <c r="H868" s="82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7"/>
      <c r="AA868" s="87"/>
      <c r="AB868" s="87"/>
      <c r="AC868" s="87"/>
      <c r="AD868" s="87"/>
      <c r="AE868" s="87"/>
      <c r="AF868" s="87"/>
      <c r="AG868" s="87"/>
      <c r="AH868" s="87"/>
      <c r="AI868" s="87"/>
      <c r="AJ868" s="87"/>
      <c r="AK868" s="87"/>
      <c r="AL868" s="87"/>
      <c r="AM868" s="87"/>
      <c r="AN868" s="87"/>
      <c r="AO868" s="87"/>
      <c r="AP868" s="87"/>
      <c r="AQ868" s="87"/>
      <c r="AR868" s="87"/>
      <c r="AS868" s="87"/>
      <c r="AT868" s="87"/>
      <c r="AU868" s="87"/>
      <c r="AV868" s="87"/>
      <c r="AW868" s="87"/>
      <c r="AX868" s="87"/>
      <c r="AY868" s="87"/>
      <c r="AZ868" s="87"/>
      <c r="BA868" s="87"/>
      <c r="BB868" s="87"/>
      <c r="BC868" s="87"/>
      <c r="BD868" s="87"/>
      <c r="BE868" s="87"/>
      <c r="BF868" s="87"/>
      <c r="BG868" s="87"/>
      <c r="BH868" s="87"/>
    </row>
    <row r="869" spans="1:60" ht="16">
      <c r="A869" s="82"/>
      <c r="B869" s="82"/>
      <c r="C869" s="82"/>
      <c r="D869" s="83"/>
      <c r="E869" s="84"/>
      <c r="F869" s="84"/>
      <c r="G869" s="84"/>
      <c r="H869" s="82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7"/>
      <c r="AA869" s="87"/>
      <c r="AB869" s="87"/>
      <c r="AC869" s="87"/>
      <c r="AD869" s="87"/>
      <c r="AE869" s="87"/>
      <c r="AF869" s="87"/>
      <c r="AG869" s="87"/>
      <c r="AH869" s="87"/>
      <c r="AI869" s="87"/>
      <c r="AJ869" s="87"/>
      <c r="AK869" s="87"/>
      <c r="AL869" s="87"/>
      <c r="AM869" s="87"/>
      <c r="AN869" s="87"/>
      <c r="AO869" s="87"/>
      <c r="AP869" s="87"/>
      <c r="AQ869" s="87"/>
      <c r="AR869" s="87"/>
      <c r="AS869" s="87"/>
      <c r="AT869" s="87"/>
      <c r="AU869" s="87"/>
      <c r="AV869" s="87"/>
      <c r="AW869" s="87"/>
      <c r="AX869" s="87"/>
      <c r="AY869" s="87"/>
      <c r="AZ869" s="87"/>
      <c r="BA869" s="87"/>
      <c r="BB869" s="87"/>
      <c r="BC869" s="87"/>
      <c r="BD869" s="87"/>
      <c r="BE869" s="87"/>
      <c r="BF869" s="87"/>
      <c r="BG869" s="87"/>
      <c r="BH869" s="87"/>
    </row>
    <row r="870" spans="1:60" ht="16">
      <c r="A870" s="82"/>
      <c r="B870" s="82"/>
      <c r="C870" s="82"/>
      <c r="D870" s="83"/>
      <c r="E870" s="84"/>
      <c r="F870" s="84"/>
      <c r="G870" s="84"/>
      <c r="H870" s="82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7"/>
      <c r="AA870" s="87"/>
      <c r="AB870" s="87"/>
      <c r="AC870" s="87"/>
      <c r="AD870" s="87"/>
      <c r="AE870" s="87"/>
      <c r="AF870" s="87"/>
      <c r="AG870" s="87"/>
      <c r="AH870" s="87"/>
      <c r="AI870" s="87"/>
      <c r="AJ870" s="87"/>
      <c r="AK870" s="87"/>
      <c r="AL870" s="87"/>
      <c r="AM870" s="87"/>
      <c r="AN870" s="87"/>
      <c r="AO870" s="87"/>
      <c r="AP870" s="87"/>
      <c r="AQ870" s="87"/>
      <c r="AR870" s="87"/>
      <c r="AS870" s="87"/>
      <c r="AT870" s="87"/>
      <c r="AU870" s="87"/>
      <c r="AV870" s="87"/>
      <c r="AW870" s="87"/>
      <c r="AX870" s="87"/>
      <c r="AY870" s="87"/>
      <c r="AZ870" s="87"/>
      <c r="BA870" s="87"/>
      <c r="BB870" s="87"/>
      <c r="BC870" s="87"/>
      <c r="BD870" s="87"/>
      <c r="BE870" s="87"/>
      <c r="BF870" s="87"/>
      <c r="BG870" s="87"/>
      <c r="BH870" s="87"/>
    </row>
    <row r="871" spans="1:60" ht="16">
      <c r="A871" s="82"/>
      <c r="B871" s="82"/>
      <c r="C871" s="82"/>
      <c r="D871" s="83"/>
      <c r="E871" s="84"/>
      <c r="F871" s="84"/>
      <c r="G871" s="84"/>
      <c r="H871" s="82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7"/>
      <c r="AA871" s="87"/>
      <c r="AB871" s="87"/>
      <c r="AC871" s="87"/>
      <c r="AD871" s="87"/>
      <c r="AE871" s="87"/>
      <c r="AF871" s="87"/>
      <c r="AG871" s="87"/>
      <c r="AH871" s="87"/>
      <c r="AI871" s="87"/>
      <c r="AJ871" s="87"/>
      <c r="AK871" s="87"/>
      <c r="AL871" s="87"/>
      <c r="AM871" s="87"/>
      <c r="AN871" s="87"/>
      <c r="AO871" s="87"/>
      <c r="AP871" s="87"/>
      <c r="AQ871" s="87"/>
      <c r="AR871" s="87"/>
      <c r="AS871" s="87"/>
      <c r="AT871" s="87"/>
      <c r="AU871" s="87"/>
      <c r="AV871" s="87"/>
      <c r="AW871" s="87"/>
      <c r="AX871" s="87"/>
      <c r="AY871" s="87"/>
      <c r="AZ871" s="87"/>
      <c r="BA871" s="87"/>
      <c r="BB871" s="87"/>
      <c r="BC871" s="87"/>
      <c r="BD871" s="87"/>
      <c r="BE871" s="87"/>
      <c r="BF871" s="87"/>
      <c r="BG871" s="87"/>
      <c r="BH871" s="87"/>
    </row>
    <row r="872" spans="1:60" ht="16">
      <c r="A872" s="82"/>
      <c r="B872" s="82"/>
      <c r="C872" s="82"/>
      <c r="D872" s="83"/>
      <c r="E872" s="84"/>
      <c r="F872" s="84"/>
      <c r="G872" s="84"/>
      <c r="H872" s="82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7"/>
      <c r="AA872" s="87"/>
      <c r="AB872" s="87"/>
      <c r="AC872" s="87"/>
      <c r="AD872" s="87"/>
      <c r="AE872" s="87"/>
      <c r="AF872" s="87"/>
      <c r="AG872" s="87"/>
      <c r="AH872" s="87"/>
      <c r="AI872" s="87"/>
      <c r="AJ872" s="87"/>
      <c r="AK872" s="87"/>
      <c r="AL872" s="87"/>
      <c r="AM872" s="87"/>
      <c r="AN872" s="87"/>
      <c r="AO872" s="87"/>
      <c r="AP872" s="87"/>
      <c r="AQ872" s="87"/>
      <c r="AR872" s="87"/>
      <c r="AS872" s="87"/>
      <c r="AT872" s="87"/>
      <c r="AU872" s="87"/>
      <c r="AV872" s="87"/>
      <c r="AW872" s="87"/>
      <c r="AX872" s="87"/>
      <c r="AY872" s="87"/>
      <c r="AZ872" s="87"/>
      <c r="BA872" s="87"/>
      <c r="BB872" s="87"/>
      <c r="BC872" s="87"/>
      <c r="BD872" s="87"/>
      <c r="BE872" s="87"/>
      <c r="BF872" s="87"/>
      <c r="BG872" s="87"/>
      <c r="BH872" s="87"/>
    </row>
    <row r="873" spans="1:60" ht="16">
      <c r="A873" s="82"/>
      <c r="B873" s="82"/>
      <c r="C873" s="82"/>
      <c r="D873" s="83"/>
      <c r="E873" s="84"/>
      <c r="F873" s="84"/>
      <c r="G873" s="84"/>
      <c r="H873" s="82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7"/>
      <c r="AA873" s="87"/>
      <c r="AB873" s="87"/>
      <c r="AC873" s="87"/>
      <c r="AD873" s="87"/>
      <c r="AE873" s="87"/>
      <c r="AF873" s="87"/>
      <c r="AG873" s="87"/>
      <c r="AH873" s="87"/>
      <c r="AI873" s="87"/>
      <c r="AJ873" s="87"/>
      <c r="AK873" s="87"/>
      <c r="AL873" s="87"/>
      <c r="AM873" s="87"/>
      <c r="AN873" s="87"/>
      <c r="AO873" s="87"/>
      <c r="AP873" s="87"/>
      <c r="AQ873" s="87"/>
      <c r="AR873" s="87"/>
      <c r="AS873" s="87"/>
      <c r="AT873" s="87"/>
      <c r="AU873" s="87"/>
      <c r="AV873" s="87"/>
      <c r="AW873" s="87"/>
      <c r="AX873" s="87"/>
      <c r="AY873" s="87"/>
      <c r="AZ873" s="87"/>
      <c r="BA873" s="87"/>
      <c r="BB873" s="87"/>
      <c r="BC873" s="87"/>
      <c r="BD873" s="87"/>
      <c r="BE873" s="87"/>
      <c r="BF873" s="87"/>
      <c r="BG873" s="87"/>
      <c r="BH873" s="87"/>
    </row>
    <row r="874" spans="1:60" ht="16">
      <c r="A874" s="82"/>
      <c r="B874" s="82"/>
      <c r="C874" s="82"/>
      <c r="D874" s="83"/>
      <c r="E874" s="84"/>
      <c r="F874" s="84"/>
      <c r="G874" s="84"/>
      <c r="H874" s="82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7"/>
      <c r="AA874" s="87"/>
      <c r="AB874" s="87"/>
      <c r="AC874" s="87"/>
      <c r="AD874" s="87"/>
      <c r="AE874" s="87"/>
      <c r="AF874" s="87"/>
      <c r="AG874" s="87"/>
      <c r="AH874" s="87"/>
      <c r="AI874" s="87"/>
      <c r="AJ874" s="87"/>
      <c r="AK874" s="87"/>
      <c r="AL874" s="87"/>
      <c r="AM874" s="87"/>
      <c r="AN874" s="87"/>
      <c r="AO874" s="87"/>
      <c r="AP874" s="87"/>
      <c r="AQ874" s="87"/>
      <c r="AR874" s="87"/>
      <c r="AS874" s="87"/>
      <c r="AT874" s="87"/>
      <c r="AU874" s="87"/>
      <c r="AV874" s="87"/>
      <c r="AW874" s="87"/>
      <c r="AX874" s="87"/>
      <c r="AY874" s="87"/>
      <c r="AZ874" s="87"/>
      <c r="BA874" s="87"/>
      <c r="BB874" s="87"/>
      <c r="BC874" s="87"/>
      <c r="BD874" s="87"/>
      <c r="BE874" s="87"/>
      <c r="BF874" s="87"/>
      <c r="BG874" s="87"/>
      <c r="BH874" s="87"/>
    </row>
    <row r="875" spans="1:60" ht="16">
      <c r="A875" s="82"/>
      <c r="B875" s="82"/>
      <c r="C875" s="82"/>
      <c r="D875" s="83"/>
      <c r="E875" s="84"/>
      <c r="F875" s="84"/>
      <c r="G875" s="84"/>
      <c r="H875" s="82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7"/>
      <c r="AA875" s="87"/>
      <c r="AB875" s="87"/>
      <c r="AC875" s="87"/>
      <c r="AD875" s="87"/>
      <c r="AE875" s="87"/>
      <c r="AF875" s="87"/>
      <c r="AG875" s="87"/>
      <c r="AH875" s="87"/>
      <c r="AI875" s="87"/>
      <c r="AJ875" s="87"/>
      <c r="AK875" s="87"/>
      <c r="AL875" s="87"/>
      <c r="AM875" s="87"/>
      <c r="AN875" s="87"/>
      <c r="AO875" s="87"/>
      <c r="AP875" s="87"/>
      <c r="AQ875" s="87"/>
      <c r="AR875" s="87"/>
      <c r="AS875" s="87"/>
      <c r="AT875" s="87"/>
      <c r="AU875" s="87"/>
      <c r="AV875" s="87"/>
      <c r="AW875" s="87"/>
      <c r="AX875" s="87"/>
      <c r="AY875" s="87"/>
      <c r="AZ875" s="87"/>
      <c r="BA875" s="87"/>
      <c r="BB875" s="87"/>
      <c r="BC875" s="87"/>
      <c r="BD875" s="87"/>
      <c r="BE875" s="87"/>
      <c r="BF875" s="87"/>
      <c r="BG875" s="87"/>
      <c r="BH875" s="87"/>
    </row>
    <row r="876" spans="1:60" ht="16">
      <c r="A876" s="82"/>
      <c r="B876" s="82"/>
      <c r="C876" s="82"/>
      <c r="D876" s="83"/>
      <c r="E876" s="84"/>
      <c r="F876" s="84"/>
      <c r="G876" s="84"/>
      <c r="H876" s="82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7"/>
      <c r="AA876" s="87"/>
      <c r="AB876" s="87"/>
      <c r="AC876" s="87"/>
      <c r="AD876" s="87"/>
      <c r="AE876" s="87"/>
      <c r="AF876" s="87"/>
      <c r="AG876" s="87"/>
      <c r="AH876" s="87"/>
      <c r="AI876" s="87"/>
      <c r="AJ876" s="87"/>
      <c r="AK876" s="87"/>
      <c r="AL876" s="87"/>
      <c r="AM876" s="87"/>
      <c r="AN876" s="87"/>
      <c r="AO876" s="87"/>
      <c r="AP876" s="87"/>
      <c r="AQ876" s="87"/>
      <c r="AR876" s="87"/>
      <c r="AS876" s="87"/>
      <c r="AT876" s="87"/>
      <c r="AU876" s="87"/>
      <c r="AV876" s="87"/>
      <c r="AW876" s="87"/>
      <c r="AX876" s="87"/>
      <c r="AY876" s="87"/>
      <c r="AZ876" s="87"/>
      <c r="BA876" s="87"/>
      <c r="BB876" s="87"/>
      <c r="BC876" s="87"/>
      <c r="BD876" s="87"/>
      <c r="BE876" s="87"/>
      <c r="BF876" s="87"/>
      <c r="BG876" s="87"/>
      <c r="BH876" s="87"/>
    </row>
    <row r="877" spans="1:60" ht="16">
      <c r="A877" s="82"/>
      <c r="B877" s="82"/>
      <c r="C877" s="82"/>
      <c r="D877" s="83"/>
      <c r="E877" s="84"/>
      <c r="F877" s="84"/>
      <c r="G877" s="84"/>
      <c r="H877" s="82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7"/>
      <c r="AA877" s="87"/>
      <c r="AB877" s="87"/>
      <c r="AC877" s="87"/>
      <c r="AD877" s="87"/>
      <c r="AE877" s="87"/>
      <c r="AF877" s="87"/>
      <c r="AG877" s="87"/>
      <c r="AH877" s="87"/>
      <c r="AI877" s="87"/>
      <c r="AJ877" s="87"/>
      <c r="AK877" s="87"/>
      <c r="AL877" s="87"/>
      <c r="AM877" s="87"/>
      <c r="AN877" s="87"/>
      <c r="AO877" s="87"/>
      <c r="AP877" s="87"/>
      <c r="AQ877" s="87"/>
      <c r="AR877" s="87"/>
      <c r="AS877" s="87"/>
      <c r="AT877" s="87"/>
      <c r="AU877" s="87"/>
      <c r="AV877" s="87"/>
      <c r="AW877" s="87"/>
      <c r="AX877" s="87"/>
      <c r="AY877" s="87"/>
      <c r="AZ877" s="87"/>
      <c r="BA877" s="87"/>
      <c r="BB877" s="87"/>
      <c r="BC877" s="87"/>
      <c r="BD877" s="87"/>
      <c r="BE877" s="87"/>
      <c r="BF877" s="87"/>
      <c r="BG877" s="87"/>
      <c r="BH877" s="87"/>
    </row>
    <row r="878" spans="1:60" ht="16">
      <c r="A878" s="82"/>
      <c r="B878" s="82"/>
      <c r="C878" s="82"/>
      <c r="D878" s="83"/>
      <c r="E878" s="84"/>
      <c r="F878" s="84"/>
      <c r="G878" s="84"/>
      <c r="H878" s="82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7"/>
      <c r="AA878" s="87"/>
      <c r="AB878" s="87"/>
      <c r="AC878" s="87"/>
      <c r="AD878" s="87"/>
      <c r="AE878" s="87"/>
      <c r="AF878" s="87"/>
      <c r="AG878" s="87"/>
      <c r="AH878" s="87"/>
      <c r="AI878" s="87"/>
      <c r="AJ878" s="87"/>
      <c r="AK878" s="87"/>
      <c r="AL878" s="87"/>
      <c r="AM878" s="87"/>
      <c r="AN878" s="87"/>
      <c r="AO878" s="87"/>
      <c r="AP878" s="87"/>
      <c r="AQ878" s="87"/>
      <c r="AR878" s="87"/>
      <c r="AS878" s="87"/>
      <c r="AT878" s="87"/>
      <c r="AU878" s="87"/>
      <c r="AV878" s="87"/>
      <c r="AW878" s="87"/>
      <c r="AX878" s="87"/>
      <c r="AY878" s="87"/>
      <c r="AZ878" s="87"/>
      <c r="BA878" s="87"/>
      <c r="BB878" s="87"/>
      <c r="BC878" s="87"/>
      <c r="BD878" s="87"/>
      <c r="BE878" s="87"/>
      <c r="BF878" s="87"/>
      <c r="BG878" s="87"/>
      <c r="BH878" s="87"/>
    </row>
    <row r="879" spans="1:60" ht="16">
      <c r="A879" s="82"/>
      <c r="B879" s="82"/>
      <c r="C879" s="82"/>
      <c r="D879" s="83"/>
      <c r="E879" s="84"/>
      <c r="F879" s="84"/>
      <c r="G879" s="84"/>
      <c r="H879" s="82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7"/>
      <c r="AA879" s="87"/>
      <c r="AB879" s="87"/>
      <c r="AC879" s="87"/>
      <c r="AD879" s="87"/>
      <c r="AE879" s="87"/>
      <c r="AF879" s="87"/>
      <c r="AG879" s="87"/>
      <c r="AH879" s="87"/>
      <c r="AI879" s="87"/>
      <c r="AJ879" s="87"/>
      <c r="AK879" s="87"/>
      <c r="AL879" s="87"/>
      <c r="AM879" s="87"/>
      <c r="AN879" s="87"/>
      <c r="AO879" s="87"/>
      <c r="AP879" s="87"/>
      <c r="AQ879" s="87"/>
      <c r="AR879" s="87"/>
      <c r="AS879" s="87"/>
      <c r="AT879" s="87"/>
      <c r="AU879" s="87"/>
      <c r="AV879" s="87"/>
      <c r="AW879" s="87"/>
      <c r="AX879" s="87"/>
      <c r="AY879" s="87"/>
      <c r="AZ879" s="87"/>
      <c r="BA879" s="87"/>
      <c r="BB879" s="87"/>
      <c r="BC879" s="87"/>
      <c r="BD879" s="87"/>
      <c r="BE879" s="87"/>
      <c r="BF879" s="87"/>
      <c r="BG879" s="87"/>
      <c r="BH879" s="87"/>
    </row>
    <row r="880" spans="1:60" ht="16">
      <c r="A880" s="82"/>
      <c r="B880" s="82"/>
      <c r="C880" s="82"/>
      <c r="D880" s="83"/>
      <c r="E880" s="84"/>
      <c r="F880" s="84"/>
      <c r="G880" s="84"/>
      <c r="H880" s="82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7"/>
      <c r="AA880" s="87"/>
      <c r="AB880" s="87"/>
      <c r="AC880" s="87"/>
      <c r="AD880" s="87"/>
      <c r="AE880" s="87"/>
      <c r="AF880" s="87"/>
      <c r="AG880" s="87"/>
      <c r="AH880" s="87"/>
      <c r="AI880" s="87"/>
      <c r="AJ880" s="87"/>
      <c r="AK880" s="87"/>
      <c r="AL880" s="87"/>
      <c r="AM880" s="87"/>
      <c r="AN880" s="87"/>
      <c r="AO880" s="87"/>
      <c r="AP880" s="87"/>
      <c r="AQ880" s="87"/>
      <c r="AR880" s="87"/>
      <c r="AS880" s="87"/>
      <c r="AT880" s="87"/>
      <c r="AU880" s="87"/>
      <c r="AV880" s="87"/>
      <c r="AW880" s="87"/>
      <c r="AX880" s="87"/>
      <c r="AY880" s="87"/>
      <c r="AZ880" s="87"/>
      <c r="BA880" s="87"/>
      <c r="BB880" s="87"/>
      <c r="BC880" s="87"/>
      <c r="BD880" s="87"/>
      <c r="BE880" s="87"/>
      <c r="BF880" s="87"/>
      <c r="BG880" s="87"/>
      <c r="BH880" s="87"/>
    </row>
    <row r="881" spans="1:60" ht="16">
      <c r="A881" s="82"/>
      <c r="B881" s="82"/>
      <c r="C881" s="82"/>
      <c r="D881" s="83"/>
      <c r="E881" s="84"/>
      <c r="F881" s="84"/>
      <c r="G881" s="84"/>
      <c r="H881" s="82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7"/>
      <c r="AA881" s="87"/>
      <c r="AB881" s="87"/>
      <c r="AC881" s="87"/>
      <c r="AD881" s="87"/>
      <c r="AE881" s="87"/>
      <c r="AF881" s="87"/>
      <c r="AG881" s="87"/>
      <c r="AH881" s="87"/>
      <c r="AI881" s="87"/>
      <c r="AJ881" s="87"/>
      <c r="AK881" s="87"/>
      <c r="AL881" s="87"/>
      <c r="AM881" s="87"/>
      <c r="AN881" s="87"/>
      <c r="AO881" s="87"/>
      <c r="AP881" s="87"/>
      <c r="AQ881" s="87"/>
      <c r="AR881" s="87"/>
      <c r="AS881" s="87"/>
      <c r="AT881" s="87"/>
      <c r="AU881" s="87"/>
      <c r="AV881" s="87"/>
      <c r="AW881" s="87"/>
      <c r="AX881" s="87"/>
      <c r="AY881" s="87"/>
      <c r="AZ881" s="87"/>
      <c r="BA881" s="87"/>
      <c r="BB881" s="87"/>
      <c r="BC881" s="87"/>
      <c r="BD881" s="87"/>
      <c r="BE881" s="87"/>
      <c r="BF881" s="87"/>
      <c r="BG881" s="87"/>
      <c r="BH881" s="87"/>
    </row>
    <row r="882" spans="1:60" ht="16">
      <c r="A882" s="82"/>
      <c r="B882" s="82"/>
      <c r="C882" s="82"/>
      <c r="D882" s="83"/>
      <c r="E882" s="84"/>
      <c r="F882" s="84"/>
      <c r="G882" s="84"/>
      <c r="H882" s="82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7"/>
      <c r="AA882" s="87"/>
      <c r="AB882" s="87"/>
      <c r="AC882" s="87"/>
      <c r="AD882" s="87"/>
      <c r="AE882" s="87"/>
      <c r="AF882" s="87"/>
      <c r="AG882" s="87"/>
      <c r="AH882" s="87"/>
      <c r="AI882" s="87"/>
      <c r="AJ882" s="87"/>
      <c r="AK882" s="87"/>
      <c r="AL882" s="87"/>
      <c r="AM882" s="87"/>
      <c r="AN882" s="87"/>
      <c r="AO882" s="87"/>
      <c r="AP882" s="87"/>
      <c r="AQ882" s="87"/>
      <c r="AR882" s="87"/>
      <c r="AS882" s="87"/>
      <c r="AT882" s="87"/>
      <c r="AU882" s="87"/>
      <c r="AV882" s="87"/>
      <c r="AW882" s="87"/>
      <c r="AX882" s="87"/>
      <c r="AY882" s="87"/>
      <c r="AZ882" s="87"/>
      <c r="BA882" s="87"/>
      <c r="BB882" s="87"/>
      <c r="BC882" s="87"/>
      <c r="BD882" s="87"/>
      <c r="BE882" s="87"/>
      <c r="BF882" s="87"/>
      <c r="BG882" s="87"/>
      <c r="BH882" s="87"/>
    </row>
    <row r="883" spans="1:60" ht="16">
      <c r="A883" s="82"/>
      <c r="B883" s="82"/>
      <c r="C883" s="82"/>
      <c r="D883" s="83"/>
      <c r="E883" s="84"/>
      <c r="F883" s="84"/>
      <c r="G883" s="84"/>
      <c r="H883" s="82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7"/>
      <c r="AA883" s="87"/>
      <c r="AB883" s="87"/>
      <c r="AC883" s="87"/>
      <c r="AD883" s="87"/>
      <c r="AE883" s="87"/>
      <c r="AF883" s="87"/>
      <c r="AG883" s="87"/>
      <c r="AH883" s="87"/>
      <c r="AI883" s="87"/>
      <c r="AJ883" s="87"/>
      <c r="AK883" s="87"/>
      <c r="AL883" s="87"/>
      <c r="AM883" s="87"/>
      <c r="AN883" s="87"/>
      <c r="AO883" s="87"/>
      <c r="AP883" s="87"/>
      <c r="AQ883" s="87"/>
      <c r="AR883" s="87"/>
      <c r="AS883" s="87"/>
      <c r="AT883" s="87"/>
      <c r="AU883" s="87"/>
      <c r="AV883" s="87"/>
      <c r="AW883" s="87"/>
      <c r="AX883" s="87"/>
      <c r="AY883" s="87"/>
      <c r="AZ883" s="87"/>
      <c r="BA883" s="87"/>
      <c r="BB883" s="87"/>
      <c r="BC883" s="87"/>
      <c r="BD883" s="87"/>
      <c r="BE883" s="87"/>
      <c r="BF883" s="87"/>
      <c r="BG883" s="87"/>
      <c r="BH883" s="87"/>
    </row>
    <row r="884" spans="1:60" ht="16">
      <c r="A884" s="82"/>
      <c r="B884" s="82"/>
      <c r="C884" s="82"/>
      <c r="D884" s="83"/>
      <c r="E884" s="84"/>
      <c r="F884" s="84"/>
      <c r="G884" s="84"/>
      <c r="H884" s="82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7"/>
      <c r="AA884" s="87"/>
      <c r="AB884" s="87"/>
      <c r="AC884" s="87"/>
      <c r="AD884" s="87"/>
      <c r="AE884" s="87"/>
      <c r="AF884" s="87"/>
      <c r="AG884" s="87"/>
      <c r="AH884" s="87"/>
      <c r="AI884" s="87"/>
      <c r="AJ884" s="87"/>
      <c r="AK884" s="87"/>
      <c r="AL884" s="87"/>
      <c r="AM884" s="87"/>
      <c r="AN884" s="87"/>
      <c r="AO884" s="87"/>
      <c r="AP884" s="87"/>
      <c r="AQ884" s="87"/>
      <c r="AR884" s="87"/>
      <c r="AS884" s="87"/>
      <c r="AT884" s="87"/>
      <c r="AU884" s="87"/>
      <c r="AV884" s="87"/>
      <c r="AW884" s="87"/>
      <c r="AX884" s="87"/>
      <c r="AY884" s="87"/>
      <c r="AZ884" s="87"/>
      <c r="BA884" s="87"/>
      <c r="BB884" s="87"/>
      <c r="BC884" s="87"/>
      <c r="BD884" s="87"/>
      <c r="BE884" s="87"/>
      <c r="BF884" s="87"/>
      <c r="BG884" s="87"/>
      <c r="BH884" s="87"/>
    </row>
    <row r="885" spans="1:60" ht="16">
      <c r="A885" s="82"/>
      <c r="B885" s="82"/>
      <c r="C885" s="82"/>
      <c r="D885" s="83"/>
      <c r="E885" s="84"/>
      <c r="F885" s="84"/>
      <c r="G885" s="84"/>
      <c r="H885" s="82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7"/>
      <c r="AA885" s="87"/>
      <c r="AB885" s="87"/>
      <c r="AC885" s="87"/>
      <c r="AD885" s="87"/>
      <c r="AE885" s="87"/>
      <c r="AF885" s="87"/>
      <c r="AG885" s="87"/>
      <c r="AH885" s="87"/>
      <c r="AI885" s="87"/>
      <c r="AJ885" s="87"/>
      <c r="AK885" s="87"/>
      <c r="AL885" s="87"/>
      <c r="AM885" s="87"/>
      <c r="AN885" s="87"/>
      <c r="AO885" s="87"/>
      <c r="AP885" s="87"/>
      <c r="AQ885" s="87"/>
      <c r="AR885" s="87"/>
      <c r="AS885" s="87"/>
      <c r="AT885" s="87"/>
      <c r="AU885" s="87"/>
      <c r="AV885" s="87"/>
      <c r="AW885" s="87"/>
      <c r="AX885" s="87"/>
      <c r="AY885" s="87"/>
      <c r="AZ885" s="87"/>
      <c r="BA885" s="87"/>
      <c r="BB885" s="87"/>
      <c r="BC885" s="87"/>
      <c r="BD885" s="87"/>
      <c r="BE885" s="87"/>
      <c r="BF885" s="87"/>
      <c r="BG885" s="87"/>
      <c r="BH885" s="87"/>
    </row>
    <row r="886" spans="1:60" ht="16">
      <c r="A886" s="82"/>
      <c r="B886" s="82"/>
      <c r="C886" s="82"/>
      <c r="D886" s="83"/>
      <c r="E886" s="84"/>
      <c r="F886" s="84"/>
      <c r="G886" s="84"/>
      <c r="H886" s="82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7"/>
      <c r="AA886" s="87"/>
      <c r="AB886" s="87"/>
      <c r="AC886" s="87"/>
      <c r="AD886" s="87"/>
      <c r="AE886" s="87"/>
      <c r="AF886" s="87"/>
      <c r="AG886" s="87"/>
      <c r="AH886" s="87"/>
      <c r="AI886" s="87"/>
      <c r="AJ886" s="87"/>
      <c r="AK886" s="87"/>
      <c r="AL886" s="87"/>
      <c r="AM886" s="87"/>
      <c r="AN886" s="87"/>
      <c r="AO886" s="87"/>
      <c r="AP886" s="87"/>
      <c r="AQ886" s="87"/>
      <c r="AR886" s="87"/>
      <c r="AS886" s="87"/>
      <c r="AT886" s="87"/>
      <c r="AU886" s="87"/>
      <c r="AV886" s="87"/>
      <c r="AW886" s="87"/>
      <c r="AX886" s="87"/>
      <c r="AY886" s="87"/>
      <c r="AZ886" s="87"/>
      <c r="BA886" s="87"/>
      <c r="BB886" s="87"/>
      <c r="BC886" s="87"/>
      <c r="BD886" s="87"/>
      <c r="BE886" s="87"/>
      <c r="BF886" s="87"/>
      <c r="BG886" s="87"/>
      <c r="BH886" s="87"/>
    </row>
    <row r="887" spans="1:60" ht="16">
      <c r="A887" s="82"/>
      <c r="B887" s="82"/>
      <c r="C887" s="82"/>
      <c r="D887" s="83"/>
      <c r="E887" s="84"/>
      <c r="F887" s="84"/>
      <c r="G887" s="84"/>
      <c r="H887" s="82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7"/>
      <c r="AA887" s="87"/>
      <c r="AB887" s="87"/>
      <c r="AC887" s="87"/>
      <c r="AD887" s="87"/>
      <c r="AE887" s="87"/>
      <c r="AF887" s="87"/>
      <c r="AG887" s="87"/>
      <c r="AH887" s="87"/>
      <c r="AI887" s="87"/>
      <c r="AJ887" s="87"/>
      <c r="AK887" s="87"/>
      <c r="AL887" s="87"/>
      <c r="AM887" s="87"/>
      <c r="AN887" s="87"/>
      <c r="AO887" s="87"/>
      <c r="AP887" s="87"/>
      <c r="AQ887" s="87"/>
      <c r="AR887" s="87"/>
      <c r="AS887" s="87"/>
      <c r="AT887" s="87"/>
      <c r="AU887" s="87"/>
      <c r="AV887" s="87"/>
      <c r="AW887" s="87"/>
      <c r="AX887" s="87"/>
      <c r="AY887" s="87"/>
      <c r="AZ887" s="87"/>
      <c r="BA887" s="87"/>
      <c r="BB887" s="87"/>
      <c r="BC887" s="87"/>
      <c r="BD887" s="87"/>
      <c r="BE887" s="87"/>
      <c r="BF887" s="87"/>
      <c r="BG887" s="87"/>
      <c r="BH887" s="87"/>
    </row>
    <row r="888" spans="1:60" ht="16">
      <c r="A888" s="82"/>
      <c r="B888" s="82"/>
      <c r="C888" s="82"/>
      <c r="D888" s="83"/>
      <c r="E888" s="84"/>
      <c r="F888" s="84"/>
      <c r="G888" s="84"/>
      <c r="H888" s="82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7"/>
      <c r="AA888" s="87"/>
      <c r="AB888" s="87"/>
      <c r="AC888" s="87"/>
      <c r="AD888" s="87"/>
      <c r="AE888" s="87"/>
      <c r="AF888" s="87"/>
      <c r="AG888" s="87"/>
      <c r="AH888" s="87"/>
      <c r="AI888" s="87"/>
      <c r="AJ888" s="87"/>
      <c r="AK888" s="87"/>
      <c r="AL888" s="87"/>
      <c r="AM888" s="87"/>
      <c r="AN888" s="87"/>
      <c r="AO888" s="87"/>
      <c r="AP888" s="87"/>
      <c r="AQ888" s="87"/>
      <c r="AR888" s="87"/>
      <c r="AS888" s="87"/>
      <c r="AT888" s="87"/>
      <c r="AU888" s="87"/>
      <c r="AV888" s="87"/>
      <c r="AW888" s="87"/>
      <c r="AX888" s="87"/>
      <c r="AY888" s="87"/>
      <c r="AZ888" s="87"/>
      <c r="BA888" s="87"/>
      <c r="BB888" s="87"/>
      <c r="BC888" s="87"/>
      <c r="BD888" s="87"/>
      <c r="BE888" s="87"/>
      <c r="BF888" s="87"/>
      <c r="BG888" s="87"/>
      <c r="BH888" s="87"/>
    </row>
    <row r="889" spans="1:60" ht="16">
      <c r="A889" s="82"/>
      <c r="B889" s="82"/>
      <c r="C889" s="82"/>
      <c r="D889" s="83"/>
      <c r="E889" s="84"/>
      <c r="F889" s="84"/>
      <c r="G889" s="84"/>
      <c r="H889" s="82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7"/>
      <c r="AA889" s="87"/>
      <c r="AB889" s="87"/>
      <c r="AC889" s="87"/>
      <c r="AD889" s="87"/>
      <c r="AE889" s="87"/>
      <c r="AF889" s="87"/>
      <c r="AG889" s="87"/>
      <c r="AH889" s="87"/>
      <c r="AI889" s="87"/>
      <c r="AJ889" s="87"/>
      <c r="AK889" s="87"/>
      <c r="AL889" s="87"/>
      <c r="AM889" s="87"/>
      <c r="AN889" s="87"/>
      <c r="AO889" s="87"/>
      <c r="AP889" s="87"/>
      <c r="AQ889" s="87"/>
      <c r="AR889" s="87"/>
      <c r="AS889" s="87"/>
      <c r="AT889" s="87"/>
      <c r="AU889" s="87"/>
      <c r="AV889" s="87"/>
      <c r="AW889" s="87"/>
      <c r="AX889" s="87"/>
      <c r="AY889" s="87"/>
      <c r="AZ889" s="87"/>
      <c r="BA889" s="87"/>
      <c r="BB889" s="87"/>
      <c r="BC889" s="87"/>
      <c r="BD889" s="87"/>
      <c r="BE889" s="87"/>
      <c r="BF889" s="87"/>
      <c r="BG889" s="87"/>
      <c r="BH889" s="87"/>
    </row>
    <row r="890" spans="1:60" ht="16">
      <c r="A890" s="82"/>
      <c r="B890" s="82"/>
      <c r="C890" s="82"/>
      <c r="D890" s="83"/>
      <c r="E890" s="84"/>
      <c r="F890" s="84"/>
      <c r="G890" s="84"/>
      <c r="H890" s="82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7"/>
      <c r="AA890" s="87"/>
      <c r="AB890" s="87"/>
      <c r="AC890" s="87"/>
      <c r="AD890" s="87"/>
      <c r="AE890" s="87"/>
      <c r="AF890" s="87"/>
      <c r="AG890" s="87"/>
      <c r="AH890" s="87"/>
      <c r="AI890" s="87"/>
      <c r="AJ890" s="87"/>
      <c r="AK890" s="87"/>
      <c r="AL890" s="87"/>
      <c r="AM890" s="87"/>
      <c r="AN890" s="87"/>
      <c r="AO890" s="87"/>
      <c r="AP890" s="87"/>
      <c r="AQ890" s="87"/>
      <c r="AR890" s="87"/>
      <c r="AS890" s="87"/>
      <c r="AT890" s="87"/>
      <c r="AU890" s="87"/>
      <c r="AV890" s="87"/>
      <c r="AW890" s="87"/>
      <c r="AX890" s="87"/>
      <c r="AY890" s="87"/>
      <c r="AZ890" s="87"/>
      <c r="BA890" s="87"/>
      <c r="BB890" s="87"/>
      <c r="BC890" s="87"/>
      <c r="BD890" s="87"/>
      <c r="BE890" s="87"/>
      <c r="BF890" s="87"/>
      <c r="BG890" s="87"/>
      <c r="BH890" s="87"/>
    </row>
    <row r="891" spans="1:60" ht="16">
      <c r="A891" s="82"/>
      <c r="B891" s="82"/>
      <c r="C891" s="82"/>
      <c r="D891" s="83"/>
      <c r="E891" s="84"/>
      <c r="F891" s="84"/>
      <c r="G891" s="84"/>
      <c r="H891" s="82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7"/>
      <c r="AA891" s="87"/>
      <c r="AB891" s="87"/>
      <c r="AC891" s="87"/>
      <c r="AD891" s="87"/>
      <c r="AE891" s="87"/>
      <c r="AF891" s="87"/>
      <c r="AG891" s="87"/>
      <c r="AH891" s="87"/>
      <c r="AI891" s="87"/>
      <c r="AJ891" s="87"/>
      <c r="AK891" s="87"/>
      <c r="AL891" s="87"/>
      <c r="AM891" s="87"/>
      <c r="AN891" s="87"/>
      <c r="AO891" s="87"/>
      <c r="AP891" s="87"/>
      <c r="AQ891" s="87"/>
      <c r="AR891" s="87"/>
      <c r="AS891" s="87"/>
      <c r="AT891" s="87"/>
      <c r="AU891" s="87"/>
      <c r="AV891" s="87"/>
      <c r="AW891" s="87"/>
      <c r="AX891" s="87"/>
      <c r="AY891" s="87"/>
      <c r="AZ891" s="87"/>
      <c r="BA891" s="87"/>
      <c r="BB891" s="87"/>
      <c r="BC891" s="87"/>
      <c r="BD891" s="87"/>
      <c r="BE891" s="87"/>
      <c r="BF891" s="87"/>
      <c r="BG891" s="87"/>
      <c r="BH891" s="87"/>
    </row>
    <row r="892" spans="1:60" ht="16">
      <c r="A892" s="82"/>
      <c r="B892" s="82"/>
      <c r="C892" s="82"/>
      <c r="D892" s="83"/>
      <c r="E892" s="84"/>
      <c r="F892" s="84"/>
      <c r="G892" s="84"/>
      <c r="H892" s="82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7"/>
      <c r="AA892" s="87"/>
      <c r="AB892" s="87"/>
      <c r="AC892" s="87"/>
      <c r="AD892" s="87"/>
      <c r="AE892" s="87"/>
      <c r="AF892" s="87"/>
      <c r="AG892" s="87"/>
      <c r="AH892" s="87"/>
      <c r="AI892" s="87"/>
      <c r="AJ892" s="87"/>
      <c r="AK892" s="87"/>
      <c r="AL892" s="87"/>
      <c r="AM892" s="87"/>
      <c r="AN892" s="87"/>
      <c r="AO892" s="87"/>
      <c r="AP892" s="87"/>
      <c r="AQ892" s="87"/>
      <c r="AR892" s="87"/>
      <c r="AS892" s="87"/>
      <c r="AT892" s="87"/>
      <c r="AU892" s="87"/>
      <c r="AV892" s="87"/>
      <c r="AW892" s="87"/>
      <c r="AX892" s="87"/>
      <c r="AY892" s="87"/>
      <c r="AZ892" s="87"/>
      <c r="BA892" s="87"/>
      <c r="BB892" s="87"/>
      <c r="BC892" s="87"/>
      <c r="BD892" s="87"/>
      <c r="BE892" s="87"/>
      <c r="BF892" s="87"/>
      <c r="BG892" s="87"/>
      <c r="BH892" s="87"/>
    </row>
    <row r="893" spans="1:60" ht="16">
      <c r="A893" s="82"/>
      <c r="B893" s="82"/>
      <c r="C893" s="82"/>
      <c r="D893" s="83"/>
      <c r="E893" s="84"/>
      <c r="F893" s="84"/>
      <c r="G893" s="84"/>
      <c r="H893" s="82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7"/>
      <c r="AA893" s="87"/>
      <c r="AB893" s="87"/>
      <c r="AC893" s="87"/>
      <c r="AD893" s="87"/>
      <c r="AE893" s="87"/>
      <c r="AF893" s="87"/>
      <c r="AG893" s="87"/>
      <c r="AH893" s="87"/>
      <c r="AI893" s="87"/>
      <c r="AJ893" s="87"/>
      <c r="AK893" s="87"/>
      <c r="AL893" s="87"/>
      <c r="AM893" s="87"/>
      <c r="AN893" s="87"/>
      <c r="AO893" s="87"/>
      <c r="AP893" s="87"/>
      <c r="AQ893" s="87"/>
      <c r="AR893" s="87"/>
      <c r="AS893" s="87"/>
      <c r="AT893" s="87"/>
      <c r="AU893" s="87"/>
      <c r="AV893" s="87"/>
      <c r="AW893" s="87"/>
      <c r="AX893" s="87"/>
      <c r="AY893" s="87"/>
      <c r="AZ893" s="87"/>
      <c r="BA893" s="87"/>
      <c r="BB893" s="87"/>
      <c r="BC893" s="87"/>
      <c r="BD893" s="87"/>
      <c r="BE893" s="87"/>
      <c r="BF893" s="87"/>
      <c r="BG893" s="87"/>
      <c r="BH893" s="87"/>
    </row>
    <row r="894" spans="1:60" ht="16">
      <c r="A894" s="82"/>
      <c r="B894" s="82"/>
      <c r="C894" s="82"/>
      <c r="D894" s="83"/>
      <c r="E894" s="84"/>
      <c r="F894" s="84"/>
      <c r="G894" s="84"/>
      <c r="H894" s="82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7"/>
      <c r="AA894" s="87"/>
      <c r="AB894" s="87"/>
      <c r="AC894" s="87"/>
      <c r="AD894" s="87"/>
      <c r="AE894" s="87"/>
      <c r="AF894" s="87"/>
      <c r="AG894" s="87"/>
      <c r="AH894" s="87"/>
      <c r="AI894" s="87"/>
      <c r="AJ894" s="87"/>
      <c r="AK894" s="87"/>
      <c r="AL894" s="87"/>
      <c r="AM894" s="87"/>
      <c r="AN894" s="87"/>
      <c r="AO894" s="87"/>
      <c r="AP894" s="87"/>
      <c r="AQ894" s="87"/>
      <c r="AR894" s="87"/>
      <c r="AS894" s="87"/>
      <c r="AT894" s="87"/>
      <c r="AU894" s="87"/>
      <c r="AV894" s="87"/>
      <c r="AW894" s="87"/>
      <c r="AX894" s="87"/>
      <c r="AY894" s="87"/>
      <c r="AZ894" s="87"/>
      <c r="BA894" s="87"/>
      <c r="BB894" s="87"/>
      <c r="BC894" s="87"/>
      <c r="BD894" s="87"/>
      <c r="BE894" s="87"/>
      <c r="BF894" s="87"/>
      <c r="BG894" s="87"/>
      <c r="BH894" s="87"/>
    </row>
    <row r="895" spans="1:60" ht="16">
      <c r="A895" s="82"/>
      <c r="B895" s="82"/>
      <c r="C895" s="82"/>
      <c r="D895" s="83"/>
      <c r="E895" s="84"/>
      <c r="F895" s="84"/>
      <c r="G895" s="84"/>
      <c r="H895" s="82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7"/>
      <c r="AA895" s="87"/>
      <c r="AB895" s="87"/>
      <c r="AC895" s="87"/>
      <c r="AD895" s="87"/>
      <c r="AE895" s="87"/>
      <c r="AF895" s="87"/>
      <c r="AG895" s="87"/>
      <c r="AH895" s="87"/>
      <c r="AI895" s="87"/>
      <c r="AJ895" s="87"/>
      <c r="AK895" s="87"/>
      <c r="AL895" s="87"/>
      <c r="AM895" s="87"/>
      <c r="AN895" s="87"/>
      <c r="AO895" s="87"/>
      <c r="AP895" s="87"/>
      <c r="AQ895" s="87"/>
      <c r="AR895" s="87"/>
      <c r="AS895" s="87"/>
      <c r="AT895" s="87"/>
      <c r="AU895" s="87"/>
      <c r="AV895" s="87"/>
      <c r="AW895" s="87"/>
      <c r="AX895" s="87"/>
      <c r="AY895" s="87"/>
      <c r="AZ895" s="87"/>
      <c r="BA895" s="87"/>
      <c r="BB895" s="87"/>
      <c r="BC895" s="87"/>
      <c r="BD895" s="87"/>
      <c r="BE895" s="87"/>
      <c r="BF895" s="87"/>
      <c r="BG895" s="87"/>
      <c r="BH895" s="87"/>
    </row>
    <row r="896" spans="1:60" ht="16">
      <c r="A896" s="82"/>
      <c r="B896" s="82"/>
      <c r="C896" s="82"/>
      <c r="D896" s="83"/>
      <c r="E896" s="84"/>
      <c r="F896" s="84"/>
      <c r="G896" s="84"/>
      <c r="H896" s="82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7"/>
      <c r="AA896" s="87"/>
      <c r="AB896" s="87"/>
      <c r="AC896" s="87"/>
      <c r="AD896" s="87"/>
      <c r="AE896" s="87"/>
      <c r="AF896" s="87"/>
      <c r="AG896" s="87"/>
      <c r="AH896" s="87"/>
      <c r="AI896" s="87"/>
      <c r="AJ896" s="87"/>
      <c r="AK896" s="87"/>
      <c r="AL896" s="87"/>
      <c r="AM896" s="87"/>
      <c r="AN896" s="87"/>
      <c r="AO896" s="87"/>
      <c r="AP896" s="87"/>
      <c r="AQ896" s="87"/>
      <c r="AR896" s="87"/>
      <c r="AS896" s="87"/>
      <c r="AT896" s="87"/>
      <c r="AU896" s="87"/>
      <c r="AV896" s="87"/>
      <c r="AW896" s="87"/>
      <c r="AX896" s="87"/>
      <c r="AY896" s="87"/>
      <c r="AZ896" s="87"/>
      <c r="BA896" s="87"/>
      <c r="BB896" s="87"/>
      <c r="BC896" s="87"/>
      <c r="BD896" s="87"/>
      <c r="BE896" s="87"/>
      <c r="BF896" s="87"/>
      <c r="BG896" s="87"/>
      <c r="BH896" s="87"/>
    </row>
    <row r="897" spans="1:60" ht="16">
      <c r="A897" s="82"/>
      <c r="B897" s="82"/>
      <c r="C897" s="82"/>
      <c r="D897" s="83"/>
      <c r="E897" s="84"/>
      <c r="F897" s="84"/>
      <c r="G897" s="84"/>
      <c r="H897" s="82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7"/>
      <c r="AA897" s="87"/>
      <c r="AB897" s="87"/>
      <c r="AC897" s="87"/>
      <c r="AD897" s="87"/>
      <c r="AE897" s="87"/>
      <c r="AF897" s="87"/>
      <c r="AG897" s="87"/>
      <c r="AH897" s="87"/>
      <c r="AI897" s="87"/>
      <c r="AJ897" s="87"/>
      <c r="AK897" s="87"/>
      <c r="AL897" s="87"/>
      <c r="AM897" s="87"/>
      <c r="AN897" s="87"/>
      <c r="AO897" s="87"/>
      <c r="AP897" s="87"/>
      <c r="AQ897" s="87"/>
      <c r="AR897" s="87"/>
      <c r="AS897" s="87"/>
      <c r="AT897" s="87"/>
      <c r="AU897" s="87"/>
      <c r="AV897" s="87"/>
      <c r="AW897" s="87"/>
      <c r="AX897" s="87"/>
      <c r="AY897" s="87"/>
      <c r="AZ897" s="87"/>
      <c r="BA897" s="87"/>
      <c r="BB897" s="87"/>
      <c r="BC897" s="87"/>
      <c r="BD897" s="87"/>
      <c r="BE897" s="87"/>
      <c r="BF897" s="87"/>
      <c r="BG897" s="87"/>
      <c r="BH897" s="87"/>
    </row>
    <row r="898" spans="1:60" ht="16">
      <c r="A898" s="82"/>
      <c r="B898" s="82"/>
      <c r="C898" s="82"/>
      <c r="D898" s="83"/>
      <c r="E898" s="84"/>
      <c r="F898" s="84"/>
      <c r="G898" s="84"/>
      <c r="H898" s="82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7"/>
      <c r="AA898" s="87"/>
      <c r="AB898" s="87"/>
      <c r="AC898" s="87"/>
      <c r="AD898" s="87"/>
      <c r="AE898" s="87"/>
      <c r="AF898" s="87"/>
      <c r="AG898" s="87"/>
      <c r="AH898" s="87"/>
      <c r="AI898" s="87"/>
      <c r="AJ898" s="87"/>
      <c r="AK898" s="87"/>
      <c r="AL898" s="87"/>
      <c r="AM898" s="87"/>
      <c r="AN898" s="87"/>
      <c r="AO898" s="87"/>
      <c r="AP898" s="87"/>
      <c r="AQ898" s="87"/>
      <c r="AR898" s="87"/>
      <c r="AS898" s="87"/>
      <c r="AT898" s="87"/>
      <c r="AU898" s="87"/>
      <c r="AV898" s="87"/>
      <c r="AW898" s="87"/>
      <c r="AX898" s="87"/>
      <c r="AY898" s="87"/>
      <c r="AZ898" s="87"/>
      <c r="BA898" s="87"/>
      <c r="BB898" s="87"/>
      <c r="BC898" s="87"/>
      <c r="BD898" s="87"/>
      <c r="BE898" s="87"/>
      <c r="BF898" s="87"/>
      <c r="BG898" s="87"/>
      <c r="BH898" s="87"/>
    </row>
    <row r="899" spans="1:60" ht="16">
      <c r="A899" s="82"/>
      <c r="B899" s="82"/>
      <c r="C899" s="82"/>
      <c r="D899" s="83"/>
      <c r="E899" s="84"/>
      <c r="F899" s="84"/>
      <c r="G899" s="84"/>
      <c r="H899" s="82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7"/>
      <c r="AA899" s="87"/>
      <c r="AB899" s="87"/>
      <c r="AC899" s="87"/>
      <c r="AD899" s="87"/>
      <c r="AE899" s="87"/>
      <c r="AF899" s="87"/>
      <c r="AG899" s="87"/>
      <c r="AH899" s="87"/>
      <c r="AI899" s="87"/>
      <c r="AJ899" s="87"/>
      <c r="AK899" s="87"/>
      <c r="AL899" s="87"/>
      <c r="AM899" s="87"/>
      <c r="AN899" s="87"/>
      <c r="AO899" s="87"/>
      <c r="AP899" s="87"/>
      <c r="AQ899" s="87"/>
      <c r="AR899" s="87"/>
      <c r="AS899" s="87"/>
      <c r="AT899" s="87"/>
      <c r="AU899" s="87"/>
      <c r="AV899" s="87"/>
      <c r="AW899" s="87"/>
      <c r="AX899" s="87"/>
      <c r="AY899" s="87"/>
      <c r="AZ899" s="87"/>
      <c r="BA899" s="87"/>
      <c r="BB899" s="87"/>
      <c r="BC899" s="87"/>
      <c r="BD899" s="87"/>
      <c r="BE899" s="87"/>
      <c r="BF899" s="87"/>
      <c r="BG899" s="87"/>
      <c r="BH899" s="87"/>
    </row>
    <row r="900" spans="1:60" ht="16">
      <c r="A900" s="82"/>
      <c r="B900" s="82"/>
      <c r="C900" s="82"/>
      <c r="D900" s="83"/>
      <c r="E900" s="84"/>
      <c r="F900" s="84"/>
      <c r="G900" s="84"/>
      <c r="H900" s="82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7"/>
      <c r="AA900" s="87"/>
      <c r="AB900" s="87"/>
      <c r="AC900" s="87"/>
      <c r="AD900" s="87"/>
      <c r="AE900" s="87"/>
      <c r="AF900" s="87"/>
      <c r="AG900" s="87"/>
      <c r="AH900" s="87"/>
      <c r="AI900" s="87"/>
      <c r="AJ900" s="87"/>
      <c r="AK900" s="87"/>
      <c r="AL900" s="87"/>
      <c r="AM900" s="87"/>
      <c r="AN900" s="87"/>
      <c r="AO900" s="87"/>
      <c r="AP900" s="87"/>
      <c r="AQ900" s="87"/>
      <c r="AR900" s="87"/>
      <c r="AS900" s="87"/>
      <c r="AT900" s="87"/>
      <c r="AU900" s="87"/>
      <c r="AV900" s="87"/>
      <c r="AW900" s="87"/>
      <c r="AX900" s="87"/>
      <c r="AY900" s="87"/>
      <c r="AZ900" s="87"/>
      <c r="BA900" s="87"/>
      <c r="BB900" s="87"/>
      <c r="BC900" s="87"/>
      <c r="BD900" s="87"/>
      <c r="BE900" s="87"/>
      <c r="BF900" s="87"/>
      <c r="BG900" s="87"/>
      <c r="BH900" s="87"/>
    </row>
    <row r="901" spans="1:60" ht="16">
      <c r="A901" s="82"/>
      <c r="B901" s="82"/>
      <c r="C901" s="82"/>
      <c r="D901" s="83"/>
      <c r="E901" s="84"/>
      <c r="F901" s="84"/>
      <c r="G901" s="84"/>
      <c r="H901" s="82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7"/>
      <c r="AA901" s="87"/>
      <c r="AB901" s="87"/>
      <c r="AC901" s="87"/>
      <c r="AD901" s="87"/>
      <c r="AE901" s="87"/>
      <c r="AF901" s="87"/>
      <c r="AG901" s="87"/>
      <c r="AH901" s="87"/>
      <c r="AI901" s="87"/>
      <c r="AJ901" s="87"/>
      <c r="AK901" s="87"/>
      <c r="AL901" s="87"/>
      <c r="AM901" s="87"/>
      <c r="AN901" s="87"/>
      <c r="AO901" s="87"/>
      <c r="AP901" s="87"/>
      <c r="AQ901" s="87"/>
      <c r="AR901" s="87"/>
      <c r="AS901" s="87"/>
      <c r="AT901" s="87"/>
      <c r="AU901" s="87"/>
      <c r="AV901" s="87"/>
      <c r="AW901" s="87"/>
      <c r="AX901" s="87"/>
      <c r="AY901" s="87"/>
      <c r="AZ901" s="87"/>
      <c r="BA901" s="87"/>
      <c r="BB901" s="87"/>
      <c r="BC901" s="87"/>
      <c r="BD901" s="87"/>
      <c r="BE901" s="87"/>
      <c r="BF901" s="87"/>
      <c r="BG901" s="87"/>
      <c r="BH901" s="87"/>
    </row>
    <row r="902" spans="1:60" ht="16">
      <c r="A902" s="82"/>
      <c r="B902" s="82"/>
      <c r="C902" s="82"/>
      <c r="D902" s="83"/>
      <c r="E902" s="84"/>
      <c r="F902" s="84"/>
      <c r="G902" s="84"/>
      <c r="H902" s="82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7"/>
      <c r="AA902" s="87"/>
      <c r="AB902" s="87"/>
      <c r="AC902" s="87"/>
      <c r="AD902" s="87"/>
      <c r="AE902" s="87"/>
      <c r="AF902" s="87"/>
      <c r="AG902" s="87"/>
      <c r="AH902" s="87"/>
      <c r="AI902" s="87"/>
      <c r="AJ902" s="87"/>
      <c r="AK902" s="87"/>
      <c r="AL902" s="87"/>
      <c r="AM902" s="87"/>
      <c r="AN902" s="87"/>
      <c r="AO902" s="87"/>
      <c r="AP902" s="87"/>
      <c r="AQ902" s="87"/>
      <c r="AR902" s="87"/>
      <c r="AS902" s="87"/>
      <c r="AT902" s="87"/>
      <c r="AU902" s="87"/>
      <c r="AV902" s="87"/>
      <c r="AW902" s="87"/>
      <c r="AX902" s="87"/>
      <c r="AY902" s="87"/>
      <c r="AZ902" s="87"/>
      <c r="BA902" s="87"/>
      <c r="BB902" s="87"/>
      <c r="BC902" s="87"/>
      <c r="BD902" s="87"/>
      <c r="BE902" s="87"/>
      <c r="BF902" s="87"/>
      <c r="BG902" s="87"/>
      <c r="BH902" s="87"/>
    </row>
    <row r="903" spans="1:60" ht="16">
      <c r="A903" s="82"/>
      <c r="B903" s="82"/>
      <c r="C903" s="82"/>
      <c r="D903" s="83"/>
      <c r="E903" s="84"/>
      <c r="F903" s="84"/>
      <c r="G903" s="84"/>
      <c r="H903" s="82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7"/>
      <c r="AA903" s="87"/>
      <c r="AB903" s="87"/>
      <c r="AC903" s="87"/>
      <c r="AD903" s="87"/>
      <c r="AE903" s="87"/>
      <c r="AF903" s="87"/>
      <c r="AG903" s="87"/>
      <c r="AH903" s="87"/>
      <c r="AI903" s="87"/>
      <c r="AJ903" s="87"/>
      <c r="AK903" s="87"/>
      <c r="AL903" s="87"/>
      <c r="AM903" s="87"/>
      <c r="AN903" s="87"/>
      <c r="AO903" s="87"/>
      <c r="AP903" s="87"/>
      <c r="AQ903" s="87"/>
      <c r="AR903" s="87"/>
      <c r="AS903" s="87"/>
      <c r="AT903" s="87"/>
      <c r="AU903" s="87"/>
      <c r="AV903" s="87"/>
      <c r="AW903" s="87"/>
      <c r="AX903" s="87"/>
      <c r="AY903" s="87"/>
      <c r="AZ903" s="87"/>
      <c r="BA903" s="87"/>
      <c r="BB903" s="87"/>
      <c r="BC903" s="87"/>
      <c r="BD903" s="87"/>
      <c r="BE903" s="87"/>
      <c r="BF903" s="87"/>
      <c r="BG903" s="87"/>
      <c r="BH903" s="87"/>
    </row>
    <row r="904" spans="1:60" ht="16">
      <c r="A904" s="82"/>
      <c r="B904" s="82"/>
      <c r="C904" s="82"/>
      <c r="D904" s="83"/>
      <c r="E904" s="84"/>
      <c r="F904" s="84"/>
      <c r="G904" s="84"/>
      <c r="H904" s="82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7"/>
      <c r="AA904" s="87"/>
      <c r="AB904" s="87"/>
      <c r="AC904" s="87"/>
      <c r="AD904" s="87"/>
      <c r="AE904" s="87"/>
      <c r="AF904" s="87"/>
      <c r="AG904" s="87"/>
      <c r="AH904" s="87"/>
      <c r="AI904" s="87"/>
      <c r="AJ904" s="87"/>
      <c r="AK904" s="87"/>
      <c r="AL904" s="87"/>
      <c r="AM904" s="87"/>
      <c r="AN904" s="87"/>
      <c r="AO904" s="87"/>
      <c r="AP904" s="87"/>
      <c r="AQ904" s="87"/>
      <c r="AR904" s="87"/>
      <c r="AS904" s="87"/>
      <c r="AT904" s="87"/>
      <c r="AU904" s="87"/>
      <c r="AV904" s="87"/>
      <c r="AW904" s="87"/>
      <c r="AX904" s="87"/>
      <c r="AY904" s="87"/>
      <c r="AZ904" s="87"/>
      <c r="BA904" s="87"/>
      <c r="BB904" s="87"/>
      <c r="BC904" s="87"/>
      <c r="BD904" s="87"/>
      <c r="BE904" s="87"/>
      <c r="BF904" s="87"/>
      <c r="BG904" s="87"/>
      <c r="BH904" s="87"/>
    </row>
    <row r="905" spans="1:60" ht="16">
      <c r="A905" s="82"/>
      <c r="B905" s="82"/>
      <c r="C905" s="82"/>
      <c r="D905" s="83"/>
      <c r="E905" s="84"/>
      <c r="F905" s="84"/>
      <c r="G905" s="84"/>
      <c r="H905" s="82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7"/>
      <c r="AA905" s="87"/>
      <c r="AB905" s="87"/>
      <c r="AC905" s="87"/>
      <c r="AD905" s="87"/>
      <c r="AE905" s="87"/>
      <c r="AF905" s="87"/>
      <c r="AG905" s="87"/>
      <c r="AH905" s="87"/>
      <c r="AI905" s="87"/>
      <c r="AJ905" s="87"/>
      <c r="AK905" s="87"/>
      <c r="AL905" s="87"/>
      <c r="AM905" s="87"/>
      <c r="AN905" s="87"/>
      <c r="AO905" s="87"/>
      <c r="AP905" s="87"/>
      <c r="AQ905" s="87"/>
      <c r="AR905" s="87"/>
      <c r="AS905" s="87"/>
      <c r="AT905" s="87"/>
      <c r="AU905" s="87"/>
      <c r="AV905" s="87"/>
      <c r="AW905" s="87"/>
      <c r="AX905" s="87"/>
      <c r="AY905" s="87"/>
      <c r="AZ905" s="87"/>
      <c r="BA905" s="87"/>
      <c r="BB905" s="87"/>
      <c r="BC905" s="87"/>
      <c r="BD905" s="87"/>
      <c r="BE905" s="87"/>
      <c r="BF905" s="87"/>
      <c r="BG905" s="87"/>
      <c r="BH905" s="87"/>
    </row>
    <row r="906" spans="1:60" ht="16">
      <c r="A906" s="82"/>
      <c r="B906" s="82"/>
      <c r="C906" s="82"/>
      <c r="D906" s="83"/>
      <c r="E906" s="84"/>
      <c r="F906" s="84"/>
      <c r="G906" s="84"/>
      <c r="H906" s="82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7"/>
      <c r="AA906" s="87"/>
      <c r="AB906" s="87"/>
      <c r="AC906" s="87"/>
      <c r="AD906" s="87"/>
      <c r="AE906" s="87"/>
      <c r="AF906" s="87"/>
      <c r="AG906" s="87"/>
      <c r="AH906" s="87"/>
      <c r="AI906" s="87"/>
      <c r="AJ906" s="87"/>
      <c r="AK906" s="87"/>
      <c r="AL906" s="87"/>
      <c r="AM906" s="87"/>
      <c r="AN906" s="87"/>
      <c r="AO906" s="87"/>
      <c r="AP906" s="87"/>
      <c r="AQ906" s="87"/>
      <c r="AR906" s="87"/>
      <c r="AS906" s="87"/>
      <c r="AT906" s="87"/>
      <c r="AU906" s="87"/>
      <c r="AV906" s="87"/>
      <c r="AW906" s="87"/>
      <c r="AX906" s="87"/>
      <c r="AY906" s="87"/>
      <c r="AZ906" s="87"/>
      <c r="BA906" s="87"/>
      <c r="BB906" s="87"/>
      <c r="BC906" s="87"/>
      <c r="BD906" s="87"/>
      <c r="BE906" s="87"/>
      <c r="BF906" s="87"/>
      <c r="BG906" s="87"/>
      <c r="BH906" s="87"/>
    </row>
    <row r="907" spans="1:60" ht="16">
      <c r="A907" s="82"/>
      <c r="B907" s="82"/>
      <c r="C907" s="82"/>
      <c r="D907" s="83"/>
      <c r="E907" s="84"/>
      <c r="F907" s="84"/>
      <c r="G907" s="84"/>
      <c r="H907" s="82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7"/>
      <c r="AA907" s="87"/>
      <c r="AB907" s="87"/>
      <c r="AC907" s="87"/>
      <c r="AD907" s="87"/>
      <c r="AE907" s="87"/>
      <c r="AF907" s="87"/>
      <c r="AG907" s="87"/>
      <c r="AH907" s="87"/>
      <c r="AI907" s="87"/>
      <c r="AJ907" s="87"/>
      <c r="AK907" s="87"/>
      <c r="AL907" s="87"/>
      <c r="AM907" s="87"/>
      <c r="AN907" s="87"/>
      <c r="AO907" s="87"/>
      <c r="AP907" s="87"/>
      <c r="AQ907" s="87"/>
      <c r="AR907" s="87"/>
      <c r="AS907" s="87"/>
      <c r="AT907" s="87"/>
      <c r="AU907" s="87"/>
      <c r="AV907" s="87"/>
      <c r="AW907" s="87"/>
      <c r="AX907" s="87"/>
      <c r="AY907" s="87"/>
      <c r="AZ907" s="87"/>
      <c r="BA907" s="87"/>
      <c r="BB907" s="87"/>
      <c r="BC907" s="87"/>
      <c r="BD907" s="87"/>
      <c r="BE907" s="87"/>
      <c r="BF907" s="87"/>
      <c r="BG907" s="87"/>
      <c r="BH907" s="87"/>
    </row>
    <row r="908" spans="1:60" ht="16">
      <c r="A908" s="82"/>
      <c r="B908" s="82"/>
      <c r="C908" s="82"/>
      <c r="D908" s="83"/>
      <c r="E908" s="84"/>
      <c r="F908" s="84"/>
      <c r="G908" s="84"/>
      <c r="H908" s="82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7"/>
      <c r="AA908" s="87"/>
      <c r="AB908" s="87"/>
      <c r="AC908" s="87"/>
      <c r="AD908" s="87"/>
      <c r="AE908" s="87"/>
      <c r="AF908" s="87"/>
      <c r="AG908" s="87"/>
      <c r="AH908" s="87"/>
      <c r="AI908" s="87"/>
      <c r="AJ908" s="87"/>
      <c r="AK908" s="87"/>
      <c r="AL908" s="87"/>
      <c r="AM908" s="87"/>
      <c r="AN908" s="87"/>
      <c r="AO908" s="87"/>
      <c r="AP908" s="87"/>
      <c r="AQ908" s="87"/>
      <c r="AR908" s="87"/>
      <c r="AS908" s="87"/>
      <c r="AT908" s="87"/>
      <c r="AU908" s="87"/>
      <c r="AV908" s="87"/>
      <c r="AW908" s="87"/>
      <c r="AX908" s="87"/>
      <c r="AY908" s="87"/>
      <c r="AZ908" s="87"/>
      <c r="BA908" s="87"/>
      <c r="BB908" s="87"/>
      <c r="BC908" s="87"/>
      <c r="BD908" s="87"/>
      <c r="BE908" s="87"/>
      <c r="BF908" s="87"/>
      <c r="BG908" s="87"/>
      <c r="BH908" s="87"/>
    </row>
    <row r="909" spans="1:60" ht="16">
      <c r="A909" s="82"/>
      <c r="B909" s="82"/>
      <c r="C909" s="82"/>
      <c r="D909" s="83"/>
      <c r="E909" s="84"/>
      <c r="F909" s="84"/>
      <c r="G909" s="84"/>
      <c r="H909" s="82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7"/>
      <c r="AA909" s="87"/>
      <c r="AB909" s="87"/>
      <c r="AC909" s="87"/>
      <c r="AD909" s="87"/>
      <c r="AE909" s="87"/>
      <c r="AF909" s="87"/>
      <c r="AG909" s="87"/>
      <c r="AH909" s="87"/>
      <c r="AI909" s="87"/>
      <c r="AJ909" s="87"/>
      <c r="AK909" s="87"/>
      <c r="AL909" s="87"/>
      <c r="AM909" s="87"/>
      <c r="AN909" s="87"/>
      <c r="AO909" s="87"/>
      <c r="AP909" s="87"/>
      <c r="AQ909" s="87"/>
      <c r="AR909" s="87"/>
      <c r="AS909" s="87"/>
      <c r="AT909" s="87"/>
      <c r="AU909" s="87"/>
      <c r="AV909" s="87"/>
      <c r="AW909" s="87"/>
      <c r="AX909" s="87"/>
      <c r="AY909" s="87"/>
      <c r="AZ909" s="87"/>
      <c r="BA909" s="87"/>
      <c r="BB909" s="87"/>
      <c r="BC909" s="87"/>
      <c r="BD909" s="87"/>
      <c r="BE909" s="87"/>
      <c r="BF909" s="87"/>
      <c r="BG909" s="87"/>
      <c r="BH909" s="87"/>
    </row>
    <row r="910" spans="1:60" ht="16">
      <c r="A910" s="82"/>
      <c r="B910" s="82"/>
      <c r="C910" s="82"/>
      <c r="D910" s="83"/>
      <c r="E910" s="84"/>
      <c r="F910" s="84"/>
      <c r="G910" s="84"/>
      <c r="H910" s="82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7"/>
      <c r="AA910" s="87"/>
      <c r="AB910" s="87"/>
      <c r="AC910" s="87"/>
      <c r="AD910" s="87"/>
      <c r="AE910" s="87"/>
      <c r="AF910" s="87"/>
      <c r="AG910" s="87"/>
      <c r="AH910" s="87"/>
      <c r="AI910" s="87"/>
      <c r="AJ910" s="87"/>
      <c r="AK910" s="87"/>
      <c r="AL910" s="87"/>
      <c r="AM910" s="87"/>
      <c r="AN910" s="87"/>
      <c r="AO910" s="87"/>
      <c r="AP910" s="87"/>
      <c r="AQ910" s="87"/>
      <c r="AR910" s="87"/>
      <c r="AS910" s="87"/>
      <c r="AT910" s="87"/>
      <c r="AU910" s="87"/>
      <c r="AV910" s="87"/>
      <c r="AW910" s="87"/>
      <c r="AX910" s="87"/>
      <c r="AY910" s="87"/>
      <c r="AZ910" s="87"/>
      <c r="BA910" s="87"/>
      <c r="BB910" s="87"/>
      <c r="BC910" s="87"/>
      <c r="BD910" s="87"/>
      <c r="BE910" s="87"/>
      <c r="BF910" s="87"/>
      <c r="BG910" s="87"/>
      <c r="BH910" s="87"/>
    </row>
    <row r="911" spans="1:60" ht="16">
      <c r="A911" s="82"/>
      <c r="B911" s="82"/>
      <c r="C911" s="82"/>
      <c r="D911" s="83"/>
      <c r="E911" s="84"/>
      <c r="F911" s="84"/>
      <c r="G911" s="84"/>
      <c r="H911" s="82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7"/>
      <c r="AA911" s="87"/>
      <c r="AB911" s="87"/>
      <c r="AC911" s="87"/>
      <c r="AD911" s="87"/>
      <c r="AE911" s="87"/>
      <c r="AF911" s="87"/>
      <c r="AG911" s="87"/>
      <c r="AH911" s="87"/>
      <c r="AI911" s="87"/>
      <c r="AJ911" s="87"/>
      <c r="AK911" s="87"/>
      <c r="AL911" s="87"/>
      <c r="AM911" s="87"/>
      <c r="AN911" s="87"/>
      <c r="AO911" s="87"/>
      <c r="AP911" s="87"/>
      <c r="AQ911" s="87"/>
      <c r="AR911" s="87"/>
      <c r="AS911" s="87"/>
      <c r="AT911" s="87"/>
      <c r="AU911" s="87"/>
      <c r="AV911" s="87"/>
      <c r="AW911" s="87"/>
      <c r="AX911" s="87"/>
      <c r="AY911" s="87"/>
      <c r="AZ911" s="87"/>
      <c r="BA911" s="87"/>
      <c r="BB911" s="87"/>
      <c r="BC911" s="87"/>
      <c r="BD911" s="87"/>
      <c r="BE911" s="87"/>
      <c r="BF911" s="87"/>
      <c r="BG911" s="87"/>
      <c r="BH911" s="87"/>
    </row>
    <row r="912" spans="1:60" ht="16">
      <c r="A912" s="82"/>
      <c r="B912" s="82"/>
      <c r="C912" s="82"/>
      <c r="D912" s="83"/>
      <c r="E912" s="84"/>
      <c r="F912" s="84"/>
      <c r="G912" s="84"/>
      <c r="H912" s="82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7"/>
      <c r="AA912" s="87"/>
      <c r="AB912" s="87"/>
      <c r="AC912" s="87"/>
      <c r="AD912" s="87"/>
      <c r="AE912" s="87"/>
      <c r="AF912" s="87"/>
      <c r="AG912" s="87"/>
      <c r="AH912" s="87"/>
      <c r="AI912" s="87"/>
      <c r="AJ912" s="87"/>
      <c r="AK912" s="87"/>
      <c r="AL912" s="87"/>
      <c r="AM912" s="87"/>
      <c r="AN912" s="87"/>
      <c r="AO912" s="87"/>
      <c r="AP912" s="87"/>
      <c r="AQ912" s="87"/>
      <c r="AR912" s="87"/>
      <c r="AS912" s="87"/>
      <c r="AT912" s="87"/>
      <c r="AU912" s="87"/>
      <c r="AV912" s="87"/>
      <c r="AW912" s="87"/>
      <c r="AX912" s="87"/>
      <c r="AY912" s="87"/>
      <c r="AZ912" s="87"/>
      <c r="BA912" s="87"/>
      <c r="BB912" s="87"/>
      <c r="BC912" s="87"/>
      <c r="BD912" s="87"/>
      <c r="BE912" s="87"/>
      <c r="BF912" s="87"/>
      <c r="BG912" s="87"/>
      <c r="BH912" s="87"/>
    </row>
    <row r="913" spans="1:60" ht="16">
      <c r="A913" s="82"/>
      <c r="B913" s="82"/>
      <c r="C913" s="82"/>
      <c r="D913" s="83"/>
      <c r="E913" s="84"/>
      <c r="F913" s="84"/>
      <c r="G913" s="84"/>
      <c r="H913" s="82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7"/>
      <c r="AA913" s="87"/>
      <c r="AB913" s="87"/>
      <c r="AC913" s="87"/>
      <c r="AD913" s="87"/>
      <c r="AE913" s="87"/>
      <c r="AF913" s="87"/>
      <c r="AG913" s="87"/>
      <c r="AH913" s="87"/>
      <c r="AI913" s="87"/>
      <c r="AJ913" s="87"/>
      <c r="AK913" s="87"/>
      <c r="AL913" s="87"/>
      <c r="AM913" s="87"/>
      <c r="AN913" s="87"/>
      <c r="AO913" s="87"/>
      <c r="AP913" s="87"/>
      <c r="AQ913" s="87"/>
      <c r="AR913" s="87"/>
      <c r="AS913" s="87"/>
      <c r="AT913" s="87"/>
      <c r="AU913" s="87"/>
      <c r="AV913" s="87"/>
      <c r="AW913" s="87"/>
      <c r="AX913" s="87"/>
      <c r="AY913" s="87"/>
      <c r="AZ913" s="87"/>
      <c r="BA913" s="87"/>
      <c r="BB913" s="87"/>
      <c r="BC913" s="87"/>
      <c r="BD913" s="87"/>
      <c r="BE913" s="87"/>
      <c r="BF913" s="87"/>
      <c r="BG913" s="87"/>
      <c r="BH913" s="87"/>
    </row>
    <row r="914" spans="1:60" ht="16">
      <c r="A914" s="82"/>
      <c r="B914" s="82"/>
      <c r="C914" s="82"/>
      <c r="D914" s="83"/>
      <c r="E914" s="84"/>
      <c r="F914" s="84"/>
      <c r="G914" s="84"/>
      <c r="H914" s="82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7"/>
      <c r="AA914" s="87"/>
      <c r="AB914" s="87"/>
      <c r="AC914" s="87"/>
      <c r="AD914" s="87"/>
      <c r="AE914" s="87"/>
      <c r="AF914" s="87"/>
      <c r="AG914" s="87"/>
      <c r="AH914" s="87"/>
      <c r="AI914" s="87"/>
      <c r="AJ914" s="87"/>
      <c r="AK914" s="87"/>
      <c r="AL914" s="87"/>
      <c r="AM914" s="87"/>
      <c r="AN914" s="87"/>
      <c r="AO914" s="87"/>
      <c r="AP914" s="87"/>
      <c r="AQ914" s="87"/>
      <c r="AR914" s="87"/>
      <c r="AS914" s="87"/>
      <c r="AT914" s="87"/>
      <c r="AU914" s="87"/>
      <c r="AV914" s="87"/>
      <c r="AW914" s="87"/>
      <c r="AX914" s="87"/>
      <c r="AY914" s="87"/>
      <c r="AZ914" s="87"/>
      <c r="BA914" s="87"/>
      <c r="BB914" s="87"/>
      <c r="BC914" s="87"/>
      <c r="BD914" s="87"/>
      <c r="BE914" s="87"/>
      <c r="BF914" s="87"/>
      <c r="BG914" s="87"/>
      <c r="BH914" s="87"/>
    </row>
    <row r="915" spans="1:60" ht="16">
      <c r="A915" s="82"/>
      <c r="B915" s="82"/>
      <c r="C915" s="82"/>
      <c r="D915" s="83"/>
      <c r="E915" s="84"/>
      <c r="F915" s="84"/>
      <c r="G915" s="84"/>
      <c r="H915" s="82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7"/>
      <c r="AA915" s="87"/>
      <c r="AB915" s="87"/>
      <c r="AC915" s="87"/>
      <c r="AD915" s="87"/>
      <c r="AE915" s="87"/>
      <c r="AF915" s="87"/>
      <c r="AG915" s="87"/>
      <c r="AH915" s="87"/>
      <c r="AI915" s="87"/>
      <c r="AJ915" s="87"/>
      <c r="AK915" s="87"/>
      <c r="AL915" s="87"/>
      <c r="AM915" s="87"/>
      <c r="AN915" s="87"/>
      <c r="AO915" s="87"/>
      <c r="AP915" s="87"/>
      <c r="AQ915" s="87"/>
      <c r="AR915" s="87"/>
      <c r="AS915" s="87"/>
      <c r="AT915" s="87"/>
      <c r="AU915" s="87"/>
      <c r="AV915" s="87"/>
      <c r="AW915" s="87"/>
      <c r="AX915" s="87"/>
      <c r="AY915" s="87"/>
      <c r="AZ915" s="87"/>
      <c r="BA915" s="87"/>
      <c r="BB915" s="87"/>
      <c r="BC915" s="87"/>
      <c r="BD915" s="87"/>
      <c r="BE915" s="87"/>
      <c r="BF915" s="87"/>
      <c r="BG915" s="87"/>
      <c r="BH915" s="87"/>
    </row>
    <row r="916" spans="1:60" ht="16">
      <c r="A916" s="82"/>
      <c r="B916" s="82"/>
      <c r="C916" s="82"/>
      <c r="D916" s="83"/>
      <c r="E916" s="84"/>
      <c r="F916" s="84"/>
      <c r="G916" s="84"/>
      <c r="H916" s="82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7"/>
      <c r="AA916" s="87"/>
      <c r="AB916" s="87"/>
      <c r="AC916" s="87"/>
      <c r="AD916" s="87"/>
      <c r="AE916" s="87"/>
      <c r="AF916" s="87"/>
      <c r="AG916" s="87"/>
      <c r="AH916" s="87"/>
      <c r="AI916" s="87"/>
      <c r="AJ916" s="87"/>
      <c r="AK916" s="87"/>
      <c r="AL916" s="87"/>
      <c r="AM916" s="87"/>
      <c r="AN916" s="87"/>
      <c r="AO916" s="87"/>
      <c r="AP916" s="87"/>
      <c r="AQ916" s="87"/>
      <c r="AR916" s="87"/>
      <c r="AS916" s="87"/>
      <c r="AT916" s="87"/>
      <c r="AU916" s="87"/>
      <c r="AV916" s="87"/>
      <c r="AW916" s="87"/>
      <c r="AX916" s="87"/>
      <c r="AY916" s="87"/>
      <c r="AZ916" s="87"/>
      <c r="BA916" s="87"/>
      <c r="BB916" s="87"/>
      <c r="BC916" s="87"/>
      <c r="BD916" s="87"/>
      <c r="BE916" s="87"/>
      <c r="BF916" s="87"/>
      <c r="BG916" s="87"/>
      <c r="BH916" s="87"/>
    </row>
    <row r="917" spans="1:60" ht="16">
      <c r="A917" s="82"/>
      <c r="B917" s="82"/>
      <c r="C917" s="82"/>
      <c r="D917" s="83"/>
      <c r="E917" s="84"/>
      <c r="F917" s="84"/>
      <c r="G917" s="84"/>
      <c r="H917" s="82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7"/>
      <c r="AA917" s="87"/>
      <c r="AB917" s="87"/>
      <c r="AC917" s="87"/>
      <c r="AD917" s="87"/>
      <c r="AE917" s="87"/>
      <c r="AF917" s="87"/>
      <c r="AG917" s="87"/>
      <c r="AH917" s="87"/>
      <c r="AI917" s="87"/>
      <c r="AJ917" s="87"/>
      <c r="AK917" s="87"/>
      <c r="AL917" s="87"/>
      <c r="AM917" s="87"/>
      <c r="AN917" s="87"/>
      <c r="AO917" s="87"/>
      <c r="AP917" s="87"/>
      <c r="AQ917" s="87"/>
      <c r="AR917" s="87"/>
      <c r="AS917" s="87"/>
      <c r="AT917" s="87"/>
      <c r="AU917" s="87"/>
      <c r="AV917" s="87"/>
      <c r="AW917" s="87"/>
      <c r="AX917" s="87"/>
      <c r="AY917" s="87"/>
      <c r="AZ917" s="87"/>
      <c r="BA917" s="87"/>
      <c r="BB917" s="87"/>
      <c r="BC917" s="87"/>
      <c r="BD917" s="87"/>
      <c r="BE917" s="87"/>
      <c r="BF917" s="87"/>
      <c r="BG917" s="87"/>
      <c r="BH917" s="87"/>
    </row>
    <row r="918" spans="1:60" ht="16">
      <c r="A918" s="82"/>
      <c r="B918" s="82"/>
      <c r="C918" s="82"/>
      <c r="D918" s="83"/>
      <c r="E918" s="84"/>
      <c r="F918" s="84"/>
      <c r="G918" s="84"/>
      <c r="H918" s="82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7"/>
      <c r="AA918" s="87"/>
      <c r="AB918" s="87"/>
      <c r="AC918" s="87"/>
      <c r="AD918" s="87"/>
      <c r="AE918" s="87"/>
      <c r="AF918" s="87"/>
      <c r="AG918" s="87"/>
      <c r="AH918" s="87"/>
      <c r="AI918" s="87"/>
      <c r="AJ918" s="87"/>
      <c r="AK918" s="87"/>
      <c r="AL918" s="87"/>
      <c r="AM918" s="87"/>
      <c r="AN918" s="87"/>
      <c r="AO918" s="87"/>
      <c r="AP918" s="87"/>
      <c r="AQ918" s="87"/>
      <c r="AR918" s="87"/>
      <c r="AS918" s="87"/>
      <c r="AT918" s="87"/>
      <c r="AU918" s="87"/>
      <c r="AV918" s="87"/>
      <c r="AW918" s="87"/>
      <c r="AX918" s="87"/>
      <c r="AY918" s="87"/>
      <c r="AZ918" s="87"/>
      <c r="BA918" s="87"/>
      <c r="BB918" s="87"/>
      <c r="BC918" s="87"/>
      <c r="BD918" s="87"/>
      <c r="BE918" s="87"/>
      <c r="BF918" s="87"/>
      <c r="BG918" s="87"/>
      <c r="BH918" s="87"/>
    </row>
    <row r="919" spans="1:60" ht="16">
      <c r="A919" s="82"/>
      <c r="B919" s="82"/>
      <c r="C919" s="82"/>
      <c r="D919" s="83"/>
      <c r="E919" s="84"/>
      <c r="F919" s="84"/>
      <c r="G919" s="84"/>
      <c r="H919" s="82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7"/>
      <c r="AA919" s="87"/>
      <c r="AB919" s="87"/>
      <c r="AC919" s="87"/>
      <c r="AD919" s="87"/>
      <c r="AE919" s="87"/>
      <c r="AF919" s="87"/>
      <c r="AG919" s="87"/>
      <c r="AH919" s="87"/>
      <c r="AI919" s="87"/>
      <c r="AJ919" s="87"/>
      <c r="AK919" s="87"/>
      <c r="AL919" s="87"/>
      <c r="AM919" s="87"/>
      <c r="AN919" s="87"/>
      <c r="AO919" s="87"/>
      <c r="AP919" s="87"/>
      <c r="AQ919" s="87"/>
      <c r="AR919" s="87"/>
      <c r="AS919" s="87"/>
      <c r="AT919" s="87"/>
      <c r="AU919" s="87"/>
      <c r="AV919" s="87"/>
      <c r="AW919" s="87"/>
      <c r="AX919" s="87"/>
      <c r="AY919" s="87"/>
      <c r="AZ919" s="87"/>
      <c r="BA919" s="87"/>
      <c r="BB919" s="87"/>
      <c r="BC919" s="87"/>
      <c r="BD919" s="87"/>
      <c r="BE919" s="87"/>
      <c r="BF919" s="87"/>
      <c r="BG919" s="87"/>
      <c r="BH919" s="87"/>
    </row>
    <row r="920" spans="1:60" ht="16">
      <c r="A920" s="82"/>
      <c r="B920" s="82"/>
      <c r="C920" s="82"/>
      <c r="D920" s="83"/>
      <c r="E920" s="84"/>
      <c r="F920" s="84"/>
      <c r="G920" s="84"/>
      <c r="H920" s="82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7"/>
      <c r="AA920" s="87"/>
      <c r="AB920" s="87"/>
      <c r="AC920" s="87"/>
      <c r="AD920" s="87"/>
      <c r="AE920" s="87"/>
      <c r="AF920" s="87"/>
      <c r="AG920" s="87"/>
      <c r="AH920" s="87"/>
      <c r="AI920" s="87"/>
      <c r="AJ920" s="87"/>
      <c r="AK920" s="87"/>
      <c r="AL920" s="87"/>
      <c r="AM920" s="87"/>
      <c r="AN920" s="87"/>
      <c r="AO920" s="87"/>
      <c r="AP920" s="87"/>
      <c r="AQ920" s="87"/>
      <c r="AR920" s="87"/>
      <c r="AS920" s="87"/>
      <c r="AT920" s="87"/>
      <c r="AU920" s="87"/>
      <c r="AV920" s="87"/>
      <c r="AW920" s="87"/>
      <c r="AX920" s="87"/>
      <c r="AY920" s="87"/>
      <c r="AZ920" s="87"/>
      <c r="BA920" s="87"/>
      <c r="BB920" s="87"/>
      <c r="BC920" s="87"/>
      <c r="BD920" s="87"/>
      <c r="BE920" s="87"/>
      <c r="BF920" s="87"/>
      <c r="BG920" s="87"/>
      <c r="BH920" s="87"/>
    </row>
    <row r="921" spans="1:60" ht="16">
      <c r="A921" s="82"/>
      <c r="B921" s="82"/>
      <c r="C921" s="82"/>
      <c r="D921" s="83"/>
      <c r="E921" s="84"/>
      <c r="F921" s="84"/>
      <c r="G921" s="84"/>
      <c r="H921" s="82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7"/>
      <c r="AA921" s="87"/>
      <c r="AB921" s="87"/>
      <c r="AC921" s="87"/>
      <c r="AD921" s="87"/>
      <c r="AE921" s="87"/>
      <c r="AF921" s="87"/>
      <c r="AG921" s="87"/>
      <c r="AH921" s="87"/>
      <c r="AI921" s="87"/>
      <c r="AJ921" s="87"/>
      <c r="AK921" s="87"/>
      <c r="AL921" s="87"/>
      <c r="AM921" s="87"/>
      <c r="AN921" s="87"/>
      <c r="AO921" s="87"/>
      <c r="AP921" s="87"/>
      <c r="AQ921" s="87"/>
      <c r="AR921" s="87"/>
      <c r="AS921" s="87"/>
      <c r="AT921" s="87"/>
      <c r="AU921" s="87"/>
      <c r="AV921" s="87"/>
      <c r="AW921" s="87"/>
      <c r="AX921" s="87"/>
      <c r="AY921" s="87"/>
      <c r="AZ921" s="87"/>
      <c r="BA921" s="87"/>
      <c r="BB921" s="87"/>
      <c r="BC921" s="87"/>
      <c r="BD921" s="87"/>
      <c r="BE921" s="87"/>
      <c r="BF921" s="87"/>
      <c r="BG921" s="87"/>
      <c r="BH921" s="87"/>
    </row>
    <row r="922" spans="1:60" ht="16">
      <c r="A922" s="82"/>
      <c r="B922" s="82"/>
      <c r="C922" s="82"/>
      <c r="D922" s="83"/>
      <c r="E922" s="84"/>
      <c r="F922" s="84"/>
      <c r="G922" s="84"/>
      <c r="H922" s="82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7"/>
      <c r="AA922" s="87"/>
      <c r="AB922" s="87"/>
      <c r="AC922" s="87"/>
      <c r="AD922" s="87"/>
      <c r="AE922" s="87"/>
      <c r="AF922" s="87"/>
      <c r="AG922" s="87"/>
      <c r="AH922" s="87"/>
      <c r="AI922" s="87"/>
      <c r="AJ922" s="87"/>
      <c r="AK922" s="87"/>
      <c r="AL922" s="87"/>
      <c r="AM922" s="87"/>
      <c r="AN922" s="87"/>
      <c r="AO922" s="87"/>
      <c r="AP922" s="87"/>
      <c r="AQ922" s="87"/>
      <c r="AR922" s="87"/>
      <c r="AS922" s="87"/>
      <c r="AT922" s="87"/>
      <c r="AU922" s="87"/>
      <c r="AV922" s="87"/>
      <c r="AW922" s="87"/>
      <c r="AX922" s="87"/>
      <c r="AY922" s="87"/>
      <c r="AZ922" s="87"/>
      <c r="BA922" s="87"/>
      <c r="BB922" s="87"/>
      <c r="BC922" s="87"/>
      <c r="BD922" s="87"/>
      <c r="BE922" s="87"/>
      <c r="BF922" s="87"/>
      <c r="BG922" s="87"/>
      <c r="BH922" s="87"/>
    </row>
    <row r="923" spans="1:60" ht="16">
      <c r="A923" s="82"/>
      <c r="B923" s="82"/>
      <c r="C923" s="82"/>
      <c r="D923" s="83"/>
      <c r="E923" s="84"/>
      <c r="F923" s="84"/>
      <c r="G923" s="84"/>
      <c r="H923" s="82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7"/>
      <c r="AA923" s="87"/>
      <c r="AB923" s="87"/>
      <c r="AC923" s="87"/>
      <c r="AD923" s="87"/>
      <c r="AE923" s="87"/>
      <c r="AF923" s="87"/>
      <c r="AG923" s="87"/>
      <c r="AH923" s="87"/>
      <c r="AI923" s="87"/>
      <c r="AJ923" s="87"/>
      <c r="AK923" s="87"/>
      <c r="AL923" s="87"/>
      <c r="AM923" s="87"/>
      <c r="AN923" s="87"/>
      <c r="AO923" s="87"/>
      <c r="AP923" s="87"/>
      <c r="AQ923" s="87"/>
      <c r="AR923" s="87"/>
      <c r="AS923" s="87"/>
      <c r="AT923" s="87"/>
      <c r="AU923" s="87"/>
      <c r="AV923" s="87"/>
      <c r="AW923" s="87"/>
      <c r="AX923" s="87"/>
      <c r="AY923" s="87"/>
      <c r="AZ923" s="87"/>
      <c r="BA923" s="87"/>
      <c r="BB923" s="87"/>
      <c r="BC923" s="87"/>
      <c r="BD923" s="87"/>
      <c r="BE923" s="87"/>
      <c r="BF923" s="87"/>
      <c r="BG923" s="87"/>
      <c r="BH923" s="87"/>
    </row>
    <row r="924" spans="1:60" ht="16">
      <c r="A924" s="82"/>
      <c r="B924" s="82"/>
      <c r="C924" s="82"/>
      <c r="D924" s="83"/>
      <c r="E924" s="84"/>
      <c r="F924" s="84"/>
      <c r="G924" s="84"/>
      <c r="H924" s="82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7"/>
      <c r="AA924" s="87"/>
      <c r="AB924" s="87"/>
      <c r="AC924" s="87"/>
      <c r="AD924" s="87"/>
      <c r="AE924" s="87"/>
      <c r="AF924" s="87"/>
      <c r="AG924" s="87"/>
      <c r="AH924" s="87"/>
      <c r="AI924" s="87"/>
      <c r="AJ924" s="87"/>
      <c r="AK924" s="87"/>
      <c r="AL924" s="87"/>
      <c r="AM924" s="87"/>
      <c r="AN924" s="87"/>
      <c r="AO924" s="87"/>
      <c r="AP924" s="87"/>
      <c r="AQ924" s="87"/>
      <c r="AR924" s="87"/>
      <c r="AS924" s="87"/>
      <c r="AT924" s="87"/>
      <c r="AU924" s="87"/>
      <c r="AV924" s="87"/>
      <c r="AW924" s="87"/>
      <c r="AX924" s="87"/>
      <c r="AY924" s="87"/>
      <c r="AZ924" s="87"/>
      <c r="BA924" s="87"/>
      <c r="BB924" s="87"/>
      <c r="BC924" s="87"/>
      <c r="BD924" s="87"/>
      <c r="BE924" s="87"/>
      <c r="BF924" s="87"/>
      <c r="BG924" s="87"/>
      <c r="BH924" s="87"/>
    </row>
    <row r="925" spans="1:60" ht="16">
      <c r="A925" s="82"/>
      <c r="B925" s="82"/>
      <c r="C925" s="82"/>
      <c r="D925" s="83"/>
      <c r="E925" s="84"/>
      <c r="F925" s="84"/>
      <c r="G925" s="84"/>
      <c r="H925" s="82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7"/>
      <c r="AA925" s="87"/>
      <c r="AB925" s="87"/>
      <c r="AC925" s="87"/>
      <c r="AD925" s="87"/>
      <c r="AE925" s="87"/>
      <c r="AF925" s="87"/>
      <c r="AG925" s="87"/>
      <c r="AH925" s="87"/>
      <c r="AI925" s="87"/>
      <c r="AJ925" s="87"/>
      <c r="AK925" s="87"/>
      <c r="AL925" s="87"/>
      <c r="AM925" s="87"/>
      <c r="AN925" s="87"/>
      <c r="AO925" s="87"/>
      <c r="AP925" s="87"/>
      <c r="AQ925" s="87"/>
      <c r="AR925" s="87"/>
      <c r="AS925" s="87"/>
      <c r="AT925" s="87"/>
      <c r="AU925" s="87"/>
      <c r="AV925" s="87"/>
      <c r="AW925" s="87"/>
      <c r="AX925" s="87"/>
      <c r="AY925" s="87"/>
      <c r="AZ925" s="87"/>
      <c r="BA925" s="87"/>
      <c r="BB925" s="87"/>
      <c r="BC925" s="87"/>
      <c r="BD925" s="87"/>
      <c r="BE925" s="87"/>
      <c r="BF925" s="87"/>
      <c r="BG925" s="87"/>
      <c r="BH925" s="87"/>
    </row>
    <row r="926" spans="1:60" ht="16">
      <c r="A926" s="82"/>
      <c r="B926" s="82"/>
      <c r="C926" s="82"/>
      <c r="D926" s="83"/>
      <c r="E926" s="84"/>
      <c r="F926" s="84"/>
      <c r="G926" s="84"/>
      <c r="H926" s="82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7"/>
      <c r="AA926" s="87"/>
      <c r="AB926" s="87"/>
      <c r="AC926" s="87"/>
      <c r="AD926" s="87"/>
      <c r="AE926" s="87"/>
      <c r="AF926" s="87"/>
      <c r="AG926" s="87"/>
      <c r="AH926" s="87"/>
      <c r="AI926" s="87"/>
      <c r="AJ926" s="87"/>
      <c r="AK926" s="87"/>
      <c r="AL926" s="87"/>
      <c r="AM926" s="87"/>
      <c r="AN926" s="87"/>
      <c r="AO926" s="87"/>
      <c r="AP926" s="87"/>
      <c r="AQ926" s="87"/>
      <c r="AR926" s="87"/>
      <c r="AS926" s="87"/>
      <c r="AT926" s="87"/>
      <c r="AU926" s="87"/>
      <c r="AV926" s="87"/>
      <c r="AW926" s="87"/>
      <c r="AX926" s="87"/>
      <c r="AY926" s="87"/>
      <c r="AZ926" s="87"/>
      <c r="BA926" s="87"/>
      <c r="BB926" s="87"/>
      <c r="BC926" s="87"/>
      <c r="BD926" s="87"/>
      <c r="BE926" s="87"/>
      <c r="BF926" s="87"/>
      <c r="BG926" s="87"/>
      <c r="BH926" s="87"/>
    </row>
    <row r="927" spans="1:60" ht="16">
      <c r="A927" s="82"/>
      <c r="B927" s="82"/>
      <c r="C927" s="82"/>
      <c r="D927" s="83"/>
      <c r="E927" s="84"/>
      <c r="F927" s="84"/>
      <c r="G927" s="84"/>
      <c r="H927" s="82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7"/>
      <c r="AA927" s="87"/>
      <c r="AB927" s="87"/>
      <c r="AC927" s="87"/>
      <c r="AD927" s="87"/>
      <c r="AE927" s="87"/>
      <c r="AF927" s="87"/>
      <c r="AG927" s="87"/>
      <c r="AH927" s="87"/>
      <c r="AI927" s="87"/>
      <c r="AJ927" s="87"/>
      <c r="AK927" s="87"/>
      <c r="AL927" s="87"/>
      <c r="AM927" s="87"/>
      <c r="AN927" s="87"/>
      <c r="AO927" s="87"/>
      <c r="AP927" s="87"/>
      <c r="AQ927" s="87"/>
      <c r="AR927" s="87"/>
      <c r="AS927" s="87"/>
      <c r="AT927" s="87"/>
      <c r="AU927" s="87"/>
      <c r="AV927" s="87"/>
      <c r="AW927" s="87"/>
      <c r="AX927" s="87"/>
      <c r="AY927" s="87"/>
      <c r="AZ927" s="87"/>
      <c r="BA927" s="87"/>
      <c r="BB927" s="87"/>
      <c r="BC927" s="87"/>
      <c r="BD927" s="87"/>
      <c r="BE927" s="87"/>
      <c r="BF927" s="87"/>
      <c r="BG927" s="87"/>
      <c r="BH927" s="87"/>
    </row>
    <row r="928" spans="1:60" ht="16">
      <c r="A928" s="82"/>
      <c r="B928" s="82"/>
      <c r="C928" s="82"/>
      <c r="D928" s="83"/>
      <c r="E928" s="84"/>
      <c r="F928" s="84"/>
      <c r="G928" s="84"/>
      <c r="H928" s="82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7"/>
      <c r="AA928" s="87"/>
      <c r="AB928" s="87"/>
      <c r="AC928" s="87"/>
      <c r="AD928" s="87"/>
      <c r="AE928" s="87"/>
      <c r="AF928" s="87"/>
      <c r="AG928" s="87"/>
      <c r="AH928" s="87"/>
      <c r="AI928" s="87"/>
      <c r="AJ928" s="87"/>
      <c r="AK928" s="87"/>
      <c r="AL928" s="87"/>
      <c r="AM928" s="87"/>
      <c r="AN928" s="87"/>
      <c r="AO928" s="87"/>
      <c r="AP928" s="87"/>
      <c r="AQ928" s="87"/>
      <c r="AR928" s="87"/>
      <c r="AS928" s="87"/>
      <c r="AT928" s="87"/>
      <c r="AU928" s="87"/>
      <c r="AV928" s="87"/>
      <c r="AW928" s="87"/>
      <c r="AX928" s="87"/>
      <c r="AY928" s="87"/>
      <c r="AZ928" s="87"/>
      <c r="BA928" s="87"/>
      <c r="BB928" s="87"/>
      <c r="BC928" s="87"/>
      <c r="BD928" s="87"/>
      <c r="BE928" s="87"/>
      <c r="BF928" s="87"/>
      <c r="BG928" s="87"/>
      <c r="BH928" s="87"/>
    </row>
    <row r="929" spans="1:60" ht="16">
      <c r="A929" s="82"/>
      <c r="B929" s="82"/>
      <c r="C929" s="82"/>
      <c r="D929" s="83"/>
      <c r="E929" s="84"/>
      <c r="F929" s="84"/>
      <c r="G929" s="84"/>
      <c r="H929" s="82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7"/>
      <c r="AA929" s="87"/>
      <c r="AB929" s="87"/>
      <c r="AC929" s="87"/>
      <c r="AD929" s="87"/>
      <c r="AE929" s="87"/>
      <c r="AF929" s="87"/>
      <c r="AG929" s="87"/>
      <c r="AH929" s="87"/>
      <c r="AI929" s="87"/>
      <c r="AJ929" s="87"/>
      <c r="AK929" s="87"/>
      <c r="AL929" s="87"/>
      <c r="AM929" s="87"/>
      <c r="AN929" s="87"/>
      <c r="AO929" s="87"/>
      <c r="AP929" s="87"/>
      <c r="AQ929" s="87"/>
      <c r="AR929" s="87"/>
      <c r="AS929" s="87"/>
      <c r="AT929" s="87"/>
      <c r="AU929" s="87"/>
      <c r="AV929" s="87"/>
      <c r="AW929" s="87"/>
      <c r="AX929" s="87"/>
      <c r="AY929" s="87"/>
      <c r="AZ929" s="87"/>
      <c r="BA929" s="87"/>
      <c r="BB929" s="87"/>
      <c r="BC929" s="87"/>
      <c r="BD929" s="87"/>
      <c r="BE929" s="87"/>
      <c r="BF929" s="87"/>
      <c r="BG929" s="87"/>
      <c r="BH929" s="87"/>
    </row>
    <row r="930" spans="1:60" ht="16">
      <c r="A930" s="82"/>
      <c r="B930" s="82"/>
      <c r="C930" s="82"/>
      <c r="D930" s="83"/>
      <c r="E930" s="84"/>
      <c r="F930" s="84"/>
      <c r="G930" s="84"/>
      <c r="H930" s="82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7"/>
      <c r="AA930" s="87"/>
      <c r="AB930" s="87"/>
      <c r="AC930" s="87"/>
      <c r="AD930" s="87"/>
      <c r="AE930" s="87"/>
      <c r="AF930" s="87"/>
      <c r="AG930" s="87"/>
      <c r="AH930" s="87"/>
      <c r="AI930" s="87"/>
      <c r="AJ930" s="87"/>
      <c r="AK930" s="87"/>
      <c r="AL930" s="87"/>
      <c r="AM930" s="87"/>
      <c r="AN930" s="87"/>
      <c r="AO930" s="87"/>
      <c r="AP930" s="87"/>
      <c r="AQ930" s="87"/>
      <c r="AR930" s="87"/>
      <c r="AS930" s="87"/>
      <c r="AT930" s="87"/>
      <c r="AU930" s="87"/>
      <c r="AV930" s="87"/>
      <c r="AW930" s="87"/>
      <c r="AX930" s="87"/>
      <c r="AY930" s="87"/>
      <c r="AZ930" s="87"/>
      <c r="BA930" s="87"/>
      <c r="BB930" s="87"/>
      <c r="BC930" s="87"/>
      <c r="BD930" s="87"/>
      <c r="BE930" s="87"/>
      <c r="BF930" s="87"/>
      <c r="BG930" s="87"/>
      <c r="BH930" s="87"/>
    </row>
    <row r="931" spans="1:60" ht="16">
      <c r="A931" s="82"/>
      <c r="B931" s="82"/>
      <c r="C931" s="82"/>
      <c r="D931" s="83"/>
      <c r="E931" s="84"/>
      <c r="F931" s="84"/>
      <c r="G931" s="84"/>
      <c r="H931" s="82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7"/>
      <c r="AA931" s="87"/>
      <c r="AB931" s="87"/>
      <c r="AC931" s="87"/>
      <c r="AD931" s="87"/>
      <c r="AE931" s="87"/>
      <c r="AF931" s="87"/>
      <c r="AG931" s="87"/>
      <c r="AH931" s="87"/>
      <c r="AI931" s="87"/>
      <c r="AJ931" s="87"/>
      <c r="AK931" s="87"/>
      <c r="AL931" s="87"/>
      <c r="AM931" s="87"/>
      <c r="AN931" s="87"/>
      <c r="AO931" s="87"/>
      <c r="AP931" s="87"/>
      <c r="AQ931" s="87"/>
      <c r="AR931" s="87"/>
      <c r="AS931" s="87"/>
      <c r="AT931" s="87"/>
      <c r="AU931" s="87"/>
      <c r="AV931" s="87"/>
      <c r="AW931" s="87"/>
      <c r="AX931" s="87"/>
      <c r="AY931" s="87"/>
      <c r="AZ931" s="87"/>
      <c r="BA931" s="87"/>
      <c r="BB931" s="87"/>
      <c r="BC931" s="87"/>
      <c r="BD931" s="87"/>
      <c r="BE931" s="87"/>
      <c r="BF931" s="87"/>
      <c r="BG931" s="87"/>
      <c r="BH931" s="87"/>
    </row>
    <row r="932" spans="1:60" ht="16">
      <c r="A932" s="82"/>
      <c r="B932" s="82"/>
      <c r="C932" s="82"/>
      <c r="D932" s="83"/>
      <c r="E932" s="84"/>
      <c r="F932" s="84"/>
      <c r="G932" s="84"/>
      <c r="H932" s="82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7"/>
      <c r="AA932" s="87"/>
      <c r="AB932" s="87"/>
      <c r="AC932" s="87"/>
      <c r="AD932" s="87"/>
      <c r="AE932" s="87"/>
      <c r="AF932" s="87"/>
      <c r="AG932" s="87"/>
      <c r="AH932" s="87"/>
      <c r="AI932" s="87"/>
      <c r="AJ932" s="87"/>
      <c r="AK932" s="87"/>
      <c r="AL932" s="87"/>
      <c r="AM932" s="87"/>
      <c r="AN932" s="87"/>
      <c r="AO932" s="87"/>
      <c r="AP932" s="87"/>
      <c r="AQ932" s="87"/>
      <c r="AR932" s="87"/>
      <c r="AS932" s="87"/>
      <c r="AT932" s="87"/>
      <c r="AU932" s="87"/>
      <c r="AV932" s="87"/>
      <c r="AW932" s="87"/>
      <c r="AX932" s="87"/>
      <c r="AY932" s="87"/>
      <c r="AZ932" s="87"/>
      <c r="BA932" s="87"/>
      <c r="BB932" s="87"/>
      <c r="BC932" s="87"/>
      <c r="BD932" s="87"/>
      <c r="BE932" s="87"/>
      <c r="BF932" s="87"/>
      <c r="BG932" s="87"/>
      <c r="BH932" s="87"/>
    </row>
    <row r="933" spans="1:60" ht="16">
      <c r="A933" s="82"/>
      <c r="B933" s="82"/>
      <c r="C933" s="82"/>
      <c r="D933" s="83"/>
      <c r="E933" s="84"/>
      <c r="F933" s="84"/>
      <c r="G933" s="84"/>
      <c r="H933" s="82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7"/>
      <c r="AA933" s="87"/>
      <c r="AB933" s="87"/>
      <c r="AC933" s="87"/>
      <c r="AD933" s="87"/>
      <c r="AE933" s="87"/>
      <c r="AF933" s="87"/>
      <c r="AG933" s="87"/>
      <c r="AH933" s="87"/>
      <c r="AI933" s="87"/>
      <c r="AJ933" s="87"/>
      <c r="AK933" s="87"/>
      <c r="AL933" s="87"/>
      <c r="AM933" s="87"/>
      <c r="AN933" s="87"/>
      <c r="AO933" s="87"/>
      <c r="AP933" s="87"/>
      <c r="AQ933" s="87"/>
      <c r="AR933" s="87"/>
      <c r="AS933" s="87"/>
      <c r="AT933" s="87"/>
      <c r="AU933" s="87"/>
      <c r="AV933" s="87"/>
      <c r="AW933" s="87"/>
      <c r="AX933" s="87"/>
      <c r="AY933" s="87"/>
      <c r="AZ933" s="87"/>
      <c r="BA933" s="87"/>
      <c r="BB933" s="87"/>
      <c r="BC933" s="87"/>
      <c r="BD933" s="87"/>
      <c r="BE933" s="87"/>
      <c r="BF933" s="87"/>
      <c r="BG933" s="87"/>
      <c r="BH933" s="87"/>
    </row>
    <row r="934" spans="1:60" ht="16">
      <c r="A934" s="82"/>
      <c r="B934" s="82"/>
      <c r="C934" s="82"/>
      <c r="D934" s="83"/>
      <c r="E934" s="84"/>
      <c r="F934" s="84"/>
      <c r="G934" s="84"/>
      <c r="H934" s="82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7"/>
      <c r="AA934" s="87"/>
      <c r="AB934" s="87"/>
      <c r="AC934" s="87"/>
      <c r="AD934" s="87"/>
      <c r="AE934" s="87"/>
      <c r="AF934" s="87"/>
      <c r="AG934" s="87"/>
      <c r="AH934" s="87"/>
      <c r="AI934" s="87"/>
      <c r="AJ934" s="87"/>
      <c r="AK934" s="87"/>
      <c r="AL934" s="87"/>
      <c r="AM934" s="87"/>
      <c r="AN934" s="87"/>
      <c r="AO934" s="87"/>
      <c r="AP934" s="87"/>
      <c r="AQ934" s="87"/>
      <c r="AR934" s="87"/>
      <c r="AS934" s="87"/>
      <c r="AT934" s="87"/>
      <c r="AU934" s="87"/>
      <c r="AV934" s="87"/>
      <c r="AW934" s="87"/>
      <c r="AX934" s="87"/>
      <c r="AY934" s="87"/>
      <c r="AZ934" s="87"/>
      <c r="BA934" s="87"/>
      <c r="BB934" s="87"/>
      <c r="BC934" s="87"/>
      <c r="BD934" s="87"/>
      <c r="BE934" s="87"/>
      <c r="BF934" s="87"/>
      <c r="BG934" s="87"/>
      <c r="BH934" s="87"/>
    </row>
    <row r="935" spans="1:60" ht="16">
      <c r="A935" s="82"/>
      <c r="B935" s="82"/>
      <c r="C935" s="82"/>
      <c r="D935" s="83"/>
      <c r="E935" s="84"/>
      <c r="F935" s="84"/>
      <c r="G935" s="84"/>
      <c r="H935" s="82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7"/>
      <c r="AA935" s="87"/>
      <c r="AB935" s="87"/>
      <c r="AC935" s="87"/>
      <c r="AD935" s="87"/>
      <c r="AE935" s="87"/>
      <c r="AF935" s="87"/>
      <c r="AG935" s="87"/>
      <c r="AH935" s="87"/>
      <c r="AI935" s="87"/>
      <c r="AJ935" s="87"/>
      <c r="AK935" s="87"/>
      <c r="AL935" s="87"/>
      <c r="AM935" s="87"/>
      <c r="AN935" s="87"/>
      <c r="AO935" s="87"/>
      <c r="AP935" s="87"/>
      <c r="AQ935" s="87"/>
      <c r="AR935" s="87"/>
      <c r="AS935" s="87"/>
      <c r="AT935" s="87"/>
      <c r="AU935" s="87"/>
      <c r="AV935" s="87"/>
      <c r="AW935" s="87"/>
      <c r="AX935" s="87"/>
      <c r="AY935" s="87"/>
      <c r="AZ935" s="87"/>
      <c r="BA935" s="87"/>
      <c r="BB935" s="87"/>
      <c r="BC935" s="87"/>
      <c r="BD935" s="87"/>
      <c r="BE935" s="87"/>
      <c r="BF935" s="87"/>
      <c r="BG935" s="87"/>
      <c r="BH935" s="87"/>
    </row>
    <row r="936" spans="1:60" ht="16">
      <c r="A936" s="82"/>
      <c r="B936" s="82"/>
      <c r="C936" s="82"/>
      <c r="D936" s="83"/>
      <c r="E936" s="84"/>
      <c r="F936" s="84"/>
      <c r="G936" s="84"/>
      <c r="H936" s="82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7"/>
      <c r="AA936" s="87"/>
      <c r="AB936" s="87"/>
      <c r="AC936" s="87"/>
      <c r="AD936" s="87"/>
      <c r="AE936" s="87"/>
      <c r="AF936" s="87"/>
      <c r="AG936" s="87"/>
      <c r="AH936" s="87"/>
      <c r="AI936" s="87"/>
      <c r="AJ936" s="87"/>
      <c r="AK936" s="87"/>
      <c r="AL936" s="87"/>
      <c r="AM936" s="87"/>
      <c r="AN936" s="87"/>
      <c r="AO936" s="87"/>
      <c r="AP936" s="87"/>
      <c r="AQ936" s="87"/>
      <c r="AR936" s="87"/>
      <c r="AS936" s="87"/>
      <c r="AT936" s="87"/>
      <c r="AU936" s="87"/>
      <c r="AV936" s="87"/>
      <c r="AW936" s="87"/>
      <c r="AX936" s="87"/>
      <c r="AY936" s="87"/>
      <c r="AZ936" s="87"/>
      <c r="BA936" s="87"/>
      <c r="BB936" s="87"/>
      <c r="BC936" s="87"/>
      <c r="BD936" s="87"/>
      <c r="BE936" s="87"/>
      <c r="BF936" s="87"/>
      <c r="BG936" s="87"/>
      <c r="BH936" s="87"/>
    </row>
    <row r="937" spans="1:60" ht="16">
      <c r="A937" s="82"/>
      <c r="B937" s="82"/>
      <c r="C937" s="82"/>
      <c r="D937" s="83"/>
      <c r="E937" s="84"/>
      <c r="F937" s="84"/>
      <c r="G937" s="84"/>
      <c r="H937" s="82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7"/>
      <c r="AA937" s="87"/>
      <c r="AB937" s="87"/>
      <c r="AC937" s="87"/>
      <c r="AD937" s="87"/>
      <c r="AE937" s="87"/>
      <c r="AF937" s="87"/>
      <c r="AG937" s="87"/>
      <c r="AH937" s="87"/>
      <c r="AI937" s="87"/>
      <c r="AJ937" s="87"/>
      <c r="AK937" s="87"/>
      <c r="AL937" s="87"/>
      <c r="AM937" s="87"/>
      <c r="AN937" s="87"/>
      <c r="AO937" s="87"/>
      <c r="AP937" s="87"/>
      <c r="AQ937" s="87"/>
      <c r="AR937" s="87"/>
      <c r="AS937" s="87"/>
      <c r="AT937" s="87"/>
      <c r="AU937" s="87"/>
      <c r="AV937" s="87"/>
      <c r="AW937" s="87"/>
      <c r="AX937" s="87"/>
      <c r="AY937" s="87"/>
      <c r="AZ937" s="87"/>
      <c r="BA937" s="87"/>
      <c r="BB937" s="87"/>
      <c r="BC937" s="87"/>
      <c r="BD937" s="87"/>
      <c r="BE937" s="87"/>
      <c r="BF937" s="87"/>
      <c r="BG937" s="87"/>
      <c r="BH937" s="87"/>
    </row>
    <row r="938" spans="1:60" ht="16">
      <c r="A938" s="82"/>
      <c r="B938" s="82"/>
      <c r="C938" s="82"/>
      <c r="D938" s="83"/>
      <c r="E938" s="84"/>
      <c r="F938" s="84"/>
      <c r="G938" s="84"/>
      <c r="H938" s="82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7"/>
      <c r="AA938" s="87"/>
      <c r="AB938" s="87"/>
      <c r="AC938" s="87"/>
      <c r="AD938" s="87"/>
      <c r="AE938" s="87"/>
      <c r="AF938" s="87"/>
      <c r="AG938" s="87"/>
      <c r="AH938" s="87"/>
      <c r="AI938" s="87"/>
      <c r="AJ938" s="87"/>
      <c r="AK938" s="87"/>
      <c r="AL938" s="87"/>
      <c r="AM938" s="87"/>
      <c r="AN938" s="87"/>
      <c r="AO938" s="87"/>
      <c r="AP938" s="87"/>
      <c r="AQ938" s="87"/>
      <c r="AR938" s="87"/>
      <c r="AS938" s="87"/>
      <c r="AT938" s="87"/>
      <c r="AU938" s="87"/>
      <c r="AV938" s="87"/>
      <c r="AW938" s="87"/>
      <c r="AX938" s="87"/>
      <c r="AY938" s="87"/>
      <c r="AZ938" s="87"/>
      <c r="BA938" s="87"/>
      <c r="BB938" s="87"/>
      <c r="BC938" s="87"/>
      <c r="BD938" s="87"/>
      <c r="BE938" s="87"/>
      <c r="BF938" s="87"/>
      <c r="BG938" s="87"/>
      <c r="BH938" s="87"/>
    </row>
    <row r="939" spans="1:60" ht="16">
      <c r="A939" s="82"/>
      <c r="B939" s="82"/>
      <c r="C939" s="82"/>
      <c r="D939" s="83"/>
      <c r="E939" s="84"/>
      <c r="F939" s="84"/>
      <c r="G939" s="84"/>
      <c r="H939" s="82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7"/>
      <c r="AA939" s="87"/>
      <c r="AB939" s="87"/>
      <c r="AC939" s="87"/>
      <c r="AD939" s="87"/>
      <c r="AE939" s="87"/>
      <c r="AF939" s="87"/>
      <c r="AG939" s="87"/>
      <c r="AH939" s="87"/>
      <c r="AI939" s="87"/>
      <c r="AJ939" s="87"/>
      <c r="AK939" s="87"/>
      <c r="AL939" s="87"/>
      <c r="AM939" s="87"/>
      <c r="AN939" s="87"/>
      <c r="AO939" s="87"/>
      <c r="AP939" s="87"/>
      <c r="AQ939" s="87"/>
      <c r="AR939" s="87"/>
      <c r="AS939" s="87"/>
      <c r="AT939" s="87"/>
      <c r="AU939" s="87"/>
      <c r="AV939" s="87"/>
      <c r="AW939" s="87"/>
      <c r="AX939" s="87"/>
      <c r="AY939" s="87"/>
      <c r="AZ939" s="87"/>
      <c r="BA939" s="87"/>
      <c r="BB939" s="87"/>
      <c r="BC939" s="87"/>
      <c r="BD939" s="87"/>
      <c r="BE939" s="87"/>
      <c r="BF939" s="87"/>
      <c r="BG939" s="87"/>
      <c r="BH939" s="87"/>
    </row>
    <row r="940" spans="1:60" ht="16">
      <c r="A940" s="82"/>
      <c r="B940" s="82"/>
      <c r="C940" s="82"/>
      <c r="D940" s="83"/>
      <c r="E940" s="84"/>
      <c r="F940" s="84"/>
      <c r="G940" s="84"/>
      <c r="H940" s="82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7"/>
      <c r="AA940" s="87"/>
      <c r="AB940" s="87"/>
      <c r="AC940" s="87"/>
      <c r="AD940" s="87"/>
      <c r="AE940" s="87"/>
      <c r="AF940" s="87"/>
      <c r="AG940" s="87"/>
      <c r="AH940" s="87"/>
      <c r="AI940" s="87"/>
      <c r="AJ940" s="87"/>
      <c r="AK940" s="87"/>
      <c r="AL940" s="87"/>
      <c r="AM940" s="87"/>
      <c r="AN940" s="87"/>
      <c r="AO940" s="87"/>
      <c r="AP940" s="87"/>
      <c r="AQ940" s="87"/>
      <c r="AR940" s="87"/>
      <c r="AS940" s="87"/>
      <c r="AT940" s="87"/>
      <c r="AU940" s="87"/>
      <c r="AV940" s="87"/>
      <c r="AW940" s="87"/>
      <c r="AX940" s="87"/>
      <c r="AY940" s="87"/>
      <c r="AZ940" s="87"/>
      <c r="BA940" s="87"/>
      <c r="BB940" s="87"/>
      <c r="BC940" s="87"/>
      <c r="BD940" s="87"/>
      <c r="BE940" s="87"/>
      <c r="BF940" s="87"/>
      <c r="BG940" s="87"/>
      <c r="BH940" s="87"/>
    </row>
    <row r="941" spans="1:60" ht="16">
      <c r="A941" s="82"/>
      <c r="B941" s="82"/>
      <c r="C941" s="82"/>
      <c r="D941" s="83"/>
      <c r="E941" s="84"/>
      <c r="F941" s="84"/>
      <c r="G941" s="84"/>
      <c r="H941" s="82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7"/>
      <c r="AA941" s="87"/>
      <c r="AB941" s="87"/>
      <c r="AC941" s="87"/>
      <c r="AD941" s="87"/>
      <c r="AE941" s="87"/>
      <c r="AF941" s="87"/>
      <c r="AG941" s="87"/>
      <c r="AH941" s="87"/>
      <c r="AI941" s="87"/>
      <c r="AJ941" s="87"/>
      <c r="AK941" s="87"/>
      <c r="AL941" s="87"/>
      <c r="AM941" s="87"/>
      <c r="AN941" s="87"/>
      <c r="AO941" s="87"/>
      <c r="AP941" s="87"/>
      <c r="AQ941" s="87"/>
      <c r="AR941" s="87"/>
      <c r="AS941" s="87"/>
      <c r="AT941" s="87"/>
      <c r="AU941" s="87"/>
      <c r="AV941" s="87"/>
      <c r="AW941" s="87"/>
      <c r="AX941" s="87"/>
      <c r="AY941" s="87"/>
      <c r="AZ941" s="87"/>
      <c r="BA941" s="87"/>
      <c r="BB941" s="87"/>
      <c r="BC941" s="87"/>
      <c r="BD941" s="87"/>
      <c r="BE941" s="87"/>
      <c r="BF941" s="87"/>
      <c r="BG941" s="87"/>
      <c r="BH941" s="87"/>
    </row>
    <row r="942" spans="1:60" ht="16">
      <c r="A942" s="82"/>
      <c r="B942" s="82"/>
      <c r="C942" s="82"/>
      <c r="D942" s="83"/>
      <c r="E942" s="84"/>
      <c r="F942" s="84"/>
      <c r="G942" s="84"/>
      <c r="H942" s="82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7"/>
      <c r="AA942" s="87"/>
      <c r="AB942" s="87"/>
      <c r="AC942" s="87"/>
      <c r="AD942" s="87"/>
      <c r="AE942" s="87"/>
      <c r="AF942" s="87"/>
      <c r="AG942" s="87"/>
      <c r="AH942" s="87"/>
      <c r="AI942" s="87"/>
      <c r="AJ942" s="87"/>
      <c r="AK942" s="87"/>
      <c r="AL942" s="87"/>
      <c r="AM942" s="87"/>
      <c r="AN942" s="87"/>
      <c r="AO942" s="87"/>
      <c r="AP942" s="87"/>
      <c r="AQ942" s="87"/>
      <c r="AR942" s="87"/>
      <c r="AS942" s="87"/>
      <c r="AT942" s="87"/>
      <c r="AU942" s="87"/>
      <c r="AV942" s="87"/>
      <c r="AW942" s="87"/>
      <c r="AX942" s="87"/>
      <c r="AY942" s="87"/>
      <c r="AZ942" s="87"/>
      <c r="BA942" s="87"/>
      <c r="BB942" s="87"/>
      <c r="BC942" s="87"/>
      <c r="BD942" s="87"/>
      <c r="BE942" s="87"/>
      <c r="BF942" s="87"/>
      <c r="BG942" s="87"/>
      <c r="BH942" s="87"/>
    </row>
    <row r="943" spans="1:60" ht="16">
      <c r="A943" s="82"/>
      <c r="B943" s="82"/>
      <c r="C943" s="82"/>
      <c r="D943" s="83"/>
      <c r="E943" s="84"/>
      <c r="F943" s="84"/>
      <c r="G943" s="84"/>
      <c r="H943" s="82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7"/>
      <c r="AA943" s="87"/>
      <c r="AB943" s="87"/>
      <c r="AC943" s="87"/>
      <c r="AD943" s="87"/>
      <c r="AE943" s="87"/>
      <c r="AF943" s="87"/>
      <c r="AG943" s="87"/>
      <c r="AH943" s="87"/>
      <c r="AI943" s="87"/>
      <c r="AJ943" s="87"/>
      <c r="AK943" s="87"/>
      <c r="AL943" s="87"/>
      <c r="AM943" s="87"/>
      <c r="AN943" s="87"/>
      <c r="AO943" s="87"/>
      <c r="AP943" s="87"/>
      <c r="AQ943" s="87"/>
      <c r="AR943" s="87"/>
      <c r="AS943" s="87"/>
      <c r="AT943" s="87"/>
      <c r="AU943" s="87"/>
      <c r="AV943" s="87"/>
      <c r="AW943" s="87"/>
      <c r="AX943" s="87"/>
      <c r="AY943" s="87"/>
      <c r="AZ943" s="87"/>
      <c r="BA943" s="87"/>
      <c r="BB943" s="87"/>
      <c r="BC943" s="87"/>
      <c r="BD943" s="87"/>
      <c r="BE943" s="87"/>
      <c r="BF943" s="87"/>
      <c r="BG943" s="87"/>
      <c r="BH943" s="87"/>
    </row>
    <row r="944" spans="1:60" ht="16">
      <c r="A944" s="82"/>
      <c r="B944" s="82"/>
      <c r="C944" s="82"/>
      <c r="D944" s="83"/>
      <c r="E944" s="84"/>
      <c r="F944" s="84"/>
      <c r="G944" s="84"/>
      <c r="H944" s="82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7"/>
      <c r="AA944" s="87"/>
      <c r="AB944" s="87"/>
      <c r="AC944" s="87"/>
      <c r="AD944" s="87"/>
      <c r="AE944" s="87"/>
      <c r="AF944" s="87"/>
      <c r="AG944" s="87"/>
      <c r="AH944" s="87"/>
      <c r="AI944" s="87"/>
      <c r="AJ944" s="87"/>
      <c r="AK944" s="87"/>
      <c r="AL944" s="87"/>
      <c r="AM944" s="87"/>
      <c r="AN944" s="87"/>
      <c r="AO944" s="87"/>
      <c r="AP944" s="87"/>
      <c r="AQ944" s="87"/>
      <c r="AR944" s="87"/>
      <c r="AS944" s="87"/>
      <c r="AT944" s="87"/>
      <c r="AU944" s="87"/>
      <c r="AV944" s="87"/>
      <c r="AW944" s="87"/>
      <c r="AX944" s="87"/>
      <c r="AY944" s="87"/>
      <c r="AZ944" s="87"/>
      <c r="BA944" s="87"/>
      <c r="BB944" s="87"/>
      <c r="BC944" s="87"/>
      <c r="BD944" s="87"/>
      <c r="BE944" s="87"/>
      <c r="BF944" s="87"/>
      <c r="BG944" s="87"/>
      <c r="BH944" s="87"/>
    </row>
    <row r="945" spans="1:60" ht="16">
      <c r="A945" s="82"/>
      <c r="B945" s="82"/>
      <c r="C945" s="82"/>
      <c r="D945" s="83"/>
      <c r="E945" s="84"/>
      <c r="F945" s="84"/>
      <c r="G945" s="84"/>
      <c r="H945" s="82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7"/>
      <c r="AA945" s="87"/>
      <c r="AB945" s="87"/>
      <c r="AC945" s="87"/>
      <c r="AD945" s="87"/>
      <c r="AE945" s="87"/>
      <c r="AF945" s="87"/>
      <c r="AG945" s="87"/>
      <c r="AH945" s="87"/>
      <c r="AI945" s="87"/>
      <c r="AJ945" s="87"/>
      <c r="AK945" s="87"/>
      <c r="AL945" s="87"/>
      <c r="AM945" s="87"/>
      <c r="AN945" s="87"/>
      <c r="AO945" s="87"/>
      <c r="AP945" s="87"/>
      <c r="AQ945" s="87"/>
      <c r="AR945" s="87"/>
      <c r="AS945" s="87"/>
      <c r="AT945" s="87"/>
      <c r="AU945" s="87"/>
      <c r="AV945" s="87"/>
      <c r="AW945" s="87"/>
      <c r="AX945" s="87"/>
      <c r="AY945" s="87"/>
      <c r="AZ945" s="87"/>
      <c r="BA945" s="87"/>
      <c r="BB945" s="87"/>
      <c r="BC945" s="87"/>
      <c r="BD945" s="87"/>
      <c r="BE945" s="87"/>
      <c r="BF945" s="87"/>
      <c r="BG945" s="87"/>
      <c r="BH945" s="87"/>
    </row>
    <row r="946" spans="1:60" ht="16">
      <c r="A946" s="82"/>
      <c r="B946" s="82"/>
      <c r="C946" s="82"/>
      <c r="D946" s="83"/>
      <c r="E946" s="84"/>
      <c r="F946" s="84"/>
      <c r="G946" s="84"/>
      <c r="H946" s="82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7"/>
      <c r="AA946" s="87"/>
      <c r="AB946" s="87"/>
      <c r="AC946" s="87"/>
      <c r="AD946" s="87"/>
      <c r="AE946" s="87"/>
      <c r="AF946" s="87"/>
      <c r="AG946" s="87"/>
      <c r="AH946" s="87"/>
      <c r="AI946" s="87"/>
      <c r="AJ946" s="87"/>
      <c r="AK946" s="87"/>
      <c r="AL946" s="87"/>
      <c r="AM946" s="87"/>
      <c r="AN946" s="87"/>
      <c r="AO946" s="87"/>
      <c r="AP946" s="87"/>
      <c r="AQ946" s="87"/>
      <c r="AR946" s="87"/>
      <c r="AS946" s="87"/>
      <c r="AT946" s="87"/>
      <c r="AU946" s="87"/>
      <c r="AV946" s="87"/>
      <c r="AW946" s="87"/>
      <c r="AX946" s="87"/>
      <c r="AY946" s="87"/>
      <c r="AZ946" s="87"/>
      <c r="BA946" s="87"/>
      <c r="BB946" s="87"/>
      <c r="BC946" s="87"/>
      <c r="BD946" s="87"/>
      <c r="BE946" s="87"/>
      <c r="BF946" s="87"/>
      <c r="BG946" s="87"/>
      <c r="BH946" s="87"/>
    </row>
    <row r="947" spans="1:60" ht="16">
      <c r="A947" s="82"/>
      <c r="B947" s="82"/>
      <c r="C947" s="82"/>
      <c r="D947" s="83"/>
      <c r="E947" s="84"/>
      <c r="F947" s="84"/>
      <c r="G947" s="84"/>
      <c r="H947" s="82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7"/>
      <c r="AA947" s="87"/>
      <c r="AB947" s="87"/>
      <c r="AC947" s="87"/>
      <c r="AD947" s="87"/>
      <c r="AE947" s="87"/>
      <c r="AF947" s="87"/>
      <c r="AG947" s="87"/>
      <c r="AH947" s="87"/>
      <c r="AI947" s="87"/>
      <c r="AJ947" s="87"/>
      <c r="AK947" s="87"/>
      <c r="AL947" s="87"/>
      <c r="AM947" s="87"/>
      <c r="AN947" s="87"/>
      <c r="AO947" s="87"/>
      <c r="AP947" s="87"/>
      <c r="AQ947" s="87"/>
      <c r="AR947" s="87"/>
      <c r="AS947" s="87"/>
      <c r="AT947" s="87"/>
      <c r="AU947" s="87"/>
      <c r="AV947" s="87"/>
      <c r="AW947" s="87"/>
      <c r="AX947" s="87"/>
      <c r="AY947" s="87"/>
      <c r="AZ947" s="87"/>
      <c r="BA947" s="87"/>
      <c r="BB947" s="87"/>
      <c r="BC947" s="87"/>
      <c r="BD947" s="87"/>
      <c r="BE947" s="87"/>
      <c r="BF947" s="87"/>
      <c r="BG947" s="87"/>
      <c r="BH947" s="87"/>
    </row>
    <row r="948" spans="1:60" ht="16">
      <c r="A948" s="82"/>
      <c r="B948" s="82"/>
      <c r="C948" s="82"/>
      <c r="D948" s="83"/>
      <c r="E948" s="84"/>
      <c r="F948" s="84"/>
      <c r="G948" s="84"/>
      <c r="H948" s="82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7"/>
      <c r="AA948" s="87"/>
      <c r="AB948" s="87"/>
      <c r="AC948" s="87"/>
      <c r="AD948" s="87"/>
      <c r="AE948" s="87"/>
      <c r="AF948" s="87"/>
      <c r="AG948" s="87"/>
      <c r="AH948" s="87"/>
      <c r="AI948" s="87"/>
      <c r="AJ948" s="87"/>
      <c r="AK948" s="87"/>
      <c r="AL948" s="87"/>
      <c r="AM948" s="87"/>
      <c r="AN948" s="87"/>
      <c r="AO948" s="87"/>
      <c r="AP948" s="87"/>
      <c r="AQ948" s="87"/>
      <c r="AR948" s="87"/>
      <c r="AS948" s="87"/>
      <c r="AT948" s="87"/>
      <c r="AU948" s="87"/>
      <c r="AV948" s="87"/>
      <c r="AW948" s="87"/>
      <c r="AX948" s="87"/>
      <c r="AY948" s="87"/>
      <c r="AZ948" s="87"/>
      <c r="BA948" s="87"/>
      <c r="BB948" s="87"/>
      <c r="BC948" s="87"/>
      <c r="BD948" s="87"/>
      <c r="BE948" s="87"/>
      <c r="BF948" s="87"/>
      <c r="BG948" s="87"/>
      <c r="BH948" s="87"/>
    </row>
    <row r="949" spans="1:60" ht="16">
      <c r="A949" s="82"/>
      <c r="B949" s="82"/>
      <c r="C949" s="82"/>
      <c r="D949" s="83"/>
      <c r="E949" s="84"/>
      <c r="F949" s="84"/>
      <c r="G949" s="84"/>
      <c r="H949" s="82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7"/>
      <c r="AA949" s="87"/>
      <c r="AB949" s="87"/>
      <c r="AC949" s="87"/>
      <c r="AD949" s="87"/>
      <c r="AE949" s="87"/>
      <c r="AF949" s="87"/>
      <c r="AG949" s="87"/>
      <c r="AH949" s="87"/>
      <c r="AI949" s="87"/>
      <c r="AJ949" s="87"/>
      <c r="AK949" s="87"/>
      <c r="AL949" s="87"/>
      <c r="AM949" s="87"/>
      <c r="AN949" s="87"/>
      <c r="AO949" s="87"/>
      <c r="AP949" s="87"/>
      <c r="AQ949" s="87"/>
      <c r="AR949" s="87"/>
      <c r="AS949" s="87"/>
      <c r="AT949" s="87"/>
      <c r="AU949" s="87"/>
      <c r="AV949" s="87"/>
      <c r="AW949" s="87"/>
      <c r="AX949" s="87"/>
      <c r="AY949" s="87"/>
      <c r="AZ949" s="87"/>
      <c r="BA949" s="87"/>
      <c r="BB949" s="87"/>
      <c r="BC949" s="87"/>
      <c r="BD949" s="87"/>
      <c r="BE949" s="87"/>
      <c r="BF949" s="87"/>
      <c r="BG949" s="87"/>
      <c r="BH949" s="87"/>
    </row>
    <row r="950" spans="1:60" ht="16">
      <c r="A950" s="82"/>
      <c r="B950" s="82"/>
      <c r="C950" s="82"/>
      <c r="D950" s="83"/>
      <c r="E950" s="84"/>
      <c r="F950" s="84"/>
      <c r="G950" s="84"/>
      <c r="H950" s="82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7"/>
      <c r="AA950" s="87"/>
      <c r="AB950" s="87"/>
      <c r="AC950" s="87"/>
      <c r="AD950" s="87"/>
      <c r="AE950" s="87"/>
      <c r="AF950" s="87"/>
      <c r="AG950" s="87"/>
      <c r="AH950" s="87"/>
      <c r="AI950" s="87"/>
      <c r="AJ950" s="87"/>
      <c r="AK950" s="87"/>
      <c r="AL950" s="87"/>
      <c r="AM950" s="87"/>
      <c r="AN950" s="87"/>
      <c r="AO950" s="87"/>
      <c r="AP950" s="87"/>
      <c r="AQ950" s="87"/>
      <c r="AR950" s="87"/>
      <c r="AS950" s="87"/>
      <c r="AT950" s="87"/>
      <c r="AU950" s="87"/>
      <c r="AV950" s="87"/>
      <c r="AW950" s="87"/>
      <c r="AX950" s="87"/>
      <c r="AY950" s="87"/>
      <c r="AZ950" s="87"/>
      <c r="BA950" s="87"/>
      <c r="BB950" s="87"/>
      <c r="BC950" s="87"/>
      <c r="BD950" s="87"/>
      <c r="BE950" s="87"/>
      <c r="BF950" s="87"/>
      <c r="BG950" s="87"/>
      <c r="BH950" s="87"/>
    </row>
    <row r="951" spans="1:60" ht="16">
      <c r="A951" s="82"/>
      <c r="B951" s="82"/>
      <c r="C951" s="82"/>
      <c r="D951" s="83"/>
      <c r="E951" s="84"/>
      <c r="F951" s="84"/>
      <c r="G951" s="84"/>
      <c r="H951" s="82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7"/>
      <c r="AA951" s="87"/>
      <c r="AB951" s="87"/>
      <c r="AC951" s="87"/>
      <c r="AD951" s="87"/>
      <c r="AE951" s="87"/>
      <c r="AF951" s="87"/>
      <c r="AG951" s="87"/>
      <c r="AH951" s="87"/>
      <c r="AI951" s="87"/>
      <c r="AJ951" s="87"/>
      <c r="AK951" s="87"/>
      <c r="AL951" s="87"/>
      <c r="AM951" s="87"/>
      <c r="AN951" s="87"/>
      <c r="AO951" s="87"/>
      <c r="AP951" s="87"/>
      <c r="AQ951" s="87"/>
      <c r="AR951" s="87"/>
      <c r="AS951" s="87"/>
      <c r="AT951" s="87"/>
      <c r="AU951" s="87"/>
      <c r="AV951" s="87"/>
      <c r="AW951" s="87"/>
      <c r="AX951" s="87"/>
      <c r="AY951" s="87"/>
      <c r="AZ951" s="87"/>
      <c r="BA951" s="87"/>
      <c r="BB951" s="87"/>
      <c r="BC951" s="87"/>
      <c r="BD951" s="87"/>
      <c r="BE951" s="87"/>
      <c r="BF951" s="87"/>
      <c r="BG951" s="87"/>
      <c r="BH951" s="87"/>
    </row>
    <row r="952" spans="1:60" ht="16">
      <c r="A952" s="82"/>
      <c r="B952" s="82"/>
      <c r="C952" s="82"/>
      <c r="D952" s="83"/>
      <c r="E952" s="84"/>
      <c r="F952" s="84"/>
      <c r="G952" s="84"/>
      <c r="H952" s="82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7"/>
      <c r="AA952" s="87"/>
      <c r="AB952" s="87"/>
      <c r="AC952" s="87"/>
      <c r="AD952" s="87"/>
      <c r="AE952" s="87"/>
      <c r="AF952" s="87"/>
      <c r="AG952" s="87"/>
      <c r="AH952" s="87"/>
      <c r="AI952" s="87"/>
      <c r="AJ952" s="87"/>
      <c r="AK952" s="87"/>
      <c r="AL952" s="87"/>
      <c r="AM952" s="87"/>
      <c r="AN952" s="87"/>
      <c r="AO952" s="87"/>
      <c r="AP952" s="87"/>
      <c r="AQ952" s="87"/>
      <c r="AR952" s="87"/>
      <c r="AS952" s="87"/>
      <c r="AT952" s="87"/>
      <c r="AU952" s="87"/>
      <c r="AV952" s="87"/>
      <c r="AW952" s="87"/>
      <c r="AX952" s="87"/>
      <c r="AY952" s="87"/>
      <c r="AZ952" s="87"/>
      <c r="BA952" s="87"/>
      <c r="BB952" s="87"/>
      <c r="BC952" s="87"/>
      <c r="BD952" s="87"/>
      <c r="BE952" s="87"/>
      <c r="BF952" s="87"/>
      <c r="BG952" s="87"/>
      <c r="BH952" s="87"/>
    </row>
    <row r="953" spans="1:60" ht="16">
      <c r="A953" s="82"/>
      <c r="B953" s="82"/>
      <c r="C953" s="82"/>
      <c r="D953" s="83"/>
      <c r="E953" s="84"/>
      <c r="F953" s="84"/>
      <c r="G953" s="84"/>
      <c r="H953" s="82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7"/>
      <c r="AA953" s="87"/>
      <c r="AB953" s="87"/>
      <c r="AC953" s="87"/>
      <c r="AD953" s="87"/>
      <c r="AE953" s="87"/>
      <c r="AF953" s="87"/>
      <c r="AG953" s="87"/>
      <c r="AH953" s="87"/>
      <c r="AI953" s="87"/>
      <c r="AJ953" s="87"/>
      <c r="AK953" s="87"/>
      <c r="AL953" s="87"/>
      <c r="AM953" s="87"/>
      <c r="AN953" s="87"/>
      <c r="AO953" s="87"/>
      <c r="AP953" s="87"/>
      <c r="AQ953" s="87"/>
      <c r="AR953" s="87"/>
      <c r="AS953" s="87"/>
      <c r="AT953" s="87"/>
      <c r="AU953" s="87"/>
      <c r="AV953" s="87"/>
      <c r="AW953" s="87"/>
      <c r="AX953" s="87"/>
      <c r="AY953" s="87"/>
      <c r="AZ953" s="87"/>
      <c r="BA953" s="87"/>
      <c r="BB953" s="87"/>
      <c r="BC953" s="87"/>
      <c r="BD953" s="87"/>
      <c r="BE953" s="87"/>
      <c r="BF953" s="87"/>
      <c r="BG953" s="87"/>
      <c r="BH953" s="87"/>
    </row>
    <row r="954" spans="1:60" ht="16">
      <c r="A954" s="82"/>
      <c r="B954" s="82"/>
      <c r="C954" s="82"/>
      <c r="D954" s="83"/>
      <c r="E954" s="84"/>
      <c r="F954" s="84"/>
      <c r="G954" s="84"/>
      <c r="H954" s="82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7"/>
      <c r="AA954" s="87"/>
      <c r="AB954" s="87"/>
      <c r="AC954" s="87"/>
      <c r="AD954" s="87"/>
      <c r="AE954" s="87"/>
      <c r="AF954" s="87"/>
      <c r="AG954" s="87"/>
      <c r="AH954" s="87"/>
      <c r="AI954" s="87"/>
      <c r="AJ954" s="87"/>
      <c r="AK954" s="87"/>
      <c r="AL954" s="87"/>
      <c r="AM954" s="87"/>
      <c r="AN954" s="87"/>
      <c r="AO954" s="87"/>
      <c r="AP954" s="87"/>
      <c r="AQ954" s="87"/>
      <c r="AR954" s="87"/>
      <c r="AS954" s="87"/>
      <c r="AT954" s="87"/>
      <c r="AU954" s="87"/>
      <c r="AV954" s="87"/>
      <c r="AW954" s="87"/>
      <c r="AX954" s="87"/>
      <c r="AY954" s="87"/>
      <c r="AZ954" s="87"/>
      <c r="BA954" s="87"/>
      <c r="BB954" s="87"/>
      <c r="BC954" s="87"/>
      <c r="BD954" s="87"/>
      <c r="BE954" s="87"/>
      <c r="BF954" s="87"/>
      <c r="BG954" s="87"/>
      <c r="BH954" s="87"/>
    </row>
    <row r="955" spans="1:60" ht="16">
      <c r="A955" s="82"/>
      <c r="B955" s="82"/>
      <c r="C955" s="82"/>
      <c r="D955" s="83"/>
      <c r="E955" s="84"/>
      <c r="F955" s="84"/>
      <c r="G955" s="84"/>
      <c r="H955" s="82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7"/>
      <c r="AA955" s="87"/>
      <c r="AB955" s="87"/>
      <c r="AC955" s="87"/>
      <c r="AD955" s="87"/>
      <c r="AE955" s="87"/>
      <c r="AF955" s="87"/>
      <c r="AG955" s="87"/>
      <c r="AH955" s="87"/>
      <c r="AI955" s="87"/>
      <c r="AJ955" s="87"/>
      <c r="AK955" s="87"/>
      <c r="AL955" s="87"/>
      <c r="AM955" s="87"/>
      <c r="AN955" s="87"/>
      <c r="AO955" s="87"/>
      <c r="AP955" s="87"/>
      <c r="AQ955" s="87"/>
      <c r="AR955" s="87"/>
      <c r="AS955" s="87"/>
      <c r="AT955" s="87"/>
      <c r="AU955" s="87"/>
      <c r="AV955" s="87"/>
      <c r="AW955" s="87"/>
      <c r="AX955" s="87"/>
      <c r="AY955" s="87"/>
      <c r="AZ955" s="87"/>
      <c r="BA955" s="87"/>
      <c r="BB955" s="87"/>
      <c r="BC955" s="87"/>
      <c r="BD955" s="87"/>
      <c r="BE955" s="87"/>
      <c r="BF955" s="87"/>
      <c r="BG955" s="87"/>
      <c r="BH955" s="87"/>
    </row>
    <row r="956" spans="1:60" ht="16">
      <c r="A956" s="82"/>
      <c r="B956" s="82"/>
      <c r="C956" s="82"/>
      <c r="D956" s="83"/>
      <c r="E956" s="84"/>
      <c r="F956" s="84"/>
      <c r="G956" s="84"/>
      <c r="H956" s="82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7"/>
      <c r="AA956" s="87"/>
      <c r="AB956" s="87"/>
      <c r="AC956" s="87"/>
      <c r="AD956" s="87"/>
      <c r="AE956" s="87"/>
      <c r="AF956" s="87"/>
      <c r="AG956" s="87"/>
      <c r="AH956" s="87"/>
      <c r="AI956" s="87"/>
      <c r="AJ956" s="87"/>
      <c r="AK956" s="87"/>
      <c r="AL956" s="87"/>
      <c r="AM956" s="87"/>
      <c r="AN956" s="87"/>
      <c r="AO956" s="87"/>
      <c r="AP956" s="87"/>
      <c r="AQ956" s="87"/>
      <c r="AR956" s="87"/>
      <c r="AS956" s="87"/>
      <c r="AT956" s="87"/>
      <c r="AU956" s="87"/>
      <c r="AV956" s="87"/>
      <c r="AW956" s="87"/>
      <c r="AX956" s="87"/>
      <c r="AY956" s="87"/>
      <c r="AZ956" s="87"/>
      <c r="BA956" s="87"/>
      <c r="BB956" s="87"/>
      <c r="BC956" s="87"/>
      <c r="BD956" s="87"/>
      <c r="BE956" s="87"/>
      <c r="BF956" s="87"/>
      <c r="BG956" s="87"/>
      <c r="BH956" s="87"/>
    </row>
    <row r="957" spans="1:60" ht="16">
      <c r="A957" s="82"/>
      <c r="B957" s="82"/>
      <c r="C957" s="82"/>
      <c r="D957" s="83"/>
      <c r="E957" s="84"/>
      <c r="F957" s="84"/>
      <c r="G957" s="84"/>
      <c r="H957" s="82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7"/>
      <c r="AA957" s="87"/>
      <c r="AB957" s="87"/>
      <c r="AC957" s="87"/>
      <c r="AD957" s="87"/>
      <c r="AE957" s="87"/>
      <c r="AF957" s="87"/>
      <c r="AG957" s="87"/>
      <c r="AH957" s="87"/>
      <c r="AI957" s="87"/>
      <c r="AJ957" s="87"/>
      <c r="AK957" s="87"/>
      <c r="AL957" s="87"/>
      <c r="AM957" s="87"/>
      <c r="AN957" s="87"/>
      <c r="AO957" s="87"/>
      <c r="AP957" s="87"/>
      <c r="AQ957" s="87"/>
      <c r="AR957" s="87"/>
      <c r="AS957" s="87"/>
      <c r="AT957" s="87"/>
      <c r="AU957" s="87"/>
      <c r="AV957" s="87"/>
      <c r="AW957" s="87"/>
      <c r="AX957" s="87"/>
      <c r="AY957" s="87"/>
      <c r="AZ957" s="87"/>
      <c r="BA957" s="87"/>
      <c r="BB957" s="87"/>
      <c r="BC957" s="87"/>
      <c r="BD957" s="87"/>
      <c r="BE957" s="87"/>
      <c r="BF957" s="87"/>
      <c r="BG957" s="87"/>
      <c r="BH957" s="87"/>
    </row>
    <row r="958" spans="1:60" ht="16">
      <c r="A958" s="82"/>
      <c r="B958" s="82"/>
      <c r="C958" s="82"/>
      <c r="D958" s="83"/>
      <c r="E958" s="84"/>
      <c r="F958" s="84"/>
      <c r="G958" s="84"/>
      <c r="H958" s="82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7"/>
      <c r="AA958" s="87"/>
      <c r="AB958" s="87"/>
      <c r="AC958" s="87"/>
      <c r="AD958" s="87"/>
      <c r="AE958" s="87"/>
      <c r="AF958" s="87"/>
      <c r="AG958" s="87"/>
      <c r="AH958" s="87"/>
      <c r="AI958" s="87"/>
      <c r="AJ958" s="87"/>
      <c r="AK958" s="87"/>
      <c r="AL958" s="87"/>
      <c r="AM958" s="87"/>
      <c r="AN958" s="87"/>
      <c r="AO958" s="87"/>
      <c r="AP958" s="87"/>
      <c r="AQ958" s="87"/>
      <c r="AR958" s="87"/>
      <c r="AS958" s="87"/>
      <c r="AT958" s="87"/>
      <c r="AU958" s="87"/>
      <c r="AV958" s="87"/>
      <c r="AW958" s="87"/>
      <c r="AX958" s="87"/>
      <c r="AY958" s="87"/>
      <c r="AZ958" s="87"/>
      <c r="BA958" s="87"/>
      <c r="BB958" s="87"/>
      <c r="BC958" s="87"/>
      <c r="BD958" s="87"/>
      <c r="BE958" s="87"/>
      <c r="BF958" s="87"/>
      <c r="BG958" s="87"/>
      <c r="BH958" s="87"/>
    </row>
    <row r="959" spans="1:60" ht="16">
      <c r="A959" s="82"/>
      <c r="B959" s="82"/>
      <c r="C959" s="82"/>
      <c r="D959" s="83"/>
      <c r="E959" s="84"/>
      <c r="F959" s="84"/>
      <c r="G959" s="84"/>
      <c r="H959" s="82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7"/>
      <c r="AA959" s="87"/>
      <c r="AB959" s="87"/>
      <c r="AC959" s="87"/>
      <c r="AD959" s="87"/>
      <c r="AE959" s="87"/>
      <c r="AF959" s="87"/>
      <c r="AG959" s="87"/>
      <c r="AH959" s="87"/>
      <c r="AI959" s="87"/>
      <c r="AJ959" s="87"/>
      <c r="AK959" s="87"/>
      <c r="AL959" s="87"/>
      <c r="AM959" s="87"/>
      <c r="AN959" s="87"/>
      <c r="AO959" s="87"/>
      <c r="AP959" s="87"/>
      <c r="AQ959" s="87"/>
      <c r="AR959" s="87"/>
      <c r="AS959" s="87"/>
      <c r="AT959" s="87"/>
      <c r="AU959" s="87"/>
      <c r="AV959" s="87"/>
      <c r="AW959" s="87"/>
      <c r="AX959" s="87"/>
      <c r="AY959" s="87"/>
      <c r="AZ959" s="87"/>
      <c r="BA959" s="87"/>
      <c r="BB959" s="87"/>
      <c r="BC959" s="87"/>
      <c r="BD959" s="87"/>
      <c r="BE959" s="87"/>
      <c r="BF959" s="87"/>
      <c r="BG959" s="87"/>
      <c r="BH959" s="87"/>
    </row>
    <row r="960" spans="1:60" ht="16">
      <c r="A960" s="82"/>
      <c r="B960" s="82"/>
      <c r="C960" s="82"/>
      <c r="D960" s="83"/>
      <c r="E960" s="84"/>
      <c r="F960" s="84"/>
      <c r="G960" s="84"/>
      <c r="H960" s="82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7"/>
      <c r="AA960" s="87"/>
      <c r="AB960" s="87"/>
      <c r="AC960" s="87"/>
      <c r="AD960" s="87"/>
      <c r="AE960" s="87"/>
      <c r="AF960" s="87"/>
      <c r="AG960" s="87"/>
      <c r="AH960" s="87"/>
      <c r="AI960" s="87"/>
      <c r="AJ960" s="87"/>
      <c r="AK960" s="87"/>
      <c r="AL960" s="87"/>
      <c r="AM960" s="87"/>
      <c r="AN960" s="87"/>
      <c r="AO960" s="87"/>
      <c r="AP960" s="87"/>
      <c r="AQ960" s="87"/>
      <c r="AR960" s="87"/>
      <c r="AS960" s="87"/>
      <c r="AT960" s="87"/>
      <c r="AU960" s="87"/>
      <c r="AV960" s="87"/>
      <c r="AW960" s="87"/>
      <c r="AX960" s="87"/>
      <c r="AY960" s="87"/>
      <c r="AZ960" s="87"/>
      <c r="BA960" s="87"/>
      <c r="BB960" s="87"/>
      <c r="BC960" s="87"/>
      <c r="BD960" s="87"/>
      <c r="BE960" s="87"/>
      <c r="BF960" s="87"/>
      <c r="BG960" s="87"/>
      <c r="BH960" s="87"/>
    </row>
    <row r="961" spans="1:60" ht="16">
      <c r="A961" s="82"/>
      <c r="B961" s="82"/>
      <c r="C961" s="82"/>
      <c r="D961" s="83"/>
      <c r="E961" s="84"/>
      <c r="F961" s="84"/>
      <c r="G961" s="84"/>
      <c r="H961" s="82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7"/>
      <c r="AA961" s="87"/>
      <c r="AB961" s="87"/>
      <c r="AC961" s="87"/>
      <c r="AD961" s="87"/>
      <c r="AE961" s="87"/>
      <c r="AF961" s="87"/>
      <c r="AG961" s="87"/>
      <c r="AH961" s="87"/>
      <c r="AI961" s="87"/>
      <c r="AJ961" s="87"/>
      <c r="AK961" s="87"/>
      <c r="AL961" s="87"/>
      <c r="AM961" s="87"/>
      <c r="AN961" s="87"/>
      <c r="AO961" s="87"/>
      <c r="AP961" s="87"/>
      <c r="AQ961" s="87"/>
      <c r="AR961" s="87"/>
      <c r="AS961" s="87"/>
      <c r="AT961" s="87"/>
      <c r="AU961" s="87"/>
      <c r="AV961" s="87"/>
      <c r="AW961" s="87"/>
      <c r="AX961" s="87"/>
      <c r="AY961" s="87"/>
      <c r="AZ961" s="87"/>
      <c r="BA961" s="87"/>
      <c r="BB961" s="87"/>
      <c r="BC961" s="87"/>
      <c r="BD961" s="87"/>
      <c r="BE961" s="87"/>
      <c r="BF961" s="87"/>
      <c r="BG961" s="87"/>
      <c r="BH961" s="87"/>
    </row>
    <row r="962" spans="1:60" ht="16">
      <c r="A962" s="82"/>
      <c r="B962" s="82"/>
      <c r="C962" s="82"/>
      <c r="D962" s="83"/>
      <c r="E962" s="84"/>
      <c r="F962" s="84"/>
      <c r="G962" s="84"/>
      <c r="H962" s="82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7"/>
      <c r="AA962" s="87"/>
      <c r="AB962" s="87"/>
      <c r="AC962" s="87"/>
      <c r="AD962" s="87"/>
      <c r="AE962" s="87"/>
      <c r="AF962" s="87"/>
      <c r="AG962" s="87"/>
      <c r="AH962" s="87"/>
      <c r="AI962" s="87"/>
      <c r="AJ962" s="87"/>
      <c r="AK962" s="87"/>
      <c r="AL962" s="87"/>
      <c r="AM962" s="87"/>
      <c r="AN962" s="87"/>
      <c r="AO962" s="87"/>
      <c r="AP962" s="87"/>
      <c r="AQ962" s="87"/>
      <c r="AR962" s="87"/>
      <c r="AS962" s="87"/>
      <c r="AT962" s="87"/>
      <c r="AU962" s="87"/>
      <c r="AV962" s="87"/>
      <c r="AW962" s="87"/>
      <c r="AX962" s="87"/>
      <c r="AY962" s="87"/>
      <c r="AZ962" s="87"/>
      <c r="BA962" s="87"/>
      <c r="BB962" s="87"/>
      <c r="BC962" s="87"/>
      <c r="BD962" s="87"/>
      <c r="BE962" s="87"/>
      <c r="BF962" s="87"/>
      <c r="BG962" s="87"/>
      <c r="BH962" s="87"/>
    </row>
    <row r="963" spans="1:60" ht="16">
      <c r="A963" s="82"/>
      <c r="B963" s="82"/>
      <c r="C963" s="82"/>
      <c r="D963" s="83"/>
      <c r="E963" s="84"/>
      <c r="F963" s="84"/>
      <c r="G963" s="84"/>
      <c r="H963" s="82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7"/>
      <c r="AA963" s="87"/>
      <c r="AB963" s="87"/>
      <c r="AC963" s="87"/>
      <c r="AD963" s="87"/>
      <c r="AE963" s="87"/>
      <c r="AF963" s="87"/>
      <c r="AG963" s="87"/>
      <c r="AH963" s="87"/>
      <c r="AI963" s="87"/>
      <c r="AJ963" s="87"/>
      <c r="AK963" s="87"/>
      <c r="AL963" s="87"/>
      <c r="AM963" s="87"/>
      <c r="AN963" s="87"/>
      <c r="AO963" s="87"/>
      <c r="AP963" s="87"/>
      <c r="AQ963" s="87"/>
      <c r="AR963" s="87"/>
      <c r="AS963" s="87"/>
      <c r="AT963" s="87"/>
      <c r="AU963" s="87"/>
      <c r="AV963" s="87"/>
      <c r="AW963" s="87"/>
      <c r="AX963" s="87"/>
      <c r="AY963" s="87"/>
      <c r="AZ963" s="87"/>
      <c r="BA963" s="87"/>
      <c r="BB963" s="87"/>
      <c r="BC963" s="87"/>
      <c r="BD963" s="87"/>
      <c r="BE963" s="87"/>
      <c r="BF963" s="87"/>
      <c r="BG963" s="87"/>
      <c r="BH963" s="87"/>
    </row>
    <row r="964" spans="1:60" ht="16">
      <c r="A964" s="82"/>
      <c r="B964" s="82"/>
      <c r="C964" s="82"/>
      <c r="D964" s="83"/>
      <c r="E964" s="84"/>
      <c r="F964" s="84"/>
      <c r="G964" s="84"/>
      <c r="H964" s="82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7"/>
      <c r="AA964" s="87"/>
      <c r="AB964" s="87"/>
      <c r="AC964" s="87"/>
      <c r="AD964" s="87"/>
      <c r="AE964" s="87"/>
      <c r="AF964" s="87"/>
      <c r="AG964" s="87"/>
      <c r="AH964" s="87"/>
      <c r="AI964" s="87"/>
      <c r="AJ964" s="87"/>
      <c r="AK964" s="87"/>
      <c r="AL964" s="87"/>
      <c r="AM964" s="87"/>
      <c r="AN964" s="87"/>
      <c r="AO964" s="87"/>
      <c r="AP964" s="87"/>
      <c r="AQ964" s="87"/>
      <c r="AR964" s="87"/>
      <c r="AS964" s="87"/>
      <c r="AT964" s="87"/>
      <c r="AU964" s="87"/>
      <c r="AV964" s="87"/>
      <c r="AW964" s="87"/>
      <c r="AX964" s="87"/>
      <c r="AY964" s="87"/>
      <c r="AZ964" s="87"/>
      <c r="BA964" s="87"/>
      <c r="BB964" s="87"/>
      <c r="BC964" s="87"/>
      <c r="BD964" s="87"/>
      <c r="BE964" s="87"/>
      <c r="BF964" s="87"/>
      <c r="BG964" s="87"/>
      <c r="BH964" s="87"/>
    </row>
    <row r="965" spans="1:60" ht="16">
      <c r="A965" s="82"/>
      <c r="B965" s="82"/>
      <c r="C965" s="82"/>
      <c r="D965" s="83"/>
      <c r="E965" s="84"/>
      <c r="F965" s="84"/>
      <c r="G965" s="84"/>
      <c r="H965" s="82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7"/>
      <c r="AA965" s="87"/>
      <c r="AB965" s="87"/>
      <c r="AC965" s="87"/>
      <c r="AD965" s="87"/>
      <c r="AE965" s="87"/>
      <c r="AF965" s="87"/>
      <c r="AG965" s="87"/>
      <c r="AH965" s="87"/>
      <c r="AI965" s="87"/>
      <c r="AJ965" s="87"/>
      <c r="AK965" s="87"/>
      <c r="AL965" s="87"/>
      <c r="AM965" s="87"/>
      <c r="AN965" s="87"/>
      <c r="AO965" s="87"/>
      <c r="AP965" s="87"/>
      <c r="AQ965" s="87"/>
      <c r="AR965" s="87"/>
      <c r="AS965" s="87"/>
      <c r="AT965" s="87"/>
      <c r="AU965" s="87"/>
      <c r="AV965" s="87"/>
      <c r="AW965" s="87"/>
      <c r="AX965" s="87"/>
      <c r="AY965" s="87"/>
      <c r="AZ965" s="87"/>
      <c r="BA965" s="87"/>
      <c r="BB965" s="87"/>
      <c r="BC965" s="87"/>
      <c r="BD965" s="87"/>
      <c r="BE965" s="87"/>
      <c r="BF965" s="87"/>
      <c r="BG965" s="87"/>
      <c r="BH965" s="87"/>
    </row>
    <row r="966" spans="1:60" ht="16">
      <c r="A966" s="82"/>
      <c r="B966" s="82"/>
      <c r="C966" s="82"/>
      <c r="D966" s="83"/>
      <c r="E966" s="84"/>
      <c r="F966" s="84"/>
      <c r="G966" s="84"/>
      <c r="H966" s="82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7"/>
      <c r="AA966" s="87"/>
      <c r="AB966" s="87"/>
      <c r="AC966" s="87"/>
      <c r="AD966" s="87"/>
      <c r="AE966" s="87"/>
      <c r="AF966" s="87"/>
      <c r="AG966" s="87"/>
      <c r="AH966" s="87"/>
      <c r="AI966" s="87"/>
      <c r="AJ966" s="87"/>
      <c r="AK966" s="87"/>
      <c r="AL966" s="87"/>
      <c r="AM966" s="87"/>
      <c r="AN966" s="87"/>
      <c r="AO966" s="87"/>
      <c r="AP966" s="87"/>
      <c r="AQ966" s="87"/>
      <c r="AR966" s="87"/>
      <c r="AS966" s="87"/>
      <c r="AT966" s="87"/>
      <c r="AU966" s="87"/>
      <c r="AV966" s="87"/>
      <c r="AW966" s="87"/>
      <c r="AX966" s="87"/>
      <c r="AY966" s="87"/>
      <c r="AZ966" s="87"/>
      <c r="BA966" s="87"/>
      <c r="BB966" s="87"/>
      <c r="BC966" s="87"/>
      <c r="BD966" s="87"/>
      <c r="BE966" s="87"/>
      <c r="BF966" s="87"/>
      <c r="BG966" s="87"/>
      <c r="BH966" s="87"/>
    </row>
    <row r="967" spans="1:60" ht="16">
      <c r="A967" s="82"/>
      <c r="B967" s="82"/>
      <c r="C967" s="82"/>
      <c r="D967" s="83"/>
      <c r="E967" s="84"/>
      <c r="F967" s="84"/>
      <c r="G967" s="84"/>
      <c r="H967" s="82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7"/>
      <c r="AA967" s="87"/>
      <c r="AB967" s="87"/>
      <c r="AC967" s="87"/>
      <c r="AD967" s="87"/>
      <c r="AE967" s="87"/>
      <c r="AF967" s="87"/>
      <c r="AG967" s="87"/>
      <c r="AH967" s="87"/>
      <c r="AI967" s="87"/>
      <c r="AJ967" s="87"/>
      <c r="AK967" s="87"/>
      <c r="AL967" s="87"/>
      <c r="AM967" s="87"/>
      <c r="AN967" s="87"/>
      <c r="AO967" s="87"/>
      <c r="AP967" s="87"/>
      <c r="AQ967" s="87"/>
      <c r="AR967" s="87"/>
      <c r="AS967" s="87"/>
      <c r="AT967" s="87"/>
      <c r="AU967" s="87"/>
      <c r="AV967" s="87"/>
      <c r="AW967" s="87"/>
      <c r="AX967" s="87"/>
      <c r="AY967" s="87"/>
      <c r="AZ967" s="87"/>
      <c r="BA967" s="87"/>
      <c r="BB967" s="87"/>
      <c r="BC967" s="87"/>
      <c r="BD967" s="87"/>
      <c r="BE967" s="87"/>
      <c r="BF967" s="87"/>
      <c r="BG967" s="87"/>
      <c r="BH967" s="87"/>
    </row>
    <row r="968" spans="1:60" ht="16">
      <c r="A968" s="82"/>
      <c r="B968" s="82"/>
      <c r="C968" s="82"/>
      <c r="D968" s="83"/>
      <c r="E968" s="84"/>
      <c r="F968" s="84"/>
      <c r="G968" s="84"/>
      <c r="H968" s="82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7"/>
      <c r="AA968" s="87"/>
      <c r="AB968" s="87"/>
      <c r="AC968" s="87"/>
      <c r="AD968" s="87"/>
      <c r="AE968" s="87"/>
      <c r="AF968" s="87"/>
      <c r="AG968" s="87"/>
      <c r="AH968" s="87"/>
      <c r="AI968" s="87"/>
      <c r="AJ968" s="87"/>
      <c r="AK968" s="87"/>
      <c r="AL968" s="87"/>
      <c r="AM968" s="87"/>
      <c r="AN968" s="87"/>
      <c r="AO968" s="87"/>
      <c r="AP968" s="87"/>
      <c r="AQ968" s="87"/>
      <c r="AR968" s="87"/>
      <c r="AS968" s="87"/>
      <c r="AT968" s="87"/>
      <c r="AU968" s="87"/>
      <c r="AV968" s="87"/>
      <c r="AW968" s="87"/>
      <c r="AX968" s="87"/>
      <c r="AY968" s="87"/>
      <c r="AZ968" s="87"/>
      <c r="BA968" s="87"/>
      <c r="BB968" s="87"/>
      <c r="BC968" s="87"/>
      <c r="BD968" s="87"/>
      <c r="BE968" s="87"/>
      <c r="BF968" s="87"/>
      <c r="BG968" s="87"/>
      <c r="BH968" s="87"/>
    </row>
    <row r="969" spans="1:60" ht="16">
      <c r="A969" s="82"/>
      <c r="B969" s="82"/>
      <c r="C969" s="82"/>
      <c r="D969" s="83"/>
      <c r="E969" s="84"/>
      <c r="F969" s="84"/>
      <c r="G969" s="84"/>
      <c r="H969" s="82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7"/>
      <c r="AA969" s="87"/>
      <c r="AB969" s="87"/>
      <c r="AC969" s="87"/>
      <c r="AD969" s="87"/>
      <c r="AE969" s="87"/>
      <c r="AF969" s="87"/>
      <c r="AG969" s="87"/>
      <c r="AH969" s="87"/>
      <c r="AI969" s="87"/>
      <c r="AJ969" s="87"/>
      <c r="AK969" s="87"/>
      <c r="AL969" s="87"/>
      <c r="AM969" s="87"/>
      <c r="AN969" s="87"/>
      <c r="AO969" s="87"/>
      <c r="AP969" s="87"/>
      <c r="AQ969" s="87"/>
      <c r="AR969" s="87"/>
      <c r="AS969" s="87"/>
      <c r="AT969" s="87"/>
      <c r="AU969" s="87"/>
      <c r="AV969" s="87"/>
      <c r="AW969" s="87"/>
      <c r="AX969" s="87"/>
      <c r="AY969" s="87"/>
      <c r="AZ969" s="87"/>
      <c r="BA969" s="87"/>
      <c r="BB969" s="87"/>
      <c r="BC969" s="87"/>
      <c r="BD969" s="87"/>
      <c r="BE969" s="87"/>
      <c r="BF969" s="87"/>
      <c r="BG969" s="87"/>
      <c r="BH969" s="87"/>
    </row>
    <row r="970" spans="1:60" ht="16">
      <c r="A970" s="82"/>
      <c r="B970" s="82"/>
      <c r="C970" s="82"/>
      <c r="D970" s="83"/>
      <c r="E970" s="84"/>
      <c r="F970" s="84"/>
      <c r="G970" s="84"/>
      <c r="H970" s="82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7"/>
      <c r="AA970" s="87"/>
      <c r="AB970" s="87"/>
      <c r="AC970" s="87"/>
      <c r="AD970" s="87"/>
      <c r="AE970" s="87"/>
      <c r="AF970" s="87"/>
      <c r="AG970" s="87"/>
      <c r="AH970" s="87"/>
      <c r="AI970" s="87"/>
      <c r="AJ970" s="87"/>
      <c r="AK970" s="87"/>
      <c r="AL970" s="87"/>
      <c r="AM970" s="87"/>
      <c r="AN970" s="87"/>
      <c r="AO970" s="87"/>
      <c r="AP970" s="87"/>
      <c r="AQ970" s="87"/>
      <c r="AR970" s="87"/>
      <c r="AS970" s="87"/>
      <c r="AT970" s="87"/>
      <c r="AU970" s="87"/>
      <c r="AV970" s="87"/>
      <c r="AW970" s="87"/>
      <c r="AX970" s="87"/>
      <c r="AY970" s="87"/>
      <c r="AZ970" s="87"/>
      <c r="BA970" s="87"/>
      <c r="BB970" s="87"/>
      <c r="BC970" s="87"/>
      <c r="BD970" s="87"/>
      <c r="BE970" s="87"/>
      <c r="BF970" s="87"/>
      <c r="BG970" s="87"/>
      <c r="BH970" s="87"/>
    </row>
    <row r="971" spans="1:60" ht="16">
      <c r="A971" s="82"/>
      <c r="B971" s="82"/>
      <c r="C971" s="82"/>
      <c r="D971" s="83"/>
      <c r="E971" s="84"/>
      <c r="F971" s="84"/>
      <c r="G971" s="84"/>
      <c r="H971" s="82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7"/>
      <c r="AA971" s="87"/>
      <c r="AB971" s="87"/>
      <c r="AC971" s="87"/>
      <c r="AD971" s="87"/>
      <c r="AE971" s="87"/>
      <c r="AF971" s="87"/>
      <c r="AG971" s="87"/>
      <c r="AH971" s="87"/>
      <c r="AI971" s="87"/>
      <c r="AJ971" s="87"/>
      <c r="AK971" s="87"/>
      <c r="AL971" s="87"/>
      <c r="AM971" s="87"/>
      <c r="AN971" s="87"/>
      <c r="AO971" s="87"/>
      <c r="AP971" s="87"/>
      <c r="AQ971" s="87"/>
      <c r="AR971" s="87"/>
      <c r="AS971" s="87"/>
      <c r="AT971" s="87"/>
      <c r="AU971" s="87"/>
      <c r="AV971" s="87"/>
      <c r="AW971" s="87"/>
      <c r="AX971" s="87"/>
      <c r="AY971" s="87"/>
      <c r="AZ971" s="87"/>
      <c r="BA971" s="87"/>
      <c r="BB971" s="87"/>
      <c r="BC971" s="87"/>
      <c r="BD971" s="87"/>
      <c r="BE971" s="87"/>
      <c r="BF971" s="87"/>
      <c r="BG971" s="87"/>
      <c r="BH971" s="87"/>
    </row>
    <row r="972" spans="1:60" ht="16">
      <c r="A972" s="82"/>
      <c r="B972" s="82"/>
      <c r="C972" s="82"/>
      <c r="D972" s="83"/>
      <c r="E972" s="84"/>
      <c r="F972" s="84"/>
      <c r="G972" s="84"/>
      <c r="H972" s="82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7"/>
      <c r="AA972" s="87"/>
      <c r="AB972" s="87"/>
      <c r="AC972" s="87"/>
      <c r="AD972" s="87"/>
      <c r="AE972" s="87"/>
      <c r="AF972" s="87"/>
      <c r="AG972" s="87"/>
      <c r="AH972" s="87"/>
      <c r="AI972" s="87"/>
      <c r="AJ972" s="87"/>
      <c r="AK972" s="87"/>
      <c r="AL972" s="87"/>
      <c r="AM972" s="87"/>
      <c r="AN972" s="87"/>
      <c r="AO972" s="87"/>
      <c r="AP972" s="87"/>
      <c r="AQ972" s="87"/>
      <c r="AR972" s="87"/>
      <c r="AS972" s="87"/>
      <c r="AT972" s="87"/>
      <c r="AU972" s="87"/>
      <c r="AV972" s="87"/>
      <c r="AW972" s="87"/>
      <c r="AX972" s="87"/>
      <c r="AY972" s="87"/>
      <c r="AZ972" s="87"/>
      <c r="BA972" s="87"/>
      <c r="BB972" s="87"/>
      <c r="BC972" s="87"/>
      <c r="BD972" s="87"/>
      <c r="BE972" s="87"/>
      <c r="BF972" s="87"/>
      <c r="BG972" s="87"/>
      <c r="BH972" s="87"/>
    </row>
    <row r="973" spans="1:60" ht="16">
      <c r="A973" s="82"/>
      <c r="B973" s="82"/>
      <c r="C973" s="82"/>
      <c r="D973" s="83"/>
      <c r="E973" s="84"/>
      <c r="F973" s="84"/>
      <c r="G973" s="84"/>
      <c r="H973" s="82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7"/>
      <c r="AA973" s="87"/>
      <c r="AB973" s="87"/>
      <c r="AC973" s="87"/>
      <c r="AD973" s="87"/>
      <c r="AE973" s="87"/>
      <c r="AF973" s="87"/>
      <c r="AG973" s="87"/>
      <c r="AH973" s="87"/>
      <c r="AI973" s="87"/>
      <c r="AJ973" s="87"/>
      <c r="AK973" s="87"/>
      <c r="AL973" s="87"/>
      <c r="AM973" s="87"/>
      <c r="AN973" s="87"/>
      <c r="AO973" s="87"/>
      <c r="AP973" s="87"/>
      <c r="AQ973" s="87"/>
      <c r="AR973" s="87"/>
      <c r="AS973" s="87"/>
      <c r="AT973" s="87"/>
      <c r="AU973" s="87"/>
      <c r="AV973" s="87"/>
      <c r="AW973" s="87"/>
      <c r="AX973" s="87"/>
      <c r="AY973" s="87"/>
      <c r="AZ973" s="87"/>
      <c r="BA973" s="87"/>
      <c r="BB973" s="87"/>
      <c r="BC973" s="87"/>
      <c r="BD973" s="87"/>
      <c r="BE973" s="87"/>
      <c r="BF973" s="87"/>
      <c r="BG973" s="87"/>
      <c r="BH973" s="87"/>
    </row>
    <row r="974" spans="1:60" ht="16">
      <c r="A974" s="82"/>
      <c r="B974" s="82"/>
      <c r="C974" s="82"/>
      <c r="D974" s="83"/>
      <c r="E974" s="84"/>
      <c r="F974" s="84"/>
      <c r="G974" s="84"/>
      <c r="H974" s="82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7"/>
      <c r="AA974" s="87"/>
      <c r="AB974" s="87"/>
      <c r="AC974" s="87"/>
      <c r="AD974" s="87"/>
      <c r="AE974" s="87"/>
      <c r="AF974" s="87"/>
      <c r="AG974" s="87"/>
      <c r="AH974" s="87"/>
      <c r="AI974" s="87"/>
      <c r="AJ974" s="87"/>
      <c r="AK974" s="87"/>
      <c r="AL974" s="87"/>
      <c r="AM974" s="87"/>
      <c r="AN974" s="87"/>
      <c r="AO974" s="87"/>
      <c r="AP974" s="87"/>
      <c r="AQ974" s="87"/>
      <c r="AR974" s="87"/>
      <c r="AS974" s="87"/>
      <c r="AT974" s="87"/>
      <c r="AU974" s="87"/>
      <c r="AV974" s="87"/>
      <c r="AW974" s="87"/>
      <c r="AX974" s="87"/>
      <c r="AY974" s="87"/>
      <c r="AZ974" s="87"/>
      <c r="BA974" s="87"/>
      <c r="BB974" s="87"/>
      <c r="BC974" s="87"/>
      <c r="BD974" s="87"/>
      <c r="BE974" s="87"/>
      <c r="BF974" s="87"/>
      <c r="BG974" s="87"/>
      <c r="BH974" s="87"/>
    </row>
    <row r="975" spans="1:60" ht="16">
      <c r="A975" s="82"/>
      <c r="B975" s="82"/>
      <c r="C975" s="82"/>
      <c r="D975" s="83"/>
      <c r="E975" s="84"/>
      <c r="F975" s="84"/>
      <c r="G975" s="84"/>
      <c r="H975" s="82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7"/>
      <c r="AA975" s="87"/>
      <c r="AB975" s="87"/>
      <c r="AC975" s="87"/>
      <c r="AD975" s="87"/>
      <c r="AE975" s="87"/>
      <c r="AF975" s="87"/>
      <c r="AG975" s="87"/>
      <c r="AH975" s="87"/>
      <c r="AI975" s="87"/>
      <c r="AJ975" s="87"/>
      <c r="AK975" s="87"/>
      <c r="AL975" s="87"/>
      <c r="AM975" s="87"/>
      <c r="AN975" s="87"/>
      <c r="AO975" s="87"/>
      <c r="AP975" s="87"/>
      <c r="AQ975" s="87"/>
      <c r="AR975" s="87"/>
      <c r="AS975" s="87"/>
      <c r="AT975" s="87"/>
      <c r="AU975" s="87"/>
      <c r="AV975" s="87"/>
      <c r="AW975" s="87"/>
      <c r="AX975" s="87"/>
      <c r="AY975" s="87"/>
      <c r="AZ975" s="87"/>
      <c r="BA975" s="87"/>
      <c r="BB975" s="87"/>
      <c r="BC975" s="87"/>
      <c r="BD975" s="87"/>
      <c r="BE975" s="87"/>
      <c r="BF975" s="87"/>
      <c r="BG975" s="87"/>
      <c r="BH975" s="87"/>
    </row>
    <row r="976" spans="1:60" ht="16">
      <c r="A976" s="82"/>
      <c r="B976" s="82"/>
      <c r="C976" s="82"/>
      <c r="D976" s="83"/>
      <c r="E976" s="84"/>
      <c r="F976" s="84"/>
      <c r="G976" s="84"/>
      <c r="H976" s="82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7"/>
      <c r="AA976" s="87"/>
      <c r="AB976" s="87"/>
      <c r="AC976" s="87"/>
      <c r="AD976" s="87"/>
      <c r="AE976" s="87"/>
      <c r="AF976" s="87"/>
      <c r="AG976" s="87"/>
      <c r="AH976" s="87"/>
      <c r="AI976" s="87"/>
      <c r="AJ976" s="87"/>
      <c r="AK976" s="87"/>
      <c r="AL976" s="87"/>
      <c r="AM976" s="87"/>
      <c r="AN976" s="87"/>
      <c r="AO976" s="87"/>
      <c r="AP976" s="87"/>
      <c r="AQ976" s="87"/>
      <c r="AR976" s="87"/>
      <c r="AS976" s="87"/>
      <c r="AT976" s="87"/>
      <c r="AU976" s="87"/>
      <c r="AV976" s="87"/>
      <c r="AW976" s="87"/>
      <c r="AX976" s="87"/>
      <c r="AY976" s="87"/>
      <c r="AZ976" s="87"/>
      <c r="BA976" s="87"/>
      <c r="BB976" s="87"/>
      <c r="BC976" s="87"/>
      <c r="BD976" s="87"/>
      <c r="BE976" s="87"/>
      <c r="BF976" s="87"/>
      <c r="BG976" s="87"/>
      <c r="BH976" s="87"/>
    </row>
    <row r="977" spans="1:60" ht="16">
      <c r="A977" s="82"/>
      <c r="B977" s="82"/>
      <c r="C977" s="82"/>
      <c r="D977" s="83"/>
      <c r="E977" s="84"/>
      <c r="F977" s="84"/>
      <c r="G977" s="84"/>
      <c r="H977" s="82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7"/>
      <c r="AA977" s="87"/>
      <c r="AB977" s="87"/>
      <c r="AC977" s="87"/>
      <c r="AD977" s="87"/>
      <c r="AE977" s="87"/>
      <c r="AF977" s="87"/>
      <c r="AG977" s="87"/>
      <c r="AH977" s="87"/>
      <c r="AI977" s="87"/>
      <c r="AJ977" s="87"/>
      <c r="AK977" s="87"/>
      <c r="AL977" s="87"/>
      <c r="AM977" s="87"/>
      <c r="AN977" s="87"/>
      <c r="AO977" s="87"/>
      <c r="AP977" s="87"/>
      <c r="AQ977" s="87"/>
      <c r="AR977" s="87"/>
      <c r="AS977" s="87"/>
      <c r="AT977" s="87"/>
      <c r="AU977" s="87"/>
      <c r="AV977" s="87"/>
      <c r="AW977" s="87"/>
      <c r="AX977" s="87"/>
      <c r="AY977" s="87"/>
      <c r="AZ977" s="87"/>
      <c r="BA977" s="87"/>
      <c r="BB977" s="87"/>
      <c r="BC977" s="87"/>
      <c r="BD977" s="87"/>
      <c r="BE977" s="87"/>
      <c r="BF977" s="87"/>
      <c r="BG977" s="87"/>
      <c r="BH977" s="87"/>
    </row>
    <row r="978" spans="1:60" ht="16">
      <c r="A978" s="82"/>
      <c r="B978" s="82"/>
      <c r="C978" s="82"/>
      <c r="D978" s="83"/>
      <c r="E978" s="84"/>
      <c r="F978" s="84"/>
      <c r="G978" s="84"/>
      <c r="H978" s="82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7"/>
      <c r="AA978" s="87"/>
      <c r="AB978" s="87"/>
      <c r="AC978" s="87"/>
      <c r="AD978" s="87"/>
      <c r="AE978" s="87"/>
      <c r="AF978" s="87"/>
      <c r="AG978" s="87"/>
      <c r="AH978" s="87"/>
      <c r="AI978" s="87"/>
      <c r="AJ978" s="87"/>
      <c r="AK978" s="87"/>
      <c r="AL978" s="87"/>
      <c r="AM978" s="87"/>
      <c r="AN978" s="87"/>
      <c r="AO978" s="87"/>
      <c r="AP978" s="87"/>
      <c r="AQ978" s="87"/>
      <c r="AR978" s="87"/>
      <c r="AS978" s="87"/>
      <c r="AT978" s="87"/>
      <c r="AU978" s="87"/>
      <c r="AV978" s="87"/>
      <c r="AW978" s="87"/>
      <c r="AX978" s="87"/>
      <c r="AY978" s="87"/>
      <c r="AZ978" s="87"/>
      <c r="BA978" s="87"/>
      <c r="BB978" s="87"/>
      <c r="BC978" s="87"/>
      <c r="BD978" s="87"/>
      <c r="BE978" s="87"/>
      <c r="BF978" s="87"/>
      <c r="BG978" s="87"/>
      <c r="BH978" s="87"/>
    </row>
    <row r="979" spans="1:60" ht="16">
      <c r="A979" s="82"/>
      <c r="B979" s="82"/>
      <c r="C979" s="82"/>
      <c r="D979" s="83"/>
      <c r="E979" s="84"/>
      <c r="F979" s="84"/>
      <c r="G979" s="84"/>
      <c r="H979" s="82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7"/>
      <c r="AA979" s="87"/>
      <c r="AB979" s="87"/>
      <c r="AC979" s="87"/>
      <c r="AD979" s="87"/>
      <c r="AE979" s="87"/>
      <c r="AF979" s="87"/>
      <c r="AG979" s="87"/>
      <c r="AH979" s="87"/>
      <c r="AI979" s="87"/>
      <c r="AJ979" s="87"/>
      <c r="AK979" s="87"/>
      <c r="AL979" s="87"/>
      <c r="AM979" s="87"/>
      <c r="AN979" s="87"/>
      <c r="AO979" s="87"/>
      <c r="AP979" s="87"/>
      <c r="AQ979" s="87"/>
      <c r="AR979" s="87"/>
      <c r="AS979" s="87"/>
      <c r="AT979" s="87"/>
      <c r="AU979" s="87"/>
      <c r="AV979" s="87"/>
      <c r="AW979" s="87"/>
      <c r="AX979" s="87"/>
      <c r="AY979" s="87"/>
      <c r="AZ979" s="87"/>
      <c r="BA979" s="87"/>
      <c r="BB979" s="87"/>
      <c r="BC979" s="87"/>
      <c r="BD979" s="87"/>
      <c r="BE979" s="87"/>
      <c r="BF979" s="87"/>
      <c r="BG979" s="87"/>
      <c r="BH979" s="87"/>
    </row>
    <row r="980" spans="1:60" ht="16">
      <c r="A980" s="82"/>
      <c r="B980" s="82"/>
      <c r="C980" s="82"/>
      <c r="D980" s="83"/>
      <c r="E980" s="84"/>
      <c r="F980" s="84"/>
      <c r="G980" s="84"/>
      <c r="H980" s="82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7"/>
      <c r="AA980" s="87"/>
      <c r="AB980" s="87"/>
      <c r="AC980" s="87"/>
      <c r="AD980" s="87"/>
      <c r="AE980" s="87"/>
      <c r="AF980" s="87"/>
      <c r="AG980" s="87"/>
      <c r="AH980" s="87"/>
      <c r="AI980" s="87"/>
      <c r="AJ980" s="87"/>
      <c r="AK980" s="87"/>
      <c r="AL980" s="87"/>
      <c r="AM980" s="87"/>
      <c r="AN980" s="87"/>
      <c r="AO980" s="87"/>
      <c r="AP980" s="87"/>
      <c r="AQ980" s="87"/>
      <c r="AR980" s="87"/>
      <c r="AS980" s="87"/>
      <c r="AT980" s="87"/>
      <c r="AU980" s="87"/>
      <c r="AV980" s="87"/>
      <c r="AW980" s="87"/>
      <c r="AX980" s="87"/>
      <c r="AY980" s="87"/>
      <c r="AZ980" s="87"/>
      <c r="BA980" s="87"/>
      <c r="BB980" s="87"/>
      <c r="BC980" s="87"/>
      <c r="BD980" s="87"/>
      <c r="BE980" s="87"/>
      <c r="BF980" s="87"/>
      <c r="BG980" s="87"/>
      <c r="BH980" s="87"/>
    </row>
    <row r="981" spans="1:60" ht="16">
      <c r="A981" s="82"/>
      <c r="B981" s="82"/>
      <c r="C981" s="82"/>
      <c r="D981" s="83"/>
      <c r="E981" s="84"/>
      <c r="F981" s="84"/>
      <c r="G981" s="84"/>
      <c r="H981" s="82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7"/>
      <c r="AA981" s="87"/>
      <c r="AB981" s="87"/>
      <c r="AC981" s="87"/>
      <c r="AD981" s="87"/>
      <c r="AE981" s="87"/>
      <c r="AF981" s="87"/>
      <c r="AG981" s="87"/>
      <c r="AH981" s="87"/>
      <c r="AI981" s="87"/>
      <c r="AJ981" s="87"/>
      <c r="AK981" s="87"/>
      <c r="AL981" s="87"/>
      <c r="AM981" s="87"/>
      <c r="AN981" s="87"/>
      <c r="AO981" s="87"/>
      <c r="AP981" s="87"/>
      <c r="AQ981" s="87"/>
      <c r="AR981" s="87"/>
      <c r="AS981" s="87"/>
      <c r="AT981" s="87"/>
      <c r="AU981" s="87"/>
      <c r="AV981" s="87"/>
      <c r="AW981" s="87"/>
      <c r="AX981" s="87"/>
      <c r="AY981" s="87"/>
      <c r="AZ981" s="87"/>
      <c r="BA981" s="87"/>
      <c r="BB981" s="87"/>
      <c r="BC981" s="87"/>
      <c r="BD981" s="87"/>
      <c r="BE981" s="87"/>
      <c r="BF981" s="87"/>
      <c r="BG981" s="87"/>
      <c r="BH981" s="87"/>
    </row>
    <row r="982" spans="1:60" ht="16">
      <c r="A982" s="82"/>
      <c r="B982" s="82"/>
      <c r="C982" s="82"/>
      <c r="D982" s="83"/>
      <c r="E982" s="84"/>
      <c r="F982" s="84"/>
      <c r="G982" s="84"/>
      <c r="H982" s="82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7"/>
      <c r="AA982" s="87"/>
      <c r="AB982" s="87"/>
      <c r="AC982" s="87"/>
      <c r="AD982" s="87"/>
      <c r="AE982" s="87"/>
      <c r="AF982" s="87"/>
      <c r="AG982" s="87"/>
      <c r="AH982" s="87"/>
      <c r="AI982" s="87"/>
      <c r="AJ982" s="87"/>
      <c r="AK982" s="87"/>
      <c r="AL982" s="87"/>
      <c r="AM982" s="87"/>
      <c r="AN982" s="87"/>
      <c r="AO982" s="87"/>
      <c r="AP982" s="87"/>
      <c r="AQ982" s="87"/>
      <c r="AR982" s="87"/>
      <c r="AS982" s="87"/>
      <c r="AT982" s="87"/>
      <c r="AU982" s="87"/>
      <c r="AV982" s="87"/>
      <c r="AW982" s="87"/>
      <c r="AX982" s="87"/>
      <c r="AY982" s="87"/>
      <c r="AZ982" s="87"/>
      <c r="BA982" s="87"/>
      <c r="BB982" s="87"/>
      <c r="BC982" s="87"/>
      <c r="BD982" s="87"/>
      <c r="BE982" s="87"/>
      <c r="BF982" s="87"/>
      <c r="BG982" s="87"/>
      <c r="BH982" s="87"/>
    </row>
    <row r="983" spans="1:60" ht="16">
      <c r="A983" s="82"/>
      <c r="B983" s="82"/>
      <c r="C983" s="82"/>
      <c r="D983" s="83"/>
      <c r="E983" s="84"/>
      <c r="F983" s="84"/>
      <c r="G983" s="84"/>
      <c r="H983" s="82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7"/>
      <c r="AA983" s="87"/>
      <c r="AB983" s="87"/>
      <c r="AC983" s="87"/>
      <c r="AD983" s="87"/>
      <c r="AE983" s="87"/>
      <c r="AF983" s="87"/>
      <c r="AG983" s="87"/>
      <c r="AH983" s="87"/>
      <c r="AI983" s="87"/>
      <c r="AJ983" s="87"/>
      <c r="AK983" s="87"/>
      <c r="AL983" s="87"/>
      <c r="AM983" s="87"/>
      <c r="AN983" s="87"/>
      <c r="AO983" s="87"/>
      <c r="AP983" s="87"/>
      <c r="AQ983" s="87"/>
      <c r="AR983" s="87"/>
      <c r="AS983" s="87"/>
      <c r="AT983" s="87"/>
      <c r="AU983" s="87"/>
      <c r="AV983" s="87"/>
      <c r="AW983" s="87"/>
      <c r="AX983" s="87"/>
      <c r="AY983" s="87"/>
      <c r="AZ983" s="87"/>
      <c r="BA983" s="87"/>
      <c r="BB983" s="87"/>
      <c r="BC983" s="87"/>
      <c r="BD983" s="87"/>
      <c r="BE983" s="87"/>
      <c r="BF983" s="87"/>
      <c r="BG983" s="87"/>
      <c r="BH983" s="87"/>
    </row>
    <row r="984" spans="1:60" ht="16">
      <c r="A984" s="82"/>
      <c r="B984" s="82"/>
      <c r="C984" s="82"/>
      <c r="D984" s="83"/>
      <c r="E984" s="84"/>
      <c r="F984" s="84"/>
      <c r="G984" s="84"/>
      <c r="H984" s="82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7"/>
      <c r="AA984" s="87"/>
      <c r="AB984" s="87"/>
      <c r="AC984" s="87"/>
      <c r="AD984" s="87"/>
      <c r="AE984" s="87"/>
      <c r="AF984" s="87"/>
      <c r="AG984" s="87"/>
      <c r="AH984" s="87"/>
      <c r="AI984" s="87"/>
      <c r="AJ984" s="87"/>
      <c r="AK984" s="87"/>
      <c r="AL984" s="87"/>
      <c r="AM984" s="87"/>
      <c r="AN984" s="87"/>
      <c r="AO984" s="87"/>
      <c r="AP984" s="87"/>
      <c r="AQ984" s="87"/>
      <c r="AR984" s="87"/>
      <c r="AS984" s="87"/>
      <c r="AT984" s="87"/>
      <c r="AU984" s="87"/>
      <c r="AV984" s="87"/>
      <c r="AW984" s="87"/>
      <c r="AX984" s="87"/>
      <c r="AY984" s="87"/>
      <c r="AZ984" s="87"/>
      <c r="BA984" s="87"/>
      <c r="BB984" s="87"/>
      <c r="BC984" s="87"/>
      <c r="BD984" s="87"/>
      <c r="BE984" s="87"/>
      <c r="BF984" s="87"/>
      <c r="BG984" s="87"/>
      <c r="BH984" s="87"/>
    </row>
    <row r="985" spans="1:60" ht="16">
      <c r="A985" s="82"/>
      <c r="B985" s="82"/>
      <c r="C985" s="82"/>
      <c r="D985" s="83"/>
      <c r="E985" s="84"/>
      <c r="F985" s="84"/>
      <c r="G985" s="84"/>
      <c r="H985" s="82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7"/>
      <c r="AA985" s="87"/>
      <c r="AB985" s="87"/>
      <c r="AC985" s="87"/>
      <c r="AD985" s="87"/>
      <c r="AE985" s="87"/>
      <c r="AF985" s="87"/>
      <c r="AG985" s="87"/>
      <c r="AH985" s="87"/>
      <c r="AI985" s="87"/>
      <c r="AJ985" s="87"/>
      <c r="AK985" s="87"/>
      <c r="AL985" s="87"/>
      <c r="AM985" s="87"/>
      <c r="AN985" s="87"/>
      <c r="AO985" s="87"/>
      <c r="AP985" s="87"/>
      <c r="AQ985" s="87"/>
      <c r="AR985" s="87"/>
      <c r="AS985" s="87"/>
      <c r="AT985" s="87"/>
      <c r="AU985" s="87"/>
      <c r="AV985" s="87"/>
      <c r="AW985" s="87"/>
      <c r="AX985" s="87"/>
      <c r="AY985" s="87"/>
      <c r="AZ985" s="87"/>
      <c r="BA985" s="87"/>
      <c r="BB985" s="87"/>
      <c r="BC985" s="87"/>
      <c r="BD985" s="87"/>
      <c r="BE985" s="87"/>
      <c r="BF985" s="87"/>
      <c r="BG985" s="87"/>
      <c r="BH985" s="87"/>
    </row>
    <row r="986" spans="1:60" ht="16">
      <c r="A986" s="82"/>
      <c r="B986" s="82"/>
      <c r="C986" s="82"/>
      <c r="D986" s="83"/>
      <c r="E986" s="84"/>
      <c r="F986" s="84"/>
      <c r="G986" s="84"/>
      <c r="H986" s="82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7"/>
      <c r="AA986" s="87"/>
      <c r="AB986" s="87"/>
      <c r="AC986" s="87"/>
      <c r="AD986" s="87"/>
      <c r="AE986" s="87"/>
      <c r="AF986" s="87"/>
      <c r="AG986" s="87"/>
      <c r="AH986" s="87"/>
      <c r="AI986" s="87"/>
      <c r="AJ986" s="87"/>
      <c r="AK986" s="87"/>
      <c r="AL986" s="87"/>
      <c r="AM986" s="87"/>
      <c r="AN986" s="87"/>
      <c r="AO986" s="87"/>
      <c r="AP986" s="87"/>
      <c r="AQ986" s="87"/>
      <c r="AR986" s="87"/>
      <c r="AS986" s="87"/>
      <c r="AT986" s="87"/>
      <c r="AU986" s="87"/>
      <c r="AV986" s="87"/>
      <c r="AW986" s="87"/>
      <c r="AX986" s="87"/>
      <c r="AY986" s="87"/>
      <c r="AZ986" s="87"/>
      <c r="BA986" s="87"/>
      <c r="BB986" s="87"/>
      <c r="BC986" s="87"/>
      <c r="BD986" s="87"/>
      <c r="BE986" s="87"/>
      <c r="BF986" s="87"/>
      <c r="BG986" s="87"/>
      <c r="BH986" s="87"/>
    </row>
    <row r="987" spans="1:60" ht="16">
      <c r="A987" s="82"/>
      <c r="B987" s="82"/>
      <c r="C987" s="82"/>
      <c r="D987" s="83"/>
      <c r="E987" s="84"/>
      <c r="F987" s="84"/>
      <c r="G987" s="84"/>
      <c r="H987" s="82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7"/>
      <c r="AA987" s="87"/>
      <c r="AB987" s="87"/>
      <c r="AC987" s="87"/>
      <c r="AD987" s="87"/>
      <c r="AE987" s="87"/>
      <c r="AF987" s="87"/>
      <c r="AG987" s="87"/>
      <c r="AH987" s="87"/>
      <c r="AI987" s="87"/>
      <c r="AJ987" s="87"/>
      <c r="AK987" s="87"/>
      <c r="AL987" s="87"/>
      <c r="AM987" s="87"/>
      <c r="AN987" s="87"/>
      <c r="AO987" s="87"/>
      <c r="AP987" s="87"/>
      <c r="AQ987" s="87"/>
      <c r="AR987" s="87"/>
      <c r="AS987" s="87"/>
      <c r="AT987" s="87"/>
      <c r="AU987" s="87"/>
      <c r="AV987" s="87"/>
      <c r="AW987" s="87"/>
      <c r="AX987" s="87"/>
      <c r="AY987" s="87"/>
      <c r="AZ987" s="87"/>
      <c r="BA987" s="87"/>
      <c r="BB987" s="87"/>
      <c r="BC987" s="87"/>
      <c r="BD987" s="87"/>
      <c r="BE987" s="87"/>
      <c r="BF987" s="87"/>
      <c r="BG987" s="87"/>
      <c r="BH987" s="87"/>
    </row>
    <row r="988" spans="1:60" ht="16">
      <c r="A988" s="82"/>
      <c r="B988" s="82"/>
      <c r="C988" s="82"/>
      <c r="D988" s="83"/>
      <c r="E988" s="84"/>
      <c r="F988" s="84"/>
      <c r="G988" s="84"/>
      <c r="H988" s="82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7"/>
      <c r="AA988" s="87"/>
      <c r="AB988" s="87"/>
      <c r="AC988" s="87"/>
      <c r="AD988" s="87"/>
      <c r="AE988" s="87"/>
      <c r="AF988" s="87"/>
      <c r="AG988" s="87"/>
      <c r="AH988" s="87"/>
      <c r="AI988" s="87"/>
      <c r="AJ988" s="87"/>
      <c r="AK988" s="87"/>
      <c r="AL988" s="87"/>
      <c r="AM988" s="87"/>
      <c r="AN988" s="87"/>
      <c r="AO988" s="87"/>
      <c r="AP988" s="87"/>
      <c r="AQ988" s="87"/>
      <c r="AR988" s="87"/>
      <c r="AS988" s="87"/>
      <c r="AT988" s="87"/>
      <c r="AU988" s="87"/>
      <c r="AV988" s="87"/>
      <c r="AW988" s="87"/>
      <c r="AX988" s="87"/>
      <c r="AY988" s="87"/>
      <c r="AZ988" s="87"/>
      <c r="BA988" s="87"/>
      <c r="BB988" s="87"/>
      <c r="BC988" s="87"/>
      <c r="BD988" s="87"/>
      <c r="BE988" s="87"/>
      <c r="BF988" s="87"/>
      <c r="BG988" s="87"/>
      <c r="BH988" s="87"/>
    </row>
    <row r="989" spans="1:60" ht="16">
      <c r="A989" s="82"/>
      <c r="B989" s="82"/>
      <c r="C989" s="82"/>
      <c r="D989" s="83"/>
      <c r="E989" s="84"/>
      <c r="F989" s="84"/>
      <c r="G989" s="84"/>
      <c r="H989" s="82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7"/>
      <c r="AA989" s="87"/>
      <c r="AB989" s="87"/>
      <c r="AC989" s="87"/>
      <c r="AD989" s="87"/>
      <c r="AE989" s="87"/>
      <c r="AF989" s="87"/>
      <c r="AG989" s="87"/>
      <c r="AH989" s="87"/>
      <c r="AI989" s="87"/>
      <c r="AJ989" s="87"/>
      <c r="AK989" s="87"/>
      <c r="AL989" s="87"/>
      <c r="AM989" s="87"/>
      <c r="AN989" s="87"/>
      <c r="AO989" s="87"/>
      <c r="AP989" s="87"/>
      <c r="AQ989" s="87"/>
      <c r="AR989" s="87"/>
      <c r="AS989" s="87"/>
      <c r="AT989" s="87"/>
      <c r="AU989" s="87"/>
      <c r="AV989" s="87"/>
      <c r="AW989" s="87"/>
      <c r="AX989" s="87"/>
      <c r="AY989" s="87"/>
      <c r="AZ989" s="87"/>
      <c r="BA989" s="87"/>
      <c r="BB989" s="87"/>
      <c r="BC989" s="87"/>
      <c r="BD989" s="87"/>
      <c r="BE989" s="87"/>
      <c r="BF989" s="87"/>
      <c r="BG989" s="87"/>
      <c r="BH989" s="87"/>
    </row>
    <row r="990" spans="1:60" ht="16">
      <c r="A990" s="82"/>
      <c r="B990" s="82"/>
      <c r="C990" s="82"/>
      <c r="D990" s="83"/>
      <c r="E990" s="84"/>
      <c r="F990" s="84"/>
      <c r="G990" s="84"/>
      <c r="H990" s="82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7"/>
      <c r="AA990" s="87"/>
      <c r="AB990" s="87"/>
      <c r="AC990" s="87"/>
      <c r="AD990" s="87"/>
      <c r="AE990" s="87"/>
      <c r="AF990" s="87"/>
      <c r="AG990" s="87"/>
      <c r="AH990" s="87"/>
      <c r="AI990" s="87"/>
      <c r="AJ990" s="87"/>
      <c r="AK990" s="87"/>
      <c r="AL990" s="87"/>
      <c r="AM990" s="87"/>
      <c r="AN990" s="87"/>
      <c r="AO990" s="87"/>
      <c r="AP990" s="87"/>
      <c r="AQ990" s="87"/>
      <c r="AR990" s="87"/>
      <c r="AS990" s="87"/>
      <c r="AT990" s="87"/>
      <c r="AU990" s="87"/>
      <c r="AV990" s="87"/>
      <c r="AW990" s="87"/>
      <c r="AX990" s="87"/>
      <c r="AY990" s="87"/>
      <c r="AZ990" s="87"/>
      <c r="BA990" s="87"/>
      <c r="BB990" s="87"/>
      <c r="BC990" s="87"/>
      <c r="BD990" s="87"/>
      <c r="BE990" s="87"/>
      <c r="BF990" s="87"/>
      <c r="BG990" s="87"/>
      <c r="BH990" s="87"/>
    </row>
    <row r="991" spans="1:60" ht="16">
      <c r="A991" s="82"/>
      <c r="B991" s="82"/>
      <c r="C991" s="82"/>
      <c r="D991" s="83"/>
      <c r="E991" s="84"/>
      <c r="F991" s="84"/>
      <c r="G991" s="84"/>
      <c r="H991" s="82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7"/>
      <c r="AA991" s="87"/>
      <c r="AB991" s="87"/>
      <c r="AC991" s="87"/>
      <c r="AD991" s="87"/>
      <c r="AE991" s="87"/>
      <c r="AF991" s="87"/>
      <c r="AG991" s="87"/>
      <c r="AH991" s="87"/>
      <c r="AI991" s="87"/>
      <c r="AJ991" s="87"/>
      <c r="AK991" s="87"/>
      <c r="AL991" s="87"/>
      <c r="AM991" s="87"/>
      <c r="AN991" s="87"/>
      <c r="AO991" s="87"/>
      <c r="AP991" s="87"/>
      <c r="AQ991" s="87"/>
      <c r="AR991" s="87"/>
      <c r="AS991" s="87"/>
      <c r="AT991" s="87"/>
      <c r="AU991" s="87"/>
      <c r="AV991" s="87"/>
      <c r="AW991" s="87"/>
      <c r="AX991" s="87"/>
      <c r="AY991" s="87"/>
      <c r="AZ991" s="87"/>
      <c r="BA991" s="87"/>
      <c r="BB991" s="87"/>
      <c r="BC991" s="87"/>
      <c r="BD991" s="87"/>
      <c r="BE991" s="87"/>
      <c r="BF991" s="87"/>
      <c r="BG991" s="87"/>
      <c r="BH991" s="87"/>
    </row>
    <row r="992" spans="1:60" ht="16">
      <c r="A992" s="82"/>
      <c r="B992" s="82"/>
      <c r="C992" s="82"/>
      <c r="D992" s="83"/>
      <c r="E992" s="84"/>
      <c r="F992" s="84"/>
      <c r="G992" s="84"/>
      <c r="H992" s="82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7"/>
      <c r="AA992" s="87"/>
      <c r="AB992" s="87"/>
      <c r="AC992" s="87"/>
      <c r="AD992" s="87"/>
      <c r="AE992" s="87"/>
      <c r="AF992" s="87"/>
      <c r="AG992" s="87"/>
      <c r="AH992" s="87"/>
      <c r="AI992" s="87"/>
      <c r="AJ992" s="87"/>
      <c r="AK992" s="87"/>
      <c r="AL992" s="87"/>
      <c r="AM992" s="87"/>
      <c r="AN992" s="87"/>
      <c r="AO992" s="87"/>
      <c r="AP992" s="87"/>
      <c r="AQ992" s="87"/>
      <c r="AR992" s="87"/>
      <c r="AS992" s="87"/>
      <c r="AT992" s="87"/>
      <c r="AU992" s="87"/>
      <c r="AV992" s="87"/>
      <c r="AW992" s="87"/>
      <c r="AX992" s="87"/>
      <c r="AY992" s="87"/>
      <c r="AZ992" s="87"/>
      <c r="BA992" s="87"/>
      <c r="BB992" s="87"/>
      <c r="BC992" s="87"/>
      <c r="BD992" s="87"/>
      <c r="BE992" s="87"/>
      <c r="BF992" s="87"/>
      <c r="BG992" s="87"/>
      <c r="BH992" s="87"/>
    </row>
    <row r="993" spans="1:60" ht="16">
      <c r="A993" s="82"/>
      <c r="B993" s="82"/>
      <c r="C993" s="82"/>
      <c r="D993" s="83"/>
      <c r="E993" s="84"/>
      <c r="F993" s="84"/>
      <c r="G993" s="84"/>
      <c r="H993" s="82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7"/>
      <c r="AA993" s="87"/>
      <c r="AB993" s="87"/>
      <c r="AC993" s="87"/>
      <c r="AD993" s="87"/>
      <c r="AE993" s="87"/>
      <c r="AF993" s="87"/>
      <c r="AG993" s="87"/>
      <c r="AH993" s="87"/>
      <c r="AI993" s="87"/>
      <c r="AJ993" s="87"/>
      <c r="AK993" s="87"/>
      <c r="AL993" s="87"/>
      <c r="AM993" s="87"/>
      <c r="AN993" s="87"/>
      <c r="AO993" s="87"/>
      <c r="AP993" s="87"/>
      <c r="AQ993" s="87"/>
      <c r="AR993" s="87"/>
      <c r="AS993" s="87"/>
      <c r="AT993" s="87"/>
      <c r="AU993" s="87"/>
      <c r="AV993" s="87"/>
      <c r="AW993" s="87"/>
      <c r="AX993" s="87"/>
      <c r="AY993" s="87"/>
      <c r="AZ993" s="87"/>
      <c r="BA993" s="87"/>
      <c r="BB993" s="87"/>
      <c r="BC993" s="87"/>
      <c r="BD993" s="87"/>
      <c r="BE993" s="87"/>
      <c r="BF993" s="87"/>
      <c r="BG993" s="87"/>
      <c r="BH993" s="87"/>
    </row>
    <row r="994" spans="1:60" ht="16">
      <c r="A994" s="82"/>
      <c r="B994" s="82"/>
      <c r="C994" s="82"/>
      <c r="D994" s="83"/>
      <c r="E994" s="84"/>
      <c r="F994" s="84"/>
      <c r="G994" s="84"/>
      <c r="H994" s="82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7"/>
      <c r="AA994" s="87"/>
      <c r="AB994" s="87"/>
      <c r="AC994" s="87"/>
      <c r="AD994" s="87"/>
      <c r="AE994" s="87"/>
      <c r="AF994" s="87"/>
      <c r="AG994" s="87"/>
      <c r="AH994" s="87"/>
      <c r="AI994" s="87"/>
      <c r="AJ994" s="87"/>
      <c r="AK994" s="87"/>
      <c r="AL994" s="87"/>
      <c r="AM994" s="87"/>
      <c r="AN994" s="87"/>
      <c r="AO994" s="87"/>
      <c r="AP994" s="87"/>
      <c r="AQ994" s="87"/>
      <c r="AR994" s="87"/>
      <c r="AS994" s="87"/>
      <c r="AT994" s="87"/>
      <c r="AU994" s="87"/>
      <c r="AV994" s="87"/>
      <c r="AW994" s="87"/>
      <c r="AX994" s="87"/>
      <c r="AY994" s="87"/>
      <c r="AZ994" s="87"/>
      <c r="BA994" s="87"/>
      <c r="BB994" s="87"/>
      <c r="BC994" s="87"/>
      <c r="BD994" s="87"/>
      <c r="BE994" s="87"/>
      <c r="BF994" s="87"/>
      <c r="BG994" s="87"/>
      <c r="BH994" s="87"/>
    </row>
    <row r="995" spans="1:60" ht="16">
      <c r="A995" s="82"/>
      <c r="B995" s="82"/>
      <c r="C995" s="82"/>
      <c r="D995" s="83"/>
      <c r="E995" s="84"/>
      <c r="F995" s="84"/>
      <c r="G995" s="84"/>
      <c r="H995" s="82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7"/>
      <c r="AA995" s="87"/>
      <c r="AB995" s="87"/>
      <c r="AC995" s="87"/>
      <c r="AD995" s="87"/>
      <c r="AE995" s="87"/>
      <c r="AF995" s="87"/>
      <c r="AG995" s="87"/>
      <c r="AH995" s="87"/>
      <c r="AI995" s="87"/>
      <c r="AJ995" s="87"/>
      <c r="AK995" s="87"/>
      <c r="AL995" s="87"/>
      <c r="AM995" s="87"/>
      <c r="AN995" s="87"/>
      <c r="AO995" s="87"/>
      <c r="AP995" s="87"/>
      <c r="AQ995" s="87"/>
      <c r="AR995" s="87"/>
      <c r="AS995" s="87"/>
      <c r="AT995" s="87"/>
      <c r="AU995" s="87"/>
      <c r="AV995" s="87"/>
      <c r="AW995" s="87"/>
      <c r="AX995" s="87"/>
      <c r="AY995" s="87"/>
      <c r="AZ995" s="87"/>
      <c r="BA995" s="87"/>
      <c r="BB995" s="87"/>
      <c r="BC995" s="87"/>
      <c r="BD995" s="87"/>
      <c r="BE995" s="87"/>
      <c r="BF995" s="87"/>
      <c r="BG995" s="87"/>
      <c r="BH995" s="87"/>
    </row>
    <row r="996" spans="1:60" ht="16">
      <c r="A996" s="82"/>
      <c r="B996" s="82"/>
      <c r="C996" s="82"/>
      <c r="D996" s="83"/>
      <c r="E996" s="84"/>
      <c r="F996" s="84"/>
      <c r="G996" s="84"/>
      <c r="H996" s="82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7"/>
      <c r="AA996" s="87"/>
      <c r="AB996" s="87"/>
      <c r="AC996" s="87"/>
      <c r="AD996" s="87"/>
      <c r="AE996" s="87"/>
      <c r="AF996" s="87"/>
      <c r="AG996" s="87"/>
      <c r="AH996" s="87"/>
      <c r="AI996" s="87"/>
      <c r="AJ996" s="87"/>
      <c r="AK996" s="87"/>
      <c r="AL996" s="87"/>
      <c r="AM996" s="87"/>
      <c r="AN996" s="87"/>
      <c r="AO996" s="87"/>
      <c r="AP996" s="87"/>
      <c r="AQ996" s="87"/>
      <c r="AR996" s="87"/>
      <c r="AS996" s="87"/>
      <c r="AT996" s="87"/>
      <c r="AU996" s="87"/>
      <c r="AV996" s="87"/>
      <c r="AW996" s="87"/>
      <c r="AX996" s="87"/>
      <c r="AY996" s="87"/>
      <c r="AZ996" s="87"/>
      <c r="BA996" s="87"/>
      <c r="BB996" s="87"/>
      <c r="BC996" s="87"/>
      <c r="BD996" s="87"/>
      <c r="BE996" s="87"/>
      <c r="BF996" s="87"/>
      <c r="BG996" s="87"/>
      <c r="BH996" s="87"/>
    </row>
    <row r="997" spans="1:60" ht="16">
      <c r="A997" s="82"/>
      <c r="B997" s="82"/>
      <c r="C997" s="82"/>
      <c r="D997" s="83"/>
      <c r="E997" s="84"/>
      <c r="F997" s="84"/>
      <c r="G997" s="84"/>
      <c r="H997" s="82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7"/>
      <c r="AA997" s="87"/>
      <c r="AB997" s="87"/>
      <c r="AC997" s="87"/>
      <c r="AD997" s="87"/>
      <c r="AE997" s="87"/>
      <c r="AF997" s="87"/>
      <c r="AG997" s="87"/>
      <c r="AH997" s="87"/>
      <c r="AI997" s="87"/>
      <c r="AJ997" s="87"/>
      <c r="AK997" s="87"/>
      <c r="AL997" s="87"/>
      <c r="AM997" s="87"/>
      <c r="AN997" s="87"/>
      <c r="AO997" s="87"/>
      <c r="AP997" s="87"/>
      <c r="AQ997" s="87"/>
      <c r="AR997" s="87"/>
      <c r="AS997" s="87"/>
      <c r="AT997" s="87"/>
      <c r="AU997" s="87"/>
      <c r="AV997" s="87"/>
      <c r="AW997" s="87"/>
      <c r="AX997" s="87"/>
      <c r="AY997" s="87"/>
      <c r="AZ997" s="87"/>
      <c r="BA997" s="87"/>
      <c r="BB997" s="87"/>
      <c r="BC997" s="87"/>
      <c r="BD997" s="87"/>
      <c r="BE997" s="87"/>
      <c r="BF997" s="87"/>
      <c r="BG997" s="87"/>
      <c r="BH997" s="87"/>
    </row>
    <row r="998" spans="1:60" ht="16">
      <c r="A998" s="82"/>
      <c r="B998" s="82"/>
      <c r="C998" s="82"/>
      <c r="D998" s="83"/>
      <c r="E998" s="84"/>
      <c r="F998" s="84"/>
      <c r="G998" s="84"/>
      <c r="H998" s="82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7"/>
      <c r="AA998" s="87"/>
      <c r="AB998" s="87"/>
      <c r="AC998" s="87"/>
      <c r="AD998" s="87"/>
      <c r="AE998" s="87"/>
      <c r="AF998" s="87"/>
      <c r="AG998" s="87"/>
      <c r="AH998" s="87"/>
      <c r="AI998" s="87"/>
      <c r="AJ998" s="87"/>
      <c r="AK998" s="87"/>
      <c r="AL998" s="87"/>
      <c r="AM998" s="87"/>
      <c r="AN998" s="87"/>
      <c r="AO998" s="87"/>
      <c r="AP998" s="87"/>
      <c r="AQ998" s="87"/>
      <c r="AR998" s="87"/>
      <c r="AS998" s="87"/>
      <c r="AT998" s="87"/>
      <c r="AU998" s="87"/>
      <c r="AV998" s="87"/>
      <c r="AW998" s="87"/>
      <c r="AX998" s="87"/>
      <c r="AY998" s="87"/>
      <c r="AZ998" s="87"/>
      <c r="BA998" s="87"/>
      <c r="BB998" s="87"/>
      <c r="BC998" s="87"/>
      <c r="BD998" s="87"/>
      <c r="BE998" s="87"/>
      <c r="BF998" s="87"/>
      <c r="BG998" s="87"/>
      <c r="BH998" s="87"/>
    </row>
    <row r="999" spans="1:60" ht="16">
      <c r="A999" s="82"/>
      <c r="B999" s="82"/>
      <c r="C999" s="82"/>
      <c r="D999" s="83"/>
      <c r="E999" s="84"/>
      <c r="F999" s="84"/>
      <c r="G999" s="84"/>
      <c r="H999" s="82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7"/>
      <c r="AA999" s="87"/>
      <c r="AB999" s="87"/>
      <c r="AC999" s="87"/>
      <c r="AD999" s="87"/>
      <c r="AE999" s="87"/>
      <c r="AF999" s="87"/>
      <c r="AG999" s="87"/>
      <c r="AH999" s="87"/>
      <c r="AI999" s="87"/>
      <c r="AJ999" s="87"/>
      <c r="AK999" s="87"/>
      <c r="AL999" s="87"/>
      <c r="AM999" s="87"/>
      <c r="AN999" s="87"/>
      <c r="AO999" s="87"/>
      <c r="AP999" s="87"/>
      <c r="AQ999" s="87"/>
      <c r="AR999" s="87"/>
      <c r="AS999" s="87"/>
      <c r="AT999" s="87"/>
      <c r="AU999" s="87"/>
      <c r="AV999" s="87"/>
      <c r="AW999" s="87"/>
      <c r="AX999" s="87"/>
      <c r="AY999" s="87"/>
      <c r="AZ999" s="87"/>
      <c r="BA999" s="87"/>
      <c r="BB999" s="87"/>
      <c r="BC999" s="87"/>
      <c r="BD999" s="87"/>
      <c r="BE999" s="87"/>
      <c r="BF999" s="87"/>
      <c r="BG999" s="87"/>
      <c r="BH999" s="87"/>
    </row>
    <row r="1000" spans="1:60" ht="16">
      <c r="A1000" s="82"/>
      <c r="B1000" s="82"/>
      <c r="C1000" s="82"/>
      <c r="D1000" s="83"/>
      <c r="E1000" s="84"/>
      <c r="F1000" s="84"/>
      <c r="G1000" s="84"/>
      <c r="H1000" s="82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7"/>
      <c r="AA1000" s="87"/>
      <c r="AB1000" s="87"/>
      <c r="AC1000" s="87"/>
      <c r="AD1000" s="87"/>
      <c r="AE1000" s="87"/>
      <c r="AF1000" s="87"/>
      <c r="AG1000" s="87"/>
      <c r="AH1000" s="87"/>
      <c r="AI1000" s="87"/>
      <c r="AJ1000" s="87"/>
      <c r="AK1000" s="87"/>
      <c r="AL1000" s="87"/>
      <c r="AM1000" s="87"/>
      <c r="AN1000" s="87"/>
      <c r="AO1000" s="87"/>
      <c r="AP1000" s="87"/>
      <c r="AQ1000" s="87"/>
      <c r="AR1000" s="87"/>
      <c r="AS1000" s="87"/>
      <c r="AT1000" s="87"/>
      <c r="AU1000" s="87"/>
      <c r="AV1000" s="87"/>
      <c r="AW1000" s="87"/>
      <c r="AX1000" s="87"/>
      <c r="AY1000" s="87"/>
      <c r="AZ1000" s="87"/>
      <c r="BA1000" s="87"/>
      <c r="BB1000" s="87"/>
      <c r="BC1000" s="87"/>
      <c r="BD1000" s="87"/>
      <c r="BE1000" s="87"/>
      <c r="BF1000" s="87"/>
      <c r="BG1000" s="87"/>
      <c r="BH1000" s="87"/>
    </row>
    <row r="1001" spans="1:60" ht="16">
      <c r="A1001" s="82"/>
      <c r="B1001" s="82"/>
      <c r="C1001" s="82"/>
      <c r="D1001" s="83"/>
      <c r="E1001" s="84"/>
      <c r="F1001" s="84"/>
      <c r="G1001" s="84"/>
      <c r="H1001" s="82"/>
      <c r="I1001" s="84"/>
      <c r="J1001" s="84"/>
      <c r="K1001" s="84"/>
      <c r="L1001" s="84"/>
      <c r="M1001" s="84"/>
      <c r="N1001" s="84"/>
      <c r="O1001" s="84"/>
      <c r="P1001" s="84"/>
      <c r="Q1001" s="84"/>
      <c r="R1001" s="84"/>
      <c r="S1001" s="84"/>
      <c r="T1001" s="84"/>
      <c r="U1001" s="84"/>
      <c r="V1001" s="84"/>
      <c r="W1001" s="84"/>
      <c r="X1001" s="84"/>
      <c r="Y1001" s="84"/>
      <c r="Z1001" s="87"/>
      <c r="AA1001" s="87"/>
      <c r="AB1001" s="87"/>
      <c r="AC1001" s="87"/>
      <c r="AD1001" s="87"/>
      <c r="AE1001" s="87"/>
      <c r="AF1001" s="87"/>
      <c r="AG1001" s="87"/>
      <c r="AH1001" s="87"/>
      <c r="AI1001" s="87"/>
      <c r="AJ1001" s="87"/>
      <c r="AK1001" s="87"/>
      <c r="AL1001" s="87"/>
      <c r="AM1001" s="87"/>
      <c r="AN1001" s="87"/>
      <c r="AO1001" s="87"/>
      <c r="AP1001" s="87"/>
      <c r="AQ1001" s="87"/>
      <c r="AR1001" s="87"/>
      <c r="AS1001" s="87"/>
      <c r="AT1001" s="87"/>
      <c r="AU1001" s="87"/>
      <c r="AV1001" s="87"/>
      <c r="AW1001" s="87"/>
      <c r="AX1001" s="87"/>
      <c r="AY1001" s="87"/>
      <c r="AZ1001" s="87"/>
      <c r="BA1001" s="87"/>
      <c r="BB1001" s="87"/>
      <c r="BC1001" s="87"/>
      <c r="BD1001" s="87"/>
      <c r="BE1001" s="87"/>
      <c r="BF1001" s="87"/>
      <c r="BG1001" s="87"/>
      <c r="BH1001" s="87"/>
    </row>
    <row r="1002" spans="1:60" ht="16">
      <c r="A1002" s="82"/>
      <c r="B1002" s="82"/>
      <c r="C1002" s="82"/>
      <c r="D1002" s="83"/>
      <c r="E1002" s="84"/>
      <c r="F1002" s="84"/>
      <c r="G1002" s="84"/>
      <c r="H1002" s="82"/>
      <c r="I1002" s="84"/>
      <c r="J1002" s="84"/>
      <c r="K1002" s="84"/>
      <c r="L1002" s="84"/>
      <c r="M1002" s="84"/>
      <c r="N1002" s="84"/>
      <c r="O1002" s="84"/>
      <c r="P1002" s="84"/>
      <c r="Q1002" s="84"/>
      <c r="R1002" s="84"/>
      <c r="S1002" s="84"/>
      <c r="T1002" s="84"/>
      <c r="U1002" s="84"/>
      <c r="V1002" s="84"/>
      <c r="W1002" s="84"/>
      <c r="X1002" s="84"/>
      <c r="Y1002" s="84"/>
      <c r="Z1002" s="87"/>
      <c r="AA1002" s="87"/>
      <c r="AB1002" s="87"/>
      <c r="AC1002" s="87"/>
      <c r="AD1002" s="87"/>
      <c r="AE1002" s="87"/>
      <c r="AF1002" s="87"/>
      <c r="AG1002" s="87"/>
      <c r="AH1002" s="87"/>
      <c r="AI1002" s="87"/>
      <c r="AJ1002" s="87"/>
      <c r="AK1002" s="87"/>
      <c r="AL1002" s="87"/>
      <c r="AM1002" s="87"/>
      <c r="AN1002" s="87"/>
      <c r="AO1002" s="87"/>
      <c r="AP1002" s="87"/>
      <c r="AQ1002" s="87"/>
      <c r="AR1002" s="87"/>
      <c r="AS1002" s="87"/>
      <c r="AT1002" s="87"/>
      <c r="AU1002" s="87"/>
      <c r="AV1002" s="87"/>
      <c r="AW1002" s="87"/>
      <c r="AX1002" s="87"/>
      <c r="AY1002" s="87"/>
      <c r="AZ1002" s="87"/>
      <c r="BA1002" s="87"/>
      <c r="BB1002" s="87"/>
      <c r="BC1002" s="87"/>
      <c r="BD1002" s="87"/>
      <c r="BE1002" s="87"/>
      <c r="BF1002" s="87"/>
      <c r="BG1002" s="87"/>
      <c r="BH1002" s="87"/>
    </row>
    <row r="1003" spans="1:60" ht="16">
      <c r="A1003" s="82"/>
      <c r="B1003" s="82"/>
      <c r="C1003" s="82"/>
      <c r="D1003" s="83"/>
      <c r="E1003" s="84"/>
      <c r="F1003" s="84"/>
      <c r="G1003" s="84"/>
      <c r="H1003" s="82"/>
      <c r="I1003" s="84"/>
      <c r="J1003" s="84"/>
      <c r="K1003" s="84"/>
      <c r="L1003" s="84"/>
      <c r="M1003" s="84"/>
      <c r="N1003" s="84"/>
      <c r="O1003" s="84"/>
      <c r="P1003" s="84"/>
      <c r="Q1003" s="84"/>
      <c r="R1003" s="84"/>
      <c r="S1003" s="84"/>
      <c r="T1003" s="84"/>
      <c r="U1003" s="84"/>
      <c r="V1003" s="84"/>
      <c r="W1003" s="84"/>
      <c r="X1003" s="84"/>
      <c r="Y1003" s="84"/>
      <c r="Z1003" s="87"/>
      <c r="AA1003" s="87"/>
      <c r="AB1003" s="87"/>
      <c r="AC1003" s="87"/>
      <c r="AD1003" s="87"/>
      <c r="AE1003" s="87"/>
      <c r="AF1003" s="87"/>
      <c r="AG1003" s="87"/>
      <c r="AH1003" s="87"/>
      <c r="AI1003" s="87"/>
      <c r="AJ1003" s="87"/>
      <c r="AK1003" s="87"/>
      <c r="AL1003" s="87"/>
      <c r="AM1003" s="87"/>
      <c r="AN1003" s="87"/>
      <c r="AO1003" s="87"/>
      <c r="AP1003" s="87"/>
      <c r="AQ1003" s="87"/>
      <c r="AR1003" s="87"/>
      <c r="AS1003" s="87"/>
      <c r="AT1003" s="87"/>
      <c r="AU1003" s="87"/>
      <c r="AV1003" s="87"/>
      <c r="AW1003" s="87"/>
      <c r="AX1003" s="87"/>
      <c r="AY1003" s="87"/>
      <c r="AZ1003" s="87"/>
      <c r="BA1003" s="87"/>
      <c r="BB1003" s="87"/>
      <c r="BC1003" s="87"/>
      <c r="BD1003" s="87"/>
      <c r="BE1003" s="87"/>
      <c r="BF1003" s="87"/>
      <c r="BG1003" s="87"/>
      <c r="BH1003" s="87"/>
    </row>
    <row r="1004" spans="1:60" ht="16">
      <c r="A1004" s="82"/>
      <c r="B1004" s="82"/>
      <c r="C1004" s="82"/>
      <c r="D1004" s="83"/>
      <c r="E1004" s="84"/>
      <c r="F1004" s="84"/>
      <c r="G1004" s="84"/>
      <c r="H1004" s="82"/>
      <c r="I1004" s="84"/>
      <c r="J1004" s="84"/>
      <c r="K1004" s="84"/>
      <c r="L1004" s="84"/>
      <c r="M1004" s="84"/>
      <c r="N1004" s="84"/>
      <c r="O1004" s="84"/>
      <c r="P1004" s="84"/>
      <c r="Q1004" s="84"/>
      <c r="R1004" s="84"/>
      <c r="S1004" s="84"/>
      <c r="T1004" s="84"/>
      <c r="U1004" s="84"/>
      <c r="V1004" s="84"/>
      <c r="W1004" s="84"/>
      <c r="X1004" s="84"/>
      <c r="Y1004" s="84"/>
      <c r="Z1004" s="87"/>
      <c r="AA1004" s="87"/>
      <c r="AB1004" s="87"/>
      <c r="AC1004" s="87"/>
      <c r="AD1004" s="87"/>
      <c r="AE1004" s="87"/>
      <c r="AF1004" s="87"/>
      <c r="AG1004" s="87"/>
      <c r="AH1004" s="87"/>
      <c r="AI1004" s="87"/>
      <c r="AJ1004" s="87"/>
      <c r="AK1004" s="87"/>
      <c r="AL1004" s="87"/>
      <c r="AM1004" s="87"/>
      <c r="AN1004" s="87"/>
      <c r="AO1004" s="87"/>
      <c r="AP1004" s="87"/>
      <c r="AQ1004" s="87"/>
      <c r="AR1004" s="87"/>
      <c r="AS1004" s="87"/>
      <c r="AT1004" s="87"/>
      <c r="AU1004" s="87"/>
      <c r="AV1004" s="87"/>
      <c r="AW1004" s="87"/>
      <c r="AX1004" s="87"/>
      <c r="AY1004" s="87"/>
      <c r="AZ1004" s="87"/>
      <c r="BA1004" s="87"/>
      <c r="BB1004" s="87"/>
      <c r="BC1004" s="87"/>
      <c r="BD1004" s="87"/>
      <c r="BE1004" s="87"/>
      <c r="BF1004" s="87"/>
      <c r="BG1004" s="87"/>
      <c r="BH1004" s="87"/>
    </row>
    <row r="1005" spans="1:60" ht="16">
      <c r="A1005" s="82"/>
      <c r="B1005" s="82"/>
      <c r="C1005" s="82"/>
      <c r="D1005" s="83"/>
      <c r="E1005" s="84"/>
      <c r="F1005" s="84"/>
      <c r="G1005" s="84"/>
      <c r="H1005" s="82"/>
      <c r="I1005" s="84"/>
      <c r="J1005" s="84"/>
      <c r="K1005" s="84"/>
      <c r="L1005" s="84"/>
      <c r="M1005" s="84"/>
      <c r="N1005" s="84"/>
      <c r="O1005" s="84"/>
      <c r="P1005" s="84"/>
      <c r="Q1005" s="84"/>
      <c r="R1005" s="84"/>
      <c r="S1005" s="84"/>
      <c r="T1005" s="84"/>
      <c r="U1005" s="84"/>
      <c r="V1005" s="84"/>
      <c r="W1005" s="84"/>
      <c r="X1005" s="84"/>
      <c r="Y1005" s="84"/>
      <c r="Z1005" s="87"/>
      <c r="AA1005" s="87"/>
      <c r="AB1005" s="87"/>
      <c r="AC1005" s="87"/>
      <c r="AD1005" s="87"/>
      <c r="AE1005" s="87"/>
      <c r="AF1005" s="87"/>
      <c r="AG1005" s="87"/>
      <c r="AH1005" s="87"/>
      <c r="AI1005" s="87"/>
      <c r="AJ1005" s="87"/>
      <c r="AK1005" s="87"/>
      <c r="AL1005" s="87"/>
      <c r="AM1005" s="87"/>
      <c r="AN1005" s="87"/>
      <c r="AO1005" s="87"/>
      <c r="AP1005" s="87"/>
      <c r="AQ1005" s="87"/>
      <c r="AR1005" s="87"/>
      <c r="AS1005" s="87"/>
      <c r="AT1005" s="87"/>
      <c r="AU1005" s="87"/>
      <c r="AV1005" s="87"/>
      <c r="AW1005" s="87"/>
      <c r="AX1005" s="87"/>
      <c r="AY1005" s="87"/>
      <c r="AZ1005" s="87"/>
      <c r="BA1005" s="87"/>
      <c r="BB1005" s="87"/>
      <c r="BC1005" s="87"/>
      <c r="BD1005" s="87"/>
      <c r="BE1005" s="87"/>
      <c r="BF1005" s="87"/>
      <c r="BG1005" s="87"/>
      <c r="BH1005" s="87"/>
    </row>
    <row r="1006" spans="1:60" ht="16">
      <c r="A1006" s="82"/>
      <c r="B1006" s="82"/>
      <c r="C1006" s="82"/>
      <c r="D1006" s="83"/>
      <c r="E1006" s="84"/>
      <c r="F1006" s="84"/>
      <c r="G1006" s="84"/>
      <c r="H1006" s="82"/>
      <c r="I1006" s="84"/>
      <c r="J1006" s="84"/>
      <c r="K1006" s="84"/>
      <c r="L1006" s="84"/>
      <c r="M1006" s="84"/>
      <c r="N1006" s="84"/>
      <c r="O1006" s="84"/>
      <c r="P1006" s="84"/>
      <c r="Q1006" s="84"/>
      <c r="R1006" s="84"/>
      <c r="S1006" s="84"/>
      <c r="T1006" s="84"/>
      <c r="U1006" s="84"/>
      <c r="V1006" s="84"/>
      <c r="W1006" s="84"/>
      <c r="X1006" s="84"/>
      <c r="Y1006" s="84"/>
      <c r="Z1006" s="87"/>
      <c r="AA1006" s="87"/>
      <c r="AB1006" s="87"/>
      <c r="AC1006" s="87"/>
      <c r="AD1006" s="87"/>
      <c r="AE1006" s="87"/>
      <c r="AF1006" s="87"/>
      <c r="AG1006" s="87"/>
      <c r="AH1006" s="87"/>
      <c r="AI1006" s="87"/>
      <c r="AJ1006" s="87"/>
      <c r="AK1006" s="87"/>
      <c r="AL1006" s="87"/>
      <c r="AM1006" s="87"/>
      <c r="AN1006" s="87"/>
      <c r="AO1006" s="87"/>
      <c r="AP1006" s="87"/>
      <c r="AQ1006" s="87"/>
      <c r="AR1006" s="87"/>
      <c r="AS1006" s="87"/>
      <c r="AT1006" s="87"/>
      <c r="AU1006" s="87"/>
      <c r="AV1006" s="87"/>
      <c r="AW1006" s="87"/>
      <c r="AX1006" s="87"/>
      <c r="AY1006" s="87"/>
      <c r="AZ1006" s="87"/>
      <c r="BA1006" s="87"/>
      <c r="BB1006" s="87"/>
      <c r="BC1006" s="87"/>
      <c r="BD1006" s="87"/>
      <c r="BE1006" s="87"/>
      <c r="BF1006" s="87"/>
      <c r="BG1006" s="87"/>
      <c r="BH1006" s="87"/>
    </row>
    <row r="1007" spans="1:60" ht="16">
      <c r="A1007" s="82"/>
      <c r="B1007" s="82"/>
      <c r="C1007" s="82"/>
      <c r="D1007" s="83"/>
      <c r="E1007" s="84"/>
      <c r="F1007" s="84"/>
      <c r="G1007" s="84"/>
      <c r="H1007" s="82"/>
      <c r="I1007" s="84"/>
      <c r="J1007" s="84"/>
      <c r="K1007" s="84"/>
      <c r="L1007" s="84"/>
      <c r="M1007" s="84"/>
      <c r="N1007" s="84"/>
      <c r="O1007" s="84"/>
      <c r="P1007" s="84"/>
      <c r="Q1007" s="84"/>
      <c r="R1007" s="84"/>
      <c r="S1007" s="84"/>
      <c r="T1007" s="84"/>
      <c r="U1007" s="84"/>
      <c r="V1007" s="84"/>
      <c r="W1007" s="84"/>
      <c r="X1007" s="84"/>
      <c r="Y1007" s="84"/>
      <c r="Z1007" s="87"/>
      <c r="AA1007" s="87"/>
      <c r="AB1007" s="87"/>
      <c r="AC1007" s="87"/>
      <c r="AD1007" s="87"/>
      <c r="AE1007" s="87"/>
      <c r="AF1007" s="87"/>
      <c r="AG1007" s="87"/>
      <c r="AH1007" s="87"/>
      <c r="AI1007" s="87"/>
      <c r="AJ1007" s="87"/>
      <c r="AK1007" s="87"/>
      <c r="AL1007" s="87"/>
      <c r="AM1007" s="87"/>
      <c r="AN1007" s="87"/>
      <c r="AO1007" s="87"/>
      <c r="AP1007" s="87"/>
      <c r="AQ1007" s="87"/>
      <c r="AR1007" s="87"/>
      <c r="AS1007" s="87"/>
      <c r="AT1007" s="87"/>
      <c r="AU1007" s="87"/>
      <c r="AV1007" s="87"/>
      <c r="AW1007" s="87"/>
      <c r="AX1007" s="87"/>
      <c r="AY1007" s="87"/>
      <c r="AZ1007" s="87"/>
      <c r="BA1007" s="87"/>
      <c r="BB1007" s="87"/>
      <c r="BC1007" s="87"/>
      <c r="BD1007" s="87"/>
      <c r="BE1007" s="87"/>
      <c r="BF1007" s="87"/>
      <c r="BG1007" s="87"/>
      <c r="BH1007" s="87"/>
    </row>
    <row r="1008" spans="1:60" ht="16">
      <c r="A1008" s="82"/>
      <c r="B1008" s="82"/>
      <c r="C1008" s="82"/>
      <c r="D1008" s="83"/>
      <c r="E1008" s="84"/>
      <c r="F1008" s="84"/>
      <c r="G1008" s="84"/>
      <c r="H1008" s="82"/>
      <c r="I1008" s="84"/>
      <c r="J1008" s="84"/>
      <c r="K1008" s="84"/>
      <c r="L1008" s="84"/>
      <c r="M1008" s="84"/>
      <c r="N1008" s="84"/>
      <c r="O1008" s="84"/>
      <c r="P1008" s="84"/>
      <c r="Q1008" s="84"/>
      <c r="R1008" s="84"/>
      <c r="S1008" s="84"/>
      <c r="T1008" s="84"/>
      <c r="U1008" s="84"/>
      <c r="V1008" s="84"/>
      <c r="W1008" s="84"/>
      <c r="X1008" s="84"/>
      <c r="Y1008" s="84"/>
      <c r="Z1008" s="87"/>
      <c r="AA1008" s="87"/>
      <c r="AB1008" s="87"/>
      <c r="AC1008" s="87"/>
      <c r="AD1008" s="87"/>
      <c r="AE1008" s="87"/>
      <c r="AF1008" s="87"/>
      <c r="AG1008" s="87"/>
      <c r="AH1008" s="87"/>
      <c r="AI1008" s="87"/>
      <c r="AJ1008" s="87"/>
      <c r="AK1008" s="87"/>
      <c r="AL1008" s="87"/>
      <c r="AM1008" s="87"/>
      <c r="AN1008" s="87"/>
      <c r="AO1008" s="87"/>
      <c r="AP1008" s="87"/>
      <c r="AQ1008" s="87"/>
      <c r="AR1008" s="87"/>
      <c r="AS1008" s="87"/>
      <c r="AT1008" s="87"/>
      <c r="AU1008" s="87"/>
      <c r="AV1008" s="87"/>
      <c r="AW1008" s="87"/>
      <c r="AX1008" s="87"/>
      <c r="AY1008" s="87"/>
      <c r="AZ1008" s="87"/>
      <c r="BA1008" s="87"/>
      <c r="BB1008" s="87"/>
      <c r="BC1008" s="87"/>
      <c r="BD1008" s="87"/>
      <c r="BE1008" s="87"/>
      <c r="BF1008" s="87"/>
      <c r="BG1008" s="87"/>
      <c r="BH1008" s="87"/>
    </row>
    <row r="1009" spans="1:60" ht="16">
      <c r="A1009" s="82"/>
      <c r="B1009" s="82"/>
      <c r="C1009" s="82"/>
      <c r="D1009" s="83"/>
      <c r="E1009" s="84"/>
      <c r="F1009" s="84"/>
      <c r="G1009" s="84"/>
      <c r="H1009" s="82"/>
      <c r="I1009" s="84"/>
      <c r="J1009" s="84"/>
      <c r="K1009" s="84"/>
      <c r="L1009" s="84"/>
      <c r="M1009" s="84"/>
      <c r="N1009" s="84"/>
      <c r="O1009" s="84"/>
      <c r="P1009" s="84"/>
      <c r="Q1009" s="84"/>
      <c r="R1009" s="84"/>
      <c r="S1009" s="84"/>
      <c r="T1009" s="84"/>
      <c r="U1009" s="84"/>
      <c r="V1009" s="84"/>
      <c r="W1009" s="84"/>
      <c r="X1009" s="84"/>
      <c r="Y1009" s="84"/>
      <c r="Z1009" s="87"/>
      <c r="AA1009" s="87"/>
      <c r="AB1009" s="87"/>
      <c r="AC1009" s="87"/>
      <c r="AD1009" s="87"/>
      <c r="AE1009" s="87"/>
      <c r="AF1009" s="87"/>
      <c r="AG1009" s="87"/>
      <c r="AH1009" s="87"/>
      <c r="AI1009" s="87"/>
      <c r="AJ1009" s="87"/>
      <c r="AK1009" s="87"/>
      <c r="AL1009" s="87"/>
      <c r="AM1009" s="87"/>
      <c r="AN1009" s="87"/>
      <c r="AO1009" s="87"/>
      <c r="AP1009" s="87"/>
      <c r="AQ1009" s="87"/>
      <c r="AR1009" s="87"/>
      <c r="AS1009" s="87"/>
      <c r="AT1009" s="87"/>
      <c r="AU1009" s="87"/>
      <c r="AV1009" s="87"/>
      <c r="AW1009" s="87"/>
      <c r="AX1009" s="87"/>
      <c r="AY1009" s="87"/>
      <c r="AZ1009" s="87"/>
      <c r="BA1009" s="87"/>
      <c r="BB1009" s="87"/>
      <c r="BC1009" s="87"/>
      <c r="BD1009" s="87"/>
      <c r="BE1009" s="87"/>
      <c r="BF1009" s="87"/>
      <c r="BG1009" s="87"/>
      <c r="BH1009" s="87"/>
    </row>
    <row r="1010" spans="1:60" ht="16">
      <c r="A1010" s="82"/>
      <c r="B1010" s="82"/>
      <c r="C1010" s="82"/>
      <c r="D1010" s="83"/>
      <c r="E1010" s="84"/>
      <c r="F1010" s="84"/>
      <c r="G1010" s="84"/>
      <c r="H1010" s="82"/>
      <c r="I1010" s="84"/>
      <c r="J1010" s="84"/>
      <c r="K1010" s="84"/>
      <c r="L1010" s="84"/>
      <c r="M1010" s="84"/>
      <c r="N1010" s="84"/>
      <c r="O1010" s="84"/>
      <c r="P1010" s="84"/>
      <c r="Q1010" s="84"/>
      <c r="R1010" s="84"/>
      <c r="S1010" s="84"/>
      <c r="T1010" s="84"/>
      <c r="U1010" s="84"/>
      <c r="V1010" s="84"/>
      <c r="W1010" s="84"/>
      <c r="X1010" s="84"/>
      <c r="Y1010" s="84"/>
      <c r="Z1010" s="87"/>
      <c r="AA1010" s="87"/>
      <c r="AB1010" s="87"/>
      <c r="AC1010" s="87"/>
      <c r="AD1010" s="87"/>
      <c r="AE1010" s="87"/>
      <c r="AF1010" s="87"/>
      <c r="AG1010" s="87"/>
      <c r="AH1010" s="87"/>
      <c r="AI1010" s="87"/>
      <c r="AJ1010" s="87"/>
      <c r="AK1010" s="87"/>
      <c r="AL1010" s="87"/>
      <c r="AM1010" s="87"/>
      <c r="AN1010" s="87"/>
      <c r="AO1010" s="87"/>
      <c r="AP1010" s="87"/>
      <c r="AQ1010" s="87"/>
      <c r="AR1010" s="87"/>
      <c r="AS1010" s="87"/>
      <c r="AT1010" s="87"/>
      <c r="AU1010" s="87"/>
      <c r="AV1010" s="87"/>
      <c r="AW1010" s="87"/>
      <c r="AX1010" s="87"/>
      <c r="AY1010" s="87"/>
      <c r="AZ1010" s="87"/>
      <c r="BA1010" s="87"/>
      <c r="BB1010" s="87"/>
      <c r="BC1010" s="87"/>
      <c r="BD1010" s="87"/>
      <c r="BE1010" s="87"/>
      <c r="BF1010" s="87"/>
      <c r="BG1010" s="87"/>
      <c r="BH1010" s="87"/>
    </row>
    <row r="1011" spans="1:60" ht="16">
      <c r="A1011" s="82"/>
      <c r="B1011" s="82"/>
      <c r="C1011" s="82"/>
      <c r="D1011" s="83"/>
      <c r="E1011" s="84"/>
      <c r="F1011" s="84"/>
      <c r="G1011" s="84"/>
      <c r="H1011" s="82"/>
      <c r="I1011" s="84"/>
      <c r="J1011" s="84"/>
      <c r="K1011" s="84"/>
      <c r="L1011" s="84"/>
      <c r="M1011" s="84"/>
      <c r="N1011" s="84"/>
      <c r="O1011" s="84"/>
      <c r="P1011" s="84"/>
      <c r="Q1011" s="84"/>
      <c r="R1011" s="84"/>
      <c r="S1011" s="84"/>
      <c r="T1011" s="84"/>
      <c r="U1011" s="84"/>
      <c r="V1011" s="84"/>
      <c r="W1011" s="84"/>
      <c r="X1011" s="84"/>
      <c r="Y1011" s="84"/>
      <c r="Z1011" s="87"/>
      <c r="AA1011" s="87"/>
      <c r="AB1011" s="87"/>
      <c r="AC1011" s="87"/>
      <c r="AD1011" s="87"/>
      <c r="AE1011" s="87"/>
      <c r="AF1011" s="87"/>
      <c r="AG1011" s="87"/>
      <c r="AH1011" s="87"/>
      <c r="AI1011" s="87"/>
      <c r="AJ1011" s="87"/>
      <c r="AK1011" s="87"/>
      <c r="AL1011" s="87"/>
      <c r="AM1011" s="87"/>
      <c r="AN1011" s="87"/>
      <c r="AO1011" s="87"/>
      <c r="AP1011" s="87"/>
      <c r="AQ1011" s="87"/>
      <c r="AR1011" s="87"/>
      <c r="AS1011" s="87"/>
      <c r="AT1011" s="87"/>
      <c r="AU1011" s="87"/>
      <c r="AV1011" s="87"/>
      <c r="AW1011" s="87"/>
      <c r="AX1011" s="87"/>
      <c r="AY1011" s="87"/>
      <c r="AZ1011" s="87"/>
      <c r="BA1011" s="87"/>
      <c r="BB1011" s="87"/>
      <c r="BC1011" s="87"/>
      <c r="BD1011" s="87"/>
      <c r="BE1011" s="87"/>
      <c r="BF1011" s="87"/>
      <c r="BG1011" s="87"/>
      <c r="BH1011" s="87"/>
    </row>
    <row r="1012" spans="1:60" ht="16">
      <c r="A1012" s="82"/>
      <c r="B1012" s="82"/>
      <c r="C1012" s="82"/>
      <c r="D1012" s="83"/>
      <c r="E1012" s="84"/>
      <c r="F1012" s="84"/>
      <c r="G1012" s="84"/>
      <c r="H1012" s="82"/>
      <c r="I1012" s="84"/>
      <c r="J1012" s="84"/>
      <c r="K1012" s="84"/>
      <c r="L1012" s="84"/>
      <c r="M1012" s="84"/>
      <c r="N1012" s="84"/>
      <c r="O1012" s="84"/>
      <c r="P1012" s="84"/>
      <c r="Q1012" s="84"/>
      <c r="R1012" s="84"/>
      <c r="S1012" s="84"/>
      <c r="T1012" s="84"/>
      <c r="U1012" s="84"/>
      <c r="V1012" s="84"/>
      <c r="W1012" s="84"/>
      <c r="X1012" s="84"/>
      <c r="Y1012" s="84"/>
      <c r="Z1012" s="87"/>
      <c r="AA1012" s="87"/>
      <c r="AB1012" s="87"/>
      <c r="AC1012" s="87"/>
      <c r="AD1012" s="87"/>
      <c r="AE1012" s="87"/>
      <c r="AF1012" s="87"/>
      <c r="AG1012" s="87"/>
      <c r="AH1012" s="87"/>
      <c r="AI1012" s="87"/>
      <c r="AJ1012" s="87"/>
      <c r="AK1012" s="87"/>
      <c r="AL1012" s="87"/>
      <c r="AM1012" s="87"/>
      <c r="AN1012" s="87"/>
      <c r="AO1012" s="87"/>
      <c r="AP1012" s="87"/>
      <c r="AQ1012" s="87"/>
      <c r="AR1012" s="87"/>
      <c r="AS1012" s="87"/>
      <c r="AT1012" s="87"/>
      <c r="AU1012" s="87"/>
      <c r="AV1012" s="87"/>
      <c r="AW1012" s="87"/>
      <c r="AX1012" s="87"/>
      <c r="AY1012" s="87"/>
      <c r="AZ1012" s="87"/>
      <c r="BA1012" s="87"/>
      <c r="BB1012" s="87"/>
      <c r="BC1012" s="87"/>
      <c r="BD1012" s="87"/>
      <c r="BE1012" s="87"/>
      <c r="BF1012" s="87"/>
      <c r="BG1012" s="87"/>
      <c r="BH1012" s="87"/>
    </row>
    <row r="1013" spans="1:60" ht="16">
      <c r="A1013" s="82"/>
      <c r="B1013" s="82"/>
      <c r="C1013" s="82"/>
      <c r="D1013" s="83"/>
      <c r="E1013" s="84"/>
      <c r="F1013" s="84"/>
      <c r="G1013" s="84"/>
      <c r="H1013" s="82"/>
      <c r="I1013" s="84"/>
      <c r="J1013" s="84"/>
      <c r="K1013" s="84"/>
      <c r="L1013" s="84"/>
      <c r="M1013" s="84"/>
      <c r="N1013" s="84"/>
      <c r="O1013" s="84"/>
      <c r="P1013" s="84"/>
      <c r="Q1013" s="84"/>
      <c r="R1013" s="84"/>
      <c r="S1013" s="84"/>
      <c r="T1013" s="84"/>
      <c r="U1013" s="84"/>
      <c r="V1013" s="84"/>
      <c r="W1013" s="84"/>
      <c r="X1013" s="84"/>
      <c r="Y1013" s="84"/>
      <c r="Z1013" s="87"/>
      <c r="AA1013" s="87"/>
      <c r="AB1013" s="87"/>
      <c r="AC1013" s="87"/>
      <c r="AD1013" s="87"/>
      <c r="AE1013" s="87"/>
      <c r="AF1013" s="87"/>
      <c r="AG1013" s="87"/>
      <c r="AH1013" s="87"/>
      <c r="AI1013" s="87"/>
      <c r="AJ1013" s="87"/>
      <c r="AK1013" s="87"/>
      <c r="AL1013" s="87"/>
      <c r="AM1013" s="87"/>
      <c r="AN1013" s="87"/>
      <c r="AO1013" s="87"/>
      <c r="AP1013" s="87"/>
      <c r="AQ1013" s="87"/>
      <c r="AR1013" s="87"/>
      <c r="AS1013" s="87"/>
      <c r="AT1013" s="87"/>
      <c r="AU1013" s="87"/>
      <c r="AV1013" s="87"/>
      <c r="AW1013" s="87"/>
      <c r="AX1013" s="87"/>
      <c r="AY1013" s="87"/>
      <c r="AZ1013" s="87"/>
      <c r="BA1013" s="87"/>
      <c r="BB1013" s="87"/>
      <c r="BC1013" s="87"/>
      <c r="BD1013" s="87"/>
      <c r="BE1013" s="87"/>
      <c r="BF1013" s="87"/>
      <c r="BG1013" s="87"/>
      <c r="BH1013" s="87"/>
    </row>
    <row r="1014" spans="1:60" ht="16">
      <c r="A1014" s="82"/>
      <c r="B1014" s="82"/>
      <c r="C1014" s="82"/>
      <c r="D1014" s="83"/>
      <c r="E1014" s="84"/>
      <c r="F1014" s="84"/>
      <c r="G1014" s="84"/>
      <c r="H1014" s="82"/>
      <c r="I1014" s="84"/>
      <c r="J1014" s="84"/>
      <c r="K1014" s="84"/>
      <c r="L1014" s="84"/>
      <c r="M1014" s="84"/>
      <c r="N1014" s="84"/>
      <c r="O1014" s="84"/>
      <c r="P1014" s="84"/>
      <c r="Q1014" s="84"/>
      <c r="R1014" s="84"/>
      <c r="S1014" s="84"/>
      <c r="T1014" s="84"/>
      <c r="U1014" s="84"/>
      <c r="V1014" s="84"/>
      <c r="W1014" s="84"/>
      <c r="X1014" s="84"/>
      <c r="Y1014" s="84"/>
      <c r="Z1014" s="87"/>
      <c r="AA1014" s="87"/>
      <c r="AB1014" s="87"/>
      <c r="AC1014" s="87"/>
      <c r="AD1014" s="87"/>
      <c r="AE1014" s="87"/>
      <c r="AF1014" s="87"/>
      <c r="AG1014" s="87"/>
      <c r="AH1014" s="87"/>
      <c r="AI1014" s="87"/>
      <c r="AJ1014" s="87"/>
      <c r="AK1014" s="87"/>
      <c r="AL1014" s="87"/>
      <c r="AM1014" s="87"/>
      <c r="AN1014" s="87"/>
      <c r="AO1014" s="87"/>
      <c r="AP1014" s="87"/>
      <c r="AQ1014" s="87"/>
      <c r="AR1014" s="87"/>
      <c r="AS1014" s="87"/>
      <c r="AT1014" s="87"/>
      <c r="AU1014" s="87"/>
      <c r="AV1014" s="87"/>
      <c r="AW1014" s="87"/>
      <c r="AX1014" s="87"/>
      <c r="AY1014" s="87"/>
      <c r="AZ1014" s="87"/>
      <c r="BA1014" s="87"/>
      <c r="BB1014" s="87"/>
      <c r="BC1014" s="87"/>
      <c r="BD1014" s="87"/>
      <c r="BE1014" s="87"/>
      <c r="BF1014" s="87"/>
      <c r="BG1014" s="87"/>
      <c r="BH1014" s="87"/>
    </row>
    <row r="1015" spans="1:60" ht="16">
      <c r="A1015" s="82"/>
      <c r="B1015" s="82"/>
      <c r="C1015" s="82"/>
      <c r="D1015" s="83"/>
      <c r="E1015" s="84"/>
      <c r="F1015" s="84"/>
      <c r="G1015" s="84"/>
      <c r="H1015" s="82"/>
      <c r="I1015" s="84"/>
      <c r="J1015" s="84"/>
      <c r="K1015" s="84"/>
      <c r="L1015" s="84"/>
      <c r="M1015" s="84"/>
      <c r="N1015" s="84"/>
      <c r="O1015" s="84"/>
      <c r="P1015" s="84"/>
      <c r="Q1015" s="84"/>
      <c r="R1015" s="84"/>
      <c r="S1015" s="84"/>
      <c r="T1015" s="84"/>
      <c r="U1015" s="84"/>
      <c r="V1015" s="84"/>
      <c r="W1015" s="84"/>
      <c r="X1015" s="84"/>
      <c r="Y1015" s="84"/>
      <c r="Z1015" s="87"/>
      <c r="AA1015" s="87"/>
      <c r="AB1015" s="87"/>
      <c r="AC1015" s="87"/>
      <c r="AD1015" s="87"/>
      <c r="AE1015" s="87"/>
      <c r="AF1015" s="87"/>
      <c r="AG1015" s="87"/>
      <c r="AH1015" s="87"/>
      <c r="AI1015" s="87"/>
      <c r="AJ1015" s="87"/>
      <c r="AK1015" s="87"/>
      <c r="AL1015" s="87"/>
      <c r="AM1015" s="87"/>
      <c r="AN1015" s="87"/>
      <c r="AO1015" s="87"/>
      <c r="AP1015" s="87"/>
      <c r="AQ1015" s="87"/>
      <c r="AR1015" s="87"/>
      <c r="AS1015" s="87"/>
      <c r="AT1015" s="87"/>
      <c r="AU1015" s="87"/>
      <c r="AV1015" s="87"/>
      <c r="AW1015" s="87"/>
      <c r="AX1015" s="87"/>
      <c r="AY1015" s="87"/>
      <c r="AZ1015" s="87"/>
      <c r="BA1015" s="87"/>
      <c r="BB1015" s="87"/>
      <c r="BC1015" s="87"/>
      <c r="BD1015" s="87"/>
      <c r="BE1015" s="87"/>
      <c r="BF1015" s="87"/>
      <c r="BG1015" s="87"/>
      <c r="BH1015" s="87"/>
    </row>
    <row r="1016" spans="1:60" ht="16">
      <c r="A1016" s="82"/>
      <c r="B1016" s="82"/>
      <c r="C1016" s="82"/>
      <c r="D1016" s="83"/>
      <c r="E1016" s="84"/>
      <c r="F1016" s="84"/>
      <c r="G1016" s="84"/>
      <c r="H1016" s="82"/>
      <c r="I1016" s="84"/>
      <c r="J1016" s="84"/>
      <c r="K1016" s="84"/>
      <c r="L1016" s="84"/>
      <c r="M1016" s="84"/>
      <c r="N1016" s="84"/>
      <c r="O1016" s="84"/>
      <c r="P1016" s="84"/>
      <c r="Q1016" s="84"/>
      <c r="R1016" s="84"/>
      <c r="S1016" s="84"/>
      <c r="T1016" s="84"/>
      <c r="U1016" s="84"/>
      <c r="V1016" s="84"/>
      <c r="W1016" s="84"/>
      <c r="X1016" s="84"/>
      <c r="Y1016" s="84"/>
      <c r="Z1016" s="87"/>
      <c r="AA1016" s="87"/>
      <c r="AB1016" s="87"/>
      <c r="AC1016" s="87"/>
      <c r="AD1016" s="87"/>
      <c r="AE1016" s="87"/>
      <c r="AF1016" s="87"/>
      <c r="AG1016" s="87"/>
      <c r="AH1016" s="87"/>
      <c r="AI1016" s="87"/>
      <c r="AJ1016" s="87"/>
      <c r="AK1016" s="87"/>
      <c r="AL1016" s="87"/>
      <c r="AM1016" s="87"/>
      <c r="AN1016" s="87"/>
      <c r="AO1016" s="87"/>
      <c r="AP1016" s="87"/>
      <c r="AQ1016" s="87"/>
      <c r="AR1016" s="87"/>
      <c r="AS1016" s="87"/>
      <c r="AT1016" s="87"/>
      <c r="AU1016" s="87"/>
      <c r="AV1016" s="87"/>
      <c r="AW1016" s="87"/>
      <c r="AX1016" s="87"/>
      <c r="AY1016" s="87"/>
      <c r="AZ1016" s="87"/>
      <c r="BA1016" s="87"/>
      <c r="BB1016" s="87"/>
      <c r="BC1016" s="87"/>
      <c r="BD1016" s="87"/>
      <c r="BE1016" s="87"/>
      <c r="BF1016" s="87"/>
      <c r="BG1016" s="87"/>
      <c r="BH1016" s="87"/>
    </row>
    <row r="1017" spans="1:60" ht="16">
      <c r="A1017" s="82"/>
      <c r="B1017" s="82"/>
      <c r="C1017" s="82"/>
      <c r="D1017" s="83"/>
      <c r="E1017" s="84"/>
      <c r="F1017" s="84"/>
      <c r="G1017" s="84"/>
      <c r="H1017" s="82"/>
      <c r="I1017" s="84"/>
      <c r="J1017" s="84"/>
      <c r="K1017" s="84"/>
      <c r="L1017" s="84"/>
      <c r="M1017" s="84"/>
      <c r="N1017" s="84"/>
      <c r="O1017" s="84"/>
      <c r="P1017" s="84"/>
      <c r="Q1017" s="84"/>
      <c r="R1017" s="84"/>
      <c r="S1017" s="84"/>
      <c r="T1017" s="84"/>
      <c r="U1017" s="84"/>
      <c r="V1017" s="84"/>
      <c r="W1017" s="84"/>
      <c r="X1017" s="84"/>
      <c r="Y1017" s="84"/>
      <c r="Z1017" s="87"/>
      <c r="AA1017" s="87"/>
      <c r="AB1017" s="87"/>
      <c r="AC1017" s="87"/>
      <c r="AD1017" s="87"/>
      <c r="AE1017" s="87"/>
      <c r="AF1017" s="87"/>
      <c r="AG1017" s="87"/>
      <c r="AH1017" s="87"/>
      <c r="AI1017" s="87"/>
      <c r="AJ1017" s="87"/>
      <c r="AK1017" s="87"/>
      <c r="AL1017" s="87"/>
      <c r="AM1017" s="87"/>
      <c r="AN1017" s="87"/>
      <c r="AO1017" s="87"/>
      <c r="AP1017" s="87"/>
      <c r="AQ1017" s="87"/>
      <c r="AR1017" s="87"/>
      <c r="AS1017" s="87"/>
      <c r="AT1017" s="87"/>
      <c r="AU1017" s="87"/>
      <c r="AV1017" s="87"/>
      <c r="AW1017" s="87"/>
      <c r="AX1017" s="87"/>
      <c r="AY1017" s="87"/>
      <c r="AZ1017" s="87"/>
      <c r="BA1017" s="87"/>
      <c r="BB1017" s="87"/>
      <c r="BC1017" s="87"/>
      <c r="BD1017" s="87"/>
      <c r="BE1017" s="87"/>
      <c r="BF1017" s="87"/>
      <c r="BG1017" s="87"/>
      <c r="BH1017" s="87"/>
    </row>
    <row r="1018" spans="1:60" ht="16">
      <c r="A1018" s="82"/>
      <c r="B1018" s="82"/>
      <c r="C1018" s="82"/>
      <c r="D1018" s="83"/>
      <c r="E1018" s="84"/>
      <c r="F1018" s="84"/>
      <c r="G1018" s="84"/>
      <c r="H1018" s="82"/>
      <c r="I1018" s="84"/>
      <c r="J1018" s="84"/>
      <c r="K1018" s="84"/>
      <c r="L1018" s="84"/>
      <c r="M1018" s="84"/>
      <c r="N1018" s="84"/>
      <c r="O1018" s="84"/>
      <c r="P1018" s="84"/>
      <c r="Q1018" s="84"/>
      <c r="R1018" s="84"/>
      <c r="S1018" s="84"/>
      <c r="T1018" s="84"/>
      <c r="U1018" s="84"/>
      <c r="V1018" s="84"/>
      <c r="W1018" s="84"/>
      <c r="X1018" s="84"/>
      <c r="Y1018" s="84"/>
      <c r="Z1018" s="87"/>
      <c r="AA1018" s="87"/>
      <c r="AB1018" s="87"/>
      <c r="AC1018" s="87"/>
      <c r="AD1018" s="87"/>
      <c r="AE1018" s="87"/>
      <c r="AF1018" s="87"/>
      <c r="AG1018" s="87"/>
      <c r="AH1018" s="87"/>
      <c r="AI1018" s="87"/>
      <c r="AJ1018" s="87"/>
      <c r="AK1018" s="87"/>
      <c r="AL1018" s="87"/>
      <c r="AM1018" s="87"/>
      <c r="AN1018" s="87"/>
      <c r="AO1018" s="87"/>
      <c r="AP1018" s="87"/>
      <c r="AQ1018" s="87"/>
      <c r="AR1018" s="87"/>
      <c r="AS1018" s="87"/>
      <c r="AT1018" s="87"/>
      <c r="AU1018" s="87"/>
      <c r="AV1018" s="87"/>
      <c r="AW1018" s="87"/>
      <c r="AX1018" s="87"/>
      <c r="AY1018" s="87"/>
      <c r="AZ1018" s="87"/>
      <c r="BA1018" s="87"/>
      <c r="BB1018" s="87"/>
      <c r="BC1018" s="87"/>
      <c r="BD1018" s="87"/>
      <c r="BE1018" s="87"/>
      <c r="BF1018" s="87"/>
      <c r="BG1018" s="87"/>
      <c r="BH1018" s="87"/>
    </row>
    <row r="1019" spans="1:60" ht="16">
      <c r="A1019" s="82"/>
      <c r="B1019" s="82"/>
      <c r="C1019" s="82"/>
      <c r="D1019" s="83"/>
      <c r="E1019" s="84"/>
      <c r="F1019" s="84"/>
      <c r="G1019" s="84"/>
      <c r="H1019" s="82"/>
      <c r="I1019" s="84"/>
      <c r="J1019" s="84"/>
      <c r="K1019" s="84"/>
      <c r="L1019" s="84"/>
      <c r="M1019" s="84"/>
      <c r="N1019" s="84"/>
      <c r="O1019" s="84"/>
      <c r="P1019" s="84"/>
      <c r="Q1019" s="84"/>
      <c r="R1019" s="84"/>
      <c r="S1019" s="84"/>
      <c r="T1019" s="84"/>
      <c r="U1019" s="84"/>
      <c r="V1019" s="84"/>
      <c r="W1019" s="84"/>
      <c r="X1019" s="84"/>
      <c r="Y1019" s="84"/>
      <c r="Z1019" s="87"/>
      <c r="AA1019" s="87"/>
      <c r="AB1019" s="87"/>
      <c r="AC1019" s="87"/>
      <c r="AD1019" s="87"/>
      <c r="AE1019" s="87"/>
      <c r="AF1019" s="87"/>
      <c r="AG1019" s="87"/>
      <c r="AH1019" s="87"/>
      <c r="AI1019" s="87"/>
      <c r="AJ1019" s="87"/>
      <c r="AK1019" s="87"/>
      <c r="AL1019" s="87"/>
      <c r="AM1019" s="87"/>
      <c r="AN1019" s="87"/>
      <c r="AO1019" s="87"/>
      <c r="AP1019" s="87"/>
      <c r="AQ1019" s="87"/>
      <c r="AR1019" s="87"/>
      <c r="AS1019" s="87"/>
      <c r="AT1019" s="87"/>
      <c r="AU1019" s="87"/>
      <c r="AV1019" s="87"/>
      <c r="AW1019" s="87"/>
      <c r="AX1019" s="87"/>
      <c r="AY1019" s="87"/>
      <c r="AZ1019" s="87"/>
      <c r="BA1019" s="87"/>
      <c r="BB1019" s="87"/>
      <c r="BC1019" s="87"/>
      <c r="BD1019" s="87"/>
      <c r="BE1019" s="87"/>
      <c r="BF1019" s="87"/>
      <c r="BG1019" s="87"/>
      <c r="BH1019" s="87"/>
    </row>
    <row r="1020" spans="1:60" ht="16">
      <c r="A1020" s="82"/>
      <c r="B1020" s="82"/>
      <c r="C1020" s="82"/>
      <c r="D1020" s="83"/>
      <c r="E1020" s="84"/>
      <c r="F1020" s="84"/>
      <c r="G1020" s="84"/>
      <c r="H1020" s="82"/>
      <c r="I1020" s="84"/>
      <c r="J1020" s="84"/>
      <c r="K1020" s="84"/>
      <c r="L1020" s="84"/>
      <c r="M1020" s="84"/>
      <c r="N1020" s="84"/>
      <c r="O1020" s="84"/>
      <c r="P1020" s="84"/>
      <c r="Q1020" s="84"/>
      <c r="R1020" s="84"/>
      <c r="S1020" s="84"/>
      <c r="T1020" s="84"/>
      <c r="U1020" s="84"/>
      <c r="V1020" s="84"/>
      <c r="W1020" s="84"/>
      <c r="X1020" s="84"/>
      <c r="Y1020" s="84"/>
      <c r="Z1020" s="87"/>
      <c r="AA1020" s="87"/>
      <c r="AB1020" s="87"/>
      <c r="AC1020" s="87"/>
      <c r="AD1020" s="87"/>
      <c r="AE1020" s="87"/>
      <c r="AF1020" s="87"/>
      <c r="AG1020" s="87"/>
      <c r="AH1020" s="87"/>
      <c r="AI1020" s="87"/>
      <c r="AJ1020" s="87"/>
      <c r="AK1020" s="87"/>
      <c r="AL1020" s="87"/>
      <c r="AM1020" s="87"/>
      <c r="AN1020" s="87"/>
      <c r="AO1020" s="87"/>
      <c r="AP1020" s="87"/>
      <c r="AQ1020" s="87"/>
      <c r="AR1020" s="87"/>
      <c r="AS1020" s="87"/>
      <c r="AT1020" s="87"/>
      <c r="AU1020" s="87"/>
      <c r="AV1020" s="87"/>
      <c r="AW1020" s="87"/>
      <c r="AX1020" s="87"/>
      <c r="AY1020" s="87"/>
      <c r="AZ1020" s="87"/>
      <c r="BA1020" s="87"/>
      <c r="BB1020" s="87"/>
      <c r="BC1020" s="87"/>
      <c r="BD1020" s="87"/>
      <c r="BE1020" s="87"/>
      <c r="BF1020" s="87"/>
      <c r="BG1020" s="87"/>
      <c r="BH1020" s="87"/>
    </row>
    <row r="1021" spans="1:60" ht="16">
      <c r="A1021" s="82"/>
      <c r="B1021" s="82"/>
      <c r="C1021" s="82"/>
      <c r="D1021" s="83"/>
      <c r="E1021" s="84"/>
      <c r="F1021" s="84"/>
      <c r="G1021" s="84"/>
      <c r="H1021" s="82"/>
      <c r="I1021" s="84"/>
      <c r="J1021" s="84"/>
      <c r="K1021" s="84"/>
      <c r="L1021" s="84"/>
      <c r="M1021" s="84"/>
      <c r="N1021" s="84"/>
      <c r="O1021" s="84"/>
      <c r="P1021" s="84"/>
      <c r="Q1021" s="84"/>
      <c r="R1021" s="84"/>
      <c r="S1021" s="84"/>
      <c r="T1021" s="84"/>
      <c r="U1021" s="84"/>
      <c r="V1021" s="84"/>
      <c r="W1021" s="84"/>
      <c r="X1021" s="84"/>
      <c r="Y1021" s="84"/>
      <c r="Z1021" s="87"/>
      <c r="AA1021" s="87"/>
      <c r="AB1021" s="87"/>
      <c r="AC1021" s="87"/>
      <c r="AD1021" s="87"/>
      <c r="AE1021" s="87"/>
      <c r="AF1021" s="87"/>
      <c r="AG1021" s="87"/>
      <c r="AH1021" s="87"/>
      <c r="AI1021" s="87"/>
      <c r="AJ1021" s="87"/>
      <c r="AK1021" s="87"/>
      <c r="AL1021" s="87"/>
      <c r="AM1021" s="87"/>
      <c r="AN1021" s="87"/>
      <c r="AO1021" s="87"/>
      <c r="AP1021" s="87"/>
      <c r="AQ1021" s="87"/>
      <c r="AR1021" s="87"/>
      <c r="AS1021" s="87"/>
      <c r="AT1021" s="87"/>
      <c r="AU1021" s="87"/>
      <c r="AV1021" s="87"/>
      <c r="AW1021" s="87"/>
      <c r="AX1021" s="87"/>
      <c r="AY1021" s="87"/>
      <c r="AZ1021" s="87"/>
      <c r="BA1021" s="87"/>
      <c r="BB1021" s="87"/>
      <c r="BC1021" s="87"/>
      <c r="BD1021" s="87"/>
      <c r="BE1021" s="87"/>
      <c r="BF1021" s="87"/>
      <c r="BG1021" s="87"/>
      <c r="BH1021" s="87"/>
    </row>
    <row r="1022" spans="1:60" ht="16">
      <c r="A1022" s="82"/>
      <c r="B1022" s="82"/>
      <c r="C1022" s="82"/>
      <c r="D1022" s="83"/>
      <c r="E1022" s="84"/>
      <c r="F1022" s="84"/>
      <c r="G1022" s="84"/>
      <c r="H1022" s="82"/>
      <c r="I1022" s="84"/>
      <c r="J1022" s="84"/>
      <c r="K1022" s="84"/>
      <c r="L1022" s="84"/>
      <c r="M1022" s="84"/>
      <c r="N1022" s="84"/>
      <c r="O1022" s="84"/>
      <c r="P1022" s="84"/>
      <c r="Q1022" s="84"/>
      <c r="R1022" s="84"/>
      <c r="S1022" s="84"/>
      <c r="T1022" s="84"/>
      <c r="U1022" s="84"/>
      <c r="V1022" s="84"/>
      <c r="W1022" s="84"/>
      <c r="X1022" s="84"/>
      <c r="Y1022" s="84"/>
      <c r="Z1022" s="87"/>
      <c r="AA1022" s="87"/>
      <c r="AB1022" s="87"/>
      <c r="AC1022" s="87"/>
      <c r="AD1022" s="87"/>
      <c r="AE1022" s="87"/>
      <c r="AF1022" s="87"/>
      <c r="AG1022" s="87"/>
      <c r="AH1022" s="87"/>
      <c r="AI1022" s="87"/>
      <c r="AJ1022" s="87"/>
      <c r="AK1022" s="87"/>
      <c r="AL1022" s="87"/>
      <c r="AM1022" s="87"/>
      <c r="AN1022" s="87"/>
      <c r="AO1022" s="87"/>
      <c r="AP1022" s="87"/>
      <c r="AQ1022" s="87"/>
      <c r="AR1022" s="87"/>
      <c r="AS1022" s="87"/>
      <c r="AT1022" s="87"/>
      <c r="AU1022" s="87"/>
      <c r="AV1022" s="87"/>
      <c r="AW1022" s="87"/>
      <c r="AX1022" s="87"/>
      <c r="AY1022" s="87"/>
      <c r="AZ1022" s="87"/>
      <c r="BA1022" s="87"/>
      <c r="BB1022" s="87"/>
      <c r="BC1022" s="87"/>
      <c r="BD1022" s="87"/>
      <c r="BE1022" s="87"/>
      <c r="BF1022" s="87"/>
      <c r="BG1022" s="87"/>
      <c r="BH1022" s="87"/>
    </row>
    <row r="1023" spans="1:60" ht="16">
      <c r="A1023" s="82"/>
      <c r="B1023" s="82"/>
      <c r="C1023" s="82"/>
      <c r="D1023" s="83"/>
      <c r="E1023" s="84"/>
      <c r="F1023" s="84"/>
      <c r="G1023" s="84"/>
      <c r="H1023" s="82"/>
      <c r="I1023" s="84"/>
      <c r="J1023" s="84"/>
      <c r="K1023" s="84"/>
      <c r="L1023" s="84"/>
      <c r="M1023" s="84"/>
      <c r="N1023" s="84"/>
      <c r="O1023" s="84"/>
      <c r="P1023" s="84"/>
      <c r="Q1023" s="84"/>
      <c r="R1023" s="84"/>
      <c r="S1023" s="84"/>
      <c r="T1023" s="84"/>
      <c r="U1023" s="84"/>
      <c r="V1023" s="84"/>
      <c r="W1023" s="84"/>
      <c r="X1023" s="84"/>
      <c r="Y1023" s="84"/>
      <c r="Z1023" s="87"/>
      <c r="AA1023" s="87"/>
      <c r="AB1023" s="87"/>
      <c r="AC1023" s="87"/>
      <c r="AD1023" s="87"/>
      <c r="AE1023" s="87"/>
      <c r="AF1023" s="87"/>
      <c r="AG1023" s="87"/>
      <c r="AH1023" s="87"/>
      <c r="AI1023" s="87"/>
      <c r="AJ1023" s="87"/>
      <c r="AK1023" s="87"/>
      <c r="AL1023" s="87"/>
      <c r="AM1023" s="87"/>
      <c r="AN1023" s="87"/>
      <c r="AO1023" s="87"/>
      <c r="AP1023" s="87"/>
      <c r="AQ1023" s="87"/>
      <c r="AR1023" s="87"/>
      <c r="AS1023" s="87"/>
      <c r="AT1023" s="87"/>
      <c r="AU1023" s="87"/>
      <c r="AV1023" s="87"/>
      <c r="AW1023" s="87"/>
      <c r="AX1023" s="87"/>
      <c r="AY1023" s="87"/>
      <c r="AZ1023" s="87"/>
      <c r="BA1023" s="87"/>
      <c r="BB1023" s="87"/>
      <c r="BC1023" s="87"/>
      <c r="BD1023" s="87"/>
      <c r="BE1023" s="87"/>
      <c r="BF1023" s="87"/>
      <c r="BG1023" s="87"/>
      <c r="BH1023" s="87"/>
    </row>
    <row r="1024" spans="1:60" ht="16">
      <c r="A1024" s="82"/>
      <c r="B1024" s="82"/>
      <c r="C1024" s="82"/>
      <c r="D1024" s="83"/>
      <c r="E1024" s="84"/>
      <c r="F1024" s="84"/>
      <c r="G1024" s="84"/>
      <c r="H1024" s="82"/>
      <c r="I1024" s="84"/>
      <c r="J1024" s="84"/>
      <c r="K1024" s="84"/>
      <c r="L1024" s="84"/>
      <c r="M1024" s="84"/>
      <c r="N1024" s="84"/>
      <c r="O1024" s="84"/>
      <c r="P1024" s="84"/>
      <c r="Q1024" s="84"/>
      <c r="R1024" s="84"/>
      <c r="S1024" s="84"/>
      <c r="T1024" s="84"/>
      <c r="U1024" s="84"/>
      <c r="V1024" s="84"/>
      <c r="W1024" s="84"/>
      <c r="X1024" s="84"/>
      <c r="Y1024" s="84"/>
      <c r="Z1024" s="87"/>
      <c r="AA1024" s="87"/>
      <c r="AB1024" s="87"/>
      <c r="AC1024" s="87"/>
      <c r="AD1024" s="87"/>
      <c r="AE1024" s="87"/>
      <c r="AF1024" s="87"/>
      <c r="AG1024" s="87"/>
      <c r="AH1024" s="87"/>
      <c r="AI1024" s="87"/>
      <c r="AJ1024" s="87"/>
      <c r="AK1024" s="87"/>
      <c r="AL1024" s="87"/>
      <c r="AM1024" s="87"/>
      <c r="AN1024" s="87"/>
      <c r="AO1024" s="87"/>
      <c r="AP1024" s="87"/>
      <c r="AQ1024" s="87"/>
      <c r="AR1024" s="87"/>
      <c r="AS1024" s="87"/>
      <c r="AT1024" s="87"/>
      <c r="AU1024" s="87"/>
      <c r="AV1024" s="87"/>
      <c r="AW1024" s="87"/>
      <c r="AX1024" s="87"/>
      <c r="AY1024" s="87"/>
      <c r="AZ1024" s="87"/>
      <c r="BA1024" s="87"/>
      <c r="BB1024" s="87"/>
      <c r="BC1024" s="87"/>
      <c r="BD1024" s="87"/>
      <c r="BE1024" s="87"/>
      <c r="BF1024" s="87"/>
      <c r="BG1024" s="87"/>
      <c r="BH1024" s="87"/>
    </row>
    <row r="1025" spans="1:60" ht="16">
      <c r="A1025" s="82"/>
      <c r="B1025" s="82"/>
      <c r="C1025" s="82"/>
      <c r="D1025" s="83"/>
      <c r="E1025" s="84"/>
      <c r="F1025" s="84"/>
      <c r="G1025" s="84"/>
      <c r="H1025" s="82"/>
      <c r="I1025" s="84"/>
      <c r="J1025" s="84"/>
      <c r="K1025" s="84"/>
      <c r="L1025" s="84"/>
      <c r="M1025" s="84"/>
      <c r="N1025" s="84"/>
      <c r="O1025" s="84"/>
      <c r="P1025" s="84"/>
      <c r="Q1025" s="84"/>
      <c r="R1025" s="84"/>
      <c r="S1025" s="84"/>
      <c r="T1025" s="84"/>
      <c r="U1025" s="84"/>
      <c r="V1025" s="84"/>
      <c r="W1025" s="84"/>
      <c r="X1025" s="84"/>
      <c r="Y1025" s="84"/>
      <c r="Z1025" s="87"/>
      <c r="AA1025" s="87"/>
      <c r="AB1025" s="87"/>
      <c r="AC1025" s="87"/>
      <c r="AD1025" s="87"/>
      <c r="AE1025" s="87"/>
      <c r="AF1025" s="87"/>
      <c r="AG1025" s="87"/>
      <c r="AH1025" s="87"/>
      <c r="AI1025" s="87"/>
      <c r="AJ1025" s="87"/>
      <c r="AK1025" s="87"/>
      <c r="AL1025" s="87"/>
      <c r="AM1025" s="87"/>
      <c r="AN1025" s="87"/>
      <c r="AO1025" s="87"/>
      <c r="AP1025" s="87"/>
      <c r="AQ1025" s="87"/>
      <c r="AR1025" s="87"/>
      <c r="AS1025" s="87"/>
      <c r="AT1025" s="87"/>
      <c r="AU1025" s="87"/>
      <c r="AV1025" s="87"/>
      <c r="AW1025" s="87"/>
      <c r="AX1025" s="87"/>
      <c r="AY1025" s="87"/>
      <c r="AZ1025" s="87"/>
      <c r="BA1025" s="87"/>
      <c r="BB1025" s="87"/>
      <c r="BC1025" s="87"/>
      <c r="BD1025" s="87"/>
      <c r="BE1025" s="87"/>
      <c r="BF1025" s="87"/>
      <c r="BG1025" s="87"/>
      <c r="BH1025" s="87"/>
    </row>
    <row r="1026" spans="1:60" ht="16">
      <c r="A1026" s="82"/>
      <c r="B1026" s="82"/>
      <c r="C1026" s="82"/>
      <c r="D1026" s="83"/>
      <c r="E1026" s="84"/>
      <c r="F1026" s="84"/>
      <c r="G1026" s="84"/>
      <c r="H1026" s="82"/>
      <c r="I1026" s="84"/>
      <c r="J1026" s="84"/>
      <c r="K1026" s="84"/>
      <c r="L1026" s="84"/>
      <c r="M1026" s="84"/>
      <c r="N1026" s="84"/>
      <c r="O1026" s="84"/>
      <c r="P1026" s="84"/>
      <c r="Q1026" s="84"/>
      <c r="R1026" s="84"/>
      <c r="S1026" s="84"/>
      <c r="T1026" s="84"/>
      <c r="U1026" s="84"/>
      <c r="V1026" s="84"/>
      <c r="W1026" s="84"/>
      <c r="X1026" s="84"/>
      <c r="Y1026" s="84"/>
      <c r="Z1026" s="87"/>
      <c r="AA1026" s="87"/>
      <c r="AB1026" s="87"/>
      <c r="AC1026" s="87"/>
      <c r="AD1026" s="87"/>
      <c r="AE1026" s="87"/>
      <c r="AF1026" s="87"/>
      <c r="AG1026" s="87"/>
      <c r="AH1026" s="87"/>
      <c r="AI1026" s="87"/>
      <c r="AJ1026" s="87"/>
      <c r="AK1026" s="87"/>
      <c r="AL1026" s="87"/>
      <c r="AM1026" s="87"/>
      <c r="AN1026" s="87"/>
      <c r="AO1026" s="87"/>
      <c r="AP1026" s="87"/>
      <c r="AQ1026" s="87"/>
      <c r="AR1026" s="87"/>
      <c r="AS1026" s="87"/>
      <c r="AT1026" s="87"/>
      <c r="AU1026" s="87"/>
      <c r="AV1026" s="87"/>
      <c r="AW1026" s="87"/>
      <c r="AX1026" s="87"/>
      <c r="AY1026" s="87"/>
      <c r="AZ1026" s="87"/>
      <c r="BA1026" s="87"/>
      <c r="BB1026" s="87"/>
      <c r="BC1026" s="87"/>
      <c r="BD1026" s="87"/>
      <c r="BE1026" s="87"/>
      <c r="BF1026" s="87"/>
      <c r="BG1026" s="87"/>
      <c r="BH1026" s="87"/>
    </row>
    <row r="1027" spans="1:60" ht="16">
      <c r="A1027" s="82"/>
      <c r="B1027" s="82"/>
      <c r="C1027" s="82"/>
      <c r="D1027" s="83"/>
      <c r="E1027" s="84"/>
      <c r="F1027" s="84"/>
      <c r="G1027" s="84"/>
      <c r="H1027" s="82"/>
      <c r="I1027" s="84"/>
      <c r="J1027" s="84"/>
      <c r="K1027" s="84"/>
      <c r="L1027" s="84"/>
      <c r="M1027" s="84"/>
      <c r="N1027" s="84"/>
      <c r="O1027" s="84"/>
      <c r="P1027" s="84"/>
      <c r="Q1027" s="84"/>
      <c r="R1027" s="84"/>
      <c r="S1027" s="84"/>
      <c r="T1027" s="84"/>
      <c r="U1027" s="84"/>
      <c r="V1027" s="84"/>
      <c r="W1027" s="84"/>
      <c r="X1027" s="84"/>
      <c r="Y1027" s="84"/>
      <c r="Z1027" s="87"/>
      <c r="AA1027" s="87"/>
      <c r="AB1027" s="87"/>
      <c r="AC1027" s="87"/>
      <c r="AD1027" s="87"/>
      <c r="AE1027" s="87"/>
      <c r="AF1027" s="87"/>
      <c r="AG1027" s="87"/>
      <c r="AH1027" s="87"/>
      <c r="AI1027" s="87"/>
      <c r="AJ1027" s="87"/>
      <c r="AK1027" s="87"/>
      <c r="AL1027" s="87"/>
      <c r="AM1027" s="87"/>
      <c r="AN1027" s="87"/>
      <c r="AO1027" s="87"/>
      <c r="AP1027" s="87"/>
      <c r="AQ1027" s="87"/>
      <c r="AR1027" s="87"/>
      <c r="AS1027" s="87"/>
      <c r="AT1027" s="87"/>
      <c r="AU1027" s="87"/>
      <c r="AV1027" s="87"/>
      <c r="AW1027" s="87"/>
      <c r="AX1027" s="87"/>
      <c r="AY1027" s="87"/>
      <c r="AZ1027" s="87"/>
      <c r="BA1027" s="87"/>
      <c r="BB1027" s="87"/>
      <c r="BC1027" s="87"/>
      <c r="BD1027" s="87"/>
      <c r="BE1027" s="87"/>
      <c r="BF1027" s="87"/>
      <c r="BG1027" s="87"/>
      <c r="BH1027" s="87"/>
    </row>
    <row r="1028" spans="1:60" ht="16">
      <c r="A1028" s="82"/>
      <c r="B1028" s="82"/>
      <c r="C1028" s="82"/>
      <c r="D1028" s="83"/>
      <c r="E1028" s="84"/>
      <c r="F1028" s="84"/>
      <c r="G1028" s="84"/>
      <c r="H1028" s="82"/>
      <c r="I1028" s="84"/>
      <c r="J1028" s="84"/>
      <c r="K1028" s="84"/>
      <c r="L1028" s="84"/>
      <c r="M1028" s="84"/>
      <c r="N1028" s="84"/>
      <c r="O1028" s="84"/>
      <c r="P1028" s="84"/>
      <c r="Q1028" s="84"/>
      <c r="R1028" s="84"/>
      <c r="S1028" s="84"/>
      <c r="T1028" s="84"/>
      <c r="U1028" s="84"/>
      <c r="V1028" s="84"/>
      <c r="W1028" s="84"/>
      <c r="X1028" s="84"/>
      <c r="Y1028" s="84"/>
      <c r="Z1028" s="87"/>
      <c r="AA1028" s="87"/>
      <c r="AB1028" s="87"/>
      <c r="AC1028" s="87"/>
      <c r="AD1028" s="87"/>
      <c r="AE1028" s="87"/>
      <c r="AF1028" s="87"/>
      <c r="AG1028" s="87"/>
      <c r="AH1028" s="87"/>
      <c r="AI1028" s="87"/>
      <c r="AJ1028" s="87"/>
      <c r="AK1028" s="87"/>
      <c r="AL1028" s="87"/>
      <c r="AM1028" s="87"/>
      <c r="AN1028" s="87"/>
      <c r="AO1028" s="87"/>
      <c r="AP1028" s="87"/>
      <c r="AQ1028" s="87"/>
      <c r="AR1028" s="87"/>
      <c r="AS1028" s="87"/>
      <c r="AT1028" s="87"/>
      <c r="AU1028" s="87"/>
      <c r="AV1028" s="87"/>
      <c r="AW1028" s="87"/>
      <c r="AX1028" s="87"/>
      <c r="AY1028" s="87"/>
      <c r="AZ1028" s="87"/>
      <c r="BA1028" s="87"/>
      <c r="BB1028" s="87"/>
      <c r="BC1028" s="87"/>
      <c r="BD1028" s="87"/>
      <c r="BE1028" s="87"/>
      <c r="BF1028" s="87"/>
      <c r="BG1028" s="87"/>
      <c r="BH1028" s="87"/>
    </row>
    <row r="1029" spans="1:60" ht="16">
      <c r="A1029" s="82"/>
      <c r="B1029" s="82"/>
      <c r="C1029" s="82"/>
      <c r="D1029" s="83"/>
      <c r="E1029" s="84"/>
      <c r="F1029" s="84"/>
      <c r="G1029" s="84"/>
      <c r="H1029" s="82"/>
      <c r="I1029" s="84"/>
      <c r="J1029" s="84"/>
      <c r="K1029" s="84"/>
      <c r="L1029" s="84"/>
      <c r="M1029" s="84"/>
      <c r="N1029" s="84"/>
      <c r="O1029" s="84"/>
      <c r="P1029" s="84"/>
      <c r="Q1029" s="84"/>
      <c r="R1029" s="84"/>
      <c r="S1029" s="84"/>
      <c r="T1029" s="84"/>
      <c r="U1029" s="84"/>
      <c r="V1029" s="84"/>
      <c r="W1029" s="84"/>
      <c r="X1029" s="84"/>
      <c r="Y1029" s="84"/>
      <c r="Z1029" s="87"/>
      <c r="AA1029" s="87"/>
      <c r="AB1029" s="87"/>
      <c r="AC1029" s="87"/>
      <c r="AD1029" s="87"/>
      <c r="AE1029" s="87"/>
      <c r="AF1029" s="87"/>
      <c r="AG1029" s="87"/>
      <c r="AH1029" s="87"/>
      <c r="AI1029" s="87"/>
      <c r="AJ1029" s="87"/>
      <c r="AK1029" s="87"/>
      <c r="AL1029" s="87"/>
      <c r="AM1029" s="87"/>
      <c r="AN1029" s="87"/>
      <c r="AO1029" s="87"/>
      <c r="AP1029" s="87"/>
      <c r="AQ1029" s="87"/>
      <c r="AR1029" s="87"/>
      <c r="AS1029" s="87"/>
      <c r="AT1029" s="87"/>
      <c r="AU1029" s="87"/>
      <c r="AV1029" s="87"/>
      <c r="AW1029" s="87"/>
      <c r="AX1029" s="87"/>
      <c r="AY1029" s="87"/>
      <c r="AZ1029" s="87"/>
      <c r="BA1029" s="87"/>
      <c r="BB1029" s="87"/>
      <c r="BC1029" s="87"/>
      <c r="BD1029" s="87"/>
      <c r="BE1029" s="87"/>
      <c r="BF1029" s="87"/>
      <c r="BG1029" s="87"/>
      <c r="BH1029" s="87"/>
    </row>
    <row r="1030" spans="1:60" ht="16">
      <c r="A1030" s="82"/>
      <c r="B1030" s="82"/>
      <c r="C1030" s="82"/>
      <c r="D1030" s="83"/>
      <c r="E1030" s="84"/>
      <c r="F1030" s="84"/>
      <c r="G1030" s="84"/>
      <c r="H1030" s="82"/>
      <c r="I1030" s="84"/>
      <c r="J1030" s="84"/>
      <c r="K1030" s="84"/>
      <c r="L1030" s="84"/>
      <c r="M1030" s="84"/>
      <c r="N1030" s="84"/>
      <c r="O1030" s="84"/>
      <c r="P1030" s="84"/>
      <c r="Q1030" s="84"/>
      <c r="R1030" s="84"/>
      <c r="S1030" s="84"/>
      <c r="T1030" s="84"/>
      <c r="U1030" s="84"/>
      <c r="V1030" s="84"/>
      <c r="W1030" s="84"/>
      <c r="X1030" s="84"/>
      <c r="Y1030" s="84"/>
      <c r="Z1030" s="87"/>
      <c r="AA1030" s="87"/>
      <c r="AB1030" s="87"/>
      <c r="AC1030" s="87"/>
      <c r="AD1030" s="87"/>
      <c r="AE1030" s="87"/>
      <c r="AF1030" s="87"/>
      <c r="AG1030" s="87"/>
      <c r="AH1030" s="87"/>
      <c r="AI1030" s="87"/>
      <c r="AJ1030" s="87"/>
      <c r="AK1030" s="87"/>
      <c r="AL1030" s="87"/>
      <c r="AM1030" s="87"/>
      <c r="AN1030" s="87"/>
      <c r="AO1030" s="87"/>
      <c r="AP1030" s="87"/>
      <c r="AQ1030" s="87"/>
      <c r="AR1030" s="87"/>
      <c r="AS1030" s="87"/>
      <c r="AT1030" s="87"/>
      <c r="AU1030" s="87"/>
      <c r="AV1030" s="87"/>
      <c r="AW1030" s="87"/>
      <c r="AX1030" s="87"/>
      <c r="AY1030" s="87"/>
      <c r="AZ1030" s="87"/>
      <c r="BA1030" s="87"/>
      <c r="BB1030" s="87"/>
      <c r="BC1030" s="87"/>
      <c r="BD1030" s="87"/>
      <c r="BE1030" s="87"/>
      <c r="BF1030" s="87"/>
      <c r="BG1030" s="87"/>
      <c r="BH1030" s="87"/>
    </row>
    <row r="1031" spans="1:60" ht="16">
      <c r="A1031" s="82"/>
      <c r="B1031" s="82"/>
      <c r="C1031" s="82"/>
      <c r="D1031" s="83"/>
      <c r="E1031" s="84"/>
      <c r="F1031" s="84"/>
      <c r="G1031" s="84"/>
      <c r="H1031" s="82"/>
      <c r="I1031" s="84"/>
      <c r="J1031" s="84"/>
      <c r="K1031" s="84"/>
      <c r="L1031" s="84"/>
      <c r="M1031" s="84"/>
      <c r="N1031" s="84"/>
      <c r="O1031" s="84"/>
      <c r="P1031" s="84"/>
      <c r="Q1031" s="84"/>
      <c r="R1031" s="84"/>
      <c r="S1031" s="84"/>
      <c r="T1031" s="84"/>
      <c r="U1031" s="84"/>
      <c r="V1031" s="84"/>
      <c r="W1031" s="84"/>
      <c r="X1031" s="84"/>
      <c r="Y1031" s="84"/>
      <c r="Z1031" s="87"/>
      <c r="AA1031" s="87"/>
      <c r="AB1031" s="87"/>
      <c r="AC1031" s="87"/>
      <c r="AD1031" s="87"/>
      <c r="AE1031" s="87"/>
      <c r="AF1031" s="87"/>
      <c r="AG1031" s="87"/>
      <c r="AH1031" s="87"/>
      <c r="AI1031" s="87"/>
      <c r="AJ1031" s="87"/>
      <c r="AK1031" s="87"/>
      <c r="AL1031" s="87"/>
      <c r="AM1031" s="87"/>
      <c r="AN1031" s="87"/>
      <c r="AO1031" s="87"/>
      <c r="AP1031" s="87"/>
      <c r="AQ1031" s="87"/>
      <c r="AR1031" s="87"/>
      <c r="AS1031" s="87"/>
      <c r="AT1031" s="87"/>
      <c r="AU1031" s="87"/>
      <c r="AV1031" s="87"/>
      <c r="AW1031" s="87"/>
      <c r="AX1031" s="87"/>
      <c r="AY1031" s="87"/>
      <c r="AZ1031" s="87"/>
      <c r="BA1031" s="87"/>
      <c r="BB1031" s="87"/>
      <c r="BC1031" s="87"/>
      <c r="BD1031" s="87"/>
      <c r="BE1031" s="87"/>
      <c r="BF1031" s="87"/>
      <c r="BG1031" s="87"/>
      <c r="BH1031" s="87"/>
    </row>
    <row r="1032" spans="1:60" ht="16">
      <c r="A1032" s="82"/>
      <c r="B1032" s="82"/>
      <c r="C1032" s="82"/>
      <c r="D1032" s="83"/>
      <c r="E1032" s="84"/>
      <c r="F1032" s="84"/>
      <c r="G1032" s="84"/>
      <c r="H1032" s="82"/>
      <c r="I1032" s="84"/>
      <c r="J1032" s="84"/>
      <c r="K1032" s="84"/>
      <c r="L1032" s="84"/>
      <c r="M1032" s="84"/>
      <c r="N1032" s="84"/>
      <c r="O1032" s="84"/>
      <c r="P1032" s="84"/>
      <c r="Q1032" s="84"/>
      <c r="R1032" s="84"/>
      <c r="S1032" s="84"/>
      <c r="T1032" s="84"/>
      <c r="U1032" s="84"/>
      <c r="V1032" s="84"/>
      <c r="W1032" s="84"/>
      <c r="X1032" s="84"/>
      <c r="Y1032" s="84"/>
      <c r="Z1032" s="87"/>
      <c r="AA1032" s="87"/>
      <c r="AB1032" s="87"/>
      <c r="AC1032" s="87"/>
      <c r="AD1032" s="87"/>
      <c r="AE1032" s="87"/>
      <c r="AF1032" s="87"/>
      <c r="AG1032" s="87"/>
      <c r="AH1032" s="87"/>
      <c r="AI1032" s="87"/>
      <c r="AJ1032" s="87"/>
      <c r="AK1032" s="87"/>
      <c r="AL1032" s="87"/>
      <c r="AM1032" s="87"/>
      <c r="AN1032" s="87"/>
      <c r="AO1032" s="87"/>
      <c r="AP1032" s="87"/>
      <c r="AQ1032" s="87"/>
      <c r="AR1032" s="87"/>
      <c r="AS1032" s="87"/>
      <c r="AT1032" s="87"/>
      <c r="AU1032" s="87"/>
      <c r="AV1032" s="87"/>
      <c r="AW1032" s="87"/>
      <c r="AX1032" s="87"/>
      <c r="AY1032" s="87"/>
      <c r="AZ1032" s="87"/>
      <c r="BA1032" s="87"/>
      <c r="BB1032" s="87"/>
      <c r="BC1032" s="87"/>
      <c r="BD1032" s="87"/>
      <c r="BE1032" s="87"/>
      <c r="BF1032" s="87"/>
      <c r="BG1032" s="87"/>
      <c r="BH1032" s="87"/>
    </row>
    <row r="1033" spans="1:60" ht="16">
      <c r="A1033" s="82"/>
      <c r="B1033" s="82"/>
      <c r="C1033" s="82"/>
      <c r="D1033" s="83"/>
      <c r="E1033" s="84"/>
      <c r="F1033" s="84"/>
      <c r="G1033" s="84"/>
      <c r="H1033" s="82"/>
      <c r="I1033" s="84"/>
      <c r="J1033" s="84"/>
      <c r="K1033" s="84"/>
      <c r="L1033" s="84"/>
      <c r="M1033" s="84"/>
      <c r="N1033" s="84"/>
      <c r="O1033" s="84"/>
      <c r="P1033" s="84"/>
      <c r="Q1033" s="84"/>
      <c r="R1033" s="84"/>
      <c r="S1033" s="84"/>
      <c r="T1033" s="84"/>
      <c r="U1033" s="84"/>
      <c r="V1033" s="84"/>
      <c r="W1033" s="84"/>
      <c r="X1033" s="84"/>
      <c r="Y1033" s="84"/>
      <c r="Z1033" s="87"/>
      <c r="AA1033" s="87"/>
      <c r="AB1033" s="87"/>
      <c r="AC1033" s="87"/>
      <c r="AD1033" s="87"/>
      <c r="AE1033" s="87"/>
      <c r="AF1033" s="87"/>
      <c r="AG1033" s="87"/>
      <c r="AH1033" s="87"/>
      <c r="AI1033" s="87"/>
      <c r="AJ1033" s="87"/>
      <c r="AK1033" s="87"/>
      <c r="AL1033" s="87"/>
      <c r="AM1033" s="87"/>
      <c r="AN1033" s="87"/>
      <c r="AO1033" s="87"/>
      <c r="AP1033" s="87"/>
      <c r="AQ1033" s="87"/>
      <c r="AR1033" s="87"/>
      <c r="AS1033" s="87"/>
      <c r="AT1033" s="87"/>
      <c r="AU1033" s="87"/>
      <c r="AV1033" s="87"/>
      <c r="AW1033" s="87"/>
      <c r="AX1033" s="87"/>
      <c r="AY1033" s="87"/>
      <c r="AZ1033" s="87"/>
      <c r="BA1033" s="87"/>
      <c r="BB1033" s="87"/>
      <c r="BC1033" s="87"/>
      <c r="BD1033" s="87"/>
      <c r="BE1033" s="87"/>
      <c r="BF1033" s="87"/>
      <c r="BG1033" s="87"/>
      <c r="BH1033" s="87"/>
    </row>
    <row r="1034" spans="1:60" ht="16">
      <c r="A1034" s="82"/>
      <c r="B1034" s="82"/>
      <c r="C1034" s="82"/>
      <c r="D1034" s="83"/>
      <c r="E1034" s="84"/>
      <c r="F1034" s="84"/>
      <c r="G1034" s="84"/>
      <c r="H1034" s="82"/>
      <c r="I1034" s="84"/>
      <c r="J1034" s="84"/>
      <c r="K1034" s="84"/>
      <c r="L1034" s="84"/>
      <c r="M1034" s="84"/>
      <c r="N1034" s="84"/>
      <c r="O1034" s="84"/>
      <c r="P1034" s="84"/>
      <c r="Q1034" s="84"/>
      <c r="R1034" s="84"/>
      <c r="S1034" s="84"/>
      <c r="T1034" s="84"/>
      <c r="U1034" s="84"/>
      <c r="V1034" s="84"/>
      <c r="W1034" s="84"/>
      <c r="X1034" s="84"/>
      <c r="Y1034" s="84"/>
      <c r="Z1034" s="87"/>
      <c r="AA1034" s="87"/>
      <c r="AB1034" s="87"/>
      <c r="AC1034" s="87"/>
      <c r="AD1034" s="87"/>
      <c r="AE1034" s="87"/>
      <c r="AF1034" s="87"/>
      <c r="AG1034" s="87"/>
      <c r="AH1034" s="87"/>
      <c r="AI1034" s="87"/>
      <c r="AJ1034" s="87"/>
      <c r="AK1034" s="87"/>
      <c r="AL1034" s="87"/>
      <c r="AM1034" s="87"/>
      <c r="AN1034" s="87"/>
      <c r="AO1034" s="87"/>
      <c r="AP1034" s="87"/>
      <c r="AQ1034" s="87"/>
      <c r="AR1034" s="87"/>
      <c r="AS1034" s="87"/>
      <c r="AT1034" s="87"/>
      <c r="AU1034" s="87"/>
      <c r="AV1034" s="87"/>
      <c r="AW1034" s="87"/>
      <c r="AX1034" s="87"/>
      <c r="AY1034" s="87"/>
      <c r="AZ1034" s="87"/>
      <c r="BA1034" s="87"/>
      <c r="BB1034" s="87"/>
      <c r="BC1034" s="87"/>
      <c r="BD1034" s="87"/>
      <c r="BE1034" s="87"/>
      <c r="BF1034" s="87"/>
      <c r="BG1034" s="87"/>
      <c r="BH1034" s="87"/>
    </row>
    <row r="1035" spans="1:60" ht="16">
      <c r="A1035" s="82"/>
      <c r="B1035" s="82"/>
      <c r="C1035" s="82"/>
      <c r="D1035" s="83"/>
      <c r="E1035" s="84"/>
      <c r="F1035" s="84"/>
      <c r="G1035" s="84"/>
      <c r="H1035" s="82"/>
      <c r="I1035" s="84"/>
      <c r="J1035" s="84"/>
      <c r="K1035" s="84"/>
      <c r="L1035" s="84"/>
      <c r="M1035" s="84"/>
      <c r="N1035" s="84"/>
      <c r="O1035" s="84"/>
      <c r="P1035" s="84"/>
      <c r="Q1035" s="84"/>
      <c r="R1035" s="84"/>
      <c r="S1035" s="84"/>
      <c r="T1035" s="84"/>
      <c r="U1035" s="84"/>
      <c r="V1035" s="84"/>
      <c r="W1035" s="84"/>
      <c r="X1035" s="84"/>
      <c r="Y1035" s="84"/>
      <c r="Z1035" s="87"/>
      <c r="AA1035" s="87"/>
      <c r="AB1035" s="87"/>
      <c r="AC1035" s="87"/>
      <c r="AD1035" s="87"/>
      <c r="AE1035" s="87"/>
      <c r="AF1035" s="87"/>
      <c r="AG1035" s="87"/>
      <c r="AH1035" s="87"/>
      <c r="AI1035" s="87"/>
      <c r="AJ1035" s="87"/>
      <c r="AK1035" s="87"/>
      <c r="AL1035" s="87"/>
      <c r="AM1035" s="87"/>
      <c r="AN1035" s="87"/>
      <c r="AO1035" s="87"/>
      <c r="AP1035" s="87"/>
      <c r="AQ1035" s="87"/>
      <c r="AR1035" s="87"/>
      <c r="AS1035" s="87"/>
      <c r="AT1035" s="87"/>
      <c r="AU1035" s="87"/>
      <c r="AV1035" s="87"/>
      <c r="AW1035" s="87"/>
      <c r="AX1035" s="87"/>
      <c r="AY1035" s="87"/>
      <c r="AZ1035" s="87"/>
      <c r="BA1035" s="87"/>
      <c r="BB1035" s="87"/>
      <c r="BC1035" s="87"/>
      <c r="BD1035" s="87"/>
      <c r="BE1035" s="87"/>
      <c r="BF1035" s="87"/>
      <c r="BG1035" s="87"/>
      <c r="BH1035" s="87"/>
    </row>
    <row r="1036" spans="1:60" ht="16">
      <c r="A1036" s="82"/>
      <c r="B1036" s="82"/>
      <c r="C1036" s="82"/>
      <c r="D1036" s="83"/>
      <c r="E1036" s="84"/>
      <c r="F1036" s="84"/>
      <c r="G1036" s="84"/>
      <c r="H1036" s="82"/>
      <c r="I1036" s="84"/>
      <c r="J1036" s="84"/>
      <c r="K1036" s="84"/>
      <c r="L1036" s="84"/>
      <c r="M1036" s="84"/>
      <c r="N1036" s="84"/>
      <c r="O1036" s="84"/>
      <c r="P1036" s="84"/>
      <c r="Q1036" s="84"/>
      <c r="R1036" s="84"/>
      <c r="S1036" s="84"/>
      <c r="T1036" s="84"/>
      <c r="U1036" s="84"/>
      <c r="V1036" s="84"/>
      <c r="W1036" s="84"/>
      <c r="X1036" s="84"/>
      <c r="Y1036" s="84"/>
      <c r="Z1036" s="87"/>
      <c r="AA1036" s="87"/>
      <c r="AB1036" s="87"/>
      <c r="AC1036" s="87"/>
      <c r="AD1036" s="87"/>
      <c r="AE1036" s="87"/>
      <c r="AF1036" s="87"/>
      <c r="AG1036" s="87"/>
      <c r="AH1036" s="87"/>
      <c r="AI1036" s="87"/>
      <c r="AJ1036" s="87"/>
      <c r="AK1036" s="87"/>
      <c r="AL1036" s="87"/>
      <c r="AM1036" s="87"/>
      <c r="AN1036" s="87"/>
      <c r="AO1036" s="87"/>
      <c r="AP1036" s="87"/>
      <c r="AQ1036" s="87"/>
      <c r="AR1036" s="87"/>
      <c r="AS1036" s="87"/>
      <c r="AT1036" s="87"/>
      <c r="AU1036" s="87"/>
      <c r="AV1036" s="87"/>
      <c r="AW1036" s="87"/>
      <c r="AX1036" s="87"/>
      <c r="AY1036" s="87"/>
      <c r="AZ1036" s="87"/>
      <c r="BA1036" s="87"/>
      <c r="BB1036" s="87"/>
      <c r="BC1036" s="87"/>
      <c r="BD1036" s="87"/>
      <c r="BE1036" s="87"/>
      <c r="BF1036" s="87"/>
      <c r="BG1036" s="87"/>
      <c r="BH1036" s="87"/>
    </row>
    <row r="1037" spans="1:60" ht="16">
      <c r="A1037" s="82"/>
      <c r="B1037" s="82"/>
      <c r="C1037" s="82"/>
      <c r="D1037" s="83"/>
      <c r="E1037" s="84"/>
      <c r="F1037" s="84"/>
      <c r="G1037" s="84"/>
      <c r="H1037" s="82"/>
      <c r="I1037" s="84"/>
      <c r="J1037" s="84"/>
      <c r="K1037" s="84"/>
      <c r="L1037" s="84"/>
      <c r="M1037" s="84"/>
      <c r="N1037" s="84"/>
      <c r="O1037" s="84"/>
      <c r="P1037" s="84"/>
      <c r="Q1037" s="84"/>
      <c r="R1037" s="84"/>
      <c r="S1037" s="84"/>
      <c r="T1037" s="84"/>
      <c r="U1037" s="84"/>
      <c r="V1037" s="84"/>
      <c r="W1037" s="84"/>
      <c r="X1037" s="84"/>
      <c r="Y1037" s="84"/>
      <c r="Z1037" s="87"/>
      <c r="AA1037" s="87"/>
      <c r="AB1037" s="87"/>
      <c r="AC1037" s="87"/>
      <c r="AD1037" s="87"/>
      <c r="AE1037" s="87"/>
      <c r="AF1037" s="87"/>
      <c r="AG1037" s="87"/>
      <c r="AH1037" s="87"/>
      <c r="AI1037" s="87"/>
      <c r="AJ1037" s="87"/>
      <c r="AK1037" s="87"/>
      <c r="AL1037" s="87"/>
      <c r="AM1037" s="87"/>
      <c r="AN1037" s="87"/>
      <c r="AO1037" s="87"/>
      <c r="AP1037" s="87"/>
      <c r="AQ1037" s="87"/>
      <c r="AR1037" s="87"/>
      <c r="AS1037" s="87"/>
      <c r="AT1037" s="87"/>
      <c r="AU1037" s="87"/>
      <c r="AV1037" s="87"/>
      <c r="AW1037" s="87"/>
      <c r="AX1037" s="87"/>
      <c r="AY1037" s="87"/>
      <c r="AZ1037" s="87"/>
      <c r="BA1037" s="87"/>
      <c r="BB1037" s="87"/>
      <c r="BC1037" s="87"/>
      <c r="BD1037" s="87"/>
      <c r="BE1037" s="87"/>
      <c r="BF1037" s="87"/>
      <c r="BG1037" s="87"/>
      <c r="BH1037" s="87"/>
    </row>
    <row r="1038" spans="1:60" ht="16">
      <c r="A1038" s="82"/>
      <c r="B1038" s="82"/>
      <c r="C1038" s="82"/>
      <c r="D1038" s="83"/>
      <c r="E1038" s="84"/>
      <c r="F1038" s="84"/>
      <c r="G1038" s="84"/>
      <c r="H1038" s="82"/>
      <c r="I1038" s="84"/>
      <c r="J1038" s="84"/>
      <c r="K1038" s="84"/>
      <c r="L1038" s="84"/>
      <c r="M1038" s="84"/>
      <c r="N1038" s="84"/>
      <c r="O1038" s="84"/>
      <c r="P1038" s="84"/>
      <c r="Q1038" s="84"/>
      <c r="R1038" s="84"/>
      <c r="S1038" s="84"/>
      <c r="T1038" s="84"/>
      <c r="U1038" s="84"/>
      <c r="V1038" s="84"/>
      <c r="W1038" s="84"/>
      <c r="X1038" s="84"/>
      <c r="Y1038" s="84"/>
      <c r="Z1038" s="87"/>
      <c r="AA1038" s="87"/>
      <c r="AB1038" s="87"/>
      <c r="AC1038" s="87"/>
      <c r="AD1038" s="87"/>
      <c r="AE1038" s="87"/>
      <c r="AF1038" s="87"/>
      <c r="AG1038" s="87"/>
      <c r="AH1038" s="87"/>
      <c r="AI1038" s="87"/>
      <c r="AJ1038" s="87"/>
      <c r="AK1038" s="87"/>
      <c r="AL1038" s="87"/>
      <c r="AM1038" s="87"/>
      <c r="AN1038" s="87"/>
      <c r="AO1038" s="87"/>
      <c r="AP1038" s="87"/>
      <c r="AQ1038" s="87"/>
      <c r="AR1038" s="87"/>
      <c r="AS1038" s="87"/>
      <c r="AT1038" s="87"/>
      <c r="AU1038" s="87"/>
      <c r="AV1038" s="87"/>
      <c r="AW1038" s="87"/>
      <c r="AX1038" s="87"/>
      <c r="AY1038" s="87"/>
      <c r="AZ1038" s="87"/>
      <c r="BA1038" s="87"/>
      <c r="BB1038" s="87"/>
      <c r="BC1038" s="87"/>
      <c r="BD1038" s="87"/>
      <c r="BE1038" s="87"/>
      <c r="BF1038" s="87"/>
      <c r="BG1038" s="87"/>
      <c r="BH1038" s="87"/>
    </row>
    <row r="1039" spans="1:60" ht="16">
      <c r="A1039" s="82"/>
      <c r="B1039" s="82"/>
      <c r="C1039" s="82"/>
      <c r="D1039" s="83"/>
      <c r="E1039" s="84"/>
      <c r="F1039" s="84"/>
      <c r="G1039" s="84"/>
      <c r="H1039" s="82"/>
      <c r="I1039" s="84"/>
      <c r="J1039" s="84"/>
      <c r="K1039" s="84"/>
      <c r="L1039" s="84"/>
      <c r="M1039" s="84"/>
      <c r="N1039" s="84"/>
      <c r="O1039" s="84"/>
      <c r="P1039" s="84"/>
      <c r="Q1039" s="84"/>
      <c r="R1039" s="84"/>
      <c r="S1039" s="84"/>
      <c r="T1039" s="84"/>
      <c r="U1039" s="84"/>
      <c r="V1039" s="84"/>
      <c r="W1039" s="84"/>
      <c r="X1039" s="84"/>
      <c r="Y1039" s="84"/>
      <c r="Z1039" s="87"/>
      <c r="AA1039" s="87"/>
      <c r="AB1039" s="87"/>
      <c r="AC1039" s="87"/>
      <c r="AD1039" s="87"/>
      <c r="AE1039" s="87"/>
      <c r="AF1039" s="87"/>
      <c r="AG1039" s="87"/>
      <c r="AH1039" s="87"/>
      <c r="AI1039" s="87"/>
      <c r="AJ1039" s="87"/>
      <c r="AK1039" s="87"/>
      <c r="AL1039" s="87"/>
      <c r="AM1039" s="87"/>
      <c r="AN1039" s="87"/>
      <c r="AO1039" s="87"/>
      <c r="AP1039" s="87"/>
      <c r="AQ1039" s="87"/>
      <c r="AR1039" s="87"/>
      <c r="AS1039" s="87"/>
      <c r="AT1039" s="87"/>
      <c r="AU1039" s="87"/>
      <c r="AV1039" s="87"/>
      <c r="AW1039" s="87"/>
      <c r="AX1039" s="87"/>
      <c r="AY1039" s="87"/>
      <c r="AZ1039" s="87"/>
      <c r="BA1039" s="87"/>
      <c r="BB1039" s="87"/>
      <c r="BC1039" s="87"/>
      <c r="BD1039" s="87"/>
      <c r="BE1039" s="87"/>
      <c r="BF1039" s="87"/>
      <c r="BG1039" s="87"/>
      <c r="BH1039" s="87"/>
    </row>
    <row r="1040" spans="1:60" ht="16">
      <c r="A1040" s="82"/>
      <c r="B1040" s="82"/>
      <c r="C1040" s="82"/>
      <c r="D1040" s="83"/>
      <c r="E1040" s="84"/>
      <c r="F1040" s="84"/>
      <c r="G1040" s="84"/>
      <c r="H1040" s="82"/>
      <c r="I1040" s="84"/>
      <c r="J1040" s="84"/>
      <c r="K1040" s="84"/>
      <c r="L1040" s="84"/>
      <c r="M1040" s="84"/>
      <c r="N1040" s="84"/>
      <c r="O1040" s="84"/>
      <c r="P1040" s="84"/>
      <c r="Q1040" s="84"/>
      <c r="R1040" s="84"/>
      <c r="S1040" s="84"/>
      <c r="T1040" s="84"/>
      <c r="U1040" s="84"/>
      <c r="V1040" s="84"/>
      <c r="W1040" s="84"/>
      <c r="X1040" s="84"/>
      <c r="Y1040" s="84"/>
      <c r="Z1040" s="87"/>
      <c r="AA1040" s="87"/>
      <c r="AB1040" s="87"/>
      <c r="AC1040" s="87"/>
      <c r="AD1040" s="87"/>
      <c r="AE1040" s="87"/>
      <c r="AF1040" s="87"/>
      <c r="AG1040" s="87"/>
      <c r="AH1040" s="87"/>
      <c r="AI1040" s="87"/>
      <c r="AJ1040" s="87"/>
      <c r="AK1040" s="87"/>
      <c r="AL1040" s="87"/>
      <c r="AM1040" s="87"/>
      <c r="AN1040" s="87"/>
      <c r="AO1040" s="87"/>
      <c r="AP1040" s="87"/>
      <c r="AQ1040" s="87"/>
      <c r="AR1040" s="87"/>
      <c r="AS1040" s="87"/>
      <c r="AT1040" s="87"/>
      <c r="AU1040" s="87"/>
      <c r="AV1040" s="87"/>
      <c r="AW1040" s="87"/>
      <c r="AX1040" s="87"/>
      <c r="AY1040" s="87"/>
      <c r="AZ1040" s="87"/>
      <c r="BA1040" s="87"/>
      <c r="BB1040" s="87"/>
      <c r="BC1040" s="87"/>
      <c r="BD1040" s="87"/>
      <c r="BE1040" s="87"/>
      <c r="BF1040" s="87"/>
      <c r="BG1040" s="87"/>
      <c r="BH1040" s="87"/>
    </row>
    <row r="1041" spans="1:60" ht="16">
      <c r="A1041" s="82"/>
      <c r="B1041" s="82"/>
      <c r="C1041" s="82"/>
      <c r="D1041" s="83"/>
      <c r="E1041" s="84"/>
      <c r="F1041" s="84"/>
      <c r="G1041" s="84"/>
      <c r="H1041" s="82"/>
      <c r="I1041" s="84"/>
      <c r="J1041" s="84"/>
      <c r="K1041" s="84"/>
      <c r="L1041" s="84"/>
      <c r="M1041" s="84"/>
      <c r="N1041" s="84"/>
      <c r="O1041" s="84"/>
      <c r="P1041" s="84"/>
      <c r="Q1041" s="84"/>
      <c r="R1041" s="84"/>
      <c r="S1041" s="84"/>
      <c r="T1041" s="84"/>
      <c r="U1041" s="84"/>
      <c r="V1041" s="84"/>
      <c r="W1041" s="84"/>
      <c r="X1041" s="84"/>
      <c r="Y1041" s="84"/>
      <c r="Z1041" s="87"/>
      <c r="AA1041" s="87"/>
      <c r="AB1041" s="87"/>
      <c r="AC1041" s="87"/>
      <c r="AD1041" s="87"/>
      <c r="AE1041" s="87"/>
      <c r="AF1041" s="87"/>
      <c r="AG1041" s="87"/>
      <c r="AH1041" s="87"/>
      <c r="AI1041" s="87"/>
      <c r="AJ1041" s="87"/>
      <c r="AK1041" s="87"/>
      <c r="AL1041" s="87"/>
      <c r="AM1041" s="87"/>
      <c r="AN1041" s="87"/>
      <c r="AO1041" s="87"/>
      <c r="AP1041" s="87"/>
      <c r="AQ1041" s="87"/>
      <c r="AR1041" s="87"/>
      <c r="AS1041" s="87"/>
      <c r="AT1041" s="87"/>
      <c r="AU1041" s="87"/>
      <c r="AV1041" s="87"/>
      <c r="AW1041" s="87"/>
      <c r="AX1041" s="87"/>
      <c r="AY1041" s="87"/>
      <c r="AZ1041" s="87"/>
      <c r="BA1041" s="87"/>
      <c r="BB1041" s="87"/>
      <c r="BC1041" s="87"/>
      <c r="BD1041" s="87"/>
      <c r="BE1041" s="87"/>
      <c r="BF1041" s="87"/>
      <c r="BG1041" s="87"/>
      <c r="BH1041" s="87"/>
    </row>
    <row r="1042" spans="1:60" ht="16">
      <c r="A1042" s="82"/>
      <c r="B1042" s="82"/>
      <c r="C1042" s="82"/>
      <c r="D1042" s="83"/>
      <c r="E1042" s="84"/>
      <c r="F1042" s="84"/>
      <c r="G1042" s="84"/>
      <c r="H1042" s="82"/>
      <c r="I1042" s="84"/>
      <c r="J1042" s="84"/>
      <c r="K1042" s="84"/>
      <c r="L1042" s="84"/>
      <c r="M1042" s="84"/>
      <c r="N1042" s="84"/>
      <c r="O1042" s="84"/>
      <c r="P1042" s="84"/>
      <c r="Q1042" s="84"/>
      <c r="R1042" s="84"/>
      <c r="S1042" s="84"/>
      <c r="T1042" s="84"/>
      <c r="U1042" s="84"/>
      <c r="V1042" s="84"/>
      <c r="W1042" s="84"/>
      <c r="X1042" s="84"/>
      <c r="Y1042" s="84"/>
      <c r="Z1042" s="87"/>
      <c r="AA1042" s="87"/>
      <c r="AB1042" s="87"/>
      <c r="AC1042" s="87"/>
      <c r="AD1042" s="87"/>
      <c r="AE1042" s="87"/>
      <c r="AF1042" s="87"/>
      <c r="AG1042" s="87"/>
      <c r="AH1042" s="87"/>
      <c r="AI1042" s="87"/>
      <c r="AJ1042" s="87"/>
      <c r="AK1042" s="87"/>
      <c r="AL1042" s="87"/>
      <c r="AM1042" s="87"/>
      <c r="AN1042" s="87"/>
      <c r="AO1042" s="87"/>
      <c r="AP1042" s="87"/>
      <c r="AQ1042" s="87"/>
      <c r="AR1042" s="87"/>
      <c r="AS1042" s="87"/>
      <c r="AT1042" s="87"/>
      <c r="AU1042" s="87"/>
      <c r="AV1042" s="87"/>
      <c r="AW1042" s="87"/>
      <c r="AX1042" s="87"/>
      <c r="AY1042" s="87"/>
      <c r="AZ1042" s="87"/>
      <c r="BA1042" s="87"/>
      <c r="BB1042" s="87"/>
      <c r="BC1042" s="87"/>
      <c r="BD1042" s="87"/>
      <c r="BE1042" s="87"/>
      <c r="BF1042" s="87"/>
      <c r="BG1042" s="87"/>
      <c r="BH1042" s="87"/>
    </row>
    <row r="1043" spans="1:60" ht="16">
      <c r="A1043" s="82"/>
      <c r="B1043" s="82"/>
      <c r="C1043" s="82"/>
      <c r="D1043" s="83"/>
      <c r="E1043" s="84"/>
      <c r="F1043" s="84"/>
      <c r="G1043" s="84"/>
      <c r="H1043" s="82"/>
      <c r="I1043" s="84"/>
      <c r="J1043" s="84"/>
      <c r="K1043" s="84"/>
      <c r="L1043" s="84"/>
      <c r="M1043" s="84"/>
      <c r="N1043" s="84"/>
      <c r="O1043" s="84"/>
      <c r="P1043" s="84"/>
      <c r="Q1043" s="84"/>
      <c r="R1043" s="84"/>
      <c r="S1043" s="84"/>
      <c r="T1043" s="84"/>
      <c r="U1043" s="84"/>
      <c r="V1043" s="84"/>
      <c r="W1043" s="84"/>
      <c r="X1043" s="84"/>
      <c r="Y1043" s="84"/>
      <c r="Z1043" s="87"/>
      <c r="AA1043" s="87"/>
      <c r="AB1043" s="87"/>
      <c r="AC1043" s="87"/>
      <c r="AD1043" s="87"/>
      <c r="AE1043" s="87"/>
      <c r="AF1043" s="87"/>
      <c r="AG1043" s="87"/>
      <c r="AH1043" s="87"/>
      <c r="AI1043" s="87"/>
      <c r="AJ1043" s="87"/>
      <c r="AK1043" s="87"/>
      <c r="AL1043" s="87"/>
      <c r="AM1043" s="87"/>
      <c r="AN1043" s="87"/>
      <c r="AO1043" s="87"/>
      <c r="AP1043" s="87"/>
      <c r="AQ1043" s="87"/>
      <c r="AR1043" s="87"/>
      <c r="AS1043" s="87"/>
      <c r="AT1043" s="87"/>
      <c r="AU1043" s="87"/>
      <c r="AV1043" s="87"/>
      <c r="AW1043" s="87"/>
      <c r="AX1043" s="87"/>
      <c r="AY1043" s="87"/>
      <c r="AZ1043" s="87"/>
      <c r="BA1043" s="87"/>
      <c r="BB1043" s="87"/>
      <c r="BC1043" s="87"/>
      <c r="BD1043" s="87"/>
      <c r="BE1043" s="87"/>
      <c r="BF1043" s="87"/>
      <c r="BG1043" s="87"/>
      <c r="BH1043" s="87"/>
    </row>
    <row r="1044" spans="1:60" ht="16">
      <c r="A1044" s="82"/>
      <c r="B1044" s="82"/>
      <c r="C1044" s="82"/>
      <c r="D1044" s="83"/>
      <c r="E1044" s="84"/>
      <c r="F1044" s="84"/>
      <c r="G1044" s="84"/>
      <c r="H1044" s="82"/>
      <c r="I1044" s="84"/>
      <c r="J1044" s="84"/>
      <c r="K1044" s="84"/>
      <c r="L1044" s="84"/>
      <c r="M1044" s="84"/>
      <c r="N1044" s="84"/>
      <c r="O1044" s="84"/>
      <c r="P1044" s="84"/>
      <c r="Q1044" s="84"/>
      <c r="R1044" s="84"/>
      <c r="S1044" s="84"/>
      <c r="T1044" s="84"/>
      <c r="U1044" s="84"/>
      <c r="V1044" s="84"/>
      <c r="W1044" s="84"/>
      <c r="X1044" s="84"/>
      <c r="Y1044" s="84"/>
      <c r="Z1044" s="87"/>
      <c r="AA1044" s="87"/>
      <c r="AB1044" s="87"/>
      <c r="AC1044" s="87"/>
      <c r="AD1044" s="87"/>
      <c r="AE1044" s="87"/>
      <c r="AF1044" s="87"/>
      <c r="AG1044" s="87"/>
      <c r="AH1044" s="87"/>
      <c r="AI1044" s="87"/>
      <c r="AJ1044" s="87"/>
      <c r="AK1044" s="87"/>
      <c r="AL1044" s="87"/>
      <c r="AM1044" s="87"/>
      <c r="AN1044" s="87"/>
      <c r="AO1044" s="87"/>
      <c r="AP1044" s="87"/>
      <c r="AQ1044" s="87"/>
      <c r="AR1044" s="87"/>
      <c r="AS1044" s="87"/>
      <c r="AT1044" s="87"/>
      <c r="AU1044" s="87"/>
      <c r="AV1044" s="87"/>
      <c r="AW1044" s="87"/>
      <c r="AX1044" s="87"/>
      <c r="AY1044" s="87"/>
      <c r="AZ1044" s="87"/>
      <c r="BA1044" s="87"/>
      <c r="BB1044" s="87"/>
      <c r="BC1044" s="87"/>
      <c r="BD1044" s="87"/>
      <c r="BE1044" s="87"/>
      <c r="BF1044" s="87"/>
      <c r="BG1044" s="87"/>
      <c r="BH1044" s="87"/>
    </row>
    <row r="1045" spans="1:60" ht="16">
      <c r="A1045" s="82"/>
      <c r="B1045" s="82"/>
      <c r="C1045" s="82"/>
      <c r="D1045" s="83"/>
      <c r="E1045" s="84"/>
      <c r="F1045" s="84"/>
      <c r="G1045" s="84"/>
      <c r="H1045" s="82"/>
      <c r="I1045" s="84"/>
      <c r="J1045" s="84"/>
      <c r="K1045" s="84"/>
      <c r="L1045" s="84"/>
      <c r="M1045" s="84"/>
      <c r="N1045" s="84"/>
      <c r="O1045" s="84"/>
      <c r="P1045" s="84"/>
      <c r="Q1045" s="84"/>
      <c r="R1045" s="84"/>
      <c r="S1045" s="84"/>
      <c r="T1045" s="84"/>
      <c r="U1045" s="84"/>
      <c r="V1045" s="84"/>
      <c r="W1045" s="84"/>
      <c r="X1045" s="84"/>
      <c r="Y1045" s="84"/>
      <c r="Z1045" s="87"/>
      <c r="AA1045" s="87"/>
      <c r="AB1045" s="87"/>
      <c r="AC1045" s="87"/>
      <c r="AD1045" s="87"/>
      <c r="AE1045" s="87"/>
      <c r="AF1045" s="87"/>
      <c r="AG1045" s="87"/>
      <c r="AH1045" s="87"/>
      <c r="AI1045" s="87"/>
      <c r="AJ1045" s="87"/>
      <c r="AK1045" s="87"/>
      <c r="AL1045" s="87"/>
      <c r="AM1045" s="87"/>
      <c r="AN1045" s="87"/>
      <c r="AO1045" s="87"/>
      <c r="AP1045" s="87"/>
      <c r="AQ1045" s="87"/>
      <c r="AR1045" s="87"/>
      <c r="AS1045" s="87"/>
      <c r="AT1045" s="87"/>
      <c r="AU1045" s="87"/>
      <c r="AV1045" s="87"/>
      <c r="AW1045" s="87"/>
      <c r="AX1045" s="87"/>
      <c r="AY1045" s="87"/>
      <c r="AZ1045" s="87"/>
      <c r="BA1045" s="87"/>
      <c r="BB1045" s="87"/>
      <c r="BC1045" s="87"/>
      <c r="BD1045" s="87"/>
      <c r="BE1045" s="87"/>
      <c r="BF1045" s="87"/>
      <c r="BG1045" s="87"/>
      <c r="BH1045" s="87"/>
    </row>
    <row r="1046" spans="1:60" ht="16">
      <c r="A1046" s="82"/>
      <c r="B1046" s="82"/>
      <c r="C1046" s="82"/>
      <c r="D1046" s="83"/>
      <c r="E1046" s="84"/>
      <c r="F1046" s="84"/>
      <c r="G1046" s="84"/>
      <c r="H1046" s="82"/>
      <c r="I1046" s="84"/>
      <c r="J1046" s="84"/>
      <c r="K1046" s="84"/>
      <c r="L1046" s="84"/>
      <c r="M1046" s="84"/>
      <c r="N1046" s="84"/>
      <c r="O1046" s="84"/>
      <c r="P1046" s="84"/>
      <c r="Q1046" s="84"/>
      <c r="R1046" s="84"/>
      <c r="S1046" s="84"/>
      <c r="T1046" s="84"/>
      <c r="U1046" s="84"/>
      <c r="V1046" s="84"/>
      <c r="W1046" s="84"/>
      <c r="X1046" s="84"/>
      <c r="Y1046" s="84"/>
      <c r="Z1046" s="87"/>
      <c r="AA1046" s="87"/>
      <c r="AB1046" s="87"/>
      <c r="AC1046" s="87"/>
      <c r="AD1046" s="87"/>
      <c r="AE1046" s="87"/>
      <c r="AF1046" s="87"/>
      <c r="AG1046" s="87"/>
      <c r="AH1046" s="87"/>
      <c r="AI1046" s="87"/>
      <c r="AJ1046" s="87"/>
      <c r="AK1046" s="87"/>
      <c r="AL1046" s="87"/>
      <c r="AM1046" s="87"/>
      <c r="AN1046" s="87"/>
      <c r="AO1046" s="87"/>
      <c r="AP1046" s="87"/>
      <c r="AQ1046" s="87"/>
      <c r="AR1046" s="87"/>
      <c r="AS1046" s="87"/>
      <c r="AT1046" s="87"/>
      <c r="AU1046" s="87"/>
      <c r="AV1046" s="87"/>
      <c r="AW1046" s="87"/>
      <c r="AX1046" s="87"/>
      <c r="AY1046" s="87"/>
      <c r="AZ1046" s="87"/>
      <c r="BA1046" s="87"/>
      <c r="BB1046" s="87"/>
      <c r="BC1046" s="87"/>
      <c r="BD1046" s="87"/>
      <c r="BE1046" s="87"/>
      <c r="BF1046" s="87"/>
      <c r="BG1046" s="87"/>
      <c r="BH1046" s="87"/>
    </row>
    <row r="1047" spans="1:60" ht="16">
      <c r="A1047" s="82"/>
      <c r="B1047" s="82"/>
      <c r="C1047" s="82"/>
      <c r="D1047" s="83"/>
      <c r="E1047" s="84"/>
      <c r="F1047" s="84"/>
      <c r="G1047" s="84"/>
      <c r="H1047" s="82"/>
      <c r="I1047" s="84"/>
      <c r="J1047" s="84"/>
      <c r="K1047" s="84"/>
      <c r="L1047" s="84"/>
      <c r="M1047" s="84"/>
      <c r="N1047" s="84"/>
      <c r="O1047" s="84"/>
      <c r="P1047" s="84"/>
      <c r="Q1047" s="84"/>
      <c r="R1047" s="84"/>
      <c r="S1047" s="84"/>
      <c r="T1047" s="84"/>
      <c r="U1047" s="84"/>
      <c r="V1047" s="84"/>
      <c r="W1047" s="84"/>
      <c r="X1047" s="84"/>
      <c r="Y1047" s="84"/>
      <c r="Z1047" s="87"/>
      <c r="AA1047" s="87"/>
      <c r="AB1047" s="87"/>
      <c r="AC1047" s="87"/>
      <c r="AD1047" s="87"/>
      <c r="AE1047" s="87"/>
      <c r="AF1047" s="87"/>
      <c r="AG1047" s="87"/>
      <c r="AH1047" s="87"/>
      <c r="AI1047" s="87"/>
      <c r="AJ1047" s="87"/>
      <c r="AK1047" s="87"/>
      <c r="AL1047" s="87"/>
      <c r="AM1047" s="87"/>
      <c r="AN1047" s="87"/>
      <c r="AO1047" s="87"/>
      <c r="AP1047" s="87"/>
      <c r="AQ1047" s="87"/>
      <c r="AR1047" s="87"/>
      <c r="AS1047" s="87"/>
      <c r="AT1047" s="87"/>
      <c r="AU1047" s="87"/>
      <c r="AV1047" s="87"/>
      <c r="AW1047" s="87"/>
      <c r="AX1047" s="87"/>
      <c r="AY1047" s="87"/>
      <c r="AZ1047" s="87"/>
      <c r="BA1047" s="87"/>
      <c r="BB1047" s="87"/>
      <c r="BC1047" s="87"/>
      <c r="BD1047" s="87"/>
      <c r="BE1047" s="87"/>
      <c r="BF1047" s="87"/>
      <c r="BG1047" s="87"/>
      <c r="BH1047" s="87"/>
    </row>
    <row r="1048" spans="1:60" ht="16">
      <c r="A1048" s="82"/>
      <c r="B1048" s="82"/>
      <c r="C1048" s="82"/>
      <c r="D1048" s="83"/>
      <c r="E1048" s="84"/>
      <c r="F1048" s="84"/>
      <c r="G1048" s="84"/>
      <c r="H1048" s="82"/>
      <c r="I1048" s="84"/>
      <c r="J1048" s="84"/>
      <c r="K1048" s="84"/>
      <c r="L1048" s="84"/>
      <c r="M1048" s="84"/>
      <c r="N1048" s="84"/>
      <c r="O1048" s="84"/>
      <c r="P1048" s="84"/>
      <c r="Q1048" s="84"/>
      <c r="R1048" s="84"/>
      <c r="S1048" s="84"/>
      <c r="T1048" s="84"/>
      <c r="U1048" s="84"/>
      <c r="V1048" s="84"/>
      <c r="W1048" s="84"/>
      <c r="X1048" s="84"/>
      <c r="Y1048" s="84"/>
      <c r="Z1048" s="87"/>
      <c r="AA1048" s="87"/>
      <c r="AB1048" s="87"/>
      <c r="AC1048" s="87"/>
      <c r="AD1048" s="87"/>
      <c r="AE1048" s="87"/>
      <c r="AF1048" s="87"/>
      <c r="AG1048" s="87"/>
      <c r="AH1048" s="87"/>
      <c r="AI1048" s="87"/>
      <c r="AJ1048" s="87"/>
      <c r="AK1048" s="87"/>
      <c r="AL1048" s="87"/>
      <c r="AM1048" s="87"/>
      <c r="AN1048" s="87"/>
      <c r="AO1048" s="87"/>
      <c r="AP1048" s="87"/>
      <c r="AQ1048" s="87"/>
      <c r="AR1048" s="87"/>
      <c r="AS1048" s="87"/>
      <c r="AT1048" s="87"/>
      <c r="AU1048" s="87"/>
      <c r="AV1048" s="87"/>
      <c r="AW1048" s="87"/>
      <c r="AX1048" s="87"/>
      <c r="AY1048" s="87"/>
      <c r="AZ1048" s="87"/>
      <c r="BA1048" s="87"/>
      <c r="BB1048" s="87"/>
      <c r="BC1048" s="87"/>
      <c r="BD1048" s="87"/>
      <c r="BE1048" s="87"/>
      <c r="BF1048" s="87"/>
      <c r="BG1048" s="87"/>
      <c r="BH1048" s="87"/>
    </row>
    <row r="1049" spans="1:60" ht="16">
      <c r="A1049" s="82"/>
      <c r="B1049" s="82"/>
      <c r="C1049" s="82"/>
      <c r="D1049" s="83"/>
      <c r="E1049" s="84"/>
      <c r="F1049" s="84"/>
      <c r="G1049" s="84"/>
      <c r="H1049" s="82"/>
      <c r="I1049" s="84"/>
      <c r="J1049" s="84"/>
      <c r="K1049" s="84"/>
      <c r="L1049" s="84"/>
      <c r="M1049" s="84"/>
      <c r="N1049" s="84"/>
      <c r="O1049" s="84"/>
      <c r="P1049" s="84"/>
      <c r="Q1049" s="84"/>
      <c r="R1049" s="84"/>
      <c r="S1049" s="84"/>
      <c r="T1049" s="84"/>
      <c r="U1049" s="84"/>
      <c r="V1049" s="84"/>
      <c r="W1049" s="84"/>
      <c r="X1049" s="84"/>
      <c r="Y1049" s="84"/>
      <c r="Z1049" s="87"/>
      <c r="AA1049" s="87"/>
      <c r="AB1049" s="87"/>
      <c r="AC1049" s="87"/>
      <c r="AD1049" s="87"/>
      <c r="AE1049" s="87"/>
      <c r="AF1049" s="87"/>
      <c r="AG1049" s="87"/>
      <c r="AH1049" s="87"/>
      <c r="AI1049" s="87"/>
      <c r="AJ1049" s="87"/>
      <c r="AK1049" s="87"/>
      <c r="AL1049" s="87"/>
      <c r="AM1049" s="87"/>
      <c r="AN1049" s="87"/>
      <c r="AO1049" s="87"/>
      <c r="AP1049" s="87"/>
      <c r="AQ1049" s="87"/>
      <c r="AR1049" s="87"/>
      <c r="AS1049" s="87"/>
      <c r="AT1049" s="87"/>
      <c r="AU1049" s="87"/>
      <c r="AV1049" s="87"/>
      <c r="AW1049" s="87"/>
      <c r="AX1049" s="87"/>
      <c r="AY1049" s="87"/>
      <c r="AZ1049" s="87"/>
      <c r="BA1049" s="87"/>
      <c r="BB1049" s="87"/>
      <c r="BC1049" s="87"/>
      <c r="BD1049" s="87"/>
      <c r="BE1049" s="87"/>
      <c r="BF1049" s="87"/>
      <c r="BG1049" s="87"/>
      <c r="BH1049" s="87"/>
    </row>
    <row r="1050" spans="1:60" ht="16">
      <c r="A1050" s="82"/>
      <c r="B1050" s="82"/>
      <c r="C1050" s="82"/>
      <c r="D1050" s="83"/>
      <c r="E1050" s="84"/>
      <c r="F1050" s="84"/>
      <c r="G1050" s="84"/>
      <c r="H1050" s="82"/>
      <c r="I1050" s="84"/>
      <c r="J1050" s="84"/>
      <c r="K1050" s="84"/>
      <c r="L1050" s="84"/>
      <c r="M1050" s="84"/>
      <c r="N1050" s="84"/>
      <c r="O1050" s="84"/>
      <c r="P1050" s="84"/>
      <c r="Q1050" s="84"/>
      <c r="R1050" s="84"/>
      <c r="S1050" s="84"/>
      <c r="T1050" s="84"/>
      <c r="U1050" s="84"/>
      <c r="V1050" s="84"/>
      <c r="W1050" s="84"/>
      <c r="X1050" s="84"/>
      <c r="Y1050" s="84"/>
      <c r="Z1050" s="87"/>
      <c r="AA1050" s="87"/>
      <c r="AB1050" s="87"/>
      <c r="AC1050" s="87"/>
      <c r="AD1050" s="87"/>
      <c r="AE1050" s="87"/>
      <c r="AF1050" s="87"/>
      <c r="AG1050" s="87"/>
      <c r="AH1050" s="87"/>
      <c r="AI1050" s="87"/>
      <c r="AJ1050" s="87"/>
      <c r="AK1050" s="87"/>
      <c r="AL1050" s="87"/>
      <c r="AM1050" s="87"/>
      <c r="AN1050" s="87"/>
      <c r="AO1050" s="87"/>
      <c r="AP1050" s="87"/>
      <c r="AQ1050" s="87"/>
      <c r="AR1050" s="87"/>
      <c r="AS1050" s="87"/>
      <c r="AT1050" s="87"/>
      <c r="AU1050" s="87"/>
      <c r="AV1050" s="87"/>
      <c r="AW1050" s="87"/>
      <c r="AX1050" s="87"/>
      <c r="AY1050" s="87"/>
      <c r="AZ1050" s="87"/>
      <c r="BA1050" s="87"/>
      <c r="BB1050" s="87"/>
      <c r="BC1050" s="87"/>
      <c r="BD1050" s="87"/>
      <c r="BE1050" s="87"/>
      <c r="BF1050" s="87"/>
      <c r="BG1050" s="87"/>
      <c r="BH1050" s="87"/>
    </row>
    <row r="1051" spans="1:60" ht="16">
      <c r="A1051" s="82"/>
      <c r="B1051" s="82"/>
      <c r="C1051" s="82"/>
      <c r="D1051" s="83"/>
      <c r="E1051" s="84"/>
      <c r="F1051" s="84"/>
      <c r="G1051" s="84"/>
      <c r="H1051" s="82"/>
      <c r="I1051" s="84"/>
      <c r="J1051" s="84"/>
      <c r="K1051" s="84"/>
      <c r="L1051" s="84"/>
      <c r="M1051" s="84"/>
      <c r="N1051" s="84"/>
      <c r="O1051" s="84"/>
      <c r="P1051" s="84"/>
      <c r="Q1051" s="84"/>
      <c r="R1051" s="84"/>
      <c r="S1051" s="84"/>
      <c r="T1051" s="84"/>
      <c r="U1051" s="84"/>
      <c r="V1051" s="84"/>
      <c r="W1051" s="84"/>
      <c r="X1051" s="84"/>
      <c r="Y1051" s="84"/>
      <c r="Z1051" s="87"/>
      <c r="AA1051" s="87"/>
      <c r="AB1051" s="87"/>
      <c r="AC1051" s="87"/>
      <c r="AD1051" s="87"/>
      <c r="AE1051" s="87"/>
      <c r="AF1051" s="87"/>
      <c r="AG1051" s="87"/>
      <c r="AH1051" s="87"/>
      <c r="AI1051" s="87"/>
      <c r="AJ1051" s="87"/>
      <c r="AK1051" s="87"/>
      <c r="AL1051" s="87"/>
      <c r="AM1051" s="87"/>
      <c r="AN1051" s="87"/>
      <c r="AO1051" s="87"/>
      <c r="AP1051" s="87"/>
      <c r="AQ1051" s="87"/>
      <c r="AR1051" s="87"/>
      <c r="AS1051" s="87"/>
      <c r="AT1051" s="87"/>
      <c r="AU1051" s="87"/>
      <c r="AV1051" s="87"/>
      <c r="AW1051" s="87"/>
      <c r="AX1051" s="87"/>
      <c r="AY1051" s="87"/>
      <c r="AZ1051" s="87"/>
      <c r="BA1051" s="87"/>
      <c r="BB1051" s="87"/>
      <c r="BC1051" s="87"/>
      <c r="BD1051" s="87"/>
      <c r="BE1051" s="87"/>
      <c r="BF1051" s="87"/>
      <c r="BG1051" s="87"/>
      <c r="BH1051" s="87"/>
    </row>
    <row r="1052" spans="1:60" ht="16">
      <c r="A1052" s="82"/>
      <c r="B1052" s="82"/>
      <c r="C1052" s="82"/>
      <c r="D1052" s="83"/>
      <c r="E1052" s="84"/>
      <c r="F1052" s="84"/>
      <c r="G1052" s="84"/>
      <c r="H1052" s="82"/>
      <c r="I1052" s="84"/>
      <c r="J1052" s="84"/>
      <c r="K1052" s="84"/>
      <c r="L1052" s="84"/>
      <c r="M1052" s="84"/>
      <c r="N1052" s="84"/>
      <c r="O1052" s="84"/>
      <c r="P1052" s="84"/>
      <c r="Q1052" s="84"/>
      <c r="R1052" s="84"/>
      <c r="S1052" s="84"/>
      <c r="T1052" s="84"/>
      <c r="U1052" s="84"/>
      <c r="V1052" s="84"/>
      <c r="W1052" s="84"/>
      <c r="X1052" s="84"/>
      <c r="Y1052" s="84"/>
      <c r="Z1052" s="87"/>
      <c r="AA1052" s="87"/>
      <c r="AB1052" s="87"/>
      <c r="AC1052" s="87"/>
      <c r="AD1052" s="87"/>
      <c r="AE1052" s="87"/>
      <c r="AF1052" s="87"/>
      <c r="AG1052" s="87"/>
      <c r="AH1052" s="87"/>
      <c r="AI1052" s="87"/>
      <c r="AJ1052" s="87"/>
      <c r="AK1052" s="87"/>
      <c r="AL1052" s="87"/>
      <c r="AM1052" s="87"/>
      <c r="AN1052" s="87"/>
      <c r="AO1052" s="87"/>
      <c r="AP1052" s="87"/>
      <c r="AQ1052" s="87"/>
      <c r="AR1052" s="87"/>
      <c r="AS1052" s="87"/>
      <c r="AT1052" s="87"/>
      <c r="AU1052" s="87"/>
      <c r="AV1052" s="87"/>
      <c r="AW1052" s="87"/>
      <c r="AX1052" s="87"/>
      <c r="AY1052" s="87"/>
      <c r="AZ1052" s="87"/>
      <c r="BA1052" s="87"/>
      <c r="BB1052" s="87"/>
      <c r="BC1052" s="87"/>
      <c r="BD1052" s="87"/>
      <c r="BE1052" s="87"/>
      <c r="BF1052" s="87"/>
      <c r="BG1052" s="87"/>
      <c r="BH1052" s="87"/>
    </row>
    <row r="1053" spans="1:60" ht="16">
      <c r="A1053" s="82"/>
      <c r="B1053" s="82"/>
      <c r="C1053" s="82"/>
      <c r="D1053" s="83"/>
      <c r="E1053" s="84"/>
      <c r="F1053" s="84"/>
      <c r="G1053" s="84"/>
      <c r="H1053" s="82"/>
      <c r="I1053" s="84"/>
      <c r="J1053" s="84"/>
      <c r="K1053" s="84"/>
      <c r="L1053" s="84"/>
      <c r="M1053" s="84"/>
      <c r="N1053" s="84"/>
      <c r="O1053" s="84"/>
      <c r="P1053" s="84"/>
      <c r="Q1053" s="84"/>
      <c r="R1053" s="84"/>
      <c r="S1053" s="84"/>
      <c r="T1053" s="84"/>
      <c r="U1053" s="84"/>
      <c r="V1053" s="84"/>
      <c r="W1053" s="84"/>
      <c r="X1053" s="84"/>
      <c r="Y1053" s="84"/>
      <c r="Z1053" s="87"/>
      <c r="AA1053" s="87"/>
      <c r="AB1053" s="87"/>
      <c r="AC1053" s="87"/>
      <c r="AD1053" s="87"/>
      <c r="AE1053" s="87"/>
      <c r="AF1053" s="87"/>
      <c r="AG1053" s="87"/>
      <c r="AH1053" s="87"/>
      <c r="AI1053" s="87"/>
      <c r="AJ1053" s="87"/>
      <c r="AK1053" s="87"/>
      <c r="AL1053" s="87"/>
      <c r="AM1053" s="87"/>
      <c r="AN1053" s="87"/>
      <c r="AO1053" s="87"/>
      <c r="AP1053" s="87"/>
      <c r="AQ1053" s="87"/>
      <c r="AR1053" s="87"/>
      <c r="AS1053" s="87"/>
      <c r="AT1053" s="87"/>
      <c r="AU1053" s="87"/>
      <c r="AV1053" s="87"/>
      <c r="AW1053" s="87"/>
      <c r="AX1053" s="87"/>
      <c r="AY1053" s="87"/>
      <c r="AZ1053" s="87"/>
      <c r="BA1053" s="87"/>
      <c r="BB1053" s="87"/>
      <c r="BC1053" s="87"/>
      <c r="BD1053" s="87"/>
      <c r="BE1053" s="87"/>
      <c r="BF1053" s="87"/>
      <c r="BG1053" s="87"/>
      <c r="BH1053" s="87"/>
    </row>
    <row r="1054" spans="1:60" ht="16">
      <c r="A1054" s="82"/>
      <c r="B1054" s="82"/>
      <c r="C1054" s="82"/>
      <c r="D1054" s="83"/>
      <c r="E1054" s="84"/>
      <c r="F1054" s="84"/>
      <c r="G1054" s="84"/>
      <c r="H1054" s="82"/>
      <c r="I1054" s="84"/>
      <c r="J1054" s="84"/>
      <c r="K1054" s="84"/>
      <c r="L1054" s="84"/>
      <c r="M1054" s="84"/>
      <c r="N1054" s="84"/>
      <c r="O1054" s="84"/>
      <c r="P1054" s="84"/>
      <c r="Q1054" s="84"/>
      <c r="R1054" s="84"/>
      <c r="S1054" s="84"/>
      <c r="T1054" s="84"/>
      <c r="U1054" s="84"/>
      <c r="V1054" s="84"/>
      <c r="W1054" s="84"/>
      <c r="X1054" s="84"/>
      <c r="Y1054" s="84"/>
      <c r="Z1054" s="87"/>
      <c r="AA1054" s="87"/>
      <c r="AB1054" s="87"/>
      <c r="AC1054" s="87"/>
      <c r="AD1054" s="87"/>
      <c r="AE1054" s="87"/>
      <c r="AF1054" s="87"/>
      <c r="AG1054" s="87"/>
      <c r="AH1054" s="87"/>
      <c r="AI1054" s="87"/>
      <c r="AJ1054" s="87"/>
      <c r="AK1054" s="87"/>
      <c r="AL1054" s="87"/>
      <c r="AM1054" s="87"/>
      <c r="AN1054" s="87"/>
      <c r="AO1054" s="87"/>
      <c r="AP1054" s="87"/>
      <c r="AQ1054" s="87"/>
      <c r="AR1054" s="87"/>
      <c r="AS1054" s="87"/>
      <c r="AT1054" s="87"/>
      <c r="AU1054" s="87"/>
      <c r="AV1054" s="87"/>
      <c r="AW1054" s="87"/>
      <c r="AX1054" s="87"/>
      <c r="AY1054" s="87"/>
      <c r="AZ1054" s="87"/>
      <c r="BA1054" s="87"/>
      <c r="BB1054" s="87"/>
      <c r="BC1054" s="87"/>
      <c r="BD1054" s="87"/>
      <c r="BE1054" s="87"/>
      <c r="BF1054" s="87"/>
      <c r="BG1054" s="87"/>
      <c r="BH1054" s="87"/>
    </row>
    <row r="1055" spans="1:60" ht="16">
      <c r="A1055" s="82"/>
      <c r="B1055" s="82"/>
      <c r="C1055" s="82"/>
      <c r="D1055" s="83"/>
      <c r="E1055" s="84"/>
      <c r="F1055" s="84"/>
      <c r="G1055" s="84"/>
      <c r="H1055" s="82"/>
      <c r="I1055" s="84"/>
      <c r="J1055" s="84"/>
      <c r="K1055" s="84"/>
      <c r="L1055" s="84"/>
      <c r="M1055" s="84"/>
      <c r="N1055" s="84"/>
      <c r="O1055" s="84"/>
      <c r="P1055" s="84"/>
      <c r="Q1055" s="84"/>
      <c r="R1055" s="84"/>
      <c r="S1055" s="84"/>
      <c r="T1055" s="84"/>
      <c r="U1055" s="84"/>
      <c r="V1055" s="84"/>
      <c r="W1055" s="84"/>
      <c r="X1055" s="84"/>
      <c r="Y1055" s="84"/>
      <c r="Z1055" s="87"/>
      <c r="AA1055" s="87"/>
      <c r="AB1055" s="87"/>
      <c r="AC1055" s="87"/>
      <c r="AD1055" s="87"/>
      <c r="AE1055" s="87"/>
      <c r="AF1055" s="87"/>
      <c r="AG1055" s="87"/>
      <c r="AH1055" s="87"/>
      <c r="AI1055" s="87"/>
      <c r="AJ1055" s="87"/>
      <c r="AK1055" s="87"/>
      <c r="AL1055" s="87"/>
      <c r="AM1055" s="87"/>
      <c r="AN1055" s="87"/>
      <c r="AO1055" s="87"/>
      <c r="AP1055" s="87"/>
      <c r="AQ1055" s="87"/>
      <c r="AR1055" s="87"/>
      <c r="AS1055" s="87"/>
      <c r="AT1055" s="87"/>
      <c r="AU1055" s="87"/>
      <c r="AV1055" s="87"/>
      <c r="AW1055" s="87"/>
      <c r="AX1055" s="87"/>
      <c r="AY1055" s="87"/>
      <c r="AZ1055" s="87"/>
      <c r="BA1055" s="87"/>
      <c r="BB1055" s="87"/>
      <c r="BC1055" s="87"/>
      <c r="BD1055" s="87"/>
      <c r="BE1055" s="87"/>
      <c r="BF1055" s="87"/>
      <c r="BG1055" s="87"/>
      <c r="BH1055" s="87"/>
    </row>
    <row r="1056" spans="1:60" ht="16">
      <c r="A1056" s="82"/>
      <c r="B1056" s="82"/>
      <c r="C1056" s="82"/>
      <c r="D1056" s="83"/>
      <c r="E1056" s="84"/>
      <c r="F1056" s="84"/>
      <c r="G1056" s="84"/>
      <c r="H1056" s="82"/>
      <c r="I1056" s="84"/>
      <c r="J1056" s="84"/>
      <c r="K1056" s="84"/>
      <c r="L1056" s="84"/>
      <c r="M1056" s="84"/>
      <c r="N1056" s="84"/>
      <c r="O1056" s="84"/>
      <c r="P1056" s="84"/>
      <c r="Q1056" s="84"/>
      <c r="R1056" s="84"/>
      <c r="S1056" s="84"/>
      <c r="T1056" s="84"/>
      <c r="U1056" s="84"/>
      <c r="V1056" s="84"/>
      <c r="W1056" s="84"/>
      <c r="X1056" s="84"/>
      <c r="Y1056" s="84"/>
      <c r="Z1056" s="87"/>
      <c r="AA1056" s="87"/>
      <c r="AB1056" s="87"/>
      <c r="AC1056" s="87"/>
      <c r="AD1056" s="87"/>
      <c r="AE1056" s="87"/>
      <c r="AF1056" s="87"/>
      <c r="AG1056" s="87"/>
      <c r="AH1056" s="87"/>
      <c r="AI1056" s="87"/>
      <c r="AJ1056" s="87"/>
      <c r="AK1056" s="87"/>
      <c r="AL1056" s="87"/>
      <c r="AM1056" s="87"/>
      <c r="AN1056" s="87"/>
      <c r="AO1056" s="87"/>
      <c r="AP1056" s="87"/>
      <c r="AQ1056" s="87"/>
      <c r="AR1056" s="87"/>
      <c r="AS1056" s="87"/>
      <c r="AT1056" s="87"/>
      <c r="AU1056" s="87"/>
      <c r="AV1056" s="87"/>
      <c r="AW1056" s="87"/>
      <c r="AX1056" s="87"/>
      <c r="AY1056" s="87"/>
      <c r="AZ1056" s="87"/>
      <c r="BA1056" s="87"/>
      <c r="BB1056" s="87"/>
      <c r="BC1056" s="87"/>
      <c r="BD1056" s="87"/>
      <c r="BE1056" s="87"/>
      <c r="BF1056" s="87"/>
      <c r="BG1056" s="87"/>
      <c r="BH1056" s="87"/>
    </row>
    <row r="1057" spans="1:60" ht="16">
      <c r="A1057" s="82"/>
      <c r="B1057" s="82"/>
      <c r="C1057" s="82"/>
      <c r="D1057" s="83"/>
      <c r="E1057" s="84"/>
      <c r="F1057" s="84"/>
      <c r="G1057" s="84"/>
      <c r="H1057" s="82"/>
      <c r="I1057" s="84"/>
      <c r="J1057" s="84"/>
      <c r="K1057" s="84"/>
      <c r="L1057" s="84"/>
      <c r="M1057" s="84"/>
      <c r="N1057" s="84"/>
      <c r="O1057" s="84"/>
      <c r="P1057" s="84"/>
      <c r="Q1057" s="84"/>
      <c r="R1057" s="84"/>
      <c r="S1057" s="84"/>
      <c r="T1057" s="84"/>
      <c r="U1057" s="84"/>
      <c r="V1057" s="84"/>
      <c r="W1057" s="84"/>
      <c r="X1057" s="84"/>
      <c r="Y1057" s="84"/>
      <c r="Z1057" s="87"/>
      <c r="AA1057" s="87"/>
      <c r="AB1057" s="87"/>
      <c r="AC1057" s="87"/>
      <c r="AD1057" s="87"/>
      <c r="AE1057" s="87"/>
      <c r="AF1057" s="87"/>
      <c r="AG1057" s="87"/>
      <c r="AH1057" s="87"/>
      <c r="AI1057" s="87"/>
      <c r="AJ1057" s="87"/>
      <c r="AK1057" s="87"/>
      <c r="AL1057" s="87"/>
      <c r="AM1057" s="87"/>
      <c r="AN1057" s="87"/>
      <c r="AO1057" s="87"/>
      <c r="AP1057" s="87"/>
      <c r="AQ1057" s="87"/>
      <c r="AR1057" s="87"/>
      <c r="AS1057" s="87"/>
      <c r="AT1057" s="87"/>
      <c r="AU1057" s="87"/>
      <c r="AV1057" s="87"/>
      <c r="AW1057" s="87"/>
      <c r="AX1057" s="87"/>
      <c r="AY1057" s="87"/>
      <c r="AZ1057" s="87"/>
      <c r="BA1057" s="87"/>
      <c r="BB1057" s="87"/>
      <c r="BC1057" s="87"/>
      <c r="BD1057" s="87"/>
      <c r="BE1057" s="87"/>
      <c r="BF1057" s="87"/>
      <c r="BG1057" s="87"/>
      <c r="BH1057" s="87"/>
    </row>
    <row r="1058" spans="1:60" ht="16">
      <c r="A1058" s="82"/>
      <c r="B1058" s="82"/>
      <c r="C1058" s="82"/>
      <c r="D1058" s="83"/>
      <c r="E1058" s="84"/>
      <c r="F1058" s="84"/>
      <c r="G1058" s="84"/>
      <c r="H1058" s="82"/>
      <c r="I1058" s="84"/>
      <c r="J1058" s="84"/>
      <c r="K1058" s="84"/>
      <c r="L1058" s="84"/>
      <c r="M1058" s="84"/>
      <c r="N1058" s="84"/>
      <c r="O1058" s="84"/>
      <c r="P1058" s="84"/>
      <c r="Q1058" s="84"/>
      <c r="R1058" s="84"/>
      <c r="S1058" s="84"/>
      <c r="T1058" s="84"/>
      <c r="U1058" s="84"/>
      <c r="V1058" s="84"/>
      <c r="W1058" s="84"/>
      <c r="X1058" s="84"/>
      <c r="Y1058" s="84"/>
      <c r="Z1058" s="87"/>
      <c r="AA1058" s="87"/>
      <c r="AB1058" s="87"/>
      <c r="AC1058" s="87"/>
      <c r="AD1058" s="87"/>
      <c r="AE1058" s="87"/>
      <c r="AF1058" s="87"/>
      <c r="AG1058" s="87"/>
      <c r="AH1058" s="87"/>
      <c r="AI1058" s="87"/>
      <c r="AJ1058" s="87"/>
      <c r="AK1058" s="87"/>
      <c r="AL1058" s="87"/>
      <c r="AM1058" s="87"/>
      <c r="AN1058" s="87"/>
      <c r="AO1058" s="87"/>
      <c r="AP1058" s="87"/>
      <c r="AQ1058" s="87"/>
      <c r="AR1058" s="87"/>
      <c r="AS1058" s="87"/>
      <c r="AT1058" s="87"/>
      <c r="AU1058" s="87"/>
      <c r="AV1058" s="87"/>
      <c r="AW1058" s="87"/>
      <c r="AX1058" s="87"/>
      <c r="AY1058" s="87"/>
      <c r="AZ1058" s="87"/>
      <c r="BA1058" s="87"/>
      <c r="BB1058" s="87"/>
      <c r="BC1058" s="87"/>
      <c r="BD1058" s="87"/>
      <c r="BE1058" s="87"/>
      <c r="BF1058" s="87"/>
      <c r="BG1058" s="87"/>
      <c r="BH1058" s="87"/>
    </row>
    <row r="1059" spans="1:60" ht="16">
      <c r="A1059" s="82"/>
      <c r="B1059" s="82"/>
      <c r="C1059" s="82"/>
      <c r="D1059" s="83"/>
      <c r="E1059" s="84"/>
      <c r="F1059" s="84"/>
      <c r="G1059" s="84"/>
      <c r="H1059" s="82"/>
      <c r="I1059" s="84"/>
      <c r="J1059" s="84"/>
      <c r="K1059" s="84"/>
      <c r="L1059" s="84"/>
      <c r="M1059" s="84"/>
      <c r="N1059" s="84"/>
      <c r="O1059" s="84"/>
      <c r="P1059" s="84"/>
      <c r="Q1059" s="84"/>
      <c r="R1059" s="84"/>
      <c r="S1059" s="84"/>
      <c r="T1059" s="84"/>
      <c r="U1059" s="84"/>
      <c r="V1059" s="84"/>
      <c r="W1059" s="84"/>
      <c r="X1059" s="84"/>
      <c r="Y1059" s="84"/>
      <c r="Z1059" s="87"/>
      <c r="AA1059" s="87"/>
      <c r="AB1059" s="87"/>
      <c r="AC1059" s="87"/>
      <c r="AD1059" s="87"/>
      <c r="AE1059" s="87"/>
      <c r="AF1059" s="87"/>
      <c r="AG1059" s="87"/>
      <c r="AH1059" s="87"/>
      <c r="AI1059" s="87"/>
      <c r="AJ1059" s="87"/>
      <c r="AK1059" s="87"/>
      <c r="AL1059" s="87"/>
      <c r="AM1059" s="87"/>
      <c r="AN1059" s="87"/>
      <c r="AO1059" s="87"/>
      <c r="AP1059" s="87"/>
      <c r="AQ1059" s="87"/>
      <c r="AR1059" s="87"/>
      <c r="AS1059" s="87"/>
      <c r="AT1059" s="87"/>
      <c r="AU1059" s="87"/>
      <c r="AV1059" s="87"/>
      <c r="AW1059" s="87"/>
      <c r="AX1059" s="87"/>
      <c r="AY1059" s="87"/>
      <c r="AZ1059" s="87"/>
      <c r="BA1059" s="87"/>
      <c r="BB1059" s="87"/>
      <c r="BC1059" s="87"/>
      <c r="BD1059" s="87"/>
      <c r="BE1059" s="87"/>
      <c r="BF1059" s="87"/>
      <c r="BG1059" s="87"/>
      <c r="BH1059" s="87"/>
    </row>
    <row r="1060" spans="1:60" ht="16">
      <c r="A1060" s="82"/>
      <c r="B1060" s="82"/>
      <c r="C1060" s="82"/>
      <c r="D1060" s="83"/>
      <c r="E1060" s="84"/>
      <c r="F1060" s="84"/>
      <c r="G1060" s="84"/>
      <c r="H1060" s="82"/>
      <c r="I1060" s="84"/>
      <c r="J1060" s="84"/>
      <c r="K1060" s="84"/>
      <c r="L1060" s="84"/>
      <c r="M1060" s="84"/>
      <c r="N1060" s="84"/>
      <c r="O1060" s="84"/>
      <c r="P1060" s="84"/>
      <c r="Q1060" s="84"/>
      <c r="R1060" s="84"/>
      <c r="S1060" s="84"/>
      <c r="T1060" s="84"/>
      <c r="U1060" s="84"/>
      <c r="V1060" s="84"/>
      <c r="W1060" s="84"/>
      <c r="X1060" s="84"/>
      <c r="Y1060" s="84"/>
      <c r="Z1060" s="87"/>
      <c r="AA1060" s="87"/>
      <c r="AB1060" s="87"/>
      <c r="AC1060" s="87"/>
      <c r="AD1060" s="87"/>
      <c r="AE1060" s="87"/>
      <c r="AF1060" s="87"/>
      <c r="AG1060" s="87"/>
      <c r="AH1060" s="87"/>
      <c r="AI1060" s="87"/>
      <c r="AJ1060" s="87"/>
      <c r="AK1060" s="87"/>
      <c r="AL1060" s="87"/>
      <c r="AM1060" s="87"/>
      <c r="AN1060" s="87"/>
      <c r="AO1060" s="87"/>
      <c r="AP1060" s="87"/>
      <c r="AQ1060" s="87"/>
      <c r="AR1060" s="87"/>
      <c r="AS1060" s="87"/>
      <c r="AT1060" s="87"/>
      <c r="AU1060" s="87"/>
      <c r="AV1060" s="87"/>
      <c r="AW1060" s="87"/>
      <c r="AX1060" s="87"/>
      <c r="AY1060" s="87"/>
      <c r="AZ1060" s="87"/>
      <c r="BA1060" s="87"/>
      <c r="BB1060" s="87"/>
      <c r="BC1060" s="87"/>
      <c r="BD1060" s="87"/>
      <c r="BE1060" s="87"/>
      <c r="BF1060" s="87"/>
      <c r="BG1060" s="87"/>
      <c r="BH1060" s="87"/>
    </row>
    <row r="1061" spans="1:60" ht="16">
      <c r="A1061" s="82"/>
      <c r="B1061" s="82"/>
      <c r="C1061" s="82"/>
      <c r="D1061" s="83"/>
      <c r="E1061" s="84"/>
      <c r="F1061" s="84"/>
      <c r="G1061" s="84"/>
      <c r="H1061" s="82"/>
      <c r="I1061" s="84"/>
      <c r="J1061" s="84"/>
      <c r="K1061" s="84"/>
      <c r="L1061" s="84"/>
      <c r="M1061" s="84"/>
      <c r="N1061" s="84"/>
      <c r="O1061" s="84"/>
      <c r="P1061" s="84"/>
      <c r="Q1061" s="84"/>
      <c r="R1061" s="84"/>
      <c r="S1061" s="84"/>
      <c r="T1061" s="84"/>
      <c r="U1061" s="84"/>
      <c r="V1061" s="84"/>
      <c r="W1061" s="84"/>
      <c r="X1061" s="84"/>
      <c r="Y1061" s="84"/>
      <c r="Z1061" s="87"/>
      <c r="AA1061" s="87"/>
      <c r="AB1061" s="87"/>
      <c r="AC1061" s="87"/>
      <c r="AD1061" s="87"/>
      <c r="AE1061" s="87"/>
      <c r="AF1061" s="87"/>
      <c r="AG1061" s="87"/>
      <c r="AH1061" s="87"/>
      <c r="AI1061" s="87"/>
      <c r="AJ1061" s="87"/>
      <c r="AK1061" s="87"/>
      <c r="AL1061" s="87"/>
      <c r="AM1061" s="87"/>
      <c r="AN1061" s="87"/>
      <c r="AO1061" s="87"/>
      <c r="AP1061" s="87"/>
      <c r="AQ1061" s="87"/>
      <c r="AR1061" s="87"/>
      <c r="AS1061" s="87"/>
      <c r="AT1061" s="87"/>
      <c r="AU1061" s="87"/>
      <c r="AV1061" s="87"/>
      <c r="AW1061" s="87"/>
      <c r="AX1061" s="87"/>
      <c r="AY1061" s="87"/>
      <c r="AZ1061" s="87"/>
      <c r="BA1061" s="87"/>
      <c r="BB1061" s="87"/>
      <c r="BC1061" s="87"/>
      <c r="BD1061" s="87"/>
      <c r="BE1061" s="87"/>
      <c r="BF1061" s="87"/>
      <c r="BG1061" s="87"/>
      <c r="BH1061" s="87"/>
    </row>
    <row r="1062" spans="1:60" ht="16">
      <c r="A1062" s="82"/>
      <c r="B1062" s="82"/>
      <c r="C1062" s="82"/>
      <c r="D1062" s="83"/>
      <c r="E1062" s="84"/>
      <c r="F1062" s="84"/>
      <c r="G1062" s="84"/>
      <c r="H1062" s="82"/>
      <c r="I1062" s="84"/>
      <c r="J1062" s="84"/>
      <c r="K1062" s="84"/>
      <c r="L1062" s="84"/>
      <c r="M1062" s="84"/>
      <c r="N1062" s="84"/>
      <c r="O1062" s="84"/>
      <c r="P1062" s="84"/>
      <c r="Q1062" s="84"/>
      <c r="R1062" s="84"/>
      <c r="S1062" s="84"/>
      <c r="T1062" s="84"/>
      <c r="U1062" s="84"/>
      <c r="V1062" s="84"/>
      <c r="W1062" s="84"/>
      <c r="X1062" s="84"/>
      <c r="Y1062" s="84"/>
      <c r="Z1062" s="87"/>
      <c r="AA1062" s="87"/>
      <c r="AB1062" s="87"/>
      <c r="AC1062" s="87"/>
      <c r="AD1062" s="87"/>
      <c r="AE1062" s="87"/>
      <c r="AF1062" s="87"/>
      <c r="AG1062" s="87"/>
      <c r="AH1062" s="87"/>
      <c r="AI1062" s="87"/>
      <c r="AJ1062" s="87"/>
      <c r="AK1062" s="87"/>
      <c r="AL1062" s="87"/>
      <c r="AM1062" s="87"/>
      <c r="AN1062" s="87"/>
      <c r="AO1062" s="87"/>
      <c r="AP1062" s="87"/>
      <c r="AQ1062" s="87"/>
      <c r="AR1062" s="87"/>
      <c r="AS1062" s="87"/>
      <c r="AT1062" s="87"/>
      <c r="AU1062" s="87"/>
      <c r="AV1062" s="87"/>
      <c r="AW1062" s="87"/>
      <c r="AX1062" s="87"/>
      <c r="AY1062" s="87"/>
      <c r="AZ1062" s="87"/>
      <c r="BA1062" s="87"/>
      <c r="BB1062" s="87"/>
      <c r="BC1062" s="87"/>
      <c r="BD1062" s="87"/>
      <c r="BE1062" s="87"/>
      <c r="BF1062" s="87"/>
      <c r="BG1062" s="87"/>
      <c r="BH1062" s="87"/>
    </row>
    <row r="1063" spans="1:60" ht="16">
      <c r="A1063" s="82"/>
      <c r="B1063" s="82"/>
      <c r="C1063" s="82"/>
      <c r="D1063" s="83"/>
      <c r="E1063" s="84"/>
      <c r="F1063" s="84"/>
      <c r="G1063" s="84"/>
      <c r="H1063" s="82"/>
      <c r="I1063" s="84"/>
      <c r="J1063" s="84"/>
      <c r="K1063" s="84"/>
      <c r="L1063" s="84"/>
      <c r="M1063" s="84"/>
      <c r="N1063" s="84"/>
      <c r="O1063" s="84"/>
      <c r="P1063" s="84"/>
      <c r="Q1063" s="84"/>
      <c r="R1063" s="84"/>
      <c r="S1063" s="84"/>
      <c r="T1063" s="84"/>
      <c r="U1063" s="84"/>
      <c r="V1063" s="84"/>
      <c r="W1063" s="84"/>
      <c r="X1063" s="84"/>
      <c r="Y1063" s="84"/>
      <c r="Z1063" s="87"/>
      <c r="AA1063" s="87"/>
      <c r="AB1063" s="87"/>
      <c r="AC1063" s="87"/>
      <c r="AD1063" s="87"/>
      <c r="AE1063" s="87"/>
      <c r="AF1063" s="87"/>
      <c r="AG1063" s="87"/>
      <c r="AH1063" s="87"/>
      <c r="AI1063" s="87"/>
      <c r="AJ1063" s="87"/>
      <c r="AK1063" s="87"/>
      <c r="AL1063" s="87"/>
      <c r="AM1063" s="87"/>
      <c r="AN1063" s="87"/>
      <c r="AO1063" s="87"/>
      <c r="AP1063" s="87"/>
      <c r="AQ1063" s="87"/>
      <c r="AR1063" s="87"/>
      <c r="AS1063" s="87"/>
      <c r="AT1063" s="87"/>
      <c r="AU1063" s="87"/>
      <c r="AV1063" s="87"/>
      <c r="AW1063" s="87"/>
      <c r="AX1063" s="87"/>
      <c r="AY1063" s="87"/>
      <c r="AZ1063" s="87"/>
      <c r="BA1063" s="87"/>
      <c r="BB1063" s="87"/>
      <c r="BC1063" s="87"/>
      <c r="BD1063" s="87"/>
      <c r="BE1063" s="87"/>
      <c r="BF1063" s="87"/>
      <c r="BG1063" s="87"/>
      <c r="BH1063" s="87"/>
    </row>
    <row r="1064" spans="1:60" ht="16">
      <c r="A1064" s="82"/>
      <c r="B1064" s="82"/>
      <c r="C1064" s="82"/>
      <c r="D1064" s="83"/>
      <c r="E1064" s="84"/>
      <c r="F1064" s="84"/>
      <c r="G1064" s="84"/>
      <c r="H1064" s="82"/>
      <c r="I1064" s="84"/>
      <c r="J1064" s="84"/>
      <c r="K1064" s="84"/>
      <c r="L1064" s="84"/>
      <c r="M1064" s="84"/>
      <c r="N1064" s="84"/>
      <c r="O1064" s="84"/>
      <c r="P1064" s="84"/>
      <c r="Q1064" s="84"/>
      <c r="R1064" s="84"/>
      <c r="S1064" s="84"/>
      <c r="T1064" s="84"/>
      <c r="U1064" s="84"/>
      <c r="V1064" s="84"/>
      <c r="W1064" s="84"/>
      <c r="X1064" s="84"/>
      <c r="Y1064" s="84"/>
      <c r="Z1064" s="87"/>
      <c r="AA1064" s="87"/>
      <c r="AB1064" s="87"/>
      <c r="AC1064" s="87"/>
      <c r="AD1064" s="87"/>
      <c r="AE1064" s="87"/>
      <c r="AF1064" s="87"/>
      <c r="AG1064" s="87"/>
      <c r="AH1064" s="87"/>
      <c r="AI1064" s="87"/>
      <c r="AJ1064" s="87"/>
      <c r="AK1064" s="87"/>
      <c r="AL1064" s="87"/>
      <c r="AM1064" s="87"/>
      <c r="AN1064" s="87"/>
      <c r="AO1064" s="87"/>
      <c r="AP1064" s="87"/>
      <c r="AQ1064" s="87"/>
      <c r="AR1064" s="87"/>
      <c r="AS1064" s="87"/>
      <c r="AT1064" s="87"/>
      <c r="AU1064" s="87"/>
      <c r="AV1064" s="87"/>
      <c r="AW1064" s="87"/>
      <c r="AX1064" s="87"/>
      <c r="AY1064" s="87"/>
      <c r="AZ1064" s="87"/>
      <c r="BA1064" s="87"/>
      <c r="BB1064" s="87"/>
      <c r="BC1064" s="87"/>
      <c r="BD1064" s="87"/>
      <c r="BE1064" s="87"/>
      <c r="BF1064" s="87"/>
      <c r="BG1064" s="87"/>
      <c r="BH1064" s="87"/>
    </row>
    <row r="1065" spans="1:60" ht="16">
      <c r="A1065" s="82"/>
      <c r="B1065" s="82"/>
      <c r="C1065" s="82"/>
      <c r="D1065" s="83"/>
      <c r="E1065" s="84"/>
      <c r="F1065" s="84"/>
      <c r="G1065" s="84"/>
      <c r="H1065" s="82"/>
      <c r="I1065" s="84"/>
      <c r="J1065" s="84"/>
      <c r="K1065" s="84"/>
      <c r="L1065" s="84"/>
      <c r="M1065" s="84"/>
      <c r="N1065" s="84"/>
      <c r="O1065" s="84"/>
      <c r="P1065" s="84"/>
      <c r="Q1065" s="84"/>
      <c r="R1065" s="84"/>
      <c r="S1065" s="84"/>
      <c r="T1065" s="84"/>
      <c r="U1065" s="84"/>
      <c r="V1065" s="84"/>
      <c r="W1065" s="84"/>
      <c r="X1065" s="84"/>
      <c r="Y1065" s="84"/>
      <c r="Z1065" s="87"/>
      <c r="AA1065" s="87"/>
      <c r="AB1065" s="87"/>
      <c r="AC1065" s="87"/>
      <c r="AD1065" s="87"/>
      <c r="AE1065" s="87"/>
      <c r="AF1065" s="87"/>
      <c r="AG1065" s="87"/>
      <c r="AH1065" s="87"/>
      <c r="AI1065" s="87"/>
      <c r="AJ1065" s="87"/>
      <c r="AK1065" s="87"/>
      <c r="AL1065" s="87"/>
      <c r="AM1065" s="87"/>
      <c r="AN1065" s="87"/>
      <c r="AO1065" s="87"/>
      <c r="AP1065" s="87"/>
      <c r="AQ1065" s="87"/>
      <c r="AR1065" s="87"/>
      <c r="AS1065" s="87"/>
      <c r="AT1065" s="87"/>
      <c r="AU1065" s="87"/>
      <c r="AV1065" s="87"/>
      <c r="AW1065" s="87"/>
      <c r="AX1065" s="87"/>
      <c r="AY1065" s="87"/>
      <c r="AZ1065" s="87"/>
      <c r="BA1065" s="87"/>
      <c r="BB1065" s="87"/>
      <c r="BC1065" s="87"/>
      <c r="BD1065" s="87"/>
      <c r="BE1065" s="87"/>
      <c r="BF1065" s="87"/>
      <c r="BG1065" s="87"/>
      <c r="BH1065" s="87"/>
    </row>
    <row r="1066" spans="1:60" ht="16">
      <c r="A1066" s="82"/>
      <c r="B1066" s="82"/>
      <c r="C1066" s="82"/>
      <c r="D1066" s="83"/>
      <c r="E1066" s="84"/>
      <c r="F1066" s="84"/>
      <c r="G1066" s="84"/>
      <c r="H1066" s="82"/>
      <c r="I1066" s="84"/>
      <c r="J1066" s="84"/>
      <c r="K1066" s="84"/>
      <c r="L1066" s="84"/>
      <c r="M1066" s="84"/>
      <c r="N1066" s="84"/>
      <c r="O1066" s="84"/>
      <c r="P1066" s="84"/>
      <c r="Q1066" s="84"/>
      <c r="R1066" s="84"/>
      <c r="S1066" s="84"/>
      <c r="T1066" s="84"/>
      <c r="U1066" s="84"/>
      <c r="V1066" s="84"/>
      <c r="W1066" s="84"/>
      <c r="X1066" s="84"/>
      <c r="Y1066" s="84"/>
      <c r="Z1066" s="87"/>
      <c r="AA1066" s="87"/>
      <c r="AB1066" s="87"/>
      <c r="AC1066" s="87"/>
      <c r="AD1066" s="87"/>
      <c r="AE1066" s="87"/>
      <c r="AF1066" s="87"/>
      <c r="AG1066" s="87"/>
      <c r="AH1066" s="87"/>
      <c r="AI1066" s="87"/>
      <c r="AJ1066" s="87"/>
      <c r="AK1066" s="87"/>
      <c r="AL1066" s="87"/>
      <c r="AM1066" s="87"/>
      <c r="AN1066" s="87"/>
      <c r="AO1066" s="87"/>
      <c r="AP1066" s="87"/>
      <c r="AQ1066" s="87"/>
      <c r="AR1066" s="87"/>
      <c r="AS1066" s="87"/>
      <c r="AT1066" s="87"/>
      <c r="AU1066" s="87"/>
      <c r="AV1066" s="87"/>
      <c r="AW1066" s="87"/>
      <c r="AX1066" s="87"/>
      <c r="AY1066" s="87"/>
      <c r="AZ1066" s="87"/>
      <c r="BA1066" s="87"/>
      <c r="BB1066" s="87"/>
      <c r="BC1066" s="87"/>
      <c r="BD1066" s="87"/>
      <c r="BE1066" s="87"/>
      <c r="BF1066" s="87"/>
      <c r="BG1066" s="87"/>
      <c r="BH1066" s="87"/>
    </row>
    <row r="1067" spans="1:60" ht="16">
      <c r="A1067" s="82"/>
      <c r="B1067" s="82"/>
      <c r="C1067" s="82"/>
      <c r="D1067" s="83"/>
      <c r="E1067" s="84"/>
      <c r="F1067" s="84"/>
      <c r="G1067" s="84"/>
      <c r="H1067" s="82"/>
      <c r="I1067" s="84"/>
      <c r="J1067" s="84"/>
      <c r="K1067" s="84"/>
      <c r="L1067" s="84"/>
      <c r="M1067" s="84"/>
      <c r="N1067" s="84"/>
      <c r="O1067" s="84"/>
      <c r="P1067" s="84"/>
      <c r="Q1067" s="84"/>
      <c r="R1067" s="84"/>
      <c r="S1067" s="84"/>
      <c r="T1067" s="84"/>
      <c r="U1067" s="84"/>
      <c r="V1067" s="84"/>
      <c r="W1067" s="84"/>
      <c r="X1067" s="84"/>
      <c r="Y1067" s="84"/>
      <c r="Z1067" s="87"/>
      <c r="AA1067" s="87"/>
      <c r="AB1067" s="87"/>
      <c r="AC1067" s="87"/>
      <c r="AD1067" s="87"/>
      <c r="AE1067" s="87"/>
      <c r="AF1067" s="87"/>
      <c r="AG1067" s="87"/>
      <c r="AH1067" s="87"/>
      <c r="AI1067" s="87"/>
      <c r="AJ1067" s="87"/>
      <c r="AK1067" s="87"/>
      <c r="AL1067" s="87"/>
      <c r="AM1067" s="87"/>
      <c r="AN1067" s="87"/>
      <c r="AO1067" s="87"/>
      <c r="AP1067" s="87"/>
      <c r="AQ1067" s="87"/>
      <c r="AR1067" s="87"/>
      <c r="AS1067" s="87"/>
      <c r="AT1067" s="87"/>
      <c r="AU1067" s="87"/>
      <c r="AV1067" s="87"/>
      <c r="AW1067" s="87"/>
      <c r="AX1067" s="87"/>
      <c r="AY1067" s="87"/>
      <c r="AZ1067" s="87"/>
      <c r="BA1067" s="87"/>
      <c r="BB1067" s="87"/>
      <c r="BC1067" s="87"/>
      <c r="BD1067" s="87"/>
      <c r="BE1067" s="87"/>
      <c r="BF1067" s="87"/>
      <c r="BG1067" s="87"/>
      <c r="BH1067" s="87"/>
    </row>
    <row r="1068" spans="1:60" ht="16">
      <c r="A1068" s="82"/>
      <c r="B1068" s="82"/>
      <c r="C1068" s="82"/>
      <c r="D1068" s="83"/>
      <c r="E1068" s="84"/>
      <c r="F1068" s="84"/>
      <c r="G1068" s="84"/>
      <c r="H1068" s="82"/>
      <c r="I1068" s="84"/>
      <c r="J1068" s="84"/>
      <c r="K1068" s="84"/>
      <c r="L1068" s="84"/>
      <c r="M1068" s="84"/>
      <c r="N1068" s="84"/>
      <c r="O1068" s="84"/>
      <c r="P1068" s="84"/>
      <c r="Q1068" s="84"/>
      <c r="R1068" s="84"/>
      <c r="S1068" s="84"/>
      <c r="T1068" s="84"/>
      <c r="U1068" s="84"/>
      <c r="V1068" s="84"/>
      <c r="W1068" s="84"/>
      <c r="X1068" s="84"/>
      <c r="Y1068" s="84"/>
      <c r="Z1068" s="87"/>
      <c r="AA1068" s="87"/>
      <c r="AB1068" s="87"/>
      <c r="AC1068" s="87"/>
      <c r="AD1068" s="87"/>
      <c r="AE1068" s="87"/>
      <c r="AF1068" s="87"/>
      <c r="AG1068" s="87"/>
      <c r="AH1068" s="87"/>
      <c r="AI1068" s="87"/>
      <c r="AJ1068" s="87"/>
      <c r="AK1068" s="87"/>
      <c r="AL1068" s="87"/>
      <c r="AM1068" s="87"/>
      <c r="AN1068" s="87"/>
      <c r="AO1068" s="87"/>
      <c r="AP1068" s="87"/>
      <c r="AQ1068" s="87"/>
      <c r="AR1068" s="87"/>
      <c r="AS1068" s="87"/>
      <c r="AT1068" s="87"/>
      <c r="AU1068" s="87"/>
      <c r="AV1068" s="87"/>
      <c r="AW1068" s="87"/>
      <c r="AX1068" s="87"/>
      <c r="AY1068" s="87"/>
      <c r="AZ1068" s="87"/>
      <c r="BA1068" s="87"/>
      <c r="BB1068" s="87"/>
      <c r="BC1068" s="87"/>
      <c r="BD1068" s="87"/>
      <c r="BE1068" s="87"/>
      <c r="BF1068" s="87"/>
      <c r="BG1068" s="87"/>
      <c r="BH1068" s="87"/>
    </row>
    <row r="1069" spans="1:60" ht="16">
      <c r="A1069" s="82"/>
      <c r="B1069" s="82"/>
      <c r="C1069" s="82"/>
      <c r="D1069" s="83"/>
      <c r="E1069" s="84"/>
      <c r="F1069" s="84"/>
      <c r="G1069" s="84"/>
      <c r="H1069" s="82"/>
      <c r="I1069" s="84"/>
      <c r="J1069" s="84"/>
      <c r="K1069" s="84"/>
      <c r="L1069" s="84"/>
      <c r="M1069" s="84"/>
      <c r="N1069" s="84"/>
      <c r="O1069" s="84"/>
      <c r="P1069" s="84"/>
      <c r="Q1069" s="84"/>
      <c r="R1069" s="84"/>
      <c r="S1069" s="84"/>
      <c r="T1069" s="84"/>
      <c r="U1069" s="84"/>
      <c r="V1069" s="84"/>
      <c r="W1069" s="84"/>
      <c r="X1069" s="84"/>
      <c r="Y1069" s="84"/>
      <c r="Z1069" s="87"/>
      <c r="AA1069" s="87"/>
      <c r="AB1069" s="87"/>
      <c r="AC1069" s="87"/>
      <c r="AD1069" s="87"/>
      <c r="AE1069" s="87"/>
      <c r="AF1069" s="87"/>
      <c r="AG1069" s="87"/>
      <c r="AH1069" s="87"/>
      <c r="AI1069" s="87"/>
      <c r="AJ1069" s="87"/>
      <c r="AK1069" s="87"/>
      <c r="AL1069" s="87"/>
      <c r="AM1069" s="87"/>
      <c r="AN1069" s="87"/>
      <c r="AO1069" s="87"/>
      <c r="AP1069" s="87"/>
      <c r="AQ1069" s="87"/>
      <c r="AR1069" s="87"/>
      <c r="AS1069" s="87"/>
      <c r="AT1069" s="87"/>
      <c r="AU1069" s="87"/>
      <c r="AV1069" s="87"/>
      <c r="AW1069" s="87"/>
      <c r="AX1069" s="87"/>
      <c r="AY1069" s="87"/>
      <c r="AZ1069" s="87"/>
      <c r="BA1069" s="87"/>
      <c r="BB1069" s="87"/>
      <c r="BC1069" s="87"/>
      <c r="BD1069" s="87"/>
      <c r="BE1069" s="87"/>
      <c r="BF1069" s="87"/>
      <c r="BG1069" s="87"/>
      <c r="BH1069" s="87"/>
    </row>
    <row r="1070" spans="1:60" ht="16">
      <c r="A1070" s="82"/>
      <c r="B1070" s="82"/>
      <c r="C1070" s="82"/>
      <c r="D1070" s="83"/>
      <c r="E1070" s="84"/>
      <c r="F1070" s="84"/>
      <c r="G1070" s="84"/>
      <c r="H1070" s="82"/>
      <c r="I1070" s="84"/>
      <c r="J1070" s="84"/>
      <c r="K1070" s="84"/>
      <c r="L1070" s="84"/>
      <c r="M1070" s="84"/>
      <c r="N1070" s="84"/>
      <c r="O1070" s="84"/>
      <c r="P1070" s="84"/>
      <c r="Q1070" s="84"/>
      <c r="R1070" s="84"/>
      <c r="S1070" s="84"/>
      <c r="T1070" s="84"/>
      <c r="U1070" s="84"/>
      <c r="V1070" s="84"/>
      <c r="W1070" s="84"/>
      <c r="X1070" s="84"/>
      <c r="Y1070" s="84"/>
      <c r="Z1070" s="87"/>
      <c r="AA1070" s="87"/>
      <c r="AB1070" s="87"/>
      <c r="AC1070" s="87"/>
      <c r="AD1070" s="87"/>
      <c r="AE1070" s="87"/>
      <c r="AF1070" s="87"/>
      <c r="AG1070" s="87"/>
      <c r="AH1070" s="87"/>
      <c r="AI1070" s="87"/>
      <c r="AJ1070" s="87"/>
      <c r="AK1070" s="87"/>
      <c r="AL1070" s="87"/>
      <c r="AM1070" s="87"/>
      <c r="AN1070" s="87"/>
      <c r="AO1070" s="87"/>
      <c r="AP1070" s="87"/>
      <c r="AQ1070" s="87"/>
      <c r="AR1070" s="87"/>
      <c r="AS1070" s="87"/>
      <c r="AT1070" s="87"/>
      <c r="AU1070" s="87"/>
      <c r="AV1070" s="87"/>
      <c r="AW1070" s="87"/>
      <c r="AX1070" s="87"/>
      <c r="AY1070" s="87"/>
      <c r="AZ1070" s="87"/>
      <c r="BA1070" s="87"/>
      <c r="BB1070" s="87"/>
      <c r="BC1070" s="87"/>
      <c r="BD1070" s="87"/>
      <c r="BE1070" s="87"/>
      <c r="BF1070" s="87"/>
      <c r="BG1070" s="87"/>
      <c r="BH1070" s="87"/>
    </row>
    <row r="1071" spans="1:60" ht="16">
      <c r="A1071" s="82"/>
      <c r="B1071" s="82"/>
      <c r="C1071" s="82"/>
      <c r="D1071" s="83"/>
      <c r="E1071" s="84"/>
      <c r="F1071" s="84"/>
      <c r="G1071" s="84"/>
      <c r="H1071" s="82"/>
      <c r="I1071" s="84"/>
      <c r="J1071" s="84"/>
      <c r="K1071" s="84"/>
      <c r="L1071" s="84"/>
      <c r="M1071" s="84"/>
      <c r="N1071" s="84"/>
      <c r="O1071" s="84"/>
      <c r="P1071" s="84"/>
      <c r="Q1071" s="84"/>
      <c r="R1071" s="84"/>
      <c r="S1071" s="84"/>
      <c r="T1071" s="84"/>
      <c r="U1071" s="84"/>
      <c r="V1071" s="84"/>
      <c r="W1071" s="84"/>
      <c r="X1071" s="84"/>
      <c r="Y1071" s="84"/>
      <c r="Z1071" s="87"/>
      <c r="AA1071" s="87"/>
      <c r="AB1071" s="87"/>
      <c r="AC1071" s="87"/>
      <c r="AD1071" s="87"/>
      <c r="AE1071" s="87"/>
      <c r="AF1071" s="87"/>
      <c r="AG1071" s="87"/>
      <c r="AH1071" s="87"/>
      <c r="AI1071" s="87"/>
      <c r="AJ1071" s="87"/>
      <c r="AK1071" s="87"/>
      <c r="AL1071" s="87"/>
      <c r="AM1071" s="87"/>
      <c r="AN1071" s="87"/>
      <c r="AO1071" s="87"/>
      <c r="AP1071" s="87"/>
      <c r="AQ1071" s="87"/>
      <c r="AR1071" s="87"/>
      <c r="AS1071" s="87"/>
      <c r="AT1071" s="87"/>
      <c r="AU1071" s="87"/>
      <c r="AV1071" s="87"/>
      <c r="AW1071" s="87"/>
      <c r="AX1071" s="87"/>
      <c r="AY1071" s="87"/>
      <c r="AZ1071" s="87"/>
      <c r="BA1071" s="87"/>
      <c r="BB1071" s="87"/>
      <c r="BC1071" s="87"/>
      <c r="BD1071" s="87"/>
      <c r="BE1071" s="87"/>
      <c r="BF1071" s="87"/>
      <c r="BG1071" s="87"/>
      <c r="BH1071" s="87"/>
    </row>
    <row r="1072" spans="1:60" ht="16">
      <c r="A1072" s="82"/>
      <c r="B1072" s="82"/>
      <c r="C1072" s="82"/>
      <c r="D1072" s="83"/>
      <c r="E1072" s="84"/>
      <c r="F1072" s="84"/>
      <c r="G1072" s="84"/>
      <c r="H1072" s="82"/>
      <c r="I1072" s="84"/>
      <c r="J1072" s="84"/>
      <c r="K1072" s="84"/>
      <c r="L1072" s="84"/>
      <c r="M1072" s="84"/>
      <c r="N1072" s="84"/>
      <c r="O1072" s="84"/>
      <c r="P1072" s="84"/>
      <c r="Q1072" s="84"/>
      <c r="R1072" s="84"/>
      <c r="S1072" s="84"/>
      <c r="T1072" s="84"/>
      <c r="U1072" s="84"/>
      <c r="V1072" s="84"/>
      <c r="W1072" s="84"/>
      <c r="X1072" s="84"/>
      <c r="Y1072" s="84"/>
      <c r="Z1072" s="87"/>
      <c r="AA1072" s="87"/>
      <c r="AB1072" s="87"/>
      <c r="AC1072" s="87"/>
      <c r="AD1072" s="87"/>
      <c r="AE1072" s="87"/>
      <c r="AF1072" s="87"/>
      <c r="AG1072" s="87"/>
      <c r="AH1072" s="87"/>
      <c r="AI1072" s="87"/>
      <c r="AJ1072" s="87"/>
      <c r="AK1072" s="87"/>
      <c r="AL1072" s="87"/>
      <c r="AM1072" s="87"/>
      <c r="AN1072" s="87"/>
      <c r="AO1072" s="87"/>
      <c r="AP1072" s="87"/>
      <c r="AQ1072" s="87"/>
      <c r="AR1072" s="87"/>
      <c r="AS1072" s="87"/>
      <c r="AT1072" s="87"/>
      <c r="AU1072" s="87"/>
      <c r="AV1072" s="87"/>
      <c r="AW1072" s="87"/>
      <c r="AX1072" s="87"/>
      <c r="AY1072" s="87"/>
      <c r="AZ1072" s="87"/>
      <c r="BA1072" s="87"/>
      <c r="BB1072" s="87"/>
      <c r="BC1072" s="87"/>
      <c r="BD1072" s="87"/>
      <c r="BE1072" s="87"/>
      <c r="BF1072" s="87"/>
      <c r="BG1072" s="87"/>
      <c r="BH1072" s="87"/>
    </row>
    <row r="1073" spans="1:60" ht="16">
      <c r="A1073" s="82"/>
      <c r="B1073" s="82"/>
      <c r="C1073" s="82"/>
      <c r="D1073" s="83"/>
      <c r="E1073" s="84"/>
      <c r="F1073" s="84"/>
      <c r="G1073" s="84"/>
      <c r="H1073" s="82"/>
      <c r="I1073" s="84"/>
      <c r="J1073" s="84"/>
      <c r="K1073" s="84"/>
      <c r="L1073" s="84"/>
      <c r="M1073" s="84"/>
      <c r="N1073" s="84"/>
      <c r="O1073" s="84"/>
      <c r="P1073" s="84"/>
      <c r="Q1073" s="84"/>
      <c r="R1073" s="84"/>
      <c r="S1073" s="84"/>
      <c r="T1073" s="84"/>
      <c r="U1073" s="84"/>
      <c r="V1073" s="84"/>
      <c r="W1073" s="84"/>
      <c r="X1073" s="84"/>
      <c r="Y1073" s="84"/>
      <c r="Z1073" s="87"/>
      <c r="AA1073" s="87"/>
      <c r="AB1073" s="87"/>
      <c r="AC1073" s="87"/>
      <c r="AD1073" s="87"/>
      <c r="AE1073" s="87"/>
      <c r="AF1073" s="87"/>
      <c r="AG1073" s="87"/>
      <c r="AH1073" s="87"/>
      <c r="AI1073" s="87"/>
      <c r="AJ1073" s="87"/>
      <c r="AK1073" s="87"/>
      <c r="AL1073" s="87"/>
      <c r="AM1073" s="87"/>
      <c r="AN1073" s="87"/>
      <c r="AO1073" s="87"/>
      <c r="AP1073" s="87"/>
      <c r="AQ1073" s="87"/>
      <c r="AR1073" s="87"/>
      <c r="AS1073" s="87"/>
      <c r="AT1073" s="87"/>
      <c r="AU1073" s="87"/>
      <c r="AV1073" s="87"/>
      <c r="AW1073" s="87"/>
      <c r="AX1073" s="87"/>
      <c r="AY1073" s="87"/>
      <c r="AZ1073" s="87"/>
      <c r="BA1073" s="87"/>
      <c r="BB1073" s="87"/>
      <c r="BC1073" s="87"/>
      <c r="BD1073" s="87"/>
      <c r="BE1073" s="87"/>
      <c r="BF1073" s="87"/>
      <c r="BG1073" s="87"/>
      <c r="BH1073" s="87"/>
    </row>
    <row r="1074" spans="1:60" ht="16">
      <c r="A1074" s="82"/>
      <c r="B1074" s="82"/>
      <c r="C1074" s="82"/>
      <c r="D1074" s="83"/>
      <c r="E1074" s="84"/>
      <c r="F1074" s="84"/>
      <c r="G1074" s="84"/>
      <c r="H1074" s="82"/>
      <c r="I1074" s="84"/>
      <c r="J1074" s="84"/>
      <c r="K1074" s="84"/>
      <c r="L1074" s="84"/>
      <c r="M1074" s="84"/>
      <c r="N1074" s="84"/>
      <c r="O1074" s="84"/>
      <c r="P1074" s="84"/>
      <c r="Q1074" s="84"/>
      <c r="R1074" s="84"/>
      <c r="S1074" s="84"/>
      <c r="T1074" s="84"/>
      <c r="U1074" s="84"/>
      <c r="V1074" s="84"/>
      <c r="W1074" s="84"/>
      <c r="X1074" s="84"/>
      <c r="Y1074" s="84"/>
      <c r="Z1074" s="87"/>
      <c r="AA1074" s="87"/>
      <c r="AB1074" s="87"/>
      <c r="AC1074" s="87"/>
      <c r="AD1074" s="87"/>
      <c r="AE1074" s="87"/>
      <c r="AF1074" s="87"/>
      <c r="AG1074" s="87"/>
      <c r="AH1074" s="87"/>
      <c r="AI1074" s="87"/>
      <c r="AJ1074" s="87"/>
      <c r="AK1074" s="87"/>
      <c r="AL1074" s="87"/>
      <c r="AM1074" s="87"/>
      <c r="AN1074" s="87"/>
      <c r="AO1074" s="87"/>
      <c r="AP1074" s="87"/>
      <c r="AQ1074" s="87"/>
      <c r="AR1074" s="87"/>
      <c r="AS1074" s="87"/>
      <c r="AT1074" s="87"/>
      <c r="AU1074" s="87"/>
      <c r="AV1074" s="87"/>
      <c r="AW1074" s="87"/>
      <c r="AX1074" s="87"/>
      <c r="AY1074" s="87"/>
      <c r="AZ1074" s="87"/>
      <c r="BA1074" s="87"/>
      <c r="BB1074" s="87"/>
      <c r="BC1074" s="87"/>
      <c r="BD1074" s="87"/>
      <c r="BE1074" s="87"/>
      <c r="BF1074" s="87"/>
      <c r="BG1074" s="87"/>
      <c r="BH1074" s="87"/>
    </row>
    <row r="1075" spans="1:60" ht="16">
      <c r="A1075" s="82"/>
      <c r="B1075" s="82"/>
      <c r="C1075" s="82"/>
      <c r="D1075" s="83"/>
      <c r="E1075" s="84"/>
      <c r="F1075" s="84"/>
      <c r="G1075" s="84"/>
      <c r="H1075" s="82"/>
      <c r="I1075" s="84"/>
      <c r="J1075" s="84"/>
      <c r="K1075" s="84"/>
      <c r="L1075" s="84"/>
      <c r="M1075" s="84"/>
      <c r="N1075" s="84"/>
      <c r="O1075" s="84"/>
      <c r="P1075" s="84"/>
      <c r="Q1075" s="84"/>
      <c r="R1075" s="84"/>
      <c r="S1075" s="84"/>
      <c r="T1075" s="84"/>
      <c r="U1075" s="84"/>
      <c r="V1075" s="84"/>
      <c r="W1075" s="84"/>
      <c r="X1075" s="84"/>
      <c r="Y1075" s="84"/>
      <c r="Z1075" s="87"/>
      <c r="AA1075" s="87"/>
      <c r="AB1075" s="87"/>
      <c r="AC1075" s="87"/>
      <c r="AD1075" s="87"/>
      <c r="AE1075" s="87"/>
      <c r="AF1075" s="87"/>
      <c r="AG1075" s="87"/>
      <c r="AH1075" s="87"/>
      <c r="AI1075" s="87"/>
      <c r="AJ1075" s="87"/>
      <c r="AK1075" s="87"/>
      <c r="AL1075" s="87"/>
      <c r="AM1075" s="87"/>
      <c r="AN1075" s="87"/>
      <c r="AO1075" s="87"/>
      <c r="AP1075" s="87"/>
      <c r="AQ1075" s="87"/>
      <c r="AR1075" s="87"/>
      <c r="AS1075" s="87"/>
      <c r="AT1075" s="87"/>
      <c r="AU1075" s="87"/>
      <c r="AV1075" s="87"/>
      <c r="AW1075" s="87"/>
      <c r="AX1075" s="87"/>
      <c r="AY1075" s="87"/>
      <c r="AZ1075" s="87"/>
      <c r="BA1075" s="87"/>
      <c r="BB1075" s="87"/>
      <c r="BC1075" s="87"/>
      <c r="BD1075" s="87"/>
      <c r="BE1075" s="87"/>
      <c r="BF1075" s="87"/>
      <c r="BG1075" s="87"/>
      <c r="BH1075" s="87"/>
    </row>
    <row r="1076" spans="1:60" ht="16">
      <c r="A1076" s="82"/>
      <c r="B1076" s="82"/>
      <c r="C1076" s="82"/>
      <c r="D1076" s="83"/>
      <c r="E1076" s="84"/>
      <c r="F1076" s="84"/>
      <c r="G1076" s="84"/>
      <c r="H1076" s="82"/>
      <c r="I1076" s="84"/>
      <c r="J1076" s="84"/>
      <c r="K1076" s="84"/>
      <c r="L1076" s="84"/>
      <c r="M1076" s="84"/>
      <c r="N1076" s="84"/>
      <c r="O1076" s="84"/>
      <c r="P1076" s="84"/>
      <c r="Q1076" s="84"/>
      <c r="R1076" s="84"/>
      <c r="S1076" s="84"/>
      <c r="T1076" s="84"/>
      <c r="U1076" s="84"/>
      <c r="V1076" s="84"/>
      <c r="W1076" s="84"/>
      <c r="X1076" s="84"/>
      <c r="Y1076" s="84"/>
      <c r="Z1076" s="87"/>
      <c r="AA1076" s="87"/>
      <c r="AB1076" s="87"/>
      <c r="AC1076" s="87"/>
      <c r="AD1076" s="87"/>
      <c r="AE1076" s="87"/>
      <c r="AF1076" s="87"/>
      <c r="AG1076" s="87"/>
      <c r="AH1076" s="87"/>
      <c r="AI1076" s="87"/>
      <c r="AJ1076" s="87"/>
      <c r="AK1076" s="87"/>
      <c r="AL1076" s="87"/>
      <c r="AM1076" s="87"/>
      <c r="AN1076" s="87"/>
      <c r="AO1076" s="87"/>
      <c r="AP1076" s="87"/>
      <c r="AQ1076" s="87"/>
      <c r="AR1076" s="87"/>
      <c r="AS1076" s="87"/>
      <c r="AT1076" s="87"/>
      <c r="AU1076" s="87"/>
      <c r="AV1076" s="87"/>
      <c r="AW1076" s="87"/>
      <c r="AX1076" s="87"/>
      <c r="AY1076" s="87"/>
      <c r="AZ1076" s="87"/>
      <c r="BA1076" s="87"/>
      <c r="BB1076" s="87"/>
      <c r="BC1076" s="87"/>
      <c r="BD1076" s="87"/>
      <c r="BE1076" s="87"/>
      <c r="BF1076" s="87"/>
      <c r="BG1076" s="87"/>
      <c r="BH1076" s="87"/>
    </row>
    <row r="1077" spans="1:60" ht="16">
      <c r="A1077" s="82"/>
      <c r="B1077" s="82"/>
      <c r="C1077" s="82"/>
      <c r="D1077" s="83"/>
      <c r="E1077" s="84"/>
      <c r="F1077" s="84"/>
      <c r="G1077" s="84"/>
      <c r="H1077" s="82"/>
      <c r="I1077" s="84"/>
      <c r="J1077" s="84"/>
      <c r="K1077" s="84"/>
      <c r="L1077" s="84"/>
      <c r="M1077" s="84"/>
      <c r="N1077" s="84"/>
      <c r="O1077" s="84"/>
      <c r="P1077" s="84"/>
      <c r="Q1077" s="84"/>
      <c r="R1077" s="84"/>
      <c r="S1077" s="84"/>
      <c r="T1077" s="84"/>
      <c r="U1077" s="84"/>
      <c r="V1077" s="84"/>
      <c r="W1077" s="84"/>
      <c r="X1077" s="84"/>
      <c r="Y1077" s="84"/>
      <c r="Z1077" s="87"/>
      <c r="AA1077" s="87"/>
      <c r="AB1077" s="87"/>
      <c r="AC1077" s="87"/>
      <c r="AD1077" s="87"/>
      <c r="AE1077" s="87"/>
      <c r="AF1077" s="87"/>
      <c r="AG1077" s="87"/>
      <c r="AH1077" s="87"/>
      <c r="AI1077" s="87"/>
      <c r="AJ1077" s="87"/>
      <c r="AK1077" s="87"/>
      <c r="AL1077" s="87"/>
      <c r="AM1077" s="87"/>
      <c r="AN1077" s="87"/>
      <c r="AO1077" s="87"/>
      <c r="AP1077" s="87"/>
      <c r="AQ1077" s="87"/>
      <c r="AR1077" s="87"/>
      <c r="AS1077" s="87"/>
      <c r="AT1077" s="87"/>
      <c r="AU1077" s="87"/>
      <c r="AV1077" s="87"/>
      <c r="AW1077" s="87"/>
      <c r="AX1077" s="87"/>
      <c r="AY1077" s="87"/>
      <c r="AZ1077" s="87"/>
      <c r="BA1077" s="87"/>
      <c r="BB1077" s="87"/>
      <c r="BC1077" s="87"/>
      <c r="BD1077" s="87"/>
      <c r="BE1077" s="87"/>
      <c r="BF1077" s="87"/>
      <c r="BG1077" s="87"/>
      <c r="BH1077" s="87"/>
    </row>
    <row r="1078" spans="1:60" ht="16">
      <c r="A1078" s="82"/>
      <c r="B1078" s="82"/>
      <c r="C1078" s="82"/>
      <c r="D1078" s="83"/>
      <c r="E1078" s="84"/>
      <c r="F1078" s="84"/>
      <c r="G1078" s="84"/>
      <c r="H1078" s="82"/>
      <c r="I1078" s="84"/>
      <c r="J1078" s="84"/>
      <c r="K1078" s="84"/>
      <c r="L1078" s="84"/>
      <c r="M1078" s="84"/>
      <c r="N1078" s="84"/>
      <c r="O1078" s="84"/>
      <c r="P1078" s="84"/>
      <c r="Q1078" s="84"/>
      <c r="R1078" s="84"/>
      <c r="S1078" s="84"/>
      <c r="T1078" s="84"/>
      <c r="U1078" s="84"/>
      <c r="V1078" s="84"/>
      <c r="W1078" s="84"/>
      <c r="X1078" s="84"/>
      <c r="Y1078" s="84"/>
      <c r="Z1078" s="87"/>
      <c r="AA1078" s="87"/>
      <c r="AB1078" s="87"/>
      <c r="AC1078" s="87"/>
      <c r="AD1078" s="87"/>
      <c r="AE1078" s="87"/>
      <c r="AF1078" s="87"/>
      <c r="AG1078" s="87"/>
      <c r="AH1078" s="87"/>
      <c r="AI1078" s="87"/>
      <c r="AJ1078" s="87"/>
      <c r="AK1078" s="87"/>
      <c r="AL1078" s="87"/>
      <c r="AM1078" s="87"/>
      <c r="AN1078" s="87"/>
      <c r="AO1078" s="87"/>
      <c r="AP1078" s="87"/>
      <c r="AQ1078" s="87"/>
      <c r="AR1078" s="87"/>
      <c r="AS1078" s="87"/>
      <c r="AT1078" s="87"/>
      <c r="AU1078" s="87"/>
      <c r="AV1078" s="87"/>
      <c r="AW1078" s="87"/>
      <c r="AX1078" s="87"/>
      <c r="AY1078" s="87"/>
      <c r="AZ1078" s="87"/>
      <c r="BA1078" s="87"/>
      <c r="BB1078" s="87"/>
      <c r="BC1078" s="87"/>
      <c r="BD1078" s="87"/>
      <c r="BE1078" s="87"/>
      <c r="BF1078" s="87"/>
      <c r="BG1078" s="87"/>
      <c r="BH1078" s="87"/>
    </row>
    <row r="1079" spans="1:60" ht="16">
      <c r="A1079" s="82"/>
      <c r="B1079" s="82"/>
      <c r="C1079" s="82"/>
      <c r="D1079" s="83"/>
      <c r="E1079" s="84"/>
      <c r="F1079" s="84"/>
      <c r="G1079" s="84"/>
      <c r="H1079" s="82"/>
      <c r="I1079" s="84"/>
      <c r="J1079" s="84"/>
      <c r="K1079" s="84"/>
      <c r="L1079" s="84"/>
      <c r="M1079" s="84"/>
      <c r="N1079" s="84"/>
      <c r="O1079" s="84"/>
      <c r="P1079" s="84"/>
      <c r="Q1079" s="84"/>
      <c r="R1079" s="84"/>
      <c r="S1079" s="84"/>
      <c r="T1079" s="84"/>
      <c r="U1079" s="84"/>
      <c r="V1079" s="84"/>
      <c r="W1079" s="84"/>
      <c r="X1079" s="84"/>
      <c r="Y1079" s="84"/>
      <c r="Z1079" s="87"/>
      <c r="AA1079" s="87"/>
      <c r="AB1079" s="87"/>
      <c r="AC1079" s="87"/>
      <c r="AD1079" s="87"/>
      <c r="AE1079" s="87"/>
      <c r="AF1079" s="87"/>
      <c r="AG1079" s="87"/>
      <c r="AH1079" s="87"/>
      <c r="AI1079" s="87"/>
      <c r="AJ1079" s="87"/>
      <c r="AK1079" s="87"/>
      <c r="AL1079" s="87"/>
      <c r="AM1079" s="87"/>
      <c r="AN1079" s="87"/>
      <c r="AO1079" s="87"/>
      <c r="AP1079" s="87"/>
      <c r="AQ1079" s="87"/>
      <c r="AR1079" s="87"/>
      <c r="AS1079" s="87"/>
      <c r="AT1079" s="87"/>
      <c r="AU1079" s="87"/>
      <c r="AV1079" s="87"/>
      <c r="AW1079" s="87"/>
      <c r="AX1079" s="87"/>
      <c r="AY1079" s="87"/>
      <c r="AZ1079" s="87"/>
      <c r="BA1079" s="87"/>
      <c r="BB1079" s="87"/>
      <c r="BC1079" s="87"/>
      <c r="BD1079" s="87"/>
      <c r="BE1079" s="87"/>
      <c r="BF1079" s="87"/>
      <c r="BG1079" s="87"/>
      <c r="BH1079" s="87"/>
    </row>
    <row r="1080" spans="1:60" ht="16">
      <c r="A1080" s="82"/>
      <c r="B1080" s="82"/>
      <c r="C1080" s="82"/>
      <c r="D1080" s="83"/>
      <c r="E1080" s="84"/>
      <c r="F1080" s="84"/>
      <c r="G1080" s="84"/>
      <c r="H1080" s="82"/>
      <c r="I1080" s="84"/>
      <c r="J1080" s="84"/>
      <c r="K1080" s="84"/>
      <c r="L1080" s="84"/>
      <c r="M1080" s="84"/>
      <c r="N1080" s="84"/>
      <c r="O1080" s="84"/>
      <c r="P1080" s="84"/>
      <c r="Q1080" s="84"/>
      <c r="R1080" s="84"/>
      <c r="S1080" s="84"/>
      <c r="T1080" s="84"/>
      <c r="U1080" s="84"/>
      <c r="V1080" s="84"/>
      <c r="W1080" s="84"/>
      <c r="X1080" s="84"/>
      <c r="Y1080" s="84"/>
      <c r="Z1080" s="87"/>
      <c r="AA1080" s="87"/>
      <c r="AB1080" s="87"/>
      <c r="AC1080" s="87"/>
      <c r="AD1080" s="87"/>
      <c r="AE1080" s="87"/>
      <c r="AF1080" s="87"/>
      <c r="AG1080" s="87"/>
      <c r="AH1080" s="87"/>
      <c r="AI1080" s="87"/>
      <c r="AJ1080" s="87"/>
      <c r="AK1080" s="87"/>
      <c r="AL1080" s="87"/>
      <c r="AM1080" s="87"/>
      <c r="AN1080" s="87"/>
      <c r="AO1080" s="87"/>
      <c r="AP1080" s="87"/>
      <c r="AQ1080" s="87"/>
      <c r="AR1080" s="87"/>
      <c r="AS1080" s="87"/>
      <c r="AT1080" s="87"/>
      <c r="AU1080" s="87"/>
      <c r="AV1080" s="87"/>
      <c r="AW1080" s="87"/>
      <c r="AX1080" s="87"/>
      <c r="AY1080" s="87"/>
      <c r="AZ1080" s="87"/>
      <c r="BA1080" s="87"/>
      <c r="BB1080" s="87"/>
      <c r="BC1080" s="87"/>
      <c r="BD1080" s="87"/>
      <c r="BE1080" s="87"/>
      <c r="BF1080" s="87"/>
      <c r="BG1080" s="87"/>
      <c r="BH1080" s="87"/>
    </row>
    <row r="1081" spans="1:60" ht="16">
      <c r="A1081" s="82"/>
      <c r="B1081" s="82"/>
      <c r="C1081" s="82"/>
      <c r="D1081" s="83"/>
      <c r="E1081" s="84"/>
      <c r="F1081" s="84"/>
      <c r="G1081" s="84"/>
      <c r="H1081" s="82"/>
      <c r="I1081" s="84"/>
      <c r="J1081" s="84"/>
      <c r="K1081" s="84"/>
      <c r="L1081" s="84"/>
      <c r="M1081" s="84"/>
      <c r="N1081" s="84"/>
      <c r="O1081" s="84"/>
      <c r="P1081" s="84"/>
      <c r="Q1081" s="84"/>
      <c r="R1081" s="84"/>
      <c r="S1081" s="84"/>
      <c r="T1081" s="84"/>
      <c r="U1081" s="84"/>
      <c r="V1081" s="84"/>
      <c r="W1081" s="84"/>
      <c r="X1081" s="84"/>
      <c r="Y1081" s="84"/>
      <c r="Z1081" s="87"/>
      <c r="AA1081" s="87"/>
      <c r="AB1081" s="87"/>
      <c r="AC1081" s="87"/>
      <c r="AD1081" s="87"/>
      <c r="AE1081" s="87"/>
      <c r="AF1081" s="87"/>
      <c r="AG1081" s="87"/>
      <c r="AH1081" s="87"/>
      <c r="AI1081" s="87"/>
      <c r="AJ1081" s="87"/>
      <c r="AK1081" s="87"/>
      <c r="AL1081" s="87"/>
      <c r="AM1081" s="87"/>
      <c r="AN1081" s="87"/>
      <c r="AO1081" s="87"/>
      <c r="AP1081" s="87"/>
      <c r="AQ1081" s="87"/>
      <c r="AR1081" s="87"/>
      <c r="AS1081" s="87"/>
      <c r="AT1081" s="87"/>
      <c r="AU1081" s="87"/>
      <c r="AV1081" s="87"/>
      <c r="AW1081" s="87"/>
      <c r="AX1081" s="87"/>
      <c r="AY1081" s="87"/>
      <c r="AZ1081" s="87"/>
      <c r="BA1081" s="87"/>
      <c r="BB1081" s="87"/>
      <c r="BC1081" s="87"/>
      <c r="BD1081" s="87"/>
      <c r="BE1081" s="87"/>
      <c r="BF1081" s="87"/>
      <c r="BG1081" s="87"/>
      <c r="BH1081" s="87"/>
    </row>
    <row r="1082" spans="1:60" ht="16">
      <c r="A1082" s="82"/>
      <c r="B1082" s="82"/>
      <c r="C1082" s="82"/>
      <c r="D1082" s="83"/>
      <c r="E1082" s="84"/>
      <c r="F1082" s="84"/>
      <c r="G1082" s="84"/>
      <c r="H1082" s="82"/>
      <c r="I1082" s="84"/>
      <c r="J1082" s="84"/>
      <c r="K1082" s="84"/>
      <c r="L1082" s="84"/>
      <c r="M1082" s="84"/>
      <c r="N1082" s="84"/>
      <c r="O1082" s="84"/>
      <c r="P1082" s="84"/>
      <c r="Q1082" s="84"/>
      <c r="R1082" s="84"/>
      <c r="S1082" s="84"/>
      <c r="T1082" s="84"/>
      <c r="U1082" s="84"/>
      <c r="V1082" s="84"/>
      <c r="W1082" s="84"/>
      <c r="X1082" s="84"/>
      <c r="Y1082" s="84"/>
      <c r="Z1082" s="87"/>
      <c r="AA1082" s="87"/>
      <c r="AB1082" s="87"/>
      <c r="AC1082" s="87"/>
      <c r="AD1082" s="87"/>
      <c r="AE1082" s="87"/>
      <c r="AF1082" s="87"/>
      <c r="AG1082" s="87"/>
      <c r="AH1082" s="87"/>
      <c r="AI1082" s="87"/>
      <c r="AJ1082" s="87"/>
      <c r="AK1082" s="87"/>
      <c r="AL1082" s="87"/>
      <c r="AM1082" s="87"/>
      <c r="AN1082" s="87"/>
      <c r="AO1082" s="87"/>
      <c r="AP1082" s="87"/>
      <c r="AQ1082" s="87"/>
      <c r="AR1082" s="87"/>
      <c r="AS1082" s="87"/>
      <c r="AT1082" s="87"/>
      <c r="AU1082" s="87"/>
      <c r="AV1082" s="87"/>
      <c r="AW1082" s="87"/>
      <c r="AX1082" s="87"/>
      <c r="AY1082" s="87"/>
      <c r="AZ1082" s="87"/>
      <c r="BA1082" s="87"/>
      <c r="BB1082" s="87"/>
      <c r="BC1082" s="87"/>
      <c r="BD1082" s="87"/>
      <c r="BE1082" s="87"/>
      <c r="BF1082" s="87"/>
      <c r="BG1082" s="87"/>
      <c r="BH1082" s="87"/>
    </row>
    <row r="1083" spans="1:60" ht="16">
      <c r="A1083" s="82"/>
      <c r="B1083" s="82"/>
      <c r="C1083" s="82"/>
      <c r="D1083" s="83"/>
      <c r="E1083" s="84"/>
      <c r="F1083" s="84"/>
      <c r="G1083" s="84"/>
      <c r="H1083" s="82"/>
      <c r="I1083" s="84"/>
      <c r="J1083" s="84"/>
      <c r="K1083" s="84"/>
      <c r="L1083" s="84"/>
      <c r="M1083" s="84"/>
      <c r="N1083" s="84"/>
      <c r="O1083" s="84"/>
      <c r="P1083" s="84"/>
      <c r="Q1083" s="84"/>
      <c r="R1083" s="84"/>
      <c r="S1083" s="84"/>
      <c r="T1083" s="84"/>
      <c r="U1083" s="84"/>
      <c r="V1083" s="84"/>
      <c r="W1083" s="84"/>
      <c r="X1083" s="84"/>
      <c r="Y1083" s="84"/>
      <c r="Z1083" s="87"/>
      <c r="AA1083" s="87"/>
      <c r="AB1083" s="87"/>
      <c r="AC1083" s="87"/>
      <c r="AD1083" s="87"/>
      <c r="AE1083" s="87"/>
      <c r="AF1083" s="87"/>
      <c r="AG1083" s="87"/>
      <c r="AH1083" s="87"/>
      <c r="AI1083" s="87"/>
      <c r="AJ1083" s="87"/>
      <c r="AK1083" s="87"/>
      <c r="AL1083" s="87"/>
      <c r="AM1083" s="87"/>
      <c r="AN1083" s="87"/>
      <c r="AO1083" s="87"/>
      <c r="AP1083" s="87"/>
      <c r="AQ1083" s="87"/>
      <c r="AR1083" s="87"/>
      <c r="AS1083" s="87"/>
      <c r="AT1083" s="87"/>
      <c r="AU1083" s="87"/>
      <c r="AV1083" s="87"/>
      <c r="AW1083" s="87"/>
      <c r="AX1083" s="87"/>
      <c r="AY1083" s="87"/>
      <c r="AZ1083" s="87"/>
      <c r="BA1083" s="87"/>
      <c r="BB1083" s="87"/>
      <c r="BC1083" s="87"/>
      <c r="BD1083" s="87"/>
      <c r="BE1083" s="87"/>
      <c r="BF1083" s="87"/>
      <c r="BG1083" s="87"/>
      <c r="BH1083" s="87"/>
    </row>
    <row r="1084" spans="1:60" ht="16">
      <c r="A1084" s="82"/>
      <c r="B1084" s="82"/>
      <c r="C1084" s="82"/>
      <c r="D1084" s="83"/>
      <c r="E1084" s="84"/>
      <c r="F1084" s="84"/>
      <c r="G1084" s="84"/>
      <c r="H1084" s="82"/>
      <c r="I1084" s="84"/>
      <c r="J1084" s="84"/>
      <c r="K1084" s="84"/>
      <c r="L1084" s="84"/>
      <c r="M1084" s="84"/>
      <c r="N1084" s="84"/>
      <c r="O1084" s="84"/>
      <c r="P1084" s="84"/>
      <c r="Q1084" s="84"/>
      <c r="R1084" s="84"/>
      <c r="S1084" s="84"/>
      <c r="T1084" s="84"/>
      <c r="U1084" s="84"/>
      <c r="V1084" s="84"/>
      <c r="W1084" s="84"/>
      <c r="X1084" s="84"/>
      <c r="Y1084" s="84"/>
      <c r="Z1084" s="87"/>
      <c r="AA1084" s="87"/>
      <c r="AB1084" s="87"/>
      <c r="AC1084" s="87"/>
      <c r="AD1084" s="87"/>
      <c r="AE1084" s="87"/>
      <c r="AF1084" s="87"/>
      <c r="AG1084" s="87"/>
      <c r="AH1084" s="87"/>
      <c r="AI1084" s="87"/>
      <c r="AJ1084" s="87"/>
      <c r="AK1084" s="87"/>
      <c r="AL1084" s="87"/>
      <c r="AM1084" s="87"/>
      <c r="AN1084" s="87"/>
      <c r="AO1084" s="87"/>
      <c r="AP1084" s="87"/>
      <c r="AQ1084" s="87"/>
      <c r="AR1084" s="87"/>
      <c r="AS1084" s="87"/>
      <c r="AT1084" s="87"/>
      <c r="AU1084" s="87"/>
      <c r="AV1084" s="87"/>
      <c r="AW1084" s="87"/>
      <c r="AX1084" s="87"/>
      <c r="AY1084" s="87"/>
      <c r="AZ1084" s="87"/>
      <c r="BA1084" s="87"/>
      <c r="BB1084" s="87"/>
      <c r="BC1084" s="87"/>
      <c r="BD1084" s="87"/>
      <c r="BE1084" s="87"/>
      <c r="BF1084" s="87"/>
      <c r="BG1084" s="87"/>
      <c r="BH1084" s="87"/>
    </row>
    <row r="1085" spans="1:60" ht="16">
      <c r="A1085" s="82"/>
      <c r="B1085" s="82"/>
      <c r="C1085" s="82"/>
      <c r="D1085" s="83"/>
      <c r="E1085" s="84"/>
      <c r="F1085" s="84"/>
      <c r="G1085" s="84"/>
      <c r="H1085" s="82"/>
      <c r="I1085" s="84"/>
      <c r="J1085" s="84"/>
      <c r="K1085" s="84"/>
      <c r="L1085" s="84"/>
      <c r="M1085" s="84"/>
      <c r="N1085" s="84"/>
      <c r="O1085" s="84"/>
      <c r="P1085" s="84"/>
      <c r="Q1085" s="84"/>
      <c r="R1085" s="84"/>
      <c r="S1085" s="84"/>
      <c r="T1085" s="84"/>
      <c r="U1085" s="84"/>
      <c r="V1085" s="84"/>
      <c r="W1085" s="84"/>
      <c r="X1085" s="84"/>
      <c r="Y1085" s="84"/>
      <c r="Z1085" s="87"/>
      <c r="AA1085" s="87"/>
      <c r="AB1085" s="87"/>
      <c r="AC1085" s="87"/>
      <c r="AD1085" s="87"/>
      <c r="AE1085" s="87"/>
      <c r="AF1085" s="87"/>
      <c r="AG1085" s="87"/>
      <c r="AH1085" s="87"/>
      <c r="AI1085" s="87"/>
      <c r="AJ1085" s="87"/>
      <c r="AK1085" s="87"/>
      <c r="AL1085" s="87"/>
      <c r="AM1085" s="87"/>
      <c r="AN1085" s="87"/>
      <c r="AO1085" s="87"/>
      <c r="AP1085" s="87"/>
      <c r="AQ1085" s="87"/>
      <c r="AR1085" s="87"/>
      <c r="AS1085" s="87"/>
      <c r="AT1085" s="87"/>
      <c r="AU1085" s="87"/>
      <c r="AV1085" s="87"/>
      <c r="AW1085" s="87"/>
      <c r="AX1085" s="87"/>
      <c r="AY1085" s="87"/>
      <c r="AZ1085" s="87"/>
      <c r="BA1085" s="87"/>
      <c r="BB1085" s="87"/>
      <c r="BC1085" s="87"/>
      <c r="BD1085" s="87"/>
      <c r="BE1085" s="87"/>
      <c r="BF1085" s="87"/>
      <c r="BG1085" s="87"/>
      <c r="BH1085" s="87"/>
    </row>
    <row r="1086" spans="1:60" ht="16">
      <c r="A1086" s="82"/>
      <c r="B1086" s="82"/>
      <c r="C1086" s="82"/>
      <c r="D1086" s="83"/>
      <c r="E1086" s="84"/>
      <c r="F1086" s="84"/>
      <c r="G1086" s="84"/>
      <c r="H1086" s="82"/>
      <c r="I1086" s="84"/>
      <c r="J1086" s="84"/>
      <c r="K1086" s="84"/>
      <c r="L1086" s="84"/>
      <c r="M1086" s="84"/>
      <c r="N1086" s="84"/>
      <c r="O1086" s="84"/>
      <c r="P1086" s="84"/>
      <c r="Q1086" s="84"/>
      <c r="R1086" s="84"/>
      <c r="S1086" s="84"/>
      <c r="T1086" s="84"/>
      <c r="U1086" s="84"/>
      <c r="V1086" s="84"/>
      <c r="W1086" s="84"/>
      <c r="X1086" s="84"/>
      <c r="Y1086" s="84"/>
      <c r="Z1086" s="87"/>
      <c r="AA1086" s="87"/>
      <c r="AB1086" s="87"/>
      <c r="AC1086" s="87"/>
      <c r="AD1086" s="87"/>
      <c r="AE1086" s="87"/>
      <c r="AF1086" s="87"/>
      <c r="AG1086" s="87"/>
      <c r="AH1086" s="87"/>
      <c r="AI1086" s="87"/>
      <c r="AJ1086" s="87"/>
      <c r="AK1086" s="87"/>
      <c r="AL1086" s="87"/>
      <c r="AM1086" s="87"/>
      <c r="AN1086" s="87"/>
      <c r="AO1086" s="87"/>
      <c r="AP1086" s="87"/>
      <c r="AQ1086" s="87"/>
      <c r="AR1086" s="87"/>
      <c r="AS1086" s="87"/>
      <c r="AT1086" s="87"/>
      <c r="AU1086" s="87"/>
      <c r="AV1086" s="87"/>
      <c r="AW1086" s="87"/>
      <c r="AX1086" s="87"/>
      <c r="AY1086" s="87"/>
      <c r="AZ1086" s="87"/>
      <c r="BA1086" s="87"/>
      <c r="BB1086" s="87"/>
      <c r="BC1086" s="87"/>
      <c r="BD1086" s="87"/>
      <c r="BE1086" s="87"/>
      <c r="BF1086" s="87"/>
      <c r="BG1086" s="87"/>
      <c r="BH1086" s="87"/>
    </row>
    <row r="1087" spans="1:60" ht="16">
      <c r="A1087" s="82"/>
      <c r="B1087" s="82"/>
      <c r="C1087" s="82"/>
      <c r="D1087" s="83"/>
      <c r="E1087" s="84"/>
      <c r="F1087" s="84"/>
      <c r="G1087" s="84"/>
      <c r="H1087" s="82"/>
      <c r="I1087" s="84"/>
      <c r="J1087" s="84"/>
      <c r="K1087" s="84"/>
      <c r="L1087" s="84"/>
      <c r="M1087" s="84"/>
      <c r="N1087" s="84"/>
      <c r="O1087" s="84"/>
      <c r="P1087" s="84"/>
      <c r="Q1087" s="84"/>
      <c r="R1087" s="84"/>
      <c r="S1087" s="84"/>
      <c r="T1087" s="84"/>
      <c r="U1087" s="84"/>
      <c r="V1087" s="84"/>
      <c r="W1087" s="84"/>
      <c r="X1087" s="84"/>
      <c r="Y1087" s="84"/>
      <c r="Z1087" s="87"/>
      <c r="AA1087" s="87"/>
      <c r="AB1087" s="87"/>
      <c r="AC1087" s="87"/>
      <c r="AD1087" s="87"/>
      <c r="AE1087" s="87"/>
      <c r="AF1087" s="87"/>
      <c r="AG1087" s="87"/>
      <c r="AH1087" s="87"/>
      <c r="AI1087" s="87"/>
      <c r="AJ1087" s="87"/>
      <c r="AK1087" s="87"/>
      <c r="AL1087" s="87"/>
      <c r="AM1087" s="87"/>
      <c r="AN1087" s="87"/>
      <c r="AO1087" s="87"/>
      <c r="AP1087" s="87"/>
      <c r="AQ1087" s="87"/>
      <c r="AR1087" s="87"/>
      <c r="AS1087" s="87"/>
      <c r="AT1087" s="87"/>
      <c r="AU1087" s="87"/>
      <c r="AV1087" s="87"/>
      <c r="AW1087" s="87"/>
      <c r="AX1087" s="87"/>
      <c r="AY1087" s="87"/>
      <c r="AZ1087" s="87"/>
      <c r="BA1087" s="87"/>
      <c r="BB1087" s="87"/>
      <c r="BC1087" s="87"/>
      <c r="BD1087" s="87"/>
      <c r="BE1087" s="87"/>
      <c r="BF1087" s="87"/>
      <c r="BG1087" s="87"/>
      <c r="BH1087" s="87"/>
    </row>
    <row r="1088" spans="1:60" ht="16">
      <c r="A1088" s="82"/>
      <c r="B1088" s="82"/>
      <c r="C1088" s="82"/>
      <c r="D1088" s="83"/>
      <c r="E1088" s="84"/>
      <c r="F1088" s="84"/>
      <c r="G1088" s="84"/>
      <c r="H1088" s="82"/>
      <c r="I1088" s="84"/>
      <c r="J1088" s="84"/>
      <c r="K1088" s="84"/>
      <c r="L1088" s="84"/>
      <c r="M1088" s="84"/>
      <c r="N1088" s="84"/>
      <c r="O1088" s="84"/>
      <c r="P1088" s="84"/>
      <c r="Q1088" s="84"/>
      <c r="R1088" s="84"/>
      <c r="S1088" s="84"/>
      <c r="T1088" s="84"/>
      <c r="U1088" s="84"/>
      <c r="V1088" s="84"/>
      <c r="W1088" s="84"/>
      <c r="X1088" s="84"/>
      <c r="Y1088" s="84"/>
      <c r="Z1088" s="87"/>
      <c r="AA1088" s="87"/>
      <c r="AB1088" s="87"/>
      <c r="AC1088" s="87"/>
      <c r="AD1088" s="87"/>
      <c r="AE1088" s="87"/>
      <c r="AF1088" s="87"/>
      <c r="AG1088" s="87"/>
      <c r="AH1088" s="87"/>
      <c r="AI1088" s="87"/>
      <c r="AJ1088" s="87"/>
      <c r="AK1088" s="87"/>
      <c r="AL1088" s="87"/>
      <c r="AM1088" s="87"/>
      <c r="AN1088" s="87"/>
      <c r="AO1088" s="87"/>
      <c r="AP1088" s="87"/>
      <c r="AQ1088" s="87"/>
      <c r="AR1088" s="87"/>
      <c r="AS1088" s="87"/>
      <c r="AT1088" s="87"/>
      <c r="AU1088" s="87"/>
      <c r="AV1088" s="87"/>
      <c r="AW1088" s="87"/>
      <c r="AX1088" s="87"/>
      <c r="AY1088" s="87"/>
      <c r="AZ1088" s="87"/>
      <c r="BA1088" s="87"/>
      <c r="BB1088" s="87"/>
      <c r="BC1088" s="87"/>
      <c r="BD1088" s="87"/>
      <c r="BE1088" s="87"/>
      <c r="BF1088" s="87"/>
      <c r="BG1088" s="87"/>
      <c r="BH1088" s="87"/>
    </row>
    <row r="1089" spans="1:60" ht="16">
      <c r="A1089" s="82"/>
      <c r="B1089" s="82"/>
      <c r="C1089" s="82"/>
      <c r="D1089" s="83"/>
      <c r="E1089" s="84"/>
      <c r="F1089" s="84"/>
      <c r="G1089" s="84"/>
      <c r="H1089" s="82"/>
      <c r="I1089" s="84"/>
      <c r="J1089" s="84"/>
      <c r="K1089" s="84"/>
      <c r="L1089" s="84"/>
      <c r="M1089" s="84"/>
      <c r="N1089" s="84"/>
      <c r="O1089" s="84"/>
      <c r="P1089" s="84"/>
      <c r="Q1089" s="84"/>
      <c r="R1089" s="84"/>
      <c r="S1089" s="84"/>
      <c r="T1089" s="84"/>
      <c r="U1089" s="84"/>
      <c r="V1089" s="84"/>
      <c r="W1089" s="84"/>
      <c r="X1089" s="84"/>
      <c r="Y1089" s="84"/>
      <c r="Z1089" s="87"/>
      <c r="AA1089" s="87"/>
      <c r="AB1089" s="87"/>
      <c r="AC1089" s="87"/>
      <c r="AD1089" s="87"/>
      <c r="AE1089" s="87"/>
      <c r="AF1089" s="87"/>
      <c r="AG1089" s="87"/>
      <c r="AH1089" s="87"/>
      <c r="AI1089" s="87"/>
      <c r="AJ1089" s="87"/>
      <c r="AK1089" s="87"/>
      <c r="AL1089" s="87"/>
      <c r="AM1089" s="87"/>
      <c r="AN1089" s="87"/>
      <c r="AO1089" s="87"/>
      <c r="AP1089" s="87"/>
      <c r="AQ1089" s="87"/>
      <c r="AR1089" s="87"/>
      <c r="AS1089" s="87"/>
      <c r="AT1089" s="87"/>
      <c r="AU1089" s="87"/>
      <c r="AV1089" s="87"/>
      <c r="AW1089" s="87"/>
      <c r="AX1089" s="87"/>
      <c r="AY1089" s="87"/>
      <c r="AZ1089" s="87"/>
      <c r="BA1089" s="87"/>
      <c r="BB1089" s="87"/>
      <c r="BC1089" s="87"/>
      <c r="BD1089" s="87"/>
      <c r="BE1089" s="87"/>
      <c r="BF1089" s="87"/>
      <c r="BG1089" s="87"/>
      <c r="BH1089" s="87"/>
    </row>
    <row r="1090" spans="1:60" ht="16">
      <c r="A1090" s="82"/>
      <c r="B1090" s="82"/>
      <c r="C1090" s="82"/>
      <c r="D1090" s="83"/>
      <c r="E1090" s="84"/>
      <c r="F1090" s="84"/>
      <c r="G1090" s="84"/>
      <c r="H1090" s="82"/>
      <c r="I1090" s="84"/>
      <c r="J1090" s="84"/>
      <c r="K1090" s="84"/>
      <c r="L1090" s="84"/>
      <c r="M1090" s="84"/>
      <c r="N1090" s="84"/>
      <c r="O1090" s="84"/>
      <c r="P1090" s="84"/>
      <c r="Q1090" s="84"/>
      <c r="R1090" s="84"/>
      <c r="S1090" s="84"/>
      <c r="T1090" s="84"/>
      <c r="U1090" s="84"/>
      <c r="V1090" s="84"/>
      <c r="W1090" s="84"/>
      <c r="X1090" s="84"/>
      <c r="Y1090" s="84"/>
      <c r="Z1090" s="87"/>
      <c r="AA1090" s="87"/>
      <c r="AB1090" s="87"/>
      <c r="AC1090" s="87"/>
      <c r="AD1090" s="87"/>
      <c r="AE1090" s="87"/>
      <c r="AF1090" s="87"/>
      <c r="AG1090" s="87"/>
      <c r="AH1090" s="87"/>
      <c r="AI1090" s="87"/>
      <c r="AJ1090" s="87"/>
      <c r="AK1090" s="87"/>
      <c r="AL1090" s="87"/>
      <c r="AM1090" s="87"/>
      <c r="AN1090" s="87"/>
      <c r="AO1090" s="87"/>
      <c r="AP1090" s="87"/>
      <c r="AQ1090" s="87"/>
      <c r="AR1090" s="87"/>
      <c r="AS1090" s="87"/>
      <c r="AT1090" s="87"/>
      <c r="AU1090" s="87"/>
      <c r="AV1090" s="87"/>
      <c r="AW1090" s="87"/>
      <c r="AX1090" s="87"/>
      <c r="AY1090" s="87"/>
      <c r="AZ1090" s="87"/>
      <c r="BA1090" s="87"/>
      <c r="BB1090" s="87"/>
      <c r="BC1090" s="87"/>
      <c r="BD1090" s="87"/>
      <c r="BE1090" s="87"/>
      <c r="BF1090" s="87"/>
      <c r="BG1090" s="87"/>
      <c r="BH1090" s="87"/>
    </row>
    <row r="1091" spans="1:60" ht="16">
      <c r="A1091" s="82"/>
      <c r="B1091" s="82"/>
      <c r="C1091" s="82"/>
      <c r="D1091" s="83"/>
      <c r="E1091" s="84"/>
      <c r="F1091" s="84"/>
      <c r="G1091" s="84"/>
      <c r="H1091" s="82"/>
      <c r="I1091" s="84"/>
      <c r="J1091" s="84"/>
      <c r="K1091" s="84"/>
      <c r="L1091" s="84"/>
      <c r="M1091" s="84"/>
      <c r="N1091" s="84"/>
      <c r="O1091" s="84"/>
      <c r="P1091" s="84"/>
      <c r="Q1091" s="84"/>
      <c r="R1091" s="84"/>
      <c r="S1091" s="84"/>
      <c r="T1091" s="84"/>
      <c r="U1091" s="84"/>
      <c r="V1091" s="84"/>
      <c r="W1091" s="84"/>
      <c r="X1091" s="84"/>
      <c r="Y1091" s="84"/>
      <c r="Z1091" s="87"/>
      <c r="AA1091" s="87"/>
      <c r="AB1091" s="87"/>
      <c r="AC1091" s="87"/>
      <c r="AD1091" s="87"/>
      <c r="AE1091" s="87"/>
      <c r="AF1091" s="87"/>
      <c r="AG1091" s="87"/>
      <c r="AH1091" s="87"/>
      <c r="AI1091" s="87"/>
      <c r="AJ1091" s="87"/>
      <c r="AK1091" s="87"/>
      <c r="AL1091" s="87"/>
      <c r="AM1091" s="87"/>
      <c r="AN1091" s="87"/>
      <c r="AO1091" s="87"/>
      <c r="AP1091" s="87"/>
      <c r="AQ1091" s="87"/>
      <c r="AR1091" s="87"/>
      <c r="AS1091" s="87"/>
      <c r="AT1091" s="87"/>
      <c r="AU1091" s="87"/>
      <c r="AV1091" s="87"/>
      <c r="AW1091" s="87"/>
      <c r="AX1091" s="87"/>
      <c r="AY1091" s="87"/>
      <c r="AZ1091" s="87"/>
      <c r="BA1091" s="87"/>
      <c r="BB1091" s="87"/>
      <c r="BC1091" s="87"/>
      <c r="BD1091" s="87"/>
      <c r="BE1091" s="87"/>
      <c r="BF1091" s="87"/>
      <c r="BG1091" s="87"/>
      <c r="BH1091" s="87"/>
    </row>
    <row r="1092" spans="1:60" ht="16">
      <c r="A1092" s="82"/>
      <c r="B1092" s="82"/>
      <c r="C1092" s="82"/>
      <c r="D1092" s="83"/>
      <c r="E1092" s="84"/>
      <c r="F1092" s="84"/>
      <c r="G1092" s="84"/>
      <c r="H1092" s="82"/>
      <c r="I1092" s="84"/>
      <c r="J1092" s="84"/>
      <c r="K1092" s="84"/>
      <c r="L1092" s="84"/>
      <c r="M1092" s="84"/>
      <c r="N1092" s="84"/>
      <c r="O1092" s="84"/>
      <c r="P1092" s="84"/>
      <c r="Q1092" s="84"/>
      <c r="R1092" s="84"/>
      <c r="S1092" s="84"/>
      <c r="T1092" s="84"/>
      <c r="U1092" s="84"/>
      <c r="V1092" s="84"/>
      <c r="W1092" s="84"/>
      <c r="X1092" s="84"/>
      <c r="Y1092" s="84"/>
      <c r="Z1092" s="87"/>
      <c r="AA1092" s="87"/>
      <c r="AB1092" s="87"/>
      <c r="AC1092" s="87"/>
      <c r="AD1092" s="87"/>
      <c r="AE1092" s="87"/>
      <c r="AF1092" s="87"/>
      <c r="AG1092" s="87"/>
      <c r="AH1092" s="87"/>
      <c r="AI1092" s="87"/>
      <c r="AJ1092" s="87"/>
      <c r="AK1092" s="87"/>
      <c r="AL1092" s="87"/>
      <c r="AM1092" s="87"/>
      <c r="AN1092" s="87"/>
      <c r="AO1092" s="87"/>
      <c r="AP1092" s="87"/>
      <c r="AQ1092" s="87"/>
      <c r="AR1092" s="87"/>
      <c r="AS1092" s="87"/>
      <c r="AT1092" s="87"/>
      <c r="AU1092" s="87"/>
      <c r="AV1092" s="87"/>
      <c r="AW1092" s="87"/>
      <c r="AX1092" s="87"/>
      <c r="AY1092" s="87"/>
      <c r="AZ1092" s="87"/>
      <c r="BA1092" s="87"/>
      <c r="BB1092" s="87"/>
      <c r="BC1092" s="87"/>
      <c r="BD1092" s="87"/>
      <c r="BE1092" s="87"/>
      <c r="BF1092" s="87"/>
      <c r="BG1092" s="87"/>
      <c r="BH1092" s="87"/>
    </row>
    <row r="1093" spans="1:60" ht="16">
      <c r="A1093" s="82"/>
      <c r="B1093" s="82"/>
      <c r="C1093" s="82"/>
      <c r="D1093" s="83"/>
      <c r="E1093" s="84"/>
      <c r="F1093" s="84"/>
      <c r="G1093" s="84"/>
      <c r="H1093" s="82"/>
      <c r="I1093" s="84"/>
      <c r="J1093" s="84"/>
      <c r="K1093" s="84"/>
      <c r="L1093" s="84"/>
      <c r="M1093" s="84"/>
      <c r="N1093" s="84"/>
      <c r="O1093" s="84"/>
      <c r="P1093" s="84"/>
      <c r="Q1093" s="84"/>
      <c r="R1093" s="84"/>
      <c r="S1093" s="84"/>
      <c r="T1093" s="84"/>
      <c r="U1093" s="84"/>
      <c r="V1093" s="84"/>
      <c r="W1093" s="84"/>
      <c r="X1093" s="84"/>
      <c r="Y1093" s="84"/>
      <c r="Z1093" s="87"/>
      <c r="AA1093" s="87"/>
      <c r="AB1093" s="87"/>
      <c r="AC1093" s="87"/>
      <c r="AD1093" s="87"/>
      <c r="AE1093" s="87"/>
      <c r="AF1093" s="87"/>
      <c r="AG1093" s="87"/>
      <c r="AH1093" s="87"/>
      <c r="AI1093" s="87"/>
      <c r="AJ1093" s="87"/>
      <c r="AK1093" s="87"/>
      <c r="AL1093" s="87"/>
      <c r="AM1093" s="87"/>
      <c r="AN1093" s="87"/>
      <c r="AO1093" s="87"/>
      <c r="AP1093" s="87"/>
      <c r="AQ1093" s="87"/>
      <c r="AR1093" s="87"/>
      <c r="AS1093" s="87"/>
      <c r="AT1093" s="87"/>
      <c r="AU1093" s="87"/>
      <c r="AV1093" s="87"/>
      <c r="AW1093" s="87"/>
      <c r="AX1093" s="87"/>
      <c r="AY1093" s="87"/>
      <c r="AZ1093" s="87"/>
      <c r="BA1093" s="87"/>
      <c r="BB1093" s="87"/>
      <c r="BC1093" s="87"/>
      <c r="BD1093" s="87"/>
      <c r="BE1093" s="87"/>
      <c r="BF1093" s="87"/>
      <c r="BG1093" s="87"/>
      <c r="BH1093" s="87"/>
    </row>
    <row r="1094" spans="1:60" ht="16">
      <c r="A1094" s="82"/>
      <c r="B1094" s="82"/>
      <c r="C1094" s="82"/>
      <c r="D1094" s="83"/>
      <c r="E1094" s="84"/>
      <c r="F1094" s="84"/>
      <c r="G1094" s="84"/>
      <c r="H1094" s="82"/>
      <c r="I1094" s="84"/>
      <c r="J1094" s="84"/>
      <c r="K1094" s="84"/>
      <c r="L1094" s="84"/>
      <c r="M1094" s="84"/>
      <c r="N1094" s="84"/>
      <c r="O1094" s="84"/>
      <c r="P1094" s="84"/>
      <c r="Q1094" s="84"/>
      <c r="R1094" s="84"/>
      <c r="S1094" s="84"/>
      <c r="T1094" s="84"/>
      <c r="U1094" s="84"/>
      <c r="V1094" s="84"/>
      <c r="W1094" s="84"/>
      <c r="X1094" s="84"/>
      <c r="Y1094" s="84"/>
      <c r="Z1094" s="87"/>
      <c r="AA1094" s="87"/>
      <c r="AB1094" s="87"/>
      <c r="AC1094" s="87"/>
      <c r="AD1094" s="87"/>
      <c r="AE1094" s="87"/>
      <c r="AF1094" s="87"/>
      <c r="AG1094" s="87"/>
      <c r="AH1094" s="87"/>
      <c r="AI1094" s="87"/>
      <c r="AJ1094" s="87"/>
      <c r="AK1094" s="87"/>
      <c r="AL1094" s="87"/>
      <c r="AM1094" s="87"/>
      <c r="AN1094" s="87"/>
      <c r="AO1094" s="87"/>
      <c r="AP1094" s="87"/>
      <c r="AQ1094" s="87"/>
      <c r="AR1094" s="87"/>
      <c r="AS1094" s="87"/>
      <c r="AT1094" s="87"/>
      <c r="AU1094" s="87"/>
      <c r="AV1094" s="87"/>
      <c r="AW1094" s="87"/>
      <c r="AX1094" s="87"/>
      <c r="AY1094" s="87"/>
      <c r="AZ1094" s="87"/>
      <c r="BA1094" s="87"/>
      <c r="BB1094" s="87"/>
      <c r="BC1094" s="87"/>
      <c r="BD1094" s="87"/>
      <c r="BE1094" s="87"/>
      <c r="BF1094" s="87"/>
      <c r="BG1094" s="87"/>
      <c r="BH1094" s="87"/>
    </row>
    <row r="1095" spans="1:60" ht="16">
      <c r="A1095" s="82"/>
      <c r="B1095" s="82"/>
      <c r="C1095" s="82"/>
      <c r="D1095" s="83"/>
      <c r="E1095" s="84"/>
      <c r="F1095" s="84"/>
      <c r="G1095" s="84"/>
      <c r="H1095" s="82"/>
      <c r="I1095" s="84"/>
      <c r="J1095" s="84"/>
      <c r="K1095" s="84"/>
      <c r="L1095" s="84"/>
      <c r="M1095" s="84"/>
      <c r="N1095" s="84"/>
      <c r="O1095" s="84"/>
      <c r="P1095" s="84"/>
      <c r="Q1095" s="84"/>
      <c r="R1095" s="84"/>
      <c r="S1095" s="84"/>
      <c r="T1095" s="84"/>
      <c r="U1095" s="84"/>
      <c r="V1095" s="84"/>
      <c r="W1095" s="84"/>
      <c r="X1095" s="84"/>
      <c r="Y1095" s="84"/>
      <c r="Z1095" s="87"/>
      <c r="AA1095" s="87"/>
      <c r="AB1095" s="87"/>
      <c r="AC1095" s="87"/>
      <c r="AD1095" s="87"/>
      <c r="AE1095" s="87"/>
      <c r="AF1095" s="87"/>
      <c r="AG1095" s="87"/>
      <c r="AH1095" s="87"/>
      <c r="AI1095" s="87"/>
      <c r="AJ1095" s="87"/>
      <c r="AK1095" s="87"/>
      <c r="AL1095" s="87"/>
      <c r="AM1095" s="87"/>
      <c r="AN1095" s="87"/>
      <c r="AO1095" s="87"/>
      <c r="AP1095" s="87"/>
      <c r="AQ1095" s="87"/>
      <c r="AR1095" s="87"/>
      <c r="AS1095" s="87"/>
      <c r="AT1095" s="87"/>
      <c r="AU1095" s="87"/>
      <c r="AV1095" s="87"/>
      <c r="AW1095" s="87"/>
      <c r="AX1095" s="87"/>
      <c r="AY1095" s="87"/>
      <c r="AZ1095" s="87"/>
      <c r="BA1095" s="87"/>
      <c r="BB1095" s="87"/>
      <c r="BC1095" s="87"/>
      <c r="BD1095" s="87"/>
      <c r="BE1095" s="87"/>
      <c r="BF1095" s="87"/>
      <c r="BG1095" s="87"/>
      <c r="BH1095" s="87"/>
    </row>
    <row r="1096" spans="1:60" ht="16">
      <c r="A1096" s="82"/>
      <c r="B1096" s="82"/>
      <c r="C1096" s="82"/>
      <c r="D1096" s="83"/>
      <c r="E1096" s="84"/>
      <c r="F1096" s="84"/>
      <c r="G1096" s="84"/>
      <c r="H1096" s="82"/>
      <c r="I1096" s="84"/>
      <c r="J1096" s="84"/>
      <c r="K1096" s="84"/>
      <c r="L1096" s="84"/>
      <c r="M1096" s="84"/>
      <c r="N1096" s="84"/>
      <c r="O1096" s="84"/>
      <c r="P1096" s="84"/>
      <c r="Q1096" s="84"/>
      <c r="R1096" s="84"/>
      <c r="S1096" s="84"/>
      <c r="T1096" s="84"/>
      <c r="U1096" s="84"/>
      <c r="V1096" s="84"/>
      <c r="W1096" s="84"/>
      <c r="X1096" s="84"/>
      <c r="Y1096" s="84"/>
      <c r="Z1096" s="87"/>
      <c r="AA1096" s="87"/>
      <c r="AB1096" s="87"/>
      <c r="AC1096" s="87"/>
      <c r="AD1096" s="87"/>
      <c r="AE1096" s="87"/>
      <c r="AF1096" s="87"/>
      <c r="AG1096" s="87"/>
      <c r="AH1096" s="87"/>
      <c r="AI1096" s="87"/>
      <c r="AJ1096" s="87"/>
      <c r="AK1096" s="87"/>
      <c r="AL1096" s="87"/>
      <c r="AM1096" s="87"/>
      <c r="AN1096" s="87"/>
      <c r="AO1096" s="87"/>
      <c r="AP1096" s="87"/>
      <c r="AQ1096" s="87"/>
      <c r="AR1096" s="87"/>
      <c r="AS1096" s="87"/>
      <c r="AT1096" s="87"/>
      <c r="AU1096" s="87"/>
      <c r="AV1096" s="87"/>
      <c r="AW1096" s="87"/>
      <c r="AX1096" s="87"/>
      <c r="AY1096" s="87"/>
      <c r="AZ1096" s="87"/>
      <c r="BA1096" s="87"/>
      <c r="BB1096" s="87"/>
      <c r="BC1096" s="87"/>
      <c r="BD1096" s="87"/>
      <c r="BE1096" s="87"/>
      <c r="BF1096" s="87"/>
      <c r="BG1096" s="87"/>
      <c r="BH1096" s="87"/>
    </row>
    <row r="1097" spans="1:60" ht="16">
      <c r="A1097" s="82"/>
      <c r="B1097" s="82"/>
      <c r="C1097" s="82"/>
      <c r="D1097" s="83"/>
      <c r="E1097" s="84"/>
      <c r="F1097" s="84"/>
      <c r="G1097" s="84"/>
      <c r="H1097" s="82"/>
      <c r="I1097" s="84"/>
      <c r="J1097" s="84"/>
      <c r="K1097" s="84"/>
      <c r="L1097" s="84"/>
      <c r="M1097" s="84"/>
      <c r="N1097" s="84"/>
      <c r="O1097" s="84"/>
      <c r="P1097" s="84"/>
      <c r="Q1097" s="84"/>
      <c r="R1097" s="84"/>
      <c r="S1097" s="84"/>
      <c r="T1097" s="84"/>
      <c r="U1097" s="84"/>
      <c r="V1097" s="84"/>
      <c r="W1097" s="84"/>
      <c r="X1097" s="84"/>
      <c r="Y1097" s="84"/>
      <c r="Z1097" s="87"/>
      <c r="AA1097" s="87"/>
      <c r="AB1097" s="87"/>
      <c r="AC1097" s="87"/>
      <c r="AD1097" s="87"/>
      <c r="AE1097" s="87"/>
      <c r="AF1097" s="87"/>
      <c r="AG1097" s="87"/>
      <c r="AH1097" s="87"/>
      <c r="AI1097" s="87"/>
      <c r="AJ1097" s="87"/>
      <c r="AK1097" s="87"/>
      <c r="AL1097" s="87"/>
      <c r="AM1097" s="87"/>
      <c r="AN1097" s="87"/>
      <c r="AO1097" s="87"/>
      <c r="AP1097" s="87"/>
      <c r="AQ1097" s="87"/>
      <c r="AR1097" s="87"/>
      <c r="AS1097" s="87"/>
      <c r="AT1097" s="87"/>
      <c r="AU1097" s="87"/>
      <c r="AV1097" s="87"/>
      <c r="AW1097" s="87"/>
      <c r="AX1097" s="87"/>
      <c r="AY1097" s="87"/>
      <c r="AZ1097" s="87"/>
      <c r="BA1097" s="87"/>
      <c r="BB1097" s="87"/>
      <c r="BC1097" s="87"/>
      <c r="BD1097" s="87"/>
      <c r="BE1097" s="87"/>
      <c r="BF1097" s="87"/>
      <c r="BG1097" s="87"/>
      <c r="BH1097" s="87"/>
    </row>
    <row r="1098" spans="1:60" ht="16">
      <c r="A1098" s="82"/>
      <c r="B1098" s="82"/>
      <c r="C1098" s="82"/>
      <c r="D1098" s="83"/>
      <c r="E1098" s="84"/>
      <c r="F1098" s="84"/>
      <c r="G1098" s="84"/>
      <c r="H1098" s="82"/>
      <c r="I1098" s="84"/>
      <c r="J1098" s="84"/>
      <c r="K1098" s="84"/>
      <c r="L1098" s="84"/>
      <c r="M1098" s="84"/>
      <c r="N1098" s="84"/>
      <c r="O1098" s="84"/>
      <c r="P1098" s="84"/>
      <c r="Q1098" s="84"/>
      <c r="R1098" s="84"/>
      <c r="S1098" s="84"/>
      <c r="T1098" s="84"/>
      <c r="U1098" s="84"/>
      <c r="V1098" s="84"/>
      <c r="W1098" s="84"/>
      <c r="X1098" s="84"/>
      <c r="Y1098" s="84"/>
      <c r="Z1098" s="87"/>
      <c r="AA1098" s="87"/>
      <c r="AB1098" s="87"/>
      <c r="AC1098" s="87"/>
      <c r="AD1098" s="87"/>
      <c r="AE1098" s="87"/>
      <c r="AF1098" s="87"/>
      <c r="AG1098" s="87"/>
      <c r="AH1098" s="87"/>
      <c r="AI1098" s="87"/>
      <c r="AJ1098" s="87"/>
      <c r="AK1098" s="87"/>
      <c r="AL1098" s="87"/>
      <c r="AM1098" s="87"/>
      <c r="AN1098" s="87"/>
      <c r="AO1098" s="87"/>
      <c r="AP1098" s="87"/>
      <c r="AQ1098" s="87"/>
      <c r="AR1098" s="87"/>
      <c r="AS1098" s="87"/>
      <c r="AT1098" s="87"/>
      <c r="AU1098" s="87"/>
      <c r="AV1098" s="87"/>
      <c r="AW1098" s="87"/>
      <c r="AX1098" s="87"/>
      <c r="AY1098" s="87"/>
      <c r="AZ1098" s="87"/>
      <c r="BA1098" s="87"/>
      <c r="BB1098" s="87"/>
      <c r="BC1098" s="87"/>
      <c r="BD1098" s="87"/>
      <c r="BE1098" s="87"/>
      <c r="BF1098" s="87"/>
      <c r="BG1098" s="87"/>
      <c r="BH1098" s="87"/>
    </row>
    <row r="1099" spans="1:60" ht="16">
      <c r="A1099" s="82"/>
      <c r="B1099" s="82"/>
      <c r="C1099" s="82"/>
      <c r="D1099" s="83"/>
      <c r="E1099" s="84"/>
      <c r="F1099" s="84"/>
      <c r="G1099" s="84"/>
      <c r="H1099" s="82"/>
      <c r="I1099" s="84"/>
      <c r="J1099" s="84"/>
      <c r="K1099" s="84"/>
      <c r="L1099" s="84"/>
      <c r="M1099" s="84"/>
      <c r="N1099" s="84"/>
      <c r="O1099" s="84"/>
      <c r="P1099" s="84"/>
      <c r="Q1099" s="84"/>
      <c r="R1099" s="84"/>
      <c r="S1099" s="84"/>
      <c r="T1099" s="84"/>
      <c r="U1099" s="84"/>
      <c r="V1099" s="84"/>
      <c r="W1099" s="84"/>
      <c r="X1099" s="84"/>
      <c r="Y1099" s="84"/>
      <c r="Z1099" s="87"/>
      <c r="AA1099" s="87"/>
      <c r="AB1099" s="87"/>
      <c r="AC1099" s="87"/>
      <c r="AD1099" s="87"/>
      <c r="AE1099" s="87"/>
      <c r="AF1099" s="87"/>
      <c r="AG1099" s="87"/>
      <c r="AH1099" s="87"/>
      <c r="AI1099" s="87"/>
      <c r="AJ1099" s="87"/>
      <c r="AK1099" s="87"/>
      <c r="AL1099" s="87"/>
      <c r="AM1099" s="87"/>
      <c r="AN1099" s="87"/>
      <c r="AO1099" s="87"/>
      <c r="AP1099" s="87"/>
      <c r="AQ1099" s="87"/>
      <c r="AR1099" s="87"/>
      <c r="AS1099" s="87"/>
      <c r="AT1099" s="87"/>
      <c r="AU1099" s="87"/>
      <c r="AV1099" s="87"/>
      <c r="AW1099" s="87"/>
      <c r="AX1099" s="87"/>
      <c r="AY1099" s="87"/>
      <c r="AZ1099" s="87"/>
      <c r="BA1099" s="87"/>
      <c r="BB1099" s="87"/>
      <c r="BC1099" s="87"/>
      <c r="BD1099" s="87"/>
      <c r="BE1099" s="87"/>
      <c r="BF1099" s="87"/>
      <c r="BG1099" s="87"/>
      <c r="BH1099" s="87"/>
    </row>
    <row r="1100" spans="1:60" ht="16">
      <c r="A1100" s="82"/>
      <c r="B1100" s="82"/>
      <c r="C1100" s="82"/>
      <c r="D1100" s="83"/>
      <c r="E1100" s="84"/>
      <c r="F1100" s="84"/>
      <c r="G1100" s="84"/>
      <c r="H1100" s="82"/>
      <c r="I1100" s="84"/>
      <c r="J1100" s="84"/>
      <c r="K1100" s="84"/>
      <c r="L1100" s="84"/>
      <c r="M1100" s="84"/>
      <c r="N1100" s="84"/>
      <c r="O1100" s="84"/>
      <c r="P1100" s="84"/>
      <c r="Q1100" s="84"/>
      <c r="R1100" s="84"/>
      <c r="S1100" s="84"/>
      <c r="T1100" s="84"/>
      <c r="U1100" s="84"/>
      <c r="V1100" s="84"/>
      <c r="W1100" s="84"/>
      <c r="X1100" s="84"/>
      <c r="Y1100" s="84"/>
      <c r="Z1100" s="87"/>
      <c r="AA1100" s="87"/>
      <c r="AB1100" s="87"/>
      <c r="AC1100" s="87"/>
      <c r="AD1100" s="87"/>
      <c r="AE1100" s="87"/>
      <c r="AF1100" s="87"/>
      <c r="AG1100" s="87"/>
      <c r="AH1100" s="87"/>
      <c r="AI1100" s="87"/>
      <c r="AJ1100" s="87"/>
      <c r="AK1100" s="87"/>
      <c r="AL1100" s="87"/>
      <c r="AM1100" s="87"/>
      <c r="AN1100" s="87"/>
      <c r="AO1100" s="87"/>
      <c r="AP1100" s="87"/>
      <c r="AQ1100" s="87"/>
      <c r="AR1100" s="87"/>
      <c r="AS1100" s="87"/>
      <c r="AT1100" s="87"/>
      <c r="AU1100" s="87"/>
      <c r="AV1100" s="87"/>
      <c r="AW1100" s="87"/>
      <c r="AX1100" s="87"/>
      <c r="AY1100" s="87"/>
      <c r="AZ1100" s="87"/>
      <c r="BA1100" s="87"/>
      <c r="BB1100" s="87"/>
      <c r="BC1100" s="87"/>
      <c r="BD1100" s="87"/>
      <c r="BE1100" s="87"/>
      <c r="BF1100" s="87"/>
      <c r="BG1100" s="87"/>
      <c r="BH1100" s="87"/>
    </row>
    <row r="1101" spans="1:60" ht="16">
      <c r="A1101" s="82"/>
      <c r="B1101" s="82"/>
      <c r="C1101" s="82"/>
      <c r="D1101" s="83"/>
      <c r="E1101" s="84"/>
      <c r="F1101" s="84"/>
      <c r="G1101" s="84"/>
      <c r="H1101" s="82"/>
      <c r="I1101" s="84"/>
      <c r="J1101" s="84"/>
      <c r="K1101" s="84"/>
      <c r="L1101" s="84"/>
      <c r="M1101" s="84"/>
      <c r="N1101" s="84"/>
      <c r="O1101" s="84"/>
      <c r="P1101" s="84"/>
      <c r="Q1101" s="84"/>
      <c r="R1101" s="84"/>
      <c r="S1101" s="84"/>
      <c r="T1101" s="84"/>
      <c r="U1101" s="84"/>
      <c r="V1101" s="84"/>
      <c r="W1101" s="84"/>
      <c r="X1101" s="84"/>
      <c r="Y1101" s="84"/>
      <c r="Z1101" s="87"/>
      <c r="AA1101" s="87"/>
      <c r="AB1101" s="87"/>
      <c r="AC1101" s="87"/>
      <c r="AD1101" s="87"/>
      <c r="AE1101" s="87"/>
      <c r="AF1101" s="87"/>
      <c r="AG1101" s="87"/>
      <c r="AH1101" s="87"/>
      <c r="AI1101" s="87"/>
      <c r="AJ1101" s="87"/>
      <c r="AK1101" s="87"/>
      <c r="AL1101" s="87"/>
      <c r="AM1101" s="87"/>
      <c r="AN1101" s="87"/>
      <c r="AO1101" s="87"/>
      <c r="AP1101" s="87"/>
      <c r="AQ1101" s="87"/>
      <c r="AR1101" s="87"/>
      <c r="AS1101" s="87"/>
      <c r="AT1101" s="87"/>
      <c r="AU1101" s="87"/>
      <c r="AV1101" s="87"/>
      <c r="AW1101" s="87"/>
      <c r="AX1101" s="87"/>
      <c r="AY1101" s="87"/>
      <c r="AZ1101" s="87"/>
      <c r="BA1101" s="87"/>
      <c r="BB1101" s="87"/>
      <c r="BC1101" s="87"/>
      <c r="BD1101" s="87"/>
      <c r="BE1101" s="87"/>
      <c r="BF1101" s="87"/>
      <c r="BG1101" s="87"/>
      <c r="BH1101" s="87"/>
    </row>
    <row r="1102" spans="1:60" ht="16">
      <c r="A1102" s="82"/>
      <c r="B1102" s="82"/>
      <c r="C1102" s="82"/>
      <c r="D1102" s="83"/>
      <c r="E1102" s="84"/>
      <c r="F1102" s="84"/>
      <c r="G1102" s="84"/>
      <c r="H1102" s="82"/>
      <c r="I1102" s="84"/>
      <c r="J1102" s="84"/>
      <c r="K1102" s="84"/>
      <c r="L1102" s="84"/>
      <c r="M1102" s="84"/>
      <c r="N1102" s="84"/>
      <c r="O1102" s="84"/>
      <c r="P1102" s="84"/>
      <c r="Q1102" s="84"/>
      <c r="R1102" s="84"/>
      <c r="S1102" s="84"/>
      <c r="T1102" s="84"/>
      <c r="U1102" s="84"/>
      <c r="V1102" s="84"/>
      <c r="W1102" s="84"/>
      <c r="X1102" s="84"/>
      <c r="Y1102" s="84"/>
      <c r="Z1102" s="87"/>
      <c r="AA1102" s="87"/>
      <c r="AB1102" s="87"/>
      <c r="AC1102" s="87"/>
      <c r="AD1102" s="87"/>
      <c r="AE1102" s="87"/>
      <c r="AF1102" s="87"/>
      <c r="AG1102" s="87"/>
      <c r="AH1102" s="87"/>
      <c r="AI1102" s="87"/>
      <c r="AJ1102" s="87"/>
      <c r="AK1102" s="87"/>
      <c r="AL1102" s="87"/>
      <c r="AM1102" s="87"/>
      <c r="AN1102" s="87"/>
      <c r="AO1102" s="87"/>
      <c r="AP1102" s="87"/>
      <c r="AQ1102" s="87"/>
      <c r="AR1102" s="87"/>
      <c r="AS1102" s="87"/>
      <c r="AT1102" s="87"/>
      <c r="AU1102" s="87"/>
      <c r="AV1102" s="87"/>
      <c r="AW1102" s="87"/>
      <c r="AX1102" s="87"/>
      <c r="AY1102" s="87"/>
      <c r="AZ1102" s="87"/>
      <c r="BA1102" s="87"/>
      <c r="BB1102" s="87"/>
      <c r="BC1102" s="87"/>
      <c r="BD1102" s="87"/>
      <c r="BE1102" s="87"/>
      <c r="BF1102" s="87"/>
      <c r="BG1102" s="87"/>
      <c r="BH1102" s="87"/>
    </row>
    <row r="1103" spans="1:60" ht="16">
      <c r="A1103" s="82"/>
      <c r="B1103" s="82"/>
      <c r="C1103" s="82"/>
      <c r="D1103" s="83"/>
      <c r="E1103" s="84"/>
      <c r="F1103" s="84"/>
      <c r="G1103" s="84"/>
      <c r="H1103" s="82"/>
      <c r="I1103" s="84"/>
      <c r="J1103" s="84"/>
      <c r="K1103" s="84"/>
      <c r="L1103" s="84"/>
      <c r="M1103" s="84"/>
      <c r="N1103" s="84"/>
      <c r="O1103" s="84"/>
      <c r="P1103" s="84"/>
      <c r="Q1103" s="84"/>
      <c r="R1103" s="84"/>
      <c r="S1103" s="84"/>
      <c r="T1103" s="84"/>
      <c r="U1103" s="84"/>
      <c r="V1103" s="84"/>
      <c r="W1103" s="84"/>
      <c r="X1103" s="84"/>
      <c r="Y1103" s="84"/>
      <c r="Z1103" s="87"/>
      <c r="AA1103" s="87"/>
      <c r="AB1103" s="87"/>
      <c r="AC1103" s="87"/>
      <c r="AD1103" s="87"/>
      <c r="AE1103" s="87"/>
      <c r="AF1103" s="87"/>
      <c r="AG1103" s="87"/>
      <c r="AH1103" s="87"/>
      <c r="AI1103" s="87"/>
      <c r="AJ1103" s="87"/>
      <c r="AK1103" s="87"/>
      <c r="AL1103" s="87"/>
      <c r="AM1103" s="87"/>
      <c r="AN1103" s="87"/>
      <c r="AO1103" s="87"/>
      <c r="AP1103" s="87"/>
      <c r="AQ1103" s="87"/>
      <c r="AR1103" s="87"/>
      <c r="AS1103" s="87"/>
      <c r="AT1103" s="87"/>
      <c r="AU1103" s="87"/>
      <c r="AV1103" s="87"/>
      <c r="AW1103" s="87"/>
      <c r="AX1103" s="87"/>
      <c r="AY1103" s="87"/>
      <c r="AZ1103" s="87"/>
      <c r="BA1103" s="87"/>
      <c r="BB1103" s="87"/>
      <c r="BC1103" s="87"/>
      <c r="BD1103" s="87"/>
      <c r="BE1103" s="87"/>
      <c r="BF1103" s="87"/>
      <c r="BG1103" s="87"/>
      <c r="BH1103" s="87"/>
    </row>
    <row r="1104" spans="1:60" ht="16">
      <c r="A1104" s="82"/>
      <c r="B1104" s="82"/>
      <c r="C1104" s="82"/>
      <c r="D1104" s="83"/>
      <c r="E1104" s="84"/>
      <c r="F1104" s="84"/>
      <c r="G1104" s="84"/>
      <c r="H1104" s="82"/>
      <c r="I1104" s="84"/>
      <c r="J1104" s="84"/>
      <c r="K1104" s="84"/>
      <c r="L1104" s="84"/>
      <c r="M1104" s="84"/>
      <c r="N1104" s="84"/>
      <c r="O1104" s="84"/>
      <c r="P1104" s="84"/>
      <c r="Q1104" s="84"/>
      <c r="R1104" s="84"/>
      <c r="S1104" s="84"/>
      <c r="T1104" s="84"/>
      <c r="U1104" s="84"/>
      <c r="V1104" s="84"/>
      <c r="W1104" s="84"/>
      <c r="X1104" s="84"/>
      <c r="Y1104" s="84"/>
      <c r="Z1104" s="87"/>
      <c r="AA1104" s="87"/>
      <c r="AB1104" s="87"/>
      <c r="AC1104" s="87"/>
      <c r="AD1104" s="87"/>
      <c r="AE1104" s="87"/>
      <c r="AF1104" s="87"/>
      <c r="AG1104" s="87"/>
      <c r="AH1104" s="87"/>
      <c r="AI1104" s="87"/>
      <c r="AJ1104" s="87"/>
      <c r="AK1104" s="87"/>
      <c r="AL1104" s="87"/>
      <c r="AM1104" s="87"/>
      <c r="AN1104" s="87"/>
      <c r="AO1104" s="87"/>
      <c r="AP1104" s="87"/>
      <c r="AQ1104" s="87"/>
      <c r="AR1104" s="87"/>
      <c r="AS1104" s="87"/>
      <c r="AT1104" s="87"/>
      <c r="AU1104" s="87"/>
      <c r="AV1104" s="87"/>
      <c r="AW1104" s="87"/>
      <c r="AX1104" s="87"/>
      <c r="AY1104" s="87"/>
      <c r="AZ1104" s="87"/>
      <c r="BA1104" s="87"/>
      <c r="BB1104" s="87"/>
      <c r="BC1104" s="87"/>
      <c r="BD1104" s="87"/>
      <c r="BE1104" s="87"/>
      <c r="BF1104" s="87"/>
      <c r="BG1104" s="87"/>
      <c r="BH1104" s="87"/>
    </row>
    <row r="1105" spans="1:60" ht="16">
      <c r="A1105" s="82"/>
      <c r="B1105" s="82"/>
      <c r="C1105" s="82"/>
      <c r="D1105" s="83"/>
      <c r="E1105" s="84"/>
      <c r="F1105" s="84"/>
      <c r="G1105" s="84"/>
      <c r="H1105" s="82"/>
      <c r="I1105" s="84"/>
      <c r="J1105" s="84"/>
      <c r="K1105" s="84"/>
      <c r="L1105" s="84"/>
      <c r="M1105" s="84"/>
      <c r="N1105" s="84"/>
      <c r="O1105" s="84"/>
      <c r="P1105" s="84"/>
      <c r="Q1105" s="84"/>
      <c r="R1105" s="84"/>
      <c r="S1105" s="84"/>
      <c r="T1105" s="84"/>
      <c r="U1105" s="84"/>
      <c r="V1105" s="84"/>
      <c r="W1105" s="84"/>
      <c r="X1105" s="84"/>
      <c r="Y1105" s="84"/>
      <c r="Z1105" s="87"/>
      <c r="AA1105" s="87"/>
      <c r="AB1105" s="87"/>
      <c r="AC1105" s="87"/>
      <c r="AD1105" s="87"/>
      <c r="AE1105" s="87"/>
      <c r="AF1105" s="87"/>
      <c r="AG1105" s="87"/>
      <c r="AH1105" s="87"/>
      <c r="AI1105" s="87"/>
      <c r="AJ1105" s="87"/>
      <c r="AK1105" s="87"/>
      <c r="AL1105" s="87"/>
      <c r="AM1105" s="87"/>
      <c r="AN1105" s="87"/>
      <c r="AO1105" s="87"/>
      <c r="AP1105" s="87"/>
      <c r="AQ1105" s="87"/>
      <c r="AR1105" s="87"/>
      <c r="AS1105" s="87"/>
      <c r="AT1105" s="87"/>
      <c r="AU1105" s="87"/>
      <c r="AV1105" s="87"/>
      <c r="AW1105" s="87"/>
      <c r="AX1105" s="87"/>
      <c r="AY1105" s="87"/>
      <c r="AZ1105" s="87"/>
      <c r="BA1105" s="87"/>
      <c r="BB1105" s="87"/>
      <c r="BC1105" s="87"/>
      <c r="BD1105" s="87"/>
      <c r="BE1105" s="87"/>
      <c r="BF1105" s="87"/>
      <c r="BG1105" s="87"/>
      <c r="BH1105" s="87"/>
    </row>
    <row r="1106" spans="1:60" ht="16">
      <c r="A1106" s="82"/>
      <c r="B1106" s="82"/>
      <c r="C1106" s="82"/>
      <c r="D1106" s="83"/>
      <c r="E1106" s="84"/>
      <c r="F1106" s="84"/>
      <c r="G1106" s="84"/>
      <c r="H1106" s="82"/>
      <c r="I1106" s="84"/>
      <c r="J1106" s="84"/>
      <c r="K1106" s="84"/>
      <c r="L1106" s="84"/>
      <c r="M1106" s="84"/>
      <c r="N1106" s="84"/>
      <c r="O1106" s="84"/>
      <c r="P1106" s="84"/>
      <c r="Q1106" s="84"/>
      <c r="R1106" s="84"/>
      <c r="S1106" s="84"/>
      <c r="T1106" s="84"/>
      <c r="U1106" s="84"/>
      <c r="V1106" s="84"/>
      <c r="W1106" s="84"/>
      <c r="X1106" s="84"/>
      <c r="Y1106" s="84"/>
      <c r="Z1106" s="87"/>
      <c r="AA1106" s="87"/>
      <c r="AB1106" s="87"/>
      <c r="AC1106" s="87"/>
      <c r="AD1106" s="87"/>
      <c r="AE1106" s="87"/>
      <c r="AF1106" s="87"/>
      <c r="AG1106" s="87"/>
      <c r="AH1106" s="87"/>
      <c r="AI1106" s="87"/>
      <c r="AJ1106" s="87"/>
      <c r="AK1106" s="87"/>
      <c r="AL1106" s="87"/>
      <c r="AM1106" s="87"/>
      <c r="AN1106" s="87"/>
      <c r="AO1106" s="87"/>
      <c r="AP1106" s="87"/>
      <c r="AQ1106" s="87"/>
      <c r="AR1106" s="87"/>
      <c r="AS1106" s="87"/>
      <c r="AT1106" s="87"/>
      <c r="AU1106" s="87"/>
      <c r="AV1106" s="87"/>
      <c r="AW1106" s="87"/>
      <c r="AX1106" s="87"/>
      <c r="AY1106" s="87"/>
      <c r="AZ1106" s="87"/>
      <c r="BA1106" s="87"/>
      <c r="BB1106" s="87"/>
      <c r="BC1106" s="87"/>
      <c r="BD1106" s="87"/>
      <c r="BE1106" s="87"/>
      <c r="BF1106" s="87"/>
      <c r="BG1106" s="87"/>
      <c r="BH1106" s="87"/>
    </row>
    <row r="1107" spans="1:60" ht="16">
      <c r="A1107" s="82"/>
      <c r="B1107" s="82"/>
      <c r="C1107" s="82"/>
      <c r="D1107" s="83"/>
      <c r="E1107" s="84"/>
      <c r="F1107" s="84"/>
      <c r="G1107" s="84"/>
      <c r="H1107" s="82"/>
      <c r="I1107" s="84"/>
      <c r="J1107" s="84"/>
      <c r="K1107" s="84"/>
      <c r="L1107" s="84"/>
      <c r="M1107" s="84"/>
      <c r="N1107" s="84"/>
      <c r="O1107" s="84"/>
      <c r="P1107" s="84"/>
      <c r="Q1107" s="84"/>
      <c r="R1107" s="84"/>
      <c r="S1107" s="84"/>
      <c r="T1107" s="84"/>
      <c r="U1107" s="84"/>
      <c r="V1107" s="84"/>
      <c r="W1107" s="84"/>
      <c r="X1107" s="84"/>
      <c r="Y1107" s="84"/>
      <c r="Z1107" s="87"/>
      <c r="AA1107" s="87"/>
      <c r="AB1107" s="87"/>
      <c r="AC1107" s="87"/>
      <c r="AD1107" s="87"/>
      <c r="AE1107" s="87"/>
      <c r="AF1107" s="87"/>
      <c r="AG1107" s="87"/>
      <c r="AH1107" s="87"/>
      <c r="AI1107" s="87"/>
      <c r="AJ1107" s="87"/>
      <c r="AK1107" s="87"/>
      <c r="AL1107" s="87"/>
      <c r="AM1107" s="87"/>
      <c r="AN1107" s="87"/>
      <c r="AO1107" s="87"/>
      <c r="AP1107" s="87"/>
      <c r="AQ1107" s="87"/>
      <c r="AR1107" s="87"/>
      <c r="AS1107" s="87"/>
      <c r="AT1107" s="87"/>
      <c r="AU1107" s="87"/>
      <c r="AV1107" s="87"/>
      <c r="AW1107" s="87"/>
      <c r="AX1107" s="87"/>
      <c r="AY1107" s="87"/>
      <c r="AZ1107" s="87"/>
      <c r="BA1107" s="87"/>
      <c r="BB1107" s="87"/>
      <c r="BC1107" s="87"/>
      <c r="BD1107" s="87"/>
      <c r="BE1107" s="87"/>
      <c r="BF1107" s="87"/>
      <c r="BG1107" s="87"/>
      <c r="BH1107" s="87"/>
    </row>
    <row r="1108" spans="1:60" ht="16">
      <c r="A1108" s="82"/>
      <c r="B1108" s="82"/>
      <c r="C1108" s="82"/>
      <c r="D1108" s="83"/>
      <c r="E1108" s="84"/>
      <c r="F1108" s="84"/>
      <c r="G1108" s="84"/>
      <c r="H1108" s="82"/>
      <c r="I1108" s="84"/>
      <c r="J1108" s="84"/>
      <c r="K1108" s="84"/>
      <c r="L1108" s="84"/>
      <c r="M1108" s="84"/>
      <c r="N1108" s="84"/>
      <c r="O1108" s="84"/>
      <c r="P1108" s="84"/>
      <c r="Q1108" s="84"/>
      <c r="R1108" s="84"/>
      <c r="S1108" s="84"/>
      <c r="T1108" s="84"/>
      <c r="U1108" s="84"/>
      <c r="V1108" s="84"/>
      <c r="W1108" s="84"/>
      <c r="X1108" s="84"/>
      <c r="Y1108" s="84"/>
      <c r="Z1108" s="87"/>
      <c r="AA1108" s="87"/>
      <c r="AB1108" s="87"/>
      <c r="AC1108" s="87"/>
      <c r="AD1108" s="87"/>
      <c r="AE1108" s="87"/>
      <c r="AF1108" s="87"/>
      <c r="AG1108" s="87"/>
      <c r="AH1108" s="87"/>
      <c r="AI1108" s="87"/>
      <c r="AJ1108" s="87"/>
      <c r="AK1108" s="87"/>
      <c r="AL1108" s="87"/>
      <c r="AM1108" s="87"/>
      <c r="AN1108" s="87"/>
      <c r="AO1108" s="87"/>
      <c r="AP1108" s="87"/>
      <c r="AQ1108" s="87"/>
      <c r="AR1108" s="87"/>
      <c r="AS1108" s="87"/>
      <c r="AT1108" s="87"/>
      <c r="AU1108" s="87"/>
      <c r="AV1108" s="87"/>
      <c r="AW1108" s="87"/>
      <c r="AX1108" s="87"/>
      <c r="AY1108" s="87"/>
      <c r="AZ1108" s="87"/>
      <c r="BA1108" s="87"/>
      <c r="BB1108" s="87"/>
      <c r="BC1108" s="87"/>
      <c r="BD1108" s="87"/>
      <c r="BE1108" s="87"/>
      <c r="BF1108" s="87"/>
      <c r="BG1108" s="87"/>
      <c r="BH1108" s="87"/>
    </row>
    <row r="1109" spans="1:60" ht="16">
      <c r="A1109" s="82"/>
      <c r="B1109" s="82"/>
      <c r="C1109" s="82"/>
      <c r="D1109" s="83"/>
      <c r="E1109" s="84"/>
      <c r="F1109" s="84"/>
      <c r="G1109" s="84"/>
      <c r="H1109" s="82"/>
      <c r="I1109" s="84"/>
      <c r="J1109" s="84"/>
      <c r="K1109" s="84"/>
      <c r="L1109" s="84"/>
      <c r="M1109" s="84"/>
      <c r="N1109" s="84"/>
      <c r="O1109" s="84"/>
      <c r="P1109" s="84"/>
      <c r="Q1109" s="84"/>
      <c r="R1109" s="84"/>
      <c r="S1109" s="84"/>
      <c r="T1109" s="84"/>
      <c r="U1109" s="84"/>
      <c r="V1109" s="84"/>
      <c r="W1109" s="84"/>
      <c r="X1109" s="84"/>
      <c r="Y1109" s="84"/>
      <c r="Z1109" s="87"/>
      <c r="AA1109" s="87"/>
      <c r="AB1109" s="87"/>
      <c r="AC1109" s="87"/>
      <c r="AD1109" s="87"/>
      <c r="AE1109" s="87"/>
      <c r="AF1109" s="87"/>
      <c r="AG1109" s="87"/>
      <c r="AH1109" s="87"/>
      <c r="AI1109" s="87"/>
      <c r="AJ1109" s="87"/>
      <c r="AK1109" s="87"/>
      <c r="AL1109" s="87"/>
      <c r="AM1109" s="87"/>
      <c r="AN1109" s="87"/>
      <c r="AO1109" s="87"/>
      <c r="AP1109" s="87"/>
      <c r="AQ1109" s="87"/>
      <c r="AR1109" s="87"/>
      <c r="AS1109" s="87"/>
      <c r="AT1109" s="87"/>
      <c r="AU1109" s="87"/>
      <c r="AV1109" s="87"/>
      <c r="AW1109" s="87"/>
      <c r="AX1109" s="87"/>
      <c r="AY1109" s="87"/>
      <c r="AZ1109" s="87"/>
      <c r="BA1109" s="87"/>
      <c r="BB1109" s="87"/>
      <c r="BC1109" s="87"/>
      <c r="BD1109" s="87"/>
      <c r="BE1109" s="87"/>
      <c r="BF1109" s="87"/>
      <c r="BG1109" s="87"/>
      <c r="BH1109" s="87"/>
    </row>
    <row r="1110" spans="1:60" ht="16">
      <c r="A1110" s="82"/>
      <c r="B1110" s="82"/>
      <c r="C1110" s="82"/>
      <c r="D1110" s="83"/>
      <c r="E1110" s="84"/>
      <c r="F1110" s="84"/>
      <c r="G1110" s="84"/>
      <c r="H1110" s="82"/>
      <c r="I1110" s="84"/>
      <c r="J1110" s="84"/>
      <c r="K1110" s="84"/>
      <c r="L1110" s="84"/>
      <c r="M1110" s="84"/>
      <c r="N1110" s="84"/>
      <c r="O1110" s="84"/>
      <c r="P1110" s="84"/>
      <c r="Q1110" s="84"/>
      <c r="R1110" s="84"/>
      <c r="S1110" s="84"/>
      <c r="T1110" s="84"/>
      <c r="U1110" s="84"/>
      <c r="V1110" s="84"/>
      <c r="W1110" s="84"/>
      <c r="X1110" s="84"/>
      <c r="Y1110" s="84"/>
      <c r="Z1110" s="87"/>
      <c r="AA1110" s="87"/>
      <c r="AB1110" s="87"/>
      <c r="AC1110" s="87"/>
      <c r="AD1110" s="87"/>
      <c r="AE1110" s="87"/>
      <c r="AF1110" s="87"/>
      <c r="AG1110" s="87"/>
      <c r="AH1110" s="87"/>
      <c r="AI1110" s="87"/>
      <c r="AJ1110" s="87"/>
      <c r="AK1110" s="87"/>
      <c r="AL1110" s="87"/>
      <c r="AM1110" s="87"/>
      <c r="AN1110" s="87"/>
      <c r="AO1110" s="87"/>
      <c r="AP1110" s="87"/>
      <c r="AQ1110" s="87"/>
      <c r="AR1110" s="87"/>
      <c r="AS1110" s="87"/>
      <c r="AT1110" s="87"/>
      <c r="AU1110" s="87"/>
      <c r="AV1110" s="87"/>
      <c r="AW1110" s="87"/>
      <c r="AX1110" s="87"/>
      <c r="AY1110" s="87"/>
      <c r="AZ1110" s="87"/>
      <c r="BA1110" s="87"/>
      <c r="BB1110" s="87"/>
      <c r="BC1110" s="87"/>
      <c r="BD1110" s="87"/>
      <c r="BE1110" s="87"/>
      <c r="BF1110" s="87"/>
      <c r="BG1110" s="87"/>
      <c r="BH1110" s="87"/>
    </row>
    <row r="1111" spans="1:60" ht="16">
      <c r="A1111" s="82"/>
      <c r="B1111" s="82"/>
      <c r="C1111" s="82"/>
      <c r="D1111" s="83"/>
      <c r="E1111" s="84"/>
      <c r="F1111" s="84"/>
      <c r="G1111" s="84"/>
      <c r="H1111" s="82"/>
      <c r="I1111" s="84"/>
      <c r="J1111" s="84"/>
      <c r="K1111" s="84"/>
      <c r="L1111" s="84"/>
      <c r="M1111" s="84"/>
      <c r="N1111" s="84"/>
      <c r="O1111" s="84"/>
      <c r="P1111" s="84"/>
      <c r="Q1111" s="84"/>
      <c r="R1111" s="84"/>
      <c r="S1111" s="84"/>
      <c r="T1111" s="84"/>
      <c r="U1111" s="84"/>
      <c r="V1111" s="84"/>
      <c r="W1111" s="84"/>
      <c r="X1111" s="84"/>
      <c r="Y1111" s="84"/>
      <c r="Z1111" s="87"/>
      <c r="AA1111" s="87"/>
      <c r="AB1111" s="87"/>
      <c r="AC1111" s="87"/>
      <c r="AD1111" s="87"/>
      <c r="AE1111" s="87"/>
      <c r="AF1111" s="87"/>
      <c r="AG1111" s="87"/>
      <c r="AH1111" s="87"/>
      <c r="AI1111" s="87"/>
      <c r="AJ1111" s="87"/>
      <c r="AK1111" s="87"/>
      <c r="AL1111" s="87"/>
      <c r="AM1111" s="87"/>
      <c r="AN1111" s="87"/>
      <c r="AO1111" s="87"/>
      <c r="AP1111" s="87"/>
      <c r="AQ1111" s="87"/>
      <c r="AR1111" s="87"/>
      <c r="AS1111" s="87"/>
      <c r="AT1111" s="87"/>
      <c r="AU1111" s="87"/>
      <c r="AV1111" s="87"/>
      <c r="AW1111" s="87"/>
      <c r="AX1111" s="87"/>
      <c r="AY1111" s="87"/>
      <c r="AZ1111" s="87"/>
      <c r="BA1111" s="87"/>
      <c r="BB1111" s="87"/>
      <c r="BC1111" s="87"/>
      <c r="BD1111" s="87"/>
      <c r="BE1111" s="87"/>
      <c r="BF1111" s="87"/>
      <c r="BG1111" s="87"/>
      <c r="BH1111" s="87"/>
    </row>
    <row r="1112" spans="1:60" ht="16">
      <c r="A1112" s="82"/>
      <c r="B1112" s="82"/>
      <c r="C1112" s="82"/>
      <c r="D1112" s="83"/>
      <c r="E1112" s="84"/>
      <c r="F1112" s="84"/>
      <c r="G1112" s="84"/>
      <c r="H1112" s="82"/>
      <c r="I1112" s="84"/>
      <c r="J1112" s="84"/>
      <c r="K1112" s="84"/>
      <c r="L1112" s="84"/>
      <c r="M1112" s="84"/>
      <c r="N1112" s="84"/>
      <c r="O1112" s="84"/>
      <c r="P1112" s="84"/>
      <c r="Q1112" s="84"/>
      <c r="R1112" s="84"/>
      <c r="S1112" s="84"/>
      <c r="T1112" s="84"/>
      <c r="U1112" s="84"/>
      <c r="V1112" s="84"/>
      <c r="W1112" s="84"/>
      <c r="X1112" s="84"/>
      <c r="Y1112" s="84"/>
      <c r="Z1112" s="87"/>
      <c r="AA1112" s="87"/>
      <c r="AB1112" s="87"/>
      <c r="AC1112" s="87"/>
      <c r="AD1112" s="87"/>
      <c r="AE1112" s="87"/>
      <c r="AF1112" s="87"/>
      <c r="AG1112" s="87"/>
      <c r="AH1112" s="87"/>
      <c r="AI1112" s="87"/>
      <c r="AJ1112" s="87"/>
      <c r="AK1112" s="87"/>
      <c r="AL1112" s="87"/>
      <c r="AM1112" s="87"/>
      <c r="AN1112" s="87"/>
      <c r="AO1112" s="87"/>
      <c r="AP1112" s="87"/>
      <c r="AQ1112" s="87"/>
      <c r="AR1112" s="87"/>
      <c r="AS1112" s="87"/>
      <c r="AT1112" s="87"/>
      <c r="AU1112" s="87"/>
      <c r="AV1112" s="87"/>
      <c r="AW1112" s="87"/>
      <c r="AX1112" s="87"/>
      <c r="AY1112" s="87"/>
      <c r="AZ1112" s="87"/>
      <c r="BA1112" s="87"/>
      <c r="BB1112" s="87"/>
      <c r="BC1112" s="87"/>
      <c r="BD1112" s="87"/>
      <c r="BE1112" s="87"/>
      <c r="BF1112" s="87"/>
      <c r="BG1112" s="87"/>
      <c r="BH1112" s="87"/>
    </row>
    <row r="1113" spans="1:60" ht="16">
      <c r="A1113" s="82"/>
      <c r="B1113" s="82"/>
      <c r="C1113" s="82"/>
      <c r="D1113" s="83"/>
      <c r="E1113" s="84"/>
      <c r="F1113" s="84"/>
      <c r="G1113" s="84"/>
      <c r="H1113" s="82"/>
      <c r="I1113" s="84"/>
      <c r="J1113" s="84"/>
      <c r="K1113" s="84"/>
      <c r="L1113" s="84"/>
      <c r="M1113" s="84"/>
      <c r="N1113" s="84"/>
      <c r="O1113" s="84"/>
      <c r="P1113" s="84"/>
      <c r="Q1113" s="84"/>
      <c r="R1113" s="84"/>
      <c r="S1113" s="84"/>
      <c r="T1113" s="84"/>
      <c r="U1113" s="84"/>
      <c r="V1113" s="84"/>
      <c r="W1113" s="84"/>
      <c r="X1113" s="84"/>
      <c r="Y1113" s="84"/>
      <c r="Z1113" s="87"/>
      <c r="AA1113" s="87"/>
      <c r="AB1113" s="87"/>
      <c r="AC1113" s="87"/>
      <c r="AD1113" s="87"/>
      <c r="AE1113" s="87"/>
      <c r="AF1113" s="87"/>
      <c r="AG1113" s="87"/>
      <c r="AH1113" s="87"/>
      <c r="AI1113" s="87"/>
      <c r="AJ1113" s="87"/>
      <c r="AK1113" s="87"/>
      <c r="AL1113" s="87"/>
      <c r="AM1113" s="87"/>
      <c r="AN1113" s="87"/>
      <c r="AO1113" s="87"/>
      <c r="AP1113" s="87"/>
      <c r="AQ1113" s="87"/>
      <c r="AR1113" s="87"/>
      <c r="AS1113" s="87"/>
      <c r="AT1113" s="87"/>
      <c r="AU1113" s="87"/>
      <c r="AV1113" s="87"/>
      <c r="AW1113" s="87"/>
      <c r="AX1113" s="87"/>
      <c r="AY1113" s="87"/>
      <c r="AZ1113" s="87"/>
      <c r="BA1113" s="87"/>
      <c r="BB1113" s="87"/>
      <c r="BC1113" s="87"/>
      <c r="BD1113" s="87"/>
      <c r="BE1113" s="87"/>
      <c r="BF1113" s="87"/>
      <c r="BG1113" s="87"/>
      <c r="BH1113" s="87"/>
    </row>
    <row r="1114" spans="1:60" ht="16">
      <c r="A1114" s="82"/>
      <c r="B1114" s="82"/>
      <c r="C1114" s="82"/>
      <c r="D1114" s="83"/>
      <c r="E1114" s="84"/>
      <c r="F1114" s="84"/>
      <c r="G1114" s="84"/>
      <c r="H1114" s="82"/>
      <c r="I1114" s="84"/>
      <c r="J1114" s="84"/>
      <c r="K1114" s="84"/>
      <c r="L1114" s="84"/>
      <c r="M1114" s="84"/>
      <c r="N1114" s="84"/>
      <c r="O1114" s="84"/>
      <c r="P1114" s="84"/>
      <c r="Q1114" s="84"/>
      <c r="R1114" s="84"/>
      <c r="S1114" s="84"/>
      <c r="T1114" s="84"/>
      <c r="U1114" s="84"/>
      <c r="V1114" s="84"/>
      <c r="W1114" s="84"/>
      <c r="X1114" s="84"/>
      <c r="Y1114" s="84"/>
      <c r="Z1114" s="87"/>
      <c r="AA1114" s="87"/>
      <c r="AB1114" s="87"/>
      <c r="AC1114" s="87"/>
      <c r="AD1114" s="87"/>
      <c r="AE1114" s="87"/>
      <c r="AF1114" s="87"/>
      <c r="AG1114" s="87"/>
      <c r="AH1114" s="87"/>
      <c r="AI1114" s="87"/>
      <c r="AJ1114" s="87"/>
      <c r="AK1114" s="87"/>
      <c r="AL1114" s="87"/>
      <c r="AM1114" s="87"/>
      <c r="AN1114" s="87"/>
      <c r="AO1114" s="87"/>
      <c r="AP1114" s="87"/>
      <c r="AQ1114" s="87"/>
      <c r="AR1114" s="87"/>
      <c r="AS1114" s="87"/>
      <c r="AT1114" s="87"/>
      <c r="AU1114" s="87"/>
      <c r="AV1114" s="87"/>
      <c r="AW1114" s="87"/>
      <c r="AX1114" s="87"/>
      <c r="AY1114" s="87"/>
      <c r="AZ1114" s="87"/>
      <c r="BA1114" s="87"/>
      <c r="BB1114" s="87"/>
      <c r="BC1114" s="87"/>
      <c r="BD1114" s="87"/>
      <c r="BE1114" s="87"/>
      <c r="BF1114" s="87"/>
      <c r="BG1114" s="87"/>
      <c r="BH1114" s="87"/>
    </row>
    <row r="1115" spans="1:60" ht="16">
      <c r="A1115" s="82"/>
      <c r="B1115" s="82"/>
      <c r="C1115" s="82"/>
      <c r="D1115" s="83"/>
      <c r="E1115" s="84"/>
      <c r="F1115" s="84"/>
      <c r="G1115" s="84"/>
      <c r="H1115" s="82"/>
      <c r="I1115" s="84"/>
      <c r="J1115" s="84"/>
      <c r="K1115" s="84"/>
      <c r="L1115" s="84"/>
      <c r="M1115" s="84"/>
      <c r="N1115" s="84"/>
      <c r="O1115" s="84"/>
      <c r="P1115" s="84"/>
      <c r="Q1115" s="84"/>
      <c r="R1115" s="84"/>
      <c r="S1115" s="84"/>
      <c r="T1115" s="84"/>
      <c r="U1115" s="84"/>
      <c r="V1115" s="84"/>
      <c r="W1115" s="84"/>
      <c r="X1115" s="84"/>
      <c r="Y1115" s="84"/>
      <c r="Z1115" s="87"/>
      <c r="AA1115" s="87"/>
      <c r="AB1115" s="87"/>
      <c r="AC1115" s="87"/>
      <c r="AD1115" s="87"/>
      <c r="AE1115" s="87"/>
      <c r="AF1115" s="87"/>
      <c r="AG1115" s="87"/>
      <c r="AH1115" s="87"/>
      <c r="AI1115" s="87"/>
      <c r="AJ1115" s="87"/>
      <c r="AK1115" s="87"/>
      <c r="AL1115" s="87"/>
      <c r="AM1115" s="87"/>
      <c r="AN1115" s="87"/>
      <c r="AO1115" s="87"/>
      <c r="AP1115" s="87"/>
      <c r="AQ1115" s="87"/>
      <c r="AR1115" s="87"/>
      <c r="AS1115" s="87"/>
      <c r="AT1115" s="87"/>
      <c r="AU1115" s="87"/>
      <c r="AV1115" s="87"/>
      <c r="AW1115" s="87"/>
      <c r="AX1115" s="87"/>
      <c r="AY1115" s="87"/>
      <c r="AZ1115" s="87"/>
      <c r="BA1115" s="87"/>
      <c r="BB1115" s="87"/>
      <c r="BC1115" s="87"/>
      <c r="BD1115" s="87"/>
      <c r="BE1115" s="87"/>
      <c r="BF1115" s="87"/>
      <c r="BG1115" s="87"/>
      <c r="BH1115" s="87"/>
    </row>
    <row r="1116" spans="1:60" ht="16">
      <c r="A1116" s="82"/>
      <c r="B1116" s="82"/>
      <c r="C1116" s="82"/>
      <c r="D1116" s="83"/>
      <c r="E1116" s="84"/>
      <c r="F1116" s="84"/>
      <c r="G1116" s="84"/>
      <c r="H1116" s="82"/>
      <c r="I1116" s="84"/>
      <c r="J1116" s="84"/>
      <c r="K1116" s="84"/>
      <c r="L1116" s="84"/>
      <c r="M1116" s="84"/>
      <c r="N1116" s="84"/>
      <c r="O1116" s="84"/>
      <c r="P1116" s="84"/>
      <c r="Q1116" s="84"/>
      <c r="R1116" s="84"/>
      <c r="S1116" s="84"/>
      <c r="T1116" s="84"/>
      <c r="U1116" s="84"/>
      <c r="V1116" s="84"/>
      <c r="W1116" s="84"/>
      <c r="X1116" s="84"/>
      <c r="Y1116" s="84"/>
      <c r="Z1116" s="87"/>
      <c r="AA1116" s="87"/>
      <c r="AB1116" s="87"/>
      <c r="AC1116" s="87"/>
      <c r="AD1116" s="87"/>
      <c r="AE1116" s="87"/>
      <c r="AF1116" s="87"/>
      <c r="AG1116" s="87"/>
      <c r="AH1116" s="87"/>
      <c r="AI1116" s="87"/>
      <c r="AJ1116" s="87"/>
      <c r="AK1116" s="87"/>
      <c r="AL1116" s="87"/>
      <c r="AM1116" s="87"/>
      <c r="AN1116" s="87"/>
      <c r="AO1116" s="87"/>
      <c r="AP1116" s="87"/>
      <c r="AQ1116" s="87"/>
      <c r="AR1116" s="87"/>
      <c r="AS1116" s="87"/>
      <c r="AT1116" s="87"/>
      <c r="AU1116" s="87"/>
      <c r="AV1116" s="87"/>
      <c r="AW1116" s="87"/>
      <c r="AX1116" s="87"/>
      <c r="AY1116" s="87"/>
      <c r="AZ1116" s="87"/>
      <c r="BA1116" s="87"/>
      <c r="BB1116" s="87"/>
      <c r="BC1116" s="87"/>
      <c r="BD1116" s="87"/>
      <c r="BE1116" s="87"/>
      <c r="BF1116" s="87"/>
      <c r="BG1116" s="87"/>
      <c r="BH1116" s="87"/>
    </row>
    <row r="1117" spans="1:60" ht="16">
      <c r="A1117" s="82"/>
      <c r="B1117" s="82"/>
      <c r="C1117" s="82"/>
      <c r="D1117" s="83"/>
      <c r="E1117" s="84"/>
      <c r="F1117" s="84"/>
      <c r="G1117" s="84"/>
      <c r="H1117" s="82"/>
      <c r="I1117" s="84"/>
      <c r="J1117" s="84"/>
      <c r="K1117" s="84"/>
      <c r="L1117" s="84"/>
      <c r="M1117" s="84"/>
      <c r="N1117" s="84"/>
      <c r="O1117" s="84"/>
      <c r="P1117" s="84"/>
      <c r="Q1117" s="84"/>
      <c r="R1117" s="84"/>
      <c r="S1117" s="84"/>
      <c r="T1117" s="84"/>
      <c r="U1117" s="84"/>
      <c r="V1117" s="84"/>
      <c r="W1117" s="84"/>
      <c r="X1117" s="84"/>
      <c r="Y1117" s="84"/>
      <c r="Z1117" s="87"/>
      <c r="AA1117" s="87"/>
      <c r="AB1117" s="87"/>
      <c r="AC1117" s="87"/>
      <c r="AD1117" s="87"/>
      <c r="AE1117" s="87"/>
      <c r="AF1117" s="87"/>
      <c r="AG1117" s="87"/>
      <c r="AH1117" s="87"/>
      <c r="AI1117" s="87"/>
      <c r="AJ1117" s="87"/>
      <c r="AK1117" s="87"/>
      <c r="AL1117" s="87"/>
      <c r="AM1117" s="87"/>
      <c r="AN1117" s="87"/>
      <c r="AO1117" s="87"/>
      <c r="AP1117" s="87"/>
      <c r="AQ1117" s="87"/>
      <c r="AR1117" s="87"/>
      <c r="AS1117" s="87"/>
      <c r="AT1117" s="87"/>
      <c r="AU1117" s="87"/>
      <c r="AV1117" s="87"/>
      <c r="AW1117" s="87"/>
      <c r="AX1117" s="87"/>
      <c r="AY1117" s="87"/>
      <c r="AZ1117" s="87"/>
      <c r="BA1117" s="87"/>
      <c r="BB1117" s="87"/>
      <c r="BC1117" s="87"/>
      <c r="BD1117" s="87"/>
      <c r="BE1117" s="87"/>
      <c r="BF1117" s="87"/>
      <c r="BG1117" s="87"/>
      <c r="BH1117" s="87"/>
    </row>
    <row r="1118" spans="1:60" ht="16">
      <c r="A1118" s="82"/>
      <c r="B1118" s="82"/>
      <c r="C1118" s="82"/>
      <c r="D1118" s="83"/>
      <c r="E1118" s="84"/>
      <c r="F1118" s="84"/>
      <c r="G1118" s="84"/>
      <c r="H1118" s="82"/>
      <c r="I1118" s="84"/>
      <c r="J1118" s="84"/>
      <c r="K1118" s="84"/>
      <c r="L1118" s="84"/>
      <c r="M1118" s="84"/>
      <c r="N1118" s="84"/>
      <c r="O1118" s="84"/>
      <c r="P1118" s="84"/>
      <c r="Q1118" s="84"/>
      <c r="R1118" s="84"/>
      <c r="S1118" s="84"/>
      <c r="T1118" s="84"/>
      <c r="U1118" s="84"/>
      <c r="V1118" s="84"/>
      <c r="W1118" s="84"/>
      <c r="X1118" s="84"/>
      <c r="Y1118" s="84"/>
      <c r="Z1118" s="87"/>
      <c r="AA1118" s="87"/>
      <c r="AB1118" s="87"/>
      <c r="AC1118" s="87"/>
      <c r="AD1118" s="87"/>
      <c r="AE1118" s="87"/>
      <c r="AF1118" s="87"/>
      <c r="AG1118" s="87"/>
      <c r="AH1118" s="87"/>
      <c r="AI1118" s="87"/>
      <c r="AJ1118" s="87"/>
      <c r="AK1118" s="87"/>
      <c r="AL1118" s="87"/>
      <c r="AM1118" s="87"/>
      <c r="AN1118" s="87"/>
      <c r="AO1118" s="87"/>
      <c r="AP1118" s="87"/>
      <c r="AQ1118" s="87"/>
      <c r="AR1118" s="87"/>
      <c r="AS1118" s="87"/>
      <c r="AT1118" s="87"/>
      <c r="AU1118" s="87"/>
      <c r="AV1118" s="87"/>
      <c r="AW1118" s="87"/>
      <c r="AX1118" s="87"/>
      <c r="AY1118" s="87"/>
      <c r="AZ1118" s="87"/>
      <c r="BA1118" s="87"/>
      <c r="BB1118" s="87"/>
      <c r="BC1118" s="87"/>
      <c r="BD1118" s="87"/>
      <c r="BE1118" s="87"/>
      <c r="BF1118" s="87"/>
      <c r="BG1118" s="87"/>
      <c r="BH1118" s="87"/>
    </row>
    <row r="1119" spans="1:60" ht="16">
      <c r="A1119" s="82"/>
      <c r="B1119" s="82"/>
      <c r="C1119" s="82"/>
      <c r="D1119" s="83"/>
      <c r="E1119" s="84"/>
      <c r="F1119" s="84"/>
      <c r="G1119" s="84"/>
      <c r="H1119" s="82"/>
      <c r="I1119" s="84"/>
      <c r="J1119" s="84"/>
      <c r="K1119" s="84"/>
      <c r="L1119" s="84"/>
      <c r="M1119" s="84"/>
      <c r="N1119" s="84"/>
      <c r="O1119" s="84"/>
      <c r="P1119" s="84"/>
      <c r="Q1119" s="84"/>
      <c r="R1119" s="84"/>
      <c r="S1119" s="84"/>
      <c r="T1119" s="84"/>
      <c r="U1119" s="84"/>
      <c r="V1119" s="84"/>
      <c r="W1119" s="84"/>
      <c r="X1119" s="84"/>
      <c r="Y1119" s="84"/>
      <c r="Z1119" s="87"/>
      <c r="AA1119" s="87"/>
      <c r="AB1119" s="87"/>
      <c r="AC1119" s="87"/>
      <c r="AD1119" s="87"/>
      <c r="AE1119" s="87"/>
      <c r="AF1119" s="87"/>
      <c r="AG1119" s="87"/>
      <c r="AH1119" s="87"/>
      <c r="AI1119" s="87"/>
      <c r="AJ1119" s="87"/>
      <c r="AK1119" s="87"/>
      <c r="AL1119" s="87"/>
      <c r="AM1119" s="87"/>
      <c r="AN1119" s="87"/>
      <c r="AO1119" s="87"/>
      <c r="AP1119" s="87"/>
      <c r="AQ1119" s="87"/>
      <c r="AR1119" s="87"/>
      <c r="AS1119" s="87"/>
      <c r="AT1119" s="87"/>
      <c r="AU1119" s="87"/>
      <c r="AV1119" s="87"/>
      <c r="AW1119" s="87"/>
      <c r="AX1119" s="87"/>
      <c r="AY1119" s="87"/>
      <c r="AZ1119" s="87"/>
      <c r="BA1119" s="87"/>
      <c r="BB1119" s="87"/>
      <c r="BC1119" s="87"/>
      <c r="BD1119" s="87"/>
      <c r="BE1119" s="87"/>
      <c r="BF1119" s="87"/>
      <c r="BG1119" s="87"/>
      <c r="BH1119" s="87"/>
    </row>
    <row r="1120" spans="1:60" ht="16">
      <c r="A1120" s="82"/>
      <c r="B1120" s="82"/>
      <c r="C1120" s="82"/>
      <c r="D1120" s="83"/>
      <c r="E1120" s="84"/>
      <c r="F1120" s="84"/>
      <c r="G1120" s="84"/>
      <c r="H1120" s="82"/>
      <c r="I1120" s="84"/>
      <c r="J1120" s="84"/>
      <c r="K1120" s="84"/>
      <c r="L1120" s="84"/>
      <c r="M1120" s="84"/>
      <c r="N1120" s="84"/>
      <c r="O1120" s="84"/>
      <c r="P1120" s="84"/>
      <c r="Q1120" s="84"/>
      <c r="R1120" s="84"/>
      <c r="S1120" s="84"/>
      <c r="T1120" s="84"/>
      <c r="U1120" s="84"/>
      <c r="V1120" s="84"/>
      <c r="W1120" s="84"/>
      <c r="X1120" s="84"/>
      <c r="Y1120" s="84"/>
      <c r="Z1120" s="87"/>
      <c r="AA1120" s="87"/>
      <c r="AB1120" s="87"/>
      <c r="AC1120" s="87"/>
      <c r="AD1120" s="87"/>
      <c r="AE1120" s="87"/>
      <c r="AF1120" s="87"/>
      <c r="AG1120" s="87"/>
      <c r="AH1120" s="87"/>
      <c r="AI1120" s="87"/>
      <c r="AJ1120" s="87"/>
      <c r="AK1120" s="87"/>
      <c r="AL1120" s="87"/>
      <c r="AM1120" s="87"/>
      <c r="AN1120" s="87"/>
      <c r="AO1120" s="87"/>
      <c r="AP1120" s="87"/>
      <c r="AQ1120" s="87"/>
      <c r="AR1120" s="87"/>
      <c r="AS1120" s="87"/>
      <c r="AT1120" s="87"/>
      <c r="AU1120" s="87"/>
      <c r="AV1120" s="87"/>
      <c r="AW1120" s="87"/>
      <c r="AX1120" s="87"/>
      <c r="AY1120" s="87"/>
      <c r="AZ1120" s="87"/>
      <c r="BA1120" s="87"/>
      <c r="BB1120" s="87"/>
      <c r="BC1120" s="87"/>
      <c r="BD1120" s="87"/>
      <c r="BE1120" s="87"/>
      <c r="BF1120" s="87"/>
      <c r="BG1120" s="87"/>
      <c r="BH1120" s="87"/>
    </row>
    <row r="1121" spans="1:60" ht="16">
      <c r="A1121" s="82"/>
      <c r="B1121" s="82"/>
      <c r="C1121" s="82"/>
      <c r="D1121" s="83"/>
      <c r="E1121" s="84"/>
      <c r="F1121" s="84"/>
      <c r="G1121" s="84"/>
      <c r="H1121" s="82"/>
      <c r="I1121" s="84"/>
      <c r="J1121" s="84"/>
      <c r="K1121" s="84"/>
      <c r="L1121" s="84"/>
      <c r="M1121" s="84"/>
      <c r="N1121" s="84"/>
      <c r="O1121" s="84"/>
      <c r="P1121" s="84"/>
      <c r="Q1121" s="84"/>
      <c r="R1121" s="84"/>
      <c r="S1121" s="84"/>
      <c r="T1121" s="84"/>
      <c r="U1121" s="84"/>
      <c r="V1121" s="84"/>
      <c r="W1121" s="84"/>
      <c r="X1121" s="84"/>
      <c r="Y1121" s="84"/>
      <c r="Z1121" s="87"/>
      <c r="AA1121" s="87"/>
      <c r="AB1121" s="87"/>
      <c r="AC1121" s="87"/>
      <c r="AD1121" s="87"/>
      <c r="AE1121" s="87"/>
      <c r="AF1121" s="87"/>
      <c r="AG1121" s="87"/>
      <c r="AH1121" s="87"/>
      <c r="AI1121" s="87"/>
      <c r="AJ1121" s="87"/>
      <c r="AK1121" s="87"/>
      <c r="AL1121" s="87"/>
      <c r="AM1121" s="87"/>
      <c r="AN1121" s="87"/>
      <c r="AO1121" s="87"/>
      <c r="AP1121" s="87"/>
      <c r="AQ1121" s="87"/>
      <c r="AR1121" s="87"/>
      <c r="AS1121" s="87"/>
      <c r="AT1121" s="87"/>
      <c r="AU1121" s="87"/>
      <c r="AV1121" s="87"/>
      <c r="AW1121" s="87"/>
      <c r="AX1121" s="87"/>
      <c r="AY1121" s="87"/>
      <c r="AZ1121" s="87"/>
      <c r="BA1121" s="87"/>
      <c r="BB1121" s="87"/>
      <c r="BC1121" s="87"/>
      <c r="BD1121" s="87"/>
      <c r="BE1121" s="87"/>
      <c r="BF1121" s="87"/>
      <c r="BG1121" s="87"/>
      <c r="BH1121" s="87"/>
    </row>
    <row r="1122" spans="1:60" ht="16">
      <c r="A1122" s="82"/>
      <c r="B1122" s="82"/>
      <c r="C1122" s="82"/>
      <c r="D1122" s="83"/>
      <c r="E1122" s="84"/>
      <c r="F1122" s="84"/>
      <c r="G1122" s="84"/>
      <c r="H1122" s="82"/>
      <c r="I1122" s="84"/>
      <c r="J1122" s="84"/>
      <c r="K1122" s="84"/>
      <c r="L1122" s="84"/>
      <c r="M1122" s="84"/>
      <c r="N1122" s="84"/>
      <c r="O1122" s="84"/>
      <c r="P1122" s="84"/>
      <c r="Q1122" s="84"/>
      <c r="R1122" s="84"/>
      <c r="S1122" s="84"/>
      <c r="T1122" s="84"/>
      <c r="U1122" s="84"/>
      <c r="V1122" s="84"/>
      <c r="W1122" s="84"/>
      <c r="X1122" s="84"/>
      <c r="Y1122" s="84"/>
      <c r="Z1122" s="87"/>
      <c r="AA1122" s="87"/>
      <c r="AB1122" s="87"/>
      <c r="AC1122" s="87"/>
      <c r="AD1122" s="87"/>
      <c r="AE1122" s="87"/>
      <c r="AF1122" s="87"/>
      <c r="AG1122" s="87"/>
      <c r="AH1122" s="87"/>
      <c r="AI1122" s="87"/>
      <c r="AJ1122" s="87"/>
      <c r="AK1122" s="87"/>
      <c r="AL1122" s="87"/>
      <c r="AM1122" s="87"/>
      <c r="AN1122" s="87"/>
      <c r="AO1122" s="87"/>
      <c r="AP1122" s="87"/>
      <c r="AQ1122" s="87"/>
      <c r="AR1122" s="87"/>
      <c r="AS1122" s="87"/>
      <c r="AT1122" s="87"/>
      <c r="AU1122" s="87"/>
      <c r="AV1122" s="87"/>
      <c r="AW1122" s="87"/>
      <c r="AX1122" s="87"/>
      <c r="AY1122" s="87"/>
      <c r="AZ1122" s="87"/>
      <c r="BA1122" s="87"/>
      <c r="BB1122" s="87"/>
      <c r="BC1122" s="87"/>
      <c r="BD1122" s="87"/>
      <c r="BE1122" s="87"/>
      <c r="BF1122" s="87"/>
      <c r="BG1122" s="87"/>
      <c r="BH1122" s="87"/>
    </row>
    <row r="1123" spans="1:60" ht="16">
      <c r="A1123" s="82"/>
      <c r="B1123" s="82"/>
      <c r="C1123" s="82"/>
      <c r="D1123" s="83"/>
      <c r="E1123" s="84"/>
      <c r="F1123" s="84"/>
      <c r="G1123" s="84"/>
      <c r="H1123" s="82"/>
      <c r="I1123" s="84"/>
      <c r="J1123" s="84"/>
      <c r="K1123" s="84"/>
      <c r="L1123" s="84"/>
      <c r="M1123" s="84"/>
      <c r="N1123" s="84"/>
      <c r="O1123" s="84"/>
      <c r="P1123" s="84"/>
      <c r="Q1123" s="84"/>
      <c r="R1123" s="84"/>
      <c r="S1123" s="84"/>
      <c r="T1123" s="84"/>
      <c r="U1123" s="84"/>
      <c r="V1123" s="84"/>
      <c r="W1123" s="84"/>
      <c r="X1123" s="84"/>
      <c r="Y1123" s="84"/>
      <c r="Z1123" s="87"/>
      <c r="AA1123" s="87"/>
      <c r="AB1123" s="87"/>
      <c r="AC1123" s="87"/>
      <c r="AD1123" s="87"/>
      <c r="AE1123" s="87"/>
      <c r="AF1123" s="87"/>
      <c r="AG1123" s="87"/>
      <c r="AH1123" s="87"/>
      <c r="AI1123" s="87"/>
      <c r="AJ1123" s="87"/>
      <c r="AK1123" s="87"/>
      <c r="AL1123" s="87"/>
      <c r="AM1123" s="87"/>
      <c r="AN1123" s="87"/>
      <c r="AO1123" s="87"/>
      <c r="AP1123" s="87"/>
      <c r="AQ1123" s="87"/>
      <c r="AR1123" s="87"/>
      <c r="AS1123" s="87"/>
      <c r="AT1123" s="87"/>
      <c r="AU1123" s="87"/>
      <c r="AV1123" s="87"/>
      <c r="AW1123" s="87"/>
      <c r="AX1123" s="87"/>
      <c r="AY1123" s="87"/>
      <c r="AZ1123" s="87"/>
      <c r="BA1123" s="87"/>
      <c r="BB1123" s="87"/>
      <c r="BC1123" s="87"/>
      <c r="BD1123" s="87"/>
      <c r="BE1123" s="87"/>
      <c r="BF1123" s="87"/>
      <c r="BG1123" s="87"/>
      <c r="BH1123" s="87"/>
    </row>
    <row r="1124" spans="1:60" ht="16">
      <c r="A1124" s="82"/>
      <c r="B1124" s="82"/>
      <c r="C1124" s="82"/>
      <c r="D1124" s="83"/>
      <c r="E1124" s="84"/>
      <c r="F1124" s="84"/>
      <c r="G1124" s="84"/>
      <c r="H1124" s="82"/>
      <c r="I1124" s="84"/>
      <c r="J1124" s="84"/>
      <c r="K1124" s="84"/>
      <c r="L1124" s="84"/>
      <c r="M1124" s="84"/>
      <c r="N1124" s="84"/>
      <c r="O1124" s="84"/>
      <c r="P1124" s="84"/>
      <c r="Q1124" s="84"/>
      <c r="R1124" s="84"/>
      <c r="S1124" s="84"/>
      <c r="T1124" s="84"/>
      <c r="U1124" s="84"/>
      <c r="V1124" s="84"/>
      <c r="W1124" s="84"/>
      <c r="X1124" s="84"/>
      <c r="Y1124" s="84"/>
      <c r="Z1124" s="87"/>
      <c r="AA1124" s="87"/>
      <c r="AB1124" s="87"/>
      <c r="AC1124" s="87"/>
      <c r="AD1124" s="87"/>
      <c r="AE1124" s="87"/>
      <c r="AF1124" s="87"/>
      <c r="AG1124" s="87"/>
      <c r="AH1124" s="87"/>
      <c r="AI1124" s="87"/>
      <c r="AJ1124" s="87"/>
      <c r="AK1124" s="87"/>
      <c r="AL1124" s="87"/>
      <c r="AM1124" s="87"/>
      <c r="AN1124" s="87"/>
      <c r="AO1124" s="87"/>
      <c r="AP1124" s="87"/>
      <c r="AQ1124" s="87"/>
      <c r="AR1124" s="87"/>
      <c r="AS1124" s="87"/>
      <c r="AT1124" s="87"/>
      <c r="AU1124" s="87"/>
      <c r="AV1124" s="87"/>
      <c r="AW1124" s="87"/>
      <c r="AX1124" s="87"/>
      <c r="AY1124" s="87"/>
      <c r="AZ1124" s="87"/>
      <c r="BA1124" s="87"/>
      <c r="BB1124" s="87"/>
      <c r="BC1124" s="87"/>
      <c r="BD1124" s="87"/>
      <c r="BE1124" s="87"/>
      <c r="BF1124" s="87"/>
      <c r="BG1124" s="87"/>
      <c r="BH1124" s="87"/>
    </row>
    <row r="1125" spans="1:60" ht="16">
      <c r="A1125" s="82"/>
      <c r="B1125" s="82"/>
      <c r="C1125" s="82"/>
      <c r="D1125" s="83"/>
      <c r="E1125" s="84"/>
      <c r="F1125" s="84"/>
      <c r="G1125" s="84"/>
      <c r="H1125" s="82"/>
      <c r="I1125" s="84"/>
      <c r="J1125" s="84"/>
      <c r="K1125" s="84"/>
      <c r="L1125" s="84"/>
      <c r="M1125" s="84"/>
      <c r="N1125" s="84"/>
      <c r="O1125" s="84"/>
      <c r="P1125" s="84"/>
      <c r="Q1125" s="84"/>
      <c r="R1125" s="84"/>
      <c r="S1125" s="84"/>
      <c r="T1125" s="84"/>
      <c r="U1125" s="84"/>
      <c r="V1125" s="84"/>
      <c r="W1125" s="84"/>
      <c r="X1125" s="84"/>
      <c r="Y1125" s="84"/>
      <c r="Z1125" s="87"/>
      <c r="AA1125" s="87"/>
      <c r="AB1125" s="87"/>
      <c r="AC1125" s="87"/>
      <c r="AD1125" s="87"/>
      <c r="AE1125" s="87"/>
      <c r="AF1125" s="87"/>
      <c r="AG1125" s="87"/>
      <c r="AH1125" s="87"/>
      <c r="AI1125" s="87"/>
      <c r="AJ1125" s="87"/>
      <c r="AK1125" s="87"/>
      <c r="AL1125" s="87"/>
      <c r="AM1125" s="87"/>
      <c r="AN1125" s="87"/>
      <c r="AO1125" s="87"/>
      <c r="AP1125" s="87"/>
      <c r="AQ1125" s="87"/>
      <c r="AR1125" s="87"/>
      <c r="AS1125" s="87"/>
      <c r="AT1125" s="87"/>
      <c r="AU1125" s="87"/>
      <c r="AV1125" s="87"/>
      <c r="AW1125" s="87"/>
      <c r="AX1125" s="87"/>
      <c r="AY1125" s="87"/>
      <c r="AZ1125" s="87"/>
      <c r="BA1125" s="87"/>
      <c r="BB1125" s="87"/>
      <c r="BC1125" s="87"/>
      <c r="BD1125" s="87"/>
      <c r="BE1125" s="87"/>
      <c r="BF1125" s="87"/>
      <c r="BG1125" s="87"/>
      <c r="BH1125" s="87"/>
    </row>
    <row r="1126" spans="1:60" ht="16">
      <c r="A1126" s="82"/>
      <c r="B1126" s="82"/>
      <c r="C1126" s="82"/>
      <c r="D1126" s="83"/>
      <c r="E1126" s="84"/>
      <c r="F1126" s="84"/>
      <c r="G1126" s="84"/>
      <c r="H1126" s="82"/>
      <c r="I1126" s="84"/>
      <c r="J1126" s="84"/>
      <c r="K1126" s="84"/>
      <c r="L1126" s="84"/>
      <c r="M1126" s="84"/>
      <c r="N1126" s="84"/>
      <c r="O1126" s="84"/>
      <c r="P1126" s="84"/>
      <c r="Q1126" s="84"/>
      <c r="R1126" s="84"/>
      <c r="S1126" s="84"/>
      <c r="T1126" s="84"/>
      <c r="U1126" s="84"/>
      <c r="V1126" s="84"/>
      <c r="W1126" s="84"/>
      <c r="X1126" s="84"/>
      <c r="Y1126" s="84"/>
      <c r="Z1126" s="87"/>
      <c r="AA1126" s="87"/>
      <c r="AB1126" s="87"/>
      <c r="AC1126" s="87"/>
      <c r="AD1126" s="87"/>
      <c r="AE1126" s="87"/>
      <c r="AF1126" s="87"/>
      <c r="AG1126" s="87"/>
      <c r="AH1126" s="87"/>
      <c r="AI1126" s="87"/>
      <c r="AJ1126" s="87"/>
      <c r="AK1126" s="87"/>
      <c r="AL1126" s="87"/>
      <c r="AM1126" s="87"/>
      <c r="AN1126" s="87"/>
      <c r="AO1126" s="87"/>
      <c r="AP1126" s="87"/>
      <c r="AQ1126" s="87"/>
      <c r="AR1126" s="87"/>
      <c r="AS1126" s="87"/>
      <c r="AT1126" s="87"/>
      <c r="AU1126" s="87"/>
      <c r="AV1126" s="87"/>
      <c r="AW1126" s="87"/>
      <c r="AX1126" s="87"/>
      <c r="AY1126" s="87"/>
      <c r="AZ1126" s="87"/>
      <c r="BA1126" s="87"/>
      <c r="BB1126" s="87"/>
      <c r="BC1126" s="87"/>
      <c r="BD1126" s="87"/>
      <c r="BE1126" s="87"/>
      <c r="BF1126" s="87"/>
      <c r="BG1126" s="87"/>
      <c r="BH1126" s="87"/>
    </row>
    <row r="1127" spans="1:60" ht="16">
      <c r="A1127" s="82"/>
      <c r="B1127" s="82"/>
      <c r="C1127" s="82"/>
      <c r="D1127" s="83"/>
      <c r="E1127" s="84"/>
      <c r="F1127" s="84"/>
      <c r="G1127" s="84"/>
      <c r="H1127" s="82"/>
      <c r="I1127" s="84"/>
      <c r="J1127" s="84"/>
      <c r="K1127" s="84"/>
      <c r="L1127" s="84"/>
      <c r="M1127" s="84"/>
      <c r="N1127" s="84"/>
      <c r="O1127" s="84"/>
      <c r="P1127" s="84"/>
      <c r="Q1127" s="84"/>
      <c r="R1127" s="84"/>
      <c r="S1127" s="84"/>
      <c r="T1127" s="84"/>
      <c r="U1127" s="84"/>
      <c r="V1127" s="84"/>
      <c r="W1127" s="84"/>
      <c r="X1127" s="84"/>
      <c r="Y1127" s="84"/>
      <c r="Z1127" s="87"/>
      <c r="AA1127" s="87"/>
      <c r="AB1127" s="87"/>
      <c r="AC1127" s="87"/>
      <c r="AD1127" s="87"/>
      <c r="AE1127" s="87"/>
      <c r="AF1127" s="87"/>
      <c r="AG1127" s="87"/>
      <c r="AH1127" s="87"/>
      <c r="AI1127" s="87"/>
      <c r="AJ1127" s="87"/>
      <c r="AK1127" s="87"/>
      <c r="AL1127" s="87"/>
      <c r="AM1127" s="87"/>
      <c r="AN1127" s="87"/>
      <c r="AO1127" s="87"/>
      <c r="AP1127" s="87"/>
      <c r="AQ1127" s="87"/>
      <c r="AR1127" s="87"/>
      <c r="AS1127" s="87"/>
      <c r="AT1127" s="87"/>
      <c r="AU1127" s="87"/>
      <c r="AV1127" s="87"/>
      <c r="AW1127" s="87"/>
      <c r="AX1127" s="87"/>
      <c r="AY1127" s="87"/>
      <c r="AZ1127" s="87"/>
      <c r="BA1127" s="87"/>
      <c r="BB1127" s="87"/>
      <c r="BC1127" s="87"/>
      <c r="BD1127" s="87"/>
      <c r="BE1127" s="87"/>
      <c r="BF1127" s="87"/>
      <c r="BG1127" s="87"/>
      <c r="BH1127" s="87"/>
    </row>
    <row r="1128" spans="1:60" ht="16">
      <c r="A1128" s="82"/>
      <c r="B1128" s="82"/>
      <c r="C1128" s="82"/>
      <c r="D1128" s="83"/>
      <c r="E1128" s="84"/>
      <c r="F1128" s="84"/>
      <c r="G1128" s="84"/>
      <c r="H1128" s="82"/>
      <c r="I1128" s="84"/>
      <c r="J1128" s="84"/>
      <c r="K1128" s="84"/>
      <c r="L1128" s="84"/>
      <c r="M1128" s="84"/>
      <c r="N1128" s="84"/>
      <c r="O1128" s="84"/>
      <c r="P1128" s="84"/>
      <c r="Q1128" s="84"/>
      <c r="R1128" s="84"/>
      <c r="S1128" s="84"/>
      <c r="T1128" s="84"/>
      <c r="U1128" s="84"/>
      <c r="V1128" s="84"/>
      <c r="W1128" s="84"/>
      <c r="X1128" s="84"/>
      <c r="Y1128" s="84"/>
      <c r="Z1128" s="87"/>
      <c r="AA1128" s="87"/>
      <c r="AB1128" s="87"/>
      <c r="AC1128" s="87"/>
      <c r="AD1128" s="87"/>
      <c r="AE1128" s="87"/>
      <c r="AF1128" s="87"/>
      <c r="AG1128" s="87"/>
      <c r="AH1128" s="87"/>
      <c r="AI1128" s="87"/>
      <c r="AJ1128" s="87"/>
      <c r="AK1128" s="87"/>
      <c r="AL1128" s="87"/>
      <c r="AM1128" s="87"/>
      <c r="AN1128" s="87"/>
      <c r="AO1128" s="87"/>
      <c r="AP1128" s="87"/>
      <c r="AQ1128" s="87"/>
      <c r="AR1128" s="87"/>
      <c r="AS1128" s="87"/>
      <c r="AT1128" s="87"/>
      <c r="AU1128" s="87"/>
      <c r="AV1128" s="87"/>
      <c r="AW1128" s="87"/>
      <c r="AX1128" s="87"/>
      <c r="AY1128" s="87"/>
      <c r="AZ1128" s="87"/>
      <c r="BA1128" s="87"/>
      <c r="BB1128" s="87"/>
      <c r="BC1128" s="87"/>
      <c r="BD1128" s="87"/>
      <c r="BE1128" s="87"/>
      <c r="BF1128" s="87"/>
      <c r="BG1128" s="87"/>
      <c r="BH1128" s="87"/>
    </row>
    <row r="1129" spans="1:60" ht="16">
      <c r="A1129" s="82"/>
      <c r="B1129" s="82"/>
      <c r="C1129" s="82"/>
      <c r="D1129" s="83"/>
      <c r="E1129" s="84"/>
      <c r="F1129" s="84"/>
      <c r="G1129" s="84"/>
      <c r="H1129" s="82"/>
      <c r="I1129" s="84"/>
      <c r="J1129" s="84"/>
      <c r="K1129" s="84"/>
      <c r="L1129" s="84"/>
      <c r="M1129" s="84"/>
      <c r="N1129" s="84"/>
      <c r="O1129" s="84"/>
      <c r="P1129" s="84"/>
      <c r="Q1129" s="84"/>
      <c r="R1129" s="84"/>
      <c r="S1129" s="84"/>
      <c r="T1129" s="84"/>
      <c r="U1129" s="84"/>
      <c r="V1129" s="84"/>
      <c r="W1129" s="84"/>
      <c r="X1129" s="84"/>
      <c r="Y1129" s="84"/>
      <c r="Z1129" s="87"/>
      <c r="AA1129" s="87"/>
      <c r="AB1129" s="87"/>
      <c r="AC1129" s="87"/>
      <c r="AD1129" s="87"/>
      <c r="AE1129" s="87"/>
      <c r="AF1129" s="87"/>
      <c r="AG1129" s="87"/>
      <c r="AH1129" s="87"/>
      <c r="AI1129" s="87"/>
      <c r="AJ1129" s="87"/>
      <c r="AK1129" s="87"/>
      <c r="AL1129" s="87"/>
      <c r="AM1129" s="87"/>
      <c r="AN1129" s="87"/>
      <c r="AO1129" s="87"/>
      <c r="AP1129" s="87"/>
      <c r="AQ1129" s="87"/>
      <c r="AR1129" s="87"/>
      <c r="AS1129" s="87"/>
      <c r="AT1129" s="87"/>
      <c r="AU1129" s="87"/>
      <c r="AV1129" s="87"/>
      <c r="AW1129" s="87"/>
      <c r="AX1129" s="87"/>
      <c r="AY1129" s="87"/>
      <c r="AZ1129" s="87"/>
      <c r="BA1129" s="87"/>
      <c r="BB1129" s="87"/>
      <c r="BC1129" s="87"/>
      <c r="BD1129" s="87"/>
      <c r="BE1129" s="87"/>
      <c r="BF1129" s="87"/>
      <c r="BG1129" s="87"/>
      <c r="BH1129" s="87"/>
    </row>
    <row r="1130" spans="1:60" ht="16">
      <c r="A1130" s="82"/>
      <c r="B1130" s="82"/>
      <c r="C1130" s="82"/>
      <c r="D1130" s="83"/>
      <c r="E1130" s="84"/>
      <c r="F1130" s="84"/>
      <c r="G1130" s="84"/>
      <c r="H1130" s="82"/>
      <c r="I1130" s="84"/>
      <c r="J1130" s="84"/>
      <c r="K1130" s="84"/>
      <c r="L1130" s="84"/>
      <c r="M1130" s="84"/>
      <c r="N1130" s="84"/>
      <c r="O1130" s="84"/>
      <c r="P1130" s="84"/>
      <c r="Q1130" s="84"/>
      <c r="R1130" s="84"/>
      <c r="S1130" s="84"/>
      <c r="T1130" s="84"/>
      <c r="U1130" s="84"/>
      <c r="V1130" s="84"/>
      <c r="W1130" s="84"/>
      <c r="X1130" s="84"/>
      <c r="Y1130" s="84"/>
      <c r="Z1130" s="87"/>
      <c r="AA1130" s="87"/>
      <c r="AB1130" s="87"/>
      <c r="AC1130" s="87"/>
      <c r="AD1130" s="87"/>
      <c r="AE1130" s="87"/>
      <c r="AF1130" s="87"/>
      <c r="AG1130" s="87"/>
      <c r="AH1130" s="87"/>
      <c r="AI1130" s="87"/>
      <c r="AJ1130" s="87"/>
      <c r="AK1130" s="87"/>
      <c r="AL1130" s="87"/>
      <c r="AM1130" s="87"/>
      <c r="AN1130" s="87"/>
      <c r="AO1130" s="87"/>
      <c r="AP1130" s="87"/>
      <c r="AQ1130" s="87"/>
      <c r="AR1130" s="87"/>
      <c r="AS1130" s="87"/>
      <c r="AT1130" s="87"/>
      <c r="AU1130" s="87"/>
      <c r="AV1130" s="87"/>
      <c r="AW1130" s="87"/>
      <c r="AX1130" s="87"/>
      <c r="AY1130" s="87"/>
      <c r="AZ1130" s="87"/>
      <c r="BA1130" s="87"/>
      <c r="BB1130" s="87"/>
      <c r="BC1130" s="87"/>
      <c r="BD1130" s="87"/>
      <c r="BE1130" s="87"/>
      <c r="BF1130" s="87"/>
      <c r="BG1130" s="87"/>
      <c r="BH1130" s="87"/>
    </row>
    <row r="1131" spans="1:60" ht="16">
      <c r="A1131" s="82"/>
      <c r="B1131" s="82"/>
      <c r="C1131" s="82"/>
      <c r="D1131" s="83"/>
      <c r="E1131" s="84"/>
      <c r="F1131" s="84"/>
      <c r="G1131" s="84"/>
      <c r="H1131" s="82"/>
      <c r="I1131" s="84"/>
      <c r="J1131" s="84"/>
      <c r="K1131" s="84"/>
      <c r="L1131" s="84"/>
      <c r="M1131" s="84"/>
      <c r="N1131" s="84"/>
      <c r="O1131" s="84"/>
      <c r="P1131" s="84"/>
      <c r="Q1131" s="84"/>
      <c r="R1131" s="84"/>
      <c r="S1131" s="84"/>
      <c r="T1131" s="84"/>
      <c r="U1131" s="84"/>
      <c r="V1131" s="84"/>
      <c r="W1131" s="84"/>
      <c r="X1131" s="84"/>
      <c r="Y1131" s="84"/>
      <c r="Z1131" s="87"/>
      <c r="AA1131" s="87"/>
      <c r="AB1131" s="87"/>
      <c r="AC1131" s="87"/>
      <c r="AD1131" s="87"/>
      <c r="AE1131" s="87"/>
      <c r="AF1131" s="87"/>
      <c r="AG1131" s="87"/>
      <c r="AH1131" s="87"/>
      <c r="AI1131" s="87"/>
      <c r="AJ1131" s="87"/>
      <c r="AK1131" s="87"/>
      <c r="AL1131" s="87"/>
      <c r="AM1131" s="87"/>
      <c r="AN1131" s="87"/>
      <c r="AO1131" s="87"/>
      <c r="AP1131" s="87"/>
      <c r="AQ1131" s="87"/>
      <c r="AR1131" s="87"/>
      <c r="AS1131" s="87"/>
      <c r="AT1131" s="87"/>
      <c r="AU1131" s="87"/>
      <c r="AV1131" s="87"/>
      <c r="AW1131" s="87"/>
      <c r="AX1131" s="87"/>
      <c r="AY1131" s="87"/>
      <c r="AZ1131" s="87"/>
      <c r="BA1131" s="87"/>
      <c r="BB1131" s="87"/>
      <c r="BC1131" s="87"/>
      <c r="BD1131" s="87"/>
      <c r="BE1131" s="87"/>
      <c r="BF1131" s="87"/>
      <c r="BG1131" s="87"/>
      <c r="BH1131" s="87"/>
    </row>
    <row r="1132" spans="1:60" ht="16">
      <c r="A1132" s="82"/>
      <c r="B1132" s="82"/>
      <c r="C1132" s="82"/>
      <c r="D1132" s="83"/>
      <c r="E1132" s="84"/>
      <c r="F1132" s="84"/>
      <c r="G1132" s="84"/>
      <c r="H1132" s="82"/>
      <c r="I1132" s="84"/>
      <c r="J1132" s="84"/>
      <c r="K1132" s="84"/>
      <c r="L1132" s="84"/>
      <c r="M1132" s="84"/>
      <c r="N1132" s="84"/>
      <c r="O1132" s="84"/>
      <c r="P1132" s="84"/>
      <c r="Q1132" s="84"/>
      <c r="R1132" s="84"/>
      <c r="S1132" s="84"/>
      <c r="T1132" s="84"/>
      <c r="U1132" s="84"/>
      <c r="V1132" s="84"/>
      <c r="W1132" s="84"/>
      <c r="X1132" s="84"/>
      <c r="Y1132" s="84"/>
      <c r="Z1132" s="87"/>
      <c r="AA1132" s="87"/>
      <c r="AB1132" s="87"/>
      <c r="AC1132" s="87"/>
      <c r="AD1132" s="87"/>
      <c r="AE1132" s="87"/>
      <c r="AF1132" s="87"/>
      <c r="AG1132" s="87"/>
      <c r="AH1132" s="87"/>
      <c r="AI1132" s="87"/>
      <c r="AJ1132" s="87"/>
      <c r="AK1132" s="87"/>
      <c r="AL1132" s="87"/>
      <c r="AM1132" s="87"/>
      <c r="AN1132" s="87"/>
      <c r="AO1132" s="87"/>
      <c r="AP1132" s="87"/>
      <c r="AQ1132" s="87"/>
      <c r="AR1132" s="87"/>
      <c r="AS1132" s="87"/>
      <c r="AT1132" s="87"/>
      <c r="AU1132" s="87"/>
      <c r="AV1132" s="87"/>
      <c r="AW1132" s="87"/>
      <c r="AX1132" s="87"/>
      <c r="AY1132" s="87"/>
      <c r="AZ1132" s="87"/>
      <c r="BA1132" s="87"/>
      <c r="BB1132" s="87"/>
      <c r="BC1132" s="87"/>
      <c r="BD1132" s="87"/>
      <c r="BE1132" s="87"/>
      <c r="BF1132" s="87"/>
      <c r="BG1132" s="87"/>
      <c r="BH1132" s="87"/>
    </row>
    <row r="1133" spans="1:60" ht="16">
      <c r="A1133" s="82"/>
      <c r="B1133" s="82"/>
      <c r="C1133" s="82"/>
      <c r="D1133" s="83"/>
      <c r="E1133" s="84"/>
      <c r="F1133" s="84"/>
      <c r="G1133" s="84"/>
      <c r="H1133" s="82"/>
      <c r="I1133" s="84"/>
      <c r="J1133" s="84"/>
      <c r="K1133" s="84"/>
      <c r="L1133" s="84"/>
      <c r="M1133" s="84"/>
      <c r="N1133" s="84"/>
      <c r="O1133" s="84"/>
      <c r="P1133" s="84"/>
      <c r="Q1133" s="84"/>
      <c r="R1133" s="84"/>
      <c r="S1133" s="84"/>
      <c r="T1133" s="84"/>
      <c r="U1133" s="84"/>
      <c r="V1133" s="84"/>
      <c r="W1133" s="84"/>
      <c r="X1133" s="84"/>
      <c r="Y1133" s="84"/>
      <c r="Z1133" s="87"/>
      <c r="AA1133" s="87"/>
      <c r="AB1133" s="87"/>
      <c r="AC1133" s="87"/>
      <c r="AD1133" s="87"/>
      <c r="AE1133" s="87"/>
      <c r="AF1133" s="87"/>
      <c r="AG1133" s="87"/>
      <c r="AH1133" s="87"/>
      <c r="AI1133" s="87"/>
      <c r="AJ1133" s="87"/>
      <c r="AK1133" s="87"/>
      <c r="AL1133" s="87"/>
      <c r="AM1133" s="87"/>
      <c r="AN1133" s="87"/>
      <c r="AO1133" s="87"/>
      <c r="AP1133" s="87"/>
      <c r="AQ1133" s="87"/>
      <c r="AR1133" s="87"/>
      <c r="AS1133" s="87"/>
      <c r="AT1133" s="87"/>
      <c r="AU1133" s="87"/>
      <c r="AV1133" s="87"/>
      <c r="AW1133" s="87"/>
      <c r="AX1133" s="87"/>
      <c r="AY1133" s="87"/>
      <c r="AZ1133" s="87"/>
      <c r="BA1133" s="87"/>
      <c r="BB1133" s="87"/>
      <c r="BC1133" s="87"/>
      <c r="BD1133" s="87"/>
      <c r="BE1133" s="87"/>
      <c r="BF1133" s="87"/>
      <c r="BG1133" s="87"/>
      <c r="BH1133" s="87"/>
    </row>
    <row r="1134" spans="1:60" ht="16">
      <c r="A1134" s="82"/>
      <c r="B1134" s="82"/>
      <c r="C1134" s="82"/>
      <c r="D1134" s="83"/>
      <c r="E1134" s="84"/>
      <c r="F1134" s="84"/>
      <c r="G1134" s="84"/>
      <c r="H1134" s="82"/>
      <c r="I1134" s="84"/>
      <c r="J1134" s="84"/>
      <c r="K1134" s="84"/>
      <c r="L1134" s="84"/>
      <c r="M1134" s="84"/>
      <c r="N1134" s="84"/>
      <c r="O1134" s="84"/>
      <c r="P1134" s="84"/>
      <c r="Q1134" s="84"/>
      <c r="R1134" s="84"/>
      <c r="S1134" s="84"/>
      <c r="T1134" s="84"/>
      <c r="U1134" s="84"/>
      <c r="V1134" s="84"/>
      <c r="W1134" s="84"/>
      <c r="X1134" s="84"/>
      <c r="Y1134" s="84"/>
      <c r="Z1134" s="87"/>
      <c r="AA1134" s="87"/>
      <c r="AB1134" s="87"/>
      <c r="AC1134" s="87"/>
      <c r="AD1134" s="87"/>
      <c r="AE1134" s="87"/>
      <c r="AF1134" s="87"/>
      <c r="AG1134" s="87"/>
      <c r="AH1134" s="87"/>
      <c r="AI1134" s="87"/>
      <c r="AJ1134" s="87"/>
      <c r="AK1134" s="87"/>
      <c r="AL1134" s="87"/>
      <c r="AM1134" s="87"/>
      <c r="AN1134" s="87"/>
      <c r="AO1134" s="87"/>
      <c r="AP1134" s="87"/>
      <c r="AQ1134" s="87"/>
      <c r="AR1134" s="87"/>
      <c r="AS1134" s="87"/>
      <c r="AT1134" s="87"/>
      <c r="AU1134" s="87"/>
      <c r="AV1134" s="87"/>
      <c r="AW1134" s="87"/>
      <c r="AX1134" s="87"/>
      <c r="AY1134" s="87"/>
      <c r="AZ1134" s="87"/>
      <c r="BA1134" s="87"/>
      <c r="BB1134" s="87"/>
      <c r="BC1134" s="87"/>
      <c r="BD1134" s="87"/>
      <c r="BE1134" s="87"/>
      <c r="BF1134" s="87"/>
      <c r="BG1134" s="87"/>
      <c r="BH1134" s="87"/>
    </row>
    <row r="1135" spans="1:60" ht="16">
      <c r="A1135" s="82"/>
      <c r="B1135" s="82"/>
      <c r="C1135" s="82"/>
      <c r="D1135" s="83"/>
      <c r="E1135" s="84"/>
      <c r="F1135" s="84"/>
      <c r="G1135" s="84"/>
      <c r="H1135" s="82"/>
      <c r="I1135" s="84"/>
      <c r="J1135" s="84"/>
      <c r="K1135" s="84"/>
      <c r="L1135" s="84"/>
      <c r="M1135" s="84"/>
      <c r="N1135" s="84"/>
      <c r="O1135" s="84"/>
      <c r="P1135" s="84"/>
      <c r="Q1135" s="84"/>
      <c r="R1135" s="84"/>
      <c r="S1135" s="84"/>
      <c r="T1135" s="84"/>
      <c r="U1135" s="84"/>
      <c r="V1135" s="84"/>
      <c r="W1135" s="84"/>
      <c r="X1135" s="84"/>
      <c r="Y1135" s="84"/>
      <c r="Z1135" s="87"/>
      <c r="AA1135" s="87"/>
      <c r="AB1135" s="87"/>
      <c r="AC1135" s="87"/>
      <c r="AD1135" s="87"/>
      <c r="AE1135" s="87"/>
      <c r="AF1135" s="87"/>
      <c r="AG1135" s="87"/>
      <c r="AH1135" s="87"/>
      <c r="AI1135" s="87"/>
      <c r="AJ1135" s="87"/>
      <c r="AK1135" s="87"/>
      <c r="AL1135" s="87"/>
      <c r="AM1135" s="87"/>
      <c r="AN1135" s="87"/>
      <c r="AO1135" s="87"/>
      <c r="AP1135" s="87"/>
      <c r="AQ1135" s="87"/>
      <c r="AR1135" s="87"/>
      <c r="AS1135" s="87"/>
      <c r="AT1135" s="87"/>
      <c r="AU1135" s="87"/>
      <c r="AV1135" s="87"/>
      <c r="AW1135" s="87"/>
      <c r="AX1135" s="87"/>
      <c r="AY1135" s="87"/>
      <c r="AZ1135" s="87"/>
      <c r="BA1135" s="87"/>
      <c r="BB1135" s="87"/>
      <c r="BC1135" s="87"/>
      <c r="BD1135" s="87"/>
      <c r="BE1135" s="87"/>
      <c r="BF1135" s="87"/>
      <c r="BG1135" s="87"/>
      <c r="BH1135" s="87"/>
    </row>
    <row r="1136" spans="1:60" ht="16">
      <c r="A1136" s="82"/>
      <c r="B1136" s="82"/>
      <c r="C1136" s="82"/>
      <c r="D1136" s="83"/>
      <c r="E1136" s="84"/>
      <c r="F1136" s="84"/>
      <c r="G1136" s="84"/>
      <c r="H1136" s="82"/>
      <c r="I1136" s="84"/>
      <c r="J1136" s="84"/>
      <c r="K1136" s="84"/>
      <c r="L1136" s="84"/>
      <c r="M1136" s="84"/>
      <c r="N1136" s="84"/>
      <c r="O1136" s="84"/>
      <c r="P1136" s="84"/>
      <c r="Q1136" s="84"/>
      <c r="R1136" s="84"/>
      <c r="S1136" s="84"/>
      <c r="T1136" s="84"/>
      <c r="U1136" s="84"/>
      <c r="V1136" s="84"/>
      <c r="W1136" s="84"/>
      <c r="X1136" s="84"/>
      <c r="Y1136" s="84"/>
      <c r="Z1136" s="87"/>
      <c r="AA1136" s="87"/>
      <c r="AB1136" s="87"/>
      <c r="AC1136" s="87"/>
      <c r="AD1136" s="87"/>
      <c r="AE1136" s="87"/>
      <c r="AF1136" s="87"/>
      <c r="AG1136" s="87"/>
      <c r="AH1136" s="87"/>
      <c r="AI1136" s="87"/>
      <c r="AJ1136" s="87"/>
      <c r="AK1136" s="87"/>
      <c r="AL1136" s="87"/>
      <c r="AM1136" s="87"/>
      <c r="AN1136" s="87"/>
      <c r="AO1136" s="87"/>
      <c r="AP1136" s="87"/>
      <c r="AQ1136" s="87"/>
      <c r="AR1136" s="87"/>
      <c r="AS1136" s="87"/>
      <c r="AT1136" s="87"/>
      <c r="AU1136" s="87"/>
      <c r="AV1136" s="87"/>
      <c r="AW1136" s="87"/>
      <c r="AX1136" s="87"/>
      <c r="AY1136" s="87"/>
      <c r="AZ1136" s="87"/>
      <c r="BA1136" s="87"/>
      <c r="BB1136" s="87"/>
      <c r="BC1136" s="87"/>
      <c r="BD1136" s="87"/>
      <c r="BE1136" s="87"/>
      <c r="BF1136" s="87"/>
      <c r="BG1136" s="87"/>
      <c r="BH1136" s="87"/>
    </row>
    <row r="1137" spans="1:60" ht="16">
      <c r="A1137" s="82"/>
      <c r="B1137" s="82"/>
      <c r="C1137" s="82"/>
      <c r="D1137" s="83"/>
      <c r="E1137" s="84"/>
      <c r="F1137" s="84"/>
      <c r="G1137" s="84"/>
      <c r="H1137" s="82"/>
      <c r="I1137" s="84"/>
      <c r="J1137" s="84"/>
      <c r="K1137" s="84"/>
      <c r="L1137" s="84"/>
      <c r="M1137" s="84"/>
      <c r="N1137" s="84"/>
      <c r="O1137" s="84"/>
      <c r="P1137" s="84"/>
      <c r="Q1137" s="84"/>
      <c r="R1137" s="84"/>
      <c r="S1137" s="84"/>
      <c r="T1137" s="84"/>
      <c r="U1137" s="84"/>
      <c r="V1137" s="84"/>
      <c r="W1137" s="84"/>
      <c r="X1137" s="84"/>
      <c r="Y1137" s="84"/>
      <c r="Z1137" s="87"/>
      <c r="AA1137" s="87"/>
      <c r="AB1137" s="87"/>
      <c r="AC1137" s="87"/>
      <c r="AD1137" s="87"/>
      <c r="AE1137" s="87"/>
      <c r="AF1137" s="87"/>
      <c r="AG1137" s="87"/>
      <c r="AH1137" s="87"/>
      <c r="AI1137" s="87"/>
      <c r="AJ1137" s="87"/>
      <c r="AK1137" s="87"/>
      <c r="AL1137" s="87"/>
      <c r="AM1137" s="87"/>
      <c r="AN1137" s="87"/>
      <c r="AO1137" s="87"/>
      <c r="AP1137" s="87"/>
      <c r="AQ1137" s="87"/>
      <c r="AR1137" s="87"/>
      <c r="AS1137" s="87"/>
      <c r="AT1137" s="87"/>
      <c r="AU1137" s="87"/>
      <c r="AV1137" s="87"/>
      <c r="AW1137" s="87"/>
      <c r="AX1137" s="87"/>
      <c r="AY1137" s="87"/>
      <c r="AZ1137" s="87"/>
      <c r="BA1137" s="87"/>
      <c r="BB1137" s="87"/>
      <c r="BC1137" s="87"/>
      <c r="BD1137" s="87"/>
      <c r="BE1137" s="87"/>
      <c r="BF1137" s="87"/>
      <c r="BG1137" s="87"/>
      <c r="BH1137" s="87"/>
    </row>
    <row r="1138" spans="1:60" ht="16">
      <c r="A1138" s="82"/>
      <c r="B1138" s="82"/>
      <c r="C1138" s="82"/>
      <c r="D1138" s="83"/>
      <c r="E1138" s="84"/>
      <c r="F1138" s="84"/>
      <c r="G1138" s="84"/>
      <c r="H1138" s="82"/>
      <c r="I1138" s="84"/>
      <c r="J1138" s="84"/>
      <c r="K1138" s="84"/>
      <c r="L1138" s="84"/>
      <c r="M1138" s="84"/>
      <c r="N1138" s="84"/>
      <c r="O1138" s="84"/>
      <c r="P1138" s="84"/>
      <c r="Q1138" s="84"/>
      <c r="R1138" s="84"/>
      <c r="S1138" s="84"/>
      <c r="T1138" s="84"/>
      <c r="U1138" s="84"/>
      <c r="V1138" s="84"/>
      <c r="W1138" s="84"/>
      <c r="X1138" s="84"/>
      <c r="Y1138" s="84"/>
      <c r="Z1138" s="87"/>
      <c r="AA1138" s="87"/>
      <c r="AB1138" s="87"/>
      <c r="AC1138" s="87"/>
      <c r="AD1138" s="87"/>
      <c r="AE1138" s="87"/>
      <c r="AF1138" s="87"/>
      <c r="AG1138" s="87"/>
      <c r="AH1138" s="87"/>
      <c r="AI1138" s="87"/>
      <c r="AJ1138" s="87"/>
      <c r="AK1138" s="87"/>
      <c r="AL1138" s="87"/>
      <c r="AM1138" s="87"/>
      <c r="AN1138" s="87"/>
      <c r="AO1138" s="87"/>
      <c r="AP1138" s="87"/>
      <c r="AQ1138" s="87"/>
      <c r="AR1138" s="87"/>
      <c r="AS1138" s="87"/>
      <c r="AT1138" s="87"/>
      <c r="AU1138" s="87"/>
      <c r="AV1138" s="87"/>
      <c r="AW1138" s="87"/>
      <c r="AX1138" s="87"/>
      <c r="AY1138" s="87"/>
      <c r="AZ1138" s="87"/>
      <c r="BA1138" s="87"/>
      <c r="BB1138" s="87"/>
      <c r="BC1138" s="87"/>
      <c r="BD1138" s="87"/>
      <c r="BE1138" s="87"/>
      <c r="BF1138" s="87"/>
      <c r="BG1138" s="87"/>
      <c r="BH1138" s="87"/>
    </row>
    <row r="1139" spans="1:60" ht="16">
      <c r="A1139" s="82"/>
      <c r="B1139" s="82"/>
      <c r="C1139" s="82"/>
      <c r="D1139" s="83"/>
      <c r="E1139" s="84"/>
      <c r="F1139" s="84"/>
      <c r="G1139" s="84"/>
      <c r="H1139" s="82"/>
      <c r="I1139" s="84"/>
      <c r="J1139" s="84"/>
      <c r="K1139" s="84"/>
      <c r="L1139" s="84"/>
      <c r="M1139" s="84"/>
      <c r="N1139" s="84"/>
      <c r="O1139" s="84"/>
      <c r="P1139" s="84"/>
      <c r="Q1139" s="84"/>
      <c r="R1139" s="84"/>
      <c r="S1139" s="84"/>
      <c r="T1139" s="84"/>
      <c r="U1139" s="84"/>
      <c r="V1139" s="84"/>
      <c r="W1139" s="84"/>
      <c r="X1139" s="84"/>
      <c r="Y1139" s="84"/>
      <c r="Z1139" s="87"/>
      <c r="AA1139" s="87"/>
      <c r="AB1139" s="87"/>
      <c r="AC1139" s="87"/>
      <c r="AD1139" s="87"/>
      <c r="AE1139" s="87"/>
      <c r="AF1139" s="87"/>
      <c r="AG1139" s="87"/>
      <c r="AH1139" s="87"/>
      <c r="AI1139" s="87"/>
      <c r="AJ1139" s="87"/>
      <c r="AK1139" s="87"/>
      <c r="AL1139" s="87"/>
      <c r="AM1139" s="87"/>
      <c r="AN1139" s="87"/>
      <c r="AO1139" s="87"/>
      <c r="AP1139" s="87"/>
      <c r="AQ1139" s="87"/>
      <c r="AR1139" s="87"/>
      <c r="AS1139" s="87"/>
      <c r="AT1139" s="87"/>
      <c r="AU1139" s="87"/>
      <c r="AV1139" s="87"/>
      <c r="AW1139" s="87"/>
      <c r="AX1139" s="87"/>
      <c r="AY1139" s="87"/>
      <c r="AZ1139" s="87"/>
      <c r="BA1139" s="87"/>
      <c r="BB1139" s="87"/>
      <c r="BC1139" s="87"/>
      <c r="BD1139" s="87"/>
      <c r="BE1139" s="87"/>
      <c r="BF1139" s="87"/>
      <c r="BG1139" s="87"/>
      <c r="BH1139" s="87"/>
    </row>
    <row r="1140" spans="1:60" ht="16">
      <c r="A1140" s="82"/>
      <c r="B1140" s="82"/>
      <c r="C1140" s="82"/>
      <c r="D1140" s="83"/>
      <c r="E1140" s="84"/>
      <c r="F1140" s="84"/>
      <c r="G1140" s="84"/>
      <c r="H1140" s="82"/>
      <c r="I1140" s="84"/>
      <c r="J1140" s="84"/>
      <c r="K1140" s="84"/>
      <c r="L1140" s="84"/>
      <c r="M1140" s="84"/>
      <c r="N1140" s="84"/>
      <c r="O1140" s="84"/>
      <c r="P1140" s="84"/>
      <c r="Q1140" s="84"/>
      <c r="R1140" s="84"/>
      <c r="S1140" s="84"/>
      <c r="T1140" s="84"/>
      <c r="U1140" s="84"/>
      <c r="V1140" s="84"/>
      <c r="W1140" s="84"/>
      <c r="X1140" s="84"/>
      <c r="Y1140" s="84"/>
      <c r="Z1140" s="87"/>
      <c r="AA1140" s="87"/>
      <c r="AB1140" s="87"/>
      <c r="AC1140" s="87"/>
      <c r="AD1140" s="87"/>
      <c r="AE1140" s="87"/>
      <c r="AF1140" s="87"/>
      <c r="AG1140" s="87"/>
      <c r="AH1140" s="87"/>
      <c r="AI1140" s="87"/>
      <c r="AJ1140" s="87"/>
      <c r="AK1140" s="87"/>
      <c r="AL1140" s="87"/>
      <c r="AM1140" s="87"/>
      <c r="AN1140" s="87"/>
      <c r="AO1140" s="87"/>
      <c r="AP1140" s="87"/>
      <c r="AQ1140" s="87"/>
      <c r="AR1140" s="87"/>
      <c r="AS1140" s="87"/>
      <c r="AT1140" s="87"/>
      <c r="AU1140" s="87"/>
      <c r="AV1140" s="87"/>
      <c r="AW1140" s="87"/>
      <c r="AX1140" s="87"/>
      <c r="AY1140" s="87"/>
      <c r="AZ1140" s="87"/>
      <c r="BA1140" s="87"/>
      <c r="BB1140" s="87"/>
      <c r="BC1140" s="87"/>
      <c r="BD1140" s="87"/>
      <c r="BE1140" s="87"/>
      <c r="BF1140" s="87"/>
      <c r="BG1140" s="87"/>
      <c r="BH1140" s="87"/>
    </row>
    <row r="1141" spans="1:60" ht="16">
      <c r="A1141" s="82"/>
      <c r="B1141" s="82"/>
      <c r="C1141" s="82"/>
      <c r="D1141" s="83"/>
      <c r="E1141" s="84"/>
      <c r="F1141" s="84"/>
      <c r="G1141" s="84"/>
      <c r="H1141" s="82"/>
      <c r="I1141" s="84"/>
      <c r="J1141" s="84"/>
      <c r="K1141" s="84"/>
      <c r="L1141" s="84"/>
      <c r="M1141" s="84"/>
      <c r="N1141" s="84"/>
      <c r="O1141" s="84"/>
      <c r="P1141" s="84"/>
      <c r="Q1141" s="84"/>
      <c r="R1141" s="84"/>
      <c r="S1141" s="84"/>
      <c r="T1141" s="84"/>
      <c r="U1141" s="84"/>
      <c r="V1141" s="84"/>
      <c r="W1141" s="84"/>
      <c r="X1141" s="84"/>
      <c r="Y1141" s="84"/>
      <c r="Z1141" s="87"/>
      <c r="AA1141" s="87"/>
      <c r="AB1141" s="87"/>
      <c r="AC1141" s="87"/>
      <c r="AD1141" s="87"/>
      <c r="AE1141" s="87"/>
      <c r="AF1141" s="87"/>
      <c r="AG1141" s="87"/>
      <c r="AH1141" s="87"/>
      <c r="AI1141" s="87"/>
      <c r="AJ1141" s="87"/>
      <c r="AK1141" s="87"/>
      <c r="AL1141" s="87"/>
      <c r="AM1141" s="87"/>
      <c r="AN1141" s="87"/>
      <c r="AO1141" s="87"/>
      <c r="AP1141" s="87"/>
      <c r="AQ1141" s="87"/>
      <c r="AR1141" s="87"/>
      <c r="AS1141" s="87"/>
      <c r="AT1141" s="87"/>
      <c r="AU1141" s="87"/>
      <c r="AV1141" s="87"/>
      <c r="AW1141" s="87"/>
      <c r="AX1141" s="87"/>
      <c r="AY1141" s="87"/>
      <c r="AZ1141" s="87"/>
      <c r="BA1141" s="87"/>
      <c r="BB1141" s="87"/>
      <c r="BC1141" s="87"/>
      <c r="BD1141" s="87"/>
      <c r="BE1141" s="87"/>
      <c r="BF1141" s="87"/>
      <c r="BG1141" s="87"/>
      <c r="BH1141" s="87"/>
    </row>
    <row r="1142" spans="1:60" ht="16">
      <c r="A1142" s="82"/>
      <c r="B1142" s="82"/>
      <c r="C1142" s="82"/>
      <c r="D1142" s="83"/>
      <c r="E1142" s="84"/>
      <c r="F1142" s="84"/>
      <c r="G1142" s="84"/>
      <c r="H1142" s="82"/>
      <c r="I1142" s="84"/>
      <c r="J1142" s="84"/>
      <c r="K1142" s="84"/>
      <c r="L1142" s="84"/>
      <c r="M1142" s="84"/>
      <c r="N1142" s="84"/>
      <c r="O1142" s="84"/>
      <c r="P1142" s="84"/>
      <c r="Q1142" s="84"/>
      <c r="R1142" s="84"/>
      <c r="S1142" s="84"/>
      <c r="T1142" s="84"/>
      <c r="U1142" s="84"/>
      <c r="V1142" s="84"/>
      <c r="W1142" s="84"/>
      <c r="X1142" s="84"/>
      <c r="Y1142" s="84"/>
      <c r="Z1142" s="87"/>
      <c r="AA1142" s="87"/>
      <c r="AB1142" s="87"/>
      <c r="AC1142" s="87"/>
      <c r="AD1142" s="87"/>
      <c r="AE1142" s="87"/>
      <c r="AF1142" s="87"/>
      <c r="AG1142" s="87"/>
      <c r="AH1142" s="87"/>
      <c r="AI1142" s="87"/>
      <c r="AJ1142" s="87"/>
      <c r="AK1142" s="87"/>
      <c r="AL1142" s="87"/>
      <c r="AM1142" s="87"/>
      <c r="AN1142" s="87"/>
      <c r="AO1142" s="87"/>
      <c r="AP1142" s="87"/>
      <c r="AQ1142" s="87"/>
      <c r="AR1142" s="87"/>
      <c r="AS1142" s="87"/>
      <c r="AT1142" s="87"/>
      <c r="AU1142" s="87"/>
      <c r="AV1142" s="87"/>
      <c r="AW1142" s="87"/>
      <c r="AX1142" s="87"/>
      <c r="AY1142" s="87"/>
      <c r="AZ1142" s="87"/>
      <c r="BA1142" s="87"/>
      <c r="BB1142" s="87"/>
      <c r="BC1142" s="87"/>
      <c r="BD1142" s="87"/>
      <c r="BE1142" s="87"/>
      <c r="BF1142" s="87"/>
      <c r="BG1142" s="87"/>
      <c r="BH1142" s="87"/>
    </row>
    <row r="1143" spans="1:60" ht="16">
      <c r="A1143" s="82"/>
      <c r="B1143" s="82"/>
      <c r="C1143" s="82"/>
      <c r="D1143" s="83"/>
      <c r="E1143" s="84"/>
      <c r="F1143" s="84"/>
      <c r="G1143" s="84"/>
      <c r="H1143" s="82"/>
      <c r="I1143" s="84"/>
      <c r="J1143" s="84"/>
      <c r="K1143" s="84"/>
      <c r="L1143" s="84"/>
      <c r="M1143" s="84"/>
      <c r="N1143" s="84"/>
      <c r="O1143" s="84"/>
      <c r="P1143" s="84"/>
      <c r="Q1143" s="84"/>
      <c r="R1143" s="84"/>
      <c r="S1143" s="84"/>
      <c r="T1143" s="84"/>
      <c r="U1143" s="84"/>
      <c r="V1143" s="84"/>
      <c r="W1143" s="84"/>
      <c r="X1143" s="84"/>
      <c r="Y1143" s="84"/>
      <c r="Z1143" s="87"/>
      <c r="AA1143" s="87"/>
      <c r="AB1143" s="87"/>
      <c r="AC1143" s="87"/>
      <c r="AD1143" s="87"/>
      <c r="AE1143" s="87"/>
      <c r="AF1143" s="87"/>
      <c r="AG1143" s="87"/>
      <c r="AH1143" s="87"/>
      <c r="AI1143" s="87"/>
      <c r="AJ1143" s="87"/>
      <c r="AK1143" s="87"/>
      <c r="AL1143" s="87"/>
      <c r="AM1143" s="87"/>
      <c r="AN1143" s="87"/>
      <c r="AO1143" s="87"/>
      <c r="AP1143" s="87"/>
      <c r="AQ1143" s="87"/>
      <c r="AR1143" s="87"/>
      <c r="AS1143" s="87"/>
      <c r="AT1143" s="87"/>
      <c r="AU1143" s="87"/>
      <c r="AV1143" s="87"/>
      <c r="AW1143" s="87"/>
      <c r="AX1143" s="87"/>
      <c r="AY1143" s="87"/>
      <c r="AZ1143" s="87"/>
      <c r="BA1143" s="87"/>
      <c r="BB1143" s="87"/>
      <c r="BC1143" s="87"/>
      <c r="BD1143" s="87"/>
      <c r="BE1143" s="87"/>
      <c r="BF1143" s="87"/>
      <c r="BG1143" s="87"/>
      <c r="BH1143" s="87"/>
    </row>
    <row r="1144" spans="1:60" ht="16">
      <c r="A1144" s="82"/>
      <c r="B1144" s="82"/>
      <c r="C1144" s="82"/>
      <c r="D1144" s="83"/>
      <c r="E1144" s="84"/>
      <c r="F1144" s="84"/>
      <c r="G1144" s="84"/>
      <c r="H1144" s="82"/>
      <c r="I1144" s="84"/>
      <c r="J1144" s="84"/>
      <c r="K1144" s="84"/>
      <c r="L1144" s="84"/>
      <c r="M1144" s="84"/>
      <c r="N1144" s="84"/>
      <c r="O1144" s="84"/>
      <c r="P1144" s="84"/>
      <c r="Q1144" s="84"/>
      <c r="R1144" s="84"/>
      <c r="S1144" s="84"/>
      <c r="T1144" s="84"/>
      <c r="U1144" s="84"/>
      <c r="V1144" s="84"/>
      <c r="W1144" s="84"/>
      <c r="X1144" s="84"/>
      <c r="Y1144" s="84"/>
      <c r="Z1144" s="87"/>
      <c r="AA1144" s="87"/>
      <c r="AB1144" s="87"/>
      <c r="AC1144" s="87"/>
      <c r="AD1144" s="87"/>
      <c r="AE1144" s="87"/>
      <c r="AF1144" s="87"/>
      <c r="AG1144" s="87"/>
      <c r="AH1144" s="87"/>
      <c r="AI1144" s="87"/>
      <c r="AJ1144" s="87"/>
      <c r="AK1144" s="87"/>
      <c r="AL1144" s="87"/>
      <c r="AM1144" s="87"/>
      <c r="AN1144" s="87"/>
      <c r="AO1144" s="87"/>
      <c r="AP1144" s="87"/>
      <c r="AQ1144" s="87"/>
      <c r="AR1144" s="87"/>
      <c r="AS1144" s="87"/>
      <c r="AT1144" s="87"/>
      <c r="AU1144" s="87"/>
      <c r="AV1144" s="87"/>
      <c r="AW1144" s="87"/>
      <c r="AX1144" s="87"/>
      <c r="AY1144" s="87"/>
      <c r="AZ1144" s="87"/>
      <c r="BA1144" s="87"/>
      <c r="BB1144" s="87"/>
      <c r="BC1144" s="87"/>
      <c r="BD1144" s="87"/>
      <c r="BE1144" s="87"/>
      <c r="BF1144" s="87"/>
      <c r="BG1144" s="87"/>
      <c r="BH1144" s="87"/>
    </row>
    <row r="1145" spans="1:60" ht="16">
      <c r="A1145" s="82"/>
      <c r="B1145" s="82"/>
      <c r="C1145" s="82"/>
      <c r="D1145" s="83"/>
      <c r="E1145" s="84"/>
      <c r="F1145" s="84"/>
      <c r="G1145" s="84"/>
      <c r="H1145" s="82"/>
      <c r="I1145" s="84"/>
      <c r="J1145" s="84"/>
      <c r="K1145" s="84"/>
      <c r="L1145" s="84"/>
      <c r="M1145" s="84"/>
      <c r="N1145" s="84"/>
      <c r="O1145" s="84"/>
      <c r="P1145" s="84"/>
      <c r="Q1145" s="84"/>
      <c r="R1145" s="84"/>
      <c r="S1145" s="84"/>
      <c r="T1145" s="84"/>
      <c r="U1145" s="84"/>
      <c r="V1145" s="84"/>
      <c r="W1145" s="84"/>
      <c r="X1145" s="84"/>
      <c r="Y1145" s="84"/>
      <c r="Z1145" s="87"/>
      <c r="AA1145" s="87"/>
      <c r="AB1145" s="87"/>
      <c r="AC1145" s="87"/>
      <c r="AD1145" s="87"/>
      <c r="AE1145" s="87"/>
      <c r="AF1145" s="87"/>
      <c r="AG1145" s="87"/>
      <c r="AH1145" s="87"/>
      <c r="AI1145" s="87"/>
      <c r="AJ1145" s="87"/>
      <c r="AK1145" s="87"/>
      <c r="AL1145" s="87"/>
      <c r="AM1145" s="87"/>
      <c r="AN1145" s="87"/>
      <c r="AO1145" s="87"/>
      <c r="AP1145" s="87"/>
      <c r="AQ1145" s="87"/>
      <c r="AR1145" s="87"/>
      <c r="AS1145" s="87"/>
      <c r="AT1145" s="87"/>
      <c r="AU1145" s="87"/>
      <c r="AV1145" s="87"/>
      <c r="AW1145" s="87"/>
      <c r="AX1145" s="87"/>
      <c r="AY1145" s="87"/>
      <c r="AZ1145" s="87"/>
      <c r="BA1145" s="87"/>
      <c r="BB1145" s="87"/>
      <c r="BC1145" s="87"/>
      <c r="BD1145" s="87"/>
      <c r="BE1145" s="87"/>
      <c r="BF1145" s="87"/>
      <c r="BG1145" s="87"/>
      <c r="BH1145" s="87"/>
    </row>
    <row r="1146" spans="1:60" ht="16">
      <c r="A1146" s="82"/>
      <c r="B1146" s="82"/>
      <c r="C1146" s="82"/>
      <c r="D1146" s="83"/>
      <c r="E1146" s="84"/>
      <c r="F1146" s="84"/>
      <c r="G1146" s="84"/>
      <c r="H1146" s="82"/>
      <c r="I1146" s="84"/>
      <c r="J1146" s="84"/>
      <c r="K1146" s="84"/>
      <c r="L1146" s="84"/>
      <c r="M1146" s="84"/>
      <c r="N1146" s="84"/>
      <c r="O1146" s="84"/>
      <c r="P1146" s="84"/>
      <c r="Q1146" s="84"/>
      <c r="R1146" s="84"/>
      <c r="S1146" s="84"/>
      <c r="T1146" s="84"/>
      <c r="U1146" s="84"/>
      <c r="V1146" s="84"/>
      <c r="W1146" s="84"/>
      <c r="X1146" s="84"/>
      <c r="Y1146" s="84"/>
      <c r="Z1146" s="87"/>
      <c r="AA1146" s="87"/>
      <c r="AB1146" s="87"/>
      <c r="AC1146" s="87"/>
      <c r="AD1146" s="87"/>
      <c r="AE1146" s="87"/>
      <c r="AF1146" s="87"/>
      <c r="AG1146" s="87"/>
      <c r="AH1146" s="87"/>
      <c r="AI1146" s="87"/>
      <c r="AJ1146" s="87"/>
      <c r="AK1146" s="87"/>
      <c r="AL1146" s="87"/>
      <c r="AM1146" s="87"/>
      <c r="AN1146" s="87"/>
      <c r="AO1146" s="87"/>
      <c r="AP1146" s="87"/>
      <c r="AQ1146" s="87"/>
      <c r="AR1146" s="87"/>
      <c r="AS1146" s="87"/>
      <c r="AT1146" s="87"/>
      <c r="AU1146" s="87"/>
      <c r="AV1146" s="87"/>
      <c r="AW1146" s="87"/>
      <c r="AX1146" s="87"/>
      <c r="AY1146" s="87"/>
      <c r="AZ1146" s="87"/>
      <c r="BA1146" s="87"/>
      <c r="BB1146" s="87"/>
      <c r="BC1146" s="87"/>
      <c r="BD1146" s="87"/>
      <c r="BE1146" s="87"/>
      <c r="BF1146" s="87"/>
      <c r="BG1146" s="87"/>
      <c r="BH1146" s="87"/>
    </row>
    <row r="1147" spans="1:60" ht="16">
      <c r="A1147" s="82"/>
      <c r="B1147" s="82"/>
      <c r="C1147" s="82"/>
      <c r="D1147" s="83"/>
      <c r="E1147" s="84"/>
      <c r="F1147" s="84"/>
      <c r="G1147" s="84"/>
      <c r="H1147" s="82"/>
      <c r="I1147" s="84"/>
      <c r="J1147" s="84"/>
      <c r="K1147" s="84"/>
      <c r="L1147" s="84"/>
      <c r="M1147" s="84"/>
      <c r="N1147" s="84"/>
      <c r="O1147" s="84"/>
      <c r="P1147" s="84"/>
      <c r="Q1147" s="84"/>
      <c r="R1147" s="84"/>
      <c r="S1147" s="84"/>
      <c r="T1147" s="84"/>
      <c r="U1147" s="84"/>
      <c r="V1147" s="84"/>
      <c r="W1147" s="84"/>
      <c r="X1147" s="84"/>
      <c r="Y1147" s="84"/>
      <c r="Z1147" s="87"/>
      <c r="AA1147" s="87"/>
      <c r="AB1147" s="87"/>
      <c r="AC1147" s="87"/>
      <c r="AD1147" s="87"/>
      <c r="AE1147" s="87"/>
      <c r="AF1147" s="87"/>
      <c r="AG1147" s="87"/>
      <c r="AH1147" s="87"/>
      <c r="AI1147" s="87"/>
      <c r="AJ1147" s="87"/>
      <c r="AK1147" s="87"/>
      <c r="AL1147" s="87"/>
      <c r="AM1147" s="87"/>
      <c r="AN1147" s="87"/>
      <c r="AO1147" s="87"/>
      <c r="AP1147" s="87"/>
      <c r="AQ1147" s="87"/>
      <c r="AR1147" s="87"/>
      <c r="AS1147" s="87"/>
      <c r="AT1147" s="87"/>
      <c r="AU1147" s="87"/>
      <c r="AV1147" s="87"/>
      <c r="AW1147" s="87"/>
      <c r="AX1147" s="87"/>
      <c r="AY1147" s="87"/>
      <c r="AZ1147" s="87"/>
      <c r="BA1147" s="87"/>
      <c r="BB1147" s="87"/>
      <c r="BC1147" s="87"/>
      <c r="BD1147" s="87"/>
      <c r="BE1147" s="87"/>
      <c r="BF1147" s="87"/>
      <c r="BG1147" s="87"/>
      <c r="BH1147" s="87"/>
    </row>
    <row r="1148" spans="1:60" ht="16">
      <c r="A1148" s="82"/>
      <c r="B1148" s="82"/>
      <c r="C1148" s="82"/>
      <c r="D1148" s="83"/>
      <c r="E1148" s="84"/>
      <c r="F1148" s="84"/>
      <c r="G1148" s="84"/>
      <c r="H1148" s="82"/>
      <c r="I1148" s="84"/>
      <c r="J1148" s="84"/>
      <c r="K1148" s="84"/>
      <c r="L1148" s="84"/>
      <c r="M1148" s="84"/>
      <c r="N1148" s="84"/>
      <c r="O1148" s="84"/>
      <c r="P1148" s="84"/>
      <c r="Q1148" s="84"/>
      <c r="R1148" s="84"/>
      <c r="S1148" s="84"/>
      <c r="T1148" s="84"/>
      <c r="U1148" s="84"/>
      <c r="V1148" s="84"/>
      <c r="W1148" s="84"/>
      <c r="X1148" s="84"/>
      <c r="Y1148" s="84"/>
      <c r="Z1148" s="87"/>
      <c r="AA1148" s="87"/>
      <c r="AB1148" s="87"/>
      <c r="AC1148" s="87"/>
      <c r="AD1148" s="87"/>
      <c r="AE1148" s="87"/>
      <c r="AF1148" s="87"/>
      <c r="AG1148" s="87"/>
      <c r="AH1148" s="87"/>
      <c r="AI1148" s="87"/>
      <c r="AJ1148" s="87"/>
      <c r="AK1148" s="87"/>
      <c r="AL1148" s="87"/>
      <c r="AM1148" s="87"/>
      <c r="AN1148" s="87"/>
      <c r="AO1148" s="87"/>
      <c r="AP1148" s="87"/>
      <c r="AQ1148" s="87"/>
      <c r="AR1148" s="87"/>
      <c r="AS1148" s="87"/>
      <c r="AT1148" s="87"/>
      <c r="AU1148" s="87"/>
      <c r="AV1148" s="87"/>
      <c r="AW1148" s="87"/>
      <c r="AX1148" s="87"/>
      <c r="AY1148" s="87"/>
      <c r="AZ1148" s="87"/>
      <c r="BA1148" s="87"/>
      <c r="BB1148" s="87"/>
      <c r="BC1148" s="87"/>
      <c r="BD1148" s="87"/>
      <c r="BE1148" s="87"/>
      <c r="BF1148" s="87"/>
      <c r="BG1148" s="87"/>
      <c r="BH1148" s="87"/>
    </row>
    <row r="1149" spans="1:60" ht="16">
      <c r="A1149" s="82"/>
      <c r="B1149" s="82"/>
      <c r="C1149" s="82"/>
      <c r="D1149" s="83"/>
      <c r="E1149" s="84"/>
      <c r="F1149" s="84"/>
      <c r="G1149" s="84"/>
      <c r="H1149" s="82"/>
      <c r="I1149" s="84"/>
      <c r="J1149" s="84"/>
      <c r="K1149" s="84"/>
      <c r="L1149" s="84"/>
      <c r="M1149" s="84"/>
      <c r="N1149" s="84"/>
      <c r="O1149" s="84"/>
      <c r="P1149" s="84"/>
      <c r="Q1149" s="84"/>
      <c r="R1149" s="84"/>
      <c r="S1149" s="84"/>
      <c r="T1149" s="84"/>
      <c r="U1149" s="84"/>
      <c r="V1149" s="84"/>
      <c r="W1149" s="84"/>
      <c r="X1149" s="84"/>
      <c r="Y1149" s="84"/>
      <c r="Z1149" s="87"/>
      <c r="AA1149" s="87"/>
      <c r="AB1149" s="87"/>
      <c r="AC1149" s="87"/>
      <c r="AD1149" s="87"/>
      <c r="AE1149" s="87"/>
      <c r="AF1149" s="87"/>
      <c r="AG1149" s="87"/>
      <c r="AH1149" s="87"/>
      <c r="AI1149" s="87"/>
      <c r="AJ1149" s="87"/>
      <c r="AK1149" s="87"/>
      <c r="AL1149" s="87"/>
      <c r="AM1149" s="87"/>
      <c r="AN1149" s="87"/>
      <c r="AO1149" s="87"/>
      <c r="AP1149" s="87"/>
      <c r="AQ1149" s="87"/>
      <c r="AR1149" s="87"/>
      <c r="AS1149" s="87"/>
      <c r="AT1149" s="87"/>
      <c r="AU1149" s="87"/>
      <c r="AV1149" s="87"/>
      <c r="AW1149" s="87"/>
      <c r="AX1149" s="87"/>
      <c r="AY1149" s="87"/>
      <c r="AZ1149" s="87"/>
      <c r="BA1149" s="87"/>
      <c r="BB1149" s="87"/>
      <c r="BC1149" s="87"/>
      <c r="BD1149" s="87"/>
      <c r="BE1149" s="87"/>
      <c r="BF1149" s="87"/>
      <c r="BG1149" s="87"/>
      <c r="BH1149" s="87"/>
    </row>
    <row r="1150" spans="1:60" ht="16">
      <c r="A1150" s="82"/>
      <c r="B1150" s="82"/>
      <c r="C1150" s="82"/>
      <c r="D1150" s="83"/>
      <c r="E1150" s="84"/>
      <c r="F1150" s="84"/>
      <c r="G1150" s="84"/>
      <c r="H1150" s="82"/>
      <c r="I1150" s="84"/>
      <c r="J1150" s="84"/>
      <c r="K1150" s="84"/>
      <c r="L1150" s="84"/>
      <c r="M1150" s="84"/>
      <c r="N1150" s="84"/>
      <c r="O1150" s="84"/>
      <c r="P1150" s="84"/>
      <c r="Q1150" s="84"/>
      <c r="R1150" s="84"/>
      <c r="S1150" s="84"/>
      <c r="T1150" s="84"/>
      <c r="U1150" s="84"/>
      <c r="V1150" s="84"/>
      <c r="W1150" s="84"/>
      <c r="X1150" s="84"/>
      <c r="Y1150" s="84"/>
      <c r="Z1150" s="87"/>
      <c r="AA1150" s="87"/>
      <c r="AB1150" s="87"/>
      <c r="AC1150" s="87"/>
      <c r="AD1150" s="87"/>
      <c r="AE1150" s="87"/>
      <c r="AF1150" s="87"/>
      <c r="AG1150" s="87"/>
      <c r="AH1150" s="87"/>
      <c r="AI1150" s="87"/>
      <c r="AJ1150" s="87"/>
      <c r="AK1150" s="87"/>
      <c r="AL1150" s="87"/>
      <c r="AM1150" s="87"/>
      <c r="AN1150" s="87"/>
      <c r="AO1150" s="87"/>
      <c r="AP1150" s="87"/>
      <c r="AQ1150" s="87"/>
      <c r="AR1150" s="87"/>
      <c r="AS1150" s="87"/>
      <c r="AT1150" s="87"/>
      <c r="AU1150" s="87"/>
      <c r="AV1150" s="87"/>
      <c r="AW1150" s="87"/>
      <c r="AX1150" s="87"/>
      <c r="AY1150" s="87"/>
      <c r="AZ1150" s="87"/>
      <c r="BA1150" s="87"/>
      <c r="BB1150" s="87"/>
      <c r="BC1150" s="87"/>
      <c r="BD1150" s="87"/>
      <c r="BE1150" s="87"/>
      <c r="BF1150" s="87"/>
      <c r="BG1150" s="87"/>
      <c r="BH1150" s="87"/>
    </row>
    <row r="1151" spans="1:60" ht="16">
      <c r="A1151" s="82"/>
      <c r="B1151" s="82"/>
      <c r="C1151" s="82"/>
      <c r="D1151" s="83"/>
      <c r="E1151" s="84"/>
      <c r="F1151" s="84"/>
      <c r="G1151" s="84"/>
      <c r="H1151" s="82"/>
      <c r="I1151" s="84"/>
      <c r="J1151" s="84"/>
      <c r="K1151" s="84"/>
      <c r="L1151" s="84"/>
      <c r="M1151" s="84"/>
      <c r="N1151" s="84"/>
      <c r="O1151" s="84"/>
      <c r="P1151" s="84"/>
      <c r="Q1151" s="84"/>
      <c r="R1151" s="84"/>
      <c r="S1151" s="84"/>
      <c r="T1151" s="84"/>
      <c r="U1151" s="84"/>
      <c r="V1151" s="84"/>
      <c r="W1151" s="84"/>
      <c r="X1151" s="84"/>
      <c r="Y1151" s="84"/>
      <c r="Z1151" s="87"/>
      <c r="AA1151" s="87"/>
      <c r="AB1151" s="87"/>
      <c r="AC1151" s="87"/>
      <c r="AD1151" s="87"/>
      <c r="AE1151" s="87"/>
      <c r="AF1151" s="87"/>
      <c r="AG1151" s="87"/>
      <c r="AH1151" s="87"/>
      <c r="AI1151" s="87"/>
      <c r="AJ1151" s="87"/>
      <c r="AK1151" s="87"/>
      <c r="AL1151" s="87"/>
      <c r="AM1151" s="87"/>
      <c r="AN1151" s="87"/>
      <c r="AO1151" s="87"/>
      <c r="AP1151" s="87"/>
      <c r="AQ1151" s="87"/>
      <c r="AR1151" s="87"/>
      <c r="AS1151" s="87"/>
      <c r="AT1151" s="87"/>
      <c r="AU1151" s="87"/>
      <c r="AV1151" s="87"/>
      <c r="AW1151" s="87"/>
      <c r="AX1151" s="87"/>
      <c r="AY1151" s="87"/>
      <c r="AZ1151" s="87"/>
      <c r="BA1151" s="87"/>
      <c r="BB1151" s="87"/>
      <c r="BC1151" s="87"/>
      <c r="BD1151" s="87"/>
      <c r="BE1151" s="87"/>
      <c r="BF1151" s="87"/>
      <c r="BG1151" s="87"/>
      <c r="BH1151" s="87"/>
    </row>
    <row r="1152" spans="1:60" ht="16">
      <c r="A1152" s="82"/>
      <c r="B1152" s="82"/>
      <c r="C1152" s="82"/>
      <c r="D1152" s="83"/>
      <c r="E1152" s="84"/>
      <c r="F1152" s="84"/>
      <c r="G1152" s="84"/>
      <c r="H1152" s="82"/>
      <c r="I1152" s="84"/>
      <c r="J1152" s="84"/>
      <c r="K1152" s="84"/>
      <c r="L1152" s="84"/>
      <c r="M1152" s="84"/>
      <c r="N1152" s="84"/>
      <c r="O1152" s="84"/>
      <c r="P1152" s="84"/>
      <c r="Q1152" s="84"/>
      <c r="R1152" s="84"/>
      <c r="S1152" s="84"/>
      <c r="T1152" s="84"/>
      <c r="U1152" s="84"/>
      <c r="V1152" s="84"/>
      <c r="W1152" s="84"/>
      <c r="X1152" s="84"/>
      <c r="Y1152" s="84"/>
      <c r="Z1152" s="87"/>
      <c r="AA1152" s="87"/>
      <c r="AB1152" s="87"/>
      <c r="AC1152" s="87"/>
      <c r="AD1152" s="87"/>
      <c r="AE1152" s="87"/>
      <c r="AF1152" s="87"/>
      <c r="AG1152" s="87"/>
      <c r="AH1152" s="87"/>
      <c r="AI1152" s="87"/>
      <c r="AJ1152" s="87"/>
      <c r="AK1152" s="87"/>
      <c r="AL1152" s="87"/>
      <c r="AM1152" s="87"/>
      <c r="AN1152" s="87"/>
      <c r="AO1152" s="87"/>
      <c r="AP1152" s="87"/>
      <c r="AQ1152" s="87"/>
      <c r="AR1152" s="87"/>
      <c r="AS1152" s="87"/>
      <c r="AT1152" s="87"/>
      <c r="AU1152" s="87"/>
      <c r="AV1152" s="87"/>
      <c r="AW1152" s="87"/>
      <c r="AX1152" s="87"/>
      <c r="AY1152" s="87"/>
      <c r="AZ1152" s="87"/>
      <c r="BA1152" s="87"/>
      <c r="BB1152" s="87"/>
      <c r="BC1152" s="87"/>
      <c r="BD1152" s="87"/>
      <c r="BE1152" s="87"/>
      <c r="BF1152" s="87"/>
      <c r="BG1152" s="87"/>
      <c r="BH1152" s="87"/>
    </row>
    <row r="1153" spans="1:60" ht="16">
      <c r="A1153" s="82"/>
      <c r="B1153" s="82"/>
      <c r="C1153" s="82"/>
      <c r="D1153" s="83"/>
      <c r="E1153" s="84"/>
      <c r="F1153" s="84"/>
      <c r="G1153" s="84"/>
      <c r="H1153" s="82"/>
      <c r="I1153" s="84"/>
      <c r="J1153" s="84"/>
      <c r="K1153" s="84"/>
      <c r="L1153" s="84"/>
      <c r="M1153" s="84"/>
      <c r="N1153" s="84"/>
      <c r="O1153" s="84"/>
      <c r="P1153" s="84"/>
      <c r="Q1153" s="84"/>
      <c r="R1153" s="84"/>
      <c r="S1153" s="84"/>
      <c r="T1153" s="84"/>
      <c r="U1153" s="84"/>
      <c r="V1153" s="84"/>
      <c r="W1153" s="84"/>
      <c r="X1153" s="84"/>
      <c r="Y1153" s="84"/>
      <c r="Z1153" s="87"/>
      <c r="AA1153" s="87"/>
      <c r="AB1153" s="87"/>
      <c r="AC1153" s="87"/>
      <c r="AD1153" s="87"/>
      <c r="AE1153" s="87"/>
      <c r="AF1153" s="87"/>
      <c r="AG1153" s="87"/>
      <c r="AH1153" s="87"/>
      <c r="AI1153" s="87"/>
      <c r="AJ1153" s="87"/>
      <c r="AK1153" s="87"/>
      <c r="AL1153" s="87"/>
      <c r="AM1153" s="87"/>
      <c r="AN1153" s="87"/>
      <c r="AO1153" s="87"/>
      <c r="AP1153" s="87"/>
      <c r="AQ1153" s="87"/>
      <c r="AR1153" s="87"/>
      <c r="AS1153" s="87"/>
      <c r="AT1153" s="87"/>
      <c r="AU1153" s="87"/>
      <c r="AV1153" s="87"/>
      <c r="AW1153" s="87"/>
      <c r="AX1153" s="87"/>
      <c r="AY1153" s="87"/>
      <c r="AZ1153" s="87"/>
      <c r="BA1153" s="87"/>
      <c r="BB1153" s="87"/>
      <c r="BC1153" s="87"/>
      <c r="BD1153" s="87"/>
      <c r="BE1153" s="87"/>
      <c r="BF1153" s="87"/>
      <c r="BG1153" s="87"/>
      <c r="BH1153" s="87"/>
    </row>
    <row r="1154" spans="1:60" ht="16">
      <c r="A1154" s="82"/>
      <c r="B1154" s="82"/>
      <c r="C1154" s="82"/>
      <c r="D1154" s="83"/>
      <c r="E1154" s="84"/>
      <c r="F1154" s="84"/>
      <c r="G1154" s="84"/>
      <c r="H1154" s="82"/>
      <c r="I1154" s="84"/>
      <c r="J1154" s="84"/>
      <c r="K1154" s="84"/>
      <c r="L1154" s="84"/>
      <c r="M1154" s="84"/>
      <c r="N1154" s="84"/>
      <c r="O1154" s="84"/>
      <c r="P1154" s="84"/>
      <c r="Q1154" s="84"/>
      <c r="R1154" s="84"/>
      <c r="S1154" s="84"/>
      <c r="T1154" s="84"/>
      <c r="U1154" s="84"/>
      <c r="V1154" s="84"/>
      <c r="W1154" s="84"/>
      <c r="X1154" s="84"/>
      <c r="Y1154" s="84"/>
      <c r="Z1154" s="87"/>
      <c r="AA1154" s="87"/>
      <c r="AB1154" s="87"/>
      <c r="AC1154" s="87"/>
      <c r="AD1154" s="87"/>
      <c r="AE1154" s="87"/>
      <c r="AF1154" s="87"/>
      <c r="AG1154" s="87"/>
      <c r="AH1154" s="87"/>
      <c r="AI1154" s="87"/>
      <c r="AJ1154" s="87"/>
      <c r="AK1154" s="87"/>
      <c r="AL1154" s="87"/>
      <c r="AM1154" s="87"/>
      <c r="AN1154" s="87"/>
      <c r="AO1154" s="87"/>
      <c r="AP1154" s="87"/>
      <c r="AQ1154" s="87"/>
      <c r="AR1154" s="87"/>
      <c r="AS1154" s="87"/>
      <c r="AT1154" s="87"/>
      <c r="AU1154" s="87"/>
      <c r="AV1154" s="87"/>
      <c r="AW1154" s="87"/>
      <c r="AX1154" s="87"/>
      <c r="AY1154" s="87"/>
      <c r="AZ1154" s="87"/>
      <c r="BA1154" s="87"/>
      <c r="BB1154" s="87"/>
      <c r="BC1154" s="87"/>
      <c r="BD1154" s="87"/>
      <c r="BE1154" s="87"/>
      <c r="BF1154" s="87"/>
      <c r="BG1154" s="87"/>
      <c r="BH1154" s="87"/>
    </row>
    <row r="1155" spans="1:60" ht="16">
      <c r="A1155" s="82"/>
      <c r="B1155" s="82"/>
      <c r="C1155" s="82"/>
      <c r="D1155" s="83"/>
      <c r="E1155" s="84"/>
      <c r="F1155" s="84"/>
      <c r="G1155" s="84"/>
      <c r="H1155" s="82"/>
      <c r="I1155" s="84"/>
      <c r="J1155" s="84"/>
      <c r="K1155" s="84"/>
      <c r="L1155" s="84"/>
      <c r="M1155" s="84"/>
      <c r="N1155" s="84"/>
      <c r="O1155" s="84"/>
      <c r="P1155" s="84"/>
      <c r="Q1155" s="84"/>
      <c r="R1155" s="84"/>
      <c r="S1155" s="84"/>
      <c r="T1155" s="84"/>
      <c r="U1155" s="84"/>
      <c r="V1155" s="84"/>
      <c r="W1155" s="84"/>
      <c r="X1155" s="84"/>
      <c r="Y1155" s="84"/>
      <c r="Z1155" s="87"/>
      <c r="AA1155" s="87"/>
      <c r="AB1155" s="87"/>
      <c r="AC1155" s="87"/>
      <c r="AD1155" s="87"/>
      <c r="AE1155" s="87"/>
      <c r="AF1155" s="87"/>
      <c r="AG1155" s="87"/>
      <c r="AH1155" s="87"/>
      <c r="AI1155" s="87"/>
      <c r="AJ1155" s="87"/>
      <c r="AK1155" s="87"/>
      <c r="AL1155" s="87"/>
      <c r="AM1155" s="87"/>
      <c r="AN1155" s="87"/>
      <c r="AO1155" s="87"/>
      <c r="AP1155" s="87"/>
      <c r="AQ1155" s="87"/>
      <c r="AR1155" s="87"/>
      <c r="AS1155" s="87"/>
      <c r="AT1155" s="87"/>
      <c r="AU1155" s="87"/>
      <c r="AV1155" s="87"/>
      <c r="AW1155" s="87"/>
      <c r="AX1155" s="87"/>
      <c r="AY1155" s="87"/>
      <c r="AZ1155" s="87"/>
      <c r="BA1155" s="87"/>
      <c r="BB1155" s="87"/>
      <c r="BC1155" s="87"/>
      <c r="BD1155" s="87"/>
      <c r="BE1155" s="87"/>
      <c r="BF1155" s="87"/>
      <c r="BG1155" s="87"/>
      <c r="BH1155" s="87"/>
    </row>
    <row r="1156" spans="1:60" ht="16">
      <c r="A1156" s="82"/>
      <c r="B1156" s="82"/>
      <c r="C1156" s="82"/>
      <c r="D1156" s="83"/>
      <c r="E1156" s="84"/>
      <c r="F1156" s="84"/>
      <c r="G1156" s="84"/>
      <c r="H1156" s="82"/>
      <c r="I1156" s="84"/>
      <c r="J1156" s="84"/>
      <c r="K1156" s="84"/>
      <c r="L1156" s="84"/>
      <c r="M1156" s="84"/>
      <c r="N1156" s="84"/>
      <c r="O1156" s="84"/>
      <c r="P1156" s="84"/>
      <c r="Q1156" s="84"/>
      <c r="R1156" s="84"/>
      <c r="S1156" s="84"/>
      <c r="T1156" s="84"/>
      <c r="U1156" s="84"/>
      <c r="V1156" s="84"/>
      <c r="W1156" s="84"/>
      <c r="X1156" s="84"/>
      <c r="Y1156" s="84"/>
      <c r="Z1156" s="87"/>
      <c r="AA1156" s="87"/>
      <c r="AB1156" s="87"/>
      <c r="AC1156" s="87"/>
      <c r="AD1156" s="87"/>
      <c r="AE1156" s="87"/>
      <c r="AF1156" s="87"/>
      <c r="AG1156" s="87"/>
      <c r="AH1156" s="87"/>
      <c r="AI1156" s="87"/>
      <c r="AJ1156" s="87"/>
      <c r="AK1156" s="87"/>
      <c r="AL1156" s="87"/>
      <c r="AM1156" s="87"/>
      <c r="AN1156" s="87"/>
      <c r="AO1156" s="87"/>
      <c r="AP1156" s="87"/>
      <c r="AQ1156" s="87"/>
      <c r="AR1156" s="87"/>
      <c r="AS1156" s="87"/>
      <c r="AT1156" s="87"/>
      <c r="AU1156" s="87"/>
      <c r="AV1156" s="87"/>
      <c r="AW1156" s="87"/>
      <c r="AX1156" s="87"/>
      <c r="AY1156" s="87"/>
      <c r="AZ1156" s="87"/>
      <c r="BA1156" s="87"/>
      <c r="BB1156" s="87"/>
      <c r="BC1156" s="87"/>
      <c r="BD1156" s="87"/>
      <c r="BE1156" s="87"/>
      <c r="BF1156" s="87"/>
      <c r="BG1156" s="87"/>
      <c r="BH1156" s="87"/>
    </row>
    <row r="1157" spans="1:60" ht="16">
      <c r="A1157" s="82"/>
      <c r="B1157" s="82"/>
      <c r="C1157" s="82"/>
      <c r="D1157" s="83"/>
      <c r="E1157" s="84"/>
      <c r="F1157" s="84"/>
      <c r="G1157" s="84"/>
      <c r="H1157" s="82"/>
      <c r="I1157" s="84"/>
      <c r="J1157" s="84"/>
      <c r="K1157" s="84"/>
      <c r="L1157" s="84"/>
      <c r="M1157" s="84"/>
      <c r="N1157" s="84"/>
      <c r="O1157" s="84"/>
      <c r="P1157" s="84"/>
      <c r="Q1157" s="84"/>
      <c r="R1157" s="84"/>
      <c r="S1157" s="84"/>
      <c r="T1157" s="84"/>
      <c r="U1157" s="84"/>
      <c r="V1157" s="84"/>
      <c r="W1157" s="84"/>
      <c r="X1157" s="84"/>
      <c r="Y1157" s="84"/>
      <c r="Z1157" s="87"/>
      <c r="AA1157" s="87"/>
      <c r="AB1157" s="87"/>
      <c r="AC1157" s="87"/>
      <c r="AD1157" s="87"/>
      <c r="AE1157" s="87"/>
      <c r="AF1157" s="87"/>
      <c r="AG1157" s="87"/>
      <c r="AH1157" s="87"/>
      <c r="AI1157" s="87"/>
      <c r="AJ1157" s="87"/>
      <c r="AK1157" s="87"/>
      <c r="AL1157" s="87"/>
      <c r="AM1157" s="87"/>
      <c r="AN1157" s="87"/>
      <c r="AO1157" s="87"/>
      <c r="AP1157" s="87"/>
      <c r="AQ1157" s="87"/>
      <c r="AR1157" s="87"/>
      <c r="AS1157" s="87"/>
      <c r="AT1157" s="87"/>
      <c r="AU1157" s="87"/>
      <c r="AV1157" s="87"/>
      <c r="AW1157" s="87"/>
      <c r="AX1157" s="87"/>
      <c r="AY1157" s="87"/>
      <c r="AZ1157" s="87"/>
      <c r="BA1157" s="87"/>
      <c r="BB1157" s="87"/>
      <c r="BC1157" s="87"/>
      <c r="BD1157" s="87"/>
      <c r="BE1157" s="87"/>
      <c r="BF1157" s="87"/>
      <c r="BG1157" s="87"/>
      <c r="BH1157" s="87"/>
    </row>
    <row r="1158" spans="1:60" ht="16">
      <c r="A1158" s="82"/>
      <c r="B1158" s="82"/>
      <c r="C1158" s="82"/>
      <c r="D1158" s="83"/>
      <c r="E1158" s="84"/>
      <c r="F1158" s="84"/>
      <c r="G1158" s="84"/>
      <c r="H1158" s="82"/>
      <c r="I1158" s="84"/>
      <c r="J1158" s="84"/>
      <c r="K1158" s="84"/>
      <c r="L1158" s="84"/>
      <c r="M1158" s="84"/>
      <c r="N1158" s="84"/>
      <c r="O1158" s="84"/>
      <c r="P1158" s="84"/>
      <c r="Q1158" s="84"/>
      <c r="R1158" s="84"/>
      <c r="S1158" s="84"/>
      <c r="T1158" s="84"/>
      <c r="U1158" s="84"/>
      <c r="V1158" s="84"/>
      <c r="W1158" s="84"/>
      <c r="X1158" s="84"/>
      <c r="Y1158" s="84"/>
      <c r="Z1158" s="87"/>
      <c r="AA1158" s="87"/>
      <c r="AB1158" s="87"/>
      <c r="AC1158" s="87"/>
      <c r="AD1158" s="87"/>
      <c r="AE1158" s="87"/>
      <c r="AF1158" s="87"/>
      <c r="AG1158" s="87"/>
      <c r="AH1158" s="87"/>
      <c r="AI1158" s="87"/>
      <c r="AJ1158" s="87"/>
      <c r="AK1158" s="87"/>
      <c r="AL1158" s="87"/>
      <c r="AM1158" s="87"/>
      <c r="AN1158" s="87"/>
      <c r="AO1158" s="87"/>
      <c r="AP1158" s="87"/>
      <c r="AQ1158" s="87"/>
      <c r="AR1158" s="87"/>
      <c r="AS1158" s="87"/>
      <c r="AT1158" s="87"/>
      <c r="AU1158" s="87"/>
      <c r="AV1158" s="87"/>
      <c r="AW1158" s="87"/>
      <c r="AX1158" s="87"/>
      <c r="AY1158" s="87"/>
      <c r="AZ1158" s="87"/>
      <c r="BA1158" s="87"/>
      <c r="BB1158" s="87"/>
      <c r="BC1158" s="87"/>
      <c r="BD1158" s="87"/>
      <c r="BE1158" s="87"/>
      <c r="BF1158" s="87"/>
      <c r="BG1158" s="87"/>
      <c r="BH1158" s="87"/>
    </row>
    <row r="1159" spans="1:60" ht="16">
      <c r="A1159" s="82"/>
      <c r="B1159" s="82"/>
      <c r="C1159" s="82"/>
      <c r="D1159" s="83"/>
      <c r="E1159" s="84"/>
      <c r="F1159" s="84"/>
      <c r="G1159" s="84"/>
      <c r="H1159" s="82"/>
      <c r="I1159" s="84"/>
      <c r="J1159" s="84"/>
      <c r="K1159" s="84"/>
      <c r="L1159" s="84"/>
      <c r="M1159" s="84"/>
      <c r="N1159" s="84"/>
      <c r="O1159" s="84"/>
      <c r="P1159" s="84"/>
      <c r="Q1159" s="84"/>
      <c r="R1159" s="84"/>
      <c r="S1159" s="84"/>
      <c r="T1159" s="84"/>
      <c r="U1159" s="84"/>
      <c r="V1159" s="84"/>
      <c r="W1159" s="84"/>
      <c r="X1159" s="84"/>
      <c r="Y1159" s="84"/>
      <c r="Z1159" s="87"/>
      <c r="AA1159" s="87"/>
      <c r="AB1159" s="87"/>
      <c r="AC1159" s="87"/>
      <c r="AD1159" s="87"/>
      <c r="AE1159" s="87"/>
      <c r="AF1159" s="87"/>
      <c r="AG1159" s="87"/>
      <c r="AH1159" s="87"/>
      <c r="AI1159" s="87"/>
      <c r="AJ1159" s="87"/>
      <c r="AK1159" s="87"/>
      <c r="AL1159" s="87"/>
      <c r="AM1159" s="87"/>
      <c r="AN1159" s="87"/>
      <c r="AO1159" s="87"/>
      <c r="AP1159" s="87"/>
      <c r="AQ1159" s="87"/>
      <c r="AR1159" s="87"/>
      <c r="AS1159" s="87"/>
      <c r="AT1159" s="87"/>
      <c r="AU1159" s="87"/>
      <c r="AV1159" s="87"/>
      <c r="AW1159" s="87"/>
      <c r="AX1159" s="87"/>
      <c r="AY1159" s="87"/>
      <c r="AZ1159" s="87"/>
      <c r="BA1159" s="87"/>
      <c r="BB1159" s="87"/>
      <c r="BC1159" s="87"/>
      <c r="BD1159" s="87"/>
      <c r="BE1159" s="87"/>
      <c r="BF1159" s="87"/>
      <c r="BG1159" s="87"/>
      <c r="BH1159" s="87"/>
    </row>
    <row r="1160" spans="1:60" ht="16">
      <c r="A1160" s="82"/>
      <c r="B1160" s="82"/>
      <c r="C1160" s="82"/>
      <c r="D1160" s="83"/>
      <c r="E1160" s="84"/>
      <c r="F1160" s="84"/>
      <c r="G1160" s="84"/>
      <c r="H1160" s="82"/>
      <c r="I1160" s="84"/>
      <c r="J1160" s="84"/>
      <c r="K1160" s="84"/>
      <c r="L1160" s="84"/>
      <c r="M1160" s="84"/>
      <c r="N1160" s="84"/>
      <c r="O1160" s="84"/>
      <c r="P1160" s="84"/>
      <c r="Q1160" s="84"/>
      <c r="R1160" s="84"/>
      <c r="S1160" s="84"/>
      <c r="T1160" s="84"/>
      <c r="U1160" s="84"/>
      <c r="V1160" s="84"/>
      <c r="W1160" s="84"/>
      <c r="X1160" s="84"/>
      <c r="Y1160" s="84"/>
      <c r="Z1160" s="87"/>
      <c r="AA1160" s="87"/>
      <c r="AB1160" s="87"/>
      <c r="AC1160" s="87"/>
      <c r="AD1160" s="87"/>
      <c r="AE1160" s="87"/>
      <c r="AF1160" s="87"/>
      <c r="AG1160" s="87"/>
      <c r="AH1160" s="87"/>
      <c r="AI1160" s="87"/>
      <c r="AJ1160" s="87"/>
      <c r="AK1160" s="87"/>
      <c r="AL1160" s="87"/>
      <c r="AM1160" s="87"/>
      <c r="AN1160" s="87"/>
      <c r="AO1160" s="87"/>
      <c r="AP1160" s="87"/>
      <c r="AQ1160" s="87"/>
      <c r="AR1160" s="87"/>
      <c r="AS1160" s="87"/>
      <c r="AT1160" s="87"/>
      <c r="AU1160" s="87"/>
      <c r="AV1160" s="87"/>
      <c r="AW1160" s="87"/>
      <c r="AX1160" s="87"/>
      <c r="AY1160" s="87"/>
      <c r="AZ1160" s="87"/>
      <c r="BA1160" s="87"/>
      <c r="BB1160" s="87"/>
      <c r="BC1160" s="87"/>
      <c r="BD1160" s="87"/>
      <c r="BE1160" s="87"/>
      <c r="BF1160" s="87"/>
      <c r="BG1160" s="87"/>
      <c r="BH1160" s="87"/>
    </row>
    <row r="1161" spans="1:60" ht="16">
      <c r="A1161" s="82"/>
      <c r="B1161" s="82"/>
      <c r="C1161" s="82"/>
      <c r="D1161" s="83"/>
      <c r="E1161" s="84"/>
      <c r="F1161" s="84"/>
      <c r="G1161" s="84"/>
      <c r="H1161" s="82"/>
      <c r="I1161" s="84"/>
      <c r="J1161" s="84"/>
      <c r="K1161" s="84"/>
      <c r="L1161" s="84"/>
      <c r="M1161" s="84"/>
      <c r="N1161" s="84"/>
      <c r="O1161" s="84"/>
      <c r="P1161" s="84"/>
      <c r="Q1161" s="84"/>
      <c r="R1161" s="84"/>
      <c r="S1161" s="84"/>
      <c r="T1161" s="84"/>
      <c r="U1161" s="84"/>
      <c r="V1161" s="84"/>
      <c r="W1161" s="84"/>
      <c r="X1161" s="84"/>
      <c r="Y1161" s="84"/>
      <c r="Z1161" s="87"/>
      <c r="AA1161" s="87"/>
      <c r="AB1161" s="87"/>
      <c r="AC1161" s="87"/>
      <c r="AD1161" s="87"/>
      <c r="AE1161" s="87"/>
      <c r="AF1161" s="87"/>
      <c r="AG1161" s="87"/>
      <c r="AH1161" s="87"/>
      <c r="AI1161" s="87"/>
      <c r="AJ1161" s="87"/>
      <c r="AK1161" s="87"/>
      <c r="AL1161" s="87"/>
      <c r="AM1161" s="87"/>
      <c r="AN1161" s="87"/>
      <c r="AO1161" s="87"/>
      <c r="AP1161" s="87"/>
      <c r="AQ1161" s="87"/>
      <c r="AR1161" s="87"/>
      <c r="AS1161" s="87"/>
      <c r="AT1161" s="87"/>
      <c r="AU1161" s="87"/>
      <c r="AV1161" s="87"/>
      <c r="AW1161" s="87"/>
      <c r="AX1161" s="87"/>
      <c r="AY1161" s="87"/>
      <c r="AZ1161" s="87"/>
      <c r="BA1161" s="87"/>
      <c r="BB1161" s="87"/>
      <c r="BC1161" s="87"/>
      <c r="BD1161" s="87"/>
      <c r="BE1161" s="87"/>
      <c r="BF1161" s="87"/>
      <c r="BG1161" s="87"/>
      <c r="BH1161" s="87"/>
    </row>
    <row r="1162" spans="1:60" ht="16">
      <c r="A1162" s="82"/>
      <c r="B1162" s="82"/>
      <c r="C1162" s="82"/>
      <c r="D1162" s="83"/>
      <c r="E1162" s="84"/>
      <c r="F1162" s="84"/>
      <c r="G1162" s="84"/>
      <c r="H1162" s="82"/>
      <c r="I1162" s="84"/>
      <c r="J1162" s="84"/>
      <c r="K1162" s="84"/>
      <c r="L1162" s="84"/>
      <c r="M1162" s="84"/>
      <c r="N1162" s="84"/>
      <c r="O1162" s="84"/>
      <c r="P1162" s="84"/>
      <c r="Q1162" s="84"/>
      <c r="R1162" s="84"/>
      <c r="S1162" s="84"/>
      <c r="T1162" s="84"/>
      <c r="U1162" s="84"/>
      <c r="V1162" s="84"/>
      <c r="W1162" s="84"/>
      <c r="X1162" s="84"/>
      <c r="Y1162" s="84"/>
      <c r="Z1162" s="87"/>
      <c r="AA1162" s="87"/>
      <c r="AB1162" s="87"/>
      <c r="AC1162" s="87"/>
      <c r="AD1162" s="87"/>
      <c r="AE1162" s="87"/>
      <c r="AF1162" s="87"/>
      <c r="AG1162" s="87"/>
      <c r="AH1162" s="87"/>
      <c r="AI1162" s="87"/>
      <c r="AJ1162" s="87"/>
      <c r="AK1162" s="87"/>
      <c r="AL1162" s="87"/>
      <c r="AM1162" s="87"/>
      <c r="AN1162" s="87"/>
      <c r="AO1162" s="87"/>
      <c r="AP1162" s="87"/>
      <c r="AQ1162" s="87"/>
      <c r="AR1162" s="87"/>
      <c r="AS1162" s="87"/>
      <c r="AT1162" s="87"/>
      <c r="AU1162" s="87"/>
      <c r="AV1162" s="87"/>
      <c r="AW1162" s="87"/>
      <c r="AX1162" s="87"/>
      <c r="AY1162" s="87"/>
      <c r="AZ1162" s="87"/>
      <c r="BA1162" s="87"/>
      <c r="BB1162" s="87"/>
      <c r="BC1162" s="87"/>
      <c r="BD1162" s="87"/>
      <c r="BE1162" s="87"/>
      <c r="BF1162" s="87"/>
      <c r="BG1162" s="87"/>
      <c r="BH1162" s="87"/>
    </row>
    <row r="1163" spans="1:60" ht="16">
      <c r="A1163" s="82"/>
      <c r="B1163" s="82"/>
      <c r="C1163" s="82"/>
      <c r="D1163" s="83"/>
      <c r="E1163" s="84"/>
      <c r="F1163" s="84"/>
      <c r="G1163" s="84"/>
      <c r="H1163" s="82"/>
      <c r="I1163" s="84"/>
      <c r="J1163" s="84"/>
      <c r="K1163" s="84"/>
      <c r="L1163" s="84"/>
      <c r="M1163" s="84"/>
      <c r="N1163" s="84"/>
      <c r="O1163" s="84"/>
      <c r="P1163" s="84"/>
      <c r="Q1163" s="84"/>
      <c r="R1163" s="84"/>
      <c r="S1163" s="84"/>
      <c r="T1163" s="84"/>
      <c r="U1163" s="84"/>
      <c r="V1163" s="84"/>
      <c r="W1163" s="84"/>
      <c r="X1163" s="84"/>
      <c r="Y1163" s="84"/>
      <c r="Z1163" s="87"/>
      <c r="AA1163" s="87"/>
      <c r="AB1163" s="87"/>
      <c r="AC1163" s="87"/>
      <c r="AD1163" s="87"/>
      <c r="AE1163" s="87"/>
      <c r="AF1163" s="87"/>
      <c r="AG1163" s="87"/>
      <c r="AH1163" s="87"/>
      <c r="AI1163" s="87"/>
      <c r="AJ1163" s="87"/>
      <c r="AK1163" s="87"/>
      <c r="AL1163" s="87"/>
      <c r="AM1163" s="87"/>
      <c r="AN1163" s="87"/>
      <c r="AO1163" s="87"/>
      <c r="AP1163" s="87"/>
      <c r="AQ1163" s="87"/>
      <c r="AR1163" s="87"/>
      <c r="AS1163" s="87"/>
      <c r="AT1163" s="87"/>
      <c r="AU1163" s="87"/>
      <c r="AV1163" s="87"/>
      <c r="AW1163" s="87"/>
      <c r="AX1163" s="87"/>
      <c r="AY1163" s="87"/>
      <c r="AZ1163" s="87"/>
      <c r="BA1163" s="87"/>
      <c r="BB1163" s="87"/>
      <c r="BC1163" s="87"/>
      <c r="BD1163" s="87"/>
      <c r="BE1163" s="87"/>
      <c r="BF1163" s="87"/>
      <c r="BG1163" s="87"/>
      <c r="BH1163" s="87"/>
    </row>
    <row r="1164" spans="1:60" ht="16">
      <c r="A1164" s="82"/>
      <c r="B1164" s="82"/>
      <c r="C1164" s="82"/>
      <c r="D1164" s="83"/>
      <c r="E1164" s="84"/>
      <c r="F1164" s="84"/>
      <c r="G1164" s="84"/>
      <c r="H1164" s="82"/>
      <c r="I1164" s="84"/>
      <c r="J1164" s="84"/>
      <c r="K1164" s="84"/>
      <c r="L1164" s="84"/>
      <c r="M1164" s="84"/>
      <c r="N1164" s="84"/>
      <c r="O1164" s="84"/>
      <c r="P1164" s="84"/>
      <c r="Q1164" s="84"/>
      <c r="R1164" s="84"/>
      <c r="S1164" s="84"/>
      <c r="T1164" s="84"/>
      <c r="U1164" s="84"/>
      <c r="V1164" s="84"/>
      <c r="W1164" s="84"/>
      <c r="X1164" s="84"/>
      <c r="Y1164" s="84"/>
      <c r="Z1164" s="87"/>
      <c r="AA1164" s="87"/>
      <c r="AB1164" s="87"/>
      <c r="AC1164" s="87"/>
      <c r="AD1164" s="87"/>
      <c r="AE1164" s="87"/>
      <c r="AF1164" s="87"/>
      <c r="AG1164" s="87"/>
      <c r="AH1164" s="87"/>
      <c r="AI1164" s="87"/>
      <c r="AJ1164" s="87"/>
      <c r="AK1164" s="87"/>
      <c r="AL1164" s="87"/>
      <c r="AM1164" s="87"/>
      <c r="AN1164" s="87"/>
      <c r="AO1164" s="87"/>
      <c r="AP1164" s="87"/>
      <c r="AQ1164" s="87"/>
      <c r="AR1164" s="87"/>
      <c r="AS1164" s="87"/>
      <c r="AT1164" s="87"/>
      <c r="AU1164" s="87"/>
      <c r="AV1164" s="87"/>
      <c r="AW1164" s="87"/>
      <c r="AX1164" s="87"/>
      <c r="AY1164" s="87"/>
      <c r="AZ1164" s="87"/>
      <c r="BA1164" s="87"/>
      <c r="BB1164" s="87"/>
      <c r="BC1164" s="87"/>
      <c r="BD1164" s="87"/>
      <c r="BE1164" s="87"/>
      <c r="BF1164" s="87"/>
      <c r="BG1164" s="87"/>
      <c r="BH1164" s="87"/>
    </row>
    <row r="1165" spans="1:60" ht="16">
      <c r="A1165" s="82"/>
      <c r="B1165" s="82"/>
      <c r="C1165" s="82"/>
      <c r="D1165" s="83"/>
      <c r="E1165" s="84"/>
      <c r="F1165" s="84"/>
      <c r="G1165" s="84"/>
      <c r="H1165" s="82"/>
      <c r="I1165" s="84"/>
      <c r="J1165" s="84"/>
      <c r="K1165" s="84"/>
      <c r="L1165" s="84"/>
      <c r="M1165" s="84"/>
      <c r="N1165" s="84"/>
      <c r="O1165" s="84"/>
      <c r="P1165" s="84"/>
      <c r="Q1165" s="84"/>
      <c r="R1165" s="84"/>
      <c r="S1165" s="84"/>
      <c r="T1165" s="84"/>
      <c r="U1165" s="84"/>
      <c r="V1165" s="84"/>
      <c r="W1165" s="84"/>
      <c r="X1165" s="84"/>
      <c r="Y1165" s="84"/>
      <c r="Z1165" s="87"/>
      <c r="AA1165" s="87"/>
      <c r="AB1165" s="87"/>
      <c r="AC1165" s="87"/>
      <c r="AD1165" s="87"/>
      <c r="AE1165" s="87"/>
      <c r="AF1165" s="87"/>
      <c r="AG1165" s="87"/>
      <c r="AH1165" s="87"/>
      <c r="AI1165" s="87"/>
      <c r="AJ1165" s="87"/>
      <c r="AK1165" s="87"/>
      <c r="AL1165" s="87"/>
      <c r="AM1165" s="87"/>
      <c r="AN1165" s="87"/>
      <c r="AO1165" s="87"/>
      <c r="AP1165" s="87"/>
      <c r="AQ1165" s="87"/>
      <c r="AR1165" s="87"/>
      <c r="AS1165" s="87"/>
      <c r="AT1165" s="87"/>
      <c r="AU1165" s="87"/>
      <c r="AV1165" s="87"/>
      <c r="AW1165" s="87"/>
      <c r="AX1165" s="87"/>
      <c r="AY1165" s="87"/>
      <c r="AZ1165" s="87"/>
      <c r="BA1165" s="87"/>
      <c r="BB1165" s="87"/>
      <c r="BC1165" s="87"/>
      <c r="BD1165" s="87"/>
      <c r="BE1165" s="87"/>
      <c r="BF1165" s="87"/>
      <c r="BG1165" s="87"/>
      <c r="BH1165" s="87"/>
    </row>
    <row r="1166" spans="1:60" ht="16">
      <c r="A1166" s="82"/>
      <c r="B1166" s="82"/>
      <c r="C1166" s="82"/>
      <c r="D1166" s="83"/>
      <c r="E1166" s="84"/>
      <c r="F1166" s="84"/>
      <c r="G1166" s="84"/>
      <c r="H1166" s="82"/>
      <c r="I1166" s="84"/>
      <c r="J1166" s="84"/>
      <c r="K1166" s="84"/>
      <c r="L1166" s="84"/>
      <c r="M1166" s="84"/>
      <c r="N1166" s="84"/>
      <c r="O1166" s="84"/>
      <c r="P1166" s="84"/>
      <c r="Q1166" s="84"/>
      <c r="R1166" s="84"/>
      <c r="S1166" s="84"/>
      <c r="T1166" s="84"/>
      <c r="U1166" s="84"/>
      <c r="V1166" s="84"/>
      <c r="W1166" s="84"/>
      <c r="X1166" s="84"/>
      <c r="Y1166" s="84"/>
      <c r="Z1166" s="87"/>
      <c r="AA1166" s="87"/>
      <c r="AB1166" s="87"/>
      <c r="AC1166" s="87"/>
      <c r="AD1166" s="87"/>
      <c r="AE1166" s="87"/>
      <c r="AF1166" s="87"/>
      <c r="AG1166" s="87"/>
      <c r="AH1166" s="87"/>
      <c r="AI1166" s="87"/>
      <c r="AJ1166" s="87"/>
      <c r="AK1166" s="87"/>
      <c r="AL1166" s="87"/>
      <c r="AM1166" s="87"/>
      <c r="AN1166" s="87"/>
      <c r="AO1166" s="87"/>
      <c r="AP1166" s="87"/>
      <c r="AQ1166" s="87"/>
      <c r="AR1166" s="87"/>
      <c r="AS1166" s="87"/>
      <c r="AT1166" s="87"/>
      <c r="AU1166" s="87"/>
      <c r="AV1166" s="87"/>
      <c r="AW1166" s="87"/>
      <c r="AX1166" s="87"/>
      <c r="AY1166" s="87"/>
      <c r="AZ1166" s="87"/>
      <c r="BA1166" s="87"/>
      <c r="BB1166" s="87"/>
      <c r="BC1166" s="87"/>
      <c r="BD1166" s="87"/>
      <c r="BE1166" s="87"/>
      <c r="BF1166" s="87"/>
      <c r="BG1166" s="87"/>
      <c r="BH1166" s="87"/>
    </row>
    <row r="1167" spans="1:60" ht="16">
      <c r="A1167" s="82"/>
      <c r="B1167" s="82"/>
      <c r="C1167" s="82"/>
      <c r="D1167" s="83"/>
      <c r="E1167" s="84"/>
      <c r="F1167" s="84"/>
      <c r="G1167" s="84"/>
      <c r="H1167" s="82"/>
      <c r="I1167" s="84"/>
      <c r="J1167" s="84"/>
      <c r="K1167" s="84"/>
      <c r="L1167" s="84"/>
      <c r="M1167" s="84"/>
      <c r="N1167" s="84"/>
      <c r="O1167" s="84"/>
      <c r="P1167" s="84"/>
      <c r="Q1167" s="84"/>
      <c r="R1167" s="84"/>
      <c r="S1167" s="84"/>
      <c r="T1167" s="84"/>
      <c r="U1167" s="84"/>
      <c r="V1167" s="84"/>
      <c r="W1167" s="84"/>
      <c r="X1167" s="84"/>
      <c r="Y1167" s="84"/>
      <c r="Z1167" s="87"/>
      <c r="AA1167" s="87"/>
      <c r="AB1167" s="87"/>
      <c r="AC1167" s="87"/>
      <c r="AD1167" s="87"/>
      <c r="AE1167" s="87"/>
      <c r="AF1167" s="87"/>
      <c r="AG1167" s="87"/>
      <c r="AH1167" s="87"/>
      <c r="AI1167" s="87"/>
      <c r="AJ1167" s="87"/>
      <c r="AK1167" s="87"/>
      <c r="AL1167" s="87"/>
      <c r="AM1167" s="87"/>
      <c r="AN1167" s="87"/>
      <c r="AO1167" s="87"/>
      <c r="AP1167" s="87"/>
      <c r="AQ1167" s="87"/>
      <c r="AR1167" s="87"/>
      <c r="AS1167" s="87"/>
      <c r="AT1167" s="87"/>
      <c r="AU1167" s="87"/>
      <c r="AV1167" s="87"/>
      <c r="AW1167" s="87"/>
      <c r="AX1167" s="87"/>
      <c r="AY1167" s="87"/>
      <c r="AZ1167" s="87"/>
      <c r="BA1167" s="87"/>
      <c r="BB1167" s="87"/>
      <c r="BC1167" s="87"/>
      <c r="BD1167" s="87"/>
      <c r="BE1167" s="87"/>
      <c r="BF1167" s="87"/>
      <c r="BG1167" s="87"/>
      <c r="BH1167" s="87"/>
    </row>
    <row r="1168" spans="1:60" ht="16">
      <c r="A1168" s="82"/>
      <c r="B1168" s="82"/>
      <c r="C1168" s="82"/>
      <c r="D1168" s="83"/>
      <c r="E1168" s="84"/>
      <c r="F1168" s="84"/>
      <c r="G1168" s="84"/>
      <c r="H1168" s="82"/>
      <c r="I1168" s="84"/>
      <c r="J1168" s="84"/>
      <c r="K1168" s="84"/>
      <c r="L1168" s="84"/>
      <c r="M1168" s="84"/>
      <c r="N1168" s="84"/>
      <c r="O1168" s="84"/>
      <c r="P1168" s="84"/>
      <c r="Q1168" s="84"/>
      <c r="R1168" s="84"/>
      <c r="S1168" s="84"/>
      <c r="T1168" s="84"/>
      <c r="U1168" s="84"/>
      <c r="V1168" s="84"/>
      <c r="W1168" s="84"/>
      <c r="X1168" s="84"/>
      <c r="Y1168" s="84"/>
      <c r="Z1168" s="87"/>
      <c r="AA1168" s="87"/>
      <c r="AB1168" s="87"/>
      <c r="AC1168" s="87"/>
      <c r="AD1168" s="87"/>
      <c r="AE1168" s="87"/>
      <c r="AF1168" s="87"/>
      <c r="AG1168" s="87"/>
      <c r="AH1168" s="87"/>
      <c r="AI1168" s="87"/>
      <c r="AJ1168" s="87"/>
      <c r="AK1168" s="87"/>
      <c r="AL1168" s="87"/>
      <c r="AM1168" s="87"/>
      <c r="AN1168" s="87"/>
      <c r="AO1168" s="87"/>
      <c r="AP1168" s="87"/>
      <c r="AQ1168" s="87"/>
      <c r="AR1168" s="87"/>
      <c r="AS1168" s="87"/>
      <c r="AT1168" s="87"/>
      <c r="AU1168" s="87"/>
      <c r="AV1168" s="87"/>
      <c r="AW1168" s="87"/>
      <c r="AX1168" s="87"/>
      <c r="AY1168" s="87"/>
      <c r="AZ1168" s="87"/>
      <c r="BA1168" s="87"/>
      <c r="BB1168" s="87"/>
      <c r="BC1168" s="87"/>
      <c r="BD1168" s="87"/>
      <c r="BE1168" s="87"/>
      <c r="BF1168" s="87"/>
      <c r="BG1168" s="87"/>
      <c r="BH1168" s="87"/>
    </row>
    <row r="1169" spans="1:60" ht="16">
      <c r="A1169" s="82"/>
      <c r="B1169" s="82"/>
      <c r="C1169" s="82"/>
      <c r="D1169" s="83"/>
      <c r="E1169" s="84"/>
      <c r="F1169" s="84"/>
      <c r="G1169" s="84"/>
      <c r="H1169" s="82"/>
      <c r="I1169" s="84"/>
      <c r="J1169" s="84"/>
      <c r="K1169" s="84"/>
      <c r="L1169" s="84"/>
      <c r="M1169" s="84"/>
      <c r="N1169" s="84"/>
      <c r="O1169" s="84"/>
      <c r="P1169" s="84"/>
      <c r="Q1169" s="84"/>
      <c r="R1169" s="84"/>
      <c r="S1169" s="84"/>
      <c r="T1169" s="84"/>
      <c r="U1169" s="84"/>
      <c r="V1169" s="84"/>
      <c r="W1169" s="84"/>
      <c r="X1169" s="84"/>
      <c r="Y1169" s="84"/>
      <c r="Z1169" s="87"/>
      <c r="AA1169" s="87"/>
      <c r="AB1169" s="87"/>
      <c r="AC1169" s="87"/>
      <c r="AD1169" s="87"/>
      <c r="AE1169" s="87"/>
      <c r="AF1169" s="87"/>
      <c r="AG1169" s="87"/>
      <c r="AH1169" s="87"/>
      <c r="AI1169" s="87"/>
      <c r="AJ1169" s="87"/>
      <c r="AK1169" s="87"/>
      <c r="AL1169" s="87"/>
      <c r="AM1169" s="87"/>
      <c r="AN1169" s="87"/>
      <c r="AO1169" s="87"/>
      <c r="AP1169" s="87"/>
      <c r="AQ1169" s="87"/>
      <c r="AR1169" s="87"/>
      <c r="AS1169" s="87"/>
      <c r="AT1169" s="87"/>
      <c r="AU1169" s="87"/>
      <c r="AV1169" s="87"/>
      <c r="AW1169" s="87"/>
      <c r="AX1169" s="87"/>
      <c r="AY1169" s="87"/>
      <c r="AZ1169" s="87"/>
      <c r="BA1169" s="87"/>
      <c r="BB1169" s="87"/>
      <c r="BC1169" s="87"/>
      <c r="BD1169" s="87"/>
      <c r="BE1169" s="87"/>
      <c r="BF1169" s="87"/>
      <c r="BG1169" s="87"/>
      <c r="BH1169" s="87"/>
    </row>
    <row r="1170" spans="1:60" ht="16">
      <c r="A1170" s="82"/>
      <c r="B1170" s="82"/>
      <c r="C1170" s="82"/>
      <c r="D1170" s="83"/>
      <c r="E1170" s="84"/>
      <c r="F1170" s="84"/>
      <c r="G1170" s="84"/>
      <c r="H1170" s="82"/>
      <c r="I1170" s="84"/>
      <c r="J1170" s="84"/>
      <c r="K1170" s="84"/>
      <c r="L1170" s="84"/>
      <c r="M1170" s="84"/>
      <c r="N1170" s="84"/>
      <c r="O1170" s="84"/>
      <c r="P1170" s="84"/>
      <c r="Q1170" s="84"/>
      <c r="R1170" s="84"/>
      <c r="S1170" s="84"/>
      <c r="T1170" s="84"/>
      <c r="U1170" s="84"/>
      <c r="V1170" s="84"/>
      <c r="W1170" s="84"/>
      <c r="X1170" s="84"/>
      <c r="Y1170" s="84"/>
      <c r="Z1170" s="87"/>
      <c r="AA1170" s="87"/>
      <c r="AB1170" s="87"/>
      <c r="AC1170" s="87"/>
      <c r="AD1170" s="87"/>
      <c r="AE1170" s="87"/>
      <c r="AF1170" s="87"/>
      <c r="AG1170" s="87"/>
      <c r="AH1170" s="87"/>
      <c r="AI1170" s="87"/>
      <c r="AJ1170" s="87"/>
      <c r="AK1170" s="87"/>
      <c r="AL1170" s="87"/>
      <c r="AM1170" s="87"/>
      <c r="AN1170" s="87"/>
      <c r="AO1170" s="87"/>
      <c r="AP1170" s="87"/>
      <c r="AQ1170" s="87"/>
      <c r="AR1170" s="87"/>
      <c r="AS1170" s="87"/>
      <c r="AT1170" s="87"/>
      <c r="AU1170" s="87"/>
      <c r="AV1170" s="87"/>
      <c r="AW1170" s="87"/>
      <c r="AX1170" s="87"/>
      <c r="AY1170" s="87"/>
      <c r="AZ1170" s="87"/>
      <c r="BA1170" s="87"/>
      <c r="BB1170" s="87"/>
      <c r="BC1170" s="87"/>
      <c r="BD1170" s="87"/>
      <c r="BE1170" s="87"/>
      <c r="BF1170" s="87"/>
      <c r="BG1170" s="87"/>
      <c r="BH1170" s="87"/>
    </row>
    <row r="1171" spans="1:60" ht="16">
      <c r="A1171" s="82"/>
      <c r="B1171" s="82"/>
      <c r="C1171" s="82"/>
      <c r="D1171" s="83"/>
      <c r="E1171" s="84"/>
      <c r="F1171" s="84"/>
      <c r="G1171" s="84"/>
      <c r="H1171" s="82"/>
      <c r="I1171" s="84"/>
      <c r="J1171" s="84"/>
      <c r="K1171" s="84"/>
      <c r="L1171" s="84"/>
      <c r="M1171" s="84"/>
      <c r="N1171" s="84"/>
      <c r="O1171" s="84"/>
      <c r="P1171" s="84"/>
      <c r="Q1171" s="84"/>
      <c r="R1171" s="84"/>
      <c r="S1171" s="84"/>
      <c r="T1171" s="84"/>
      <c r="U1171" s="84"/>
      <c r="V1171" s="84"/>
      <c r="W1171" s="84"/>
      <c r="X1171" s="84"/>
      <c r="Y1171" s="84"/>
      <c r="Z1171" s="87"/>
      <c r="AA1171" s="87"/>
      <c r="AB1171" s="87"/>
      <c r="AC1171" s="87"/>
      <c r="AD1171" s="87"/>
      <c r="AE1171" s="87"/>
      <c r="AF1171" s="87"/>
      <c r="AG1171" s="87"/>
      <c r="AH1171" s="87"/>
      <c r="AI1171" s="87"/>
      <c r="AJ1171" s="87"/>
      <c r="AK1171" s="87"/>
      <c r="AL1171" s="87"/>
      <c r="AM1171" s="87"/>
      <c r="AN1171" s="87"/>
      <c r="AO1171" s="87"/>
      <c r="AP1171" s="87"/>
      <c r="AQ1171" s="87"/>
      <c r="AR1171" s="87"/>
      <c r="AS1171" s="87"/>
      <c r="AT1171" s="87"/>
      <c r="AU1171" s="87"/>
      <c r="AV1171" s="87"/>
      <c r="AW1171" s="87"/>
      <c r="AX1171" s="87"/>
      <c r="AY1171" s="87"/>
      <c r="AZ1171" s="87"/>
      <c r="BA1171" s="87"/>
      <c r="BB1171" s="87"/>
      <c r="BC1171" s="87"/>
      <c r="BD1171" s="87"/>
      <c r="BE1171" s="87"/>
      <c r="BF1171" s="87"/>
      <c r="BG1171" s="87"/>
      <c r="BH1171" s="87"/>
    </row>
    <row r="1172" spans="1:60" ht="16">
      <c r="A1172" s="82"/>
      <c r="B1172" s="82"/>
      <c r="C1172" s="82"/>
      <c r="D1172" s="83"/>
      <c r="E1172" s="84"/>
      <c r="F1172" s="84"/>
      <c r="G1172" s="84"/>
      <c r="H1172" s="82"/>
      <c r="I1172" s="84"/>
      <c r="J1172" s="84"/>
      <c r="K1172" s="84"/>
      <c r="L1172" s="84"/>
      <c r="M1172" s="84"/>
      <c r="N1172" s="84"/>
      <c r="O1172" s="84"/>
      <c r="P1172" s="84"/>
      <c r="Q1172" s="84"/>
      <c r="R1172" s="84"/>
      <c r="S1172" s="84"/>
      <c r="T1172" s="84"/>
      <c r="U1172" s="84"/>
      <c r="V1172" s="84"/>
      <c r="W1172" s="84"/>
      <c r="X1172" s="84"/>
      <c r="Y1172" s="84"/>
      <c r="Z1172" s="87"/>
      <c r="AA1172" s="87"/>
      <c r="AB1172" s="87"/>
      <c r="AC1172" s="87"/>
      <c r="AD1172" s="87"/>
      <c r="AE1172" s="87"/>
      <c r="AF1172" s="87"/>
      <c r="AG1172" s="87"/>
      <c r="AH1172" s="87"/>
      <c r="AI1172" s="87"/>
      <c r="AJ1172" s="87"/>
      <c r="AK1172" s="87"/>
      <c r="AL1172" s="87"/>
      <c r="AM1172" s="87"/>
      <c r="AN1172" s="87"/>
      <c r="AO1172" s="87"/>
      <c r="AP1172" s="87"/>
      <c r="AQ1172" s="87"/>
      <c r="AR1172" s="87"/>
      <c r="AS1172" s="87"/>
      <c r="AT1172" s="87"/>
      <c r="AU1172" s="87"/>
      <c r="AV1172" s="87"/>
      <c r="AW1172" s="87"/>
      <c r="AX1172" s="87"/>
      <c r="AY1172" s="87"/>
      <c r="AZ1172" s="87"/>
      <c r="BA1172" s="87"/>
      <c r="BB1172" s="87"/>
      <c r="BC1172" s="87"/>
      <c r="BD1172" s="87"/>
      <c r="BE1172" s="87"/>
      <c r="BF1172" s="87"/>
      <c r="BG1172" s="87"/>
      <c r="BH1172" s="87"/>
    </row>
    <row r="1173" spans="1:60" ht="16">
      <c r="A1173" s="82"/>
      <c r="B1173" s="82"/>
      <c r="C1173" s="82"/>
      <c r="D1173" s="83"/>
      <c r="E1173" s="84"/>
      <c r="F1173" s="84"/>
      <c r="G1173" s="84"/>
      <c r="H1173" s="82"/>
      <c r="I1173" s="84"/>
      <c r="J1173" s="84"/>
      <c r="K1173" s="84"/>
      <c r="L1173" s="84"/>
      <c r="M1173" s="84"/>
      <c r="N1173" s="84"/>
      <c r="O1173" s="84"/>
      <c r="P1173" s="84"/>
      <c r="Q1173" s="84"/>
      <c r="R1173" s="84"/>
      <c r="S1173" s="84"/>
      <c r="T1173" s="84"/>
      <c r="U1173" s="84"/>
      <c r="V1173" s="84"/>
      <c r="W1173" s="84"/>
      <c r="X1173" s="84"/>
      <c r="Y1173" s="84"/>
      <c r="Z1173" s="87"/>
      <c r="AA1173" s="87"/>
      <c r="AB1173" s="87"/>
      <c r="AC1173" s="87"/>
      <c r="AD1173" s="87"/>
      <c r="AE1173" s="87"/>
      <c r="AF1173" s="87"/>
      <c r="AG1173" s="87"/>
      <c r="AH1173" s="87"/>
      <c r="AI1173" s="87"/>
      <c r="AJ1173" s="87"/>
      <c r="AK1173" s="87"/>
      <c r="AL1173" s="87"/>
      <c r="AM1173" s="87"/>
      <c r="AN1173" s="87"/>
      <c r="AO1173" s="87"/>
      <c r="AP1173" s="87"/>
      <c r="AQ1173" s="87"/>
      <c r="AR1173" s="87"/>
      <c r="AS1173" s="87"/>
      <c r="AT1173" s="87"/>
      <c r="AU1173" s="87"/>
      <c r="AV1173" s="87"/>
      <c r="AW1173" s="87"/>
      <c r="AX1173" s="87"/>
      <c r="AY1173" s="87"/>
      <c r="AZ1173" s="87"/>
      <c r="BA1173" s="87"/>
      <c r="BB1173" s="87"/>
      <c r="BC1173" s="87"/>
      <c r="BD1173" s="87"/>
      <c r="BE1173" s="87"/>
      <c r="BF1173" s="87"/>
      <c r="BG1173" s="87"/>
      <c r="BH1173" s="87"/>
    </row>
    <row r="1174" spans="1:60" ht="16">
      <c r="A1174" s="82"/>
      <c r="B1174" s="82"/>
      <c r="C1174" s="82"/>
      <c r="D1174" s="83"/>
      <c r="E1174" s="84"/>
      <c r="F1174" s="84"/>
      <c r="G1174" s="84"/>
      <c r="H1174" s="82"/>
      <c r="I1174" s="84"/>
      <c r="J1174" s="84"/>
      <c r="K1174" s="84"/>
      <c r="L1174" s="84"/>
      <c r="M1174" s="84"/>
      <c r="N1174" s="84"/>
      <c r="O1174" s="84"/>
      <c r="P1174" s="84"/>
      <c r="Q1174" s="84"/>
      <c r="R1174" s="84"/>
      <c r="S1174" s="84"/>
      <c r="T1174" s="84"/>
      <c r="U1174" s="84"/>
      <c r="V1174" s="84"/>
      <c r="W1174" s="84"/>
      <c r="X1174" s="84"/>
      <c r="Y1174" s="84"/>
      <c r="Z1174" s="87"/>
      <c r="AA1174" s="87"/>
      <c r="AB1174" s="87"/>
      <c r="AC1174" s="87"/>
      <c r="AD1174" s="87"/>
      <c r="AE1174" s="87"/>
      <c r="AF1174" s="87"/>
      <c r="AG1174" s="87"/>
      <c r="AH1174" s="87"/>
      <c r="AI1174" s="87"/>
      <c r="AJ1174" s="87"/>
      <c r="AK1174" s="87"/>
      <c r="AL1174" s="87"/>
      <c r="AM1174" s="87"/>
      <c r="AN1174" s="87"/>
      <c r="AO1174" s="87"/>
      <c r="AP1174" s="87"/>
      <c r="AQ1174" s="87"/>
      <c r="AR1174" s="87"/>
      <c r="AS1174" s="87"/>
      <c r="AT1174" s="87"/>
      <c r="AU1174" s="87"/>
      <c r="AV1174" s="87"/>
      <c r="AW1174" s="87"/>
      <c r="AX1174" s="87"/>
      <c r="AY1174" s="87"/>
      <c r="AZ1174" s="87"/>
      <c r="BA1174" s="87"/>
      <c r="BB1174" s="87"/>
      <c r="BC1174" s="87"/>
      <c r="BD1174" s="87"/>
      <c r="BE1174" s="87"/>
      <c r="BF1174" s="87"/>
      <c r="BG1174" s="87"/>
      <c r="BH1174" s="87"/>
    </row>
    <row r="1175" spans="1:60" ht="16">
      <c r="A1175" s="82"/>
      <c r="B1175" s="82"/>
      <c r="C1175" s="82"/>
      <c r="D1175" s="83"/>
      <c r="E1175" s="84"/>
      <c r="F1175" s="84"/>
      <c r="G1175" s="84"/>
      <c r="H1175" s="82"/>
      <c r="I1175" s="84"/>
      <c r="J1175" s="84"/>
      <c r="K1175" s="84"/>
      <c r="L1175" s="84"/>
      <c r="M1175" s="84"/>
      <c r="N1175" s="84"/>
      <c r="O1175" s="84"/>
      <c r="P1175" s="84"/>
      <c r="Q1175" s="84"/>
      <c r="R1175" s="84"/>
      <c r="S1175" s="84"/>
      <c r="T1175" s="84"/>
      <c r="U1175" s="84"/>
      <c r="V1175" s="84"/>
      <c r="W1175" s="84"/>
      <c r="X1175" s="84"/>
      <c r="Y1175" s="84"/>
      <c r="Z1175" s="87"/>
      <c r="AA1175" s="87"/>
      <c r="AB1175" s="87"/>
      <c r="AC1175" s="87"/>
      <c r="AD1175" s="87"/>
      <c r="AE1175" s="87"/>
      <c r="AF1175" s="87"/>
      <c r="AG1175" s="87"/>
      <c r="AH1175" s="87"/>
      <c r="AI1175" s="87"/>
      <c r="AJ1175" s="87"/>
      <c r="AK1175" s="87"/>
      <c r="AL1175" s="87"/>
      <c r="AM1175" s="87"/>
      <c r="AN1175" s="87"/>
      <c r="AO1175" s="87"/>
      <c r="AP1175" s="87"/>
      <c r="AQ1175" s="87"/>
      <c r="AR1175" s="87"/>
      <c r="AS1175" s="87"/>
      <c r="AT1175" s="87"/>
      <c r="AU1175" s="87"/>
      <c r="AV1175" s="87"/>
      <c r="AW1175" s="87"/>
      <c r="AX1175" s="87"/>
      <c r="AY1175" s="87"/>
      <c r="AZ1175" s="87"/>
      <c r="BA1175" s="87"/>
      <c r="BB1175" s="87"/>
      <c r="BC1175" s="87"/>
      <c r="BD1175" s="87"/>
      <c r="BE1175" s="87"/>
      <c r="BF1175" s="87"/>
      <c r="BG1175" s="87"/>
      <c r="BH1175" s="87"/>
    </row>
    <row r="1176" spans="1:60" ht="16">
      <c r="A1176" s="82"/>
      <c r="B1176" s="82"/>
      <c r="C1176" s="82"/>
      <c r="D1176" s="83"/>
      <c r="E1176" s="84"/>
      <c r="F1176" s="84"/>
      <c r="G1176" s="84"/>
      <c r="H1176" s="82"/>
      <c r="I1176" s="84"/>
      <c r="J1176" s="84"/>
      <c r="K1176" s="84"/>
      <c r="L1176" s="84"/>
      <c r="M1176" s="84"/>
      <c r="N1176" s="84"/>
      <c r="O1176" s="84"/>
      <c r="P1176" s="84"/>
      <c r="Q1176" s="84"/>
      <c r="R1176" s="84"/>
      <c r="S1176" s="84"/>
      <c r="T1176" s="84"/>
      <c r="U1176" s="84"/>
      <c r="V1176" s="84"/>
      <c r="W1176" s="84"/>
      <c r="X1176" s="84"/>
      <c r="Y1176" s="84"/>
      <c r="Z1176" s="87"/>
      <c r="AA1176" s="87"/>
      <c r="AB1176" s="87"/>
      <c r="AC1176" s="87"/>
      <c r="AD1176" s="87"/>
      <c r="AE1176" s="87"/>
      <c r="AF1176" s="87"/>
      <c r="AG1176" s="87"/>
      <c r="AH1176" s="87"/>
      <c r="AI1176" s="87"/>
      <c r="AJ1176" s="87"/>
      <c r="AK1176" s="87"/>
      <c r="AL1176" s="87"/>
      <c r="AM1176" s="87"/>
      <c r="AN1176" s="87"/>
      <c r="AO1176" s="87"/>
      <c r="AP1176" s="87"/>
      <c r="AQ1176" s="87"/>
      <c r="AR1176" s="87"/>
      <c r="AS1176" s="87"/>
      <c r="AT1176" s="87"/>
      <c r="AU1176" s="87"/>
      <c r="AV1176" s="87"/>
      <c r="AW1176" s="87"/>
      <c r="AX1176" s="87"/>
      <c r="AY1176" s="87"/>
      <c r="AZ1176" s="87"/>
      <c r="BA1176" s="87"/>
      <c r="BB1176" s="87"/>
      <c r="BC1176" s="87"/>
      <c r="BD1176" s="87"/>
      <c r="BE1176" s="87"/>
      <c r="BF1176" s="87"/>
      <c r="BG1176" s="87"/>
      <c r="BH1176" s="87"/>
    </row>
    <row r="1177" spans="1:60" ht="16">
      <c r="A1177" s="82"/>
      <c r="B1177" s="82"/>
      <c r="C1177" s="82"/>
      <c r="D1177" s="83"/>
      <c r="E1177" s="84"/>
      <c r="F1177" s="84"/>
      <c r="G1177" s="84"/>
      <c r="H1177" s="82"/>
      <c r="I1177" s="84"/>
      <c r="J1177" s="84"/>
      <c r="K1177" s="84"/>
      <c r="L1177" s="84"/>
      <c r="M1177" s="84"/>
      <c r="N1177" s="84"/>
      <c r="O1177" s="84"/>
      <c r="P1177" s="84"/>
      <c r="Q1177" s="84"/>
      <c r="R1177" s="84"/>
      <c r="S1177" s="84"/>
      <c r="T1177" s="84"/>
      <c r="U1177" s="84"/>
      <c r="V1177" s="84"/>
      <c r="W1177" s="84"/>
      <c r="X1177" s="84"/>
      <c r="Y1177" s="84"/>
      <c r="Z1177" s="87"/>
      <c r="AA1177" s="87"/>
      <c r="AB1177" s="87"/>
      <c r="AC1177" s="87"/>
      <c r="AD1177" s="87"/>
      <c r="AE1177" s="87"/>
      <c r="AF1177" s="87"/>
      <c r="AG1177" s="87"/>
      <c r="AH1177" s="87"/>
      <c r="AI1177" s="87"/>
      <c r="AJ1177" s="87"/>
      <c r="AK1177" s="87"/>
      <c r="AL1177" s="87"/>
      <c r="AM1177" s="87"/>
      <c r="AN1177" s="87"/>
      <c r="AO1177" s="87"/>
      <c r="AP1177" s="87"/>
      <c r="AQ1177" s="87"/>
      <c r="AR1177" s="87"/>
      <c r="AS1177" s="87"/>
      <c r="AT1177" s="87"/>
      <c r="AU1177" s="87"/>
      <c r="AV1177" s="87"/>
      <c r="AW1177" s="87"/>
      <c r="AX1177" s="87"/>
      <c r="AY1177" s="87"/>
      <c r="AZ1177" s="87"/>
      <c r="BA1177" s="87"/>
      <c r="BB1177" s="87"/>
      <c r="BC1177" s="87"/>
      <c r="BD1177" s="87"/>
      <c r="BE1177" s="87"/>
      <c r="BF1177" s="87"/>
      <c r="BG1177" s="87"/>
      <c r="BH1177" s="87"/>
    </row>
    <row r="1178" spans="1:60" ht="16">
      <c r="A1178" s="82"/>
      <c r="B1178" s="82"/>
      <c r="C1178" s="82"/>
      <c r="D1178" s="83"/>
      <c r="E1178" s="84"/>
      <c r="F1178" s="84"/>
      <c r="G1178" s="84"/>
      <c r="H1178" s="82"/>
      <c r="I1178" s="84"/>
      <c r="J1178" s="84"/>
      <c r="K1178" s="84"/>
      <c r="L1178" s="84"/>
      <c r="M1178" s="84"/>
      <c r="N1178" s="84"/>
      <c r="O1178" s="84"/>
      <c r="P1178" s="84"/>
      <c r="Q1178" s="84"/>
      <c r="R1178" s="84"/>
      <c r="S1178" s="84"/>
      <c r="T1178" s="84"/>
      <c r="U1178" s="84"/>
      <c r="V1178" s="84"/>
      <c r="W1178" s="84"/>
      <c r="X1178" s="84"/>
      <c r="Y1178" s="84"/>
      <c r="Z1178" s="87"/>
      <c r="AA1178" s="87"/>
      <c r="AB1178" s="87"/>
      <c r="AC1178" s="87"/>
      <c r="AD1178" s="87"/>
      <c r="AE1178" s="87"/>
      <c r="AF1178" s="87"/>
      <c r="AG1178" s="87"/>
      <c r="AH1178" s="87"/>
      <c r="AI1178" s="87"/>
      <c r="AJ1178" s="87"/>
      <c r="AK1178" s="87"/>
      <c r="AL1178" s="87"/>
      <c r="AM1178" s="87"/>
      <c r="AN1178" s="87"/>
      <c r="AO1178" s="87"/>
      <c r="AP1178" s="87"/>
      <c r="AQ1178" s="87"/>
      <c r="AR1178" s="87"/>
      <c r="AS1178" s="87"/>
      <c r="AT1178" s="87"/>
      <c r="AU1178" s="87"/>
      <c r="AV1178" s="87"/>
      <c r="AW1178" s="87"/>
      <c r="AX1178" s="87"/>
      <c r="AY1178" s="87"/>
      <c r="AZ1178" s="87"/>
      <c r="BA1178" s="87"/>
      <c r="BB1178" s="87"/>
      <c r="BC1178" s="87"/>
      <c r="BD1178" s="87"/>
      <c r="BE1178" s="87"/>
      <c r="BF1178" s="87"/>
      <c r="BG1178" s="87"/>
      <c r="BH1178" s="87"/>
    </row>
    <row r="1179" spans="1:60" ht="16">
      <c r="A1179" s="82"/>
      <c r="B1179" s="82"/>
      <c r="C1179" s="82"/>
      <c r="D1179" s="83"/>
      <c r="E1179" s="84"/>
      <c r="F1179" s="84"/>
      <c r="G1179" s="84"/>
      <c r="H1179" s="82"/>
      <c r="I1179" s="84"/>
      <c r="J1179" s="84"/>
      <c r="K1179" s="84"/>
      <c r="L1179" s="84"/>
      <c r="M1179" s="84"/>
      <c r="N1179" s="84"/>
      <c r="O1179" s="84"/>
      <c r="P1179" s="84"/>
      <c r="Q1179" s="84"/>
      <c r="R1179" s="84"/>
      <c r="S1179" s="84"/>
      <c r="T1179" s="84"/>
      <c r="U1179" s="84"/>
      <c r="V1179" s="84"/>
      <c r="W1179" s="84"/>
      <c r="X1179" s="84"/>
      <c r="Y1179" s="84"/>
      <c r="Z1179" s="87"/>
      <c r="AA1179" s="87"/>
      <c r="AB1179" s="87"/>
      <c r="AC1179" s="87"/>
      <c r="AD1179" s="87"/>
      <c r="AE1179" s="87"/>
      <c r="AF1179" s="87"/>
      <c r="AG1179" s="87"/>
      <c r="AH1179" s="87"/>
      <c r="AI1179" s="87"/>
      <c r="AJ1179" s="87"/>
      <c r="AK1179" s="87"/>
      <c r="AL1179" s="87"/>
      <c r="AM1179" s="87"/>
      <c r="AN1179" s="87"/>
      <c r="AO1179" s="87"/>
      <c r="AP1179" s="87"/>
      <c r="AQ1179" s="87"/>
      <c r="AR1179" s="87"/>
      <c r="AS1179" s="87"/>
      <c r="AT1179" s="87"/>
      <c r="AU1179" s="87"/>
      <c r="AV1179" s="87"/>
      <c r="AW1179" s="87"/>
      <c r="AX1179" s="87"/>
      <c r="AY1179" s="87"/>
      <c r="AZ1179" s="87"/>
      <c r="BA1179" s="87"/>
      <c r="BB1179" s="87"/>
      <c r="BC1179" s="87"/>
      <c r="BD1179" s="87"/>
      <c r="BE1179" s="87"/>
      <c r="BF1179" s="87"/>
      <c r="BG1179" s="87"/>
      <c r="BH1179" s="87"/>
    </row>
    <row r="1180" spans="1:60" ht="16">
      <c r="A1180" s="82"/>
      <c r="B1180" s="82"/>
      <c r="C1180" s="82"/>
      <c r="D1180" s="83"/>
      <c r="E1180" s="84"/>
      <c r="F1180" s="84"/>
      <c r="G1180" s="84"/>
      <c r="H1180" s="82"/>
      <c r="I1180" s="84"/>
      <c r="J1180" s="84"/>
      <c r="K1180" s="84"/>
      <c r="L1180" s="84"/>
      <c r="M1180" s="84"/>
      <c r="N1180" s="84"/>
      <c r="O1180" s="84"/>
      <c r="P1180" s="84"/>
      <c r="Q1180" s="84"/>
      <c r="R1180" s="84"/>
      <c r="S1180" s="84"/>
      <c r="T1180" s="84"/>
      <c r="U1180" s="84"/>
      <c r="V1180" s="84"/>
      <c r="W1180" s="84"/>
      <c r="X1180" s="84"/>
      <c r="Y1180" s="84"/>
      <c r="Z1180" s="87"/>
      <c r="AA1180" s="87"/>
      <c r="AB1180" s="87"/>
      <c r="AC1180" s="87"/>
      <c r="AD1180" s="87"/>
      <c r="AE1180" s="87"/>
      <c r="AF1180" s="87"/>
      <c r="AG1180" s="87"/>
      <c r="AH1180" s="87"/>
      <c r="AI1180" s="87"/>
      <c r="AJ1180" s="87"/>
      <c r="AK1180" s="87"/>
      <c r="AL1180" s="87"/>
      <c r="AM1180" s="87"/>
      <c r="AN1180" s="87"/>
      <c r="AO1180" s="87"/>
      <c r="AP1180" s="87"/>
      <c r="AQ1180" s="87"/>
      <c r="AR1180" s="87"/>
      <c r="AS1180" s="87"/>
      <c r="AT1180" s="87"/>
      <c r="AU1180" s="87"/>
      <c r="AV1180" s="87"/>
      <c r="AW1180" s="87"/>
      <c r="AX1180" s="87"/>
      <c r="AY1180" s="87"/>
      <c r="AZ1180" s="87"/>
      <c r="BA1180" s="87"/>
      <c r="BB1180" s="87"/>
      <c r="BC1180" s="87"/>
      <c r="BD1180" s="87"/>
      <c r="BE1180" s="87"/>
      <c r="BF1180" s="87"/>
      <c r="BG1180" s="87"/>
      <c r="BH1180" s="87"/>
    </row>
    <row r="1181" spans="1:60" ht="16">
      <c r="A1181" s="82"/>
      <c r="B1181" s="82"/>
      <c r="C1181" s="82"/>
      <c r="D1181" s="83"/>
      <c r="E1181" s="84"/>
      <c r="F1181" s="84"/>
      <c r="G1181" s="84"/>
      <c r="H1181" s="82"/>
      <c r="I1181" s="84"/>
      <c r="J1181" s="84"/>
      <c r="K1181" s="84"/>
      <c r="L1181" s="84"/>
      <c r="M1181" s="84"/>
      <c r="N1181" s="84"/>
      <c r="O1181" s="84"/>
      <c r="P1181" s="84"/>
      <c r="Q1181" s="84"/>
      <c r="R1181" s="84"/>
      <c r="S1181" s="84"/>
      <c r="T1181" s="84"/>
      <c r="U1181" s="84"/>
      <c r="V1181" s="84"/>
      <c r="W1181" s="84"/>
      <c r="X1181" s="84"/>
      <c r="Y1181" s="84"/>
      <c r="Z1181" s="87"/>
      <c r="AA1181" s="87"/>
      <c r="AB1181" s="87"/>
      <c r="AC1181" s="87"/>
      <c r="AD1181" s="87"/>
      <c r="AE1181" s="87"/>
      <c r="AF1181" s="87"/>
      <c r="AG1181" s="87"/>
      <c r="AH1181" s="87"/>
      <c r="AI1181" s="87"/>
      <c r="AJ1181" s="87"/>
      <c r="AK1181" s="87"/>
      <c r="AL1181" s="87"/>
      <c r="AM1181" s="87"/>
      <c r="AN1181" s="87"/>
      <c r="AO1181" s="87"/>
      <c r="AP1181" s="87"/>
      <c r="AQ1181" s="87"/>
      <c r="AR1181" s="87"/>
      <c r="AS1181" s="87"/>
      <c r="AT1181" s="87"/>
      <c r="AU1181" s="87"/>
      <c r="AV1181" s="87"/>
      <c r="AW1181" s="87"/>
      <c r="AX1181" s="87"/>
      <c r="AY1181" s="87"/>
      <c r="AZ1181" s="87"/>
      <c r="BA1181" s="87"/>
      <c r="BB1181" s="87"/>
      <c r="BC1181" s="87"/>
      <c r="BD1181" s="87"/>
      <c r="BE1181" s="87"/>
      <c r="BF1181" s="87"/>
      <c r="BG1181" s="87"/>
      <c r="BH1181" s="87"/>
    </row>
    <row r="1182" spans="1:60" ht="16">
      <c r="A1182" s="82"/>
      <c r="B1182" s="82"/>
      <c r="C1182" s="82"/>
      <c r="D1182" s="83"/>
      <c r="E1182" s="84"/>
      <c r="F1182" s="84"/>
      <c r="G1182" s="84"/>
      <c r="H1182" s="82"/>
      <c r="I1182" s="84"/>
      <c r="J1182" s="84"/>
      <c r="K1182" s="84"/>
      <c r="L1182" s="84"/>
      <c r="M1182" s="84"/>
      <c r="N1182" s="84"/>
      <c r="O1182" s="84"/>
      <c r="P1182" s="84"/>
      <c r="Q1182" s="84"/>
      <c r="R1182" s="84"/>
      <c r="S1182" s="84"/>
      <c r="T1182" s="84"/>
      <c r="U1182" s="84"/>
      <c r="V1182" s="84"/>
      <c r="W1182" s="84"/>
      <c r="X1182" s="84"/>
      <c r="Y1182" s="84"/>
      <c r="Z1182" s="87"/>
      <c r="AA1182" s="87"/>
      <c r="AB1182" s="87"/>
      <c r="AC1182" s="87"/>
      <c r="AD1182" s="87"/>
      <c r="AE1182" s="87"/>
      <c r="AF1182" s="87"/>
      <c r="AG1182" s="87"/>
      <c r="AH1182" s="87"/>
      <c r="AI1182" s="87"/>
      <c r="AJ1182" s="87"/>
      <c r="AK1182" s="87"/>
      <c r="AL1182" s="87"/>
      <c r="AM1182" s="87"/>
      <c r="AN1182" s="87"/>
      <c r="AO1182" s="87"/>
      <c r="AP1182" s="87"/>
      <c r="AQ1182" s="87"/>
      <c r="AR1182" s="87"/>
      <c r="AS1182" s="87"/>
      <c r="AT1182" s="87"/>
      <c r="AU1182" s="87"/>
      <c r="AV1182" s="87"/>
      <c r="AW1182" s="87"/>
      <c r="AX1182" s="87"/>
      <c r="AY1182" s="87"/>
      <c r="AZ1182" s="87"/>
      <c r="BA1182" s="87"/>
      <c r="BB1182" s="87"/>
      <c r="BC1182" s="87"/>
      <c r="BD1182" s="87"/>
      <c r="BE1182" s="87"/>
      <c r="BF1182" s="87"/>
      <c r="BG1182" s="87"/>
      <c r="BH1182" s="87"/>
    </row>
    <row r="1183" spans="1:60" ht="16">
      <c r="A1183" s="82"/>
      <c r="B1183" s="82"/>
      <c r="C1183" s="82"/>
      <c r="D1183" s="83"/>
      <c r="E1183" s="84"/>
      <c r="F1183" s="84"/>
      <c r="G1183" s="84"/>
      <c r="H1183" s="82"/>
      <c r="I1183" s="84"/>
      <c r="J1183" s="84"/>
      <c r="K1183" s="84"/>
      <c r="L1183" s="84"/>
      <c r="M1183" s="84"/>
      <c r="N1183" s="84"/>
      <c r="O1183" s="84"/>
      <c r="P1183" s="84"/>
      <c r="Q1183" s="84"/>
      <c r="R1183" s="84"/>
      <c r="S1183" s="84"/>
      <c r="T1183" s="84"/>
      <c r="U1183" s="84"/>
      <c r="V1183" s="84"/>
      <c r="W1183" s="84"/>
      <c r="X1183" s="84"/>
      <c r="Y1183" s="84"/>
      <c r="Z1183" s="87"/>
      <c r="AA1183" s="87"/>
      <c r="AB1183" s="87"/>
      <c r="AC1183" s="87"/>
      <c r="AD1183" s="87"/>
      <c r="AE1183" s="87"/>
      <c r="AF1183" s="87"/>
      <c r="AG1183" s="87"/>
      <c r="AH1183" s="87"/>
      <c r="AI1183" s="87"/>
      <c r="AJ1183" s="87"/>
      <c r="AK1183" s="87"/>
      <c r="AL1183" s="87"/>
      <c r="AM1183" s="87"/>
      <c r="AN1183" s="87"/>
      <c r="AO1183" s="87"/>
      <c r="AP1183" s="87"/>
      <c r="AQ1183" s="87"/>
      <c r="AR1183" s="87"/>
      <c r="AS1183" s="87"/>
      <c r="AT1183" s="87"/>
      <c r="AU1183" s="87"/>
      <c r="AV1183" s="87"/>
      <c r="AW1183" s="87"/>
      <c r="AX1183" s="87"/>
      <c r="AY1183" s="87"/>
      <c r="AZ1183" s="87"/>
      <c r="BA1183" s="87"/>
      <c r="BB1183" s="87"/>
      <c r="BC1183" s="87"/>
      <c r="BD1183" s="87"/>
      <c r="BE1183" s="87"/>
      <c r="BF1183" s="87"/>
      <c r="BG1183" s="87"/>
      <c r="BH1183" s="87"/>
    </row>
    <row r="1184" spans="1:60" ht="16">
      <c r="A1184" s="82"/>
      <c r="B1184" s="82"/>
      <c r="C1184" s="82"/>
      <c r="D1184" s="83"/>
      <c r="E1184" s="84"/>
      <c r="F1184" s="84"/>
      <c r="G1184" s="84"/>
      <c r="H1184" s="82"/>
      <c r="I1184" s="84"/>
      <c r="J1184" s="84"/>
      <c r="K1184" s="84"/>
      <c r="L1184" s="84"/>
      <c r="M1184" s="84"/>
      <c r="N1184" s="84"/>
      <c r="O1184" s="84"/>
      <c r="P1184" s="84"/>
      <c r="Q1184" s="84"/>
      <c r="R1184" s="84"/>
      <c r="S1184" s="84"/>
      <c r="T1184" s="84"/>
      <c r="U1184" s="84"/>
      <c r="V1184" s="84"/>
      <c r="W1184" s="84"/>
      <c r="X1184" s="84"/>
      <c r="Y1184" s="84"/>
      <c r="Z1184" s="87"/>
      <c r="AA1184" s="87"/>
      <c r="AB1184" s="87"/>
      <c r="AC1184" s="87"/>
      <c r="AD1184" s="87"/>
      <c r="AE1184" s="87"/>
      <c r="AF1184" s="87"/>
      <c r="AG1184" s="87"/>
      <c r="AH1184" s="87"/>
      <c r="AI1184" s="87"/>
      <c r="AJ1184" s="87"/>
      <c r="AK1184" s="87"/>
      <c r="AL1184" s="87"/>
      <c r="AM1184" s="87"/>
      <c r="AN1184" s="87"/>
      <c r="AO1184" s="87"/>
      <c r="AP1184" s="87"/>
      <c r="AQ1184" s="87"/>
      <c r="AR1184" s="87"/>
      <c r="AS1184" s="87"/>
      <c r="AT1184" s="87"/>
      <c r="AU1184" s="87"/>
      <c r="AV1184" s="87"/>
      <c r="AW1184" s="87"/>
      <c r="AX1184" s="87"/>
      <c r="AY1184" s="87"/>
      <c r="AZ1184" s="87"/>
      <c r="BA1184" s="87"/>
      <c r="BB1184" s="87"/>
      <c r="BC1184" s="87"/>
      <c r="BD1184" s="87"/>
      <c r="BE1184" s="87"/>
      <c r="BF1184" s="87"/>
      <c r="BG1184" s="87"/>
      <c r="BH1184" s="87"/>
    </row>
    <row r="1185" spans="1:60" ht="16">
      <c r="A1185" s="82"/>
      <c r="B1185" s="82"/>
      <c r="C1185" s="82"/>
      <c r="D1185" s="83"/>
      <c r="E1185" s="84"/>
      <c r="F1185" s="84"/>
      <c r="G1185" s="84"/>
      <c r="H1185" s="82"/>
      <c r="I1185" s="84"/>
      <c r="J1185" s="84"/>
      <c r="K1185" s="84"/>
      <c r="L1185" s="84"/>
      <c r="M1185" s="84"/>
      <c r="N1185" s="84"/>
      <c r="O1185" s="84"/>
      <c r="P1185" s="84"/>
      <c r="Q1185" s="84"/>
      <c r="R1185" s="84"/>
      <c r="S1185" s="84"/>
      <c r="T1185" s="84"/>
      <c r="U1185" s="84"/>
      <c r="V1185" s="84"/>
      <c r="W1185" s="84"/>
      <c r="X1185" s="84"/>
      <c r="Y1185" s="84"/>
      <c r="Z1185" s="87"/>
      <c r="AA1185" s="87"/>
      <c r="AB1185" s="87"/>
      <c r="AC1185" s="87"/>
      <c r="AD1185" s="87"/>
      <c r="AE1185" s="87"/>
      <c r="AF1185" s="87"/>
      <c r="AG1185" s="87"/>
      <c r="AH1185" s="87"/>
      <c r="AI1185" s="87"/>
      <c r="AJ1185" s="87"/>
      <c r="AK1185" s="87"/>
      <c r="AL1185" s="87"/>
      <c r="AM1185" s="87"/>
      <c r="AN1185" s="87"/>
      <c r="AO1185" s="87"/>
      <c r="AP1185" s="87"/>
      <c r="AQ1185" s="87"/>
      <c r="AR1185" s="87"/>
      <c r="AS1185" s="87"/>
      <c r="AT1185" s="87"/>
      <c r="AU1185" s="87"/>
      <c r="AV1185" s="87"/>
      <c r="AW1185" s="87"/>
      <c r="AX1185" s="87"/>
      <c r="AY1185" s="87"/>
      <c r="AZ1185" s="87"/>
      <c r="BA1185" s="87"/>
      <c r="BB1185" s="87"/>
      <c r="BC1185" s="87"/>
      <c r="BD1185" s="87"/>
      <c r="BE1185" s="87"/>
      <c r="BF1185" s="87"/>
      <c r="BG1185" s="87"/>
      <c r="BH1185" s="87"/>
    </row>
    <row r="1186" spans="1:60" ht="16">
      <c r="A1186" s="82"/>
      <c r="B1186" s="82"/>
      <c r="C1186" s="82"/>
      <c r="D1186" s="83"/>
      <c r="E1186" s="84"/>
      <c r="F1186" s="84"/>
      <c r="G1186" s="84"/>
      <c r="H1186" s="82"/>
      <c r="I1186" s="84"/>
      <c r="J1186" s="84"/>
      <c r="K1186" s="84"/>
      <c r="L1186" s="84"/>
      <c r="M1186" s="84"/>
      <c r="N1186" s="84"/>
      <c r="O1186" s="84"/>
      <c r="P1186" s="84"/>
      <c r="Q1186" s="84"/>
      <c r="R1186" s="84"/>
      <c r="S1186" s="84"/>
      <c r="T1186" s="84"/>
      <c r="U1186" s="84"/>
      <c r="V1186" s="84"/>
      <c r="W1186" s="84"/>
      <c r="X1186" s="84"/>
      <c r="Y1186" s="84"/>
      <c r="Z1186" s="87"/>
      <c r="AA1186" s="87"/>
      <c r="AB1186" s="87"/>
      <c r="AC1186" s="87"/>
      <c r="AD1186" s="87"/>
      <c r="AE1186" s="87"/>
      <c r="AF1186" s="87"/>
      <c r="AG1186" s="87"/>
      <c r="AH1186" s="87"/>
      <c r="AI1186" s="87"/>
      <c r="AJ1186" s="87"/>
      <c r="AK1186" s="87"/>
      <c r="AL1186" s="87"/>
      <c r="AM1186" s="87"/>
      <c r="AN1186" s="87"/>
      <c r="AO1186" s="87"/>
      <c r="AP1186" s="87"/>
      <c r="AQ1186" s="87"/>
      <c r="AR1186" s="87"/>
      <c r="AS1186" s="87"/>
      <c r="AT1186" s="87"/>
      <c r="AU1186" s="87"/>
      <c r="AV1186" s="87"/>
      <c r="AW1186" s="87"/>
      <c r="AX1186" s="87"/>
      <c r="AY1186" s="87"/>
      <c r="AZ1186" s="87"/>
      <c r="BA1186" s="87"/>
      <c r="BB1186" s="87"/>
      <c r="BC1186" s="87"/>
      <c r="BD1186" s="87"/>
      <c r="BE1186" s="87"/>
      <c r="BF1186" s="87"/>
      <c r="BG1186" s="87"/>
      <c r="BH1186" s="87"/>
    </row>
    <row r="1187" spans="1:60" ht="16">
      <c r="A1187" s="82"/>
      <c r="B1187" s="82"/>
      <c r="C1187" s="82"/>
      <c r="D1187" s="83"/>
      <c r="E1187" s="84"/>
      <c r="F1187" s="84"/>
      <c r="G1187" s="84"/>
      <c r="H1187" s="82"/>
      <c r="I1187" s="84"/>
      <c r="J1187" s="84"/>
      <c r="K1187" s="84"/>
      <c r="L1187" s="84"/>
      <c r="M1187" s="84"/>
      <c r="N1187" s="84"/>
      <c r="O1187" s="84"/>
      <c r="P1187" s="84"/>
      <c r="Q1187" s="84"/>
      <c r="R1187" s="84"/>
      <c r="S1187" s="84"/>
      <c r="T1187" s="84"/>
      <c r="U1187" s="84"/>
      <c r="V1187" s="84"/>
      <c r="W1187" s="84"/>
      <c r="X1187" s="84"/>
      <c r="Y1187" s="84"/>
      <c r="Z1187" s="87"/>
      <c r="AA1187" s="87"/>
      <c r="AB1187" s="87"/>
      <c r="AC1187" s="87"/>
      <c r="AD1187" s="87"/>
      <c r="AE1187" s="87"/>
      <c r="AF1187" s="87"/>
      <c r="AG1187" s="87"/>
      <c r="AH1187" s="87"/>
      <c r="AI1187" s="87"/>
      <c r="AJ1187" s="87"/>
      <c r="AK1187" s="87"/>
      <c r="AL1187" s="87"/>
      <c r="AM1187" s="87"/>
      <c r="AN1187" s="87"/>
      <c r="AO1187" s="87"/>
      <c r="AP1187" s="87"/>
      <c r="AQ1187" s="87"/>
      <c r="AR1187" s="87"/>
      <c r="AS1187" s="87"/>
      <c r="AT1187" s="87"/>
      <c r="AU1187" s="87"/>
      <c r="AV1187" s="87"/>
      <c r="AW1187" s="87"/>
      <c r="AX1187" s="87"/>
      <c r="AY1187" s="87"/>
      <c r="AZ1187" s="87"/>
      <c r="BA1187" s="87"/>
      <c r="BB1187" s="87"/>
      <c r="BC1187" s="87"/>
      <c r="BD1187" s="87"/>
      <c r="BE1187" s="87"/>
      <c r="BF1187" s="87"/>
      <c r="BG1187" s="87"/>
      <c r="BH1187" s="87"/>
    </row>
    <row r="1188" spans="1:60" ht="16">
      <c r="A1188" s="82"/>
      <c r="B1188" s="82"/>
      <c r="C1188" s="82"/>
      <c r="D1188" s="83"/>
      <c r="E1188" s="84"/>
      <c r="F1188" s="84"/>
      <c r="G1188" s="84"/>
      <c r="H1188" s="82"/>
      <c r="I1188" s="84"/>
      <c r="J1188" s="84"/>
      <c r="K1188" s="84"/>
      <c r="L1188" s="84"/>
      <c r="M1188" s="84"/>
      <c r="N1188" s="84"/>
      <c r="O1188" s="84"/>
      <c r="P1188" s="84"/>
      <c r="Q1188" s="84"/>
      <c r="R1188" s="84"/>
      <c r="S1188" s="84"/>
      <c r="T1188" s="84"/>
      <c r="U1188" s="84"/>
      <c r="V1188" s="84"/>
      <c r="W1188" s="84"/>
      <c r="X1188" s="84"/>
      <c r="Y1188" s="84"/>
      <c r="Z1188" s="87"/>
      <c r="AA1188" s="87"/>
      <c r="AB1188" s="87"/>
      <c r="AC1188" s="87"/>
      <c r="AD1188" s="87"/>
      <c r="AE1188" s="87"/>
      <c r="AF1188" s="87"/>
      <c r="AG1188" s="87"/>
      <c r="AH1188" s="87"/>
      <c r="AI1188" s="87"/>
      <c r="AJ1188" s="87"/>
      <c r="AK1188" s="87"/>
      <c r="AL1188" s="87"/>
      <c r="AM1188" s="87"/>
      <c r="AN1188" s="87"/>
      <c r="AO1188" s="87"/>
      <c r="AP1188" s="87"/>
      <c r="AQ1188" s="87"/>
      <c r="AR1188" s="87"/>
      <c r="AS1188" s="87"/>
      <c r="AT1188" s="87"/>
      <c r="AU1188" s="87"/>
      <c r="AV1188" s="87"/>
      <c r="AW1188" s="87"/>
      <c r="AX1188" s="87"/>
      <c r="AY1188" s="87"/>
      <c r="AZ1188" s="87"/>
      <c r="BA1188" s="87"/>
      <c r="BB1188" s="87"/>
      <c r="BC1188" s="87"/>
      <c r="BD1188" s="87"/>
      <c r="BE1188" s="87"/>
      <c r="BF1188" s="87"/>
      <c r="BG1188" s="87"/>
      <c r="BH1188" s="87"/>
    </row>
    <row r="1189" spans="1:60" ht="16">
      <c r="A1189" s="82"/>
      <c r="B1189" s="82"/>
      <c r="C1189" s="82"/>
      <c r="D1189" s="83"/>
      <c r="E1189" s="84"/>
      <c r="F1189" s="84"/>
      <c r="G1189" s="84"/>
      <c r="H1189" s="82"/>
      <c r="I1189" s="84"/>
      <c r="J1189" s="84"/>
      <c r="K1189" s="84"/>
      <c r="L1189" s="84"/>
      <c r="M1189" s="84"/>
      <c r="N1189" s="84"/>
      <c r="O1189" s="84"/>
      <c r="P1189" s="84"/>
      <c r="Q1189" s="84"/>
      <c r="R1189" s="84"/>
      <c r="S1189" s="84"/>
      <c r="T1189" s="84"/>
      <c r="U1189" s="84"/>
      <c r="V1189" s="84"/>
      <c r="W1189" s="84"/>
      <c r="X1189" s="84"/>
      <c r="Y1189" s="84"/>
      <c r="Z1189" s="87"/>
      <c r="AA1189" s="87"/>
      <c r="AB1189" s="87"/>
      <c r="AC1189" s="87"/>
      <c r="AD1189" s="87"/>
      <c r="AE1189" s="87"/>
      <c r="AF1189" s="87"/>
      <c r="AG1189" s="87"/>
      <c r="AH1189" s="87"/>
      <c r="AI1189" s="87"/>
      <c r="AJ1189" s="87"/>
      <c r="AK1189" s="87"/>
      <c r="AL1189" s="87"/>
      <c r="AM1189" s="87"/>
      <c r="AN1189" s="87"/>
      <c r="AO1189" s="87"/>
      <c r="AP1189" s="87"/>
      <c r="AQ1189" s="87"/>
      <c r="AR1189" s="87"/>
      <c r="AS1189" s="87"/>
      <c r="AT1189" s="87"/>
      <c r="AU1189" s="87"/>
      <c r="AV1189" s="87"/>
      <c r="AW1189" s="87"/>
      <c r="AX1189" s="87"/>
      <c r="AY1189" s="87"/>
      <c r="AZ1189" s="87"/>
      <c r="BA1189" s="87"/>
      <c r="BB1189" s="87"/>
      <c r="BC1189" s="87"/>
      <c r="BD1189" s="87"/>
      <c r="BE1189" s="87"/>
      <c r="BF1189" s="87"/>
      <c r="BG1189" s="87"/>
      <c r="BH1189" s="87"/>
    </row>
    <row r="1190" spans="1:60" ht="16">
      <c r="A1190" s="82"/>
      <c r="B1190" s="82"/>
      <c r="C1190" s="82"/>
      <c r="D1190" s="83"/>
      <c r="E1190" s="84"/>
      <c r="F1190" s="84"/>
      <c r="G1190" s="84"/>
      <c r="H1190" s="82"/>
      <c r="I1190" s="84"/>
      <c r="J1190" s="84"/>
      <c r="K1190" s="84"/>
      <c r="L1190" s="84"/>
      <c r="M1190" s="84"/>
      <c r="N1190" s="84"/>
      <c r="O1190" s="84"/>
      <c r="P1190" s="84"/>
      <c r="Q1190" s="84"/>
      <c r="R1190" s="84"/>
      <c r="S1190" s="84"/>
      <c r="T1190" s="84"/>
      <c r="U1190" s="84"/>
      <c r="V1190" s="84"/>
      <c r="W1190" s="84"/>
      <c r="X1190" s="84"/>
      <c r="Y1190" s="84"/>
      <c r="Z1190" s="87"/>
      <c r="AA1190" s="87"/>
      <c r="AB1190" s="87"/>
      <c r="AC1190" s="87"/>
      <c r="AD1190" s="87"/>
      <c r="AE1190" s="87"/>
      <c r="AF1190" s="87"/>
      <c r="AG1190" s="87"/>
      <c r="AH1190" s="87"/>
      <c r="AI1190" s="87"/>
      <c r="AJ1190" s="87"/>
      <c r="AK1190" s="87"/>
      <c r="AL1190" s="87"/>
      <c r="AM1190" s="87"/>
      <c r="AN1190" s="87"/>
      <c r="AO1190" s="87"/>
      <c r="AP1190" s="87"/>
      <c r="AQ1190" s="87"/>
      <c r="AR1190" s="87"/>
      <c r="AS1190" s="87"/>
      <c r="AT1190" s="87"/>
      <c r="AU1190" s="87"/>
      <c r="AV1190" s="87"/>
      <c r="AW1190" s="87"/>
      <c r="AX1190" s="87"/>
      <c r="AY1190" s="87"/>
      <c r="AZ1190" s="87"/>
      <c r="BA1190" s="87"/>
      <c r="BB1190" s="87"/>
      <c r="BC1190" s="87"/>
      <c r="BD1190" s="87"/>
      <c r="BE1190" s="87"/>
      <c r="BF1190" s="87"/>
      <c r="BG1190" s="87"/>
      <c r="BH1190" s="87"/>
    </row>
    <row r="1191" spans="1:60" ht="16">
      <c r="A1191" s="82"/>
      <c r="B1191" s="82"/>
      <c r="C1191" s="82"/>
      <c r="D1191" s="83"/>
      <c r="E1191" s="84"/>
      <c r="F1191" s="84"/>
      <c r="G1191" s="84"/>
      <c r="H1191" s="82"/>
      <c r="I1191" s="84"/>
      <c r="J1191" s="84"/>
      <c r="K1191" s="84"/>
      <c r="L1191" s="84"/>
      <c r="M1191" s="84"/>
      <c r="N1191" s="84"/>
      <c r="O1191" s="84"/>
      <c r="P1191" s="84"/>
      <c r="Q1191" s="84"/>
      <c r="R1191" s="84"/>
      <c r="S1191" s="84"/>
      <c r="T1191" s="84"/>
      <c r="U1191" s="84"/>
      <c r="V1191" s="84"/>
      <c r="W1191" s="84"/>
      <c r="X1191" s="84"/>
      <c r="Y1191" s="84"/>
      <c r="Z1191" s="87"/>
      <c r="AA1191" s="87"/>
      <c r="AB1191" s="87"/>
      <c r="AC1191" s="87"/>
      <c r="AD1191" s="87"/>
      <c r="AE1191" s="87"/>
      <c r="AF1191" s="87"/>
      <c r="AG1191" s="87"/>
      <c r="AH1191" s="87"/>
      <c r="AI1191" s="87"/>
      <c r="AJ1191" s="87"/>
      <c r="AK1191" s="87"/>
      <c r="AL1191" s="87"/>
      <c r="AM1191" s="87"/>
      <c r="AN1191" s="87"/>
      <c r="AO1191" s="87"/>
      <c r="AP1191" s="87"/>
      <c r="AQ1191" s="87"/>
      <c r="AR1191" s="87"/>
      <c r="AS1191" s="87"/>
      <c r="AT1191" s="87"/>
      <c r="AU1191" s="87"/>
      <c r="AV1191" s="87"/>
      <c r="AW1191" s="87"/>
      <c r="AX1191" s="87"/>
      <c r="AY1191" s="87"/>
      <c r="AZ1191" s="87"/>
      <c r="BA1191" s="87"/>
      <c r="BB1191" s="87"/>
      <c r="BC1191" s="87"/>
      <c r="BD1191" s="87"/>
      <c r="BE1191" s="87"/>
      <c r="BF1191" s="87"/>
      <c r="BG1191" s="87"/>
      <c r="BH1191" s="87"/>
    </row>
    <row r="1192" spans="1:60" ht="16">
      <c r="A1192" s="82"/>
      <c r="B1192" s="82"/>
      <c r="C1192" s="82"/>
      <c r="D1192" s="83"/>
      <c r="E1192" s="84"/>
      <c r="F1192" s="84"/>
      <c r="G1192" s="84"/>
      <c r="H1192" s="82"/>
      <c r="I1192" s="84"/>
      <c r="J1192" s="84"/>
      <c r="K1192" s="84"/>
      <c r="L1192" s="84"/>
      <c r="M1192" s="84"/>
      <c r="N1192" s="84"/>
      <c r="O1192" s="84"/>
      <c r="P1192" s="84"/>
      <c r="Q1192" s="84"/>
      <c r="R1192" s="84"/>
      <c r="S1192" s="84"/>
      <c r="T1192" s="84"/>
      <c r="U1192" s="84"/>
      <c r="V1192" s="84"/>
      <c r="W1192" s="84"/>
      <c r="X1192" s="84"/>
      <c r="Y1192" s="84"/>
      <c r="Z1192" s="87"/>
      <c r="AA1192" s="87"/>
      <c r="AB1192" s="87"/>
      <c r="AC1192" s="87"/>
      <c r="AD1192" s="87"/>
      <c r="AE1192" s="87"/>
      <c r="AF1192" s="87"/>
      <c r="AG1192" s="87"/>
      <c r="AH1192" s="87"/>
      <c r="AI1192" s="87"/>
      <c r="AJ1192" s="87"/>
      <c r="AK1192" s="87"/>
      <c r="AL1192" s="87"/>
      <c r="AM1192" s="87"/>
      <c r="AN1192" s="87"/>
      <c r="AO1192" s="87"/>
      <c r="AP1192" s="87"/>
      <c r="AQ1192" s="87"/>
      <c r="AR1192" s="87"/>
      <c r="AS1192" s="87"/>
      <c r="AT1192" s="87"/>
      <c r="AU1192" s="87"/>
      <c r="AV1192" s="87"/>
      <c r="AW1192" s="87"/>
      <c r="AX1192" s="87"/>
      <c r="AY1192" s="87"/>
      <c r="AZ1192" s="87"/>
      <c r="BA1192" s="87"/>
      <c r="BB1192" s="87"/>
      <c r="BC1192" s="87"/>
      <c r="BD1192" s="87"/>
      <c r="BE1192" s="87"/>
      <c r="BF1192" s="87"/>
      <c r="BG1192" s="87"/>
      <c r="BH1192" s="87"/>
    </row>
    <row r="1193" spans="1:60" ht="16">
      <c r="A1193" s="82"/>
      <c r="B1193" s="82"/>
      <c r="C1193" s="82"/>
      <c r="D1193" s="83"/>
      <c r="E1193" s="84"/>
      <c r="F1193" s="84"/>
      <c r="G1193" s="84"/>
      <c r="H1193" s="82"/>
      <c r="I1193" s="84"/>
      <c r="J1193" s="84"/>
      <c r="K1193" s="84"/>
      <c r="L1193" s="84"/>
      <c r="M1193" s="84"/>
      <c r="N1193" s="84"/>
      <c r="O1193" s="84"/>
      <c r="P1193" s="84"/>
      <c r="Q1193" s="84"/>
      <c r="R1193" s="84"/>
      <c r="S1193" s="84"/>
      <c r="T1193" s="84"/>
      <c r="U1193" s="84"/>
      <c r="V1193" s="84"/>
      <c r="W1193" s="84"/>
      <c r="X1193" s="84"/>
      <c r="Y1193" s="84"/>
      <c r="Z1193" s="87"/>
      <c r="AA1193" s="87"/>
      <c r="AB1193" s="87"/>
      <c r="AC1193" s="87"/>
      <c r="AD1193" s="87"/>
      <c r="AE1193" s="87"/>
      <c r="AF1193" s="87"/>
      <c r="AG1193" s="87"/>
      <c r="AH1193" s="87"/>
      <c r="AI1193" s="87"/>
      <c r="AJ1193" s="87"/>
      <c r="AK1193" s="87"/>
      <c r="AL1193" s="87"/>
      <c r="AM1193" s="87"/>
      <c r="AN1193" s="87"/>
      <c r="AO1193" s="87"/>
      <c r="AP1193" s="87"/>
      <c r="AQ1193" s="87"/>
      <c r="AR1193" s="87"/>
      <c r="AS1193" s="87"/>
      <c r="AT1193" s="87"/>
      <c r="AU1193" s="87"/>
      <c r="AV1193" s="87"/>
      <c r="AW1193" s="87"/>
      <c r="AX1193" s="87"/>
      <c r="AY1193" s="87"/>
      <c r="AZ1193" s="87"/>
      <c r="BA1193" s="87"/>
      <c r="BB1193" s="87"/>
      <c r="BC1193" s="87"/>
      <c r="BD1193" s="87"/>
      <c r="BE1193" s="87"/>
      <c r="BF1193" s="87"/>
      <c r="BG1193" s="87"/>
      <c r="BH1193" s="87"/>
    </row>
    <row r="1194" spans="1:60" ht="16">
      <c r="A1194" s="82"/>
      <c r="B1194" s="82"/>
      <c r="C1194" s="82"/>
      <c r="D1194" s="83"/>
      <c r="E1194" s="84"/>
      <c r="F1194" s="84"/>
      <c r="G1194" s="84"/>
      <c r="H1194" s="82"/>
      <c r="I1194" s="84"/>
      <c r="J1194" s="84"/>
      <c r="K1194" s="84"/>
      <c r="L1194" s="84"/>
      <c r="M1194" s="84"/>
      <c r="N1194" s="84"/>
      <c r="O1194" s="84"/>
      <c r="P1194" s="84"/>
      <c r="Q1194" s="84"/>
      <c r="R1194" s="84"/>
      <c r="S1194" s="84"/>
      <c r="T1194" s="84"/>
      <c r="U1194" s="84"/>
      <c r="V1194" s="84"/>
      <c r="W1194" s="84"/>
      <c r="X1194" s="84"/>
      <c r="Y1194" s="84"/>
      <c r="Z1194" s="87"/>
      <c r="AA1194" s="87"/>
      <c r="AB1194" s="87"/>
      <c r="AC1194" s="87"/>
      <c r="AD1194" s="87"/>
      <c r="AE1194" s="87"/>
      <c r="AF1194" s="87"/>
      <c r="AG1194" s="87"/>
      <c r="AH1194" s="87"/>
      <c r="AI1194" s="87"/>
      <c r="AJ1194" s="87"/>
      <c r="AK1194" s="87"/>
      <c r="AL1194" s="87"/>
      <c r="AM1194" s="87"/>
      <c r="AN1194" s="87"/>
      <c r="AO1194" s="87"/>
      <c r="AP1194" s="87"/>
      <c r="AQ1194" s="87"/>
      <c r="AR1194" s="87"/>
      <c r="AS1194" s="87"/>
      <c r="AT1194" s="87"/>
      <c r="AU1194" s="87"/>
      <c r="AV1194" s="87"/>
      <c r="AW1194" s="87"/>
      <c r="AX1194" s="87"/>
      <c r="AY1194" s="87"/>
      <c r="AZ1194" s="87"/>
      <c r="BA1194" s="87"/>
      <c r="BB1194" s="87"/>
      <c r="BC1194" s="87"/>
      <c r="BD1194" s="87"/>
      <c r="BE1194" s="87"/>
      <c r="BF1194" s="87"/>
      <c r="BG1194" s="87"/>
      <c r="BH1194" s="87"/>
    </row>
    <row r="1195" spans="1:60" ht="16">
      <c r="A1195" s="82"/>
      <c r="B1195" s="82"/>
      <c r="C1195" s="82"/>
      <c r="D1195" s="83"/>
      <c r="E1195" s="84"/>
      <c r="F1195" s="84"/>
      <c r="G1195" s="84"/>
      <c r="H1195" s="82"/>
      <c r="I1195" s="84"/>
      <c r="J1195" s="84"/>
      <c r="K1195" s="84"/>
      <c r="L1195" s="84"/>
      <c r="M1195" s="84"/>
      <c r="N1195" s="84"/>
      <c r="O1195" s="84"/>
      <c r="P1195" s="84"/>
      <c r="Q1195" s="84"/>
      <c r="R1195" s="84"/>
      <c r="S1195" s="84"/>
      <c r="T1195" s="84"/>
      <c r="U1195" s="84"/>
      <c r="V1195" s="84"/>
      <c r="W1195" s="84"/>
      <c r="X1195" s="84"/>
      <c r="Y1195" s="84"/>
      <c r="Z1195" s="87"/>
      <c r="AA1195" s="87"/>
      <c r="AB1195" s="87"/>
      <c r="AC1195" s="87"/>
      <c r="AD1195" s="87"/>
      <c r="AE1195" s="87"/>
      <c r="AF1195" s="87"/>
      <c r="AG1195" s="87"/>
      <c r="AH1195" s="87"/>
      <c r="AI1195" s="87"/>
      <c r="AJ1195" s="87"/>
      <c r="AK1195" s="87"/>
      <c r="AL1195" s="87"/>
      <c r="AM1195" s="87"/>
      <c r="AN1195" s="87"/>
      <c r="AO1195" s="87"/>
      <c r="AP1195" s="87"/>
      <c r="AQ1195" s="87"/>
      <c r="AR1195" s="87"/>
      <c r="AS1195" s="87"/>
      <c r="AT1195" s="87"/>
      <c r="AU1195" s="87"/>
      <c r="AV1195" s="87"/>
      <c r="AW1195" s="87"/>
      <c r="AX1195" s="87"/>
      <c r="AY1195" s="87"/>
      <c r="AZ1195" s="87"/>
      <c r="BA1195" s="87"/>
      <c r="BB1195" s="87"/>
      <c r="BC1195" s="87"/>
      <c r="BD1195" s="87"/>
      <c r="BE1195" s="87"/>
      <c r="BF1195" s="87"/>
      <c r="BG1195" s="87"/>
      <c r="BH1195" s="87"/>
    </row>
    <row r="1196" spans="1:60" ht="16">
      <c r="A1196" s="82"/>
      <c r="B1196" s="82"/>
      <c r="C1196" s="82"/>
      <c r="D1196" s="83"/>
      <c r="E1196" s="84"/>
      <c r="F1196" s="84"/>
      <c r="G1196" s="84"/>
      <c r="H1196" s="82"/>
      <c r="I1196" s="84"/>
      <c r="J1196" s="84"/>
      <c r="K1196" s="84"/>
      <c r="L1196" s="84"/>
      <c r="M1196" s="84"/>
      <c r="N1196" s="84"/>
      <c r="O1196" s="84"/>
      <c r="P1196" s="84"/>
      <c r="Q1196" s="84"/>
      <c r="R1196" s="84"/>
      <c r="S1196" s="84"/>
      <c r="T1196" s="84"/>
      <c r="U1196" s="84"/>
      <c r="V1196" s="84"/>
      <c r="W1196" s="84"/>
      <c r="X1196" s="84"/>
      <c r="Y1196" s="84"/>
      <c r="Z1196" s="87"/>
      <c r="AA1196" s="87"/>
      <c r="AB1196" s="87"/>
      <c r="AC1196" s="87"/>
      <c r="AD1196" s="87"/>
      <c r="AE1196" s="87"/>
      <c r="AF1196" s="87"/>
      <c r="AG1196" s="87"/>
      <c r="AH1196" s="87"/>
      <c r="AI1196" s="87"/>
      <c r="AJ1196" s="87"/>
      <c r="AK1196" s="87"/>
      <c r="AL1196" s="87"/>
      <c r="AM1196" s="87"/>
      <c r="AN1196" s="87"/>
      <c r="AO1196" s="87"/>
      <c r="AP1196" s="87"/>
      <c r="AQ1196" s="87"/>
      <c r="AR1196" s="87"/>
      <c r="AS1196" s="87"/>
      <c r="AT1196" s="87"/>
      <c r="AU1196" s="87"/>
      <c r="AV1196" s="87"/>
      <c r="AW1196" s="87"/>
      <c r="AX1196" s="87"/>
      <c r="AY1196" s="87"/>
      <c r="AZ1196" s="87"/>
      <c r="BA1196" s="87"/>
      <c r="BB1196" s="87"/>
      <c r="BC1196" s="87"/>
      <c r="BD1196" s="87"/>
      <c r="BE1196" s="87"/>
      <c r="BF1196" s="87"/>
      <c r="BG1196" s="87"/>
      <c r="BH1196" s="87"/>
    </row>
    <row r="1197" spans="1:60" ht="16">
      <c r="A1197" s="82"/>
      <c r="B1197" s="82"/>
      <c r="C1197" s="82"/>
      <c r="D1197" s="83"/>
      <c r="E1197" s="84"/>
      <c r="F1197" s="84"/>
      <c r="G1197" s="84"/>
      <c r="H1197" s="82"/>
      <c r="I1197" s="84"/>
      <c r="J1197" s="84"/>
      <c r="K1197" s="84"/>
      <c r="L1197" s="84"/>
      <c r="M1197" s="84"/>
      <c r="N1197" s="84"/>
      <c r="O1197" s="84"/>
      <c r="P1197" s="84"/>
      <c r="Q1197" s="84"/>
      <c r="R1197" s="84"/>
      <c r="S1197" s="84"/>
      <c r="T1197" s="84"/>
      <c r="U1197" s="84"/>
      <c r="V1197" s="84"/>
      <c r="W1197" s="84"/>
      <c r="X1197" s="84"/>
      <c r="Y1197" s="84"/>
      <c r="Z1197" s="87"/>
      <c r="AA1197" s="87"/>
      <c r="AB1197" s="87"/>
      <c r="AC1197" s="87"/>
      <c r="AD1197" s="87"/>
      <c r="AE1197" s="87"/>
      <c r="AF1197" s="87"/>
      <c r="AG1197" s="87"/>
      <c r="AH1197" s="87"/>
      <c r="AI1197" s="87"/>
      <c r="AJ1197" s="87"/>
      <c r="AK1197" s="87"/>
      <c r="AL1197" s="87"/>
      <c r="AM1197" s="87"/>
      <c r="AN1197" s="87"/>
      <c r="AO1197" s="87"/>
      <c r="AP1197" s="87"/>
      <c r="AQ1197" s="87"/>
      <c r="AR1197" s="87"/>
      <c r="AS1197" s="87"/>
      <c r="AT1197" s="87"/>
      <c r="AU1197" s="87"/>
      <c r="AV1197" s="87"/>
      <c r="AW1197" s="87"/>
      <c r="AX1197" s="87"/>
      <c r="AY1197" s="87"/>
      <c r="AZ1197" s="87"/>
      <c r="BA1197" s="87"/>
      <c r="BB1197" s="87"/>
      <c r="BC1197" s="87"/>
      <c r="BD1197" s="87"/>
      <c r="BE1197" s="87"/>
      <c r="BF1197" s="87"/>
      <c r="BG1197" s="87"/>
      <c r="BH1197" s="87"/>
    </row>
    <row r="1198" spans="1:60" ht="16">
      <c r="A1198" s="82"/>
      <c r="B1198" s="82"/>
      <c r="C1198" s="82"/>
      <c r="D1198" s="83"/>
      <c r="E1198" s="84"/>
      <c r="F1198" s="84"/>
      <c r="G1198" s="84"/>
      <c r="H1198" s="82"/>
      <c r="I1198" s="84"/>
      <c r="J1198" s="84"/>
      <c r="K1198" s="84"/>
      <c r="L1198" s="84"/>
      <c r="M1198" s="84"/>
      <c r="N1198" s="84"/>
      <c r="O1198" s="84"/>
      <c r="P1198" s="84"/>
      <c r="Q1198" s="84"/>
      <c r="R1198" s="84"/>
      <c r="S1198" s="84"/>
      <c r="T1198" s="84"/>
      <c r="U1198" s="84"/>
      <c r="V1198" s="84"/>
      <c r="W1198" s="84"/>
      <c r="X1198" s="84"/>
      <c r="Y1198" s="84"/>
      <c r="Z1198" s="87"/>
      <c r="AA1198" s="87"/>
      <c r="AB1198" s="87"/>
      <c r="AC1198" s="87"/>
      <c r="AD1198" s="87"/>
      <c r="AE1198" s="87"/>
      <c r="AF1198" s="87"/>
      <c r="AG1198" s="87"/>
      <c r="AH1198" s="87"/>
      <c r="AI1198" s="87"/>
      <c r="AJ1198" s="87"/>
      <c r="AK1198" s="87"/>
      <c r="AL1198" s="87"/>
      <c r="AM1198" s="87"/>
      <c r="AN1198" s="87"/>
      <c r="AO1198" s="87"/>
      <c r="AP1198" s="87"/>
      <c r="AQ1198" s="87"/>
      <c r="AR1198" s="87"/>
      <c r="AS1198" s="87"/>
      <c r="AT1198" s="87"/>
      <c r="AU1198" s="87"/>
      <c r="AV1198" s="87"/>
      <c r="AW1198" s="87"/>
      <c r="AX1198" s="87"/>
      <c r="AY1198" s="87"/>
      <c r="AZ1198" s="87"/>
      <c r="BA1198" s="87"/>
      <c r="BB1198" s="87"/>
      <c r="BC1198" s="87"/>
      <c r="BD1198" s="87"/>
      <c r="BE1198" s="87"/>
      <c r="BF1198" s="87"/>
      <c r="BG1198" s="87"/>
      <c r="BH1198" s="87"/>
    </row>
    <row r="1199" spans="1:60" ht="16">
      <c r="A1199" s="82"/>
      <c r="B1199" s="82"/>
      <c r="C1199" s="82"/>
      <c r="D1199" s="83"/>
      <c r="E1199" s="84"/>
      <c r="F1199" s="84"/>
      <c r="G1199" s="84"/>
      <c r="H1199" s="82"/>
      <c r="I1199" s="84"/>
      <c r="J1199" s="84"/>
      <c r="K1199" s="84"/>
      <c r="L1199" s="84"/>
      <c r="M1199" s="84"/>
      <c r="N1199" s="84"/>
      <c r="O1199" s="84"/>
      <c r="P1199" s="84"/>
      <c r="Q1199" s="84"/>
      <c r="R1199" s="84"/>
      <c r="S1199" s="84"/>
      <c r="T1199" s="84"/>
      <c r="U1199" s="84"/>
      <c r="V1199" s="84"/>
      <c r="W1199" s="84"/>
      <c r="X1199" s="84"/>
      <c r="Y1199" s="84"/>
      <c r="Z1199" s="87"/>
      <c r="AA1199" s="87"/>
      <c r="AB1199" s="87"/>
      <c r="AC1199" s="87"/>
      <c r="AD1199" s="87"/>
      <c r="AE1199" s="87"/>
      <c r="AF1199" s="87"/>
      <c r="AG1199" s="87"/>
      <c r="AH1199" s="87"/>
      <c r="AI1199" s="87"/>
      <c r="AJ1199" s="87"/>
      <c r="AK1199" s="87"/>
      <c r="AL1199" s="87"/>
      <c r="AM1199" s="87"/>
      <c r="AN1199" s="87"/>
      <c r="AO1199" s="87"/>
      <c r="AP1199" s="87"/>
      <c r="AQ1199" s="87"/>
      <c r="AR1199" s="87"/>
      <c r="AS1199" s="87"/>
      <c r="AT1199" s="87"/>
      <c r="AU1199" s="87"/>
      <c r="AV1199" s="87"/>
      <c r="AW1199" s="87"/>
      <c r="AX1199" s="87"/>
      <c r="AY1199" s="87"/>
      <c r="AZ1199" s="87"/>
      <c r="BA1199" s="87"/>
      <c r="BB1199" s="87"/>
      <c r="BC1199" s="87"/>
      <c r="BD1199" s="87"/>
      <c r="BE1199" s="87"/>
      <c r="BF1199" s="87"/>
      <c r="BG1199" s="87"/>
      <c r="BH1199" s="87"/>
    </row>
    <row r="1200" spans="1:60" ht="16">
      <c r="A1200" s="82"/>
      <c r="B1200" s="82"/>
      <c r="C1200" s="82"/>
      <c r="D1200" s="83"/>
      <c r="E1200" s="84"/>
      <c r="F1200" s="84"/>
      <c r="G1200" s="84"/>
      <c r="H1200" s="82"/>
      <c r="I1200" s="84"/>
      <c r="J1200" s="84"/>
      <c r="K1200" s="84"/>
      <c r="L1200" s="84"/>
      <c r="M1200" s="84"/>
      <c r="N1200" s="84"/>
      <c r="O1200" s="84"/>
      <c r="P1200" s="84"/>
      <c r="Q1200" s="84"/>
      <c r="R1200" s="84"/>
      <c r="S1200" s="84"/>
      <c r="T1200" s="84"/>
      <c r="U1200" s="84"/>
      <c r="V1200" s="84"/>
      <c r="W1200" s="84"/>
      <c r="X1200" s="84"/>
      <c r="Y1200" s="84"/>
      <c r="Z1200" s="87"/>
      <c r="AA1200" s="87"/>
      <c r="AB1200" s="87"/>
      <c r="AC1200" s="87"/>
      <c r="AD1200" s="87"/>
      <c r="AE1200" s="87"/>
      <c r="AF1200" s="87"/>
      <c r="AG1200" s="87"/>
      <c r="AH1200" s="87"/>
      <c r="AI1200" s="87"/>
      <c r="AJ1200" s="87"/>
      <c r="AK1200" s="87"/>
      <c r="AL1200" s="87"/>
      <c r="AM1200" s="87"/>
      <c r="AN1200" s="87"/>
      <c r="AO1200" s="87"/>
      <c r="AP1200" s="87"/>
      <c r="AQ1200" s="87"/>
      <c r="AR1200" s="87"/>
      <c r="AS1200" s="87"/>
      <c r="AT1200" s="87"/>
      <c r="AU1200" s="87"/>
      <c r="AV1200" s="87"/>
      <c r="AW1200" s="87"/>
      <c r="AX1200" s="87"/>
      <c r="AY1200" s="87"/>
      <c r="AZ1200" s="87"/>
      <c r="BA1200" s="87"/>
      <c r="BB1200" s="87"/>
      <c r="BC1200" s="87"/>
      <c r="BD1200" s="87"/>
      <c r="BE1200" s="87"/>
      <c r="BF1200" s="87"/>
      <c r="BG1200" s="87"/>
      <c r="BH1200" s="87"/>
    </row>
    <row r="1201" spans="1:60" ht="16">
      <c r="A1201" s="82"/>
      <c r="B1201" s="82"/>
      <c r="C1201" s="82"/>
      <c r="D1201" s="83"/>
      <c r="E1201" s="84"/>
      <c r="F1201" s="84"/>
      <c r="G1201" s="84"/>
      <c r="H1201" s="82"/>
      <c r="I1201" s="84"/>
      <c r="J1201" s="84"/>
      <c r="K1201" s="84"/>
      <c r="L1201" s="84"/>
      <c r="M1201" s="84"/>
      <c r="N1201" s="84"/>
      <c r="O1201" s="84"/>
      <c r="P1201" s="84"/>
      <c r="Q1201" s="84"/>
      <c r="R1201" s="84"/>
      <c r="S1201" s="84"/>
      <c r="T1201" s="84"/>
      <c r="U1201" s="84"/>
      <c r="V1201" s="84"/>
      <c r="W1201" s="84"/>
      <c r="X1201" s="84"/>
      <c r="Y1201" s="84"/>
      <c r="Z1201" s="87"/>
      <c r="AA1201" s="87"/>
      <c r="AB1201" s="87"/>
      <c r="AC1201" s="87"/>
      <c r="AD1201" s="87"/>
      <c r="AE1201" s="87"/>
      <c r="AF1201" s="87"/>
      <c r="AG1201" s="87"/>
      <c r="AH1201" s="87"/>
      <c r="AI1201" s="87"/>
      <c r="AJ1201" s="87"/>
      <c r="AK1201" s="87"/>
      <c r="AL1201" s="87"/>
      <c r="AM1201" s="87"/>
      <c r="AN1201" s="87"/>
      <c r="AO1201" s="87"/>
      <c r="AP1201" s="87"/>
      <c r="AQ1201" s="87"/>
      <c r="AR1201" s="87"/>
      <c r="AS1201" s="87"/>
      <c r="AT1201" s="87"/>
      <c r="AU1201" s="87"/>
      <c r="AV1201" s="87"/>
      <c r="AW1201" s="87"/>
      <c r="AX1201" s="87"/>
      <c r="AY1201" s="87"/>
      <c r="AZ1201" s="87"/>
      <c r="BA1201" s="87"/>
      <c r="BB1201" s="87"/>
      <c r="BC1201" s="87"/>
      <c r="BD1201" s="87"/>
      <c r="BE1201" s="87"/>
      <c r="BF1201" s="87"/>
      <c r="BG1201" s="87"/>
      <c r="BH1201" s="87"/>
    </row>
    <row r="1202" spans="1:60" ht="16">
      <c r="A1202" s="82"/>
      <c r="B1202" s="82"/>
      <c r="C1202" s="82"/>
      <c r="D1202" s="83"/>
      <c r="E1202" s="84"/>
      <c r="F1202" s="84"/>
      <c r="G1202" s="84"/>
      <c r="H1202" s="82"/>
      <c r="I1202" s="84"/>
      <c r="J1202" s="84"/>
      <c r="K1202" s="84"/>
      <c r="L1202" s="84"/>
      <c r="M1202" s="84"/>
      <c r="N1202" s="84"/>
      <c r="O1202" s="84"/>
      <c r="P1202" s="84"/>
      <c r="Q1202" s="84"/>
      <c r="R1202" s="84"/>
      <c r="S1202" s="84"/>
      <c r="T1202" s="84"/>
      <c r="U1202" s="84"/>
      <c r="V1202" s="84"/>
      <c r="W1202" s="84"/>
      <c r="X1202" s="84"/>
      <c r="Y1202" s="84"/>
      <c r="Z1202" s="87"/>
      <c r="AA1202" s="87"/>
      <c r="AB1202" s="87"/>
      <c r="AC1202" s="87"/>
      <c r="AD1202" s="87"/>
      <c r="AE1202" s="87"/>
      <c r="AF1202" s="87"/>
      <c r="AG1202" s="87"/>
      <c r="AH1202" s="87"/>
      <c r="AI1202" s="87"/>
      <c r="AJ1202" s="87"/>
      <c r="AK1202" s="87"/>
      <c r="AL1202" s="87"/>
      <c r="AM1202" s="87"/>
      <c r="AN1202" s="87"/>
      <c r="AO1202" s="87"/>
      <c r="AP1202" s="87"/>
      <c r="AQ1202" s="87"/>
      <c r="AR1202" s="87"/>
      <c r="AS1202" s="87"/>
      <c r="AT1202" s="87"/>
      <c r="AU1202" s="87"/>
      <c r="AV1202" s="87"/>
      <c r="AW1202" s="87"/>
      <c r="AX1202" s="87"/>
      <c r="AY1202" s="87"/>
      <c r="AZ1202" s="87"/>
      <c r="BA1202" s="87"/>
      <c r="BB1202" s="87"/>
      <c r="BC1202" s="87"/>
      <c r="BD1202" s="87"/>
      <c r="BE1202" s="87"/>
      <c r="BF1202" s="87"/>
      <c r="BG1202" s="87"/>
      <c r="BH1202" s="87"/>
    </row>
    <row r="1203" spans="1:60" ht="16">
      <c r="A1203" s="82"/>
      <c r="B1203" s="82"/>
      <c r="C1203" s="82"/>
      <c r="D1203" s="83"/>
      <c r="E1203" s="84"/>
      <c r="F1203" s="84"/>
      <c r="G1203" s="84"/>
      <c r="H1203" s="82"/>
      <c r="I1203" s="84"/>
      <c r="J1203" s="84"/>
      <c r="K1203" s="84"/>
      <c r="L1203" s="84"/>
      <c r="M1203" s="84"/>
      <c r="N1203" s="84"/>
      <c r="O1203" s="84"/>
      <c r="P1203" s="84"/>
      <c r="Q1203" s="84"/>
      <c r="R1203" s="84"/>
      <c r="S1203" s="84"/>
      <c r="T1203" s="84"/>
      <c r="U1203" s="84"/>
      <c r="V1203" s="84"/>
      <c r="W1203" s="84"/>
      <c r="X1203" s="84"/>
      <c r="Y1203" s="84"/>
      <c r="Z1203" s="87"/>
      <c r="AA1203" s="87"/>
      <c r="AB1203" s="87"/>
      <c r="AC1203" s="87"/>
      <c r="AD1203" s="87"/>
      <c r="AE1203" s="87"/>
      <c r="AF1203" s="87"/>
      <c r="AG1203" s="87"/>
      <c r="AH1203" s="87"/>
      <c r="AI1203" s="87"/>
      <c r="AJ1203" s="87"/>
      <c r="AK1203" s="87"/>
      <c r="AL1203" s="87"/>
      <c r="AM1203" s="87"/>
      <c r="AN1203" s="87"/>
      <c r="AO1203" s="87"/>
      <c r="AP1203" s="87"/>
      <c r="AQ1203" s="87"/>
      <c r="AR1203" s="87"/>
      <c r="AS1203" s="87"/>
      <c r="AT1203" s="87"/>
      <c r="AU1203" s="87"/>
      <c r="AV1203" s="87"/>
      <c r="AW1203" s="87"/>
      <c r="AX1203" s="87"/>
      <c r="AY1203" s="87"/>
      <c r="AZ1203" s="87"/>
      <c r="BA1203" s="87"/>
      <c r="BB1203" s="87"/>
      <c r="BC1203" s="87"/>
      <c r="BD1203" s="87"/>
      <c r="BE1203" s="87"/>
      <c r="BF1203" s="87"/>
      <c r="BG1203" s="87"/>
      <c r="BH1203" s="87"/>
    </row>
    <row r="1204" spans="1:60" ht="16">
      <c r="A1204" s="82"/>
      <c r="B1204" s="82"/>
      <c r="C1204" s="82"/>
      <c r="D1204" s="83"/>
      <c r="E1204" s="84"/>
      <c r="F1204" s="84"/>
      <c r="G1204" s="84"/>
      <c r="H1204" s="82"/>
      <c r="I1204" s="84"/>
      <c r="J1204" s="84"/>
      <c r="K1204" s="84"/>
      <c r="L1204" s="84"/>
      <c r="M1204" s="84"/>
      <c r="N1204" s="84"/>
      <c r="O1204" s="84"/>
      <c r="P1204" s="84"/>
      <c r="Q1204" s="84"/>
      <c r="R1204" s="84"/>
      <c r="S1204" s="84"/>
      <c r="T1204" s="84"/>
      <c r="U1204" s="84"/>
      <c r="V1204" s="84"/>
      <c r="W1204" s="84"/>
      <c r="X1204" s="84"/>
      <c r="Y1204" s="84"/>
      <c r="Z1204" s="87"/>
      <c r="AA1204" s="87"/>
      <c r="AB1204" s="87"/>
      <c r="AC1204" s="87"/>
      <c r="AD1204" s="87"/>
      <c r="AE1204" s="87"/>
      <c r="AF1204" s="87"/>
      <c r="AG1204" s="87"/>
      <c r="AH1204" s="87"/>
      <c r="AI1204" s="87"/>
      <c r="AJ1204" s="87"/>
      <c r="AK1204" s="87"/>
      <c r="AL1204" s="87"/>
      <c r="AM1204" s="87"/>
      <c r="AN1204" s="87"/>
      <c r="AO1204" s="87"/>
      <c r="AP1204" s="87"/>
      <c r="AQ1204" s="87"/>
      <c r="AR1204" s="87"/>
      <c r="AS1204" s="87"/>
      <c r="AT1204" s="87"/>
      <c r="AU1204" s="87"/>
      <c r="AV1204" s="87"/>
      <c r="AW1204" s="87"/>
      <c r="AX1204" s="87"/>
      <c r="AY1204" s="87"/>
      <c r="AZ1204" s="87"/>
      <c r="BA1204" s="87"/>
      <c r="BB1204" s="87"/>
      <c r="BC1204" s="87"/>
      <c r="BD1204" s="87"/>
      <c r="BE1204" s="87"/>
      <c r="BF1204" s="87"/>
      <c r="BG1204" s="87"/>
      <c r="BH1204" s="87"/>
    </row>
    <row r="1205" spans="1:60" ht="16">
      <c r="A1205" s="82"/>
      <c r="B1205" s="82"/>
      <c r="C1205" s="82"/>
      <c r="D1205" s="83"/>
      <c r="E1205" s="84"/>
      <c r="F1205" s="84"/>
      <c r="G1205" s="84"/>
      <c r="H1205" s="82"/>
      <c r="I1205" s="84"/>
      <c r="J1205" s="84"/>
      <c r="K1205" s="84"/>
      <c r="L1205" s="84"/>
      <c r="M1205" s="84"/>
      <c r="N1205" s="84"/>
      <c r="O1205" s="84"/>
      <c r="P1205" s="84"/>
      <c r="Q1205" s="84"/>
      <c r="R1205" s="84"/>
      <c r="S1205" s="84"/>
      <c r="T1205" s="84"/>
      <c r="U1205" s="84"/>
      <c r="V1205" s="84"/>
      <c r="W1205" s="84"/>
      <c r="X1205" s="84"/>
      <c r="Y1205" s="84"/>
      <c r="Z1205" s="87"/>
      <c r="AA1205" s="87"/>
      <c r="AB1205" s="87"/>
      <c r="AC1205" s="87"/>
      <c r="AD1205" s="87"/>
      <c r="AE1205" s="87"/>
      <c r="AF1205" s="87"/>
      <c r="AG1205" s="87"/>
      <c r="AH1205" s="87"/>
      <c r="AI1205" s="87"/>
      <c r="AJ1205" s="87"/>
      <c r="AK1205" s="87"/>
      <c r="AL1205" s="87"/>
      <c r="AM1205" s="87"/>
      <c r="AN1205" s="87"/>
      <c r="AO1205" s="87"/>
      <c r="AP1205" s="87"/>
      <c r="AQ1205" s="87"/>
      <c r="AR1205" s="87"/>
      <c r="AS1205" s="87"/>
      <c r="AT1205" s="87"/>
      <c r="AU1205" s="87"/>
      <c r="AV1205" s="87"/>
      <c r="AW1205" s="87"/>
      <c r="AX1205" s="87"/>
      <c r="AY1205" s="87"/>
      <c r="AZ1205" s="87"/>
      <c r="BA1205" s="87"/>
      <c r="BB1205" s="87"/>
      <c r="BC1205" s="87"/>
      <c r="BD1205" s="87"/>
      <c r="BE1205" s="87"/>
      <c r="BF1205" s="87"/>
      <c r="BG1205" s="87"/>
      <c r="BH1205" s="87"/>
    </row>
    <row r="1206" spans="1:60" ht="16">
      <c r="A1206" s="82"/>
      <c r="B1206" s="82"/>
      <c r="C1206" s="82"/>
      <c r="D1206" s="83"/>
      <c r="E1206" s="84"/>
      <c r="F1206" s="84"/>
      <c r="G1206" s="84"/>
      <c r="H1206" s="82"/>
      <c r="I1206" s="84"/>
      <c r="J1206" s="84"/>
      <c r="K1206" s="84"/>
      <c r="L1206" s="84"/>
      <c r="M1206" s="84"/>
      <c r="N1206" s="84"/>
      <c r="O1206" s="84"/>
      <c r="P1206" s="84"/>
      <c r="Q1206" s="84"/>
      <c r="R1206" s="84"/>
      <c r="S1206" s="84"/>
      <c r="T1206" s="84"/>
      <c r="U1206" s="84"/>
      <c r="V1206" s="84"/>
      <c r="W1206" s="84"/>
      <c r="X1206" s="84"/>
      <c r="Y1206" s="84"/>
      <c r="Z1206" s="87"/>
      <c r="AA1206" s="87"/>
      <c r="AB1206" s="87"/>
      <c r="AC1206" s="87"/>
      <c r="AD1206" s="87"/>
      <c r="AE1206" s="87"/>
      <c r="AF1206" s="87"/>
      <c r="AG1206" s="87"/>
      <c r="AH1206" s="87"/>
      <c r="AI1206" s="87"/>
      <c r="AJ1206" s="87"/>
      <c r="AK1206" s="87"/>
      <c r="AL1206" s="87"/>
      <c r="AM1206" s="87"/>
      <c r="AN1206" s="87"/>
      <c r="AO1206" s="87"/>
      <c r="AP1206" s="87"/>
      <c r="AQ1206" s="87"/>
      <c r="AR1206" s="87"/>
      <c r="AS1206" s="87"/>
      <c r="AT1206" s="87"/>
      <c r="AU1206" s="87"/>
      <c r="AV1206" s="87"/>
      <c r="AW1206" s="87"/>
      <c r="AX1206" s="87"/>
      <c r="AY1206" s="87"/>
      <c r="AZ1206" s="87"/>
      <c r="BA1206" s="87"/>
      <c r="BB1206" s="87"/>
      <c r="BC1206" s="87"/>
      <c r="BD1206" s="87"/>
      <c r="BE1206" s="87"/>
      <c r="BF1206" s="87"/>
      <c r="BG1206" s="87"/>
      <c r="BH1206" s="87"/>
    </row>
    <row r="1207" spans="1:60" ht="16">
      <c r="A1207" s="82"/>
      <c r="B1207" s="82"/>
      <c r="C1207" s="82"/>
      <c r="D1207" s="83"/>
      <c r="E1207" s="84"/>
      <c r="F1207" s="84"/>
      <c r="G1207" s="84"/>
      <c r="H1207" s="82"/>
      <c r="I1207" s="84"/>
      <c r="J1207" s="84"/>
      <c r="K1207" s="84"/>
      <c r="L1207" s="84"/>
      <c r="M1207" s="84"/>
      <c r="N1207" s="84"/>
      <c r="O1207" s="84"/>
      <c r="P1207" s="84"/>
      <c r="Q1207" s="84"/>
      <c r="R1207" s="84"/>
      <c r="S1207" s="84"/>
      <c r="T1207" s="84"/>
      <c r="U1207" s="84"/>
      <c r="V1207" s="84"/>
      <c r="W1207" s="84"/>
      <c r="X1207" s="84"/>
      <c r="Y1207" s="84"/>
      <c r="Z1207" s="87"/>
      <c r="AA1207" s="87"/>
      <c r="AB1207" s="87"/>
      <c r="AC1207" s="87"/>
      <c r="AD1207" s="87"/>
      <c r="AE1207" s="87"/>
      <c r="AF1207" s="87"/>
      <c r="AG1207" s="87"/>
      <c r="AH1207" s="87"/>
      <c r="AI1207" s="87"/>
      <c r="AJ1207" s="87"/>
      <c r="AK1207" s="87"/>
      <c r="AL1207" s="87"/>
      <c r="AM1207" s="87"/>
      <c r="AN1207" s="87"/>
      <c r="AO1207" s="87"/>
      <c r="AP1207" s="87"/>
      <c r="AQ1207" s="87"/>
      <c r="AR1207" s="87"/>
      <c r="AS1207" s="87"/>
      <c r="AT1207" s="87"/>
      <c r="AU1207" s="87"/>
      <c r="AV1207" s="87"/>
      <c r="AW1207" s="87"/>
      <c r="AX1207" s="87"/>
      <c r="AY1207" s="87"/>
      <c r="AZ1207" s="87"/>
      <c r="BA1207" s="87"/>
      <c r="BB1207" s="87"/>
      <c r="BC1207" s="87"/>
      <c r="BD1207" s="87"/>
      <c r="BE1207" s="87"/>
      <c r="BF1207" s="87"/>
      <c r="BG1207" s="87"/>
      <c r="BH1207" s="87"/>
    </row>
    <row r="1208" spans="1:60" ht="16">
      <c r="A1208" s="82"/>
      <c r="B1208" s="82"/>
      <c r="C1208" s="82"/>
      <c r="D1208" s="83"/>
      <c r="E1208" s="84"/>
      <c r="F1208" s="84"/>
      <c r="G1208" s="84"/>
      <c r="H1208" s="82"/>
      <c r="I1208" s="84"/>
      <c r="J1208" s="84"/>
      <c r="K1208" s="84"/>
      <c r="L1208" s="84"/>
      <c r="M1208" s="84"/>
      <c r="N1208" s="84"/>
      <c r="O1208" s="84"/>
      <c r="P1208" s="84"/>
      <c r="Q1208" s="84"/>
      <c r="R1208" s="84"/>
      <c r="S1208" s="84"/>
      <c r="T1208" s="84"/>
      <c r="U1208" s="84"/>
      <c r="V1208" s="84"/>
      <c r="W1208" s="84"/>
      <c r="X1208" s="84"/>
      <c r="Y1208" s="84"/>
      <c r="Z1208" s="87"/>
      <c r="AA1208" s="87"/>
      <c r="AB1208" s="87"/>
      <c r="AC1208" s="87"/>
      <c r="AD1208" s="87"/>
      <c r="AE1208" s="87"/>
      <c r="AF1208" s="87"/>
      <c r="AG1208" s="87"/>
      <c r="AH1208" s="87"/>
      <c r="AI1208" s="87"/>
      <c r="AJ1208" s="87"/>
      <c r="AK1208" s="87"/>
      <c r="AL1208" s="87"/>
      <c r="AM1208" s="87"/>
      <c r="AN1208" s="87"/>
      <c r="AO1208" s="87"/>
      <c r="AP1208" s="87"/>
      <c r="AQ1208" s="87"/>
      <c r="AR1208" s="87"/>
      <c r="AS1208" s="87"/>
      <c r="AT1208" s="87"/>
      <c r="AU1208" s="87"/>
      <c r="AV1208" s="87"/>
      <c r="AW1208" s="87"/>
      <c r="AX1208" s="87"/>
      <c r="AY1208" s="87"/>
      <c r="AZ1208" s="87"/>
      <c r="BA1208" s="87"/>
      <c r="BB1208" s="87"/>
      <c r="BC1208" s="87"/>
      <c r="BD1208" s="87"/>
      <c r="BE1208" s="87"/>
      <c r="BF1208" s="87"/>
      <c r="BG1208" s="87"/>
      <c r="BH1208" s="87"/>
    </row>
    <row r="1209" spans="1:60" ht="16">
      <c r="A1209" s="82"/>
      <c r="B1209" s="82"/>
      <c r="C1209" s="82"/>
      <c r="D1209" s="83"/>
      <c r="E1209" s="84"/>
      <c r="F1209" s="84"/>
      <c r="G1209" s="84"/>
      <c r="H1209" s="82"/>
      <c r="I1209" s="84"/>
      <c r="J1209" s="84"/>
      <c r="K1209" s="84"/>
      <c r="L1209" s="84"/>
      <c r="M1209" s="84"/>
      <c r="N1209" s="84"/>
      <c r="O1209" s="84"/>
      <c r="P1209" s="84"/>
      <c r="Q1209" s="84"/>
      <c r="R1209" s="84"/>
      <c r="S1209" s="84"/>
      <c r="T1209" s="84"/>
      <c r="U1209" s="84"/>
      <c r="V1209" s="84"/>
      <c r="W1209" s="84"/>
      <c r="X1209" s="84"/>
      <c r="Y1209" s="84"/>
      <c r="Z1209" s="87"/>
      <c r="AA1209" s="87"/>
      <c r="AB1209" s="87"/>
      <c r="AC1209" s="87"/>
      <c r="AD1209" s="87"/>
      <c r="AE1209" s="87"/>
      <c r="AF1209" s="87"/>
      <c r="AG1209" s="87"/>
      <c r="AH1209" s="87"/>
      <c r="AI1209" s="87"/>
      <c r="AJ1209" s="87"/>
      <c r="AK1209" s="87"/>
      <c r="AL1209" s="87"/>
      <c r="AM1209" s="87"/>
      <c r="AN1209" s="87"/>
      <c r="AO1209" s="87"/>
      <c r="AP1209" s="87"/>
      <c r="AQ1209" s="87"/>
      <c r="AR1209" s="87"/>
      <c r="AS1209" s="87"/>
      <c r="AT1209" s="87"/>
      <c r="AU1209" s="87"/>
      <c r="AV1209" s="87"/>
      <c r="AW1209" s="87"/>
      <c r="AX1209" s="87"/>
      <c r="AY1209" s="87"/>
      <c r="AZ1209" s="87"/>
      <c r="BA1209" s="87"/>
      <c r="BB1209" s="87"/>
      <c r="BC1209" s="87"/>
      <c r="BD1209" s="87"/>
      <c r="BE1209" s="87"/>
      <c r="BF1209" s="87"/>
      <c r="BG1209" s="87"/>
      <c r="BH1209" s="87"/>
    </row>
    <row r="1210" spans="1:60" ht="16">
      <c r="A1210" s="82"/>
      <c r="B1210" s="82"/>
      <c r="C1210" s="82"/>
      <c r="D1210" s="83"/>
      <c r="E1210" s="84"/>
      <c r="F1210" s="84"/>
      <c r="G1210" s="84"/>
      <c r="H1210" s="82"/>
      <c r="I1210" s="84"/>
      <c r="J1210" s="84"/>
      <c r="K1210" s="84"/>
      <c r="L1210" s="84"/>
      <c r="M1210" s="84"/>
      <c r="N1210" s="84"/>
      <c r="O1210" s="84"/>
      <c r="P1210" s="84"/>
      <c r="Q1210" s="84"/>
      <c r="R1210" s="84"/>
      <c r="S1210" s="84"/>
      <c r="T1210" s="84"/>
      <c r="U1210" s="84"/>
      <c r="V1210" s="84"/>
      <c r="W1210" s="84"/>
      <c r="X1210" s="84"/>
      <c r="Y1210" s="84"/>
      <c r="Z1210" s="87"/>
      <c r="AA1210" s="87"/>
      <c r="AB1210" s="87"/>
      <c r="AC1210" s="87"/>
      <c r="AD1210" s="87"/>
      <c r="AE1210" s="87"/>
      <c r="AF1210" s="87"/>
      <c r="AG1210" s="87"/>
      <c r="AH1210" s="87"/>
      <c r="AI1210" s="87"/>
      <c r="AJ1210" s="87"/>
      <c r="AK1210" s="87"/>
      <c r="AL1210" s="87"/>
      <c r="AM1210" s="87"/>
      <c r="AN1210" s="87"/>
      <c r="AO1210" s="87"/>
      <c r="AP1210" s="87"/>
      <c r="AQ1210" s="87"/>
      <c r="AR1210" s="87"/>
      <c r="AS1210" s="87"/>
      <c r="AT1210" s="87"/>
      <c r="AU1210" s="87"/>
      <c r="AV1210" s="87"/>
      <c r="AW1210" s="87"/>
      <c r="AX1210" s="87"/>
      <c r="AY1210" s="87"/>
      <c r="AZ1210" s="87"/>
      <c r="BA1210" s="87"/>
      <c r="BB1210" s="87"/>
      <c r="BC1210" s="87"/>
      <c r="BD1210" s="87"/>
      <c r="BE1210" s="87"/>
      <c r="BF1210" s="87"/>
      <c r="BG1210" s="87"/>
      <c r="BH1210" s="87"/>
    </row>
    <row r="1211" spans="1:60" ht="16">
      <c r="A1211" s="82"/>
      <c r="B1211" s="82"/>
      <c r="C1211" s="82"/>
      <c r="D1211" s="83"/>
      <c r="E1211" s="84"/>
      <c r="F1211" s="84"/>
      <c r="G1211" s="84"/>
      <c r="H1211" s="82"/>
      <c r="I1211" s="84"/>
      <c r="J1211" s="84"/>
      <c r="K1211" s="84"/>
      <c r="L1211" s="84"/>
      <c r="M1211" s="84"/>
      <c r="N1211" s="84"/>
      <c r="O1211" s="84"/>
      <c r="P1211" s="84"/>
      <c r="Q1211" s="84"/>
      <c r="R1211" s="84"/>
      <c r="S1211" s="84"/>
      <c r="T1211" s="84"/>
      <c r="U1211" s="84"/>
      <c r="V1211" s="84"/>
      <c r="W1211" s="84"/>
      <c r="X1211" s="84"/>
      <c r="Y1211" s="84"/>
      <c r="Z1211" s="87"/>
      <c r="AA1211" s="87"/>
      <c r="AB1211" s="87"/>
      <c r="AC1211" s="87"/>
      <c r="AD1211" s="87"/>
      <c r="AE1211" s="87"/>
      <c r="AF1211" s="87"/>
      <c r="AG1211" s="87"/>
      <c r="AH1211" s="87"/>
      <c r="AI1211" s="87"/>
      <c r="AJ1211" s="87"/>
      <c r="AK1211" s="87"/>
      <c r="AL1211" s="87"/>
      <c r="AM1211" s="87"/>
      <c r="AN1211" s="87"/>
      <c r="AO1211" s="87"/>
      <c r="AP1211" s="87"/>
      <c r="AQ1211" s="87"/>
      <c r="AR1211" s="87"/>
      <c r="AS1211" s="87"/>
      <c r="AT1211" s="87"/>
      <c r="AU1211" s="87"/>
      <c r="AV1211" s="87"/>
      <c r="AW1211" s="87"/>
      <c r="AX1211" s="87"/>
      <c r="AY1211" s="87"/>
      <c r="AZ1211" s="87"/>
      <c r="BA1211" s="87"/>
      <c r="BB1211" s="87"/>
      <c r="BC1211" s="87"/>
      <c r="BD1211" s="87"/>
      <c r="BE1211" s="87"/>
      <c r="BF1211" s="87"/>
      <c r="BG1211" s="87"/>
      <c r="BH1211" s="87"/>
    </row>
    <row r="1212" spans="1:60" ht="16">
      <c r="A1212" s="82"/>
      <c r="B1212" s="82"/>
      <c r="C1212" s="82"/>
      <c r="D1212" s="83"/>
      <c r="E1212" s="84"/>
      <c r="F1212" s="84"/>
      <c r="G1212" s="84"/>
      <c r="H1212" s="82"/>
      <c r="I1212" s="84"/>
      <c r="J1212" s="84"/>
      <c r="K1212" s="84"/>
      <c r="L1212" s="84"/>
      <c r="M1212" s="84"/>
      <c r="N1212" s="84"/>
      <c r="O1212" s="84"/>
      <c r="P1212" s="84"/>
      <c r="Q1212" s="84"/>
      <c r="R1212" s="84"/>
      <c r="S1212" s="84"/>
      <c r="T1212" s="84"/>
      <c r="U1212" s="84"/>
      <c r="V1212" s="84"/>
      <c r="W1212" s="84"/>
      <c r="X1212" s="84"/>
      <c r="Y1212" s="84"/>
      <c r="Z1212" s="87"/>
      <c r="AA1212" s="87"/>
      <c r="AB1212" s="87"/>
      <c r="AC1212" s="87"/>
      <c r="AD1212" s="87"/>
      <c r="AE1212" s="87"/>
      <c r="AF1212" s="87"/>
      <c r="AG1212" s="87"/>
      <c r="AH1212" s="87"/>
      <c r="AI1212" s="87"/>
      <c r="AJ1212" s="87"/>
      <c r="AK1212" s="87"/>
      <c r="AL1212" s="87"/>
      <c r="AM1212" s="87"/>
      <c r="AN1212" s="87"/>
      <c r="AO1212" s="87"/>
      <c r="AP1212" s="87"/>
      <c r="AQ1212" s="87"/>
      <c r="AR1212" s="87"/>
      <c r="AS1212" s="87"/>
      <c r="AT1212" s="87"/>
      <c r="AU1212" s="87"/>
      <c r="AV1212" s="87"/>
      <c r="AW1212" s="87"/>
      <c r="AX1212" s="87"/>
      <c r="AY1212" s="87"/>
      <c r="AZ1212" s="87"/>
      <c r="BA1212" s="87"/>
      <c r="BB1212" s="87"/>
      <c r="BC1212" s="87"/>
      <c r="BD1212" s="87"/>
      <c r="BE1212" s="87"/>
      <c r="BF1212" s="87"/>
      <c r="BG1212" s="87"/>
      <c r="BH1212" s="87"/>
    </row>
    <row r="1213" spans="1:60" ht="16">
      <c r="A1213" s="82"/>
      <c r="B1213" s="82"/>
      <c r="C1213" s="82"/>
      <c r="D1213" s="83"/>
      <c r="E1213" s="84"/>
      <c r="F1213" s="84"/>
      <c r="G1213" s="84"/>
      <c r="H1213" s="82"/>
      <c r="I1213" s="84"/>
      <c r="J1213" s="84"/>
      <c r="K1213" s="84"/>
      <c r="L1213" s="84"/>
      <c r="M1213" s="84"/>
      <c r="N1213" s="84"/>
      <c r="O1213" s="84"/>
      <c r="P1213" s="84"/>
      <c r="Q1213" s="84"/>
      <c r="R1213" s="84"/>
      <c r="S1213" s="84"/>
      <c r="T1213" s="84"/>
      <c r="U1213" s="84"/>
      <c r="V1213" s="84"/>
      <c r="W1213" s="84"/>
      <c r="X1213" s="84"/>
      <c r="Y1213" s="84"/>
      <c r="Z1213" s="87"/>
      <c r="AA1213" s="87"/>
      <c r="AB1213" s="87"/>
      <c r="AC1213" s="87"/>
      <c r="AD1213" s="87"/>
      <c r="AE1213" s="87"/>
      <c r="AF1213" s="87"/>
      <c r="AG1213" s="87"/>
      <c r="AH1213" s="87"/>
      <c r="AI1213" s="87"/>
      <c r="AJ1213" s="87"/>
      <c r="AK1213" s="87"/>
      <c r="AL1213" s="87"/>
      <c r="AM1213" s="87"/>
      <c r="AN1213" s="87"/>
      <c r="AO1213" s="87"/>
      <c r="AP1213" s="87"/>
      <c r="AQ1213" s="87"/>
      <c r="AR1213" s="87"/>
      <c r="AS1213" s="87"/>
      <c r="AT1213" s="87"/>
      <c r="AU1213" s="87"/>
      <c r="AV1213" s="87"/>
      <c r="AW1213" s="87"/>
      <c r="AX1213" s="87"/>
      <c r="AY1213" s="87"/>
      <c r="AZ1213" s="87"/>
      <c r="BA1213" s="87"/>
      <c r="BB1213" s="87"/>
      <c r="BC1213" s="87"/>
      <c r="BD1213" s="87"/>
      <c r="BE1213" s="87"/>
      <c r="BF1213" s="87"/>
      <c r="BG1213" s="87"/>
      <c r="BH1213" s="87"/>
    </row>
    <row r="1214" spans="1:60" ht="16">
      <c r="A1214" s="82"/>
      <c r="B1214" s="82"/>
      <c r="C1214" s="82"/>
      <c r="D1214" s="83"/>
      <c r="E1214" s="84"/>
      <c r="F1214" s="84"/>
      <c r="G1214" s="84"/>
      <c r="H1214" s="82"/>
      <c r="I1214" s="84"/>
      <c r="J1214" s="84"/>
      <c r="K1214" s="84"/>
      <c r="L1214" s="84"/>
      <c r="M1214" s="84"/>
      <c r="N1214" s="84"/>
      <c r="O1214" s="84"/>
      <c r="P1214" s="84"/>
      <c r="Q1214" s="84"/>
      <c r="R1214" s="84"/>
      <c r="S1214" s="84"/>
      <c r="T1214" s="84"/>
      <c r="U1214" s="84"/>
      <c r="V1214" s="84"/>
      <c r="W1214" s="84"/>
      <c r="X1214" s="84"/>
      <c r="Y1214" s="84"/>
      <c r="Z1214" s="87"/>
      <c r="AA1214" s="87"/>
      <c r="AB1214" s="87"/>
      <c r="AC1214" s="87"/>
      <c r="AD1214" s="87"/>
      <c r="AE1214" s="87"/>
      <c r="AF1214" s="87"/>
      <c r="AG1214" s="87"/>
      <c r="AH1214" s="87"/>
      <c r="AI1214" s="87"/>
      <c r="AJ1214" s="87"/>
      <c r="AK1214" s="87"/>
      <c r="AL1214" s="87"/>
      <c r="AM1214" s="87"/>
      <c r="AN1214" s="87"/>
      <c r="AO1214" s="87"/>
      <c r="AP1214" s="87"/>
      <c r="AQ1214" s="87"/>
      <c r="AR1214" s="87"/>
      <c r="AS1214" s="87"/>
      <c r="AT1214" s="87"/>
      <c r="AU1214" s="87"/>
      <c r="AV1214" s="87"/>
      <c r="AW1214" s="87"/>
      <c r="AX1214" s="87"/>
      <c r="AY1214" s="87"/>
      <c r="AZ1214" s="87"/>
      <c r="BA1214" s="87"/>
      <c r="BB1214" s="87"/>
      <c r="BC1214" s="87"/>
      <c r="BD1214" s="87"/>
      <c r="BE1214" s="87"/>
      <c r="BF1214" s="87"/>
      <c r="BG1214" s="87"/>
      <c r="BH1214" s="87"/>
    </row>
    <row r="1215" spans="1:60" ht="16">
      <c r="A1215" s="82"/>
      <c r="B1215" s="82"/>
      <c r="C1215" s="82"/>
      <c r="D1215" s="83"/>
      <c r="E1215" s="84"/>
      <c r="F1215" s="84"/>
      <c r="G1215" s="84"/>
      <c r="H1215" s="82"/>
      <c r="I1215" s="84"/>
      <c r="J1215" s="84"/>
      <c r="K1215" s="84"/>
      <c r="L1215" s="84"/>
      <c r="M1215" s="84"/>
      <c r="N1215" s="84"/>
      <c r="O1215" s="84"/>
      <c r="P1215" s="84"/>
      <c r="Q1215" s="84"/>
      <c r="R1215" s="84"/>
      <c r="S1215" s="84"/>
      <c r="T1215" s="84"/>
      <c r="U1215" s="84"/>
      <c r="V1215" s="84"/>
      <c r="W1215" s="84"/>
      <c r="X1215" s="84"/>
      <c r="Y1215" s="84"/>
      <c r="Z1215" s="87"/>
      <c r="AA1215" s="87"/>
      <c r="AB1215" s="87"/>
      <c r="AC1215" s="87"/>
      <c r="AD1215" s="87"/>
      <c r="AE1215" s="87"/>
      <c r="AF1215" s="87"/>
      <c r="AG1215" s="87"/>
      <c r="AH1215" s="87"/>
      <c r="AI1215" s="87"/>
      <c r="AJ1215" s="87"/>
      <c r="AK1215" s="87"/>
      <c r="AL1215" s="87"/>
      <c r="AM1215" s="87"/>
      <c r="AN1215" s="87"/>
      <c r="AO1215" s="87"/>
      <c r="AP1215" s="87"/>
      <c r="AQ1215" s="87"/>
      <c r="AR1215" s="87"/>
      <c r="AS1215" s="87"/>
      <c r="AT1215" s="87"/>
      <c r="AU1215" s="87"/>
      <c r="AV1215" s="87"/>
      <c r="AW1215" s="87"/>
      <c r="AX1215" s="87"/>
      <c r="AY1215" s="87"/>
      <c r="AZ1215" s="87"/>
      <c r="BA1215" s="87"/>
      <c r="BB1215" s="87"/>
      <c r="BC1215" s="87"/>
      <c r="BD1215" s="87"/>
      <c r="BE1215" s="87"/>
      <c r="BF1215" s="87"/>
      <c r="BG1215" s="87"/>
      <c r="BH1215" s="87"/>
    </row>
    <row r="1216" spans="1:60" ht="16">
      <c r="A1216" s="82"/>
      <c r="B1216" s="82"/>
      <c r="C1216" s="82"/>
      <c r="D1216" s="83"/>
      <c r="E1216" s="84"/>
      <c r="F1216" s="84"/>
      <c r="G1216" s="84"/>
      <c r="H1216" s="82"/>
      <c r="I1216" s="84"/>
      <c r="J1216" s="84"/>
      <c r="K1216" s="84"/>
      <c r="L1216" s="84"/>
      <c r="M1216" s="84"/>
      <c r="N1216" s="84"/>
      <c r="O1216" s="84"/>
      <c r="P1216" s="84"/>
      <c r="Q1216" s="84"/>
      <c r="R1216" s="84"/>
      <c r="S1216" s="84"/>
      <c r="T1216" s="84"/>
      <c r="U1216" s="84"/>
      <c r="V1216" s="84"/>
      <c r="W1216" s="84"/>
      <c r="X1216" s="84"/>
      <c r="Y1216" s="84"/>
      <c r="Z1216" s="87"/>
      <c r="AA1216" s="87"/>
      <c r="AB1216" s="87"/>
      <c r="AC1216" s="87"/>
      <c r="AD1216" s="87"/>
      <c r="AE1216" s="87"/>
      <c r="AF1216" s="87"/>
      <c r="AG1216" s="87"/>
      <c r="AH1216" s="87"/>
      <c r="AI1216" s="87"/>
      <c r="AJ1216" s="87"/>
      <c r="AK1216" s="87"/>
      <c r="AL1216" s="87"/>
      <c r="AM1216" s="87"/>
      <c r="AN1216" s="87"/>
      <c r="AO1216" s="87"/>
      <c r="AP1216" s="87"/>
      <c r="AQ1216" s="87"/>
      <c r="AR1216" s="87"/>
      <c r="AS1216" s="87"/>
      <c r="AT1216" s="87"/>
      <c r="AU1216" s="87"/>
      <c r="AV1216" s="87"/>
      <c r="AW1216" s="87"/>
      <c r="AX1216" s="87"/>
      <c r="AY1216" s="87"/>
      <c r="AZ1216" s="87"/>
      <c r="BA1216" s="87"/>
      <c r="BB1216" s="87"/>
      <c r="BC1216" s="87"/>
      <c r="BD1216" s="87"/>
      <c r="BE1216" s="87"/>
      <c r="BF1216" s="87"/>
      <c r="BG1216" s="87"/>
      <c r="BH1216" s="87"/>
    </row>
    <row r="1217" spans="1:60" ht="16">
      <c r="A1217" s="82"/>
      <c r="B1217" s="82"/>
      <c r="C1217" s="82"/>
      <c r="D1217" s="83"/>
      <c r="E1217" s="84"/>
      <c r="F1217" s="84"/>
      <c r="G1217" s="84"/>
      <c r="H1217" s="82"/>
      <c r="I1217" s="84"/>
      <c r="J1217" s="84"/>
      <c r="K1217" s="84"/>
      <c r="L1217" s="84"/>
      <c r="M1217" s="84"/>
      <c r="N1217" s="84"/>
      <c r="O1217" s="84"/>
      <c r="P1217" s="84"/>
      <c r="Q1217" s="84"/>
      <c r="R1217" s="84"/>
      <c r="S1217" s="84"/>
      <c r="T1217" s="84"/>
      <c r="U1217" s="84"/>
      <c r="V1217" s="84"/>
      <c r="W1217" s="84"/>
      <c r="X1217" s="84"/>
      <c r="Y1217" s="84"/>
      <c r="Z1217" s="87"/>
      <c r="AA1217" s="87"/>
      <c r="AB1217" s="87"/>
      <c r="AC1217" s="87"/>
      <c r="AD1217" s="87"/>
      <c r="AE1217" s="87"/>
      <c r="AF1217" s="87"/>
      <c r="AG1217" s="87"/>
      <c r="AH1217" s="87"/>
      <c r="AI1217" s="87"/>
      <c r="AJ1217" s="87"/>
      <c r="AK1217" s="87"/>
      <c r="AL1217" s="87"/>
      <c r="AM1217" s="87"/>
      <c r="AN1217" s="87"/>
      <c r="AO1217" s="87"/>
      <c r="AP1217" s="87"/>
      <c r="AQ1217" s="87"/>
      <c r="AR1217" s="87"/>
      <c r="AS1217" s="87"/>
      <c r="AT1217" s="87"/>
      <c r="AU1217" s="87"/>
      <c r="AV1217" s="87"/>
      <c r="AW1217" s="87"/>
      <c r="AX1217" s="87"/>
      <c r="AY1217" s="87"/>
      <c r="AZ1217" s="87"/>
      <c r="BA1217" s="87"/>
      <c r="BB1217" s="87"/>
      <c r="BC1217" s="87"/>
      <c r="BD1217" s="87"/>
      <c r="BE1217" s="87"/>
      <c r="BF1217" s="87"/>
      <c r="BG1217" s="87"/>
      <c r="BH1217" s="87"/>
    </row>
    <row r="1218" spans="1:60" ht="16">
      <c r="A1218" s="82"/>
      <c r="B1218" s="82"/>
      <c r="C1218" s="82"/>
      <c r="D1218" s="83"/>
      <c r="E1218" s="84"/>
      <c r="F1218" s="84"/>
      <c r="G1218" s="84"/>
      <c r="H1218" s="82"/>
      <c r="I1218" s="84"/>
      <c r="J1218" s="84"/>
      <c r="K1218" s="84"/>
      <c r="L1218" s="84"/>
      <c r="M1218" s="84"/>
      <c r="N1218" s="84"/>
      <c r="O1218" s="84"/>
      <c r="P1218" s="84"/>
      <c r="Q1218" s="84"/>
      <c r="R1218" s="84"/>
      <c r="S1218" s="84"/>
      <c r="T1218" s="84"/>
      <c r="U1218" s="84"/>
      <c r="V1218" s="84"/>
      <c r="W1218" s="84"/>
      <c r="X1218" s="84"/>
      <c r="Y1218" s="84"/>
      <c r="Z1218" s="87"/>
      <c r="AA1218" s="87"/>
      <c r="AB1218" s="87"/>
      <c r="AC1218" s="87"/>
      <c r="AD1218" s="87"/>
      <c r="AE1218" s="87"/>
      <c r="AF1218" s="87"/>
      <c r="AG1218" s="87"/>
      <c r="AH1218" s="87"/>
      <c r="AI1218" s="87"/>
      <c r="AJ1218" s="87"/>
      <c r="AK1218" s="87"/>
      <c r="AL1218" s="87"/>
      <c r="AM1218" s="87"/>
      <c r="AN1218" s="87"/>
      <c r="AO1218" s="87"/>
      <c r="AP1218" s="87"/>
      <c r="AQ1218" s="87"/>
      <c r="AR1218" s="87"/>
      <c r="AS1218" s="87"/>
      <c r="AT1218" s="87"/>
      <c r="AU1218" s="87"/>
      <c r="AV1218" s="87"/>
      <c r="AW1218" s="87"/>
      <c r="AX1218" s="87"/>
      <c r="AY1218" s="87"/>
      <c r="AZ1218" s="87"/>
      <c r="BA1218" s="87"/>
      <c r="BB1218" s="87"/>
      <c r="BC1218" s="87"/>
      <c r="BD1218" s="87"/>
      <c r="BE1218" s="87"/>
      <c r="BF1218" s="87"/>
      <c r="BG1218" s="87"/>
      <c r="BH1218" s="87"/>
    </row>
    <row r="1219" spans="1:60" ht="16">
      <c r="A1219" s="82"/>
      <c r="B1219" s="82"/>
      <c r="C1219" s="82"/>
      <c r="D1219" s="83"/>
      <c r="E1219" s="84"/>
      <c r="F1219" s="84"/>
      <c r="G1219" s="84"/>
      <c r="H1219" s="82"/>
      <c r="I1219" s="84"/>
      <c r="J1219" s="84"/>
      <c r="K1219" s="84"/>
      <c r="L1219" s="84"/>
      <c r="M1219" s="84"/>
      <c r="N1219" s="84"/>
      <c r="O1219" s="84"/>
      <c r="P1219" s="84"/>
      <c r="Q1219" s="84"/>
      <c r="R1219" s="84"/>
      <c r="S1219" s="84"/>
      <c r="T1219" s="84"/>
      <c r="U1219" s="84"/>
      <c r="V1219" s="84"/>
      <c r="W1219" s="84"/>
      <c r="X1219" s="84"/>
      <c r="Y1219" s="84"/>
      <c r="Z1219" s="87"/>
      <c r="AA1219" s="87"/>
      <c r="AB1219" s="87"/>
      <c r="AC1219" s="87"/>
      <c r="AD1219" s="87"/>
      <c r="AE1219" s="87"/>
      <c r="AF1219" s="87"/>
      <c r="AG1219" s="87"/>
      <c r="AH1219" s="87"/>
      <c r="AI1219" s="87"/>
      <c r="AJ1219" s="87"/>
      <c r="AK1219" s="87"/>
      <c r="AL1219" s="87"/>
      <c r="AM1219" s="87"/>
      <c r="AN1219" s="87"/>
      <c r="AO1219" s="87"/>
      <c r="AP1219" s="87"/>
      <c r="AQ1219" s="87"/>
      <c r="AR1219" s="87"/>
      <c r="AS1219" s="87"/>
      <c r="AT1219" s="87"/>
      <c r="AU1219" s="87"/>
      <c r="AV1219" s="87"/>
      <c r="AW1219" s="87"/>
      <c r="AX1219" s="87"/>
      <c r="AY1219" s="87"/>
      <c r="AZ1219" s="87"/>
      <c r="BA1219" s="87"/>
      <c r="BB1219" s="87"/>
      <c r="BC1219" s="87"/>
      <c r="BD1219" s="87"/>
      <c r="BE1219" s="87"/>
      <c r="BF1219" s="87"/>
      <c r="BG1219" s="87"/>
      <c r="BH1219" s="87"/>
    </row>
    <row r="1220" spans="1:60" ht="16">
      <c r="A1220" s="82"/>
      <c r="B1220" s="82"/>
      <c r="C1220" s="82"/>
      <c r="D1220" s="83"/>
      <c r="E1220" s="84"/>
      <c r="F1220" s="84"/>
      <c r="G1220" s="84"/>
      <c r="H1220" s="82"/>
      <c r="I1220" s="84"/>
      <c r="J1220" s="84"/>
      <c r="K1220" s="84"/>
      <c r="L1220" s="84"/>
      <c r="M1220" s="84"/>
      <c r="N1220" s="84"/>
      <c r="O1220" s="84"/>
      <c r="P1220" s="84"/>
      <c r="Q1220" s="84"/>
      <c r="R1220" s="84"/>
      <c r="S1220" s="84"/>
      <c r="T1220" s="84"/>
      <c r="U1220" s="84"/>
      <c r="V1220" s="84"/>
      <c r="W1220" s="84"/>
      <c r="X1220" s="84"/>
      <c r="Y1220" s="84"/>
      <c r="Z1220" s="87"/>
      <c r="AA1220" s="87"/>
      <c r="AB1220" s="87"/>
      <c r="AC1220" s="87"/>
      <c r="AD1220" s="87"/>
      <c r="AE1220" s="87"/>
      <c r="AF1220" s="87"/>
      <c r="AG1220" s="87"/>
      <c r="AH1220" s="87"/>
      <c r="AI1220" s="87"/>
      <c r="AJ1220" s="87"/>
      <c r="AK1220" s="87"/>
      <c r="AL1220" s="87"/>
      <c r="AM1220" s="87"/>
      <c r="AN1220" s="87"/>
      <c r="AO1220" s="87"/>
      <c r="AP1220" s="87"/>
      <c r="AQ1220" s="87"/>
      <c r="AR1220" s="87"/>
      <c r="AS1220" s="87"/>
      <c r="AT1220" s="87"/>
      <c r="AU1220" s="87"/>
      <c r="AV1220" s="87"/>
      <c r="AW1220" s="87"/>
      <c r="AX1220" s="87"/>
      <c r="AY1220" s="87"/>
      <c r="AZ1220" s="87"/>
      <c r="BA1220" s="87"/>
      <c r="BB1220" s="87"/>
      <c r="BC1220" s="87"/>
      <c r="BD1220" s="87"/>
      <c r="BE1220" s="87"/>
      <c r="BF1220" s="87"/>
      <c r="BG1220" s="87"/>
      <c r="BH1220" s="87"/>
    </row>
    <row r="1221" spans="1:60" ht="16">
      <c r="A1221" s="82"/>
      <c r="B1221" s="82"/>
      <c r="C1221" s="82"/>
      <c r="D1221" s="83"/>
      <c r="E1221" s="84"/>
      <c r="F1221" s="84"/>
      <c r="G1221" s="84"/>
      <c r="H1221" s="82"/>
      <c r="I1221" s="84"/>
      <c r="J1221" s="84"/>
      <c r="K1221" s="84"/>
      <c r="L1221" s="84"/>
      <c r="M1221" s="84"/>
      <c r="N1221" s="84"/>
      <c r="O1221" s="84"/>
      <c r="P1221" s="84"/>
      <c r="Q1221" s="84"/>
      <c r="R1221" s="84"/>
      <c r="S1221" s="84"/>
      <c r="T1221" s="84"/>
      <c r="U1221" s="84"/>
      <c r="V1221" s="84"/>
      <c r="W1221" s="84"/>
      <c r="X1221" s="84"/>
      <c r="Y1221" s="84"/>
      <c r="Z1221" s="87"/>
      <c r="AA1221" s="87"/>
      <c r="AB1221" s="87"/>
      <c r="AC1221" s="87"/>
      <c r="AD1221" s="87"/>
      <c r="AE1221" s="87"/>
      <c r="AF1221" s="87"/>
      <c r="AG1221" s="87"/>
      <c r="AH1221" s="87"/>
      <c r="AI1221" s="87"/>
      <c r="AJ1221" s="87"/>
      <c r="AK1221" s="87"/>
      <c r="AL1221" s="87"/>
      <c r="AM1221" s="87"/>
      <c r="AN1221" s="87"/>
      <c r="AO1221" s="87"/>
      <c r="AP1221" s="87"/>
      <c r="AQ1221" s="87"/>
      <c r="AR1221" s="87"/>
      <c r="AS1221" s="87"/>
      <c r="AT1221" s="87"/>
      <c r="AU1221" s="87"/>
      <c r="AV1221" s="87"/>
      <c r="AW1221" s="87"/>
      <c r="AX1221" s="87"/>
      <c r="AY1221" s="87"/>
      <c r="AZ1221" s="87"/>
      <c r="BA1221" s="87"/>
      <c r="BB1221" s="87"/>
      <c r="BC1221" s="87"/>
      <c r="BD1221" s="87"/>
      <c r="BE1221" s="87"/>
      <c r="BF1221" s="87"/>
      <c r="BG1221" s="87"/>
      <c r="BH1221" s="87"/>
    </row>
    <row r="1222" spans="1:60" ht="16">
      <c r="A1222" s="82"/>
      <c r="B1222" s="82"/>
      <c r="C1222" s="82"/>
      <c r="D1222" s="83"/>
      <c r="E1222" s="84"/>
      <c r="F1222" s="84"/>
      <c r="G1222" s="84"/>
      <c r="H1222" s="82"/>
      <c r="I1222" s="84"/>
      <c r="J1222" s="84"/>
      <c r="K1222" s="84"/>
      <c r="L1222" s="84"/>
      <c r="M1222" s="84"/>
      <c r="N1222" s="84"/>
      <c r="O1222" s="84"/>
      <c r="P1222" s="84"/>
      <c r="Q1222" s="84"/>
      <c r="R1222" s="84"/>
      <c r="S1222" s="84"/>
      <c r="T1222" s="84"/>
      <c r="U1222" s="84"/>
      <c r="V1222" s="84"/>
      <c r="W1222" s="84"/>
      <c r="X1222" s="84"/>
      <c r="Y1222" s="84"/>
      <c r="Z1222" s="87"/>
      <c r="AA1222" s="87"/>
      <c r="AB1222" s="87"/>
      <c r="AC1222" s="87"/>
      <c r="AD1222" s="87"/>
      <c r="AE1222" s="87"/>
      <c r="AF1222" s="87"/>
      <c r="AG1222" s="87"/>
      <c r="AH1222" s="87"/>
      <c r="AI1222" s="87"/>
      <c r="AJ1222" s="87"/>
      <c r="AK1222" s="87"/>
      <c r="AL1222" s="87"/>
      <c r="AM1222" s="87"/>
      <c r="AN1222" s="87"/>
      <c r="AO1222" s="87"/>
      <c r="AP1222" s="87"/>
      <c r="AQ1222" s="87"/>
      <c r="AR1222" s="87"/>
      <c r="AS1222" s="87"/>
      <c r="AT1222" s="87"/>
      <c r="AU1222" s="87"/>
      <c r="AV1222" s="87"/>
      <c r="AW1222" s="87"/>
      <c r="AX1222" s="87"/>
      <c r="AY1222" s="87"/>
      <c r="AZ1222" s="87"/>
      <c r="BA1222" s="87"/>
      <c r="BB1222" s="87"/>
      <c r="BC1222" s="87"/>
      <c r="BD1222" s="87"/>
      <c r="BE1222" s="87"/>
      <c r="BF1222" s="87"/>
      <c r="BG1222" s="87"/>
      <c r="BH1222" s="87"/>
    </row>
    <row r="1223" spans="1:60" ht="16">
      <c r="A1223" s="82"/>
      <c r="B1223" s="82"/>
      <c r="C1223" s="82"/>
      <c r="D1223" s="83"/>
      <c r="E1223" s="84"/>
      <c r="F1223" s="84"/>
      <c r="G1223" s="84"/>
      <c r="H1223" s="82"/>
      <c r="I1223" s="84"/>
      <c r="J1223" s="84"/>
      <c r="K1223" s="84"/>
      <c r="L1223" s="84"/>
      <c r="M1223" s="84"/>
      <c r="N1223" s="84"/>
      <c r="O1223" s="84"/>
      <c r="P1223" s="84"/>
      <c r="Q1223" s="84"/>
      <c r="R1223" s="84"/>
      <c r="S1223" s="84"/>
      <c r="T1223" s="84"/>
      <c r="U1223" s="84"/>
      <c r="V1223" s="84"/>
      <c r="W1223" s="84"/>
      <c r="X1223" s="84"/>
      <c r="Y1223" s="84"/>
      <c r="Z1223" s="87"/>
      <c r="AA1223" s="87"/>
      <c r="AB1223" s="87"/>
      <c r="AC1223" s="87"/>
      <c r="AD1223" s="87"/>
      <c r="AE1223" s="87"/>
      <c r="AF1223" s="87"/>
      <c r="AG1223" s="87"/>
      <c r="AH1223" s="87"/>
      <c r="AI1223" s="87"/>
      <c r="AJ1223" s="87"/>
      <c r="AK1223" s="87"/>
      <c r="AL1223" s="87"/>
      <c r="AM1223" s="87"/>
      <c r="AN1223" s="87"/>
      <c r="AO1223" s="87"/>
      <c r="AP1223" s="87"/>
      <c r="AQ1223" s="87"/>
      <c r="AR1223" s="87"/>
      <c r="AS1223" s="87"/>
      <c r="AT1223" s="87"/>
      <c r="AU1223" s="87"/>
      <c r="AV1223" s="87"/>
      <c r="AW1223" s="87"/>
      <c r="AX1223" s="87"/>
      <c r="AY1223" s="87"/>
      <c r="AZ1223" s="87"/>
      <c r="BA1223" s="87"/>
      <c r="BB1223" s="87"/>
      <c r="BC1223" s="87"/>
      <c r="BD1223" s="87"/>
      <c r="BE1223" s="87"/>
      <c r="BF1223" s="87"/>
      <c r="BG1223" s="87"/>
      <c r="BH1223" s="87"/>
    </row>
    <row r="1224" spans="1:60" ht="16">
      <c r="A1224" s="82"/>
      <c r="B1224" s="82"/>
      <c r="C1224" s="82"/>
      <c r="D1224" s="83"/>
      <c r="E1224" s="84"/>
      <c r="F1224" s="84"/>
      <c r="G1224" s="84"/>
      <c r="H1224" s="82"/>
      <c r="I1224" s="84"/>
      <c r="J1224" s="84"/>
      <c r="K1224" s="84"/>
      <c r="L1224" s="84"/>
      <c r="M1224" s="84"/>
      <c r="N1224" s="84"/>
      <c r="O1224" s="84"/>
      <c r="P1224" s="84"/>
      <c r="Q1224" s="84"/>
      <c r="R1224" s="84"/>
      <c r="S1224" s="84"/>
      <c r="T1224" s="84"/>
      <c r="U1224" s="84"/>
      <c r="V1224" s="84"/>
      <c r="W1224" s="84"/>
      <c r="X1224" s="84"/>
      <c r="Y1224" s="84"/>
      <c r="Z1224" s="87"/>
      <c r="AA1224" s="87"/>
      <c r="AB1224" s="87"/>
      <c r="AC1224" s="87"/>
      <c r="AD1224" s="87"/>
      <c r="AE1224" s="87"/>
      <c r="AF1224" s="87"/>
      <c r="AG1224" s="87"/>
      <c r="AH1224" s="87"/>
      <c r="AI1224" s="87"/>
      <c r="AJ1224" s="87"/>
      <c r="AK1224" s="87"/>
      <c r="AL1224" s="87"/>
      <c r="AM1224" s="87"/>
      <c r="AN1224" s="87"/>
      <c r="AO1224" s="87"/>
      <c r="AP1224" s="87"/>
      <c r="AQ1224" s="87"/>
      <c r="AR1224" s="87"/>
      <c r="AS1224" s="87"/>
      <c r="AT1224" s="87"/>
      <c r="AU1224" s="87"/>
      <c r="AV1224" s="87"/>
      <c r="AW1224" s="87"/>
      <c r="AX1224" s="87"/>
      <c r="AY1224" s="87"/>
      <c r="AZ1224" s="87"/>
      <c r="BA1224" s="87"/>
      <c r="BB1224" s="87"/>
      <c r="BC1224" s="87"/>
      <c r="BD1224" s="87"/>
      <c r="BE1224" s="87"/>
      <c r="BF1224" s="87"/>
      <c r="BG1224" s="87"/>
      <c r="BH1224" s="87"/>
    </row>
    <row r="1225" spans="1:60" ht="16">
      <c r="A1225" s="82"/>
      <c r="B1225" s="82"/>
      <c r="C1225" s="82"/>
      <c r="D1225" s="83"/>
      <c r="E1225" s="84"/>
      <c r="F1225" s="84"/>
      <c r="G1225" s="84"/>
      <c r="H1225" s="82"/>
      <c r="I1225" s="84"/>
      <c r="J1225" s="84"/>
      <c r="K1225" s="84"/>
      <c r="L1225" s="84"/>
      <c r="M1225" s="84"/>
      <c r="N1225" s="84"/>
      <c r="O1225" s="84"/>
      <c r="P1225" s="84"/>
      <c r="Q1225" s="84"/>
      <c r="R1225" s="84"/>
      <c r="S1225" s="84"/>
      <c r="T1225" s="84"/>
      <c r="U1225" s="84"/>
      <c r="V1225" s="84"/>
      <c r="W1225" s="84"/>
      <c r="X1225" s="84"/>
      <c r="Y1225" s="84"/>
      <c r="Z1225" s="87"/>
      <c r="AA1225" s="87"/>
      <c r="AB1225" s="87"/>
      <c r="AC1225" s="87"/>
      <c r="AD1225" s="87"/>
      <c r="AE1225" s="87"/>
      <c r="AF1225" s="87"/>
      <c r="AG1225" s="87"/>
      <c r="AH1225" s="87"/>
      <c r="AI1225" s="87"/>
      <c r="AJ1225" s="87"/>
      <c r="AK1225" s="87"/>
      <c r="AL1225" s="87"/>
      <c r="AM1225" s="87"/>
      <c r="AN1225" s="87"/>
      <c r="AO1225" s="87"/>
      <c r="AP1225" s="87"/>
      <c r="AQ1225" s="87"/>
      <c r="AR1225" s="87"/>
      <c r="AS1225" s="87"/>
      <c r="AT1225" s="87"/>
      <c r="AU1225" s="87"/>
      <c r="AV1225" s="87"/>
      <c r="AW1225" s="87"/>
      <c r="AX1225" s="87"/>
      <c r="AY1225" s="87"/>
      <c r="AZ1225" s="87"/>
      <c r="BA1225" s="87"/>
      <c r="BB1225" s="87"/>
      <c r="BC1225" s="87"/>
      <c r="BD1225" s="87"/>
      <c r="BE1225" s="87"/>
      <c r="BF1225" s="87"/>
      <c r="BG1225" s="87"/>
      <c r="BH1225" s="87"/>
    </row>
    <row r="1226" spans="1:60" ht="16">
      <c r="A1226" s="82"/>
      <c r="B1226" s="82"/>
      <c r="C1226" s="82"/>
      <c r="D1226" s="83"/>
      <c r="E1226" s="84"/>
      <c r="F1226" s="84"/>
      <c r="G1226" s="84"/>
      <c r="H1226" s="82"/>
      <c r="I1226" s="84"/>
      <c r="J1226" s="84"/>
      <c r="K1226" s="84"/>
      <c r="L1226" s="84"/>
      <c r="M1226" s="84"/>
      <c r="N1226" s="84"/>
      <c r="O1226" s="84"/>
      <c r="P1226" s="84"/>
      <c r="Q1226" s="84"/>
      <c r="R1226" s="84"/>
      <c r="S1226" s="84"/>
      <c r="T1226" s="84"/>
      <c r="U1226" s="84"/>
      <c r="V1226" s="84"/>
      <c r="W1226" s="84"/>
      <c r="X1226" s="84"/>
      <c r="Y1226" s="84"/>
      <c r="Z1226" s="87"/>
      <c r="AA1226" s="87"/>
      <c r="AB1226" s="87"/>
      <c r="AC1226" s="87"/>
      <c r="AD1226" s="87"/>
      <c r="AE1226" s="87"/>
      <c r="AF1226" s="87"/>
      <c r="AG1226" s="87"/>
      <c r="AH1226" s="87"/>
      <c r="AI1226" s="87"/>
      <c r="AJ1226" s="87"/>
      <c r="AK1226" s="87"/>
      <c r="AL1226" s="87"/>
      <c r="AM1226" s="87"/>
      <c r="AN1226" s="87"/>
      <c r="AO1226" s="87"/>
      <c r="AP1226" s="87"/>
      <c r="AQ1226" s="87"/>
      <c r="AR1226" s="87"/>
      <c r="AS1226" s="87"/>
      <c r="AT1226" s="87"/>
      <c r="AU1226" s="87"/>
      <c r="AV1226" s="87"/>
      <c r="AW1226" s="87"/>
      <c r="AX1226" s="87"/>
      <c r="AY1226" s="87"/>
      <c r="AZ1226" s="87"/>
      <c r="BA1226" s="87"/>
      <c r="BB1226" s="87"/>
      <c r="BC1226" s="87"/>
      <c r="BD1226" s="87"/>
      <c r="BE1226" s="87"/>
      <c r="BF1226" s="87"/>
      <c r="BG1226" s="87"/>
      <c r="BH1226" s="87"/>
    </row>
    <row r="1227" spans="1:60" ht="16">
      <c r="A1227" s="82"/>
      <c r="B1227" s="82"/>
      <c r="C1227" s="82"/>
      <c r="D1227" s="83"/>
      <c r="E1227" s="84"/>
      <c r="F1227" s="84"/>
      <c r="G1227" s="84"/>
      <c r="H1227" s="82"/>
      <c r="I1227" s="84"/>
      <c r="J1227" s="84"/>
      <c r="K1227" s="84"/>
      <c r="L1227" s="84"/>
      <c r="M1227" s="84"/>
      <c r="N1227" s="84"/>
      <c r="O1227" s="84"/>
      <c r="P1227" s="84"/>
      <c r="Q1227" s="84"/>
      <c r="R1227" s="84"/>
      <c r="S1227" s="84"/>
      <c r="T1227" s="84"/>
      <c r="U1227" s="84"/>
      <c r="V1227" s="84"/>
      <c r="W1227" s="84"/>
      <c r="X1227" s="84"/>
      <c r="Y1227" s="84"/>
      <c r="Z1227" s="87"/>
      <c r="AA1227" s="87"/>
      <c r="AB1227" s="87"/>
      <c r="AC1227" s="87"/>
      <c r="AD1227" s="87"/>
      <c r="AE1227" s="87"/>
      <c r="AF1227" s="87"/>
      <c r="AG1227" s="87"/>
      <c r="AH1227" s="87"/>
      <c r="AI1227" s="87"/>
      <c r="AJ1227" s="87"/>
      <c r="AK1227" s="87"/>
      <c r="AL1227" s="87"/>
      <c r="AM1227" s="87"/>
      <c r="AN1227" s="87"/>
      <c r="AO1227" s="87"/>
      <c r="AP1227" s="87"/>
      <c r="AQ1227" s="87"/>
      <c r="AR1227" s="87"/>
      <c r="AS1227" s="87"/>
      <c r="AT1227" s="87"/>
      <c r="AU1227" s="87"/>
      <c r="AV1227" s="87"/>
      <c r="AW1227" s="87"/>
      <c r="AX1227" s="87"/>
      <c r="AY1227" s="87"/>
      <c r="AZ1227" s="87"/>
      <c r="BA1227" s="87"/>
      <c r="BB1227" s="87"/>
      <c r="BC1227" s="87"/>
      <c r="BD1227" s="87"/>
      <c r="BE1227" s="87"/>
      <c r="BF1227" s="87"/>
      <c r="BG1227" s="87"/>
      <c r="BH1227" s="87"/>
    </row>
    <row r="1228" spans="1:60" ht="16">
      <c r="A1228" s="82"/>
      <c r="B1228" s="82"/>
      <c r="C1228" s="82"/>
      <c r="D1228" s="83"/>
      <c r="E1228" s="84"/>
      <c r="F1228" s="84"/>
      <c r="G1228" s="84"/>
      <c r="H1228" s="82"/>
      <c r="I1228" s="84"/>
      <c r="J1228" s="84"/>
      <c r="K1228" s="84"/>
      <c r="L1228" s="84"/>
      <c r="M1228" s="84"/>
      <c r="N1228" s="84"/>
      <c r="O1228" s="84"/>
      <c r="P1228" s="84"/>
      <c r="Q1228" s="84"/>
      <c r="R1228" s="84"/>
      <c r="S1228" s="84"/>
      <c r="T1228" s="84"/>
      <c r="U1228" s="84"/>
      <c r="V1228" s="84"/>
      <c r="W1228" s="84"/>
      <c r="X1228" s="84"/>
      <c r="Y1228" s="84"/>
      <c r="Z1228" s="87"/>
      <c r="AA1228" s="87"/>
      <c r="AB1228" s="87"/>
      <c r="AC1228" s="87"/>
      <c r="AD1228" s="87"/>
      <c r="AE1228" s="87"/>
      <c r="AF1228" s="87"/>
      <c r="AG1228" s="87"/>
      <c r="AH1228" s="87"/>
      <c r="AI1228" s="87"/>
      <c r="AJ1228" s="87"/>
      <c r="AK1228" s="87"/>
      <c r="AL1228" s="87"/>
      <c r="AM1228" s="87"/>
      <c r="AN1228" s="87"/>
      <c r="AO1228" s="87"/>
      <c r="AP1228" s="87"/>
      <c r="AQ1228" s="87"/>
      <c r="AR1228" s="87"/>
      <c r="AS1228" s="87"/>
      <c r="AT1228" s="87"/>
      <c r="AU1228" s="87"/>
      <c r="AV1228" s="87"/>
      <c r="AW1228" s="87"/>
      <c r="AX1228" s="87"/>
      <c r="AY1228" s="87"/>
      <c r="AZ1228" s="87"/>
      <c r="BA1228" s="87"/>
      <c r="BB1228" s="87"/>
      <c r="BC1228" s="87"/>
      <c r="BD1228" s="87"/>
      <c r="BE1228" s="87"/>
      <c r="BF1228" s="87"/>
      <c r="BG1228" s="87"/>
      <c r="BH1228" s="87"/>
    </row>
    <row r="1229" spans="1:60" ht="16">
      <c r="A1229" s="82"/>
      <c r="B1229" s="82"/>
      <c r="C1229" s="82"/>
      <c r="D1229" s="83"/>
      <c r="E1229" s="84"/>
      <c r="F1229" s="84"/>
      <c r="G1229" s="84"/>
      <c r="H1229" s="82"/>
      <c r="I1229" s="84"/>
      <c r="J1229" s="84"/>
      <c r="K1229" s="84"/>
      <c r="L1229" s="84"/>
      <c r="M1229" s="84"/>
      <c r="N1229" s="84"/>
      <c r="O1229" s="84"/>
      <c r="P1229" s="84"/>
      <c r="Q1229" s="84"/>
      <c r="R1229" s="84"/>
      <c r="S1229" s="84"/>
      <c r="T1229" s="84"/>
      <c r="U1229" s="84"/>
      <c r="V1229" s="84"/>
      <c r="W1229" s="84"/>
      <c r="X1229" s="84"/>
      <c r="Y1229" s="84"/>
      <c r="Z1229" s="87"/>
      <c r="AA1229" s="87"/>
      <c r="AB1229" s="87"/>
      <c r="AC1229" s="87"/>
      <c r="AD1229" s="87"/>
      <c r="AE1229" s="87"/>
      <c r="AF1229" s="87"/>
      <c r="AG1229" s="87"/>
      <c r="AH1229" s="87"/>
      <c r="AI1229" s="87"/>
      <c r="AJ1229" s="87"/>
      <c r="AK1229" s="87"/>
      <c r="AL1229" s="87"/>
      <c r="AM1229" s="87"/>
      <c r="AN1229" s="87"/>
      <c r="AO1229" s="87"/>
      <c r="AP1229" s="87"/>
      <c r="AQ1229" s="87"/>
      <c r="AR1229" s="87"/>
      <c r="AS1229" s="87"/>
      <c r="AT1229" s="87"/>
      <c r="AU1229" s="87"/>
      <c r="AV1229" s="87"/>
      <c r="AW1229" s="87"/>
      <c r="AX1229" s="87"/>
      <c r="AY1229" s="87"/>
      <c r="AZ1229" s="87"/>
      <c r="BA1229" s="87"/>
      <c r="BB1229" s="87"/>
      <c r="BC1229" s="87"/>
      <c r="BD1229" s="87"/>
      <c r="BE1229" s="87"/>
      <c r="BF1229" s="87"/>
      <c r="BG1229" s="87"/>
      <c r="BH1229" s="87"/>
    </row>
    <row r="1230" spans="1:60" ht="16">
      <c r="A1230" s="82"/>
      <c r="B1230" s="82"/>
      <c r="C1230" s="82"/>
      <c r="D1230" s="83"/>
      <c r="E1230" s="84"/>
      <c r="F1230" s="84"/>
      <c r="G1230" s="84"/>
      <c r="H1230" s="82"/>
      <c r="I1230" s="84"/>
      <c r="J1230" s="84"/>
      <c r="K1230" s="84"/>
      <c r="L1230" s="84"/>
      <c r="M1230" s="84"/>
      <c r="N1230" s="84"/>
      <c r="O1230" s="84"/>
      <c r="P1230" s="84"/>
      <c r="Q1230" s="84"/>
      <c r="R1230" s="84"/>
      <c r="S1230" s="84"/>
      <c r="T1230" s="84"/>
      <c r="U1230" s="84"/>
      <c r="V1230" s="84"/>
      <c r="W1230" s="84"/>
      <c r="X1230" s="84"/>
      <c r="Y1230" s="84"/>
      <c r="Z1230" s="87"/>
      <c r="AA1230" s="87"/>
      <c r="AB1230" s="87"/>
      <c r="AC1230" s="87"/>
      <c r="AD1230" s="87"/>
      <c r="AE1230" s="87"/>
      <c r="AF1230" s="87"/>
      <c r="AG1230" s="87"/>
      <c r="AH1230" s="87"/>
      <c r="AI1230" s="87"/>
      <c r="AJ1230" s="87"/>
      <c r="AK1230" s="87"/>
      <c r="AL1230" s="87"/>
      <c r="AM1230" s="87"/>
      <c r="AN1230" s="87"/>
      <c r="AO1230" s="87"/>
      <c r="AP1230" s="87"/>
      <c r="AQ1230" s="87"/>
      <c r="AR1230" s="87"/>
      <c r="AS1230" s="87"/>
      <c r="AT1230" s="87"/>
      <c r="AU1230" s="87"/>
      <c r="AV1230" s="87"/>
      <c r="AW1230" s="87"/>
      <c r="AX1230" s="87"/>
      <c r="AY1230" s="87"/>
      <c r="AZ1230" s="87"/>
      <c r="BA1230" s="87"/>
      <c r="BB1230" s="87"/>
      <c r="BC1230" s="87"/>
      <c r="BD1230" s="87"/>
      <c r="BE1230" s="87"/>
      <c r="BF1230" s="87"/>
      <c r="BG1230" s="87"/>
      <c r="BH1230" s="87"/>
    </row>
    <row r="1231" spans="1:60" ht="16">
      <c r="A1231" s="82"/>
      <c r="B1231" s="82"/>
      <c r="C1231" s="82"/>
      <c r="D1231" s="83"/>
      <c r="E1231" s="84"/>
      <c r="F1231" s="84"/>
      <c r="G1231" s="84"/>
      <c r="H1231" s="82"/>
      <c r="I1231" s="84"/>
      <c r="J1231" s="84"/>
      <c r="K1231" s="84"/>
      <c r="L1231" s="84"/>
      <c r="M1231" s="84"/>
      <c r="N1231" s="84"/>
      <c r="O1231" s="84"/>
      <c r="P1231" s="84"/>
      <c r="Q1231" s="84"/>
      <c r="R1231" s="84"/>
      <c r="S1231" s="84"/>
      <c r="T1231" s="84"/>
      <c r="U1231" s="84"/>
      <c r="V1231" s="84"/>
      <c r="W1231" s="84"/>
      <c r="X1231" s="84"/>
      <c r="Y1231" s="84"/>
      <c r="Z1231" s="87"/>
      <c r="AA1231" s="87"/>
      <c r="AB1231" s="87"/>
      <c r="AC1231" s="87"/>
      <c r="AD1231" s="87"/>
      <c r="AE1231" s="87"/>
      <c r="AF1231" s="87"/>
      <c r="AG1231" s="87"/>
      <c r="AH1231" s="87"/>
      <c r="AI1231" s="87"/>
      <c r="AJ1231" s="87"/>
      <c r="AK1231" s="87"/>
      <c r="AL1231" s="87"/>
      <c r="AM1231" s="87"/>
      <c r="AN1231" s="87"/>
      <c r="AO1231" s="87"/>
      <c r="AP1231" s="87"/>
      <c r="AQ1231" s="87"/>
      <c r="AR1231" s="87"/>
      <c r="AS1231" s="87"/>
      <c r="AT1231" s="87"/>
      <c r="AU1231" s="87"/>
      <c r="AV1231" s="87"/>
      <c r="AW1231" s="87"/>
      <c r="AX1231" s="87"/>
      <c r="AY1231" s="87"/>
      <c r="AZ1231" s="87"/>
      <c r="BA1231" s="87"/>
      <c r="BB1231" s="87"/>
      <c r="BC1231" s="87"/>
      <c r="BD1231" s="87"/>
      <c r="BE1231" s="87"/>
      <c r="BF1231" s="87"/>
      <c r="BG1231" s="87"/>
      <c r="BH1231" s="87"/>
    </row>
    <row r="1232" spans="1:60" ht="16">
      <c r="A1232" s="82"/>
      <c r="B1232" s="82"/>
      <c r="C1232" s="82"/>
      <c r="D1232" s="83"/>
      <c r="E1232" s="84"/>
      <c r="F1232" s="84"/>
      <c r="G1232" s="84"/>
      <c r="H1232" s="82"/>
      <c r="I1232" s="84"/>
      <c r="J1232" s="84"/>
      <c r="K1232" s="84"/>
      <c r="L1232" s="84"/>
      <c r="M1232" s="84"/>
      <c r="N1232" s="84"/>
      <c r="O1232" s="84"/>
      <c r="P1232" s="84"/>
      <c r="Q1232" s="84"/>
      <c r="R1232" s="84"/>
      <c r="S1232" s="84"/>
      <c r="T1232" s="84"/>
      <c r="U1232" s="84"/>
      <c r="V1232" s="84"/>
      <c r="W1232" s="84"/>
      <c r="X1232" s="84"/>
      <c r="Y1232" s="84"/>
      <c r="Z1232" s="87"/>
      <c r="AA1232" s="87"/>
      <c r="AB1232" s="87"/>
      <c r="AC1232" s="87"/>
      <c r="AD1232" s="87"/>
      <c r="AE1232" s="87"/>
      <c r="AF1232" s="87"/>
      <c r="AG1232" s="87"/>
      <c r="AH1232" s="87"/>
      <c r="AI1232" s="87"/>
      <c r="AJ1232" s="87"/>
      <c r="AK1232" s="87"/>
      <c r="AL1232" s="87"/>
      <c r="AM1232" s="87"/>
      <c r="AN1232" s="87"/>
      <c r="AO1232" s="87"/>
      <c r="AP1232" s="87"/>
      <c r="AQ1232" s="87"/>
      <c r="AR1232" s="87"/>
      <c r="AS1232" s="87"/>
      <c r="AT1232" s="87"/>
      <c r="AU1232" s="87"/>
      <c r="AV1232" s="87"/>
      <c r="AW1232" s="87"/>
      <c r="AX1232" s="87"/>
      <c r="AY1232" s="87"/>
      <c r="AZ1232" s="87"/>
      <c r="BA1232" s="87"/>
      <c r="BB1232" s="87"/>
      <c r="BC1232" s="87"/>
      <c r="BD1232" s="87"/>
      <c r="BE1232" s="87"/>
      <c r="BF1232" s="87"/>
      <c r="BG1232" s="87"/>
      <c r="BH1232" s="87"/>
    </row>
    <row r="1233" spans="1:60" ht="16">
      <c r="A1233" s="82"/>
      <c r="B1233" s="82"/>
      <c r="C1233" s="82"/>
      <c r="D1233" s="83"/>
      <c r="E1233" s="84"/>
      <c r="F1233" s="84"/>
      <c r="G1233" s="84"/>
      <c r="H1233" s="82"/>
      <c r="I1233" s="84"/>
      <c r="J1233" s="84"/>
      <c r="K1233" s="84"/>
      <c r="L1233" s="84"/>
      <c r="M1233" s="84"/>
      <c r="N1233" s="84"/>
      <c r="O1233" s="84"/>
      <c r="P1233" s="84"/>
      <c r="Q1233" s="84"/>
      <c r="R1233" s="84"/>
      <c r="S1233" s="84"/>
      <c r="T1233" s="84"/>
      <c r="U1233" s="84"/>
      <c r="V1233" s="84"/>
      <c r="W1233" s="84"/>
      <c r="X1233" s="84"/>
      <c r="Y1233" s="84"/>
      <c r="Z1233" s="87"/>
      <c r="AA1233" s="87"/>
      <c r="AB1233" s="87"/>
      <c r="AC1233" s="87"/>
      <c r="AD1233" s="87"/>
      <c r="AE1233" s="87"/>
      <c r="AF1233" s="87"/>
      <c r="AG1233" s="87"/>
      <c r="AH1233" s="87"/>
      <c r="AI1233" s="87"/>
      <c r="AJ1233" s="87"/>
      <c r="AK1233" s="87"/>
      <c r="AL1233" s="87"/>
      <c r="AM1233" s="87"/>
      <c r="AN1233" s="87"/>
      <c r="AO1233" s="87"/>
      <c r="AP1233" s="87"/>
      <c r="AQ1233" s="87"/>
      <c r="AR1233" s="87"/>
      <c r="AS1233" s="87"/>
      <c r="AT1233" s="87"/>
      <c r="AU1233" s="87"/>
      <c r="AV1233" s="87"/>
      <c r="AW1233" s="87"/>
      <c r="AX1233" s="87"/>
      <c r="AY1233" s="87"/>
      <c r="AZ1233" s="87"/>
      <c r="BA1233" s="87"/>
      <c r="BB1233" s="87"/>
      <c r="BC1233" s="87"/>
      <c r="BD1233" s="87"/>
      <c r="BE1233" s="87"/>
      <c r="BF1233" s="87"/>
      <c r="BG1233" s="87"/>
      <c r="BH1233" s="87"/>
    </row>
    <row r="1234" spans="1:60" ht="16">
      <c r="A1234" s="82"/>
      <c r="B1234" s="82"/>
      <c r="C1234" s="82"/>
      <c r="D1234" s="83"/>
      <c r="E1234" s="84"/>
      <c r="F1234" s="84"/>
      <c r="G1234" s="84"/>
      <c r="H1234" s="82"/>
      <c r="I1234" s="84"/>
      <c r="J1234" s="84"/>
      <c r="K1234" s="84"/>
      <c r="L1234" s="84"/>
      <c r="M1234" s="84"/>
      <c r="N1234" s="84"/>
      <c r="O1234" s="84"/>
      <c r="P1234" s="84"/>
      <c r="Q1234" s="84"/>
      <c r="R1234" s="84"/>
      <c r="S1234" s="84"/>
      <c r="T1234" s="84"/>
      <c r="U1234" s="84"/>
      <c r="V1234" s="84"/>
      <c r="W1234" s="84"/>
      <c r="X1234" s="84"/>
      <c r="Y1234" s="84"/>
      <c r="Z1234" s="87"/>
      <c r="AA1234" s="87"/>
      <c r="AB1234" s="87"/>
      <c r="AC1234" s="87"/>
      <c r="AD1234" s="87"/>
      <c r="AE1234" s="87"/>
      <c r="AF1234" s="87"/>
      <c r="AG1234" s="87"/>
      <c r="AH1234" s="87"/>
      <c r="AI1234" s="87"/>
      <c r="AJ1234" s="87"/>
      <c r="AK1234" s="87"/>
      <c r="AL1234" s="87"/>
      <c r="AM1234" s="87"/>
      <c r="AN1234" s="87"/>
      <c r="AO1234" s="87"/>
      <c r="AP1234" s="87"/>
      <c r="AQ1234" s="87"/>
      <c r="AR1234" s="87"/>
      <c r="AS1234" s="87"/>
      <c r="AT1234" s="87"/>
      <c r="AU1234" s="87"/>
      <c r="AV1234" s="87"/>
      <c r="AW1234" s="87"/>
      <c r="AX1234" s="87"/>
      <c r="AY1234" s="87"/>
      <c r="AZ1234" s="87"/>
      <c r="BA1234" s="87"/>
      <c r="BB1234" s="87"/>
      <c r="BC1234" s="87"/>
      <c r="BD1234" s="87"/>
      <c r="BE1234" s="87"/>
      <c r="BF1234" s="87"/>
      <c r="BG1234" s="87"/>
      <c r="BH1234" s="87"/>
    </row>
    <row r="1235" spans="1:60" ht="16">
      <c r="A1235" s="82"/>
      <c r="B1235" s="82"/>
      <c r="C1235" s="82"/>
      <c r="D1235" s="83"/>
      <c r="E1235" s="84"/>
      <c r="F1235" s="84"/>
      <c r="G1235" s="84"/>
      <c r="H1235" s="82"/>
      <c r="I1235" s="84"/>
      <c r="J1235" s="84"/>
      <c r="K1235" s="84"/>
      <c r="L1235" s="84"/>
      <c r="M1235" s="84"/>
      <c r="N1235" s="84"/>
      <c r="O1235" s="84"/>
      <c r="P1235" s="84"/>
      <c r="Q1235" s="84"/>
      <c r="R1235" s="84"/>
      <c r="S1235" s="84"/>
      <c r="T1235" s="84"/>
      <c r="U1235" s="84"/>
      <c r="V1235" s="84"/>
      <c r="W1235" s="84"/>
      <c r="X1235" s="84"/>
      <c r="Y1235" s="84"/>
      <c r="Z1235" s="87"/>
      <c r="AA1235" s="87"/>
      <c r="AB1235" s="87"/>
      <c r="AC1235" s="87"/>
      <c r="AD1235" s="87"/>
      <c r="AE1235" s="87"/>
      <c r="AF1235" s="87"/>
      <c r="AG1235" s="87"/>
      <c r="AH1235" s="87"/>
      <c r="AI1235" s="87"/>
      <c r="AJ1235" s="87"/>
      <c r="AK1235" s="87"/>
      <c r="AL1235" s="87"/>
      <c r="AM1235" s="87"/>
      <c r="AN1235" s="87"/>
      <c r="AO1235" s="87"/>
      <c r="AP1235" s="87"/>
      <c r="AQ1235" s="87"/>
      <c r="AR1235" s="87"/>
      <c r="AS1235" s="87"/>
      <c r="AT1235" s="87"/>
      <c r="AU1235" s="87"/>
      <c r="AV1235" s="87"/>
      <c r="AW1235" s="87"/>
      <c r="AX1235" s="87"/>
      <c r="AY1235" s="87"/>
      <c r="AZ1235" s="87"/>
      <c r="BA1235" s="87"/>
      <c r="BB1235" s="87"/>
      <c r="BC1235" s="87"/>
      <c r="BD1235" s="87"/>
      <c r="BE1235" s="87"/>
      <c r="BF1235" s="87"/>
      <c r="BG1235" s="87"/>
      <c r="BH1235" s="87"/>
    </row>
    <row r="1236" spans="1:60" ht="16">
      <c r="A1236" s="82"/>
      <c r="B1236" s="82"/>
      <c r="C1236" s="82"/>
      <c r="D1236" s="83"/>
      <c r="E1236" s="84"/>
      <c r="F1236" s="84"/>
      <c r="G1236" s="84"/>
      <c r="H1236" s="82"/>
      <c r="I1236" s="84"/>
      <c r="J1236" s="84"/>
      <c r="K1236" s="84"/>
      <c r="L1236" s="84"/>
      <c r="M1236" s="84"/>
      <c r="N1236" s="84"/>
      <c r="O1236" s="84"/>
      <c r="P1236" s="84"/>
      <c r="Q1236" s="84"/>
      <c r="R1236" s="84"/>
      <c r="S1236" s="84"/>
      <c r="T1236" s="84"/>
      <c r="U1236" s="84"/>
      <c r="V1236" s="84"/>
      <c r="W1236" s="84"/>
      <c r="X1236" s="84"/>
      <c r="Y1236" s="84"/>
      <c r="Z1236" s="87"/>
      <c r="AA1236" s="87"/>
      <c r="AB1236" s="87"/>
      <c r="AC1236" s="87"/>
      <c r="AD1236" s="87"/>
      <c r="AE1236" s="87"/>
      <c r="AF1236" s="87"/>
      <c r="AG1236" s="87"/>
      <c r="AH1236" s="87"/>
      <c r="AI1236" s="87"/>
      <c r="AJ1236" s="87"/>
      <c r="AK1236" s="87"/>
      <c r="AL1236" s="87"/>
      <c r="AM1236" s="87"/>
      <c r="AN1236" s="87"/>
      <c r="AO1236" s="87"/>
      <c r="AP1236" s="87"/>
      <c r="AQ1236" s="87"/>
      <c r="AR1236" s="87"/>
      <c r="AS1236" s="87"/>
      <c r="AT1236" s="87"/>
      <c r="AU1236" s="87"/>
      <c r="AV1236" s="87"/>
      <c r="AW1236" s="87"/>
      <c r="AX1236" s="87"/>
      <c r="AY1236" s="87"/>
      <c r="AZ1236" s="87"/>
      <c r="BA1236" s="87"/>
      <c r="BB1236" s="87"/>
      <c r="BC1236" s="87"/>
      <c r="BD1236" s="87"/>
      <c r="BE1236" s="87"/>
      <c r="BF1236" s="87"/>
      <c r="BG1236" s="87"/>
      <c r="BH1236" s="87"/>
    </row>
    <row r="1237" spans="1:60" ht="16">
      <c r="A1237" s="82"/>
      <c r="B1237" s="82"/>
      <c r="C1237" s="82"/>
      <c r="D1237" s="83"/>
      <c r="E1237" s="84"/>
      <c r="F1237" s="84"/>
      <c r="G1237" s="84"/>
      <c r="H1237" s="82"/>
      <c r="I1237" s="84"/>
      <c r="J1237" s="84"/>
      <c r="K1237" s="84"/>
      <c r="L1237" s="84"/>
      <c r="M1237" s="84"/>
      <c r="N1237" s="84"/>
      <c r="O1237" s="84"/>
      <c r="P1237" s="84"/>
      <c r="Q1237" s="84"/>
      <c r="R1237" s="84"/>
      <c r="S1237" s="84"/>
      <c r="T1237" s="84"/>
      <c r="U1237" s="84"/>
      <c r="V1237" s="84"/>
      <c r="W1237" s="84"/>
      <c r="X1237" s="84"/>
      <c r="Y1237" s="84"/>
      <c r="Z1237" s="87"/>
      <c r="AA1237" s="87"/>
      <c r="AB1237" s="87"/>
      <c r="AC1237" s="87"/>
      <c r="AD1237" s="87"/>
      <c r="AE1237" s="87"/>
      <c r="AF1237" s="87"/>
      <c r="AG1237" s="87"/>
      <c r="AH1237" s="87"/>
      <c r="AI1237" s="87"/>
      <c r="AJ1237" s="87"/>
      <c r="AK1237" s="87"/>
      <c r="AL1237" s="87"/>
      <c r="AM1237" s="87"/>
      <c r="AN1237" s="87"/>
      <c r="AO1237" s="87"/>
      <c r="AP1237" s="87"/>
      <c r="AQ1237" s="87"/>
      <c r="AR1237" s="87"/>
      <c r="AS1237" s="87"/>
      <c r="AT1237" s="87"/>
      <c r="AU1237" s="87"/>
      <c r="AV1237" s="87"/>
      <c r="AW1237" s="87"/>
      <c r="AX1237" s="87"/>
      <c r="AY1237" s="87"/>
      <c r="AZ1237" s="87"/>
      <c r="BA1237" s="87"/>
      <c r="BB1237" s="87"/>
      <c r="BC1237" s="87"/>
      <c r="BD1237" s="87"/>
      <c r="BE1237" s="87"/>
      <c r="BF1237" s="87"/>
      <c r="BG1237" s="87"/>
      <c r="BH1237" s="87"/>
    </row>
    <row r="1238" spans="1:60" ht="16">
      <c r="A1238" s="82"/>
      <c r="B1238" s="82"/>
      <c r="C1238" s="82"/>
      <c r="D1238" s="83"/>
      <c r="E1238" s="84"/>
      <c r="F1238" s="84"/>
      <c r="G1238" s="84"/>
      <c r="H1238" s="82"/>
      <c r="I1238" s="84"/>
      <c r="J1238" s="84"/>
      <c r="K1238" s="84"/>
      <c r="L1238" s="84"/>
      <c r="M1238" s="84"/>
      <c r="N1238" s="84"/>
      <c r="O1238" s="84"/>
      <c r="P1238" s="84"/>
      <c r="Q1238" s="84"/>
      <c r="R1238" s="84"/>
      <c r="S1238" s="84"/>
      <c r="T1238" s="84"/>
      <c r="U1238" s="84"/>
      <c r="V1238" s="84"/>
      <c r="W1238" s="84"/>
      <c r="X1238" s="84"/>
      <c r="Y1238" s="84"/>
      <c r="Z1238" s="87"/>
      <c r="AA1238" s="87"/>
      <c r="AB1238" s="87"/>
      <c r="AC1238" s="87"/>
      <c r="AD1238" s="87"/>
      <c r="AE1238" s="87"/>
      <c r="AF1238" s="87"/>
      <c r="AG1238" s="87"/>
      <c r="AH1238" s="87"/>
      <c r="AI1238" s="87"/>
      <c r="AJ1238" s="87"/>
      <c r="AK1238" s="87"/>
      <c r="AL1238" s="87"/>
      <c r="AM1238" s="87"/>
      <c r="AN1238" s="87"/>
      <c r="AO1238" s="87"/>
      <c r="AP1238" s="87"/>
      <c r="AQ1238" s="87"/>
      <c r="AR1238" s="87"/>
      <c r="AS1238" s="87"/>
      <c r="AT1238" s="87"/>
      <c r="AU1238" s="87"/>
      <c r="AV1238" s="87"/>
      <c r="AW1238" s="87"/>
      <c r="AX1238" s="87"/>
      <c r="AY1238" s="87"/>
      <c r="AZ1238" s="87"/>
      <c r="BA1238" s="87"/>
      <c r="BB1238" s="87"/>
      <c r="BC1238" s="87"/>
      <c r="BD1238" s="87"/>
      <c r="BE1238" s="87"/>
      <c r="BF1238" s="87"/>
      <c r="BG1238" s="87"/>
      <c r="BH1238" s="87"/>
    </row>
    <row r="1239" spans="1:60" ht="16">
      <c r="A1239" s="82"/>
      <c r="B1239" s="82"/>
      <c r="C1239" s="82"/>
      <c r="D1239" s="83"/>
      <c r="E1239" s="84"/>
      <c r="F1239" s="84"/>
      <c r="G1239" s="84"/>
      <c r="H1239" s="82"/>
      <c r="I1239" s="84"/>
      <c r="J1239" s="84"/>
      <c r="K1239" s="84"/>
      <c r="L1239" s="84"/>
      <c r="M1239" s="84"/>
      <c r="N1239" s="84"/>
      <c r="O1239" s="84"/>
      <c r="P1239" s="84"/>
      <c r="Q1239" s="84"/>
      <c r="R1239" s="84"/>
      <c r="S1239" s="84"/>
      <c r="T1239" s="84"/>
      <c r="U1239" s="84"/>
      <c r="V1239" s="84"/>
      <c r="W1239" s="84"/>
      <c r="X1239" s="84"/>
      <c r="Y1239" s="84"/>
      <c r="Z1239" s="87"/>
      <c r="AA1239" s="87"/>
      <c r="AB1239" s="87"/>
      <c r="AC1239" s="87"/>
      <c r="AD1239" s="87"/>
      <c r="AE1239" s="87"/>
      <c r="AF1239" s="87"/>
      <c r="AG1239" s="87"/>
      <c r="AH1239" s="87"/>
      <c r="AI1239" s="87"/>
      <c r="AJ1239" s="87"/>
      <c r="AK1239" s="87"/>
      <c r="AL1239" s="87"/>
      <c r="AM1239" s="87"/>
      <c r="AN1239" s="87"/>
      <c r="AO1239" s="87"/>
      <c r="AP1239" s="87"/>
      <c r="AQ1239" s="87"/>
      <c r="AR1239" s="87"/>
      <c r="AS1239" s="87"/>
      <c r="AT1239" s="87"/>
      <c r="AU1239" s="87"/>
      <c r="AV1239" s="87"/>
      <c r="AW1239" s="87"/>
      <c r="AX1239" s="87"/>
      <c r="AY1239" s="87"/>
      <c r="AZ1239" s="87"/>
      <c r="BA1239" s="87"/>
      <c r="BB1239" s="87"/>
      <c r="BC1239" s="87"/>
      <c r="BD1239" s="87"/>
      <c r="BE1239" s="87"/>
      <c r="BF1239" s="87"/>
      <c r="BG1239" s="87"/>
      <c r="BH1239" s="87"/>
    </row>
    <row r="1240" spans="1:60" ht="16">
      <c r="A1240" s="82"/>
      <c r="B1240" s="82"/>
      <c r="C1240" s="82"/>
      <c r="D1240" s="83"/>
      <c r="E1240" s="84"/>
      <c r="F1240" s="84"/>
      <c r="G1240" s="84"/>
      <c r="H1240" s="82"/>
      <c r="I1240" s="84"/>
      <c r="J1240" s="84"/>
      <c r="K1240" s="84"/>
      <c r="L1240" s="84"/>
      <c r="M1240" s="84"/>
      <c r="N1240" s="84"/>
      <c r="O1240" s="84"/>
      <c r="P1240" s="84"/>
      <c r="Q1240" s="84"/>
      <c r="R1240" s="84"/>
      <c r="S1240" s="84"/>
      <c r="T1240" s="84"/>
      <c r="U1240" s="84"/>
      <c r="V1240" s="84"/>
      <c r="W1240" s="84"/>
      <c r="X1240" s="84"/>
      <c r="Y1240" s="84"/>
      <c r="Z1240" s="87"/>
      <c r="AA1240" s="87"/>
      <c r="AB1240" s="87"/>
      <c r="AC1240" s="87"/>
      <c r="AD1240" s="87"/>
      <c r="AE1240" s="87"/>
      <c r="AF1240" s="87"/>
      <c r="AG1240" s="87"/>
      <c r="AH1240" s="87"/>
      <c r="AI1240" s="87"/>
      <c r="AJ1240" s="87"/>
      <c r="AK1240" s="87"/>
      <c r="AL1240" s="87"/>
      <c r="AM1240" s="87"/>
      <c r="AN1240" s="87"/>
      <c r="AO1240" s="87"/>
      <c r="AP1240" s="87"/>
      <c r="AQ1240" s="87"/>
      <c r="AR1240" s="87"/>
      <c r="AS1240" s="87"/>
      <c r="AT1240" s="87"/>
      <c r="AU1240" s="87"/>
      <c r="AV1240" s="87"/>
      <c r="AW1240" s="87"/>
      <c r="AX1240" s="87"/>
      <c r="AY1240" s="87"/>
      <c r="AZ1240" s="87"/>
      <c r="BA1240" s="87"/>
      <c r="BB1240" s="87"/>
      <c r="BC1240" s="87"/>
      <c r="BD1240" s="87"/>
      <c r="BE1240" s="87"/>
      <c r="BF1240" s="87"/>
      <c r="BG1240" s="87"/>
      <c r="BH1240" s="87"/>
    </row>
    <row r="1241" spans="1:60" ht="16">
      <c r="A1241" s="82"/>
      <c r="B1241" s="82"/>
      <c r="C1241" s="82"/>
      <c r="D1241" s="83"/>
      <c r="E1241" s="84"/>
      <c r="F1241" s="84"/>
      <c r="G1241" s="84"/>
      <c r="H1241" s="82"/>
      <c r="I1241" s="84"/>
      <c r="J1241" s="84"/>
      <c r="K1241" s="84"/>
      <c r="L1241" s="84"/>
      <c r="M1241" s="84"/>
      <c r="N1241" s="84"/>
      <c r="O1241" s="84"/>
      <c r="P1241" s="84"/>
      <c r="Q1241" s="84"/>
      <c r="R1241" s="84"/>
      <c r="S1241" s="84"/>
      <c r="T1241" s="84"/>
      <c r="U1241" s="84"/>
      <c r="V1241" s="84"/>
      <c r="W1241" s="84"/>
      <c r="X1241" s="84"/>
      <c r="Y1241" s="84"/>
      <c r="Z1241" s="87"/>
      <c r="AA1241" s="87"/>
      <c r="AB1241" s="87"/>
      <c r="AC1241" s="87"/>
      <c r="AD1241" s="87"/>
      <c r="AE1241" s="87"/>
      <c r="AF1241" s="87"/>
      <c r="AG1241" s="87"/>
      <c r="AH1241" s="87"/>
      <c r="AI1241" s="87"/>
      <c r="AJ1241" s="87"/>
      <c r="AK1241" s="87"/>
      <c r="AL1241" s="87"/>
      <c r="AM1241" s="87"/>
      <c r="AN1241" s="87"/>
      <c r="AO1241" s="87"/>
      <c r="AP1241" s="87"/>
      <c r="AQ1241" s="87"/>
      <c r="AR1241" s="87"/>
      <c r="AS1241" s="87"/>
      <c r="AT1241" s="87"/>
      <c r="AU1241" s="87"/>
      <c r="AV1241" s="87"/>
      <c r="AW1241" s="87"/>
      <c r="AX1241" s="87"/>
      <c r="AY1241" s="87"/>
      <c r="AZ1241" s="87"/>
      <c r="BA1241" s="87"/>
      <c r="BB1241" s="87"/>
      <c r="BC1241" s="87"/>
      <c r="BD1241" s="87"/>
      <c r="BE1241" s="87"/>
      <c r="BF1241" s="87"/>
      <c r="BG1241" s="87"/>
      <c r="BH1241" s="87"/>
    </row>
    <row r="1242" spans="1:60" ht="16">
      <c r="A1242" s="82"/>
      <c r="B1242" s="82"/>
      <c r="C1242" s="82"/>
      <c r="D1242" s="83"/>
      <c r="E1242" s="84"/>
      <c r="F1242" s="84"/>
      <c r="G1242" s="84"/>
      <c r="H1242" s="82"/>
      <c r="I1242" s="84"/>
      <c r="J1242" s="84"/>
      <c r="K1242" s="84"/>
      <c r="L1242" s="84"/>
      <c r="M1242" s="84"/>
      <c r="N1242" s="84"/>
      <c r="O1242" s="84"/>
      <c r="P1242" s="84"/>
      <c r="Q1242" s="84"/>
      <c r="R1242" s="84"/>
      <c r="S1242" s="84"/>
      <c r="T1242" s="84"/>
      <c r="U1242" s="84"/>
      <c r="V1242" s="84"/>
      <c r="W1242" s="84"/>
      <c r="X1242" s="84"/>
      <c r="Y1242" s="84"/>
      <c r="Z1242" s="87"/>
      <c r="AA1242" s="87"/>
      <c r="AB1242" s="87"/>
      <c r="AC1242" s="87"/>
      <c r="AD1242" s="87"/>
      <c r="AE1242" s="87"/>
      <c r="AF1242" s="87"/>
      <c r="AG1242" s="87"/>
      <c r="AH1242" s="87"/>
      <c r="AI1242" s="87"/>
      <c r="AJ1242" s="87"/>
      <c r="AK1242" s="87"/>
      <c r="AL1242" s="87"/>
      <c r="AM1242" s="87"/>
      <c r="AN1242" s="87"/>
      <c r="AO1242" s="87"/>
      <c r="AP1242" s="87"/>
      <c r="AQ1242" s="87"/>
      <c r="AR1242" s="87"/>
      <c r="AS1242" s="87"/>
      <c r="AT1242" s="87"/>
      <c r="AU1242" s="87"/>
      <c r="AV1242" s="87"/>
      <c r="AW1242" s="87"/>
      <c r="AX1242" s="87"/>
      <c r="AY1242" s="87"/>
      <c r="AZ1242" s="87"/>
      <c r="BA1242" s="87"/>
      <c r="BB1242" s="87"/>
      <c r="BC1242" s="87"/>
      <c r="BD1242" s="87"/>
      <c r="BE1242" s="87"/>
      <c r="BF1242" s="87"/>
      <c r="BG1242" s="87"/>
      <c r="BH1242" s="87"/>
    </row>
    <row r="1243" spans="1:60" ht="16">
      <c r="A1243" s="82"/>
      <c r="B1243" s="82"/>
      <c r="C1243" s="82"/>
      <c r="D1243" s="83"/>
      <c r="E1243" s="84"/>
      <c r="F1243" s="84"/>
      <c r="G1243" s="84"/>
      <c r="H1243" s="82"/>
      <c r="I1243" s="84"/>
      <c r="J1243" s="84"/>
      <c r="K1243" s="84"/>
      <c r="L1243" s="84"/>
      <c r="M1243" s="84"/>
      <c r="N1243" s="84"/>
      <c r="O1243" s="84"/>
      <c r="P1243" s="84"/>
      <c r="Q1243" s="84"/>
      <c r="R1243" s="84"/>
      <c r="S1243" s="84"/>
      <c r="T1243" s="84"/>
      <c r="U1243" s="84"/>
      <c r="V1243" s="84"/>
      <c r="W1243" s="84"/>
      <c r="X1243" s="84"/>
      <c r="Y1243" s="84"/>
      <c r="Z1243" s="87"/>
      <c r="AA1243" s="87"/>
      <c r="AB1243" s="87"/>
      <c r="AC1243" s="87"/>
      <c r="AD1243" s="87"/>
      <c r="AE1243" s="87"/>
      <c r="AF1243" s="87"/>
      <c r="AG1243" s="87"/>
      <c r="AH1243" s="87"/>
      <c r="AI1243" s="87"/>
      <c r="AJ1243" s="87"/>
      <c r="AK1243" s="87"/>
      <c r="AL1243" s="87"/>
      <c r="AM1243" s="87"/>
      <c r="AN1243" s="87"/>
      <c r="AO1243" s="87"/>
      <c r="AP1243" s="87"/>
      <c r="AQ1243" s="87"/>
      <c r="AR1243" s="87"/>
      <c r="AS1243" s="87"/>
      <c r="AT1243" s="87"/>
      <c r="AU1243" s="87"/>
      <c r="AV1243" s="87"/>
      <c r="AW1243" s="87"/>
      <c r="AX1243" s="87"/>
      <c r="AY1243" s="87"/>
      <c r="AZ1243" s="87"/>
      <c r="BA1243" s="87"/>
      <c r="BB1243" s="87"/>
      <c r="BC1243" s="87"/>
      <c r="BD1243" s="87"/>
      <c r="BE1243" s="87"/>
      <c r="BF1243" s="87"/>
      <c r="BG1243" s="87"/>
      <c r="BH1243" s="87"/>
    </row>
    <row r="1244" spans="1:60" ht="16">
      <c r="A1244" s="82"/>
      <c r="B1244" s="82"/>
      <c r="C1244" s="82"/>
      <c r="D1244" s="83"/>
      <c r="E1244" s="84"/>
      <c r="F1244" s="84"/>
      <c r="G1244" s="84"/>
      <c r="H1244" s="82"/>
      <c r="I1244" s="84"/>
      <c r="J1244" s="84"/>
      <c r="K1244" s="84"/>
      <c r="L1244" s="84"/>
      <c r="M1244" s="84"/>
      <c r="N1244" s="84"/>
      <c r="O1244" s="84"/>
      <c r="P1244" s="84"/>
      <c r="Q1244" s="84"/>
      <c r="R1244" s="84"/>
      <c r="S1244" s="84"/>
      <c r="T1244" s="84"/>
      <c r="U1244" s="84"/>
      <c r="V1244" s="84"/>
      <c r="W1244" s="84"/>
      <c r="X1244" s="84"/>
      <c r="Y1244" s="84"/>
      <c r="Z1244" s="87"/>
      <c r="AA1244" s="87"/>
      <c r="AB1244" s="87"/>
      <c r="AC1244" s="87"/>
      <c r="AD1244" s="87"/>
      <c r="AE1244" s="87"/>
      <c r="AF1244" s="87"/>
      <c r="AG1244" s="87"/>
      <c r="AH1244" s="87"/>
      <c r="AI1244" s="87"/>
      <c r="AJ1244" s="87"/>
      <c r="AK1244" s="87"/>
      <c r="AL1244" s="87"/>
      <c r="AM1244" s="87"/>
      <c r="AN1244" s="87"/>
      <c r="AO1244" s="87"/>
      <c r="AP1244" s="87"/>
      <c r="AQ1244" s="87"/>
      <c r="AR1244" s="87"/>
      <c r="AS1244" s="87"/>
      <c r="AT1244" s="87"/>
      <c r="AU1244" s="87"/>
      <c r="AV1244" s="87"/>
      <c r="AW1244" s="87"/>
      <c r="AX1244" s="87"/>
      <c r="AY1244" s="87"/>
      <c r="AZ1244" s="87"/>
      <c r="BA1244" s="87"/>
      <c r="BB1244" s="87"/>
      <c r="BC1244" s="87"/>
      <c r="BD1244" s="87"/>
      <c r="BE1244" s="87"/>
      <c r="BF1244" s="87"/>
      <c r="BG1244" s="87"/>
      <c r="BH1244" s="87"/>
    </row>
    <row r="1245" spans="1:60" ht="16">
      <c r="A1245" s="82"/>
      <c r="B1245" s="82"/>
      <c r="C1245" s="82"/>
      <c r="D1245" s="83"/>
      <c r="E1245" s="84"/>
      <c r="F1245" s="84"/>
      <c r="G1245" s="84"/>
      <c r="H1245" s="82"/>
      <c r="I1245" s="84"/>
      <c r="J1245" s="84"/>
      <c r="K1245" s="84"/>
      <c r="L1245" s="84"/>
      <c r="M1245" s="84"/>
      <c r="N1245" s="84"/>
      <c r="O1245" s="84"/>
      <c r="P1245" s="84"/>
      <c r="Q1245" s="84"/>
      <c r="R1245" s="84"/>
      <c r="S1245" s="84"/>
      <c r="T1245" s="84"/>
      <c r="U1245" s="84"/>
      <c r="V1245" s="84"/>
      <c r="W1245" s="84"/>
      <c r="X1245" s="84"/>
      <c r="Y1245" s="84"/>
      <c r="Z1245" s="87"/>
      <c r="AA1245" s="87"/>
      <c r="AB1245" s="87"/>
      <c r="AC1245" s="87"/>
      <c r="AD1245" s="87"/>
      <c r="AE1245" s="87"/>
      <c r="AF1245" s="87"/>
      <c r="AG1245" s="87"/>
      <c r="AH1245" s="87"/>
      <c r="AI1245" s="87"/>
      <c r="AJ1245" s="87"/>
      <c r="AK1245" s="87"/>
      <c r="AL1245" s="87"/>
      <c r="AM1245" s="87"/>
      <c r="AN1245" s="87"/>
      <c r="AO1245" s="87"/>
      <c r="AP1245" s="87"/>
      <c r="AQ1245" s="87"/>
      <c r="AR1245" s="87"/>
      <c r="AS1245" s="87"/>
      <c r="AT1245" s="87"/>
      <c r="AU1245" s="87"/>
      <c r="AV1245" s="87"/>
      <c r="AW1245" s="87"/>
      <c r="AX1245" s="87"/>
      <c r="AY1245" s="87"/>
      <c r="AZ1245" s="87"/>
      <c r="BA1245" s="87"/>
      <c r="BB1245" s="87"/>
      <c r="BC1245" s="87"/>
      <c r="BD1245" s="87"/>
      <c r="BE1245" s="87"/>
      <c r="BF1245" s="87"/>
      <c r="BG1245" s="87"/>
      <c r="BH1245" s="87"/>
    </row>
    <row r="1246" spans="1:60" ht="16">
      <c r="A1246" s="82"/>
      <c r="B1246" s="82"/>
      <c r="C1246" s="82"/>
      <c r="D1246" s="83"/>
      <c r="E1246" s="84"/>
      <c r="F1246" s="84"/>
      <c r="G1246" s="84"/>
      <c r="H1246" s="82"/>
      <c r="I1246" s="84"/>
      <c r="J1246" s="84"/>
      <c r="K1246" s="84"/>
      <c r="L1246" s="84"/>
      <c r="M1246" s="84"/>
      <c r="N1246" s="84"/>
      <c r="O1246" s="84"/>
      <c r="P1246" s="84"/>
      <c r="Q1246" s="84"/>
      <c r="R1246" s="84"/>
      <c r="S1246" s="84"/>
      <c r="T1246" s="84"/>
      <c r="U1246" s="84"/>
      <c r="V1246" s="84"/>
      <c r="W1246" s="84"/>
      <c r="X1246" s="84"/>
      <c r="Y1246" s="84"/>
      <c r="Z1246" s="87"/>
      <c r="AA1246" s="87"/>
      <c r="AB1246" s="87"/>
      <c r="AC1246" s="87"/>
      <c r="AD1246" s="87"/>
      <c r="AE1246" s="87"/>
      <c r="AF1246" s="87"/>
      <c r="AG1246" s="87"/>
      <c r="AH1246" s="87"/>
      <c r="AI1246" s="87"/>
      <c r="AJ1246" s="87"/>
      <c r="AK1246" s="87"/>
      <c r="AL1246" s="87"/>
      <c r="AM1246" s="87"/>
      <c r="AN1246" s="87"/>
      <c r="AO1246" s="87"/>
      <c r="AP1246" s="87"/>
      <c r="AQ1246" s="87"/>
      <c r="AR1246" s="87"/>
      <c r="AS1246" s="87"/>
      <c r="AT1246" s="87"/>
      <c r="AU1246" s="87"/>
      <c r="AV1246" s="87"/>
      <c r="AW1246" s="87"/>
      <c r="AX1246" s="87"/>
      <c r="AY1246" s="87"/>
      <c r="AZ1246" s="87"/>
      <c r="BA1246" s="87"/>
      <c r="BB1246" s="87"/>
      <c r="BC1246" s="87"/>
      <c r="BD1246" s="87"/>
      <c r="BE1246" s="87"/>
      <c r="BF1246" s="87"/>
      <c r="BG1246" s="87"/>
      <c r="BH1246" s="87"/>
    </row>
    <row r="1247" spans="1:60" ht="16">
      <c r="A1247" s="82"/>
      <c r="B1247" s="82"/>
      <c r="C1247" s="82"/>
      <c r="D1247" s="83"/>
      <c r="E1247" s="84"/>
      <c r="F1247" s="84"/>
      <c r="G1247" s="84"/>
      <c r="H1247" s="82"/>
      <c r="I1247" s="84"/>
      <c r="J1247" s="84"/>
      <c r="K1247" s="84"/>
      <c r="L1247" s="84"/>
      <c r="M1247" s="84"/>
      <c r="N1247" s="84"/>
      <c r="O1247" s="84"/>
      <c r="P1247" s="84"/>
      <c r="Q1247" s="84"/>
      <c r="R1247" s="84"/>
      <c r="S1247" s="84"/>
      <c r="T1247" s="84"/>
      <c r="U1247" s="84"/>
      <c r="V1247" s="84"/>
      <c r="W1247" s="84"/>
      <c r="X1247" s="84"/>
      <c r="Y1247" s="84"/>
      <c r="Z1247" s="87"/>
      <c r="AA1247" s="87"/>
      <c r="AB1247" s="87"/>
      <c r="AC1247" s="87"/>
      <c r="AD1247" s="87"/>
      <c r="AE1247" s="87"/>
      <c r="AF1247" s="87"/>
      <c r="AG1247" s="87"/>
      <c r="AH1247" s="87"/>
      <c r="AI1247" s="87"/>
      <c r="AJ1247" s="87"/>
      <c r="AK1247" s="87"/>
      <c r="AL1247" s="87"/>
      <c r="AM1247" s="87"/>
      <c r="AN1247" s="87"/>
      <c r="AO1247" s="87"/>
      <c r="AP1247" s="87"/>
      <c r="AQ1247" s="87"/>
      <c r="AR1247" s="87"/>
      <c r="AS1247" s="87"/>
      <c r="AT1247" s="87"/>
      <c r="AU1247" s="87"/>
      <c r="AV1247" s="87"/>
      <c r="AW1247" s="87"/>
      <c r="AX1247" s="87"/>
      <c r="AY1247" s="87"/>
      <c r="AZ1247" s="87"/>
      <c r="BA1247" s="87"/>
      <c r="BB1247" s="87"/>
      <c r="BC1247" s="87"/>
      <c r="BD1247" s="87"/>
      <c r="BE1247" s="87"/>
      <c r="BF1247" s="87"/>
      <c r="BG1247" s="87"/>
      <c r="BH1247" s="87"/>
    </row>
    <row r="1248" spans="1:60" ht="16">
      <c r="A1248" s="82"/>
      <c r="B1248" s="82"/>
      <c r="C1248" s="82"/>
      <c r="D1248" s="83"/>
      <c r="E1248" s="84"/>
      <c r="F1248" s="84"/>
      <c r="G1248" s="84"/>
      <c r="H1248" s="82"/>
      <c r="I1248" s="84"/>
      <c r="J1248" s="84"/>
      <c r="K1248" s="84"/>
      <c r="L1248" s="84"/>
      <c r="M1248" s="84"/>
      <c r="N1248" s="84"/>
      <c r="O1248" s="84"/>
      <c r="P1248" s="84"/>
      <c r="Q1248" s="84"/>
      <c r="R1248" s="84"/>
      <c r="S1248" s="84"/>
      <c r="T1248" s="84"/>
      <c r="U1248" s="84"/>
      <c r="V1248" s="84"/>
      <c r="W1248" s="84"/>
      <c r="X1248" s="84"/>
      <c r="Y1248" s="84"/>
      <c r="Z1248" s="87"/>
      <c r="AA1248" s="87"/>
      <c r="AB1248" s="87"/>
      <c r="AC1248" s="87"/>
      <c r="AD1248" s="87"/>
      <c r="AE1248" s="87"/>
      <c r="AF1248" s="87"/>
      <c r="AG1248" s="87"/>
      <c r="AH1248" s="87"/>
      <c r="AI1248" s="87"/>
      <c r="AJ1248" s="87"/>
      <c r="AK1248" s="87"/>
      <c r="AL1248" s="87"/>
      <c r="AM1248" s="87"/>
      <c r="AN1248" s="87"/>
      <c r="AO1248" s="87"/>
      <c r="AP1248" s="87"/>
      <c r="AQ1248" s="87"/>
      <c r="AR1248" s="87"/>
      <c r="AS1248" s="87"/>
      <c r="AT1248" s="87"/>
      <c r="AU1248" s="87"/>
      <c r="AV1248" s="87"/>
      <c r="AW1248" s="87"/>
      <c r="AX1248" s="87"/>
      <c r="AY1248" s="87"/>
      <c r="AZ1248" s="87"/>
      <c r="BA1248" s="87"/>
      <c r="BB1248" s="87"/>
      <c r="BC1248" s="87"/>
      <c r="BD1248" s="87"/>
      <c r="BE1248" s="87"/>
      <c r="BF1248" s="87"/>
      <c r="BG1248" s="87"/>
      <c r="BH1248" s="87"/>
    </row>
    <row r="1249" spans="1:60" ht="16">
      <c r="A1249" s="82"/>
      <c r="B1249" s="82"/>
      <c r="C1249" s="82"/>
      <c r="D1249" s="83"/>
      <c r="E1249" s="84"/>
      <c r="F1249" s="84"/>
      <c r="G1249" s="84"/>
      <c r="H1249" s="82"/>
      <c r="I1249" s="84"/>
      <c r="J1249" s="84"/>
      <c r="K1249" s="84"/>
      <c r="L1249" s="84"/>
      <c r="M1249" s="84"/>
      <c r="N1249" s="84"/>
      <c r="O1249" s="84"/>
      <c r="P1249" s="84"/>
      <c r="Q1249" s="84"/>
      <c r="R1249" s="84"/>
      <c r="S1249" s="84"/>
      <c r="T1249" s="84"/>
      <c r="U1249" s="84"/>
      <c r="V1249" s="84"/>
      <c r="W1249" s="84"/>
      <c r="X1249" s="84"/>
      <c r="Y1249" s="84"/>
      <c r="Z1249" s="87"/>
      <c r="AA1249" s="87"/>
      <c r="AB1249" s="87"/>
      <c r="AC1249" s="87"/>
      <c r="AD1249" s="87"/>
      <c r="AE1249" s="87"/>
      <c r="AF1249" s="87"/>
      <c r="AG1249" s="87"/>
      <c r="AH1249" s="87"/>
      <c r="AI1249" s="87"/>
      <c r="AJ1249" s="87"/>
      <c r="AK1249" s="87"/>
      <c r="AL1249" s="87"/>
      <c r="AM1249" s="87"/>
      <c r="AN1249" s="87"/>
      <c r="AO1249" s="87"/>
      <c r="AP1249" s="87"/>
      <c r="AQ1249" s="87"/>
      <c r="AR1249" s="87"/>
      <c r="AS1249" s="87"/>
      <c r="AT1249" s="87"/>
      <c r="AU1249" s="87"/>
      <c r="AV1249" s="87"/>
      <c r="AW1249" s="87"/>
      <c r="AX1249" s="87"/>
      <c r="AY1249" s="87"/>
      <c r="AZ1249" s="87"/>
      <c r="BA1249" s="87"/>
      <c r="BB1249" s="87"/>
      <c r="BC1249" s="87"/>
      <c r="BD1249" s="87"/>
      <c r="BE1249" s="87"/>
      <c r="BF1249" s="87"/>
      <c r="BG1249" s="87"/>
      <c r="BH1249" s="87"/>
    </row>
    <row r="1250" spans="1:60" ht="16">
      <c r="A1250" s="82"/>
      <c r="B1250" s="82"/>
      <c r="C1250" s="82"/>
      <c r="D1250" s="83"/>
      <c r="E1250" s="84"/>
      <c r="F1250" s="84"/>
      <c r="G1250" s="84"/>
      <c r="H1250" s="82"/>
      <c r="I1250" s="84"/>
      <c r="J1250" s="84"/>
      <c r="K1250" s="84"/>
      <c r="L1250" s="84"/>
      <c r="M1250" s="84"/>
      <c r="N1250" s="84"/>
      <c r="O1250" s="84"/>
      <c r="P1250" s="84"/>
      <c r="Q1250" s="84"/>
      <c r="R1250" s="84"/>
      <c r="S1250" s="84"/>
      <c r="T1250" s="84"/>
      <c r="U1250" s="84"/>
      <c r="V1250" s="84"/>
      <c r="W1250" s="84"/>
      <c r="X1250" s="84"/>
      <c r="Y1250" s="84"/>
      <c r="Z1250" s="87"/>
      <c r="AA1250" s="87"/>
      <c r="AB1250" s="87"/>
      <c r="AC1250" s="87"/>
      <c r="AD1250" s="87"/>
      <c r="AE1250" s="87"/>
      <c r="AF1250" s="87"/>
      <c r="AG1250" s="87"/>
      <c r="AH1250" s="87"/>
      <c r="AI1250" s="87"/>
      <c r="AJ1250" s="87"/>
      <c r="AK1250" s="87"/>
      <c r="AL1250" s="87"/>
      <c r="AM1250" s="87"/>
      <c r="AN1250" s="87"/>
      <c r="AO1250" s="87"/>
      <c r="AP1250" s="87"/>
      <c r="AQ1250" s="87"/>
      <c r="AR1250" s="87"/>
      <c r="AS1250" s="87"/>
      <c r="AT1250" s="87"/>
      <c r="AU1250" s="87"/>
      <c r="AV1250" s="87"/>
      <c r="AW1250" s="87"/>
      <c r="AX1250" s="87"/>
      <c r="AY1250" s="87"/>
      <c r="AZ1250" s="87"/>
      <c r="BA1250" s="87"/>
      <c r="BB1250" s="87"/>
      <c r="BC1250" s="87"/>
      <c r="BD1250" s="87"/>
      <c r="BE1250" s="87"/>
      <c r="BF1250" s="87"/>
      <c r="BG1250" s="87"/>
      <c r="BH1250" s="87"/>
    </row>
    <row r="1251" spans="1:60" ht="16">
      <c r="A1251" s="82"/>
      <c r="B1251" s="82"/>
      <c r="C1251" s="82"/>
      <c r="D1251" s="83"/>
      <c r="E1251" s="84"/>
      <c r="F1251" s="84"/>
      <c r="G1251" s="84"/>
      <c r="H1251" s="82"/>
      <c r="I1251" s="84"/>
      <c r="J1251" s="84"/>
      <c r="K1251" s="84"/>
      <c r="L1251" s="84"/>
      <c r="M1251" s="84"/>
      <c r="N1251" s="84"/>
      <c r="O1251" s="84"/>
      <c r="P1251" s="84"/>
      <c r="Q1251" s="84"/>
      <c r="R1251" s="84"/>
      <c r="S1251" s="84"/>
      <c r="T1251" s="84"/>
      <c r="U1251" s="84"/>
      <c r="V1251" s="84"/>
      <c r="W1251" s="84"/>
      <c r="X1251" s="84"/>
      <c r="Y1251" s="84"/>
      <c r="Z1251" s="87"/>
      <c r="AA1251" s="87"/>
      <c r="AB1251" s="87"/>
      <c r="AC1251" s="87"/>
      <c r="AD1251" s="87"/>
      <c r="AE1251" s="87"/>
      <c r="AF1251" s="87"/>
      <c r="AG1251" s="87"/>
      <c r="AH1251" s="87"/>
      <c r="AI1251" s="87"/>
      <c r="AJ1251" s="87"/>
      <c r="AK1251" s="87"/>
      <c r="AL1251" s="87"/>
      <c r="AM1251" s="87"/>
      <c r="AN1251" s="87"/>
      <c r="AO1251" s="87"/>
      <c r="AP1251" s="87"/>
      <c r="AQ1251" s="87"/>
      <c r="AR1251" s="87"/>
      <c r="AS1251" s="87"/>
      <c r="AT1251" s="87"/>
      <c r="AU1251" s="87"/>
      <c r="AV1251" s="87"/>
      <c r="AW1251" s="87"/>
      <c r="AX1251" s="87"/>
      <c r="AY1251" s="87"/>
      <c r="AZ1251" s="87"/>
      <c r="BA1251" s="87"/>
      <c r="BB1251" s="87"/>
      <c r="BC1251" s="87"/>
      <c r="BD1251" s="87"/>
      <c r="BE1251" s="87"/>
      <c r="BF1251" s="87"/>
      <c r="BG1251" s="87"/>
      <c r="BH1251" s="87"/>
    </row>
    <row r="1252" spans="1:60" ht="16">
      <c r="A1252" s="82"/>
      <c r="B1252" s="82"/>
      <c r="C1252" s="82"/>
      <c r="D1252" s="83"/>
      <c r="E1252" s="84"/>
      <c r="F1252" s="84"/>
      <c r="G1252" s="84"/>
      <c r="H1252" s="82"/>
      <c r="I1252" s="84"/>
      <c r="J1252" s="84"/>
      <c r="K1252" s="84"/>
      <c r="L1252" s="84"/>
      <c r="M1252" s="84"/>
      <c r="N1252" s="84"/>
      <c r="O1252" s="84"/>
      <c r="P1252" s="84"/>
      <c r="Q1252" s="84"/>
      <c r="R1252" s="84"/>
      <c r="S1252" s="84"/>
      <c r="T1252" s="84"/>
      <c r="U1252" s="84"/>
      <c r="V1252" s="84"/>
      <c r="W1252" s="84"/>
      <c r="X1252" s="84"/>
      <c r="Y1252" s="84"/>
      <c r="Z1252" s="87"/>
      <c r="AA1252" s="87"/>
      <c r="AB1252" s="87"/>
      <c r="AC1252" s="87"/>
      <c r="AD1252" s="87"/>
      <c r="AE1252" s="87"/>
      <c r="AF1252" s="87"/>
      <c r="AG1252" s="87"/>
      <c r="AH1252" s="87"/>
      <c r="AI1252" s="87"/>
      <c r="AJ1252" s="87"/>
      <c r="AK1252" s="87"/>
      <c r="AL1252" s="87"/>
      <c r="AM1252" s="87"/>
      <c r="AN1252" s="87"/>
      <c r="AO1252" s="87"/>
      <c r="AP1252" s="87"/>
      <c r="AQ1252" s="87"/>
      <c r="AR1252" s="87"/>
      <c r="AS1252" s="87"/>
      <c r="AT1252" s="87"/>
      <c r="AU1252" s="87"/>
      <c r="AV1252" s="87"/>
      <c r="AW1252" s="87"/>
      <c r="AX1252" s="87"/>
      <c r="AY1252" s="87"/>
      <c r="AZ1252" s="87"/>
      <c r="BA1252" s="87"/>
      <c r="BB1252" s="87"/>
      <c r="BC1252" s="87"/>
      <c r="BD1252" s="87"/>
      <c r="BE1252" s="87"/>
      <c r="BF1252" s="87"/>
      <c r="BG1252" s="87"/>
      <c r="BH1252" s="87"/>
    </row>
    <row r="1253" spans="1:60" ht="16">
      <c r="A1253" s="82"/>
      <c r="B1253" s="82"/>
      <c r="C1253" s="82"/>
      <c r="D1253" s="83"/>
      <c r="E1253" s="84"/>
      <c r="F1253" s="84"/>
      <c r="G1253" s="84"/>
      <c r="H1253" s="82"/>
      <c r="I1253" s="84"/>
      <c r="J1253" s="84"/>
      <c r="K1253" s="84"/>
      <c r="L1253" s="84"/>
      <c r="M1253" s="84"/>
      <c r="N1253" s="84"/>
      <c r="O1253" s="84"/>
      <c r="P1253" s="84"/>
      <c r="Q1253" s="84"/>
      <c r="R1253" s="84"/>
      <c r="S1253" s="84"/>
      <c r="T1253" s="84"/>
      <c r="U1253" s="84"/>
      <c r="V1253" s="84"/>
      <c r="W1253" s="84"/>
      <c r="X1253" s="84"/>
      <c r="Y1253" s="84"/>
      <c r="Z1253" s="87"/>
      <c r="AA1253" s="87"/>
      <c r="AB1253" s="87"/>
      <c r="AC1253" s="87"/>
      <c r="AD1253" s="87"/>
      <c r="AE1253" s="87"/>
      <c r="AF1253" s="87"/>
      <c r="AG1253" s="87"/>
      <c r="AH1253" s="87"/>
      <c r="AI1253" s="87"/>
      <c r="AJ1253" s="87"/>
      <c r="AK1253" s="87"/>
      <c r="AL1253" s="87"/>
      <c r="AM1253" s="87"/>
      <c r="AN1253" s="87"/>
      <c r="AO1253" s="87"/>
      <c r="AP1253" s="87"/>
      <c r="AQ1253" s="87"/>
      <c r="AR1253" s="87"/>
      <c r="AS1253" s="87"/>
      <c r="AT1253" s="87"/>
      <c r="AU1253" s="87"/>
      <c r="AV1253" s="87"/>
      <c r="AW1253" s="87"/>
      <c r="AX1253" s="87"/>
      <c r="AY1253" s="87"/>
      <c r="AZ1253" s="87"/>
      <c r="BA1253" s="87"/>
      <c r="BB1253" s="87"/>
      <c r="BC1253" s="87"/>
      <c r="BD1253" s="87"/>
      <c r="BE1253" s="87"/>
      <c r="BF1253" s="87"/>
      <c r="BG1253" s="87"/>
      <c r="BH1253" s="87"/>
    </row>
    <row r="1254" spans="1:60" ht="16">
      <c r="A1254" s="82"/>
      <c r="B1254" s="82"/>
      <c r="C1254" s="82"/>
      <c r="D1254" s="83"/>
      <c r="E1254" s="84"/>
      <c r="F1254" s="84"/>
      <c r="G1254" s="84"/>
      <c r="H1254" s="82"/>
      <c r="I1254" s="84"/>
      <c r="J1254" s="84"/>
      <c r="K1254" s="84"/>
      <c r="L1254" s="84"/>
      <c r="M1254" s="84"/>
      <c r="N1254" s="84"/>
      <c r="O1254" s="84"/>
      <c r="P1254" s="84"/>
      <c r="Q1254" s="84"/>
      <c r="R1254" s="84"/>
      <c r="S1254" s="84"/>
      <c r="T1254" s="84"/>
      <c r="U1254" s="84"/>
      <c r="V1254" s="84"/>
      <c r="W1254" s="84"/>
      <c r="X1254" s="84"/>
      <c r="Y1254" s="84"/>
      <c r="Z1254" s="87"/>
      <c r="AA1254" s="87"/>
      <c r="AB1254" s="87"/>
      <c r="AC1254" s="87"/>
      <c r="AD1254" s="87"/>
      <c r="AE1254" s="87"/>
      <c r="AF1254" s="87"/>
      <c r="AG1254" s="87"/>
      <c r="AH1254" s="87"/>
      <c r="AI1254" s="87"/>
      <c r="AJ1254" s="87"/>
      <c r="AK1254" s="87"/>
      <c r="AL1254" s="87"/>
      <c r="AM1254" s="87"/>
      <c r="AN1254" s="87"/>
      <c r="AO1254" s="87"/>
      <c r="AP1254" s="87"/>
      <c r="AQ1254" s="87"/>
      <c r="AR1254" s="87"/>
      <c r="AS1254" s="87"/>
      <c r="AT1254" s="87"/>
      <c r="AU1254" s="87"/>
      <c r="AV1254" s="87"/>
      <c r="AW1254" s="87"/>
      <c r="AX1254" s="87"/>
      <c r="AY1254" s="87"/>
      <c r="AZ1254" s="87"/>
      <c r="BA1254" s="87"/>
      <c r="BB1254" s="87"/>
      <c r="BC1254" s="87"/>
      <c r="BD1254" s="87"/>
      <c r="BE1254" s="87"/>
      <c r="BF1254" s="87"/>
      <c r="BG1254" s="87"/>
      <c r="BH1254" s="87"/>
    </row>
    <row r="1255" spans="1:60" ht="16">
      <c r="A1255" s="82"/>
      <c r="B1255" s="82"/>
      <c r="C1255" s="82"/>
      <c r="D1255" s="83"/>
      <c r="E1255" s="84"/>
      <c r="F1255" s="84"/>
      <c r="G1255" s="84"/>
      <c r="H1255" s="82"/>
      <c r="I1255" s="84"/>
      <c r="J1255" s="84"/>
      <c r="K1255" s="84"/>
      <c r="L1255" s="84"/>
      <c r="M1255" s="84"/>
      <c r="N1255" s="84"/>
      <c r="O1255" s="84"/>
      <c r="P1255" s="84"/>
      <c r="Q1255" s="84"/>
      <c r="R1255" s="84"/>
      <c r="S1255" s="84"/>
      <c r="T1255" s="84"/>
      <c r="U1255" s="84"/>
      <c r="V1255" s="84"/>
      <c r="W1255" s="84"/>
      <c r="X1255" s="84"/>
      <c r="Y1255" s="84"/>
      <c r="Z1255" s="87"/>
      <c r="AA1255" s="87"/>
      <c r="AB1255" s="87"/>
      <c r="AC1255" s="87"/>
      <c r="AD1255" s="87"/>
      <c r="AE1255" s="87"/>
      <c r="AF1255" s="87"/>
      <c r="AG1255" s="87"/>
      <c r="AH1255" s="87"/>
      <c r="AI1255" s="87"/>
      <c r="AJ1255" s="87"/>
      <c r="AK1255" s="87"/>
      <c r="AL1255" s="87"/>
      <c r="AM1255" s="87"/>
      <c r="AN1255" s="87"/>
      <c r="AO1255" s="87"/>
      <c r="AP1255" s="87"/>
      <c r="AQ1255" s="87"/>
      <c r="AR1255" s="87"/>
      <c r="AS1255" s="87"/>
      <c r="AT1255" s="87"/>
      <c r="AU1255" s="87"/>
      <c r="AV1255" s="87"/>
      <c r="AW1255" s="87"/>
      <c r="AX1255" s="87"/>
      <c r="AY1255" s="87"/>
      <c r="AZ1255" s="87"/>
      <c r="BA1255" s="87"/>
      <c r="BB1255" s="87"/>
      <c r="BC1255" s="87"/>
      <c r="BD1255" s="87"/>
      <c r="BE1255" s="87"/>
      <c r="BF1255" s="87"/>
      <c r="BG1255" s="87"/>
      <c r="BH1255" s="87"/>
    </row>
    <row r="1256" spans="1:60" ht="16">
      <c r="A1256" s="82"/>
      <c r="B1256" s="82"/>
      <c r="C1256" s="82"/>
      <c r="D1256" s="83"/>
      <c r="E1256" s="84"/>
      <c r="F1256" s="84"/>
      <c r="G1256" s="84"/>
      <c r="H1256" s="82"/>
      <c r="I1256" s="84"/>
      <c r="J1256" s="84"/>
      <c r="K1256" s="84"/>
      <c r="L1256" s="84"/>
      <c r="M1256" s="84"/>
      <c r="N1256" s="84"/>
      <c r="O1256" s="84"/>
      <c r="P1256" s="84"/>
      <c r="Q1256" s="84"/>
      <c r="R1256" s="84"/>
      <c r="S1256" s="84"/>
      <c r="T1256" s="84"/>
      <c r="U1256" s="84"/>
      <c r="V1256" s="84"/>
      <c r="W1256" s="84"/>
      <c r="X1256" s="84"/>
      <c r="Y1256" s="84"/>
      <c r="Z1256" s="87"/>
      <c r="AA1256" s="87"/>
      <c r="AB1256" s="87"/>
      <c r="AC1256" s="87"/>
      <c r="AD1256" s="87"/>
      <c r="AE1256" s="87"/>
      <c r="AF1256" s="87"/>
      <c r="AG1256" s="87"/>
      <c r="AH1256" s="87"/>
      <c r="AI1256" s="87"/>
      <c r="AJ1256" s="87"/>
      <c r="AK1256" s="87"/>
      <c r="AL1256" s="87"/>
      <c r="AM1256" s="87"/>
      <c r="AN1256" s="87"/>
      <c r="AO1256" s="87"/>
      <c r="AP1256" s="87"/>
      <c r="AQ1256" s="87"/>
      <c r="AR1256" s="87"/>
      <c r="AS1256" s="87"/>
      <c r="AT1256" s="87"/>
      <c r="AU1256" s="87"/>
      <c r="AV1256" s="87"/>
      <c r="AW1256" s="87"/>
      <c r="AX1256" s="87"/>
      <c r="AY1256" s="87"/>
      <c r="AZ1256" s="87"/>
      <c r="BA1256" s="87"/>
      <c r="BB1256" s="87"/>
      <c r="BC1256" s="87"/>
      <c r="BD1256" s="87"/>
      <c r="BE1256" s="87"/>
      <c r="BF1256" s="87"/>
      <c r="BG1256" s="87"/>
      <c r="BH1256" s="87"/>
    </row>
    <row r="1257" spans="1:60" ht="16">
      <c r="A1257" s="82"/>
      <c r="B1257" s="82"/>
      <c r="C1257" s="82"/>
      <c r="D1257" s="83"/>
      <c r="E1257" s="84"/>
      <c r="F1257" s="84"/>
      <c r="G1257" s="84"/>
      <c r="H1257" s="82"/>
      <c r="I1257" s="84"/>
      <c r="J1257" s="84"/>
      <c r="K1257" s="84"/>
      <c r="L1257" s="84"/>
      <c r="M1257" s="84"/>
      <c r="N1257" s="84"/>
      <c r="O1257" s="84"/>
      <c r="P1257" s="84"/>
      <c r="Q1257" s="84"/>
      <c r="R1257" s="84"/>
      <c r="S1257" s="84"/>
      <c r="T1257" s="84"/>
      <c r="U1257" s="84"/>
      <c r="V1257" s="84"/>
      <c r="W1257" s="84"/>
      <c r="X1257" s="84"/>
      <c r="Y1257" s="84"/>
      <c r="Z1257" s="87"/>
      <c r="AA1257" s="87"/>
      <c r="AB1257" s="87"/>
      <c r="AC1257" s="87"/>
      <c r="AD1257" s="87"/>
      <c r="AE1257" s="87"/>
      <c r="AF1257" s="87"/>
      <c r="AG1257" s="87"/>
      <c r="AH1257" s="87"/>
      <c r="AI1257" s="87"/>
      <c r="AJ1257" s="87"/>
      <c r="AK1257" s="87"/>
      <c r="AL1257" s="87"/>
      <c r="AM1257" s="87"/>
      <c r="AN1257" s="87"/>
      <c r="AO1257" s="87"/>
      <c r="AP1257" s="87"/>
      <c r="AQ1257" s="87"/>
      <c r="AR1257" s="87"/>
      <c r="AS1257" s="87"/>
      <c r="AT1257" s="87"/>
      <c r="AU1257" s="87"/>
      <c r="AV1257" s="87"/>
      <c r="AW1257" s="87"/>
      <c r="AX1257" s="87"/>
      <c r="AY1257" s="87"/>
      <c r="AZ1257" s="87"/>
      <c r="BA1257" s="87"/>
      <c r="BB1257" s="87"/>
      <c r="BC1257" s="87"/>
      <c r="BD1257" s="87"/>
      <c r="BE1257" s="87"/>
      <c r="BF1257" s="87"/>
      <c r="BG1257" s="87"/>
      <c r="BH1257" s="87"/>
    </row>
    <row r="1258" spans="1:60" ht="16">
      <c r="A1258" s="82"/>
      <c r="B1258" s="82"/>
      <c r="C1258" s="82"/>
      <c r="D1258" s="83"/>
      <c r="E1258" s="84"/>
      <c r="F1258" s="84"/>
      <c r="G1258" s="84"/>
      <c r="H1258" s="82"/>
      <c r="I1258" s="84"/>
      <c r="J1258" s="84"/>
      <c r="K1258" s="84"/>
      <c r="L1258" s="84"/>
      <c r="M1258" s="84"/>
      <c r="N1258" s="84"/>
      <c r="O1258" s="84"/>
      <c r="P1258" s="84"/>
      <c r="Q1258" s="84"/>
      <c r="R1258" s="84"/>
      <c r="S1258" s="84"/>
      <c r="T1258" s="84"/>
      <c r="U1258" s="84"/>
      <c r="V1258" s="84"/>
      <c r="W1258" s="84"/>
      <c r="X1258" s="84"/>
      <c r="Y1258" s="84"/>
      <c r="Z1258" s="87"/>
      <c r="AA1258" s="87"/>
      <c r="AB1258" s="87"/>
      <c r="AC1258" s="87"/>
      <c r="AD1258" s="87"/>
      <c r="AE1258" s="87"/>
      <c r="AF1258" s="87"/>
      <c r="AG1258" s="87"/>
      <c r="AH1258" s="87"/>
      <c r="AI1258" s="87"/>
      <c r="AJ1258" s="87"/>
      <c r="AK1258" s="87"/>
      <c r="AL1258" s="87"/>
      <c r="AM1258" s="87"/>
      <c r="AN1258" s="87"/>
      <c r="AO1258" s="87"/>
      <c r="AP1258" s="87"/>
      <c r="AQ1258" s="87"/>
      <c r="AR1258" s="87"/>
      <c r="AS1258" s="87"/>
      <c r="AT1258" s="87"/>
      <c r="AU1258" s="87"/>
      <c r="AV1258" s="87"/>
      <c r="AW1258" s="87"/>
      <c r="AX1258" s="87"/>
      <c r="AY1258" s="87"/>
      <c r="AZ1258" s="87"/>
      <c r="BA1258" s="87"/>
      <c r="BB1258" s="87"/>
      <c r="BC1258" s="87"/>
      <c r="BD1258" s="87"/>
      <c r="BE1258" s="87"/>
      <c r="BF1258" s="87"/>
      <c r="BG1258" s="87"/>
      <c r="BH1258" s="87"/>
    </row>
    <row r="1259" spans="1:60" ht="16">
      <c r="A1259" s="82"/>
      <c r="B1259" s="82"/>
      <c r="C1259" s="82"/>
      <c r="D1259" s="83"/>
      <c r="E1259" s="84"/>
      <c r="F1259" s="84"/>
      <c r="G1259" s="84"/>
      <c r="H1259" s="82"/>
      <c r="I1259" s="84"/>
      <c r="J1259" s="84"/>
      <c r="K1259" s="84"/>
      <c r="L1259" s="84"/>
      <c r="M1259" s="84"/>
      <c r="N1259" s="84"/>
      <c r="O1259" s="84"/>
      <c r="P1259" s="84"/>
      <c r="Q1259" s="84"/>
      <c r="R1259" s="84"/>
      <c r="S1259" s="84"/>
      <c r="T1259" s="84"/>
      <c r="U1259" s="84"/>
      <c r="V1259" s="84"/>
      <c r="W1259" s="84"/>
      <c r="X1259" s="84"/>
      <c r="Y1259" s="84"/>
      <c r="Z1259" s="87"/>
      <c r="AA1259" s="87"/>
      <c r="AB1259" s="87"/>
      <c r="AC1259" s="87"/>
      <c r="AD1259" s="87"/>
      <c r="AE1259" s="87"/>
      <c r="AF1259" s="87"/>
      <c r="AG1259" s="87"/>
      <c r="AH1259" s="87"/>
      <c r="AI1259" s="87"/>
      <c r="AJ1259" s="87"/>
      <c r="AK1259" s="87"/>
      <c r="AL1259" s="87"/>
      <c r="AM1259" s="87"/>
      <c r="AN1259" s="87"/>
      <c r="AO1259" s="87"/>
      <c r="AP1259" s="87"/>
      <c r="AQ1259" s="87"/>
      <c r="AR1259" s="87"/>
      <c r="AS1259" s="87"/>
      <c r="AT1259" s="87"/>
      <c r="AU1259" s="87"/>
      <c r="AV1259" s="87"/>
      <c r="AW1259" s="87"/>
      <c r="AX1259" s="87"/>
      <c r="AY1259" s="87"/>
      <c r="AZ1259" s="87"/>
      <c r="BA1259" s="87"/>
      <c r="BB1259" s="87"/>
      <c r="BC1259" s="87"/>
      <c r="BD1259" s="87"/>
      <c r="BE1259" s="87"/>
      <c r="BF1259" s="87"/>
      <c r="BG1259" s="87"/>
      <c r="BH1259" s="87"/>
    </row>
    <row r="1260" spans="1:60" ht="16">
      <c r="A1260" s="82"/>
      <c r="B1260" s="82"/>
      <c r="C1260" s="82"/>
      <c r="D1260" s="83"/>
      <c r="E1260" s="84"/>
      <c r="F1260" s="84"/>
      <c r="G1260" s="84"/>
      <c r="H1260" s="82"/>
      <c r="I1260" s="84"/>
      <c r="J1260" s="84"/>
      <c r="K1260" s="84"/>
      <c r="L1260" s="84"/>
      <c r="M1260" s="84"/>
      <c r="N1260" s="84"/>
      <c r="O1260" s="84"/>
      <c r="P1260" s="84"/>
      <c r="Q1260" s="84"/>
      <c r="R1260" s="84"/>
      <c r="S1260" s="84"/>
      <c r="T1260" s="84"/>
      <c r="U1260" s="84"/>
      <c r="V1260" s="84"/>
      <c r="W1260" s="84"/>
      <c r="X1260" s="84"/>
      <c r="Y1260" s="84"/>
      <c r="Z1260" s="87"/>
      <c r="AA1260" s="87"/>
      <c r="AB1260" s="87"/>
      <c r="AC1260" s="87"/>
      <c r="AD1260" s="87"/>
      <c r="AE1260" s="87"/>
      <c r="AF1260" s="87"/>
      <c r="AG1260" s="87"/>
      <c r="AH1260" s="87"/>
      <c r="AI1260" s="87"/>
      <c r="AJ1260" s="87"/>
      <c r="AK1260" s="87"/>
      <c r="AL1260" s="87"/>
      <c r="AM1260" s="87"/>
      <c r="AN1260" s="87"/>
      <c r="AO1260" s="87"/>
      <c r="AP1260" s="87"/>
      <c r="AQ1260" s="87"/>
      <c r="AR1260" s="87"/>
      <c r="AS1260" s="87"/>
      <c r="AT1260" s="87"/>
      <c r="AU1260" s="87"/>
      <c r="AV1260" s="87"/>
      <c r="AW1260" s="87"/>
      <c r="AX1260" s="87"/>
      <c r="AY1260" s="87"/>
      <c r="AZ1260" s="87"/>
      <c r="BA1260" s="87"/>
      <c r="BB1260" s="87"/>
      <c r="BC1260" s="87"/>
      <c r="BD1260" s="87"/>
      <c r="BE1260" s="87"/>
      <c r="BF1260" s="87"/>
      <c r="BG1260" s="87"/>
      <c r="BH1260" s="87"/>
    </row>
    <row r="1261" spans="1:60" ht="16">
      <c r="A1261" s="82"/>
      <c r="B1261" s="82"/>
      <c r="C1261" s="82"/>
      <c r="D1261" s="83"/>
      <c r="E1261" s="84"/>
      <c r="F1261" s="84"/>
      <c r="G1261" s="84"/>
      <c r="H1261" s="82"/>
      <c r="I1261" s="84"/>
      <c r="J1261" s="84"/>
      <c r="K1261" s="84"/>
      <c r="L1261" s="84"/>
      <c r="M1261" s="84"/>
      <c r="N1261" s="84"/>
      <c r="O1261" s="84"/>
      <c r="P1261" s="84"/>
      <c r="Q1261" s="84"/>
      <c r="R1261" s="84"/>
      <c r="S1261" s="84"/>
      <c r="T1261" s="84"/>
      <c r="U1261" s="84"/>
      <c r="V1261" s="84"/>
      <c r="W1261" s="84"/>
      <c r="X1261" s="84"/>
      <c r="Y1261" s="84"/>
      <c r="Z1261" s="87"/>
      <c r="AA1261" s="87"/>
      <c r="AB1261" s="87"/>
      <c r="AC1261" s="87"/>
      <c r="AD1261" s="87"/>
      <c r="AE1261" s="87"/>
      <c r="AF1261" s="87"/>
      <c r="AG1261" s="87"/>
      <c r="AH1261" s="87"/>
      <c r="AI1261" s="87"/>
      <c r="AJ1261" s="87"/>
      <c r="AK1261" s="87"/>
      <c r="AL1261" s="87"/>
      <c r="AM1261" s="87"/>
      <c r="AN1261" s="87"/>
      <c r="AO1261" s="87"/>
      <c r="AP1261" s="87"/>
      <c r="AQ1261" s="87"/>
      <c r="AR1261" s="87"/>
      <c r="AS1261" s="87"/>
      <c r="AT1261" s="87"/>
      <c r="AU1261" s="87"/>
      <c r="AV1261" s="87"/>
      <c r="AW1261" s="87"/>
      <c r="AX1261" s="87"/>
      <c r="AY1261" s="87"/>
      <c r="AZ1261" s="87"/>
      <c r="BA1261" s="87"/>
      <c r="BB1261" s="87"/>
      <c r="BC1261" s="87"/>
      <c r="BD1261" s="87"/>
      <c r="BE1261" s="87"/>
      <c r="BF1261" s="87"/>
      <c r="BG1261" s="87"/>
      <c r="BH1261" s="87"/>
    </row>
    <row r="1262" spans="1:60" ht="16">
      <c r="A1262" s="82"/>
      <c r="B1262" s="82"/>
      <c r="C1262" s="82"/>
      <c r="D1262" s="83"/>
      <c r="E1262" s="84"/>
      <c r="F1262" s="84"/>
      <c r="G1262" s="84"/>
      <c r="H1262" s="82"/>
      <c r="I1262" s="84"/>
      <c r="J1262" s="84"/>
      <c r="K1262" s="84"/>
      <c r="L1262" s="84"/>
      <c r="M1262" s="84"/>
      <c r="N1262" s="84"/>
      <c r="O1262" s="84"/>
      <c r="P1262" s="84"/>
      <c r="Q1262" s="84"/>
      <c r="R1262" s="84"/>
      <c r="S1262" s="84"/>
      <c r="T1262" s="84"/>
      <c r="U1262" s="84"/>
      <c r="V1262" s="84"/>
      <c r="W1262" s="84"/>
      <c r="X1262" s="84"/>
      <c r="Y1262" s="84"/>
      <c r="Z1262" s="87"/>
      <c r="AA1262" s="87"/>
      <c r="AB1262" s="87"/>
      <c r="AC1262" s="87"/>
      <c r="AD1262" s="87"/>
      <c r="AE1262" s="87"/>
      <c r="AF1262" s="87"/>
      <c r="AG1262" s="87"/>
      <c r="AH1262" s="87"/>
      <c r="AI1262" s="87"/>
      <c r="AJ1262" s="87"/>
      <c r="AK1262" s="87"/>
      <c r="AL1262" s="87"/>
      <c r="AM1262" s="87"/>
      <c r="AN1262" s="87"/>
      <c r="AO1262" s="87"/>
      <c r="AP1262" s="87"/>
      <c r="AQ1262" s="87"/>
      <c r="AR1262" s="87"/>
      <c r="AS1262" s="87"/>
      <c r="AT1262" s="87"/>
      <c r="AU1262" s="87"/>
      <c r="AV1262" s="87"/>
      <c r="AW1262" s="87"/>
      <c r="AX1262" s="87"/>
      <c r="AY1262" s="87"/>
      <c r="AZ1262" s="87"/>
      <c r="BA1262" s="87"/>
      <c r="BB1262" s="87"/>
      <c r="BC1262" s="87"/>
      <c r="BD1262" s="87"/>
      <c r="BE1262" s="87"/>
      <c r="BF1262" s="87"/>
      <c r="BG1262" s="87"/>
      <c r="BH1262" s="87"/>
    </row>
    <row r="1263" spans="1:60" ht="16">
      <c r="A1263" s="82"/>
      <c r="B1263" s="82"/>
      <c r="C1263" s="82"/>
      <c r="D1263" s="83"/>
      <c r="E1263" s="84"/>
      <c r="F1263" s="84"/>
      <c r="G1263" s="84"/>
      <c r="H1263" s="82"/>
      <c r="I1263" s="84"/>
      <c r="J1263" s="84"/>
      <c r="K1263" s="84"/>
      <c r="L1263" s="84"/>
      <c r="M1263" s="84"/>
      <c r="N1263" s="84"/>
      <c r="O1263" s="84"/>
      <c r="P1263" s="84"/>
      <c r="Q1263" s="84"/>
      <c r="R1263" s="84"/>
      <c r="S1263" s="84"/>
      <c r="T1263" s="84"/>
      <c r="U1263" s="84"/>
      <c r="V1263" s="84"/>
      <c r="W1263" s="84"/>
      <c r="X1263" s="84"/>
      <c r="Y1263" s="84"/>
      <c r="Z1263" s="87"/>
      <c r="AA1263" s="87"/>
      <c r="AB1263" s="87"/>
      <c r="AC1263" s="87"/>
      <c r="AD1263" s="87"/>
      <c r="AE1263" s="87"/>
      <c r="AF1263" s="87"/>
      <c r="AG1263" s="87"/>
      <c r="AH1263" s="87"/>
      <c r="AI1263" s="87"/>
      <c r="AJ1263" s="87"/>
      <c r="AK1263" s="87"/>
      <c r="AL1263" s="87"/>
      <c r="AM1263" s="87"/>
      <c r="AN1263" s="87"/>
      <c r="AO1263" s="87"/>
      <c r="AP1263" s="87"/>
      <c r="AQ1263" s="87"/>
      <c r="AR1263" s="87"/>
      <c r="AS1263" s="87"/>
      <c r="AT1263" s="87"/>
      <c r="AU1263" s="87"/>
      <c r="AV1263" s="87"/>
      <c r="AW1263" s="87"/>
      <c r="AX1263" s="87"/>
      <c r="AY1263" s="87"/>
      <c r="AZ1263" s="87"/>
      <c r="BA1263" s="87"/>
      <c r="BB1263" s="87"/>
      <c r="BC1263" s="87"/>
      <c r="BD1263" s="87"/>
      <c r="BE1263" s="87"/>
      <c r="BF1263" s="87"/>
      <c r="BG1263" s="87"/>
      <c r="BH1263" s="87"/>
    </row>
    <row r="1264" spans="1:60" ht="16">
      <c r="A1264" s="82"/>
      <c r="B1264" s="82"/>
      <c r="C1264" s="82"/>
      <c r="D1264" s="83"/>
      <c r="E1264" s="84"/>
      <c r="F1264" s="84"/>
      <c r="G1264" s="84"/>
      <c r="H1264" s="82"/>
      <c r="I1264" s="84"/>
      <c r="J1264" s="84"/>
      <c r="K1264" s="84"/>
      <c r="L1264" s="84"/>
      <c r="M1264" s="84"/>
      <c r="N1264" s="84"/>
      <c r="O1264" s="84"/>
      <c r="P1264" s="84"/>
      <c r="Q1264" s="84"/>
      <c r="R1264" s="84"/>
      <c r="S1264" s="84"/>
      <c r="T1264" s="84"/>
      <c r="U1264" s="84"/>
      <c r="V1264" s="84"/>
      <c r="W1264" s="84"/>
      <c r="X1264" s="84"/>
      <c r="Y1264" s="84"/>
      <c r="Z1264" s="87"/>
      <c r="AA1264" s="87"/>
      <c r="AB1264" s="87"/>
      <c r="AC1264" s="87"/>
      <c r="AD1264" s="87"/>
      <c r="AE1264" s="87"/>
      <c r="AF1264" s="87"/>
      <c r="AG1264" s="87"/>
      <c r="AH1264" s="87"/>
      <c r="AI1264" s="87"/>
      <c r="AJ1264" s="87"/>
      <c r="AK1264" s="87"/>
      <c r="AL1264" s="87"/>
      <c r="AM1264" s="87"/>
      <c r="AN1264" s="87"/>
      <c r="AO1264" s="87"/>
      <c r="AP1264" s="87"/>
      <c r="AQ1264" s="87"/>
      <c r="AR1264" s="87"/>
      <c r="AS1264" s="87"/>
      <c r="AT1264" s="87"/>
      <c r="AU1264" s="87"/>
      <c r="AV1264" s="87"/>
      <c r="AW1264" s="87"/>
      <c r="AX1264" s="87"/>
      <c r="AY1264" s="87"/>
      <c r="AZ1264" s="87"/>
      <c r="BA1264" s="87"/>
      <c r="BB1264" s="87"/>
      <c r="BC1264" s="87"/>
      <c r="BD1264" s="87"/>
      <c r="BE1264" s="87"/>
      <c r="BF1264" s="87"/>
      <c r="BG1264" s="87"/>
      <c r="BH1264" s="87"/>
    </row>
    <row r="1265" spans="1:60" ht="16">
      <c r="A1265" s="82"/>
      <c r="B1265" s="82"/>
      <c r="C1265" s="82"/>
      <c r="D1265" s="83"/>
      <c r="E1265" s="84"/>
      <c r="F1265" s="84"/>
      <c r="G1265" s="84"/>
      <c r="H1265" s="82"/>
      <c r="I1265" s="84"/>
      <c r="J1265" s="84"/>
      <c r="K1265" s="84"/>
      <c r="L1265" s="84"/>
      <c r="M1265" s="84"/>
      <c r="N1265" s="84"/>
      <c r="O1265" s="84"/>
      <c r="P1265" s="84"/>
      <c r="Q1265" s="84"/>
      <c r="R1265" s="84"/>
      <c r="S1265" s="84"/>
      <c r="T1265" s="84"/>
      <c r="U1265" s="84"/>
      <c r="V1265" s="84"/>
      <c r="W1265" s="84"/>
      <c r="X1265" s="84"/>
      <c r="Y1265" s="84"/>
      <c r="Z1265" s="87"/>
      <c r="AA1265" s="87"/>
      <c r="AB1265" s="87"/>
      <c r="AC1265" s="87"/>
      <c r="AD1265" s="87"/>
      <c r="AE1265" s="87"/>
      <c r="AF1265" s="87"/>
      <c r="AG1265" s="87"/>
      <c r="AH1265" s="87"/>
      <c r="AI1265" s="87"/>
      <c r="AJ1265" s="87"/>
      <c r="AK1265" s="87"/>
      <c r="AL1265" s="87"/>
      <c r="AM1265" s="87"/>
      <c r="AN1265" s="87"/>
      <c r="AO1265" s="87"/>
      <c r="AP1265" s="87"/>
      <c r="AQ1265" s="87"/>
      <c r="AR1265" s="87"/>
      <c r="AS1265" s="87"/>
      <c r="AT1265" s="87"/>
      <c r="AU1265" s="87"/>
      <c r="AV1265" s="87"/>
      <c r="AW1265" s="87"/>
      <c r="AX1265" s="87"/>
      <c r="AY1265" s="87"/>
      <c r="AZ1265" s="87"/>
      <c r="BA1265" s="87"/>
      <c r="BB1265" s="87"/>
      <c r="BC1265" s="87"/>
      <c r="BD1265" s="87"/>
      <c r="BE1265" s="87"/>
      <c r="BF1265" s="87"/>
      <c r="BG1265" s="87"/>
      <c r="BH1265" s="87"/>
    </row>
    <row r="1266" spans="1:60" ht="16">
      <c r="A1266" s="82"/>
      <c r="B1266" s="82"/>
      <c r="C1266" s="82"/>
      <c r="D1266" s="83"/>
      <c r="E1266" s="84"/>
      <c r="F1266" s="84"/>
      <c r="G1266" s="84"/>
      <c r="H1266" s="82"/>
      <c r="I1266" s="84"/>
      <c r="J1266" s="84"/>
      <c r="K1266" s="84"/>
      <c r="L1266" s="84"/>
      <c r="M1266" s="84"/>
      <c r="N1266" s="84"/>
      <c r="O1266" s="84"/>
      <c r="P1266" s="84"/>
      <c r="Q1266" s="84"/>
      <c r="R1266" s="84"/>
      <c r="S1266" s="84"/>
      <c r="T1266" s="84"/>
      <c r="U1266" s="84"/>
      <c r="V1266" s="84"/>
      <c r="W1266" s="84"/>
      <c r="X1266" s="84"/>
      <c r="Y1266" s="84"/>
      <c r="Z1266" s="87"/>
      <c r="AA1266" s="87"/>
      <c r="AB1266" s="87"/>
      <c r="AC1266" s="87"/>
      <c r="AD1266" s="87"/>
      <c r="AE1266" s="87"/>
      <c r="AF1266" s="87"/>
      <c r="AG1266" s="87"/>
      <c r="AH1266" s="87"/>
      <c r="AI1266" s="87"/>
      <c r="AJ1266" s="87"/>
      <c r="AK1266" s="87"/>
      <c r="AL1266" s="87"/>
      <c r="AM1266" s="87"/>
      <c r="AN1266" s="87"/>
      <c r="AO1266" s="87"/>
      <c r="AP1266" s="87"/>
      <c r="AQ1266" s="87"/>
      <c r="AR1266" s="87"/>
      <c r="AS1266" s="87"/>
      <c r="AT1266" s="87"/>
      <c r="AU1266" s="87"/>
      <c r="AV1266" s="87"/>
      <c r="AW1266" s="87"/>
      <c r="AX1266" s="87"/>
      <c r="AY1266" s="87"/>
      <c r="AZ1266" s="87"/>
      <c r="BA1266" s="87"/>
      <c r="BB1266" s="87"/>
      <c r="BC1266" s="87"/>
      <c r="BD1266" s="87"/>
      <c r="BE1266" s="87"/>
      <c r="BF1266" s="87"/>
      <c r="BG1266" s="87"/>
      <c r="BH1266" s="87"/>
    </row>
    <row r="1267" spans="1:60" ht="16">
      <c r="A1267" s="82"/>
      <c r="B1267" s="82"/>
      <c r="C1267" s="82"/>
      <c r="D1267" s="83"/>
      <c r="E1267" s="84"/>
      <c r="F1267" s="84"/>
      <c r="G1267" s="84"/>
      <c r="H1267" s="82"/>
      <c r="I1267" s="84"/>
      <c r="J1267" s="84"/>
      <c r="K1267" s="84"/>
      <c r="L1267" s="84"/>
      <c r="M1267" s="84"/>
      <c r="N1267" s="84"/>
      <c r="O1267" s="84"/>
      <c r="P1267" s="84"/>
      <c r="Q1267" s="84"/>
      <c r="R1267" s="84"/>
      <c r="S1267" s="84"/>
      <c r="T1267" s="84"/>
      <c r="U1267" s="84"/>
      <c r="V1267" s="84"/>
      <c r="W1267" s="84"/>
      <c r="X1267" s="84"/>
      <c r="Y1267" s="84"/>
      <c r="Z1267" s="87"/>
      <c r="AA1267" s="87"/>
      <c r="AB1267" s="87"/>
      <c r="AC1267" s="87"/>
      <c r="AD1267" s="87"/>
      <c r="AE1267" s="87"/>
      <c r="AF1267" s="87"/>
      <c r="AG1267" s="87"/>
      <c r="AH1267" s="87"/>
      <c r="AI1267" s="87"/>
      <c r="AJ1267" s="87"/>
      <c r="AK1267" s="87"/>
      <c r="AL1267" s="87"/>
      <c r="AM1267" s="87"/>
      <c r="AN1267" s="87"/>
      <c r="AO1267" s="87"/>
      <c r="AP1267" s="87"/>
      <c r="AQ1267" s="87"/>
      <c r="AR1267" s="87"/>
      <c r="AS1267" s="87"/>
      <c r="AT1267" s="87"/>
      <c r="AU1267" s="87"/>
      <c r="AV1267" s="87"/>
      <c r="AW1267" s="87"/>
      <c r="AX1267" s="87"/>
      <c r="AY1267" s="87"/>
      <c r="AZ1267" s="87"/>
      <c r="BA1267" s="87"/>
      <c r="BB1267" s="87"/>
      <c r="BC1267" s="87"/>
      <c r="BD1267" s="87"/>
      <c r="BE1267" s="87"/>
      <c r="BF1267" s="87"/>
      <c r="BG1267" s="87"/>
      <c r="BH1267" s="87"/>
    </row>
    <row r="1268" spans="1:60" ht="16">
      <c r="A1268" s="82"/>
      <c r="B1268" s="82"/>
      <c r="C1268" s="82"/>
      <c r="D1268" s="83"/>
      <c r="E1268" s="84"/>
      <c r="F1268" s="84"/>
      <c r="G1268" s="84"/>
      <c r="H1268" s="82"/>
      <c r="I1268" s="84"/>
      <c r="J1268" s="84"/>
      <c r="K1268" s="84"/>
      <c r="L1268" s="84"/>
      <c r="M1268" s="84"/>
      <c r="N1268" s="84"/>
      <c r="O1268" s="84"/>
      <c r="P1268" s="84"/>
      <c r="Q1268" s="84"/>
      <c r="R1268" s="84"/>
      <c r="S1268" s="84"/>
      <c r="T1268" s="84"/>
      <c r="U1268" s="84"/>
      <c r="V1268" s="84"/>
      <c r="W1268" s="84"/>
      <c r="X1268" s="84"/>
      <c r="Y1268" s="84"/>
      <c r="Z1268" s="87"/>
      <c r="AA1268" s="87"/>
      <c r="AB1268" s="87"/>
      <c r="AC1268" s="87"/>
      <c r="AD1268" s="87"/>
      <c r="AE1268" s="87"/>
      <c r="AF1268" s="87"/>
      <c r="AG1268" s="87"/>
      <c r="AH1268" s="87"/>
      <c r="AI1268" s="87"/>
      <c r="AJ1268" s="87"/>
      <c r="AK1268" s="87"/>
      <c r="AL1268" s="87"/>
      <c r="AM1268" s="87"/>
      <c r="AN1268" s="87"/>
      <c r="AO1268" s="87"/>
      <c r="AP1268" s="87"/>
      <c r="AQ1268" s="87"/>
      <c r="AR1268" s="87"/>
      <c r="AS1268" s="87"/>
      <c r="AT1268" s="87"/>
      <c r="AU1268" s="87"/>
      <c r="AV1268" s="87"/>
      <c r="AW1268" s="87"/>
      <c r="AX1268" s="87"/>
      <c r="AY1268" s="87"/>
      <c r="AZ1268" s="87"/>
      <c r="BA1268" s="87"/>
      <c r="BB1268" s="87"/>
      <c r="BC1268" s="87"/>
      <c r="BD1268" s="87"/>
      <c r="BE1268" s="87"/>
      <c r="BF1268" s="87"/>
      <c r="BG1268" s="87"/>
      <c r="BH1268" s="87"/>
    </row>
    <row r="1269" spans="1:60" ht="16">
      <c r="A1269" s="82"/>
      <c r="B1269" s="82"/>
      <c r="C1269" s="82"/>
      <c r="D1269" s="83"/>
      <c r="E1269" s="84"/>
      <c r="F1269" s="84"/>
      <c r="G1269" s="84"/>
      <c r="H1269" s="82"/>
      <c r="I1269" s="84"/>
      <c r="J1269" s="84"/>
      <c r="K1269" s="84"/>
      <c r="L1269" s="84"/>
      <c r="M1269" s="84"/>
      <c r="N1269" s="84"/>
      <c r="O1269" s="84"/>
      <c r="P1269" s="84"/>
      <c r="Q1269" s="84"/>
      <c r="R1269" s="84"/>
      <c r="S1269" s="84"/>
      <c r="T1269" s="84"/>
      <c r="U1269" s="84"/>
      <c r="V1269" s="84"/>
      <c r="W1269" s="84"/>
      <c r="X1269" s="84"/>
      <c r="Y1269" s="84"/>
      <c r="Z1269" s="87"/>
      <c r="AA1269" s="87"/>
      <c r="AB1269" s="87"/>
      <c r="AC1269" s="87"/>
      <c r="AD1269" s="87"/>
      <c r="AE1269" s="87"/>
      <c r="AF1269" s="87"/>
      <c r="AG1269" s="87"/>
      <c r="AH1269" s="87"/>
      <c r="AI1269" s="87"/>
      <c r="AJ1269" s="87"/>
      <c r="AK1269" s="87"/>
      <c r="AL1269" s="87"/>
      <c r="AM1269" s="87"/>
      <c r="AN1269" s="87"/>
      <c r="AO1269" s="87"/>
      <c r="AP1269" s="87"/>
      <c r="AQ1269" s="87"/>
      <c r="AR1269" s="87"/>
      <c r="AS1269" s="87"/>
      <c r="AT1269" s="87"/>
      <c r="AU1269" s="87"/>
      <c r="AV1269" s="87"/>
      <c r="AW1269" s="87"/>
      <c r="AX1269" s="87"/>
      <c r="AY1269" s="87"/>
      <c r="AZ1269" s="87"/>
      <c r="BA1269" s="87"/>
      <c r="BB1269" s="87"/>
      <c r="BC1269" s="87"/>
      <c r="BD1269" s="87"/>
      <c r="BE1269" s="87"/>
      <c r="BF1269" s="87"/>
      <c r="BG1269" s="87"/>
      <c r="BH1269" s="87"/>
    </row>
    <row r="1270" spans="1:60" ht="16">
      <c r="A1270" s="82"/>
      <c r="B1270" s="82"/>
      <c r="C1270" s="82"/>
      <c r="D1270" s="83"/>
      <c r="E1270" s="84"/>
      <c r="F1270" s="84"/>
      <c r="G1270" s="84"/>
      <c r="H1270" s="82"/>
      <c r="I1270" s="84"/>
      <c r="J1270" s="84"/>
      <c r="K1270" s="84"/>
      <c r="L1270" s="84"/>
      <c r="M1270" s="84"/>
      <c r="N1270" s="84"/>
      <c r="O1270" s="84"/>
      <c r="P1270" s="84"/>
      <c r="Q1270" s="84"/>
      <c r="R1270" s="84"/>
      <c r="S1270" s="84"/>
      <c r="T1270" s="84"/>
      <c r="U1270" s="84"/>
      <c r="V1270" s="84"/>
      <c r="W1270" s="84"/>
      <c r="X1270" s="84"/>
      <c r="Y1270" s="84"/>
      <c r="Z1270" s="87"/>
      <c r="AA1270" s="87"/>
      <c r="AB1270" s="87"/>
      <c r="AC1270" s="87"/>
      <c r="AD1270" s="87"/>
      <c r="AE1270" s="87"/>
      <c r="AF1270" s="87"/>
      <c r="AG1270" s="87"/>
      <c r="AH1270" s="87"/>
      <c r="AI1270" s="87"/>
      <c r="AJ1270" s="87"/>
      <c r="AK1270" s="87"/>
      <c r="AL1270" s="87"/>
      <c r="AM1270" s="87"/>
      <c r="AN1270" s="87"/>
      <c r="AO1270" s="87"/>
      <c r="AP1270" s="87"/>
      <c r="AQ1270" s="87"/>
      <c r="AR1270" s="87"/>
      <c r="AS1270" s="87"/>
      <c r="AT1270" s="87"/>
      <c r="AU1270" s="87"/>
      <c r="AV1270" s="87"/>
      <c r="AW1270" s="87"/>
      <c r="AX1270" s="87"/>
      <c r="AY1270" s="87"/>
      <c r="AZ1270" s="87"/>
      <c r="BA1270" s="87"/>
      <c r="BB1270" s="87"/>
      <c r="BC1270" s="87"/>
      <c r="BD1270" s="87"/>
      <c r="BE1270" s="87"/>
      <c r="BF1270" s="87"/>
      <c r="BG1270" s="87"/>
      <c r="BH1270" s="87"/>
    </row>
    <row r="1271" spans="1:60" ht="16">
      <c r="A1271" s="82"/>
      <c r="B1271" s="82"/>
      <c r="C1271" s="82"/>
      <c r="D1271" s="83"/>
      <c r="E1271" s="84"/>
      <c r="F1271" s="84"/>
      <c r="G1271" s="84"/>
      <c r="H1271" s="82"/>
      <c r="I1271" s="84"/>
      <c r="J1271" s="84"/>
      <c r="K1271" s="84"/>
      <c r="L1271" s="84"/>
      <c r="M1271" s="84"/>
      <c r="N1271" s="84"/>
      <c r="O1271" s="84"/>
      <c r="P1271" s="84"/>
      <c r="Q1271" s="84"/>
      <c r="R1271" s="84"/>
      <c r="S1271" s="84"/>
      <c r="T1271" s="84"/>
      <c r="U1271" s="84"/>
      <c r="V1271" s="84"/>
      <c r="W1271" s="84"/>
      <c r="X1271" s="84"/>
      <c r="Y1271" s="84"/>
      <c r="Z1271" s="87"/>
      <c r="AA1271" s="87"/>
      <c r="AB1271" s="87"/>
      <c r="AC1271" s="87"/>
      <c r="AD1271" s="87"/>
      <c r="AE1271" s="87"/>
      <c r="AF1271" s="87"/>
      <c r="AG1271" s="87"/>
      <c r="AH1271" s="87"/>
      <c r="AI1271" s="87"/>
      <c r="AJ1271" s="87"/>
      <c r="AK1271" s="87"/>
      <c r="AL1271" s="87"/>
      <c r="AM1271" s="87"/>
      <c r="AN1271" s="87"/>
      <c r="AO1271" s="87"/>
      <c r="AP1271" s="87"/>
      <c r="AQ1271" s="87"/>
      <c r="AR1271" s="87"/>
      <c r="AS1271" s="87"/>
      <c r="AT1271" s="87"/>
      <c r="AU1271" s="87"/>
      <c r="AV1271" s="87"/>
      <c r="AW1271" s="87"/>
      <c r="AX1271" s="87"/>
      <c r="AY1271" s="87"/>
      <c r="AZ1271" s="87"/>
      <c r="BA1271" s="87"/>
      <c r="BB1271" s="87"/>
      <c r="BC1271" s="87"/>
      <c r="BD1271" s="87"/>
      <c r="BE1271" s="87"/>
      <c r="BF1271" s="87"/>
      <c r="BG1271" s="87"/>
      <c r="BH1271" s="87"/>
    </row>
    <row r="1272" spans="1:60" ht="16">
      <c r="A1272" s="82"/>
      <c r="B1272" s="82"/>
      <c r="C1272" s="82"/>
      <c r="D1272" s="83"/>
      <c r="E1272" s="84"/>
      <c r="F1272" s="84"/>
      <c r="G1272" s="84"/>
      <c r="H1272" s="82"/>
      <c r="I1272" s="84"/>
      <c r="J1272" s="84"/>
      <c r="K1272" s="84"/>
      <c r="L1272" s="84"/>
      <c r="M1272" s="84"/>
      <c r="N1272" s="84"/>
      <c r="O1272" s="84"/>
      <c r="P1272" s="84"/>
      <c r="Q1272" s="84"/>
      <c r="R1272" s="84"/>
      <c r="S1272" s="84"/>
      <c r="T1272" s="84"/>
      <c r="U1272" s="84"/>
      <c r="V1272" s="84"/>
      <c r="W1272" s="84"/>
      <c r="X1272" s="84"/>
      <c r="Y1272" s="84"/>
      <c r="Z1272" s="87"/>
      <c r="AA1272" s="87"/>
      <c r="AB1272" s="87"/>
      <c r="AC1272" s="87"/>
      <c r="AD1272" s="87"/>
      <c r="AE1272" s="87"/>
      <c r="AF1272" s="87"/>
      <c r="AG1272" s="87"/>
      <c r="AH1272" s="87"/>
      <c r="AI1272" s="87"/>
      <c r="AJ1272" s="87"/>
      <c r="AK1272" s="87"/>
      <c r="AL1272" s="87"/>
      <c r="AM1272" s="87"/>
      <c r="AN1272" s="87"/>
      <c r="AO1272" s="87"/>
      <c r="AP1272" s="87"/>
      <c r="AQ1272" s="87"/>
      <c r="AR1272" s="87"/>
      <c r="AS1272" s="87"/>
      <c r="AT1272" s="87"/>
      <c r="AU1272" s="87"/>
      <c r="AV1272" s="87"/>
      <c r="AW1272" s="87"/>
      <c r="AX1272" s="87"/>
      <c r="AY1272" s="87"/>
      <c r="AZ1272" s="87"/>
      <c r="BA1272" s="87"/>
      <c r="BB1272" s="87"/>
      <c r="BC1272" s="87"/>
      <c r="BD1272" s="87"/>
      <c r="BE1272" s="87"/>
      <c r="BF1272" s="87"/>
      <c r="BG1272" s="87"/>
      <c r="BH1272" s="87"/>
    </row>
    <row r="1273" spans="1:60" ht="16">
      <c r="A1273" s="82"/>
      <c r="B1273" s="82"/>
      <c r="C1273" s="82"/>
      <c r="D1273" s="83"/>
      <c r="E1273" s="84"/>
      <c r="F1273" s="84"/>
      <c r="G1273" s="84"/>
      <c r="H1273" s="82"/>
      <c r="I1273" s="84"/>
      <c r="J1273" s="84"/>
      <c r="K1273" s="84"/>
      <c r="L1273" s="84"/>
      <c r="M1273" s="84"/>
      <c r="N1273" s="84"/>
      <c r="O1273" s="84"/>
      <c r="P1273" s="84"/>
      <c r="Q1273" s="84"/>
      <c r="R1273" s="84"/>
      <c r="S1273" s="84"/>
      <c r="T1273" s="84"/>
      <c r="U1273" s="84"/>
      <c r="V1273" s="84"/>
      <c r="W1273" s="84"/>
      <c r="X1273" s="84"/>
      <c r="Y1273" s="84"/>
      <c r="Z1273" s="87"/>
      <c r="AA1273" s="87"/>
      <c r="AB1273" s="87"/>
      <c r="AC1273" s="87"/>
      <c r="AD1273" s="87"/>
      <c r="AE1273" s="87"/>
      <c r="AF1273" s="87"/>
      <c r="AG1273" s="87"/>
      <c r="AH1273" s="87"/>
      <c r="AI1273" s="87"/>
      <c r="AJ1273" s="87"/>
      <c r="AK1273" s="87"/>
      <c r="AL1273" s="87"/>
      <c r="AM1273" s="87"/>
      <c r="AN1273" s="87"/>
      <c r="AO1273" s="87"/>
      <c r="AP1273" s="87"/>
      <c r="AQ1273" s="87"/>
      <c r="AR1273" s="87"/>
      <c r="AS1273" s="87"/>
      <c r="AT1273" s="87"/>
      <c r="AU1273" s="87"/>
      <c r="AV1273" s="87"/>
      <c r="AW1273" s="87"/>
      <c r="AX1273" s="87"/>
      <c r="AY1273" s="87"/>
      <c r="AZ1273" s="87"/>
      <c r="BA1273" s="87"/>
      <c r="BB1273" s="87"/>
      <c r="BC1273" s="87"/>
      <c r="BD1273" s="87"/>
      <c r="BE1273" s="87"/>
      <c r="BF1273" s="87"/>
      <c r="BG1273" s="87"/>
      <c r="BH1273" s="87"/>
    </row>
    <row r="1274" spans="1:60" ht="16">
      <c r="A1274" s="82"/>
      <c r="B1274" s="82"/>
      <c r="C1274" s="82"/>
      <c r="D1274" s="83"/>
      <c r="E1274" s="84"/>
      <c r="F1274" s="84"/>
      <c r="G1274" s="84"/>
      <c r="H1274" s="82"/>
      <c r="I1274" s="84"/>
      <c r="J1274" s="84"/>
      <c r="K1274" s="84"/>
      <c r="L1274" s="84"/>
      <c r="M1274" s="84"/>
      <c r="N1274" s="84"/>
      <c r="O1274" s="84"/>
      <c r="P1274" s="84"/>
      <c r="Q1274" s="84"/>
      <c r="R1274" s="84"/>
      <c r="S1274" s="84"/>
      <c r="T1274" s="84"/>
      <c r="U1274" s="84"/>
      <c r="V1274" s="84"/>
      <c r="W1274" s="84"/>
      <c r="X1274" s="84"/>
      <c r="Y1274" s="84"/>
      <c r="Z1274" s="87"/>
      <c r="AA1274" s="87"/>
      <c r="AB1274" s="87"/>
      <c r="AC1274" s="87"/>
      <c r="AD1274" s="87"/>
      <c r="AE1274" s="87"/>
      <c r="AF1274" s="87"/>
      <c r="AG1274" s="87"/>
      <c r="AH1274" s="87"/>
      <c r="AI1274" s="87"/>
      <c r="AJ1274" s="87"/>
      <c r="AK1274" s="87"/>
      <c r="AL1274" s="87"/>
      <c r="AM1274" s="87"/>
      <c r="AN1274" s="87"/>
      <c r="AO1274" s="87"/>
      <c r="AP1274" s="87"/>
      <c r="AQ1274" s="87"/>
      <c r="AR1274" s="87"/>
      <c r="AS1274" s="87"/>
      <c r="AT1274" s="87"/>
      <c r="AU1274" s="87"/>
      <c r="AV1274" s="87"/>
      <c r="AW1274" s="87"/>
      <c r="AX1274" s="87"/>
      <c r="AY1274" s="87"/>
      <c r="AZ1274" s="87"/>
      <c r="BA1274" s="87"/>
      <c r="BB1274" s="87"/>
      <c r="BC1274" s="87"/>
      <c r="BD1274" s="87"/>
      <c r="BE1274" s="87"/>
      <c r="BF1274" s="87"/>
      <c r="BG1274" s="87"/>
      <c r="BH1274" s="87"/>
    </row>
    <row r="1275" spans="1:60" ht="16">
      <c r="A1275" s="82"/>
      <c r="B1275" s="82"/>
      <c r="C1275" s="82"/>
      <c r="D1275" s="83"/>
      <c r="E1275" s="84"/>
      <c r="F1275" s="84"/>
      <c r="G1275" s="84"/>
      <c r="H1275" s="82"/>
      <c r="I1275" s="84"/>
      <c r="J1275" s="84"/>
      <c r="K1275" s="84"/>
      <c r="L1275" s="84"/>
      <c r="M1275" s="84"/>
      <c r="N1275" s="84"/>
      <c r="O1275" s="84"/>
      <c r="P1275" s="84"/>
      <c r="Q1275" s="84"/>
      <c r="R1275" s="84"/>
      <c r="S1275" s="84"/>
      <c r="T1275" s="84"/>
      <c r="U1275" s="84"/>
      <c r="V1275" s="84"/>
      <c r="W1275" s="84"/>
      <c r="X1275" s="84"/>
      <c r="Y1275" s="84"/>
      <c r="Z1275" s="87"/>
      <c r="AA1275" s="87"/>
      <c r="AB1275" s="87"/>
      <c r="AC1275" s="87"/>
      <c r="AD1275" s="87"/>
      <c r="AE1275" s="87"/>
      <c r="AF1275" s="87"/>
      <c r="AG1275" s="87"/>
      <c r="AH1275" s="87"/>
      <c r="AI1275" s="87"/>
      <c r="AJ1275" s="87"/>
      <c r="AK1275" s="87"/>
      <c r="AL1275" s="87"/>
      <c r="AM1275" s="87"/>
      <c r="AN1275" s="87"/>
      <c r="AO1275" s="87"/>
      <c r="AP1275" s="87"/>
      <c r="AQ1275" s="87"/>
      <c r="AR1275" s="87"/>
      <c r="AS1275" s="87"/>
      <c r="AT1275" s="87"/>
      <c r="AU1275" s="87"/>
      <c r="AV1275" s="87"/>
      <c r="AW1275" s="87"/>
      <c r="AX1275" s="87"/>
      <c r="AY1275" s="87"/>
      <c r="AZ1275" s="87"/>
      <c r="BA1275" s="87"/>
      <c r="BB1275" s="87"/>
      <c r="BC1275" s="87"/>
      <c r="BD1275" s="87"/>
      <c r="BE1275" s="87"/>
      <c r="BF1275" s="87"/>
      <c r="BG1275" s="87"/>
      <c r="BH1275" s="87"/>
    </row>
    <row r="1276" spans="1:60" ht="16">
      <c r="A1276" s="82"/>
      <c r="B1276" s="82"/>
      <c r="C1276" s="82"/>
      <c r="D1276" s="83"/>
      <c r="E1276" s="84"/>
      <c r="F1276" s="84"/>
      <c r="G1276" s="84"/>
      <c r="H1276" s="82"/>
      <c r="I1276" s="84"/>
      <c r="J1276" s="84"/>
      <c r="K1276" s="84"/>
      <c r="L1276" s="84"/>
      <c r="M1276" s="84"/>
      <c r="N1276" s="84"/>
      <c r="O1276" s="84"/>
      <c r="P1276" s="84"/>
      <c r="Q1276" s="84"/>
      <c r="R1276" s="84"/>
      <c r="S1276" s="84"/>
      <c r="T1276" s="84"/>
      <c r="U1276" s="84"/>
      <c r="V1276" s="84"/>
      <c r="W1276" s="84"/>
      <c r="X1276" s="84"/>
      <c r="Y1276" s="84"/>
      <c r="Z1276" s="87"/>
      <c r="AA1276" s="87"/>
      <c r="AB1276" s="87"/>
      <c r="AC1276" s="87"/>
      <c r="AD1276" s="87"/>
      <c r="AE1276" s="87"/>
      <c r="AF1276" s="87"/>
      <c r="AG1276" s="87"/>
      <c r="AH1276" s="87"/>
      <c r="AI1276" s="87"/>
      <c r="AJ1276" s="87"/>
      <c r="AK1276" s="87"/>
      <c r="AL1276" s="87"/>
      <c r="AM1276" s="87"/>
      <c r="AN1276" s="87"/>
      <c r="AO1276" s="87"/>
      <c r="AP1276" s="87"/>
      <c r="AQ1276" s="87"/>
      <c r="AR1276" s="87"/>
      <c r="AS1276" s="87"/>
      <c r="AT1276" s="87"/>
      <c r="AU1276" s="87"/>
      <c r="AV1276" s="87"/>
      <c r="AW1276" s="87"/>
      <c r="AX1276" s="87"/>
      <c r="AY1276" s="87"/>
      <c r="AZ1276" s="87"/>
      <c r="BA1276" s="87"/>
      <c r="BB1276" s="87"/>
      <c r="BC1276" s="87"/>
      <c r="BD1276" s="87"/>
      <c r="BE1276" s="87"/>
      <c r="BF1276" s="87"/>
      <c r="BG1276" s="87"/>
      <c r="BH1276" s="87"/>
    </row>
    <row r="1277" spans="1:60" ht="16">
      <c r="A1277" s="82"/>
      <c r="B1277" s="82"/>
      <c r="C1277" s="82"/>
      <c r="D1277" s="83"/>
      <c r="E1277" s="84"/>
      <c r="F1277" s="84"/>
      <c r="G1277" s="84"/>
      <c r="H1277" s="82"/>
      <c r="I1277" s="84"/>
      <c r="J1277" s="84"/>
      <c r="K1277" s="84"/>
      <c r="L1277" s="84"/>
      <c r="M1277" s="84"/>
      <c r="N1277" s="84"/>
      <c r="O1277" s="84"/>
      <c r="P1277" s="84"/>
      <c r="Q1277" s="84"/>
      <c r="R1277" s="84"/>
      <c r="S1277" s="84"/>
      <c r="T1277" s="84"/>
      <c r="U1277" s="84"/>
      <c r="V1277" s="84"/>
      <c r="W1277" s="84"/>
      <c r="X1277" s="84"/>
      <c r="Y1277" s="84"/>
      <c r="Z1277" s="87"/>
      <c r="AA1277" s="87"/>
      <c r="AB1277" s="87"/>
      <c r="AC1277" s="87"/>
      <c r="AD1277" s="87"/>
      <c r="AE1277" s="87"/>
      <c r="AF1277" s="87"/>
      <c r="AG1277" s="87"/>
      <c r="AH1277" s="87"/>
      <c r="AI1277" s="87"/>
      <c r="AJ1277" s="87"/>
      <c r="AK1277" s="87"/>
      <c r="AL1277" s="87"/>
      <c r="AM1277" s="87"/>
      <c r="AN1277" s="87"/>
      <c r="AO1277" s="87"/>
      <c r="AP1277" s="87"/>
      <c r="AQ1277" s="87"/>
      <c r="AR1277" s="87"/>
      <c r="AS1277" s="87"/>
      <c r="AT1277" s="87"/>
      <c r="AU1277" s="87"/>
      <c r="AV1277" s="87"/>
      <c r="AW1277" s="87"/>
      <c r="AX1277" s="87"/>
      <c r="AY1277" s="87"/>
      <c r="AZ1277" s="87"/>
      <c r="BA1277" s="87"/>
      <c r="BB1277" s="87"/>
      <c r="BC1277" s="87"/>
      <c r="BD1277" s="87"/>
      <c r="BE1277" s="87"/>
      <c r="BF1277" s="87"/>
      <c r="BG1277" s="87"/>
      <c r="BH1277" s="87"/>
    </row>
    <row r="1278" spans="1:60" ht="16">
      <c r="A1278" s="82"/>
      <c r="B1278" s="82"/>
      <c r="C1278" s="82"/>
      <c r="D1278" s="83"/>
      <c r="E1278" s="84"/>
      <c r="F1278" s="84"/>
      <c r="G1278" s="84"/>
      <c r="H1278" s="82"/>
      <c r="I1278" s="84"/>
      <c r="J1278" s="84"/>
      <c r="K1278" s="84"/>
      <c r="L1278" s="84"/>
      <c r="M1278" s="84"/>
      <c r="N1278" s="84"/>
      <c r="O1278" s="84"/>
      <c r="P1278" s="84"/>
      <c r="Q1278" s="84"/>
      <c r="R1278" s="84"/>
      <c r="S1278" s="84"/>
      <c r="T1278" s="84"/>
      <c r="U1278" s="84"/>
      <c r="V1278" s="84"/>
      <c r="W1278" s="84"/>
      <c r="X1278" s="84"/>
      <c r="Y1278" s="84"/>
      <c r="Z1278" s="87"/>
      <c r="AA1278" s="87"/>
      <c r="AB1278" s="87"/>
      <c r="AC1278" s="87"/>
      <c r="AD1278" s="87"/>
      <c r="AE1278" s="87"/>
      <c r="AF1278" s="87"/>
      <c r="AG1278" s="87"/>
      <c r="AH1278" s="87"/>
      <c r="AI1278" s="87"/>
      <c r="AJ1278" s="87"/>
      <c r="AK1278" s="87"/>
      <c r="AL1278" s="87"/>
      <c r="AM1278" s="87"/>
      <c r="AN1278" s="87"/>
      <c r="AO1278" s="87"/>
      <c r="AP1278" s="87"/>
      <c r="AQ1278" s="87"/>
      <c r="AR1278" s="87"/>
      <c r="AS1278" s="87"/>
      <c r="AT1278" s="87"/>
      <c r="AU1278" s="87"/>
      <c r="AV1278" s="87"/>
      <c r="AW1278" s="87"/>
      <c r="AX1278" s="87"/>
      <c r="AY1278" s="87"/>
      <c r="AZ1278" s="87"/>
      <c r="BA1278" s="87"/>
      <c r="BB1278" s="87"/>
      <c r="BC1278" s="87"/>
      <c r="BD1278" s="87"/>
      <c r="BE1278" s="87"/>
      <c r="BF1278" s="87"/>
      <c r="BG1278" s="87"/>
      <c r="BH1278" s="87"/>
    </row>
    <row r="1279" spans="1:60" ht="16">
      <c r="A1279" s="82"/>
      <c r="B1279" s="82"/>
      <c r="C1279" s="82"/>
      <c r="D1279" s="83"/>
      <c r="E1279" s="84"/>
      <c r="F1279" s="84"/>
      <c r="G1279" s="84"/>
      <c r="H1279" s="82"/>
      <c r="I1279" s="84"/>
      <c r="J1279" s="84"/>
      <c r="K1279" s="84"/>
      <c r="L1279" s="84"/>
      <c r="M1279" s="84"/>
      <c r="N1279" s="84"/>
      <c r="O1279" s="84"/>
      <c r="P1279" s="84"/>
      <c r="Q1279" s="84"/>
      <c r="R1279" s="84"/>
      <c r="S1279" s="84"/>
      <c r="T1279" s="84"/>
      <c r="U1279" s="84"/>
      <c r="V1279" s="84"/>
      <c r="W1279" s="84"/>
      <c r="X1279" s="84"/>
      <c r="Y1279" s="84"/>
      <c r="Z1279" s="87"/>
      <c r="AA1279" s="87"/>
      <c r="AB1279" s="87"/>
      <c r="AC1279" s="87"/>
      <c r="AD1279" s="87"/>
      <c r="AE1279" s="87"/>
      <c r="AF1279" s="87"/>
      <c r="AG1279" s="87"/>
      <c r="AH1279" s="87"/>
      <c r="AI1279" s="87"/>
      <c r="AJ1279" s="87"/>
      <c r="AK1279" s="87"/>
      <c r="AL1279" s="87"/>
      <c r="AM1279" s="87"/>
      <c r="AN1279" s="87"/>
      <c r="AO1279" s="87"/>
      <c r="AP1279" s="87"/>
      <c r="AQ1279" s="87"/>
      <c r="AR1279" s="87"/>
      <c r="AS1279" s="87"/>
      <c r="AT1279" s="87"/>
      <c r="AU1279" s="87"/>
      <c r="AV1279" s="87"/>
      <c r="AW1279" s="87"/>
      <c r="AX1279" s="87"/>
      <c r="AY1279" s="87"/>
      <c r="AZ1279" s="87"/>
      <c r="BA1279" s="87"/>
      <c r="BB1279" s="87"/>
      <c r="BC1279" s="87"/>
      <c r="BD1279" s="87"/>
      <c r="BE1279" s="87"/>
      <c r="BF1279" s="87"/>
      <c r="BG1279" s="87"/>
      <c r="BH1279" s="87"/>
    </row>
    <row r="1280" spans="1:60" ht="16">
      <c r="A1280" s="82"/>
      <c r="B1280" s="82"/>
      <c r="C1280" s="82"/>
      <c r="D1280" s="83"/>
      <c r="E1280" s="84"/>
      <c r="F1280" s="84"/>
      <c r="G1280" s="84"/>
      <c r="H1280" s="82"/>
      <c r="I1280" s="84"/>
      <c r="J1280" s="84"/>
      <c r="K1280" s="84"/>
      <c r="L1280" s="84"/>
      <c r="M1280" s="84"/>
      <c r="N1280" s="84"/>
      <c r="O1280" s="84"/>
      <c r="P1280" s="84"/>
      <c r="Q1280" s="84"/>
      <c r="R1280" s="84"/>
      <c r="S1280" s="84"/>
      <c r="T1280" s="84"/>
      <c r="U1280" s="84"/>
      <c r="V1280" s="84"/>
      <c r="W1280" s="84"/>
      <c r="X1280" s="84"/>
      <c r="Y1280" s="84"/>
      <c r="Z1280" s="87"/>
      <c r="AA1280" s="87"/>
      <c r="AB1280" s="87"/>
      <c r="AC1280" s="87"/>
      <c r="AD1280" s="87"/>
      <c r="AE1280" s="87"/>
      <c r="AF1280" s="87"/>
      <c r="AG1280" s="87"/>
      <c r="AH1280" s="87"/>
      <c r="AI1280" s="87"/>
      <c r="AJ1280" s="87"/>
      <c r="AK1280" s="87"/>
      <c r="AL1280" s="87"/>
      <c r="AM1280" s="87"/>
      <c r="AN1280" s="87"/>
      <c r="AO1280" s="87"/>
      <c r="AP1280" s="87"/>
      <c r="AQ1280" s="87"/>
      <c r="AR1280" s="87"/>
      <c r="AS1280" s="87"/>
      <c r="AT1280" s="87"/>
      <c r="AU1280" s="87"/>
      <c r="AV1280" s="87"/>
      <c r="AW1280" s="87"/>
      <c r="AX1280" s="87"/>
      <c r="AY1280" s="87"/>
      <c r="AZ1280" s="87"/>
      <c r="BA1280" s="87"/>
      <c r="BB1280" s="87"/>
      <c r="BC1280" s="87"/>
      <c r="BD1280" s="87"/>
      <c r="BE1280" s="87"/>
      <c r="BF1280" s="87"/>
      <c r="BG1280" s="87"/>
      <c r="BH1280" s="87"/>
    </row>
    <row r="1281" spans="1:60" ht="16">
      <c r="A1281" s="82"/>
      <c r="B1281" s="82"/>
      <c r="C1281" s="82"/>
      <c r="D1281" s="83"/>
      <c r="E1281" s="84"/>
      <c r="F1281" s="84"/>
      <c r="G1281" s="84"/>
      <c r="H1281" s="82"/>
      <c r="I1281" s="84"/>
      <c r="J1281" s="84"/>
      <c r="K1281" s="84"/>
      <c r="L1281" s="84"/>
      <c r="M1281" s="84"/>
      <c r="N1281" s="84"/>
      <c r="O1281" s="84"/>
      <c r="P1281" s="84"/>
      <c r="Q1281" s="84"/>
      <c r="R1281" s="84"/>
      <c r="S1281" s="84"/>
      <c r="T1281" s="84"/>
      <c r="U1281" s="84"/>
      <c r="V1281" s="84"/>
      <c r="W1281" s="84"/>
      <c r="X1281" s="84"/>
      <c r="Y1281" s="84"/>
      <c r="Z1281" s="87"/>
      <c r="AA1281" s="87"/>
      <c r="AB1281" s="87"/>
      <c r="AC1281" s="87"/>
      <c r="AD1281" s="87"/>
      <c r="AE1281" s="87"/>
      <c r="AF1281" s="87"/>
      <c r="AG1281" s="87"/>
      <c r="AH1281" s="87"/>
      <c r="AI1281" s="87"/>
      <c r="AJ1281" s="87"/>
      <c r="AK1281" s="87"/>
      <c r="AL1281" s="87"/>
      <c r="AM1281" s="87"/>
      <c r="AN1281" s="87"/>
      <c r="AO1281" s="87"/>
      <c r="AP1281" s="87"/>
      <c r="AQ1281" s="87"/>
      <c r="AR1281" s="87"/>
      <c r="AS1281" s="87"/>
      <c r="AT1281" s="87"/>
      <c r="AU1281" s="87"/>
      <c r="AV1281" s="87"/>
      <c r="AW1281" s="87"/>
      <c r="AX1281" s="87"/>
      <c r="AY1281" s="87"/>
      <c r="AZ1281" s="87"/>
      <c r="BA1281" s="87"/>
      <c r="BB1281" s="87"/>
      <c r="BC1281" s="87"/>
      <c r="BD1281" s="87"/>
      <c r="BE1281" s="87"/>
      <c r="BF1281" s="87"/>
      <c r="BG1281" s="87"/>
      <c r="BH1281" s="87"/>
    </row>
    <row r="1282" spans="1:60" ht="16">
      <c r="A1282" s="82"/>
      <c r="B1282" s="82"/>
      <c r="C1282" s="82"/>
      <c r="D1282" s="83"/>
      <c r="E1282" s="84"/>
      <c r="F1282" s="84"/>
      <c r="G1282" s="84"/>
      <c r="H1282" s="82"/>
      <c r="I1282" s="84"/>
      <c r="J1282" s="84"/>
      <c r="K1282" s="84"/>
      <c r="L1282" s="84"/>
      <c r="M1282" s="84"/>
      <c r="N1282" s="84"/>
      <c r="O1282" s="84"/>
      <c r="P1282" s="84"/>
      <c r="Q1282" s="84"/>
      <c r="R1282" s="84"/>
      <c r="S1282" s="84"/>
      <c r="T1282" s="84"/>
      <c r="U1282" s="84"/>
      <c r="V1282" s="84"/>
      <c r="W1282" s="84"/>
      <c r="X1282" s="84"/>
      <c r="Y1282" s="84"/>
      <c r="Z1282" s="87"/>
      <c r="AA1282" s="87"/>
      <c r="AB1282" s="87"/>
      <c r="AC1282" s="87"/>
      <c r="AD1282" s="87"/>
      <c r="AE1282" s="87"/>
      <c r="AF1282" s="87"/>
      <c r="AG1282" s="87"/>
      <c r="AH1282" s="87"/>
      <c r="AI1282" s="87"/>
      <c r="AJ1282" s="87"/>
      <c r="AK1282" s="87"/>
      <c r="AL1282" s="87"/>
      <c r="AM1282" s="87"/>
      <c r="AN1282" s="87"/>
      <c r="AO1282" s="87"/>
      <c r="AP1282" s="87"/>
      <c r="AQ1282" s="87"/>
      <c r="AR1282" s="87"/>
      <c r="AS1282" s="87"/>
      <c r="AT1282" s="87"/>
      <c r="AU1282" s="87"/>
      <c r="AV1282" s="87"/>
      <c r="AW1282" s="87"/>
      <c r="AX1282" s="87"/>
      <c r="AY1282" s="87"/>
      <c r="AZ1282" s="87"/>
      <c r="BA1282" s="87"/>
      <c r="BB1282" s="87"/>
      <c r="BC1282" s="87"/>
      <c r="BD1282" s="87"/>
      <c r="BE1282" s="87"/>
      <c r="BF1282" s="87"/>
      <c r="BG1282" s="87"/>
      <c r="BH1282" s="87"/>
    </row>
    <row r="1283" spans="1:60" ht="16">
      <c r="A1283" s="82"/>
      <c r="B1283" s="82"/>
      <c r="C1283" s="82"/>
      <c r="D1283" s="83"/>
      <c r="E1283" s="84"/>
      <c r="F1283" s="84"/>
      <c r="G1283" s="84"/>
      <c r="H1283" s="82"/>
      <c r="I1283" s="84"/>
      <c r="J1283" s="84"/>
      <c r="K1283" s="84"/>
      <c r="L1283" s="84"/>
      <c r="M1283" s="84"/>
      <c r="N1283" s="84"/>
      <c r="O1283" s="84"/>
      <c r="P1283" s="84"/>
      <c r="Q1283" s="84"/>
      <c r="R1283" s="84"/>
      <c r="S1283" s="84"/>
      <c r="T1283" s="84"/>
      <c r="U1283" s="84"/>
      <c r="V1283" s="84"/>
      <c r="W1283" s="84"/>
      <c r="X1283" s="84"/>
      <c r="Y1283" s="84"/>
      <c r="Z1283" s="87"/>
      <c r="AA1283" s="87"/>
      <c r="AB1283" s="87"/>
      <c r="AC1283" s="87"/>
      <c r="AD1283" s="87"/>
      <c r="AE1283" s="87"/>
      <c r="AF1283" s="87"/>
      <c r="AG1283" s="87"/>
      <c r="AH1283" s="87"/>
      <c r="AI1283" s="87"/>
      <c r="AJ1283" s="87"/>
      <c r="AK1283" s="87"/>
      <c r="AL1283" s="87"/>
      <c r="AM1283" s="87"/>
      <c r="AN1283" s="87"/>
      <c r="AO1283" s="87"/>
      <c r="AP1283" s="87"/>
      <c r="AQ1283" s="87"/>
      <c r="AR1283" s="87"/>
      <c r="AS1283" s="87"/>
      <c r="AT1283" s="87"/>
      <c r="AU1283" s="87"/>
      <c r="AV1283" s="87"/>
      <c r="AW1283" s="87"/>
      <c r="AX1283" s="87"/>
      <c r="AY1283" s="87"/>
      <c r="AZ1283" s="87"/>
      <c r="BA1283" s="87"/>
      <c r="BB1283" s="87"/>
      <c r="BC1283" s="87"/>
      <c r="BD1283" s="87"/>
      <c r="BE1283" s="87"/>
      <c r="BF1283" s="87"/>
      <c r="BG1283" s="87"/>
      <c r="BH1283" s="87"/>
    </row>
    <row r="1284" spans="1:60" ht="16">
      <c r="A1284" s="82"/>
      <c r="B1284" s="82"/>
      <c r="C1284" s="82"/>
      <c r="D1284" s="83"/>
      <c r="E1284" s="84"/>
      <c r="F1284" s="84"/>
      <c r="G1284" s="84"/>
      <c r="H1284" s="82"/>
      <c r="I1284" s="84"/>
      <c r="J1284" s="84"/>
      <c r="K1284" s="84"/>
      <c r="L1284" s="84"/>
      <c r="M1284" s="84"/>
      <c r="N1284" s="84"/>
      <c r="O1284" s="84"/>
      <c r="P1284" s="84"/>
      <c r="Q1284" s="84"/>
      <c r="R1284" s="84"/>
      <c r="S1284" s="84"/>
      <c r="T1284" s="84"/>
      <c r="U1284" s="84"/>
      <c r="V1284" s="84"/>
      <c r="W1284" s="84"/>
      <c r="X1284" s="84"/>
      <c r="Y1284" s="84"/>
      <c r="Z1284" s="87"/>
      <c r="AA1284" s="87"/>
      <c r="AB1284" s="87"/>
      <c r="AC1284" s="87"/>
      <c r="AD1284" s="87"/>
      <c r="AE1284" s="87"/>
      <c r="AF1284" s="87"/>
      <c r="AG1284" s="87"/>
      <c r="AH1284" s="87"/>
      <c r="AI1284" s="87"/>
      <c r="AJ1284" s="87"/>
      <c r="AK1284" s="87"/>
      <c r="AL1284" s="87"/>
      <c r="AM1284" s="87"/>
      <c r="AN1284" s="87"/>
      <c r="AO1284" s="87"/>
      <c r="AP1284" s="87"/>
      <c r="AQ1284" s="87"/>
      <c r="AR1284" s="87"/>
      <c r="AS1284" s="87"/>
      <c r="AT1284" s="87"/>
      <c r="AU1284" s="87"/>
      <c r="AV1284" s="87"/>
      <c r="AW1284" s="87"/>
      <c r="AX1284" s="87"/>
      <c r="AY1284" s="87"/>
      <c r="AZ1284" s="87"/>
      <c r="BA1284" s="87"/>
      <c r="BB1284" s="87"/>
      <c r="BC1284" s="87"/>
      <c r="BD1284" s="87"/>
      <c r="BE1284" s="87"/>
      <c r="BF1284" s="87"/>
      <c r="BG1284" s="87"/>
      <c r="BH1284" s="87"/>
    </row>
    <row r="1285" spans="1:60" ht="16">
      <c r="A1285" s="82"/>
      <c r="B1285" s="82"/>
      <c r="C1285" s="82"/>
      <c r="D1285" s="83"/>
      <c r="E1285" s="84"/>
      <c r="F1285" s="84"/>
      <c r="G1285" s="84"/>
      <c r="H1285" s="82"/>
      <c r="I1285" s="84"/>
      <c r="J1285" s="84"/>
      <c r="K1285" s="84"/>
      <c r="L1285" s="84"/>
      <c r="M1285" s="84"/>
      <c r="N1285" s="84"/>
      <c r="O1285" s="84"/>
      <c r="P1285" s="84"/>
      <c r="Q1285" s="84"/>
      <c r="R1285" s="84"/>
      <c r="S1285" s="84"/>
      <c r="T1285" s="84"/>
      <c r="U1285" s="84"/>
      <c r="V1285" s="84"/>
      <c r="W1285" s="84"/>
      <c r="X1285" s="84"/>
      <c r="Y1285" s="84"/>
      <c r="Z1285" s="87"/>
      <c r="AA1285" s="87"/>
      <c r="AB1285" s="87"/>
      <c r="AC1285" s="87"/>
      <c r="AD1285" s="87"/>
      <c r="AE1285" s="87"/>
      <c r="AF1285" s="87"/>
      <c r="AG1285" s="87"/>
      <c r="AH1285" s="87"/>
      <c r="AI1285" s="87"/>
      <c r="AJ1285" s="87"/>
      <c r="AK1285" s="87"/>
      <c r="AL1285" s="87"/>
      <c r="AM1285" s="87"/>
      <c r="AN1285" s="87"/>
      <c r="AO1285" s="87"/>
      <c r="AP1285" s="87"/>
      <c r="AQ1285" s="87"/>
      <c r="AR1285" s="87"/>
      <c r="AS1285" s="87"/>
      <c r="AT1285" s="87"/>
      <c r="AU1285" s="87"/>
      <c r="AV1285" s="87"/>
      <c r="AW1285" s="87"/>
      <c r="AX1285" s="87"/>
      <c r="AY1285" s="87"/>
      <c r="AZ1285" s="87"/>
      <c r="BA1285" s="87"/>
      <c r="BB1285" s="87"/>
      <c r="BC1285" s="87"/>
      <c r="BD1285" s="87"/>
      <c r="BE1285" s="87"/>
      <c r="BF1285" s="87"/>
      <c r="BG1285" s="87"/>
      <c r="BH1285" s="87"/>
    </row>
    <row r="1286" spans="1:60" ht="16">
      <c r="A1286" s="82"/>
      <c r="B1286" s="82"/>
      <c r="C1286" s="82"/>
      <c r="D1286" s="83"/>
      <c r="E1286" s="84"/>
      <c r="F1286" s="84"/>
      <c r="G1286" s="84"/>
      <c r="H1286" s="82"/>
      <c r="I1286" s="84"/>
      <c r="J1286" s="84"/>
      <c r="K1286" s="84"/>
      <c r="L1286" s="84"/>
      <c r="M1286" s="84"/>
      <c r="N1286" s="84"/>
      <c r="O1286" s="84"/>
      <c r="P1286" s="84"/>
      <c r="Q1286" s="84"/>
      <c r="R1286" s="84"/>
      <c r="S1286" s="84"/>
      <c r="T1286" s="84"/>
      <c r="U1286" s="84"/>
      <c r="V1286" s="84"/>
      <c r="W1286" s="84"/>
      <c r="X1286" s="84"/>
      <c r="Y1286" s="84"/>
      <c r="Z1286" s="87"/>
      <c r="AA1286" s="87"/>
      <c r="AB1286" s="87"/>
      <c r="AC1286" s="87"/>
      <c r="AD1286" s="87"/>
      <c r="AE1286" s="87"/>
      <c r="AF1286" s="87"/>
      <c r="AG1286" s="87"/>
      <c r="AH1286" s="87"/>
      <c r="AI1286" s="87"/>
      <c r="AJ1286" s="87"/>
      <c r="AK1286" s="87"/>
      <c r="AL1286" s="87"/>
      <c r="AM1286" s="87"/>
      <c r="AN1286" s="87"/>
      <c r="AO1286" s="87"/>
      <c r="AP1286" s="87"/>
      <c r="AQ1286" s="87"/>
      <c r="AR1286" s="87"/>
      <c r="AS1286" s="87"/>
      <c r="AT1286" s="87"/>
      <c r="AU1286" s="87"/>
      <c r="AV1286" s="87"/>
      <c r="AW1286" s="87"/>
      <c r="AX1286" s="87"/>
      <c r="AY1286" s="87"/>
      <c r="AZ1286" s="87"/>
      <c r="BA1286" s="87"/>
      <c r="BB1286" s="87"/>
      <c r="BC1286" s="87"/>
      <c r="BD1286" s="87"/>
      <c r="BE1286" s="87"/>
      <c r="BF1286" s="87"/>
      <c r="BG1286" s="87"/>
      <c r="BH1286" s="87"/>
    </row>
    <row r="1287" spans="1:60" ht="16">
      <c r="A1287" s="82"/>
      <c r="B1287" s="82"/>
      <c r="C1287" s="82"/>
      <c r="D1287" s="83"/>
      <c r="E1287" s="84"/>
      <c r="F1287" s="84"/>
      <c r="G1287" s="84"/>
      <c r="H1287" s="82"/>
      <c r="I1287" s="84"/>
      <c r="J1287" s="84"/>
      <c r="K1287" s="84"/>
      <c r="L1287" s="84"/>
      <c r="M1287" s="84"/>
      <c r="N1287" s="84"/>
      <c r="O1287" s="84"/>
      <c r="P1287" s="84"/>
      <c r="Q1287" s="84"/>
      <c r="R1287" s="84"/>
      <c r="S1287" s="84"/>
      <c r="T1287" s="84"/>
      <c r="U1287" s="84"/>
      <c r="V1287" s="84"/>
      <c r="W1287" s="84"/>
      <c r="X1287" s="84"/>
      <c r="Y1287" s="84"/>
      <c r="Z1287" s="87"/>
      <c r="AA1287" s="87"/>
      <c r="AB1287" s="87"/>
      <c r="AC1287" s="87"/>
      <c r="AD1287" s="87"/>
      <c r="AE1287" s="87"/>
      <c r="AF1287" s="87"/>
      <c r="AG1287" s="87"/>
      <c r="AH1287" s="87"/>
      <c r="AI1287" s="87"/>
      <c r="AJ1287" s="87"/>
      <c r="AK1287" s="87"/>
      <c r="AL1287" s="87"/>
      <c r="AM1287" s="87"/>
      <c r="AN1287" s="87"/>
      <c r="AO1287" s="87"/>
      <c r="AP1287" s="87"/>
      <c r="AQ1287" s="87"/>
      <c r="AR1287" s="87"/>
      <c r="AS1287" s="87"/>
      <c r="AT1287" s="87"/>
      <c r="AU1287" s="87"/>
      <c r="AV1287" s="87"/>
      <c r="AW1287" s="87"/>
      <c r="AX1287" s="87"/>
      <c r="AY1287" s="87"/>
      <c r="AZ1287" s="87"/>
      <c r="BA1287" s="87"/>
      <c r="BB1287" s="87"/>
      <c r="BC1287" s="87"/>
      <c r="BD1287" s="87"/>
      <c r="BE1287" s="87"/>
      <c r="BF1287" s="87"/>
      <c r="BG1287" s="87"/>
      <c r="BH1287" s="87"/>
    </row>
    <row r="1288" spans="1:60" ht="16">
      <c r="A1288" s="82"/>
      <c r="B1288" s="82"/>
      <c r="C1288" s="82"/>
      <c r="D1288" s="83"/>
      <c r="E1288" s="84"/>
      <c r="F1288" s="84"/>
      <c r="G1288" s="84"/>
      <c r="H1288" s="82"/>
      <c r="I1288" s="84"/>
      <c r="J1288" s="84"/>
      <c r="K1288" s="84"/>
      <c r="L1288" s="84"/>
      <c r="M1288" s="84"/>
      <c r="N1288" s="84"/>
      <c r="O1288" s="84"/>
      <c r="P1288" s="84"/>
      <c r="Q1288" s="84"/>
      <c r="R1288" s="84"/>
      <c r="S1288" s="84"/>
      <c r="T1288" s="84"/>
      <c r="U1288" s="84"/>
      <c r="V1288" s="84"/>
      <c r="W1288" s="84"/>
      <c r="X1288" s="84"/>
      <c r="Y1288" s="84"/>
      <c r="Z1288" s="87"/>
      <c r="AA1288" s="87"/>
      <c r="AB1288" s="87"/>
      <c r="AC1288" s="87"/>
      <c r="AD1288" s="87"/>
      <c r="AE1288" s="87"/>
      <c r="AF1288" s="87"/>
      <c r="AG1288" s="87"/>
      <c r="AH1288" s="87"/>
      <c r="AI1288" s="87"/>
      <c r="AJ1288" s="87"/>
      <c r="AK1288" s="87"/>
      <c r="AL1288" s="87"/>
      <c r="AM1288" s="87"/>
      <c r="AN1288" s="87"/>
      <c r="AO1288" s="87"/>
      <c r="AP1288" s="87"/>
      <c r="AQ1288" s="87"/>
      <c r="AR1288" s="87"/>
      <c r="AS1288" s="87"/>
      <c r="AT1288" s="87"/>
      <c r="AU1288" s="87"/>
      <c r="AV1288" s="87"/>
      <c r="AW1288" s="87"/>
      <c r="AX1288" s="87"/>
      <c r="AY1288" s="87"/>
      <c r="AZ1288" s="87"/>
      <c r="BA1288" s="87"/>
      <c r="BB1288" s="87"/>
      <c r="BC1288" s="87"/>
      <c r="BD1288" s="87"/>
      <c r="BE1288" s="87"/>
      <c r="BF1288" s="87"/>
      <c r="BG1288" s="87"/>
      <c r="BH1288" s="87"/>
    </row>
    <row r="1289" spans="1:60" ht="16">
      <c r="A1289" s="82"/>
      <c r="B1289" s="82"/>
      <c r="C1289" s="82"/>
      <c r="D1289" s="83"/>
      <c r="E1289" s="84"/>
      <c r="F1289" s="84"/>
      <c r="G1289" s="84"/>
      <c r="H1289" s="82"/>
      <c r="I1289" s="84"/>
      <c r="J1289" s="84"/>
      <c r="K1289" s="84"/>
      <c r="L1289" s="84"/>
      <c r="M1289" s="84"/>
      <c r="N1289" s="84"/>
      <c r="O1289" s="84"/>
      <c r="P1289" s="84"/>
      <c r="Q1289" s="84"/>
      <c r="R1289" s="84"/>
      <c r="S1289" s="84"/>
      <c r="T1289" s="84"/>
      <c r="U1289" s="84"/>
      <c r="V1289" s="84"/>
      <c r="W1289" s="84"/>
      <c r="X1289" s="84"/>
      <c r="Y1289" s="84"/>
      <c r="Z1289" s="87"/>
      <c r="AA1289" s="87"/>
      <c r="AB1289" s="87"/>
      <c r="AC1289" s="87"/>
      <c r="AD1289" s="87"/>
      <c r="AE1289" s="87"/>
      <c r="AF1289" s="87"/>
      <c r="AG1289" s="87"/>
      <c r="AH1289" s="87"/>
      <c r="AI1289" s="87"/>
      <c r="AJ1289" s="87"/>
      <c r="AK1289" s="87"/>
      <c r="AL1289" s="87"/>
      <c r="AM1289" s="87"/>
      <c r="AN1289" s="87"/>
      <c r="AO1289" s="87"/>
      <c r="AP1289" s="87"/>
      <c r="AQ1289" s="87"/>
      <c r="AR1289" s="87"/>
      <c r="AS1289" s="87"/>
      <c r="AT1289" s="87"/>
      <c r="AU1289" s="87"/>
      <c r="AV1289" s="87"/>
      <c r="AW1289" s="87"/>
      <c r="AX1289" s="87"/>
      <c r="AY1289" s="87"/>
      <c r="AZ1289" s="87"/>
      <c r="BA1289" s="87"/>
      <c r="BB1289" s="87"/>
      <c r="BC1289" s="87"/>
      <c r="BD1289" s="87"/>
      <c r="BE1289" s="87"/>
      <c r="BF1289" s="87"/>
      <c r="BG1289" s="87"/>
      <c r="BH1289" s="87"/>
    </row>
    <row r="1290" spans="1:60" ht="16">
      <c r="A1290" s="82"/>
      <c r="B1290" s="82"/>
      <c r="C1290" s="82"/>
      <c r="D1290" s="83"/>
      <c r="E1290" s="84"/>
      <c r="F1290" s="84"/>
      <c r="G1290" s="84"/>
      <c r="H1290" s="82"/>
      <c r="I1290" s="84"/>
      <c r="J1290" s="84"/>
      <c r="K1290" s="84"/>
      <c r="L1290" s="84"/>
      <c r="M1290" s="84"/>
      <c r="N1290" s="84"/>
      <c r="O1290" s="84"/>
      <c r="P1290" s="84"/>
      <c r="Q1290" s="84"/>
      <c r="R1290" s="84"/>
      <c r="S1290" s="84"/>
      <c r="T1290" s="84"/>
      <c r="U1290" s="84"/>
      <c r="V1290" s="84"/>
      <c r="W1290" s="84"/>
      <c r="X1290" s="84"/>
      <c r="Y1290" s="84"/>
      <c r="Z1290" s="87"/>
      <c r="AA1290" s="87"/>
      <c r="AB1290" s="87"/>
      <c r="AC1290" s="87"/>
      <c r="AD1290" s="87"/>
      <c r="AE1290" s="87"/>
      <c r="AF1290" s="87"/>
      <c r="AG1290" s="87"/>
      <c r="AH1290" s="87"/>
      <c r="AI1290" s="87"/>
      <c r="AJ1290" s="87"/>
      <c r="AK1290" s="87"/>
      <c r="AL1290" s="87"/>
      <c r="AM1290" s="87"/>
      <c r="AN1290" s="87"/>
      <c r="AO1290" s="87"/>
      <c r="AP1290" s="87"/>
      <c r="AQ1290" s="87"/>
      <c r="AR1290" s="87"/>
      <c r="AS1290" s="87"/>
      <c r="AT1290" s="87"/>
      <c r="AU1290" s="87"/>
      <c r="AV1290" s="87"/>
      <c r="AW1290" s="87"/>
      <c r="AX1290" s="87"/>
      <c r="AY1290" s="87"/>
      <c r="AZ1290" s="87"/>
      <c r="BA1290" s="87"/>
      <c r="BB1290" s="87"/>
      <c r="BC1290" s="87"/>
      <c r="BD1290" s="87"/>
      <c r="BE1290" s="87"/>
      <c r="BF1290" s="87"/>
      <c r="BG1290" s="87"/>
      <c r="BH1290" s="87"/>
    </row>
    <row r="1291" spans="1:60" ht="16">
      <c r="A1291" s="82"/>
      <c r="B1291" s="82"/>
      <c r="C1291" s="82"/>
      <c r="D1291" s="83"/>
      <c r="E1291" s="84"/>
      <c r="F1291" s="84"/>
      <c r="G1291" s="84"/>
      <c r="H1291" s="82"/>
      <c r="I1291" s="84"/>
      <c r="J1291" s="84"/>
      <c r="K1291" s="84"/>
      <c r="L1291" s="84"/>
      <c r="M1291" s="84"/>
      <c r="N1291" s="84"/>
      <c r="O1291" s="84"/>
      <c r="P1291" s="84"/>
      <c r="Q1291" s="84"/>
      <c r="R1291" s="84"/>
      <c r="S1291" s="84"/>
      <c r="T1291" s="84"/>
      <c r="U1291" s="84"/>
      <c r="V1291" s="84"/>
      <c r="W1291" s="84"/>
      <c r="X1291" s="84"/>
      <c r="Y1291" s="84"/>
      <c r="Z1291" s="87"/>
      <c r="AA1291" s="87"/>
      <c r="AB1291" s="87"/>
      <c r="AC1291" s="87"/>
      <c r="AD1291" s="87"/>
      <c r="AE1291" s="87"/>
      <c r="AF1291" s="87"/>
      <c r="AG1291" s="87"/>
      <c r="AH1291" s="87"/>
      <c r="AI1291" s="87"/>
      <c r="AJ1291" s="87"/>
      <c r="AK1291" s="87"/>
      <c r="AL1291" s="87"/>
      <c r="AM1291" s="87"/>
      <c r="AN1291" s="87"/>
      <c r="AO1291" s="87"/>
      <c r="AP1291" s="87"/>
      <c r="AQ1291" s="87"/>
      <c r="AR1291" s="87"/>
      <c r="AS1291" s="87"/>
      <c r="AT1291" s="87"/>
      <c r="AU1291" s="87"/>
      <c r="AV1291" s="87"/>
      <c r="AW1291" s="87"/>
      <c r="AX1291" s="87"/>
      <c r="AY1291" s="87"/>
      <c r="AZ1291" s="87"/>
      <c r="BA1291" s="87"/>
      <c r="BB1291" s="87"/>
      <c r="BC1291" s="87"/>
      <c r="BD1291" s="87"/>
      <c r="BE1291" s="87"/>
      <c r="BF1291" s="87"/>
      <c r="BG1291" s="87"/>
      <c r="BH1291" s="87"/>
    </row>
    <row r="1292" spans="1:60" ht="16">
      <c r="A1292" s="82"/>
      <c r="B1292" s="82"/>
      <c r="C1292" s="82"/>
      <c r="D1292" s="83"/>
      <c r="E1292" s="84"/>
      <c r="F1292" s="84"/>
      <c r="G1292" s="84"/>
      <c r="H1292" s="82"/>
      <c r="I1292" s="84"/>
      <c r="J1292" s="84"/>
      <c r="K1292" s="84"/>
      <c r="L1292" s="84"/>
      <c r="M1292" s="84"/>
      <c r="N1292" s="84"/>
      <c r="O1292" s="84"/>
      <c r="P1292" s="84"/>
      <c r="Q1292" s="84"/>
      <c r="R1292" s="84"/>
      <c r="S1292" s="84"/>
      <c r="T1292" s="84"/>
      <c r="U1292" s="84"/>
      <c r="V1292" s="84"/>
      <c r="W1292" s="84"/>
      <c r="X1292" s="84"/>
      <c r="Y1292" s="84"/>
      <c r="Z1292" s="87"/>
      <c r="AA1292" s="87"/>
      <c r="AB1292" s="87"/>
      <c r="AC1292" s="87"/>
      <c r="AD1292" s="87"/>
      <c r="AE1292" s="87"/>
      <c r="AF1292" s="87"/>
      <c r="AG1292" s="87"/>
      <c r="AH1292" s="87"/>
      <c r="AI1292" s="87"/>
      <c r="AJ1292" s="87"/>
      <c r="AK1292" s="87"/>
      <c r="AL1292" s="87"/>
      <c r="AM1292" s="87"/>
      <c r="AN1292" s="87"/>
      <c r="AO1292" s="87"/>
      <c r="AP1292" s="87"/>
      <c r="AQ1292" s="87"/>
      <c r="AR1292" s="87"/>
      <c r="AS1292" s="87"/>
      <c r="AT1292" s="87"/>
      <c r="AU1292" s="87"/>
      <c r="AV1292" s="87"/>
      <c r="AW1292" s="87"/>
      <c r="AX1292" s="87"/>
      <c r="AY1292" s="87"/>
      <c r="AZ1292" s="87"/>
      <c r="BA1292" s="87"/>
      <c r="BB1292" s="87"/>
      <c r="BC1292" s="87"/>
      <c r="BD1292" s="87"/>
      <c r="BE1292" s="87"/>
      <c r="BF1292" s="87"/>
      <c r="BG1292" s="87"/>
      <c r="BH1292" s="87"/>
    </row>
    <row r="1293" spans="1:60" ht="16">
      <c r="A1293" s="82"/>
      <c r="B1293" s="82"/>
      <c r="C1293" s="82"/>
      <c r="D1293" s="83"/>
      <c r="E1293" s="84"/>
      <c r="F1293" s="84"/>
      <c r="G1293" s="84"/>
      <c r="H1293" s="82"/>
      <c r="I1293" s="84"/>
      <c r="J1293" s="84"/>
      <c r="K1293" s="84"/>
      <c r="L1293" s="84"/>
      <c r="M1293" s="84"/>
      <c r="N1293" s="84"/>
      <c r="O1293" s="84"/>
      <c r="P1293" s="84"/>
      <c r="Q1293" s="84"/>
      <c r="R1293" s="84"/>
      <c r="S1293" s="84"/>
      <c r="T1293" s="84"/>
      <c r="U1293" s="84"/>
      <c r="V1293" s="84"/>
      <c r="W1293" s="84"/>
      <c r="X1293" s="84"/>
      <c r="Y1293" s="84"/>
      <c r="Z1293" s="87"/>
      <c r="AA1293" s="87"/>
      <c r="AB1293" s="87"/>
      <c r="AC1293" s="87"/>
      <c r="AD1293" s="87"/>
      <c r="AE1293" s="87"/>
      <c r="AF1293" s="87"/>
      <c r="AG1293" s="87"/>
      <c r="AH1293" s="87"/>
      <c r="AI1293" s="87"/>
      <c r="AJ1293" s="87"/>
      <c r="AK1293" s="87"/>
      <c r="AL1293" s="87"/>
      <c r="AM1293" s="87"/>
      <c r="AN1293" s="87"/>
      <c r="AO1293" s="87"/>
      <c r="AP1293" s="87"/>
      <c r="AQ1293" s="87"/>
      <c r="AR1293" s="87"/>
      <c r="AS1293" s="87"/>
      <c r="AT1293" s="87"/>
      <c r="AU1293" s="87"/>
      <c r="AV1293" s="87"/>
      <c r="AW1293" s="87"/>
      <c r="AX1293" s="87"/>
      <c r="AY1293" s="87"/>
      <c r="AZ1293" s="87"/>
      <c r="BA1293" s="87"/>
      <c r="BB1293" s="87"/>
      <c r="BC1293" s="87"/>
      <c r="BD1293" s="87"/>
      <c r="BE1293" s="87"/>
      <c r="BF1293" s="87"/>
      <c r="BG1293" s="87"/>
      <c r="BH1293" s="87"/>
    </row>
    <row r="1294" spans="1:60" ht="16">
      <c r="A1294" s="82"/>
      <c r="B1294" s="82"/>
      <c r="C1294" s="82"/>
      <c r="D1294" s="83"/>
      <c r="E1294" s="84"/>
      <c r="F1294" s="84"/>
      <c r="G1294" s="84"/>
      <c r="H1294" s="82"/>
      <c r="I1294" s="84"/>
      <c r="J1294" s="84"/>
      <c r="K1294" s="84"/>
      <c r="L1294" s="84"/>
      <c r="M1294" s="84"/>
      <c r="N1294" s="84"/>
      <c r="O1294" s="84"/>
      <c r="P1294" s="84"/>
      <c r="Q1294" s="84"/>
      <c r="R1294" s="84"/>
      <c r="S1294" s="84"/>
      <c r="T1294" s="84"/>
      <c r="U1294" s="84"/>
      <c r="V1294" s="84"/>
      <c r="W1294" s="84"/>
      <c r="X1294" s="84"/>
      <c r="Y1294" s="84"/>
      <c r="Z1294" s="87"/>
      <c r="AA1294" s="87"/>
      <c r="AB1294" s="87"/>
      <c r="AC1294" s="87"/>
      <c r="AD1294" s="87"/>
      <c r="AE1294" s="87"/>
      <c r="AF1294" s="87"/>
      <c r="AG1294" s="87"/>
      <c r="AH1294" s="87"/>
      <c r="AI1294" s="87"/>
      <c r="AJ1294" s="87"/>
      <c r="AK1294" s="87"/>
      <c r="AL1294" s="87"/>
      <c r="AM1294" s="87"/>
      <c r="AN1294" s="87"/>
      <c r="AO1294" s="87"/>
      <c r="AP1294" s="87"/>
      <c r="AQ1294" s="87"/>
      <c r="AR1294" s="87"/>
      <c r="AS1294" s="87"/>
      <c r="AT1294" s="87"/>
      <c r="AU1294" s="87"/>
      <c r="AV1294" s="87"/>
      <c r="AW1294" s="87"/>
      <c r="AX1294" s="87"/>
      <c r="AY1294" s="87"/>
      <c r="AZ1294" s="87"/>
      <c r="BA1294" s="87"/>
      <c r="BB1294" s="87"/>
      <c r="BC1294" s="87"/>
      <c r="BD1294" s="87"/>
      <c r="BE1294" s="87"/>
      <c r="BF1294" s="87"/>
      <c r="BG1294" s="87"/>
      <c r="BH1294" s="87"/>
    </row>
    <row r="1295" spans="1:60" ht="16">
      <c r="A1295" s="82"/>
      <c r="B1295" s="82"/>
      <c r="C1295" s="82"/>
      <c r="D1295" s="83"/>
      <c r="E1295" s="84"/>
      <c r="F1295" s="84"/>
      <c r="G1295" s="84"/>
      <c r="H1295" s="82"/>
      <c r="I1295" s="84"/>
      <c r="J1295" s="84"/>
      <c r="K1295" s="84"/>
      <c r="L1295" s="84"/>
      <c r="M1295" s="84"/>
      <c r="N1295" s="84"/>
      <c r="O1295" s="84"/>
      <c r="P1295" s="84"/>
      <c r="Q1295" s="84"/>
      <c r="R1295" s="84"/>
      <c r="S1295" s="84"/>
      <c r="T1295" s="84"/>
      <c r="U1295" s="84"/>
      <c r="V1295" s="84"/>
      <c r="W1295" s="84"/>
      <c r="X1295" s="84"/>
      <c r="Y1295" s="84"/>
      <c r="Z1295" s="87"/>
      <c r="AA1295" s="87"/>
      <c r="AB1295" s="87"/>
      <c r="AC1295" s="87"/>
      <c r="AD1295" s="87"/>
      <c r="AE1295" s="87"/>
      <c r="AF1295" s="87"/>
      <c r="AG1295" s="87"/>
      <c r="AH1295" s="87"/>
      <c r="AI1295" s="87"/>
      <c r="AJ1295" s="87"/>
      <c r="AK1295" s="87"/>
      <c r="AL1295" s="87"/>
      <c r="AM1295" s="87"/>
      <c r="AN1295" s="87"/>
      <c r="AO1295" s="87"/>
      <c r="AP1295" s="87"/>
      <c r="AQ1295" s="87"/>
      <c r="AR1295" s="87"/>
      <c r="AS1295" s="87"/>
      <c r="AT1295" s="87"/>
      <c r="AU1295" s="87"/>
      <c r="AV1295" s="87"/>
      <c r="AW1295" s="87"/>
      <c r="AX1295" s="87"/>
      <c r="AY1295" s="87"/>
      <c r="AZ1295" s="87"/>
      <c r="BA1295" s="87"/>
      <c r="BB1295" s="87"/>
      <c r="BC1295" s="87"/>
      <c r="BD1295" s="87"/>
      <c r="BE1295" s="87"/>
      <c r="BF1295" s="87"/>
      <c r="BG1295" s="87"/>
      <c r="BH1295" s="87"/>
    </row>
    <row r="1296" spans="1:60" ht="16">
      <c r="A1296" s="82"/>
      <c r="B1296" s="82"/>
      <c r="C1296" s="82"/>
      <c r="D1296" s="83"/>
      <c r="E1296" s="84"/>
      <c r="F1296" s="84"/>
      <c r="G1296" s="84"/>
      <c r="H1296" s="82"/>
      <c r="I1296" s="84"/>
      <c r="J1296" s="84"/>
      <c r="K1296" s="84"/>
      <c r="L1296" s="84"/>
      <c r="M1296" s="84"/>
      <c r="N1296" s="84"/>
      <c r="O1296" s="84"/>
      <c r="P1296" s="84"/>
      <c r="Q1296" s="84"/>
      <c r="R1296" s="84"/>
      <c r="S1296" s="84"/>
      <c r="T1296" s="84"/>
      <c r="U1296" s="84"/>
      <c r="V1296" s="84"/>
      <c r="W1296" s="84"/>
      <c r="X1296" s="84"/>
      <c r="Y1296" s="84"/>
      <c r="Z1296" s="87"/>
      <c r="AA1296" s="87"/>
      <c r="AB1296" s="87"/>
      <c r="AC1296" s="87"/>
      <c r="AD1296" s="87"/>
      <c r="AE1296" s="87"/>
      <c r="AF1296" s="87"/>
      <c r="AG1296" s="87"/>
      <c r="AH1296" s="87"/>
      <c r="AI1296" s="87"/>
      <c r="AJ1296" s="87"/>
      <c r="AK1296" s="87"/>
      <c r="AL1296" s="87"/>
      <c r="AM1296" s="87"/>
      <c r="AN1296" s="87"/>
      <c r="AO1296" s="87"/>
      <c r="AP1296" s="87"/>
      <c r="AQ1296" s="87"/>
      <c r="AR1296" s="87"/>
      <c r="AS1296" s="87"/>
      <c r="AT1296" s="87"/>
      <c r="AU1296" s="87"/>
      <c r="AV1296" s="87"/>
      <c r="AW1296" s="87"/>
      <c r="AX1296" s="87"/>
      <c r="AY1296" s="87"/>
      <c r="AZ1296" s="87"/>
      <c r="BA1296" s="87"/>
      <c r="BB1296" s="87"/>
      <c r="BC1296" s="87"/>
      <c r="BD1296" s="87"/>
      <c r="BE1296" s="87"/>
      <c r="BF1296" s="87"/>
      <c r="BG1296" s="87"/>
      <c r="BH1296" s="87"/>
    </row>
    <row r="1297" spans="1:60" ht="16">
      <c r="A1297" s="82"/>
      <c r="B1297" s="82"/>
      <c r="C1297" s="82"/>
      <c r="D1297" s="83"/>
      <c r="E1297" s="84"/>
      <c r="F1297" s="84"/>
      <c r="G1297" s="84"/>
      <c r="H1297" s="82"/>
      <c r="I1297" s="84"/>
      <c r="J1297" s="84"/>
      <c r="K1297" s="84"/>
      <c r="L1297" s="84"/>
      <c r="M1297" s="84"/>
      <c r="N1297" s="84"/>
      <c r="O1297" s="84"/>
      <c r="P1297" s="84"/>
      <c r="Q1297" s="84"/>
      <c r="R1297" s="84"/>
      <c r="S1297" s="84"/>
      <c r="T1297" s="84"/>
      <c r="U1297" s="84"/>
      <c r="V1297" s="84"/>
      <c r="W1297" s="84"/>
      <c r="X1297" s="84"/>
      <c r="Y1297" s="84"/>
      <c r="Z1297" s="87"/>
      <c r="AA1297" s="87"/>
      <c r="AB1297" s="87"/>
      <c r="AC1297" s="87"/>
      <c r="AD1297" s="87"/>
      <c r="AE1297" s="87"/>
      <c r="AF1297" s="87"/>
      <c r="AG1297" s="87"/>
      <c r="AH1297" s="87"/>
      <c r="AI1297" s="87"/>
      <c r="AJ1297" s="87"/>
      <c r="AK1297" s="87"/>
      <c r="AL1297" s="87"/>
      <c r="AM1297" s="87"/>
      <c r="AN1297" s="87"/>
      <c r="AO1297" s="87"/>
      <c r="AP1297" s="87"/>
      <c r="AQ1297" s="87"/>
      <c r="AR1297" s="87"/>
      <c r="AS1297" s="87"/>
      <c r="AT1297" s="87"/>
      <c r="AU1297" s="87"/>
      <c r="AV1297" s="87"/>
      <c r="AW1297" s="87"/>
      <c r="AX1297" s="87"/>
      <c r="AY1297" s="87"/>
      <c r="AZ1297" s="87"/>
      <c r="BA1297" s="87"/>
      <c r="BB1297" s="87"/>
      <c r="BC1297" s="87"/>
      <c r="BD1297" s="87"/>
      <c r="BE1297" s="87"/>
      <c r="BF1297" s="87"/>
      <c r="BG1297" s="87"/>
      <c r="BH1297" s="87"/>
    </row>
    <row r="1298" spans="1:60" ht="16">
      <c r="A1298" s="82"/>
      <c r="B1298" s="82"/>
      <c r="C1298" s="82"/>
      <c r="D1298" s="83"/>
      <c r="E1298" s="84"/>
      <c r="F1298" s="84"/>
      <c r="G1298" s="84"/>
      <c r="H1298" s="82"/>
      <c r="I1298" s="84"/>
      <c r="J1298" s="84"/>
      <c r="K1298" s="84"/>
      <c r="L1298" s="84"/>
      <c r="M1298" s="84"/>
      <c r="N1298" s="84"/>
      <c r="O1298" s="84"/>
      <c r="P1298" s="84"/>
      <c r="Q1298" s="84"/>
      <c r="R1298" s="84"/>
      <c r="S1298" s="84"/>
      <c r="T1298" s="84"/>
      <c r="U1298" s="84"/>
      <c r="V1298" s="84"/>
      <c r="W1298" s="84"/>
      <c r="X1298" s="84"/>
      <c r="Y1298" s="84"/>
      <c r="Z1298" s="87"/>
      <c r="AA1298" s="87"/>
      <c r="AB1298" s="87"/>
      <c r="AC1298" s="87"/>
      <c r="AD1298" s="87"/>
      <c r="AE1298" s="87"/>
      <c r="AF1298" s="87"/>
      <c r="AG1298" s="87"/>
      <c r="AH1298" s="87"/>
      <c r="AI1298" s="87"/>
      <c r="AJ1298" s="87"/>
      <c r="AK1298" s="87"/>
      <c r="AL1298" s="87"/>
      <c r="AM1298" s="87"/>
      <c r="AN1298" s="87"/>
      <c r="AO1298" s="87"/>
      <c r="AP1298" s="87"/>
      <c r="AQ1298" s="87"/>
      <c r="AR1298" s="87"/>
      <c r="AS1298" s="87"/>
      <c r="AT1298" s="87"/>
      <c r="AU1298" s="87"/>
      <c r="AV1298" s="87"/>
      <c r="AW1298" s="87"/>
      <c r="AX1298" s="87"/>
      <c r="AY1298" s="87"/>
      <c r="AZ1298" s="87"/>
      <c r="BA1298" s="87"/>
      <c r="BB1298" s="87"/>
      <c r="BC1298" s="87"/>
      <c r="BD1298" s="87"/>
      <c r="BE1298" s="87"/>
      <c r="BF1298" s="87"/>
      <c r="BG1298" s="87"/>
      <c r="BH1298" s="87"/>
    </row>
    <row r="1299" spans="1:60" ht="16">
      <c r="A1299" s="82"/>
      <c r="B1299" s="82"/>
      <c r="C1299" s="82"/>
      <c r="D1299" s="83"/>
      <c r="E1299" s="84"/>
      <c r="F1299" s="84"/>
      <c r="G1299" s="84"/>
      <c r="H1299" s="82"/>
      <c r="I1299" s="84"/>
      <c r="J1299" s="84"/>
      <c r="K1299" s="84"/>
      <c r="L1299" s="84"/>
      <c r="M1299" s="84"/>
      <c r="N1299" s="84"/>
      <c r="O1299" s="84"/>
      <c r="P1299" s="84"/>
      <c r="Q1299" s="84"/>
      <c r="R1299" s="84"/>
      <c r="S1299" s="84"/>
      <c r="T1299" s="84"/>
      <c r="U1299" s="84"/>
      <c r="V1299" s="84"/>
      <c r="W1299" s="84"/>
      <c r="X1299" s="84"/>
      <c r="Y1299" s="84"/>
      <c r="Z1299" s="87"/>
      <c r="AA1299" s="87"/>
      <c r="AB1299" s="87"/>
      <c r="AC1299" s="87"/>
      <c r="AD1299" s="87"/>
      <c r="AE1299" s="87"/>
      <c r="AF1299" s="87"/>
      <c r="AG1299" s="87"/>
      <c r="AH1299" s="87"/>
      <c r="AI1299" s="87"/>
      <c r="AJ1299" s="87"/>
      <c r="AK1299" s="87"/>
      <c r="AL1299" s="87"/>
      <c r="AM1299" s="87"/>
      <c r="AN1299" s="87"/>
      <c r="AO1299" s="87"/>
      <c r="AP1299" s="87"/>
      <c r="AQ1299" s="87"/>
      <c r="AR1299" s="87"/>
      <c r="AS1299" s="87"/>
      <c r="AT1299" s="87"/>
      <c r="AU1299" s="87"/>
      <c r="AV1299" s="87"/>
      <c r="AW1299" s="87"/>
      <c r="AX1299" s="87"/>
      <c r="AY1299" s="87"/>
      <c r="AZ1299" s="87"/>
      <c r="BA1299" s="87"/>
      <c r="BB1299" s="87"/>
      <c r="BC1299" s="87"/>
      <c r="BD1299" s="87"/>
      <c r="BE1299" s="87"/>
      <c r="BF1299" s="87"/>
      <c r="BG1299" s="87"/>
      <c r="BH1299" s="87"/>
    </row>
    <row r="1300" spans="1:60" ht="16">
      <c r="A1300" s="82"/>
      <c r="B1300" s="82"/>
      <c r="C1300" s="82"/>
      <c r="D1300" s="83"/>
      <c r="E1300" s="84"/>
      <c r="F1300" s="84"/>
      <c r="G1300" s="84"/>
      <c r="H1300" s="82"/>
      <c r="I1300" s="84"/>
      <c r="J1300" s="84"/>
      <c r="K1300" s="84"/>
      <c r="L1300" s="84"/>
      <c r="M1300" s="84"/>
      <c r="N1300" s="84"/>
      <c r="O1300" s="84"/>
      <c r="P1300" s="84"/>
      <c r="Q1300" s="84"/>
      <c r="R1300" s="84"/>
      <c r="S1300" s="84"/>
      <c r="T1300" s="84"/>
      <c r="U1300" s="84"/>
      <c r="V1300" s="84"/>
      <c r="W1300" s="84"/>
      <c r="X1300" s="84"/>
      <c r="Y1300" s="84"/>
      <c r="Z1300" s="87"/>
      <c r="AA1300" s="87"/>
      <c r="AB1300" s="87"/>
      <c r="AC1300" s="87"/>
      <c r="AD1300" s="87"/>
      <c r="AE1300" s="87"/>
      <c r="AF1300" s="87"/>
      <c r="AG1300" s="87"/>
      <c r="AH1300" s="87"/>
      <c r="AI1300" s="87"/>
      <c r="AJ1300" s="87"/>
      <c r="AK1300" s="87"/>
      <c r="AL1300" s="87"/>
      <c r="AM1300" s="87"/>
      <c r="AN1300" s="87"/>
      <c r="AO1300" s="87"/>
      <c r="AP1300" s="87"/>
      <c r="AQ1300" s="87"/>
      <c r="AR1300" s="87"/>
      <c r="AS1300" s="87"/>
      <c r="AT1300" s="87"/>
      <c r="AU1300" s="87"/>
      <c r="AV1300" s="87"/>
      <c r="AW1300" s="87"/>
      <c r="AX1300" s="87"/>
      <c r="AY1300" s="87"/>
      <c r="AZ1300" s="87"/>
      <c r="BA1300" s="87"/>
      <c r="BB1300" s="87"/>
      <c r="BC1300" s="87"/>
      <c r="BD1300" s="87"/>
      <c r="BE1300" s="87"/>
      <c r="BF1300" s="87"/>
      <c r="BG1300" s="87"/>
      <c r="BH1300" s="87"/>
    </row>
    <row r="1301" spans="1:60" ht="16">
      <c r="A1301" s="82"/>
      <c r="B1301" s="82"/>
      <c r="C1301" s="82"/>
      <c r="D1301" s="83"/>
      <c r="E1301" s="84"/>
      <c r="F1301" s="84"/>
      <c r="G1301" s="84"/>
      <c r="H1301" s="82"/>
      <c r="I1301" s="84"/>
      <c r="J1301" s="84"/>
      <c r="K1301" s="84"/>
      <c r="L1301" s="84"/>
      <c r="M1301" s="84"/>
      <c r="N1301" s="84"/>
      <c r="O1301" s="84"/>
      <c r="P1301" s="84"/>
      <c r="Q1301" s="84"/>
      <c r="R1301" s="84"/>
      <c r="S1301" s="84"/>
      <c r="T1301" s="84"/>
      <c r="U1301" s="84"/>
      <c r="V1301" s="84"/>
      <c r="W1301" s="84"/>
      <c r="X1301" s="84"/>
      <c r="Y1301" s="84"/>
      <c r="Z1301" s="87"/>
      <c r="AA1301" s="87"/>
      <c r="AB1301" s="87"/>
      <c r="AC1301" s="87"/>
      <c r="AD1301" s="87"/>
      <c r="AE1301" s="87"/>
      <c r="AF1301" s="87"/>
      <c r="AG1301" s="87"/>
      <c r="AH1301" s="87"/>
      <c r="AI1301" s="87"/>
      <c r="AJ1301" s="87"/>
      <c r="AK1301" s="87"/>
      <c r="AL1301" s="87"/>
      <c r="AM1301" s="87"/>
      <c r="AN1301" s="87"/>
      <c r="AO1301" s="87"/>
      <c r="AP1301" s="87"/>
      <c r="AQ1301" s="87"/>
      <c r="AR1301" s="87"/>
      <c r="AS1301" s="87"/>
      <c r="AT1301" s="87"/>
      <c r="AU1301" s="87"/>
      <c r="AV1301" s="87"/>
      <c r="AW1301" s="87"/>
      <c r="AX1301" s="87"/>
      <c r="AY1301" s="87"/>
      <c r="AZ1301" s="87"/>
      <c r="BA1301" s="87"/>
      <c r="BB1301" s="87"/>
      <c r="BC1301" s="87"/>
      <c r="BD1301" s="87"/>
      <c r="BE1301" s="87"/>
      <c r="BF1301" s="87"/>
      <c r="BG1301" s="87"/>
      <c r="BH1301" s="87"/>
    </row>
    <row r="1302" spans="1:60" ht="16">
      <c r="A1302" s="82"/>
      <c r="B1302" s="82"/>
      <c r="C1302" s="82"/>
      <c r="D1302" s="83"/>
      <c r="E1302" s="84"/>
      <c r="F1302" s="84"/>
      <c r="G1302" s="84"/>
      <c r="H1302" s="82"/>
      <c r="I1302" s="84"/>
      <c r="J1302" s="84"/>
      <c r="K1302" s="84"/>
      <c r="L1302" s="84"/>
      <c r="M1302" s="84"/>
      <c r="N1302" s="84"/>
      <c r="O1302" s="84"/>
      <c r="P1302" s="84"/>
      <c r="Q1302" s="84"/>
      <c r="R1302" s="84"/>
      <c r="S1302" s="84"/>
      <c r="T1302" s="84"/>
      <c r="U1302" s="84"/>
      <c r="V1302" s="84"/>
      <c r="W1302" s="84"/>
      <c r="X1302" s="84"/>
      <c r="Y1302" s="84"/>
      <c r="Z1302" s="87"/>
      <c r="AA1302" s="87"/>
      <c r="AB1302" s="87"/>
      <c r="AC1302" s="87"/>
      <c r="AD1302" s="87"/>
      <c r="AE1302" s="87"/>
      <c r="AF1302" s="87"/>
      <c r="AG1302" s="87"/>
      <c r="AH1302" s="87"/>
      <c r="AI1302" s="87"/>
      <c r="AJ1302" s="87"/>
      <c r="AK1302" s="87"/>
      <c r="AL1302" s="87"/>
      <c r="AM1302" s="87"/>
      <c r="AN1302" s="87"/>
      <c r="AO1302" s="87"/>
      <c r="AP1302" s="87"/>
      <c r="AQ1302" s="87"/>
      <c r="AR1302" s="87"/>
      <c r="AS1302" s="87"/>
      <c r="AT1302" s="87"/>
      <c r="AU1302" s="87"/>
      <c r="AV1302" s="87"/>
      <c r="AW1302" s="87"/>
      <c r="AX1302" s="87"/>
      <c r="AY1302" s="87"/>
      <c r="AZ1302" s="87"/>
      <c r="BA1302" s="87"/>
      <c r="BB1302" s="87"/>
      <c r="BC1302" s="87"/>
      <c r="BD1302" s="87"/>
      <c r="BE1302" s="87"/>
      <c r="BF1302" s="87"/>
      <c r="BG1302" s="87"/>
      <c r="BH1302" s="87"/>
    </row>
    <row r="1303" spans="1:60" ht="16">
      <c r="A1303" s="82"/>
      <c r="B1303" s="82"/>
      <c r="C1303" s="82"/>
      <c r="D1303" s="83"/>
      <c r="E1303" s="84"/>
      <c r="F1303" s="84"/>
      <c r="G1303" s="84"/>
      <c r="H1303" s="82"/>
      <c r="I1303" s="84"/>
      <c r="J1303" s="84"/>
      <c r="K1303" s="84"/>
      <c r="L1303" s="84"/>
      <c r="M1303" s="84"/>
      <c r="N1303" s="84"/>
      <c r="O1303" s="84"/>
      <c r="P1303" s="84"/>
      <c r="Q1303" s="84"/>
      <c r="R1303" s="84"/>
      <c r="S1303" s="84"/>
      <c r="T1303" s="84"/>
      <c r="U1303" s="84"/>
      <c r="V1303" s="84"/>
      <c r="W1303" s="84"/>
      <c r="X1303" s="84"/>
      <c r="Y1303" s="84"/>
      <c r="Z1303" s="87"/>
      <c r="AA1303" s="87"/>
      <c r="AB1303" s="87"/>
      <c r="AC1303" s="87"/>
      <c r="AD1303" s="87"/>
      <c r="AE1303" s="87"/>
      <c r="AF1303" s="87"/>
      <c r="AG1303" s="87"/>
      <c r="AH1303" s="87"/>
      <c r="AI1303" s="87"/>
      <c r="AJ1303" s="87"/>
      <c r="AK1303" s="87"/>
      <c r="AL1303" s="87"/>
      <c r="AM1303" s="87"/>
      <c r="AN1303" s="87"/>
      <c r="AO1303" s="87"/>
      <c r="AP1303" s="87"/>
      <c r="AQ1303" s="87"/>
      <c r="AR1303" s="87"/>
      <c r="AS1303" s="87"/>
      <c r="AT1303" s="87"/>
      <c r="AU1303" s="87"/>
      <c r="AV1303" s="87"/>
      <c r="AW1303" s="87"/>
      <c r="AX1303" s="87"/>
      <c r="AY1303" s="87"/>
      <c r="AZ1303" s="87"/>
      <c r="BA1303" s="87"/>
      <c r="BB1303" s="87"/>
      <c r="BC1303" s="87"/>
      <c r="BD1303" s="87"/>
      <c r="BE1303" s="87"/>
      <c r="BF1303" s="87"/>
      <c r="BG1303" s="87"/>
      <c r="BH1303" s="87"/>
    </row>
    <row r="1304" spans="1:60" ht="16">
      <c r="A1304" s="82"/>
      <c r="B1304" s="82"/>
      <c r="C1304" s="82"/>
      <c r="D1304" s="83"/>
      <c r="E1304" s="84"/>
      <c r="F1304" s="84"/>
      <c r="G1304" s="84"/>
      <c r="H1304" s="82"/>
      <c r="I1304" s="84"/>
      <c r="J1304" s="84"/>
      <c r="K1304" s="84"/>
      <c r="L1304" s="84"/>
      <c r="M1304" s="84"/>
      <c r="N1304" s="84"/>
      <c r="O1304" s="84"/>
      <c r="P1304" s="84"/>
      <c r="Q1304" s="84"/>
      <c r="R1304" s="84"/>
      <c r="S1304" s="84"/>
      <c r="T1304" s="84"/>
      <c r="U1304" s="84"/>
      <c r="V1304" s="84"/>
      <c r="W1304" s="84"/>
      <c r="X1304" s="84"/>
      <c r="Y1304" s="84"/>
      <c r="Z1304" s="87"/>
      <c r="AA1304" s="87"/>
      <c r="AB1304" s="87"/>
      <c r="AC1304" s="87"/>
      <c r="AD1304" s="87"/>
      <c r="AE1304" s="87"/>
      <c r="AF1304" s="87"/>
      <c r="AG1304" s="87"/>
      <c r="AH1304" s="87"/>
      <c r="AI1304" s="87"/>
      <c r="AJ1304" s="87"/>
      <c r="AK1304" s="87"/>
      <c r="AL1304" s="87"/>
      <c r="AM1304" s="87"/>
      <c r="AN1304" s="87"/>
      <c r="AO1304" s="87"/>
      <c r="AP1304" s="87"/>
      <c r="AQ1304" s="87"/>
      <c r="AR1304" s="87"/>
      <c r="AS1304" s="87"/>
      <c r="AT1304" s="87"/>
      <c r="AU1304" s="87"/>
      <c r="AV1304" s="87"/>
      <c r="AW1304" s="87"/>
      <c r="AX1304" s="87"/>
      <c r="AY1304" s="87"/>
      <c r="AZ1304" s="87"/>
      <c r="BA1304" s="87"/>
      <c r="BB1304" s="87"/>
      <c r="BC1304" s="87"/>
      <c r="BD1304" s="87"/>
      <c r="BE1304" s="87"/>
      <c r="BF1304" s="87"/>
      <c r="BG1304" s="87"/>
      <c r="BH1304" s="87"/>
    </row>
    <row r="1305" spans="1:60" ht="16">
      <c r="A1305" s="82"/>
      <c r="B1305" s="82"/>
      <c r="C1305" s="82"/>
      <c r="D1305" s="83"/>
      <c r="E1305" s="84"/>
      <c r="F1305" s="84"/>
      <c r="G1305" s="84"/>
      <c r="H1305" s="82"/>
      <c r="I1305" s="84"/>
      <c r="J1305" s="84"/>
      <c r="K1305" s="84"/>
      <c r="L1305" s="84"/>
      <c r="M1305" s="84"/>
      <c r="N1305" s="84"/>
      <c r="O1305" s="84"/>
      <c r="P1305" s="84"/>
      <c r="Q1305" s="84"/>
      <c r="R1305" s="84"/>
      <c r="S1305" s="84"/>
      <c r="T1305" s="84"/>
      <c r="U1305" s="84"/>
      <c r="V1305" s="84"/>
      <c r="W1305" s="84"/>
      <c r="X1305" s="84"/>
      <c r="Y1305" s="84"/>
      <c r="Z1305" s="87"/>
      <c r="AA1305" s="87"/>
      <c r="AB1305" s="87"/>
      <c r="AC1305" s="87"/>
      <c r="AD1305" s="87"/>
      <c r="AE1305" s="87"/>
      <c r="AF1305" s="87"/>
      <c r="AG1305" s="87"/>
      <c r="AH1305" s="87"/>
      <c r="AI1305" s="87"/>
      <c r="AJ1305" s="87"/>
      <c r="AK1305" s="87"/>
      <c r="AL1305" s="87"/>
      <c r="AM1305" s="87"/>
      <c r="AN1305" s="87"/>
      <c r="AO1305" s="87"/>
      <c r="AP1305" s="87"/>
      <c r="AQ1305" s="87"/>
      <c r="AR1305" s="87"/>
      <c r="AS1305" s="87"/>
      <c r="AT1305" s="87"/>
      <c r="AU1305" s="87"/>
      <c r="AV1305" s="87"/>
      <c r="AW1305" s="87"/>
      <c r="AX1305" s="87"/>
      <c r="AY1305" s="87"/>
      <c r="AZ1305" s="87"/>
      <c r="BA1305" s="87"/>
      <c r="BB1305" s="87"/>
      <c r="BC1305" s="87"/>
      <c r="BD1305" s="87"/>
      <c r="BE1305" s="87"/>
      <c r="BF1305" s="87"/>
      <c r="BG1305" s="87"/>
      <c r="BH1305" s="87"/>
    </row>
    <row r="1306" spans="1:60" ht="16">
      <c r="A1306" s="82"/>
      <c r="B1306" s="82"/>
      <c r="C1306" s="82"/>
      <c r="D1306" s="83"/>
      <c r="E1306" s="84"/>
      <c r="F1306" s="84"/>
      <c r="G1306" s="84"/>
      <c r="H1306" s="82"/>
      <c r="I1306" s="84"/>
      <c r="J1306" s="84"/>
      <c r="K1306" s="84"/>
      <c r="L1306" s="84"/>
      <c r="M1306" s="84"/>
      <c r="N1306" s="84"/>
      <c r="O1306" s="84"/>
      <c r="P1306" s="84"/>
      <c r="Q1306" s="84"/>
      <c r="R1306" s="84"/>
      <c r="S1306" s="84"/>
      <c r="T1306" s="84"/>
      <c r="U1306" s="84"/>
      <c r="V1306" s="84"/>
      <c r="W1306" s="84"/>
      <c r="X1306" s="84"/>
      <c r="Y1306" s="84"/>
      <c r="Z1306" s="87"/>
      <c r="AA1306" s="87"/>
      <c r="AB1306" s="87"/>
      <c r="AC1306" s="87"/>
      <c r="AD1306" s="87"/>
      <c r="AE1306" s="87"/>
      <c r="AF1306" s="87"/>
      <c r="AG1306" s="87"/>
      <c r="AH1306" s="87"/>
      <c r="AI1306" s="87"/>
      <c r="AJ1306" s="87"/>
      <c r="AK1306" s="87"/>
      <c r="AL1306" s="87"/>
      <c r="AM1306" s="87"/>
      <c r="AN1306" s="87"/>
      <c r="AO1306" s="87"/>
      <c r="AP1306" s="87"/>
      <c r="AQ1306" s="87"/>
      <c r="AR1306" s="87"/>
      <c r="AS1306" s="87"/>
      <c r="AT1306" s="87"/>
      <c r="AU1306" s="87"/>
      <c r="AV1306" s="87"/>
      <c r="AW1306" s="87"/>
      <c r="AX1306" s="87"/>
      <c r="AY1306" s="87"/>
      <c r="AZ1306" s="87"/>
      <c r="BA1306" s="87"/>
      <c r="BB1306" s="87"/>
      <c r="BC1306" s="87"/>
      <c r="BD1306" s="87"/>
      <c r="BE1306" s="87"/>
      <c r="BF1306" s="87"/>
      <c r="BG1306" s="87"/>
      <c r="BH1306" s="87"/>
    </row>
    <row r="1307" spans="1:60" ht="16">
      <c r="A1307" s="82"/>
      <c r="B1307" s="82"/>
      <c r="C1307" s="82"/>
      <c r="D1307" s="83"/>
      <c r="E1307" s="84"/>
      <c r="F1307" s="84"/>
      <c r="G1307" s="84"/>
      <c r="H1307" s="82"/>
      <c r="I1307" s="84"/>
      <c r="J1307" s="84"/>
      <c r="K1307" s="84"/>
      <c r="L1307" s="84"/>
      <c r="M1307" s="84"/>
      <c r="N1307" s="84"/>
      <c r="O1307" s="84"/>
      <c r="P1307" s="84"/>
      <c r="Q1307" s="84"/>
      <c r="R1307" s="84"/>
      <c r="S1307" s="84"/>
      <c r="T1307" s="84"/>
      <c r="U1307" s="84"/>
      <c r="V1307" s="84"/>
      <c r="W1307" s="84"/>
      <c r="X1307" s="84"/>
      <c r="Y1307" s="84"/>
      <c r="Z1307" s="87"/>
      <c r="AA1307" s="87"/>
      <c r="AB1307" s="87"/>
      <c r="AC1307" s="87"/>
      <c r="AD1307" s="87"/>
      <c r="AE1307" s="87"/>
      <c r="AF1307" s="87"/>
      <c r="AG1307" s="87"/>
      <c r="AH1307" s="87"/>
      <c r="AI1307" s="87"/>
      <c r="AJ1307" s="87"/>
      <c r="AK1307" s="87"/>
      <c r="AL1307" s="87"/>
      <c r="AM1307" s="87"/>
      <c r="AN1307" s="87"/>
      <c r="AO1307" s="87"/>
      <c r="AP1307" s="87"/>
      <c r="AQ1307" s="87"/>
      <c r="AR1307" s="87"/>
      <c r="AS1307" s="87"/>
      <c r="AT1307" s="87"/>
      <c r="AU1307" s="87"/>
      <c r="AV1307" s="87"/>
      <c r="AW1307" s="87"/>
      <c r="AX1307" s="87"/>
      <c r="AY1307" s="87"/>
      <c r="AZ1307" s="87"/>
      <c r="BA1307" s="87"/>
      <c r="BB1307" s="87"/>
      <c r="BC1307" s="87"/>
      <c r="BD1307" s="87"/>
      <c r="BE1307" s="87"/>
      <c r="BF1307" s="87"/>
      <c r="BG1307" s="87"/>
      <c r="BH1307" s="87"/>
    </row>
    <row r="1308" spans="1:60" ht="16">
      <c r="A1308" s="82"/>
      <c r="B1308" s="82"/>
      <c r="C1308" s="82"/>
      <c r="D1308" s="83"/>
      <c r="E1308" s="84"/>
      <c r="F1308" s="84"/>
      <c r="G1308" s="84"/>
      <c r="H1308" s="82"/>
      <c r="I1308" s="84"/>
      <c r="J1308" s="84"/>
      <c r="K1308" s="84"/>
      <c r="L1308" s="84"/>
      <c r="M1308" s="84"/>
      <c r="N1308" s="84"/>
      <c r="O1308" s="84"/>
      <c r="P1308" s="84"/>
      <c r="Q1308" s="84"/>
      <c r="R1308" s="84"/>
      <c r="S1308" s="84"/>
      <c r="T1308" s="84"/>
      <c r="U1308" s="84"/>
      <c r="V1308" s="84"/>
      <c r="W1308" s="84"/>
      <c r="X1308" s="84"/>
      <c r="Y1308" s="84"/>
      <c r="Z1308" s="87"/>
      <c r="AA1308" s="87"/>
      <c r="AB1308" s="87"/>
      <c r="AC1308" s="87"/>
      <c r="AD1308" s="87"/>
      <c r="AE1308" s="87"/>
      <c r="AF1308" s="87"/>
      <c r="AG1308" s="87"/>
      <c r="AH1308" s="87"/>
      <c r="AI1308" s="87"/>
      <c r="AJ1308" s="87"/>
      <c r="AK1308" s="87"/>
      <c r="AL1308" s="87"/>
      <c r="AM1308" s="87"/>
      <c r="AN1308" s="87"/>
      <c r="AO1308" s="87"/>
      <c r="AP1308" s="87"/>
      <c r="AQ1308" s="87"/>
      <c r="AR1308" s="87"/>
      <c r="AS1308" s="87"/>
      <c r="AT1308" s="87"/>
      <c r="AU1308" s="87"/>
      <c r="AV1308" s="87"/>
      <c r="AW1308" s="87"/>
      <c r="AX1308" s="87"/>
      <c r="AY1308" s="87"/>
      <c r="AZ1308" s="87"/>
      <c r="BA1308" s="87"/>
      <c r="BB1308" s="87"/>
      <c r="BC1308" s="87"/>
      <c r="BD1308" s="87"/>
      <c r="BE1308" s="87"/>
      <c r="BF1308" s="87"/>
      <c r="BG1308" s="87"/>
      <c r="BH1308" s="87"/>
    </row>
    <row r="1309" spans="1:60" ht="16">
      <c r="A1309" s="82"/>
      <c r="B1309" s="82"/>
      <c r="C1309" s="82"/>
      <c r="D1309" s="83"/>
      <c r="E1309" s="84"/>
      <c r="F1309" s="84"/>
      <c r="G1309" s="84"/>
      <c r="H1309" s="82"/>
      <c r="I1309" s="84"/>
      <c r="J1309" s="84"/>
      <c r="K1309" s="84"/>
      <c r="L1309" s="84"/>
      <c r="M1309" s="84"/>
      <c r="N1309" s="84"/>
      <c r="O1309" s="84"/>
      <c r="P1309" s="84"/>
      <c r="Q1309" s="84"/>
      <c r="R1309" s="84"/>
      <c r="S1309" s="84"/>
      <c r="T1309" s="84"/>
      <c r="U1309" s="84"/>
      <c r="V1309" s="84"/>
      <c r="W1309" s="84"/>
      <c r="X1309" s="84"/>
      <c r="Y1309" s="84"/>
      <c r="Z1309" s="87"/>
      <c r="AA1309" s="87"/>
      <c r="AB1309" s="87"/>
      <c r="AC1309" s="87"/>
      <c r="AD1309" s="87"/>
      <c r="AE1309" s="87"/>
      <c r="AF1309" s="87"/>
      <c r="AG1309" s="87"/>
      <c r="AH1309" s="87"/>
      <c r="AI1309" s="87"/>
      <c r="AJ1309" s="87"/>
      <c r="AK1309" s="87"/>
      <c r="AL1309" s="87"/>
      <c r="AM1309" s="87"/>
      <c r="AN1309" s="87"/>
      <c r="AO1309" s="87"/>
      <c r="AP1309" s="87"/>
      <c r="AQ1309" s="87"/>
      <c r="AR1309" s="87"/>
      <c r="AS1309" s="87"/>
      <c r="AT1309" s="87"/>
      <c r="AU1309" s="87"/>
      <c r="AV1309" s="87"/>
      <c r="AW1309" s="87"/>
      <c r="AX1309" s="87"/>
      <c r="AY1309" s="87"/>
      <c r="AZ1309" s="87"/>
      <c r="BA1309" s="87"/>
      <c r="BB1309" s="87"/>
      <c r="BC1309" s="87"/>
      <c r="BD1309" s="87"/>
      <c r="BE1309" s="87"/>
      <c r="BF1309" s="87"/>
      <c r="BG1309" s="87"/>
      <c r="BH1309" s="87"/>
    </row>
    <row r="1310" spans="1:60" ht="16">
      <c r="A1310" s="82"/>
      <c r="B1310" s="82"/>
      <c r="C1310" s="82"/>
      <c r="D1310" s="83"/>
      <c r="E1310" s="84"/>
      <c r="F1310" s="84"/>
      <c r="G1310" s="84"/>
      <c r="H1310" s="82"/>
      <c r="I1310" s="84"/>
      <c r="J1310" s="84"/>
      <c r="K1310" s="84"/>
      <c r="L1310" s="84"/>
      <c r="M1310" s="84"/>
      <c r="N1310" s="84"/>
      <c r="O1310" s="84"/>
      <c r="P1310" s="84"/>
      <c r="Q1310" s="84"/>
      <c r="R1310" s="84"/>
      <c r="S1310" s="84"/>
      <c r="T1310" s="84"/>
      <c r="U1310" s="84"/>
      <c r="V1310" s="84"/>
      <c r="W1310" s="84"/>
      <c r="X1310" s="84"/>
      <c r="Y1310" s="84"/>
      <c r="Z1310" s="87"/>
      <c r="AA1310" s="87"/>
      <c r="AB1310" s="87"/>
      <c r="AC1310" s="87"/>
      <c r="AD1310" s="87"/>
      <c r="AE1310" s="87"/>
      <c r="AF1310" s="87"/>
      <c r="AG1310" s="87"/>
      <c r="AH1310" s="87"/>
      <c r="AI1310" s="87"/>
      <c r="AJ1310" s="87"/>
      <c r="AK1310" s="87"/>
      <c r="AL1310" s="87"/>
      <c r="AM1310" s="87"/>
      <c r="AN1310" s="87"/>
      <c r="AO1310" s="87"/>
      <c r="AP1310" s="87"/>
      <c r="AQ1310" s="87"/>
      <c r="AR1310" s="87"/>
      <c r="AS1310" s="87"/>
      <c r="AT1310" s="87"/>
      <c r="AU1310" s="87"/>
      <c r="AV1310" s="87"/>
      <c r="AW1310" s="87"/>
      <c r="AX1310" s="87"/>
      <c r="AY1310" s="87"/>
      <c r="AZ1310" s="87"/>
      <c r="BA1310" s="87"/>
      <c r="BB1310" s="87"/>
      <c r="BC1310" s="87"/>
      <c r="BD1310" s="87"/>
      <c r="BE1310" s="87"/>
      <c r="BF1310" s="87"/>
      <c r="BG1310" s="87"/>
      <c r="BH1310" s="87"/>
    </row>
    <row r="1311" spans="1:60" ht="16">
      <c r="A1311" s="82"/>
      <c r="B1311" s="82"/>
      <c r="C1311" s="82"/>
      <c r="D1311" s="83"/>
      <c r="E1311" s="84"/>
      <c r="F1311" s="84"/>
      <c r="G1311" s="84"/>
      <c r="H1311" s="82"/>
      <c r="I1311" s="84"/>
      <c r="J1311" s="84"/>
      <c r="K1311" s="84"/>
      <c r="L1311" s="84"/>
      <c r="M1311" s="84"/>
      <c r="N1311" s="84"/>
      <c r="O1311" s="84"/>
      <c r="P1311" s="84"/>
      <c r="Q1311" s="84"/>
      <c r="R1311" s="84"/>
      <c r="S1311" s="84"/>
      <c r="T1311" s="84"/>
      <c r="U1311" s="84"/>
      <c r="V1311" s="84"/>
      <c r="W1311" s="84"/>
      <c r="X1311" s="84"/>
      <c r="Y1311" s="84"/>
      <c r="Z1311" s="87"/>
      <c r="AA1311" s="87"/>
      <c r="AB1311" s="87"/>
      <c r="AC1311" s="87"/>
      <c r="AD1311" s="87"/>
      <c r="AE1311" s="87"/>
      <c r="AF1311" s="87"/>
      <c r="AG1311" s="87"/>
      <c r="AH1311" s="87"/>
      <c r="AI1311" s="87"/>
      <c r="AJ1311" s="87"/>
      <c r="AK1311" s="87"/>
      <c r="AL1311" s="87"/>
      <c r="AM1311" s="87"/>
      <c r="AN1311" s="87"/>
      <c r="AO1311" s="87"/>
      <c r="AP1311" s="87"/>
      <c r="AQ1311" s="87"/>
      <c r="AR1311" s="87"/>
      <c r="AS1311" s="87"/>
      <c r="AT1311" s="87"/>
      <c r="AU1311" s="87"/>
      <c r="AV1311" s="87"/>
      <c r="AW1311" s="87"/>
      <c r="AX1311" s="87"/>
      <c r="AY1311" s="87"/>
      <c r="AZ1311" s="87"/>
      <c r="BA1311" s="87"/>
      <c r="BB1311" s="87"/>
      <c r="BC1311" s="87"/>
      <c r="BD1311" s="87"/>
      <c r="BE1311" s="87"/>
      <c r="BF1311" s="87"/>
      <c r="BG1311" s="87"/>
      <c r="BH1311" s="87"/>
    </row>
    <row r="1312" spans="1:60" ht="16">
      <c r="A1312" s="82"/>
      <c r="B1312" s="82"/>
      <c r="C1312" s="82"/>
      <c r="D1312" s="83"/>
      <c r="E1312" s="84"/>
      <c r="F1312" s="84"/>
      <c r="G1312" s="84"/>
      <c r="H1312" s="82"/>
      <c r="I1312" s="84"/>
      <c r="J1312" s="84"/>
      <c r="K1312" s="84"/>
      <c r="L1312" s="84"/>
      <c r="M1312" s="84"/>
      <c r="N1312" s="84"/>
      <c r="O1312" s="84"/>
      <c r="P1312" s="84"/>
      <c r="Q1312" s="84"/>
      <c r="R1312" s="84"/>
      <c r="S1312" s="84"/>
      <c r="T1312" s="84"/>
      <c r="U1312" s="84"/>
      <c r="V1312" s="84"/>
      <c r="W1312" s="84"/>
      <c r="X1312" s="84"/>
      <c r="Y1312" s="84"/>
      <c r="Z1312" s="87"/>
      <c r="AA1312" s="87"/>
      <c r="AB1312" s="87"/>
      <c r="AC1312" s="87"/>
      <c r="AD1312" s="87"/>
      <c r="AE1312" s="87"/>
      <c r="AF1312" s="87"/>
      <c r="AG1312" s="87"/>
      <c r="AH1312" s="87"/>
      <c r="AI1312" s="87"/>
      <c r="AJ1312" s="87"/>
      <c r="AK1312" s="87"/>
      <c r="AL1312" s="87"/>
      <c r="AM1312" s="87"/>
      <c r="AN1312" s="87"/>
      <c r="AO1312" s="87"/>
      <c r="AP1312" s="87"/>
      <c r="AQ1312" s="87"/>
      <c r="AR1312" s="87"/>
      <c r="AS1312" s="87"/>
      <c r="AT1312" s="87"/>
      <c r="AU1312" s="87"/>
      <c r="AV1312" s="87"/>
      <c r="AW1312" s="87"/>
      <c r="AX1312" s="87"/>
      <c r="AY1312" s="87"/>
      <c r="AZ1312" s="87"/>
      <c r="BA1312" s="87"/>
      <c r="BB1312" s="87"/>
      <c r="BC1312" s="87"/>
      <c r="BD1312" s="87"/>
      <c r="BE1312" s="87"/>
      <c r="BF1312" s="87"/>
      <c r="BG1312" s="87"/>
      <c r="BH1312" s="87"/>
    </row>
    <row r="1313" spans="1:60" ht="16">
      <c r="A1313" s="82"/>
      <c r="B1313" s="82"/>
      <c r="C1313" s="82"/>
      <c r="D1313" s="83"/>
      <c r="E1313" s="84"/>
      <c r="F1313" s="84"/>
      <c r="G1313" s="84"/>
      <c r="H1313" s="82"/>
      <c r="I1313" s="84"/>
      <c r="J1313" s="84"/>
      <c r="K1313" s="84"/>
      <c r="L1313" s="84"/>
      <c r="M1313" s="84"/>
      <c r="N1313" s="84"/>
      <c r="O1313" s="84"/>
      <c r="P1313" s="84"/>
      <c r="Q1313" s="84"/>
      <c r="R1313" s="84"/>
      <c r="S1313" s="84"/>
      <c r="T1313" s="84"/>
      <c r="U1313" s="84"/>
      <c r="V1313" s="84"/>
      <c r="W1313" s="84"/>
      <c r="X1313" s="84"/>
      <c r="Y1313" s="84"/>
      <c r="Z1313" s="87"/>
      <c r="AA1313" s="87"/>
      <c r="AB1313" s="87"/>
      <c r="AC1313" s="87"/>
      <c r="AD1313" s="87"/>
      <c r="AE1313" s="87"/>
      <c r="AF1313" s="87"/>
      <c r="AG1313" s="87"/>
      <c r="AH1313" s="87"/>
      <c r="AI1313" s="87"/>
      <c r="AJ1313" s="87"/>
      <c r="AK1313" s="87"/>
      <c r="AL1313" s="87"/>
      <c r="AM1313" s="87"/>
      <c r="AN1313" s="87"/>
      <c r="AO1313" s="87"/>
      <c r="AP1313" s="87"/>
      <c r="AQ1313" s="87"/>
      <c r="AR1313" s="87"/>
      <c r="AS1313" s="87"/>
      <c r="AT1313" s="87"/>
      <c r="AU1313" s="87"/>
      <c r="AV1313" s="87"/>
      <c r="AW1313" s="87"/>
      <c r="AX1313" s="87"/>
      <c r="AY1313" s="87"/>
      <c r="AZ1313" s="87"/>
      <c r="BA1313" s="87"/>
      <c r="BB1313" s="87"/>
      <c r="BC1313" s="87"/>
      <c r="BD1313" s="87"/>
      <c r="BE1313" s="87"/>
      <c r="BF1313" s="87"/>
      <c r="BG1313" s="87"/>
      <c r="BH1313" s="87"/>
    </row>
    <row r="1314" spans="1:60" ht="16">
      <c r="A1314" s="82"/>
      <c r="B1314" s="82"/>
      <c r="C1314" s="82"/>
      <c r="D1314" s="83"/>
      <c r="E1314" s="84"/>
      <c r="F1314" s="84"/>
      <c r="G1314" s="84"/>
      <c r="H1314" s="82"/>
      <c r="I1314" s="84"/>
      <c r="J1314" s="84"/>
      <c r="K1314" s="84"/>
      <c r="L1314" s="84"/>
      <c r="M1314" s="84"/>
      <c r="N1314" s="84"/>
      <c r="O1314" s="84"/>
      <c r="P1314" s="84"/>
      <c r="Q1314" s="84"/>
      <c r="R1314" s="84"/>
      <c r="S1314" s="84"/>
      <c r="T1314" s="84"/>
      <c r="U1314" s="84"/>
      <c r="V1314" s="84"/>
      <c r="W1314" s="84"/>
      <c r="X1314" s="84"/>
      <c r="Y1314" s="84"/>
      <c r="Z1314" s="87"/>
      <c r="AA1314" s="87"/>
      <c r="AB1314" s="87"/>
      <c r="AC1314" s="87"/>
      <c r="AD1314" s="87"/>
      <c r="AE1314" s="87"/>
      <c r="AF1314" s="87"/>
      <c r="AG1314" s="87"/>
      <c r="AH1314" s="87"/>
      <c r="AI1314" s="87"/>
      <c r="AJ1314" s="87"/>
      <c r="AK1314" s="87"/>
      <c r="AL1314" s="87"/>
      <c r="AM1314" s="87"/>
      <c r="AN1314" s="87"/>
      <c r="AO1314" s="87"/>
      <c r="AP1314" s="87"/>
      <c r="AQ1314" s="87"/>
      <c r="AR1314" s="87"/>
      <c r="AS1314" s="87"/>
      <c r="AT1314" s="87"/>
      <c r="AU1314" s="87"/>
      <c r="AV1314" s="87"/>
      <c r="AW1314" s="87"/>
      <c r="AX1314" s="87"/>
      <c r="AY1314" s="87"/>
      <c r="AZ1314" s="87"/>
      <c r="BA1314" s="87"/>
      <c r="BB1314" s="87"/>
      <c r="BC1314" s="87"/>
      <c r="BD1314" s="87"/>
      <c r="BE1314" s="87"/>
      <c r="BF1314" s="87"/>
      <c r="BG1314" s="87"/>
      <c r="BH1314" s="87"/>
    </row>
    <row r="1315" spans="1:60" ht="16">
      <c r="A1315" s="82"/>
      <c r="B1315" s="82"/>
      <c r="C1315" s="82"/>
      <c r="D1315" s="83"/>
      <c r="E1315" s="84"/>
      <c r="F1315" s="84"/>
      <c r="G1315" s="84"/>
      <c r="H1315" s="82"/>
      <c r="I1315" s="84"/>
      <c r="J1315" s="84"/>
      <c r="K1315" s="84"/>
      <c r="L1315" s="84"/>
      <c r="M1315" s="84"/>
      <c r="N1315" s="84"/>
      <c r="O1315" s="84"/>
      <c r="P1315" s="84"/>
      <c r="Q1315" s="84"/>
      <c r="R1315" s="84"/>
      <c r="S1315" s="84"/>
      <c r="T1315" s="84"/>
      <c r="U1315" s="84"/>
      <c r="V1315" s="84"/>
      <c r="W1315" s="84"/>
      <c r="X1315" s="84"/>
      <c r="Y1315" s="84"/>
      <c r="Z1315" s="87"/>
      <c r="AA1315" s="87"/>
      <c r="AB1315" s="87"/>
      <c r="AC1315" s="87"/>
      <c r="AD1315" s="87"/>
      <c r="AE1315" s="87"/>
      <c r="AF1315" s="87"/>
      <c r="AG1315" s="87"/>
      <c r="AH1315" s="87"/>
      <c r="AI1315" s="87"/>
      <c r="AJ1315" s="87"/>
      <c r="AK1315" s="87"/>
      <c r="AL1315" s="87"/>
      <c r="AM1315" s="87"/>
      <c r="AN1315" s="87"/>
      <c r="AO1315" s="87"/>
      <c r="AP1315" s="87"/>
      <c r="AQ1315" s="87"/>
      <c r="AR1315" s="87"/>
      <c r="AS1315" s="87"/>
      <c r="AT1315" s="87"/>
      <c r="AU1315" s="87"/>
      <c r="AV1315" s="87"/>
      <c r="AW1315" s="87"/>
      <c r="AX1315" s="87"/>
      <c r="AY1315" s="87"/>
      <c r="AZ1315" s="87"/>
      <c r="BA1315" s="87"/>
      <c r="BB1315" s="87"/>
      <c r="BC1315" s="87"/>
      <c r="BD1315" s="87"/>
      <c r="BE1315" s="87"/>
      <c r="BF1315" s="87"/>
      <c r="BG1315" s="87"/>
      <c r="BH1315" s="87"/>
    </row>
    <row r="1316" spans="1:60" ht="16">
      <c r="A1316" s="82"/>
      <c r="B1316" s="82"/>
      <c r="C1316" s="82"/>
      <c r="D1316" s="83"/>
      <c r="E1316" s="84"/>
      <c r="F1316" s="84"/>
      <c r="G1316" s="84"/>
      <c r="H1316" s="82"/>
      <c r="I1316" s="84"/>
      <c r="J1316" s="84"/>
      <c r="K1316" s="84"/>
      <c r="L1316" s="84"/>
      <c r="M1316" s="84"/>
      <c r="N1316" s="84"/>
      <c r="O1316" s="84"/>
      <c r="P1316" s="84"/>
      <c r="Q1316" s="84"/>
      <c r="R1316" s="84"/>
      <c r="S1316" s="84"/>
      <c r="T1316" s="84"/>
      <c r="U1316" s="84"/>
      <c r="V1316" s="84"/>
      <c r="W1316" s="84"/>
      <c r="X1316" s="84"/>
      <c r="Y1316" s="84"/>
      <c r="Z1316" s="87"/>
      <c r="AA1316" s="87"/>
      <c r="AB1316" s="87"/>
      <c r="AC1316" s="87"/>
      <c r="AD1316" s="87"/>
      <c r="AE1316" s="87"/>
      <c r="AF1316" s="87"/>
      <c r="AG1316" s="87"/>
      <c r="AH1316" s="87"/>
      <c r="AI1316" s="87"/>
      <c r="AJ1316" s="87"/>
      <c r="AK1316" s="87"/>
      <c r="AL1316" s="87"/>
      <c r="AM1316" s="87"/>
      <c r="AN1316" s="87"/>
      <c r="AO1316" s="87"/>
      <c r="AP1316" s="87"/>
      <c r="AQ1316" s="87"/>
      <c r="AR1316" s="87"/>
      <c r="AS1316" s="87"/>
      <c r="AT1316" s="87"/>
      <c r="AU1316" s="87"/>
      <c r="AV1316" s="87"/>
      <c r="AW1316" s="87"/>
      <c r="AX1316" s="87"/>
      <c r="AY1316" s="87"/>
      <c r="AZ1316" s="87"/>
      <c r="BA1316" s="87"/>
      <c r="BB1316" s="87"/>
      <c r="BC1316" s="87"/>
      <c r="BD1316" s="87"/>
      <c r="BE1316" s="87"/>
      <c r="BF1316" s="87"/>
      <c r="BG1316" s="87"/>
      <c r="BH1316" s="87"/>
    </row>
    <row r="1317" spans="1:60" ht="16">
      <c r="A1317" s="82"/>
      <c r="B1317" s="82"/>
      <c r="C1317" s="82"/>
      <c r="D1317" s="83"/>
      <c r="E1317" s="84"/>
      <c r="F1317" s="84"/>
      <c r="G1317" s="84"/>
      <c r="H1317" s="82"/>
      <c r="I1317" s="84"/>
      <c r="J1317" s="84"/>
      <c r="K1317" s="84"/>
      <c r="L1317" s="84"/>
      <c r="M1317" s="84"/>
      <c r="N1317" s="84"/>
      <c r="O1317" s="84"/>
      <c r="P1317" s="84"/>
      <c r="Q1317" s="84"/>
      <c r="R1317" s="84"/>
      <c r="S1317" s="84"/>
      <c r="T1317" s="84"/>
      <c r="U1317" s="84"/>
      <c r="V1317" s="84"/>
      <c r="W1317" s="84"/>
      <c r="X1317" s="84"/>
      <c r="Y1317" s="84"/>
      <c r="Z1317" s="87"/>
      <c r="AA1317" s="87"/>
      <c r="AB1317" s="87"/>
      <c r="AC1317" s="87"/>
      <c r="AD1317" s="87"/>
      <c r="AE1317" s="87"/>
      <c r="AF1317" s="87"/>
      <c r="AG1317" s="87"/>
      <c r="AH1317" s="87"/>
      <c r="AI1317" s="87"/>
      <c r="AJ1317" s="87"/>
      <c r="AK1317" s="87"/>
      <c r="AL1317" s="87"/>
      <c r="AM1317" s="87"/>
      <c r="AN1317" s="87"/>
      <c r="AO1317" s="87"/>
      <c r="AP1317" s="87"/>
      <c r="AQ1317" s="87"/>
      <c r="AR1317" s="87"/>
      <c r="AS1317" s="87"/>
      <c r="AT1317" s="87"/>
      <c r="AU1317" s="87"/>
      <c r="AV1317" s="87"/>
      <c r="AW1317" s="87"/>
      <c r="AX1317" s="87"/>
      <c r="AY1317" s="87"/>
      <c r="AZ1317" s="87"/>
      <c r="BA1317" s="87"/>
      <c r="BB1317" s="87"/>
      <c r="BC1317" s="87"/>
      <c r="BD1317" s="87"/>
      <c r="BE1317" s="87"/>
      <c r="BF1317" s="87"/>
      <c r="BG1317" s="87"/>
      <c r="BH1317" s="87"/>
    </row>
    <row r="1318" spans="1:60" ht="16">
      <c r="A1318" s="82"/>
      <c r="B1318" s="82"/>
      <c r="C1318" s="82"/>
      <c r="D1318" s="83"/>
      <c r="E1318" s="84"/>
      <c r="F1318" s="84"/>
      <c r="G1318" s="84"/>
      <c r="H1318" s="82"/>
      <c r="I1318" s="84"/>
      <c r="J1318" s="84"/>
      <c r="K1318" s="84"/>
      <c r="L1318" s="84"/>
      <c r="M1318" s="84"/>
      <c r="N1318" s="84"/>
      <c r="O1318" s="84"/>
      <c r="P1318" s="84"/>
      <c r="Q1318" s="84"/>
      <c r="R1318" s="84"/>
      <c r="S1318" s="84"/>
      <c r="T1318" s="84"/>
      <c r="U1318" s="84"/>
      <c r="V1318" s="84"/>
      <c r="W1318" s="84"/>
      <c r="X1318" s="84"/>
      <c r="Y1318" s="84"/>
      <c r="Z1318" s="87"/>
      <c r="AA1318" s="87"/>
      <c r="AB1318" s="87"/>
      <c r="AC1318" s="87"/>
      <c r="AD1318" s="87"/>
      <c r="AE1318" s="87"/>
      <c r="AF1318" s="87"/>
      <c r="AG1318" s="87"/>
      <c r="AH1318" s="87"/>
      <c r="AI1318" s="87"/>
      <c r="AJ1318" s="87"/>
      <c r="AK1318" s="87"/>
      <c r="AL1318" s="87"/>
      <c r="AM1318" s="87"/>
      <c r="AN1318" s="87"/>
      <c r="AO1318" s="87"/>
      <c r="AP1318" s="87"/>
      <c r="AQ1318" s="87"/>
      <c r="AR1318" s="87"/>
      <c r="AS1318" s="87"/>
      <c r="AT1318" s="87"/>
      <c r="AU1318" s="87"/>
      <c r="AV1318" s="87"/>
      <c r="AW1318" s="87"/>
      <c r="AX1318" s="87"/>
      <c r="AY1318" s="87"/>
      <c r="AZ1318" s="87"/>
      <c r="BA1318" s="87"/>
      <c r="BB1318" s="87"/>
      <c r="BC1318" s="87"/>
      <c r="BD1318" s="87"/>
      <c r="BE1318" s="87"/>
      <c r="BF1318" s="87"/>
      <c r="BG1318" s="87"/>
      <c r="BH1318" s="87"/>
    </row>
    <row r="1319" spans="1:60" ht="16">
      <c r="A1319" s="82"/>
      <c r="B1319" s="82"/>
      <c r="C1319" s="82"/>
      <c r="D1319" s="83"/>
      <c r="E1319" s="84"/>
      <c r="F1319" s="84"/>
      <c r="G1319" s="84"/>
      <c r="H1319" s="82"/>
      <c r="I1319" s="84"/>
      <c r="J1319" s="84"/>
      <c r="K1319" s="84"/>
      <c r="L1319" s="84"/>
      <c r="M1319" s="84"/>
      <c r="N1319" s="84"/>
      <c r="O1319" s="84"/>
      <c r="P1319" s="84"/>
      <c r="Q1319" s="84"/>
      <c r="R1319" s="84"/>
      <c r="S1319" s="84"/>
      <c r="T1319" s="84"/>
      <c r="U1319" s="84"/>
      <c r="V1319" s="84"/>
      <c r="W1319" s="84"/>
      <c r="X1319" s="84"/>
      <c r="Y1319" s="84"/>
      <c r="Z1319" s="87"/>
      <c r="AA1319" s="87"/>
      <c r="AB1319" s="87"/>
      <c r="AC1319" s="87"/>
      <c r="AD1319" s="87"/>
      <c r="AE1319" s="87"/>
      <c r="AF1319" s="87"/>
      <c r="AG1319" s="87"/>
      <c r="AH1319" s="87"/>
      <c r="AI1319" s="87"/>
      <c r="AJ1319" s="87"/>
      <c r="AK1319" s="87"/>
      <c r="AL1319" s="87"/>
      <c r="AM1319" s="87"/>
      <c r="AN1319" s="87"/>
      <c r="AO1319" s="87"/>
      <c r="AP1319" s="87"/>
      <c r="AQ1319" s="87"/>
      <c r="AR1319" s="87"/>
      <c r="AS1319" s="87"/>
      <c r="AT1319" s="87"/>
      <c r="AU1319" s="87"/>
      <c r="AV1319" s="87"/>
      <c r="AW1319" s="87"/>
      <c r="AX1319" s="87"/>
      <c r="AY1319" s="87"/>
      <c r="AZ1319" s="87"/>
      <c r="BA1319" s="87"/>
      <c r="BB1319" s="87"/>
      <c r="BC1319" s="87"/>
      <c r="BD1319" s="87"/>
      <c r="BE1319" s="87"/>
      <c r="BF1319" s="87"/>
      <c r="BG1319" s="87"/>
      <c r="BH1319" s="87"/>
    </row>
    <row r="1320" spans="1:60" ht="16">
      <c r="A1320" s="82"/>
      <c r="B1320" s="82"/>
      <c r="C1320" s="82"/>
      <c r="D1320" s="83"/>
      <c r="E1320" s="84"/>
      <c r="F1320" s="84"/>
      <c r="G1320" s="84"/>
      <c r="H1320" s="82"/>
      <c r="I1320" s="84"/>
      <c r="J1320" s="84"/>
      <c r="K1320" s="84"/>
      <c r="L1320" s="84"/>
      <c r="M1320" s="84"/>
      <c r="N1320" s="84"/>
      <c r="O1320" s="84"/>
      <c r="P1320" s="84"/>
      <c r="Q1320" s="84"/>
      <c r="R1320" s="84"/>
      <c r="S1320" s="84"/>
      <c r="T1320" s="84"/>
      <c r="U1320" s="84"/>
      <c r="V1320" s="84"/>
      <c r="W1320" s="84"/>
      <c r="X1320" s="84"/>
      <c r="Y1320" s="84"/>
      <c r="Z1320" s="87"/>
      <c r="AA1320" s="87"/>
      <c r="AB1320" s="87"/>
      <c r="AC1320" s="87"/>
      <c r="AD1320" s="87"/>
      <c r="AE1320" s="87"/>
      <c r="AF1320" s="87"/>
      <c r="AG1320" s="87"/>
      <c r="AH1320" s="87"/>
      <c r="AI1320" s="87"/>
      <c r="AJ1320" s="87"/>
      <c r="AK1320" s="87"/>
      <c r="AL1320" s="87"/>
      <c r="AM1320" s="87"/>
      <c r="AN1320" s="87"/>
      <c r="AO1320" s="87"/>
      <c r="AP1320" s="87"/>
      <c r="AQ1320" s="87"/>
      <c r="AR1320" s="87"/>
      <c r="AS1320" s="87"/>
      <c r="AT1320" s="87"/>
      <c r="AU1320" s="87"/>
      <c r="AV1320" s="87"/>
      <c r="AW1320" s="87"/>
      <c r="AX1320" s="87"/>
      <c r="AY1320" s="87"/>
      <c r="AZ1320" s="87"/>
      <c r="BA1320" s="87"/>
      <c r="BB1320" s="87"/>
      <c r="BC1320" s="87"/>
      <c r="BD1320" s="87"/>
      <c r="BE1320" s="87"/>
      <c r="BF1320" s="87"/>
      <c r="BG1320" s="87"/>
      <c r="BH1320" s="87"/>
    </row>
    <row r="1321" spans="1:60" ht="16">
      <c r="A1321" s="82"/>
      <c r="B1321" s="82"/>
      <c r="C1321" s="82"/>
      <c r="D1321" s="83"/>
      <c r="E1321" s="84"/>
      <c r="F1321" s="84"/>
      <c r="G1321" s="84"/>
      <c r="H1321" s="82"/>
      <c r="I1321" s="84"/>
      <c r="J1321" s="84"/>
      <c r="K1321" s="84"/>
      <c r="L1321" s="84"/>
      <c r="M1321" s="84"/>
      <c r="N1321" s="84"/>
      <c r="O1321" s="84"/>
      <c r="P1321" s="84"/>
      <c r="Q1321" s="84"/>
      <c r="R1321" s="84"/>
      <c r="S1321" s="84"/>
      <c r="T1321" s="84"/>
      <c r="U1321" s="84"/>
      <c r="V1321" s="84"/>
      <c r="W1321" s="84"/>
      <c r="X1321" s="84"/>
      <c r="Y1321" s="84"/>
      <c r="Z1321" s="87"/>
      <c r="AA1321" s="87"/>
      <c r="AB1321" s="87"/>
      <c r="AC1321" s="87"/>
      <c r="AD1321" s="87"/>
      <c r="AE1321" s="87"/>
      <c r="AF1321" s="87"/>
      <c r="AG1321" s="87"/>
      <c r="AH1321" s="87"/>
      <c r="AI1321" s="87"/>
      <c r="AJ1321" s="87"/>
      <c r="AK1321" s="87"/>
      <c r="AL1321" s="87"/>
      <c r="AM1321" s="87"/>
      <c r="AN1321" s="87"/>
      <c r="AO1321" s="87"/>
      <c r="AP1321" s="87"/>
      <c r="AQ1321" s="87"/>
      <c r="AR1321" s="87"/>
      <c r="AS1321" s="87"/>
      <c r="AT1321" s="87"/>
      <c r="AU1321" s="87"/>
      <c r="AV1321" s="87"/>
      <c r="AW1321" s="87"/>
      <c r="AX1321" s="87"/>
      <c r="AY1321" s="87"/>
      <c r="AZ1321" s="87"/>
      <c r="BA1321" s="87"/>
      <c r="BB1321" s="87"/>
      <c r="BC1321" s="87"/>
      <c r="BD1321" s="87"/>
      <c r="BE1321" s="87"/>
      <c r="BF1321" s="87"/>
      <c r="BG1321" s="87"/>
      <c r="BH1321" s="87"/>
    </row>
    <row r="1322" spans="1:60" ht="16">
      <c r="A1322" s="82"/>
      <c r="B1322" s="82"/>
      <c r="C1322" s="82"/>
      <c r="D1322" s="83"/>
      <c r="E1322" s="84"/>
      <c r="F1322" s="84"/>
      <c r="G1322" s="84"/>
      <c r="H1322" s="82"/>
      <c r="I1322" s="84"/>
      <c r="J1322" s="84"/>
      <c r="K1322" s="84"/>
      <c r="L1322" s="84"/>
      <c r="M1322" s="84"/>
      <c r="N1322" s="84"/>
      <c r="O1322" s="84"/>
      <c r="P1322" s="84"/>
      <c r="Q1322" s="84"/>
      <c r="R1322" s="84"/>
      <c r="S1322" s="84"/>
      <c r="T1322" s="84"/>
      <c r="U1322" s="84"/>
      <c r="V1322" s="84"/>
      <c r="W1322" s="84"/>
      <c r="X1322" s="84"/>
      <c r="Y1322" s="84"/>
      <c r="Z1322" s="87"/>
      <c r="AA1322" s="87"/>
      <c r="AB1322" s="87"/>
      <c r="AC1322" s="87"/>
      <c r="AD1322" s="87"/>
      <c r="AE1322" s="87"/>
      <c r="AF1322" s="87"/>
      <c r="AG1322" s="87"/>
      <c r="AH1322" s="87"/>
      <c r="AI1322" s="87"/>
      <c r="AJ1322" s="87"/>
      <c r="AK1322" s="87"/>
      <c r="AL1322" s="87"/>
      <c r="AM1322" s="87"/>
      <c r="AN1322" s="87"/>
      <c r="AO1322" s="87"/>
      <c r="AP1322" s="87"/>
      <c r="AQ1322" s="87"/>
      <c r="AR1322" s="87"/>
      <c r="AS1322" s="87"/>
      <c r="AT1322" s="87"/>
      <c r="AU1322" s="87"/>
      <c r="AV1322" s="87"/>
      <c r="AW1322" s="87"/>
      <c r="AX1322" s="87"/>
      <c r="AY1322" s="87"/>
      <c r="AZ1322" s="87"/>
      <c r="BA1322" s="87"/>
      <c r="BB1322" s="87"/>
      <c r="BC1322" s="87"/>
      <c r="BD1322" s="87"/>
      <c r="BE1322" s="87"/>
      <c r="BF1322" s="87"/>
      <c r="BG1322" s="87"/>
      <c r="BH1322" s="87"/>
    </row>
    <row r="1323" spans="1:60" ht="16">
      <c r="A1323" s="82"/>
      <c r="B1323" s="82"/>
      <c r="C1323" s="82"/>
      <c r="D1323" s="83"/>
      <c r="E1323" s="84"/>
      <c r="F1323" s="84"/>
      <c r="G1323" s="84"/>
      <c r="H1323" s="82"/>
      <c r="I1323" s="84"/>
      <c r="J1323" s="84"/>
      <c r="K1323" s="84"/>
      <c r="L1323" s="84"/>
      <c r="M1323" s="84"/>
      <c r="N1323" s="84"/>
      <c r="O1323" s="84"/>
      <c r="P1323" s="84"/>
      <c r="Q1323" s="84"/>
      <c r="R1323" s="84"/>
      <c r="S1323" s="84"/>
      <c r="T1323" s="84"/>
      <c r="U1323" s="84"/>
      <c r="V1323" s="84"/>
      <c r="W1323" s="84"/>
      <c r="X1323" s="84"/>
      <c r="Y1323" s="84"/>
      <c r="Z1323" s="87"/>
      <c r="AA1323" s="87"/>
      <c r="AB1323" s="87"/>
      <c r="AC1323" s="87"/>
      <c r="AD1323" s="87"/>
      <c r="AE1323" s="87"/>
      <c r="AF1323" s="87"/>
      <c r="AG1323" s="87"/>
      <c r="AH1323" s="87"/>
      <c r="AI1323" s="87"/>
      <c r="AJ1323" s="87"/>
      <c r="AK1323" s="87"/>
      <c r="AL1323" s="87"/>
      <c r="AM1323" s="87"/>
      <c r="AN1323" s="87"/>
      <c r="AO1323" s="87"/>
      <c r="AP1323" s="87"/>
      <c r="AQ1323" s="87"/>
      <c r="AR1323" s="87"/>
      <c r="AS1323" s="87"/>
      <c r="AT1323" s="87"/>
      <c r="AU1323" s="87"/>
      <c r="AV1323" s="87"/>
      <c r="AW1323" s="87"/>
      <c r="AX1323" s="87"/>
      <c r="AY1323" s="87"/>
      <c r="AZ1323" s="87"/>
      <c r="BA1323" s="87"/>
      <c r="BB1323" s="87"/>
      <c r="BC1323" s="87"/>
      <c r="BD1323" s="87"/>
      <c r="BE1323" s="87"/>
      <c r="BF1323" s="87"/>
      <c r="BG1323" s="87"/>
      <c r="BH1323" s="87"/>
    </row>
    <row r="1324" spans="1:60" ht="16">
      <c r="A1324" s="82"/>
      <c r="B1324" s="82"/>
      <c r="C1324" s="82"/>
      <c r="D1324" s="83"/>
      <c r="E1324" s="84"/>
      <c r="F1324" s="84"/>
      <c r="G1324" s="84"/>
      <c r="H1324" s="82"/>
      <c r="I1324" s="84"/>
      <c r="J1324" s="84"/>
      <c r="K1324" s="84"/>
      <c r="L1324" s="84"/>
      <c r="M1324" s="84"/>
      <c r="N1324" s="84"/>
      <c r="O1324" s="84"/>
      <c r="P1324" s="84"/>
      <c r="Q1324" s="84"/>
      <c r="R1324" s="84"/>
      <c r="S1324" s="84"/>
      <c r="T1324" s="84"/>
      <c r="U1324" s="84"/>
      <c r="V1324" s="84"/>
      <c r="W1324" s="84"/>
      <c r="X1324" s="84"/>
      <c r="Y1324" s="84"/>
      <c r="Z1324" s="87"/>
      <c r="AA1324" s="87"/>
      <c r="AB1324" s="87"/>
      <c r="AC1324" s="87"/>
      <c r="AD1324" s="87"/>
      <c r="AE1324" s="87"/>
      <c r="AF1324" s="87"/>
      <c r="AG1324" s="87"/>
      <c r="AH1324" s="87"/>
      <c r="AI1324" s="87"/>
      <c r="AJ1324" s="87"/>
      <c r="AK1324" s="87"/>
      <c r="AL1324" s="87"/>
      <c r="AM1324" s="87"/>
      <c r="AN1324" s="87"/>
      <c r="AO1324" s="87"/>
      <c r="AP1324" s="87"/>
      <c r="AQ1324" s="87"/>
      <c r="AR1324" s="87"/>
      <c r="AS1324" s="87"/>
      <c r="AT1324" s="87"/>
      <c r="AU1324" s="87"/>
      <c r="AV1324" s="87"/>
      <c r="AW1324" s="87"/>
      <c r="AX1324" s="87"/>
      <c r="AY1324" s="87"/>
      <c r="AZ1324" s="87"/>
      <c r="BA1324" s="87"/>
      <c r="BB1324" s="87"/>
      <c r="BC1324" s="87"/>
      <c r="BD1324" s="87"/>
      <c r="BE1324" s="87"/>
      <c r="BF1324" s="87"/>
      <c r="BG1324" s="87"/>
      <c r="BH1324" s="87"/>
    </row>
    <row r="1325" spans="1:60" ht="16">
      <c r="A1325" s="82"/>
      <c r="B1325" s="82"/>
      <c r="C1325" s="82"/>
      <c r="D1325" s="83"/>
      <c r="E1325" s="84"/>
      <c r="F1325" s="84"/>
      <c r="G1325" s="84"/>
      <c r="H1325" s="82"/>
      <c r="I1325" s="84"/>
      <c r="J1325" s="84"/>
      <c r="K1325" s="84"/>
      <c r="L1325" s="84"/>
      <c r="M1325" s="84"/>
      <c r="N1325" s="84"/>
      <c r="O1325" s="84"/>
      <c r="P1325" s="84"/>
      <c r="Q1325" s="84"/>
      <c r="R1325" s="84"/>
      <c r="S1325" s="84"/>
      <c r="T1325" s="84"/>
      <c r="U1325" s="84"/>
      <c r="V1325" s="84"/>
      <c r="W1325" s="84"/>
      <c r="X1325" s="84"/>
      <c r="Y1325" s="84"/>
      <c r="Z1325" s="87"/>
      <c r="AA1325" s="87"/>
      <c r="AB1325" s="87"/>
      <c r="AC1325" s="87"/>
      <c r="AD1325" s="87"/>
      <c r="AE1325" s="87"/>
      <c r="AF1325" s="87"/>
      <c r="AG1325" s="87"/>
      <c r="AH1325" s="87"/>
      <c r="AI1325" s="87"/>
      <c r="AJ1325" s="87"/>
      <c r="AK1325" s="87"/>
      <c r="AL1325" s="87"/>
      <c r="AM1325" s="87"/>
      <c r="AN1325" s="87"/>
      <c r="AO1325" s="87"/>
      <c r="AP1325" s="87"/>
      <c r="AQ1325" s="87"/>
      <c r="AR1325" s="87"/>
      <c r="AS1325" s="87"/>
      <c r="AT1325" s="87"/>
      <c r="AU1325" s="87"/>
      <c r="AV1325" s="87"/>
      <c r="AW1325" s="87"/>
      <c r="AX1325" s="87"/>
      <c r="AY1325" s="87"/>
      <c r="AZ1325" s="87"/>
      <c r="BA1325" s="87"/>
      <c r="BB1325" s="87"/>
      <c r="BC1325" s="87"/>
      <c r="BD1325" s="87"/>
      <c r="BE1325" s="87"/>
      <c r="BF1325" s="87"/>
      <c r="BG1325" s="87"/>
      <c r="BH1325" s="87"/>
    </row>
    <row r="1326" spans="1:60" ht="16">
      <c r="A1326" s="82"/>
      <c r="B1326" s="82"/>
      <c r="C1326" s="82"/>
      <c r="D1326" s="83"/>
      <c r="E1326" s="84"/>
      <c r="F1326" s="84"/>
      <c r="G1326" s="84"/>
      <c r="H1326" s="82"/>
      <c r="I1326" s="84"/>
      <c r="J1326" s="84"/>
      <c r="K1326" s="84"/>
      <c r="L1326" s="84"/>
      <c r="M1326" s="84"/>
      <c r="N1326" s="84"/>
      <c r="O1326" s="84"/>
      <c r="P1326" s="84"/>
      <c r="Q1326" s="84"/>
      <c r="R1326" s="84"/>
      <c r="S1326" s="84"/>
      <c r="T1326" s="84"/>
      <c r="U1326" s="84"/>
      <c r="V1326" s="84"/>
      <c r="W1326" s="84"/>
      <c r="X1326" s="84"/>
      <c r="Y1326" s="84"/>
      <c r="Z1326" s="87"/>
      <c r="AA1326" s="87"/>
      <c r="AB1326" s="87"/>
      <c r="AC1326" s="87"/>
      <c r="AD1326" s="87"/>
      <c r="AE1326" s="87"/>
      <c r="AF1326" s="87"/>
      <c r="AG1326" s="87"/>
      <c r="AH1326" s="87"/>
      <c r="AI1326" s="87"/>
      <c r="AJ1326" s="87"/>
      <c r="AK1326" s="87"/>
      <c r="AL1326" s="87"/>
      <c r="AM1326" s="87"/>
      <c r="AN1326" s="87"/>
      <c r="AO1326" s="87"/>
      <c r="AP1326" s="87"/>
      <c r="AQ1326" s="87"/>
      <c r="AR1326" s="87"/>
      <c r="AS1326" s="87"/>
      <c r="AT1326" s="87"/>
      <c r="AU1326" s="87"/>
      <c r="AV1326" s="87"/>
      <c r="AW1326" s="87"/>
      <c r="AX1326" s="87"/>
      <c r="AY1326" s="87"/>
      <c r="AZ1326" s="87"/>
      <c r="BA1326" s="87"/>
      <c r="BB1326" s="87"/>
      <c r="BC1326" s="87"/>
      <c r="BD1326" s="87"/>
      <c r="BE1326" s="87"/>
      <c r="BF1326" s="87"/>
      <c r="BG1326" s="87"/>
      <c r="BH1326" s="87"/>
    </row>
    <row r="1327" spans="1:60" ht="16">
      <c r="A1327" s="82"/>
      <c r="B1327" s="82"/>
      <c r="C1327" s="82"/>
      <c r="D1327" s="83"/>
      <c r="E1327" s="84"/>
      <c r="F1327" s="84"/>
      <c r="G1327" s="84"/>
      <c r="H1327" s="82"/>
      <c r="I1327" s="84"/>
      <c r="J1327" s="84"/>
      <c r="K1327" s="84"/>
      <c r="L1327" s="84"/>
      <c r="M1327" s="84"/>
      <c r="N1327" s="84"/>
      <c r="O1327" s="84"/>
      <c r="P1327" s="84"/>
      <c r="Q1327" s="84"/>
      <c r="R1327" s="84"/>
      <c r="S1327" s="84"/>
      <c r="T1327" s="84"/>
      <c r="U1327" s="84"/>
      <c r="V1327" s="84"/>
      <c r="W1327" s="84"/>
      <c r="X1327" s="84"/>
      <c r="Y1327" s="84"/>
      <c r="Z1327" s="87"/>
      <c r="AA1327" s="87"/>
      <c r="AB1327" s="87"/>
      <c r="AC1327" s="87"/>
      <c r="AD1327" s="87"/>
      <c r="AE1327" s="87"/>
      <c r="AF1327" s="87"/>
      <c r="AG1327" s="87"/>
      <c r="AH1327" s="87"/>
      <c r="AI1327" s="87"/>
      <c r="AJ1327" s="87"/>
      <c r="AK1327" s="87"/>
      <c r="AL1327" s="87"/>
      <c r="AM1327" s="87"/>
      <c r="AN1327" s="87"/>
      <c r="AO1327" s="87"/>
      <c r="AP1327" s="87"/>
      <c r="AQ1327" s="87"/>
      <c r="AR1327" s="87"/>
      <c r="AS1327" s="87"/>
      <c r="AT1327" s="87"/>
      <c r="AU1327" s="87"/>
      <c r="AV1327" s="87"/>
      <c r="AW1327" s="87"/>
      <c r="AX1327" s="87"/>
      <c r="AY1327" s="87"/>
      <c r="AZ1327" s="87"/>
      <c r="BA1327" s="87"/>
      <c r="BB1327" s="87"/>
      <c r="BC1327" s="87"/>
      <c r="BD1327" s="87"/>
      <c r="BE1327" s="87"/>
      <c r="BF1327" s="87"/>
      <c r="BG1327" s="87"/>
      <c r="BH1327" s="87"/>
    </row>
    <row r="1328" spans="1:60" ht="16">
      <c r="A1328" s="82"/>
      <c r="B1328" s="82"/>
      <c r="C1328" s="82"/>
      <c r="D1328" s="83"/>
      <c r="E1328" s="84"/>
      <c r="F1328" s="84"/>
      <c r="G1328" s="84"/>
      <c r="H1328" s="82"/>
      <c r="I1328" s="84"/>
      <c r="J1328" s="84"/>
      <c r="K1328" s="84"/>
      <c r="L1328" s="84"/>
      <c r="M1328" s="84"/>
      <c r="N1328" s="84"/>
      <c r="O1328" s="84"/>
      <c r="P1328" s="84"/>
      <c r="Q1328" s="84"/>
      <c r="R1328" s="84"/>
      <c r="S1328" s="84"/>
      <c r="T1328" s="84"/>
      <c r="U1328" s="84"/>
      <c r="V1328" s="84"/>
      <c r="W1328" s="84"/>
      <c r="X1328" s="84"/>
      <c r="Y1328" s="84"/>
      <c r="Z1328" s="87"/>
      <c r="AA1328" s="87"/>
      <c r="AB1328" s="87"/>
      <c r="AC1328" s="87"/>
      <c r="AD1328" s="87"/>
      <c r="AE1328" s="87"/>
      <c r="AF1328" s="87"/>
      <c r="AG1328" s="87"/>
      <c r="AH1328" s="87"/>
      <c r="AI1328" s="87"/>
      <c r="AJ1328" s="87"/>
      <c r="AK1328" s="87"/>
      <c r="AL1328" s="87"/>
      <c r="AM1328" s="87"/>
      <c r="AN1328" s="87"/>
      <c r="AO1328" s="87"/>
      <c r="AP1328" s="87"/>
      <c r="AQ1328" s="87"/>
      <c r="AR1328" s="87"/>
      <c r="AS1328" s="87"/>
      <c r="AT1328" s="87"/>
      <c r="AU1328" s="87"/>
      <c r="AV1328" s="87"/>
      <c r="AW1328" s="87"/>
      <c r="AX1328" s="87"/>
      <c r="AY1328" s="87"/>
      <c r="AZ1328" s="87"/>
      <c r="BA1328" s="87"/>
      <c r="BB1328" s="87"/>
      <c r="BC1328" s="87"/>
      <c r="BD1328" s="87"/>
      <c r="BE1328" s="87"/>
      <c r="BF1328" s="87"/>
      <c r="BG1328" s="87"/>
      <c r="BH1328" s="87"/>
    </row>
    <row r="1329" spans="1:60" ht="16">
      <c r="A1329" s="82"/>
      <c r="B1329" s="82"/>
      <c r="C1329" s="82"/>
      <c r="D1329" s="83"/>
      <c r="E1329" s="84"/>
      <c r="F1329" s="84"/>
      <c r="G1329" s="84"/>
      <c r="H1329" s="82"/>
      <c r="I1329" s="84"/>
      <c r="J1329" s="84"/>
      <c r="K1329" s="84"/>
      <c r="L1329" s="84"/>
      <c r="M1329" s="84"/>
      <c r="N1329" s="84"/>
      <c r="O1329" s="84"/>
      <c r="P1329" s="84"/>
      <c r="Q1329" s="84"/>
      <c r="R1329" s="84"/>
      <c r="S1329" s="84"/>
      <c r="T1329" s="84"/>
      <c r="U1329" s="84"/>
      <c r="V1329" s="84"/>
      <c r="W1329" s="84"/>
      <c r="X1329" s="84"/>
      <c r="Y1329" s="84"/>
      <c r="Z1329" s="87"/>
      <c r="AA1329" s="87"/>
      <c r="AB1329" s="87"/>
      <c r="AC1329" s="87"/>
      <c r="AD1329" s="87"/>
      <c r="AE1329" s="87"/>
      <c r="AF1329" s="87"/>
      <c r="AG1329" s="87"/>
      <c r="AH1329" s="87"/>
      <c r="AI1329" s="87"/>
      <c r="AJ1329" s="87"/>
      <c r="AK1329" s="87"/>
      <c r="AL1329" s="87"/>
      <c r="AM1329" s="87"/>
      <c r="AN1329" s="87"/>
      <c r="AO1329" s="87"/>
      <c r="AP1329" s="87"/>
      <c r="AQ1329" s="87"/>
      <c r="AR1329" s="87"/>
      <c r="AS1329" s="87"/>
      <c r="AT1329" s="87"/>
      <c r="AU1329" s="87"/>
      <c r="AV1329" s="87"/>
      <c r="AW1329" s="87"/>
      <c r="AX1329" s="87"/>
      <c r="AY1329" s="87"/>
      <c r="AZ1329" s="87"/>
      <c r="BA1329" s="87"/>
      <c r="BB1329" s="87"/>
      <c r="BC1329" s="87"/>
      <c r="BD1329" s="87"/>
      <c r="BE1329" s="87"/>
      <c r="BF1329" s="87"/>
      <c r="BG1329" s="87"/>
      <c r="BH1329" s="87"/>
    </row>
    <row r="1330" spans="1:60" ht="16">
      <c r="A1330" s="82"/>
      <c r="B1330" s="82"/>
      <c r="C1330" s="82"/>
      <c r="D1330" s="83"/>
      <c r="E1330" s="84"/>
      <c r="F1330" s="84"/>
      <c r="G1330" s="84"/>
      <c r="H1330" s="82"/>
      <c r="I1330" s="84"/>
      <c r="J1330" s="84"/>
      <c r="K1330" s="84"/>
      <c r="L1330" s="84"/>
      <c r="M1330" s="84"/>
      <c r="N1330" s="84"/>
      <c r="O1330" s="84"/>
      <c r="P1330" s="84"/>
      <c r="Q1330" s="84"/>
      <c r="R1330" s="84"/>
      <c r="S1330" s="84"/>
      <c r="T1330" s="84"/>
      <c r="U1330" s="84"/>
      <c r="V1330" s="84"/>
      <c r="W1330" s="84"/>
      <c r="X1330" s="84"/>
      <c r="Y1330" s="84"/>
      <c r="Z1330" s="87"/>
      <c r="AA1330" s="87"/>
      <c r="AB1330" s="87"/>
      <c r="AC1330" s="87"/>
      <c r="AD1330" s="87"/>
      <c r="AE1330" s="87"/>
      <c r="AF1330" s="87"/>
      <c r="AG1330" s="87"/>
      <c r="AH1330" s="87"/>
      <c r="AI1330" s="87"/>
      <c r="AJ1330" s="87"/>
      <c r="AK1330" s="87"/>
      <c r="AL1330" s="87"/>
      <c r="AM1330" s="87"/>
      <c r="AN1330" s="87"/>
      <c r="AO1330" s="87"/>
      <c r="AP1330" s="87"/>
      <c r="AQ1330" s="87"/>
      <c r="AR1330" s="87"/>
      <c r="AS1330" s="87"/>
      <c r="AT1330" s="87"/>
      <c r="AU1330" s="87"/>
      <c r="AV1330" s="87"/>
      <c r="AW1330" s="87"/>
      <c r="AX1330" s="87"/>
      <c r="AY1330" s="87"/>
      <c r="AZ1330" s="87"/>
      <c r="BA1330" s="87"/>
      <c r="BB1330" s="87"/>
      <c r="BC1330" s="87"/>
      <c r="BD1330" s="87"/>
      <c r="BE1330" s="87"/>
      <c r="BF1330" s="87"/>
      <c r="BG1330" s="87"/>
      <c r="BH1330" s="87"/>
    </row>
    <row r="1331" spans="1:60" ht="16">
      <c r="A1331" s="82"/>
      <c r="B1331" s="82"/>
      <c r="C1331" s="82"/>
      <c r="D1331" s="83"/>
      <c r="E1331" s="84"/>
      <c r="F1331" s="84"/>
      <c r="G1331" s="84"/>
      <c r="H1331" s="82"/>
      <c r="I1331" s="84"/>
      <c r="J1331" s="84"/>
      <c r="K1331" s="84"/>
      <c r="L1331" s="84"/>
      <c r="M1331" s="84"/>
      <c r="N1331" s="84"/>
      <c r="O1331" s="84"/>
      <c r="P1331" s="84"/>
      <c r="Q1331" s="84"/>
      <c r="R1331" s="84"/>
      <c r="S1331" s="84"/>
      <c r="T1331" s="84"/>
      <c r="U1331" s="84"/>
      <c r="V1331" s="84"/>
      <c r="W1331" s="84"/>
      <c r="X1331" s="84"/>
      <c r="Y1331" s="84"/>
      <c r="Z1331" s="87"/>
      <c r="AA1331" s="87"/>
      <c r="AB1331" s="87"/>
      <c r="AC1331" s="87"/>
      <c r="AD1331" s="87"/>
      <c r="AE1331" s="87"/>
      <c r="AF1331" s="87"/>
      <c r="AG1331" s="87"/>
      <c r="AH1331" s="87"/>
      <c r="AI1331" s="87"/>
      <c r="AJ1331" s="87"/>
      <c r="AK1331" s="87"/>
      <c r="AL1331" s="87"/>
      <c r="AM1331" s="87"/>
      <c r="AN1331" s="87"/>
      <c r="AO1331" s="87"/>
      <c r="AP1331" s="87"/>
      <c r="AQ1331" s="87"/>
      <c r="AR1331" s="87"/>
      <c r="AS1331" s="87"/>
      <c r="AT1331" s="87"/>
      <c r="AU1331" s="87"/>
      <c r="AV1331" s="87"/>
      <c r="AW1331" s="87"/>
      <c r="AX1331" s="87"/>
      <c r="AY1331" s="87"/>
      <c r="AZ1331" s="87"/>
      <c r="BA1331" s="87"/>
      <c r="BB1331" s="87"/>
      <c r="BC1331" s="87"/>
      <c r="BD1331" s="87"/>
      <c r="BE1331" s="87"/>
      <c r="BF1331" s="87"/>
      <c r="BG1331" s="87"/>
      <c r="BH1331" s="87"/>
    </row>
    <row r="1332" spans="1:60" ht="16">
      <c r="A1332" s="82"/>
      <c r="B1332" s="82"/>
      <c r="C1332" s="82"/>
      <c r="D1332" s="83"/>
      <c r="E1332" s="84"/>
      <c r="F1332" s="84"/>
      <c r="G1332" s="84"/>
      <c r="H1332" s="82"/>
      <c r="I1332" s="84"/>
      <c r="J1332" s="84"/>
      <c r="K1332" s="84"/>
      <c r="L1332" s="84"/>
      <c r="M1332" s="84"/>
      <c r="N1332" s="84"/>
      <c r="O1332" s="84"/>
      <c r="P1332" s="84"/>
      <c r="Q1332" s="84"/>
      <c r="R1332" s="84"/>
      <c r="S1332" s="84"/>
      <c r="T1332" s="84"/>
      <c r="U1332" s="84"/>
      <c r="V1332" s="84"/>
      <c r="W1332" s="84"/>
      <c r="X1332" s="84"/>
      <c r="Y1332" s="84"/>
      <c r="Z1332" s="87"/>
      <c r="AA1332" s="87"/>
      <c r="AB1332" s="87"/>
      <c r="AC1332" s="87"/>
      <c r="AD1332" s="87"/>
      <c r="AE1332" s="87"/>
      <c r="AF1332" s="87"/>
      <c r="AG1332" s="87"/>
      <c r="AH1332" s="87"/>
      <c r="AI1332" s="87"/>
      <c r="AJ1332" s="87"/>
      <c r="AK1332" s="87"/>
      <c r="AL1332" s="87"/>
      <c r="AM1332" s="87"/>
      <c r="AN1332" s="87"/>
      <c r="AO1332" s="87"/>
      <c r="AP1332" s="87"/>
      <c r="AQ1332" s="87"/>
      <c r="AR1332" s="87"/>
      <c r="AS1332" s="87"/>
      <c r="AT1332" s="87"/>
      <c r="AU1332" s="87"/>
      <c r="AV1332" s="87"/>
      <c r="AW1332" s="87"/>
      <c r="AX1332" s="87"/>
      <c r="AY1332" s="87"/>
      <c r="AZ1332" s="87"/>
      <c r="BA1332" s="87"/>
      <c r="BB1332" s="87"/>
      <c r="BC1332" s="87"/>
      <c r="BD1332" s="87"/>
      <c r="BE1332" s="87"/>
      <c r="BF1332" s="87"/>
      <c r="BG1332" s="87"/>
      <c r="BH1332" s="87"/>
    </row>
    <row r="1333" spans="1:60" ht="16">
      <c r="A1333" s="82"/>
      <c r="B1333" s="82"/>
      <c r="C1333" s="82"/>
      <c r="D1333" s="83"/>
      <c r="E1333" s="84"/>
      <c r="F1333" s="84"/>
      <c r="G1333" s="84"/>
      <c r="H1333" s="82"/>
      <c r="I1333" s="84"/>
      <c r="J1333" s="84"/>
      <c r="K1333" s="84"/>
      <c r="L1333" s="84"/>
      <c r="M1333" s="84"/>
      <c r="N1333" s="84"/>
      <c r="O1333" s="84"/>
      <c r="P1333" s="84"/>
      <c r="Q1333" s="84"/>
      <c r="R1333" s="84"/>
      <c r="S1333" s="84"/>
      <c r="T1333" s="84"/>
      <c r="U1333" s="84"/>
      <c r="V1333" s="84"/>
      <c r="W1333" s="84"/>
      <c r="X1333" s="84"/>
      <c r="Y1333" s="84"/>
      <c r="Z1333" s="87"/>
      <c r="AA1333" s="87"/>
      <c r="AB1333" s="87"/>
      <c r="AC1333" s="87"/>
      <c r="AD1333" s="87"/>
      <c r="AE1333" s="87"/>
      <c r="AF1333" s="87"/>
      <c r="AG1333" s="87"/>
      <c r="AH1333" s="87"/>
      <c r="AI1333" s="87"/>
      <c r="AJ1333" s="87"/>
      <c r="AK1333" s="87"/>
      <c r="AL1333" s="87"/>
      <c r="AM1333" s="87"/>
      <c r="AN1333" s="87"/>
      <c r="AO1333" s="87"/>
      <c r="AP1333" s="87"/>
      <c r="AQ1333" s="87"/>
      <c r="AR1333" s="87"/>
      <c r="AS1333" s="87"/>
      <c r="AT1333" s="87"/>
      <c r="AU1333" s="87"/>
      <c r="AV1333" s="87"/>
      <c r="AW1333" s="87"/>
      <c r="AX1333" s="87"/>
      <c r="AY1333" s="87"/>
      <c r="AZ1333" s="87"/>
      <c r="BA1333" s="87"/>
      <c r="BB1333" s="87"/>
      <c r="BC1333" s="87"/>
      <c r="BD1333" s="87"/>
      <c r="BE1333" s="87"/>
      <c r="BF1333" s="87"/>
      <c r="BG1333" s="87"/>
      <c r="BH1333" s="87"/>
    </row>
    <row r="1334" spans="1:60" ht="16">
      <c r="A1334" s="82"/>
      <c r="B1334" s="82"/>
      <c r="C1334" s="82"/>
      <c r="D1334" s="83"/>
      <c r="E1334" s="84"/>
      <c r="F1334" s="84"/>
      <c r="G1334" s="84"/>
      <c r="H1334" s="82"/>
      <c r="I1334" s="84"/>
      <c r="J1334" s="84"/>
      <c r="K1334" s="84"/>
      <c r="L1334" s="84"/>
      <c r="M1334" s="84"/>
      <c r="N1334" s="84"/>
      <c r="O1334" s="84"/>
      <c r="P1334" s="84"/>
      <c r="Q1334" s="84"/>
      <c r="R1334" s="84"/>
      <c r="S1334" s="84"/>
      <c r="T1334" s="84"/>
      <c r="U1334" s="84"/>
      <c r="V1334" s="84"/>
      <c r="W1334" s="84"/>
      <c r="X1334" s="84"/>
      <c r="Y1334" s="84"/>
      <c r="Z1334" s="87"/>
      <c r="AA1334" s="87"/>
      <c r="AB1334" s="87"/>
      <c r="AC1334" s="87"/>
      <c r="AD1334" s="87"/>
      <c r="AE1334" s="87"/>
      <c r="AF1334" s="87"/>
      <c r="AG1334" s="87"/>
      <c r="AH1334" s="87"/>
      <c r="AI1334" s="87"/>
      <c r="AJ1334" s="87"/>
      <c r="AK1334" s="87"/>
      <c r="AL1334" s="87"/>
      <c r="AM1334" s="87"/>
      <c r="AN1334" s="87"/>
      <c r="AO1334" s="87"/>
      <c r="AP1334" s="87"/>
      <c r="AQ1334" s="87"/>
      <c r="AR1334" s="87"/>
      <c r="AS1334" s="87"/>
      <c r="AT1334" s="87"/>
      <c r="AU1334" s="87"/>
      <c r="AV1334" s="87"/>
      <c r="AW1334" s="87"/>
      <c r="AX1334" s="87"/>
      <c r="AY1334" s="87"/>
      <c r="AZ1334" s="87"/>
      <c r="BA1334" s="87"/>
      <c r="BB1334" s="87"/>
      <c r="BC1334" s="87"/>
      <c r="BD1334" s="87"/>
      <c r="BE1334" s="87"/>
      <c r="BF1334" s="87"/>
      <c r="BG1334" s="87"/>
      <c r="BH1334" s="87"/>
    </row>
    <row r="1335" spans="1:60" ht="16">
      <c r="A1335" s="82"/>
      <c r="B1335" s="82"/>
      <c r="C1335" s="82"/>
      <c r="D1335" s="83"/>
      <c r="E1335" s="84"/>
      <c r="F1335" s="84"/>
      <c r="G1335" s="84"/>
      <c r="H1335" s="82"/>
      <c r="I1335" s="84"/>
      <c r="J1335" s="84"/>
      <c r="K1335" s="84"/>
      <c r="L1335" s="84"/>
      <c r="M1335" s="84"/>
      <c r="N1335" s="84"/>
      <c r="O1335" s="84"/>
      <c r="P1335" s="84"/>
      <c r="Q1335" s="84"/>
      <c r="R1335" s="84"/>
      <c r="S1335" s="84"/>
      <c r="T1335" s="84"/>
      <c r="U1335" s="84"/>
      <c r="V1335" s="84"/>
      <c r="W1335" s="84"/>
      <c r="X1335" s="84"/>
      <c r="Y1335" s="84"/>
      <c r="Z1335" s="87"/>
      <c r="AA1335" s="87"/>
      <c r="AB1335" s="87"/>
      <c r="AC1335" s="87"/>
      <c r="AD1335" s="87"/>
      <c r="AE1335" s="87"/>
      <c r="AF1335" s="87"/>
      <c r="AG1335" s="87"/>
      <c r="AH1335" s="87"/>
      <c r="AI1335" s="87"/>
      <c r="AJ1335" s="87"/>
      <c r="AK1335" s="87"/>
      <c r="AL1335" s="87"/>
      <c r="AM1335" s="87"/>
      <c r="AN1335" s="87"/>
      <c r="AO1335" s="87"/>
      <c r="AP1335" s="87"/>
      <c r="AQ1335" s="87"/>
      <c r="AR1335" s="87"/>
      <c r="AS1335" s="87"/>
      <c r="AT1335" s="87"/>
      <c r="AU1335" s="87"/>
      <c r="AV1335" s="87"/>
      <c r="AW1335" s="87"/>
      <c r="AX1335" s="87"/>
      <c r="AY1335" s="87"/>
      <c r="AZ1335" s="87"/>
      <c r="BA1335" s="87"/>
      <c r="BB1335" s="87"/>
      <c r="BC1335" s="87"/>
      <c r="BD1335" s="87"/>
      <c r="BE1335" s="87"/>
      <c r="BF1335" s="87"/>
      <c r="BG1335" s="87"/>
      <c r="BH1335" s="87"/>
    </row>
    <row r="1336" spans="1:60" ht="16">
      <c r="A1336" s="82"/>
      <c r="B1336" s="82"/>
      <c r="C1336" s="82"/>
      <c r="D1336" s="83"/>
      <c r="E1336" s="84"/>
      <c r="F1336" s="84"/>
      <c r="G1336" s="84"/>
      <c r="H1336" s="82"/>
      <c r="I1336" s="84"/>
      <c r="J1336" s="84"/>
      <c r="K1336" s="84"/>
      <c r="L1336" s="84"/>
      <c r="M1336" s="84"/>
      <c r="N1336" s="84"/>
      <c r="O1336" s="84"/>
      <c r="P1336" s="84"/>
      <c r="Q1336" s="84"/>
      <c r="R1336" s="84"/>
      <c r="S1336" s="84"/>
      <c r="T1336" s="84"/>
      <c r="U1336" s="84"/>
      <c r="V1336" s="84"/>
      <c r="W1336" s="84"/>
      <c r="X1336" s="84"/>
      <c r="Y1336" s="84"/>
      <c r="Z1336" s="87"/>
      <c r="AA1336" s="87"/>
      <c r="AB1336" s="87"/>
      <c r="AC1336" s="87"/>
      <c r="AD1336" s="87"/>
      <c r="AE1336" s="87"/>
      <c r="AF1336" s="87"/>
      <c r="AG1336" s="87"/>
      <c r="AH1336" s="87"/>
      <c r="AI1336" s="87"/>
      <c r="AJ1336" s="87"/>
      <c r="AK1336" s="87"/>
      <c r="AL1336" s="87"/>
      <c r="AM1336" s="87"/>
      <c r="AN1336" s="87"/>
      <c r="AO1336" s="87"/>
      <c r="AP1336" s="87"/>
      <c r="AQ1336" s="87"/>
      <c r="AR1336" s="87"/>
      <c r="AS1336" s="87"/>
      <c r="AT1336" s="87"/>
      <c r="AU1336" s="87"/>
      <c r="AV1336" s="87"/>
      <c r="AW1336" s="87"/>
      <c r="AX1336" s="87"/>
      <c r="AY1336" s="87"/>
      <c r="AZ1336" s="87"/>
      <c r="BA1336" s="87"/>
      <c r="BB1336" s="87"/>
      <c r="BC1336" s="87"/>
      <c r="BD1336" s="87"/>
      <c r="BE1336" s="87"/>
      <c r="BF1336" s="87"/>
      <c r="BG1336" s="87"/>
      <c r="BH1336" s="87"/>
    </row>
    <row r="1337" spans="1:60" ht="16">
      <c r="A1337" s="82"/>
      <c r="B1337" s="82"/>
      <c r="C1337" s="82"/>
      <c r="D1337" s="83"/>
      <c r="E1337" s="84"/>
      <c r="F1337" s="84"/>
      <c r="G1337" s="84"/>
      <c r="H1337" s="82"/>
      <c r="I1337" s="84"/>
      <c r="J1337" s="84"/>
      <c r="K1337" s="84"/>
      <c r="L1337" s="84"/>
      <c r="M1337" s="84"/>
      <c r="N1337" s="84"/>
      <c r="O1337" s="84"/>
      <c r="P1337" s="84"/>
      <c r="Q1337" s="84"/>
      <c r="R1337" s="84"/>
      <c r="S1337" s="84"/>
      <c r="T1337" s="84"/>
      <c r="U1337" s="84"/>
      <c r="V1337" s="84"/>
      <c r="W1337" s="84"/>
      <c r="X1337" s="84"/>
      <c r="Y1337" s="84"/>
      <c r="Z1337" s="87"/>
      <c r="AA1337" s="87"/>
      <c r="AB1337" s="87"/>
      <c r="AC1337" s="87"/>
      <c r="AD1337" s="87"/>
      <c r="AE1337" s="87"/>
      <c r="AF1337" s="87"/>
      <c r="AG1337" s="87"/>
      <c r="AH1337" s="87"/>
      <c r="AI1337" s="87"/>
      <c r="AJ1337" s="87"/>
      <c r="AK1337" s="87"/>
      <c r="AL1337" s="87"/>
      <c r="AM1337" s="87"/>
      <c r="AN1337" s="87"/>
      <c r="AO1337" s="87"/>
      <c r="AP1337" s="87"/>
      <c r="AQ1337" s="87"/>
      <c r="AR1337" s="87"/>
      <c r="AS1337" s="87"/>
      <c r="AT1337" s="87"/>
      <c r="AU1337" s="87"/>
      <c r="AV1337" s="87"/>
      <c r="AW1337" s="87"/>
      <c r="AX1337" s="87"/>
      <c r="AY1337" s="87"/>
      <c r="AZ1337" s="87"/>
      <c r="BA1337" s="87"/>
      <c r="BB1337" s="87"/>
      <c r="BC1337" s="87"/>
      <c r="BD1337" s="87"/>
      <c r="BE1337" s="87"/>
      <c r="BF1337" s="87"/>
      <c r="BG1337" s="87"/>
      <c r="BH1337" s="87"/>
    </row>
    <row r="1338" spans="1:60" ht="16">
      <c r="A1338" s="82"/>
      <c r="B1338" s="82"/>
      <c r="C1338" s="82"/>
      <c r="D1338" s="83"/>
      <c r="E1338" s="84"/>
      <c r="F1338" s="84"/>
      <c r="G1338" s="84"/>
      <c r="H1338" s="82"/>
      <c r="I1338" s="84"/>
      <c r="J1338" s="84"/>
      <c r="K1338" s="84"/>
      <c r="L1338" s="84"/>
      <c r="M1338" s="84"/>
      <c r="N1338" s="84"/>
      <c r="O1338" s="84"/>
      <c r="P1338" s="84"/>
      <c r="Q1338" s="84"/>
      <c r="R1338" s="84"/>
      <c r="S1338" s="84"/>
      <c r="T1338" s="84"/>
      <c r="U1338" s="84"/>
      <c r="V1338" s="84"/>
      <c r="W1338" s="84"/>
      <c r="X1338" s="84"/>
      <c r="Y1338" s="84"/>
      <c r="Z1338" s="87"/>
      <c r="AA1338" s="87"/>
      <c r="AB1338" s="87"/>
      <c r="AC1338" s="87"/>
      <c r="AD1338" s="87"/>
      <c r="AE1338" s="87"/>
      <c r="AF1338" s="87"/>
      <c r="AG1338" s="87"/>
      <c r="AH1338" s="87"/>
      <c r="AI1338" s="87"/>
      <c r="AJ1338" s="87"/>
      <c r="AK1338" s="87"/>
      <c r="AL1338" s="87"/>
      <c r="AM1338" s="87"/>
      <c r="AN1338" s="87"/>
      <c r="AO1338" s="87"/>
      <c r="AP1338" s="87"/>
      <c r="AQ1338" s="87"/>
      <c r="AR1338" s="87"/>
      <c r="AS1338" s="87"/>
      <c r="AT1338" s="87"/>
      <c r="AU1338" s="87"/>
      <c r="AV1338" s="87"/>
      <c r="AW1338" s="87"/>
      <c r="AX1338" s="87"/>
      <c r="AY1338" s="87"/>
      <c r="AZ1338" s="87"/>
      <c r="BA1338" s="87"/>
      <c r="BB1338" s="87"/>
      <c r="BC1338" s="87"/>
      <c r="BD1338" s="87"/>
      <c r="BE1338" s="87"/>
      <c r="BF1338" s="87"/>
      <c r="BG1338" s="87"/>
      <c r="BH1338" s="87"/>
    </row>
    <row r="1339" spans="1:60" ht="16">
      <c r="A1339" s="82"/>
      <c r="B1339" s="82"/>
      <c r="C1339" s="82"/>
      <c r="D1339" s="83"/>
      <c r="E1339" s="84"/>
      <c r="F1339" s="84"/>
      <c r="G1339" s="84"/>
      <c r="H1339" s="82"/>
      <c r="I1339" s="84"/>
      <c r="J1339" s="84"/>
      <c r="K1339" s="84"/>
      <c r="L1339" s="84"/>
      <c r="M1339" s="84"/>
      <c r="N1339" s="84"/>
      <c r="O1339" s="84"/>
      <c r="P1339" s="84"/>
      <c r="Q1339" s="84"/>
      <c r="R1339" s="84"/>
      <c r="S1339" s="84"/>
      <c r="T1339" s="84"/>
      <c r="U1339" s="84"/>
      <c r="V1339" s="84"/>
      <c r="W1339" s="84"/>
      <c r="X1339" s="84"/>
      <c r="Y1339" s="84"/>
      <c r="Z1339" s="87"/>
      <c r="AA1339" s="87"/>
      <c r="AB1339" s="87"/>
      <c r="AC1339" s="87"/>
      <c r="AD1339" s="87"/>
      <c r="AE1339" s="87"/>
      <c r="AF1339" s="87"/>
      <c r="AG1339" s="87"/>
      <c r="AH1339" s="87"/>
      <c r="AI1339" s="87"/>
      <c r="AJ1339" s="87"/>
      <c r="AK1339" s="87"/>
      <c r="AL1339" s="87"/>
      <c r="AM1339" s="87"/>
      <c r="AN1339" s="87"/>
      <c r="AO1339" s="87"/>
      <c r="AP1339" s="87"/>
      <c r="AQ1339" s="87"/>
      <c r="AR1339" s="87"/>
      <c r="AS1339" s="87"/>
      <c r="AT1339" s="87"/>
      <c r="AU1339" s="87"/>
      <c r="AV1339" s="87"/>
      <c r="AW1339" s="87"/>
      <c r="AX1339" s="87"/>
      <c r="AY1339" s="87"/>
      <c r="AZ1339" s="87"/>
      <c r="BA1339" s="87"/>
      <c r="BB1339" s="87"/>
      <c r="BC1339" s="87"/>
      <c r="BD1339" s="87"/>
      <c r="BE1339" s="87"/>
      <c r="BF1339" s="87"/>
      <c r="BG1339" s="87"/>
      <c r="BH1339" s="87"/>
    </row>
    <row r="1340" spans="1:60" ht="16">
      <c r="A1340" s="82"/>
      <c r="B1340" s="82"/>
      <c r="C1340" s="82"/>
      <c r="D1340" s="83"/>
      <c r="E1340" s="84"/>
      <c r="F1340" s="84"/>
      <c r="G1340" s="84"/>
      <c r="H1340" s="82"/>
      <c r="I1340" s="84"/>
      <c r="J1340" s="84"/>
      <c r="K1340" s="84"/>
      <c r="L1340" s="84"/>
      <c r="M1340" s="84"/>
      <c r="N1340" s="84"/>
      <c r="O1340" s="84"/>
      <c r="P1340" s="84"/>
      <c r="Q1340" s="84"/>
      <c r="R1340" s="84"/>
      <c r="S1340" s="84"/>
      <c r="T1340" s="84"/>
      <c r="U1340" s="84"/>
      <c r="V1340" s="84"/>
      <c r="W1340" s="84"/>
      <c r="X1340" s="84"/>
      <c r="Y1340" s="84"/>
      <c r="Z1340" s="87"/>
      <c r="AA1340" s="87"/>
      <c r="AB1340" s="87"/>
      <c r="AC1340" s="87"/>
      <c r="AD1340" s="87"/>
      <c r="AE1340" s="87"/>
      <c r="AF1340" s="87"/>
      <c r="AG1340" s="87"/>
      <c r="AH1340" s="87"/>
      <c r="AI1340" s="87"/>
      <c r="AJ1340" s="87"/>
      <c r="AK1340" s="87"/>
      <c r="AL1340" s="87"/>
      <c r="AM1340" s="87"/>
      <c r="AN1340" s="87"/>
      <c r="AO1340" s="87"/>
      <c r="AP1340" s="87"/>
      <c r="AQ1340" s="87"/>
      <c r="AR1340" s="87"/>
      <c r="AS1340" s="87"/>
      <c r="AT1340" s="87"/>
      <c r="AU1340" s="87"/>
      <c r="AV1340" s="87"/>
      <c r="AW1340" s="87"/>
      <c r="AX1340" s="87"/>
      <c r="AY1340" s="87"/>
      <c r="AZ1340" s="87"/>
      <c r="BA1340" s="87"/>
      <c r="BB1340" s="87"/>
      <c r="BC1340" s="87"/>
      <c r="BD1340" s="87"/>
      <c r="BE1340" s="87"/>
      <c r="BF1340" s="87"/>
      <c r="BG1340" s="87"/>
      <c r="BH1340" s="87"/>
    </row>
    <row r="1341" spans="1:60" ht="16">
      <c r="A1341" s="82"/>
      <c r="B1341" s="82"/>
      <c r="C1341" s="82"/>
      <c r="D1341" s="83"/>
      <c r="E1341" s="84"/>
      <c r="F1341" s="84"/>
      <c r="G1341" s="84"/>
      <c r="H1341" s="82"/>
      <c r="I1341" s="84"/>
      <c r="J1341" s="84"/>
      <c r="K1341" s="84"/>
      <c r="L1341" s="84"/>
      <c r="M1341" s="84"/>
      <c r="N1341" s="84"/>
      <c r="O1341" s="84"/>
      <c r="P1341" s="84"/>
      <c r="Q1341" s="84"/>
      <c r="R1341" s="84"/>
      <c r="S1341" s="84"/>
      <c r="T1341" s="84"/>
      <c r="U1341" s="84"/>
      <c r="V1341" s="84"/>
      <c r="W1341" s="84"/>
      <c r="X1341" s="84"/>
      <c r="Y1341" s="84"/>
      <c r="Z1341" s="87"/>
      <c r="AA1341" s="87"/>
      <c r="AB1341" s="87"/>
      <c r="AC1341" s="87"/>
      <c r="AD1341" s="87"/>
      <c r="AE1341" s="87"/>
      <c r="AF1341" s="87"/>
      <c r="AG1341" s="87"/>
      <c r="AH1341" s="87"/>
      <c r="AI1341" s="87"/>
      <c r="AJ1341" s="87"/>
      <c r="AK1341" s="87"/>
      <c r="AL1341" s="87"/>
      <c r="AM1341" s="87"/>
      <c r="AN1341" s="87"/>
      <c r="AO1341" s="87"/>
      <c r="AP1341" s="87"/>
      <c r="AQ1341" s="87"/>
      <c r="AR1341" s="87"/>
      <c r="AS1341" s="87"/>
      <c r="AT1341" s="87"/>
      <c r="AU1341" s="87"/>
      <c r="AV1341" s="87"/>
      <c r="AW1341" s="87"/>
      <c r="AX1341" s="87"/>
      <c r="AY1341" s="87"/>
      <c r="AZ1341" s="87"/>
      <c r="BA1341" s="87"/>
      <c r="BB1341" s="87"/>
      <c r="BC1341" s="87"/>
      <c r="BD1341" s="87"/>
      <c r="BE1341" s="87"/>
      <c r="BF1341" s="87"/>
      <c r="BG1341" s="87"/>
      <c r="BH1341" s="87"/>
    </row>
    <row r="1342" spans="1:60" ht="16">
      <c r="A1342" s="82"/>
      <c r="B1342" s="82"/>
      <c r="C1342" s="82"/>
      <c r="D1342" s="83"/>
      <c r="E1342" s="84"/>
      <c r="F1342" s="84"/>
      <c r="G1342" s="84"/>
      <c r="H1342" s="82"/>
      <c r="I1342" s="84"/>
      <c r="J1342" s="84"/>
      <c r="K1342" s="84"/>
      <c r="L1342" s="84"/>
      <c r="M1342" s="84"/>
      <c r="N1342" s="84"/>
      <c r="O1342" s="84"/>
      <c r="P1342" s="84"/>
      <c r="Q1342" s="84"/>
      <c r="R1342" s="84"/>
      <c r="S1342" s="84"/>
      <c r="T1342" s="84"/>
      <c r="U1342" s="84"/>
      <c r="V1342" s="84"/>
      <c r="W1342" s="84"/>
      <c r="X1342" s="84"/>
      <c r="Y1342" s="84"/>
      <c r="Z1342" s="87"/>
      <c r="AA1342" s="87"/>
      <c r="AB1342" s="87"/>
      <c r="AC1342" s="87"/>
      <c r="AD1342" s="87"/>
      <c r="AE1342" s="87"/>
      <c r="AF1342" s="87"/>
      <c r="AG1342" s="87"/>
      <c r="AH1342" s="87"/>
      <c r="AI1342" s="87"/>
      <c r="AJ1342" s="87"/>
      <c r="AK1342" s="87"/>
      <c r="AL1342" s="87"/>
      <c r="AM1342" s="87"/>
      <c r="AN1342" s="87"/>
      <c r="AO1342" s="87"/>
      <c r="AP1342" s="87"/>
      <c r="AQ1342" s="87"/>
      <c r="AR1342" s="87"/>
      <c r="AS1342" s="87"/>
      <c r="AT1342" s="87"/>
      <c r="AU1342" s="87"/>
      <c r="AV1342" s="87"/>
      <c r="AW1342" s="87"/>
      <c r="AX1342" s="87"/>
      <c r="AY1342" s="87"/>
      <c r="AZ1342" s="87"/>
      <c r="BA1342" s="87"/>
      <c r="BB1342" s="87"/>
      <c r="BC1342" s="87"/>
      <c r="BD1342" s="87"/>
      <c r="BE1342" s="87"/>
      <c r="BF1342" s="87"/>
      <c r="BG1342" s="87"/>
      <c r="BH1342" s="87"/>
    </row>
    <row r="1343" spans="1:60" ht="16">
      <c r="A1343" s="82"/>
      <c r="B1343" s="82"/>
      <c r="C1343" s="82"/>
      <c r="D1343" s="83"/>
      <c r="E1343" s="84"/>
      <c r="F1343" s="84"/>
      <c r="G1343" s="84"/>
      <c r="H1343" s="82"/>
      <c r="I1343" s="84"/>
      <c r="J1343" s="84"/>
      <c r="K1343" s="84"/>
      <c r="L1343" s="84"/>
      <c r="M1343" s="84"/>
      <c r="N1343" s="84"/>
      <c r="O1343" s="84"/>
      <c r="P1343" s="84"/>
      <c r="Q1343" s="84"/>
      <c r="R1343" s="84"/>
      <c r="S1343" s="84"/>
      <c r="T1343" s="84"/>
      <c r="U1343" s="84"/>
      <c r="V1343" s="84"/>
      <c r="W1343" s="84"/>
      <c r="X1343" s="84"/>
      <c r="Y1343" s="84"/>
      <c r="Z1343" s="87"/>
      <c r="AA1343" s="87"/>
      <c r="AB1343" s="87"/>
      <c r="AC1343" s="87"/>
      <c r="AD1343" s="87"/>
      <c r="AE1343" s="87"/>
      <c r="AF1343" s="87"/>
      <c r="AG1343" s="87"/>
      <c r="AH1343" s="87"/>
      <c r="AI1343" s="87"/>
      <c r="AJ1343" s="87"/>
      <c r="AK1343" s="87"/>
      <c r="AL1343" s="87"/>
      <c r="AM1343" s="87"/>
      <c r="AN1343" s="87"/>
      <c r="AO1343" s="87"/>
      <c r="AP1343" s="87"/>
      <c r="AQ1343" s="87"/>
      <c r="AR1343" s="87"/>
      <c r="AS1343" s="87"/>
      <c r="AT1343" s="87"/>
      <c r="AU1343" s="87"/>
      <c r="AV1343" s="87"/>
      <c r="AW1343" s="87"/>
      <c r="AX1343" s="87"/>
      <c r="AY1343" s="87"/>
      <c r="AZ1343" s="87"/>
      <c r="BA1343" s="87"/>
      <c r="BB1343" s="87"/>
      <c r="BC1343" s="87"/>
      <c r="BD1343" s="87"/>
      <c r="BE1343" s="87"/>
      <c r="BF1343" s="87"/>
      <c r="BG1343" s="87"/>
      <c r="BH1343" s="87"/>
    </row>
    <row r="1344" spans="1:60" ht="16">
      <c r="A1344" s="82"/>
      <c r="B1344" s="82"/>
      <c r="C1344" s="82"/>
      <c r="D1344" s="83"/>
      <c r="E1344" s="84"/>
      <c r="F1344" s="84"/>
      <c r="G1344" s="84"/>
      <c r="H1344" s="82"/>
      <c r="I1344" s="84"/>
      <c r="J1344" s="84"/>
      <c r="K1344" s="84"/>
      <c r="L1344" s="84"/>
      <c r="M1344" s="84"/>
      <c r="N1344" s="84"/>
      <c r="O1344" s="84"/>
      <c r="P1344" s="84"/>
      <c r="Q1344" s="84"/>
      <c r="R1344" s="84"/>
      <c r="S1344" s="84"/>
      <c r="T1344" s="84"/>
      <c r="U1344" s="84"/>
      <c r="V1344" s="84"/>
      <c r="W1344" s="84"/>
      <c r="X1344" s="84"/>
      <c r="Y1344" s="84"/>
      <c r="Z1344" s="87"/>
      <c r="AA1344" s="87"/>
      <c r="AB1344" s="87"/>
      <c r="AC1344" s="87"/>
      <c r="AD1344" s="87"/>
      <c r="AE1344" s="87"/>
      <c r="AF1344" s="87"/>
      <c r="AG1344" s="87"/>
      <c r="AH1344" s="87"/>
      <c r="AI1344" s="87"/>
      <c r="AJ1344" s="87"/>
      <c r="AK1344" s="87"/>
      <c r="AL1344" s="87"/>
      <c r="AM1344" s="87"/>
      <c r="AN1344" s="87"/>
      <c r="AO1344" s="87"/>
      <c r="AP1344" s="87"/>
      <c r="AQ1344" s="87"/>
      <c r="AR1344" s="87"/>
      <c r="AS1344" s="87"/>
      <c r="AT1344" s="87"/>
      <c r="AU1344" s="87"/>
      <c r="AV1344" s="87"/>
      <c r="AW1344" s="87"/>
      <c r="AX1344" s="87"/>
      <c r="AY1344" s="87"/>
      <c r="AZ1344" s="87"/>
      <c r="BA1344" s="87"/>
      <c r="BB1344" s="87"/>
      <c r="BC1344" s="87"/>
      <c r="BD1344" s="87"/>
      <c r="BE1344" s="87"/>
      <c r="BF1344" s="87"/>
      <c r="BG1344" s="87"/>
      <c r="BH1344" s="87"/>
    </row>
    <row r="1345" spans="1:60" ht="16">
      <c r="A1345" s="82"/>
      <c r="B1345" s="82"/>
      <c r="C1345" s="82"/>
      <c r="D1345" s="83"/>
      <c r="E1345" s="84"/>
      <c r="F1345" s="84"/>
      <c r="G1345" s="84"/>
      <c r="H1345" s="82"/>
      <c r="I1345" s="84"/>
      <c r="J1345" s="84"/>
      <c r="K1345" s="84"/>
      <c r="L1345" s="84"/>
      <c r="M1345" s="84"/>
      <c r="N1345" s="84"/>
      <c r="O1345" s="84"/>
      <c r="P1345" s="84"/>
      <c r="Q1345" s="84"/>
      <c r="R1345" s="84"/>
      <c r="S1345" s="84"/>
      <c r="T1345" s="84"/>
      <c r="U1345" s="84"/>
      <c r="V1345" s="84"/>
      <c r="W1345" s="84"/>
      <c r="X1345" s="84"/>
      <c r="Y1345" s="84"/>
      <c r="Z1345" s="87"/>
      <c r="AA1345" s="87"/>
      <c r="AB1345" s="87"/>
      <c r="AC1345" s="87"/>
      <c r="AD1345" s="87"/>
      <c r="AE1345" s="87"/>
      <c r="AF1345" s="87"/>
      <c r="AG1345" s="87"/>
      <c r="AH1345" s="87"/>
      <c r="AI1345" s="87"/>
      <c r="AJ1345" s="87"/>
      <c r="AK1345" s="87"/>
      <c r="AL1345" s="87"/>
      <c r="AM1345" s="87"/>
      <c r="AN1345" s="87"/>
      <c r="AO1345" s="87"/>
      <c r="AP1345" s="87"/>
      <c r="AQ1345" s="87"/>
      <c r="AR1345" s="87"/>
      <c r="AS1345" s="87"/>
      <c r="AT1345" s="87"/>
      <c r="AU1345" s="87"/>
      <c r="AV1345" s="87"/>
      <c r="AW1345" s="87"/>
      <c r="AX1345" s="87"/>
      <c r="AY1345" s="87"/>
      <c r="AZ1345" s="87"/>
      <c r="BA1345" s="87"/>
      <c r="BB1345" s="87"/>
      <c r="BC1345" s="87"/>
      <c r="BD1345" s="87"/>
      <c r="BE1345" s="87"/>
      <c r="BF1345" s="87"/>
      <c r="BG1345" s="87"/>
      <c r="BH1345" s="87"/>
    </row>
    <row r="1346" spans="1:60" ht="16">
      <c r="A1346" s="82"/>
      <c r="B1346" s="82"/>
      <c r="C1346" s="82"/>
      <c r="D1346" s="83"/>
      <c r="E1346" s="84"/>
      <c r="F1346" s="84"/>
      <c r="G1346" s="84"/>
      <c r="H1346" s="82"/>
      <c r="I1346" s="84"/>
      <c r="J1346" s="84"/>
      <c r="K1346" s="84"/>
      <c r="L1346" s="84"/>
      <c r="M1346" s="84"/>
      <c r="N1346" s="84"/>
      <c r="O1346" s="84"/>
      <c r="P1346" s="84"/>
      <c r="Q1346" s="84"/>
      <c r="R1346" s="84"/>
      <c r="S1346" s="84"/>
      <c r="T1346" s="84"/>
      <c r="U1346" s="84"/>
      <c r="V1346" s="84"/>
      <c r="W1346" s="84"/>
      <c r="X1346" s="84"/>
      <c r="Y1346" s="84"/>
      <c r="Z1346" s="87"/>
      <c r="AA1346" s="87"/>
      <c r="AB1346" s="87"/>
      <c r="AC1346" s="87"/>
      <c r="AD1346" s="87"/>
      <c r="AE1346" s="87"/>
      <c r="AF1346" s="87"/>
      <c r="AG1346" s="87"/>
      <c r="AH1346" s="87"/>
      <c r="AI1346" s="87"/>
      <c r="AJ1346" s="87"/>
      <c r="AK1346" s="87"/>
      <c r="AL1346" s="87"/>
      <c r="AM1346" s="87"/>
      <c r="AN1346" s="87"/>
      <c r="AO1346" s="87"/>
      <c r="AP1346" s="87"/>
      <c r="AQ1346" s="87"/>
      <c r="AR1346" s="87"/>
      <c r="AS1346" s="87"/>
      <c r="AT1346" s="87"/>
      <c r="AU1346" s="87"/>
      <c r="AV1346" s="87"/>
      <c r="AW1346" s="87"/>
      <c r="AX1346" s="87"/>
      <c r="AY1346" s="87"/>
      <c r="AZ1346" s="87"/>
      <c r="BA1346" s="87"/>
      <c r="BB1346" s="87"/>
      <c r="BC1346" s="87"/>
      <c r="BD1346" s="87"/>
      <c r="BE1346" s="87"/>
      <c r="BF1346" s="87"/>
      <c r="BG1346" s="87"/>
      <c r="BH1346" s="87"/>
    </row>
    <row r="1347" spans="1:60" ht="16">
      <c r="A1347" s="82"/>
      <c r="B1347" s="82"/>
      <c r="C1347" s="82"/>
      <c r="D1347" s="83"/>
      <c r="E1347" s="84"/>
      <c r="F1347" s="84"/>
      <c r="G1347" s="84"/>
      <c r="H1347" s="82"/>
      <c r="I1347" s="84"/>
      <c r="J1347" s="84"/>
      <c r="K1347" s="84"/>
      <c r="L1347" s="84"/>
      <c r="M1347" s="84"/>
      <c r="N1347" s="84"/>
      <c r="O1347" s="84"/>
      <c r="P1347" s="84"/>
      <c r="Q1347" s="84"/>
      <c r="R1347" s="84"/>
      <c r="S1347" s="84"/>
      <c r="T1347" s="84"/>
      <c r="U1347" s="84"/>
      <c r="V1347" s="84"/>
      <c r="W1347" s="84"/>
      <c r="X1347" s="84"/>
      <c r="Y1347" s="84"/>
      <c r="Z1347" s="87"/>
      <c r="AA1347" s="87"/>
      <c r="AB1347" s="87"/>
      <c r="AC1347" s="87"/>
      <c r="AD1347" s="87"/>
      <c r="AE1347" s="87"/>
      <c r="AF1347" s="87"/>
      <c r="AG1347" s="87"/>
      <c r="AH1347" s="87"/>
      <c r="AI1347" s="87"/>
      <c r="AJ1347" s="87"/>
      <c r="AK1347" s="87"/>
      <c r="AL1347" s="87"/>
      <c r="AM1347" s="87"/>
      <c r="AN1347" s="87"/>
      <c r="AO1347" s="87"/>
      <c r="AP1347" s="87"/>
      <c r="AQ1347" s="87"/>
      <c r="AR1347" s="87"/>
      <c r="AS1347" s="87"/>
      <c r="AT1347" s="87"/>
      <c r="AU1347" s="87"/>
      <c r="AV1347" s="87"/>
      <c r="AW1347" s="87"/>
      <c r="AX1347" s="87"/>
      <c r="AY1347" s="87"/>
      <c r="AZ1347" s="87"/>
      <c r="BA1347" s="87"/>
      <c r="BB1347" s="87"/>
      <c r="BC1347" s="87"/>
      <c r="BD1347" s="87"/>
      <c r="BE1347" s="87"/>
      <c r="BF1347" s="87"/>
      <c r="BG1347" s="87"/>
      <c r="BH1347" s="87"/>
    </row>
    <row r="1348" spans="1:60" ht="16">
      <c r="A1348" s="82"/>
      <c r="B1348" s="82"/>
      <c r="C1348" s="82"/>
      <c r="D1348" s="83"/>
      <c r="E1348" s="84"/>
      <c r="F1348" s="84"/>
      <c r="G1348" s="84"/>
      <c r="H1348" s="82"/>
      <c r="I1348" s="84"/>
      <c r="J1348" s="84"/>
      <c r="K1348" s="84"/>
      <c r="L1348" s="84"/>
      <c r="M1348" s="84"/>
      <c r="N1348" s="84"/>
      <c r="O1348" s="84"/>
      <c r="P1348" s="84"/>
      <c r="Q1348" s="84"/>
      <c r="R1348" s="84"/>
      <c r="S1348" s="84"/>
      <c r="T1348" s="84"/>
      <c r="U1348" s="84"/>
      <c r="V1348" s="84"/>
      <c r="W1348" s="84"/>
      <c r="X1348" s="84"/>
      <c r="Y1348" s="84"/>
      <c r="Z1348" s="87"/>
      <c r="AA1348" s="87"/>
      <c r="AB1348" s="87"/>
      <c r="AC1348" s="87"/>
      <c r="AD1348" s="87"/>
      <c r="AE1348" s="87"/>
      <c r="AF1348" s="87"/>
      <c r="AG1348" s="87"/>
      <c r="AH1348" s="87"/>
      <c r="AI1348" s="87"/>
      <c r="AJ1348" s="87"/>
      <c r="AK1348" s="87"/>
      <c r="AL1348" s="87"/>
      <c r="AM1348" s="87"/>
      <c r="AN1348" s="87"/>
      <c r="AO1348" s="87"/>
      <c r="AP1348" s="87"/>
      <c r="AQ1348" s="87"/>
      <c r="AR1348" s="87"/>
      <c r="AS1348" s="87"/>
      <c r="AT1348" s="87"/>
      <c r="AU1348" s="87"/>
      <c r="AV1348" s="87"/>
      <c r="AW1348" s="87"/>
      <c r="AX1348" s="87"/>
      <c r="AY1348" s="87"/>
      <c r="AZ1348" s="87"/>
      <c r="BA1348" s="87"/>
      <c r="BB1348" s="87"/>
      <c r="BC1348" s="87"/>
      <c r="BD1348" s="87"/>
      <c r="BE1348" s="87"/>
      <c r="BF1348" s="87"/>
      <c r="BG1348" s="87"/>
      <c r="BH1348" s="87"/>
    </row>
    <row r="1349" spans="1:60" ht="16">
      <c r="A1349" s="82"/>
      <c r="B1349" s="82"/>
      <c r="C1349" s="82"/>
      <c r="D1349" s="83"/>
      <c r="E1349" s="84"/>
      <c r="F1349" s="84"/>
      <c r="G1349" s="84"/>
      <c r="H1349" s="82"/>
      <c r="I1349" s="84"/>
      <c r="J1349" s="84"/>
      <c r="K1349" s="84"/>
      <c r="L1349" s="84"/>
      <c r="M1349" s="84"/>
      <c r="N1349" s="84"/>
      <c r="O1349" s="84"/>
      <c r="P1349" s="84"/>
      <c r="Q1349" s="84"/>
      <c r="R1349" s="84"/>
      <c r="S1349" s="84"/>
      <c r="T1349" s="84"/>
      <c r="U1349" s="84"/>
      <c r="V1349" s="84"/>
      <c r="W1349" s="84"/>
      <c r="X1349" s="84"/>
      <c r="Y1349" s="84"/>
      <c r="Z1349" s="87"/>
      <c r="AA1349" s="87"/>
      <c r="AB1349" s="87"/>
      <c r="AC1349" s="87"/>
      <c r="AD1349" s="87"/>
      <c r="AE1349" s="87"/>
      <c r="AF1349" s="87"/>
      <c r="AG1349" s="87"/>
      <c r="AH1349" s="87"/>
      <c r="AI1349" s="87"/>
      <c r="AJ1349" s="87"/>
      <c r="AK1349" s="87"/>
      <c r="AL1349" s="87"/>
      <c r="AM1349" s="87"/>
      <c r="AN1349" s="87"/>
      <c r="AO1349" s="87"/>
      <c r="AP1349" s="87"/>
      <c r="AQ1349" s="87"/>
      <c r="AR1349" s="87"/>
      <c r="AS1349" s="87"/>
      <c r="AT1349" s="87"/>
      <c r="AU1349" s="87"/>
      <c r="AV1349" s="87"/>
      <c r="AW1349" s="87"/>
      <c r="AX1349" s="87"/>
      <c r="AY1349" s="87"/>
      <c r="AZ1349" s="87"/>
      <c r="BA1349" s="87"/>
      <c r="BB1349" s="87"/>
      <c r="BC1349" s="87"/>
      <c r="BD1349" s="87"/>
      <c r="BE1349" s="87"/>
      <c r="BF1349" s="87"/>
      <c r="BG1349" s="87"/>
      <c r="BH1349" s="87"/>
    </row>
    <row r="1350" spans="1:60" ht="16">
      <c r="A1350" s="82"/>
      <c r="B1350" s="82"/>
      <c r="C1350" s="82"/>
      <c r="D1350" s="83"/>
      <c r="E1350" s="84"/>
      <c r="F1350" s="84"/>
      <c r="G1350" s="84"/>
      <c r="H1350" s="82"/>
      <c r="I1350" s="84"/>
      <c r="J1350" s="84"/>
      <c r="K1350" s="84"/>
      <c r="L1350" s="84"/>
      <c r="M1350" s="84"/>
      <c r="N1350" s="84"/>
      <c r="O1350" s="84"/>
      <c r="P1350" s="84"/>
      <c r="Q1350" s="84"/>
      <c r="R1350" s="84"/>
      <c r="S1350" s="84"/>
      <c r="T1350" s="84"/>
      <c r="U1350" s="84"/>
      <c r="V1350" s="84"/>
      <c r="W1350" s="84"/>
      <c r="X1350" s="84"/>
      <c r="Y1350" s="84"/>
      <c r="Z1350" s="87"/>
      <c r="AA1350" s="87"/>
      <c r="AB1350" s="87"/>
      <c r="AC1350" s="87"/>
      <c r="AD1350" s="87"/>
      <c r="AE1350" s="87"/>
      <c r="AF1350" s="87"/>
      <c r="AG1350" s="87"/>
      <c r="AH1350" s="87"/>
      <c r="AI1350" s="87"/>
      <c r="AJ1350" s="87"/>
      <c r="AK1350" s="87"/>
      <c r="AL1350" s="87"/>
      <c r="AM1350" s="87"/>
      <c r="AN1350" s="87"/>
      <c r="AO1350" s="87"/>
      <c r="AP1350" s="87"/>
      <c r="AQ1350" s="87"/>
      <c r="AR1350" s="87"/>
      <c r="AS1350" s="87"/>
      <c r="AT1350" s="87"/>
      <c r="AU1350" s="87"/>
      <c r="AV1350" s="87"/>
      <c r="AW1350" s="87"/>
      <c r="AX1350" s="87"/>
      <c r="AY1350" s="87"/>
      <c r="AZ1350" s="87"/>
      <c r="BA1350" s="87"/>
      <c r="BB1350" s="87"/>
      <c r="BC1350" s="87"/>
      <c r="BD1350" s="87"/>
      <c r="BE1350" s="87"/>
      <c r="BF1350" s="87"/>
      <c r="BG1350" s="87"/>
      <c r="BH1350" s="87"/>
    </row>
    <row r="1351" spans="1:60" ht="16">
      <c r="A1351" s="82"/>
      <c r="B1351" s="82"/>
      <c r="C1351" s="82"/>
      <c r="D1351" s="83"/>
      <c r="E1351" s="84"/>
      <c r="F1351" s="84"/>
      <c r="G1351" s="84"/>
      <c r="H1351" s="82"/>
      <c r="I1351" s="84"/>
      <c r="J1351" s="84"/>
      <c r="K1351" s="84"/>
      <c r="L1351" s="84"/>
      <c r="M1351" s="84"/>
      <c r="N1351" s="84"/>
      <c r="O1351" s="84"/>
      <c r="P1351" s="84"/>
      <c r="Q1351" s="84"/>
      <c r="R1351" s="84"/>
      <c r="S1351" s="84"/>
      <c r="T1351" s="84"/>
      <c r="U1351" s="84"/>
      <c r="V1351" s="84"/>
      <c r="W1351" s="84"/>
      <c r="X1351" s="84"/>
      <c r="Y1351" s="84"/>
      <c r="Z1351" s="87"/>
      <c r="AA1351" s="87"/>
      <c r="AB1351" s="87"/>
      <c r="AC1351" s="87"/>
      <c r="AD1351" s="87"/>
      <c r="AE1351" s="87"/>
      <c r="AF1351" s="87"/>
      <c r="AG1351" s="87"/>
      <c r="AH1351" s="87"/>
      <c r="AI1351" s="87"/>
      <c r="AJ1351" s="87"/>
      <c r="AK1351" s="87"/>
      <c r="AL1351" s="87"/>
      <c r="AM1351" s="87"/>
      <c r="AN1351" s="87"/>
      <c r="AO1351" s="87"/>
      <c r="AP1351" s="87"/>
      <c r="AQ1351" s="87"/>
      <c r="AR1351" s="87"/>
      <c r="AS1351" s="87"/>
      <c r="AT1351" s="87"/>
      <c r="AU1351" s="87"/>
      <c r="AV1351" s="87"/>
      <c r="AW1351" s="87"/>
      <c r="AX1351" s="87"/>
      <c r="AY1351" s="87"/>
      <c r="AZ1351" s="87"/>
      <c r="BA1351" s="87"/>
      <c r="BB1351" s="87"/>
      <c r="BC1351" s="87"/>
      <c r="BD1351" s="87"/>
      <c r="BE1351" s="87"/>
      <c r="BF1351" s="87"/>
      <c r="BG1351" s="87"/>
      <c r="BH1351" s="87"/>
    </row>
    <row r="1352" spans="1:60" ht="16">
      <c r="A1352" s="82"/>
      <c r="B1352" s="82"/>
      <c r="C1352" s="82"/>
      <c r="D1352" s="83"/>
      <c r="E1352" s="84"/>
      <c r="F1352" s="84"/>
      <c r="G1352" s="84"/>
      <c r="H1352" s="82"/>
      <c r="I1352" s="84"/>
      <c r="J1352" s="84"/>
      <c r="K1352" s="84"/>
      <c r="L1352" s="84"/>
      <c r="M1352" s="84"/>
      <c r="N1352" s="84"/>
      <c r="O1352" s="84"/>
      <c r="P1352" s="84"/>
      <c r="Q1352" s="84"/>
      <c r="R1352" s="84"/>
      <c r="S1352" s="84"/>
      <c r="T1352" s="84"/>
      <c r="U1352" s="84"/>
      <c r="V1352" s="84"/>
      <c r="W1352" s="84"/>
      <c r="X1352" s="84"/>
      <c r="Y1352" s="84"/>
      <c r="Z1352" s="87"/>
      <c r="AA1352" s="87"/>
      <c r="AB1352" s="87"/>
      <c r="AC1352" s="87"/>
      <c r="AD1352" s="87"/>
      <c r="AE1352" s="87"/>
      <c r="AF1352" s="87"/>
      <c r="AG1352" s="87"/>
      <c r="AH1352" s="87"/>
      <c r="AI1352" s="87"/>
      <c r="AJ1352" s="87"/>
      <c r="AK1352" s="87"/>
      <c r="AL1352" s="87"/>
      <c r="AM1352" s="87"/>
      <c r="AN1352" s="87"/>
      <c r="AO1352" s="87"/>
      <c r="AP1352" s="87"/>
      <c r="AQ1352" s="87"/>
      <c r="AR1352" s="87"/>
      <c r="AS1352" s="87"/>
      <c r="AT1352" s="87"/>
      <c r="AU1352" s="87"/>
      <c r="AV1352" s="87"/>
      <c r="AW1352" s="87"/>
      <c r="AX1352" s="87"/>
      <c r="AY1352" s="87"/>
      <c r="AZ1352" s="87"/>
      <c r="BA1352" s="87"/>
      <c r="BB1352" s="87"/>
      <c r="BC1352" s="87"/>
      <c r="BD1352" s="87"/>
      <c r="BE1352" s="87"/>
      <c r="BF1352" s="87"/>
      <c r="BG1352" s="87"/>
      <c r="BH1352" s="87"/>
    </row>
    <row r="1353" spans="1:60" ht="16">
      <c r="A1353" s="82"/>
      <c r="B1353" s="82"/>
      <c r="C1353" s="82"/>
      <c r="D1353" s="83"/>
      <c r="E1353" s="84"/>
      <c r="F1353" s="84"/>
      <c r="G1353" s="84"/>
      <c r="H1353" s="82"/>
      <c r="I1353" s="84"/>
      <c r="J1353" s="84"/>
      <c r="K1353" s="84"/>
      <c r="L1353" s="84"/>
      <c r="M1353" s="84"/>
      <c r="N1353" s="84"/>
      <c r="O1353" s="84"/>
      <c r="P1353" s="84"/>
      <c r="Q1353" s="84"/>
      <c r="R1353" s="84"/>
      <c r="S1353" s="84"/>
      <c r="T1353" s="84"/>
      <c r="U1353" s="84"/>
      <c r="V1353" s="84"/>
      <c r="W1353" s="84"/>
      <c r="X1353" s="84"/>
      <c r="Y1353" s="84"/>
      <c r="Z1353" s="87"/>
      <c r="AA1353" s="87"/>
      <c r="AB1353" s="87"/>
      <c r="AC1353" s="87"/>
      <c r="AD1353" s="87"/>
      <c r="AE1353" s="87"/>
      <c r="AF1353" s="87"/>
      <c r="AG1353" s="87"/>
      <c r="AH1353" s="87"/>
      <c r="AI1353" s="87"/>
      <c r="AJ1353" s="87"/>
      <c r="AK1353" s="87"/>
      <c r="AL1353" s="87"/>
      <c r="AM1353" s="87"/>
      <c r="AN1353" s="87"/>
      <c r="AO1353" s="87"/>
      <c r="AP1353" s="87"/>
      <c r="AQ1353" s="87"/>
      <c r="AR1353" s="87"/>
      <c r="AS1353" s="87"/>
      <c r="AT1353" s="87"/>
      <c r="AU1353" s="87"/>
      <c r="AV1353" s="87"/>
      <c r="AW1353" s="87"/>
      <c r="AX1353" s="87"/>
      <c r="AY1353" s="87"/>
      <c r="AZ1353" s="87"/>
      <c r="BA1353" s="87"/>
      <c r="BB1353" s="87"/>
      <c r="BC1353" s="87"/>
      <c r="BD1353" s="87"/>
      <c r="BE1353" s="87"/>
      <c r="BF1353" s="87"/>
      <c r="BG1353" s="87"/>
      <c r="BH1353" s="87"/>
    </row>
    <row r="1354" spans="1:60" ht="16">
      <c r="A1354" s="82"/>
      <c r="B1354" s="82"/>
      <c r="C1354" s="82"/>
      <c r="D1354" s="83"/>
      <c r="E1354" s="84"/>
      <c r="F1354" s="84"/>
      <c r="G1354" s="84"/>
      <c r="H1354" s="82"/>
      <c r="I1354" s="84"/>
      <c r="J1354" s="84"/>
      <c r="K1354" s="84"/>
      <c r="L1354" s="84"/>
      <c r="M1354" s="84"/>
      <c r="N1354" s="84"/>
      <c r="O1354" s="84"/>
      <c r="P1354" s="84"/>
      <c r="Q1354" s="84"/>
      <c r="R1354" s="84"/>
      <c r="S1354" s="84"/>
      <c r="T1354" s="84"/>
      <c r="U1354" s="84"/>
      <c r="V1354" s="84"/>
      <c r="W1354" s="84"/>
      <c r="X1354" s="84"/>
      <c r="Y1354" s="84"/>
      <c r="Z1354" s="87"/>
      <c r="AA1354" s="87"/>
      <c r="AB1354" s="87"/>
      <c r="AC1354" s="87"/>
      <c r="AD1354" s="87"/>
      <c r="AE1354" s="87"/>
      <c r="AF1354" s="87"/>
      <c r="AG1354" s="87"/>
      <c r="AH1354" s="87"/>
      <c r="AI1354" s="87"/>
      <c r="AJ1354" s="87"/>
      <c r="AK1354" s="87"/>
      <c r="AL1354" s="87"/>
      <c r="AM1354" s="87"/>
      <c r="AN1354" s="87"/>
      <c r="AO1354" s="87"/>
      <c r="AP1354" s="87"/>
      <c r="AQ1354" s="87"/>
      <c r="AR1354" s="87"/>
      <c r="AS1354" s="87"/>
      <c r="AT1354" s="87"/>
      <c r="AU1354" s="87"/>
      <c r="AV1354" s="87"/>
      <c r="AW1354" s="87"/>
      <c r="AX1354" s="87"/>
      <c r="AY1354" s="87"/>
      <c r="AZ1354" s="87"/>
      <c r="BA1354" s="87"/>
      <c r="BB1354" s="87"/>
      <c r="BC1354" s="87"/>
      <c r="BD1354" s="87"/>
      <c r="BE1354" s="87"/>
      <c r="BF1354" s="87"/>
      <c r="BG1354" s="87"/>
      <c r="BH1354" s="87"/>
    </row>
    <row r="1355" spans="1:60" ht="16">
      <c r="A1355" s="82"/>
      <c r="B1355" s="82"/>
      <c r="C1355" s="82"/>
      <c r="D1355" s="83"/>
      <c r="E1355" s="84"/>
      <c r="F1355" s="84"/>
      <c r="G1355" s="84"/>
      <c r="H1355" s="82"/>
      <c r="I1355" s="84"/>
      <c r="J1355" s="84"/>
      <c r="K1355" s="84"/>
      <c r="L1355" s="84"/>
      <c r="M1355" s="84"/>
      <c r="N1355" s="84"/>
      <c r="O1355" s="84"/>
      <c r="P1355" s="84"/>
      <c r="Q1355" s="84"/>
      <c r="R1355" s="84"/>
      <c r="S1355" s="84"/>
      <c r="T1355" s="84"/>
      <c r="U1355" s="84"/>
      <c r="V1355" s="84"/>
      <c r="W1355" s="84"/>
      <c r="X1355" s="84"/>
      <c r="Y1355" s="84"/>
      <c r="Z1355" s="87"/>
      <c r="AA1355" s="87"/>
      <c r="AB1355" s="87"/>
      <c r="AC1355" s="87"/>
      <c r="AD1355" s="87"/>
      <c r="AE1355" s="87"/>
      <c r="AF1355" s="87"/>
      <c r="AG1355" s="87"/>
      <c r="AH1355" s="87"/>
      <c r="AI1355" s="87"/>
      <c r="AJ1355" s="87"/>
      <c r="AK1355" s="87"/>
      <c r="AL1355" s="87"/>
      <c r="AM1355" s="87"/>
      <c r="AN1355" s="87"/>
      <c r="AO1355" s="87"/>
      <c r="AP1355" s="87"/>
      <c r="AQ1355" s="87"/>
      <c r="AR1355" s="87"/>
      <c r="AS1355" s="87"/>
      <c r="AT1355" s="87"/>
      <c r="AU1355" s="87"/>
      <c r="AV1355" s="87"/>
      <c r="AW1355" s="87"/>
      <c r="AX1355" s="87"/>
      <c r="AY1355" s="87"/>
      <c r="AZ1355" s="87"/>
      <c r="BA1355" s="87"/>
      <c r="BB1355" s="87"/>
      <c r="BC1355" s="87"/>
      <c r="BD1355" s="87"/>
      <c r="BE1355" s="87"/>
      <c r="BF1355" s="87"/>
      <c r="BG1355" s="87"/>
      <c r="BH1355" s="87"/>
    </row>
    <row r="1356" spans="1:60" ht="16">
      <c r="A1356" s="82"/>
      <c r="B1356" s="82"/>
      <c r="C1356" s="82"/>
      <c r="D1356" s="83"/>
      <c r="E1356" s="84"/>
      <c r="F1356" s="84"/>
      <c r="G1356" s="84"/>
      <c r="H1356" s="82"/>
      <c r="I1356" s="84"/>
      <c r="J1356" s="84"/>
      <c r="K1356" s="84"/>
      <c r="L1356" s="84"/>
      <c r="M1356" s="84"/>
      <c r="N1356" s="84"/>
      <c r="O1356" s="84"/>
      <c r="P1356" s="84"/>
      <c r="Q1356" s="84"/>
      <c r="R1356" s="84"/>
      <c r="S1356" s="84"/>
      <c r="T1356" s="84"/>
      <c r="U1356" s="84"/>
      <c r="V1356" s="84"/>
      <c r="W1356" s="84"/>
      <c r="X1356" s="84"/>
      <c r="Y1356" s="84"/>
      <c r="Z1356" s="87"/>
      <c r="AA1356" s="87"/>
      <c r="AB1356" s="87"/>
      <c r="AC1356" s="87"/>
      <c r="AD1356" s="87"/>
      <c r="AE1356" s="87"/>
      <c r="AF1356" s="87"/>
      <c r="AG1356" s="87"/>
      <c r="AH1356" s="87"/>
      <c r="AI1356" s="87"/>
      <c r="AJ1356" s="87"/>
      <c r="AK1356" s="87"/>
      <c r="AL1356" s="87"/>
      <c r="AM1356" s="87"/>
      <c r="AN1356" s="87"/>
      <c r="AO1356" s="87"/>
      <c r="AP1356" s="87"/>
      <c r="AQ1356" s="87"/>
      <c r="AR1356" s="87"/>
      <c r="AS1356" s="87"/>
      <c r="AT1356" s="87"/>
      <c r="AU1356" s="87"/>
      <c r="AV1356" s="87"/>
      <c r="AW1356" s="87"/>
      <c r="AX1356" s="87"/>
      <c r="AY1356" s="87"/>
      <c r="AZ1356" s="87"/>
      <c r="BA1356" s="87"/>
      <c r="BB1356" s="87"/>
      <c r="BC1356" s="87"/>
      <c r="BD1356" s="87"/>
      <c r="BE1356" s="87"/>
      <c r="BF1356" s="87"/>
      <c r="BG1356" s="87"/>
      <c r="BH1356" s="87"/>
    </row>
    <row r="1357" spans="1:60" ht="16">
      <c r="A1357" s="82"/>
      <c r="B1357" s="82"/>
      <c r="C1357" s="82"/>
      <c r="D1357" s="83"/>
      <c r="E1357" s="84"/>
      <c r="F1357" s="84"/>
      <c r="G1357" s="84"/>
      <c r="H1357" s="82"/>
      <c r="I1357" s="84"/>
      <c r="J1357" s="84"/>
      <c r="K1357" s="84"/>
      <c r="L1357" s="84"/>
      <c r="M1357" s="84"/>
      <c r="N1357" s="84"/>
      <c r="O1357" s="84"/>
      <c r="P1357" s="84"/>
      <c r="Q1357" s="84"/>
      <c r="R1357" s="84"/>
      <c r="S1357" s="84"/>
      <c r="T1357" s="84"/>
      <c r="U1357" s="84"/>
      <c r="V1357" s="84"/>
      <c r="W1357" s="84"/>
      <c r="X1357" s="84"/>
      <c r="Y1357" s="84"/>
      <c r="Z1357" s="87"/>
      <c r="AA1357" s="87"/>
      <c r="AB1357" s="87"/>
      <c r="AC1357" s="87"/>
      <c r="AD1357" s="87"/>
      <c r="AE1357" s="87"/>
      <c r="AF1357" s="87"/>
      <c r="AG1357" s="87"/>
      <c r="AH1357" s="87"/>
      <c r="AI1357" s="87"/>
      <c r="AJ1357" s="87"/>
      <c r="AK1357" s="87"/>
      <c r="AL1357" s="87"/>
      <c r="AM1357" s="87"/>
      <c r="AN1357" s="87"/>
      <c r="AO1357" s="87"/>
      <c r="AP1357" s="87"/>
      <c r="AQ1357" s="87"/>
      <c r="AR1357" s="87"/>
      <c r="AS1357" s="87"/>
      <c r="AT1357" s="87"/>
      <c r="AU1357" s="87"/>
      <c r="AV1357" s="87"/>
      <c r="AW1357" s="87"/>
      <c r="AX1357" s="87"/>
      <c r="AY1357" s="87"/>
      <c r="AZ1357" s="87"/>
      <c r="BA1357" s="87"/>
      <c r="BB1357" s="87"/>
      <c r="BC1357" s="87"/>
      <c r="BD1357" s="87"/>
      <c r="BE1357" s="87"/>
      <c r="BF1357" s="87"/>
      <c r="BG1357" s="87"/>
      <c r="BH1357" s="87"/>
    </row>
    <row r="1358" spans="1:60" ht="16">
      <c r="A1358" s="82"/>
      <c r="B1358" s="82"/>
      <c r="C1358" s="82"/>
      <c r="D1358" s="83"/>
      <c r="E1358" s="84"/>
      <c r="F1358" s="84"/>
      <c r="G1358" s="84"/>
      <c r="H1358" s="82"/>
      <c r="I1358" s="84"/>
      <c r="J1358" s="84"/>
      <c r="K1358" s="84"/>
      <c r="L1358" s="84"/>
      <c r="M1358" s="84"/>
      <c r="N1358" s="84"/>
      <c r="O1358" s="84"/>
      <c r="P1358" s="84"/>
      <c r="Q1358" s="84"/>
      <c r="R1358" s="84"/>
      <c r="S1358" s="84"/>
      <c r="T1358" s="84"/>
      <c r="U1358" s="84"/>
      <c r="V1358" s="84"/>
      <c r="W1358" s="84"/>
      <c r="X1358" s="84"/>
      <c r="Y1358" s="84"/>
      <c r="Z1358" s="87"/>
      <c r="AA1358" s="87"/>
      <c r="AB1358" s="87"/>
      <c r="AC1358" s="87"/>
      <c r="AD1358" s="87"/>
      <c r="AE1358" s="87"/>
      <c r="AF1358" s="87"/>
      <c r="AG1358" s="87"/>
      <c r="AH1358" s="87"/>
      <c r="AI1358" s="87"/>
      <c r="AJ1358" s="87"/>
      <c r="AK1358" s="87"/>
      <c r="AL1358" s="87"/>
      <c r="AM1358" s="87"/>
      <c r="AN1358" s="87"/>
      <c r="AO1358" s="87"/>
      <c r="AP1358" s="87"/>
      <c r="AQ1358" s="87"/>
      <c r="AR1358" s="87"/>
      <c r="AS1358" s="87"/>
      <c r="AT1358" s="87"/>
      <c r="AU1358" s="87"/>
      <c r="AV1358" s="87"/>
      <c r="AW1358" s="87"/>
      <c r="AX1358" s="87"/>
      <c r="AY1358" s="87"/>
      <c r="AZ1358" s="87"/>
      <c r="BA1358" s="87"/>
      <c r="BB1358" s="87"/>
      <c r="BC1358" s="87"/>
      <c r="BD1358" s="87"/>
      <c r="BE1358" s="87"/>
      <c r="BF1358" s="87"/>
      <c r="BG1358" s="87"/>
      <c r="BH1358" s="87"/>
    </row>
    <row r="1359" spans="1:60" ht="16">
      <c r="A1359" s="82"/>
      <c r="B1359" s="82"/>
      <c r="C1359" s="82"/>
      <c r="D1359" s="83"/>
      <c r="E1359" s="84"/>
      <c r="F1359" s="84"/>
      <c r="G1359" s="84"/>
      <c r="H1359" s="82"/>
      <c r="I1359" s="84"/>
      <c r="J1359" s="84"/>
      <c r="K1359" s="84"/>
      <c r="L1359" s="84"/>
      <c r="M1359" s="84"/>
      <c r="N1359" s="84"/>
      <c r="O1359" s="84"/>
      <c r="P1359" s="84"/>
      <c r="Q1359" s="84"/>
      <c r="R1359" s="84"/>
      <c r="S1359" s="84"/>
      <c r="T1359" s="84"/>
      <c r="U1359" s="84"/>
      <c r="V1359" s="84"/>
      <c r="W1359" s="84"/>
      <c r="X1359" s="84"/>
      <c r="Y1359" s="84"/>
      <c r="Z1359" s="87"/>
      <c r="AA1359" s="87"/>
      <c r="AB1359" s="87"/>
      <c r="AC1359" s="87"/>
      <c r="AD1359" s="87"/>
      <c r="AE1359" s="87"/>
      <c r="AF1359" s="87"/>
      <c r="AG1359" s="87"/>
      <c r="AH1359" s="87"/>
      <c r="AI1359" s="87"/>
      <c r="AJ1359" s="87"/>
      <c r="AK1359" s="87"/>
      <c r="AL1359" s="87"/>
      <c r="AM1359" s="87"/>
      <c r="AN1359" s="87"/>
      <c r="AO1359" s="87"/>
      <c r="AP1359" s="87"/>
      <c r="AQ1359" s="87"/>
      <c r="AR1359" s="87"/>
      <c r="AS1359" s="87"/>
      <c r="AT1359" s="87"/>
      <c r="AU1359" s="87"/>
      <c r="AV1359" s="87"/>
      <c r="AW1359" s="87"/>
      <c r="AX1359" s="87"/>
      <c r="AY1359" s="87"/>
      <c r="AZ1359" s="87"/>
      <c r="BA1359" s="87"/>
      <c r="BB1359" s="87"/>
      <c r="BC1359" s="87"/>
      <c r="BD1359" s="87"/>
      <c r="BE1359" s="87"/>
      <c r="BF1359" s="87"/>
      <c r="BG1359" s="87"/>
      <c r="BH1359" s="87"/>
    </row>
    <row r="1360" spans="1:60" ht="16">
      <c r="A1360" s="82"/>
      <c r="B1360" s="82"/>
      <c r="C1360" s="82"/>
      <c r="D1360" s="83"/>
      <c r="E1360" s="84"/>
      <c r="F1360" s="84"/>
      <c r="G1360" s="84"/>
      <c r="H1360" s="82"/>
      <c r="I1360" s="84"/>
      <c r="J1360" s="84"/>
      <c r="K1360" s="84"/>
      <c r="L1360" s="84"/>
      <c r="M1360" s="84"/>
      <c r="N1360" s="84"/>
      <c r="O1360" s="84"/>
      <c r="P1360" s="84"/>
      <c r="Q1360" s="84"/>
      <c r="R1360" s="84"/>
      <c r="S1360" s="84"/>
      <c r="T1360" s="84"/>
      <c r="U1360" s="84"/>
      <c r="V1360" s="84"/>
      <c r="W1360" s="84"/>
      <c r="X1360" s="84"/>
      <c r="Y1360" s="84"/>
      <c r="Z1360" s="87"/>
      <c r="AA1360" s="87"/>
      <c r="AB1360" s="87"/>
      <c r="AC1360" s="87"/>
      <c r="AD1360" s="87"/>
      <c r="AE1360" s="87"/>
      <c r="AF1360" s="87"/>
      <c r="AG1360" s="87"/>
      <c r="AH1360" s="87"/>
      <c r="AI1360" s="87"/>
      <c r="AJ1360" s="87"/>
      <c r="AK1360" s="87"/>
      <c r="AL1360" s="87"/>
      <c r="AM1360" s="87"/>
      <c r="AN1360" s="87"/>
      <c r="AO1360" s="87"/>
      <c r="AP1360" s="87"/>
      <c r="AQ1360" s="87"/>
      <c r="AR1360" s="87"/>
      <c r="AS1360" s="87"/>
      <c r="AT1360" s="87"/>
      <c r="AU1360" s="87"/>
      <c r="AV1360" s="87"/>
      <c r="AW1360" s="87"/>
      <c r="AX1360" s="87"/>
      <c r="AY1360" s="87"/>
      <c r="AZ1360" s="87"/>
      <c r="BA1360" s="87"/>
      <c r="BB1360" s="87"/>
      <c r="BC1360" s="87"/>
      <c r="BD1360" s="87"/>
      <c r="BE1360" s="87"/>
      <c r="BF1360" s="87"/>
      <c r="BG1360" s="87"/>
      <c r="BH1360" s="87"/>
    </row>
    <row r="1361" spans="1:60" ht="16">
      <c r="A1361" s="82"/>
      <c r="B1361" s="82"/>
      <c r="C1361" s="82"/>
      <c r="D1361" s="83"/>
      <c r="E1361" s="84"/>
      <c r="F1361" s="84"/>
      <c r="G1361" s="84"/>
      <c r="H1361" s="82"/>
      <c r="I1361" s="84"/>
      <c r="J1361" s="84"/>
      <c r="K1361" s="84"/>
      <c r="L1361" s="84"/>
      <c r="M1361" s="84"/>
      <c r="N1361" s="84"/>
      <c r="O1361" s="84"/>
      <c r="P1361" s="84"/>
      <c r="Q1361" s="84"/>
      <c r="R1361" s="84"/>
      <c r="S1361" s="84"/>
      <c r="T1361" s="84"/>
      <c r="U1361" s="84"/>
      <c r="V1361" s="84"/>
      <c r="W1361" s="84"/>
      <c r="X1361" s="84"/>
      <c r="Y1361" s="84"/>
      <c r="Z1361" s="87"/>
      <c r="AA1361" s="87"/>
      <c r="AB1361" s="87"/>
      <c r="AC1361" s="87"/>
      <c r="AD1361" s="87"/>
      <c r="AE1361" s="87"/>
      <c r="AF1361" s="87"/>
      <c r="AG1361" s="87"/>
      <c r="AH1361" s="87"/>
      <c r="AI1361" s="87"/>
      <c r="AJ1361" s="87"/>
      <c r="AK1361" s="87"/>
      <c r="AL1361" s="87"/>
      <c r="AM1361" s="87"/>
      <c r="AN1361" s="87"/>
      <c r="AO1361" s="87"/>
      <c r="AP1361" s="87"/>
      <c r="AQ1361" s="87"/>
      <c r="AR1361" s="87"/>
      <c r="AS1361" s="87"/>
      <c r="AT1361" s="87"/>
      <c r="AU1361" s="87"/>
      <c r="AV1361" s="87"/>
      <c r="AW1361" s="87"/>
      <c r="AX1361" s="87"/>
      <c r="AY1361" s="87"/>
      <c r="AZ1361" s="87"/>
      <c r="BA1361" s="87"/>
      <c r="BB1361" s="87"/>
      <c r="BC1361" s="87"/>
      <c r="BD1361" s="87"/>
      <c r="BE1361" s="87"/>
      <c r="BF1361" s="87"/>
      <c r="BG1361" s="87"/>
      <c r="BH1361" s="87"/>
    </row>
    <row r="1362" spans="1:60" ht="16">
      <c r="A1362" s="82"/>
      <c r="B1362" s="82"/>
      <c r="C1362" s="82"/>
      <c r="D1362" s="83"/>
      <c r="E1362" s="84"/>
      <c r="F1362" s="84"/>
      <c r="G1362" s="84"/>
      <c r="H1362" s="82"/>
      <c r="I1362" s="84"/>
      <c r="J1362" s="84"/>
      <c r="K1362" s="84"/>
      <c r="L1362" s="84"/>
      <c r="M1362" s="84"/>
      <c r="N1362" s="84"/>
      <c r="O1362" s="84"/>
      <c r="P1362" s="84"/>
      <c r="Q1362" s="84"/>
      <c r="R1362" s="84"/>
      <c r="S1362" s="84"/>
      <c r="T1362" s="84"/>
      <c r="U1362" s="84"/>
      <c r="V1362" s="84"/>
      <c r="W1362" s="84"/>
      <c r="X1362" s="84"/>
      <c r="Y1362" s="84"/>
      <c r="Z1362" s="87"/>
      <c r="AA1362" s="87"/>
      <c r="AB1362" s="87"/>
      <c r="AC1362" s="87"/>
      <c r="AD1362" s="87"/>
      <c r="AE1362" s="87"/>
      <c r="AF1362" s="87"/>
      <c r="AG1362" s="87"/>
      <c r="AH1362" s="87"/>
      <c r="AI1362" s="87"/>
      <c r="AJ1362" s="87"/>
      <c r="AK1362" s="87"/>
      <c r="AL1362" s="87"/>
      <c r="AM1362" s="87"/>
      <c r="AN1362" s="87"/>
      <c r="AO1362" s="87"/>
      <c r="AP1362" s="87"/>
      <c r="AQ1362" s="87"/>
      <c r="AR1362" s="87"/>
      <c r="AS1362" s="87"/>
      <c r="AT1362" s="87"/>
      <c r="AU1362" s="87"/>
      <c r="AV1362" s="87"/>
      <c r="AW1362" s="87"/>
      <c r="AX1362" s="87"/>
      <c r="AY1362" s="87"/>
      <c r="AZ1362" s="87"/>
      <c r="BA1362" s="87"/>
      <c r="BB1362" s="87"/>
      <c r="BC1362" s="87"/>
      <c r="BD1362" s="87"/>
      <c r="BE1362" s="87"/>
      <c r="BF1362" s="87"/>
      <c r="BG1362" s="87"/>
      <c r="BH1362" s="87"/>
    </row>
    <row r="1363" spans="1:60" ht="16">
      <c r="A1363" s="82"/>
      <c r="B1363" s="82"/>
      <c r="C1363" s="82"/>
      <c r="D1363" s="83"/>
      <c r="E1363" s="84"/>
      <c r="F1363" s="84"/>
      <c r="G1363" s="84"/>
      <c r="H1363" s="82"/>
      <c r="I1363" s="84"/>
      <c r="J1363" s="84"/>
      <c r="K1363" s="84"/>
      <c r="L1363" s="84"/>
      <c r="M1363" s="84"/>
      <c r="N1363" s="84"/>
      <c r="O1363" s="84"/>
      <c r="P1363" s="84"/>
      <c r="Q1363" s="84"/>
      <c r="R1363" s="84"/>
      <c r="S1363" s="84"/>
      <c r="T1363" s="84"/>
      <c r="U1363" s="84"/>
      <c r="V1363" s="84"/>
      <c r="W1363" s="84"/>
      <c r="X1363" s="84"/>
      <c r="Y1363" s="84"/>
      <c r="Z1363" s="87"/>
      <c r="AA1363" s="87"/>
      <c r="AB1363" s="87"/>
      <c r="AC1363" s="87"/>
      <c r="AD1363" s="87"/>
      <c r="AE1363" s="87"/>
      <c r="AF1363" s="87"/>
      <c r="AG1363" s="87"/>
      <c r="AH1363" s="87"/>
      <c r="AI1363" s="87"/>
      <c r="AJ1363" s="87"/>
      <c r="AK1363" s="87"/>
      <c r="AL1363" s="87"/>
      <c r="AM1363" s="87"/>
      <c r="AN1363" s="87"/>
      <c r="AO1363" s="87"/>
      <c r="AP1363" s="87"/>
      <c r="AQ1363" s="87"/>
      <c r="AR1363" s="87"/>
      <c r="AS1363" s="87"/>
      <c r="AT1363" s="87"/>
      <c r="AU1363" s="87"/>
      <c r="AV1363" s="87"/>
      <c r="AW1363" s="87"/>
      <c r="AX1363" s="87"/>
      <c r="AY1363" s="87"/>
      <c r="AZ1363" s="87"/>
      <c r="BA1363" s="87"/>
      <c r="BB1363" s="87"/>
      <c r="BC1363" s="87"/>
      <c r="BD1363" s="87"/>
      <c r="BE1363" s="87"/>
      <c r="BF1363" s="87"/>
      <c r="BG1363" s="87"/>
      <c r="BH1363" s="87"/>
    </row>
    <row r="1364" spans="1:60" ht="16">
      <c r="A1364" s="82"/>
      <c r="B1364" s="82"/>
      <c r="C1364" s="82"/>
      <c r="D1364" s="83"/>
      <c r="E1364" s="84"/>
      <c r="F1364" s="84"/>
      <c r="G1364" s="84"/>
      <c r="H1364" s="82"/>
      <c r="I1364" s="84"/>
      <c r="J1364" s="84"/>
      <c r="K1364" s="84"/>
      <c r="L1364" s="84"/>
      <c r="M1364" s="84"/>
      <c r="N1364" s="84"/>
      <c r="O1364" s="84"/>
      <c r="P1364" s="84"/>
      <c r="Q1364" s="84"/>
      <c r="R1364" s="84"/>
      <c r="S1364" s="84"/>
      <c r="T1364" s="84"/>
      <c r="U1364" s="84"/>
      <c r="V1364" s="84"/>
      <c r="W1364" s="84"/>
      <c r="X1364" s="84"/>
      <c r="Y1364" s="84"/>
      <c r="Z1364" s="87"/>
      <c r="AA1364" s="87"/>
      <c r="AB1364" s="87"/>
      <c r="AC1364" s="87"/>
      <c r="AD1364" s="87"/>
      <c r="AE1364" s="87"/>
      <c r="AF1364" s="87"/>
      <c r="AG1364" s="87"/>
      <c r="AH1364" s="87"/>
      <c r="AI1364" s="87"/>
      <c r="AJ1364" s="87"/>
      <c r="AK1364" s="87"/>
      <c r="AL1364" s="87"/>
      <c r="AM1364" s="87"/>
      <c r="AN1364" s="87"/>
      <c r="AO1364" s="87"/>
      <c r="AP1364" s="87"/>
      <c r="AQ1364" s="87"/>
      <c r="AR1364" s="87"/>
      <c r="AS1364" s="87"/>
      <c r="AT1364" s="87"/>
      <c r="AU1364" s="87"/>
      <c r="AV1364" s="87"/>
      <c r="AW1364" s="87"/>
      <c r="AX1364" s="87"/>
      <c r="AY1364" s="87"/>
      <c r="AZ1364" s="87"/>
      <c r="BA1364" s="87"/>
      <c r="BB1364" s="87"/>
      <c r="BC1364" s="87"/>
      <c r="BD1364" s="87"/>
      <c r="BE1364" s="87"/>
      <c r="BF1364" s="87"/>
      <c r="BG1364" s="87"/>
      <c r="BH1364" s="87"/>
    </row>
    <row r="1365" spans="1:60" ht="16">
      <c r="A1365" s="82"/>
      <c r="B1365" s="82"/>
      <c r="C1365" s="82"/>
      <c r="D1365" s="83"/>
      <c r="E1365" s="84"/>
      <c r="F1365" s="84"/>
      <c r="G1365" s="84"/>
      <c r="H1365" s="82"/>
      <c r="I1365" s="84"/>
      <c r="J1365" s="84"/>
      <c r="K1365" s="84"/>
      <c r="L1365" s="84"/>
      <c r="M1365" s="84"/>
      <c r="N1365" s="84"/>
      <c r="O1365" s="84"/>
      <c r="P1365" s="84"/>
      <c r="Q1365" s="84"/>
      <c r="R1365" s="84"/>
      <c r="S1365" s="84"/>
      <c r="T1365" s="84"/>
      <c r="U1365" s="84"/>
      <c r="V1365" s="84"/>
      <c r="W1365" s="84"/>
      <c r="X1365" s="84"/>
      <c r="Y1365" s="84"/>
      <c r="Z1365" s="87"/>
      <c r="AA1365" s="87"/>
      <c r="AB1365" s="87"/>
      <c r="AC1365" s="87"/>
      <c r="AD1365" s="87"/>
      <c r="AE1365" s="87"/>
      <c r="AF1365" s="87"/>
      <c r="AG1365" s="87"/>
      <c r="AH1365" s="87"/>
      <c r="AI1365" s="87"/>
      <c r="AJ1365" s="87"/>
      <c r="AK1365" s="87"/>
      <c r="AL1365" s="87"/>
      <c r="AM1365" s="87"/>
      <c r="AN1365" s="87"/>
      <c r="AO1365" s="87"/>
      <c r="AP1365" s="87"/>
      <c r="AQ1365" s="87"/>
      <c r="AR1365" s="87"/>
      <c r="AS1365" s="87"/>
      <c r="AT1365" s="87"/>
      <c r="AU1365" s="87"/>
      <c r="AV1365" s="87"/>
      <c r="AW1365" s="87"/>
      <c r="AX1365" s="87"/>
      <c r="AY1365" s="87"/>
      <c r="AZ1365" s="87"/>
      <c r="BA1365" s="87"/>
      <c r="BB1365" s="87"/>
      <c r="BC1365" s="87"/>
      <c r="BD1365" s="87"/>
      <c r="BE1365" s="87"/>
      <c r="BF1365" s="87"/>
      <c r="BG1365" s="87"/>
      <c r="BH1365" s="87"/>
    </row>
    <row r="1366" spans="1:60" ht="16">
      <c r="A1366" s="82"/>
      <c r="B1366" s="82"/>
      <c r="C1366" s="82"/>
      <c r="D1366" s="83"/>
      <c r="E1366" s="84"/>
      <c r="F1366" s="84"/>
      <c r="G1366" s="84"/>
      <c r="H1366" s="82"/>
      <c r="I1366" s="84"/>
      <c r="J1366" s="84"/>
      <c r="K1366" s="84"/>
      <c r="L1366" s="84"/>
      <c r="M1366" s="84"/>
      <c r="N1366" s="84"/>
      <c r="O1366" s="84"/>
      <c r="P1366" s="84"/>
      <c r="Q1366" s="84"/>
      <c r="R1366" s="84"/>
      <c r="S1366" s="84"/>
      <c r="T1366" s="84"/>
      <c r="U1366" s="84"/>
      <c r="V1366" s="84"/>
      <c r="W1366" s="84"/>
      <c r="X1366" s="84"/>
      <c r="Y1366" s="84"/>
      <c r="Z1366" s="87"/>
      <c r="AA1366" s="87"/>
      <c r="AB1366" s="87"/>
      <c r="AC1366" s="87"/>
      <c r="AD1366" s="87"/>
      <c r="AE1366" s="87"/>
      <c r="AF1366" s="87"/>
      <c r="AG1366" s="87"/>
      <c r="AH1366" s="87"/>
      <c r="AI1366" s="87"/>
      <c r="AJ1366" s="87"/>
      <c r="AK1366" s="87"/>
      <c r="AL1366" s="87"/>
      <c r="AM1366" s="87"/>
      <c r="AN1366" s="87"/>
      <c r="AO1366" s="87"/>
      <c r="AP1366" s="87"/>
      <c r="AQ1366" s="87"/>
      <c r="AR1366" s="87"/>
      <c r="AS1366" s="87"/>
      <c r="AT1366" s="87"/>
      <c r="AU1366" s="87"/>
      <c r="AV1366" s="87"/>
      <c r="AW1366" s="87"/>
      <c r="AX1366" s="87"/>
      <c r="AY1366" s="87"/>
      <c r="AZ1366" s="87"/>
      <c r="BA1366" s="87"/>
      <c r="BB1366" s="87"/>
      <c r="BC1366" s="87"/>
      <c r="BD1366" s="87"/>
      <c r="BE1366" s="87"/>
      <c r="BF1366" s="87"/>
      <c r="BG1366" s="87"/>
      <c r="BH1366" s="87"/>
    </row>
    <row r="1367" spans="1:60" ht="16">
      <c r="A1367" s="82"/>
      <c r="B1367" s="82"/>
      <c r="C1367" s="82"/>
      <c r="D1367" s="83"/>
      <c r="E1367" s="84"/>
      <c r="F1367" s="84"/>
      <c r="G1367" s="84"/>
      <c r="H1367" s="82"/>
      <c r="I1367" s="84"/>
      <c r="J1367" s="84"/>
      <c r="K1367" s="84"/>
      <c r="L1367" s="84"/>
      <c r="M1367" s="84"/>
      <c r="N1367" s="84"/>
      <c r="O1367" s="84"/>
      <c r="P1367" s="84"/>
      <c r="Q1367" s="84"/>
      <c r="R1367" s="84"/>
      <c r="S1367" s="84"/>
      <c r="T1367" s="84"/>
      <c r="U1367" s="84"/>
      <c r="V1367" s="84"/>
      <c r="W1367" s="84"/>
      <c r="X1367" s="84"/>
      <c r="Y1367" s="84"/>
      <c r="Z1367" s="87"/>
      <c r="AA1367" s="87"/>
      <c r="AB1367" s="87"/>
      <c r="AC1367" s="87"/>
      <c r="AD1367" s="87"/>
      <c r="AE1367" s="87"/>
      <c r="AF1367" s="87"/>
      <c r="AG1367" s="87"/>
      <c r="AH1367" s="87"/>
      <c r="AI1367" s="87"/>
      <c r="AJ1367" s="87"/>
      <c r="AK1367" s="87"/>
      <c r="AL1367" s="87"/>
      <c r="AM1367" s="87"/>
      <c r="AN1367" s="87"/>
      <c r="AO1367" s="87"/>
      <c r="AP1367" s="87"/>
      <c r="AQ1367" s="87"/>
      <c r="AR1367" s="87"/>
      <c r="AS1367" s="87"/>
      <c r="AT1367" s="87"/>
      <c r="AU1367" s="87"/>
      <c r="AV1367" s="87"/>
      <c r="AW1367" s="87"/>
      <c r="AX1367" s="87"/>
      <c r="AY1367" s="87"/>
      <c r="AZ1367" s="87"/>
      <c r="BA1367" s="87"/>
      <c r="BB1367" s="87"/>
      <c r="BC1367" s="87"/>
      <c r="BD1367" s="87"/>
      <c r="BE1367" s="87"/>
      <c r="BF1367" s="87"/>
      <c r="BG1367" s="87"/>
      <c r="BH1367" s="87"/>
    </row>
    <row r="1368" spans="1:60" ht="16">
      <c r="A1368" s="82"/>
      <c r="B1368" s="82"/>
      <c r="C1368" s="82"/>
      <c r="D1368" s="83"/>
      <c r="E1368" s="84"/>
      <c r="F1368" s="84"/>
      <c r="G1368" s="84"/>
      <c r="H1368" s="82"/>
      <c r="I1368" s="84"/>
      <c r="J1368" s="84"/>
      <c r="K1368" s="84"/>
      <c r="L1368" s="84"/>
      <c r="M1368" s="84"/>
      <c r="N1368" s="84"/>
      <c r="O1368" s="84"/>
      <c r="P1368" s="84"/>
      <c r="Q1368" s="84"/>
      <c r="R1368" s="84"/>
      <c r="S1368" s="84"/>
      <c r="T1368" s="84"/>
      <c r="U1368" s="84"/>
      <c r="V1368" s="84"/>
      <c r="W1368" s="84"/>
      <c r="X1368" s="84"/>
      <c r="Y1368" s="84"/>
      <c r="Z1368" s="87"/>
      <c r="AA1368" s="87"/>
      <c r="AB1368" s="87"/>
      <c r="AC1368" s="87"/>
      <c r="AD1368" s="87"/>
      <c r="AE1368" s="87"/>
      <c r="AF1368" s="87"/>
      <c r="AG1368" s="87"/>
      <c r="AH1368" s="87"/>
      <c r="AI1368" s="87"/>
      <c r="AJ1368" s="87"/>
      <c r="AK1368" s="87"/>
      <c r="AL1368" s="87"/>
      <c r="AM1368" s="87"/>
      <c r="AN1368" s="87"/>
      <c r="AO1368" s="87"/>
      <c r="AP1368" s="87"/>
      <c r="AQ1368" s="87"/>
      <c r="AR1368" s="87"/>
      <c r="AS1368" s="87"/>
      <c r="AT1368" s="87"/>
      <c r="AU1368" s="87"/>
      <c r="AV1368" s="87"/>
      <c r="AW1368" s="87"/>
      <c r="AX1368" s="87"/>
      <c r="AY1368" s="87"/>
      <c r="AZ1368" s="87"/>
      <c r="BA1368" s="87"/>
      <c r="BB1368" s="87"/>
      <c r="BC1368" s="87"/>
      <c r="BD1368" s="87"/>
      <c r="BE1368" s="87"/>
      <c r="BF1368" s="87"/>
      <c r="BG1368" s="87"/>
      <c r="BH1368" s="87"/>
    </row>
    <row r="1369" spans="1:60" ht="16">
      <c r="A1369" s="82"/>
      <c r="B1369" s="82"/>
      <c r="C1369" s="82"/>
      <c r="D1369" s="83"/>
      <c r="E1369" s="84"/>
      <c r="F1369" s="84"/>
      <c r="G1369" s="84"/>
      <c r="H1369" s="82"/>
      <c r="I1369" s="84"/>
      <c r="J1369" s="84"/>
      <c r="K1369" s="84"/>
      <c r="L1369" s="84"/>
      <c r="M1369" s="84"/>
      <c r="N1369" s="84"/>
      <c r="O1369" s="84"/>
      <c r="P1369" s="84"/>
      <c r="Q1369" s="84"/>
      <c r="R1369" s="84"/>
      <c r="S1369" s="84"/>
      <c r="T1369" s="84"/>
      <c r="U1369" s="84"/>
      <c r="V1369" s="84"/>
      <c r="W1369" s="84"/>
      <c r="X1369" s="84"/>
      <c r="Y1369" s="84"/>
      <c r="Z1369" s="87"/>
      <c r="AA1369" s="87"/>
      <c r="AB1369" s="87"/>
      <c r="AC1369" s="87"/>
      <c r="AD1369" s="87"/>
      <c r="AE1369" s="87"/>
      <c r="AF1369" s="87"/>
      <c r="AG1369" s="87"/>
      <c r="AH1369" s="87"/>
      <c r="AI1369" s="87"/>
      <c r="AJ1369" s="87"/>
      <c r="AK1369" s="87"/>
      <c r="AL1369" s="87"/>
      <c r="AM1369" s="87"/>
      <c r="AN1369" s="87"/>
      <c r="AO1369" s="87"/>
      <c r="AP1369" s="87"/>
      <c r="AQ1369" s="87"/>
      <c r="AR1369" s="87"/>
      <c r="AS1369" s="87"/>
      <c r="AT1369" s="87"/>
      <c r="AU1369" s="87"/>
      <c r="AV1369" s="87"/>
      <c r="AW1369" s="87"/>
      <c r="AX1369" s="87"/>
      <c r="AY1369" s="87"/>
      <c r="AZ1369" s="87"/>
      <c r="BA1369" s="87"/>
      <c r="BB1369" s="87"/>
      <c r="BC1369" s="87"/>
      <c r="BD1369" s="87"/>
      <c r="BE1369" s="87"/>
      <c r="BF1369" s="87"/>
      <c r="BG1369" s="87"/>
      <c r="BH1369" s="87"/>
    </row>
    <row r="1370" spans="1:60" ht="16">
      <c r="A1370" s="82"/>
      <c r="B1370" s="82"/>
      <c r="C1370" s="82"/>
      <c r="D1370" s="83"/>
      <c r="E1370" s="84"/>
      <c r="F1370" s="84"/>
      <c r="G1370" s="84"/>
      <c r="H1370" s="82"/>
      <c r="I1370" s="84"/>
      <c r="J1370" s="84"/>
      <c r="K1370" s="84"/>
      <c r="L1370" s="84"/>
      <c r="M1370" s="84"/>
      <c r="N1370" s="84"/>
      <c r="O1370" s="84"/>
      <c r="P1370" s="84"/>
      <c r="Q1370" s="84"/>
      <c r="R1370" s="84"/>
      <c r="S1370" s="84"/>
      <c r="T1370" s="84"/>
      <c r="U1370" s="84"/>
      <c r="V1370" s="84"/>
      <c r="W1370" s="84"/>
      <c r="X1370" s="84"/>
      <c r="Y1370" s="84"/>
      <c r="Z1370" s="87"/>
      <c r="AA1370" s="87"/>
      <c r="AB1370" s="87"/>
      <c r="AC1370" s="87"/>
      <c r="AD1370" s="87"/>
      <c r="AE1370" s="87"/>
      <c r="AF1370" s="87"/>
      <c r="AG1370" s="87"/>
      <c r="AH1370" s="87"/>
      <c r="AI1370" s="87"/>
      <c r="AJ1370" s="87"/>
      <c r="AK1370" s="87"/>
      <c r="AL1370" s="87"/>
      <c r="AM1370" s="87"/>
      <c r="AN1370" s="87"/>
      <c r="AO1370" s="87"/>
      <c r="AP1370" s="87"/>
      <c r="AQ1370" s="87"/>
      <c r="AR1370" s="87"/>
      <c r="AS1370" s="87"/>
      <c r="AT1370" s="87"/>
      <c r="AU1370" s="87"/>
      <c r="AV1370" s="87"/>
      <c r="AW1370" s="87"/>
      <c r="AX1370" s="87"/>
      <c r="AY1370" s="87"/>
      <c r="AZ1370" s="87"/>
      <c r="BA1370" s="87"/>
      <c r="BB1370" s="87"/>
      <c r="BC1370" s="87"/>
      <c r="BD1370" s="87"/>
      <c r="BE1370" s="87"/>
      <c r="BF1370" s="87"/>
      <c r="BG1370" s="87"/>
      <c r="BH1370" s="87"/>
    </row>
    <row r="1371" spans="1:60" ht="16">
      <c r="A1371" s="82"/>
      <c r="B1371" s="82"/>
      <c r="C1371" s="82"/>
      <c r="D1371" s="83"/>
      <c r="E1371" s="84"/>
      <c r="F1371" s="84"/>
      <c r="G1371" s="84"/>
      <c r="H1371" s="82"/>
      <c r="I1371" s="84"/>
      <c r="J1371" s="84"/>
      <c r="K1371" s="84"/>
      <c r="L1371" s="84"/>
      <c r="M1371" s="84"/>
      <c r="N1371" s="84"/>
      <c r="O1371" s="84"/>
      <c r="P1371" s="84"/>
      <c r="Q1371" s="84"/>
      <c r="R1371" s="84"/>
      <c r="S1371" s="84"/>
      <c r="T1371" s="84"/>
      <c r="U1371" s="84"/>
      <c r="V1371" s="84"/>
      <c r="W1371" s="84"/>
      <c r="X1371" s="84"/>
      <c r="Y1371" s="84"/>
      <c r="Z1371" s="87"/>
      <c r="AA1371" s="87"/>
      <c r="AB1371" s="87"/>
      <c r="AC1371" s="87"/>
      <c r="AD1371" s="87"/>
      <c r="AE1371" s="87"/>
      <c r="AF1371" s="87"/>
      <c r="AG1371" s="87"/>
      <c r="AH1371" s="87"/>
      <c r="AI1371" s="87"/>
      <c r="AJ1371" s="87"/>
      <c r="AK1371" s="87"/>
      <c r="AL1371" s="87"/>
      <c r="AM1371" s="87"/>
      <c r="AN1371" s="87"/>
      <c r="AO1371" s="87"/>
      <c r="AP1371" s="87"/>
      <c r="AQ1371" s="87"/>
      <c r="AR1371" s="87"/>
      <c r="AS1371" s="87"/>
      <c r="AT1371" s="87"/>
      <c r="AU1371" s="87"/>
      <c r="AV1371" s="87"/>
      <c r="AW1371" s="87"/>
      <c r="AX1371" s="87"/>
      <c r="AY1371" s="87"/>
      <c r="AZ1371" s="87"/>
      <c r="BA1371" s="87"/>
      <c r="BB1371" s="87"/>
      <c r="BC1371" s="87"/>
      <c r="BD1371" s="87"/>
      <c r="BE1371" s="87"/>
      <c r="BF1371" s="87"/>
      <c r="BG1371" s="87"/>
      <c r="BH1371" s="87"/>
    </row>
    <row r="1372" spans="1:60" ht="16">
      <c r="A1372" s="82"/>
      <c r="B1372" s="82"/>
      <c r="C1372" s="82"/>
      <c r="D1372" s="83"/>
      <c r="E1372" s="84"/>
      <c r="F1372" s="84"/>
      <c r="G1372" s="84"/>
      <c r="H1372" s="82"/>
      <c r="I1372" s="84"/>
      <c r="J1372" s="84"/>
      <c r="K1372" s="84"/>
      <c r="L1372" s="84"/>
      <c r="M1372" s="84"/>
      <c r="N1372" s="84"/>
      <c r="O1372" s="84"/>
      <c r="P1372" s="84"/>
      <c r="Q1372" s="84"/>
      <c r="R1372" s="84"/>
      <c r="S1372" s="84"/>
      <c r="T1372" s="84"/>
      <c r="U1372" s="84"/>
      <c r="V1372" s="84"/>
      <c r="W1372" s="84"/>
      <c r="X1372" s="84"/>
      <c r="Y1372" s="84"/>
      <c r="Z1372" s="87"/>
      <c r="AA1372" s="87"/>
      <c r="AB1372" s="87"/>
      <c r="AC1372" s="87"/>
      <c r="AD1372" s="87"/>
      <c r="AE1372" s="87"/>
      <c r="AF1372" s="87"/>
      <c r="AG1372" s="87"/>
      <c r="AH1372" s="87"/>
      <c r="AI1372" s="87"/>
      <c r="AJ1372" s="87"/>
      <c r="AK1372" s="87"/>
      <c r="AL1372" s="87"/>
      <c r="AM1372" s="87"/>
      <c r="AN1372" s="87"/>
      <c r="AO1372" s="87"/>
      <c r="AP1372" s="87"/>
      <c r="AQ1372" s="87"/>
      <c r="AR1372" s="87"/>
      <c r="AS1372" s="87"/>
      <c r="AT1372" s="87"/>
      <c r="AU1372" s="87"/>
      <c r="AV1372" s="87"/>
      <c r="AW1372" s="87"/>
      <c r="AX1372" s="87"/>
      <c r="AY1372" s="87"/>
      <c r="AZ1372" s="87"/>
      <c r="BA1372" s="87"/>
      <c r="BB1372" s="87"/>
      <c r="BC1372" s="87"/>
      <c r="BD1372" s="87"/>
      <c r="BE1372" s="87"/>
      <c r="BF1372" s="87"/>
      <c r="BG1372" s="87"/>
      <c r="BH1372" s="87"/>
    </row>
    <row r="1373" spans="1:60" ht="16">
      <c r="A1373" s="82"/>
      <c r="B1373" s="82"/>
      <c r="C1373" s="82"/>
      <c r="D1373" s="83"/>
      <c r="E1373" s="84"/>
      <c r="F1373" s="84"/>
      <c r="G1373" s="84"/>
      <c r="H1373" s="82"/>
      <c r="I1373" s="84"/>
      <c r="J1373" s="84"/>
      <c r="K1373" s="84"/>
      <c r="L1373" s="84"/>
      <c r="M1373" s="84"/>
      <c r="N1373" s="84"/>
      <c r="O1373" s="84"/>
      <c r="P1373" s="84"/>
      <c r="Q1373" s="84"/>
      <c r="R1373" s="84"/>
      <c r="S1373" s="84"/>
      <c r="T1373" s="84"/>
      <c r="U1373" s="84"/>
      <c r="V1373" s="84"/>
      <c r="W1373" s="84"/>
      <c r="X1373" s="84"/>
      <c r="Y1373" s="84"/>
      <c r="Z1373" s="87"/>
      <c r="AA1373" s="87"/>
      <c r="AB1373" s="87"/>
      <c r="AC1373" s="87"/>
      <c r="AD1373" s="87"/>
      <c r="AE1373" s="87"/>
      <c r="AF1373" s="87"/>
      <c r="AG1373" s="87"/>
      <c r="AH1373" s="87"/>
      <c r="AI1373" s="87"/>
      <c r="AJ1373" s="87"/>
      <c r="AK1373" s="87"/>
      <c r="AL1373" s="87"/>
      <c r="AM1373" s="87"/>
      <c r="AN1373" s="87"/>
      <c r="AO1373" s="87"/>
      <c r="AP1373" s="87"/>
      <c r="AQ1373" s="87"/>
      <c r="AR1373" s="87"/>
      <c r="AS1373" s="87"/>
      <c r="AT1373" s="87"/>
      <c r="AU1373" s="87"/>
      <c r="AV1373" s="87"/>
      <c r="AW1373" s="87"/>
      <c r="AX1373" s="87"/>
      <c r="AY1373" s="87"/>
      <c r="AZ1373" s="87"/>
      <c r="BA1373" s="87"/>
      <c r="BB1373" s="87"/>
      <c r="BC1373" s="87"/>
      <c r="BD1373" s="87"/>
      <c r="BE1373" s="87"/>
      <c r="BF1373" s="87"/>
      <c r="BG1373" s="87"/>
      <c r="BH1373" s="87"/>
    </row>
    <row r="1374" spans="1:60" ht="16">
      <c r="A1374" s="82"/>
      <c r="B1374" s="82"/>
      <c r="C1374" s="82"/>
      <c r="D1374" s="83"/>
      <c r="E1374" s="84"/>
      <c r="F1374" s="84"/>
      <c r="G1374" s="84"/>
      <c r="H1374" s="82"/>
      <c r="I1374" s="84"/>
      <c r="J1374" s="84"/>
      <c r="K1374" s="84"/>
      <c r="L1374" s="84"/>
      <c r="M1374" s="84"/>
      <c r="N1374" s="84"/>
      <c r="O1374" s="84"/>
      <c r="P1374" s="84"/>
      <c r="Q1374" s="84"/>
      <c r="R1374" s="84"/>
      <c r="S1374" s="84"/>
      <c r="T1374" s="84"/>
      <c r="U1374" s="84"/>
      <c r="V1374" s="84"/>
      <c r="W1374" s="84"/>
      <c r="X1374" s="84"/>
      <c r="Y1374" s="84"/>
      <c r="Z1374" s="87"/>
      <c r="AA1374" s="87"/>
      <c r="AB1374" s="87"/>
      <c r="AC1374" s="87"/>
      <c r="AD1374" s="87"/>
      <c r="AE1374" s="87"/>
      <c r="AF1374" s="87"/>
      <c r="AG1374" s="87"/>
      <c r="AH1374" s="87"/>
      <c r="AI1374" s="87"/>
      <c r="AJ1374" s="87"/>
      <c r="AK1374" s="87"/>
      <c r="AL1374" s="87"/>
      <c r="AM1374" s="87"/>
      <c r="AN1374" s="87"/>
      <c r="AO1374" s="87"/>
      <c r="AP1374" s="87"/>
      <c r="AQ1374" s="87"/>
      <c r="AR1374" s="87"/>
      <c r="AS1374" s="87"/>
      <c r="AT1374" s="87"/>
      <c r="AU1374" s="87"/>
      <c r="AV1374" s="87"/>
      <c r="AW1374" s="87"/>
      <c r="AX1374" s="87"/>
      <c r="AY1374" s="87"/>
      <c r="AZ1374" s="87"/>
      <c r="BA1374" s="87"/>
      <c r="BB1374" s="87"/>
      <c r="BC1374" s="87"/>
      <c r="BD1374" s="87"/>
      <c r="BE1374" s="87"/>
      <c r="BF1374" s="87"/>
      <c r="BG1374" s="87"/>
      <c r="BH1374" s="87"/>
    </row>
    <row r="1375" spans="1:60" ht="16">
      <c r="A1375" s="82"/>
      <c r="B1375" s="82"/>
      <c r="C1375" s="82"/>
      <c r="D1375" s="83"/>
      <c r="E1375" s="84"/>
      <c r="F1375" s="84"/>
      <c r="G1375" s="84"/>
      <c r="H1375" s="82"/>
      <c r="I1375" s="84"/>
      <c r="J1375" s="84"/>
      <c r="K1375" s="84"/>
      <c r="L1375" s="84"/>
      <c r="M1375" s="84"/>
      <c r="N1375" s="84"/>
      <c r="O1375" s="84"/>
      <c r="P1375" s="84"/>
      <c r="Q1375" s="84"/>
      <c r="R1375" s="84"/>
      <c r="S1375" s="84"/>
      <c r="T1375" s="84"/>
      <c r="U1375" s="84"/>
      <c r="V1375" s="84"/>
      <c r="W1375" s="84"/>
      <c r="X1375" s="84"/>
      <c r="Y1375" s="84"/>
      <c r="Z1375" s="87"/>
      <c r="AA1375" s="87"/>
      <c r="AB1375" s="87"/>
      <c r="AC1375" s="87"/>
      <c r="AD1375" s="87"/>
      <c r="AE1375" s="87"/>
      <c r="AF1375" s="87"/>
      <c r="AG1375" s="87"/>
      <c r="AH1375" s="87"/>
      <c r="AI1375" s="87"/>
      <c r="AJ1375" s="87"/>
      <c r="AK1375" s="87"/>
      <c r="AL1375" s="87"/>
      <c r="AM1375" s="87"/>
      <c r="AN1375" s="87"/>
      <c r="AO1375" s="87"/>
      <c r="AP1375" s="87"/>
      <c r="AQ1375" s="87"/>
      <c r="AR1375" s="87"/>
      <c r="AS1375" s="87"/>
      <c r="AT1375" s="87"/>
      <c r="AU1375" s="87"/>
      <c r="AV1375" s="87"/>
      <c r="AW1375" s="87"/>
      <c r="AX1375" s="87"/>
      <c r="AY1375" s="87"/>
      <c r="AZ1375" s="87"/>
      <c r="BA1375" s="87"/>
      <c r="BB1375" s="87"/>
      <c r="BC1375" s="87"/>
      <c r="BD1375" s="87"/>
      <c r="BE1375" s="87"/>
      <c r="BF1375" s="87"/>
      <c r="BG1375" s="87"/>
      <c r="BH1375" s="87"/>
    </row>
    <row r="1376" spans="1:60" ht="16">
      <c r="A1376" s="82"/>
      <c r="B1376" s="82"/>
      <c r="C1376" s="82"/>
      <c r="D1376" s="83"/>
      <c r="E1376" s="84"/>
      <c r="F1376" s="84"/>
      <c r="G1376" s="84"/>
      <c r="H1376" s="82"/>
      <c r="I1376" s="84"/>
      <c r="J1376" s="84"/>
      <c r="K1376" s="84"/>
      <c r="L1376" s="84"/>
      <c r="M1376" s="84"/>
      <c r="N1376" s="84"/>
      <c r="O1376" s="84"/>
      <c r="P1376" s="84"/>
      <c r="Q1376" s="84"/>
      <c r="R1376" s="84"/>
      <c r="S1376" s="84"/>
      <c r="T1376" s="84"/>
      <c r="U1376" s="84"/>
      <c r="V1376" s="84"/>
      <c r="W1376" s="84"/>
      <c r="X1376" s="84"/>
      <c r="Y1376" s="84"/>
      <c r="Z1376" s="87"/>
      <c r="AA1376" s="87"/>
      <c r="AB1376" s="87"/>
      <c r="AC1376" s="87"/>
      <c r="AD1376" s="87"/>
      <c r="AE1376" s="87"/>
      <c r="AF1376" s="87"/>
      <c r="AG1376" s="87"/>
      <c r="AH1376" s="87"/>
      <c r="AI1376" s="87"/>
      <c r="AJ1376" s="87"/>
      <c r="AK1376" s="87"/>
      <c r="AL1376" s="87"/>
      <c r="AM1376" s="87"/>
      <c r="AN1376" s="87"/>
      <c r="AO1376" s="87"/>
      <c r="AP1376" s="87"/>
      <c r="AQ1376" s="87"/>
      <c r="AR1376" s="87"/>
      <c r="AS1376" s="87"/>
      <c r="AT1376" s="87"/>
      <c r="AU1376" s="87"/>
      <c r="AV1376" s="87"/>
      <c r="AW1376" s="87"/>
      <c r="AX1376" s="87"/>
      <c r="AY1376" s="87"/>
      <c r="AZ1376" s="87"/>
      <c r="BA1376" s="87"/>
      <c r="BB1376" s="87"/>
      <c r="BC1376" s="87"/>
      <c r="BD1376" s="87"/>
      <c r="BE1376" s="87"/>
      <c r="BF1376" s="87"/>
      <c r="BG1376" s="87"/>
      <c r="BH1376" s="87"/>
    </row>
    <row r="1377" spans="1:60" ht="16">
      <c r="A1377" s="82"/>
      <c r="B1377" s="82"/>
      <c r="C1377" s="82"/>
      <c r="D1377" s="83"/>
      <c r="E1377" s="84"/>
      <c r="F1377" s="84"/>
      <c r="G1377" s="84"/>
      <c r="H1377" s="82"/>
      <c r="I1377" s="84"/>
      <c r="J1377" s="84"/>
      <c r="K1377" s="84"/>
      <c r="L1377" s="84"/>
      <c r="M1377" s="84"/>
      <c r="N1377" s="84"/>
      <c r="O1377" s="84"/>
      <c r="P1377" s="84"/>
      <c r="Q1377" s="84"/>
      <c r="R1377" s="84"/>
      <c r="S1377" s="84"/>
      <c r="T1377" s="84"/>
      <c r="U1377" s="84"/>
      <c r="V1377" s="84"/>
      <c r="W1377" s="84"/>
      <c r="X1377" s="84"/>
      <c r="Y1377" s="84"/>
      <c r="Z1377" s="87"/>
      <c r="AA1377" s="87"/>
      <c r="AB1377" s="87"/>
      <c r="AC1377" s="87"/>
      <c r="AD1377" s="87"/>
      <c r="AE1377" s="87"/>
      <c r="AF1377" s="87"/>
      <c r="AG1377" s="87"/>
      <c r="AH1377" s="87"/>
      <c r="AI1377" s="87"/>
      <c r="AJ1377" s="87"/>
      <c r="AK1377" s="87"/>
      <c r="AL1377" s="87"/>
      <c r="AM1377" s="87"/>
      <c r="AN1377" s="87"/>
      <c r="AO1377" s="87"/>
      <c r="AP1377" s="87"/>
      <c r="AQ1377" s="87"/>
      <c r="AR1377" s="87"/>
      <c r="AS1377" s="87"/>
      <c r="AT1377" s="87"/>
      <c r="AU1377" s="87"/>
      <c r="AV1377" s="87"/>
      <c r="AW1377" s="87"/>
      <c r="AX1377" s="87"/>
      <c r="AY1377" s="87"/>
      <c r="AZ1377" s="87"/>
      <c r="BA1377" s="87"/>
      <c r="BB1377" s="87"/>
      <c r="BC1377" s="87"/>
      <c r="BD1377" s="87"/>
      <c r="BE1377" s="87"/>
      <c r="BF1377" s="87"/>
      <c r="BG1377" s="87"/>
      <c r="BH1377" s="87"/>
    </row>
    <row r="1378" spans="1:60" ht="16">
      <c r="A1378" s="82"/>
      <c r="B1378" s="82"/>
      <c r="C1378" s="82"/>
      <c r="D1378" s="83"/>
      <c r="E1378" s="84"/>
      <c r="F1378" s="84"/>
      <c r="G1378" s="84"/>
      <c r="H1378" s="82"/>
      <c r="I1378" s="84"/>
      <c r="J1378" s="84"/>
      <c r="K1378" s="84"/>
      <c r="L1378" s="84"/>
      <c r="M1378" s="84"/>
      <c r="N1378" s="84"/>
      <c r="O1378" s="84"/>
      <c r="P1378" s="84"/>
      <c r="Q1378" s="84"/>
      <c r="R1378" s="84"/>
      <c r="S1378" s="84"/>
      <c r="T1378" s="84"/>
      <c r="U1378" s="84"/>
      <c r="V1378" s="84"/>
      <c r="W1378" s="84"/>
      <c r="X1378" s="84"/>
      <c r="Y1378" s="84"/>
      <c r="Z1378" s="87"/>
      <c r="AA1378" s="87"/>
      <c r="AB1378" s="87"/>
      <c r="AC1378" s="87"/>
      <c r="AD1378" s="87"/>
      <c r="AE1378" s="87"/>
      <c r="AF1378" s="87"/>
      <c r="AG1378" s="87"/>
      <c r="AH1378" s="87"/>
      <c r="AI1378" s="87"/>
      <c r="AJ1378" s="87"/>
      <c r="AK1378" s="87"/>
      <c r="AL1378" s="87"/>
      <c r="AM1378" s="87"/>
      <c r="AN1378" s="87"/>
      <c r="AO1378" s="87"/>
      <c r="AP1378" s="87"/>
      <c r="AQ1378" s="87"/>
      <c r="AR1378" s="87"/>
      <c r="AS1378" s="87"/>
      <c r="AT1378" s="87"/>
      <c r="AU1378" s="87"/>
      <c r="AV1378" s="87"/>
      <c r="AW1378" s="87"/>
      <c r="AX1378" s="87"/>
      <c r="AY1378" s="87"/>
      <c r="AZ1378" s="87"/>
      <c r="BA1378" s="87"/>
      <c r="BB1378" s="87"/>
      <c r="BC1378" s="87"/>
      <c r="BD1378" s="87"/>
      <c r="BE1378" s="87"/>
      <c r="BF1378" s="87"/>
      <c r="BG1378" s="87"/>
      <c r="BH1378" s="87"/>
    </row>
    <row r="1379" spans="1:60" ht="16">
      <c r="A1379" s="82"/>
      <c r="B1379" s="82"/>
      <c r="C1379" s="82"/>
      <c r="D1379" s="83"/>
      <c r="E1379" s="84"/>
      <c r="F1379" s="84"/>
      <c r="G1379" s="84"/>
      <c r="H1379" s="82"/>
      <c r="I1379" s="84"/>
      <c r="J1379" s="84"/>
      <c r="K1379" s="84"/>
      <c r="L1379" s="84"/>
      <c r="M1379" s="84"/>
      <c r="N1379" s="84"/>
      <c r="O1379" s="84"/>
      <c r="P1379" s="84"/>
      <c r="Q1379" s="84"/>
      <c r="R1379" s="84"/>
      <c r="S1379" s="84"/>
      <c r="T1379" s="84"/>
      <c r="U1379" s="84"/>
      <c r="V1379" s="84"/>
      <c r="W1379" s="84"/>
      <c r="X1379" s="84"/>
      <c r="Y1379" s="84"/>
      <c r="Z1379" s="87"/>
      <c r="AA1379" s="87"/>
      <c r="AB1379" s="87"/>
      <c r="AC1379" s="87"/>
      <c r="AD1379" s="87"/>
      <c r="AE1379" s="87"/>
      <c r="AF1379" s="87"/>
      <c r="AG1379" s="87"/>
      <c r="AH1379" s="87"/>
      <c r="AI1379" s="87"/>
      <c r="AJ1379" s="87"/>
      <c r="AK1379" s="87"/>
      <c r="AL1379" s="87"/>
      <c r="AM1379" s="87"/>
      <c r="AN1379" s="87"/>
      <c r="AO1379" s="87"/>
      <c r="AP1379" s="87"/>
      <c r="AQ1379" s="87"/>
      <c r="AR1379" s="87"/>
      <c r="AS1379" s="87"/>
      <c r="AT1379" s="87"/>
      <c r="AU1379" s="87"/>
      <c r="AV1379" s="87"/>
      <c r="AW1379" s="87"/>
      <c r="AX1379" s="87"/>
      <c r="AY1379" s="87"/>
      <c r="AZ1379" s="87"/>
      <c r="BA1379" s="87"/>
      <c r="BB1379" s="87"/>
      <c r="BC1379" s="87"/>
      <c r="BD1379" s="87"/>
      <c r="BE1379" s="87"/>
      <c r="BF1379" s="87"/>
      <c r="BG1379" s="87"/>
      <c r="BH1379" s="87"/>
    </row>
    <row r="1380" spans="1:60" ht="16">
      <c r="A1380" s="82"/>
      <c r="B1380" s="82"/>
      <c r="C1380" s="82"/>
      <c r="D1380" s="83"/>
      <c r="E1380" s="84"/>
      <c r="F1380" s="84"/>
      <c r="G1380" s="84"/>
      <c r="H1380" s="82"/>
      <c r="I1380" s="84"/>
      <c r="J1380" s="84"/>
      <c r="K1380" s="84"/>
      <c r="L1380" s="84"/>
      <c r="M1380" s="84"/>
      <c r="N1380" s="84"/>
      <c r="O1380" s="84"/>
      <c r="P1380" s="84"/>
      <c r="Q1380" s="84"/>
      <c r="R1380" s="84"/>
      <c r="S1380" s="84"/>
      <c r="T1380" s="84"/>
      <c r="U1380" s="84"/>
      <c r="V1380" s="84"/>
      <c r="W1380" s="84"/>
      <c r="X1380" s="84"/>
      <c r="Y1380" s="84"/>
      <c r="Z1380" s="87"/>
      <c r="AA1380" s="87"/>
      <c r="AB1380" s="87"/>
      <c r="AC1380" s="87"/>
      <c r="AD1380" s="87"/>
      <c r="AE1380" s="87"/>
      <c r="AF1380" s="87"/>
      <c r="AG1380" s="87"/>
      <c r="AH1380" s="87"/>
      <c r="AI1380" s="87"/>
      <c r="AJ1380" s="87"/>
      <c r="AK1380" s="87"/>
      <c r="AL1380" s="87"/>
      <c r="AM1380" s="87"/>
      <c r="AN1380" s="87"/>
      <c r="AO1380" s="87"/>
      <c r="AP1380" s="87"/>
      <c r="AQ1380" s="87"/>
      <c r="AR1380" s="87"/>
      <c r="AS1380" s="87"/>
      <c r="AT1380" s="87"/>
      <c r="AU1380" s="87"/>
      <c r="AV1380" s="87"/>
      <c r="AW1380" s="87"/>
      <c r="AX1380" s="87"/>
      <c r="AY1380" s="87"/>
      <c r="AZ1380" s="87"/>
      <c r="BA1380" s="87"/>
      <c r="BB1380" s="87"/>
      <c r="BC1380" s="87"/>
      <c r="BD1380" s="87"/>
      <c r="BE1380" s="87"/>
      <c r="BF1380" s="87"/>
      <c r="BG1380" s="87"/>
      <c r="BH1380" s="87"/>
    </row>
    <row r="1381" spans="1:60" ht="16">
      <c r="A1381" s="82"/>
      <c r="B1381" s="82"/>
      <c r="C1381" s="82"/>
      <c r="D1381" s="83"/>
      <c r="E1381" s="84"/>
      <c r="F1381" s="84"/>
      <c r="G1381" s="84"/>
      <c r="H1381" s="82"/>
      <c r="I1381" s="84"/>
      <c r="J1381" s="84"/>
      <c r="K1381" s="84"/>
      <c r="L1381" s="84"/>
      <c r="M1381" s="84"/>
      <c r="N1381" s="84"/>
      <c r="O1381" s="84"/>
      <c r="P1381" s="84"/>
      <c r="Q1381" s="84"/>
      <c r="R1381" s="84"/>
      <c r="S1381" s="84"/>
      <c r="T1381" s="84"/>
      <c r="U1381" s="84"/>
      <c r="V1381" s="84"/>
      <c r="W1381" s="84"/>
      <c r="X1381" s="84"/>
      <c r="Y1381" s="84"/>
      <c r="Z1381" s="87"/>
      <c r="AA1381" s="87"/>
      <c r="AB1381" s="87"/>
      <c r="AC1381" s="87"/>
      <c r="AD1381" s="87"/>
      <c r="AE1381" s="87"/>
      <c r="AF1381" s="87"/>
      <c r="AG1381" s="87"/>
      <c r="AH1381" s="87"/>
      <c r="AI1381" s="87"/>
      <c r="AJ1381" s="87"/>
      <c r="AK1381" s="87"/>
      <c r="AL1381" s="87"/>
      <c r="AM1381" s="87"/>
      <c r="AN1381" s="87"/>
      <c r="AO1381" s="87"/>
      <c r="AP1381" s="87"/>
      <c r="AQ1381" s="87"/>
      <c r="AR1381" s="87"/>
      <c r="AS1381" s="87"/>
      <c r="AT1381" s="87"/>
      <c r="AU1381" s="87"/>
      <c r="AV1381" s="87"/>
      <c r="AW1381" s="87"/>
      <c r="AX1381" s="87"/>
      <c r="AY1381" s="87"/>
      <c r="AZ1381" s="87"/>
      <c r="BA1381" s="87"/>
      <c r="BB1381" s="87"/>
      <c r="BC1381" s="87"/>
      <c r="BD1381" s="87"/>
      <c r="BE1381" s="87"/>
      <c r="BF1381" s="87"/>
      <c r="BG1381" s="87"/>
      <c r="BH1381" s="87"/>
    </row>
    <row r="1382" spans="1:60" ht="16">
      <c r="A1382" s="82"/>
      <c r="B1382" s="82"/>
      <c r="C1382" s="82"/>
      <c r="D1382" s="83"/>
      <c r="E1382" s="84"/>
      <c r="F1382" s="84"/>
      <c r="G1382" s="84"/>
      <c r="H1382" s="82"/>
      <c r="I1382" s="84"/>
      <c r="J1382" s="84"/>
      <c r="K1382" s="84"/>
      <c r="L1382" s="84"/>
      <c r="M1382" s="84"/>
      <c r="N1382" s="84"/>
      <c r="O1382" s="84"/>
      <c r="P1382" s="84"/>
      <c r="Q1382" s="84"/>
      <c r="R1382" s="84"/>
      <c r="S1382" s="84"/>
      <c r="T1382" s="84"/>
      <c r="U1382" s="84"/>
      <c r="V1382" s="84"/>
      <c r="W1382" s="84"/>
      <c r="X1382" s="84"/>
      <c r="Y1382" s="84"/>
      <c r="Z1382" s="87"/>
      <c r="AA1382" s="87"/>
      <c r="AB1382" s="87"/>
      <c r="AC1382" s="87"/>
      <c r="AD1382" s="87"/>
      <c r="AE1382" s="87"/>
      <c r="AF1382" s="87"/>
      <c r="AG1382" s="87"/>
      <c r="AH1382" s="87"/>
      <c r="AI1382" s="87"/>
      <c r="AJ1382" s="87"/>
      <c r="AK1382" s="87"/>
      <c r="AL1382" s="87"/>
      <c r="AM1382" s="87"/>
      <c r="AN1382" s="87"/>
      <c r="AO1382" s="87"/>
      <c r="AP1382" s="87"/>
      <c r="AQ1382" s="87"/>
      <c r="AR1382" s="87"/>
      <c r="AS1382" s="87"/>
      <c r="AT1382" s="87"/>
      <c r="AU1382" s="87"/>
      <c r="AV1382" s="87"/>
      <c r="AW1382" s="87"/>
      <c r="AX1382" s="87"/>
      <c r="AY1382" s="87"/>
      <c r="AZ1382" s="87"/>
      <c r="BA1382" s="87"/>
      <c r="BB1382" s="87"/>
      <c r="BC1382" s="87"/>
      <c r="BD1382" s="87"/>
      <c r="BE1382" s="87"/>
      <c r="BF1382" s="87"/>
      <c r="BG1382" s="87"/>
      <c r="BH1382" s="87"/>
    </row>
    <row r="1383" spans="1:60" ht="16">
      <c r="A1383" s="82"/>
      <c r="B1383" s="82"/>
      <c r="C1383" s="82"/>
      <c r="D1383" s="83"/>
      <c r="E1383" s="84"/>
      <c r="F1383" s="84"/>
      <c r="G1383" s="84"/>
      <c r="H1383" s="82"/>
      <c r="I1383" s="84"/>
      <c r="J1383" s="84"/>
      <c r="K1383" s="84"/>
      <c r="L1383" s="84"/>
      <c r="M1383" s="84"/>
      <c r="N1383" s="84"/>
      <c r="O1383" s="84"/>
      <c r="P1383" s="84"/>
      <c r="Q1383" s="84"/>
      <c r="R1383" s="84"/>
      <c r="S1383" s="84"/>
      <c r="T1383" s="84"/>
      <c r="U1383" s="84"/>
      <c r="V1383" s="84"/>
      <c r="W1383" s="84"/>
      <c r="X1383" s="84"/>
      <c r="Y1383" s="84"/>
      <c r="Z1383" s="87"/>
      <c r="AA1383" s="87"/>
      <c r="AB1383" s="87"/>
      <c r="AC1383" s="87"/>
      <c r="AD1383" s="87"/>
      <c r="AE1383" s="87"/>
      <c r="AF1383" s="87"/>
      <c r="AG1383" s="87"/>
      <c r="AH1383" s="87"/>
      <c r="AI1383" s="87"/>
      <c r="AJ1383" s="87"/>
      <c r="AK1383" s="87"/>
      <c r="AL1383" s="87"/>
      <c r="AM1383" s="87"/>
      <c r="AN1383" s="87"/>
      <c r="AO1383" s="87"/>
      <c r="AP1383" s="87"/>
      <c r="AQ1383" s="87"/>
      <c r="AR1383" s="87"/>
      <c r="AS1383" s="87"/>
      <c r="AT1383" s="87"/>
      <c r="AU1383" s="87"/>
      <c r="AV1383" s="87"/>
      <c r="AW1383" s="87"/>
      <c r="AX1383" s="87"/>
      <c r="AY1383" s="87"/>
      <c r="AZ1383" s="87"/>
      <c r="BA1383" s="87"/>
      <c r="BB1383" s="87"/>
      <c r="BC1383" s="87"/>
      <c r="BD1383" s="87"/>
      <c r="BE1383" s="87"/>
      <c r="BF1383" s="87"/>
      <c r="BG1383" s="87"/>
      <c r="BH1383" s="87"/>
    </row>
    <row r="1384" spans="1:60" ht="16">
      <c r="A1384" s="82"/>
      <c r="B1384" s="82"/>
      <c r="C1384" s="82"/>
      <c r="D1384" s="83"/>
      <c r="E1384" s="84"/>
      <c r="F1384" s="84"/>
      <c r="G1384" s="84"/>
      <c r="H1384" s="82"/>
      <c r="I1384" s="84"/>
      <c r="J1384" s="84"/>
      <c r="K1384" s="84"/>
      <c r="L1384" s="84"/>
      <c r="M1384" s="84"/>
      <c r="N1384" s="84"/>
      <c r="O1384" s="84"/>
      <c r="P1384" s="84"/>
      <c r="Q1384" s="84"/>
      <c r="R1384" s="84"/>
      <c r="S1384" s="84"/>
      <c r="T1384" s="84"/>
      <c r="U1384" s="84"/>
      <c r="V1384" s="84"/>
      <c r="W1384" s="84"/>
      <c r="X1384" s="84"/>
      <c r="Y1384" s="84"/>
      <c r="Z1384" s="87"/>
      <c r="AA1384" s="87"/>
      <c r="AB1384" s="87"/>
      <c r="AC1384" s="87"/>
      <c r="AD1384" s="87"/>
      <c r="AE1384" s="87"/>
      <c r="AF1384" s="87"/>
      <c r="AG1384" s="87"/>
      <c r="AH1384" s="87"/>
      <c r="AI1384" s="87"/>
      <c r="AJ1384" s="87"/>
      <c r="AK1384" s="87"/>
      <c r="AL1384" s="87"/>
      <c r="AM1384" s="87"/>
      <c r="AN1384" s="87"/>
      <c r="AO1384" s="87"/>
      <c r="AP1384" s="87"/>
      <c r="AQ1384" s="87"/>
      <c r="AR1384" s="87"/>
      <c r="AS1384" s="87"/>
      <c r="AT1384" s="87"/>
      <c r="AU1384" s="87"/>
      <c r="AV1384" s="87"/>
      <c r="AW1384" s="87"/>
      <c r="AX1384" s="87"/>
      <c r="AY1384" s="87"/>
      <c r="AZ1384" s="87"/>
      <c r="BA1384" s="87"/>
      <c r="BB1384" s="87"/>
      <c r="BC1384" s="87"/>
      <c r="BD1384" s="87"/>
      <c r="BE1384" s="87"/>
      <c r="BF1384" s="87"/>
      <c r="BG1384" s="87"/>
      <c r="BH1384" s="87"/>
    </row>
    <row r="1385" spans="1:60" ht="16">
      <c r="A1385" s="82"/>
      <c r="B1385" s="82"/>
      <c r="C1385" s="82"/>
      <c r="D1385" s="83"/>
      <c r="E1385" s="84"/>
      <c r="F1385" s="84"/>
      <c r="G1385" s="84"/>
      <c r="H1385" s="82"/>
      <c r="I1385" s="84"/>
      <c r="J1385" s="84"/>
      <c r="K1385" s="84"/>
      <c r="L1385" s="84"/>
      <c r="M1385" s="84"/>
      <c r="N1385" s="84"/>
      <c r="O1385" s="84"/>
      <c r="P1385" s="84"/>
      <c r="Q1385" s="84"/>
      <c r="R1385" s="84"/>
      <c r="S1385" s="84"/>
      <c r="T1385" s="84"/>
      <c r="U1385" s="84"/>
      <c r="V1385" s="84"/>
      <c r="W1385" s="84"/>
      <c r="X1385" s="84"/>
      <c r="Y1385" s="84"/>
      <c r="Z1385" s="87"/>
      <c r="AA1385" s="87"/>
      <c r="AB1385" s="87"/>
      <c r="AC1385" s="87"/>
      <c r="AD1385" s="87"/>
      <c r="AE1385" s="87"/>
      <c r="AF1385" s="87"/>
      <c r="AG1385" s="87"/>
      <c r="AH1385" s="87"/>
      <c r="AI1385" s="87"/>
      <c r="AJ1385" s="87"/>
      <c r="AK1385" s="87"/>
      <c r="AL1385" s="87"/>
      <c r="AM1385" s="87"/>
      <c r="AN1385" s="87"/>
      <c r="AO1385" s="87"/>
      <c r="AP1385" s="87"/>
      <c r="AQ1385" s="87"/>
      <c r="AR1385" s="87"/>
      <c r="AS1385" s="87"/>
      <c r="AT1385" s="87"/>
      <c r="AU1385" s="87"/>
      <c r="AV1385" s="87"/>
      <c r="AW1385" s="87"/>
      <c r="AX1385" s="87"/>
      <c r="AY1385" s="87"/>
      <c r="AZ1385" s="87"/>
      <c r="BA1385" s="87"/>
      <c r="BB1385" s="87"/>
      <c r="BC1385" s="87"/>
      <c r="BD1385" s="87"/>
      <c r="BE1385" s="87"/>
      <c r="BF1385" s="87"/>
      <c r="BG1385" s="87"/>
      <c r="BH1385" s="87"/>
    </row>
    <row r="1386" spans="1:60" ht="16">
      <c r="A1386" s="82"/>
      <c r="B1386" s="82"/>
      <c r="C1386" s="82"/>
      <c r="D1386" s="83"/>
      <c r="E1386" s="84"/>
      <c r="F1386" s="84"/>
      <c r="G1386" s="84"/>
      <c r="H1386" s="82"/>
      <c r="I1386" s="84"/>
      <c r="J1386" s="84"/>
      <c r="K1386" s="84"/>
      <c r="L1386" s="84"/>
      <c r="M1386" s="84"/>
      <c r="N1386" s="84"/>
      <c r="O1386" s="84"/>
      <c r="P1386" s="84"/>
      <c r="Q1386" s="84"/>
      <c r="R1386" s="84"/>
      <c r="S1386" s="84"/>
      <c r="T1386" s="84"/>
      <c r="U1386" s="84"/>
      <c r="V1386" s="84"/>
      <c r="W1386" s="84"/>
      <c r="X1386" s="84"/>
      <c r="Y1386" s="84"/>
      <c r="Z1386" s="87"/>
      <c r="AA1386" s="87"/>
      <c r="AB1386" s="87"/>
      <c r="AC1386" s="87"/>
      <c r="AD1386" s="87"/>
      <c r="AE1386" s="87"/>
      <c r="AF1386" s="87"/>
      <c r="AG1386" s="87"/>
      <c r="AH1386" s="87"/>
      <c r="AI1386" s="87"/>
      <c r="AJ1386" s="87"/>
      <c r="AK1386" s="87"/>
      <c r="AL1386" s="87"/>
      <c r="AM1386" s="87"/>
      <c r="AN1386" s="87"/>
      <c r="AO1386" s="87"/>
      <c r="AP1386" s="87"/>
      <c r="AQ1386" s="87"/>
      <c r="AR1386" s="87"/>
      <c r="AS1386" s="87"/>
      <c r="AT1386" s="87"/>
      <c r="AU1386" s="87"/>
      <c r="AV1386" s="87"/>
      <c r="AW1386" s="87"/>
      <c r="AX1386" s="87"/>
      <c r="AY1386" s="87"/>
      <c r="AZ1386" s="87"/>
      <c r="BA1386" s="87"/>
      <c r="BB1386" s="87"/>
      <c r="BC1386" s="87"/>
      <c r="BD1386" s="87"/>
      <c r="BE1386" s="87"/>
      <c r="BF1386" s="87"/>
      <c r="BG1386" s="87"/>
      <c r="BH1386" s="87"/>
    </row>
    <row r="1387" spans="1:60" ht="16">
      <c r="A1387" s="82"/>
      <c r="B1387" s="82"/>
      <c r="C1387" s="82"/>
      <c r="D1387" s="83"/>
      <c r="E1387" s="84"/>
      <c r="F1387" s="84"/>
      <c r="G1387" s="84"/>
      <c r="H1387" s="82"/>
      <c r="I1387" s="84"/>
      <c r="J1387" s="84"/>
      <c r="K1387" s="84"/>
      <c r="L1387" s="84"/>
      <c r="M1387" s="84"/>
      <c r="N1387" s="84"/>
      <c r="O1387" s="84"/>
      <c r="P1387" s="84"/>
      <c r="Q1387" s="84"/>
      <c r="R1387" s="84"/>
      <c r="S1387" s="84"/>
      <c r="T1387" s="84"/>
      <c r="U1387" s="84"/>
      <c r="V1387" s="84"/>
      <c r="W1387" s="84"/>
      <c r="X1387" s="84"/>
      <c r="Y1387" s="84"/>
      <c r="Z1387" s="87"/>
      <c r="AA1387" s="87"/>
      <c r="AB1387" s="87"/>
      <c r="AC1387" s="87"/>
      <c r="AD1387" s="87"/>
      <c r="AE1387" s="87"/>
      <c r="AF1387" s="87"/>
      <c r="AG1387" s="87"/>
      <c r="AH1387" s="87"/>
      <c r="AI1387" s="87"/>
      <c r="AJ1387" s="87"/>
      <c r="AK1387" s="87"/>
      <c r="AL1387" s="87"/>
      <c r="AM1387" s="87"/>
      <c r="AN1387" s="87"/>
      <c r="AO1387" s="87"/>
      <c r="AP1387" s="87"/>
      <c r="AQ1387" s="87"/>
      <c r="AR1387" s="87"/>
      <c r="AS1387" s="87"/>
      <c r="AT1387" s="87"/>
      <c r="AU1387" s="87"/>
      <c r="AV1387" s="87"/>
      <c r="AW1387" s="87"/>
      <c r="AX1387" s="87"/>
      <c r="AY1387" s="87"/>
      <c r="AZ1387" s="87"/>
      <c r="BA1387" s="87"/>
      <c r="BB1387" s="87"/>
      <c r="BC1387" s="87"/>
      <c r="BD1387" s="87"/>
      <c r="BE1387" s="87"/>
      <c r="BF1387" s="87"/>
      <c r="BG1387" s="87"/>
      <c r="BH1387" s="87"/>
    </row>
    <row r="1388" spans="1:60" ht="16">
      <c r="A1388" s="82"/>
      <c r="B1388" s="82"/>
      <c r="C1388" s="82"/>
      <c r="D1388" s="83"/>
      <c r="E1388" s="84"/>
      <c r="F1388" s="84"/>
      <c r="G1388" s="84"/>
      <c r="H1388" s="82"/>
      <c r="I1388" s="84"/>
      <c r="J1388" s="84"/>
      <c r="K1388" s="84"/>
      <c r="L1388" s="84"/>
      <c r="M1388" s="84"/>
      <c r="N1388" s="84"/>
      <c r="O1388" s="84"/>
      <c r="P1388" s="84"/>
      <c r="Q1388" s="84"/>
      <c r="R1388" s="84"/>
      <c r="S1388" s="84"/>
      <c r="T1388" s="84"/>
      <c r="U1388" s="84"/>
      <c r="V1388" s="84"/>
      <c r="W1388" s="84"/>
      <c r="X1388" s="84"/>
      <c r="Y1388" s="84"/>
      <c r="Z1388" s="87"/>
      <c r="AA1388" s="87"/>
      <c r="AB1388" s="87"/>
      <c r="AC1388" s="87"/>
      <c r="AD1388" s="87"/>
      <c r="AE1388" s="87"/>
      <c r="AF1388" s="87"/>
      <c r="AG1388" s="87"/>
      <c r="AH1388" s="87"/>
      <c r="AI1388" s="87"/>
      <c r="AJ1388" s="87"/>
      <c r="AK1388" s="87"/>
      <c r="AL1388" s="87"/>
      <c r="AM1388" s="87"/>
      <c r="AN1388" s="87"/>
      <c r="AO1388" s="87"/>
      <c r="AP1388" s="87"/>
      <c r="AQ1388" s="87"/>
      <c r="AR1388" s="87"/>
      <c r="AS1388" s="87"/>
      <c r="AT1388" s="87"/>
      <c r="AU1388" s="87"/>
      <c r="AV1388" s="87"/>
      <c r="AW1388" s="87"/>
      <c r="AX1388" s="87"/>
      <c r="AY1388" s="87"/>
      <c r="AZ1388" s="87"/>
      <c r="BA1388" s="87"/>
      <c r="BB1388" s="87"/>
      <c r="BC1388" s="87"/>
      <c r="BD1388" s="87"/>
      <c r="BE1388" s="87"/>
      <c r="BF1388" s="87"/>
      <c r="BG1388" s="87"/>
      <c r="BH1388" s="87"/>
    </row>
    <row r="1389" spans="1:60" ht="16">
      <c r="A1389" s="82"/>
      <c r="B1389" s="82"/>
      <c r="C1389" s="82"/>
      <c r="D1389" s="83"/>
      <c r="E1389" s="84"/>
      <c r="F1389" s="84"/>
      <c r="G1389" s="84"/>
      <c r="H1389" s="82"/>
      <c r="I1389" s="84"/>
      <c r="J1389" s="84"/>
      <c r="K1389" s="84"/>
      <c r="L1389" s="84"/>
      <c r="M1389" s="84"/>
      <c r="N1389" s="84"/>
      <c r="O1389" s="84"/>
      <c r="P1389" s="84"/>
      <c r="Q1389" s="84"/>
      <c r="R1389" s="84"/>
      <c r="S1389" s="84"/>
      <c r="T1389" s="84"/>
      <c r="U1389" s="84"/>
      <c r="V1389" s="84"/>
      <c r="W1389" s="84"/>
      <c r="X1389" s="84"/>
      <c r="Y1389" s="84"/>
      <c r="Z1389" s="87"/>
      <c r="AA1389" s="87"/>
      <c r="AB1389" s="87"/>
      <c r="AC1389" s="87"/>
      <c r="AD1389" s="87"/>
      <c r="AE1389" s="87"/>
      <c r="AF1389" s="87"/>
      <c r="AG1389" s="87"/>
      <c r="AH1389" s="87"/>
      <c r="AI1389" s="87"/>
      <c r="AJ1389" s="87"/>
      <c r="AK1389" s="87"/>
      <c r="AL1389" s="87"/>
      <c r="AM1389" s="87"/>
      <c r="AN1389" s="87"/>
      <c r="AO1389" s="87"/>
      <c r="AP1389" s="87"/>
      <c r="AQ1389" s="87"/>
      <c r="AR1389" s="87"/>
      <c r="AS1389" s="87"/>
      <c r="AT1389" s="87"/>
      <c r="AU1389" s="87"/>
      <c r="AV1389" s="87"/>
      <c r="AW1389" s="87"/>
      <c r="AX1389" s="87"/>
      <c r="AY1389" s="87"/>
      <c r="AZ1389" s="87"/>
      <c r="BA1389" s="87"/>
      <c r="BB1389" s="87"/>
      <c r="BC1389" s="87"/>
      <c r="BD1389" s="87"/>
      <c r="BE1389" s="87"/>
      <c r="BF1389" s="87"/>
      <c r="BG1389" s="87"/>
      <c r="BH1389" s="87"/>
    </row>
    <row r="1390" spans="1:60" ht="16">
      <c r="A1390" s="82"/>
      <c r="B1390" s="82"/>
      <c r="C1390" s="82"/>
      <c r="D1390" s="83"/>
      <c r="E1390" s="84"/>
      <c r="F1390" s="84"/>
      <c r="G1390" s="84"/>
      <c r="H1390" s="82"/>
      <c r="I1390" s="84"/>
      <c r="J1390" s="84"/>
      <c r="K1390" s="84"/>
      <c r="L1390" s="84"/>
      <c r="M1390" s="84"/>
      <c r="N1390" s="84"/>
      <c r="O1390" s="84"/>
      <c r="P1390" s="84"/>
      <c r="Q1390" s="84"/>
      <c r="R1390" s="84"/>
      <c r="S1390" s="84"/>
      <c r="T1390" s="84"/>
      <c r="U1390" s="84"/>
      <c r="V1390" s="84"/>
      <c r="W1390" s="84"/>
      <c r="X1390" s="84"/>
      <c r="Y1390" s="84"/>
      <c r="Z1390" s="87"/>
      <c r="AA1390" s="87"/>
      <c r="AB1390" s="87"/>
      <c r="AC1390" s="87"/>
      <c r="AD1390" s="87"/>
      <c r="AE1390" s="87"/>
      <c r="AF1390" s="87"/>
      <c r="AG1390" s="87"/>
      <c r="AH1390" s="87"/>
      <c r="AI1390" s="87"/>
      <c r="AJ1390" s="87"/>
      <c r="AK1390" s="87"/>
      <c r="AL1390" s="87"/>
      <c r="AM1390" s="87"/>
      <c r="AN1390" s="87"/>
      <c r="AO1390" s="87"/>
      <c r="AP1390" s="87"/>
      <c r="AQ1390" s="87"/>
      <c r="AR1390" s="87"/>
      <c r="AS1390" s="87"/>
      <c r="AT1390" s="87"/>
      <c r="AU1390" s="87"/>
      <c r="AV1390" s="87"/>
      <c r="AW1390" s="87"/>
      <c r="AX1390" s="87"/>
      <c r="AY1390" s="87"/>
      <c r="AZ1390" s="87"/>
      <c r="BA1390" s="87"/>
      <c r="BB1390" s="87"/>
      <c r="BC1390" s="87"/>
      <c r="BD1390" s="87"/>
      <c r="BE1390" s="87"/>
      <c r="BF1390" s="87"/>
      <c r="BG1390" s="87"/>
      <c r="BH1390" s="87"/>
    </row>
    <row r="1391" spans="1:60" ht="16">
      <c r="A1391" s="82"/>
      <c r="B1391" s="82"/>
      <c r="C1391" s="82"/>
      <c r="D1391" s="83"/>
      <c r="E1391" s="84"/>
      <c r="F1391" s="84"/>
      <c r="G1391" s="84"/>
      <c r="H1391" s="82"/>
      <c r="I1391" s="84"/>
      <c r="J1391" s="84"/>
      <c r="K1391" s="84"/>
      <c r="L1391" s="84"/>
      <c r="M1391" s="84"/>
      <c r="N1391" s="84"/>
      <c r="O1391" s="84"/>
      <c r="P1391" s="84"/>
      <c r="Q1391" s="84"/>
      <c r="R1391" s="84"/>
      <c r="S1391" s="84"/>
      <c r="T1391" s="84"/>
      <c r="U1391" s="84"/>
      <c r="V1391" s="84"/>
      <c r="W1391" s="84"/>
      <c r="X1391" s="84"/>
      <c r="Y1391" s="84"/>
      <c r="Z1391" s="87"/>
      <c r="AA1391" s="87"/>
      <c r="AB1391" s="87"/>
      <c r="AC1391" s="87"/>
      <c r="AD1391" s="87"/>
      <c r="AE1391" s="87"/>
      <c r="AF1391" s="87"/>
      <c r="AG1391" s="87"/>
      <c r="AH1391" s="87"/>
      <c r="AI1391" s="87"/>
      <c r="AJ1391" s="87"/>
      <c r="AK1391" s="87"/>
      <c r="AL1391" s="87"/>
      <c r="AM1391" s="87"/>
      <c r="AN1391" s="87"/>
      <c r="AO1391" s="87"/>
      <c r="AP1391" s="87"/>
      <c r="AQ1391" s="87"/>
      <c r="AR1391" s="87"/>
      <c r="AS1391" s="87"/>
      <c r="AT1391" s="87"/>
      <c r="AU1391" s="87"/>
      <c r="AV1391" s="87"/>
      <c r="AW1391" s="87"/>
      <c r="AX1391" s="87"/>
      <c r="AY1391" s="87"/>
      <c r="AZ1391" s="87"/>
      <c r="BA1391" s="87"/>
      <c r="BB1391" s="87"/>
      <c r="BC1391" s="87"/>
      <c r="BD1391" s="87"/>
      <c r="BE1391" s="87"/>
      <c r="BF1391" s="87"/>
      <c r="BG1391" s="87"/>
      <c r="BH1391" s="87"/>
    </row>
    <row r="1392" spans="1:60" ht="16">
      <c r="A1392" s="82"/>
      <c r="B1392" s="82"/>
      <c r="C1392" s="82"/>
      <c r="D1392" s="83"/>
      <c r="E1392" s="84"/>
      <c r="F1392" s="84"/>
      <c r="G1392" s="84"/>
      <c r="H1392" s="82"/>
      <c r="I1392" s="84"/>
      <c r="J1392" s="84"/>
      <c r="K1392" s="84"/>
      <c r="L1392" s="84"/>
      <c r="M1392" s="84"/>
      <c r="N1392" s="84"/>
      <c r="O1392" s="84"/>
      <c r="P1392" s="84"/>
      <c r="Q1392" s="84"/>
      <c r="R1392" s="84"/>
      <c r="S1392" s="84"/>
      <c r="T1392" s="84"/>
      <c r="U1392" s="84"/>
      <c r="V1392" s="84"/>
      <c r="W1392" s="84"/>
      <c r="X1392" s="84"/>
      <c r="Y1392" s="84"/>
      <c r="Z1392" s="87"/>
      <c r="AA1392" s="87"/>
      <c r="AB1392" s="87"/>
      <c r="AC1392" s="87"/>
      <c r="AD1392" s="87"/>
      <c r="AE1392" s="87"/>
      <c r="AF1392" s="87"/>
      <c r="AG1392" s="87"/>
      <c r="AH1392" s="87"/>
      <c r="AI1392" s="87"/>
      <c r="AJ1392" s="87"/>
      <c r="AK1392" s="87"/>
      <c r="AL1392" s="87"/>
      <c r="AM1392" s="87"/>
      <c r="AN1392" s="87"/>
      <c r="AO1392" s="87"/>
      <c r="AP1392" s="87"/>
      <c r="AQ1392" s="87"/>
      <c r="AR1392" s="87"/>
      <c r="AS1392" s="87"/>
      <c r="AT1392" s="87"/>
      <c r="AU1392" s="87"/>
      <c r="AV1392" s="87"/>
      <c r="AW1392" s="87"/>
      <c r="AX1392" s="87"/>
      <c r="AY1392" s="87"/>
      <c r="AZ1392" s="87"/>
      <c r="BA1392" s="87"/>
      <c r="BB1392" s="87"/>
      <c r="BC1392" s="87"/>
      <c r="BD1392" s="87"/>
      <c r="BE1392" s="87"/>
      <c r="BF1392" s="87"/>
      <c r="BG1392" s="87"/>
      <c r="BH1392" s="87"/>
    </row>
    <row r="1393" spans="1:60" ht="16">
      <c r="A1393" s="82"/>
      <c r="B1393" s="82"/>
      <c r="C1393" s="82"/>
      <c r="D1393" s="83"/>
      <c r="E1393" s="84"/>
      <c r="F1393" s="84"/>
      <c r="G1393" s="84"/>
      <c r="H1393" s="82"/>
      <c r="I1393" s="84"/>
      <c r="J1393" s="84"/>
      <c r="K1393" s="84"/>
      <c r="L1393" s="84"/>
      <c r="M1393" s="84"/>
      <c r="N1393" s="84"/>
      <c r="O1393" s="84"/>
      <c r="P1393" s="84"/>
      <c r="Q1393" s="84"/>
      <c r="R1393" s="84"/>
      <c r="S1393" s="84"/>
      <c r="T1393" s="84"/>
      <c r="U1393" s="84"/>
      <c r="V1393" s="84"/>
      <c r="W1393" s="84"/>
      <c r="X1393" s="84"/>
      <c r="Y1393" s="84"/>
      <c r="Z1393" s="87"/>
      <c r="AA1393" s="87"/>
      <c r="AB1393" s="87"/>
      <c r="AC1393" s="87"/>
      <c r="AD1393" s="87"/>
      <c r="AE1393" s="87"/>
      <c r="AF1393" s="87"/>
      <c r="AG1393" s="87"/>
      <c r="AH1393" s="87"/>
      <c r="AI1393" s="87"/>
      <c r="AJ1393" s="87"/>
      <c r="AK1393" s="87"/>
      <c r="AL1393" s="87"/>
      <c r="AM1393" s="87"/>
      <c r="AN1393" s="87"/>
      <c r="AO1393" s="87"/>
      <c r="AP1393" s="87"/>
      <c r="AQ1393" s="87"/>
      <c r="AR1393" s="87"/>
      <c r="AS1393" s="87"/>
      <c r="AT1393" s="87"/>
      <c r="AU1393" s="87"/>
      <c r="AV1393" s="87"/>
      <c r="AW1393" s="87"/>
      <c r="AX1393" s="87"/>
      <c r="AY1393" s="87"/>
      <c r="AZ1393" s="87"/>
      <c r="BA1393" s="87"/>
      <c r="BB1393" s="87"/>
      <c r="BC1393" s="87"/>
      <c r="BD1393" s="87"/>
      <c r="BE1393" s="87"/>
      <c r="BF1393" s="87"/>
      <c r="BG1393" s="87"/>
      <c r="BH1393" s="87"/>
    </row>
    <row r="1394" spans="1:60" ht="16">
      <c r="A1394" s="82"/>
      <c r="B1394" s="82"/>
      <c r="C1394" s="82"/>
      <c r="D1394" s="83"/>
      <c r="E1394" s="84"/>
      <c r="F1394" s="84"/>
      <c r="G1394" s="84"/>
      <c r="H1394" s="82"/>
      <c r="I1394" s="84"/>
      <c r="J1394" s="84"/>
      <c r="K1394" s="84"/>
      <c r="L1394" s="84"/>
      <c r="M1394" s="84"/>
      <c r="N1394" s="84"/>
      <c r="O1394" s="84"/>
      <c r="P1394" s="84"/>
      <c r="Q1394" s="84"/>
      <c r="R1394" s="84"/>
      <c r="S1394" s="84"/>
      <c r="T1394" s="84"/>
      <c r="U1394" s="84"/>
      <c r="V1394" s="84"/>
      <c r="W1394" s="84"/>
      <c r="X1394" s="84"/>
      <c r="Y1394" s="84"/>
      <c r="Z1394" s="87"/>
      <c r="AA1394" s="87"/>
      <c r="AB1394" s="87"/>
      <c r="AC1394" s="87"/>
      <c r="AD1394" s="87"/>
      <c r="AE1394" s="87"/>
      <c r="AF1394" s="87"/>
      <c r="AG1394" s="87"/>
      <c r="AH1394" s="87"/>
      <c r="AI1394" s="87"/>
      <c r="AJ1394" s="87"/>
      <c r="AK1394" s="87"/>
      <c r="AL1394" s="87"/>
      <c r="AM1394" s="87"/>
      <c r="AN1394" s="87"/>
      <c r="AO1394" s="87"/>
      <c r="AP1394" s="87"/>
      <c r="AQ1394" s="87"/>
      <c r="AR1394" s="87"/>
      <c r="AS1394" s="87"/>
      <c r="AT1394" s="87"/>
      <c r="AU1394" s="87"/>
      <c r="AV1394" s="87"/>
      <c r="AW1394" s="87"/>
      <c r="AX1394" s="87"/>
      <c r="AY1394" s="87"/>
      <c r="AZ1394" s="87"/>
      <c r="BA1394" s="87"/>
      <c r="BB1394" s="87"/>
      <c r="BC1394" s="87"/>
      <c r="BD1394" s="87"/>
      <c r="BE1394" s="87"/>
      <c r="BF1394" s="87"/>
      <c r="BG1394" s="87"/>
      <c r="BH1394" s="87"/>
    </row>
    <row r="1395" spans="1:60" ht="16">
      <c r="A1395" s="82"/>
      <c r="B1395" s="82"/>
      <c r="C1395" s="82"/>
      <c r="D1395" s="83"/>
      <c r="E1395" s="84"/>
      <c r="F1395" s="84"/>
      <c r="G1395" s="84"/>
      <c r="H1395" s="82"/>
      <c r="I1395" s="84"/>
      <c r="J1395" s="84"/>
      <c r="K1395" s="84"/>
      <c r="L1395" s="84"/>
      <c r="M1395" s="84"/>
      <c r="N1395" s="84"/>
      <c r="O1395" s="84"/>
      <c r="P1395" s="84"/>
      <c r="Q1395" s="84"/>
      <c r="R1395" s="84"/>
      <c r="S1395" s="84"/>
      <c r="T1395" s="84"/>
      <c r="U1395" s="84"/>
      <c r="V1395" s="84"/>
      <c r="W1395" s="84"/>
      <c r="X1395" s="84"/>
      <c r="Y1395" s="84"/>
      <c r="Z1395" s="87"/>
      <c r="AA1395" s="87"/>
      <c r="AB1395" s="87"/>
      <c r="AC1395" s="87"/>
      <c r="AD1395" s="87"/>
      <c r="AE1395" s="87"/>
      <c r="AF1395" s="87"/>
      <c r="AG1395" s="87"/>
      <c r="AH1395" s="87"/>
      <c r="AI1395" s="87"/>
      <c r="AJ1395" s="87"/>
      <c r="AK1395" s="87"/>
      <c r="AL1395" s="87"/>
      <c r="AM1395" s="87"/>
      <c r="AN1395" s="87"/>
      <c r="AO1395" s="87"/>
      <c r="AP1395" s="87"/>
      <c r="AQ1395" s="87"/>
      <c r="AR1395" s="87"/>
      <c r="AS1395" s="87"/>
      <c r="AT1395" s="87"/>
      <c r="AU1395" s="87"/>
      <c r="AV1395" s="87"/>
      <c r="AW1395" s="87"/>
      <c r="AX1395" s="87"/>
      <c r="AY1395" s="87"/>
      <c r="AZ1395" s="87"/>
      <c r="BA1395" s="87"/>
      <c r="BB1395" s="87"/>
      <c r="BC1395" s="87"/>
      <c r="BD1395" s="87"/>
      <c r="BE1395" s="87"/>
      <c r="BF1395" s="87"/>
      <c r="BG1395" s="87"/>
      <c r="BH1395" s="87"/>
    </row>
    <row r="1396" spans="1:60" ht="16">
      <c r="A1396" s="82"/>
      <c r="B1396" s="82"/>
      <c r="C1396" s="82"/>
      <c r="D1396" s="83"/>
      <c r="E1396" s="84"/>
      <c r="F1396" s="84"/>
      <c r="G1396" s="84"/>
      <c r="H1396" s="82"/>
      <c r="I1396" s="84"/>
      <c r="J1396" s="84"/>
      <c r="K1396" s="84"/>
      <c r="L1396" s="84"/>
      <c r="M1396" s="84"/>
      <c r="N1396" s="84"/>
      <c r="O1396" s="84"/>
      <c r="P1396" s="84"/>
      <c r="Q1396" s="84"/>
      <c r="R1396" s="84"/>
      <c r="S1396" s="84"/>
      <c r="T1396" s="84"/>
      <c r="U1396" s="84"/>
      <c r="V1396" s="84"/>
      <c r="W1396" s="84"/>
      <c r="X1396" s="84"/>
      <c r="Y1396" s="84"/>
      <c r="Z1396" s="87"/>
      <c r="AA1396" s="87"/>
      <c r="AB1396" s="87"/>
      <c r="AC1396" s="87"/>
      <c r="AD1396" s="87"/>
      <c r="AE1396" s="87"/>
      <c r="AF1396" s="87"/>
      <c r="AG1396" s="87"/>
      <c r="AH1396" s="87"/>
      <c r="AI1396" s="87"/>
      <c r="AJ1396" s="87"/>
      <c r="AK1396" s="87"/>
      <c r="AL1396" s="87"/>
      <c r="AM1396" s="87"/>
      <c r="AN1396" s="87"/>
      <c r="AO1396" s="87"/>
      <c r="AP1396" s="87"/>
      <c r="AQ1396" s="87"/>
      <c r="AR1396" s="87"/>
      <c r="AS1396" s="87"/>
      <c r="AT1396" s="87"/>
      <c r="AU1396" s="87"/>
      <c r="AV1396" s="87"/>
      <c r="AW1396" s="87"/>
      <c r="AX1396" s="87"/>
      <c r="AY1396" s="87"/>
      <c r="AZ1396" s="87"/>
      <c r="BA1396" s="87"/>
      <c r="BB1396" s="87"/>
      <c r="BC1396" s="87"/>
      <c r="BD1396" s="87"/>
      <c r="BE1396" s="87"/>
      <c r="BF1396" s="87"/>
      <c r="BG1396" s="87"/>
      <c r="BH1396" s="87"/>
    </row>
    <row r="1397" spans="1:60" ht="16">
      <c r="A1397" s="82"/>
      <c r="B1397" s="82"/>
      <c r="C1397" s="82"/>
      <c r="D1397" s="83"/>
      <c r="E1397" s="84"/>
      <c r="F1397" s="84"/>
      <c r="G1397" s="84"/>
      <c r="H1397" s="82"/>
      <c r="I1397" s="84"/>
      <c r="J1397" s="84"/>
      <c r="K1397" s="84"/>
      <c r="L1397" s="84"/>
      <c r="M1397" s="84"/>
      <c r="N1397" s="84"/>
      <c r="O1397" s="84"/>
      <c r="P1397" s="84"/>
      <c r="Q1397" s="84"/>
      <c r="R1397" s="84"/>
      <c r="S1397" s="84"/>
      <c r="T1397" s="84"/>
      <c r="U1397" s="84"/>
      <c r="V1397" s="84"/>
      <c r="W1397" s="84"/>
      <c r="X1397" s="84"/>
      <c r="Y1397" s="84"/>
      <c r="Z1397" s="87"/>
      <c r="AA1397" s="87"/>
      <c r="AB1397" s="87"/>
      <c r="AC1397" s="87"/>
      <c r="AD1397" s="87"/>
      <c r="AE1397" s="87"/>
      <c r="AF1397" s="87"/>
      <c r="AG1397" s="87"/>
      <c r="AH1397" s="87"/>
      <c r="AI1397" s="87"/>
      <c r="AJ1397" s="87"/>
      <c r="AK1397" s="87"/>
      <c r="AL1397" s="87"/>
      <c r="AM1397" s="87"/>
      <c r="AN1397" s="87"/>
      <c r="AO1397" s="87"/>
      <c r="AP1397" s="87"/>
      <c r="AQ1397" s="87"/>
      <c r="AR1397" s="87"/>
      <c r="AS1397" s="87"/>
      <c r="AT1397" s="87"/>
      <c r="AU1397" s="87"/>
      <c r="AV1397" s="87"/>
      <c r="AW1397" s="87"/>
      <c r="AX1397" s="87"/>
      <c r="AY1397" s="87"/>
      <c r="AZ1397" s="87"/>
      <c r="BA1397" s="87"/>
      <c r="BB1397" s="87"/>
      <c r="BC1397" s="87"/>
      <c r="BD1397" s="87"/>
      <c r="BE1397" s="87"/>
      <c r="BF1397" s="87"/>
      <c r="BG1397" s="87"/>
      <c r="BH1397" s="87"/>
    </row>
    <row r="1398" spans="1:60" ht="16">
      <c r="A1398" s="82"/>
      <c r="B1398" s="82"/>
      <c r="C1398" s="82"/>
      <c r="D1398" s="83"/>
      <c r="E1398" s="84"/>
      <c r="F1398" s="84"/>
      <c r="G1398" s="84"/>
      <c r="H1398" s="82"/>
      <c r="I1398" s="84"/>
      <c r="J1398" s="84"/>
      <c r="K1398" s="84"/>
      <c r="L1398" s="84"/>
      <c r="M1398" s="84"/>
      <c r="N1398" s="84"/>
      <c r="O1398" s="84"/>
      <c r="P1398" s="84"/>
      <c r="Q1398" s="84"/>
      <c r="R1398" s="84"/>
      <c r="S1398" s="84"/>
      <c r="T1398" s="84"/>
      <c r="U1398" s="84"/>
      <c r="V1398" s="84"/>
      <c r="W1398" s="84"/>
      <c r="X1398" s="84"/>
      <c r="Y1398" s="84"/>
      <c r="Z1398" s="87"/>
      <c r="AA1398" s="87"/>
      <c r="AB1398" s="87"/>
      <c r="AC1398" s="87"/>
      <c r="AD1398" s="87"/>
      <c r="AE1398" s="87"/>
      <c r="AF1398" s="87"/>
      <c r="AG1398" s="87"/>
      <c r="AH1398" s="87"/>
      <c r="AI1398" s="87"/>
      <c r="AJ1398" s="87"/>
      <c r="AK1398" s="87"/>
      <c r="AL1398" s="87"/>
      <c r="AM1398" s="87"/>
      <c r="AN1398" s="87"/>
      <c r="AO1398" s="87"/>
      <c r="AP1398" s="87"/>
      <c r="AQ1398" s="87"/>
      <c r="AR1398" s="87"/>
      <c r="AS1398" s="87"/>
      <c r="AT1398" s="87"/>
      <c r="AU1398" s="87"/>
      <c r="AV1398" s="87"/>
      <c r="AW1398" s="87"/>
      <c r="AX1398" s="87"/>
      <c r="AY1398" s="87"/>
      <c r="AZ1398" s="87"/>
      <c r="BA1398" s="87"/>
      <c r="BB1398" s="87"/>
      <c r="BC1398" s="87"/>
      <c r="BD1398" s="87"/>
      <c r="BE1398" s="87"/>
      <c r="BF1398" s="87"/>
      <c r="BG1398" s="87"/>
      <c r="BH1398" s="87"/>
    </row>
    <row r="1399" spans="1:60" ht="16">
      <c r="A1399" s="82"/>
      <c r="B1399" s="82"/>
      <c r="C1399" s="82"/>
      <c r="D1399" s="83"/>
      <c r="E1399" s="84"/>
      <c r="F1399" s="84"/>
      <c r="G1399" s="84"/>
      <c r="H1399" s="82"/>
      <c r="I1399" s="84"/>
      <c r="J1399" s="84"/>
      <c r="K1399" s="84"/>
      <c r="L1399" s="84"/>
      <c r="M1399" s="84"/>
      <c r="N1399" s="84"/>
      <c r="O1399" s="84"/>
      <c r="P1399" s="84"/>
      <c r="Q1399" s="84"/>
      <c r="R1399" s="84"/>
      <c r="S1399" s="84"/>
      <c r="T1399" s="84"/>
      <c r="U1399" s="84"/>
      <c r="V1399" s="84"/>
      <c r="W1399" s="84"/>
      <c r="X1399" s="84"/>
      <c r="Y1399" s="84"/>
      <c r="Z1399" s="87"/>
      <c r="AA1399" s="87"/>
      <c r="AB1399" s="87"/>
      <c r="AC1399" s="87"/>
      <c r="AD1399" s="87"/>
      <c r="AE1399" s="87"/>
      <c r="AF1399" s="87"/>
      <c r="AG1399" s="87"/>
      <c r="AH1399" s="87"/>
      <c r="AI1399" s="87"/>
      <c r="AJ1399" s="87"/>
      <c r="AK1399" s="87"/>
      <c r="AL1399" s="87"/>
      <c r="AM1399" s="87"/>
      <c r="AN1399" s="87"/>
      <c r="AO1399" s="87"/>
      <c r="AP1399" s="87"/>
      <c r="AQ1399" s="87"/>
      <c r="AR1399" s="87"/>
      <c r="AS1399" s="87"/>
      <c r="AT1399" s="87"/>
      <c r="AU1399" s="87"/>
      <c r="AV1399" s="87"/>
      <c r="AW1399" s="87"/>
      <c r="AX1399" s="87"/>
      <c r="AY1399" s="87"/>
      <c r="AZ1399" s="87"/>
      <c r="BA1399" s="87"/>
      <c r="BB1399" s="87"/>
      <c r="BC1399" s="87"/>
      <c r="BD1399" s="87"/>
      <c r="BE1399" s="87"/>
      <c r="BF1399" s="87"/>
      <c r="BG1399" s="87"/>
      <c r="BH1399" s="87"/>
    </row>
    <row r="1400" spans="1:60" ht="16">
      <c r="A1400" s="82"/>
      <c r="B1400" s="82"/>
      <c r="C1400" s="82"/>
      <c r="D1400" s="83"/>
      <c r="E1400" s="84"/>
      <c r="F1400" s="84"/>
      <c r="G1400" s="84"/>
      <c r="H1400" s="82"/>
      <c r="I1400" s="84"/>
      <c r="J1400" s="84"/>
      <c r="K1400" s="84"/>
      <c r="L1400" s="84"/>
      <c r="M1400" s="84"/>
      <c r="N1400" s="84"/>
      <c r="O1400" s="84"/>
      <c r="P1400" s="84"/>
      <c r="Q1400" s="84"/>
      <c r="R1400" s="84"/>
      <c r="S1400" s="84"/>
      <c r="T1400" s="84"/>
      <c r="U1400" s="84"/>
      <c r="V1400" s="84"/>
      <c r="W1400" s="84"/>
      <c r="X1400" s="84"/>
      <c r="Y1400" s="84"/>
      <c r="Z1400" s="87"/>
      <c r="AA1400" s="87"/>
      <c r="AB1400" s="87"/>
      <c r="AC1400" s="87"/>
      <c r="AD1400" s="87"/>
      <c r="AE1400" s="87"/>
      <c r="AF1400" s="87"/>
      <c r="AG1400" s="87"/>
      <c r="AH1400" s="87"/>
      <c r="AI1400" s="87"/>
      <c r="AJ1400" s="87"/>
      <c r="AK1400" s="87"/>
      <c r="AL1400" s="87"/>
      <c r="AM1400" s="87"/>
      <c r="AN1400" s="87"/>
      <c r="AO1400" s="87"/>
      <c r="AP1400" s="87"/>
      <c r="AQ1400" s="87"/>
      <c r="AR1400" s="87"/>
      <c r="AS1400" s="87"/>
      <c r="AT1400" s="87"/>
      <c r="AU1400" s="87"/>
      <c r="AV1400" s="87"/>
      <c r="AW1400" s="87"/>
      <c r="AX1400" s="87"/>
      <c r="AY1400" s="87"/>
      <c r="AZ1400" s="87"/>
      <c r="BA1400" s="87"/>
      <c r="BB1400" s="87"/>
      <c r="BC1400" s="87"/>
      <c r="BD1400" s="87"/>
      <c r="BE1400" s="87"/>
      <c r="BF1400" s="87"/>
      <c r="BG1400" s="87"/>
      <c r="BH1400" s="87"/>
    </row>
    <row r="1401" spans="1:60" ht="16">
      <c r="A1401" s="82"/>
      <c r="B1401" s="82"/>
      <c r="C1401" s="82"/>
      <c r="D1401" s="83"/>
      <c r="E1401" s="84"/>
      <c r="F1401" s="84"/>
      <c r="G1401" s="84"/>
      <c r="H1401" s="82"/>
      <c r="I1401" s="84"/>
      <c r="J1401" s="84"/>
      <c r="K1401" s="84"/>
      <c r="L1401" s="84"/>
      <c r="M1401" s="84"/>
      <c r="N1401" s="84"/>
      <c r="O1401" s="84"/>
      <c r="P1401" s="84"/>
      <c r="Q1401" s="84"/>
      <c r="R1401" s="84"/>
      <c r="S1401" s="84"/>
      <c r="T1401" s="84"/>
      <c r="U1401" s="84"/>
      <c r="V1401" s="84"/>
      <c r="W1401" s="84"/>
      <c r="X1401" s="84"/>
      <c r="Y1401" s="84"/>
      <c r="Z1401" s="87"/>
      <c r="AA1401" s="87"/>
      <c r="AB1401" s="87"/>
      <c r="AC1401" s="87"/>
      <c r="AD1401" s="87"/>
      <c r="AE1401" s="87"/>
      <c r="AF1401" s="87"/>
      <c r="AG1401" s="87"/>
      <c r="AH1401" s="87"/>
      <c r="AI1401" s="87"/>
      <c r="AJ1401" s="87"/>
      <c r="AK1401" s="87"/>
      <c r="AL1401" s="87"/>
      <c r="AM1401" s="87"/>
      <c r="AN1401" s="87"/>
      <c r="AO1401" s="87"/>
      <c r="AP1401" s="87"/>
      <c r="AQ1401" s="87"/>
      <c r="AR1401" s="87"/>
      <c r="AS1401" s="87"/>
      <c r="AT1401" s="87"/>
      <c r="AU1401" s="87"/>
      <c r="AV1401" s="87"/>
      <c r="AW1401" s="87"/>
      <c r="AX1401" s="87"/>
      <c r="AY1401" s="87"/>
      <c r="AZ1401" s="87"/>
      <c r="BA1401" s="87"/>
      <c r="BB1401" s="87"/>
      <c r="BC1401" s="87"/>
      <c r="BD1401" s="87"/>
      <c r="BE1401" s="87"/>
      <c r="BF1401" s="87"/>
      <c r="BG1401" s="87"/>
      <c r="BH1401" s="87"/>
    </row>
    <row r="1402" spans="1:60" ht="16">
      <c r="A1402" s="82"/>
      <c r="B1402" s="82"/>
      <c r="C1402" s="82"/>
      <c r="D1402" s="83"/>
      <c r="E1402" s="84"/>
      <c r="F1402" s="84"/>
      <c r="G1402" s="84"/>
      <c r="H1402" s="82"/>
      <c r="I1402" s="84"/>
      <c r="J1402" s="84"/>
      <c r="K1402" s="84"/>
      <c r="L1402" s="84"/>
      <c r="M1402" s="84"/>
      <c r="N1402" s="84"/>
      <c r="O1402" s="84"/>
      <c r="P1402" s="84"/>
      <c r="Q1402" s="84"/>
      <c r="R1402" s="84"/>
      <c r="S1402" s="84"/>
      <c r="T1402" s="84"/>
      <c r="U1402" s="84"/>
      <c r="V1402" s="84"/>
      <c r="W1402" s="84"/>
      <c r="X1402" s="84"/>
      <c r="Y1402" s="84"/>
      <c r="Z1402" s="87"/>
      <c r="AA1402" s="87"/>
      <c r="AB1402" s="87"/>
      <c r="AC1402" s="87"/>
      <c r="AD1402" s="87"/>
      <c r="AE1402" s="87"/>
      <c r="AF1402" s="87"/>
      <c r="AG1402" s="87"/>
      <c r="AH1402" s="87"/>
      <c r="AI1402" s="87"/>
      <c r="AJ1402" s="87"/>
      <c r="AK1402" s="87"/>
      <c r="AL1402" s="87"/>
      <c r="AM1402" s="87"/>
      <c r="AN1402" s="87"/>
      <c r="AO1402" s="87"/>
      <c r="AP1402" s="87"/>
      <c r="AQ1402" s="87"/>
      <c r="AR1402" s="87"/>
      <c r="AS1402" s="87"/>
      <c r="AT1402" s="87"/>
      <c r="AU1402" s="87"/>
      <c r="AV1402" s="87"/>
      <c r="AW1402" s="87"/>
      <c r="AX1402" s="87"/>
      <c r="AY1402" s="87"/>
      <c r="AZ1402" s="87"/>
      <c r="BA1402" s="87"/>
      <c r="BB1402" s="87"/>
      <c r="BC1402" s="87"/>
      <c r="BD1402" s="87"/>
      <c r="BE1402" s="87"/>
      <c r="BF1402" s="87"/>
      <c r="BG1402" s="87"/>
      <c r="BH1402" s="87"/>
    </row>
    <row r="1403" spans="1:60" ht="16">
      <c r="A1403" s="82"/>
      <c r="B1403" s="82"/>
      <c r="C1403" s="82"/>
      <c r="D1403" s="83"/>
      <c r="E1403" s="84"/>
      <c r="F1403" s="84"/>
      <c r="G1403" s="84"/>
      <c r="H1403" s="82"/>
      <c r="I1403" s="84"/>
      <c r="J1403" s="84"/>
      <c r="K1403" s="84"/>
      <c r="L1403" s="84"/>
      <c r="M1403" s="84"/>
      <c r="N1403" s="84"/>
      <c r="O1403" s="84"/>
      <c r="P1403" s="84"/>
      <c r="Q1403" s="84"/>
      <c r="R1403" s="84"/>
      <c r="S1403" s="84"/>
      <c r="T1403" s="84"/>
      <c r="U1403" s="84"/>
      <c r="V1403" s="84"/>
      <c r="W1403" s="84"/>
      <c r="X1403" s="84"/>
      <c r="Y1403" s="84"/>
      <c r="Z1403" s="87"/>
      <c r="AA1403" s="87"/>
      <c r="AB1403" s="87"/>
      <c r="AC1403" s="87"/>
      <c r="AD1403" s="87"/>
      <c r="AE1403" s="87"/>
      <c r="AF1403" s="87"/>
      <c r="AG1403" s="87"/>
      <c r="AH1403" s="87"/>
      <c r="AI1403" s="87"/>
      <c r="AJ1403" s="87"/>
      <c r="AK1403" s="87"/>
      <c r="AL1403" s="87"/>
      <c r="AM1403" s="87"/>
      <c r="AN1403" s="87"/>
      <c r="AO1403" s="87"/>
      <c r="AP1403" s="87"/>
      <c r="AQ1403" s="87"/>
      <c r="AR1403" s="87"/>
      <c r="AS1403" s="87"/>
      <c r="AT1403" s="87"/>
      <c r="AU1403" s="87"/>
      <c r="AV1403" s="87"/>
      <c r="AW1403" s="87"/>
      <c r="AX1403" s="87"/>
      <c r="AY1403" s="87"/>
      <c r="AZ1403" s="87"/>
      <c r="BA1403" s="87"/>
      <c r="BB1403" s="87"/>
      <c r="BC1403" s="87"/>
      <c r="BD1403" s="87"/>
      <c r="BE1403" s="87"/>
      <c r="BF1403" s="87"/>
      <c r="BG1403" s="87"/>
      <c r="BH1403" s="87"/>
    </row>
    <row r="1404" spans="1:60" ht="16">
      <c r="A1404" s="82"/>
      <c r="B1404" s="82"/>
      <c r="C1404" s="82"/>
      <c r="D1404" s="83"/>
      <c r="E1404" s="84"/>
      <c r="F1404" s="84"/>
      <c r="G1404" s="84"/>
      <c r="H1404" s="82"/>
      <c r="I1404" s="84"/>
      <c r="J1404" s="84"/>
      <c r="K1404" s="84"/>
      <c r="L1404" s="84"/>
      <c r="M1404" s="84"/>
      <c r="N1404" s="84"/>
      <c r="O1404" s="84"/>
      <c r="P1404" s="84"/>
      <c r="Q1404" s="84"/>
      <c r="R1404" s="84"/>
      <c r="S1404" s="84"/>
      <c r="T1404" s="84"/>
      <c r="U1404" s="84"/>
      <c r="V1404" s="84"/>
      <c r="W1404" s="84"/>
      <c r="X1404" s="84"/>
      <c r="Y1404" s="84"/>
      <c r="Z1404" s="87"/>
      <c r="AA1404" s="87"/>
      <c r="AB1404" s="87"/>
      <c r="AC1404" s="87"/>
      <c r="AD1404" s="87"/>
      <c r="AE1404" s="87"/>
      <c r="AF1404" s="87"/>
      <c r="AG1404" s="87"/>
      <c r="AH1404" s="87"/>
      <c r="AI1404" s="87"/>
      <c r="AJ1404" s="87"/>
      <c r="AK1404" s="87"/>
      <c r="AL1404" s="87"/>
      <c r="AM1404" s="87"/>
      <c r="AN1404" s="87"/>
      <c r="AO1404" s="87"/>
      <c r="AP1404" s="87"/>
      <c r="AQ1404" s="87"/>
      <c r="AR1404" s="87"/>
      <c r="AS1404" s="87"/>
      <c r="AT1404" s="87"/>
      <c r="AU1404" s="87"/>
      <c r="AV1404" s="87"/>
      <c r="AW1404" s="87"/>
      <c r="AX1404" s="87"/>
      <c r="AY1404" s="87"/>
      <c r="AZ1404" s="87"/>
      <c r="BA1404" s="87"/>
      <c r="BB1404" s="87"/>
      <c r="BC1404" s="87"/>
      <c r="BD1404" s="87"/>
      <c r="BE1404" s="87"/>
      <c r="BF1404" s="87"/>
      <c r="BG1404" s="87"/>
      <c r="BH1404" s="87"/>
    </row>
    <row r="1405" spans="1:60" ht="16">
      <c r="A1405" s="82"/>
      <c r="B1405" s="82"/>
      <c r="C1405" s="82"/>
      <c r="D1405" s="83"/>
      <c r="E1405" s="84"/>
      <c r="F1405" s="84"/>
      <c r="G1405" s="84"/>
      <c r="H1405" s="82"/>
      <c r="I1405" s="84"/>
      <c r="J1405" s="84"/>
      <c r="K1405" s="84"/>
      <c r="L1405" s="84"/>
      <c r="M1405" s="84"/>
      <c r="N1405" s="84"/>
      <c r="O1405" s="84"/>
      <c r="P1405" s="84"/>
      <c r="Q1405" s="84"/>
      <c r="R1405" s="84"/>
      <c r="S1405" s="84"/>
      <c r="T1405" s="84"/>
      <c r="U1405" s="84"/>
      <c r="V1405" s="84"/>
      <c r="W1405" s="84"/>
      <c r="X1405" s="84"/>
      <c r="Y1405" s="84"/>
      <c r="Z1405" s="87"/>
      <c r="AA1405" s="87"/>
      <c r="AB1405" s="87"/>
      <c r="AC1405" s="87"/>
      <c r="AD1405" s="87"/>
      <c r="AE1405" s="87"/>
      <c r="AF1405" s="87"/>
      <c r="AG1405" s="87"/>
      <c r="AH1405" s="87"/>
      <c r="AI1405" s="87"/>
      <c r="AJ1405" s="87"/>
      <c r="AK1405" s="87"/>
      <c r="AL1405" s="87"/>
      <c r="AM1405" s="87"/>
      <c r="AN1405" s="87"/>
      <c r="AO1405" s="87"/>
      <c r="AP1405" s="87"/>
      <c r="AQ1405" s="87"/>
      <c r="AR1405" s="87"/>
      <c r="AS1405" s="87"/>
      <c r="AT1405" s="87"/>
      <c r="AU1405" s="87"/>
      <c r="AV1405" s="87"/>
      <c r="AW1405" s="87"/>
      <c r="AX1405" s="87"/>
      <c r="AY1405" s="87"/>
      <c r="AZ1405" s="87"/>
      <c r="BA1405" s="87"/>
      <c r="BB1405" s="87"/>
      <c r="BC1405" s="87"/>
      <c r="BD1405" s="87"/>
      <c r="BE1405" s="87"/>
      <c r="BF1405" s="87"/>
      <c r="BG1405" s="87"/>
      <c r="BH1405" s="87"/>
    </row>
    <row r="1406" spans="1:60" ht="16">
      <c r="A1406" s="82"/>
      <c r="B1406" s="82"/>
      <c r="C1406" s="82"/>
      <c r="D1406" s="83"/>
      <c r="E1406" s="84"/>
      <c r="F1406" s="84"/>
      <c r="G1406" s="84"/>
      <c r="H1406" s="82"/>
      <c r="I1406" s="84"/>
      <c r="J1406" s="84"/>
      <c r="K1406" s="84"/>
      <c r="L1406" s="84"/>
      <c r="M1406" s="84"/>
      <c r="N1406" s="84"/>
      <c r="O1406" s="84"/>
      <c r="P1406" s="84"/>
      <c r="Q1406" s="84"/>
      <c r="R1406" s="84"/>
      <c r="S1406" s="84"/>
      <c r="T1406" s="84"/>
      <c r="U1406" s="84"/>
      <c r="V1406" s="84"/>
      <c r="W1406" s="84"/>
      <c r="X1406" s="84"/>
      <c r="Y1406" s="84"/>
      <c r="Z1406" s="87"/>
      <c r="AA1406" s="87"/>
      <c r="AB1406" s="87"/>
      <c r="AC1406" s="87"/>
      <c r="AD1406" s="87"/>
      <c r="AE1406" s="87"/>
      <c r="AF1406" s="87"/>
      <c r="AG1406" s="87"/>
      <c r="AH1406" s="87"/>
      <c r="AI1406" s="87"/>
      <c r="AJ1406" s="87"/>
      <c r="AK1406" s="87"/>
      <c r="AL1406" s="87"/>
      <c r="AM1406" s="87"/>
      <c r="AN1406" s="87"/>
      <c r="AO1406" s="87"/>
      <c r="AP1406" s="87"/>
      <c r="AQ1406" s="87"/>
      <c r="AR1406" s="87"/>
      <c r="AS1406" s="87"/>
      <c r="AT1406" s="87"/>
      <c r="AU1406" s="87"/>
      <c r="AV1406" s="87"/>
      <c r="AW1406" s="87"/>
      <c r="AX1406" s="87"/>
      <c r="AY1406" s="87"/>
      <c r="AZ1406" s="87"/>
      <c r="BA1406" s="87"/>
      <c r="BB1406" s="87"/>
      <c r="BC1406" s="87"/>
      <c r="BD1406" s="87"/>
      <c r="BE1406" s="87"/>
      <c r="BF1406" s="87"/>
      <c r="BG1406" s="87"/>
      <c r="BH1406" s="87"/>
    </row>
    <row r="1407" spans="1:60" ht="16">
      <c r="A1407" s="82"/>
      <c r="B1407" s="82"/>
      <c r="C1407" s="82"/>
      <c r="D1407" s="83"/>
      <c r="E1407" s="84"/>
      <c r="F1407" s="84"/>
      <c r="G1407" s="84"/>
      <c r="H1407" s="82"/>
      <c r="I1407" s="84"/>
      <c r="J1407" s="84"/>
      <c r="K1407" s="84"/>
      <c r="L1407" s="84"/>
      <c r="M1407" s="84"/>
      <c r="N1407" s="84"/>
      <c r="O1407" s="84"/>
      <c r="P1407" s="84"/>
      <c r="Q1407" s="84"/>
      <c r="R1407" s="84"/>
      <c r="S1407" s="84"/>
      <c r="T1407" s="84"/>
      <c r="U1407" s="84"/>
      <c r="V1407" s="84"/>
      <c r="W1407" s="84"/>
      <c r="X1407" s="84"/>
      <c r="Y1407" s="84"/>
      <c r="Z1407" s="87"/>
      <c r="AA1407" s="87"/>
      <c r="AB1407" s="87"/>
      <c r="AC1407" s="87"/>
      <c r="AD1407" s="87"/>
      <c r="AE1407" s="87"/>
      <c r="AF1407" s="87"/>
      <c r="AG1407" s="87"/>
      <c r="AH1407" s="87"/>
      <c r="AI1407" s="87"/>
      <c r="AJ1407" s="87"/>
      <c r="AK1407" s="87"/>
      <c r="AL1407" s="87"/>
      <c r="AM1407" s="87"/>
      <c r="AN1407" s="87"/>
      <c r="AO1407" s="87"/>
      <c r="AP1407" s="87"/>
      <c r="AQ1407" s="87"/>
      <c r="AR1407" s="87"/>
      <c r="AS1407" s="87"/>
      <c r="AT1407" s="87"/>
      <c r="AU1407" s="87"/>
      <c r="AV1407" s="87"/>
      <c r="AW1407" s="87"/>
      <c r="AX1407" s="87"/>
      <c r="AY1407" s="87"/>
      <c r="AZ1407" s="87"/>
      <c r="BA1407" s="87"/>
      <c r="BB1407" s="87"/>
      <c r="BC1407" s="87"/>
      <c r="BD1407" s="87"/>
      <c r="BE1407" s="87"/>
      <c r="BF1407" s="87"/>
      <c r="BG1407" s="87"/>
      <c r="BH1407" s="87"/>
    </row>
    <row r="1408" spans="1:60" ht="16">
      <c r="A1408" s="82"/>
      <c r="B1408" s="82"/>
      <c r="C1408" s="82"/>
      <c r="D1408" s="83"/>
      <c r="E1408" s="84"/>
      <c r="F1408" s="84"/>
      <c r="G1408" s="84"/>
      <c r="H1408" s="82"/>
      <c r="I1408" s="84"/>
      <c r="J1408" s="84"/>
      <c r="K1408" s="84"/>
      <c r="L1408" s="84"/>
      <c r="M1408" s="84"/>
      <c r="N1408" s="84"/>
      <c r="O1408" s="84"/>
      <c r="P1408" s="84"/>
      <c r="Q1408" s="84"/>
      <c r="R1408" s="84"/>
      <c r="S1408" s="84"/>
      <c r="T1408" s="84"/>
      <c r="U1408" s="84"/>
      <c r="V1408" s="84"/>
      <c r="W1408" s="84"/>
      <c r="X1408" s="84"/>
      <c r="Y1408" s="84"/>
      <c r="Z1408" s="87"/>
      <c r="AA1408" s="87"/>
      <c r="AB1408" s="87"/>
      <c r="AC1408" s="87"/>
      <c r="AD1408" s="87"/>
      <c r="AE1408" s="87"/>
      <c r="AF1408" s="87"/>
      <c r="AG1408" s="87"/>
      <c r="AH1408" s="87"/>
      <c r="AI1408" s="87"/>
      <c r="AJ1408" s="87"/>
      <c r="AK1408" s="87"/>
      <c r="AL1408" s="87"/>
      <c r="AM1408" s="87"/>
      <c r="AN1408" s="87"/>
      <c r="AO1408" s="87"/>
      <c r="AP1408" s="87"/>
      <c r="AQ1408" s="87"/>
      <c r="AR1408" s="87"/>
      <c r="AS1408" s="87"/>
      <c r="AT1408" s="87"/>
      <c r="AU1408" s="87"/>
      <c r="AV1408" s="87"/>
      <c r="AW1408" s="87"/>
      <c r="AX1408" s="87"/>
      <c r="AY1408" s="87"/>
      <c r="AZ1408" s="87"/>
      <c r="BA1408" s="87"/>
      <c r="BB1408" s="87"/>
      <c r="BC1408" s="87"/>
      <c r="BD1408" s="87"/>
      <c r="BE1408" s="87"/>
      <c r="BF1408" s="87"/>
      <c r="BG1408" s="87"/>
      <c r="BH1408" s="87"/>
    </row>
    <row r="1409" spans="1:60" ht="16">
      <c r="A1409" s="82"/>
      <c r="B1409" s="82"/>
      <c r="C1409" s="82"/>
      <c r="D1409" s="83"/>
      <c r="E1409" s="84"/>
      <c r="F1409" s="84"/>
      <c r="G1409" s="84"/>
      <c r="H1409" s="82"/>
      <c r="I1409" s="84"/>
      <c r="J1409" s="84"/>
      <c r="K1409" s="84"/>
      <c r="L1409" s="84"/>
      <c r="M1409" s="84"/>
      <c r="N1409" s="84"/>
      <c r="O1409" s="84"/>
      <c r="P1409" s="84"/>
      <c r="Q1409" s="84"/>
      <c r="R1409" s="84"/>
      <c r="S1409" s="84"/>
      <c r="T1409" s="84"/>
      <c r="U1409" s="84"/>
      <c r="V1409" s="84"/>
      <c r="W1409" s="84"/>
      <c r="X1409" s="84"/>
      <c r="Y1409" s="84"/>
      <c r="Z1409" s="87"/>
      <c r="AA1409" s="87"/>
      <c r="AB1409" s="87"/>
      <c r="AC1409" s="87"/>
      <c r="AD1409" s="87"/>
      <c r="AE1409" s="87"/>
      <c r="AF1409" s="87"/>
      <c r="AG1409" s="87"/>
      <c r="AH1409" s="87"/>
      <c r="AI1409" s="87"/>
      <c r="AJ1409" s="87"/>
      <c r="AK1409" s="87"/>
      <c r="AL1409" s="87"/>
      <c r="AM1409" s="87"/>
      <c r="AN1409" s="87"/>
      <c r="AO1409" s="87"/>
      <c r="AP1409" s="87"/>
      <c r="AQ1409" s="87"/>
      <c r="AR1409" s="87"/>
      <c r="AS1409" s="87"/>
      <c r="AT1409" s="87"/>
      <c r="AU1409" s="87"/>
      <c r="AV1409" s="87"/>
      <c r="AW1409" s="87"/>
      <c r="AX1409" s="87"/>
      <c r="AY1409" s="87"/>
      <c r="AZ1409" s="87"/>
      <c r="BA1409" s="87"/>
      <c r="BB1409" s="87"/>
      <c r="BC1409" s="87"/>
      <c r="BD1409" s="87"/>
      <c r="BE1409" s="87"/>
      <c r="BF1409" s="87"/>
      <c r="BG1409" s="87"/>
      <c r="BH1409" s="87"/>
    </row>
    <row r="1410" spans="1:60" ht="16">
      <c r="A1410" s="82"/>
      <c r="B1410" s="82"/>
      <c r="C1410" s="82"/>
      <c r="D1410" s="83"/>
      <c r="E1410" s="84"/>
      <c r="F1410" s="84"/>
      <c r="G1410" s="84"/>
      <c r="H1410" s="82"/>
      <c r="I1410" s="84"/>
      <c r="J1410" s="84"/>
      <c r="K1410" s="84"/>
      <c r="L1410" s="84"/>
      <c r="M1410" s="84"/>
      <c r="N1410" s="84"/>
      <c r="O1410" s="84"/>
      <c r="P1410" s="84"/>
      <c r="Q1410" s="84"/>
      <c r="R1410" s="84"/>
      <c r="S1410" s="84"/>
      <c r="T1410" s="84"/>
      <c r="U1410" s="84"/>
      <c r="V1410" s="84"/>
      <c r="W1410" s="84"/>
      <c r="X1410" s="84"/>
      <c r="Y1410" s="84"/>
      <c r="Z1410" s="87"/>
      <c r="AA1410" s="87"/>
      <c r="AB1410" s="87"/>
      <c r="AC1410" s="87"/>
      <c r="AD1410" s="87"/>
      <c r="AE1410" s="87"/>
      <c r="AF1410" s="87"/>
      <c r="AG1410" s="87"/>
      <c r="AH1410" s="87"/>
      <c r="AI1410" s="87"/>
      <c r="AJ1410" s="87"/>
      <c r="AK1410" s="87"/>
      <c r="AL1410" s="87"/>
      <c r="AM1410" s="87"/>
      <c r="AN1410" s="87"/>
      <c r="AO1410" s="87"/>
      <c r="AP1410" s="87"/>
      <c r="AQ1410" s="87"/>
      <c r="AR1410" s="87"/>
      <c r="AS1410" s="87"/>
      <c r="AT1410" s="87"/>
      <c r="AU1410" s="87"/>
      <c r="AV1410" s="87"/>
      <c r="AW1410" s="87"/>
      <c r="AX1410" s="87"/>
      <c r="AY1410" s="87"/>
      <c r="AZ1410" s="87"/>
      <c r="BA1410" s="87"/>
      <c r="BB1410" s="87"/>
      <c r="BC1410" s="87"/>
      <c r="BD1410" s="87"/>
      <c r="BE1410" s="87"/>
      <c r="BF1410" s="87"/>
      <c r="BG1410" s="87"/>
      <c r="BH1410" s="87"/>
    </row>
    <row r="1411" spans="1:60" ht="16">
      <c r="A1411" s="82"/>
      <c r="B1411" s="82"/>
      <c r="C1411" s="82"/>
      <c r="D1411" s="83"/>
      <c r="E1411" s="84"/>
      <c r="F1411" s="84"/>
      <c r="G1411" s="84"/>
      <c r="H1411" s="82"/>
      <c r="I1411" s="84"/>
      <c r="J1411" s="84"/>
      <c r="K1411" s="84"/>
      <c r="L1411" s="84"/>
      <c r="M1411" s="84"/>
      <c r="N1411" s="84"/>
      <c r="O1411" s="84"/>
      <c r="P1411" s="84"/>
      <c r="Q1411" s="84"/>
      <c r="R1411" s="84"/>
      <c r="S1411" s="84"/>
      <c r="T1411" s="84"/>
      <c r="U1411" s="84"/>
      <c r="V1411" s="84"/>
      <c r="W1411" s="84"/>
      <c r="X1411" s="84"/>
      <c r="Y1411" s="84"/>
      <c r="Z1411" s="87"/>
      <c r="AA1411" s="87"/>
      <c r="AB1411" s="87"/>
      <c r="AC1411" s="87"/>
      <c r="AD1411" s="87"/>
      <c r="AE1411" s="87"/>
      <c r="AF1411" s="87"/>
      <c r="AG1411" s="87"/>
      <c r="AH1411" s="87"/>
      <c r="AI1411" s="87"/>
      <c r="AJ1411" s="87"/>
      <c r="AK1411" s="87"/>
      <c r="AL1411" s="87"/>
      <c r="AM1411" s="87"/>
      <c r="AN1411" s="87"/>
      <c r="AO1411" s="87"/>
      <c r="AP1411" s="87"/>
      <c r="AQ1411" s="87"/>
      <c r="AR1411" s="87"/>
      <c r="AS1411" s="87"/>
      <c r="AT1411" s="87"/>
      <c r="AU1411" s="87"/>
      <c r="AV1411" s="87"/>
      <c r="AW1411" s="87"/>
      <c r="AX1411" s="87"/>
      <c r="AY1411" s="87"/>
      <c r="AZ1411" s="87"/>
      <c r="BA1411" s="87"/>
      <c r="BB1411" s="87"/>
      <c r="BC1411" s="87"/>
      <c r="BD1411" s="87"/>
      <c r="BE1411" s="87"/>
      <c r="BF1411" s="87"/>
      <c r="BG1411" s="87"/>
      <c r="BH1411" s="87"/>
    </row>
    <row r="1412" spans="1:60" ht="16">
      <c r="A1412" s="82"/>
      <c r="B1412" s="82"/>
      <c r="C1412" s="82"/>
      <c r="D1412" s="83"/>
      <c r="E1412" s="84"/>
      <c r="F1412" s="84"/>
      <c r="G1412" s="84"/>
      <c r="H1412" s="82"/>
      <c r="I1412" s="84"/>
      <c r="J1412" s="84"/>
      <c r="K1412" s="84"/>
      <c r="L1412" s="84"/>
      <c r="M1412" s="84"/>
      <c r="N1412" s="84"/>
      <c r="O1412" s="84"/>
      <c r="P1412" s="84"/>
      <c r="Q1412" s="84"/>
      <c r="R1412" s="84"/>
      <c r="S1412" s="84"/>
      <c r="T1412" s="84"/>
      <c r="U1412" s="84"/>
      <c r="V1412" s="84"/>
      <c r="W1412" s="84"/>
      <c r="X1412" s="84"/>
      <c r="Y1412" s="84"/>
      <c r="Z1412" s="87"/>
      <c r="AA1412" s="87"/>
      <c r="AB1412" s="87"/>
      <c r="AC1412" s="87"/>
      <c r="AD1412" s="87"/>
      <c r="AE1412" s="87"/>
      <c r="AF1412" s="87"/>
      <c r="AG1412" s="87"/>
      <c r="AH1412" s="87"/>
      <c r="AI1412" s="87"/>
      <c r="AJ1412" s="87"/>
      <c r="AK1412" s="87"/>
      <c r="AL1412" s="87"/>
      <c r="AM1412" s="87"/>
      <c r="AN1412" s="87"/>
      <c r="AO1412" s="87"/>
      <c r="AP1412" s="87"/>
      <c r="AQ1412" s="87"/>
      <c r="AR1412" s="87"/>
      <c r="AS1412" s="87"/>
      <c r="AT1412" s="87"/>
      <c r="AU1412" s="87"/>
      <c r="AV1412" s="87"/>
      <c r="AW1412" s="87"/>
      <c r="AX1412" s="87"/>
      <c r="AY1412" s="87"/>
      <c r="AZ1412" s="87"/>
      <c r="BA1412" s="87"/>
      <c r="BB1412" s="87"/>
      <c r="BC1412" s="87"/>
      <c r="BD1412" s="87"/>
      <c r="BE1412" s="87"/>
      <c r="BF1412" s="87"/>
      <c r="BG1412" s="87"/>
      <c r="BH1412" s="87"/>
    </row>
    <row r="1413" spans="1:60" ht="16">
      <c r="A1413" s="82"/>
      <c r="B1413" s="82"/>
      <c r="C1413" s="82"/>
      <c r="D1413" s="83"/>
      <c r="E1413" s="84"/>
      <c r="F1413" s="84"/>
      <c r="G1413" s="84"/>
      <c r="H1413" s="82"/>
      <c r="I1413" s="84"/>
      <c r="J1413" s="84"/>
      <c r="K1413" s="84"/>
      <c r="L1413" s="84"/>
      <c r="M1413" s="84"/>
      <c r="N1413" s="84"/>
      <c r="O1413" s="84"/>
      <c r="P1413" s="84"/>
      <c r="Q1413" s="84"/>
      <c r="R1413" s="84"/>
      <c r="S1413" s="84"/>
      <c r="T1413" s="84"/>
      <c r="U1413" s="84"/>
      <c r="V1413" s="84"/>
      <c r="W1413" s="84"/>
      <c r="X1413" s="84"/>
      <c r="Y1413" s="84"/>
      <c r="Z1413" s="87"/>
      <c r="AA1413" s="87"/>
      <c r="AB1413" s="87"/>
      <c r="AC1413" s="87"/>
      <c r="AD1413" s="87"/>
      <c r="AE1413" s="87"/>
      <c r="AF1413" s="87"/>
      <c r="AG1413" s="87"/>
      <c r="AH1413" s="87"/>
      <c r="AI1413" s="87"/>
      <c r="AJ1413" s="87"/>
      <c r="AK1413" s="87"/>
      <c r="AL1413" s="87"/>
      <c r="AM1413" s="87"/>
      <c r="AN1413" s="87"/>
      <c r="AO1413" s="87"/>
      <c r="AP1413" s="87"/>
      <c r="AQ1413" s="87"/>
      <c r="AR1413" s="87"/>
      <c r="AS1413" s="87"/>
      <c r="AT1413" s="87"/>
      <c r="AU1413" s="87"/>
      <c r="AV1413" s="87"/>
      <c r="AW1413" s="87"/>
      <c r="AX1413" s="87"/>
      <c r="AY1413" s="87"/>
      <c r="AZ1413" s="87"/>
      <c r="BA1413" s="87"/>
      <c r="BB1413" s="87"/>
      <c r="BC1413" s="87"/>
      <c r="BD1413" s="87"/>
      <c r="BE1413" s="87"/>
      <c r="BF1413" s="87"/>
      <c r="BG1413" s="87"/>
      <c r="BH1413" s="87"/>
    </row>
    <row r="1414" spans="1:60" ht="16">
      <c r="A1414" s="82"/>
      <c r="B1414" s="82"/>
      <c r="C1414" s="82"/>
      <c r="D1414" s="83"/>
      <c r="E1414" s="84"/>
      <c r="F1414" s="84"/>
      <c r="G1414" s="84"/>
      <c r="H1414" s="82"/>
      <c r="I1414" s="84"/>
      <c r="J1414" s="84"/>
      <c r="K1414" s="84"/>
      <c r="L1414" s="84"/>
      <c r="M1414" s="84"/>
      <c r="N1414" s="84"/>
      <c r="O1414" s="84"/>
      <c r="P1414" s="84"/>
      <c r="Q1414" s="84"/>
      <c r="R1414" s="84"/>
      <c r="S1414" s="84"/>
      <c r="T1414" s="84"/>
      <c r="U1414" s="84"/>
      <c r="V1414" s="84"/>
      <c r="W1414" s="84"/>
      <c r="X1414" s="84"/>
      <c r="Y1414" s="84"/>
      <c r="Z1414" s="87"/>
      <c r="AA1414" s="87"/>
      <c r="AB1414" s="87"/>
      <c r="AC1414" s="87"/>
      <c r="AD1414" s="87"/>
      <c r="AE1414" s="87"/>
      <c r="AF1414" s="87"/>
      <c r="AG1414" s="87"/>
      <c r="AH1414" s="87"/>
      <c r="AI1414" s="87"/>
      <c r="AJ1414" s="87"/>
      <c r="AK1414" s="87"/>
      <c r="AL1414" s="87"/>
      <c r="AM1414" s="87"/>
      <c r="AN1414" s="87"/>
      <c r="AO1414" s="87"/>
      <c r="AP1414" s="87"/>
      <c r="AQ1414" s="87"/>
      <c r="AR1414" s="87"/>
      <c r="AS1414" s="87"/>
      <c r="AT1414" s="87"/>
      <c r="AU1414" s="87"/>
      <c r="AV1414" s="87"/>
      <c r="AW1414" s="87"/>
      <c r="AX1414" s="87"/>
      <c r="AY1414" s="87"/>
      <c r="AZ1414" s="87"/>
      <c r="BA1414" s="87"/>
      <c r="BB1414" s="87"/>
      <c r="BC1414" s="87"/>
      <c r="BD1414" s="87"/>
      <c r="BE1414" s="87"/>
      <c r="BF1414" s="87"/>
      <c r="BG1414" s="87"/>
      <c r="BH1414" s="87"/>
    </row>
    <row r="1415" spans="1:60" ht="16">
      <c r="A1415" s="82"/>
      <c r="B1415" s="82"/>
      <c r="C1415" s="82"/>
      <c r="D1415" s="83"/>
      <c r="E1415" s="84"/>
      <c r="F1415" s="84"/>
      <c r="G1415" s="84"/>
      <c r="H1415" s="82"/>
      <c r="I1415" s="84"/>
      <c r="J1415" s="84"/>
      <c r="K1415" s="84"/>
      <c r="L1415" s="84"/>
      <c r="M1415" s="84"/>
      <c r="N1415" s="84"/>
      <c r="O1415" s="84"/>
      <c r="P1415" s="84"/>
      <c r="Q1415" s="84"/>
      <c r="R1415" s="84"/>
      <c r="S1415" s="84"/>
      <c r="T1415" s="84"/>
      <c r="U1415" s="84"/>
      <c r="V1415" s="84"/>
      <c r="W1415" s="84"/>
      <c r="X1415" s="84"/>
      <c r="Y1415" s="84"/>
      <c r="Z1415" s="87"/>
      <c r="AA1415" s="87"/>
      <c r="AB1415" s="87"/>
      <c r="AC1415" s="87"/>
      <c r="AD1415" s="87"/>
      <c r="AE1415" s="87"/>
      <c r="AF1415" s="87"/>
      <c r="AG1415" s="87"/>
      <c r="AH1415" s="87"/>
      <c r="AI1415" s="87"/>
      <c r="AJ1415" s="87"/>
      <c r="AK1415" s="87"/>
      <c r="AL1415" s="87"/>
      <c r="AM1415" s="87"/>
      <c r="AN1415" s="87"/>
      <c r="AO1415" s="87"/>
      <c r="AP1415" s="87"/>
      <c r="AQ1415" s="87"/>
      <c r="AR1415" s="87"/>
      <c r="AS1415" s="87"/>
      <c r="AT1415" s="87"/>
      <c r="AU1415" s="87"/>
      <c r="AV1415" s="87"/>
      <c r="AW1415" s="87"/>
      <c r="AX1415" s="87"/>
      <c r="AY1415" s="87"/>
      <c r="AZ1415" s="87"/>
      <c r="BA1415" s="87"/>
      <c r="BB1415" s="87"/>
      <c r="BC1415" s="87"/>
      <c r="BD1415" s="87"/>
      <c r="BE1415" s="87"/>
      <c r="BF1415" s="87"/>
      <c r="BG1415" s="87"/>
      <c r="BH1415" s="87"/>
    </row>
    <row r="1416" spans="1:60" ht="16">
      <c r="A1416" s="82"/>
      <c r="B1416" s="82"/>
      <c r="C1416" s="82"/>
      <c r="D1416" s="83"/>
      <c r="E1416" s="84"/>
      <c r="F1416" s="84"/>
      <c r="G1416" s="84"/>
      <c r="H1416" s="82"/>
      <c r="I1416" s="84"/>
      <c r="J1416" s="84"/>
      <c r="K1416" s="84"/>
      <c r="L1416" s="84"/>
      <c r="M1416" s="84"/>
      <c r="N1416" s="84"/>
      <c r="O1416" s="84"/>
      <c r="P1416" s="84"/>
      <c r="Q1416" s="84"/>
      <c r="R1416" s="84"/>
      <c r="S1416" s="84"/>
      <c r="T1416" s="84"/>
      <c r="U1416" s="84"/>
      <c r="V1416" s="84"/>
      <c r="W1416" s="84"/>
      <c r="X1416" s="84"/>
      <c r="Y1416" s="84"/>
      <c r="Z1416" s="87"/>
      <c r="AA1416" s="87"/>
      <c r="AB1416" s="87"/>
      <c r="AC1416" s="87"/>
      <c r="AD1416" s="87"/>
      <c r="AE1416" s="87"/>
      <c r="AF1416" s="87"/>
      <c r="AG1416" s="87"/>
      <c r="AH1416" s="87"/>
      <c r="AI1416" s="87"/>
      <c r="AJ1416" s="87"/>
      <c r="AK1416" s="87"/>
      <c r="AL1416" s="87"/>
      <c r="AM1416" s="87"/>
      <c r="AN1416" s="87"/>
      <c r="AO1416" s="87"/>
      <c r="AP1416" s="87"/>
      <c r="AQ1416" s="87"/>
      <c r="AR1416" s="87"/>
      <c r="AS1416" s="87"/>
      <c r="AT1416" s="87"/>
      <c r="AU1416" s="87"/>
      <c r="AV1416" s="87"/>
      <c r="AW1416" s="87"/>
      <c r="AX1416" s="87"/>
      <c r="AY1416" s="87"/>
      <c r="AZ1416" s="87"/>
      <c r="BA1416" s="87"/>
      <c r="BB1416" s="87"/>
      <c r="BC1416" s="87"/>
      <c r="BD1416" s="87"/>
      <c r="BE1416" s="87"/>
      <c r="BF1416" s="87"/>
      <c r="BG1416" s="87"/>
      <c r="BH1416" s="87"/>
    </row>
    <row r="1417" spans="1:60" ht="16">
      <c r="A1417" s="82"/>
      <c r="B1417" s="82"/>
      <c r="C1417" s="82"/>
      <c r="D1417" s="83"/>
      <c r="E1417" s="84"/>
      <c r="F1417" s="84"/>
      <c r="G1417" s="84"/>
      <c r="H1417" s="82"/>
      <c r="I1417" s="84"/>
      <c r="J1417" s="84"/>
      <c r="K1417" s="84"/>
      <c r="L1417" s="84"/>
      <c r="M1417" s="84"/>
      <c r="N1417" s="84"/>
      <c r="O1417" s="84"/>
      <c r="P1417" s="84"/>
      <c r="Q1417" s="84"/>
      <c r="R1417" s="84"/>
      <c r="S1417" s="84"/>
      <c r="T1417" s="84"/>
      <c r="U1417" s="84"/>
      <c r="V1417" s="84"/>
      <c r="W1417" s="84"/>
      <c r="X1417" s="84"/>
      <c r="Y1417" s="84"/>
      <c r="Z1417" s="87"/>
      <c r="AA1417" s="87"/>
      <c r="AB1417" s="87"/>
      <c r="AC1417" s="87"/>
      <c r="AD1417" s="87"/>
      <c r="AE1417" s="87"/>
      <c r="AF1417" s="87"/>
      <c r="AG1417" s="87"/>
      <c r="AH1417" s="87"/>
      <c r="AI1417" s="87"/>
      <c r="AJ1417" s="87"/>
      <c r="AK1417" s="87"/>
      <c r="AL1417" s="87"/>
      <c r="AM1417" s="87"/>
      <c r="AN1417" s="87"/>
      <c r="AO1417" s="87"/>
      <c r="AP1417" s="87"/>
      <c r="AQ1417" s="87"/>
      <c r="AR1417" s="87"/>
      <c r="AS1417" s="87"/>
      <c r="AT1417" s="87"/>
      <c r="AU1417" s="87"/>
      <c r="AV1417" s="87"/>
      <c r="AW1417" s="87"/>
      <c r="AX1417" s="87"/>
      <c r="AY1417" s="87"/>
      <c r="AZ1417" s="87"/>
      <c r="BA1417" s="87"/>
      <c r="BB1417" s="87"/>
      <c r="BC1417" s="87"/>
      <c r="BD1417" s="87"/>
      <c r="BE1417" s="87"/>
      <c r="BF1417" s="87"/>
      <c r="BG1417" s="87"/>
      <c r="BH1417" s="87"/>
    </row>
    <row r="1418" spans="1:60" ht="16">
      <c r="A1418" s="82"/>
      <c r="B1418" s="82"/>
      <c r="C1418" s="82"/>
      <c r="D1418" s="83"/>
      <c r="E1418" s="84"/>
      <c r="F1418" s="84"/>
      <c r="G1418" s="84"/>
      <c r="H1418" s="82"/>
      <c r="I1418" s="84"/>
      <c r="J1418" s="84"/>
      <c r="K1418" s="84"/>
      <c r="L1418" s="84"/>
      <c r="M1418" s="84"/>
      <c r="N1418" s="84"/>
      <c r="O1418" s="84"/>
      <c r="P1418" s="84"/>
      <c r="Q1418" s="84"/>
      <c r="R1418" s="84"/>
      <c r="S1418" s="84"/>
      <c r="T1418" s="84"/>
      <c r="U1418" s="84"/>
      <c r="V1418" s="84"/>
      <c r="W1418" s="84"/>
      <c r="X1418" s="84"/>
      <c r="Y1418" s="84"/>
      <c r="Z1418" s="87"/>
      <c r="AA1418" s="87"/>
      <c r="AB1418" s="87"/>
      <c r="AC1418" s="87"/>
      <c r="AD1418" s="87"/>
      <c r="AE1418" s="87"/>
      <c r="AF1418" s="87"/>
      <c r="AG1418" s="87"/>
      <c r="AH1418" s="87"/>
      <c r="AI1418" s="87"/>
      <c r="AJ1418" s="87"/>
      <c r="AK1418" s="87"/>
      <c r="AL1418" s="87"/>
      <c r="AM1418" s="87"/>
      <c r="AN1418" s="87"/>
      <c r="AO1418" s="87"/>
      <c r="AP1418" s="87"/>
      <c r="AQ1418" s="87"/>
      <c r="AR1418" s="87"/>
      <c r="AS1418" s="87"/>
      <c r="AT1418" s="87"/>
      <c r="AU1418" s="87"/>
      <c r="AV1418" s="87"/>
      <c r="AW1418" s="87"/>
      <c r="AX1418" s="87"/>
      <c r="AY1418" s="87"/>
      <c r="AZ1418" s="87"/>
      <c r="BA1418" s="87"/>
      <c r="BB1418" s="87"/>
      <c r="BC1418" s="87"/>
      <c r="BD1418" s="87"/>
      <c r="BE1418" s="87"/>
      <c r="BF1418" s="87"/>
      <c r="BG1418" s="87"/>
      <c r="BH1418" s="87"/>
    </row>
    <row r="1419" spans="1:60" ht="16">
      <c r="A1419" s="82"/>
      <c r="B1419" s="82"/>
      <c r="C1419" s="82"/>
      <c r="D1419" s="83"/>
      <c r="E1419" s="84"/>
      <c r="F1419" s="84"/>
      <c r="G1419" s="84"/>
      <c r="H1419" s="82"/>
      <c r="I1419" s="84"/>
      <c r="J1419" s="84"/>
      <c r="K1419" s="84"/>
      <c r="L1419" s="84"/>
      <c r="M1419" s="84"/>
      <c r="N1419" s="84"/>
      <c r="O1419" s="84"/>
      <c r="P1419" s="84"/>
      <c r="Q1419" s="84"/>
      <c r="R1419" s="84"/>
      <c r="S1419" s="84"/>
      <c r="T1419" s="84"/>
      <c r="U1419" s="84"/>
      <c r="V1419" s="84"/>
      <c r="W1419" s="84"/>
      <c r="X1419" s="84"/>
      <c r="Y1419" s="84"/>
      <c r="Z1419" s="87"/>
      <c r="AA1419" s="87"/>
      <c r="AB1419" s="87"/>
      <c r="AC1419" s="87"/>
      <c r="AD1419" s="87"/>
      <c r="AE1419" s="87"/>
      <c r="AF1419" s="87"/>
      <c r="AG1419" s="87"/>
      <c r="AH1419" s="87"/>
      <c r="AI1419" s="87"/>
      <c r="AJ1419" s="87"/>
      <c r="AK1419" s="87"/>
      <c r="AL1419" s="87"/>
      <c r="AM1419" s="87"/>
      <c r="AN1419" s="87"/>
      <c r="AO1419" s="87"/>
      <c r="AP1419" s="87"/>
      <c r="AQ1419" s="87"/>
      <c r="AR1419" s="87"/>
      <c r="AS1419" s="87"/>
      <c r="AT1419" s="87"/>
      <c r="AU1419" s="87"/>
      <c r="AV1419" s="87"/>
      <c r="AW1419" s="87"/>
      <c r="AX1419" s="87"/>
      <c r="AY1419" s="87"/>
      <c r="AZ1419" s="87"/>
      <c r="BA1419" s="87"/>
      <c r="BB1419" s="87"/>
      <c r="BC1419" s="87"/>
      <c r="BD1419" s="87"/>
      <c r="BE1419" s="87"/>
      <c r="BF1419" s="87"/>
      <c r="BG1419" s="87"/>
      <c r="BH1419" s="87"/>
    </row>
    <row r="1420" spans="1:60" ht="16">
      <c r="A1420" s="82"/>
      <c r="B1420" s="82"/>
      <c r="C1420" s="82"/>
      <c r="D1420" s="83"/>
      <c r="E1420" s="84"/>
      <c r="F1420" s="84"/>
      <c r="G1420" s="84"/>
      <c r="H1420" s="82"/>
      <c r="I1420" s="84"/>
      <c r="J1420" s="84"/>
      <c r="K1420" s="84"/>
      <c r="L1420" s="84"/>
      <c r="M1420" s="84"/>
      <c r="N1420" s="84"/>
      <c r="O1420" s="84"/>
      <c r="P1420" s="84"/>
      <c r="Q1420" s="84"/>
      <c r="R1420" s="84"/>
      <c r="S1420" s="84"/>
      <c r="T1420" s="84"/>
      <c r="U1420" s="84"/>
      <c r="V1420" s="84"/>
      <c r="W1420" s="84"/>
      <c r="X1420" s="84"/>
      <c r="Y1420" s="84"/>
      <c r="Z1420" s="87"/>
      <c r="AA1420" s="87"/>
      <c r="AB1420" s="87"/>
      <c r="AC1420" s="87"/>
      <c r="AD1420" s="87"/>
      <c r="AE1420" s="87"/>
      <c r="AF1420" s="87"/>
      <c r="AG1420" s="87"/>
      <c r="AH1420" s="87"/>
      <c r="AI1420" s="87"/>
      <c r="AJ1420" s="87"/>
      <c r="AK1420" s="87"/>
      <c r="AL1420" s="87"/>
      <c r="AM1420" s="87"/>
      <c r="AN1420" s="87"/>
      <c r="AO1420" s="87"/>
      <c r="AP1420" s="87"/>
      <c r="AQ1420" s="87"/>
      <c r="AR1420" s="87"/>
      <c r="AS1420" s="87"/>
      <c r="AT1420" s="87"/>
      <c r="AU1420" s="87"/>
      <c r="AV1420" s="87"/>
      <c r="AW1420" s="87"/>
      <c r="AX1420" s="87"/>
      <c r="AY1420" s="87"/>
      <c r="AZ1420" s="87"/>
      <c r="BA1420" s="87"/>
      <c r="BB1420" s="87"/>
      <c r="BC1420" s="87"/>
      <c r="BD1420" s="87"/>
      <c r="BE1420" s="87"/>
      <c r="BF1420" s="87"/>
      <c r="BG1420" s="87"/>
      <c r="BH1420" s="87"/>
    </row>
    <row r="1421" spans="1:60" ht="16">
      <c r="A1421" s="82"/>
      <c r="B1421" s="82"/>
      <c r="C1421" s="82"/>
      <c r="D1421" s="83"/>
      <c r="E1421" s="84"/>
      <c r="F1421" s="84"/>
      <c r="G1421" s="84"/>
      <c r="H1421" s="82"/>
      <c r="I1421" s="84"/>
      <c r="J1421" s="84"/>
      <c r="K1421" s="84"/>
      <c r="L1421" s="84"/>
      <c r="M1421" s="84"/>
      <c r="N1421" s="84"/>
      <c r="O1421" s="84"/>
      <c r="P1421" s="84"/>
      <c r="Q1421" s="84"/>
      <c r="R1421" s="84"/>
      <c r="S1421" s="84"/>
      <c r="T1421" s="84"/>
      <c r="U1421" s="84"/>
      <c r="V1421" s="84"/>
      <c r="W1421" s="84"/>
      <c r="X1421" s="84"/>
      <c r="Y1421" s="84"/>
      <c r="Z1421" s="87"/>
      <c r="AA1421" s="87"/>
      <c r="AB1421" s="87"/>
      <c r="AC1421" s="87"/>
      <c r="AD1421" s="87"/>
      <c r="AE1421" s="87"/>
      <c r="AF1421" s="87"/>
      <c r="AG1421" s="87"/>
      <c r="AH1421" s="87"/>
      <c r="AI1421" s="87"/>
      <c r="AJ1421" s="87"/>
      <c r="AK1421" s="87"/>
      <c r="AL1421" s="87"/>
      <c r="AM1421" s="87"/>
      <c r="AN1421" s="87"/>
      <c r="AO1421" s="87"/>
      <c r="AP1421" s="87"/>
      <c r="AQ1421" s="87"/>
      <c r="AR1421" s="87"/>
      <c r="AS1421" s="87"/>
      <c r="AT1421" s="87"/>
      <c r="AU1421" s="87"/>
      <c r="AV1421" s="87"/>
      <c r="AW1421" s="87"/>
      <c r="AX1421" s="87"/>
      <c r="AY1421" s="87"/>
      <c r="AZ1421" s="87"/>
      <c r="BA1421" s="87"/>
      <c r="BB1421" s="87"/>
      <c r="BC1421" s="87"/>
      <c r="BD1421" s="87"/>
      <c r="BE1421" s="87"/>
      <c r="BF1421" s="87"/>
      <c r="BG1421" s="87"/>
      <c r="BH1421" s="87"/>
    </row>
    <row r="1422" spans="1:60" ht="16">
      <c r="A1422" s="82"/>
      <c r="B1422" s="82"/>
      <c r="C1422" s="82"/>
      <c r="D1422" s="83"/>
      <c r="E1422" s="84"/>
      <c r="F1422" s="84"/>
      <c r="G1422" s="84"/>
      <c r="H1422" s="82"/>
      <c r="I1422" s="84"/>
      <c r="J1422" s="84"/>
      <c r="K1422" s="84"/>
      <c r="L1422" s="84"/>
      <c r="M1422" s="84"/>
      <c r="N1422" s="84"/>
      <c r="O1422" s="84"/>
      <c r="P1422" s="84"/>
      <c r="Q1422" s="84"/>
      <c r="R1422" s="84"/>
      <c r="S1422" s="84"/>
      <c r="T1422" s="84"/>
      <c r="U1422" s="84"/>
      <c r="V1422" s="84"/>
      <c r="W1422" s="84"/>
      <c r="X1422" s="84"/>
      <c r="Y1422" s="84"/>
      <c r="Z1422" s="87"/>
      <c r="AA1422" s="87"/>
      <c r="AB1422" s="87"/>
      <c r="AC1422" s="87"/>
      <c r="AD1422" s="87"/>
      <c r="AE1422" s="87"/>
      <c r="AF1422" s="87"/>
      <c r="AG1422" s="87"/>
      <c r="AH1422" s="87"/>
      <c r="AI1422" s="87"/>
      <c r="AJ1422" s="87"/>
      <c r="AK1422" s="87"/>
      <c r="AL1422" s="87"/>
      <c r="AM1422" s="87"/>
      <c r="AN1422" s="87"/>
      <c r="AO1422" s="87"/>
      <c r="AP1422" s="87"/>
      <c r="AQ1422" s="87"/>
      <c r="AR1422" s="87"/>
      <c r="AS1422" s="87"/>
      <c r="AT1422" s="87"/>
      <c r="AU1422" s="87"/>
      <c r="AV1422" s="87"/>
      <c r="AW1422" s="87"/>
      <c r="AX1422" s="87"/>
      <c r="AY1422" s="87"/>
      <c r="AZ1422" s="87"/>
      <c r="BA1422" s="87"/>
      <c r="BB1422" s="87"/>
      <c r="BC1422" s="87"/>
      <c r="BD1422" s="87"/>
      <c r="BE1422" s="87"/>
      <c r="BF1422" s="87"/>
      <c r="BG1422" s="87"/>
      <c r="BH1422" s="87"/>
    </row>
    <row r="1423" spans="1:60" ht="16">
      <c r="A1423" s="82"/>
      <c r="B1423" s="82"/>
      <c r="C1423" s="82"/>
      <c r="D1423" s="83"/>
      <c r="E1423" s="84"/>
      <c r="F1423" s="84"/>
      <c r="G1423" s="84"/>
      <c r="H1423" s="82"/>
      <c r="I1423" s="84"/>
      <c r="J1423" s="84"/>
      <c r="K1423" s="84"/>
      <c r="L1423" s="84"/>
      <c r="M1423" s="84"/>
      <c r="N1423" s="84"/>
      <c r="O1423" s="84"/>
      <c r="P1423" s="84"/>
      <c r="Q1423" s="84"/>
      <c r="R1423" s="84"/>
      <c r="S1423" s="84"/>
      <c r="T1423" s="84"/>
      <c r="U1423" s="84"/>
      <c r="V1423" s="84"/>
      <c r="W1423" s="84"/>
      <c r="X1423" s="84"/>
      <c r="Y1423" s="84"/>
      <c r="Z1423" s="87"/>
      <c r="AA1423" s="87"/>
      <c r="AB1423" s="87"/>
      <c r="AC1423" s="87"/>
      <c r="AD1423" s="87"/>
      <c r="AE1423" s="87"/>
      <c r="AF1423" s="87"/>
      <c r="AG1423" s="87"/>
      <c r="AH1423" s="87"/>
      <c r="AI1423" s="87"/>
      <c r="AJ1423" s="87"/>
      <c r="AK1423" s="87"/>
      <c r="AL1423" s="87"/>
      <c r="AM1423" s="87"/>
      <c r="AN1423" s="87"/>
      <c r="AO1423" s="87"/>
      <c r="AP1423" s="87"/>
      <c r="AQ1423" s="87"/>
      <c r="AR1423" s="87"/>
      <c r="AS1423" s="87"/>
      <c r="AT1423" s="87"/>
      <c r="AU1423" s="87"/>
      <c r="AV1423" s="87"/>
      <c r="AW1423" s="87"/>
      <c r="AX1423" s="87"/>
      <c r="AY1423" s="87"/>
      <c r="AZ1423" s="87"/>
      <c r="BA1423" s="87"/>
      <c r="BB1423" s="87"/>
      <c r="BC1423" s="87"/>
      <c r="BD1423" s="87"/>
      <c r="BE1423" s="87"/>
      <c r="BF1423" s="87"/>
      <c r="BG1423" s="87"/>
      <c r="BH1423" s="87"/>
    </row>
    <row r="1424" spans="1:60" ht="16">
      <c r="A1424" s="82"/>
      <c r="B1424" s="82"/>
      <c r="C1424" s="82"/>
      <c r="D1424" s="83"/>
      <c r="E1424" s="84"/>
      <c r="F1424" s="84"/>
      <c r="G1424" s="84"/>
      <c r="H1424" s="82"/>
      <c r="I1424" s="84"/>
      <c r="J1424" s="84"/>
      <c r="K1424" s="84"/>
      <c r="L1424" s="84"/>
      <c r="M1424" s="84"/>
      <c r="N1424" s="84"/>
      <c r="O1424" s="84"/>
      <c r="P1424" s="84"/>
      <c r="Q1424" s="84"/>
      <c r="R1424" s="84"/>
      <c r="S1424" s="84"/>
      <c r="T1424" s="84"/>
      <c r="U1424" s="84"/>
      <c r="V1424" s="84"/>
      <c r="W1424" s="84"/>
      <c r="X1424" s="84"/>
      <c r="Y1424" s="84"/>
      <c r="Z1424" s="87"/>
      <c r="AA1424" s="87"/>
      <c r="AB1424" s="87"/>
      <c r="AC1424" s="87"/>
      <c r="AD1424" s="87"/>
      <c r="AE1424" s="87"/>
      <c r="AF1424" s="87"/>
      <c r="AG1424" s="87"/>
      <c r="AH1424" s="87"/>
      <c r="AI1424" s="87"/>
      <c r="AJ1424" s="87"/>
      <c r="AK1424" s="87"/>
      <c r="AL1424" s="87"/>
      <c r="AM1424" s="87"/>
      <c r="AN1424" s="87"/>
      <c r="AO1424" s="87"/>
      <c r="AP1424" s="87"/>
      <c r="AQ1424" s="87"/>
      <c r="AR1424" s="87"/>
      <c r="AS1424" s="87"/>
      <c r="AT1424" s="87"/>
      <c r="AU1424" s="87"/>
      <c r="AV1424" s="87"/>
      <c r="AW1424" s="87"/>
      <c r="AX1424" s="87"/>
      <c r="AY1424" s="87"/>
      <c r="AZ1424" s="87"/>
      <c r="BA1424" s="87"/>
      <c r="BB1424" s="87"/>
      <c r="BC1424" s="87"/>
      <c r="BD1424" s="87"/>
      <c r="BE1424" s="87"/>
      <c r="BF1424" s="87"/>
      <c r="BG1424" s="87"/>
      <c r="BH1424" s="87"/>
    </row>
    <row r="1425" spans="1:60" ht="16">
      <c r="A1425" s="82"/>
      <c r="B1425" s="82"/>
      <c r="C1425" s="82"/>
      <c r="D1425" s="83"/>
      <c r="E1425" s="84"/>
      <c r="F1425" s="84"/>
      <c r="G1425" s="84"/>
      <c r="H1425" s="82"/>
      <c r="I1425" s="84"/>
      <c r="J1425" s="84"/>
      <c r="K1425" s="84"/>
      <c r="L1425" s="84"/>
      <c r="M1425" s="84"/>
      <c r="N1425" s="84"/>
      <c r="O1425" s="84"/>
      <c r="P1425" s="84"/>
      <c r="Q1425" s="84"/>
      <c r="R1425" s="84"/>
      <c r="S1425" s="84"/>
      <c r="T1425" s="84"/>
      <c r="U1425" s="84"/>
      <c r="V1425" s="84"/>
      <c r="W1425" s="84"/>
      <c r="X1425" s="84"/>
      <c r="Y1425" s="84"/>
      <c r="Z1425" s="87"/>
      <c r="AA1425" s="87"/>
      <c r="AB1425" s="87"/>
      <c r="AC1425" s="87"/>
      <c r="AD1425" s="87"/>
      <c r="AE1425" s="87"/>
      <c r="AF1425" s="87"/>
      <c r="AG1425" s="87"/>
      <c r="AH1425" s="87"/>
      <c r="AI1425" s="87"/>
      <c r="AJ1425" s="87"/>
      <c r="AK1425" s="87"/>
      <c r="AL1425" s="87"/>
      <c r="AM1425" s="87"/>
      <c r="AN1425" s="87"/>
      <c r="AO1425" s="87"/>
      <c r="AP1425" s="87"/>
      <c r="AQ1425" s="87"/>
      <c r="AR1425" s="87"/>
      <c r="AS1425" s="87"/>
      <c r="AT1425" s="87"/>
      <c r="AU1425" s="87"/>
      <c r="AV1425" s="87"/>
      <c r="AW1425" s="87"/>
      <c r="AX1425" s="87"/>
      <c r="AY1425" s="87"/>
      <c r="AZ1425" s="87"/>
      <c r="BA1425" s="87"/>
      <c r="BB1425" s="87"/>
      <c r="BC1425" s="87"/>
      <c r="BD1425" s="87"/>
      <c r="BE1425" s="87"/>
      <c r="BF1425" s="87"/>
      <c r="BG1425" s="87"/>
      <c r="BH1425" s="87"/>
    </row>
    <row r="1426" spans="1:60" ht="16">
      <c r="A1426" s="82"/>
      <c r="B1426" s="82"/>
      <c r="C1426" s="82"/>
      <c r="D1426" s="83"/>
      <c r="E1426" s="84"/>
      <c r="F1426" s="84"/>
      <c r="G1426" s="84"/>
      <c r="H1426" s="82"/>
      <c r="I1426" s="84"/>
      <c r="J1426" s="84"/>
      <c r="K1426" s="84"/>
      <c r="L1426" s="84"/>
      <c r="M1426" s="84"/>
      <c r="N1426" s="84"/>
      <c r="O1426" s="84"/>
      <c r="P1426" s="84"/>
      <c r="Q1426" s="84"/>
      <c r="R1426" s="84"/>
      <c r="S1426" s="84"/>
      <c r="T1426" s="84"/>
      <c r="U1426" s="84"/>
      <c r="V1426" s="84"/>
      <c r="W1426" s="84"/>
      <c r="X1426" s="84"/>
      <c r="Y1426" s="84"/>
      <c r="Z1426" s="87"/>
      <c r="AA1426" s="87"/>
      <c r="AB1426" s="87"/>
      <c r="AC1426" s="87"/>
      <c r="AD1426" s="87"/>
      <c r="AE1426" s="87"/>
      <c r="AF1426" s="87"/>
      <c r="AG1426" s="87"/>
      <c r="AH1426" s="87"/>
      <c r="AI1426" s="87"/>
      <c r="AJ1426" s="87"/>
      <c r="AK1426" s="87"/>
      <c r="AL1426" s="87"/>
      <c r="AM1426" s="87"/>
      <c r="AN1426" s="87"/>
      <c r="AO1426" s="87"/>
      <c r="AP1426" s="87"/>
      <c r="AQ1426" s="87"/>
      <c r="AR1426" s="87"/>
      <c r="AS1426" s="87"/>
      <c r="AT1426" s="87"/>
      <c r="AU1426" s="87"/>
      <c r="AV1426" s="87"/>
      <c r="AW1426" s="87"/>
      <c r="AX1426" s="87"/>
      <c r="AY1426" s="87"/>
      <c r="AZ1426" s="87"/>
      <c r="BA1426" s="87"/>
      <c r="BB1426" s="87"/>
      <c r="BC1426" s="87"/>
      <c r="BD1426" s="87"/>
      <c r="BE1426" s="87"/>
      <c r="BF1426" s="87"/>
      <c r="BG1426" s="87"/>
      <c r="BH1426" s="87"/>
    </row>
    <row r="1427" spans="1:60" ht="16">
      <c r="A1427" s="82"/>
      <c r="B1427" s="82"/>
      <c r="C1427" s="82"/>
      <c r="D1427" s="83"/>
      <c r="E1427" s="84"/>
      <c r="F1427" s="84"/>
      <c r="G1427" s="84"/>
      <c r="H1427" s="82"/>
      <c r="I1427" s="84"/>
      <c r="J1427" s="84"/>
      <c r="K1427" s="84"/>
      <c r="L1427" s="84"/>
      <c r="M1427" s="84"/>
      <c r="N1427" s="84"/>
      <c r="O1427" s="84"/>
      <c r="P1427" s="84"/>
      <c r="Q1427" s="84"/>
      <c r="R1427" s="84"/>
      <c r="S1427" s="84"/>
      <c r="T1427" s="84"/>
      <c r="U1427" s="84"/>
      <c r="V1427" s="84"/>
      <c r="W1427" s="84"/>
      <c r="X1427" s="84"/>
      <c r="Y1427" s="84"/>
      <c r="Z1427" s="87"/>
      <c r="AA1427" s="87"/>
      <c r="AB1427" s="87"/>
      <c r="AC1427" s="87"/>
      <c r="AD1427" s="87"/>
      <c r="AE1427" s="87"/>
      <c r="AF1427" s="87"/>
      <c r="AG1427" s="87"/>
      <c r="AH1427" s="87"/>
      <c r="AI1427" s="87"/>
      <c r="AJ1427" s="87"/>
      <c r="AK1427" s="87"/>
      <c r="AL1427" s="87"/>
      <c r="AM1427" s="87"/>
      <c r="AN1427" s="87"/>
      <c r="AO1427" s="87"/>
      <c r="AP1427" s="87"/>
      <c r="AQ1427" s="87"/>
      <c r="AR1427" s="87"/>
      <c r="AS1427" s="87"/>
      <c r="AT1427" s="87"/>
      <c r="AU1427" s="87"/>
      <c r="AV1427" s="87"/>
      <c r="AW1427" s="87"/>
      <c r="AX1427" s="87"/>
      <c r="AY1427" s="87"/>
      <c r="AZ1427" s="87"/>
      <c r="BA1427" s="87"/>
      <c r="BB1427" s="87"/>
      <c r="BC1427" s="87"/>
      <c r="BD1427" s="87"/>
      <c r="BE1427" s="87"/>
      <c r="BF1427" s="87"/>
      <c r="BG1427" s="87"/>
      <c r="BH1427" s="87"/>
    </row>
    <row r="1428" spans="1:60" ht="16">
      <c r="A1428" s="82"/>
      <c r="B1428" s="82"/>
      <c r="C1428" s="82"/>
      <c r="D1428" s="83"/>
      <c r="E1428" s="84"/>
      <c r="F1428" s="84"/>
      <c r="G1428" s="84"/>
      <c r="H1428" s="82"/>
      <c r="I1428" s="84"/>
      <c r="J1428" s="84"/>
      <c r="K1428" s="84"/>
      <c r="L1428" s="84"/>
      <c r="M1428" s="84"/>
      <c r="N1428" s="84"/>
      <c r="O1428" s="84"/>
      <c r="P1428" s="84"/>
      <c r="Q1428" s="84"/>
      <c r="R1428" s="84"/>
      <c r="S1428" s="84"/>
      <c r="T1428" s="84"/>
      <c r="U1428" s="84"/>
      <c r="V1428" s="84"/>
      <c r="W1428" s="84"/>
      <c r="X1428" s="84"/>
      <c r="Y1428" s="84"/>
      <c r="Z1428" s="87"/>
      <c r="AA1428" s="87"/>
      <c r="AB1428" s="87"/>
      <c r="AC1428" s="87"/>
      <c r="AD1428" s="87"/>
      <c r="AE1428" s="87"/>
      <c r="AF1428" s="87"/>
      <c r="AG1428" s="87"/>
      <c r="AH1428" s="87"/>
      <c r="AI1428" s="87"/>
      <c r="AJ1428" s="87"/>
      <c r="AK1428" s="87"/>
      <c r="AL1428" s="87"/>
      <c r="AM1428" s="87"/>
      <c r="AN1428" s="87"/>
      <c r="AO1428" s="87"/>
      <c r="AP1428" s="87"/>
      <c r="AQ1428" s="87"/>
      <c r="AR1428" s="87"/>
      <c r="AS1428" s="87"/>
      <c r="AT1428" s="87"/>
      <c r="AU1428" s="87"/>
      <c r="AV1428" s="87"/>
      <c r="AW1428" s="87"/>
      <c r="AX1428" s="87"/>
      <c r="AY1428" s="87"/>
      <c r="AZ1428" s="87"/>
      <c r="BA1428" s="87"/>
      <c r="BB1428" s="87"/>
      <c r="BC1428" s="87"/>
      <c r="BD1428" s="87"/>
      <c r="BE1428" s="87"/>
      <c r="BF1428" s="87"/>
      <c r="BG1428" s="87"/>
      <c r="BH1428" s="87"/>
    </row>
    <row r="1429" spans="1:60" ht="16">
      <c r="A1429" s="82"/>
      <c r="B1429" s="82"/>
      <c r="C1429" s="82"/>
      <c r="D1429" s="83"/>
      <c r="E1429" s="84"/>
      <c r="F1429" s="84"/>
      <c r="G1429" s="84"/>
      <c r="H1429" s="82"/>
      <c r="I1429" s="84"/>
      <c r="J1429" s="84"/>
      <c r="K1429" s="84"/>
      <c r="L1429" s="84"/>
      <c r="M1429" s="84"/>
      <c r="N1429" s="84"/>
      <c r="O1429" s="84"/>
      <c r="P1429" s="84"/>
      <c r="Q1429" s="84"/>
      <c r="R1429" s="84"/>
      <c r="S1429" s="84"/>
      <c r="T1429" s="84"/>
      <c r="U1429" s="84"/>
      <c r="V1429" s="84"/>
      <c r="W1429" s="84"/>
      <c r="X1429" s="84"/>
      <c r="Y1429" s="84"/>
      <c r="Z1429" s="87"/>
      <c r="AA1429" s="87"/>
      <c r="AB1429" s="87"/>
      <c r="AC1429" s="87"/>
      <c r="AD1429" s="87"/>
      <c r="AE1429" s="87"/>
      <c r="AF1429" s="87"/>
      <c r="AG1429" s="87"/>
      <c r="AH1429" s="87"/>
      <c r="AI1429" s="87"/>
      <c r="AJ1429" s="87"/>
      <c r="AK1429" s="87"/>
      <c r="AL1429" s="87"/>
      <c r="AM1429" s="87"/>
      <c r="AN1429" s="87"/>
      <c r="AO1429" s="87"/>
      <c r="AP1429" s="87"/>
      <c r="AQ1429" s="87"/>
      <c r="AR1429" s="87"/>
      <c r="AS1429" s="87"/>
      <c r="AT1429" s="87"/>
      <c r="AU1429" s="87"/>
      <c r="AV1429" s="87"/>
      <c r="AW1429" s="87"/>
      <c r="AX1429" s="87"/>
      <c r="AY1429" s="87"/>
      <c r="AZ1429" s="87"/>
      <c r="BA1429" s="87"/>
      <c r="BB1429" s="87"/>
      <c r="BC1429" s="87"/>
      <c r="BD1429" s="87"/>
      <c r="BE1429" s="87"/>
      <c r="BF1429" s="87"/>
      <c r="BG1429" s="87"/>
      <c r="BH1429" s="87"/>
    </row>
    <row r="1430" spans="1:60" ht="16">
      <c r="A1430" s="82"/>
      <c r="B1430" s="82"/>
      <c r="C1430" s="82"/>
      <c r="D1430" s="83"/>
      <c r="E1430" s="84"/>
      <c r="F1430" s="84"/>
      <c r="G1430" s="84"/>
      <c r="H1430" s="82"/>
      <c r="I1430" s="84"/>
      <c r="J1430" s="84"/>
      <c r="K1430" s="84"/>
      <c r="L1430" s="84"/>
      <c r="M1430" s="84"/>
      <c r="N1430" s="84"/>
      <c r="O1430" s="84"/>
      <c r="P1430" s="84"/>
      <c r="Q1430" s="84"/>
      <c r="R1430" s="84"/>
      <c r="S1430" s="84"/>
      <c r="T1430" s="84"/>
      <c r="U1430" s="84"/>
      <c r="V1430" s="84"/>
      <c r="W1430" s="84"/>
      <c r="X1430" s="84"/>
      <c r="Y1430" s="84"/>
      <c r="Z1430" s="87"/>
      <c r="AA1430" s="87"/>
      <c r="AB1430" s="87"/>
      <c r="AC1430" s="87"/>
      <c r="AD1430" s="87"/>
      <c r="AE1430" s="87"/>
      <c r="AF1430" s="87"/>
      <c r="AG1430" s="87"/>
      <c r="AH1430" s="87"/>
      <c r="AI1430" s="87"/>
      <c r="AJ1430" s="87"/>
      <c r="AK1430" s="87"/>
      <c r="AL1430" s="87"/>
      <c r="AM1430" s="87"/>
      <c r="AN1430" s="87"/>
      <c r="AO1430" s="87"/>
      <c r="AP1430" s="87"/>
      <c r="AQ1430" s="87"/>
      <c r="AR1430" s="87"/>
      <c r="AS1430" s="87"/>
      <c r="AT1430" s="87"/>
      <c r="AU1430" s="87"/>
      <c r="AV1430" s="87"/>
      <c r="AW1430" s="87"/>
      <c r="AX1430" s="87"/>
      <c r="AY1430" s="87"/>
      <c r="AZ1430" s="87"/>
      <c r="BA1430" s="87"/>
      <c r="BB1430" s="87"/>
      <c r="BC1430" s="87"/>
      <c r="BD1430" s="87"/>
      <c r="BE1430" s="87"/>
      <c r="BF1430" s="87"/>
      <c r="BG1430" s="87"/>
      <c r="BH1430" s="87"/>
    </row>
    <row r="1431" spans="1:60" ht="16">
      <c r="A1431" s="82"/>
      <c r="B1431" s="82"/>
      <c r="C1431" s="82"/>
      <c r="D1431" s="83"/>
      <c r="E1431" s="84"/>
      <c r="F1431" s="84"/>
      <c r="G1431" s="84"/>
      <c r="H1431" s="82"/>
      <c r="I1431" s="84"/>
      <c r="J1431" s="84"/>
      <c r="K1431" s="84"/>
      <c r="L1431" s="84"/>
      <c r="M1431" s="84"/>
      <c r="N1431" s="84"/>
      <c r="O1431" s="84"/>
      <c r="P1431" s="84"/>
      <c r="Q1431" s="84"/>
      <c r="R1431" s="84"/>
      <c r="S1431" s="84"/>
      <c r="T1431" s="84"/>
      <c r="U1431" s="84"/>
      <c r="V1431" s="84"/>
      <c r="W1431" s="84"/>
      <c r="X1431" s="84"/>
      <c r="Y1431" s="84"/>
      <c r="Z1431" s="87"/>
      <c r="AA1431" s="87"/>
      <c r="AB1431" s="87"/>
      <c r="AC1431" s="87"/>
      <c r="AD1431" s="87"/>
      <c r="AE1431" s="87"/>
      <c r="AF1431" s="87"/>
      <c r="AG1431" s="87"/>
      <c r="AH1431" s="87"/>
      <c r="AI1431" s="87"/>
      <c r="AJ1431" s="87"/>
      <c r="AK1431" s="87"/>
      <c r="AL1431" s="87"/>
      <c r="AM1431" s="87"/>
      <c r="AN1431" s="87"/>
      <c r="AO1431" s="87"/>
      <c r="AP1431" s="87"/>
      <c r="AQ1431" s="87"/>
      <c r="AR1431" s="87"/>
      <c r="AS1431" s="87"/>
      <c r="AT1431" s="87"/>
      <c r="AU1431" s="87"/>
      <c r="AV1431" s="87"/>
      <c r="AW1431" s="87"/>
      <c r="AX1431" s="87"/>
      <c r="AY1431" s="87"/>
      <c r="AZ1431" s="87"/>
      <c r="BA1431" s="87"/>
      <c r="BB1431" s="87"/>
      <c r="BC1431" s="87"/>
      <c r="BD1431" s="87"/>
      <c r="BE1431" s="87"/>
      <c r="BF1431" s="87"/>
      <c r="BG1431" s="87"/>
      <c r="BH1431" s="87"/>
    </row>
    <row r="1432" spans="1:60" ht="16">
      <c r="A1432" s="82"/>
      <c r="B1432" s="82"/>
      <c r="C1432" s="82"/>
      <c r="D1432" s="83"/>
      <c r="E1432" s="84"/>
      <c r="F1432" s="84"/>
      <c r="G1432" s="84"/>
      <c r="H1432" s="82"/>
      <c r="I1432" s="84"/>
      <c r="J1432" s="84"/>
      <c r="K1432" s="84"/>
      <c r="L1432" s="84"/>
      <c r="M1432" s="84"/>
      <c r="N1432" s="84"/>
      <c r="O1432" s="84"/>
      <c r="P1432" s="84"/>
      <c r="Q1432" s="84"/>
      <c r="R1432" s="84"/>
      <c r="S1432" s="84"/>
      <c r="T1432" s="84"/>
      <c r="U1432" s="84"/>
      <c r="V1432" s="84"/>
      <c r="W1432" s="84"/>
      <c r="X1432" s="84"/>
      <c r="Y1432" s="84"/>
      <c r="Z1432" s="87"/>
      <c r="AA1432" s="87"/>
      <c r="AB1432" s="87"/>
      <c r="AC1432" s="87"/>
      <c r="AD1432" s="87"/>
      <c r="AE1432" s="87"/>
      <c r="AF1432" s="87"/>
      <c r="AG1432" s="87"/>
      <c r="AH1432" s="87"/>
      <c r="AI1432" s="87"/>
      <c r="AJ1432" s="87"/>
      <c r="AK1432" s="87"/>
      <c r="AL1432" s="87"/>
      <c r="AM1432" s="87"/>
      <c r="AN1432" s="87"/>
      <c r="AO1432" s="87"/>
      <c r="AP1432" s="87"/>
      <c r="AQ1432" s="87"/>
      <c r="AR1432" s="87"/>
      <c r="AS1432" s="87"/>
      <c r="AT1432" s="87"/>
      <c r="AU1432" s="87"/>
      <c r="AV1432" s="87"/>
      <c r="AW1432" s="87"/>
      <c r="AX1432" s="87"/>
      <c r="AY1432" s="87"/>
      <c r="AZ1432" s="87"/>
      <c r="BA1432" s="87"/>
      <c r="BB1432" s="87"/>
      <c r="BC1432" s="87"/>
      <c r="BD1432" s="87"/>
      <c r="BE1432" s="87"/>
      <c r="BF1432" s="87"/>
      <c r="BG1432" s="87"/>
      <c r="BH1432" s="87"/>
    </row>
    <row r="1433" spans="1:60" ht="16">
      <c r="A1433" s="82"/>
      <c r="B1433" s="82"/>
      <c r="C1433" s="82"/>
      <c r="D1433" s="83"/>
      <c r="E1433" s="84"/>
      <c r="F1433" s="84"/>
      <c r="G1433" s="84"/>
      <c r="H1433" s="82"/>
      <c r="I1433" s="84"/>
      <c r="J1433" s="84"/>
      <c r="K1433" s="84"/>
      <c r="L1433" s="84"/>
      <c r="M1433" s="84"/>
      <c r="N1433" s="84"/>
      <c r="O1433" s="84"/>
      <c r="P1433" s="84"/>
      <c r="Q1433" s="84"/>
      <c r="R1433" s="84"/>
      <c r="S1433" s="84"/>
      <c r="T1433" s="84"/>
      <c r="U1433" s="84"/>
      <c r="V1433" s="84"/>
      <c r="W1433" s="84"/>
      <c r="X1433" s="84"/>
      <c r="Y1433" s="84"/>
      <c r="Z1433" s="87"/>
      <c r="AA1433" s="87"/>
      <c r="AB1433" s="87"/>
      <c r="AC1433" s="87"/>
      <c r="AD1433" s="87"/>
      <c r="AE1433" s="87"/>
      <c r="AF1433" s="87"/>
      <c r="AG1433" s="87"/>
      <c r="AH1433" s="87"/>
      <c r="AI1433" s="87"/>
      <c r="AJ1433" s="87"/>
      <c r="AK1433" s="87"/>
      <c r="AL1433" s="87"/>
      <c r="AM1433" s="87"/>
      <c r="AN1433" s="87"/>
      <c r="AO1433" s="87"/>
      <c r="AP1433" s="87"/>
      <c r="AQ1433" s="87"/>
      <c r="AR1433" s="87"/>
      <c r="AS1433" s="87"/>
      <c r="AT1433" s="87"/>
      <c r="AU1433" s="87"/>
      <c r="AV1433" s="87"/>
      <c r="AW1433" s="87"/>
      <c r="AX1433" s="87"/>
      <c r="AY1433" s="87"/>
      <c r="AZ1433" s="87"/>
      <c r="BA1433" s="87"/>
      <c r="BB1433" s="87"/>
      <c r="BC1433" s="87"/>
      <c r="BD1433" s="87"/>
      <c r="BE1433" s="87"/>
      <c r="BF1433" s="87"/>
      <c r="BG1433" s="87"/>
      <c r="BH1433" s="87"/>
    </row>
    <row r="1434" spans="1:60" ht="16">
      <c r="A1434" s="82"/>
      <c r="B1434" s="82"/>
      <c r="C1434" s="82"/>
      <c r="D1434" s="83"/>
      <c r="E1434" s="84"/>
      <c r="F1434" s="84"/>
      <c r="G1434" s="84"/>
      <c r="H1434" s="82"/>
      <c r="I1434" s="84"/>
      <c r="J1434" s="84"/>
      <c r="K1434" s="84"/>
      <c r="L1434" s="84"/>
      <c r="M1434" s="84"/>
      <c r="N1434" s="84"/>
      <c r="O1434" s="84"/>
      <c r="P1434" s="84"/>
      <c r="Q1434" s="84"/>
      <c r="R1434" s="84"/>
      <c r="S1434" s="84"/>
      <c r="T1434" s="84"/>
      <c r="U1434" s="84"/>
      <c r="V1434" s="84"/>
      <c r="W1434" s="84"/>
      <c r="X1434" s="84"/>
      <c r="Y1434" s="84"/>
      <c r="Z1434" s="87"/>
      <c r="AA1434" s="87"/>
      <c r="AB1434" s="87"/>
      <c r="AC1434" s="87"/>
      <c r="AD1434" s="87"/>
      <c r="AE1434" s="87"/>
      <c r="AF1434" s="87"/>
      <c r="AG1434" s="87"/>
      <c r="AH1434" s="87"/>
      <c r="AI1434" s="87"/>
      <c r="AJ1434" s="87"/>
      <c r="AK1434" s="87"/>
      <c r="AL1434" s="87"/>
      <c r="AM1434" s="87"/>
      <c r="AN1434" s="87"/>
      <c r="AO1434" s="87"/>
      <c r="AP1434" s="87"/>
      <c r="AQ1434" s="87"/>
      <c r="AR1434" s="87"/>
      <c r="AS1434" s="87"/>
      <c r="AT1434" s="87"/>
      <c r="AU1434" s="87"/>
      <c r="AV1434" s="87"/>
      <c r="AW1434" s="87"/>
      <c r="AX1434" s="87"/>
      <c r="AY1434" s="87"/>
      <c r="AZ1434" s="87"/>
      <c r="BA1434" s="87"/>
      <c r="BB1434" s="87"/>
      <c r="BC1434" s="87"/>
      <c r="BD1434" s="87"/>
      <c r="BE1434" s="87"/>
      <c r="BF1434" s="87"/>
      <c r="BG1434" s="87"/>
      <c r="BH1434" s="87"/>
    </row>
    <row r="1435" spans="1:60" ht="16">
      <c r="A1435" s="82"/>
      <c r="B1435" s="82"/>
      <c r="C1435" s="82"/>
      <c r="D1435" s="83"/>
      <c r="E1435" s="84"/>
      <c r="F1435" s="84"/>
      <c r="G1435" s="84"/>
      <c r="H1435" s="82"/>
      <c r="I1435" s="84"/>
      <c r="J1435" s="84"/>
      <c r="K1435" s="84"/>
      <c r="L1435" s="84"/>
      <c r="M1435" s="84"/>
      <c r="N1435" s="84"/>
      <c r="O1435" s="84"/>
      <c r="P1435" s="84"/>
      <c r="Q1435" s="84"/>
      <c r="R1435" s="84"/>
      <c r="S1435" s="84"/>
      <c r="T1435" s="84"/>
      <c r="U1435" s="84"/>
      <c r="V1435" s="84"/>
      <c r="W1435" s="84"/>
      <c r="X1435" s="84"/>
      <c r="Y1435" s="84"/>
      <c r="Z1435" s="87"/>
      <c r="AA1435" s="87"/>
      <c r="AB1435" s="87"/>
      <c r="AC1435" s="87"/>
      <c r="AD1435" s="87"/>
      <c r="AE1435" s="87"/>
      <c r="AF1435" s="87"/>
      <c r="AG1435" s="87"/>
      <c r="AH1435" s="87"/>
      <c r="AI1435" s="87"/>
      <c r="AJ1435" s="87"/>
      <c r="AK1435" s="87"/>
      <c r="AL1435" s="87"/>
      <c r="AM1435" s="87"/>
      <c r="AN1435" s="87"/>
      <c r="AO1435" s="87"/>
      <c r="AP1435" s="87"/>
      <c r="AQ1435" s="87"/>
      <c r="AR1435" s="87"/>
      <c r="AS1435" s="87"/>
      <c r="AT1435" s="87"/>
      <c r="AU1435" s="87"/>
      <c r="AV1435" s="87"/>
      <c r="AW1435" s="87"/>
      <c r="AX1435" s="87"/>
      <c r="AY1435" s="87"/>
      <c r="AZ1435" s="87"/>
      <c r="BA1435" s="87"/>
      <c r="BB1435" s="87"/>
      <c r="BC1435" s="87"/>
      <c r="BD1435" s="87"/>
      <c r="BE1435" s="87"/>
      <c r="BF1435" s="87"/>
      <c r="BG1435" s="87"/>
      <c r="BH1435" s="87"/>
    </row>
    <row r="1436" spans="1:60" ht="16">
      <c r="A1436" s="82"/>
      <c r="B1436" s="82"/>
      <c r="C1436" s="82"/>
      <c r="D1436" s="83"/>
      <c r="E1436" s="84"/>
      <c r="F1436" s="84"/>
      <c r="G1436" s="84"/>
      <c r="H1436" s="82"/>
      <c r="I1436" s="84"/>
      <c r="J1436" s="84"/>
      <c r="K1436" s="84"/>
      <c r="L1436" s="84"/>
      <c r="M1436" s="84"/>
      <c r="N1436" s="84"/>
      <c r="O1436" s="84"/>
      <c r="P1436" s="84"/>
      <c r="Q1436" s="84"/>
      <c r="R1436" s="84"/>
      <c r="S1436" s="84"/>
      <c r="T1436" s="84"/>
      <c r="U1436" s="84"/>
      <c r="V1436" s="84"/>
      <c r="W1436" s="84"/>
      <c r="X1436" s="84"/>
      <c r="Y1436" s="84"/>
      <c r="Z1436" s="87"/>
      <c r="AA1436" s="87"/>
      <c r="AB1436" s="87"/>
      <c r="AC1436" s="87"/>
      <c r="AD1436" s="87"/>
      <c r="AE1436" s="87"/>
      <c r="AF1436" s="87"/>
      <c r="AG1436" s="87"/>
      <c r="AH1436" s="87"/>
      <c r="AI1436" s="87"/>
      <c r="AJ1436" s="87"/>
      <c r="AK1436" s="87"/>
      <c r="AL1436" s="87"/>
      <c r="AM1436" s="87"/>
      <c r="AN1436" s="87"/>
      <c r="AO1436" s="87"/>
      <c r="AP1436" s="87"/>
      <c r="AQ1436" s="87"/>
      <c r="AR1436" s="87"/>
      <c r="AS1436" s="87"/>
      <c r="AT1436" s="87"/>
      <c r="AU1436" s="87"/>
      <c r="AV1436" s="87"/>
      <c r="AW1436" s="87"/>
      <c r="AX1436" s="87"/>
      <c r="AY1436" s="87"/>
      <c r="AZ1436" s="87"/>
      <c r="BA1436" s="87"/>
      <c r="BB1436" s="87"/>
      <c r="BC1436" s="87"/>
      <c r="BD1436" s="87"/>
      <c r="BE1436" s="87"/>
      <c r="BF1436" s="87"/>
      <c r="BG1436" s="87"/>
      <c r="BH1436" s="87"/>
    </row>
    <row r="1437" spans="1:60" ht="16">
      <c r="A1437" s="82"/>
      <c r="B1437" s="82"/>
      <c r="C1437" s="82"/>
      <c r="D1437" s="83"/>
      <c r="E1437" s="84"/>
      <c r="F1437" s="84"/>
      <c r="G1437" s="84"/>
      <c r="H1437" s="82"/>
      <c r="I1437" s="84"/>
      <c r="J1437" s="84"/>
      <c r="K1437" s="84"/>
      <c r="L1437" s="84"/>
      <c r="M1437" s="84"/>
      <c r="N1437" s="84"/>
      <c r="O1437" s="84"/>
      <c r="P1437" s="84"/>
      <c r="Q1437" s="84"/>
      <c r="R1437" s="84"/>
      <c r="S1437" s="84"/>
      <c r="T1437" s="84"/>
      <c r="U1437" s="84"/>
      <c r="V1437" s="84"/>
      <c r="W1437" s="84"/>
      <c r="X1437" s="84"/>
      <c r="Y1437" s="84"/>
      <c r="Z1437" s="87"/>
      <c r="AA1437" s="87"/>
      <c r="AB1437" s="87"/>
      <c r="AC1437" s="87"/>
      <c r="AD1437" s="87"/>
      <c r="AE1437" s="87"/>
      <c r="AF1437" s="87"/>
      <c r="AG1437" s="87"/>
      <c r="AH1437" s="87"/>
      <c r="AI1437" s="87"/>
      <c r="AJ1437" s="87"/>
      <c r="AK1437" s="87"/>
      <c r="AL1437" s="87"/>
      <c r="AM1437" s="87"/>
      <c r="AN1437" s="87"/>
      <c r="AO1437" s="87"/>
      <c r="AP1437" s="87"/>
      <c r="AQ1437" s="87"/>
      <c r="AR1437" s="87"/>
      <c r="AS1437" s="87"/>
      <c r="AT1437" s="87"/>
      <c r="AU1437" s="87"/>
      <c r="AV1437" s="87"/>
      <c r="AW1437" s="87"/>
      <c r="AX1437" s="87"/>
      <c r="AY1437" s="87"/>
      <c r="AZ1437" s="87"/>
      <c r="BA1437" s="87"/>
      <c r="BB1437" s="87"/>
      <c r="BC1437" s="87"/>
      <c r="BD1437" s="87"/>
      <c r="BE1437" s="87"/>
      <c r="BF1437" s="87"/>
      <c r="BG1437" s="87"/>
      <c r="BH1437" s="87"/>
    </row>
    <row r="1438" spans="1:60" ht="16">
      <c r="A1438" s="82"/>
      <c r="B1438" s="82"/>
      <c r="C1438" s="82"/>
      <c r="D1438" s="83"/>
      <c r="E1438" s="84"/>
      <c r="F1438" s="84"/>
      <c r="G1438" s="84"/>
      <c r="H1438" s="82"/>
      <c r="I1438" s="84"/>
      <c r="J1438" s="84"/>
      <c r="K1438" s="84"/>
      <c r="L1438" s="84"/>
      <c r="M1438" s="84"/>
      <c r="N1438" s="84"/>
      <c r="O1438" s="84"/>
      <c r="P1438" s="84"/>
      <c r="Q1438" s="84"/>
      <c r="R1438" s="84"/>
      <c r="S1438" s="84"/>
      <c r="T1438" s="84"/>
      <c r="U1438" s="84"/>
      <c r="V1438" s="84"/>
      <c r="W1438" s="84"/>
      <c r="X1438" s="84"/>
      <c r="Y1438" s="84"/>
      <c r="Z1438" s="87"/>
      <c r="AA1438" s="87"/>
      <c r="AB1438" s="87"/>
      <c r="AC1438" s="87"/>
      <c r="AD1438" s="87"/>
      <c r="AE1438" s="87"/>
      <c r="AF1438" s="87"/>
      <c r="AG1438" s="87"/>
      <c r="AH1438" s="87"/>
      <c r="AI1438" s="87"/>
      <c r="AJ1438" s="87"/>
      <c r="AK1438" s="87"/>
      <c r="AL1438" s="87"/>
      <c r="AM1438" s="87"/>
      <c r="AN1438" s="87"/>
      <c r="AO1438" s="87"/>
      <c r="AP1438" s="87"/>
      <c r="AQ1438" s="87"/>
      <c r="AR1438" s="87"/>
      <c r="AS1438" s="87"/>
      <c r="AT1438" s="87"/>
      <c r="AU1438" s="87"/>
      <c r="AV1438" s="87"/>
      <c r="AW1438" s="87"/>
      <c r="AX1438" s="87"/>
      <c r="AY1438" s="87"/>
      <c r="AZ1438" s="87"/>
      <c r="BA1438" s="87"/>
      <c r="BB1438" s="87"/>
      <c r="BC1438" s="87"/>
      <c r="BD1438" s="87"/>
      <c r="BE1438" s="87"/>
      <c r="BF1438" s="87"/>
      <c r="BG1438" s="87"/>
      <c r="BH1438" s="87"/>
    </row>
    <row r="1439" spans="1:60" ht="16">
      <c r="A1439" s="82"/>
      <c r="B1439" s="82"/>
      <c r="C1439" s="82"/>
      <c r="D1439" s="83"/>
      <c r="E1439" s="84"/>
      <c r="F1439" s="84"/>
      <c r="G1439" s="84"/>
      <c r="H1439" s="82"/>
      <c r="I1439" s="84"/>
      <c r="J1439" s="84"/>
      <c r="K1439" s="84"/>
      <c r="L1439" s="84"/>
      <c r="M1439" s="84"/>
      <c r="N1439" s="84"/>
      <c r="O1439" s="84"/>
      <c r="P1439" s="84"/>
      <c r="Q1439" s="84"/>
      <c r="R1439" s="84"/>
      <c r="S1439" s="84"/>
      <c r="T1439" s="84"/>
      <c r="U1439" s="84"/>
      <c r="V1439" s="84"/>
      <c r="W1439" s="84"/>
      <c r="X1439" s="84"/>
      <c r="Y1439" s="84"/>
      <c r="Z1439" s="87"/>
      <c r="AA1439" s="87"/>
      <c r="AB1439" s="87"/>
      <c r="AC1439" s="87"/>
      <c r="AD1439" s="87"/>
      <c r="AE1439" s="87"/>
      <c r="AF1439" s="87"/>
      <c r="AG1439" s="87"/>
      <c r="AH1439" s="87"/>
      <c r="AI1439" s="87"/>
      <c r="AJ1439" s="87"/>
      <c r="AK1439" s="87"/>
      <c r="AL1439" s="87"/>
      <c r="AM1439" s="87"/>
      <c r="AN1439" s="87"/>
      <c r="AO1439" s="87"/>
      <c r="AP1439" s="87"/>
      <c r="AQ1439" s="87"/>
      <c r="AR1439" s="87"/>
      <c r="AS1439" s="87"/>
      <c r="AT1439" s="87"/>
      <c r="AU1439" s="87"/>
      <c r="AV1439" s="87"/>
      <c r="AW1439" s="87"/>
      <c r="AX1439" s="87"/>
      <c r="AY1439" s="87"/>
      <c r="AZ1439" s="87"/>
      <c r="BA1439" s="87"/>
      <c r="BB1439" s="87"/>
      <c r="BC1439" s="87"/>
      <c r="BD1439" s="87"/>
      <c r="BE1439" s="87"/>
      <c r="BF1439" s="87"/>
      <c r="BG1439" s="87"/>
      <c r="BH1439" s="87"/>
    </row>
    <row r="1440" spans="1:60" ht="16">
      <c r="A1440" s="82"/>
      <c r="B1440" s="82"/>
      <c r="C1440" s="82"/>
      <c r="D1440" s="83"/>
      <c r="E1440" s="84"/>
      <c r="F1440" s="84"/>
      <c r="G1440" s="84"/>
      <c r="H1440" s="82"/>
      <c r="I1440" s="84"/>
      <c r="J1440" s="84"/>
      <c r="K1440" s="84"/>
      <c r="L1440" s="84"/>
      <c r="M1440" s="84"/>
      <c r="N1440" s="84"/>
      <c r="O1440" s="84"/>
      <c r="P1440" s="84"/>
      <c r="Q1440" s="84"/>
      <c r="R1440" s="84"/>
      <c r="S1440" s="84"/>
      <c r="T1440" s="84"/>
      <c r="U1440" s="84"/>
      <c r="V1440" s="84"/>
      <c r="W1440" s="84"/>
      <c r="X1440" s="84"/>
      <c r="Y1440" s="84"/>
      <c r="Z1440" s="87"/>
      <c r="AA1440" s="87"/>
      <c r="AB1440" s="87"/>
      <c r="AC1440" s="87"/>
      <c r="AD1440" s="87"/>
      <c r="AE1440" s="87"/>
      <c r="AF1440" s="87"/>
      <c r="AG1440" s="87"/>
      <c r="AH1440" s="87"/>
      <c r="AI1440" s="87"/>
      <c r="AJ1440" s="87"/>
      <c r="AK1440" s="87"/>
      <c r="AL1440" s="87"/>
      <c r="AM1440" s="87"/>
      <c r="AN1440" s="87"/>
      <c r="AO1440" s="87"/>
      <c r="AP1440" s="87"/>
      <c r="AQ1440" s="87"/>
      <c r="AR1440" s="87"/>
      <c r="AS1440" s="87"/>
      <c r="AT1440" s="87"/>
      <c r="AU1440" s="87"/>
      <c r="AV1440" s="87"/>
      <c r="AW1440" s="87"/>
      <c r="AX1440" s="87"/>
      <c r="AY1440" s="87"/>
      <c r="AZ1440" s="87"/>
      <c r="BA1440" s="87"/>
      <c r="BB1440" s="87"/>
      <c r="BC1440" s="87"/>
      <c r="BD1440" s="87"/>
      <c r="BE1440" s="87"/>
      <c r="BF1440" s="87"/>
      <c r="BG1440" s="87"/>
      <c r="BH1440" s="87"/>
    </row>
    <row r="1441" spans="1:60" ht="16">
      <c r="A1441" s="82"/>
      <c r="B1441" s="82"/>
      <c r="C1441" s="82"/>
      <c r="D1441" s="83"/>
      <c r="E1441" s="84"/>
      <c r="F1441" s="84"/>
      <c r="G1441" s="84"/>
      <c r="H1441" s="82"/>
      <c r="I1441" s="84"/>
      <c r="J1441" s="84"/>
      <c r="K1441" s="84"/>
      <c r="L1441" s="84"/>
      <c r="M1441" s="84"/>
      <c r="N1441" s="84"/>
      <c r="O1441" s="84"/>
      <c r="P1441" s="84"/>
      <c r="Q1441" s="84"/>
      <c r="R1441" s="84"/>
      <c r="S1441" s="84"/>
      <c r="T1441" s="84"/>
      <c r="U1441" s="84"/>
      <c r="V1441" s="84"/>
      <c r="W1441" s="84"/>
      <c r="X1441" s="84"/>
      <c r="Y1441" s="84"/>
      <c r="Z1441" s="87"/>
      <c r="AA1441" s="87"/>
      <c r="AB1441" s="87"/>
      <c r="AC1441" s="87"/>
      <c r="AD1441" s="87"/>
      <c r="AE1441" s="87"/>
      <c r="AF1441" s="87"/>
      <c r="AG1441" s="87"/>
      <c r="AH1441" s="87"/>
      <c r="AI1441" s="87"/>
      <c r="AJ1441" s="87"/>
      <c r="AK1441" s="87"/>
      <c r="AL1441" s="87"/>
      <c r="AM1441" s="87"/>
      <c r="AN1441" s="87"/>
      <c r="AO1441" s="87"/>
      <c r="AP1441" s="87"/>
      <c r="AQ1441" s="87"/>
      <c r="AR1441" s="87"/>
      <c r="AS1441" s="87"/>
      <c r="AT1441" s="87"/>
      <c r="AU1441" s="87"/>
      <c r="AV1441" s="87"/>
      <c r="AW1441" s="87"/>
      <c r="AX1441" s="87"/>
      <c r="AY1441" s="87"/>
      <c r="AZ1441" s="87"/>
      <c r="BA1441" s="87"/>
      <c r="BB1441" s="87"/>
      <c r="BC1441" s="87"/>
      <c r="BD1441" s="87"/>
      <c r="BE1441" s="87"/>
      <c r="BF1441" s="87"/>
      <c r="BG1441" s="87"/>
      <c r="BH1441" s="87"/>
    </row>
    <row r="1442" spans="1:60" ht="16">
      <c r="A1442" s="82"/>
      <c r="B1442" s="82"/>
      <c r="C1442" s="82"/>
      <c r="D1442" s="83"/>
      <c r="E1442" s="84"/>
      <c r="F1442" s="84"/>
      <c r="G1442" s="84"/>
      <c r="H1442" s="82"/>
      <c r="I1442" s="84"/>
      <c r="J1442" s="84"/>
      <c r="K1442" s="84"/>
      <c r="L1442" s="84"/>
      <c r="M1442" s="84"/>
      <c r="N1442" s="84"/>
      <c r="O1442" s="84"/>
      <c r="P1442" s="84"/>
      <c r="Q1442" s="84"/>
      <c r="R1442" s="84"/>
      <c r="S1442" s="84"/>
      <c r="T1442" s="84"/>
      <c r="U1442" s="84"/>
      <c r="V1442" s="84"/>
      <c r="W1442" s="84"/>
      <c r="X1442" s="84"/>
      <c r="Y1442" s="84"/>
      <c r="Z1442" s="87"/>
      <c r="AA1442" s="87"/>
      <c r="AB1442" s="87"/>
      <c r="AC1442" s="87"/>
      <c r="AD1442" s="87"/>
      <c r="AE1442" s="87"/>
      <c r="AF1442" s="87"/>
      <c r="AG1442" s="87"/>
      <c r="AH1442" s="87"/>
      <c r="AI1442" s="87"/>
      <c r="AJ1442" s="87"/>
      <c r="AK1442" s="87"/>
      <c r="AL1442" s="87"/>
      <c r="AM1442" s="87"/>
      <c r="AN1442" s="87"/>
      <c r="AO1442" s="87"/>
      <c r="AP1442" s="87"/>
      <c r="AQ1442" s="87"/>
      <c r="AR1442" s="87"/>
      <c r="AS1442" s="87"/>
      <c r="AT1442" s="87"/>
      <c r="AU1442" s="87"/>
      <c r="AV1442" s="87"/>
      <c r="AW1442" s="87"/>
      <c r="AX1442" s="87"/>
      <c r="AY1442" s="87"/>
      <c r="AZ1442" s="87"/>
      <c r="BA1442" s="87"/>
      <c r="BB1442" s="87"/>
      <c r="BC1442" s="87"/>
      <c r="BD1442" s="87"/>
      <c r="BE1442" s="87"/>
      <c r="BF1442" s="87"/>
      <c r="BG1442" s="87"/>
      <c r="BH1442" s="87"/>
    </row>
    <row r="1443" spans="1:60" ht="16">
      <c r="A1443" s="82"/>
      <c r="B1443" s="82"/>
      <c r="C1443" s="82"/>
      <c r="D1443" s="83"/>
      <c r="E1443" s="84"/>
      <c r="F1443" s="84"/>
      <c r="G1443" s="84"/>
      <c r="H1443" s="82"/>
      <c r="I1443" s="84"/>
      <c r="J1443" s="84"/>
      <c r="K1443" s="84"/>
      <c r="L1443" s="84"/>
      <c r="M1443" s="84"/>
      <c r="N1443" s="84"/>
      <c r="O1443" s="84"/>
      <c r="P1443" s="84"/>
      <c r="Q1443" s="84"/>
      <c r="R1443" s="84"/>
      <c r="S1443" s="84"/>
      <c r="T1443" s="84"/>
      <c r="U1443" s="84"/>
      <c r="V1443" s="84"/>
      <c r="W1443" s="84"/>
      <c r="X1443" s="84"/>
      <c r="Y1443" s="84"/>
      <c r="Z1443" s="87"/>
      <c r="AA1443" s="87"/>
      <c r="AB1443" s="87"/>
      <c r="AC1443" s="87"/>
      <c r="AD1443" s="87"/>
      <c r="AE1443" s="87"/>
      <c r="AF1443" s="87"/>
      <c r="AG1443" s="87"/>
      <c r="AH1443" s="87"/>
      <c r="AI1443" s="87"/>
      <c r="AJ1443" s="87"/>
      <c r="AK1443" s="87"/>
      <c r="AL1443" s="87"/>
      <c r="AM1443" s="87"/>
      <c r="AN1443" s="87"/>
      <c r="AO1443" s="87"/>
      <c r="AP1443" s="87"/>
      <c r="AQ1443" s="87"/>
      <c r="AR1443" s="87"/>
      <c r="AS1443" s="87"/>
      <c r="AT1443" s="87"/>
      <c r="AU1443" s="87"/>
      <c r="AV1443" s="87"/>
      <c r="AW1443" s="87"/>
      <c r="AX1443" s="87"/>
      <c r="AY1443" s="87"/>
      <c r="AZ1443" s="87"/>
      <c r="BA1443" s="87"/>
      <c r="BB1443" s="87"/>
      <c r="BC1443" s="87"/>
      <c r="BD1443" s="87"/>
      <c r="BE1443" s="87"/>
      <c r="BF1443" s="87"/>
      <c r="BG1443" s="87"/>
      <c r="BH1443" s="87"/>
    </row>
    <row r="1444" spans="1:60" ht="16">
      <c r="A1444" s="82"/>
      <c r="B1444" s="82"/>
      <c r="C1444" s="82"/>
      <c r="D1444" s="83"/>
      <c r="E1444" s="84"/>
      <c r="F1444" s="84"/>
      <c r="G1444" s="84"/>
      <c r="H1444" s="82"/>
      <c r="I1444" s="84"/>
      <c r="J1444" s="84"/>
      <c r="K1444" s="84"/>
      <c r="L1444" s="84"/>
      <c r="M1444" s="84"/>
      <c r="N1444" s="84"/>
      <c r="O1444" s="84"/>
      <c r="P1444" s="84"/>
      <c r="Q1444" s="84"/>
      <c r="R1444" s="84"/>
      <c r="S1444" s="84"/>
      <c r="T1444" s="84"/>
      <c r="U1444" s="84"/>
      <c r="V1444" s="84"/>
      <c r="W1444" s="84"/>
      <c r="X1444" s="84"/>
      <c r="Y1444" s="84"/>
      <c r="Z1444" s="87"/>
      <c r="AA1444" s="87"/>
      <c r="AB1444" s="87"/>
      <c r="AC1444" s="87"/>
      <c r="AD1444" s="87"/>
      <c r="AE1444" s="87"/>
      <c r="AF1444" s="87"/>
      <c r="AG1444" s="87"/>
      <c r="AH1444" s="87"/>
      <c r="AI1444" s="87"/>
      <c r="AJ1444" s="87"/>
      <c r="AK1444" s="87"/>
      <c r="AL1444" s="87"/>
      <c r="AM1444" s="87"/>
      <c r="AN1444" s="87"/>
      <c r="AO1444" s="87"/>
      <c r="AP1444" s="87"/>
      <c r="AQ1444" s="87"/>
      <c r="AR1444" s="87"/>
      <c r="AS1444" s="87"/>
      <c r="AT1444" s="87"/>
      <c r="AU1444" s="87"/>
      <c r="AV1444" s="87"/>
      <c r="AW1444" s="87"/>
      <c r="AX1444" s="87"/>
      <c r="AY1444" s="87"/>
      <c r="AZ1444" s="87"/>
      <c r="BA1444" s="87"/>
      <c r="BB1444" s="87"/>
      <c r="BC1444" s="87"/>
      <c r="BD1444" s="87"/>
      <c r="BE1444" s="87"/>
      <c r="BF1444" s="87"/>
      <c r="BG1444" s="87"/>
      <c r="BH1444" s="87"/>
    </row>
    <row r="1445" spans="1:60" ht="16">
      <c r="A1445" s="82"/>
      <c r="B1445" s="82"/>
      <c r="C1445" s="82"/>
      <c r="D1445" s="83"/>
      <c r="E1445" s="84"/>
      <c r="F1445" s="84"/>
      <c r="G1445" s="84"/>
      <c r="H1445" s="82"/>
      <c r="I1445" s="84"/>
      <c r="J1445" s="84"/>
      <c r="K1445" s="84"/>
      <c r="L1445" s="84"/>
      <c r="M1445" s="84"/>
      <c r="N1445" s="84"/>
      <c r="O1445" s="84"/>
      <c r="P1445" s="84"/>
      <c r="Q1445" s="84"/>
      <c r="R1445" s="84"/>
      <c r="S1445" s="84"/>
      <c r="T1445" s="84"/>
      <c r="U1445" s="84"/>
      <c r="V1445" s="84"/>
      <c r="W1445" s="84"/>
      <c r="X1445" s="84"/>
      <c r="Y1445" s="84"/>
      <c r="Z1445" s="87"/>
      <c r="AA1445" s="87"/>
      <c r="AB1445" s="87"/>
      <c r="AC1445" s="87"/>
      <c r="AD1445" s="87"/>
      <c r="AE1445" s="87"/>
      <c r="AF1445" s="87"/>
      <c r="AG1445" s="87"/>
      <c r="AH1445" s="87"/>
      <c r="AI1445" s="87"/>
      <c r="AJ1445" s="87"/>
      <c r="AK1445" s="87"/>
      <c r="AL1445" s="87"/>
      <c r="AM1445" s="87"/>
      <c r="AN1445" s="87"/>
      <c r="AO1445" s="87"/>
      <c r="AP1445" s="87"/>
      <c r="AQ1445" s="87"/>
      <c r="AR1445" s="87"/>
      <c r="AS1445" s="87"/>
      <c r="AT1445" s="87"/>
      <c r="AU1445" s="87"/>
      <c r="AV1445" s="87"/>
      <c r="AW1445" s="87"/>
      <c r="AX1445" s="87"/>
      <c r="AY1445" s="87"/>
      <c r="AZ1445" s="87"/>
      <c r="BA1445" s="87"/>
      <c r="BB1445" s="87"/>
      <c r="BC1445" s="87"/>
      <c r="BD1445" s="87"/>
      <c r="BE1445" s="87"/>
      <c r="BF1445" s="87"/>
      <c r="BG1445" s="87"/>
      <c r="BH1445" s="87"/>
    </row>
    <row r="1446" spans="1:60" ht="16">
      <c r="A1446" s="82"/>
      <c r="B1446" s="82"/>
      <c r="C1446" s="82"/>
      <c r="D1446" s="83"/>
      <c r="E1446" s="84"/>
      <c r="F1446" s="84"/>
      <c r="G1446" s="84"/>
      <c r="H1446" s="82"/>
      <c r="I1446" s="84"/>
      <c r="J1446" s="84"/>
      <c r="K1446" s="84"/>
      <c r="L1446" s="84"/>
      <c r="M1446" s="84"/>
      <c r="N1446" s="84"/>
      <c r="O1446" s="84"/>
      <c r="P1446" s="84"/>
      <c r="Q1446" s="84"/>
      <c r="R1446" s="84"/>
      <c r="S1446" s="84"/>
      <c r="T1446" s="84"/>
      <c r="U1446" s="84"/>
      <c r="V1446" s="84"/>
      <c r="W1446" s="84"/>
      <c r="X1446" s="84"/>
      <c r="Y1446" s="84"/>
      <c r="Z1446" s="87"/>
      <c r="AA1446" s="87"/>
      <c r="AB1446" s="87"/>
      <c r="AC1446" s="87"/>
      <c r="AD1446" s="87"/>
      <c r="AE1446" s="87"/>
      <c r="AF1446" s="87"/>
      <c r="AG1446" s="87"/>
      <c r="AH1446" s="87"/>
      <c r="AI1446" s="87"/>
      <c r="AJ1446" s="87"/>
      <c r="AK1446" s="87"/>
      <c r="AL1446" s="87"/>
      <c r="AM1446" s="87"/>
      <c r="AN1446" s="87"/>
      <c r="AO1446" s="87"/>
      <c r="AP1446" s="87"/>
      <c r="AQ1446" s="87"/>
      <c r="AR1446" s="87"/>
      <c r="AS1446" s="87"/>
      <c r="AT1446" s="87"/>
      <c r="AU1446" s="87"/>
      <c r="AV1446" s="87"/>
      <c r="AW1446" s="87"/>
      <c r="AX1446" s="87"/>
      <c r="AY1446" s="87"/>
      <c r="AZ1446" s="87"/>
      <c r="BA1446" s="87"/>
      <c r="BB1446" s="87"/>
      <c r="BC1446" s="87"/>
      <c r="BD1446" s="87"/>
      <c r="BE1446" s="87"/>
      <c r="BF1446" s="87"/>
      <c r="BG1446" s="87"/>
      <c r="BH1446" s="87"/>
    </row>
    <row r="1447" spans="1:60" ht="16">
      <c r="A1447" s="82"/>
      <c r="B1447" s="82"/>
      <c r="C1447" s="82"/>
      <c r="D1447" s="83"/>
      <c r="E1447" s="84"/>
      <c r="F1447" s="84"/>
      <c r="G1447" s="84"/>
      <c r="H1447" s="82"/>
      <c r="I1447" s="84"/>
      <c r="J1447" s="84"/>
      <c r="K1447" s="84"/>
      <c r="L1447" s="84"/>
      <c r="M1447" s="84"/>
      <c r="N1447" s="84"/>
      <c r="O1447" s="84"/>
      <c r="P1447" s="84"/>
      <c r="Q1447" s="84"/>
      <c r="R1447" s="84"/>
      <c r="S1447" s="84"/>
      <c r="T1447" s="84"/>
      <c r="U1447" s="84"/>
      <c r="V1447" s="84"/>
      <c r="W1447" s="84"/>
      <c r="X1447" s="84"/>
      <c r="Y1447" s="84"/>
      <c r="Z1447" s="87"/>
      <c r="AA1447" s="87"/>
      <c r="AB1447" s="87"/>
      <c r="AC1447" s="87"/>
      <c r="AD1447" s="87"/>
      <c r="AE1447" s="87"/>
      <c r="AF1447" s="87"/>
      <c r="AG1447" s="87"/>
      <c r="AH1447" s="87"/>
      <c r="AI1447" s="87"/>
      <c r="AJ1447" s="87"/>
      <c r="AK1447" s="87"/>
      <c r="AL1447" s="87"/>
      <c r="AM1447" s="87"/>
      <c r="AN1447" s="87"/>
      <c r="AO1447" s="87"/>
      <c r="AP1447" s="87"/>
      <c r="AQ1447" s="87"/>
      <c r="AR1447" s="87"/>
      <c r="AS1447" s="87"/>
      <c r="AT1447" s="87"/>
      <c r="AU1447" s="87"/>
      <c r="AV1447" s="87"/>
      <c r="AW1447" s="87"/>
      <c r="AX1447" s="87"/>
      <c r="AY1447" s="87"/>
      <c r="AZ1447" s="87"/>
      <c r="BA1447" s="87"/>
      <c r="BB1447" s="87"/>
      <c r="BC1447" s="87"/>
      <c r="BD1447" s="87"/>
      <c r="BE1447" s="87"/>
      <c r="BF1447" s="87"/>
      <c r="BG1447" s="87"/>
      <c r="BH1447" s="87"/>
    </row>
    <row r="1448" spans="1:60" ht="16">
      <c r="A1448" s="82"/>
      <c r="B1448" s="82"/>
      <c r="C1448" s="82"/>
      <c r="D1448" s="83"/>
      <c r="E1448" s="84"/>
      <c r="F1448" s="84"/>
      <c r="G1448" s="84"/>
      <c r="H1448" s="82"/>
      <c r="I1448" s="84"/>
      <c r="J1448" s="84"/>
      <c r="K1448" s="84"/>
      <c r="L1448" s="84"/>
      <c r="M1448" s="84"/>
      <c r="N1448" s="84"/>
      <c r="O1448" s="84"/>
      <c r="P1448" s="84"/>
      <c r="Q1448" s="84"/>
      <c r="R1448" s="84"/>
      <c r="S1448" s="84"/>
      <c r="T1448" s="84"/>
      <c r="U1448" s="84"/>
      <c r="V1448" s="84"/>
      <c r="W1448" s="84"/>
      <c r="X1448" s="84"/>
      <c r="Y1448" s="84"/>
      <c r="Z1448" s="87"/>
      <c r="AA1448" s="87"/>
      <c r="AB1448" s="87"/>
      <c r="AC1448" s="87"/>
      <c r="AD1448" s="87"/>
      <c r="AE1448" s="87"/>
      <c r="AF1448" s="87"/>
      <c r="AG1448" s="87"/>
      <c r="AH1448" s="87"/>
      <c r="AI1448" s="87"/>
      <c r="AJ1448" s="87"/>
      <c r="AK1448" s="87"/>
      <c r="AL1448" s="87"/>
      <c r="AM1448" s="87"/>
      <c r="AN1448" s="87"/>
      <c r="AO1448" s="87"/>
      <c r="AP1448" s="87"/>
      <c r="AQ1448" s="87"/>
      <c r="AR1448" s="87"/>
      <c r="AS1448" s="87"/>
      <c r="AT1448" s="87"/>
      <c r="AU1448" s="87"/>
      <c r="AV1448" s="87"/>
      <c r="AW1448" s="87"/>
      <c r="AX1448" s="87"/>
      <c r="AY1448" s="87"/>
      <c r="AZ1448" s="87"/>
      <c r="BA1448" s="87"/>
      <c r="BB1448" s="87"/>
      <c r="BC1448" s="87"/>
      <c r="BD1448" s="87"/>
      <c r="BE1448" s="87"/>
      <c r="BF1448" s="87"/>
      <c r="BG1448" s="87"/>
      <c r="BH1448" s="87"/>
    </row>
    <row r="1449" spans="1:60" ht="16">
      <c r="A1449" s="82"/>
      <c r="B1449" s="82"/>
      <c r="C1449" s="82"/>
      <c r="D1449" s="83"/>
      <c r="E1449" s="84"/>
      <c r="F1449" s="84"/>
      <c r="G1449" s="84"/>
      <c r="H1449" s="82"/>
      <c r="I1449" s="84"/>
      <c r="J1449" s="84"/>
      <c r="K1449" s="84"/>
      <c r="L1449" s="84"/>
      <c r="M1449" s="84"/>
      <c r="N1449" s="84"/>
      <c r="O1449" s="84"/>
      <c r="P1449" s="84"/>
      <c r="Q1449" s="84"/>
      <c r="R1449" s="84"/>
      <c r="S1449" s="84"/>
      <c r="T1449" s="84"/>
      <c r="U1449" s="84"/>
      <c r="V1449" s="84"/>
      <c r="W1449" s="84"/>
      <c r="X1449" s="84"/>
      <c r="Y1449" s="84"/>
      <c r="Z1449" s="87"/>
      <c r="AA1449" s="87"/>
      <c r="AB1449" s="87"/>
      <c r="AC1449" s="87"/>
      <c r="AD1449" s="87"/>
      <c r="AE1449" s="87"/>
      <c r="AF1449" s="87"/>
      <c r="AG1449" s="87"/>
      <c r="AH1449" s="87"/>
      <c r="AI1449" s="87"/>
      <c r="AJ1449" s="87"/>
      <c r="AK1449" s="87"/>
      <c r="AL1449" s="87"/>
      <c r="AM1449" s="87"/>
      <c r="AN1449" s="87"/>
      <c r="AO1449" s="87"/>
      <c r="AP1449" s="87"/>
      <c r="AQ1449" s="87"/>
      <c r="AR1449" s="87"/>
      <c r="AS1449" s="87"/>
      <c r="AT1449" s="87"/>
      <c r="AU1449" s="87"/>
      <c r="AV1449" s="87"/>
      <c r="AW1449" s="87"/>
      <c r="AX1449" s="87"/>
      <c r="AY1449" s="87"/>
      <c r="AZ1449" s="87"/>
      <c r="BA1449" s="87"/>
      <c r="BB1449" s="87"/>
      <c r="BC1449" s="87"/>
      <c r="BD1449" s="87"/>
      <c r="BE1449" s="87"/>
      <c r="BF1449" s="87"/>
      <c r="BG1449" s="87"/>
      <c r="BH1449" s="87"/>
    </row>
    <row r="1450" spans="1:60" ht="16">
      <c r="A1450" s="82"/>
      <c r="B1450" s="82"/>
      <c r="C1450" s="82"/>
      <c r="D1450" s="83"/>
      <c r="E1450" s="84"/>
      <c r="F1450" s="84"/>
      <c r="G1450" s="84"/>
      <c r="H1450" s="82"/>
      <c r="I1450" s="84"/>
      <c r="J1450" s="84"/>
      <c r="K1450" s="84"/>
      <c r="L1450" s="84"/>
      <c r="M1450" s="84"/>
      <c r="N1450" s="84"/>
      <c r="O1450" s="84"/>
      <c r="P1450" s="84"/>
      <c r="Q1450" s="84"/>
      <c r="R1450" s="84"/>
      <c r="S1450" s="84"/>
      <c r="T1450" s="84"/>
      <c r="U1450" s="84"/>
      <c r="V1450" s="84"/>
      <c r="W1450" s="84"/>
      <c r="X1450" s="84"/>
      <c r="Y1450" s="84"/>
      <c r="Z1450" s="87"/>
      <c r="AA1450" s="87"/>
      <c r="AB1450" s="87"/>
      <c r="AC1450" s="87"/>
      <c r="AD1450" s="87"/>
      <c r="AE1450" s="87"/>
      <c r="AF1450" s="87"/>
      <c r="AG1450" s="87"/>
      <c r="AH1450" s="87"/>
      <c r="AI1450" s="87"/>
      <c r="AJ1450" s="87"/>
      <c r="AK1450" s="87"/>
      <c r="AL1450" s="87"/>
      <c r="AM1450" s="87"/>
      <c r="AN1450" s="87"/>
      <c r="AO1450" s="87"/>
      <c r="AP1450" s="87"/>
      <c r="AQ1450" s="87"/>
      <c r="AR1450" s="87"/>
      <c r="AS1450" s="87"/>
      <c r="AT1450" s="87"/>
      <c r="AU1450" s="87"/>
      <c r="AV1450" s="87"/>
      <c r="AW1450" s="87"/>
      <c r="AX1450" s="87"/>
      <c r="AY1450" s="87"/>
      <c r="AZ1450" s="87"/>
      <c r="BA1450" s="87"/>
      <c r="BB1450" s="87"/>
      <c r="BC1450" s="87"/>
      <c r="BD1450" s="87"/>
      <c r="BE1450" s="87"/>
      <c r="BF1450" s="87"/>
      <c r="BG1450" s="87"/>
      <c r="BH1450" s="87"/>
    </row>
    <row r="1451" spans="1:60" ht="16">
      <c r="A1451" s="82"/>
      <c r="B1451" s="82"/>
      <c r="C1451" s="82"/>
      <c r="D1451" s="83"/>
      <c r="E1451" s="84"/>
      <c r="F1451" s="84"/>
      <c r="G1451" s="84"/>
      <c r="H1451" s="82"/>
      <c r="I1451" s="84"/>
      <c r="J1451" s="84"/>
      <c r="K1451" s="84"/>
      <c r="L1451" s="84"/>
      <c r="M1451" s="84"/>
      <c r="N1451" s="84"/>
      <c r="O1451" s="84"/>
      <c r="P1451" s="84"/>
      <c r="Q1451" s="84"/>
      <c r="R1451" s="84"/>
      <c r="S1451" s="84"/>
      <c r="T1451" s="84"/>
      <c r="U1451" s="84"/>
      <c r="V1451" s="84"/>
      <c r="W1451" s="84"/>
      <c r="X1451" s="84"/>
      <c r="Y1451" s="84"/>
      <c r="Z1451" s="87"/>
      <c r="AA1451" s="87"/>
      <c r="AB1451" s="87"/>
      <c r="AC1451" s="87"/>
      <c r="AD1451" s="87"/>
      <c r="AE1451" s="87"/>
      <c r="AF1451" s="87"/>
      <c r="AG1451" s="87"/>
      <c r="AH1451" s="87"/>
      <c r="AI1451" s="87"/>
      <c r="AJ1451" s="87"/>
      <c r="AK1451" s="87"/>
      <c r="AL1451" s="87"/>
      <c r="AM1451" s="87"/>
      <c r="AN1451" s="87"/>
      <c r="AO1451" s="87"/>
      <c r="AP1451" s="87"/>
      <c r="AQ1451" s="87"/>
      <c r="AR1451" s="87"/>
      <c r="AS1451" s="87"/>
      <c r="AT1451" s="87"/>
      <c r="AU1451" s="87"/>
      <c r="AV1451" s="87"/>
      <c r="AW1451" s="87"/>
      <c r="AX1451" s="87"/>
      <c r="AY1451" s="87"/>
      <c r="AZ1451" s="87"/>
      <c r="BA1451" s="87"/>
      <c r="BB1451" s="87"/>
      <c r="BC1451" s="87"/>
      <c r="BD1451" s="87"/>
      <c r="BE1451" s="87"/>
      <c r="BF1451" s="87"/>
      <c r="BG1451" s="87"/>
      <c r="BH1451" s="87"/>
    </row>
    <row r="1452" spans="1:60" ht="16">
      <c r="A1452" s="82"/>
      <c r="B1452" s="82"/>
      <c r="C1452" s="82"/>
      <c r="D1452" s="83"/>
      <c r="E1452" s="84"/>
      <c r="F1452" s="84"/>
      <c r="G1452" s="84"/>
      <c r="H1452" s="82"/>
      <c r="I1452" s="84"/>
      <c r="J1452" s="84"/>
      <c r="K1452" s="84"/>
      <c r="L1452" s="84"/>
      <c r="M1452" s="84"/>
      <c r="N1452" s="84"/>
      <c r="O1452" s="84"/>
      <c r="P1452" s="84"/>
      <c r="Q1452" s="84"/>
      <c r="R1452" s="84"/>
      <c r="S1452" s="84"/>
      <c r="T1452" s="84"/>
      <c r="U1452" s="84"/>
      <c r="V1452" s="84"/>
      <c r="W1452" s="84"/>
      <c r="X1452" s="84"/>
      <c r="Y1452" s="84"/>
      <c r="Z1452" s="87"/>
      <c r="AA1452" s="87"/>
      <c r="AB1452" s="87"/>
      <c r="AC1452" s="87"/>
      <c r="AD1452" s="87"/>
      <c r="AE1452" s="87"/>
      <c r="AF1452" s="87"/>
      <c r="AG1452" s="87"/>
      <c r="AH1452" s="87"/>
      <c r="AI1452" s="87"/>
      <c r="AJ1452" s="87"/>
      <c r="AK1452" s="87"/>
      <c r="AL1452" s="87"/>
      <c r="AM1452" s="87"/>
      <c r="AN1452" s="87"/>
      <c r="AO1452" s="87"/>
      <c r="AP1452" s="87"/>
      <c r="AQ1452" s="87"/>
      <c r="AR1452" s="87"/>
      <c r="AS1452" s="87"/>
      <c r="AT1452" s="87"/>
      <c r="AU1452" s="87"/>
      <c r="AV1452" s="87"/>
      <c r="AW1452" s="87"/>
      <c r="AX1452" s="87"/>
      <c r="AY1452" s="87"/>
      <c r="AZ1452" s="87"/>
      <c r="BA1452" s="87"/>
      <c r="BB1452" s="87"/>
      <c r="BC1452" s="87"/>
      <c r="BD1452" s="87"/>
      <c r="BE1452" s="87"/>
      <c r="BF1452" s="87"/>
      <c r="BG1452" s="87"/>
      <c r="BH1452" s="87"/>
    </row>
    <row r="1453" spans="1:60" ht="16">
      <c r="A1453" s="82"/>
      <c r="B1453" s="82"/>
      <c r="C1453" s="82"/>
      <c r="D1453" s="83"/>
      <c r="E1453" s="84"/>
      <c r="F1453" s="84"/>
      <c r="G1453" s="84"/>
      <c r="H1453" s="82"/>
      <c r="I1453" s="84"/>
      <c r="J1453" s="84"/>
      <c r="K1453" s="84"/>
      <c r="L1453" s="84"/>
      <c r="M1453" s="84"/>
      <c r="N1453" s="84"/>
      <c r="O1453" s="84"/>
      <c r="P1453" s="84"/>
      <c r="Q1453" s="84"/>
      <c r="R1453" s="84"/>
      <c r="S1453" s="84"/>
      <c r="T1453" s="84"/>
      <c r="U1453" s="84"/>
      <c r="V1453" s="84"/>
      <c r="W1453" s="84"/>
      <c r="X1453" s="84"/>
      <c r="Y1453" s="84"/>
      <c r="Z1453" s="87"/>
      <c r="AA1453" s="87"/>
      <c r="AB1453" s="87"/>
      <c r="AC1453" s="87"/>
      <c r="AD1453" s="87"/>
      <c r="AE1453" s="87"/>
      <c r="AF1453" s="87"/>
      <c r="AG1453" s="87"/>
      <c r="AH1453" s="87"/>
      <c r="AI1453" s="87"/>
      <c r="AJ1453" s="87"/>
      <c r="AK1453" s="87"/>
      <c r="AL1453" s="87"/>
      <c r="AM1453" s="87"/>
      <c r="AN1453" s="87"/>
      <c r="AO1453" s="87"/>
      <c r="AP1453" s="87"/>
      <c r="AQ1453" s="87"/>
      <c r="AR1453" s="87"/>
      <c r="AS1453" s="87"/>
      <c r="AT1453" s="87"/>
      <c r="AU1453" s="87"/>
      <c r="AV1453" s="87"/>
      <c r="AW1453" s="87"/>
      <c r="AX1453" s="87"/>
      <c r="AY1453" s="87"/>
      <c r="AZ1453" s="87"/>
      <c r="BA1453" s="87"/>
      <c r="BB1453" s="87"/>
      <c r="BC1453" s="87"/>
      <c r="BD1453" s="87"/>
      <c r="BE1453" s="87"/>
      <c r="BF1453" s="87"/>
      <c r="BG1453" s="87"/>
      <c r="BH1453" s="87"/>
    </row>
    <row r="1454" spans="1:60" ht="16">
      <c r="A1454" s="82"/>
      <c r="B1454" s="82"/>
      <c r="C1454" s="82"/>
      <c r="D1454" s="83"/>
      <c r="E1454" s="84"/>
      <c r="F1454" s="84"/>
      <c r="G1454" s="84"/>
      <c r="H1454" s="82"/>
      <c r="I1454" s="84"/>
      <c r="J1454" s="84"/>
      <c r="K1454" s="84"/>
      <c r="L1454" s="84"/>
      <c r="M1454" s="84"/>
      <c r="N1454" s="84"/>
      <c r="O1454" s="84"/>
      <c r="P1454" s="84"/>
      <c r="Q1454" s="84"/>
      <c r="R1454" s="84"/>
      <c r="S1454" s="84"/>
      <c r="T1454" s="84"/>
      <c r="U1454" s="84"/>
      <c r="V1454" s="84"/>
      <c r="W1454" s="84"/>
      <c r="X1454" s="84"/>
      <c r="Y1454" s="84"/>
      <c r="Z1454" s="87"/>
      <c r="AA1454" s="87"/>
      <c r="AB1454" s="87"/>
      <c r="AC1454" s="87"/>
      <c r="AD1454" s="87"/>
      <c r="AE1454" s="87"/>
      <c r="AF1454" s="87"/>
      <c r="AG1454" s="87"/>
      <c r="AH1454" s="87"/>
      <c r="AI1454" s="87"/>
      <c r="AJ1454" s="87"/>
      <c r="AK1454" s="87"/>
      <c r="AL1454" s="87"/>
      <c r="AM1454" s="87"/>
      <c r="AN1454" s="87"/>
      <c r="AO1454" s="87"/>
      <c r="AP1454" s="87"/>
      <c r="AQ1454" s="87"/>
      <c r="AR1454" s="87"/>
      <c r="AS1454" s="87"/>
      <c r="AT1454" s="87"/>
      <c r="AU1454" s="87"/>
      <c r="AV1454" s="87"/>
      <c r="AW1454" s="87"/>
      <c r="AX1454" s="87"/>
      <c r="AY1454" s="87"/>
      <c r="AZ1454" s="87"/>
      <c r="BA1454" s="87"/>
      <c r="BB1454" s="87"/>
      <c r="BC1454" s="87"/>
      <c r="BD1454" s="87"/>
      <c r="BE1454" s="87"/>
      <c r="BF1454" s="87"/>
      <c r="BG1454" s="87"/>
      <c r="BH1454" s="87"/>
    </row>
    <row r="1455" spans="1:60" ht="16">
      <c r="A1455" s="82"/>
      <c r="B1455" s="82"/>
      <c r="C1455" s="82"/>
      <c r="D1455" s="83"/>
      <c r="E1455" s="84"/>
      <c r="F1455" s="84"/>
      <c r="G1455" s="84"/>
      <c r="H1455" s="82"/>
      <c r="I1455" s="84"/>
      <c r="J1455" s="84"/>
      <c r="K1455" s="84"/>
      <c r="L1455" s="84"/>
      <c r="M1455" s="84"/>
      <c r="N1455" s="84"/>
      <c r="O1455" s="84"/>
      <c r="P1455" s="84"/>
      <c r="Q1455" s="84"/>
      <c r="R1455" s="84"/>
      <c r="S1455" s="84"/>
      <c r="T1455" s="84"/>
      <c r="U1455" s="84"/>
      <c r="V1455" s="84"/>
      <c r="W1455" s="84"/>
      <c r="X1455" s="84"/>
      <c r="Y1455" s="84"/>
      <c r="Z1455" s="87"/>
      <c r="AA1455" s="87"/>
      <c r="AB1455" s="87"/>
      <c r="AC1455" s="87"/>
      <c r="AD1455" s="87"/>
      <c r="AE1455" s="87"/>
      <c r="AF1455" s="87"/>
      <c r="AG1455" s="87"/>
      <c r="AH1455" s="87"/>
      <c r="AI1455" s="87"/>
      <c r="AJ1455" s="87"/>
      <c r="AK1455" s="87"/>
      <c r="AL1455" s="87"/>
      <c r="AM1455" s="87"/>
      <c r="AN1455" s="87"/>
      <c r="AO1455" s="87"/>
      <c r="AP1455" s="87"/>
      <c r="AQ1455" s="87"/>
      <c r="AR1455" s="87"/>
      <c r="AS1455" s="87"/>
      <c r="AT1455" s="87"/>
      <c r="AU1455" s="87"/>
      <c r="AV1455" s="87"/>
      <c r="AW1455" s="87"/>
      <c r="AX1455" s="87"/>
      <c r="AY1455" s="87"/>
      <c r="AZ1455" s="87"/>
      <c r="BA1455" s="87"/>
      <c r="BB1455" s="87"/>
      <c r="BC1455" s="87"/>
      <c r="BD1455" s="87"/>
      <c r="BE1455" s="87"/>
      <c r="BF1455" s="87"/>
      <c r="BG1455" s="87"/>
      <c r="BH1455" s="87"/>
    </row>
    <row r="1456" spans="1:60" ht="16">
      <c r="A1456" s="82"/>
      <c r="B1456" s="82"/>
      <c r="C1456" s="82"/>
      <c r="D1456" s="83"/>
      <c r="E1456" s="84"/>
      <c r="F1456" s="84"/>
      <c r="G1456" s="84"/>
      <c r="H1456" s="82"/>
      <c r="I1456" s="84"/>
      <c r="J1456" s="84"/>
      <c r="K1456" s="84"/>
      <c r="L1456" s="84"/>
      <c r="M1456" s="84"/>
      <c r="N1456" s="84"/>
      <c r="O1456" s="84"/>
      <c r="P1456" s="84"/>
      <c r="Q1456" s="84"/>
      <c r="R1456" s="84"/>
      <c r="S1456" s="84"/>
      <c r="T1456" s="84"/>
      <c r="U1456" s="84"/>
      <c r="V1456" s="84"/>
      <c r="W1456" s="84"/>
      <c r="X1456" s="84"/>
      <c r="Y1456" s="84"/>
      <c r="Z1456" s="87"/>
      <c r="AA1456" s="87"/>
      <c r="AB1456" s="87"/>
      <c r="AC1456" s="87"/>
      <c r="AD1456" s="87"/>
      <c r="AE1456" s="87"/>
      <c r="AF1456" s="87"/>
      <c r="AG1456" s="87"/>
      <c r="AH1456" s="87"/>
      <c r="AI1456" s="87"/>
      <c r="AJ1456" s="87"/>
      <c r="AK1456" s="87"/>
      <c r="AL1456" s="87"/>
      <c r="AM1456" s="87"/>
      <c r="AN1456" s="87"/>
      <c r="AO1456" s="87"/>
      <c r="AP1456" s="87"/>
      <c r="AQ1456" s="87"/>
      <c r="AR1456" s="87"/>
      <c r="AS1456" s="87"/>
      <c r="AT1456" s="87"/>
      <c r="AU1456" s="87"/>
      <c r="AV1456" s="87"/>
      <c r="AW1456" s="87"/>
      <c r="AX1456" s="87"/>
      <c r="AY1456" s="87"/>
      <c r="AZ1456" s="87"/>
      <c r="BA1456" s="87"/>
      <c r="BB1456" s="87"/>
      <c r="BC1456" s="87"/>
      <c r="BD1456" s="87"/>
      <c r="BE1456" s="87"/>
      <c r="BF1456" s="87"/>
      <c r="BG1456" s="87"/>
      <c r="BH1456" s="87"/>
    </row>
    <row r="1457" spans="1:60" ht="16">
      <c r="A1457" s="82"/>
      <c r="B1457" s="82"/>
      <c r="C1457" s="82"/>
      <c r="D1457" s="83"/>
      <c r="E1457" s="84"/>
      <c r="F1457" s="84"/>
      <c r="G1457" s="84"/>
      <c r="H1457" s="82"/>
      <c r="I1457" s="84"/>
      <c r="J1457" s="84"/>
      <c r="K1457" s="84"/>
      <c r="L1457" s="84"/>
      <c r="M1457" s="84"/>
      <c r="N1457" s="84"/>
      <c r="O1457" s="84"/>
      <c r="P1457" s="84"/>
      <c r="Q1457" s="84"/>
      <c r="R1457" s="84"/>
      <c r="S1457" s="84"/>
      <c r="T1457" s="84"/>
      <c r="U1457" s="84"/>
      <c r="V1457" s="84"/>
      <c r="W1457" s="84"/>
      <c r="X1457" s="84"/>
      <c r="Y1457" s="84"/>
      <c r="Z1457" s="87"/>
      <c r="AA1457" s="87"/>
      <c r="AB1457" s="87"/>
      <c r="AC1457" s="87"/>
      <c r="AD1457" s="87"/>
      <c r="AE1457" s="87"/>
      <c r="AF1457" s="87"/>
      <c r="AG1457" s="87"/>
      <c r="AH1457" s="87"/>
      <c r="AI1457" s="87"/>
      <c r="AJ1457" s="87"/>
      <c r="AK1457" s="87"/>
      <c r="AL1457" s="87"/>
      <c r="AM1457" s="87"/>
      <c r="AN1457" s="87"/>
      <c r="AO1457" s="87"/>
      <c r="AP1457" s="87"/>
      <c r="AQ1457" s="87"/>
      <c r="AR1457" s="87"/>
      <c r="AS1457" s="87"/>
      <c r="AT1457" s="87"/>
      <c r="AU1457" s="87"/>
      <c r="AV1457" s="87"/>
      <c r="AW1457" s="87"/>
      <c r="AX1457" s="87"/>
      <c r="AY1457" s="87"/>
      <c r="AZ1457" s="87"/>
      <c r="BA1457" s="87"/>
      <c r="BB1457" s="87"/>
      <c r="BC1457" s="87"/>
      <c r="BD1457" s="87"/>
      <c r="BE1457" s="87"/>
      <c r="BF1457" s="87"/>
      <c r="BG1457" s="87"/>
      <c r="BH1457" s="87"/>
    </row>
    <row r="1458" spans="1:60" ht="16">
      <c r="A1458" s="82"/>
      <c r="B1458" s="82"/>
      <c r="C1458" s="82"/>
      <c r="D1458" s="83"/>
      <c r="E1458" s="84"/>
      <c r="F1458" s="84"/>
      <c r="G1458" s="84"/>
      <c r="H1458" s="82"/>
      <c r="I1458" s="84"/>
      <c r="J1458" s="84"/>
      <c r="K1458" s="84"/>
      <c r="L1458" s="84"/>
      <c r="M1458" s="84"/>
      <c r="N1458" s="84"/>
      <c r="O1458" s="84"/>
      <c r="P1458" s="84"/>
      <c r="Q1458" s="84"/>
      <c r="R1458" s="84"/>
      <c r="S1458" s="84"/>
      <c r="T1458" s="84"/>
      <c r="U1458" s="84"/>
      <c r="V1458" s="84"/>
      <c r="W1458" s="84"/>
      <c r="X1458" s="84"/>
      <c r="Y1458" s="84"/>
      <c r="Z1458" s="87"/>
      <c r="AA1458" s="87"/>
      <c r="AB1458" s="87"/>
      <c r="AC1458" s="87"/>
      <c r="AD1458" s="87"/>
      <c r="AE1458" s="87"/>
      <c r="AF1458" s="87"/>
      <c r="AG1458" s="87"/>
      <c r="AH1458" s="87"/>
      <c r="AI1458" s="87"/>
      <c r="AJ1458" s="87"/>
      <c r="AK1458" s="87"/>
      <c r="AL1458" s="87"/>
      <c r="AM1458" s="87"/>
      <c r="AN1458" s="87"/>
      <c r="AO1458" s="87"/>
      <c r="AP1458" s="87"/>
      <c r="AQ1458" s="87"/>
      <c r="AR1458" s="87"/>
      <c r="AS1458" s="87"/>
      <c r="AT1458" s="87"/>
      <c r="AU1458" s="87"/>
      <c r="AV1458" s="87"/>
      <c r="AW1458" s="87"/>
      <c r="AX1458" s="87"/>
      <c r="AY1458" s="87"/>
      <c r="AZ1458" s="87"/>
      <c r="BA1458" s="87"/>
      <c r="BB1458" s="87"/>
      <c r="BC1458" s="87"/>
      <c r="BD1458" s="87"/>
      <c r="BE1458" s="87"/>
      <c r="BF1458" s="87"/>
      <c r="BG1458" s="87"/>
      <c r="BH1458" s="87"/>
    </row>
    <row r="1459" spans="1:60" ht="16">
      <c r="A1459" s="82"/>
      <c r="B1459" s="82"/>
      <c r="C1459" s="82"/>
      <c r="D1459" s="83"/>
      <c r="E1459" s="84"/>
      <c r="F1459" s="84"/>
      <c r="G1459" s="84"/>
      <c r="H1459" s="82"/>
      <c r="I1459" s="84"/>
      <c r="J1459" s="84"/>
      <c r="K1459" s="84"/>
      <c r="L1459" s="84"/>
      <c r="M1459" s="84"/>
      <c r="N1459" s="84"/>
      <c r="O1459" s="84"/>
      <c r="P1459" s="84"/>
      <c r="Q1459" s="84"/>
      <c r="R1459" s="84"/>
      <c r="S1459" s="84"/>
      <c r="T1459" s="84"/>
      <c r="U1459" s="84"/>
      <c r="V1459" s="84"/>
      <c r="W1459" s="84"/>
      <c r="X1459" s="84"/>
      <c r="Y1459" s="84"/>
      <c r="Z1459" s="87"/>
      <c r="AA1459" s="87"/>
      <c r="AB1459" s="87"/>
      <c r="AC1459" s="87"/>
      <c r="AD1459" s="87"/>
      <c r="AE1459" s="87"/>
      <c r="AF1459" s="87"/>
      <c r="AG1459" s="87"/>
      <c r="AH1459" s="87"/>
      <c r="AI1459" s="87"/>
      <c r="AJ1459" s="87"/>
      <c r="AK1459" s="87"/>
      <c r="AL1459" s="87"/>
      <c r="AM1459" s="87"/>
      <c r="AN1459" s="87"/>
      <c r="AO1459" s="87"/>
      <c r="AP1459" s="87"/>
      <c r="AQ1459" s="87"/>
      <c r="AR1459" s="87"/>
      <c r="AS1459" s="87"/>
      <c r="AT1459" s="87"/>
      <c r="AU1459" s="87"/>
      <c r="AV1459" s="87"/>
      <c r="AW1459" s="87"/>
      <c r="AX1459" s="87"/>
      <c r="AY1459" s="87"/>
      <c r="AZ1459" s="87"/>
      <c r="BA1459" s="87"/>
      <c r="BB1459" s="87"/>
      <c r="BC1459" s="87"/>
      <c r="BD1459" s="87"/>
      <c r="BE1459" s="87"/>
      <c r="BF1459" s="87"/>
      <c r="BG1459" s="87"/>
      <c r="BH1459" s="87"/>
    </row>
    <row r="1460" spans="1:60" ht="16">
      <c r="A1460" s="82"/>
      <c r="B1460" s="82"/>
      <c r="C1460" s="82"/>
      <c r="D1460" s="83"/>
      <c r="E1460" s="84"/>
      <c r="F1460" s="84"/>
      <c r="G1460" s="84"/>
      <c r="H1460" s="82"/>
      <c r="I1460" s="84"/>
      <c r="J1460" s="84"/>
      <c r="K1460" s="84"/>
      <c r="L1460" s="84"/>
      <c r="M1460" s="84"/>
      <c r="N1460" s="84"/>
      <c r="O1460" s="84"/>
      <c r="P1460" s="84"/>
      <c r="Q1460" s="84"/>
      <c r="R1460" s="84"/>
      <c r="S1460" s="84"/>
      <c r="T1460" s="84"/>
      <c r="U1460" s="84"/>
      <c r="V1460" s="84"/>
      <c r="W1460" s="84"/>
      <c r="X1460" s="84"/>
      <c r="Y1460" s="84"/>
      <c r="Z1460" s="87"/>
      <c r="AA1460" s="87"/>
      <c r="AB1460" s="87"/>
      <c r="AC1460" s="87"/>
      <c r="AD1460" s="87"/>
      <c r="AE1460" s="87"/>
      <c r="AF1460" s="87"/>
      <c r="AG1460" s="87"/>
      <c r="AH1460" s="87"/>
      <c r="AI1460" s="87"/>
      <c r="AJ1460" s="87"/>
      <c r="AK1460" s="87"/>
      <c r="AL1460" s="87"/>
      <c r="AM1460" s="87"/>
      <c r="AN1460" s="87"/>
      <c r="AO1460" s="87"/>
      <c r="AP1460" s="87"/>
      <c r="AQ1460" s="87"/>
      <c r="AR1460" s="87"/>
      <c r="AS1460" s="87"/>
      <c r="AT1460" s="87"/>
      <c r="AU1460" s="87"/>
      <c r="AV1460" s="87"/>
      <c r="AW1460" s="87"/>
      <c r="AX1460" s="87"/>
      <c r="AY1460" s="87"/>
      <c r="AZ1460" s="87"/>
      <c r="BA1460" s="87"/>
      <c r="BB1460" s="87"/>
      <c r="BC1460" s="87"/>
      <c r="BD1460" s="87"/>
      <c r="BE1460" s="87"/>
      <c r="BF1460" s="87"/>
      <c r="BG1460" s="87"/>
      <c r="BH1460" s="87"/>
    </row>
    <row r="1461" spans="1:60" ht="16">
      <c r="A1461" s="82"/>
      <c r="B1461" s="82"/>
      <c r="C1461" s="82"/>
      <c r="D1461" s="83"/>
      <c r="E1461" s="84"/>
      <c r="F1461" s="84"/>
      <c r="G1461" s="84"/>
      <c r="H1461" s="82"/>
      <c r="I1461" s="84"/>
      <c r="J1461" s="84"/>
      <c r="K1461" s="84"/>
      <c r="L1461" s="84"/>
      <c r="M1461" s="84"/>
      <c r="N1461" s="84"/>
      <c r="O1461" s="84"/>
      <c r="P1461" s="84"/>
      <c r="Q1461" s="84"/>
      <c r="R1461" s="84"/>
      <c r="S1461" s="84"/>
      <c r="T1461" s="84"/>
      <c r="U1461" s="84"/>
      <c r="V1461" s="84"/>
      <c r="W1461" s="84"/>
      <c r="X1461" s="84"/>
      <c r="Y1461" s="84"/>
      <c r="Z1461" s="87"/>
      <c r="AA1461" s="87"/>
      <c r="AB1461" s="87"/>
      <c r="AC1461" s="87"/>
      <c r="AD1461" s="87"/>
      <c r="AE1461" s="87"/>
      <c r="AF1461" s="87"/>
      <c r="AG1461" s="87"/>
      <c r="AH1461" s="87"/>
      <c r="AI1461" s="87"/>
      <c r="AJ1461" s="87"/>
      <c r="AK1461" s="87"/>
      <c r="AL1461" s="87"/>
      <c r="AM1461" s="87"/>
      <c r="AN1461" s="87"/>
      <c r="AO1461" s="87"/>
      <c r="AP1461" s="87"/>
      <c r="AQ1461" s="87"/>
      <c r="AR1461" s="87"/>
      <c r="AS1461" s="87"/>
      <c r="AT1461" s="87"/>
      <c r="AU1461" s="87"/>
      <c r="AV1461" s="87"/>
      <c r="AW1461" s="87"/>
      <c r="AX1461" s="87"/>
      <c r="AY1461" s="87"/>
      <c r="AZ1461" s="87"/>
      <c r="BA1461" s="87"/>
      <c r="BB1461" s="87"/>
      <c r="BC1461" s="87"/>
      <c r="BD1461" s="87"/>
      <c r="BE1461" s="87"/>
      <c r="BF1461" s="87"/>
      <c r="BG1461" s="87"/>
      <c r="BH1461" s="87"/>
    </row>
    <row r="1462" spans="1:60" ht="16">
      <c r="A1462" s="82"/>
      <c r="B1462" s="82"/>
      <c r="C1462" s="82"/>
      <c r="D1462" s="83"/>
      <c r="E1462" s="84"/>
      <c r="F1462" s="84"/>
      <c r="G1462" s="84"/>
      <c r="H1462" s="82"/>
      <c r="I1462" s="84"/>
      <c r="J1462" s="84"/>
      <c r="K1462" s="84"/>
      <c r="L1462" s="84"/>
      <c r="M1462" s="84"/>
      <c r="N1462" s="84"/>
      <c r="O1462" s="84"/>
      <c r="P1462" s="84"/>
      <c r="Q1462" s="84"/>
      <c r="R1462" s="84"/>
      <c r="S1462" s="84"/>
      <c r="T1462" s="84"/>
      <c r="U1462" s="84"/>
      <c r="V1462" s="84"/>
      <c r="W1462" s="84"/>
      <c r="X1462" s="84"/>
      <c r="Y1462" s="84"/>
      <c r="Z1462" s="87"/>
      <c r="AA1462" s="87"/>
      <c r="AB1462" s="87"/>
      <c r="AC1462" s="87"/>
      <c r="AD1462" s="87"/>
      <c r="AE1462" s="87"/>
      <c r="AF1462" s="87"/>
      <c r="AG1462" s="87"/>
      <c r="AH1462" s="87"/>
      <c r="AI1462" s="87"/>
      <c r="AJ1462" s="87"/>
      <c r="AK1462" s="87"/>
      <c r="AL1462" s="87"/>
      <c r="AM1462" s="87"/>
      <c r="AN1462" s="87"/>
      <c r="AO1462" s="87"/>
      <c r="AP1462" s="87"/>
      <c r="AQ1462" s="87"/>
      <c r="AR1462" s="87"/>
      <c r="AS1462" s="87"/>
      <c r="AT1462" s="87"/>
      <c r="AU1462" s="87"/>
      <c r="AV1462" s="87"/>
      <c r="AW1462" s="87"/>
      <c r="AX1462" s="87"/>
      <c r="AY1462" s="87"/>
      <c r="AZ1462" s="87"/>
      <c r="BA1462" s="87"/>
      <c r="BB1462" s="87"/>
      <c r="BC1462" s="87"/>
      <c r="BD1462" s="87"/>
      <c r="BE1462" s="87"/>
      <c r="BF1462" s="87"/>
      <c r="BG1462" s="87"/>
      <c r="BH1462" s="87"/>
    </row>
    <row r="1463" spans="1:60" ht="16">
      <c r="A1463" s="82"/>
      <c r="B1463" s="82"/>
      <c r="C1463" s="82"/>
      <c r="D1463" s="83"/>
      <c r="E1463" s="84"/>
      <c r="F1463" s="84"/>
      <c r="G1463" s="84"/>
      <c r="H1463" s="82"/>
      <c r="I1463" s="84"/>
      <c r="J1463" s="84"/>
      <c r="K1463" s="84"/>
      <c r="L1463" s="84"/>
      <c r="M1463" s="84"/>
      <c r="N1463" s="84"/>
      <c r="O1463" s="84"/>
      <c r="P1463" s="84"/>
      <c r="Q1463" s="84"/>
      <c r="R1463" s="84"/>
      <c r="S1463" s="84"/>
      <c r="T1463" s="84"/>
      <c r="U1463" s="84"/>
      <c r="V1463" s="84"/>
      <c r="W1463" s="84"/>
      <c r="X1463" s="84"/>
      <c r="Y1463" s="84"/>
      <c r="Z1463" s="87"/>
      <c r="AA1463" s="87"/>
      <c r="AB1463" s="87"/>
      <c r="AC1463" s="87"/>
      <c r="AD1463" s="87"/>
      <c r="AE1463" s="87"/>
      <c r="AF1463" s="87"/>
      <c r="AG1463" s="87"/>
      <c r="AH1463" s="87"/>
      <c r="AI1463" s="87"/>
      <c r="AJ1463" s="87"/>
      <c r="AK1463" s="87"/>
      <c r="AL1463" s="87"/>
      <c r="AM1463" s="87"/>
      <c r="AN1463" s="87"/>
      <c r="AO1463" s="87"/>
      <c r="AP1463" s="87"/>
      <c r="AQ1463" s="87"/>
      <c r="AR1463" s="87"/>
      <c r="AS1463" s="87"/>
      <c r="AT1463" s="87"/>
      <c r="AU1463" s="87"/>
      <c r="AV1463" s="87"/>
      <c r="AW1463" s="87"/>
      <c r="AX1463" s="87"/>
      <c r="AY1463" s="87"/>
      <c r="AZ1463" s="87"/>
      <c r="BA1463" s="87"/>
      <c r="BB1463" s="87"/>
      <c r="BC1463" s="87"/>
      <c r="BD1463" s="87"/>
      <c r="BE1463" s="87"/>
      <c r="BF1463" s="87"/>
      <c r="BG1463" s="87"/>
      <c r="BH1463" s="87"/>
    </row>
    <row r="1464" spans="1:60" ht="16">
      <c r="A1464" s="82"/>
      <c r="B1464" s="82"/>
      <c r="C1464" s="82"/>
      <c r="D1464" s="83"/>
      <c r="E1464" s="84"/>
      <c r="F1464" s="84"/>
      <c r="G1464" s="84"/>
      <c r="H1464" s="82"/>
      <c r="I1464" s="84"/>
      <c r="J1464" s="84"/>
      <c r="K1464" s="84"/>
      <c r="L1464" s="84"/>
      <c r="M1464" s="84"/>
      <c r="N1464" s="84"/>
      <c r="O1464" s="84"/>
      <c r="P1464" s="84"/>
      <c r="Q1464" s="84"/>
      <c r="R1464" s="84"/>
      <c r="S1464" s="84"/>
      <c r="T1464" s="84"/>
      <c r="U1464" s="84"/>
      <c r="V1464" s="84"/>
      <c r="W1464" s="84"/>
      <c r="X1464" s="84"/>
      <c r="Y1464" s="84"/>
      <c r="Z1464" s="87"/>
      <c r="AA1464" s="87"/>
      <c r="AB1464" s="87"/>
      <c r="AC1464" s="87"/>
      <c r="AD1464" s="87"/>
      <c r="AE1464" s="87"/>
      <c r="AF1464" s="87"/>
      <c r="AG1464" s="87"/>
      <c r="AH1464" s="87"/>
      <c r="AI1464" s="87"/>
      <c r="AJ1464" s="87"/>
      <c r="AK1464" s="87"/>
      <c r="AL1464" s="87"/>
      <c r="AM1464" s="87"/>
      <c r="AN1464" s="87"/>
      <c r="AO1464" s="87"/>
      <c r="AP1464" s="87"/>
      <c r="AQ1464" s="87"/>
      <c r="AR1464" s="87"/>
      <c r="AS1464" s="87"/>
      <c r="AT1464" s="87"/>
      <c r="AU1464" s="87"/>
      <c r="AV1464" s="87"/>
      <c r="AW1464" s="87"/>
      <c r="AX1464" s="87"/>
      <c r="AY1464" s="87"/>
      <c r="AZ1464" s="87"/>
      <c r="BA1464" s="87"/>
      <c r="BB1464" s="87"/>
      <c r="BC1464" s="87"/>
      <c r="BD1464" s="87"/>
      <c r="BE1464" s="87"/>
      <c r="BF1464" s="87"/>
      <c r="BG1464" s="87"/>
      <c r="BH1464" s="87"/>
    </row>
    <row r="1465" spans="1:60" ht="16">
      <c r="A1465" s="82"/>
      <c r="B1465" s="82"/>
      <c r="C1465" s="82"/>
      <c r="D1465" s="83"/>
      <c r="E1465" s="84"/>
      <c r="F1465" s="84"/>
      <c r="G1465" s="84"/>
      <c r="H1465" s="82"/>
      <c r="I1465" s="84"/>
      <c r="J1465" s="84"/>
      <c r="K1465" s="84"/>
      <c r="L1465" s="84"/>
      <c r="M1465" s="84"/>
      <c r="N1465" s="84"/>
      <c r="O1465" s="84"/>
      <c r="P1465" s="84"/>
      <c r="Q1465" s="84"/>
      <c r="R1465" s="84"/>
      <c r="S1465" s="84"/>
      <c r="T1465" s="84"/>
      <c r="U1465" s="84"/>
      <c r="V1465" s="84"/>
      <c r="W1465" s="84"/>
      <c r="X1465" s="84"/>
      <c r="Y1465" s="84"/>
      <c r="Z1465" s="87"/>
      <c r="AA1465" s="87"/>
      <c r="AB1465" s="87"/>
      <c r="AC1465" s="87"/>
      <c r="AD1465" s="87"/>
      <c r="AE1465" s="87"/>
      <c r="AF1465" s="87"/>
      <c r="AG1465" s="87"/>
      <c r="AH1465" s="87"/>
      <c r="AI1465" s="87"/>
      <c r="AJ1465" s="87"/>
      <c r="AK1465" s="87"/>
      <c r="AL1465" s="87"/>
      <c r="AM1465" s="87"/>
      <c r="AN1465" s="87"/>
      <c r="AO1465" s="87"/>
      <c r="AP1465" s="87"/>
      <c r="AQ1465" s="87"/>
      <c r="AR1465" s="87"/>
      <c r="AS1465" s="87"/>
      <c r="AT1465" s="87"/>
      <c r="AU1465" s="87"/>
      <c r="AV1465" s="87"/>
      <c r="AW1465" s="87"/>
      <c r="AX1465" s="87"/>
      <c r="AY1465" s="87"/>
      <c r="AZ1465" s="87"/>
      <c r="BA1465" s="87"/>
      <c r="BB1465" s="87"/>
      <c r="BC1465" s="87"/>
      <c r="BD1465" s="87"/>
      <c r="BE1465" s="87"/>
      <c r="BF1465" s="87"/>
      <c r="BG1465" s="87"/>
      <c r="BH1465" s="87"/>
    </row>
    <row r="1466" spans="1:60" ht="16">
      <c r="A1466" s="82"/>
      <c r="B1466" s="82"/>
      <c r="C1466" s="82"/>
      <c r="D1466" s="83"/>
      <c r="E1466" s="84"/>
      <c r="F1466" s="84"/>
      <c r="G1466" s="84"/>
      <c r="H1466" s="82"/>
      <c r="I1466" s="84"/>
      <c r="J1466" s="84"/>
      <c r="K1466" s="84"/>
      <c r="L1466" s="84"/>
      <c r="M1466" s="84"/>
      <c r="N1466" s="84"/>
      <c r="O1466" s="84"/>
      <c r="P1466" s="84"/>
      <c r="Q1466" s="84"/>
      <c r="R1466" s="84"/>
      <c r="S1466" s="84"/>
      <c r="T1466" s="84"/>
      <c r="U1466" s="84"/>
      <c r="V1466" s="84"/>
      <c r="W1466" s="84"/>
      <c r="X1466" s="84"/>
      <c r="Y1466" s="84"/>
      <c r="Z1466" s="87"/>
      <c r="AA1466" s="87"/>
      <c r="AB1466" s="87"/>
      <c r="AC1466" s="87"/>
      <c r="AD1466" s="87"/>
      <c r="AE1466" s="87"/>
      <c r="AF1466" s="87"/>
      <c r="AG1466" s="87"/>
      <c r="AH1466" s="87"/>
      <c r="AI1466" s="87"/>
      <c r="AJ1466" s="87"/>
      <c r="AK1466" s="87"/>
      <c r="AL1466" s="87"/>
      <c r="AM1466" s="87"/>
      <c r="AN1466" s="87"/>
      <c r="AO1466" s="87"/>
      <c r="AP1466" s="87"/>
      <c r="AQ1466" s="87"/>
      <c r="AR1466" s="87"/>
      <c r="AS1466" s="87"/>
      <c r="AT1466" s="87"/>
      <c r="AU1466" s="87"/>
      <c r="AV1466" s="87"/>
      <c r="AW1466" s="87"/>
      <c r="AX1466" s="87"/>
      <c r="AY1466" s="87"/>
      <c r="AZ1466" s="87"/>
      <c r="BA1466" s="87"/>
      <c r="BB1466" s="87"/>
      <c r="BC1466" s="87"/>
      <c r="BD1466" s="87"/>
      <c r="BE1466" s="87"/>
      <c r="BF1466" s="87"/>
      <c r="BG1466" s="87"/>
      <c r="BH1466" s="87"/>
    </row>
    <row r="1467" spans="1:60" ht="16">
      <c r="A1467" s="82"/>
      <c r="B1467" s="82"/>
      <c r="C1467" s="82"/>
      <c r="D1467" s="83"/>
      <c r="E1467" s="84"/>
      <c r="F1467" s="84"/>
      <c r="G1467" s="84"/>
      <c r="H1467" s="82"/>
      <c r="I1467" s="84"/>
      <c r="J1467" s="84"/>
      <c r="K1467" s="84"/>
      <c r="L1467" s="84"/>
      <c r="M1467" s="84"/>
      <c r="N1467" s="84"/>
      <c r="O1467" s="84"/>
      <c r="P1467" s="84"/>
      <c r="Q1467" s="84"/>
      <c r="R1467" s="84"/>
      <c r="S1467" s="84"/>
      <c r="T1467" s="84"/>
      <c r="U1467" s="84"/>
      <c r="V1467" s="84"/>
      <c r="W1467" s="84"/>
      <c r="X1467" s="84"/>
      <c r="Y1467" s="84"/>
      <c r="Z1467" s="87"/>
      <c r="AA1467" s="87"/>
      <c r="AB1467" s="87"/>
      <c r="AC1467" s="87"/>
      <c r="AD1467" s="87"/>
      <c r="AE1467" s="87"/>
      <c r="AF1467" s="87"/>
      <c r="AG1467" s="87"/>
      <c r="AH1467" s="87"/>
      <c r="AI1467" s="87"/>
      <c r="AJ1467" s="87"/>
      <c r="AK1467" s="87"/>
      <c r="AL1467" s="87"/>
      <c r="AM1467" s="87"/>
      <c r="AN1467" s="87"/>
      <c r="AO1467" s="87"/>
      <c r="AP1467" s="87"/>
      <c r="AQ1467" s="87"/>
      <c r="AR1467" s="87"/>
      <c r="AS1467" s="87"/>
      <c r="AT1467" s="87"/>
      <c r="AU1467" s="87"/>
      <c r="AV1467" s="87"/>
      <c r="AW1467" s="87"/>
      <c r="AX1467" s="87"/>
      <c r="AY1467" s="87"/>
      <c r="AZ1467" s="87"/>
      <c r="BA1467" s="87"/>
      <c r="BB1467" s="87"/>
      <c r="BC1467" s="87"/>
      <c r="BD1467" s="87"/>
      <c r="BE1467" s="87"/>
      <c r="BF1467" s="87"/>
      <c r="BG1467" s="87"/>
      <c r="BH1467" s="87"/>
    </row>
    <row r="1468" spans="1:60" ht="16">
      <c r="A1468" s="82"/>
      <c r="B1468" s="82"/>
      <c r="C1468" s="82"/>
      <c r="D1468" s="83"/>
      <c r="E1468" s="84"/>
      <c r="F1468" s="84"/>
      <c r="G1468" s="84"/>
      <c r="H1468" s="82"/>
      <c r="I1468" s="84"/>
      <c r="J1468" s="84"/>
      <c r="K1468" s="84"/>
      <c r="L1468" s="84"/>
      <c r="M1468" s="84"/>
      <c r="N1468" s="84"/>
      <c r="O1468" s="84"/>
      <c r="P1468" s="84"/>
      <c r="Q1468" s="84"/>
      <c r="R1468" s="84"/>
      <c r="S1468" s="84"/>
      <c r="T1468" s="84"/>
      <c r="U1468" s="84"/>
      <c r="V1468" s="84"/>
      <c r="W1468" s="84"/>
      <c r="X1468" s="84"/>
      <c r="Y1468" s="84"/>
      <c r="Z1468" s="87"/>
      <c r="AA1468" s="87"/>
      <c r="AB1468" s="87"/>
      <c r="AC1468" s="87"/>
      <c r="AD1468" s="87"/>
      <c r="AE1468" s="87"/>
      <c r="AF1468" s="87"/>
      <c r="AG1468" s="87"/>
      <c r="AH1468" s="87"/>
      <c r="AI1468" s="87"/>
      <c r="AJ1468" s="87"/>
      <c r="AK1468" s="87"/>
      <c r="AL1468" s="87"/>
      <c r="AM1468" s="87"/>
      <c r="AN1468" s="87"/>
      <c r="AO1468" s="87"/>
      <c r="AP1468" s="87"/>
      <c r="AQ1468" s="87"/>
      <c r="AR1468" s="87"/>
      <c r="AS1468" s="87"/>
      <c r="AT1468" s="87"/>
      <c r="AU1468" s="87"/>
      <c r="AV1468" s="87"/>
      <c r="AW1468" s="87"/>
      <c r="AX1468" s="87"/>
      <c r="AY1468" s="87"/>
      <c r="AZ1468" s="87"/>
      <c r="BA1468" s="87"/>
      <c r="BB1468" s="87"/>
      <c r="BC1468" s="87"/>
      <c r="BD1468" s="87"/>
      <c r="BE1468" s="87"/>
      <c r="BF1468" s="87"/>
      <c r="BG1468" s="87"/>
      <c r="BH1468" s="87"/>
    </row>
    <row r="1469" spans="1:60" ht="16">
      <c r="A1469" s="82"/>
      <c r="B1469" s="82"/>
      <c r="C1469" s="82"/>
      <c r="D1469" s="83"/>
      <c r="E1469" s="84"/>
      <c r="F1469" s="84"/>
      <c r="G1469" s="84"/>
      <c r="H1469" s="82"/>
      <c r="I1469" s="84"/>
      <c r="J1469" s="84"/>
      <c r="K1469" s="84"/>
      <c r="L1469" s="84"/>
      <c r="M1469" s="84"/>
      <c r="N1469" s="84"/>
      <c r="O1469" s="84"/>
      <c r="P1469" s="84"/>
      <c r="Q1469" s="84"/>
      <c r="R1469" s="84"/>
      <c r="S1469" s="84"/>
      <c r="T1469" s="84"/>
      <c r="U1469" s="84"/>
      <c r="V1469" s="84"/>
      <c r="W1469" s="84"/>
      <c r="X1469" s="84"/>
      <c r="Y1469" s="84"/>
      <c r="Z1469" s="87"/>
      <c r="AA1469" s="87"/>
      <c r="AB1469" s="87"/>
      <c r="AC1469" s="87"/>
      <c r="AD1469" s="87"/>
      <c r="AE1469" s="87"/>
      <c r="AF1469" s="87"/>
      <c r="AG1469" s="87"/>
      <c r="AH1469" s="87"/>
      <c r="AI1469" s="87"/>
      <c r="AJ1469" s="87"/>
      <c r="AK1469" s="87"/>
      <c r="AL1469" s="87"/>
      <c r="AM1469" s="87"/>
      <c r="AN1469" s="87"/>
      <c r="AO1469" s="87"/>
      <c r="AP1469" s="87"/>
      <c r="AQ1469" s="87"/>
      <c r="AR1469" s="87"/>
      <c r="AS1469" s="87"/>
      <c r="AT1469" s="87"/>
      <c r="AU1469" s="87"/>
      <c r="AV1469" s="87"/>
      <c r="AW1469" s="87"/>
      <c r="AX1469" s="87"/>
      <c r="AY1469" s="87"/>
      <c r="AZ1469" s="87"/>
      <c r="BA1469" s="87"/>
      <c r="BB1469" s="87"/>
      <c r="BC1469" s="87"/>
      <c r="BD1469" s="87"/>
      <c r="BE1469" s="87"/>
      <c r="BF1469" s="87"/>
      <c r="BG1469" s="87"/>
      <c r="BH1469" s="87"/>
    </row>
    <row r="1470" spans="1:60" ht="16">
      <c r="A1470" s="82"/>
      <c r="B1470" s="82"/>
      <c r="C1470" s="82"/>
      <c r="D1470" s="83"/>
      <c r="E1470" s="84"/>
      <c r="F1470" s="84"/>
      <c r="G1470" s="84"/>
      <c r="H1470" s="82"/>
      <c r="I1470" s="84"/>
      <c r="J1470" s="84"/>
      <c r="K1470" s="84"/>
      <c r="L1470" s="84"/>
      <c r="M1470" s="84"/>
      <c r="N1470" s="84"/>
      <c r="O1470" s="84"/>
      <c r="P1470" s="84"/>
      <c r="Q1470" s="84"/>
      <c r="R1470" s="84"/>
      <c r="S1470" s="84"/>
      <c r="T1470" s="84"/>
      <c r="U1470" s="84"/>
      <c r="V1470" s="84"/>
      <c r="W1470" s="84"/>
      <c r="X1470" s="84"/>
      <c r="Y1470" s="84"/>
      <c r="Z1470" s="87"/>
      <c r="AA1470" s="87"/>
      <c r="AB1470" s="87"/>
      <c r="AC1470" s="87"/>
      <c r="AD1470" s="87"/>
      <c r="AE1470" s="87"/>
      <c r="AF1470" s="87"/>
      <c r="AG1470" s="87"/>
      <c r="AH1470" s="87"/>
      <c r="AI1470" s="87"/>
      <c r="AJ1470" s="87"/>
      <c r="AK1470" s="87"/>
      <c r="AL1470" s="87"/>
      <c r="AM1470" s="87"/>
      <c r="AN1470" s="87"/>
      <c r="AO1470" s="87"/>
      <c r="AP1470" s="87"/>
      <c r="AQ1470" s="87"/>
      <c r="AR1470" s="87"/>
      <c r="AS1470" s="87"/>
      <c r="AT1470" s="87"/>
      <c r="AU1470" s="87"/>
      <c r="AV1470" s="87"/>
      <c r="AW1470" s="87"/>
      <c r="AX1470" s="87"/>
      <c r="AY1470" s="87"/>
      <c r="AZ1470" s="87"/>
      <c r="BA1470" s="87"/>
      <c r="BB1470" s="87"/>
      <c r="BC1470" s="87"/>
      <c r="BD1470" s="87"/>
      <c r="BE1470" s="87"/>
      <c r="BF1470" s="87"/>
      <c r="BG1470" s="87"/>
      <c r="BH1470" s="87"/>
    </row>
    <row r="1471" spans="1:60" ht="16">
      <c r="A1471" s="82"/>
      <c r="B1471" s="82"/>
      <c r="C1471" s="82"/>
      <c r="D1471" s="83"/>
      <c r="E1471" s="84"/>
      <c r="F1471" s="84"/>
      <c r="G1471" s="84"/>
      <c r="H1471" s="82"/>
      <c r="I1471" s="84"/>
      <c r="J1471" s="84"/>
      <c r="K1471" s="84"/>
      <c r="L1471" s="84"/>
      <c r="M1471" s="84"/>
      <c r="N1471" s="84"/>
      <c r="O1471" s="84"/>
      <c r="P1471" s="84"/>
      <c r="Q1471" s="84"/>
      <c r="R1471" s="84"/>
      <c r="S1471" s="84"/>
      <c r="T1471" s="84"/>
      <c r="U1471" s="84"/>
      <c r="V1471" s="84"/>
      <c r="W1471" s="84"/>
      <c r="X1471" s="84"/>
      <c r="Y1471" s="84"/>
      <c r="Z1471" s="87"/>
      <c r="AA1471" s="87"/>
      <c r="AB1471" s="87"/>
      <c r="AC1471" s="87"/>
      <c r="AD1471" s="87"/>
      <c r="AE1471" s="87"/>
      <c r="AF1471" s="87"/>
      <c r="AG1471" s="87"/>
      <c r="AH1471" s="87"/>
      <c r="AI1471" s="87"/>
      <c r="AJ1471" s="87"/>
      <c r="AK1471" s="87"/>
      <c r="AL1471" s="87"/>
      <c r="AM1471" s="87"/>
      <c r="AN1471" s="87"/>
      <c r="AO1471" s="87"/>
      <c r="AP1471" s="87"/>
      <c r="AQ1471" s="87"/>
      <c r="AR1471" s="87"/>
      <c r="AS1471" s="87"/>
      <c r="AT1471" s="87"/>
      <c r="AU1471" s="87"/>
      <c r="AV1471" s="87"/>
      <c r="AW1471" s="87"/>
      <c r="AX1471" s="87"/>
      <c r="AY1471" s="87"/>
      <c r="AZ1471" s="87"/>
      <c r="BA1471" s="87"/>
      <c r="BB1471" s="87"/>
      <c r="BC1471" s="87"/>
      <c r="BD1471" s="87"/>
      <c r="BE1471" s="87"/>
      <c r="BF1471" s="87"/>
      <c r="BG1471" s="87"/>
      <c r="BH1471" s="87"/>
    </row>
    <row r="1472" spans="1:60" ht="16">
      <c r="A1472" s="82"/>
      <c r="B1472" s="82"/>
      <c r="C1472" s="82"/>
      <c r="D1472" s="83"/>
      <c r="E1472" s="84"/>
      <c r="F1472" s="84"/>
      <c r="G1472" s="84"/>
      <c r="H1472" s="82"/>
      <c r="I1472" s="84"/>
      <c r="J1472" s="84"/>
      <c r="K1472" s="84"/>
      <c r="L1472" s="84"/>
      <c r="M1472" s="84"/>
      <c r="N1472" s="84"/>
      <c r="O1472" s="84"/>
      <c r="P1472" s="84"/>
      <c r="Q1472" s="84"/>
      <c r="R1472" s="84"/>
      <c r="S1472" s="84"/>
      <c r="T1472" s="84"/>
      <c r="U1472" s="84"/>
      <c r="V1472" s="84"/>
      <c r="W1472" s="84"/>
      <c r="X1472" s="84"/>
      <c r="Y1472" s="84"/>
      <c r="Z1472" s="87"/>
      <c r="AA1472" s="87"/>
      <c r="AB1472" s="87"/>
      <c r="AC1472" s="87"/>
      <c r="AD1472" s="87"/>
      <c r="AE1472" s="87"/>
      <c r="AF1472" s="87"/>
      <c r="AG1472" s="87"/>
      <c r="AH1472" s="87"/>
      <c r="AI1472" s="87"/>
      <c r="AJ1472" s="87"/>
      <c r="AK1472" s="87"/>
      <c r="AL1472" s="87"/>
      <c r="AM1472" s="87"/>
      <c r="AN1472" s="87"/>
      <c r="AO1472" s="87"/>
      <c r="AP1472" s="87"/>
      <c r="AQ1472" s="87"/>
      <c r="AR1472" s="87"/>
      <c r="AS1472" s="87"/>
      <c r="AT1472" s="87"/>
      <c r="AU1472" s="87"/>
      <c r="AV1472" s="87"/>
      <c r="AW1472" s="87"/>
      <c r="AX1472" s="87"/>
      <c r="AY1472" s="87"/>
      <c r="AZ1472" s="87"/>
      <c r="BA1472" s="87"/>
      <c r="BB1472" s="87"/>
      <c r="BC1472" s="87"/>
      <c r="BD1472" s="87"/>
      <c r="BE1472" s="87"/>
      <c r="BF1472" s="87"/>
      <c r="BG1472" s="87"/>
      <c r="BH1472" s="87"/>
    </row>
    <row r="1473" spans="1:60" ht="16">
      <c r="A1473" s="82"/>
      <c r="B1473" s="82"/>
      <c r="C1473" s="82"/>
      <c r="D1473" s="83"/>
      <c r="E1473" s="84"/>
      <c r="F1473" s="84"/>
      <c r="G1473" s="84"/>
      <c r="H1473" s="82"/>
      <c r="I1473" s="84"/>
      <c r="J1473" s="84"/>
      <c r="K1473" s="84"/>
      <c r="L1473" s="84"/>
      <c r="M1473" s="84"/>
      <c r="N1473" s="84"/>
      <c r="O1473" s="84"/>
      <c r="P1473" s="84"/>
      <c r="Q1473" s="84"/>
      <c r="R1473" s="84"/>
      <c r="S1473" s="84"/>
      <c r="T1473" s="84"/>
      <c r="U1473" s="84"/>
      <c r="V1473" s="84"/>
      <c r="W1473" s="84"/>
      <c r="X1473" s="84"/>
      <c r="Y1473" s="84"/>
      <c r="Z1473" s="87"/>
      <c r="AA1473" s="87"/>
      <c r="AB1473" s="87"/>
      <c r="AC1473" s="87"/>
      <c r="AD1473" s="87"/>
      <c r="AE1473" s="87"/>
      <c r="AF1473" s="87"/>
      <c r="AG1473" s="87"/>
      <c r="AH1473" s="87"/>
      <c r="AI1473" s="87"/>
      <c r="AJ1473" s="87"/>
      <c r="AK1473" s="87"/>
      <c r="AL1473" s="87"/>
      <c r="AM1473" s="87"/>
      <c r="AN1473" s="87"/>
      <c r="AO1473" s="87"/>
      <c r="AP1473" s="87"/>
      <c r="AQ1473" s="87"/>
      <c r="AR1473" s="87"/>
      <c r="AS1473" s="87"/>
      <c r="AT1473" s="87"/>
      <c r="AU1473" s="87"/>
      <c r="AV1473" s="87"/>
      <c r="AW1473" s="87"/>
      <c r="AX1473" s="87"/>
      <c r="AY1473" s="87"/>
      <c r="AZ1473" s="87"/>
      <c r="BA1473" s="87"/>
      <c r="BB1473" s="87"/>
      <c r="BC1473" s="87"/>
      <c r="BD1473" s="87"/>
      <c r="BE1473" s="87"/>
      <c r="BF1473" s="87"/>
      <c r="BG1473" s="87"/>
      <c r="BH1473" s="87"/>
    </row>
    <row r="1474" spans="1:60" ht="16">
      <c r="A1474" s="82"/>
      <c r="B1474" s="82"/>
      <c r="C1474" s="82"/>
      <c r="D1474" s="83"/>
      <c r="E1474" s="84"/>
      <c r="F1474" s="84"/>
      <c r="G1474" s="84"/>
      <c r="H1474" s="82"/>
      <c r="I1474" s="84"/>
      <c r="J1474" s="84"/>
      <c r="K1474" s="84"/>
      <c r="L1474" s="84"/>
      <c r="M1474" s="84"/>
      <c r="N1474" s="84"/>
      <c r="O1474" s="84"/>
      <c r="P1474" s="84"/>
      <c r="Q1474" s="84"/>
      <c r="R1474" s="84"/>
      <c r="S1474" s="84"/>
      <c r="T1474" s="84"/>
      <c r="U1474" s="84"/>
      <c r="V1474" s="84"/>
      <c r="W1474" s="84"/>
      <c r="X1474" s="84"/>
      <c r="Y1474" s="84"/>
      <c r="Z1474" s="87"/>
      <c r="AA1474" s="87"/>
      <c r="AB1474" s="87"/>
      <c r="AC1474" s="87"/>
      <c r="AD1474" s="87"/>
      <c r="AE1474" s="87"/>
      <c r="AF1474" s="87"/>
      <c r="AG1474" s="87"/>
      <c r="AH1474" s="87"/>
      <c r="AI1474" s="87"/>
      <c r="AJ1474" s="87"/>
      <c r="AK1474" s="87"/>
      <c r="AL1474" s="87"/>
      <c r="AM1474" s="87"/>
      <c r="AN1474" s="87"/>
      <c r="AO1474" s="87"/>
      <c r="AP1474" s="87"/>
      <c r="AQ1474" s="87"/>
      <c r="AR1474" s="87"/>
      <c r="AS1474" s="87"/>
      <c r="AT1474" s="87"/>
      <c r="AU1474" s="87"/>
      <c r="AV1474" s="87"/>
      <c r="AW1474" s="87"/>
      <c r="AX1474" s="87"/>
      <c r="AY1474" s="87"/>
      <c r="AZ1474" s="87"/>
      <c r="BA1474" s="87"/>
      <c r="BB1474" s="87"/>
      <c r="BC1474" s="87"/>
      <c r="BD1474" s="87"/>
      <c r="BE1474" s="87"/>
      <c r="BF1474" s="87"/>
      <c r="BG1474" s="87"/>
      <c r="BH1474" s="87"/>
    </row>
    <row r="1475" spans="1:60" ht="16">
      <c r="A1475" s="82"/>
      <c r="B1475" s="82"/>
      <c r="C1475" s="82"/>
      <c r="D1475" s="83"/>
      <c r="E1475" s="84"/>
      <c r="F1475" s="84"/>
      <c r="G1475" s="84"/>
      <c r="H1475" s="82"/>
      <c r="I1475" s="84"/>
      <c r="J1475" s="84"/>
      <c r="K1475" s="84"/>
      <c r="L1475" s="84"/>
      <c r="M1475" s="84"/>
      <c r="N1475" s="84"/>
      <c r="O1475" s="84"/>
      <c r="P1475" s="84"/>
      <c r="Q1475" s="84"/>
      <c r="R1475" s="84"/>
      <c r="S1475" s="84"/>
      <c r="T1475" s="84"/>
      <c r="U1475" s="84"/>
      <c r="V1475" s="84"/>
      <c r="W1475" s="84"/>
      <c r="X1475" s="84"/>
      <c r="Y1475" s="84"/>
      <c r="Z1475" s="87"/>
      <c r="AA1475" s="87"/>
      <c r="AB1475" s="87"/>
      <c r="AC1475" s="87"/>
      <c r="AD1475" s="87"/>
      <c r="AE1475" s="87"/>
      <c r="AF1475" s="87"/>
      <c r="AG1475" s="87"/>
      <c r="AH1475" s="87"/>
      <c r="AI1475" s="87"/>
      <c r="AJ1475" s="87"/>
      <c r="AK1475" s="87"/>
      <c r="AL1475" s="87"/>
      <c r="AM1475" s="87"/>
      <c r="AN1475" s="87"/>
      <c r="AO1475" s="87"/>
      <c r="AP1475" s="87"/>
      <c r="AQ1475" s="87"/>
      <c r="AR1475" s="87"/>
      <c r="AS1475" s="87"/>
      <c r="AT1475" s="87"/>
      <c r="AU1475" s="87"/>
      <c r="AV1475" s="87"/>
      <c r="AW1475" s="87"/>
      <c r="AX1475" s="87"/>
      <c r="AY1475" s="87"/>
      <c r="AZ1475" s="87"/>
      <c r="BA1475" s="87"/>
      <c r="BB1475" s="87"/>
      <c r="BC1475" s="87"/>
      <c r="BD1475" s="87"/>
      <c r="BE1475" s="87"/>
      <c r="BF1475" s="87"/>
      <c r="BG1475" s="87"/>
      <c r="BH1475" s="87"/>
    </row>
    <row r="1476" spans="1:60" ht="16">
      <c r="A1476" s="82"/>
      <c r="B1476" s="82"/>
      <c r="C1476" s="82"/>
      <c r="D1476" s="83"/>
      <c r="E1476" s="84"/>
      <c r="F1476" s="84"/>
      <c r="G1476" s="84"/>
      <c r="H1476" s="82"/>
      <c r="I1476" s="84"/>
      <c r="J1476" s="84"/>
      <c r="K1476" s="84"/>
      <c r="L1476" s="84"/>
      <c r="M1476" s="84"/>
      <c r="N1476" s="84"/>
      <c r="O1476" s="84"/>
      <c r="P1476" s="84"/>
      <c r="Q1476" s="84"/>
      <c r="R1476" s="84"/>
      <c r="S1476" s="84"/>
      <c r="T1476" s="84"/>
      <c r="U1476" s="84"/>
      <c r="V1476" s="84"/>
      <c r="W1476" s="84"/>
      <c r="X1476" s="84"/>
      <c r="Y1476" s="84"/>
      <c r="Z1476" s="87"/>
      <c r="AA1476" s="87"/>
      <c r="AB1476" s="87"/>
      <c r="AC1476" s="87"/>
      <c r="AD1476" s="87"/>
      <c r="AE1476" s="87"/>
      <c r="AF1476" s="87"/>
      <c r="AG1476" s="87"/>
      <c r="AH1476" s="87"/>
      <c r="AI1476" s="87"/>
      <c r="AJ1476" s="87"/>
      <c r="AK1476" s="87"/>
      <c r="AL1476" s="87"/>
      <c r="AM1476" s="87"/>
      <c r="AN1476" s="87"/>
      <c r="AO1476" s="87"/>
      <c r="AP1476" s="87"/>
      <c r="AQ1476" s="87"/>
      <c r="AR1476" s="87"/>
      <c r="AS1476" s="87"/>
      <c r="AT1476" s="87"/>
      <c r="AU1476" s="87"/>
      <c r="AV1476" s="87"/>
      <c r="AW1476" s="87"/>
      <c r="AX1476" s="87"/>
      <c r="AY1476" s="87"/>
      <c r="AZ1476" s="87"/>
      <c r="BA1476" s="87"/>
      <c r="BB1476" s="87"/>
      <c r="BC1476" s="87"/>
      <c r="BD1476" s="87"/>
      <c r="BE1476" s="87"/>
      <c r="BF1476" s="87"/>
      <c r="BG1476" s="87"/>
      <c r="BH1476" s="87"/>
    </row>
    <row r="1477" spans="1:60" ht="16">
      <c r="A1477" s="82"/>
      <c r="B1477" s="82"/>
      <c r="C1477" s="82"/>
      <c r="D1477" s="83"/>
      <c r="E1477" s="84"/>
      <c r="F1477" s="84"/>
      <c r="G1477" s="84"/>
      <c r="H1477" s="82"/>
      <c r="I1477" s="84"/>
      <c r="J1477" s="84"/>
      <c r="K1477" s="84"/>
      <c r="L1477" s="84"/>
      <c r="M1477" s="84"/>
      <c r="N1477" s="84"/>
      <c r="O1477" s="84"/>
      <c r="P1477" s="84"/>
      <c r="Q1477" s="84"/>
      <c r="R1477" s="84"/>
      <c r="S1477" s="84"/>
      <c r="T1477" s="84"/>
      <c r="U1477" s="84"/>
      <c r="V1477" s="84"/>
      <c r="W1477" s="84"/>
      <c r="X1477" s="84"/>
      <c r="Y1477" s="84"/>
      <c r="Z1477" s="87"/>
      <c r="AA1477" s="87"/>
      <c r="AB1477" s="87"/>
      <c r="AC1477" s="87"/>
      <c r="AD1477" s="87"/>
      <c r="AE1477" s="87"/>
      <c r="AF1477" s="87"/>
      <c r="AG1477" s="87"/>
      <c r="AH1477" s="87"/>
      <c r="AI1477" s="87"/>
      <c r="AJ1477" s="87"/>
      <c r="AK1477" s="87"/>
      <c r="AL1477" s="87"/>
      <c r="AM1477" s="87"/>
      <c r="AN1477" s="87"/>
      <c r="AO1477" s="87"/>
      <c r="AP1477" s="87"/>
      <c r="AQ1477" s="87"/>
      <c r="AR1477" s="87"/>
      <c r="AS1477" s="87"/>
      <c r="AT1477" s="87"/>
      <c r="AU1477" s="87"/>
      <c r="AV1477" s="87"/>
      <c r="AW1477" s="87"/>
      <c r="AX1477" s="87"/>
      <c r="AY1477" s="87"/>
      <c r="AZ1477" s="87"/>
      <c r="BA1477" s="87"/>
      <c r="BB1477" s="87"/>
      <c r="BC1477" s="87"/>
      <c r="BD1477" s="87"/>
      <c r="BE1477" s="87"/>
      <c r="BF1477" s="87"/>
      <c r="BG1477" s="87"/>
      <c r="BH1477" s="87"/>
    </row>
    <row r="1478" spans="1:60" ht="16">
      <c r="A1478" s="82"/>
      <c r="B1478" s="82"/>
      <c r="C1478" s="82"/>
      <c r="D1478" s="83"/>
      <c r="E1478" s="84"/>
      <c r="F1478" s="84"/>
      <c r="G1478" s="84"/>
      <c r="H1478" s="82"/>
      <c r="I1478" s="84"/>
      <c r="J1478" s="84"/>
      <c r="K1478" s="84"/>
      <c r="L1478" s="84"/>
      <c r="M1478" s="84"/>
      <c r="N1478" s="84"/>
      <c r="O1478" s="84"/>
      <c r="P1478" s="84"/>
      <c r="Q1478" s="84"/>
      <c r="R1478" s="84"/>
      <c r="S1478" s="84"/>
      <c r="T1478" s="84"/>
      <c r="U1478" s="84"/>
      <c r="V1478" s="84"/>
      <c r="W1478" s="84"/>
      <c r="X1478" s="84"/>
      <c r="Y1478" s="84"/>
      <c r="Z1478" s="87"/>
      <c r="AA1478" s="87"/>
      <c r="AB1478" s="87"/>
      <c r="AC1478" s="87"/>
      <c r="AD1478" s="87"/>
      <c r="AE1478" s="87"/>
      <c r="AF1478" s="87"/>
      <c r="AG1478" s="87"/>
      <c r="AH1478" s="87"/>
      <c r="AI1478" s="87"/>
      <c r="AJ1478" s="87"/>
      <c r="AK1478" s="87"/>
      <c r="AL1478" s="87"/>
      <c r="AM1478" s="87"/>
      <c r="AN1478" s="87"/>
      <c r="AO1478" s="87"/>
      <c r="AP1478" s="87"/>
      <c r="AQ1478" s="87"/>
      <c r="AR1478" s="87"/>
      <c r="AS1478" s="87"/>
      <c r="AT1478" s="87"/>
      <c r="AU1478" s="87"/>
      <c r="AV1478" s="87"/>
      <c r="AW1478" s="87"/>
      <c r="AX1478" s="87"/>
      <c r="AY1478" s="87"/>
      <c r="AZ1478" s="87"/>
      <c r="BA1478" s="87"/>
      <c r="BB1478" s="87"/>
      <c r="BC1478" s="87"/>
      <c r="BD1478" s="87"/>
      <c r="BE1478" s="87"/>
      <c r="BF1478" s="87"/>
      <c r="BG1478" s="87"/>
      <c r="BH1478" s="87"/>
    </row>
    <row r="1479" spans="1:60" ht="16">
      <c r="A1479" s="82"/>
      <c r="B1479" s="82"/>
      <c r="C1479" s="82"/>
      <c r="D1479" s="83"/>
      <c r="E1479" s="84"/>
      <c r="F1479" s="84"/>
      <c r="G1479" s="84"/>
      <c r="H1479" s="82"/>
      <c r="I1479" s="84"/>
      <c r="J1479" s="84"/>
      <c r="K1479" s="84"/>
      <c r="L1479" s="84"/>
      <c r="M1479" s="84"/>
      <c r="N1479" s="84"/>
      <c r="O1479" s="84"/>
      <c r="P1479" s="84"/>
      <c r="Q1479" s="84"/>
      <c r="R1479" s="84"/>
      <c r="S1479" s="84"/>
      <c r="T1479" s="84"/>
      <c r="U1479" s="84"/>
      <c r="V1479" s="84"/>
      <c r="W1479" s="84"/>
      <c r="X1479" s="84"/>
      <c r="Y1479" s="84"/>
      <c r="Z1479" s="87"/>
      <c r="AA1479" s="87"/>
      <c r="AB1479" s="87"/>
      <c r="AC1479" s="87"/>
      <c r="AD1479" s="87"/>
      <c r="AE1479" s="87"/>
      <c r="AF1479" s="87"/>
      <c r="AG1479" s="87"/>
      <c r="AH1479" s="87"/>
      <c r="AI1479" s="87"/>
      <c r="AJ1479" s="87"/>
      <c r="AK1479" s="87"/>
      <c r="AL1479" s="87"/>
      <c r="AM1479" s="87"/>
      <c r="AN1479" s="87"/>
      <c r="AO1479" s="87"/>
      <c r="AP1479" s="87"/>
      <c r="AQ1479" s="87"/>
      <c r="AR1479" s="87"/>
      <c r="AS1479" s="87"/>
      <c r="AT1479" s="87"/>
      <c r="AU1479" s="87"/>
      <c r="AV1479" s="87"/>
      <c r="AW1479" s="87"/>
      <c r="AX1479" s="87"/>
      <c r="AY1479" s="87"/>
      <c r="AZ1479" s="87"/>
      <c r="BA1479" s="87"/>
      <c r="BB1479" s="87"/>
      <c r="BC1479" s="87"/>
      <c r="BD1479" s="87"/>
      <c r="BE1479" s="87"/>
      <c r="BF1479" s="87"/>
      <c r="BG1479" s="87"/>
      <c r="BH1479" s="87"/>
    </row>
    <row r="1480" spans="1:60" ht="16">
      <c r="A1480" s="82"/>
      <c r="B1480" s="82"/>
      <c r="C1480" s="82"/>
      <c r="D1480" s="83"/>
      <c r="E1480" s="84"/>
      <c r="F1480" s="84"/>
      <c r="G1480" s="84"/>
      <c r="H1480" s="82"/>
      <c r="I1480" s="84"/>
      <c r="J1480" s="84"/>
      <c r="K1480" s="84"/>
      <c r="L1480" s="84"/>
      <c r="M1480" s="84"/>
      <c r="N1480" s="84"/>
      <c r="O1480" s="84"/>
      <c r="P1480" s="84"/>
      <c r="Q1480" s="84"/>
      <c r="R1480" s="84"/>
      <c r="S1480" s="84"/>
      <c r="T1480" s="84"/>
      <c r="U1480" s="84"/>
      <c r="V1480" s="84"/>
      <c r="W1480" s="84"/>
      <c r="X1480" s="84"/>
      <c r="Y1480" s="84"/>
      <c r="Z1480" s="87"/>
      <c r="AA1480" s="87"/>
      <c r="AB1480" s="87"/>
      <c r="AC1480" s="87"/>
      <c r="AD1480" s="87"/>
      <c r="AE1480" s="87"/>
      <c r="AF1480" s="87"/>
      <c r="AG1480" s="87"/>
      <c r="AH1480" s="87"/>
      <c r="AI1480" s="87"/>
      <c r="AJ1480" s="87"/>
      <c r="AK1480" s="87"/>
      <c r="AL1480" s="87"/>
      <c r="AM1480" s="87"/>
      <c r="AN1480" s="87"/>
      <c r="AO1480" s="87"/>
      <c r="AP1480" s="87"/>
      <c r="AQ1480" s="87"/>
      <c r="AR1480" s="87"/>
      <c r="AS1480" s="87"/>
      <c r="AT1480" s="87"/>
      <c r="AU1480" s="87"/>
      <c r="AV1480" s="87"/>
      <c r="AW1480" s="87"/>
      <c r="AX1480" s="87"/>
      <c r="AY1480" s="87"/>
      <c r="AZ1480" s="87"/>
      <c r="BA1480" s="87"/>
      <c r="BB1480" s="87"/>
      <c r="BC1480" s="87"/>
      <c r="BD1480" s="87"/>
      <c r="BE1480" s="87"/>
      <c r="BF1480" s="87"/>
      <c r="BG1480" s="87"/>
      <c r="BH1480" s="87"/>
    </row>
    <row r="1481" spans="1:60" ht="16">
      <c r="A1481" s="82"/>
      <c r="B1481" s="82"/>
      <c r="C1481" s="82"/>
      <c r="D1481" s="83"/>
      <c r="E1481" s="84"/>
      <c r="F1481" s="84"/>
      <c r="G1481" s="84"/>
      <c r="H1481" s="82"/>
      <c r="I1481" s="84"/>
      <c r="J1481" s="84"/>
      <c r="K1481" s="84"/>
      <c r="L1481" s="84"/>
      <c r="M1481" s="84"/>
      <c r="N1481" s="84"/>
      <c r="O1481" s="84"/>
      <c r="P1481" s="84"/>
      <c r="Q1481" s="84"/>
      <c r="R1481" s="84"/>
      <c r="S1481" s="84"/>
      <c r="T1481" s="84"/>
      <c r="U1481" s="84"/>
      <c r="V1481" s="84"/>
      <c r="W1481" s="84"/>
      <c r="X1481" s="84"/>
      <c r="Y1481" s="84"/>
      <c r="Z1481" s="87"/>
      <c r="AA1481" s="87"/>
      <c r="AB1481" s="87"/>
      <c r="AC1481" s="87"/>
      <c r="AD1481" s="87"/>
      <c r="AE1481" s="87"/>
      <c r="AF1481" s="87"/>
      <c r="AG1481" s="87"/>
      <c r="AH1481" s="87"/>
      <c r="AI1481" s="87"/>
      <c r="AJ1481" s="87"/>
      <c r="AK1481" s="87"/>
      <c r="AL1481" s="87"/>
      <c r="AM1481" s="87"/>
      <c r="AN1481" s="87"/>
      <c r="AO1481" s="87"/>
      <c r="AP1481" s="87"/>
      <c r="AQ1481" s="87"/>
      <c r="AR1481" s="87"/>
      <c r="AS1481" s="87"/>
      <c r="AT1481" s="87"/>
      <c r="AU1481" s="87"/>
      <c r="AV1481" s="87"/>
      <c r="AW1481" s="87"/>
      <c r="AX1481" s="87"/>
      <c r="AY1481" s="87"/>
      <c r="AZ1481" s="87"/>
      <c r="BA1481" s="87"/>
      <c r="BB1481" s="87"/>
      <c r="BC1481" s="87"/>
      <c r="BD1481" s="87"/>
      <c r="BE1481" s="87"/>
      <c r="BF1481" s="87"/>
      <c r="BG1481" s="87"/>
      <c r="BH1481" s="87"/>
    </row>
    <row r="1482" spans="1:60" ht="16">
      <c r="A1482" s="82"/>
      <c r="B1482" s="82"/>
      <c r="C1482" s="82"/>
      <c r="D1482" s="83"/>
      <c r="E1482" s="84"/>
      <c r="F1482" s="84"/>
      <c r="G1482" s="84"/>
      <c r="H1482" s="82"/>
      <c r="I1482" s="84"/>
      <c r="J1482" s="84"/>
      <c r="K1482" s="84"/>
      <c r="L1482" s="84"/>
      <c r="M1482" s="84"/>
      <c r="N1482" s="84"/>
      <c r="O1482" s="84"/>
      <c r="P1482" s="84"/>
      <c r="Q1482" s="84"/>
      <c r="R1482" s="84"/>
      <c r="S1482" s="84"/>
      <c r="T1482" s="84"/>
      <c r="U1482" s="84"/>
      <c r="V1482" s="84"/>
      <c r="W1482" s="84"/>
      <c r="X1482" s="84"/>
      <c r="Y1482" s="84"/>
      <c r="Z1482" s="87"/>
      <c r="AA1482" s="87"/>
      <c r="AB1482" s="87"/>
      <c r="AC1482" s="87"/>
      <c r="AD1482" s="87"/>
      <c r="AE1482" s="87"/>
      <c r="AF1482" s="87"/>
      <c r="AG1482" s="87"/>
      <c r="AH1482" s="87"/>
      <c r="AI1482" s="87"/>
      <c r="AJ1482" s="87"/>
      <c r="AK1482" s="87"/>
      <c r="AL1482" s="87"/>
      <c r="AM1482" s="87"/>
      <c r="AN1482" s="87"/>
      <c r="AO1482" s="87"/>
      <c r="AP1482" s="87"/>
      <c r="AQ1482" s="87"/>
      <c r="AR1482" s="87"/>
      <c r="AS1482" s="87"/>
      <c r="AT1482" s="87"/>
      <c r="AU1482" s="87"/>
      <c r="AV1482" s="87"/>
      <c r="AW1482" s="87"/>
      <c r="AX1482" s="87"/>
      <c r="AY1482" s="87"/>
      <c r="AZ1482" s="87"/>
      <c r="BA1482" s="87"/>
      <c r="BB1482" s="87"/>
      <c r="BC1482" s="87"/>
      <c r="BD1482" s="87"/>
      <c r="BE1482" s="87"/>
      <c r="BF1482" s="87"/>
      <c r="BG1482" s="87"/>
      <c r="BH1482" s="87"/>
    </row>
    <row r="1483" spans="1:60" ht="16">
      <c r="A1483" s="82"/>
      <c r="B1483" s="82"/>
      <c r="C1483" s="82"/>
      <c r="D1483" s="83"/>
      <c r="E1483" s="84"/>
      <c r="F1483" s="84"/>
      <c r="G1483" s="84"/>
      <c r="H1483" s="82"/>
      <c r="I1483" s="84"/>
      <c r="J1483" s="84"/>
      <c r="K1483" s="84"/>
      <c r="L1483" s="84"/>
      <c r="M1483" s="84"/>
      <c r="N1483" s="84"/>
      <c r="O1483" s="84"/>
      <c r="P1483" s="84"/>
      <c r="Q1483" s="84"/>
      <c r="R1483" s="84"/>
      <c r="S1483" s="84"/>
      <c r="T1483" s="84"/>
      <c r="U1483" s="84"/>
      <c r="V1483" s="84"/>
      <c r="W1483" s="84"/>
      <c r="X1483" s="84"/>
      <c r="Y1483" s="84"/>
      <c r="Z1483" s="87"/>
      <c r="AA1483" s="87"/>
      <c r="AB1483" s="87"/>
      <c r="AC1483" s="87"/>
      <c r="AD1483" s="87"/>
      <c r="AE1483" s="87"/>
      <c r="AF1483" s="87"/>
      <c r="AG1483" s="87"/>
      <c r="AH1483" s="87"/>
      <c r="AI1483" s="87"/>
      <c r="AJ1483" s="87"/>
      <c r="AK1483" s="87"/>
      <c r="AL1483" s="87"/>
      <c r="AM1483" s="87"/>
      <c r="AN1483" s="87"/>
      <c r="AO1483" s="87"/>
      <c r="AP1483" s="87"/>
      <c r="AQ1483" s="87"/>
      <c r="AR1483" s="87"/>
      <c r="AS1483" s="87"/>
      <c r="AT1483" s="87"/>
      <c r="AU1483" s="87"/>
      <c r="AV1483" s="87"/>
      <c r="AW1483" s="87"/>
      <c r="AX1483" s="87"/>
      <c r="AY1483" s="87"/>
      <c r="AZ1483" s="87"/>
      <c r="BA1483" s="87"/>
      <c r="BB1483" s="87"/>
      <c r="BC1483" s="87"/>
      <c r="BD1483" s="87"/>
      <c r="BE1483" s="87"/>
      <c r="BF1483" s="87"/>
      <c r="BG1483" s="87"/>
      <c r="BH1483" s="87"/>
    </row>
    <row r="1484" spans="1:60" ht="16">
      <c r="A1484" s="82"/>
      <c r="B1484" s="82"/>
      <c r="C1484" s="82"/>
      <c r="D1484" s="83"/>
      <c r="E1484" s="84"/>
      <c r="F1484" s="84"/>
      <c r="G1484" s="84"/>
      <c r="H1484" s="82"/>
      <c r="I1484" s="84"/>
      <c r="J1484" s="84"/>
      <c r="K1484" s="84"/>
      <c r="L1484" s="84"/>
      <c r="M1484" s="84"/>
      <c r="N1484" s="84"/>
      <c r="O1484" s="84"/>
      <c r="P1484" s="84"/>
      <c r="Q1484" s="84"/>
      <c r="R1484" s="84"/>
      <c r="S1484" s="84"/>
      <c r="T1484" s="84"/>
      <c r="U1484" s="84"/>
      <c r="V1484" s="84"/>
      <c r="W1484" s="84"/>
      <c r="X1484" s="84"/>
      <c r="Y1484" s="84"/>
      <c r="Z1484" s="87"/>
      <c r="AA1484" s="87"/>
      <c r="AB1484" s="87"/>
      <c r="AC1484" s="87"/>
      <c r="AD1484" s="87"/>
      <c r="AE1484" s="87"/>
      <c r="AF1484" s="87"/>
      <c r="AG1484" s="87"/>
      <c r="AH1484" s="87"/>
      <c r="AI1484" s="87"/>
      <c r="AJ1484" s="87"/>
      <c r="AK1484" s="87"/>
      <c r="AL1484" s="87"/>
      <c r="AM1484" s="87"/>
      <c r="AN1484" s="87"/>
      <c r="AO1484" s="87"/>
      <c r="AP1484" s="87"/>
      <c r="AQ1484" s="87"/>
      <c r="AR1484" s="87"/>
      <c r="AS1484" s="87"/>
      <c r="AT1484" s="87"/>
      <c r="AU1484" s="87"/>
      <c r="AV1484" s="87"/>
      <c r="AW1484" s="87"/>
      <c r="AX1484" s="87"/>
      <c r="AY1484" s="87"/>
      <c r="AZ1484" s="87"/>
      <c r="BA1484" s="87"/>
      <c r="BB1484" s="87"/>
      <c r="BC1484" s="87"/>
      <c r="BD1484" s="87"/>
      <c r="BE1484" s="87"/>
      <c r="BF1484" s="87"/>
      <c r="BG1484" s="87"/>
      <c r="BH1484" s="87"/>
    </row>
    <row r="1485" spans="1:60" ht="16">
      <c r="A1485" s="82"/>
      <c r="B1485" s="82"/>
      <c r="C1485" s="82"/>
      <c r="D1485" s="83"/>
      <c r="E1485" s="84"/>
      <c r="F1485" s="84"/>
      <c r="G1485" s="84"/>
      <c r="H1485" s="82"/>
      <c r="I1485" s="84"/>
      <c r="J1485" s="84"/>
      <c r="K1485" s="84"/>
      <c r="L1485" s="84"/>
      <c r="M1485" s="84"/>
      <c r="N1485" s="84"/>
      <c r="O1485" s="84"/>
      <c r="P1485" s="84"/>
      <c r="Q1485" s="84"/>
      <c r="R1485" s="84"/>
      <c r="S1485" s="84"/>
      <c r="T1485" s="84"/>
      <c r="U1485" s="84"/>
      <c r="V1485" s="84"/>
      <c r="W1485" s="84"/>
      <c r="X1485" s="84"/>
      <c r="Y1485" s="84"/>
      <c r="Z1485" s="87"/>
      <c r="AA1485" s="87"/>
      <c r="AB1485" s="87"/>
      <c r="AC1485" s="87"/>
      <c r="AD1485" s="87"/>
      <c r="AE1485" s="87"/>
      <c r="AF1485" s="87"/>
      <c r="AG1485" s="87"/>
      <c r="AH1485" s="87"/>
      <c r="AI1485" s="87"/>
      <c r="AJ1485" s="87"/>
      <c r="AK1485" s="87"/>
      <c r="AL1485" s="87"/>
      <c r="AM1485" s="87"/>
      <c r="AN1485" s="87"/>
      <c r="AO1485" s="87"/>
      <c r="AP1485" s="87"/>
      <c r="AQ1485" s="87"/>
      <c r="AR1485" s="87"/>
      <c r="AS1485" s="87"/>
      <c r="AT1485" s="87"/>
      <c r="AU1485" s="87"/>
      <c r="AV1485" s="87"/>
      <c r="AW1485" s="87"/>
      <c r="AX1485" s="87"/>
      <c r="AY1485" s="87"/>
      <c r="AZ1485" s="87"/>
      <c r="BA1485" s="87"/>
      <c r="BB1485" s="87"/>
      <c r="BC1485" s="87"/>
      <c r="BD1485" s="87"/>
      <c r="BE1485" s="87"/>
      <c r="BF1485" s="87"/>
      <c r="BG1485" s="87"/>
      <c r="BH1485" s="87"/>
    </row>
    <row r="1486" spans="1:60" ht="16">
      <c r="A1486" s="82"/>
      <c r="B1486" s="82"/>
      <c r="C1486" s="82"/>
      <c r="D1486" s="83"/>
      <c r="E1486" s="84"/>
      <c r="F1486" s="84"/>
      <c r="G1486" s="84"/>
      <c r="H1486" s="82"/>
      <c r="I1486" s="84"/>
      <c r="J1486" s="84"/>
      <c r="K1486" s="84"/>
      <c r="L1486" s="84"/>
      <c r="M1486" s="84"/>
      <c r="N1486" s="84"/>
      <c r="O1486" s="84"/>
      <c r="P1486" s="84"/>
      <c r="Q1486" s="84"/>
      <c r="R1486" s="84"/>
      <c r="S1486" s="84"/>
      <c r="T1486" s="84"/>
      <c r="U1486" s="84"/>
      <c r="V1486" s="84"/>
      <c r="W1486" s="84"/>
      <c r="X1486" s="84"/>
      <c r="Y1486" s="84"/>
      <c r="Z1486" s="87"/>
      <c r="AA1486" s="87"/>
      <c r="AB1486" s="87"/>
      <c r="AC1486" s="87"/>
      <c r="AD1486" s="87"/>
      <c r="AE1486" s="87"/>
      <c r="AF1486" s="87"/>
      <c r="AG1486" s="87"/>
      <c r="AH1486" s="87"/>
      <c r="AI1486" s="87"/>
      <c r="AJ1486" s="87"/>
      <c r="AK1486" s="87"/>
      <c r="AL1486" s="87"/>
      <c r="AM1486" s="87"/>
      <c r="AN1486" s="87"/>
      <c r="AO1486" s="87"/>
      <c r="AP1486" s="87"/>
      <c r="AQ1486" s="87"/>
      <c r="AR1486" s="87"/>
      <c r="AS1486" s="87"/>
      <c r="AT1486" s="87"/>
      <c r="AU1486" s="87"/>
      <c r="AV1486" s="87"/>
      <c r="AW1486" s="87"/>
      <c r="AX1486" s="87"/>
      <c r="AY1486" s="87"/>
      <c r="AZ1486" s="87"/>
      <c r="BA1486" s="87"/>
      <c r="BB1486" s="87"/>
      <c r="BC1486" s="87"/>
      <c r="BD1486" s="87"/>
      <c r="BE1486" s="87"/>
      <c r="BF1486" s="87"/>
      <c r="BG1486" s="87"/>
      <c r="BH1486" s="87"/>
    </row>
    <row r="1487" spans="1:60" ht="16">
      <c r="A1487" s="82"/>
      <c r="B1487" s="82"/>
      <c r="C1487" s="82"/>
      <c r="D1487" s="83"/>
      <c r="E1487" s="84"/>
      <c r="F1487" s="84"/>
      <c r="G1487" s="84"/>
      <c r="H1487" s="82"/>
      <c r="I1487" s="84"/>
      <c r="J1487" s="84"/>
      <c r="K1487" s="84"/>
      <c r="L1487" s="84"/>
      <c r="M1487" s="84"/>
      <c r="N1487" s="84"/>
      <c r="O1487" s="84"/>
      <c r="P1487" s="84"/>
      <c r="Q1487" s="84"/>
      <c r="R1487" s="84"/>
      <c r="S1487" s="84"/>
      <c r="T1487" s="84"/>
      <c r="U1487" s="84"/>
      <c r="V1487" s="84"/>
      <c r="W1487" s="84"/>
      <c r="X1487" s="84"/>
      <c r="Y1487" s="84"/>
      <c r="Z1487" s="87"/>
      <c r="AA1487" s="87"/>
      <c r="AB1487" s="87"/>
      <c r="AC1487" s="87"/>
      <c r="AD1487" s="87"/>
      <c r="AE1487" s="87"/>
      <c r="AF1487" s="87"/>
      <c r="AG1487" s="87"/>
      <c r="AH1487" s="87"/>
      <c r="AI1487" s="87"/>
      <c r="AJ1487" s="87"/>
      <c r="AK1487" s="87"/>
      <c r="AL1487" s="87"/>
      <c r="AM1487" s="87"/>
      <c r="AN1487" s="87"/>
      <c r="AO1487" s="87"/>
      <c r="AP1487" s="87"/>
      <c r="AQ1487" s="87"/>
      <c r="AR1487" s="87"/>
      <c r="AS1487" s="87"/>
      <c r="AT1487" s="87"/>
      <c r="AU1487" s="87"/>
      <c r="AV1487" s="87"/>
      <c r="AW1487" s="87"/>
      <c r="AX1487" s="87"/>
      <c r="AY1487" s="87"/>
      <c r="AZ1487" s="87"/>
      <c r="BA1487" s="87"/>
      <c r="BB1487" s="87"/>
      <c r="BC1487" s="87"/>
      <c r="BD1487" s="87"/>
      <c r="BE1487" s="87"/>
      <c r="BF1487" s="87"/>
      <c r="BG1487" s="87"/>
      <c r="BH1487" s="87"/>
    </row>
    <row r="1488" spans="1:60" ht="16">
      <c r="A1488" s="82"/>
      <c r="B1488" s="82"/>
      <c r="C1488" s="82"/>
      <c r="D1488" s="83"/>
      <c r="E1488" s="84"/>
      <c r="F1488" s="84"/>
      <c r="G1488" s="84"/>
      <c r="H1488" s="82"/>
      <c r="I1488" s="84"/>
      <c r="J1488" s="84"/>
      <c r="K1488" s="84"/>
      <c r="L1488" s="84"/>
      <c r="M1488" s="84"/>
      <c r="N1488" s="84"/>
      <c r="O1488" s="84"/>
      <c r="P1488" s="84"/>
      <c r="Q1488" s="84"/>
      <c r="R1488" s="84"/>
      <c r="S1488" s="84"/>
      <c r="T1488" s="84"/>
      <c r="U1488" s="84"/>
      <c r="V1488" s="84"/>
      <c r="W1488" s="84"/>
      <c r="X1488" s="84"/>
      <c r="Y1488" s="84"/>
      <c r="Z1488" s="87"/>
      <c r="AA1488" s="87"/>
      <c r="AB1488" s="87"/>
      <c r="AC1488" s="87"/>
      <c r="AD1488" s="87"/>
      <c r="AE1488" s="87"/>
      <c r="AF1488" s="87"/>
      <c r="AG1488" s="87"/>
      <c r="AH1488" s="87"/>
      <c r="AI1488" s="87"/>
      <c r="AJ1488" s="87"/>
      <c r="AK1488" s="87"/>
      <c r="AL1488" s="87"/>
      <c r="AM1488" s="87"/>
      <c r="AN1488" s="87"/>
      <c r="AO1488" s="87"/>
      <c r="AP1488" s="87"/>
      <c r="AQ1488" s="87"/>
      <c r="AR1488" s="87"/>
      <c r="AS1488" s="87"/>
      <c r="AT1488" s="87"/>
      <c r="AU1488" s="87"/>
      <c r="AV1488" s="87"/>
      <c r="AW1488" s="87"/>
      <c r="AX1488" s="87"/>
      <c r="AY1488" s="87"/>
      <c r="AZ1488" s="87"/>
      <c r="BA1488" s="87"/>
      <c r="BB1488" s="87"/>
      <c r="BC1488" s="87"/>
      <c r="BD1488" s="87"/>
      <c r="BE1488" s="87"/>
      <c r="BF1488" s="87"/>
      <c r="BG1488" s="87"/>
      <c r="BH1488" s="87"/>
    </row>
    <row r="1489" spans="1:60" ht="16">
      <c r="A1489" s="82"/>
      <c r="B1489" s="82"/>
      <c r="C1489" s="82"/>
      <c r="D1489" s="83"/>
      <c r="E1489" s="84"/>
      <c r="F1489" s="84"/>
      <c r="G1489" s="84"/>
      <c r="H1489" s="82"/>
      <c r="I1489" s="84"/>
      <c r="J1489" s="84"/>
      <c r="K1489" s="84"/>
      <c r="L1489" s="84"/>
      <c r="M1489" s="84"/>
      <c r="N1489" s="84"/>
      <c r="O1489" s="84"/>
      <c r="P1489" s="84"/>
      <c r="Q1489" s="84"/>
      <c r="R1489" s="84"/>
      <c r="S1489" s="84"/>
      <c r="T1489" s="84"/>
      <c r="U1489" s="84"/>
      <c r="V1489" s="84"/>
      <c r="W1489" s="84"/>
      <c r="X1489" s="84"/>
      <c r="Y1489" s="84"/>
      <c r="Z1489" s="87"/>
      <c r="AA1489" s="87"/>
      <c r="AB1489" s="87"/>
      <c r="AC1489" s="87"/>
      <c r="AD1489" s="87"/>
      <c r="AE1489" s="87"/>
      <c r="AF1489" s="87"/>
      <c r="AG1489" s="87"/>
      <c r="AH1489" s="87"/>
      <c r="AI1489" s="87"/>
      <c r="AJ1489" s="87"/>
      <c r="AK1489" s="87"/>
      <c r="AL1489" s="87"/>
      <c r="AM1489" s="87"/>
      <c r="AN1489" s="87"/>
      <c r="AO1489" s="87"/>
      <c r="AP1489" s="87"/>
      <c r="AQ1489" s="87"/>
      <c r="AR1489" s="87"/>
      <c r="AS1489" s="87"/>
      <c r="AT1489" s="87"/>
      <c r="AU1489" s="87"/>
      <c r="AV1489" s="87"/>
      <c r="AW1489" s="87"/>
      <c r="AX1489" s="87"/>
      <c r="AY1489" s="87"/>
      <c r="AZ1489" s="87"/>
      <c r="BA1489" s="87"/>
      <c r="BB1489" s="87"/>
      <c r="BC1489" s="87"/>
      <c r="BD1489" s="87"/>
      <c r="BE1489" s="87"/>
      <c r="BF1489" s="87"/>
      <c r="BG1489" s="87"/>
      <c r="BH1489" s="87"/>
    </row>
    <row r="1490" spans="1:60" ht="16">
      <c r="A1490" s="82"/>
      <c r="B1490" s="82"/>
      <c r="C1490" s="82"/>
      <c r="D1490" s="83"/>
      <c r="E1490" s="84"/>
      <c r="F1490" s="84"/>
      <c r="G1490" s="84"/>
      <c r="H1490" s="82"/>
      <c r="I1490" s="84"/>
      <c r="J1490" s="84"/>
      <c r="K1490" s="84"/>
      <c r="L1490" s="84"/>
      <c r="M1490" s="84"/>
      <c r="N1490" s="84"/>
      <c r="O1490" s="84"/>
      <c r="P1490" s="84"/>
      <c r="Q1490" s="84"/>
      <c r="R1490" s="84"/>
      <c r="S1490" s="84"/>
      <c r="T1490" s="84"/>
      <c r="U1490" s="84"/>
      <c r="V1490" s="84"/>
      <c r="W1490" s="84"/>
      <c r="X1490" s="84"/>
      <c r="Y1490" s="84"/>
      <c r="Z1490" s="87"/>
      <c r="AA1490" s="87"/>
      <c r="AB1490" s="87"/>
      <c r="AC1490" s="87"/>
      <c r="AD1490" s="87"/>
      <c r="AE1490" s="87"/>
      <c r="AF1490" s="87"/>
      <c r="AG1490" s="87"/>
      <c r="AH1490" s="87"/>
      <c r="AI1490" s="87"/>
      <c r="AJ1490" s="87"/>
      <c r="AK1490" s="87"/>
      <c r="AL1490" s="87"/>
      <c r="AM1490" s="87"/>
      <c r="AN1490" s="87"/>
      <c r="AO1490" s="87"/>
      <c r="AP1490" s="87"/>
      <c r="AQ1490" s="87"/>
      <c r="AR1490" s="87"/>
      <c r="AS1490" s="87"/>
      <c r="AT1490" s="87"/>
      <c r="AU1490" s="87"/>
      <c r="AV1490" s="87"/>
      <c r="AW1490" s="87"/>
      <c r="AX1490" s="87"/>
      <c r="AY1490" s="87"/>
      <c r="AZ1490" s="87"/>
      <c r="BA1490" s="87"/>
      <c r="BB1490" s="87"/>
      <c r="BC1490" s="87"/>
      <c r="BD1490" s="87"/>
      <c r="BE1490" s="87"/>
      <c r="BF1490" s="87"/>
      <c r="BG1490" s="87"/>
      <c r="BH1490" s="87"/>
    </row>
    <row r="1491" spans="1:60" ht="16">
      <c r="A1491" s="82"/>
      <c r="B1491" s="82"/>
      <c r="C1491" s="82"/>
      <c r="D1491" s="83"/>
      <c r="E1491" s="84"/>
      <c r="F1491" s="84"/>
      <c r="G1491" s="84"/>
      <c r="H1491" s="82"/>
      <c r="I1491" s="84"/>
      <c r="J1491" s="84"/>
      <c r="K1491" s="84"/>
      <c r="L1491" s="84"/>
      <c r="M1491" s="84"/>
      <c r="N1491" s="84"/>
      <c r="O1491" s="84"/>
      <c r="P1491" s="84"/>
      <c r="Q1491" s="84"/>
      <c r="R1491" s="84"/>
      <c r="S1491" s="84"/>
      <c r="T1491" s="84"/>
      <c r="U1491" s="84"/>
      <c r="V1491" s="84"/>
      <c r="W1491" s="84"/>
      <c r="X1491" s="84"/>
      <c r="Y1491" s="84"/>
      <c r="Z1491" s="87"/>
      <c r="AA1491" s="87"/>
      <c r="AB1491" s="87"/>
      <c r="AC1491" s="87"/>
      <c r="AD1491" s="87"/>
      <c r="AE1491" s="87"/>
      <c r="AF1491" s="87"/>
      <c r="AG1491" s="87"/>
      <c r="AH1491" s="87"/>
      <c r="AI1491" s="87"/>
      <c r="AJ1491" s="87"/>
      <c r="AK1491" s="87"/>
      <c r="AL1491" s="87"/>
      <c r="AM1491" s="87"/>
      <c r="AN1491" s="87"/>
      <c r="AO1491" s="87"/>
      <c r="AP1491" s="87"/>
      <c r="AQ1491" s="87"/>
      <c r="AR1491" s="87"/>
      <c r="AS1491" s="87"/>
      <c r="AT1491" s="87"/>
      <c r="AU1491" s="87"/>
      <c r="AV1491" s="87"/>
      <c r="AW1491" s="87"/>
      <c r="AX1491" s="87"/>
      <c r="AY1491" s="87"/>
      <c r="AZ1491" s="87"/>
      <c r="BA1491" s="87"/>
      <c r="BB1491" s="87"/>
      <c r="BC1491" s="87"/>
      <c r="BD1491" s="87"/>
      <c r="BE1491" s="87"/>
      <c r="BF1491" s="87"/>
      <c r="BG1491" s="87"/>
      <c r="BH1491" s="87"/>
    </row>
    <row r="1492" spans="1:60" ht="16">
      <c r="A1492" s="82"/>
      <c r="B1492" s="82"/>
      <c r="C1492" s="82"/>
      <c r="D1492" s="83"/>
      <c r="E1492" s="84"/>
      <c r="F1492" s="84"/>
      <c r="G1492" s="84"/>
      <c r="H1492" s="82"/>
      <c r="I1492" s="84"/>
      <c r="J1492" s="84"/>
      <c r="K1492" s="84"/>
      <c r="L1492" s="84"/>
      <c r="M1492" s="84"/>
      <c r="N1492" s="84"/>
      <c r="O1492" s="84"/>
      <c r="P1492" s="84"/>
      <c r="Q1492" s="84"/>
      <c r="R1492" s="84"/>
      <c r="S1492" s="84"/>
      <c r="T1492" s="84"/>
      <c r="U1492" s="84"/>
      <c r="V1492" s="84"/>
      <c r="W1492" s="84"/>
      <c r="X1492" s="84"/>
      <c r="Y1492" s="84"/>
      <c r="Z1492" s="87"/>
      <c r="AA1492" s="87"/>
      <c r="AB1492" s="87"/>
      <c r="AC1492" s="87"/>
      <c r="AD1492" s="87"/>
      <c r="AE1492" s="87"/>
      <c r="AF1492" s="87"/>
      <c r="AG1492" s="87"/>
      <c r="AH1492" s="87"/>
      <c r="AI1492" s="87"/>
      <c r="AJ1492" s="87"/>
      <c r="AK1492" s="87"/>
      <c r="AL1492" s="87"/>
      <c r="AM1492" s="87"/>
      <c r="AN1492" s="87"/>
      <c r="AO1492" s="87"/>
      <c r="AP1492" s="87"/>
      <c r="AQ1492" s="87"/>
      <c r="AR1492" s="87"/>
      <c r="AS1492" s="87"/>
      <c r="AT1492" s="87"/>
      <c r="AU1492" s="87"/>
      <c r="AV1492" s="87"/>
      <c r="AW1492" s="87"/>
      <c r="AX1492" s="87"/>
      <c r="AY1492" s="87"/>
      <c r="AZ1492" s="87"/>
      <c r="BA1492" s="87"/>
      <c r="BB1492" s="87"/>
      <c r="BC1492" s="87"/>
      <c r="BD1492" s="87"/>
      <c r="BE1492" s="87"/>
      <c r="BF1492" s="87"/>
      <c r="BG1492" s="87"/>
      <c r="BH1492" s="87"/>
    </row>
    <row r="1493" spans="1:60" ht="16">
      <c r="A1493" s="82"/>
      <c r="B1493" s="82"/>
      <c r="C1493" s="82"/>
      <c r="D1493" s="83"/>
      <c r="E1493" s="84"/>
      <c r="F1493" s="84"/>
      <c r="G1493" s="84"/>
      <c r="H1493" s="82"/>
      <c r="I1493" s="84"/>
      <c r="J1493" s="84"/>
      <c r="K1493" s="84"/>
      <c r="L1493" s="84"/>
      <c r="M1493" s="84"/>
      <c r="N1493" s="84"/>
      <c r="O1493" s="84"/>
      <c r="P1493" s="84"/>
      <c r="Q1493" s="84"/>
      <c r="R1493" s="84"/>
      <c r="S1493" s="84"/>
      <c r="T1493" s="84"/>
      <c r="U1493" s="84"/>
      <c r="V1493" s="84"/>
      <c r="W1493" s="84"/>
      <c r="X1493" s="84"/>
      <c r="Y1493" s="84"/>
      <c r="Z1493" s="87"/>
      <c r="AA1493" s="87"/>
      <c r="AB1493" s="87"/>
      <c r="AC1493" s="87"/>
      <c r="AD1493" s="87"/>
      <c r="AE1493" s="87"/>
      <c r="AF1493" s="87"/>
      <c r="AG1493" s="87"/>
      <c r="AH1493" s="87"/>
      <c r="AI1493" s="87"/>
      <c r="AJ1493" s="87"/>
      <c r="AK1493" s="87"/>
      <c r="AL1493" s="87"/>
      <c r="AM1493" s="87"/>
      <c r="AN1493" s="87"/>
      <c r="AO1493" s="87"/>
      <c r="AP1493" s="87"/>
      <c r="AQ1493" s="87"/>
      <c r="AR1493" s="87"/>
      <c r="AS1493" s="87"/>
      <c r="AT1493" s="87"/>
      <c r="AU1493" s="87"/>
      <c r="AV1493" s="87"/>
      <c r="AW1493" s="87"/>
      <c r="AX1493" s="87"/>
      <c r="AY1493" s="87"/>
      <c r="AZ1493" s="87"/>
      <c r="BA1493" s="87"/>
      <c r="BB1493" s="87"/>
      <c r="BC1493" s="87"/>
      <c r="BD1493" s="87"/>
      <c r="BE1493" s="87"/>
      <c r="BF1493" s="87"/>
      <c r="BG1493" s="87"/>
      <c r="BH1493" s="87"/>
    </row>
    <row r="1494" spans="1:60" ht="16">
      <c r="A1494" s="82"/>
      <c r="B1494" s="82"/>
      <c r="C1494" s="82"/>
      <c r="D1494" s="83"/>
      <c r="E1494" s="84"/>
      <c r="F1494" s="84"/>
      <c r="G1494" s="84"/>
      <c r="H1494" s="82"/>
      <c r="I1494" s="84"/>
      <c r="J1494" s="84"/>
      <c r="K1494" s="84"/>
      <c r="L1494" s="84"/>
      <c r="M1494" s="84"/>
      <c r="N1494" s="84"/>
      <c r="O1494" s="84"/>
      <c r="P1494" s="84"/>
      <c r="Q1494" s="84"/>
      <c r="R1494" s="84"/>
      <c r="S1494" s="84"/>
      <c r="T1494" s="84"/>
      <c r="U1494" s="84"/>
      <c r="V1494" s="84"/>
      <c r="W1494" s="84"/>
      <c r="X1494" s="84"/>
      <c r="Y1494" s="84"/>
      <c r="Z1494" s="87"/>
      <c r="AA1494" s="87"/>
      <c r="AB1494" s="87"/>
      <c r="AC1494" s="87"/>
      <c r="AD1494" s="87"/>
      <c r="AE1494" s="87"/>
      <c r="AF1494" s="87"/>
      <c r="AG1494" s="87"/>
      <c r="AH1494" s="87"/>
      <c r="AI1494" s="87"/>
      <c r="AJ1494" s="87"/>
      <c r="AK1494" s="87"/>
      <c r="AL1494" s="87"/>
      <c r="AM1494" s="87"/>
      <c r="AN1494" s="87"/>
      <c r="AO1494" s="87"/>
      <c r="AP1494" s="87"/>
      <c r="AQ1494" s="87"/>
      <c r="AR1494" s="87"/>
      <c r="AS1494" s="87"/>
      <c r="AT1494" s="87"/>
      <c r="AU1494" s="87"/>
      <c r="AV1494" s="87"/>
      <c r="AW1494" s="87"/>
      <c r="AX1494" s="87"/>
      <c r="AY1494" s="87"/>
      <c r="AZ1494" s="87"/>
      <c r="BA1494" s="87"/>
      <c r="BB1494" s="87"/>
      <c r="BC1494" s="87"/>
      <c r="BD1494" s="87"/>
      <c r="BE1494" s="87"/>
      <c r="BF1494" s="87"/>
      <c r="BG1494" s="87"/>
      <c r="BH1494" s="87"/>
    </row>
    <row r="1495" spans="1:60" ht="16">
      <c r="A1495" s="82"/>
      <c r="B1495" s="82"/>
      <c r="C1495" s="82"/>
      <c r="D1495" s="83"/>
      <c r="E1495" s="84"/>
      <c r="F1495" s="84"/>
      <c r="G1495" s="84"/>
      <c r="H1495" s="82"/>
      <c r="I1495" s="84"/>
      <c r="J1495" s="84"/>
      <c r="K1495" s="84"/>
      <c r="L1495" s="84"/>
      <c r="M1495" s="84"/>
      <c r="N1495" s="84"/>
      <c r="O1495" s="84"/>
      <c r="P1495" s="84"/>
      <c r="Q1495" s="84"/>
      <c r="R1495" s="84"/>
      <c r="S1495" s="84"/>
      <c r="T1495" s="84"/>
      <c r="U1495" s="84"/>
      <c r="V1495" s="84"/>
      <c r="W1495" s="84"/>
      <c r="X1495" s="84"/>
      <c r="Y1495" s="84"/>
      <c r="Z1495" s="87"/>
      <c r="AA1495" s="87"/>
      <c r="AB1495" s="87"/>
      <c r="AC1495" s="87"/>
      <c r="AD1495" s="87"/>
      <c r="AE1495" s="87"/>
      <c r="AF1495" s="87"/>
      <c r="AG1495" s="87"/>
      <c r="AH1495" s="87"/>
      <c r="AI1495" s="87"/>
      <c r="AJ1495" s="87"/>
      <c r="AK1495" s="87"/>
      <c r="AL1495" s="87"/>
      <c r="AM1495" s="87"/>
      <c r="AN1495" s="87"/>
      <c r="AO1495" s="87"/>
      <c r="AP1495" s="87"/>
      <c r="AQ1495" s="87"/>
      <c r="AR1495" s="87"/>
      <c r="AS1495" s="87"/>
      <c r="AT1495" s="87"/>
      <c r="AU1495" s="87"/>
      <c r="AV1495" s="87"/>
      <c r="AW1495" s="87"/>
      <c r="AX1495" s="87"/>
      <c r="AY1495" s="87"/>
      <c r="AZ1495" s="87"/>
      <c r="BA1495" s="87"/>
      <c r="BB1495" s="87"/>
      <c r="BC1495" s="87"/>
      <c r="BD1495" s="87"/>
      <c r="BE1495" s="87"/>
      <c r="BF1495" s="87"/>
      <c r="BG1495" s="87"/>
      <c r="BH1495" s="87"/>
    </row>
    <row r="1496" spans="1:60" ht="16">
      <c r="A1496" s="82"/>
      <c r="B1496" s="82"/>
      <c r="C1496" s="82"/>
      <c r="D1496" s="83"/>
      <c r="E1496" s="84"/>
      <c r="F1496" s="84"/>
      <c r="G1496" s="84"/>
      <c r="H1496" s="82"/>
      <c r="I1496" s="84"/>
      <c r="J1496" s="84"/>
      <c r="K1496" s="84"/>
      <c r="L1496" s="84"/>
      <c r="M1496" s="84"/>
      <c r="N1496" s="84"/>
      <c r="O1496" s="84"/>
      <c r="P1496" s="84"/>
      <c r="Q1496" s="84"/>
      <c r="R1496" s="84"/>
      <c r="S1496" s="84"/>
      <c r="T1496" s="84"/>
      <c r="U1496" s="84"/>
      <c r="V1496" s="84"/>
      <c r="W1496" s="84"/>
      <c r="X1496" s="84"/>
      <c r="Y1496" s="84"/>
      <c r="Z1496" s="87"/>
      <c r="AA1496" s="87"/>
      <c r="AB1496" s="87"/>
      <c r="AC1496" s="87"/>
      <c r="AD1496" s="87"/>
      <c r="AE1496" s="87"/>
      <c r="AF1496" s="87"/>
      <c r="AG1496" s="87"/>
      <c r="AH1496" s="87"/>
      <c r="AI1496" s="87"/>
      <c r="AJ1496" s="87"/>
      <c r="AK1496" s="87"/>
      <c r="AL1496" s="87"/>
      <c r="AM1496" s="87"/>
      <c r="AN1496" s="87"/>
      <c r="AO1496" s="87"/>
      <c r="AP1496" s="87"/>
      <c r="AQ1496" s="87"/>
      <c r="AR1496" s="87"/>
      <c r="AS1496" s="87"/>
      <c r="AT1496" s="87"/>
      <c r="AU1496" s="87"/>
      <c r="AV1496" s="87"/>
      <c r="AW1496" s="87"/>
      <c r="AX1496" s="87"/>
      <c r="AY1496" s="87"/>
      <c r="AZ1496" s="87"/>
      <c r="BA1496" s="87"/>
      <c r="BB1496" s="87"/>
      <c r="BC1496" s="87"/>
      <c r="BD1496" s="87"/>
      <c r="BE1496" s="87"/>
      <c r="BF1496" s="87"/>
      <c r="BG1496" s="87"/>
      <c r="BH1496" s="87"/>
    </row>
    <row r="1497" spans="1:60" ht="16">
      <c r="A1497" s="82"/>
      <c r="B1497" s="82"/>
      <c r="C1497" s="82"/>
      <c r="D1497" s="83"/>
      <c r="E1497" s="84"/>
      <c r="F1497" s="84"/>
      <c r="G1497" s="84"/>
      <c r="H1497" s="82"/>
      <c r="I1497" s="84"/>
      <c r="J1497" s="84"/>
      <c r="K1497" s="84"/>
      <c r="L1497" s="84"/>
      <c r="M1497" s="84"/>
      <c r="N1497" s="84"/>
      <c r="O1497" s="84"/>
      <c r="P1497" s="84"/>
      <c r="Q1497" s="84"/>
      <c r="R1497" s="84"/>
      <c r="S1497" s="84"/>
      <c r="T1497" s="84"/>
      <c r="U1497" s="84"/>
      <c r="V1497" s="84"/>
      <c r="W1497" s="84"/>
      <c r="X1497" s="84"/>
      <c r="Y1497" s="84"/>
      <c r="Z1497" s="87"/>
      <c r="AA1497" s="87"/>
      <c r="AB1497" s="87"/>
      <c r="AC1497" s="87"/>
      <c r="AD1497" s="87"/>
      <c r="AE1497" s="87"/>
      <c r="AF1497" s="87"/>
      <c r="AG1497" s="87"/>
      <c r="AH1497" s="87"/>
      <c r="AI1497" s="87"/>
      <c r="AJ1497" s="87"/>
      <c r="AK1497" s="87"/>
      <c r="AL1497" s="87"/>
      <c r="AM1497" s="87"/>
      <c r="AN1497" s="87"/>
      <c r="AO1497" s="87"/>
      <c r="AP1497" s="87"/>
      <c r="AQ1497" s="87"/>
      <c r="AR1497" s="87"/>
      <c r="AS1497" s="87"/>
      <c r="AT1497" s="87"/>
      <c r="AU1497" s="87"/>
      <c r="AV1497" s="87"/>
      <c r="AW1497" s="87"/>
      <c r="AX1497" s="87"/>
      <c r="AY1497" s="87"/>
      <c r="AZ1497" s="87"/>
      <c r="BA1497" s="87"/>
      <c r="BB1497" s="87"/>
      <c r="BC1497" s="87"/>
      <c r="BD1497" s="87"/>
      <c r="BE1497" s="87"/>
      <c r="BF1497" s="87"/>
      <c r="BG1497" s="87"/>
      <c r="BH1497" s="87"/>
    </row>
    <row r="1498" spans="1:60" ht="16">
      <c r="A1498" s="82"/>
      <c r="B1498" s="82"/>
      <c r="C1498" s="82"/>
      <c r="D1498" s="83"/>
      <c r="E1498" s="84"/>
      <c r="F1498" s="84"/>
      <c r="G1498" s="84"/>
      <c r="H1498" s="82"/>
      <c r="I1498" s="84"/>
      <c r="J1498" s="84"/>
      <c r="K1498" s="84"/>
      <c r="L1498" s="84"/>
      <c r="M1498" s="84"/>
      <c r="N1498" s="84"/>
      <c r="O1498" s="84"/>
      <c r="P1498" s="84"/>
      <c r="Q1498" s="84"/>
      <c r="R1498" s="84"/>
      <c r="S1498" s="84"/>
      <c r="T1498" s="84"/>
      <c r="U1498" s="84"/>
      <c r="V1498" s="84"/>
      <c r="W1498" s="84"/>
      <c r="X1498" s="84"/>
      <c r="Y1498" s="84"/>
      <c r="Z1498" s="87"/>
      <c r="AA1498" s="87"/>
      <c r="AB1498" s="87"/>
      <c r="AC1498" s="87"/>
      <c r="AD1498" s="87"/>
      <c r="AE1498" s="87"/>
      <c r="AF1498" s="87"/>
      <c r="AG1498" s="87"/>
      <c r="AH1498" s="87"/>
      <c r="AI1498" s="87"/>
      <c r="AJ1498" s="87"/>
      <c r="AK1498" s="87"/>
      <c r="AL1498" s="87"/>
      <c r="AM1498" s="87"/>
      <c r="AN1498" s="87"/>
      <c r="AO1498" s="87"/>
      <c r="AP1498" s="87"/>
      <c r="AQ1498" s="87"/>
      <c r="AR1498" s="87"/>
      <c r="AS1498" s="87"/>
      <c r="AT1498" s="87"/>
      <c r="AU1498" s="87"/>
      <c r="AV1498" s="87"/>
      <c r="AW1498" s="87"/>
      <c r="AX1498" s="87"/>
      <c r="AY1498" s="87"/>
      <c r="AZ1498" s="87"/>
      <c r="BA1498" s="87"/>
      <c r="BB1498" s="87"/>
      <c r="BC1498" s="87"/>
      <c r="BD1498" s="87"/>
      <c r="BE1498" s="87"/>
      <c r="BF1498" s="87"/>
      <c r="BG1498" s="87"/>
      <c r="BH1498" s="87"/>
    </row>
    <row r="1499" spans="1:60" ht="16">
      <c r="A1499" s="82"/>
      <c r="B1499" s="82"/>
      <c r="C1499" s="82"/>
      <c r="D1499" s="83"/>
      <c r="E1499" s="84"/>
      <c r="F1499" s="84"/>
      <c r="G1499" s="84"/>
      <c r="H1499" s="82"/>
      <c r="I1499" s="84"/>
      <c r="J1499" s="84"/>
      <c r="K1499" s="84"/>
      <c r="L1499" s="84"/>
      <c r="M1499" s="84"/>
      <c r="N1499" s="84"/>
      <c r="O1499" s="84"/>
      <c r="P1499" s="84"/>
      <c r="Q1499" s="84"/>
      <c r="R1499" s="84"/>
      <c r="S1499" s="84"/>
      <c r="T1499" s="84"/>
      <c r="U1499" s="84"/>
      <c r="V1499" s="84"/>
      <c r="W1499" s="84"/>
      <c r="X1499" s="84"/>
      <c r="Y1499" s="84"/>
      <c r="Z1499" s="87"/>
      <c r="AA1499" s="87"/>
      <c r="AB1499" s="87"/>
      <c r="AC1499" s="87"/>
      <c r="AD1499" s="87"/>
      <c r="AE1499" s="87"/>
      <c r="AF1499" s="87"/>
      <c r="AG1499" s="87"/>
      <c r="AH1499" s="87"/>
      <c r="AI1499" s="87"/>
      <c r="AJ1499" s="87"/>
      <c r="AK1499" s="87"/>
      <c r="AL1499" s="87"/>
      <c r="AM1499" s="87"/>
      <c r="AN1499" s="87"/>
      <c r="AO1499" s="87"/>
      <c r="AP1499" s="87"/>
      <c r="AQ1499" s="87"/>
      <c r="AR1499" s="87"/>
      <c r="AS1499" s="87"/>
      <c r="AT1499" s="87"/>
      <c r="AU1499" s="87"/>
      <c r="AV1499" s="87"/>
      <c r="AW1499" s="87"/>
      <c r="AX1499" s="87"/>
      <c r="AY1499" s="87"/>
      <c r="AZ1499" s="87"/>
      <c r="BA1499" s="87"/>
      <c r="BB1499" s="87"/>
      <c r="BC1499" s="87"/>
      <c r="BD1499" s="87"/>
      <c r="BE1499" s="87"/>
      <c r="BF1499" s="87"/>
      <c r="BG1499" s="87"/>
      <c r="BH1499" s="87"/>
    </row>
    <row r="1500" spans="1:60" ht="16">
      <c r="A1500" s="82"/>
      <c r="B1500" s="82"/>
      <c r="C1500" s="82"/>
      <c r="D1500" s="83"/>
      <c r="E1500" s="84"/>
      <c r="F1500" s="84"/>
      <c r="G1500" s="84"/>
      <c r="H1500" s="82"/>
      <c r="I1500" s="84"/>
      <c r="J1500" s="84"/>
      <c r="K1500" s="84"/>
      <c r="L1500" s="84"/>
      <c r="M1500" s="84"/>
      <c r="N1500" s="84"/>
      <c r="O1500" s="84"/>
      <c r="P1500" s="84"/>
      <c r="Q1500" s="84"/>
      <c r="R1500" s="84"/>
      <c r="S1500" s="84"/>
      <c r="T1500" s="84"/>
      <c r="U1500" s="84"/>
      <c r="V1500" s="84"/>
      <c r="W1500" s="84"/>
      <c r="X1500" s="84"/>
      <c r="Y1500" s="84"/>
      <c r="Z1500" s="87"/>
      <c r="AA1500" s="87"/>
      <c r="AB1500" s="87"/>
      <c r="AC1500" s="87"/>
      <c r="AD1500" s="87"/>
      <c r="AE1500" s="87"/>
      <c r="AF1500" s="87"/>
      <c r="AG1500" s="87"/>
      <c r="AH1500" s="87"/>
      <c r="AI1500" s="87"/>
      <c r="AJ1500" s="87"/>
      <c r="AK1500" s="87"/>
      <c r="AL1500" s="87"/>
      <c r="AM1500" s="87"/>
      <c r="AN1500" s="87"/>
      <c r="AO1500" s="87"/>
      <c r="AP1500" s="87"/>
      <c r="AQ1500" s="87"/>
      <c r="AR1500" s="87"/>
      <c r="AS1500" s="87"/>
      <c r="AT1500" s="87"/>
      <c r="AU1500" s="87"/>
      <c r="AV1500" s="87"/>
      <c r="AW1500" s="87"/>
      <c r="AX1500" s="87"/>
      <c r="AY1500" s="87"/>
      <c r="AZ1500" s="87"/>
      <c r="BA1500" s="87"/>
      <c r="BB1500" s="87"/>
      <c r="BC1500" s="87"/>
      <c r="BD1500" s="87"/>
      <c r="BE1500" s="87"/>
      <c r="BF1500" s="87"/>
      <c r="BG1500" s="87"/>
      <c r="BH1500" s="87"/>
    </row>
    <row r="1501" spans="1:60" ht="16">
      <c r="A1501" s="82"/>
      <c r="B1501" s="82"/>
      <c r="C1501" s="82"/>
      <c r="D1501" s="83"/>
      <c r="E1501" s="84"/>
      <c r="F1501" s="84"/>
      <c r="G1501" s="84"/>
      <c r="H1501" s="82"/>
      <c r="I1501" s="84"/>
      <c r="J1501" s="84"/>
      <c r="K1501" s="84"/>
      <c r="L1501" s="84"/>
      <c r="M1501" s="84"/>
      <c r="N1501" s="84"/>
      <c r="O1501" s="84"/>
      <c r="P1501" s="84"/>
      <c r="Q1501" s="84"/>
      <c r="R1501" s="84"/>
      <c r="S1501" s="84"/>
      <c r="T1501" s="84"/>
      <c r="U1501" s="84"/>
      <c r="V1501" s="84"/>
      <c r="W1501" s="84"/>
      <c r="X1501" s="84"/>
      <c r="Y1501" s="84"/>
      <c r="Z1501" s="87"/>
      <c r="AA1501" s="87"/>
      <c r="AB1501" s="87"/>
      <c r="AC1501" s="87"/>
      <c r="AD1501" s="87"/>
      <c r="AE1501" s="87"/>
      <c r="AF1501" s="87"/>
      <c r="AG1501" s="87"/>
      <c r="AH1501" s="87"/>
      <c r="AI1501" s="87"/>
      <c r="AJ1501" s="87"/>
      <c r="AK1501" s="87"/>
      <c r="AL1501" s="87"/>
      <c r="AM1501" s="87"/>
      <c r="AN1501" s="87"/>
      <c r="AO1501" s="87"/>
      <c r="AP1501" s="87"/>
      <c r="AQ1501" s="87"/>
      <c r="AR1501" s="87"/>
      <c r="AS1501" s="87"/>
      <c r="AT1501" s="87"/>
      <c r="AU1501" s="87"/>
      <c r="AV1501" s="87"/>
      <c r="AW1501" s="87"/>
      <c r="AX1501" s="87"/>
      <c r="AY1501" s="87"/>
      <c r="AZ1501" s="87"/>
      <c r="BA1501" s="87"/>
      <c r="BB1501" s="87"/>
      <c r="BC1501" s="87"/>
      <c r="BD1501" s="87"/>
      <c r="BE1501" s="87"/>
      <c r="BF1501" s="87"/>
      <c r="BG1501" s="87"/>
      <c r="BH1501" s="87"/>
    </row>
    <row r="1502" spans="1:60" ht="16">
      <c r="A1502" s="82"/>
      <c r="B1502" s="82"/>
      <c r="C1502" s="82"/>
      <c r="D1502" s="83"/>
      <c r="E1502" s="84"/>
      <c r="F1502" s="84"/>
      <c r="G1502" s="84"/>
      <c r="H1502" s="82"/>
      <c r="I1502" s="84"/>
      <c r="J1502" s="84"/>
      <c r="K1502" s="84"/>
      <c r="L1502" s="84"/>
      <c r="M1502" s="84"/>
      <c r="N1502" s="84"/>
      <c r="O1502" s="84"/>
      <c r="P1502" s="84"/>
      <c r="Q1502" s="84"/>
      <c r="R1502" s="84"/>
      <c r="S1502" s="84"/>
      <c r="T1502" s="84"/>
      <c r="U1502" s="84"/>
      <c r="V1502" s="84"/>
      <c r="W1502" s="84"/>
      <c r="X1502" s="84"/>
      <c r="Y1502" s="84"/>
      <c r="Z1502" s="87"/>
      <c r="AA1502" s="87"/>
      <c r="AB1502" s="87"/>
      <c r="AC1502" s="87"/>
      <c r="AD1502" s="87"/>
      <c r="AE1502" s="87"/>
      <c r="AF1502" s="87"/>
      <c r="AG1502" s="87"/>
      <c r="AH1502" s="87"/>
      <c r="AI1502" s="87"/>
      <c r="AJ1502" s="87"/>
      <c r="AK1502" s="87"/>
      <c r="AL1502" s="87"/>
      <c r="AM1502" s="87"/>
      <c r="AN1502" s="87"/>
      <c r="AO1502" s="87"/>
      <c r="AP1502" s="87"/>
      <c r="AQ1502" s="87"/>
      <c r="AR1502" s="87"/>
      <c r="AS1502" s="87"/>
      <c r="AT1502" s="87"/>
      <c r="AU1502" s="87"/>
      <c r="AV1502" s="87"/>
      <c r="AW1502" s="87"/>
      <c r="AX1502" s="87"/>
      <c r="AY1502" s="87"/>
      <c r="AZ1502" s="87"/>
      <c r="BA1502" s="87"/>
      <c r="BB1502" s="87"/>
      <c r="BC1502" s="87"/>
      <c r="BD1502" s="87"/>
      <c r="BE1502" s="87"/>
      <c r="BF1502" s="87"/>
      <c r="BG1502" s="87"/>
      <c r="BH1502" s="87"/>
    </row>
    <row r="1503" spans="1:60" ht="16">
      <c r="A1503" s="82"/>
      <c r="B1503" s="82"/>
      <c r="C1503" s="82"/>
      <c r="D1503" s="83"/>
      <c r="E1503" s="84"/>
      <c r="F1503" s="84"/>
      <c r="G1503" s="84"/>
      <c r="H1503" s="82"/>
      <c r="I1503" s="84"/>
      <c r="J1503" s="84"/>
      <c r="K1503" s="84"/>
      <c r="L1503" s="84"/>
      <c r="M1503" s="84"/>
      <c r="N1503" s="84"/>
      <c r="O1503" s="84"/>
      <c r="P1503" s="84"/>
      <c r="Q1503" s="84"/>
      <c r="R1503" s="84"/>
      <c r="S1503" s="84"/>
      <c r="T1503" s="84"/>
      <c r="U1503" s="84"/>
      <c r="V1503" s="84"/>
      <c r="W1503" s="84"/>
      <c r="X1503" s="84"/>
      <c r="Y1503" s="84"/>
      <c r="Z1503" s="87"/>
      <c r="AA1503" s="87"/>
      <c r="AB1503" s="87"/>
      <c r="AC1503" s="87"/>
      <c r="AD1503" s="87"/>
      <c r="AE1503" s="87"/>
      <c r="AF1503" s="87"/>
      <c r="AG1503" s="87"/>
      <c r="AH1503" s="87"/>
      <c r="AI1503" s="87"/>
      <c r="AJ1503" s="87"/>
      <c r="AK1503" s="87"/>
      <c r="AL1503" s="87"/>
      <c r="AM1503" s="87"/>
      <c r="AN1503" s="87"/>
      <c r="AO1503" s="87"/>
      <c r="AP1503" s="87"/>
      <c r="AQ1503" s="87"/>
      <c r="AR1503" s="87"/>
      <c r="AS1503" s="87"/>
      <c r="AT1503" s="87"/>
      <c r="AU1503" s="87"/>
      <c r="AV1503" s="87"/>
      <c r="AW1503" s="87"/>
      <c r="AX1503" s="87"/>
      <c r="AY1503" s="87"/>
      <c r="AZ1503" s="87"/>
      <c r="BA1503" s="87"/>
      <c r="BB1503" s="87"/>
      <c r="BC1503" s="87"/>
      <c r="BD1503" s="87"/>
      <c r="BE1503" s="87"/>
      <c r="BF1503" s="87"/>
      <c r="BG1503" s="87"/>
      <c r="BH1503" s="87"/>
    </row>
    <row r="1504" spans="1:60" ht="16">
      <c r="A1504" s="82"/>
      <c r="B1504" s="82"/>
      <c r="C1504" s="82"/>
      <c r="D1504" s="83"/>
      <c r="E1504" s="84"/>
      <c r="F1504" s="84"/>
      <c r="G1504" s="84"/>
      <c r="H1504" s="82"/>
      <c r="I1504" s="84"/>
      <c r="J1504" s="84"/>
      <c r="K1504" s="84"/>
      <c r="L1504" s="84"/>
      <c r="M1504" s="84"/>
      <c r="N1504" s="84"/>
      <c r="O1504" s="84"/>
      <c r="P1504" s="84"/>
      <c r="Q1504" s="84"/>
      <c r="R1504" s="84"/>
      <c r="S1504" s="84"/>
      <c r="T1504" s="84"/>
      <c r="U1504" s="84"/>
      <c r="V1504" s="84"/>
      <c r="W1504" s="84"/>
      <c r="X1504" s="84"/>
      <c r="Y1504" s="84"/>
      <c r="Z1504" s="87"/>
      <c r="AA1504" s="87"/>
      <c r="AB1504" s="87"/>
      <c r="AC1504" s="87"/>
      <c r="AD1504" s="87"/>
      <c r="AE1504" s="87"/>
      <c r="AF1504" s="87"/>
      <c r="AG1504" s="87"/>
      <c r="AH1504" s="87"/>
      <c r="AI1504" s="87"/>
      <c r="AJ1504" s="87"/>
      <c r="AK1504" s="87"/>
      <c r="AL1504" s="87"/>
      <c r="AM1504" s="87"/>
      <c r="AN1504" s="87"/>
      <c r="AO1504" s="87"/>
      <c r="AP1504" s="87"/>
      <c r="AQ1504" s="87"/>
      <c r="AR1504" s="87"/>
      <c r="AS1504" s="87"/>
      <c r="AT1504" s="87"/>
      <c r="AU1504" s="87"/>
      <c r="AV1504" s="87"/>
      <c r="AW1504" s="87"/>
      <c r="AX1504" s="87"/>
      <c r="AY1504" s="87"/>
      <c r="AZ1504" s="87"/>
      <c r="BA1504" s="87"/>
      <c r="BB1504" s="87"/>
      <c r="BC1504" s="87"/>
      <c r="BD1504" s="87"/>
      <c r="BE1504" s="87"/>
      <c r="BF1504" s="87"/>
      <c r="BG1504" s="87"/>
      <c r="BH1504" s="87"/>
    </row>
    <row r="1505" spans="1:60" ht="16">
      <c r="A1505" s="82"/>
      <c r="B1505" s="82"/>
      <c r="C1505" s="82"/>
      <c r="D1505" s="83"/>
      <c r="E1505" s="84"/>
      <c r="F1505" s="84"/>
      <c r="G1505" s="84"/>
      <c r="H1505" s="82"/>
      <c r="I1505" s="84"/>
      <c r="J1505" s="84"/>
      <c r="K1505" s="84"/>
      <c r="L1505" s="84"/>
      <c r="M1505" s="84"/>
      <c r="N1505" s="84"/>
      <c r="O1505" s="84"/>
      <c r="P1505" s="84"/>
      <c r="Q1505" s="84"/>
      <c r="R1505" s="84"/>
      <c r="S1505" s="84"/>
      <c r="T1505" s="84"/>
      <c r="U1505" s="84"/>
      <c r="V1505" s="84"/>
      <c r="W1505" s="84"/>
      <c r="X1505" s="84"/>
      <c r="Y1505" s="84"/>
      <c r="Z1505" s="87"/>
      <c r="AA1505" s="87"/>
      <c r="AB1505" s="87"/>
      <c r="AC1505" s="87"/>
      <c r="AD1505" s="87"/>
      <c r="AE1505" s="87"/>
      <c r="AF1505" s="87"/>
      <c r="AG1505" s="87"/>
      <c r="AH1505" s="87"/>
      <c r="AI1505" s="87"/>
      <c r="AJ1505" s="87"/>
      <c r="AK1505" s="87"/>
      <c r="AL1505" s="87"/>
      <c r="AM1505" s="87"/>
      <c r="AN1505" s="87"/>
      <c r="AO1505" s="87"/>
      <c r="AP1505" s="87"/>
      <c r="AQ1505" s="87"/>
      <c r="AR1505" s="87"/>
      <c r="AS1505" s="87"/>
      <c r="AT1505" s="87"/>
      <c r="AU1505" s="87"/>
      <c r="AV1505" s="87"/>
      <c r="AW1505" s="87"/>
      <c r="AX1505" s="87"/>
      <c r="AY1505" s="87"/>
      <c r="AZ1505" s="87"/>
      <c r="BA1505" s="87"/>
      <c r="BB1505" s="87"/>
      <c r="BC1505" s="87"/>
      <c r="BD1505" s="87"/>
      <c r="BE1505" s="87"/>
      <c r="BF1505" s="87"/>
      <c r="BG1505" s="87"/>
      <c r="BH1505" s="87"/>
    </row>
    <row r="1506" spans="1:60" ht="16">
      <c r="A1506" s="82"/>
      <c r="B1506" s="82"/>
      <c r="C1506" s="82"/>
      <c r="D1506" s="83"/>
      <c r="E1506" s="84"/>
      <c r="F1506" s="84"/>
      <c r="G1506" s="84"/>
      <c r="H1506" s="82"/>
      <c r="I1506" s="84"/>
      <c r="J1506" s="84"/>
      <c r="K1506" s="84"/>
      <c r="L1506" s="84"/>
      <c r="M1506" s="84"/>
      <c r="N1506" s="84"/>
      <c r="O1506" s="84"/>
      <c r="P1506" s="84"/>
      <c r="Q1506" s="84"/>
      <c r="R1506" s="84"/>
      <c r="S1506" s="84"/>
      <c r="T1506" s="84"/>
      <c r="U1506" s="84"/>
      <c r="V1506" s="84"/>
      <c r="W1506" s="84"/>
      <c r="X1506" s="84"/>
      <c r="Y1506" s="84"/>
      <c r="Z1506" s="87"/>
      <c r="AA1506" s="87"/>
      <c r="AB1506" s="87"/>
      <c r="AC1506" s="87"/>
      <c r="AD1506" s="87"/>
      <c r="AE1506" s="87"/>
      <c r="AF1506" s="87"/>
      <c r="AG1506" s="87"/>
      <c r="AH1506" s="87"/>
      <c r="AI1506" s="87"/>
      <c r="AJ1506" s="87"/>
      <c r="AK1506" s="87"/>
      <c r="AL1506" s="87"/>
      <c r="AM1506" s="87"/>
      <c r="AN1506" s="87"/>
      <c r="AO1506" s="87"/>
      <c r="AP1506" s="87"/>
      <c r="AQ1506" s="87"/>
      <c r="AR1506" s="87"/>
      <c r="AS1506" s="87"/>
      <c r="AT1506" s="87"/>
      <c r="AU1506" s="87"/>
      <c r="AV1506" s="87"/>
      <c r="AW1506" s="87"/>
      <c r="AX1506" s="87"/>
      <c r="AY1506" s="87"/>
      <c r="AZ1506" s="87"/>
      <c r="BA1506" s="87"/>
      <c r="BB1506" s="87"/>
      <c r="BC1506" s="87"/>
      <c r="BD1506" s="87"/>
      <c r="BE1506" s="87"/>
      <c r="BF1506" s="87"/>
      <c r="BG1506" s="87"/>
      <c r="BH1506" s="87"/>
    </row>
    <row r="1507" spans="1:60" ht="16">
      <c r="A1507" s="82"/>
      <c r="B1507" s="82"/>
      <c r="C1507" s="82"/>
      <c r="D1507" s="83"/>
      <c r="E1507" s="84"/>
      <c r="F1507" s="84"/>
      <c r="G1507" s="84"/>
      <c r="H1507" s="82"/>
      <c r="I1507" s="84"/>
      <c r="J1507" s="84"/>
      <c r="K1507" s="84"/>
      <c r="L1507" s="84"/>
      <c r="M1507" s="84"/>
      <c r="N1507" s="84"/>
      <c r="O1507" s="84"/>
      <c r="P1507" s="84"/>
      <c r="Q1507" s="84"/>
      <c r="R1507" s="84"/>
      <c r="S1507" s="84"/>
      <c r="T1507" s="84"/>
      <c r="U1507" s="84"/>
      <c r="V1507" s="84"/>
      <c r="W1507" s="84"/>
      <c r="X1507" s="84"/>
      <c r="Y1507" s="84"/>
      <c r="Z1507" s="87"/>
      <c r="AA1507" s="87"/>
      <c r="AB1507" s="87"/>
      <c r="AC1507" s="87"/>
      <c r="AD1507" s="87"/>
      <c r="AE1507" s="87"/>
      <c r="AF1507" s="87"/>
      <c r="AG1507" s="87"/>
      <c r="AH1507" s="87"/>
      <c r="AI1507" s="87"/>
      <c r="AJ1507" s="87"/>
      <c r="AK1507" s="87"/>
      <c r="AL1507" s="87"/>
      <c r="AM1507" s="87"/>
      <c r="AN1507" s="87"/>
      <c r="AO1507" s="87"/>
      <c r="AP1507" s="87"/>
      <c r="AQ1507" s="87"/>
      <c r="AR1507" s="87"/>
      <c r="AS1507" s="87"/>
      <c r="AT1507" s="87"/>
      <c r="AU1507" s="87"/>
      <c r="AV1507" s="87"/>
      <c r="AW1507" s="87"/>
      <c r="AX1507" s="87"/>
      <c r="AY1507" s="87"/>
      <c r="AZ1507" s="87"/>
      <c r="BA1507" s="87"/>
      <c r="BB1507" s="87"/>
      <c r="BC1507" s="87"/>
      <c r="BD1507" s="87"/>
      <c r="BE1507" s="87"/>
      <c r="BF1507" s="87"/>
      <c r="BG1507" s="87"/>
      <c r="BH1507" s="87"/>
    </row>
    <row r="1508" spans="1:60" ht="16">
      <c r="A1508" s="82"/>
      <c r="B1508" s="82"/>
      <c r="C1508" s="82"/>
      <c r="D1508" s="83"/>
      <c r="E1508" s="84"/>
      <c r="F1508" s="84"/>
      <c r="G1508" s="84"/>
      <c r="H1508" s="82"/>
      <c r="I1508" s="84"/>
      <c r="J1508" s="84"/>
      <c r="K1508" s="84"/>
      <c r="L1508" s="84"/>
      <c r="M1508" s="84"/>
      <c r="N1508" s="84"/>
      <c r="O1508" s="84"/>
      <c r="P1508" s="84"/>
      <c r="Q1508" s="84"/>
      <c r="R1508" s="84"/>
      <c r="S1508" s="84"/>
      <c r="T1508" s="84"/>
      <c r="U1508" s="84"/>
      <c r="V1508" s="84"/>
      <c r="W1508" s="84"/>
      <c r="X1508" s="84"/>
      <c r="Y1508" s="84"/>
      <c r="Z1508" s="87"/>
      <c r="AA1508" s="87"/>
      <c r="AB1508" s="87"/>
      <c r="AC1508" s="87"/>
      <c r="AD1508" s="87"/>
      <c r="AE1508" s="87"/>
      <c r="AF1508" s="87"/>
      <c r="AG1508" s="87"/>
      <c r="AH1508" s="87"/>
      <c r="AI1508" s="87"/>
      <c r="AJ1508" s="87"/>
      <c r="AK1508" s="87"/>
      <c r="AL1508" s="87"/>
      <c r="AM1508" s="87"/>
      <c r="AN1508" s="87"/>
      <c r="AO1508" s="87"/>
      <c r="AP1508" s="87"/>
      <c r="AQ1508" s="87"/>
      <c r="AR1508" s="87"/>
      <c r="AS1508" s="87"/>
      <c r="AT1508" s="87"/>
      <c r="AU1508" s="87"/>
      <c r="AV1508" s="87"/>
      <c r="AW1508" s="87"/>
      <c r="AX1508" s="87"/>
      <c r="AY1508" s="87"/>
      <c r="AZ1508" s="87"/>
      <c r="BA1508" s="87"/>
      <c r="BB1508" s="87"/>
      <c r="BC1508" s="87"/>
      <c r="BD1508" s="87"/>
      <c r="BE1508" s="87"/>
      <c r="BF1508" s="87"/>
      <c r="BG1508" s="87"/>
      <c r="BH1508" s="87"/>
    </row>
    <row r="1509" spans="1:60" ht="16">
      <c r="A1509" s="82"/>
      <c r="B1509" s="82"/>
      <c r="C1509" s="82"/>
      <c r="D1509" s="83"/>
      <c r="E1509" s="84"/>
      <c r="F1509" s="84"/>
      <c r="G1509" s="84"/>
      <c r="H1509" s="82"/>
      <c r="I1509" s="84"/>
      <c r="J1509" s="84"/>
      <c r="K1509" s="84"/>
      <c r="L1509" s="84"/>
      <c r="M1509" s="84"/>
      <c r="N1509" s="84"/>
      <c r="O1509" s="84"/>
      <c r="P1509" s="84"/>
      <c r="Q1509" s="84"/>
      <c r="R1509" s="84"/>
      <c r="S1509" s="84"/>
      <c r="T1509" s="84"/>
      <c r="U1509" s="84"/>
      <c r="V1509" s="84"/>
      <c r="W1509" s="84"/>
      <c r="X1509" s="84"/>
      <c r="Y1509" s="84"/>
      <c r="Z1509" s="87"/>
      <c r="AA1509" s="87"/>
      <c r="AB1509" s="87"/>
      <c r="AC1509" s="87"/>
      <c r="AD1509" s="87"/>
      <c r="AE1509" s="87"/>
      <c r="AF1509" s="87"/>
      <c r="AG1509" s="87"/>
      <c r="AH1509" s="87"/>
      <c r="AI1509" s="87"/>
      <c r="AJ1509" s="87"/>
      <c r="AK1509" s="87"/>
      <c r="AL1509" s="87"/>
      <c r="AM1509" s="87"/>
      <c r="AN1509" s="87"/>
      <c r="AO1509" s="87"/>
      <c r="AP1509" s="87"/>
      <c r="AQ1509" s="87"/>
      <c r="AR1509" s="87"/>
      <c r="AS1509" s="87"/>
      <c r="AT1509" s="87"/>
      <c r="AU1509" s="87"/>
      <c r="AV1509" s="87"/>
      <c r="AW1509" s="87"/>
      <c r="AX1509" s="87"/>
      <c r="AY1509" s="87"/>
      <c r="AZ1509" s="87"/>
      <c r="BA1509" s="87"/>
      <c r="BB1509" s="87"/>
      <c r="BC1509" s="87"/>
      <c r="BD1509" s="87"/>
      <c r="BE1509" s="87"/>
      <c r="BF1509" s="87"/>
      <c r="BG1509" s="87"/>
      <c r="BH1509" s="87"/>
    </row>
    <row r="1510" spans="1:60" ht="16">
      <c r="A1510" s="82"/>
      <c r="B1510" s="82"/>
      <c r="C1510" s="82"/>
      <c r="D1510" s="83"/>
      <c r="E1510" s="84"/>
      <c r="F1510" s="84"/>
      <c r="G1510" s="84"/>
      <c r="H1510" s="82"/>
      <c r="I1510" s="84"/>
      <c r="J1510" s="84"/>
      <c r="K1510" s="84"/>
      <c r="L1510" s="84"/>
      <c r="M1510" s="84"/>
      <c r="N1510" s="84"/>
      <c r="O1510" s="84"/>
      <c r="P1510" s="84"/>
      <c r="Q1510" s="84"/>
      <c r="R1510" s="84"/>
      <c r="S1510" s="84"/>
      <c r="T1510" s="84"/>
      <c r="U1510" s="84"/>
      <c r="V1510" s="84"/>
      <c r="W1510" s="84"/>
      <c r="X1510" s="84"/>
      <c r="Y1510" s="84"/>
      <c r="Z1510" s="87"/>
      <c r="AA1510" s="87"/>
      <c r="AB1510" s="87"/>
      <c r="AC1510" s="87"/>
      <c r="AD1510" s="87"/>
      <c r="AE1510" s="87"/>
      <c r="AF1510" s="87"/>
      <c r="AG1510" s="87"/>
      <c r="AH1510" s="87"/>
      <c r="AI1510" s="87"/>
      <c r="AJ1510" s="87"/>
      <c r="AK1510" s="87"/>
      <c r="AL1510" s="87"/>
      <c r="AM1510" s="87"/>
      <c r="AN1510" s="87"/>
      <c r="AO1510" s="87"/>
      <c r="AP1510" s="87"/>
      <c r="AQ1510" s="87"/>
      <c r="AR1510" s="87"/>
      <c r="AS1510" s="87"/>
      <c r="AT1510" s="87"/>
      <c r="AU1510" s="87"/>
      <c r="AV1510" s="87"/>
      <c r="AW1510" s="87"/>
      <c r="AX1510" s="87"/>
      <c r="AY1510" s="87"/>
      <c r="AZ1510" s="87"/>
      <c r="BA1510" s="87"/>
      <c r="BB1510" s="87"/>
      <c r="BC1510" s="87"/>
      <c r="BD1510" s="87"/>
      <c r="BE1510" s="87"/>
      <c r="BF1510" s="87"/>
      <c r="BG1510" s="87"/>
      <c r="BH1510" s="87"/>
    </row>
    <row r="1511" spans="1:60" ht="16">
      <c r="A1511" s="82"/>
      <c r="B1511" s="82"/>
      <c r="C1511" s="82"/>
      <c r="D1511" s="83"/>
      <c r="E1511" s="84"/>
      <c r="F1511" s="84"/>
      <c r="G1511" s="84"/>
      <c r="H1511" s="82"/>
      <c r="I1511" s="84"/>
      <c r="J1511" s="84"/>
      <c r="K1511" s="84"/>
      <c r="L1511" s="84"/>
      <c r="M1511" s="84"/>
      <c r="N1511" s="84"/>
      <c r="O1511" s="84"/>
      <c r="P1511" s="84"/>
      <c r="Q1511" s="84"/>
      <c r="R1511" s="84"/>
      <c r="S1511" s="84"/>
      <c r="T1511" s="84"/>
      <c r="U1511" s="84"/>
      <c r="V1511" s="84"/>
      <c r="W1511" s="84"/>
      <c r="X1511" s="84"/>
      <c r="Y1511" s="84"/>
      <c r="Z1511" s="87"/>
      <c r="AA1511" s="87"/>
      <c r="AB1511" s="87"/>
      <c r="AC1511" s="87"/>
      <c r="AD1511" s="87"/>
      <c r="AE1511" s="87"/>
      <c r="AF1511" s="87"/>
      <c r="AG1511" s="87"/>
      <c r="AH1511" s="87"/>
      <c r="AI1511" s="87"/>
      <c r="AJ1511" s="87"/>
      <c r="AK1511" s="87"/>
      <c r="AL1511" s="87"/>
      <c r="AM1511" s="87"/>
      <c r="AN1511" s="87"/>
      <c r="AO1511" s="87"/>
      <c r="AP1511" s="87"/>
      <c r="AQ1511" s="87"/>
      <c r="AR1511" s="87"/>
      <c r="AS1511" s="87"/>
      <c r="AT1511" s="87"/>
      <c r="AU1511" s="87"/>
      <c r="AV1511" s="87"/>
      <c r="AW1511" s="87"/>
      <c r="AX1511" s="87"/>
      <c r="AY1511" s="87"/>
      <c r="AZ1511" s="87"/>
      <c r="BA1511" s="87"/>
      <c r="BB1511" s="87"/>
      <c r="BC1511" s="87"/>
      <c r="BD1511" s="87"/>
      <c r="BE1511" s="87"/>
      <c r="BF1511" s="87"/>
      <c r="BG1511" s="87"/>
      <c r="BH1511" s="87"/>
    </row>
    <row r="1512" spans="1:60" ht="16">
      <c r="A1512" s="82"/>
      <c r="B1512" s="82"/>
      <c r="C1512" s="82"/>
      <c r="D1512" s="83"/>
      <c r="E1512" s="84"/>
      <c r="F1512" s="84"/>
      <c r="G1512" s="84"/>
      <c r="H1512" s="82"/>
      <c r="I1512" s="84"/>
      <c r="J1512" s="84"/>
      <c r="K1512" s="84"/>
      <c r="L1512" s="84"/>
      <c r="M1512" s="84"/>
      <c r="N1512" s="84"/>
      <c r="O1512" s="84"/>
      <c r="P1512" s="84"/>
      <c r="Q1512" s="84"/>
      <c r="R1512" s="84"/>
      <c r="S1512" s="84"/>
      <c r="T1512" s="84"/>
      <c r="U1512" s="84"/>
      <c r="V1512" s="84"/>
      <c r="W1512" s="84"/>
      <c r="X1512" s="84"/>
      <c r="Y1512" s="84"/>
      <c r="Z1512" s="87"/>
      <c r="AA1512" s="87"/>
      <c r="AB1512" s="87"/>
      <c r="AC1512" s="87"/>
      <c r="AD1512" s="87"/>
      <c r="AE1512" s="87"/>
      <c r="AF1512" s="87"/>
      <c r="AG1512" s="87"/>
      <c r="AH1512" s="87"/>
      <c r="AI1512" s="87"/>
      <c r="AJ1512" s="87"/>
      <c r="AK1512" s="87"/>
      <c r="AL1512" s="87"/>
      <c r="AM1512" s="87"/>
      <c r="AN1512" s="87"/>
      <c r="AO1512" s="87"/>
      <c r="AP1512" s="87"/>
      <c r="AQ1512" s="87"/>
      <c r="AR1512" s="87"/>
      <c r="AS1512" s="87"/>
      <c r="AT1512" s="87"/>
      <c r="AU1512" s="87"/>
      <c r="AV1512" s="87"/>
      <c r="AW1512" s="87"/>
      <c r="AX1512" s="87"/>
      <c r="AY1512" s="87"/>
      <c r="AZ1512" s="87"/>
      <c r="BA1512" s="87"/>
      <c r="BB1512" s="87"/>
      <c r="BC1512" s="87"/>
      <c r="BD1512" s="87"/>
      <c r="BE1512" s="87"/>
      <c r="BF1512" s="87"/>
      <c r="BG1512" s="87"/>
      <c r="BH1512" s="87"/>
    </row>
    <row r="1513" spans="1:60" ht="16">
      <c r="A1513" s="82"/>
      <c r="B1513" s="82"/>
      <c r="C1513" s="82"/>
      <c r="D1513" s="83"/>
      <c r="E1513" s="84"/>
      <c r="F1513" s="84"/>
      <c r="G1513" s="84"/>
      <c r="H1513" s="82"/>
      <c r="I1513" s="84"/>
      <c r="J1513" s="84"/>
      <c r="K1513" s="84"/>
      <c r="L1513" s="84"/>
      <c r="M1513" s="84"/>
      <c r="N1513" s="84"/>
      <c r="O1513" s="84"/>
      <c r="P1513" s="84"/>
      <c r="Q1513" s="84"/>
      <c r="R1513" s="84"/>
      <c r="S1513" s="84"/>
      <c r="T1513" s="84"/>
      <c r="U1513" s="84"/>
      <c r="V1513" s="84"/>
      <c r="W1513" s="84"/>
      <c r="X1513" s="84"/>
      <c r="Y1513" s="84"/>
      <c r="Z1513" s="87"/>
      <c r="AA1513" s="87"/>
      <c r="AB1513" s="87"/>
      <c r="AC1513" s="87"/>
      <c r="AD1513" s="87"/>
      <c r="AE1513" s="87"/>
      <c r="AF1513" s="87"/>
      <c r="AG1513" s="87"/>
      <c r="AH1513" s="87"/>
      <c r="AI1513" s="87"/>
      <c r="AJ1513" s="87"/>
      <c r="AK1513" s="87"/>
      <c r="AL1513" s="87"/>
      <c r="AM1513" s="87"/>
      <c r="AN1513" s="87"/>
      <c r="AO1513" s="87"/>
      <c r="AP1513" s="87"/>
      <c r="AQ1513" s="87"/>
      <c r="AR1513" s="87"/>
      <c r="AS1513" s="87"/>
      <c r="AT1513" s="87"/>
      <c r="AU1513" s="87"/>
      <c r="AV1513" s="87"/>
      <c r="AW1513" s="87"/>
      <c r="AX1513" s="87"/>
      <c r="AY1513" s="87"/>
      <c r="AZ1513" s="87"/>
      <c r="BA1513" s="87"/>
      <c r="BB1513" s="87"/>
      <c r="BC1513" s="87"/>
      <c r="BD1513" s="87"/>
      <c r="BE1513" s="87"/>
      <c r="BF1513" s="87"/>
      <c r="BG1513" s="87"/>
      <c r="BH1513" s="87"/>
    </row>
    <row r="1514" spans="1:60" ht="16">
      <c r="A1514" s="82"/>
      <c r="B1514" s="82"/>
      <c r="C1514" s="82"/>
      <c r="D1514" s="83"/>
      <c r="E1514" s="84"/>
      <c r="F1514" s="84"/>
      <c r="G1514" s="84"/>
      <c r="H1514" s="82"/>
      <c r="I1514" s="84"/>
      <c r="J1514" s="84"/>
      <c r="K1514" s="84"/>
      <c r="L1514" s="84"/>
      <c r="M1514" s="84"/>
      <c r="N1514" s="84"/>
      <c r="O1514" s="84"/>
      <c r="P1514" s="84"/>
      <c r="Q1514" s="84"/>
      <c r="R1514" s="84"/>
      <c r="S1514" s="84"/>
      <c r="T1514" s="84"/>
      <c r="U1514" s="84"/>
      <c r="V1514" s="84"/>
      <c r="W1514" s="84"/>
      <c r="X1514" s="84"/>
      <c r="Y1514" s="84"/>
      <c r="Z1514" s="87"/>
      <c r="AA1514" s="87"/>
      <c r="AB1514" s="87"/>
      <c r="AC1514" s="87"/>
      <c r="AD1514" s="87"/>
      <c r="AE1514" s="87"/>
      <c r="AF1514" s="87"/>
      <c r="AG1514" s="87"/>
      <c r="AH1514" s="87"/>
      <c r="AI1514" s="87"/>
      <c r="AJ1514" s="87"/>
      <c r="AK1514" s="87"/>
      <c r="AL1514" s="87"/>
      <c r="AM1514" s="87"/>
      <c r="AN1514" s="87"/>
      <c r="AO1514" s="87"/>
      <c r="AP1514" s="87"/>
      <c r="AQ1514" s="87"/>
      <c r="AR1514" s="87"/>
      <c r="AS1514" s="87"/>
      <c r="AT1514" s="87"/>
      <c r="AU1514" s="87"/>
      <c r="AV1514" s="87"/>
      <c r="AW1514" s="87"/>
      <c r="AX1514" s="87"/>
      <c r="AY1514" s="87"/>
      <c r="AZ1514" s="87"/>
      <c r="BA1514" s="87"/>
      <c r="BB1514" s="87"/>
      <c r="BC1514" s="87"/>
      <c r="BD1514" s="87"/>
      <c r="BE1514" s="87"/>
      <c r="BF1514" s="87"/>
      <c r="BG1514" s="87"/>
      <c r="BH1514" s="87"/>
    </row>
    <row r="1515" spans="1:60" ht="16">
      <c r="A1515" s="82"/>
      <c r="B1515" s="82"/>
      <c r="C1515" s="82"/>
      <c r="D1515" s="83"/>
      <c r="E1515" s="84"/>
      <c r="F1515" s="84"/>
      <c r="G1515" s="84"/>
      <c r="H1515" s="82"/>
      <c r="I1515" s="84"/>
      <c r="J1515" s="84"/>
      <c r="K1515" s="84"/>
      <c r="L1515" s="84"/>
      <c r="M1515" s="84"/>
      <c r="N1515" s="84"/>
      <c r="O1515" s="84"/>
      <c r="P1515" s="84"/>
      <c r="Q1515" s="84"/>
      <c r="R1515" s="84"/>
      <c r="S1515" s="84"/>
      <c r="T1515" s="84"/>
      <c r="U1515" s="84"/>
      <c r="V1515" s="84"/>
      <c r="W1515" s="84"/>
      <c r="X1515" s="84"/>
      <c r="Y1515" s="84"/>
      <c r="Z1515" s="87"/>
      <c r="AA1515" s="87"/>
      <c r="AB1515" s="87"/>
      <c r="AC1515" s="87"/>
      <c r="AD1515" s="87"/>
      <c r="AE1515" s="87"/>
      <c r="AF1515" s="87"/>
      <c r="AG1515" s="87"/>
      <c r="AH1515" s="87"/>
      <c r="AI1515" s="87"/>
      <c r="AJ1515" s="87"/>
      <c r="AK1515" s="87"/>
      <c r="AL1515" s="87"/>
      <c r="AM1515" s="87"/>
      <c r="AN1515" s="87"/>
      <c r="AO1515" s="87"/>
      <c r="AP1515" s="87"/>
      <c r="AQ1515" s="87"/>
      <c r="AR1515" s="87"/>
      <c r="AS1515" s="87"/>
      <c r="AT1515" s="87"/>
      <c r="AU1515" s="87"/>
      <c r="AV1515" s="87"/>
      <c r="AW1515" s="87"/>
      <c r="AX1515" s="87"/>
      <c r="AY1515" s="87"/>
      <c r="AZ1515" s="87"/>
      <c r="BA1515" s="87"/>
      <c r="BB1515" s="87"/>
      <c r="BC1515" s="87"/>
      <c r="BD1515" s="87"/>
      <c r="BE1515" s="87"/>
      <c r="BF1515" s="87"/>
      <c r="BG1515" s="87"/>
      <c r="BH1515" s="87"/>
    </row>
    <row r="1516" spans="1:60" ht="16">
      <c r="A1516" s="82"/>
      <c r="B1516" s="82"/>
      <c r="C1516" s="82"/>
      <c r="D1516" s="83"/>
      <c r="E1516" s="84"/>
      <c r="F1516" s="84"/>
      <c r="G1516" s="84"/>
      <c r="H1516" s="82"/>
      <c r="I1516" s="84"/>
      <c r="J1516" s="84"/>
      <c r="K1516" s="84"/>
      <c r="L1516" s="84"/>
      <c r="M1516" s="84"/>
      <c r="N1516" s="84"/>
      <c r="O1516" s="84"/>
      <c r="P1516" s="84"/>
      <c r="Q1516" s="84"/>
      <c r="R1516" s="84"/>
      <c r="S1516" s="84"/>
      <c r="T1516" s="84"/>
      <c r="U1516" s="84"/>
      <c r="V1516" s="84"/>
      <c r="W1516" s="84"/>
      <c r="X1516" s="84"/>
      <c r="Y1516" s="84"/>
      <c r="Z1516" s="87"/>
      <c r="AA1516" s="87"/>
      <c r="AB1516" s="87"/>
      <c r="AC1516" s="87"/>
      <c r="AD1516" s="87"/>
      <c r="AE1516" s="87"/>
      <c r="AF1516" s="87"/>
      <c r="AG1516" s="87"/>
      <c r="AH1516" s="87"/>
      <c r="AI1516" s="87"/>
      <c r="AJ1516" s="87"/>
      <c r="AK1516" s="87"/>
      <c r="AL1516" s="87"/>
      <c r="AM1516" s="87"/>
      <c r="AN1516" s="87"/>
      <c r="AO1516" s="87"/>
      <c r="AP1516" s="87"/>
      <c r="AQ1516" s="87"/>
      <c r="AR1516" s="87"/>
      <c r="AS1516" s="87"/>
      <c r="AT1516" s="87"/>
      <c r="AU1516" s="87"/>
      <c r="AV1516" s="87"/>
      <c r="AW1516" s="87"/>
      <c r="AX1516" s="87"/>
      <c r="AY1516" s="87"/>
      <c r="AZ1516" s="87"/>
      <c r="BA1516" s="87"/>
      <c r="BB1516" s="87"/>
      <c r="BC1516" s="87"/>
      <c r="BD1516" s="87"/>
      <c r="BE1516" s="87"/>
      <c r="BF1516" s="87"/>
      <c r="BG1516" s="87"/>
      <c r="BH1516" s="87"/>
    </row>
    <row r="1517" spans="1:60" ht="16">
      <c r="A1517" s="82"/>
      <c r="B1517" s="82"/>
      <c r="C1517" s="82"/>
      <c r="D1517" s="83"/>
      <c r="E1517" s="84"/>
      <c r="F1517" s="84"/>
      <c r="G1517" s="84"/>
      <c r="H1517" s="82"/>
      <c r="I1517" s="84"/>
      <c r="J1517" s="84"/>
      <c r="K1517" s="84"/>
      <c r="L1517" s="84"/>
      <c r="M1517" s="84"/>
      <c r="N1517" s="84"/>
      <c r="O1517" s="84"/>
      <c r="P1517" s="84"/>
      <c r="Q1517" s="84"/>
      <c r="R1517" s="84"/>
      <c r="S1517" s="84"/>
      <c r="T1517" s="84"/>
      <c r="U1517" s="84"/>
      <c r="V1517" s="84"/>
      <c r="W1517" s="84"/>
      <c r="X1517" s="84"/>
      <c r="Y1517" s="84"/>
      <c r="Z1517" s="87"/>
      <c r="AA1517" s="87"/>
      <c r="AB1517" s="87"/>
      <c r="AC1517" s="87"/>
      <c r="AD1517" s="87"/>
      <c r="AE1517" s="87"/>
      <c r="AF1517" s="87"/>
      <c r="AG1517" s="87"/>
      <c r="AH1517" s="87"/>
      <c r="AI1517" s="87"/>
      <c r="AJ1517" s="87"/>
      <c r="AK1517" s="87"/>
      <c r="AL1517" s="87"/>
      <c r="AM1517" s="87"/>
      <c r="AN1517" s="87"/>
      <c r="AO1517" s="87"/>
      <c r="AP1517" s="87"/>
      <c r="AQ1517" s="87"/>
      <c r="AR1517" s="87"/>
      <c r="AS1517" s="87"/>
      <c r="AT1517" s="87"/>
      <c r="AU1517" s="87"/>
      <c r="AV1517" s="87"/>
      <c r="AW1517" s="87"/>
      <c r="AX1517" s="87"/>
      <c r="AY1517" s="87"/>
      <c r="AZ1517" s="87"/>
      <c r="BA1517" s="87"/>
      <c r="BB1517" s="87"/>
      <c r="BC1517" s="87"/>
      <c r="BD1517" s="87"/>
      <c r="BE1517" s="87"/>
      <c r="BF1517" s="87"/>
      <c r="BG1517" s="87"/>
      <c r="BH1517" s="87"/>
    </row>
    <row r="1518" spans="1:60" ht="16">
      <c r="A1518" s="82"/>
      <c r="B1518" s="82"/>
      <c r="C1518" s="82"/>
      <c r="D1518" s="83"/>
      <c r="E1518" s="84"/>
      <c r="F1518" s="84"/>
      <c r="G1518" s="84"/>
      <c r="H1518" s="82"/>
      <c r="I1518" s="84"/>
      <c r="J1518" s="84"/>
      <c r="K1518" s="84"/>
      <c r="L1518" s="84"/>
      <c r="M1518" s="84"/>
      <c r="N1518" s="84"/>
      <c r="O1518" s="84"/>
      <c r="P1518" s="84"/>
      <c r="Q1518" s="84"/>
      <c r="R1518" s="84"/>
      <c r="S1518" s="84"/>
      <c r="T1518" s="84"/>
      <c r="U1518" s="84"/>
      <c r="V1518" s="84"/>
      <c r="W1518" s="84"/>
      <c r="X1518" s="84"/>
      <c r="Y1518" s="84"/>
      <c r="Z1518" s="87"/>
      <c r="AA1518" s="87"/>
      <c r="AB1518" s="87"/>
      <c r="AC1518" s="87"/>
      <c r="AD1518" s="87"/>
      <c r="AE1518" s="87"/>
      <c r="AF1518" s="87"/>
      <c r="AG1518" s="87"/>
      <c r="AH1518" s="87"/>
      <c r="AI1518" s="87"/>
      <c r="AJ1518" s="87"/>
      <c r="AK1518" s="87"/>
      <c r="AL1518" s="87"/>
      <c r="AM1518" s="87"/>
      <c r="AN1518" s="87"/>
      <c r="AO1518" s="87"/>
      <c r="AP1518" s="87"/>
      <c r="AQ1518" s="87"/>
      <c r="AR1518" s="87"/>
      <c r="AS1518" s="87"/>
      <c r="AT1518" s="87"/>
      <c r="AU1518" s="87"/>
      <c r="AV1518" s="87"/>
      <c r="AW1518" s="87"/>
      <c r="AX1518" s="87"/>
      <c r="AY1518" s="87"/>
      <c r="AZ1518" s="87"/>
      <c r="BA1518" s="87"/>
      <c r="BB1518" s="87"/>
      <c r="BC1518" s="87"/>
      <c r="BD1518" s="87"/>
      <c r="BE1518" s="87"/>
      <c r="BF1518" s="87"/>
      <c r="BG1518" s="87"/>
      <c r="BH1518" s="87"/>
    </row>
    <row r="1519" spans="1:60" ht="16">
      <c r="A1519" s="82"/>
      <c r="B1519" s="82"/>
      <c r="C1519" s="82"/>
      <c r="D1519" s="83"/>
      <c r="E1519" s="84"/>
      <c r="F1519" s="84"/>
      <c r="G1519" s="84"/>
      <c r="H1519" s="82"/>
      <c r="I1519" s="84"/>
      <c r="J1519" s="84"/>
      <c r="K1519" s="84"/>
      <c r="L1519" s="84"/>
      <c r="M1519" s="84"/>
      <c r="N1519" s="84"/>
      <c r="O1519" s="84"/>
      <c r="P1519" s="84"/>
      <c r="Q1519" s="84"/>
      <c r="R1519" s="84"/>
      <c r="S1519" s="84"/>
      <c r="T1519" s="84"/>
      <c r="U1519" s="84"/>
      <c r="V1519" s="84"/>
      <c r="W1519" s="84"/>
      <c r="X1519" s="84"/>
      <c r="Y1519" s="84"/>
      <c r="Z1519" s="87"/>
      <c r="AA1519" s="87"/>
      <c r="AB1519" s="87"/>
      <c r="AC1519" s="87"/>
      <c r="AD1519" s="87"/>
      <c r="AE1519" s="87"/>
      <c r="AF1519" s="87"/>
      <c r="AG1519" s="87"/>
      <c r="AH1519" s="87"/>
      <c r="AI1519" s="87"/>
      <c r="AJ1519" s="87"/>
      <c r="AK1519" s="87"/>
      <c r="AL1519" s="87"/>
      <c r="AM1519" s="87"/>
      <c r="AN1519" s="87"/>
      <c r="AO1519" s="87"/>
      <c r="AP1519" s="87"/>
      <c r="AQ1519" s="87"/>
      <c r="AR1519" s="87"/>
      <c r="AS1519" s="87"/>
      <c r="AT1519" s="87"/>
      <c r="AU1519" s="87"/>
      <c r="AV1519" s="87"/>
      <c r="AW1519" s="87"/>
      <c r="AX1519" s="87"/>
      <c r="AY1519" s="87"/>
      <c r="AZ1519" s="87"/>
      <c r="BA1519" s="87"/>
      <c r="BB1519" s="87"/>
      <c r="BC1519" s="87"/>
      <c r="BD1519" s="87"/>
      <c r="BE1519" s="87"/>
      <c r="BF1519" s="87"/>
      <c r="BG1519" s="87"/>
      <c r="BH1519" s="87"/>
    </row>
    <row r="1520" spans="1:60" ht="16">
      <c r="A1520" s="82"/>
      <c r="B1520" s="82"/>
      <c r="C1520" s="82"/>
      <c r="D1520" s="83"/>
      <c r="E1520" s="84"/>
      <c r="F1520" s="84"/>
      <c r="G1520" s="84"/>
      <c r="H1520" s="82"/>
      <c r="I1520" s="84"/>
      <c r="J1520" s="84"/>
      <c r="K1520" s="84"/>
      <c r="L1520" s="84"/>
      <c r="M1520" s="84"/>
      <c r="N1520" s="84"/>
      <c r="O1520" s="84"/>
      <c r="P1520" s="84"/>
      <c r="Q1520" s="84"/>
      <c r="R1520" s="84"/>
      <c r="S1520" s="84"/>
      <c r="T1520" s="84"/>
      <c r="U1520" s="84"/>
      <c r="V1520" s="84"/>
      <c r="W1520" s="84"/>
      <c r="X1520" s="84"/>
      <c r="Y1520" s="84"/>
      <c r="Z1520" s="87"/>
      <c r="AA1520" s="87"/>
      <c r="AB1520" s="87"/>
      <c r="AC1520" s="87"/>
      <c r="AD1520" s="87"/>
      <c r="AE1520" s="87"/>
      <c r="AF1520" s="87"/>
      <c r="AG1520" s="87"/>
      <c r="AH1520" s="87"/>
      <c r="AI1520" s="87"/>
      <c r="AJ1520" s="87"/>
      <c r="AK1520" s="87"/>
      <c r="AL1520" s="87"/>
      <c r="AM1520" s="87"/>
      <c r="AN1520" s="87"/>
      <c r="AO1520" s="87"/>
      <c r="AP1520" s="87"/>
      <c r="AQ1520" s="87"/>
      <c r="AR1520" s="87"/>
      <c r="AS1520" s="87"/>
      <c r="AT1520" s="87"/>
      <c r="AU1520" s="87"/>
      <c r="AV1520" s="87"/>
      <c r="AW1520" s="87"/>
      <c r="AX1520" s="87"/>
      <c r="AY1520" s="87"/>
      <c r="AZ1520" s="87"/>
      <c r="BA1520" s="87"/>
      <c r="BB1520" s="87"/>
      <c r="BC1520" s="87"/>
      <c r="BD1520" s="87"/>
      <c r="BE1520" s="87"/>
      <c r="BF1520" s="87"/>
      <c r="BG1520" s="87"/>
      <c r="BH1520" s="87"/>
    </row>
    <row r="1521" spans="1:60" ht="16">
      <c r="A1521" s="82"/>
      <c r="B1521" s="82"/>
      <c r="C1521" s="82"/>
      <c r="D1521" s="83"/>
      <c r="E1521" s="84"/>
      <c r="F1521" s="84"/>
      <c r="G1521" s="84"/>
      <c r="H1521" s="82"/>
      <c r="I1521" s="84"/>
      <c r="J1521" s="84"/>
      <c r="K1521" s="84"/>
      <c r="L1521" s="84"/>
      <c r="M1521" s="84"/>
      <c r="N1521" s="84"/>
      <c r="O1521" s="84"/>
      <c r="P1521" s="84"/>
      <c r="Q1521" s="84"/>
      <c r="R1521" s="84"/>
      <c r="S1521" s="84"/>
      <c r="T1521" s="84"/>
      <c r="U1521" s="84"/>
      <c r="V1521" s="84"/>
      <c r="W1521" s="84"/>
      <c r="X1521" s="84"/>
      <c r="Y1521" s="84"/>
      <c r="Z1521" s="87"/>
      <c r="AA1521" s="87"/>
      <c r="AB1521" s="87"/>
      <c r="AC1521" s="87"/>
      <c r="AD1521" s="87"/>
      <c r="AE1521" s="87"/>
      <c r="AF1521" s="87"/>
      <c r="AG1521" s="87"/>
      <c r="AH1521" s="87"/>
      <c r="AI1521" s="87"/>
      <c r="AJ1521" s="87"/>
      <c r="AK1521" s="87"/>
      <c r="AL1521" s="87"/>
      <c r="AM1521" s="87"/>
      <c r="AN1521" s="87"/>
      <c r="AO1521" s="87"/>
      <c r="AP1521" s="87"/>
      <c r="AQ1521" s="87"/>
      <c r="AR1521" s="87"/>
      <c r="AS1521" s="87"/>
      <c r="AT1521" s="87"/>
      <c r="AU1521" s="87"/>
      <c r="AV1521" s="87"/>
      <c r="AW1521" s="87"/>
      <c r="AX1521" s="87"/>
      <c r="AY1521" s="87"/>
      <c r="AZ1521" s="87"/>
      <c r="BA1521" s="87"/>
      <c r="BB1521" s="87"/>
      <c r="BC1521" s="87"/>
      <c r="BD1521" s="87"/>
      <c r="BE1521" s="87"/>
      <c r="BF1521" s="87"/>
      <c r="BG1521" s="87"/>
      <c r="BH1521" s="87"/>
    </row>
    <row r="1522" spans="1:60" ht="16">
      <c r="A1522" s="82"/>
      <c r="B1522" s="82"/>
      <c r="C1522" s="82"/>
      <c r="D1522" s="83"/>
      <c r="E1522" s="84"/>
      <c r="F1522" s="84"/>
      <c r="G1522" s="84"/>
      <c r="H1522" s="82"/>
      <c r="I1522" s="84"/>
      <c r="J1522" s="84"/>
      <c r="K1522" s="84"/>
      <c r="L1522" s="84"/>
      <c r="M1522" s="84"/>
      <c r="N1522" s="84"/>
      <c r="O1522" s="84"/>
      <c r="P1522" s="84"/>
      <c r="Q1522" s="84"/>
      <c r="R1522" s="84"/>
      <c r="S1522" s="84"/>
      <c r="T1522" s="84"/>
      <c r="U1522" s="84"/>
      <c r="V1522" s="84"/>
      <c r="W1522" s="84"/>
      <c r="X1522" s="84"/>
      <c r="Y1522" s="84"/>
      <c r="Z1522" s="87"/>
      <c r="AA1522" s="87"/>
      <c r="AB1522" s="87"/>
      <c r="AC1522" s="87"/>
      <c r="AD1522" s="87"/>
      <c r="AE1522" s="87"/>
      <c r="AF1522" s="87"/>
      <c r="AG1522" s="87"/>
      <c r="AH1522" s="87"/>
      <c r="AI1522" s="87"/>
      <c r="AJ1522" s="87"/>
      <c r="AK1522" s="87"/>
      <c r="AL1522" s="87"/>
      <c r="AM1522" s="87"/>
      <c r="AN1522" s="87"/>
      <c r="AO1522" s="87"/>
      <c r="AP1522" s="87"/>
      <c r="AQ1522" s="87"/>
      <c r="AR1522" s="87"/>
      <c r="AS1522" s="87"/>
      <c r="AT1522" s="87"/>
      <c r="AU1522" s="87"/>
      <c r="AV1522" s="87"/>
      <c r="AW1522" s="87"/>
      <c r="AX1522" s="87"/>
      <c r="AY1522" s="87"/>
      <c r="AZ1522" s="87"/>
      <c r="BA1522" s="87"/>
      <c r="BB1522" s="87"/>
      <c r="BC1522" s="87"/>
      <c r="BD1522" s="87"/>
      <c r="BE1522" s="87"/>
      <c r="BF1522" s="87"/>
      <c r="BG1522" s="87"/>
      <c r="BH1522" s="87"/>
    </row>
    <row r="1523" spans="1:60" ht="16">
      <c r="A1523" s="82"/>
      <c r="B1523" s="82"/>
      <c r="C1523" s="82"/>
      <c r="D1523" s="83"/>
      <c r="E1523" s="84"/>
      <c r="F1523" s="84"/>
      <c r="G1523" s="84"/>
      <c r="H1523" s="82"/>
      <c r="I1523" s="84"/>
      <c r="J1523" s="84"/>
      <c r="K1523" s="84"/>
      <c r="L1523" s="84"/>
      <c r="M1523" s="84"/>
      <c r="N1523" s="84"/>
      <c r="O1523" s="84"/>
      <c r="P1523" s="84"/>
      <c r="Q1523" s="84"/>
      <c r="R1523" s="84"/>
      <c r="S1523" s="84"/>
      <c r="T1523" s="84"/>
      <c r="U1523" s="84"/>
      <c r="V1523" s="84"/>
      <c r="W1523" s="84"/>
      <c r="X1523" s="84"/>
      <c r="Y1523" s="84"/>
      <c r="Z1523" s="87"/>
      <c r="AA1523" s="87"/>
      <c r="AB1523" s="87"/>
      <c r="AC1523" s="87"/>
      <c r="AD1523" s="87"/>
      <c r="AE1523" s="87"/>
      <c r="AF1523" s="87"/>
      <c r="AG1523" s="87"/>
      <c r="AH1523" s="87"/>
      <c r="AI1523" s="87"/>
      <c r="AJ1523" s="87"/>
      <c r="AK1523" s="87"/>
      <c r="AL1523" s="87"/>
      <c r="AM1523" s="87"/>
      <c r="AN1523" s="87"/>
      <c r="AO1523" s="87"/>
      <c r="AP1523" s="87"/>
      <c r="AQ1523" s="87"/>
      <c r="AR1523" s="87"/>
      <c r="AS1523" s="87"/>
      <c r="AT1523" s="87"/>
      <c r="AU1523" s="87"/>
      <c r="AV1523" s="87"/>
      <c r="AW1523" s="87"/>
      <c r="AX1523" s="87"/>
      <c r="AY1523" s="87"/>
      <c r="AZ1523" s="87"/>
      <c r="BA1523" s="87"/>
      <c r="BB1523" s="87"/>
      <c r="BC1523" s="87"/>
      <c r="BD1523" s="87"/>
      <c r="BE1523" s="87"/>
      <c r="BF1523" s="87"/>
      <c r="BG1523" s="87"/>
      <c r="BH1523" s="87"/>
    </row>
    <row r="1524" spans="1:60" ht="16">
      <c r="A1524" s="82"/>
      <c r="B1524" s="82"/>
      <c r="C1524" s="82"/>
      <c r="D1524" s="83"/>
      <c r="E1524" s="84"/>
      <c r="F1524" s="84"/>
      <c r="G1524" s="84"/>
      <c r="H1524" s="82"/>
      <c r="I1524" s="84"/>
      <c r="J1524" s="84"/>
      <c r="K1524" s="84"/>
      <c r="L1524" s="84"/>
      <c r="M1524" s="84"/>
      <c r="N1524" s="84"/>
      <c r="O1524" s="84"/>
      <c r="P1524" s="84"/>
      <c r="Q1524" s="84"/>
      <c r="R1524" s="84"/>
      <c r="S1524" s="84"/>
      <c r="T1524" s="84"/>
      <c r="U1524" s="84"/>
      <c r="V1524" s="84"/>
      <c r="W1524" s="84"/>
      <c r="X1524" s="84"/>
      <c r="Y1524" s="84"/>
      <c r="Z1524" s="87"/>
      <c r="AA1524" s="87"/>
      <c r="AB1524" s="87"/>
      <c r="AC1524" s="87"/>
      <c r="AD1524" s="87"/>
      <c r="AE1524" s="87"/>
      <c r="AF1524" s="87"/>
      <c r="AG1524" s="87"/>
      <c r="AH1524" s="87"/>
      <c r="AI1524" s="87"/>
      <c r="AJ1524" s="87"/>
      <c r="AK1524" s="87"/>
      <c r="AL1524" s="87"/>
      <c r="AM1524" s="87"/>
      <c r="AN1524" s="87"/>
      <c r="AO1524" s="87"/>
      <c r="AP1524" s="87"/>
      <c r="AQ1524" s="87"/>
      <c r="AR1524" s="87"/>
      <c r="AS1524" s="87"/>
      <c r="AT1524" s="87"/>
      <c r="AU1524" s="87"/>
      <c r="AV1524" s="87"/>
      <c r="AW1524" s="87"/>
      <c r="AX1524" s="87"/>
      <c r="AY1524" s="87"/>
      <c r="AZ1524" s="87"/>
      <c r="BA1524" s="87"/>
      <c r="BB1524" s="87"/>
      <c r="BC1524" s="87"/>
      <c r="BD1524" s="87"/>
      <c r="BE1524" s="87"/>
      <c r="BF1524" s="87"/>
      <c r="BG1524" s="87"/>
      <c r="BH1524" s="87"/>
    </row>
    <row r="1525" spans="1:60" ht="16">
      <c r="A1525" s="82"/>
      <c r="B1525" s="82"/>
      <c r="C1525" s="82"/>
      <c r="D1525" s="83"/>
      <c r="E1525" s="84"/>
      <c r="F1525" s="84"/>
      <c r="G1525" s="84"/>
      <c r="H1525" s="82"/>
      <c r="I1525" s="84"/>
      <c r="J1525" s="84"/>
      <c r="K1525" s="84"/>
      <c r="L1525" s="84"/>
      <c r="M1525" s="84"/>
      <c r="N1525" s="84"/>
      <c r="O1525" s="84"/>
      <c r="P1525" s="84"/>
      <c r="Q1525" s="84"/>
      <c r="R1525" s="84"/>
      <c r="S1525" s="84"/>
      <c r="T1525" s="84"/>
      <c r="U1525" s="84"/>
      <c r="V1525" s="84"/>
      <c r="W1525" s="84"/>
      <c r="X1525" s="84"/>
      <c r="Y1525" s="84"/>
      <c r="Z1525" s="87"/>
      <c r="AA1525" s="87"/>
      <c r="AB1525" s="87"/>
      <c r="AC1525" s="87"/>
      <c r="AD1525" s="87"/>
      <c r="AE1525" s="87"/>
      <c r="AF1525" s="87"/>
      <c r="AG1525" s="87"/>
      <c r="AH1525" s="87"/>
      <c r="AI1525" s="87"/>
      <c r="AJ1525" s="87"/>
      <c r="AK1525" s="87"/>
      <c r="AL1525" s="87"/>
      <c r="AM1525" s="87"/>
      <c r="AN1525" s="87"/>
      <c r="AO1525" s="87"/>
      <c r="AP1525" s="87"/>
      <c r="AQ1525" s="87"/>
      <c r="AR1525" s="87"/>
      <c r="AS1525" s="87"/>
      <c r="AT1525" s="87"/>
      <c r="AU1525" s="87"/>
      <c r="AV1525" s="87"/>
      <c r="AW1525" s="87"/>
      <c r="AX1525" s="87"/>
      <c r="AY1525" s="87"/>
      <c r="AZ1525" s="87"/>
      <c r="BA1525" s="87"/>
      <c r="BB1525" s="87"/>
      <c r="BC1525" s="87"/>
      <c r="BD1525" s="87"/>
      <c r="BE1525" s="87"/>
      <c r="BF1525" s="87"/>
      <c r="BG1525" s="87"/>
      <c r="BH1525" s="87"/>
    </row>
    <row r="1526" spans="1:60" ht="16">
      <c r="A1526" s="82"/>
      <c r="B1526" s="82"/>
      <c r="C1526" s="82"/>
      <c r="D1526" s="83"/>
      <c r="E1526" s="84"/>
      <c r="F1526" s="84"/>
      <c r="G1526" s="84"/>
      <c r="H1526" s="82"/>
      <c r="I1526" s="84"/>
      <c r="J1526" s="84"/>
      <c r="K1526" s="84"/>
      <c r="L1526" s="84"/>
      <c r="M1526" s="84"/>
      <c r="N1526" s="84"/>
      <c r="O1526" s="84"/>
      <c r="P1526" s="84"/>
      <c r="Q1526" s="84"/>
      <c r="R1526" s="84"/>
      <c r="S1526" s="84"/>
      <c r="T1526" s="84"/>
      <c r="U1526" s="84"/>
      <c r="V1526" s="84"/>
      <c r="W1526" s="84"/>
      <c r="X1526" s="84"/>
      <c r="Y1526" s="84"/>
      <c r="Z1526" s="87"/>
      <c r="AA1526" s="87"/>
      <c r="AB1526" s="87"/>
      <c r="AC1526" s="87"/>
      <c r="AD1526" s="87"/>
      <c r="AE1526" s="87"/>
      <c r="AF1526" s="87"/>
      <c r="AG1526" s="87"/>
      <c r="AH1526" s="87"/>
      <c r="AI1526" s="87"/>
      <c r="AJ1526" s="87"/>
      <c r="AK1526" s="87"/>
      <c r="AL1526" s="87"/>
      <c r="AM1526" s="87"/>
      <c r="AN1526" s="87"/>
      <c r="AO1526" s="87"/>
      <c r="AP1526" s="87"/>
      <c r="AQ1526" s="87"/>
      <c r="AR1526" s="87"/>
      <c r="AS1526" s="87"/>
      <c r="AT1526" s="87"/>
      <c r="AU1526" s="87"/>
      <c r="AV1526" s="87"/>
      <c r="AW1526" s="87"/>
      <c r="AX1526" s="87"/>
      <c r="AY1526" s="87"/>
      <c r="AZ1526" s="87"/>
      <c r="BA1526" s="87"/>
      <c r="BB1526" s="87"/>
      <c r="BC1526" s="87"/>
      <c r="BD1526" s="87"/>
      <c r="BE1526" s="87"/>
      <c r="BF1526" s="87"/>
      <c r="BG1526" s="87"/>
      <c r="BH1526" s="87"/>
    </row>
    <row r="1527" spans="1:60" ht="16">
      <c r="A1527" s="82"/>
      <c r="B1527" s="82"/>
      <c r="C1527" s="82"/>
      <c r="D1527" s="83"/>
      <c r="E1527" s="84"/>
      <c r="F1527" s="84"/>
      <c r="G1527" s="84"/>
      <c r="H1527" s="82"/>
      <c r="I1527" s="84"/>
      <c r="J1527" s="84"/>
      <c r="K1527" s="84"/>
      <c r="L1527" s="84"/>
      <c r="M1527" s="84"/>
      <c r="N1527" s="84"/>
      <c r="O1527" s="84"/>
      <c r="P1527" s="84"/>
      <c r="Q1527" s="84"/>
      <c r="R1527" s="84"/>
      <c r="S1527" s="84"/>
      <c r="T1527" s="84"/>
      <c r="U1527" s="84"/>
      <c r="V1527" s="84"/>
      <c r="W1527" s="84"/>
      <c r="X1527" s="84"/>
      <c r="Y1527" s="84"/>
      <c r="Z1527" s="87"/>
      <c r="AA1527" s="87"/>
      <c r="AB1527" s="87"/>
      <c r="AC1527" s="87"/>
      <c r="AD1527" s="87"/>
      <c r="AE1527" s="87"/>
      <c r="AF1527" s="87"/>
      <c r="AG1527" s="87"/>
      <c r="AH1527" s="87"/>
      <c r="AI1527" s="87"/>
      <c r="AJ1527" s="87"/>
      <c r="AK1527" s="87"/>
      <c r="AL1527" s="87"/>
      <c r="AM1527" s="87"/>
      <c r="AN1527" s="87"/>
      <c r="AO1527" s="87"/>
      <c r="AP1527" s="87"/>
      <c r="AQ1527" s="87"/>
      <c r="AR1527" s="87"/>
      <c r="AS1527" s="87"/>
      <c r="AT1527" s="87"/>
      <c r="AU1527" s="87"/>
      <c r="AV1527" s="87"/>
      <c r="AW1527" s="87"/>
      <c r="AX1527" s="87"/>
      <c r="AY1527" s="87"/>
      <c r="AZ1527" s="87"/>
      <c r="BA1527" s="87"/>
      <c r="BB1527" s="87"/>
      <c r="BC1527" s="87"/>
      <c r="BD1527" s="87"/>
      <c r="BE1527" s="87"/>
      <c r="BF1527" s="87"/>
      <c r="BG1527" s="87"/>
      <c r="BH1527" s="87"/>
    </row>
    <row r="1528" spans="1:60" ht="16">
      <c r="A1528" s="82"/>
      <c r="B1528" s="82"/>
      <c r="C1528" s="82"/>
      <c r="D1528" s="83"/>
      <c r="E1528" s="84"/>
      <c r="F1528" s="84"/>
      <c r="G1528" s="84"/>
      <c r="H1528" s="82"/>
      <c r="I1528" s="84"/>
      <c r="J1528" s="84"/>
      <c r="K1528" s="84"/>
      <c r="L1528" s="84"/>
      <c r="M1528" s="84"/>
      <c r="N1528" s="84"/>
      <c r="O1528" s="84"/>
      <c r="P1528" s="84"/>
      <c r="Q1528" s="84"/>
      <c r="R1528" s="84"/>
      <c r="S1528" s="84"/>
      <c r="T1528" s="84"/>
      <c r="U1528" s="84"/>
      <c r="V1528" s="84"/>
      <c r="W1528" s="84"/>
      <c r="X1528" s="84"/>
      <c r="Y1528" s="84"/>
      <c r="Z1528" s="87"/>
      <c r="AA1528" s="87"/>
      <c r="AB1528" s="87"/>
      <c r="AC1528" s="87"/>
      <c r="AD1528" s="87"/>
      <c r="AE1528" s="87"/>
      <c r="AF1528" s="87"/>
      <c r="AG1528" s="87"/>
      <c r="AH1528" s="87"/>
      <c r="AI1528" s="87"/>
      <c r="AJ1528" s="87"/>
      <c r="AK1528" s="87"/>
      <c r="AL1528" s="87"/>
      <c r="AM1528" s="87"/>
      <c r="AN1528" s="87"/>
      <c r="AO1528" s="87"/>
      <c r="AP1528" s="87"/>
      <c r="AQ1528" s="87"/>
      <c r="AR1528" s="87"/>
      <c r="AS1528" s="87"/>
      <c r="AT1528" s="87"/>
      <c r="AU1528" s="87"/>
      <c r="AV1528" s="87"/>
      <c r="AW1528" s="87"/>
      <c r="AX1528" s="87"/>
      <c r="AY1528" s="87"/>
      <c r="AZ1528" s="87"/>
      <c r="BA1528" s="87"/>
      <c r="BB1528" s="87"/>
      <c r="BC1528" s="87"/>
      <c r="BD1528" s="87"/>
      <c r="BE1528" s="87"/>
      <c r="BF1528" s="87"/>
      <c r="BG1528" s="87"/>
      <c r="BH1528" s="87"/>
    </row>
    <row r="1529" spans="1:60" ht="16">
      <c r="A1529" s="82"/>
      <c r="B1529" s="82"/>
      <c r="C1529" s="82"/>
      <c r="D1529" s="83"/>
      <c r="E1529" s="84"/>
      <c r="F1529" s="84"/>
      <c r="G1529" s="84"/>
      <c r="H1529" s="82"/>
      <c r="I1529" s="84"/>
      <c r="J1529" s="84"/>
      <c r="K1529" s="84"/>
      <c r="L1529" s="84"/>
      <c r="M1529" s="84"/>
      <c r="N1529" s="84"/>
      <c r="O1529" s="84"/>
      <c r="P1529" s="84"/>
      <c r="Q1529" s="84"/>
      <c r="R1529" s="84"/>
      <c r="S1529" s="84"/>
      <c r="T1529" s="84"/>
      <c r="U1529" s="84"/>
      <c r="V1529" s="84"/>
      <c r="W1529" s="84"/>
      <c r="X1529" s="84"/>
      <c r="Y1529" s="84"/>
      <c r="Z1529" s="87"/>
      <c r="AA1529" s="87"/>
      <c r="AB1529" s="87"/>
      <c r="AC1529" s="87"/>
      <c r="AD1529" s="87"/>
      <c r="AE1529" s="87"/>
      <c r="AF1529" s="87"/>
      <c r="AG1529" s="87"/>
      <c r="AH1529" s="87"/>
      <c r="AI1529" s="87"/>
      <c r="AJ1529" s="87"/>
      <c r="AK1529" s="87"/>
      <c r="AL1529" s="87"/>
      <c r="AM1529" s="87"/>
      <c r="AN1529" s="87"/>
      <c r="AO1529" s="87"/>
      <c r="AP1529" s="87"/>
      <c r="AQ1529" s="87"/>
      <c r="AR1529" s="87"/>
      <c r="AS1529" s="87"/>
      <c r="AT1529" s="87"/>
      <c r="AU1529" s="87"/>
      <c r="AV1529" s="87"/>
      <c r="AW1529" s="87"/>
      <c r="AX1529" s="87"/>
      <c r="AY1529" s="87"/>
      <c r="AZ1529" s="87"/>
      <c r="BA1529" s="87"/>
      <c r="BB1529" s="87"/>
      <c r="BC1529" s="87"/>
      <c r="BD1529" s="87"/>
      <c r="BE1529" s="87"/>
      <c r="BF1529" s="87"/>
      <c r="BG1529" s="87"/>
      <c r="BH1529" s="87"/>
    </row>
    <row r="1530" spans="1:60" ht="16">
      <c r="A1530" s="82"/>
      <c r="B1530" s="82"/>
      <c r="C1530" s="82"/>
      <c r="D1530" s="83"/>
      <c r="E1530" s="84"/>
      <c r="F1530" s="84"/>
      <c r="G1530" s="84"/>
      <c r="H1530" s="82"/>
      <c r="I1530" s="84"/>
      <c r="J1530" s="84"/>
      <c r="K1530" s="84"/>
      <c r="L1530" s="84"/>
      <c r="M1530" s="84"/>
      <c r="N1530" s="84"/>
      <c r="O1530" s="84"/>
      <c r="P1530" s="84"/>
      <c r="Q1530" s="84"/>
      <c r="R1530" s="84"/>
      <c r="S1530" s="84"/>
      <c r="T1530" s="84"/>
      <c r="U1530" s="84"/>
      <c r="V1530" s="84"/>
      <c r="W1530" s="84"/>
      <c r="X1530" s="84"/>
      <c r="Y1530" s="84"/>
      <c r="Z1530" s="87"/>
      <c r="AA1530" s="87"/>
      <c r="AB1530" s="87"/>
      <c r="AC1530" s="87"/>
      <c r="AD1530" s="87"/>
      <c r="AE1530" s="87"/>
      <c r="AF1530" s="87"/>
      <c r="AG1530" s="87"/>
      <c r="AH1530" s="87"/>
      <c r="AI1530" s="87"/>
      <c r="AJ1530" s="87"/>
      <c r="AK1530" s="87"/>
      <c r="AL1530" s="87"/>
      <c r="AM1530" s="87"/>
      <c r="AN1530" s="87"/>
      <c r="AO1530" s="87"/>
      <c r="AP1530" s="87"/>
      <c r="AQ1530" s="87"/>
      <c r="AR1530" s="87"/>
      <c r="AS1530" s="87"/>
      <c r="AT1530" s="87"/>
      <c r="AU1530" s="87"/>
      <c r="AV1530" s="87"/>
      <c r="AW1530" s="87"/>
      <c r="AX1530" s="87"/>
      <c r="AY1530" s="87"/>
      <c r="AZ1530" s="87"/>
      <c r="BA1530" s="87"/>
      <c r="BB1530" s="87"/>
      <c r="BC1530" s="87"/>
      <c r="BD1530" s="87"/>
      <c r="BE1530" s="87"/>
      <c r="BF1530" s="87"/>
      <c r="BG1530" s="87"/>
      <c r="BH1530" s="87"/>
    </row>
    <row r="1531" spans="1:60" ht="16">
      <c r="A1531" s="82"/>
      <c r="B1531" s="82"/>
      <c r="C1531" s="82"/>
      <c r="D1531" s="83"/>
      <c r="E1531" s="84"/>
      <c r="F1531" s="84"/>
      <c r="G1531" s="84"/>
      <c r="H1531" s="82"/>
      <c r="I1531" s="84"/>
      <c r="J1531" s="84"/>
      <c r="K1531" s="84"/>
      <c r="L1531" s="84"/>
      <c r="M1531" s="84"/>
      <c r="N1531" s="84"/>
      <c r="O1531" s="84"/>
      <c r="P1531" s="84"/>
      <c r="Q1531" s="84"/>
      <c r="R1531" s="84"/>
      <c r="S1531" s="84"/>
      <c r="T1531" s="84"/>
      <c r="U1531" s="84"/>
      <c r="V1531" s="84"/>
      <c r="W1531" s="84"/>
      <c r="X1531" s="84"/>
      <c r="Y1531" s="84"/>
      <c r="Z1531" s="87"/>
      <c r="AA1531" s="87"/>
      <c r="AB1531" s="87"/>
      <c r="AC1531" s="87"/>
      <c r="AD1531" s="87"/>
      <c r="AE1531" s="87"/>
      <c r="AF1531" s="87"/>
      <c r="AG1531" s="87"/>
      <c r="AH1531" s="87"/>
      <c r="AI1531" s="87"/>
      <c r="AJ1531" s="87"/>
      <c r="AK1531" s="87"/>
      <c r="AL1531" s="87"/>
      <c r="AM1531" s="87"/>
      <c r="AN1531" s="87"/>
      <c r="AO1531" s="87"/>
      <c r="AP1531" s="87"/>
      <c r="AQ1531" s="87"/>
      <c r="AR1531" s="87"/>
      <c r="AS1531" s="87"/>
      <c r="AT1531" s="87"/>
      <c r="AU1531" s="87"/>
      <c r="AV1531" s="87"/>
      <c r="AW1531" s="87"/>
      <c r="AX1531" s="87"/>
      <c r="AY1531" s="87"/>
      <c r="AZ1531" s="87"/>
      <c r="BA1531" s="87"/>
      <c r="BB1531" s="87"/>
      <c r="BC1531" s="87"/>
      <c r="BD1531" s="87"/>
      <c r="BE1531" s="87"/>
      <c r="BF1531" s="87"/>
      <c r="BG1531" s="87"/>
      <c r="BH1531" s="87"/>
    </row>
    <row r="1532" spans="1:60" ht="16">
      <c r="A1532" s="82"/>
      <c r="B1532" s="82"/>
      <c r="C1532" s="82"/>
      <c r="D1532" s="83"/>
      <c r="E1532" s="84"/>
      <c r="F1532" s="84"/>
      <c r="G1532" s="84"/>
      <c r="H1532" s="82"/>
      <c r="I1532" s="84"/>
      <c r="J1532" s="84"/>
      <c r="K1532" s="84"/>
      <c r="L1532" s="84"/>
      <c r="M1532" s="84"/>
      <c r="N1532" s="84"/>
      <c r="O1532" s="84"/>
      <c r="P1532" s="84"/>
      <c r="Q1532" s="84"/>
      <c r="R1532" s="84"/>
      <c r="S1532" s="84"/>
      <c r="T1532" s="84"/>
      <c r="U1532" s="84"/>
      <c r="V1532" s="84"/>
      <c r="W1532" s="84"/>
      <c r="X1532" s="84"/>
      <c r="Y1532" s="84"/>
      <c r="Z1532" s="87"/>
      <c r="AA1532" s="87"/>
      <c r="AB1532" s="87"/>
      <c r="AC1532" s="87"/>
      <c r="AD1532" s="87"/>
      <c r="AE1532" s="87"/>
      <c r="AF1532" s="87"/>
      <c r="AG1532" s="87"/>
      <c r="AH1532" s="87"/>
      <c r="AI1532" s="87"/>
      <c r="AJ1532" s="87"/>
      <c r="AK1532" s="87"/>
      <c r="AL1532" s="87"/>
      <c r="AM1532" s="87"/>
      <c r="AN1532" s="87"/>
      <c r="AO1532" s="87"/>
      <c r="AP1532" s="87"/>
      <c r="AQ1532" s="87"/>
      <c r="AR1532" s="87"/>
      <c r="AS1532" s="87"/>
      <c r="AT1532" s="87"/>
      <c r="AU1532" s="87"/>
      <c r="AV1532" s="87"/>
      <c r="AW1532" s="87"/>
      <c r="AX1532" s="87"/>
      <c r="AY1532" s="87"/>
      <c r="AZ1532" s="87"/>
      <c r="BA1532" s="87"/>
      <c r="BB1532" s="87"/>
      <c r="BC1532" s="87"/>
      <c r="BD1532" s="87"/>
      <c r="BE1532" s="87"/>
      <c r="BF1532" s="87"/>
      <c r="BG1532" s="87"/>
      <c r="BH1532" s="87"/>
    </row>
    <row r="1533" spans="1:60" ht="16">
      <c r="A1533" s="82"/>
      <c r="B1533" s="82"/>
      <c r="C1533" s="82"/>
      <c r="D1533" s="83"/>
      <c r="E1533" s="84"/>
      <c r="F1533" s="84"/>
      <c r="G1533" s="84"/>
      <c r="H1533" s="82"/>
      <c r="I1533" s="84"/>
      <c r="J1533" s="84"/>
      <c r="K1533" s="84"/>
      <c r="L1533" s="84"/>
      <c r="M1533" s="84"/>
      <c r="N1533" s="84"/>
      <c r="O1533" s="84"/>
      <c r="P1533" s="84"/>
      <c r="Q1533" s="84"/>
      <c r="R1533" s="84"/>
      <c r="S1533" s="84"/>
      <c r="T1533" s="84"/>
      <c r="U1533" s="84"/>
      <c r="V1533" s="84"/>
      <c r="W1533" s="84"/>
      <c r="X1533" s="84"/>
      <c r="Y1533" s="84"/>
      <c r="Z1533" s="87"/>
      <c r="AA1533" s="87"/>
      <c r="AB1533" s="87"/>
      <c r="AC1533" s="87"/>
      <c r="AD1533" s="87"/>
      <c r="AE1533" s="87"/>
      <c r="AF1533" s="87"/>
      <c r="AG1533" s="87"/>
      <c r="AH1533" s="87"/>
      <c r="AI1533" s="87"/>
      <c r="AJ1533" s="87"/>
      <c r="AK1533" s="87"/>
      <c r="AL1533" s="87"/>
      <c r="AM1533" s="87"/>
      <c r="AN1533" s="87"/>
      <c r="AO1533" s="87"/>
      <c r="AP1533" s="87"/>
      <c r="AQ1533" s="87"/>
      <c r="AR1533" s="87"/>
      <c r="AS1533" s="87"/>
      <c r="AT1533" s="87"/>
      <c r="AU1533" s="87"/>
      <c r="AV1533" s="87"/>
      <c r="AW1533" s="87"/>
      <c r="AX1533" s="87"/>
      <c r="AY1533" s="87"/>
      <c r="AZ1533" s="87"/>
      <c r="BA1533" s="87"/>
      <c r="BB1533" s="87"/>
      <c r="BC1533" s="87"/>
      <c r="BD1533" s="87"/>
      <c r="BE1533" s="87"/>
      <c r="BF1533" s="87"/>
      <c r="BG1533" s="87"/>
      <c r="BH1533" s="87"/>
    </row>
    <row r="1534" spans="1:60" ht="16">
      <c r="A1534" s="82"/>
      <c r="B1534" s="82"/>
      <c r="C1534" s="82"/>
      <c r="D1534" s="83"/>
      <c r="E1534" s="84"/>
      <c r="F1534" s="84"/>
      <c r="G1534" s="84"/>
      <c r="H1534" s="82"/>
      <c r="I1534" s="84"/>
      <c r="J1534" s="84"/>
      <c r="K1534" s="84"/>
      <c r="L1534" s="84"/>
      <c r="M1534" s="84"/>
      <c r="N1534" s="84"/>
      <c r="O1534" s="84"/>
      <c r="P1534" s="84"/>
      <c r="Q1534" s="84"/>
      <c r="R1534" s="84"/>
      <c r="S1534" s="84"/>
      <c r="T1534" s="84"/>
      <c r="U1534" s="84"/>
      <c r="V1534" s="84"/>
      <c r="W1534" s="84"/>
      <c r="X1534" s="84"/>
      <c r="Y1534" s="84"/>
      <c r="Z1534" s="87"/>
      <c r="AA1534" s="87"/>
      <c r="AB1534" s="87"/>
      <c r="AC1534" s="87"/>
      <c r="AD1534" s="87"/>
      <c r="AE1534" s="87"/>
      <c r="AF1534" s="87"/>
      <c r="AG1534" s="87"/>
      <c r="AH1534" s="87"/>
      <c r="AI1534" s="87"/>
      <c r="AJ1534" s="87"/>
      <c r="AK1534" s="87"/>
      <c r="AL1534" s="87"/>
      <c r="AM1534" s="87"/>
      <c r="AN1534" s="87"/>
      <c r="AO1534" s="87"/>
      <c r="AP1534" s="87"/>
      <c r="AQ1534" s="87"/>
      <c r="AR1534" s="87"/>
      <c r="AS1534" s="87"/>
      <c r="AT1534" s="87"/>
      <c r="AU1534" s="87"/>
      <c r="AV1534" s="87"/>
      <c r="AW1534" s="87"/>
      <c r="AX1534" s="87"/>
      <c r="AY1534" s="87"/>
      <c r="AZ1534" s="87"/>
      <c r="BA1534" s="87"/>
      <c r="BB1534" s="87"/>
      <c r="BC1534" s="87"/>
      <c r="BD1534" s="87"/>
      <c r="BE1534" s="87"/>
      <c r="BF1534" s="87"/>
      <c r="BG1534" s="87"/>
      <c r="BH1534" s="87"/>
    </row>
    <row r="1535" spans="1:60" ht="16">
      <c r="A1535" s="82"/>
      <c r="B1535" s="82"/>
      <c r="C1535" s="82"/>
      <c r="D1535" s="83"/>
      <c r="E1535" s="84"/>
      <c r="F1535" s="84"/>
      <c r="G1535" s="84"/>
      <c r="H1535" s="82"/>
      <c r="I1535" s="84"/>
      <c r="J1535" s="84"/>
      <c r="K1535" s="84"/>
      <c r="L1535" s="84"/>
      <c r="M1535" s="84"/>
      <c r="N1535" s="84"/>
      <c r="O1535" s="84"/>
      <c r="P1535" s="84"/>
      <c r="Q1535" s="84"/>
      <c r="R1535" s="84"/>
      <c r="S1535" s="84"/>
      <c r="T1535" s="84"/>
      <c r="U1535" s="84"/>
      <c r="V1535" s="84"/>
      <c r="W1535" s="84"/>
      <c r="X1535" s="84"/>
      <c r="Y1535" s="84"/>
      <c r="Z1535" s="87"/>
      <c r="AA1535" s="87"/>
      <c r="AB1535" s="87"/>
      <c r="AC1535" s="87"/>
      <c r="AD1535" s="87"/>
      <c r="AE1535" s="87"/>
      <c r="AF1535" s="87"/>
      <c r="AG1535" s="87"/>
      <c r="AH1535" s="87"/>
      <c r="AI1535" s="87"/>
      <c r="AJ1535" s="87"/>
      <c r="AK1535" s="87"/>
      <c r="AL1535" s="87"/>
      <c r="AM1535" s="87"/>
      <c r="AN1535" s="87"/>
      <c r="AO1535" s="87"/>
      <c r="AP1535" s="87"/>
      <c r="AQ1535" s="87"/>
      <c r="AR1535" s="87"/>
      <c r="AS1535" s="87"/>
      <c r="AT1535" s="87"/>
      <c r="AU1535" s="87"/>
      <c r="AV1535" s="87"/>
      <c r="AW1535" s="87"/>
      <c r="AX1535" s="87"/>
      <c r="AY1535" s="87"/>
      <c r="AZ1535" s="87"/>
      <c r="BA1535" s="87"/>
      <c r="BB1535" s="87"/>
      <c r="BC1535" s="87"/>
      <c r="BD1535" s="87"/>
      <c r="BE1535" s="87"/>
      <c r="BF1535" s="87"/>
      <c r="BG1535" s="87"/>
      <c r="BH1535" s="87"/>
    </row>
    <row r="1536" spans="1:60" ht="16">
      <c r="A1536" s="82"/>
      <c r="B1536" s="82"/>
      <c r="C1536" s="82"/>
      <c r="D1536" s="83"/>
      <c r="E1536" s="84"/>
      <c r="F1536" s="84"/>
      <c r="G1536" s="84"/>
      <c r="H1536" s="82"/>
      <c r="I1536" s="84"/>
      <c r="J1536" s="84"/>
      <c r="K1536" s="84"/>
      <c r="L1536" s="84"/>
      <c r="M1536" s="84"/>
      <c r="N1536" s="84"/>
      <c r="O1536" s="84"/>
      <c r="P1536" s="84"/>
      <c r="Q1536" s="84"/>
      <c r="R1536" s="84"/>
      <c r="S1536" s="84"/>
      <c r="T1536" s="84"/>
      <c r="U1536" s="84"/>
      <c r="V1536" s="84"/>
      <c r="W1536" s="84"/>
      <c r="X1536" s="84"/>
      <c r="Y1536" s="84"/>
      <c r="Z1536" s="87"/>
      <c r="AA1536" s="87"/>
      <c r="AB1536" s="87"/>
      <c r="AC1536" s="87"/>
      <c r="AD1536" s="87"/>
      <c r="AE1536" s="87"/>
      <c r="AF1536" s="87"/>
      <c r="AG1536" s="87"/>
      <c r="AH1536" s="87"/>
      <c r="AI1536" s="87"/>
      <c r="AJ1536" s="87"/>
      <c r="AK1536" s="87"/>
      <c r="AL1536" s="87"/>
      <c r="AM1536" s="87"/>
      <c r="AN1536" s="87"/>
      <c r="AO1536" s="87"/>
      <c r="AP1536" s="87"/>
      <c r="AQ1536" s="87"/>
      <c r="AR1536" s="87"/>
      <c r="AS1536" s="87"/>
      <c r="AT1536" s="87"/>
      <c r="AU1536" s="87"/>
      <c r="AV1536" s="87"/>
      <c r="AW1536" s="87"/>
      <c r="AX1536" s="87"/>
      <c r="AY1536" s="87"/>
      <c r="AZ1536" s="87"/>
      <c r="BA1536" s="87"/>
      <c r="BB1536" s="87"/>
      <c r="BC1536" s="87"/>
      <c r="BD1536" s="87"/>
      <c r="BE1536" s="87"/>
      <c r="BF1536" s="87"/>
      <c r="BG1536" s="87"/>
      <c r="BH1536" s="87"/>
    </row>
    <row r="1537" spans="1:60" ht="16">
      <c r="A1537" s="82"/>
      <c r="B1537" s="82"/>
      <c r="C1537" s="82"/>
      <c r="D1537" s="83"/>
      <c r="E1537" s="84"/>
      <c r="F1537" s="84"/>
      <c r="G1537" s="84"/>
      <c r="H1537" s="82"/>
      <c r="I1537" s="84"/>
      <c r="J1537" s="84"/>
      <c r="K1537" s="84"/>
      <c r="L1537" s="84"/>
      <c r="M1537" s="84"/>
      <c r="N1537" s="84"/>
      <c r="O1537" s="84"/>
      <c r="P1537" s="84"/>
      <c r="Q1537" s="84"/>
      <c r="R1537" s="84"/>
      <c r="S1537" s="84"/>
      <c r="T1537" s="84"/>
      <c r="U1537" s="84"/>
      <c r="V1537" s="84"/>
      <c r="W1537" s="84"/>
      <c r="X1537" s="84"/>
      <c r="Y1537" s="84"/>
      <c r="Z1537" s="87"/>
      <c r="AA1537" s="87"/>
      <c r="AB1537" s="87"/>
      <c r="AC1537" s="87"/>
      <c r="AD1537" s="87"/>
      <c r="AE1537" s="87"/>
      <c r="AF1537" s="87"/>
      <c r="AG1537" s="87"/>
      <c r="AH1537" s="87"/>
      <c r="AI1537" s="87"/>
      <c r="AJ1537" s="87"/>
      <c r="AK1537" s="87"/>
      <c r="AL1537" s="87"/>
      <c r="AM1537" s="87"/>
      <c r="AN1537" s="87"/>
      <c r="AO1537" s="87"/>
      <c r="AP1537" s="87"/>
      <c r="AQ1537" s="87"/>
      <c r="AR1537" s="87"/>
      <c r="AS1537" s="87"/>
      <c r="AT1537" s="87"/>
      <c r="AU1537" s="87"/>
      <c r="AV1537" s="87"/>
      <c r="AW1537" s="87"/>
      <c r="AX1537" s="87"/>
      <c r="AY1537" s="87"/>
      <c r="AZ1537" s="87"/>
      <c r="BA1537" s="87"/>
      <c r="BB1537" s="87"/>
      <c r="BC1537" s="87"/>
      <c r="BD1537" s="87"/>
      <c r="BE1537" s="87"/>
      <c r="BF1537" s="87"/>
      <c r="BG1537" s="87"/>
      <c r="BH1537" s="87"/>
    </row>
    <row r="1538" spans="1:60" ht="16">
      <c r="A1538" s="82"/>
      <c r="B1538" s="82"/>
      <c r="C1538" s="82"/>
      <c r="D1538" s="83"/>
      <c r="E1538" s="84"/>
      <c r="F1538" s="84"/>
      <c r="G1538" s="84"/>
      <c r="H1538" s="82"/>
      <c r="I1538" s="84"/>
      <c r="J1538" s="84"/>
      <c r="K1538" s="84"/>
      <c r="L1538" s="84"/>
      <c r="M1538" s="84"/>
      <c r="N1538" s="84"/>
      <c r="O1538" s="84"/>
      <c r="P1538" s="84"/>
      <c r="Q1538" s="84"/>
      <c r="R1538" s="84"/>
      <c r="S1538" s="84"/>
      <c r="T1538" s="84"/>
      <c r="U1538" s="84"/>
      <c r="V1538" s="84"/>
      <c r="W1538" s="84"/>
      <c r="X1538" s="84"/>
      <c r="Y1538" s="84"/>
      <c r="Z1538" s="87"/>
      <c r="AA1538" s="87"/>
      <c r="AB1538" s="87"/>
      <c r="AC1538" s="87"/>
      <c r="AD1538" s="87"/>
      <c r="AE1538" s="87"/>
      <c r="AF1538" s="87"/>
      <c r="AG1538" s="87"/>
      <c r="AH1538" s="87"/>
      <c r="AI1538" s="87"/>
      <c r="AJ1538" s="87"/>
      <c r="AK1538" s="87"/>
      <c r="AL1538" s="87"/>
      <c r="AM1538" s="87"/>
      <c r="AN1538" s="87"/>
      <c r="AO1538" s="87"/>
      <c r="AP1538" s="87"/>
      <c r="AQ1538" s="87"/>
      <c r="AR1538" s="87"/>
      <c r="AS1538" s="87"/>
      <c r="AT1538" s="87"/>
      <c r="AU1538" s="87"/>
      <c r="AV1538" s="87"/>
      <c r="AW1538" s="87"/>
      <c r="AX1538" s="87"/>
      <c r="AY1538" s="87"/>
      <c r="AZ1538" s="87"/>
      <c r="BA1538" s="87"/>
      <c r="BB1538" s="87"/>
      <c r="BC1538" s="87"/>
      <c r="BD1538" s="87"/>
      <c r="BE1538" s="87"/>
      <c r="BF1538" s="87"/>
      <c r="BG1538" s="87"/>
      <c r="BH1538" s="87"/>
    </row>
    <row r="1539" spans="1:60" ht="16">
      <c r="A1539" s="82"/>
      <c r="B1539" s="82"/>
      <c r="C1539" s="82"/>
      <c r="D1539" s="83"/>
      <c r="E1539" s="84"/>
      <c r="F1539" s="84"/>
      <c r="G1539" s="84"/>
      <c r="H1539" s="82"/>
      <c r="I1539" s="84"/>
      <c r="J1539" s="84"/>
      <c r="K1539" s="84"/>
      <c r="L1539" s="84"/>
      <c r="M1539" s="84"/>
      <c r="N1539" s="84"/>
      <c r="O1539" s="84"/>
      <c r="P1539" s="84"/>
      <c r="Q1539" s="84"/>
      <c r="R1539" s="84"/>
      <c r="S1539" s="84"/>
      <c r="T1539" s="84"/>
      <c r="U1539" s="84"/>
      <c r="V1539" s="84"/>
      <c r="W1539" s="84"/>
      <c r="X1539" s="84"/>
      <c r="Y1539" s="84"/>
      <c r="Z1539" s="87"/>
      <c r="AA1539" s="87"/>
      <c r="AB1539" s="87"/>
      <c r="AC1539" s="87"/>
      <c r="AD1539" s="87"/>
      <c r="AE1539" s="87"/>
      <c r="AF1539" s="87"/>
      <c r="AG1539" s="87"/>
      <c r="AH1539" s="87"/>
      <c r="AI1539" s="87"/>
      <c r="AJ1539" s="87"/>
      <c r="AK1539" s="87"/>
      <c r="AL1539" s="87"/>
      <c r="AM1539" s="87"/>
      <c r="AN1539" s="87"/>
      <c r="AO1539" s="87"/>
      <c r="AP1539" s="87"/>
      <c r="AQ1539" s="87"/>
      <c r="AR1539" s="87"/>
      <c r="AS1539" s="87"/>
      <c r="AT1539" s="87"/>
      <c r="AU1539" s="87"/>
      <c r="AV1539" s="87"/>
      <c r="AW1539" s="87"/>
      <c r="AX1539" s="87"/>
      <c r="AY1539" s="87"/>
      <c r="AZ1539" s="87"/>
      <c r="BA1539" s="87"/>
      <c r="BB1539" s="87"/>
      <c r="BC1539" s="87"/>
      <c r="BD1539" s="87"/>
      <c r="BE1539" s="87"/>
      <c r="BF1539" s="87"/>
      <c r="BG1539" s="87"/>
      <c r="BH1539" s="87"/>
    </row>
    <row r="1540" spans="1:60" ht="16">
      <c r="A1540" s="82"/>
      <c r="B1540" s="82"/>
      <c r="C1540" s="82"/>
      <c r="D1540" s="83"/>
      <c r="E1540" s="84"/>
      <c r="F1540" s="84"/>
      <c r="G1540" s="84"/>
      <c r="H1540" s="82"/>
      <c r="I1540" s="84"/>
      <c r="J1540" s="84"/>
      <c r="K1540" s="84"/>
      <c r="L1540" s="84"/>
      <c r="M1540" s="84"/>
      <c r="N1540" s="84"/>
      <c r="O1540" s="84"/>
      <c r="P1540" s="84"/>
      <c r="Q1540" s="84"/>
      <c r="R1540" s="84"/>
      <c r="S1540" s="84"/>
      <c r="T1540" s="84"/>
      <c r="U1540" s="84"/>
      <c r="V1540" s="84"/>
      <c r="W1540" s="84"/>
      <c r="X1540" s="84"/>
      <c r="Y1540" s="84"/>
      <c r="Z1540" s="87"/>
      <c r="AA1540" s="87"/>
      <c r="AB1540" s="87"/>
      <c r="AC1540" s="87"/>
      <c r="AD1540" s="87"/>
      <c r="AE1540" s="87"/>
      <c r="AF1540" s="87"/>
      <c r="AG1540" s="87"/>
      <c r="AH1540" s="87"/>
      <c r="AI1540" s="87"/>
      <c r="AJ1540" s="87"/>
      <c r="AK1540" s="87"/>
      <c r="AL1540" s="87"/>
      <c r="AM1540" s="87"/>
      <c r="AN1540" s="87"/>
      <c r="AO1540" s="87"/>
      <c r="AP1540" s="87"/>
      <c r="AQ1540" s="87"/>
      <c r="AR1540" s="87"/>
      <c r="AS1540" s="87"/>
      <c r="AT1540" s="87"/>
      <c r="AU1540" s="87"/>
      <c r="AV1540" s="87"/>
      <c r="AW1540" s="87"/>
      <c r="AX1540" s="87"/>
      <c r="AY1540" s="87"/>
      <c r="AZ1540" s="87"/>
      <c r="BA1540" s="87"/>
      <c r="BB1540" s="87"/>
      <c r="BC1540" s="87"/>
      <c r="BD1540" s="87"/>
      <c r="BE1540" s="87"/>
      <c r="BF1540" s="87"/>
      <c r="BG1540" s="87"/>
      <c r="BH1540" s="87"/>
    </row>
    <row r="1541" spans="1:60" ht="16">
      <c r="A1541" s="82"/>
      <c r="B1541" s="82"/>
      <c r="C1541" s="82"/>
      <c r="D1541" s="83"/>
      <c r="E1541" s="84"/>
      <c r="F1541" s="84"/>
      <c r="G1541" s="84"/>
      <c r="H1541" s="82"/>
      <c r="I1541" s="84"/>
      <c r="J1541" s="84"/>
      <c r="K1541" s="84"/>
      <c r="L1541" s="84"/>
      <c r="M1541" s="84"/>
      <c r="N1541" s="84"/>
      <c r="O1541" s="84"/>
      <c r="P1541" s="84"/>
      <c r="Q1541" s="84"/>
      <c r="R1541" s="84"/>
      <c r="S1541" s="84"/>
      <c r="T1541" s="84"/>
      <c r="U1541" s="84"/>
      <c r="V1541" s="84"/>
      <c r="W1541" s="84"/>
      <c r="X1541" s="84"/>
      <c r="Y1541" s="84"/>
      <c r="Z1541" s="87"/>
      <c r="AA1541" s="87"/>
      <c r="AB1541" s="87"/>
      <c r="AC1541" s="87"/>
      <c r="AD1541" s="87"/>
      <c r="AE1541" s="87"/>
      <c r="AF1541" s="87"/>
      <c r="AG1541" s="87"/>
      <c r="AH1541" s="87"/>
      <c r="AI1541" s="87"/>
      <c r="AJ1541" s="87"/>
      <c r="AK1541" s="87"/>
      <c r="AL1541" s="87"/>
      <c r="AM1541" s="87"/>
      <c r="AN1541" s="87"/>
      <c r="AO1541" s="87"/>
      <c r="AP1541" s="87"/>
      <c r="AQ1541" s="87"/>
      <c r="AR1541" s="87"/>
      <c r="AS1541" s="87"/>
      <c r="AT1541" s="87"/>
      <c r="AU1541" s="87"/>
      <c r="AV1541" s="87"/>
      <c r="AW1541" s="87"/>
      <c r="AX1541" s="87"/>
      <c r="AY1541" s="87"/>
      <c r="AZ1541" s="87"/>
      <c r="BA1541" s="87"/>
      <c r="BB1541" s="87"/>
      <c r="BC1541" s="87"/>
      <c r="BD1541" s="87"/>
      <c r="BE1541" s="87"/>
      <c r="BF1541" s="87"/>
      <c r="BG1541" s="87"/>
      <c r="BH1541" s="87"/>
    </row>
    <row r="1542" spans="1:60" ht="16">
      <c r="A1542" s="82"/>
      <c r="B1542" s="82"/>
      <c r="C1542" s="82"/>
      <c r="D1542" s="83"/>
      <c r="E1542" s="84"/>
      <c r="F1542" s="84"/>
      <c r="G1542" s="84"/>
      <c r="H1542" s="82"/>
      <c r="I1542" s="84"/>
      <c r="J1542" s="84"/>
      <c r="K1542" s="84"/>
      <c r="L1542" s="84"/>
      <c r="M1542" s="84"/>
      <c r="N1542" s="84"/>
      <c r="O1542" s="84"/>
      <c r="P1542" s="84"/>
      <c r="Q1542" s="84"/>
      <c r="R1542" s="84"/>
      <c r="S1542" s="84"/>
      <c r="T1542" s="84"/>
      <c r="U1542" s="84"/>
      <c r="V1542" s="84"/>
      <c r="W1542" s="84"/>
      <c r="X1542" s="84"/>
      <c r="Y1542" s="84"/>
      <c r="Z1542" s="87"/>
      <c r="AA1542" s="87"/>
      <c r="AB1542" s="87"/>
      <c r="AC1542" s="87"/>
      <c r="AD1542" s="87"/>
      <c r="AE1542" s="87"/>
      <c r="AF1542" s="87"/>
      <c r="AG1542" s="87"/>
      <c r="AH1542" s="87"/>
      <c r="AI1542" s="87"/>
      <c r="AJ1542" s="87"/>
      <c r="AK1542" s="87"/>
      <c r="AL1542" s="87"/>
      <c r="AM1542" s="87"/>
      <c r="AN1542" s="87"/>
      <c r="AO1542" s="87"/>
      <c r="AP1542" s="87"/>
      <c r="AQ1542" s="87"/>
      <c r="AR1542" s="87"/>
      <c r="AS1542" s="87"/>
      <c r="AT1542" s="87"/>
      <c r="AU1542" s="87"/>
      <c r="AV1542" s="87"/>
      <c r="AW1542" s="87"/>
      <c r="AX1542" s="87"/>
      <c r="AY1542" s="87"/>
      <c r="AZ1542" s="87"/>
      <c r="BA1542" s="87"/>
      <c r="BB1542" s="87"/>
      <c r="BC1542" s="87"/>
      <c r="BD1542" s="87"/>
      <c r="BE1542" s="87"/>
      <c r="BF1542" s="87"/>
      <c r="BG1542" s="87"/>
      <c r="BH1542" s="87"/>
    </row>
    <row r="1543" spans="1:60" ht="16">
      <c r="A1543" s="82"/>
      <c r="B1543" s="82"/>
      <c r="C1543" s="82"/>
      <c r="D1543" s="83"/>
      <c r="E1543" s="84"/>
      <c r="F1543" s="84"/>
      <c r="G1543" s="84"/>
      <c r="H1543" s="82"/>
      <c r="I1543" s="84"/>
      <c r="J1543" s="84"/>
      <c r="K1543" s="84"/>
      <c r="L1543" s="84"/>
      <c r="M1543" s="84"/>
      <c r="N1543" s="84"/>
      <c r="O1543" s="84"/>
      <c r="P1543" s="84"/>
      <c r="Q1543" s="84"/>
      <c r="R1543" s="84"/>
      <c r="S1543" s="84"/>
      <c r="T1543" s="84"/>
      <c r="U1543" s="84"/>
      <c r="V1543" s="84"/>
      <c r="W1543" s="84"/>
      <c r="X1543" s="84"/>
      <c r="Y1543" s="84"/>
      <c r="Z1543" s="87"/>
      <c r="AA1543" s="87"/>
      <c r="AB1543" s="87"/>
      <c r="AC1543" s="87"/>
      <c r="AD1543" s="87"/>
      <c r="AE1543" s="87"/>
      <c r="AF1543" s="87"/>
      <c r="AG1543" s="87"/>
      <c r="AH1543" s="87"/>
      <c r="AI1543" s="87"/>
      <c r="AJ1543" s="87"/>
      <c r="AK1543" s="87"/>
      <c r="AL1543" s="87"/>
      <c r="AM1543" s="87"/>
      <c r="AN1543" s="87"/>
      <c r="AO1543" s="87"/>
      <c r="AP1543" s="87"/>
      <c r="AQ1543" s="87"/>
      <c r="AR1543" s="87"/>
      <c r="AS1543" s="87"/>
      <c r="AT1543" s="87"/>
      <c r="AU1543" s="87"/>
      <c r="AV1543" s="87"/>
      <c r="AW1543" s="87"/>
      <c r="AX1543" s="87"/>
      <c r="AY1543" s="87"/>
      <c r="AZ1543" s="87"/>
      <c r="BA1543" s="87"/>
      <c r="BB1543" s="87"/>
      <c r="BC1543" s="87"/>
      <c r="BD1543" s="87"/>
      <c r="BE1543" s="87"/>
      <c r="BF1543" s="87"/>
      <c r="BG1543" s="87"/>
      <c r="BH1543" s="87"/>
    </row>
    <row r="1544" spans="1:60" ht="16">
      <c r="A1544" s="82"/>
      <c r="B1544" s="82"/>
      <c r="C1544" s="82"/>
      <c r="D1544" s="83"/>
      <c r="E1544" s="84"/>
      <c r="F1544" s="84"/>
      <c r="G1544" s="84"/>
      <c r="H1544" s="82"/>
      <c r="I1544" s="84"/>
      <c r="J1544" s="84"/>
      <c r="K1544" s="84"/>
      <c r="L1544" s="84"/>
      <c r="M1544" s="84"/>
      <c r="N1544" s="84"/>
      <c r="O1544" s="84"/>
      <c r="P1544" s="84"/>
      <c r="Q1544" s="84"/>
      <c r="R1544" s="84"/>
      <c r="S1544" s="84"/>
      <c r="T1544" s="84"/>
      <c r="U1544" s="84"/>
      <c r="V1544" s="84"/>
      <c r="W1544" s="84"/>
      <c r="X1544" s="84"/>
      <c r="Y1544" s="84"/>
      <c r="Z1544" s="87"/>
      <c r="AA1544" s="87"/>
      <c r="AB1544" s="87"/>
      <c r="AC1544" s="87"/>
      <c r="AD1544" s="87"/>
      <c r="AE1544" s="87"/>
      <c r="AF1544" s="87"/>
      <c r="AG1544" s="87"/>
      <c r="AH1544" s="87"/>
      <c r="AI1544" s="87"/>
      <c r="AJ1544" s="87"/>
      <c r="AK1544" s="87"/>
      <c r="AL1544" s="87"/>
      <c r="AM1544" s="87"/>
      <c r="AN1544" s="87"/>
      <c r="AO1544" s="87"/>
      <c r="AP1544" s="87"/>
      <c r="AQ1544" s="87"/>
      <c r="AR1544" s="87"/>
      <c r="AS1544" s="87"/>
      <c r="AT1544" s="87"/>
      <c r="AU1544" s="87"/>
      <c r="AV1544" s="87"/>
      <c r="AW1544" s="87"/>
      <c r="AX1544" s="87"/>
      <c r="AY1544" s="87"/>
      <c r="AZ1544" s="87"/>
      <c r="BA1544" s="87"/>
      <c r="BB1544" s="87"/>
      <c r="BC1544" s="87"/>
      <c r="BD1544" s="87"/>
      <c r="BE1544" s="87"/>
      <c r="BF1544" s="87"/>
      <c r="BG1544" s="87"/>
      <c r="BH1544" s="87"/>
    </row>
    <row r="1545" spans="1:60" ht="16">
      <c r="A1545" s="82"/>
      <c r="B1545" s="82"/>
      <c r="C1545" s="82"/>
      <c r="D1545" s="83"/>
      <c r="E1545" s="84"/>
      <c r="F1545" s="84"/>
      <c r="G1545" s="84"/>
      <c r="H1545" s="82"/>
      <c r="I1545" s="84"/>
      <c r="J1545" s="84"/>
      <c r="K1545" s="84"/>
      <c r="L1545" s="84"/>
      <c r="M1545" s="84"/>
      <c r="N1545" s="84"/>
      <c r="O1545" s="84"/>
      <c r="P1545" s="84"/>
      <c r="Q1545" s="84"/>
      <c r="R1545" s="84"/>
      <c r="S1545" s="84"/>
      <c r="T1545" s="84"/>
      <c r="U1545" s="84"/>
      <c r="V1545" s="84"/>
      <c r="W1545" s="84"/>
      <c r="X1545" s="84"/>
      <c r="Y1545" s="84"/>
      <c r="Z1545" s="87"/>
      <c r="AA1545" s="87"/>
      <c r="AB1545" s="87"/>
      <c r="AC1545" s="87"/>
      <c r="AD1545" s="87"/>
      <c r="AE1545" s="87"/>
      <c r="AF1545" s="87"/>
      <c r="AG1545" s="87"/>
      <c r="AH1545" s="87"/>
      <c r="AI1545" s="87"/>
      <c r="AJ1545" s="87"/>
      <c r="AK1545" s="87"/>
      <c r="AL1545" s="87"/>
      <c r="AM1545" s="87"/>
      <c r="AN1545" s="87"/>
      <c r="AO1545" s="87"/>
      <c r="AP1545" s="87"/>
      <c r="AQ1545" s="87"/>
      <c r="AR1545" s="87"/>
      <c r="AS1545" s="87"/>
      <c r="AT1545" s="87"/>
      <c r="AU1545" s="87"/>
      <c r="AV1545" s="87"/>
      <c r="AW1545" s="87"/>
      <c r="AX1545" s="87"/>
      <c r="AY1545" s="87"/>
      <c r="AZ1545" s="87"/>
      <c r="BA1545" s="87"/>
      <c r="BB1545" s="87"/>
      <c r="BC1545" s="87"/>
      <c r="BD1545" s="87"/>
      <c r="BE1545" s="87"/>
      <c r="BF1545" s="87"/>
      <c r="BG1545" s="87"/>
      <c r="BH1545" s="87"/>
    </row>
    <row r="1546" spans="1:60" ht="16">
      <c r="A1546" s="82"/>
      <c r="B1546" s="82"/>
      <c r="C1546" s="82"/>
      <c r="D1546" s="83"/>
      <c r="E1546" s="84"/>
      <c r="F1546" s="84"/>
      <c r="G1546" s="84"/>
      <c r="H1546" s="82"/>
      <c r="I1546" s="84"/>
      <c r="J1546" s="84"/>
      <c r="K1546" s="84"/>
      <c r="L1546" s="84"/>
      <c r="M1546" s="84"/>
      <c r="N1546" s="84"/>
      <c r="O1546" s="84"/>
      <c r="P1546" s="84"/>
      <c r="Q1546" s="84"/>
      <c r="R1546" s="84"/>
      <c r="S1546" s="84"/>
      <c r="T1546" s="84"/>
      <c r="U1546" s="84"/>
      <c r="V1546" s="84"/>
      <c r="W1546" s="84"/>
      <c r="X1546" s="84"/>
      <c r="Y1546" s="84"/>
      <c r="Z1546" s="87"/>
      <c r="AA1546" s="87"/>
      <c r="AB1546" s="87"/>
      <c r="AC1546" s="87"/>
      <c r="AD1546" s="87"/>
      <c r="AE1546" s="87"/>
      <c r="AF1546" s="87"/>
      <c r="AG1546" s="87"/>
      <c r="AH1546" s="87"/>
      <c r="AI1546" s="87"/>
      <c r="AJ1546" s="87"/>
      <c r="AK1546" s="87"/>
      <c r="AL1546" s="87"/>
      <c r="AM1546" s="87"/>
      <c r="AN1546" s="87"/>
      <c r="AO1546" s="87"/>
      <c r="AP1546" s="87"/>
      <c r="AQ1546" s="87"/>
      <c r="AR1546" s="87"/>
      <c r="AS1546" s="87"/>
      <c r="AT1546" s="87"/>
      <c r="AU1546" s="87"/>
      <c r="AV1546" s="87"/>
      <c r="AW1546" s="87"/>
      <c r="AX1546" s="87"/>
      <c r="AY1546" s="87"/>
      <c r="AZ1546" s="87"/>
      <c r="BA1546" s="87"/>
      <c r="BB1546" s="87"/>
      <c r="BC1546" s="87"/>
      <c r="BD1546" s="87"/>
      <c r="BE1546" s="87"/>
      <c r="BF1546" s="87"/>
      <c r="BG1546" s="87"/>
      <c r="BH1546" s="87"/>
    </row>
    <row r="1547" spans="1:60" ht="16">
      <c r="A1547" s="82"/>
      <c r="B1547" s="82"/>
      <c r="C1547" s="82"/>
      <c r="D1547" s="83"/>
      <c r="E1547" s="84"/>
      <c r="F1547" s="84"/>
      <c r="G1547" s="84"/>
      <c r="H1547" s="82"/>
      <c r="I1547" s="84"/>
      <c r="J1547" s="84"/>
      <c r="K1547" s="84"/>
      <c r="L1547" s="84"/>
      <c r="M1547" s="84"/>
      <c r="N1547" s="84"/>
      <c r="O1547" s="84"/>
      <c r="P1547" s="84"/>
      <c r="Q1547" s="84"/>
      <c r="R1547" s="84"/>
      <c r="S1547" s="84"/>
      <c r="T1547" s="84"/>
      <c r="U1547" s="84"/>
      <c r="V1547" s="84"/>
      <c r="W1547" s="84"/>
      <c r="X1547" s="84"/>
      <c r="Y1547" s="84"/>
      <c r="Z1547" s="87"/>
      <c r="AA1547" s="87"/>
      <c r="AB1547" s="87"/>
      <c r="AC1547" s="87"/>
      <c r="AD1547" s="87"/>
      <c r="AE1547" s="87"/>
      <c r="AF1547" s="87"/>
      <c r="AG1547" s="87"/>
      <c r="AH1547" s="87"/>
      <c r="AI1547" s="87"/>
      <c r="AJ1547" s="87"/>
      <c r="AK1547" s="87"/>
      <c r="AL1547" s="87"/>
      <c r="AM1547" s="87"/>
      <c r="AN1547" s="87"/>
      <c r="AO1547" s="87"/>
      <c r="AP1547" s="87"/>
      <c r="AQ1547" s="87"/>
      <c r="AR1547" s="87"/>
      <c r="AS1547" s="87"/>
      <c r="AT1547" s="87"/>
      <c r="AU1547" s="87"/>
      <c r="AV1547" s="87"/>
      <c r="AW1547" s="87"/>
      <c r="AX1547" s="87"/>
      <c r="AY1547" s="87"/>
      <c r="AZ1547" s="87"/>
      <c r="BA1547" s="87"/>
      <c r="BB1547" s="87"/>
      <c r="BC1547" s="87"/>
      <c r="BD1547" s="87"/>
      <c r="BE1547" s="87"/>
      <c r="BF1547" s="87"/>
      <c r="BG1547" s="87"/>
      <c r="BH1547" s="87"/>
    </row>
    <row r="1548" spans="1:60" ht="16">
      <c r="A1548" s="82"/>
      <c r="B1548" s="82"/>
      <c r="C1548" s="82"/>
      <c r="D1548" s="83"/>
      <c r="E1548" s="84"/>
      <c r="F1548" s="84"/>
      <c r="G1548" s="84"/>
      <c r="H1548" s="82"/>
      <c r="I1548" s="84"/>
      <c r="J1548" s="84"/>
      <c r="K1548" s="84"/>
      <c r="L1548" s="84"/>
      <c r="M1548" s="84"/>
      <c r="N1548" s="84"/>
      <c r="O1548" s="84"/>
      <c r="P1548" s="84"/>
      <c r="Q1548" s="84"/>
      <c r="R1548" s="84"/>
      <c r="S1548" s="84"/>
      <c r="T1548" s="84"/>
      <c r="U1548" s="84"/>
      <c r="V1548" s="84"/>
      <c r="W1548" s="84"/>
      <c r="X1548" s="84"/>
      <c r="Y1548" s="84"/>
      <c r="Z1548" s="87"/>
      <c r="AA1548" s="87"/>
      <c r="AB1548" s="87"/>
      <c r="AC1548" s="87"/>
      <c r="AD1548" s="87"/>
      <c r="AE1548" s="87"/>
      <c r="AF1548" s="87"/>
      <c r="AG1548" s="87"/>
      <c r="AH1548" s="87"/>
      <c r="AI1548" s="87"/>
      <c r="AJ1548" s="87"/>
      <c r="AK1548" s="87"/>
      <c r="AL1548" s="87"/>
      <c r="AM1548" s="87"/>
      <c r="AN1548" s="87"/>
      <c r="AO1548" s="87"/>
      <c r="AP1548" s="87"/>
      <c r="AQ1548" s="87"/>
      <c r="AR1548" s="87"/>
      <c r="AS1548" s="87"/>
      <c r="AT1548" s="87"/>
      <c r="AU1548" s="87"/>
      <c r="AV1548" s="87"/>
      <c r="AW1548" s="87"/>
      <c r="AX1548" s="87"/>
      <c r="AY1548" s="87"/>
      <c r="AZ1548" s="87"/>
      <c r="BA1548" s="87"/>
      <c r="BB1548" s="87"/>
      <c r="BC1548" s="87"/>
      <c r="BD1548" s="87"/>
      <c r="BE1548" s="87"/>
      <c r="BF1548" s="87"/>
      <c r="BG1548" s="87"/>
      <c r="BH1548" s="87"/>
    </row>
    <row r="1549" spans="1:60" ht="16">
      <c r="A1549" s="82"/>
      <c r="B1549" s="82"/>
      <c r="C1549" s="82"/>
      <c r="D1549" s="83"/>
      <c r="E1549" s="84"/>
      <c r="F1549" s="84"/>
      <c r="G1549" s="84"/>
      <c r="H1549" s="82"/>
      <c r="I1549" s="84"/>
      <c r="J1549" s="84"/>
      <c r="K1549" s="84"/>
      <c r="L1549" s="84"/>
      <c r="M1549" s="84"/>
      <c r="N1549" s="84"/>
      <c r="O1549" s="84"/>
      <c r="P1549" s="84"/>
      <c r="Q1549" s="84"/>
      <c r="R1549" s="84"/>
      <c r="S1549" s="84"/>
      <c r="T1549" s="84"/>
      <c r="U1549" s="84"/>
      <c r="V1549" s="84"/>
      <c r="W1549" s="84"/>
      <c r="X1549" s="84"/>
      <c r="Y1549" s="84"/>
      <c r="Z1549" s="87"/>
      <c r="AA1549" s="87"/>
      <c r="AB1549" s="87"/>
      <c r="AC1549" s="87"/>
      <c r="AD1549" s="87"/>
      <c r="AE1549" s="87"/>
      <c r="AF1549" s="87"/>
      <c r="AG1549" s="87"/>
      <c r="AH1549" s="87"/>
      <c r="AI1549" s="87"/>
      <c r="AJ1549" s="87"/>
      <c r="AK1549" s="87"/>
      <c r="AL1549" s="87"/>
      <c r="AM1549" s="87"/>
      <c r="AN1549" s="87"/>
      <c r="AO1549" s="87"/>
      <c r="AP1549" s="87"/>
      <c r="AQ1549" s="87"/>
      <c r="AR1549" s="87"/>
      <c r="AS1549" s="87"/>
      <c r="AT1549" s="87"/>
      <c r="AU1549" s="87"/>
      <c r="AV1549" s="87"/>
      <c r="AW1549" s="87"/>
      <c r="AX1549" s="87"/>
      <c r="AY1549" s="87"/>
      <c r="AZ1549" s="87"/>
      <c r="BA1549" s="87"/>
      <c r="BB1549" s="87"/>
      <c r="BC1549" s="87"/>
      <c r="BD1549" s="87"/>
      <c r="BE1549" s="87"/>
      <c r="BF1549" s="87"/>
      <c r="BG1549" s="87"/>
      <c r="BH1549" s="87"/>
    </row>
    <row r="1550" spans="1:60" ht="16">
      <c r="A1550" s="82"/>
      <c r="B1550" s="82"/>
      <c r="C1550" s="82"/>
      <c r="D1550" s="83"/>
      <c r="E1550" s="84"/>
      <c r="F1550" s="84"/>
      <c r="G1550" s="84"/>
      <c r="H1550" s="82"/>
      <c r="I1550" s="84"/>
      <c r="J1550" s="84"/>
      <c r="K1550" s="84"/>
      <c r="L1550" s="84"/>
      <c r="M1550" s="84"/>
      <c r="N1550" s="84"/>
      <c r="O1550" s="84"/>
      <c r="P1550" s="84"/>
      <c r="Q1550" s="84"/>
      <c r="R1550" s="84"/>
      <c r="S1550" s="84"/>
      <c r="T1550" s="84"/>
      <c r="U1550" s="84"/>
      <c r="V1550" s="84"/>
      <c r="W1550" s="84"/>
      <c r="X1550" s="84"/>
      <c r="Y1550" s="84"/>
      <c r="Z1550" s="87"/>
      <c r="AA1550" s="87"/>
      <c r="AB1550" s="87"/>
      <c r="AC1550" s="87"/>
      <c r="AD1550" s="87"/>
      <c r="AE1550" s="87"/>
      <c r="AF1550" s="87"/>
      <c r="AG1550" s="87"/>
      <c r="AH1550" s="87"/>
      <c r="AI1550" s="87"/>
      <c r="AJ1550" s="87"/>
      <c r="AK1550" s="87"/>
      <c r="AL1550" s="87"/>
      <c r="AM1550" s="87"/>
      <c r="AN1550" s="87"/>
      <c r="AO1550" s="87"/>
      <c r="AP1550" s="87"/>
      <c r="AQ1550" s="87"/>
      <c r="AR1550" s="87"/>
      <c r="AS1550" s="87"/>
      <c r="AT1550" s="87"/>
      <c r="AU1550" s="87"/>
      <c r="AV1550" s="87"/>
      <c r="AW1550" s="87"/>
      <c r="AX1550" s="87"/>
      <c r="AY1550" s="87"/>
      <c r="AZ1550" s="87"/>
      <c r="BA1550" s="87"/>
      <c r="BB1550" s="87"/>
      <c r="BC1550" s="87"/>
      <c r="BD1550" s="87"/>
      <c r="BE1550" s="87"/>
      <c r="BF1550" s="87"/>
      <c r="BG1550" s="87"/>
      <c r="BH1550" s="87"/>
    </row>
    <row r="1551" spans="1:60" ht="16">
      <c r="A1551" s="82"/>
      <c r="B1551" s="82"/>
      <c r="C1551" s="82"/>
      <c r="D1551" s="83"/>
      <c r="E1551" s="84"/>
      <c r="F1551" s="84"/>
      <c r="G1551" s="84"/>
      <c r="H1551" s="82"/>
      <c r="I1551" s="84"/>
      <c r="J1551" s="84"/>
      <c r="K1551" s="84"/>
      <c r="L1551" s="84"/>
      <c r="M1551" s="84"/>
      <c r="N1551" s="84"/>
      <c r="O1551" s="84"/>
      <c r="P1551" s="84"/>
      <c r="Q1551" s="84"/>
      <c r="R1551" s="84"/>
      <c r="S1551" s="84"/>
      <c r="T1551" s="84"/>
      <c r="U1551" s="84"/>
      <c r="V1551" s="84"/>
      <c r="W1551" s="84"/>
      <c r="X1551" s="84"/>
      <c r="Y1551" s="84"/>
      <c r="Z1551" s="87"/>
      <c r="AA1551" s="87"/>
      <c r="AB1551" s="87"/>
      <c r="AC1551" s="87"/>
      <c r="AD1551" s="87"/>
      <c r="AE1551" s="87"/>
      <c r="AF1551" s="87"/>
      <c r="AG1551" s="87"/>
      <c r="AH1551" s="87"/>
      <c r="AI1551" s="87"/>
      <c r="AJ1551" s="87"/>
      <c r="AK1551" s="87"/>
      <c r="AL1551" s="87"/>
      <c r="AM1551" s="87"/>
      <c r="AN1551" s="87"/>
      <c r="AO1551" s="87"/>
      <c r="AP1551" s="87"/>
      <c r="AQ1551" s="87"/>
      <c r="AR1551" s="87"/>
      <c r="AS1551" s="87"/>
      <c r="AT1551" s="87"/>
      <c r="AU1551" s="87"/>
      <c r="AV1551" s="87"/>
      <c r="AW1551" s="87"/>
      <c r="AX1551" s="87"/>
      <c r="AY1551" s="87"/>
      <c r="AZ1551" s="87"/>
      <c r="BA1551" s="87"/>
      <c r="BB1551" s="87"/>
      <c r="BC1551" s="87"/>
      <c r="BD1551" s="87"/>
      <c r="BE1551" s="87"/>
      <c r="BF1551" s="87"/>
      <c r="BG1551" s="87"/>
      <c r="BH1551" s="87"/>
    </row>
    <row r="1552" spans="1:60" ht="16">
      <c r="A1552" s="82"/>
      <c r="B1552" s="82"/>
      <c r="C1552" s="82"/>
      <c r="D1552" s="83"/>
      <c r="E1552" s="84"/>
      <c r="F1552" s="84"/>
      <c r="G1552" s="84"/>
      <c r="H1552" s="82"/>
      <c r="I1552" s="84"/>
      <c r="J1552" s="84"/>
      <c r="K1552" s="84"/>
      <c r="L1552" s="84"/>
      <c r="M1552" s="84"/>
      <c r="N1552" s="84"/>
      <c r="O1552" s="84"/>
      <c r="P1552" s="84"/>
      <c r="Q1552" s="84"/>
      <c r="R1552" s="84"/>
      <c r="S1552" s="84"/>
      <c r="T1552" s="84"/>
      <c r="U1552" s="84"/>
      <c r="V1552" s="84"/>
      <c r="W1552" s="84"/>
      <c r="X1552" s="84"/>
      <c r="Y1552" s="84"/>
      <c r="Z1552" s="87"/>
      <c r="AA1552" s="87"/>
      <c r="AB1552" s="87"/>
      <c r="AC1552" s="87"/>
      <c r="AD1552" s="87"/>
      <c r="AE1552" s="87"/>
      <c r="AF1552" s="87"/>
      <c r="AG1552" s="87"/>
      <c r="AH1552" s="87"/>
      <c r="AI1552" s="87"/>
      <c r="AJ1552" s="87"/>
      <c r="AK1552" s="87"/>
      <c r="AL1552" s="87"/>
      <c r="AM1552" s="87"/>
      <c r="AN1552" s="87"/>
      <c r="AO1552" s="87"/>
      <c r="AP1552" s="87"/>
      <c r="AQ1552" s="87"/>
      <c r="AR1552" s="87"/>
      <c r="AS1552" s="87"/>
      <c r="AT1552" s="87"/>
      <c r="AU1552" s="87"/>
      <c r="AV1552" s="87"/>
      <c r="AW1552" s="87"/>
      <c r="AX1552" s="87"/>
      <c r="AY1552" s="87"/>
      <c r="AZ1552" s="87"/>
      <c r="BA1552" s="87"/>
      <c r="BB1552" s="87"/>
      <c r="BC1552" s="87"/>
      <c r="BD1552" s="87"/>
      <c r="BE1552" s="87"/>
      <c r="BF1552" s="87"/>
      <c r="BG1552" s="87"/>
      <c r="BH1552" s="87"/>
    </row>
    <row r="1553" spans="1:60" ht="16">
      <c r="A1553" s="82"/>
      <c r="B1553" s="82"/>
      <c r="C1553" s="82"/>
      <c r="D1553" s="83"/>
      <c r="E1553" s="84"/>
      <c r="F1553" s="84"/>
      <c r="G1553" s="84"/>
      <c r="H1553" s="82"/>
      <c r="I1553" s="84"/>
      <c r="J1553" s="84"/>
      <c r="K1553" s="84"/>
      <c r="L1553" s="84"/>
      <c r="M1553" s="84"/>
      <c r="N1553" s="84"/>
      <c r="O1553" s="84"/>
      <c r="P1553" s="84"/>
      <c r="Q1553" s="84"/>
      <c r="R1553" s="84"/>
      <c r="S1553" s="84"/>
      <c r="T1553" s="84"/>
      <c r="U1553" s="84"/>
      <c r="V1553" s="84"/>
      <c r="W1553" s="84"/>
      <c r="X1553" s="84"/>
      <c r="Y1553" s="84"/>
      <c r="Z1553" s="87"/>
      <c r="AA1553" s="87"/>
      <c r="AB1553" s="87"/>
      <c r="AC1553" s="87"/>
      <c r="AD1553" s="87"/>
      <c r="AE1553" s="87"/>
      <c r="AF1553" s="87"/>
      <c r="AG1553" s="87"/>
      <c r="AH1553" s="87"/>
      <c r="AI1553" s="87"/>
      <c r="AJ1553" s="87"/>
      <c r="AK1553" s="87"/>
      <c r="AL1553" s="87"/>
      <c r="AM1553" s="87"/>
      <c r="AN1553" s="87"/>
      <c r="AO1553" s="87"/>
      <c r="AP1553" s="87"/>
      <c r="AQ1553" s="87"/>
      <c r="AR1553" s="87"/>
      <c r="AS1553" s="87"/>
      <c r="AT1553" s="87"/>
      <c r="AU1553" s="87"/>
      <c r="AV1553" s="87"/>
      <c r="AW1553" s="87"/>
      <c r="AX1553" s="87"/>
      <c r="AY1553" s="87"/>
      <c r="AZ1553" s="87"/>
      <c r="BA1553" s="87"/>
      <c r="BB1553" s="87"/>
      <c r="BC1553" s="87"/>
      <c r="BD1553" s="87"/>
      <c r="BE1553" s="87"/>
      <c r="BF1553" s="87"/>
      <c r="BG1553" s="87"/>
      <c r="BH1553" s="87"/>
    </row>
    <row r="1554" spans="1:60" ht="16">
      <c r="A1554" s="82"/>
      <c r="B1554" s="82"/>
      <c r="C1554" s="82"/>
      <c r="D1554" s="83"/>
      <c r="E1554" s="84"/>
      <c r="F1554" s="84"/>
      <c r="G1554" s="84"/>
      <c r="H1554" s="82"/>
      <c r="I1554" s="84"/>
      <c r="J1554" s="84"/>
      <c r="K1554" s="84"/>
      <c r="L1554" s="84"/>
      <c r="M1554" s="84"/>
      <c r="N1554" s="84"/>
      <c r="O1554" s="84"/>
      <c r="P1554" s="84"/>
      <c r="Q1554" s="84"/>
      <c r="R1554" s="84"/>
      <c r="S1554" s="84"/>
      <c r="T1554" s="84"/>
      <c r="U1554" s="84"/>
      <c r="V1554" s="84"/>
      <c r="W1554" s="84"/>
      <c r="X1554" s="84"/>
      <c r="Y1554" s="84"/>
      <c r="Z1554" s="87"/>
      <c r="AA1554" s="87"/>
      <c r="AB1554" s="87"/>
      <c r="AC1554" s="87"/>
      <c r="AD1554" s="87"/>
      <c r="AE1554" s="87"/>
      <c r="AF1554" s="87"/>
      <c r="AG1554" s="87"/>
      <c r="AH1554" s="87"/>
      <c r="AI1554" s="87"/>
      <c r="AJ1554" s="87"/>
      <c r="AK1554" s="87"/>
      <c r="AL1554" s="87"/>
      <c r="AM1554" s="87"/>
      <c r="AN1554" s="87"/>
      <c r="AO1554" s="87"/>
      <c r="AP1554" s="87"/>
      <c r="AQ1554" s="87"/>
      <c r="AR1554" s="87"/>
      <c r="AS1554" s="87"/>
      <c r="AT1554" s="87"/>
      <c r="AU1554" s="87"/>
      <c r="AV1554" s="87"/>
      <c r="AW1554" s="87"/>
      <c r="AX1554" s="87"/>
      <c r="AY1554" s="87"/>
      <c r="AZ1554" s="87"/>
      <c r="BA1554" s="87"/>
      <c r="BB1554" s="87"/>
      <c r="BC1554" s="87"/>
      <c r="BD1554" s="87"/>
      <c r="BE1554" s="87"/>
      <c r="BF1554" s="87"/>
      <c r="BG1554" s="87"/>
      <c r="BH1554" s="87"/>
    </row>
    <row r="1555" spans="1:60" ht="16">
      <c r="A1555" s="82"/>
      <c r="B1555" s="82"/>
      <c r="C1555" s="82"/>
      <c r="D1555" s="83"/>
      <c r="E1555" s="84"/>
      <c r="F1555" s="84"/>
      <c r="G1555" s="84"/>
      <c r="H1555" s="82"/>
      <c r="I1555" s="84"/>
      <c r="J1555" s="84"/>
      <c r="K1555" s="84"/>
      <c r="L1555" s="84"/>
      <c r="M1555" s="84"/>
      <c r="N1555" s="84"/>
      <c r="O1555" s="84"/>
      <c r="P1555" s="84"/>
      <c r="Q1555" s="84"/>
      <c r="R1555" s="84"/>
      <c r="S1555" s="84"/>
      <c r="T1555" s="84"/>
      <c r="U1555" s="84"/>
      <c r="V1555" s="84"/>
      <c r="W1555" s="84"/>
      <c r="X1555" s="84"/>
      <c r="Y1555" s="84"/>
      <c r="Z1555" s="87"/>
      <c r="AA1555" s="87"/>
      <c r="AB1555" s="87"/>
      <c r="AC1555" s="87"/>
      <c r="AD1555" s="87"/>
      <c r="AE1555" s="87"/>
      <c r="AF1555" s="87"/>
      <c r="AG1555" s="87"/>
      <c r="AH1555" s="87"/>
      <c r="AI1555" s="87"/>
      <c r="AJ1555" s="87"/>
      <c r="AK1555" s="87"/>
      <c r="AL1555" s="87"/>
      <c r="AM1555" s="87"/>
      <c r="AN1555" s="87"/>
      <c r="AO1555" s="87"/>
      <c r="AP1555" s="87"/>
      <c r="AQ1555" s="87"/>
      <c r="AR1555" s="87"/>
      <c r="AS1555" s="87"/>
      <c r="AT1555" s="87"/>
      <c r="AU1555" s="87"/>
      <c r="AV1555" s="87"/>
      <c r="AW1555" s="87"/>
      <c r="AX1555" s="87"/>
      <c r="AY1555" s="87"/>
      <c r="AZ1555" s="87"/>
      <c r="BA1555" s="87"/>
      <c r="BB1555" s="87"/>
      <c r="BC1555" s="87"/>
      <c r="BD1555" s="87"/>
      <c r="BE1555" s="87"/>
      <c r="BF1555" s="87"/>
      <c r="BG1555" s="87"/>
      <c r="BH1555" s="87"/>
    </row>
    <row r="1556" spans="1:60" ht="16">
      <c r="A1556" s="82"/>
      <c r="B1556" s="82"/>
      <c r="C1556" s="82"/>
      <c r="D1556" s="83"/>
      <c r="E1556" s="84"/>
      <c r="F1556" s="84"/>
      <c r="G1556" s="84"/>
      <c r="H1556" s="82"/>
      <c r="I1556" s="84"/>
      <c r="J1556" s="84"/>
      <c r="K1556" s="84"/>
      <c r="L1556" s="84"/>
      <c r="M1556" s="84"/>
      <c r="N1556" s="84"/>
      <c r="O1556" s="84"/>
      <c r="P1556" s="84"/>
      <c r="Q1556" s="84"/>
      <c r="R1556" s="84"/>
      <c r="S1556" s="84"/>
      <c r="T1556" s="84"/>
      <c r="U1556" s="84"/>
      <c r="V1556" s="84"/>
      <c r="W1556" s="84"/>
      <c r="X1556" s="84"/>
      <c r="Y1556" s="84"/>
      <c r="Z1556" s="87"/>
      <c r="AA1556" s="87"/>
      <c r="AB1556" s="87"/>
      <c r="AC1556" s="87"/>
      <c r="AD1556" s="87"/>
      <c r="AE1556" s="87"/>
      <c r="AF1556" s="87"/>
      <c r="AG1556" s="87"/>
      <c r="AH1556" s="87"/>
      <c r="AI1556" s="87"/>
      <c r="AJ1556" s="87"/>
      <c r="AK1556" s="87"/>
      <c r="AL1556" s="87"/>
      <c r="AM1556" s="87"/>
      <c r="AN1556" s="87"/>
      <c r="AO1556" s="87"/>
      <c r="AP1556" s="87"/>
      <c r="AQ1556" s="87"/>
      <c r="AR1556" s="87"/>
      <c r="AS1556" s="87"/>
      <c r="AT1556" s="87"/>
      <c r="AU1556" s="87"/>
      <c r="AV1556" s="87"/>
      <c r="AW1556" s="87"/>
      <c r="AX1556" s="87"/>
      <c r="AY1556" s="87"/>
      <c r="AZ1556" s="87"/>
      <c r="BA1556" s="87"/>
      <c r="BB1556" s="87"/>
      <c r="BC1556" s="87"/>
      <c r="BD1556" s="87"/>
      <c r="BE1556" s="87"/>
      <c r="BF1556" s="87"/>
      <c r="BG1556" s="87"/>
      <c r="BH1556" s="87"/>
    </row>
    <row r="1557" spans="1:60" ht="16">
      <c r="A1557" s="82"/>
      <c r="B1557" s="82"/>
      <c r="C1557" s="82"/>
      <c r="D1557" s="83"/>
      <c r="E1557" s="84"/>
      <c r="F1557" s="84"/>
      <c r="G1557" s="84"/>
      <c r="H1557" s="82"/>
      <c r="I1557" s="84"/>
      <c r="J1557" s="84"/>
      <c r="K1557" s="84"/>
      <c r="L1557" s="84"/>
      <c r="M1557" s="84"/>
      <c r="N1557" s="84"/>
      <c r="O1557" s="84"/>
      <c r="P1557" s="84"/>
      <c r="Q1557" s="84"/>
      <c r="R1557" s="84"/>
      <c r="S1557" s="84"/>
      <c r="T1557" s="84"/>
      <c r="U1557" s="84"/>
      <c r="V1557" s="84"/>
      <c r="W1557" s="84"/>
      <c r="X1557" s="84"/>
      <c r="Y1557" s="84"/>
      <c r="Z1557" s="87"/>
      <c r="AA1557" s="87"/>
      <c r="AB1557" s="87"/>
      <c r="AC1557" s="87"/>
      <c r="AD1557" s="87"/>
      <c r="AE1557" s="87"/>
      <c r="AF1557" s="87"/>
      <c r="AG1557" s="87"/>
      <c r="AH1557" s="87"/>
      <c r="AI1557" s="87"/>
      <c r="AJ1557" s="87"/>
      <c r="AK1557" s="87"/>
      <c r="AL1557" s="87"/>
      <c r="AM1557" s="87"/>
      <c r="AN1557" s="87"/>
      <c r="AO1557" s="87"/>
      <c r="AP1557" s="87"/>
      <c r="AQ1557" s="87"/>
      <c r="AR1557" s="87"/>
      <c r="AS1557" s="87"/>
      <c r="AT1557" s="87"/>
      <c r="AU1557" s="87"/>
      <c r="AV1557" s="87"/>
      <c r="AW1557" s="87"/>
      <c r="AX1557" s="87"/>
      <c r="AY1557" s="87"/>
      <c r="AZ1557" s="87"/>
      <c r="BA1557" s="87"/>
      <c r="BB1557" s="87"/>
      <c r="BC1557" s="87"/>
      <c r="BD1557" s="87"/>
      <c r="BE1557" s="87"/>
      <c r="BF1557" s="87"/>
      <c r="BG1557" s="87"/>
      <c r="BH1557" s="87"/>
    </row>
    <row r="1558" spans="1:60" ht="16">
      <c r="A1558" s="82"/>
      <c r="B1558" s="82"/>
      <c r="C1558" s="82"/>
      <c r="D1558" s="83"/>
      <c r="E1558" s="84"/>
      <c r="F1558" s="84"/>
      <c r="G1558" s="84"/>
      <c r="H1558" s="82"/>
      <c r="I1558" s="84"/>
      <c r="J1558" s="84"/>
      <c r="K1558" s="84"/>
      <c r="L1558" s="84"/>
      <c r="M1558" s="84"/>
      <c r="N1558" s="84"/>
      <c r="O1558" s="84"/>
      <c r="P1558" s="84"/>
      <c r="Q1558" s="84"/>
      <c r="R1558" s="84"/>
      <c r="S1558" s="84"/>
      <c r="T1558" s="84"/>
      <c r="U1558" s="84"/>
      <c r="V1558" s="84"/>
      <c r="W1558" s="84"/>
      <c r="X1558" s="84"/>
      <c r="Y1558" s="84"/>
      <c r="Z1558" s="87"/>
      <c r="AA1558" s="87"/>
      <c r="AB1558" s="87"/>
      <c r="AC1558" s="87"/>
      <c r="AD1558" s="87"/>
      <c r="AE1558" s="87"/>
      <c r="AF1558" s="87"/>
      <c r="AG1558" s="87"/>
      <c r="AH1558" s="87"/>
      <c r="AI1558" s="87"/>
      <c r="AJ1558" s="87"/>
      <c r="AK1558" s="87"/>
      <c r="AL1558" s="87"/>
      <c r="AM1558" s="87"/>
      <c r="AN1558" s="87"/>
      <c r="AO1558" s="87"/>
      <c r="AP1558" s="87"/>
      <c r="AQ1558" s="87"/>
      <c r="AR1558" s="87"/>
      <c r="AS1558" s="87"/>
      <c r="AT1558" s="87"/>
      <c r="AU1558" s="87"/>
      <c r="AV1558" s="87"/>
      <c r="AW1558" s="87"/>
      <c r="AX1558" s="87"/>
      <c r="AY1558" s="87"/>
      <c r="AZ1558" s="87"/>
      <c r="BA1558" s="87"/>
      <c r="BB1558" s="87"/>
      <c r="BC1558" s="87"/>
      <c r="BD1558" s="87"/>
      <c r="BE1558" s="87"/>
      <c r="BF1558" s="87"/>
      <c r="BG1558" s="87"/>
      <c r="BH1558" s="87"/>
    </row>
    <row r="1559" spans="1:60" ht="16">
      <c r="A1559" s="82"/>
      <c r="B1559" s="82"/>
      <c r="C1559" s="82"/>
      <c r="D1559" s="83"/>
      <c r="E1559" s="84"/>
      <c r="F1559" s="84"/>
      <c r="G1559" s="84"/>
      <c r="H1559" s="82"/>
      <c r="I1559" s="84"/>
      <c r="J1559" s="84"/>
      <c r="K1559" s="84"/>
      <c r="L1559" s="84"/>
      <c r="M1559" s="84"/>
      <c r="N1559" s="84"/>
      <c r="O1559" s="84"/>
      <c r="P1559" s="84"/>
      <c r="Q1559" s="84"/>
      <c r="R1559" s="84"/>
      <c r="S1559" s="84"/>
      <c r="T1559" s="84"/>
      <c r="U1559" s="84"/>
      <c r="V1559" s="84"/>
      <c r="W1559" s="84"/>
      <c r="X1559" s="84"/>
      <c r="Y1559" s="84"/>
      <c r="Z1559" s="87"/>
      <c r="AA1559" s="87"/>
      <c r="AB1559" s="87"/>
      <c r="AC1559" s="87"/>
      <c r="AD1559" s="87"/>
      <c r="AE1559" s="87"/>
      <c r="AF1559" s="87"/>
      <c r="AG1559" s="87"/>
      <c r="AH1559" s="87"/>
      <c r="AI1559" s="87"/>
      <c r="AJ1559" s="87"/>
      <c r="AK1559" s="87"/>
      <c r="AL1559" s="87"/>
      <c r="AM1559" s="87"/>
      <c r="AN1559" s="87"/>
      <c r="AO1559" s="87"/>
      <c r="AP1559" s="87"/>
      <c r="AQ1559" s="87"/>
      <c r="AR1559" s="87"/>
      <c r="AS1559" s="87"/>
      <c r="AT1559" s="87"/>
      <c r="AU1559" s="87"/>
      <c r="AV1559" s="87"/>
      <c r="AW1559" s="87"/>
      <c r="AX1559" s="87"/>
      <c r="AY1559" s="87"/>
      <c r="AZ1559" s="87"/>
      <c r="BA1559" s="87"/>
      <c r="BB1559" s="87"/>
      <c r="BC1559" s="87"/>
      <c r="BD1559" s="87"/>
      <c r="BE1559" s="87"/>
      <c r="BF1559" s="87"/>
      <c r="BG1559" s="87"/>
      <c r="BH1559" s="87"/>
    </row>
    <row r="1560" spans="1:60" ht="16">
      <c r="A1560" s="82"/>
      <c r="B1560" s="82"/>
      <c r="C1560" s="82"/>
      <c r="D1560" s="83"/>
      <c r="E1560" s="84"/>
      <c r="F1560" s="84"/>
      <c r="G1560" s="84"/>
      <c r="H1560" s="82"/>
      <c r="I1560" s="84"/>
      <c r="J1560" s="84"/>
      <c r="K1560" s="84"/>
      <c r="L1560" s="84"/>
      <c r="M1560" s="84"/>
      <c r="N1560" s="84"/>
      <c r="O1560" s="84"/>
      <c r="P1560" s="84"/>
      <c r="Q1560" s="84"/>
      <c r="R1560" s="84"/>
      <c r="S1560" s="84"/>
      <c r="T1560" s="84"/>
      <c r="U1560" s="84"/>
      <c r="V1560" s="84"/>
      <c r="W1560" s="84"/>
      <c r="X1560" s="84"/>
      <c r="Y1560" s="84"/>
      <c r="Z1560" s="87"/>
      <c r="AA1560" s="87"/>
      <c r="AB1560" s="87"/>
      <c r="AC1560" s="87"/>
      <c r="AD1560" s="87"/>
      <c r="AE1560" s="87"/>
      <c r="AF1560" s="87"/>
      <c r="AG1560" s="87"/>
      <c r="AH1560" s="87"/>
      <c r="AI1560" s="87"/>
      <c r="AJ1560" s="87"/>
      <c r="AK1560" s="87"/>
      <c r="AL1560" s="87"/>
      <c r="AM1560" s="87"/>
      <c r="AN1560" s="87"/>
      <c r="AO1560" s="87"/>
      <c r="AP1560" s="87"/>
      <c r="AQ1560" s="87"/>
      <c r="AR1560" s="87"/>
      <c r="AS1560" s="87"/>
      <c r="AT1560" s="87"/>
      <c r="AU1560" s="87"/>
      <c r="AV1560" s="87"/>
      <c r="AW1560" s="87"/>
      <c r="AX1560" s="87"/>
      <c r="AY1560" s="87"/>
      <c r="AZ1560" s="87"/>
      <c r="BA1560" s="87"/>
      <c r="BB1560" s="87"/>
      <c r="BC1560" s="87"/>
      <c r="BD1560" s="87"/>
      <c r="BE1560" s="87"/>
      <c r="BF1560" s="87"/>
      <c r="BG1560" s="87"/>
      <c r="BH1560" s="87"/>
    </row>
    <row r="1561" spans="1:60" ht="16">
      <c r="A1561" s="82"/>
      <c r="B1561" s="82"/>
      <c r="C1561" s="82"/>
      <c r="D1561" s="83"/>
      <c r="E1561" s="84"/>
      <c r="F1561" s="84"/>
      <c r="G1561" s="84"/>
      <c r="H1561" s="82"/>
      <c r="I1561" s="84"/>
      <c r="J1561" s="84"/>
      <c r="K1561" s="84"/>
      <c r="L1561" s="84"/>
      <c r="M1561" s="84"/>
      <c r="N1561" s="84"/>
      <c r="O1561" s="84"/>
      <c r="P1561" s="84"/>
      <c r="Q1561" s="84"/>
      <c r="R1561" s="84"/>
      <c r="S1561" s="84"/>
      <c r="T1561" s="84"/>
      <c r="U1561" s="84"/>
      <c r="V1561" s="84"/>
      <c r="W1561" s="84"/>
      <c r="X1561" s="84"/>
      <c r="Y1561" s="84"/>
      <c r="Z1561" s="87"/>
      <c r="AA1561" s="87"/>
      <c r="AB1561" s="87"/>
      <c r="AC1561" s="87"/>
      <c r="AD1561" s="87"/>
      <c r="AE1561" s="87"/>
      <c r="AF1561" s="87"/>
      <c r="AG1561" s="87"/>
      <c r="AH1561" s="87"/>
      <c r="AI1561" s="87"/>
      <c r="AJ1561" s="87"/>
      <c r="AK1561" s="87"/>
      <c r="AL1561" s="87"/>
      <c r="AM1561" s="87"/>
      <c r="AN1561" s="87"/>
      <c r="AO1561" s="87"/>
      <c r="AP1561" s="87"/>
      <c r="AQ1561" s="87"/>
      <c r="AR1561" s="87"/>
      <c r="AS1561" s="87"/>
      <c r="AT1561" s="87"/>
      <c r="AU1561" s="87"/>
      <c r="AV1561" s="87"/>
      <c r="AW1561" s="87"/>
      <c r="AX1561" s="87"/>
      <c r="AY1561" s="87"/>
      <c r="AZ1561" s="87"/>
      <c r="BA1561" s="87"/>
      <c r="BB1561" s="87"/>
      <c r="BC1561" s="87"/>
      <c r="BD1561" s="87"/>
      <c r="BE1561" s="87"/>
      <c r="BF1561" s="87"/>
      <c r="BG1561" s="87"/>
      <c r="BH1561" s="87"/>
    </row>
    <row r="1562" spans="1:60" ht="16">
      <c r="A1562" s="82"/>
      <c r="B1562" s="82"/>
      <c r="C1562" s="82"/>
      <c r="D1562" s="83"/>
      <c r="E1562" s="84"/>
      <c r="F1562" s="84"/>
      <c r="G1562" s="84"/>
      <c r="H1562" s="82"/>
      <c r="I1562" s="84"/>
      <c r="J1562" s="84"/>
      <c r="K1562" s="84"/>
      <c r="L1562" s="84"/>
      <c r="M1562" s="84"/>
      <c r="N1562" s="84"/>
      <c r="O1562" s="84"/>
      <c r="P1562" s="84"/>
      <c r="Q1562" s="84"/>
      <c r="R1562" s="84"/>
      <c r="S1562" s="84"/>
      <c r="T1562" s="84"/>
      <c r="U1562" s="84"/>
      <c r="V1562" s="84"/>
      <c r="W1562" s="84"/>
      <c r="X1562" s="84"/>
      <c r="Y1562" s="84"/>
      <c r="Z1562" s="87"/>
      <c r="AA1562" s="87"/>
      <c r="AB1562" s="87"/>
      <c r="AC1562" s="87"/>
      <c r="AD1562" s="87"/>
      <c r="AE1562" s="87"/>
      <c r="AF1562" s="87"/>
      <c r="AG1562" s="87"/>
      <c r="AH1562" s="87"/>
      <c r="AI1562" s="87"/>
      <c r="AJ1562" s="87"/>
      <c r="AK1562" s="87"/>
      <c r="AL1562" s="87"/>
      <c r="AM1562" s="87"/>
      <c r="AN1562" s="87"/>
      <c r="AO1562" s="87"/>
      <c r="AP1562" s="87"/>
      <c r="AQ1562" s="87"/>
      <c r="AR1562" s="87"/>
      <c r="AS1562" s="87"/>
      <c r="AT1562" s="87"/>
      <c r="AU1562" s="87"/>
      <c r="AV1562" s="87"/>
      <c r="AW1562" s="87"/>
      <c r="AX1562" s="87"/>
      <c r="AY1562" s="87"/>
      <c r="AZ1562" s="87"/>
      <c r="BA1562" s="87"/>
      <c r="BB1562" s="87"/>
      <c r="BC1562" s="87"/>
      <c r="BD1562" s="87"/>
      <c r="BE1562" s="87"/>
      <c r="BF1562" s="87"/>
      <c r="BG1562" s="87"/>
      <c r="BH1562" s="87"/>
    </row>
    <row r="1563" spans="1:60" ht="16">
      <c r="A1563" s="82"/>
      <c r="B1563" s="82"/>
      <c r="C1563" s="82"/>
      <c r="D1563" s="83"/>
      <c r="E1563" s="84"/>
      <c r="F1563" s="84"/>
      <c r="G1563" s="84"/>
      <c r="H1563" s="82"/>
      <c r="I1563" s="84"/>
      <c r="J1563" s="84"/>
      <c r="K1563" s="84"/>
      <c r="L1563" s="84"/>
      <c r="M1563" s="84"/>
      <c r="N1563" s="84"/>
      <c r="O1563" s="84"/>
      <c r="P1563" s="84"/>
      <c r="Q1563" s="84"/>
      <c r="R1563" s="84"/>
      <c r="S1563" s="84"/>
      <c r="T1563" s="84"/>
      <c r="U1563" s="84"/>
      <c r="V1563" s="84"/>
      <c r="W1563" s="84"/>
      <c r="X1563" s="84"/>
      <c r="Y1563" s="84"/>
      <c r="Z1563" s="87"/>
      <c r="AA1563" s="87"/>
      <c r="AB1563" s="87"/>
      <c r="AC1563" s="87"/>
      <c r="AD1563" s="87"/>
      <c r="AE1563" s="87"/>
      <c r="AF1563" s="87"/>
      <c r="AG1563" s="87"/>
      <c r="AH1563" s="87"/>
      <c r="AI1563" s="87"/>
      <c r="AJ1563" s="87"/>
      <c r="AK1563" s="87"/>
      <c r="AL1563" s="87"/>
      <c r="AM1563" s="87"/>
      <c r="AN1563" s="87"/>
      <c r="AO1563" s="87"/>
      <c r="AP1563" s="87"/>
      <c r="AQ1563" s="87"/>
      <c r="AR1563" s="87"/>
      <c r="AS1563" s="87"/>
      <c r="AT1563" s="87"/>
      <c r="AU1563" s="87"/>
      <c r="AV1563" s="87"/>
      <c r="AW1563" s="87"/>
      <c r="AX1563" s="87"/>
      <c r="AY1563" s="87"/>
      <c r="AZ1563" s="87"/>
      <c r="BA1563" s="87"/>
      <c r="BB1563" s="87"/>
      <c r="BC1563" s="87"/>
      <c r="BD1563" s="87"/>
      <c r="BE1563" s="87"/>
      <c r="BF1563" s="87"/>
      <c r="BG1563" s="87"/>
      <c r="BH1563" s="87"/>
    </row>
    <row r="1564" spans="1:60" ht="16">
      <c r="A1564" s="82"/>
      <c r="B1564" s="82"/>
      <c r="C1564" s="82"/>
      <c r="D1564" s="83"/>
      <c r="E1564" s="84"/>
      <c r="F1564" s="84"/>
      <c r="G1564" s="84"/>
      <c r="H1564" s="82"/>
      <c r="I1564" s="84"/>
      <c r="J1564" s="84"/>
      <c r="K1564" s="84"/>
      <c r="L1564" s="84"/>
      <c r="M1564" s="84"/>
      <c r="N1564" s="84"/>
      <c r="O1564" s="84"/>
      <c r="P1564" s="84"/>
      <c r="Q1564" s="84"/>
      <c r="R1564" s="84"/>
      <c r="S1564" s="84"/>
      <c r="T1564" s="84"/>
      <c r="U1564" s="84"/>
      <c r="V1564" s="84"/>
      <c r="W1564" s="84"/>
      <c r="X1564" s="84"/>
      <c r="Y1564" s="84"/>
      <c r="Z1564" s="87"/>
      <c r="AA1564" s="87"/>
      <c r="AB1564" s="87"/>
      <c r="AC1564" s="87"/>
      <c r="AD1564" s="87"/>
      <c r="AE1564" s="87"/>
      <c r="AF1564" s="87"/>
      <c r="AG1564" s="87"/>
      <c r="AH1564" s="87"/>
      <c r="AI1564" s="87"/>
      <c r="AJ1564" s="87"/>
      <c r="AK1564" s="87"/>
      <c r="AL1564" s="87"/>
      <c r="AM1564" s="87"/>
      <c r="AN1564" s="87"/>
      <c r="AO1564" s="87"/>
      <c r="AP1564" s="87"/>
      <c r="AQ1564" s="87"/>
      <c r="AR1564" s="87"/>
      <c r="AS1564" s="87"/>
      <c r="AT1564" s="87"/>
      <c r="AU1564" s="87"/>
      <c r="AV1564" s="87"/>
      <c r="AW1564" s="87"/>
      <c r="AX1564" s="87"/>
      <c r="AY1564" s="87"/>
      <c r="AZ1564" s="87"/>
      <c r="BA1564" s="87"/>
      <c r="BB1564" s="87"/>
      <c r="BC1564" s="87"/>
      <c r="BD1564" s="87"/>
      <c r="BE1564" s="87"/>
      <c r="BF1564" s="87"/>
      <c r="BG1564" s="87"/>
      <c r="BH1564" s="87"/>
    </row>
    <row r="1565" spans="1:60" ht="16">
      <c r="A1565" s="82"/>
      <c r="B1565" s="82"/>
      <c r="C1565" s="82"/>
      <c r="D1565" s="83"/>
      <c r="E1565" s="84"/>
      <c r="F1565" s="84"/>
      <c r="G1565" s="84"/>
      <c r="H1565" s="82"/>
      <c r="I1565" s="84"/>
      <c r="J1565" s="84"/>
      <c r="K1565" s="84"/>
      <c r="L1565" s="84"/>
      <c r="M1565" s="84"/>
      <c r="N1565" s="84"/>
      <c r="O1565" s="84"/>
      <c r="P1565" s="84"/>
      <c r="Q1565" s="84"/>
      <c r="R1565" s="84"/>
      <c r="S1565" s="84"/>
      <c r="T1565" s="84"/>
      <c r="U1565" s="84"/>
      <c r="V1565" s="84"/>
      <c r="W1565" s="84"/>
      <c r="X1565" s="84"/>
      <c r="Y1565" s="84"/>
      <c r="Z1565" s="87"/>
      <c r="AA1565" s="87"/>
      <c r="AB1565" s="87"/>
      <c r="AC1565" s="87"/>
      <c r="AD1565" s="87"/>
      <c r="AE1565" s="87"/>
      <c r="AF1565" s="87"/>
      <c r="AG1565" s="87"/>
      <c r="AH1565" s="87"/>
      <c r="AI1565" s="87"/>
      <c r="AJ1565" s="87"/>
      <c r="AK1565" s="87"/>
      <c r="AL1565" s="87"/>
      <c r="AM1565" s="87"/>
      <c r="AN1565" s="87"/>
      <c r="AO1565" s="87"/>
      <c r="AP1565" s="87"/>
      <c r="AQ1565" s="87"/>
      <c r="AR1565" s="87"/>
      <c r="AS1565" s="87"/>
      <c r="AT1565" s="87"/>
      <c r="AU1565" s="87"/>
      <c r="AV1565" s="87"/>
      <c r="AW1565" s="87"/>
      <c r="AX1565" s="87"/>
      <c r="AY1565" s="87"/>
      <c r="AZ1565" s="87"/>
      <c r="BA1565" s="87"/>
      <c r="BB1565" s="87"/>
      <c r="BC1565" s="87"/>
      <c r="BD1565" s="87"/>
      <c r="BE1565" s="87"/>
      <c r="BF1565" s="87"/>
      <c r="BG1565" s="87"/>
      <c r="BH1565" s="87"/>
    </row>
    <row r="1566" spans="1:60" ht="16">
      <c r="A1566" s="82"/>
      <c r="B1566" s="82"/>
      <c r="C1566" s="82"/>
      <c r="D1566" s="83"/>
      <c r="E1566" s="84"/>
      <c r="F1566" s="84"/>
      <c r="G1566" s="84"/>
      <c r="H1566" s="82"/>
      <c r="I1566" s="84"/>
      <c r="J1566" s="84"/>
      <c r="K1566" s="84"/>
      <c r="L1566" s="84"/>
      <c r="M1566" s="84"/>
      <c r="N1566" s="84"/>
      <c r="O1566" s="84"/>
      <c r="P1566" s="84"/>
      <c r="Q1566" s="84"/>
      <c r="R1566" s="84"/>
      <c r="S1566" s="84"/>
      <c r="T1566" s="84"/>
      <c r="U1566" s="84"/>
      <c r="V1566" s="84"/>
      <c r="W1566" s="84"/>
      <c r="X1566" s="84"/>
      <c r="Y1566" s="84"/>
      <c r="Z1566" s="87"/>
      <c r="AA1566" s="87"/>
      <c r="AB1566" s="87"/>
      <c r="AC1566" s="87"/>
      <c r="AD1566" s="87"/>
      <c r="AE1566" s="87"/>
      <c r="AF1566" s="87"/>
      <c r="AG1566" s="87"/>
      <c r="AH1566" s="87"/>
      <c r="AI1566" s="87"/>
      <c r="AJ1566" s="87"/>
      <c r="AK1566" s="87"/>
      <c r="AL1566" s="87"/>
      <c r="AM1566" s="87"/>
      <c r="AN1566" s="87"/>
      <c r="AO1566" s="87"/>
      <c r="AP1566" s="87"/>
      <c r="AQ1566" s="87"/>
      <c r="AR1566" s="87"/>
      <c r="AS1566" s="87"/>
      <c r="AT1566" s="87"/>
      <c r="AU1566" s="87"/>
      <c r="AV1566" s="87"/>
      <c r="AW1566" s="87"/>
      <c r="AX1566" s="87"/>
      <c r="AY1566" s="87"/>
      <c r="AZ1566" s="87"/>
      <c r="BA1566" s="87"/>
      <c r="BB1566" s="87"/>
      <c r="BC1566" s="87"/>
      <c r="BD1566" s="87"/>
      <c r="BE1566" s="87"/>
      <c r="BF1566" s="87"/>
      <c r="BG1566" s="87"/>
      <c r="BH1566" s="87"/>
    </row>
    <row r="1567" spans="1:60" ht="16">
      <c r="A1567" s="82"/>
      <c r="B1567" s="82"/>
      <c r="C1567" s="82"/>
      <c r="D1567" s="83"/>
      <c r="E1567" s="84"/>
      <c r="F1567" s="84"/>
      <c r="G1567" s="84"/>
      <c r="H1567" s="82"/>
      <c r="I1567" s="84"/>
      <c r="J1567" s="84"/>
      <c r="K1567" s="84"/>
      <c r="L1567" s="84"/>
      <c r="M1567" s="84"/>
      <c r="N1567" s="84"/>
      <c r="O1567" s="84"/>
      <c r="P1567" s="84"/>
      <c r="Q1567" s="84"/>
      <c r="R1567" s="84"/>
      <c r="S1567" s="84"/>
      <c r="T1567" s="84"/>
      <c r="U1567" s="84"/>
      <c r="V1567" s="84"/>
      <c r="W1567" s="84"/>
      <c r="X1567" s="84"/>
      <c r="Y1567" s="84"/>
      <c r="Z1567" s="87"/>
      <c r="AA1567" s="87"/>
      <c r="AB1567" s="87"/>
      <c r="AC1567" s="87"/>
      <c r="AD1567" s="87"/>
      <c r="AE1567" s="87"/>
      <c r="AF1567" s="87"/>
      <c r="AG1567" s="87"/>
      <c r="AH1567" s="87"/>
      <c r="AI1567" s="87"/>
      <c r="AJ1567" s="87"/>
      <c r="AK1567" s="87"/>
      <c r="AL1567" s="87"/>
      <c r="AM1567" s="87"/>
      <c r="AN1567" s="87"/>
      <c r="AO1567" s="87"/>
      <c r="AP1567" s="87"/>
      <c r="AQ1567" s="87"/>
      <c r="AR1567" s="87"/>
      <c r="AS1567" s="87"/>
      <c r="AT1567" s="87"/>
      <c r="AU1567" s="87"/>
      <c r="AV1567" s="87"/>
      <c r="AW1567" s="87"/>
      <c r="AX1567" s="87"/>
      <c r="AY1567" s="87"/>
      <c r="AZ1567" s="87"/>
      <c r="BA1567" s="87"/>
      <c r="BB1567" s="87"/>
      <c r="BC1567" s="87"/>
      <c r="BD1567" s="87"/>
      <c r="BE1567" s="87"/>
      <c r="BF1567" s="87"/>
      <c r="BG1567" s="87"/>
      <c r="BH1567" s="87"/>
    </row>
    <row r="1568" spans="1:60" ht="16">
      <c r="A1568" s="82"/>
      <c r="B1568" s="82"/>
      <c r="C1568" s="82"/>
      <c r="D1568" s="83"/>
      <c r="E1568" s="84"/>
      <c r="F1568" s="84"/>
      <c r="G1568" s="84"/>
      <c r="H1568" s="82"/>
      <c r="I1568" s="84"/>
      <c r="J1568" s="84"/>
      <c r="K1568" s="84"/>
      <c r="L1568" s="84"/>
      <c r="M1568" s="84"/>
      <c r="N1568" s="84"/>
      <c r="O1568" s="84"/>
      <c r="P1568" s="84"/>
      <c r="Q1568" s="84"/>
      <c r="R1568" s="84"/>
      <c r="S1568" s="84"/>
      <c r="T1568" s="84"/>
      <c r="U1568" s="84"/>
      <c r="V1568" s="84"/>
      <c r="W1568" s="84"/>
      <c r="X1568" s="84"/>
      <c r="Y1568" s="84"/>
      <c r="Z1568" s="87"/>
      <c r="AA1568" s="87"/>
      <c r="AB1568" s="87"/>
      <c r="AC1568" s="87"/>
      <c r="AD1568" s="87"/>
      <c r="AE1568" s="87"/>
      <c r="AF1568" s="87"/>
      <c r="AG1568" s="87"/>
      <c r="AH1568" s="87"/>
      <c r="AI1568" s="87"/>
      <c r="AJ1568" s="87"/>
      <c r="AK1568" s="87"/>
      <c r="AL1568" s="87"/>
      <c r="AM1568" s="87"/>
      <c r="AN1568" s="87"/>
      <c r="AO1568" s="87"/>
      <c r="AP1568" s="87"/>
      <c r="AQ1568" s="87"/>
      <c r="AR1568" s="87"/>
      <c r="AS1568" s="87"/>
      <c r="AT1568" s="87"/>
      <c r="AU1568" s="87"/>
      <c r="AV1568" s="87"/>
      <c r="AW1568" s="87"/>
      <c r="AX1568" s="87"/>
      <c r="AY1568" s="87"/>
      <c r="AZ1568" s="87"/>
      <c r="BA1568" s="87"/>
      <c r="BB1568" s="87"/>
      <c r="BC1568" s="87"/>
      <c r="BD1568" s="87"/>
      <c r="BE1568" s="87"/>
      <c r="BF1568" s="87"/>
      <c r="BG1568" s="87"/>
      <c r="BH1568" s="87"/>
    </row>
    <row r="1569" spans="1:60" ht="16">
      <c r="A1569" s="82"/>
      <c r="B1569" s="82"/>
      <c r="C1569" s="82"/>
      <c r="D1569" s="83"/>
      <c r="E1569" s="84"/>
      <c r="F1569" s="84"/>
      <c r="G1569" s="84"/>
      <c r="H1569" s="82"/>
      <c r="I1569" s="84"/>
      <c r="J1569" s="84"/>
      <c r="K1569" s="84"/>
      <c r="L1569" s="84"/>
      <c r="M1569" s="84"/>
      <c r="N1569" s="84"/>
      <c r="O1569" s="84"/>
      <c r="P1569" s="84"/>
      <c r="Q1569" s="84"/>
      <c r="R1569" s="84"/>
      <c r="S1569" s="84"/>
      <c r="T1569" s="84"/>
      <c r="U1569" s="84"/>
      <c r="V1569" s="84"/>
      <c r="W1569" s="84"/>
      <c r="X1569" s="84"/>
      <c r="Y1569" s="84"/>
      <c r="Z1569" s="87"/>
      <c r="AA1569" s="87"/>
      <c r="AB1569" s="87"/>
      <c r="AC1569" s="87"/>
      <c r="AD1569" s="87"/>
      <c r="AE1569" s="87"/>
      <c r="AF1569" s="87"/>
      <c r="AG1569" s="87"/>
      <c r="AH1569" s="87"/>
      <c r="AI1569" s="87"/>
      <c r="AJ1569" s="87"/>
      <c r="AK1569" s="87"/>
      <c r="AL1569" s="87"/>
      <c r="AM1569" s="87"/>
      <c r="AN1569" s="87"/>
      <c r="AO1569" s="87"/>
      <c r="AP1569" s="87"/>
      <c r="AQ1569" s="87"/>
      <c r="AR1569" s="87"/>
      <c r="AS1569" s="87"/>
      <c r="AT1569" s="87"/>
      <c r="AU1569" s="87"/>
      <c r="AV1569" s="87"/>
      <c r="AW1569" s="87"/>
      <c r="AX1569" s="87"/>
      <c r="AY1569" s="87"/>
      <c r="AZ1569" s="87"/>
      <c r="BA1569" s="87"/>
      <c r="BB1569" s="87"/>
      <c r="BC1569" s="87"/>
      <c r="BD1569" s="87"/>
      <c r="BE1569" s="87"/>
      <c r="BF1569" s="87"/>
      <c r="BG1569" s="87"/>
      <c r="BH1569" s="87"/>
    </row>
    <row r="1570" spans="1:60" ht="16">
      <c r="A1570" s="82"/>
      <c r="B1570" s="82"/>
      <c r="C1570" s="82"/>
      <c r="D1570" s="83"/>
      <c r="E1570" s="84"/>
      <c r="F1570" s="84"/>
      <c r="G1570" s="84"/>
      <c r="H1570" s="82"/>
      <c r="I1570" s="84"/>
      <c r="J1570" s="84"/>
      <c r="K1570" s="84"/>
      <c r="L1570" s="84"/>
      <c r="M1570" s="84"/>
      <c r="N1570" s="84"/>
      <c r="O1570" s="84"/>
      <c r="P1570" s="84"/>
      <c r="Q1570" s="84"/>
      <c r="R1570" s="84"/>
      <c r="S1570" s="84"/>
      <c r="T1570" s="84"/>
      <c r="U1570" s="84"/>
      <c r="V1570" s="84"/>
      <c r="W1570" s="84"/>
      <c r="X1570" s="84"/>
      <c r="Y1570" s="84"/>
      <c r="Z1570" s="87"/>
      <c r="AA1570" s="87"/>
      <c r="AB1570" s="87"/>
      <c r="AC1570" s="87"/>
      <c r="AD1570" s="87"/>
      <c r="AE1570" s="87"/>
      <c r="AF1570" s="87"/>
      <c r="AG1570" s="87"/>
      <c r="AH1570" s="87"/>
      <c r="AI1570" s="87"/>
      <c r="AJ1570" s="87"/>
      <c r="AK1570" s="87"/>
      <c r="AL1570" s="87"/>
      <c r="AM1570" s="87"/>
      <c r="AN1570" s="87"/>
      <c r="AO1570" s="87"/>
      <c r="AP1570" s="87"/>
      <c r="AQ1570" s="87"/>
      <c r="AR1570" s="87"/>
      <c r="AS1570" s="87"/>
      <c r="AT1570" s="87"/>
      <c r="AU1570" s="87"/>
      <c r="AV1570" s="87"/>
      <c r="AW1570" s="87"/>
      <c r="AX1570" s="87"/>
      <c r="AY1570" s="87"/>
      <c r="AZ1570" s="87"/>
      <c r="BA1570" s="87"/>
      <c r="BB1570" s="87"/>
      <c r="BC1570" s="87"/>
      <c r="BD1570" s="87"/>
      <c r="BE1570" s="87"/>
      <c r="BF1570" s="87"/>
      <c r="BG1570" s="87"/>
      <c r="BH1570" s="87"/>
    </row>
    <row r="1571" spans="1:60" ht="16">
      <c r="A1571" s="82"/>
      <c r="B1571" s="82"/>
      <c r="C1571" s="82"/>
      <c r="D1571" s="83"/>
      <c r="E1571" s="84"/>
      <c r="F1571" s="84"/>
      <c r="G1571" s="84"/>
      <c r="H1571" s="82"/>
      <c r="I1571" s="84"/>
      <c r="J1571" s="84"/>
      <c r="K1571" s="84"/>
      <c r="L1571" s="84"/>
      <c r="M1571" s="84"/>
      <c r="N1571" s="84"/>
      <c r="O1571" s="84"/>
      <c r="P1571" s="84"/>
      <c r="Q1571" s="84"/>
      <c r="R1571" s="84"/>
      <c r="S1571" s="84"/>
      <c r="T1571" s="84"/>
      <c r="U1571" s="84"/>
      <c r="V1571" s="84"/>
      <c r="W1571" s="84"/>
      <c r="X1571" s="84"/>
      <c r="Y1571" s="84"/>
      <c r="Z1571" s="87"/>
      <c r="AA1571" s="87"/>
      <c r="AB1571" s="87"/>
      <c r="AC1571" s="87"/>
      <c r="AD1571" s="87"/>
      <c r="AE1571" s="87"/>
      <c r="AF1571" s="87"/>
      <c r="AG1571" s="87"/>
      <c r="AH1571" s="87"/>
      <c r="AI1571" s="87"/>
      <c r="AJ1571" s="87"/>
      <c r="AK1571" s="87"/>
      <c r="AL1571" s="87"/>
      <c r="AM1571" s="87"/>
      <c r="AN1571" s="87"/>
      <c r="AO1571" s="87"/>
      <c r="AP1571" s="87"/>
      <c r="AQ1571" s="87"/>
      <c r="AR1571" s="87"/>
      <c r="AS1571" s="87"/>
      <c r="AT1571" s="87"/>
      <c r="AU1571" s="87"/>
      <c r="AV1571" s="87"/>
      <c r="AW1571" s="87"/>
      <c r="AX1571" s="87"/>
      <c r="AY1571" s="87"/>
      <c r="AZ1571" s="87"/>
      <c r="BA1571" s="87"/>
      <c r="BB1571" s="87"/>
      <c r="BC1571" s="87"/>
      <c r="BD1571" s="87"/>
      <c r="BE1571" s="87"/>
      <c r="BF1571" s="87"/>
      <c r="BG1571" s="87"/>
      <c r="BH1571" s="87"/>
    </row>
    <row r="1572" spans="1:60" ht="16">
      <c r="A1572" s="82"/>
      <c r="B1572" s="82"/>
      <c r="C1572" s="82"/>
      <c r="D1572" s="83"/>
      <c r="E1572" s="84"/>
      <c r="F1572" s="84"/>
      <c r="G1572" s="84"/>
      <c r="H1572" s="82"/>
      <c r="I1572" s="84"/>
      <c r="J1572" s="84"/>
      <c r="K1572" s="84"/>
      <c r="L1572" s="84"/>
      <c r="M1572" s="84"/>
      <c r="N1572" s="84"/>
      <c r="O1572" s="84"/>
      <c r="P1572" s="84"/>
      <c r="Q1572" s="84"/>
      <c r="R1572" s="84"/>
      <c r="S1572" s="84"/>
      <c r="T1572" s="84"/>
      <c r="U1572" s="84"/>
      <c r="V1572" s="84"/>
      <c r="W1572" s="84"/>
      <c r="X1572" s="84"/>
      <c r="Y1572" s="84"/>
      <c r="Z1572" s="87"/>
      <c r="AA1572" s="87"/>
      <c r="AB1572" s="87"/>
      <c r="AC1572" s="87"/>
      <c r="AD1572" s="87"/>
      <c r="AE1572" s="87"/>
      <c r="AF1572" s="87"/>
      <c r="AG1572" s="87"/>
      <c r="AH1572" s="87"/>
      <c r="AI1572" s="87"/>
      <c r="AJ1572" s="87"/>
      <c r="AK1572" s="87"/>
      <c r="AL1572" s="87"/>
      <c r="AM1572" s="87"/>
      <c r="AN1572" s="87"/>
      <c r="AO1572" s="87"/>
      <c r="AP1572" s="87"/>
      <c r="AQ1572" s="87"/>
      <c r="AR1572" s="87"/>
      <c r="AS1572" s="87"/>
      <c r="AT1572" s="87"/>
      <c r="AU1572" s="87"/>
      <c r="AV1572" s="87"/>
      <c r="AW1572" s="87"/>
      <c r="AX1572" s="87"/>
      <c r="AY1572" s="87"/>
      <c r="AZ1572" s="87"/>
      <c r="BA1572" s="87"/>
      <c r="BB1572" s="87"/>
      <c r="BC1572" s="87"/>
      <c r="BD1572" s="87"/>
      <c r="BE1572" s="87"/>
      <c r="BF1572" s="87"/>
      <c r="BG1572" s="87"/>
      <c r="BH1572" s="87"/>
    </row>
    <row r="1573" spans="1:60" ht="16">
      <c r="A1573" s="82"/>
      <c r="B1573" s="82"/>
      <c r="C1573" s="82"/>
      <c r="D1573" s="83"/>
      <c r="E1573" s="84"/>
      <c r="F1573" s="84"/>
      <c r="G1573" s="84"/>
      <c r="H1573" s="82"/>
      <c r="I1573" s="84"/>
      <c r="J1573" s="84"/>
      <c r="K1573" s="84"/>
      <c r="L1573" s="84"/>
      <c r="M1573" s="84"/>
      <c r="N1573" s="84"/>
      <c r="O1573" s="84"/>
      <c r="P1573" s="84"/>
      <c r="Q1573" s="84"/>
      <c r="R1573" s="84"/>
      <c r="S1573" s="84"/>
      <c r="T1573" s="84"/>
      <c r="U1573" s="84"/>
      <c r="V1573" s="84"/>
      <c r="W1573" s="84"/>
      <c r="X1573" s="84"/>
      <c r="Y1573" s="84"/>
      <c r="Z1573" s="87"/>
      <c r="AA1573" s="87"/>
      <c r="AB1573" s="87"/>
      <c r="AC1573" s="87"/>
      <c r="AD1573" s="87"/>
      <c r="AE1573" s="87"/>
      <c r="AF1573" s="87"/>
      <c r="AG1573" s="87"/>
      <c r="AH1573" s="87"/>
      <c r="AI1573" s="87"/>
      <c r="AJ1573" s="87"/>
      <c r="AK1573" s="87"/>
      <c r="AL1573" s="87"/>
      <c r="AM1573" s="87"/>
      <c r="AN1573" s="87"/>
      <c r="AO1573" s="87"/>
      <c r="AP1573" s="87"/>
      <c r="AQ1573" s="87"/>
      <c r="AR1573" s="87"/>
      <c r="AS1573" s="87"/>
      <c r="AT1573" s="87"/>
      <c r="AU1573" s="87"/>
      <c r="AV1573" s="87"/>
      <c r="AW1573" s="87"/>
      <c r="AX1573" s="87"/>
      <c r="AY1573" s="87"/>
      <c r="AZ1573" s="87"/>
      <c r="BA1573" s="87"/>
      <c r="BB1573" s="87"/>
      <c r="BC1573" s="87"/>
      <c r="BD1573" s="87"/>
      <c r="BE1573" s="87"/>
      <c r="BF1573" s="87"/>
      <c r="BG1573" s="87"/>
      <c r="BH1573" s="87"/>
    </row>
    <row r="1574" spans="1:60" ht="16">
      <c r="A1574" s="82"/>
      <c r="B1574" s="82"/>
      <c r="C1574" s="82"/>
      <c r="D1574" s="83"/>
      <c r="E1574" s="84"/>
      <c r="F1574" s="84"/>
      <c r="G1574" s="84"/>
      <c r="H1574" s="82"/>
      <c r="I1574" s="84"/>
      <c r="J1574" s="84"/>
      <c r="K1574" s="84"/>
      <c r="L1574" s="84"/>
      <c r="M1574" s="84"/>
      <c r="N1574" s="84"/>
      <c r="O1574" s="84"/>
      <c r="P1574" s="84"/>
      <c r="Q1574" s="84"/>
      <c r="R1574" s="84"/>
      <c r="S1574" s="84"/>
      <c r="T1574" s="84"/>
      <c r="U1574" s="84"/>
      <c r="V1574" s="84"/>
      <c r="W1574" s="84"/>
      <c r="X1574" s="84"/>
      <c r="Y1574" s="84"/>
      <c r="Z1574" s="87"/>
      <c r="AA1574" s="87"/>
      <c r="AB1574" s="87"/>
      <c r="AC1574" s="87"/>
      <c r="AD1574" s="87"/>
      <c r="AE1574" s="87"/>
      <c r="AF1574" s="87"/>
      <c r="AG1574" s="87"/>
      <c r="AH1574" s="87"/>
      <c r="AI1574" s="87"/>
      <c r="AJ1574" s="87"/>
      <c r="AK1574" s="87"/>
      <c r="AL1574" s="87"/>
      <c r="AM1574" s="87"/>
      <c r="AN1574" s="87"/>
      <c r="AO1574" s="87"/>
      <c r="AP1574" s="87"/>
      <c r="AQ1574" s="87"/>
      <c r="AR1574" s="87"/>
      <c r="AS1574" s="87"/>
      <c r="AT1574" s="87"/>
      <c r="AU1574" s="87"/>
      <c r="AV1574" s="87"/>
      <c r="AW1574" s="87"/>
      <c r="AX1574" s="87"/>
      <c r="AY1574" s="87"/>
      <c r="AZ1574" s="87"/>
      <c r="BA1574" s="87"/>
      <c r="BB1574" s="87"/>
      <c r="BC1574" s="87"/>
      <c r="BD1574" s="87"/>
      <c r="BE1574" s="87"/>
      <c r="BF1574" s="87"/>
      <c r="BG1574" s="87"/>
      <c r="BH1574" s="87"/>
    </row>
    <row r="1575" spans="1:60" ht="16">
      <c r="A1575" s="82"/>
      <c r="B1575" s="82"/>
      <c r="C1575" s="82"/>
      <c r="D1575" s="83"/>
      <c r="E1575" s="84"/>
      <c r="F1575" s="84"/>
      <c r="G1575" s="84"/>
      <c r="H1575" s="82"/>
      <c r="I1575" s="84"/>
      <c r="J1575" s="84"/>
      <c r="K1575" s="84"/>
      <c r="L1575" s="84"/>
      <c r="M1575" s="84"/>
      <c r="N1575" s="84"/>
      <c r="O1575" s="84"/>
      <c r="P1575" s="84"/>
      <c r="Q1575" s="84"/>
      <c r="R1575" s="84"/>
      <c r="S1575" s="84"/>
      <c r="T1575" s="84"/>
      <c r="U1575" s="84"/>
      <c r="V1575" s="84"/>
      <c r="W1575" s="84"/>
      <c r="X1575" s="84"/>
      <c r="Y1575" s="84"/>
      <c r="Z1575" s="87"/>
      <c r="AA1575" s="87"/>
      <c r="AB1575" s="87"/>
      <c r="AC1575" s="87"/>
      <c r="AD1575" s="87"/>
      <c r="AE1575" s="87"/>
      <c r="AF1575" s="87"/>
      <c r="AG1575" s="87"/>
      <c r="AH1575" s="87"/>
      <c r="AI1575" s="87"/>
      <c r="AJ1575" s="87"/>
      <c r="AK1575" s="87"/>
      <c r="AL1575" s="87"/>
      <c r="AM1575" s="87"/>
      <c r="AN1575" s="87"/>
      <c r="AO1575" s="87"/>
      <c r="AP1575" s="87"/>
      <c r="AQ1575" s="87"/>
      <c r="AR1575" s="87"/>
      <c r="AS1575" s="87"/>
      <c r="AT1575" s="87"/>
      <c r="AU1575" s="87"/>
      <c r="AV1575" s="87"/>
      <c r="AW1575" s="87"/>
      <c r="AX1575" s="87"/>
      <c r="AY1575" s="87"/>
      <c r="AZ1575" s="87"/>
      <c r="BA1575" s="87"/>
      <c r="BB1575" s="87"/>
      <c r="BC1575" s="87"/>
      <c r="BD1575" s="87"/>
      <c r="BE1575" s="87"/>
      <c r="BF1575" s="87"/>
      <c r="BG1575" s="87"/>
      <c r="BH1575" s="87"/>
    </row>
    <row r="1576" spans="1:60" ht="16">
      <c r="A1576" s="82"/>
      <c r="B1576" s="82"/>
      <c r="C1576" s="82"/>
      <c r="D1576" s="83"/>
      <c r="E1576" s="84"/>
      <c r="F1576" s="84"/>
      <c r="G1576" s="84"/>
      <c r="H1576" s="82"/>
      <c r="I1576" s="84"/>
      <c r="J1576" s="84"/>
      <c r="K1576" s="84"/>
      <c r="L1576" s="84"/>
      <c r="M1576" s="84"/>
      <c r="N1576" s="84"/>
      <c r="O1576" s="84"/>
      <c r="P1576" s="84"/>
      <c r="Q1576" s="84"/>
      <c r="R1576" s="84"/>
      <c r="S1576" s="84"/>
      <c r="T1576" s="84"/>
      <c r="U1576" s="84"/>
      <c r="V1576" s="84"/>
      <c r="W1576" s="84"/>
      <c r="X1576" s="84"/>
      <c r="Y1576" s="84"/>
      <c r="Z1576" s="87"/>
      <c r="AA1576" s="87"/>
      <c r="AB1576" s="87"/>
      <c r="AC1576" s="87"/>
      <c r="AD1576" s="87"/>
      <c r="AE1576" s="87"/>
      <c r="AF1576" s="87"/>
      <c r="AG1576" s="87"/>
      <c r="AH1576" s="87"/>
      <c r="AI1576" s="87"/>
      <c r="AJ1576" s="87"/>
      <c r="AK1576" s="87"/>
      <c r="AL1576" s="87"/>
      <c r="AM1576" s="87"/>
      <c r="AN1576" s="87"/>
      <c r="AO1576" s="87"/>
      <c r="AP1576" s="87"/>
      <c r="AQ1576" s="87"/>
      <c r="AR1576" s="87"/>
      <c r="AS1576" s="87"/>
      <c r="AT1576" s="87"/>
      <c r="AU1576" s="87"/>
      <c r="AV1576" s="87"/>
      <c r="AW1576" s="87"/>
      <c r="AX1576" s="87"/>
      <c r="AY1576" s="87"/>
      <c r="AZ1576" s="87"/>
      <c r="BA1576" s="87"/>
      <c r="BB1576" s="87"/>
      <c r="BC1576" s="87"/>
      <c r="BD1576" s="87"/>
      <c r="BE1576" s="87"/>
      <c r="BF1576" s="87"/>
      <c r="BG1576" s="87"/>
      <c r="BH1576" s="87"/>
    </row>
    <row r="1577" spans="1:60" ht="16">
      <c r="A1577" s="82"/>
      <c r="B1577" s="82"/>
      <c r="C1577" s="82"/>
      <c r="D1577" s="83"/>
      <c r="E1577" s="84"/>
      <c r="F1577" s="84"/>
      <c r="G1577" s="84"/>
      <c r="H1577" s="82"/>
      <c r="I1577" s="84"/>
      <c r="J1577" s="84"/>
      <c r="K1577" s="84"/>
      <c r="L1577" s="84"/>
      <c r="M1577" s="84"/>
      <c r="N1577" s="84"/>
      <c r="O1577" s="84"/>
      <c r="P1577" s="84"/>
      <c r="Q1577" s="84"/>
      <c r="R1577" s="84"/>
      <c r="S1577" s="84"/>
      <c r="T1577" s="84"/>
      <c r="U1577" s="84"/>
      <c r="V1577" s="84"/>
      <c r="W1577" s="84"/>
      <c r="X1577" s="84"/>
      <c r="Y1577" s="84"/>
      <c r="Z1577" s="87"/>
      <c r="AA1577" s="87"/>
      <c r="AB1577" s="87"/>
      <c r="AC1577" s="87"/>
      <c r="AD1577" s="87"/>
      <c r="AE1577" s="87"/>
      <c r="AF1577" s="87"/>
      <c r="AG1577" s="87"/>
      <c r="AH1577" s="87"/>
      <c r="AI1577" s="87"/>
      <c r="AJ1577" s="87"/>
      <c r="AK1577" s="87"/>
      <c r="AL1577" s="87"/>
      <c r="AM1577" s="87"/>
      <c r="AN1577" s="87"/>
      <c r="AO1577" s="87"/>
      <c r="AP1577" s="87"/>
      <c r="AQ1577" s="87"/>
      <c r="AR1577" s="87"/>
      <c r="AS1577" s="87"/>
      <c r="AT1577" s="87"/>
      <c r="AU1577" s="87"/>
      <c r="AV1577" s="87"/>
      <c r="AW1577" s="87"/>
      <c r="AX1577" s="87"/>
      <c r="AY1577" s="87"/>
      <c r="AZ1577" s="87"/>
      <c r="BA1577" s="87"/>
      <c r="BB1577" s="87"/>
      <c r="BC1577" s="87"/>
      <c r="BD1577" s="87"/>
      <c r="BE1577" s="87"/>
      <c r="BF1577" s="87"/>
      <c r="BG1577" s="87"/>
      <c r="BH1577" s="87"/>
    </row>
    <row r="1578" spans="1:60" ht="16">
      <c r="A1578" s="82"/>
      <c r="B1578" s="82"/>
      <c r="C1578" s="82"/>
      <c r="D1578" s="83"/>
      <c r="E1578" s="84"/>
      <c r="F1578" s="84"/>
      <c r="G1578" s="84"/>
      <c r="H1578" s="82"/>
      <c r="I1578" s="84"/>
      <c r="J1578" s="84"/>
      <c r="K1578" s="84"/>
      <c r="L1578" s="84"/>
      <c r="M1578" s="84"/>
      <c r="N1578" s="84"/>
      <c r="O1578" s="84"/>
      <c r="P1578" s="84"/>
      <c r="Q1578" s="84"/>
      <c r="R1578" s="84"/>
      <c r="S1578" s="84"/>
      <c r="T1578" s="84"/>
      <c r="U1578" s="84"/>
      <c r="V1578" s="84"/>
      <c r="W1578" s="84"/>
      <c r="X1578" s="84"/>
      <c r="Y1578" s="84"/>
      <c r="Z1578" s="87"/>
      <c r="AA1578" s="87"/>
      <c r="AB1578" s="87"/>
      <c r="AC1578" s="87"/>
      <c r="AD1578" s="87"/>
      <c r="AE1578" s="87"/>
      <c r="AF1578" s="87"/>
      <c r="AG1578" s="87"/>
      <c r="AH1578" s="87"/>
      <c r="AI1578" s="87"/>
      <c r="AJ1578" s="87"/>
      <c r="AK1578" s="87"/>
      <c r="AL1578" s="87"/>
      <c r="AM1578" s="87"/>
      <c r="AN1578" s="87"/>
      <c r="AO1578" s="87"/>
      <c r="AP1578" s="87"/>
      <c r="AQ1578" s="87"/>
      <c r="AR1578" s="87"/>
      <c r="AS1578" s="87"/>
      <c r="AT1578" s="87"/>
      <c r="AU1578" s="87"/>
      <c r="AV1578" s="87"/>
      <c r="AW1578" s="87"/>
      <c r="AX1578" s="87"/>
      <c r="AY1578" s="87"/>
      <c r="AZ1578" s="87"/>
      <c r="BA1578" s="87"/>
      <c r="BB1578" s="87"/>
      <c r="BC1578" s="87"/>
      <c r="BD1578" s="87"/>
      <c r="BE1578" s="87"/>
      <c r="BF1578" s="87"/>
      <c r="BG1578" s="87"/>
      <c r="BH1578" s="87"/>
    </row>
    <row r="1579" spans="1:60" ht="16">
      <c r="A1579" s="82"/>
      <c r="B1579" s="82"/>
      <c r="C1579" s="82"/>
      <c r="D1579" s="83"/>
      <c r="E1579" s="84"/>
      <c r="F1579" s="84"/>
      <c r="G1579" s="84"/>
      <c r="H1579" s="82"/>
      <c r="I1579" s="84"/>
      <c r="J1579" s="84"/>
      <c r="K1579" s="84"/>
      <c r="L1579" s="84"/>
      <c r="M1579" s="84"/>
      <c r="N1579" s="84"/>
      <c r="O1579" s="84"/>
      <c r="P1579" s="84"/>
      <c r="Q1579" s="84"/>
      <c r="R1579" s="84"/>
      <c r="S1579" s="84"/>
      <c r="T1579" s="84"/>
      <c r="U1579" s="84"/>
      <c r="V1579" s="84"/>
      <c r="W1579" s="84"/>
      <c r="X1579" s="84"/>
      <c r="Y1579" s="84"/>
      <c r="Z1579" s="87"/>
      <c r="AA1579" s="87"/>
      <c r="AB1579" s="87"/>
      <c r="AC1579" s="87"/>
      <c r="AD1579" s="87"/>
      <c r="AE1579" s="87"/>
      <c r="AF1579" s="87"/>
      <c r="AG1579" s="87"/>
      <c r="AH1579" s="87"/>
      <c r="AI1579" s="87"/>
      <c r="AJ1579" s="87"/>
      <c r="AK1579" s="87"/>
      <c r="AL1579" s="87"/>
      <c r="AM1579" s="87"/>
      <c r="AN1579" s="87"/>
      <c r="AO1579" s="87"/>
      <c r="AP1579" s="87"/>
      <c r="AQ1579" s="87"/>
      <c r="AR1579" s="87"/>
      <c r="AS1579" s="87"/>
      <c r="AT1579" s="87"/>
      <c r="AU1579" s="87"/>
      <c r="AV1579" s="87"/>
      <c r="AW1579" s="87"/>
      <c r="AX1579" s="87"/>
      <c r="AY1579" s="87"/>
      <c r="AZ1579" s="87"/>
      <c r="BA1579" s="87"/>
      <c r="BB1579" s="87"/>
      <c r="BC1579" s="87"/>
      <c r="BD1579" s="87"/>
      <c r="BE1579" s="87"/>
      <c r="BF1579" s="87"/>
      <c r="BG1579" s="87"/>
      <c r="BH1579" s="87"/>
    </row>
    <row r="1580" spans="1:60" ht="16">
      <c r="A1580" s="82"/>
      <c r="B1580" s="82"/>
      <c r="C1580" s="82"/>
      <c r="D1580" s="83"/>
      <c r="E1580" s="84"/>
      <c r="F1580" s="84"/>
      <c r="G1580" s="84"/>
      <c r="H1580" s="82"/>
      <c r="I1580" s="84"/>
      <c r="J1580" s="84"/>
      <c r="K1580" s="84"/>
      <c r="L1580" s="84"/>
      <c r="M1580" s="84"/>
      <c r="N1580" s="84"/>
      <c r="O1580" s="84"/>
      <c r="P1580" s="84"/>
      <c r="Q1580" s="84"/>
      <c r="R1580" s="84"/>
      <c r="S1580" s="84"/>
      <c r="T1580" s="84"/>
      <c r="U1580" s="84"/>
      <c r="V1580" s="84"/>
      <c r="W1580" s="84"/>
      <c r="X1580" s="84"/>
      <c r="Y1580" s="84"/>
      <c r="Z1580" s="87"/>
      <c r="AA1580" s="87"/>
      <c r="AB1580" s="87"/>
      <c r="AC1580" s="87"/>
      <c r="AD1580" s="87"/>
      <c r="AE1580" s="87"/>
      <c r="AF1580" s="87"/>
      <c r="AG1580" s="87"/>
      <c r="AH1580" s="87"/>
      <c r="AI1580" s="87"/>
      <c r="AJ1580" s="87"/>
      <c r="AK1580" s="87"/>
      <c r="AL1580" s="87"/>
      <c r="AM1580" s="87"/>
      <c r="AN1580" s="87"/>
      <c r="AO1580" s="87"/>
      <c r="AP1580" s="87"/>
      <c r="AQ1580" s="87"/>
      <c r="AR1580" s="87"/>
      <c r="AS1580" s="87"/>
      <c r="AT1580" s="87"/>
      <c r="AU1580" s="87"/>
      <c r="AV1580" s="87"/>
      <c r="AW1580" s="87"/>
      <c r="AX1580" s="87"/>
      <c r="AY1580" s="87"/>
      <c r="AZ1580" s="87"/>
      <c r="BA1580" s="87"/>
      <c r="BB1580" s="87"/>
      <c r="BC1580" s="87"/>
      <c r="BD1580" s="87"/>
      <c r="BE1580" s="87"/>
      <c r="BF1580" s="87"/>
      <c r="BG1580" s="87"/>
      <c r="BH1580" s="87"/>
    </row>
    <row r="1581" spans="1:60" ht="16">
      <c r="A1581" s="82"/>
      <c r="B1581" s="82"/>
      <c r="C1581" s="82"/>
      <c r="D1581" s="83"/>
      <c r="E1581" s="84"/>
      <c r="F1581" s="84"/>
      <c r="G1581" s="84"/>
      <c r="H1581" s="82"/>
      <c r="I1581" s="84"/>
      <c r="J1581" s="84"/>
      <c r="K1581" s="84"/>
      <c r="L1581" s="84"/>
      <c r="M1581" s="84"/>
      <c r="N1581" s="84"/>
      <c r="O1581" s="84"/>
      <c r="P1581" s="84"/>
      <c r="Q1581" s="84"/>
      <c r="R1581" s="84"/>
      <c r="S1581" s="84"/>
      <c r="T1581" s="84"/>
      <c r="U1581" s="84"/>
      <c r="V1581" s="84"/>
      <c r="W1581" s="84"/>
      <c r="X1581" s="84"/>
      <c r="Y1581" s="84"/>
      <c r="Z1581" s="87"/>
      <c r="AA1581" s="87"/>
      <c r="AB1581" s="87"/>
      <c r="AC1581" s="87"/>
      <c r="AD1581" s="87"/>
      <c r="AE1581" s="87"/>
      <c r="AF1581" s="87"/>
      <c r="AG1581" s="87"/>
      <c r="AH1581" s="87"/>
      <c r="AI1581" s="87"/>
      <c r="AJ1581" s="87"/>
      <c r="AK1581" s="87"/>
      <c r="AL1581" s="87"/>
      <c r="AM1581" s="87"/>
      <c r="AN1581" s="87"/>
      <c r="AO1581" s="87"/>
      <c r="AP1581" s="87"/>
      <c r="AQ1581" s="87"/>
      <c r="AR1581" s="87"/>
      <c r="AS1581" s="87"/>
      <c r="AT1581" s="87"/>
      <c r="AU1581" s="87"/>
      <c r="AV1581" s="87"/>
      <c r="AW1581" s="87"/>
      <c r="AX1581" s="87"/>
      <c r="AY1581" s="87"/>
      <c r="AZ1581" s="87"/>
      <c r="BA1581" s="87"/>
      <c r="BB1581" s="87"/>
      <c r="BC1581" s="87"/>
      <c r="BD1581" s="87"/>
      <c r="BE1581" s="87"/>
      <c r="BF1581" s="87"/>
      <c r="BG1581" s="87"/>
      <c r="BH1581" s="87"/>
    </row>
    <row r="1582" spans="1:60" ht="16">
      <c r="A1582" s="82"/>
      <c r="B1582" s="82"/>
      <c r="C1582" s="82"/>
      <c r="D1582" s="83"/>
      <c r="E1582" s="84"/>
      <c r="F1582" s="84"/>
      <c r="G1582" s="84"/>
      <c r="H1582" s="82"/>
      <c r="I1582" s="84"/>
      <c r="J1582" s="84"/>
      <c r="K1582" s="84"/>
      <c r="L1582" s="84"/>
      <c r="M1582" s="84"/>
      <c r="N1582" s="84"/>
      <c r="O1582" s="84"/>
      <c r="P1582" s="84"/>
      <c r="Q1582" s="84"/>
      <c r="R1582" s="84"/>
      <c r="S1582" s="84"/>
      <c r="T1582" s="84"/>
      <c r="U1582" s="84"/>
      <c r="V1582" s="84"/>
      <c r="W1582" s="84"/>
      <c r="X1582" s="84"/>
      <c r="Y1582" s="84"/>
      <c r="Z1582" s="87"/>
      <c r="AA1582" s="87"/>
      <c r="AB1582" s="87"/>
      <c r="AC1582" s="87"/>
      <c r="AD1582" s="87"/>
      <c r="AE1582" s="87"/>
      <c r="AF1582" s="87"/>
      <c r="AG1582" s="87"/>
      <c r="AH1582" s="87"/>
      <c r="AI1582" s="87"/>
      <c r="AJ1582" s="87"/>
      <c r="AK1582" s="87"/>
      <c r="AL1582" s="87"/>
      <c r="AM1582" s="87"/>
      <c r="AN1582" s="87"/>
      <c r="AO1582" s="87"/>
      <c r="AP1582" s="87"/>
      <c r="AQ1582" s="87"/>
      <c r="AR1582" s="87"/>
      <c r="AS1582" s="87"/>
      <c r="AT1582" s="87"/>
      <c r="AU1582" s="87"/>
      <c r="AV1582" s="87"/>
      <c r="AW1582" s="87"/>
      <c r="AX1582" s="87"/>
      <c r="AY1582" s="87"/>
      <c r="AZ1582" s="87"/>
      <c r="BA1582" s="87"/>
      <c r="BB1582" s="87"/>
      <c r="BC1582" s="87"/>
      <c r="BD1582" s="87"/>
      <c r="BE1582" s="87"/>
      <c r="BF1582" s="87"/>
      <c r="BG1582" s="87"/>
      <c r="BH1582" s="87"/>
    </row>
    <row r="1583" spans="1:60" ht="16">
      <c r="A1583" s="82"/>
      <c r="B1583" s="82"/>
      <c r="C1583" s="82"/>
      <c r="D1583" s="83"/>
      <c r="E1583" s="84"/>
      <c r="F1583" s="84"/>
      <c r="G1583" s="84"/>
      <c r="H1583" s="82"/>
      <c r="I1583" s="84"/>
      <c r="J1583" s="84"/>
      <c r="K1583" s="84"/>
      <c r="L1583" s="84"/>
      <c r="M1583" s="84"/>
      <c r="N1583" s="84"/>
      <c r="O1583" s="84"/>
      <c r="P1583" s="84"/>
      <c r="Q1583" s="84"/>
      <c r="R1583" s="84"/>
      <c r="S1583" s="84"/>
      <c r="T1583" s="84"/>
      <c r="U1583" s="84"/>
      <c r="V1583" s="84"/>
      <c r="W1583" s="84"/>
      <c r="X1583" s="84"/>
      <c r="Y1583" s="84"/>
      <c r="Z1583" s="87"/>
      <c r="AA1583" s="87"/>
      <c r="AB1583" s="87"/>
      <c r="AC1583" s="87"/>
      <c r="AD1583" s="87"/>
      <c r="AE1583" s="87"/>
      <c r="AF1583" s="87"/>
      <c r="AG1583" s="87"/>
      <c r="AH1583" s="87"/>
      <c r="AI1583" s="87"/>
      <c r="AJ1583" s="87"/>
      <c r="AK1583" s="87"/>
      <c r="AL1583" s="87"/>
      <c r="AM1583" s="87"/>
      <c r="AN1583" s="87"/>
      <c r="AO1583" s="87"/>
      <c r="AP1583" s="87"/>
      <c r="AQ1583" s="87"/>
      <c r="AR1583" s="87"/>
      <c r="AS1583" s="87"/>
      <c r="AT1583" s="87"/>
      <c r="AU1583" s="87"/>
      <c r="AV1583" s="87"/>
      <c r="AW1583" s="87"/>
      <c r="AX1583" s="87"/>
      <c r="AY1583" s="87"/>
      <c r="AZ1583" s="87"/>
      <c r="BA1583" s="87"/>
      <c r="BB1583" s="87"/>
      <c r="BC1583" s="87"/>
      <c r="BD1583" s="87"/>
      <c r="BE1583" s="87"/>
      <c r="BF1583" s="87"/>
      <c r="BG1583" s="87"/>
      <c r="BH1583" s="87"/>
    </row>
    <row r="1584" spans="1:60" ht="16">
      <c r="A1584" s="82"/>
      <c r="B1584" s="82"/>
      <c r="C1584" s="82"/>
      <c r="D1584" s="83"/>
      <c r="E1584" s="84"/>
      <c r="F1584" s="84"/>
      <c r="G1584" s="84"/>
      <c r="H1584" s="82"/>
      <c r="I1584" s="84"/>
      <c r="J1584" s="84"/>
      <c r="K1584" s="84"/>
      <c r="L1584" s="84"/>
      <c r="M1584" s="84"/>
      <c r="N1584" s="84"/>
      <c r="O1584" s="84"/>
      <c r="P1584" s="84"/>
      <c r="Q1584" s="84"/>
      <c r="R1584" s="84"/>
      <c r="S1584" s="84"/>
      <c r="T1584" s="84"/>
      <c r="U1584" s="84"/>
      <c r="V1584" s="84"/>
      <c r="W1584" s="84"/>
      <c r="X1584" s="84"/>
      <c r="Y1584" s="84"/>
      <c r="Z1584" s="87"/>
      <c r="AA1584" s="87"/>
      <c r="AB1584" s="87"/>
      <c r="AC1584" s="87"/>
      <c r="AD1584" s="87"/>
      <c r="AE1584" s="87"/>
      <c r="AF1584" s="87"/>
      <c r="AG1584" s="87"/>
      <c r="AH1584" s="87"/>
      <c r="AI1584" s="87"/>
      <c r="AJ1584" s="87"/>
      <c r="AK1584" s="87"/>
      <c r="AL1584" s="87"/>
      <c r="AM1584" s="87"/>
      <c r="AN1584" s="87"/>
      <c r="AO1584" s="87"/>
      <c r="AP1584" s="87"/>
      <c r="AQ1584" s="87"/>
      <c r="AR1584" s="87"/>
      <c r="AS1584" s="87"/>
      <c r="AT1584" s="87"/>
      <c r="AU1584" s="87"/>
      <c r="AV1584" s="87"/>
      <c r="AW1584" s="87"/>
      <c r="AX1584" s="87"/>
      <c r="AY1584" s="87"/>
      <c r="AZ1584" s="87"/>
      <c r="BA1584" s="87"/>
      <c r="BB1584" s="87"/>
      <c r="BC1584" s="87"/>
      <c r="BD1584" s="87"/>
      <c r="BE1584" s="87"/>
      <c r="BF1584" s="87"/>
      <c r="BG1584" s="87"/>
      <c r="BH1584" s="87"/>
    </row>
    <row r="1585" spans="1:60" ht="16">
      <c r="A1585" s="82"/>
      <c r="B1585" s="82"/>
      <c r="C1585" s="82"/>
      <c r="D1585" s="83"/>
      <c r="E1585" s="84"/>
      <c r="F1585" s="84"/>
      <c r="G1585" s="84"/>
      <c r="H1585" s="82"/>
      <c r="I1585" s="84"/>
      <c r="J1585" s="84"/>
      <c r="K1585" s="84"/>
      <c r="L1585" s="84"/>
      <c r="M1585" s="84"/>
      <c r="N1585" s="84"/>
      <c r="O1585" s="84"/>
      <c r="P1585" s="84"/>
      <c r="Q1585" s="84"/>
      <c r="R1585" s="84"/>
      <c r="S1585" s="84"/>
      <c r="T1585" s="84"/>
      <c r="U1585" s="84"/>
      <c r="V1585" s="84"/>
      <c r="W1585" s="84"/>
      <c r="X1585" s="84"/>
      <c r="Y1585" s="84"/>
      <c r="Z1585" s="87"/>
      <c r="AA1585" s="87"/>
      <c r="AB1585" s="87"/>
      <c r="AC1585" s="87"/>
      <c r="AD1585" s="87"/>
      <c r="AE1585" s="87"/>
      <c r="AF1585" s="87"/>
      <c r="AG1585" s="87"/>
      <c r="AH1585" s="87"/>
      <c r="AI1585" s="87"/>
      <c r="AJ1585" s="87"/>
      <c r="AK1585" s="87"/>
      <c r="AL1585" s="87"/>
      <c r="AM1585" s="87"/>
      <c r="AN1585" s="87"/>
      <c r="AO1585" s="87"/>
      <c r="AP1585" s="87"/>
      <c r="AQ1585" s="87"/>
      <c r="AR1585" s="87"/>
      <c r="AS1585" s="87"/>
      <c r="AT1585" s="87"/>
      <c r="AU1585" s="87"/>
      <c r="AV1585" s="87"/>
      <c r="AW1585" s="87"/>
      <c r="AX1585" s="87"/>
      <c r="AY1585" s="87"/>
      <c r="AZ1585" s="87"/>
      <c r="BA1585" s="87"/>
      <c r="BB1585" s="87"/>
      <c r="BC1585" s="87"/>
      <c r="BD1585" s="87"/>
      <c r="BE1585" s="87"/>
      <c r="BF1585" s="87"/>
      <c r="BG1585" s="87"/>
      <c r="BH1585" s="87"/>
    </row>
    <row r="1586" spans="1:60" ht="16">
      <c r="A1586" s="82"/>
      <c r="B1586" s="82"/>
      <c r="C1586" s="82"/>
      <c r="D1586" s="83"/>
      <c r="E1586" s="84"/>
      <c r="F1586" s="84"/>
      <c r="G1586" s="84"/>
      <c r="H1586" s="82"/>
      <c r="I1586" s="84"/>
      <c r="J1586" s="84"/>
      <c r="K1586" s="84"/>
      <c r="L1586" s="84"/>
      <c r="M1586" s="84"/>
      <c r="N1586" s="84"/>
      <c r="O1586" s="84"/>
      <c r="P1586" s="84"/>
      <c r="Q1586" s="84"/>
      <c r="R1586" s="84"/>
      <c r="S1586" s="84"/>
      <c r="T1586" s="84"/>
      <c r="U1586" s="84"/>
      <c r="V1586" s="84"/>
      <c r="W1586" s="84"/>
      <c r="X1586" s="84"/>
      <c r="Y1586" s="84"/>
      <c r="Z1586" s="87"/>
      <c r="AA1586" s="87"/>
      <c r="AB1586" s="87"/>
      <c r="AC1586" s="87"/>
      <c r="AD1586" s="87"/>
      <c r="AE1586" s="87"/>
      <c r="AF1586" s="87"/>
      <c r="AG1586" s="87"/>
      <c r="AH1586" s="87"/>
      <c r="AI1586" s="87"/>
      <c r="AJ1586" s="87"/>
      <c r="AK1586" s="87"/>
      <c r="AL1586" s="87"/>
      <c r="AM1586" s="87"/>
      <c r="AN1586" s="87"/>
      <c r="AO1586" s="87"/>
      <c r="AP1586" s="87"/>
      <c r="AQ1586" s="87"/>
      <c r="AR1586" s="87"/>
      <c r="AS1586" s="87"/>
      <c r="AT1586" s="87"/>
      <c r="AU1586" s="87"/>
      <c r="AV1586" s="87"/>
      <c r="AW1586" s="87"/>
      <c r="AX1586" s="87"/>
      <c r="AY1586" s="87"/>
      <c r="AZ1586" s="87"/>
      <c r="BA1586" s="87"/>
      <c r="BB1586" s="87"/>
      <c r="BC1586" s="87"/>
      <c r="BD1586" s="87"/>
      <c r="BE1586" s="87"/>
      <c r="BF1586" s="87"/>
      <c r="BG1586" s="87"/>
      <c r="BH1586" s="87"/>
    </row>
    <row r="1587" spans="1:60" ht="16">
      <c r="A1587" s="82"/>
      <c r="B1587" s="82"/>
      <c r="C1587" s="82"/>
      <c r="D1587" s="83"/>
      <c r="E1587" s="84"/>
      <c r="F1587" s="84"/>
      <c r="G1587" s="84"/>
      <c r="H1587" s="82"/>
      <c r="I1587" s="84"/>
      <c r="J1587" s="84"/>
      <c r="K1587" s="84"/>
      <c r="L1587" s="84"/>
      <c r="M1587" s="84"/>
      <c r="N1587" s="84"/>
      <c r="O1587" s="84"/>
      <c r="P1587" s="84"/>
      <c r="Q1587" s="84"/>
      <c r="R1587" s="84"/>
      <c r="S1587" s="84"/>
      <c r="T1587" s="84"/>
      <c r="U1587" s="84"/>
      <c r="V1587" s="84"/>
      <c r="W1587" s="84"/>
      <c r="X1587" s="84"/>
      <c r="Y1587" s="84"/>
      <c r="Z1587" s="87"/>
      <c r="AA1587" s="87"/>
      <c r="AB1587" s="87"/>
      <c r="AC1587" s="87"/>
      <c r="AD1587" s="87"/>
      <c r="AE1587" s="87"/>
      <c r="AF1587" s="87"/>
      <c r="AG1587" s="87"/>
      <c r="AH1587" s="87"/>
      <c r="AI1587" s="87"/>
      <c r="AJ1587" s="87"/>
      <c r="AK1587" s="87"/>
      <c r="AL1587" s="87"/>
      <c r="AM1587" s="87"/>
      <c r="AN1587" s="87"/>
      <c r="AO1587" s="87"/>
      <c r="AP1587" s="87"/>
      <c r="AQ1587" s="87"/>
      <c r="AR1587" s="87"/>
      <c r="AS1587" s="87"/>
      <c r="AT1587" s="87"/>
      <c r="AU1587" s="87"/>
      <c r="AV1587" s="87"/>
      <c r="AW1587" s="87"/>
      <c r="AX1587" s="87"/>
      <c r="AY1587" s="87"/>
      <c r="AZ1587" s="87"/>
      <c r="BA1587" s="87"/>
      <c r="BB1587" s="87"/>
      <c r="BC1587" s="87"/>
      <c r="BD1587" s="87"/>
      <c r="BE1587" s="87"/>
      <c r="BF1587" s="87"/>
      <c r="BG1587" s="87"/>
      <c r="BH1587" s="87"/>
    </row>
    <row r="1588" spans="1:60" ht="16">
      <c r="A1588" s="82"/>
      <c r="B1588" s="82"/>
      <c r="C1588" s="82"/>
      <c r="D1588" s="83"/>
      <c r="E1588" s="84"/>
      <c r="F1588" s="84"/>
      <c r="G1588" s="84"/>
      <c r="H1588" s="82"/>
      <c r="I1588" s="84"/>
      <c r="J1588" s="84"/>
      <c r="K1588" s="84"/>
      <c r="L1588" s="84"/>
      <c r="M1588" s="84"/>
      <c r="N1588" s="84"/>
      <c r="O1588" s="84"/>
      <c r="P1588" s="84"/>
      <c r="Q1588" s="84"/>
      <c r="R1588" s="84"/>
      <c r="S1588" s="84"/>
      <c r="T1588" s="84"/>
      <c r="U1588" s="84"/>
      <c r="V1588" s="84"/>
      <c r="W1588" s="84"/>
      <c r="X1588" s="84"/>
      <c r="Y1588" s="84"/>
      <c r="Z1588" s="87"/>
      <c r="AA1588" s="87"/>
      <c r="AB1588" s="87"/>
      <c r="AC1588" s="87"/>
      <c r="AD1588" s="87"/>
      <c r="AE1588" s="87"/>
      <c r="AF1588" s="87"/>
      <c r="AG1588" s="87"/>
      <c r="AH1588" s="87"/>
      <c r="AI1588" s="87"/>
      <c r="AJ1588" s="87"/>
      <c r="AK1588" s="87"/>
      <c r="AL1588" s="87"/>
      <c r="AM1588" s="87"/>
      <c r="AN1588" s="87"/>
      <c r="AO1588" s="87"/>
      <c r="AP1588" s="87"/>
      <c r="AQ1588" s="87"/>
      <c r="AR1588" s="87"/>
      <c r="AS1588" s="87"/>
      <c r="AT1588" s="87"/>
      <c r="AU1588" s="87"/>
      <c r="AV1588" s="87"/>
      <c r="AW1588" s="87"/>
      <c r="AX1588" s="87"/>
      <c r="AY1588" s="87"/>
      <c r="AZ1588" s="87"/>
      <c r="BA1588" s="87"/>
      <c r="BB1588" s="87"/>
      <c r="BC1588" s="87"/>
      <c r="BD1588" s="87"/>
      <c r="BE1588" s="87"/>
      <c r="BF1588" s="87"/>
      <c r="BG1588" s="87"/>
      <c r="BH1588" s="87"/>
    </row>
    <row r="1589" spans="1:60" ht="16">
      <c r="A1589" s="82"/>
      <c r="B1589" s="82"/>
      <c r="C1589" s="82"/>
      <c r="D1589" s="83"/>
      <c r="E1589" s="84"/>
      <c r="F1589" s="84"/>
      <c r="G1589" s="84"/>
      <c r="H1589" s="82"/>
      <c r="I1589" s="84"/>
      <c r="J1589" s="84"/>
      <c r="K1589" s="84"/>
      <c r="L1589" s="84"/>
      <c r="M1589" s="84"/>
      <c r="N1589" s="84"/>
      <c r="O1589" s="84"/>
      <c r="P1589" s="84"/>
      <c r="Q1589" s="84"/>
      <c r="R1589" s="84"/>
      <c r="S1589" s="84"/>
      <c r="T1589" s="84"/>
      <c r="U1589" s="84"/>
      <c r="V1589" s="84"/>
      <c r="W1589" s="84"/>
      <c r="X1589" s="84"/>
      <c r="Y1589" s="84"/>
      <c r="Z1589" s="87"/>
      <c r="AA1589" s="87"/>
      <c r="AB1589" s="87"/>
      <c r="AC1589" s="87"/>
      <c r="AD1589" s="87"/>
      <c r="AE1589" s="87"/>
      <c r="AF1589" s="87"/>
      <c r="AG1589" s="87"/>
      <c r="AH1589" s="87"/>
      <c r="AI1589" s="87"/>
      <c r="AJ1589" s="87"/>
      <c r="AK1589" s="87"/>
      <c r="AL1589" s="87"/>
      <c r="AM1589" s="87"/>
      <c r="AN1589" s="87"/>
      <c r="AO1589" s="87"/>
      <c r="AP1589" s="87"/>
      <c r="AQ1589" s="87"/>
      <c r="AR1589" s="87"/>
      <c r="AS1589" s="87"/>
      <c r="AT1589" s="87"/>
      <c r="AU1589" s="87"/>
      <c r="AV1589" s="87"/>
      <c r="AW1589" s="87"/>
      <c r="AX1589" s="87"/>
      <c r="AY1589" s="87"/>
      <c r="AZ1589" s="87"/>
      <c r="BA1589" s="87"/>
      <c r="BB1589" s="87"/>
      <c r="BC1589" s="87"/>
      <c r="BD1589" s="87"/>
      <c r="BE1589" s="87"/>
      <c r="BF1589" s="87"/>
      <c r="BG1589" s="87"/>
      <c r="BH1589" s="87"/>
    </row>
    <row r="1590" spans="1:60" ht="16">
      <c r="A1590" s="82"/>
      <c r="B1590" s="82"/>
      <c r="C1590" s="82"/>
      <c r="D1590" s="83"/>
      <c r="E1590" s="84"/>
      <c r="F1590" s="84"/>
      <c r="G1590" s="84"/>
      <c r="H1590" s="82"/>
      <c r="I1590" s="84"/>
      <c r="J1590" s="84"/>
      <c r="K1590" s="84"/>
      <c r="L1590" s="84"/>
      <c r="M1590" s="84"/>
      <c r="N1590" s="84"/>
      <c r="O1590" s="84"/>
      <c r="P1590" s="84"/>
      <c r="Q1590" s="84"/>
      <c r="R1590" s="84"/>
      <c r="S1590" s="84"/>
      <c r="T1590" s="84"/>
      <c r="U1590" s="84"/>
      <c r="V1590" s="84"/>
      <c r="W1590" s="84"/>
      <c r="X1590" s="84"/>
      <c r="Y1590" s="84"/>
      <c r="Z1590" s="87"/>
      <c r="AA1590" s="87"/>
      <c r="AB1590" s="87"/>
      <c r="AC1590" s="87"/>
      <c r="AD1590" s="87"/>
      <c r="AE1590" s="87"/>
      <c r="AF1590" s="87"/>
      <c r="AG1590" s="87"/>
      <c r="AH1590" s="87"/>
      <c r="AI1590" s="87"/>
      <c r="AJ1590" s="87"/>
      <c r="AK1590" s="87"/>
      <c r="AL1590" s="87"/>
      <c r="AM1590" s="87"/>
      <c r="AN1590" s="87"/>
      <c r="AO1590" s="87"/>
      <c r="AP1590" s="87"/>
      <c r="AQ1590" s="87"/>
      <c r="AR1590" s="87"/>
      <c r="AS1590" s="87"/>
      <c r="AT1590" s="87"/>
      <c r="AU1590" s="87"/>
      <c r="AV1590" s="87"/>
      <c r="AW1590" s="87"/>
      <c r="AX1590" s="87"/>
      <c r="AY1590" s="87"/>
      <c r="AZ1590" s="87"/>
      <c r="BA1590" s="87"/>
      <c r="BB1590" s="87"/>
      <c r="BC1590" s="87"/>
      <c r="BD1590" s="87"/>
      <c r="BE1590" s="87"/>
      <c r="BF1590" s="87"/>
      <c r="BG1590" s="87"/>
      <c r="BH1590" s="87"/>
    </row>
    <row r="1591" spans="1:60" ht="16">
      <c r="A1591" s="82"/>
      <c r="B1591" s="82"/>
      <c r="C1591" s="82"/>
      <c r="D1591" s="83"/>
      <c r="E1591" s="84"/>
      <c r="F1591" s="84"/>
      <c r="G1591" s="84"/>
      <c r="H1591" s="82"/>
      <c r="I1591" s="84"/>
      <c r="J1591" s="84"/>
      <c r="K1591" s="84"/>
      <c r="L1591" s="84"/>
      <c r="M1591" s="84"/>
      <c r="N1591" s="84"/>
      <c r="O1591" s="84"/>
      <c r="P1591" s="84"/>
      <c r="Q1591" s="84"/>
      <c r="R1591" s="84"/>
      <c r="S1591" s="84"/>
      <c r="T1591" s="84"/>
      <c r="U1591" s="84"/>
      <c r="V1591" s="84"/>
      <c r="W1591" s="84"/>
      <c r="X1591" s="84"/>
      <c r="Y1591" s="84"/>
      <c r="Z1591" s="87"/>
      <c r="AA1591" s="87"/>
      <c r="AB1591" s="87"/>
      <c r="AC1591" s="87"/>
      <c r="AD1591" s="87"/>
      <c r="AE1591" s="87"/>
      <c r="AF1591" s="87"/>
      <c r="AG1591" s="87"/>
      <c r="AH1591" s="87"/>
      <c r="AI1591" s="87"/>
      <c r="AJ1591" s="87"/>
      <c r="AK1591" s="87"/>
      <c r="AL1591" s="87"/>
      <c r="AM1591" s="87"/>
      <c r="AN1591" s="87"/>
      <c r="AO1591" s="87"/>
      <c r="AP1591" s="87"/>
      <c r="AQ1591" s="87"/>
      <c r="AR1591" s="87"/>
      <c r="AS1591" s="87"/>
      <c r="AT1591" s="87"/>
      <c r="AU1591" s="87"/>
      <c r="AV1591" s="87"/>
      <c r="AW1591" s="87"/>
      <c r="AX1591" s="87"/>
      <c r="AY1591" s="87"/>
      <c r="AZ1591" s="87"/>
      <c r="BA1591" s="87"/>
      <c r="BB1591" s="87"/>
      <c r="BC1591" s="87"/>
      <c r="BD1591" s="87"/>
      <c r="BE1591" s="87"/>
      <c r="BF1591" s="87"/>
      <c r="BG1591" s="87"/>
      <c r="BH1591" s="87"/>
    </row>
    <row r="1592" spans="1:60" ht="16">
      <c r="A1592" s="82"/>
      <c r="B1592" s="82"/>
      <c r="C1592" s="82"/>
      <c r="D1592" s="83"/>
      <c r="E1592" s="84"/>
      <c r="F1592" s="84"/>
      <c r="G1592" s="84"/>
      <c r="H1592" s="82"/>
      <c r="I1592" s="84"/>
      <c r="J1592" s="84"/>
      <c r="K1592" s="84"/>
      <c r="L1592" s="84"/>
      <c r="M1592" s="84"/>
      <c r="N1592" s="84"/>
      <c r="O1592" s="84"/>
      <c r="P1592" s="84"/>
      <c r="Q1592" s="84"/>
      <c r="R1592" s="84"/>
      <c r="S1592" s="84"/>
      <c r="T1592" s="84"/>
      <c r="U1592" s="84"/>
      <c r="V1592" s="84"/>
      <c r="W1592" s="84"/>
      <c r="X1592" s="84"/>
      <c r="Y1592" s="84"/>
      <c r="Z1592" s="87"/>
      <c r="AA1592" s="87"/>
      <c r="AB1592" s="87"/>
      <c r="AC1592" s="87"/>
      <c r="AD1592" s="87"/>
      <c r="AE1592" s="87"/>
      <c r="AF1592" s="87"/>
      <c r="AG1592" s="87"/>
      <c r="AH1592" s="87"/>
      <c r="AI1592" s="87"/>
      <c r="AJ1592" s="87"/>
      <c r="AK1592" s="87"/>
      <c r="AL1592" s="87"/>
      <c r="AM1592" s="87"/>
      <c r="AN1592" s="87"/>
      <c r="AO1592" s="87"/>
      <c r="AP1592" s="87"/>
      <c r="AQ1592" s="87"/>
      <c r="AR1592" s="87"/>
      <c r="AS1592" s="87"/>
      <c r="AT1592" s="87"/>
      <c r="AU1592" s="87"/>
      <c r="AV1592" s="87"/>
      <c r="AW1592" s="87"/>
      <c r="AX1592" s="87"/>
      <c r="AY1592" s="87"/>
      <c r="AZ1592" s="87"/>
      <c r="BA1592" s="87"/>
      <c r="BB1592" s="87"/>
      <c r="BC1592" s="87"/>
      <c r="BD1592" s="87"/>
      <c r="BE1592" s="87"/>
      <c r="BF1592" s="87"/>
      <c r="BG1592" s="87"/>
      <c r="BH1592" s="87"/>
    </row>
    <row r="1593" spans="1:60" ht="16">
      <c r="A1593" s="82"/>
      <c r="B1593" s="82"/>
      <c r="C1593" s="82"/>
      <c r="D1593" s="83"/>
      <c r="E1593" s="84"/>
      <c r="F1593" s="84"/>
      <c r="G1593" s="84"/>
      <c r="H1593" s="82"/>
      <c r="I1593" s="84"/>
      <c r="J1593" s="84"/>
      <c r="K1593" s="84"/>
      <c r="L1593" s="84"/>
      <c r="M1593" s="84"/>
      <c r="N1593" s="84"/>
      <c r="O1593" s="84"/>
      <c r="P1593" s="84"/>
      <c r="Q1593" s="84"/>
      <c r="R1593" s="84"/>
      <c r="S1593" s="84"/>
      <c r="T1593" s="84"/>
      <c r="U1593" s="84"/>
      <c r="V1593" s="84"/>
      <c r="W1593" s="84"/>
      <c r="X1593" s="84"/>
      <c r="Y1593" s="84"/>
      <c r="Z1593" s="87"/>
      <c r="AA1593" s="87"/>
      <c r="AB1593" s="87"/>
      <c r="AC1593" s="87"/>
      <c r="AD1593" s="87"/>
      <c r="AE1593" s="87"/>
      <c r="AF1593" s="87"/>
      <c r="AG1593" s="87"/>
      <c r="AH1593" s="87"/>
      <c r="AI1593" s="87"/>
      <c r="AJ1593" s="87"/>
      <c r="AK1593" s="87"/>
      <c r="AL1593" s="87"/>
      <c r="AM1593" s="87"/>
      <c r="AN1593" s="87"/>
      <c r="AO1593" s="87"/>
      <c r="AP1593" s="87"/>
      <c r="AQ1593" s="87"/>
      <c r="AR1593" s="87"/>
      <c r="AS1593" s="87"/>
      <c r="AT1593" s="87"/>
      <c r="AU1593" s="87"/>
      <c r="AV1593" s="87"/>
      <c r="AW1593" s="87"/>
      <c r="AX1593" s="87"/>
      <c r="AY1593" s="87"/>
      <c r="AZ1593" s="87"/>
      <c r="BA1593" s="87"/>
      <c r="BB1593" s="87"/>
      <c r="BC1593" s="87"/>
      <c r="BD1593" s="87"/>
      <c r="BE1593" s="87"/>
      <c r="BF1593" s="87"/>
      <c r="BG1593" s="87"/>
      <c r="BH1593" s="87"/>
    </row>
    <row r="1594" spans="1:60" ht="16">
      <c r="A1594" s="82"/>
      <c r="B1594" s="82"/>
      <c r="C1594" s="82"/>
      <c r="D1594" s="83"/>
      <c r="E1594" s="84"/>
      <c r="F1594" s="84"/>
      <c r="G1594" s="84"/>
      <c r="H1594" s="82"/>
      <c r="I1594" s="84"/>
      <c r="J1594" s="84"/>
      <c r="K1594" s="84"/>
      <c r="L1594" s="84"/>
      <c r="M1594" s="84"/>
      <c r="N1594" s="84"/>
      <c r="O1594" s="84"/>
      <c r="P1594" s="84"/>
      <c r="Q1594" s="84"/>
      <c r="R1594" s="84"/>
      <c r="S1594" s="84"/>
      <c r="T1594" s="84"/>
      <c r="U1594" s="84"/>
      <c r="V1594" s="84"/>
      <c r="W1594" s="84"/>
      <c r="X1594" s="84"/>
      <c r="Y1594" s="84"/>
      <c r="Z1594" s="87"/>
      <c r="AA1594" s="87"/>
      <c r="AB1594" s="87"/>
      <c r="AC1594" s="87"/>
      <c r="AD1594" s="87"/>
      <c r="AE1594" s="87"/>
      <c r="AF1594" s="87"/>
      <c r="AG1594" s="87"/>
      <c r="AH1594" s="87"/>
      <c r="AI1594" s="87"/>
      <c r="AJ1594" s="87"/>
      <c r="AK1594" s="87"/>
      <c r="AL1594" s="87"/>
      <c r="AM1594" s="87"/>
      <c r="AN1594" s="87"/>
      <c r="AO1594" s="87"/>
      <c r="AP1594" s="87"/>
      <c r="AQ1594" s="87"/>
      <c r="AR1594" s="87"/>
      <c r="AS1594" s="87"/>
      <c r="AT1594" s="87"/>
      <c r="AU1594" s="87"/>
      <c r="AV1594" s="87"/>
      <c r="AW1594" s="87"/>
      <c r="AX1594" s="87"/>
      <c r="AY1594" s="87"/>
      <c r="AZ1594" s="87"/>
      <c r="BA1594" s="87"/>
      <c r="BB1594" s="87"/>
      <c r="BC1594" s="87"/>
      <c r="BD1594" s="87"/>
      <c r="BE1594" s="87"/>
      <c r="BF1594" s="87"/>
      <c r="BG1594" s="87"/>
      <c r="BH1594" s="87"/>
    </row>
    <row r="1595" spans="1:60" ht="16">
      <c r="A1595" s="82"/>
      <c r="B1595" s="82"/>
      <c r="C1595" s="82"/>
      <c r="D1595" s="83"/>
      <c r="E1595" s="84"/>
      <c r="F1595" s="84"/>
      <c r="G1595" s="84"/>
      <c r="H1595" s="82"/>
      <c r="I1595" s="84"/>
      <c r="J1595" s="84"/>
      <c r="K1595" s="84"/>
      <c r="L1595" s="84"/>
      <c r="M1595" s="84"/>
      <c r="N1595" s="84"/>
      <c r="O1595" s="84"/>
      <c r="P1595" s="84"/>
      <c r="Q1595" s="84"/>
      <c r="R1595" s="84"/>
      <c r="S1595" s="84"/>
      <c r="T1595" s="84"/>
      <c r="U1595" s="84"/>
      <c r="V1595" s="84"/>
      <c r="W1595" s="84"/>
      <c r="X1595" s="84"/>
      <c r="Y1595" s="84"/>
      <c r="Z1595" s="87"/>
      <c r="AA1595" s="87"/>
      <c r="AB1595" s="87"/>
      <c r="AC1595" s="87"/>
      <c r="AD1595" s="87"/>
      <c r="AE1595" s="87"/>
      <c r="AF1595" s="87"/>
      <c r="AG1595" s="87"/>
      <c r="AH1595" s="87"/>
      <c r="AI1595" s="87"/>
      <c r="AJ1595" s="87"/>
      <c r="AK1595" s="87"/>
      <c r="AL1595" s="87"/>
      <c r="AM1595" s="87"/>
      <c r="AN1595" s="87"/>
      <c r="AO1595" s="87"/>
      <c r="AP1595" s="87"/>
      <c r="AQ1595" s="87"/>
      <c r="AR1595" s="87"/>
      <c r="AS1595" s="87"/>
      <c r="AT1595" s="87"/>
      <c r="AU1595" s="87"/>
      <c r="AV1595" s="87"/>
      <c r="AW1595" s="87"/>
      <c r="AX1595" s="87"/>
      <c r="AY1595" s="87"/>
      <c r="AZ1595" s="87"/>
      <c r="BA1595" s="87"/>
      <c r="BB1595" s="87"/>
      <c r="BC1595" s="87"/>
      <c r="BD1595" s="87"/>
      <c r="BE1595" s="87"/>
      <c r="BF1595" s="87"/>
      <c r="BG1595" s="87"/>
      <c r="BH1595" s="87"/>
    </row>
    <row r="1596" spans="1:60" ht="16">
      <c r="A1596" s="82"/>
      <c r="B1596" s="82"/>
      <c r="C1596" s="82"/>
      <c r="D1596" s="83"/>
      <c r="E1596" s="84"/>
      <c r="F1596" s="84"/>
      <c r="G1596" s="84"/>
      <c r="H1596" s="82"/>
      <c r="I1596" s="84"/>
      <c r="J1596" s="84"/>
      <c r="K1596" s="84"/>
      <c r="L1596" s="84"/>
      <c r="M1596" s="84"/>
      <c r="N1596" s="84"/>
      <c r="O1596" s="84"/>
      <c r="P1596" s="84"/>
      <c r="Q1596" s="84"/>
      <c r="R1596" s="84"/>
      <c r="S1596" s="84"/>
      <c r="T1596" s="84"/>
      <c r="U1596" s="84"/>
      <c r="V1596" s="84"/>
      <c r="W1596" s="84"/>
      <c r="X1596" s="84"/>
      <c r="Y1596" s="84"/>
      <c r="Z1596" s="87"/>
      <c r="AA1596" s="87"/>
      <c r="AB1596" s="87"/>
      <c r="AC1596" s="87"/>
      <c r="AD1596" s="87"/>
      <c r="AE1596" s="87"/>
      <c r="AF1596" s="87"/>
      <c r="AG1596" s="87"/>
      <c r="AH1596" s="87"/>
      <c r="AI1596" s="87"/>
      <c r="AJ1596" s="87"/>
      <c r="AK1596" s="87"/>
      <c r="AL1596" s="87"/>
      <c r="AM1596" s="87"/>
      <c r="AN1596" s="87"/>
      <c r="AO1596" s="87"/>
      <c r="AP1596" s="87"/>
      <c r="AQ1596" s="87"/>
      <c r="AR1596" s="87"/>
      <c r="AS1596" s="87"/>
      <c r="AT1596" s="87"/>
      <c r="AU1596" s="87"/>
      <c r="AV1596" s="87"/>
      <c r="AW1596" s="87"/>
      <c r="AX1596" s="87"/>
      <c r="AY1596" s="87"/>
      <c r="AZ1596" s="87"/>
      <c r="BA1596" s="87"/>
      <c r="BB1596" s="87"/>
      <c r="BC1596" s="87"/>
      <c r="BD1596" s="87"/>
      <c r="BE1596" s="87"/>
      <c r="BF1596" s="87"/>
      <c r="BG1596" s="87"/>
      <c r="BH1596" s="87"/>
    </row>
    <row r="1597" spans="1:60" ht="16">
      <c r="A1597" s="82"/>
      <c r="B1597" s="82"/>
      <c r="C1597" s="82"/>
      <c r="D1597" s="83"/>
      <c r="E1597" s="84"/>
      <c r="F1597" s="84"/>
      <c r="G1597" s="84"/>
      <c r="H1597" s="82"/>
      <c r="I1597" s="84"/>
      <c r="J1597" s="84"/>
      <c r="K1597" s="84"/>
      <c r="L1597" s="84"/>
      <c r="M1597" s="84"/>
      <c r="N1597" s="84"/>
      <c r="O1597" s="84"/>
      <c r="P1597" s="84"/>
      <c r="Q1597" s="84"/>
      <c r="R1597" s="84"/>
      <c r="S1597" s="84"/>
      <c r="T1597" s="84"/>
      <c r="U1597" s="84"/>
      <c r="V1597" s="84"/>
      <c r="W1597" s="84"/>
      <c r="X1597" s="84"/>
      <c r="Y1597" s="84"/>
      <c r="Z1597" s="87"/>
      <c r="AA1597" s="87"/>
      <c r="AB1597" s="87"/>
      <c r="AC1597" s="87"/>
      <c r="AD1597" s="87"/>
      <c r="AE1597" s="87"/>
      <c r="AF1597" s="87"/>
      <c r="AG1597" s="87"/>
      <c r="AH1597" s="87"/>
      <c r="AI1597" s="87"/>
      <c r="AJ1597" s="87"/>
      <c r="AK1597" s="87"/>
      <c r="AL1597" s="87"/>
      <c r="AM1597" s="87"/>
      <c r="AN1597" s="87"/>
      <c r="AO1597" s="87"/>
      <c r="AP1597" s="87"/>
      <c r="AQ1597" s="87"/>
      <c r="AR1597" s="87"/>
      <c r="AS1597" s="87"/>
      <c r="AT1597" s="87"/>
      <c r="AU1597" s="87"/>
      <c r="AV1597" s="87"/>
      <c r="AW1597" s="87"/>
      <c r="AX1597" s="87"/>
      <c r="AY1597" s="87"/>
      <c r="AZ1597" s="87"/>
      <c r="BA1597" s="87"/>
      <c r="BB1597" s="87"/>
      <c r="BC1597" s="87"/>
      <c r="BD1597" s="87"/>
      <c r="BE1597" s="87"/>
      <c r="BF1597" s="87"/>
      <c r="BG1597" s="87"/>
      <c r="BH1597" s="87"/>
    </row>
    <row r="1598" spans="1:60" ht="16">
      <c r="A1598" s="82"/>
      <c r="B1598" s="82"/>
      <c r="C1598" s="82"/>
      <c r="D1598" s="83"/>
      <c r="E1598" s="84"/>
      <c r="F1598" s="84"/>
      <c r="G1598" s="84"/>
      <c r="H1598" s="82"/>
      <c r="I1598" s="84"/>
      <c r="J1598" s="84"/>
      <c r="K1598" s="84"/>
      <c r="L1598" s="84"/>
      <c r="M1598" s="84"/>
      <c r="N1598" s="84"/>
      <c r="O1598" s="84"/>
      <c r="P1598" s="84"/>
      <c r="Q1598" s="84"/>
      <c r="R1598" s="84"/>
      <c r="S1598" s="84"/>
      <c r="T1598" s="84"/>
      <c r="U1598" s="84"/>
      <c r="V1598" s="84"/>
      <c r="W1598" s="84"/>
      <c r="X1598" s="84"/>
      <c r="Y1598" s="84"/>
      <c r="Z1598" s="87"/>
      <c r="AA1598" s="87"/>
      <c r="AB1598" s="87"/>
      <c r="AC1598" s="87"/>
      <c r="AD1598" s="87"/>
      <c r="AE1598" s="87"/>
      <c r="AF1598" s="87"/>
      <c r="AG1598" s="87"/>
      <c r="AH1598" s="87"/>
      <c r="AI1598" s="87"/>
      <c r="AJ1598" s="87"/>
      <c r="AK1598" s="87"/>
      <c r="AL1598" s="87"/>
      <c r="AM1598" s="87"/>
      <c r="AN1598" s="87"/>
      <c r="AO1598" s="87"/>
      <c r="AP1598" s="87"/>
      <c r="AQ1598" s="87"/>
      <c r="AR1598" s="87"/>
      <c r="AS1598" s="87"/>
      <c r="AT1598" s="87"/>
      <c r="AU1598" s="87"/>
      <c r="AV1598" s="87"/>
      <c r="AW1598" s="87"/>
      <c r="AX1598" s="87"/>
      <c r="AY1598" s="87"/>
      <c r="AZ1598" s="87"/>
      <c r="BA1598" s="87"/>
      <c r="BB1598" s="87"/>
      <c r="BC1598" s="87"/>
      <c r="BD1598" s="87"/>
      <c r="BE1598" s="87"/>
      <c r="BF1598" s="87"/>
      <c r="BG1598" s="87"/>
      <c r="BH1598" s="87"/>
    </row>
    <row r="1599" spans="1:60" ht="16">
      <c r="A1599" s="82"/>
      <c r="B1599" s="82"/>
      <c r="C1599" s="82"/>
      <c r="D1599" s="83"/>
      <c r="E1599" s="84"/>
      <c r="F1599" s="84"/>
      <c r="G1599" s="84"/>
      <c r="H1599" s="82"/>
      <c r="I1599" s="84"/>
      <c r="J1599" s="84"/>
      <c r="K1599" s="84"/>
      <c r="L1599" s="84"/>
      <c r="M1599" s="84"/>
      <c r="N1599" s="84"/>
      <c r="O1599" s="84"/>
      <c r="P1599" s="84"/>
      <c r="Q1599" s="84"/>
      <c r="R1599" s="84"/>
      <c r="S1599" s="84"/>
      <c r="T1599" s="84"/>
      <c r="U1599" s="84"/>
      <c r="V1599" s="84"/>
      <c r="W1599" s="84"/>
      <c r="X1599" s="84"/>
      <c r="Y1599" s="84"/>
      <c r="Z1599" s="87"/>
      <c r="AA1599" s="87"/>
      <c r="AB1599" s="87"/>
      <c r="AC1599" s="87"/>
      <c r="AD1599" s="87"/>
      <c r="AE1599" s="87"/>
      <c r="AF1599" s="87"/>
      <c r="AG1599" s="87"/>
      <c r="AH1599" s="87"/>
      <c r="AI1599" s="87"/>
      <c r="AJ1599" s="87"/>
      <c r="AK1599" s="87"/>
      <c r="AL1599" s="87"/>
      <c r="AM1599" s="87"/>
      <c r="AN1599" s="87"/>
      <c r="AO1599" s="87"/>
      <c r="AP1599" s="87"/>
      <c r="AQ1599" s="87"/>
      <c r="AR1599" s="87"/>
      <c r="AS1599" s="87"/>
      <c r="AT1599" s="87"/>
      <c r="AU1599" s="87"/>
      <c r="AV1599" s="87"/>
      <c r="AW1599" s="87"/>
      <c r="AX1599" s="87"/>
      <c r="AY1599" s="87"/>
      <c r="AZ1599" s="87"/>
      <c r="BA1599" s="87"/>
      <c r="BB1599" s="87"/>
      <c r="BC1599" s="87"/>
      <c r="BD1599" s="87"/>
      <c r="BE1599" s="87"/>
      <c r="BF1599" s="87"/>
      <c r="BG1599" s="87"/>
      <c r="BH1599" s="87"/>
    </row>
    <row r="1600" spans="1:60" ht="16">
      <c r="A1600" s="82"/>
      <c r="B1600" s="82"/>
      <c r="C1600" s="82"/>
      <c r="D1600" s="83"/>
      <c r="E1600" s="84"/>
      <c r="F1600" s="84"/>
      <c r="G1600" s="84"/>
      <c r="H1600" s="82"/>
      <c r="I1600" s="84"/>
      <c r="J1600" s="84"/>
      <c r="K1600" s="84"/>
      <c r="L1600" s="84"/>
      <c r="M1600" s="84"/>
      <c r="N1600" s="84"/>
      <c r="O1600" s="84"/>
      <c r="P1600" s="84"/>
      <c r="Q1600" s="84"/>
      <c r="R1600" s="84"/>
      <c r="S1600" s="84"/>
      <c r="T1600" s="84"/>
      <c r="U1600" s="84"/>
      <c r="V1600" s="84"/>
      <c r="W1600" s="84"/>
      <c r="X1600" s="84"/>
      <c r="Y1600" s="84"/>
      <c r="Z1600" s="87"/>
      <c r="AA1600" s="87"/>
      <c r="AB1600" s="87"/>
      <c r="AC1600" s="87"/>
      <c r="AD1600" s="87"/>
      <c r="AE1600" s="87"/>
      <c r="AF1600" s="87"/>
      <c r="AG1600" s="87"/>
      <c r="AH1600" s="87"/>
      <c r="AI1600" s="87"/>
      <c r="AJ1600" s="87"/>
      <c r="AK1600" s="87"/>
      <c r="AL1600" s="87"/>
      <c r="AM1600" s="87"/>
      <c r="AN1600" s="87"/>
      <c r="AO1600" s="87"/>
      <c r="AP1600" s="87"/>
      <c r="AQ1600" s="87"/>
      <c r="AR1600" s="87"/>
      <c r="AS1600" s="87"/>
      <c r="AT1600" s="87"/>
      <c r="AU1600" s="87"/>
      <c r="AV1600" s="87"/>
      <c r="AW1600" s="87"/>
      <c r="AX1600" s="87"/>
      <c r="AY1600" s="87"/>
      <c r="AZ1600" s="87"/>
      <c r="BA1600" s="87"/>
      <c r="BB1600" s="87"/>
      <c r="BC1600" s="87"/>
      <c r="BD1600" s="87"/>
      <c r="BE1600" s="87"/>
      <c r="BF1600" s="87"/>
      <c r="BG1600" s="87"/>
      <c r="BH1600" s="87"/>
    </row>
    <row r="1601" spans="1:60" ht="16">
      <c r="A1601" s="82"/>
      <c r="B1601" s="82"/>
      <c r="C1601" s="82"/>
      <c r="D1601" s="83"/>
      <c r="E1601" s="84"/>
      <c r="F1601" s="84"/>
      <c r="G1601" s="84"/>
      <c r="H1601" s="82"/>
      <c r="I1601" s="84"/>
      <c r="J1601" s="84"/>
      <c r="K1601" s="84"/>
      <c r="L1601" s="84"/>
      <c r="M1601" s="84"/>
      <c r="N1601" s="84"/>
      <c r="O1601" s="84"/>
      <c r="P1601" s="84"/>
      <c r="Q1601" s="84"/>
      <c r="R1601" s="84"/>
      <c r="S1601" s="84"/>
      <c r="T1601" s="84"/>
      <c r="U1601" s="84"/>
      <c r="V1601" s="84"/>
      <c r="W1601" s="84"/>
      <c r="X1601" s="84"/>
      <c r="Y1601" s="84"/>
      <c r="Z1601" s="87"/>
      <c r="AA1601" s="87"/>
      <c r="AB1601" s="87"/>
      <c r="AC1601" s="87"/>
      <c r="AD1601" s="87"/>
      <c r="AE1601" s="87"/>
      <c r="AF1601" s="87"/>
      <c r="AG1601" s="87"/>
      <c r="AH1601" s="87"/>
      <c r="AI1601" s="87"/>
      <c r="AJ1601" s="87"/>
      <c r="AK1601" s="87"/>
      <c r="AL1601" s="87"/>
      <c r="AM1601" s="87"/>
      <c r="AN1601" s="87"/>
      <c r="AO1601" s="87"/>
      <c r="AP1601" s="87"/>
      <c r="AQ1601" s="87"/>
      <c r="AR1601" s="87"/>
      <c r="AS1601" s="87"/>
      <c r="AT1601" s="87"/>
      <c r="AU1601" s="87"/>
      <c r="AV1601" s="87"/>
      <c r="AW1601" s="87"/>
      <c r="AX1601" s="87"/>
      <c r="AY1601" s="87"/>
      <c r="AZ1601" s="87"/>
      <c r="BA1601" s="87"/>
      <c r="BB1601" s="87"/>
      <c r="BC1601" s="87"/>
      <c r="BD1601" s="87"/>
      <c r="BE1601" s="87"/>
      <c r="BF1601" s="87"/>
      <c r="BG1601" s="87"/>
      <c r="BH1601" s="87"/>
    </row>
    <row r="1602" spans="1:60" ht="16">
      <c r="A1602" s="82"/>
      <c r="B1602" s="82"/>
      <c r="C1602" s="82"/>
      <c r="D1602" s="83"/>
      <c r="E1602" s="84"/>
      <c r="F1602" s="84"/>
      <c r="G1602" s="84"/>
      <c r="H1602" s="82"/>
      <c r="I1602" s="84"/>
      <c r="J1602" s="84"/>
      <c r="K1602" s="84"/>
      <c r="L1602" s="84"/>
      <c r="M1602" s="84"/>
      <c r="N1602" s="84"/>
      <c r="O1602" s="84"/>
      <c r="P1602" s="84"/>
      <c r="Q1602" s="84"/>
      <c r="R1602" s="84"/>
      <c r="S1602" s="84"/>
      <c r="T1602" s="84"/>
      <c r="U1602" s="84"/>
      <c r="V1602" s="84"/>
      <c r="W1602" s="84"/>
      <c r="X1602" s="84"/>
      <c r="Y1602" s="84"/>
      <c r="Z1602" s="87"/>
      <c r="AA1602" s="87"/>
      <c r="AB1602" s="87"/>
      <c r="AC1602" s="87"/>
      <c r="AD1602" s="87"/>
      <c r="AE1602" s="87"/>
      <c r="AF1602" s="87"/>
      <c r="AG1602" s="87"/>
      <c r="AH1602" s="87"/>
      <c r="AI1602" s="87"/>
      <c r="AJ1602" s="87"/>
      <c r="AK1602" s="87"/>
      <c r="AL1602" s="87"/>
      <c r="AM1602" s="87"/>
      <c r="AN1602" s="87"/>
      <c r="AO1602" s="87"/>
      <c r="AP1602" s="87"/>
      <c r="AQ1602" s="87"/>
      <c r="AR1602" s="87"/>
      <c r="AS1602" s="87"/>
      <c r="AT1602" s="87"/>
      <c r="AU1602" s="87"/>
      <c r="AV1602" s="87"/>
      <c r="AW1602" s="87"/>
      <c r="AX1602" s="87"/>
      <c r="AY1602" s="87"/>
      <c r="AZ1602" s="87"/>
      <c r="BA1602" s="87"/>
      <c r="BB1602" s="87"/>
      <c r="BC1602" s="87"/>
      <c r="BD1602" s="87"/>
      <c r="BE1602" s="87"/>
      <c r="BF1602" s="87"/>
      <c r="BG1602" s="87"/>
      <c r="BH1602" s="87"/>
    </row>
    <row r="1603" spans="1:60" ht="16">
      <c r="A1603" s="82"/>
      <c r="B1603" s="82"/>
      <c r="C1603" s="82"/>
      <c r="D1603" s="83"/>
      <c r="E1603" s="84"/>
      <c r="F1603" s="84"/>
      <c r="G1603" s="84"/>
      <c r="H1603" s="82"/>
      <c r="I1603" s="84"/>
      <c r="J1603" s="84"/>
      <c r="K1603" s="84"/>
      <c r="L1603" s="84"/>
      <c r="M1603" s="84"/>
      <c r="N1603" s="84"/>
      <c r="O1603" s="84"/>
      <c r="P1603" s="84"/>
      <c r="Q1603" s="84"/>
      <c r="R1603" s="84"/>
      <c r="S1603" s="84"/>
      <c r="T1603" s="84"/>
      <c r="U1603" s="84"/>
      <c r="V1603" s="84"/>
      <c r="W1603" s="84"/>
      <c r="X1603" s="84"/>
      <c r="Y1603" s="84"/>
      <c r="Z1603" s="87"/>
      <c r="AA1603" s="87"/>
      <c r="AB1603" s="87"/>
      <c r="AC1603" s="87"/>
      <c r="AD1603" s="87"/>
      <c r="AE1603" s="87"/>
      <c r="AF1603" s="87"/>
      <c r="AG1603" s="87"/>
      <c r="AH1603" s="87"/>
      <c r="AI1603" s="87"/>
      <c r="AJ1603" s="87"/>
      <c r="AK1603" s="87"/>
      <c r="AL1603" s="87"/>
      <c r="AM1603" s="87"/>
      <c r="AN1603" s="87"/>
      <c r="AO1603" s="87"/>
      <c r="AP1603" s="87"/>
      <c r="AQ1603" s="87"/>
      <c r="AR1603" s="87"/>
      <c r="AS1603" s="87"/>
      <c r="AT1603" s="87"/>
      <c r="AU1603" s="87"/>
      <c r="AV1603" s="87"/>
      <c r="AW1603" s="87"/>
      <c r="AX1603" s="87"/>
      <c r="AY1603" s="87"/>
      <c r="AZ1603" s="87"/>
      <c r="BA1603" s="87"/>
      <c r="BB1603" s="87"/>
      <c r="BC1603" s="87"/>
      <c r="BD1603" s="87"/>
      <c r="BE1603" s="87"/>
      <c r="BF1603" s="87"/>
      <c r="BG1603" s="87"/>
      <c r="BH1603" s="87"/>
    </row>
    <row r="1604" spans="1:60" ht="16">
      <c r="A1604" s="82"/>
      <c r="B1604" s="82"/>
      <c r="C1604" s="82"/>
      <c r="D1604" s="83"/>
      <c r="E1604" s="84"/>
      <c r="F1604" s="84"/>
      <c r="G1604" s="84"/>
      <c r="H1604" s="82"/>
      <c r="I1604" s="84"/>
      <c r="J1604" s="84"/>
      <c r="K1604" s="84"/>
      <c r="L1604" s="84"/>
      <c r="M1604" s="84"/>
      <c r="N1604" s="84"/>
      <c r="O1604" s="84"/>
      <c r="P1604" s="84"/>
      <c r="Q1604" s="84"/>
      <c r="R1604" s="84"/>
      <c r="S1604" s="84"/>
      <c r="T1604" s="84"/>
      <c r="U1604" s="84"/>
      <c r="V1604" s="84"/>
      <c r="W1604" s="84"/>
      <c r="X1604" s="84"/>
      <c r="Y1604" s="84"/>
      <c r="Z1604" s="87"/>
      <c r="AA1604" s="87"/>
      <c r="AB1604" s="87"/>
      <c r="AC1604" s="87"/>
      <c r="AD1604" s="87"/>
      <c r="AE1604" s="87"/>
      <c r="AF1604" s="87"/>
      <c r="AG1604" s="87"/>
      <c r="AH1604" s="87"/>
      <c r="AI1604" s="87"/>
      <c r="AJ1604" s="87"/>
      <c r="AK1604" s="87"/>
      <c r="AL1604" s="87"/>
      <c r="AM1604" s="87"/>
      <c r="AN1604" s="87"/>
      <c r="AO1604" s="87"/>
      <c r="AP1604" s="87"/>
      <c r="AQ1604" s="87"/>
      <c r="AR1604" s="87"/>
      <c r="AS1604" s="87"/>
      <c r="AT1604" s="87"/>
      <c r="AU1604" s="87"/>
      <c r="AV1604" s="87"/>
      <c r="AW1604" s="87"/>
      <c r="AX1604" s="87"/>
      <c r="AY1604" s="87"/>
      <c r="AZ1604" s="87"/>
      <c r="BA1604" s="87"/>
      <c r="BB1604" s="87"/>
      <c r="BC1604" s="87"/>
      <c r="BD1604" s="87"/>
      <c r="BE1604" s="87"/>
      <c r="BF1604" s="87"/>
      <c r="BG1604" s="87"/>
      <c r="BH1604" s="87"/>
    </row>
    <row r="1605" spans="1:60" ht="16">
      <c r="A1605" s="82"/>
      <c r="B1605" s="82"/>
      <c r="C1605" s="82"/>
      <c r="D1605" s="83"/>
      <c r="E1605" s="84"/>
      <c r="F1605" s="84"/>
      <c r="G1605" s="84"/>
      <c r="H1605" s="82"/>
      <c r="I1605" s="84"/>
      <c r="J1605" s="84"/>
      <c r="K1605" s="84"/>
      <c r="L1605" s="84"/>
      <c r="M1605" s="84"/>
      <c r="N1605" s="84"/>
      <c r="O1605" s="84"/>
      <c r="P1605" s="84"/>
      <c r="Q1605" s="84"/>
      <c r="R1605" s="84"/>
      <c r="S1605" s="84"/>
      <c r="T1605" s="84"/>
      <c r="U1605" s="84"/>
      <c r="V1605" s="84"/>
      <c r="W1605" s="84"/>
      <c r="X1605" s="84"/>
      <c r="Y1605" s="84"/>
      <c r="Z1605" s="87"/>
      <c r="AA1605" s="87"/>
      <c r="AB1605" s="87"/>
      <c r="AC1605" s="87"/>
      <c r="AD1605" s="87"/>
      <c r="AE1605" s="87"/>
      <c r="AF1605" s="87"/>
      <c r="AG1605" s="87"/>
      <c r="AH1605" s="87"/>
      <c r="AI1605" s="87"/>
      <c r="AJ1605" s="87"/>
      <c r="AK1605" s="87"/>
      <c r="AL1605" s="87"/>
      <c r="AM1605" s="87"/>
      <c r="AN1605" s="87"/>
      <c r="AO1605" s="87"/>
      <c r="AP1605" s="87"/>
      <c r="AQ1605" s="87"/>
      <c r="AR1605" s="87"/>
      <c r="AS1605" s="87"/>
      <c r="AT1605" s="87"/>
      <c r="AU1605" s="87"/>
      <c r="AV1605" s="87"/>
      <c r="AW1605" s="87"/>
      <c r="AX1605" s="87"/>
      <c r="AY1605" s="87"/>
      <c r="AZ1605" s="87"/>
      <c r="BA1605" s="87"/>
      <c r="BB1605" s="87"/>
      <c r="BC1605" s="87"/>
      <c r="BD1605" s="87"/>
      <c r="BE1605" s="87"/>
      <c r="BF1605" s="87"/>
      <c r="BG1605" s="87"/>
      <c r="BH1605" s="87"/>
    </row>
    <row r="1606" spans="1:60" ht="16">
      <c r="A1606" s="82"/>
      <c r="B1606" s="82"/>
      <c r="C1606" s="82"/>
      <c r="D1606" s="83"/>
      <c r="E1606" s="84"/>
      <c r="F1606" s="84"/>
      <c r="G1606" s="84"/>
      <c r="H1606" s="82"/>
      <c r="I1606" s="84"/>
      <c r="J1606" s="84"/>
      <c r="K1606" s="84"/>
      <c r="L1606" s="84"/>
      <c r="M1606" s="84"/>
      <c r="N1606" s="84"/>
      <c r="O1606" s="84"/>
      <c r="P1606" s="84"/>
      <c r="Q1606" s="84"/>
      <c r="R1606" s="84"/>
      <c r="S1606" s="84"/>
      <c r="T1606" s="84"/>
      <c r="U1606" s="84"/>
      <c r="V1606" s="84"/>
      <c r="W1606" s="84"/>
      <c r="X1606" s="84"/>
      <c r="Y1606" s="84"/>
      <c r="Z1606" s="87"/>
      <c r="AA1606" s="87"/>
      <c r="AB1606" s="87"/>
      <c r="AC1606" s="87"/>
      <c r="AD1606" s="87"/>
      <c r="AE1606" s="87"/>
      <c r="AF1606" s="87"/>
      <c r="AG1606" s="87"/>
      <c r="AH1606" s="87"/>
      <c r="AI1606" s="87"/>
      <c r="AJ1606" s="87"/>
      <c r="AK1606" s="87"/>
      <c r="AL1606" s="87"/>
      <c r="AM1606" s="87"/>
      <c r="AN1606" s="87"/>
      <c r="AO1606" s="87"/>
      <c r="AP1606" s="87"/>
      <c r="AQ1606" s="87"/>
      <c r="AR1606" s="87"/>
      <c r="AS1606" s="87"/>
      <c r="AT1606" s="87"/>
      <c r="AU1606" s="87"/>
      <c r="AV1606" s="87"/>
      <c r="AW1606" s="87"/>
      <c r="AX1606" s="87"/>
      <c r="AY1606" s="87"/>
      <c r="AZ1606" s="87"/>
      <c r="BA1606" s="87"/>
      <c r="BB1606" s="87"/>
      <c r="BC1606" s="87"/>
      <c r="BD1606" s="87"/>
      <c r="BE1606" s="87"/>
      <c r="BF1606" s="87"/>
      <c r="BG1606" s="87"/>
      <c r="BH1606" s="87"/>
    </row>
    <row r="1607" spans="1:60" ht="16">
      <c r="A1607" s="82"/>
      <c r="B1607" s="82"/>
      <c r="C1607" s="82"/>
      <c r="D1607" s="83"/>
      <c r="E1607" s="84"/>
      <c r="F1607" s="84"/>
      <c r="G1607" s="84"/>
      <c r="H1607" s="82"/>
      <c r="I1607" s="84"/>
      <c r="J1607" s="84"/>
      <c r="K1607" s="84"/>
      <c r="L1607" s="84"/>
      <c r="M1607" s="84"/>
      <c r="N1607" s="84"/>
      <c r="O1607" s="84"/>
      <c r="P1607" s="84"/>
      <c r="Q1607" s="84"/>
      <c r="R1607" s="84"/>
      <c r="S1607" s="84"/>
      <c r="T1607" s="84"/>
      <c r="U1607" s="84"/>
      <c r="V1607" s="84"/>
      <c r="W1607" s="84"/>
      <c r="X1607" s="84"/>
      <c r="Y1607" s="84"/>
      <c r="Z1607" s="87"/>
      <c r="AA1607" s="87"/>
      <c r="AB1607" s="87"/>
      <c r="AC1607" s="87"/>
      <c r="AD1607" s="87"/>
      <c r="AE1607" s="87"/>
      <c r="AF1607" s="87"/>
      <c r="AG1607" s="87"/>
      <c r="AH1607" s="87"/>
      <c r="AI1607" s="87"/>
      <c r="AJ1607" s="87"/>
      <c r="AK1607" s="87"/>
      <c r="AL1607" s="87"/>
      <c r="AM1607" s="87"/>
      <c r="AN1607" s="87"/>
      <c r="AO1607" s="87"/>
      <c r="AP1607" s="87"/>
      <c r="AQ1607" s="87"/>
      <c r="AR1607" s="87"/>
      <c r="AS1607" s="87"/>
      <c r="AT1607" s="87"/>
      <c r="AU1607" s="87"/>
      <c r="AV1607" s="87"/>
      <c r="AW1607" s="87"/>
      <c r="AX1607" s="87"/>
      <c r="AY1607" s="87"/>
      <c r="AZ1607" s="87"/>
      <c r="BA1607" s="87"/>
      <c r="BB1607" s="87"/>
      <c r="BC1607" s="87"/>
      <c r="BD1607" s="87"/>
      <c r="BE1607" s="87"/>
      <c r="BF1607" s="87"/>
      <c r="BG1607" s="87"/>
      <c r="BH1607" s="87"/>
    </row>
    <row r="1608" spans="1:60" ht="16">
      <c r="A1608" s="82"/>
      <c r="B1608" s="82"/>
      <c r="C1608" s="82"/>
      <c r="D1608" s="83"/>
      <c r="E1608" s="84"/>
      <c r="F1608" s="84"/>
      <c r="G1608" s="84"/>
      <c r="H1608" s="82"/>
      <c r="I1608" s="84"/>
      <c r="J1608" s="84"/>
      <c r="K1608" s="84"/>
      <c r="L1608" s="84"/>
      <c r="M1608" s="84"/>
      <c r="N1608" s="84"/>
      <c r="O1608" s="84"/>
      <c r="P1608" s="84"/>
      <c r="Q1608" s="84"/>
      <c r="R1608" s="84"/>
      <c r="S1608" s="84"/>
      <c r="T1608" s="84"/>
      <c r="U1608" s="84"/>
      <c r="V1608" s="84"/>
      <c r="W1608" s="84"/>
      <c r="X1608" s="84"/>
      <c r="Y1608" s="84"/>
      <c r="Z1608" s="87"/>
      <c r="AA1608" s="87"/>
      <c r="AB1608" s="87"/>
      <c r="AC1608" s="87"/>
      <c r="AD1608" s="87"/>
      <c r="AE1608" s="87"/>
      <c r="AF1608" s="87"/>
      <c r="AG1608" s="87"/>
      <c r="AH1608" s="87"/>
      <c r="AI1608" s="87"/>
      <c r="AJ1608" s="87"/>
      <c r="AK1608" s="87"/>
      <c r="AL1608" s="87"/>
      <c r="AM1608" s="87"/>
      <c r="AN1608" s="87"/>
      <c r="AO1608" s="87"/>
      <c r="AP1608" s="87"/>
      <c r="AQ1608" s="87"/>
      <c r="AR1608" s="87"/>
      <c r="AS1608" s="87"/>
      <c r="AT1608" s="87"/>
      <c r="AU1608" s="87"/>
      <c r="AV1608" s="87"/>
      <c r="AW1608" s="87"/>
      <c r="AX1608" s="87"/>
      <c r="AY1608" s="87"/>
      <c r="AZ1608" s="87"/>
      <c r="BA1608" s="87"/>
      <c r="BB1608" s="87"/>
      <c r="BC1608" s="87"/>
      <c r="BD1608" s="87"/>
      <c r="BE1608" s="87"/>
      <c r="BF1608" s="87"/>
      <c r="BG1608" s="87"/>
      <c r="BH1608" s="87"/>
    </row>
    <row r="1609" spans="1:60" ht="16">
      <c r="A1609" s="82"/>
      <c r="B1609" s="82"/>
      <c r="C1609" s="82"/>
      <c r="D1609" s="83"/>
      <c r="E1609" s="84"/>
      <c r="F1609" s="84"/>
      <c r="G1609" s="84"/>
      <c r="H1609" s="82"/>
      <c r="I1609" s="84"/>
      <c r="J1609" s="84"/>
      <c r="K1609" s="84"/>
      <c r="L1609" s="84"/>
      <c r="M1609" s="84"/>
      <c r="N1609" s="84"/>
      <c r="O1609" s="84"/>
      <c r="P1609" s="84"/>
      <c r="Q1609" s="84"/>
      <c r="R1609" s="84"/>
      <c r="S1609" s="84"/>
      <c r="T1609" s="84"/>
      <c r="U1609" s="84"/>
      <c r="V1609" s="84"/>
      <c r="W1609" s="84"/>
      <c r="X1609" s="84"/>
      <c r="Y1609" s="84"/>
      <c r="Z1609" s="87"/>
      <c r="AA1609" s="87"/>
      <c r="AB1609" s="87"/>
      <c r="AC1609" s="87"/>
      <c r="AD1609" s="87"/>
      <c r="AE1609" s="87"/>
      <c r="AF1609" s="87"/>
      <c r="AG1609" s="87"/>
      <c r="AH1609" s="87"/>
      <c r="AI1609" s="87"/>
      <c r="AJ1609" s="87"/>
      <c r="AK1609" s="87"/>
      <c r="AL1609" s="87"/>
      <c r="AM1609" s="87"/>
      <c r="AN1609" s="87"/>
      <c r="AO1609" s="87"/>
      <c r="AP1609" s="87"/>
      <c r="AQ1609" s="87"/>
      <c r="AR1609" s="87"/>
      <c r="AS1609" s="87"/>
      <c r="AT1609" s="87"/>
      <c r="AU1609" s="87"/>
      <c r="AV1609" s="87"/>
      <c r="AW1609" s="87"/>
      <c r="AX1609" s="87"/>
      <c r="AY1609" s="87"/>
      <c r="AZ1609" s="87"/>
      <c r="BA1609" s="87"/>
      <c r="BB1609" s="87"/>
      <c r="BC1609" s="87"/>
      <c r="BD1609" s="87"/>
      <c r="BE1609" s="87"/>
      <c r="BF1609" s="87"/>
      <c r="BG1609" s="87"/>
      <c r="BH1609" s="87"/>
    </row>
    <row r="1610" spans="1:60" ht="16">
      <c r="A1610" s="82"/>
      <c r="B1610" s="82"/>
      <c r="C1610" s="82"/>
      <c r="D1610" s="83"/>
      <c r="E1610" s="84"/>
      <c r="F1610" s="84"/>
      <c r="G1610" s="84"/>
      <c r="H1610" s="82"/>
      <c r="I1610" s="84"/>
      <c r="J1610" s="84"/>
      <c r="K1610" s="84"/>
      <c r="L1610" s="84"/>
      <c r="M1610" s="84"/>
      <c r="N1610" s="84"/>
      <c r="O1610" s="84"/>
      <c r="P1610" s="84"/>
      <c r="Q1610" s="84"/>
      <c r="R1610" s="84"/>
      <c r="S1610" s="84"/>
      <c r="T1610" s="84"/>
      <c r="U1610" s="84"/>
      <c r="V1610" s="84"/>
      <c r="W1610" s="84"/>
      <c r="X1610" s="84"/>
      <c r="Y1610" s="84"/>
      <c r="Z1610" s="87"/>
      <c r="AA1610" s="87"/>
      <c r="AB1610" s="87"/>
      <c r="AC1610" s="87"/>
      <c r="AD1610" s="87"/>
      <c r="AE1610" s="87"/>
      <c r="AF1610" s="87"/>
      <c r="AG1610" s="87"/>
      <c r="AH1610" s="87"/>
      <c r="AI1610" s="87"/>
      <c r="AJ1610" s="87"/>
      <c r="AK1610" s="87"/>
      <c r="AL1610" s="87"/>
      <c r="AM1610" s="87"/>
      <c r="AN1610" s="87"/>
      <c r="AO1610" s="87"/>
      <c r="AP1610" s="87"/>
      <c r="AQ1610" s="87"/>
      <c r="AR1610" s="87"/>
      <c r="AS1610" s="87"/>
      <c r="AT1610" s="87"/>
      <c r="AU1610" s="87"/>
      <c r="AV1610" s="87"/>
      <c r="AW1610" s="87"/>
      <c r="AX1610" s="87"/>
      <c r="AY1610" s="87"/>
      <c r="AZ1610" s="87"/>
      <c r="BA1610" s="87"/>
      <c r="BB1610" s="87"/>
      <c r="BC1610" s="87"/>
      <c r="BD1610" s="87"/>
      <c r="BE1610" s="87"/>
      <c r="BF1610" s="87"/>
      <c r="BG1610" s="87"/>
      <c r="BH1610" s="87"/>
    </row>
    <row r="1611" spans="1:60" ht="16">
      <c r="A1611" s="82"/>
      <c r="B1611" s="82"/>
      <c r="C1611" s="82"/>
      <c r="D1611" s="83"/>
      <c r="E1611" s="84"/>
      <c r="F1611" s="84"/>
      <c r="G1611" s="84"/>
      <c r="H1611" s="82"/>
      <c r="I1611" s="84"/>
      <c r="J1611" s="84"/>
      <c r="K1611" s="84"/>
      <c r="L1611" s="84"/>
      <c r="M1611" s="84"/>
      <c r="N1611" s="84"/>
      <c r="O1611" s="84"/>
      <c r="P1611" s="84"/>
      <c r="Q1611" s="84"/>
      <c r="R1611" s="84"/>
      <c r="S1611" s="84"/>
      <c r="T1611" s="84"/>
      <c r="U1611" s="84"/>
      <c r="V1611" s="84"/>
      <c r="W1611" s="84"/>
      <c r="X1611" s="84"/>
      <c r="Y1611" s="84"/>
      <c r="Z1611" s="87"/>
      <c r="AA1611" s="87"/>
      <c r="AB1611" s="87"/>
      <c r="AC1611" s="87"/>
      <c r="AD1611" s="87"/>
      <c r="AE1611" s="87"/>
      <c r="AF1611" s="87"/>
      <c r="AG1611" s="87"/>
      <c r="AH1611" s="87"/>
      <c r="AI1611" s="87"/>
      <c r="AJ1611" s="87"/>
      <c r="AK1611" s="87"/>
      <c r="AL1611" s="87"/>
      <c r="AM1611" s="87"/>
      <c r="AN1611" s="87"/>
      <c r="AO1611" s="87"/>
      <c r="AP1611" s="87"/>
      <c r="AQ1611" s="87"/>
      <c r="AR1611" s="87"/>
      <c r="AS1611" s="87"/>
      <c r="AT1611" s="87"/>
      <c r="AU1611" s="87"/>
      <c r="AV1611" s="87"/>
      <c r="AW1611" s="87"/>
      <c r="AX1611" s="87"/>
      <c r="AY1611" s="87"/>
      <c r="AZ1611" s="87"/>
      <c r="BA1611" s="87"/>
      <c r="BB1611" s="87"/>
      <c r="BC1611" s="87"/>
      <c r="BD1611" s="87"/>
      <c r="BE1611" s="87"/>
      <c r="BF1611" s="87"/>
      <c r="BG1611" s="87"/>
      <c r="BH1611" s="87"/>
    </row>
    <row r="1612" spans="1:60" ht="16">
      <c r="A1612" s="82"/>
      <c r="B1612" s="82"/>
      <c r="C1612" s="82"/>
      <c r="D1612" s="83"/>
      <c r="E1612" s="84"/>
      <c r="F1612" s="84"/>
      <c r="G1612" s="84"/>
      <c r="H1612" s="82"/>
      <c r="I1612" s="84"/>
      <c r="J1612" s="84"/>
      <c r="K1612" s="84"/>
      <c r="L1612" s="84"/>
      <c r="M1612" s="84"/>
      <c r="N1612" s="84"/>
      <c r="O1612" s="84"/>
      <c r="P1612" s="84"/>
      <c r="Q1612" s="84"/>
      <c r="R1612" s="84"/>
      <c r="S1612" s="84"/>
      <c r="T1612" s="84"/>
      <c r="U1612" s="84"/>
      <c r="V1612" s="84"/>
      <c r="W1612" s="84"/>
      <c r="X1612" s="84"/>
      <c r="Y1612" s="84"/>
      <c r="Z1612" s="87"/>
      <c r="AA1612" s="87"/>
      <c r="AB1612" s="87"/>
      <c r="AC1612" s="87"/>
      <c r="AD1612" s="87"/>
      <c r="AE1612" s="87"/>
      <c r="AF1612" s="87"/>
      <c r="AG1612" s="87"/>
      <c r="AH1612" s="87"/>
      <c r="AI1612" s="87"/>
      <c r="AJ1612" s="87"/>
      <c r="AK1612" s="87"/>
      <c r="AL1612" s="87"/>
      <c r="AM1612" s="87"/>
      <c r="AN1612" s="87"/>
      <c r="AO1612" s="87"/>
      <c r="AP1612" s="87"/>
      <c r="AQ1612" s="87"/>
      <c r="AR1612" s="87"/>
      <c r="AS1612" s="87"/>
      <c r="AT1612" s="87"/>
      <c r="AU1612" s="87"/>
      <c r="AV1612" s="87"/>
      <c r="AW1612" s="87"/>
      <c r="AX1612" s="87"/>
      <c r="AY1612" s="87"/>
      <c r="AZ1612" s="87"/>
      <c r="BA1612" s="87"/>
      <c r="BB1612" s="87"/>
      <c r="BC1612" s="87"/>
      <c r="BD1612" s="87"/>
      <c r="BE1612" s="87"/>
      <c r="BF1612" s="87"/>
      <c r="BG1612" s="87"/>
      <c r="BH1612" s="87"/>
    </row>
    <row r="1613" spans="1:60" ht="16">
      <c r="A1613" s="82"/>
      <c r="B1613" s="82"/>
      <c r="C1613" s="82"/>
      <c r="D1613" s="83"/>
      <c r="E1613" s="84"/>
      <c r="F1613" s="84"/>
      <c r="G1613" s="84"/>
      <c r="H1613" s="82"/>
      <c r="I1613" s="84"/>
      <c r="J1613" s="84"/>
      <c r="K1613" s="84"/>
      <c r="L1613" s="84"/>
      <c r="M1613" s="84"/>
      <c r="N1613" s="84"/>
      <c r="O1613" s="84"/>
      <c r="P1613" s="84"/>
      <c r="Q1613" s="84"/>
      <c r="R1613" s="84"/>
      <c r="S1613" s="84"/>
      <c r="T1613" s="84"/>
      <c r="U1613" s="84"/>
      <c r="V1613" s="84"/>
      <c r="W1613" s="84"/>
      <c r="X1613" s="84"/>
      <c r="Y1613" s="84"/>
      <c r="Z1613" s="87"/>
      <c r="AA1613" s="87"/>
      <c r="AB1613" s="87"/>
      <c r="AC1613" s="87"/>
      <c r="AD1613" s="87"/>
      <c r="AE1613" s="87"/>
      <c r="AF1613" s="87"/>
      <c r="AG1613" s="87"/>
      <c r="AH1613" s="87"/>
      <c r="AI1613" s="87"/>
      <c r="AJ1613" s="87"/>
      <c r="AK1613" s="87"/>
      <c r="AL1613" s="87"/>
      <c r="AM1613" s="87"/>
      <c r="AN1613" s="87"/>
      <c r="AO1613" s="87"/>
      <c r="AP1613" s="87"/>
      <c r="AQ1613" s="87"/>
      <c r="AR1613" s="87"/>
      <c r="AS1613" s="87"/>
      <c r="AT1613" s="87"/>
      <c r="AU1613" s="87"/>
      <c r="AV1613" s="87"/>
      <c r="AW1613" s="87"/>
      <c r="AX1613" s="87"/>
      <c r="AY1613" s="87"/>
      <c r="AZ1613" s="87"/>
      <c r="BA1613" s="87"/>
      <c r="BB1613" s="87"/>
      <c r="BC1613" s="87"/>
      <c r="BD1613" s="87"/>
      <c r="BE1613" s="87"/>
      <c r="BF1613" s="87"/>
      <c r="BG1613" s="87"/>
      <c r="BH1613" s="87"/>
    </row>
    <row r="1614" spans="1:60" ht="16">
      <c r="A1614" s="82"/>
      <c r="B1614" s="82"/>
      <c r="C1614" s="82"/>
      <c r="D1614" s="83"/>
      <c r="E1614" s="84"/>
      <c r="F1614" s="84"/>
      <c r="G1614" s="84"/>
      <c r="H1614" s="82"/>
      <c r="I1614" s="84"/>
      <c r="J1614" s="84"/>
      <c r="K1614" s="84"/>
      <c r="L1614" s="84"/>
      <c r="M1614" s="84"/>
      <c r="N1614" s="84"/>
      <c r="O1614" s="84"/>
      <c r="P1614" s="84"/>
      <c r="Q1614" s="84"/>
      <c r="R1614" s="84"/>
      <c r="S1614" s="84"/>
      <c r="T1614" s="84"/>
      <c r="U1614" s="84"/>
      <c r="V1614" s="84"/>
      <c r="W1614" s="84"/>
      <c r="X1614" s="84"/>
      <c r="Y1614" s="84"/>
      <c r="Z1614" s="87"/>
      <c r="AA1614" s="87"/>
      <c r="AB1614" s="87"/>
      <c r="AC1614" s="87"/>
      <c r="AD1614" s="87"/>
      <c r="AE1614" s="87"/>
      <c r="AF1614" s="87"/>
      <c r="AG1614" s="87"/>
      <c r="AH1614" s="87"/>
      <c r="AI1614" s="87"/>
      <c r="AJ1614" s="87"/>
      <c r="AK1614" s="87"/>
      <c r="AL1614" s="87"/>
      <c r="AM1614" s="87"/>
      <c r="AN1614" s="87"/>
      <c r="AO1614" s="87"/>
      <c r="AP1614" s="87"/>
      <c r="AQ1614" s="87"/>
      <c r="AR1614" s="87"/>
      <c r="AS1614" s="87"/>
      <c r="AT1614" s="87"/>
      <c r="AU1614" s="87"/>
      <c r="AV1614" s="87"/>
      <c r="AW1614" s="87"/>
      <c r="AX1614" s="87"/>
      <c r="AY1614" s="87"/>
      <c r="AZ1614" s="87"/>
      <c r="BA1614" s="87"/>
      <c r="BB1614" s="87"/>
      <c r="BC1614" s="87"/>
      <c r="BD1614" s="87"/>
      <c r="BE1614" s="87"/>
      <c r="BF1614" s="87"/>
      <c r="BG1614" s="87"/>
      <c r="BH1614" s="87"/>
    </row>
    <row r="1615" spans="1:60" ht="16">
      <c r="A1615" s="82"/>
      <c r="B1615" s="82"/>
      <c r="C1615" s="82"/>
      <c r="D1615" s="83"/>
      <c r="E1615" s="84"/>
      <c r="F1615" s="84"/>
      <c r="G1615" s="84"/>
      <c r="H1615" s="82"/>
      <c r="I1615" s="84"/>
      <c r="J1615" s="84"/>
      <c r="K1615" s="84"/>
      <c r="L1615" s="84"/>
      <c r="M1615" s="84"/>
      <c r="N1615" s="84"/>
      <c r="O1615" s="84"/>
      <c r="P1615" s="84"/>
      <c r="Q1615" s="84"/>
      <c r="R1615" s="84"/>
      <c r="S1615" s="84"/>
      <c r="T1615" s="84"/>
      <c r="U1615" s="84"/>
      <c r="V1615" s="84"/>
      <c r="W1615" s="84"/>
      <c r="X1615" s="84"/>
      <c r="Y1615" s="84"/>
      <c r="Z1615" s="87"/>
      <c r="AA1615" s="87"/>
      <c r="AB1615" s="87"/>
      <c r="AC1615" s="87"/>
      <c r="AD1615" s="87"/>
      <c r="AE1615" s="87"/>
      <c r="AF1615" s="87"/>
      <c r="AG1615" s="87"/>
      <c r="AH1615" s="87"/>
      <c r="AI1615" s="87"/>
      <c r="AJ1615" s="87"/>
      <c r="AK1615" s="87"/>
      <c r="AL1615" s="87"/>
      <c r="AM1615" s="87"/>
      <c r="AN1615" s="87"/>
      <c r="AO1615" s="87"/>
      <c r="AP1615" s="87"/>
      <c r="AQ1615" s="87"/>
      <c r="AR1615" s="87"/>
      <c r="AS1615" s="87"/>
      <c r="AT1615" s="87"/>
      <c r="AU1615" s="87"/>
      <c r="AV1615" s="87"/>
      <c r="AW1615" s="87"/>
      <c r="AX1615" s="87"/>
      <c r="AY1615" s="87"/>
      <c r="AZ1615" s="87"/>
      <c r="BA1615" s="87"/>
      <c r="BB1615" s="87"/>
      <c r="BC1615" s="87"/>
      <c r="BD1615" s="87"/>
      <c r="BE1615" s="87"/>
      <c r="BF1615" s="87"/>
      <c r="BG1615" s="87"/>
      <c r="BH1615" s="87"/>
    </row>
    <row r="1616" spans="1:60" ht="16">
      <c r="A1616" s="82"/>
      <c r="B1616" s="82"/>
      <c r="C1616" s="82"/>
      <c r="D1616" s="83"/>
      <c r="E1616" s="84"/>
      <c r="F1616" s="84"/>
      <c r="G1616" s="84"/>
      <c r="H1616" s="82"/>
      <c r="I1616" s="84"/>
      <c r="J1616" s="84"/>
      <c r="K1616" s="84"/>
      <c r="L1616" s="84"/>
      <c r="M1616" s="84"/>
      <c r="N1616" s="84"/>
      <c r="O1616" s="84"/>
      <c r="P1616" s="84"/>
      <c r="Q1616" s="84"/>
      <c r="R1616" s="84"/>
      <c r="S1616" s="84"/>
      <c r="T1616" s="84"/>
      <c r="U1616" s="84"/>
      <c r="V1616" s="84"/>
      <c r="W1616" s="84"/>
      <c r="X1616" s="84"/>
      <c r="Y1616" s="84"/>
      <c r="Z1616" s="87"/>
      <c r="AA1616" s="87"/>
      <c r="AB1616" s="87"/>
      <c r="AC1616" s="87"/>
      <c r="AD1616" s="87"/>
      <c r="AE1616" s="87"/>
      <c r="AF1616" s="87"/>
      <c r="AG1616" s="87"/>
      <c r="AH1616" s="87"/>
      <c r="AI1616" s="87"/>
      <c r="AJ1616" s="87"/>
      <c r="AK1616" s="87"/>
      <c r="AL1616" s="87"/>
      <c r="AM1616" s="87"/>
      <c r="AN1616" s="87"/>
      <c r="AO1616" s="87"/>
      <c r="AP1616" s="87"/>
      <c r="AQ1616" s="87"/>
      <c r="AR1616" s="87"/>
      <c r="AS1616" s="87"/>
      <c r="AT1616" s="87"/>
      <c r="AU1616" s="87"/>
      <c r="AV1616" s="87"/>
      <c r="AW1616" s="87"/>
      <c r="AX1616" s="87"/>
      <c r="AY1616" s="87"/>
      <c r="AZ1616" s="87"/>
      <c r="BA1616" s="87"/>
      <c r="BB1616" s="87"/>
      <c r="BC1616" s="87"/>
      <c r="BD1616" s="87"/>
      <c r="BE1616" s="87"/>
      <c r="BF1616" s="87"/>
      <c r="BG1616" s="87"/>
      <c r="BH1616" s="87"/>
    </row>
    <row r="1617" spans="1:60" ht="16">
      <c r="A1617" s="82"/>
      <c r="B1617" s="82"/>
      <c r="C1617" s="82"/>
      <c r="D1617" s="83"/>
      <c r="E1617" s="84"/>
      <c r="F1617" s="84"/>
      <c r="G1617" s="84"/>
      <c r="H1617" s="82"/>
      <c r="I1617" s="84"/>
      <c r="J1617" s="84"/>
      <c r="K1617" s="84"/>
      <c r="L1617" s="84"/>
      <c r="M1617" s="84"/>
      <c r="N1617" s="84"/>
      <c r="O1617" s="84"/>
      <c r="P1617" s="84"/>
      <c r="Q1617" s="84"/>
      <c r="R1617" s="84"/>
      <c r="S1617" s="84"/>
      <c r="T1617" s="84"/>
      <c r="U1617" s="84"/>
      <c r="V1617" s="84"/>
      <c r="W1617" s="84"/>
      <c r="X1617" s="84"/>
      <c r="Y1617" s="84"/>
      <c r="Z1617" s="87"/>
      <c r="AA1617" s="87"/>
      <c r="AB1617" s="87"/>
      <c r="AC1617" s="87"/>
      <c r="AD1617" s="87"/>
      <c r="AE1617" s="87"/>
      <c r="AF1617" s="87"/>
      <c r="AG1617" s="87"/>
      <c r="AH1617" s="87"/>
      <c r="AI1617" s="87"/>
      <c r="AJ1617" s="87"/>
      <c r="AK1617" s="87"/>
      <c r="AL1617" s="87"/>
      <c r="AM1617" s="87"/>
      <c r="AN1617" s="87"/>
      <c r="AO1617" s="87"/>
      <c r="AP1617" s="87"/>
      <c r="AQ1617" s="87"/>
      <c r="AR1617" s="87"/>
      <c r="AS1617" s="87"/>
      <c r="AT1617" s="87"/>
      <c r="AU1617" s="87"/>
      <c r="AV1617" s="87"/>
      <c r="AW1617" s="87"/>
      <c r="AX1617" s="87"/>
      <c r="AY1617" s="87"/>
      <c r="AZ1617" s="87"/>
      <c r="BA1617" s="87"/>
      <c r="BB1617" s="87"/>
      <c r="BC1617" s="87"/>
      <c r="BD1617" s="87"/>
      <c r="BE1617" s="87"/>
      <c r="BF1617" s="87"/>
      <c r="BG1617" s="87"/>
      <c r="BH1617" s="87"/>
    </row>
    <row r="1618" spans="1:60" ht="16">
      <c r="A1618" s="82"/>
      <c r="B1618" s="82"/>
      <c r="C1618" s="82"/>
      <c r="D1618" s="83"/>
      <c r="E1618" s="84"/>
      <c r="F1618" s="84"/>
      <c r="G1618" s="84"/>
      <c r="H1618" s="82"/>
      <c r="I1618" s="84"/>
      <c r="J1618" s="84"/>
      <c r="K1618" s="84"/>
      <c r="L1618" s="84"/>
      <c r="M1618" s="84"/>
      <c r="N1618" s="84"/>
      <c r="O1618" s="84"/>
      <c r="P1618" s="84"/>
      <c r="Q1618" s="84"/>
      <c r="R1618" s="84"/>
      <c r="S1618" s="84"/>
      <c r="T1618" s="84"/>
      <c r="U1618" s="84"/>
      <c r="V1618" s="84"/>
      <c r="W1618" s="84"/>
      <c r="X1618" s="84"/>
      <c r="Y1618" s="84"/>
      <c r="Z1618" s="87"/>
      <c r="AA1618" s="87"/>
      <c r="AB1618" s="87"/>
      <c r="AC1618" s="87"/>
      <c r="AD1618" s="87"/>
      <c r="AE1618" s="87"/>
      <c r="AF1618" s="87"/>
      <c r="AG1618" s="87"/>
      <c r="AH1618" s="87"/>
      <c r="AI1618" s="87"/>
      <c r="AJ1618" s="87"/>
      <c r="AK1618" s="87"/>
      <c r="AL1618" s="87"/>
      <c r="AM1618" s="87"/>
      <c r="AN1618" s="87"/>
      <c r="AO1618" s="87"/>
      <c r="AP1618" s="87"/>
      <c r="AQ1618" s="87"/>
      <c r="AR1618" s="87"/>
      <c r="AS1618" s="87"/>
      <c r="AT1618" s="87"/>
      <c r="AU1618" s="87"/>
      <c r="AV1618" s="87"/>
      <c r="AW1618" s="87"/>
      <c r="AX1618" s="87"/>
      <c r="AY1618" s="87"/>
      <c r="AZ1618" s="87"/>
      <c r="BA1618" s="87"/>
      <c r="BB1618" s="87"/>
      <c r="BC1618" s="87"/>
      <c r="BD1618" s="87"/>
      <c r="BE1618" s="87"/>
      <c r="BF1618" s="87"/>
      <c r="BG1618" s="87"/>
      <c r="BH1618" s="87"/>
    </row>
    <row r="1619" spans="1:60" ht="16">
      <c r="A1619" s="82"/>
      <c r="B1619" s="82"/>
      <c r="C1619" s="82"/>
      <c r="D1619" s="83"/>
      <c r="E1619" s="84"/>
      <c r="F1619" s="84"/>
      <c r="G1619" s="84"/>
      <c r="H1619" s="82"/>
      <c r="I1619" s="84"/>
      <c r="J1619" s="84"/>
      <c r="K1619" s="84"/>
      <c r="L1619" s="84"/>
      <c r="M1619" s="84"/>
      <c r="N1619" s="84"/>
      <c r="O1619" s="84"/>
      <c r="P1619" s="84"/>
      <c r="Q1619" s="84"/>
      <c r="R1619" s="84"/>
      <c r="S1619" s="84"/>
      <c r="T1619" s="84"/>
      <c r="U1619" s="84"/>
      <c r="V1619" s="84"/>
      <c r="W1619" s="84"/>
      <c r="X1619" s="84"/>
      <c r="Y1619" s="84"/>
      <c r="Z1619" s="87"/>
      <c r="AA1619" s="87"/>
      <c r="AB1619" s="87"/>
      <c r="AC1619" s="87"/>
      <c r="AD1619" s="87"/>
      <c r="AE1619" s="87"/>
      <c r="AF1619" s="87"/>
      <c r="AG1619" s="87"/>
      <c r="AH1619" s="87"/>
      <c r="AI1619" s="87"/>
      <c r="AJ1619" s="87"/>
      <c r="AK1619" s="87"/>
      <c r="AL1619" s="87"/>
      <c r="AM1619" s="87"/>
      <c r="AN1619" s="87"/>
      <c r="AO1619" s="87"/>
      <c r="AP1619" s="87"/>
      <c r="AQ1619" s="87"/>
      <c r="AR1619" s="87"/>
      <c r="AS1619" s="87"/>
      <c r="AT1619" s="87"/>
      <c r="AU1619" s="87"/>
      <c r="AV1619" s="87"/>
      <c r="AW1619" s="87"/>
      <c r="AX1619" s="87"/>
      <c r="AY1619" s="87"/>
      <c r="AZ1619" s="87"/>
      <c r="BA1619" s="87"/>
      <c r="BB1619" s="87"/>
      <c r="BC1619" s="87"/>
      <c r="BD1619" s="87"/>
      <c r="BE1619" s="87"/>
      <c r="BF1619" s="87"/>
      <c r="BG1619" s="87"/>
      <c r="BH1619" s="87"/>
    </row>
    <row r="1620" spans="1:60" ht="16">
      <c r="A1620" s="82"/>
      <c r="B1620" s="82"/>
      <c r="C1620" s="82"/>
      <c r="D1620" s="83"/>
      <c r="E1620" s="84"/>
      <c r="F1620" s="84"/>
      <c r="G1620" s="84"/>
      <c r="H1620" s="82"/>
      <c r="I1620" s="84"/>
      <c r="J1620" s="84"/>
      <c r="K1620" s="84"/>
      <c r="L1620" s="84"/>
      <c r="M1620" s="84"/>
      <c r="N1620" s="84"/>
      <c r="O1620" s="84"/>
      <c r="P1620" s="84"/>
      <c r="Q1620" s="84"/>
      <c r="R1620" s="84"/>
      <c r="S1620" s="84"/>
      <c r="T1620" s="84"/>
      <c r="U1620" s="84"/>
      <c r="V1620" s="84"/>
      <c r="W1620" s="84"/>
      <c r="X1620" s="84"/>
      <c r="Y1620" s="84"/>
      <c r="Z1620" s="87"/>
      <c r="AA1620" s="87"/>
      <c r="AB1620" s="87"/>
      <c r="AC1620" s="87"/>
      <c r="AD1620" s="87"/>
      <c r="AE1620" s="87"/>
      <c r="AF1620" s="87"/>
      <c r="AG1620" s="87"/>
      <c r="AH1620" s="87"/>
      <c r="AI1620" s="87"/>
      <c r="AJ1620" s="87"/>
      <c r="AK1620" s="87"/>
      <c r="AL1620" s="87"/>
      <c r="AM1620" s="87"/>
      <c r="AN1620" s="87"/>
      <c r="AO1620" s="87"/>
      <c r="AP1620" s="87"/>
      <c r="AQ1620" s="87"/>
      <c r="AR1620" s="87"/>
      <c r="AS1620" s="87"/>
      <c r="AT1620" s="87"/>
      <c r="AU1620" s="87"/>
      <c r="AV1620" s="87"/>
      <c r="AW1620" s="87"/>
      <c r="AX1620" s="87"/>
      <c r="AY1620" s="87"/>
      <c r="AZ1620" s="87"/>
      <c r="BA1620" s="87"/>
      <c r="BB1620" s="87"/>
      <c r="BC1620" s="87"/>
      <c r="BD1620" s="87"/>
      <c r="BE1620" s="87"/>
      <c r="BF1620" s="87"/>
      <c r="BG1620" s="87"/>
      <c r="BH1620" s="87"/>
    </row>
    <row r="1621" spans="1:60" ht="16">
      <c r="A1621" s="82"/>
      <c r="B1621" s="82"/>
      <c r="C1621" s="82"/>
      <c r="D1621" s="83"/>
      <c r="E1621" s="84"/>
      <c r="F1621" s="84"/>
      <c r="G1621" s="84"/>
      <c r="H1621" s="82"/>
      <c r="I1621" s="84"/>
      <c r="J1621" s="84"/>
      <c r="K1621" s="84"/>
      <c r="L1621" s="84"/>
      <c r="M1621" s="84"/>
      <c r="N1621" s="84"/>
      <c r="O1621" s="84"/>
      <c r="P1621" s="84"/>
      <c r="Q1621" s="84"/>
      <c r="R1621" s="84"/>
      <c r="S1621" s="84"/>
      <c r="T1621" s="84"/>
      <c r="U1621" s="84"/>
      <c r="V1621" s="84"/>
      <c r="W1621" s="84"/>
      <c r="X1621" s="84"/>
      <c r="Y1621" s="84"/>
      <c r="Z1621" s="87"/>
      <c r="AA1621" s="87"/>
      <c r="AB1621" s="87"/>
      <c r="AC1621" s="87"/>
      <c r="AD1621" s="87"/>
      <c r="AE1621" s="87"/>
      <c r="AF1621" s="87"/>
      <c r="AG1621" s="87"/>
      <c r="AH1621" s="87"/>
      <c r="AI1621" s="87"/>
      <c r="AJ1621" s="87"/>
      <c r="AK1621" s="87"/>
      <c r="AL1621" s="87"/>
      <c r="AM1621" s="87"/>
      <c r="AN1621" s="87"/>
      <c r="AO1621" s="87"/>
      <c r="AP1621" s="87"/>
      <c r="AQ1621" s="87"/>
      <c r="AR1621" s="87"/>
      <c r="AS1621" s="87"/>
      <c r="AT1621" s="87"/>
      <c r="AU1621" s="87"/>
      <c r="AV1621" s="87"/>
      <c r="AW1621" s="87"/>
      <c r="AX1621" s="87"/>
      <c r="AY1621" s="87"/>
      <c r="AZ1621" s="87"/>
      <c r="BA1621" s="87"/>
      <c r="BB1621" s="87"/>
      <c r="BC1621" s="87"/>
      <c r="BD1621" s="87"/>
      <c r="BE1621" s="87"/>
      <c r="BF1621" s="87"/>
      <c r="BG1621" s="87"/>
      <c r="BH1621" s="87"/>
    </row>
    <row r="1622" spans="1:60" ht="16">
      <c r="A1622" s="82"/>
      <c r="B1622" s="82"/>
      <c r="C1622" s="82"/>
      <c r="D1622" s="83"/>
      <c r="E1622" s="84"/>
      <c r="F1622" s="84"/>
      <c r="G1622" s="84"/>
      <c r="H1622" s="82"/>
      <c r="I1622" s="84"/>
      <c r="J1622" s="84"/>
      <c r="K1622" s="84"/>
      <c r="L1622" s="84"/>
      <c r="M1622" s="84"/>
      <c r="N1622" s="84"/>
      <c r="O1622" s="84"/>
      <c r="P1622" s="84"/>
      <c r="Q1622" s="84"/>
      <c r="R1622" s="84"/>
      <c r="S1622" s="84"/>
      <c r="T1622" s="84"/>
      <c r="U1622" s="84"/>
      <c r="V1622" s="84"/>
      <c r="W1622" s="84"/>
      <c r="X1622" s="84"/>
      <c r="Y1622" s="84"/>
      <c r="Z1622" s="87"/>
      <c r="AA1622" s="87"/>
      <c r="AB1622" s="87"/>
      <c r="AC1622" s="87"/>
      <c r="AD1622" s="87"/>
      <c r="AE1622" s="87"/>
      <c r="AF1622" s="87"/>
      <c r="AG1622" s="87"/>
      <c r="AH1622" s="87"/>
      <c r="AI1622" s="87"/>
      <c r="AJ1622" s="87"/>
      <c r="AK1622" s="87"/>
      <c r="AL1622" s="87"/>
      <c r="AM1622" s="87"/>
      <c r="AN1622" s="87"/>
      <c r="AO1622" s="87"/>
      <c r="AP1622" s="87"/>
      <c r="AQ1622" s="87"/>
      <c r="AR1622" s="87"/>
      <c r="AS1622" s="87"/>
      <c r="AT1622" s="87"/>
      <c r="AU1622" s="87"/>
      <c r="AV1622" s="87"/>
      <c r="AW1622" s="87"/>
      <c r="AX1622" s="87"/>
      <c r="AY1622" s="87"/>
      <c r="AZ1622" s="87"/>
      <c r="BA1622" s="87"/>
      <c r="BB1622" s="87"/>
      <c r="BC1622" s="87"/>
      <c r="BD1622" s="87"/>
      <c r="BE1622" s="87"/>
      <c r="BF1622" s="87"/>
      <c r="BG1622" s="87"/>
      <c r="BH1622" s="87"/>
    </row>
    <row r="1623" spans="1:60" ht="16">
      <c r="A1623" s="82"/>
      <c r="B1623" s="82"/>
      <c r="C1623" s="82"/>
      <c r="D1623" s="83"/>
      <c r="E1623" s="84"/>
      <c r="F1623" s="84"/>
      <c r="G1623" s="84"/>
      <c r="H1623" s="82"/>
      <c r="I1623" s="84"/>
      <c r="J1623" s="84"/>
      <c r="K1623" s="84"/>
      <c r="L1623" s="84"/>
      <c r="M1623" s="84"/>
      <c r="N1623" s="84"/>
      <c r="O1623" s="84"/>
      <c r="P1623" s="84"/>
      <c r="Q1623" s="84"/>
      <c r="R1623" s="84"/>
      <c r="S1623" s="84"/>
      <c r="T1623" s="84"/>
      <c r="U1623" s="84"/>
      <c r="V1623" s="84"/>
      <c r="W1623" s="84"/>
      <c r="X1623" s="84"/>
      <c r="Y1623" s="84"/>
      <c r="Z1623" s="87"/>
      <c r="AA1623" s="87"/>
      <c r="AB1623" s="87"/>
      <c r="AC1623" s="87"/>
      <c r="AD1623" s="87"/>
      <c r="AE1623" s="87"/>
      <c r="AF1623" s="87"/>
      <c r="AG1623" s="87"/>
      <c r="AH1623" s="87"/>
      <c r="AI1623" s="87"/>
      <c r="AJ1623" s="87"/>
      <c r="AK1623" s="87"/>
      <c r="AL1623" s="87"/>
      <c r="AM1623" s="87"/>
      <c r="AN1623" s="87"/>
      <c r="AO1623" s="87"/>
      <c r="AP1623" s="87"/>
      <c r="AQ1623" s="87"/>
      <c r="AR1623" s="87"/>
      <c r="AS1623" s="87"/>
      <c r="AT1623" s="87"/>
      <c r="AU1623" s="87"/>
      <c r="AV1623" s="87"/>
      <c r="AW1623" s="87"/>
      <c r="AX1623" s="87"/>
      <c r="AY1623" s="87"/>
      <c r="AZ1623" s="87"/>
      <c r="BA1623" s="87"/>
      <c r="BB1623" s="87"/>
      <c r="BC1623" s="87"/>
      <c r="BD1623" s="87"/>
      <c r="BE1623" s="87"/>
      <c r="BF1623" s="87"/>
      <c r="BG1623" s="87"/>
      <c r="BH1623" s="87"/>
    </row>
    <row r="1624" spans="1:60" ht="16">
      <c r="A1624" s="82"/>
      <c r="B1624" s="82"/>
      <c r="C1624" s="82"/>
      <c r="D1624" s="83"/>
      <c r="E1624" s="84"/>
      <c r="F1624" s="84"/>
      <c r="G1624" s="84"/>
      <c r="H1624" s="82"/>
      <c r="I1624" s="84"/>
      <c r="J1624" s="84"/>
      <c r="K1624" s="84"/>
      <c r="L1624" s="84"/>
      <c r="M1624" s="84"/>
      <c r="N1624" s="84"/>
      <c r="O1624" s="84"/>
      <c r="P1624" s="84"/>
      <c r="Q1624" s="84"/>
      <c r="R1624" s="84"/>
      <c r="S1624" s="84"/>
      <c r="T1624" s="84"/>
      <c r="U1624" s="84"/>
      <c r="V1624" s="84"/>
      <c r="W1624" s="84"/>
      <c r="X1624" s="84"/>
      <c r="Y1624" s="84"/>
      <c r="Z1624" s="87"/>
      <c r="AA1624" s="87"/>
      <c r="AB1624" s="87"/>
      <c r="AC1624" s="87"/>
      <c r="AD1624" s="87"/>
      <c r="AE1624" s="87"/>
      <c r="AF1624" s="87"/>
      <c r="AG1624" s="87"/>
      <c r="AH1624" s="87"/>
      <c r="AI1624" s="87"/>
      <c r="AJ1624" s="87"/>
      <c r="AK1624" s="87"/>
      <c r="AL1624" s="87"/>
      <c r="AM1624" s="87"/>
      <c r="AN1624" s="87"/>
      <c r="AO1624" s="87"/>
      <c r="AP1624" s="87"/>
      <c r="AQ1624" s="87"/>
      <c r="AR1624" s="87"/>
      <c r="AS1624" s="87"/>
      <c r="AT1624" s="87"/>
      <c r="AU1624" s="87"/>
      <c r="AV1624" s="87"/>
      <c r="AW1624" s="87"/>
      <c r="AX1624" s="87"/>
      <c r="AY1624" s="87"/>
      <c r="AZ1624" s="87"/>
      <c r="BA1624" s="87"/>
      <c r="BB1624" s="87"/>
      <c r="BC1624" s="87"/>
      <c r="BD1624" s="87"/>
      <c r="BE1624" s="87"/>
      <c r="BF1624" s="87"/>
      <c r="BG1624" s="87"/>
      <c r="BH1624" s="87"/>
    </row>
    <row r="1625" spans="1:60" ht="16">
      <c r="A1625" s="82"/>
      <c r="B1625" s="82"/>
      <c r="C1625" s="82"/>
      <c r="D1625" s="83"/>
      <c r="E1625" s="84"/>
      <c r="F1625" s="84"/>
      <c r="G1625" s="84"/>
      <c r="H1625" s="82"/>
      <c r="I1625" s="84"/>
      <c r="J1625" s="84"/>
      <c r="K1625" s="84"/>
      <c r="L1625" s="84"/>
      <c r="M1625" s="84"/>
      <c r="N1625" s="84"/>
      <c r="O1625" s="84"/>
      <c r="P1625" s="84"/>
      <c r="Q1625" s="84"/>
      <c r="R1625" s="84"/>
      <c r="S1625" s="84"/>
      <c r="T1625" s="84"/>
      <c r="U1625" s="84"/>
      <c r="V1625" s="84"/>
      <c r="W1625" s="84"/>
      <c r="X1625" s="84"/>
      <c r="Y1625" s="84"/>
      <c r="Z1625" s="87"/>
      <c r="AA1625" s="87"/>
      <c r="AB1625" s="87"/>
      <c r="AC1625" s="87"/>
      <c r="AD1625" s="87"/>
      <c r="AE1625" s="87"/>
      <c r="AF1625" s="87"/>
      <c r="AG1625" s="87"/>
      <c r="AH1625" s="87"/>
      <c r="AI1625" s="87"/>
      <c r="AJ1625" s="87"/>
      <c r="AK1625" s="87"/>
      <c r="AL1625" s="87"/>
      <c r="AM1625" s="87"/>
      <c r="AN1625" s="87"/>
      <c r="AO1625" s="87"/>
      <c r="AP1625" s="87"/>
      <c r="AQ1625" s="87"/>
      <c r="AR1625" s="87"/>
      <c r="AS1625" s="87"/>
      <c r="AT1625" s="87"/>
      <c r="AU1625" s="87"/>
      <c r="AV1625" s="87"/>
      <c r="AW1625" s="87"/>
      <c r="AX1625" s="87"/>
      <c r="AY1625" s="87"/>
      <c r="AZ1625" s="87"/>
      <c r="BA1625" s="87"/>
      <c r="BB1625" s="87"/>
      <c r="BC1625" s="87"/>
      <c r="BD1625" s="87"/>
      <c r="BE1625" s="87"/>
      <c r="BF1625" s="87"/>
      <c r="BG1625" s="87"/>
      <c r="BH1625" s="87"/>
    </row>
    <row r="1626" spans="1:60" ht="16">
      <c r="A1626" s="82"/>
      <c r="B1626" s="82"/>
      <c r="C1626" s="82"/>
      <c r="D1626" s="83"/>
      <c r="E1626" s="84"/>
      <c r="F1626" s="84"/>
      <c r="G1626" s="84"/>
      <c r="H1626" s="82"/>
      <c r="I1626" s="84"/>
      <c r="J1626" s="84"/>
      <c r="K1626" s="84"/>
      <c r="L1626" s="84"/>
      <c r="M1626" s="84"/>
      <c r="N1626" s="84"/>
      <c r="O1626" s="84"/>
      <c r="P1626" s="84"/>
      <c r="Q1626" s="84"/>
      <c r="R1626" s="84"/>
      <c r="S1626" s="84"/>
      <c r="T1626" s="84"/>
      <c r="U1626" s="84"/>
      <c r="V1626" s="84"/>
      <c r="W1626" s="84"/>
      <c r="X1626" s="84"/>
      <c r="Y1626" s="84"/>
      <c r="Z1626" s="87"/>
      <c r="AA1626" s="87"/>
      <c r="AB1626" s="87"/>
      <c r="AC1626" s="87"/>
      <c r="AD1626" s="87"/>
      <c r="AE1626" s="87"/>
      <c r="AF1626" s="87"/>
      <c r="AG1626" s="87"/>
      <c r="AH1626" s="87"/>
      <c r="AI1626" s="87"/>
      <c r="AJ1626" s="87"/>
      <c r="AK1626" s="87"/>
      <c r="AL1626" s="87"/>
      <c r="AM1626" s="87"/>
      <c r="AN1626" s="87"/>
      <c r="AO1626" s="87"/>
      <c r="AP1626" s="87"/>
      <c r="AQ1626" s="87"/>
      <c r="AR1626" s="87"/>
      <c r="AS1626" s="87"/>
      <c r="AT1626" s="87"/>
      <c r="AU1626" s="87"/>
      <c r="AV1626" s="87"/>
      <c r="AW1626" s="87"/>
      <c r="AX1626" s="87"/>
      <c r="AY1626" s="87"/>
      <c r="AZ1626" s="87"/>
      <c r="BA1626" s="87"/>
      <c r="BB1626" s="87"/>
      <c r="BC1626" s="87"/>
      <c r="BD1626" s="87"/>
      <c r="BE1626" s="87"/>
      <c r="BF1626" s="87"/>
      <c r="BG1626" s="87"/>
      <c r="BH1626" s="87"/>
    </row>
    <row r="1627" spans="1:60" ht="16">
      <c r="A1627" s="82"/>
      <c r="B1627" s="82"/>
      <c r="C1627" s="82"/>
      <c r="D1627" s="83"/>
      <c r="E1627" s="84"/>
      <c r="F1627" s="84"/>
      <c r="G1627" s="84"/>
      <c r="H1627" s="82"/>
      <c r="I1627" s="84"/>
      <c r="J1627" s="84"/>
      <c r="K1627" s="84"/>
      <c r="L1627" s="84"/>
      <c r="M1627" s="84"/>
      <c r="N1627" s="84"/>
      <c r="O1627" s="84"/>
      <c r="P1627" s="84"/>
      <c r="Q1627" s="84"/>
      <c r="R1627" s="84"/>
      <c r="S1627" s="84"/>
      <c r="T1627" s="84"/>
      <c r="U1627" s="84"/>
      <c r="V1627" s="84"/>
      <c r="W1627" s="84"/>
      <c r="X1627" s="84"/>
      <c r="Y1627" s="84"/>
      <c r="Z1627" s="87"/>
      <c r="AA1627" s="87"/>
      <c r="AB1627" s="87"/>
      <c r="AC1627" s="87"/>
      <c r="AD1627" s="87"/>
      <c r="AE1627" s="87"/>
      <c r="AF1627" s="87"/>
      <c r="AG1627" s="87"/>
      <c r="AH1627" s="87"/>
      <c r="AI1627" s="87"/>
      <c r="AJ1627" s="87"/>
      <c r="AK1627" s="87"/>
      <c r="AL1627" s="87"/>
      <c r="AM1627" s="87"/>
      <c r="AN1627" s="87"/>
      <c r="AO1627" s="87"/>
      <c r="AP1627" s="87"/>
      <c r="AQ1627" s="87"/>
      <c r="AR1627" s="87"/>
      <c r="AS1627" s="87"/>
      <c r="AT1627" s="87"/>
      <c r="AU1627" s="87"/>
      <c r="AV1627" s="87"/>
      <c r="AW1627" s="87"/>
      <c r="AX1627" s="87"/>
      <c r="AY1627" s="87"/>
      <c r="AZ1627" s="87"/>
      <c r="BA1627" s="87"/>
      <c r="BB1627" s="87"/>
      <c r="BC1627" s="87"/>
      <c r="BD1627" s="87"/>
      <c r="BE1627" s="87"/>
      <c r="BF1627" s="87"/>
      <c r="BG1627" s="87"/>
      <c r="BH1627" s="87"/>
    </row>
    <row r="1628" spans="1:60" ht="16">
      <c r="A1628" s="82"/>
      <c r="B1628" s="82"/>
      <c r="C1628" s="82"/>
      <c r="D1628" s="83"/>
      <c r="E1628" s="84"/>
      <c r="F1628" s="84"/>
      <c r="G1628" s="84"/>
      <c r="H1628" s="82"/>
      <c r="I1628" s="84"/>
      <c r="J1628" s="84"/>
      <c r="K1628" s="84"/>
      <c r="L1628" s="84"/>
      <c r="M1628" s="84"/>
      <c r="N1628" s="84"/>
      <c r="O1628" s="84"/>
      <c r="P1628" s="84"/>
      <c r="Q1628" s="84"/>
      <c r="R1628" s="84"/>
      <c r="S1628" s="84"/>
      <c r="T1628" s="84"/>
      <c r="U1628" s="84"/>
      <c r="V1628" s="84"/>
      <c r="W1628" s="84"/>
      <c r="X1628" s="84"/>
      <c r="Y1628" s="84"/>
      <c r="Z1628" s="87"/>
      <c r="AA1628" s="87"/>
      <c r="AB1628" s="87"/>
      <c r="AC1628" s="87"/>
      <c r="AD1628" s="87"/>
      <c r="AE1628" s="87"/>
      <c r="AF1628" s="87"/>
      <c r="AG1628" s="87"/>
      <c r="AH1628" s="87"/>
      <c r="AI1628" s="87"/>
      <c r="AJ1628" s="87"/>
      <c r="AK1628" s="87"/>
      <c r="AL1628" s="87"/>
      <c r="AM1628" s="87"/>
      <c r="AN1628" s="87"/>
      <c r="AO1628" s="87"/>
      <c r="AP1628" s="87"/>
      <c r="AQ1628" s="87"/>
      <c r="AR1628" s="87"/>
      <c r="AS1628" s="87"/>
      <c r="AT1628" s="87"/>
      <c r="AU1628" s="87"/>
      <c r="AV1628" s="87"/>
      <c r="AW1628" s="87"/>
      <c r="AX1628" s="87"/>
      <c r="AY1628" s="87"/>
      <c r="AZ1628" s="87"/>
      <c r="BA1628" s="87"/>
      <c r="BB1628" s="87"/>
      <c r="BC1628" s="87"/>
      <c r="BD1628" s="87"/>
      <c r="BE1628" s="87"/>
      <c r="BF1628" s="87"/>
      <c r="BG1628" s="87"/>
      <c r="BH1628" s="87"/>
    </row>
    <row r="1629" spans="1:60" ht="16">
      <c r="A1629" s="82"/>
      <c r="B1629" s="82"/>
      <c r="C1629" s="82"/>
      <c r="D1629" s="83"/>
      <c r="E1629" s="84"/>
      <c r="F1629" s="84"/>
      <c r="G1629" s="84"/>
      <c r="H1629" s="82"/>
      <c r="I1629" s="84"/>
      <c r="J1629" s="84"/>
      <c r="K1629" s="84"/>
      <c r="L1629" s="84"/>
      <c r="M1629" s="84"/>
      <c r="N1629" s="84"/>
      <c r="O1629" s="84"/>
      <c r="P1629" s="84"/>
      <c r="Q1629" s="84"/>
      <c r="R1629" s="84"/>
      <c r="S1629" s="84"/>
      <c r="T1629" s="84"/>
      <c r="U1629" s="84"/>
      <c r="V1629" s="84"/>
      <c r="W1629" s="84"/>
      <c r="X1629" s="84"/>
      <c r="Y1629" s="84"/>
      <c r="Z1629" s="87"/>
      <c r="AA1629" s="87"/>
      <c r="AB1629" s="87"/>
      <c r="AC1629" s="87"/>
      <c r="AD1629" s="87"/>
      <c r="AE1629" s="87"/>
      <c r="AF1629" s="87"/>
      <c r="AG1629" s="87"/>
      <c r="AH1629" s="87"/>
      <c r="AI1629" s="87"/>
      <c r="AJ1629" s="87"/>
      <c r="AK1629" s="87"/>
      <c r="AL1629" s="87"/>
      <c r="AM1629" s="87"/>
      <c r="AN1629" s="87"/>
      <c r="AO1629" s="87"/>
      <c r="AP1629" s="87"/>
      <c r="AQ1629" s="87"/>
      <c r="AR1629" s="87"/>
      <c r="AS1629" s="87"/>
      <c r="AT1629" s="87"/>
      <c r="AU1629" s="87"/>
      <c r="AV1629" s="87"/>
      <c r="AW1629" s="87"/>
      <c r="AX1629" s="87"/>
      <c r="AY1629" s="87"/>
      <c r="AZ1629" s="87"/>
      <c r="BA1629" s="87"/>
      <c r="BB1629" s="87"/>
      <c r="BC1629" s="87"/>
      <c r="BD1629" s="87"/>
      <c r="BE1629" s="87"/>
      <c r="BF1629" s="87"/>
      <c r="BG1629" s="87"/>
      <c r="BH1629" s="87"/>
    </row>
    <row r="1630" spans="1:60" ht="16">
      <c r="A1630" s="82"/>
      <c r="B1630" s="82"/>
      <c r="C1630" s="82"/>
      <c r="D1630" s="83"/>
      <c r="E1630" s="84"/>
      <c r="F1630" s="84"/>
      <c r="G1630" s="84"/>
      <c r="H1630" s="82"/>
      <c r="I1630" s="84"/>
      <c r="J1630" s="84"/>
      <c r="K1630" s="84"/>
      <c r="L1630" s="84"/>
      <c r="M1630" s="84"/>
      <c r="N1630" s="84"/>
      <c r="O1630" s="84"/>
      <c r="P1630" s="84"/>
      <c r="Q1630" s="84"/>
      <c r="R1630" s="84"/>
      <c r="S1630" s="84"/>
      <c r="T1630" s="84"/>
      <c r="U1630" s="84"/>
      <c r="V1630" s="84"/>
      <c r="W1630" s="84"/>
      <c r="X1630" s="84"/>
      <c r="Y1630" s="84"/>
      <c r="Z1630" s="87"/>
      <c r="AA1630" s="87"/>
      <c r="AB1630" s="87"/>
      <c r="AC1630" s="87"/>
      <c r="AD1630" s="87"/>
      <c r="AE1630" s="87"/>
      <c r="AF1630" s="87"/>
      <c r="AG1630" s="87"/>
      <c r="AH1630" s="87"/>
      <c r="AI1630" s="87"/>
      <c r="AJ1630" s="87"/>
      <c r="AK1630" s="87"/>
      <c r="AL1630" s="87"/>
      <c r="AM1630" s="87"/>
      <c r="AN1630" s="87"/>
      <c r="AO1630" s="87"/>
      <c r="AP1630" s="87"/>
      <c r="AQ1630" s="87"/>
      <c r="AR1630" s="87"/>
      <c r="AS1630" s="87"/>
      <c r="AT1630" s="87"/>
      <c r="AU1630" s="87"/>
      <c r="AV1630" s="87"/>
      <c r="AW1630" s="87"/>
      <c r="AX1630" s="87"/>
      <c r="AY1630" s="87"/>
      <c r="AZ1630" s="87"/>
      <c r="BA1630" s="87"/>
      <c r="BB1630" s="87"/>
      <c r="BC1630" s="87"/>
      <c r="BD1630" s="87"/>
      <c r="BE1630" s="87"/>
      <c r="BF1630" s="87"/>
      <c r="BG1630" s="87"/>
      <c r="BH1630" s="87"/>
    </row>
    <row r="1631" spans="1:60" ht="16">
      <c r="A1631" s="82"/>
      <c r="B1631" s="82"/>
      <c r="C1631" s="82"/>
      <c r="D1631" s="83"/>
      <c r="E1631" s="84"/>
      <c r="F1631" s="84"/>
      <c r="G1631" s="84"/>
      <c r="H1631" s="82"/>
      <c r="I1631" s="84"/>
      <c r="J1631" s="84"/>
      <c r="K1631" s="84"/>
      <c r="L1631" s="84"/>
      <c r="M1631" s="84"/>
      <c r="N1631" s="84"/>
      <c r="O1631" s="84"/>
      <c r="P1631" s="84"/>
      <c r="Q1631" s="84"/>
      <c r="R1631" s="84"/>
      <c r="S1631" s="84"/>
      <c r="T1631" s="84"/>
      <c r="U1631" s="84"/>
      <c r="V1631" s="84"/>
      <c r="W1631" s="84"/>
      <c r="X1631" s="84"/>
      <c r="Y1631" s="84"/>
      <c r="Z1631" s="87"/>
      <c r="AA1631" s="87"/>
      <c r="AB1631" s="87"/>
      <c r="AC1631" s="87"/>
      <c r="AD1631" s="87"/>
      <c r="AE1631" s="87"/>
      <c r="AF1631" s="87"/>
      <c r="AG1631" s="87"/>
      <c r="AH1631" s="87"/>
      <c r="AI1631" s="87"/>
      <c r="AJ1631" s="87"/>
      <c r="AK1631" s="87"/>
      <c r="AL1631" s="87"/>
      <c r="AM1631" s="87"/>
      <c r="AN1631" s="87"/>
      <c r="AO1631" s="87"/>
      <c r="AP1631" s="87"/>
      <c r="AQ1631" s="87"/>
      <c r="AR1631" s="87"/>
      <c r="AS1631" s="87"/>
      <c r="AT1631" s="87"/>
      <c r="AU1631" s="87"/>
      <c r="AV1631" s="87"/>
      <c r="AW1631" s="87"/>
      <c r="AX1631" s="87"/>
      <c r="AY1631" s="87"/>
      <c r="AZ1631" s="87"/>
      <c r="BA1631" s="87"/>
      <c r="BB1631" s="87"/>
      <c r="BC1631" s="87"/>
      <c r="BD1631" s="87"/>
      <c r="BE1631" s="87"/>
      <c r="BF1631" s="87"/>
      <c r="BG1631" s="87"/>
      <c r="BH1631" s="87"/>
    </row>
    <row r="1632" spans="1:60" ht="16">
      <c r="A1632" s="82"/>
      <c r="B1632" s="82"/>
      <c r="C1632" s="82"/>
      <c r="D1632" s="83"/>
      <c r="E1632" s="84"/>
      <c r="F1632" s="84"/>
      <c r="G1632" s="84"/>
      <c r="H1632" s="82"/>
      <c r="I1632" s="84"/>
      <c r="J1632" s="84"/>
      <c r="K1632" s="84"/>
      <c r="L1632" s="84"/>
      <c r="M1632" s="84"/>
      <c r="N1632" s="84"/>
      <c r="O1632" s="84"/>
      <c r="P1632" s="84"/>
      <c r="Q1632" s="84"/>
      <c r="R1632" s="84"/>
      <c r="S1632" s="84"/>
      <c r="T1632" s="84"/>
      <c r="U1632" s="84"/>
      <c r="V1632" s="84"/>
      <c r="W1632" s="84"/>
      <c r="X1632" s="84"/>
      <c r="Y1632" s="84"/>
      <c r="Z1632" s="87"/>
      <c r="AA1632" s="87"/>
      <c r="AB1632" s="87"/>
      <c r="AC1632" s="87"/>
      <c r="AD1632" s="87"/>
      <c r="AE1632" s="87"/>
      <c r="AF1632" s="87"/>
      <c r="AG1632" s="87"/>
      <c r="AH1632" s="87"/>
      <c r="AI1632" s="87"/>
      <c r="AJ1632" s="87"/>
      <c r="AK1632" s="87"/>
      <c r="AL1632" s="87"/>
      <c r="AM1632" s="87"/>
      <c r="AN1632" s="87"/>
      <c r="AO1632" s="87"/>
      <c r="AP1632" s="87"/>
      <c r="AQ1632" s="87"/>
      <c r="AR1632" s="87"/>
      <c r="AS1632" s="87"/>
      <c r="AT1632" s="87"/>
      <c r="AU1632" s="87"/>
      <c r="AV1632" s="87"/>
      <c r="AW1632" s="87"/>
      <c r="AX1632" s="87"/>
      <c r="AY1632" s="87"/>
      <c r="AZ1632" s="87"/>
      <c r="BA1632" s="87"/>
      <c r="BB1632" s="87"/>
      <c r="BC1632" s="87"/>
      <c r="BD1632" s="87"/>
      <c r="BE1632" s="87"/>
      <c r="BF1632" s="87"/>
      <c r="BG1632" s="87"/>
      <c r="BH1632" s="87"/>
    </row>
    <row r="1633" spans="1:60" ht="16">
      <c r="A1633" s="82"/>
      <c r="B1633" s="82"/>
      <c r="C1633" s="82"/>
      <c r="D1633" s="83"/>
      <c r="E1633" s="84"/>
      <c r="F1633" s="84"/>
      <c r="G1633" s="84"/>
      <c r="H1633" s="82"/>
      <c r="I1633" s="84"/>
      <c r="J1633" s="84"/>
      <c r="K1633" s="84"/>
      <c r="L1633" s="84"/>
      <c r="M1633" s="84"/>
      <c r="N1633" s="84"/>
      <c r="O1633" s="84"/>
      <c r="P1633" s="84"/>
      <c r="Q1633" s="84"/>
      <c r="R1633" s="84"/>
      <c r="S1633" s="84"/>
      <c r="T1633" s="84"/>
      <c r="U1633" s="84"/>
      <c r="V1633" s="84"/>
      <c r="W1633" s="84"/>
      <c r="X1633" s="84"/>
      <c r="Y1633" s="84"/>
      <c r="Z1633" s="87"/>
      <c r="AA1633" s="87"/>
      <c r="AB1633" s="87"/>
      <c r="AC1633" s="87"/>
      <c r="AD1633" s="87"/>
      <c r="AE1633" s="87"/>
      <c r="AF1633" s="87"/>
      <c r="AG1633" s="87"/>
      <c r="AH1633" s="87"/>
      <c r="AI1633" s="87"/>
      <c r="AJ1633" s="87"/>
      <c r="AK1633" s="87"/>
      <c r="AL1633" s="87"/>
      <c r="AM1633" s="87"/>
      <c r="AN1633" s="87"/>
      <c r="AO1633" s="87"/>
      <c r="AP1633" s="87"/>
      <c r="AQ1633" s="87"/>
      <c r="AR1633" s="87"/>
      <c r="AS1633" s="87"/>
      <c r="AT1633" s="87"/>
      <c r="AU1633" s="87"/>
      <c r="AV1633" s="87"/>
      <c r="AW1633" s="87"/>
      <c r="AX1633" s="87"/>
      <c r="AY1633" s="87"/>
      <c r="AZ1633" s="87"/>
      <c r="BA1633" s="87"/>
      <c r="BB1633" s="87"/>
      <c r="BC1633" s="87"/>
      <c r="BD1633" s="87"/>
      <c r="BE1633" s="87"/>
      <c r="BF1633" s="87"/>
      <c r="BG1633" s="87"/>
      <c r="BH1633" s="87"/>
    </row>
    <row r="1634" spans="1:60" ht="16">
      <c r="A1634" s="82"/>
      <c r="B1634" s="82"/>
      <c r="C1634" s="82"/>
      <c r="D1634" s="83"/>
      <c r="E1634" s="84"/>
      <c r="F1634" s="84"/>
      <c r="G1634" s="84"/>
      <c r="H1634" s="82"/>
      <c r="I1634" s="84"/>
      <c r="J1634" s="84"/>
      <c r="K1634" s="84"/>
      <c r="L1634" s="84"/>
      <c r="M1634" s="84"/>
      <c r="N1634" s="84"/>
      <c r="O1634" s="84"/>
      <c r="P1634" s="84"/>
      <c r="Q1634" s="84"/>
      <c r="R1634" s="84"/>
      <c r="S1634" s="84"/>
      <c r="T1634" s="84"/>
      <c r="U1634" s="84"/>
      <c r="V1634" s="84"/>
      <c r="W1634" s="84"/>
      <c r="X1634" s="84"/>
      <c r="Y1634" s="84"/>
      <c r="Z1634" s="87"/>
      <c r="AA1634" s="87"/>
      <c r="AB1634" s="87"/>
      <c r="AC1634" s="87"/>
      <c r="AD1634" s="87"/>
      <c r="AE1634" s="87"/>
      <c r="AF1634" s="87"/>
      <c r="AG1634" s="87"/>
      <c r="AH1634" s="87"/>
      <c r="AI1634" s="87"/>
      <c r="AJ1634" s="87"/>
      <c r="AK1634" s="87"/>
      <c r="AL1634" s="87"/>
      <c r="AM1634" s="87"/>
      <c r="AN1634" s="87"/>
      <c r="AO1634" s="87"/>
      <c r="AP1634" s="87"/>
      <c r="AQ1634" s="87"/>
      <c r="AR1634" s="87"/>
      <c r="AS1634" s="87"/>
      <c r="AT1634" s="87"/>
      <c r="AU1634" s="87"/>
      <c r="AV1634" s="87"/>
      <c r="AW1634" s="87"/>
      <c r="AX1634" s="87"/>
      <c r="AY1634" s="87"/>
      <c r="AZ1634" s="87"/>
      <c r="BA1634" s="87"/>
      <c r="BB1634" s="87"/>
      <c r="BC1634" s="87"/>
      <c r="BD1634" s="87"/>
      <c r="BE1634" s="87"/>
      <c r="BF1634" s="87"/>
      <c r="BG1634" s="87"/>
      <c r="BH1634" s="87"/>
    </row>
    <row r="1635" spans="1:60" ht="16">
      <c r="A1635" s="82"/>
      <c r="B1635" s="82"/>
      <c r="C1635" s="82"/>
      <c r="D1635" s="83"/>
      <c r="E1635" s="84"/>
      <c r="F1635" s="84"/>
      <c r="G1635" s="84"/>
      <c r="H1635" s="82"/>
      <c r="I1635" s="84"/>
      <c r="J1635" s="84"/>
      <c r="K1635" s="84"/>
      <c r="L1635" s="84"/>
      <c r="M1635" s="84"/>
      <c r="N1635" s="84"/>
      <c r="O1635" s="84"/>
      <c r="P1635" s="84"/>
      <c r="Q1635" s="84"/>
      <c r="R1635" s="84"/>
      <c r="S1635" s="84"/>
      <c r="T1635" s="84"/>
      <c r="U1635" s="84"/>
      <c r="V1635" s="84"/>
      <c r="W1635" s="84"/>
      <c r="X1635" s="84"/>
      <c r="Y1635" s="84"/>
      <c r="Z1635" s="87"/>
      <c r="AA1635" s="87"/>
      <c r="AB1635" s="87"/>
      <c r="AC1635" s="87"/>
      <c r="AD1635" s="87"/>
      <c r="AE1635" s="87"/>
      <c r="AF1635" s="87"/>
      <c r="AG1635" s="87"/>
      <c r="AH1635" s="87"/>
      <c r="AI1635" s="87"/>
      <c r="AJ1635" s="87"/>
      <c r="AK1635" s="87"/>
      <c r="AL1635" s="87"/>
      <c r="AM1635" s="87"/>
      <c r="AN1635" s="87"/>
      <c r="AO1635" s="87"/>
      <c r="AP1635" s="87"/>
      <c r="AQ1635" s="87"/>
      <c r="AR1635" s="87"/>
      <c r="AS1635" s="87"/>
      <c r="AT1635" s="87"/>
      <c r="AU1635" s="87"/>
      <c r="AV1635" s="87"/>
      <c r="AW1635" s="87"/>
      <c r="AX1635" s="87"/>
      <c r="AY1635" s="87"/>
      <c r="AZ1635" s="87"/>
      <c r="BA1635" s="87"/>
      <c r="BB1635" s="87"/>
      <c r="BC1635" s="87"/>
      <c r="BD1635" s="87"/>
      <c r="BE1635" s="87"/>
      <c r="BF1635" s="87"/>
      <c r="BG1635" s="87"/>
      <c r="BH1635" s="87"/>
    </row>
    <row r="1636" spans="1:60" ht="16">
      <c r="A1636" s="82"/>
      <c r="B1636" s="82"/>
      <c r="C1636" s="82"/>
      <c r="D1636" s="83"/>
      <c r="E1636" s="84"/>
      <c r="F1636" s="84"/>
      <c r="G1636" s="84"/>
      <c r="H1636" s="82"/>
      <c r="I1636" s="84"/>
      <c r="J1636" s="84"/>
      <c r="K1636" s="84"/>
      <c r="L1636" s="84"/>
      <c r="M1636" s="84"/>
      <c r="N1636" s="84"/>
      <c r="O1636" s="84"/>
      <c r="P1636" s="84"/>
      <c r="Q1636" s="84"/>
      <c r="R1636" s="84"/>
      <c r="S1636" s="84"/>
      <c r="T1636" s="84"/>
      <c r="U1636" s="84"/>
      <c r="V1636" s="84"/>
      <c r="W1636" s="84"/>
      <c r="X1636" s="84"/>
      <c r="Y1636" s="84"/>
      <c r="Z1636" s="87"/>
      <c r="AA1636" s="87"/>
      <c r="AB1636" s="87"/>
      <c r="AC1636" s="87"/>
      <c r="AD1636" s="87"/>
      <c r="AE1636" s="87"/>
      <c r="AF1636" s="87"/>
      <c r="AG1636" s="87"/>
      <c r="AH1636" s="87"/>
      <c r="AI1636" s="87"/>
      <c r="AJ1636" s="87"/>
      <c r="AK1636" s="87"/>
      <c r="AL1636" s="87"/>
      <c r="AM1636" s="87"/>
      <c r="AN1636" s="87"/>
      <c r="AO1636" s="87"/>
      <c r="AP1636" s="87"/>
      <c r="AQ1636" s="87"/>
      <c r="AR1636" s="87"/>
      <c r="AS1636" s="87"/>
      <c r="AT1636" s="87"/>
      <c r="AU1636" s="87"/>
      <c r="AV1636" s="87"/>
      <c r="AW1636" s="87"/>
      <c r="AX1636" s="87"/>
      <c r="AY1636" s="87"/>
      <c r="AZ1636" s="87"/>
      <c r="BA1636" s="87"/>
      <c r="BB1636" s="87"/>
      <c r="BC1636" s="87"/>
      <c r="BD1636" s="87"/>
      <c r="BE1636" s="87"/>
      <c r="BF1636" s="87"/>
      <c r="BG1636" s="87"/>
      <c r="BH1636" s="87"/>
    </row>
    <row r="1637" spans="1:60" ht="16">
      <c r="A1637" s="82"/>
      <c r="B1637" s="82"/>
      <c r="C1637" s="82"/>
      <c r="D1637" s="83"/>
      <c r="E1637" s="84"/>
      <c r="F1637" s="84"/>
      <c r="G1637" s="84"/>
      <c r="H1637" s="82"/>
      <c r="I1637" s="84"/>
      <c r="J1637" s="84"/>
      <c r="K1637" s="84"/>
      <c r="L1637" s="84"/>
      <c r="M1637" s="84"/>
      <c r="N1637" s="84"/>
      <c r="O1637" s="84"/>
      <c r="P1637" s="84"/>
      <c r="Q1637" s="84"/>
      <c r="R1637" s="84"/>
      <c r="S1637" s="84"/>
      <c r="T1637" s="84"/>
      <c r="U1637" s="84"/>
      <c r="V1637" s="84"/>
      <c r="W1637" s="84"/>
      <c r="X1637" s="84"/>
      <c r="Y1637" s="84"/>
      <c r="Z1637" s="87"/>
      <c r="AA1637" s="87"/>
      <c r="AB1637" s="87"/>
      <c r="AC1637" s="87"/>
      <c r="AD1637" s="87"/>
      <c r="AE1637" s="87"/>
      <c r="AF1637" s="87"/>
      <c r="AG1637" s="87"/>
      <c r="AH1637" s="87"/>
      <c r="AI1637" s="87"/>
      <c r="AJ1637" s="87"/>
      <c r="AK1637" s="87"/>
      <c r="AL1637" s="87"/>
      <c r="AM1637" s="87"/>
      <c r="AN1637" s="87"/>
      <c r="AO1637" s="87"/>
      <c r="AP1637" s="87"/>
      <c r="AQ1637" s="87"/>
      <c r="AR1637" s="87"/>
      <c r="AS1637" s="87"/>
      <c r="AT1637" s="87"/>
      <c r="AU1637" s="87"/>
      <c r="AV1637" s="87"/>
      <c r="AW1637" s="87"/>
      <c r="AX1637" s="87"/>
      <c r="AY1637" s="87"/>
      <c r="AZ1637" s="87"/>
      <c r="BA1637" s="87"/>
      <c r="BB1637" s="87"/>
      <c r="BC1637" s="87"/>
      <c r="BD1637" s="87"/>
      <c r="BE1637" s="87"/>
      <c r="BF1637" s="87"/>
      <c r="BG1637" s="87"/>
      <c r="BH1637" s="87"/>
    </row>
    <row r="1638" spans="1:60" ht="16">
      <c r="A1638" s="82"/>
      <c r="B1638" s="82"/>
      <c r="C1638" s="82"/>
      <c r="D1638" s="83"/>
      <c r="E1638" s="84"/>
      <c r="F1638" s="84"/>
      <c r="G1638" s="84"/>
      <c r="H1638" s="82"/>
      <c r="I1638" s="84"/>
      <c r="J1638" s="84"/>
      <c r="K1638" s="84"/>
      <c r="L1638" s="84"/>
      <c r="M1638" s="84"/>
      <c r="N1638" s="84"/>
      <c r="O1638" s="84"/>
      <c r="P1638" s="84"/>
      <c r="Q1638" s="84"/>
      <c r="R1638" s="84"/>
      <c r="S1638" s="84"/>
      <c r="T1638" s="84"/>
      <c r="U1638" s="84"/>
      <c r="V1638" s="84"/>
      <c r="W1638" s="84"/>
      <c r="X1638" s="84"/>
      <c r="Y1638" s="84"/>
      <c r="Z1638" s="87"/>
      <c r="AA1638" s="87"/>
      <c r="AB1638" s="87"/>
      <c r="AC1638" s="87"/>
      <c r="AD1638" s="87"/>
      <c r="AE1638" s="87"/>
      <c r="AF1638" s="87"/>
      <c r="AG1638" s="87"/>
      <c r="AH1638" s="87"/>
      <c r="AI1638" s="87"/>
      <c r="AJ1638" s="87"/>
      <c r="AK1638" s="87"/>
      <c r="AL1638" s="87"/>
      <c r="AM1638" s="87"/>
      <c r="AN1638" s="87"/>
      <c r="AO1638" s="87"/>
      <c r="AP1638" s="87"/>
      <c r="AQ1638" s="87"/>
      <c r="AR1638" s="87"/>
      <c r="AS1638" s="87"/>
      <c r="AT1638" s="87"/>
      <c r="AU1638" s="87"/>
      <c r="AV1638" s="87"/>
      <c r="AW1638" s="87"/>
      <c r="AX1638" s="87"/>
      <c r="AY1638" s="87"/>
      <c r="AZ1638" s="87"/>
      <c r="BA1638" s="87"/>
      <c r="BB1638" s="87"/>
      <c r="BC1638" s="87"/>
      <c r="BD1638" s="87"/>
      <c r="BE1638" s="87"/>
      <c r="BF1638" s="87"/>
      <c r="BG1638" s="87"/>
      <c r="BH1638" s="87"/>
    </row>
    <row r="1639" spans="1:60" ht="16">
      <c r="A1639" s="82"/>
      <c r="B1639" s="82"/>
      <c r="C1639" s="82"/>
      <c r="D1639" s="83"/>
      <c r="E1639" s="84"/>
      <c r="F1639" s="84"/>
      <c r="G1639" s="84"/>
      <c r="H1639" s="82"/>
      <c r="I1639" s="84"/>
      <c r="J1639" s="84"/>
      <c r="K1639" s="84"/>
      <c r="L1639" s="84"/>
      <c r="M1639" s="84"/>
      <c r="N1639" s="84"/>
      <c r="O1639" s="84"/>
      <c r="P1639" s="84"/>
      <c r="Q1639" s="84"/>
      <c r="R1639" s="84"/>
      <c r="S1639" s="84"/>
      <c r="T1639" s="84"/>
      <c r="U1639" s="84"/>
      <c r="V1639" s="84"/>
      <c r="W1639" s="84"/>
      <c r="X1639" s="84"/>
      <c r="Y1639" s="84"/>
      <c r="Z1639" s="87"/>
      <c r="AA1639" s="87"/>
      <c r="AB1639" s="87"/>
      <c r="AC1639" s="87"/>
      <c r="AD1639" s="87"/>
      <c r="AE1639" s="87"/>
      <c r="AF1639" s="87"/>
      <c r="AG1639" s="87"/>
      <c r="AH1639" s="87"/>
      <c r="AI1639" s="87"/>
      <c r="AJ1639" s="87"/>
      <c r="AK1639" s="87"/>
      <c r="AL1639" s="87"/>
      <c r="AM1639" s="87"/>
      <c r="AN1639" s="87"/>
      <c r="AO1639" s="87"/>
      <c r="AP1639" s="87"/>
      <c r="AQ1639" s="87"/>
      <c r="AR1639" s="87"/>
      <c r="AS1639" s="87"/>
      <c r="AT1639" s="87"/>
      <c r="AU1639" s="87"/>
      <c r="AV1639" s="87"/>
      <c r="AW1639" s="87"/>
      <c r="AX1639" s="87"/>
      <c r="AY1639" s="87"/>
      <c r="AZ1639" s="87"/>
      <c r="BA1639" s="87"/>
      <c r="BB1639" s="87"/>
      <c r="BC1639" s="87"/>
      <c r="BD1639" s="87"/>
      <c r="BE1639" s="87"/>
      <c r="BF1639" s="87"/>
      <c r="BG1639" s="87"/>
      <c r="BH1639" s="87"/>
    </row>
    <row r="1640" spans="1:60" ht="16">
      <c r="A1640" s="82"/>
      <c r="B1640" s="82"/>
      <c r="C1640" s="82"/>
      <c r="D1640" s="83"/>
      <c r="E1640" s="84"/>
      <c r="F1640" s="84"/>
      <c r="G1640" s="84"/>
      <c r="H1640" s="82"/>
      <c r="I1640" s="84"/>
      <c r="J1640" s="84"/>
      <c r="K1640" s="84"/>
      <c r="L1640" s="84"/>
      <c r="M1640" s="84"/>
      <c r="N1640" s="84"/>
      <c r="O1640" s="84"/>
      <c r="P1640" s="84"/>
      <c r="Q1640" s="84"/>
      <c r="R1640" s="84"/>
      <c r="S1640" s="84"/>
      <c r="T1640" s="84"/>
      <c r="U1640" s="84"/>
      <c r="V1640" s="84"/>
      <c r="W1640" s="84"/>
      <c r="X1640" s="84"/>
      <c r="Y1640" s="84"/>
      <c r="Z1640" s="87"/>
      <c r="AA1640" s="87"/>
      <c r="AB1640" s="87"/>
      <c r="AC1640" s="87"/>
      <c r="AD1640" s="87"/>
      <c r="AE1640" s="87"/>
      <c r="AF1640" s="87"/>
      <c r="AG1640" s="87"/>
      <c r="AH1640" s="87"/>
      <c r="AI1640" s="87"/>
      <c r="AJ1640" s="87"/>
      <c r="AK1640" s="87"/>
      <c r="AL1640" s="87"/>
      <c r="AM1640" s="87"/>
      <c r="AN1640" s="87"/>
      <c r="AO1640" s="87"/>
      <c r="AP1640" s="87"/>
      <c r="AQ1640" s="87"/>
      <c r="AR1640" s="87"/>
      <c r="AS1640" s="87"/>
      <c r="AT1640" s="87"/>
      <c r="AU1640" s="87"/>
      <c r="AV1640" s="87"/>
      <c r="AW1640" s="87"/>
      <c r="AX1640" s="87"/>
      <c r="AY1640" s="87"/>
      <c r="AZ1640" s="87"/>
      <c r="BA1640" s="87"/>
      <c r="BB1640" s="87"/>
      <c r="BC1640" s="87"/>
      <c r="BD1640" s="87"/>
      <c r="BE1640" s="87"/>
      <c r="BF1640" s="87"/>
      <c r="BG1640" s="87"/>
      <c r="BH1640" s="87"/>
    </row>
    <row r="1641" spans="1:60" ht="16">
      <c r="A1641" s="82"/>
      <c r="B1641" s="82"/>
      <c r="C1641" s="82"/>
      <c r="D1641" s="83"/>
      <c r="E1641" s="84"/>
      <c r="F1641" s="84"/>
      <c r="G1641" s="84"/>
      <c r="H1641" s="82"/>
      <c r="I1641" s="84"/>
      <c r="J1641" s="84"/>
      <c r="K1641" s="84"/>
      <c r="L1641" s="84"/>
      <c r="M1641" s="84"/>
      <c r="N1641" s="84"/>
      <c r="O1641" s="84"/>
      <c r="P1641" s="84"/>
      <c r="Q1641" s="84"/>
      <c r="R1641" s="84"/>
      <c r="S1641" s="84"/>
      <c r="T1641" s="84"/>
      <c r="U1641" s="84"/>
      <c r="V1641" s="84"/>
      <c r="W1641" s="84"/>
      <c r="X1641" s="84"/>
      <c r="Y1641" s="84"/>
      <c r="Z1641" s="87"/>
      <c r="AA1641" s="87"/>
      <c r="AB1641" s="87"/>
      <c r="AC1641" s="87"/>
      <c r="AD1641" s="87"/>
      <c r="AE1641" s="87"/>
      <c r="AF1641" s="87"/>
      <c r="AG1641" s="87"/>
      <c r="AH1641" s="87"/>
      <c r="AI1641" s="87"/>
      <c r="AJ1641" s="87"/>
      <c r="AK1641" s="87"/>
      <c r="AL1641" s="87"/>
      <c r="AM1641" s="87"/>
      <c r="AN1641" s="87"/>
      <c r="AO1641" s="87"/>
      <c r="AP1641" s="87"/>
      <c r="AQ1641" s="87"/>
      <c r="AR1641" s="87"/>
      <c r="AS1641" s="87"/>
      <c r="AT1641" s="87"/>
      <c r="AU1641" s="87"/>
      <c r="AV1641" s="87"/>
      <c r="AW1641" s="87"/>
      <c r="AX1641" s="87"/>
      <c r="AY1641" s="87"/>
      <c r="AZ1641" s="87"/>
      <c r="BA1641" s="87"/>
      <c r="BB1641" s="87"/>
      <c r="BC1641" s="87"/>
      <c r="BD1641" s="87"/>
      <c r="BE1641" s="87"/>
      <c r="BF1641" s="87"/>
      <c r="BG1641" s="87"/>
      <c r="BH1641" s="87"/>
    </row>
    <row r="1642" spans="1:60" ht="16">
      <c r="A1642" s="82"/>
      <c r="B1642" s="82"/>
      <c r="C1642" s="82"/>
      <c r="D1642" s="83"/>
      <c r="E1642" s="84"/>
      <c r="F1642" s="84"/>
      <c r="G1642" s="84"/>
      <c r="H1642" s="82"/>
      <c r="I1642" s="84"/>
      <c r="J1642" s="84"/>
      <c r="K1642" s="84"/>
      <c r="L1642" s="84"/>
      <c r="M1642" s="84"/>
      <c r="N1642" s="84"/>
      <c r="O1642" s="84"/>
      <c r="P1642" s="84"/>
      <c r="Q1642" s="84"/>
      <c r="R1642" s="84"/>
      <c r="S1642" s="84"/>
      <c r="T1642" s="84"/>
      <c r="U1642" s="84"/>
      <c r="V1642" s="84"/>
      <c r="W1642" s="84"/>
      <c r="X1642" s="84"/>
      <c r="Y1642" s="84"/>
      <c r="Z1642" s="87"/>
      <c r="AA1642" s="87"/>
      <c r="AB1642" s="87"/>
      <c r="AC1642" s="87"/>
      <c r="AD1642" s="87"/>
      <c r="AE1642" s="87"/>
      <c r="AF1642" s="87"/>
      <c r="AG1642" s="87"/>
      <c r="AH1642" s="87"/>
      <c r="AI1642" s="87"/>
      <c r="AJ1642" s="87"/>
      <c r="AK1642" s="87"/>
      <c r="AL1642" s="87"/>
      <c r="AM1642" s="87"/>
      <c r="AN1642" s="87"/>
      <c r="AO1642" s="87"/>
      <c r="AP1642" s="87"/>
      <c r="AQ1642" s="87"/>
      <c r="AR1642" s="87"/>
      <c r="AS1642" s="87"/>
      <c r="AT1642" s="87"/>
      <c r="AU1642" s="87"/>
      <c r="AV1642" s="87"/>
      <c r="AW1642" s="87"/>
      <c r="AX1642" s="87"/>
      <c r="AY1642" s="87"/>
      <c r="AZ1642" s="87"/>
      <c r="BA1642" s="87"/>
      <c r="BB1642" s="87"/>
      <c r="BC1642" s="87"/>
      <c r="BD1642" s="87"/>
      <c r="BE1642" s="87"/>
      <c r="BF1642" s="87"/>
      <c r="BG1642" s="87"/>
      <c r="BH1642" s="87"/>
    </row>
    <row r="1643" spans="1:60" ht="16">
      <c r="A1643" s="82"/>
      <c r="B1643" s="82"/>
      <c r="C1643" s="82"/>
      <c r="D1643" s="83"/>
      <c r="E1643" s="84"/>
      <c r="F1643" s="84"/>
      <c r="G1643" s="84"/>
      <c r="H1643" s="82"/>
      <c r="I1643" s="84"/>
      <c r="J1643" s="84"/>
      <c r="K1643" s="84"/>
      <c r="L1643" s="84"/>
      <c r="M1643" s="84"/>
      <c r="N1643" s="84"/>
      <c r="O1643" s="84"/>
      <c r="P1643" s="84"/>
      <c r="Q1643" s="84"/>
      <c r="R1643" s="84"/>
      <c r="S1643" s="84"/>
      <c r="T1643" s="84"/>
      <c r="U1643" s="84"/>
      <c r="V1643" s="84"/>
      <c r="W1643" s="84"/>
      <c r="X1643" s="84"/>
      <c r="Y1643" s="84"/>
      <c r="Z1643" s="87"/>
      <c r="AA1643" s="87"/>
      <c r="AB1643" s="87"/>
      <c r="AC1643" s="87"/>
      <c r="AD1643" s="87"/>
      <c r="AE1643" s="87"/>
      <c r="AF1643" s="87"/>
      <c r="AG1643" s="87"/>
      <c r="AH1643" s="87"/>
      <c r="AI1643" s="87"/>
      <c r="AJ1643" s="87"/>
      <c r="AK1643" s="87"/>
      <c r="AL1643" s="87"/>
      <c r="AM1643" s="87"/>
      <c r="AN1643" s="87"/>
      <c r="AO1643" s="87"/>
      <c r="AP1643" s="87"/>
      <c r="AQ1643" s="87"/>
      <c r="AR1643" s="87"/>
      <c r="AS1643" s="87"/>
      <c r="AT1643" s="87"/>
      <c r="AU1643" s="87"/>
      <c r="AV1643" s="87"/>
      <c r="AW1643" s="87"/>
      <c r="AX1643" s="87"/>
      <c r="AY1643" s="87"/>
      <c r="AZ1643" s="87"/>
      <c r="BA1643" s="87"/>
      <c r="BB1643" s="87"/>
      <c r="BC1643" s="87"/>
      <c r="BD1643" s="87"/>
      <c r="BE1643" s="87"/>
      <c r="BF1643" s="87"/>
      <c r="BG1643" s="87"/>
      <c r="BH1643" s="87"/>
    </row>
    <row r="1644" spans="1:60" ht="16">
      <c r="A1644" s="82"/>
      <c r="B1644" s="82"/>
      <c r="C1644" s="82"/>
      <c r="D1644" s="83"/>
      <c r="E1644" s="84"/>
      <c r="F1644" s="84"/>
      <c r="G1644" s="84"/>
      <c r="H1644" s="82"/>
      <c r="I1644" s="84"/>
      <c r="J1644" s="84"/>
      <c r="K1644" s="84"/>
      <c r="L1644" s="84"/>
      <c r="M1644" s="84"/>
      <c r="N1644" s="84"/>
      <c r="O1644" s="84"/>
      <c r="P1644" s="84"/>
      <c r="Q1644" s="84"/>
      <c r="R1644" s="84"/>
      <c r="S1644" s="84"/>
      <c r="T1644" s="84"/>
      <c r="U1644" s="84"/>
      <c r="V1644" s="84"/>
      <c r="W1644" s="84"/>
      <c r="X1644" s="84"/>
      <c r="Y1644" s="84"/>
      <c r="Z1644" s="87"/>
      <c r="AA1644" s="87"/>
      <c r="AB1644" s="87"/>
      <c r="AC1644" s="87"/>
      <c r="AD1644" s="87"/>
      <c r="AE1644" s="87"/>
      <c r="AF1644" s="87"/>
      <c r="AG1644" s="87"/>
      <c r="AH1644" s="87"/>
      <c r="AI1644" s="87"/>
      <c r="AJ1644" s="87"/>
      <c r="AK1644" s="87"/>
      <c r="AL1644" s="87"/>
      <c r="AM1644" s="87"/>
      <c r="AN1644" s="87"/>
      <c r="AO1644" s="87"/>
      <c r="AP1644" s="87"/>
      <c r="AQ1644" s="87"/>
      <c r="AR1644" s="87"/>
      <c r="AS1644" s="87"/>
      <c r="AT1644" s="87"/>
      <c r="AU1644" s="87"/>
      <c r="AV1644" s="87"/>
      <c r="AW1644" s="87"/>
      <c r="AX1644" s="87"/>
      <c r="AY1644" s="87"/>
      <c r="AZ1644" s="87"/>
      <c r="BA1644" s="87"/>
      <c r="BB1644" s="87"/>
      <c r="BC1644" s="87"/>
      <c r="BD1644" s="87"/>
      <c r="BE1644" s="87"/>
      <c r="BF1644" s="87"/>
      <c r="BG1644" s="87"/>
      <c r="BH1644" s="87"/>
    </row>
    <row r="1645" spans="1:60" ht="16">
      <c r="A1645" s="82"/>
      <c r="B1645" s="82"/>
      <c r="C1645" s="82"/>
      <c r="D1645" s="83"/>
      <c r="E1645" s="84"/>
      <c r="F1645" s="84"/>
      <c r="G1645" s="84"/>
      <c r="H1645" s="82"/>
      <c r="I1645" s="84"/>
      <c r="J1645" s="84"/>
      <c r="K1645" s="84"/>
      <c r="L1645" s="84"/>
      <c r="M1645" s="84"/>
      <c r="N1645" s="84"/>
      <c r="O1645" s="84"/>
      <c r="P1645" s="84"/>
      <c r="Q1645" s="84"/>
      <c r="R1645" s="84"/>
      <c r="S1645" s="84"/>
      <c r="T1645" s="84"/>
      <c r="U1645" s="84"/>
      <c r="V1645" s="84"/>
      <c r="W1645" s="84"/>
      <c r="X1645" s="84"/>
      <c r="Y1645" s="84"/>
      <c r="Z1645" s="87"/>
      <c r="AA1645" s="87"/>
      <c r="AB1645" s="87"/>
      <c r="AC1645" s="87"/>
      <c r="AD1645" s="87"/>
      <c r="AE1645" s="87"/>
      <c r="AF1645" s="87"/>
      <c r="AG1645" s="87"/>
      <c r="AH1645" s="87"/>
      <c r="AI1645" s="87"/>
      <c r="AJ1645" s="87"/>
      <c r="AK1645" s="87"/>
      <c r="AL1645" s="87"/>
      <c r="AM1645" s="87"/>
      <c r="AN1645" s="87"/>
      <c r="AO1645" s="87"/>
      <c r="AP1645" s="87"/>
      <c r="AQ1645" s="87"/>
      <c r="AR1645" s="87"/>
      <c r="AS1645" s="87"/>
      <c r="AT1645" s="87"/>
      <c r="AU1645" s="87"/>
      <c r="AV1645" s="87"/>
      <c r="AW1645" s="87"/>
      <c r="AX1645" s="87"/>
      <c r="AY1645" s="87"/>
      <c r="AZ1645" s="87"/>
      <c r="BA1645" s="87"/>
      <c r="BB1645" s="87"/>
      <c r="BC1645" s="87"/>
      <c r="BD1645" s="87"/>
      <c r="BE1645" s="87"/>
      <c r="BF1645" s="87"/>
      <c r="BG1645" s="87"/>
      <c r="BH1645" s="87"/>
    </row>
    <row r="1646" spans="1:60" ht="16">
      <c r="A1646" s="82"/>
      <c r="B1646" s="82"/>
      <c r="C1646" s="82"/>
      <c r="D1646" s="83"/>
      <c r="E1646" s="84"/>
      <c r="F1646" s="84"/>
      <c r="G1646" s="84"/>
      <c r="H1646" s="82"/>
      <c r="I1646" s="84"/>
      <c r="J1646" s="84"/>
      <c r="K1646" s="84"/>
      <c r="L1646" s="84"/>
      <c r="M1646" s="84"/>
      <c r="N1646" s="84"/>
      <c r="O1646" s="84"/>
      <c r="P1646" s="84"/>
      <c r="Q1646" s="84"/>
      <c r="R1646" s="84"/>
      <c r="S1646" s="84"/>
      <c r="T1646" s="84"/>
      <c r="U1646" s="84"/>
      <c r="V1646" s="84"/>
      <c r="W1646" s="84"/>
      <c r="X1646" s="84"/>
      <c r="Y1646" s="84"/>
      <c r="Z1646" s="87"/>
      <c r="AA1646" s="87"/>
      <c r="AB1646" s="87"/>
      <c r="AC1646" s="87"/>
      <c r="AD1646" s="87"/>
      <c r="AE1646" s="87"/>
      <c r="AF1646" s="87"/>
      <c r="AG1646" s="87"/>
      <c r="AH1646" s="87"/>
      <c r="AI1646" s="87"/>
      <c r="AJ1646" s="87"/>
      <c r="AK1646" s="87"/>
      <c r="AL1646" s="87"/>
      <c r="AM1646" s="87"/>
      <c r="AN1646" s="87"/>
      <c r="AO1646" s="87"/>
      <c r="AP1646" s="87"/>
      <c r="AQ1646" s="87"/>
      <c r="AR1646" s="87"/>
      <c r="AS1646" s="87"/>
      <c r="AT1646" s="87"/>
      <c r="AU1646" s="87"/>
      <c r="AV1646" s="87"/>
      <c r="AW1646" s="87"/>
      <c r="AX1646" s="87"/>
      <c r="AY1646" s="87"/>
      <c r="AZ1646" s="87"/>
      <c r="BA1646" s="87"/>
      <c r="BB1646" s="87"/>
      <c r="BC1646" s="87"/>
      <c r="BD1646" s="87"/>
      <c r="BE1646" s="87"/>
      <c r="BF1646" s="87"/>
      <c r="BG1646" s="87"/>
      <c r="BH1646" s="87"/>
    </row>
    <row r="1647" spans="1:60" ht="16">
      <c r="A1647" s="82"/>
      <c r="B1647" s="82"/>
      <c r="C1647" s="82"/>
      <c r="D1647" s="83"/>
      <c r="E1647" s="84"/>
      <c r="F1647" s="84"/>
      <c r="G1647" s="84"/>
      <c r="H1647" s="82"/>
      <c r="I1647" s="84"/>
      <c r="J1647" s="84"/>
      <c r="K1647" s="84"/>
      <c r="L1647" s="84"/>
      <c r="M1647" s="84"/>
      <c r="N1647" s="84"/>
      <c r="O1647" s="84"/>
      <c r="P1647" s="84"/>
      <c r="Q1647" s="84"/>
      <c r="R1647" s="84"/>
      <c r="S1647" s="84"/>
      <c r="T1647" s="84"/>
      <c r="U1647" s="84"/>
      <c r="V1647" s="84"/>
      <c r="W1647" s="84"/>
      <c r="X1647" s="84"/>
      <c r="Y1647" s="84"/>
      <c r="Z1647" s="87"/>
      <c r="AA1647" s="87"/>
      <c r="AB1647" s="87"/>
      <c r="AC1647" s="87"/>
      <c r="AD1647" s="87"/>
      <c r="AE1647" s="87"/>
      <c r="AF1647" s="87"/>
      <c r="AG1647" s="87"/>
      <c r="AH1647" s="87"/>
      <c r="AI1647" s="87"/>
      <c r="AJ1647" s="87"/>
      <c r="AK1647" s="87"/>
      <c r="AL1647" s="87"/>
      <c r="AM1647" s="87"/>
      <c r="AN1647" s="87"/>
      <c r="AO1647" s="87"/>
      <c r="AP1647" s="87"/>
      <c r="AQ1647" s="87"/>
      <c r="AR1647" s="87"/>
      <c r="AS1647" s="87"/>
      <c r="AT1647" s="87"/>
      <c r="AU1647" s="87"/>
      <c r="AV1647" s="87"/>
      <c r="AW1647" s="87"/>
      <c r="AX1647" s="87"/>
      <c r="AY1647" s="87"/>
      <c r="AZ1647" s="87"/>
      <c r="BA1647" s="87"/>
      <c r="BB1647" s="87"/>
      <c r="BC1647" s="87"/>
      <c r="BD1647" s="87"/>
      <c r="BE1647" s="87"/>
      <c r="BF1647" s="87"/>
      <c r="BG1647" s="87"/>
      <c r="BH1647" s="87"/>
    </row>
    <row r="1648" spans="1:60" ht="16">
      <c r="A1648" s="82"/>
      <c r="B1648" s="82"/>
      <c r="C1648" s="82"/>
      <c r="D1648" s="83"/>
      <c r="E1648" s="84"/>
      <c r="F1648" s="84"/>
      <c r="G1648" s="84"/>
      <c r="H1648" s="82"/>
      <c r="I1648" s="84"/>
      <c r="J1648" s="84"/>
      <c r="K1648" s="84"/>
      <c r="L1648" s="84"/>
      <c r="M1648" s="84"/>
      <c r="N1648" s="84"/>
      <c r="O1648" s="84"/>
      <c r="P1648" s="84"/>
      <c r="Q1648" s="84"/>
      <c r="R1648" s="84"/>
      <c r="S1648" s="84"/>
      <c r="T1648" s="84"/>
      <c r="U1648" s="84"/>
      <c r="V1648" s="84"/>
      <c r="W1648" s="84"/>
      <c r="X1648" s="84"/>
      <c r="Y1648" s="84"/>
      <c r="Z1648" s="87"/>
      <c r="AA1648" s="87"/>
      <c r="AB1648" s="87"/>
      <c r="AC1648" s="87"/>
      <c r="AD1648" s="87"/>
      <c r="AE1648" s="87"/>
      <c r="AF1648" s="87"/>
      <c r="AG1648" s="87"/>
      <c r="AH1648" s="87"/>
      <c r="AI1648" s="87"/>
      <c r="AJ1648" s="87"/>
      <c r="AK1648" s="87"/>
      <c r="AL1648" s="87"/>
      <c r="AM1648" s="87"/>
      <c r="AN1648" s="87"/>
      <c r="AO1648" s="87"/>
      <c r="AP1648" s="87"/>
      <c r="AQ1648" s="87"/>
      <c r="AR1648" s="87"/>
      <c r="AS1648" s="87"/>
      <c r="AT1648" s="87"/>
      <c r="AU1648" s="87"/>
      <c r="AV1648" s="87"/>
      <c r="AW1648" s="87"/>
      <c r="AX1648" s="87"/>
      <c r="AY1648" s="87"/>
      <c r="AZ1648" s="87"/>
      <c r="BA1648" s="87"/>
      <c r="BB1648" s="87"/>
      <c r="BC1648" s="87"/>
      <c r="BD1648" s="87"/>
      <c r="BE1648" s="87"/>
      <c r="BF1648" s="87"/>
      <c r="BG1648" s="87"/>
      <c r="BH1648" s="87"/>
    </row>
    <row r="1649" spans="1:60" ht="16">
      <c r="A1649" s="82"/>
      <c r="B1649" s="82"/>
      <c r="C1649" s="82"/>
      <c r="D1649" s="83"/>
      <c r="E1649" s="84"/>
      <c r="F1649" s="84"/>
      <c r="G1649" s="84"/>
      <c r="H1649" s="82"/>
      <c r="I1649" s="84"/>
      <c r="J1649" s="84"/>
      <c r="K1649" s="84"/>
      <c r="L1649" s="84"/>
      <c r="M1649" s="84"/>
      <c r="N1649" s="84"/>
      <c r="O1649" s="84"/>
      <c r="P1649" s="84"/>
      <c r="Q1649" s="84"/>
      <c r="R1649" s="84"/>
      <c r="S1649" s="84"/>
      <c r="T1649" s="84"/>
      <c r="U1649" s="84"/>
      <c r="V1649" s="84"/>
      <c r="W1649" s="84"/>
      <c r="X1649" s="84"/>
      <c r="Y1649" s="84"/>
      <c r="Z1649" s="87"/>
      <c r="AA1649" s="87"/>
      <c r="AB1649" s="87"/>
      <c r="AC1649" s="87"/>
      <c r="AD1649" s="87"/>
      <c r="AE1649" s="87"/>
      <c r="AF1649" s="87"/>
      <c r="AG1649" s="87"/>
      <c r="AH1649" s="87"/>
      <c r="AI1649" s="87"/>
      <c r="AJ1649" s="87"/>
      <c r="AK1649" s="87"/>
      <c r="AL1649" s="87"/>
      <c r="AM1649" s="87"/>
      <c r="AN1649" s="87"/>
      <c r="AO1649" s="87"/>
      <c r="AP1649" s="87"/>
      <c r="AQ1649" s="87"/>
      <c r="AR1649" s="87"/>
      <c r="AS1649" s="87"/>
      <c r="AT1649" s="87"/>
      <c r="AU1649" s="87"/>
      <c r="AV1649" s="87"/>
      <c r="AW1649" s="87"/>
      <c r="AX1649" s="87"/>
      <c r="AY1649" s="87"/>
      <c r="AZ1649" s="87"/>
      <c r="BA1649" s="87"/>
      <c r="BB1649" s="87"/>
      <c r="BC1649" s="87"/>
      <c r="BD1649" s="87"/>
      <c r="BE1649" s="87"/>
      <c r="BF1649" s="87"/>
      <c r="BG1649" s="87"/>
      <c r="BH1649" s="87"/>
    </row>
    <row r="1650" spans="1:60" ht="16">
      <c r="A1650" s="82"/>
      <c r="B1650" s="82"/>
      <c r="C1650" s="82"/>
      <c r="D1650" s="83"/>
      <c r="E1650" s="84"/>
      <c r="F1650" s="84"/>
      <c r="G1650" s="84"/>
      <c r="H1650" s="82"/>
      <c r="I1650" s="84"/>
      <c r="J1650" s="84"/>
      <c r="K1650" s="84"/>
      <c r="L1650" s="84"/>
      <c r="M1650" s="84"/>
      <c r="N1650" s="84"/>
      <c r="O1650" s="84"/>
      <c r="P1650" s="84"/>
      <c r="Q1650" s="84"/>
      <c r="R1650" s="84"/>
      <c r="S1650" s="84"/>
      <c r="T1650" s="84"/>
      <c r="U1650" s="84"/>
      <c r="V1650" s="84"/>
      <c r="W1650" s="84"/>
      <c r="X1650" s="84"/>
      <c r="Y1650" s="84"/>
      <c r="Z1650" s="87"/>
      <c r="AA1650" s="87"/>
      <c r="AB1650" s="87"/>
      <c r="AC1650" s="87"/>
      <c r="AD1650" s="87"/>
      <c r="AE1650" s="87"/>
      <c r="AF1650" s="87"/>
      <c r="AG1650" s="87"/>
      <c r="AH1650" s="87"/>
      <c r="AI1650" s="87"/>
      <c r="AJ1650" s="87"/>
      <c r="AK1650" s="87"/>
      <c r="AL1650" s="87"/>
      <c r="AM1650" s="87"/>
      <c r="AN1650" s="87"/>
      <c r="AO1650" s="87"/>
      <c r="AP1650" s="87"/>
      <c r="AQ1650" s="87"/>
      <c r="AR1650" s="87"/>
      <c r="AS1650" s="87"/>
      <c r="AT1650" s="87"/>
      <c r="AU1650" s="87"/>
      <c r="AV1650" s="87"/>
      <c r="AW1650" s="87"/>
      <c r="AX1650" s="87"/>
      <c r="AY1650" s="87"/>
      <c r="AZ1650" s="87"/>
      <c r="BA1650" s="87"/>
      <c r="BB1650" s="87"/>
      <c r="BC1650" s="87"/>
      <c r="BD1650" s="87"/>
      <c r="BE1650" s="87"/>
      <c r="BF1650" s="87"/>
      <c r="BG1650" s="87"/>
      <c r="BH1650" s="87"/>
    </row>
    <row r="1651" spans="1:60" ht="16">
      <c r="A1651" s="82"/>
      <c r="B1651" s="82"/>
      <c r="C1651" s="82"/>
      <c r="D1651" s="83"/>
      <c r="E1651" s="84"/>
      <c r="F1651" s="84"/>
      <c r="G1651" s="84"/>
      <c r="H1651" s="82"/>
      <c r="I1651" s="84"/>
      <c r="J1651" s="84"/>
      <c r="K1651" s="84"/>
      <c r="L1651" s="84"/>
      <c r="M1651" s="84"/>
      <c r="N1651" s="84"/>
      <c r="O1651" s="84"/>
      <c r="P1651" s="84"/>
      <c r="Q1651" s="84"/>
      <c r="R1651" s="84"/>
      <c r="S1651" s="84"/>
      <c r="T1651" s="84"/>
      <c r="U1651" s="84"/>
      <c r="V1651" s="84"/>
      <c r="W1651" s="84"/>
      <c r="X1651" s="84"/>
      <c r="Y1651" s="84"/>
      <c r="Z1651" s="87"/>
      <c r="AA1651" s="87"/>
      <c r="AB1651" s="87"/>
      <c r="AC1651" s="87"/>
      <c r="AD1651" s="87"/>
      <c r="AE1651" s="87"/>
      <c r="AF1651" s="87"/>
      <c r="AG1651" s="87"/>
      <c r="AH1651" s="87"/>
      <c r="AI1651" s="87"/>
      <c r="AJ1651" s="87"/>
      <c r="AK1651" s="87"/>
      <c r="AL1651" s="87"/>
      <c r="AM1651" s="87"/>
      <c r="AN1651" s="87"/>
      <c r="AO1651" s="87"/>
      <c r="AP1651" s="87"/>
      <c r="AQ1651" s="87"/>
      <c r="AR1651" s="87"/>
      <c r="AS1651" s="87"/>
      <c r="AT1651" s="87"/>
      <c r="AU1651" s="87"/>
      <c r="AV1651" s="87"/>
      <c r="AW1651" s="87"/>
      <c r="AX1651" s="87"/>
      <c r="AY1651" s="87"/>
      <c r="AZ1651" s="87"/>
      <c r="BA1651" s="87"/>
      <c r="BB1651" s="87"/>
      <c r="BC1651" s="87"/>
      <c r="BD1651" s="87"/>
      <c r="BE1651" s="87"/>
      <c r="BF1651" s="87"/>
      <c r="BG1651" s="87"/>
      <c r="BH1651" s="87"/>
    </row>
    <row r="1652" spans="1:60" ht="16">
      <c r="A1652" s="82"/>
      <c r="B1652" s="82"/>
      <c r="C1652" s="82"/>
      <c r="D1652" s="83"/>
      <c r="E1652" s="84"/>
      <c r="F1652" s="84"/>
      <c r="G1652" s="84"/>
      <c r="H1652" s="82"/>
      <c r="I1652" s="84"/>
      <c r="J1652" s="84"/>
      <c r="K1652" s="84"/>
      <c r="L1652" s="84"/>
      <c r="M1652" s="84"/>
      <c r="N1652" s="84"/>
      <c r="O1652" s="84"/>
      <c r="P1652" s="84"/>
      <c r="Q1652" s="84"/>
      <c r="R1652" s="84"/>
      <c r="S1652" s="84"/>
      <c r="T1652" s="84"/>
      <c r="U1652" s="84"/>
      <c r="V1652" s="84"/>
      <c r="W1652" s="84"/>
      <c r="X1652" s="84"/>
      <c r="Y1652" s="84"/>
      <c r="Z1652" s="87"/>
      <c r="AA1652" s="87"/>
      <c r="AB1652" s="87"/>
      <c r="AC1652" s="87"/>
      <c r="AD1652" s="87"/>
      <c r="AE1652" s="87"/>
      <c r="AF1652" s="87"/>
      <c r="AG1652" s="87"/>
      <c r="AH1652" s="87"/>
      <c r="AI1652" s="87"/>
      <c r="AJ1652" s="87"/>
      <c r="AK1652" s="87"/>
      <c r="AL1652" s="87"/>
      <c r="AM1652" s="87"/>
      <c r="AN1652" s="87"/>
      <c r="AO1652" s="87"/>
      <c r="AP1652" s="87"/>
      <c r="AQ1652" s="87"/>
      <c r="AR1652" s="87"/>
      <c r="AS1652" s="87"/>
      <c r="AT1652" s="87"/>
      <c r="AU1652" s="87"/>
      <c r="AV1652" s="87"/>
      <c r="AW1652" s="87"/>
      <c r="AX1652" s="87"/>
      <c r="AY1652" s="87"/>
      <c r="AZ1652" s="87"/>
      <c r="BA1652" s="87"/>
      <c r="BB1652" s="87"/>
      <c r="BC1652" s="87"/>
      <c r="BD1652" s="87"/>
      <c r="BE1652" s="87"/>
      <c r="BF1652" s="87"/>
      <c r="BG1652" s="87"/>
      <c r="BH1652" s="87"/>
    </row>
    <row r="1653" spans="1:60" ht="16">
      <c r="A1653" s="82"/>
      <c r="B1653" s="82"/>
      <c r="C1653" s="82"/>
      <c r="D1653" s="83"/>
      <c r="E1653" s="84"/>
      <c r="F1653" s="84"/>
      <c r="G1653" s="84"/>
      <c r="H1653" s="82"/>
      <c r="I1653" s="84"/>
      <c r="J1653" s="84"/>
      <c r="K1653" s="84"/>
      <c r="L1653" s="84"/>
      <c r="M1653" s="84"/>
      <c r="N1653" s="84"/>
      <c r="O1653" s="84"/>
      <c r="P1653" s="84"/>
      <c r="Q1653" s="84"/>
      <c r="R1653" s="84"/>
      <c r="S1653" s="84"/>
      <c r="T1653" s="84"/>
      <c r="U1653" s="84"/>
      <c r="V1653" s="84"/>
      <c r="W1653" s="84"/>
      <c r="X1653" s="84"/>
      <c r="Y1653" s="84"/>
      <c r="Z1653" s="87"/>
      <c r="AA1653" s="87"/>
      <c r="AB1653" s="87"/>
      <c r="AC1653" s="87"/>
      <c r="AD1653" s="87"/>
      <c r="AE1653" s="87"/>
      <c r="AF1653" s="87"/>
      <c r="AG1653" s="87"/>
      <c r="AH1653" s="87"/>
      <c r="AI1653" s="87"/>
      <c r="AJ1653" s="87"/>
      <c r="AK1653" s="87"/>
      <c r="AL1653" s="87"/>
      <c r="AM1653" s="87"/>
      <c r="AN1653" s="87"/>
      <c r="AO1653" s="87"/>
      <c r="AP1653" s="87"/>
      <c r="AQ1653" s="87"/>
      <c r="AR1653" s="87"/>
      <c r="AS1653" s="87"/>
      <c r="AT1653" s="87"/>
      <c r="AU1653" s="87"/>
      <c r="AV1653" s="87"/>
      <c r="AW1653" s="87"/>
      <c r="AX1653" s="87"/>
      <c r="AY1653" s="87"/>
      <c r="AZ1653" s="87"/>
      <c r="BA1653" s="87"/>
      <c r="BB1653" s="87"/>
      <c r="BC1653" s="87"/>
      <c r="BD1653" s="87"/>
      <c r="BE1653" s="87"/>
      <c r="BF1653" s="87"/>
      <c r="BG1653" s="87"/>
      <c r="BH1653" s="87"/>
    </row>
    <row r="1654" spans="1:60" ht="16">
      <c r="A1654" s="82"/>
      <c r="B1654" s="82"/>
      <c r="C1654" s="82"/>
      <c r="D1654" s="83"/>
      <c r="E1654" s="84"/>
      <c r="F1654" s="84"/>
      <c r="G1654" s="84"/>
      <c r="H1654" s="82"/>
      <c r="I1654" s="84"/>
      <c r="J1654" s="84"/>
      <c r="K1654" s="84"/>
      <c r="L1654" s="84"/>
      <c r="M1654" s="84"/>
      <c r="N1654" s="84"/>
      <c r="O1654" s="84"/>
      <c r="P1654" s="84"/>
      <c r="Q1654" s="84"/>
      <c r="R1654" s="84"/>
      <c r="S1654" s="84"/>
      <c r="T1654" s="84"/>
      <c r="U1654" s="84"/>
      <c r="V1654" s="84"/>
      <c r="W1654" s="84"/>
      <c r="X1654" s="84"/>
      <c r="Y1654" s="84"/>
      <c r="Z1654" s="87"/>
      <c r="AA1654" s="87"/>
      <c r="AB1654" s="87"/>
      <c r="AC1654" s="87"/>
      <c r="AD1654" s="87"/>
      <c r="AE1654" s="87"/>
      <c r="AF1654" s="87"/>
      <c r="AG1654" s="87"/>
      <c r="AH1654" s="87"/>
      <c r="AI1654" s="87"/>
      <c r="AJ1654" s="87"/>
      <c r="AK1654" s="87"/>
      <c r="AL1654" s="87"/>
      <c r="AM1654" s="87"/>
      <c r="AN1654" s="87"/>
      <c r="AO1654" s="87"/>
      <c r="AP1654" s="87"/>
      <c r="AQ1654" s="87"/>
      <c r="AR1654" s="87"/>
      <c r="AS1654" s="87"/>
      <c r="AT1654" s="87"/>
      <c r="AU1654" s="87"/>
      <c r="AV1654" s="87"/>
      <c r="AW1654" s="87"/>
      <c r="AX1654" s="87"/>
      <c r="AY1654" s="87"/>
      <c r="AZ1654" s="87"/>
      <c r="BA1654" s="87"/>
      <c r="BB1654" s="87"/>
      <c r="BC1654" s="87"/>
      <c r="BD1654" s="87"/>
      <c r="BE1654" s="87"/>
      <c r="BF1654" s="87"/>
      <c r="BG1654" s="87"/>
      <c r="BH1654" s="87"/>
    </row>
    <row r="1655" spans="1:60" ht="16">
      <c r="A1655" s="82"/>
      <c r="B1655" s="82"/>
      <c r="C1655" s="82"/>
      <c r="D1655" s="83"/>
      <c r="E1655" s="84"/>
      <c r="F1655" s="84"/>
      <c r="G1655" s="84"/>
      <c r="H1655" s="82"/>
      <c r="I1655" s="84"/>
      <c r="J1655" s="84"/>
      <c r="K1655" s="84"/>
      <c r="L1655" s="84"/>
      <c r="M1655" s="84"/>
      <c r="N1655" s="84"/>
      <c r="O1655" s="84"/>
      <c r="P1655" s="84"/>
      <c r="Q1655" s="84"/>
      <c r="R1655" s="84"/>
      <c r="S1655" s="84"/>
      <c r="T1655" s="84"/>
      <c r="U1655" s="84"/>
      <c r="V1655" s="84"/>
      <c r="W1655" s="84"/>
      <c r="X1655" s="84"/>
      <c r="Y1655" s="84"/>
      <c r="Z1655" s="87"/>
      <c r="AA1655" s="87"/>
      <c r="AB1655" s="87"/>
      <c r="AC1655" s="87"/>
      <c r="AD1655" s="87"/>
      <c r="AE1655" s="87"/>
      <c r="AF1655" s="87"/>
      <c r="AG1655" s="87"/>
      <c r="AH1655" s="87"/>
      <c r="AI1655" s="87"/>
      <c r="AJ1655" s="87"/>
      <c r="AK1655" s="87"/>
      <c r="AL1655" s="87"/>
      <c r="AM1655" s="87"/>
      <c r="AN1655" s="87"/>
      <c r="AO1655" s="87"/>
      <c r="AP1655" s="87"/>
      <c r="AQ1655" s="87"/>
      <c r="AR1655" s="87"/>
      <c r="AS1655" s="87"/>
      <c r="AT1655" s="87"/>
      <c r="AU1655" s="87"/>
      <c r="AV1655" s="87"/>
      <c r="AW1655" s="87"/>
      <c r="AX1655" s="87"/>
      <c r="AY1655" s="87"/>
      <c r="AZ1655" s="87"/>
      <c r="BA1655" s="87"/>
      <c r="BB1655" s="87"/>
      <c r="BC1655" s="87"/>
      <c r="BD1655" s="87"/>
      <c r="BE1655" s="87"/>
      <c r="BF1655" s="87"/>
      <c r="BG1655" s="87"/>
      <c r="BH1655" s="87"/>
    </row>
    <row r="1656" spans="1:60" ht="16">
      <c r="A1656" s="82"/>
      <c r="B1656" s="82"/>
      <c r="C1656" s="82"/>
      <c r="D1656" s="83"/>
      <c r="E1656" s="84"/>
      <c r="F1656" s="84"/>
      <c r="G1656" s="84"/>
      <c r="H1656" s="82"/>
      <c r="I1656" s="84"/>
      <c r="J1656" s="84"/>
      <c r="K1656" s="84"/>
      <c r="L1656" s="84"/>
      <c r="M1656" s="84"/>
      <c r="N1656" s="84"/>
      <c r="O1656" s="84"/>
      <c r="P1656" s="84"/>
      <c r="Q1656" s="84"/>
      <c r="R1656" s="84"/>
      <c r="S1656" s="84"/>
      <c r="T1656" s="84"/>
      <c r="U1656" s="84"/>
      <c r="V1656" s="84"/>
      <c r="W1656" s="84"/>
      <c r="X1656" s="84"/>
      <c r="Y1656" s="84"/>
      <c r="Z1656" s="87"/>
      <c r="AA1656" s="87"/>
      <c r="AB1656" s="87"/>
      <c r="AC1656" s="87"/>
      <c r="AD1656" s="87"/>
      <c r="AE1656" s="87"/>
      <c r="AF1656" s="87"/>
      <c r="AG1656" s="87"/>
      <c r="AH1656" s="87"/>
      <c r="AI1656" s="87"/>
      <c r="AJ1656" s="87"/>
      <c r="AK1656" s="87"/>
      <c r="AL1656" s="87"/>
      <c r="AM1656" s="87"/>
      <c r="AN1656" s="87"/>
      <c r="AO1656" s="87"/>
      <c r="AP1656" s="87"/>
      <c r="AQ1656" s="87"/>
      <c r="AR1656" s="87"/>
      <c r="AS1656" s="87"/>
      <c r="AT1656" s="87"/>
      <c r="AU1656" s="87"/>
      <c r="AV1656" s="87"/>
      <c r="AW1656" s="87"/>
      <c r="AX1656" s="87"/>
      <c r="AY1656" s="87"/>
      <c r="AZ1656" s="87"/>
      <c r="BA1656" s="87"/>
      <c r="BB1656" s="87"/>
      <c r="BC1656" s="87"/>
      <c r="BD1656" s="87"/>
      <c r="BE1656" s="87"/>
      <c r="BF1656" s="87"/>
      <c r="BG1656" s="87"/>
      <c r="BH1656" s="87"/>
    </row>
    <row r="1657" spans="1:60" ht="16">
      <c r="A1657" s="82"/>
      <c r="B1657" s="82"/>
      <c r="C1657" s="82"/>
      <c r="D1657" s="83"/>
      <c r="E1657" s="84"/>
      <c r="F1657" s="84"/>
      <c r="G1657" s="84"/>
      <c r="H1657" s="82"/>
      <c r="I1657" s="84"/>
      <c r="J1657" s="84"/>
      <c r="K1657" s="84"/>
      <c r="L1657" s="84"/>
      <c r="M1657" s="84"/>
      <c r="N1657" s="84"/>
      <c r="O1657" s="84"/>
      <c r="P1657" s="84"/>
      <c r="Q1657" s="84"/>
      <c r="R1657" s="84"/>
      <c r="S1657" s="84"/>
      <c r="T1657" s="84"/>
      <c r="U1657" s="84"/>
      <c r="V1657" s="84"/>
      <c r="W1657" s="84"/>
      <c r="X1657" s="84"/>
      <c r="Y1657" s="84"/>
      <c r="Z1657" s="87"/>
      <c r="AA1657" s="87"/>
      <c r="AB1657" s="87"/>
      <c r="AC1657" s="87"/>
      <c r="AD1657" s="87"/>
      <c r="AE1657" s="87"/>
      <c r="AF1657" s="87"/>
      <c r="AG1657" s="87"/>
      <c r="AH1657" s="87"/>
      <c r="AI1657" s="87"/>
      <c r="AJ1657" s="87"/>
      <c r="AK1657" s="87"/>
      <c r="AL1657" s="87"/>
      <c r="AM1657" s="87"/>
      <c r="AN1657" s="87"/>
      <c r="AO1657" s="87"/>
      <c r="AP1657" s="87"/>
      <c r="AQ1657" s="87"/>
      <c r="AR1657" s="87"/>
      <c r="AS1657" s="87"/>
      <c r="AT1657" s="87"/>
      <c r="AU1657" s="87"/>
      <c r="AV1657" s="87"/>
      <c r="AW1657" s="87"/>
      <c r="AX1657" s="87"/>
      <c r="AY1657" s="87"/>
      <c r="AZ1657" s="87"/>
      <c r="BA1657" s="87"/>
      <c r="BB1657" s="87"/>
      <c r="BC1657" s="87"/>
      <c r="BD1657" s="87"/>
      <c r="BE1657" s="87"/>
      <c r="BF1657" s="87"/>
      <c r="BG1657" s="87"/>
      <c r="BH1657" s="87"/>
    </row>
    <row r="1658" spans="1:60" ht="16">
      <c r="A1658" s="82"/>
      <c r="B1658" s="82"/>
      <c r="C1658" s="82"/>
      <c r="D1658" s="83"/>
      <c r="E1658" s="84"/>
      <c r="F1658" s="84"/>
      <c r="G1658" s="84"/>
      <c r="H1658" s="82"/>
      <c r="I1658" s="84"/>
      <c r="J1658" s="84"/>
      <c r="K1658" s="84"/>
      <c r="L1658" s="84"/>
      <c r="M1658" s="84"/>
      <c r="N1658" s="84"/>
      <c r="O1658" s="84"/>
      <c r="P1658" s="84"/>
      <c r="Q1658" s="84"/>
      <c r="R1658" s="84"/>
      <c r="S1658" s="84"/>
      <c r="T1658" s="84"/>
      <c r="U1658" s="84"/>
      <c r="V1658" s="84"/>
      <c r="W1658" s="84"/>
      <c r="X1658" s="84"/>
      <c r="Y1658" s="84"/>
      <c r="Z1658" s="87"/>
      <c r="AA1658" s="87"/>
      <c r="AB1658" s="87"/>
      <c r="AC1658" s="87"/>
      <c r="AD1658" s="87"/>
      <c r="AE1658" s="87"/>
      <c r="AF1658" s="87"/>
      <c r="AG1658" s="87"/>
      <c r="AH1658" s="87"/>
      <c r="AI1658" s="87"/>
      <c r="AJ1658" s="87"/>
      <c r="AK1658" s="87"/>
      <c r="AL1658" s="87"/>
      <c r="AM1658" s="87"/>
      <c r="AN1658" s="87"/>
      <c r="AO1658" s="87"/>
      <c r="AP1658" s="87"/>
      <c r="AQ1658" s="87"/>
      <c r="AR1658" s="87"/>
      <c r="AS1658" s="87"/>
      <c r="AT1658" s="87"/>
      <c r="AU1658" s="87"/>
      <c r="AV1658" s="87"/>
      <c r="AW1658" s="87"/>
      <c r="AX1658" s="87"/>
      <c r="AY1658" s="87"/>
      <c r="AZ1658" s="87"/>
      <c r="BA1658" s="87"/>
      <c r="BB1658" s="87"/>
      <c r="BC1658" s="87"/>
      <c r="BD1658" s="87"/>
      <c r="BE1658" s="87"/>
      <c r="BF1658" s="87"/>
      <c r="BG1658" s="87"/>
      <c r="BH1658" s="87"/>
    </row>
    <row r="1659" spans="1:60" ht="16">
      <c r="A1659" s="82"/>
      <c r="B1659" s="82"/>
      <c r="C1659" s="82"/>
      <c r="D1659" s="83"/>
      <c r="E1659" s="84"/>
      <c r="F1659" s="84"/>
      <c r="G1659" s="84"/>
      <c r="H1659" s="82"/>
      <c r="I1659" s="84"/>
      <c r="J1659" s="84"/>
      <c r="K1659" s="84"/>
      <c r="L1659" s="84"/>
      <c r="M1659" s="84"/>
      <c r="N1659" s="84"/>
      <c r="O1659" s="84"/>
      <c r="P1659" s="84"/>
      <c r="Q1659" s="84"/>
      <c r="R1659" s="84"/>
      <c r="S1659" s="84"/>
      <c r="T1659" s="84"/>
      <c r="U1659" s="84"/>
      <c r="V1659" s="84"/>
      <c r="W1659" s="84"/>
      <c r="X1659" s="84"/>
      <c r="Y1659" s="84"/>
      <c r="Z1659" s="87"/>
      <c r="AA1659" s="87"/>
      <c r="AB1659" s="87"/>
      <c r="AC1659" s="87"/>
      <c r="AD1659" s="87"/>
      <c r="AE1659" s="87"/>
      <c r="AF1659" s="87"/>
      <c r="AG1659" s="87"/>
      <c r="AH1659" s="87"/>
      <c r="AI1659" s="87"/>
      <c r="AJ1659" s="87"/>
      <c r="AK1659" s="87"/>
      <c r="AL1659" s="87"/>
      <c r="AM1659" s="87"/>
      <c r="AN1659" s="87"/>
      <c r="AO1659" s="87"/>
      <c r="AP1659" s="87"/>
      <c r="AQ1659" s="87"/>
      <c r="AR1659" s="87"/>
      <c r="AS1659" s="87"/>
      <c r="AT1659" s="87"/>
      <c r="AU1659" s="87"/>
      <c r="AV1659" s="87"/>
      <c r="AW1659" s="87"/>
      <c r="AX1659" s="87"/>
      <c r="AY1659" s="87"/>
      <c r="AZ1659" s="87"/>
      <c r="BA1659" s="87"/>
      <c r="BB1659" s="87"/>
      <c r="BC1659" s="87"/>
      <c r="BD1659" s="87"/>
      <c r="BE1659" s="87"/>
      <c r="BF1659" s="87"/>
      <c r="BG1659" s="87"/>
      <c r="BH1659" s="87"/>
    </row>
    <row r="1660" spans="1:60" ht="16">
      <c r="A1660" s="82"/>
      <c r="B1660" s="82"/>
      <c r="C1660" s="82"/>
      <c r="D1660" s="83"/>
      <c r="E1660" s="84"/>
      <c r="F1660" s="84"/>
      <c r="G1660" s="84"/>
      <c r="H1660" s="82"/>
      <c r="I1660" s="84"/>
      <c r="J1660" s="84"/>
      <c r="K1660" s="84"/>
      <c r="L1660" s="84"/>
      <c r="M1660" s="84"/>
      <c r="N1660" s="84"/>
      <c r="O1660" s="84"/>
      <c r="P1660" s="84"/>
      <c r="Q1660" s="84"/>
      <c r="R1660" s="84"/>
      <c r="S1660" s="84"/>
      <c r="T1660" s="84"/>
      <c r="U1660" s="84"/>
      <c r="V1660" s="84"/>
      <c r="W1660" s="84"/>
      <c r="X1660" s="84"/>
      <c r="Y1660" s="84"/>
      <c r="Z1660" s="87"/>
      <c r="AA1660" s="87"/>
      <c r="AB1660" s="87"/>
      <c r="AC1660" s="87"/>
      <c r="AD1660" s="87"/>
      <c r="AE1660" s="87"/>
      <c r="AF1660" s="87"/>
      <c r="AG1660" s="87"/>
      <c r="AH1660" s="87"/>
      <c r="AI1660" s="87"/>
      <c r="AJ1660" s="87"/>
      <c r="AK1660" s="87"/>
      <c r="AL1660" s="87"/>
      <c r="AM1660" s="87"/>
      <c r="AN1660" s="87"/>
      <c r="AO1660" s="87"/>
      <c r="AP1660" s="87"/>
      <c r="AQ1660" s="87"/>
      <c r="AR1660" s="87"/>
      <c r="AS1660" s="87"/>
      <c r="AT1660" s="87"/>
      <c r="AU1660" s="87"/>
      <c r="AV1660" s="87"/>
      <c r="AW1660" s="87"/>
      <c r="AX1660" s="87"/>
      <c r="AY1660" s="87"/>
      <c r="AZ1660" s="87"/>
      <c r="BA1660" s="87"/>
      <c r="BB1660" s="87"/>
      <c r="BC1660" s="87"/>
      <c r="BD1660" s="87"/>
      <c r="BE1660" s="87"/>
      <c r="BF1660" s="87"/>
      <c r="BG1660" s="87"/>
      <c r="BH1660" s="87"/>
    </row>
    <row r="1661" spans="1:60" ht="16">
      <c r="A1661" s="82"/>
      <c r="B1661" s="82"/>
      <c r="C1661" s="82"/>
      <c r="D1661" s="83"/>
      <c r="E1661" s="84"/>
      <c r="F1661" s="84"/>
      <c r="G1661" s="84"/>
      <c r="H1661" s="82"/>
      <c r="I1661" s="84"/>
      <c r="J1661" s="84"/>
      <c r="K1661" s="84"/>
      <c r="L1661" s="84"/>
      <c r="M1661" s="84"/>
      <c r="N1661" s="84"/>
      <c r="O1661" s="84"/>
      <c r="P1661" s="84"/>
      <c r="Q1661" s="84"/>
      <c r="R1661" s="84"/>
      <c r="S1661" s="84"/>
      <c r="T1661" s="84"/>
      <c r="U1661" s="84"/>
      <c r="V1661" s="84"/>
      <c r="W1661" s="84"/>
      <c r="X1661" s="84"/>
      <c r="Y1661" s="84"/>
      <c r="Z1661" s="87"/>
      <c r="AA1661" s="87"/>
      <c r="AB1661" s="87"/>
      <c r="AC1661" s="87"/>
      <c r="AD1661" s="87"/>
      <c r="AE1661" s="87"/>
      <c r="AF1661" s="87"/>
      <c r="AG1661" s="87"/>
      <c r="AH1661" s="87"/>
      <c r="AI1661" s="87"/>
      <c r="AJ1661" s="87"/>
      <c r="AK1661" s="87"/>
      <c r="AL1661" s="87"/>
      <c r="AM1661" s="87"/>
      <c r="AN1661" s="87"/>
      <c r="AO1661" s="87"/>
      <c r="AP1661" s="87"/>
      <c r="AQ1661" s="87"/>
      <c r="AR1661" s="87"/>
      <c r="AS1661" s="87"/>
      <c r="AT1661" s="87"/>
      <c r="AU1661" s="87"/>
      <c r="AV1661" s="87"/>
      <c r="AW1661" s="87"/>
      <c r="AX1661" s="87"/>
      <c r="AY1661" s="87"/>
      <c r="AZ1661" s="87"/>
      <c r="BA1661" s="87"/>
      <c r="BB1661" s="87"/>
      <c r="BC1661" s="87"/>
      <c r="BD1661" s="87"/>
      <c r="BE1661" s="87"/>
      <c r="BF1661" s="87"/>
      <c r="BG1661" s="87"/>
      <c r="BH1661" s="87"/>
    </row>
    <row r="1662" spans="1:60" ht="16">
      <c r="A1662" s="82"/>
      <c r="B1662" s="82"/>
      <c r="C1662" s="82"/>
      <c r="D1662" s="83"/>
      <c r="E1662" s="84"/>
      <c r="F1662" s="84"/>
      <c r="G1662" s="84"/>
      <c r="H1662" s="82"/>
      <c r="I1662" s="84"/>
      <c r="J1662" s="84"/>
      <c r="K1662" s="84"/>
      <c r="L1662" s="84"/>
      <c r="M1662" s="84"/>
      <c r="N1662" s="84"/>
      <c r="O1662" s="84"/>
      <c r="P1662" s="84"/>
      <c r="Q1662" s="84"/>
      <c r="R1662" s="84"/>
      <c r="S1662" s="84"/>
      <c r="T1662" s="84"/>
      <c r="U1662" s="84"/>
      <c r="V1662" s="84"/>
      <c r="W1662" s="84"/>
      <c r="X1662" s="84"/>
      <c r="Y1662" s="84"/>
      <c r="Z1662" s="87"/>
      <c r="AA1662" s="87"/>
      <c r="AB1662" s="87"/>
      <c r="AC1662" s="87"/>
      <c r="AD1662" s="87"/>
      <c r="AE1662" s="87"/>
      <c r="AF1662" s="87"/>
      <c r="AG1662" s="87"/>
      <c r="AH1662" s="87"/>
      <c r="AI1662" s="87"/>
      <c r="AJ1662" s="87"/>
      <c r="AK1662" s="87"/>
      <c r="AL1662" s="87"/>
      <c r="AM1662" s="87"/>
      <c r="AN1662" s="87"/>
      <c r="AO1662" s="87"/>
      <c r="AP1662" s="87"/>
      <c r="AQ1662" s="87"/>
      <c r="AR1662" s="87"/>
      <c r="AS1662" s="87"/>
      <c r="AT1662" s="87"/>
      <c r="AU1662" s="87"/>
      <c r="AV1662" s="87"/>
      <c r="AW1662" s="87"/>
      <c r="AX1662" s="87"/>
      <c r="AY1662" s="87"/>
      <c r="AZ1662" s="87"/>
      <c r="BA1662" s="87"/>
      <c r="BB1662" s="87"/>
      <c r="BC1662" s="87"/>
      <c r="BD1662" s="87"/>
      <c r="BE1662" s="87"/>
      <c r="BF1662" s="87"/>
      <c r="BG1662" s="87"/>
      <c r="BH1662" s="87"/>
    </row>
    <row r="1663" spans="1:60" ht="16">
      <c r="A1663" s="82"/>
      <c r="B1663" s="82"/>
      <c r="C1663" s="82"/>
      <c r="D1663" s="83"/>
      <c r="E1663" s="84"/>
      <c r="F1663" s="84"/>
      <c r="G1663" s="84"/>
      <c r="H1663" s="82"/>
      <c r="I1663" s="84"/>
      <c r="J1663" s="84"/>
      <c r="K1663" s="84"/>
      <c r="L1663" s="84"/>
      <c r="M1663" s="84"/>
      <c r="N1663" s="84"/>
      <c r="O1663" s="84"/>
      <c r="P1663" s="84"/>
      <c r="Q1663" s="84"/>
      <c r="R1663" s="84"/>
      <c r="S1663" s="84"/>
      <c r="T1663" s="84"/>
      <c r="U1663" s="84"/>
      <c r="V1663" s="84"/>
      <c r="W1663" s="84"/>
      <c r="X1663" s="84"/>
      <c r="Y1663" s="84"/>
      <c r="Z1663" s="87"/>
      <c r="AA1663" s="87"/>
      <c r="AB1663" s="87"/>
      <c r="AC1663" s="87"/>
      <c r="AD1663" s="87"/>
      <c r="AE1663" s="87"/>
      <c r="AF1663" s="87"/>
      <c r="AG1663" s="87"/>
      <c r="AH1663" s="87"/>
      <c r="AI1663" s="87"/>
      <c r="AJ1663" s="87"/>
      <c r="AK1663" s="87"/>
      <c r="AL1663" s="87"/>
      <c r="AM1663" s="87"/>
      <c r="AN1663" s="87"/>
      <c r="AO1663" s="87"/>
      <c r="AP1663" s="87"/>
      <c r="AQ1663" s="87"/>
      <c r="AR1663" s="87"/>
      <c r="AS1663" s="87"/>
      <c r="AT1663" s="87"/>
      <c r="AU1663" s="87"/>
      <c r="AV1663" s="87"/>
      <c r="AW1663" s="87"/>
      <c r="AX1663" s="87"/>
      <c r="AY1663" s="87"/>
      <c r="AZ1663" s="87"/>
      <c r="BA1663" s="87"/>
      <c r="BB1663" s="87"/>
      <c r="BC1663" s="87"/>
      <c r="BD1663" s="87"/>
      <c r="BE1663" s="87"/>
      <c r="BF1663" s="87"/>
      <c r="BG1663" s="87"/>
      <c r="BH1663" s="87"/>
    </row>
    <row r="1664" spans="1:60" ht="16">
      <c r="A1664" s="82"/>
      <c r="B1664" s="82"/>
      <c r="C1664" s="82"/>
      <c r="D1664" s="83"/>
      <c r="E1664" s="84"/>
      <c r="F1664" s="84"/>
      <c r="G1664" s="84"/>
      <c r="H1664" s="82"/>
      <c r="I1664" s="84"/>
      <c r="J1664" s="84"/>
      <c r="K1664" s="84"/>
      <c r="L1664" s="84"/>
      <c r="M1664" s="84"/>
      <c r="N1664" s="84"/>
      <c r="O1664" s="84"/>
      <c r="P1664" s="84"/>
      <c r="Q1664" s="84"/>
      <c r="R1664" s="84"/>
      <c r="S1664" s="84"/>
      <c r="T1664" s="84"/>
      <c r="U1664" s="84"/>
      <c r="V1664" s="84"/>
      <c r="W1664" s="84"/>
      <c r="X1664" s="84"/>
      <c r="Y1664" s="84"/>
      <c r="Z1664" s="87"/>
      <c r="AA1664" s="87"/>
      <c r="AB1664" s="87"/>
      <c r="AC1664" s="87"/>
      <c r="AD1664" s="87"/>
      <c r="AE1664" s="87"/>
      <c r="AF1664" s="87"/>
      <c r="AG1664" s="87"/>
      <c r="AH1664" s="87"/>
      <c r="AI1664" s="87"/>
      <c r="AJ1664" s="87"/>
      <c r="AK1664" s="87"/>
      <c r="AL1664" s="87"/>
      <c r="AM1664" s="87"/>
      <c r="AN1664" s="87"/>
      <c r="AO1664" s="87"/>
      <c r="AP1664" s="87"/>
      <c r="AQ1664" s="87"/>
      <c r="AR1664" s="87"/>
      <c r="AS1664" s="87"/>
      <c r="AT1664" s="87"/>
      <c r="AU1664" s="87"/>
      <c r="AV1664" s="87"/>
      <c r="AW1664" s="87"/>
      <c r="AX1664" s="87"/>
      <c r="AY1664" s="87"/>
      <c r="AZ1664" s="87"/>
      <c r="BA1664" s="87"/>
      <c r="BB1664" s="87"/>
      <c r="BC1664" s="87"/>
      <c r="BD1664" s="87"/>
      <c r="BE1664" s="87"/>
      <c r="BF1664" s="87"/>
      <c r="BG1664" s="87"/>
      <c r="BH1664" s="87"/>
    </row>
    <row r="1665" spans="1:60" ht="16">
      <c r="A1665" s="82"/>
      <c r="B1665" s="82"/>
      <c r="C1665" s="82"/>
      <c r="D1665" s="83"/>
      <c r="E1665" s="84"/>
      <c r="F1665" s="84"/>
      <c r="G1665" s="84"/>
      <c r="H1665" s="82"/>
      <c r="I1665" s="84"/>
      <c r="J1665" s="84"/>
      <c r="K1665" s="84"/>
      <c r="L1665" s="84"/>
      <c r="M1665" s="84"/>
      <c r="N1665" s="84"/>
      <c r="O1665" s="84"/>
      <c r="P1665" s="84"/>
      <c r="Q1665" s="84"/>
      <c r="R1665" s="84"/>
      <c r="S1665" s="84"/>
      <c r="T1665" s="84"/>
      <c r="U1665" s="84"/>
      <c r="V1665" s="84"/>
      <c r="W1665" s="84"/>
      <c r="X1665" s="84"/>
      <c r="Y1665" s="84"/>
      <c r="Z1665" s="87"/>
      <c r="AA1665" s="87"/>
      <c r="AB1665" s="87"/>
      <c r="AC1665" s="87"/>
      <c r="AD1665" s="87"/>
      <c r="AE1665" s="87"/>
      <c r="AF1665" s="87"/>
      <c r="AG1665" s="87"/>
      <c r="AH1665" s="87"/>
      <c r="AI1665" s="87"/>
      <c r="AJ1665" s="87"/>
      <c r="AK1665" s="87"/>
      <c r="AL1665" s="87"/>
      <c r="AM1665" s="87"/>
      <c r="AN1665" s="87"/>
      <c r="AO1665" s="87"/>
      <c r="AP1665" s="87"/>
      <c r="AQ1665" s="87"/>
      <c r="AR1665" s="87"/>
      <c r="AS1665" s="87"/>
      <c r="AT1665" s="87"/>
      <c r="AU1665" s="87"/>
      <c r="AV1665" s="87"/>
      <c r="AW1665" s="87"/>
      <c r="AX1665" s="87"/>
      <c r="AY1665" s="87"/>
      <c r="AZ1665" s="87"/>
      <c r="BA1665" s="87"/>
      <c r="BB1665" s="87"/>
      <c r="BC1665" s="87"/>
      <c r="BD1665" s="87"/>
      <c r="BE1665" s="87"/>
      <c r="BF1665" s="87"/>
      <c r="BG1665" s="87"/>
      <c r="BH1665" s="87"/>
    </row>
    <row r="1666" spans="1:60" ht="16">
      <c r="A1666" s="82"/>
      <c r="B1666" s="82"/>
      <c r="C1666" s="82"/>
      <c r="D1666" s="83"/>
      <c r="E1666" s="84"/>
      <c r="F1666" s="84"/>
      <c r="G1666" s="84"/>
      <c r="H1666" s="82"/>
      <c r="I1666" s="84"/>
      <c r="J1666" s="84"/>
      <c r="K1666" s="84"/>
      <c r="L1666" s="84"/>
      <c r="M1666" s="84"/>
      <c r="N1666" s="84"/>
      <c r="O1666" s="84"/>
      <c r="P1666" s="84"/>
      <c r="Q1666" s="84"/>
      <c r="R1666" s="84"/>
      <c r="S1666" s="84"/>
      <c r="T1666" s="84"/>
      <c r="U1666" s="84"/>
      <c r="V1666" s="84"/>
      <c r="W1666" s="84"/>
      <c r="X1666" s="84"/>
      <c r="Y1666" s="84"/>
      <c r="Z1666" s="87"/>
      <c r="AA1666" s="87"/>
      <c r="AB1666" s="87"/>
      <c r="AC1666" s="87"/>
      <c r="AD1666" s="87"/>
      <c r="AE1666" s="87"/>
      <c r="AF1666" s="87"/>
      <c r="AG1666" s="87"/>
      <c r="AH1666" s="87"/>
      <c r="AI1666" s="87"/>
      <c r="AJ1666" s="87"/>
      <c r="AK1666" s="87"/>
      <c r="AL1666" s="87"/>
      <c r="AM1666" s="87"/>
      <c r="AN1666" s="87"/>
      <c r="AO1666" s="87"/>
      <c r="AP1666" s="87"/>
      <c r="AQ1666" s="87"/>
      <c r="AR1666" s="87"/>
      <c r="AS1666" s="87"/>
      <c r="AT1666" s="87"/>
      <c r="AU1666" s="87"/>
      <c r="AV1666" s="87"/>
      <c r="AW1666" s="87"/>
      <c r="AX1666" s="87"/>
      <c r="AY1666" s="87"/>
      <c r="AZ1666" s="87"/>
      <c r="BA1666" s="87"/>
      <c r="BB1666" s="87"/>
      <c r="BC1666" s="87"/>
      <c r="BD1666" s="87"/>
      <c r="BE1666" s="87"/>
      <c r="BF1666" s="87"/>
      <c r="BG1666" s="87"/>
      <c r="BH1666" s="87"/>
    </row>
    <row r="1667" spans="1:60" ht="16">
      <c r="A1667" s="82"/>
      <c r="B1667" s="82"/>
      <c r="C1667" s="82"/>
      <c r="D1667" s="83"/>
      <c r="E1667" s="84"/>
      <c r="F1667" s="84"/>
      <c r="G1667" s="84"/>
      <c r="H1667" s="82"/>
      <c r="I1667" s="84"/>
      <c r="J1667" s="84"/>
      <c r="K1667" s="84"/>
      <c r="L1667" s="84"/>
      <c r="M1667" s="84"/>
      <c r="N1667" s="84"/>
      <c r="O1667" s="84"/>
      <c r="P1667" s="84"/>
      <c r="Q1667" s="84"/>
      <c r="R1667" s="84"/>
      <c r="S1667" s="84"/>
      <c r="T1667" s="84"/>
      <c r="U1667" s="84"/>
      <c r="V1667" s="84"/>
      <c r="W1667" s="84"/>
      <c r="X1667" s="84"/>
      <c r="Y1667" s="84"/>
      <c r="Z1667" s="87"/>
      <c r="AA1667" s="87"/>
      <c r="AB1667" s="87"/>
      <c r="AC1667" s="87"/>
      <c r="AD1667" s="87"/>
      <c r="AE1667" s="87"/>
      <c r="AF1667" s="87"/>
      <c r="AG1667" s="87"/>
      <c r="AH1667" s="87"/>
      <c r="AI1667" s="87"/>
      <c r="AJ1667" s="87"/>
      <c r="AK1667" s="87"/>
      <c r="AL1667" s="87"/>
      <c r="AM1667" s="87"/>
      <c r="AN1667" s="87"/>
      <c r="AO1667" s="87"/>
      <c r="AP1667" s="87"/>
      <c r="AQ1667" s="87"/>
      <c r="AR1667" s="87"/>
      <c r="AS1667" s="87"/>
      <c r="AT1667" s="87"/>
      <c r="AU1667" s="87"/>
      <c r="AV1667" s="87"/>
      <c r="AW1667" s="87"/>
      <c r="AX1667" s="87"/>
      <c r="AY1667" s="87"/>
      <c r="AZ1667" s="87"/>
      <c r="BA1667" s="87"/>
      <c r="BB1667" s="87"/>
      <c r="BC1667" s="87"/>
      <c r="BD1667" s="87"/>
      <c r="BE1667" s="87"/>
      <c r="BF1667" s="87"/>
      <c r="BG1667" s="87"/>
      <c r="BH1667" s="87"/>
    </row>
    <row r="1668" spans="1:60" ht="16">
      <c r="A1668" s="82"/>
      <c r="B1668" s="82"/>
      <c r="C1668" s="82"/>
      <c r="D1668" s="83"/>
      <c r="E1668" s="84"/>
      <c r="F1668" s="84"/>
      <c r="G1668" s="84"/>
      <c r="H1668" s="82"/>
      <c r="I1668" s="84"/>
      <c r="J1668" s="84"/>
      <c r="K1668" s="84"/>
      <c r="L1668" s="84"/>
      <c r="M1668" s="84"/>
      <c r="N1668" s="84"/>
      <c r="O1668" s="84"/>
      <c r="P1668" s="84"/>
      <c r="Q1668" s="84"/>
      <c r="R1668" s="84"/>
      <c r="S1668" s="84"/>
      <c r="T1668" s="84"/>
      <c r="U1668" s="84"/>
      <c r="V1668" s="84"/>
      <c r="W1668" s="84"/>
      <c r="X1668" s="84"/>
      <c r="Y1668" s="84"/>
      <c r="Z1668" s="87"/>
      <c r="AA1668" s="87"/>
      <c r="AB1668" s="87"/>
      <c r="AC1668" s="87"/>
      <c r="AD1668" s="87"/>
      <c r="AE1668" s="87"/>
      <c r="AF1668" s="87"/>
      <c r="AG1668" s="87"/>
      <c r="AH1668" s="87"/>
      <c r="AI1668" s="87"/>
      <c r="AJ1668" s="87"/>
      <c r="AK1668" s="87"/>
      <c r="AL1668" s="87"/>
      <c r="AM1668" s="87"/>
      <c r="AN1668" s="87"/>
      <c r="AO1668" s="87"/>
      <c r="AP1668" s="87"/>
      <c r="AQ1668" s="87"/>
      <c r="AR1668" s="87"/>
      <c r="AS1668" s="87"/>
      <c r="AT1668" s="87"/>
      <c r="AU1668" s="87"/>
      <c r="AV1668" s="87"/>
      <c r="AW1668" s="87"/>
      <c r="AX1668" s="87"/>
      <c r="AY1668" s="87"/>
      <c r="AZ1668" s="87"/>
      <c r="BA1668" s="87"/>
      <c r="BB1668" s="87"/>
      <c r="BC1668" s="87"/>
      <c r="BD1668" s="87"/>
      <c r="BE1668" s="87"/>
      <c r="BF1668" s="87"/>
      <c r="BG1668" s="87"/>
      <c r="BH1668" s="87"/>
    </row>
    <row r="1669" spans="1:60" ht="16">
      <c r="A1669" s="82"/>
      <c r="B1669" s="82"/>
      <c r="C1669" s="82"/>
      <c r="D1669" s="83"/>
      <c r="E1669" s="84"/>
      <c r="F1669" s="84"/>
      <c r="G1669" s="84"/>
      <c r="H1669" s="82"/>
      <c r="I1669" s="84"/>
      <c r="J1669" s="84"/>
      <c r="K1669" s="84"/>
      <c r="L1669" s="84"/>
      <c r="M1669" s="84"/>
      <c r="N1669" s="84"/>
      <c r="O1669" s="84"/>
      <c r="P1669" s="84"/>
      <c r="Q1669" s="84"/>
      <c r="R1669" s="84"/>
      <c r="S1669" s="84"/>
      <c r="T1669" s="84"/>
      <c r="U1669" s="84"/>
      <c r="V1669" s="84"/>
      <c r="W1669" s="84"/>
      <c r="X1669" s="84"/>
      <c r="Y1669" s="84"/>
      <c r="Z1669" s="87"/>
      <c r="AA1669" s="87"/>
      <c r="AB1669" s="87"/>
      <c r="AC1669" s="87"/>
      <c r="AD1669" s="87"/>
      <c r="AE1669" s="87"/>
      <c r="AF1669" s="87"/>
      <c r="AG1669" s="87"/>
      <c r="AH1669" s="87"/>
      <c r="AI1669" s="87"/>
      <c r="AJ1669" s="87"/>
      <c r="AK1669" s="87"/>
      <c r="AL1669" s="87"/>
      <c r="AM1669" s="87"/>
      <c r="AN1669" s="87"/>
      <c r="AO1669" s="87"/>
      <c r="AP1669" s="87"/>
      <c r="AQ1669" s="87"/>
      <c r="AR1669" s="87"/>
      <c r="AS1669" s="87"/>
      <c r="AT1669" s="87"/>
      <c r="AU1669" s="87"/>
      <c r="AV1669" s="87"/>
      <c r="AW1669" s="87"/>
      <c r="AX1669" s="87"/>
      <c r="AY1669" s="87"/>
      <c r="AZ1669" s="87"/>
      <c r="BA1669" s="87"/>
      <c r="BB1669" s="87"/>
      <c r="BC1669" s="87"/>
      <c r="BD1669" s="87"/>
      <c r="BE1669" s="87"/>
      <c r="BF1669" s="87"/>
      <c r="BG1669" s="87"/>
      <c r="BH1669" s="87"/>
    </row>
    <row r="1670" spans="1:60" ht="16">
      <c r="A1670" s="82"/>
      <c r="B1670" s="82"/>
      <c r="C1670" s="82"/>
      <c r="D1670" s="83"/>
      <c r="E1670" s="84"/>
      <c r="F1670" s="84"/>
      <c r="G1670" s="84"/>
      <c r="H1670" s="82"/>
      <c r="I1670" s="84"/>
      <c r="J1670" s="84"/>
      <c r="K1670" s="84"/>
      <c r="L1670" s="84"/>
      <c r="M1670" s="84"/>
      <c r="N1670" s="84"/>
      <c r="O1670" s="84"/>
      <c r="P1670" s="84"/>
      <c r="Q1670" s="84"/>
      <c r="R1670" s="84"/>
      <c r="S1670" s="84"/>
      <c r="T1670" s="84"/>
      <c r="U1670" s="84"/>
      <c r="V1670" s="84"/>
      <c r="W1670" s="84"/>
      <c r="X1670" s="84"/>
      <c r="Y1670" s="84"/>
      <c r="Z1670" s="87"/>
      <c r="AA1670" s="87"/>
      <c r="AB1670" s="87"/>
      <c r="AC1670" s="87"/>
      <c r="AD1670" s="87"/>
      <c r="AE1670" s="87"/>
      <c r="AF1670" s="87"/>
      <c r="AG1670" s="87"/>
      <c r="AH1670" s="87"/>
      <c r="AI1670" s="87"/>
      <c r="AJ1670" s="87"/>
      <c r="AK1670" s="87"/>
      <c r="AL1670" s="87"/>
      <c r="AM1670" s="87"/>
      <c r="AN1670" s="87"/>
      <c r="AO1670" s="87"/>
      <c r="AP1670" s="87"/>
      <c r="AQ1670" s="87"/>
      <c r="AR1670" s="87"/>
      <c r="AS1670" s="87"/>
      <c r="AT1670" s="87"/>
      <c r="AU1670" s="87"/>
      <c r="AV1670" s="87"/>
      <c r="AW1670" s="87"/>
      <c r="AX1670" s="87"/>
      <c r="AY1670" s="87"/>
      <c r="AZ1670" s="87"/>
      <c r="BA1670" s="87"/>
      <c r="BB1670" s="87"/>
      <c r="BC1670" s="87"/>
      <c r="BD1670" s="87"/>
      <c r="BE1670" s="87"/>
      <c r="BF1670" s="87"/>
      <c r="BG1670" s="87"/>
      <c r="BH1670" s="87"/>
    </row>
    <row r="1671" spans="1:60" ht="16">
      <c r="A1671" s="82"/>
      <c r="B1671" s="82"/>
      <c r="C1671" s="82"/>
      <c r="D1671" s="83"/>
      <c r="E1671" s="84"/>
      <c r="F1671" s="84"/>
      <c r="G1671" s="84"/>
      <c r="H1671" s="82"/>
      <c r="I1671" s="84"/>
      <c r="J1671" s="84"/>
      <c r="K1671" s="84"/>
      <c r="L1671" s="84"/>
      <c r="M1671" s="84"/>
      <c r="N1671" s="84"/>
      <c r="O1671" s="84"/>
      <c r="P1671" s="84"/>
      <c r="Q1671" s="84"/>
      <c r="R1671" s="84"/>
      <c r="S1671" s="84"/>
      <c r="T1671" s="84"/>
      <c r="U1671" s="84"/>
      <c r="V1671" s="84"/>
      <c r="W1671" s="84"/>
      <c r="X1671" s="84"/>
      <c r="Y1671" s="84"/>
      <c r="Z1671" s="87"/>
      <c r="AA1671" s="87"/>
      <c r="AB1671" s="87"/>
      <c r="AC1671" s="87"/>
      <c r="AD1671" s="87"/>
      <c r="AE1671" s="87"/>
      <c r="AF1671" s="87"/>
      <c r="AG1671" s="87"/>
      <c r="AH1671" s="87"/>
      <c r="AI1671" s="87"/>
      <c r="AJ1671" s="87"/>
      <c r="AK1671" s="87"/>
      <c r="AL1671" s="87"/>
      <c r="AM1671" s="87"/>
      <c r="AN1671" s="87"/>
      <c r="AO1671" s="87"/>
      <c r="AP1671" s="87"/>
      <c r="AQ1671" s="87"/>
      <c r="AR1671" s="87"/>
      <c r="AS1671" s="87"/>
      <c r="AT1671" s="87"/>
      <c r="AU1671" s="87"/>
      <c r="AV1671" s="87"/>
      <c r="AW1671" s="87"/>
      <c r="AX1671" s="87"/>
      <c r="AY1671" s="87"/>
      <c r="AZ1671" s="87"/>
      <c r="BA1671" s="87"/>
      <c r="BB1671" s="87"/>
      <c r="BC1671" s="87"/>
      <c r="BD1671" s="87"/>
      <c r="BE1671" s="87"/>
      <c r="BF1671" s="87"/>
      <c r="BG1671" s="87"/>
      <c r="BH1671" s="87"/>
    </row>
    <row r="1672" spans="1:60" ht="16">
      <c r="A1672" s="82"/>
      <c r="B1672" s="82"/>
      <c r="C1672" s="82"/>
      <c r="D1672" s="83"/>
      <c r="E1672" s="84"/>
      <c r="F1672" s="84"/>
      <c r="G1672" s="84"/>
      <c r="H1672" s="82"/>
      <c r="I1672" s="84"/>
      <c r="J1672" s="84"/>
      <c r="K1672" s="84"/>
      <c r="L1672" s="84"/>
      <c r="M1672" s="84"/>
      <c r="N1672" s="84"/>
      <c r="O1672" s="84"/>
      <c r="P1672" s="84"/>
      <c r="Q1672" s="84"/>
      <c r="R1672" s="84"/>
      <c r="S1672" s="84"/>
      <c r="T1672" s="84"/>
      <c r="U1672" s="84"/>
      <c r="V1672" s="84"/>
      <c r="W1672" s="84"/>
      <c r="X1672" s="84"/>
      <c r="Y1672" s="84"/>
      <c r="Z1672" s="87"/>
      <c r="AA1672" s="87"/>
      <c r="AB1672" s="87"/>
      <c r="AC1672" s="87"/>
      <c r="AD1672" s="87"/>
      <c r="AE1672" s="87"/>
      <c r="AF1672" s="87"/>
      <c r="AG1672" s="87"/>
      <c r="AH1672" s="87"/>
      <c r="AI1672" s="87"/>
      <c r="AJ1672" s="87"/>
      <c r="AK1672" s="87"/>
      <c r="AL1672" s="87"/>
      <c r="AM1672" s="87"/>
      <c r="AN1672" s="87"/>
      <c r="AO1672" s="87"/>
      <c r="AP1672" s="87"/>
      <c r="AQ1672" s="87"/>
      <c r="AR1672" s="87"/>
      <c r="AS1672" s="87"/>
      <c r="AT1672" s="87"/>
      <c r="AU1672" s="87"/>
      <c r="AV1672" s="87"/>
      <c r="AW1672" s="87"/>
      <c r="AX1672" s="87"/>
      <c r="AY1672" s="87"/>
      <c r="AZ1672" s="87"/>
      <c r="BA1672" s="87"/>
      <c r="BB1672" s="87"/>
      <c r="BC1672" s="87"/>
      <c r="BD1672" s="87"/>
      <c r="BE1672" s="87"/>
      <c r="BF1672" s="87"/>
      <c r="BG1672" s="87"/>
      <c r="BH1672" s="87"/>
    </row>
    <row r="1673" spans="1:60" ht="16">
      <c r="A1673" s="82"/>
      <c r="B1673" s="82"/>
      <c r="C1673" s="82"/>
      <c r="D1673" s="83"/>
      <c r="E1673" s="84"/>
      <c r="F1673" s="84"/>
      <c r="G1673" s="84"/>
      <c r="H1673" s="82"/>
      <c r="I1673" s="84"/>
      <c r="J1673" s="84"/>
      <c r="K1673" s="84"/>
      <c r="L1673" s="84"/>
      <c r="M1673" s="84"/>
      <c r="N1673" s="84"/>
      <c r="O1673" s="84"/>
      <c r="P1673" s="84"/>
      <c r="Q1673" s="84"/>
      <c r="R1673" s="84"/>
      <c r="S1673" s="84"/>
      <c r="T1673" s="84"/>
      <c r="U1673" s="84"/>
      <c r="V1673" s="84"/>
      <c r="W1673" s="84"/>
      <c r="X1673" s="84"/>
      <c r="Y1673" s="84"/>
      <c r="Z1673" s="87"/>
      <c r="AA1673" s="87"/>
      <c r="AB1673" s="87"/>
      <c r="AC1673" s="87"/>
      <c r="AD1673" s="87"/>
      <c r="AE1673" s="87"/>
      <c r="AF1673" s="87"/>
      <c r="AG1673" s="87"/>
      <c r="AH1673" s="87"/>
      <c r="AI1673" s="87"/>
      <c r="AJ1673" s="87"/>
      <c r="AK1673" s="87"/>
      <c r="AL1673" s="87"/>
      <c r="AM1673" s="87"/>
      <c r="AN1673" s="87"/>
      <c r="AO1673" s="87"/>
      <c r="AP1673" s="87"/>
      <c r="AQ1673" s="87"/>
      <c r="AR1673" s="87"/>
      <c r="AS1673" s="87"/>
      <c r="AT1673" s="87"/>
      <c r="AU1673" s="87"/>
      <c r="AV1673" s="87"/>
      <c r="AW1673" s="87"/>
      <c r="AX1673" s="87"/>
      <c r="AY1673" s="87"/>
      <c r="AZ1673" s="87"/>
      <c r="BA1673" s="87"/>
      <c r="BB1673" s="87"/>
      <c r="BC1673" s="87"/>
      <c r="BD1673" s="87"/>
      <c r="BE1673" s="87"/>
      <c r="BF1673" s="87"/>
      <c r="BG1673" s="87"/>
      <c r="BH1673" s="87"/>
    </row>
    <row r="1674" spans="1:60" ht="16">
      <c r="A1674" s="82"/>
      <c r="B1674" s="82"/>
      <c r="C1674" s="82"/>
      <c r="D1674" s="83"/>
      <c r="E1674" s="84"/>
      <c r="F1674" s="84"/>
      <c r="G1674" s="84"/>
      <c r="H1674" s="82"/>
      <c r="I1674" s="84"/>
      <c r="J1674" s="84"/>
      <c r="K1674" s="84"/>
      <c r="L1674" s="84"/>
      <c r="M1674" s="84"/>
      <c r="N1674" s="84"/>
      <c r="O1674" s="84"/>
      <c r="P1674" s="84"/>
      <c r="Q1674" s="84"/>
      <c r="R1674" s="84"/>
      <c r="S1674" s="84"/>
      <c r="T1674" s="84"/>
      <c r="U1674" s="84"/>
      <c r="V1674" s="84"/>
      <c r="W1674" s="84"/>
      <c r="X1674" s="84"/>
      <c r="Y1674" s="84"/>
      <c r="Z1674" s="87"/>
      <c r="AA1674" s="87"/>
      <c r="AB1674" s="87"/>
      <c r="AC1674" s="87"/>
      <c r="AD1674" s="87"/>
      <c r="AE1674" s="87"/>
      <c r="AF1674" s="87"/>
      <c r="AG1674" s="87"/>
      <c r="AH1674" s="87"/>
      <c r="AI1674" s="87"/>
      <c r="AJ1674" s="87"/>
      <c r="AK1674" s="87"/>
      <c r="AL1674" s="87"/>
      <c r="AM1674" s="87"/>
      <c r="AN1674" s="87"/>
      <c r="AO1674" s="87"/>
      <c r="AP1674" s="87"/>
      <c r="AQ1674" s="87"/>
      <c r="AR1674" s="87"/>
      <c r="AS1674" s="87"/>
      <c r="AT1674" s="87"/>
      <c r="AU1674" s="87"/>
      <c r="AV1674" s="87"/>
      <c r="AW1674" s="87"/>
      <c r="AX1674" s="87"/>
      <c r="AY1674" s="87"/>
      <c r="AZ1674" s="87"/>
      <c r="BA1674" s="87"/>
      <c r="BB1674" s="87"/>
      <c r="BC1674" s="87"/>
      <c r="BD1674" s="87"/>
      <c r="BE1674" s="87"/>
      <c r="BF1674" s="87"/>
      <c r="BG1674" s="87"/>
      <c r="BH1674" s="87"/>
    </row>
    <row r="1675" spans="1:60" ht="16">
      <c r="A1675" s="82"/>
      <c r="B1675" s="82"/>
      <c r="C1675" s="82"/>
      <c r="D1675" s="83"/>
      <c r="E1675" s="84"/>
      <c r="F1675" s="84"/>
      <c r="G1675" s="84"/>
      <c r="H1675" s="82"/>
      <c r="I1675" s="84"/>
      <c r="J1675" s="84"/>
      <c r="K1675" s="84"/>
      <c r="L1675" s="84"/>
      <c r="M1675" s="84"/>
      <c r="N1675" s="84"/>
      <c r="O1675" s="84"/>
      <c r="P1675" s="84"/>
      <c r="Q1675" s="84"/>
      <c r="R1675" s="84"/>
      <c r="S1675" s="84"/>
      <c r="T1675" s="84"/>
      <c r="U1675" s="84"/>
      <c r="V1675" s="84"/>
      <c r="W1675" s="84"/>
      <c r="X1675" s="84"/>
      <c r="Y1675" s="84"/>
      <c r="Z1675" s="87"/>
      <c r="AA1675" s="87"/>
      <c r="AB1675" s="87"/>
      <c r="AC1675" s="87"/>
      <c r="AD1675" s="87"/>
      <c r="AE1675" s="87"/>
      <c r="AF1675" s="87"/>
      <c r="AG1675" s="87"/>
      <c r="AH1675" s="87"/>
      <c r="AI1675" s="87"/>
      <c r="AJ1675" s="87"/>
      <c r="AK1675" s="87"/>
      <c r="AL1675" s="87"/>
      <c r="AM1675" s="87"/>
      <c r="AN1675" s="87"/>
      <c r="AO1675" s="87"/>
      <c r="AP1675" s="87"/>
      <c r="AQ1675" s="87"/>
      <c r="AR1675" s="87"/>
      <c r="AS1675" s="87"/>
      <c r="AT1675" s="87"/>
      <c r="AU1675" s="87"/>
      <c r="AV1675" s="87"/>
      <c r="AW1675" s="87"/>
      <c r="AX1675" s="87"/>
      <c r="AY1675" s="87"/>
      <c r="AZ1675" s="87"/>
      <c r="BA1675" s="87"/>
      <c r="BB1675" s="87"/>
      <c r="BC1675" s="87"/>
      <c r="BD1675" s="87"/>
      <c r="BE1675" s="87"/>
      <c r="BF1675" s="87"/>
      <c r="BG1675" s="87"/>
      <c r="BH1675" s="87"/>
    </row>
    <row r="1676" spans="1:60" ht="16">
      <c r="A1676" s="82"/>
      <c r="B1676" s="82"/>
      <c r="C1676" s="82"/>
      <c r="D1676" s="83"/>
      <c r="E1676" s="84"/>
      <c r="F1676" s="84"/>
      <c r="G1676" s="84"/>
      <c r="H1676" s="82"/>
      <c r="I1676" s="84"/>
      <c r="J1676" s="84"/>
      <c r="K1676" s="84"/>
      <c r="L1676" s="84"/>
      <c r="M1676" s="84"/>
      <c r="N1676" s="84"/>
      <c r="O1676" s="84"/>
      <c r="P1676" s="84"/>
      <c r="Q1676" s="84"/>
      <c r="R1676" s="84"/>
      <c r="S1676" s="84"/>
      <c r="T1676" s="84"/>
      <c r="U1676" s="84"/>
      <c r="V1676" s="84"/>
      <c r="W1676" s="84"/>
      <c r="X1676" s="84"/>
      <c r="Y1676" s="84"/>
      <c r="Z1676" s="87"/>
      <c r="AA1676" s="87"/>
      <c r="AB1676" s="87"/>
      <c r="AC1676" s="87"/>
      <c r="AD1676" s="87"/>
      <c r="AE1676" s="87"/>
      <c r="AF1676" s="87"/>
      <c r="AG1676" s="87"/>
      <c r="AH1676" s="87"/>
      <c r="AI1676" s="87"/>
      <c r="AJ1676" s="87"/>
      <c r="AK1676" s="87"/>
      <c r="AL1676" s="87"/>
      <c r="AM1676" s="87"/>
      <c r="AN1676" s="87"/>
      <c r="AO1676" s="87"/>
      <c r="AP1676" s="87"/>
      <c r="AQ1676" s="87"/>
      <c r="AR1676" s="87"/>
      <c r="AS1676" s="87"/>
      <c r="AT1676" s="87"/>
      <c r="AU1676" s="87"/>
      <c r="AV1676" s="87"/>
      <c r="AW1676" s="87"/>
      <c r="AX1676" s="87"/>
      <c r="AY1676" s="87"/>
      <c r="AZ1676" s="87"/>
      <c r="BA1676" s="87"/>
      <c r="BB1676" s="87"/>
      <c r="BC1676" s="87"/>
      <c r="BD1676" s="87"/>
      <c r="BE1676" s="87"/>
      <c r="BF1676" s="87"/>
      <c r="BG1676" s="87"/>
      <c r="BH1676" s="87"/>
    </row>
    <row r="1677" spans="1:60" ht="16">
      <c r="A1677" s="82"/>
      <c r="B1677" s="82"/>
      <c r="C1677" s="82"/>
      <c r="D1677" s="83"/>
      <c r="E1677" s="84"/>
      <c r="F1677" s="84"/>
      <c r="G1677" s="84"/>
      <c r="H1677" s="82"/>
      <c r="I1677" s="84"/>
      <c r="J1677" s="84"/>
      <c r="K1677" s="84"/>
      <c r="L1677" s="84"/>
      <c r="M1677" s="84"/>
      <c r="N1677" s="84"/>
      <c r="O1677" s="84"/>
      <c r="P1677" s="84"/>
      <c r="Q1677" s="84"/>
      <c r="R1677" s="84"/>
      <c r="S1677" s="84"/>
      <c r="T1677" s="84"/>
      <c r="U1677" s="84"/>
      <c r="V1677" s="84"/>
      <c r="W1677" s="84"/>
      <c r="X1677" s="84"/>
      <c r="Y1677" s="84"/>
      <c r="Z1677" s="87"/>
      <c r="AA1677" s="87"/>
      <c r="AB1677" s="87"/>
      <c r="AC1677" s="87"/>
      <c r="AD1677" s="87"/>
      <c r="AE1677" s="87"/>
      <c r="AF1677" s="87"/>
      <c r="AG1677" s="87"/>
      <c r="AH1677" s="87"/>
      <c r="AI1677" s="87"/>
      <c r="AJ1677" s="87"/>
      <c r="AK1677" s="87"/>
      <c r="AL1677" s="87"/>
      <c r="AM1677" s="87"/>
      <c r="AN1677" s="87"/>
      <c r="AO1677" s="87"/>
      <c r="AP1677" s="87"/>
      <c r="AQ1677" s="87"/>
      <c r="AR1677" s="87"/>
      <c r="AS1677" s="87"/>
      <c r="AT1677" s="87"/>
      <c r="AU1677" s="87"/>
      <c r="AV1677" s="87"/>
      <c r="AW1677" s="87"/>
      <c r="AX1677" s="87"/>
      <c r="AY1677" s="87"/>
      <c r="AZ1677" s="87"/>
      <c r="BA1677" s="87"/>
      <c r="BB1677" s="87"/>
      <c r="BC1677" s="87"/>
      <c r="BD1677" s="87"/>
      <c r="BE1677" s="87"/>
      <c r="BF1677" s="87"/>
      <c r="BG1677" s="87"/>
      <c r="BH1677" s="87"/>
    </row>
    <row r="1678" spans="1:60" ht="16">
      <c r="A1678" s="82"/>
      <c r="B1678" s="82"/>
      <c r="C1678" s="82"/>
      <c r="D1678" s="83"/>
      <c r="E1678" s="84"/>
      <c r="F1678" s="84"/>
      <c r="G1678" s="84"/>
      <c r="H1678" s="82"/>
      <c r="I1678" s="84"/>
      <c r="J1678" s="84"/>
      <c r="K1678" s="84"/>
      <c r="L1678" s="84"/>
      <c r="M1678" s="84"/>
      <c r="N1678" s="84"/>
      <c r="O1678" s="84"/>
      <c r="P1678" s="84"/>
      <c r="Q1678" s="84"/>
      <c r="R1678" s="84"/>
      <c r="S1678" s="84"/>
      <c r="T1678" s="84"/>
      <c r="U1678" s="84"/>
      <c r="V1678" s="84"/>
      <c r="W1678" s="84"/>
      <c r="X1678" s="84"/>
      <c r="Y1678" s="84"/>
      <c r="Z1678" s="87"/>
      <c r="AA1678" s="87"/>
      <c r="AB1678" s="87"/>
      <c r="AC1678" s="87"/>
      <c r="AD1678" s="87"/>
      <c r="AE1678" s="87"/>
      <c r="AF1678" s="87"/>
      <c r="AG1678" s="87"/>
      <c r="AH1678" s="87"/>
      <c r="AI1678" s="87"/>
      <c r="AJ1678" s="87"/>
      <c r="AK1678" s="87"/>
      <c r="AL1678" s="87"/>
      <c r="AM1678" s="87"/>
      <c r="AN1678" s="87"/>
      <c r="AO1678" s="87"/>
      <c r="AP1678" s="87"/>
      <c r="AQ1678" s="87"/>
      <c r="AR1678" s="87"/>
      <c r="AS1678" s="87"/>
      <c r="AT1678" s="87"/>
      <c r="AU1678" s="87"/>
      <c r="AV1678" s="87"/>
      <c r="AW1678" s="87"/>
      <c r="AX1678" s="87"/>
      <c r="AY1678" s="87"/>
      <c r="AZ1678" s="87"/>
      <c r="BA1678" s="87"/>
      <c r="BB1678" s="87"/>
      <c r="BC1678" s="87"/>
      <c r="BD1678" s="87"/>
      <c r="BE1678" s="87"/>
      <c r="BF1678" s="87"/>
      <c r="BG1678" s="87"/>
      <c r="BH1678" s="87"/>
    </row>
    <row r="1679" spans="1:60" ht="16">
      <c r="A1679" s="82"/>
      <c r="B1679" s="82"/>
      <c r="C1679" s="82"/>
      <c r="D1679" s="83"/>
      <c r="E1679" s="84"/>
      <c r="F1679" s="84"/>
      <c r="G1679" s="84"/>
      <c r="H1679" s="82"/>
      <c r="I1679" s="84"/>
      <c r="J1679" s="84"/>
      <c r="K1679" s="84"/>
      <c r="L1679" s="84"/>
      <c r="M1679" s="84"/>
      <c r="N1679" s="84"/>
      <c r="O1679" s="84"/>
      <c r="P1679" s="84"/>
      <c r="Q1679" s="84"/>
      <c r="R1679" s="84"/>
      <c r="S1679" s="84"/>
      <c r="T1679" s="84"/>
      <c r="U1679" s="84"/>
      <c r="V1679" s="84"/>
      <c r="W1679" s="84"/>
      <c r="X1679" s="84"/>
      <c r="Y1679" s="84"/>
      <c r="Z1679" s="87"/>
      <c r="AA1679" s="87"/>
      <c r="AB1679" s="87"/>
      <c r="AC1679" s="87"/>
      <c r="AD1679" s="87"/>
      <c r="AE1679" s="87"/>
      <c r="AF1679" s="87"/>
      <c r="AG1679" s="87"/>
      <c r="AH1679" s="87"/>
      <c r="AI1679" s="87"/>
      <c r="AJ1679" s="87"/>
      <c r="AK1679" s="87"/>
      <c r="AL1679" s="87"/>
      <c r="AM1679" s="87"/>
      <c r="AN1679" s="87"/>
      <c r="AO1679" s="87"/>
      <c r="AP1679" s="87"/>
      <c r="AQ1679" s="87"/>
      <c r="AR1679" s="87"/>
      <c r="AS1679" s="87"/>
      <c r="AT1679" s="87"/>
      <c r="AU1679" s="87"/>
      <c r="AV1679" s="87"/>
      <c r="AW1679" s="87"/>
      <c r="AX1679" s="87"/>
      <c r="AY1679" s="87"/>
      <c r="AZ1679" s="87"/>
      <c r="BA1679" s="87"/>
      <c r="BB1679" s="87"/>
      <c r="BC1679" s="87"/>
      <c r="BD1679" s="87"/>
      <c r="BE1679" s="87"/>
      <c r="BF1679" s="87"/>
      <c r="BG1679" s="87"/>
      <c r="BH1679" s="87"/>
    </row>
    <row r="1680" spans="1:60" ht="16">
      <c r="A1680" s="82"/>
      <c r="B1680" s="82"/>
      <c r="C1680" s="82"/>
      <c r="D1680" s="83"/>
      <c r="E1680" s="84"/>
      <c r="F1680" s="84"/>
      <c r="G1680" s="84"/>
      <c r="H1680" s="82"/>
      <c r="I1680" s="84"/>
      <c r="J1680" s="84"/>
      <c r="K1680" s="84"/>
      <c r="L1680" s="84"/>
      <c r="M1680" s="84"/>
      <c r="N1680" s="84"/>
      <c r="O1680" s="84"/>
      <c r="P1680" s="84"/>
      <c r="Q1680" s="84"/>
      <c r="R1680" s="84"/>
      <c r="S1680" s="84"/>
      <c r="T1680" s="84"/>
      <c r="U1680" s="84"/>
      <c r="V1680" s="84"/>
      <c r="W1680" s="84"/>
      <c r="X1680" s="84"/>
      <c r="Y1680" s="84"/>
      <c r="Z1680" s="87"/>
      <c r="AA1680" s="87"/>
      <c r="AB1680" s="87"/>
      <c r="AC1680" s="87"/>
      <c r="AD1680" s="87"/>
      <c r="AE1680" s="87"/>
      <c r="AF1680" s="87"/>
      <c r="AG1680" s="87"/>
      <c r="AH1680" s="87"/>
      <c r="AI1680" s="87"/>
      <c r="AJ1680" s="87"/>
      <c r="AK1680" s="87"/>
      <c r="AL1680" s="87"/>
      <c r="AM1680" s="87"/>
      <c r="AN1680" s="87"/>
      <c r="AO1680" s="87"/>
      <c r="AP1680" s="87"/>
      <c r="AQ1680" s="87"/>
      <c r="AR1680" s="87"/>
      <c r="AS1680" s="87"/>
      <c r="AT1680" s="87"/>
      <c r="AU1680" s="87"/>
      <c r="AV1680" s="87"/>
      <c r="AW1680" s="87"/>
      <c r="AX1680" s="87"/>
      <c r="AY1680" s="87"/>
      <c r="AZ1680" s="87"/>
      <c r="BA1680" s="87"/>
      <c r="BB1680" s="87"/>
      <c r="BC1680" s="87"/>
      <c r="BD1680" s="87"/>
      <c r="BE1680" s="87"/>
      <c r="BF1680" s="87"/>
      <c r="BG1680" s="87"/>
      <c r="BH1680" s="87"/>
    </row>
    <row r="1681" spans="1:60" ht="16">
      <c r="A1681" s="82"/>
      <c r="B1681" s="82"/>
      <c r="C1681" s="82"/>
      <c r="D1681" s="83"/>
      <c r="E1681" s="84"/>
      <c r="F1681" s="84"/>
      <c r="G1681" s="84"/>
      <c r="H1681" s="82"/>
      <c r="I1681" s="84"/>
      <c r="J1681" s="84"/>
      <c r="K1681" s="84"/>
      <c r="L1681" s="84"/>
      <c r="M1681" s="84"/>
      <c r="N1681" s="84"/>
      <c r="O1681" s="84"/>
      <c r="P1681" s="84"/>
      <c r="Q1681" s="84"/>
      <c r="R1681" s="84"/>
      <c r="S1681" s="84"/>
      <c r="T1681" s="84"/>
      <c r="U1681" s="84"/>
      <c r="V1681" s="84"/>
      <c r="W1681" s="84"/>
      <c r="X1681" s="84"/>
      <c r="Y1681" s="84"/>
      <c r="Z1681" s="87"/>
      <c r="AA1681" s="87"/>
      <c r="AB1681" s="87"/>
      <c r="AC1681" s="87"/>
      <c r="AD1681" s="87"/>
      <c r="AE1681" s="87"/>
      <c r="AF1681" s="87"/>
      <c r="AG1681" s="87"/>
      <c r="AH1681" s="87"/>
      <c r="AI1681" s="87"/>
      <c r="AJ1681" s="87"/>
      <c r="AK1681" s="87"/>
      <c r="AL1681" s="87"/>
      <c r="AM1681" s="87"/>
      <c r="AN1681" s="87"/>
      <c r="AO1681" s="87"/>
      <c r="AP1681" s="87"/>
      <c r="AQ1681" s="87"/>
      <c r="AR1681" s="87"/>
      <c r="AS1681" s="87"/>
      <c r="AT1681" s="87"/>
      <c r="AU1681" s="87"/>
      <c r="AV1681" s="87"/>
      <c r="AW1681" s="87"/>
      <c r="AX1681" s="87"/>
      <c r="AY1681" s="87"/>
      <c r="AZ1681" s="87"/>
      <c r="BA1681" s="87"/>
      <c r="BB1681" s="87"/>
      <c r="BC1681" s="87"/>
      <c r="BD1681" s="87"/>
      <c r="BE1681" s="87"/>
      <c r="BF1681" s="87"/>
      <c r="BG1681" s="87"/>
      <c r="BH1681" s="87"/>
    </row>
    <row r="1682" spans="1:60" ht="16">
      <c r="A1682" s="82"/>
      <c r="B1682" s="82"/>
      <c r="C1682" s="82"/>
      <c r="D1682" s="83"/>
      <c r="E1682" s="84"/>
      <c r="F1682" s="84"/>
      <c r="G1682" s="84"/>
      <c r="H1682" s="82"/>
      <c r="I1682" s="84"/>
      <c r="J1682" s="84"/>
      <c r="K1682" s="84"/>
      <c r="L1682" s="84"/>
      <c r="M1682" s="84"/>
      <c r="N1682" s="84"/>
      <c r="O1682" s="84"/>
      <c r="P1682" s="84"/>
      <c r="Q1682" s="84"/>
      <c r="R1682" s="84"/>
      <c r="S1682" s="84"/>
      <c r="T1682" s="84"/>
      <c r="U1682" s="84"/>
      <c r="V1682" s="84"/>
      <c r="W1682" s="84"/>
      <c r="X1682" s="84"/>
      <c r="Y1682" s="84"/>
      <c r="Z1682" s="87"/>
      <c r="AA1682" s="87"/>
      <c r="AB1682" s="87"/>
      <c r="AC1682" s="87"/>
      <c r="AD1682" s="87"/>
      <c r="AE1682" s="87"/>
      <c r="AF1682" s="87"/>
      <c r="AG1682" s="87"/>
      <c r="AH1682" s="87"/>
      <c r="AI1682" s="87"/>
      <c r="AJ1682" s="87"/>
      <c r="AK1682" s="87"/>
      <c r="AL1682" s="87"/>
      <c r="AM1682" s="87"/>
      <c r="AN1682" s="87"/>
      <c r="AO1682" s="87"/>
      <c r="AP1682" s="87"/>
      <c r="AQ1682" s="87"/>
      <c r="AR1682" s="87"/>
      <c r="AS1682" s="87"/>
      <c r="AT1682" s="87"/>
      <c r="AU1682" s="87"/>
      <c r="AV1682" s="87"/>
      <c r="AW1682" s="87"/>
      <c r="AX1682" s="87"/>
      <c r="AY1682" s="87"/>
      <c r="AZ1682" s="87"/>
      <c r="BA1682" s="87"/>
      <c r="BB1682" s="87"/>
      <c r="BC1682" s="87"/>
      <c r="BD1682" s="87"/>
      <c r="BE1682" s="87"/>
      <c r="BF1682" s="87"/>
      <c r="BG1682" s="87"/>
      <c r="BH1682" s="87"/>
    </row>
    <row r="1683" spans="1:60" ht="16">
      <c r="A1683" s="82"/>
      <c r="B1683" s="82"/>
      <c r="C1683" s="82"/>
      <c r="D1683" s="83"/>
      <c r="E1683" s="84"/>
      <c r="F1683" s="84"/>
      <c r="G1683" s="84"/>
      <c r="H1683" s="82"/>
      <c r="I1683" s="84"/>
      <c r="J1683" s="84"/>
      <c r="K1683" s="84"/>
      <c r="L1683" s="84"/>
      <c r="M1683" s="84"/>
      <c r="N1683" s="84"/>
      <c r="O1683" s="84"/>
      <c r="P1683" s="84"/>
      <c r="Q1683" s="84"/>
      <c r="R1683" s="84"/>
      <c r="S1683" s="84"/>
      <c r="T1683" s="84"/>
      <c r="U1683" s="84"/>
      <c r="V1683" s="84"/>
      <c r="W1683" s="84"/>
      <c r="X1683" s="84"/>
      <c r="Y1683" s="84"/>
      <c r="Z1683" s="87"/>
      <c r="AA1683" s="87"/>
      <c r="AB1683" s="87"/>
      <c r="AC1683" s="87"/>
      <c r="AD1683" s="87"/>
      <c r="AE1683" s="87"/>
      <c r="AF1683" s="87"/>
      <c r="AG1683" s="87"/>
      <c r="AH1683" s="87"/>
      <c r="AI1683" s="87"/>
      <c r="AJ1683" s="87"/>
      <c r="AK1683" s="87"/>
      <c r="AL1683" s="87"/>
      <c r="AM1683" s="87"/>
      <c r="AN1683" s="87"/>
      <c r="AO1683" s="87"/>
      <c r="AP1683" s="87"/>
      <c r="AQ1683" s="87"/>
      <c r="AR1683" s="87"/>
      <c r="AS1683" s="87"/>
      <c r="AT1683" s="87"/>
      <c r="AU1683" s="87"/>
      <c r="AV1683" s="87"/>
      <c r="AW1683" s="87"/>
      <c r="AX1683" s="87"/>
      <c r="AY1683" s="87"/>
      <c r="AZ1683" s="87"/>
      <c r="BA1683" s="87"/>
      <c r="BB1683" s="87"/>
      <c r="BC1683" s="87"/>
      <c r="BD1683" s="87"/>
      <c r="BE1683" s="87"/>
      <c r="BF1683" s="87"/>
      <c r="BG1683" s="87"/>
      <c r="BH1683" s="87"/>
    </row>
    <row r="1684" spans="1:60" ht="16">
      <c r="A1684" s="82"/>
      <c r="B1684" s="82"/>
      <c r="C1684" s="82"/>
      <c r="D1684" s="83"/>
      <c r="E1684" s="84"/>
      <c r="F1684" s="84"/>
      <c r="G1684" s="84"/>
      <c r="H1684" s="82"/>
      <c r="I1684" s="84"/>
      <c r="J1684" s="84"/>
      <c r="K1684" s="84"/>
      <c r="L1684" s="84"/>
      <c r="M1684" s="84"/>
      <c r="N1684" s="84"/>
      <c r="O1684" s="84"/>
      <c r="P1684" s="84"/>
      <c r="Q1684" s="84"/>
      <c r="R1684" s="84"/>
      <c r="S1684" s="84"/>
      <c r="T1684" s="84"/>
      <c r="U1684" s="84"/>
      <c r="V1684" s="84"/>
      <c r="W1684" s="84"/>
      <c r="X1684" s="84"/>
      <c r="Y1684" s="84"/>
      <c r="Z1684" s="87"/>
      <c r="AA1684" s="87"/>
      <c r="AB1684" s="87"/>
      <c r="AC1684" s="87"/>
      <c r="AD1684" s="87"/>
      <c r="AE1684" s="87"/>
      <c r="AF1684" s="87"/>
      <c r="AG1684" s="87"/>
      <c r="AH1684" s="87"/>
      <c r="AI1684" s="87"/>
      <c r="AJ1684" s="87"/>
      <c r="AK1684" s="87"/>
      <c r="AL1684" s="87"/>
      <c r="AM1684" s="87"/>
      <c r="AN1684" s="87"/>
      <c r="AO1684" s="87"/>
      <c r="AP1684" s="87"/>
      <c r="AQ1684" s="87"/>
      <c r="AR1684" s="87"/>
      <c r="AS1684" s="87"/>
      <c r="AT1684" s="87"/>
      <c r="AU1684" s="87"/>
      <c r="AV1684" s="87"/>
      <c r="AW1684" s="87"/>
      <c r="AX1684" s="87"/>
      <c r="AY1684" s="87"/>
      <c r="AZ1684" s="87"/>
      <c r="BA1684" s="87"/>
      <c r="BB1684" s="87"/>
      <c r="BC1684" s="87"/>
      <c r="BD1684" s="87"/>
      <c r="BE1684" s="87"/>
      <c r="BF1684" s="87"/>
      <c r="BG1684" s="87"/>
      <c r="BH1684" s="87"/>
    </row>
    <row r="1685" spans="1:60" ht="16">
      <c r="A1685" s="82"/>
      <c r="B1685" s="82"/>
      <c r="C1685" s="82"/>
      <c r="D1685" s="83"/>
      <c r="E1685" s="84"/>
      <c r="F1685" s="84"/>
      <c r="G1685" s="84"/>
      <c r="H1685" s="82"/>
      <c r="I1685" s="84"/>
      <c r="J1685" s="84"/>
      <c r="K1685" s="84"/>
      <c r="L1685" s="84"/>
      <c r="M1685" s="84"/>
      <c r="N1685" s="84"/>
      <c r="O1685" s="84"/>
      <c r="P1685" s="84"/>
      <c r="Q1685" s="84"/>
      <c r="R1685" s="84"/>
      <c r="S1685" s="84"/>
      <c r="T1685" s="84"/>
      <c r="U1685" s="84"/>
      <c r="V1685" s="84"/>
      <c r="W1685" s="84"/>
      <c r="X1685" s="84"/>
      <c r="Y1685" s="84"/>
      <c r="Z1685" s="87"/>
      <c r="AA1685" s="87"/>
      <c r="AB1685" s="87"/>
      <c r="AC1685" s="87"/>
      <c r="AD1685" s="87"/>
      <c r="AE1685" s="87"/>
      <c r="AF1685" s="87"/>
      <c r="AG1685" s="87"/>
      <c r="AH1685" s="87"/>
      <c r="AI1685" s="87"/>
      <c r="AJ1685" s="87"/>
      <c r="AK1685" s="87"/>
      <c r="AL1685" s="87"/>
      <c r="AM1685" s="87"/>
      <c r="AN1685" s="87"/>
      <c r="AO1685" s="87"/>
      <c r="AP1685" s="87"/>
      <c r="AQ1685" s="87"/>
      <c r="AR1685" s="87"/>
      <c r="AS1685" s="87"/>
      <c r="AT1685" s="87"/>
      <c r="AU1685" s="87"/>
      <c r="AV1685" s="87"/>
      <c r="AW1685" s="87"/>
      <c r="AX1685" s="87"/>
      <c r="AY1685" s="87"/>
      <c r="AZ1685" s="87"/>
      <c r="BA1685" s="87"/>
      <c r="BB1685" s="87"/>
      <c r="BC1685" s="87"/>
      <c r="BD1685" s="87"/>
      <c r="BE1685" s="87"/>
      <c r="BF1685" s="87"/>
      <c r="BG1685" s="87"/>
      <c r="BH1685" s="87"/>
    </row>
    <row r="1686" spans="1:60" ht="16">
      <c r="A1686" s="82"/>
      <c r="B1686" s="82"/>
      <c r="C1686" s="82"/>
      <c r="D1686" s="83"/>
      <c r="E1686" s="84"/>
      <c r="F1686" s="84"/>
      <c r="G1686" s="84"/>
      <c r="H1686" s="82"/>
      <c r="I1686" s="84"/>
      <c r="J1686" s="84"/>
      <c r="K1686" s="84"/>
      <c r="L1686" s="84"/>
      <c r="M1686" s="84"/>
      <c r="N1686" s="84"/>
      <c r="O1686" s="84"/>
      <c r="P1686" s="84"/>
      <c r="Q1686" s="84"/>
      <c r="R1686" s="84"/>
      <c r="S1686" s="84"/>
      <c r="T1686" s="84"/>
      <c r="U1686" s="84"/>
      <c r="V1686" s="84"/>
      <c r="W1686" s="84"/>
      <c r="X1686" s="84"/>
      <c r="Y1686" s="84"/>
      <c r="Z1686" s="87"/>
      <c r="AA1686" s="87"/>
      <c r="AB1686" s="87"/>
      <c r="AC1686" s="87"/>
      <c r="AD1686" s="87"/>
      <c r="AE1686" s="87"/>
      <c r="AF1686" s="87"/>
      <c r="AG1686" s="87"/>
      <c r="AH1686" s="87"/>
      <c r="AI1686" s="87"/>
      <c r="AJ1686" s="87"/>
      <c r="AK1686" s="87"/>
      <c r="AL1686" s="87"/>
      <c r="AM1686" s="87"/>
      <c r="AN1686" s="87"/>
      <c r="AO1686" s="87"/>
      <c r="AP1686" s="87"/>
      <c r="AQ1686" s="87"/>
      <c r="AR1686" s="87"/>
      <c r="AS1686" s="87"/>
      <c r="AT1686" s="87"/>
      <c r="AU1686" s="87"/>
      <c r="AV1686" s="87"/>
      <c r="AW1686" s="87"/>
      <c r="AX1686" s="87"/>
      <c r="AY1686" s="87"/>
      <c r="AZ1686" s="87"/>
      <c r="BA1686" s="87"/>
      <c r="BB1686" s="87"/>
      <c r="BC1686" s="87"/>
      <c r="BD1686" s="87"/>
      <c r="BE1686" s="87"/>
      <c r="BF1686" s="87"/>
      <c r="BG1686" s="87"/>
      <c r="BH1686" s="87"/>
    </row>
    <row r="1687" spans="1:60" ht="16">
      <c r="A1687" s="82"/>
      <c r="B1687" s="82"/>
      <c r="C1687" s="82"/>
      <c r="D1687" s="83"/>
      <c r="E1687" s="84"/>
      <c r="F1687" s="84"/>
      <c r="G1687" s="84"/>
      <c r="H1687" s="82"/>
      <c r="I1687" s="84"/>
      <c r="J1687" s="84"/>
      <c r="K1687" s="84"/>
      <c r="L1687" s="84"/>
      <c r="M1687" s="84"/>
      <c r="N1687" s="84"/>
      <c r="O1687" s="84"/>
      <c r="P1687" s="84"/>
      <c r="Q1687" s="84"/>
      <c r="R1687" s="84"/>
      <c r="S1687" s="84"/>
      <c r="T1687" s="84"/>
      <c r="U1687" s="84"/>
      <c r="V1687" s="84"/>
      <c r="W1687" s="84"/>
      <c r="X1687" s="84"/>
      <c r="Y1687" s="84"/>
      <c r="Z1687" s="87"/>
      <c r="AA1687" s="87"/>
      <c r="AB1687" s="87"/>
      <c r="AC1687" s="87"/>
      <c r="AD1687" s="87"/>
      <c r="AE1687" s="87"/>
      <c r="AF1687" s="87"/>
      <c r="AG1687" s="87"/>
      <c r="AH1687" s="87"/>
      <c r="AI1687" s="87"/>
      <c r="AJ1687" s="87"/>
      <c r="AK1687" s="87"/>
      <c r="AL1687" s="87"/>
      <c r="AM1687" s="87"/>
      <c r="AN1687" s="87"/>
      <c r="AO1687" s="87"/>
      <c r="AP1687" s="87"/>
      <c r="AQ1687" s="87"/>
      <c r="AR1687" s="87"/>
      <c r="AS1687" s="87"/>
      <c r="AT1687" s="87"/>
      <c r="AU1687" s="87"/>
      <c r="AV1687" s="87"/>
      <c r="AW1687" s="87"/>
      <c r="AX1687" s="87"/>
      <c r="AY1687" s="87"/>
      <c r="AZ1687" s="87"/>
      <c r="BA1687" s="87"/>
      <c r="BB1687" s="87"/>
      <c r="BC1687" s="87"/>
      <c r="BD1687" s="87"/>
      <c r="BE1687" s="87"/>
      <c r="BF1687" s="87"/>
      <c r="BG1687" s="87"/>
      <c r="BH1687" s="87"/>
    </row>
    <row r="1688" spans="1:60" ht="16">
      <c r="A1688" s="82"/>
      <c r="B1688" s="82"/>
      <c r="C1688" s="82"/>
      <c r="D1688" s="83"/>
      <c r="E1688" s="84"/>
      <c r="F1688" s="84"/>
      <c r="G1688" s="84"/>
      <c r="H1688" s="82"/>
      <c r="I1688" s="84"/>
      <c r="J1688" s="84"/>
      <c r="K1688" s="84"/>
      <c r="L1688" s="84"/>
      <c r="M1688" s="84"/>
      <c r="N1688" s="84"/>
      <c r="O1688" s="84"/>
      <c r="P1688" s="84"/>
      <c r="Q1688" s="84"/>
      <c r="R1688" s="84"/>
      <c r="S1688" s="84"/>
      <c r="T1688" s="84"/>
      <c r="U1688" s="84"/>
      <c r="V1688" s="84"/>
      <c r="W1688" s="84"/>
      <c r="X1688" s="84"/>
      <c r="Y1688" s="84"/>
      <c r="Z1688" s="87"/>
      <c r="AA1688" s="87"/>
      <c r="AB1688" s="87"/>
      <c r="AC1688" s="87"/>
      <c r="AD1688" s="87"/>
      <c r="AE1688" s="87"/>
      <c r="AF1688" s="87"/>
      <c r="AG1688" s="87"/>
      <c r="AH1688" s="87"/>
      <c r="AI1688" s="87"/>
      <c r="AJ1688" s="87"/>
      <c r="AK1688" s="87"/>
      <c r="AL1688" s="87"/>
      <c r="AM1688" s="87"/>
      <c r="AN1688" s="87"/>
      <c r="AO1688" s="87"/>
      <c r="AP1688" s="87"/>
      <c r="AQ1688" s="87"/>
      <c r="AR1688" s="87"/>
      <c r="AS1688" s="87"/>
      <c r="AT1688" s="87"/>
      <c r="AU1688" s="87"/>
      <c r="AV1688" s="87"/>
      <c r="AW1688" s="87"/>
      <c r="AX1688" s="87"/>
      <c r="AY1688" s="87"/>
      <c r="AZ1688" s="87"/>
      <c r="BA1688" s="87"/>
      <c r="BB1688" s="87"/>
      <c r="BC1688" s="87"/>
      <c r="BD1688" s="87"/>
      <c r="BE1688" s="87"/>
      <c r="BF1688" s="87"/>
      <c r="BG1688" s="87"/>
      <c r="BH1688" s="87"/>
    </row>
    <row r="1689" spans="1:60" ht="16">
      <c r="A1689" s="82"/>
      <c r="B1689" s="82"/>
      <c r="C1689" s="82"/>
      <c r="D1689" s="83"/>
      <c r="E1689" s="84"/>
      <c r="F1689" s="84"/>
      <c r="G1689" s="84"/>
      <c r="H1689" s="82"/>
      <c r="I1689" s="84"/>
      <c r="J1689" s="84"/>
      <c r="K1689" s="84"/>
      <c r="L1689" s="84"/>
      <c r="M1689" s="84"/>
      <c r="N1689" s="84"/>
      <c r="O1689" s="84"/>
      <c r="P1689" s="84"/>
      <c r="Q1689" s="84"/>
      <c r="R1689" s="84"/>
      <c r="S1689" s="84"/>
      <c r="T1689" s="84"/>
      <c r="U1689" s="84"/>
      <c r="V1689" s="84"/>
      <c r="W1689" s="84"/>
      <c r="X1689" s="84"/>
      <c r="Y1689" s="84"/>
      <c r="Z1689" s="87"/>
      <c r="AA1689" s="87"/>
      <c r="AB1689" s="87"/>
      <c r="AC1689" s="87"/>
      <c r="AD1689" s="87"/>
      <c r="AE1689" s="87"/>
      <c r="AF1689" s="87"/>
      <c r="AG1689" s="87"/>
      <c r="AH1689" s="87"/>
      <c r="AI1689" s="87"/>
      <c r="AJ1689" s="87"/>
      <c r="AK1689" s="87"/>
      <c r="AL1689" s="87"/>
      <c r="AM1689" s="87"/>
      <c r="AN1689" s="87"/>
      <c r="AO1689" s="87"/>
      <c r="AP1689" s="87"/>
      <c r="AQ1689" s="87"/>
      <c r="AR1689" s="87"/>
      <c r="AS1689" s="87"/>
      <c r="AT1689" s="87"/>
      <c r="AU1689" s="87"/>
      <c r="AV1689" s="87"/>
      <c r="AW1689" s="87"/>
      <c r="AX1689" s="87"/>
      <c r="AY1689" s="87"/>
      <c r="AZ1689" s="87"/>
      <c r="BA1689" s="87"/>
      <c r="BB1689" s="87"/>
      <c r="BC1689" s="87"/>
      <c r="BD1689" s="87"/>
      <c r="BE1689" s="87"/>
      <c r="BF1689" s="87"/>
      <c r="BG1689" s="87"/>
      <c r="BH1689" s="87"/>
    </row>
    <row r="1690" spans="1:60" ht="16">
      <c r="A1690" s="82"/>
      <c r="B1690" s="82"/>
      <c r="C1690" s="82"/>
      <c r="D1690" s="83"/>
      <c r="E1690" s="84"/>
      <c r="F1690" s="84"/>
      <c r="G1690" s="84"/>
      <c r="H1690" s="82"/>
      <c r="I1690" s="84"/>
      <c r="J1690" s="84"/>
      <c r="K1690" s="84"/>
      <c r="L1690" s="84"/>
      <c r="M1690" s="84"/>
      <c r="N1690" s="84"/>
      <c r="O1690" s="84"/>
      <c r="P1690" s="84"/>
      <c r="Q1690" s="84"/>
      <c r="R1690" s="84"/>
      <c r="S1690" s="84"/>
      <c r="T1690" s="84"/>
      <c r="U1690" s="84"/>
      <c r="V1690" s="84"/>
      <c r="W1690" s="84"/>
      <c r="X1690" s="84"/>
      <c r="Y1690" s="84"/>
      <c r="Z1690" s="87"/>
      <c r="AA1690" s="87"/>
      <c r="AB1690" s="87"/>
      <c r="AC1690" s="87"/>
      <c r="AD1690" s="87"/>
      <c r="AE1690" s="87"/>
      <c r="AF1690" s="87"/>
      <c r="AG1690" s="87"/>
      <c r="AH1690" s="87"/>
      <c r="AI1690" s="87"/>
      <c r="AJ1690" s="87"/>
      <c r="AK1690" s="87"/>
      <c r="AL1690" s="87"/>
      <c r="AM1690" s="87"/>
      <c r="AN1690" s="87"/>
      <c r="AO1690" s="87"/>
      <c r="AP1690" s="87"/>
      <c r="AQ1690" s="87"/>
      <c r="AR1690" s="87"/>
      <c r="AS1690" s="87"/>
      <c r="AT1690" s="87"/>
      <c r="AU1690" s="87"/>
      <c r="AV1690" s="87"/>
      <c r="AW1690" s="87"/>
      <c r="AX1690" s="87"/>
      <c r="AY1690" s="87"/>
      <c r="AZ1690" s="87"/>
      <c r="BA1690" s="87"/>
      <c r="BB1690" s="87"/>
      <c r="BC1690" s="87"/>
      <c r="BD1690" s="87"/>
      <c r="BE1690" s="87"/>
      <c r="BF1690" s="87"/>
      <c r="BG1690" s="87"/>
      <c r="BH1690" s="87"/>
    </row>
    <row r="1691" spans="1:60" ht="16">
      <c r="A1691" s="82"/>
      <c r="B1691" s="82"/>
      <c r="C1691" s="82"/>
      <c r="D1691" s="83"/>
      <c r="E1691" s="84"/>
      <c r="F1691" s="84"/>
      <c r="G1691" s="84"/>
      <c r="H1691" s="82"/>
      <c r="I1691" s="84"/>
      <c r="J1691" s="84"/>
      <c r="K1691" s="84"/>
      <c r="L1691" s="84"/>
      <c r="M1691" s="84"/>
      <c r="N1691" s="84"/>
      <c r="O1691" s="84"/>
      <c r="P1691" s="84"/>
      <c r="Q1691" s="84"/>
      <c r="R1691" s="84"/>
      <c r="S1691" s="84"/>
      <c r="T1691" s="84"/>
      <c r="U1691" s="84"/>
      <c r="V1691" s="84"/>
      <c r="W1691" s="84"/>
      <c r="X1691" s="84"/>
      <c r="Y1691" s="84"/>
      <c r="Z1691" s="87"/>
      <c r="AA1691" s="87"/>
      <c r="AB1691" s="87"/>
      <c r="AC1691" s="87"/>
      <c r="AD1691" s="87"/>
      <c r="AE1691" s="87"/>
      <c r="AF1691" s="87"/>
      <c r="AG1691" s="87"/>
      <c r="AH1691" s="87"/>
      <c r="AI1691" s="87"/>
      <c r="AJ1691" s="87"/>
      <c r="AK1691" s="87"/>
      <c r="AL1691" s="87"/>
      <c r="AM1691" s="87"/>
      <c r="AN1691" s="87"/>
      <c r="AO1691" s="87"/>
      <c r="AP1691" s="87"/>
      <c r="AQ1691" s="87"/>
      <c r="AR1691" s="87"/>
      <c r="AS1691" s="87"/>
      <c r="AT1691" s="87"/>
      <c r="AU1691" s="87"/>
      <c r="AV1691" s="87"/>
      <c r="AW1691" s="87"/>
      <c r="AX1691" s="87"/>
      <c r="AY1691" s="87"/>
      <c r="AZ1691" s="87"/>
      <c r="BA1691" s="87"/>
      <c r="BB1691" s="87"/>
      <c r="BC1691" s="87"/>
      <c r="BD1691" s="87"/>
      <c r="BE1691" s="87"/>
      <c r="BF1691" s="87"/>
      <c r="BG1691" s="87"/>
      <c r="BH1691" s="87"/>
    </row>
    <row r="1692" spans="1:60" ht="16">
      <c r="A1692" s="82"/>
      <c r="B1692" s="82"/>
      <c r="C1692" s="82"/>
      <c r="D1692" s="83"/>
      <c r="E1692" s="84"/>
      <c r="F1692" s="84"/>
      <c r="G1692" s="84"/>
      <c r="H1692" s="82"/>
      <c r="I1692" s="84"/>
      <c r="J1692" s="84"/>
      <c r="K1692" s="84"/>
      <c r="L1692" s="84"/>
      <c r="M1692" s="84"/>
      <c r="N1692" s="84"/>
      <c r="O1692" s="84"/>
      <c r="P1692" s="84"/>
      <c r="Q1692" s="84"/>
      <c r="R1692" s="84"/>
      <c r="S1692" s="84"/>
      <c r="T1692" s="84"/>
      <c r="U1692" s="84"/>
      <c r="V1692" s="84"/>
      <c r="W1692" s="84"/>
      <c r="X1692" s="84"/>
      <c r="Y1692" s="84"/>
      <c r="Z1692" s="87"/>
      <c r="AA1692" s="87"/>
      <c r="AB1692" s="87"/>
      <c r="AC1692" s="87"/>
      <c r="AD1692" s="87"/>
      <c r="AE1692" s="87"/>
      <c r="AF1692" s="87"/>
      <c r="AG1692" s="87"/>
      <c r="AH1692" s="87"/>
      <c r="AI1692" s="87"/>
      <c r="AJ1692" s="87"/>
      <c r="AK1692" s="87"/>
      <c r="AL1692" s="87"/>
      <c r="AM1692" s="87"/>
      <c r="AN1692" s="87"/>
      <c r="AO1692" s="87"/>
      <c r="AP1692" s="87"/>
      <c r="AQ1692" s="87"/>
      <c r="AR1692" s="87"/>
      <c r="AS1692" s="87"/>
      <c r="AT1692" s="87"/>
      <c r="AU1692" s="87"/>
      <c r="AV1692" s="87"/>
      <c r="AW1692" s="87"/>
      <c r="AX1692" s="87"/>
      <c r="AY1692" s="87"/>
      <c r="AZ1692" s="87"/>
      <c r="BA1692" s="87"/>
      <c r="BB1692" s="87"/>
      <c r="BC1692" s="87"/>
      <c r="BD1692" s="87"/>
      <c r="BE1692" s="87"/>
      <c r="BF1692" s="87"/>
      <c r="BG1692" s="87"/>
      <c r="BH1692" s="87"/>
    </row>
    <row r="1693" spans="1:60" ht="16">
      <c r="A1693" s="82"/>
      <c r="B1693" s="82"/>
      <c r="C1693" s="82"/>
      <c r="D1693" s="83"/>
      <c r="E1693" s="84"/>
      <c r="F1693" s="84"/>
      <c r="G1693" s="84"/>
      <c r="H1693" s="82"/>
      <c r="I1693" s="84"/>
      <c r="J1693" s="84"/>
      <c r="K1693" s="84"/>
      <c r="L1693" s="84"/>
      <c r="M1693" s="84"/>
      <c r="N1693" s="84"/>
      <c r="O1693" s="84"/>
      <c r="P1693" s="84"/>
      <c r="Q1693" s="84"/>
      <c r="R1693" s="84"/>
      <c r="S1693" s="84"/>
      <c r="T1693" s="84"/>
      <c r="U1693" s="84"/>
      <c r="V1693" s="84"/>
      <c r="W1693" s="84"/>
      <c r="X1693" s="84"/>
      <c r="Y1693" s="84"/>
      <c r="Z1693" s="87"/>
      <c r="AA1693" s="87"/>
      <c r="AB1693" s="87"/>
      <c r="AC1693" s="87"/>
      <c r="AD1693" s="87"/>
      <c r="AE1693" s="87"/>
      <c r="AF1693" s="87"/>
      <c r="AG1693" s="87"/>
      <c r="AH1693" s="87"/>
      <c r="AI1693" s="87"/>
      <c r="AJ1693" s="87"/>
      <c r="AK1693" s="87"/>
      <c r="AL1693" s="87"/>
      <c r="AM1693" s="87"/>
      <c r="AN1693" s="87"/>
      <c r="AO1693" s="87"/>
      <c r="AP1693" s="87"/>
      <c r="AQ1693" s="87"/>
      <c r="AR1693" s="87"/>
      <c r="AS1693" s="87"/>
      <c r="AT1693" s="87"/>
      <c r="AU1693" s="87"/>
      <c r="AV1693" s="87"/>
      <c r="AW1693" s="87"/>
      <c r="AX1693" s="87"/>
      <c r="AY1693" s="87"/>
      <c r="AZ1693" s="87"/>
      <c r="BA1693" s="87"/>
      <c r="BB1693" s="87"/>
      <c r="BC1693" s="87"/>
      <c r="BD1693" s="87"/>
      <c r="BE1693" s="87"/>
      <c r="BF1693" s="87"/>
      <c r="BG1693" s="87"/>
      <c r="BH1693" s="87"/>
    </row>
    <row r="1694" spans="1:60" ht="16">
      <c r="A1694" s="82"/>
      <c r="B1694" s="82"/>
      <c r="C1694" s="82"/>
      <c r="D1694" s="83"/>
      <c r="E1694" s="84"/>
      <c r="F1694" s="84"/>
      <c r="G1694" s="84"/>
      <c r="H1694" s="82"/>
      <c r="I1694" s="84"/>
      <c r="J1694" s="84"/>
      <c r="K1694" s="84"/>
      <c r="L1694" s="84"/>
      <c r="M1694" s="84"/>
      <c r="N1694" s="84"/>
      <c r="O1694" s="84"/>
      <c r="P1694" s="84"/>
      <c r="Q1694" s="84"/>
      <c r="R1694" s="84"/>
      <c r="S1694" s="84"/>
      <c r="T1694" s="84"/>
      <c r="U1694" s="84"/>
      <c r="V1694" s="84"/>
      <c r="W1694" s="84"/>
      <c r="X1694" s="84"/>
      <c r="Y1694" s="84"/>
      <c r="Z1694" s="87"/>
      <c r="AA1694" s="87"/>
      <c r="AB1694" s="87"/>
      <c r="AC1694" s="87"/>
      <c r="AD1694" s="87"/>
      <c r="AE1694" s="87"/>
      <c r="AF1694" s="87"/>
      <c r="AG1694" s="87"/>
      <c r="AH1694" s="87"/>
      <c r="AI1694" s="87"/>
      <c r="AJ1694" s="87"/>
      <c r="AK1694" s="87"/>
      <c r="AL1694" s="87"/>
      <c r="AM1694" s="87"/>
      <c r="AN1694" s="87"/>
      <c r="AO1694" s="87"/>
      <c r="AP1694" s="87"/>
      <c r="AQ1694" s="87"/>
      <c r="AR1694" s="87"/>
      <c r="AS1694" s="87"/>
      <c r="AT1694" s="87"/>
      <c r="AU1694" s="87"/>
      <c r="AV1694" s="87"/>
      <c r="AW1694" s="87"/>
      <c r="AX1694" s="87"/>
      <c r="AY1694" s="87"/>
      <c r="AZ1694" s="87"/>
      <c r="BA1694" s="87"/>
      <c r="BB1694" s="87"/>
      <c r="BC1694" s="87"/>
      <c r="BD1694" s="87"/>
      <c r="BE1694" s="87"/>
      <c r="BF1694" s="87"/>
      <c r="BG1694" s="87"/>
      <c r="BH1694" s="87"/>
    </row>
    <row r="1695" spans="1:60" ht="16">
      <c r="A1695" s="82"/>
      <c r="B1695" s="82"/>
      <c r="C1695" s="82"/>
      <c r="D1695" s="83"/>
      <c r="E1695" s="84"/>
      <c r="F1695" s="84"/>
      <c r="G1695" s="84"/>
      <c r="H1695" s="82"/>
      <c r="I1695" s="84"/>
      <c r="J1695" s="84"/>
      <c r="K1695" s="84"/>
      <c r="L1695" s="84"/>
      <c r="M1695" s="84"/>
      <c r="N1695" s="84"/>
      <c r="O1695" s="84"/>
      <c r="P1695" s="84"/>
      <c r="Q1695" s="84"/>
      <c r="R1695" s="84"/>
      <c r="S1695" s="84"/>
      <c r="T1695" s="84"/>
      <c r="U1695" s="84"/>
      <c r="V1695" s="84"/>
      <c r="W1695" s="84"/>
      <c r="X1695" s="84"/>
      <c r="Y1695" s="84"/>
      <c r="Z1695" s="87"/>
      <c r="AA1695" s="87"/>
      <c r="AB1695" s="87"/>
      <c r="AC1695" s="87"/>
      <c r="AD1695" s="87"/>
      <c r="AE1695" s="87"/>
      <c r="AF1695" s="87"/>
      <c r="AG1695" s="87"/>
      <c r="AH1695" s="87"/>
      <c r="AI1695" s="87"/>
      <c r="AJ1695" s="87"/>
      <c r="AK1695" s="87"/>
      <c r="AL1695" s="87"/>
      <c r="AM1695" s="87"/>
      <c r="AN1695" s="87"/>
      <c r="AO1695" s="87"/>
      <c r="AP1695" s="87"/>
      <c r="AQ1695" s="87"/>
      <c r="AR1695" s="87"/>
      <c r="AS1695" s="87"/>
      <c r="AT1695" s="87"/>
      <c r="AU1695" s="87"/>
      <c r="AV1695" s="87"/>
      <c r="AW1695" s="87"/>
      <c r="AX1695" s="87"/>
      <c r="AY1695" s="87"/>
      <c r="AZ1695" s="87"/>
      <c r="BA1695" s="87"/>
      <c r="BB1695" s="87"/>
      <c r="BC1695" s="87"/>
      <c r="BD1695" s="87"/>
      <c r="BE1695" s="87"/>
      <c r="BF1695" s="87"/>
      <c r="BG1695" s="87"/>
      <c r="BH1695" s="87"/>
    </row>
    <row r="1696" spans="1:60" ht="16">
      <c r="A1696" s="82"/>
      <c r="B1696" s="82"/>
      <c r="C1696" s="82"/>
      <c r="D1696" s="83"/>
      <c r="E1696" s="84"/>
      <c r="F1696" s="84"/>
      <c r="G1696" s="84"/>
      <c r="H1696" s="82"/>
      <c r="I1696" s="84"/>
      <c r="J1696" s="84"/>
      <c r="K1696" s="84"/>
      <c r="L1696" s="84"/>
      <c r="M1696" s="84"/>
      <c r="N1696" s="84"/>
      <c r="O1696" s="84"/>
      <c r="P1696" s="84"/>
      <c r="Q1696" s="84"/>
      <c r="R1696" s="84"/>
      <c r="S1696" s="84"/>
      <c r="T1696" s="84"/>
      <c r="U1696" s="84"/>
      <c r="V1696" s="84"/>
      <c r="W1696" s="84"/>
      <c r="X1696" s="84"/>
      <c r="Y1696" s="84"/>
      <c r="Z1696" s="87"/>
      <c r="AA1696" s="87"/>
      <c r="AB1696" s="87"/>
      <c r="AC1696" s="87"/>
      <c r="AD1696" s="87"/>
      <c r="AE1696" s="87"/>
      <c r="AF1696" s="87"/>
      <c r="AG1696" s="87"/>
      <c r="AH1696" s="87"/>
      <c r="AI1696" s="87"/>
      <c r="AJ1696" s="87"/>
      <c r="AK1696" s="87"/>
      <c r="AL1696" s="87"/>
      <c r="AM1696" s="87"/>
      <c r="AN1696" s="87"/>
      <c r="AO1696" s="87"/>
      <c r="AP1696" s="87"/>
      <c r="AQ1696" s="87"/>
      <c r="AR1696" s="87"/>
      <c r="AS1696" s="87"/>
      <c r="AT1696" s="87"/>
      <c r="AU1696" s="87"/>
      <c r="AV1696" s="87"/>
      <c r="AW1696" s="87"/>
      <c r="AX1696" s="87"/>
      <c r="AY1696" s="87"/>
      <c r="AZ1696" s="87"/>
      <c r="BA1696" s="87"/>
      <c r="BB1696" s="87"/>
      <c r="BC1696" s="87"/>
      <c r="BD1696" s="87"/>
      <c r="BE1696" s="87"/>
      <c r="BF1696" s="87"/>
      <c r="BG1696" s="87"/>
      <c r="BH1696" s="87"/>
    </row>
    <row r="1697" spans="1:60" ht="16">
      <c r="A1697" s="82"/>
      <c r="B1697" s="82"/>
      <c r="C1697" s="82"/>
      <c r="D1697" s="83"/>
      <c r="E1697" s="84"/>
      <c r="F1697" s="84"/>
      <c r="G1697" s="84"/>
      <c r="H1697" s="82"/>
      <c r="I1697" s="84"/>
      <c r="J1697" s="84"/>
      <c r="K1697" s="84"/>
      <c r="L1697" s="84"/>
      <c r="M1697" s="84"/>
      <c r="N1697" s="84"/>
      <c r="O1697" s="84"/>
      <c r="P1697" s="84"/>
      <c r="Q1697" s="84"/>
      <c r="R1697" s="84"/>
      <c r="S1697" s="84"/>
      <c r="T1697" s="84"/>
      <c r="U1697" s="84"/>
      <c r="V1697" s="84"/>
      <c r="W1697" s="84"/>
      <c r="X1697" s="84"/>
      <c r="Y1697" s="84"/>
      <c r="Z1697" s="87"/>
      <c r="AA1697" s="87"/>
      <c r="AB1697" s="87"/>
      <c r="AC1697" s="87"/>
      <c r="AD1697" s="87"/>
      <c r="AE1697" s="87"/>
      <c r="AF1697" s="87"/>
      <c r="AG1697" s="87"/>
      <c r="AH1697" s="87"/>
      <c r="AI1697" s="87"/>
      <c r="AJ1697" s="87"/>
      <c r="AK1697" s="87"/>
      <c r="AL1697" s="87"/>
      <c r="AM1697" s="87"/>
      <c r="AN1697" s="87"/>
      <c r="AO1697" s="87"/>
      <c r="AP1697" s="87"/>
      <c r="AQ1697" s="87"/>
      <c r="AR1697" s="87"/>
      <c r="AS1697" s="87"/>
      <c r="AT1697" s="87"/>
      <c r="AU1697" s="87"/>
      <c r="AV1697" s="87"/>
      <c r="AW1697" s="87"/>
      <c r="AX1697" s="87"/>
      <c r="AY1697" s="87"/>
      <c r="AZ1697" s="87"/>
      <c r="BA1697" s="87"/>
      <c r="BB1697" s="87"/>
      <c r="BC1697" s="87"/>
      <c r="BD1697" s="87"/>
      <c r="BE1697" s="87"/>
      <c r="BF1697" s="87"/>
      <c r="BG1697" s="87"/>
      <c r="BH1697" s="87"/>
    </row>
    <row r="1698" spans="1:60" ht="16">
      <c r="A1698" s="82"/>
      <c r="B1698" s="82"/>
      <c r="C1698" s="82"/>
      <c r="D1698" s="83"/>
      <c r="E1698" s="84"/>
      <c r="F1698" s="84"/>
      <c r="G1698" s="84"/>
      <c r="H1698" s="82"/>
      <c r="I1698" s="84"/>
      <c r="J1698" s="84"/>
      <c r="K1698" s="84"/>
      <c r="L1698" s="84"/>
      <c r="M1698" s="84"/>
      <c r="N1698" s="84"/>
      <c r="O1698" s="84"/>
      <c r="P1698" s="84"/>
      <c r="Q1698" s="84"/>
      <c r="R1698" s="84"/>
      <c r="S1698" s="84"/>
      <c r="T1698" s="84"/>
      <c r="U1698" s="84"/>
      <c r="V1698" s="84"/>
      <c r="W1698" s="84"/>
      <c r="X1698" s="84"/>
      <c r="Y1698" s="84"/>
      <c r="Z1698" s="87"/>
      <c r="AA1698" s="87"/>
      <c r="AB1698" s="87"/>
      <c r="AC1698" s="87"/>
      <c r="AD1698" s="87"/>
      <c r="AE1698" s="87"/>
      <c r="AF1698" s="87"/>
      <c r="AG1698" s="87"/>
      <c r="AH1698" s="87"/>
      <c r="AI1698" s="87"/>
      <c r="AJ1698" s="87"/>
      <c r="AK1698" s="87"/>
      <c r="AL1698" s="87"/>
      <c r="AM1698" s="87"/>
      <c r="AN1698" s="87"/>
      <c r="AO1698" s="87"/>
      <c r="AP1698" s="87"/>
      <c r="AQ1698" s="87"/>
      <c r="AR1698" s="87"/>
      <c r="AS1698" s="87"/>
      <c r="AT1698" s="87"/>
      <c r="AU1698" s="87"/>
      <c r="AV1698" s="87"/>
      <c r="AW1698" s="87"/>
      <c r="AX1698" s="87"/>
      <c r="AY1698" s="87"/>
      <c r="AZ1698" s="87"/>
      <c r="BA1698" s="87"/>
      <c r="BB1698" s="87"/>
      <c r="BC1698" s="87"/>
      <c r="BD1698" s="87"/>
      <c r="BE1698" s="87"/>
      <c r="BF1698" s="87"/>
      <c r="BG1698" s="87"/>
      <c r="BH1698" s="87"/>
    </row>
    <row r="1699" spans="1:60" ht="16">
      <c r="A1699" s="82"/>
      <c r="B1699" s="82"/>
      <c r="C1699" s="82"/>
      <c r="D1699" s="83"/>
      <c r="E1699" s="84"/>
      <c r="F1699" s="84"/>
      <c r="G1699" s="84"/>
      <c r="H1699" s="82"/>
      <c r="I1699" s="84"/>
      <c r="J1699" s="84"/>
      <c r="K1699" s="84"/>
      <c r="L1699" s="84"/>
      <c r="M1699" s="84"/>
      <c r="N1699" s="84"/>
      <c r="O1699" s="84"/>
      <c r="P1699" s="84"/>
      <c r="Q1699" s="84"/>
      <c r="R1699" s="84"/>
      <c r="S1699" s="84"/>
      <c r="T1699" s="84"/>
      <c r="U1699" s="84"/>
      <c r="V1699" s="84"/>
      <c r="W1699" s="84"/>
      <c r="X1699" s="84"/>
      <c r="Y1699" s="84"/>
      <c r="Z1699" s="87"/>
      <c r="AA1699" s="87"/>
      <c r="AB1699" s="87"/>
      <c r="AC1699" s="87"/>
      <c r="AD1699" s="87"/>
      <c r="AE1699" s="87"/>
      <c r="AF1699" s="87"/>
      <c r="AG1699" s="87"/>
      <c r="AH1699" s="87"/>
      <c r="AI1699" s="87"/>
      <c r="AJ1699" s="87"/>
      <c r="AK1699" s="87"/>
      <c r="AL1699" s="87"/>
      <c r="AM1699" s="87"/>
      <c r="AN1699" s="87"/>
      <c r="AO1699" s="87"/>
      <c r="AP1699" s="87"/>
      <c r="AQ1699" s="87"/>
      <c r="AR1699" s="87"/>
      <c r="AS1699" s="87"/>
      <c r="AT1699" s="87"/>
      <c r="AU1699" s="87"/>
      <c r="AV1699" s="87"/>
      <c r="AW1699" s="87"/>
      <c r="AX1699" s="87"/>
      <c r="AY1699" s="87"/>
      <c r="AZ1699" s="87"/>
      <c r="BA1699" s="87"/>
      <c r="BB1699" s="87"/>
      <c r="BC1699" s="87"/>
      <c r="BD1699" s="87"/>
      <c r="BE1699" s="87"/>
      <c r="BF1699" s="87"/>
      <c r="BG1699" s="87"/>
      <c r="BH1699" s="87"/>
    </row>
    <row r="1700" spans="1:60" ht="16">
      <c r="A1700" s="82"/>
      <c r="B1700" s="82"/>
      <c r="C1700" s="82"/>
      <c r="D1700" s="83"/>
      <c r="E1700" s="84"/>
      <c r="F1700" s="84"/>
      <c r="G1700" s="84"/>
      <c r="H1700" s="82"/>
      <c r="I1700" s="84"/>
      <c r="J1700" s="84"/>
      <c r="K1700" s="84"/>
      <c r="L1700" s="84"/>
      <c r="M1700" s="84"/>
      <c r="N1700" s="84"/>
      <c r="O1700" s="84"/>
      <c r="P1700" s="84"/>
      <c r="Q1700" s="84"/>
      <c r="R1700" s="84"/>
      <c r="S1700" s="84"/>
      <c r="T1700" s="84"/>
      <c r="U1700" s="84"/>
      <c r="V1700" s="84"/>
      <c r="W1700" s="84"/>
      <c r="X1700" s="84"/>
      <c r="Y1700" s="84"/>
      <c r="Z1700" s="87"/>
      <c r="AA1700" s="87"/>
      <c r="AB1700" s="87"/>
      <c r="AC1700" s="87"/>
      <c r="AD1700" s="87"/>
      <c r="AE1700" s="87"/>
      <c r="AF1700" s="87"/>
      <c r="AG1700" s="87"/>
      <c r="AH1700" s="87"/>
      <c r="AI1700" s="87"/>
      <c r="AJ1700" s="87"/>
      <c r="AK1700" s="87"/>
      <c r="AL1700" s="87"/>
      <c r="AM1700" s="87"/>
      <c r="AN1700" s="87"/>
      <c r="AO1700" s="87"/>
      <c r="AP1700" s="87"/>
      <c r="AQ1700" s="87"/>
      <c r="AR1700" s="87"/>
      <c r="AS1700" s="87"/>
      <c r="AT1700" s="87"/>
      <c r="AU1700" s="87"/>
      <c r="AV1700" s="87"/>
      <c r="AW1700" s="87"/>
      <c r="AX1700" s="87"/>
      <c r="AY1700" s="87"/>
      <c r="AZ1700" s="87"/>
      <c r="BA1700" s="87"/>
      <c r="BB1700" s="87"/>
      <c r="BC1700" s="87"/>
      <c r="BD1700" s="87"/>
      <c r="BE1700" s="87"/>
      <c r="BF1700" s="87"/>
      <c r="BG1700" s="87"/>
      <c r="BH1700" s="87"/>
    </row>
    <row r="1701" spans="1:60" ht="16">
      <c r="A1701" s="82"/>
      <c r="B1701" s="82"/>
      <c r="C1701" s="82"/>
      <c r="D1701" s="83"/>
      <c r="E1701" s="84"/>
      <c r="F1701" s="84"/>
      <c r="G1701" s="84"/>
      <c r="H1701" s="82"/>
      <c r="I1701" s="84"/>
      <c r="J1701" s="84"/>
      <c r="K1701" s="84"/>
      <c r="L1701" s="84"/>
      <c r="M1701" s="84"/>
      <c r="N1701" s="84"/>
      <c r="O1701" s="84"/>
      <c r="P1701" s="84"/>
      <c r="Q1701" s="84"/>
      <c r="R1701" s="84"/>
      <c r="S1701" s="84"/>
      <c r="T1701" s="84"/>
      <c r="U1701" s="84"/>
      <c r="V1701" s="84"/>
      <c r="W1701" s="84"/>
      <c r="X1701" s="84"/>
      <c r="Y1701" s="84"/>
      <c r="Z1701" s="87"/>
      <c r="AA1701" s="87"/>
      <c r="AB1701" s="87"/>
      <c r="AC1701" s="87"/>
      <c r="AD1701" s="87"/>
      <c r="AE1701" s="87"/>
      <c r="AF1701" s="87"/>
      <c r="AG1701" s="87"/>
      <c r="AH1701" s="87"/>
      <c r="AI1701" s="87"/>
      <c r="AJ1701" s="87"/>
      <c r="AK1701" s="87"/>
      <c r="AL1701" s="87"/>
      <c r="AM1701" s="87"/>
      <c r="AN1701" s="87"/>
      <c r="AO1701" s="87"/>
      <c r="AP1701" s="87"/>
      <c r="AQ1701" s="87"/>
      <c r="AR1701" s="87"/>
      <c r="AS1701" s="87"/>
      <c r="AT1701" s="87"/>
      <c r="AU1701" s="87"/>
      <c r="AV1701" s="87"/>
      <c r="AW1701" s="87"/>
      <c r="AX1701" s="87"/>
      <c r="AY1701" s="87"/>
      <c r="AZ1701" s="87"/>
      <c r="BA1701" s="87"/>
      <c r="BB1701" s="87"/>
      <c r="BC1701" s="87"/>
      <c r="BD1701" s="87"/>
      <c r="BE1701" s="87"/>
      <c r="BF1701" s="87"/>
      <c r="BG1701" s="87"/>
      <c r="BH1701" s="87"/>
    </row>
    <row r="1702" spans="1:60" ht="16">
      <c r="A1702" s="82"/>
      <c r="B1702" s="82"/>
      <c r="C1702" s="82"/>
      <c r="D1702" s="83"/>
      <c r="E1702" s="84"/>
      <c r="F1702" s="84"/>
      <c r="G1702" s="84"/>
      <c r="H1702" s="82"/>
      <c r="I1702" s="84"/>
      <c r="J1702" s="84"/>
      <c r="K1702" s="84"/>
      <c r="L1702" s="84"/>
      <c r="M1702" s="84"/>
      <c r="N1702" s="84"/>
      <c r="O1702" s="84"/>
      <c r="P1702" s="84"/>
      <c r="Q1702" s="84"/>
      <c r="R1702" s="84"/>
      <c r="S1702" s="84"/>
      <c r="T1702" s="84"/>
      <c r="U1702" s="84"/>
      <c r="V1702" s="84"/>
      <c r="W1702" s="84"/>
      <c r="X1702" s="84"/>
      <c r="Y1702" s="84"/>
      <c r="Z1702" s="87"/>
      <c r="AA1702" s="87"/>
      <c r="AB1702" s="87"/>
      <c r="AC1702" s="87"/>
      <c r="AD1702" s="87"/>
      <c r="AE1702" s="87"/>
      <c r="AF1702" s="87"/>
      <c r="AG1702" s="87"/>
      <c r="AH1702" s="87"/>
      <c r="AI1702" s="87"/>
      <c r="AJ1702" s="87"/>
      <c r="AK1702" s="87"/>
      <c r="AL1702" s="87"/>
      <c r="AM1702" s="87"/>
      <c r="AN1702" s="87"/>
      <c r="AO1702" s="87"/>
      <c r="AP1702" s="87"/>
      <c r="AQ1702" s="87"/>
      <c r="AR1702" s="87"/>
      <c r="AS1702" s="87"/>
      <c r="AT1702" s="87"/>
      <c r="AU1702" s="87"/>
      <c r="AV1702" s="87"/>
      <c r="AW1702" s="87"/>
      <c r="AX1702" s="87"/>
      <c r="AY1702" s="87"/>
      <c r="AZ1702" s="87"/>
      <c r="BA1702" s="87"/>
      <c r="BB1702" s="87"/>
      <c r="BC1702" s="87"/>
      <c r="BD1702" s="87"/>
      <c r="BE1702" s="87"/>
      <c r="BF1702" s="87"/>
      <c r="BG1702" s="87"/>
      <c r="BH1702" s="87"/>
    </row>
    <row r="1703" spans="1:60" ht="16">
      <c r="A1703" s="82"/>
      <c r="B1703" s="82"/>
      <c r="C1703" s="82"/>
      <c r="D1703" s="83"/>
      <c r="E1703" s="84"/>
      <c r="F1703" s="84"/>
      <c r="G1703" s="84"/>
      <c r="H1703" s="82"/>
      <c r="I1703" s="84"/>
      <c r="J1703" s="84"/>
      <c r="K1703" s="84"/>
      <c r="L1703" s="84"/>
      <c r="M1703" s="84"/>
      <c r="N1703" s="84"/>
      <c r="O1703" s="84"/>
      <c r="P1703" s="84"/>
      <c r="Q1703" s="84"/>
      <c r="R1703" s="84"/>
      <c r="S1703" s="84"/>
      <c r="T1703" s="84"/>
      <c r="U1703" s="84"/>
      <c r="V1703" s="84"/>
      <c r="W1703" s="84"/>
      <c r="X1703" s="84"/>
      <c r="Y1703" s="84"/>
      <c r="Z1703" s="87"/>
      <c r="AA1703" s="87"/>
      <c r="AB1703" s="87"/>
      <c r="AC1703" s="87"/>
      <c r="AD1703" s="87"/>
      <c r="AE1703" s="87"/>
      <c r="AF1703" s="87"/>
      <c r="AG1703" s="87"/>
      <c r="AH1703" s="87"/>
      <c r="AI1703" s="87"/>
      <c r="AJ1703" s="87"/>
      <c r="AK1703" s="87"/>
      <c r="AL1703" s="87"/>
      <c r="AM1703" s="87"/>
      <c r="AN1703" s="87"/>
      <c r="AO1703" s="87"/>
      <c r="AP1703" s="87"/>
      <c r="AQ1703" s="87"/>
      <c r="AR1703" s="87"/>
      <c r="AS1703" s="87"/>
      <c r="AT1703" s="87"/>
      <c r="AU1703" s="87"/>
      <c r="AV1703" s="87"/>
      <c r="AW1703" s="87"/>
      <c r="AX1703" s="87"/>
      <c r="AY1703" s="87"/>
      <c r="AZ1703" s="87"/>
      <c r="BA1703" s="87"/>
      <c r="BB1703" s="87"/>
      <c r="BC1703" s="87"/>
      <c r="BD1703" s="87"/>
      <c r="BE1703" s="87"/>
      <c r="BF1703" s="87"/>
      <c r="BG1703" s="87"/>
      <c r="BH1703" s="87"/>
    </row>
    <row r="1704" spans="1:60" ht="16">
      <c r="A1704" s="82"/>
      <c r="B1704" s="82"/>
      <c r="C1704" s="82"/>
      <c r="D1704" s="83"/>
      <c r="E1704" s="84"/>
      <c r="F1704" s="84"/>
      <c r="G1704" s="84"/>
      <c r="H1704" s="82"/>
      <c r="I1704" s="84"/>
      <c r="J1704" s="84"/>
      <c r="K1704" s="84"/>
      <c r="L1704" s="84"/>
      <c r="M1704" s="84"/>
      <c r="N1704" s="84"/>
      <c r="O1704" s="84"/>
      <c r="P1704" s="84"/>
      <c r="Q1704" s="84"/>
      <c r="R1704" s="84"/>
      <c r="S1704" s="84"/>
      <c r="T1704" s="84"/>
      <c r="U1704" s="84"/>
      <c r="V1704" s="84"/>
      <c r="W1704" s="84"/>
      <c r="X1704" s="84"/>
      <c r="Y1704" s="84"/>
      <c r="Z1704" s="87"/>
      <c r="AA1704" s="87"/>
      <c r="AB1704" s="87"/>
      <c r="AC1704" s="87"/>
      <c r="AD1704" s="87"/>
      <c r="AE1704" s="87"/>
      <c r="AF1704" s="87"/>
      <c r="AG1704" s="87"/>
      <c r="AH1704" s="87"/>
      <c r="AI1704" s="87"/>
      <c r="AJ1704" s="87"/>
      <c r="AK1704" s="87"/>
      <c r="AL1704" s="87"/>
      <c r="AM1704" s="87"/>
      <c r="AN1704" s="87"/>
      <c r="AO1704" s="87"/>
      <c r="AP1704" s="87"/>
      <c r="AQ1704" s="87"/>
      <c r="AR1704" s="87"/>
      <c r="AS1704" s="87"/>
      <c r="AT1704" s="87"/>
      <c r="AU1704" s="87"/>
      <c r="AV1704" s="87"/>
      <c r="AW1704" s="87"/>
      <c r="AX1704" s="87"/>
      <c r="AY1704" s="87"/>
      <c r="AZ1704" s="87"/>
      <c r="BA1704" s="87"/>
      <c r="BB1704" s="87"/>
      <c r="BC1704" s="87"/>
      <c r="BD1704" s="87"/>
      <c r="BE1704" s="87"/>
      <c r="BF1704" s="87"/>
      <c r="BG1704" s="87"/>
      <c r="BH1704" s="87"/>
    </row>
    <row r="1705" spans="1:60" ht="16">
      <c r="A1705" s="82"/>
      <c r="B1705" s="82"/>
      <c r="C1705" s="82"/>
      <c r="D1705" s="83"/>
      <c r="E1705" s="84"/>
      <c r="F1705" s="84"/>
      <c r="G1705" s="84"/>
      <c r="H1705" s="82"/>
      <c r="I1705" s="84"/>
      <c r="J1705" s="84"/>
      <c r="K1705" s="84"/>
      <c r="L1705" s="84"/>
      <c r="M1705" s="84"/>
      <c r="N1705" s="84"/>
      <c r="O1705" s="84"/>
      <c r="P1705" s="84"/>
      <c r="Q1705" s="84"/>
      <c r="R1705" s="84"/>
      <c r="S1705" s="84"/>
      <c r="T1705" s="84"/>
      <c r="U1705" s="84"/>
      <c r="V1705" s="84"/>
      <c r="W1705" s="84"/>
      <c r="X1705" s="84"/>
      <c r="Y1705" s="84"/>
      <c r="Z1705" s="87"/>
      <c r="AA1705" s="87"/>
      <c r="AB1705" s="87"/>
      <c r="AC1705" s="87"/>
      <c r="AD1705" s="87"/>
      <c r="AE1705" s="87"/>
      <c r="AF1705" s="87"/>
      <c r="AG1705" s="87"/>
      <c r="AH1705" s="87"/>
      <c r="AI1705" s="87"/>
      <c r="AJ1705" s="87"/>
      <c r="AK1705" s="87"/>
      <c r="AL1705" s="87"/>
      <c r="AM1705" s="87"/>
      <c r="AN1705" s="87"/>
      <c r="AO1705" s="87"/>
      <c r="AP1705" s="87"/>
      <c r="AQ1705" s="87"/>
      <c r="AR1705" s="87"/>
      <c r="AS1705" s="87"/>
      <c r="AT1705" s="87"/>
      <c r="AU1705" s="87"/>
      <c r="AV1705" s="87"/>
      <c r="AW1705" s="87"/>
      <c r="AX1705" s="87"/>
      <c r="AY1705" s="87"/>
      <c r="AZ1705" s="87"/>
      <c r="BA1705" s="87"/>
      <c r="BB1705" s="87"/>
      <c r="BC1705" s="87"/>
      <c r="BD1705" s="87"/>
      <c r="BE1705" s="87"/>
      <c r="BF1705" s="87"/>
      <c r="BG1705" s="87"/>
      <c r="BH1705" s="87"/>
    </row>
    <row r="1706" spans="1:60" ht="16">
      <c r="A1706" s="82"/>
      <c r="B1706" s="82"/>
      <c r="C1706" s="82"/>
      <c r="D1706" s="83"/>
      <c r="E1706" s="84"/>
      <c r="F1706" s="84"/>
      <c r="G1706" s="84"/>
      <c r="H1706" s="82"/>
      <c r="I1706" s="84"/>
      <c r="J1706" s="84"/>
      <c r="K1706" s="84"/>
      <c r="L1706" s="84"/>
      <c r="M1706" s="84"/>
      <c r="N1706" s="84"/>
      <c r="O1706" s="84"/>
      <c r="P1706" s="84"/>
      <c r="Q1706" s="84"/>
      <c r="R1706" s="84"/>
      <c r="S1706" s="84"/>
      <c r="T1706" s="84"/>
      <c r="U1706" s="84"/>
      <c r="V1706" s="84"/>
      <c r="W1706" s="84"/>
      <c r="X1706" s="84"/>
      <c r="Y1706" s="84"/>
      <c r="Z1706" s="87"/>
      <c r="AA1706" s="87"/>
      <c r="AB1706" s="87"/>
      <c r="AC1706" s="87"/>
      <c r="AD1706" s="87"/>
      <c r="AE1706" s="87"/>
      <c r="AF1706" s="87"/>
      <c r="AG1706" s="87"/>
      <c r="AH1706" s="87"/>
      <c r="AI1706" s="87"/>
      <c r="AJ1706" s="87"/>
      <c r="AK1706" s="87"/>
      <c r="AL1706" s="87"/>
      <c r="AM1706" s="87"/>
      <c r="AN1706" s="87"/>
      <c r="AO1706" s="87"/>
      <c r="AP1706" s="87"/>
      <c r="AQ1706" s="87"/>
      <c r="AR1706" s="87"/>
      <c r="AS1706" s="87"/>
      <c r="AT1706" s="87"/>
      <c r="AU1706" s="87"/>
      <c r="AV1706" s="87"/>
      <c r="AW1706" s="87"/>
      <c r="AX1706" s="87"/>
      <c r="AY1706" s="87"/>
      <c r="AZ1706" s="87"/>
      <c r="BA1706" s="87"/>
      <c r="BB1706" s="87"/>
      <c r="BC1706" s="87"/>
      <c r="BD1706" s="87"/>
      <c r="BE1706" s="87"/>
      <c r="BF1706" s="87"/>
      <c r="BG1706" s="87"/>
      <c r="BH1706" s="87"/>
    </row>
    <row r="1707" spans="1:60" ht="16">
      <c r="A1707" s="82"/>
      <c r="B1707" s="82"/>
      <c r="C1707" s="82"/>
      <c r="D1707" s="83"/>
      <c r="E1707" s="84"/>
      <c r="F1707" s="84"/>
      <c r="G1707" s="84"/>
      <c r="H1707" s="82"/>
      <c r="I1707" s="84"/>
      <c r="J1707" s="84"/>
      <c r="K1707" s="84"/>
      <c r="L1707" s="84"/>
      <c r="M1707" s="84"/>
      <c r="N1707" s="84"/>
      <c r="O1707" s="84"/>
      <c r="P1707" s="84"/>
      <c r="Q1707" s="84"/>
      <c r="R1707" s="84"/>
      <c r="S1707" s="84"/>
      <c r="T1707" s="84"/>
      <c r="U1707" s="84"/>
      <c r="V1707" s="84"/>
      <c r="W1707" s="84"/>
      <c r="X1707" s="84"/>
      <c r="Y1707" s="84"/>
      <c r="Z1707" s="87"/>
      <c r="AA1707" s="87"/>
      <c r="AB1707" s="87"/>
      <c r="AC1707" s="87"/>
      <c r="AD1707" s="87"/>
      <c r="AE1707" s="87"/>
      <c r="AF1707" s="87"/>
      <c r="AG1707" s="87"/>
      <c r="AH1707" s="87"/>
      <c r="AI1707" s="87"/>
      <c r="AJ1707" s="87"/>
      <c r="AK1707" s="87"/>
      <c r="AL1707" s="87"/>
      <c r="AM1707" s="87"/>
      <c r="AN1707" s="87"/>
      <c r="AO1707" s="87"/>
      <c r="AP1707" s="87"/>
      <c r="AQ1707" s="87"/>
      <c r="AR1707" s="87"/>
      <c r="AS1707" s="87"/>
      <c r="AT1707" s="87"/>
      <c r="AU1707" s="87"/>
      <c r="AV1707" s="87"/>
      <c r="AW1707" s="87"/>
      <c r="AX1707" s="87"/>
      <c r="AY1707" s="87"/>
      <c r="AZ1707" s="87"/>
      <c r="BA1707" s="87"/>
      <c r="BB1707" s="87"/>
      <c r="BC1707" s="87"/>
      <c r="BD1707" s="87"/>
      <c r="BE1707" s="87"/>
      <c r="BF1707" s="87"/>
      <c r="BG1707" s="87"/>
      <c r="BH1707" s="87"/>
    </row>
    <row r="1708" spans="1:60" ht="16">
      <c r="A1708" s="82"/>
      <c r="B1708" s="82"/>
      <c r="C1708" s="82"/>
      <c r="D1708" s="83"/>
      <c r="E1708" s="84"/>
      <c r="F1708" s="84"/>
      <c r="G1708" s="84"/>
      <c r="H1708" s="82"/>
      <c r="I1708" s="84"/>
      <c r="J1708" s="84"/>
      <c r="K1708" s="84"/>
      <c r="L1708" s="84"/>
      <c r="M1708" s="84"/>
      <c r="N1708" s="84"/>
      <c r="O1708" s="84"/>
      <c r="P1708" s="84"/>
      <c r="Q1708" s="84"/>
      <c r="R1708" s="84"/>
      <c r="S1708" s="84"/>
      <c r="T1708" s="84"/>
      <c r="U1708" s="84"/>
      <c r="V1708" s="84"/>
      <c r="W1708" s="84"/>
      <c r="X1708" s="84"/>
      <c r="Y1708" s="84"/>
      <c r="Z1708" s="87"/>
      <c r="AA1708" s="87"/>
      <c r="AB1708" s="87"/>
      <c r="AC1708" s="87"/>
      <c r="AD1708" s="87"/>
      <c r="AE1708" s="87"/>
      <c r="AF1708" s="87"/>
      <c r="AG1708" s="87"/>
      <c r="AH1708" s="87"/>
      <c r="AI1708" s="87"/>
      <c r="AJ1708" s="87"/>
      <c r="AK1708" s="87"/>
      <c r="AL1708" s="87"/>
      <c r="AM1708" s="87"/>
      <c r="AN1708" s="87"/>
      <c r="AO1708" s="87"/>
      <c r="AP1708" s="87"/>
      <c r="AQ1708" s="87"/>
      <c r="AR1708" s="87"/>
      <c r="AS1708" s="87"/>
      <c r="AT1708" s="87"/>
      <c r="AU1708" s="87"/>
      <c r="AV1708" s="87"/>
      <c r="AW1708" s="87"/>
      <c r="AX1708" s="87"/>
      <c r="AY1708" s="87"/>
      <c r="AZ1708" s="87"/>
      <c r="BA1708" s="87"/>
      <c r="BB1708" s="87"/>
      <c r="BC1708" s="87"/>
      <c r="BD1708" s="87"/>
      <c r="BE1708" s="87"/>
      <c r="BF1708" s="87"/>
      <c r="BG1708" s="87"/>
      <c r="BH1708" s="87"/>
    </row>
    <row r="1709" spans="1:60" ht="16">
      <c r="A1709" s="82"/>
      <c r="B1709" s="82"/>
      <c r="C1709" s="82"/>
      <c r="D1709" s="83"/>
      <c r="E1709" s="84"/>
      <c r="F1709" s="84"/>
      <c r="G1709" s="84"/>
      <c r="H1709" s="82"/>
      <c r="I1709" s="84"/>
      <c r="J1709" s="84"/>
      <c r="K1709" s="84"/>
      <c r="L1709" s="84"/>
      <c r="M1709" s="84"/>
      <c r="N1709" s="84"/>
      <c r="O1709" s="84"/>
      <c r="P1709" s="84"/>
      <c r="Q1709" s="84"/>
      <c r="R1709" s="84"/>
      <c r="S1709" s="84"/>
      <c r="T1709" s="84"/>
      <c r="U1709" s="84"/>
      <c r="V1709" s="84"/>
      <c r="W1709" s="84"/>
      <c r="X1709" s="84"/>
      <c r="Y1709" s="84"/>
      <c r="Z1709" s="87"/>
      <c r="AA1709" s="87"/>
      <c r="AB1709" s="87"/>
      <c r="AC1709" s="87"/>
      <c r="AD1709" s="87"/>
      <c r="AE1709" s="87"/>
      <c r="AF1709" s="87"/>
      <c r="AG1709" s="87"/>
      <c r="AH1709" s="87"/>
      <c r="AI1709" s="87"/>
      <c r="AJ1709" s="87"/>
      <c r="AK1709" s="87"/>
      <c r="AL1709" s="87"/>
      <c r="AM1709" s="87"/>
      <c r="AN1709" s="87"/>
      <c r="AO1709" s="87"/>
      <c r="AP1709" s="87"/>
      <c r="AQ1709" s="87"/>
      <c r="AR1709" s="87"/>
      <c r="AS1709" s="87"/>
      <c r="AT1709" s="87"/>
      <c r="AU1709" s="87"/>
      <c r="AV1709" s="87"/>
      <c r="AW1709" s="87"/>
      <c r="AX1709" s="87"/>
      <c r="AY1709" s="87"/>
      <c r="AZ1709" s="87"/>
      <c r="BA1709" s="87"/>
      <c r="BB1709" s="87"/>
      <c r="BC1709" s="87"/>
      <c r="BD1709" s="87"/>
      <c r="BE1709" s="87"/>
      <c r="BF1709" s="87"/>
      <c r="BG1709" s="87"/>
      <c r="BH1709" s="87"/>
    </row>
    <row r="1710" spans="1:60" ht="16">
      <c r="A1710" s="82"/>
      <c r="B1710" s="82"/>
      <c r="C1710" s="82"/>
      <c r="D1710" s="83"/>
      <c r="E1710" s="84"/>
      <c r="F1710" s="84"/>
      <c r="G1710" s="84"/>
      <c r="H1710" s="82"/>
      <c r="I1710" s="84"/>
      <c r="J1710" s="84"/>
      <c r="K1710" s="84"/>
      <c r="L1710" s="84"/>
      <c r="M1710" s="84"/>
      <c r="N1710" s="84"/>
      <c r="O1710" s="84"/>
      <c r="P1710" s="84"/>
      <c r="Q1710" s="84"/>
      <c r="R1710" s="84"/>
      <c r="S1710" s="84"/>
      <c r="T1710" s="84"/>
      <c r="U1710" s="84"/>
      <c r="V1710" s="84"/>
      <c r="W1710" s="84"/>
      <c r="X1710" s="84"/>
      <c r="Y1710" s="84"/>
      <c r="Z1710" s="87"/>
      <c r="AA1710" s="87"/>
      <c r="AB1710" s="87"/>
      <c r="AC1710" s="87"/>
      <c r="AD1710" s="87"/>
      <c r="AE1710" s="87"/>
      <c r="AF1710" s="87"/>
      <c r="AG1710" s="87"/>
      <c r="AH1710" s="87"/>
      <c r="AI1710" s="87"/>
      <c r="AJ1710" s="87"/>
      <c r="AK1710" s="87"/>
      <c r="AL1710" s="87"/>
      <c r="AM1710" s="87"/>
      <c r="AN1710" s="87"/>
      <c r="AO1710" s="87"/>
      <c r="AP1710" s="87"/>
      <c r="AQ1710" s="87"/>
      <c r="AR1710" s="87"/>
      <c r="AS1710" s="87"/>
      <c r="AT1710" s="87"/>
      <c r="AU1710" s="87"/>
      <c r="AV1710" s="87"/>
      <c r="AW1710" s="87"/>
      <c r="AX1710" s="87"/>
      <c r="AY1710" s="87"/>
      <c r="AZ1710" s="87"/>
      <c r="BA1710" s="87"/>
      <c r="BB1710" s="87"/>
      <c r="BC1710" s="87"/>
      <c r="BD1710" s="87"/>
      <c r="BE1710" s="87"/>
      <c r="BF1710" s="87"/>
      <c r="BG1710" s="87"/>
      <c r="BH1710" s="87"/>
    </row>
    <row r="1711" spans="1:60" ht="16">
      <c r="A1711" s="82"/>
      <c r="B1711" s="82"/>
      <c r="C1711" s="82"/>
      <c r="D1711" s="83"/>
      <c r="E1711" s="84"/>
      <c r="F1711" s="84"/>
      <c r="G1711" s="84"/>
      <c r="H1711" s="82"/>
      <c r="I1711" s="84"/>
      <c r="J1711" s="84"/>
      <c r="K1711" s="84"/>
      <c r="L1711" s="84"/>
      <c r="M1711" s="84"/>
      <c r="N1711" s="84"/>
      <c r="O1711" s="84"/>
      <c r="P1711" s="84"/>
      <c r="Q1711" s="84"/>
      <c r="R1711" s="84"/>
      <c r="S1711" s="84"/>
      <c r="T1711" s="84"/>
      <c r="U1711" s="84"/>
      <c r="V1711" s="84"/>
      <c r="W1711" s="84"/>
      <c r="X1711" s="84"/>
      <c r="Y1711" s="84"/>
      <c r="Z1711" s="87"/>
      <c r="AA1711" s="87"/>
      <c r="AB1711" s="87"/>
      <c r="AC1711" s="87"/>
      <c r="AD1711" s="87"/>
      <c r="AE1711" s="87"/>
      <c r="AF1711" s="87"/>
      <c r="AG1711" s="87"/>
      <c r="AH1711" s="87"/>
      <c r="AI1711" s="87"/>
      <c r="AJ1711" s="87"/>
      <c r="AK1711" s="87"/>
      <c r="AL1711" s="87"/>
      <c r="AM1711" s="87"/>
      <c r="AN1711" s="87"/>
      <c r="AO1711" s="87"/>
      <c r="AP1711" s="87"/>
      <c r="AQ1711" s="87"/>
      <c r="AR1711" s="87"/>
      <c r="AS1711" s="87"/>
      <c r="AT1711" s="87"/>
      <c r="AU1711" s="87"/>
      <c r="AV1711" s="87"/>
      <c r="AW1711" s="87"/>
      <c r="AX1711" s="87"/>
      <c r="AY1711" s="87"/>
      <c r="AZ1711" s="87"/>
      <c r="BA1711" s="87"/>
      <c r="BB1711" s="87"/>
      <c r="BC1711" s="87"/>
      <c r="BD1711" s="87"/>
      <c r="BE1711" s="87"/>
      <c r="BF1711" s="87"/>
      <c r="BG1711" s="87"/>
      <c r="BH1711" s="87"/>
    </row>
    <row r="1712" spans="1:60" ht="16">
      <c r="A1712" s="82"/>
      <c r="B1712" s="82"/>
      <c r="C1712" s="82"/>
      <c r="D1712" s="83"/>
      <c r="E1712" s="84"/>
      <c r="F1712" s="84"/>
      <c r="G1712" s="84"/>
      <c r="H1712" s="82"/>
      <c r="I1712" s="84"/>
      <c r="J1712" s="84"/>
      <c r="K1712" s="84"/>
      <c r="L1712" s="84"/>
      <c r="M1712" s="84"/>
      <c r="N1712" s="84"/>
      <c r="O1712" s="84"/>
      <c r="P1712" s="84"/>
      <c r="Q1712" s="84"/>
      <c r="R1712" s="84"/>
      <c r="S1712" s="84"/>
      <c r="T1712" s="84"/>
      <c r="U1712" s="84"/>
      <c r="V1712" s="84"/>
      <c r="W1712" s="84"/>
      <c r="X1712" s="84"/>
      <c r="Y1712" s="84"/>
      <c r="Z1712" s="87"/>
      <c r="AA1712" s="87"/>
      <c r="AB1712" s="87"/>
      <c r="AC1712" s="87"/>
      <c r="AD1712" s="87"/>
      <c r="AE1712" s="87"/>
      <c r="AF1712" s="87"/>
      <c r="AG1712" s="87"/>
      <c r="AH1712" s="87"/>
      <c r="AI1712" s="87"/>
      <c r="AJ1712" s="87"/>
      <c r="AK1712" s="87"/>
      <c r="AL1712" s="87"/>
      <c r="AM1712" s="87"/>
      <c r="AN1712" s="87"/>
      <c r="AO1712" s="87"/>
      <c r="AP1712" s="87"/>
      <c r="AQ1712" s="87"/>
      <c r="AR1712" s="87"/>
      <c r="AS1712" s="87"/>
      <c r="AT1712" s="87"/>
      <c r="AU1712" s="87"/>
      <c r="AV1712" s="87"/>
      <c r="AW1712" s="87"/>
      <c r="AX1712" s="87"/>
      <c r="AY1712" s="87"/>
      <c r="AZ1712" s="87"/>
      <c r="BA1712" s="87"/>
      <c r="BB1712" s="87"/>
      <c r="BC1712" s="87"/>
      <c r="BD1712" s="87"/>
      <c r="BE1712" s="87"/>
      <c r="BF1712" s="87"/>
      <c r="BG1712" s="87"/>
      <c r="BH1712" s="87"/>
    </row>
    <row r="1713" spans="1:60" ht="16">
      <c r="A1713" s="82"/>
      <c r="B1713" s="82"/>
      <c r="C1713" s="82"/>
      <c r="D1713" s="83"/>
      <c r="E1713" s="84"/>
      <c r="F1713" s="84"/>
      <c r="G1713" s="84"/>
      <c r="H1713" s="82"/>
      <c r="I1713" s="84"/>
      <c r="J1713" s="84"/>
      <c r="K1713" s="84"/>
      <c r="L1713" s="84"/>
      <c r="M1713" s="84"/>
      <c r="N1713" s="84"/>
      <c r="O1713" s="84"/>
      <c r="P1713" s="84"/>
      <c r="Q1713" s="84"/>
      <c r="R1713" s="84"/>
      <c r="S1713" s="84"/>
      <c r="T1713" s="84"/>
      <c r="U1713" s="84"/>
      <c r="V1713" s="84"/>
      <c r="W1713" s="84"/>
      <c r="X1713" s="84"/>
      <c r="Y1713" s="84"/>
      <c r="Z1713" s="87"/>
      <c r="AA1713" s="87"/>
      <c r="AB1713" s="87"/>
      <c r="AC1713" s="87"/>
      <c r="AD1713" s="87"/>
      <c r="AE1713" s="87"/>
      <c r="AF1713" s="87"/>
      <c r="AG1713" s="87"/>
      <c r="AH1713" s="87"/>
      <c r="AI1713" s="87"/>
      <c r="AJ1713" s="87"/>
      <c r="AK1713" s="87"/>
      <c r="AL1713" s="87"/>
      <c r="AM1713" s="87"/>
      <c r="AN1713" s="87"/>
      <c r="AO1713" s="87"/>
      <c r="AP1713" s="87"/>
      <c r="AQ1713" s="87"/>
      <c r="AR1713" s="87"/>
      <c r="AS1713" s="87"/>
      <c r="AT1713" s="87"/>
      <c r="AU1713" s="87"/>
      <c r="AV1713" s="87"/>
      <c r="AW1713" s="87"/>
      <c r="AX1713" s="87"/>
      <c r="AY1713" s="87"/>
      <c r="AZ1713" s="87"/>
      <c r="BA1713" s="87"/>
      <c r="BB1713" s="87"/>
      <c r="BC1713" s="87"/>
      <c r="BD1713" s="87"/>
      <c r="BE1713" s="87"/>
      <c r="BF1713" s="87"/>
      <c r="BG1713" s="87"/>
      <c r="BH1713" s="87"/>
    </row>
    <row r="1714" spans="1:60" ht="16">
      <c r="A1714" s="82"/>
      <c r="B1714" s="82"/>
      <c r="C1714" s="82"/>
      <c r="D1714" s="83"/>
      <c r="E1714" s="84"/>
      <c r="F1714" s="84"/>
      <c r="G1714" s="84"/>
      <c r="H1714" s="82"/>
      <c r="I1714" s="84"/>
      <c r="J1714" s="84"/>
      <c r="K1714" s="84"/>
      <c r="L1714" s="84"/>
      <c r="M1714" s="84"/>
      <c r="N1714" s="84"/>
      <c r="O1714" s="84"/>
      <c r="P1714" s="84"/>
      <c r="Q1714" s="84"/>
      <c r="R1714" s="84"/>
      <c r="S1714" s="84"/>
      <c r="T1714" s="84"/>
      <c r="U1714" s="84"/>
      <c r="V1714" s="84"/>
      <c r="W1714" s="84"/>
      <c r="X1714" s="84"/>
      <c r="Y1714" s="84"/>
      <c r="Z1714" s="87"/>
      <c r="AA1714" s="87"/>
      <c r="AB1714" s="87"/>
      <c r="AC1714" s="87"/>
      <c r="AD1714" s="87"/>
      <c r="AE1714" s="87"/>
      <c r="AF1714" s="87"/>
      <c r="AG1714" s="87"/>
      <c r="AH1714" s="87"/>
      <c r="AI1714" s="87"/>
      <c r="AJ1714" s="87"/>
      <c r="AK1714" s="87"/>
      <c r="AL1714" s="87"/>
      <c r="AM1714" s="87"/>
      <c r="AN1714" s="87"/>
      <c r="AO1714" s="87"/>
      <c r="AP1714" s="87"/>
      <c r="AQ1714" s="87"/>
      <c r="AR1714" s="87"/>
      <c r="AS1714" s="87"/>
      <c r="AT1714" s="87"/>
      <c r="AU1714" s="87"/>
      <c r="AV1714" s="87"/>
      <c r="AW1714" s="87"/>
      <c r="AX1714" s="87"/>
      <c r="AY1714" s="87"/>
      <c r="AZ1714" s="87"/>
      <c r="BA1714" s="87"/>
      <c r="BB1714" s="87"/>
      <c r="BC1714" s="87"/>
      <c r="BD1714" s="87"/>
      <c r="BE1714" s="87"/>
      <c r="BF1714" s="87"/>
      <c r="BG1714" s="87"/>
      <c r="BH1714" s="87"/>
    </row>
    <row r="1715" spans="1:60" ht="16">
      <c r="A1715" s="82"/>
      <c r="B1715" s="82"/>
      <c r="C1715" s="82"/>
      <c r="D1715" s="83"/>
      <c r="E1715" s="84"/>
      <c r="F1715" s="84"/>
      <c r="G1715" s="84"/>
      <c r="H1715" s="82"/>
      <c r="I1715" s="84"/>
      <c r="J1715" s="84"/>
      <c r="K1715" s="84"/>
      <c r="L1715" s="84"/>
      <c r="M1715" s="84"/>
      <c r="N1715" s="84"/>
      <c r="O1715" s="84"/>
      <c r="P1715" s="84"/>
      <c r="Q1715" s="84"/>
      <c r="R1715" s="84"/>
      <c r="S1715" s="84"/>
      <c r="T1715" s="84"/>
      <c r="U1715" s="84"/>
      <c r="V1715" s="84"/>
      <c r="W1715" s="84"/>
      <c r="X1715" s="84"/>
      <c r="Y1715" s="84"/>
      <c r="Z1715" s="87"/>
      <c r="AA1715" s="87"/>
      <c r="AB1715" s="87"/>
      <c r="AC1715" s="87"/>
      <c r="AD1715" s="87"/>
      <c r="AE1715" s="87"/>
      <c r="AF1715" s="87"/>
      <c r="AG1715" s="87"/>
      <c r="AH1715" s="87"/>
      <c r="AI1715" s="87"/>
      <c r="AJ1715" s="87"/>
      <c r="AK1715" s="87"/>
      <c r="AL1715" s="87"/>
      <c r="AM1715" s="87"/>
      <c r="AN1715" s="87"/>
      <c r="AO1715" s="87"/>
      <c r="AP1715" s="87"/>
      <c r="AQ1715" s="87"/>
      <c r="AR1715" s="87"/>
      <c r="AS1715" s="87"/>
      <c r="AT1715" s="87"/>
      <c r="AU1715" s="87"/>
      <c r="AV1715" s="87"/>
      <c r="AW1715" s="87"/>
      <c r="AX1715" s="87"/>
      <c r="AY1715" s="87"/>
      <c r="AZ1715" s="87"/>
      <c r="BA1715" s="87"/>
      <c r="BB1715" s="87"/>
      <c r="BC1715" s="87"/>
      <c r="BD1715" s="87"/>
      <c r="BE1715" s="87"/>
      <c r="BF1715" s="87"/>
      <c r="BG1715" s="87"/>
      <c r="BH1715" s="87"/>
    </row>
    <row r="1716" spans="1:60" ht="16">
      <c r="A1716" s="82"/>
      <c r="B1716" s="82"/>
      <c r="C1716" s="82"/>
      <c r="D1716" s="83"/>
      <c r="E1716" s="84"/>
      <c r="F1716" s="84"/>
      <c r="G1716" s="84"/>
      <c r="H1716" s="82"/>
      <c r="I1716" s="84"/>
      <c r="J1716" s="84"/>
      <c r="K1716" s="84"/>
      <c r="L1716" s="84"/>
      <c r="M1716" s="84"/>
      <c r="N1716" s="84"/>
      <c r="O1716" s="84"/>
      <c r="P1716" s="84"/>
      <c r="Q1716" s="84"/>
      <c r="R1716" s="84"/>
      <c r="S1716" s="84"/>
      <c r="T1716" s="84"/>
      <c r="U1716" s="84"/>
      <c r="V1716" s="84"/>
      <c r="W1716" s="84"/>
      <c r="X1716" s="84"/>
      <c r="Y1716" s="84"/>
      <c r="Z1716" s="87"/>
      <c r="AA1716" s="87"/>
      <c r="AB1716" s="87"/>
      <c r="AC1716" s="87"/>
      <c r="AD1716" s="87"/>
      <c r="AE1716" s="87"/>
      <c r="AF1716" s="87"/>
      <c r="AG1716" s="87"/>
      <c r="AH1716" s="87"/>
      <c r="AI1716" s="87"/>
      <c r="AJ1716" s="87"/>
      <c r="AK1716" s="87"/>
      <c r="AL1716" s="87"/>
      <c r="AM1716" s="87"/>
      <c r="AN1716" s="87"/>
      <c r="AO1716" s="87"/>
      <c r="AP1716" s="87"/>
      <c r="AQ1716" s="87"/>
      <c r="AR1716" s="87"/>
      <c r="AS1716" s="87"/>
      <c r="AT1716" s="87"/>
      <c r="AU1716" s="87"/>
      <c r="AV1716" s="87"/>
      <c r="AW1716" s="87"/>
      <c r="AX1716" s="87"/>
      <c r="AY1716" s="87"/>
      <c r="AZ1716" s="87"/>
      <c r="BA1716" s="87"/>
      <c r="BB1716" s="87"/>
      <c r="BC1716" s="87"/>
      <c r="BD1716" s="87"/>
      <c r="BE1716" s="87"/>
      <c r="BF1716" s="87"/>
      <c r="BG1716" s="87"/>
      <c r="BH1716" s="87"/>
    </row>
    <row r="1717" spans="1:60" ht="16">
      <c r="A1717" s="82"/>
      <c r="B1717" s="82"/>
      <c r="C1717" s="82"/>
      <c r="D1717" s="83"/>
      <c r="E1717" s="84"/>
      <c r="F1717" s="84"/>
      <c r="G1717" s="84"/>
      <c r="H1717" s="82"/>
      <c r="I1717" s="84"/>
      <c r="J1717" s="84"/>
      <c r="K1717" s="84"/>
      <c r="L1717" s="84"/>
      <c r="M1717" s="84"/>
      <c r="N1717" s="84"/>
      <c r="O1717" s="84"/>
      <c r="P1717" s="84"/>
      <c r="Q1717" s="84"/>
      <c r="R1717" s="84"/>
      <c r="S1717" s="84"/>
      <c r="T1717" s="84"/>
      <c r="U1717" s="84"/>
      <c r="V1717" s="84"/>
      <c r="W1717" s="84"/>
      <c r="X1717" s="84"/>
      <c r="Y1717" s="84"/>
      <c r="Z1717" s="87"/>
      <c r="AA1717" s="87"/>
      <c r="AB1717" s="87"/>
      <c r="AC1717" s="87"/>
      <c r="AD1717" s="87"/>
      <c r="AE1717" s="87"/>
      <c r="AF1717" s="87"/>
      <c r="AG1717" s="87"/>
      <c r="AH1717" s="87"/>
      <c r="AI1717" s="87"/>
      <c r="AJ1717" s="87"/>
      <c r="AK1717" s="87"/>
      <c r="AL1717" s="87"/>
      <c r="AM1717" s="87"/>
      <c r="AN1717" s="87"/>
      <c r="AO1717" s="87"/>
      <c r="AP1717" s="87"/>
      <c r="AQ1717" s="87"/>
      <c r="AR1717" s="87"/>
      <c r="AS1717" s="87"/>
      <c r="AT1717" s="87"/>
      <c r="AU1717" s="87"/>
      <c r="AV1717" s="87"/>
      <c r="AW1717" s="87"/>
      <c r="AX1717" s="87"/>
      <c r="AY1717" s="87"/>
      <c r="AZ1717" s="87"/>
      <c r="BA1717" s="87"/>
      <c r="BB1717" s="87"/>
      <c r="BC1717" s="87"/>
      <c r="BD1717" s="87"/>
      <c r="BE1717" s="87"/>
      <c r="BF1717" s="87"/>
      <c r="BG1717" s="87"/>
      <c r="BH1717" s="87"/>
    </row>
    <row r="1718" spans="1:60" ht="16">
      <c r="A1718" s="82"/>
      <c r="B1718" s="82"/>
      <c r="C1718" s="82"/>
      <c r="D1718" s="83"/>
      <c r="E1718" s="84"/>
      <c r="F1718" s="84"/>
      <c r="G1718" s="84"/>
      <c r="H1718" s="82"/>
      <c r="I1718" s="84"/>
      <c r="J1718" s="84"/>
      <c r="K1718" s="84"/>
      <c r="L1718" s="84"/>
      <c r="M1718" s="84"/>
      <c r="N1718" s="84"/>
      <c r="O1718" s="84"/>
      <c r="P1718" s="84"/>
      <c r="Q1718" s="84"/>
      <c r="R1718" s="84"/>
      <c r="S1718" s="84"/>
      <c r="T1718" s="84"/>
      <c r="U1718" s="84"/>
      <c r="V1718" s="84"/>
      <c r="W1718" s="84"/>
      <c r="X1718" s="84"/>
      <c r="Y1718" s="84"/>
      <c r="Z1718" s="87"/>
      <c r="AA1718" s="87"/>
      <c r="AB1718" s="87"/>
      <c r="AC1718" s="87"/>
      <c r="AD1718" s="87"/>
      <c r="AE1718" s="87"/>
      <c r="AF1718" s="87"/>
      <c r="AG1718" s="87"/>
      <c r="AH1718" s="87"/>
      <c r="AI1718" s="87"/>
      <c r="AJ1718" s="87"/>
      <c r="AK1718" s="87"/>
      <c r="AL1718" s="87"/>
      <c r="AM1718" s="87"/>
      <c r="AN1718" s="87"/>
      <c r="AO1718" s="87"/>
      <c r="AP1718" s="87"/>
      <c r="AQ1718" s="87"/>
      <c r="AR1718" s="87"/>
      <c r="AS1718" s="87"/>
      <c r="AT1718" s="87"/>
      <c r="AU1718" s="87"/>
      <c r="AV1718" s="87"/>
      <c r="AW1718" s="87"/>
      <c r="AX1718" s="87"/>
      <c r="AY1718" s="87"/>
      <c r="AZ1718" s="87"/>
      <c r="BA1718" s="87"/>
      <c r="BB1718" s="87"/>
      <c r="BC1718" s="87"/>
      <c r="BD1718" s="87"/>
      <c r="BE1718" s="87"/>
      <c r="BF1718" s="87"/>
      <c r="BG1718" s="87"/>
      <c r="BH1718" s="87"/>
    </row>
    <row r="1719" spans="1:60" ht="16">
      <c r="A1719" s="82"/>
      <c r="B1719" s="82"/>
      <c r="C1719" s="82"/>
      <c r="D1719" s="83"/>
      <c r="E1719" s="84"/>
      <c r="F1719" s="84"/>
      <c r="G1719" s="84"/>
      <c r="H1719" s="82"/>
      <c r="I1719" s="84"/>
      <c r="J1719" s="84"/>
      <c r="K1719" s="84"/>
      <c r="L1719" s="84"/>
      <c r="M1719" s="84"/>
      <c r="N1719" s="84"/>
      <c r="O1719" s="84"/>
      <c r="P1719" s="84"/>
      <c r="Q1719" s="84"/>
      <c r="R1719" s="84"/>
      <c r="S1719" s="84"/>
      <c r="T1719" s="84"/>
      <c r="U1719" s="84"/>
      <c r="V1719" s="84"/>
      <c r="W1719" s="84"/>
      <c r="X1719" s="84"/>
      <c r="Y1719" s="84"/>
      <c r="Z1719" s="87"/>
      <c r="AA1719" s="87"/>
      <c r="AB1719" s="87"/>
      <c r="AC1719" s="87"/>
      <c r="AD1719" s="87"/>
      <c r="AE1719" s="87"/>
      <c r="AF1719" s="87"/>
      <c r="AG1719" s="87"/>
      <c r="AH1719" s="87"/>
      <c r="AI1719" s="87"/>
      <c r="AJ1719" s="87"/>
      <c r="AK1719" s="87"/>
      <c r="AL1719" s="87"/>
      <c r="AM1719" s="87"/>
      <c r="AN1719" s="87"/>
      <c r="AO1719" s="87"/>
      <c r="AP1719" s="87"/>
      <c r="AQ1719" s="87"/>
      <c r="AR1719" s="87"/>
      <c r="AS1719" s="87"/>
      <c r="AT1719" s="87"/>
      <c r="AU1719" s="87"/>
      <c r="AV1719" s="87"/>
      <c r="AW1719" s="87"/>
      <c r="AX1719" s="87"/>
      <c r="AY1719" s="87"/>
      <c r="AZ1719" s="87"/>
      <c r="BA1719" s="87"/>
      <c r="BB1719" s="87"/>
      <c r="BC1719" s="87"/>
      <c r="BD1719" s="87"/>
      <c r="BE1719" s="87"/>
      <c r="BF1719" s="87"/>
      <c r="BG1719" s="87"/>
      <c r="BH1719" s="87"/>
    </row>
    <row r="1720" spans="1:60" ht="16">
      <c r="A1720" s="82"/>
      <c r="B1720" s="82"/>
      <c r="C1720" s="82"/>
      <c r="D1720" s="83"/>
      <c r="E1720" s="84"/>
      <c r="F1720" s="84"/>
      <c r="G1720" s="84"/>
      <c r="H1720" s="82"/>
      <c r="I1720" s="84"/>
      <c r="J1720" s="84"/>
      <c r="K1720" s="84"/>
      <c r="L1720" s="84"/>
      <c r="M1720" s="84"/>
      <c r="N1720" s="84"/>
      <c r="O1720" s="84"/>
      <c r="P1720" s="84"/>
      <c r="Q1720" s="84"/>
      <c r="R1720" s="84"/>
      <c r="S1720" s="84"/>
      <c r="T1720" s="84"/>
      <c r="U1720" s="84"/>
      <c r="V1720" s="84"/>
      <c r="W1720" s="84"/>
      <c r="X1720" s="84"/>
      <c r="Y1720" s="84"/>
      <c r="Z1720" s="87"/>
      <c r="AA1720" s="87"/>
      <c r="AB1720" s="87"/>
      <c r="AC1720" s="87"/>
      <c r="AD1720" s="87"/>
      <c r="AE1720" s="87"/>
      <c r="AF1720" s="87"/>
      <c r="AG1720" s="87"/>
      <c r="AH1720" s="87"/>
      <c r="AI1720" s="87"/>
      <c r="AJ1720" s="87"/>
      <c r="AK1720" s="87"/>
      <c r="AL1720" s="87"/>
      <c r="AM1720" s="87"/>
      <c r="AN1720" s="87"/>
      <c r="AO1720" s="87"/>
      <c r="AP1720" s="87"/>
      <c r="AQ1720" s="87"/>
      <c r="AR1720" s="87"/>
      <c r="AS1720" s="87"/>
      <c r="AT1720" s="87"/>
      <c r="AU1720" s="87"/>
      <c r="AV1720" s="87"/>
      <c r="AW1720" s="87"/>
      <c r="AX1720" s="87"/>
      <c r="AY1720" s="87"/>
      <c r="AZ1720" s="87"/>
      <c r="BA1720" s="87"/>
      <c r="BB1720" s="87"/>
      <c r="BC1720" s="87"/>
      <c r="BD1720" s="87"/>
      <c r="BE1720" s="87"/>
      <c r="BF1720" s="87"/>
      <c r="BG1720" s="87"/>
      <c r="BH1720" s="87"/>
    </row>
    <row r="1721" spans="1:60" ht="16">
      <c r="A1721" s="82"/>
      <c r="B1721" s="82"/>
      <c r="C1721" s="82"/>
      <c r="D1721" s="83"/>
      <c r="E1721" s="84"/>
      <c r="F1721" s="84"/>
      <c r="G1721" s="84"/>
      <c r="H1721" s="82"/>
      <c r="I1721" s="84"/>
      <c r="J1721" s="84"/>
      <c r="K1721" s="84"/>
      <c r="L1721" s="84"/>
      <c r="M1721" s="84"/>
      <c r="N1721" s="84"/>
      <c r="O1721" s="84"/>
      <c r="P1721" s="84"/>
      <c r="Q1721" s="84"/>
      <c r="R1721" s="84"/>
      <c r="S1721" s="84"/>
      <c r="T1721" s="84"/>
      <c r="U1721" s="84"/>
      <c r="V1721" s="84"/>
      <c r="W1721" s="84"/>
      <c r="X1721" s="84"/>
      <c r="Y1721" s="84"/>
      <c r="Z1721" s="87"/>
      <c r="AA1721" s="87"/>
      <c r="AB1721" s="87"/>
      <c r="AC1721" s="87"/>
      <c r="AD1721" s="87"/>
      <c r="AE1721" s="87"/>
      <c r="AF1721" s="87"/>
      <c r="AG1721" s="87"/>
      <c r="AH1721" s="87"/>
      <c r="AI1721" s="87"/>
      <c r="AJ1721" s="87"/>
      <c r="AK1721" s="87"/>
      <c r="AL1721" s="87"/>
      <c r="AM1721" s="87"/>
      <c r="AN1721" s="87"/>
      <c r="AO1721" s="87"/>
      <c r="AP1721" s="87"/>
      <c r="AQ1721" s="87"/>
      <c r="AR1721" s="87"/>
      <c r="AS1721" s="87"/>
      <c r="AT1721" s="87"/>
      <c r="AU1721" s="87"/>
      <c r="AV1721" s="87"/>
      <c r="AW1721" s="87"/>
      <c r="AX1721" s="87"/>
      <c r="AY1721" s="87"/>
      <c r="AZ1721" s="87"/>
      <c r="BA1721" s="87"/>
      <c r="BB1721" s="87"/>
      <c r="BC1721" s="87"/>
      <c r="BD1721" s="87"/>
      <c r="BE1721" s="87"/>
      <c r="BF1721" s="87"/>
      <c r="BG1721" s="87"/>
      <c r="BH1721" s="87"/>
    </row>
    <row r="1722" spans="1:60" ht="16">
      <c r="A1722" s="82"/>
      <c r="B1722" s="82"/>
      <c r="C1722" s="82"/>
      <c r="D1722" s="83"/>
      <c r="E1722" s="84"/>
      <c r="F1722" s="84"/>
      <c r="G1722" s="84"/>
      <c r="H1722" s="82"/>
      <c r="I1722" s="84"/>
      <c r="J1722" s="84"/>
      <c r="K1722" s="84"/>
      <c r="L1722" s="84"/>
      <c r="M1722" s="84"/>
      <c r="N1722" s="84"/>
      <c r="O1722" s="84"/>
      <c r="P1722" s="84"/>
      <c r="Q1722" s="84"/>
      <c r="R1722" s="84"/>
      <c r="S1722" s="84"/>
      <c r="T1722" s="84"/>
      <c r="U1722" s="84"/>
      <c r="V1722" s="84"/>
      <c r="W1722" s="84"/>
      <c r="X1722" s="84"/>
      <c r="Y1722" s="84"/>
      <c r="Z1722" s="87"/>
      <c r="AA1722" s="87"/>
      <c r="AB1722" s="87"/>
      <c r="AC1722" s="87"/>
      <c r="AD1722" s="87"/>
      <c r="AE1722" s="87"/>
      <c r="AF1722" s="87"/>
      <c r="AG1722" s="87"/>
      <c r="AH1722" s="87"/>
      <c r="AI1722" s="87"/>
      <c r="AJ1722" s="87"/>
      <c r="AK1722" s="87"/>
      <c r="AL1722" s="87"/>
      <c r="AM1722" s="87"/>
      <c r="AN1722" s="87"/>
      <c r="AO1722" s="87"/>
      <c r="AP1722" s="87"/>
      <c r="AQ1722" s="87"/>
      <c r="AR1722" s="87"/>
      <c r="AS1722" s="87"/>
      <c r="AT1722" s="87"/>
      <c r="AU1722" s="87"/>
      <c r="AV1722" s="87"/>
      <c r="AW1722" s="87"/>
      <c r="AX1722" s="87"/>
      <c r="AY1722" s="87"/>
      <c r="AZ1722" s="87"/>
      <c r="BA1722" s="87"/>
      <c r="BB1722" s="87"/>
      <c r="BC1722" s="87"/>
      <c r="BD1722" s="87"/>
      <c r="BE1722" s="87"/>
      <c r="BF1722" s="87"/>
      <c r="BG1722" s="87"/>
      <c r="BH1722" s="87"/>
    </row>
    <row r="1723" spans="1:60" ht="16">
      <c r="A1723" s="82"/>
      <c r="B1723" s="82"/>
      <c r="C1723" s="82"/>
      <c r="D1723" s="83"/>
      <c r="E1723" s="84"/>
      <c r="F1723" s="84"/>
      <c r="G1723" s="84"/>
      <c r="H1723" s="82"/>
      <c r="I1723" s="84"/>
      <c r="J1723" s="84"/>
      <c r="K1723" s="84"/>
      <c r="L1723" s="84"/>
      <c r="M1723" s="84"/>
      <c r="N1723" s="84"/>
      <c r="O1723" s="84"/>
      <c r="P1723" s="84"/>
      <c r="Q1723" s="84"/>
      <c r="R1723" s="84"/>
      <c r="S1723" s="84"/>
      <c r="T1723" s="84"/>
      <c r="U1723" s="84"/>
      <c r="V1723" s="84"/>
      <c r="W1723" s="84"/>
      <c r="X1723" s="84"/>
      <c r="Y1723" s="84"/>
      <c r="Z1723" s="87"/>
      <c r="AA1723" s="87"/>
      <c r="AB1723" s="87"/>
      <c r="AC1723" s="87"/>
      <c r="AD1723" s="87"/>
      <c r="AE1723" s="87"/>
      <c r="AF1723" s="87"/>
      <c r="AG1723" s="87"/>
      <c r="AH1723" s="87"/>
      <c r="AI1723" s="87"/>
      <c r="AJ1723" s="87"/>
      <c r="AK1723" s="87"/>
      <c r="AL1723" s="87"/>
      <c r="AM1723" s="87"/>
      <c r="AN1723" s="87"/>
      <c r="AO1723" s="87"/>
      <c r="AP1723" s="87"/>
      <c r="AQ1723" s="87"/>
      <c r="AR1723" s="87"/>
      <c r="AS1723" s="87"/>
      <c r="AT1723" s="87"/>
      <c r="AU1723" s="87"/>
      <c r="AV1723" s="87"/>
      <c r="AW1723" s="87"/>
      <c r="AX1723" s="87"/>
      <c r="AY1723" s="87"/>
      <c r="AZ1723" s="87"/>
      <c r="BA1723" s="87"/>
      <c r="BB1723" s="87"/>
      <c r="BC1723" s="87"/>
      <c r="BD1723" s="87"/>
      <c r="BE1723" s="87"/>
      <c r="BF1723" s="87"/>
      <c r="BG1723" s="87"/>
      <c r="BH1723" s="87"/>
    </row>
    <row r="1724" spans="1:60" ht="16">
      <c r="A1724" s="82"/>
      <c r="B1724" s="82"/>
      <c r="C1724" s="82"/>
      <c r="D1724" s="83"/>
      <c r="E1724" s="84"/>
      <c r="F1724" s="84"/>
      <c r="G1724" s="84"/>
      <c r="H1724" s="82"/>
      <c r="I1724" s="84"/>
      <c r="J1724" s="84"/>
      <c r="K1724" s="84"/>
      <c r="L1724" s="84"/>
      <c r="M1724" s="84"/>
      <c r="N1724" s="84"/>
      <c r="O1724" s="84"/>
      <c r="P1724" s="84"/>
      <c r="Q1724" s="84"/>
      <c r="R1724" s="84"/>
      <c r="S1724" s="84"/>
      <c r="T1724" s="84"/>
      <c r="U1724" s="84"/>
      <c r="V1724" s="84"/>
      <c r="W1724" s="84"/>
      <c r="X1724" s="84"/>
      <c r="Y1724" s="84"/>
      <c r="Z1724" s="87"/>
      <c r="AA1724" s="87"/>
      <c r="AB1724" s="87"/>
      <c r="AC1724" s="87"/>
      <c r="AD1724" s="87"/>
      <c r="AE1724" s="87"/>
      <c r="AF1724" s="87"/>
      <c r="AG1724" s="87"/>
      <c r="AH1724" s="87"/>
      <c r="AI1724" s="87"/>
      <c r="AJ1724" s="87"/>
      <c r="AK1724" s="87"/>
      <c r="AL1724" s="87"/>
      <c r="AM1724" s="87"/>
      <c r="AN1724" s="87"/>
      <c r="AO1724" s="87"/>
      <c r="AP1724" s="87"/>
      <c r="AQ1724" s="87"/>
      <c r="AR1724" s="87"/>
      <c r="AS1724" s="87"/>
      <c r="AT1724" s="87"/>
      <c r="AU1724" s="87"/>
      <c r="AV1724" s="87"/>
      <c r="AW1724" s="87"/>
      <c r="AX1724" s="87"/>
      <c r="AY1724" s="87"/>
      <c r="AZ1724" s="87"/>
      <c r="BA1724" s="87"/>
      <c r="BB1724" s="87"/>
      <c r="BC1724" s="87"/>
      <c r="BD1724" s="87"/>
      <c r="BE1724" s="87"/>
      <c r="BF1724" s="87"/>
      <c r="BG1724" s="87"/>
      <c r="BH1724" s="87"/>
    </row>
    <row r="1725" spans="1:60" ht="16">
      <c r="A1725" s="82"/>
      <c r="B1725" s="82"/>
      <c r="C1725" s="82"/>
      <c r="D1725" s="83"/>
      <c r="E1725" s="84"/>
      <c r="F1725" s="84"/>
      <c r="G1725" s="84"/>
      <c r="H1725" s="82"/>
      <c r="I1725" s="84"/>
      <c r="J1725" s="84"/>
      <c r="K1725" s="84"/>
      <c r="L1725" s="84"/>
      <c r="M1725" s="84"/>
      <c r="N1725" s="84"/>
      <c r="O1725" s="84"/>
      <c r="P1725" s="84"/>
      <c r="Q1725" s="84"/>
      <c r="R1725" s="84"/>
      <c r="S1725" s="84"/>
      <c r="T1725" s="84"/>
      <c r="U1725" s="84"/>
      <c r="V1725" s="84"/>
      <c r="W1725" s="84"/>
      <c r="X1725" s="84"/>
      <c r="Y1725" s="84"/>
      <c r="Z1725" s="87"/>
      <c r="AA1725" s="87"/>
      <c r="AB1725" s="87"/>
      <c r="AC1725" s="87"/>
      <c r="AD1725" s="87"/>
      <c r="AE1725" s="87"/>
      <c r="AF1725" s="87"/>
      <c r="AG1725" s="87"/>
      <c r="AH1725" s="87"/>
      <c r="AI1725" s="87"/>
      <c r="AJ1725" s="87"/>
      <c r="AK1725" s="87"/>
      <c r="AL1725" s="87"/>
      <c r="AM1725" s="87"/>
      <c r="AN1725" s="87"/>
      <c r="AO1725" s="87"/>
      <c r="AP1725" s="87"/>
      <c r="AQ1725" s="87"/>
      <c r="AR1725" s="87"/>
      <c r="AS1725" s="87"/>
      <c r="AT1725" s="87"/>
      <c r="AU1725" s="87"/>
      <c r="AV1725" s="87"/>
      <c r="AW1725" s="87"/>
      <c r="AX1725" s="87"/>
      <c r="AY1725" s="87"/>
      <c r="AZ1725" s="87"/>
      <c r="BA1725" s="87"/>
      <c r="BB1725" s="87"/>
      <c r="BC1725" s="87"/>
      <c r="BD1725" s="87"/>
      <c r="BE1725" s="87"/>
      <c r="BF1725" s="87"/>
      <c r="BG1725" s="87"/>
      <c r="BH1725" s="87"/>
    </row>
    <row r="1726" spans="1:60" ht="16">
      <c r="A1726" s="82"/>
      <c r="B1726" s="82"/>
      <c r="C1726" s="82"/>
      <c r="D1726" s="83"/>
      <c r="E1726" s="84"/>
      <c r="F1726" s="84"/>
      <c r="G1726" s="84"/>
      <c r="H1726" s="82"/>
      <c r="I1726" s="84"/>
      <c r="J1726" s="84"/>
      <c r="K1726" s="84"/>
      <c r="L1726" s="84"/>
      <c r="M1726" s="84"/>
      <c r="N1726" s="84"/>
      <c r="O1726" s="84"/>
      <c r="P1726" s="84"/>
      <c r="Q1726" s="84"/>
      <c r="R1726" s="84"/>
      <c r="S1726" s="84"/>
      <c r="T1726" s="84"/>
      <c r="U1726" s="84"/>
      <c r="V1726" s="84"/>
      <c r="W1726" s="84"/>
      <c r="X1726" s="84"/>
      <c r="Y1726" s="84"/>
      <c r="Z1726" s="87"/>
      <c r="AA1726" s="87"/>
      <c r="AB1726" s="87"/>
      <c r="AC1726" s="87"/>
      <c r="AD1726" s="87"/>
      <c r="AE1726" s="87"/>
      <c r="AF1726" s="87"/>
      <c r="AG1726" s="87"/>
      <c r="AH1726" s="87"/>
      <c r="AI1726" s="87"/>
      <c r="AJ1726" s="87"/>
      <c r="AK1726" s="87"/>
      <c r="AL1726" s="87"/>
      <c r="AM1726" s="87"/>
      <c r="AN1726" s="87"/>
      <c r="AO1726" s="87"/>
      <c r="AP1726" s="87"/>
      <c r="AQ1726" s="87"/>
      <c r="AR1726" s="87"/>
      <c r="AS1726" s="87"/>
      <c r="AT1726" s="87"/>
      <c r="AU1726" s="87"/>
      <c r="AV1726" s="87"/>
      <c r="AW1726" s="87"/>
      <c r="AX1726" s="87"/>
      <c r="AY1726" s="87"/>
      <c r="AZ1726" s="87"/>
      <c r="BA1726" s="87"/>
      <c r="BB1726" s="87"/>
      <c r="BC1726" s="87"/>
      <c r="BD1726" s="87"/>
      <c r="BE1726" s="87"/>
      <c r="BF1726" s="87"/>
      <c r="BG1726" s="87"/>
      <c r="BH1726" s="87"/>
    </row>
    <row r="1727" spans="1:60" ht="16">
      <c r="A1727" s="82"/>
      <c r="B1727" s="82"/>
      <c r="C1727" s="82"/>
      <c r="D1727" s="83"/>
      <c r="E1727" s="84"/>
      <c r="F1727" s="84"/>
      <c r="G1727" s="84"/>
      <c r="H1727" s="82"/>
      <c r="I1727" s="84"/>
      <c r="J1727" s="84"/>
      <c r="K1727" s="84"/>
      <c r="L1727" s="84"/>
      <c r="M1727" s="84"/>
      <c r="N1727" s="84"/>
      <c r="O1727" s="84"/>
      <c r="P1727" s="84"/>
      <c r="Q1727" s="84"/>
      <c r="R1727" s="84"/>
      <c r="S1727" s="84"/>
      <c r="T1727" s="84"/>
      <c r="U1727" s="84"/>
      <c r="V1727" s="84"/>
      <c r="W1727" s="84"/>
      <c r="X1727" s="84"/>
      <c r="Y1727" s="84"/>
      <c r="Z1727" s="87"/>
      <c r="AA1727" s="87"/>
      <c r="AB1727" s="87"/>
      <c r="AC1727" s="87"/>
      <c r="AD1727" s="87"/>
      <c r="AE1727" s="87"/>
      <c r="AF1727" s="87"/>
      <c r="AG1727" s="87"/>
      <c r="AH1727" s="87"/>
      <c r="AI1727" s="87"/>
      <c r="AJ1727" s="87"/>
      <c r="AK1727" s="87"/>
      <c r="AL1727" s="87"/>
      <c r="AM1727" s="87"/>
      <c r="AN1727" s="87"/>
      <c r="AO1727" s="87"/>
      <c r="AP1727" s="87"/>
      <c r="AQ1727" s="87"/>
      <c r="AR1727" s="87"/>
      <c r="AS1727" s="87"/>
      <c r="AT1727" s="87"/>
      <c r="AU1727" s="87"/>
      <c r="AV1727" s="87"/>
      <c r="AW1727" s="87"/>
      <c r="AX1727" s="87"/>
      <c r="AY1727" s="87"/>
      <c r="AZ1727" s="87"/>
      <c r="BA1727" s="87"/>
      <c r="BB1727" s="87"/>
      <c r="BC1727" s="87"/>
      <c r="BD1727" s="87"/>
      <c r="BE1727" s="87"/>
      <c r="BF1727" s="87"/>
      <c r="BG1727" s="87"/>
      <c r="BH1727" s="87"/>
    </row>
    <row r="1728" spans="1:60" ht="16">
      <c r="A1728" s="82"/>
      <c r="B1728" s="82"/>
      <c r="C1728" s="82"/>
      <c r="D1728" s="83"/>
      <c r="E1728" s="84"/>
      <c r="F1728" s="84"/>
      <c r="G1728" s="84"/>
      <c r="H1728" s="82"/>
      <c r="I1728" s="84"/>
      <c r="J1728" s="84"/>
      <c r="K1728" s="84"/>
      <c r="L1728" s="84"/>
      <c r="M1728" s="84"/>
      <c r="N1728" s="84"/>
      <c r="O1728" s="84"/>
      <c r="P1728" s="84"/>
      <c r="Q1728" s="84"/>
      <c r="R1728" s="84"/>
      <c r="S1728" s="84"/>
      <c r="T1728" s="84"/>
      <c r="U1728" s="84"/>
      <c r="V1728" s="84"/>
      <c r="W1728" s="84"/>
      <c r="X1728" s="84"/>
      <c r="Y1728" s="84"/>
      <c r="Z1728" s="87"/>
      <c r="AA1728" s="87"/>
      <c r="AB1728" s="87"/>
      <c r="AC1728" s="87"/>
      <c r="AD1728" s="87"/>
      <c r="AE1728" s="87"/>
      <c r="AF1728" s="87"/>
      <c r="AG1728" s="87"/>
      <c r="AH1728" s="87"/>
      <c r="AI1728" s="87"/>
      <c r="AJ1728" s="87"/>
      <c r="AK1728" s="87"/>
      <c r="AL1728" s="87"/>
      <c r="AM1728" s="87"/>
      <c r="AN1728" s="87"/>
      <c r="AO1728" s="87"/>
      <c r="AP1728" s="87"/>
      <c r="AQ1728" s="87"/>
      <c r="AR1728" s="87"/>
      <c r="AS1728" s="87"/>
      <c r="AT1728" s="87"/>
      <c r="AU1728" s="87"/>
      <c r="AV1728" s="87"/>
      <c r="AW1728" s="87"/>
      <c r="AX1728" s="87"/>
      <c r="AY1728" s="87"/>
      <c r="AZ1728" s="87"/>
      <c r="BA1728" s="87"/>
      <c r="BB1728" s="87"/>
      <c r="BC1728" s="87"/>
      <c r="BD1728" s="87"/>
      <c r="BE1728" s="87"/>
      <c r="BF1728" s="87"/>
      <c r="BG1728" s="87"/>
      <c r="BH1728" s="87"/>
    </row>
    <row r="1729" spans="1:60" ht="16">
      <c r="A1729" s="82"/>
      <c r="B1729" s="82"/>
      <c r="C1729" s="82"/>
      <c r="D1729" s="83"/>
      <c r="E1729" s="84"/>
      <c r="F1729" s="84"/>
      <c r="G1729" s="84"/>
      <c r="H1729" s="82"/>
      <c r="I1729" s="84"/>
      <c r="J1729" s="84"/>
      <c r="K1729" s="84"/>
      <c r="L1729" s="84"/>
      <c r="M1729" s="84"/>
      <c r="N1729" s="84"/>
      <c r="O1729" s="84"/>
      <c r="P1729" s="84"/>
      <c r="Q1729" s="84"/>
      <c r="R1729" s="84"/>
      <c r="S1729" s="84"/>
      <c r="T1729" s="84"/>
      <c r="U1729" s="84"/>
      <c r="V1729" s="84"/>
      <c r="W1729" s="84"/>
      <c r="X1729" s="84"/>
      <c r="Y1729" s="84"/>
      <c r="Z1729" s="87"/>
      <c r="AA1729" s="87"/>
      <c r="AB1729" s="87"/>
      <c r="AC1729" s="87"/>
      <c r="AD1729" s="87"/>
      <c r="AE1729" s="87"/>
      <c r="AF1729" s="87"/>
      <c r="AG1729" s="87"/>
      <c r="AH1729" s="87"/>
      <c r="AI1729" s="87"/>
      <c r="AJ1729" s="87"/>
      <c r="AK1729" s="87"/>
      <c r="AL1729" s="87"/>
      <c r="AM1729" s="87"/>
      <c r="AN1729" s="87"/>
      <c r="AO1729" s="87"/>
      <c r="AP1729" s="87"/>
      <c r="AQ1729" s="87"/>
      <c r="AR1729" s="87"/>
      <c r="AS1729" s="87"/>
      <c r="AT1729" s="87"/>
      <c r="AU1729" s="87"/>
      <c r="AV1729" s="87"/>
      <c r="AW1729" s="87"/>
      <c r="AX1729" s="87"/>
      <c r="AY1729" s="87"/>
      <c r="AZ1729" s="87"/>
      <c r="BA1729" s="87"/>
      <c r="BB1729" s="87"/>
      <c r="BC1729" s="87"/>
      <c r="BD1729" s="87"/>
      <c r="BE1729" s="87"/>
      <c r="BF1729" s="87"/>
      <c r="BG1729" s="87"/>
      <c r="BH1729" s="87"/>
    </row>
    <row r="1730" spans="1:60" ht="16">
      <c r="A1730" s="82"/>
      <c r="B1730" s="82"/>
      <c r="C1730" s="82"/>
      <c r="D1730" s="83"/>
      <c r="E1730" s="84"/>
      <c r="F1730" s="84"/>
      <c r="G1730" s="84"/>
      <c r="H1730" s="82"/>
      <c r="I1730" s="84"/>
      <c r="J1730" s="84"/>
      <c r="K1730" s="84"/>
      <c r="L1730" s="84"/>
      <c r="M1730" s="84"/>
      <c r="N1730" s="84"/>
      <c r="O1730" s="84"/>
      <c r="P1730" s="84"/>
      <c r="Q1730" s="84"/>
      <c r="R1730" s="84"/>
      <c r="S1730" s="84"/>
      <c r="T1730" s="84"/>
      <c r="U1730" s="84"/>
      <c r="V1730" s="84"/>
      <c r="W1730" s="84"/>
      <c r="X1730" s="84"/>
      <c r="Y1730" s="84"/>
      <c r="Z1730" s="87"/>
      <c r="AA1730" s="87"/>
      <c r="AB1730" s="87"/>
      <c r="AC1730" s="87"/>
      <c r="AD1730" s="87"/>
      <c r="AE1730" s="87"/>
      <c r="AF1730" s="87"/>
      <c r="AG1730" s="87"/>
      <c r="AH1730" s="87"/>
      <c r="AI1730" s="87"/>
      <c r="AJ1730" s="87"/>
      <c r="AK1730" s="87"/>
      <c r="AL1730" s="87"/>
      <c r="AM1730" s="87"/>
      <c r="AN1730" s="87"/>
      <c r="AO1730" s="87"/>
      <c r="AP1730" s="87"/>
      <c r="AQ1730" s="87"/>
      <c r="AR1730" s="87"/>
      <c r="AS1730" s="87"/>
      <c r="AT1730" s="87"/>
      <c r="AU1730" s="87"/>
      <c r="AV1730" s="87"/>
      <c r="AW1730" s="87"/>
      <c r="AX1730" s="87"/>
      <c r="AY1730" s="87"/>
      <c r="AZ1730" s="87"/>
      <c r="BA1730" s="87"/>
      <c r="BB1730" s="87"/>
      <c r="BC1730" s="87"/>
      <c r="BD1730" s="87"/>
      <c r="BE1730" s="87"/>
      <c r="BF1730" s="87"/>
      <c r="BG1730" s="87"/>
      <c r="BH1730" s="87"/>
    </row>
    <row r="1731" spans="1:60" ht="16">
      <c r="A1731" s="82"/>
      <c r="B1731" s="82"/>
      <c r="C1731" s="82"/>
      <c r="D1731" s="83"/>
      <c r="E1731" s="84"/>
      <c r="F1731" s="84"/>
      <c r="G1731" s="84"/>
      <c r="H1731" s="82"/>
      <c r="I1731" s="84"/>
      <c r="J1731" s="84"/>
      <c r="K1731" s="84"/>
      <c r="L1731" s="84"/>
      <c r="M1731" s="84"/>
      <c r="N1731" s="84"/>
      <c r="O1731" s="84"/>
      <c r="P1731" s="84"/>
      <c r="Q1731" s="84"/>
      <c r="R1731" s="84"/>
      <c r="S1731" s="84"/>
      <c r="T1731" s="84"/>
      <c r="U1731" s="84"/>
      <c r="V1731" s="84"/>
      <c r="W1731" s="84"/>
      <c r="X1731" s="84"/>
      <c r="Y1731" s="84"/>
      <c r="Z1731" s="87"/>
      <c r="AA1731" s="87"/>
      <c r="AB1731" s="87"/>
      <c r="AC1731" s="87"/>
      <c r="AD1731" s="87"/>
      <c r="AE1731" s="87"/>
      <c r="AF1731" s="87"/>
      <c r="AG1731" s="87"/>
      <c r="AH1731" s="87"/>
      <c r="AI1731" s="87"/>
      <c r="AJ1731" s="87"/>
      <c r="AK1731" s="87"/>
      <c r="AL1731" s="87"/>
      <c r="AM1731" s="87"/>
      <c r="AN1731" s="87"/>
      <c r="AO1731" s="87"/>
      <c r="AP1731" s="87"/>
      <c r="AQ1731" s="87"/>
      <c r="AR1731" s="87"/>
      <c r="AS1731" s="87"/>
      <c r="AT1731" s="87"/>
      <c r="AU1731" s="87"/>
      <c r="AV1731" s="87"/>
      <c r="AW1731" s="87"/>
      <c r="AX1731" s="87"/>
      <c r="AY1731" s="87"/>
      <c r="AZ1731" s="87"/>
      <c r="BA1731" s="87"/>
      <c r="BB1731" s="87"/>
      <c r="BC1731" s="87"/>
      <c r="BD1731" s="87"/>
      <c r="BE1731" s="87"/>
      <c r="BF1731" s="87"/>
      <c r="BG1731" s="87"/>
      <c r="BH1731" s="87"/>
    </row>
    <row r="1732" spans="1:60" ht="16">
      <c r="A1732" s="82"/>
      <c r="B1732" s="82"/>
      <c r="C1732" s="82"/>
      <c r="D1732" s="83"/>
      <c r="E1732" s="84"/>
      <c r="F1732" s="84"/>
      <c r="G1732" s="84"/>
      <c r="H1732" s="82"/>
      <c r="I1732" s="84"/>
      <c r="J1732" s="84"/>
      <c r="K1732" s="84"/>
      <c r="L1732" s="84"/>
      <c r="M1732" s="84"/>
      <c r="N1732" s="84"/>
      <c r="O1732" s="84"/>
      <c r="P1732" s="84"/>
      <c r="Q1732" s="84"/>
      <c r="R1732" s="84"/>
      <c r="S1732" s="84"/>
      <c r="T1732" s="84"/>
      <c r="U1732" s="84"/>
      <c r="V1732" s="84"/>
      <c r="W1732" s="84"/>
      <c r="X1732" s="84"/>
      <c r="Y1732" s="84"/>
      <c r="Z1732" s="87"/>
      <c r="AA1732" s="87"/>
      <c r="AB1732" s="87"/>
      <c r="AC1732" s="87"/>
      <c r="AD1732" s="87"/>
      <c r="AE1732" s="87"/>
      <c r="AF1732" s="87"/>
      <c r="AG1732" s="87"/>
      <c r="AH1732" s="87"/>
      <c r="AI1732" s="87"/>
      <c r="AJ1732" s="87"/>
      <c r="AK1732" s="87"/>
      <c r="AL1732" s="87"/>
      <c r="AM1732" s="87"/>
      <c r="AN1732" s="87"/>
      <c r="AO1732" s="87"/>
      <c r="AP1732" s="87"/>
      <c r="AQ1732" s="87"/>
      <c r="AR1732" s="87"/>
      <c r="AS1732" s="87"/>
      <c r="AT1732" s="87"/>
      <c r="AU1732" s="87"/>
      <c r="AV1732" s="87"/>
      <c r="AW1732" s="87"/>
      <c r="AX1732" s="87"/>
      <c r="AY1732" s="87"/>
      <c r="AZ1732" s="87"/>
      <c r="BA1732" s="87"/>
      <c r="BB1732" s="87"/>
      <c r="BC1732" s="87"/>
      <c r="BD1732" s="87"/>
      <c r="BE1732" s="87"/>
      <c r="BF1732" s="87"/>
      <c r="BG1732" s="87"/>
      <c r="BH1732" s="87"/>
    </row>
    <row r="1733" spans="1:60" ht="16">
      <c r="A1733" s="82"/>
      <c r="B1733" s="82"/>
      <c r="C1733" s="82"/>
      <c r="D1733" s="83"/>
      <c r="E1733" s="84"/>
      <c r="F1733" s="84"/>
      <c r="G1733" s="84"/>
      <c r="H1733" s="82"/>
      <c r="I1733" s="84"/>
      <c r="J1733" s="84"/>
      <c r="K1733" s="84"/>
      <c r="L1733" s="84"/>
      <c r="M1733" s="84"/>
      <c r="N1733" s="84"/>
      <c r="O1733" s="84"/>
      <c r="P1733" s="84"/>
      <c r="Q1733" s="84"/>
      <c r="R1733" s="84"/>
      <c r="S1733" s="84"/>
      <c r="T1733" s="84"/>
      <c r="U1733" s="84"/>
      <c r="V1733" s="84"/>
      <c r="W1733" s="84"/>
      <c r="X1733" s="84"/>
      <c r="Y1733" s="84"/>
      <c r="Z1733" s="87"/>
      <c r="AA1733" s="87"/>
      <c r="AB1733" s="87"/>
      <c r="AC1733" s="87"/>
      <c r="AD1733" s="87"/>
      <c r="AE1733" s="87"/>
      <c r="AF1733" s="87"/>
      <c r="AG1733" s="87"/>
      <c r="AH1733" s="87"/>
      <c r="AI1733" s="87"/>
      <c r="AJ1733" s="87"/>
      <c r="AK1733" s="87"/>
      <c r="AL1733" s="87"/>
      <c r="AM1733" s="87"/>
      <c r="AN1733" s="87"/>
      <c r="AO1733" s="87"/>
      <c r="AP1733" s="87"/>
      <c r="AQ1733" s="87"/>
      <c r="AR1733" s="87"/>
      <c r="AS1733" s="87"/>
      <c r="AT1733" s="87"/>
      <c r="AU1733" s="87"/>
      <c r="AV1733" s="87"/>
      <c r="AW1733" s="87"/>
      <c r="AX1733" s="87"/>
      <c r="AY1733" s="87"/>
      <c r="AZ1733" s="87"/>
      <c r="BA1733" s="87"/>
      <c r="BB1733" s="87"/>
      <c r="BC1733" s="87"/>
      <c r="BD1733" s="87"/>
      <c r="BE1733" s="87"/>
      <c r="BF1733" s="87"/>
      <c r="BG1733" s="87"/>
      <c r="BH1733" s="87"/>
    </row>
    <row r="1734" spans="1:60" ht="16">
      <c r="A1734" s="82"/>
      <c r="B1734" s="82"/>
      <c r="C1734" s="82"/>
      <c r="D1734" s="83"/>
      <c r="E1734" s="84"/>
      <c r="F1734" s="84"/>
      <c r="G1734" s="84"/>
      <c r="H1734" s="82"/>
      <c r="I1734" s="84"/>
      <c r="J1734" s="84"/>
      <c r="K1734" s="84"/>
      <c r="L1734" s="84"/>
      <c r="M1734" s="84"/>
      <c r="N1734" s="84"/>
      <c r="O1734" s="84"/>
      <c r="P1734" s="84"/>
      <c r="Q1734" s="84"/>
      <c r="R1734" s="84"/>
      <c r="S1734" s="84"/>
      <c r="T1734" s="84"/>
      <c r="U1734" s="84"/>
      <c r="V1734" s="84"/>
      <c r="W1734" s="84"/>
      <c r="X1734" s="84"/>
      <c r="Y1734" s="84"/>
      <c r="Z1734" s="87"/>
      <c r="AA1734" s="87"/>
      <c r="AB1734" s="87"/>
      <c r="AC1734" s="87"/>
      <c r="AD1734" s="87"/>
      <c r="AE1734" s="87"/>
      <c r="AF1734" s="87"/>
      <c r="AG1734" s="87"/>
      <c r="AH1734" s="87"/>
      <c r="AI1734" s="87"/>
      <c r="AJ1734" s="87"/>
      <c r="AK1734" s="87"/>
      <c r="AL1734" s="87"/>
      <c r="AM1734" s="87"/>
      <c r="AN1734" s="87"/>
      <c r="AO1734" s="87"/>
      <c r="AP1734" s="87"/>
      <c r="AQ1734" s="87"/>
      <c r="AR1734" s="87"/>
      <c r="AS1734" s="87"/>
      <c r="AT1734" s="87"/>
      <c r="AU1734" s="87"/>
      <c r="AV1734" s="87"/>
      <c r="AW1734" s="87"/>
      <c r="AX1734" s="87"/>
      <c r="AY1734" s="87"/>
      <c r="AZ1734" s="87"/>
      <c r="BA1734" s="87"/>
      <c r="BB1734" s="87"/>
      <c r="BC1734" s="87"/>
      <c r="BD1734" s="87"/>
      <c r="BE1734" s="87"/>
      <c r="BF1734" s="87"/>
      <c r="BG1734" s="87"/>
      <c r="BH1734" s="87"/>
    </row>
    <row r="1735" spans="1:60" ht="16">
      <c r="A1735" s="82"/>
      <c r="B1735" s="82"/>
      <c r="C1735" s="82"/>
      <c r="D1735" s="83"/>
      <c r="E1735" s="84"/>
      <c r="F1735" s="84"/>
      <c r="G1735" s="84"/>
      <c r="H1735" s="82"/>
      <c r="I1735" s="84"/>
      <c r="J1735" s="84"/>
      <c r="K1735" s="84"/>
      <c r="L1735" s="84"/>
      <c r="M1735" s="84"/>
      <c r="N1735" s="84"/>
      <c r="O1735" s="84"/>
      <c r="P1735" s="84"/>
      <c r="Q1735" s="84"/>
      <c r="R1735" s="84"/>
      <c r="S1735" s="84"/>
      <c r="T1735" s="84"/>
      <c r="U1735" s="84"/>
      <c r="V1735" s="84"/>
      <c r="W1735" s="84"/>
      <c r="X1735" s="84"/>
      <c r="Y1735" s="84"/>
      <c r="Z1735" s="87"/>
      <c r="AA1735" s="87"/>
      <c r="AB1735" s="87"/>
      <c r="AC1735" s="87"/>
      <c r="AD1735" s="87"/>
      <c r="AE1735" s="87"/>
      <c r="AF1735" s="87"/>
      <c r="AG1735" s="87"/>
      <c r="AH1735" s="87"/>
      <c r="AI1735" s="87"/>
      <c r="AJ1735" s="87"/>
      <c r="AK1735" s="87"/>
      <c r="AL1735" s="87"/>
      <c r="AM1735" s="87"/>
      <c r="AN1735" s="87"/>
      <c r="AO1735" s="87"/>
      <c r="AP1735" s="87"/>
      <c r="AQ1735" s="87"/>
      <c r="AR1735" s="87"/>
      <c r="AS1735" s="87"/>
      <c r="AT1735" s="87"/>
      <c r="AU1735" s="87"/>
      <c r="AV1735" s="87"/>
      <c r="AW1735" s="87"/>
      <c r="AX1735" s="87"/>
      <c r="AY1735" s="87"/>
      <c r="AZ1735" s="87"/>
      <c r="BA1735" s="87"/>
      <c r="BB1735" s="87"/>
      <c r="BC1735" s="87"/>
      <c r="BD1735" s="87"/>
      <c r="BE1735" s="87"/>
      <c r="BF1735" s="87"/>
      <c r="BG1735" s="87"/>
      <c r="BH1735" s="87"/>
    </row>
    <row r="1736" spans="1:60" ht="16">
      <c r="A1736" s="82"/>
      <c r="B1736" s="82"/>
      <c r="C1736" s="82"/>
      <c r="D1736" s="83"/>
      <c r="E1736" s="84"/>
      <c r="F1736" s="84"/>
      <c r="G1736" s="84"/>
      <c r="H1736" s="82"/>
      <c r="I1736" s="84"/>
      <c r="J1736" s="84"/>
      <c r="K1736" s="84"/>
      <c r="L1736" s="84"/>
      <c r="M1736" s="84"/>
      <c r="N1736" s="84"/>
      <c r="O1736" s="84"/>
      <c r="P1736" s="84"/>
      <c r="Q1736" s="84"/>
      <c r="R1736" s="84"/>
      <c r="S1736" s="84"/>
      <c r="T1736" s="84"/>
      <c r="U1736" s="84"/>
      <c r="V1736" s="84"/>
      <c r="W1736" s="84"/>
      <c r="X1736" s="84"/>
      <c r="Y1736" s="84"/>
      <c r="Z1736" s="87"/>
      <c r="AA1736" s="87"/>
      <c r="AB1736" s="87"/>
      <c r="AC1736" s="87"/>
      <c r="AD1736" s="87"/>
      <c r="AE1736" s="87"/>
      <c r="AF1736" s="87"/>
      <c r="AG1736" s="87"/>
      <c r="AH1736" s="87"/>
      <c r="AI1736" s="87"/>
      <c r="AJ1736" s="87"/>
      <c r="AK1736" s="87"/>
      <c r="AL1736" s="87"/>
      <c r="AM1736" s="87"/>
      <c r="AN1736" s="87"/>
      <c r="AO1736" s="87"/>
      <c r="AP1736" s="87"/>
      <c r="AQ1736" s="87"/>
      <c r="AR1736" s="87"/>
      <c r="AS1736" s="87"/>
      <c r="AT1736" s="87"/>
      <c r="AU1736" s="87"/>
      <c r="AV1736" s="87"/>
      <c r="AW1736" s="87"/>
      <c r="AX1736" s="87"/>
      <c r="AY1736" s="87"/>
      <c r="AZ1736" s="87"/>
      <c r="BA1736" s="87"/>
      <c r="BB1736" s="87"/>
      <c r="BC1736" s="87"/>
      <c r="BD1736" s="87"/>
      <c r="BE1736" s="87"/>
      <c r="BF1736" s="87"/>
      <c r="BG1736" s="87"/>
      <c r="BH1736" s="87"/>
    </row>
    <row r="1737" spans="1:60" ht="16">
      <c r="A1737" s="82"/>
      <c r="B1737" s="82"/>
      <c r="C1737" s="82"/>
      <c r="D1737" s="83"/>
      <c r="E1737" s="84"/>
      <c r="F1737" s="84"/>
      <c r="G1737" s="84"/>
      <c r="H1737" s="82"/>
      <c r="I1737" s="84"/>
      <c r="J1737" s="84"/>
      <c r="K1737" s="84"/>
      <c r="L1737" s="84"/>
      <c r="M1737" s="84"/>
      <c r="N1737" s="84"/>
      <c r="O1737" s="84"/>
      <c r="P1737" s="84"/>
      <c r="Q1737" s="84"/>
      <c r="R1737" s="84"/>
      <c r="S1737" s="84"/>
      <c r="T1737" s="84"/>
      <c r="U1737" s="84"/>
      <c r="V1737" s="84"/>
      <c r="W1737" s="84"/>
      <c r="X1737" s="84"/>
      <c r="Y1737" s="84"/>
      <c r="Z1737" s="87"/>
      <c r="AA1737" s="87"/>
      <c r="AB1737" s="87"/>
      <c r="AC1737" s="87"/>
      <c r="AD1737" s="87"/>
      <c r="AE1737" s="87"/>
      <c r="AF1737" s="87"/>
      <c r="AG1737" s="87"/>
      <c r="AH1737" s="87"/>
      <c r="AI1737" s="87"/>
      <c r="AJ1737" s="87"/>
      <c r="AK1737" s="87"/>
      <c r="AL1737" s="87"/>
      <c r="AM1737" s="87"/>
      <c r="AN1737" s="87"/>
      <c r="AO1737" s="87"/>
      <c r="AP1737" s="87"/>
      <c r="AQ1737" s="87"/>
      <c r="AR1737" s="87"/>
      <c r="AS1737" s="87"/>
      <c r="AT1737" s="87"/>
      <c r="AU1737" s="87"/>
      <c r="AV1737" s="87"/>
      <c r="AW1737" s="87"/>
      <c r="AX1737" s="87"/>
      <c r="AY1737" s="87"/>
      <c r="AZ1737" s="87"/>
      <c r="BA1737" s="87"/>
      <c r="BB1737" s="87"/>
      <c r="BC1737" s="87"/>
      <c r="BD1737" s="87"/>
      <c r="BE1737" s="87"/>
      <c r="BF1737" s="87"/>
      <c r="BG1737" s="87"/>
      <c r="BH1737" s="87"/>
    </row>
    <row r="1738" spans="1:60" ht="16">
      <c r="A1738" s="82"/>
      <c r="B1738" s="82"/>
      <c r="C1738" s="82"/>
      <c r="D1738" s="83"/>
      <c r="E1738" s="84"/>
      <c r="F1738" s="84"/>
      <c r="G1738" s="84"/>
      <c r="H1738" s="82"/>
      <c r="I1738" s="84"/>
      <c r="J1738" s="84"/>
      <c r="K1738" s="84"/>
      <c r="L1738" s="84"/>
      <c r="M1738" s="84"/>
      <c r="N1738" s="84"/>
      <c r="O1738" s="84"/>
      <c r="P1738" s="84"/>
      <c r="Q1738" s="84"/>
      <c r="R1738" s="84"/>
      <c r="S1738" s="84"/>
      <c r="T1738" s="84"/>
      <c r="U1738" s="84"/>
      <c r="V1738" s="84"/>
      <c r="W1738" s="84"/>
      <c r="X1738" s="84"/>
      <c r="Y1738" s="84"/>
      <c r="Z1738" s="87"/>
      <c r="AA1738" s="87"/>
      <c r="AB1738" s="87"/>
      <c r="AC1738" s="87"/>
      <c r="AD1738" s="87"/>
      <c r="AE1738" s="87"/>
      <c r="AF1738" s="87"/>
      <c r="AG1738" s="87"/>
      <c r="AH1738" s="87"/>
      <c r="AI1738" s="87"/>
      <c r="AJ1738" s="87"/>
      <c r="AK1738" s="87"/>
      <c r="AL1738" s="87"/>
      <c r="AM1738" s="87"/>
      <c r="AN1738" s="87"/>
      <c r="AO1738" s="87"/>
      <c r="AP1738" s="87"/>
      <c r="AQ1738" s="87"/>
      <c r="AR1738" s="87"/>
      <c r="AS1738" s="87"/>
      <c r="AT1738" s="87"/>
      <c r="AU1738" s="87"/>
      <c r="AV1738" s="87"/>
      <c r="AW1738" s="87"/>
      <c r="AX1738" s="87"/>
      <c r="AY1738" s="87"/>
      <c r="AZ1738" s="87"/>
      <c r="BA1738" s="87"/>
      <c r="BB1738" s="87"/>
      <c r="BC1738" s="87"/>
      <c r="BD1738" s="87"/>
      <c r="BE1738" s="87"/>
      <c r="BF1738" s="87"/>
      <c r="BG1738" s="87"/>
      <c r="BH1738" s="87"/>
    </row>
    <row r="1739" spans="1:60" ht="16">
      <c r="A1739" s="82"/>
      <c r="B1739" s="82"/>
      <c r="C1739" s="82"/>
      <c r="D1739" s="83"/>
      <c r="E1739" s="84"/>
      <c r="F1739" s="84"/>
      <c r="G1739" s="84"/>
      <c r="H1739" s="82"/>
      <c r="I1739" s="84"/>
      <c r="J1739" s="84"/>
      <c r="K1739" s="84"/>
      <c r="L1739" s="84"/>
      <c r="M1739" s="84"/>
      <c r="N1739" s="84"/>
      <c r="O1739" s="84"/>
      <c r="P1739" s="84"/>
      <c r="Q1739" s="84"/>
      <c r="R1739" s="84"/>
      <c r="S1739" s="84"/>
      <c r="T1739" s="84"/>
      <c r="U1739" s="84"/>
      <c r="V1739" s="84"/>
      <c r="W1739" s="84"/>
      <c r="X1739" s="84"/>
      <c r="Y1739" s="84"/>
      <c r="Z1739" s="87"/>
      <c r="AA1739" s="87"/>
      <c r="AB1739" s="87"/>
      <c r="AC1739" s="87"/>
      <c r="AD1739" s="87"/>
      <c r="AE1739" s="87"/>
      <c r="AF1739" s="87"/>
      <c r="AG1739" s="87"/>
      <c r="AH1739" s="87"/>
      <c r="AI1739" s="87"/>
      <c r="AJ1739" s="87"/>
      <c r="AK1739" s="87"/>
      <c r="AL1739" s="87"/>
      <c r="AM1739" s="87"/>
      <c r="AN1739" s="87"/>
      <c r="AO1739" s="87"/>
      <c r="AP1739" s="87"/>
      <c r="AQ1739" s="87"/>
      <c r="AR1739" s="87"/>
      <c r="AS1739" s="87"/>
      <c r="AT1739" s="87"/>
      <c r="AU1739" s="87"/>
      <c r="AV1739" s="87"/>
      <c r="AW1739" s="87"/>
      <c r="AX1739" s="87"/>
      <c r="AY1739" s="87"/>
      <c r="AZ1739" s="87"/>
      <c r="BA1739" s="87"/>
      <c r="BB1739" s="87"/>
      <c r="BC1739" s="87"/>
      <c r="BD1739" s="87"/>
      <c r="BE1739" s="87"/>
      <c r="BF1739" s="87"/>
      <c r="BG1739" s="87"/>
      <c r="BH1739" s="87"/>
    </row>
    <row r="1740" spans="1:60" ht="16">
      <c r="A1740" s="82"/>
      <c r="B1740" s="82"/>
      <c r="C1740" s="82"/>
      <c r="D1740" s="83"/>
      <c r="E1740" s="84"/>
      <c r="F1740" s="84"/>
      <c r="G1740" s="84"/>
      <c r="H1740" s="82"/>
      <c r="I1740" s="84"/>
      <c r="J1740" s="84"/>
      <c r="K1740" s="84"/>
      <c r="L1740" s="84"/>
      <c r="M1740" s="84"/>
      <c r="N1740" s="84"/>
      <c r="O1740" s="84"/>
      <c r="P1740" s="84"/>
      <c r="Q1740" s="84"/>
      <c r="R1740" s="84"/>
      <c r="S1740" s="84"/>
      <c r="T1740" s="84"/>
      <c r="U1740" s="84"/>
      <c r="V1740" s="84"/>
      <c r="W1740" s="84"/>
      <c r="X1740" s="84"/>
      <c r="Y1740" s="84"/>
      <c r="Z1740" s="87"/>
      <c r="AA1740" s="87"/>
      <c r="AB1740" s="87"/>
      <c r="AC1740" s="87"/>
      <c r="AD1740" s="87"/>
      <c r="AE1740" s="87"/>
      <c r="AF1740" s="87"/>
      <c r="AG1740" s="87"/>
      <c r="AH1740" s="87"/>
      <c r="AI1740" s="87"/>
      <c r="AJ1740" s="87"/>
      <c r="AK1740" s="87"/>
      <c r="AL1740" s="87"/>
      <c r="AM1740" s="87"/>
      <c r="AN1740" s="87"/>
      <c r="AO1740" s="87"/>
      <c r="AP1740" s="87"/>
      <c r="AQ1740" s="87"/>
      <c r="AR1740" s="87"/>
      <c r="AS1740" s="87"/>
      <c r="AT1740" s="87"/>
      <c r="AU1740" s="87"/>
      <c r="AV1740" s="87"/>
      <c r="AW1740" s="87"/>
      <c r="AX1740" s="87"/>
      <c r="AY1740" s="87"/>
      <c r="AZ1740" s="87"/>
      <c r="BA1740" s="87"/>
      <c r="BB1740" s="87"/>
      <c r="BC1740" s="87"/>
      <c r="BD1740" s="87"/>
      <c r="BE1740" s="87"/>
      <c r="BF1740" s="87"/>
      <c r="BG1740" s="87"/>
      <c r="BH1740" s="87"/>
    </row>
    <row r="1741" spans="1:60" ht="16">
      <c r="A1741" s="82"/>
      <c r="B1741" s="82"/>
      <c r="C1741" s="82"/>
      <c r="D1741" s="83"/>
      <c r="E1741" s="84"/>
      <c r="F1741" s="84"/>
      <c r="G1741" s="84"/>
      <c r="H1741" s="82"/>
      <c r="I1741" s="84"/>
      <c r="J1741" s="84"/>
      <c r="K1741" s="84"/>
      <c r="L1741" s="84"/>
      <c r="M1741" s="84"/>
      <c r="N1741" s="84"/>
      <c r="O1741" s="84"/>
      <c r="P1741" s="84"/>
      <c r="Q1741" s="84"/>
      <c r="R1741" s="84"/>
      <c r="S1741" s="84"/>
      <c r="T1741" s="84"/>
      <c r="U1741" s="84"/>
      <c r="V1741" s="84"/>
      <c r="W1741" s="84"/>
      <c r="X1741" s="84"/>
      <c r="Y1741" s="84"/>
      <c r="Z1741" s="87"/>
      <c r="AA1741" s="87"/>
      <c r="AB1741" s="87"/>
      <c r="AC1741" s="87"/>
      <c r="AD1741" s="87"/>
      <c r="AE1741" s="87"/>
      <c r="AF1741" s="87"/>
      <c r="AG1741" s="87"/>
      <c r="AH1741" s="87"/>
      <c r="AI1741" s="87"/>
      <c r="AJ1741" s="87"/>
      <c r="AK1741" s="87"/>
      <c r="AL1741" s="87"/>
      <c r="AM1741" s="87"/>
      <c r="AN1741" s="87"/>
      <c r="AO1741" s="87"/>
      <c r="AP1741" s="87"/>
      <c r="AQ1741" s="87"/>
      <c r="AR1741" s="87"/>
      <c r="AS1741" s="87"/>
      <c r="AT1741" s="87"/>
      <c r="AU1741" s="87"/>
      <c r="AV1741" s="87"/>
      <c r="AW1741" s="87"/>
      <c r="AX1741" s="87"/>
      <c r="AY1741" s="87"/>
      <c r="AZ1741" s="87"/>
      <c r="BA1741" s="87"/>
      <c r="BB1741" s="87"/>
      <c r="BC1741" s="87"/>
      <c r="BD1741" s="87"/>
      <c r="BE1741" s="87"/>
      <c r="BF1741" s="87"/>
      <c r="BG1741" s="87"/>
      <c r="BH1741" s="87"/>
    </row>
    <row r="1742" spans="1:60" ht="16">
      <c r="A1742" s="82"/>
      <c r="B1742" s="82"/>
      <c r="C1742" s="82"/>
      <c r="D1742" s="83"/>
      <c r="E1742" s="84"/>
      <c r="F1742" s="84"/>
      <c r="G1742" s="84"/>
      <c r="H1742" s="82"/>
      <c r="I1742" s="84"/>
      <c r="J1742" s="84"/>
      <c r="K1742" s="84"/>
      <c r="L1742" s="84"/>
      <c r="M1742" s="84"/>
      <c r="N1742" s="84"/>
      <c r="O1742" s="84"/>
      <c r="P1742" s="84"/>
      <c r="Q1742" s="84"/>
      <c r="R1742" s="84"/>
      <c r="S1742" s="84"/>
      <c r="T1742" s="84"/>
      <c r="U1742" s="84"/>
      <c r="V1742" s="84"/>
      <c r="W1742" s="84"/>
      <c r="X1742" s="84"/>
      <c r="Y1742" s="84"/>
      <c r="Z1742" s="87"/>
      <c r="AA1742" s="87"/>
      <c r="AB1742" s="87"/>
      <c r="AC1742" s="87"/>
      <c r="AD1742" s="87"/>
      <c r="AE1742" s="87"/>
      <c r="AF1742" s="87"/>
      <c r="AG1742" s="87"/>
      <c r="AH1742" s="87"/>
      <c r="AI1742" s="87"/>
      <c r="AJ1742" s="87"/>
      <c r="AK1742" s="87"/>
      <c r="AL1742" s="87"/>
      <c r="AM1742" s="87"/>
      <c r="AN1742" s="87"/>
      <c r="AO1742" s="87"/>
      <c r="AP1742" s="87"/>
      <c r="AQ1742" s="87"/>
      <c r="AR1742" s="87"/>
      <c r="AS1742" s="87"/>
      <c r="AT1742" s="87"/>
      <c r="AU1742" s="87"/>
      <c r="AV1742" s="87"/>
      <c r="AW1742" s="87"/>
      <c r="AX1742" s="87"/>
      <c r="AY1742" s="87"/>
      <c r="AZ1742" s="87"/>
      <c r="BA1742" s="87"/>
      <c r="BB1742" s="87"/>
      <c r="BC1742" s="87"/>
      <c r="BD1742" s="87"/>
      <c r="BE1742" s="87"/>
      <c r="BF1742" s="87"/>
      <c r="BG1742" s="87"/>
      <c r="BH1742" s="87"/>
    </row>
    <row r="1743" spans="1:60" ht="16">
      <c r="A1743" s="82"/>
      <c r="B1743" s="82"/>
      <c r="C1743" s="82"/>
      <c r="D1743" s="83"/>
      <c r="E1743" s="84"/>
      <c r="F1743" s="84"/>
      <c r="G1743" s="84"/>
      <c r="H1743" s="82"/>
      <c r="I1743" s="84"/>
      <c r="J1743" s="84"/>
      <c r="K1743" s="84"/>
      <c r="L1743" s="84"/>
      <c r="M1743" s="84"/>
      <c r="N1743" s="84"/>
      <c r="O1743" s="84"/>
      <c r="P1743" s="84"/>
      <c r="Q1743" s="84"/>
      <c r="R1743" s="84"/>
      <c r="S1743" s="84"/>
      <c r="T1743" s="84"/>
      <c r="U1743" s="84"/>
      <c r="V1743" s="84"/>
      <c r="W1743" s="84"/>
      <c r="X1743" s="84"/>
      <c r="Y1743" s="84"/>
      <c r="Z1743" s="87"/>
      <c r="AA1743" s="87"/>
      <c r="AB1743" s="87"/>
      <c r="AC1743" s="87"/>
      <c r="AD1743" s="87"/>
      <c r="AE1743" s="87"/>
      <c r="AF1743" s="87"/>
      <c r="AG1743" s="87"/>
      <c r="AH1743" s="87"/>
      <c r="AI1743" s="87"/>
      <c r="AJ1743" s="87"/>
      <c r="AK1743" s="87"/>
      <c r="AL1743" s="87"/>
      <c r="AM1743" s="87"/>
      <c r="AN1743" s="87"/>
      <c r="AO1743" s="87"/>
      <c r="AP1743" s="87"/>
      <c r="AQ1743" s="87"/>
      <c r="AR1743" s="87"/>
      <c r="AS1743" s="87"/>
      <c r="AT1743" s="87"/>
      <c r="AU1743" s="87"/>
      <c r="AV1743" s="87"/>
      <c r="AW1743" s="87"/>
      <c r="AX1743" s="87"/>
      <c r="AY1743" s="87"/>
      <c r="AZ1743" s="87"/>
      <c r="BA1743" s="87"/>
      <c r="BB1743" s="87"/>
      <c r="BC1743" s="87"/>
      <c r="BD1743" s="87"/>
      <c r="BE1743" s="87"/>
      <c r="BF1743" s="87"/>
      <c r="BG1743" s="87"/>
      <c r="BH1743" s="87"/>
    </row>
    <row r="1744" spans="1:60" ht="16">
      <c r="A1744" s="82"/>
      <c r="B1744" s="82"/>
      <c r="C1744" s="82"/>
      <c r="D1744" s="83"/>
      <c r="E1744" s="84"/>
      <c r="F1744" s="84"/>
      <c r="G1744" s="84"/>
      <c r="H1744" s="82"/>
      <c r="I1744" s="84"/>
      <c r="J1744" s="84"/>
      <c r="K1744" s="84"/>
      <c r="L1744" s="84"/>
      <c r="M1744" s="84"/>
      <c r="N1744" s="84"/>
      <c r="O1744" s="84"/>
      <c r="P1744" s="84"/>
      <c r="Q1744" s="84"/>
      <c r="R1744" s="84"/>
      <c r="S1744" s="84"/>
      <c r="T1744" s="84"/>
      <c r="U1744" s="84"/>
      <c r="V1744" s="84"/>
      <c r="W1744" s="84"/>
      <c r="X1744" s="84"/>
      <c r="Y1744" s="84"/>
      <c r="Z1744" s="87"/>
      <c r="AA1744" s="87"/>
      <c r="AB1744" s="87"/>
      <c r="AC1744" s="87"/>
      <c r="AD1744" s="87"/>
      <c r="AE1744" s="87"/>
      <c r="AF1744" s="87"/>
      <c r="AG1744" s="87"/>
      <c r="AH1744" s="87"/>
      <c r="AI1744" s="87"/>
      <c r="AJ1744" s="87"/>
      <c r="AK1744" s="87"/>
      <c r="AL1744" s="87"/>
      <c r="AM1744" s="87"/>
      <c r="AN1744" s="87"/>
      <c r="AO1744" s="87"/>
      <c r="AP1744" s="87"/>
      <c r="AQ1744" s="87"/>
      <c r="AR1744" s="87"/>
      <c r="AS1744" s="87"/>
      <c r="AT1744" s="87"/>
      <c r="AU1744" s="87"/>
      <c r="AV1744" s="87"/>
      <c r="AW1744" s="87"/>
      <c r="AX1744" s="87"/>
      <c r="AY1744" s="87"/>
      <c r="AZ1744" s="87"/>
      <c r="BA1744" s="87"/>
      <c r="BB1744" s="87"/>
      <c r="BC1744" s="87"/>
      <c r="BD1744" s="87"/>
      <c r="BE1744" s="87"/>
      <c r="BF1744" s="87"/>
      <c r="BG1744" s="87"/>
      <c r="BH1744" s="87"/>
    </row>
    <row r="1745" spans="1:60" ht="16">
      <c r="A1745" s="82"/>
      <c r="B1745" s="82"/>
      <c r="C1745" s="82"/>
      <c r="D1745" s="83"/>
      <c r="E1745" s="84"/>
      <c r="F1745" s="84"/>
      <c r="G1745" s="84"/>
      <c r="H1745" s="82"/>
      <c r="I1745" s="84"/>
      <c r="J1745" s="84"/>
      <c r="K1745" s="84"/>
      <c r="L1745" s="84"/>
      <c r="M1745" s="84"/>
      <c r="N1745" s="84"/>
      <c r="O1745" s="84"/>
      <c r="P1745" s="84"/>
      <c r="Q1745" s="84"/>
      <c r="R1745" s="84"/>
      <c r="S1745" s="84"/>
      <c r="T1745" s="84"/>
      <c r="U1745" s="84"/>
      <c r="V1745" s="84"/>
      <c r="W1745" s="84"/>
      <c r="X1745" s="84"/>
      <c r="Y1745" s="84"/>
      <c r="Z1745" s="87"/>
      <c r="AA1745" s="87"/>
      <c r="AB1745" s="87"/>
      <c r="AC1745" s="87"/>
      <c r="AD1745" s="87"/>
      <c r="AE1745" s="87"/>
      <c r="AF1745" s="87"/>
      <c r="AG1745" s="87"/>
      <c r="AH1745" s="87"/>
      <c r="AI1745" s="87"/>
      <c r="AJ1745" s="87"/>
      <c r="AK1745" s="87"/>
      <c r="AL1745" s="87"/>
      <c r="AM1745" s="87"/>
      <c r="AN1745" s="87"/>
      <c r="AO1745" s="87"/>
      <c r="AP1745" s="87"/>
      <c r="AQ1745" s="87"/>
      <c r="AR1745" s="87"/>
      <c r="AS1745" s="87"/>
      <c r="AT1745" s="87"/>
      <c r="AU1745" s="87"/>
      <c r="AV1745" s="87"/>
      <c r="AW1745" s="87"/>
      <c r="AX1745" s="87"/>
      <c r="AY1745" s="87"/>
      <c r="AZ1745" s="87"/>
      <c r="BA1745" s="87"/>
      <c r="BB1745" s="87"/>
      <c r="BC1745" s="87"/>
      <c r="BD1745" s="87"/>
      <c r="BE1745" s="87"/>
      <c r="BF1745" s="87"/>
      <c r="BG1745" s="87"/>
      <c r="BH1745" s="87"/>
    </row>
    <row r="1746" spans="1:60" ht="16">
      <c r="A1746" s="82"/>
      <c r="B1746" s="82"/>
      <c r="C1746" s="82"/>
      <c r="D1746" s="83"/>
      <c r="E1746" s="84"/>
      <c r="F1746" s="84"/>
      <c r="G1746" s="84"/>
      <c r="H1746" s="82"/>
      <c r="I1746" s="84"/>
      <c r="J1746" s="84"/>
      <c r="K1746" s="84"/>
      <c r="L1746" s="84"/>
      <c r="M1746" s="84"/>
      <c r="N1746" s="84"/>
      <c r="O1746" s="84"/>
      <c r="P1746" s="84"/>
      <c r="Q1746" s="84"/>
      <c r="R1746" s="84"/>
      <c r="S1746" s="84"/>
      <c r="T1746" s="84"/>
      <c r="U1746" s="84"/>
      <c r="V1746" s="84"/>
      <c r="W1746" s="84"/>
      <c r="X1746" s="84"/>
      <c r="Y1746" s="84"/>
      <c r="Z1746" s="87"/>
      <c r="AA1746" s="87"/>
      <c r="AB1746" s="87"/>
      <c r="AC1746" s="87"/>
      <c r="AD1746" s="87"/>
      <c r="AE1746" s="87"/>
      <c r="AF1746" s="87"/>
      <c r="AG1746" s="87"/>
      <c r="AH1746" s="87"/>
      <c r="AI1746" s="87"/>
      <c r="AJ1746" s="87"/>
      <c r="AK1746" s="87"/>
      <c r="AL1746" s="87"/>
      <c r="AM1746" s="87"/>
      <c r="AN1746" s="87"/>
      <c r="AO1746" s="87"/>
      <c r="AP1746" s="87"/>
      <c r="AQ1746" s="87"/>
      <c r="AR1746" s="87"/>
      <c r="AS1746" s="87"/>
      <c r="AT1746" s="87"/>
      <c r="AU1746" s="87"/>
      <c r="AV1746" s="87"/>
      <c r="AW1746" s="87"/>
      <c r="AX1746" s="87"/>
      <c r="AY1746" s="87"/>
      <c r="AZ1746" s="87"/>
      <c r="BA1746" s="87"/>
      <c r="BB1746" s="87"/>
      <c r="BC1746" s="87"/>
      <c r="BD1746" s="87"/>
      <c r="BE1746" s="87"/>
      <c r="BF1746" s="87"/>
      <c r="BG1746" s="87"/>
      <c r="BH1746" s="87"/>
    </row>
    <row r="1747" spans="1:60" ht="16">
      <c r="A1747" s="82"/>
      <c r="B1747" s="82"/>
      <c r="C1747" s="82"/>
      <c r="D1747" s="83"/>
      <c r="E1747" s="84"/>
      <c r="F1747" s="84"/>
      <c r="G1747" s="84"/>
      <c r="H1747" s="82"/>
      <c r="I1747" s="84"/>
      <c r="J1747" s="84"/>
      <c r="K1747" s="84"/>
      <c r="L1747" s="84"/>
      <c r="M1747" s="84"/>
      <c r="N1747" s="84"/>
      <c r="O1747" s="84"/>
      <c r="P1747" s="84"/>
      <c r="Q1747" s="84"/>
      <c r="R1747" s="84"/>
      <c r="S1747" s="84"/>
      <c r="T1747" s="84"/>
      <c r="U1747" s="84"/>
      <c r="V1747" s="84"/>
      <c r="W1747" s="84"/>
      <c r="X1747" s="84"/>
      <c r="Y1747" s="84"/>
      <c r="Z1747" s="87"/>
      <c r="AA1747" s="87"/>
      <c r="AB1747" s="87"/>
      <c r="AC1747" s="87"/>
      <c r="AD1747" s="87"/>
      <c r="AE1747" s="87"/>
      <c r="AF1747" s="87"/>
      <c r="AG1747" s="87"/>
      <c r="AH1747" s="87"/>
      <c r="AI1747" s="87"/>
      <c r="AJ1747" s="87"/>
      <c r="AK1747" s="87"/>
      <c r="AL1747" s="87"/>
      <c r="AM1747" s="87"/>
      <c r="AN1747" s="87"/>
      <c r="AO1747" s="87"/>
      <c r="AP1747" s="87"/>
      <c r="AQ1747" s="87"/>
      <c r="AR1747" s="87"/>
      <c r="AS1747" s="87"/>
      <c r="AT1747" s="87"/>
      <c r="AU1747" s="87"/>
      <c r="AV1747" s="87"/>
      <c r="AW1747" s="87"/>
      <c r="AX1747" s="87"/>
      <c r="AY1747" s="87"/>
      <c r="AZ1747" s="87"/>
      <c r="BA1747" s="87"/>
      <c r="BB1747" s="87"/>
      <c r="BC1747" s="87"/>
      <c r="BD1747" s="87"/>
      <c r="BE1747" s="87"/>
      <c r="BF1747" s="87"/>
      <c r="BG1747" s="87"/>
      <c r="BH1747" s="87"/>
    </row>
    <row r="1748" spans="1:60" ht="16">
      <c r="A1748" s="82"/>
      <c r="B1748" s="82"/>
      <c r="C1748" s="82"/>
      <c r="D1748" s="83"/>
      <c r="E1748" s="84"/>
      <c r="F1748" s="84"/>
      <c r="G1748" s="84"/>
      <c r="H1748" s="82"/>
      <c r="I1748" s="84"/>
      <c r="J1748" s="84"/>
      <c r="K1748" s="84"/>
      <c r="L1748" s="84"/>
      <c r="M1748" s="84"/>
      <c r="N1748" s="84"/>
      <c r="O1748" s="84"/>
      <c r="P1748" s="84"/>
      <c r="Q1748" s="84"/>
      <c r="R1748" s="84"/>
      <c r="S1748" s="84"/>
      <c r="T1748" s="84"/>
      <c r="U1748" s="84"/>
      <c r="V1748" s="84"/>
      <c r="W1748" s="84"/>
      <c r="X1748" s="84"/>
      <c r="Y1748" s="84"/>
      <c r="Z1748" s="87"/>
      <c r="AA1748" s="87"/>
      <c r="AB1748" s="87"/>
      <c r="AC1748" s="87"/>
      <c r="AD1748" s="87"/>
      <c r="AE1748" s="87"/>
      <c r="AF1748" s="87"/>
      <c r="AG1748" s="87"/>
      <c r="AH1748" s="87"/>
      <c r="AI1748" s="87"/>
      <c r="AJ1748" s="87"/>
      <c r="AK1748" s="87"/>
      <c r="AL1748" s="87"/>
      <c r="AM1748" s="87"/>
      <c r="AN1748" s="87"/>
      <c r="AO1748" s="87"/>
      <c r="AP1748" s="87"/>
      <c r="AQ1748" s="87"/>
      <c r="AR1748" s="87"/>
      <c r="AS1748" s="87"/>
      <c r="AT1748" s="87"/>
      <c r="AU1748" s="87"/>
      <c r="AV1748" s="87"/>
      <c r="AW1748" s="87"/>
      <c r="AX1748" s="87"/>
      <c r="AY1748" s="87"/>
      <c r="AZ1748" s="87"/>
      <c r="BA1748" s="87"/>
      <c r="BB1748" s="87"/>
      <c r="BC1748" s="87"/>
      <c r="BD1748" s="87"/>
      <c r="BE1748" s="87"/>
      <c r="BF1748" s="87"/>
      <c r="BG1748" s="87"/>
      <c r="BH1748" s="87"/>
    </row>
    <row r="1749" spans="1:60" ht="16">
      <c r="A1749" s="82"/>
      <c r="B1749" s="82"/>
      <c r="C1749" s="82"/>
      <c r="D1749" s="83"/>
      <c r="E1749" s="84"/>
      <c r="F1749" s="84"/>
      <c r="G1749" s="84"/>
      <c r="H1749" s="82"/>
      <c r="I1749" s="84"/>
      <c r="J1749" s="84"/>
      <c r="K1749" s="84"/>
      <c r="L1749" s="84"/>
      <c r="M1749" s="84"/>
      <c r="N1749" s="84"/>
      <c r="O1749" s="84"/>
      <c r="P1749" s="84"/>
      <c r="Q1749" s="84"/>
      <c r="R1749" s="84"/>
      <c r="S1749" s="84"/>
      <c r="T1749" s="84"/>
      <c r="U1749" s="84"/>
      <c r="V1749" s="84"/>
      <c r="W1749" s="84"/>
      <c r="X1749" s="84"/>
      <c r="Y1749" s="84"/>
      <c r="Z1749" s="87"/>
      <c r="AA1749" s="87"/>
      <c r="AB1749" s="87"/>
      <c r="AC1749" s="87"/>
      <c r="AD1749" s="87"/>
      <c r="AE1749" s="87"/>
      <c r="AF1749" s="87"/>
      <c r="AG1749" s="87"/>
      <c r="AH1749" s="87"/>
      <c r="AI1749" s="87"/>
      <c r="AJ1749" s="87"/>
      <c r="AK1749" s="87"/>
      <c r="AL1749" s="87"/>
      <c r="AM1749" s="87"/>
      <c r="AN1749" s="87"/>
      <c r="AO1749" s="87"/>
      <c r="AP1749" s="87"/>
      <c r="AQ1749" s="87"/>
      <c r="AR1749" s="87"/>
      <c r="AS1749" s="87"/>
      <c r="AT1749" s="87"/>
      <c r="AU1749" s="87"/>
      <c r="AV1749" s="87"/>
      <c r="AW1749" s="87"/>
      <c r="AX1749" s="87"/>
      <c r="AY1749" s="87"/>
      <c r="AZ1749" s="87"/>
      <c r="BA1749" s="87"/>
      <c r="BB1749" s="87"/>
      <c r="BC1749" s="87"/>
      <c r="BD1749" s="87"/>
      <c r="BE1749" s="87"/>
      <c r="BF1749" s="87"/>
      <c r="BG1749" s="87"/>
      <c r="BH1749" s="87"/>
    </row>
    <row r="1750" spans="1:60" ht="16">
      <c r="A1750" s="82"/>
      <c r="B1750" s="82"/>
      <c r="C1750" s="82"/>
      <c r="D1750" s="83"/>
      <c r="E1750" s="84"/>
      <c r="F1750" s="84"/>
      <c r="G1750" s="84"/>
      <c r="H1750" s="82"/>
      <c r="I1750" s="84"/>
      <c r="J1750" s="84"/>
      <c r="K1750" s="84"/>
      <c r="L1750" s="84"/>
      <c r="M1750" s="84"/>
      <c r="N1750" s="84"/>
      <c r="O1750" s="84"/>
      <c r="P1750" s="84"/>
      <c r="Q1750" s="84"/>
      <c r="R1750" s="84"/>
      <c r="S1750" s="84"/>
      <c r="T1750" s="84"/>
      <c r="U1750" s="84"/>
      <c r="V1750" s="84"/>
      <c r="W1750" s="84"/>
      <c r="X1750" s="84"/>
      <c r="Y1750" s="84"/>
      <c r="Z1750" s="87"/>
      <c r="AA1750" s="87"/>
      <c r="AB1750" s="87"/>
      <c r="AC1750" s="87"/>
      <c r="AD1750" s="87"/>
      <c r="AE1750" s="87"/>
      <c r="AF1750" s="87"/>
      <c r="AG1750" s="87"/>
      <c r="AH1750" s="87"/>
      <c r="AI1750" s="87"/>
      <c r="AJ1750" s="87"/>
      <c r="AK1750" s="87"/>
      <c r="AL1750" s="87"/>
      <c r="AM1750" s="87"/>
      <c r="AN1750" s="87"/>
      <c r="AO1750" s="87"/>
      <c r="AP1750" s="87"/>
      <c r="AQ1750" s="87"/>
      <c r="AR1750" s="87"/>
      <c r="AS1750" s="87"/>
      <c r="AT1750" s="87"/>
      <c r="AU1750" s="87"/>
      <c r="AV1750" s="87"/>
      <c r="AW1750" s="87"/>
      <c r="AX1750" s="87"/>
      <c r="AY1750" s="87"/>
      <c r="AZ1750" s="87"/>
      <c r="BA1750" s="87"/>
      <c r="BB1750" s="87"/>
      <c r="BC1750" s="87"/>
      <c r="BD1750" s="87"/>
      <c r="BE1750" s="87"/>
      <c r="BF1750" s="87"/>
      <c r="BG1750" s="87"/>
      <c r="BH1750" s="87"/>
    </row>
    <row r="1751" spans="1:60" ht="16">
      <c r="A1751" s="82"/>
      <c r="B1751" s="82"/>
      <c r="C1751" s="82"/>
      <c r="D1751" s="83"/>
      <c r="E1751" s="84"/>
      <c r="F1751" s="84"/>
      <c r="G1751" s="84"/>
      <c r="H1751" s="82"/>
      <c r="I1751" s="84"/>
      <c r="J1751" s="84"/>
      <c r="K1751" s="84"/>
      <c r="L1751" s="84"/>
      <c r="M1751" s="84"/>
      <c r="N1751" s="84"/>
      <c r="O1751" s="84"/>
      <c r="P1751" s="84"/>
      <c r="Q1751" s="84"/>
      <c r="R1751" s="84"/>
      <c r="S1751" s="84"/>
      <c r="T1751" s="84"/>
      <c r="U1751" s="84"/>
      <c r="V1751" s="84"/>
      <c r="W1751" s="84"/>
      <c r="X1751" s="84"/>
      <c r="Y1751" s="84"/>
      <c r="Z1751" s="87"/>
      <c r="AA1751" s="87"/>
      <c r="AB1751" s="87"/>
      <c r="AC1751" s="87"/>
      <c r="AD1751" s="87"/>
      <c r="AE1751" s="87"/>
      <c r="AF1751" s="87"/>
      <c r="AG1751" s="87"/>
      <c r="AH1751" s="87"/>
      <c r="AI1751" s="87"/>
      <c r="AJ1751" s="87"/>
      <c r="AK1751" s="87"/>
      <c r="AL1751" s="87"/>
      <c r="AM1751" s="87"/>
      <c r="AN1751" s="87"/>
      <c r="AO1751" s="87"/>
      <c r="AP1751" s="87"/>
      <c r="AQ1751" s="87"/>
      <c r="AR1751" s="87"/>
      <c r="AS1751" s="87"/>
      <c r="AT1751" s="87"/>
      <c r="AU1751" s="87"/>
      <c r="AV1751" s="87"/>
      <c r="AW1751" s="87"/>
      <c r="AX1751" s="87"/>
      <c r="AY1751" s="87"/>
      <c r="AZ1751" s="87"/>
      <c r="BA1751" s="87"/>
      <c r="BB1751" s="87"/>
      <c r="BC1751" s="87"/>
      <c r="BD1751" s="87"/>
      <c r="BE1751" s="87"/>
      <c r="BF1751" s="87"/>
      <c r="BG1751" s="87"/>
      <c r="BH1751" s="87"/>
    </row>
    <row r="1752" spans="1:60" ht="16">
      <c r="A1752" s="82"/>
      <c r="B1752" s="82"/>
      <c r="C1752" s="82"/>
      <c r="D1752" s="83"/>
      <c r="E1752" s="84"/>
      <c r="F1752" s="84"/>
      <c r="G1752" s="84"/>
      <c r="H1752" s="82"/>
      <c r="I1752" s="84"/>
      <c r="J1752" s="84"/>
      <c r="K1752" s="84"/>
      <c r="L1752" s="84"/>
      <c r="M1752" s="84"/>
      <c r="N1752" s="84"/>
      <c r="O1752" s="84"/>
      <c r="P1752" s="84"/>
      <c r="Q1752" s="84"/>
      <c r="R1752" s="84"/>
      <c r="S1752" s="84"/>
      <c r="T1752" s="84"/>
      <c r="U1752" s="84"/>
      <c r="V1752" s="84"/>
      <c r="W1752" s="84"/>
      <c r="X1752" s="84"/>
      <c r="Y1752" s="84"/>
      <c r="Z1752" s="87"/>
      <c r="AA1752" s="87"/>
      <c r="AB1752" s="87"/>
      <c r="AC1752" s="87"/>
      <c r="AD1752" s="87"/>
      <c r="AE1752" s="87"/>
      <c r="AF1752" s="87"/>
      <c r="AG1752" s="87"/>
      <c r="AH1752" s="87"/>
      <c r="AI1752" s="87"/>
      <c r="AJ1752" s="87"/>
      <c r="AK1752" s="87"/>
      <c r="AL1752" s="87"/>
      <c r="AM1752" s="87"/>
      <c r="AN1752" s="87"/>
      <c r="AO1752" s="87"/>
      <c r="AP1752" s="87"/>
      <c r="AQ1752" s="87"/>
      <c r="AR1752" s="87"/>
      <c r="AS1752" s="87"/>
      <c r="AT1752" s="87"/>
      <c r="AU1752" s="87"/>
      <c r="AV1752" s="87"/>
      <c r="AW1752" s="87"/>
      <c r="AX1752" s="87"/>
      <c r="AY1752" s="87"/>
      <c r="AZ1752" s="87"/>
      <c r="BA1752" s="87"/>
      <c r="BB1752" s="87"/>
      <c r="BC1752" s="87"/>
      <c r="BD1752" s="87"/>
      <c r="BE1752" s="87"/>
      <c r="BF1752" s="87"/>
      <c r="BG1752" s="87"/>
      <c r="BH1752" s="87"/>
    </row>
    <row r="1753" spans="1:60" ht="16">
      <c r="A1753" s="82"/>
      <c r="B1753" s="82"/>
      <c r="C1753" s="82"/>
      <c r="D1753" s="83"/>
      <c r="E1753" s="84"/>
      <c r="F1753" s="84"/>
      <c r="G1753" s="84"/>
      <c r="H1753" s="82"/>
      <c r="I1753" s="84"/>
      <c r="J1753" s="84"/>
      <c r="K1753" s="84"/>
      <c r="L1753" s="84"/>
      <c r="M1753" s="84"/>
      <c r="N1753" s="84"/>
      <c r="O1753" s="84"/>
      <c r="P1753" s="84"/>
      <c r="Q1753" s="84"/>
      <c r="R1753" s="84"/>
      <c r="S1753" s="84"/>
      <c r="T1753" s="84"/>
      <c r="U1753" s="84"/>
      <c r="V1753" s="84"/>
      <c r="W1753" s="84"/>
      <c r="X1753" s="84"/>
      <c r="Y1753" s="84"/>
      <c r="Z1753" s="87"/>
      <c r="AA1753" s="87"/>
      <c r="AB1753" s="87"/>
      <c r="AC1753" s="87"/>
      <c r="AD1753" s="87"/>
      <c r="AE1753" s="87"/>
      <c r="AF1753" s="87"/>
      <c r="AG1753" s="87"/>
      <c r="AH1753" s="87"/>
      <c r="AI1753" s="87"/>
      <c r="AJ1753" s="87"/>
      <c r="AK1753" s="87"/>
      <c r="AL1753" s="87"/>
      <c r="AM1753" s="87"/>
      <c r="AN1753" s="87"/>
      <c r="AO1753" s="87"/>
      <c r="AP1753" s="87"/>
      <c r="AQ1753" s="87"/>
      <c r="AR1753" s="87"/>
      <c r="AS1753" s="87"/>
      <c r="AT1753" s="87"/>
      <c r="AU1753" s="87"/>
      <c r="AV1753" s="87"/>
      <c r="AW1753" s="87"/>
      <c r="AX1753" s="87"/>
      <c r="AY1753" s="87"/>
      <c r="AZ1753" s="87"/>
      <c r="BA1753" s="87"/>
      <c r="BB1753" s="87"/>
      <c r="BC1753" s="87"/>
      <c r="BD1753" s="87"/>
      <c r="BE1753" s="87"/>
      <c r="BF1753" s="87"/>
      <c r="BG1753" s="87"/>
      <c r="BH1753" s="87"/>
    </row>
    <row r="1754" spans="1:60" ht="16">
      <c r="A1754" s="82"/>
      <c r="B1754" s="82"/>
      <c r="C1754" s="82"/>
      <c r="D1754" s="83"/>
      <c r="E1754" s="84"/>
      <c r="F1754" s="84"/>
      <c r="G1754" s="84"/>
      <c r="H1754" s="82"/>
      <c r="I1754" s="84"/>
      <c r="J1754" s="84"/>
      <c r="K1754" s="84"/>
      <c r="L1754" s="84"/>
      <c r="M1754" s="84"/>
      <c r="N1754" s="84"/>
      <c r="O1754" s="84"/>
      <c r="P1754" s="84"/>
      <c r="Q1754" s="84"/>
      <c r="R1754" s="84"/>
      <c r="S1754" s="84"/>
      <c r="T1754" s="84"/>
      <c r="U1754" s="84"/>
      <c r="V1754" s="84"/>
      <c r="W1754" s="84"/>
      <c r="X1754" s="84"/>
      <c r="Y1754" s="84"/>
      <c r="Z1754" s="87"/>
      <c r="AA1754" s="87"/>
      <c r="AB1754" s="87"/>
      <c r="AC1754" s="87"/>
      <c r="AD1754" s="87"/>
      <c r="AE1754" s="87"/>
      <c r="AF1754" s="87"/>
      <c r="AG1754" s="87"/>
      <c r="AH1754" s="87"/>
      <c r="AI1754" s="87"/>
      <c r="AJ1754" s="87"/>
      <c r="AK1754" s="87"/>
      <c r="AL1754" s="87"/>
      <c r="AM1754" s="87"/>
      <c r="AN1754" s="87"/>
      <c r="AO1754" s="87"/>
      <c r="AP1754" s="87"/>
      <c r="AQ1754" s="87"/>
      <c r="AR1754" s="87"/>
      <c r="AS1754" s="87"/>
      <c r="AT1754" s="87"/>
      <c r="AU1754" s="87"/>
      <c r="AV1754" s="87"/>
      <c r="AW1754" s="87"/>
      <c r="AX1754" s="87"/>
      <c r="AY1754" s="87"/>
      <c r="AZ1754" s="87"/>
      <c r="BA1754" s="87"/>
      <c r="BB1754" s="87"/>
      <c r="BC1754" s="87"/>
      <c r="BD1754" s="87"/>
      <c r="BE1754" s="87"/>
      <c r="BF1754" s="87"/>
      <c r="BG1754" s="87"/>
      <c r="BH1754" s="87"/>
    </row>
    <row r="1755" spans="1:60" ht="16">
      <c r="A1755" s="82"/>
      <c r="B1755" s="82"/>
      <c r="C1755" s="82"/>
      <c r="D1755" s="83"/>
      <c r="E1755" s="84"/>
      <c r="F1755" s="84"/>
      <c r="G1755" s="84"/>
      <c r="H1755" s="82"/>
      <c r="I1755" s="84"/>
      <c r="J1755" s="84"/>
      <c r="K1755" s="84"/>
      <c r="L1755" s="84"/>
      <c r="M1755" s="84"/>
      <c r="N1755" s="84"/>
      <c r="O1755" s="84"/>
      <c r="P1755" s="84"/>
      <c r="Q1755" s="84"/>
      <c r="R1755" s="84"/>
      <c r="S1755" s="84"/>
      <c r="T1755" s="84"/>
      <c r="U1755" s="84"/>
      <c r="V1755" s="84"/>
      <c r="W1755" s="84"/>
      <c r="X1755" s="84"/>
      <c r="Y1755" s="84"/>
      <c r="Z1755" s="87"/>
      <c r="AA1755" s="87"/>
      <c r="AB1755" s="87"/>
      <c r="AC1755" s="87"/>
      <c r="AD1755" s="87"/>
      <c r="AE1755" s="87"/>
      <c r="AF1755" s="87"/>
      <c r="AG1755" s="87"/>
      <c r="AH1755" s="87"/>
      <c r="AI1755" s="87"/>
      <c r="AJ1755" s="87"/>
      <c r="AK1755" s="87"/>
      <c r="AL1755" s="87"/>
      <c r="AM1755" s="87"/>
      <c r="AN1755" s="87"/>
      <c r="AO1755" s="87"/>
      <c r="AP1755" s="87"/>
      <c r="AQ1755" s="87"/>
      <c r="AR1755" s="87"/>
      <c r="AS1755" s="87"/>
      <c r="AT1755" s="87"/>
      <c r="AU1755" s="87"/>
      <c r="AV1755" s="87"/>
      <c r="AW1755" s="87"/>
      <c r="AX1755" s="87"/>
      <c r="AY1755" s="87"/>
      <c r="AZ1755" s="87"/>
      <c r="BA1755" s="87"/>
      <c r="BB1755" s="87"/>
      <c r="BC1755" s="87"/>
      <c r="BD1755" s="87"/>
      <c r="BE1755" s="87"/>
      <c r="BF1755" s="87"/>
      <c r="BG1755" s="87"/>
      <c r="BH1755" s="87"/>
    </row>
    <row r="1756" spans="1:60" ht="16">
      <c r="A1756" s="82"/>
      <c r="B1756" s="82"/>
      <c r="C1756" s="82"/>
      <c r="D1756" s="83"/>
      <c r="E1756" s="84"/>
      <c r="F1756" s="84"/>
      <c r="G1756" s="84"/>
      <c r="H1756" s="82"/>
      <c r="I1756" s="84"/>
      <c r="J1756" s="84"/>
      <c r="K1756" s="84"/>
      <c r="L1756" s="84"/>
      <c r="M1756" s="84"/>
      <c r="N1756" s="84"/>
      <c r="O1756" s="84"/>
      <c r="P1756" s="84"/>
      <c r="Q1756" s="84"/>
      <c r="R1756" s="84"/>
      <c r="S1756" s="84"/>
      <c r="T1756" s="84"/>
      <c r="U1756" s="84"/>
      <c r="V1756" s="84"/>
      <c r="W1756" s="84"/>
      <c r="X1756" s="84"/>
      <c r="Y1756" s="84"/>
      <c r="Z1756" s="87"/>
      <c r="AA1756" s="87"/>
      <c r="AB1756" s="87"/>
      <c r="AC1756" s="87"/>
      <c r="AD1756" s="87"/>
      <c r="AE1756" s="87"/>
      <c r="AF1756" s="87"/>
      <c r="AG1756" s="87"/>
      <c r="AH1756" s="87"/>
      <c r="AI1756" s="87"/>
      <c r="AJ1756" s="87"/>
      <c r="AK1756" s="87"/>
      <c r="AL1756" s="87"/>
      <c r="AM1756" s="87"/>
      <c r="AN1756" s="87"/>
      <c r="AO1756" s="87"/>
      <c r="AP1756" s="87"/>
      <c r="AQ1756" s="87"/>
      <c r="AR1756" s="87"/>
      <c r="AS1756" s="87"/>
      <c r="AT1756" s="87"/>
      <c r="AU1756" s="87"/>
      <c r="AV1756" s="87"/>
      <c r="AW1756" s="87"/>
      <c r="AX1756" s="87"/>
      <c r="AY1756" s="87"/>
      <c r="AZ1756" s="87"/>
      <c r="BA1756" s="87"/>
      <c r="BB1756" s="87"/>
      <c r="BC1756" s="87"/>
      <c r="BD1756" s="87"/>
      <c r="BE1756" s="87"/>
      <c r="BF1756" s="87"/>
      <c r="BG1756" s="87"/>
      <c r="BH1756" s="87"/>
    </row>
    <row r="1757" spans="1:60" ht="16">
      <c r="A1757" s="82"/>
      <c r="B1757" s="82"/>
      <c r="C1757" s="82"/>
      <c r="D1757" s="83"/>
      <c r="E1757" s="84"/>
      <c r="F1757" s="84"/>
      <c r="G1757" s="84"/>
      <c r="H1757" s="82"/>
      <c r="I1757" s="84"/>
      <c r="J1757" s="84"/>
      <c r="K1757" s="84"/>
      <c r="L1757" s="84"/>
      <c r="M1757" s="84"/>
      <c r="N1757" s="84"/>
      <c r="O1757" s="84"/>
      <c r="P1757" s="84"/>
      <c r="Q1757" s="84"/>
      <c r="R1757" s="84"/>
      <c r="S1757" s="84"/>
      <c r="T1757" s="84"/>
      <c r="U1757" s="84"/>
      <c r="V1757" s="84"/>
      <c r="W1757" s="84"/>
      <c r="X1757" s="84"/>
      <c r="Y1757" s="84"/>
      <c r="Z1757" s="87"/>
      <c r="AA1757" s="87"/>
      <c r="AB1757" s="87"/>
      <c r="AC1757" s="87"/>
      <c r="AD1757" s="87"/>
      <c r="AE1757" s="87"/>
      <c r="AF1757" s="87"/>
      <c r="AG1757" s="87"/>
      <c r="AH1757" s="87"/>
      <c r="AI1757" s="87"/>
      <c r="AJ1757" s="87"/>
      <c r="AK1757" s="87"/>
      <c r="AL1757" s="87"/>
      <c r="AM1757" s="87"/>
      <c r="AN1757" s="87"/>
      <c r="AO1757" s="87"/>
      <c r="AP1757" s="87"/>
      <c r="AQ1757" s="87"/>
      <c r="AR1757" s="87"/>
      <c r="AS1757" s="87"/>
      <c r="AT1757" s="87"/>
      <c r="AU1757" s="87"/>
      <c r="AV1757" s="87"/>
      <c r="AW1757" s="87"/>
      <c r="AX1757" s="87"/>
      <c r="AY1757" s="87"/>
      <c r="AZ1757" s="87"/>
      <c r="BA1757" s="87"/>
      <c r="BB1757" s="87"/>
      <c r="BC1757" s="87"/>
      <c r="BD1757" s="87"/>
      <c r="BE1757" s="87"/>
      <c r="BF1757" s="87"/>
      <c r="BG1757" s="87"/>
      <c r="BH1757" s="87"/>
    </row>
    <row r="1758" spans="1:60" ht="16">
      <c r="A1758" s="82"/>
      <c r="B1758" s="82"/>
      <c r="C1758" s="82"/>
      <c r="D1758" s="83"/>
      <c r="E1758" s="84"/>
      <c r="F1758" s="84"/>
      <c r="G1758" s="84"/>
      <c r="H1758" s="82"/>
      <c r="I1758" s="84"/>
      <c r="J1758" s="84"/>
      <c r="K1758" s="84"/>
      <c r="L1758" s="84"/>
      <c r="M1758" s="84"/>
      <c r="N1758" s="84"/>
      <c r="O1758" s="84"/>
      <c r="P1758" s="84"/>
      <c r="Q1758" s="84"/>
      <c r="R1758" s="84"/>
      <c r="S1758" s="84"/>
      <c r="T1758" s="84"/>
      <c r="U1758" s="84"/>
      <c r="V1758" s="84"/>
      <c r="W1758" s="84"/>
      <c r="X1758" s="84"/>
      <c r="Y1758" s="84"/>
      <c r="Z1758" s="87"/>
      <c r="AA1758" s="87"/>
      <c r="AB1758" s="87"/>
      <c r="AC1758" s="87"/>
      <c r="AD1758" s="87"/>
      <c r="AE1758" s="87"/>
      <c r="AF1758" s="87"/>
      <c r="AG1758" s="87"/>
      <c r="AH1758" s="87"/>
      <c r="AI1758" s="87"/>
      <c r="AJ1758" s="87"/>
      <c r="AK1758" s="87"/>
      <c r="AL1758" s="87"/>
      <c r="AM1758" s="87"/>
      <c r="AN1758" s="87"/>
      <c r="AO1758" s="87"/>
      <c r="AP1758" s="87"/>
      <c r="AQ1758" s="87"/>
      <c r="AR1758" s="87"/>
      <c r="AS1758" s="87"/>
      <c r="AT1758" s="87"/>
      <c r="AU1758" s="87"/>
      <c r="AV1758" s="87"/>
      <c r="AW1758" s="87"/>
      <c r="AX1758" s="87"/>
      <c r="AY1758" s="87"/>
      <c r="AZ1758" s="87"/>
      <c r="BA1758" s="87"/>
      <c r="BB1758" s="87"/>
      <c r="BC1758" s="87"/>
      <c r="BD1758" s="87"/>
      <c r="BE1758" s="87"/>
      <c r="BF1758" s="87"/>
      <c r="BG1758" s="87"/>
      <c r="BH1758" s="87"/>
    </row>
    <row r="1759" spans="1:60" ht="16">
      <c r="A1759" s="82"/>
      <c r="B1759" s="82"/>
      <c r="C1759" s="82"/>
      <c r="D1759" s="83"/>
      <c r="E1759" s="84"/>
      <c r="F1759" s="84"/>
      <c r="G1759" s="84"/>
      <c r="H1759" s="82"/>
      <c r="I1759" s="84"/>
      <c r="J1759" s="84"/>
      <c r="K1759" s="84"/>
      <c r="L1759" s="84"/>
      <c r="M1759" s="84"/>
      <c r="N1759" s="84"/>
      <c r="O1759" s="84"/>
      <c r="P1759" s="84"/>
      <c r="Q1759" s="84"/>
      <c r="R1759" s="84"/>
      <c r="S1759" s="84"/>
      <c r="T1759" s="84"/>
      <c r="U1759" s="84"/>
      <c r="V1759" s="84"/>
      <c r="W1759" s="84"/>
      <c r="X1759" s="84"/>
      <c r="Y1759" s="84"/>
      <c r="Z1759" s="87"/>
      <c r="AA1759" s="87"/>
      <c r="AB1759" s="87"/>
      <c r="AC1759" s="87"/>
      <c r="AD1759" s="87"/>
      <c r="AE1759" s="87"/>
      <c r="AF1759" s="87"/>
      <c r="AG1759" s="87"/>
      <c r="AH1759" s="87"/>
      <c r="AI1759" s="87"/>
      <c r="AJ1759" s="87"/>
      <c r="AK1759" s="87"/>
      <c r="AL1759" s="87"/>
      <c r="AM1759" s="87"/>
      <c r="AN1759" s="87"/>
      <c r="AO1759" s="87"/>
      <c r="AP1759" s="87"/>
      <c r="AQ1759" s="87"/>
      <c r="AR1759" s="87"/>
      <c r="AS1759" s="87"/>
      <c r="AT1759" s="87"/>
      <c r="AU1759" s="87"/>
      <c r="AV1759" s="87"/>
      <c r="AW1759" s="87"/>
      <c r="AX1759" s="87"/>
      <c r="AY1759" s="87"/>
      <c r="AZ1759" s="87"/>
      <c r="BA1759" s="87"/>
      <c r="BB1759" s="87"/>
      <c r="BC1759" s="87"/>
      <c r="BD1759" s="87"/>
      <c r="BE1759" s="87"/>
      <c r="BF1759" s="87"/>
      <c r="BG1759" s="87"/>
      <c r="BH1759" s="87"/>
    </row>
    <row r="1760" spans="1:60" ht="16">
      <c r="A1760" s="82"/>
      <c r="B1760" s="82"/>
      <c r="C1760" s="82"/>
      <c r="D1760" s="83"/>
      <c r="E1760" s="84"/>
      <c r="F1760" s="84"/>
      <c r="G1760" s="84"/>
      <c r="H1760" s="82"/>
      <c r="I1760" s="84"/>
      <c r="J1760" s="84"/>
      <c r="K1760" s="84"/>
      <c r="L1760" s="84"/>
      <c r="M1760" s="84"/>
      <c r="N1760" s="84"/>
      <c r="O1760" s="84"/>
      <c r="P1760" s="84"/>
      <c r="Q1760" s="84"/>
      <c r="R1760" s="84"/>
      <c r="S1760" s="84"/>
      <c r="T1760" s="84"/>
      <c r="U1760" s="84"/>
      <c r="V1760" s="84"/>
      <c r="W1760" s="84"/>
      <c r="X1760" s="84"/>
      <c r="Y1760" s="84"/>
      <c r="Z1760" s="87"/>
      <c r="AA1760" s="87"/>
      <c r="AB1760" s="87"/>
      <c r="AC1760" s="87"/>
      <c r="AD1760" s="87"/>
      <c r="AE1760" s="87"/>
      <c r="AF1760" s="87"/>
      <c r="AG1760" s="87"/>
      <c r="AH1760" s="87"/>
      <c r="AI1760" s="87"/>
      <c r="AJ1760" s="87"/>
      <c r="AK1760" s="87"/>
      <c r="AL1760" s="87"/>
      <c r="AM1760" s="87"/>
      <c r="AN1760" s="87"/>
      <c r="AO1760" s="87"/>
      <c r="AP1760" s="87"/>
      <c r="AQ1760" s="87"/>
      <c r="AR1760" s="87"/>
      <c r="AS1760" s="87"/>
      <c r="AT1760" s="87"/>
      <c r="AU1760" s="87"/>
      <c r="AV1760" s="87"/>
      <c r="AW1760" s="87"/>
      <c r="AX1760" s="87"/>
      <c r="AY1760" s="87"/>
      <c r="AZ1760" s="87"/>
      <c r="BA1760" s="87"/>
      <c r="BB1760" s="87"/>
      <c r="BC1760" s="87"/>
      <c r="BD1760" s="87"/>
      <c r="BE1760" s="87"/>
      <c r="BF1760" s="87"/>
      <c r="BG1760" s="87"/>
      <c r="BH1760" s="87"/>
    </row>
    <row r="1761" spans="1:60" ht="16">
      <c r="A1761" s="82"/>
      <c r="B1761" s="82"/>
      <c r="C1761" s="82"/>
      <c r="D1761" s="83"/>
      <c r="E1761" s="84"/>
      <c r="F1761" s="84"/>
      <c r="G1761" s="84"/>
      <c r="H1761" s="82"/>
      <c r="I1761" s="84"/>
      <c r="J1761" s="84"/>
      <c r="K1761" s="84"/>
      <c r="L1761" s="84"/>
      <c r="M1761" s="84"/>
      <c r="N1761" s="84"/>
      <c r="O1761" s="84"/>
      <c r="P1761" s="84"/>
      <c r="Q1761" s="84"/>
      <c r="R1761" s="84"/>
      <c r="S1761" s="84"/>
      <c r="T1761" s="84"/>
      <c r="U1761" s="84"/>
      <c r="V1761" s="84"/>
      <c r="W1761" s="84"/>
      <c r="X1761" s="84"/>
      <c r="Y1761" s="84"/>
      <c r="Z1761" s="87"/>
      <c r="AA1761" s="87"/>
      <c r="AB1761" s="87"/>
      <c r="AC1761" s="87"/>
      <c r="AD1761" s="87"/>
      <c r="AE1761" s="87"/>
      <c r="AF1761" s="87"/>
      <c r="AG1761" s="87"/>
      <c r="AH1761" s="87"/>
      <c r="AI1761" s="87"/>
      <c r="AJ1761" s="87"/>
      <c r="AK1761" s="87"/>
      <c r="AL1761" s="87"/>
      <c r="AM1761" s="87"/>
      <c r="AN1761" s="87"/>
      <c r="AO1761" s="87"/>
      <c r="AP1761" s="87"/>
      <c r="AQ1761" s="87"/>
      <c r="AR1761" s="87"/>
      <c r="AS1761" s="87"/>
      <c r="AT1761" s="87"/>
      <c r="AU1761" s="87"/>
      <c r="AV1761" s="87"/>
      <c r="AW1761" s="87"/>
      <c r="AX1761" s="87"/>
      <c r="AY1761" s="87"/>
      <c r="AZ1761" s="87"/>
      <c r="BA1761" s="87"/>
      <c r="BB1761" s="87"/>
      <c r="BC1761" s="87"/>
      <c r="BD1761" s="87"/>
      <c r="BE1761" s="87"/>
      <c r="BF1761" s="87"/>
      <c r="BG1761" s="87"/>
      <c r="BH1761" s="87"/>
    </row>
    <row r="1762" spans="1:60" ht="16">
      <c r="A1762" s="82"/>
      <c r="B1762" s="82"/>
      <c r="C1762" s="82"/>
      <c r="D1762" s="83"/>
      <c r="E1762" s="84"/>
      <c r="F1762" s="84"/>
      <c r="G1762" s="84"/>
      <c r="H1762" s="82"/>
      <c r="I1762" s="84"/>
      <c r="J1762" s="84"/>
      <c r="K1762" s="84"/>
      <c r="L1762" s="84"/>
      <c r="M1762" s="84"/>
      <c r="N1762" s="84"/>
      <c r="O1762" s="84"/>
      <c r="P1762" s="84"/>
      <c r="Q1762" s="84"/>
      <c r="R1762" s="84"/>
      <c r="S1762" s="84"/>
      <c r="T1762" s="84"/>
      <c r="U1762" s="84"/>
      <c r="V1762" s="84"/>
      <c r="W1762" s="84"/>
      <c r="X1762" s="84"/>
      <c r="Y1762" s="84"/>
      <c r="Z1762" s="87"/>
      <c r="AA1762" s="87"/>
      <c r="AB1762" s="87"/>
      <c r="AC1762" s="87"/>
      <c r="AD1762" s="87"/>
      <c r="AE1762" s="87"/>
      <c r="AF1762" s="87"/>
      <c r="AG1762" s="87"/>
      <c r="AH1762" s="87"/>
      <c r="AI1762" s="87"/>
      <c r="AJ1762" s="87"/>
      <c r="AK1762" s="87"/>
      <c r="AL1762" s="87"/>
      <c r="AM1762" s="87"/>
      <c r="AN1762" s="87"/>
      <c r="AO1762" s="87"/>
      <c r="AP1762" s="87"/>
      <c r="AQ1762" s="87"/>
      <c r="AR1762" s="87"/>
      <c r="AS1762" s="87"/>
      <c r="AT1762" s="87"/>
      <c r="AU1762" s="87"/>
      <c r="AV1762" s="87"/>
      <c r="AW1762" s="87"/>
      <c r="AX1762" s="87"/>
      <c r="AY1762" s="87"/>
      <c r="AZ1762" s="87"/>
      <c r="BA1762" s="87"/>
      <c r="BB1762" s="87"/>
      <c r="BC1762" s="87"/>
      <c r="BD1762" s="87"/>
      <c r="BE1762" s="87"/>
      <c r="BF1762" s="87"/>
      <c r="BG1762" s="87"/>
      <c r="BH1762" s="87"/>
    </row>
    <row r="1763" spans="1:60" ht="16">
      <c r="A1763" s="82"/>
      <c r="B1763" s="82"/>
      <c r="C1763" s="82"/>
      <c r="D1763" s="83"/>
      <c r="E1763" s="84"/>
      <c r="F1763" s="84"/>
      <c r="G1763" s="84"/>
      <c r="H1763" s="82"/>
      <c r="I1763" s="84"/>
      <c r="J1763" s="84"/>
      <c r="K1763" s="84"/>
      <c r="L1763" s="84"/>
      <c r="M1763" s="84"/>
      <c r="N1763" s="84"/>
      <c r="O1763" s="84"/>
      <c r="P1763" s="84"/>
      <c r="Q1763" s="84"/>
      <c r="R1763" s="84"/>
      <c r="S1763" s="84"/>
      <c r="T1763" s="84"/>
      <c r="U1763" s="84"/>
      <c r="V1763" s="84"/>
      <c r="W1763" s="84"/>
      <c r="X1763" s="84"/>
      <c r="Y1763" s="84"/>
      <c r="Z1763" s="87"/>
      <c r="AA1763" s="87"/>
      <c r="AB1763" s="87"/>
      <c r="AC1763" s="87"/>
      <c r="AD1763" s="87"/>
      <c r="AE1763" s="87"/>
      <c r="AF1763" s="87"/>
      <c r="AG1763" s="87"/>
      <c r="AH1763" s="87"/>
      <c r="AI1763" s="87"/>
      <c r="AJ1763" s="87"/>
      <c r="AK1763" s="87"/>
      <c r="AL1763" s="87"/>
      <c r="AM1763" s="87"/>
      <c r="AN1763" s="87"/>
      <c r="AO1763" s="87"/>
      <c r="AP1763" s="87"/>
      <c r="AQ1763" s="87"/>
      <c r="AR1763" s="87"/>
      <c r="AS1763" s="87"/>
      <c r="AT1763" s="87"/>
      <c r="AU1763" s="87"/>
      <c r="AV1763" s="87"/>
      <c r="AW1763" s="87"/>
      <c r="AX1763" s="87"/>
      <c r="AY1763" s="87"/>
      <c r="AZ1763" s="87"/>
      <c r="BA1763" s="87"/>
      <c r="BB1763" s="87"/>
      <c r="BC1763" s="87"/>
      <c r="BD1763" s="87"/>
      <c r="BE1763" s="87"/>
      <c r="BF1763" s="87"/>
      <c r="BG1763" s="87"/>
      <c r="BH1763" s="87"/>
    </row>
    <row r="1764" spans="1:60" ht="16">
      <c r="A1764" s="82"/>
      <c r="B1764" s="82"/>
      <c r="C1764" s="82"/>
      <c r="D1764" s="83"/>
      <c r="E1764" s="84"/>
      <c r="F1764" s="84"/>
      <c r="G1764" s="84"/>
      <c r="H1764" s="82"/>
      <c r="I1764" s="84"/>
      <c r="J1764" s="84"/>
      <c r="K1764" s="84"/>
      <c r="L1764" s="84"/>
      <c r="M1764" s="84"/>
      <c r="N1764" s="84"/>
      <c r="O1764" s="84"/>
      <c r="P1764" s="84"/>
      <c r="Q1764" s="84"/>
      <c r="R1764" s="84"/>
      <c r="S1764" s="84"/>
      <c r="T1764" s="84"/>
      <c r="U1764" s="84"/>
      <c r="V1764" s="84"/>
      <c r="W1764" s="84"/>
      <c r="X1764" s="84"/>
      <c r="Y1764" s="84"/>
      <c r="Z1764" s="87"/>
      <c r="AA1764" s="87"/>
      <c r="AB1764" s="87"/>
      <c r="AC1764" s="87"/>
      <c r="AD1764" s="87"/>
      <c r="AE1764" s="87"/>
      <c r="AF1764" s="87"/>
      <c r="AG1764" s="87"/>
      <c r="AH1764" s="87"/>
      <c r="AI1764" s="87"/>
      <c r="AJ1764" s="87"/>
      <c r="AK1764" s="87"/>
      <c r="AL1764" s="87"/>
      <c r="AM1764" s="87"/>
      <c r="AN1764" s="87"/>
      <c r="AO1764" s="87"/>
      <c r="AP1764" s="87"/>
      <c r="AQ1764" s="87"/>
      <c r="AR1764" s="87"/>
      <c r="AS1764" s="87"/>
      <c r="AT1764" s="87"/>
      <c r="AU1764" s="87"/>
      <c r="AV1764" s="87"/>
      <c r="AW1764" s="87"/>
      <c r="AX1764" s="87"/>
      <c r="AY1764" s="87"/>
      <c r="AZ1764" s="87"/>
      <c r="BA1764" s="87"/>
      <c r="BB1764" s="87"/>
      <c r="BC1764" s="87"/>
      <c r="BD1764" s="87"/>
      <c r="BE1764" s="87"/>
      <c r="BF1764" s="87"/>
      <c r="BG1764" s="87"/>
      <c r="BH1764" s="87"/>
    </row>
    <row r="1765" spans="1:60" ht="16">
      <c r="A1765" s="82"/>
      <c r="B1765" s="82"/>
      <c r="C1765" s="82"/>
      <c r="D1765" s="83"/>
      <c r="E1765" s="84"/>
      <c r="F1765" s="84"/>
      <c r="G1765" s="84"/>
      <c r="H1765" s="82"/>
      <c r="I1765" s="84"/>
      <c r="J1765" s="84"/>
      <c r="K1765" s="84"/>
      <c r="L1765" s="84"/>
      <c r="M1765" s="84"/>
      <c r="N1765" s="84"/>
      <c r="O1765" s="84"/>
      <c r="P1765" s="84"/>
      <c r="Q1765" s="84"/>
      <c r="R1765" s="84"/>
      <c r="S1765" s="84"/>
      <c r="T1765" s="84"/>
      <c r="U1765" s="84"/>
      <c r="V1765" s="84"/>
      <c r="W1765" s="84"/>
      <c r="X1765" s="84"/>
      <c r="Y1765" s="84"/>
      <c r="Z1765" s="87"/>
      <c r="AA1765" s="87"/>
      <c r="AB1765" s="87"/>
      <c r="AC1765" s="87"/>
      <c r="AD1765" s="87"/>
      <c r="AE1765" s="87"/>
      <c r="AF1765" s="87"/>
      <c r="AG1765" s="87"/>
      <c r="AH1765" s="87"/>
      <c r="AI1765" s="87"/>
      <c r="AJ1765" s="87"/>
      <c r="AK1765" s="87"/>
      <c r="AL1765" s="87"/>
      <c r="AM1765" s="87"/>
      <c r="AN1765" s="87"/>
      <c r="AO1765" s="87"/>
      <c r="AP1765" s="87"/>
      <c r="AQ1765" s="87"/>
      <c r="AR1765" s="87"/>
      <c r="AS1765" s="87"/>
      <c r="AT1765" s="87"/>
      <c r="AU1765" s="87"/>
      <c r="AV1765" s="87"/>
      <c r="AW1765" s="87"/>
      <c r="AX1765" s="87"/>
      <c r="AY1765" s="87"/>
      <c r="AZ1765" s="87"/>
      <c r="BA1765" s="87"/>
      <c r="BB1765" s="87"/>
      <c r="BC1765" s="87"/>
      <c r="BD1765" s="87"/>
      <c r="BE1765" s="87"/>
      <c r="BF1765" s="87"/>
      <c r="BG1765" s="87"/>
      <c r="BH1765" s="87"/>
    </row>
    <row r="1766" spans="1:60" ht="16">
      <c r="A1766" s="82"/>
      <c r="B1766" s="82"/>
      <c r="C1766" s="82"/>
      <c r="D1766" s="83"/>
      <c r="E1766" s="84"/>
      <c r="F1766" s="84"/>
      <c r="G1766" s="84"/>
      <c r="H1766" s="82"/>
      <c r="I1766" s="84"/>
      <c r="J1766" s="84"/>
      <c r="K1766" s="84"/>
      <c r="L1766" s="84"/>
      <c r="M1766" s="84"/>
      <c r="N1766" s="84"/>
      <c r="O1766" s="84"/>
      <c r="P1766" s="84"/>
      <c r="Q1766" s="84"/>
      <c r="R1766" s="84"/>
      <c r="S1766" s="84"/>
      <c r="T1766" s="84"/>
      <c r="U1766" s="84"/>
      <c r="V1766" s="84"/>
      <c r="W1766" s="84"/>
      <c r="X1766" s="84"/>
      <c r="Y1766" s="84"/>
      <c r="Z1766" s="87"/>
      <c r="AA1766" s="87"/>
      <c r="AB1766" s="87"/>
      <c r="AC1766" s="87"/>
      <c r="AD1766" s="87"/>
      <c r="AE1766" s="87"/>
      <c r="AF1766" s="87"/>
      <c r="AG1766" s="87"/>
      <c r="AH1766" s="87"/>
      <c r="AI1766" s="87"/>
      <c r="AJ1766" s="87"/>
      <c r="AK1766" s="87"/>
      <c r="AL1766" s="87"/>
      <c r="AM1766" s="87"/>
      <c r="AN1766" s="87"/>
      <c r="AO1766" s="87"/>
      <c r="AP1766" s="87"/>
      <c r="AQ1766" s="87"/>
      <c r="AR1766" s="87"/>
      <c r="AS1766" s="87"/>
      <c r="AT1766" s="87"/>
      <c r="AU1766" s="87"/>
      <c r="AV1766" s="87"/>
      <c r="AW1766" s="87"/>
      <c r="AX1766" s="87"/>
      <c r="AY1766" s="87"/>
      <c r="AZ1766" s="87"/>
      <c r="BA1766" s="87"/>
      <c r="BB1766" s="87"/>
      <c r="BC1766" s="87"/>
      <c r="BD1766" s="87"/>
      <c r="BE1766" s="87"/>
      <c r="BF1766" s="87"/>
      <c r="BG1766" s="87"/>
      <c r="BH1766" s="87"/>
    </row>
    <row r="1767" spans="1:60" ht="16">
      <c r="A1767" s="82"/>
      <c r="B1767" s="82"/>
      <c r="C1767" s="82"/>
      <c r="D1767" s="83"/>
      <c r="E1767" s="84"/>
      <c r="F1767" s="84"/>
      <c r="G1767" s="84"/>
      <c r="H1767" s="82"/>
      <c r="I1767" s="84"/>
      <c r="J1767" s="84"/>
      <c r="K1767" s="84"/>
      <c r="L1767" s="84"/>
      <c r="M1767" s="84"/>
      <c r="N1767" s="84"/>
      <c r="O1767" s="84"/>
      <c r="P1767" s="84"/>
      <c r="Q1767" s="84"/>
      <c r="R1767" s="84"/>
      <c r="S1767" s="84"/>
      <c r="T1767" s="84"/>
      <c r="U1767" s="84"/>
      <c r="V1767" s="84"/>
      <c r="W1767" s="84"/>
      <c r="X1767" s="84"/>
      <c r="Y1767" s="84"/>
      <c r="Z1767" s="87"/>
      <c r="AA1767" s="87"/>
      <c r="AB1767" s="87"/>
      <c r="AC1767" s="87"/>
      <c r="AD1767" s="87"/>
      <c r="AE1767" s="87"/>
      <c r="AF1767" s="87"/>
      <c r="AG1767" s="87"/>
      <c r="AH1767" s="87"/>
      <c r="AI1767" s="87"/>
      <c r="AJ1767" s="87"/>
      <c r="AK1767" s="87"/>
      <c r="AL1767" s="87"/>
      <c r="AM1767" s="87"/>
      <c r="AN1767" s="87"/>
      <c r="AO1767" s="87"/>
      <c r="AP1767" s="87"/>
      <c r="AQ1767" s="87"/>
      <c r="AR1767" s="87"/>
      <c r="AS1767" s="87"/>
      <c r="AT1767" s="87"/>
      <c r="AU1767" s="87"/>
      <c r="AV1767" s="87"/>
      <c r="AW1767" s="87"/>
      <c r="AX1767" s="87"/>
      <c r="AY1767" s="87"/>
      <c r="AZ1767" s="87"/>
      <c r="BA1767" s="87"/>
      <c r="BB1767" s="87"/>
      <c r="BC1767" s="87"/>
      <c r="BD1767" s="87"/>
      <c r="BE1767" s="87"/>
      <c r="BF1767" s="87"/>
      <c r="BG1767" s="87"/>
      <c r="BH1767" s="87"/>
    </row>
    <row r="1768" spans="1:60" ht="16">
      <c r="A1768" s="82"/>
      <c r="B1768" s="82"/>
      <c r="C1768" s="82"/>
      <c r="D1768" s="83"/>
      <c r="E1768" s="84"/>
      <c r="F1768" s="84"/>
      <c r="G1768" s="84"/>
      <c r="H1768" s="82"/>
      <c r="I1768" s="84"/>
      <c r="J1768" s="84"/>
      <c r="K1768" s="84"/>
      <c r="L1768" s="84"/>
      <c r="M1768" s="84"/>
      <c r="N1768" s="84"/>
      <c r="O1768" s="84"/>
      <c r="P1768" s="84"/>
      <c r="Q1768" s="84"/>
      <c r="R1768" s="84"/>
      <c r="S1768" s="84"/>
      <c r="T1768" s="84"/>
      <c r="U1768" s="84"/>
      <c r="V1768" s="84"/>
      <c r="W1768" s="84"/>
      <c r="X1768" s="84"/>
      <c r="Y1768" s="84"/>
      <c r="Z1768" s="87"/>
      <c r="AA1768" s="87"/>
      <c r="AB1768" s="87"/>
      <c r="AC1768" s="87"/>
      <c r="AD1768" s="87"/>
      <c r="AE1768" s="87"/>
      <c r="AF1768" s="87"/>
      <c r="AG1768" s="87"/>
      <c r="AH1768" s="87"/>
      <c r="AI1768" s="87"/>
      <c r="AJ1768" s="87"/>
      <c r="AK1768" s="87"/>
      <c r="AL1768" s="87"/>
      <c r="AM1768" s="87"/>
      <c r="AN1768" s="87"/>
      <c r="AO1768" s="87"/>
      <c r="AP1768" s="87"/>
      <c r="AQ1768" s="87"/>
      <c r="AR1768" s="87"/>
      <c r="AS1768" s="87"/>
      <c r="AT1768" s="87"/>
      <c r="AU1768" s="87"/>
      <c r="AV1768" s="87"/>
      <c r="AW1768" s="87"/>
      <c r="AX1768" s="87"/>
      <c r="AY1768" s="87"/>
      <c r="AZ1768" s="87"/>
      <c r="BA1768" s="87"/>
      <c r="BB1768" s="87"/>
      <c r="BC1768" s="87"/>
      <c r="BD1768" s="87"/>
      <c r="BE1768" s="87"/>
      <c r="BF1768" s="87"/>
      <c r="BG1768" s="87"/>
      <c r="BH1768" s="87"/>
    </row>
    <row r="1769" spans="1:60" ht="16">
      <c r="A1769" s="82"/>
      <c r="B1769" s="82"/>
      <c r="C1769" s="82"/>
      <c r="D1769" s="83"/>
      <c r="E1769" s="84"/>
      <c r="F1769" s="84"/>
      <c r="G1769" s="84"/>
      <c r="H1769" s="82"/>
      <c r="I1769" s="84"/>
      <c r="J1769" s="84"/>
      <c r="K1769" s="84"/>
      <c r="L1769" s="84"/>
      <c r="M1769" s="84"/>
      <c r="N1769" s="84"/>
      <c r="O1769" s="84"/>
      <c r="P1769" s="84"/>
      <c r="Q1769" s="84"/>
      <c r="R1769" s="84"/>
      <c r="S1769" s="84"/>
      <c r="T1769" s="84"/>
      <c r="U1769" s="84"/>
      <c r="V1769" s="84"/>
      <c r="W1769" s="84"/>
      <c r="X1769" s="84"/>
      <c r="Y1769" s="84"/>
      <c r="Z1769" s="87"/>
      <c r="AA1769" s="87"/>
      <c r="AB1769" s="87"/>
      <c r="AC1769" s="87"/>
      <c r="AD1769" s="87"/>
      <c r="AE1769" s="87"/>
      <c r="AF1769" s="87"/>
      <c r="AG1769" s="87"/>
      <c r="AH1769" s="87"/>
      <c r="AI1769" s="87"/>
      <c r="AJ1769" s="87"/>
      <c r="AK1769" s="87"/>
      <c r="AL1769" s="87"/>
      <c r="AM1769" s="87"/>
      <c r="AN1769" s="87"/>
      <c r="AO1769" s="87"/>
      <c r="AP1769" s="87"/>
      <c r="AQ1769" s="87"/>
      <c r="AR1769" s="87"/>
      <c r="AS1769" s="87"/>
      <c r="AT1769" s="87"/>
      <c r="AU1769" s="87"/>
      <c r="AV1769" s="87"/>
      <c r="AW1769" s="87"/>
      <c r="AX1769" s="87"/>
      <c r="AY1769" s="87"/>
      <c r="AZ1769" s="87"/>
      <c r="BA1769" s="87"/>
      <c r="BB1769" s="87"/>
      <c r="BC1769" s="87"/>
      <c r="BD1769" s="87"/>
      <c r="BE1769" s="87"/>
      <c r="BF1769" s="87"/>
      <c r="BG1769" s="87"/>
      <c r="BH1769" s="87"/>
    </row>
    <row r="1770" spans="1:60" ht="16">
      <c r="A1770" s="82"/>
      <c r="B1770" s="82"/>
      <c r="C1770" s="82"/>
      <c r="D1770" s="83"/>
      <c r="E1770" s="84"/>
      <c r="F1770" s="84"/>
      <c r="G1770" s="84"/>
      <c r="H1770" s="82"/>
      <c r="I1770" s="84"/>
      <c r="J1770" s="84"/>
      <c r="K1770" s="84"/>
      <c r="L1770" s="84"/>
      <c r="M1770" s="84"/>
      <c r="N1770" s="84"/>
      <c r="O1770" s="84"/>
      <c r="P1770" s="84"/>
      <c r="Q1770" s="84"/>
      <c r="R1770" s="84"/>
      <c r="S1770" s="84"/>
      <c r="T1770" s="84"/>
      <c r="U1770" s="84"/>
      <c r="V1770" s="84"/>
      <c r="W1770" s="84"/>
      <c r="X1770" s="84"/>
      <c r="Y1770" s="84"/>
      <c r="Z1770" s="87"/>
      <c r="AA1770" s="87"/>
      <c r="AB1770" s="87"/>
      <c r="AC1770" s="87"/>
      <c r="AD1770" s="87"/>
      <c r="AE1770" s="87"/>
      <c r="AF1770" s="87"/>
      <c r="AG1770" s="87"/>
      <c r="AH1770" s="87"/>
      <c r="AI1770" s="87"/>
      <c r="AJ1770" s="87"/>
      <c r="AK1770" s="87"/>
      <c r="AL1770" s="87"/>
      <c r="AM1770" s="87"/>
      <c r="AN1770" s="87"/>
      <c r="AO1770" s="87"/>
      <c r="AP1770" s="87"/>
      <c r="AQ1770" s="87"/>
      <c r="AR1770" s="87"/>
      <c r="AS1770" s="87"/>
      <c r="AT1770" s="87"/>
      <c r="AU1770" s="87"/>
      <c r="AV1770" s="87"/>
      <c r="AW1770" s="87"/>
      <c r="AX1770" s="87"/>
      <c r="AY1770" s="87"/>
      <c r="AZ1770" s="87"/>
      <c r="BA1770" s="87"/>
      <c r="BB1770" s="87"/>
      <c r="BC1770" s="87"/>
      <c r="BD1770" s="87"/>
      <c r="BE1770" s="87"/>
      <c r="BF1770" s="87"/>
      <c r="BG1770" s="87"/>
      <c r="BH1770" s="87"/>
    </row>
    <row r="1771" spans="1:60" ht="16">
      <c r="A1771" s="82"/>
      <c r="B1771" s="82"/>
      <c r="C1771" s="82"/>
      <c r="D1771" s="83"/>
      <c r="E1771" s="84"/>
      <c r="F1771" s="84"/>
      <c r="G1771" s="84"/>
      <c r="H1771" s="82"/>
      <c r="I1771" s="84"/>
      <c r="J1771" s="84"/>
      <c r="K1771" s="84"/>
      <c r="L1771" s="84"/>
      <c r="M1771" s="84"/>
      <c r="N1771" s="84"/>
      <c r="O1771" s="84"/>
      <c r="P1771" s="84"/>
      <c r="Q1771" s="84"/>
      <c r="R1771" s="84"/>
      <c r="S1771" s="84"/>
      <c r="T1771" s="84"/>
      <c r="U1771" s="84"/>
      <c r="V1771" s="84"/>
      <c r="W1771" s="84"/>
      <c r="X1771" s="84"/>
      <c r="Y1771" s="84"/>
      <c r="Z1771" s="87"/>
      <c r="AA1771" s="87"/>
      <c r="AB1771" s="87"/>
      <c r="AC1771" s="87"/>
      <c r="AD1771" s="87"/>
      <c r="AE1771" s="87"/>
      <c r="AF1771" s="87"/>
      <c r="AG1771" s="87"/>
      <c r="AH1771" s="87"/>
      <c r="AI1771" s="87"/>
      <c r="AJ1771" s="87"/>
      <c r="AK1771" s="87"/>
      <c r="AL1771" s="87"/>
      <c r="AM1771" s="87"/>
      <c r="AN1771" s="87"/>
      <c r="AO1771" s="87"/>
      <c r="AP1771" s="87"/>
      <c r="AQ1771" s="87"/>
      <c r="AR1771" s="87"/>
      <c r="AS1771" s="87"/>
      <c r="AT1771" s="87"/>
      <c r="AU1771" s="87"/>
      <c r="AV1771" s="87"/>
      <c r="AW1771" s="87"/>
      <c r="AX1771" s="87"/>
      <c r="AY1771" s="87"/>
      <c r="AZ1771" s="87"/>
      <c r="BA1771" s="87"/>
      <c r="BB1771" s="87"/>
      <c r="BC1771" s="87"/>
      <c r="BD1771" s="87"/>
      <c r="BE1771" s="87"/>
      <c r="BF1771" s="87"/>
      <c r="BG1771" s="87"/>
      <c r="BH1771" s="87"/>
    </row>
    <row r="1772" spans="1:60" ht="16">
      <c r="A1772" s="82"/>
      <c r="B1772" s="82"/>
      <c r="C1772" s="82"/>
      <c r="D1772" s="83"/>
      <c r="E1772" s="84"/>
      <c r="F1772" s="84"/>
      <c r="G1772" s="84"/>
      <c r="H1772" s="82"/>
      <c r="I1772" s="84"/>
      <c r="J1772" s="84"/>
      <c r="K1772" s="84"/>
      <c r="L1772" s="84"/>
      <c r="M1772" s="84"/>
      <c r="N1772" s="84"/>
      <c r="O1772" s="84"/>
      <c r="P1772" s="84"/>
      <c r="Q1772" s="84"/>
      <c r="R1772" s="84"/>
      <c r="S1772" s="84"/>
      <c r="T1772" s="84"/>
      <c r="U1772" s="84"/>
      <c r="V1772" s="84"/>
      <c r="W1772" s="84"/>
      <c r="X1772" s="84"/>
      <c r="Y1772" s="84"/>
      <c r="Z1772" s="87"/>
      <c r="AA1772" s="87"/>
      <c r="AB1772" s="87"/>
      <c r="AC1772" s="87"/>
      <c r="AD1772" s="87"/>
      <c r="AE1772" s="87"/>
      <c r="AF1772" s="87"/>
      <c r="AG1772" s="87"/>
      <c r="AH1772" s="87"/>
      <c r="AI1772" s="87"/>
      <c r="AJ1772" s="87"/>
      <c r="AK1772" s="87"/>
      <c r="AL1772" s="87"/>
      <c r="AM1772" s="87"/>
      <c r="AN1772" s="87"/>
      <c r="AO1772" s="87"/>
      <c r="AP1772" s="87"/>
      <c r="AQ1772" s="87"/>
      <c r="AR1772" s="87"/>
      <c r="AS1772" s="87"/>
      <c r="AT1772" s="87"/>
      <c r="AU1772" s="87"/>
      <c r="AV1772" s="87"/>
      <c r="AW1772" s="87"/>
      <c r="AX1772" s="87"/>
      <c r="AY1772" s="87"/>
      <c r="AZ1772" s="87"/>
      <c r="BA1772" s="87"/>
      <c r="BB1772" s="87"/>
      <c r="BC1772" s="87"/>
      <c r="BD1772" s="87"/>
      <c r="BE1772" s="87"/>
      <c r="BF1772" s="87"/>
      <c r="BG1772" s="87"/>
      <c r="BH1772" s="87"/>
    </row>
    <row r="1773" spans="1:60" ht="16">
      <c r="A1773" s="82"/>
      <c r="B1773" s="82"/>
      <c r="C1773" s="82"/>
      <c r="D1773" s="83"/>
      <c r="E1773" s="84"/>
      <c r="F1773" s="84"/>
      <c r="G1773" s="84"/>
      <c r="H1773" s="82"/>
      <c r="I1773" s="84"/>
      <c r="J1773" s="84"/>
      <c r="K1773" s="84"/>
      <c r="L1773" s="84"/>
      <c r="M1773" s="84"/>
      <c r="N1773" s="84"/>
      <c r="O1773" s="84"/>
      <c r="P1773" s="84"/>
      <c r="Q1773" s="84"/>
      <c r="R1773" s="84"/>
      <c r="S1773" s="84"/>
      <c r="T1773" s="84"/>
      <c r="U1773" s="84"/>
      <c r="V1773" s="84"/>
      <c r="W1773" s="84"/>
      <c r="X1773" s="84"/>
      <c r="Y1773" s="84"/>
      <c r="Z1773" s="87"/>
      <c r="AA1773" s="87"/>
      <c r="AB1773" s="87"/>
      <c r="AC1773" s="87"/>
      <c r="AD1773" s="87"/>
      <c r="AE1773" s="87"/>
      <c r="AF1773" s="87"/>
      <c r="AG1773" s="87"/>
      <c r="AH1773" s="87"/>
      <c r="AI1773" s="87"/>
      <c r="AJ1773" s="87"/>
      <c r="AK1773" s="87"/>
      <c r="AL1773" s="87"/>
      <c r="AM1773" s="87"/>
      <c r="AN1773" s="87"/>
      <c r="AO1773" s="87"/>
      <c r="AP1773" s="87"/>
      <c r="AQ1773" s="87"/>
      <c r="AR1773" s="87"/>
      <c r="AS1773" s="87"/>
      <c r="AT1773" s="87"/>
      <c r="AU1773" s="87"/>
      <c r="AV1773" s="87"/>
      <c r="AW1773" s="87"/>
      <c r="AX1773" s="87"/>
      <c r="AY1773" s="87"/>
      <c r="AZ1773" s="87"/>
      <c r="BA1773" s="87"/>
      <c r="BB1773" s="87"/>
      <c r="BC1773" s="87"/>
      <c r="BD1773" s="87"/>
      <c r="BE1773" s="87"/>
      <c r="BF1773" s="87"/>
      <c r="BG1773" s="87"/>
      <c r="BH1773" s="87"/>
    </row>
    <row r="1774" spans="1:60" ht="16">
      <c r="A1774" s="82"/>
      <c r="B1774" s="82"/>
      <c r="C1774" s="82"/>
      <c r="D1774" s="83"/>
      <c r="E1774" s="84"/>
      <c r="F1774" s="84"/>
      <c r="G1774" s="84"/>
      <c r="H1774" s="82"/>
      <c r="I1774" s="84"/>
      <c r="J1774" s="84"/>
      <c r="K1774" s="84"/>
      <c r="L1774" s="84"/>
      <c r="M1774" s="84"/>
      <c r="N1774" s="84"/>
      <c r="O1774" s="84"/>
      <c r="P1774" s="84"/>
      <c r="Q1774" s="84"/>
      <c r="R1774" s="84"/>
      <c r="S1774" s="84"/>
      <c r="T1774" s="84"/>
      <c r="U1774" s="84"/>
      <c r="V1774" s="84"/>
      <c r="W1774" s="84"/>
      <c r="X1774" s="84"/>
      <c r="Y1774" s="84"/>
      <c r="Z1774" s="87"/>
      <c r="AA1774" s="87"/>
      <c r="AB1774" s="87"/>
      <c r="AC1774" s="87"/>
      <c r="AD1774" s="87"/>
      <c r="AE1774" s="87"/>
      <c r="AF1774" s="87"/>
      <c r="AG1774" s="87"/>
      <c r="AH1774" s="87"/>
      <c r="AI1774" s="87"/>
      <c r="AJ1774" s="87"/>
      <c r="AK1774" s="87"/>
      <c r="AL1774" s="87"/>
      <c r="AM1774" s="87"/>
      <c r="AN1774" s="87"/>
      <c r="AO1774" s="87"/>
      <c r="AP1774" s="87"/>
      <c r="AQ1774" s="87"/>
      <c r="AR1774" s="87"/>
      <c r="AS1774" s="87"/>
      <c r="AT1774" s="87"/>
      <c r="AU1774" s="87"/>
      <c r="AV1774" s="87"/>
      <c r="AW1774" s="87"/>
      <c r="AX1774" s="87"/>
      <c r="AY1774" s="87"/>
      <c r="AZ1774" s="87"/>
      <c r="BA1774" s="87"/>
      <c r="BB1774" s="87"/>
      <c r="BC1774" s="87"/>
      <c r="BD1774" s="87"/>
      <c r="BE1774" s="87"/>
      <c r="BF1774" s="87"/>
      <c r="BG1774" s="87"/>
      <c r="BH1774" s="87"/>
    </row>
    <row r="1775" spans="1:60" ht="16">
      <c r="A1775" s="82"/>
      <c r="B1775" s="82"/>
      <c r="C1775" s="82"/>
      <c r="D1775" s="83"/>
      <c r="E1775" s="84"/>
      <c r="F1775" s="84"/>
      <c r="G1775" s="84"/>
      <c r="H1775" s="82"/>
      <c r="I1775" s="84"/>
      <c r="J1775" s="84"/>
      <c r="K1775" s="84"/>
      <c r="L1775" s="84"/>
      <c r="M1775" s="84"/>
      <c r="N1775" s="84"/>
      <c r="O1775" s="84"/>
      <c r="P1775" s="84"/>
      <c r="Q1775" s="84"/>
      <c r="R1775" s="84"/>
      <c r="S1775" s="84"/>
      <c r="T1775" s="84"/>
      <c r="U1775" s="84"/>
      <c r="V1775" s="84"/>
      <c r="W1775" s="84"/>
      <c r="X1775" s="84"/>
      <c r="Y1775" s="84"/>
      <c r="Z1775" s="87"/>
      <c r="AA1775" s="87"/>
      <c r="AB1775" s="87"/>
      <c r="AC1775" s="87"/>
      <c r="AD1775" s="87"/>
      <c r="AE1775" s="87"/>
      <c r="AF1775" s="87"/>
      <c r="AG1775" s="87"/>
      <c r="AH1775" s="87"/>
      <c r="AI1775" s="87"/>
      <c r="AJ1775" s="87"/>
      <c r="AK1775" s="87"/>
      <c r="AL1775" s="87"/>
      <c r="AM1775" s="87"/>
      <c r="AN1775" s="87"/>
      <c r="AO1775" s="87"/>
      <c r="AP1775" s="87"/>
      <c r="AQ1775" s="87"/>
      <c r="AR1775" s="87"/>
      <c r="AS1775" s="87"/>
      <c r="AT1775" s="87"/>
      <c r="AU1775" s="87"/>
      <c r="AV1775" s="87"/>
      <c r="AW1775" s="87"/>
      <c r="AX1775" s="87"/>
      <c r="AY1775" s="87"/>
      <c r="AZ1775" s="87"/>
      <c r="BA1775" s="87"/>
      <c r="BB1775" s="87"/>
      <c r="BC1775" s="87"/>
      <c r="BD1775" s="87"/>
      <c r="BE1775" s="87"/>
      <c r="BF1775" s="87"/>
      <c r="BG1775" s="87"/>
      <c r="BH1775" s="87"/>
    </row>
    <row r="1776" spans="1:60" ht="16">
      <c r="A1776" s="82"/>
      <c r="B1776" s="82"/>
      <c r="C1776" s="82"/>
      <c r="D1776" s="83"/>
      <c r="E1776" s="84"/>
      <c r="F1776" s="84"/>
      <c r="G1776" s="84"/>
      <c r="H1776" s="82"/>
      <c r="I1776" s="84"/>
      <c r="J1776" s="84"/>
      <c r="K1776" s="84"/>
      <c r="L1776" s="84"/>
      <c r="M1776" s="84"/>
      <c r="N1776" s="84"/>
      <c r="O1776" s="84"/>
      <c r="P1776" s="84"/>
      <c r="Q1776" s="84"/>
      <c r="R1776" s="84"/>
      <c r="S1776" s="84"/>
      <c r="T1776" s="84"/>
      <c r="U1776" s="84"/>
      <c r="V1776" s="84"/>
      <c r="W1776" s="84"/>
      <c r="X1776" s="84"/>
      <c r="Y1776" s="84"/>
      <c r="Z1776" s="87"/>
      <c r="AA1776" s="87"/>
      <c r="AB1776" s="87"/>
      <c r="AC1776" s="87"/>
      <c r="AD1776" s="87"/>
      <c r="AE1776" s="87"/>
      <c r="AF1776" s="87"/>
      <c r="AG1776" s="87"/>
      <c r="AH1776" s="87"/>
      <c r="AI1776" s="87"/>
      <c r="AJ1776" s="87"/>
      <c r="AK1776" s="87"/>
      <c r="AL1776" s="87"/>
      <c r="AM1776" s="87"/>
      <c r="AN1776" s="87"/>
      <c r="AO1776" s="87"/>
      <c r="AP1776" s="87"/>
      <c r="AQ1776" s="87"/>
      <c r="AR1776" s="87"/>
      <c r="AS1776" s="87"/>
      <c r="AT1776" s="87"/>
      <c r="AU1776" s="87"/>
      <c r="AV1776" s="87"/>
      <c r="AW1776" s="87"/>
      <c r="AX1776" s="87"/>
      <c r="AY1776" s="87"/>
      <c r="AZ1776" s="87"/>
      <c r="BA1776" s="87"/>
      <c r="BB1776" s="87"/>
      <c r="BC1776" s="87"/>
      <c r="BD1776" s="87"/>
      <c r="BE1776" s="87"/>
      <c r="BF1776" s="87"/>
      <c r="BG1776" s="87"/>
      <c r="BH1776" s="87"/>
    </row>
    <row r="1777" spans="1:60" ht="16">
      <c r="A1777" s="82"/>
      <c r="B1777" s="82"/>
      <c r="C1777" s="82"/>
      <c r="D1777" s="83"/>
      <c r="E1777" s="84"/>
      <c r="F1777" s="84"/>
      <c r="G1777" s="84"/>
      <c r="H1777" s="82"/>
      <c r="I1777" s="84"/>
      <c r="J1777" s="84"/>
      <c r="K1777" s="84"/>
      <c r="L1777" s="84"/>
      <c r="M1777" s="84"/>
      <c r="N1777" s="84"/>
      <c r="O1777" s="84"/>
      <c r="P1777" s="84"/>
      <c r="Q1777" s="84"/>
      <c r="R1777" s="84"/>
      <c r="S1777" s="84"/>
      <c r="T1777" s="84"/>
      <c r="U1777" s="84"/>
      <c r="V1777" s="84"/>
      <c r="W1777" s="84"/>
      <c r="X1777" s="84"/>
      <c r="Y1777" s="84"/>
      <c r="Z1777" s="87"/>
      <c r="AA1777" s="87"/>
      <c r="AB1777" s="87"/>
      <c r="AC1777" s="87"/>
      <c r="AD1777" s="87"/>
      <c r="AE1777" s="87"/>
      <c r="AF1777" s="87"/>
      <c r="AG1777" s="87"/>
      <c r="AH1777" s="87"/>
      <c r="AI1777" s="87"/>
      <c r="AJ1777" s="87"/>
      <c r="AK1777" s="87"/>
      <c r="AL1777" s="87"/>
      <c r="AM1777" s="87"/>
      <c r="AN1777" s="87"/>
      <c r="AO1777" s="87"/>
      <c r="AP1777" s="87"/>
      <c r="AQ1777" s="87"/>
      <c r="AR1777" s="87"/>
      <c r="AS1777" s="87"/>
      <c r="AT1777" s="87"/>
      <c r="AU1777" s="87"/>
      <c r="AV1777" s="87"/>
      <c r="AW1777" s="87"/>
      <c r="AX1777" s="87"/>
      <c r="AY1777" s="87"/>
      <c r="AZ1777" s="87"/>
      <c r="BA1777" s="87"/>
      <c r="BB1777" s="87"/>
      <c r="BC1777" s="87"/>
      <c r="BD1777" s="87"/>
      <c r="BE1777" s="87"/>
      <c r="BF1777" s="87"/>
      <c r="BG1777" s="87"/>
      <c r="BH1777" s="87"/>
    </row>
    <row r="1778" spans="1:60" ht="16">
      <c r="A1778" s="82"/>
      <c r="B1778" s="82"/>
      <c r="C1778" s="82"/>
      <c r="D1778" s="83"/>
      <c r="E1778" s="84"/>
      <c r="F1778" s="84"/>
      <c r="G1778" s="84"/>
      <c r="H1778" s="82"/>
      <c r="I1778" s="84"/>
      <c r="J1778" s="84"/>
      <c r="K1778" s="84"/>
      <c r="L1778" s="84"/>
      <c r="M1778" s="84"/>
      <c r="N1778" s="84"/>
      <c r="O1778" s="84"/>
      <c r="P1778" s="84"/>
      <c r="Q1778" s="84"/>
      <c r="R1778" s="84"/>
      <c r="S1778" s="84"/>
      <c r="T1778" s="84"/>
      <c r="U1778" s="84"/>
      <c r="V1778" s="84"/>
      <c r="W1778" s="84"/>
      <c r="X1778" s="84"/>
      <c r="Y1778" s="84"/>
      <c r="Z1778" s="87"/>
      <c r="AA1778" s="87"/>
      <c r="AB1778" s="87"/>
      <c r="AC1778" s="87"/>
      <c r="AD1778" s="87"/>
      <c r="AE1778" s="87"/>
      <c r="AF1778" s="87"/>
      <c r="AG1778" s="87"/>
      <c r="AH1778" s="87"/>
      <c r="AI1778" s="87"/>
      <c r="AJ1778" s="87"/>
      <c r="AK1778" s="87"/>
      <c r="AL1778" s="87"/>
      <c r="AM1778" s="87"/>
      <c r="AN1778" s="87"/>
      <c r="AO1778" s="87"/>
      <c r="AP1778" s="87"/>
      <c r="AQ1778" s="87"/>
      <c r="AR1778" s="87"/>
      <c r="AS1778" s="87"/>
      <c r="AT1778" s="87"/>
      <c r="AU1778" s="87"/>
      <c r="AV1778" s="87"/>
      <c r="AW1778" s="87"/>
      <c r="AX1778" s="87"/>
      <c r="AY1778" s="87"/>
      <c r="AZ1778" s="87"/>
      <c r="BA1778" s="87"/>
      <c r="BB1778" s="87"/>
      <c r="BC1778" s="87"/>
      <c r="BD1778" s="87"/>
      <c r="BE1778" s="87"/>
      <c r="BF1778" s="87"/>
      <c r="BG1778" s="87"/>
      <c r="BH1778" s="87"/>
    </row>
    <row r="1779" spans="1:60" ht="16">
      <c r="A1779" s="82"/>
      <c r="B1779" s="82"/>
      <c r="C1779" s="82"/>
      <c r="D1779" s="83"/>
      <c r="E1779" s="84"/>
      <c r="F1779" s="84"/>
      <c r="G1779" s="84"/>
      <c r="H1779" s="82"/>
      <c r="I1779" s="84"/>
      <c r="J1779" s="84"/>
      <c r="K1779" s="84"/>
      <c r="L1779" s="84"/>
      <c r="M1779" s="84"/>
      <c r="N1779" s="84"/>
      <c r="O1779" s="84"/>
      <c r="P1779" s="84"/>
      <c r="Q1779" s="84"/>
      <c r="R1779" s="84"/>
      <c r="S1779" s="84"/>
      <c r="T1779" s="84"/>
      <c r="U1779" s="84"/>
      <c r="V1779" s="84"/>
      <c r="W1779" s="84"/>
      <c r="X1779" s="84"/>
      <c r="Y1779" s="84"/>
      <c r="Z1779" s="87"/>
      <c r="AA1779" s="87"/>
      <c r="AB1779" s="87"/>
      <c r="AC1779" s="87"/>
      <c r="AD1779" s="87"/>
      <c r="AE1779" s="87"/>
      <c r="AF1779" s="87"/>
      <c r="AG1779" s="87"/>
      <c r="AH1779" s="87"/>
      <c r="AI1779" s="87"/>
      <c r="AJ1779" s="87"/>
      <c r="AK1779" s="87"/>
      <c r="AL1779" s="87"/>
      <c r="AM1779" s="87"/>
      <c r="AN1779" s="87"/>
      <c r="AO1779" s="87"/>
      <c r="AP1779" s="87"/>
      <c r="AQ1779" s="87"/>
      <c r="AR1779" s="87"/>
      <c r="AS1779" s="87"/>
      <c r="AT1779" s="87"/>
      <c r="AU1779" s="87"/>
      <c r="AV1779" s="87"/>
      <c r="AW1779" s="87"/>
      <c r="AX1779" s="87"/>
      <c r="AY1779" s="87"/>
      <c r="AZ1779" s="87"/>
      <c r="BA1779" s="87"/>
      <c r="BB1779" s="87"/>
      <c r="BC1779" s="87"/>
      <c r="BD1779" s="87"/>
      <c r="BE1779" s="87"/>
      <c r="BF1779" s="87"/>
      <c r="BG1779" s="87"/>
      <c r="BH1779" s="87"/>
    </row>
    <row r="1780" spans="1:60" ht="16">
      <c r="A1780" s="82"/>
      <c r="B1780" s="82"/>
      <c r="C1780" s="82"/>
      <c r="D1780" s="83"/>
      <c r="E1780" s="84"/>
      <c r="F1780" s="84"/>
      <c r="G1780" s="84"/>
      <c r="H1780" s="82"/>
      <c r="I1780" s="84"/>
      <c r="J1780" s="84"/>
      <c r="K1780" s="84"/>
      <c r="L1780" s="84"/>
      <c r="M1780" s="84"/>
      <c r="N1780" s="84"/>
      <c r="O1780" s="84"/>
      <c r="P1780" s="84"/>
      <c r="Q1780" s="84"/>
      <c r="R1780" s="84"/>
      <c r="S1780" s="84"/>
      <c r="T1780" s="84"/>
      <c r="U1780" s="84"/>
      <c r="V1780" s="84"/>
      <c r="W1780" s="84"/>
      <c r="X1780" s="84"/>
      <c r="Y1780" s="84"/>
      <c r="Z1780" s="87"/>
      <c r="AA1780" s="87"/>
      <c r="AB1780" s="87"/>
      <c r="AC1780" s="87"/>
      <c r="AD1780" s="87"/>
      <c r="AE1780" s="87"/>
      <c r="AF1780" s="87"/>
      <c r="AG1780" s="87"/>
      <c r="AH1780" s="87"/>
      <c r="AI1780" s="87"/>
      <c r="AJ1780" s="87"/>
      <c r="AK1780" s="87"/>
      <c r="AL1780" s="87"/>
      <c r="AM1780" s="87"/>
      <c r="AN1780" s="87"/>
      <c r="AO1780" s="87"/>
      <c r="AP1780" s="87"/>
      <c r="AQ1780" s="87"/>
      <c r="AR1780" s="87"/>
      <c r="AS1780" s="87"/>
      <c r="AT1780" s="87"/>
      <c r="AU1780" s="87"/>
      <c r="AV1780" s="87"/>
      <c r="AW1780" s="87"/>
      <c r="AX1780" s="87"/>
      <c r="AY1780" s="87"/>
      <c r="AZ1780" s="87"/>
      <c r="BA1780" s="87"/>
      <c r="BB1780" s="87"/>
      <c r="BC1780" s="87"/>
      <c r="BD1780" s="87"/>
      <c r="BE1780" s="87"/>
      <c r="BF1780" s="87"/>
      <c r="BG1780" s="87"/>
      <c r="BH1780" s="87"/>
    </row>
    <row r="1781" spans="1:60" ht="16">
      <c r="A1781" s="82"/>
      <c r="B1781" s="82"/>
      <c r="C1781" s="82"/>
      <c r="D1781" s="83"/>
      <c r="E1781" s="84"/>
      <c r="F1781" s="84"/>
      <c r="G1781" s="84"/>
      <c r="H1781" s="82"/>
      <c r="I1781" s="84"/>
      <c r="J1781" s="84"/>
      <c r="K1781" s="84"/>
      <c r="L1781" s="84"/>
      <c r="M1781" s="84"/>
      <c r="N1781" s="84"/>
      <c r="O1781" s="84"/>
      <c r="P1781" s="84"/>
      <c r="Q1781" s="84"/>
      <c r="R1781" s="84"/>
      <c r="S1781" s="84"/>
      <c r="T1781" s="84"/>
      <c r="U1781" s="84"/>
      <c r="V1781" s="84"/>
      <c r="W1781" s="84"/>
      <c r="X1781" s="84"/>
      <c r="Y1781" s="84"/>
      <c r="Z1781" s="87"/>
      <c r="AA1781" s="87"/>
      <c r="AB1781" s="87"/>
      <c r="AC1781" s="87"/>
      <c r="AD1781" s="87"/>
      <c r="AE1781" s="87"/>
      <c r="AF1781" s="87"/>
      <c r="AG1781" s="87"/>
      <c r="AH1781" s="87"/>
      <c r="AI1781" s="87"/>
      <c r="AJ1781" s="87"/>
      <c r="AK1781" s="87"/>
      <c r="AL1781" s="87"/>
      <c r="AM1781" s="87"/>
      <c r="AN1781" s="87"/>
      <c r="AO1781" s="87"/>
      <c r="AP1781" s="87"/>
      <c r="AQ1781" s="87"/>
      <c r="AR1781" s="87"/>
      <c r="AS1781" s="87"/>
      <c r="AT1781" s="87"/>
      <c r="AU1781" s="87"/>
      <c r="AV1781" s="87"/>
      <c r="AW1781" s="87"/>
      <c r="AX1781" s="87"/>
      <c r="AY1781" s="87"/>
      <c r="AZ1781" s="87"/>
      <c r="BA1781" s="87"/>
      <c r="BB1781" s="87"/>
      <c r="BC1781" s="87"/>
      <c r="BD1781" s="87"/>
      <c r="BE1781" s="87"/>
      <c r="BF1781" s="87"/>
      <c r="BG1781" s="87"/>
      <c r="BH1781" s="87"/>
    </row>
    <row r="1782" spans="1:60" ht="16">
      <c r="A1782" s="82"/>
      <c r="B1782" s="82"/>
      <c r="C1782" s="82"/>
      <c r="D1782" s="83"/>
      <c r="E1782" s="84"/>
      <c r="F1782" s="84"/>
      <c r="G1782" s="84"/>
      <c r="H1782" s="82"/>
      <c r="I1782" s="84"/>
      <c r="J1782" s="84"/>
      <c r="K1782" s="84"/>
      <c r="L1782" s="84"/>
      <c r="M1782" s="84"/>
      <c r="N1782" s="84"/>
      <c r="O1782" s="84"/>
      <c r="P1782" s="84"/>
      <c r="Q1782" s="84"/>
      <c r="R1782" s="84"/>
      <c r="S1782" s="84"/>
      <c r="T1782" s="84"/>
      <c r="U1782" s="84"/>
      <c r="V1782" s="84"/>
      <c r="W1782" s="84"/>
      <c r="X1782" s="84"/>
      <c r="Y1782" s="84"/>
      <c r="Z1782" s="87"/>
      <c r="AA1782" s="87"/>
      <c r="AB1782" s="87"/>
      <c r="AC1782" s="87"/>
      <c r="AD1782" s="87"/>
      <c r="AE1782" s="87"/>
      <c r="AF1782" s="87"/>
      <c r="AG1782" s="87"/>
      <c r="AH1782" s="87"/>
      <c r="AI1782" s="87"/>
      <c r="AJ1782" s="87"/>
      <c r="AK1782" s="87"/>
      <c r="AL1782" s="87"/>
      <c r="AM1782" s="87"/>
      <c r="AN1782" s="87"/>
      <c r="AO1782" s="87"/>
      <c r="AP1782" s="87"/>
      <c r="AQ1782" s="87"/>
      <c r="AR1782" s="87"/>
      <c r="AS1782" s="87"/>
      <c r="AT1782" s="87"/>
      <c r="AU1782" s="87"/>
      <c r="AV1782" s="87"/>
      <c r="AW1782" s="87"/>
      <c r="AX1782" s="87"/>
      <c r="AY1782" s="87"/>
      <c r="AZ1782" s="87"/>
      <c r="BA1782" s="87"/>
      <c r="BB1782" s="87"/>
      <c r="BC1782" s="87"/>
      <c r="BD1782" s="87"/>
      <c r="BE1782" s="87"/>
      <c r="BF1782" s="87"/>
      <c r="BG1782" s="87"/>
      <c r="BH1782" s="87"/>
    </row>
    <row r="1783" spans="1:60" ht="16">
      <c r="A1783" s="82"/>
      <c r="B1783" s="82"/>
      <c r="C1783" s="82"/>
      <c r="D1783" s="83"/>
      <c r="E1783" s="84"/>
      <c r="F1783" s="84"/>
      <c r="G1783" s="84"/>
      <c r="H1783" s="82"/>
      <c r="I1783" s="84"/>
      <c r="J1783" s="84"/>
      <c r="K1783" s="84"/>
      <c r="L1783" s="84"/>
      <c r="M1783" s="84"/>
      <c r="N1783" s="84"/>
      <c r="O1783" s="84"/>
      <c r="P1783" s="84"/>
      <c r="Q1783" s="84"/>
      <c r="R1783" s="84"/>
      <c r="S1783" s="84"/>
      <c r="T1783" s="84"/>
      <c r="U1783" s="84"/>
      <c r="V1783" s="84"/>
      <c r="W1783" s="84"/>
      <c r="X1783" s="84"/>
      <c r="Y1783" s="84"/>
      <c r="Z1783" s="87"/>
      <c r="AA1783" s="87"/>
      <c r="AB1783" s="87"/>
      <c r="AC1783" s="87"/>
      <c r="AD1783" s="87"/>
      <c r="AE1783" s="87"/>
      <c r="AF1783" s="87"/>
      <c r="AG1783" s="87"/>
      <c r="AH1783" s="87"/>
      <c r="AI1783" s="87"/>
      <c r="AJ1783" s="87"/>
      <c r="AK1783" s="87"/>
      <c r="AL1783" s="87"/>
      <c r="AM1783" s="87"/>
      <c r="AN1783" s="87"/>
      <c r="AO1783" s="87"/>
      <c r="AP1783" s="87"/>
      <c r="AQ1783" s="87"/>
      <c r="AR1783" s="87"/>
      <c r="AS1783" s="87"/>
      <c r="AT1783" s="87"/>
      <c r="AU1783" s="87"/>
      <c r="AV1783" s="87"/>
      <c r="AW1783" s="87"/>
      <c r="AX1783" s="87"/>
      <c r="AY1783" s="87"/>
      <c r="AZ1783" s="87"/>
      <c r="BA1783" s="87"/>
      <c r="BB1783" s="87"/>
      <c r="BC1783" s="87"/>
      <c r="BD1783" s="87"/>
      <c r="BE1783" s="87"/>
      <c r="BF1783" s="87"/>
      <c r="BG1783" s="87"/>
      <c r="BH1783" s="87"/>
    </row>
    <row r="1784" spans="1:60" ht="16">
      <c r="A1784" s="82"/>
      <c r="B1784" s="82"/>
      <c r="C1784" s="82"/>
      <c r="D1784" s="83"/>
      <c r="E1784" s="84"/>
      <c r="F1784" s="84"/>
      <c r="G1784" s="84"/>
      <c r="H1784" s="82"/>
      <c r="I1784" s="84"/>
      <c r="J1784" s="84"/>
      <c r="K1784" s="84"/>
      <c r="L1784" s="84"/>
      <c r="M1784" s="84"/>
      <c r="N1784" s="84"/>
      <c r="O1784" s="84"/>
      <c r="P1784" s="84"/>
      <c r="Q1784" s="84"/>
      <c r="R1784" s="84"/>
      <c r="S1784" s="84"/>
      <c r="T1784" s="84"/>
      <c r="U1784" s="84"/>
      <c r="V1784" s="84"/>
      <c r="W1784" s="84"/>
      <c r="X1784" s="84"/>
      <c r="Y1784" s="84"/>
      <c r="Z1784" s="87"/>
      <c r="AA1784" s="87"/>
      <c r="AB1784" s="87"/>
      <c r="AC1784" s="87"/>
      <c r="AD1784" s="87"/>
      <c r="AE1784" s="87"/>
      <c r="AF1784" s="87"/>
      <c r="AG1784" s="87"/>
      <c r="AH1784" s="87"/>
      <c r="AI1784" s="87"/>
      <c r="AJ1784" s="87"/>
      <c r="AK1784" s="87"/>
      <c r="AL1784" s="87"/>
      <c r="AM1784" s="87"/>
      <c r="AN1784" s="87"/>
      <c r="AO1784" s="87"/>
      <c r="AP1784" s="87"/>
      <c r="AQ1784" s="87"/>
      <c r="AR1784" s="87"/>
      <c r="AS1784" s="87"/>
      <c r="AT1784" s="87"/>
      <c r="AU1784" s="87"/>
      <c r="AV1784" s="87"/>
      <c r="AW1784" s="87"/>
      <c r="AX1784" s="87"/>
      <c r="AY1784" s="87"/>
      <c r="AZ1784" s="87"/>
      <c r="BA1784" s="87"/>
      <c r="BB1784" s="87"/>
      <c r="BC1784" s="87"/>
      <c r="BD1784" s="87"/>
      <c r="BE1784" s="87"/>
      <c r="BF1784" s="87"/>
      <c r="BG1784" s="87"/>
      <c r="BH1784" s="87"/>
    </row>
    <row r="1785" spans="1:60" ht="16">
      <c r="A1785" s="82"/>
      <c r="B1785" s="82"/>
      <c r="C1785" s="82"/>
      <c r="D1785" s="83"/>
      <c r="E1785" s="84"/>
      <c r="F1785" s="84"/>
      <c r="G1785" s="84"/>
      <c r="H1785" s="82"/>
      <c r="I1785" s="84"/>
      <c r="J1785" s="84"/>
      <c r="K1785" s="84"/>
      <c r="L1785" s="84"/>
      <c r="M1785" s="84"/>
      <c r="N1785" s="84"/>
      <c r="O1785" s="84"/>
      <c r="P1785" s="84"/>
      <c r="Q1785" s="84"/>
      <c r="R1785" s="84"/>
      <c r="S1785" s="84"/>
      <c r="T1785" s="84"/>
      <c r="U1785" s="84"/>
      <c r="V1785" s="84"/>
      <c r="W1785" s="84"/>
      <c r="X1785" s="84"/>
      <c r="Y1785" s="84"/>
      <c r="Z1785" s="87"/>
      <c r="AA1785" s="87"/>
      <c r="AB1785" s="87"/>
      <c r="AC1785" s="87"/>
      <c r="AD1785" s="87"/>
      <c r="AE1785" s="87"/>
      <c r="AF1785" s="87"/>
      <c r="AG1785" s="87"/>
      <c r="AH1785" s="87"/>
      <c r="AI1785" s="87"/>
      <c r="AJ1785" s="87"/>
      <c r="AK1785" s="87"/>
      <c r="AL1785" s="87"/>
      <c r="AM1785" s="87"/>
      <c r="AN1785" s="87"/>
      <c r="AO1785" s="87"/>
      <c r="AP1785" s="87"/>
      <c r="AQ1785" s="87"/>
      <c r="AR1785" s="87"/>
      <c r="AS1785" s="87"/>
      <c r="AT1785" s="87"/>
      <c r="AU1785" s="87"/>
      <c r="AV1785" s="87"/>
      <c r="AW1785" s="87"/>
      <c r="AX1785" s="87"/>
      <c r="AY1785" s="87"/>
      <c r="AZ1785" s="87"/>
      <c r="BA1785" s="87"/>
      <c r="BB1785" s="87"/>
      <c r="BC1785" s="87"/>
      <c r="BD1785" s="87"/>
      <c r="BE1785" s="87"/>
      <c r="BF1785" s="87"/>
      <c r="BG1785" s="87"/>
      <c r="BH1785" s="87"/>
    </row>
    <row r="1786" spans="1:60" ht="16">
      <c r="A1786" s="82"/>
      <c r="B1786" s="82"/>
      <c r="C1786" s="82"/>
      <c r="D1786" s="83"/>
      <c r="E1786" s="84"/>
      <c r="F1786" s="84"/>
      <c r="G1786" s="84"/>
      <c r="H1786" s="82"/>
      <c r="I1786" s="84"/>
      <c r="J1786" s="84"/>
      <c r="K1786" s="84"/>
      <c r="L1786" s="84"/>
      <c r="M1786" s="84"/>
      <c r="N1786" s="84"/>
      <c r="O1786" s="84"/>
      <c r="P1786" s="84"/>
      <c r="Q1786" s="84"/>
      <c r="R1786" s="84"/>
      <c r="S1786" s="84"/>
      <c r="T1786" s="84"/>
      <c r="U1786" s="84"/>
      <c r="V1786" s="84"/>
      <c r="W1786" s="84"/>
      <c r="X1786" s="84"/>
      <c r="Y1786" s="84"/>
      <c r="Z1786" s="87"/>
      <c r="AA1786" s="87"/>
      <c r="AB1786" s="87"/>
      <c r="AC1786" s="87"/>
      <c r="AD1786" s="87"/>
      <c r="AE1786" s="87"/>
      <c r="AF1786" s="87"/>
      <c r="AG1786" s="87"/>
      <c r="AH1786" s="87"/>
      <c r="AI1786" s="87"/>
      <c r="AJ1786" s="87"/>
      <c r="AK1786" s="87"/>
      <c r="AL1786" s="87"/>
      <c r="AM1786" s="87"/>
      <c r="AN1786" s="87"/>
      <c r="AO1786" s="87"/>
      <c r="AP1786" s="87"/>
      <c r="AQ1786" s="87"/>
      <c r="AR1786" s="87"/>
      <c r="AS1786" s="87"/>
      <c r="AT1786" s="87"/>
      <c r="AU1786" s="87"/>
      <c r="AV1786" s="87"/>
      <c r="AW1786" s="87"/>
      <c r="AX1786" s="87"/>
      <c r="AY1786" s="87"/>
      <c r="AZ1786" s="87"/>
      <c r="BA1786" s="87"/>
      <c r="BB1786" s="87"/>
      <c r="BC1786" s="87"/>
      <c r="BD1786" s="87"/>
      <c r="BE1786" s="87"/>
      <c r="BF1786" s="87"/>
      <c r="BG1786" s="87"/>
      <c r="BH1786" s="87"/>
    </row>
    <row r="1787" spans="1:60" ht="16">
      <c r="A1787" s="82"/>
      <c r="B1787" s="82"/>
      <c r="C1787" s="82"/>
      <c r="D1787" s="83"/>
      <c r="E1787" s="84"/>
      <c r="F1787" s="84"/>
      <c r="G1787" s="84"/>
      <c r="H1787" s="82"/>
      <c r="I1787" s="84"/>
      <c r="J1787" s="84"/>
      <c r="K1787" s="84"/>
      <c r="L1787" s="84"/>
      <c r="M1787" s="84"/>
      <c r="N1787" s="84"/>
      <c r="O1787" s="84"/>
      <c r="P1787" s="84"/>
      <c r="Q1787" s="84"/>
      <c r="R1787" s="84"/>
      <c r="S1787" s="84"/>
      <c r="T1787" s="84"/>
      <c r="U1787" s="84"/>
      <c r="V1787" s="84"/>
      <c r="W1787" s="84"/>
      <c r="X1787" s="84"/>
      <c r="Y1787" s="84"/>
      <c r="Z1787" s="87"/>
      <c r="AA1787" s="87"/>
      <c r="AB1787" s="87"/>
      <c r="AC1787" s="87"/>
      <c r="AD1787" s="87"/>
      <c r="AE1787" s="87"/>
      <c r="AF1787" s="87"/>
      <c r="AG1787" s="87"/>
      <c r="AH1787" s="87"/>
      <c r="AI1787" s="87"/>
      <c r="AJ1787" s="87"/>
      <c r="AK1787" s="87"/>
      <c r="AL1787" s="87"/>
      <c r="AM1787" s="87"/>
      <c r="AN1787" s="87"/>
      <c r="AO1787" s="87"/>
      <c r="AP1787" s="87"/>
      <c r="AQ1787" s="87"/>
      <c r="AR1787" s="87"/>
      <c r="AS1787" s="87"/>
      <c r="AT1787" s="87"/>
      <c r="AU1787" s="87"/>
      <c r="AV1787" s="87"/>
      <c r="AW1787" s="87"/>
      <c r="AX1787" s="87"/>
      <c r="AY1787" s="87"/>
      <c r="AZ1787" s="87"/>
      <c r="BA1787" s="87"/>
      <c r="BB1787" s="87"/>
      <c r="BC1787" s="87"/>
      <c r="BD1787" s="87"/>
      <c r="BE1787" s="87"/>
      <c r="BF1787" s="87"/>
      <c r="BG1787" s="87"/>
      <c r="BH1787" s="87"/>
    </row>
    <row r="1788" spans="1:60" ht="16">
      <c r="A1788" s="82"/>
      <c r="B1788" s="82"/>
      <c r="C1788" s="82"/>
      <c r="D1788" s="83"/>
      <c r="E1788" s="84"/>
      <c r="F1788" s="84"/>
      <c r="G1788" s="84"/>
      <c r="H1788" s="82"/>
      <c r="I1788" s="84"/>
      <c r="J1788" s="84"/>
      <c r="K1788" s="84"/>
      <c r="L1788" s="84"/>
      <c r="M1788" s="84"/>
      <c r="N1788" s="84"/>
      <c r="O1788" s="84"/>
      <c r="P1788" s="84"/>
      <c r="Q1788" s="84"/>
      <c r="R1788" s="84"/>
      <c r="S1788" s="84"/>
      <c r="T1788" s="84"/>
      <c r="U1788" s="84"/>
      <c r="V1788" s="84"/>
      <c r="W1788" s="84"/>
      <c r="X1788" s="84"/>
      <c r="Y1788" s="84"/>
      <c r="Z1788" s="87"/>
      <c r="AA1788" s="87"/>
      <c r="AB1788" s="87"/>
      <c r="AC1788" s="87"/>
      <c r="AD1788" s="87"/>
      <c r="AE1788" s="87"/>
      <c r="AF1788" s="87"/>
      <c r="AG1788" s="87"/>
      <c r="AH1788" s="87"/>
      <c r="AI1788" s="87"/>
      <c r="AJ1788" s="87"/>
      <c r="AK1788" s="87"/>
      <c r="AL1788" s="87"/>
      <c r="AM1788" s="87"/>
      <c r="AN1788" s="87"/>
      <c r="AO1788" s="87"/>
      <c r="AP1788" s="87"/>
      <c r="AQ1788" s="87"/>
      <c r="AR1788" s="87"/>
      <c r="AS1788" s="87"/>
      <c r="AT1788" s="87"/>
      <c r="AU1788" s="87"/>
      <c r="AV1788" s="87"/>
      <c r="AW1788" s="87"/>
      <c r="AX1788" s="87"/>
      <c r="AY1788" s="87"/>
      <c r="AZ1788" s="87"/>
      <c r="BA1788" s="87"/>
      <c r="BB1788" s="87"/>
      <c r="BC1788" s="87"/>
      <c r="BD1788" s="87"/>
      <c r="BE1788" s="87"/>
      <c r="BF1788" s="87"/>
      <c r="BG1788" s="87"/>
      <c r="BH1788" s="87"/>
    </row>
    <row r="1789" spans="1:60" ht="16">
      <c r="A1789" s="82"/>
      <c r="B1789" s="82"/>
      <c r="C1789" s="82"/>
      <c r="D1789" s="83"/>
      <c r="E1789" s="84"/>
      <c r="F1789" s="84"/>
      <c r="G1789" s="84"/>
      <c r="H1789" s="82"/>
      <c r="I1789" s="84"/>
      <c r="J1789" s="84"/>
      <c r="K1789" s="84"/>
      <c r="L1789" s="84"/>
      <c r="M1789" s="84"/>
      <c r="N1789" s="84"/>
      <c r="O1789" s="84"/>
      <c r="P1789" s="84"/>
      <c r="Q1789" s="84"/>
      <c r="R1789" s="84"/>
      <c r="S1789" s="84"/>
      <c r="T1789" s="84"/>
      <c r="U1789" s="84"/>
      <c r="V1789" s="84"/>
      <c r="W1789" s="84"/>
      <c r="X1789" s="84"/>
      <c r="Y1789" s="84"/>
      <c r="Z1789" s="87"/>
      <c r="AA1789" s="87"/>
      <c r="AB1789" s="87"/>
      <c r="AC1789" s="87"/>
      <c r="AD1789" s="87"/>
      <c r="AE1789" s="87"/>
      <c r="AF1789" s="87"/>
      <c r="AG1789" s="87"/>
      <c r="AH1789" s="87"/>
      <c r="AI1789" s="87"/>
      <c r="AJ1789" s="87"/>
      <c r="AK1789" s="87"/>
      <c r="AL1789" s="87"/>
      <c r="AM1789" s="87"/>
      <c r="AN1789" s="87"/>
      <c r="AO1789" s="87"/>
      <c r="AP1789" s="87"/>
      <c r="AQ1789" s="87"/>
      <c r="AR1789" s="87"/>
      <c r="AS1789" s="87"/>
      <c r="AT1789" s="87"/>
      <c r="AU1789" s="87"/>
      <c r="AV1789" s="87"/>
      <c r="AW1789" s="87"/>
      <c r="AX1789" s="87"/>
      <c r="AY1789" s="87"/>
      <c r="AZ1789" s="87"/>
      <c r="BA1789" s="87"/>
      <c r="BB1789" s="87"/>
      <c r="BC1789" s="87"/>
      <c r="BD1789" s="87"/>
      <c r="BE1789" s="87"/>
      <c r="BF1789" s="87"/>
      <c r="BG1789" s="87"/>
      <c r="BH1789" s="87"/>
    </row>
    <row r="1790" spans="1:60" ht="16">
      <c r="A1790" s="82"/>
      <c r="B1790" s="82"/>
      <c r="C1790" s="82"/>
      <c r="D1790" s="83"/>
      <c r="E1790" s="84"/>
      <c r="F1790" s="84"/>
      <c r="G1790" s="84"/>
      <c r="H1790" s="82"/>
      <c r="I1790" s="84"/>
      <c r="J1790" s="84"/>
      <c r="K1790" s="84"/>
      <c r="L1790" s="84"/>
      <c r="M1790" s="84"/>
      <c r="N1790" s="84"/>
      <c r="O1790" s="84"/>
      <c r="P1790" s="84"/>
      <c r="Q1790" s="84"/>
      <c r="R1790" s="84"/>
      <c r="S1790" s="84"/>
      <c r="T1790" s="84"/>
      <c r="U1790" s="84"/>
      <c r="V1790" s="84"/>
      <c r="W1790" s="84"/>
      <c r="X1790" s="84"/>
      <c r="Y1790" s="84"/>
      <c r="Z1790" s="87"/>
      <c r="AA1790" s="87"/>
      <c r="AB1790" s="87"/>
      <c r="AC1790" s="87"/>
      <c r="AD1790" s="87"/>
      <c r="AE1790" s="87"/>
      <c r="AF1790" s="87"/>
      <c r="AG1790" s="87"/>
      <c r="AH1790" s="87"/>
      <c r="AI1790" s="87"/>
      <c r="AJ1790" s="87"/>
      <c r="AK1790" s="87"/>
      <c r="AL1790" s="87"/>
      <c r="AM1790" s="87"/>
      <c r="AN1790" s="87"/>
      <c r="AO1790" s="87"/>
      <c r="AP1790" s="87"/>
      <c r="AQ1790" s="87"/>
      <c r="AR1790" s="87"/>
      <c r="AS1790" s="87"/>
      <c r="AT1790" s="87"/>
      <c r="AU1790" s="87"/>
      <c r="AV1790" s="87"/>
      <c r="AW1790" s="87"/>
      <c r="AX1790" s="87"/>
      <c r="AY1790" s="87"/>
      <c r="AZ1790" s="87"/>
      <c r="BA1790" s="87"/>
      <c r="BB1790" s="87"/>
      <c r="BC1790" s="87"/>
      <c r="BD1790" s="87"/>
      <c r="BE1790" s="87"/>
      <c r="BF1790" s="87"/>
      <c r="BG1790" s="87"/>
      <c r="BH1790" s="87"/>
    </row>
    <row r="1791" spans="1:60" ht="16">
      <c r="A1791" s="82"/>
      <c r="B1791" s="82"/>
      <c r="C1791" s="82"/>
      <c r="D1791" s="83"/>
      <c r="E1791" s="84"/>
      <c r="F1791" s="84"/>
      <c r="G1791" s="84"/>
      <c r="H1791" s="82"/>
      <c r="I1791" s="84"/>
      <c r="J1791" s="84"/>
      <c r="K1791" s="84"/>
      <c r="L1791" s="84"/>
      <c r="M1791" s="84"/>
      <c r="N1791" s="84"/>
      <c r="O1791" s="84"/>
      <c r="P1791" s="84"/>
      <c r="Q1791" s="84"/>
      <c r="R1791" s="84"/>
      <c r="S1791" s="84"/>
      <c r="T1791" s="84"/>
      <c r="U1791" s="84"/>
      <c r="V1791" s="84"/>
      <c r="W1791" s="84"/>
      <c r="X1791" s="84"/>
      <c r="Y1791" s="84"/>
      <c r="Z1791" s="87"/>
      <c r="AA1791" s="87"/>
      <c r="AB1791" s="87"/>
      <c r="AC1791" s="87"/>
      <c r="AD1791" s="87"/>
      <c r="AE1791" s="87"/>
      <c r="AF1791" s="87"/>
      <c r="AG1791" s="87"/>
      <c r="AH1791" s="87"/>
      <c r="AI1791" s="87"/>
      <c r="AJ1791" s="87"/>
      <c r="AK1791" s="87"/>
      <c r="AL1791" s="87"/>
      <c r="AM1791" s="87"/>
      <c r="AN1791" s="87"/>
      <c r="AO1791" s="87"/>
      <c r="AP1791" s="87"/>
      <c r="AQ1791" s="87"/>
      <c r="AR1791" s="87"/>
      <c r="AS1791" s="87"/>
      <c r="AT1791" s="87"/>
      <c r="AU1791" s="87"/>
      <c r="AV1791" s="87"/>
      <c r="AW1791" s="87"/>
      <c r="AX1791" s="87"/>
      <c r="AY1791" s="87"/>
      <c r="AZ1791" s="87"/>
      <c r="BA1791" s="87"/>
      <c r="BB1791" s="87"/>
      <c r="BC1791" s="87"/>
      <c r="BD1791" s="87"/>
      <c r="BE1791" s="87"/>
      <c r="BF1791" s="87"/>
      <c r="BG1791" s="87"/>
      <c r="BH1791" s="87"/>
    </row>
    <row r="1792" spans="1:60" ht="16">
      <c r="A1792" s="82"/>
      <c r="B1792" s="82"/>
      <c r="C1792" s="82"/>
      <c r="D1792" s="83"/>
      <c r="E1792" s="84"/>
      <c r="F1792" s="84"/>
      <c r="G1792" s="84"/>
      <c r="H1792" s="82"/>
      <c r="I1792" s="84"/>
      <c r="J1792" s="84"/>
      <c r="K1792" s="84"/>
      <c r="L1792" s="84"/>
      <c r="M1792" s="84"/>
      <c r="N1792" s="84"/>
      <c r="O1792" s="84"/>
      <c r="P1792" s="84"/>
      <c r="Q1792" s="84"/>
      <c r="R1792" s="84"/>
      <c r="S1792" s="84"/>
      <c r="T1792" s="84"/>
      <c r="U1792" s="84"/>
      <c r="V1792" s="84"/>
      <c r="W1792" s="84"/>
      <c r="X1792" s="84"/>
      <c r="Y1792" s="84"/>
      <c r="Z1792" s="87"/>
      <c r="AA1792" s="87"/>
      <c r="AB1792" s="87"/>
      <c r="AC1792" s="87"/>
      <c r="AD1792" s="87"/>
      <c r="AE1792" s="87"/>
      <c r="AF1792" s="87"/>
      <c r="AG1792" s="87"/>
      <c r="AH1792" s="87"/>
      <c r="AI1792" s="87"/>
      <c r="AJ1792" s="87"/>
      <c r="AK1792" s="87"/>
      <c r="AL1792" s="87"/>
      <c r="AM1792" s="87"/>
      <c r="AN1792" s="87"/>
      <c r="AO1792" s="87"/>
      <c r="AP1792" s="87"/>
      <c r="AQ1792" s="87"/>
      <c r="AR1792" s="87"/>
      <c r="AS1792" s="87"/>
      <c r="AT1792" s="87"/>
      <c r="AU1792" s="87"/>
      <c r="AV1792" s="87"/>
      <c r="AW1792" s="87"/>
      <c r="AX1792" s="87"/>
      <c r="AY1792" s="87"/>
      <c r="AZ1792" s="87"/>
      <c r="BA1792" s="87"/>
      <c r="BB1792" s="87"/>
      <c r="BC1792" s="87"/>
      <c r="BD1792" s="87"/>
      <c r="BE1792" s="87"/>
      <c r="BF1792" s="87"/>
      <c r="BG1792" s="87"/>
      <c r="BH1792" s="87"/>
    </row>
    <row r="1793" spans="1:60" ht="16">
      <c r="A1793" s="82"/>
      <c r="B1793" s="82"/>
      <c r="C1793" s="82"/>
      <c r="D1793" s="83"/>
      <c r="E1793" s="84"/>
      <c r="F1793" s="84"/>
      <c r="G1793" s="84"/>
      <c r="H1793" s="82"/>
      <c r="I1793" s="84"/>
      <c r="J1793" s="84"/>
      <c r="K1793" s="84"/>
      <c r="L1793" s="84"/>
      <c r="M1793" s="84"/>
      <c r="N1793" s="84"/>
      <c r="O1793" s="84"/>
      <c r="P1793" s="84"/>
      <c r="Q1793" s="84"/>
      <c r="R1793" s="84"/>
      <c r="S1793" s="84"/>
      <c r="T1793" s="84"/>
      <c r="U1793" s="84"/>
      <c r="V1793" s="84"/>
      <c r="W1793" s="84"/>
      <c r="X1793" s="84"/>
      <c r="Y1793" s="84"/>
      <c r="Z1793" s="87"/>
      <c r="AA1793" s="87"/>
      <c r="AB1793" s="87"/>
      <c r="AC1793" s="87"/>
      <c r="AD1793" s="87"/>
      <c r="AE1793" s="87"/>
      <c r="AF1793" s="87"/>
      <c r="AG1793" s="87"/>
      <c r="AH1793" s="87"/>
      <c r="AI1793" s="87"/>
      <c r="AJ1793" s="87"/>
      <c r="AK1793" s="87"/>
      <c r="AL1793" s="87"/>
      <c r="AM1793" s="87"/>
      <c r="AN1793" s="87"/>
      <c r="AO1793" s="87"/>
      <c r="AP1793" s="87"/>
      <c r="AQ1793" s="87"/>
      <c r="AR1793" s="87"/>
      <c r="AS1793" s="87"/>
      <c r="AT1793" s="87"/>
      <c r="AU1793" s="87"/>
      <c r="AV1793" s="87"/>
      <c r="AW1793" s="87"/>
      <c r="AX1793" s="87"/>
      <c r="AY1793" s="87"/>
      <c r="AZ1793" s="87"/>
      <c r="BA1793" s="87"/>
      <c r="BB1793" s="87"/>
      <c r="BC1793" s="87"/>
      <c r="BD1793" s="87"/>
      <c r="BE1793" s="87"/>
      <c r="BF1793" s="87"/>
      <c r="BG1793" s="87"/>
      <c r="BH1793" s="87"/>
    </row>
    <row r="1794" spans="1:60" ht="16">
      <c r="A1794" s="82"/>
      <c r="B1794" s="82"/>
      <c r="C1794" s="82"/>
      <c r="D1794" s="83"/>
      <c r="E1794" s="84"/>
      <c r="F1794" s="84"/>
      <c r="G1794" s="84"/>
      <c r="H1794" s="82"/>
      <c r="I1794" s="84"/>
      <c r="J1794" s="84"/>
      <c r="K1794" s="84"/>
      <c r="L1794" s="84"/>
      <c r="M1794" s="84"/>
      <c r="N1794" s="84"/>
      <c r="O1794" s="84"/>
      <c r="P1794" s="84"/>
      <c r="Q1794" s="84"/>
      <c r="R1794" s="84"/>
      <c r="S1794" s="84"/>
      <c r="T1794" s="84"/>
      <c r="U1794" s="84"/>
      <c r="V1794" s="84"/>
      <c r="W1794" s="84"/>
      <c r="X1794" s="84"/>
      <c r="Y1794" s="84"/>
      <c r="Z1794" s="87"/>
      <c r="AA1794" s="87"/>
      <c r="AB1794" s="87"/>
      <c r="AC1794" s="87"/>
      <c r="AD1794" s="87"/>
      <c r="AE1794" s="87"/>
      <c r="AF1794" s="87"/>
      <c r="AG1794" s="87"/>
      <c r="AH1794" s="87"/>
      <c r="AI1794" s="87"/>
      <c r="AJ1794" s="87"/>
      <c r="AK1794" s="87"/>
      <c r="AL1794" s="87"/>
      <c r="AM1794" s="87"/>
      <c r="AN1794" s="87"/>
      <c r="AO1794" s="87"/>
      <c r="AP1794" s="87"/>
      <c r="AQ1794" s="87"/>
      <c r="AR1794" s="87"/>
      <c r="AS1794" s="87"/>
      <c r="AT1794" s="87"/>
      <c r="AU1794" s="87"/>
      <c r="AV1794" s="87"/>
      <c r="AW1794" s="87"/>
      <c r="AX1794" s="87"/>
      <c r="AY1794" s="87"/>
      <c r="AZ1794" s="87"/>
      <c r="BA1794" s="87"/>
      <c r="BB1794" s="87"/>
      <c r="BC1794" s="87"/>
      <c r="BD1794" s="87"/>
      <c r="BE1794" s="87"/>
      <c r="BF1794" s="87"/>
      <c r="BG1794" s="87"/>
      <c r="BH1794" s="87"/>
    </row>
    <row r="1795" spans="1:60" ht="16">
      <c r="A1795" s="82"/>
      <c r="B1795" s="82"/>
      <c r="C1795" s="82"/>
      <c r="D1795" s="83"/>
      <c r="E1795" s="84"/>
      <c r="F1795" s="84"/>
      <c r="G1795" s="84"/>
      <c r="H1795" s="82"/>
      <c r="I1795" s="84"/>
      <c r="J1795" s="84"/>
      <c r="K1795" s="84"/>
      <c r="L1795" s="84"/>
      <c r="M1795" s="84"/>
      <c r="N1795" s="84"/>
      <c r="O1795" s="84"/>
      <c r="P1795" s="84"/>
      <c r="Q1795" s="84"/>
      <c r="R1795" s="84"/>
      <c r="S1795" s="84"/>
      <c r="T1795" s="84"/>
      <c r="U1795" s="84"/>
      <c r="V1795" s="84"/>
      <c r="W1795" s="84"/>
      <c r="X1795" s="84"/>
      <c r="Y1795" s="84"/>
      <c r="Z1795" s="87"/>
      <c r="AA1795" s="87"/>
      <c r="AB1795" s="87"/>
      <c r="AC1795" s="87"/>
      <c r="AD1795" s="87"/>
      <c r="AE1795" s="87"/>
      <c r="AF1795" s="87"/>
      <c r="AG1795" s="87"/>
      <c r="AH1795" s="87"/>
      <c r="AI1795" s="87"/>
      <c r="AJ1795" s="87"/>
      <c r="AK1795" s="87"/>
      <c r="AL1795" s="87"/>
      <c r="AM1795" s="87"/>
      <c r="AN1795" s="87"/>
      <c r="AO1795" s="87"/>
      <c r="AP1795" s="87"/>
      <c r="AQ1795" s="87"/>
      <c r="AR1795" s="87"/>
      <c r="AS1795" s="87"/>
      <c r="AT1795" s="87"/>
      <c r="AU1795" s="87"/>
      <c r="AV1795" s="87"/>
      <c r="AW1795" s="87"/>
      <c r="AX1795" s="87"/>
      <c r="AY1795" s="87"/>
      <c r="AZ1795" s="87"/>
      <c r="BA1795" s="87"/>
      <c r="BB1795" s="87"/>
      <c r="BC1795" s="87"/>
      <c r="BD1795" s="87"/>
      <c r="BE1795" s="87"/>
      <c r="BF1795" s="87"/>
      <c r="BG1795" s="87"/>
      <c r="BH1795" s="87"/>
    </row>
    <row r="1796" spans="1:60" ht="16">
      <c r="A1796" s="82"/>
      <c r="B1796" s="82"/>
      <c r="C1796" s="82"/>
      <c r="D1796" s="83"/>
      <c r="E1796" s="84"/>
      <c r="F1796" s="84"/>
      <c r="G1796" s="84"/>
      <c r="H1796" s="82"/>
      <c r="I1796" s="84"/>
      <c r="J1796" s="84"/>
      <c r="K1796" s="84"/>
      <c r="L1796" s="84"/>
      <c r="M1796" s="84"/>
      <c r="N1796" s="84"/>
      <c r="O1796" s="84"/>
      <c r="P1796" s="84"/>
      <c r="Q1796" s="84"/>
      <c r="R1796" s="84"/>
      <c r="S1796" s="84"/>
      <c r="T1796" s="84"/>
      <c r="U1796" s="84"/>
      <c r="V1796" s="84"/>
      <c r="W1796" s="84"/>
      <c r="X1796" s="84"/>
      <c r="Y1796" s="84"/>
      <c r="Z1796" s="87"/>
      <c r="AA1796" s="87"/>
      <c r="AB1796" s="87"/>
      <c r="AC1796" s="87"/>
      <c r="AD1796" s="87"/>
      <c r="AE1796" s="87"/>
      <c r="AF1796" s="87"/>
      <c r="AG1796" s="87"/>
      <c r="AH1796" s="87"/>
      <c r="AI1796" s="87"/>
      <c r="AJ1796" s="87"/>
      <c r="AK1796" s="87"/>
      <c r="AL1796" s="87"/>
      <c r="AM1796" s="87"/>
      <c r="AN1796" s="87"/>
      <c r="AO1796" s="87"/>
      <c r="AP1796" s="87"/>
      <c r="AQ1796" s="87"/>
      <c r="AR1796" s="87"/>
      <c r="AS1796" s="87"/>
      <c r="AT1796" s="87"/>
      <c r="AU1796" s="87"/>
      <c r="AV1796" s="87"/>
      <c r="AW1796" s="87"/>
      <c r="AX1796" s="87"/>
      <c r="AY1796" s="87"/>
      <c r="AZ1796" s="87"/>
      <c r="BA1796" s="87"/>
      <c r="BB1796" s="87"/>
      <c r="BC1796" s="87"/>
      <c r="BD1796" s="87"/>
      <c r="BE1796" s="87"/>
      <c r="BF1796" s="87"/>
      <c r="BG1796" s="87"/>
      <c r="BH1796" s="87"/>
    </row>
    <row r="1797" spans="1:60" ht="16">
      <c r="A1797" s="82"/>
      <c r="B1797" s="82"/>
      <c r="C1797" s="82"/>
      <c r="D1797" s="83"/>
      <c r="E1797" s="84"/>
      <c r="F1797" s="84"/>
      <c r="G1797" s="84"/>
      <c r="H1797" s="82"/>
      <c r="I1797" s="84"/>
      <c r="J1797" s="84"/>
      <c r="K1797" s="84"/>
      <c r="L1797" s="84"/>
      <c r="M1797" s="84"/>
      <c r="N1797" s="84"/>
      <c r="O1797" s="84"/>
      <c r="P1797" s="84"/>
      <c r="Q1797" s="84"/>
      <c r="R1797" s="84"/>
      <c r="S1797" s="84"/>
      <c r="T1797" s="84"/>
      <c r="U1797" s="84"/>
      <c r="V1797" s="84"/>
      <c r="W1797" s="84"/>
      <c r="X1797" s="84"/>
      <c r="Y1797" s="84"/>
      <c r="Z1797" s="87"/>
      <c r="AA1797" s="87"/>
      <c r="AB1797" s="87"/>
      <c r="AC1797" s="87"/>
      <c r="AD1797" s="87"/>
      <c r="AE1797" s="87"/>
      <c r="AF1797" s="87"/>
      <c r="AG1797" s="87"/>
      <c r="AH1797" s="87"/>
      <c r="AI1797" s="87"/>
      <c r="AJ1797" s="87"/>
      <c r="AK1797" s="87"/>
      <c r="AL1797" s="87"/>
      <c r="AM1797" s="87"/>
      <c r="AN1797" s="87"/>
      <c r="AO1797" s="87"/>
      <c r="AP1797" s="87"/>
      <c r="AQ1797" s="87"/>
      <c r="AR1797" s="87"/>
      <c r="AS1797" s="87"/>
      <c r="AT1797" s="87"/>
      <c r="AU1797" s="87"/>
      <c r="AV1797" s="87"/>
      <c r="AW1797" s="87"/>
      <c r="AX1797" s="87"/>
      <c r="AY1797" s="87"/>
      <c r="AZ1797" s="87"/>
      <c r="BA1797" s="87"/>
      <c r="BB1797" s="87"/>
      <c r="BC1797" s="87"/>
      <c r="BD1797" s="87"/>
      <c r="BE1797" s="87"/>
      <c r="BF1797" s="87"/>
      <c r="BG1797" s="87"/>
      <c r="BH1797" s="87"/>
    </row>
    <row r="1798" spans="1:60" ht="16">
      <c r="A1798" s="82"/>
      <c r="B1798" s="82"/>
      <c r="C1798" s="82"/>
      <c r="D1798" s="83"/>
      <c r="E1798" s="84"/>
      <c r="F1798" s="84"/>
      <c r="G1798" s="84"/>
      <c r="H1798" s="82"/>
      <c r="I1798" s="84"/>
      <c r="J1798" s="84"/>
      <c r="K1798" s="84"/>
      <c r="L1798" s="84"/>
      <c r="M1798" s="84"/>
      <c r="N1798" s="84"/>
      <c r="O1798" s="84"/>
      <c r="P1798" s="84"/>
      <c r="Q1798" s="84"/>
      <c r="R1798" s="84"/>
      <c r="S1798" s="84"/>
      <c r="T1798" s="84"/>
      <c r="U1798" s="84"/>
      <c r="V1798" s="84"/>
      <c r="W1798" s="84"/>
      <c r="X1798" s="84"/>
      <c r="Y1798" s="84"/>
      <c r="Z1798" s="87"/>
      <c r="AA1798" s="87"/>
      <c r="AB1798" s="87"/>
      <c r="AC1798" s="87"/>
      <c r="AD1798" s="87"/>
      <c r="AE1798" s="87"/>
      <c r="AF1798" s="87"/>
      <c r="AG1798" s="87"/>
      <c r="AH1798" s="87"/>
      <c r="AI1798" s="87"/>
      <c r="AJ1798" s="87"/>
      <c r="AK1798" s="87"/>
      <c r="AL1798" s="87"/>
      <c r="AM1798" s="87"/>
      <c r="AN1798" s="87"/>
      <c r="AO1798" s="87"/>
      <c r="AP1798" s="87"/>
      <c r="AQ1798" s="87"/>
      <c r="AR1798" s="87"/>
      <c r="AS1798" s="87"/>
      <c r="AT1798" s="87"/>
      <c r="AU1798" s="87"/>
      <c r="AV1798" s="87"/>
      <c r="AW1798" s="87"/>
      <c r="AX1798" s="87"/>
      <c r="AY1798" s="87"/>
      <c r="AZ1798" s="87"/>
      <c r="BA1798" s="87"/>
      <c r="BB1798" s="87"/>
      <c r="BC1798" s="87"/>
      <c r="BD1798" s="87"/>
      <c r="BE1798" s="87"/>
      <c r="BF1798" s="87"/>
      <c r="BG1798" s="87"/>
      <c r="BH1798" s="87"/>
    </row>
    <row r="1799" spans="1:60" ht="16">
      <c r="A1799" s="82"/>
      <c r="B1799" s="82"/>
      <c r="C1799" s="82"/>
      <c r="D1799" s="83"/>
      <c r="E1799" s="84"/>
      <c r="F1799" s="84"/>
      <c r="G1799" s="84"/>
      <c r="H1799" s="82"/>
      <c r="I1799" s="84"/>
      <c r="J1799" s="84"/>
      <c r="K1799" s="84"/>
      <c r="L1799" s="84"/>
      <c r="M1799" s="84"/>
      <c r="N1799" s="84"/>
      <c r="O1799" s="84"/>
      <c r="P1799" s="84"/>
      <c r="Q1799" s="84"/>
      <c r="R1799" s="84"/>
      <c r="S1799" s="84"/>
      <c r="T1799" s="84"/>
      <c r="U1799" s="84"/>
      <c r="V1799" s="84"/>
      <c r="W1799" s="84"/>
      <c r="X1799" s="84"/>
      <c r="Y1799" s="84"/>
      <c r="Z1799" s="87"/>
      <c r="AA1799" s="87"/>
      <c r="AB1799" s="87"/>
      <c r="AC1799" s="87"/>
      <c r="AD1799" s="87"/>
      <c r="AE1799" s="87"/>
      <c r="AF1799" s="87"/>
      <c r="AG1799" s="87"/>
      <c r="AH1799" s="87"/>
      <c r="AI1799" s="87"/>
      <c r="AJ1799" s="87"/>
      <c r="AK1799" s="87"/>
      <c r="AL1799" s="87"/>
      <c r="AM1799" s="87"/>
      <c r="AN1799" s="87"/>
      <c r="AO1799" s="87"/>
      <c r="AP1799" s="87"/>
      <c r="AQ1799" s="87"/>
      <c r="AR1799" s="87"/>
      <c r="AS1799" s="87"/>
      <c r="AT1799" s="87"/>
      <c r="AU1799" s="87"/>
      <c r="AV1799" s="87"/>
      <c r="AW1799" s="87"/>
      <c r="AX1799" s="87"/>
      <c r="AY1799" s="87"/>
      <c r="AZ1799" s="87"/>
      <c r="BA1799" s="87"/>
      <c r="BB1799" s="87"/>
      <c r="BC1799" s="87"/>
      <c r="BD1799" s="87"/>
      <c r="BE1799" s="87"/>
      <c r="BF1799" s="87"/>
      <c r="BG1799" s="87"/>
      <c r="BH1799" s="87"/>
    </row>
    <row r="1800" spans="1:60" ht="16">
      <c r="A1800" s="82"/>
      <c r="B1800" s="82"/>
      <c r="C1800" s="82"/>
      <c r="D1800" s="83"/>
      <c r="E1800" s="84"/>
      <c r="F1800" s="84"/>
      <c r="G1800" s="84"/>
      <c r="H1800" s="82"/>
      <c r="I1800" s="84"/>
      <c r="J1800" s="84"/>
      <c r="K1800" s="84"/>
      <c r="L1800" s="84"/>
      <c r="M1800" s="84"/>
      <c r="N1800" s="84"/>
      <c r="O1800" s="84"/>
      <c r="P1800" s="84"/>
      <c r="Q1800" s="84"/>
      <c r="R1800" s="84"/>
      <c r="S1800" s="84"/>
      <c r="T1800" s="84"/>
      <c r="U1800" s="84"/>
      <c r="V1800" s="84"/>
      <c r="W1800" s="84"/>
      <c r="X1800" s="84"/>
      <c r="Y1800" s="84"/>
      <c r="Z1800" s="87"/>
      <c r="AA1800" s="87"/>
      <c r="AB1800" s="87"/>
      <c r="AC1800" s="87"/>
      <c r="AD1800" s="87"/>
      <c r="AE1800" s="87"/>
      <c r="AF1800" s="87"/>
      <c r="AG1800" s="87"/>
      <c r="AH1800" s="87"/>
      <c r="AI1800" s="87"/>
      <c r="AJ1800" s="87"/>
      <c r="AK1800" s="87"/>
      <c r="AL1800" s="87"/>
      <c r="AM1800" s="87"/>
      <c r="AN1800" s="87"/>
      <c r="AO1800" s="87"/>
      <c r="AP1800" s="87"/>
      <c r="AQ1800" s="87"/>
      <c r="AR1800" s="87"/>
      <c r="AS1800" s="87"/>
      <c r="AT1800" s="87"/>
      <c r="AU1800" s="87"/>
      <c r="AV1800" s="87"/>
      <c r="AW1800" s="87"/>
      <c r="AX1800" s="87"/>
      <c r="AY1800" s="87"/>
      <c r="AZ1800" s="87"/>
      <c r="BA1800" s="87"/>
      <c r="BB1800" s="87"/>
      <c r="BC1800" s="87"/>
      <c r="BD1800" s="87"/>
      <c r="BE1800" s="87"/>
      <c r="BF1800" s="87"/>
      <c r="BG1800" s="87"/>
      <c r="BH1800" s="87"/>
    </row>
    <row r="1801" spans="1:60" ht="16">
      <c r="A1801" s="82"/>
      <c r="B1801" s="82"/>
      <c r="C1801" s="82"/>
      <c r="D1801" s="83"/>
      <c r="E1801" s="84"/>
      <c r="F1801" s="84"/>
      <c r="G1801" s="84"/>
      <c r="H1801" s="82"/>
      <c r="I1801" s="84"/>
      <c r="J1801" s="84"/>
      <c r="K1801" s="84"/>
      <c r="L1801" s="84"/>
      <c r="M1801" s="84"/>
      <c r="N1801" s="84"/>
      <c r="O1801" s="84"/>
      <c r="P1801" s="84"/>
      <c r="Q1801" s="84"/>
      <c r="R1801" s="84"/>
      <c r="S1801" s="84"/>
      <c r="T1801" s="84"/>
      <c r="U1801" s="84"/>
      <c r="V1801" s="84"/>
      <c r="W1801" s="84"/>
      <c r="X1801" s="84"/>
      <c r="Y1801" s="84"/>
      <c r="Z1801" s="87"/>
      <c r="AA1801" s="87"/>
      <c r="AB1801" s="87"/>
      <c r="AC1801" s="87"/>
      <c r="AD1801" s="87"/>
      <c r="AE1801" s="87"/>
      <c r="AF1801" s="87"/>
      <c r="AG1801" s="87"/>
      <c r="AH1801" s="87"/>
      <c r="AI1801" s="87"/>
      <c r="AJ1801" s="87"/>
      <c r="AK1801" s="87"/>
      <c r="AL1801" s="87"/>
      <c r="AM1801" s="87"/>
      <c r="AN1801" s="87"/>
      <c r="AO1801" s="87"/>
      <c r="AP1801" s="87"/>
      <c r="AQ1801" s="87"/>
      <c r="AR1801" s="87"/>
      <c r="AS1801" s="87"/>
      <c r="AT1801" s="87"/>
      <c r="AU1801" s="87"/>
      <c r="AV1801" s="87"/>
      <c r="AW1801" s="87"/>
      <c r="AX1801" s="87"/>
      <c r="AY1801" s="87"/>
      <c r="AZ1801" s="87"/>
      <c r="BA1801" s="87"/>
      <c r="BB1801" s="87"/>
      <c r="BC1801" s="87"/>
      <c r="BD1801" s="87"/>
      <c r="BE1801" s="87"/>
      <c r="BF1801" s="87"/>
      <c r="BG1801" s="87"/>
      <c r="BH1801" s="87"/>
    </row>
    <row r="1802" spans="1:60" ht="16">
      <c r="A1802" s="82"/>
      <c r="B1802" s="82"/>
      <c r="C1802" s="82"/>
      <c r="D1802" s="83"/>
      <c r="E1802" s="84"/>
      <c r="F1802" s="84"/>
      <c r="G1802" s="84"/>
      <c r="H1802" s="82"/>
      <c r="I1802" s="84"/>
      <c r="J1802" s="84"/>
      <c r="K1802" s="84"/>
      <c r="L1802" s="84"/>
      <c r="M1802" s="84"/>
      <c r="N1802" s="84"/>
      <c r="O1802" s="84"/>
      <c r="P1802" s="84"/>
      <c r="Q1802" s="84"/>
      <c r="R1802" s="84"/>
      <c r="S1802" s="84"/>
      <c r="T1802" s="84"/>
      <c r="U1802" s="84"/>
      <c r="V1802" s="84"/>
      <c r="W1802" s="84"/>
      <c r="X1802" s="84"/>
      <c r="Y1802" s="84"/>
      <c r="Z1802" s="87"/>
      <c r="AA1802" s="87"/>
      <c r="AB1802" s="87"/>
      <c r="AC1802" s="87"/>
      <c r="AD1802" s="87"/>
      <c r="AE1802" s="87"/>
      <c r="AF1802" s="87"/>
      <c r="AG1802" s="87"/>
      <c r="AH1802" s="87"/>
      <c r="AI1802" s="87"/>
      <c r="AJ1802" s="87"/>
      <c r="AK1802" s="87"/>
      <c r="AL1802" s="87"/>
      <c r="AM1802" s="87"/>
      <c r="AN1802" s="87"/>
      <c r="AO1802" s="87"/>
      <c r="AP1802" s="87"/>
      <c r="AQ1802" s="87"/>
      <c r="AR1802" s="87"/>
      <c r="AS1802" s="87"/>
      <c r="AT1802" s="87"/>
      <c r="AU1802" s="87"/>
      <c r="AV1802" s="87"/>
      <c r="AW1802" s="87"/>
      <c r="AX1802" s="87"/>
      <c r="AY1802" s="87"/>
      <c r="AZ1802" s="87"/>
      <c r="BA1802" s="87"/>
      <c r="BB1802" s="87"/>
      <c r="BC1802" s="87"/>
      <c r="BD1802" s="87"/>
      <c r="BE1802" s="87"/>
      <c r="BF1802" s="87"/>
      <c r="BG1802" s="87"/>
      <c r="BH1802" s="87"/>
    </row>
    <row r="1803" spans="1:60" ht="16">
      <c r="A1803" s="82"/>
      <c r="B1803" s="82"/>
      <c r="C1803" s="82"/>
      <c r="D1803" s="83"/>
      <c r="E1803" s="84"/>
      <c r="F1803" s="84"/>
      <c r="G1803" s="84"/>
      <c r="H1803" s="82"/>
      <c r="I1803" s="84"/>
      <c r="J1803" s="84"/>
      <c r="K1803" s="84"/>
      <c r="L1803" s="84"/>
      <c r="M1803" s="84"/>
      <c r="N1803" s="84"/>
      <c r="O1803" s="84"/>
      <c r="P1803" s="84"/>
      <c r="Q1803" s="84"/>
      <c r="R1803" s="84"/>
      <c r="S1803" s="84"/>
      <c r="T1803" s="84"/>
      <c r="U1803" s="84"/>
      <c r="V1803" s="84"/>
      <c r="W1803" s="84"/>
      <c r="X1803" s="84"/>
      <c r="Y1803" s="84"/>
      <c r="Z1803" s="87"/>
      <c r="AA1803" s="87"/>
      <c r="AB1803" s="87"/>
      <c r="AC1803" s="87"/>
      <c r="AD1803" s="87"/>
      <c r="AE1803" s="87"/>
      <c r="AF1803" s="87"/>
      <c r="AG1803" s="87"/>
      <c r="AH1803" s="87"/>
      <c r="AI1803" s="87"/>
      <c r="AJ1803" s="87"/>
      <c r="AK1803" s="87"/>
      <c r="AL1803" s="87"/>
      <c r="AM1803" s="87"/>
      <c r="AN1803" s="87"/>
      <c r="AO1803" s="87"/>
      <c r="AP1803" s="87"/>
      <c r="AQ1803" s="87"/>
      <c r="AR1803" s="87"/>
      <c r="AS1803" s="87"/>
      <c r="AT1803" s="87"/>
      <c r="AU1803" s="87"/>
      <c r="AV1803" s="87"/>
      <c r="AW1803" s="87"/>
      <c r="AX1803" s="87"/>
      <c r="AY1803" s="87"/>
      <c r="AZ1803" s="87"/>
      <c r="BA1803" s="87"/>
      <c r="BB1803" s="87"/>
      <c r="BC1803" s="87"/>
      <c r="BD1803" s="87"/>
      <c r="BE1803" s="87"/>
      <c r="BF1803" s="87"/>
      <c r="BG1803" s="87"/>
      <c r="BH1803" s="87"/>
    </row>
    <row r="1804" spans="1:60" ht="16">
      <c r="A1804" s="82"/>
      <c r="B1804" s="82"/>
      <c r="C1804" s="82"/>
      <c r="D1804" s="83"/>
      <c r="E1804" s="84"/>
      <c r="F1804" s="84"/>
      <c r="G1804" s="84"/>
      <c r="H1804" s="82"/>
      <c r="I1804" s="84"/>
      <c r="J1804" s="84"/>
      <c r="K1804" s="84"/>
      <c r="L1804" s="84"/>
      <c r="M1804" s="84"/>
      <c r="N1804" s="84"/>
      <c r="O1804" s="84"/>
      <c r="P1804" s="84"/>
      <c r="Q1804" s="84"/>
      <c r="R1804" s="84"/>
      <c r="S1804" s="84"/>
      <c r="T1804" s="84"/>
      <c r="U1804" s="84"/>
      <c r="V1804" s="84"/>
      <c r="W1804" s="84"/>
      <c r="X1804" s="84"/>
      <c r="Y1804" s="84"/>
      <c r="Z1804" s="87"/>
      <c r="AA1804" s="87"/>
      <c r="AB1804" s="87"/>
      <c r="AC1804" s="87"/>
      <c r="AD1804" s="87"/>
      <c r="AE1804" s="87"/>
      <c r="AF1804" s="87"/>
      <c r="AG1804" s="87"/>
      <c r="AH1804" s="87"/>
      <c r="AI1804" s="87"/>
      <c r="AJ1804" s="87"/>
      <c r="AK1804" s="87"/>
      <c r="AL1804" s="87"/>
      <c r="AM1804" s="87"/>
      <c r="AN1804" s="87"/>
      <c r="AO1804" s="87"/>
      <c r="AP1804" s="87"/>
      <c r="AQ1804" s="87"/>
      <c r="AR1804" s="87"/>
      <c r="AS1804" s="87"/>
      <c r="AT1804" s="87"/>
      <c r="AU1804" s="87"/>
      <c r="AV1804" s="87"/>
      <c r="AW1804" s="87"/>
      <c r="AX1804" s="87"/>
      <c r="AY1804" s="87"/>
      <c r="AZ1804" s="87"/>
      <c r="BA1804" s="87"/>
      <c r="BB1804" s="87"/>
      <c r="BC1804" s="87"/>
      <c r="BD1804" s="87"/>
      <c r="BE1804" s="87"/>
      <c r="BF1804" s="87"/>
      <c r="BG1804" s="87"/>
      <c r="BH1804" s="87"/>
    </row>
    <row r="1805" spans="1:60" ht="16">
      <c r="A1805" s="82"/>
      <c r="B1805" s="82"/>
      <c r="C1805" s="82"/>
      <c r="D1805" s="83"/>
      <c r="E1805" s="84"/>
      <c r="F1805" s="84"/>
      <c r="G1805" s="84"/>
      <c r="H1805" s="82"/>
      <c r="I1805" s="84"/>
      <c r="J1805" s="84"/>
      <c r="K1805" s="84"/>
      <c r="L1805" s="84"/>
      <c r="M1805" s="84"/>
      <c r="N1805" s="84"/>
      <c r="O1805" s="84"/>
      <c r="P1805" s="84"/>
      <c r="Q1805" s="84"/>
      <c r="R1805" s="84"/>
      <c r="S1805" s="84"/>
      <c r="T1805" s="84"/>
      <c r="U1805" s="84"/>
      <c r="V1805" s="84"/>
      <c r="W1805" s="84"/>
      <c r="X1805" s="84"/>
      <c r="Y1805" s="84"/>
      <c r="Z1805" s="87"/>
      <c r="AA1805" s="87"/>
      <c r="AB1805" s="87"/>
      <c r="AC1805" s="87"/>
      <c r="AD1805" s="87"/>
      <c r="AE1805" s="87"/>
      <c r="AF1805" s="87"/>
      <c r="AG1805" s="87"/>
      <c r="AH1805" s="87"/>
      <c r="AI1805" s="87"/>
      <c r="AJ1805" s="87"/>
      <c r="AK1805" s="87"/>
      <c r="AL1805" s="87"/>
      <c r="AM1805" s="87"/>
      <c r="AN1805" s="87"/>
      <c r="AO1805" s="87"/>
      <c r="AP1805" s="87"/>
      <c r="AQ1805" s="87"/>
      <c r="AR1805" s="87"/>
      <c r="AS1805" s="87"/>
      <c r="AT1805" s="87"/>
      <c r="AU1805" s="87"/>
      <c r="AV1805" s="87"/>
      <c r="AW1805" s="87"/>
      <c r="AX1805" s="87"/>
      <c r="AY1805" s="87"/>
      <c r="AZ1805" s="87"/>
      <c r="BA1805" s="87"/>
      <c r="BB1805" s="87"/>
      <c r="BC1805" s="87"/>
      <c r="BD1805" s="87"/>
      <c r="BE1805" s="87"/>
      <c r="BF1805" s="87"/>
      <c r="BG1805" s="87"/>
      <c r="BH1805" s="87"/>
    </row>
    <row r="1806" spans="1:60" ht="16">
      <c r="A1806" s="82"/>
      <c r="B1806" s="82"/>
      <c r="C1806" s="82"/>
      <c r="D1806" s="83"/>
      <c r="E1806" s="84"/>
      <c r="F1806" s="84"/>
      <c r="G1806" s="84"/>
      <c r="H1806" s="82"/>
      <c r="I1806" s="84"/>
      <c r="J1806" s="84"/>
      <c r="K1806" s="84"/>
      <c r="L1806" s="84"/>
      <c r="M1806" s="84"/>
      <c r="N1806" s="84"/>
      <c r="O1806" s="84"/>
      <c r="P1806" s="84"/>
      <c r="Q1806" s="84"/>
      <c r="R1806" s="84"/>
      <c r="S1806" s="84"/>
      <c r="T1806" s="84"/>
      <c r="U1806" s="84"/>
      <c r="V1806" s="84"/>
      <c r="W1806" s="84"/>
      <c r="X1806" s="84"/>
      <c r="Y1806" s="84"/>
      <c r="Z1806" s="87"/>
      <c r="AA1806" s="87"/>
      <c r="AB1806" s="87"/>
      <c r="AC1806" s="87"/>
      <c r="AD1806" s="87"/>
      <c r="AE1806" s="87"/>
      <c r="AF1806" s="87"/>
      <c r="AG1806" s="87"/>
      <c r="AH1806" s="87"/>
      <c r="AI1806" s="87"/>
      <c r="AJ1806" s="87"/>
      <c r="AK1806" s="87"/>
      <c r="AL1806" s="87"/>
      <c r="AM1806" s="87"/>
      <c r="AN1806" s="87"/>
      <c r="AO1806" s="87"/>
      <c r="AP1806" s="87"/>
      <c r="AQ1806" s="87"/>
      <c r="AR1806" s="87"/>
      <c r="AS1806" s="87"/>
      <c r="AT1806" s="87"/>
      <c r="AU1806" s="87"/>
      <c r="AV1806" s="87"/>
      <c r="AW1806" s="87"/>
      <c r="AX1806" s="87"/>
      <c r="AY1806" s="87"/>
      <c r="AZ1806" s="87"/>
      <c r="BA1806" s="87"/>
      <c r="BB1806" s="87"/>
      <c r="BC1806" s="87"/>
      <c r="BD1806" s="87"/>
      <c r="BE1806" s="87"/>
      <c r="BF1806" s="87"/>
      <c r="BG1806" s="87"/>
      <c r="BH1806" s="87"/>
    </row>
    <row r="1807" spans="1:60" ht="16">
      <c r="A1807" s="82"/>
      <c r="B1807" s="82"/>
      <c r="C1807" s="82"/>
      <c r="D1807" s="83"/>
      <c r="E1807" s="84"/>
      <c r="F1807" s="84"/>
      <c r="G1807" s="84"/>
      <c r="H1807" s="82"/>
      <c r="I1807" s="84"/>
      <c r="J1807" s="84"/>
      <c r="K1807" s="84"/>
      <c r="L1807" s="84"/>
      <c r="M1807" s="84"/>
      <c r="N1807" s="84"/>
      <c r="O1807" s="84"/>
      <c r="P1807" s="84"/>
      <c r="Q1807" s="84"/>
      <c r="R1807" s="84"/>
      <c r="S1807" s="84"/>
      <c r="T1807" s="84"/>
      <c r="U1807" s="84"/>
      <c r="V1807" s="84"/>
      <c r="W1807" s="84"/>
      <c r="X1807" s="84"/>
      <c r="Y1807" s="84"/>
      <c r="Z1807" s="87"/>
      <c r="AA1807" s="87"/>
      <c r="AB1807" s="87"/>
      <c r="AC1807" s="87"/>
      <c r="AD1807" s="87"/>
      <c r="AE1807" s="87"/>
      <c r="AF1807" s="87"/>
      <c r="AG1807" s="87"/>
      <c r="AH1807" s="87"/>
      <c r="AI1807" s="87"/>
      <c r="AJ1807" s="87"/>
      <c r="AK1807" s="87"/>
      <c r="AL1807" s="87"/>
      <c r="AM1807" s="87"/>
      <c r="AN1807" s="87"/>
      <c r="AO1807" s="87"/>
      <c r="AP1807" s="87"/>
      <c r="AQ1807" s="87"/>
      <c r="AR1807" s="87"/>
      <c r="AS1807" s="87"/>
      <c r="AT1807" s="87"/>
      <c r="AU1807" s="87"/>
      <c r="AV1807" s="87"/>
      <c r="AW1807" s="87"/>
      <c r="AX1807" s="87"/>
      <c r="AY1807" s="87"/>
      <c r="AZ1807" s="87"/>
      <c r="BA1807" s="87"/>
      <c r="BB1807" s="87"/>
      <c r="BC1807" s="87"/>
      <c r="BD1807" s="87"/>
      <c r="BE1807" s="87"/>
      <c r="BF1807" s="87"/>
      <c r="BG1807" s="87"/>
      <c r="BH1807" s="87"/>
    </row>
    <row r="1808" spans="1:60" ht="16">
      <c r="A1808" s="82"/>
      <c r="B1808" s="82"/>
      <c r="C1808" s="82"/>
      <c r="D1808" s="83"/>
      <c r="E1808" s="84"/>
      <c r="F1808" s="84"/>
      <c r="G1808" s="84"/>
      <c r="H1808" s="82"/>
      <c r="I1808" s="84"/>
      <c r="J1808" s="84"/>
      <c r="K1808" s="84"/>
      <c r="L1808" s="84"/>
      <c r="M1808" s="84"/>
      <c r="N1808" s="84"/>
      <c r="O1808" s="84"/>
      <c r="P1808" s="84"/>
      <c r="Q1808" s="84"/>
      <c r="R1808" s="84"/>
      <c r="S1808" s="84"/>
      <c r="T1808" s="84"/>
      <c r="U1808" s="84"/>
      <c r="V1808" s="84"/>
      <c r="W1808" s="84"/>
      <c r="X1808" s="84"/>
      <c r="Y1808" s="84"/>
      <c r="Z1808" s="87"/>
      <c r="AA1808" s="87"/>
      <c r="AB1808" s="87"/>
      <c r="AC1808" s="87"/>
      <c r="AD1808" s="87"/>
      <c r="AE1808" s="87"/>
      <c r="AF1808" s="87"/>
      <c r="AG1808" s="87"/>
      <c r="AH1808" s="87"/>
      <c r="AI1808" s="87"/>
      <c r="AJ1808" s="87"/>
      <c r="AK1808" s="87"/>
      <c r="AL1808" s="87"/>
      <c r="AM1808" s="87"/>
      <c r="AN1808" s="87"/>
      <c r="AO1808" s="87"/>
      <c r="AP1808" s="87"/>
      <c r="AQ1808" s="87"/>
      <c r="AR1808" s="87"/>
      <c r="AS1808" s="87"/>
      <c r="AT1808" s="87"/>
      <c r="AU1808" s="87"/>
      <c r="AV1808" s="87"/>
      <c r="AW1808" s="87"/>
      <c r="AX1808" s="87"/>
      <c r="AY1808" s="87"/>
      <c r="AZ1808" s="87"/>
      <c r="BA1808" s="87"/>
      <c r="BB1808" s="87"/>
      <c r="BC1808" s="87"/>
      <c r="BD1808" s="87"/>
      <c r="BE1808" s="87"/>
      <c r="BF1808" s="87"/>
      <c r="BG1808" s="87"/>
      <c r="BH1808" s="87"/>
    </row>
    <row r="1809" spans="1:60" ht="16">
      <c r="A1809" s="82"/>
      <c r="B1809" s="82"/>
      <c r="C1809" s="82"/>
      <c r="D1809" s="83"/>
      <c r="E1809" s="84"/>
      <c r="F1809" s="84"/>
      <c r="G1809" s="84"/>
      <c r="H1809" s="82"/>
      <c r="I1809" s="84"/>
      <c r="J1809" s="84"/>
      <c r="K1809" s="84"/>
      <c r="L1809" s="84"/>
      <c r="M1809" s="84"/>
      <c r="N1809" s="84"/>
      <c r="O1809" s="84"/>
      <c r="P1809" s="84"/>
      <c r="Q1809" s="84"/>
      <c r="R1809" s="84"/>
      <c r="S1809" s="84"/>
      <c r="T1809" s="84"/>
      <c r="U1809" s="84"/>
      <c r="V1809" s="84"/>
      <c r="W1809" s="84"/>
      <c r="X1809" s="84"/>
      <c r="Y1809" s="84"/>
      <c r="Z1809" s="87"/>
      <c r="AA1809" s="87"/>
      <c r="AB1809" s="87"/>
      <c r="AC1809" s="87"/>
      <c r="AD1809" s="87"/>
      <c r="AE1809" s="87"/>
      <c r="AF1809" s="87"/>
      <c r="AG1809" s="87"/>
      <c r="AH1809" s="87"/>
      <c r="AI1809" s="87"/>
      <c r="AJ1809" s="87"/>
      <c r="AK1809" s="87"/>
      <c r="AL1809" s="87"/>
      <c r="AM1809" s="87"/>
      <c r="AN1809" s="87"/>
      <c r="AO1809" s="87"/>
      <c r="AP1809" s="87"/>
      <c r="AQ1809" s="87"/>
      <c r="AR1809" s="87"/>
      <c r="AS1809" s="87"/>
      <c r="AT1809" s="87"/>
      <c r="AU1809" s="87"/>
      <c r="AV1809" s="87"/>
      <c r="AW1809" s="87"/>
      <c r="AX1809" s="87"/>
      <c r="AY1809" s="87"/>
      <c r="AZ1809" s="87"/>
      <c r="BA1809" s="87"/>
      <c r="BB1809" s="87"/>
      <c r="BC1809" s="87"/>
      <c r="BD1809" s="87"/>
      <c r="BE1809" s="87"/>
      <c r="BF1809" s="87"/>
      <c r="BG1809" s="87"/>
      <c r="BH1809" s="87"/>
    </row>
    <row r="1810" spans="1:60" ht="16">
      <c r="A1810" s="82"/>
      <c r="B1810" s="82"/>
      <c r="C1810" s="82"/>
      <c r="D1810" s="83"/>
      <c r="E1810" s="84"/>
      <c r="F1810" s="84"/>
      <c r="G1810" s="84"/>
      <c r="H1810" s="82"/>
      <c r="I1810" s="84"/>
      <c r="J1810" s="84"/>
      <c r="K1810" s="84"/>
      <c r="L1810" s="84"/>
      <c r="M1810" s="84"/>
      <c r="N1810" s="84"/>
      <c r="O1810" s="84"/>
      <c r="P1810" s="84"/>
      <c r="Q1810" s="84"/>
      <c r="R1810" s="84"/>
      <c r="S1810" s="84"/>
      <c r="T1810" s="84"/>
      <c r="U1810" s="84"/>
      <c r="V1810" s="84"/>
      <c r="W1810" s="84"/>
      <c r="X1810" s="84"/>
      <c r="Y1810" s="84"/>
      <c r="Z1810" s="87"/>
      <c r="AA1810" s="87"/>
      <c r="AB1810" s="87"/>
      <c r="AC1810" s="87"/>
      <c r="AD1810" s="87"/>
      <c r="AE1810" s="87"/>
      <c r="AF1810" s="87"/>
      <c r="AG1810" s="87"/>
      <c r="AH1810" s="87"/>
      <c r="AI1810" s="87"/>
      <c r="AJ1810" s="87"/>
      <c r="AK1810" s="87"/>
      <c r="AL1810" s="87"/>
      <c r="AM1810" s="87"/>
      <c r="AN1810" s="87"/>
      <c r="AO1810" s="87"/>
      <c r="AP1810" s="87"/>
      <c r="AQ1810" s="87"/>
      <c r="AR1810" s="87"/>
      <c r="AS1810" s="87"/>
      <c r="AT1810" s="87"/>
      <c r="AU1810" s="87"/>
      <c r="AV1810" s="87"/>
      <c r="AW1810" s="87"/>
      <c r="AX1810" s="87"/>
      <c r="AY1810" s="87"/>
      <c r="AZ1810" s="87"/>
      <c r="BA1810" s="87"/>
      <c r="BB1810" s="87"/>
      <c r="BC1810" s="87"/>
      <c r="BD1810" s="87"/>
      <c r="BE1810" s="87"/>
      <c r="BF1810" s="87"/>
      <c r="BG1810" s="87"/>
      <c r="BH1810" s="87"/>
    </row>
    <row r="1811" spans="1:60" ht="16">
      <c r="A1811" s="82"/>
      <c r="B1811" s="82"/>
      <c r="C1811" s="82"/>
      <c r="D1811" s="83"/>
      <c r="E1811" s="84"/>
      <c r="F1811" s="84"/>
      <c r="G1811" s="84"/>
      <c r="H1811" s="82"/>
      <c r="I1811" s="84"/>
      <c r="J1811" s="84"/>
      <c r="K1811" s="84"/>
      <c r="L1811" s="84"/>
      <c r="M1811" s="84"/>
      <c r="N1811" s="84"/>
      <c r="O1811" s="84"/>
      <c r="P1811" s="84"/>
      <c r="Q1811" s="84"/>
      <c r="R1811" s="84"/>
      <c r="S1811" s="84"/>
      <c r="T1811" s="84"/>
      <c r="U1811" s="84"/>
      <c r="V1811" s="84"/>
      <c r="W1811" s="84"/>
      <c r="X1811" s="84"/>
      <c r="Y1811" s="84"/>
      <c r="Z1811" s="87"/>
      <c r="AA1811" s="87"/>
      <c r="AB1811" s="87"/>
      <c r="AC1811" s="87"/>
      <c r="AD1811" s="87"/>
      <c r="AE1811" s="87"/>
      <c r="AF1811" s="87"/>
      <c r="AG1811" s="87"/>
      <c r="AH1811" s="87"/>
      <c r="AI1811" s="87"/>
      <c r="AJ1811" s="87"/>
      <c r="AK1811" s="87"/>
      <c r="AL1811" s="87"/>
      <c r="AM1811" s="87"/>
      <c r="AN1811" s="87"/>
      <c r="AO1811" s="87"/>
      <c r="AP1811" s="87"/>
      <c r="AQ1811" s="87"/>
      <c r="AR1811" s="87"/>
      <c r="AS1811" s="87"/>
      <c r="AT1811" s="87"/>
      <c r="AU1811" s="87"/>
      <c r="AV1811" s="87"/>
      <c r="AW1811" s="87"/>
      <c r="AX1811" s="87"/>
      <c r="AY1811" s="87"/>
      <c r="AZ1811" s="87"/>
      <c r="BA1811" s="87"/>
      <c r="BB1811" s="87"/>
      <c r="BC1811" s="87"/>
      <c r="BD1811" s="87"/>
      <c r="BE1811" s="87"/>
      <c r="BF1811" s="87"/>
      <c r="BG1811" s="87"/>
      <c r="BH1811" s="87"/>
    </row>
    <row r="1812" spans="1:60" ht="16">
      <c r="A1812" s="82"/>
      <c r="B1812" s="82"/>
      <c r="C1812" s="82"/>
      <c r="D1812" s="83"/>
      <c r="E1812" s="84"/>
      <c r="F1812" s="84"/>
      <c r="G1812" s="84"/>
      <c r="H1812" s="82"/>
      <c r="I1812" s="84"/>
      <c r="J1812" s="84"/>
      <c r="K1812" s="84"/>
      <c r="L1812" s="84"/>
      <c r="M1812" s="84"/>
      <c r="N1812" s="84"/>
      <c r="O1812" s="84"/>
      <c r="P1812" s="84"/>
      <c r="Q1812" s="84"/>
      <c r="R1812" s="84"/>
      <c r="S1812" s="84"/>
      <c r="T1812" s="84"/>
      <c r="U1812" s="84"/>
      <c r="V1812" s="84"/>
      <c r="W1812" s="84"/>
      <c r="X1812" s="84"/>
      <c r="Y1812" s="84"/>
      <c r="Z1812" s="87"/>
      <c r="AA1812" s="87"/>
      <c r="AB1812" s="87"/>
      <c r="AC1812" s="87"/>
      <c r="AD1812" s="87"/>
      <c r="AE1812" s="87"/>
      <c r="AF1812" s="87"/>
      <c r="AG1812" s="87"/>
      <c r="AH1812" s="87"/>
      <c r="AI1812" s="87"/>
      <c r="AJ1812" s="87"/>
      <c r="AK1812" s="87"/>
      <c r="AL1812" s="87"/>
      <c r="AM1812" s="87"/>
      <c r="AN1812" s="87"/>
      <c r="AO1812" s="87"/>
      <c r="AP1812" s="87"/>
      <c r="AQ1812" s="87"/>
      <c r="AR1812" s="87"/>
      <c r="AS1812" s="87"/>
      <c r="AT1812" s="87"/>
      <c r="AU1812" s="87"/>
      <c r="AV1812" s="87"/>
      <c r="AW1812" s="87"/>
      <c r="AX1812" s="87"/>
      <c r="AY1812" s="87"/>
      <c r="AZ1812" s="87"/>
      <c r="BA1812" s="87"/>
      <c r="BB1812" s="87"/>
      <c r="BC1812" s="87"/>
      <c r="BD1812" s="87"/>
      <c r="BE1812" s="87"/>
      <c r="BF1812" s="87"/>
      <c r="BG1812" s="87"/>
      <c r="BH1812" s="87"/>
    </row>
    <row r="1813" spans="1:60" ht="16">
      <c r="A1813" s="82"/>
      <c r="B1813" s="82"/>
      <c r="C1813" s="82"/>
      <c r="D1813" s="83"/>
      <c r="E1813" s="84"/>
      <c r="F1813" s="84"/>
      <c r="G1813" s="84"/>
      <c r="H1813" s="82"/>
      <c r="I1813" s="84"/>
      <c r="J1813" s="84"/>
      <c r="K1813" s="84"/>
      <c r="L1813" s="84"/>
      <c r="M1813" s="84"/>
      <c r="N1813" s="84"/>
      <c r="O1813" s="84"/>
      <c r="P1813" s="84"/>
      <c r="Q1813" s="84"/>
      <c r="R1813" s="84"/>
      <c r="S1813" s="84"/>
      <c r="T1813" s="84"/>
      <c r="U1813" s="84"/>
      <c r="V1813" s="84"/>
      <c r="W1813" s="84"/>
      <c r="X1813" s="84"/>
      <c r="Y1813" s="84"/>
      <c r="Z1813" s="87"/>
      <c r="AA1813" s="87"/>
      <c r="AB1813" s="87"/>
      <c r="AC1813" s="87"/>
      <c r="AD1813" s="87"/>
      <c r="AE1813" s="87"/>
      <c r="AF1813" s="87"/>
      <c r="AG1813" s="87"/>
      <c r="AH1813" s="87"/>
      <c r="AI1813" s="87"/>
      <c r="AJ1813" s="87"/>
      <c r="AK1813" s="87"/>
      <c r="AL1813" s="87"/>
      <c r="AM1813" s="87"/>
      <c r="AN1813" s="87"/>
      <c r="AO1813" s="87"/>
      <c r="AP1813" s="87"/>
      <c r="AQ1813" s="87"/>
      <c r="AR1813" s="87"/>
      <c r="AS1813" s="87"/>
      <c r="AT1813" s="87"/>
      <c r="AU1813" s="87"/>
      <c r="AV1813" s="87"/>
      <c r="AW1813" s="87"/>
      <c r="AX1813" s="87"/>
      <c r="AY1813" s="87"/>
      <c r="AZ1813" s="87"/>
      <c r="BA1813" s="87"/>
      <c r="BB1813" s="87"/>
      <c r="BC1813" s="87"/>
      <c r="BD1813" s="87"/>
      <c r="BE1813" s="87"/>
      <c r="BF1813" s="87"/>
      <c r="BG1813" s="87"/>
      <c r="BH1813" s="87"/>
    </row>
    <row r="1814" spans="1:60" ht="16">
      <c r="A1814" s="82"/>
      <c r="B1814" s="82"/>
      <c r="C1814" s="82"/>
      <c r="D1814" s="83"/>
      <c r="E1814" s="84"/>
      <c r="F1814" s="84"/>
      <c r="G1814" s="84"/>
      <c r="H1814" s="82"/>
      <c r="I1814" s="84"/>
      <c r="J1814" s="84"/>
      <c r="K1814" s="84"/>
      <c r="L1814" s="84"/>
      <c r="M1814" s="84"/>
      <c r="N1814" s="84"/>
      <c r="O1814" s="84"/>
      <c r="P1814" s="84"/>
      <c r="Q1814" s="84"/>
      <c r="R1814" s="84"/>
      <c r="S1814" s="84"/>
      <c r="T1814" s="84"/>
      <c r="U1814" s="84"/>
      <c r="V1814" s="84"/>
      <c r="W1814" s="84"/>
      <c r="X1814" s="84"/>
      <c r="Y1814" s="84"/>
      <c r="Z1814" s="87"/>
      <c r="AA1814" s="87"/>
      <c r="AB1814" s="87"/>
      <c r="AC1814" s="87"/>
      <c r="AD1814" s="87"/>
      <c r="AE1814" s="87"/>
      <c r="AF1814" s="87"/>
      <c r="AG1814" s="87"/>
      <c r="AH1814" s="87"/>
      <c r="AI1814" s="87"/>
      <c r="AJ1814" s="87"/>
      <c r="AK1814" s="87"/>
      <c r="AL1814" s="87"/>
      <c r="AM1814" s="87"/>
      <c r="AN1814" s="87"/>
      <c r="AO1814" s="87"/>
      <c r="AP1814" s="87"/>
      <c r="AQ1814" s="87"/>
      <c r="AR1814" s="87"/>
      <c r="AS1814" s="87"/>
      <c r="AT1814" s="87"/>
      <c r="AU1814" s="87"/>
      <c r="AV1814" s="87"/>
      <c r="AW1814" s="87"/>
      <c r="AX1814" s="87"/>
      <c r="AY1814" s="87"/>
      <c r="AZ1814" s="87"/>
      <c r="BA1814" s="87"/>
      <c r="BB1814" s="87"/>
      <c r="BC1814" s="87"/>
      <c r="BD1814" s="87"/>
      <c r="BE1814" s="87"/>
      <c r="BF1814" s="87"/>
      <c r="BG1814" s="87"/>
      <c r="BH1814" s="87"/>
    </row>
    <row r="1815" spans="1:60" ht="16">
      <c r="A1815" s="82"/>
      <c r="B1815" s="82"/>
      <c r="C1815" s="82"/>
      <c r="D1815" s="83"/>
      <c r="E1815" s="84"/>
      <c r="F1815" s="84"/>
      <c r="G1815" s="84"/>
      <c r="H1815" s="82"/>
      <c r="I1815" s="84"/>
      <c r="J1815" s="84"/>
      <c r="K1815" s="84"/>
      <c r="L1815" s="84"/>
      <c r="M1815" s="84"/>
      <c r="N1815" s="84"/>
      <c r="O1815" s="84"/>
      <c r="P1815" s="84"/>
      <c r="Q1815" s="84"/>
      <c r="R1815" s="84"/>
      <c r="S1815" s="84"/>
      <c r="T1815" s="84"/>
      <c r="U1815" s="84"/>
      <c r="V1815" s="84"/>
      <c r="W1815" s="84"/>
      <c r="X1815" s="84"/>
      <c r="Y1815" s="84"/>
      <c r="Z1815" s="87"/>
      <c r="AA1815" s="87"/>
      <c r="AB1815" s="87"/>
      <c r="AC1815" s="87"/>
      <c r="AD1815" s="87"/>
      <c r="AE1815" s="87"/>
      <c r="AF1815" s="87"/>
      <c r="AG1815" s="87"/>
      <c r="AH1815" s="87"/>
      <c r="AI1815" s="87"/>
      <c r="AJ1815" s="87"/>
      <c r="AK1815" s="87"/>
      <c r="AL1815" s="87"/>
      <c r="AM1815" s="87"/>
      <c r="AN1815" s="87"/>
      <c r="AO1815" s="87"/>
      <c r="AP1815" s="87"/>
      <c r="AQ1815" s="87"/>
      <c r="AR1815" s="87"/>
      <c r="AS1815" s="87"/>
      <c r="AT1815" s="87"/>
      <c r="AU1815" s="87"/>
      <c r="AV1815" s="87"/>
      <c r="AW1815" s="87"/>
      <c r="AX1815" s="87"/>
      <c r="AY1815" s="87"/>
      <c r="AZ1815" s="87"/>
      <c r="BA1815" s="87"/>
      <c r="BB1815" s="87"/>
      <c r="BC1815" s="87"/>
      <c r="BD1815" s="87"/>
      <c r="BE1815" s="87"/>
      <c r="BF1815" s="87"/>
      <c r="BG1815" s="87"/>
      <c r="BH1815" s="87"/>
    </row>
    <row r="1816" spans="1:60" ht="16">
      <c r="A1816" s="82"/>
      <c r="B1816" s="82"/>
      <c r="C1816" s="82"/>
      <c r="D1816" s="83"/>
      <c r="E1816" s="84"/>
      <c r="F1816" s="84"/>
      <c r="G1816" s="84"/>
      <c r="H1816" s="82"/>
      <c r="I1816" s="84"/>
      <c r="J1816" s="84"/>
      <c r="K1816" s="84"/>
      <c r="L1816" s="84"/>
      <c r="M1816" s="84"/>
      <c r="N1816" s="84"/>
      <c r="O1816" s="84"/>
      <c r="P1816" s="84"/>
      <c r="Q1816" s="84"/>
      <c r="R1816" s="84"/>
      <c r="S1816" s="84"/>
      <c r="T1816" s="84"/>
      <c r="U1816" s="84"/>
      <c r="V1816" s="84"/>
      <c r="W1816" s="84"/>
      <c r="X1816" s="84"/>
      <c r="Y1816" s="84"/>
      <c r="Z1816" s="87"/>
      <c r="AA1816" s="87"/>
      <c r="AB1816" s="87"/>
      <c r="AC1816" s="87"/>
      <c r="AD1816" s="87"/>
      <c r="AE1816" s="87"/>
      <c r="AF1816" s="87"/>
      <c r="AG1816" s="87"/>
      <c r="AH1816" s="87"/>
      <c r="AI1816" s="87"/>
      <c r="AJ1816" s="87"/>
      <c r="AK1816" s="87"/>
      <c r="AL1816" s="87"/>
      <c r="AM1816" s="87"/>
      <c r="AN1816" s="87"/>
      <c r="AO1816" s="87"/>
      <c r="AP1816" s="87"/>
      <c r="AQ1816" s="87"/>
      <c r="AR1816" s="87"/>
      <c r="AS1816" s="87"/>
      <c r="AT1816" s="87"/>
      <c r="AU1816" s="87"/>
      <c r="AV1816" s="87"/>
      <c r="AW1816" s="87"/>
      <c r="AX1816" s="87"/>
      <c r="AY1816" s="87"/>
      <c r="AZ1816" s="87"/>
      <c r="BA1816" s="87"/>
      <c r="BB1816" s="87"/>
      <c r="BC1816" s="87"/>
      <c r="BD1816" s="87"/>
      <c r="BE1816" s="87"/>
      <c r="BF1816" s="87"/>
      <c r="BG1816" s="87"/>
      <c r="BH1816" s="87"/>
    </row>
    <row r="1817" spans="1:60" ht="16">
      <c r="A1817" s="82"/>
      <c r="B1817" s="82"/>
      <c r="C1817" s="82"/>
      <c r="D1817" s="83"/>
      <c r="E1817" s="84"/>
      <c r="F1817" s="84"/>
      <c r="G1817" s="84"/>
      <c r="H1817" s="82"/>
      <c r="I1817" s="84"/>
      <c r="J1817" s="84"/>
      <c r="K1817" s="84"/>
      <c r="L1817" s="84"/>
      <c r="M1817" s="84"/>
      <c r="N1817" s="84"/>
      <c r="O1817" s="84"/>
      <c r="P1817" s="84"/>
      <c r="Q1817" s="84"/>
      <c r="R1817" s="84"/>
      <c r="S1817" s="84"/>
      <c r="T1817" s="84"/>
      <c r="U1817" s="84"/>
      <c r="V1817" s="84"/>
      <c r="W1817" s="84"/>
      <c r="X1817" s="84"/>
      <c r="Y1817" s="84"/>
      <c r="Z1817" s="87"/>
      <c r="AA1817" s="87"/>
      <c r="AB1817" s="87"/>
      <c r="AC1817" s="87"/>
      <c r="AD1817" s="87"/>
      <c r="AE1817" s="87"/>
      <c r="AF1817" s="87"/>
      <c r="AG1817" s="87"/>
      <c r="AH1817" s="87"/>
      <c r="AI1817" s="87"/>
      <c r="AJ1817" s="87"/>
      <c r="AK1817" s="87"/>
      <c r="AL1817" s="87"/>
      <c r="AM1817" s="87"/>
      <c r="AN1817" s="87"/>
      <c r="AO1817" s="87"/>
      <c r="AP1817" s="87"/>
      <c r="AQ1817" s="87"/>
      <c r="AR1817" s="87"/>
      <c r="AS1817" s="87"/>
      <c r="AT1817" s="87"/>
      <c r="AU1817" s="87"/>
      <c r="AV1817" s="87"/>
      <c r="AW1817" s="87"/>
      <c r="AX1817" s="87"/>
      <c r="AY1817" s="87"/>
      <c r="AZ1817" s="87"/>
      <c r="BA1817" s="87"/>
      <c r="BB1817" s="87"/>
      <c r="BC1817" s="87"/>
      <c r="BD1817" s="87"/>
      <c r="BE1817" s="87"/>
      <c r="BF1817" s="87"/>
      <c r="BG1817" s="87"/>
      <c r="BH1817" s="87"/>
    </row>
    <row r="1818" spans="1:60" ht="16">
      <c r="A1818" s="82"/>
      <c r="B1818" s="82"/>
      <c r="C1818" s="82"/>
      <c r="D1818" s="83"/>
      <c r="E1818" s="84"/>
      <c r="F1818" s="84"/>
      <c r="G1818" s="84"/>
      <c r="H1818" s="82"/>
      <c r="I1818" s="84"/>
      <c r="J1818" s="84"/>
      <c r="K1818" s="84"/>
      <c r="L1818" s="84"/>
      <c r="M1818" s="84"/>
      <c r="N1818" s="84"/>
      <c r="O1818" s="84"/>
      <c r="P1818" s="84"/>
      <c r="Q1818" s="84"/>
      <c r="R1818" s="84"/>
      <c r="S1818" s="84"/>
      <c r="T1818" s="84"/>
      <c r="U1818" s="84"/>
      <c r="V1818" s="84"/>
      <c r="W1818" s="84"/>
      <c r="X1818" s="84"/>
      <c r="Y1818" s="84"/>
      <c r="Z1818" s="87"/>
      <c r="AA1818" s="87"/>
      <c r="AB1818" s="87"/>
      <c r="AC1818" s="87"/>
      <c r="AD1818" s="87"/>
      <c r="AE1818" s="87"/>
      <c r="AF1818" s="87"/>
      <c r="AG1818" s="87"/>
      <c r="AH1818" s="87"/>
      <c r="AI1818" s="87"/>
      <c r="AJ1818" s="87"/>
      <c r="AK1818" s="87"/>
      <c r="AL1818" s="87"/>
      <c r="AM1818" s="87"/>
      <c r="AN1818" s="87"/>
      <c r="AO1818" s="87"/>
      <c r="AP1818" s="87"/>
      <c r="AQ1818" s="87"/>
      <c r="AR1818" s="87"/>
      <c r="AS1818" s="87"/>
      <c r="AT1818" s="87"/>
      <c r="AU1818" s="87"/>
      <c r="AV1818" s="87"/>
      <c r="AW1818" s="87"/>
      <c r="AX1818" s="87"/>
      <c r="AY1818" s="87"/>
      <c r="AZ1818" s="87"/>
      <c r="BA1818" s="87"/>
      <c r="BB1818" s="87"/>
      <c r="BC1818" s="87"/>
      <c r="BD1818" s="87"/>
      <c r="BE1818" s="87"/>
      <c r="BF1818" s="87"/>
      <c r="BG1818" s="87"/>
      <c r="BH1818" s="87"/>
    </row>
    <row r="1819" spans="1:60" ht="16">
      <c r="A1819" s="82"/>
      <c r="B1819" s="82"/>
      <c r="C1819" s="82"/>
      <c r="D1819" s="83"/>
      <c r="E1819" s="84"/>
      <c r="F1819" s="84"/>
      <c r="G1819" s="84"/>
      <c r="H1819" s="82"/>
      <c r="I1819" s="84"/>
      <c r="J1819" s="84"/>
      <c r="K1819" s="84"/>
      <c r="L1819" s="84"/>
      <c r="M1819" s="84"/>
      <c r="N1819" s="84"/>
      <c r="O1819" s="84"/>
      <c r="P1819" s="84"/>
      <c r="Q1819" s="84"/>
      <c r="R1819" s="84"/>
      <c r="S1819" s="84"/>
      <c r="T1819" s="84"/>
      <c r="U1819" s="84"/>
      <c r="V1819" s="84"/>
      <c r="W1819" s="84"/>
      <c r="X1819" s="84"/>
      <c r="Y1819" s="84"/>
      <c r="Z1819" s="87"/>
      <c r="AA1819" s="87"/>
      <c r="AB1819" s="87"/>
      <c r="AC1819" s="87"/>
      <c r="AD1819" s="87"/>
      <c r="AE1819" s="87"/>
      <c r="AF1819" s="87"/>
      <c r="AG1819" s="87"/>
      <c r="AH1819" s="87"/>
      <c r="AI1819" s="87"/>
      <c r="AJ1819" s="87"/>
      <c r="AK1819" s="87"/>
      <c r="AL1819" s="87"/>
      <c r="AM1819" s="87"/>
      <c r="AN1819" s="87"/>
      <c r="AO1819" s="87"/>
      <c r="AP1819" s="87"/>
      <c r="AQ1819" s="87"/>
      <c r="AR1819" s="87"/>
      <c r="AS1819" s="87"/>
      <c r="AT1819" s="87"/>
      <c r="AU1819" s="87"/>
      <c r="AV1819" s="87"/>
      <c r="AW1819" s="87"/>
      <c r="AX1819" s="87"/>
      <c r="AY1819" s="87"/>
      <c r="AZ1819" s="87"/>
      <c r="BA1819" s="87"/>
      <c r="BB1819" s="87"/>
      <c r="BC1819" s="87"/>
      <c r="BD1819" s="87"/>
      <c r="BE1819" s="87"/>
      <c r="BF1819" s="87"/>
      <c r="BG1819" s="87"/>
      <c r="BH1819" s="87"/>
    </row>
    <row r="1820" spans="1:60" ht="16">
      <c r="A1820" s="82"/>
      <c r="B1820" s="82"/>
      <c r="C1820" s="82"/>
      <c r="D1820" s="83"/>
      <c r="E1820" s="84"/>
      <c r="F1820" s="84"/>
      <c r="G1820" s="84"/>
      <c r="H1820" s="82"/>
      <c r="I1820" s="84"/>
      <c r="J1820" s="84"/>
      <c r="K1820" s="84"/>
      <c r="L1820" s="84"/>
      <c r="M1820" s="84"/>
      <c r="N1820" s="84"/>
      <c r="O1820" s="84"/>
      <c r="P1820" s="84"/>
      <c r="Q1820" s="84"/>
      <c r="R1820" s="84"/>
      <c r="S1820" s="84"/>
      <c r="T1820" s="84"/>
      <c r="U1820" s="84"/>
      <c r="V1820" s="84"/>
      <c r="W1820" s="84"/>
      <c r="X1820" s="84"/>
      <c r="Y1820" s="84"/>
      <c r="Z1820" s="87"/>
      <c r="AA1820" s="87"/>
      <c r="AB1820" s="87"/>
      <c r="AC1820" s="87"/>
      <c r="AD1820" s="87"/>
      <c r="AE1820" s="87"/>
      <c r="AF1820" s="87"/>
      <c r="AG1820" s="87"/>
      <c r="AH1820" s="87"/>
      <c r="AI1820" s="87"/>
      <c r="AJ1820" s="87"/>
      <c r="AK1820" s="87"/>
      <c r="AL1820" s="87"/>
      <c r="AM1820" s="87"/>
      <c r="AN1820" s="87"/>
      <c r="AO1820" s="87"/>
      <c r="AP1820" s="87"/>
      <c r="AQ1820" s="87"/>
      <c r="AR1820" s="87"/>
      <c r="AS1820" s="87"/>
      <c r="AT1820" s="87"/>
      <c r="AU1820" s="87"/>
      <c r="AV1820" s="87"/>
      <c r="AW1820" s="87"/>
      <c r="AX1820" s="87"/>
      <c r="AY1820" s="87"/>
      <c r="AZ1820" s="87"/>
      <c r="BA1820" s="87"/>
      <c r="BB1820" s="87"/>
      <c r="BC1820" s="87"/>
      <c r="BD1820" s="87"/>
      <c r="BE1820" s="87"/>
      <c r="BF1820" s="87"/>
      <c r="BG1820" s="87"/>
      <c r="BH1820" s="87"/>
    </row>
    <row r="1821" spans="1:60" ht="16">
      <c r="A1821" s="82"/>
      <c r="B1821" s="82"/>
      <c r="C1821" s="82"/>
      <c r="D1821" s="83"/>
      <c r="E1821" s="84"/>
      <c r="F1821" s="84"/>
      <c r="G1821" s="84"/>
      <c r="H1821" s="82"/>
      <c r="I1821" s="84"/>
      <c r="J1821" s="84"/>
      <c r="K1821" s="84"/>
      <c r="L1821" s="84"/>
      <c r="M1821" s="84"/>
      <c r="N1821" s="84"/>
      <c r="O1821" s="84"/>
      <c r="P1821" s="84"/>
      <c r="Q1821" s="84"/>
      <c r="R1821" s="84"/>
      <c r="S1821" s="84"/>
      <c r="T1821" s="84"/>
      <c r="U1821" s="84"/>
      <c r="V1821" s="84"/>
      <c r="W1821" s="84"/>
      <c r="X1821" s="84"/>
      <c r="Y1821" s="84"/>
      <c r="Z1821" s="87"/>
      <c r="AA1821" s="87"/>
      <c r="AB1821" s="87"/>
      <c r="AC1821" s="87"/>
      <c r="AD1821" s="87"/>
      <c r="AE1821" s="87"/>
      <c r="AF1821" s="87"/>
      <c r="AG1821" s="87"/>
      <c r="AH1821" s="87"/>
      <c r="AI1821" s="87"/>
      <c r="AJ1821" s="87"/>
      <c r="AK1821" s="87"/>
      <c r="AL1821" s="87"/>
      <c r="AM1821" s="87"/>
      <c r="AN1821" s="87"/>
      <c r="AO1821" s="87"/>
      <c r="AP1821" s="87"/>
      <c r="AQ1821" s="87"/>
      <c r="AR1821" s="87"/>
      <c r="AS1821" s="87"/>
      <c r="AT1821" s="87"/>
      <c r="AU1821" s="87"/>
      <c r="AV1821" s="87"/>
      <c r="AW1821" s="87"/>
      <c r="AX1821" s="87"/>
      <c r="AY1821" s="87"/>
      <c r="AZ1821" s="87"/>
      <c r="BA1821" s="87"/>
      <c r="BB1821" s="87"/>
      <c r="BC1821" s="87"/>
      <c r="BD1821" s="87"/>
      <c r="BE1821" s="87"/>
      <c r="BF1821" s="87"/>
      <c r="BG1821" s="87"/>
      <c r="BH1821" s="87"/>
    </row>
    <row r="1822" spans="1:60" ht="16">
      <c r="A1822" s="82"/>
      <c r="B1822" s="82"/>
      <c r="C1822" s="82"/>
      <c r="D1822" s="83"/>
      <c r="E1822" s="84"/>
      <c r="F1822" s="84"/>
      <c r="G1822" s="84"/>
      <c r="H1822" s="82"/>
      <c r="I1822" s="84"/>
      <c r="J1822" s="84"/>
      <c r="K1822" s="84"/>
      <c r="L1822" s="84"/>
      <c r="M1822" s="84"/>
      <c r="N1822" s="84"/>
      <c r="O1822" s="84"/>
      <c r="P1822" s="84"/>
      <c r="Q1822" s="84"/>
      <c r="R1822" s="84"/>
      <c r="S1822" s="84"/>
      <c r="T1822" s="84"/>
      <c r="U1822" s="84"/>
      <c r="V1822" s="84"/>
      <c r="W1822" s="84"/>
      <c r="X1822" s="84"/>
      <c r="Y1822" s="84"/>
      <c r="Z1822" s="87"/>
      <c r="AA1822" s="87"/>
      <c r="AB1822" s="87"/>
      <c r="AC1822" s="87"/>
      <c r="AD1822" s="87"/>
      <c r="AE1822" s="87"/>
      <c r="AF1822" s="87"/>
      <c r="AG1822" s="87"/>
      <c r="AH1822" s="87"/>
      <c r="AI1822" s="87"/>
      <c r="AJ1822" s="87"/>
      <c r="AK1822" s="87"/>
      <c r="AL1822" s="87"/>
      <c r="AM1822" s="87"/>
      <c r="AN1822" s="87"/>
      <c r="AO1822" s="87"/>
      <c r="AP1822" s="87"/>
      <c r="AQ1822" s="87"/>
      <c r="AR1822" s="87"/>
      <c r="AS1822" s="87"/>
      <c r="AT1822" s="87"/>
      <c r="AU1822" s="87"/>
      <c r="AV1822" s="87"/>
      <c r="AW1822" s="87"/>
      <c r="AX1822" s="87"/>
      <c r="AY1822" s="87"/>
      <c r="AZ1822" s="87"/>
      <c r="BA1822" s="87"/>
      <c r="BB1822" s="87"/>
      <c r="BC1822" s="87"/>
      <c r="BD1822" s="87"/>
      <c r="BE1822" s="87"/>
      <c r="BF1822" s="87"/>
      <c r="BG1822" s="87"/>
      <c r="BH1822" s="87"/>
    </row>
    <row r="1823" spans="1:60" ht="16">
      <c r="A1823" s="82"/>
      <c r="B1823" s="82"/>
      <c r="C1823" s="82"/>
      <c r="D1823" s="83"/>
      <c r="E1823" s="84"/>
      <c r="F1823" s="84"/>
      <c r="G1823" s="84"/>
      <c r="H1823" s="82"/>
      <c r="I1823" s="84"/>
      <c r="J1823" s="84"/>
      <c r="K1823" s="84"/>
      <c r="L1823" s="84"/>
      <c r="M1823" s="84"/>
      <c r="N1823" s="84"/>
      <c r="O1823" s="84"/>
      <c r="P1823" s="84"/>
      <c r="Q1823" s="84"/>
      <c r="R1823" s="84"/>
      <c r="S1823" s="84"/>
      <c r="T1823" s="84"/>
      <c r="U1823" s="84"/>
      <c r="V1823" s="84"/>
      <c r="W1823" s="84"/>
      <c r="X1823" s="84"/>
      <c r="Y1823" s="84"/>
      <c r="Z1823" s="87"/>
      <c r="AA1823" s="87"/>
      <c r="AB1823" s="87"/>
      <c r="AC1823" s="87"/>
      <c r="AD1823" s="87"/>
      <c r="AE1823" s="87"/>
      <c r="AF1823" s="87"/>
      <c r="AG1823" s="87"/>
      <c r="AH1823" s="87"/>
      <c r="AI1823" s="87"/>
      <c r="AJ1823" s="87"/>
      <c r="AK1823" s="87"/>
      <c r="AL1823" s="87"/>
      <c r="AM1823" s="87"/>
      <c r="AN1823" s="87"/>
      <c r="AO1823" s="87"/>
      <c r="AP1823" s="87"/>
      <c r="AQ1823" s="87"/>
      <c r="AR1823" s="87"/>
      <c r="AS1823" s="87"/>
      <c r="AT1823" s="87"/>
      <c r="AU1823" s="87"/>
      <c r="AV1823" s="87"/>
      <c r="AW1823" s="87"/>
      <c r="AX1823" s="87"/>
      <c r="AY1823" s="87"/>
      <c r="AZ1823" s="87"/>
      <c r="BA1823" s="87"/>
      <c r="BB1823" s="87"/>
      <c r="BC1823" s="87"/>
      <c r="BD1823" s="87"/>
      <c r="BE1823" s="87"/>
      <c r="BF1823" s="87"/>
      <c r="BG1823" s="87"/>
      <c r="BH1823" s="87"/>
    </row>
    <row r="1824" spans="1:60" ht="16">
      <c r="A1824" s="82"/>
      <c r="B1824" s="82"/>
      <c r="C1824" s="82"/>
      <c r="D1824" s="83"/>
      <c r="E1824" s="84"/>
      <c r="F1824" s="84"/>
      <c r="G1824" s="84"/>
      <c r="H1824" s="82"/>
      <c r="I1824" s="84"/>
      <c r="J1824" s="84"/>
      <c r="K1824" s="84"/>
      <c r="L1824" s="84"/>
      <c r="M1824" s="84"/>
      <c r="N1824" s="84"/>
      <c r="O1824" s="84"/>
      <c r="P1824" s="84"/>
      <c r="Q1824" s="84"/>
      <c r="R1824" s="84"/>
      <c r="S1824" s="84"/>
      <c r="T1824" s="84"/>
      <c r="U1824" s="84"/>
      <c r="V1824" s="84"/>
      <c r="W1824" s="84"/>
      <c r="X1824" s="84"/>
      <c r="Y1824" s="84"/>
      <c r="Z1824" s="87"/>
      <c r="AA1824" s="87"/>
      <c r="AB1824" s="87"/>
      <c r="AC1824" s="87"/>
      <c r="AD1824" s="87"/>
      <c r="AE1824" s="87"/>
      <c r="AF1824" s="87"/>
      <c r="AG1824" s="87"/>
      <c r="AH1824" s="87"/>
      <c r="AI1824" s="87"/>
      <c r="AJ1824" s="87"/>
      <c r="AK1824" s="87"/>
      <c r="AL1824" s="87"/>
      <c r="AM1824" s="87"/>
      <c r="AN1824" s="87"/>
      <c r="AO1824" s="87"/>
      <c r="AP1824" s="87"/>
      <c r="AQ1824" s="87"/>
      <c r="AR1824" s="87"/>
      <c r="AS1824" s="87"/>
      <c r="AT1824" s="87"/>
      <c r="AU1824" s="87"/>
      <c r="AV1824" s="87"/>
      <c r="AW1824" s="87"/>
      <c r="AX1824" s="87"/>
      <c r="AY1824" s="87"/>
      <c r="AZ1824" s="87"/>
      <c r="BA1824" s="87"/>
      <c r="BB1824" s="87"/>
      <c r="BC1824" s="87"/>
      <c r="BD1824" s="87"/>
      <c r="BE1824" s="87"/>
      <c r="BF1824" s="87"/>
      <c r="BG1824" s="87"/>
      <c r="BH1824" s="87"/>
    </row>
    <row r="1825" spans="1:60" ht="16">
      <c r="A1825" s="82"/>
      <c r="B1825" s="82"/>
      <c r="C1825" s="82"/>
      <c r="D1825" s="83"/>
      <c r="E1825" s="84"/>
      <c r="F1825" s="84"/>
      <c r="G1825" s="84"/>
      <c r="H1825" s="82"/>
      <c r="I1825" s="84"/>
      <c r="J1825" s="84"/>
      <c r="K1825" s="84"/>
      <c r="L1825" s="84"/>
      <c r="M1825" s="84"/>
      <c r="N1825" s="84"/>
      <c r="O1825" s="84"/>
      <c r="P1825" s="84"/>
      <c r="Q1825" s="84"/>
      <c r="R1825" s="84"/>
      <c r="S1825" s="84"/>
      <c r="T1825" s="84"/>
      <c r="U1825" s="84"/>
      <c r="V1825" s="84"/>
      <c r="W1825" s="84"/>
      <c r="X1825" s="84"/>
      <c r="Y1825" s="84"/>
      <c r="Z1825" s="87"/>
      <c r="AA1825" s="87"/>
      <c r="AB1825" s="87"/>
      <c r="AC1825" s="87"/>
      <c r="AD1825" s="87"/>
      <c r="AE1825" s="87"/>
      <c r="AF1825" s="87"/>
      <c r="AG1825" s="87"/>
      <c r="AH1825" s="87"/>
      <c r="AI1825" s="87"/>
      <c r="AJ1825" s="87"/>
      <c r="AK1825" s="87"/>
      <c r="AL1825" s="87"/>
      <c r="AM1825" s="87"/>
      <c r="AN1825" s="87"/>
      <c r="AO1825" s="87"/>
      <c r="AP1825" s="87"/>
      <c r="AQ1825" s="87"/>
      <c r="AR1825" s="87"/>
      <c r="AS1825" s="87"/>
      <c r="AT1825" s="87"/>
      <c r="AU1825" s="87"/>
      <c r="AV1825" s="87"/>
      <c r="AW1825" s="87"/>
      <c r="AX1825" s="87"/>
      <c r="AY1825" s="87"/>
      <c r="AZ1825" s="87"/>
      <c r="BA1825" s="87"/>
      <c r="BB1825" s="87"/>
      <c r="BC1825" s="87"/>
      <c r="BD1825" s="87"/>
      <c r="BE1825" s="87"/>
      <c r="BF1825" s="87"/>
      <c r="BG1825" s="87"/>
      <c r="BH1825" s="87"/>
    </row>
    <row r="1826" spans="1:60" ht="16">
      <c r="A1826" s="82"/>
      <c r="B1826" s="82"/>
      <c r="C1826" s="82"/>
      <c r="D1826" s="83"/>
      <c r="E1826" s="84"/>
      <c r="F1826" s="84"/>
      <c r="G1826" s="84"/>
      <c r="H1826" s="82"/>
      <c r="I1826" s="84"/>
      <c r="J1826" s="84"/>
      <c r="K1826" s="84"/>
      <c r="L1826" s="84"/>
      <c r="M1826" s="84"/>
      <c r="N1826" s="84"/>
      <c r="O1826" s="84"/>
      <c r="P1826" s="84"/>
      <c r="Q1826" s="84"/>
      <c r="R1826" s="84"/>
      <c r="S1826" s="84"/>
      <c r="T1826" s="84"/>
      <c r="U1826" s="84"/>
      <c r="V1826" s="84"/>
      <c r="W1826" s="84"/>
      <c r="X1826" s="84"/>
      <c r="Y1826" s="84"/>
      <c r="Z1826" s="87"/>
      <c r="AA1826" s="87"/>
      <c r="AB1826" s="87"/>
      <c r="AC1826" s="87"/>
      <c r="AD1826" s="87"/>
      <c r="AE1826" s="87"/>
      <c r="AF1826" s="87"/>
      <c r="AG1826" s="87"/>
      <c r="AH1826" s="87"/>
      <c r="AI1826" s="87"/>
      <c r="AJ1826" s="87"/>
      <c r="AK1826" s="87"/>
      <c r="AL1826" s="87"/>
      <c r="AM1826" s="87"/>
      <c r="AN1826" s="87"/>
      <c r="AO1826" s="87"/>
      <c r="AP1826" s="87"/>
      <c r="AQ1826" s="87"/>
      <c r="AR1826" s="87"/>
      <c r="AS1826" s="87"/>
      <c r="AT1826" s="87"/>
      <c r="AU1826" s="87"/>
      <c r="AV1826" s="87"/>
      <c r="AW1826" s="87"/>
      <c r="AX1826" s="87"/>
      <c r="AY1826" s="87"/>
      <c r="AZ1826" s="87"/>
      <c r="BA1826" s="87"/>
      <c r="BB1826" s="87"/>
      <c r="BC1826" s="87"/>
      <c r="BD1826" s="87"/>
      <c r="BE1826" s="87"/>
      <c r="BF1826" s="87"/>
      <c r="BG1826" s="87"/>
      <c r="BH1826" s="87"/>
    </row>
    <row r="1827" spans="1:60" ht="16">
      <c r="A1827" s="82"/>
      <c r="B1827" s="82"/>
      <c r="C1827" s="82"/>
      <c r="D1827" s="83"/>
      <c r="E1827" s="84"/>
      <c r="F1827" s="84"/>
      <c r="G1827" s="84"/>
      <c r="H1827" s="82"/>
      <c r="I1827" s="84"/>
      <c r="J1827" s="84"/>
      <c r="K1827" s="84"/>
      <c r="L1827" s="84"/>
      <c r="M1827" s="84"/>
      <c r="N1827" s="84"/>
      <c r="O1827" s="84"/>
      <c r="P1827" s="84"/>
      <c r="Q1827" s="84"/>
      <c r="R1827" s="84"/>
      <c r="S1827" s="84"/>
      <c r="T1827" s="84"/>
      <c r="U1827" s="84"/>
      <c r="V1827" s="84"/>
      <c r="W1827" s="84"/>
      <c r="X1827" s="84"/>
      <c r="Y1827" s="84"/>
      <c r="Z1827" s="87"/>
      <c r="AA1827" s="87"/>
      <c r="AB1827" s="87"/>
      <c r="AC1827" s="87"/>
      <c r="AD1827" s="87"/>
      <c r="AE1827" s="87"/>
      <c r="AF1827" s="87"/>
      <c r="AG1827" s="87"/>
      <c r="AH1827" s="87"/>
      <c r="AI1827" s="87"/>
      <c r="AJ1827" s="87"/>
      <c r="AK1827" s="87"/>
      <c r="AL1827" s="87"/>
      <c r="AM1827" s="87"/>
      <c r="AN1827" s="87"/>
      <c r="AO1827" s="87"/>
      <c r="AP1827" s="87"/>
      <c r="AQ1827" s="87"/>
      <c r="AR1827" s="87"/>
      <c r="AS1827" s="87"/>
      <c r="AT1827" s="87"/>
      <c r="AU1827" s="87"/>
      <c r="AV1827" s="87"/>
      <c r="AW1827" s="87"/>
      <c r="AX1827" s="87"/>
      <c r="AY1827" s="87"/>
      <c r="AZ1827" s="87"/>
      <c r="BA1827" s="87"/>
      <c r="BB1827" s="87"/>
      <c r="BC1827" s="87"/>
      <c r="BD1827" s="87"/>
      <c r="BE1827" s="87"/>
      <c r="BF1827" s="87"/>
      <c r="BG1827" s="87"/>
      <c r="BH1827" s="87"/>
    </row>
    <row r="1828" spans="1:60" ht="16">
      <c r="A1828" s="82"/>
      <c r="B1828" s="82"/>
      <c r="C1828" s="82"/>
      <c r="D1828" s="83"/>
      <c r="E1828" s="84"/>
      <c r="F1828" s="84"/>
      <c r="G1828" s="84"/>
      <c r="H1828" s="82"/>
      <c r="I1828" s="84"/>
      <c r="J1828" s="84"/>
      <c r="K1828" s="84"/>
      <c r="L1828" s="84"/>
      <c r="M1828" s="84"/>
      <c r="N1828" s="84"/>
      <c r="O1828" s="84"/>
      <c r="P1828" s="84"/>
      <c r="Q1828" s="84"/>
      <c r="R1828" s="84"/>
      <c r="S1828" s="84"/>
      <c r="T1828" s="84"/>
      <c r="U1828" s="84"/>
      <c r="V1828" s="84"/>
      <c r="W1828" s="84"/>
      <c r="X1828" s="84"/>
      <c r="Y1828" s="84"/>
      <c r="Z1828" s="87"/>
      <c r="AA1828" s="87"/>
      <c r="AB1828" s="87"/>
      <c r="AC1828" s="87"/>
      <c r="AD1828" s="87"/>
      <c r="AE1828" s="87"/>
      <c r="AF1828" s="87"/>
      <c r="AG1828" s="87"/>
      <c r="AH1828" s="87"/>
      <c r="AI1828" s="87"/>
      <c r="AJ1828" s="87"/>
      <c r="AK1828" s="87"/>
      <c r="AL1828" s="87"/>
      <c r="AM1828" s="87"/>
      <c r="AN1828" s="87"/>
      <c r="AO1828" s="87"/>
      <c r="AP1828" s="87"/>
      <c r="AQ1828" s="87"/>
      <c r="AR1828" s="87"/>
      <c r="AS1828" s="87"/>
      <c r="AT1828" s="87"/>
      <c r="AU1828" s="87"/>
      <c r="AV1828" s="87"/>
      <c r="AW1828" s="87"/>
      <c r="AX1828" s="87"/>
      <c r="AY1828" s="87"/>
      <c r="AZ1828" s="87"/>
      <c r="BA1828" s="87"/>
      <c r="BB1828" s="87"/>
      <c r="BC1828" s="87"/>
      <c r="BD1828" s="87"/>
      <c r="BE1828" s="87"/>
      <c r="BF1828" s="87"/>
      <c r="BG1828" s="87"/>
      <c r="BH1828" s="87"/>
    </row>
    <row r="1829" spans="1:60" ht="16">
      <c r="A1829" s="82"/>
      <c r="B1829" s="82"/>
      <c r="C1829" s="82"/>
      <c r="D1829" s="83"/>
      <c r="E1829" s="84"/>
      <c r="F1829" s="84"/>
      <c r="G1829" s="84"/>
      <c r="H1829" s="82"/>
      <c r="I1829" s="84"/>
      <c r="J1829" s="84"/>
      <c r="K1829" s="84"/>
      <c r="L1829" s="84"/>
      <c r="M1829" s="84"/>
      <c r="N1829" s="84"/>
      <c r="O1829" s="84"/>
      <c r="P1829" s="84"/>
      <c r="Q1829" s="84"/>
      <c r="R1829" s="84"/>
      <c r="S1829" s="84"/>
      <c r="T1829" s="84"/>
      <c r="U1829" s="84"/>
      <c r="V1829" s="84"/>
      <c r="W1829" s="84"/>
      <c r="X1829" s="84"/>
      <c r="Y1829" s="84"/>
      <c r="Z1829" s="87"/>
      <c r="AA1829" s="87"/>
      <c r="AB1829" s="87"/>
      <c r="AC1829" s="87"/>
      <c r="AD1829" s="87"/>
      <c r="AE1829" s="87"/>
      <c r="AF1829" s="87"/>
      <c r="AG1829" s="87"/>
      <c r="AH1829" s="87"/>
      <c r="AI1829" s="87"/>
      <c r="AJ1829" s="87"/>
      <c r="AK1829" s="87"/>
      <c r="AL1829" s="87"/>
      <c r="AM1829" s="87"/>
      <c r="AN1829" s="87"/>
      <c r="AO1829" s="87"/>
      <c r="AP1829" s="87"/>
      <c r="AQ1829" s="87"/>
      <c r="AR1829" s="87"/>
      <c r="AS1829" s="87"/>
      <c r="AT1829" s="87"/>
      <c r="AU1829" s="87"/>
      <c r="AV1829" s="87"/>
      <c r="AW1829" s="87"/>
      <c r="AX1829" s="87"/>
      <c r="AY1829" s="87"/>
      <c r="AZ1829" s="87"/>
      <c r="BA1829" s="87"/>
      <c r="BB1829" s="87"/>
      <c r="BC1829" s="87"/>
      <c r="BD1829" s="87"/>
      <c r="BE1829" s="87"/>
      <c r="BF1829" s="87"/>
      <c r="BG1829" s="87"/>
      <c r="BH1829" s="87"/>
    </row>
    <row r="1830" spans="1:60" ht="16">
      <c r="A1830" s="82"/>
      <c r="B1830" s="82"/>
      <c r="C1830" s="82"/>
      <c r="D1830" s="83"/>
      <c r="E1830" s="84"/>
      <c r="F1830" s="84"/>
      <c r="G1830" s="84"/>
      <c r="H1830" s="82"/>
      <c r="I1830" s="84"/>
      <c r="J1830" s="84"/>
      <c r="K1830" s="84"/>
      <c r="L1830" s="84"/>
      <c r="M1830" s="84"/>
      <c r="N1830" s="84"/>
      <c r="O1830" s="84"/>
      <c r="P1830" s="84"/>
      <c r="Q1830" s="84"/>
      <c r="R1830" s="84"/>
      <c r="S1830" s="84"/>
      <c r="T1830" s="84"/>
      <c r="U1830" s="84"/>
      <c r="V1830" s="84"/>
      <c r="W1830" s="84"/>
      <c r="X1830" s="84"/>
      <c r="Y1830" s="84"/>
      <c r="Z1830" s="87"/>
      <c r="AA1830" s="87"/>
      <c r="AB1830" s="87"/>
      <c r="AC1830" s="87"/>
      <c r="AD1830" s="87"/>
      <c r="AE1830" s="87"/>
      <c r="AF1830" s="87"/>
      <c r="AG1830" s="87"/>
      <c r="AH1830" s="87"/>
      <c r="AI1830" s="87"/>
      <c r="AJ1830" s="87"/>
      <c r="AK1830" s="87"/>
      <c r="AL1830" s="87"/>
      <c r="AM1830" s="87"/>
      <c r="AN1830" s="87"/>
      <c r="AO1830" s="87"/>
      <c r="AP1830" s="87"/>
      <c r="AQ1830" s="87"/>
      <c r="AR1830" s="87"/>
      <c r="AS1830" s="87"/>
      <c r="AT1830" s="87"/>
      <c r="AU1830" s="87"/>
      <c r="AV1830" s="87"/>
      <c r="AW1830" s="87"/>
      <c r="AX1830" s="87"/>
      <c r="AY1830" s="87"/>
      <c r="AZ1830" s="87"/>
      <c r="BA1830" s="87"/>
      <c r="BB1830" s="87"/>
      <c r="BC1830" s="87"/>
      <c r="BD1830" s="87"/>
      <c r="BE1830" s="87"/>
      <c r="BF1830" s="87"/>
      <c r="BG1830" s="87"/>
      <c r="BH1830" s="87"/>
    </row>
    <row r="1831" spans="1:60" ht="16">
      <c r="A1831" s="82"/>
      <c r="B1831" s="82"/>
      <c r="C1831" s="82"/>
      <c r="D1831" s="83"/>
      <c r="E1831" s="84"/>
      <c r="F1831" s="84"/>
      <c r="G1831" s="84"/>
      <c r="H1831" s="82"/>
      <c r="I1831" s="84"/>
      <c r="J1831" s="84"/>
      <c r="K1831" s="84"/>
      <c r="L1831" s="84"/>
      <c r="M1831" s="84"/>
      <c r="N1831" s="84"/>
      <c r="O1831" s="84"/>
      <c r="P1831" s="84"/>
      <c r="Q1831" s="84"/>
      <c r="R1831" s="84"/>
      <c r="S1831" s="84"/>
      <c r="T1831" s="84"/>
      <c r="U1831" s="84"/>
      <c r="V1831" s="84"/>
      <c r="W1831" s="84"/>
      <c r="X1831" s="84"/>
      <c r="Y1831" s="84"/>
      <c r="Z1831" s="87"/>
      <c r="AA1831" s="87"/>
      <c r="AB1831" s="87"/>
      <c r="AC1831" s="87"/>
      <c r="AD1831" s="87"/>
      <c r="AE1831" s="87"/>
      <c r="AF1831" s="87"/>
      <c r="AG1831" s="87"/>
      <c r="AH1831" s="87"/>
      <c r="AI1831" s="87"/>
      <c r="AJ1831" s="87"/>
      <c r="AK1831" s="87"/>
      <c r="AL1831" s="87"/>
      <c r="AM1831" s="87"/>
      <c r="AN1831" s="87"/>
      <c r="AO1831" s="87"/>
      <c r="AP1831" s="87"/>
      <c r="AQ1831" s="87"/>
      <c r="AR1831" s="87"/>
      <c r="AS1831" s="87"/>
      <c r="AT1831" s="87"/>
      <c r="AU1831" s="87"/>
      <c r="AV1831" s="87"/>
      <c r="AW1831" s="87"/>
      <c r="AX1831" s="87"/>
      <c r="AY1831" s="87"/>
      <c r="AZ1831" s="87"/>
      <c r="BA1831" s="87"/>
      <c r="BB1831" s="87"/>
      <c r="BC1831" s="87"/>
      <c r="BD1831" s="87"/>
      <c r="BE1831" s="87"/>
      <c r="BF1831" s="87"/>
      <c r="BG1831" s="87"/>
      <c r="BH1831" s="87"/>
    </row>
    <row r="1832" spans="1:60" ht="16">
      <c r="A1832" s="82"/>
      <c r="B1832" s="82"/>
      <c r="C1832" s="82"/>
      <c r="D1832" s="83"/>
      <c r="E1832" s="84"/>
      <c r="F1832" s="84"/>
      <c r="G1832" s="84"/>
      <c r="H1832" s="82"/>
      <c r="I1832" s="84"/>
      <c r="J1832" s="84"/>
      <c r="K1832" s="84"/>
      <c r="L1832" s="84"/>
      <c r="M1832" s="84"/>
      <c r="N1832" s="84"/>
      <c r="O1832" s="84"/>
      <c r="P1832" s="84"/>
      <c r="Q1832" s="84"/>
      <c r="R1832" s="84"/>
      <c r="S1832" s="84"/>
      <c r="T1832" s="84"/>
      <c r="U1832" s="84"/>
      <c r="V1832" s="84"/>
      <c r="W1832" s="84"/>
      <c r="X1832" s="84"/>
      <c r="Y1832" s="84"/>
      <c r="Z1832" s="87"/>
      <c r="AA1832" s="87"/>
      <c r="AB1832" s="87"/>
      <c r="AC1832" s="87"/>
      <c r="AD1832" s="87"/>
      <c r="AE1832" s="87"/>
      <c r="AF1832" s="87"/>
      <c r="AG1832" s="87"/>
      <c r="AH1832" s="87"/>
      <c r="AI1832" s="87"/>
      <c r="AJ1832" s="87"/>
      <c r="AK1832" s="87"/>
      <c r="AL1832" s="87"/>
      <c r="AM1832" s="87"/>
      <c r="AN1832" s="87"/>
      <c r="AO1832" s="87"/>
      <c r="AP1832" s="87"/>
      <c r="AQ1832" s="87"/>
      <c r="AR1832" s="87"/>
      <c r="AS1832" s="87"/>
      <c r="AT1832" s="87"/>
      <c r="AU1832" s="87"/>
      <c r="AV1832" s="87"/>
      <c r="AW1832" s="87"/>
      <c r="AX1832" s="87"/>
      <c r="AY1832" s="87"/>
      <c r="AZ1832" s="87"/>
      <c r="BA1832" s="87"/>
      <c r="BB1832" s="87"/>
      <c r="BC1832" s="87"/>
      <c r="BD1832" s="87"/>
      <c r="BE1832" s="87"/>
      <c r="BF1832" s="87"/>
      <c r="BG1832" s="87"/>
      <c r="BH1832" s="87"/>
    </row>
    <row r="1833" spans="1:60" ht="16">
      <c r="A1833" s="82"/>
      <c r="B1833" s="82"/>
      <c r="C1833" s="82"/>
      <c r="D1833" s="83"/>
      <c r="E1833" s="84"/>
      <c r="F1833" s="84"/>
      <c r="G1833" s="84"/>
      <c r="H1833" s="82"/>
      <c r="I1833" s="84"/>
      <c r="J1833" s="84"/>
      <c r="K1833" s="84"/>
      <c r="L1833" s="84"/>
      <c r="M1833" s="84"/>
      <c r="N1833" s="84"/>
      <c r="O1833" s="84"/>
      <c r="P1833" s="84"/>
      <c r="Q1833" s="84"/>
      <c r="R1833" s="84"/>
      <c r="S1833" s="84"/>
      <c r="T1833" s="84"/>
      <c r="U1833" s="84"/>
      <c r="V1833" s="84"/>
      <c r="W1833" s="84"/>
      <c r="X1833" s="84"/>
      <c r="Y1833" s="84"/>
      <c r="Z1833" s="87"/>
      <c r="AA1833" s="87"/>
      <c r="AB1833" s="87"/>
      <c r="AC1833" s="87"/>
      <c r="AD1833" s="87"/>
      <c r="AE1833" s="87"/>
      <c r="AF1833" s="87"/>
      <c r="AG1833" s="87"/>
      <c r="AH1833" s="87"/>
      <c r="AI1833" s="87"/>
      <c r="AJ1833" s="87"/>
      <c r="AK1833" s="87"/>
      <c r="AL1833" s="87"/>
      <c r="AM1833" s="87"/>
      <c r="AN1833" s="87"/>
      <c r="AO1833" s="87"/>
      <c r="AP1833" s="87"/>
      <c r="AQ1833" s="87"/>
      <c r="AR1833" s="87"/>
      <c r="AS1833" s="87"/>
      <c r="AT1833" s="87"/>
      <c r="AU1833" s="87"/>
      <c r="AV1833" s="87"/>
      <c r="AW1833" s="87"/>
      <c r="AX1833" s="87"/>
      <c r="AY1833" s="87"/>
      <c r="AZ1833" s="87"/>
      <c r="BA1833" s="87"/>
      <c r="BB1833" s="87"/>
      <c r="BC1833" s="87"/>
      <c r="BD1833" s="87"/>
      <c r="BE1833" s="87"/>
      <c r="BF1833" s="87"/>
      <c r="BG1833" s="87"/>
      <c r="BH1833" s="87"/>
    </row>
    <row r="1834" spans="1:60" ht="16">
      <c r="A1834" s="82"/>
      <c r="B1834" s="82"/>
      <c r="C1834" s="82"/>
      <c r="D1834" s="83"/>
      <c r="E1834" s="84"/>
      <c r="F1834" s="84"/>
      <c r="G1834" s="84"/>
      <c r="H1834" s="82"/>
      <c r="I1834" s="84"/>
      <c r="J1834" s="84"/>
      <c r="K1834" s="84"/>
      <c r="L1834" s="84"/>
      <c r="M1834" s="84"/>
      <c r="N1834" s="84"/>
      <c r="O1834" s="84"/>
      <c r="P1834" s="84"/>
      <c r="Q1834" s="84"/>
      <c r="R1834" s="84"/>
      <c r="S1834" s="84"/>
      <c r="T1834" s="84"/>
      <c r="U1834" s="84"/>
      <c r="V1834" s="84"/>
      <c r="W1834" s="84"/>
      <c r="X1834" s="84"/>
      <c r="Y1834" s="84"/>
      <c r="Z1834" s="87"/>
      <c r="AA1834" s="87"/>
      <c r="AB1834" s="87"/>
      <c r="AC1834" s="87"/>
      <c r="AD1834" s="87"/>
      <c r="AE1834" s="87"/>
      <c r="AF1834" s="87"/>
      <c r="AG1834" s="87"/>
      <c r="AH1834" s="87"/>
      <c r="AI1834" s="87"/>
      <c r="AJ1834" s="87"/>
      <c r="AK1834" s="87"/>
      <c r="AL1834" s="87"/>
      <c r="AM1834" s="87"/>
      <c r="AN1834" s="87"/>
      <c r="AO1834" s="87"/>
      <c r="AP1834" s="87"/>
      <c r="AQ1834" s="87"/>
      <c r="AR1834" s="87"/>
      <c r="AS1834" s="87"/>
      <c r="AT1834" s="87"/>
      <c r="AU1834" s="87"/>
      <c r="AV1834" s="87"/>
      <c r="AW1834" s="87"/>
      <c r="AX1834" s="87"/>
      <c r="AY1834" s="87"/>
      <c r="AZ1834" s="87"/>
      <c r="BA1834" s="87"/>
      <c r="BB1834" s="87"/>
      <c r="BC1834" s="87"/>
      <c r="BD1834" s="87"/>
      <c r="BE1834" s="87"/>
      <c r="BF1834" s="87"/>
      <c r="BG1834" s="87"/>
      <c r="BH1834" s="87"/>
    </row>
    <row r="1835" spans="1:60" ht="16">
      <c r="A1835" s="82"/>
      <c r="B1835" s="82"/>
      <c r="C1835" s="82"/>
      <c r="D1835" s="83"/>
      <c r="E1835" s="84"/>
      <c r="F1835" s="84"/>
      <c r="G1835" s="84"/>
      <c r="H1835" s="82"/>
      <c r="I1835" s="84"/>
      <c r="J1835" s="84"/>
      <c r="K1835" s="84"/>
      <c r="L1835" s="84"/>
      <c r="M1835" s="84"/>
      <c r="N1835" s="84"/>
      <c r="O1835" s="84"/>
      <c r="P1835" s="84"/>
      <c r="Q1835" s="84"/>
      <c r="R1835" s="84"/>
      <c r="S1835" s="84"/>
      <c r="T1835" s="84"/>
      <c r="U1835" s="84"/>
      <c r="V1835" s="84"/>
      <c r="W1835" s="84"/>
      <c r="X1835" s="84"/>
      <c r="Y1835" s="84"/>
      <c r="Z1835" s="87"/>
      <c r="AA1835" s="87"/>
      <c r="AB1835" s="87"/>
      <c r="AC1835" s="87"/>
      <c r="AD1835" s="87"/>
      <c r="AE1835" s="87"/>
      <c r="AF1835" s="87"/>
      <c r="AG1835" s="87"/>
      <c r="AH1835" s="87"/>
      <c r="AI1835" s="87"/>
      <c r="AJ1835" s="87"/>
      <c r="AK1835" s="87"/>
      <c r="AL1835" s="87"/>
      <c r="AM1835" s="87"/>
      <c r="AN1835" s="87"/>
      <c r="AO1835" s="87"/>
      <c r="AP1835" s="87"/>
      <c r="AQ1835" s="87"/>
      <c r="AR1835" s="87"/>
      <c r="AS1835" s="87"/>
      <c r="AT1835" s="87"/>
      <c r="AU1835" s="87"/>
      <c r="AV1835" s="87"/>
      <c r="AW1835" s="87"/>
      <c r="AX1835" s="87"/>
      <c r="AY1835" s="87"/>
      <c r="AZ1835" s="87"/>
      <c r="BA1835" s="87"/>
      <c r="BB1835" s="87"/>
      <c r="BC1835" s="87"/>
      <c r="BD1835" s="87"/>
      <c r="BE1835" s="87"/>
      <c r="BF1835" s="87"/>
      <c r="BG1835" s="87"/>
      <c r="BH1835" s="87"/>
    </row>
    <row r="1836" spans="1:60" ht="16">
      <c r="A1836" s="82"/>
      <c r="B1836" s="82"/>
      <c r="C1836" s="82"/>
      <c r="D1836" s="83"/>
      <c r="E1836" s="84"/>
      <c r="F1836" s="84"/>
      <c r="G1836" s="84"/>
      <c r="H1836" s="82"/>
      <c r="I1836" s="84"/>
      <c r="J1836" s="84"/>
      <c r="K1836" s="84"/>
      <c r="L1836" s="84"/>
      <c r="M1836" s="84"/>
      <c r="N1836" s="84"/>
      <c r="O1836" s="84"/>
      <c r="P1836" s="84"/>
      <c r="Q1836" s="84"/>
      <c r="R1836" s="84"/>
      <c r="S1836" s="84"/>
      <c r="T1836" s="84"/>
      <c r="U1836" s="84"/>
      <c r="V1836" s="84"/>
      <c r="W1836" s="84"/>
      <c r="X1836" s="84"/>
      <c r="Y1836" s="84"/>
      <c r="Z1836" s="87"/>
      <c r="AA1836" s="87"/>
      <c r="AB1836" s="87"/>
      <c r="AC1836" s="87"/>
      <c r="AD1836" s="87"/>
      <c r="AE1836" s="87"/>
      <c r="AF1836" s="87"/>
      <c r="AG1836" s="87"/>
      <c r="AH1836" s="87"/>
      <c r="AI1836" s="87"/>
      <c r="AJ1836" s="87"/>
      <c r="AK1836" s="87"/>
      <c r="AL1836" s="87"/>
      <c r="AM1836" s="87"/>
      <c r="AN1836" s="87"/>
      <c r="AO1836" s="87"/>
      <c r="AP1836" s="87"/>
      <c r="AQ1836" s="87"/>
      <c r="AR1836" s="87"/>
      <c r="AS1836" s="87"/>
      <c r="AT1836" s="87"/>
      <c r="AU1836" s="87"/>
      <c r="AV1836" s="87"/>
      <c r="AW1836" s="87"/>
      <c r="AX1836" s="87"/>
      <c r="AY1836" s="87"/>
      <c r="AZ1836" s="87"/>
      <c r="BA1836" s="87"/>
      <c r="BB1836" s="87"/>
      <c r="BC1836" s="87"/>
      <c r="BD1836" s="87"/>
      <c r="BE1836" s="87"/>
      <c r="BF1836" s="87"/>
      <c r="BG1836" s="87"/>
      <c r="BH1836" s="87"/>
    </row>
    <row r="1837" spans="1:60" ht="16">
      <c r="A1837" s="82"/>
      <c r="B1837" s="82"/>
      <c r="C1837" s="82"/>
      <c r="D1837" s="83"/>
      <c r="E1837" s="84"/>
      <c r="F1837" s="84"/>
      <c r="G1837" s="84"/>
      <c r="H1837" s="82"/>
      <c r="I1837" s="84"/>
      <c r="J1837" s="84"/>
      <c r="K1837" s="84"/>
      <c r="L1837" s="84"/>
      <c r="M1837" s="84"/>
      <c r="N1837" s="84"/>
      <c r="O1837" s="84"/>
      <c r="P1837" s="84"/>
      <c r="Q1837" s="84"/>
      <c r="R1837" s="84"/>
      <c r="S1837" s="84"/>
      <c r="T1837" s="84"/>
      <c r="U1837" s="84"/>
      <c r="V1837" s="84"/>
      <c r="W1837" s="84"/>
      <c r="X1837" s="84"/>
      <c r="Y1837" s="84"/>
      <c r="Z1837" s="87"/>
      <c r="AA1837" s="87"/>
      <c r="AB1837" s="87"/>
      <c r="AC1837" s="87"/>
      <c r="AD1837" s="87"/>
      <c r="AE1837" s="87"/>
      <c r="AF1837" s="87"/>
      <c r="AG1837" s="87"/>
      <c r="AH1837" s="87"/>
      <c r="AI1837" s="87"/>
      <c r="AJ1837" s="87"/>
      <c r="AK1837" s="87"/>
      <c r="AL1837" s="87"/>
      <c r="AM1837" s="87"/>
      <c r="AN1837" s="87"/>
      <c r="AO1837" s="87"/>
      <c r="AP1837" s="87"/>
      <c r="AQ1837" s="87"/>
      <c r="AR1837" s="87"/>
      <c r="AS1837" s="87"/>
      <c r="AT1837" s="87"/>
      <c r="AU1837" s="87"/>
      <c r="AV1837" s="87"/>
      <c r="AW1837" s="87"/>
      <c r="AX1837" s="87"/>
      <c r="AY1837" s="87"/>
      <c r="AZ1837" s="87"/>
      <c r="BA1837" s="87"/>
      <c r="BB1837" s="87"/>
      <c r="BC1837" s="87"/>
      <c r="BD1837" s="87"/>
      <c r="BE1837" s="87"/>
      <c r="BF1837" s="87"/>
      <c r="BG1837" s="87"/>
      <c r="BH1837" s="87"/>
    </row>
    <row r="1838" spans="1:60" ht="16">
      <c r="A1838" s="82"/>
      <c r="B1838" s="82"/>
      <c r="C1838" s="82"/>
      <c r="D1838" s="83"/>
      <c r="E1838" s="84"/>
      <c r="F1838" s="84"/>
      <c r="G1838" s="84"/>
      <c r="H1838" s="82"/>
      <c r="I1838" s="84"/>
      <c r="J1838" s="84"/>
      <c r="K1838" s="84"/>
      <c r="L1838" s="84"/>
      <c r="M1838" s="84"/>
      <c r="N1838" s="84"/>
      <c r="O1838" s="84"/>
      <c r="P1838" s="84"/>
      <c r="Q1838" s="84"/>
      <c r="R1838" s="84"/>
      <c r="S1838" s="84"/>
      <c r="T1838" s="84"/>
      <c r="U1838" s="84"/>
      <c r="V1838" s="84"/>
      <c r="W1838" s="84"/>
      <c r="X1838" s="84"/>
      <c r="Y1838" s="84"/>
      <c r="Z1838" s="87"/>
      <c r="AA1838" s="87"/>
      <c r="AB1838" s="87"/>
      <c r="AC1838" s="87"/>
      <c r="AD1838" s="87"/>
      <c r="AE1838" s="87"/>
      <c r="AF1838" s="87"/>
      <c r="AG1838" s="87"/>
      <c r="AH1838" s="87"/>
      <c r="AI1838" s="87"/>
      <c r="AJ1838" s="87"/>
      <c r="AK1838" s="87"/>
      <c r="AL1838" s="87"/>
      <c r="AM1838" s="87"/>
      <c r="AN1838" s="87"/>
      <c r="AO1838" s="87"/>
      <c r="AP1838" s="87"/>
      <c r="AQ1838" s="87"/>
      <c r="AR1838" s="87"/>
      <c r="AS1838" s="87"/>
      <c r="AT1838" s="87"/>
      <c r="AU1838" s="87"/>
      <c r="AV1838" s="87"/>
      <c r="AW1838" s="87"/>
      <c r="AX1838" s="87"/>
      <c r="AY1838" s="87"/>
      <c r="AZ1838" s="87"/>
      <c r="BA1838" s="87"/>
      <c r="BB1838" s="87"/>
      <c r="BC1838" s="87"/>
      <c r="BD1838" s="87"/>
      <c r="BE1838" s="87"/>
      <c r="BF1838" s="87"/>
      <c r="BG1838" s="87"/>
      <c r="BH1838" s="87"/>
    </row>
    <row r="1839" spans="1:60" ht="16">
      <c r="A1839" s="82"/>
      <c r="B1839" s="82"/>
      <c r="C1839" s="82"/>
      <c r="D1839" s="83"/>
      <c r="E1839" s="84"/>
      <c r="F1839" s="84"/>
      <c r="G1839" s="84"/>
      <c r="H1839" s="82"/>
      <c r="I1839" s="84"/>
      <c r="J1839" s="84"/>
      <c r="K1839" s="84"/>
      <c r="L1839" s="84"/>
      <c r="M1839" s="84"/>
      <c r="N1839" s="84"/>
      <c r="O1839" s="84"/>
      <c r="P1839" s="84"/>
      <c r="Q1839" s="84"/>
      <c r="R1839" s="84"/>
      <c r="S1839" s="84"/>
      <c r="T1839" s="84"/>
      <c r="U1839" s="84"/>
      <c r="V1839" s="84"/>
      <c r="W1839" s="84"/>
      <c r="X1839" s="84"/>
      <c r="Y1839" s="84"/>
      <c r="Z1839" s="87"/>
      <c r="AA1839" s="87"/>
      <c r="AB1839" s="87"/>
      <c r="AC1839" s="87"/>
      <c r="AD1839" s="87"/>
      <c r="AE1839" s="87"/>
      <c r="AF1839" s="87"/>
      <c r="AG1839" s="87"/>
      <c r="AH1839" s="87"/>
      <c r="AI1839" s="87"/>
      <c r="AJ1839" s="87"/>
      <c r="AK1839" s="87"/>
      <c r="AL1839" s="87"/>
      <c r="AM1839" s="87"/>
      <c r="AN1839" s="87"/>
      <c r="AO1839" s="87"/>
      <c r="AP1839" s="87"/>
      <c r="AQ1839" s="87"/>
      <c r="AR1839" s="87"/>
      <c r="AS1839" s="87"/>
      <c r="AT1839" s="87"/>
      <c r="AU1839" s="87"/>
      <c r="AV1839" s="87"/>
      <c r="AW1839" s="87"/>
      <c r="AX1839" s="87"/>
      <c r="AY1839" s="87"/>
      <c r="AZ1839" s="87"/>
      <c r="BA1839" s="87"/>
      <c r="BB1839" s="87"/>
      <c r="BC1839" s="87"/>
      <c r="BD1839" s="87"/>
      <c r="BE1839" s="87"/>
      <c r="BF1839" s="87"/>
      <c r="BG1839" s="87"/>
      <c r="BH1839" s="87"/>
    </row>
    <row r="1840" spans="1:60" ht="16">
      <c r="A1840" s="82"/>
      <c r="B1840" s="82"/>
      <c r="C1840" s="82"/>
      <c r="D1840" s="83"/>
      <c r="E1840" s="84"/>
      <c r="F1840" s="84"/>
      <c r="G1840" s="84"/>
      <c r="H1840" s="82"/>
      <c r="I1840" s="84"/>
      <c r="J1840" s="84"/>
      <c r="K1840" s="84"/>
      <c r="L1840" s="84"/>
      <c r="M1840" s="84"/>
      <c r="N1840" s="84"/>
      <c r="O1840" s="84"/>
      <c r="P1840" s="84"/>
      <c r="Q1840" s="84"/>
      <c r="R1840" s="84"/>
      <c r="S1840" s="84"/>
      <c r="T1840" s="84"/>
      <c r="U1840" s="84"/>
      <c r="V1840" s="84"/>
      <c r="W1840" s="84"/>
      <c r="X1840" s="84"/>
      <c r="Y1840" s="84"/>
      <c r="Z1840" s="87"/>
      <c r="AA1840" s="87"/>
      <c r="AB1840" s="87"/>
      <c r="AC1840" s="87"/>
      <c r="AD1840" s="87"/>
      <c r="AE1840" s="87"/>
      <c r="AF1840" s="87"/>
      <c r="AG1840" s="87"/>
      <c r="AH1840" s="87"/>
      <c r="AI1840" s="87"/>
      <c r="AJ1840" s="87"/>
      <c r="AK1840" s="87"/>
      <c r="AL1840" s="87"/>
      <c r="AM1840" s="87"/>
      <c r="AN1840" s="87"/>
      <c r="AO1840" s="87"/>
      <c r="AP1840" s="87"/>
      <c r="AQ1840" s="87"/>
      <c r="AR1840" s="87"/>
      <c r="AS1840" s="87"/>
      <c r="AT1840" s="87"/>
      <c r="AU1840" s="87"/>
      <c r="AV1840" s="87"/>
      <c r="AW1840" s="87"/>
      <c r="AX1840" s="87"/>
      <c r="AY1840" s="87"/>
      <c r="AZ1840" s="87"/>
      <c r="BA1840" s="87"/>
      <c r="BB1840" s="87"/>
      <c r="BC1840" s="87"/>
      <c r="BD1840" s="87"/>
      <c r="BE1840" s="87"/>
      <c r="BF1840" s="87"/>
      <c r="BG1840" s="87"/>
      <c r="BH1840" s="87"/>
    </row>
    <row r="1841" spans="1:60" ht="16">
      <c r="A1841" s="82"/>
      <c r="B1841" s="82"/>
      <c r="C1841" s="82"/>
      <c r="D1841" s="83"/>
      <c r="E1841" s="84"/>
      <c r="F1841" s="84"/>
      <c r="G1841" s="84"/>
      <c r="H1841" s="82"/>
      <c r="I1841" s="84"/>
      <c r="J1841" s="84"/>
      <c r="K1841" s="84"/>
      <c r="L1841" s="84"/>
      <c r="M1841" s="84"/>
      <c r="N1841" s="84"/>
      <c r="O1841" s="84"/>
      <c r="P1841" s="84"/>
      <c r="Q1841" s="84"/>
      <c r="R1841" s="84"/>
      <c r="S1841" s="84"/>
      <c r="T1841" s="84"/>
      <c r="U1841" s="84"/>
      <c r="V1841" s="84"/>
      <c r="W1841" s="84"/>
      <c r="X1841" s="84"/>
      <c r="Y1841" s="84"/>
      <c r="Z1841" s="87"/>
      <c r="AA1841" s="87"/>
      <c r="AB1841" s="87"/>
      <c r="AC1841" s="87"/>
      <c r="AD1841" s="87"/>
      <c r="AE1841" s="87"/>
      <c r="AF1841" s="87"/>
      <c r="AG1841" s="87"/>
      <c r="AH1841" s="87"/>
      <c r="AI1841" s="87"/>
      <c r="AJ1841" s="87"/>
      <c r="AK1841" s="87"/>
      <c r="AL1841" s="87"/>
      <c r="AM1841" s="87"/>
      <c r="AN1841" s="87"/>
      <c r="AO1841" s="87"/>
      <c r="AP1841" s="87"/>
      <c r="AQ1841" s="87"/>
      <c r="AR1841" s="87"/>
      <c r="AS1841" s="87"/>
      <c r="AT1841" s="87"/>
      <c r="AU1841" s="87"/>
      <c r="AV1841" s="87"/>
      <c r="AW1841" s="87"/>
      <c r="AX1841" s="87"/>
      <c r="AY1841" s="87"/>
      <c r="AZ1841" s="87"/>
      <c r="BA1841" s="87"/>
      <c r="BB1841" s="87"/>
      <c r="BC1841" s="87"/>
      <c r="BD1841" s="87"/>
      <c r="BE1841" s="87"/>
      <c r="BF1841" s="87"/>
      <c r="BG1841" s="87"/>
      <c r="BH1841" s="87"/>
    </row>
    <row r="1842" spans="1:60" ht="16">
      <c r="A1842" s="82"/>
      <c r="B1842" s="82"/>
      <c r="C1842" s="82"/>
      <c r="D1842" s="83"/>
      <c r="E1842" s="84"/>
      <c r="F1842" s="84"/>
      <c r="G1842" s="84"/>
      <c r="H1842" s="82"/>
      <c r="I1842" s="84"/>
      <c r="J1842" s="84"/>
      <c r="K1842" s="84"/>
      <c r="L1842" s="84"/>
      <c r="M1842" s="84"/>
      <c r="N1842" s="84"/>
      <c r="O1842" s="84"/>
      <c r="P1842" s="84"/>
      <c r="Q1842" s="84"/>
      <c r="R1842" s="84"/>
      <c r="S1842" s="84"/>
      <c r="T1842" s="84"/>
      <c r="U1842" s="84"/>
      <c r="V1842" s="84"/>
      <c r="W1842" s="84"/>
      <c r="X1842" s="84"/>
      <c r="Y1842" s="84"/>
      <c r="Z1842" s="87"/>
      <c r="AA1842" s="87"/>
      <c r="AB1842" s="87"/>
      <c r="AC1842" s="87"/>
      <c r="AD1842" s="87"/>
      <c r="AE1842" s="87"/>
      <c r="AF1842" s="87"/>
      <c r="AG1842" s="87"/>
      <c r="AH1842" s="87"/>
      <c r="AI1842" s="87"/>
      <c r="AJ1842" s="87"/>
      <c r="AK1842" s="87"/>
      <c r="AL1842" s="87"/>
      <c r="AM1842" s="87"/>
      <c r="AN1842" s="87"/>
      <c r="AO1842" s="87"/>
      <c r="AP1842" s="87"/>
      <c r="AQ1842" s="87"/>
      <c r="AR1842" s="87"/>
      <c r="AS1842" s="87"/>
      <c r="AT1842" s="87"/>
      <c r="AU1842" s="87"/>
      <c r="AV1842" s="87"/>
      <c r="AW1842" s="87"/>
      <c r="AX1842" s="87"/>
      <c r="AY1842" s="87"/>
      <c r="AZ1842" s="87"/>
      <c r="BA1842" s="87"/>
      <c r="BB1842" s="87"/>
      <c r="BC1842" s="87"/>
      <c r="BD1842" s="87"/>
      <c r="BE1842" s="87"/>
      <c r="BF1842" s="87"/>
      <c r="BG1842" s="87"/>
      <c r="BH1842" s="87"/>
    </row>
    <row r="1843" spans="1:60" ht="16">
      <c r="A1843" s="82"/>
      <c r="B1843" s="82"/>
      <c r="C1843" s="82"/>
      <c r="D1843" s="83"/>
      <c r="E1843" s="84"/>
      <c r="F1843" s="84"/>
      <c r="G1843" s="84"/>
      <c r="H1843" s="82"/>
      <c r="I1843" s="84"/>
      <c r="J1843" s="84"/>
      <c r="K1843" s="84"/>
      <c r="L1843" s="84"/>
      <c r="M1843" s="84"/>
      <c r="N1843" s="84"/>
      <c r="O1843" s="84"/>
      <c r="P1843" s="84"/>
      <c r="Q1843" s="84"/>
      <c r="R1843" s="84"/>
      <c r="S1843" s="84"/>
      <c r="T1843" s="84"/>
      <c r="U1843" s="84"/>
      <c r="V1843" s="84"/>
      <c r="W1843" s="84"/>
      <c r="X1843" s="84"/>
      <c r="Y1843" s="84"/>
      <c r="Z1843" s="87"/>
      <c r="AA1843" s="87"/>
      <c r="AB1843" s="87"/>
      <c r="AC1843" s="87"/>
      <c r="AD1843" s="87"/>
      <c r="AE1843" s="87"/>
      <c r="AF1843" s="87"/>
      <c r="AG1843" s="87"/>
      <c r="AH1843" s="87"/>
      <c r="AI1843" s="87"/>
      <c r="AJ1843" s="87"/>
      <c r="AK1843" s="87"/>
      <c r="AL1843" s="87"/>
      <c r="AM1843" s="87"/>
      <c r="AN1843" s="87"/>
      <c r="AO1843" s="87"/>
      <c r="AP1843" s="87"/>
      <c r="AQ1843" s="87"/>
      <c r="AR1843" s="87"/>
      <c r="AS1843" s="87"/>
      <c r="AT1843" s="87"/>
      <c r="AU1843" s="87"/>
      <c r="AV1843" s="87"/>
      <c r="AW1843" s="87"/>
      <c r="AX1843" s="87"/>
      <c r="AY1843" s="87"/>
      <c r="AZ1843" s="87"/>
      <c r="BA1843" s="87"/>
      <c r="BB1843" s="87"/>
      <c r="BC1843" s="87"/>
      <c r="BD1843" s="87"/>
      <c r="BE1843" s="87"/>
      <c r="BF1843" s="87"/>
      <c r="BG1843" s="87"/>
      <c r="BH1843" s="87"/>
    </row>
    <row r="1844" spans="1:60" ht="16">
      <c r="A1844" s="82"/>
      <c r="B1844" s="82"/>
      <c r="C1844" s="82"/>
      <c r="D1844" s="83"/>
      <c r="E1844" s="84"/>
      <c r="F1844" s="84"/>
      <c r="G1844" s="84"/>
      <c r="H1844" s="82"/>
      <c r="I1844" s="84"/>
      <c r="J1844" s="84"/>
      <c r="K1844" s="84"/>
      <c r="L1844" s="84"/>
      <c r="M1844" s="84"/>
      <c r="N1844" s="84"/>
      <c r="O1844" s="84"/>
      <c r="P1844" s="84"/>
      <c r="Q1844" s="84"/>
      <c r="R1844" s="84"/>
      <c r="S1844" s="84"/>
      <c r="T1844" s="84"/>
      <c r="U1844" s="84"/>
      <c r="V1844" s="84"/>
      <c r="W1844" s="84"/>
      <c r="X1844" s="84"/>
      <c r="Y1844" s="84"/>
      <c r="Z1844" s="87"/>
      <c r="AA1844" s="87"/>
      <c r="AB1844" s="87"/>
      <c r="AC1844" s="87"/>
      <c r="AD1844" s="87"/>
      <c r="AE1844" s="87"/>
      <c r="AF1844" s="87"/>
      <c r="AG1844" s="87"/>
      <c r="AH1844" s="87"/>
      <c r="AI1844" s="87"/>
      <c r="AJ1844" s="87"/>
      <c r="AK1844" s="87"/>
      <c r="AL1844" s="87"/>
      <c r="AM1844" s="87"/>
      <c r="AN1844" s="87"/>
      <c r="AO1844" s="87"/>
      <c r="AP1844" s="87"/>
      <c r="AQ1844" s="87"/>
      <c r="AR1844" s="87"/>
      <c r="AS1844" s="87"/>
      <c r="AT1844" s="87"/>
      <c r="AU1844" s="87"/>
      <c r="AV1844" s="87"/>
      <c r="AW1844" s="87"/>
      <c r="AX1844" s="87"/>
      <c r="AY1844" s="87"/>
      <c r="AZ1844" s="87"/>
      <c r="BA1844" s="87"/>
      <c r="BB1844" s="87"/>
      <c r="BC1844" s="87"/>
      <c r="BD1844" s="87"/>
      <c r="BE1844" s="87"/>
      <c r="BF1844" s="87"/>
      <c r="BG1844" s="87"/>
      <c r="BH1844" s="87"/>
    </row>
    <row r="1845" spans="1:60" ht="16">
      <c r="A1845" s="82"/>
      <c r="B1845" s="82"/>
      <c r="C1845" s="82"/>
      <c r="D1845" s="83"/>
      <c r="E1845" s="84"/>
      <c r="F1845" s="84"/>
      <c r="G1845" s="84"/>
      <c r="H1845" s="82"/>
      <c r="I1845" s="84"/>
      <c r="J1845" s="84"/>
      <c r="K1845" s="84"/>
      <c r="L1845" s="84"/>
      <c r="M1845" s="84"/>
      <c r="N1845" s="84"/>
      <c r="O1845" s="84"/>
      <c r="P1845" s="84"/>
      <c r="Q1845" s="84"/>
      <c r="R1845" s="84"/>
      <c r="S1845" s="84"/>
      <c r="T1845" s="84"/>
      <c r="U1845" s="84"/>
      <c r="V1845" s="84"/>
      <c r="W1845" s="84"/>
      <c r="X1845" s="84"/>
      <c r="Y1845" s="84"/>
      <c r="Z1845" s="87"/>
      <c r="AA1845" s="87"/>
      <c r="AB1845" s="87"/>
      <c r="AC1845" s="87"/>
      <c r="AD1845" s="87"/>
      <c r="AE1845" s="87"/>
      <c r="AF1845" s="87"/>
      <c r="AG1845" s="87"/>
      <c r="AH1845" s="87"/>
      <c r="AI1845" s="87"/>
      <c r="AJ1845" s="87"/>
      <c r="AK1845" s="87"/>
      <c r="AL1845" s="87"/>
      <c r="AM1845" s="87"/>
      <c r="AN1845" s="87"/>
      <c r="AO1845" s="87"/>
      <c r="AP1845" s="87"/>
      <c r="AQ1845" s="87"/>
      <c r="AR1845" s="87"/>
      <c r="AS1845" s="87"/>
      <c r="AT1845" s="87"/>
      <c r="AU1845" s="87"/>
      <c r="AV1845" s="87"/>
      <c r="AW1845" s="87"/>
      <c r="AX1845" s="87"/>
      <c r="AY1845" s="87"/>
      <c r="AZ1845" s="87"/>
      <c r="BA1845" s="87"/>
      <c r="BB1845" s="87"/>
      <c r="BC1845" s="87"/>
      <c r="BD1845" s="87"/>
      <c r="BE1845" s="87"/>
      <c r="BF1845" s="87"/>
      <c r="BG1845" s="87"/>
      <c r="BH1845" s="87"/>
    </row>
    <row r="1846" spans="1:60" ht="16">
      <c r="A1846" s="82"/>
      <c r="B1846" s="82"/>
      <c r="C1846" s="82"/>
      <c r="D1846" s="83"/>
      <c r="E1846" s="84"/>
      <c r="F1846" s="84"/>
      <c r="G1846" s="84"/>
      <c r="H1846" s="82"/>
      <c r="I1846" s="84"/>
      <c r="J1846" s="84"/>
      <c r="K1846" s="84"/>
      <c r="L1846" s="84"/>
      <c r="M1846" s="84"/>
      <c r="N1846" s="84"/>
      <c r="O1846" s="84"/>
      <c r="P1846" s="84"/>
      <c r="Q1846" s="84"/>
      <c r="R1846" s="84"/>
      <c r="S1846" s="84"/>
      <c r="T1846" s="84"/>
      <c r="U1846" s="84"/>
      <c r="V1846" s="84"/>
      <c r="W1846" s="84"/>
      <c r="X1846" s="84"/>
      <c r="Y1846" s="84"/>
      <c r="Z1846" s="87"/>
      <c r="AA1846" s="87"/>
      <c r="AB1846" s="87"/>
      <c r="AC1846" s="87"/>
      <c r="AD1846" s="87"/>
      <c r="AE1846" s="87"/>
      <c r="AF1846" s="87"/>
      <c r="AG1846" s="87"/>
      <c r="AH1846" s="87"/>
      <c r="AI1846" s="87"/>
      <c r="AJ1846" s="87"/>
      <c r="AK1846" s="87"/>
      <c r="AL1846" s="87"/>
      <c r="AM1846" s="87"/>
      <c r="AN1846" s="87"/>
      <c r="AO1846" s="87"/>
      <c r="AP1846" s="87"/>
      <c r="AQ1846" s="87"/>
      <c r="AR1846" s="87"/>
      <c r="AS1846" s="87"/>
      <c r="AT1846" s="87"/>
      <c r="AU1846" s="87"/>
      <c r="AV1846" s="87"/>
      <c r="AW1846" s="87"/>
      <c r="AX1846" s="87"/>
      <c r="AY1846" s="87"/>
      <c r="AZ1846" s="87"/>
      <c r="BA1846" s="87"/>
      <c r="BB1846" s="87"/>
      <c r="BC1846" s="87"/>
      <c r="BD1846" s="87"/>
      <c r="BE1846" s="87"/>
      <c r="BF1846" s="87"/>
      <c r="BG1846" s="87"/>
      <c r="BH1846" s="87"/>
    </row>
    <row r="1847" spans="1:60" ht="16">
      <c r="A1847" s="82"/>
      <c r="B1847" s="82"/>
      <c r="C1847" s="82"/>
      <c r="D1847" s="83"/>
      <c r="E1847" s="84"/>
      <c r="F1847" s="84"/>
      <c r="G1847" s="84"/>
      <c r="H1847" s="82"/>
      <c r="I1847" s="84"/>
      <c r="J1847" s="84"/>
      <c r="K1847" s="84"/>
      <c r="L1847" s="84"/>
      <c r="M1847" s="84"/>
      <c r="N1847" s="84"/>
      <c r="O1847" s="84"/>
      <c r="P1847" s="84"/>
      <c r="Q1847" s="84"/>
      <c r="R1847" s="84"/>
      <c r="S1847" s="84"/>
      <c r="T1847" s="84"/>
      <c r="U1847" s="84"/>
      <c r="V1847" s="84"/>
      <c r="W1847" s="84"/>
      <c r="X1847" s="84"/>
      <c r="Y1847" s="84"/>
      <c r="Z1847" s="87"/>
      <c r="AA1847" s="87"/>
      <c r="AB1847" s="87"/>
      <c r="AC1847" s="87"/>
      <c r="AD1847" s="87"/>
      <c r="AE1847" s="87"/>
      <c r="AF1847" s="87"/>
      <c r="AG1847" s="87"/>
      <c r="AH1847" s="87"/>
      <c r="AI1847" s="87"/>
      <c r="AJ1847" s="87"/>
      <c r="AK1847" s="87"/>
      <c r="AL1847" s="87"/>
      <c r="AM1847" s="87"/>
      <c r="AN1847" s="87"/>
      <c r="AO1847" s="87"/>
      <c r="AP1847" s="87"/>
      <c r="AQ1847" s="87"/>
      <c r="AR1847" s="87"/>
      <c r="AS1847" s="87"/>
      <c r="AT1847" s="87"/>
      <c r="AU1847" s="87"/>
      <c r="AV1847" s="87"/>
      <c r="AW1847" s="87"/>
      <c r="AX1847" s="87"/>
      <c r="AY1847" s="87"/>
      <c r="AZ1847" s="87"/>
      <c r="BA1847" s="87"/>
      <c r="BB1847" s="87"/>
      <c r="BC1847" s="87"/>
      <c r="BD1847" s="87"/>
      <c r="BE1847" s="87"/>
      <c r="BF1847" s="87"/>
      <c r="BG1847" s="87"/>
      <c r="BH1847" s="87"/>
    </row>
    <row r="1848" spans="1:60" ht="16">
      <c r="A1848" s="82"/>
      <c r="B1848" s="82"/>
      <c r="C1848" s="82"/>
      <c r="D1848" s="83"/>
      <c r="E1848" s="84"/>
      <c r="F1848" s="84"/>
      <c r="G1848" s="84"/>
      <c r="H1848" s="82"/>
      <c r="I1848" s="84"/>
      <c r="J1848" s="84"/>
      <c r="K1848" s="84"/>
      <c r="L1848" s="84"/>
      <c r="M1848" s="84"/>
      <c r="N1848" s="84"/>
      <c r="O1848" s="84"/>
      <c r="P1848" s="84"/>
      <c r="Q1848" s="84"/>
      <c r="R1848" s="84"/>
      <c r="S1848" s="84"/>
      <c r="T1848" s="84"/>
      <c r="U1848" s="84"/>
      <c r="V1848" s="84"/>
      <c r="W1848" s="84"/>
      <c r="X1848" s="84"/>
      <c r="Y1848" s="84"/>
      <c r="Z1848" s="87"/>
      <c r="AA1848" s="87"/>
      <c r="AB1848" s="87"/>
      <c r="AC1848" s="87"/>
      <c r="AD1848" s="87"/>
      <c r="AE1848" s="87"/>
      <c r="AF1848" s="87"/>
      <c r="AG1848" s="87"/>
      <c r="AH1848" s="87"/>
      <c r="AI1848" s="87"/>
      <c r="AJ1848" s="87"/>
      <c r="AK1848" s="87"/>
      <c r="AL1848" s="87"/>
      <c r="AM1848" s="87"/>
      <c r="AN1848" s="87"/>
      <c r="AO1848" s="87"/>
      <c r="AP1848" s="87"/>
      <c r="AQ1848" s="87"/>
      <c r="AR1848" s="87"/>
      <c r="AS1848" s="87"/>
      <c r="AT1848" s="87"/>
      <c r="AU1848" s="87"/>
      <c r="AV1848" s="87"/>
      <c r="AW1848" s="87"/>
      <c r="AX1848" s="87"/>
      <c r="AY1848" s="87"/>
      <c r="AZ1848" s="87"/>
      <c r="BA1848" s="87"/>
      <c r="BB1848" s="87"/>
      <c r="BC1848" s="87"/>
      <c r="BD1848" s="87"/>
      <c r="BE1848" s="87"/>
      <c r="BF1848" s="87"/>
      <c r="BG1848" s="87"/>
      <c r="BH1848" s="87"/>
    </row>
    <row r="1849" spans="1:60" ht="16">
      <c r="A1849" s="82"/>
      <c r="B1849" s="82"/>
      <c r="C1849" s="82"/>
      <c r="D1849" s="83"/>
      <c r="E1849" s="84"/>
      <c r="F1849" s="84"/>
      <c r="G1849" s="84"/>
      <c r="H1849" s="82"/>
      <c r="I1849" s="84"/>
      <c r="J1849" s="84"/>
      <c r="K1849" s="84"/>
      <c r="L1849" s="84"/>
      <c r="M1849" s="84"/>
      <c r="N1849" s="84"/>
      <c r="O1849" s="84"/>
      <c r="P1849" s="84"/>
      <c r="Q1849" s="84"/>
      <c r="R1849" s="84"/>
      <c r="S1849" s="84"/>
      <c r="T1849" s="84"/>
      <c r="U1849" s="84"/>
      <c r="V1849" s="84"/>
      <c r="W1849" s="84"/>
      <c r="X1849" s="84"/>
      <c r="Y1849" s="84"/>
      <c r="Z1849" s="87"/>
      <c r="AA1849" s="87"/>
      <c r="AB1849" s="87"/>
      <c r="AC1849" s="87"/>
      <c r="AD1849" s="87"/>
      <c r="AE1849" s="87"/>
      <c r="AF1849" s="87"/>
      <c r="AG1849" s="87"/>
      <c r="AH1849" s="87"/>
      <c r="AI1849" s="87"/>
      <c r="AJ1849" s="87"/>
      <c r="AK1849" s="87"/>
      <c r="AL1849" s="87"/>
      <c r="AM1849" s="87"/>
      <c r="AN1849" s="87"/>
      <c r="AO1849" s="87"/>
      <c r="AP1849" s="87"/>
      <c r="AQ1849" s="87"/>
      <c r="AR1849" s="87"/>
      <c r="AS1849" s="87"/>
      <c r="AT1849" s="87"/>
      <c r="AU1849" s="87"/>
      <c r="AV1849" s="87"/>
      <c r="AW1849" s="87"/>
      <c r="AX1849" s="87"/>
      <c r="AY1849" s="87"/>
      <c r="AZ1849" s="87"/>
      <c r="BA1849" s="87"/>
      <c r="BB1849" s="87"/>
      <c r="BC1849" s="87"/>
      <c r="BD1849" s="87"/>
      <c r="BE1849" s="87"/>
      <c r="BF1849" s="87"/>
      <c r="BG1849" s="87"/>
      <c r="BH1849" s="87"/>
    </row>
    <row r="1850" spans="1:60" ht="16">
      <c r="A1850" s="82"/>
      <c r="B1850" s="82"/>
      <c r="C1850" s="82"/>
      <c r="D1850" s="83"/>
      <c r="E1850" s="84"/>
      <c r="F1850" s="84"/>
      <c r="G1850" s="84"/>
      <c r="H1850" s="82"/>
      <c r="I1850" s="84"/>
      <c r="J1850" s="84"/>
      <c r="K1850" s="84"/>
      <c r="L1850" s="84"/>
      <c r="M1850" s="84"/>
      <c r="N1850" s="84"/>
      <c r="O1850" s="84"/>
      <c r="P1850" s="84"/>
      <c r="Q1850" s="84"/>
      <c r="R1850" s="84"/>
      <c r="S1850" s="84"/>
      <c r="T1850" s="84"/>
      <c r="U1850" s="84"/>
      <c r="V1850" s="84"/>
      <c r="W1850" s="84"/>
      <c r="X1850" s="84"/>
      <c r="Y1850" s="84"/>
      <c r="Z1850" s="87"/>
      <c r="AA1850" s="87"/>
      <c r="AB1850" s="87"/>
      <c r="AC1850" s="87"/>
      <c r="AD1850" s="87"/>
      <c r="AE1850" s="87"/>
      <c r="AF1850" s="87"/>
      <c r="AG1850" s="87"/>
      <c r="AH1850" s="87"/>
      <c r="AI1850" s="87"/>
      <c r="AJ1850" s="87"/>
      <c r="AK1850" s="87"/>
      <c r="AL1850" s="87"/>
      <c r="AM1850" s="87"/>
      <c r="AN1850" s="87"/>
      <c r="AO1850" s="87"/>
      <c r="AP1850" s="87"/>
      <c r="AQ1850" s="87"/>
      <c r="AR1850" s="87"/>
      <c r="AS1850" s="87"/>
      <c r="AT1850" s="87"/>
      <c r="AU1850" s="87"/>
      <c r="AV1850" s="87"/>
      <c r="AW1850" s="87"/>
      <c r="AX1850" s="87"/>
      <c r="AY1850" s="87"/>
      <c r="AZ1850" s="87"/>
      <c r="BA1850" s="87"/>
      <c r="BB1850" s="87"/>
      <c r="BC1850" s="87"/>
      <c r="BD1850" s="87"/>
      <c r="BE1850" s="87"/>
      <c r="BF1850" s="87"/>
      <c r="BG1850" s="87"/>
      <c r="BH1850" s="87"/>
    </row>
    <row r="1851" spans="1:60" ht="16">
      <c r="A1851" s="82"/>
      <c r="B1851" s="82"/>
      <c r="C1851" s="82"/>
      <c r="D1851" s="83"/>
      <c r="E1851" s="84"/>
      <c r="F1851" s="84"/>
      <c r="G1851" s="84"/>
      <c r="H1851" s="82"/>
      <c r="I1851" s="84"/>
      <c r="J1851" s="84"/>
      <c r="K1851" s="84"/>
      <c r="L1851" s="84"/>
      <c r="M1851" s="84"/>
      <c r="N1851" s="84"/>
      <c r="O1851" s="84"/>
      <c r="P1851" s="84"/>
      <c r="Q1851" s="84"/>
      <c r="R1851" s="84"/>
      <c r="S1851" s="84"/>
      <c r="T1851" s="84"/>
      <c r="U1851" s="84"/>
      <c r="V1851" s="84"/>
      <c r="W1851" s="84"/>
      <c r="X1851" s="84"/>
      <c r="Y1851" s="84"/>
      <c r="Z1851" s="87"/>
      <c r="AA1851" s="87"/>
      <c r="AB1851" s="87"/>
      <c r="AC1851" s="87"/>
      <c r="AD1851" s="87"/>
      <c r="AE1851" s="87"/>
      <c r="AF1851" s="87"/>
      <c r="AG1851" s="87"/>
      <c r="AH1851" s="87"/>
      <c r="AI1851" s="87"/>
      <c r="AJ1851" s="87"/>
      <c r="AK1851" s="87"/>
      <c r="AL1851" s="87"/>
      <c r="AM1851" s="87"/>
      <c r="AN1851" s="87"/>
      <c r="AO1851" s="87"/>
      <c r="AP1851" s="87"/>
      <c r="AQ1851" s="87"/>
      <c r="AR1851" s="87"/>
      <c r="AS1851" s="87"/>
      <c r="AT1851" s="87"/>
      <c r="AU1851" s="87"/>
      <c r="AV1851" s="87"/>
      <c r="AW1851" s="87"/>
      <c r="AX1851" s="87"/>
      <c r="AY1851" s="87"/>
      <c r="AZ1851" s="87"/>
      <c r="BA1851" s="87"/>
      <c r="BB1851" s="87"/>
      <c r="BC1851" s="87"/>
      <c r="BD1851" s="87"/>
      <c r="BE1851" s="87"/>
      <c r="BF1851" s="87"/>
      <c r="BG1851" s="87"/>
      <c r="BH1851" s="87"/>
    </row>
    <row r="1852" spans="1:60" ht="16">
      <c r="A1852" s="82"/>
      <c r="B1852" s="82"/>
      <c r="C1852" s="82"/>
      <c r="D1852" s="83"/>
      <c r="E1852" s="84"/>
      <c r="F1852" s="84"/>
      <c r="G1852" s="84"/>
      <c r="H1852" s="82"/>
      <c r="I1852" s="84"/>
      <c r="J1852" s="84"/>
      <c r="K1852" s="84"/>
      <c r="L1852" s="84"/>
      <c r="M1852" s="84"/>
      <c r="N1852" s="84"/>
      <c r="O1852" s="84"/>
      <c r="P1852" s="84"/>
      <c r="Q1852" s="84"/>
      <c r="R1852" s="84"/>
      <c r="S1852" s="84"/>
      <c r="T1852" s="84"/>
      <c r="U1852" s="84"/>
      <c r="V1852" s="84"/>
      <c r="W1852" s="84"/>
      <c r="X1852" s="84"/>
      <c r="Y1852" s="84"/>
      <c r="Z1852" s="87"/>
      <c r="AA1852" s="87"/>
      <c r="AB1852" s="87"/>
      <c r="AC1852" s="87"/>
      <c r="AD1852" s="87"/>
      <c r="AE1852" s="87"/>
      <c r="AF1852" s="87"/>
      <c r="AG1852" s="87"/>
      <c r="AH1852" s="87"/>
      <c r="AI1852" s="87"/>
      <c r="AJ1852" s="87"/>
      <c r="AK1852" s="87"/>
      <c r="AL1852" s="87"/>
      <c r="AM1852" s="87"/>
      <c r="AN1852" s="87"/>
      <c r="AO1852" s="87"/>
      <c r="AP1852" s="87"/>
      <c r="AQ1852" s="87"/>
      <c r="AR1852" s="87"/>
      <c r="AS1852" s="87"/>
      <c r="AT1852" s="87"/>
      <c r="AU1852" s="87"/>
      <c r="AV1852" s="87"/>
      <c r="AW1852" s="87"/>
      <c r="AX1852" s="87"/>
      <c r="AY1852" s="87"/>
      <c r="AZ1852" s="87"/>
      <c r="BA1852" s="87"/>
      <c r="BB1852" s="87"/>
      <c r="BC1852" s="87"/>
      <c r="BD1852" s="87"/>
      <c r="BE1852" s="87"/>
      <c r="BF1852" s="87"/>
      <c r="BG1852" s="87"/>
      <c r="BH1852" s="87"/>
    </row>
    <row r="1853" spans="1:60" ht="16">
      <c r="A1853" s="82"/>
      <c r="B1853" s="82"/>
      <c r="C1853" s="82"/>
      <c r="D1853" s="83"/>
      <c r="E1853" s="84"/>
      <c r="F1853" s="84"/>
      <c r="G1853" s="84"/>
      <c r="H1853" s="82"/>
      <c r="I1853" s="84"/>
      <c r="J1853" s="84"/>
      <c r="K1853" s="84"/>
      <c r="L1853" s="84"/>
      <c r="M1853" s="84"/>
      <c r="N1853" s="84"/>
      <c r="O1853" s="84"/>
      <c r="P1853" s="84"/>
      <c r="Q1853" s="84"/>
      <c r="R1853" s="84"/>
      <c r="S1853" s="84"/>
      <c r="T1853" s="84"/>
      <c r="U1853" s="84"/>
      <c r="V1853" s="84"/>
      <c r="W1853" s="84"/>
      <c r="X1853" s="84"/>
      <c r="Y1853" s="84"/>
      <c r="Z1853" s="87"/>
      <c r="AA1853" s="87"/>
      <c r="AB1853" s="87"/>
      <c r="AC1853" s="87"/>
      <c r="AD1853" s="87"/>
      <c r="AE1853" s="87"/>
      <c r="AF1853" s="87"/>
      <c r="AG1853" s="87"/>
      <c r="AH1853" s="87"/>
      <c r="AI1853" s="87"/>
      <c r="AJ1853" s="87"/>
      <c r="AK1853" s="87"/>
      <c r="AL1853" s="87"/>
      <c r="AM1853" s="87"/>
      <c r="AN1853" s="87"/>
      <c r="AO1853" s="87"/>
      <c r="AP1853" s="87"/>
      <c r="AQ1853" s="87"/>
      <c r="AR1853" s="87"/>
      <c r="AS1853" s="87"/>
      <c r="AT1853" s="87"/>
      <c r="AU1853" s="87"/>
      <c r="AV1853" s="87"/>
      <c r="AW1853" s="87"/>
      <c r="AX1853" s="87"/>
      <c r="AY1853" s="87"/>
      <c r="AZ1853" s="87"/>
      <c r="BA1853" s="87"/>
      <c r="BB1853" s="87"/>
      <c r="BC1853" s="87"/>
      <c r="BD1853" s="87"/>
      <c r="BE1853" s="87"/>
      <c r="BF1853" s="87"/>
      <c r="BG1853" s="87"/>
      <c r="BH1853" s="87"/>
    </row>
    <row r="1854" spans="1:60" ht="16">
      <c r="A1854" s="82"/>
      <c r="B1854" s="82"/>
      <c r="C1854" s="82"/>
      <c r="D1854" s="83"/>
      <c r="E1854" s="84"/>
      <c r="F1854" s="84"/>
      <c r="G1854" s="84"/>
      <c r="H1854" s="82"/>
      <c r="I1854" s="84"/>
      <c r="J1854" s="84"/>
      <c r="K1854" s="84"/>
      <c r="L1854" s="84"/>
      <c r="M1854" s="84"/>
      <c r="N1854" s="84"/>
      <c r="O1854" s="84"/>
      <c r="P1854" s="84"/>
      <c r="Q1854" s="84"/>
      <c r="R1854" s="84"/>
      <c r="S1854" s="84"/>
      <c r="T1854" s="84"/>
      <c r="U1854" s="84"/>
      <c r="V1854" s="84"/>
      <c r="W1854" s="84"/>
      <c r="X1854" s="84"/>
      <c r="Y1854" s="84"/>
      <c r="Z1854" s="87"/>
      <c r="AA1854" s="87"/>
      <c r="AB1854" s="87"/>
      <c r="AC1854" s="87"/>
      <c r="AD1854" s="87"/>
      <c r="AE1854" s="87"/>
      <c r="AF1854" s="87"/>
      <c r="AG1854" s="87"/>
      <c r="AH1854" s="87"/>
      <c r="AI1854" s="87"/>
      <c r="AJ1854" s="87"/>
      <c r="AK1854" s="87"/>
      <c r="AL1854" s="87"/>
      <c r="AM1854" s="87"/>
      <c r="AN1854" s="87"/>
      <c r="AO1854" s="87"/>
      <c r="AP1854" s="87"/>
      <c r="AQ1854" s="87"/>
      <c r="AR1854" s="87"/>
      <c r="AS1854" s="87"/>
      <c r="AT1854" s="87"/>
      <c r="AU1854" s="87"/>
      <c r="AV1854" s="87"/>
      <c r="AW1854" s="87"/>
      <c r="AX1854" s="87"/>
      <c r="AY1854" s="87"/>
      <c r="AZ1854" s="87"/>
      <c r="BA1854" s="87"/>
      <c r="BB1854" s="87"/>
      <c r="BC1854" s="87"/>
      <c r="BD1854" s="87"/>
      <c r="BE1854" s="87"/>
      <c r="BF1854" s="87"/>
      <c r="BG1854" s="87"/>
      <c r="BH1854" s="87"/>
    </row>
    <row r="1855" spans="1:60" ht="16">
      <c r="A1855" s="82"/>
      <c r="B1855" s="82"/>
      <c r="C1855" s="82"/>
      <c r="D1855" s="83"/>
      <c r="E1855" s="84"/>
      <c r="F1855" s="84"/>
      <c r="G1855" s="84"/>
      <c r="H1855" s="82"/>
      <c r="I1855" s="84"/>
      <c r="J1855" s="84"/>
      <c r="K1855" s="84"/>
      <c r="L1855" s="84"/>
      <c r="M1855" s="84"/>
      <c r="N1855" s="84"/>
      <c r="O1855" s="84"/>
      <c r="P1855" s="84"/>
      <c r="Q1855" s="84"/>
      <c r="R1855" s="84"/>
      <c r="S1855" s="84"/>
      <c r="T1855" s="84"/>
      <c r="U1855" s="84"/>
      <c r="V1855" s="84"/>
      <c r="W1855" s="84"/>
      <c r="X1855" s="84"/>
      <c r="Y1855" s="84"/>
      <c r="Z1855" s="87"/>
      <c r="AA1855" s="87"/>
      <c r="AB1855" s="87"/>
      <c r="AC1855" s="87"/>
      <c r="AD1855" s="87"/>
      <c r="AE1855" s="87"/>
      <c r="AF1855" s="87"/>
      <c r="AG1855" s="87"/>
      <c r="AH1855" s="87"/>
      <c r="AI1855" s="87"/>
      <c r="AJ1855" s="87"/>
      <c r="AK1855" s="87"/>
      <c r="AL1855" s="87"/>
      <c r="AM1855" s="87"/>
      <c r="AN1855" s="87"/>
      <c r="AO1855" s="87"/>
      <c r="AP1855" s="87"/>
      <c r="AQ1855" s="87"/>
      <c r="AR1855" s="87"/>
      <c r="AS1855" s="87"/>
      <c r="AT1855" s="87"/>
      <c r="AU1855" s="87"/>
      <c r="AV1855" s="87"/>
      <c r="AW1855" s="87"/>
      <c r="AX1855" s="87"/>
      <c r="AY1855" s="87"/>
      <c r="AZ1855" s="87"/>
      <c r="BA1855" s="87"/>
      <c r="BB1855" s="87"/>
      <c r="BC1855" s="87"/>
      <c r="BD1855" s="87"/>
      <c r="BE1855" s="87"/>
      <c r="BF1855" s="87"/>
      <c r="BG1855" s="87"/>
      <c r="BH1855" s="87"/>
    </row>
    <row r="1856" spans="1:60" ht="16">
      <c r="A1856" s="82"/>
      <c r="B1856" s="82"/>
      <c r="C1856" s="82"/>
      <c r="D1856" s="83"/>
      <c r="E1856" s="84"/>
      <c r="F1856" s="84"/>
      <c r="G1856" s="84"/>
      <c r="H1856" s="82"/>
      <c r="I1856" s="84"/>
      <c r="J1856" s="84"/>
      <c r="K1856" s="84"/>
      <c r="L1856" s="84"/>
      <c r="M1856" s="84"/>
      <c r="N1856" s="84"/>
      <c r="O1856" s="84"/>
      <c r="P1856" s="84"/>
      <c r="Q1856" s="84"/>
      <c r="R1856" s="84"/>
      <c r="S1856" s="84"/>
      <c r="T1856" s="84"/>
      <c r="U1856" s="84"/>
      <c r="V1856" s="84"/>
      <c r="W1856" s="84"/>
      <c r="X1856" s="84"/>
      <c r="Y1856" s="84"/>
      <c r="Z1856" s="87"/>
      <c r="AA1856" s="87"/>
      <c r="AB1856" s="87"/>
      <c r="AC1856" s="87"/>
      <c r="AD1856" s="87"/>
      <c r="AE1856" s="87"/>
      <c r="AF1856" s="87"/>
      <c r="AG1856" s="87"/>
      <c r="AH1856" s="87"/>
      <c r="AI1856" s="87"/>
      <c r="AJ1856" s="87"/>
      <c r="AK1856" s="87"/>
      <c r="AL1856" s="87"/>
      <c r="AM1856" s="87"/>
      <c r="AN1856" s="87"/>
      <c r="AO1856" s="87"/>
      <c r="AP1856" s="87"/>
      <c r="AQ1856" s="87"/>
      <c r="AR1856" s="87"/>
      <c r="AS1856" s="87"/>
      <c r="AT1856" s="87"/>
      <c r="AU1856" s="87"/>
      <c r="AV1856" s="87"/>
      <c r="AW1856" s="87"/>
      <c r="AX1856" s="87"/>
      <c r="AY1856" s="87"/>
      <c r="AZ1856" s="87"/>
      <c r="BA1856" s="87"/>
      <c r="BB1856" s="87"/>
      <c r="BC1856" s="87"/>
      <c r="BD1856" s="87"/>
      <c r="BE1856" s="87"/>
      <c r="BF1856" s="87"/>
      <c r="BG1856" s="87"/>
      <c r="BH1856" s="87"/>
    </row>
    <row r="1857" spans="1:60" ht="16">
      <c r="A1857" s="82"/>
      <c r="B1857" s="82"/>
      <c r="C1857" s="82"/>
      <c r="D1857" s="83"/>
      <c r="E1857" s="84"/>
      <c r="F1857" s="84"/>
      <c r="G1857" s="84"/>
      <c r="H1857" s="82"/>
      <c r="I1857" s="84"/>
      <c r="J1857" s="84"/>
      <c r="K1857" s="84"/>
      <c r="L1857" s="84"/>
      <c r="M1857" s="84"/>
      <c r="N1857" s="84"/>
      <c r="O1857" s="84"/>
      <c r="P1857" s="84"/>
      <c r="Q1857" s="84"/>
      <c r="R1857" s="84"/>
      <c r="S1857" s="84"/>
      <c r="T1857" s="84"/>
      <c r="U1857" s="84"/>
      <c r="V1857" s="84"/>
      <c r="W1857" s="84"/>
      <c r="X1857" s="84"/>
      <c r="Y1857" s="84"/>
      <c r="Z1857" s="87"/>
      <c r="AA1857" s="87"/>
      <c r="AB1857" s="87"/>
      <c r="AC1857" s="87"/>
      <c r="AD1857" s="87"/>
      <c r="AE1857" s="87"/>
      <c r="AF1857" s="87"/>
      <c r="AG1857" s="87"/>
      <c r="AH1857" s="87"/>
      <c r="AI1857" s="87"/>
      <c r="AJ1857" s="87"/>
      <c r="AK1857" s="87"/>
      <c r="AL1857" s="87"/>
      <c r="AM1857" s="87"/>
      <c r="AN1857" s="87"/>
      <c r="AO1857" s="87"/>
      <c r="AP1857" s="87"/>
      <c r="AQ1857" s="87"/>
      <c r="AR1857" s="87"/>
      <c r="AS1857" s="87"/>
      <c r="AT1857" s="87"/>
      <c r="AU1857" s="87"/>
      <c r="AV1857" s="87"/>
      <c r="AW1857" s="87"/>
      <c r="AX1857" s="87"/>
      <c r="AY1857" s="87"/>
      <c r="AZ1857" s="87"/>
      <c r="BA1857" s="87"/>
      <c r="BB1857" s="87"/>
      <c r="BC1857" s="87"/>
      <c r="BD1857" s="87"/>
      <c r="BE1857" s="87"/>
      <c r="BF1857" s="87"/>
      <c r="BG1857" s="87"/>
      <c r="BH1857" s="87"/>
    </row>
    <row r="1858" spans="1:60" ht="16">
      <c r="A1858" s="82"/>
      <c r="B1858" s="82"/>
      <c r="C1858" s="82"/>
      <c r="D1858" s="83"/>
      <c r="E1858" s="84"/>
      <c r="F1858" s="84"/>
      <c r="G1858" s="84"/>
      <c r="H1858" s="82"/>
      <c r="I1858" s="84"/>
      <c r="J1858" s="84"/>
      <c r="K1858" s="84"/>
      <c r="L1858" s="84"/>
      <c r="M1858" s="84"/>
      <c r="N1858" s="84"/>
      <c r="O1858" s="84"/>
      <c r="P1858" s="84"/>
      <c r="Q1858" s="84"/>
      <c r="R1858" s="84"/>
      <c r="S1858" s="84"/>
      <c r="T1858" s="84"/>
      <c r="U1858" s="84"/>
      <c r="V1858" s="84"/>
      <c r="W1858" s="84"/>
      <c r="X1858" s="84"/>
      <c r="Y1858" s="84"/>
      <c r="Z1858" s="87"/>
      <c r="AA1858" s="87"/>
      <c r="AB1858" s="87"/>
      <c r="AC1858" s="87"/>
      <c r="AD1858" s="87"/>
      <c r="AE1858" s="87"/>
      <c r="AF1858" s="87"/>
      <c r="AG1858" s="87"/>
      <c r="AH1858" s="87"/>
      <c r="AI1858" s="87"/>
      <c r="AJ1858" s="87"/>
      <c r="AK1858" s="87"/>
      <c r="AL1858" s="87"/>
      <c r="AM1858" s="87"/>
      <c r="AN1858" s="87"/>
      <c r="AO1858" s="87"/>
      <c r="AP1858" s="87"/>
      <c r="AQ1858" s="87"/>
      <c r="AR1858" s="87"/>
      <c r="AS1858" s="87"/>
      <c r="AT1858" s="87"/>
      <c r="AU1858" s="87"/>
      <c r="AV1858" s="87"/>
      <c r="AW1858" s="87"/>
      <c r="AX1858" s="87"/>
      <c r="AY1858" s="87"/>
      <c r="AZ1858" s="87"/>
      <c r="BA1858" s="87"/>
      <c r="BB1858" s="87"/>
      <c r="BC1858" s="87"/>
      <c r="BD1858" s="87"/>
      <c r="BE1858" s="87"/>
      <c r="BF1858" s="87"/>
      <c r="BG1858" s="87"/>
      <c r="BH1858" s="87"/>
    </row>
    <row r="1859" spans="1:60" ht="16">
      <c r="A1859" s="82"/>
      <c r="B1859" s="82"/>
      <c r="C1859" s="82"/>
      <c r="D1859" s="83"/>
      <c r="E1859" s="84"/>
      <c r="F1859" s="84"/>
      <c r="G1859" s="84"/>
      <c r="H1859" s="82"/>
      <c r="I1859" s="84"/>
      <c r="J1859" s="84"/>
      <c r="K1859" s="84"/>
      <c r="L1859" s="84"/>
      <c r="M1859" s="84"/>
      <c r="N1859" s="84"/>
      <c r="O1859" s="84"/>
      <c r="P1859" s="84"/>
      <c r="Q1859" s="84"/>
      <c r="R1859" s="84"/>
      <c r="S1859" s="84"/>
      <c r="T1859" s="84"/>
      <c r="U1859" s="84"/>
      <c r="V1859" s="84"/>
      <c r="W1859" s="84"/>
      <c r="X1859" s="84"/>
      <c r="Y1859" s="84"/>
      <c r="Z1859" s="87"/>
      <c r="AA1859" s="87"/>
      <c r="AB1859" s="87"/>
      <c r="AC1859" s="87"/>
      <c r="AD1859" s="87"/>
      <c r="AE1859" s="87"/>
      <c r="AF1859" s="87"/>
      <c r="AG1859" s="87"/>
      <c r="AH1859" s="87"/>
      <c r="AI1859" s="87"/>
      <c r="AJ1859" s="87"/>
      <c r="AK1859" s="87"/>
      <c r="AL1859" s="87"/>
      <c r="AM1859" s="87"/>
      <c r="AN1859" s="87"/>
      <c r="AO1859" s="87"/>
      <c r="AP1859" s="87"/>
      <c r="AQ1859" s="87"/>
      <c r="AR1859" s="87"/>
      <c r="AS1859" s="87"/>
      <c r="AT1859" s="87"/>
      <c r="AU1859" s="87"/>
      <c r="AV1859" s="87"/>
      <c r="AW1859" s="87"/>
      <c r="AX1859" s="87"/>
      <c r="AY1859" s="87"/>
      <c r="AZ1859" s="87"/>
      <c r="BA1859" s="87"/>
      <c r="BB1859" s="87"/>
      <c r="BC1859" s="87"/>
      <c r="BD1859" s="87"/>
      <c r="BE1859" s="87"/>
      <c r="BF1859" s="87"/>
      <c r="BG1859" s="87"/>
      <c r="BH1859" s="87"/>
    </row>
    <row r="1860" spans="1:60" ht="16">
      <c r="A1860" s="82"/>
      <c r="B1860" s="82"/>
      <c r="C1860" s="82"/>
      <c r="D1860" s="83"/>
      <c r="E1860" s="84"/>
      <c r="F1860" s="84"/>
      <c r="G1860" s="84"/>
      <c r="H1860" s="82"/>
      <c r="I1860" s="84"/>
      <c r="J1860" s="84"/>
      <c r="K1860" s="84"/>
      <c r="L1860" s="84"/>
      <c r="M1860" s="84"/>
      <c r="N1860" s="84"/>
      <c r="O1860" s="84"/>
      <c r="P1860" s="84"/>
      <c r="Q1860" s="84"/>
      <c r="R1860" s="84"/>
      <c r="S1860" s="84"/>
      <c r="T1860" s="84"/>
      <c r="U1860" s="84"/>
      <c r="V1860" s="84"/>
      <c r="W1860" s="84"/>
      <c r="X1860" s="84"/>
      <c r="Y1860" s="84"/>
      <c r="Z1860" s="87"/>
      <c r="AA1860" s="87"/>
      <c r="AB1860" s="87"/>
      <c r="AC1860" s="87"/>
      <c r="AD1860" s="87"/>
      <c r="AE1860" s="87"/>
      <c r="AF1860" s="87"/>
      <c r="AG1860" s="87"/>
      <c r="AH1860" s="87"/>
      <c r="AI1860" s="87"/>
      <c r="AJ1860" s="87"/>
      <c r="AK1860" s="87"/>
      <c r="AL1860" s="87"/>
      <c r="AM1860" s="87"/>
      <c r="AN1860" s="87"/>
      <c r="AO1860" s="87"/>
      <c r="AP1860" s="87"/>
      <c r="AQ1860" s="87"/>
      <c r="AR1860" s="87"/>
      <c r="AS1860" s="87"/>
      <c r="AT1860" s="87"/>
      <c r="AU1860" s="87"/>
      <c r="AV1860" s="87"/>
      <c r="AW1860" s="87"/>
      <c r="AX1860" s="87"/>
      <c r="AY1860" s="87"/>
      <c r="AZ1860" s="87"/>
      <c r="BA1860" s="87"/>
      <c r="BB1860" s="87"/>
      <c r="BC1860" s="87"/>
      <c r="BD1860" s="87"/>
      <c r="BE1860" s="87"/>
      <c r="BF1860" s="87"/>
      <c r="BG1860" s="87"/>
      <c r="BH1860" s="87"/>
    </row>
    <row r="1861" spans="1:60" ht="16">
      <c r="A1861" s="82"/>
      <c r="B1861" s="82"/>
      <c r="C1861" s="82"/>
      <c r="D1861" s="83"/>
      <c r="E1861" s="84"/>
      <c r="F1861" s="84"/>
      <c r="G1861" s="84"/>
      <c r="H1861" s="82"/>
      <c r="I1861" s="84"/>
      <c r="J1861" s="84"/>
      <c r="K1861" s="84"/>
      <c r="L1861" s="84"/>
      <c r="M1861" s="84"/>
      <c r="N1861" s="84"/>
      <c r="O1861" s="84"/>
      <c r="P1861" s="84"/>
      <c r="Q1861" s="84"/>
      <c r="R1861" s="84"/>
      <c r="S1861" s="84"/>
      <c r="T1861" s="84"/>
      <c r="U1861" s="84"/>
      <c r="V1861" s="84"/>
      <c r="W1861" s="84"/>
      <c r="X1861" s="84"/>
      <c r="Y1861" s="84"/>
      <c r="Z1861" s="87"/>
      <c r="AA1861" s="87"/>
      <c r="AB1861" s="87"/>
      <c r="AC1861" s="87"/>
      <c r="AD1861" s="87"/>
      <c r="AE1861" s="87"/>
      <c r="AF1861" s="87"/>
      <c r="AG1861" s="87"/>
      <c r="AH1861" s="87"/>
      <c r="AI1861" s="87"/>
      <c r="AJ1861" s="87"/>
      <c r="AK1861" s="87"/>
      <c r="AL1861" s="87"/>
      <c r="AM1861" s="87"/>
      <c r="AN1861" s="87"/>
      <c r="AO1861" s="87"/>
      <c r="AP1861" s="87"/>
      <c r="AQ1861" s="87"/>
      <c r="AR1861" s="87"/>
      <c r="AS1861" s="87"/>
      <c r="AT1861" s="87"/>
      <c r="AU1861" s="87"/>
      <c r="AV1861" s="87"/>
      <c r="AW1861" s="87"/>
      <c r="AX1861" s="87"/>
      <c r="AY1861" s="87"/>
      <c r="AZ1861" s="87"/>
      <c r="BA1861" s="87"/>
      <c r="BB1861" s="87"/>
      <c r="BC1861" s="87"/>
      <c r="BD1861" s="87"/>
      <c r="BE1861" s="87"/>
      <c r="BF1861" s="87"/>
      <c r="BG1861" s="87"/>
      <c r="BH1861" s="87"/>
    </row>
    <row r="1862" spans="1:60" ht="16">
      <c r="A1862" s="82"/>
      <c r="B1862" s="82"/>
      <c r="C1862" s="82"/>
      <c r="D1862" s="83"/>
      <c r="E1862" s="84"/>
      <c r="F1862" s="84"/>
      <c r="G1862" s="84"/>
      <c r="H1862" s="82"/>
      <c r="I1862" s="84"/>
      <c r="J1862" s="84"/>
      <c r="K1862" s="84"/>
      <c r="L1862" s="84"/>
      <c r="M1862" s="84"/>
      <c r="N1862" s="84"/>
      <c r="O1862" s="84"/>
      <c r="P1862" s="84"/>
      <c r="Q1862" s="84"/>
      <c r="R1862" s="84"/>
      <c r="S1862" s="84"/>
      <c r="T1862" s="84"/>
      <c r="U1862" s="84"/>
      <c r="V1862" s="84"/>
      <c r="W1862" s="84"/>
      <c r="X1862" s="84"/>
      <c r="Y1862" s="84"/>
      <c r="Z1862" s="87"/>
      <c r="AA1862" s="87"/>
      <c r="AB1862" s="87"/>
      <c r="AC1862" s="87"/>
      <c r="AD1862" s="87"/>
      <c r="AE1862" s="87"/>
      <c r="AF1862" s="87"/>
      <c r="AG1862" s="87"/>
      <c r="AH1862" s="87"/>
      <c r="AI1862" s="87"/>
      <c r="AJ1862" s="87"/>
      <c r="AK1862" s="87"/>
      <c r="AL1862" s="87"/>
      <c r="AM1862" s="87"/>
      <c r="AN1862" s="87"/>
      <c r="AO1862" s="87"/>
      <c r="AP1862" s="87"/>
      <c r="AQ1862" s="87"/>
      <c r="AR1862" s="87"/>
      <c r="AS1862" s="87"/>
      <c r="AT1862" s="87"/>
      <c r="AU1862" s="87"/>
      <c r="AV1862" s="87"/>
      <c r="AW1862" s="87"/>
      <c r="AX1862" s="87"/>
      <c r="AY1862" s="87"/>
      <c r="AZ1862" s="87"/>
      <c r="BA1862" s="87"/>
      <c r="BB1862" s="87"/>
      <c r="BC1862" s="87"/>
      <c r="BD1862" s="87"/>
      <c r="BE1862" s="87"/>
      <c r="BF1862" s="87"/>
      <c r="BG1862" s="87"/>
      <c r="BH1862" s="87"/>
    </row>
    <row r="1863" spans="1:60" ht="16">
      <c r="A1863" s="82"/>
      <c r="B1863" s="82"/>
      <c r="C1863" s="82"/>
      <c r="D1863" s="83"/>
      <c r="E1863" s="84"/>
      <c r="F1863" s="84"/>
      <c r="G1863" s="84"/>
      <c r="H1863" s="82"/>
      <c r="I1863" s="84"/>
      <c r="J1863" s="84"/>
      <c r="K1863" s="84"/>
      <c r="L1863" s="84"/>
      <c r="M1863" s="84"/>
      <c r="N1863" s="84"/>
      <c r="O1863" s="84"/>
      <c r="P1863" s="84"/>
      <c r="Q1863" s="84"/>
      <c r="R1863" s="84"/>
      <c r="S1863" s="84"/>
      <c r="T1863" s="84"/>
      <c r="U1863" s="84"/>
      <c r="V1863" s="84"/>
      <c r="W1863" s="84"/>
      <c r="X1863" s="84"/>
      <c r="Y1863" s="84"/>
      <c r="Z1863" s="87"/>
      <c r="AA1863" s="87"/>
      <c r="AB1863" s="87"/>
      <c r="AC1863" s="87"/>
      <c r="AD1863" s="87"/>
      <c r="AE1863" s="87"/>
      <c r="AF1863" s="87"/>
      <c r="AG1863" s="87"/>
      <c r="AH1863" s="87"/>
      <c r="AI1863" s="87"/>
      <c r="AJ1863" s="87"/>
      <c r="AK1863" s="87"/>
      <c r="AL1863" s="87"/>
      <c r="AM1863" s="87"/>
      <c r="AN1863" s="87"/>
      <c r="AO1863" s="87"/>
      <c r="AP1863" s="87"/>
      <c r="AQ1863" s="87"/>
      <c r="AR1863" s="87"/>
      <c r="AS1863" s="87"/>
      <c r="AT1863" s="87"/>
      <c r="AU1863" s="87"/>
      <c r="AV1863" s="87"/>
      <c r="AW1863" s="87"/>
      <c r="AX1863" s="87"/>
      <c r="AY1863" s="87"/>
      <c r="AZ1863" s="87"/>
      <c r="BA1863" s="87"/>
      <c r="BB1863" s="87"/>
      <c r="BC1863" s="87"/>
      <c r="BD1863" s="87"/>
      <c r="BE1863" s="87"/>
      <c r="BF1863" s="87"/>
      <c r="BG1863" s="87"/>
      <c r="BH1863" s="87"/>
    </row>
    <row r="1864" spans="1:60" ht="16">
      <c r="A1864" s="82"/>
      <c r="B1864" s="82"/>
      <c r="C1864" s="82"/>
      <c r="D1864" s="83"/>
      <c r="E1864" s="84"/>
      <c r="F1864" s="84"/>
      <c r="G1864" s="84"/>
      <c r="H1864" s="82"/>
      <c r="I1864" s="84"/>
      <c r="J1864" s="84"/>
      <c r="K1864" s="84"/>
      <c r="L1864" s="84"/>
      <c r="M1864" s="84"/>
      <c r="N1864" s="84"/>
      <c r="O1864" s="84"/>
      <c r="P1864" s="84"/>
      <c r="Q1864" s="84"/>
      <c r="R1864" s="84"/>
      <c r="S1864" s="84"/>
      <c r="T1864" s="84"/>
      <c r="U1864" s="84"/>
      <c r="V1864" s="84"/>
      <c r="W1864" s="84"/>
      <c r="X1864" s="84"/>
      <c r="Y1864" s="84"/>
      <c r="Z1864" s="87"/>
      <c r="AA1864" s="87"/>
      <c r="AB1864" s="87"/>
      <c r="AC1864" s="87"/>
      <c r="AD1864" s="87"/>
      <c r="AE1864" s="87"/>
      <c r="AF1864" s="87"/>
      <c r="AG1864" s="87"/>
      <c r="AH1864" s="87"/>
      <c r="AI1864" s="87"/>
      <c r="AJ1864" s="87"/>
      <c r="AK1864" s="87"/>
      <c r="AL1864" s="87"/>
      <c r="AM1864" s="87"/>
      <c r="AN1864" s="87"/>
      <c r="AO1864" s="87"/>
      <c r="AP1864" s="87"/>
      <c r="AQ1864" s="87"/>
      <c r="AR1864" s="87"/>
      <c r="AS1864" s="87"/>
      <c r="AT1864" s="87"/>
      <c r="AU1864" s="87"/>
      <c r="AV1864" s="87"/>
      <c r="AW1864" s="87"/>
      <c r="AX1864" s="87"/>
      <c r="AY1864" s="87"/>
      <c r="AZ1864" s="87"/>
      <c r="BA1864" s="87"/>
      <c r="BB1864" s="87"/>
      <c r="BC1864" s="87"/>
      <c r="BD1864" s="87"/>
      <c r="BE1864" s="87"/>
      <c r="BF1864" s="87"/>
      <c r="BG1864" s="87"/>
      <c r="BH1864" s="87"/>
    </row>
    <row r="1865" spans="1:60" ht="16">
      <c r="A1865" s="82"/>
      <c r="B1865" s="82"/>
      <c r="C1865" s="82"/>
      <c r="D1865" s="83"/>
      <c r="E1865" s="84"/>
      <c r="F1865" s="84"/>
      <c r="G1865" s="84"/>
      <c r="H1865" s="82"/>
      <c r="I1865" s="84"/>
      <c r="J1865" s="84"/>
      <c r="K1865" s="84"/>
      <c r="L1865" s="84"/>
      <c r="M1865" s="84"/>
      <c r="N1865" s="84"/>
      <c r="O1865" s="84"/>
      <c r="P1865" s="84"/>
      <c r="Q1865" s="84"/>
      <c r="R1865" s="84"/>
      <c r="S1865" s="84"/>
      <c r="T1865" s="84"/>
      <c r="U1865" s="84"/>
      <c r="V1865" s="84"/>
      <c r="W1865" s="84"/>
      <c r="X1865" s="84"/>
      <c r="Y1865" s="84"/>
      <c r="Z1865" s="87"/>
      <c r="AA1865" s="87"/>
      <c r="AB1865" s="87"/>
      <c r="AC1865" s="87"/>
      <c r="AD1865" s="87"/>
      <c r="AE1865" s="87"/>
      <c r="AF1865" s="87"/>
      <c r="AG1865" s="87"/>
      <c r="AH1865" s="87"/>
      <c r="AI1865" s="87"/>
      <c r="AJ1865" s="87"/>
      <c r="AK1865" s="87"/>
      <c r="AL1865" s="87"/>
      <c r="AM1865" s="87"/>
      <c r="AN1865" s="87"/>
      <c r="AO1865" s="87"/>
      <c r="AP1865" s="87"/>
      <c r="AQ1865" s="87"/>
      <c r="AR1865" s="87"/>
      <c r="AS1865" s="87"/>
      <c r="AT1865" s="87"/>
      <c r="AU1865" s="87"/>
      <c r="AV1865" s="87"/>
      <c r="AW1865" s="87"/>
      <c r="AX1865" s="87"/>
      <c r="AY1865" s="87"/>
      <c r="AZ1865" s="87"/>
      <c r="BA1865" s="87"/>
      <c r="BB1865" s="87"/>
      <c r="BC1865" s="87"/>
      <c r="BD1865" s="87"/>
      <c r="BE1865" s="87"/>
      <c r="BF1865" s="87"/>
      <c r="BG1865" s="87"/>
      <c r="BH1865" s="87"/>
    </row>
    <row r="1866" spans="1:60" ht="16">
      <c r="A1866" s="82"/>
      <c r="B1866" s="82"/>
      <c r="C1866" s="82"/>
      <c r="D1866" s="83"/>
      <c r="E1866" s="84"/>
      <c r="F1866" s="84"/>
      <c r="G1866" s="84"/>
      <c r="H1866" s="82"/>
      <c r="I1866" s="84"/>
      <c r="J1866" s="84"/>
      <c r="K1866" s="84"/>
      <c r="L1866" s="84"/>
      <c r="M1866" s="84"/>
      <c r="N1866" s="84"/>
      <c r="O1866" s="84"/>
      <c r="P1866" s="84"/>
      <c r="Q1866" s="84"/>
      <c r="R1866" s="84"/>
      <c r="S1866" s="84"/>
      <c r="T1866" s="84"/>
      <c r="U1866" s="84"/>
      <c r="V1866" s="84"/>
      <c r="W1866" s="84"/>
      <c r="X1866" s="84"/>
      <c r="Y1866" s="84"/>
      <c r="Z1866" s="87"/>
      <c r="AA1866" s="87"/>
      <c r="AB1866" s="87"/>
      <c r="AC1866" s="87"/>
      <c r="AD1866" s="87"/>
      <c r="AE1866" s="87"/>
      <c r="AF1866" s="87"/>
      <c r="AG1866" s="87"/>
      <c r="AH1866" s="87"/>
      <c r="AI1866" s="87"/>
      <c r="AJ1866" s="87"/>
      <c r="AK1866" s="87"/>
      <c r="AL1866" s="87"/>
      <c r="AM1866" s="87"/>
      <c r="AN1866" s="87"/>
      <c r="AO1866" s="87"/>
      <c r="AP1866" s="87"/>
      <c r="AQ1866" s="87"/>
      <c r="AR1866" s="87"/>
      <c r="AS1866" s="87"/>
      <c r="AT1866" s="87"/>
      <c r="AU1866" s="87"/>
      <c r="AV1866" s="87"/>
      <c r="AW1866" s="87"/>
      <c r="AX1866" s="87"/>
      <c r="AY1866" s="87"/>
      <c r="AZ1866" s="87"/>
      <c r="BA1866" s="87"/>
      <c r="BB1866" s="87"/>
      <c r="BC1866" s="87"/>
      <c r="BD1866" s="87"/>
      <c r="BE1866" s="87"/>
      <c r="BF1866" s="87"/>
      <c r="BG1866" s="87"/>
      <c r="BH1866" s="87"/>
    </row>
    <row r="1867" spans="1:60" ht="16">
      <c r="A1867" s="82"/>
      <c r="B1867" s="82"/>
      <c r="C1867" s="82"/>
      <c r="D1867" s="83"/>
      <c r="E1867" s="84"/>
      <c r="F1867" s="84"/>
      <c r="G1867" s="84"/>
      <c r="H1867" s="82"/>
      <c r="I1867" s="84"/>
      <c r="J1867" s="84"/>
      <c r="K1867" s="84"/>
      <c r="L1867" s="84"/>
      <c r="M1867" s="84"/>
      <c r="N1867" s="84"/>
      <c r="O1867" s="84"/>
      <c r="P1867" s="84"/>
      <c r="Q1867" s="84"/>
      <c r="R1867" s="84"/>
      <c r="S1867" s="84"/>
      <c r="T1867" s="84"/>
      <c r="U1867" s="84"/>
      <c r="V1867" s="84"/>
      <c r="W1867" s="84"/>
      <c r="X1867" s="84"/>
      <c r="Y1867" s="84"/>
      <c r="Z1867" s="87"/>
      <c r="AA1867" s="87"/>
      <c r="AB1867" s="87"/>
      <c r="AC1867" s="87"/>
      <c r="AD1867" s="87"/>
      <c r="AE1867" s="87"/>
      <c r="AF1867" s="87"/>
      <c r="AG1867" s="87"/>
      <c r="AH1867" s="87"/>
      <c r="AI1867" s="87"/>
      <c r="AJ1867" s="87"/>
      <c r="AK1867" s="87"/>
      <c r="AL1867" s="87"/>
      <c r="AM1867" s="87"/>
      <c r="AN1867" s="87"/>
      <c r="AO1867" s="87"/>
      <c r="AP1867" s="87"/>
      <c r="AQ1867" s="87"/>
      <c r="AR1867" s="87"/>
      <c r="AS1867" s="87"/>
      <c r="AT1867" s="87"/>
      <c r="AU1867" s="87"/>
      <c r="AV1867" s="87"/>
      <c r="AW1867" s="87"/>
      <c r="AX1867" s="87"/>
      <c r="AY1867" s="87"/>
      <c r="AZ1867" s="87"/>
      <c r="BA1867" s="87"/>
      <c r="BB1867" s="87"/>
      <c r="BC1867" s="87"/>
      <c r="BD1867" s="87"/>
      <c r="BE1867" s="87"/>
      <c r="BF1867" s="87"/>
      <c r="BG1867" s="87"/>
      <c r="BH1867" s="87"/>
    </row>
    <row r="1868" spans="1:60" ht="16">
      <c r="A1868" s="82"/>
      <c r="B1868" s="82"/>
      <c r="C1868" s="82"/>
      <c r="D1868" s="83"/>
      <c r="E1868" s="84"/>
      <c r="F1868" s="84"/>
      <c r="G1868" s="84"/>
      <c r="H1868" s="82"/>
      <c r="I1868" s="84"/>
      <c r="J1868" s="84"/>
      <c r="K1868" s="84"/>
      <c r="L1868" s="84"/>
      <c r="M1868" s="84"/>
      <c r="N1868" s="84"/>
      <c r="O1868" s="84"/>
      <c r="P1868" s="84"/>
      <c r="Q1868" s="84"/>
      <c r="R1868" s="84"/>
      <c r="S1868" s="84"/>
      <c r="T1868" s="84"/>
      <c r="U1868" s="84"/>
      <c r="V1868" s="84"/>
      <c r="W1868" s="84"/>
      <c r="X1868" s="84"/>
      <c r="Y1868" s="84"/>
      <c r="Z1868" s="87"/>
      <c r="AA1868" s="87"/>
      <c r="AB1868" s="87"/>
      <c r="AC1868" s="87"/>
      <c r="AD1868" s="87"/>
      <c r="AE1868" s="87"/>
      <c r="AF1868" s="87"/>
      <c r="AG1868" s="87"/>
      <c r="AH1868" s="87"/>
      <c r="AI1868" s="87"/>
      <c r="AJ1868" s="87"/>
      <c r="AK1868" s="87"/>
      <c r="AL1868" s="87"/>
      <c r="AM1868" s="87"/>
      <c r="AN1868" s="87"/>
      <c r="AO1868" s="87"/>
      <c r="AP1868" s="87"/>
      <c r="AQ1868" s="87"/>
      <c r="AR1868" s="87"/>
      <c r="AS1868" s="87"/>
      <c r="AT1868" s="87"/>
      <c r="AU1868" s="87"/>
      <c r="AV1868" s="87"/>
      <c r="AW1868" s="87"/>
      <c r="AX1868" s="87"/>
      <c r="AY1868" s="87"/>
      <c r="AZ1868" s="87"/>
      <c r="BA1868" s="87"/>
      <c r="BB1868" s="87"/>
      <c r="BC1868" s="87"/>
      <c r="BD1868" s="87"/>
      <c r="BE1868" s="87"/>
      <c r="BF1868" s="87"/>
      <c r="BG1868" s="87"/>
      <c r="BH1868" s="87"/>
    </row>
    <row r="1869" spans="1:60" ht="16">
      <c r="A1869" s="82"/>
      <c r="B1869" s="82"/>
      <c r="C1869" s="82"/>
      <c r="D1869" s="83"/>
      <c r="E1869" s="84"/>
      <c r="F1869" s="84"/>
      <c r="G1869" s="84"/>
      <c r="H1869" s="82"/>
      <c r="I1869" s="84"/>
      <c r="J1869" s="84"/>
      <c r="K1869" s="84"/>
      <c r="L1869" s="84"/>
      <c r="M1869" s="84"/>
      <c r="N1869" s="84"/>
      <c r="O1869" s="84"/>
      <c r="P1869" s="84"/>
      <c r="Q1869" s="84"/>
      <c r="R1869" s="84"/>
      <c r="S1869" s="84"/>
      <c r="T1869" s="84"/>
      <c r="U1869" s="84"/>
      <c r="V1869" s="84"/>
      <c r="W1869" s="84"/>
      <c r="X1869" s="84"/>
      <c r="Y1869" s="84"/>
      <c r="Z1869" s="87"/>
      <c r="AA1869" s="87"/>
      <c r="AB1869" s="87"/>
      <c r="AC1869" s="87"/>
      <c r="AD1869" s="87"/>
      <c r="AE1869" s="87"/>
      <c r="AF1869" s="87"/>
      <c r="AG1869" s="87"/>
      <c r="AH1869" s="87"/>
      <c r="AI1869" s="87"/>
      <c r="AJ1869" s="87"/>
      <c r="AK1869" s="87"/>
      <c r="AL1869" s="87"/>
      <c r="AM1869" s="87"/>
      <c r="AN1869" s="87"/>
      <c r="AO1869" s="87"/>
      <c r="AP1869" s="87"/>
      <c r="AQ1869" s="87"/>
      <c r="AR1869" s="87"/>
      <c r="AS1869" s="87"/>
      <c r="AT1869" s="87"/>
      <c r="AU1869" s="87"/>
      <c r="AV1869" s="87"/>
      <c r="AW1869" s="87"/>
      <c r="AX1869" s="87"/>
      <c r="AY1869" s="87"/>
      <c r="AZ1869" s="87"/>
      <c r="BA1869" s="87"/>
      <c r="BB1869" s="87"/>
      <c r="BC1869" s="87"/>
      <c r="BD1869" s="87"/>
      <c r="BE1869" s="87"/>
      <c r="BF1869" s="87"/>
      <c r="BG1869" s="87"/>
      <c r="BH1869" s="87"/>
    </row>
    <row r="1870" spans="1:60" ht="16">
      <c r="A1870" s="82"/>
      <c r="B1870" s="82"/>
      <c r="C1870" s="82"/>
      <c r="D1870" s="83"/>
      <c r="E1870" s="84"/>
      <c r="F1870" s="84"/>
      <c r="G1870" s="84"/>
      <c r="H1870" s="82"/>
      <c r="I1870" s="84"/>
      <c r="J1870" s="84"/>
      <c r="K1870" s="84"/>
      <c r="L1870" s="84"/>
      <c r="M1870" s="84"/>
      <c r="N1870" s="84"/>
      <c r="O1870" s="84"/>
      <c r="P1870" s="84"/>
      <c r="Q1870" s="84"/>
      <c r="R1870" s="84"/>
      <c r="S1870" s="84"/>
      <c r="T1870" s="84"/>
      <c r="U1870" s="84"/>
      <c r="V1870" s="84"/>
      <c r="W1870" s="84"/>
      <c r="X1870" s="84"/>
      <c r="Y1870" s="84"/>
      <c r="Z1870" s="87"/>
      <c r="AA1870" s="87"/>
      <c r="AB1870" s="87"/>
      <c r="AC1870" s="87"/>
      <c r="AD1870" s="87"/>
      <c r="AE1870" s="87"/>
      <c r="AF1870" s="87"/>
      <c r="AG1870" s="87"/>
      <c r="AH1870" s="87"/>
      <c r="AI1870" s="87"/>
      <c r="AJ1870" s="87"/>
      <c r="AK1870" s="87"/>
      <c r="AL1870" s="87"/>
      <c r="AM1870" s="87"/>
      <c r="AN1870" s="87"/>
      <c r="AO1870" s="87"/>
      <c r="AP1870" s="87"/>
      <c r="AQ1870" s="87"/>
      <c r="AR1870" s="87"/>
      <c r="AS1870" s="87"/>
      <c r="AT1870" s="87"/>
      <c r="AU1870" s="87"/>
      <c r="AV1870" s="87"/>
      <c r="AW1870" s="87"/>
      <c r="AX1870" s="87"/>
      <c r="AY1870" s="87"/>
      <c r="AZ1870" s="87"/>
      <c r="BA1870" s="87"/>
      <c r="BB1870" s="87"/>
      <c r="BC1870" s="87"/>
      <c r="BD1870" s="87"/>
      <c r="BE1870" s="87"/>
      <c r="BF1870" s="87"/>
      <c r="BG1870" s="87"/>
      <c r="BH1870" s="87"/>
    </row>
    <row r="1871" spans="1:60" ht="16">
      <c r="A1871" s="82"/>
      <c r="B1871" s="82"/>
      <c r="C1871" s="82"/>
      <c r="D1871" s="83"/>
      <c r="E1871" s="84"/>
      <c r="F1871" s="84"/>
      <c r="G1871" s="84"/>
      <c r="H1871" s="82"/>
      <c r="I1871" s="84"/>
      <c r="J1871" s="84"/>
      <c r="K1871" s="84"/>
      <c r="L1871" s="84"/>
      <c r="M1871" s="84"/>
      <c r="N1871" s="84"/>
      <c r="O1871" s="84"/>
      <c r="P1871" s="84"/>
      <c r="Q1871" s="84"/>
      <c r="R1871" s="84"/>
      <c r="S1871" s="84"/>
      <c r="T1871" s="84"/>
      <c r="U1871" s="84"/>
      <c r="V1871" s="84"/>
      <c r="W1871" s="84"/>
      <c r="X1871" s="84"/>
      <c r="Y1871" s="84"/>
      <c r="Z1871" s="87"/>
      <c r="AA1871" s="87"/>
      <c r="AB1871" s="87"/>
      <c r="AC1871" s="87"/>
      <c r="AD1871" s="87"/>
      <c r="AE1871" s="87"/>
      <c r="AF1871" s="87"/>
      <c r="AG1871" s="87"/>
      <c r="AH1871" s="87"/>
      <c r="AI1871" s="87"/>
      <c r="AJ1871" s="87"/>
      <c r="AK1871" s="87"/>
      <c r="AL1871" s="87"/>
      <c r="AM1871" s="87"/>
      <c r="AN1871" s="87"/>
      <c r="AO1871" s="87"/>
      <c r="AP1871" s="87"/>
      <c r="AQ1871" s="87"/>
      <c r="AR1871" s="87"/>
      <c r="AS1871" s="87"/>
      <c r="AT1871" s="87"/>
      <c r="AU1871" s="87"/>
      <c r="AV1871" s="87"/>
      <c r="AW1871" s="87"/>
      <c r="AX1871" s="87"/>
      <c r="AY1871" s="87"/>
      <c r="AZ1871" s="87"/>
      <c r="BA1871" s="87"/>
      <c r="BB1871" s="87"/>
      <c r="BC1871" s="87"/>
      <c r="BD1871" s="87"/>
      <c r="BE1871" s="87"/>
      <c r="BF1871" s="87"/>
      <c r="BG1871" s="87"/>
      <c r="BH1871" s="87"/>
    </row>
    <row r="1872" spans="1:60" ht="16">
      <c r="A1872" s="82"/>
      <c r="B1872" s="82"/>
      <c r="C1872" s="82"/>
      <c r="D1872" s="83"/>
      <c r="E1872" s="84"/>
      <c r="F1872" s="84"/>
      <c r="G1872" s="84"/>
      <c r="H1872" s="82"/>
      <c r="I1872" s="84"/>
      <c r="J1872" s="84"/>
      <c r="K1872" s="84"/>
      <c r="L1872" s="84"/>
      <c r="M1872" s="84"/>
      <c r="N1872" s="84"/>
      <c r="O1872" s="84"/>
      <c r="P1872" s="84"/>
      <c r="Q1872" s="84"/>
      <c r="R1872" s="84"/>
      <c r="S1872" s="84"/>
      <c r="T1872" s="84"/>
      <c r="U1872" s="84"/>
      <c r="V1872" s="84"/>
      <c r="W1872" s="84"/>
      <c r="X1872" s="84"/>
      <c r="Y1872" s="84"/>
      <c r="Z1872" s="87"/>
      <c r="AA1872" s="87"/>
      <c r="AB1872" s="87"/>
      <c r="AC1872" s="87"/>
      <c r="AD1872" s="87"/>
      <c r="AE1872" s="87"/>
      <c r="AF1872" s="87"/>
      <c r="AG1872" s="87"/>
      <c r="AH1872" s="87"/>
      <c r="AI1872" s="87"/>
      <c r="AJ1872" s="87"/>
      <c r="AK1872" s="87"/>
      <c r="AL1872" s="87"/>
      <c r="AM1872" s="87"/>
      <c r="AN1872" s="87"/>
      <c r="AO1872" s="87"/>
      <c r="AP1872" s="87"/>
      <c r="AQ1872" s="87"/>
      <c r="AR1872" s="87"/>
      <c r="AS1872" s="87"/>
      <c r="AT1872" s="87"/>
      <c r="AU1872" s="87"/>
      <c r="AV1872" s="87"/>
      <c r="AW1872" s="87"/>
      <c r="AX1872" s="87"/>
      <c r="AY1872" s="87"/>
      <c r="AZ1872" s="87"/>
      <c r="BA1872" s="87"/>
      <c r="BB1872" s="87"/>
      <c r="BC1872" s="87"/>
      <c r="BD1872" s="87"/>
      <c r="BE1872" s="87"/>
      <c r="BF1872" s="87"/>
      <c r="BG1872" s="87"/>
      <c r="BH1872" s="87"/>
    </row>
    <row r="1873" spans="1:60" ht="16">
      <c r="A1873" s="82"/>
      <c r="B1873" s="82"/>
      <c r="C1873" s="82"/>
      <c r="D1873" s="83"/>
      <c r="E1873" s="84"/>
      <c r="F1873" s="84"/>
      <c r="G1873" s="84"/>
      <c r="H1873" s="82"/>
      <c r="I1873" s="84"/>
      <c r="J1873" s="84"/>
      <c r="K1873" s="84"/>
      <c r="L1873" s="84"/>
      <c r="M1873" s="84"/>
      <c r="N1873" s="84"/>
      <c r="O1873" s="84"/>
      <c r="P1873" s="84"/>
      <c r="Q1873" s="84"/>
      <c r="R1873" s="84"/>
      <c r="S1873" s="84"/>
      <c r="T1873" s="84"/>
      <c r="U1873" s="84"/>
      <c r="V1873" s="84"/>
      <c r="W1873" s="84"/>
      <c r="X1873" s="84"/>
      <c r="Y1873" s="84"/>
      <c r="Z1873" s="87"/>
      <c r="AA1873" s="87"/>
      <c r="AB1873" s="87"/>
      <c r="AC1873" s="87"/>
      <c r="AD1873" s="87"/>
      <c r="AE1873" s="87"/>
      <c r="AF1873" s="87"/>
      <c r="AG1873" s="87"/>
      <c r="AH1873" s="87"/>
      <c r="AI1873" s="87"/>
      <c r="AJ1873" s="87"/>
      <c r="AK1873" s="87"/>
      <c r="AL1873" s="87"/>
      <c r="AM1873" s="87"/>
      <c r="AN1873" s="87"/>
      <c r="AO1873" s="87"/>
      <c r="AP1873" s="87"/>
      <c r="AQ1873" s="87"/>
      <c r="AR1873" s="87"/>
      <c r="AS1873" s="87"/>
      <c r="AT1873" s="87"/>
      <c r="AU1873" s="87"/>
      <c r="AV1873" s="87"/>
      <c r="AW1873" s="87"/>
      <c r="AX1873" s="87"/>
      <c r="AY1873" s="87"/>
      <c r="AZ1873" s="87"/>
      <c r="BA1873" s="87"/>
      <c r="BB1873" s="87"/>
      <c r="BC1873" s="87"/>
      <c r="BD1873" s="87"/>
      <c r="BE1873" s="87"/>
      <c r="BF1873" s="87"/>
      <c r="BG1873" s="87"/>
      <c r="BH1873" s="87"/>
    </row>
    <row r="1874" spans="1:60" ht="16">
      <c r="A1874" s="82"/>
      <c r="B1874" s="82"/>
      <c r="C1874" s="82"/>
      <c r="D1874" s="83"/>
      <c r="E1874" s="84"/>
      <c r="F1874" s="84"/>
      <c r="G1874" s="84"/>
      <c r="H1874" s="82"/>
      <c r="I1874" s="84"/>
      <c r="J1874" s="84"/>
      <c r="K1874" s="84"/>
      <c r="L1874" s="84"/>
      <c r="M1874" s="84"/>
      <c r="N1874" s="84"/>
      <c r="O1874" s="84"/>
      <c r="P1874" s="84"/>
      <c r="Q1874" s="84"/>
      <c r="R1874" s="84"/>
      <c r="S1874" s="84"/>
      <c r="T1874" s="84"/>
      <c r="U1874" s="84"/>
      <c r="V1874" s="84"/>
      <c r="W1874" s="84"/>
      <c r="X1874" s="84"/>
      <c r="Y1874" s="84"/>
      <c r="Z1874" s="87"/>
      <c r="AA1874" s="87"/>
      <c r="AB1874" s="87"/>
      <c r="AC1874" s="87"/>
      <c r="AD1874" s="87"/>
      <c r="AE1874" s="87"/>
      <c r="AF1874" s="87"/>
      <c r="AG1874" s="87"/>
      <c r="AH1874" s="87"/>
      <c r="AI1874" s="87"/>
      <c r="AJ1874" s="87"/>
      <c r="AK1874" s="87"/>
      <c r="AL1874" s="87"/>
      <c r="AM1874" s="87"/>
      <c r="AN1874" s="87"/>
      <c r="AO1874" s="87"/>
      <c r="AP1874" s="87"/>
      <c r="AQ1874" s="87"/>
      <c r="AR1874" s="87"/>
      <c r="AS1874" s="87"/>
      <c r="AT1874" s="87"/>
      <c r="AU1874" s="87"/>
      <c r="AV1874" s="87"/>
      <c r="AW1874" s="87"/>
      <c r="AX1874" s="87"/>
      <c r="AY1874" s="87"/>
      <c r="AZ1874" s="87"/>
      <c r="BA1874" s="87"/>
      <c r="BB1874" s="87"/>
      <c r="BC1874" s="87"/>
      <c r="BD1874" s="87"/>
      <c r="BE1874" s="87"/>
      <c r="BF1874" s="87"/>
      <c r="BG1874" s="87"/>
      <c r="BH1874" s="87"/>
    </row>
    <row r="1875" spans="1:60" ht="16">
      <c r="A1875" s="82"/>
      <c r="B1875" s="82"/>
      <c r="C1875" s="82"/>
      <c r="D1875" s="83"/>
      <c r="E1875" s="84"/>
      <c r="F1875" s="84"/>
      <c r="G1875" s="84"/>
      <c r="H1875" s="82"/>
      <c r="I1875" s="84"/>
      <c r="J1875" s="84"/>
      <c r="K1875" s="84"/>
      <c r="L1875" s="84"/>
      <c r="M1875" s="84"/>
      <c r="N1875" s="84"/>
      <c r="O1875" s="84"/>
      <c r="P1875" s="84"/>
      <c r="Q1875" s="84"/>
      <c r="R1875" s="84"/>
      <c r="S1875" s="84"/>
      <c r="T1875" s="84"/>
      <c r="U1875" s="84"/>
      <c r="V1875" s="84"/>
      <c r="W1875" s="84"/>
      <c r="X1875" s="84"/>
      <c r="Y1875" s="84"/>
      <c r="Z1875" s="87"/>
      <c r="AA1875" s="87"/>
      <c r="AB1875" s="87"/>
      <c r="AC1875" s="87"/>
      <c r="AD1875" s="87"/>
      <c r="AE1875" s="87"/>
      <c r="AF1875" s="87"/>
      <c r="AG1875" s="87"/>
      <c r="AH1875" s="87"/>
      <c r="AI1875" s="87"/>
      <c r="AJ1875" s="87"/>
      <c r="AK1875" s="87"/>
      <c r="AL1875" s="87"/>
      <c r="AM1875" s="87"/>
      <c r="AN1875" s="87"/>
      <c r="AO1875" s="87"/>
      <c r="AP1875" s="87"/>
      <c r="AQ1875" s="87"/>
      <c r="AR1875" s="87"/>
      <c r="AS1875" s="87"/>
      <c r="AT1875" s="87"/>
      <c r="AU1875" s="87"/>
      <c r="AV1875" s="87"/>
      <c r="AW1875" s="87"/>
      <c r="AX1875" s="87"/>
      <c r="AY1875" s="87"/>
      <c r="AZ1875" s="87"/>
      <c r="BA1875" s="87"/>
      <c r="BB1875" s="87"/>
      <c r="BC1875" s="87"/>
      <c r="BD1875" s="87"/>
      <c r="BE1875" s="87"/>
      <c r="BF1875" s="87"/>
      <c r="BG1875" s="87"/>
      <c r="BH1875" s="87"/>
    </row>
    <row r="1876" spans="1:60" ht="16">
      <c r="A1876" s="82"/>
      <c r="B1876" s="82"/>
      <c r="C1876" s="82"/>
      <c r="D1876" s="83"/>
      <c r="E1876" s="84"/>
      <c r="F1876" s="84"/>
      <c r="G1876" s="84"/>
      <c r="H1876" s="82"/>
      <c r="I1876" s="84"/>
      <c r="J1876" s="84"/>
      <c r="K1876" s="84"/>
      <c r="L1876" s="84"/>
      <c r="M1876" s="84"/>
      <c r="N1876" s="84"/>
      <c r="O1876" s="84"/>
      <c r="P1876" s="84"/>
      <c r="Q1876" s="84"/>
      <c r="R1876" s="84"/>
      <c r="S1876" s="84"/>
      <c r="T1876" s="84"/>
      <c r="U1876" s="84"/>
      <c r="V1876" s="84"/>
      <c r="W1876" s="84"/>
      <c r="X1876" s="84"/>
      <c r="Y1876" s="84"/>
      <c r="Z1876" s="87"/>
      <c r="AA1876" s="87"/>
      <c r="AB1876" s="87"/>
      <c r="AC1876" s="87"/>
      <c r="AD1876" s="87"/>
      <c r="AE1876" s="87"/>
      <c r="AF1876" s="87"/>
      <c r="AG1876" s="87"/>
      <c r="AH1876" s="87"/>
      <c r="AI1876" s="87"/>
      <c r="AJ1876" s="87"/>
      <c r="AK1876" s="87"/>
      <c r="AL1876" s="87"/>
      <c r="AM1876" s="87"/>
      <c r="AN1876" s="87"/>
      <c r="AO1876" s="87"/>
      <c r="AP1876" s="87"/>
      <c r="AQ1876" s="87"/>
      <c r="AR1876" s="87"/>
      <c r="AS1876" s="87"/>
      <c r="AT1876" s="87"/>
      <c r="AU1876" s="87"/>
      <c r="AV1876" s="87"/>
      <c r="AW1876" s="87"/>
      <c r="AX1876" s="87"/>
      <c r="AY1876" s="87"/>
      <c r="AZ1876" s="87"/>
      <c r="BA1876" s="87"/>
      <c r="BB1876" s="87"/>
      <c r="BC1876" s="87"/>
      <c r="BD1876" s="87"/>
      <c r="BE1876" s="87"/>
      <c r="BF1876" s="87"/>
      <c r="BG1876" s="87"/>
      <c r="BH1876" s="87"/>
    </row>
    <row r="1877" spans="1:60" ht="16">
      <c r="A1877" s="82"/>
      <c r="B1877" s="82"/>
      <c r="C1877" s="82"/>
      <c r="D1877" s="83"/>
      <c r="E1877" s="84"/>
      <c r="F1877" s="84"/>
      <c r="G1877" s="84"/>
      <c r="H1877" s="82"/>
      <c r="I1877" s="84"/>
      <c r="J1877" s="84"/>
      <c r="K1877" s="84"/>
      <c r="L1877" s="84"/>
      <c r="M1877" s="84"/>
      <c r="N1877" s="84"/>
      <c r="O1877" s="84"/>
      <c r="P1877" s="84"/>
      <c r="Q1877" s="84"/>
      <c r="R1877" s="84"/>
      <c r="S1877" s="84"/>
      <c r="T1877" s="84"/>
      <c r="U1877" s="84"/>
      <c r="V1877" s="84"/>
      <c r="W1877" s="84"/>
      <c r="X1877" s="84"/>
      <c r="Y1877" s="84"/>
      <c r="Z1877" s="87"/>
      <c r="AA1877" s="87"/>
      <c r="AB1877" s="87"/>
      <c r="AC1877" s="87"/>
      <c r="AD1877" s="87"/>
      <c r="AE1877" s="87"/>
      <c r="AF1877" s="87"/>
      <c r="AG1877" s="87"/>
      <c r="AH1877" s="87"/>
      <c r="AI1877" s="87"/>
      <c r="AJ1877" s="87"/>
      <c r="AK1877" s="87"/>
      <c r="AL1877" s="87"/>
      <c r="AM1877" s="87"/>
      <c r="AN1877" s="87"/>
      <c r="AO1877" s="87"/>
      <c r="AP1877" s="87"/>
      <c r="AQ1877" s="87"/>
      <c r="AR1877" s="87"/>
      <c r="AS1877" s="87"/>
      <c r="AT1877" s="87"/>
      <c r="AU1877" s="87"/>
      <c r="AV1877" s="87"/>
      <c r="AW1877" s="87"/>
      <c r="AX1877" s="87"/>
      <c r="AY1877" s="87"/>
      <c r="AZ1877" s="87"/>
      <c r="BA1877" s="87"/>
      <c r="BB1877" s="87"/>
      <c r="BC1877" s="87"/>
      <c r="BD1877" s="87"/>
      <c r="BE1877" s="87"/>
      <c r="BF1877" s="87"/>
      <c r="BG1877" s="87"/>
      <c r="BH1877" s="87"/>
    </row>
    <row r="1878" spans="1:60" ht="16">
      <c r="A1878" s="82"/>
      <c r="B1878" s="82"/>
      <c r="C1878" s="82"/>
      <c r="D1878" s="83"/>
      <c r="E1878" s="84"/>
      <c r="F1878" s="84"/>
      <c r="G1878" s="84"/>
      <c r="H1878" s="82"/>
      <c r="I1878" s="84"/>
      <c r="J1878" s="84"/>
      <c r="K1878" s="84"/>
      <c r="L1878" s="84"/>
      <c r="M1878" s="84"/>
      <c r="N1878" s="84"/>
      <c r="O1878" s="84"/>
      <c r="P1878" s="84"/>
      <c r="Q1878" s="84"/>
      <c r="R1878" s="84"/>
      <c r="S1878" s="84"/>
      <c r="T1878" s="84"/>
      <c r="U1878" s="84"/>
      <c r="V1878" s="84"/>
      <c r="W1878" s="84"/>
      <c r="X1878" s="84"/>
      <c r="Y1878" s="84"/>
      <c r="Z1878" s="87"/>
      <c r="AA1878" s="87"/>
      <c r="AB1878" s="87"/>
      <c r="AC1878" s="87"/>
      <c r="AD1878" s="87"/>
      <c r="AE1878" s="87"/>
      <c r="AF1878" s="87"/>
      <c r="AG1878" s="87"/>
      <c r="AH1878" s="87"/>
      <c r="AI1878" s="87"/>
      <c r="AJ1878" s="87"/>
      <c r="AK1878" s="87"/>
      <c r="AL1878" s="87"/>
      <c r="AM1878" s="87"/>
      <c r="AN1878" s="87"/>
      <c r="AO1878" s="87"/>
      <c r="AP1878" s="87"/>
      <c r="AQ1878" s="87"/>
      <c r="AR1878" s="87"/>
      <c r="AS1878" s="87"/>
      <c r="AT1878" s="87"/>
      <c r="AU1878" s="87"/>
      <c r="AV1878" s="87"/>
      <c r="AW1878" s="87"/>
      <c r="AX1878" s="87"/>
      <c r="AY1878" s="87"/>
      <c r="AZ1878" s="87"/>
      <c r="BA1878" s="87"/>
      <c r="BB1878" s="87"/>
      <c r="BC1878" s="87"/>
      <c r="BD1878" s="87"/>
      <c r="BE1878" s="87"/>
      <c r="BF1878" s="87"/>
      <c r="BG1878" s="87"/>
      <c r="BH1878" s="87"/>
    </row>
    <row r="1879" spans="1:60" ht="16">
      <c r="A1879" s="82"/>
      <c r="B1879" s="82"/>
      <c r="C1879" s="82"/>
      <c r="D1879" s="83"/>
      <c r="E1879" s="84"/>
      <c r="F1879" s="84"/>
      <c r="G1879" s="84"/>
      <c r="H1879" s="82"/>
      <c r="I1879" s="84"/>
      <c r="J1879" s="84"/>
      <c r="K1879" s="84"/>
      <c r="L1879" s="84"/>
      <c r="M1879" s="84"/>
      <c r="N1879" s="84"/>
      <c r="O1879" s="84"/>
      <c r="P1879" s="84"/>
      <c r="Q1879" s="84"/>
      <c r="R1879" s="84"/>
      <c r="S1879" s="84"/>
      <c r="T1879" s="84"/>
      <c r="U1879" s="84"/>
      <c r="V1879" s="84"/>
      <c r="W1879" s="84"/>
      <c r="X1879" s="84"/>
      <c r="Y1879" s="84"/>
      <c r="Z1879" s="87"/>
      <c r="AA1879" s="87"/>
      <c r="AB1879" s="87"/>
      <c r="AC1879" s="87"/>
      <c r="AD1879" s="87"/>
      <c r="AE1879" s="87"/>
      <c r="AF1879" s="87"/>
      <c r="AG1879" s="87"/>
      <c r="AH1879" s="87"/>
      <c r="AI1879" s="87"/>
      <c r="AJ1879" s="87"/>
      <c r="AK1879" s="87"/>
      <c r="AL1879" s="87"/>
      <c r="AM1879" s="87"/>
      <c r="AN1879" s="87"/>
      <c r="AO1879" s="87"/>
      <c r="AP1879" s="87"/>
      <c r="AQ1879" s="87"/>
      <c r="AR1879" s="87"/>
      <c r="AS1879" s="87"/>
      <c r="AT1879" s="87"/>
      <c r="AU1879" s="87"/>
      <c r="AV1879" s="87"/>
      <c r="AW1879" s="87"/>
      <c r="AX1879" s="87"/>
      <c r="AY1879" s="87"/>
      <c r="AZ1879" s="87"/>
      <c r="BA1879" s="87"/>
      <c r="BB1879" s="87"/>
      <c r="BC1879" s="87"/>
      <c r="BD1879" s="87"/>
      <c r="BE1879" s="87"/>
      <c r="BF1879" s="87"/>
      <c r="BG1879" s="87"/>
      <c r="BH1879" s="87"/>
    </row>
    <row r="1880" spans="1:60" ht="16">
      <c r="A1880" s="82"/>
      <c r="B1880" s="82"/>
      <c r="C1880" s="82"/>
      <c r="D1880" s="83"/>
      <c r="E1880" s="84"/>
      <c r="F1880" s="84"/>
      <c r="G1880" s="84"/>
      <c r="H1880" s="82"/>
      <c r="I1880" s="84"/>
      <c r="J1880" s="84"/>
      <c r="K1880" s="84"/>
      <c r="L1880" s="84"/>
      <c r="M1880" s="84"/>
      <c r="N1880" s="84"/>
      <c r="O1880" s="84"/>
      <c r="P1880" s="84"/>
      <c r="Q1880" s="84"/>
      <c r="R1880" s="84"/>
      <c r="S1880" s="84"/>
      <c r="T1880" s="84"/>
      <c r="U1880" s="84"/>
      <c r="V1880" s="84"/>
      <c r="W1880" s="84"/>
      <c r="X1880" s="84"/>
      <c r="Y1880" s="84"/>
      <c r="Z1880" s="87"/>
      <c r="AA1880" s="87"/>
      <c r="AB1880" s="87"/>
      <c r="AC1880" s="87"/>
      <c r="AD1880" s="87"/>
      <c r="AE1880" s="87"/>
      <c r="AF1880" s="87"/>
      <c r="AG1880" s="87"/>
      <c r="AH1880" s="87"/>
      <c r="AI1880" s="87"/>
      <c r="AJ1880" s="87"/>
      <c r="AK1880" s="87"/>
      <c r="AL1880" s="87"/>
      <c r="AM1880" s="87"/>
      <c r="AN1880" s="87"/>
      <c r="AO1880" s="87"/>
      <c r="AP1880" s="87"/>
      <c r="AQ1880" s="87"/>
      <c r="AR1880" s="87"/>
      <c r="AS1880" s="87"/>
      <c r="AT1880" s="87"/>
      <c r="AU1880" s="87"/>
      <c r="AV1880" s="87"/>
      <c r="AW1880" s="87"/>
      <c r="AX1880" s="87"/>
      <c r="AY1880" s="87"/>
      <c r="AZ1880" s="87"/>
      <c r="BA1880" s="87"/>
      <c r="BB1880" s="87"/>
      <c r="BC1880" s="87"/>
      <c r="BD1880" s="87"/>
      <c r="BE1880" s="87"/>
      <c r="BF1880" s="87"/>
      <c r="BG1880" s="87"/>
      <c r="BH1880" s="87"/>
    </row>
    <row r="1881" spans="1:60" ht="16">
      <c r="A1881" s="82"/>
      <c r="B1881" s="82"/>
      <c r="C1881" s="82"/>
      <c r="D1881" s="83"/>
      <c r="E1881" s="84"/>
      <c r="F1881" s="84"/>
      <c r="G1881" s="84"/>
      <c r="H1881" s="82"/>
      <c r="I1881" s="84"/>
      <c r="J1881" s="84"/>
      <c r="K1881" s="84"/>
      <c r="L1881" s="84"/>
      <c r="M1881" s="84"/>
      <c r="N1881" s="84"/>
      <c r="O1881" s="84"/>
      <c r="P1881" s="84"/>
      <c r="Q1881" s="84"/>
      <c r="R1881" s="84"/>
      <c r="S1881" s="84"/>
      <c r="T1881" s="84"/>
      <c r="U1881" s="84"/>
      <c r="V1881" s="84"/>
      <c r="W1881" s="84"/>
      <c r="X1881" s="84"/>
      <c r="Y1881" s="84"/>
      <c r="Z1881" s="87"/>
      <c r="AA1881" s="87"/>
      <c r="AB1881" s="87"/>
      <c r="AC1881" s="87"/>
      <c r="AD1881" s="87"/>
      <c r="AE1881" s="87"/>
      <c r="AF1881" s="87"/>
      <c r="AG1881" s="87"/>
      <c r="AH1881" s="87"/>
      <c r="AI1881" s="87"/>
      <c r="AJ1881" s="87"/>
      <c r="AK1881" s="87"/>
      <c r="AL1881" s="87"/>
      <c r="AM1881" s="87"/>
      <c r="AN1881" s="87"/>
      <c r="AO1881" s="87"/>
      <c r="AP1881" s="87"/>
      <c r="AQ1881" s="87"/>
      <c r="AR1881" s="87"/>
      <c r="AS1881" s="87"/>
      <c r="AT1881" s="87"/>
      <c r="AU1881" s="87"/>
      <c r="AV1881" s="87"/>
      <c r="AW1881" s="87"/>
      <c r="AX1881" s="87"/>
      <c r="AY1881" s="87"/>
      <c r="AZ1881" s="87"/>
      <c r="BA1881" s="87"/>
      <c r="BB1881" s="87"/>
      <c r="BC1881" s="87"/>
      <c r="BD1881" s="87"/>
      <c r="BE1881" s="87"/>
      <c r="BF1881" s="87"/>
      <c r="BG1881" s="87"/>
      <c r="BH1881" s="87"/>
    </row>
    <row r="1882" spans="1:60" ht="16">
      <c r="A1882" s="82"/>
      <c r="B1882" s="82"/>
      <c r="C1882" s="82"/>
      <c r="D1882" s="83"/>
      <c r="E1882" s="84"/>
      <c r="F1882" s="84"/>
      <c r="G1882" s="84"/>
      <c r="H1882" s="82"/>
      <c r="I1882" s="84"/>
      <c r="J1882" s="84"/>
      <c r="K1882" s="84"/>
      <c r="L1882" s="84"/>
      <c r="M1882" s="84"/>
      <c r="N1882" s="84"/>
      <c r="O1882" s="84"/>
      <c r="P1882" s="84"/>
      <c r="Q1882" s="84"/>
      <c r="R1882" s="84"/>
      <c r="S1882" s="84"/>
      <c r="T1882" s="84"/>
      <c r="U1882" s="84"/>
      <c r="V1882" s="84"/>
      <c r="W1882" s="84"/>
      <c r="X1882" s="84"/>
      <c r="Y1882" s="84"/>
      <c r="Z1882" s="87"/>
      <c r="AA1882" s="87"/>
      <c r="AB1882" s="87"/>
      <c r="AC1882" s="87"/>
      <c r="AD1882" s="87"/>
      <c r="AE1882" s="87"/>
      <c r="AF1882" s="87"/>
      <c r="AG1882" s="87"/>
      <c r="AH1882" s="87"/>
      <c r="AI1882" s="87"/>
      <c r="AJ1882" s="87"/>
      <c r="AK1882" s="87"/>
      <c r="AL1882" s="87"/>
      <c r="AM1882" s="87"/>
      <c r="AN1882" s="87"/>
      <c r="AO1882" s="87"/>
      <c r="AP1882" s="87"/>
      <c r="AQ1882" s="87"/>
      <c r="AR1882" s="87"/>
      <c r="AS1882" s="87"/>
      <c r="AT1882" s="87"/>
      <c r="AU1882" s="87"/>
      <c r="AV1882" s="87"/>
      <c r="AW1882" s="87"/>
      <c r="AX1882" s="87"/>
      <c r="AY1882" s="87"/>
      <c r="AZ1882" s="87"/>
      <c r="BA1882" s="87"/>
      <c r="BB1882" s="87"/>
      <c r="BC1882" s="87"/>
      <c r="BD1882" s="87"/>
      <c r="BE1882" s="87"/>
      <c r="BF1882" s="87"/>
      <c r="BG1882" s="87"/>
      <c r="BH1882" s="87"/>
    </row>
    <row r="1883" spans="1:60" ht="16">
      <c r="A1883" s="82"/>
      <c r="B1883" s="82"/>
      <c r="C1883" s="82"/>
      <c r="D1883" s="83"/>
      <c r="E1883" s="84"/>
      <c r="F1883" s="84"/>
      <c r="G1883" s="84"/>
      <c r="H1883" s="82"/>
      <c r="I1883" s="84"/>
      <c r="J1883" s="84"/>
      <c r="K1883" s="84"/>
      <c r="L1883" s="84"/>
      <c r="M1883" s="84"/>
      <c r="N1883" s="84"/>
      <c r="O1883" s="84"/>
      <c r="P1883" s="84"/>
      <c r="Q1883" s="84"/>
      <c r="R1883" s="84"/>
      <c r="S1883" s="84"/>
      <c r="T1883" s="84"/>
      <c r="U1883" s="84"/>
      <c r="V1883" s="84"/>
      <c r="W1883" s="84"/>
      <c r="X1883" s="84"/>
      <c r="Y1883" s="84"/>
      <c r="Z1883" s="87"/>
      <c r="AA1883" s="87"/>
      <c r="AB1883" s="87"/>
      <c r="AC1883" s="87"/>
      <c r="AD1883" s="87"/>
      <c r="AE1883" s="87"/>
      <c r="AF1883" s="87"/>
      <c r="AG1883" s="87"/>
      <c r="AH1883" s="87"/>
      <c r="AI1883" s="87"/>
      <c r="AJ1883" s="87"/>
      <c r="AK1883" s="87"/>
      <c r="AL1883" s="87"/>
      <c r="AM1883" s="87"/>
      <c r="AN1883" s="87"/>
      <c r="AO1883" s="87"/>
      <c r="AP1883" s="87"/>
      <c r="AQ1883" s="87"/>
      <c r="AR1883" s="87"/>
      <c r="AS1883" s="87"/>
      <c r="AT1883" s="87"/>
      <c r="AU1883" s="87"/>
      <c r="AV1883" s="87"/>
      <c r="AW1883" s="87"/>
      <c r="AX1883" s="87"/>
      <c r="AY1883" s="87"/>
      <c r="AZ1883" s="87"/>
      <c r="BA1883" s="87"/>
      <c r="BB1883" s="87"/>
      <c r="BC1883" s="87"/>
      <c r="BD1883" s="87"/>
      <c r="BE1883" s="87"/>
      <c r="BF1883" s="87"/>
      <c r="BG1883" s="87"/>
      <c r="BH1883" s="87"/>
    </row>
    <row r="1884" spans="1:60" ht="16">
      <c r="A1884" s="82"/>
      <c r="B1884" s="82"/>
      <c r="C1884" s="82"/>
      <c r="D1884" s="83"/>
      <c r="E1884" s="84"/>
      <c r="F1884" s="84"/>
      <c r="G1884" s="84"/>
      <c r="H1884" s="82"/>
      <c r="I1884" s="84"/>
      <c r="J1884" s="84"/>
      <c r="K1884" s="84"/>
      <c r="L1884" s="84"/>
      <c r="M1884" s="84"/>
      <c r="N1884" s="84"/>
      <c r="O1884" s="84"/>
      <c r="P1884" s="84"/>
      <c r="Q1884" s="84"/>
      <c r="R1884" s="84"/>
      <c r="S1884" s="84"/>
      <c r="T1884" s="84"/>
      <c r="U1884" s="84"/>
      <c r="V1884" s="84"/>
      <c r="W1884" s="84"/>
      <c r="X1884" s="84"/>
      <c r="Y1884" s="84"/>
      <c r="Z1884" s="87"/>
      <c r="AA1884" s="87"/>
      <c r="AB1884" s="87"/>
      <c r="AC1884" s="87"/>
      <c r="AD1884" s="87"/>
      <c r="AE1884" s="87"/>
      <c r="AF1884" s="87"/>
      <c r="AG1884" s="87"/>
      <c r="AH1884" s="87"/>
      <c r="AI1884" s="87"/>
      <c r="AJ1884" s="87"/>
      <c r="AK1884" s="87"/>
      <c r="AL1884" s="87"/>
      <c r="AM1884" s="87"/>
      <c r="AN1884" s="87"/>
      <c r="AO1884" s="87"/>
      <c r="AP1884" s="87"/>
      <c r="AQ1884" s="87"/>
      <c r="AR1884" s="87"/>
      <c r="AS1884" s="87"/>
      <c r="AT1884" s="87"/>
      <c r="AU1884" s="87"/>
      <c r="AV1884" s="87"/>
      <c r="AW1884" s="87"/>
      <c r="AX1884" s="87"/>
      <c r="AY1884" s="87"/>
      <c r="AZ1884" s="87"/>
      <c r="BA1884" s="87"/>
      <c r="BB1884" s="87"/>
      <c r="BC1884" s="87"/>
      <c r="BD1884" s="87"/>
      <c r="BE1884" s="87"/>
      <c r="BF1884" s="87"/>
      <c r="BG1884" s="87"/>
      <c r="BH1884" s="87"/>
    </row>
    <row r="1885" spans="1:60" ht="16">
      <c r="A1885" s="82"/>
      <c r="B1885" s="82"/>
      <c r="C1885" s="82"/>
      <c r="D1885" s="83"/>
      <c r="E1885" s="84"/>
      <c r="F1885" s="84"/>
      <c r="G1885" s="84"/>
      <c r="H1885" s="82"/>
      <c r="I1885" s="84"/>
      <c r="J1885" s="84"/>
      <c r="K1885" s="84"/>
      <c r="L1885" s="84"/>
      <c r="M1885" s="84"/>
      <c r="N1885" s="84"/>
      <c r="O1885" s="84"/>
      <c r="P1885" s="84"/>
      <c r="Q1885" s="84"/>
      <c r="R1885" s="84"/>
      <c r="S1885" s="84"/>
      <c r="T1885" s="84"/>
      <c r="U1885" s="84"/>
      <c r="V1885" s="84"/>
      <c r="W1885" s="84"/>
      <c r="X1885" s="84"/>
      <c r="Y1885" s="84"/>
      <c r="Z1885" s="87"/>
      <c r="AA1885" s="87"/>
      <c r="AB1885" s="87"/>
      <c r="AC1885" s="87"/>
      <c r="AD1885" s="87"/>
      <c r="AE1885" s="87"/>
      <c r="AF1885" s="87"/>
      <c r="AG1885" s="87"/>
      <c r="AH1885" s="87"/>
      <c r="AI1885" s="87"/>
      <c r="AJ1885" s="87"/>
      <c r="AK1885" s="87"/>
      <c r="AL1885" s="87"/>
      <c r="AM1885" s="87"/>
      <c r="AN1885" s="87"/>
      <c r="AO1885" s="87"/>
      <c r="AP1885" s="87"/>
      <c r="AQ1885" s="87"/>
      <c r="AR1885" s="87"/>
      <c r="AS1885" s="87"/>
      <c r="AT1885" s="87"/>
      <c r="AU1885" s="87"/>
      <c r="AV1885" s="87"/>
      <c r="AW1885" s="87"/>
      <c r="AX1885" s="87"/>
      <c r="AY1885" s="87"/>
      <c r="AZ1885" s="87"/>
      <c r="BA1885" s="87"/>
      <c r="BB1885" s="87"/>
      <c r="BC1885" s="87"/>
      <c r="BD1885" s="87"/>
      <c r="BE1885" s="87"/>
      <c r="BF1885" s="87"/>
      <c r="BG1885" s="87"/>
      <c r="BH1885" s="87"/>
    </row>
    <row r="1886" spans="1:60" ht="16">
      <c r="A1886" s="82"/>
      <c r="B1886" s="82"/>
      <c r="C1886" s="82"/>
      <c r="D1886" s="83"/>
      <c r="E1886" s="84"/>
      <c r="F1886" s="84"/>
      <c r="G1886" s="84"/>
      <c r="H1886" s="82"/>
      <c r="I1886" s="84"/>
      <c r="J1886" s="84"/>
      <c r="K1886" s="84"/>
      <c r="L1886" s="84"/>
      <c r="M1886" s="84"/>
      <c r="N1886" s="84"/>
      <c r="O1886" s="84"/>
      <c r="P1886" s="84"/>
      <c r="Q1886" s="84"/>
      <c r="R1886" s="84"/>
      <c r="S1886" s="84"/>
      <c r="T1886" s="84"/>
      <c r="U1886" s="84"/>
      <c r="V1886" s="84"/>
      <c r="W1886" s="84"/>
      <c r="X1886" s="84"/>
      <c r="Y1886" s="84"/>
      <c r="Z1886" s="87"/>
      <c r="AA1886" s="87"/>
      <c r="AB1886" s="87"/>
      <c r="AC1886" s="87"/>
      <c r="AD1886" s="87"/>
      <c r="AE1886" s="87"/>
      <c r="AF1886" s="87"/>
      <c r="AG1886" s="87"/>
      <c r="AH1886" s="87"/>
      <c r="AI1886" s="87"/>
      <c r="AJ1886" s="87"/>
      <c r="AK1886" s="87"/>
      <c r="AL1886" s="87"/>
      <c r="AM1886" s="87"/>
      <c r="AN1886" s="87"/>
      <c r="AO1886" s="87"/>
      <c r="AP1886" s="87"/>
      <c r="AQ1886" s="87"/>
      <c r="AR1886" s="87"/>
      <c r="AS1886" s="87"/>
      <c r="AT1886" s="87"/>
      <c r="AU1886" s="87"/>
      <c r="AV1886" s="87"/>
      <c r="AW1886" s="87"/>
      <c r="AX1886" s="87"/>
      <c r="AY1886" s="87"/>
      <c r="AZ1886" s="87"/>
      <c r="BA1886" s="87"/>
      <c r="BB1886" s="87"/>
      <c r="BC1886" s="87"/>
      <c r="BD1886" s="87"/>
      <c r="BE1886" s="87"/>
      <c r="BF1886" s="87"/>
      <c r="BG1886" s="87"/>
      <c r="BH1886" s="87"/>
    </row>
    <row r="1887" spans="1:60" ht="16">
      <c r="A1887" s="82"/>
      <c r="B1887" s="82"/>
      <c r="C1887" s="82"/>
      <c r="D1887" s="83"/>
      <c r="E1887" s="84"/>
      <c r="F1887" s="84"/>
      <c r="G1887" s="84"/>
      <c r="H1887" s="82"/>
      <c r="I1887" s="84"/>
      <c r="J1887" s="84"/>
      <c r="K1887" s="84"/>
      <c r="L1887" s="84"/>
      <c r="M1887" s="84"/>
      <c r="N1887" s="84"/>
      <c r="O1887" s="84"/>
      <c r="P1887" s="84"/>
      <c r="Q1887" s="84"/>
      <c r="R1887" s="84"/>
      <c r="S1887" s="84"/>
      <c r="T1887" s="84"/>
      <c r="U1887" s="84"/>
      <c r="V1887" s="84"/>
      <c r="W1887" s="84"/>
      <c r="X1887" s="84"/>
      <c r="Y1887" s="84"/>
      <c r="Z1887" s="87"/>
      <c r="AA1887" s="87"/>
      <c r="AB1887" s="87"/>
      <c r="AC1887" s="87"/>
      <c r="AD1887" s="87"/>
      <c r="AE1887" s="87"/>
      <c r="AF1887" s="87"/>
      <c r="AG1887" s="87"/>
      <c r="AH1887" s="87"/>
      <c r="AI1887" s="87"/>
      <c r="AJ1887" s="87"/>
      <c r="AK1887" s="87"/>
      <c r="AL1887" s="87"/>
      <c r="AM1887" s="87"/>
      <c r="AN1887" s="87"/>
      <c r="AO1887" s="87"/>
      <c r="AP1887" s="87"/>
      <c r="AQ1887" s="87"/>
      <c r="AR1887" s="87"/>
      <c r="AS1887" s="87"/>
      <c r="AT1887" s="87"/>
      <c r="AU1887" s="87"/>
      <c r="AV1887" s="87"/>
      <c r="AW1887" s="87"/>
      <c r="AX1887" s="87"/>
      <c r="AY1887" s="87"/>
      <c r="AZ1887" s="87"/>
      <c r="BA1887" s="87"/>
      <c r="BB1887" s="87"/>
      <c r="BC1887" s="87"/>
      <c r="BD1887" s="87"/>
      <c r="BE1887" s="87"/>
      <c r="BF1887" s="87"/>
      <c r="BG1887" s="87"/>
      <c r="BH1887" s="87"/>
    </row>
    <row r="1888" spans="1:60" ht="16">
      <c r="A1888" s="82"/>
      <c r="B1888" s="82"/>
      <c r="C1888" s="82"/>
      <c r="D1888" s="83"/>
      <c r="E1888" s="84"/>
      <c r="F1888" s="84"/>
      <c r="G1888" s="84"/>
      <c r="H1888" s="82"/>
      <c r="I1888" s="84"/>
      <c r="J1888" s="84"/>
      <c r="K1888" s="84"/>
      <c r="L1888" s="84"/>
      <c r="M1888" s="84"/>
      <c r="N1888" s="84"/>
      <c r="O1888" s="84"/>
      <c r="P1888" s="84"/>
      <c r="Q1888" s="84"/>
      <c r="R1888" s="84"/>
      <c r="S1888" s="84"/>
      <c r="T1888" s="84"/>
      <c r="U1888" s="84"/>
      <c r="V1888" s="84"/>
      <c r="W1888" s="84"/>
      <c r="X1888" s="84"/>
      <c r="Y1888" s="84"/>
      <c r="Z1888" s="87"/>
      <c r="AA1888" s="87"/>
      <c r="AB1888" s="87"/>
      <c r="AC1888" s="87"/>
      <c r="AD1888" s="87"/>
      <c r="AE1888" s="87"/>
      <c r="AF1888" s="87"/>
      <c r="AG1888" s="87"/>
      <c r="AH1888" s="87"/>
      <c r="AI1888" s="87"/>
      <c r="AJ1888" s="87"/>
      <c r="AK1888" s="87"/>
      <c r="AL1888" s="87"/>
      <c r="AM1888" s="87"/>
      <c r="AN1888" s="87"/>
      <c r="AO1888" s="87"/>
      <c r="AP1888" s="87"/>
      <c r="AQ1888" s="87"/>
      <c r="AR1888" s="87"/>
      <c r="AS1888" s="87"/>
      <c r="AT1888" s="87"/>
      <c r="AU1888" s="87"/>
      <c r="AV1888" s="87"/>
      <c r="AW1888" s="87"/>
      <c r="AX1888" s="87"/>
      <c r="AY1888" s="87"/>
      <c r="AZ1888" s="87"/>
      <c r="BA1888" s="87"/>
      <c r="BB1888" s="87"/>
      <c r="BC1888" s="87"/>
      <c r="BD1888" s="87"/>
      <c r="BE1888" s="87"/>
      <c r="BF1888" s="87"/>
      <c r="BG1888" s="87"/>
      <c r="BH1888" s="87"/>
    </row>
    <row r="1889" spans="1:60" ht="16">
      <c r="A1889" s="82"/>
      <c r="B1889" s="82"/>
      <c r="C1889" s="82"/>
      <c r="D1889" s="83"/>
      <c r="E1889" s="84"/>
      <c r="F1889" s="84"/>
      <c r="G1889" s="84"/>
      <c r="H1889" s="82"/>
      <c r="I1889" s="84"/>
      <c r="J1889" s="84"/>
      <c r="K1889" s="84"/>
      <c r="L1889" s="84"/>
      <c r="M1889" s="84"/>
      <c r="N1889" s="84"/>
      <c r="O1889" s="84"/>
      <c r="P1889" s="84"/>
      <c r="Q1889" s="84"/>
      <c r="R1889" s="84"/>
      <c r="S1889" s="84"/>
      <c r="T1889" s="84"/>
      <c r="U1889" s="84"/>
      <c r="V1889" s="84"/>
      <c r="W1889" s="84"/>
      <c r="X1889" s="84"/>
      <c r="Y1889" s="84"/>
      <c r="Z1889" s="87"/>
      <c r="AA1889" s="87"/>
      <c r="AB1889" s="87"/>
      <c r="AC1889" s="87"/>
      <c r="AD1889" s="87"/>
      <c r="AE1889" s="87"/>
      <c r="AF1889" s="87"/>
      <c r="AG1889" s="87"/>
      <c r="AH1889" s="87"/>
      <c r="AI1889" s="87"/>
      <c r="AJ1889" s="87"/>
      <c r="AK1889" s="87"/>
      <c r="AL1889" s="87"/>
      <c r="AM1889" s="87"/>
      <c r="AN1889" s="87"/>
      <c r="AO1889" s="87"/>
      <c r="AP1889" s="87"/>
      <c r="AQ1889" s="87"/>
      <c r="AR1889" s="87"/>
      <c r="AS1889" s="87"/>
      <c r="AT1889" s="87"/>
      <c r="AU1889" s="87"/>
      <c r="AV1889" s="87"/>
      <c r="AW1889" s="87"/>
      <c r="AX1889" s="87"/>
      <c r="AY1889" s="87"/>
      <c r="AZ1889" s="87"/>
      <c r="BA1889" s="87"/>
      <c r="BB1889" s="87"/>
      <c r="BC1889" s="87"/>
      <c r="BD1889" s="87"/>
      <c r="BE1889" s="87"/>
      <c r="BF1889" s="87"/>
      <c r="BG1889" s="87"/>
      <c r="BH1889" s="87"/>
    </row>
    <row r="1890" spans="1:60" ht="16">
      <c r="A1890" s="82"/>
      <c r="B1890" s="82"/>
      <c r="C1890" s="82"/>
      <c r="D1890" s="83"/>
      <c r="E1890" s="84"/>
      <c r="F1890" s="84"/>
      <c r="G1890" s="84"/>
      <c r="H1890" s="82"/>
      <c r="I1890" s="84"/>
      <c r="J1890" s="84"/>
      <c r="K1890" s="84"/>
      <c r="L1890" s="84"/>
      <c r="M1890" s="84"/>
      <c r="N1890" s="84"/>
      <c r="O1890" s="84"/>
      <c r="P1890" s="84"/>
      <c r="Q1890" s="84"/>
      <c r="R1890" s="84"/>
      <c r="S1890" s="84"/>
      <c r="T1890" s="84"/>
      <c r="U1890" s="84"/>
      <c r="V1890" s="84"/>
      <c r="W1890" s="84"/>
      <c r="X1890" s="84"/>
      <c r="Y1890" s="84"/>
      <c r="Z1890" s="87"/>
      <c r="AA1890" s="87"/>
      <c r="AB1890" s="87"/>
      <c r="AC1890" s="87"/>
      <c r="AD1890" s="87"/>
      <c r="AE1890" s="87"/>
      <c r="AF1890" s="87"/>
      <c r="AG1890" s="87"/>
      <c r="AH1890" s="87"/>
      <c r="AI1890" s="87"/>
      <c r="AJ1890" s="87"/>
      <c r="AK1890" s="87"/>
      <c r="AL1890" s="87"/>
      <c r="AM1890" s="87"/>
      <c r="AN1890" s="87"/>
      <c r="AO1890" s="87"/>
      <c r="AP1890" s="87"/>
      <c r="AQ1890" s="87"/>
      <c r="AR1890" s="87"/>
      <c r="AS1890" s="87"/>
      <c r="AT1890" s="87"/>
      <c r="AU1890" s="87"/>
      <c r="AV1890" s="87"/>
      <c r="AW1890" s="87"/>
      <c r="AX1890" s="87"/>
      <c r="AY1890" s="87"/>
      <c r="AZ1890" s="87"/>
      <c r="BA1890" s="87"/>
      <c r="BB1890" s="87"/>
      <c r="BC1890" s="87"/>
      <c r="BD1890" s="87"/>
      <c r="BE1890" s="87"/>
      <c r="BF1890" s="87"/>
      <c r="BG1890" s="87"/>
      <c r="BH1890" s="87"/>
    </row>
    <row r="1891" spans="1:60" ht="16">
      <c r="A1891" s="82"/>
      <c r="B1891" s="82"/>
      <c r="C1891" s="82"/>
      <c r="D1891" s="83"/>
      <c r="E1891" s="84"/>
      <c r="F1891" s="84"/>
      <c r="G1891" s="84"/>
      <c r="H1891" s="82"/>
      <c r="I1891" s="84"/>
      <c r="J1891" s="84"/>
      <c r="K1891" s="84"/>
      <c r="L1891" s="84"/>
      <c r="M1891" s="84"/>
      <c r="N1891" s="84"/>
      <c r="O1891" s="84"/>
      <c r="P1891" s="84"/>
      <c r="Q1891" s="84"/>
      <c r="R1891" s="84"/>
      <c r="S1891" s="84"/>
      <c r="T1891" s="84"/>
      <c r="U1891" s="84"/>
      <c r="V1891" s="84"/>
      <c r="W1891" s="84"/>
      <c r="X1891" s="84"/>
      <c r="Y1891" s="84"/>
      <c r="Z1891" s="87"/>
      <c r="AA1891" s="87"/>
      <c r="AB1891" s="87"/>
      <c r="AC1891" s="87"/>
      <c r="AD1891" s="87"/>
      <c r="AE1891" s="87"/>
      <c r="AF1891" s="87"/>
      <c r="AG1891" s="87"/>
      <c r="AH1891" s="87"/>
      <c r="AI1891" s="87"/>
      <c r="AJ1891" s="87"/>
      <c r="AK1891" s="87"/>
      <c r="AL1891" s="87"/>
      <c r="AM1891" s="87"/>
      <c r="AN1891" s="87"/>
      <c r="AO1891" s="87"/>
      <c r="AP1891" s="87"/>
      <c r="AQ1891" s="87"/>
      <c r="AR1891" s="87"/>
      <c r="AS1891" s="87"/>
      <c r="AT1891" s="87"/>
      <c r="AU1891" s="87"/>
      <c r="AV1891" s="87"/>
      <c r="AW1891" s="87"/>
      <c r="AX1891" s="87"/>
      <c r="AY1891" s="87"/>
      <c r="AZ1891" s="87"/>
      <c r="BA1891" s="87"/>
      <c r="BB1891" s="87"/>
      <c r="BC1891" s="87"/>
      <c r="BD1891" s="87"/>
      <c r="BE1891" s="87"/>
      <c r="BF1891" s="87"/>
      <c r="BG1891" s="87"/>
      <c r="BH1891" s="87"/>
    </row>
    <row r="1892" spans="1:60" ht="16">
      <c r="A1892" s="82"/>
      <c r="B1892" s="82"/>
      <c r="C1892" s="82"/>
      <c r="D1892" s="83"/>
      <c r="E1892" s="84"/>
      <c r="F1892" s="84"/>
      <c r="G1892" s="84"/>
      <c r="H1892" s="82"/>
      <c r="I1892" s="84"/>
      <c r="J1892" s="84"/>
      <c r="K1892" s="84"/>
      <c r="L1892" s="84"/>
      <c r="M1892" s="84"/>
      <c r="N1892" s="84"/>
      <c r="O1892" s="84"/>
      <c r="P1892" s="84"/>
      <c r="Q1892" s="84"/>
      <c r="R1892" s="84"/>
      <c r="S1892" s="84"/>
      <c r="T1892" s="84"/>
      <c r="U1892" s="84"/>
      <c r="V1892" s="84"/>
      <c r="W1892" s="84"/>
      <c r="X1892" s="84"/>
      <c r="Y1892" s="84"/>
      <c r="Z1892" s="87"/>
      <c r="AA1892" s="87"/>
      <c r="AB1892" s="87"/>
      <c r="AC1892" s="87"/>
      <c r="AD1892" s="87"/>
      <c r="AE1892" s="87"/>
      <c r="AF1892" s="87"/>
      <c r="AG1892" s="87"/>
      <c r="AH1892" s="87"/>
      <c r="AI1892" s="87"/>
      <c r="AJ1892" s="87"/>
      <c r="AK1892" s="87"/>
      <c r="AL1892" s="87"/>
      <c r="AM1892" s="87"/>
      <c r="AN1892" s="87"/>
      <c r="AO1892" s="87"/>
      <c r="AP1892" s="87"/>
      <c r="AQ1892" s="87"/>
      <c r="AR1892" s="87"/>
      <c r="AS1892" s="87"/>
      <c r="AT1892" s="87"/>
      <c r="AU1892" s="87"/>
      <c r="AV1892" s="87"/>
      <c r="AW1892" s="87"/>
      <c r="AX1892" s="87"/>
      <c r="AY1892" s="87"/>
      <c r="AZ1892" s="87"/>
      <c r="BA1892" s="87"/>
      <c r="BB1892" s="87"/>
      <c r="BC1892" s="87"/>
      <c r="BD1892" s="87"/>
      <c r="BE1892" s="87"/>
      <c r="BF1892" s="87"/>
      <c r="BG1892" s="87"/>
      <c r="BH1892" s="87"/>
    </row>
    <row r="1893" spans="1:60" ht="16">
      <c r="A1893" s="82"/>
      <c r="B1893" s="82"/>
      <c r="C1893" s="82"/>
      <c r="D1893" s="83"/>
      <c r="E1893" s="84"/>
      <c r="F1893" s="84"/>
      <c r="G1893" s="84"/>
      <c r="H1893" s="82"/>
      <c r="I1893" s="84"/>
      <c r="J1893" s="84"/>
      <c r="K1893" s="84"/>
      <c r="L1893" s="84"/>
      <c r="M1893" s="84"/>
      <c r="N1893" s="84"/>
      <c r="O1893" s="84"/>
      <c r="P1893" s="84"/>
      <c r="Q1893" s="84"/>
      <c r="R1893" s="84"/>
      <c r="S1893" s="84"/>
      <c r="T1893" s="84"/>
      <c r="U1893" s="84"/>
      <c r="V1893" s="84"/>
      <c r="W1893" s="84"/>
      <c r="X1893" s="84"/>
      <c r="Y1893" s="84"/>
      <c r="Z1893" s="87"/>
      <c r="AA1893" s="87"/>
      <c r="AB1893" s="87"/>
      <c r="AC1893" s="87"/>
      <c r="AD1893" s="87"/>
      <c r="AE1893" s="87"/>
      <c r="AF1893" s="87"/>
      <c r="AG1893" s="87"/>
      <c r="AH1893" s="87"/>
      <c r="AI1893" s="87"/>
      <c r="AJ1893" s="87"/>
      <c r="AK1893" s="87"/>
      <c r="AL1893" s="87"/>
      <c r="AM1893" s="87"/>
      <c r="AN1893" s="87"/>
      <c r="AO1893" s="87"/>
      <c r="AP1893" s="87"/>
      <c r="AQ1893" s="87"/>
      <c r="AR1893" s="87"/>
      <c r="AS1893" s="87"/>
      <c r="AT1893" s="87"/>
      <c r="AU1893" s="87"/>
      <c r="AV1893" s="87"/>
      <c r="AW1893" s="87"/>
      <c r="AX1893" s="87"/>
      <c r="AY1893" s="87"/>
      <c r="AZ1893" s="87"/>
      <c r="BA1893" s="87"/>
      <c r="BB1893" s="87"/>
      <c r="BC1893" s="87"/>
      <c r="BD1893" s="87"/>
      <c r="BE1893" s="87"/>
      <c r="BF1893" s="87"/>
      <c r="BG1893" s="87"/>
      <c r="BH1893" s="87"/>
    </row>
    <row r="1894" spans="1:60" ht="16">
      <c r="A1894" s="82"/>
      <c r="B1894" s="82"/>
      <c r="C1894" s="82"/>
      <c r="D1894" s="83"/>
      <c r="E1894" s="84"/>
      <c r="F1894" s="84"/>
      <c r="G1894" s="84"/>
      <c r="H1894" s="82"/>
      <c r="I1894" s="84"/>
      <c r="J1894" s="84"/>
      <c r="K1894" s="84"/>
      <c r="L1894" s="84"/>
      <c r="M1894" s="84"/>
      <c r="N1894" s="84"/>
      <c r="O1894" s="84"/>
      <c r="P1894" s="84"/>
      <c r="Q1894" s="84"/>
      <c r="R1894" s="84"/>
      <c r="S1894" s="84"/>
      <c r="T1894" s="84"/>
      <c r="U1894" s="84"/>
      <c r="V1894" s="84"/>
      <c r="W1894" s="84"/>
      <c r="X1894" s="84"/>
      <c r="Y1894" s="84"/>
      <c r="Z1894" s="87"/>
      <c r="AA1894" s="87"/>
      <c r="AB1894" s="87"/>
      <c r="AC1894" s="87"/>
      <c r="AD1894" s="87"/>
      <c r="AE1894" s="87"/>
      <c r="AF1894" s="87"/>
      <c r="AG1894" s="87"/>
      <c r="AH1894" s="87"/>
      <c r="AI1894" s="87"/>
      <c r="AJ1894" s="87"/>
      <c r="AK1894" s="87"/>
      <c r="AL1894" s="87"/>
      <c r="AM1894" s="87"/>
      <c r="AN1894" s="87"/>
      <c r="AO1894" s="87"/>
      <c r="AP1894" s="87"/>
      <c r="AQ1894" s="87"/>
      <c r="AR1894" s="87"/>
      <c r="AS1894" s="87"/>
      <c r="AT1894" s="87"/>
      <c r="AU1894" s="87"/>
      <c r="AV1894" s="87"/>
      <c r="AW1894" s="87"/>
      <c r="AX1894" s="87"/>
      <c r="AY1894" s="87"/>
      <c r="AZ1894" s="87"/>
      <c r="BA1894" s="87"/>
      <c r="BB1894" s="87"/>
      <c r="BC1894" s="87"/>
      <c r="BD1894" s="87"/>
      <c r="BE1894" s="87"/>
      <c r="BF1894" s="87"/>
      <c r="BG1894" s="87"/>
      <c r="BH1894" s="87"/>
    </row>
    <row r="1895" spans="1:60" ht="16">
      <c r="A1895" s="82"/>
      <c r="B1895" s="82"/>
      <c r="C1895" s="82"/>
      <c r="D1895" s="83"/>
      <c r="E1895" s="84"/>
      <c r="F1895" s="84"/>
      <c r="G1895" s="84"/>
      <c r="H1895" s="82"/>
      <c r="I1895" s="84"/>
      <c r="J1895" s="84"/>
      <c r="K1895" s="84"/>
      <c r="L1895" s="84"/>
      <c r="M1895" s="84"/>
      <c r="N1895" s="84"/>
      <c r="O1895" s="84"/>
      <c r="P1895" s="84"/>
      <c r="Q1895" s="84"/>
      <c r="R1895" s="84"/>
      <c r="S1895" s="84"/>
      <c r="T1895" s="84"/>
      <c r="U1895" s="84"/>
      <c r="V1895" s="84"/>
      <c r="W1895" s="84"/>
      <c r="X1895" s="84"/>
      <c r="Y1895" s="84"/>
      <c r="Z1895" s="87"/>
      <c r="AA1895" s="87"/>
      <c r="AB1895" s="87"/>
      <c r="AC1895" s="87"/>
      <c r="AD1895" s="87"/>
      <c r="AE1895" s="87"/>
      <c r="AF1895" s="87"/>
      <c r="AG1895" s="87"/>
      <c r="AH1895" s="87"/>
      <c r="AI1895" s="87"/>
      <c r="AJ1895" s="87"/>
      <c r="AK1895" s="87"/>
      <c r="AL1895" s="87"/>
      <c r="AM1895" s="87"/>
      <c r="AN1895" s="87"/>
      <c r="AO1895" s="87"/>
      <c r="AP1895" s="87"/>
      <c r="AQ1895" s="87"/>
      <c r="AR1895" s="87"/>
      <c r="AS1895" s="87"/>
      <c r="AT1895" s="87"/>
      <c r="AU1895" s="87"/>
      <c r="AV1895" s="87"/>
      <c r="AW1895" s="87"/>
      <c r="AX1895" s="87"/>
      <c r="AY1895" s="87"/>
      <c r="AZ1895" s="87"/>
      <c r="BA1895" s="87"/>
      <c r="BB1895" s="87"/>
      <c r="BC1895" s="87"/>
      <c r="BD1895" s="87"/>
      <c r="BE1895" s="87"/>
      <c r="BF1895" s="87"/>
      <c r="BG1895" s="87"/>
      <c r="BH1895" s="87"/>
    </row>
    <row r="1896" spans="1:60" ht="16">
      <c r="A1896" s="82"/>
      <c r="B1896" s="82"/>
      <c r="C1896" s="82"/>
      <c r="D1896" s="83"/>
      <c r="E1896" s="84"/>
      <c r="F1896" s="84"/>
      <c r="G1896" s="84"/>
      <c r="H1896" s="82"/>
      <c r="I1896" s="84"/>
      <c r="J1896" s="84"/>
      <c r="K1896" s="84"/>
      <c r="L1896" s="84"/>
      <c r="M1896" s="84"/>
      <c r="N1896" s="84"/>
      <c r="O1896" s="84"/>
      <c r="P1896" s="84"/>
      <c r="Q1896" s="84"/>
      <c r="R1896" s="84"/>
      <c r="S1896" s="84"/>
      <c r="T1896" s="84"/>
      <c r="U1896" s="84"/>
      <c r="V1896" s="84"/>
      <c r="W1896" s="84"/>
      <c r="X1896" s="84"/>
      <c r="Y1896" s="84"/>
      <c r="Z1896" s="87"/>
      <c r="AA1896" s="87"/>
      <c r="AB1896" s="87"/>
      <c r="AC1896" s="87"/>
      <c r="AD1896" s="87"/>
      <c r="AE1896" s="87"/>
      <c r="AF1896" s="87"/>
      <c r="AG1896" s="87"/>
      <c r="AH1896" s="87"/>
      <c r="AI1896" s="87"/>
      <c r="AJ1896" s="87"/>
      <c r="AK1896" s="87"/>
      <c r="AL1896" s="87"/>
      <c r="AM1896" s="87"/>
      <c r="AN1896" s="87"/>
      <c r="AO1896" s="87"/>
      <c r="AP1896" s="87"/>
      <c r="AQ1896" s="87"/>
      <c r="AR1896" s="87"/>
      <c r="AS1896" s="87"/>
      <c r="AT1896" s="87"/>
      <c r="AU1896" s="87"/>
      <c r="AV1896" s="87"/>
      <c r="AW1896" s="87"/>
      <c r="AX1896" s="87"/>
      <c r="AY1896" s="87"/>
      <c r="AZ1896" s="87"/>
      <c r="BA1896" s="87"/>
      <c r="BB1896" s="87"/>
      <c r="BC1896" s="87"/>
      <c r="BD1896" s="87"/>
      <c r="BE1896" s="87"/>
      <c r="BF1896" s="87"/>
      <c r="BG1896" s="87"/>
      <c r="BH1896" s="87"/>
    </row>
    <row r="1897" spans="1:60" ht="16">
      <c r="A1897" s="82"/>
      <c r="B1897" s="82"/>
      <c r="C1897" s="82"/>
      <c r="D1897" s="83"/>
      <c r="E1897" s="84"/>
      <c r="F1897" s="84"/>
      <c r="G1897" s="84"/>
      <c r="H1897" s="82"/>
      <c r="I1897" s="84"/>
      <c r="J1897" s="84"/>
      <c r="K1897" s="84"/>
      <c r="L1897" s="84"/>
      <c r="M1897" s="84"/>
      <c r="N1897" s="84"/>
      <c r="O1897" s="84"/>
      <c r="P1897" s="84"/>
      <c r="Q1897" s="84"/>
      <c r="R1897" s="84"/>
      <c r="S1897" s="84"/>
      <c r="T1897" s="84"/>
      <c r="U1897" s="84"/>
      <c r="V1897" s="84"/>
      <c r="W1897" s="84"/>
      <c r="X1897" s="84"/>
      <c r="Y1897" s="84"/>
      <c r="Z1897" s="87"/>
      <c r="AA1897" s="87"/>
      <c r="AB1897" s="87"/>
      <c r="AC1897" s="87"/>
      <c r="AD1897" s="87"/>
      <c r="AE1897" s="87"/>
      <c r="AF1897" s="87"/>
      <c r="AG1897" s="87"/>
      <c r="AH1897" s="87"/>
      <c r="AI1897" s="87"/>
      <c r="AJ1897" s="87"/>
      <c r="AK1897" s="87"/>
      <c r="AL1897" s="87"/>
      <c r="AM1897" s="87"/>
      <c r="AN1897" s="87"/>
      <c r="AO1897" s="87"/>
      <c r="AP1897" s="87"/>
      <c r="AQ1897" s="87"/>
      <c r="AR1897" s="87"/>
      <c r="AS1897" s="87"/>
      <c r="AT1897" s="87"/>
      <c r="AU1897" s="87"/>
      <c r="AV1897" s="87"/>
      <c r="AW1897" s="87"/>
      <c r="AX1897" s="87"/>
      <c r="AY1897" s="87"/>
      <c r="AZ1897" s="87"/>
      <c r="BA1897" s="87"/>
      <c r="BB1897" s="87"/>
      <c r="BC1897" s="87"/>
      <c r="BD1897" s="87"/>
      <c r="BE1897" s="87"/>
      <c r="BF1897" s="87"/>
      <c r="BG1897" s="87"/>
      <c r="BH1897" s="87"/>
    </row>
    <row r="1898" spans="1:60" ht="16">
      <c r="A1898" s="82"/>
      <c r="B1898" s="82"/>
      <c r="C1898" s="82"/>
      <c r="D1898" s="83"/>
      <c r="E1898" s="84"/>
      <c r="F1898" s="84"/>
      <c r="G1898" s="84"/>
      <c r="H1898" s="82"/>
      <c r="I1898" s="84"/>
      <c r="J1898" s="84"/>
      <c r="K1898" s="84"/>
      <c r="L1898" s="84"/>
      <c r="M1898" s="84"/>
      <c r="N1898" s="84"/>
      <c r="O1898" s="84"/>
      <c r="P1898" s="84"/>
      <c r="Q1898" s="84"/>
      <c r="R1898" s="84"/>
      <c r="S1898" s="84"/>
      <c r="T1898" s="84"/>
      <c r="U1898" s="84"/>
      <c r="V1898" s="84"/>
      <c r="W1898" s="84"/>
      <c r="X1898" s="84"/>
      <c r="Y1898" s="84"/>
      <c r="Z1898" s="87"/>
      <c r="AA1898" s="87"/>
      <c r="AB1898" s="87"/>
      <c r="AC1898" s="87"/>
      <c r="AD1898" s="87"/>
      <c r="AE1898" s="87"/>
      <c r="AF1898" s="87"/>
      <c r="AG1898" s="87"/>
      <c r="AH1898" s="87"/>
      <c r="AI1898" s="87"/>
      <c r="AJ1898" s="87"/>
      <c r="AK1898" s="87"/>
      <c r="AL1898" s="87"/>
      <c r="AM1898" s="87"/>
      <c r="AN1898" s="87"/>
      <c r="AO1898" s="87"/>
      <c r="AP1898" s="87"/>
      <c r="AQ1898" s="87"/>
      <c r="AR1898" s="87"/>
      <c r="AS1898" s="87"/>
      <c r="AT1898" s="87"/>
      <c r="AU1898" s="87"/>
      <c r="AV1898" s="87"/>
      <c r="AW1898" s="87"/>
      <c r="AX1898" s="87"/>
      <c r="AY1898" s="87"/>
      <c r="AZ1898" s="87"/>
      <c r="BA1898" s="87"/>
      <c r="BB1898" s="87"/>
      <c r="BC1898" s="87"/>
      <c r="BD1898" s="87"/>
      <c r="BE1898" s="87"/>
      <c r="BF1898" s="87"/>
      <c r="BG1898" s="87"/>
      <c r="BH1898" s="87"/>
    </row>
    <row r="1899" spans="1:60" ht="16">
      <c r="A1899" s="82"/>
      <c r="B1899" s="82"/>
      <c r="C1899" s="82"/>
      <c r="D1899" s="83"/>
      <c r="E1899" s="84"/>
      <c r="F1899" s="84"/>
      <c r="G1899" s="84"/>
      <c r="H1899" s="82"/>
      <c r="I1899" s="84"/>
      <c r="J1899" s="84"/>
      <c r="K1899" s="84"/>
      <c r="L1899" s="84"/>
      <c r="M1899" s="84"/>
      <c r="N1899" s="84"/>
      <c r="O1899" s="84"/>
      <c r="P1899" s="84"/>
      <c r="Q1899" s="84"/>
      <c r="R1899" s="84"/>
      <c r="S1899" s="84"/>
      <c r="T1899" s="84"/>
      <c r="U1899" s="84"/>
      <c r="V1899" s="84"/>
      <c r="W1899" s="84"/>
      <c r="X1899" s="84"/>
      <c r="Y1899" s="84"/>
      <c r="Z1899" s="87"/>
      <c r="AA1899" s="87"/>
      <c r="AB1899" s="87"/>
      <c r="AC1899" s="87"/>
      <c r="AD1899" s="87"/>
      <c r="AE1899" s="87"/>
      <c r="AF1899" s="87"/>
      <c r="AG1899" s="87"/>
      <c r="AH1899" s="87"/>
      <c r="AI1899" s="87"/>
      <c r="AJ1899" s="87"/>
      <c r="AK1899" s="87"/>
      <c r="AL1899" s="87"/>
      <c r="AM1899" s="87"/>
      <c r="AN1899" s="87"/>
      <c r="AO1899" s="87"/>
      <c r="AP1899" s="87"/>
      <c r="AQ1899" s="87"/>
      <c r="AR1899" s="87"/>
      <c r="AS1899" s="87"/>
      <c r="AT1899" s="87"/>
      <c r="AU1899" s="87"/>
      <c r="AV1899" s="87"/>
      <c r="AW1899" s="87"/>
      <c r="AX1899" s="87"/>
      <c r="AY1899" s="87"/>
      <c r="AZ1899" s="87"/>
      <c r="BA1899" s="87"/>
      <c r="BB1899" s="87"/>
      <c r="BC1899" s="87"/>
      <c r="BD1899" s="87"/>
      <c r="BE1899" s="87"/>
      <c r="BF1899" s="87"/>
      <c r="BG1899" s="87"/>
      <c r="BH1899" s="87"/>
    </row>
    <row r="1900" spans="1:60" ht="16">
      <c r="A1900" s="82"/>
      <c r="B1900" s="82"/>
      <c r="C1900" s="82"/>
      <c r="D1900" s="83"/>
      <c r="E1900" s="84"/>
      <c r="F1900" s="84"/>
      <c r="G1900" s="84"/>
      <c r="H1900" s="82"/>
      <c r="I1900" s="84"/>
      <c r="J1900" s="84"/>
      <c r="K1900" s="84"/>
      <c r="L1900" s="84"/>
      <c r="M1900" s="84"/>
      <c r="N1900" s="84"/>
      <c r="O1900" s="84"/>
      <c r="P1900" s="84"/>
      <c r="Q1900" s="84"/>
      <c r="R1900" s="84"/>
      <c r="S1900" s="84"/>
      <c r="T1900" s="84"/>
      <c r="U1900" s="84"/>
      <c r="V1900" s="84"/>
      <c r="W1900" s="84"/>
      <c r="X1900" s="84"/>
      <c r="Y1900" s="84"/>
      <c r="Z1900" s="87"/>
      <c r="AA1900" s="87"/>
      <c r="AB1900" s="87"/>
      <c r="AC1900" s="87"/>
      <c r="AD1900" s="87"/>
      <c r="AE1900" s="87"/>
      <c r="AF1900" s="87"/>
      <c r="AG1900" s="87"/>
      <c r="AH1900" s="87"/>
      <c r="AI1900" s="87"/>
      <c r="AJ1900" s="87"/>
      <c r="AK1900" s="87"/>
      <c r="AL1900" s="87"/>
      <c r="AM1900" s="87"/>
      <c r="AN1900" s="87"/>
      <c r="AO1900" s="87"/>
      <c r="AP1900" s="87"/>
      <c r="AQ1900" s="87"/>
      <c r="AR1900" s="87"/>
      <c r="AS1900" s="87"/>
      <c r="AT1900" s="87"/>
      <c r="AU1900" s="87"/>
      <c r="AV1900" s="87"/>
      <c r="AW1900" s="87"/>
      <c r="AX1900" s="87"/>
      <c r="AY1900" s="87"/>
      <c r="AZ1900" s="87"/>
      <c r="BA1900" s="87"/>
      <c r="BB1900" s="87"/>
      <c r="BC1900" s="87"/>
      <c r="BD1900" s="87"/>
      <c r="BE1900" s="87"/>
      <c r="BF1900" s="87"/>
      <c r="BG1900" s="87"/>
      <c r="BH1900" s="87"/>
    </row>
    <row r="1901" spans="1:60" ht="16">
      <c r="A1901" s="82"/>
      <c r="B1901" s="82"/>
      <c r="C1901" s="82"/>
      <c r="D1901" s="83"/>
      <c r="E1901" s="84"/>
      <c r="F1901" s="84"/>
      <c r="G1901" s="84"/>
      <c r="H1901" s="82"/>
      <c r="I1901" s="84"/>
      <c r="J1901" s="84"/>
      <c r="K1901" s="84"/>
      <c r="L1901" s="84"/>
      <c r="M1901" s="84"/>
      <c r="N1901" s="84"/>
      <c r="O1901" s="84"/>
      <c r="P1901" s="84"/>
      <c r="Q1901" s="84"/>
      <c r="R1901" s="84"/>
      <c r="S1901" s="84"/>
      <c r="T1901" s="84"/>
      <c r="U1901" s="84"/>
      <c r="V1901" s="84"/>
      <c r="W1901" s="84"/>
      <c r="X1901" s="84"/>
      <c r="Y1901" s="84"/>
      <c r="Z1901" s="87"/>
      <c r="AA1901" s="87"/>
      <c r="AB1901" s="87"/>
      <c r="AC1901" s="87"/>
      <c r="AD1901" s="87"/>
      <c r="AE1901" s="87"/>
      <c r="AF1901" s="87"/>
      <c r="AG1901" s="87"/>
      <c r="AH1901" s="87"/>
      <c r="AI1901" s="87"/>
      <c r="AJ1901" s="87"/>
      <c r="AK1901" s="87"/>
      <c r="AL1901" s="87"/>
      <c r="AM1901" s="87"/>
      <c r="AN1901" s="87"/>
      <c r="AO1901" s="87"/>
      <c r="AP1901" s="87"/>
      <c r="AQ1901" s="87"/>
      <c r="AR1901" s="87"/>
      <c r="AS1901" s="87"/>
      <c r="AT1901" s="87"/>
      <c r="AU1901" s="87"/>
      <c r="AV1901" s="87"/>
      <c r="AW1901" s="87"/>
      <c r="AX1901" s="87"/>
      <c r="AY1901" s="87"/>
      <c r="AZ1901" s="87"/>
      <c r="BA1901" s="87"/>
      <c r="BB1901" s="87"/>
      <c r="BC1901" s="87"/>
      <c r="BD1901" s="87"/>
      <c r="BE1901" s="87"/>
      <c r="BF1901" s="87"/>
      <c r="BG1901" s="87"/>
      <c r="BH1901" s="87"/>
    </row>
    <row r="1902" spans="1:60" ht="16">
      <c r="A1902" s="82"/>
      <c r="B1902" s="82"/>
      <c r="C1902" s="82"/>
      <c r="D1902" s="83"/>
      <c r="E1902" s="84"/>
      <c r="F1902" s="84"/>
      <c r="G1902" s="84"/>
      <c r="H1902" s="82"/>
      <c r="I1902" s="84"/>
      <c r="J1902" s="84"/>
      <c r="K1902" s="84"/>
      <c r="L1902" s="84"/>
      <c r="M1902" s="84"/>
      <c r="N1902" s="84"/>
      <c r="O1902" s="84"/>
      <c r="P1902" s="84"/>
      <c r="Q1902" s="84"/>
      <c r="R1902" s="84"/>
      <c r="S1902" s="84"/>
      <c r="T1902" s="84"/>
      <c r="U1902" s="84"/>
      <c r="V1902" s="84"/>
      <c r="W1902" s="84"/>
      <c r="X1902" s="84"/>
      <c r="Y1902" s="84"/>
      <c r="Z1902" s="87"/>
      <c r="AA1902" s="87"/>
      <c r="AB1902" s="87"/>
      <c r="AC1902" s="87"/>
      <c r="AD1902" s="87"/>
      <c r="AE1902" s="87"/>
      <c r="AF1902" s="87"/>
      <c r="AG1902" s="87"/>
      <c r="AH1902" s="87"/>
      <c r="AI1902" s="87"/>
      <c r="AJ1902" s="87"/>
      <c r="AK1902" s="87"/>
      <c r="AL1902" s="87"/>
      <c r="AM1902" s="87"/>
      <c r="AN1902" s="87"/>
      <c r="AO1902" s="87"/>
      <c r="AP1902" s="87"/>
      <c r="AQ1902" s="87"/>
      <c r="AR1902" s="87"/>
      <c r="AS1902" s="87"/>
      <c r="AT1902" s="87"/>
      <c r="AU1902" s="87"/>
      <c r="AV1902" s="87"/>
      <c r="AW1902" s="87"/>
      <c r="AX1902" s="87"/>
      <c r="AY1902" s="87"/>
      <c r="AZ1902" s="87"/>
      <c r="BA1902" s="87"/>
      <c r="BB1902" s="87"/>
      <c r="BC1902" s="87"/>
      <c r="BD1902" s="87"/>
      <c r="BE1902" s="87"/>
      <c r="BF1902" s="87"/>
      <c r="BG1902" s="87"/>
      <c r="BH1902" s="87"/>
    </row>
    <row r="1903" spans="1:60" ht="16">
      <c r="A1903" s="82"/>
      <c r="B1903" s="82"/>
      <c r="C1903" s="82"/>
      <c r="D1903" s="83"/>
      <c r="E1903" s="84"/>
      <c r="F1903" s="84"/>
      <c r="G1903" s="84"/>
      <c r="H1903" s="82"/>
      <c r="I1903" s="84"/>
      <c r="J1903" s="84"/>
      <c r="K1903" s="84"/>
      <c r="L1903" s="84"/>
      <c r="M1903" s="84"/>
      <c r="N1903" s="84"/>
      <c r="O1903" s="84"/>
      <c r="P1903" s="84"/>
      <c r="Q1903" s="84"/>
      <c r="R1903" s="84"/>
      <c r="S1903" s="84"/>
      <c r="T1903" s="84"/>
      <c r="U1903" s="84"/>
      <c r="V1903" s="84"/>
      <c r="W1903" s="84"/>
      <c r="X1903" s="84"/>
      <c r="Y1903" s="84"/>
      <c r="Z1903" s="87"/>
      <c r="AA1903" s="87"/>
      <c r="AB1903" s="87"/>
      <c r="AC1903" s="87"/>
      <c r="AD1903" s="87"/>
      <c r="AE1903" s="87"/>
      <c r="AF1903" s="87"/>
      <c r="AG1903" s="87"/>
      <c r="AH1903" s="87"/>
      <c r="AI1903" s="87"/>
      <c r="AJ1903" s="87"/>
      <c r="AK1903" s="87"/>
      <c r="AL1903" s="87"/>
      <c r="AM1903" s="87"/>
      <c r="AN1903" s="87"/>
      <c r="AO1903" s="87"/>
      <c r="AP1903" s="87"/>
      <c r="AQ1903" s="87"/>
      <c r="AR1903" s="87"/>
      <c r="AS1903" s="87"/>
      <c r="AT1903" s="87"/>
      <c r="AU1903" s="87"/>
      <c r="AV1903" s="87"/>
      <c r="AW1903" s="87"/>
      <c r="AX1903" s="87"/>
      <c r="AY1903" s="87"/>
      <c r="AZ1903" s="87"/>
      <c r="BA1903" s="87"/>
      <c r="BB1903" s="87"/>
      <c r="BC1903" s="87"/>
      <c r="BD1903" s="87"/>
      <c r="BE1903" s="87"/>
      <c r="BF1903" s="87"/>
      <c r="BG1903" s="87"/>
      <c r="BH1903" s="87"/>
    </row>
    <row r="1904" spans="1:60" ht="16">
      <c r="A1904" s="82"/>
      <c r="B1904" s="82"/>
      <c r="C1904" s="82"/>
      <c r="D1904" s="83"/>
      <c r="E1904" s="84"/>
      <c r="F1904" s="84"/>
      <c r="G1904" s="84"/>
      <c r="H1904" s="82"/>
      <c r="I1904" s="84"/>
      <c r="J1904" s="84"/>
      <c r="K1904" s="84"/>
      <c r="L1904" s="84"/>
      <c r="M1904" s="84"/>
      <c r="N1904" s="84"/>
      <c r="O1904" s="84"/>
      <c r="P1904" s="84"/>
      <c r="Q1904" s="84"/>
      <c r="R1904" s="84"/>
      <c r="S1904" s="84"/>
      <c r="T1904" s="84"/>
      <c r="U1904" s="84"/>
      <c r="V1904" s="84"/>
      <c r="W1904" s="84"/>
      <c r="X1904" s="84"/>
      <c r="Y1904" s="84"/>
      <c r="Z1904" s="87"/>
      <c r="AA1904" s="87"/>
      <c r="AB1904" s="87"/>
      <c r="AC1904" s="87"/>
      <c r="AD1904" s="87"/>
      <c r="AE1904" s="87"/>
      <c r="AF1904" s="87"/>
      <c r="AG1904" s="87"/>
      <c r="AH1904" s="87"/>
      <c r="AI1904" s="87"/>
      <c r="AJ1904" s="87"/>
      <c r="AK1904" s="87"/>
      <c r="AL1904" s="87"/>
      <c r="AM1904" s="87"/>
      <c r="AN1904" s="87"/>
      <c r="AO1904" s="87"/>
      <c r="AP1904" s="87"/>
      <c r="AQ1904" s="87"/>
      <c r="AR1904" s="87"/>
      <c r="AS1904" s="87"/>
      <c r="AT1904" s="87"/>
      <c r="AU1904" s="87"/>
      <c r="AV1904" s="87"/>
      <c r="AW1904" s="87"/>
      <c r="AX1904" s="87"/>
      <c r="AY1904" s="87"/>
      <c r="AZ1904" s="87"/>
      <c r="BA1904" s="87"/>
      <c r="BB1904" s="87"/>
      <c r="BC1904" s="87"/>
      <c r="BD1904" s="87"/>
      <c r="BE1904" s="87"/>
      <c r="BF1904" s="87"/>
      <c r="BG1904" s="87"/>
      <c r="BH1904" s="87"/>
    </row>
    <row r="1905" spans="1:60" ht="16">
      <c r="A1905" s="82"/>
      <c r="B1905" s="82"/>
      <c r="C1905" s="82"/>
      <c r="D1905" s="83"/>
      <c r="E1905" s="84"/>
      <c r="F1905" s="84"/>
      <c r="G1905" s="84"/>
      <c r="H1905" s="82"/>
      <c r="I1905" s="84"/>
      <c r="J1905" s="84"/>
      <c r="K1905" s="84"/>
      <c r="L1905" s="84"/>
      <c r="M1905" s="84"/>
      <c r="N1905" s="84"/>
      <c r="O1905" s="84"/>
      <c r="P1905" s="84"/>
      <c r="Q1905" s="84"/>
      <c r="R1905" s="84"/>
      <c r="S1905" s="84"/>
      <c r="T1905" s="84"/>
      <c r="U1905" s="84"/>
      <c r="V1905" s="84"/>
      <c r="W1905" s="84"/>
      <c r="X1905" s="84"/>
      <c r="Y1905" s="84"/>
      <c r="Z1905" s="87"/>
      <c r="AA1905" s="87"/>
      <c r="AB1905" s="87"/>
      <c r="AC1905" s="87"/>
      <c r="AD1905" s="87"/>
      <c r="AE1905" s="87"/>
      <c r="AF1905" s="87"/>
      <c r="AG1905" s="87"/>
      <c r="AH1905" s="87"/>
      <c r="AI1905" s="87"/>
      <c r="AJ1905" s="87"/>
      <c r="AK1905" s="87"/>
      <c r="AL1905" s="87"/>
      <c r="AM1905" s="87"/>
      <c r="AN1905" s="87"/>
      <c r="AO1905" s="87"/>
      <c r="AP1905" s="87"/>
      <c r="AQ1905" s="87"/>
      <c r="AR1905" s="87"/>
      <c r="AS1905" s="87"/>
      <c r="AT1905" s="87"/>
      <c r="AU1905" s="87"/>
      <c r="AV1905" s="87"/>
      <c r="AW1905" s="87"/>
      <c r="AX1905" s="87"/>
      <c r="AY1905" s="87"/>
      <c r="AZ1905" s="87"/>
      <c r="BA1905" s="87"/>
      <c r="BB1905" s="87"/>
      <c r="BC1905" s="87"/>
      <c r="BD1905" s="87"/>
      <c r="BE1905" s="87"/>
      <c r="BF1905" s="87"/>
      <c r="BG1905" s="87"/>
      <c r="BH1905" s="87"/>
    </row>
    <row r="1906" spans="1:60" ht="16">
      <c r="A1906" s="82"/>
      <c r="B1906" s="82"/>
      <c r="C1906" s="82"/>
      <c r="D1906" s="83"/>
      <c r="E1906" s="84"/>
      <c r="F1906" s="84"/>
      <c r="G1906" s="84"/>
      <c r="H1906" s="82"/>
      <c r="I1906" s="84"/>
      <c r="J1906" s="84"/>
      <c r="K1906" s="84"/>
      <c r="L1906" s="84"/>
      <c r="M1906" s="84"/>
      <c r="N1906" s="84"/>
      <c r="O1906" s="84"/>
      <c r="P1906" s="84"/>
      <c r="Q1906" s="84"/>
      <c r="R1906" s="84"/>
      <c r="S1906" s="84"/>
      <c r="T1906" s="84"/>
      <c r="U1906" s="84"/>
      <c r="V1906" s="84"/>
      <c r="W1906" s="84"/>
      <c r="X1906" s="84"/>
      <c r="Y1906" s="84"/>
      <c r="Z1906" s="87"/>
      <c r="AA1906" s="87"/>
      <c r="AB1906" s="87"/>
      <c r="AC1906" s="87"/>
      <c r="AD1906" s="87"/>
      <c r="AE1906" s="87"/>
      <c r="AF1906" s="87"/>
      <c r="AG1906" s="87"/>
      <c r="AH1906" s="87"/>
      <c r="AI1906" s="87"/>
      <c r="AJ1906" s="87"/>
      <c r="AK1906" s="87"/>
      <c r="AL1906" s="87"/>
      <c r="AM1906" s="87"/>
      <c r="AN1906" s="87"/>
      <c r="AO1906" s="87"/>
      <c r="AP1906" s="87"/>
      <c r="AQ1906" s="87"/>
      <c r="AR1906" s="87"/>
      <c r="AS1906" s="87"/>
      <c r="AT1906" s="87"/>
      <c r="AU1906" s="87"/>
      <c r="AV1906" s="87"/>
      <c r="AW1906" s="87"/>
      <c r="AX1906" s="87"/>
      <c r="AY1906" s="87"/>
      <c r="AZ1906" s="87"/>
      <c r="BA1906" s="87"/>
      <c r="BB1906" s="87"/>
      <c r="BC1906" s="87"/>
      <c r="BD1906" s="87"/>
      <c r="BE1906" s="87"/>
      <c r="BF1906" s="87"/>
      <c r="BG1906" s="87"/>
      <c r="BH1906" s="87"/>
    </row>
    <row r="1907" spans="1:60" ht="16">
      <c r="A1907" s="82"/>
      <c r="B1907" s="82"/>
      <c r="C1907" s="82"/>
      <c r="D1907" s="83"/>
      <c r="E1907" s="84"/>
      <c r="F1907" s="84"/>
      <c r="G1907" s="84"/>
      <c r="H1907" s="82"/>
      <c r="I1907" s="84"/>
      <c r="J1907" s="84"/>
      <c r="K1907" s="84"/>
      <c r="L1907" s="84"/>
      <c r="M1907" s="84"/>
      <c r="N1907" s="84"/>
      <c r="O1907" s="84"/>
      <c r="P1907" s="84"/>
      <c r="Q1907" s="84"/>
      <c r="R1907" s="84"/>
      <c r="S1907" s="84"/>
      <c r="T1907" s="84"/>
      <c r="U1907" s="84"/>
      <c r="V1907" s="84"/>
      <c r="W1907" s="84"/>
      <c r="X1907" s="84"/>
      <c r="Y1907" s="84"/>
      <c r="Z1907" s="87"/>
      <c r="AA1907" s="87"/>
      <c r="AB1907" s="87"/>
      <c r="AC1907" s="87"/>
      <c r="AD1907" s="87"/>
      <c r="AE1907" s="87"/>
      <c r="AF1907" s="87"/>
      <c r="AG1907" s="87"/>
      <c r="AH1907" s="87"/>
      <c r="AI1907" s="87"/>
      <c r="AJ1907" s="87"/>
      <c r="AK1907" s="87"/>
      <c r="AL1907" s="87"/>
      <c r="AM1907" s="87"/>
      <c r="AN1907" s="87"/>
      <c r="AO1907" s="87"/>
      <c r="AP1907" s="87"/>
      <c r="AQ1907" s="87"/>
      <c r="AR1907" s="87"/>
      <c r="AS1907" s="87"/>
      <c r="AT1907" s="87"/>
      <c r="AU1907" s="87"/>
      <c r="AV1907" s="87"/>
      <c r="AW1907" s="87"/>
      <c r="AX1907" s="87"/>
      <c r="AY1907" s="87"/>
      <c r="AZ1907" s="87"/>
      <c r="BA1907" s="87"/>
      <c r="BB1907" s="87"/>
      <c r="BC1907" s="87"/>
      <c r="BD1907" s="87"/>
      <c r="BE1907" s="87"/>
      <c r="BF1907" s="87"/>
      <c r="BG1907" s="87"/>
      <c r="BH1907" s="87"/>
    </row>
    <row r="1908" spans="1:60" ht="16">
      <c r="A1908" s="82"/>
      <c r="B1908" s="82"/>
      <c r="C1908" s="82"/>
      <c r="D1908" s="83"/>
      <c r="E1908" s="84"/>
      <c r="F1908" s="84"/>
      <c r="G1908" s="84"/>
      <c r="H1908" s="82"/>
      <c r="I1908" s="84"/>
      <c r="J1908" s="84"/>
      <c r="K1908" s="84"/>
      <c r="L1908" s="84"/>
      <c r="M1908" s="84"/>
      <c r="N1908" s="84"/>
      <c r="O1908" s="84"/>
      <c r="P1908" s="84"/>
      <c r="Q1908" s="84"/>
      <c r="R1908" s="84"/>
      <c r="S1908" s="84"/>
      <c r="T1908" s="84"/>
      <c r="U1908" s="84"/>
      <c r="V1908" s="84"/>
      <c r="W1908" s="84"/>
      <c r="X1908" s="84"/>
      <c r="Y1908" s="84"/>
      <c r="Z1908" s="87"/>
      <c r="AA1908" s="87"/>
      <c r="AB1908" s="87"/>
      <c r="AC1908" s="87"/>
      <c r="AD1908" s="87"/>
      <c r="AE1908" s="87"/>
      <c r="AF1908" s="87"/>
      <c r="AG1908" s="87"/>
      <c r="AH1908" s="87"/>
      <c r="AI1908" s="87"/>
      <c r="AJ1908" s="87"/>
      <c r="AK1908" s="87"/>
      <c r="AL1908" s="87"/>
      <c r="AM1908" s="87"/>
      <c r="AN1908" s="87"/>
      <c r="AO1908" s="87"/>
      <c r="AP1908" s="87"/>
      <c r="AQ1908" s="87"/>
      <c r="AR1908" s="87"/>
      <c r="AS1908" s="87"/>
      <c r="AT1908" s="87"/>
      <c r="AU1908" s="87"/>
      <c r="AV1908" s="87"/>
      <c r="AW1908" s="87"/>
      <c r="AX1908" s="87"/>
      <c r="AY1908" s="87"/>
      <c r="AZ1908" s="87"/>
      <c r="BA1908" s="87"/>
      <c r="BB1908" s="87"/>
      <c r="BC1908" s="87"/>
      <c r="BD1908" s="87"/>
      <c r="BE1908" s="87"/>
      <c r="BF1908" s="87"/>
      <c r="BG1908" s="87"/>
      <c r="BH1908" s="87"/>
    </row>
    <row r="1909" spans="1:60" ht="16">
      <c r="A1909" s="82"/>
      <c r="B1909" s="82"/>
      <c r="C1909" s="82"/>
      <c r="D1909" s="83"/>
      <c r="E1909" s="84"/>
      <c r="F1909" s="84"/>
      <c r="G1909" s="84"/>
      <c r="H1909" s="82"/>
      <c r="I1909" s="84"/>
      <c r="J1909" s="84"/>
      <c r="K1909" s="84"/>
      <c r="L1909" s="84"/>
      <c r="M1909" s="84"/>
      <c r="N1909" s="84"/>
      <c r="O1909" s="84"/>
      <c r="P1909" s="84"/>
      <c r="Q1909" s="84"/>
      <c r="R1909" s="84"/>
      <c r="S1909" s="84"/>
      <c r="T1909" s="84"/>
      <c r="U1909" s="84"/>
      <c r="V1909" s="84"/>
      <c r="W1909" s="84"/>
      <c r="X1909" s="84"/>
      <c r="Y1909" s="84"/>
      <c r="Z1909" s="87"/>
      <c r="AA1909" s="87"/>
      <c r="AB1909" s="87"/>
      <c r="AC1909" s="87"/>
      <c r="AD1909" s="87"/>
      <c r="AE1909" s="87"/>
      <c r="AF1909" s="87"/>
      <c r="AG1909" s="87"/>
      <c r="AH1909" s="87"/>
      <c r="AI1909" s="87"/>
      <c r="AJ1909" s="87"/>
      <c r="AK1909" s="87"/>
      <c r="AL1909" s="87"/>
      <c r="AM1909" s="87"/>
      <c r="AN1909" s="87"/>
      <c r="AO1909" s="87"/>
      <c r="AP1909" s="87"/>
      <c r="AQ1909" s="87"/>
      <c r="AR1909" s="87"/>
      <c r="AS1909" s="87"/>
      <c r="AT1909" s="87"/>
      <c r="AU1909" s="87"/>
      <c r="AV1909" s="87"/>
      <c r="AW1909" s="87"/>
      <c r="AX1909" s="87"/>
      <c r="AY1909" s="87"/>
      <c r="AZ1909" s="87"/>
      <c r="BA1909" s="87"/>
      <c r="BB1909" s="87"/>
      <c r="BC1909" s="87"/>
      <c r="BD1909" s="87"/>
      <c r="BE1909" s="87"/>
      <c r="BF1909" s="87"/>
      <c r="BG1909" s="87"/>
      <c r="BH1909" s="87"/>
    </row>
    <row r="1910" spans="1:60" ht="16">
      <c r="A1910" s="82"/>
      <c r="B1910" s="82"/>
      <c r="C1910" s="82"/>
      <c r="D1910" s="83"/>
      <c r="E1910" s="84"/>
      <c r="F1910" s="84"/>
      <c r="G1910" s="84"/>
      <c r="H1910" s="82"/>
      <c r="I1910" s="84"/>
      <c r="J1910" s="84"/>
      <c r="K1910" s="84"/>
      <c r="L1910" s="84"/>
      <c r="M1910" s="84"/>
      <c r="N1910" s="84"/>
      <c r="O1910" s="84"/>
      <c r="P1910" s="84"/>
      <c r="Q1910" s="84"/>
      <c r="R1910" s="84"/>
      <c r="S1910" s="84"/>
      <c r="T1910" s="84"/>
      <c r="U1910" s="84"/>
      <c r="V1910" s="84"/>
      <c r="W1910" s="84"/>
      <c r="X1910" s="84"/>
      <c r="Y1910" s="84"/>
      <c r="Z1910" s="87"/>
      <c r="AA1910" s="87"/>
      <c r="AB1910" s="87"/>
      <c r="AC1910" s="87"/>
      <c r="AD1910" s="87"/>
      <c r="AE1910" s="87"/>
      <c r="AF1910" s="87"/>
      <c r="AG1910" s="87"/>
      <c r="AH1910" s="87"/>
      <c r="AI1910" s="87"/>
      <c r="AJ1910" s="87"/>
      <c r="AK1910" s="87"/>
      <c r="AL1910" s="87"/>
      <c r="AM1910" s="87"/>
      <c r="AN1910" s="87"/>
      <c r="AO1910" s="87"/>
      <c r="AP1910" s="87"/>
      <c r="AQ1910" s="87"/>
      <c r="AR1910" s="87"/>
      <c r="AS1910" s="87"/>
      <c r="AT1910" s="87"/>
      <c r="AU1910" s="87"/>
      <c r="AV1910" s="87"/>
      <c r="AW1910" s="87"/>
      <c r="AX1910" s="87"/>
      <c r="AY1910" s="87"/>
      <c r="AZ1910" s="87"/>
      <c r="BA1910" s="87"/>
      <c r="BB1910" s="87"/>
      <c r="BC1910" s="87"/>
      <c r="BD1910" s="87"/>
      <c r="BE1910" s="87"/>
      <c r="BF1910" s="87"/>
      <c r="BG1910" s="87"/>
      <c r="BH1910" s="87"/>
    </row>
    <row r="1911" spans="1:60" ht="16">
      <c r="A1911" s="82"/>
      <c r="B1911" s="82"/>
      <c r="C1911" s="82"/>
      <c r="D1911" s="83"/>
      <c r="E1911" s="84"/>
      <c r="F1911" s="84"/>
      <c r="G1911" s="84"/>
      <c r="H1911" s="82"/>
      <c r="I1911" s="84"/>
      <c r="J1911" s="84"/>
      <c r="K1911" s="84"/>
      <c r="L1911" s="84"/>
      <c r="M1911" s="84"/>
      <c r="N1911" s="84"/>
      <c r="O1911" s="84"/>
      <c r="P1911" s="84"/>
      <c r="Q1911" s="84"/>
      <c r="R1911" s="84"/>
      <c r="S1911" s="84"/>
      <c r="T1911" s="84"/>
      <c r="U1911" s="84"/>
      <c r="V1911" s="84"/>
      <c r="W1911" s="84"/>
      <c r="X1911" s="84"/>
      <c r="Y1911" s="84"/>
      <c r="Z1911" s="87"/>
      <c r="AA1911" s="87"/>
      <c r="AB1911" s="87"/>
      <c r="AC1911" s="87"/>
      <c r="AD1911" s="87"/>
      <c r="AE1911" s="87"/>
      <c r="AF1911" s="87"/>
      <c r="AG1911" s="87"/>
      <c r="AH1911" s="87"/>
      <c r="AI1911" s="87"/>
      <c r="AJ1911" s="87"/>
      <c r="AK1911" s="87"/>
      <c r="AL1911" s="87"/>
      <c r="AM1911" s="87"/>
      <c r="AN1911" s="87"/>
      <c r="AO1911" s="87"/>
      <c r="AP1911" s="87"/>
      <c r="AQ1911" s="87"/>
      <c r="AR1911" s="87"/>
      <c r="AS1911" s="87"/>
      <c r="AT1911" s="87"/>
      <c r="AU1911" s="87"/>
      <c r="AV1911" s="87"/>
      <c r="AW1911" s="87"/>
      <c r="AX1911" s="87"/>
      <c r="AY1911" s="87"/>
      <c r="AZ1911" s="87"/>
      <c r="BA1911" s="87"/>
      <c r="BB1911" s="87"/>
      <c r="BC1911" s="87"/>
      <c r="BD1911" s="87"/>
      <c r="BE1911" s="87"/>
      <c r="BF1911" s="87"/>
      <c r="BG1911" s="87"/>
      <c r="BH1911" s="87"/>
    </row>
    <row r="1912" spans="1:60" ht="16">
      <c r="A1912" s="82"/>
      <c r="B1912" s="82"/>
      <c r="C1912" s="82"/>
      <c r="D1912" s="83"/>
      <c r="E1912" s="84"/>
      <c r="F1912" s="84"/>
      <c r="G1912" s="84"/>
      <c r="H1912" s="82"/>
      <c r="I1912" s="84"/>
      <c r="J1912" s="84"/>
      <c r="K1912" s="84"/>
      <c r="L1912" s="84"/>
      <c r="M1912" s="84"/>
      <c r="N1912" s="84"/>
      <c r="O1912" s="84"/>
      <c r="P1912" s="84"/>
      <c r="Q1912" s="84"/>
      <c r="R1912" s="84"/>
      <c r="S1912" s="84"/>
      <c r="T1912" s="84"/>
      <c r="U1912" s="84"/>
      <c r="V1912" s="84"/>
      <c r="W1912" s="84"/>
      <c r="X1912" s="84"/>
      <c r="Y1912" s="84"/>
      <c r="Z1912" s="87"/>
      <c r="AA1912" s="87"/>
      <c r="AB1912" s="87"/>
      <c r="AC1912" s="87"/>
      <c r="AD1912" s="87"/>
      <c r="AE1912" s="87"/>
      <c r="AF1912" s="87"/>
      <c r="AG1912" s="87"/>
      <c r="AH1912" s="87"/>
      <c r="AI1912" s="87"/>
      <c r="AJ1912" s="87"/>
      <c r="AK1912" s="87"/>
      <c r="AL1912" s="87"/>
      <c r="AM1912" s="87"/>
      <c r="AN1912" s="87"/>
      <c r="AO1912" s="87"/>
      <c r="AP1912" s="87"/>
      <c r="AQ1912" s="87"/>
      <c r="AR1912" s="87"/>
      <c r="AS1912" s="87"/>
      <c r="AT1912" s="87"/>
      <c r="AU1912" s="87"/>
      <c r="AV1912" s="87"/>
      <c r="AW1912" s="87"/>
      <c r="AX1912" s="87"/>
      <c r="AY1912" s="87"/>
      <c r="AZ1912" s="87"/>
      <c r="BA1912" s="87"/>
      <c r="BB1912" s="87"/>
      <c r="BC1912" s="87"/>
      <c r="BD1912" s="87"/>
      <c r="BE1912" s="87"/>
      <c r="BF1912" s="87"/>
      <c r="BG1912" s="87"/>
      <c r="BH1912" s="87"/>
    </row>
    <row r="1913" spans="1:60" ht="16">
      <c r="A1913" s="82"/>
      <c r="B1913" s="82"/>
      <c r="C1913" s="82"/>
      <c r="D1913" s="83"/>
      <c r="E1913" s="84"/>
      <c r="F1913" s="84"/>
      <c r="G1913" s="84"/>
      <c r="H1913" s="82"/>
      <c r="I1913" s="84"/>
      <c r="J1913" s="84"/>
      <c r="K1913" s="84"/>
      <c r="L1913" s="84"/>
      <c r="M1913" s="84"/>
      <c r="N1913" s="84"/>
      <c r="O1913" s="84"/>
      <c r="P1913" s="84"/>
      <c r="Q1913" s="84"/>
      <c r="R1913" s="84"/>
      <c r="S1913" s="84"/>
      <c r="T1913" s="84"/>
      <c r="U1913" s="84"/>
      <c r="V1913" s="84"/>
      <c r="W1913" s="84"/>
      <c r="X1913" s="84"/>
      <c r="Y1913" s="84"/>
      <c r="Z1913" s="87"/>
      <c r="AA1913" s="87"/>
      <c r="AB1913" s="87"/>
      <c r="AC1913" s="87"/>
      <c r="AD1913" s="87"/>
      <c r="AE1913" s="87"/>
      <c r="AF1913" s="87"/>
      <c r="AG1913" s="87"/>
      <c r="AH1913" s="87"/>
      <c r="AI1913" s="87"/>
      <c r="AJ1913" s="87"/>
      <c r="AK1913" s="87"/>
      <c r="AL1913" s="87"/>
      <c r="AM1913" s="87"/>
      <c r="AN1913" s="87"/>
      <c r="AO1913" s="87"/>
      <c r="AP1913" s="87"/>
      <c r="AQ1913" s="87"/>
      <c r="AR1913" s="87"/>
      <c r="AS1913" s="87"/>
      <c r="AT1913" s="87"/>
      <c r="AU1913" s="87"/>
      <c r="AV1913" s="87"/>
      <c r="AW1913" s="87"/>
      <c r="AX1913" s="87"/>
      <c r="AY1913" s="87"/>
      <c r="AZ1913" s="87"/>
      <c r="BA1913" s="87"/>
      <c r="BB1913" s="87"/>
      <c r="BC1913" s="87"/>
      <c r="BD1913" s="87"/>
      <c r="BE1913" s="87"/>
      <c r="BF1913" s="87"/>
      <c r="BG1913" s="87"/>
      <c r="BH1913" s="87"/>
    </row>
    <row r="1914" spans="1:60" ht="16">
      <c r="A1914" s="82"/>
      <c r="B1914" s="82"/>
      <c r="C1914" s="82"/>
      <c r="D1914" s="83"/>
      <c r="E1914" s="84"/>
      <c r="F1914" s="84"/>
      <c r="G1914" s="84"/>
      <c r="H1914" s="82"/>
      <c r="I1914" s="84"/>
      <c r="J1914" s="84"/>
      <c r="K1914" s="84"/>
      <c r="L1914" s="84"/>
      <c r="M1914" s="84"/>
      <c r="N1914" s="84"/>
      <c r="O1914" s="84"/>
      <c r="P1914" s="84"/>
      <c r="Q1914" s="84"/>
      <c r="R1914" s="84"/>
      <c r="S1914" s="84"/>
      <c r="T1914" s="84"/>
      <c r="U1914" s="84"/>
      <c r="V1914" s="84"/>
      <c r="W1914" s="84"/>
      <c r="X1914" s="84"/>
      <c r="Y1914" s="84"/>
      <c r="Z1914" s="87"/>
      <c r="AA1914" s="87"/>
      <c r="AB1914" s="87"/>
      <c r="AC1914" s="87"/>
      <c r="AD1914" s="87"/>
      <c r="AE1914" s="87"/>
      <c r="AF1914" s="87"/>
      <c r="AG1914" s="87"/>
      <c r="AH1914" s="87"/>
      <c r="AI1914" s="87"/>
      <c r="AJ1914" s="87"/>
      <c r="AK1914" s="87"/>
      <c r="AL1914" s="87"/>
      <c r="AM1914" s="87"/>
      <c r="AN1914" s="87"/>
      <c r="AO1914" s="87"/>
      <c r="AP1914" s="87"/>
      <c r="AQ1914" s="87"/>
      <c r="AR1914" s="87"/>
      <c r="AS1914" s="87"/>
      <c r="AT1914" s="87"/>
      <c r="AU1914" s="87"/>
      <c r="AV1914" s="87"/>
      <c r="AW1914" s="87"/>
      <c r="AX1914" s="87"/>
      <c r="AY1914" s="87"/>
      <c r="AZ1914" s="87"/>
      <c r="BA1914" s="87"/>
      <c r="BB1914" s="87"/>
      <c r="BC1914" s="87"/>
      <c r="BD1914" s="87"/>
      <c r="BE1914" s="87"/>
      <c r="BF1914" s="87"/>
      <c r="BG1914" s="87"/>
      <c r="BH1914" s="87"/>
    </row>
    <row r="1915" spans="1:60" ht="16">
      <c r="A1915" s="82"/>
      <c r="B1915" s="82"/>
      <c r="C1915" s="82"/>
      <c r="D1915" s="83"/>
      <c r="E1915" s="84"/>
      <c r="F1915" s="84"/>
      <c r="G1915" s="84"/>
      <c r="H1915" s="82"/>
      <c r="I1915" s="84"/>
      <c r="J1915" s="84"/>
      <c r="K1915" s="84"/>
      <c r="L1915" s="84"/>
      <c r="M1915" s="84"/>
      <c r="N1915" s="84"/>
      <c r="O1915" s="84"/>
      <c r="P1915" s="84"/>
      <c r="Q1915" s="84"/>
      <c r="R1915" s="84"/>
      <c r="S1915" s="84"/>
      <c r="T1915" s="84"/>
      <c r="U1915" s="84"/>
      <c r="V1915" s="84"/>
      <c r="W1915" s="84"/>
      <c r="X1915" s="84"/>
      <c r="Y1915" s="84"/>
      <c r="Z1915" s="87"/>
      <c r="AA1915" s="87"/>
      <c r="AB1915" s="87"/>
      <c r="AC1915" s="87"/>
      <c r="AD1915" s="87"/>
      <c r="AE1915" s="87"/>
      <c r="AF1915" s="87"/>
      <c r="AG1915" s="87"/>
      <c r="AH1915" s="87"/>
      <c r="AI1915" s="87"/>
      <c r="AJ1915" s="87"/>
      <c r="AK1915" s="87"/>
      <c r="AL1915" s="87"/>
      <c r="AM1915" s="87"/>
      <c r="AN1915" s="87"/>
      <c r="AO1915" s="87"/>
      <c r="AP1915" s="87"/>
      <c r="AQ1915" s="87"/>
      <c r="AR1915" s="87"/>
      <c r="AS1915" s="87"/>
      <c r="AT1915" s="87"/>
      <c r="AU1915" s="87"/>
      <c r="AV1915" s="87"/>
      <c r="AW1915" s="87"/>
      <c r="AX1915" s="87"/>
      <c r="AY1915" s="87"/>
      <c r="AZ1915" s="87"/>
      <c r="BA1915" s="87"/>
      <c r="BB1915" s="87"/>
      <c r="BC1915" s="87"/>
      <c r="BD1915" s="87"/>
      <c r="BE1915" s="87"/>
      <c r="BF1915" s="87"/>
      <c r="BG1915" s="87"/>
      <c r="BH1915" s="87"/>
    </row>
    <row r="1916" spans="1:60" ht="16">
      <c r="A1916" s="82"/>
      <c r="B1916" s="82"/>
      <c r="C1916" s="82"/>
      <c r="D1916" s="83"/>
      <c r="E1916" s="84"/>
      <c r="F1916" s="84"/>
      <c r="G1916" s="84"/>
      <c r="H1916" s="82"/>
      <c r="I1916" s="84"/>
      <c r="J1916" s="84"/>
      <c r="K1916" s="84"/>
      <c r="L1916" s="84"/>
      <c r="M1916" s="84"/>
      <c r="N1916" s="84"/>
      <c r="O1916" s="84"/>
      <c r="P1916" s="84"/>
      <c r="Q1916" s="84"/>
      <c r="R1916" s="84"/>
      <c r="S1916" s="84"/>
      <c r="T1916" s="84"/>
      <c r="U1916" s="84"/>
      <c r="V1916" s="84"/>
      <c r="W1916" s="84"/>
      <c r="X1916" s="84"/>
      <c r="Y1916" s="84"/>
      <c r="Z1916" s="87"/>
      <c r="AA1916" s="87"/>
      <c r="AB1916" s="87"/>
      <c r="AC1916" s="87"/>
      <c r="AD1916" s="87"/>
      <c r="AE1916" s="87"/>
      <c r="AF1916" s="87"/>
      <c r="AG1916" s="87"/>
      <c r="AH1916" s="87"/>
      <c r="AI1916" s="87"/>
      <c r="AJ1916" s="87"/>
      <c r="AK1916" s="87"/>
      <c r="AL1916" s="87"/>
      <c r="AM1916" s="87"/>
      <c r="AN1916" s="87"/>
      <c r="AO1916" s="87"/>
      <c r="AP1916" s="87"/>
      <c r="AQ1916" s="87"/>
      <c r="AR1916" s="87"/>
      <c r="AS1916" s="87"/>
      <c r="AT1916" s="87"/>
      <c r="AU1916" s="87"/>
      <c r="AV1916" s="87"/>
      <c r="AW1916" s="87"/>
      <c r="AX1916" s="87"/>
      <c r="AY1916" s="87"/>
      <c r="AZ1916" s="87"/>
      <c r="BA1916" s="87"/>
      <c r="BB1916" s="87"/>
      <c r="BC1916" s="87"/>
      <c r="BD1916" s="87"/>
      <c r="BE1916" s="87"/>
      <c r="BF1916" s="87"/>
      <c r="BG1916" s="87"/>
      <c r="BH1916" s="87"/>
    </row>
    <row r="1917" spans="1:60" ht="16">
      <c r="A1917" s="82"/>
      <c r="B1917" s="82"/>
      <c r="C1917" s="82"/>
      <c r="D1917" s="83"/>
      <c r="E1917" s="84"/>
      <c r="F1917" s="84"/>
      <c r="G1917" s="84"/>
      <c r="H1917" s="82"/>
      <c r="I1917" s="84"/>
      <c r="J1917" s="84"/>
      <c r="K1917" s="84"/>
      <c r="L1917" s="84"/>
      <c r="M1917" s="84"/>
      <c r="N1917" s="84"/>
      <c r="O1917" s="84"/>
      <c r="P1917" s="84"/>
      <c r="Q1917" s="84"/>
      <c r="R1917" s="84"/>
      <c r="S1917" s="84"/>
      <c r="T1917" s="84"/>
      <c r="U1917" s="84"/>
      <c r="V1917" s="84"/>
      <c r="W1917" s="84"/>
      <c r="X1917" s="84"/>
      <c r="Y1917" s="84"/>
      <c r="Z1917" s="87"/>
      <c r="AA1917" s="87"/>
      <c r="AB1917" s="87"/>
      <c r="AC1917" s="87"/>
      <c r="AD1917" s="87"/>
      <c r="AE1917" s="87"/>
      <c r="AF1917" s="87"/>
      <c r="AG1917" s="87"/>
      <c r="AH1917" s="87"/>
      <c r="AI1917" s="87"/>
      <c r="AJ1917" s="87"/>
      <c r="AK1917" s="87"/>
      <c r="AL1917" s="87"/>
      <c r="AM1917" s="87"/>
      <c r="AN1917" s="87"/>
      <c r="AO1917" s="87"/>
      <c r="AP1917" s="87"/>
      <c r="AQ1917" s="87"/>
      <c r="AR1917" s="87"/>
      <c r="AS1917" s="87"/>
      <c r="AT1917" s="87"/>
      <c r="AU1917" s="87"/>
      <c r="AV1917" s="87"/>
      <c r="AW1917" s="87"/>
      <c r="AX1917" s="87"/>
      <c r="AY1917" s="87"/>
      <c r="AZ1917" s="87"/>
      <c r="BA1917" s="87"/>
      <c r="BB1917" s="87"/>
      <c r="BC1917" s="87"/>
      <c r="BD1917" s="87"/>
      <c r="BE1917" s="87"/>
      <c r="BF1917" s="87"/>
      <c r="BG1917" s="87"/>
      <c r="BH1917" s="87"/>
    </row>
    <row r="1918" spans="1:60" ht="16">
      <c r="A1918" s="82"/>
      <c r="B1918" s="82"/>
      <c r="C1918" s="82"/>
      <c r="D1918" s="83"/>
      <c r="E1918" s="84"/>
      <c r="F1918" s="84"/>
      <c r="G1918" s="84"/>
      <c r="H1918" s="82"/>
      <c r="I1918" s="84"/>
      <c r="J1918" s="84"/>
      <c r="K1918" s="84"/>
      <c r="L1918" s="84"/>
      <c r="M1918" s="84"/>
      <c r="N1918" s="84"/>
      <c r="O1918" s="84"/>
      <c r="P1918" s="84"/>
      <c r="Q1918" s="84"/>
      <c r="R1918" s="84"/>
      <c r="S1918" s="84"/>
      <c r="T1918" s="84"/>
      <c r="U1918" s="84"/>
      <c r="V1918" s="84"/>
      <c r="W1918" s="84"/>
      <c r="X1918" s="84"/>
      <c r="Y1918" s="84"/>
      <c r="Z1918" s="87"/>
      <c r="AA1918" s="87"/>
      <c r="AB1918" s="87"/>
      <c r="AC1918" s="87"/>
      <c r="AD1918" s="87"/>
      <c r="AE1918" s="87"/>
      <c r="AF1918" s="87"/>
      <c r="AG1918" s="87"/>
      <c r="AH1918" s="87"/>
      <c r="AI1918" s="87"/>
      <c r="AJ1918" s="87"/>
      <c r="AK1918" s="87"/>
      <c r="AL1918" s="87"/>
      <c r="AM1918" s="87"/>
      <c r="AN1918" s="87"/>
      <c r="AO1918" s="87"/>
      <c r="AP1918" s="87"/>
      <c r="AQ1918" s="87"/>
      <c r="AR1918" s="87"/>
      <c r="AS1918" s="87"/>
      <c r="AT1918" s="87"/>
      <c r="AU1918" s="87"/>
      <c r="AV1918" s="87"/>
      <c r="AW1918" s="87"/>
      <c r="AX1918" s="87"/>
      <c r="AY1918" s="87"/>
      <c r="AZ1918" s="87"/>
      <c r="BA1918" s="87"/>
      <c r="BB1918" s="87"/>
      <c r="BC1918" s="87"/>
      <c r="BD1918" s="87"/>
      <c r="BE1918" s="87"/>
      <c r="BF1918" s="87"/>
      <c r="BG1918" s="87"/>
      <c r="BH1918" s="87"/>
    </row>
    <row r="1919" spans="1:60" ht="16">
      <c r="A1919" s="82"/>
      <c r="B1919" s="82"/>
      <c r="C1919" s="82"/>
      <c r="D1919" s="83"/>
      <c r="E1919" s="84"/>
      <c r="F1919" s="84"/>
      <c r="G1919" s="84"/>
      <c r="H1919" s="82"/>
      <c r="I1919" s="84"/>
      <c r="J1919" s="84"/>
      <c r="K1919" s="84"/>
      <c r="L1919" s="84"/>
      <c r="M1919" s="84"/>
      <c r="N1919" s="84"/>
      <c r="O1919" s="84"/>
      <c r="P1919" s="84"/>
      <c r="Q1919" s="84"/>
      <c r="R1919" s="84"/>
      <c r="S1919" s="84"/>
      <c r="T1919" s="84"/>
      <c r="U1919" s="84"/>
      <c r="V1919" s="84"/>
      <c r="W1919" s="84"/>
      <c r="X1919" s="84"/>
      <c r="Y1919" s="84"/>
      <c r="Z1919" s="87"/>
      <c r="AA1919" s="87"/>
      <c r="AB1919" s="87"/>
      <c r="AC1919" s="87"/>
      <c r="AD1919" s="87"/>
      <c r="AE1919" s="87"/>
      <c r="AF1919" s="87"/>
      <c r="AG1919" s="87"/>
      <c r="AH1919" s="87"/>
      <c r="AI1919" s="87"/>
      <c r="AJ1919" s="87"/>
      <c r="AK1919" s="87"/>
      <c r="AL1919" s="87"/>
      <c r="AM1919" s="87"/>
      <c r="AN1919" s="87"/>
      <c r="AO1919" s="87"/>
      <c r="AP1919" s="87"/>
      <c r="AQ1919" s="87"/>
      <c r="AR1919" s="87"/>
      <c r="AS1919" s="87"/>
      <c r="AT1919" s="87"/>
      <c r="AU1919" s="87"/>
      <c r="AV1919" s="87"/>
      <c r="AW1919" s="87"/>
      <c r="AX1919" s="87"/>
      <c r="AY1919" s="87"/>
      <c r="AZ1919" s="87"/>
      <c r="BA1919" s="87"/>
      <c r="BB1919" s="87"/>
      <c r="BC1919" s="87"/>
      <c r="BD1919" s="87"/>
      <c r="BE1919" s="87"/>
      <c r="BF1919" s="87"/>
      <c r="BG1919" s="87"/>
      <c r="BH1919" s="87"/>
    </row>
    <row r="1920" spans="1:60" ht="16">
      <c r="A1920" s="82"/>
      <c r="B1920" s="82"/>
      <c r="C1920" s="82"/>
      <c r="D1920" s="83"/>
      <c r="E1920" s="84"/>
      <c r="F1920" s="84"/>
      <c r="G1920" s="84"/>
      <c r="H1920" s="82"/>
      <c r="I1920" s="84"/>
      <c r="J1920" s="84"/>
      <c r="K1920" s="84"/>
      <c r="L1920" s="84"/>
      <c r="M1920" s="84"/>
      <c r="N1920" s="84"/>
      <c r="O1920" s="84"/>
      <c r="P1920" s="84"/>
      <c r="Q1920" s="84"/>
      <c r="R1920" s="84"/>
      <c r="S1920" s="84"/>
      <c r="T1920" s="84"/>
      <c r="U1920" s="84"/>
      <c r="V1920" s="84"/>
      <c r="W1920" s="84"/>
      <c r="X1920" s="84"/>
      <c r="Y1920" s="84"/>
      <c r="Z1920" s="87"/>
      <c r="AA1920" s="87"/>
      <c r="AB1920" s="87"/>
      <c r="AC1920" s="87"/>
      <c r="AD1920" s="87"/>
      <c r="AE1920" s="87"/>
      <c r="AF1920" s="87"/>
      <c r="AG1920" s="87"/>
      <c r="AH1920" s="87"/>
      <c r="AI1920" s="87"/>
      <c r="AJ1920" s="87"/>
      <c r="AK1920" s="87"/>
      <c r="AL1920" s="87"/>
      <c r="AM1920" s="87"/>
      <c r="AN1920" s="87"/>
      <c r="AO1920" s="87"/>
      <c r="AP1920" s="87"/>
      <c r="AQ1920" s="87"/>
      <c r="AR1920" s="87"/>
      <c r="AS1920" s="87"/>
      <c r="AT1920" s="87"/>
      <c r="AU1920" s="87"/>
      <c r="AV1920" s="87"/>
      <c r="AW1920" s="87"/>
      <c r="AX1920" s="87"/>
      <c r="AY1920" s="87"/>
      <c r="AZ1920" s="87"/>
      <c r="BA1920" s="87"/>
      <c r="BB1920" s="87"/>
      <c r="BC1920" s="87"/>
      <c r="BD1920" s="87"/>
      <c r="BE1920" s="87"/>
      <c r="BF1920" s="87"/>
      <c r="BG1920" s="87"/>
      <c r="BH1920" s="87"/>
    </row>
    <row r="1921" spans="1:60" ht="16">
      <c r="A1921" s="82"/>
      <c r="B1921" s="82"/>
      <c r="C1921" s="82"/>
      <c r="D1921" s="83"/>
      <c r="E1921" s="84"/>
      <c r="F1921" s="84"/>
      <c r="G1921" s="84"/>
      <c r="H1921" s="82"/>
      <c r="I1921" s="84"/>
      <c r="J1921" s="84"/>
      <c r="K1921" s="84"/>
      <c r="L1921" s="84"/>
      <c r="M1921" s="84"/>
      <c r="N1921" s="84"/>
      <c r="O1921" s="84"/>
      <c r="P1921" s="84"/>
      <c r="Q1921" s="84"/>
      <c r="R1921" s="84"/>
      <c r="S1921" s="84"/>
      <c r="T1921" s="84"/>
      <c r="U1921" s="84"/>
      <c r="V1921" s="84"/>
      <c r="W1921" s="84"/>
      <c r="X1921" s="84"/>
      <c r="Y1921" s="84"/>
      <c r="Z1921" s="87"/>
      <c r="AA1921" s="87"/>
      <c r="AB1921" s="87"/>
      <c r="AC1921" s="87"/>
      <c r="AD1921" s="87"/>
      <c r="AE1921" s="87"/>
      <c r="AF1921" s="87"/>
      <c r="AG1921" s="87"/>
      <c r="AH1921" s="87"/>
      <c r="AI1921" s="87"/>
      <c r="AJ1921" s="87"/>
      <c r="AK1921" s="87"/>
      <c r="AL1921" s="87"/>
      <c r="AM1921" s="87"/>
      <c r="AN1921" s="87"/>
      <c r="AO1921" s="87"/>
      <c r="AP1921" s="87"/>
      <c r="AQ1921" s="87"/>
      <c r="AR1921" s="87"/>
      <c r="AS1921" s="87"/>
      <c r="AT1921" s="87"/>
      <c r="AU1921" s="87"/>
      <c r="AV1921" s="87"/>
      <c r="AW1921" s="87"/>
      <c r="AX1921" s="87"/>
      <c r="AY1921" s="87"/>
      <c r="AZ1921" s="87"/>
      <c r="BA1921" s="87"/>
      <c r="BB1921" s="87"/>
      <c r="BC1921" s="87"/>
      <c r="BD1921" s="87"/>
      <c r="BE1921" s="87"/>
      <c r="BF1921" s="87"/>
      <c r="BG1921" s="87"/>
      <c r="BH1921" s="87"/>
    </row>
    <row r="1922" spans="1:60" ht="16">
      <c r="A1922" s="82"/>
      <c r="B1922" s="82"/>
      <c r="C1922" s="82"/>
      <c r="D1922" s="83"/>
      <c r="E1922" s="84"/>
      <c r="F1922" s="84"/>
      <c r="G1922" s="84"/>
      <c r="H1922" s="82"/>
      <c r="I1922" s="84"/>
      <c r="J1922" s="84"/>
      <c r="K1922" s="84"/>
      <c r="L1922" s="84"/>
      <c r="M1922" s="84"/>
      <c r="N1922" s="84"/>
      <c r="O1922" s="84"/>
      <c r="P1922" s="84"/>
      <c r="Q1922" s="84"/>
      <c r="R1922" s="84"/>
      <c r="S1922" s="84"/>
      <c r="T1922" s="84"/>
      <c r="U1922" s="84"/>
      <c r="V1922" s="84"/>
      <c r="W1922" s="84"/>
      <c r="X1922" s="84"/>
      <c r="Y1922" s="84"/>
      <c r="Z1922" s="87"/>
      <c r="AA1922" s="87"/>
      <c r="AB1922" s="87"/>
      <c r="AC1922" s="87"/>
      <c r="AD1922" s="87"/>
      <c r="AE1922" s="87"/>
      <c r="AF1922" s="87"/>
      <c r="AG1922" s="87"/>
      <c r="AH1922" s="87"/>
      <c r="AI1922" s="87"/>
      <c r="AJ1922" s="87"/>
      <c r="AK1922" s="87"/>
      <c r="AL1922" s="87"/>
      <c r="AM1922" s="87"/>
      <c r="AN1922" s="87"/>
      <c r="AO1922" s="87"/>
      <c r="AP1922" s="87"/>
      <c r="AQ1922" s="87"/>
      <c r="AR1922" s="87"/>
      <c r="AS1922" s="87"/>
      <c r="AT1922" s="87"/>
      <c r="AU1922" s="87"/>
      <c r="AV1922" s="87"/>
      <c r="AW1922" s="87"/>
      <c r="AX1922" s="87"/>
      <c r="AY1922" s="87"/>
      <c r="AZ1922" s="87"/>
      <c r="BA1922" s="87"/>
      <c r="BB1922" s="87"/>
      <c r="BC1922" s="87"/>
      <c r="BD1922" s="87"/>
      <c r="BE1922" s="87"/>
      <c r="BF1922" s="87"/>
      <c r="BG1922" s="87"/>
      <c r="BH1922" s="87"/>
    </row>
    <row r="1923" spans="1:60" ht="16">
      <c r="A1923" s="82"/>
      <c r="B1923" s="82"/>
      <c r="C1923" s="82"/>
      <c r="D1923" s="83"/>
      <c r="E1923" s="84"/>
      <c r="F1923" s="84"/>
      <c r="G1923" s="84"/>
      <c r="H1923" s="82"/>
      <c r="I1923" s="84"/>
      <c r="J1923" s="84"/>
      <c r="K1923" s="84"/>
      <c r="L1923" s="84"/>
      <c r="M1923" s="84"/>
      <c r="N1923" s="84"/>
      <c r="O1923" s="84"/>
      <c r="P1923" s="84"/>
      <c r="Q1923" s="84"/>
      <c r="R1923" s="84"/>
      <c r="S1923" s="84"/>
      <c r="T1923" s="84"/>
      <c r="U1923" s="84"/>
      <c r="V1923" s="84"/>
      <c r="W1923" s="84"/>
      <c r="X1923" s="84"/>
      <c r="Y1923" s="84"/>
      <c r="Z1923" s="87"/>
      <c r="AA1923" s="87"/>
      <c r="AB1923" s="87"/>
      <c r="AC1923" s="87"/>
      <c r="AD1923" s="87"/>
      <c r="AE1923" s="87"/>
      <c r="AF1923" s="87"/>
      <c r="AG1923" s="87"/>
      <c r="AH1923" s="87"/>
      <c r="AI1923" s="87"/>
      <c r="AJ1923" s="87"/>
      <c r="AK1923" s="87"/>
      <c r="AL1923" s="87"/>
      <c r="AM1923" s="87"/>
      <c r="AN1923" s="87"/>
      <c r="AO1923" s="87"/>
      <c r="AP1923" s="87"/>
      <c r="AQ1923" s="87"/>
      <c r="AR1923" s="87"/>
      <c r="AS1923" s="87"/>
      <c r="AT1923" s="87"/>
      <c r="AU1923" s="87"/>
      <c r="AV1923" s="87"/>
      <c r="AW1923" s="87"/>
      <c r="AX1923" s="87"/>
      <c r="AY1923" s="87"/>
      <c r="AZ1923" s="87"/>
      <c r="BA1923" s="87"/>
      <c r="BB1923" s="87"/>
      <c r="BC1923" s="87"/>
      <c r="BD1923" s="87"/>
      <c r="BE1923" s="87"/>
      <c r="BF1923" s="87"/>
      <c r="BG1923" s="87"/>
      <c r="BH1923" s="87"/>
    </row>
    <row r="1924" spans="1:60" ht="16">
      <c r="A1924" s="82"/>
      <c r="B1924" s="82"/>
      <c r="C1924" s="82"/>
      <c r="D1924" s="83"/>
      <c r="E1924" s="84"/>
      <c r="F1924" s="84"/>
      <c r="G1924" s="84"/>
      <c r="H1924" s="82"/>
      <c r="I1924" s="84"/>
      <c r="J1924" s="84"/>
      <c r="K1924" s="84"/>
      <c r="L1924" s="84"/>
      <c r="M1924" s="84"/>
      <c r="N1924" s="84"/>
      <c r="O1924" s="84"/>
      <c r="P1924" s="84"/>
      <c r="Q1924" s="84"/>
      <c r="R1924" s="84"/>
      <c r="S1924" s="84"/>
      <c r="T1924" s="84"/>
      <c r="U1924" s="84"/>
      <c r="V1924" s="84"/>
      <c r="W1924" s="84"/>
      <c r="X1924" s="84"/>
      <c r="Y1924" s="84"/>
      <c r="Z1924" s="87"/>
      <c r="AA1924" s="87"/>
      <c r="AB1924" s="87"/>
      <c r="AC1924" s="87"/>
      <c r="AD1924" s="87"/>
      <c r="AE1924" s="87"/>
      <c r="AF1924" s="87"/>
      <c r="AG1924" s="87"/>
      <c r="AH1924" s="87"/>
      <c r="AI1924" s="87"/>
      <c r="AJ1924" s="87"/>
      <c r="AK1924" s="87"/>
      <c r="AL1924" s="87"/>
      <c r="AM1924" s="87"/>
      <c r="AN1924" s="87"/>
      <c r="AO1924" s="87"/>
      <c r="AP1924" s="87"/>
      <c r="AQ1924" s="87"/>
      <c r="AR1924" s="87"/>
      <c r="AS1924" s="87"/>
      <c r="AT1924" s="87"/>
      <c r="AU1924" s="87"/>
      <c r="AV1924" s="87"/>
      <c r="AW1924" s="87"/>
      <c r="AX1924" s="87"/>
      <c r="AY1924" s="87"/>
      <c r="AZ1924" s="87"/>
      <c r="BA1924" s="87"/>
      <c r="BB1924" s="87"/>
      <c r="BC1924" s="87"/>
      <c r="BD1924" s="87"/>
      <c r="BE1924" s="87"/>
      <c r="BF1924" s="87"/>
      <c r="BG1924" s="87"/>
      <c r="BH1924" s="87"/>
    </row>
    <row r="1925" spans="1:60" ht="16">
      <c r="A1925" s="82"/>
      <c r="B1925" s="82"/>
      <c r="C1925" s="82"/>
      <c r="D1925" s="83"/>
      <c r="E1925" s="84"/>
      <c r="F1925" s="84"/>
      <c r="G1925" s="84"/>
      <c r="H1925" s="82"/>
      <c r="I1925" s="84"/>
      <c r="J1925" s="84"/>
      <c r="K1925" s="84"/>
      <c r="L1925" s="84"/>
      <c r="M1925" s="84"/>
      <c r="N1925" s="84"/>
      <c r="O1925" s="84"/>
      <c r="P1925" s="84"/>
      <c r="Q1925" s="84"/>
      <c r="R1925" s="84"/>
      <c r="S1925" s="84"/>
      <c r="T1925" s="84"/>
      <c r="U1925" s="84"/>
      <c r="V1925" s="84"/>
      <c r="W1925" s="84"/>
      <c r="X1925" s="84"/>
      <c r="Y1925" s="84"/>
      <c r="Z1925" s="87"/>
      <c r="AA1925" s="87"/>
      <c r="AB1925" s="87"/>
      <c r="AC1925" s="87"/>
      <c r="AD1925" s="87"/>
      <c r="AE1925" s="87"/>
      <c r="AF1925" s="87"/>
      <c r="AG1925" s="87"/>
      <c r="AH1925" s="87"/>
      <c r="AI1925" s="87"/>
      <c r="AJ1925" s="87"/>
      <c r="AK1925" s="87"/>
      <c r="AL1925" s="87"/>
      <c r="AM1925" s="87"/>
      <c r="AN1925" s="87"/>
      <c r="AO1925" s="87"/>
      <c r="AP1925" s="87"/>
      <c r="AQ1925" s="87"/>
      <c r="AR1925" s="87"/>
      <c r="AS1925" s="87"/>
      <c r="AT1925" s="87"/>
      <c r="AU1925" s="87"/>
      <c r="AV1925" s="87"/>
      <c r="AW1925" s="87"/>
      <c r="AX1925" s="87"/>
      <c r="AY1925" s="87"/>
      <c r="AZ1925" s="87"/>
      <c r="BA1925" s="87"/>
      <c r="BB1925" s="87"/>
      <c r="BC1925" s="87"/>
      <c r="BD1925" s="87"/>
      <c r="BE1925" s="87"/>
      <c r="BF1925" s="87"/>
      <c r="BG1925" s="87"/>
      <c r="BH1925" s="87"/>
    </row>
    <row r="1926" spans="1:60" ht="16">
      <c r="A1926" s="82"/>
      <c r="B1926" s="82"/>
      <c r="C1926" s="82"/>
      <c r="D1926" s="83"/>
      <c r="E1926" s="84"/>
      <c r="F1926" s="84"/>
      <c r="G1926" s="84"/>
      <c r="H1926" s="82"/>
      <c r="I1926" s="84"/>
      <c r="J1926" s="84"/>
      <c r="K1926" s="84"/>
      <c r="L1926" s="84"/>
      <c r="M1926" s="84"/>
      <c r="N1926" s="84"/>
      <c r="O1926" s="84"/>
      <c r="P1926" s="84"/>
      <c r="Q1926" s="84"/>
      <c r="R1926" s="84"/>
      <c r="S1926" s="84"/>
      <c r="T1926" s="84"/>
      <c r="U1926" s="84"/>
      <c r="V1926" s="84"/>
      <c r="W1926" s="84"/>
      <c r="X1926" s="84"/>
      <c r="Y1926" s="84"/>
      <c r="Z1926" s="87"/>
      <c r="AA1926" s="87"/>
      <c r="AB1926" s="87"/>
      <c r="AC1926" s="87"/>
      <c r="AD1926" s="87"/>
      <c r="AE1926" s="87"/>
      <c r="AF1926" s="87"/>
      <c r="AG1926" s="87"/>
      <c r="AH1926" s="87"/>
      <c r="AI1926" s="87"/>
      <c r="AJ1926" s="87"/>
      <c r="AK1926" s="87"/>
      <c r="AL1926" s="87"/>
      <c r="AM1926" s="87"/>
      <c r="AN1926" s="87"/>
      <c r="AO1926" s="87"/>
      <c r="AP1926" s="87"/>
      <c r="AQ1926" s="87"/>
      <c r="AR1926" s="87"/>
      <c r="AS1926" s="87"/>
      <c r="AT1926" s="87"/>
      <c r="AU1926" s="87"/>
      <c r="AV1926" s="87"/>
      <c r="AW1926" s="87"/>
      <c r="AX1926" s="87"/>
      <c r="AY1926" s="87"/>
      <c r="AZ1926" s="87"/>
      <c r="BA1926" s="87"/>
      <c r="BB1926" s="87"/>
      <c r="BC1926" s="87"/>
      <c r="BD1926" s="87"/>
      <c r="BE1926" s="87"/>
      <c r="BF1926" s="87"/>
      <c r="BG1926" s="87"/>
      <c r="BH1926" s="87"/>
    </row>
    <row r="1927" spans="1:60" ht="16">
      <c r="A1927" s="82"/>
      <c r="B1927" s="82"/>
      <c r="C1927" s="82"/>
      <c r="D1927" s="83"/>
      <c r="E1927" s="84"/>
      <c r="F1927" s="84"/>
      <c r="G1927" s="84"/>
      <c r="H1927" s="82"/>
      <c r="I1927" s="84"/>
      <c r="J1927" s="84"/>
      <c r="K1927" s="84"/>
      <c r="L1927" s="84"/>
      <c r="M1927" s="84"/>
      <c r="N1927" s="84"/>
      <c r="O1927" s="84"/>
      <c r="P1927" s="84"/>
      <c r="Q1927" s="84"/>
      <c r="R1927" s="84"/>
      <c r="S1927" s="84"/>
      <c r="T1927" s="84"/>
      <c r="U1927" s="84"/>
      <c r="V1927" s="84"/>
      <c r="W1927" s="84"/>
      <c r="X1927" s="84"/>
      <c r="Y1927" s="84"/>
      <c r="Z1927" s="87"/>
      <c r="AA1927" s="87"/>
      <c r="AB1927" s="87"/>
      <c r="AC1927" s="87"/>
      <c r="AD1927" s="87"/>
      <c r="AE1927" s="87"/>
      <c r="AF1927" s="87"/>
      <c r="AG1927" s="87"/>
      <c r="AH1927" s="87"/>
      <c r="AI1927" s="87"/>
      <c r="AJ1927" s="87"/>
      <c r="AK1927" s="87"/>
      <c r="AL1927" s="87"/>
      <c r="AM1927" s="87"/>
      <c r="AN1927" s="87"/>
      <c r="AO1927" s="87"/>
      <c r="AP1927" s="87"/>
      <c r="AQ1927" s="87"/>
      <c r="AR1927" s="87"/>
      <c r="AS1927" s="87"/>
      <c r="AT1927" s="87"/>
      <c r="AU1927" s="87"/>
      <c r="AV1927" s="87"/>
      <c r="AW1927" s="87"/>
      <c r="AX1927" s="87"/>
      <c r="AY1927" s="87"/>
      <c r="AZ1927" s="87"/>
      <c r="BA1927" s="87"/>
      <c r="BB1927" s="87"/>
      <c r="BC1927" s="87"/>
      <c r="BD1927" s="87"/>
      <c r="BE1927" s="87"/>
      <c r="BF1927" s="87"/>
      <c r="BG1927" s="87"/>
      <c r="BH1927" s="87"/>
    </row>
    <row r="1928" spans="1:60" ht="16">
      <c r="A1928" s="82"/>
      <c r="B1928" s="82"/>
      <c r="C1928" s="82"/>
      <c r="D1928" s="83"/>
      <c r="E1928" s="84"/>
      <c r="F1928" s="84"/>
      <c r="G1928" s="84"/>
      <c r="H1928" s="82"/>
      <c r="I1928" s="84"/>
      <c r="J1928" s="84"/>
      <c r="K1928" s="84"/>
      <c r="L1928" s="84"/>
      <c r="M1928" s="84"/>
      <c r="N1928" s="84"/>
      <c r="O1928" s="84"/>
      <c r="P1928" s="84"/>
      <c r="Q1928" s="84"/>
      <c r="R1928" s="84"/>
      <c r="S1928" s="84"/>
      <c r="T1928" s="84"/>
      <c r="U1928" s="84"/>
      <c r="V1928" s="84"/>
      <c r="W1928" s="84"/>
      <c r="X1928" s="84"/>
      <c r="Y1928" s="84"/>
      <c r="Z1928" s="87"/>
      <c r="AA1928" s="87"/>
      <c r="AB1928" s="87"/>
      <c r="AC1928" s="87"/>
      <c r="AD1928" s="87"/>
      <c r="AE1928" s="87"/>
      <c r="AF1928" s="87"/>
      <c r="AG1928" s="87"/>
      <c r="AH1928" s="87"/>
      <c r="AI1928" s="87"/>
      <c r="AJ1928" s="87"/>
      <c r="AK1928" s="87"/>
      <c r="AL1928" s="87"/>
      <c r="AM1928" s="87"/>
      <c r="AN1928" s="87"/>
      <c r="AO1928" s="87"/>
      <c r="AP1928" s="87"/>
      <c r="AQ1928" s="87"/>
      <c r="AR1928" s="87"/>
      <c r="AS1928" s="87"/>
      <c r="AT1928" s="87"/>
      <c r="AU1928" s="87"/>
      <c r="AV1928" s="87"/>
      <c r="AW1928" s="87"/>
      <c r="AX1928" s="87"/>
      <c r="AY1928" s="87"/>
      <c r="AZ1928" s="87"/>
      <c r="BA1928" s="87"/>
      <c r="BB1928" s="87"/>
      <c r="BC1928" s="87"/>
      <c r="BD1928" s="87"/>
      <c r="BE1928" s="87"/>
      <c r="BF1928" s="87"/>
      <c r="BG1928" s="87"/>
      <c r="BH1928" s="87"/>
    </row>
    <row r="1929" spans="1:60" ht="16">
      <c r="A1929" s="82"/>
      <c r="B1929" s="82"/>
      <c r="C1929" s="82"/>
      <c r="D1929" s="83"/>
      <c r="E1929" s="84"/>
      <c r="F1929" s="84"/>
      <c r="G1929" s="84"/>
      <c r="H1929" s="82"/>
      <c r="I1929" s="84"/>
      <c r="J1929" s="84"/>
      <c r="K1929" s="84"/>
      <c r="L1929" s="84"/>
      <c r="M1929" s="84"/>
      <c r="N1929" s="84"/>
      <c r="O1929" s="84"/>
      <c r="P1929" s="84"/>
      <c r="Q1929" s="84"/>
      <c r="R1929" s="84"/>
      <c r="S1929" s="84"/>
      <c r="T1929" s="84"/>
      <c r="U1929" s="84"/>
      <c r="V1929" s="84"/>
      <c r="W1929" s="84"/>
      <c r="X1929" s="84"/>
      <c r="Y1929" s="84"/>
      <c r="Z1929" s="87"/>
      <c r="AA1929" s="87"/>
      <c r="AB1929" s="87"/>
      <c r="AC1929" s="87"/>
      <c r="AD1929" s="87"/>
      <c r="AE1929" s="87"/>
      <c r="AF1929" s="87"/>
      <c r="AG1929" s="87"/>
      <c r="AH1929" s="87"/>
      <c r="AI1929" s="87"/>
      <c r="AJ1929" s="87"/>
      <c r="AK1929" s="87"/>
      <c r="AL1929" s="87"/>
      <c r="AM1929" s="87"/>
      <c r="AN1929" s="87"/>
      <c r="AO1929" s="87"/>
      <c r="AP1929" s="87"/>
      <c r="AQ1929" s="87"/>
      <c r="AR1929" s="87"/>
      <c r="AS1929" s="87"/>
      <c r="AT1929" s="87"/>
      <c r="AU1929" s="87"/>
      <c r="AV1929" s="87"/>
      <c r="AW1929" s="87"/>
      <c r="AX1929" s="87"/>
      <c r="AY1929" s="87"/>
      <c r="AZ1929" s="87"/>
      <c r="BA1929" s="87"/>
      <c r="BB1929" s="87"/>
      <c r="BC1929" s="87"/>
      <c r="BD1929" s="87"/>
      <c r="BE1929" s="87"/>
      <c r="BF1929" s="87"/>
      <c r="BG1929" s="87"/>
      <c r="BH1929" s="87"/>
    </row>
    <row r="1930" spans="1:60" ht="16">
      <c r="A1930" s="82"/>
      <c r="B1930" s="82"/>
      <c r="C1930" s="82"/>
      <c r="D1930" s="83"/>
      <c r="E1930" s="84"/>
      <c r="F1930" s="84"/>
      <c r="G1930" s="84"/>
      <c r="H1930" s="82"/>
      <c r="I1930" s="84"/>
      <c r="J1930" s="84"/>
      <c r="K1930" s="84"/>
      <c r="L1930" s="84"/>
      <c r="M1930" s="84"/>
      <c r="N1930" s="84"/>
      <c r="O1930" s="84"/>
      <c r="P1930" s="84"/>
      <c r="Q1930" s="84"/>
      <c r="R1930" s="84"/>
      <c r="S1930" s="84"/>
      <c r="T1930" s="84"/>
      <c r="U1930" s="84"/>
      <c r="V1930" s="84"/>
      <c r="W1930" s="84"/>
      <c r="X1930" s="84"/>
      <c r="Y1930" s="84"/>
      <c r="Z1930" s="87"/>
      <c r="AA1930" s="87"/>
      <c r="AB1930" s="87"/>
      <c r="AC1930" s="87"/>
      <c r="AD1930" s="87"/>
      <c r="AE1930" s="87"/>
      <c r="AF1930" s="87"/>
      <c r="AG1930" s="87"/>
      <c r="AH1930" s="87"/>
      <c r="AI1930" s="87"/>
      <c r="AJ1930" s="87"/>
      <c r="AK1930" s="87"/>
      <c r="AL1930" s="87"/>
      <c r="AM1930" s="87"/>
      <c r="AN1930" s="87"/>
      <c r="AO1930" s="87"/>
      <c r="AP1930" s="87"/>
      <c r="AQ1930" s="87"/>
      <c r="AR1930" s="87"/>
      <c r="AS1930" s="87"/>
      <c r="AT1930" s="87"/>
      <c r="AU1930" s="87"/>
      <c r="AV1930" s="87"/>
      <c r="AW1930" s="87"/>
      <c r="AX1930" s="87"/>
      <c r="AY1930" s="87"/>
      <c r="AZ1930" s="87"/>
      <c r="BA1930" s="87"/>
      <c r="BB1930" s="87"/>
      <c r="BC1930" s="87"/>
      <c r="BD1930" s="87"/>
      <c r="BE1930" s="87"/>
      <c r="BF1930" s="87"/>
      <c r="BG1930" s="87"/>
      <c r="BH1930" s="87"/>
    </row>
    <row r="1931" spans="1:60" ht="16">
      <c r="A1931" s="82"/>
      <c r="B1931" s="82"/>
      <c r="C1931" s="82"/>
      <c r="D1931" s="83"/>
      <c r="E1931" s="84"/>
      <c r="F1931" s="84"/>
      <c r="G1931" s="84"/>
      <c r="H1931" s="82"/>
      <c r="I1931" s="84"/>
      <c r="J1931" s="84"/>
      <c r="K1931" s="84"/>
      <c r="L1931" s="84"/>
      <c r="M1931" s="84"/>
      <c r="N1931" s="84"/>
      <c r="O1931" s="84"/>
      <c r="P1931" s="84"/>
      <c r="Q1931" s="84"/>
      <c r="R1931" s="84"/>
      <c r="S1931" s="84"/>
      <c r="T1931" s="84"/>
      <c r="U1931" s="84"/>
      <c r="V1931" s="84"/>
      <c r="W1931" s="84"/>
      <c r="X1931" s="84"/>
      <c r="Y1931" s="84"/>
      <c r="Z1931" s="87"/>
      <c r="AA1931" s="87"/>
      <c r="AB1931" s="87"/>
      <c r="AC1931" s="87"/>
      <c r="AD1931" s="87"/>
      <c r="AE1931" s="87"/>
      <c r="AF1931" s="87"/>
      <c r="AG1931" s="87"/>
      <c r="AH1931" s="87"/>
      <c r="AI1931" s="87"/>
      <c r="AJ1931" s="87"/>
      <c r="AK1931" s="87"/>
      <c r="AL1931" s="87"/>
      <c r="AM1931" s="87"/>
      <c r="AN1931" s="87"/>
      <c r="AO1931" s="87"/>
      <c r="AP1931" s="87"/>
      <c r="AQ1931" s="87"/>
      <c r="AR1931" s="87"/>
      <c r="AS1931" s="87"/>
      <c r="AT1931" s="87"/>
      <c r="AU1931" s="87"/>
      <c r="AV1931" s="87"/>
      <c r="AW1931" s="87"/>
      <c r="AX1931" s="87"/>
      <c r="AY1931" s="87"/>
      <c r="AZ1931" s="87"/>
      <c r="BA1931" s="87"/>
      <c r="BB1931" s="87"/>
      <c r="BC1931" s="87"/>
      <c r="BD1931" s="87"/>
      <c r="BE1931" s="87"/>
      <c r="BF1931" s="87"/>
      <c r="BG1931" s="87"/>
      <c r="BH1931" s="87"/>
    </row>
    <row r="1932" spans="1:60" ht="16">
      <c r="A1932" s="82"/>
      <c r="B1932" s="82"/>
      <c r="C1932" s="82"/>
      <c r="D1932" s="83"/>
      <c r="E1932" s="84"/>
      <c r="F1932" s="84"/>
      <c r="G1932" s="84"/>
      <c r="H1932" s="82"/>
      <c r="I1932" s="84"/>
      <c r="J1932" s="84"/>
      <c r="K1932" s="84"/>
      <c r="L1932" s="84"/>
      <c r="M1932" s="84"/>
      <c r="N1932" s="84"/>
      <c r="O1932" s="84"/>
      <c r="P1932" s="84"/>
      <c r="Q1932" s="84"/>
      <c r="R1932" s="84"/>
      <c r="S1932" s="84"/>
      <c r="T1932" s="84"/>
      <c r="U1932" s="84"/>
      <c r="V1932" s="84"/>
      <c r="W1932" s="84"/>
      <c r="X1932" s="84"/>
      <c r="Y1932" s="84"/>
      <c r="Z1932" s="87"/>
      <c r="AA1932" s="87"/>
      <c r="AB1932" s="87"/>
      <c r="AC1932" s="87"/>
      <c r="AD1932" s="87"/>
      <c r="AE1932" s="87"/>
      <c r="AF1932" s="87"/>
      <c r="AG1932" s="87"/>
      <c r="AH1932" s="87"/>
      <c r="AI1932" s="87"/>
      <c r="AJ1932" s="87"/>
      <c r="AK1932" s="87"/>
      <c r="AL1932" s="87"/>
      <c r="AM1932" s="87"/>
      <c r="AN1932" s="87"/>
      <c r="AO1932" s="87"/>
      <c r="AP1932" s="87"/>
      <c r="AQ1932" s="87"/>
      <c r="AR1932" s="87"/>
      <c r="AS1932" s="87"/>
      <c r="AT1932" s="87"/>
      <c r="AU1932" s="87"/>
      <c r="AV1932" s="87"/>
      <c r="AW1932" s="87"/>
      <c r="AX1932" s="87"/>
      <c r="AY1932" s="87"/>
      <c r="AZ1932" s="87"/>
      <c r="BA1932" s="87"/>
      <c r="BB1932" s="87"/>
      <c r="BC1932" s="87"/>
      <c r="BD1932" s="87"/>
      <c r="BE1932" s="87"/>
      <c r="BF1932" s="87"/>
      <c r="BG1932" s="87"/>
      <c r="BH1932" s="87"/>
    </row>
    <row r="1933" spans="1:60" ht="16">
      <c r="A1933" s="82"/>
      <c r="B1933" s="82"/>
      <c r="C1933" s="82"/>
      <c r="D1933" s="83"/>
      <c r="E1933" s="84"/>
      <c r="F1933" s="84"/>
      <c r="G1933" s="84"/>
      <c r="H1933" s="82"/>
      <c r="I1933" s="84"/>
      <c r="J1933" s="84"/>
      <c r="K1933" s="84"/>
      <c r="L1933" s="84"/>
      <c r="M1933" s="84"/>
      <c r="N1933" s="84"/>
      <c r="O1933" s="84"/>
      <c r="P1933" s="84"/>
      <c r="Q1933" s="84"/>
      <c r="R1933" s="84"/>
      <c r="S1933" s="84"/>
      <c r="T1933" s="84"/>
      <c r="U1933" s="84"/>
      <c r="V1933" s="84"/>
      <c r="W1933" s="84"/>
      <c r="X1933" s="84"/>
      <c r="Y1933" s="84"/>
      <c r="Z1933" s="87"/>
      <c r="AA1933" s="87"/>
      <c r="AB1933" s="87"/>
      <c r="AC1933" s="87"/>
      <c r="AD1933" s="87"/>
      <c r="AE1933" s="87"/>
      <c r="AF1933" s="87"/>
      <c r="AG1933" s="87"/>
      <c r="AH1933" s="87"/>
      <c r="AI1933" s="87"/>
      <c r="AJ1933" s="87"/>
      <c r="AK1933" s="87"/>
      <c r="AL1933" s="87"/>
      <c r="AM1933" s="87"/>
      <c r="AN1933" s="87"/>
      <c r="AO1933" s="87"/>
      <c r="AP1933" s="87"/>
      <c r="AQ1933" s="87"/>
      <c r="AR1933" s="87"/>
      <c r="AS1933" s="87"/>
      <c r="AT1933" s="87"/>
      <c r="AU1933" s="87"/>
      <c r="AV1933" s="87"/>
      <c r="AW1933" s="87"/>
      <c r="AX1933" s="87"/>
      <c r="AY1933" s="87"/>
      <c r="AZ1933" s="87"/>
      <c r="BA1933" s="87"/>
      <c r="BB1933" s="87"/>
      <c r="BC1933" s="87"/>
      <c r="BD1933" s="87"/>
      <c r="BE1933" s="87"/>
      <c r="BF1933" s="87"/>
      <c r="BG1933" s="87"/>
      <c r="BH1933" s="87"/>
    </row>
    <row r="1934" spans="1:60" ht="16">
      <c r="A1934" s="82"/>
      <c r="B1934" s="82"/>
      <c r="C1934" s="82"/>
      <c r="D1934" s="83"/>
      <c r="E1934" s="84"/>
      <c r="F1934" s="84"/>
      <c r="G1934" s="84"/>
      <c r="H1934" s="82"/>
      <c r="I1934" s="84"/>
      <c r="J1934" s="84"/>
      <c r="K1934" s="84"/>
      <c r="L1934" s="84"/>
      <c r="M1934" s="84"/>
      <c r="N1934" s="84"/>
      <c r="O1934" s="84"/>
      <c r="P1934" s="84"/>
      <c r="Q1934" s="84"/>
      <c r="R1934" s="84"/>
      <c r="S1934" s="84"/>
      <c r="T1934" s="84"/>
      <c r="U1934" s="84"/>
      <c r="V1934" s="84"/>
      <c r="W1934" s="84"/>
      <c r="X1934" s="84"/>
      <c r="Y1934" s="84"/>
      <c r="Z1934" s="87"/>
      <c r="AA1934" s="87"/>
      <c r="AB1934" s="87"/>
      <c r="AC1934" s="87"/>
      <c r="AD1934" s="87"/>
      <c r="AE1934" s="87"/>
      <c r="AF1934" s="87"/>
      <c r="AG1934" s="87"/>
      <c r="AH1934" s="87"/>
      <c r="AI1934" s="87"/>
      <c r="AJ1934" s="87"/>
      <c r="AK1934" s="87"/>
      <c r="AL1934" s="87"/>
      <c r="AM1934" s="87"/>
      <c r="AN1934" s="87"/>
      <c r="AO1934" s="87"/>
      <c r="AP1934" s="87"/>
      <c r="AQ1934" s="87"/>
      <c r="AR1934" s="87"/>
      <c r="AS1934" s="87"/>
      <c r="AT1934" s="87"/>
      <c r="AU1934" s="87"/>
      <c r="AV1934" s="87"/>
      <c r="AW1934" s="87"/>
      <c r="AX1934" s="87"/>
      <c r="AY1934" s="87"/>
      <c r="AZ1934" s="87"/>
      <c r="BA1934" s="87"/>
      <c r="BB1934" s="87"/>
      <c r="BC1934" s="87"/>
      <c r="BD1934" s="87"/>
      <c r="BE1934" s="87"/>
      <c r="BF1934" s="87"/>
      <c r="BG1934" s="87"/>
      <c r="BH1934" s="87"/>
    </row>
    <row r="1935" spans="1:60" ht="16">
      <c r="A1935" s="82"/>
      <c r="B1935" s="82"/>
      <c r="C1935" s="82"/>
      <c r="D1935" s="83"/>
      <c r="E1935" s="84"/>
      <c r="F1935" s="84"/>
      <c r="G1935" s="84"/>
      <c r="H1935" s="82"/>
      <c r="I1935" s="84"/>
      <c r="J1935" s="84"/>
      <c r="K1935" s="84"/>
      <c r="L1935" s="84"/>
      <c r="M1935" s="84"/>
      <c r="N1935" s="84"/>
      <c r="O1935" s="84"/>
      <c r="P1935" s="84"/>
      <c r="Q1935" s="84"/>
      <c r="R1935" s="84"/>
      <c r="S1935" s="84"/>
      <c r="T1935" s="84"/>
      <c r="U1935" s="84"/>
      <c r="V1935" s="84"/>
      <c r="W1935" s="84"/>
      <c r="X1935" s="84"/>
      <c r="Y1935" s="84"/>
      <c r="Z1935" s="87"/>
      <c r="AA1935" s="87"/>
      <c r="AB1935" s="87"/>
      <c r="AC1935" s="87"/>
      <c r="AD1935" s="87"/>
      <c r="AE1935" s="87"/>
      <c r="AF1935" s="87"/>
      <c r="AG1935" s="87"/>
      <c r="AH1935" s="87"/>
      <c r="AI1935" s="87"/>
      <c r="AJ1935" s="87"/>
      <c r="AK1935" s="87"/>
      <c r="AL1935" s="87"/>
      <c r="AM1935" s="87"/>
      <c r="AN1935" s="87"/>
      <c r="AO1935" s="87"/>
      <c r="AP1935" s="87"/>
      <c r="AQ1935" s="87"/>
      <c r="AR1935" s="87"/>
      <c r="AS1935" s="87"/>
      <c r="AT1935" s="87"/>
      <c r="AU1935" s="87"/>
      <c r="AV1935" s="87"/>
      <c r="AW1935" s="87"/>
      <c r="AX1935" s="87"/>
      <c r="AY1935" s="87"/>
      <c r="AZ1935" s="87"/>
      <c r="BA1935" s="87"/>
      <c r="BB1935" s="87"/>
      <c r="BC1935" s="87"/>
      <c r="BD1935" s="87"/>
      <c r="BE1935" s="87"/>
      <c r="BF1935" s="87"/>
      <c r="BG1935" s="87"/>
      <c r="BH1935" s="87"/>
    </row>
    <row r="1936" spans="1:60" ht="16">
      <c r="A1936" s="82"/>
      <c r="B1936" s="82"/>
      <c r="C1936" s="82"/>
      <c r="D1936" s="83"/>
      <c r="E1936" s="84"/>
      <c r="F1936" s="84"/>
      <c r="G1936" s="84"/>
      <c r="H1936" s="82"/>
      <c r="I1936" s="84"/>
      <c r="J1936" s="84"/>
      <c r="K1936" s="84"/>
      <c r="L1936" s="84"/>
      <c r="M1936" s="84"/>
      <c r="N1936" s="84"/>
      <c r="O1936" s="84"/>
      <c r="P1936" s="84"/>
      <c r="Q1936" s="84"/>
      <c r="R1936" s="84"/>
      <c r="S1936" s="84"/>
      <c r="T1936" s="84"/>
      <c r="U1936" s="84"/>
      <c r="V1936" s="84"/>
      <c r="W1936" s="84"/>
      <c r="X1936" s="84"/>
      <c r="Y1936" s="84"/>
      <c r="Z1936" s="87"/>
      <c r="AA1936" s="87"/>
      <c r="AB1936" s="87"/>
      <c r="AC1936" s="87"/>
      <c r="AD1936" s="87"/>
      <c r="AE1936" s="87"/>
      <c r="AF1936" s="87"/>
      <c r="AG1936" s="87"/>
      <c r="AH1936" s="87"/>
      <c r="AI1936" s="87"/>
      <c r="AJ1936" s="87"/>
      <c r="AK1936" s="87"/>
      <c r="AL1936" s="87"/>
      <c r="AM1936" s="87"/>
      <c r="AN1936" s="87"/>
      <c r="AO1936" s="87"/>
      <c r="AP1936" s="87"/>
      <c r="AQ1936" s="87"/>
      <c r="AR1936" s="87"/>
      <c r="AS1936" s="87"/>
      <c r="AT1936" s="87"/>
      <c r="AU1936" s="87"/>
      <c r="AV1936" s="87"/>
      <c r="AW1936" s="87"/>
      <c r="AX1936" s="87"/>
      <c r="AY1936" s="87"/>
      <c r="AZ1936" s="87"/>
      <c r="BA1936" s="87"/>
      <c r="BB1936" s="87"/>
      <c r="BC1936" s="87"/>
      <c r="BD1936" s="87"/>
      <c r="BE1936" s="87"/>
      <c r="BF1936" s="87"/>
      <c r="BG1936" s="87"/>
      <c r="BH1936" s="87"/>
    </row>
    <row r="1937" spans="1:60" ht="16">
      <c r="A1937" s="82"/>
      <c r="B1937" s="82"/>
      <c r="C1937" s="82"/>
      <c r="D1937" s="83"/>
      <c r="E1937" s="84"/>
      <c r="F1937" s="84"/>
      <c r="G1937" s="84"/>
      <c r="H1937" s="82"/>
      <c r="I1937" s="84"/>
      <c r="J1937" s="84"/>
      <c r="K1937" s="84"/>
      <c r="L1937" s="84"/>
      <c r="M1937" s="84"/>
      <c r="N1937" s="84"/>
      <c r="O1937" s="84"/>
      <c r="P1937" s="84"/>
      <c r="Q1937" s="84"/>
      <c r="R1937" s="84"/>
      <c r="S1937" s="84"/>
      <c r="T1937" s="84"/>
      <c r="U1937" s="84"/>
      <c r="V1937" s="84"/>
      <c r="W1937" s="84"/>
      <c r="X1937" s="84"/>
      <c r="Y1937" s="84"/>
      <c r="Z1937" s="87"/>
      <c r="AA1937" s="87"/>
      <c r="AB1937" s="87"/>
      <c r="AC1937" s="87"/>
      <c r="AD1937" s="87"/>
      <c r="AE1937" s="87"/>
      <c r="AF1937" s="87"/>
      <c r="AG1937" s="87"/>
      <c r="AH1937" s="87"/>
      <c r="AI1937" s="87"/>
      <c r="AJ1937" s="87"/>
      <c r="AK1937" s="87"/>
      <c r="AL1937" s="87"/>
      <c r="AM1937" s="87"/>
      <c r="AN1937" s="87"/>
      <c r="AO1937" s="87"/>
      <c r="AP1937" s="87"/>
      <c r="AQ1937" s="87"/>
      <c r="AR1937" s="87"/>
      <c r="AS1937" s="87"/>
      <c r="AT1937" s="87"/>
      <c r="AU1937" s="87"/>
      <c r="AV1937" s="87"/>
      <c r="AW1937" s="87"/>
      <c r="AX1937" s="87"/>
      <c r="AY1937" s="87"/>
      <c r="AZ1937" s="87"/>
      <c r="BA1937" s="87"/>
      <c r="BB1937" s="87"/>
      <c r="BC1937" s="87"/>
      <c r="BD1937" s="87"/>
      <c r="BE1937" s="87"/>
      <c r="BF1937" s="87"/>
      <c r="BG1937" s="87"/>
      <c r="BH1937" s="87"/>
    </row>
    <row r="1938" spans="1:60" ht="16">
      <c r="A1938" s="82"/>
      <c r="B1938" s="82"/>
      <c r="C1938" s="82"/>
      <c r="D1938" s="83"/>
      <c r="E1938" s="84"/>
      <c r="F1938" s="84"/>
      <c r="G1938" s="84"/>
      <c r="H1938" s="82"/>
      <c r="I1938" s="84"/>
      <c r="J1938" s="84"/>
      <c r="K1938" s="84"/>
      <c r="L1938" s="84"/>
      <c r="M1938" s="84"/>
      <c r="N1938" s="84"/>
      <c r="O1938" s="84"/>
      <c r="P1938" s="84"/>
      <c r="Q1938" s="84"/>
      <c r="R1938" s="84"/>
      <c r="S1938" s="84"/>
      <c r="T1938" s="84"/>
      <c r="U1938" s="84"/>
      <c r="V1938" s="84"/>
      <c r="W1938" s="84"/>
      <c r="X1938" s="84"/>
      <c r="Y1938" s="84"/>
      <c r="Z1938" s="87"/>
      <c r="AA1938" s="87"/>
      <c r="AB1938" s="87"/>
      <c r="AC1938" s="87"/>
      <c r="AD1938" s="87"/>
      <c r="AE1938" s="87"/>
      <c r="AF1938" s="87"/>
      <c r="AG1938" s="87"/>
      <c r="AH1938" s="87"/>
      <c r="AI1938" s="87"/>
      <c r="AJ1938" s="87"/>
      <c r="AK1938" s="87"/>
      <c r="AL1938" s="87"/>
      <c r="AM1938" s="87"/>
      <c r="AN1938" s="87"/>
      <c r="AO1938" s="87"/>
      <c r="AP1938" s="87"/>
      <c r="AQ1938" s="87"/>
      <c r="AR1938" s="87"/>
      <c r="AS1938" s="87"/>
      <c r="AT1938" s="87"/>
      <c r="AU1938" s="87"/>
      <c r="AV1938" s="87"/>
      <c r="AW1938" s="87"/>
      <c r="AX1938" s="87"/>
      <c r="AY1938" s="87"/>
      <c r="AZ1938" s="87"/>
      <c r="BA1938" s="87"/>
      <c r="BB1938" s="87"/>
      <c r="BC1938" s="87"/>
      <c r="BD1938" s="87"/>
      <c r="BE1938" s="87"/>
      <c r="BF1938" s="87"/>
      <c r="BG1938" s="87"/>
      <c r="BH1938" s="87"/>
    </row>
    <row r="1939" spans="1:60" ht="16">
      <c r="A1939" s="82"/>
      <c r="B1939" s="82"/>
      <c r="C1939" s="82"/>
      <c r="D1939" s="83"/>
      <c r="E1939" s="84"/>
      <c r="F1939" s="84"/>
      <c r="G1939" s="84"/>
      <c r="H1939" s="82"/>
      <c r="I1939" s="84"/>
      <c r="J1939" s="84"/>
      <c r="K1939" s="84"/>
      <c r="L1939" s="84"/>
      <c r="M1939" s="84"/>
      <c r="N1939" s="84"/>
      <c r="O1939" s="84"/>
      <c r="P1939" s="84"/>
      <c r="Q1939" s="84"/>
      <c r="R1939" s="84"/>
      <c r="S1939" s="84"/>
      <c r="T1939" s="84"/>
      <c r="U1939" s="84"/>
      <c r="V1939" s="84"/>
      <c r="W1939" s="84"/>
      <c r="X1939" s="84"/>
      <c r="Y1939" s="84"/>
      <c r="Z1939" s="87"/>
      <c r="AA1939" s="87"/>
      <c r="AB1939" s="87"/>
      <c r="AC1939" s="87"/>
      <c r="AD1939" s="87"/>
      <c r="AE1939" s="87"/>
      <c r="AF1939" s="87"/>
      <c r="AG1939" s="87"/>
      <c r="AH1939" s="87"/>
      <c r="AI1939" s="87"/>
      <c r="AJ1939" s="87"/>
      <c r="AK1939" s="87"/>
      <c r="AL1939" s="87"/>
      <c r="AM1939" s="87"/>
      <c r="AN1939" s="87"/>
      <c r="AO1939" s="87"/>
      <c r="AP1939" s="87"/>
      <c r="AQ1939" s="87"/>
      <c r="AR1939" s="87"/>
      <c r="AS1939" s="87"/>
      <c r="AT1939" s="87"/>
      <c r="AU1939" s="87"/>
      <c r="AV1939" s="87"/>
      <c r="AW1939" s="87"/>
      <c r="AX1939" s="87"/>
      <c r="AY1939" s="87"/>
      <c r="AZ1939" s="87"/>
      <c r="BA1939" s="87"/>
      <c r="BB1939" s="87"/>
      <c r="BC1939" s="87"/>
      <c r="BD1939" s="87"/>
      <c r="BE1939" s="87"/>
      <c r="BF1939" s="87"/>
      <c r="BG1939" s="87"/>
      <c r="BH1939" s="87"/>
    </row>
    <row r="1940" spans="1:60" ht="16">
      <c r="A1940" s="82"/>
      <c r="B1940" s="82"/>
      <c r="C1940" s="82"/>
      <c r="D1940" s="83"/>
      <c r="E1940" s="84"/>
      <c r="F1940" s="84"/>
      <c r="G1940" s="84"/>
      <c r="H1940" s="82"/>
      <c r="I1940" s="84"/>
      <c r="J1940" s="84"/>
      <c r="K1940" s="84"/>
      <c r="L1940" s="84"/>
      <c r="M1940" s="84"/>
      <c r="N1940" s="84"/>
      <c r="O1940" s="84"/>
      <c r="P1940" s="84"/>
      <c r="Q1940" s="84"/>
      <c r="R1940" s="84"/>
      <c r="S1940" s="84"/>
      <c r="T1940" s="84"/>
      <c r="U1940" s="84"/>
      <c r="V1940" s="84"/>
      <c r="W1940" s="84"/>
      <c r="X1940" s="84"/>
      <c r="Y1940" s="84"/>
      <c r="Z1940" s="87"/>
      <c r="AA1940" s="87"/>
      <c r="AB1940" s="87"/>
      <c r="AC1940" s="87"/>
      <c r="AD1940" s="87"/>
      <c r="AE1940" s="87"/>
      <c r="AF1940" s="87"/>
      <c r="AG1940" s="87"/>
      <c r="AH1940" s="87"/>
      <c r="AI1940" s="87"/>
      <c r="AJ1940" s="87"/>
      <c r="AK1940" s="87"/>
      <c r="AL1940" s="87"/>
      <c r="AM1940" s="87"/>
      <c r="AN1940" s="87"/>
      <c r="AO1940" s="87"/>
      <c r="AP1940" s="87"/>
      <c r="AQ1940" s="87"/>
      <c r="AR1940" s="87"/>
      <c r="AS1940" s="87"/>
      <c r="AT1940" s="87"/>
      <c r="AU1940" s="87"/>
      <c r="AV1940" s="87"/>
      <c r="AW1940" s="87"/>
      <c r="AX1940" s="87"/>
      <c r="AY1940" s="87"/>
      <c r="AZ1940" s="87"/>
      <c r="BA1940" s="87"/>
      <c r="BB1940" s="87"/>
      <c r="BC1940" s="87"/>
      <c r="BD1940" s="87"/>
      <c r="BE1940" s="87"/>
      <c r="BF1940" s="87"/>
      <c r="BG1940" s="87"/>
      <c r="BH1940" s="87"/>
    </row>
    <row r="1941" spans="1:60" ht="16">
      <c r="A1941" s="82"/>
      <c r="B1941" s="82"/>
      <c r="C1941" s="82"/>
      <c r="D1941" s="83"/>
      <c r="E1941" s="84"/>
      <c r="F1941" s="84"/>
      <c r="G1941" s="84"/>
      <c r="H1941" s="82"/>
      <c r="I1941" s="84"/>
      <c r="J1941" s="84"/>
      <c r="K1941" s="84"/>
      <c r="L1941" s="84"/>
      <c r="M1941" s="84"/>
      <c r="N1941" s="84"/>
      <c r="O1941" s="84"/>
      <c r="P1941" s="84"/>
      <c r="Q1941" s="84"/>
      <c r="R1941" s="84"/>
      <c r="S1941" s="84"/>
      <c r="T1941" s="84"/>
      <c r="U1941" s="84"/>
      <c r="V1941" s="84"/>
      <c r="W1941" s="84"/>
      <c r="X1941" s="84"/>
      <c r="Y1941" s="84"/>
      <c r="Z1941" s="87"/>
      <c r="AA1941" s="87"/>
      <c r="AB1941" s="87"/>
      <c r="AC1941" s="87"/>
      <c r="AD1941" s="87"/>
      <c r="AE1941" s="87"/>
      <c r="AF1941" s="87"/>
      <c r="AG1941" s="87"/>
      <c r="AH1941" s="87"/>
      <c r="AI1941" s="87"/>
      <c r="AJ1941" s="87"/>
      <c r="AK1941" s="87"/>
      <c r="AL1941" s="87"/>
      <c r="AM1941" s="87"/>
      <c r="AN1941" s="87"/>
      <c r="AO1941" s="87"/>
      <c r="AP1941" s="87"/>
      <c r="AQ1941" s="87"/>
      <c r="AR1941" s="87"/>
      <c r="AS1941" s="87"/>
      <c r="AT1941" s="87"/>
      <c r="AU1941" s="87"/>
      <c r="AV1941" s="87"/>
      <c r="AW1941" s="87"/>
      <c r="AX1941" s="87"/>
      <c r="AY1941" s="87"/>
      <c r="AZ1941" s="87"/>
      <c r="BA1941" s="87"/>
      <c r="BB1941" s="87"/>
      <c r="BC1941" s="87"/>
      <c r="BD1941" s="87"/>
      <c r="BE1941" s="87"/>
      <c r="BF1941" s="87"/>
      <c r="BG1941" s="87"/>
      <c r="BH1941" s="87"/>
    </row>
    <row r="1942" spans="1:60" ht="16">
      <c r="A1942" s="82"/>
      <c r="B1942" s="82"/>
      <c r="C1942" s="82"/>
      <c r="D1942" s="83"/>
      <c r="E1942" s="84"/>
      <c r="F1942" s="84"/>
      <c r="G1942" s="84"/>
      <c r="H1942" s="82"/>
      <c r="I1942" s="84"/>
      <c r="J1942" s="84"/>
      <c r="K1942" s="84"/>
      <c r="L1942" s="84"/>
      <c r="M1942" s="84"/>
      <c r="N1942" s="84"/>
      <c r="O1942" s="84"/>
      <c r="P1942" s="84"/>
      <c r="Q1942" s="84"/>
      <c r="R1942" s="84"/>
      <c r="S1942" s="84"/>
      <c r="T1942" s="84"/>
      <c r="U1942" s="84"/>
      <c r="V1942" s="84"/>
      <c r="W1942" s="84"/>
      <c r="X1942" s="84"/>
      <c r="Y1942" s="84"/>
      <c r="Z1942" s="87"/>
      <c r="AA1942" s="87"/>
      <c r="AB1942" s="87"/>
      <c r="AC1942" s="87"/>
      <c r="AD1942" s="87"/>
      <c r="AE1942" s="87"/>
      <c r="AF1942" s="87"/>
      <c r="AG1942" s="87"/>
      <c r="AH1942" s="87"/>
      <c r="AI1942" s="87"/>
      <c r="AJ1942" s="87"/>
      <c r="AK1942" s="87"/>
      <c r="AL1942" s="87"/>
      <c r="AM1942" s="87"/>
      <c r="AN1942" s="87"/>
      <c r="AO1942" s="87"/>
      <c r="AP1942" s="87"/>
      <c r="AQ1942" s="87"/>
      <c r="AR1942" s="87"/>
      <c r="AS1942" s="87"/>
      <c r="AT1942" s="87"/>
      <c r="AU1942" s="87"/>
      <c r="AV1942" s="87"/>
      <c r="AW1942" s="87"/>
      <c r="AX1942" s="87"/>
      <c r="AY1942" s="87"/>
      <c r="AZ1942" s="87"/>
      <c r="BA1942" s="87"/>
      <c r="BB1942" s="87"/>
      <c r="BC1942" s="87"/>
      <c r="BD1942" s="87"/>
      <c r="BE1942" s="87"/>
      <c r="BF1942" s="87"/>
      <c r="BG1942" s="87"/>
      <c r="BH1942" s="87"/>
    </row>
    <row r="1943" spans="1:60" ht="16">
      <c r="A1943" s="82"/>
      <c r="B1943" s="82"/>
      <c r="C1943" s="82"/>
      <c r="D1943" s="83"/>
      <c r="E1943" s="84"/>
      <c r="F1943" s="84"/>
      <c r="G1943" s="84"/>
      <c r="H1943" s="82"/>
      <c r="I1943" s="84"/>
      <c r="J1943" s="84"/>
      <c r="K1943" s="84"/>
      <c r="L1943" s="84"/>
      <c r="M1943" s="84"/>
      <c r="N1943" s="84"/>
      <c r="O1943" s="84"/>
      <c r="P1943" s="84"/>
      <c r="Q1943" s="84"/>
      <c r="R1943" s="84"/>
      <c r="S1943" s="84"/>
      <c r="T1943" s="84"/>
      <c r="U1943" s="84"/>
      <c r="V1943" s="84"/>
      <c r="W1943" s="84"/>
      <c r="X1943" s="84"/>
      <c r="Y1943" s="84"/>
      <c r="Z1943" s="87"/>
      <c r="AA1943" s="87"/>
      <c r="AB1943" s="87"/>
      <c r="AC1943" s="87"/>
      <c r="AD1943" s="87"/>
      <c r="AE1943" s="87"/>
      <c r="AF1943" s="87"/>
      <c r="AG1943" s="87"/>
      <c r="AH1943" s="87"/>
      <c r="AI1943" s="87"/>
      <c r="AJ1943" s="87"/>
      <c r="AK1943" s="87"/>
      <c r="AL1943" s="87"/>
      <c r="AM1943" s="87"/>
      <c r="AN1943" s="87"/>
      <c r="AO1943" s="87"/>
      <c r="AP1943" s="87"/>
      <c r="AQ1943" s="87"/>
      <c r="AR1943" s="87"/>
      <c r="AS1943" s="87"/>
      <c r="AT1943" s="87"/>
      <c r="AU1943" s="87"/>
      <c r="AV1943" s="87"/>
      <c r="AW1943" s="87"/>
      <c r="AX1943" s="87"/>
      <c r="AY1943" s="87"/>
      <c r="AZ1943" s="87"/>
      <c r="BA1943" s="87"/>
      <c r="BB1943" s="87"/>
      <c r="BC1943" s="87"/>
      <c r="BD1943" s="87"/>
      <c r="BE1943" s="87"/>
      <c r="BF1943" s="87"/>
      <c r="BG1943" s="87"/>
      <c r="BH1943" s="87"/>
    </row>
    <row r="1944" spans="1:60" ht="16">
      <c r="A1944" s="82"/>
      <c r="B1944" s="82"/>
      <c r="C1944" s="82"/>
      <c r="D1944" s="83"/>
      <c r="E1944" s="84"/>
      <c r="F1944" s="84"/>
      <c r="G1944" s="84"/>
      <c r="H1944" s="82"/>
      <c r="I1944" s="84"/>
      <c r="J1944" s="84"/>
      <c r="K1944" s="84"/>
      <c r="L1944" s="84"/>
      <c r="M1944" s="84"/>
      <c r="N1944" s="84"/>
      <c r="O1944" s="84"/>
      <c r="P1944" s="84"/>
      <c r="Q1944" s="84"/>
      <c r="R1944" s="84"/>
      <c r="S1944" s="84"/>
      <c r="T1944" s="84"/>
      <c r="U1944" s="84"/>
      <c r="V1944" s="84"/>
      <c r="W1944" s="84"/>
      <c r="X1944" s="84"/>
      <c r="Y1944" s="84"/>
      <c r="Z1944" s="87"/>
      <c r="AA1944" s="87"/>
      <c r="AB1944" s="87"/>
      <c r="AC1944" s="87"/>
      <c r="AD1944" s="87"/>
      <c r="AE1944" s="87"/>
      <c r="AF1944" s="87"/>
      <c r="AG1944" s="87"/>
      <c r="AH1944" s="87"/>
      <c r="AI1944" s="87"/>
      <c r="AJ1944" s="87"/>
      <c r="AK1944" s="87"/>
      <c r="AL1944" s="87"/>
      <c r="AM1944" s="87"/>
      <c r="AN1944" s="87"/>
      <c r="AO1944" s="87"/>
      <c r="AP1944" s="87"/>
      <c r="AQ1944" s="87"/>
      <c r="AR1944" s="87"/>
      <c r="AS1944" s="87"/>
      <c r="AT1944" s="87"/>
      <c r="AU1944" s="87"/>
      <c r="AV1944" s="87"/>
      <c r="AW1944" s="87"/>
      <c r="AX1944" s="87"/>
      <c r="AY1944" s="87"/>
      <c r="AZ1944" s="87"/>
      <c r="BA1944" s="87"/>
      <c r="BB1944" s="87"/>
      <c r="BC1944" s="87"/>
      <c r="BD1944" s="87"/>
      <c r="BE1944" s="87"/>
      <c r="BF1944" s="87"/>
      <c r="BG1944" s="87"/>
      <c r="BH1944" s="87"/>
    </row>
    <row r="1945" spans="1:60" ht="16">
      <c r="A1945" s="82"/>
      <c r="B1945" s="82"/>
      <c r="C1945" s="82"/>
      <c r="D1945" s="83"/>
      <c r="E1945" s="84"/>
      <c r="F1945" s="84"/>
      <c r="G1945" s="84"/>
      <c r="H1945" s="82"/>
      <c r="I1945" s="84"/>
      <c r="J1945" s="84"/>
      <c r="K1945" s="84"/>
      <c r="L1945" s="84"/>
      <c r="M1945" s="84"/>
      <c r="N1945" s="84"/>
      <c r="O1945" s="84"/>
      <c r="P1945" s="84"/>
      <c r="Q1945" s="84"/>
      <c r="R1945" s="84"/>
      <c r="S1945" s="84"/>
      <c r="T1945" s="84"/>
      <c r="U1945" s="84"/>
      <c r="V1945" s="84"/>
      <c r="W1945" s="84"/>
      <c r="X1945" s="84"/>
      <c r="Y1945" s="84"/>
      <c r="Z1945" s="87"/>
      <c r="AA1945" s="87"/>
      <c r="AB1945" s="87"/>
      <c r="AC1945" s="87"/>
      <c r="AD1945" s="87"/>
      <c r="AE1945" s="87"/>
      <c r="AF1945" s="87"/>
      <c r="AG1945" s="87"/>
      <c r="AH1945" s="87"/>
      <c r="AI1945" s="87"/>
      <c r="AJ1945" s="87"/>
      <c r="AK1945" s="87"/>
      <c r="AL1945" s="87"/>
      <c r="AM1945" s="87"/>
      <c r="AN1945" s="87"/>
      <c r="AO1945" s="87"/>
      <c r="AP1945" s="87"/>
      <c r="AQ1945" s="87"/>
      <c r="AR1945" s="87"/>
      <c r="AS1945" s="87"/>
      <c r="AT1945" s="87"/>
      <c r="AU1945" s="87"/>
      <c r="AV1945" s="87"/>
      <c r="AW1945" s="87"/>
      <c r="AX1945" s="87"/>
      <c r="AY1945" s="87"/>
      <c r="AZ1945" s="87"/>
      <c r="BA1945" s="87"/>
      <c r="BB1945" s="87"/>
      <c r="BC1945" s="87"/>
      <c r="BD1945" s="87"/>
      <c r="BE1945" s="87"/>
      <c r="BF1945" s="87"/>
      <c r="BG1945" s="87"/>
      <c r="BH1945" s="87"/>
    </row>
    <row r="1946" spans="1:60" ht="16">
      <c r="A1946" s="82"/>
      <c r="B1946" s="82"/>
      <c r="C1946" s="82"/>
      <c r="D1946" s="83"/>
      <c r="E1946" s="84"/>
      <c r="F1946" s="84"/>
      <c r="G1946" s="84"/>
      <c r="H1946" s="82"/>
      <c r="I1946" s="84"/>
      <c r="J1946" s="84"/>
      <c r="K1946" s="84"/>
      <c r="L1946" s="84"/>
      <c r="M1946" s="84"/>
      <c r="N1946" s="84"/>
      <c r="O1946" s="84"/>
      <c r="P1946" s="84"/>
      <c r="Q1946" s="84"/>
      <c r="R1946" s="84"/>
      <c r="S1946" s="84"/>
      <c r="T1946" s="84"/>
      <c r="U1946" s="84"/>
      <c r="V1946" s="84"/>
      <c r="W1946" s="84"/>
      <c r="X1946" s="84"/>
      <c r="Y1946" s="84"/>
      <c r="Z1946" s="87"/>
      <c r="AA1946" s="87"/>
      <c r="AB1946" s="87"/>
      <c r="AC1946" s="87"/>
      <c r="AD1946" s="87"/>
      <c r="AE1946" s="87"/>
      <c r="AF1946" s="87"/>
      <c r="AG1946" s="87"/>
      <c r="AH1946" s="87"/>
      <c r="AI1946" s="87"/>
      <c r="AJ1946" s="87"/>
      <c r="AK1946" s="87"/>
      <c r="AL1946" s="87"/>
      <c r="AM1946" s="87"/>
      <c r="AN1946" s="87"/>
      <c r="AO1946" s="87"/>
      <c r="AP1946" s="87"/>
      <c r="AQ1946" s="87"/>
      <c r="AR1946" s="87"/>
      <c r="AS1946" s="87"/>
      <c r="AT1946" s="87"/>
      <c r="AU1946" s="87"/>
      <c r="AV1946" s="87"/>
      <c r="AW1946" s="87"/>
      <c r="AX1946" s="87"/>
      <c r="AY1946" s="87"/>
      <c r="AZ1946" s="87"/>
      <c r="BA1946" s="87"/>
      <c r="BB1946" s="87"/>
      <c r="BC1946" s="87"/>
      <c r="BD1946" s="87"/>
      <c r="BE1946" s="87"/>
      <c r="BF1946" s="87"/>
      <c r="BG1946" s="87"/>
      <c r="BH1946" s="87"/>
    </row>
    <row r="1947" spans="1:60" ht="16">
      <c r="A1947" s="82"/>
      <c r="B1947" s="82"/>
      <c r="C1947" s="82"/>
      <c r="D1947" s="83"/>
      <c r="E1947" s="84"/>
      <c r="F1947" s="84"/>
      <c r="G1947" s="84"/>
      <c r="H1947" s="82"/>
      <c r="I1947" s="84"/>
      <c r="J1947" s="84"/>
      <c r="K1947" s="84"/>
      <c r="L1947" s="84"/>
      <c r="M1947" s="84"/>
      <c r="N1947" s="84"/>
      <c r="O1947" s="84"/>
      <c r="P1947" s="84"/>
      <c r="Q1947" s="84"/>
      <c r="R1947" s="84"/>
      <c r="S1947" s="84"/>
      <c r="T1947" s="84"/>
      <c r="U1947" s="84"/>
      <c r="V1947" s="84"/>
      <c r="W1947" s="84"/>
      <c r="X1947" s="84"/>
      <c r="Y1947" s="84"/>
      <c r="Z1947" s="87"/>
      <c r="AA1947" s="87"/>
      <c r="AB1947" s="87"/>
      <c r="AC1947" s="87"/>
      <c r="AD1947" s="87"/>
      <c r="AE1947" s="87"/>
      <c r="AF1947" s="87"/>
      <c r="AG1947" s="87"/>
      <c r="AH1947" s="87"/>
      <c r="AI1947" s="87"/>
      <c r="AJ1947" s="87"/>
      <c r="AK1947" s="87"/>
      <c r="AL1947" s="87"/>
      <c r="AM1947" s="87"/>
      <c r="AN1947" s="87"/>
      <c r="AO1947" s="87"/>
      <c r="AP1947" s="87"/>
      <c r="AQ1947" s="87"/>
      <c r="AR1947" s="87"/>
      <c r="AS1947" s="87"/>
      <c r="AT1947" s="87"/>
      <c r="AU1947" s="87"/>
      <c r="AV1947" s="87"/>
      <c r="AW1947" s="87"/>
      <c r="AX1947" s="87"/>
      <c r="AY1947" s="87"/>
      <c r="AZ1947" s="87"/>
      <c r="BA1947" s="87"/>
      <c r="BB1947" s="87"/>
      <c r="BC1947" s="87"/>
      <c r="BD1947" s="87"/>
      <c r="BE1947" s="87"/>
      <c r="BF1947" s="87"/>
      <c r="BG1947" s="87"/>
      <c r="BH1947" s="87"/>
    </row>
    <row r="1948" spans="1:60" ht="16">
      <c r="A1948" s="82"/>
      <c r="B1948" s="82"/>
      <c r="C1948" s="82"/>
      <c r="D1948" s="83"/>
      <c r="E1948" s="84"/>
      <c r="F1948" s="84"/>
      <c r="G1948" s="84"/>
      <c r="H1948" s="82"/>
      <c r="I1948" s="84"/>
      <c r="J1948" s="84"/>
      <c r="K1948" s="84"/>
      <c r="L1948" s="84"/>
      <c r="M1948" s="84"/>
      <c r="N1948" s="84"/>
      <c r="O1948" s="84"/>
      <c r="P1948" s="84"/>
      <c r="Q1948" s="84"/>
      <c r="R1948" s="84"/>
      <c r="S1948" s="84"/>
      <c r="T1948" s="84"/>
      <c r="U1948" s="84"/>
      <c r="V1948" s="84"/>
      <c r="W1948" s="84"/>
      <c r="X1948" s="84"/>
      <c r="Y1948" s="84"/>
      <c r="Z1948" s="87"/>
      <c r="AA1948" s="87"/>
      <c r="AB1948" s="87"/>
      <c r="AC1948" s="87"/>
      <c r="AD1948" s="87"/>
      <c r="AE1948" s="87"/>
      <c r="AF1948" s="87"/>
      <c r="AG1948" s="87"/>
      <c r="AH1948" s="87"/>
      <c r="AI1948" s="87"/>
      <c r="AJ1948" s="87"/>
      <c r="AK1948" s="87"/>
      <c r="AL1948" s="87"/>
      <c r="AM1948" s="87"/>
      <c r="AN1948" s="87"/>
      <c r="AO1948" s="87"/>
      <c r="AP1948" s="87"/>
      <c r="AQ1948" s="87"/>
      <c r="AR1948" s="87"/>
      <c r="AS1948" s="87"/>
      <c r="AT1948" s="87"/>
      <c r="AU1948" s="87"/>
      <c r="AV1948" s="87"/>
      <c r="AW1948" s="87"/>
      <c r="AX1948" s="87"/>
      <c r="AY1948" s="87"/>
      <c r="AZ1948" s="87"/>
      <c r="BA1948" s="87"/>
      <c r="BB1948" s="87"/>
      <c r="BC1948" s="87"/>
      <c r="BD1948" s="87"/>
      <c r="BE1948" s="87"/>
      <c r="BF1948" s="87"/>
      <c r="BG1948" s="87"/>
      <c r="BH1948" s="87"/>
    </row>
    <row r="1949" spans="1:60" ht="16">
      <c r="A1949" s="82"/>
      <c r="B1949" s="82"/>
      <c r="C1949" s="82"/>
      <c r="D1949" s="83"/>
      <c r="E1949" s="84"/>
      <c r="F1949" s="84"/>
      <c r="G1949" s="84"/>
      <c r="H1949" s="82"/>
      <c r="I1949" s="84"/>
      <c r="J1949" s="84"/>
      <c r="K1949" s="84"/>
      <c r="L1949" s="84"/>
      <c r="M1949" s="84"/>
      <c r="N1949" s="84"/>
      <c r="O1949" s="84"/>
      <c r="P1949" s="84"/>
      <c r="Q1949" s="84"/>
      <c r="R1949" s="84"/>
      <c r="S1949" s="84"/>
      <c r="T1949" s="84"/>
      <c r="U1949" s="84"/>
      <c r="V1949" s="84"/>
      <c r="W1949" s="84"/>
      <c r="X1949" s="84"/>
      <c r="Y1949" s="84"/>
      <c r="Z1949" s="87"/>
      <c r="AA1949" s="87"/>
      <c r="AB1949" s="87"/>
      <c r="AC1949" s="87"/>
      <c r="AD1949" s="87"/>
      <c r="AE1949" s="87"/>
      <c r="AF1949" s="87"/>
      <c r="AG1949" s="87"/>
      <c r="AH1949" s="87"/>
      <c r="AI1949" s="87"/>
      <c r="AJ1949" s="87"/>
      <c r="AK1949" s="87"/>
      <c r="AL1949" s="87"/>
      <c r="AM1949" s="87"/>
      <c r="AN1949" s="87"/>
      <c r="AO1949" s="87"/>
      <c r="AP1949" s="87"/>
      <c r="AQ1949" s="87"/>
      <c r="AR1949" s="87"/>
      <c r="AS1949" s="87"/>
      <c r="AT1949" s="87"/>
      <c r="AU1949" s="87"/>
      <c r="AV1949" s="87"/>
      <c r="AW1949" s="87"/>
      <c r="AX1949" s="87"/>
      <c r="AY1949" s="87"/>
      <c r="AZ1949" s="87"/>
      <c r="BA1949" s="87"/>
      <c r="BB1949" s="87"/>
      <c r="BC1949" s="87"/>
      <c r="BD1949" s="87"/>
      <c r="BE1949" s="87"/>
      <c r="BF1949" s="87"/>
      <c r="BG1949" s="87"/>
      <c r="BH1949" s="87"/>
    </row>
    <row r="1950" spans="1:60" ht="16">
      <c r="A1950" s="82"/>
      <c r="B1950" s="82"/>
      <c r="C1950" s="82"/>
      <c r="D1950" s="83"/>
      <c r="E1950" s="84"/>
      <c r="F1950" s="84"/>
      <c r="G1950" s="84"/>
      <c r="H1950" s="82"/>
      <c r="I1950" s="84"/>
      <c r="J1950" s="84"/>
      <c r="K1950" s="84"/>
      <c r="L1950" s="84"/>
      <c r="M1950" s="84"/>
      <c r="N1950" s="84"/>
      <c r="O1950" s="84"/>
      <c r="P1950" s="84"/>
      <c r="Q1950" s="84"/>
      <c r="R1950" s="84"/>
      <c r="S1950" s="84"/>
      <c r="T1950" s="84"/>
      <c r="U1950" s="84"/>
      <c r="V1950" s="84"/>
      <c r="W1950" s="84"/>
      <c r="X1950" s="84"/>
      <c r="Y1950" s="84"/>
      <c r="Z1950" s="87"/>
      <c r="AA1950" s="87"/>
      <c r="AB1950" s="87"/>
      <c r="AC1950" s="87"/>
      <c r="AD1950" s="87"/>
      <c r="AE1950" s="87"/>
      <c r="AF1950" s="87"/>
      <c r="AG1950" s="87"/>
      <c r="AH1950" s="87"/>
      <c r="AI1950" s="87"/>
      <c r="AJ1950" s="87"/>
      <c r="AK1950" s="87"/>
      <c r="AL1950" s="87"/>
      <c r="AM1950" s="87"/>
      <c r="AN1950" s="87"/>
      <c r="AO1950" s="87"/>
      <c r="AP1950" s="87"/>
      <c r="AQ1950" s="87"/>
      <c r="AR1950" s="87"/>
      <c r="AS1950" s="87"/>
      <c r="AT1950" s="87"/>
      <c r="AU1950" s="87"/>
      <c r="AV1950" s="87"/>
      <c r="AW1950" s="87"/>
      <c r="AX1950" s="87"/>
      <c r="AY1950" s="87"/>
      <c r="AZ1950" s="87"/>
      <c r="BA1950" s="87"/>
      <c r="BB1950" s="87"/>
      <c r="BC1950" s="87"/>
      <c r="BD1950" s="87"/>
      <c r="BE1950" s="87"/>
      <c r="BF1950" s="87"/>
      <c r="BG1950" s="87"/>
      <c r="BH1950" s="87"/>
    </row>
    <row r="1951" spans="1:60" ht="16">
      <c r="A1951" s="82"/>
      <c r="B1951" s="82"/>
      <c r="C1951" s="82"/>
      <c r="D1951" s="83"/>
      <c r="E1951" s="84"/>
      <c r="F1951" s="84"/>
      <c r="G1951" s="84"/>
      <c r="H1951" s="82"/>
      <c r="I1951" s="84"/>
      <c r="J1951" s="84"/>
      <c r="K1951" s="84"/>
      <c r="L1951" s="84"/>
      <c r="M1951" s="84"/>
      <c r="N1951" s="84"/>
      <c r="O1951" s="84"/>
      <c r="P1951" s="84"/>
      <c r="Q1951" s="84"/>
      <c r="R1951" s="84"/>
      <c r="S1951" s="84"/>
      <c r="T1951" s="84"/>
      <c r="U1951" s="84"/>
      <c r="V1951" s="84"/>
      <c r="W1951" s="84"/>
      <c r="X1951" s="84"/>
      <c r="Y1951" s="84"/>
      <c r="Z1951" s="87"/>
      <c r="AA1951" s="87"/>
      <c r="AB1951" s="87"/>
      <c r="AC1951" s="87"/>
      <c r="AD1951" s="87"/>
      <c r="AE1951" s="87"/>
      <c r="AF1951" s="87"/>
      <c r="AG1951" s="87"/>
      <c r="AH1951" s="87"/>
      <c r="AI1951" s="87"/>
      <c r="AJ1951" s="87"/>
      <c r="AK1951" s="87"/>
      <c r="AL1951" s="87"/>
      <c r="AM1951" s="87"/>
      <c r="AN1951" s="87"/>
      <c r="AO1951" s="87"/>
      <c r="AP1951" s="87"/>
      <c r="AQ1951" s="87"/>
      <c r="AR1951" s="87"/>
      <c r="AS1951" s="87"/>
      <c r="AT1951" s="87"/>
      <c r="AU1951" s="87"/>
      <c r="AV1951" s="87"/>
      <c r="AW1951" s="87"/>
      <c r="AX1951" s="87"/>
      <c r="AY1951" s="87"/>
      <c r="AZ1951" s="87"/>
      <c r="BA1951" s="87"/>
      <c r="BB1951" s="87"/>
      <c r="BC1951" s="87"/>
      <c r="BD1951" s="87"/>
      <c r="BE1951" s="87"/>
      <c r="BF1951" s="87"/>
      <c r="BG1951" s="87"/>
      <c r="BH1951" s="87"/>
    </row>
    <row r="1952" spans="1:60" ht="16">
      <c r="A1952" s="82"/>
      <c r="B1952" s="82"/>
      <c r="C1952" s="82"/>
      <c r="D1952" s="83"/>
      <c r="E1952" s="84"/>
      <c r="F1952" s="84"/>
      <c r="G1952" s="84"/>
      <c r="H1952" s="82"/>
      <c r="I1952" s="84"/>
      <c r="J1952" s="84"/>
      <c r="K1952" s="84"/>
      <c r="L1952" s="84"/>
      <c r="M1952" s="84"/>
      <c r="N1952" s="84"/>
      <c r="O1952" s="84"/>
      <c r="P1952" s="84"/>
      <c r="Q1952" s="84"/>
      <c r="R1952" s="84"/>
      <c r="S1952" s="84"/>
      <c r="T1952" s="84"/>
      <c r="U1952" s="84"/>
      <c r="V1952" s="84"/>
      <c r="W1952" s="84"/>
      <c r="X1952" s="84"/>
      <c r="Y1952" s="84"/>
      <c r="Z1952" s="87"/>
      <c r="AA1952" s="87"/>
      <c r="AB1952" s="87"/>
      <c r="AC1952" s="87"/>
      <c r="AD1952" s="87"/>
      <c r="AE1952" s="87"/>
      <c r="AF1952" s="87"/>
      <c r="AG1952" s="87"/>
      <c r="AH1952" s="87"/>
      <c r="AI1952" s="87"/>
      <c r="AJ1952" s="87"/>
      <c r="AK1952" s="87"/>
      <c r="AL1952" s="87"/>
      <c r="AM1952" s="87"/>
      <c r="AN1952" s="87"/>
      <c r="AO1952" s="87"/>
      <c r="AP1952" s="87"/>
      <c r="AQ1952" s="87"/>
      <c r="AR1952" s="87"/>
      <c r="AS1952" s="87"/>
      <c r="AT1952" s="87"/>
      <c r="AU1952" s="87"/>
      <c r="AV1952" s="87"/>
      <c r="AW1952" s="87"/>
      <c r="AX1952" s="87"/>
      <c r="AY1952" s="87"/>
      <c r="AZ1952" s="87"/>
      <c r="BA1952" s="87"/>
      <c r="BB1952" s="87"/>
      <c r="BC1952" s="87"/>
      <c r="BD1952" s="87"/>
      <c r="BE1952" s="87"/>
      <c r="BF1952" s="87"/>
      <c r="BG1952" s="87"/>
      <c r="BH1952" s="87"/>
    </row>
    <row r="1953" spans="1:60" ht="16">
      <c r="A1953" s="82"/>
      <c r="B1953" s="82"/>
      <c r="C1953" s="82"/>
      <c r="D1953" s="83"/>
      <c r="E1953" s="84"/>
      <c r="F1953" s="84"/>
      <c r="G1953" s="84"/>
      <c r="H1953" s="82"/>
      <c r="I1953" s="84"/>
      <c r="J1953" s="84"/>
      <c r="K1953" s="84"/>
      <c r="L1953" s="84"/>
      <c r="M1953" s="84"/>
      <c r="N1953" s="84"/>
      <c r="O1953" s="84"/>
      <c r="P1953" s="84"/>
      <c r="Q1953" s="84"/>
      <c r="R1953" s="84"/>
      <c r="S1953" s="84"/>
      <c r="T1953" s="84"/>
      <c r="U1953" s="84"/>
      <c r="V1953" s="84"/>
      <c r="W1953" s="84"/>
      <c r="X1953" s="84"/>
      <c r="Y1953" s="84"/>
      <c r="Z1953" s="87"/>
      <c r="AA1953" s="87"/>
      <c r="AB1953" s="87"/>
      <c r="AC1953" s="87"/>
      <c r="AD1953" s="87"/>
      <c r="AE1953" s="87"/>
      <c r="AF1953" s="87"/>
      <c r="AG1953" s="87"/>
      <c r="AH1953" s="87"/>
      <c r="AI1953" s="87"/>
      <c r="AJ1953" s="87"/>
      <c r="AK1953" s="87"/>
      <c r="AL1953" s="87"/>
      <c r="AM1953" s="87"/>
      <c r="AN1953" s="87"/>
      <c r="AO1953" s="87"/>
      <c r="AP1953" s="87"/>
      <c r="AQ1953" s="87"/>
      <c r="AR1953" s="87"/>
      <c r="AS1953" s="87"/>
      <c r="AT1953" s="87"/>
      <c r="AU1953" s="87"/>
      <c r="AV1953" s="87"/>
      <c r="AW1953" s="87"/>
      <c r="AX1953" s="87"/>
      <c r="AY1953" s="87"/>
      <c r="AZ1953" s="87"/>
      <c r="BA1953" s="87"/>
      <c r="BB1953" s="87"/>
      <c r="BC1953" s="87"/>
      <c r="BD1953" s="87"/>
      <c r="BE1953" s="87"/>
      <c r="BF1953" s="87"/>
      <c r="BG1953" s="87"/>
      <c r="BH1953" s="87"/>
    </row>
    <row r="1954" spans="1:60" ht="16">
      <c r="A1954" s="82"/>
      <c r="B1954" s="82"/>
      <c r="C1954" s="82"/>
      <c r="D1954" s="83"/>
      <c r="E1954" s="84"/>
      <c r="F1954" s="84"/>
      <c r="G1954" s="84"/>
      <c r="H1954" s="82"/>
      <c r="I1954" s="84"/>
      <c r="J1954" s="84"/>
      <c r="K1954" s="84"/>
      <c r="L1954" s="84"/>
      <c r="M1954" s="84"/>
      <c r="N1954" s="84"/>
      <c r="O1954" s="84"/>
      <c r="P1954" s="84"/>
      <c r="Q1954" s="84"/>
      <c r="R1954" s="84"/>
      <c r="S1954" s="84"/>
      <c r="T1954" s="84"/>
      <c r="U1954" s="84"/>
      <c r="V1954" s="84"/>
      <c r="W1954" s="84"/>
      <c r="X1954" s="84"/>
      <c r="Y1954" s="84"/>
      <c r="Z1954" s="87"/>
      <c r="AA1954" s="87"/>
      <c r="AB1954" s="87"/>
      <c r="AC1954" s="87"/>
      <c r="AD1954" s="87"/>
      <c r="AE1954" s="87"/>
      <c r="AF1954" s="87"/>
      <c r="AG1954" s="87"/>
      <c r="AH1954" s="87"/>
      <c r="AI1954" s="87"/>
      <c r="AJ1954" s="87"/>
      <c r="AK1954" s="87"/>
      <c r="AL1954" s="87"/>
      <c r="AM1954" s="87"/>
      <c r="AN1954" s="87"/>
      <c r="AO1954" s="87"/>
      <c r="AP1954" s="87"/>
      <c r="AQ1954" s="87"/>
      <c r="AR1954" s="87"/>
      <c r="AS1954" s="87"/>
      <c r="AT1954" s="87"/>
      <c r="AU1954" s="87"/>
      <c r="AV1954" s="87"/>
      <c r="AW1954" s="87"/>
      <c r="AX1954" s="87"/>
      <c r="AY1954" s="87"/>
      <c r="AZ1954" s="87"/>
      <c r="BA1954" s="87"/>
      <c r="BB1954" s="87"/>
      <c r="BC1954" s="87"/>
      <c r="BD1954" s="87"/>
      <c r="BE1954" s="87"/>
      <c r="BF1954" s="87"/>
      <c r="BG1954" s="87"/>
      <c r="BH1954" s="87"/>
    </row>
    <row r="1955" spans="1:60" ht="16">
      <c r="A1955" s="82"/>
      <c r="B1955" s="82"/>
      <c r="C1955" s="82"/>
      <c r="D1955" s="83"/>
      <c r="E1955" s="84"/>
      <c r="F1955" s="84"/>
      <c r="G1955" s="84"/>
      <c r="H1955" s="82"/>
      <c r="I1955" s="84"/>
      <c r="J1955" s="84"/>
      <c r="K1955" s="84"/>
      <c r="L1955" s="84"/>
      <c r="M1955" s="84"/>
      <c r="N1955" s="84"/>
      <c r="O1955" s="84"/>
      <c r="P1955" s="84"/>
      <c r="Q1955" s="84"/>
      <c r="R1955" s="84"/>
      <c r="S1955" s="84"/>
      <c r="T1955" s="84"/>
      <c r="U1955" s="84"/>
      <c r="V1955" s="84"/>
      <c r="W1955" s="84"/>
      <c r="X1955" s="84"/>
      <c r="Y1955" s="84"/>
      <c r="Z1955" s="87"/>
      <c r="AA1955" s="87"/>
      <c r="AB1955" s="87"/>
      <c r="AC1955" s="87"/>
      <c r="AD1955" s="87"/>
      <c r="AE1955" s="87"/>
      <c r="AF1955" s="87"/>
      <c r="AG1955" s="87"/>
      <c r="AH1955" s="87"/>
      <c r="AI1955" s="87"/>
      <c r="AJ1955" s="87"/>
      <c r="AK1955" s="87"/>
      <c r="AL1955" s="87"/>
      <c r="AM1955" s="87"/>
      <c r="AN1955" s="87"/>
      <c r="AO1955" s="87"/>
      <c r="AP1955" s="87"/>
      <c r="AQ1955" s="87"/>
      <c r="AR1955" s="87"/>
      <c r="AS1955" s="87"/>
      <c r="AT1955" s="87"/>
      <c r="AU1955" s="87"/>
      <c r="AV1955" s="87"/>
      <c r="AW1955" s="87"/>
      <c r="AX1955" s="87"/>
      <c r="AY1955" s="87"/>
      <c r="AZ1955" s="87"/>
      <c r="BA1955" s="87"/>
      <c r="BB1955" s="87"/>
      <c r="BC1955" s="87"/>
      <c r="BD1955" s="87"/>
      <c r="BE1955" s="87"/>
      <c r="BF1955" s="87"/>
      <c r="BG1955" s="87"/>
      <c r="BH1955" s="87"/>
    </row>
    <row r="1956" spans="1:60" ht="16">
      <c r="A1956" s="82"/>
      <c r="B1956" s="82"/>
      <c r="C1956" s="82"/>
      <c r="D1956" s="83"/>
      <c r="E1956" s="84"/>
      <c r="F1956" s="84"/>
      <c r="G1956" s="84"/>
      <c r="H1956" s="82"/>
      <c r="I1956" s="84"/>
      <c r="J1956" s="84"/>
      <c r="K1956" s="84"/>
      <c r="L1956" s="84"/>
      <c r="M1956" s="84"/>
      <c r="N1956" s="84"/>
      <c r="O1956" s="84"/>
      <c r="P1956" s="84"/>
      <c r="Q1956" s="84"/>
      <c r="R1956" s="84"/>
      <c r="S1956" s="84"/>
      <c r="T1956" s="84"/>
      <c r="U1956" s="84"/>
      <c r="V1956" s="84"/>
      <c r="W1956" s="84"/>
      <c r="X1956" s="84"/>
      <c r="Y1956" s="84"/>
      <c r="Z1956" s="87"/>
      <c r="AA1956" s="87"/>
      <c r="AB1956" s="87"/>
      <c r="AC1956" s="87"/>
      <c r="AD1956" s="87"/>
      <c r="AE1956" s="87"/>
      <c r="AF1956" s="87"/>
      <c r="AG1956" s="87"/>
      <c r="AH1956" s="87"/>
      <c r="AI1956" s="87"/>
      <c r="AJ1956" s="87"/>
      <c r="AK1956" s="87"/>
      <c r="AL1956" s="87"/>
      <c r="AM1956" s="87"/>
      <c r="AN1956" s="87"/>
      <c r="AO1956" s="87"/>
      <c r="AP1956" s="87"/>
      <c r="AQ1956" s="87"/>
      <c r="AR1956" s="87"/>
      <c r="AS1956" s="87"/>
      <c r="AT1956" s="87"/>
      <c r="AU1956" s="87"/>
      <c r="AV1956" s="87"/>
      <c r="AW1956" s="87"/>
      <c r="AX1956" s="87"/>
      <c r="AY1956" s="87"/>
      <c r="AZ1956" s="87"/>
      <c r="BA1956" s="87"/>
      <c r="BB1956" s="87"/>
      <c r="BC1956" s="87"/>
      <c r="BD1956" s="87"/>
      <c r="BE1956" s="87"/>
      <c r="BF1956" s="87"/>
      <c r="BG1956" s="87"/>
      <c r="BH1956" s="87"/>
    </row>
    <row r="1957" spans="1:60" ht="16">
      <c r="A1957" s="82"/>
      <c r="B1957" s="82"/>
      <c r="C1957" s="82"/>
      <c r="D1957" s="83"/>
      <c r="E1957" s="84"/>
      <c r="F1957" s="84"/>
      <c r="G1957" s="84"/>
      <c r="H1957" s="82"/>
      <c r="I1957" s="84"/>
      <c r="J1957" s="84"/>
      <c r="K1957" s="84"/>
      <c r="L1957" s="84"/>
      <c r="M1957" s="84"/>
      <c r="N1957" s="84"/>
      <c r="O1957" s="84"/>
      <c r="P1957" s="84"/>
      <c r="Q1957" s="84"/>
      <c r="R1957" s="84"/>
      <c r="S1957" s="84"/>
      <c r="T1957" s="84"/>
      <c r="U1957" s="84"/>
      <c r="V1957" s="84"/>
      <c r="W1957" s="84"/>
      <c r="X1957" s="84"/>
      <c r="Y1957" s="84"/>
      <c r="Z1957" s="87"/>
      <c r="AA1957" s="87"/>
      <c r="AB1957" s="87"/>
      <c r="AC1957" s="87"/>
      <c r="AD1957" s="87"/>
      <c r="AE1957" s="87"/>
      <c r="AF1957" s="87"/>
      <c r="AG1957" s="87"/>
      <c r="AH1957" s="87"/>
      <c r="AI1957" s="87"/>
      <c r="AJ1957" s="87"/>
      <c r="AK1957" s="87"/>
      <c r="AL1957" s="87"/>
      <c r="AM1957" s="87"/>
      <c r="AN1957" s="87"/>
      <c r="AO1957" s="87"/>
      <c r="AP1957" s="87"/>
      <c r="AQ1957" s="87"/>
      <c r="AR1957" s="87"/>
      <c r="AS1957" s="87"/>
      <c r="AT1957" s="87"/>
      <c r="AU1957" s="87"/>
      <c r="AV1957" s="87"/>
      <c r="AW1957" s="87"/>
      <c r="AX1957" s="87"/>
      <c r="AY1957" s="87"/>
      <c r="AZ1957" s="87"/>
      <c r="BA1957" s="87"/>
      <c r="BB1957" s="87"/>
      <c r="BC1957" s="87"/>
      <c r="BD1957" s="87"/>
      <c r="BE1957" s="87"/>
      <c r="BF1957" s="87"/>
      <c r="BG1957" s="87"/>
      <c r="BH1957" s="87"/>
    </row>
    <row r="1958" spans="1:60" ht="16">
      <c r="A1958" s="82"/>
      <c r="B1958" s="82"/>
      <c r="C1958" s="82"/>
      <c r="D1958" s="83"/>
      <c r="E1958" s="84"/>
      <c r="F1958" s="84"/>
      <c r="G1958" s="84"/>
      <c r="H1958" s="82"/>
      <c r="I1958" s="84"/>
      <c r="J1958" s="84"/>
      <c r="K1958" s="84"/>
      <c r="L1958" s="84"/>
      <c r="M1958" s="84"/>
      <c r="N1958" s="84"/>
      <c r="O1958" s="84"/>
      <c r="P1958" s="84"/>
      <c r="Q1958" s="84"/>
      <c r="R1958" s="84"/>
      <c r="S1958" s="84"/>
      <c r="T1958" s="84"/>
      <c r="U1958" s="84"/>
      <c r="V1958" s="84"/>
      <c r="W1958" s="84"/>
      <c r="X1958" s="84"/>
      <c r="Y1958" s="84"/>
      <c r="Z1958" s="87"/>
      <c r="AA1958" s="87"/>
      <c r="AB1958" s="87"/>
      <c r="AC1958" s="87"/>
      <c r="AD1958" s="87"/>
      <c r="AE1958" s="87"/>
      <c r="AF1958" s="87"/>
      <c r="AG1958" s="87"/>
      <c r="AH1958" s="87"/>
      <c r="AI1958" s="87"/>
      <c r="AJ1958" s="87"/>
      <c r="AK1958" s="87"/>
      <c r="AL1958" s="87"/>
      <c r="AM1958" s="87"/>
      <c r="AN1958" s="87"/>
      <c r="AO1958" s="87"/>
      <c r="AP1958" s="87"/>
      <c r="AQ1958" s="87"/>
      <c r="AR1958" s="87"/>
      <c r="AS1958" s="87"/>
      <c r="AT1958" s="87"/>
      <c r="AU1958" s="87"/>
      <c r="AV1958" s="87"/>
      <c r="AW1958" s="87"/>
      <c r="AX1958" s="87"/>
      <c r="AY1958" s="87"/>
      <c r="AZ1958" s="87"/>
      <c r="BA1958" s="87"/>
      <c r="BB1958" s="87"/>
      <c r="BC1958" s="87"/>
      <c r="BD1958" s="87"/>
      <c r="BE1958" s="87"/>
      <c r="BF1958" s="87"/>
      <c r="BG1958" s="87"/>
      <c r="BH1958" s="87"/>
    </row>
    <row r="1959" spans="1:60" ht="16">
      <c r="A1959" s="82"/>
      <c r="B1959" s="82"/>
      <c r="C1959" s="82"/>
      <c r="D1959" s="83"/>
      <c r="E1959" s="84"/>
      <c r="F1959" s="84"/>
      <c r="G1959" s="84"/>
      <c r="H1959" s="82"/>
      <c r="I1959" s="84"/>
      <c r="J1959" s="84"/>
      <c r="K1959" s="84"/>
      <c r="L1959" s="84"/>
      <c r="M1959" s="84"/>
      <c r="N1959" s="84"/>
      <c r="O1959" s="84"/>
      <c r="P1959" s="84"/>
      <c r="Q1959" s="84"/>
      <c r="R1959" s="84"/>
      <c r="S1959" s="84"/>
      <c r="T1959" s="84"/>
      <c r="U1959" s="84"/>
      <c r="V1959" s="84"/>
      <c r="W1959" s="84"/>
      <c r="X1959" s="84"/>
      <c r="Y1959" s="84"/>
      <c r="Z1959" s="87"/>
      <c r="AA1959" s="87"/>
      <c r="AB1959" s="87"/>
      <c r="AC1959" s="87"/>
      <c r="AD1959" s="87"/>
      <c r="AE1959" s="87"/>
      <c r="AF1959" s="87"/>
      <c r="AG1959" s="87"/>
      <c r="AH1959" s="87"/>
      <c r="AI1959" s="87"/>
      <c r="AJ1959" s="87"/>
      <c r="AK1959" s="87"/>
      <c r="AL1959" s="87"/>
      <c r="AM1959" s="87"/>
      <c r="AN1959" s="87"/>
      <c r="AO1959" s="87"/>
      <c r="AP1959" s="87"/>
      <c r="AQ1959" s="87"/>
      <c r="AR1959" s="87"/>
      <c r="AS1959" s="87"/>
      <c r="AT1959" s="87"/>
      <c r="AU1959" s="87"/>
      <c r="AV1959" s="87"/>
      <c r="AW1959" s="87"/>
      <c r="AX1959" s="87"/>
      <c r="AY1959" s="87"/>
      <c r="AZ1959" s="87"/>
      <c r="BA1959" s="87"/>
      <c r="BB1959" s="87"/>
      <c r="BC1959" s="87"/>
      <c r="BD1959" s="87"/>
      <c r="BE1959" s="87"/>
      <c r="BF1959" s="87"/>
      <c r="BG1959" s="87"/>
      <c r="BH1959" s="87"/>
    </row>
    <row r="1960" spans="1:60" ht="16">
      <c r="A1960" s="82"/>
      <c r="B1960" s="82"/>
      <c r="C1960" s="82"/>
      <c r="D1960" s="83"/>
      <c r="E1960" s="84"/>
      <c r="F1960" s="84"/>
      <c r="G1960" s="84"/>
      <c r="H1960" s="82"/>
      <c r="I1960" s="84"/>
      <c r="J1960" s="84"/>
      <c r="K1960" s="84"/>
      <c r="L1960" s="84"/>
      <c r="M1960" s="84"/>
      <c r="N1960" s="84"/>
      <c r="O1960" s="84"/>
      <c r="P1960" s="84"/>
      <c r="Q1960" s="84"/>
      <c r="R1960" s="84"/>
      <c r="S1960" s="84"/>
      <c r="T1960" s="84"/>
      <c r="U1960" s="84"/>
      <c r="V1960" s="84"/>
      <c r="W1960" s="84"/>
      <c r="X1960" s="84"/>
      <c r="Y1960" s="84"/>
      <c r="Z1960" s="87"/>
      <c r="AA1960" s="87"/>
      <c r="AB1960" s="87"/>
      <c r="AC1960" s="87"/>
      <c r="AD1960" s="87"/>
      <c r="AE1960" s="87"/>
      <c r="AF1960" s="87"/>
      <c r="AG1960" s="87"/>
      <c r="AH1960" s="87"/>
      <c r="AI1960" s="87"/>
      <c r="AJ1960" s="87"/>
      <c r="AK1960" s="87"/>
      <c r="AL1960" s="87"/>
      <c r="AM1960" s="87"/>
      <c r="AN1960" s="87"/>
      <c r="AO1960" s="87"/>
      <c r="AP1960" s="87"/>
      <c r="AQ1960" s="87"/>
      <c r="AR1960" s="87"/>
      <c r="AS1960" s="87"/>
      <c r="AT1960" s="87"/>
      <c r="AU1960" s="87"/>
      <c r="AV1960" s="87"/>
      <c r="AW1960" s="87"/>
      <c r="AX1960" s="87"/>
      <c r="AY1960" s="87"/>
      <c r="AZ1960" s="87"/>
      <c r="BA1960" s="87"/>
      <c r="BB1960" s="87"/>
      <c r="BC1960" s="87"/>
      <c r="BD1960" s="87"/>
      <c r="BE1960" s="87"/>
      <c r="BF1960" s="87"/>
      <c r="BG1960" s="87"/>
      <c r="BH1960" s="87"/>
    </row>
    <row r="1961" spans="1:60" ht="16">
      <c r="A1961" s="82"/>
      <c r="B1961" s="82"/>
      <c r="C1961" s="82"/>
      <c r="D1961" s="83"/>
      <c r="E1961" s="84"/>
      <c r="F1961" s="84"/>
      <c r="G1961" s="84"/>
      <c r="H1961" s="82"/>
      <c r="I1961" s="84"/>
      <c r="J1961" s="84"/>
      <c r="K1961" s="84"/>
      <c r="L1961" s="84"/>
      <c r="M1961" s="84"/>
      <c r="N1961" s="84"/>
      <c r="O1961" s="84"/>
      <c r="P1961" s="84"/>
      <c r="Q1961" s="84"/>
      <c r="R1961" s="84"/>
      <c r="S1961" s="84"/>
      <c r="T1961" s="84"/>
      <c r="U1961" s="84"/>
      <c r="V1961" s="84"/>
      <c r="W1961" s="84"/>
      <c r="X1961" s="84"/>
      <c r="Y1961" s="84"/>
      <c r="Z1961" s="87"/>
      <c r="AA1961" s="87"/>
      <c r="AB1961" s="87"/>
      <c r="AC1961" s="87"/>
      <c r="AD1961" s="87"/>
      <c r="AE1961" s="87"/>
      <c r="AF1961" s="87"/>
      <c r="AG1961" s="87"/>
      <c r="AH1961" s="87"/>
      <c r="AI1961" s="87"/>
      <c r="AJ1961" s="87"/>
      <c r="AK1961" s="87"/>
      <c r="AL1961" s="87"/>
      <c r="AM1961" s="87"/>
      <c r="AN1961" s="87"/>
      <c r="AO1961" s="87"/>
      <c r="AP1961" s="87"/>
      <c r="AQ1961" s="87"/>
      <c r="AR1961" s="87"/>
      <c r="AS1961" s="87"/>
      <c r="AT1961" s="87"/>
      <c r="AU1961" s="87"/>
      <c r="AV1961" s="87"/>
      <c r="AW1961" s="87"/>
      <c r="AX1961" s="87"/>
      <c r="AY1961" s="87"/>
      <c r="AZ1961" s="87"/>
      <c r="BA1961" s="87"/>
      <c r="BB1961" s="87"/>
      <c r="BC1961" s="87"/>
      <c r="BD1961" s="87"/>
      <c r="BE1961" s="87"/>
      <c r="BF1961" s="87"/>
      <c r="BG1961" s="87"/>
      <c r="BH1961" s="87"/>
    </row>
    <row r="1962" spans="1:60" ht="16">
      <c r="A1962" s="82"/>
      <c r="B1962" s="82"/>
      <c r="C1962" s="82"/>
      <c r="D1962" s="83"/>
      <c r="E1962" s="84"/>
      <c r="F1962" s="84"/>
      <c r="G1962" s="84"/>
      <c r="H1962" s="82"/>
      <c r="I1962" s="84"/>
      <c r="J1962" s="84"/>
      <c r="K1962" s="84"/>
      <c r="L1962" s="84"/>
      <c r="M1962" s="84"/>
      <c r="N1962" s="84"/>
      <c r="O1962" s="84"/>
      <c r="P1962" s="84"/>
      <c r="Q1962" s="84"/>
      <c r="R1962" s="84"/>
      <c r="S1962" s="84"/>
      <c r="T1962" s="84"/>
      <c r="U1962" s="84"/>
      <c r="V1962" s="84"/>
      <c r="W1962" s="84"/>
      <c r="X1962" s="84"/>
      <c r="Y1962" s="84"/>
      <c r="Z1962" s="87"/>
      <c r="AA1962" s="87"/>
      <c r="AB1962" s="87"/>
      <c r="AC1962" s="87"/>
      <c r="AD1962" s="87"/>
      <c r="AE1962" s="87"/>
      <c r="AF1962" s="87"/>
      <c r="AG1962" s="87"/>
      <c r="AH1962" s="87"/>
      <c r="AI1962" s="87"/>
      <c r="AJ1962" s="87"/>
      <c r="AK1962" s="87"/>
      <c r="AL1962" s="87"/>
      <c r="AM1962" s="87"/>
      <c r="AN1962" s="87"/>
      <c r="AO1962" s="87"/>
      <c r="AP1962" s="87"/>
      <c r="AQ1962" s="87"/>
      <c r="AR1962" s="87"/>
      <c r="AS1962" s="87"/>
      <c r="AT1962" s="87"/>
      <c r="AU1962" s="87"/>
      <c r="AV1962" s="87"/>
      <c r="AW1962" s="87"/>
      <c r="AX1962" s="87"/>
      <c r="AY1962" s="87"/>
      <c r="AZ1962" s="87"/>
      <c r="BA1962" s="87"/>
      <c r="BB1962" s="87"/>
      <c r="BC1962" s="87"/>
      <c r="BD1962" s="87"/>
      <c r="BE1962" s="87"/>
      <c r="BF1962" s="87"/>
      <c r="BG1962" s="87"/>
      <c r="BH1962" s="87"/>
    </row>
    <row r="1963" spans="1:60" ht="16">
      <c r="A1963" s="82"/>
      <c r="B1963" s="82"/>
      <c r="C1963" s="82"/>
      <c r="D1963" s="83"/>
      <c r="E1963" s="84"/>
      <c r="F1963" s="84"/>
      <c r="G1963" s="84"/>
      <c r="H1963" s="82"/>
      <c r="I1963" s="84"/>
      <c r="J1963" s="84"/>
      <c r="K1963" s="84"/>
      <c r="L1963" s="84"/>
      <c r="M1963" s="84"/>
      <c r="N1963" s="84"/>
      <c r="O1963" s="84"/>
      <c r="P1963" s="84"/>
      <c r="Q1963" s="84"/>
      <c r="R1963" s="84"/>
      <c r="S1963" s="84"/>
      <c r="T1963" s="84"/>
      <c r="U1963" s="84"/>
      <c r="V1963" s="84"/>
      <c r="W1963" s="84"/>
      <c r="X1963" s="84"/>
      <c r="Y1963" s="84"/>
      <c r="Z1963" s="87"/>
      <c r="AA1963" s="87"/>
      <c r="AB1963" s="87"/>
      <c r="AC1963" s="87"/>
      <c r="AD1963" s="87"/>
      <c r="AE1963" s="87"/>
      <c r="AF1963" s="87"/>
      <c r="AG1963" s="87"/>
      <c r="AH1963" s="87"/>
      <c r="AI1963" s="87"/>
      <c r="AJ1963" s="87"/>
      <c r="AK1963" s="87"/>
      <c r="AL1963" s="87"/>
      <c r="AM1963" s="87"/>
      <c r="AN1963" s="87"/>
      <c r="AO1963" s="87"/>
      <c r="AP1963" s="87"/>
      <c r="AQ1963" s="87"/>
      <c r="AR1963" s="87"/>
      <c r="AS1963" s="87"/>
      <c r="AT1963" s="87"/>
      <c r="AU1963" s="87"/>
      <c r="AV1963" s="87"/>
      <c r="AW1963" s="87"/>
      <c r="AX1963" s="87"/>
      <c r="AY1963" s="87"/>
      <c r="AZ1963" s="87"/>
      <c r="BA1963" s="87"/>
      <c r="BB1963" s="87"/>
      <c r="BC1963" s="87"/>
      <c r="BD1963" s="87"/>
      <c r="BE1963" s="87"/>
      <c r="BF1963" s="87"/>
      <c r="BG1963" s="87"/>
      <c r="BH1963" s="87"/>
    </row>
    <row r="1964" spans="1:60" ht="16">
      <c r="A1964" s="82"/>
      <c r="B1964" s="82"/>
      <c r="C1964" s="82"/>
      <c r="D1964" s="83"/>
      <c r="E1964" s="84"/>
      <c r="F1964" s="84"/>
      <c r="G1964" s="84"/>
      <c r="H1964" s="82"/>
      <c r="I1964" s="84"/>
      <c r="J1964" s="84"/>
      <c r="K1964" s="84"/>
      <c r="L1964" s="84"/>
      <c r="M1964" s="84"/>
      <c r="N1964" s="84"/>
      <c r="O1964" s="84"/>
      <c r="P1964" s="84"/>
      <c r="Q1964" s="84"/>
      <c r="R1964" s="84"/>
      <c r="S1964" s="84"/>
      <c r="T1964" s="84"/>
      <c r="U1964" s="84"/>
      <c r="V1964" s="84"/>
      <c r="W1964" s="84"/>
      <c r="X1964" s="84"/>
      <c r="Y1964" s="84"/>
      <c r="Z1964" s="87"/>
      <c r="AA1964" s="87"/>
      <c r="AB1964" s="87"/>
      <c r="AC1964" s="87"/>
      <c r="AD1964" s="87"/>
      <c r="AE1964" s="87"/>
      <c r="AF1964" s="87"/>
      <c r="AG1964" s="87"/>
      <c r="AH1964" s="87"/>
      <c r="AI1964" s="87"/>
      <c r="AJ1964" s="87"/>
      <c r="AK1964" s="87"/>
      <c r="AL1964" s="87"/>
      <c r="AM1964" s="87"/>
      <c r="AN1964" s="87"/>
      <c r="AO1964" s="87"/>
      <c r="AP1964" s="87"/>
      <c r="AQ1964" s="87"/>
      <c r="AR1964" s="87"/>
      <c r="AS1964" s="87"/>
      <c r="AT1964" s="87"/>
      <c r="AU1964" s="87"/>
      <c r="AV1964" s="87"/>
      <c r="AW1964" s="87"/>
      <c r="AX1964" s="87"/>
      <c r="AY1964" s="87"/>
      <c r="AZ1964" s="87"/>
      <c r="BA1964" s="87"/>
      <c r="BB1964" s="87"/>
      <c r="BC1964" s="87"/>
      <c r="BD1964" s="87"/>
      <c r="BE1964" s="87"/>
      <c r="BF1964" s="87"/>
      <c r="BG1964" s="87"/>
      <c r="BH1964" s="87"/>
    </row>
    <row r="1965" spans="1:60" ht="16">
      <c r="A1965" s="82"/>
      <c r="B1965" s="82"/>
      <c r="C1965" s="82"/>
      <c r="D1965" s="83"/>
      <c r="E1965" s="84"/>
      <c r="F1965" s="84"/>
      <c r="G1965" s="84"/>
      <c r="H1965" s="82"/>
      <c r="I1965" s="84"/>
      <c r="J1965" s="84"/>
      <c r="K1965" s="84"/>
      <c r="L1965" s="84"/>
      <c r="M1965" s="84"/>
      <c r="N1965" s="84"/>
      <c r="O1965" s="84"/>
      <c r="P1965" s="84"/>
      <c r="Q1965" s="84"/>
      <c r="R1965" s="84"/>
      <c r="S1965" s="84"/>
      <c r="T1965" s="84"/>
      <c r="U1965" s="84"/>
      <c r="V1965" s="84"/>
      <c r="W1965" s="84"/>
      <c r="X1965" s="84"/>
      <c r="Y1965" s="84"/>
      <c r="Z1965" s="87"/>
      <c r="AA1965" s="87"/>
      <c r="AB1965" s="87"/>
      <c r="AC1965" s="87"/>
      <c r="AD1965" s="87"/>
      <c r="AE1965" s="87"/>
      <c r="AF1965" s="87"/>
      <c r="AG1965" s="87"/>
      <c r="AH1965" s="87"/>
      <c r="AI1965" s="87"/>
      <c r="AJ1965" s="87"/>
      <c r="AK1965" s="87"/>
      <c r="AL1965" s="87"/>
      <c r="AM1965" s="87"/>
      <c r="AN1965" s="87"/>
      <c r="AO1965" s="87"/>
      <c r="AP1965" s="87"/>
      <c r="AQ1965" s="87"/>
      <c r="AR1965" s="87"/>
      <c r="AS1965" s="87"/>
      <c r="AT1965" s="87"/>
      <c r="AU1965" s="87"/>
      <c r="AV1965" s="87"/>
      <c r="AW1965" s="87"/>
      <c r="AX1965" s="87"/>
      <c r="AY1965" s="87"/>
      <c r="AZ1965" s="87"/>
      <c r="BA1965" s="87"/>
      <c r="BB1965" s="87"/>
      <c r="BC1965" s="87"/>
      <c r="BD1965" s="87"/>
      <c r="BE1965" s="87"/>
      <c r="BF1965" s="87"/>
      <c r="BG1965" s="87"/>
      <c r="BH1965" s="87"/>
    </row>
    <row r="1966" spans="1:60" ht="16">
      <c r="A1966" s="82"/>
      <c r="B1966" s="82"/>
      <c r="C1966" s="82"/>
      <c r="D1966" s="83"/>
      <c r="E1966" s="84"/>
      <c r="F1966" s="84"/>
      <c r="G1966" s="84"/>
      <c r="H1966" s="82"/>
      <c r="I1966" s="84"/>
      <c r="J1966" s="84"/>
      <c r="K1966" s="84"/>
      <c r="L1966" s="84"/>
      <c r="M1966" s="84"/>
      <c r="N1966" s="84"/>
      <c r="O1966" s="84"/>
      <c r="P1966" s="84"/>
      <c r="Q1966" s="84"/>
      <c r="R1966" s="84"/>
      <c r="S1966" s="84"/>
      <c r="T1966" s="84"/>
      <c r="U1966" s="84"/>
      <c r="V1966" s="84"/>
      <c r="W1966" s="84"/>
      <c r="X1966" s="84"/>
      <c r="Y1966" s="84"/>
      <c r="Z1966" s="87"/>
      <c r="AA1966" s="87"/>
      <c r="AB1966" s="87"/>
      <c r="AC1966" s="87"/>
      <c r="AD1966" s="87"/>
      <c r="AE1966" s="87"/>
      <c r="AF1966" s="87"/>
      <c r="AG1966" s="87"/>
      <c r="AH1966" s="87"/>
      <c r="AI1966" s="87"/>
      <c r="AJ1966" s="87"/>
      <c r="AK1966" s="87"/>
      <c r="AL1966" s="87"/>
      <c r="AM1966" s="87"/>
      <c r="AN1966" s="87"/>
      <c r="AO1966" s="87"/>
      <c r="AP1966" s="87"/>
      <c r="AQ1966" s="87"/>
      <c r="AR1966" s="87"/>
      <c r="AS1966" s="87"/>
      <c r="AT1966" s="87"/>
      <c r="AU1966" s="87"/>
      <c r="AV1966" s="87"/>
      <c r="AW1966" s="87"/>
      <c r="AX1966" s="87"/>
      <c r="AY1966" s="87"/>
      <c r="AZ1966" s="87"/>
      <c r="BA1966" s="87"/>
      <c r="BB1966" s="87"/>
      <c r="BC1966" s="87"/>
      <c r="BD1966" s="87"/>
      <c r="BE1966" s="87"/>
      <c r="BF1966" s="87"/>
      <c r="BG1966" s="87"/>
      <c r="BH1966" s="87"/>
    </row>
    <row r="1967" spans="1:60" ht="16">
      <c r="A1967" s="82"/>
      <c r="B1967" s="82"/>
      <c r="C1967" s="82"/>
      <c r="D1967" s="83"/>
      <c r="E1967" s="84"/>
      <c r="F1967" s="84"/>
      <c r="G1967" s="84"/>
      <c r="H1967" s="82"/>
      <c r="I1967" s="84"/>
      <c r="J1967" s="84"/>
      <c r="K1967" s="84"/>
      <c r="L1967" s="84"/>
      <c r="M1967" s="84"/>
      <c r="N1967" s="84"/>
      <c r="O1967" s="84"/>
      <c r="P1967" s="84"/>
      <c r="Q1967" s="84"/>
      <c r="R1967" s="84"/>
      <c r="S1967" s="84"/>
      <c r="T1967" s="84"/>
      <c r="U1967" s="84"/>
      <c r="V1967" s="84"/>
      <c r="W1967" s="84"/>
      <c r="X1967" s="84"/>
      <c r="Y1967" s="84"/>
      <c r="Z1967" s="87"/>
      <c r="AA1967" s="87"/>
      <c r="AB1967" s="87"/>
      <c r="AC1967" s="87"/>
      <c r="AD1967" s="87"/>
      <c r="AE1967" s="87"/>
      <c r="AF1967" s="87"/>
      <c r="AG1967" s="87"/>
      <c r="AH1967" s="87"/>
      <c r="AI1967" s="87"/>
      <c r="AJ1967" s="87"/>
      <c r="AK1967" s="87"/>
      <c r="AL1967" s="87"/>
      <c r="AM1967" s="87"/>
      <c r="AN1967" s="87"/>
      <c r="AO1967" s="87"/>
      <c r="AP1967" s="87"/>
      <c r="AQ1967" s="87"/>
      <c r="AR1967" s="87"/>
      <c r="AS1967" s="87"/>
      <c r="AT1967" s="87"/>
      <c r="AU1967" s="87"/>
      <c r="AV1967" s="87"/>
      <c r="AW1967" s="87"/>
      <c r="AX1967" s="87"/>
      <c r="AY1967" s="87"/>
      <c r="AZ1967" s="87"/>
      <c r="BA1967" s="87"/>
      <c r="BB1967" s="87"/>
      <c r="BC1967" s="87"/>
      <c r="BD1967" s="87"/>
      <c r="BE1967" s="87"/>
      <c r="BF1967" s="87"/>
      <c r="BG1967" s="87"/>
      <c r="BH1967" s="87"/>
    </row>
    <row r="1968" spans="1:60" ht="16">
      <c r="A1968" s="82"/>
      <c r="B1968" s="82"/>
      <c r="C1968" s="82"/>
      <c r="D1968" s="83"/>
      <c r="E1968" s="84"/>
      <c r="F1968" s="84"/>
      <c r="G1968" s="84"/>
      <c r="H1968" s="82"/>
      <c r="I1968" s="84"/>
      <c r="J1968" s="84"/>
      <c r="K1968" s="84"/>
      <c r="L1968" s="84"/>
      <c r="M1968" s="84"/>
      <c r="N1968" s="84"/>
      <c r="O1968" s="84"/>
      <c r="P1968" s="84"/>
      <c r="Q1968" s="84"/>
      <c r="R1968" s="84"/>
      <c r="S1968" s="84"/>
      <c r="T1968" s="84"/>
      <c r="U1968" s="84"/>
      <c r="V1968" s="84"/>
      <c r="W1968" s="84"/>
      <c r="X1968" s="84"/>
      <c r="Y1968" s="84"/>
      <c r="Z1968" s="87"/>
      <c r="AA1968" s="87"/>
      <c r="AB1968" s="87"/>
      <c r="AC1968" s="87"/>
      <c r="AD1968" s="87"/>
      <c r="AE1968" s="87"/>
      <c r="AF1968" s="87"/>
      <c r="AG1968" s="87"/>
      <c r="AH1968" s="87"/>
      <c r="AI1968" s="87"/>
      <c r="AJ1968" s="87"/>
      <c r="AK1968" s="87"/>
      <c r="AL1968" s="87"/>
      <c r="AM1968" s="87"/>
      <c r="AN1968" s="87"/>
      <c r="AO1968" s="87"/>
      <c r="AP1968" s="87"/>
      <c r="AQ1968" s="87"/>
      <c r="AR1968" s="87"/>
      <c r="AS1968" s="87"/>
      <c r="AT1968" s="87"/>
      <c r="AU1968" s="87"/>
      <c r="AV1968" s="87"/>
      <c r="AW1968" s="87"/>
      <c r="AX1968" s="87"/>
      <c r="AY1968" s="87"/>
      <c r="AZ1968" s="87"/>
      <c r="BA1968" s="87"/>
      <c r="BB1968" s="87"/>
      <c r="BC1968" s="87"/>
      <c r="BD1968" s="87"/>
      <c r="BE1968" s="87"/>
      <c r="BF1968" s="87"/>
      <c r="BG1968" s="87"/>
      <c r="BH1968" s="87"/>
    </row>
    <row r="1969" spans="1:60" ht="16">
      <c r="A1969" s="82"/>
      <c r="B1969" s="82"/>
      <c r="C1969" s="82"/>
      <c r="D1969" s="83"/>
      <c r="E1969" s="84"/>
      <c r="F1969" s="84"/>
      <c r="G1969" s="84"/>
      <c r="H1969" s="82"/>
      <c r="I1969" s="84"/>
      <c r="J1969" s="84"/>
      <c r="K1969" s="84"/>
      <c r="L1969" s="84"/>
      <c r="M1969" s="84"/>
      <c r="N1969" s="84"/>
      <c r="O1969" s="84"/>
      <c r="P1969" s="84"/>
      <c r="Q1969" s="84"/>
      <c r="R1969" s="84"/>
      <c r="S1969" s="84"/>
      <c r="T1969" s="84"/>
      <c r="U1969" s="84"/>
      <c r="V1969" s="84"/>
      <c r="W1969" s="84"/>
      <c r="X1969" s="84"/>
      <c r="Y1969" s="84"/>
      <c r="Z1969" s="87"/>
      <c r="AA1969" s="87"/>
      <c r="AB1969" s="87"/>
      <c r="AC1969" s="87"/>
      <c r="AD1969" s="87"/>
      <c r="AE1969" s="87"/>
      <c r="AF1969" s="87"/>
      <c r="AG1969" s="87"/>
      <c r="AH1969" s="87"/>
      <c r="AI1969" s="87"/>
      <c r="AJ1969" s="87"/>
      <c r="AK1969" s="87"/>
      <c r="AL1969" s="87"/>
      <c r="AM1969" s="87"/>
      <c r="AN1969" s="87"/>
      <c r="AO1969" s="87"/>
      <c r="AP1969" s="87"/>
      <c r="AQ1969" s="87"/>
      <c r="AR1969" s="87"/>
      <c r="AS1969" s="87"/>
      <c r="AT1969" s="87"/>
      <c r="AU1969" s="87"/>
      <c r="AV1969" s="87"/>
      <c r="AW1969" s="87"/>
      <c r="AX1969" s="87"/>
      <c r="AY1969" s="87"/>
      <c r="AZ1969" s="87"/>
      <c r="BA1969" s="87"/>
      <c r="BB1969" s="87"/>
      <c r="BC1969" s="87"/>
      <c r="BD1969" s="87"/>
      <c r="BE1969" s="87"/>
      <c r="BF1969" s="87"/>
      <c r="BG1969" s="87"/>
      <c r="BH1969" s="87"/>
    </row>
    <row r="1970" spans="1:60" ht="16">
      <c r="A1970" s="82"/>
      <c r="B1970" s="82"/>
      <c r="C1970" s="82"/>
      <c r="D1970" s="83"/>
      <c r="E1970" s="84"/>
      <c r="F1970" s="84"/>
      <c r="G1970" s="84"/>
      <c r="H1970" s="82"/>
      <c r="I1970" s="84"/>
      <c r="J1970" s="84"/>
      <c r="K1970" s="84"/>
      <c r="L1970" s="84"/>
      <c r="M1970" s="84"/>
      <c r="N1970" s="84"/>
      <c r="O1970" s="84"/>
      <c r="P1970" s="84"/>
      <c r="Q1970" s="84"/>
      <c r="R1970" s="84"/>
      <c r="S1970" s="84"/>
      <c r="T1970" s="84"/>
      <c r="U1970" s="84"/>
      <c r="V1970" s="84"/>
      <c r="W1970" s="84"/>
      <c r="X1970" s="84"/>
      <c r="Y1970" s="84"/>
      <c r="Z1970" s="87"/>
      <c r="AA1970" s="87"/>
      <c r="AB1970" s="87"/>
      <c r="AC1970" s="87"/>
      <c r="AD1970" s="87"/>
      <c r="AE1970" s="87"/>
      <c r="AF1970" s="87"/>
      <c r="AG1970" s="87"/>
      <c r="AH1970" s="87"/>
      <c r="AI1970" s="87"/>
      <c r="AJ1970" s="87"/>
      <c r="AK1970" s="87"/>
      <c r="AL1970" s="87"/>
      <c r="AM1970" s="87"/>
      <c r="AN1970" s="87"/>
      <c r="AO1970" s="87"/>
      <c r="AP1970" s="87"/>
      <c r="AQ1970" s="87"/>
      <c r="AR1970" s="87"/>
      <c r="AS1970" s="87"/>
      <c r="AT1970" s="87"/>
      <c r="AU1970" s="87"/>
      <c r="AV1970" s="87"/>
      <c r="AW1970" s="87"/>
      <c r="AX1970" s="87"/>
      <c r="AY1970" s="87"/>
      <c r="AZ1970" s="87"/>
      <c r="BA1970" s="87"/>
      <c r="BB1970" s="87"/>
      <c r="BC1970" s="87"/>
      <c r="BD1970" s="87"/>
      <c r="BE1970" s="87"/>
      <c r="BF1970" s="87"/>
      <c r="BG1970" s="87"/>
      <c r="BH1970" s="87"/>
    </row>
    <row r="1971" spans="1:60" ht="16">
      <c r="A1971" s="82"/>
      <c r="B1971" s="82"/>
      <c r="C1971" s="82"/>
      <c r="D1971" s="83"/>
      <c r="E1971" s="84"/>
      <c r="F1971" s="84"/>
      <c r="G1971" s="84"/>
      <c r="H1971" s="82"/>
      <c r="I1971" s="84"/>
      <c r="J1971" s="84"/>
      <c r="K1971" s="84"/>
      <c r="L1971" s="84"/>
      <c r="M1971" s="84"/>
      <c r="N1971" s="84"/>
      <c r="O1971" s="84"/>
      <c r="P1971" s="84"/>
      <c r="Q1971" s="84"/>
      <c r="R1971" s="84"/>
      <c r="S1971" s="84"/>
      <c r="T1971" s="84"/>
      <c r="U1971" s="84"/>
      <c r="V1971" s="84"/>
      <c r="W1971" s="84"/>
      <c r="X1971" s="84"/>
      <c r="Y1971" s="84"/>
      <c r="Z1971" s="87"/>
      <c r="AA1971" s="87"/>
      <c r="AB1971" s="87"/>
      <c r="AC1971" s="87"/>
      <c r="AD1971" s="87"/>
      <c r="AE1971" s="87"/>
      <c r="AF1971" s="87"/>
      <c r="AG1971" s="87"/>
      <c r="AH1971" s="87"/>
      <c r="AI1971" s="87"/>
      <c r="AJ1971" s="87"/>
      <c r="AK1971" s="87"/>
      <c r="AL1971" s="87"/>
      <c r="AM1971" s="87"/>
      <c r="AN1971" s="87"/>
      <c r="AO1971" s="87"/>
      <c r="AP1971" s="87"/>
      <c r="AQ1971" s="87"/>
      <c r="AR1971" s="87"/>
      <c r="AS1971" s="87"/>
      <c r="AT1971" s="87"/>
      <c r="AU1971" s="87"/>
      <c r="AV1971" s="87"/>
      <c r="AW1971" s="87"/>
      <c r="AX1971" s="87"/>
      <c r="AY1971" s="87"/>
      <c r="AZ1971" s="87"/>
      <c r="BA1971" s="87"/>
      <c r="BB1971" s="87"/>
      <c r="BC1971" s="87"/>
      <c r="BD1971" s="87"/>
      <c r="BE1971" s="87"/>
      <c r="BF1971" s="87"/>
      <c r="BG1971" s="87"/>
      <c r="BH1971" s="87"/>
    </row>
    <row r="1972" spans="1:60" ht="16">
      <c r="A1972" s="82"/>
      <c r="B1972" s="82"/>
      <c r="C1972" s="82"/>
      <c r="D1972" s="83"/>
      <c r="E1972" s="84"/>
      <c r="F1972" s="84"/>
      <c r="G1972" s="84"/>
      <c r="H1972" s="82"/>
      <c r="I1972" s="84"/>
      <c r="J1972" s="84"/>
      <c r="K1972" s="84"/>
      <c r="L1972" s="84"/>
      <c r="M1972" s="84"/>
      <c r="N1972" s="84"/>
      <c r="O1972" s="84"/>
      <c r="P1972" s="84"/>
      <c r="Q1972" s="84"/>
      <c r="R1972" s="84"/>
      <c r="S1972" s="84"/>
      <c r="T1972" s="84"/>
      <c r="U1972" s="84"/>
      <c r="V1972" s="84"/>
      <c r="W1972" s="84"/>
      <c r="X1972" s="84"/>
      <c r="Y1972" s="84"/>
      <c r="Z1972" s="87"/>
      <c r="AA1972" s="87"/>
      <c r="AB1972" s="87"/>
      <c r="AC1972" s="87"/>
      <c r="AD1972" s="87"/>
      <c r="AE1972" s="87"/>
      <c r="AF1972" s="87"/>
      <c r="AG1972" s="87"/>
      <c r="AH1972" s="87"/>
      <c r="AI1972" s="87"/>
      <c r="AJ1972" s="87"/>
      <c r="AK1972" s="87"/>
      <c r="AL1972" s="87"/>
      <c r="AM1972" s="87"/>
      <c r="AN1972" s="87"/>
      <c r="AO1972" s="87"/>
      <c r="AP1972" s="87"/>
      <c r="AQ1972" s="87"/>
      <c r="AR1972" s="87"/>
      <c r="AS1972" s="87"/>
      <c r="AT1972" s="87"/>
      <c r="AU1972" s="87"/>
      <c r="AV1972" s="87"/>
      <c r="AW1972" s="87"/>
      <c r="AX1972" s="87"/>
      <c r="AY1972" s="87"/>
      <c r="AZ1972" s="87"/>
      <c r="BA1972" s="87"/>
      <c r="BB1972" s="87"/>
      <c r="BC1972" s="87"/>
      <c r="BD1972" s="87"/>
      <c r="BE1972" s="87"/>
      <c r="BF1972" s="87"/>
      <c r="BG1972" s="87"/>
      <c r="BH1972" s="87"/>
    </row>
    <row r="1973" spans="1:60" ht="16">
      <c r="A1973" s="82"/>
      <c r="B1973" s="82"/>
      <c r="C1973" s="82"/>
      <c r="D1973" s="83"/>
      <c r="E1973" s="84"/>
      <c r="F1973" s="84"/>
      <c r="G1973" s="84"/>
      <c r="H1973" s="82"/>
      <c r="I1973" s="84"/>
      <c r="J1973" s="84"/>
      <c r="K1973" s="84"/>
      <c r="L1973" s="84"/>
      <c r="M1973" s="84"/>
      <c r="N1973" s="84"/>
      <c r="O1973" s="84"/>
      <c r="P1973" s="84"/>
      <c r="Q1973" s="84"/>
      <c r="R1973" s="84"/>
      <c r="S1973" s="84"/>
      <c r="T1973" s="84"/>
      <c r="U1973" s="84"/>
      <c r="V1973" s="84"/>
      <c r="W1973" s="84"/>
      <c r="X1973" s="84"/>
      <c r="Y1973" s="84"/>
      <c r="Z1973" s="87"/>
      <c r="AA1973" s="87"/>
      <c r="AB1973" s="87"/>
      <c r="AC1973" s="87"/>
      <c r="AD1973" s="87"/>
      <c r="AE1973" s="87"/>
      <c r="AF1973" s="87"/>
      <c r="AG1973" s="87"/>
      <c r="AH1973" s="87"/>
      <c r="AI1973" s="87"/>
      <c r="AJ1973" s="87"/>
      <c r="AK1973" s="87"/>
      <c r="AL1973" s="87"/>
      <c r="AM1973" s="87"/>
      <c r="AN1973" s="87"/>
      <c r="AO1973" s="87"/>
      <c r="AP1973" s="87"/>
      <c r="AQ1973" s="87"/>
      <c r="AR1973" s="87"/>
      <c r="AS1973" s="87"/>
      <c r="AT1973" s="87"/>
      <c r="AU1973" s="87"/>
      <c r="AV1973" s="87"/>
      <c r="AW1973" s="87"/>
      <c r="AX1973" s="87"/>
      <c r="AY1973" s="87"/>
      <c r="AZ1973" s="87"/>
      <c r="BA1973" s="87"/>
      <c r="BB1973" s="87"/>
      <c r="BC1973" s="87"/>
      <c r="BD1973" s="87"/>
      <c r="BE1973" s="87"/>
      <c r="BF1973" s="87"/>
      <c r="BG1973" s="87"/>
      <c r="BH1973" s="87"/>
    </row>
    <row r="1974" spans="1:60" ht="16">
      <c r="A1974" s="82"/>
      <c r="B1974" s="82"/>
      <c r="C1974" s="82"/>
      <c r="D1974" s="83"/>
      <c r="E1974" s="84"/>
      <c r="F1974" s="84"/>
      <c r="G1974" s="84"/>
      <c r="H1974" s="82"/>
      <c r="I1974" s="84"/>
      <c r="J1974" s="84"/>
      <c r="K1974" s="84"/>
      <c r="L1974" s="84"/>
      <c r="M1974" s="84"/>
      <c r="N1974" s="84"/>
      <c r="O1974" s="84"/>
      <c r="P1974" s="84"/>
      <c r="Q1974" s="84"/>
      <c r="R1974" s="84"/>
      <c r="S1974" s="84"/>
      <c r="T1974" s="84"/>
      <c r="U1974" s="84"/>
      <c r="V1974" s="84"/>
      <c r="W1974" s="84"/>
      <c r="X1974" s="84"/>
      <c r="Y1974" s="84"/>
      <c r="Z1974" s="87"/>
      <c r="AA1974" s="87"/>
      <c r="AB1974" s="87"/>
      <c r="AC1974" s="87"/>
      <c r="AD1974" s="87"/>
      <c r="AE1974" s="87"/>
      <c r="AF1974" s="87"/>
      <c r="AG1974" s="87"/>
      <c r="AH1974" s="87"/>
      <c r="AI1974" s="87"/>
      <c r="AJ1974" s="87"/>
      <c r="AK1974" s="87"/>
      <c r="AL1974" s="87"/>
      <c r="AM1974" s="87"/>
      <c r="AN1974" s="87"/>
      <c r="AO1974" s="87"/>
      <c r="AP1974" s="87"/>
      <c r="AQ1974" s="87"/>
      <c r="AR1974" s="87"/>
      <c r="AS1974" s="87"/>
      <c r="AT1974" s="87"/>
      <c r="AU1974" s="87"/>
      <c r="AV1974" s="87"/>
      <c r="AW1974" s="87"/>
      <c r="AX1974" s="87"/>
      <c r="AY1974" s="87"/>
      <c r="AZ1974" s="87"/>
      <c r="BA1974" s="87"/>
      <c r="BB1974" s="87"/>
      <c r="BC1974" s="87"/>
      <c r="BD1974" s="87"/>
      <c r="BE1974" s="87"/>
      <c r="BF1974" s="87"/>
      <c r="BG1974" s="87"/>
      <c r="BH1974" s="87"/>
    </row>
    <row r="1975" spans="1:60" ht="16">
      <c r="A1975" s="82"/>
      <c r="B1975" s="82"/>
      <c r="C1975" s="82"/>
      <c r="D1975" s="83"/>
      <c r="E1975" s="84"/>
      <c r="F1975" s="84"/>
      <c r="G1975" s="84"/>
      <c r="H1975" s="82"/>
      <c r="I1975" s="84"/>
      <c r="J1975" s="84"/>
      <c r="K1975" s="84"/>
      <c r="L1975" s="84"/>
      <c r="M1975" s="84"/>
      <c r="N1975" s="84"/>
      <c r="O1975" s="84"/>
      <c r="P1975" s="84"/>
      <c r="Q1975" s="84"/>
      <c r="R1975" s="84"/>
      <c r="S1975" s="84"/>
      <c r="T1975" s="84"/>
      <c r="U1975" s="84"/>
      <c r="V1975" s="84"/>
      <c r="W1975" s="84"/>
      <c r="X1975" s="84"/>
      <c r="Y1975" s="84"/>
      <c r="Z1975" s="87"/>
      <c r="AA1975" s="87"/>
      <c r="AB1975" s="87"/>
      <c r="AC1975" s="87"/>
      <c r="AD1975" s="87"/>
      <c r="AE1975" s="87"/>
      <c r="AF1975" s="87"/>
      <c r="AG1975" s="87"/>
      <c r="AH1975" s="87"/>
      <c r="AI1975" s="87"/>
      <c r="AJ1975" s="87"/>
      <c r="AK1975" s="87"/>
      <c r="AL1975" s="87"/>
      <c r="AM1975" s="87"/>
      <c r="AN1975" s="87"/>
      <c r="AO1975" s="87"/>
      <c r="AP1975" s="87"/>
      <c r="AQ1975" s="87"/>
      <c r="AR1975" s="87"/>
      <c r="AS1975" s="87"/>
      <c r="AT1975" s="87"/>
      <c r="AU1975" s="87"/>
      <c r="AV1975" s="87"/>
      <c r="AW1975" s="87"/>
      <c r="AX1975" s="87"/>
      <c r="AY1975" s="87"/>
      <c r="AZ1975" s="87"/>
      <c r="BA1975" s="87"/>
      <c r="BB1975" s="87"/>
      <c r="BC1975" s="87"/>
      <c r="BD1975" s="87"/>
      <c r="BE1975" s="87"/>
      <c r="BF1975" s="87"/>
      <c r="BG1975" s="87"/>
      <c r="BH1975" s="87"/>
    </row>
    <row r="1976" spans="1:60" ht="16">
      <c r="A1976" s="82"/>
      <c r="B1976" s="82"/>
      <c r="C1976" s="82"/>
      <c r="D1976" s="83"/>
      <c r="E1976" s="84"/>
      <c r="F1976" s="84"/>
      <c r="G1976" s="84"/>
      <c r="H1976" s="82"/>
      <c r="I1976" s="84"/>
      <c r="J1976" s="84"/>
      <c r="K1976" s="84"/>
      <c r="L1976" s="84"/>
      <c r="M1976" s="84"/>
      <c r="N1976" s="84"/>
      <c r="O1976" s="84"/>
      <c r="P1976" s="84"/>
      <c r="Q1976" s="84"/>
      <c r="R1976" s="84"/>
      <c r="S1976" s="84"/>
      <c r="T1976" s="84"/>
      <c r="U1976" s="84"/>
      <c r="V1976" s="84"/>
      <c r="W1976" s="84"/>
      <c r="X1976" s="84"/>
      <c r="Y1976" s="84"/>
      <c r="Z1976" s="87"/>
      <c r="AA1976" s="87"/>
      <c r="AB1976" s="87"/>
      <c r="AC1976" s="87"/>
      <c r="AD1976" s="87"/>
      <c r="AE1976" s="87"/>
      <c r="AF1976" s="87"/>
      <c r="AG1976" s="87"/>
      <c r="AH1976" s="87"/>
      <c r="AI1976" s="87"/>
      <c r="AJ1976" s="87"/>
      <c r="AK1976" s="87"/>
      <c r="AL1976" s="87"/>
      <c r="AM1976" s="87"/>
      <c r="AN1976" s="87"/>
      <c r="AO1976" s="87"/>
      <c r="AP1976" s="87"/>
      <c r="AQ1976" s="87"/>
      <c r="AR1976" s="87"/>
      <c r="AS1976" s="87"/>
      <c r="AT1976" s="87"/>
      <c r="AU1976" s="87"/>
      <c r="AV1976" s="87"/>
      <c r="AW1976" s="87"/>
      <c r="AX1976" s="87"/>
      <c r="AY1976" s="87"/>
      <c r="AZ1976" s="87"/>
      <c r="BA1976" s="87"/>
      <c r="BB1976" s="87"/>
      <c r="BC1976" s="87"/>
      <c r="BD1976" s="87"/>
      <c r="BE1976" s="87"/>
      <c r="BF1976" s="87"/>
      <c r="BG1976" s="87"/>
      <c r="BH1976" s="87"/>
    </row>
    <row r="1977" spans="1:60" ht="16">
      <c r="A1977" s="82"/>
      <c r="B1977" s="82"/>
      <c r="C1977" s="82"/>
      <c r="D1977" s="83"/>
      <c r="E1977" s="84"/>
      <c r="F1977" s="84"/>
      <c r="G1977" s="84"/>
      <c r="H1977" s="82"/>
      <c r="I1977" s="84"/>
      <c r="J1977" s="84"/>
      <c r="K1977" s="84"/>
      <c r="L1977" s="84"/>
      <c r="M1977" s="84"/>
      <c r="N1977" s="84"/>
      <c r="O1977" s="84"/>
      <c r="P1977" s="84"/>
      <c r="Q1977" s="84"/>
      <c r="R1977" s="84"/>
      <c r="S1977" s="84"/>
      <c r="T1977" s="84"/>
      <c r="U1977" s="84"/>
      <c r="V1977" s="84"/>
      <c r="W1977" s="84"/>
      <c r="X1977" s="84"/>
      <c r="Y1977" s="84"/>
      <c r="Z1977" s="87"/>
      <c r="AA1977" s="87"/>
      <c r="AB1977" s="87"/>
      <c r="AC1977" s="87"/>
      <c r="AD1977" s="87"/>
      <c r="AE1977" s="87"/>
      <c r="AF1977" s="87"/>
      <c r="AG1977" s="87"/>
      <c r="AH1977" s="87"/>
      <c r="AI1977" s="87"/>
      <c r="AJ1977" s="87"/>
      <c r="AK1977" s="87"/>
      <c r="AL1977" s="87"/>
      <c r="AM1977" s="87"/>
      <c r="AN1977" s="87"/>
      <c r="AO1977" s="87"/>
      <c r="AP1977" s="87"/>
      <c r="AQ1977" s="87"/>
      <c r="AR1977" s="87"/>
      <c r="AS1977" s="87"/>
      <c r="AT1977" s="87"/>
      <c r="AU1977" s="87"/>
      <c r="AV1977" s="87"/>
      <c r="AW1977" s="87"/>
      <c r="AX1977" s="87"/>
      <c r="AY1977" s="87"/>
      <c r="AZ1977" s="87"/>
      <c r="BA1977" s="87"/>
      <c r="BB1977" s="87"/>
      <c r="BC1977" s="87"/>
      <c r="BD1977" s="87"/>
      <c r="BE1977" s="87"/>
      <c r="BF1977" s="87"/>
      <c r="BG1977" s="87"/>
      <c r="BH1977" s="87"/>
    </row>
    <row r="1978" spans="1:60" ht="16">
      <c r="A1978" s="82"/>
      <c r="B1978" s="82"/>
      <c r="C1978" s="82"/>
      <c r="D1978" s="83"/>
      <c r="E1978" s="84"/>
      <c r="F1978" s="84"/>
      <c r="G1978" s="84"/>
      <c r="H1978" s="82"/>
      <c r="I1978" s="84"/>
      <c r="J1978" s="84"/>
      <c r="K1978" s="84"/>
      <c r="L1978" s="84"/>
      <c r="M1978" s="84"/>
      <c r="N1978" s="84"/>
      <c r="O1978" s="84"/>
      <c r="P1978" s="84"/>
      <c r="Q1978" s="84"/>
      <c r="R1978" s="84"/>
      <c r="S1978" s="84"/>
      <c r="T1978" s="84"/>
      <c r="U1978" s="84"/>
      <c r="V1978" s="84"/>
      <c r="W1978" s="84"/>
      <c r="X1978" s="84"/>
      <c r="Y1978" s="84"/>
      <c r="Z1978" s="87"/>
      <c r="AA1978" s="87"/>
      <c r="AB1978" s="87"/>
      <c r="AC1978" s="87"/>
      <c r="AD1978" s="87"/>
      <c r="AE1978" s="87"/>
      <c r="AF1978" s="87"/>
      <c r="AG1978" s="87"/>
      <c r="AH1978" s="87"/>
      <c r="AI1978" s="87"/>
      <c r="AJ1978" s="87"/>
      <c r="AK1978" s="87"/>
      <c r="AL1978" s="87"/>
      <c r="AM1978" s="87"/>
      <c r="AN1978" s="87"/>
      <c r="AO1978" s="87"/>
      <c r="AP1978" s="87"/>
      <c r="AQ1978" s="87"/>
      <c r="AR1978" s="87"/>
      <c r="AS1978" s="87"/>
      <c r="AT1978" s="87"/>
      <c r="AU1978" s="87"/>
      <c r="AV1978" s="87"/>
      <c r="AW1978" s="87"/>
      <c r="AX1978" s="87"/>
      <c r="AY1978" s="87"/>
      <c r="AZ1978" s="87"/>
      <c r="BA1978" s="87"/>
      <c r="BB1978" s="87"/>
      <c r="BC1978" s="87"/>
      <c r="BD1978" s="87"/>
      <c r="BE1978" s="87"/>
      <c r="BF1978" s="87"/>
      <c r="BG1978" s="87"/>
      <c r="BH1978" s="87"/>
    </row>
    <row r="1979" spans="1:60" ht="16">
      <c r="A1979" s="82"/>
      <c r="B1979" s="82"/>
      <c r="C1979" s="82"/>
      <c r="D1979" s="83"/>
      <c r="E1979" s="84"/>
      <c r="F1979" s="84"/>
      <c r="G1979" s="84"/>
      <c r="H1979" s="82"/>
      <c r="I1979" s="84"/>
      <c r="J1979" s="84"/>
      <c r="K1979" s="84"/>
      <c r="L1979" s="84"/>
      <c r="M1979" s="84"/>
      <c r="N1979" s="84"/>
      <c r="O1979" s="84"/>
      <c r="P1979" s="84"/>
      <c r="Q1979" s="84"/>
      <c r="R1979" s="84"/>
      <c r="S1979" s="84"/>
      <c r="T1979" s="84"/>
      <c r="U1979" s="84"/>
      <c r="V1979" s="84"/>
      <c r="W1979" s="84"/>
      <c r="X1979" s="84"/>
      <c r="Y1979" s="84"/>
      <c r="Z1979" s="87"/>
      <c r="AA1979" s="87"/>
      <c r="AB1979" s="87"/>
      <c r="AC1979" s="87"/>
      <c r="AD1979" s="87"/>
      <c r="AE1979" s="87"/>
      <c r="AF1979" s="87"/>
      <c r="AG1979" s="87"/>
      <c r="AH1979" s="87"/>
      <c r="AI1979" s="87"/>
      <c r="AJ1979" s="87"/>
      <c r="AK1979" s="87"/>
      <c r="AL1979" s="87"/>
      <c r="AM1979" s="87"/>
      <c r="AN1979" s="87"/>
      <c r="AO1979" s="87"/>
      <c r="AP1979" s="87"/>
      <c r="AQ1979" s="87"/>
      <c r="AR1979" s="87"/>
      <c r="AS1979" s="87"/>
      <c r="AT1979" s="87"/>
      <c r="AU1979" s="87"/>
      <c r="AV1979" s="87"/>
      <c r="AW1979" s="87"/>
      <c r="AX1979" s="87"/>
      <c r="AY1979" s="87"/>
      <c r="AZ1979" s="87"/>
      <c r="BA1979" s="87"/>
      <c r="BB1979" s="87"/>
      <c r="BC1979" s="87"/>
      <c r="BD1979" s="87"/>
      <c r="BE1979" s="87"/>
      <c r="BF1979" s="87"/>
      <c r="BG1979" s="87"/>
      <c r="BH1979" s="87"/>
    </row>
    <row r="1980" spans="1:60" ht="16">
      <c r="A1980" s="82"/>
      <c r="B1980" s="82"/>
      <c r="C1980" s="82"/>
      <c r="D1980" s="83"/>
      <c r="E1980" s="84"/>
      <c r="F1980" s="84"/>
      <c r="G1980" s="84"/>
      <c r="H1980" s="82"/>
      <c r="I1980" s="84"/>
      <c r="J1980" s="84"/>
      <c r="K1980" s="84"/>
      <c r="L1980" s="84"/>
      <c r="M1980" s="84"/>
      <c r="N1980" s="84"/>
      <c r="O1980" s="84"/>
      <c r="P1980" s="84"/>
      <c r="Q1980" s="84"/>
      <c r="R1980" s="84"/>
      <c r="S1980" s="84"/>
      <c r="T1980" s="84"/>
      <c r="U1980" s="84"/>
      <c r="V1980" s="84"/>
      <c r="W1980" s="84"/>
      <c r="X1980" s="84"/>
      <c r="Y1980" s="84"/>
      <c r="Z1980" s="87"/>
      <c r="AA1980" s="87"/>
      <c r="AB1980" s="87"/>
      <c r="AC1980" s="87"/>
      <c r="AD1980" s="87"/>
      <c r="AE1980" s="87"/>
      <c r="AF1980" s="87"/>
      <c r="AG1980" s="87"/>
      <c r="AH1980" s="87"/>
      <c r="AI1980" s="87"/>
      <c r="AJ1980" s="87"/>
      <c r="AK1980" s="87"/>
      <c r="AL1980" s="87"/>
      <c r="AM1980" s="87"/>
      <c r="AN1980" s="87"/>
      <c r="AO1980" s="87"/>
      <c r="AP1980" s="87"/>
      <c r="AQ1980" s="87"/>
      <c r="AR1980" s="87"/>
      <c r="AS1980" s="87"/>
      <c r="AT1980" s="87"/>
      <c r="AU1980" s="87"/>
      <c r="AV1980" s="87"/>
      <c r="AW1980" s="87"/>
      <c r="AX1980" s="87"/>
      <c r="AY1980" s="87"/>
      <c r="AZ1980" s="87"/>
      <c r="BA1980" s="87"/>
      <c r="BB1980" s="87"/>
      <c r="BC1980" s="87"/>
      <c r="BD1980" s="87"/>
      <c r="BE1980" s="87"/>
      <c r="BF1980" s="87"/>
      <c r="BG1980" s="87"/>
      <c r="BH1980" s="87"/>
    </row>
    <row r="1981" spans="1:60" ht="16">
      <c r="A1981" s="82"/>
      <c r="B1981" s="82"/>
      <c r="C1981" s="82"/>
      <c r="D1981" s="83"/>
      <c r="E1981" s="84"/>
      <c r="F1981" s="84"/>
      <c r="G1981" s="84"/>
      <c r="H1981" s="82"/>
      <c r="I1981" s="84"/>
      <c r="J1981" s="84"/>
      <c r="K1981" s="84"/>
      <c r="L1981" s="84"/>
      <c r="M1981" s="84"/>
      <c r="N1981" s="84"/>
      <c r="O1981" s="84"/>
      <c r="P1981" s="84"/>
      <c r="Q1981" s="84"/>
      <c r="R1981" s="84"/>
      <c r="S1981" s="84"/>
      <c r="T1981" s="84"/>
      <c r="U1981" s="84"/>
      <c r="V1981" s="84"/>
      <c r="W1981" s="84"/>
      <c r="X1981" s="84"/>
      <c r="Y1981" s="84"/>
      <c r="Z1981" s="87"/>
      <c r="AA1981" s="87"/>
      <c r="AB1981" s="87"/>
      <c r="AC1981" s="87"/>
      <c r="AD1981" s="87"/>
      <c r="AE1981" s="87"/>
      <c r="AF1981" s="87"/>
      <c r="AG1981" s="87"/>
      <c r="AH1981" s="87"/>
      <c r="AI1981" s="87"/>
      <c r="AJ1981" s="87"/>
      <c r="AK1981" s="87"/>
      <c r="AL1981" s="87"/>
      <c r="AM1981" s="87"/>
      <c r="AN1981" s="87"/>
      <c r="AO1981" s="87"/>
      <c r="AP1981" s="87"/>
      <c r="AQ1981" s="87"/>
      <c r="AR1981" s="87"/>
      <c r="AS1981" s="87"/>
      <c r="AT1981" s="87"/>
      <c r="AU1981" s="87"/>
      <c r="AV1981" s="87"/>
      <c r="AW1981" s="87"/>
      <c r="AX1981" s="87"/>
      <c r="AY1981" s="87"/>
      <c r="AZ1981" s="87"/>
      <c r="BA1981" s="87"/>
      <c r="BB1981" s="87"/>
      <c r="BC1981" s="87"/>
      <c r="BD1981" s="87"/>
      <c r="BE1981" s="87"/>
      <c r="BF1981" s="87"/>
      <c r="BG1981" s="87"/>
      <c r="BH1981" s="87"/>
    </row>
    <row r="1982" spans="1:60" ht="16">
      <c r="A1982" s="82"/>
      <c r="B1982" s="82"/>
      <c r="C1982" s="82"/>
      <c r="D1982" s="83"/>
      <c r="E1982" s="84"/>
      <c r="F1982" s="84"/>
      <c r="G1982" s="84"/>
      <c r="H1982" s="82"/>
      <c r="I1982" s="84"/>
      <c r="J1982" s="84"/>
      <c r="K1982" s="84"/>
      <c r="L1982" s="84"/>
      <c r="M1982" s="84"/>
      <c r="N1982" s="84"/>
      <c r="O1982" s="84"/>
      <c r="P1982" s="84"/>
      <c r="Q1982" s="84"/>
      <c r="R1982" s="84"/>
      <c r="S1982" s="84"/>
      <c r="T1982" s="84"/>
      <c r="U1982" s="84"/>
      <c r="V1982" s="84"/>
      <c r="W1982" s="84"/>
      <c r="X1982" s="84"/>
      <c r="Y1982" s="84"/>
      <c r="Z1982" s="87"/>
      <c r="AA1982" s="87"/>
      <c r="AB1982" s="87"/>
      <c r="AC1982" s="87"/>
      <c r="AD1982" s="87"/>
      <c r="AE1982" s="87"/>
      <c r="AF1982" s="87"/>
      <c r="AG1982" s="87"/>
      <c r="AH1982" s="87"/>
      <c r="AI1982" s="87"/>
      <c r="AJ1982" s="87"/>
      <c r="AK1982" s="87"/>
      <c r="AL1982" s="87"/>
      <c r="AM1982" s="87"/>
      <c r="AN1982" s="87"/>
      <c r="AO1982" s="87"/>
      <c r="AP1982" s="87"/>
      <c r="AQ1982" s="87"/>
      <c r="AR1982" s="87"/>
      <c r="AS1982" s="87"/>
      <c r="AT1982" s="87"/>
      <c r="AU1982" s="87"/>
      <c r="AV1982" s="87"/>
      <c r="AW1982" s="87"/>
      <c r="AX1982" s="87"/>
      <c r="AY1982" s="87"/>
      <c r="AZ1982" s="87"/>
      <c r="BA1982" s="87"/>
      <c r="BB1982" s="87"/>
      <c r="BC1982" s="87"/>
      <c r="BD1982" s="87"/>
      <c r="BE1982" s="87"/>
      <c r="BF1982" s="87"/>
      <c r="BG1982" s="87"/>
      <c r="BH1982" s="87"/>
    </row>
    <row r="1983" spans="1:60" ht="16">
      <c r="A1983" s="82"/>
      <c r="B1983" s="82"/>
      <c r="C1983" s="82"/>
      <c r="D1983" s="83"/>
      <c r="E1983" s="84"/>
      <c r="F1983" s="84"/>
      <c r="G1983" s="84"/>
      <c r="H1983" s="82"/>
      <c r="I1983" s="84"/>
      <c r="J1983" s="84"/>
      <c r="K1983" s="84"/>
      <c r="L1983" s="84"/>
      <c r="M1983" s="84"/>
      <c r="N1983" s="84"/>
      <c r="O1983" s="84"/>
      <c r="P1983" s="84"/>
      <c r="Q1983" s="84"/>
      <c r="R1983" s="84"/>
      <c r="S1983" s="84"/>
      <c r="T1983" s="84"/>
      <c r="U1983" s="84"/>
      <c r="V1983" s="84"/>
      <c r="W1983" s="84"/>
      <c r="X1983" s="84"/>
      <c r="Y1983" s="84"/>
      <c r="Z1983" s="87"/>
      <c r="AA1983" s="87"/>
      <c r="AB1983" s="87"/>
      <c r="AC1983" s="87"/>
      <c r="AD1983" s="87"/>
      <c r="AE1983" s="87"/>
      <c r="AF1983" s="87"/>
      <c r="AG1983" s="87"/>
      <c r="AH1983" s="87"/>
      <c r="AI1983" s="87"/>
      <c r="AJ1983" s="87"/>
      <c r="AK1983" s="87"/>
      <c r="AL1983" s="87"/>
      <c r="AM1983" s="87"/>
      <c r="AN1983" s="87"/>
      <c r="AO1983" s="87"/>
      <c r="AP1983" s="87"/>
      <c r="AQ1983" s="87"/>
      <c r="AR1983" s="87"/>
      <c r="AS1983" s="87"/>
      <c r="AT1983" s="87"/>
      <c r="AU1983" s="87"/>
      <c r="AV1983" s="87"/>
      <c r="AW1983" s="87"/>
      <c r="AX1983" s="87"/>
      <c r="AY1983" s="87"/>
      <c r="AZ1983" s="87"/>
      <c r="BA1983" s="87"/>
      <c r="BB1983" s="87"/>
      <c r="BC1983" s="87"/>
      <c r="BD1983" s="87"/>
      <c r="BE1983" s="87"/>
      <c r="BF1983" s="87"/>
      <c r="BG1983" s="87"/>
      <c r="BH1983" s="87"/>
    </row>
    <row r="1984" spans="1:60" ht="16">
      <c r="A1984" s="82"/>
      <c r="B1984" s="82"/>
      <c r="C1984" s="82"/>
      <c r="D1984" s="83"/>
      <c r="E1984" s="84"/>
      <c r="F1984" s="84"/>
      <c r="G1984" s="84"/>
      <c r="H1984" s="82"/>
      <c r="I1984" s="84"/>
      <c r="J1984" s="84"/>
      <c r="K1984" s="84"/>
      <c r="L1984" s="84"/>
      <c r="M1984" s="84"/>
      <c r="N1984" s="84"/>
      <c r="O1984" s="84"/>
      <c r="P1984" s="84"/>
      <c r="Q1984" s="84"/>
      <c r="R1984" s="84"/>
      <c r="S1984" s="84"/>
      <c r="T1984" s="84"/>
      <c r="U1984" s="84"/>
      <c r="V1984" s="84"/>
      <c r="W1984" s="84"/>
      <c r="X1984" s="84"/>
      <c r="Y1984" s="84"/>
      <c r="Z1984" s="87"/>
      <c r="AA1984" s="87"/>
      <c r="AB1984" s="87"/>
      <c r="AC1984" s="87"/>
      <c r="AD1984" s="87"/>
      <c r="AE1984" s="87"/>
      <c r="AF1984" s="87"/>
      <c r="AG1984" s="87"/>
      <c r="AH1984" s="87"/>
      <c r="AI1984" s="87"/>
      <c r="AJ1984" s="87"/>
      <c r="AK1984" s="87"/>
      <c r="AL1984" s="87"/>
      <c r="AM1984" s="87"/>
      <c r="AN1984" s="87"/>
      <c r="AO1984" s="87"/>
      <c r="AP1984" s="87"/>
      <c r="AQ1984" s="87"/>
      <c r="AR1984" s="87"/>
      <c r="AS1984" s="87"/>
      <c r="AT1984" s="87"/>
      <c r="AU1984" s="87"/>
      <c r="AV1984" s="87"/>
      <c r="AW1984" s="87"/>
      <c r="AX1984" s="87"/>
      <c r="AY1984" s="87"/>
      <c r="AZ1984" s="87"/>
      <c r="BA1984" s="87"/>
      <c r="BB1984" s="87"/>
      <c r="BC1984" s="87"/>
      <c r="BD1984" s="87"/>
      <c r="BE1984" s="87"/>
      <c r="BF1984" s="87"/>
      <c r="BG1984" s="87"/>
      <c r="BH1984" s="87"/>
    </row>
    <row r="1985" spans="1:60" ht="16">
      <c r="A1985" s="82"/>
      <c r="B1985" s="82"/>
      <c r="C1985" s="82"/>
      <c r="D1985" s="83"/>
      <c r="E1985" s="84"/>
      <c r="F1985" s="84"/>
      <c r="G1985" s="84"/>
      <c r="H1985" s="82"/>
      <c r="I1985" s="84"/>
      <c r="J1985" s="84"/>
      <c r="K1985" s="84"/>
      <c r="L1985" s="84"/>
      <c r="M1985" s="84"/>
      <c r="N1985" s="84"/>
      <c r="O1985" s="84"/>
      <c r="P1985" s="84"/>
      <c r="Q1985" s="84"/>
      <c r="R1985" s="84"/>
      <c r="S1985" s="84"/>
      <c r="T1985" s="84"/>
      <c r="U1985" s="84"/>
      <c r="V1985" s="84"/>
      <c r="W1985" s="84"/>
      <c r="X1985" s="84"/>
      <c r="Y1985" s="84"/>
      <c r="Z1985" s="87"/>
      <c r="AA1985" s="87"/>
      <c r="AB1985" s="87"/>
      <c r="AC1985" s="87"/>
      <c r="AD1985" s="87"/>
      <c r="AE1985" s="87"/>
      <c r="AF1985" s="87"/>
      <c r="AG1985" s="87"/>
      <c r="AH1985" s="87"/>
      <c r="AI1985" s="87"/>
      <c r="AJ1985" s="87"/>
      <c r="AK1985" s="87"/>
      <c r="AL1985" s="87"/>
      <c r="AM1985" s="87"/>
      <c r="AN1985" s="87"/>
      <c r="AO1985" s="87"/>
      <c r="AP1985" s="87"/>
      <c r="AQ1985" s="87"/>
      <c r="AR1985" s="87"/>
      <c r="AS1985" s="87"/>
      <c r="AT1985" s="87"/>
      <c r="AU1985" s="87"/>
      <c r="AV1985" s="87"/>
      <c r="AW1985" s="87"/>
      <c r="AX1985" s="87"/>
      <c r="AY1985" s="87"/>
      <c r="AZ1985" s="87"/>
      <c r="BA1985" s="87"/>
      <c r="BB1985" s="87"/>
      <c r="BC1985" s="87"/>
      <c r="BD1985" s="87"/>
      <c r="BE1985" s="87"/>
      <c r="BF1985" s="87"/>
      <c r="BG1985" s="87"/>
      <c r="BH1985" s="87"/>
    </row>
    <row r="1986" spans="1:60" ht="16">
      <c r="A1986" s="82"/>
      <c r="B1986" s="82"/>
      <c r="C1986" s="82"/>
      <c r="D1986" s="83"/>
      <c r="E1986" s="84"/>
      <c r="F1986" s="84"/>
      <c r="G1986" s="84"/>
      <c r="H1986" s="82"/>
      <c r="I1986" s="84"/>
      <c r="J1986" s="84"/>
      <c r="K1986" s="84"/>
      <c r="L1986" s="84"/>
      <c r="M1986" s="84"/>
      <c r="N1986" s="84"/>
      <c r="O1986" s="84"/>
      <c r="P1986" s="84"/>
      <c r="Q1986" s="84"/>
      <c r="R1986" s="84"/>
      <c r="S1986" s="84"/>
      <c r="T1986" s="84"/>
      <c r="U1986" s="84"/>
      <c r="V1986" s="84"/>
      <c r="W1986" s="84"/>
      <c r="X1986" s="84"/>
      <c r="Y1986" s="84"/>
      <c r="Z1986" s="87"/>
      <c r="AA1986" s="87"/>
      <c r="AB1986" s="87"/>
      <c r="AC1986" s="87"/>
      <c r="AD1986" s="87"/>
      <c r="AE1986" s="87"/>
      <c r="AF1986" s="87"/>
      <c r="AG1986" s="87"/>
      <c r="AH1986" s="87"/>
      <c r="AI1986" s="87"/>
      <c r="AJ1986" s="87"/>
      <c r="AK1986" s="87"/>
      <c r="AL1986" s="87"/>
      <c r="AM1986" s="87"/>
      <c r="AN1986" s="87"/>
      <c r="AO1986" s="87"/>
      <c r="AP1986" s="87"/>
      <c r="AQ1986" s="87"/>
      <c r="AR1986" s="87"/>
      <c r="AS1986" s="87"/>
      <c r="AT1986" s="87"/>
      <c r="AU1986" s="87"/>
      <c r="AV1986" s="87"/>
      <c r="AW1986" s="87"/>
      <c r="AX1986" s="87"/>
      <c r="AY1986" s="87"/>
      <c r="AZ1986" s="87"/>
      <c r="BA1986" s="87"/>
      <c r="BB1986" s="87"/>
      <c r="BC1986" s="87"/>
      <c r="BD1986" s="87"/>
      <c r="BE1986" s="87"/>
      <c r="BF1986" s="87"/>
      <c r="BG1986" s="87"/>
      <c r="BH1986" s="87"/>
    </row>
    <row r="1987" spans="1:60" ht="16">
      <c r="A1987" s="82"/>
      <c r="B1987" s="82"/>
      <c r="C1987" s="82"/>
      <c r="D1987" s="83"/>
      <c r="E1987" s="84"/>
      <c r="F1987" s="84"/>
      <c r="G1987" s="84"/>
      <c r="H1987" s="82"/>
      <c r="I1987" s="84"/>
      <c r="J1987" s="84"/>
      <c r="K1987" s="84"/>
      <c r="L1987" s="84"/>
      <c r="M1987" s="84"/>
      <c r="N1987" s="84"/>
      <c r="O1987" s="84"/>
      <c r="P1987" s="84"/>
      <c r="Q1987" s="84"/>
      <c r="R1987" s="84"/>
      <c r="S1987" s="84"/>
      <c r="T1987" s="84"/>
      <c r="U1987" s="84"/>
      <c r="V1987" s="84"/>
      <c r="W1987" s="84"/>
      <c r="X1987" s="84"/>
      <c r="Y1987" s="84"/>
      <c r="Z1987" s="87"/>
      <c r="AA1987" s="87"/>
      <c r="AB1987" s="87"/>
      <c r="AC1987" s="87"/>
      <c r="AD1987" s="87"/>
      <c r="AE1987" s="87"/>
      <c r="AF1987" s="87"/>
      <c r="AG1987" s="87"/>
      <c r="AH1987" s="87"/>
      <c r="AI1987" s="87"/>
      <c r="AJ1987" s="87"/>
      <c r="AK1987" s="87"/>
      <c r="AL1987" s="87"/>
      <c r="AM1987" s="87"/>
      <c r="AN1987" s="87"/>
      <c r="AO1987" s="87"/>
      <c r="AP1987" s="87"/>
      <c r="AQ1987" s="87"/>
      <c r="AR1987" s="87"/>
      <c r="AS1987" s="87"/>
      <c r="AT1987" s="87"/>
      <c r="AU1987" s="87"/>
      <c r="AV1987" s="87"/>
      <c r="AW1987" s="87"/>
      <c r="AX1987" s="87"/>
      <c r="AY1987" s="87"/>
      <c r="AZ1987" s="87"/>
      <c r="BA1987" s="87"/>
      <c r="BB1987" s="87"/>
      <c r="BC1987" s="87"/>
      <c r="BD1987" s="87"/>
      <c r="BE1987" s="87"/>
      <c r="BF1987" s="87"/>
      <c r="BG1987" s="87"/>
      <c r="BH1987" s="87"/>
    </row>
    <row r="1988" spans="1:60" ht="16">
      <c r="A1988" s="82"/>
      <c r="B1988" s="82"/>
      <c r="C1988" s="82"/>
      <c r="D1988" s="83"/>
      <c r="E1988" s="84"/>
      <c r="F1988" s="84"/>
      <c r="G1988" s="84"/>
      <c r="H1988" s="82"/>
      <c r="I1988" s="84"/>
      <c r="J1988" s="84"/>
      <c r="K1988" s="84"/>
      <c r="L1988" s="84"/>
      <c r="M1988" s="84"/>
      <c r="N1988" s="84"/>
      <c r="O1988" s="84"/>
      <c r="P1988" s="84"/>
      <c r="Q1988" s="84"/>
      <c r="R1988" s="84"/>
      <c r="S1988" s="84"/>
      <c r="T1988" s="84"/>
      <c r="U1988" s="84"/>
      <c r="V1988" s="84"/>
      <c r="W1988" s="84"/>
      <c r="X1988" s="84"/>
      <c r="Y1988" s="84"/>
      <c r="Z1988" s="87"/>
      <c r="AA1988" s="87"/>
      <c r="AB1988" s="87"/>
      <c r="AC1988" s="87"/>
      <c r="AD1988" s="87"/>
      <c r="AE1988" s="87"/>
      <c r="AF1988" s="87"/>
      <c r="AG1988" s="87"/>
      <c r="AH1988" s="87"/>
      <c r="AI1988" s="87"/>
      <c r="AJ1988" s="87"/>
      <c r="AK1988" s="87"/>
      <c r="AL1988" s="87"/>
      <c r="AM1988" s="87"/>
      <c r="AN1988" s="87"/>
      <c r="AO1988" s="87"/>
      <c r="AP1988" s="87"/>
      <c r="AQ1988" s="87"/>
      <c r="AR1988" s="87"/>
      <c r="AS1988" s="87"/>
      <c r="AT1988" s="87"/>
      <c r="AU1988" s="87"/>
      <c r="AV1988" s="87"/>
      <c r="AW1988" s="87"/>
      <c r="AX1988" s="87"/>
      <c r="AY1988" s="87"/>
      <c r="AZ1988" s="87"/>
      <c r="BA1988" s="87"/>
      <c r="BB1988" s="87"/>
      <c r="BC1988" s="87"/>
      <c r="BD1988" s="87"/>
      <c r="BE1988" s="87"/>
      <c r="BF1988" s="87"/>
      <c r="BG1988" s="87"/>
      <c r="BH1988" s="87"/>
    </row>
    <row r="1989" spans="1:60" ht="16">
      <c r="A1989" s="82"/>
      <c r="B1989" s="82"/>
      <c r="C1989" s="82"/>
      <c r="D1989" s="83"/>
      <c r="E1989" s="84"/>
      <c r="F1989" s="84"/>
      <c r="G1989" s="84"/>
      <c r="H1989" s="82"/>
      <c r="I1989" s="84"/>
      <c r="J1989" s="84"/>
      <c r="K1989" s="84"/>
      <c r="L1989" s="84"/>
      <c r="M1989" s="84"/>
      <c r="N1989" s="84"/>
      <c r="O1989" s="84"/>
      <c r="P1989" s="84"/>
      <c r="Q1989" s="84"/>
      <c r="R1989" s="84"/>
      <c r="S1989" s="84"/>
      <c r="T1989" s="84"/>
      <c r="U1989" s="84"/>
      <c r="V1989" s="84"/>
      <c r="W1989" s="84"/>
      <c r="X1989" s="84"/>
      <c r="Y1989" s="84"/>
      <c r="Z1989" s="87"/>
      <c r="AA1989" s="87"/>
      <c r="AB1989" s="87"/>
      <c r="AC1989" s="87"/>
      <c r="AD1989" s="87"/>
      <c r="AE1989" s="87"/>
      <c r="AF1989" s="87"/>
      <c r="AG1989" s="87"/>
      <c r="AH1989" s="87"/>
      <c r="AI1989" s="87"/>
      <c r="AJ1989" s="87"/>
      <c r="AK1989" s="87"/>
      <c r="AL1989" s="87"/>
      <c r="AM1989" s="87"/>
      <c r="AN1989" s="87"/>
      <c r="AO1989" s="87"/>
      <c r="AP1989" s="87"/>
      <c r="AQ1989" s="87"/>
      <c r="AR1989" s="87"/>
      <c r="AS1989" s="87"/>
      <c r="AT1989" s="87"/>
      <c r="AU1989" s="87"/>
      <c r="AV1989" s="87"/>
      <c r="AW1989" s="87"/>
      <c r="AX1989" s="87"/>
      <c r="AY1989" s="87"/>
      <c r="AZ1989" s="87"/>
      <c r="BA1989" s="87"/>
      <c r="BB1989" s="87"/>
      <c r="BC1989" s="87"/>
      <c r="BD1989" s="87"/>
      <c r="BE1989" s="87"/>
      <c r="BF1989" s="87"/>
      <c r="BG1989" s="87"/>
      <c r="BH1989" s="87"/>
    </row>
    <row r="1990" spans="1:60" ht="16">
      <c r="A1990" s="82"/>
      <c r="B1990" s="82"/>
      <c r="C1990" s="82"/>
      <c r="D1990" s="83"/>
      <c r="E1990" s="84"/>
      <c r="F1990" s="84"/>
      <c r="G1990" s="84"/>
      <c r="H1990" s="82"/>
      <c r="I1990" s="84"/>
      <c r="J1990" s="84"/>
      <c r="K1990" s="84"/>
      <c r="L1990" s="84"/>
      <c r="M1990" s="84"/>
      <c r="N1990" s="84"/>
      <c r="O1990" s="84"/>
      <c r="P1990" s="84"/>
      <c r="Q1990" s="84"/>
      <c r="R1990" s="84"/>
      <c r="S1990" s="84"/>
      <c r="T1990" s="84"/>
      <c r="U1990" s="84"/>
      <c r="V1990" s="84"/>
      <c r="W1990" s="84"/>
      <c r="X1990" s="84"/>
      <c r="Y1990" s="84"/>
      <c r="Z1990" s="87"/>
      <c r="AA1990" s="87"/>
      <c r="AB1990" s="87"/>
      <c r="AC1990" s="87"/>
      <c r="AD1990" s="87"/>
      <c r="AE1990" s="87"/>
      <c r="AF1990" s="87"/>
      <c r="AG1990" s="87"/>
      <c r="AH1990" s="87"/>
      <c r="AI1990" s="87"/>
      <c r="AJ1990" s="87"/>
      <c r="AK1990" s="87"/>
      <c r="AL1990" s="87"/>
      <c r="AM1990" s="87"/>
      <c r="AN1990" s="87"/>
      <c r="AO1990" s="87"/>
      <c r="AP1990" s="87"/>
      <c r="AQ1990" s="87"/>
      <c r="AR1990" s="87"/>
      <c r="AS1990" s="87"/>
      <c r="AT1990" s="87"/>
      <c r="AU1990" s="87"/>
      <c r="AV1990" s="87"/>
      <c r="AW1990" s="87"/>
      <c r="AX1990" s="87"/>
      <c r="AY1990" s="87"/>
      <c r="AZ1990" s="87"/>
      <c r="BA1990" s="87"/>
      <c r="BB1990" s="87"/>
      <c r="BC1990" s="87"/>
      <c r="BD1990" s="87"/>
      <c r="BE1990" s="87"/>
      <c r="BF1990" s="87"/>
      <c r="BG1990" s="87"/>
      <c r="BH1990" s="87"/>
    </row>
    <row r="1991" spans="1:60" ht="16">
      <c r="A1991" s="82"/>
      <c r="B1991" s="82"/>
      <c r="C1991" s="82"/>
      <c r="D1991" s="83"/>
      <c r="E1991" s="84"/>
      <c r="F1991" s="84"/>
      <c r="G1991" s="84"/>
      <c r="H1991" s="82"/>
      <c r="I1991" s="84"/>
      <c r="J1991" s="84"/>
      <c r="K1991" s="84"/>
      <c r="L1991" s="84"/>
      <c r="M1991" s="84"/>
      <c r="N1991" s="84"/>
      <c r="O1991" s="84"/>
      <c r="P1991" s="84"/>
      <c r="Q1991" s="84"/>
      <c r="R1991" s="84"/>
      <c r="S1991" s="84"/>
      <c r="T1991" s="84"/>
      <c r="U1991" s="84"/>
      <c r="V1991" s="84"/>
      <c r="W1991" s="84"/>
      <c r="X1991" s="84"/>
      <c r="Y1991" s="84"/>
      <c r="Z1991" s="87"/>
      <c r="AA1991" s="87"/>
      <c r="AB1991" s="87"/>
      <c r="AC1991" s="87"/>
      <c r="AD1991" s="87"/>
      <c r="AE1991" s="87"/>
      <c r="AF1991" s="87"/>
      <c r="AG1991" s="87"/>
      <c r="AH1991" s="87"/>
      <c r="AI1991" s="87"/>
      <c r="AJ1991" s="87"/>
      <c r="AK1991" s="87"/>
      <c r="AL1991" s="87"/>
      <c r="AM1991" s="87"/>
      <c r="AN1991" s="87"/>
      <c r="AO1991" s="87"/>
      <c r="AP1991" s="87"/>
      <c r="AQ1991" s="87"/>
      <c r="AR1991" s="87"/>
      <c r="AS1991" s="87"/>
      <c r="AT1991" s="87"/>
      <c r="AU1991" s="87"/>
      <c r="AV1991" s="87"/>
      <c r="AW1991" s="87"/>
      <c r="AX1991" s="87"/>
      <c r="AY1991" s="87"/>
      <c r="AZ1991" s="87"/>
      <c r="BA1991" s="87"/>
      <c r="BB1991" s="87"/>
      <c r="BC1991" s="87"/>
      <c r="BD1991" s="87"/>
      <c r="BE1991" s="87"/>
      <c r="BF1991" s="87"/>
      <c r="BG1991" s="87"/>
      <c r="BH1991" s="87"/>
    </row>
    <row r="1992" spans="1:60" ht="16">
      <c r="A1992" s="82"/>
      <c r="B1992" s="82"/>
      <c r="C1992" s="82"/>
      <c r="D1992" s="83"/>
      <c r="E1992" s="84"/>
      <c r="F1992" s="84"/>
      <c r="G1992" s="84"/>
      <c r="H1992" s="82"/>
      <c r="I1992" s="84"/>
      <c r="J1992" s="84"/>
      <c r="K1992" s="84"/>
      <c r="L1992" s="84"/>
      <c r="M1992" s="84"/>
      <c r="N1992" s="84"/>
      <c r="O1992" s="84"/>
      <c r="P1992" s="84"/>
      <c r="Q1992" s="84"/>
      <c r="R1992" s="84"/>
      <c r="S1992" s="84"/>
      <c r="T1992" s="84"/>
      <c r="U1992" s="84"/>
      <c r="V1992" s="84"/>
      <c r="W1992" s="84"/>
      <c r="X1992" s="84"/>
      <c r="Y1992" s="84"/>
      <c r="Z1992" s="87"/>
      <c r="AA1992" s="87"/>
      <c r="AB1992" s="87"/>
      <c r="AC1992" s="87"/>
      <c r="AD1992" s="87"/>
      <c r="AE1992" s="87"/>
      <c r="AF1992" s="87"/>
      <c r="AG1992" s="87"/>
      <c r="AH1992" s="87"/>
      <c r="AI1992" s="87"/>
      <c r="AJ1992" s="87"/>
      <c r="AK1992" s="87"/>
      <c r="AL1992" s="87"/>
      <c r="AM1992" s="87"/>
      <c r="AN1992" s="87"/>
      <c r="AO1992" s="87"/>
      <c r="AP1992" s="87"/>
      <c r="AQ1992" s="87"/>
      <c r="AR1992" s="87"/>
      <c r="AS1992" s="87"/>
      <c r="AT1992" s="87"/>
      <c r="AU1992" s="87"/>
      <c r="AV1992" s="87"/>
      <c r="AW1992" s="87"/>
      <c r="AX1992" s="87"/>
      <c r="AY1992" s="87"/>
      <c r="AZ1992" s="87"/>
      <c r="BA1992" s="87"/>
      <c r="BB1992" s="87"/>
      <c r="BC1992" s="87"/>
      <c r="BD1992" s="87"/>
      <c r="BE1992" s="87"/>
      <c r="BF1992" s="87"/>
      <c r="BG1992" s="87"/>
      <c r="BH1992" s="87"/>
    </row>
    <row r="1993" spans="1:60" ht="16">
      <c r="A1993" s="82"/>
      <c r="B1993" s="82"/>
      <c r="C1993" s="82"/>
      <c r="D1993" s="83"/>
      <c r="E1993" s="84"/>
      <c r="F1993" s="84"/>
      <c r="G1993" s="84"/>
      <c r="H1993" s="82"/>
      <c r="I1993" s="84"/>
      <c r="J1993" s="84"/>
      <c r="K1993" s="84"/>
      <c r="L1993" s="84"/>
      <c r="M1993" s="84"/>
      <c r="N1993" s="84"/>
      <c r="O1993" s="84"/>
      <c r="P1993" s="84"/>
      <c r="Q1993" s="84"/>
      <c r="R1993" s="84"/>
      <c r="S1993" s="84"/>
      <c r="T1993" s="84"/>
      <c r="U1993" s="84"/>
      <c r="V1993" s="84"/>
      <c r="W1993" s="84"/>
      <c r="X1993" s="84"/>
      <c r="Y1993" s="84"/>
      <c r="Z1993" s="87"/>
      <c r="AA1993" s="87"/>
      <c r="AB1993" s="87"/>
      <c r="AC1993" s="87"/>
      <c r="AD1993" s="87"/>
      <c r="AE1993" s="87"/>
      <c r="AF1993" s="87"/>
      <c r="AG1993" s="87"/>
      <c r="AH1993" s="87"/>
      <c r="AI1993" s="87"/>
      <c r="AJ1993" s="87"/>
      <c r="AK1993" s="87"/>
      <c r="AL1993" s="87"/>
      <c r="AM1993" s="87"/>
      <c r="AN1993" s="87"/>
      <c r="AO1993" s="87"/>
      <c r="AP1993" s="87"/>
      <c r="AQ1993" s="87"/>
      <c r="AR1993" s="87"/>
      <c r="AS1993" s="87"/>
      <c r="AT1993" s="87"/>
      <c r="AU1993" s="87"/>
      <c r="AV1993" s="87"/>
      <c r="AW1993" s="87"/>
      <c r="AX1993" s="87"/>
      <c r="AY1993" s="87"/>
      <c r="AZ1993" s="87"/>
      <c r="BA1993" s="87"/>
      <c r="BB1993" s="87"/>
      <c r="BC1993" s="87"/>
      <c r="BD1993" s="87"/>
      <c r="BE1993" s="87"/>
      <c r="BF1993" s="87"/>
      <c r="BG1993" s="87"/>
      <c r="BH1993" s="87"/>
    </row>
    <row r="1994" spans="1:60" ht="16">
      <c r="A1994" s="82"/>
      <c r="B1994" s="82"/>
      <c r="C1994" s="82"/>
      <c r="D1994" s="83"/>
      <c r="E1994" s="84"/>
      <c r="F1994" s="84"/>
      <c r="G1994" s="84"/>
      <c r="H1994" s="82"/>
      <c r="I1994" s="84"/>
      <c r="J1994" s="84"/>
      <c r="K1994" s="84"/>
      <c r="L1994" s="84"/>
      <c r="M1994" s="84"/>
      <c r="N1994" s="84"/>
      <c r="O1994" s="84"/>
      <c r="P1994" s="84"/>
      <c r="Q1994" s="84"/>
      <c r="R1994" s="84"/>
      <c r="S1994" s="84"/>
      <c r="T1994" s="84"/>
      <c r="U1994" s="84"/>
      <c r="V1994" s="84"/>
      <c r="W1994" s="84"/>
      <c r="X1994" s="84"/>
      <c r="Y1994" s="84"/>
      <c r="Z1994" s="87"/>
      <c r="AA1994" s="87"/>
      <c r="AB1994" s="87"/>
      <c r="AC1994" s="87"/>
      <c r="AD1994" s="87"/>
      <c r="AE1994" s="87"/>
      <c r="AF1994" s="87"/>
      <c r="AG1994" s="87"/>
      <c r="AH1994" s="87"/>
      <c r="AI1994" s="87"/>
      <c r="AJ1994" s="87"/>
      <c r="AK1994" s="87"/>
      <c r="AL1994" s="87"/>
      <c r="AM1994" s="87"/>
      <c r="AN1994" s="87"/>
      <c r="AO1994" s="87"/>
      <c r="AP1994" s="87"/>
      <c r="AQ1994" s="87"/>
      <c r="AR1994" s="87"/>
      <c r="AS1994" s="87"/>
      <c r="AT1994" s="87"/>
      <c r="AU1994" s="87"/>
      <c r="AV1994" s="87"/>
      <c r="AW1994" s="87"/>
      <c r="AX1994" s="87"/>
      <c r="AY1994" s="87"/>
      <c r="AZ1994" s="87"/>
      <c r="BA1994" s="87"/>
      <c r="BB1994" s="87"/>
      <c r="BC1994" s="87"/>
      <c r="BD1994" s="87"/>
      <c r="BE1994" s="87"/>
      <c r="BF1994" s="87"/>
      <c r="BG1994" s="87"/>
      <c r="BH1994" s="87"/>
    </row>
    <row r="1995" spans="1:60" ht="16">
      <c r="A1995" s="82"/>
      <c r="B1995" s="82"/>
      <c r="C1995" s="82"/>
      <c r="D1995" s="83"/>
      <c r="E1995" s="84"/>
      <c r="F1995" s="84"/>
      <c r="G1995" s="84"/>
      <c r="H1995" s="82"/>
      <c r="I1995" s="84"/>
      <c r="J1995" s="84"/>
      <c r="K1995" s="84"/>
      <c r="L1995" s="84"/>
      <c r="M1995" s="84"/>
      <c r="N1995" s="84"/>
      <c r="O1995" s="84"/>
      <c r="P1995" s="84"/>
      <c r="Q1995" s="84"/>
      <c r="R1995" s="84"/>
      <c r="S1995" s="84"/>
      <c r="T1995" s="84"/>
      <c r="U1995" s="84"/>
      <c r="V1995" s="84"/>
      <c r="W1995" s="84"/>
      <c r="X1995" s="84"/>
      <c r="Y1995" s="84"/>
      <c r="Z1995" s="87"/>
      <c r="AA1995" s="87"/>
      <c r="AB1995" s="87"/>
      <c r="AC1995" s="87"/>
      <c r="AD1995" s="87"/>
      <c r="AE1995" s="87"/>
      <c r="AF1995" s="87"/>
      <c r="AG1995" s="87"/>
      <c r="AH1995" s="87"/>
      <c r="AI1995" s="87"/>
      <c r="AJ1995" s="87"/>
      <c r="AK1995" s="87"/>
      <c r="AL1995" s="87"/>
      <c r="AM1995" s="87"/>
      <c r="AN1995" s="87"/>
      <c r="AO1995" s="87"/>
      <c r="AP1995" s="87"/>
      <c r="AQ1995" s="87"/>
      <c r="AR1995" s="87"/>
      <c r="AS1995" s="87"/>
      <c r="AT1995" s="87"/>
      <c r="AU1995" s="87"/>
      <c r="AV1995" s="87"/>
      <c r="AW1995" s="87"/>
      <c r="AX1995" s="87"/>
      <c r="AY1995" s="87"/>
      <c r="AZ1995" s="87"/>
      <c r="BA1995" s="87"/>
      <c r="BB1995" s="87"/>
      <c r="BC1995" s="87"/>
      <c r="BD1995" s="87"/>
      <c r="BE1995" s="87"/>
      <c r="BF1995" s="87"/>
      <c r="BG1995" s="87"/>
      <c r="BH1995" s="87"/>
    </row>
    <row r="1996" spans="1:60" ht="16">
      <c r="A1996" s="82"/>
      <c r="B1996" s="82"/>
      <c r="C1996" s="82"/>
      <c r="D1996" s="83"/>
      <c r="E1996" s="84"/>
      <c r="F1996" s="84"/>
      <c r="G1996" s="84"/>
      <c r="H1996" s="82"/>
      <c r="I1996" s="84"/>
      <c r="J1996" s="84"/>
      <c r="K1996" s="84"/>
      <c r="L1996" s="84"/>
      <c r="M1996" s="84"/>
      <c r="N1996" s="84"/>
      <c r="O1996" s="84"/>
      <c r="P1996" s="84"/>
      <c r="Q1996" s="84"/>
      <c r="R1996" s="84"/>
      <c r="S1996" s="84"/>
      <c r="T1996" s="84"/>
      <c r="U1996" s="84"/>
      <c r="V1996" s="84"/>
      <c r="W1996" s="84"/>
      <c r="X1996" s="84"/>
      <c r="Y1996" s="84"/>
      <c r="Z1996" s="87"/>
      <c r="AA1996" s="87"/>
      <c r="AB1996" s="87"/>
      <c r="AC1996" s="87"/>
      <c r="AD1996" s="87"/>
      <c r="AE1996" s="87"/>
      <c r="AF1996" s="87"/>
      <c r="AG1996" s="87"/>
      <c r="AH1996" s="87"/>
      <c r="AI1996" s="87"/>
      <c r="AJ1996" s="87"/>
      <c r="AK1996" s="87"/>
      <c r="AL1996" s="87"/>
      <c r="AM1996" s="87"/>
      <c r="AN1996" s="87"/>
      <c r="AO1996" s="87"/>
      <c r="AP1996" s="87"/>
      <c r="AQ1996" s="87"/>
      <c r="AR1996" s="87"/>
      <c r="AS1996" s="87"/>
      <c r="AT1996" s="87"/>
      <c r="AU1996" s="87"/>
      <c r="AV1996" s="87"/>
      <c r="AW1996" s="87"/>
      <c r="AX1996" s="87"/>
      <c r="AY1996" s="87"/>
      <c r="AZ1996" s="87"/>
      <c r="BA1996" s="87"/>
      <c r="BB1996" s="87"/>
      <c r="BC1996" s="87"/>
      <c r="BD1996" s="87"/>
      <c r="BE1996" s="87"/>
      <c r="BF1996" s="87"/>
      <c r="BG1996" s="87"/>
      <c r="BH1996" s="87"/>
    </row>
    <row r="1997" spans="1:60" ht="16">
      <c r="A1997" s="82"/>
      <c r="B1997" s="82"/>
      <c r="C1997" s="82"/>
      <c r="D1997" s="83"/>
      <c r="E1997" s="84"/>
      <c r="F1997" s="84"/>
      <c r="G1997" s="84"/>
      <c r="H1997" s="82"/>
      <c r="I1997" s="84"/>
      <c r="J1997" s="84"/>
      <c r="K1997" s="84"/>
      <c r="L1997" s="84"/>
      <c r="M1997" s="84"/>
      <c r="N1997" s="84"/>
      <c r="O1997" s="84"/>
      <c r="P1997" s="84"/>
      <c r="Q1997" s="84"/>
      <c r="R1997" s="84"/>
      <c r="S1997" s="84"/>
      <c r="T1997" s="84"/>
      <c r="U1997" s="84"/>
      <c r="V1997" s="84"/>
      <c r="W1997" s="84"/>
      <c r="X1997" s="84"/>
      <c r="Y1997" s="84"/>
      <c r="Z1997" s="87"/>
      <c r="AA1997" s="87"/>
      <c r="AB1997" s="87"/>
      <c r="AC1997" s="87"/>
      <c r="AD1997" s="87"/>
      <c r="AE1997" s="87"/>
      <c r="AF1997" s="87"/>
      <c r="AG1997" s="87"/>
      <c r="AH1997" s="87"/>
      <c r="AI1997" s="87"/>
      <c r="AJ1997" s="87"/>
      <c r="AK1997" s="87"/>
      <c r="AL1997" s="87"/>
      <c r="AM1997" s="87"/>
      <c r="AN1997" s="87"/>
      <c r="AO1997" s="87"/>
      <c r="AP1997" s="87"/>
      <c r="AQ1997" s="87"/>
      <c r="AR1997" s="87"/>
      <c r="AS1997" s="87"/>
      <c r="AT1997" s="87"/>
      <c r="AU1997" s="87"/>
      <c r="AV1997" s="87"/>
      <c r="AW1997" s="87"/>
      <c r="AX1997" s="87"/>
      <c r="AY1997" s="87"/>
      <c r="AZ1997" s="87"/>
      <c r="BA1997" s="87"/>
      <c r="BB1997" s="87"/>
      <c r="BC1997" s="87"/>
      <c r="BD1997" s="87"/>
      <c r="BE1997" s="87"/>
      <c r="BF1997" s="87"/>
      <c r="BG1997" s="87"/>
      <c r="BH1997" s="87"/>
    </row>
    <row r="1998" spans="1:60" ht="16">
      <c r="A1998" s="82"/>
      <c r="B1998" s="82"/>
      <c r="C1998" s="82"/>
      <c r="D1998" s="83"/>
      <c r="E1998" s="84"/>
      <c r="F1998" s="84"/>
      <c r="G1998" s="84"/>
      <c r="H1998" s="82"/>
      <c r="I1998" s="84"/>
      <c r="J1998" s="84"/>
      <c r="K1998" s="84"/>
      <c r="L1998" s="84"/>
      <c r="M1998" s="84"/>
      <c r="N1998" s="84"/>
      <c r="O1998" s="84"/>
      <c r="P1998" s="84"/>
      <c r="Q1998" s="84"/>
      <c r="R1998" s="84"/>
      <c r="S1998" s="84"/>
      <c r="T1998" s="84"/>
      <c r="U1998" s="84"/>
      <c r="V1998" s="84"/>
      <c r="W1998" s="84"/>
      <c r="X1998" s="84"/>
      <c r="Y1998" s="84"/>
      <c r="Z1998" s="87"/>
      <c r="AA1998" s="87"/>
      <c r="AB1998" s="87"/>
      <c r="AC1998" s="87"/>
      <c r="AD1998" s="87"/>
      <c r="AE1998" s="87"/>
      <c r="AF1998" s="87"/>
      <c r="AG1998" s="87"/>
      <c r="AH1998" s="87"/>
      <c r="AI1998" s="87"/>
      <c r="AJ1998" s="87"/>
      <c r="AK1998" s="87"/>
      <c r="AL1998" s="87"/>
      <c r="AM1998" s="87"/>
      <c r="AN1998" s="87"/>
      <c r="AO1998" s="87"/>
      <c r="AP1998" s="87"/>
      <c r="AQ1998" s="87"/>
      <c r="AR1998" s="87"/>
      <c r="AS1998" s="87"/>
      <c r="AT1998" s="87"/>
      <c r="AU1998" s="87"/>
      <c r="AV1998" s="87"/>
      <c r="AW1998" s="87"/>
      <c r="AX1998" s="87"/>
      <c r="AY1998" s="87"/>
      <c r="AZ1998" s="87"/>
      <c r="BA1998" s="87"/>
      <c r="BB1998" s="87"/>
      <c r="BC1998" s="87"/>
      <c r="BD1998" s="87"/>
      <c r="BE1998" s="87"/>
      <c r="BF1998" s="87"/>
      <c r="BG1998" s="87"/>
      <c r="BH1998" s="87"/>
    </row>
    <row r="1999" spans="1:60" ht="16">
      <c r="A1999" s="82"/>
      <c r="B1999" s="82"/>
      <c r="C1999" s="82"/>
      <c r="D1999" s="83"/>
      <c r="E1999" s="84"/>
      <c r="F1999" s="84"/>
      <c r="G1999" s="84"/>
      <c r="H1999" s="82"/>
      <c r="I1999" s="84"/>
      <c r="J1999" s="84"/>
      <c r="K1999" s="84"/>
      <c r="L1999" s="84"/>
      <c r="M1999" s="84"/>
      <c r="N1999" s="84"/>
      <c r="O1999" s="84"/>
      <c r="P1999" s="84"/>
      <c r="Q1999" s="84"/>
      <c r="R1999" s="84"/>
      <c r="S1999" s="84"/>
      <c r="T1999" s="84"/>
      <c r="U1999" s="84"/>
      <c r="V1999" s="84"/>
      <c r="W1999" s="84"/>
      <c r="X1999" s="84"/>
      <c r="Y1999" s="84"/>
      <c r="Z1999" s="87"/>
      <c r="AA1999" s="87"/>
      <c r="AB1999" s="87"/>
      <c r="AC1999" s="87"/>
      <c r="AD1999" s="87"/>
      <c r="AE1999" s="87"/>
      <c r="AF1999" s="87"/>
      <c r="AG1999" s="87"/>
      <c r="AH1999" s="87"/>
      <c r="AI1999" s="87"/>
      <c r="AJ1999" s="87"/>
      <c r="AK1999" s="87"/>
      <c r="AL1999" s="87"/>
      <c r="AM1999" s="87"/>
      <c r="AN1999" s="87"/>
      <c r="AO1999" s="87"/>
      <c r="AP1999" s="87"/>
      <c r="AQ1999" s="87"/>
      <c r="AR1999" s="87"/>
      <c r="AS1999" s="87"/>
      <c r="AT1999" s="87"/>
      <c r="AU1999" s="87"/>
      <c r="AV1999" s="87"/>
      <c r="AW1999" s="87"/>
      <c r="AX1999" s="87"/>
      <c r="AY1999" s="87"/>
      <c r="AZ1999" s="87"/>
      <c r="BA1999" s="87"/>
      <c r="BB1999" s="87"/>
      <c r="BC1999" s="87"/>
      <c r="BD1999" s="87"/>
      <c r="BE1999" s="87"/>
      <c r="BF1999" s="87"/>
      <c r="BG1999" s="87"/>
      <c r="BH1999" s="87"/>
    </row>
    <row r="2000" spans="1:60" ht="16">
      <c r="A2000" s="82"/>
      <c r="B2000" s="82"/>
      <c r="C2000" s="82"/>
      <c r="D2000" s="83"/>
      <c r="E2000" s="84"/>
      <c r="F2000" s="84"/>
      <c r="G2000" s="84"/>
      <c r="H2000" s="82"/>
      <c r="I2000" s="84"/>
      <c r="J2000" s="84"/>
      <c r="K2000" s="84"/>
      <c r="L2000" s="84"/>
      <c r="M2000" s="84"/>
      <c r="N2000" s="84"/>
      <c r="O2000" s="84"/>
      <c r="P2000" s="84"/>
      <c r="Q2000" s="84"/>
      <c r="R2000" s="84"/>
      <c r="S2000" s="84"/>
      <c r="T2000" s="84"/>
      <c r="U2000" s="84"/>
      <c r="V2000" s="84"/>
      <c r="W2000" s="84"/>
      <c r="X2000" s="84"/>
      <c r="Y2000" s="84"/>
      <c r="Z2000" s="87"/>
      <c r="AA2000" s="87"/>
      <c r="AB2000" s="87"/>
      <c r="AC2000" s="87"/>
      <c r="AD2000" s="87"/>
      <c r="AE2000" s="87"/>
      <c r="AF2000" s="87"/>
      <c r="AG2000" s="87"/>
      <c r="AH2000" s="87"/>
      <c r="AI2000" s="87"/>
      <c r="AJ2000" s="87"/>
      <c r="AK2000" s="87"/>
      <c r="AL2000" s="87"/>
      <c r="AM2000" s="87"/>
      <c r="AN2000" s="87"/>
      <c r="AO2000" s="87"/>
      <c r="AP2000" s="87"/>
      <c r="AQ2000" s="87"/>
      <c r="AR2000" s="87"/>
      <c r="AS2000" s="87"/>
      <c r="AT2000" s="87"/>
      <c r="AU2000" s="87"/>
      <c r="AV2000" s="87"/>
      <c r="AW2000" s="87"/>
      <c r="AX2000" s="87"/>
      <c r="AY2000" s="87"/>
      <c r="AZ2000" s="87"/>
      <c r="BA2000" s="87"/>
      <c r="BB2000" s="87"/>
      <c r="BC2000" s="87"/>
      <c r="BD2000" s="87"/>
      <c r="BE2000" s="87"/>
      <c r="BF2000" s="87"/>
      <c r="BG2000" s="87"/>
      <c r="BH2000" s="87"/>
    </row>
    <row r="2001" spans="1:60" ht="16">
      <c r="A2001" s="82"/>
      <c r="B2001" s="82"/>
      <c r="C2001" s="82"/>
      <c r="D2001" s="83"/>
      <c r="E2001" s="84"/>
      <c r="F2001" s="84"/>
      <c r="G2001" s="84"/>
      <c r="H2001" s="82"/>
      <c r="I2001" s="84"/>
      <c r="J2001" s="84"/>
      <c r="K2001" s="84"/>
      <c r="L2001" s="84"/>
      <c r="M2001" s="84"/>
      <c r="N2001" s="84"/>
      <c r="O2001" s="84"/>
      <c r="P2001" s="84"/>
      <c r="Q2001" s="84"/>
      <c r="R2001" s="84"/>
      <c r="S2001" s="84"/>
      <c r="T2001" s="84"/>
      <c r="U2001" s="84"/>
      <c r="V2001" s="84"/>
      <c r="W2001" s="84"/>
      <c r="X2001" s="84"/>
      <c r="Y2001" s="84"/>
      <c r="Z2001" s="87"/>
      <c r="AA2001" s="87"/>
      <c r="AB2001" s="87"/>
      <c r="AC2001" s="87"/>
      <c r="AD2001" s="87"/>
      <c r="AE2001" s="87"/>
      <c r="AF2001" s="87"/>
      <c r="AG2001" s="87"/>
      <c r="AH2001" s="87"/>
      <c r="AI2001" s="87"/>
      <c r="AJ2001" s="87"/>
      <c r="AK2001" s="87"/>
      <c r="AL2001" s="87"/>
      <c r="AM2001" s="87"/>
      <c r="AN2001" s="87"/>
      <c r="AO2001" s="87"/>
      <c r="AP2001" s="87"/>
      <c r="AQ2001" s="87"/>
      <c r="AR2001" s="87"/>
      <c r="AS2001" s="87"/>
      <c r="AT2001" s="87"/>
      <c r="AU2001" s="87"/>
      <c r="AV2001" s="87"/>
      <c r="AW2001" s="87"/>
      <c r="AX2001" s="87"/>
      <c r="AY2001" s="87"/>
      <c r="AZ2001" s="87"/>
      <c r="BA2001" s="87"/>
      <c r="BB2001" s="87"/>
      <c r="BC2001" s="87"/>
      <c r="BD2001" s="87"/>
      <c r="BE2001" s="87"/>
      <c r="BF2001" s="87"/>
      <c r="BG2001" s="87"/>
      <c r="BH2001" s="87"/>
    </row>
    <row r="2002" spans="1:60" ht="16">
      <c r="A2002" s="82"/>
      <c r="B2002" s="82"/>
      <c r="C2002" s="82"/>
      <c r="D2002" s="83"/>
      <c r="E2002" s="84"/>
      <c r="F2002" s="84"/>
      <c r="G2002" s="84"/>
      <c r="H2002" s="82"/>
      <c r="I2002" s="84"/>
      <c r="J2002" s="84"/>
      <c r="K2002" s="84"/>
      <c r="L2002" s="84"/>
      <c r="M2002" s="84"/>
      <c r="N2002" s="84"/>
      <c r="O2002" s="84"/>
      <c r="P2002" s="84"/>
      <c r="Q2002" s="84"/>
      <c r="R2002" s="84"/>
      <c r="S2002" s="84"/>
      <c r="T2002" s="84"/>
      <c r="U2002" s="84"/>
      <c r="V2002" s="84"/>
      <c r="W2002" s="84"/>
      <c r="X2002" s="84"/>
      <c r="Y2002" s="84"/>
      <c r="Z2002" s="87"/>
      <c r="AA2002" s="87"/>
      <c r="AB2002" s="87"/>
      <c r="AC2002" s="87"/>
      <c r="AD2002" s="87"/>
      <c r="AE2002" s="87"/>
      <c r="AF2002" s="87"/>
      <c r="AG2002" s="87"/>
      <c r="AH2002" s="87"/>
      <c r="AI2002" s="87"/>
      <c r="AJ2002" s="87"/>
      <c r="AK2002" s="87"/>
      <c r="AL2002" s="87"/>
      <c r="AM2002" s="87"/>
      <c r="AN2002" s="87"/>
      <c r="AO2002" s="87"/>
      <c r="AP2002" s="87"/>
      <c r="AQ2002" s="87"/>
      <c r="AR2002" s="87"/>
      <c r="AS2002" s="87"/>
      <c r="AT2002" s="87"/>
      <c r="AU2002" s="87"/>
      <c r="AV2002" s="87"/>
      <c r="AW2002" s="87"/>
      <c r="AX2002" s="87"/>
      <c r="AY2002" s="87"/>
      <c r="AZ2002" s="87"/>
      <c r="BA2002" s="87"/>
      <c r="BB2002" s="87"/>
      <c r="BC2002" s="87"/>
      <c r="BD2002" s="87"/>
      <c r="BE2002" s="87"/>
      <c r="BF2002" s="87"/>
      <c r="BG2002" s="87"/>
      <c r="BH2002" s="87"/>
    </row>
    <row r="2003" spans="1:60" ht="16">
      <c r="A2003" s="82"/>
      <c r="B2003" s="82"/>
      <c r="C2003" s="82"/>
      <c r="D2003" s="83"/>
      <c r="E2003" s="84"/>
      <c r="F2003" s="84"/>
      <c r="G2003" s="84"/>
      <c r="H2003" s="82"/>
      <c r="I2003" s="84"/>
      <c r="J2003" s="84"/>
      <c r="K2003" s="84"/>
      <c r="L2003" s="84"/>
      <c r="M2003" s="84"/>
      <c r="N2003" s="84"/>
      <c r="O2003" s="84"/>
      <c r="P2003" s="84"/>
      <c r="Q2003" s="84"/>
      <c r="R2003" s="84"/>
      <c r="S2003" s="84"/>
      <c r="T2003" s="84"/>
      <c r="U2003" s="84"/>
      <c r="V2003" s="84"/>
      <c r="W2003" s="84"/>
      <c r="X2003" s="84"/>
      <c r="Y2003" s="84"/>
      <c r="Z2003" s="87"/>
      <c r="AA2003" s="87"/>
      <c r="AB2003" s="87"/>
      <c r="AC2003" s="87"/>
      <c r="AD2003" s="87"/>
      <c r="AE2003" s="87"/>
      <c r="AF2003" s="87"/>
      <c r="AG2003" s="87"/>
      <c r="AH2003" s="87"/>
      <c r="AI2003" s="87"/>
      <c r="AJ2003" s="87"/>
      <c r="AK2003" s="87"/>
      <c r="AL2003" s="87"/>
      <c r="AM2003" s="87"/>
      <c r="AN2003" s="87"/>
      <c r="AO2003" s="87"/>
      <c r="AP2003" s="87"/>
      <c r="AQ2003" s="87"/>
      <c r="AR2003" s="87"/>
      <c r="AS2003" s="87"/>
      <c r="AT2003" s="87"/>
      <c r="AU2003" s="87"/>
      <c r="AV2003" s="87"/>
      <c r="AW2003" s="87"/>
      <c r="AX2003" s="87"/>
      <c r="AY2003" s="87"/>
      <c r="AZ2003" s="87"/>
      <c r="BA2003" s="87"/>
      <c r="BB2003" s="87"/>
      <c r="BC2003" s="87"/>
      <c r="BD2003" s="87"/>
      <c r="BE2003" s="87"/>
      <c r="BF2003" s="87"/>
      <c r="BG2003" s="87"/>
      <c r="BH2003" s="87"/>
    </row>
    <row r="2004" spans="1:60" ht="16">
      <c r="A2004" s="82"/>
      <c r="B2004" s="82"/>
      <c r="C2004" s="82"/>
      <c r="D2004" s="83"/>
      <c r="E2004" s="84"/>
      <c r="F2004" s="84"/>
      <c r="G2004" s="84"/>
      <c r="H2004" s="82"/>
      <c r="I2004" s="84"/>
      <c r="J2004" s="84"/>
      <c r="K2004" s="84"/>
      <c r="L2004" s="84"/>
      <c r="M2004" s="84"/>
      <c r="N2004" s="84"/>
      <c r="O2004" s="84"/>
      <c r="P2004" s="84"/>
      <c r="Q2004" s="84"/>
      <c r="R2004" s="84"/>
      <c r="S2004" s="84"/>
      <c r="T2004" s="84"/>
      <c r="U2004" s="84"/>
      <c r="V2004" s="84"/>
      <c r="W2004" s="84"/>
      <c r="X2004" s="84"/>
      <c r="Y2004" s="84"/>
      <c r="Z2004" s="87"/>
      <c r="AA2004" s="87"/>
      <c r="AB2004" s="87"/>
      <c r="AC2004" s="87"/>
      <c r="AD2004" s="87"/>
      <c r="AE2004" s="87"/>
      <c r="AF2004" s="87"/>
      <c r="AG2004" s="87"/>
      <c r="AH2004" s="87"/>
      <c r="AI2004" s="87"/>
      <c r="AJ2004" s="87"/>
      <c r="AK2004" s="87"/>
      <c r="AL2004" s="87"/>
      <c r="AM2004" s="87"/>
      <c r="AN2004" s="87"/>
      <c r="AO2004" s="87"/>
      <c r="AP2004" s="87"/>
      <c r="AQ2004" s="87"/>
      <c r="AR2004" s="87"/>
      <c r="AS2004" s="87"/>
      <c r="AT2004" s="87"/>
      <c r="AU2004" s="87"/>
      <c r="AV2004" s="87"/>
      <c r="AW2004" s="87"/>
      <c r="AX2004" s="87"/>
      <c r="AY2004" s="87"/>
      <c r="AZ2004" s="87"/>
      <c r="BA2004" s="87"/>
      <c r="BB2004" s="87"/>
      <c r="BC2004" s="87"/>
      <c r="BD2004" s="87"/>
      <c r="BE2004" s="87"/>
      <c r="BF2004" s="87"/>
      <c r="BG2004" s="87"/>
      <c r="BH2004" s="87"/>
    </row>
    <row r="2005" spans="1:60" ht="16">
      <c r="A2005" s="82"/>
      <c r="B2005" s="82"/>
      <c r="C2005" s="82"/>
      <c r="D2005" s="83"/>
      <c r="E2005" s="84"/>
      <c r="F2005" s="84"/>
      <c r="G2005" s="84"/>
      <c r="H2005" s="82"/>
      <c r="I2005" s="84"/>
      <c r="J2005" s="84"/>
      <c r="K2005" s="84"/>
      <c r="L2005" s="84"/>
      <c r="M2005" s="84"/>
      <c r="N2005" s="84"/>
      <c r="O2005" s="84"/>
      <c r="P2005" s="84"/>
      <c r="Q2005" s="84"/>
      <c r="R2005" s="84"/>
      <c r="S2005" s="84"/>
      <c r="T2005" s="84"/>
      <c r="U2005" s="84"/>
      <c r="V2005" s="84"/>
      <c r="W2005" s="84"/>
      <c r="X2005" s="84"/>
      <c r="Y2005" s="84"/>
      <c r="Z2005" s="87"/>
      <c r="AA2005" s="87"/>
      <c r="AB2005" s="87"/>
      <c r="AC2005" s="87"/>
      <c r="AD2005" s="87"/>
      <c r="AE2005" s="87"/>
      <c r="AF2005" s="87"/>
      <c r="AG2005" s="87"/>
      <c r="AH2005" s="87"/>
      <c r="AI2005" s="87"/>
      <c r="AJ2005" s="87"/>
      <c r="AK2005" s="87"/>
      <c r="AL2005" s="87"/>
      <c r="AM2005" s="87"/>
      <c r="AN2005" s="87"/>
      <c r="AO2005" s="87"/>
      <c r="AP2005" s="87"/>
      <c r="AQ2005" s="87"/>
      <c r="AR2005" s="87"/>
      <c r="AS2005" s="87"/>
      <c r="AT2005" s="87"/>
      <c r="AU2005" s="87"/>
      <c r="AV2005" s="87"/>
      <c r="AW2005" s="87"/>
      <c r="AX2005" s="87"/>
      <c r="AY2005" s="87"/>
      <c r="AZ2005" s="87"/>
      <c r="BA2005" s="87"/>
      <c r="BB2005" s="87"/>
      <c r="BC2005" s="87"/>
      <c r="BD2005" s="87"/>
      <c r="BE2005" s="87"/>
      <c r="BF2005" s="87"/>
      <c r="BG2005" s="87"/>
      <c r="BH2005" s="87"/>
    </row>
    <row r="2006" spans="1:60" ht="16">
      <c r="A2006" s="82"/>
      <c r="B2006" s="82"/>
      <c r="C2006" s="82"/>
      <c r="D2006" s="83"/>
      <c r="E2006" s="84"/>
      <c r="F2006" s="84"/>
      <c r="G2006" s="84"/>
      <c r="H2006" s="82"/>
      <c r="I2006" s="84"/>
      <c r="J2006" s="84"/>
      <c r="K2006" s="84"/>
      <c r="L2006" s="84"/>
      <c r="M2006" s="84"/>
      <c r="N2006" s="84"/>
      <c r="O2006" s="84"/>
      <c r="P2006" s="84"/>
      <c r="Q2006" s="84"/>
      <c r="R2006" s="84"/>
      <c r="S2006" s="84"/>
      <c r="T2006" s="84"/>
      <c r="U2006" s="84"/>
      <c r="V2006" s="84"/>
      <c r="W2006" s="84"/>
      <c r="X2006" s="84"/>
      <c r="Y2006" s="84"/>
      <c r="Z2006" s="87"/>
      <c r="AA2006" s="87"/>
      <c r="AB2006" s="87"/>
      <c r="AC2006" s="87"/>
      <c r="AD2006" s="87"/>
      <c r="AE2006" s="87"/>
      <c r="AF2006" s="87"/>
      <c r="AG2006" s="87"/>
      <c r="AH2006" s="87"/>
      <c r="AI2006" s="87"/>
      <c r="AJ2006" s="87"/>
      <c r="AK2006" s="87"/>
      <c r="AL2006" s="87"/>
      <c r="AM2006" s="87"/>
      <c r="AN2006" s="87"/>
      <c r="AO2006" s="87"/>
      <c r="AP2006" s="87"/>
      <c r="AQ2006" s="87"/>
      <c r="AR2006" s="87"/>
      <c r="AS2006" s="87"/>
      <c r="AT2006" s="87"/>
      <c r="AU2006" s="87"/>
      <c r="AV2006" s="87"/>
      <c r="AW2006" s="87"/>
      <c r="AX2006" s="87"/>
      <c r="AY2006" s="87"/>
      <c r="AZ2006" s="87"/>
      <c r="BA2006" s="87"/>
      <c r="BB2006" s="87"/>
      <c r="BC2006" s="87"/>
      <c r="BD2006" s="87"/>
      <c r="BE2006" s="87"/>
      <c r="BF2006" s="87"/>
      <c r="BG2006" s="87"/>
      <c r="BH2006" s="87"/>
    </row>
    <row r="2007" spans="1:60" ht="16">
      <c r="A2007" s="82"/>
      <c r="B2007" s="82"/>
      <c r="C2007" s="82"/>
      <c r="D2007" s="83"/>
      <c r="E2007" s="84"/>
      <c r="F2007" s="84"/>
      <c r="G2007" s="84"/>
      <c r="H2007" s="82"/>
      <c r="I2007" s="84"/>
      <c r="J2007" s="84"/>
      <c r="K2007" s="84"/>
      <c r="L2007" s="84"/>
      <c r="M2007" s="84"/>
      <c r="N2007" s="84"/>
      <c r="O2007" s="84"/>
      <c r="P2007" s="84"/>
      <c r="Q2007" s="84"/>
      <c r="R2007" s="84"/>
      <c r="S2007" s="84"/>
      <c r="T2007" s="84"/>
      <c r="U2007" s="84"/>
      <c r="V2007" s="84"/>
      <c r="W2007" s="84"/>
      <c r="X2007" s="84"/>
      <c r="Y2007" s="84"/>
      <c r="Z2007" s="87"/>
      <c r="AA2007" s="87"/>
      <c r="AB2007" s="87"/>
      <c r="AC2007" s="87"/>
      <c r="AD2007" s="87"/>
      <c r="AE2007" s="87"/>
      <c r="AF2007" s="87"/>
      <c r="AG2007" s="87"/>
      <c r="AH2007" s="87"/>
      <c r="AI2007" s="87"/>
      <c r="AJ2007" s="87"/>
      <c r="AK2007" s="87"/>
      <c r="AL2007" s="87"/>
      <c r="AM2007" s="87"/>
      <c r="AN2007" s="87"/>
      <c r="AO2007" s="87"/>
      <c r="AP2007" s="87"/>
      <c r="AQ2007" s="87"/>
      <c r="AR2007" s="87"/>
      <c r="AS2007" s="87"/>
      <c r="AT2007" s="87"/>
      <c r="AU2007" s="87"/>
      <c r="AV2007" s="87"/>
      <c r="AW2007" s="87"/>
      <c r="AX2007" s="87"/>
      <c r="AY2007" s="87"/>
      <c r="AZ2007" s="87"/>
      <c r="BA2007" s="87"/>
      <c r="BB2007" s="87"/>
      <c r="BC2007" s="87"/>
      <c r="BD2007" s="87"/>
      <c r="BE2007" s="87"/>
      <c r="BF2007" s="87"/>
      <c r="BG2007" s="87"/>
      <c r="BH2007" s="87"/>
    </row>
    <row r="2008" spans="1:60" ht="16">
      <c r="A2008" s="82"/>
      <c r="B2008" s="82"/>
      <c r="C2008" s="82"/>
      <c r="D2008" s="83"/>
      <c r="E2008" s="84"/>
      <c r="F2008" s="84"/>
      <c r="G2008" s="84"/>
      <c r="H2008" s="82"/>
      <c r="I2008" s="84"/>
      <c r="J2008" s="84"/>
      <c r="K2008" s="84"/>
      <c r="L2008" s="84"/>
      <c r="M2008" s="84"/>
      <c r="N2008" s="84"/>
      <c r="O2008" s="84"/>
      <c r="P2008" s="84"/>
      <c r="Q2008" s="84"/>
      <c r="R2008" s="84"/>
      <c r="S2008" s="84"/>
      <c r="T2008" s="84"/>
      <c r="U2008" s="84"/>
      <c r="V2008" s="84"/>
      <c r="W2008" s="84"/>
      <c r="X2008" s="84"/>
      <c r="Y2008" s="84"/>
      <c r="Z2008" s="87"/>
      <c r="AA2008" s="87"/>
      <c r="AB2008" s="87"/>
      <c r="AC2008" s="87"/>
      <c r="AD2008" s="87"/>
      <c r="AE2008" s="87"/>
      <c r="AF2008" s="87"/>
      <c r="AG2008" s="87"/>
      <c r="AH2008" s="87"/>
      <c r="AI2008" s="87"/>
      <c r="AJ2008" s="87"/>
      <c r="AK2008" s="87"/>
      <c r="AL2008" s="87"/>
      <c r="AM2008" s="87"/>
      <c r="AN2008" s="87"/>
      <c r="AO2008" s="87"/>
      <c r="AP2008" s="87"/>
      <c r="AQ2008" s="87"/>
      <c r="AR2008" s="87"/>
      <c r="AS2008" s="87"/>
      <c r="AT2008" s="87"/>
      <c r="AU2008" s="87"/>
      <c r="AV2008" s="87"/>
      <c r="AW2008" s="87"/>
      <c r="AX2008" s="87"/>
      <c r="AY2008" s="87"/>
      <c r="AZ2008" s="87"/>
      <c r="BA2008" s="87"/>
      <c r="BB2008" s="87"/>
      <c r="BC2008" s="87"/>
      <c r="BD2008" s="87"/>
      <c r="BE2008" s="87"/>
      <c r="BF2008" s="87"/>
      <c r="BG2008" s="87"/>
      <c r="BH2008" s="87"/>
    </row>
    <row r="2009" spans="1:60" ht="16">
      <c r="A2009" s="82"/>
      <c r="B2009" s="82"/>
      <c r="C2009" s="82"/>
      <c r="D2009" s="83"/>
      <c r="E2009" s="84"/>
      <c r="F2009" s="84"/>
      <c r="G2009" s="84"/>
      <c r="H2009" s="82"/>
      <c r="I2009" s="84"/>
      <c r="J2009" s="84"/>
      <c r="K2009" s="84"/>
      <c r="L2009" s="84"/>
      <c r="M2009" s="84"/>
      <c r="N2009" s="84"/>
      <c r="O2009" s="84"/>
      <c r="P2009" s="84"/>
      <c r="Q2009" s="84"/>
      <c r="R2009" s="84"/>
      <c r="S2009" s="84"/>
      <c r="T2009" s="84"/>
      <c r="U2009" s="84"/>
      <c r="V2009" s="84"/>
      <c r="W2009" s="84"/>
      <c r="X2009" s="84"/>
      <c r="Y2009" s="84"/>
      <c r="Z2009" s="87"/>
      <c r="AA2009" s="87"/>
      <c r="AB2009" s="87"/>
      <c r="AC2009" s="87"/>
      <c r="AD2009" s="87"/>
      <c r="AE2009" s="87"/>
      <c r="AF2009" s="87"/>
      <c r="AG2009" s="87"/>
      <c r="AH2009" s="87"/>
      <c r="AI2009" s="87"/>
      <c r="AJ2009" s="87"/>
      <c r="AK2009" s="87"/>
      <c r="AL2009" s="87"/>
      <c r="AM2009" s="87"/>
      <c r="AN2009" s="87"/>
      <c r="AO2009" s="87"/>
      <c r="AP2009" s="87"/>
      <c r="AQ2009" s="87"/>
      <c r="AR2009" s="87"/>
      <c r="AS2009" s="87"/>
      <c r="AT2009" s="87"/>
      <c r="AU2009" s="87"/>
      <c r="AV2009" s="87"/>
      <c r="AW2009" s="87"/>
      <c r="AX2009" s="87"/>
      <c r="AY2009" s="87"/>
      <c r="AZ2009" s="87"/>
      <c r="BA2009" s="87"/>
      <c r="BB2009" s="87"/>
      <c r="BC2009" s="87"/>
      <c r="BD2009" s="87"/>
      <c r="BE2009" s="87"/>
      <c r="BF2009" s="87"/>
      <c r="BG2009" s="87"/>
      <c r="BH2009" s="87"/>
    </row>
    <row r="2010" spans="1:60" ht="16">
      <c r="A2010" s="82"/>
      <c r="B2010" s="82"/>
      <c r="C2010" s="82"/>
      <c r="D2010" s="83"/>
      <c r="E2010" s="84"/>
      <c r="F2010" s="84"/>
      <c r="G2010" s="84"/>
      <c r="H2010" s="82"/>
      <c r="I2010" s="84"/>
      <c r="J2010" s="84"/>
      <c r="K2010" s="84"/>
      <c r="L2010" s="84"/>
      <c r="M2010" s="84"/>
      <c r="N2010" s="84"/>
      <c r="O2010" s="84"/>
      <c r="P2010" s="84"/>
      <c r="Q2010" s="84"/>
      <c r="R2010" s="84"/>
      <c r="S2010" s="84"/>
      <c r="T2010" s="84"/>
      <c r="U2010" s="84"/>
      <c r="V2010" s="84"/>
      <c r="W2010" s="84"/>
      <c r="X2010" s="84"/>
      <c r="Y2010" s="84"/>
      <c r="Z2010" s="87"/>
      <c r="AA2010" s="87"/>
      <c r="AB2010" s="87"/>
      <c r="AC2010" s="87"/>
      <c r="AD2010" s="87"/>
      <c r="AE2010" s="87"/>
      <c r="AF2010" s="87"/>
      <c r="AG2010" s="87"/>
      <c r="AH2010" s="87"/>
      <c r="AI2010" s="87"/>
      <c r="AJ2010" s="87"/>
      <c r="AK2010" s="87"/>
      <c r="AL2010" s="87"/>
      <c r="AM2010" s="87"/>
      <c r="AN2010" s="87"/>
      <c r="AO2010" s="87"/>
      <c r="AP2010" s="87"/>
      <c r="AQ2010" s="87"/>
      <c r="AR2010" s="87"/>
      <c r="AS2010" s="87"/>
      <c r="AT2010" s="87"/>
      <c r="AU2010" s="87"/>
      <c r="AV2010" s="87"/>
      <c r="AW2010" s="87"/>
      <c r="AX2010" s="87"/>
      <c r="AY2010" s="87"/>
      <c r="AZ2010" s="87"/>
      <c r="BA2010" s="87"/>
      <c r="BB2010" s="87"/>
      <c r="BC2010" s="87"/>
      <c r="BD2010" s="87"/>
      <c r="BE2010" s="87"/>
      <c r="BF2010" s="87"/>
      <c r="BG2010" s="87"/>
      <c r="BH2010" s="87"/>
    </row>
    <row r="2011" spans="1:60" ht="16">
      <c r="A2011" s="82"/>
      <c r="B2011" s="82"/>
      <c r="C2011" s="82"/>
      <c r="D2011" s="83"/>
      <c r="E2011" s="84"/>
      <c r="F2011" s="84"/>
      <c r="G2011" s="84"/>
      <c r="H2011" s="82"/>
      <c r="I2011" s="84"/>
      <c r="J2011" s="84"/>
      <c r="K2011" s="84"/>
      <c r="L2011" s="84"/>
      <c r="M2011" s="84"/>
      <c r="N2011" s="84"/>
      <c r="O2011" s="84"/>
      <c r="P2011" s="84"/>
      <c r="Q2011" s="84"/>
      <c r="R2011" s="84"/>
      <c r="S2011" s="84"/>
      <c r="T2011" s="84"/>
      <c r="U2011" s="84"/>
      <c r="V2011" s="84"/>
      <c r="W2011" s="84"/>
      <c r="X2011" s="84"/>
      <c r="Y2011" s="84"/>
      <c r="Z2011" s="87"/>
      <c r="AA2011" s="87"/>
      <c r="AB2011" s="87"/>
      <c r="AC2011" s="87"/>
      <c r="AD2011" s="87"/>
      <c r="AE2011" s="87"/>
      <c r="AF2011" s="87"/>
      <c r="AG2011" s="87"/>
      <c r="AH2011" s="87"/>
      <c r="AI2011" s="87"/>
      <c r="AJ2011" s="87"/>
      <c r="AK2011" s="87"/>
      <c r="AL2011" s="87"/>
      <c r="AM2011" s="87"/>
      <c r="AN2011" s="87"/>
      <c r="AO2011" s="87"/>
      <c r="AP2011" s="87"/>
      <c r="AQ2011" s="87"/>
      <c r="AR2011" s="87"/>
      <c r="AS2011" s="87"/>
      <c r="AT2011" s="87"/>
      <c r="AU2011" s="87"/>
      <c r="AV2011" s="87"/>
      <c r="AW2011" s="87"/>
      <c r="AX2011" s="87"/>
      <c r="AY2011" s="87"/>
      <c r="AZ2011" s="87"/>
      <c r="BA2011" s="87"/>
      <c r="BB2011" s="87"/>
      <c r="BC2011" s="87"/>
      <c r="BD2011" s="87"/>
      <c r="BE2011" s="87"/>
      <c r="BF2011" s="87"/>
      <c r="BG2011" s="87"/>
      <c r="BH2011" s="87"/>
    </row>
    <row r="2012" spans="1:60" ht="16">
      <c r="A2012" s="82"/>
      <c r="B2012" s="82"/>
      <c r="C2012" s="82"/>
      <c r="D2012" s="83"/>
      <c r="E2012" s="84"/>
      <c r="F2012" s="84"/>
      <c r="G2012" s="84"/>
      <c r="H2012" s="82"/>
      <c r="I2012" s="84"/>
      <c r="J2012" s="84"/>
      <c r="K2012" s="84"/>
      <c r="L2012" s="84"/>
      <c r="M2012" s="84"/>
      <c r="N2012" s="84"/>
      <c r="O2012" s="84"/>
      <c r="P2012" s="84"/>
      <c r="Q2012" s="84"/>
      <c r="R2012" s="84"/>
      <c r="S2012" s="84"/>
      <c r="T2012" s="84"/>
      <c r="U2012" s="84"/>
      <c r="V2012" s="84"/>
      <c r="W2012" s="84"/>
      <c r="X2012" s="84"/>
      <c r="Y2012" s="84"/>
      <c r="Z2012" s="87"/>
      <c r="AA2012" s="87"/>
      <c r="AB2012" s="87"/>
      <c r="AC2012" s="87"/>
      <c r="AD2012" s="87"/>
      <c r="AE2012" s="87"/>
      <c r="AF2012" s="87"/>
      <c r="AG2012" s="87"/>
      <c r="AH2012" s="87"/>
      <c r="AI2012" s="87"/>
      <c r="AJ2012" s="87"/>
      <c r="AK2012" s="87"/>
      <c r="AL2012" s="87"/>
      <c r="AM2012" s="87"/>
      <c r="AN2012" s="87"/>
      <c r="AO2012" s="87"/>
      <c r="AP2012" s="87"/>
      <c r="AQ2012" s="87"/>
      <c r="AR2012" s="87"/>
      <c r="AS2012" s="87"/>
      <c r="AT2012" s="87"/>
      <c r="AU2012" s="87"/>
      <c r="AV2012" s="87"/>
      <c r="AW2012" s="87"/>
      <c r="AX2012" s="87"/>
      <c r="AY2012" s="87"/>
      <c r="AZ2012" s="87"/>
      <c r="BA2012" s="87"/>
      <c r="BB2012" s="87"/>
      <c r="BC2012" s="87"/>
      <c r="BD2012" s="87"/>
      <c r="BE2012" s="87"/>
      <c r="BF2012" s="87"/>
      <c r="BG2012" s="87"/>
      <c r="BH2012" s="87"/>
    </row>
    <row r="2013" spans="1:60" ht="16">
      <c r="A2013" s="82"/>
      <c r="B2013" s="82"/>
      <c r="C2013" s="82"/>
      <c r="D2013" s="83"/>
      <c r="E2013" s="84"/>
      <c r="F2013" s="84"/>
      <c r="G2013" s="84"/>
      <c r="H2013" s="82"/>
      <c r="I2013" s="84"/>
      <c r="J2013" s="84"/>
      <c r="K2013" s="84"/>
      <c r="L2013" s="84"/>
      <c r="M2013" s="84"/>
      <c r="N2013" s="84"/>
      <c r="O2013" s="84"/>
      <c r="P2013" s="84"/>
      <c r="Q2013" s="84"/>
      <c r="R2013" s="84"/>
      <c r="S2013" s="84"/>
      <c r="T2013" s="84"/>
      <c r="U2013" s="84"/>
      <c r="V2013" s="84"/>
      <c r="W2013" s="84"/>
      <c r="X2013" s="84"/>
      <c r="Y2013" s="84"/>
      <c r="Z2013" s="87"/>
      <c r="AA2013" s="87"/>
      <c r="AB2013" s="87"/>
      <c r="AC2013" s="87"/>
      <c r="AD2013" s="87"/>
      <c r="AE2013" s="87"/>
      <c r="AF2013" s="87"/>
      <c r="AG2013" s="87"/>
      <c r="AH2013" s="87"/>
      <c r="AI2013" s="87"/>
      <c r="AJ2013" s="87"/>
      <c r="AK2013" s="87"/>
      <c r="AL2013" s="87"/>
      <c r="AM2013" s="87"/>
      <c r="AN2013" s="87"/>
      <c r="AO2013" s="87"/>
      <c r="AP2013" s="87"/>
      <c r="AQ2013" s="87"/>
      <c r="AR2013" s="87"/>
      <c r="AS2013" s="87"/>
      <c r="AT2013" s="87"/>
      <c r="AU2013" s="87"/>
      <c r="AV2013" s="87"/>
      <c r="AW2013" s="87"/>
      <c r="AX2013" s="87"/>
      <c r="AY2013" s="87"/>
      <c r="AZ2013" s="87"/>
      <c r="BA2013" s="87"/>
      <c r="BB2013" s="87"/>
      <c r="BC2013" s="87"/>
      <c r="BD2013" s="87"/>
      <c r="BE2013" s="87"/>
      <c r="BF2013" s="87"/>
      <c r="BG2013" s="87"/>
      <c r="BH2013" s="87"/>
    </row>
    <row r="2014" spans="1:60" ht="16">
      <c r="A2014" s="82"/>
      <c r="B2014" s="82"/>
      <c r="C2014" s="82"/>
      <c r="D2014" s="83"/>
      <c r="E2014" s="84"/>
      <c r="F2014" s="84"/>
      <c r="G2014" s="84"/>
      <c r="H2014" s="82"/>
      <c r="I2014" s="84"/>
      <c r="J2014" s="84"/>
      <c r="K2014" s="84"/>
      <c r="L2014" s="84"/>
      <c r="M2014" s="84"/>
      <c r="N2014" s="84"/>
      <c r="O2014" s="84"/>
      <c r="P2014" s="84"/>
      <c r="Q2014" s="84"/>
      <c r="R2014" s="84"/>
      <c r="S2014" s="84"/>
      <c r="T2014" s="84"/>
      <c r="U2014" s="84"/>
      <c r="V2014" s="84"/>
      <c r="W2014" s="84"/>
      <c r="X2014" s="84"/>
      <c r="Y2014" s="84"/>
      <c r="Z2014" s="87"/>
      <c r="AA2014" s="87"/>
      <c r="AB2014" s="87"/>
      <c r="AC2014" s="87"/>
      <c r="AD2014" s="87"/>
      <c r="AE2014" s="87"/>
      <c r="AF2014" s="87"/>
      <c r="AG2014" s="87"/>
      <c r="AH2014" s="87"/>
      <c r="AI2014" s="87"/>
      <c r="AJ2014" s="87"/>
      <c r="AK2014" s="87"/>
      <c r="AL2014" s="87"/>
      <c r="AM2014" s="87"/>
      <c r="AN2014" s="87"/>
      <c r="AO2014" s="87"/>
      <c r="AP2014" s="87"/>
      <c r="AQ2014" s="87"/>
      <c r="AR2014" s="87"/>
      <c r="AS2014" s="87"/>
      <c r="AT2014" s="87"/>
      <c r="AU2014" s="87"/>
      <c r="AV2014" s="87"/>
      <c r="AW2014" s="87"/>
      <c r="AX2014" s="87"/>
      <c r="AY2014" s="87"/>
      <c r="AZ2014" s="87"/>
      <c r="BA2014" s="87"/>
      <c r="BB2014" s="87"/>
      <c r="BC2014" s="87"/>
      <c r="BD2014" s="87"/>
      <c r="BE2014" s="87"/>
      <c r="BF2014" s="87"/>
      <c r="BG2014" s="87"/>
      <c r="BH2014" s="87"/>
    </row>
    <row r="2015" spans="1:60" ht="16">
      <c r="A2015" s="82"/>
      <c r="B2015" s="82"/>
      <c r="C2015" s="82"/>
      <c r="D2015" s="83"/>
      <c r="E2015" s="84"/>
      <c r="F2015" s="84"/>
      <c r="G2015" s="84"/>
      <c r="H2015" s="82"/>
      <c r="I2015" s="84"/>
      <c r="J2015" s="84"/>
      <c r="K2015" s="84"/>
      <c r="L2015" s="84"/>
      <c r="M2015" s="84"/>
      <c r="N2015" s="84"/>
      <c r="O2015" s="84"/>
      <c r="P2015" s="84"/>
      <c r="Q2015" s="84"/>
      <c r="R2015" s="84"/>
      <c r="S2015" s="84"/>
      <c r="T2015" s="84"/>
      <c r="U2015" s="84"/>
      <c r="V2015" s="84"/>
      <c r="W2015" s="84"/>
      <c r="X2015" s="84"/>
      <c r="Y2015" s="84"/>
      <c r="Z2015" s="87"/>
      <c r="AA2015" s="87"/>
      <c r="AB2015" s="87"/>
      <c r="AC2015" s="87"/>
      <c r="AD2015" s="87"/>
      <c r="AE2015" s="87"/>
      <c r="AF2015" s="87"/>
      <c r="AG2015" s="87"/>
      <c r="AH2015" s="87"/>
      <c r="AI2015" s="87"/>
      <c r="AJ2015" s="87"/>
      <c r="AK2015" s="87"/>
      <c r="AL2015" s="87"/>
      <c r="AM2015" s="87"/>
      <c r="AN2015" s="87"/>
      <c r="AO2015" s="87"/>
      <c r="AP2015" s="87"/>
      <c r="AQ2015" s="87"/>
      <c r="AR2015" s="87"/>
      <c r="AS2015" s="87"/>
      <c r="AT2015" s="87"/>
      <c r="AU2015" s="87"/>
      <c r="AV2015" s="87"/>
      <c r="AW2015" s="87"/>
      <c r="AX2015" s="87"/>
      <c r="AY2015" s="87"/>
      <c r="AZ2015" s="87"/>
      <c r="BA2015" s="87"/>
      <c r="BB2015" s="87"/>
      <c r="BC2015" s="87"/>
      <c r="BD2015" s="87"/>
      <c r="BE2015" s="87"/>
      <c r="BF2015" s="87"/>
      <c r="BG2015" s="87"/>
      <c r="BH2015" s="87"/>
    </row>
    <row r="2016" spans="1:60" ht="16">
      <c r="A2016" s="82"/>
      <c r="B2016" s="82"/>
      <c r="C2016" s="82"/>
      <c r="D2016" s="83"/>
      <c r="E2016" s="84"/>
      <c r="F2016" s="84"/>
      <c r="G2016" s="84"/>
      <c r="H2016" s="82"/>
      <c r="I2016" s="84"/>
      <c r="J2016" s="84"/>
      <c r="K2016" s="84"/>
      <c r="L2016" s="84"/>
      <c r="M2016" s="84"/>
      <c r="N2016" s="84"/>
      <c r="O2016" s="84"/>
      <c r="P2016" s="84"/>
      <c r="Q2016" s="84"/>
      <c r="R2016" s="84"/>
      <c r="S2016" s="84"/>
      <c r="T2016" s="84"/>
      <c r="U2016" s="84"/>
      <c r="V2016" s="84"/>
      <c r="W2016" s="84"/>
      <c r="X2016" s="84"/>
      <c r="Y2016" s="84"/>
      <c r="Z2016" s="87"/>
      <c r="AA2016" s="87"/>
      <c r="AB2016" s="87"/>
      <c r="AC2016" s="87"/>
      <c r="AD2016" s="87"/>
      <c r="AE2016" s="87"/>
      <c r="AF2016" s="87"/>
      <c r="AG2016" s="87"/>
      <c r="AH2016" s="87"/>
      <c r="AI2016" s="87"/>
      <c r="AJ2016" s="87"/>
      <c r="AK2016" s="87"/>
      <c r="AL2016" s="87"/>
      <c r="AM2016" s="87"/>
      <c r="AN2016" s="87"/>
      <c r="AO2016" s="87"/>
      <c r="AP2016" s="87"/>
      <c r="AQ2016" s="87"/>
      <c r="AR2016" s="87"/>
      <c r="AS2016" s="87"/>
      <c r="AT2016" s="87"/>
      <c r="AU2016" s="87"/>
      <c r="AV2016" s="87"/>
      <c r="AW2016" s="87"/>
      <c r="AX2016" s="87"/>
      <c r="AY2016" s="87"/>
      <c r="AZ2016" s="87"/>
      <c r="BA2016" s="87"/>
      <c r="BB2016" s="87"/>
      <c r="BC2016" s="87"/>
      <c r="BD2016" s="87"/>
      <c r="BE2016" s="87"/>
      <c r="BF2016" s="87"/>
      <c r="BG2016" s="87"/>
      <c r="BH2016" s="87"/>
    </row>
  </sheetData>
  <autoFilter ref="B1:B2016" xr:uid="{00000000-0009-0000-0000-000005000000}"/>
  <mergeCells count="30">
    <mergeCell ref="O56:Q56"/>
    <mergeCell ref="P66:R66"/>
    <mergeCell ref="Q131:S131"/>
    <mergeCell ref="O57:Q57"/>
    <mergeCell ref="O58:Q58"/>
    <mergeCell ref="P59:R59"/>
    <mergeCell ref="O60:Q60"/>
    <mergeCell ref="O61:Q61"/>
    <mergeCell ref="O62:Q62"/>
    <mergeCell ref="O64:Q64"/>
    <mergeCell ref="Q49:T49"/>
    <mergeCell ref="O50:P50"/>
    <mergeCell ref="Q53:S53"/>
    <mergeCell ref="O54:Q54"/>
    <mergeCell ref="O55:Q55"/>
    <mergeCell ref="O44:Q44"/>
    <mergeCell ref="V45:X45"/>
    <mergeCell ref="O46:Q46"/>
    <mergeCell ref="Q47:S47"/>
    <mergeCell ref="Q48:R48"/>
    <mergeCell ref="O39:P39"/>
    <mergeCell ref="P40:R40"/>
    <mergeCell ref="O41:P41"/>
    <mergeCell ref="O42:Q42"/>
    <mergeCell ref="P43:R43"/>
    <mergeCell ref="P4:R4"/>
    <mergeCell ref="O35:Q35"/>
    <mergeCell ref="P36:R36"/>
    <mergeCell ref="P37:R37"/>
    <mergeCell ref="Q38:S38"/>
  </mergeCells>
  <conditionalFormatting sqref="O116:O117 O122:P122">
    <cfRule type="cellIs" dxfId="3" priority="1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2003"/>
  <sheetViews>
    <sheetView workbookViewId="0"/>
  </sheetViews>
  <sheetFormatPr baseColWidth="10" defaultColWidth="12.6640625" defaultRowHeight="15" customHeight="1"/>
  <cols>
    <col min="2" max="2" width="22.6640625" customWidth="1"/>
    <col min="3" max="3" width="15.6640625" customWidth="1"/>
    <col min="4" max="4" width="8.6640625" customWidth="1"/>
    <col min="5" max="5" width="18.83203125" customWidth="1"/>
    <col min="6" max="6" width="24" customWidth="1"/>
  </cols>
  <sheetData>
    <row r="1" spans="1:10">
      <c r="A1" s="153" t="s">
        <v>2823</v>
      </c>
      <c r="B1" s="154" t="s">
        <v>2825</v>
      </c>
      <c r="C1" s="153" t="s">
        <v>3059</v>
      </c>
      <c r="D1" s="154" t="s">
        <v>3060</v>
      </c>
      <c r="E1" s="155" t="s">
        <v>3061</v>
      </c>
      <c r="F1" s="156" t="s">
        <v>3062</v>
      </c>
      <c r="G1" s="154" t="s">
        <v>3063</v>
      </c>
      <c r="H1" s="154" t="s">
        <v>3064</v>
      </c>
      <c r="J1" s="1"/>
    </row>
    <row r="2" spans="1:10" ht="16">
      <c r="A2" s="1">
        <v>1</v>
      </c>
      <c r="B2" s="157" t="s">
        <v>3065</v>
      </c>
      <c r="C2" s="158" t="s">
        <v>3066</v>
      </c>
      <c r="D2" s="159"/>
      <c r="E2" s="160" t="s">
        <v>3067</v>
      </c>
      <c r="F2" s="161" t="s">
        <v>3068</v>
      </c>
      <c r="G2" s="1">
        <v>2</v>
      </c>
      <c r="H2" s="1">
        <v>600</v>
      </c>
      <c r="I2" s="1" t="s">
        <v>3069</v>
      </c>
    </row>
    <row r="3" spans="1:10" ht="16">
      <c r="A3" s="1">
        <v>1</v>
      </c>
      <c r="B3" s="157" t="s">
        <v>3065</v>
      </c>
      <c r="C3" s="158" t="s">
        <v>3066</v>
      </c>
      <c r="D3" s="159"/>
      <c r="E3" s="160" t="s">
        <v>3067</v>
      </c>
      <c r="F3" s="161" t="s">
        <v>3070</v>
      </c>
      <c r="G3" s="1">
        <v>2</v>
      </c>
      <c r="H3" s="1">
        <v>600</v>
      </c>
      <c r="I3" s="1" t="s">
        <v>3069</v>
      </c>
    </row>
    <row r="4" spans="1:10" ht="12" customHeight="1">
      <c r="A4" s="1">
        <v>1</v>
      </c>
      <c r="B4" s="157" t="s">
        <v>3065</v>
      </c>
      <c r="C4" s="158" t="s">
        <v>3066</v>
      </c>
      <c r="D4" s="1"/>
      <c r="E4" s="160" t="s">
        <v>3067</v>
      </c>
      <c r="F4" s="161" t="s">
        <v>3071</v>
      </c>
      <c r="G4" s="1">
        <v>2</v>
      </c>
      <c r="H4" s="1">
        <v>600</v>
      </c>
      <c r="I4" s="1" t="s">
        <v>3069</v>
      </c>
    </row>
    <row r="5" spans="1:10" ht="16">
      <c r="A5" s="1">
        <v>1</v>
      </c>
      <c r="B5" s="157" t="s">
        <v>3065</v>
      </c>
      <c r="C5" s="158" t="s">
        <v>3066</v>
      </c>
      <c r="D5" s="1"/>
      <c r="E5" s="162" t="s">
        <v>3072</v>
      </c>
      <c r="F5" s="161" t="s">
        <v>3073</v>
      </c>
      <c r="G5" s="1">
        <v>2</v>
      </c>
      <c r="H5" s="1">
        <v>600</v>
      </c>
      <c r="I5" s="1" t="s">
        <v>3069</v>
      </c>
    </row>
    <row r="6" spans="1:10" ht="16">
      <c r="A6" s="1">
        <v>1</v>
      </c>
      <c r="B6" s="157" t="s">
        <v>3065</v>
      </c>
      <c r="C6" s="158" t="s">
        <v>3066</v>
      </c>
      <c r="D6" s="1"/>
      <c r="E6" s="162" t="s">
        <v>3074</v>
      </c>
      <c r="F6" s="161" t="s">
        <v>3075</v>
      </c>
      <c r="G6" s="1">
        <v>2</v>
      </c>
      <c r="H6" s="1">
        <v>600</v>
      </c>
      <c r="I6" s="1" t="s">
        <v>3069</v>
      </c>
    </row>
    <row r="7" spans="1:10" ht="16">
      <c r="A7" s="1">
        <v>1</v>
      </c>
      <c r="B7" s="157" t="s">
        <v>3065</v>
      </c>
      <c r="C7" s="158" t="s">
        <v>3066</v>
      </c>
      <c r="D7" s="1"/>
      <c r="E7" s="162" t="s">
        <v>3076</v>
      </c>
      <c r="F7" s="161" t="s">
        <v>3077</v>
      </c>
      <c r="G7" s="1">
        <v>2</v>
      </c>
      <c r="H7" s="1">
        <v>600</v>
      </c>
      <c r="I7" s="1" t="s">
        <v>3078</v>
      </c>
    </row>
    <row r="8" spans="1:10" ht="16">
      <c r="A8" s="1">
        <v>1</v>
      </c>
      <c r="B8" s="157" t="s">
        <v>3065</v>
      </c>
      <c r="C8" s="163" t="s">
        <v>3079</v>
      </c>
      <c r="D8" s="1"/>
      <c r="E8" s="162" t="s">
        <v>3080</v>
      </c>
      <c r="F8" s="161" t="s">
        <v>3081</v>
      </c>
      <c r="G8" s="1">
        <v>2</v>
      </c>
      <c r="H8" s="1">
        <v>600</v>
      </c>
      <c r="I8" s="1" t="s">
        <v>3082</v>
      </c>
    </row>
    <row r="9" spans="1:10" ht="16">
      <c r="A9" s="1">
        <v>1</v>
      </c>
      <c r="B9" s="157" t="s">
        <v>3065</v>
      </c>
      <c r="C9" s="158" t="s">
        <v>3079</v>
      </c>
      <c r="D9" s="157"/>
      <c r="E9" s="162" t="s">
        <v>3083</v>
      </c>
      <c r="F9" s="164" t="s">
        <v>3084</v>
      </c>
      <c r="G9" s="165">
        <v>2</v>
      </c>
      <c r="H9" s="1">
        <v>600</v>
      </c>
      <c r="I9" s="1" t="s">
        <v>3085</v>
      </c>
    </row>
    <row r="10" spans="1:10" ht="16">
      <c r="A10" s="1">
        <v>1</v>
      </c>
      <c r="B10" s="159"/>
      <c r="C10" s="158"/>
      <c r="D10" s="157"/>
      <c r="E10" s="160"/>
      <c r="F10" s="164"/>
      <c r="G10" s="165"/>
    </row>
    <row r="11" spans="1:10" ht="16">
      <c r="A11" s="1"/>
      <c r="B11" s="159"/>
      <c r="C11" s="158"/>
      <c r="D11" s="157"/>
      <c r="E11" s="160"/>
      <c r="F11" s="164"/>
      <c r="G11" s="165"/>
    </row>
    <row r="12" spans="1:10" ht="16">
      <c r="A12" s="1"/>
      <c r="B12" s="159"/>
      <c r="C12" s="158"/>
      <c r="D12" s="157"/>
      <c r="E12" s="160"/>
      <c r="F12" s="164"/>
      <c r="G12" s="165"/>
    </row>
    <row r="13" spans="1:10" ht="16">
      <c r="A13" s="1"/>
      <c r="B13" s="159"/>
      <c r="C13" s="166"/>
      <c r="D13" s="159"/>
      <c r="E13" s="160"/>
      <c r="F13" s="167"/>
      <c r="G13" s="168"/>
    </row>
    <row r="14" spans="1:10" ht="16">
      <c r="A14" s="169"/>
      <c r="B14" s="159"/>
      <c r="C14" s="166"/>
      <c r="D14" s="159"/>
      <c r="E14" s="160"/>
      <c r="F14" s="167"/>
      <c r="G14" s="168"/>
    </row>
    <row r="15" spans="1:10" ht="16">
      <c r="A15" s="1"/>
      <c r="B15" s="159"/>
      <c r="C15" s="166"/>
      <c r="D15" s="159"/>
      <c r="E15" s="160"/>
      <c r="F15" s="167"/>
      <c r="G15" s="168"/>
    </row>
    <row r="16" spans="1:10" ht="16">
      <c r="A16" s="157"/>
      <c r="B16" s="159"/>
      <c r="C16" s="166"/>
      <c r="D16" s="159"/>
      <c r="E16" s="160"/>
      <c r="F16" s="167"/>
      <c r="G16" s="159"/>
    </row>
    <row r="17" spans="1:8" ht="16">
      <c r="A17" s="157"/>
      <c r="B17" s="159"/>
      <c r="C17" s="166"/>
      <c r="D17" s="159"/>
      <c r="E17" s="160"/>
      <c r="F17" s="167"/>
      <c r="G17" s="159"/>
    </row>
    <row r="18" spans="1:8" ht="16">
      <c r="A18" s="157"/>
      <c r="B18" s="159"/>
      <c r="C18" s="166"/>
      <c r="D18" s="159"/>
      <c r="E18" s="160"/>
      <c r="F18" s="167"/>
      <c r="G18" s="159"/>
    </row>
    <row r="19" spans="1:8" ht="16">
      <c r="A19" s="157"/>
      <c r="B19" s="159"/>
      <c r="C19" s="166"/>
      <c r="D19" s="159"/>
      <c r="E19" s="160"/>
      <c r="F19" s="167"/>
      <c r="G19" s="159"/>
    </row>
    <row r="20" spans="1:8" ht="16">
      <c r="A20" s="157"/>
      <c r="B20" s="159"/>
      <c r="C20" s="166"/>
      <c r="D20" s="159"/>
      <c r="E20" s="160"/>
      <c r="F20" s="167"/>
      <c r="G20" s="159"/>
    </row>
    <row r="21" spans="1:8" ht="16">
      <c r="A21" s="157"/>
      <c r="B21" s="159"/>
      <c r="C21" s="166"/>
      <c r="D21" s="159"/>
      <c r="E21" s="160"/>
      <c r="F21" s="167"/>
      <c r="G21" s="159"/>
    </row>
    <row r="22" spans="1:8" ht="16">
      <c r="A22" s="157"/>
      <c r="B22" s="159"/>
      <c r="C22" s="166"/>
      <c r="D22" s="159"/>
      <c r="E22" s="160"/>
      <c r="F22" s="167"/>
      <c r="G22" s="159"/>
    </row>
    <row r="23" spans="1:8" ht="16">
      <c r="A23" s="157"/>
      <c r="B23" s="159"/>
      <c r="C23" s="166"/>
      <c r="D23" s="159"/>
      <c r="E23" s="160"/>
      <c r="F23" s="1"/>
      <c r="G23" s="1"/>
      <c r="H23" s="159"/>
    </row>
    <row r="24" spans="1:8" ht="16">
      <c r="A24" s="157"/>
      <c r="B24" s="159"/>
      <c r="C24" s="166"/>
      <c r="D24" s="159"/>
      <c r="E24" s="160"/>
      <c r="F24" s="1"/>
      <c r="G24" s="1"/>
      <c r="H24" s="159"/>
    </row>
    <row r="25" spans="1:8" ht="16">
      <c r="A25" s="157"/>
      <c r="B25" s="159"/>
      <c r="C25" s="166"/>
      <c r="D25" s="1"/>
      <c r="E25" s="162"/>
      <c r="F25" s="1"/>
      <c r="G25" s="1"/>
    </row>
    <row r="26" spans="1:8" ht="16">
      <c r="A26" s="157"/>
      <c r="B26" s="159"/>
      <c r="C26" s="166"/>
      <c r="D26" s="1"/>
      <c r="E26" s="162"/>
      <c r="F26" s="1"/>
      <c r="G26" s="1"/>
    </row>
    <row r="27" spans="1:8" ht="16">
      <c r="A27" s="157"/>
      <c r="B27" s="159"/>
      <c r="C27" s="166"/>
      <c r="D27" s="170"/>
      <c r="E27" s="171"/>
      <c r="F27" s="167"/>
      <c r="G27" s="159"/>
    </row>
    <row r="28" spans="1:8" ht="16">
      <c r="A28" s="157"/>
      <c r="B28" s="159"/>
      <c r="C28" s="172"/>
      <c r="D28" s="170"/>
      <c r="E28" s="171"/>
      <c r="F28" s="173"/>
    </row>
    <row r="29" spans="1:8" ht="16">
      <c r="A29" s="157"/>
      <c r="B29" s="159"/>
      <c r="C29" s="174"/>
      <c r="D29" s="170"/>
      <c r="E29" s="171"/>
      <c r="F29" s="175"/>
      <c r="G29" s="33"/>
    </row>
    <row r="30" spans="1:8" ht="16">
      <c r="A30" s="157"/>
      <c r="B30" s="159"/>
      <c r="C30" s="166"/>
      <c r="D30" s="1"/>
      <c r="E30" s="162"/>
      <c r="F30" s="161"/>
      <c r="G30" s="1"/>
    </row>
    <row r="31" spans="1:8" ht="16">
      <c r="A31" s="157"/>
      <c r="B31" s="159"/>
      <c r="C31" s="166"/>
      <c r="E31" s="162"/>
      <c r="F31" s="161"/>
      <c r="G31" s="1"/>
    </row>
    <row r="32" spans="1:8" ht="16">
      <c r="A32" s="157"/>
      <c r="B32" s="159"/>
      <c r="C32" s="166"/>
      <c r="E32" s="162"/>
      <c r="F32" s="161"/>
      <c r="G32" s="1"/>
    </row>
    <row r="33" spans="1:9" ht="16">
      <c r="A33" s="157"/>
      <c r="B33" s="159"/>
      <c r="C33" s="166"/>
      <c r="D33" s="1"/>
      <c r="E33" s="162"/>
      <c r="F33" s="161"/>
      <c r="G33" s="1"/>
    </row>
    <row r="34" spans="1:9" ht="16">
      <c r="A34" s="157"/>
      <c r="B34" s="159"/>
      <c r="C34" s="166"/>
      <c r="E34" s="162"/>
      <c r="F34" s="161"/>
      <c r="G34" s="1"/>
    </row>
    <row r="35" spans="1:9" ht="16">
      <c r="A35" s="1"/>
      <c r="B35" s="159"/>
      <c r="C35" s="159"/>
      <c r="E35" s="160"/>
      <c r="F35" s="159"/>
      <c r="G35" s="168"/>
    </row>
    <row r="36" spans="1:9" ht="16">
      <c r="A36" s="1"/>
      <c r="B36" s="159"/>
      <c r="C36" s="159"/>
      <c r="E36" s="160"/>
      <c r="F36" s="159"/>
      <c r="G36" s="165"/>
    </row>
    <row r="37" spans="1:9" ht="16">
      <c r="A37" s="1"/>
      <c r="B37" s="159"/>
      <c r="C37" s="159"/>
      <c r="E37" s="160"/>
      <c r="F37" s="159"/>
      <c r="G37" s="168"/>
    </row>
    <row r="38" spans="1:9" ht="16">
      <c r="A38" s="1"/>
      <c r="B38" s="159"/>
      <c r="C38" s="159"/>
      <c r="E38" s="160"/>
      <c r="F38" s="159"/>
      <c r="G38" s="168"/>
    </row>
    <row r="39" spans="1:9" ht="16">
      <c r="A39" s="1"/>
      <c r="B39" s="159"/>
      <c r="C39" s="159"/>
      <c r="E39" s="160"/>
      <c r="F39" s="159"/>
      <c r="G39" s="168"/>
    </row>
    <row r="40" spans="1:9" ht="16">
      <c r="A40" s="1"/>
      <c r="B40" s="157"/>
      <c r="C40" s="1"/>
      <c r="E40" s="176"/>
      <c r="F40" s="161"/>
      <c r="G40" s="1"/>
    </row>
    <row r="41" spans="1:9" ht="16">
      <c r="A41" s="1"/>
      <c r="B41" s="159"/>
      <c r="C41" s="1"/>
      <c r="D41" s="1"/>
      <c r="E41" s="177"/>
      <c r="F41" s="1"/>
      <c r="G41" s="1"/>
    </row>
    <row r="42" spans="1:9" ht="16">
      <c r="A42" s="1"/>
      <c r="B42" s="159"/>
      <c r="C42" s="159"/>
      <c r="E42" s="178"/>
      <c r="F42" s="179"/>
      <c r="G42" s="1"/>
    </row>
    <row r="43" spans="1:9" ht="16">
      <c r="A43" s="1"/>
      <c r="B43" s="159"/>
      <c r="C43" s="159"/>
      <c r="D43" s="1"/>
      <c r="E43" s="160"/>
      <c r="F43" s="179"/>
      <c r="G43" s="1"/>
    </row>
    <row r="44" spans="1:9" ht="16">
      <c r="A44" s="1"/>
      <c r="B44" s="159"/>
      <c r="C44" s="1"/>
      <c r="E44" s="162"/>
      <c r="F44" s="161"/>
      <c r="G44" s="1"/>
    </row>
    <row r="45" spans="1:9" ht="16">
      <c r="A45" s="1"/>
      <c r="B45" s="159"/>
      <c r="C45" s="1"/>
      <c r="E45" s="162"/>
      <c r="F45" s="161"/>
      <c r="G45" s="1"/>
      <c r="H45" s="1"/>
      <c r="I45" s="63"/>
    </row>
    <row r="46" spans="1:9" ht="16">
      <c r="A46" s="1"/>
      <c r="B46" s="159"/>
      <c r="C46" s="1"/>
      <c r="E46" s="162"/>
      <c r="F46" s="161"/>
      <c r="G46" s="1"/>
      <c r="H46" s="1"/>
      <c r="I46" s="1"/>
    </row>
    <row r="47" spans="1:9" ht="16">
      <c r="A47" s="1"/>
      <c r="B47" s="159"/>
      <c r="C47" s="1"/>
      <c r="E47" s="162"/>
      <c r="F47" s="161"/>
      <c r="G47" s="1"/>
      <c r="H47" s="1"/>
      <c r="I47" s="1"/>
    </row>
    <row r="48" spans="1:9" ht="16">
      <c r="A48" s="1"/>
      <c r="B48" s="159"/>
      <c r="C48" s="1"/>
      <c r="E48" s="162"/>
      <c r="F48" s="161"/>
      <c r="G48" s="1"/>
      <c r="H48" s="1"/>
      <c r="I48" s="1"/>
    </row>
    <row r="49" spans="1:8" ht="16">
      <c r="A49" s="1"/>
      <c r="B49" s="159"/>
      <c r="C49" s="1"/>
      <c r="E49" s="162"/>
      <c r="F49" s="161"/>
      <c r="G49" s="1"/>
      <c r="H49" s="1"/>
    </row>
    <row r="50" spans="1:8" ht="16">
      <c r="A50" s="1"/>
      <c r="B50" s="159"/>
      <c r="C50" s="1"/>
      <c r="E50" s="162"/>
      <c r="F50" s="161"/>
      <c r="G50" s="1"/>
      <c r="H50" s="1"/>
    </row>
    <row r="51" spans="1:8" ht="16">
      <c r="A51" s="1"/>
      <c r="B51" s="159"/>
      <c r="C51" s="1"/>
      <c r="E51" s="162"/>
      <c r="F51" s="161"/>
      <c r="G51" s="1"/>
    </row>
    <row r="52" spans="1:8" ht="16">
      <c r="A52" s="1"/>
      <c r="B52" s="159"/>
      <c r="C52" s="1"/>
      <c r="E52" s="162"/>
      <c r="F52" s="161"/>
      <c r="G52" s="1"/>
    </row>
    <row r="53" spans="1:8">
      <c r="A53" s="1"/>
      <c r="B53" s="1"/>
      <c r="C53" s="1"/>
      <c r="E53" s="162"/>
      <c r="F53" s="161"/>
      <c r="G53" s="1"/>
    </row>
    <row r="54" spans="1:8">
      <c r="A54" s="1"/>
      <c r="B54" s="1"/>
      <c r="C54" s="1"/>
      <c r="E54" s="162"/>
      <c r="F54" s="161"/>
      <c r="G54" s="1"/>
    </row>
    <row r="55" spans="1:8">
      <c r="A55" s="1"/>
      <c r="B55" s="1"/>
      <c r="C55" s="1"/>
      <c r="E55" s="162"/>
      <c r="F55" s="162"/>
      <c r="G55" s="1"/>
    </row>
    <row r="56" spans="1:8">
      <c r="A56" s="1"/>
      <c r="B56" s="1"/>
      <c r="C56" s="1"/>
      <c r="E56" s="162"/>
      <c r="F56" s="161"/>
      <c r="G56" s="1"/>
    </row>
    <row r="57" spans="1:8">
      <c r="A57" s="1"/>
      <c r="B57" s="1"/>
      <c r="C57" s="1"/>
      <c r="E57" s="162"/>
      <c r="F57" s="161"/>
      <c r="G57" s="1"/>
    </row>
    <row r="58" spans="1:8">
      <c r="A58" s="1"/>
      <c r="B58" s="1"/>
      <c r="C58" s="1"/>
      <c r="E58" s="162"/>
      <c r="F58" s="161"/>
      <c r="G58" s="1"/>
    </row>
    <row r="59" spans="1:8">
      <c r="A59" s="1"/>
      <c r="B59" s="1"/>
      <c r="C59" s="1"/>
      <c r="E59" s="162"/>
      <c r="F59" s="161"/>
      <c r="G59" s="1"/>
    </row>
    <row r="60" spans="1:8">
      <c r="A60" s="1"/>
      <c r="B60" s="1"/>
      <c r="C60" s="1"/>
      <c r="E60" s="162"/>
      <c r="F60" s="161"/>
      <c r="G60" s="1"/>
    </row>
    <row r="61" spans="1:8">
      <c r="A61" s="1"/>
      <c r="B61" s="1"/>
      <c r="C61" s="1"/>
      <c r="E61" s="162"/>
      <c r="F61" s="161"/>
      <c r="G61" s="1"/>
    </row>
    <row r="62" spans="1:8">
      <c r="A62" s="1"/>
      <c r="B62" s="1"/>
      <c r="C62" s="1"/>
      <c r="E62" s="1"/>
      <c r="F62" s="162"/>
      <c r="G62" s="1"/>
    </row>
    <row r="63" spans="1:8">
      <c r="A63" s="1"/>
      <c r="B63" s="1"/>
      <c r="C63" s="1"/>
      <c r="E63" s="162"/>
      <c r="F63" s="161"/>
      <c r="G63" s="1"/>
    </row>
    <row r="64" spans="1:8">
      <c r="A64" s="1"/>
      <c r="B64" s="1"/>
      <c r="C64" s="1"/>
      <c r="E64" s="162"/>
      <c r="F64" s="161"/>
      <c r="G64" s="1"/>
    </row>
    <row r="65" spans="1:7">
      <c r="A65" s="1"/>
      <c r="B65" s="1"/>
      <c r="C65" s="1"/>
      <c r="E65" s="180"/>
      <c r="F65" s="161"/>
      <c r="G65" s="1"/>
    </row>
    <row r="66" spans="1:7">
      <c r="A66" s="1"/>
      <c r="B66" s="1"/>
      <c r="C66" s="1"/>
      <c r="E66" s="180"/>
      <c r="F66" s="161"/>
      <c r="G66" s="1"/>
    </row>
    <row r="67" spans="1:7">
      <c r="A67" s="1"/>
      <c r="B67" s="1"/>
      <c r="C67" s="1"/>
      <c r="E67" s="162"/>
      <c r="F67" s="161"/>
      <c r="G67" s="1"/>
    </row>
    <row r="68" spans="1:7">
      <c r="A68" s="1"/>
      <c r="B68" s="1"/>
      <c r="C68" s="1"/>
      <c r="E68" s="162"/>
      <c r="F68" s="161"/>
      <c r="G68" s="1"/>
    </row>
    <row r="69" spans="1:7">
      <c r="E69" s="177"/>
      <c r="F69" s="173"/>
    </row>
    <row r="70" spans="1:7">
      <c r="E70" s="177"/>
      <c r="F70" s="173"/>
    </row>
    <row r="71" spans="1:7">
      <c r="E71" s="177"/>
      <c r="F71" s="173"/>
    </row>
    <row r="72" spans="1:7">
      <c r="E72" s="177"/>
      <c r="F72" s="173"/>
    </row>
    <row r="73" spans="1:7">
      <c r="E73" s="177"/>
      <c r="F73" s="173"/>
    </row>
    <row r="74" spans="1:7">
      <c r="E74" s="177"/>
      <c r="F74" s="173"/>
    </row>
    <row r="75" spans="1:7">
      <c r="E75" s="177"/>
      <c r="F75" s="173"/>
    </row>
    <row r="76" spans="1:7">
      <c r="E76" s="177"/>
      <c r="F76" s="173"/>
    </row>
    <row r="77" spans="1:7">
      <c r="E77" s="177"/>
      <c r="F77" s="173"/>
    </row>
    <row r="78" spans="1:7">
      <c r="E78" s="177"/>
      <c r="F78" s="173"/>
    </row>
    <row r="79" spans="1:7">
      <c r="E79" s="177"/>
      <c r="F79" s="173"/>
    </row>
    <row r="80" spans="1:7">
      <c r="E80" s="177"/>
      <c r="F80" s="173"/>
    </row>
    <row r="81" spans="5:6">
      <c r="E81" s="177"/>
      <c r="F81" s="173"/>
    </row>
    <row r="82" spans="5:6">
      <c r="E82" s="177"/>
      <c r="F82" s="173"/>
    </row>
    <row r="83" spans="5:6">
      <c r="E83" s="177"/>
      <c r="F83" s="173"/>
    </row>
    <row r="84" spans="5:6">
      <c r="E84" s="177"/>
      <c r="F84" s="173"/>
    </row>
    <row r="85" spans="5:6">
      <c r="E85" s="177"/>
      <c r="F85" s="173"/>
    </row>
    <row r="86" spans="5:6">
      <c r="E86" s="177"/>
      <c r="F86" s="173"/>
    </row>
    <row r="87" spans="5:6">
      <c r="E87" s="177"/>
      <c r="F87" s="173"/>
    </row>
    <row r="88" spans="5:6">
      <c r="E88" s="177"/>
      <c r="F88" s="173"/>
    </row>
    <row r="89" spans="5:6">
      <c r="E89" s="177"/>
      <c r="F89" s="173"/>
    </row>
    <row r="90" spans="5:6">
      <c r="E90" s="177"/>
      <c r="F90" s="173"/>
    </row>
    <row r="91" spans="5:6">
      <c r="E91" s="177"/>
      <c r="F91" s="173"/>
    </row>
    <row r="92" spans="5:6">
      <c r="E92" s="177"/>
      <c r="F92" s="173"/>
    </row>
    <row r="93" spans="5:6">
      <c r="E93" s="177"/>
      <c r="F93" s="173"/>
    </row>
    <row r="94" spans="5:6">
      <c r="E94" s="177"/>
      <c r="F94" s="173"/>
    </row>
    <row r="95" spans="5:6">
      <c r="E95" s="177"/>
      <c r="F95" s="173"/>
    </row>
    <row r="96" spans="5:6">
      <c r="E96" s="177"/>
      <c r="F96" s="173"/>
    </row>
    <row r="97" spans="5:6">
      <c r="E97" s="177"/>
      <c r="F97" s="173"/>
    </row>
    <row r="98" spans="5:6">
      <c r="E98" s="177"/>
      <c r="F98" s="173"/>
    </row>
    <row r="99" spans="5:6">
      <c r="E99" s="177"/>
      <c r="F99" s="173"/>
    </row>
    <row r="100" spans="5:6">
      <c r="E100" s="177"/>
      <c r="F100" s="173"/>
    </row>
    <row r="101" spans="5:6">
      <c r="E101" s="177"/>
      <c r="F101" s="173"/>
    </row>
    <row r="102" spans="5:6">
      <c r="E102" s="177"/>
      <c r="F102" s="173"/>
    </row>
    <row r="103" spans="5:6">
      <c r="E103" s="177"/>
      <c r="F103" s="173"/>
    </row>
    <row r="104" spans="5:6">
      <c r="E104" s="177"/>
      <c r="F104" s="173"/>
    </row>
    <row r="105" spans="5:6">
      <c r="E105" s="177"/>
      <c r="F105" s="173"/>
    </row>
    <row r="106" spans="5:6">
      <c r="E106" s="177"/>
      <c r="F106" s="173"/>
    </row>
    <row r="107" spans="5:6">
      <c r="E107" s="177"/>
      <c r="F107" s="173"/>
    </row>
    <row r="108" spans="5:6">
      <c r="E108" s="177"/>
      <c r="F108" s="173"/>
    </row>
    <row r="109" spans="5:6">
      <c r="E109" s="177"/>
      <c r="F109" s="173"/>
    </row>
    <row r="110" spans="5:6">
      <c r="E110" s="177"/>
      <c r="F110" s="173"/>
    </row>
    <row r="111" spans="5:6">
      <c r="E111" s="177"/>
      <c r="F111" s="173"/>
    </row>
    <row r="112" spans="5:6">
      <c r="E112" s="177"/>
      <c r="F112" s="173"/>
    </row>
    <row r="113" spans="5:6">
      <c r="E113" s="177"/>
      <c r="F113" s="173"/>
    </row>
    <row r="114" spans="5:6">
      <c r="E114" s="177"/>
      <c r="F114" s="173"/>
    </row>
    <row r="115" spans="5:6">
      <c r="E115" s="177"/>
      <c r="F115" s="173"/>
    </row>
    <row r="116" spans="5:6">
      <c r="E116" s="177"/>
      <c r="F116" s="173"/>
    </row>
    <row r="117" spans="5:6">
      <c r="E117" s="177"/>
      <c r="F117" s="173"/>
    </row>
    <row r="118" spans="5:6">
      <c r="E118" s="177"/>
      <c r="F118" s="173"/>
    </row>
    <row r="119" spans="5:6">
      <c r="E119" s="177"/>
      <c r="F119" s="173"/>
    </row>
    <row r="120" spans="5:6">
      <c r="E120" s="177"/>
      <c r="F120" s="173"/>
    </row>
    <row r="121" spans="5:6">
      <c r="E121" s="177"/>
      <c r="F121" s="173"/>
    </row>
    <row r="122" spans="5:6">
      <c r="E122" s="177"/>
      <c r="F122" s="173"/>
    </row>
    <row r="123" spans="5:6">
      <c r="E123" s="177"/>
      <c r="F123" s="173"/>
    </row>
    <row r="124" spans="5:6">
      <c r="E124" s="177"/>
      <c r="F124" s="173"/>
    </row>
    <row r="125" spans="5:6">
      <c r="E125" s="177"/>
      <c r="F125" s="173"/>
    </row>
    <row r="126" spans="5:6">
      <c r="E126" s="177"/>
      <c r="F126" s="173"/>
    </row>
    <row r="127" spans="5:6">
      <c r="E127" s="177"/>
      <c r="F127" s="173"/>
    </row>
    <row r="128" spans="5:6">
      <c r="E128" s="177"/>
      <c r="F128" s="173"/>
    </row>
    <row r="129" spans="5:6">
      <c r="E129" s="177"/>
      <c r="F129" s="173"/>
    </row>
    <row r="130" spans="5:6">
      <c r="E130" s="177"/>
      <c r="F130" s="173"/>
    </row>
    <row r="131" spans="5:6">
      <c r="E131" s="177"/>
      <c r="F131" s="173"/>
    </row>
    <row r="132" spans="5:6">
      <c r="E132" s="177"/>
      <c r="F132" s="173"/>
    </row>
    <row r="133" spans="5:6">
      <c r="E133" s="177"/>
      <c r="F133" s="173"/>
    </row>
    <row r="134" spans="5:6">
      <c r="E134" s="177"/>
      <c r="F134" s="173"/>
    </row>
    <row r="135" spans="5:6">
      <c r="E135" s="177"/>
      <c r="F135" s="173"/>
    </row>
    <row r="136" spans="5:6">
      <c r="E136" s="177"/>
      <c r="F136" s="173"/>
    </row>
    <row r="137" spans="5:6">
      <c r="E137" s="177"/>
      <c r="F137" s="173"/>
    </row>
    <row r="138" spans="5:6">
      <c r="E138" s="177"/>
      <c r="F138" s="173"/>
    </row>
    <row r="139" spans="5:6">
      <c r="E139" s="177"/>
      <c r="F139" s="173"/>
    </row>
    <row r="140" spans="5:6">
      <c r="E140" s="177"/>
      <c r="F140" s="173"/>
    </row>
    <row r="141" spans="5:6">
      <c r="E141" s="177"/>
      <c r="F141" s="173"/>
    </row>
    <row r="142" spans="5:6">
      <c r="E142" s="177"/>
      <c r="F142" s="173"/>
    </row>
    <row r="143" spans="5:6">
      <c r="E143" s="177"/>
      <c r="F143" s="173"/>
    </row>
    <row r="144" spans="5:6">
      <c r="E144" s="177"/>
      <c r="F144" s="173"/>
    </row>
    <row r="145" spans="5:6">
      <c r="E145" s="177"/>
      <c r="F145" s="173"/>
    </row>
    <row r="146" spans="5:6">
      <c r="E146" s="177"/>
      <c r="F146" s="173"/>
    </row>
    <row r="147" spans="5:6">
      <c r="E147" s="177"/>
      <c r="F147" s="173"/>
    </row>
    <row r="148" spans="5:6">
      <c r="E148" s="177"/>
      <c r="F148" s="173"/>
    </row>
    <row r="149" spans="5:6">
      <c r="E149" s="177"/>
      <c r="F149" s="173"/>
    </row>
    <row r="150" spans="5:6">
      <c r="E150" s="177"/>
      <c r="F150" s="173"/>
    </row>
    <row r="151" spans="5:6">
      <c r="E151" s="177"/>
      <c r="F151" s="173"/>
    </row>
    <row r="152" spans="5:6">
      <c r="E152" s="177"/>
      <c r="F152" s="173"/>
    </row>
    <row r="153" spans="5:6">
      <c r="E153" s="177"/>
      <c r="F153" s="173"/>
    </row>
    <row r="154" spans="5:6">
      <c r="E154" s="177"/>
      <c r="F154" s="173"/>
    </row>
    <row r="155" spans="5:6">
      <c r="E155" s="177"/>
      <c r="F155" s="173"/>
    </row>
    <row r="156" spans="5:6">
      <c r="E156" s="177"/>
      <c r="F156" s="173"/>
    </row>
    <row r="157" spans="5:6">
      <c r="E157" s="177"/>
      <c r="F157" s="173"/>
    </row>
    <row r="158" spans="5:6">
      <c r="E158" s="177"/>
      <c r="F158" s="173"/>
    </row>
    <row r="159" spans="5:6">
      <c r="E159" s="177"/>
      <c r="F159" s="173"/>
    </row>
    <row r="160" spans="5:6">
      <c r="E160" s="177"/>
      <c r="F160" s="173"/>
    </row>
    <row r="161" spans="5:6">
      <c r="E161" s="177"/>
      <c r="F161" s="173"/>
    </row>
    <row r="162" spans="5:6">
      <c r="E162" s="177"/>
      <c r="F162" s="173"/>
    </row>
    <row r="163" spans="5:6">
      <c r="E163" s="177"/>
      <c r="F163" s="173"/>
    </row>
    <row r="164" spans="5:6">
      <c r="E164" s="177"/>
      <c r="F164" s="173"/>
    </row>
    <row r="165" spans="5:6">
      <c r="E165" s="177"/>
      <c r="F165" s="173"/>
    </row>
    <row r="166" spans="5:6">
      <c r="E166" s="177"/>
      <c r="F166" s="173"/>
    </row>
    <row r="167" spans="5:6">
      <c r="E167" s="177"/>
      <c r="F167" s="173"/>
    </row>
    <row r="168" spans="5:6">
      <c r="E168" s="177"/>
      <c r="F168" s="173"/>
    </row>
    <row r="169" spans="5:6">
      <c r="E169" s="177"/>
      <c r="F169" s="173"/>
    </row>
    <row r="170" spans="5:6">
      <c r="E170" s="177"/>
      <c r="F170" s="173"/>
    </row>
    <row r="171" spans="5:6">
      <c r="E171" s="177"/>
      <c r="F171" s="173"/>
    </row>
    <row r="172" spans="5:6">
      <c r="E172" s="177"/>
      <c r="F172" s="173"/>
    </row>
    <row r="173" spans="5:6">
      <c r="E173" s="177"/>
      <c r="F173" s="173"/>
    </row>
    <row r="174" spans="5:6">
      <c r="E174" s="177"/>
      <c r="F174" s="173"/>
    </row>
    <row r="175" spans="5:6">
      <c r="E175" s="177"/>
      <c r="F175" s="173"/>
    </row>
    <row r="176" spans="5:6">
      <c r="E176" s="177"/>
      <c r="F176" s="173"/>
    </row>
    <row r="177" spans="5:6">
      <c r="E177" s="177"/>
      <c r="F177" s="173"/>
    </row>
    <row r="178" spans="5:6">
      <c r="E178" s="177"/>
      <c r="F178" s="173"/>
    </row>
    <row r="179" spans="5:6">
      <c r="E179" s="177"/>
      <c r="F179" s="173"/>
    </row>
    <row r="180" spans="5:6">
      <c r="E180" s="177"/>
      <c r="F180" s="173"/>
    </row>
    <row r="181" spans="5:6">
      <c r="E181" s="177"/>
      <c r="F181" s="173"/>
    </row>
    <row r="182" spans="5:6">
      <c r="E182" s="177"/>
      <c r="F182" s="173"/>
    </row>
    <row r="183" spans="5:6">
      <c r="E183" s="177"/>
      <c r="F183" s="173"/>
    </row>
    <row r="184" spans="5:6">
      <c r="E184" s="177"/>
      <c r="F184" s="173"/>
    </row>
    <row r="185" spans="5:6">
      <c r="E185" s="177"/>
      <c r="F185" s="173"/>
    </row>
    <row r="186" spans="5:6">
      <c r="E186" s="177"/>
      <c r="F186" s="173"/>
    </row>
    <row r="187" spans="5:6">
      <c r="E187" s="177"/>
      <c r="F187" s="173"/>
    </row>
    <row r="188" spans="5:6">
      <c r="E188" s="177"/>
      <c r="F188" s="173"/>
    </row>
    <row r="189" spans="5:6">
      <c r="E189" s="177"/>
      <c r="F189" s="173"/>
    </row>
    <row r="190" spans="5:6">
      <c r="E190" s="177"/>
      <c r="F190" s="173"/>
    </row>
    <row r="191" spans="5:6">
      <c r="E191" s="177"/>
      <c r="F191" s="173"/>
    </row>
    <row r="192" spans="5:6">
      <c r="E192" s="177"/>
      <c r="F192" s="173"/>
    </row>
    <row r="193" spans="5:6">
      <c r="E193" s="177"/>
      <c r="F193" s="173"/>
    </row>
    <row r="194" spans="5:6">
      <c r="E194" s="177"/>
      <c r="F194" s="173"/>
    </row>
    <row r="195" spans="5:6">
      <c r="E195" s="177"/>
      <c r="F195" s="173"/>
    </row>
    <row r="196" spans="5:6">
      <c r="E196" s="177"/>
      <c r="F196" s="173"/>
    </row>
    <row r="197" spans="5:6">
      <c r="E197" s="177"/>
      <c r="F197" s="173"/>
    </row>
    <row r="198" spans="5:6">
      <c r="E198" s="177"/>
      <c r="F198" s="173"/>
    </row>
    <row r="199" spans="5:6">
      <c r="E199" s="177"/>
      <c r="F199" s="173"/>
    </row>
    <row r="200" spans="5:6">
      <c r="E200" s="177"/>
      <c r="F200" s="173"/>
    </row>
    <row r="201" spans="5:6">
      <c r="E201" s="177"/>
      <c r="F201" s="173"/>
    </row>
    <row r="202" spans="5:6">
      <c r="E202" s="177"/>
      <c r="F202" s="173"/>
    </row>
    <row r="203" spans="5:6">
      <c r="E203" s="177"/>
      <c r="F203" s="173"/>
    </row>
    <row r="204" spans="5:6">
      <c r="E204" s="177"/>
      <c r="F204" s="173"/>
    </row>
    <row r="205" spans="5:6">
      <c r="E205" s="177"/>
      <c r="F205" s="173"/>
    </row>
    <row r="206" spans="5:6">
      <c r="E206" s="177"/>
      <c r="F206" s="173"/>
    </row>
    <row r="207" spans="5:6">
      <c r="E207" s="177"/>
      <c r="F207" s="173"/>
    </row>
    <row r="208" spans="5:6">
      <c r="E208" s="177"/>
      <c r="F208" s="173"/>
    </row>
    <row r="209" spans="5:6">
      <c r="E209" s="177"/>
      <c r="F209" s="173"/>
    </row>
    <row r="210" spans="5:6">
      <c r="E210" s="177"/>
      <c r="F210" s="173"/>
    </row>
    <row r="211" spans="5:6">
      <c r="E211" s="177"/>
      <c r="F211" s="173"/>
    </row>
    <row r="212" spans="5:6">
      <c r="E212" s="177"/>
      <c r="F212" s="173"/>
    </row>
    <row r="213" spans="5:6">
      <c r="E213" s="177"/>
      <c r="F213" s="173"/>
    </row>
    <row r="214" spans="5:6">
      <c r="E214" s="177"/>
      <c r="F214" s="173"/>
    </row>
    <row r="215" spans="5:6">
      <c r="E215" s="177"/>
      <c r="F215" s="173"/>
    </row>
    <row r="216" spans="5:6">
      <c r="E216" s="177"/>
      <c r="F216" s="173"/>
    </row>
    <row r="217" spans="5:6">
      <c r="E217" s="177"/>
      <c r="F217" s="173"/>
    </row>
    <row r="218" spans="5:6">
      <c r="E218" s="177"/>
      <c r="F218" s="173"/>
    </row>
    <row r="219" spans="5:6">
      <c r="E219" s="177"/>
      <c r="F219" s="173"/>
    </row>
    <row r="220" spans="5:6">
      <c r="E220" s="177"/>
      <c r="F220" s="173"/>
    </row>
    <row r="221" spans="5:6">
      <c r="E221" s="177"/>
      <c r="F221" s="173"/>
    </row>
    <row r="222" spans="5:6">
      <c r="E222" s="177"/>
      <c r="F222" s="173"/>
    </row>
    <row r="223" spans="5:6">
      <c r="E223" s="177"/>
      <c r="F223" s="173"/>
    </row>
    <row r="224" spans="5:6">
      <c r="E224" s="177"/>
      <c r="F224" s="173"/>
    </row>
    <row r="225" spans="5:6">
      <c r="E225" s="177"/>
      <c r="F225" s="173"/>
    </row>
    <row r="226" spans="5:6">
      <c r="E226" s="177"/>
      <c r="F226" s="173"/>
    </row>
    <row r="227" spans="5:6">
      <c r="E227" s="177"/>
      <c r="F227" s="173"/>
    </row>
    <row r="228" spans="5:6">
      <c r="E228" s="177"/>
      <c r="F228" s="173"/>
    </row>
    <row r="229" spans="5:6">
      <c r="E229" s="177"/>
      <c r="F229" s="173"/>
    </row>
    <row r="230" spans="5:6">
      <c r="E230" s="177"/>
      <c r="F230" s="173"/>
    </row>
    <row r="231" spans="5:6">
      <c r="E231" s="177"/>
      <c r="F231" s="173"/>
    </row>
    <row r="232" spans="5:6">
      <c r="E232" s="177"/>
      <c r="F232" s="173"/>
    </row>
    <row r="233" spans="5:6">
      <c r="E233" s="177"/>
      <c r="F233" s="173"/>
    </row>
    <row r="234" spans="5:6">
      <c r="E234" s="177"/>
      <c r="F234" s="173"/>
    </row>
    <row r="235" spans="5:6">
      <c r="E235" s="177"/>
      <c r="F235" s="173"/>
    </row>
    <row r="236" spans="5:6">
      <c r="E236" s="177"/>
      <c r="F236" s="173"/>
    </row>
    <row r="237" spans="5:6">
      <c r="E237" s="177"/>
      <c r="F237" s="173"/>
    </row>
    <row r="238" spans="5:6">
      <c r="E238" s="177"/>
      <c r="F238" s="173"/>
    </row>
    <row r="239" spans="5:6">
      <c r="E239" s="177"/>
      <c r="F239" s="173"/>
    </row>
    <row r="240" spans="5:6">
      <c r="E240" s="177"/>
      <c r="F240" s="173"/>
    </row>
    <row r="241" spans="5:6">
      <c r="E241" s="177"/>
      <c r="F241" s="173"/>
    </row>
    <row r="242" spans="5:6">
      <c r="E242" s="177"/>
      <c r="F242" s="173"/>
    </row>
    <row r="243" spans="5:6">
      <c r="E243" s="177"/>
      <c r="F243" s="173"/>
    </row>
    <row r="244" spans="5:6">
      <c r="E244" s="177"/>
      <c r="F244" s="173"/>
    </row>
    <row r="245" spans="5:6">
      <c r="E245" s="177"/>
      <c r="F245" s="173"/>
    </row>
    <row r="246" spans="5:6">
      <c r="E246" s="177"/>
      <c r="F246" s="173"/>
    </row>
    <row r="247" spans="5:6">
      <c r="E247" s="177"/>
      <c r="F247" s="173"/>
    </row>
    <row r="248" spans="5:6">
      <c r="E248" s="177"/>
      <c r="F248" s="173"/>
    </row>
    <row r="249" spans="5:6">
      <c r="E249" s="177"/>
      <c r="F249" s="173"/>
    </row>
    <row r="250" spans="5:6">
      <c r="E250" s="177"/>
      <c r="F250" s="173"/>
    </row>
    <row r="251" spans="5:6">
      <c r="E251" s="177"/>
      <c r="F251" s="173"/>
    </row>
    <row r="252" spans="5:6">
      <c r="E252" s="177"/>
      <c r="F252" s="173"/>
    </row>
    <row r="253" spans="5:6">
      <c r="E253" s="177"/>
      <c r="F253" s="173"/>
    </row>
    <row r="254" spans="5:6">
      <c r="E254" s="177"/>
      <c r="F254" s="173"/>
    </row>
    <row r="255" spans="5:6">
      <c r="E255" s="177"/>
      <c r="F255" s="173"/>
    </row>
    <row r="256" spans="5:6">
      <c r="E256" s="177"/>
      <c r="F256" s="173"/>
    </row>
    <row r="257" spans="5:6">
      <c r="E257" s="177"/>
      <c r="F257" s="173"/>
    </row>
    <row r="258" spans="5:6">
      <c r="E258" s="177"/>
      <c r="F258" s="173"/>
    </row>
    <row r="259" spans="5:6">
      <c r="E259" s="177"/>
      <c r="F259" s="173"/>
    </row>
    <row r="260" spans="5:6">
      <c r="E260" s="177"/>
      <c r="F260" s="173"/>
    </row>
    <row r="261" spans="5:6">
      <c r="E261" s="177"/>
      <c r="F261" s="173"/>
    </row>
    <row r="262" spans="5:6">
      <c r="E262" s="177"/>
      <c r="F262" s="173"/>
    </row>
    <row r="263" spans="5:6">
      <c r="E263" s="177"/>
      <c r="F263" s="173"/>
    </row>
    <row r="264" spans="5:6">
      <c r="E264" s="177"/>
      <c r="F264" s="173"/>
    </row>
    <row r="265" spans="5:6">
      <c r="E265" s="177"/>
      <c r="F265" s="173"/>
    </row>
    <row r="266" spans="5:6">
      <c r="E266" s="177"/>
      <c r="F266" s="173"/>
    </row>
    <row r="267" spans="5:6">
      <c r="E267" s="177"/>
      <c r="F267" s="173"/>
    </row>
    <row r="268" spans="5:6">
      <c r="E268" s="177"/>
      <c r="F268" s="173"/>
    </row>
    <row r="269" spans="5:6">
      <c r="E269" s="177"/>
      <c r="F269" s="173"/>
    </row>
    <row r="270" spans="5:6">
      <c r="E270" s="177"/>
      <c r="F270" s="173"/>
    </row>
    <row r="271" spans="5:6">
      <c r="E271" s="177"/>
      <c r="F271" s="173"/>
    </row>
    <row r="272" spans="5:6">
      <c r="E272" s="177"/>
      <c r="F272" s="173"/>
    </row>
    <row r="273" spans="5:6">
      <c r="E273" s="177"/>
      <c r="F273" s="173"/>
    </row>
    <row r="274" spans="5:6">
      <c r="E274" s="177"/>
      <c r="F274" s="173"/>
    </row>
    <row r="275" spans="5:6">
      <c r="E275" s="177"/>
      <c r="F275" s="173"/>
    </row>
    <row r="276" spans="5:6">
      <c r="E276" s="177"/>
      <c r="F276" s="173"/>
    </row>
    <row r="277" spans="5:6">
      <c r="E277" s="177"/>
      <c r="F277" s="173"/>
    </row>
    <row r="278" spans="5:6">
      <c r="E278" s="177"/>
      <c r="F278" s="173"/>
    </row>
    <row r="279" spans="5:6">
      <c r="E279" s="177"/>
      <c r="F279" s="173"/>
    </row>
    <row r="280" spans="5:6">
      <c r="E280" s="177"/>
      <c r="F280" s="173"/>
    </row>
    <row r="281" spans="5:6">
      <c r="E281" s="177"/>
      <c r="F281" s="173"/>
    </row>
    <row r="282" spans="5:6">
      <c r="E282" s="177"/>
      <c r="F282" s="173"/>
    </row>
    <row r="283" spans="5:6">
      <c r="E283" s="177"/>
      <c r="F283" s="173"/>
    </row>
    <row r="284" spans="5:6">
      <c r="E284" s="177"/>
      <c r="F284" s="173"/>
    </row>
    <row r="285" spans="5:6">
      <c r="E285" s="177"/>
      <c r="F285" s="173"/>
    </row>
    <row r="286" spans="5:6">
      <c r="E286" s="177"/>
      <c r="F286" s="173"/>
    </row>
    <row r="287" spans="5:6">
      <c r="E287" s="177"/>
      <c r="F287" s="173"/>
    </row>
    <row r="288" spans="5:6">
      <c r="E288" s="177"/>
      <c r="F288" s="173"/>
    </row>
    <row r="289" spans="5:6">
      <c r="E289" s="177"/>
      <c r="F289" s="173"/>
    </row>
    <row r="290" spans="5:6">
      <c r="E290" s="177"/>
      <c r="F290" s="173"/>
    </row>
    <row r="291" spans="5:6">
      <c r="E291" s="177"/>
      <c r="F291" s="173"/>
    </row>
    <row r="292" spans="5:6">
      <c r="E292" s="177"/>
      <c r="F292" s="173"/>
    </row>
    <row r="293" spans="5:6">
      <c r="E293" s="177"/>
      <c r="F293" s="173"/>
    </row>
    <row r="294" spans="5:6">
      <c r="E294" s="177"/>
      <c r="F294" s="173"/>
    </row>
    <row r="295" spans="5:6">
      <c r="E295" s="177"/>
      <c r="F295" s="173"/>
    </row>
    <row r="296" spans="5:6">
      <c r="E296" s="177"/>
      <c r="F296" s="173"/>
    </row>
    <row r="297" spans="5:6">
      <c r="E297" s="177"/>
      <c r="F297" s="173"/>
    </row>
    <row r="298" spans="5:6">
      <c r="E298" s="177"/>
      <c r="F298" s="173"/>
    </row>
    <row r="299" spans="5:6">
      <c r="E299" s="177"/>
      <c r="F299" s="173"/>
    </row>
    <row r="300" spans="5:6">
      <c r="E300" s="177"/>
      <c r="F300" s="173"/>
    </row>
    <row r="301" spans="5:6">
      <c r="E301" s="177"/>
      <c r="F301" s="173"/>
    </row>
    <row r="302" spans="5:6">
      <c r="E302" s="177"/>
      <c r="F302" s="173"/>
    </row>
    <row r="303" spans="5:6">
      <c r="E303" s="177"/>
      <c r="F303" s="173"/>
    </row>
    <row r="304" spans="5:6">
      <c r="E304" s="177"/>
      <c r="F304" s="173"/>
    </row>
    <row r="305" spans="5:6">
      <c r="E305" s="177"/>
      <c r="F305" s="173"/>
    </row>
    <row r="306" spans="5:6">
      <c r="E306" s="177"/>
      <c r="F306" s="173"/>
    </row>
    <row r="307" spans="5:6">
      <c r="E307" s="177"/>
      <c r="F307" s="173"/>
    </row>
    <row r="308" spans="5:6">
      <c r="E308" s="177"/>
      <c r="F308" s="173"/>
    </row>
    <row r="309" spans="5:6">
      <c r="E309" s="177"/>
      <c r="F309" s="173"/>
    </row>
    <row r="310" spans="5:6">
      <c r="E310" s="177"/>
      <c r="F310" s="173"/>
    </row>
    <row r="311" spans="5:6">
      <c r="E311" s="177"/>
      <c r="F311" s="173"/>
    </row>
    <row r="312" spans="5:6">
      <c r="E312" s="177"/>
      <c r="F312" s="173"/>
    </row>
    <row r="313" spans="5:6">
      <c r="E313" s="177"/>
      <c r="F313" s="173"/>
    </row>
    <row r="314" spans="5:6">
      <c r="E314" s="177"/>
      <c r="F314" s="173"/>
    </row>
    <row r="315" spans="5:6">
      <c r="E315" s="177"/>
      <c r="F315" s="173"/>
    </row>
    <row r="316" spans="5:6">
      <c r="E316" s="177"/>
      <c r="F316" s="173"/>
    </row>
    <row r="317" spans="5:6">
      <c r="E317" s="177"/>
      <c r="F317" s="173"/>
    </row>
    <row r="318" spans="5:6">
      <c r="E318" s="177"/>
      <c r="F318" s="173"/>
    </row>
    <row r="319" spans="5:6">
      <c r="E319" s="177"/>
      <c r="F319" s="173"/>
    </row>
    <row r="320" spans="5:6">
      <c r="E320" s="177"/>
      <c r="F320" s="173"/>
    </row>
    <row r="321" spans="5:6">
      <c r="E321" s="177"/>
      <c r="F321" s="173"/>
    </row>
    <row r="322" spans="5:6">
      <c r="E322" s="177"/>
      <c r="F322" s="173"/>
    </row>
    <row r="323" spans="5:6">
      <c r="E323" s="177"/>
      <c r="F323" s="173"/>
    </row>
    <row r="324" spans="5:6">
      <c r="E324" s="177"/>
      <c r="F324" s="173"/>
    </row>
    <row r="325" spans="5:6">
      <c r="E325" s="177"/>
      <c r="F325" s="173"/>
    </row>
    <row r="326" spans="5:6">
      <c r="E326" s="177"/>
      <c r="F326" s="173"/>
    </row>
    <row r="327" spans="5:6">
      <c r="E327" s="177"/>
      <c r="F327" s="173"/>
    </row>
    <row r="328" spans="5:6">
      <c r="E328" s="177"/>
      <c r="F328" s="173"/>
    </row>
    <row r="329" spans="5:6">
      <c r="E329" s="177"/>
      <c r="F329" s="173"/>
    </row>
    <row r="330" spans="5:6">
      <c r="E330" s="177"/>
      <c r="F330" s="173"/>
    </row>
    <row r="331" spans="5:6">
      <c r="E331" s="177"/>
      <c r="F331" s="173"/>
    </row>
    <row r="332" spans="5:6">
      <c r="E332" s="177"/>
      <c r="F332" s="173"/>
    </row>
    <row r="333" spans="5:6">
      <c r="E333" s="177"/>
      <c r="F333" s="173"/>
    </row>
    <row r="334" spans="5:6">
      <c r="E334" s="177"/>
      <c r="F334" s="173"/>
    </row>
    <row r="335" spans="5:6">
      <c r="E335" s="177"/>
      <c r="F335" s="173"/>
    </row>
    <row r="336" spans="5:6">
      <c r="E336" s="177"/>
      <c r="F336" s="173"/>
    </row>
    <row r="337" spans="5:6">
      <c r="E337" s="177"/>
      <c r="F337" s="173"/>
    </row>
    <row r="338" spans="5:6">
      <c r="E338" s="177"/>
      <c r="F338" s="173"/>
    </row>
    <row r="339" spans="5:6">
      <c r="E339" s="177"/>
      <c r="F339" s="173"/>
    </row>
    <row r="340" spans="5:6">
      <c r="E340" s="177"/>
      <c r="F340" s="173"/>
    </row>
    <row r="341" spans="5:6">
      <c r="E341" s="177"/>
      <c r="F341" s="173"/>
    </row>
    <row r="342" spans="5:6">
      <c r="E342" s="177"/>
      <c r="F342" s="173"/>
    </row>
    <row r="343" spans="5:6">
      <c r="E343" s="177"/>
      <c r="F343" s="173"/>
    </row>
    <row r="344" spans="5:6">
      <c r="E344" s="177"/>
      <c r="F344" s="173"/>
    </row>
    <row r="345" spans="5:6">
      <c r="E345" s="177"/>
      <c r="F345" s="173"/>
    </row>
    <row r="346" spans="5:6">
      <c r="E346" s="177"/>
      <c r="F346" s="173"/>
    </row>
    <row r="347" spans="5:6">
      <c r="E347" s="177"/>
      <c r="F347" s="173"/>
    </row>
    <row r="348" spans="5:6">
      <c r="E348" s="177"/>
      <c r="F348" s="173"/>
    </row>
    <row r="349" spans="5:6">
      <c r="E349" s="177"/>
      <c r="F349" s="173"/>
    </row>
    <row r="350" spans="5:6">
      <c r="E350" s="177"/>
      <c r="F350" s="173"/>
    </row>
    <row r="351" spans="5:6">
      <c r="E351" s="177"/>
      <c r="F351" s="173"/>
    </row>
    <row r="352" spans="5:6">
      <c r="E352" s="177"/>
      <c r="F352" s="173"/>
    </row>
    <row r="353" spans="5:6">
      <c r="E353" s="177"/>
      <c r="F353" s="173"/>
    </row>
    <row r="354" spans="5:6">
      <c r="E354" s="177"/>
      <c r="F354" s="173"/>
    </row>
    <row r="355" spans="5:6">
      <c r="E355" s="177"/>
      <c r="F355" s="173"/>
    </row>
    <row r="356" spans="5:6">
      <c r="E356" s="177"/>
      <c r="F356" s="173"/>
    </row>
    <row r="357" spans="5:6">
      <c r="E357" s="177"/>
      <c r="F357" s="173"/>
    </row>
    <row r="358" spans="5:6">
      <c r="E358" s="177"/>
      <c r="F358" s="173"/>
    </row>
    <row r="359" spans="5:6">
      <c r="E359" s="177"/>
      <c r="F359" s="173"/>
    </row>
    <row r="360" spans="5:6">
      <c r="E360" s="177"/>
      <c r="F360" s="173"/>
    </row>
    <row r="361" spans="5:6">
      <c r="E361" s="177"/>
      <c r="F361" s="173"/>
    </row>
    <row r="362" spans="5:6">
      <c r="E362" s="177"/>
      <c r="F362" s="173"/>
    </row>
    <row r="363" spans="5:6">
      <c r="E363" s="177"/>
      <c r="F363" s="173"/>
    </row>
    <row r="364" spans="5:6">
      <c r="E364" s="177"/>
      <c r="F364" s="173"/>
    </row>
    <row r="365" spans="5:6">
      <c r="E365" s="177"/>
      <c r="F365" s="173"/>
    </row>
    <row r="366" spans="5:6">
      <c r="E366" s="177"/>
      <c r="F366" s="173"/>
    </row>
    <row r="367" spans="5:6">
      <c r="E367" s="177"/>
      <c r="F367" s="173"/>
    </row>
    <row r="368" spans="5:6">
      <c r="E368" s="177"/>
      <c r="F368" s="173"/>
    </row>
    <row r="369" spans="5:6">
      <c r="E369" s="177"/>
      <c r="F369" s="173"/>
    </row>
    <row r="370" spans="5:6">
      <c r="E370" s="177"/>
      <c r="F370" s="173"/>
    </row>
    <row r="371" spans="5:6">
      <c r="E371" s="177"/>
      <c r="F371" s="173"/>
    </row>
    <row r="372" spans="5:6">
      <c r="E372" s="177"/>
      <c r="F372" s="173"/>
    </row>
    <row r="373" spans="5:6">
      <c r="E373" s="177"/>
      <c r="F373" s="173"/>
    </row>
    <row r="374" spans="5:6">
      <c r="E374" s="177"/>
      <c r="F374" s="173"/>
    </row>
    <row r="375" spans="5:6">
      <c r="E375" s="177"/>
      <c r="F375" s="173"/>
    </row>
    <row r="376" spans="5:6">
      <c r="E376" s="177"/>
      <c r="F376" s="173"/>
    </row>
    <row r="377" spans="5:6">
      <c r="E377" s="177"/>
      <c r="F377" s="173"/>
    </row>
    <row r="378" spans="5:6">
      <c r="E378" s="177"/>
      <c r="F378" s="173"/>
    </row>
    <row r="379" spans="5:6">
      <c r="E379" s="177"/>
      <c r="F379" s="173"/>
    </row>
    <row r="380" spans="5:6">
      <c r="E380" s="177"/>
      <c r="F380" s="173"/>
    </row>
    <row r="381" spans="5:6">
      <c r="E381" s="177"/>
      <c r="F381" s="173"/>
    </row>
    <row r="382" spans="5:6">
      <c r="E382" s="177"/>
      <c r="F382" s="173"/>
    </row>
    <row r="383" spans="5:6">
      <c r="E383" s="177"/>
      <c r="F383" s="173"/>
    </row>
    <row r="384" spans="5:6">
      <c r="E384" s="177"/>
      <c r="F384" s="173"/>
    </row>
    <row r="385" spans="5:6">
      <c r="E385" s="177"/>
      <c r="F385" s="173"/>
    </row>
    <row r="386" spans="5:6">
      <c r="E386" s="177"/>
      <c r="F386" s="173"/>
    </row>
    <row r="387" spans="5:6">
      <c r="E387" s="177"/>
      <c r="F387" s="173"/>
    </row>
    <row r="388" spans="5:6">
      <c r="E388" s="177"/>
      <c r="F388" s="173"/>
    </row>
    <row r="389" spans="5:6">
      <c r="E389" s="177"/>
      <c r="F389" s="173"/>
    </row>
    <row r="390" spans="5:6">
      <c r="E390" s="177"/>
      <c r="F390" s="173"/>
    </row>
    <row r="391" spans="5:6">
      <c r="E391" s="177"/>
      <c r="F391" s="173"/>
    </row>
    <row r="392" spans="5:6">
      <c r="E392" s="177"/>
      <c r="F392" s="173"/>
    </row>
    <row r="393" spans="5:6">
      <c r="E393" s="177"/>
      <c r="F393" s="173"/>
    </row>
    <row r="394" spans="5:6">
      <c r="E394" s="177"/>
      <c r="F394" s="173"/>
    </row>
    <row r="395" spans="5:6">
      <c r="E395" s="177"/>
      <c r="F395" s="173"/>
    </row>
    <row r="396" spans="5:6">
      <c r="E396" s="177"/>
      <c r="F396" s="173"/>
    </row>
    <row r="397" spans="5:6">
      <c r="E397" s="177"/>
      <c r="F397" s="173"/>
    </row>
    <row r="398" spans="5:6">
      <c r="E398" s="177"/>
      <c r="F398" s="173"/>
    </row>
    <row r="399" spans="5:6">
      <c r="E399" s="177"/>
      <c r="F399" s="173"/>
    </row>
    <row r="400" spans="5:6">
      <c r="E400" s="177"/>
      <c r="F400" s="173"/>
    </row>
    <row r="401" spans="5:6">
      <c r="E401" s="177"/>
      <c r="F401" s="173"/>
    </row>
    <row r="402" spans="5:6">
      <c r="E402" s="177"/>
      <c r="F402" s="173"/>
    </row>
    <row r="403" spans="5:6">
      <c r="E403" s="177"/>
      <c r="F403" s="173"/>
    </row>
    <row r="404" spans="5:6">
      <c r="E404" s="177"/>
      <c r="F404" s="173"/>
    </row>
    <row r="405" spans="5:6">
      <c r="E405" s="177"/>
      <c r="F405" s="173"/>
    </row>
    <row r="406" spans="5:6">
      <c r="E406" s="177"/>
      <c r="F406" s="173"/>
    </row>
    <row r="407" spans="5:6">
      <c r="E407" s="177"/>
      <c r="F407" s="173"/>
    </row>
    <row r="408" spans="5:6">
      <c r="E408" s="177"/>
      <c r="F408" s="173"/>
    </row>
    <row r="409" spans="5:6">
      <c r="E409" s="177"/>
      <c r="F409" s="173"/>
    </row>
    <row r="410" spans="5:6">
      <c r="E410" s="177"/>
      <c r="F410" s="173"/>
    </row>
    <row r="411" spans="5:6">
      <c r="E411" s="177"/>
      <c r="F411" s="173"/>
    </row>
    <row r="412" spans="5:6">
      <c r="E412" s="177"/>
      <c r="F412" s="173"/>
    </row>
    <row r="413" spans="5:6">
      <c r="E413" s="177"/>
      <c r="F413" s="173"/>
    </row>
    <row r="414" spans="5:6">
      <c r="E414" s="177"/>
      <c r="F414" s="173"/>
    </row>
    <row r="415" spans="5:6">
      <c r="E415" s="177"/>
      <c r="F415" s="173"/>
    </row>
    <row r="416" spans="5:6">
      <c r="E416" s="177"/>
      <c r="F416" s="173"/>
    </row>
    <row r="417" spans="5:6">
      <c r="E417" s="177"/>
      <c r="F417" s="173"/>
    </row>
    <row r="418" spans="5:6">
      <c r="E418" s="177"/>
      <c r="F418" s="173"/>
    </row>
    <row r="419" spans="5:6">
      <c r="E419" s="177"/>
      <c r="F419" s="173"/>
    </row>
    <row r="420" spans="5:6">
      <c r="E420" s="177"/>
      <c r="F420" s="173"/>
    </row>
    <row r="421" spans="5:6">
      <c r="E421" s="177"/>
      <c r="F421" s="173"/>
    </row>
    <row r="422" spans="5:6">
      <c r="E422" s="177"/>
      <c r="F422" s="173"/>
    </row>
    <row r="423" spans="5:6">
      <c r="E423" s="177"/>
      <c r="F423" s="173"/>
    </row>
    <row r="424" spans="5:6">
      <c r="E424" s="177"/>
      <c r="F424" s="173"/>
    </row>
    <row r="425" spans="5:6">
      <c r="E425" s="177"/>
      <c r="F425" s="173"/>
    </row>
    <row r="426" spans="5:6">
      <c r="E426" s="177"/>
      <c r="F426" s="173"/>
    </row>
    <row r="427" spans="5:6">
      <c r="E427" s="177"/>
      <c r="F427" s="173"/>
    </row>
    <row r="428" spans="5:6">
      <c r="E428" s="177"/>
      <c r="F428" s="173"/>
    </row>
    <row r="429" spans="5:6">
      <c r="E429" s="177"/>
      <c r="F429" s="173"/>
    </row>
    <row r="430" spans="5:6">
      <c r="E430" s="177"/>
      <c r="F430" s="173"/>
    </row>
    <row r="431" spans="5:6">
      <c r="E431" s="177"/>
      <c r="F431" s="173"/>
    </row>
    <row r="432" spans="5:6">
      <c r="E432" s="177"/>
      <c r="F432" s="173"/>
    </row>
    <row r="433" spans="5:6">
      <c r="E433" s="177"/>
      <c r="F433" s="173"/>
    </row>
    <row r="434" spans="5:6">
      <c r="E434" s="177"/>
      <c r="F434" s="173"/>
    </row>
    <row r="435" spans="5:6">
      <c r="E435" s="177"/>
      <c r="F435" s="173"/>
    </row>
    <row r="436" spans="5:6">
      <c r="E436" s="177"/>
      <c r="F436" s="173"/>
    </row>
    <row r="437" spans="5:6">
      <c r="E437" s="177"/>
      <c r="F437" s="173"/>
    </row>
    <row r="438" spans="5:6">
      <c r="E438" s="177"/>
      <c r="F438" s="173"/>
    </row>
    <row r="439" spans="5:6">
      <c r="E439" s="177"/>
      <c r="F439" s="173"/>
    </row>
    <row r="440" spans="5:6">
      <c r="E440" s="177"/>
      <c r="F440" s="173"/>
    </row>
    <row r="441" spans="5:6">
      <c r="E441" s="177"/>
      <c r="F441" s="173"/>
    </row>
    <row r="442" spans="5:6">
      <c r="E442" s="177"/>
      <c r="F442" s="173"/>
    </row>
    <row r="443" spans="5:6">
      <c r="E443" s="177"/>
      <c r="F443" s="173"/>
    </row>
    <row r="444" spans="5:6">
      <c r="E444" s="177"/>
      <c r="F444" s="173"/>
    </row>
    <row r="445" spans="5:6">
      <c r="E445" s="177"/>
      <c r="F445" s="173"/>
    </row>
    <row r="446" spans="5:6">
      <c r="E446" s="177"/>
      <c r="F446" s="173"/>
    </row>
    <row r="447" spans="5:6">
      <c r="E447" s="177"/>
      <c r="F447" s="173"/>
    </row>
    <row r="448" spans="5:6">
      <c r="E448" s="177"/>
      <c r="F448" s="173"/>
    </row>
    <row r="449" spans="5:6">
      <c r="E449" s="177"/>
      <c r="F449" s="173"/>
    </row>
    <row r="450" spans="5:6">
      <c r="E450" s="177"/>
      <c r="F450" s="173"/>
    </row>
    <row r="451" spans="5:6">
      <c r="E451" s="177"/>
      <c r="F451" s="173"/>
    </row>
    <row r="452" spans="5:6">
      <c r="E452" s="177"/>
      <c r="F452" s="173"/>
    </row>
    <row r="453" spans="5:6">
      <c r="E453" s="177"/>
      <c r="F453" s="173"/>
    </row>
    <row r="454" spans="5:6">
      <c r="E454" s="177"/>
      <c r="F454" s="173"/>
    </row>
    <row r="455" spans="5:6">
      <c r="E455" s="177"/>
      <c r="F455" s="173"/>
    </row>
    <row r="456" spans="5:6">
      <c r="E456" s="177"/>
      <c r="F456" s="173"/>
    </row>
    <row r="457" spans="5:6">
      <c r="E457" s="177"/>
      <c r="F457" s="173"/>
    </row>
    <row r="458" spans="5:6">
      <c r="E458" s="177"/>
      <c r="F458" s="173"/>
    </row>
    <row r="459" spans="5:6">
      <c r="E459" s="177"/>
      <c r="F459" s="173"/>
    </row>
    <row r="460" spans="5:6">
      <c r="E460" s="177"/>
      <c r="F460" s="173"/>
    </row>
    <row r="461" spans="5:6">
      <c r="E461" s="177"/>
      <c r="F461" s="173"/>
    </row>
    <row r="462" spans="5:6">
      <c r="E462" s="177"/>
      <c r="F462" s="173"/>
    </row>
    <row r="463" spans="5:6">
      <c r="E463" s="177"/>
      <c r="F463" s="173"/>
    </row>
    <row r="464" spans="5:6">
      <c r="E464" s="177"/>
      <c r="F464" s="173"/>
    </row>
    <row r="465" spans="5:6">
      <c r="E465" s="177"/>
      <c r="F465" s="173"/>
    </row>
    <row r="466" spans="5:6">
      <c r="E466" s="177"/>
      <c r="F466" s="173"/>
    </row>
    <row r="467" spans="5:6">
      <c r="E467" s="177"/>
      <c r="F467" s="173"/>
    </row>
    <row r="468" spans="5:6">
      <c r="E468" s="177"/>
      <c r="F468" s="173"/>
    </row>
    <row r="469" spans="5:6">
      <c r="E469" s="177"/>
      <c r="F469" s="173"/>
    </row>
    <row r="470" spans="5:6">
      <c r="E470" s="177"/>
      <c r="F470" s="173"/>
    </row>
    <row r="471" spans="5:6">
      <c r="E471" s="177"/>
      <c r="F471" s="173"/>
    </row>
    <row r="472" spans="5:6">
      <c r="E472" s="177"/>
      <c r="F472" s="173"/>
    </row>
    <row r="473" spans="5:6">
      <c r="E473" s="177"/>
      <c r="F473" s="173"/>
    </row>
    <row r="474" spans="5:6">
      <c r="E474" s="177"/>
      <c r="F474" s="173"/>
    </row>
    <row r="475" spans="5:6">
      <c r="E475" s="177"/>
      <c r="F475" s="173"/>
    </row>
    <row r="476" spans="5:6">
      <c r="E476" s="177"/>
      <c r="F476" s="173"/>
    </row>
    <row r="477" spans="5:6">
      <c r="E477" s="177"/>
      <c r="F477" s="173"/>
    </row>
    <row r="478" spans="5:6">
      <c r="E478" s="177"/>
      <c r="F478" s="173"/>
    </row>
    <row r="479" spans="5:6">
      <c r="E479" s="177"/>
      <c r="F479" s="173"/>
    </row>
    <row r="480" spans="5:6">
      <c r="E480" s="177"/>
      <c r="F480" s="173"/>
    </row>
    <row r="481" spans="5:6">
      <c r="E481" s="177"/>
      <c r="F481" s="173"/>
    </row>
    <row r="482" spans="5:6">
      <c r="E482" s="177"/>
      <c r="F482" s="173"/>
    </row>
    <row r="483" spans="5:6">
      <c r="E483" s="177"/>
      <c r="F483" s="173"/>
    </row>
    <row r="484" spans="5:6">
      <c r="E484" s="177"/>
      <c r="F484" s="173"/>
    </row>
    <row r="485" spans="5:6">
      <c r="E485" s="177"/>
      <c r="F485" s="173"/>
    </row>
    <row r="486" spans="5:6">
      <c r="E486" s="177"/>
      <c r="F486" s="173"/>
    </row>
    <row r="487" spans="5:6">
      <c r="E487" s="177"/>
      <c r="F487" s="173"/>
    </row>
    <row r="488" spans="5:6">
      <c r="E488" s="177"/>
      <c r="F488" s="173"/>
    </row>
    <row r="489" spans="5:6">
      <c r="E489" s="177"/>
      <c r="F489" s="173"/>
    </row>
    <row r="490" spans="5:6">
      <c r="E490" s="177"/>
      <c r="F490" s="173"/>
    </row>
    <row r="491" spans="5:6">
      <c r="E491" s="177"/>
      <c r="F491" s="173"/>
    </row>
    <row r="492" spans="5:6">
      <c r="E492" s="177"/>
      <c r="F492" s="173"/>
    </row>
    <row r="493" spans="5:6">
      <c r="E493" s="177"/>
      <c r="F493" s="173"/>
    </row>
    <row r="494" spans="5:6">
      <c r="E494" s="177"/>
      <c r="F494" s="173"/>
    </row>
    <row r="495" spans="5:6">
      <c r="E495" s="177"/>
      <c r="F495" s="173"/>
    </row>
    <row r="496" spans="5:6">
      <c r="E496" s="177"/>
      <c r="F496" s="173"/>
    </row>
    <row r="497" spans="5:6">
      <c r="E497" s="177"/>
      <c r="F497" s="173"/>
    </row>
    <row r="498" spans="5:6">
      <c r="E498" s="177"/>
      <c r="F498" s="173"/>
    </row>
    <row r="499" spans="5:6">
      <c r="E499" s="177"/>
      <c r="F499" s="173"/>
    </row>
    <row r="500" spans="5:6">
      <c r="E500" s="177"/>
      <c r="F500" s="173"/>
    </row>
    <row r="501" spans="5:6">
      <c r="E501" s="177"/>
      <c r="F501" s="173"/>
    </row>
    <row r="502" spans="5:6">
      <c r="E502" s="177"/>
      <c r="F502" s="173"/>
    </row>
    <row r="503" spans="5:6">
      <c r="E503" s="177"/>
      <c r="F503" s="173"/>
    </row>
    <row r="504" spans="5:6">
      <c r="E504" s="177"/>
      <c r="F504" s="173"/>
    </row>
    <row r="505" spans="5:6">
      <c r="E505" s="177"/>
      <c r="F505" s="173"/>
    </row>
    <row r="506" spans="5:6">
      <c r="E506" s="177"/>
      <c r="F506" s="173"/>
    </row>
    <row r="507" spans="5:6">
      <c r="E507" s="177"/>
      <c r="F507" s="173"/>
    </row>
    <row r="508" spans="5:6">
      <c r="E508" s="177"/>
      <c r="F508" s="173"/>
    </row>
    <row r="509" spans="5:6">
      <c r="E509" s="177"/>
      <c r="F509" s="173"/>
    </row>
    <row r="510" spans="5:6">
      <c r="E510" s="177"/>
      <c r="F510" s="173"/>
    </row>
    <row r="511" spans="5:6">
      <c r="E511" s="177"/>
      <c r="F511" s="173"/>
    </row>
    <row r="512" spans="5:6">
      <c r="E512" s="177"/>
      <c r="F512" s="173"/>
    </row>
    <row r="513" spans="5:6">
      <c r="E513" s="177"/>
      <c r="F513" s="173"/>
    </row>
    <row r="514" spans="5:6">
      <c r="E514" s="177"/>
      <c r="F514" s="173"/>
    </row>
    <row r="515" spans="5:6">
      <c r="E515" s="177"/>
      <c r="F515" s="173"/>
    </row>
    <row r="516" spans="5:6">
      <c r="E516" s="177"/>
      <c r="F516" s="173"/>
    </row>
    <row r="517" spans="5:6">
      <c r="E517" s="177"/>
      <c r="F517" s="173"/>
    </row>
    <row r="518" spans="5:6">
      <c r="E518" s="177"/>
      <c r="F518" s="173"/>
    </row>
    <row r="519" spans="5:6">
      <c r="E519" s="177"/>
      <c r="F519" s="173"/>
    </row>
    <row r="520" spans="5:6">
      <c r="E520" s="177"/>
      <c r="F520" s="173"/>
    </row>
    <row r="521" spans="5:6">
      <c r="E521" s="177"/>
      <c r="F521" s="173"/>
    </row>
    <row r="522" spans="5:6">
      <c r="E522" s="177"/>
      <c r="F522" s="173"/>
    </row>
    <row r="523" spans="5:6">
      <c r="E523" s="177"/>
      <c r="F523" s="173"/>
    </row>
    <row r="524" spans="5:6">
      <c r="E524" s="177"/>
      <c r="F524" s="173"/>
    </row>
    <row r="525" spans="5:6">
      <c r="E525" s="177"/>
      <c r="F525" s="173"/>
    </row>
    <row r="526" spans="5:6">
      <c r="E526" s="177"/>
      <c r="F526" s="173"/>
    </row>
    <row r="527" spans="5:6">
      <c r="E527" s="177"/>
      <c r="F527" s="173"/>
    </row>
    <row r="528" spans="5:6">
      <c r="E528" s="177"/>
      <c r="F528" s="173"/>
    </row>
    <row r="529" spans="5:6">
      <c r="E529" s="177"/>
      <c r="F529" s="173"/>
    </row>
    <row r="530" spans="5:6">
      <c r="E530" s="177"/>
      <c r="F530" s="173"/>
    </row>
    <row r="531" spans="5:6">
      <c r="E531" s="177"/>
      <c r="F531" s="173"/>
    </row>
    <row r="532" spans="5:6">
      <c r="E532" s="177"/>
      <c r="F532" s="173"/>
    </row>
    <row r="533" spans="5:6">
      <c r="E533" s="177"/>
      <c r="F533" s="173"/>
    </row>
    <row r="534" spans="5:6">
      <c r="E534" s="177"/>
      <c r="F534" s="173"/>
    </row>
    <row r="535" spans="5:6">
      <c r="E535" s="177"/>
      <c r="F535" s="173"/>
    </row>
    <row r="536" spans="5:6">
      <c r="E536" s="177"/>
      <c r="F536" s="173"/>
    </row>
    <row r="537" spans="5:6">
      <c r="E537" s="177"/>
      <c r="F537" s="173"/>
    </row>
    <row r="538" spans="5:6">
      <c r="E538" s="177"/>
      <c r="F538" s="173"/>
    </row>
    <row r="539" spans="5:6">
      <c r="E539" s="177"/>
      <c r="F539" s="173"/>
    </row>
    <row r="540" spans="5:6">
      <c r="E540" s="177"/>
      <c r="F540" s="173"/>
    </row>
    <row r="541" spans="5:6">
      <c r="E541" s="177"/>
      <c r="F541" s="173"/>
    </row>
    <row r="542" spans="5:6">
      <c r="E542" s="177"/>
      <c r="F542" s="173"/>
    </row>
    <row r="543" spans="5:6">
      <c r="E543" s="177"/>
      <c r="F543" s="173"/>
    </row>
    <row r="544" spans="5:6">
      <c r="E544" s="177"/>
      <c r="F544" s="173"/>
    </row>
    <row r="545" spans="5:6">
      <c r="E545" s="177"/>
      <c r="F545" s="173"/>
    </row>
    <row r="546" spans="5:6">
      <c r="E546" s="177"/>
      <c r="F546" s="173"/>
    </row>
    <row r="547" spans="5:6">
      <c r="E547" s="177"/>
      <c r="F547" s="173"/>
    </row>
    <row r="548" spans="5:6">
      <c r="E548" s="177"/>
      <c r="F548" s="173"/>
    </row>
    <row r="549" spans="5:6">
      <c r="E549" s="177"/>
      <c r="F549" s="173"/>
    </row>
    <row r="550" spans="5:6">
      <c r="E550" s="177"/>
      <c r="F550" s="173"/>
    </row>
    <row r="551" spans="5:6">
      <c r="E551" s="177"/>
      <c r="F551" s="173"/>
    </row>
    <row r="552" spans="5:6">
      <c r="E552" s="177"/>
      <c r="F552" s="173"/>
    </row>
    <row r="553" spans="5:6">
      <c r="E553" s="177"/>
      <c r="F553" s="173"/>
    </row>
    <row r="554" spans="5:6">
      <c r="E554" s="177"/>
      <c r="F554" s="173"/>
    </row>
    <row r="555" spans="5:6">
      <c r="E555" s="177"/>
      <c r="F555" s="173"/>
    </row>
    <row r="556" spans="5:6">
      <c r="E556" s="177"/>
      <c r="F556" s="173"/>
    </row>
    <row r="557" spans="5:6">
      <c r="E557" s="177"/>
      <c r="F557" s="173"/>
    </row>
    <row r="558" spans="5:6">
      <c r="E558" s="177"/>
      <c r="F558" s="173"/>
    </row>
    <row r="559" spans="5:6">
      <c r="E559" s="177"/>
      <c r="F559" s="173"/>
    </row>
    <row r="560" spans="5:6">
      <c r="E560" s="177"/>
      <c r="F560" s="173"/>
    </row>
    <row r="561" spans="5:6">
      <c r="E561" s="177"/>
      <c r="F561" s="173"/>
    </row>
    <row r="562" spans="5:6">
      <c r="E562" s="177"/>
      <c r="F562" s="173"/>
    </row>
    <row r="563" spans="5:6">
      <c r="E563" s="177"/>
      <c r="F563" s="173"/>
    </row>
    <row r="564" spans="5:6">
      <c r="E564" s="177"/>
      <c r="F564" s="173"/>
    </row>
    <row r="565" spans="5:6">
      <c r="E565" s="177"/>
      <c r="F565" s="173"/>
    </row>
    <row r="566" spans="5:6">
      <c r="E566" s="177"/>
      <c r="F566" s="173"/>
    </row>
    <row r="567" spans="5:6">
      <c r="E567" s="177"/>
      <c r="F567" s="173"/>
    </row>
    <row r="568" spans="5:6">
      <c r="E568" s="177"/>
      <c r="F568" s="173"/>
    </row>
    <row r="569" spans="5:6">
      <c r="E569" s="177"/>
      <c r="F569" s="173"/>
    </row>
    <row r="570" spans="5:6">
      <c r="E570" s="177"/>
      <c r="F570" s="173"/>
    </row>
    <row r="571" spans="5:6">
      <c r="E571" s="177"/>
      <c r="F571" s="173"/>
    </row>
    <row r="572" spans="5:6">
      <c r="E572" s="177"/>
      <c r="F572" s="173"/>
    </row>
    <row r="573" spans="5:6">
      <c r="E573" s="177"/>
      <c r="F573" s="173"/>
    </row>
    <row r="574" spans="5:6">
      <c r="E574" s="177"/>
      <c r="F574" s="173"/>
    </row>
    <row r="575" spans="5:6">
      <c r="E575" s="177"/>
      <c r="F575" s="173"/>
    </row>
    <row r="576" spans="5:6">
      <c r="E576" s="177"/>
      <c r="F576" s="173"/>
    </row>
    <row r="577" spans="5:6">
      <c r="E577" s="177"/>
      <c r="F577" s="173"/>
    </row>
    <row r="578" spans="5:6">
      <c r="E578" s="177"/>
      <c r="F578" s="173"/>
    </row>
    <row r="579" spans="5:6">
      <c r="E579" s="177"/>
      <c r="F579" s="173"/>
    </row>
    <row r="580" spans="5:6">
      <c r="E580" s="177"/>
      <c r="F580" s="173"/>
    </row>
    <row r="581" spans="5:6">
      <c r="E581" s="177"/>
      <c r="F581" s="173"/>
    </row>
    <row r="582" spans="5:6">
      <c r="E582" s="177"/>
      <c r="F582" s="173"/>
    </row>
    <row r="583" spans="5:6">
      <c r="E583" s="177"/>
      <c r="F583" s="173"/>
    </row>
    <row r="584" spans="5:6">
      <c r="E584" s="177"/>
      <c r="F584" s="173"/>
    </row>
    <row r="585" spans="5:6">
      <c r="E585" s="177"/>
      <c r="F585" s="173"/>
    </row>
    <row r="586" spans="5:6">
      <c r="E586" s="177"/>
      <c r="F586" s="173"/>
    </row>
    <row r="587" spans="5:6">
      <c r="E587" s="177"/>
      <c r="F587" s="173"/>
    </row>
    <row r="588" spans="5:6">
      <c r="E588" s="177"/>
      <c r="F588" s="173"/>
    </row>
    <row r="589" spans="5:6">
      <c r="E589" s="177"/>
      <c r="F589" s="173"/>
    </row>
    <row r="590" spans="5:6">
      <c r="E590" s="177"/>
      <c r="F590" s="173"/>
    </row>
    <row r="591" spans="5:6">
      <c r="E591" s="177"/>
      <c r="F591" s="173"/>
    </row>
    <row r="592" spans="5:6">
      <c r="E592" s="177"/>
      <c r="F592" s="173"/>
    </row>
    <row r="593" spans="5:6">
      <c r="E593" s="177"/>
      <c r="F593" s="173"/>
    </row>
    <row r="594" spans="5:6">
      <c r="E594" s="177"/>
      <c r="F594" s="173"/>
    </row>
    <row r="595" spans="5:6">
      <c r="E595" s="177"/>
      <c r="F595" s="173"/>
    </row>
    <row r="596" spans="5:6">
      <c r="E596" s="177"/>
      <c r="F596" s="173"/>
    </row>
    <row r="597" spans="5:6">
      <c r="E597" s="177"/>
      <c r="F597" s="173"/>
    </row>
    <row r="598" spans="5:6">
      <c r="E598" s="177"/>
      <c r="F598" s="173"/>
    </row>
    <row r="599" spans="5:6">
      <c r="E599" s="177"/>
      <c r="F599" s="173"/>
    </row>
    <row r="600" spans="5:6">
      <c r="E600" s="177"/>
      <c r="F600" s="173"/>
    </row>
    <row r="601" spans="5:6">
      <c r="E601" s="177"/>
      <c r="F601" s="173"/>
    </row>
    <row r="602" spans="5:6">
      <c r="E602" s="177"/>
      <c r="F602" s="173"/>
    </row>
    <row r="603" spans="5:6">
      <c r="E603" s="177"/>
      <c r="F603" s="173"/>
    </row>
    <row r="604" spans="5:6">
      <c r="E604" s="177"/>
      <c r="F604" s="173"/>
    </row>
    <row r="605" spans="5:6">
      <c r="E605" s="177"/>
      <c r="F605" s="173"/>
    </row>
    <row r="606" spans="5:6">
      <c r="E606" s="177"/>
      <c r="F606" s="173"/>
    </row>
    <row r="607" spans="5:6">
      <c r="E607" s="177"/>
      <c r="F607" s="173"/>
    </row>
    <row r="608" spans="5:6">
      <c r="E608" s="177"/>
      <c r="F608" s="173"/>
    </row>
    <row r="609" spans="5:6">
      <c r="E609" s="177"/>
      <c r="F609" s="173"/>
    </row>
    <row r="610" spans="5:6">
      <c r="E610" s="177"/>
      <c r="F610" s="173"/>
    </row>
    <row r="611" spans="5:6">
      <c r="E611" s="177"/>
      <c r="F611" s="173"/>
    </row>
    <row r="612" spans="5:6">
      <c r="E612" s="177"/>
      <c r="F612" s="173"/>
    </row>
    <row r="613" spans="5:6">
      <c r="E613" s="177"/>
      <c r="F613" s="173"/>
    </row>
    <row r="614" spans="5:6">
      <c r="E614" s="177"/>
      <c r="F614" s="173"/>
    </row>
    <row r="615" spans="5:6">
      <c r="E615" s="177"/>
      <c r="F615" s="173"/>
    </row>
    <row r="616" spans="5:6">
      <c r="E616" s="177"/>
      <c r="F616" s="173"/>
    </row>
    <row r="617" spans="5:6">
      <c r="E617" s="177"/>
      <c r="F617" s="173"/>
    </row>
    <row r="618" spans="5:6">
      <c r="E618" s="177"/>
      <c r="F618" s="173"/>
    </row>
    <row r="619" spans="5:6">
      <c r="E619" s="177"/>
      <c r="F619" s="173"/>
    </row>
    <row r="620" spans="5:6">
      <c r="E620" s="177"/>
      <c r="F620" s="173"/>
    </row>
    <row r="621" spans="5:6">
      <c r="E621" s="177"/>
      <c r="F621" s="173"/>
    </row>
    <row r="622" spans="5:6">
      <c r="E622" s="177"/>
      <c r="F622" s="173"/>
    </row>
    <row r="623" spans="5:6">
      <c r="E623" s="177"/>
      <c r="F623" s="173"/>
    </row>
    <row r="624" spans="5:6">
      <c r="E624" s="177"/>
      <c r="F624" s="173"/>
    </row>
    <row r="625" spans="5:6">
      <c r="E625" s="177"/>
      <c r="F625" s="173"/>
    </row>
    <row r="626" spans="5:6">
      <c r="E626" s="177"/>
      <c r="F626" s="173"/>
    </row>
    <row r="627" spans="5:6">
      <c r="E627" s="177"/>
      <c r="F627" s="173"/>
    </row>
    <row r="628" spans="5:6">
      <c r="E628" s="177"/>
      <c r="F628" s="173"/>
    </row>
    <row r="629" spans="5:6">
      <c r="E629" s="177"/>
      <c r="F629" s="173"/>
    </row>
    <row r="630" spans="5:6">
      <c r="E630" s="177"/>
      <c r="F630" s="173"/>
    </row>
    <row r="631" spans="5:6">
      <c r="E631" s="177"/>
      <c r="F631" s="173"/>
    </row>
    <row r="632" spans="5:6">
      <c r="E632" s="177"/>
      <c r="F632" s="173"/>
    </row>
    <row r="633" spans="5:6">
      <c r="E633" s="177"/>
      <c r="F633" s="173"/>
    </row>
    <row r="634" spans="5:6">
      <c r="E634" s="177"/>
      <c r="F634" s="173"/>
    </row>
    <row r="635" spans="5:6">
      <c r="E635" s="177"/>
      <c r="F635" s="173"/>
    </row>
    <row r="636" spans="5:6">
      <c r="E636" s="177"/>
      <c r="F636" s="173"/>
    </row>
    <row r="637" spans="5:6">
      <c r="E637" s="177"/>
      <c r="F637" s="173"/>
    </row>
    <row r="638" spans="5:6">
      <c r="E638" s="177"/>
      <c r="F638" s="173"/>
    </row>
    <row r="639" spans="5:6">
      <c r="E639" s="177"/>
      <c r="F639" s="173"/>
    </row>
    <row r="640" spans="5:6">
      <c r="E640" s="177"/>
      <c r="F640" s="173"/>
    </row>
    <row r="641" spans="5:6">
      <c r="E641" s="177"/>
      <c r="F641" s="173"/>
    </row>
    <row r="642" spans="5:6">
      <c r="E642" s="177"/>
      <c r="F642" s="173"/>
    </row>
    <row r="643" spans="5:6">
      <c r="E643" s="177"/>
      <c r="F643" s="173"/>
    </row>
    <row r="644" spans="5:6">
      <c r="E644" s="177"/>
      <c r="F644" s="173"/>
    </row>
    <row r="645" spans="5:6">
      <c r="E645" s="177"/>
      <c r="F645" s="173"/>
    </row>
    <row r="646" spans="5:6">
      <c r="E646" s="177"/>
      <c r="F646" s="173"/>
    </row>
    <row r="647" spans="5:6">
      <c r="E647" s="177"/>
      <c r="F647" s="173"/>
    </row>
    <row r="648" spans="5:6">
      <c r="E648" s="177"/>
      <c r="F648" s="173"/>
    </row>
    <row r="649" spans="5:6">
      <c r="E649" s="177"/>
      <c r="F649" s="173"/>
    </row>
    <row r="650" spans="5:6">
      <c r="E650" s="177"/>
      <c r="F650" s="173"/>
    </row>
    <row r="651" spans="5:6">
      <c r="E651" s="177"/>
      <c r="F651" s="173"/>
    </row>
    <row r="652" spans="5:6">
      <c r="E652" s="177"/>
      <c r="F652" s="173"/>
    </row>
    <row r="653" spans="5:6">
      <c r="E653" s="177"/>
      <c r="F653" s="173"/>
    </row>
    <row r="654" spans="5:6">
      <c r="E654" s="177"/>
      <c r="F654" s="173"/>
    </row>
    <row r="655" spans="5:6">
      <c r="E655" s="177"/>
      <c r="F655" s="173"/>
    </row>
    <row r="656" spans="5:6">
      <c r="E656" s="177"/>
      <c r="F656" s="173"/>
    </row>
    <row r="657" spans="5:6">
      <c r="E657" s="177"/>
      <c r="F657" s="173"/>
    </row>
    <row r="658" spans="5:6">
      <c r="E658" s="177"/>
      <c r="F658" s="173"/>
    </row>
    <row r="659" spans="5:6">
      <c r="E659" s="177"/>
      <c r="F659" s="173"/>
    </row>
    <row r="660" spans="5:6">
      <c r="E660" s="177"/>
      <c r="F660" s="173"/>
    </row>
    <row r="661" spans="5:6">
      <c r="E661" s="177"/>
      <c r="F661" s="173"/>
    </row>
    <row r="662" spans="5:6">
      <c r="E662" s="177"/>
      <c r="F662" s="173"/>
    </row>
    <row r="663" spans="5:6">
      <c r="E663" s="177"/>
      <c r="F663" s="173"/>
    </row>
    <row r="664" spans="5:6">
      <c r="E664" s="177"/>
      <c r="F664" s="173"/>
    </row>
    <row r="665" spans="5:6">
      <c r="E665" s="177"/>
      <c r="F665" s="173"/>
    </row>
    <row r="666" spans="5:6">
      <c r="E666" s="177"/>
      <c r="F666" s="173"/>
    </row>
    <row r="667" spans="5:6">
      <c r="E667" s="177"/>
      <c r="F667" s="173"/>
    </row>
    <row r="668" spans="5:6">
      <c r="E668" s="177"/>
      <c r="F668" s="173"/>
    </row>
    <row r="669" spans="5:6">
      <c r="E669" s="177"/>
      <c r="F669" s="173"/>
    </row>
    <row r="670" spans="5:6">
      <c r="E670" s="177"/>
      <c r="F670" s="173"/>
    </row>
    <row r="671" spans="5:6">
      <c r="E671" s="177"/>
      <c r="F671" s="173"/>
    </row>
    <row r="672" spans="5:6">
      <c r="E672" s="177"/>
      <c r="F672" s="173"/>
    </row>
    <row r="673" spans="5:6">
      <c r="E673" s="177"/>
      <c r="F673" s="173"/>
    </row>
    <row r="674" spans="5:6">
      <c r="E674" s="177"/>
      <c r="F674" s="173"/>
    </row>
    <row r="675" spans="5:6">
      <c r="E675" s="177"/>
      <c r="F675" s="173"/>
    </row>
    <row r="676" spans="5:6">
      <c r="E676" s="177"/>
      <c r="F676" s="173"/>
    </row>
    <row r="677" spans="5:6">
      <c r="E677" s="177"/>
      <c r="F677" s="173"/>
    </row>
    <row r="678" spans="5:6">
      <c r="E678" s="177"/>
      <c r="F678" s="173"/>
    </row>
    <row r="679" spans="5:6">
      <c r="E679" s="177"/>
      <c r="F679" s="173"/>
    </row>
    <row r="680" spans="5:6">
      <c r="E680" s="177"/>
      <c r="F680" s="173"/>
    </row>
    <row r="681" spans="5:6">
      <c r="E681" s="177"/>
      <c r="F681" s="173"/>
    </row>
    <row r="682" spans="5:6">
      <c r="E682" s="177"/>
      <c r="F682" s="173"/>
    </row>
    <row r="683" spans="5:6">
      <c r="E683" s="177"/>
      <c r="F683" s="173"/>
    </row>
    <row r="684" spans="5:6">
      <c r="E684" s="177"/>
      <c r="F684" s="173"/>
    </row>
    <row r="685" spans="5:6">
      <c r="E685" s="177"/>
      <c r="F685" s="173"/>
    </row>
    <row r="686" spans="5:6">
      <c r="E686" s="177"/>
      <c r="F686" s="173"/>
    </row>
    <row r="687" spans="5:6">
      <c r="E687" s="177"/>
      <c r="F687" s="173"/>
    </row>
    <row r="688" spans="5:6">
      <c r="E688" s="177"/>
      <c r="F688" s="173"/>
    </row>
    <row r="689" spans="5:6">
      <c r="E689" s="177"/>
      <c r="F689" s="173"/>
    </row>
    <row r="690" spans="5:6">
      <c r="E690" s="177"/>
      <c r="F690" s="173"/>
    </row>
    <row r="691" spans="5:6">
      <c r="E691" s="177"/>
      <c r="F691" s="173"/>
    </row>
    <row r="692" spans="5:6">
      <c r="E692" s="177"/>
      <c r="F692" s="173"/>
    </row>
    <row r="693" spans="5:6">
      <c r="E693" s="177"/>
      <c r="F693" s="173"/>
    </row>
    <row r="694" spans="5:6">
      <c r="E694" s="177"/>
      <c r="F694" s="173"/>
    </row>
    <row r="695" spans="5:6">
      <c r="E695" s="177"/>
      <c r="F695" s="173"/>
    </row>
    <row r="696" spans="5:6">
      <c r="E696" s="177"/>
      <c r="F696" s="173"/>
    </row>
    <row r="697" spans="5:6">
      <c r="E697" s="177"/>
      <c r="F697" s="173"/>
    </row>
    <row r="698" spans="5:6">
      <c r="E698" s="177"/>
      <c r="F698" s="173"/>
    </row>
    <row r="699" spans="5:6">
      <c r="E699" s="177"/>
      <c r="F699" s="173"/>
    </row>
    <row r="700" spans="5:6">
      <c r="E700" s="177"/>
      <c r="F700" s="173"/>
    </row>
    <row r="701" spans="5:6">
      <c r="E701" s="177"/>
      <c r="F701" s="173"/>
    </row>
    <row r="702" spans="5:6">
      <c r="E702" s="177"/>
      <c r="F702" s="173"/>
    </row>
    <row r="703" spans="5:6">
      <c r="E703" s="177"/>
      <c r="F703" s="173"/>
    </row>
    <row r="704" spans="5:6">
      <c r="E704" s="177"/>
      <c r="F704" s="173"/>
    </row>
    <row r="705" spans="5:6">
      <c r="E705" s="177"/>
      <c r="F705" s="173"/>
    </row>
    <row r="706" spans="5:6">
      <c r="E706" s="177"/>
      <c r="F706" s="173"/>
    </row>
    <row r="707" spans="5:6">
      <c r="E707" s="177"/>
      <c r="F707" s="173"/>
    </row>
    <row r="708" spans="5:6">
      <c r="E708" s="177"/>
      <c r="F708" s="173"/>
    </row>
    <row r="709" spans="5:6">
      <c r="E709" s="177"/>
      <c r="F709" s="173"/>
    </row>
    <row r="710" spans="5:6">
      <c r="E710" s="177"/>
      <c r="F710" s="173"/>
    </row>
    <row r="711" spans="5:6">
      <c r="E711" s="177"/>
      <c r="F711" s="173"/>
    </row>
    <row r="712" spans="5:6">
      <c r="E712" s="177"/>
      <c r="F712" s="173"/>
    </row>
    <row r="713" spans="5:6">
      <c r="E713" s="177"/>
      <c r="F713" s="173"/>
    </row>
    <row r="714" spans="5:6">
      <c r="E714" s="177"/>
      <c r="F714" s="173"/>
    </row>
    <row r="715" spans="5:6">
      <c r="E715" s="177"/>
      <c r="F715" s="173"/>
    </row>
    <row r="716" spans="5:6">
      <c r="E716" s="177"/>
      <c r="F716" s="173"/>
    </row>
    <row r="717" spans="5:6">
      <c r="E717" s="177"/>
      <c r="F717" s="173"/>
    </row>
    <row r="718" spans="5:6">
      <c r="E718" s="177"/>
      <c r="F718" s="173"/>
    </row>
    <row r="719" spans="5:6">
      <c r="E719" s="177"/>
      <c r="F719" s="173"/>
    </row>
    <row r="720" spans="5:6">
      <c r="E720" s="177"/>
      <c r="F720" s="173"/>
    </row>
    <row r="721" spans="5:6">
      <c r="E721" s="177"/>
      <c r="F721" s="173"/>
    </row>
    <row r="722" spans="5:6">
      <c r="E722" s="177"/>
      <c r="F722" s="173"/>
    </row>
    <row r="723" spans="5:6">
      <c r="E723" s="177"/>
      <c r="F723" s="173"/>
    </row>
    <row r="724" spans="5:6">
      <c r="E724" s="177"/>
      <c r="F724" s="173"/>
    </row>
    <row r="725" spans="5:6">
      <c r="E725" s="177"/>
      <c r="F725" s="173"/>
    </row>
    <row r="726" spans="5:6">
      <c r="E726" s="177"/>
      <c r="F726" s="173"/>
    </row>
    <row r="727" spans="5:6">
      <c r="E727" s="177"/>
      <c r="F727" s="173"/>
    </row>
    <row r="728" spans="5:6">
      <c r="E728" s="177"/>
      <c r="F728" s="173"/>
    </row>
    <row r="729" spans="5:6">
      <c r="E729" s="177"/>
      <c r="F729" s="173"/>
    </row>
    <row r="730" spans="5:6">
      <c r="E730" s="177"/>
      <c r="F730" s="173"/>
    </row>
    <row r="731" spans="5:6">
      <c r="E731" s="177"/>
      <c r="F731" s="173"/>
    </row>
    <row r="732" spans="5:6">
      <c r="E732" s="177"/>
      <c r="F732" s="173"/>
    </row>
    <row r="733" spans="5:6">
      <c r="E733" s="177"/>
      <c r="F733" s="173"/>
    </row>
    <row r="734" spans="5:6">
      <c r="E734" s="177"/>
      <c r="F734" s="173"/>
    </row>
    <row r="735" spans="5:6">
      <c r="E735" s="177"/>
      <c r="F735" s="173"/>
    </row>
    <row r="736" spans="5:6">
      <c r="E736" s="177"/>
      <c r="F736" s="173"/>
    </row>
    <row r="737" spans="5:6">
      <c r="E737" s="177"/>
      <c r="F737" s="173"/>
    </row>
    <row r="738" spans="5:6">
      <c r="E738" s="177"/>
      <c r="F738" s="173"/>
    </row>
    <row r="739" spans="5:6">
      <c r="E739" s="177"/>
      <c r="F739" s="173"/>
    </row>
    <row r="740" spans="5:6">
      <c r="E740" s="177"/>
      <c r="F740" s="173"/>
    </row>
    <row r="741" spans="5:6">
      <c r="E741" s="177"/>
      <c r="F741" s="173"/>
    </row>
    <row r="742" spans="5:6">
      <c r="E742" s="177"/>
      <c r="F742" s="173"/>
    </row>
    <row r="743" spans="5:6">
      <c r="E743" s="177"/>
      <c r="F743" s="173"/>
    </row>
    <row r="744" spans="5:6">
      <c r="E744" s="177"/>
      <c r="F744" s="173"/>
    </row>
    <row r="745" spans="5:6">
      <c r="E745" s="177"/>
      <c r="F745" s="173"/>
    </row>
    <row r="746" spans="5:6">
      <c r="E746" s="177"/>
      <c r="F746" s="173"/>
    </row>
    <row r="747" spans="5:6">
      <c r="E747" s="177"/>
      <c r="F747" s="173"/>
    </row>
    <row r="748" spans="5:6">
      <c r="E748" s="177"/>
      <c r="F748" s="173"/>
    </row>
    <row r="749" spans="5:6">
      <c r="E749" s="177"/>
      <c r="F749" s="173"/>
    </row>
    <row r="750" spans="5:6">
      <c r="E750" s="177"/>
      <c r="F750" s="173"/>
    </row>
    <row r="751" spans="5:6">
      <c r="E751" s="177"/>
      <c r="F751" s="173"/>
    </row>
    <row r="752" spans="5:6">
      <c r="E752" s="177"/>
      <c r="F752" s="173"/>
    </row>
    <row r="753" spans="5:6">
      <c r="E753" s="177"/>
      <c r="F753" s="173"/>
    </row>
    <row r="754" spans="5:6">
      <c r="E754" s="177"/>
      <c r="F754" s="173"/>
    </row>
    <row r="755" spans="5:6">
      <c r="E755" s="177"/>
      <c r="F755" s="173"/>
    </row>
    <row r="756" spans="5:6">
      <c r="E756" s="177"/>
      <c r="F756" s="173"/>
    </row>
    <row r="757" spans="5:6">
      <c r="E757" s="177"/>
      <c r="F757" s="173"/>
    </row>
    <row r="758" spans="5:6">
      <c r="E758" s="177"/>
      <c r="F758" s="173"/>
    </row>
    <row r="759" spans="5:6">
      <c r="E759" s="177"/>
      <c r="F759" s="173"/>
    </row>
    <row r="760" spans="5:6">
      <c r="E760" s="177"/>
      <c r="F760" s="173"/>
    </row>
    <row r="761" spans="5:6">
      <c r="E761" s="177"/>
      <c r="F761" s="173"/>
    </row>
    <row r="762" spans="5:6">
      <c r="E762" s="177"/>
      <c r="F762" s="173"/>
    </row>
    <row r="763" spans="5:6">
      <c r="E763" s="177"/>
      <c r="F763" s="173"/>
    </row>
    <row r="764" spans="5:6">
      <c r="E764" s="177"/>
      <c r="F764" s="173"/>
    </row>
    <row r="765" spans="5:6">
      <c r="E765" s="177"/>
      <c r="F765" s="173"/>
    </row>
    <row r="766" spans="5:6">
      <c r="E766" s="177"/>
      <c r="F766" s="173"/>
    </row>
    <row r="767" spans="5:6">
      <c r="E767" s="177"/>
      <c r="F767" s="173"/>
    </row>
    <row r="768" spans="5:6">
      <c r="E768" s="177"/>
      <c r="F768" s="173"/>
    </row>
    <row r="769" spans="5:6">
      <c r="E769" s="177"/>
      <c r="F769" s="173"/>
    </row>
    <row r="770" spans="5:6">
      <c r="E770" s="177"/>
      <c r="F770" s="173"/>
    </row>
    <row r="771" spans="5:6">
      <c r="E771" s="177"/>
      <c r="F771" s="173"/>
    </row>
    <row r="772" spans="5:6">
      <c r="E772" s="177"/>
      <c r="F772" s="173"/>
    </row>
    <row r="773" spans="5:6">
      <c r="E773" s="177"/>
      <c r="F773" s="173"/>
    </row>
    <row r="774" spans="5:6">
      <c r="E774" s="177"/>
      <c r="F774" s="173"/>
    </row>
    <row r="775" spans="5:6">
      <c r="E775" s="177"/>
      <c r="F775" s="173"/>
    </row>
    <row r="776" spans="5:6">
      <c r="E776" s="177"/>
      <c r="F776" s="173"/>
    </row>
    <row r="777" spans="5:6">
      <c r="E777" s="177"/>
      <c r="F777" s="173"/>
    </row>
    <row r="778" spans="5:6">
      <c r="E778" s="177"/>
      <c r="F778" s="173"/>
    </row>
    <row r="779" spans="5:6">
      <c r="E779" s="177"/>
      <c r="F779" s="173"/>
    </row>
    <row r="780" spans="5:6">
      <c r="E780" s="177"/>
      <c r="F780" s="173"/>
    </row>
    <row r="781" spans="5:6">
      <c r="E781" s="177"/>
      <c r="F781" s="173"/>
    </row>
    <row r="782" spans="5:6">
      <c r="E782" s="177"/>
      <c r="F782" s="173"/>
    </row>
    <row r="783" spans="5:6">
      <c r="E783" s="177"/>
      <c r="F783" s="173"/>
    </row>
    <row r="784" spans="5:6">
      <c r="E784" s="177"/>
      <c r="F784" s="173"/>
    </row>
    <row r="785" spans="5:6">
      <c r="E785" s="177"/>
      <c r="F785" s="173"/>
    </row>
    <row r="786" spans="5:6">
      <c r="E786" s="177"/>
      <c r="F786" s="173"/>
    </row>
    <row r="787" spans="5:6">
      <c r="E787" s="177"/>
      <c r="F787" s="173"/>
    </row>
    <row r="788" spans="5:6">
      <c r="E788" s="177"/>
      <c r="F788" s="173"/>
    </row>
    <row r="789" spans="5:6">
      <c r="E789" s="177"/>
      <c r="F789" s="173"/>
    </row>
    <row r="790" spans="5:6">
      <c r="E790" s="177"/>
      <c r="F790" s="173"/>
    </row>
    <row r="791" spans="5:6">
      <c r="E791" s="177"/>
      <c r="F791" s="173"/>
    </row>
    <row r="792" spans="5:6">
      <c r="E792" s="177"/>
      <c r="F792" s="173"/>
    </row>
    <row r="793" spans="5:6">
      <c r="E793" s="177"/>
      <c r="F793" s="173"/>
    </row>
    <row r="794" spans="5:6">
      <c r="E794" s="177"/>
      <c r="F794" s="173"/>
    </row>
    <row r="795" spans="5:6">
      <c r="E795" s="177"/>
      <c r="F795" s="173"/>
    </row>
    <row r="796" spans="5:6">
      <c r="E796" s="177"/>
      <c r="F796" s="173"/>
    </row>
    <row r="797" spans="5:6">
      <c r="E797" s="177"/>
      <c r="F797" s="173"/>
    </row>
    <row r="798" spans="5:6">
      <c r="E798" s="177"/>
      <c r="F798" s="173"/>
    </row>
    <row r="799" spans="5:6">
      <c r="E799" s="177"/>
      <c r="F799" s="173"/>
    </row>
    <row r="800" spans="5:6">
      <c r="E800" s="177"/>
      <c r="F800" s="173"/>
    </row>
    <row r="801" spans="5:6">
      <c r="E801" s="177"/>
      <c r="F801" s="173"/>
    </row>
    <row r="802" spans="5:6">
      <c r="E802" s="177"/>
      <c r="F802" s="173"/>
    </row>
    <row r="803" spans="5:6">
      <c r="E803" s="177"/>
      <c r="F803" s="173"/>
    </row>
    <row r="804" spans="5:6">
      <c r="E804" s="177"/>
      <c r="F804" s="173"/>
    </row>
    <row r="805" spans="5:6">
      <c r="E805" s="177"/>
      <c r="F805" s="173"/>
    </row>
    <row r="806" spans="5:6">
      <c r="E806" s="177"/>
      <c r="F806" s="173"/>
    </row>
    <row r="807" spans="5:6">
      <c r="E807" s="177"/>
      <c r="F807" s="173"/>
    </row>
    <row r="808" spans="5:6">
      <c r="E808" s="177"/>
      <c r="F808" s="173"/>
    </row>
    <row r="809" spans="5:6">
      <c r="E809" s="177"/>
      <c r="F809" s="173"/>
    </row>
    <row r="810" spans="5:6">
      <c r="E810" s="177"/>
      <c r="F810" s="173"/>
    </row>
    <row r="811" spans="5:6">
      <c r="E811" s="177"/>
      <c r="F811" s="173"/>
    </row>
    <row r="812" spans="5:6">
      <c r="E812" s="177"/>
      <c r="F812" s="173"/>
    </row>
    <row r="813" spans="5:6">
      <c r="E813" s="177"/>
      <c r="F813" s="173"/>
    </row>
    <row r="814" spans="5:6">
      <c r="E814" s="177"/>
      <c r="F814" s="173"/>
    </row>
    <row r="815" spans="5:6">
      <c r="E815" s="177"/>
      <c r="F815" s="173"/>
    </row>
    <row r="816" spans="5:6">
      <c r="E816" s="177"/>
      <c r="F816" s="173"/>
    </row>
    <row r="817" spans="5:6">
      <c r="E817" s="177"/>
      <c r="F817" s="173"/>
    </row>
    <row r="818" spans="5:6">
      <c r="E818" s="177"/>
      <c r="F818" s="173"/>
    </row>
    <row r="819" spans="5:6">
      <c r="E819" s="177"/>
      <c r="F819" s="173"/>
    </row>
    <row r="820" spans="5:6">
      <c r="E820" s="177"/>
      <c r="F820" s="173"/>
    </row>
    <row r="821" spans="5:6">
      <c r="E821" s="177"/>
      <c r="F821" s="173"/>
    </row>
    <row r="822" spans="5:6">
      <c r="E822" s="177"/>
      <c r="F822" s="173"/>
    </row>
    <row r="823" spans="5:6">
      <c r="E823" s="177"/>
      <c r="F823" s="173"/>
    </row>
    <row r="824" spans="5:6">
      <c r="E824" s="177"/>
      <c r="F824" s="173"/>
    </row>
    <row r="825" spans="5:6">
      <c r="E825" s="177"/>
      <c r="F825" s="173"/>
    </row>
    <row r="826" spans="5:6">
      <c r="E826" s="177"/>
      <c r="F826" s="173"/>
    </row>
    <row r="827" spans="5:6">
      <c r="E827" s="177"/>
      <c r="F827" s="173"/>
    </row>
    <row r="828" spans="5:6">
      <c r="E828" s="177"/>
      <c r="F828" s="173"/>
    </row>
    <row r="829" spans="5:6">
      <c r="E829" s="177"/>
      <c r="F829" s="173"/>
    </row>
    <row r="830" spans="5:6">
      <c r="E830" s="177"/>
      <c r="F830" s="173"/>
    </row>
    <row r="831" spans="5:6">
      <c r="E831" s="177"/>
      <c r="F831" s="173"/>
    </row>
    <row r="832" spans="5:6">
      <c r="E832" s="177"/>
      <c r="F832" s="173"/>
    </row>
    <row r="833" spans="5:6">
      <c r="E833" s="177"/>
      <c r="F833" s="173"/>
    </row>
    <row r="834" spans="5:6">
      <c r="E834" s="177"/>
      <c r="F834" s="173"/>
    </row>
    <row r="835" spans="5:6">
      <c r="E835" s="177"/>
      <c r="F835" s="173"/>
    </row>
    <row r="836" spans="5:6">
      <c r="E836" s="177"/>
      <c r="F836" s="173"/>
    </row>
    <row r="837" spans="5:6">
      <c r="E837" s="177"/>
      <c r="F837" s="173"/>
    </row>
    <row r="838" spans="5:6">
      <c r="E838" s="177"/>
      <c r="F838" s="173"/>
    </row>
    <row r="839" spans="5:6">
      <c r="E839" s="177"/>
      <c r="F839" s="173"/>
    </row>
    <row r="840" spans="5:6">
      <c r="E840" s="177"/>
      <c r="F840" s="173"/>
    </row>
    <row r="841" spans="5:6">
      <c r="E841" s="177"/>
      <c r="F841" s="173"/>
    </row>
    <row r="842" spans="5:6">
      <c r="E842" s="177"/>
      <c r="F842" s="173"/>
    </row>
    <row r="843" spans="5:6">
      <c r="E843" s="177"/>
      <c r="F843" s="173"/>
    </row>
    <row r="844" spans="5:6">
      <c r="E844" s="177"/>
      <c r="F844" s="173"/>
    </row>
    <row r="845" spans="5:6">
      <c r="E845" s="177"/>
      <c r="F845" s="173"/>
    </row>
    <row r="846" spans="5:6">
      <c r="E846" s="177"/>
      <c r="F846" s="173"/>
    </row>
    <row r="847" spans="5:6">
      <c r="E847" s="177"/>
      <c r="F847" s="173"/>
    </row>
    <row r="848" spans="5:6">
      <c r="E848" s="177"/>
      <c r="F848" s="173"/>
    </row>
    <row r="849" spans="5:6">
      <c r="E849" s="177"/>
      <c r="F849" s="173"/>
    </row>
    <row r="850" spans="5:6">
      <c r="E850" s="177"/>
      <c r="F850" s="173"/>
    </row>
    <row r="851" spans="5:6">
      <c r="E851" s="177"/>
      <c r="F851" s="173"/>
    </row>
    <row r="852" spans="5:6">
      <c r="E852" s="177"/>
      <c r="F852" s="173"/>
    </row>
    <row r="853" spans="5:6">
      <c r="E853" s="177"/>
      <c r="F853" s="173"/>
    </row>
    <row r="854" spans="5:6">
      <c r="E854" s="177"/>
      <c r="F854" s="173"/>
    </row>
    <row r="855" spans="5:6">
      <c r="E855" s="177"/>
      <c r="F855" s="173"/>
    </row>
    <row r="856" spans="5:6">
      <c r="E856" s="177"/>
      <c r="F856" s="173"/>
    </row>
    <row r="857" spans="5:6">
      <c r="E857" s="177"/>
      <c r="F857" s="173"/>
    </row>
    <row r="858" spans="5:6">
      <c r="E858" s="177"/>
      <c r="F858" s="173"/>
    </row>
    <row r="859" spans="5:6">
      <c r="E859" s="177"/>
      <c r="F859" s="173"/>
    </row>
    <row r="860" spans="5:6">
      <c r="E860" s="177"/>
      <c r="F860" s="173"/>
    </row>
    <row r="861" spans="5:6">
      <c r="E861" s="177"/>
      <c r="F861" s="173"/>
    </row>
    <row r="862" spans="5:6">
      <c r="E862" s="177"/>
      <c r="F862" s="173"/>
    </row>
    <row r="863" spans="5:6">
      <c r="E863" s="177"/>
      <c r="F863" s="173"/>
    </row>
    <row r="864" spans="5:6">
      <c r="E864" s="177"/>
      <c r="F864" s="173"/>
    </row>
    <row r="865" spans="5:6">
      <c r="E865" s="177"/>
      <c r="F865" s="173"/>
    </row>
    <row r="866" spans="5:6">
      <c r="E866" s="177"/>
      <c r="F866" s="173"/>
    </row>
    <row r="867" spans="5:6">
      <c r="E867" s="177"/>
      <c r="F867" s="173"/>
    </row>
    <row r="868" spans="5:6">
      <c r="E868" s="177"/>
      <c r="F868" s="173"/>
    </row>
    <row r="869" spans="5:6">
      <c r="E869" s="177"/>
      <c r="F869" s="173"/>
    </row>
    <row r="870" spans="5:6">
      <c r="E870" s="177"/>
      <c r="F870" s="173"/>
    </row>
    <row r="871" spans="5:6">
      <c r="E871" s="177"/>
      <c r="F871" s="173"/>
    </row>
    <row r="872" spans="5:6">
      <c r="E872" s="177"/>
      <c r="F872" s="173"/>
    </row>
    <row r="873" spans="5:6">
      <c r="E873" s="177"/>
      <c r="F873" s="173"/>
    </row>
    <row r="874" spans="5:6">
      <c r="E874" s="177"/>
      <c r="F874" s="173"/>
    </row>
    <row r="875" spans="5:6">
      <c r="E875" s="177"/>
      <c r="F875" s="173"/>
    </row>
    <row r="876" spans="5:6">
      <c r="E876" s="177"/>
      <c r="F876" s="173"/>
    </row>
    <row r="877" spans="5:6">
      <c r="E877" s="177"/>
      <c r="F877" s="173"/>
    </row>
    <row r="878" spans="5:6">
      <c r="E878" s="177"/>
      <c r="F878" s="173"/>
    </row>
    <row r="879" spans="5:6">
      <c r="E879" s="177"/>
      <c r="F879" s="173"/>
    </row>
    <row r="880" spans="5:6">
      <c r="E880" s="177"/>
      <c r="F880" s="173"/>
    </row>
    <row r="881" spans="5:6">
      <c r="E881" s="177"/>
      <c r="F881" s="173"/>
    </row>
    <row r="882" spans="5:6">
      <c r="E882" s="177"/>
      <c r="F882" s="173"/>
    </row>
    <row r="883" spans="5:6">
      <c r="E883" s="177"/>
      <c r="F883" s="173"/>
    </row>
    <row r="884" spans="5:6">
      <c r="E884" s="177"/>
      <c r="F884" s="173"/>
    </row>
    <row r="885" spans="5:6">
      <c r="E885" s="177"/>
      <c r="F885" s="173"/>
    </row>
    <row r="886" spans="5:6">
      <c r="E886" s="177"/>
      <c r="F886" s="173"/>
    </row>
    <row r="887" spans="5:6">
      <c r="E887" s="177"/>
      <c r="F887" s="173"/>
    </row>
    <row r="888" spans="5:6">
      <c r="E888" s="177"/>
      <c r="F888" s="173"/>
    </row>
    <row r="889" spans="5:6">
      <c r="E889" s="177"/>
      <c r="F889" s="173"/>
    </row>
    <row r="890" spans="5:6">
      <c r="E890" s="177"/>
      <c r="F890" s="173"/>
    </row>
    <row r="891" spans="5:6">
      <c r="E891" s="177"/>
      <c r="F891" s="173"/>
    </row>
    <row r="892" spans="5:6">
      <c r="E892" s="177"/>
      <c r="F892" s="173"/>
    </row>
    <row r="893" spans="5:6">
      <c r="E893" s="177"/>
      <c r="F893" s="173"/>
    </row>
    <row r="894" spans="5:6">
      <c r="E894" s="177"/>
      <c r="F894" s="173"/>
    </row>
    <row r="895" spans="5:6">
      <c r="E895" s="177"/>
      <c r="F895" s="173"/>
    </row>
    <row r="896" spans="5:6">
      <c r="E896" s="177"/>
      <c r="F896" s="173"/>
    </row>
    <row r="897" spans="5:6">
      <c r="E897" s="177"/>
      <c r="F897" s="173"/>
    </row>
    <row r="898" spans="5:6">
      <c r="E898" s="177"/>
      <c r="F898" s="173"/>
    </row>
    <row r="899" spans="5:6">
      <c r="E899" s="177"/>
      <c r="F899" s="173"/>
    </row>
    <row r="900" spans="5:6">
      <c r="E900" s="177"/>
      <c r="F900" s="173"/>
    </row>
    <row r="901" spans="5:6">
      <c r="E901" s="177"/>
      <c r="F901" s="173"/>
    </row>
    <row r="902" spans="5:6">
      <c r="E902" s="177"/>
      <c r="F902" s="173"/>
    </row>
    <row r="903" spans="5:6">
      <c r="E903" s="177"/>
      <c r="F903" s="173"/>
    </row>
    <row r="904" spans="5:6">
      <c r="E904" s="177"/>
      <c r="F904" s="173"/>
    </row>
    <row r="905" spans="5:6">
      <c r="E905" s="177"/>
      <c r="F905" s="173"/>
    </row>
    <row r="906" spans="5:6">
      <c r="E906" s="177"/>
      <c r="F906" s="173"/>
    </row>
    <row r="907" spans="5:6">
      <c r="E907" s="177"/>
      <c r="F907" s="173"/>
    </row>
    <row r="908" spans="5:6">
      <c r="E908" s="177"/>
      <c r="F908" s="173"/>
    </row>
    <row r="909" spans="5:6">
      <c r="E909" s="177"/>
      <c r="F909" s="173"/>
    </row>
    <row r="910" spans="5:6">
      <c r="E910" s="177"/>
      <c r="F910" s="173"/>
    </row>
    <row r="911" spans="5:6">
      <c r="E911" s="177"/>
      <c r="F911" s="173"/>
    </row>
    <row r="912" spans="5:6">
      <c r="E912" s="177"/>
      <c r="F912" s="173"/>
    </row>
    <row r="913" spans="5:6">
      <c r="E913" s="177"/>
      <c r="F913" s="173"/>
    </row>
    <row r="914" spans="5:6">
      <c r="E914" s="177"/>
      <c r="F914" s="173"/>
    </row>
    <row r="915" spans="5:6">
      <c r="E915" s="177"/>
      <c r="F915" s="173"/>
    </row>
    <row r="916" spans="5:6">
      <c r="E916" s="177"/>
      <c r="F916" s="173"/>
    </row>
    <row r="917" spans="5:6">
      <c r="E917" s="177"/>
      <c r="F917" s="173"/>
    </row>
    <row r="918" spans="5:6">
      <c r="E918" s="177"/>
      <c r="F918" s="173"/>
    </row>
    <row r="919" spans="5:6">
      <c r="E919" s="177"/>
      <c r="F919" s="173"/>
    </row>
    <row r="920" spans="5:6">
      <c r="E920" s="177"/>
      <c r="F920" s="173"/>
    </row>
    <row r="921" spans="5:6">
      <c r="E921" s="177"/>
      <c r="F921" s="173"/>
    </row>
    <row r="922" spans="5:6">
      <c r="E922" s="177"/>
      <c r="F922" s="173"/>
    </row>
    <row r="923" spans="5:6">
      <c r="E923" s="177"/>
      <c r="F923" s="173"/>
    </row>
    <row r="924" spans="5:6">
      <c r="E924" s="177"/>
      <c r="F924" s="173"/>
    </row>
    <row r="925" spans="5:6">
      <c r="E925" s="177"/>
      <c r="F925" s="173"/>
    </row>
    <row r="926" spans="5:6">
      <c r="E926" s="177"/>
      <c r="F926" s="173"/>
    </row>
    <row r="927" spans="5:6">
      <c r="E927" s="177"/>
      <c r="F927" s="173"/>
    </row>
    <row r="928" spans="5:6">
      <c r="E928" s="177"/>
      <c r="F928" s="173"/>
    </row>
    <row r="929" spans="5:6">
      <c r="E929" s="177"/>
      <c r="F929" s="173"/>
    </row>
    <row r="930" spans="5:6">
      <c r="E930" s="177"/>
      <c r="F930" s="173"/>
    </row>
    <row r="931" spans="5:6">
      <c r="E931" s="177"/>
      <c r="F931" s="173"/>
    </row>
    <row r="932" spans="5:6">
      <c r="E932" s="177"/>
      <c r="F932" s="173"/>
    </row>
    <row r="933" spans="5:6">
      <c r="E933" s="177"/>
      <c r="F933" s="173"/>
    </row>
    <row r="934" spans="5:6">
      <c r="E934" s="177"/>
      <c r="F934" s="173"/>
    </row>
    <row r="935" spans="5:6">
      <c r="E935" s="177"/>
      <c r="F935" s="173"/>
    </row>
    <row r="936" spans="5:6">
      <c r="E936" s="177"/>
      <c r="F936" s="173"/>
    </row>
    <row r="937" spans="5:6">
      <c r="E937" s="177"/>
      <c r="F937" s="173"/>
    </row>
    <row r="938" spans="5:6">
      <c r="E938" s="177"/>
      <c r="F938" s="173"/>
    </row>
    <row r="939" spans="5:6">
      <c r="E939" s="177"/>
      <c r="F939" s="173"/>
    </row>
    <row r="940" spans="5:6">
      <c r="E940" s="177"/>
      <c r="F940" s="173"/>
    </row>
    <row r="941" spans="5:6">
      <c r="E941" s="177"/>
      <c r="F941" s="173"/>
    </row>
    <row r="942" spans="5:6">
      <c r="E942" s="177"/>
      <c r="F942" s="173"/>
    </row>
    <row r="943" spans="5:6">
      <c r="E943" s="177"/>
      <c r="F943" s="173"/>
    </row>
    <row r="944" spans="5:6">
      <c r="E944" s="177"/>
      <c r="F944" s="173"/>
    </row>
    <row r="945" spans="5:6">
      <c r="E945" s="177"/>
      <c r="F945" s="173"/>
    </row>
    <row r="946" spans="5:6">
      <c r="E946" s="177"/>
      <c r="F946" s="173"/>
    </row>
    <row r="947" spans="5:6">
      <c r="E947" s="177"/>
      <c r="F947" s="173"/>
    </row>
    <row r="948" spans="5:6">
      <c r="E948" s="177"/>
      <c r="F948" s="173"/>
    </row>
    <row r="949" spans="5:6">
      <c r="E949" s="177"/>
      <c r="F949" s="173"/>
    </row>
    <row r="950" spans="5:6">
      <c r="E950" s="177"/>
      <c r="F950" s="173"/>
    </row>
    <row r="951" spans="5:6">
      <c r="E951" s="177"/>
      <c r="F951" s="173"/>
    </row>
    <row r="952" spans="5:6">
      <c r="E952" s="177"/>
      <c r="F952" s="173"/>
    </row>
    <row r="953" spans="5:6">
      <c r="E953" s="177"/>
      <c r="F953" s="173"/>
    </row>
    <row r="954" spans="5:6">
      <c r="E954" s="177"/>
      <c r="F954" s="173"/>
    </row>
    <row r="955" spans="5:6">
      <c r="E955" s="177"/>
      <c r="F955" s="173"/>
    </row>
    <row r="956" spans="5:6">
      <c r="E956" s="177"/>
      <c r="F956" s="173"/>
    </row>
    <row r="957" spans="5:6">
      <c r="E957" s="177"/>
      <c r="F957" s="173"/>
    </row>
    <row r="958" spans="5:6">
      <c r="E958" s="177"/>
      <c r="F958" s="173"/>
    </row>
    <row r="959" spans="5:6">
      <c r="E959" s="177"/>
      <c r="F959" s="173"/>
    </row>
    <row r="960" spans="5:6">
      <c r="E960" s="177"/>
      <c r="F960" s="173"/>
    </row>
    <row r="961" spans="5:6">
      <c r="E961" s="177"/>
      <c r="F961" s="173"/>
    </row>
    <row r="962" spans="5:6">
      <c r="E962" s="177"/>
      <c r="F962" s="173"/>
    </row>
    <row r="963" spans="5:6">
      <c r="E963" s="177"/>
      <c r="F963" s="173"/>
    </row>
    <row r="964" spans="5:6">
      <c r="E964" s="177"/>
      <c r="F964" s="173"/>
    </row>
    <row r="965" spans="5:6">
      <c r="E965" s="177"/>
      <c r="F965" s="173"/>
    </row>
    <row r="966" spans="5:6">
      <c r="E966" s="177"/>
      <c r="F966" s="173"/>
    </row>
    <row r="967" spans="5:6">
      <c r="E967" s="177"/>
      <c r="F967" s="173"/>
    </row>
    <row r="968" spans="5:6">
      <c r="E968" s="177"/>
      <c r="F968" s="173"/>
    </row>
    <row r="969" spans="5:6">
      <c r="E969" s="177"/>
      <c r="F969" s="173"/>
    </row>
    <row r="970" spans="5:6">
      <c r="E970" s="177"/>
      <c r="F970" s="173"/>
    </row>
    <row r="971" spans="5:6">
      <c r="E971" s="177"/>
      <c r="F971" s="173"/>
    </row>
    <row r="972" spans="5:6">
      <c r="E972" s="177"/>
      <c r="F972" s="173"/>
    </row>
    <row r="973" spans="5:6">
      <c r="E973" s="177"/>
      <c r="F973" s="173"/>
    </row>
    <row r="974" spans="5:6">
      <c r="E974" s="177"/>
      <c r="F974" s="173"/>
    </row>
    <row r="975" spans="5:6">
      <c r="E975" s="177"/>
      <c r="F975" s="173"/>
    </row>
    <row r="976" spans="5:6">
      <c r="E976" s="177"/>
      <c r="F976" s="173"/>
    </row>
    <row r="977" spans="5:6">
      <c r="E977" s="177"/>
      <c r="F977" s="173"/>
    </row>
    <row r="978" spans="5:6">
      <c r="E978" s="177"/>
      <c r="F978" s="173"/>
    </row>
    <row r="979" spans="5:6">
      <c r="E979" s="177"/>
      <c r="F979" s="173"/>
    </row>
    <row r="980" spans="5:6">
      <c r="E980" s="177"/>
      <c r="F980" s="173"/>
    </row>
    <row r="981" spans="5:6">
      <c r="E981" s="177"/>
      <c r="F981" s="173"/>
    </row>
    <row r="982" spans="5:6">
      <c r="E982" s="177"/>
      <c r="F982" s="173"/>
    </row>
    <row r="983" spans="5:6">
      <c r="E983" s="177"/>
      <c r="F983" s="173"/>
    </row>
    <row r="984" spans="5:6">
      <c r="E984" s="177"/>
      <c r="F984" s="173"/>
    </row>
    <row r="985" spans="5:6">
      <c r="E985" s="177"/>
      <c r="F985" s="173"/>
    </row>
    <row r="986" spans="5:6">
      <c r="E986" s="177"/>
      <c r="F986" s="173"/>
    </row>
    <row r="987" spans="5:6">
      <c r="E987" s="177"/>
      <c r="F987" s="173"/>
    </row>
    <row r="988" spans="5:6">
      <c r="E988" s="177"/>
      <c r="F988" s="173"/>
    </row>
    <row r="989" spans="5:6">
      <c r="E989" s="177"/>
      <c r="F989" s="173"/>
    </row>
    <row r="990" spans="5:6">
      <c r="E990" s="177"/>
      <c r="F990" s="173"/>
    </row>
    <row r="991" spans="5:6">
      <c r="E991" s="177"/>
      <c r="F991" s="173"/>
    </row>
    <row r="992" spans="5:6">
      <c r="E992" s="177"/>
      <c r="F992" s="173"/>
    </row>
    <row r="993" spans="5:6">
      <c r="E993" s="177"/>
      <c r="F993" s="173"/>
    </row>
    <row r="994" spans="5:6">
      <c r="E994" s="177"/>
      <c r="F994" s="173"/>
    </row>
    <row r="995" spans="5:6">
      <c r="E995" s="177"/>
      <c r="F995" s="173"/>
    </row>
    <row r="996" spans="5:6">
      <c r="E996" s="177"/>
      <c r="F996" s="173"/>
    </row>
    <row r="997" spans="5:6">
      <c r="E997" s="177"/>
      <c r="F997" s="173"/>
    </row>
    <row r="998" spans="5:6">
      <c r="E998" s="177"/>
      <c r="F998" s="173"/>
    </row>
    <row r="999" spans="5:6">
      <c r="E999" s="177"/>
      <c r="F999" s="173"/>
    </row>
    <row r="1000" spans="5:6">
      <c r="E1000" s="177"/>
      <c r="F1000" s="173"/>
    </row>
    <row r="1001" spans="5:6">
      <c r="E1001" s="177"/>
      <c r="F1001" s="173"/>
    </row>
    <row r="1002" spans="5:6">
      <c r="E1002" s="177"/>
      <c r="F1002" s="173"/>
    </row>
    <row r="1003" spans="5:6">
      <c r="E1003" s="177"/>
      <c r="F1003" s="173"/>
    </row>
    <row r="1004" spans="5:6">
      <c r="E1004" s="177"/>
      <c r="F1004" s="173"/>
    </row>
    <row r="1005" spans="5:6">
      <c r="E1005" s="177"/>
      <c r="F1005" s="173"/>
    </row>
    <row r="1006" spans="5:6">
      <c r="E1006" s="177"/>
      <c r="F1006" s="173"/>
    </row>
    <row r="1007" spans="5:6">
      <c r="E1007" s="177"/>
      <c r="F1007" s="173"/>
    </row>
    <row r="1008" spans="5:6">
      <c r="E1008" s="177"/>
      <c r="F1008" s="173"/>
    </row>
    <row r="1009" spans="5:6">
      <c r="E1009" s="177"/>
      <c r="F1009" s="173"/>
    </row>
    <row r="1010" spans="5:6">
      <c r="E1010" s="177"/>
      <c r="F1010" s="173"/>
    </row>
    <row r="1011" spans="5:6">
      <c r="E1011" s="177"/>
      <c r="F1011" s="173"/>
    </row>
    <row r="1012" spans="5:6">
      <c r="E1012" s="177"/>
      <c r="F1012" s="173"/>
    </row>
    <row r="1013" spans="5:6">
      <c r="E1013" s="177"/>
      <c r="F1013" s="173"/>
    </row>
    <row r="1014" spans="5:6">
      <c r="E1014" s="177"/>
      <c r="F1014" s="173"/>
    </row>
    <row r="1015" spans="5:6">
      <c r="E1015" s="177"/>
      <c r="F1015" s="173"/>
    </row>
    <row r="1016" spans="5:6">
      <c r="E1016" s="177"/>
      <c r="F1016" s="173"/>
    </row>
    <row r="1017" spans="5:6">
      <c r="E1017" s="177"/>
      <c r="F1017" s="173"/>
    </row>
    <row r="1018" spans="5:6">
      <c r="E1018" s="177"/>
      <c r="F1018" s="173"/>
    </row>
    <row r="1019" spans="5:6">
      <c r="E1019" s="177"/>
      <c r="F1019" s="173"/>
    </row>
    <row r="1020" spans="5:6">
      <c r="E1020" s="177"/>
      <c r="F1020" s="173"/>
    </row>
    <row r="1021" spans="5:6">
      <c r="E1021" s="177"/>
      <c r="F1021" s="173"/>
    </row>
    <row r="1022" spans="5:6">
      <c r="E1022" s="177"/>
      <c r="F1022" s="173"/>
    </row>
    <row r="1023" spans="5:6">
      <c r="E1023" s="177"/>
      <c r="F1023" s="173"/>
    </row>
    <row r="1024" spans="5:6">
      <c r="E1024" s="177"/>
      <c r="F1024" s="173"/>
    </row>
    <row r="1025" spans="5:6">
      <c r="E1025" s="177"/>
      <c r="F1025" s="173"/>
    </row>
    <row r="1026" spans="5:6">
      <c r="E1026" s="177"/>
      <c r="F1026" s="173"/>
    </row>
    <row r="1027" spans="5:6">
      <c r="E1027" s="177"/>
      <c r="F1027" s="173"/>
    </row>
    <row r="1028" spans="5:6">
      <c r="E1028" s="177"/>
      <c r="F1028" s="173"/>
    </row>
    <row r="1029" spans="5:6">
      <c r="E1029" s="177"/>
      <c r="F1029" s="173"/>
    </row>
    <row r="1030" spans="5:6">
      <c r="E1030" s="177"/>
      <c r="F1030" s="173"/>
    </row>
    <row r="1031" spans="5:6">
      <c r="E1031" s="177"/>
      <c r="F1031" s="173"/>
    </row>
    <row r="1032" spans="5:6">
      <c r="E1032" s="177"/>
      <c r="F1032" s="173"/>
    </row>
    <row r="1033" spans="5:6">
      <c r="E1033" s="177"/>
      <c r="F1033" s="173"/>
    </row>
    <row r="1034" spans="5:6">
      <c r="E1034" s="177"/>
      <c r="F1034" s="173"/>
    </row>
    <row r="1035" spans="5:6">
      <c r="E1035" s="177"/>
      <c r="F1035" s="173"/>
    </row>
    <row r="1036" spans="5:6">
      <c r="E1036" s="177"/>
      <c r="F1036" s="173"/>
    </row>
    <row r="1037" spans="5:6">
      <c r="E1037" s="177"/>
      <c r="F1037" s="173"/>
    </row>
    <row r="1038" spans="5:6">
      <c r="E1038" s="177"/>
      <c r="F1038" s="173"/>
    </row>
    <row r="1039" spans="5:6">
      <c r="E1039" s="177"/>
      <c r="F1039" s="173"/>
    </row>
    <row r="1040" spans="5:6">
      <c r="E1040" s="177"/>
      <c r="F1040" s="173"/>
    </row>
    <row r="1041" spans="5:6">
      <c r="E1041" s="177"/>
      <c r="F1041" s="173"/>
    </row>
    <row r="1042" spans="5:6">
      <c r="E1042" s="177"/>
      <c r="F1042" s="173"/>
    </row>
    <row r="1043" spans="5:6">
      <c r="E1043" s="177"/>
      <c r="F1043" s="173"/>
    </row>
    <row r="1044" spans="5:6">
      <c r="E1044" s="177"/>
      <c r="F1044" s="173"/>
    </row>
    <row r="1045" spans="5:6">
      <c r="E1045" s="177"/>
      <c r="F1045" s="173"/>
    </row>
    <row r="1046" spans="5:6">
      <c r="E1046" s="177"/>
      <c r="F1046" s="173"/>
    </row>
    <row r="1047" spans="5:6">
      <c r="E1047" s="177"/>
      <c r="F1047" s="173"/>
    </row>
    <row r="1048" spans="5:6">
      <c r="E1048" s="177"/>
      <c r="F1048" s="173"/>
    </row>
    <row r="1049" spans="5:6">
      <c r="E1049" s="177"/>
      <c r="F1049" s="173"/>
    </row>
    <row r="1050" spans="5:6">
      <c r="E1050" s="177"/>
      <c r="F1050" s="173"/>
    </row>
    <row r="1051" spans="5:6">
      <c r="E1051" s="177"/>
      <c r="F1051" s="173"/>
    </row>
    <row r="1052" spans="5:6">
      <c r="E1052" s="177"/>
      <c r="F1052" s="173"/>
    </row>
    <row r="1053" spans="5:6">
      <c r="E1053" s="177"/>
      <c r="F1053" s="173"/>
    </row>
    <row r="1054" spans="5:6">
      <c r="E1054" s="177"/>
      <c r="F1054" s="173"/>
    </row>
    <row r="1055" spans="5:6">
      <c r="E1055" s="177"/>
      <c r="F1055" s="173"/>
    </row>
    <row r="1056" spans="5:6">
      <c r="E1056" s="177"/>
      <c r="F1056" s="173"/>
    </row>
    <row r="1057" spans="5:6">
      <c r="E1057" s="177"/>
      <c r="F1057" s="173"/>
    </row>
    <row r="1058" spans="5:6">
      <c r="E1058" s="177"/>
      <c r="F1058" s="173"/>
    </row>
    <row r="1059" spans="5:6">
      <c r="E1059" s="177"/>
      <c r="F1059" s="173"/>
    </row>
    <row r="1060" spans="5:6">
      <c r="E1060" s="177"/>
      <c r="F1060" s="173"/>
    </row>
    <row r="1061" spans="5:6">
      <c r="E1061" s="177"/>
      <c r="F1061" s="173"/>
    </row>
    <row r="1062" spans="5:6">
      <c r="E1062" s="177"/>
      <c r="F1062" s="173"/>
    </row>
    <row r="1063" spans="5:6">
      <c r="E1063" s="177"/>
      <c r="F1063" s="173"/>
    </row>
    <row r="1064" spans="5:6">
      <c r="E1064" s="177"/>
      <c r="F1064" s="173"/>
    </row>
    <row r="1065" spans="5:6">
      <c r="E1065" s="177"/>
      <c r="F1065" s="173"/>
    </row>
    <row r="1066" spans="5:6">
      <c r="E1066" s="177"/>
      <c r="F1066" s="173"/>
    </row>
    <row r="1067" spans="5:6">
      <c r="E1067" s="177"/>
      <c r="F1067" s="173"/>
    </row>
    <row r="1068" spans="5:6">
      <c r="E1068" s="177"/>
      <c r="F1068" s="173"/>
    </row>
    <row r="1069" spans="5:6">
      <c r="E1069" s="177"/>
      <c r="F1069" s="173"/>
    </row>
    <row r="1070" spans="5:6">
      <c r="E1070" s="177"/>
      <c r="F1070" s="173"/>
    </row>
    <row r="1071" spans="5:6">
      <c r="E1071" s="177"/>
      <c r="F1071" s="173"/>
    </row>
    <row r="1072" spans="5:6">
      <c r="E1072" s="177"/>
      <c r="F1072" s="173"/>
    </row>
    <row r="1073" spans="5:6">
      <c r="E1073" s="177"/>
      <c r="F1073" s="173"/>
    </row>
    <row r="1074" spans="5:6">
      <c r="E1074" s="177"/>
      <c r="F1074" s="173"/>
    </row>
    <row r="1075" spans="5:6">
      <c r="E1075" s="177"/>
      <c r="F1075" s="173"/>
    </row>
    <row r="1076" spans="5:6">
      <c r="E1076" s="177"/>
      <c r="F1076" s="173"/>
    </row>
    <row r="1077" spans="5:6">
      <c r="E1077" s="177"/>
      <c r="F1077" s="173"/>
    </row>
    <row r="1078" spans="5:6">
      <c r="E1078" s="177"/>
      <c r="F1078" s="173"/>
    </row>
    <row r="1079" spans="5:6">
      <c r="E1079" s="177"/>
      <c r="F1079" s="173"/>
    </row>
    <row r="1080" spans="5:6">
      <c r="E1080" s="177"/>
      <c r="F1080" s="173"/>
    </row>
    <row r="1081" spans="5:6">
      <c r="E1081" s="177"/>
      <c r="F1081" s="173"/>
    </row>
    <row r="1082" spans="5:6">
      <c r="E1082" s="177"/>
      <c r="F1082" s="173"/>
    </row>
    <row r="1083" spans="5:6">
      <c r="E1083" s="177"/>
      <c r="F1083" s="173"/>
    </row>
    <row r="1084" spans="5:6">
      <c r="E1084" s="177"/>
      <c r="F1084" s="173"/>
    </row>
    <row r="1085" spans="5:6">
      <c r="E1085" s="177"/>
      <c r="F1085" s="173"/>
    </row>
    <row r="1086" spans="5:6">
      <c r="E1086" s="177"/>
      <c r="F1086" s="173"/>
    </row>
    <row r="1087" spans="5:6">
      <c r="E1087" s="177"/>
      <c r="F1087" s="173"/>
    </row>
    <row r="1088" spans="5:6">
      <c r="E1088" s="177"/>
      <c r="F1088" s="173"/>
    </row>
    <row r="1089" spans="5:6">
      <c r="E1089" s="177"/>
      <c r="F1089" s="173"/>
    </row>
    <row r="1090" spans="5:6">
      <c r="E1090" s="177"/>
      <c r="F1090" s="173"/>
    </row>
    <row r="1091" spans="5:6">
      <c r="E1091" s="177"/>
      <c r="F1091" s="173"/>
    </row>
    <row r="1092" spans="5:6">
      <c r="E1092" s="177"/>
      <c r="F1092" s="173"/>
    </row>
    <row r="1093" spans="5:6">
      <c r="E1093" s="177"/>
      <c r="F1093" s="173"/>
    </row>
    <row r="1094" spans="5:6">
      <c r="E1094" s="177"/>
      <c r="F1094" s="173"/>
    </row>
    <row r="1095" spans="5:6">
      <c r="E1095" s="177"/>
      <c r="F1095" s="173"/>
    </row>
    <row r="1096" spans="5:6">
      <c r="E1096" s="177"/>
      <c r="F1096" s="173"/>
    </row>
    <row r="1097" spans="5:6">
      <c r="E1097" s="177"/>
      <c r="F1097" s="173"/>
    </row>
    <row r="1098" spans="5:6">
      <c r="E1098" s="177"/>
      <c r="F1098" s="173"/>
    </row>
    <row r="1099" spans="5:6">
      <c r="E1099" s="177"/>
      <c r="F1099" s="173"/>
    </row>
    <row r="1100" spans="5:6">
      <c r="E1100" s="177"/>
      <c r="F1100" s="173"/>
    </row>
    <row r="1101" spans="5:6">
      <c r="E1101" s="177"/>
      <c r="F1101" s="173"/>
    </row>
    <row r="1102" spans="5:6">
      <c r="E1102" s="177"/>
      <c r="F1102" s="173"/>
    </row>
    <row r="1103" spans="5:6">
      <c r="E1103" s="177"/>
      <c r="F1103" s="173"/>
    </row>
    <row r="1104" spans="5:6">
      <c r="E1104" s="177"/>
      <c r="F1104" s="173"/>
    </row>
    <row r="1105" spans="5:6">
      <c r="E1105" s="177"/>
      <c r="F1105" s="173"/>
    </row>
    <row r="1106" spans="5:6">
      <c r="E1106" s="177"/>
      <c r="F1106" s="173"/>
    </row>
    <row r="1107" spans="5:6">
      <c r="E1107" s="177"/>
      <c r="F1107" s="173"/>
    </row>
    <row r="1108" spans="5:6">
      <c r="E1108" s="177"/>
      <c r="F1108" s="173"/>
    </row>
    <row r="1109" spans="5:6">
      <c r="E1109" s="177"/>
      <c r="F1109" s="173"/>
    </row>
    <row r="1110" spans="5:6">
      <c r="E1110" s="177"/>
      <c r="F1110" s="173"/>
    </row>
    <row r="1111" spans="5:6">
      <c r="E1111" s="177"/>
      <c r="F1111" s="173"/>
    </row>
    <row r="1112" spans="5:6">
      <c r="E1112" s="177"/>
      <c r="F1112" s="173"/>
    </row>
    <row r="1113" spans="5:6">
      <c r="E1113" s="177"/>
      <c r="F1113" s="173"/>
    </row>
    <row r="1114" spans="5:6">
      <c r="E1114" s="177"/>
      <c r="F1114" s="173"/>
    </row>
    <row r="1115" spans="5:6">
      <c r="E1115" s="177"/>
      <c r="F1115" s="173"/>
    </row>
    <row r="1116" spans="5:6">
      <c r="E1116" s="177"/>
      <c r="F1116" s="173"/>
    </row>
    <row r="1117" spans="5:6">
      <c r="E1117" s="177"/>
      <c r="F1117" s="173"/>
    </row>
    <row r="1118" spans="5:6">
      <c r="E1118" s="177"/>
      <c r="F1118" s="173"/>
    </row>
    <row r="1119" spans="5:6">
      <c r="E1119" s="177"/>
      <c r="F1119" s="173"/>
    </row>
    <row r="1120" spans="5:6">
      <c r="E1120" s="177"/>
      <c r="F1120" s="173"/>
    </row>
    <row r="1121" spans="5:6">
      <c r="E1121" s="177"/>
      <c r="F1121" s="173"/>
    </row>
    <row r="1122" spans="5:6">
      <c r="E1122" s="177"/>
      <c r="F1122" s="173"/>
    </row>
    <row r="1123" spans="5:6">
      <c r="E1123" s="177"/>
      <c r="F1123" s="173"/>
    </row>
    <row r="1124" spans="5:6">
      <c r="E1124" s="177"/>
      <c r="F1124" s="173"/>
    </row>
    <row r="1125" spans="5:6">
      <c r="E1125" s="177"/>
      <c r="F1125" s="173"/>
    </row>
    <row r="1126" spans="5:6">
      <c r="E1126" s="177"/>
      <c r="F1126" s="173"/>
    </row>
    <row r="1127" spans="5:6">
      <c r="E1127" s="177"/>
      <c r="F1127" s="173"/>
    </row>
    <row r="1128" spans="5:6">
      <c r="E1128" s="177"/>
      <c r="F1128" s="173"/>
    </row>
    <row r="1129" spans="5:6">
      <c r="E1129" s="177"/>
      <c r="F1129" s="173"/>
    </row>
    <row r="1130" spans="5:6">
      <c r="E1130" s="177"/>
      <c r="F1130" s="173"/>
    </row>
    <row r="1131" spans="5:6">
      <c r="E1131" s="177"/>
      <c r="F1131" s="173"/>
    </row>
    <row r="1132" spans="5:6">
      <c r="E1132" s="177"/>
      <c r="F1132" s="173"/>
    </row>
    <row r="1133" spans="5:6">
      <c r="E1133" s="177"/>
      <c r="F1133" s="173"/>
    </row>
    <row r="1134" spans="5:6">
      <c r="E1134" s="177"/>
      <c r="F1134" s="173"/>
    </row>
    <row r="1135" spans="5:6">
      <c r="E1135" s="177"/>
      <c r="F1135" s="173"/>
    </row>
    <row r="1136" spans="5:6">
      <c r="E1136" s="177"/>
      <c r="F1136" s="173"/>
    </row>
    <row r="1137" spans="5:6">
      <c r="E1137" s="177"/>
      <c r="F1137" s="173"/>
    </row>
    <row r="1138" spans="5:6">
      <c r="E1138" s="177"/>
      <c r="F1138" s="173"/>
    </row>
    <row r="1139" spans="5:6">
      <c r="E1139" s="177"/>
      <c r="F1139" s="173"/>
    </row>
    <row r="1140" spans="5:6">
      <c r="E1140" s="177"/>
      <c r="F1140" s="173"/>
    </row>
    <row r="1141" spans="5:6">
      <c r="E1141" s="177"/>
      <c r="F1141" s="173"/>
    </row>
    <row r="1142" spans="5:6">
      <c r="E1142" s="177"/>
      <c r="F1142" s="173"/>
    </row>
    <row r="1143" spans="5:6">
      <c r="E1143" s="177"/>
      <c r="F1143" s="173"/>
    </row>
    <row r="1144" spans="5:6">
      <c r="E1144" s="177"/>
      <c r="F1144" s="173"/>
    </row>
    <row r="1145" spans="5:6">
      <c r="E1145" s="177"/>
      <c r="F1145" s="173"/>
    </row>
    <row r="1146" spans="5:6">
      <c r="E1146" s="177"/>
      <c r="F1146" s="173"/>
    </row>
    <row r="1147" spans="5:6">
      <c r="E1147" s="177"/>
      <c r="F1147" s="173"/>
    </row>
    <row r="1148" spans="5:6">
      <c r="E1148" s="177"/>
      <c r="F1148" s="173"/>
    </row>
    <row r="1149" spans="5:6">
      <c r="E1149" s="177"/>
      <c r="F1149" s="173"/>
    </row>
    <row r="1150" spans="5:6">
      <c r="E1150" s="177"/>
      <c r="F1150" s="173"/>
    </row>
    <row r="1151" spans="5:6">
      <c r="E1151" s="177"/>
      <c r="F1151" s="173"/>
    </row>
    <row r="1152" spans="5:6">
      <c r="E1152" s="177"/>
      <c r="F1152" s="173"/>
    </row>
    <row r="1153" spans="5:6">
      <c r="E1153" s="177"/>
      <c r="F1153" s="173"/>
    </row>
    <row r="1154" spans="5:6">
      <c r="E1154" s="177"/>
      <c r="F1154" s="173"/>
    </row>
    <row r="1155" spans="5:6">
      <c r="E1155" s="177"/>
      <c r="F1155" s="173"/>
    </row>
    <row r="1156" spans="5:6">
      <c r="E1156" s="177"/>
      <c r="F1156" s="173"/>
    </row>
    <row r="1157" spans="5:6">
      <c r="E1157" s="177"/>
      <c r="F1157" s="173"/>
    </row>
    <row r="1158" spans="5:6">
      <c r="E1158" s="177"/>
      <c r="F1158" s="173"/>
    </row>
    <row r="1159" spans="5:6">
      <c r="E1159" s="177"/>
      <c r="F1159" s="173"/>
    </row>
    <row r="1160" spans="5:6">
      <c r="E1160" s="177"/>
      <c r="F1160" s="173"/>
    </row>
    <row r="1161" spans="5:6">
      <c r="E1161" s="177"/>
      <c r="F1161" s="173"/>
    </row>
    <row r="1162" spans="5:6">
      <c r="E1162" s="177"/>
      <c r="F1162" s="173"/>
    </row>
    <row r="1163" spans="5:6">
      <c r="E1163" s="177"/>
      <c r="F1163" s="173"/>
    </row>
    <row r="1164" spans="5:6">
      <c r="E1164" s="177"/>
      <c r="F1164" s="173"/>
    </row>
    <row r="1165" spans="5:6">
      <c r="E1165" s="177"/>
      <c r="F1165" s="173"/>
    </row>
    <row r="1166" spans="5:6">
      <c r="E1166" s="177"/>
      <c r="F1166" s="173"/>
    </row>
    <row r="1167" spans="5:6">
      <c r="E1167" s="177"/>
      <c r="F1167" s="173"/>
    </row>
    <row r="1168" spans="5:6">
      <c r="E1168" s="177"/>
      <c r="F1168" s="173"/>
    </row>
    <row r="1169" spans="5:6">
      <c r="E1169" s="177"/>
      <c r="F1169" s="173"/>
    </row>
    <row r="1170" spans="5:6">
      <c r="E1170" s="177"/>
      <c r="F1170" s="173"/>
    </row>
    <row r="1171" spans="5:6">
      <c r="E1171" s="177"/>
      <c r="F1171" s="173"/>
    </row>
    <row r="1172" spans="5:6">
      <c r="E1172" s="177"/>
      <c r="F1172" s="173"/>
    </row>
    <row r="1173" spans="5:6">
      <c r="E1173" s="177"/>
      <c r="F1173" s="173"/>
    </row>
    <row r="1174" spans="5:6">
      <c r="E1174" s="177"/>
      <c r="F1174" s="173"/>
    </row>
    <row r="1175" spans="5:6">
      <c r="E1175" s="177"/>
      <c r="F1175" s="173"/>
    </row>
    <row r="1176" spans="5:6">
      <c r="E1176" s="177"/>
      <c r="F1176" s="173"/>
    </row>
    <row r="1177" spans="5:6">
      <c r="E1177" s="177"/>
      <c r="F1177" s="173"/>
    </row>
    <row r="1178" spans="5:6">
      <c r="E1178" s="177"/>
      <c r="F1178" s="173"/>
    </row>
    <row r="1179" spans="5:6">
      <c r="E1179" s="177"/>
      <c r="F1179" s="173"/>
    </row>
    <row r="1180" spans="5:6">
      <c r="E1180" s="177"/>
      <c r="F1180" s="173"/>
    </row>
    <row r="1181" spans="5:6">
      <c r="E1181" s="177"/>
      <c r="F1181" s="173"/>
    </row>
    <row r="1182" spans="5:6">
      <c r="E1182" s="177"/>
      <c r="F1182" s="173"/>
    </row>
    <row r="1183" spans="5:6">
      <c r="E1183" s="177"/>
      <c r="F1183" s="173"/>
    </row>
    <row r="1184" spans="5:6">
      <c r="E1184" s="177"/>
      <c r="F1184" s="173"/>
    </row>
    <row r="1185" spans="5:6">
      <c r="E1185" s="177"/>
      <c r="F1185" s="173"/>
    </row>
    <row r="1186" spans="5:6">
      <c r="E1186" s="177"/>
      <c r="F1186" s="173"/>
    </row>
    <row r="1187" spans="5:6">
      <c r="E1187" s="177"/>
      <c r="F1187" s="173"/>
    </row>
    <row r="1188" spans="5:6">
      <c r="E1188" s="177"/>
      <c r="F1188" s="173"/>
    </row>
    <row r="1189" spans="5:6">
      <c r="E1189" s="177"/>
      <c r="F1189" s="173"/>
    </row>
    <row r="1190" spans="5:6">
      <c r="E1190" s="177"/>
      <c r="F1190" s="173"/>
    </row>
    <row r="1191" spans="5:6">
      <c r="E1191" s="177"/>
      <c r="F1191" s="173"/>
    </row>
    <row r="1192" spans="5:6">
      <c r="E1192" s="177"/>
      <c r="F1192" s="173"/>
    </row>
    <row r="1193" spans="5:6">
      <c r="E1193" s="177"/>
      <c r="F1193" s="173"/>
    </row>
    <row r="1194" spans="5:6">
      <c r="E1194" s="177"/>
      <c r="F1194" s="173"/>
    </row>
    <row r="1195" spans="5:6">
      <c r="E1195" s="177"/>
      <c r="F1195" s="173"/>
    </row>
    <row r="1196" spans="5:6">
      <c r="E1196" s="177"/>
      <c r="F1196" s="173"/>
    </row>
    <row r="1197" spans="5:6">
      <c r="E1197" s="177"/>
      <c r="F1197" s="173"/>
    </row>
    <row r="1198" spans="5:6">
      <c r="E1198" s="177"/>
      <c r="F1198" s="173"/>
    </row>
    <row r="1199" spans="5:6">
      <c r="E1199" s="177"/>
      <c r="F1199" s="173"/>
    </row>
    <row r="1200" spans="5:6">
      <c r="E1200" s="177"/>
      <c r="F1200" s="173"/>
    </row>
    <row r="1201" spans="5:6">
      <c r="E1201" s="177"/>
      <c r="F1201" s="173"/>
    </row>
    <row r="1202" spans="5:6">
      <c r="E1202" s="177"/>
      <c r="F1202" s="173"/>
    </row>
    <row r="1203" spans="5:6">
      <c r="E1203" s="177"/>
      <c r="F1203" s="173"/>
    </row>
    <row r="1204" spans="5:6">
      <c r="E1204" s="177"/>
      <c r="F1204" s="173"/>
    </row>
    <row r="1205" spans="5:6">
      <c r="E1205" s="177"/>
      <c r="F1205" s="173"/>
    </row>
    <row r="1206" spans="5:6">
      <c r="E1206" s="177"/>
      <c r="F1206" s="173"/>
    </row>
    <row r="1207" spans="5:6">
      <c r="E1207" s="177"/>
      <c r="F1207" s="173"/>
    </row>
    <row r="1208" spans="5:6">
      <c r="E1208" s="177"/>
      <c r="F1208" s="173"/>
    </row>
    <row r="1209" spans="5:6">
      <c r="E1209" s="177"/>
      <c r="F1209" s="173"/>
    </row>
    <row r="1210" spans="5:6">
      <c r="E1210" s="177"/>
      <c r="F1210" s="173"/>
    </row>
    <row r="1211" spans="5:6">
      <c r="E1211" s="177"/>
      <c r="F1211" s="173"/>
    </row>
    <row r="1212" spans="5:6">
      <c r="E1212" s="177"/>
      <c r="F1212" s="173"/>
    </row>
    <row r="1213" spans="5:6">
      <c r="E1213" s="177"/>
      <c r="F1213" s="173"/>
    </row>
    <row r="1214" spans="5:6">
      <c r="E1214" s="177"/>
      <c r="F1214" s="173"/>
    </row>
    <row r="1215" spans="5:6">
      <c r="E1215" s="177"/>
      <c r="F1215" s="173"/>
    </row>
    <row r="1216" spans="5:6">
      <c r="E1216" s="177"/>
      <c r="F1216" s="173"/>
    </row>
    <row r="1217" spans="5:6">
      <c r="E1217" s="177"/>
      <c r="F1217" s="173"/>
    </row>
    <row r="1218" spans="5:6">
      <c r="E1218" s="177"/>
      <c r="F1218" s="173"/>
    </row>
    <row r="1219" spans="5:6">
      <c r="E1219" s="177"/>
      <c r="F1219" s="173"/>
    </row>
    <row r="1220" spans="5:6">
      <c r="E1220" s="177"/>
      <c r="F1220" s="173"/>
    </row>
    <row r="1221" spans="5:6">
      <c r="E1221" s="177"/>
      <c r="F1221" s="173"/>
    </row>
    <row r="1222" spans="5:6">
      <c r="E1222" s="177"/>
      <c r="F1222" s="173"/>
    </row>
    <row r="1223" spans="5:6">
      <c r="E1223" s="177"/>
      <c r="F1223" s="173"/>
    </row>
    <row r="1224" spans="5:6">
      <c r="E1224" s="177"/>
      <c r="F1224" s="173"/>
    </row>
    <row r="1225" spans="5:6">
      <c r="E1225" s="177"/>
      <c r="F1225" s="173"/>
    </row>
    <row r="1226" spans="5:6">
      <c r="E1226" s="177"/>
      <c r="F1226" s="173"/>
    </row>
    <row r="1227" spans="5:6">
      <c r="E1227" s="177"/>
      <c r="F1227" s="173"/>
    </row>
    <row r="1228" spans="5:6">
      <c r="E1228" s="177"/>
      <c r="F1228" s="173"/>
    </row>
    <row r="1229" spans="5:6">
      <c r="E1229" s="177"/>
      <c r="F1229" s="173"/>
    </row>
    <row r="1230" spans="5:6">
      <c r="E1230" s="177"/>
      <c r="F1230" s="173"/>
    </row>
    <row r="1231" spans="5:6">
      <c r="E1231" s="177"/>
      <c r="F1231" s="173"/>
    </row>
    <row r="1232" spans="5:6">
      <c r="E1232" s="177"/>
      <c r="F1232" s="173"/>
    </row>
    <row r="1233" spans="5:6">
      <c r="E1233" s="177"/>
      <c r="F1233" s="173"/>
    </row>
    <row r="1234" spans="5:6">
      <c r="E1234" s="177"/>
      <c r="F1234" s="173"/>
    </row>
    <row r="1235" spans="5:6">
      <c r="E1235" s="177"/>
      <c r="F1235" s="173"/>
    </row>
    <row r="1236" spans="5:6">
      <c r="E1236" s="177"/>
      <c r="F1236" s="173"/>
    </row>
    <row r="1237" spans="5:6">
      <c r="E1237" s="177"/>
      <c r="F1237" s="173"/>
    </row>
    <row r="1238" spans="5:6">
      <c r="E1238" s="177"/>
      <c r="F1238" s="173"/>
    </row>
    <row r="1239" spans="5:6">
      <c r="E1239" s="177"/>
      <c r="F1239" s="173"/>
    </row>
    <row r="1240" spans="5:6">
      <c r="E1240" s="177"/>
      <c r="F1240" s="173"/>
    </row>
    <row r="1241" spans="5:6">
      <c r="E1241" s="177"/>
      <c r="F1241" s="173"/>
    </row>
    <row r="1242" spans="5:6">
      <c r="E1242" s="177"/>
      <c r="F1242" s="173"/>
    </row>
    <row r="1243" spans="5:6">
      <c r="E1243" s="177"/>
      <c r="F1243" s="173"/>
    </row>
    <row r="1244" spans="5:6">
      <c r="E1244" s="177"/>
      <c r="F1244" s="173"/>
    </row>
    <row r="1245" spans="5:6">
      <c r="E1245" s="177"/>
      <c r="F1245" s="173"/>
    </row>
    <row r="1246" spans="5:6">
      <c r="E1246" s="177"/>
      <c r="F1246" s="173"/>
    </row>
    <row r="1247" spans="5:6">
      <c r="E1247" s="177"/>
      <c r="F1247" s="173"/>
    </row>
    <row r="1248" spans="5:6">
      <c r="E1248" s="177"/>
      <c r="F1248" s="173"/>
    </row>
    <row r="1249" spans="5:6">
      <c r="E1249" s="177"/>
      <c r="F1249" s="173"/>
    </row>
    <row r="1250" spans="5:6">
      <c r="E1250" s="177"/>
      <c r="F1250" s="173"/>
    </row>
    <row r="1251" spans="5:6">
      <c r="E1251" s="177"/>
      <c r="F1251" s="173"/>
    </row>
    <row r="1252" spans="5:6">
      <c r="E1252" s="177"/>
      <c r="F1252" s="173"/>
    </row>
    <row r="1253" spans="5:6">
      <c r="E1253" s="177"/>
      <c r="F1253" s="173"/>
    </row>
    <row r="1254" spans="5:6">
      <c r="E1254" s="177"/>
      <c r="F1254" s="173"/>
    </row>
    <row r="1255" spans="5:6">
      <c r="E1255" s="177"/>
      <c r="F1255" s="173"/>
    </row>
    <row r="1256" spans="5:6">
      <c r="E1256" s="177"/>
      <c r="F1256" s="173"/>
    </row>
    <row r="1257" spans="5:6">
      <c r="E1257" s="177"/>
      <c r="F1257" s="173"/>
    </row>
    <row r="1258" spans="5:6">
      <c r="E1258" s="177"/>
      <c r="F1258" s="173"/>
    </row>
    <row r="1259" spans="5:6">
      <c r="E1259" s="177"/>
      <c r="F1259" s="173"/>
    </row>
    <row r="1260" spans="5:6">
      <c r="E1260" s="177"/>
      <c r="F1260" s="173"/>
    </row>
    <row r="1261" spans="5:6">
      <c r="E1261" s="177"/>
      <c r="F1261" s="173"/>
    </row>
    <row r="1262" spans="5:6">
      <c r="E1262" s="177"/>
      <c r="F1262" s="173"/>
    </row>
    <row r="1263" spans="5:6">
      <c r="E1263" s="177"/>
      <c r="F1263" s="173"/>
    </row>
    <row r="1264" spans="5:6">
      <c r="E1264" s="177"/>
      <c r="F1264" s="173"/>
    </row>
    <row r="1265" spans="5:6">
      <c r="E1265" s="177"/>
      <c r="F1265" s="173"/>
    </row>
    <row r="1266" spans="5:6">
      <c r="E1266" s="177"/>
      <c r="F1266" s="173"/>
    </row>
    <row r="1267" spans="5:6">
      <c r="E1267" s="177"/>
      <c r="F1267" s="173"/>
    </row>
    <row r="1268" spans="5:6">
      <c r="E1268" s="177"/>
      <c r="F1268" s="173"/>
    </row>
    <row r="1269" spans="5:6">
      <c r="E1269" s="177"/>
      <c r="F1269" s="173"/>
    </row>
    <row r="1270" spans="5:6">
      <c r="E1270" s="177"/>
      <c r="F1270" s="173"/>
    </row>
    <row r="1271" spans="5:6">
      <c r="E1271" s="177"/>
      <c r="F1271" s="173"/>
    </row>
    <row r="1272" spans="5:6">
      <c r="E1272" s="177"/>
      <c r="F1272" s="173"/>
    </row>
    <row r="1273" spans="5:6">
      <c r="E1273" s="177"/>
      <c r="F1273" s="173"/>
    </row>
    <row r="1274" spans="5:6">
      <c r="E1274" s="177"/>
      <c r="F1274" s="173"/>
    </row>
    <row r="1275" spans="5:6">
      <c r="E1275" s="177"/>
      <c r="F1275" s="173"/>
    </row>
    <row r="1276" spans="5:6">
      <c r="E1276" s="177"/>
      <c r="F1276" s="173"/>
    </row>
    <row r="1277" spans="5:6">
      <c r="E1277" s="177"/>
      <c r="F1277" s="173"/>
    </row>
    <row r="1278" spans="5:6">
      <c r="E1278" s="177"/>
      <c r="F1278" s="173"/>
    </row>
    <row r="1279" spans="5:6">
      <c r="E1279" s="177"/>
      <c r="F1279" s="173"/>
    </row>
    <row r="1280" spans="5:6">
      <c r="E1280" s="177"/>
      <c r="F1280" s="173"/>
    </row>
    <row r="1281" spans="5:6">
      <c r="E1281" s="177"/>
      <c r="F1281" s="173"/>
    </row>
    <row r="1282" spans="5:6">
      <c r="E1282" s="177"/>
      <c r="F1282" s="173"/>
    </row>
    <row r="1283" spans="5:6">
      <c r="E1283" s="177"/>
      <c r="F1283" s="173"/>
    </row>
    <row r="1284" spans="5:6">
      <c r="E1284" s="177"/>
      <c r="F1284" s="173"/>
    </row>
    <row r="1285" spans="5:6">
      <c r="E1285" s="177"/>
      <c r="F1285" s="173"/>
    </row>
    <row r="1286" spans="5:6">
      <c r="E1286" s="177"/>
      <c r="F1286" s="173"/>
    </row>
    <row r="1287" spans="5:6">
      <c r="E1287" s="177"/>
      <c r="F1287" s="173"/>
    </row>
    <row r="1288" spans="5:6">
      <c r="E1288" s="177"/>
      <c r="F1288" s="173"/>
    </row>
    <row r="1289" spans="5:6">
      <c r="E1289" s="177"/>
      <c r="F1289" s="173"/>
    </row>
    <row r="1290" spans="5:6">
      <c r="E1290" s="177"/>
      <c r="F1290" s="173"/>
    </row>
    <row r="1291" spans="5:6">
      <c r="E1291" s="177"/>
      <c r="F1291" s="173"/>
    </row>
    <row r="1292" spans="5:6">
      <c r="E1292" s="177"/>
      <c r="F1292" s="173"/>
    </row>
    <row r="1293" spans="5:6">
      <c r="E1293" s="177"/>
      <c r="F1293" s="173"/>
    </row>
    <row r="1294" spans="5:6">
      <c r="E1294" s="177"/>
      <c r="F1294" s="173"/>
    </row>
    <row r="1295" spans="5:6">
      <c r="E1295" s="177"/>
      <c r="F1295" s="173"/>
    </row>
    <row r="1296" spans="5:6">
      <c r="E1296" s="177"/>
      <c r="F1296" s="173"/>
    </row>
    <row r="1297" spans="5:6">
      <c r="E1297" s="177"/>
      <c r="F1297" s="173"/>
    </row>
    <row r="1298" spans="5:6">
      <c r="E1298" s="177"/>
      <c r="F1298" s="173"/>
    </row>
    <row r="1299" spans="5:6">
      <c r="E1299" s="177"/>
      <c r="F1299" s="173"/>
    </row>
    <row r="1300" spans="5:6">
      <c r="E1300" s="177"/>
      <c r="F1300" s="173"/>
    </row>
    <row r="1301" spans="5:6">
      <c r="E1301" s="177"/>
      <c r="F1301" s="173"/>
    </row>
    <row r="1302" spans="5:6">
      <c r="E1302" s="177"/>
      <c r="F1302" s="173"/>
    </row>
    <row r="1303" spans="5:6">
      <c r="E1303" s="177"/>
      <c r="F1303" s="173"/>
    </row>
    <row r="1304" spans="5:6">
      <c r="E1304" s="177"/>
      <c r="F1304" s="173"/>
    </row>
    <row r="1305" spans="5:6">
      <c r="E1305" s="177"/>
      <c r="F1305" s="173"/>
    </row>
    <row r="1306" spans="5:6">
      <c r="E1306" s="177"/>
      <c r="F1306" s="173"/>
    </row>
    <row r="1307" spans="5:6">
      <c r="E1307" s="177"/>
      <c r="F1307" s="173"/>
    </row>
    <row r="1308" spans="5:6">
      <c r="E1308" s="177"/>
      <c r="F1308" s="173"/>
    </row>
    <row r="1309" spans="5:6">
      <c r="E1309" s="177"/>
      <c r="F1309" s="173"/>
    </row>
    <row r="1310" spans="5:6">
      <c r="E1310" s="177"/>
      <c r="F1310" s="173"/>
    </row>
    <row r="1311" spans="5:6">
      <c r="E1311" s="177"/>
      <c r="F1311" s="173"/>
    </row>
    <row r="1312" spans="5:6">
      <c r="E1312" s="177"/>
      <c r="F1312" s="173"/>
    </row>
    <row r="1313" spans="5:6">
      <c r="E1313" s="177"/>
      <c r="F1313" s="173"/>
    </row>
    <row r="1314" spans="5:6">
      <c r="E1314" s="177"/>
      <c r="F1314" s="173"/>
    </row>
    <row r="1315" spans="5:6">
      <c r="E1315" s="177"/>
      <c r="F1315" s="173"/>
    </row>
    <row r="1316" spans="5:6">
      <c r="E1316" s="177"/>
      <c r="F1316" s="173"/>
    </row>
    <row r="1317" spans="5:6">
      <c r="E1317" s="177"/>
      <c r="F1317" s="173"/>
    </row>
    <row r="1318" spans="5:6">
      <c r="E1318" s="177"/>
      <c r="F1318" s="173"/>
    </row>
    <row r="1319" spans="5:6">
      <c r="E1319" s="177"/>
      <c r="F1319" s="173"/>
    </row>
    <row r="1320" spans="5:6">
      <c r="E1320" s="177"/>
      <c r="F1320" s="173"/>
    </row>
    <row r="1321" spans="5:6">
      <c r="E1321" s="177"/>
      <c r="F1321" s="173"/>
    </row>
    <row r="1322" spans="5:6">
      <c r="E1322" s="177"/>
      <c r="F1322" s="173"/>
    </row>
    <row r="1323" spans="5:6">
      <c r="E1323" s="177"/>
      <c r="F1323" s="173"/>
    </row>
    <row r="1324" spans="5:6">
      <c r="E1324" s="177"/>
      <c r="F1324" s="173"/>
    </row>
    <row r="1325" spans="5:6">
      <c r="E1325" s="177"/>
      <c r="F1325" s="173"/>
    </row>
    <row r="1326" spans="5:6">
      <c r="E1326" s="177"/>
      <c r="F1326" s="173"/>
    </row>
    <row r="1327" spans="5:6">
      <c r="E1327" s="177"/>
      <c r="F1327" s="173"/>
    </row>
    <row r="1328" spans="5:6">
      <c r="E1328" s="177"/>
      <c r="F1328" s="173"/>
    </row>
    <row r="1329" spans="5:6">
      <c r="E1329" s="177"/>
      <c r="F1329" s="173"/>
    </row>
    <row r="1330" spans="5:6">
      <c r="E1330" s="177"/>
      <c r="F1330" s="173"/>
    </row>
    <row r="1331" spans="5:6">
      <c r="E1331" s="177"/>
      <c r="F1331" s="173"/>
    </row>
    <row r="1332" spans="5:6">
      <c r="E1332" s="177"/>
      <c r="F1332" s="173"/>
    </row>
    <row r="1333" spans="5:6">
      <c r="E1333" s="177"/>
      <c r="F1333" s="173"/>
    </row>
    <row r="1334" spans="5:6">
      <c r="E1334" s="177"/>
      <c r="F1334" s="173"/>
    </row>
    <row r="1335" spans="5:6">
      <c r="E1335" s="177"/>
      <c r="F1335" s="173"/>
    </row>
    <row r="1336" spans="5:6">
      <c r="E1336" s="177"/>
      <c r="F1336" s="173"/>
    </row>
    <row r="1337" spans="5:6">
      <c r="E1337" s="177"/>
      <c r="F1337" s="173"/>
    </row>
    <row r="1338" spans="5:6">
      <c r="E1338" s="177"/>
      <c r="F1338" s="173"/>
    </row>
    <row r="1339" spans="5:6">
      <c r="E1339" s="177"/>
      <c r="F1339" s="173"/>
    </row>
    <row r="1340" spans="5:6">
      <c r="E1340" s="177"/>
      <c r="F1340" s="173"/>
    </row>
    <row r="1341" spans="5:6">
      <c r="E1341" s="177"/>
      <c r="F1341" s="173"/>
    </row>
    <row r="1342" spans="5:6">
      <c r="E1342" s="177"/>
      <c r="F1342" s="173"/>
    </row>
    <row r="1343" spans="5:6">
      <c r="E1343" s="177"/>
      <c r="F1343" s="173"/>
    </row>
    <row r="1344" spans="5:6">
      <c r="E1344" s="177"/>
      <c r="F1344" s="173"/>
    </row>
    <row r="1345" spans="5:6">
      <c r="E1345" s="177"/>
      <c r="F1345" s="173"/>
    </row>
    <row r="1346" spans="5:6">
      <c r="E1346" s="177"/>
      <c r="F1346" s="173"/>
    </row>
    <row r="1347" spans="5:6">
      <c r="E1347" s="177"/>
      <c r="F1347" s="173"/>
    </row>
    <row r="1348" spans="5:6">
      <c r="E1348" s="177"/>
      <c r="F1348" s="173"/>
    </row>
    <row r="1349" spans="5:6">
      <c r="E1349" s="177"/>
      <c r="F1349" s="173"/>
    </row>
    <row r="1350" spans="5:6">
      <c r="E1350" s="177"/>
      <c r="F1350" s="173"/>
    </row>
    <row r="1351" spans="5:6">
      <c r="E1351" s="177"/>
      <c r="F1351" s="173"/>
    </row>
    <row r="1352" spans="5:6">
      <c r="E1352" s="177"/>
      <c r="F1352" s="173"/>
    </row>
    <row r="1353" spans="5:6">
      <c r="E1353" s="177"/>
      <c r="F1353" s="173"/>
    </row>
    <row r="1354" spans="5:6">
      <c r="E1354" s="177"/>
      <c r="F1354" s="173"/>
    </row>
    <row r="1355" spans="5:6">
      <c r="E1355" s="177"/>
      <c r="F1355" s="173"/>
    </row>
    <row r="1356" spans="5:6">
      <c r="E1356" s="177"/>
      <c r="F1356" s="173"/>
    </row>
    <row r="1357" spans="5:6">
      <c r="E1357" s="177"/>
      <c r="F1357" s="173"/>
    </row>
    <row r="1358" spans="5:6">
      <c r="E1358" s="177"/>
      <c r="F1358" s="173"/>
    </row>
    <row r="1359" spans="5:6">
      <c r="E1359" s="177"/>
      <c r="F1359" s="173"/>
    </row>
    <row r="1360" spans="5:6">
      <c r="E1360" s="177"/>
      <c r="F1360" s="173"/>
    </row>
    <row r="1361" spans="5:6">
      <c r="E1361" s="177"/>
      <c r="F1361" s="173"/>
    </row>
    <row r="1362" spans="5:6">
      <c r="E1362" s="177"/>
      <c r="F1362" s="173"/>
    </row>
    <row r="1363" spans="5:6">
      <c r="E1363" s="177"/>
      <c r="F1363" s="173"/>
    </row>
    <row r="1364" spans="5:6">
      <c r="E1364" s="177"/>
      <c r="F1364" s="173"/>
    </row>
    <row r="1365" spans="5:6">
      <c r="E1365" s="177"/>
      <c r="F1365" s="173"/>
    </row>
    <row r="1366" spans="5:6">
      <c r="E1366" s="177"/>
      <c r="F1366" s="173"/>
    </row>
    <row r="1367" spans="5:6">
      <c r="E1367" s="177"/>
      <c r="F1367" s="173"/>
    </row>
    <row r="1368" spans="5:6">
      <c r="E1368" s="177"/>
      <c r="F1368" s="173"/>
    </row>
    <row r="1369" spans="5:6">
      <c r="E1369" s="177"/>
      <c r="F1369" s="173"/>
    </row>
    <row r="1370" spans="5:6">
      <c r="E1370" s="177"/>
      <c r="F1370" s="173"/>
    </row>
    <row r="1371" spans="5:6">
      <c r="E1371" s="177"/>
      <c r="F1371" s="173"/>
    </row>
    <row r="1372" spans="5:6">
      <c r="E1372" s="177"/>
      <c r="F1372" s="173"/>
    </row>
    <row r="1373" spans="5:6">
      <c r="E1373" s="177"/>
      <c r="F1373" s="173"/>
    </row>
    <row r="1374" spans="5:6">
      <c r="E1374" s="177"/>
      <c r="F1374" s="173"/>
    </row>
    <row r="1375" spans="5:6">
      <c r="E1375" s="177"/>
      <c r="F1375" s="173"/>
    </row>
    <row r="1376" spans="5:6">
      <c r="E1376" s="177"/>
      <c r="F1376" s="173"/>
    </row>
    <row r="1377" spans="5:6">
      <c r="E1377" s="177"/>
      <c r="F1377" s="173"/>
    </row>
    <row r="1378" spans="5:6">
      <c r="E1378" s="177"/>
      <c r="F1378" s="173"/>
    </row>
    <row r="1379" spans="5:6">
      <c r="E1379" s="177"/>
      <c r="F1379" s="173"/>
    </row>
    <row r="1380" spans="5:6">
      <c r="E1380" s="177"/>
      <c r="F1380" s="173"/>
    </row>
    <row r="1381" spans="5:6">
      <c r="E1381" s="177"/>
      <c r="F1381" s="173"/>
    </row>
    <row r="1382" spans="5:6">
      <c r="E1382" s="177"/>
      <c r="F1382" s="173"/>
    </row>
    <row r="1383" spans="5:6">
      <c r="E1383" s="177"/>
      <c r="F1383" s="173"/>
    </row>
    <row r="1384" spans="5:6">
      <c r="E1384" s="177"/>
      <c r="F1384" s="173"/>
    </row>
    <row r="1385" spans="5:6">
      <c r="E1385" s="177"/>
      <c r="F1385" s="173"/>
    </row>
    <row r="1386" spans="5:6">
      <c r="E1386" s="177"/>
      <c r="F1386" s="173"/>
    </row>
    <row r="1387" spans="5:6">
      <c r="E1387" s="177"/>
      <c r="F1387" s="173"/>
    </row>
    <row r="1388" spans="5:6">
      <c r="E1388" s="177"/>
      <c r="F1388" s="173"/>
    </row>
    <row r="1389" spans="5:6">
      <c r="E1389" s="177"/>
      <c r="F1389" s="173"/>
    </row>
    <row r="1390" spans="5:6">
      <c r="E1390" s="177"/>
      <c r="F1390" s="173"/>
    </row>
    <row r="1391" spans="5:6">
      <c r="E1391" s="177"/>
      <c r="F1391" s="173"/>
    </row>
    <row r="1392" spans="5:6">
      <c r="E1392" s="177"/>
      <c r="F1392" s="173"/>
    </row>
    <row r="1393" spans="5:6">
      <c r="E1393" s="177"/>
      <c r="F1393" s="173"/>
    </row>
    <row r="1394" spans="5:6">
      <c r="E1394" s="177"/>
      <c r="F1394" s="173"/>
    </row>
    <row r="1395" spans="5:6">
      <c r="E1395" s="177"/>
      <c r="F1395" s="173"/>
    </row>
    <row r="1396" spans="5:6">
      <c r="E1396" s="177"/>
      <c r="F1396" s="173"/>
    </row>
    <row r="1397" spans="5:6">
      <c r="E1397" s="177"/>
      <c r="F1397" s="173"/>
    </row>
    <row r="1398" spans="5:6">
      <c r="E1398" s="177"/>
      <c r="F1398" s="173"/>
    </row>
    <row r="1399" spans="5:6">
      <c r="E1399" s="177"/>
      <c r="F1399" s="173"/>
    </row>
    <row r="1400" spans="5:6">
      <c r="E1400" s="177"/>
      <c r="F1400" s="173"/>
    </row>
    <row r="1401" spans="5:6">
      <c r="E1401" s="177"/>
      <c r="F1401" s="173"/>
    </row>
    <row r="1402" spans="5:6">
      <c r="E1402" s="177"/>
      <c r="F1402" s="173"/>
    </row>
    <row r="1403" spans="5:6">
      <c r="E1403" s="177"/>
      <c r="F1403" s="173"/>
    </row>
    <row r="1404" spans="5:6">
      <c r="E1404" s="177"/>
      <c r="F1404" s="173"/>
    </row>
    <row r="1405" spans="5:6">
      <c r="E1405" s="177"/>
      <c r="F1405" s="173"/>
    </row>
    <row r="1406" spans="5:6">
      <c r="E1406" s="177"/>
      <c r="F1406" s="173"/>
    </row>
    <row r="1407" spans="5:6">
      <c r="E1407" s="177"/>
      <c r="F1407" s="173"/>
    </row>
    <row r="1408" spans="5:6">
      <c r="E1408" s="177"/>
      <c r="F1408" s="173"/>
    </row>
    <row r="1409" spans="5:6">
      <c r="E1409" s="177"/>
      <c r="F1409" s="173"/>
    </row>
    <row r="1410" spans="5:6">
      <c r="E1410" s="177"/>
      <c r="F1410" s="173"/>
    </row>
    <row r="1411" spans="5:6">
      <c r="E1411" s="177"/>
      <c r="F1411" s="173"/>
    </row>
    <row r="1412" spans="5:6">
      <c r="E1412" s="177"/>
      <c r="F1412" s="173"/>
    </row>
    <row r="1413" spans="5:6">
      <c r="E1413" s="177"/>
      <c r="F1413" s="173"/>
    </row>
    <row r="1414" spans="5:6">
      <c r="E1414" s="177"/>
      <c r="F1414" s="173"/>
    </row>
    <row r="1415" spans="5:6">
      <c r="E1415" s="177"/>
      <c r="F1415" s="173"/>
    </row>
    <row r="1416" spans="5:6">
      <c r="E1416" s="177"/>
      <c r="F1416" s="173"/>
    </row>
    <row r="1417" spans="5:6">
      <c r="E1417" s="177"/>
      <c r="F1417" s="173"/>
    </row>
    <row r="1418" spans="5:6">
      <c r="E1418" s="177"/>
      <c r="F1418" s="173"/>
    </row>
    <row r="1419" spans="5:6">
      <c r="E1419" s="177"/>
      <c r="F1419" s="173"/>
    </row>
    <row r="1420" spans="5:6">
      <c r="E1420" s="177"/>
      <c r="F1420" s="173"/>
    </row>
    <row r="1421" spans="5:6">
      <c r="E1421" s="177"/>
      <c r="F1421" s="173"/>
    </row>
    <row r="1422" spans="5:6">
      <c r="E1422" s="177"/>
      <c r="F1422" s="173"/>
    </row>
    <row r="1423" spans="5:6">
      <c r="E1423" s="177"/>
      <c r="F1423" s="173"/>
    </row>
    <row r="1424" spans="5:6">
      <c r="E1424" s="177"/>
      <c r="F1424" s="173"/>
    </row>
    <row r="1425" spans="5:6">
      <c r="E1425" s="177"/>
      <c r="F1425" s="173"/>
    </row>
    <row r="1426" spans="5:6">
      <c r="E1426" s="177"/>
      <c r="F1426" s="173"/>
    </row>
    <row r="1427" spans="5:6">
      <c r="E1427" s="177"/>
      <c r="F1427" s="173"/>
    </row>
    <row r="1428" spans="5:6">
      <c r="E1428" s="177"/>
      <c r="F1428" s="173"/>
    </row>
    <row r="1429" spans="5:6">
      <c r="E1429" s="177"/>
      <c r="F1429" s="173"/>
    </row>
    <row r="1430" spans="5:6">
      <c r="E1430" s="177"/>
      <c r="F1430" s="173"/>
    </row>
    <row r="1431" spans="5:6">
      <c r="E1431" s="177"/>
      <c r="F1431" s="173"/>
    </row>
    <row r="1432" spans="5:6">
      <c r="E1432" s="177"/>
      <c r="F1432" s="173"/>
    </row>
    <row r="1433" spans="5:6">
      <c r="E1433" s="177"/>
      <c r="F1433" s="173"/>
    </row>
    <row r="1434" spans="5:6">
      <c r="E1434" s="177"/>
      <c r="F1434" s="173"/>
    </row>
    <row r="1435" spans="5:6">
      <c r="E1435" s="177"/>
      <c r="F1435" s="173"/>
    </row>
    <row r="1436" spans="5:6">
      <c r="E1436" s="177"/>
      <c r="F1436" s="173"/>
    </row>
    <row r="1437" spans="5:6">
      <c r="E1437" s="177"/>
      <c r="F1437" s="173"/>
    </row>
    <row r="1438" spans="5:6">
      <c r="E1438" s="177"/>
      <c r="F1438" s="173"/>
    </row>
    <row r="1439" spans="5:6">
      <c r="E1439" s="177"/>
      <c r="F1439" s="173"/>
    </row>
    <row r="1440" spans="5:6">
      <c r="E1440" s="177"/>
      <c r="F1440" s="173"/>
    </row>
    <row r="1441" spans="5:6">
      <c r="E1441" s="177"/>
      <c r="F1441" s="173"/>
    </row>
    <row r="1442" spans="5:6">
      <c r="E1442" s="177"/>
      <c r="F1442" s="173"/>
    </row>
    <row r="1443" spans="5:6">
      <c r="E1443" s="177"/>
      <c r="F1443" s="173"/>
    </row>
    <row r="1444" spans="5:6">
      <c r="E1444" s="177"/>
      <c r="F1444" s="173"/>
    </row>
    <row r="1445" spans="5:6">
      <c r="E1445" s="177"/>
      <c r="F1445" s="173"/>
    </row>
    <row r="1446" spans="5:6">
      <c r="E1446" s="177"/>
      <c r="F1446" s="173"/>
    </row>
    <row r="1447" spans="5:6">
      <c r="E1447" s="177"/>
      <c r="F1447" s="173"/>
    </row>
    <row r="1448" spans="5:6">
      <c r="E1448" s="177"/>
      <c r="F1448" s="173"/>
    </row>
    <row r="1449" spans="5:6">
      <c r="E1449" s="177"/>
      <c r="F1449" s="173"/>
    </row>
    <row r="1450" spans="5:6">
      <c r="E1450" s="177"/>
      <c r="F1450" s="173"/>
    </row>
    <row r="1451" spans="5:6">
      <c r="E1451" s="177"/>
      <c r="F1451" s="173"/>
    </row>
    <row r="1452" spans="5:6">
      <c r="E1452" s="177"/>
      <c r="F1452" s="173"/>
    </row>
    <row r="1453" spans="5:6">
      <c r="E1453" s="177"/>
      <c r="F1453" s="173"/>
    </row>
    <row r="1454" spans="5:6">
      <c r="E1454" s="177"/>
      <c r="F1454" s="173"/>
    </row>
    <row r="1455" spans="5:6">
      <c r="E1455" s="177"/>
      <c r="F1455" s="173"/>
    </row>
    <row r="1456" spans="5:6">
      <c r="E1456" s="177"/>
      <c r="F1456" s="173"/>
    </row>
    <row r="1457" spans="5:6">
      <c r="E1457" s="177"/>
      <c r="F1457" s="173"/>
    </row>
    <row r="1458" spans="5:6">
      <c r="E1458" s="177"/>
      <c r="F1458" s="173"/>
    </row>
    <row r="1459" spans="5:6">
      <c r="E1459" s="177"/>
      <c r="F1459" s="173"/>
    </row>
    <row r="1460" spans="5:6">
      <c r="E1460" s="177"/>
      <c r="F1460" s="173"/>
    </row>
    <row r="1461" spans="5:6">
      <c r="E1461" s="177"/>
      <c r="F1461" s="173"/>
    </row>
    <row r="1462" spans="5:6">
      <c r="E1462" s="177"/>
      <c r="F1462" s="173"/>
    </row>
    <row r="1463" spans="5:6">
      <c r="E1463" s="177"/>
      <c r="F1463" s="173"/>
    </row>
    <row r="1464" spans="5:6">
      <c r="E1464" s="177"/>
      <c r="F1464" s="173"/>
    </row>
    <row r="1465" spans="5:6">
      <c r="E1465" s="177"/>
      <c r="F1465" s="173"/>
    </row>
    <row r="1466" spans="5:6">
      <c r="E1466" s="177"/>
      <c r="F1466" s="173"/>
    </row>
    <row r="1467" spans="5:6">
      <c r="E1467" s="177"/>
      <c r="F1467" s="173"/>
    </row>
    <row r="1468" spans="5:6">
      <c r="E1468" s="177"/>
      <c r="F1468" s="173"/>
    </row>
    <row r="1469" spans="5:6">
      <c r="E1469" s="177"/>
      <c r="F1469" s="173"/>
    </row>
    <row r="1470" spans="5:6">
      <c r="E1470" s="177"/>
      <c r="F1470" s="173"/>
    </row>
    <row r="1471" spans="5:6">
      <c r="E1471" s="177"/>
      <c r="F1471" s="173"/>
    </row>
    <row r="1472" spans="5:6">
      <c r="E1472" s="177"/>
      <c r="F1472" s="173"/>
    </row>
    <row r="1473" spans="5:6">
      <c r="E1473" s="177"/>
      <c r="F1473" s="173"/>
    </row>
    <row r="1474" spans="5:6">
      <c r="E1474" s="177"/>
      <c r="F1474" s="173"/>
    </row>
    <row r="1475" spans="5:6">
      <c r="E1475" s="177"/>
      <c r="F1475" s="173"/>
    </row>
    <row r="1476" spans="5:6">
      <c r="E1476" s="177"/>
      <c r="F1476" s="173"/>
    </row>
    <row r="1477" spans="5:6">
      <c r="E1477" s="177"/>
      <c r="F1477" s="173"/>
    </row>
    <row r="1478" spans="5:6">
      <c r="E1478" s="177"/>
      <c r="F1478" s="173"/>
    </row>
    <row r="1479" spans="5:6">
      <c r="E1479" s="177"/>
      <c r="F1479" s="173"/>
    </row>
    <row r="1480" spans="5:6">
      <c r="E1480" s="177"/>
      <c r="F1480" s="173"/>
    </row>
    <row r="1481" spans="5:6">
      <c r="E1481" s="177"/>
      <c r="F1481" s="173"/>
    </row>
    <row r="1482" spans="5:6">
      <c r="E1482" s="177"/>
      <c r="F1482" s="173"/>
    </row>
    <row r="1483" spans="5:6">
      <c r="E1483" s="177"/>
      <c r="F1483" s="173"/>
    </row>
    <row r="1484" spans="5:6">
      <c r="E1484" s="177"/>
      <c r="F1484" s="173"/>
    </row>
    <row r="1485" spans="5:6">
      <c r="E1485" s="177"/>
      <c r="F1485" s="173"/>
    </row>
    <row r="1486" spans="5:6">
      <c r="E1486" s="177"/>
      <c r="F1486" s="173"/>
    </row>
    <row r="1487" spans="5:6">
      <c r="E1487" s="177"/>
      <c r="F1487" s="173"/>
    </row>
    <row r="1488" spans="5:6">
      <c r="E1488" s="177"/>
      <c r="F1488" s="173"/>
    </row>
    <row r="1489" spans="5:6">
      <c r="E1489" s="177"/>
      <c r="F1489" s="173"/>
    </row>
    <row r="1490" spans="5:6">
      <c r="E1490" s="177"/>
      <c r="F1490" s="173"/>
    </row>
    <row r="1491" spans="5:6">
      <c r="E1491" s="177"/>
      <c r="F1491" s="173"/>
    </row>
    <row r="1492" spans="5:6">
      <c r="E1492" s="177"/>
      <c r="F1492" s="173"/>
    </row>
    <row r="1493" spans="5:6">
      <c r="E1493" s="177"/>
      <c r="F1493" s="173"/>
    </row>
    <row r="1494" spans="5:6">
      <c r="E1494" s="177"/>
      <c r="F1494" s="173"/>
    </row>
    <row r="1495" spans="5:6">
      <c r="E1495" s="177"/>
      <c r="F1495" s="173"/>
    </row>
    <row r="1496" spans="5:6">
      <c r="E1496" s="177"/>
      <c r="F1496" s="173"/>
    </row>
    <row r="1497" spans="5:6">
      <c r="E1497" s="177"/>
      <c r="F1497" s="173"/>
    </row>
    <row r="1498" spans="5:6">
      <c r="E1498" s="177"/>
      <c r="F1498" s="173"/>
    </row>
    <row r="1499" spans="5:6">
      <c r="E1499" s="177"/>
      <c r="F1499" s="173"/>
    </row>
    <row r="1500" spans="5:6">
      <c r="E1500" s="177"/>
      <c r="F1500" s="173"/>
    </row>
    <row r="1501" spans="5:6">
      <c r="E1501" s="177"/>
      <c r="F1501" s="173"/>
    </row>
    <row r="1502" spans="5:6">
      <c r="E1502" s="177"/>
      <c r="F1502" s="173"/>
    </row>
    <row r="1503" spans="5:6">
      <c r="E1503" s="177"/>
      <c r="F1503" s="173"/>
    </row>
    <row r="1504" spans="5:6">
      <c r="E1504" s="177"/>
      <c r="F1504" s="173"/>
    </row>
    <row r="1505" spans="5:6">
      <c r="E1505" s="177"/>
      <c r="F1505" s="173"/>
    </row>
    <row r="1506" spans="5:6">
      <c r="E1506" s="177"/>
      <c r="F1506" s="173"/>
    </row>
    <row r="1507" spans="5:6">
      <c r="E1507" s="177"/>
      <c r="F1507" s="173"/>
    </row>
    <row r="1508" spans="5:6">
      <c r="E1508" s="177"/>
      <c r="F1508" s="173"/>
    </row>
    <row r="1509" spans="5:6">
      <c r="E1509" s="177"/>
      <c r="F1509" s="173"/>
    </row>
    <row r="1510" spans="5:6">
      <c r="E1510" s="177"/>
      <c r="F1510" s="173"/>
    </row>
    <row r="1511" spans="5:6">
      <c r="E1511" s="177"/>
      <c r="F1511" s="173"/>
    </row>
    <row r="1512" spans="5:6">
      <c r="E1512" s="177"/>
      <c r="F1512" s="173"/>
    </row>
    <row r="1513" spans="5:6">
      <c r="E1513" s="177"/>
      <c r="F1513" s="173"/>
    </row>
    <row r="1514" spans="5:6">
      <c r="E1514" s="177"/>
      <c r="F1514" s="173"/>
    </row>
    <row r="1515" spans="5:6">
      <c r="E1515" s="177"/>
      <c r="F1515" s="173"/>
    </row>
    <row r="1516" spans="5:6">
      <c r="E1516" s="177"/>
      <c r="F1516" s="173"/>
    </row>
    <row r="1517" spans="5:6">
      <c r="E1517" s="177"/>
      <c r="F1517" s="173"/>
    </row>
    <row r="1518" spans="5:6">
      <c r="E1518" s="177"/>
      <c r="F1518" s="173"/>
    </row>
    <row r="1519" spans="5:6">
      <c r="E1519" s="177"/>
      <c r="F1519" s="173"/>
    </row>
    <row r="1520" spans="5:6">
      <c r="E1520" s="177"/>
      <c r="F1520" s="173"/>
    </row>
    <row r="1521" spans="5:6">
      <c r="E1521" s="177"/>
      <c r="F1521" s="173"/>
    </row>
    <row r="1522" spans="5:6">
      <c r="E1522" s="177"/>
      <c r="F1522" s="173"/>
    </row>
    <row r="1523" spans="5:6">
      <c r="E1523" s="177"/>
      <c r="F1523" s="173"/>
    </row>
    <row r="1524" spans="5:6">
      <c r="E1524" s="177"/>
      <c r="F1524" s="173"/>
    </row>
    <row r="1525" spans="5:6">
      <c r="E1525" s="177"/>
      <c r="F1525" s="173"/>
    </row>
    <row r="1526" spans="5:6">
      <c r="E1526" s="177"/>
      <c r="F1526" s="173"/>
    </row>
    <row r="1527" spans="5:6">
      <c r="E1527" s="177"/>
      <c r="F1527" s="173"/>
    </row>
    <row r="1528" spans="5:6">
      <c r="E1528" s="177"/>
      <c r="F1528" s="173"/>
    </row>
    <row r="1529" spans="5:6">
      <c r="E1529" s="177"/>
      <c r="F1529" s="173"/>
    </row>
    <row r="1530" spans="5:6">
      <c r="E1530" s="177"/>
      <c r="F1530" s="173"/>
    </row>
    <row r="1531" spans="5:6">
      <c r="E1531" s="177"/>
      <c r="F1531" s="173"/>
    </row>
    <row r="1532" spans="5:6">
      <c r="E1532" s="177"/>
      <c r="F1532" s="173"/>
    </row>
    <row r="1533" spans="5:6">
      <c r="E1533" s="177"/>
      <c r="F1533" s="173"/>
    </row>
    <row r="1534" spans="5:6">
      <c r="E1534" s="177"/>
      <c r="F1534" s="173"/>
    </row>
    <row r="1535" spans="5:6">
      <c r="E1535" s="177"/>
      <c r="F1535" s="173"/>
    </row>
    <row r="1536" spans="5:6">
      <c r="E1536" s="177"/>
      <c r="F1536" s="173"/>
    </row>
    <row r="1537" spans="5:6">
      <c r="E1537" s="177"/>
      <c r="F1537" s="173"/>
    </row>
    <row r="1538" spans="5:6">
      <c r="E1538" s="177"/>
      <c r="F1538" s="173"/>
    </row>
    <row r="1539" spans="5:6">
      <c r="E1539" s="177"/>
      <c r="F1539" s="173"/>
    </row>
    <row r="1540" spans="5:6">
      <c r="E1540" s="177"/>
      <c r="F1540" s="173"/>
    </row>
    <row r="1541" spans="5:6">
      <c r="E1541" s="177"/>
      <c r="F1541" s="173"/>
    </row>
    <row r="1542" spans="5:6">
      <c r="E1542" s="177"/>
      <c r="F1542" s="173"/>
    </row>
    <row r="1543" spans="5:6">
      <c r="E1543" s="177"/>
      <c r="F1543" s="173"/>
    </row>
    <row r="1544" spans="5:6">
      <c r="E1544" s="177"/>
      <c r="F1544" s="173"/>
    </row>
    <row r="1545" spans="5:6">
      <c r="E1545" s="177"/>
      <c r="F1545" s="173"/>
    </row>
    <row r="1546" spans="5:6">
      <c r="E1546" s="177"/>
      <c r="F1546" s="173"/>
    </row>
    <row r="1547" spans="5:6">
      <c r="E1547" s="177"/>
      <c r="F1547" s="173"/>
    </row>
    <row r="1548" spans="5:6">
      <c r="E1548" s="177"/>
      <c r="F1548" s="173"/>
    </row>
    <row r="1549" spans="5:6">
      <c r="E1549" s="177"/>
      <c r="F1549" s="173"/>
    </row>
    <row r="1550" spans="5:6">
      <c r="E1550" s="177"/>
      <c r="F1550" s="173"/>
    </row>
    <row r="1551" spans="5:6">
      <c r="E1551" s="177"/>
      <c r="F1551" s="173"/>
    </row>
    <row r="1552" spans="5:6">
      <c r="E1552" s="177"/>
      <c r="F1552" s="173"/>
    </row>
    <row r="1553" spans="5:6">
      <c r="E1553" s="177"/>
      <c r="F1553" s="173"/>
    </row>
    <row r="1554" spans="5:6">
      <c r="E1554" s="177"/>
      <c r="F1554" s="173"/>
    </row>
    <row r="1555" spans="5:6">
      <c r="E1555" s="177"/>
      <c r="F1555" s="173"/>
    </row>
    <row r="1556" spans="5:6">
      <c r="E1556" s="177"/>
      <c r="F1556" s="173"/>
    </row>
    <row r="1557" spans="5:6">
      <c r="E1557" s="177"/>
      <c r="F1557" s="173"/>
    </row>
    <row r="1558" spans="5:6">
      <c r="E1558" s="177"/>
      <c r="F1558" s="173"/>
    </row>
    <row r="1559" spans="5:6">
      <c r="E1559" s="177"/>
      <c r="F1559" s="173"/>
    </row>
    <row r="1560" spans="5:6">
      <c r="E1560" s="177"/>
      <c r="F1560" s="173"/>
    </row>
    <row r="1561" spans="5:6">
      <c r="E1561" s="177"/>
      <c r="F1561" s="173"/>
    </row>
    <row r="1562" spans="5:6">
      <c r="E1562" s="177"/>
      <c r="F1562" s="173"/>
    </row>
    <row r="1563" spans="5:6">
      <c r="E1563" s="177"/>
      <c r="F1563" s="173"/>
    </row>
    <row r="1564" spans="5:6">
      <c r="E1564" s="177"/>
      <c r="F1564" s="173"/>
    </row>
    <row r="1565" spans="5:6">
      <c r="E1565" s="177"/>
      <c r="F1565" s="173"/>
    </row>
    <row r="1566" spans="5:6">
      <c r="E1566" s="177"/>
      <c r="F1566" s="173"/>
    </row>
    <row r="1567" spans="5:6">
      <c r="E1567" s="177"/>
      <c r="F1567" s="173"/>
    </row>
    <row r="1568" spans="5:6">
      <c r="E1568" s="177"/>
      <c r="F1568" s="173"/>
    </row>
    <row r="1569" spans="5:6">
      <c r="E1569" s="177"/>
      <c r="F1569" s="173"/>
    </row>
    <row r="1570" spans="5:6">
      <c r="E1570" s="177"/>
      <c r="F1570" s="173"/>
    </row>
    <row r="1571" spans="5:6">
      <c r="E1571" s="177"/>
      <c r="F1571" s="173"/>
    </row>
    <row r="1572" spans="5:6">
      <c r="E1572" s="177"/>
      <c r="F1572" s="173"/>
    </row>
    <row r="1573" spans="5:6">
      <c r="E1573" s="177"/>
      <c r="F1573" s="173"/>
    </row>
    <row r="1574" spans="5:6">
      <c r="E1574" s="177"/>
      <c r="F1574" s="173"/>
    </row>
    <row r="1575" spans="5:6">
      <c r="E1575" s="177"/>
      <c r="F1575" s="173"/>
    </row>
    <row r="1576" spans="5:6">
      <c r="E1576" s="177"/>
      <c r="F1576" s="173"/>
    </row>
    <row r="1577" spans="5:6">
      <c r="E1577" s="177"/>
      <c r="F1577" s="173"/>
    </row>
    <row r="1578" spans="5:6">
      <c r="E1578" s="177"/>
      <c r="F1578" s="173"/>
    </row>
    <row r="1579" spans="5:6">
      <c r="E1579" s="177"/>
      <c r="F1579" s="173"/>
    </row>
    <row r="1580" spans="5:6">
      <c r="E1580" s="177"/>
      <c r="F1580" s="173"/>
    </row>
    <row r="1581" spans="5:6">
      <c r="E1581" s="177"/>
      <c r="F1581" s="173"/>
    </row>
    <row r="1582" spans="5:6">
      <c r="E1582" s="177"/>
      <c r="F1582" s="173"/>
    </row>
    <row r="1583" spans="5:6">
      <c r="E1583" s="177"/>
      <c r="F1583" s="173"/>
    </row>
    <row r="1584" spans="5:6">
      <c r="E1584" s="177"/>
      <c r="F1584" s="173"/>
    </row>
    <row r="1585" spans="5:6">
      <c r="E1585" s="177"/>
      <c r="F1585" s="173"/>
    </row>
    <row r="1586" spans="5:6">
      <c r="E1586" s="177"/>
      <c r="F1586" s="173"/>
    </row>
    <row r="1587" spans="5:6">
      <c r="E1587" s="177"/>
      <c r="F1587" s="173"/>
    </row>
    <row r="1588" spans="5:6">
      <c r="E1588" s="177"/>
      <c r="F1588" s="173"/>
    </row>
    <row r="1589" spans="5:6">
      <c r="E1589" s="177"/>
      <c r="F1589" s="173"/>
    </row>
    <row r="1590" spans="5:6">
      <c r="E1590" s="177"/>
      <c r="F1590" s="173"/>
    </row>
    <row r="1591" spans="5:6">
      <c r="E1591" s="177"/>
      <c r="F1591" s="173"/>
    </row>
    <row r="1592" spans="5:6">
      <c r="E1592" s="177"/>
      <c r="F1592" s="173"/>
    </row>
    <row r="1593" spans="5:6">
      <c r="E1593" s="177"/>
      <c r="F1593" s="173"/>
    </row>
    <row r="1594" spans="5:6">
      <c r="E1594" s="177"/>
      <c r="F1594" s="173"/>
    </row>
    <row r="1595" spans="5:6">
      <c r="E1595" s="177"/>
      <c r="F1595" s="173"/>
    </row>
    <row r="1596" spans="5:6">
      <c r="E1596" s="177"/>
      <c r="F1596" s="173"/>
    </row>
    <row r="1597" spans="5:6">
      <c r="E1597" s="177"/>
      <c r="F1597" s="173"/>
    </row>
    <row r="1598" spans="5:6">
      <c r="E1598" s="177"/>
      <c r="F1598" s="173"/>
    </row>
    <row r="1599" spans="5:6">
      <c r="E1599" s="177"/>
      <c r="F1599" s="173"/>
    </row>
    <row r="1600" spans="5:6">
      <c r="E1600" s="177"/>
      <c r="F1600" s="173"/>
    </row>
    <row r="1601" spans="5:6">
      <c r="E1601" s="177"/>
      <c r="F1601" s="173"/>
    </row>
    <row r="1602" spans="5:6">
      <c r="E1602" s="177"/>
      <c r="F1602" s="173"/>
    </row>
    <row r="1603" spans="5:6">
      <c r="E1603" s="177"/>
      <c r="F1603" s="173"/>
    </row>
    <row r="1604" spans="5:6">
      <c r="E1604" s="177"/>
      <c r="F1604" s="173"/>
    </row>
    <row r="1605" spans="5:6">
      <c r="E1605" s="177"/>
      <c r="F1605" s="173"/>
    </row>
    <row r="1606" spans="5:6">
      <c r="E1606" s="177"/>
      <c r="F1606" s="173"/>
    </row>
    <row r="1607" spans="5:6">
      <c r="E1607" s="177"/>
      <c r="F1607" s="173"/>
    </row>
    <row r="1608" spans="5:6">
      <c r="E1608" s="177"/>
      <c r="F1608" s="173"/>
    </row>
    <row r="1609" spans="5:6">
      <c r="E1609" s="177"/>
      <c r="F1609" s="173"/>
    </row>
    <row r="1610" spans="5:6">
      <c r="E1610" s="177"/>
      <c r="F1610" s="173"/>
    </row>
    <row r="1611" spans="5:6">
      <c r="E1611" s="177"/>
      <c r="F1611" s="173"/>
    </row>
    <row r="1612" spans="5:6">
      <c r="E1612" s="177"/>
      <c r="F1612" s="173"/>
    </row>
    <row r="1613" spans="5:6">
      <c r="E1613" s="177"/>
      <c r="F1613" s="173"/>
    </row>
    <row r="1614" spans="5:6">
      <c r="E1614" s="177"/>
      <c r="F1614" s="173"/>
    </row>
    <row r="1615" spans="5:6">
      <c r="E1615" s="177"/>
      <c r="F1615" s="173"/>
    </row>
    <row r="1616" spans="5:6">
      <c r="E1616" s="177"/>
      <c r="F1616" s="173"/>
    </row>
    <row r="1617" spans="5:6">
      <c r="E1617" s="177"/>
      <c r="F1617" s="173"/>
    </row>
    <row r="1618" spans="5:6">
      <c r="E1618" s="177"/>
      <c r="F1618" s="173"/>
    </row>
    <row r="1619" spans="5:6">
      <c r="E1619" s="177"/>
      <c r="F1619" s="173"/>
    </row>
    <row r="1620" spans="5:6">
      <c r="E1620" s="177"/>
      <c r="F1620" s="173"/>
    </row>
    <row r="1621" spans="5:6">
      <c r="E1621" s="177"/>
      <c r="F1621" s="173"/>
    </row>
    <row r="1622" spans="5:6">
      <c r="E1622" s="177"/>
      <c r="F1622" s="173"/>
    </row>
    <row r="1623" spans="5:6">
      <c r="E1623" s="177"/>
      <c r="F1623" s="173"/>
    </row>
    <row r="1624" spans="5:6">
      <c r="E1624" s="177"/>
      <c r="F1624" s="173"/>
    </row>
    <row r="1625" spans="5:6">
      <c r="E1625" s="177"/>
      <c r="F1625" s="173"/>
    </row>
    <row r="1626" spans="5:6">
      <c r="E1626" s="177"/>
      <c r="F1626" s="173"/>
    </row>
    <row r="1627" spans="5:6">
      <c r="E1627" s="177"/>
      <c r="F1627" s="173"/>
    </row>
    <row r="1628" spans="5:6">
      <c r="E1628" s="177"/>
      <c r="F1628" s="173"/>
    </row>
    <row r="1629" spans="5:6">
      <c r="E1629" s="177"/>
      <c r="F1629" s="173"/>
    </row>
    <row r="1630" spans="5:6">
      <c r="E1630" s="177"/>
      <c r="F1630" s="173"/>
    </row>
    <row r="1631" spans="5:6">
      <c r="E1631" s="177"/>
      <c r="F1631" s="173"/>
    </row>
    <row r="1632" spans="5:6">
      <c r="E1632" s="177"/>
      <c r="F1632" s="173"/>
    </row>
    <row r="1633" spans="5:6">
      <c r="E1633" s="177"/>
      <c r="F1633" s="173"/>
    </row>
    <row r="1634" spans="5:6">
      <c r="E1634" s="177"/>
      <c r="F1634" s="173"/>
    </row>
    <row r="1635" spans="5:6">
      <c r="E1635" s="177"/>
      <c r="F1635" s="173"/>
    </row>
    <row r="1636" spans="5:6">
      <c r="E1636" s="177"/>
      <c r="F1636" s="173"/>
    </row>
    <row r="1637" spans="5:6">
      <c r="E1637" s="177"/>
      <c r="F1637" s="173"/>
    </row>
    <row r="1638" spans="5:6">
      <c r="E1638" s="177"/>
      <c r="F1638" s="173"/>
    </row>
    <row r="1639" spans="5:6">
      <c r="E1639" s="177"/>
      <c r="F1639" s="173"/>
    </row>
    <row r="1640" spans="5:6">
      <c r="E1640" s="177"/>
      <c r="F1640" s="173"/>
    </row>
    <row r="1641" spans="5:6">
      <c r="E1641" s="177"/>
      <c r="F1641" s="173"/>
    </row>
    <row r="1642" spans="5:6">
      <c r="E1642" s="177"/>
      <c r="F1642" s="173"/>
    </row>
    <row r="1643" spans="5:6">
      <c r="E1643" s="177"/>
      <c r="F1643" s="173"/>
    </row>
    <row r="1644" spans="5:6">
      <c r="E1644" s="177"/>
      <c r="F1644" s="173"/>
    </row>
    <row r="1645" spans="5:6">
      <c r="E1645" s="177"/>
      <c r="F1645" s="173"/>
    </row>
    <row r="1646" spans="5:6">
      <c r="E1646" s="177"/>
      <c r="F1646" s="173"/>
    </row>
    <row r="1647" spans="5:6">
      <c r="E1647" s="177"/>
      <c r="F1647" s="173"/>
    </row>
    <row r="1648" spans="5:6">
      <c r="E1648" s="177"/>
      <c r="F1648" s="173"/>
    </row>
    <row r="1649" spans="5:6">
      <c r="E1649" s="177"/>
      <c r="F1649" s="173"/>
    </row>
    <row r="1650" spans="5:6">
      <c r="E1650" s="177"/>
      <c r="F1650" s="173"/>
    </row>
    <row r="1651" spans="5:6">
      <c r="E1651" s="177"/>
      <c r="F1651" s="173"/>
    </row>
    <row r="1652" spans="5:6">
      <c r="E1652" s="177"/>
      <c r="F1652" s="173"/>
    </row>
    <row r="1653" spans="5:6">
      <c r="E1653" s="177"/>
      <c r="F1653" s="173"/>
    </row>
    <row r="1654" spans="5:6">
      <c r="E1654" s="177"/>
      <c r="F1654" s="173"/>
    </row>
    <row r="1655" spans="5:6">
      <c r="E1655" s="177"/>
      <c r="F1655" s="173"/>
    </row>
    <row r="1656" spans="5:6">
      <c r="E1656" s="177"/>
      <c r="F1656" s="173"/>
    </row>
    <row r="1657" spans="5:6">
      <c r="E1657" s="177"/>
      <c r="F1657" s="173"/>
    </row>
    <row r="1658" spans="5:6">
      <c r="E1658" s="177"/>
      <c r="F1658" s="173"/>
    </row>
    <row r="1659" spans="5:6">
      <c r="E1659" s="177"/>
      <c r="F1659" s="173"/>
    </row>
    <row r="1660" spans="5:6">
      <c r="E1660" s="177"/>
      <c r="F1660" s="173"/>
    </row>
    <row r="1661" spans="5:6">
      <c r="E1661" s="177"/>
      <c r="F1661" s="173"/>
    </row>
    <row r="1662" spans="5:6">
      <c r="E1662" s="177"/>
      <c r="F1662" s="173"/>
    </row>
    <row r="1663" spans="5:6">
      <c r="E1663" s="177"/>
      <c r="F1663" s="173"/>
    </row>
    <row r="1664" spans="5:6">
      <c r="E1664" s="177"/>
      <c r="F1664" s="173"/>
    </row>
    <row r="1665" spans="5:6">
      <c r="E1665" s="177"/>
      <c r="F1665" s="173"/>
    </row>
    <row r="1666" spans="5:6">
      <c r="E1666" s="177"/>
      <c r="F1666" s="173"/>
    </row>
    <row r="1667" spans="5:6">
      <c r="E1667" s="177"/>
      <c r="F1667" s="173"/>
    </row>
    <row r="1668" spans="5:6">
      <c r="E1668" s="177"/>
      <c r="F1668" s="173"/>
    </row>
    <row r="1669" spans="5:6">
      <c r="E1669" s="177"/>
      <c r="F1669" s="173"/>
    </row>
    <row r="1670" spans="5:6">
      <c r="E1670" s="177"/>
      <c r="F1670" s="173"/>
    </row>
    <row r="1671" spans="5:6">
      <c r="E1671" s="177"/>
      <c r="F1671" s="173"/>
    </row>
    <row r="1672" spans="5:6">
      <c r="E1672" s="177"/>
      <c r="F1672" s="173"/>
    </row>
    <row r="1673" spans="5:6">
      <c r="E1673" s="177"/>
      <c r="F1673" s="173"/>
    </row>
    <row r="1674" spans="5:6">
      <c r="E1674" s="177"/>
      <c r="F1674" s="173"/>
    </row>
    <row r="1675" spans="5:6">
      <c r="E1675" s="177"/>
      <c r="F1675" s="173"/>
    </row>
    <row r="1676" spans="5:6">
      <c r="E1676" s="177"/>
      <c r="F1676" s="173"/>
    </row>
    <row r="1677" spans="5:6">
      <c r="E1677" s="177"/>
      <c r="F1677" s="173"/>
    </row>
    <row r="1678" spans="5:6">
      <c r="E1678" s="177"/>
      <c r="F1678" s="173"/>
    </row>
    <row r="1679" spans="5:6">
      <c r="E1679" s="177"/>
      <c r="F1679" s="173"/>
    </row>
    <row r="1680" spans="5:6">
      <c r="E1680" s="177"/>
      <c r="F1680" s="173"/>
    </row>
    <row r="1681" spans="5:6">
      <c r="E1681" s="177"/>
      <c r="F1681" s="173"/>
    </row>
    <row r="1682" spans="5:6">
      <c r="E1682" s="177"/>
      <c r="F1682" s="173"/>
    </row>
    <row r="1683" spans="5:6">
      <c r="E1683" s="177"/>
      <c r="F1683" s="173"/>
    </row>
    <row r="1684" spans="5:6">
      <c r="E1684" s="177"/>
      <c r="F1684" s="173"/>
    </row>
    <row r="1685" spans="5:6">
      <c r="E1685" s="177"/>
      <c r="F1685" s="173"/>
    </row>
    <row r="1686" spans="5:6">
      <c r="E1686" s="177"/>
      <c r="F1686" s="173"/>
    </row>
    <row r="1687" spans="5:6">
      <c r="E1687" s="177"/>
      <c r="F1687" s="173"/>
    </row>
    <row r="1688" spans="5:6">
      <c r="E1688" s="177"/>
      <c r="F1688" s="173"/>
    </row>
    <row r="1689" spans="5:6">
      <c r="E1689" s="177"/>
      <c r="F1689" s="173"/>
    </row>
    <row r="1690" spans="5:6">
      <c r="E1690" s="177"/>
      <c r="F1690" s="173"/>
    </row>
    <row r="1691" spans="5:6">
      <c r="E1691" s="177"/>
      <c r="F1691" s="173"/>
    </row>
    <row r="1692" spans="5:6">
      <c r="E1692" s="177"/>
      <c r="F1692" s="173"/>
    </row>
    <row r="1693" spans="5:6">
      <c r="E1693" s="177"/>
      <c r="F1693" s="173"/>
    </row>
    <row r="1694" spans="5:6">
      <c r="E1694" s="177"/>
      <c r="F1694" s="173"/>
    </row>
    <row r="1695" spans="5:6">
      <c r="E1695" s="177"/>
      <c r="F1695" s="173"/>
    </row>
    <row r="1696" spans="5:6">
      <c r="E1696" s="177"/>
      <c r="F1696" s="173"/>
    </row>
    <row r="1697" spans="5:6">
      <c r="E1697" s="177"/>
      <c r="F1697" s="173"/>
    </row>
    <row r="1698" spans="5:6">
      <c r="E1698" s="177"/>
      <c r="F1698" s="173"/>
    </row>
    <row r="1699" spans="5:6">
      <c r="E1699" s="177"/>
      <c r="F1699" s="173"/>
    </row>
    <row r="1700" spans="5:6">
      <c r="E1700" s="177"/>
      <c r="F1700" s="173"/>
    </row>
    <row r="1701" spans="5:6">
      <c r="E1701" s="177"/>
      <c r="F1701" s="173"/>
    </row>
    <row r="1702" spans="5:6">
      <c r="E1702" s="177"/>
      <c r="F1702" s="173"/>
    </row>
    <row r="1703" spans="5:6">
      <c r="E1703" s="177"/>
      <c r="F1703" s="173"/>
    </row>
    <row r="1704" spans="5:6">
      <c r="E1704" s="177"/>
      <c r="F1704" s="173"/>
    </row>
    <row r="1705" spans="5:6">
      <c r="E1705" s="177"/>
      <c r="F1705" s="173"/>
    </row>
    <row r="1706" spans="5:6">
      <c r="E1706" s="177"/>
      <c r="F1706" s="173"/>
    </row>
    <row r="1707" spans="5:6">
      <c r="E1707" s="177"/>
      <c r="F1707" s="173"/>
    </row>
    <row r="1708" spans="5:6">
      <c r="E1708" s="177"/>
      <c r="F1708" s="173"/>
    </row>
    <row r="1709" spans="5:6">
      <c r="E1709" s="177"/>
      <c r="F1709" s="173"/>
    </row>
    <row r="1710" spans="5:6">
      <c r="E1710" s="177"/>
      <c r="F1710" s="173"/>
    </row>
    <row r="1711" spans="5:6">
      <c r="E1711" s="177"/>
      <c r="F1711" s="173"/>
    </row>
    <row r="1712" spans="5:6">
      <c r="E1712" s="177"/>
      <c r="F1712" s="173"/>
    </row>
    <row r="1713" spans="5:6">
      <c r="E1713" s="177"/>
      <c r="F1713" s="173"/>
    </row>
    <row r="1714" spans="5:6">
      <c r="E1714" s="177"/>
      <c r="F1714" s="173"/>
    </row>
    <row r="1715" spans="5:6">
      <c r="E1715" s="177"/>
      <c r="F1715" s="173"/>
    </row>
    <row r="1716" spans="5:6">
      <c r="E1716" s="177"/>
      <c r="F1716" s="173"/>
    </row>
    <row r="1717" spans="5:6">
      <c r="E1717" s="177"/>
      <c r="F1717" s="173"/>
    </row>
    <row r="1718" spans="5:6">
      <c r="E1718" s="177"/>
      <c r="F1718" s="173"/>
    </row>
    <row r="1719" spans="5:6">
      <c r="E1719" s="177"/>
      <c r="F1719" s="173"/>
    </row>
    <row r="1720" spans="5:6">
      <c r="E1720" s="177"/>
      <c r="F1720" s="173"/>
    </row>
    <row r="1721" spans="5:6">
      <c r="E1721" s="177"/>
      <c r="F1721" s="173"/>
    </row>
    <row r="1722" spans="5:6">
      <c r="E1722" s="177"/>
      <c r="F1722" s="173"/>
    </row>
    <row r="1723" spans="5:6">
      <c r="E1723" s="177"/>
      <c r="F1723" s="173"/>
    </row>
    <row r="1724" spans="5:6">
      <c r="E1724" s="177"/>
      <c r="F1724" s="173"/>
    </row>
    <row r="1725" spans="5:6">
      <c r="E1725" s="177"/>
      <c r="F1725" s="173"/>
    </row>
    <row r="1726" spans="5:6">
      <c r="E1726" s="177"/>
      <c r="F1726" s="173"/>
    </row>
    <row r="1727" spans="5:6">
      <c r="E1727" s="177"/>
      <c r="F1727" s="173"/>
    </row>
    <row r="1728" spans="5:6">
      <c r="E1728" s="177"/>
      <c r="F1728" s="173"/>
    </row>
    <row r="1729" spans="5:6">
      <c r="E1729" s="177"/>
      <c r="F1729" s="173"/>
    </row>
    <row r="1730" spans="5:6">
      <c r="E1730" s="177"/>
      <c r="F1730" s="173"/>
    </row>
    <row r="1731" spans="5:6">
      <c r="E1731" s="177"/>
      <c r="F1731" s="173"/>
    </row>
    <row r="1732" spans="5:6">
      <c r="E1732" s="177"/>
      <c r="F1732" s="173"/>
    </row>
    <row r="1733" spans="5:6">
      <c r="E1733" s="177"/>
      <c r="F1733" s="173"/>
    </row>
    <row r="1734" spans="5:6">
      <c r="E1734" s="177"/>
      <c r="F1734" s="173"/>
    </row>
    <row r="1735" spans="5:6">
      <c r="E1735" s="177"/>
      <c r="F1735" s="173"/>
    </row>
    <row r="1736" spans="5:6">
      <c r="E1736" s="177"/>
      <c r="F1736" s="173"/>
    </row>
    <row r="1737" spans="5:6">
      <c r="E1737" s="177"/>
      <c r="F1737" s="173"/>
    </row>
    <row r="1738" spans="5:6">
      <c r="E1738" s="177"/>
      <c r="F1738" s="173"/>
    </row>
    <row r="1739" spans="5:6">
      <c r="E1739" s="177"/>
      <c r="F1739" s="173"/>
    </row>
    <row r="1740" spans="5:6">
      <c r="E1740" s="177"/>
      <c r="F1740" s="173"/>
    </row>
    <row r="1741" spans="5:6">
      <c r="E1741" s="177"/>
      <c r="F1741" s="173"/>
    </row>
    <row r="1742" spans="5:6">
      <c r="E1742" s="177"/>
      <c r="F1742" s="173"/>
    </row>
    <row r="1743" spans="5:6">
      <c r="E1743" s="177"/>
      <c r="F1743" s="173"/>
    </row>
    <row r="1744" spans="5:6">
      <c r="E1744" s="177"/>
      <c r="F1744" s="173"/>
    </row>
    <row r="1745" spans="5:6">
      <c r="E1745" s="177"/>
      <c r="F1745" s="173"/>
    </row>
    <row r="1746" spans="5:6">
      <c r="E1746" s="177"/>
      <c r="F1746" s="173"/>
    </row>
    <row r="1747" spans="5:6">
      <c r="E1747" s="177"/>
      <c r="F1747" s="173"/>
    </row>
    <row r="1748" spans="5:6">
      <c r="E1748" s="177"/>
      <c r="F1748" s="173"/>
    </row>
    <row r="1749" spans="5:6">
      <c r="E1749" s="177"/>
      <c r="F1749" s="173"/>
    </row>
    <row r="1750" spans="5:6">
      <c r="E1750" s="177"/>
      <c r="F1750" s="173"/>
    </row>
    <row r="1751" spans="5:6">
      <c r="E1751" s="177"/>
      <c r="F1751" s="173"/>
    </row>
    <row r="1752" spans="5:6">
      <c r="E1752" s="177"/>
      <c r="F1752" s="173"/>
    </row>
    <row r="1753" spans="5:6">
      <c r="E1753" s="177"/>
      <c r="F1753" s="173"/>
    </row>
    <row r="1754" spans="5:6">
      <c r="E1754" s="177"/>
      <c r="F1754" s="173"/>
    </row>
    <row r="1755" spans="5:6">
      <c r="E1755" s="177"/>
      <c r="F1755" s="173"/>
    </row>
    <row r="1756" spans="5:6">
      <c r="E1756" s="177"/>
      <c r="F1756" s="173"/>
    </row>
    <row r="1757" spans="5:6">
      <c r="E1757" s="177"/>
      <c r="F1757" s="173"/>
    </row>
    <row r="1758" spans="5:6">
      <c r="E1758" s="177"/>
      <c r="F1758" s="173"/>
    </row>
    <row r="1759" spans="5:6">
      <c r="E1759" s="177"/>
      <c r="F1759" s="173"/>
    </row>
    <row r="1760" spans="5:6">
      <c r="E1760" s="177"/>
      <c r="F1760" s="173"/>
    </row>
    <row r="1761" spans="5:6">
      <c r="E1761" s="177"/>
      <c r="F1761" s="173"/>
    </row>
    <row r="1762" spans="5:6">
      <c r="E1762" s="177"/>
      <c r="F1762" s="173"/>
    </row>
    <row r="1763" spans="5:6">
      <c r="E1763" s="177"/>
      <c r="F1763" s="173"/>
    </row>
    <row r="1764" spans="5:6">
      <c r="E1764" s="177"/>
      <c r="F1764" s="173"/>
    </row>
    <row r="1765" spans="5:6">
      <c r="E1765" s="177"/>
      <c r="F1765" s="173"/>
    </row>
    <row r="1766" spans="5:6">
      <c r="E1766" s="177"/>
      <c r="F1766" s="173"/>
    </row>
    <row r="1767" spans="5:6">
      <c r="E1767" s="177"/>
      <c r="F1767" s="173"/>
    </row>
    <row r="1768" spans="5:6">
      <c r="E1768" s="177"/>
      <c r="F1768" s="173"/>
    </row>
    <row r="1769" spans="5:6">
      <c r="E1769" s="177"/>
      <c r="F1769" s="173"/>
    </row>
    <row r="1770" spans="5:6">
      <c r="E1770" s="177"/>
      <c r="F1770" s="173"/>
    </row>
    <row r="1771" spans="5:6">
      <c r="E1771" s="177"/>
      <c r="F1771" s="173"/>
    </row>
    <row r="1772" spans="5:6">
      <c r="E1772" s="177"/>
      <c r="F1772" s="173"/>
    </row>
    <row r="1773" spans="5:6">
      <c r="E1773" s="177"/>
      <c r="F1773" s="173"/>
    </row>
    <row r="1774" spans="5:6">
      <c r="E1774" s="177"/>
      <c r="F1774" s="173"/>
    </row>
    <row r="1775" spans="5:6">
      <c r="E1775" s="177"/>
      <c r="F1775" s="173"/>
    </row>
    <row r="1776" spans="5:6">
      <c r="E1776" s="177"/>
      <c r="F1776" s="173"/>
    </row>
    <row r="1777" spans="5:6">
      <c r="E1777" s="177"/>
      <c r="F1777" s="173"/>
    </row>
    <row r="1778" spans="5:6">
      <c r="E1778" s="177"/>
      <c r="F1778" s="173"/>
    </row>
    <row r="1779" spans="5:6">
      <c r="E1779" s="177"/>
      <c r="F1779" s="173"/>
    </row>
    <row r="1780" spans="5:6">
      <c r="E1780" s="177"/>
      <c r="F1780" s="173"/>
    </row>
    <row r="1781" spans="5:6">
      <c r="E1781" s="177"/>
      <c r="F1781" s="173"/>
    </row>
    <row r="1782" spans="5:6">
      <c r="E1782" s="177"/>
      <c r="F1782" s="173"/>
    </row>
    <row r="1783" spans="5:6">
      <c r="E1783" s="177"/>
      <c r="F1783" s="173"/>
    </row>
    <row r="1784" spans="5:6">
      <c r="E1784" s="177"/>
      <c r="F1784" s="173"/>
    </row>
    <row r="1785" spans="5:6">
      <c r="E1785" s="177"/>
      <c r="F1785" s="173"/>
    </row>
    <row r="1786" spans="5:6">
      <c r="E1786" s="177"/>
      <c r="F1786" s="173"/>
    </row>
    <row r="1787" spans="5:6">
      <c r="E1787" s="177"/>
      <c r="F1787" s="173"/>
    </row>
    <row r="1788" spans="5:6">
      <c r="E1788" s="177"/>
      <c r="F1788" s="173"/>
    </row>
    <row r="1789" spans="5:6">
      <c r="E1789" s="177"/>
      <c r="F1789" s="173"/>
    </row>
    <row r="1790" spans="5:6">
      <c r="E1790" s="177"/>
      <c r="F1790" s="173"/>
    </row>
    <row r="1791" spans="5:6">
      <c r="E1791" s="177"/>
      <c r="F1791" s="173"/>
    </row>
    <row r="1792" spans="5:6">
      <c r="E1792" s="177"/>
      <c r="F1792" s="173"/>
    </row>
    <row r="1793" spans="5:6">
      <c r="E1793" s="177"/>
      <c r="F1793" s="173"/>
    </row>
    <row r="1794" spans="5:6">
      <c r="E1794" s="177"/>
      <c r="F1794" s="173"/>
    </row>
    <row r="1795" spans="5:6">
      <c r="E1795" s="177"/>
      <c r="F1795" s="173"/>
    </row>
    <row r="1796" spans="5:6">
      <c r="E1796" s="177"/>
      <c r="F1796" s="173"/>
    </row>
    <row r="1797" spans="5:6">
      <c r="E1797" s="177"/>
      <c r="F1797" s="173"/>
    </row>
    <row r="1798" spans="5:6">
      <c r="E1798" s="177"/>
      <c r="F1798" s="173"/>
    </row>
    <row r="1799" spans="5:6">
      <c r="E1799" s="177"/>
      <c r="F1799" s="173"/>
    </row>
    <row r="1800" spans="5:6">
      <c r="E1800" s="177"/>
      <c r="F1800" s="173"/>
    </row>
    <row r="1801" spans="5:6">
      <c r="E1801" s="177"/>
      <c r="F1801" s="173"/>
    </row>
    <row r="1802" spans="5:6">
      <c r="E1802" s="177"/>
      <c r="F1802" s="173"/>
    </row>
    <row r="1803" spans="5:6">
      <c r="E1803" s="177"/>
      <c r="F1803" s="173"/>
    </row>
    <row r="1804" spans="5:6">
      <c r="E1804" s="177"/>
      <c r="F1804" s="173"/>
    </row>
    <row r="1805" spans="5:6">
      <c r="E1805" s="177"/>
      <c r="F1805" s="173"/>
    </row>
    <row r="1806" spans="5:6">
      <c r="E1806" s="177"/>
      <c r="F1806" s="173"/>
    </row>
    <row r="1807" spans="5:6">
      <c r="E1807" s="177"/>
      <c r="F1807" s="173"/>
    </row>
    <row r="1808" spans="5:6">
      <c r="E1808" s="177"/>
      <c r="F1808" s="173"/>
    </row>
    <row r="1809" spans="5:6">
      <c r="E1809" s="177"/>
      <c r="F1809" s="173"/>
    </row>
    <row r="1810" spans="5:6">
      <c r="E1810" s="177"/>
      <c r="F1810" s="173"/>
    </row>
    <row r="1811" spans="5:6">
      <c r="E1811" s="177"/>
      <c r="F1811" s="173"/>
    </row>
    <row r="1812" spans="5:6">
      <c r="E1812" s="177"/>
      <c r="F1812" s="173"/>
    </row>
    <row r="1813" spans="5:6">
      <c r="E1813" s="177"/>
      <c r="F1813" s="173"/>
    </row>
    <row r="1814" spans="5:6">
      <c r="E1814" s="177"/>
      <c r="F1814" s="173"/>
    </row>
    <row r="1815" spans="5:6">
      <c r="E1815" s="177"/>
      <c r="F1815" s="173"/>
    </row>
    <row r="1816" spans="5:6">
      <c r="E1816" s="177"/>
      <c r="F1816" s="173"/>
    </row>
    <row r="1817" spans="5:6">
      <c r="E1817" s="177"/>
      <c r="F1817" s="173"/>
    </row>
    <row r="1818" spans="5:6">
      <c r="E1818" s="177"/>
      <c r="F1818" s="173"/>
    </row>
    <row r="1819" spans="5:6">
      <c r="E1819" s="177"/>
      <c r="F1819" s="173"/>
    </row>
    <row r="1820" spans="5:6">
      <c r="E1820" s="177"/>
      <c r="F1820" s="173"/>
    </row>
    <row r="1821" spans="5:6">
      <c r="E1821" s="177"/>
      <c r="F1821" s="173"/>
    </row>
    <row r="1822" spans="5:6">
      <c r="E1822" s="177"/>
      <c r="F1822" s="173"/>
    </row>
    <row r="1823" spans="5:6">
      <c r="E1823" s="177"/>
      <c r="F1823" s="173"/>
    </row>
    <row r="1824" spans="5:6">
      <c r="E1824" s="177"/>
      <c r="F1824" s="173"/>
    </row>
    <row r="1825" spans="5:6">
      <c r="E1825" s="177"/>
      <c r="F1825" s="173"/>
    </row>
    <row r="1826" spans="5:6">
      <c r="E1826" s="177"/>
      <c r="F1826" s="173"/>
    </row>
    <row r="1827" spans="5:6">
      <c r="E1827" s="177"/>
      <c r="F1827" s="173"/>
    </row>
    <row r="1828" spans="5:6">
      <c r="E1828" s="177"/>
      <c r="F1828" s="173"/>
    </row>
    <row r="1829" spans="5:6">
      <c r="E1829" s="177"/>
      <c r="F1829" s="173"/>
    </row>
    <row r="1830" spans="5:6">
      <c r="E1830" s="177"/>
      <c r="F1830" s="173"/>
    </row>
    <row r="1831" spans="5:6">
      <c r="E1831" s="177"/>
      <c r="F1831" s="173"/>
    </row>
    <row r="1832" spans="5:6">
      <c r="E1832" s="177"/>
      <c r="F1832" s="173"/>
    </row>
    <row r="1833" spans="5:6">
      <c r="E1833" s="177"/>
      <c r="F1833" s="173"/>
    </row>
    <row r="1834" spans="5:6">
      <c r="E1834" s="177"/>
      <c r="F1834" s="173"/>
    </row>
    <row r="1835" spans="5:6">
      <c r="E1835" s="177"/>
      <c r="F1835" s="173"/>
    </row>
    <row r="1836" spans="5:6">
      <c r="E1836" s="177"/>
      <c r="F1836" s="173"/>
    </row>
    <row r="1837" spans="5:6">
      <c r="E1837" s="177"/>
      <c r="F1837" s="173"/>
    </row>
    <row r="1838" spans="5:6">
      <c r="E1838" s="177"/>
      <c r="F1838" s="173"/>
    </row>
    <row r="1839" spans="5:6">
      <c r="E1839" s="177"/>
      <c r="F1839" s="173"/>
    </row>
    <row r="1840" spans="5:6">
      <c r="E1840" s="177"/>
      <c r="F1840" s="173"/>
    </row>
    <row r="1841" spans="5:6">
      <c r="E1841" s="177"/>
      <c r="F1841" s="173"/>
    </row>
    <row r="1842" spans="5:6">
      <c r="E1842" s="177"/>
      <c r="F1842" s="173"/>
    </row>
    <row r="1843" spans="5:6">
      <c r="E1843" s="177"/>
      <c r="F1843" s="173"/>
    </row>
    <row r="1844" spans="5:6">
      <c r="E1844" s="177"/>
      <c r="F1844" s="173"/>
    </row>
    <row r="1845" spans="5:6">
      <c r="E1845" s="177"/>
      <c r="F1845" s="173"/>
    </row>
    <row r="1846" spans="5:6">
      <c r="E1846" s="177"/>
      <c r="F1846" s="173"/>
    </row>
    <row r="1847" spans="5:6">
      <c r="E1847" s="177"/>
      <c r="F1847" s="173"/>
    </row>
    <row r="1848" spans="5:6">
      <c r="E1848" s="177"/>
      <c r="F1848" s="173"/>
    </row>
    <row r="1849" spans="5:6">
      <c r="E1849" s="177"/>
      <c r="F1849" s="173"/>
    </row>
    <row r="1850" spans="5:6">
      <c r="E1850" s="177"/>
      <c r="F1850" s="173"/>
    </row>
    <row r="1851" spans="5:6">
      <c r="E1851" s="177"/>
      <c r="F1851" s="173"/>
    </row>
    <row r="1852" spans="5:6">
      <c r="E1852" s="177"/>
      <c r="F1852" s="173"/>
    </row>
    <row r="1853" spans="5:6">
      <c r="E1853" s="177"/>
      <c r="F1853" s="173"/>
    </row>
    <row r="1854" spans="5:6">
      <c r="E1854" s="177"/>
      <c r="F1854" s="173"/>
    </row>
    <row r="1855" spans="5:6">
      <c r="E1855" s="177"/>
      <c r="F1855" s="173"/>
    </row>
    <row r="1856" spans="5:6">
      <c r="E1856" s="177"/>
      <c r="F1856" s="173"/>
    </row>
    <row r="1857" spans="5:6">
      <c r="E1857" s="177"/>
      <c r="F1857" s="173"/>
    </row>
    <row r="1858" spans="5:6">
      <c r="E1858" s="177"/>
      <c r="F1858" s="173"/>
    </row>
    <row r="1859" spans="5:6">
      <c r="E1859" s="177"/>
      <c r="F1859" s="173"/>
    </row>
    <row r="1860" spans="5:6">
      <c r="E1860" s="177"/>
      <c r="F1860" s="173"/>
    </row>
    <row r="1861" spans="5:6">
      <c r="E1861" s="177"/>
      <c r="F1861" s="173"/>
    </row>
    <row r="1862" spans="5:6">
      <c r="E1862" s="177"/>
      <c r="F1862" s="173"/>
    </row>
    <row r="1863" spans="5:6">
      <c r="E1863" s="177"/>
      <c r="F1863" s="173"/>
    </row>
    <row r="1864" spans="5:6">
      <c r="E1864" s="177"/>
      <c r="F1864" s="173"/>
    </row>
    <row r="1865" spans="5:6">
      <c r="E1865" s="177"/>
      <c r="F1865" s="173"/>
    </row>
    <row r="1866" spans="5:6">
      <c r="E1866" s="177"/>
      <c r="F1866" s="173"/>
    </row>
    <row r="1867" spans="5:6">
      <c r="E1867" s="177"/>
      <c r="F1867" s="173"/>
    </row>
    <row r="1868" spans="5:6">
      <c r="E1868" s="177"/>
      <c r="F1868" s="173"/>
    </row>
    <row r="1869" spans="5:6">
      <c r="E1869" s="177"/>
      <c r="F1869" s="173"/>
    </row>
    <row r="1870" spans="5:6">
      <c r="E1870" s="177"/>
      <c r="F1870" s="173"/>
    </row>
    <row r="1871" spans="5:6">
      <c r="E1871" s="177"/>
      <c r="F1871" s="173"/>
    </row>
    <row r="1872" spans="5:6">
      <c r="E1872" s="177"/>
      <c r="F1872" s="173"/>
    </row>
    <row r="1873" spans="5:6">
      <c r="E1873" s="177"/>
      <c r="F1873" s="173"/>
    </row>
    <row r="1874" spans="5:6">
      <c r="E1874" s="177"/>
      <c r="F1874" s="173"/>
    </row>
    <row r="1875" spans="5:6">
      <c r="E1875" s="177"/>
      <c r="F1875" s="173"/>
    </row>
    <row r="1876" spans="5:6">
      <c r="E1876" s="177"/>
      <c r="F1876" s="173"/>
    </row>
    <row r="1877" spans="5:6">
      <c r="E1877" s="177"/>
      <c r="F1877" s="173"/>
    </row>
    <row r="1878" spans="5:6">
      <c r="E1878" s="177"/>
      <c r="F1878" s="173"/>
    </row>
    <row r="1879" spans="5:6">
      <c r="E1879" s="177"/>
      <c r="F1879" s="173"/>
    </row>
    <row r="1880" spans="5:6">
      <c r="E1880" s="177"/>
      <c r="F1880" s="173"/>
    </row>
    <row r="1881" spans="5:6">
      <c r="E1881" s="177"/>
      <c r="F1881" s="173"/>
    </row>
    <row r="1882" spans="5:6">
      <c r="E1882" s="177"/>
      <c r="F1882" s="173"/>
    </row>
    <row r="1883" spans="5:6">
      <c r="E1883" s="177"/>
      <c r="F1883" s="173"/>
    </row>
    <row r="1884" spans="5:6">
      <c r="E1884" s="177"/>
      <c r="F1884" s="173"/>
    </row>
    <row r="1885" spans="5:6">
      <c r="E1885" s="177"/>
      <c r="F1885" s="173"/>
    </row>
    <row r="1886" spans="5:6">
      <c r="E1886" s="177"/>
      <c r="F1886" s="173"/>
    </row>
    <row r="1887" spans="5:6">
      <c r="E1887" s="177"/>
      <c r="F1887" s="173"/>
    </row>
    <row r="1888" spans="5:6">
      <c r="E1888" s="177"/>
      <c r="F1888" s="173"/>
    </row>
    <row r="1889" spans="5:6">
      <c r="E1889" s="177"/>
      <c r="F1889" s="173"/>
    </row>
    <row r="1890" spans="5:6">
      <c r="E1890" s="177"/>
      <c r="F1890" s="173"/>
    </row>
    <row r="1891" spans="5:6">
      <c r="E1891" s="177"/>
      <c r="F1891" s="173"/>
    </row>
    <row r="1892" spans="5:6">
      <c r="E1892" s="177"/>
      <c r="F1892" s="173"/>
    </row>
    <row r="1893" spans="5:6">
      <c r="E1893" s="177"/>
      <c r="F1893" s="173"/>
    </row>
    <row r="1894" spans="5:6">
      <c r="E1894" s="177"/>
      <c r="F1894" s="173"/>
    </row>
    <row r="1895" spans="5:6">
      <c r="E1895" s="177"/>
      <c r="F1895" s="173"/>
    </row>
    <row r="1896" spans="5:6">
      <c r="E1896" s="177"/>
      <c r="F1896" s="173"/>
    </row>
    <row r="1897" spans="5:6">
      <c r="E1897" s="177"/>
      <c r="F1897" s="173"/>
    </row>
    <row r="1898" spans="5:6">
      <c r="E1898" s="177"/>
      <c r="F1898" s="173"/>
    </row>
    <row r="1899" spans="5:6">
      <c r="E1899" s="177"/>
      <c r="F1899" s="173"/>
    </row>
    <row r="1900" spans="5:6">
      <c r="E1900" s="177"/>
      <c r="F1900" s="173"/>
    </row>
    <row r="1901" spans="5:6">
      <c r="E1901" s="177"/>
      <c r="F1901" s="173"/>
    </row>
    <row r="1902" spans="5:6">
      <c r="E1902" s="177"/>
      <c r="F1902" s="173"/>
    </row>
    <row r="1903" spans="5:6">
      <c r="E1903" s="177"/>
      <c r="F1903" s="173"/>
    </row>
    <row r="1904" spans="5:6">
      <c r="E1904" s="177"/>
      <c r="F1904" s="173"/>
    </row>
    <row r="1905" spans="5:6">
      <c r="E1905" s="177"/>
      <c r="F1905" s="173"/>
    </row>
    <row r="1906" spans="5:6">
      <c r="E1906" s="177"/>
      <c r="F1906" s="173"/>
    </row>
    <row r="1907" spans="5:6">
      <c r="E1907" s="177"/>
      <c r="F1907" s="173"/>
    </row>
    <row r="1908" spans="5:6">
      <c r="E1908" s="177"/>
      <c r="F1908" s="173"/>
    </row>
    <row r="1909" spans="5:6">
      <c r="E1909" s="177"/>
      <c r="F1909" s="173"/>
    </row>
    <row r="1910" spans="5:6">
      <c r="E1910" s="177"/>
      <c r="F1910" s="173"/>
    </row>
    <row r="1911" spans="5:6">
      <c r="E1911" s="177"/>
      <c r="F1911" s="173"/>
    </row>
    <row r="1912" spans="5:6">
      <c r="E1912" s="177"/>
      <c r="F1912" s="173"/>
    </row>
    <row r="1913" spans="5:6">
      <c r="E1913" s="177"/>
      <c r="F1913" s="173"/>
    </row>
    <row r="1914" spans="5:6">
      <c r="E1914" s="177"/>
      <c r="F1914" s="173"/>
    </row>
    <row r="1915" spans="5:6">
      <c r="E1915" s="177"/>
      <c r="F1915" s="173"/>
    </row>
    <row r="1916" spans="5:6">
      <c r="E1916" s="177"/>
      <c r="F1916" s="173"/>
    </row>
    <row r="1917" spans="5:6">
      <c r="E1917" s="177"/>
      <c r="F1917" s="173"/>
    </row>
    <row r="1918" spans="5:6">
      <c r="E1918" s="177"/>
      <c r="F1918" s="173"/>
    </row>
    <row r="1919" spans="5:6">
      <c r="E1919" s="177"/>
      <c r="F1919" s="173"/>
    </row>
    <row r="1920" spans="5:6">
      <c r="E1920" s="177"/>
      <c r="F1920" s="173"/>
    </row>
    <row r="1921" spans="5:6">
      <c r="E1921" s="177"/>
      <c r="F1921" s="173"/>
    </row>
    <row r="1922" spans="5:6">
      <c r="E1922" s="177"/>
      <c r="F1922" s="173"/>
    </row>
    <row r="1923" spans="5:6">
      <c r="E1923" s="177"/>
      <c r="F1923" s="173"/>
    </row>
    <row r="1924" spans="5:6">
      <c r="E1924" s="177"/>
      <c r="F1924" s="173"/>
    </row>
    <row r="1925" spans="5:6">
      <c r="E1925" s="177"/>
      <c r="F1925" s="173"/>
    </row>
    <row r="1926" spans="5:6">
      <c r="E1926" s="177"/>
      <c r="F1926" s="173"/>
    </row>
    <row r="1927" spans="5:6">
      <c r="E1927" s="177"/>
      <c r="F1927" s="173"/>
    </row>
    <row r="1928" spans="5:6">
      <c r="E1928" s="177"/>
      <c r="F1928" s="173"/>
    </row>
    <row r="1929" spans="5:6">
      <c r="E1929" s="177"/>
      <c r="F1929" s="173"/>
    </row>
    <row r="1930" spans="5:6">
      <c r="E1930" s="177"/>
      <c r="F1930" s="173"/>
    </row>
    <row r="1931" spans="5:6">
      <c r="E1931" s="177"/>
      <c r="F1931" s="173"/>
    </row>
    <row r="1932" spans="5:6">
      <c r="E1932" s="177"/>
      <c r="F1932" s="173"/>
    </row>
    <row r="1933" spans="5:6">
      <c r="E1933" s="177"/>
      <c r="F1933" s="173"/>
    </row>
    <row r="1934" spans="5:6">
      <c r="E1934" s="177"/>
      <c r="F1934" s="173"/>
    </row>
    <row r="1935" spans="5:6">
      <c r="E1935" s="177"/>
      <c r="F1935" s="173"/>
    </row>
    <row r="1936" spans="5:6">
      <c r="E1936" s="177"/>
      <c r="F1936" s="173"/>
    </row>
    <row r="1937" spans="5:6">
      <c r="E1937" s="177"/>
      <c r="F1937" s="173"/>
    </row>
    <row r="1938" spans="5:6">
      <c r="E1938" s="177"/>
      <c r="F1938" s="173"/>
    </row>
    <row r="1939" spans="5:6">
      <c r="E1939" s="177"/>
      <c r="F1939" s="173"/>
    </row>
    <row r="1940" spans="5:6">
      <c r="E1940" s="177"/>
      <c r="F1940" s="173"/>
    </row>
    <row r="1941" spans="5:6">
      <c r="E1941" s="177"/>
      <c r="F1941" s="173"/>
    </row>
    <row r="1942" spans="5:6">
      <c r="E1942" s="177"/>
      <c r="F1942" s="173"/>
    </row>
    <row r="1943" spans="5:6">
      <c r="E1943" s="177"/>
      <c r="F1943" s="173"/>
    </row>
    <row r="1944" spans="5:6">
      <c r="E1944" s="177"/>
      <c r="F1944" s="173"/>
    </row>
    <row r="1945" spans="5:6">
      <c r="E1945" s="177"/>
      <c r="F1945" s="173"/>
    </row>
    <row r="1946" spans="5:6">
      <c r="E1946" s="177"/>
      <c r="F1946" s="173"/>
    </row>
    <row r="1947" spans="5:6">
      <c r="E1947" s="177"/>
      <c r="F1947" s="173"/>
    </row>
    <row r="1948" spans="5:6">
      <c r="E1948" s="177"/>
      <c r="F1948" s="173"/>
    </row>
    <row r="1949" spans="5:6">
      <c r="E1949" s="177"/>
      <c r="F1949" s="173"/>
    </row>
    <row r="1950" spans="5:6">
      <c r="E1950" s="177"/>
      <c r="F1950" s="173"/>
    </row>
    <row r="1951" spans="5:6">
      <c r="E1951" s="177"/>
      <c r="F1951" s="173"/>
    </row>
    <row r="1952" spans="5:6">
      <c r="E1952" s="177"/>
      <c r="F1952" s="173"/>
    </row>
    <row r="1953" spans="5:6">
      <c r="E1953" s="177"/>
      <c r="F1953" s="173"/>
    </row>
    <row r="1954" spans="5:6">
      <c r="E1954" s="177"/>
      <c r="F1954" s="173"/>
    </row>
    <row r="1955" spans="5:6">
      <c r="E1955" s="177"/>
      <c r="F1955" s="173"/>
    </row>
    <row r="1956" spans="5:6">
      <c r="E1956" s="177"/>
      <c r="F1956" s="173"/>
    </row>
    <row r="1957" spans="5:6">
      <c r="E1957" s="177"/>
      <c r="F1957" s="173"/>
    </row>
    <row r="1958" spans="5:6">
      <c r="E1958" s="177"/>
      <c r="F1958" s="173"/>
    </row>
    <row r="1959" spans="5:6">
      <c r="E1959" s="177"/>
      <c r="F1959" s="173"/>
    </row>
    <row r="1960" spans="5:6">
      <c r="E1960" s="177"/>
      <c r="F1960" s="173"/>
    </row>
    <row r="1961" spans="5:6">
      <c r="E1961" s="177"/>
      <c r="F1961" s="173"/>
    </row>
    <row r="1962" spans="5:6">
      <c r="E1962" s="177"/>
      <c r="F1962" s="173"/>
    </row>
    <row r="1963" spans="5:6">
      <c r="E1963" s="177"/>
      <c r="F1963" s="173"/>
    </row>
    <row r="1964" spans="5:6">
      <c r="E1964" s="177"/>
      <c r="F1964" s="173"/>
    </row>
    <row r="1965" spans="5:6">
      <c r="E1965" s="177"/>
      <c r="F1965" s="173"/>
    </row>
    <row r="1966" spans="5:6">
      <c r="E1966" s="177"/>
      <c r="F1966" s="173"/>
    </row>
    <row r="1967" spans="5:6">
      <c r="E1967" s="177"/>
      <c r="F1967" s="173"/>
    </row>
    <row r="1968" spans="5:6">
      <c r="E1968" s="177"/>
      <c r="F1968" s="173"/>
    </row>
    <row r="1969" spans="5:6">
      <c r="E1969" s="177"/>
      <c r="F1969" s="173"/>
    </row>
    <row r="1970" spans="5:6">
      <c r="E1970" s="177"/>
      <c r="F1970" s="173"/>
    </row>
    <row r="1971" spans="5:6">
      <c r="E1971" s="177"/>
      <c r="F1971" s="173"/>
    </row>
    <row r="1972" spans="5:6">
      <c r="E1972" s="177"/>
      <c r="F1972" s="173"/>
    </row>
    <row r="1973" spans="5:6">
      <c r="E1973" s="177"/>
      <c r="F1973" s="173"/>
    </row>
    <row r="1974" spans="5:6">
      <c r="E1974" s="177"/>
      <c r="F1974" s="173"/>
    </row>
    <row r="1975" spans="5:6">
      <c r="E1975" s="177"/>
      <c r="F1975" s="173"/>
    </row>
    <row r="1976" spans="5:6">
      <c r="E1976" s="177"/>
      <c r="F1976" s="173"/>
    </row>
    <row r="1977" spans="5:6">
      <c r="E1977" s="177"/>
      <c r="F1977" s="173"/>
    </row>
    <row r="1978" spans="5:6">
      <c r="E1978" s="177"/>
      <c r="F1978" s="173"/>
    </row>
    <row r="1979" spans="5:6">
      <c r="E1979" s="177"/>
      <c r="F1979" s="173"/>
    </row>
    <row r="1980" spans="5:6">
      <c r="E1980" s="177"/>
      <c r="F1980" s="173"/>
    </row>
    <row r="1981" spans="5:6">
      <c r="E1981" s="177"/>
      <c r="F1981" s="173"/>
    </row>
    <row r="1982" spans="5:6">
      <c r="E1982" s="177"/>
      <c r="F1982" s="173"/>
    </row>
    <row r="1983" spans="5:6">
      <c r="E1983" s="177"/>
      <c r="F1983" s="173"/>
    </row>
    <row r="1984" spans="5:6">
      <c r="E1984" s="177"/>
      <c r="F1984" s="173"/>
    </row>
    <row r="1985" spans="5:6">
      <c r="E1985" s="177"/>
      <c r="F1985" s="173"/>
    </row>
    <row r="1986" spans="5:6">
      <c r="E1986" s="177"/>
      <c r="F1986" s="173"/>
    </row>
    <row r="1987" spans="5:6">
      <c r="E1987" s="177"/>
      <c r="F1987" s="173"/>
    </row>
    <row r="1988" spans="5:6">
      <c r="E1988" s="177"/>
      <c r="F1988" s="173"/>
    </row>
    <row r="1989" spans="5:6">
      <c r="E1989" s="177"/>
      <c r="F1989" s="173"/>
    </row>
    <row r="1990" spans="5:6">
      <c r="E1990" s="177"/>
      <c r="F1990" s="173"/>
    </row>
    <row r="1991" spans="5:6">
      <c r="E1991" s="177"/>
      <c r="F1991" s="173"/>
    </row>
    <row r="1992" spans="5:6">
      <c r="E1992" s="177"/>
      <c r="F1992" s="173"/>
    </row>
    <row r="1993" spans="5:6">
      <c r="E1993" s="177"/>
      <c r="F1993" s="173"/>
    </row>
    <row r="1994" spans="5:6">
      <c r="E1994" s="177"/>
      <c r="F1994" s="173"/>
    </row>
    <row r="1995" spans="5:6">
      <c r="E1995" s="177"/>
      <c r="F1995" s="173"/>
    </row>
    <row r="1996" spans="5:6">
      <c r="E1996" s="177"/>
      <c r="F1996" s="173"/>
    </row>
    <row r="1997" spans="5:6">
      <c r="E1997" s="177"/>
      <c r="F1997" s="173"/>
    </row>
    <row r="1998" spans="5:6">
      <c r="E1998" s="177"/>
      <c r="F1998" s="173"/>
    </row>
    <row r="1999" spans="5:6">
      <c r="E1999" s="177"/>
      <c r="F1999" s="173"/>
    </row>
    <row r="2000" spans="5:6">
      <c r="E2000" s="177"/>
      <c r="F2000" s="173"/>
    </row>
    <row r="2001" spans="5:6">
      <c r="E2001" s="177"/>
      <c r="F2001" s="173"/>
    </row>
    <row r="2002" spans="5:6">
      <c r="E2002" s="177"/>
      <c r="F2002" s="173"/>
    </row>
    <row r="2003" spans="5:6">
      <c r="E2003" s="177"/>
      <c r="F2003" s="173"/>
    </row>
  </sheetData>
  <autoFilter ref="B1:B1003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FF00"/>
    <outlinePr summaryBelow="0" summaryRight="0"/>
  </sheetPr>
  <dimension ref="A1:AZ2017"/>
  <sheetViews>
    <sheetView tabSelected="1" workbookViewId="0">
      <selection activeCell="A2" sqref="A2:M171"/>
    </sheetView>
  </sheetViews>
  <sheetFormatPr baseColWidth="10" defaultColWidth="12.6640625" defaultRowHeight="15" customHeight="1"/>
  <cols>
    <col min="1" max="1" width="30.5" customWidth="1"/>
    <col min="2" max="2" width="9.33203125" customWidth="1"/>
    <col min="3" max="3" width="9.1640625" customWidth="1"/>
    <col min="4" max="4" width="16.33203125" customWidth="1"/>
    <col min="5" max="5" width="11.83203125" customWidth="1"/>
    <col min="6" max="6" width="17.33203125" customWidth="1"/>
    <col min="7" max="7" width="27.83203125" customWidth="1"/>
    <col min="8" max="8" width="24.1640625" customWidth="1"/>
    <col min="9" max="9" width="11.83203125" customWidth="1"/>
    <col min="10" max="10" width="54.6640625" customWidth="1"/>
    <col min="11" max="11" width="34.6640625" customWidth="1"/>
    <col min="12" max="12" width="16.6640625" customWidth="1"/>
    <col min="13" max="13" width="11.33203125" customWidth="1"/>
    <col min="14" max="14" width="31.33203125" customWidth="1"/>
    <col min="15" max="15" width="35.6640625" customWidth="1"/>
    <col min="16" max="16" width="35" customWidth="1"/>
    <col min="17" max="17" width="32" customWidth="1"/>
    <col min="25" max="25" width="67" customWidth="1"/>
    <col min="26" max="26" width="55.6640625" customWidth="1"/>
    <col min="27" max="27" width="21" customWidth="1"/>
    <col min="28" max="28" width="22.6640625" customWidth="1"/>
    <col min="29" max="29" width="22" customWidth="1"/>
    <col min="30" max="30" width="18.5" customWidth="1"/>
    <col min="31" max="31" width="22.6640625" customWidth="1"/>
    <col min="32" max="32" width="19.33203125" customWidth="1"/>
  </cols>
  <sheetData>
    <row r="1" spans="1:52">
      <c r="A1" s="181" t="s">
        <v>2825</v>
      </c>
      <c r="B1" s="181" t="s">
        <v>3086</v>
      </c>
      <c r="C1" s="182" t="s">
        <v>2827</v>
      </c>
      <c r="D1" s="119" t="s">
        <v>2828</v>
      </c>
      <c r="E1" s="119" t="s">
        <v>2829</v>
      </c>
      <c r="F1" s="119" t="s">
        <v>2830</v>
      </c>
      <c r="G1" s="181" t="s">
        <v>2831</v>
      </c>
      <c r="H1" s="119" t="s">
        <v>6</v>
      </c>
      <c r="I1" s="119" t="s">
        <v>2832</v>
      </c>
      <c r="J1" s="119" t="s">
        <v>2833</v>
      </c>
      <c r="K1" s="119" t="s">
        <v>2834</v>
      </c>
      <c r="L1" s="183" t="s">
        <v>2835</v>
      </c>
      <c r="M1" s="119" t="s">
        <v>2836</v>
      </c>
      <c r="N1" s="119" t="s">
        <v>2837</v>
      </c>
      <c r="O1" s="119" t="s">
        <v>2838</v>
      </c>
      <c r="P1" s="119" t="s">
        <v>2839</v>
      </c>
      <c r="Q1" s="119" t="s">
        <v>2840</v>
      </c>
      <c r="R1" s="119" t="s">
        <v>2841</v>
      </c>
      <c r="S1" s="119" t="s">
        <v>2842</v>
      </c>
      <c r="T1" s="119" t="s">
        <v>2843</v>
      </c>
      <c r="U1" s="119" t="s">
        <v>2844</v>
      </c>
      <c r="V1" s="119" t="s">
        <v>2845</v>
      </c>
      <c r="W1" s="119" t="s">
        <v>2846</v>
      </c>
      <c r="X1" s="119" t="s">
        <v>2847</v>
      </c>
      <c r="Y1" s="115" t="s">
        <v>2848</v>
      </c>
      <c r="Z1" s="115" t="s">
        <v>2849</v>
      </c>
      <c r="AA1" s="115" t="s">
        <v>2850</v>
      </c>
      <c r="AB1" s="115" t="s">
        <v>2851</v>
      </c>
      <c r="AC1" s="115" t="s">
        <v>2852</v>
      </c>
      <c r="AD1" s="115" t="s">
        <v>2853</v>
      </c>
      <c r="AE1" s="115" t="s">
        <v>2854</v>
      </c>
      <c r="AF1" s="115" t="s">
        <v>2855</v>
      </c>
      <c r="AG1" s="115" t="s">
        <v>2856</v>
      </c>
      <c r="AH1" s="115" t="s">
        <v>2857</v>
      </c>
      <c r="AI1" s="115" t="s">
        <v>2858</v>
      </c>
      <c r="AJ1" s="115" t="s">
        <v>2859</v>
      </c>
      <c r="AK1" s="115" t="s">
        <v>2860</v>
      </c>
      <c r="AL1" s="115" t="s">
        <v>2861</v>
      </c>
      <c r="AM1" s="115"/>
      <c r="AN1" s="115"/>
      <c r="AO1" s="115"/>
      <c r="AP1" s="115"/>
      <c r="AQ1" s="115"/>
      <c r="AR1" s="115"/>
      <c r="AS1" s="115"/>
      <c r="AT1" s="115"/>
      <c r="AU1" s="115"/>
      <c r="AV1" s="115"/>
      <c r="AW1" s="115"/>
      <c r="AX1" s="115"/>
      <c r="AY1" s="115"/>
      <c r="AZ1" s="115"/>
    </row>
    <row r="2" spans="1:52">
      <c r="A2" s="111" t="s">
        <v>3087</v>
      </c>
      <c r="B2" s="111">
        <v>1</v>
      </c>
      <c r="C2" s="112" t="str">
        <f t="shared" ref="C2:C128" si="0">LEFT(D2,SEARCH("/",D2,1)-1)</f>
        <v>MCC43</v>
      </c>
      <c r="D2" s="101" t="s">
        <v>3088</v>
      </c>
      <c r="E2" s="184">
        <v>45688</v>
      </c>
      <c r="F2" s="101" t="s">
        <v>3089</v>
      </c>
      <c r="G2" s="111" t="str">
        <f>VLOOKUP(C2,CODORL!Q:T,4,FALSE)</f>
        <v>Cristina Molina Martínez</v>
      </c>
      <c r="H2" s="101" t="s">
        <v>616</v>
      </c>
      <c r="I2" s="101" t="s">
        <v>3090</v>
      </c>
      <c r="J2" s="185" t="s">
        <v>3091</v>
      </c>
      <c r="K2" s="101" t="s">
        <v>3092</v>
      </c>
      <c r="L2" s="101">
        <v>1200</v>
      </c>
      <c r="M2" s="101">
        <v>0</v>
      </c>
      <c r="N2" s="101" t="s">
        <v>3093</v>
      </c>
      <c r="O2" s="101" t="s">
        <v>3094</v>
      </c>
      <c r="P2" s="101"/>
      <c r="Q2" s="101"/>
      <c r="R2" s="101"/>
      <c r="S2" s="101"/>
      <c r="T2" s="101"/>
      <c r="U2" s="101"/>
      <c r="V2" s="101"/>
      <c r="W2" s="101"/>
      <c r="X2" s="101"/>
      <c r="Y2" s="114" t="str">
        <f t="shared" ref="Y2:Y117" si="1">CONCATENATE(Z2,",",AA2,",",AB2,",",AC2,",",AD2,",",AE2,",",AF2,",",AG2,",",AH2,",",AI2)</f>
        <v>BVI-350,BVI-310,,,,,,,,</v>
      </c>
      <c r="Z2" s="114" t="s">
        <v>3095</v>
      </c>
      <c r="AA2" s="114" t="s">
        <v>3096</v>
      </c>
      <c r="AB2" s="114"/>
      <c r="AC2" s="114"/>
      <c r="AD2" s="114"/>
      <c r="AE2" s="114"/>
      <c r="AF2" s="114"/>
      <c r="AG2" s="114"/>
      <c r="AH2" s="114"/>
      <c r="AI2" s="114"/>
      <c r="AJ2" s="115"/>
      <c r="AK2" s="115">
        <f t="shared" ref="AK2:AK22" si="2">L2/300</f>
        <v>4</v>
      </c>
      <c r="AL2" s="115">
        <f t="shared" ref="AL2:AL22" si="3">COUNTA(Z2:AI2)</f>
        <v>2</v>
      </c>
      <c r="AM2" s="115"/>
      <c r="AN2" s="115"/>
      <c r="AO2" s="115"/>
      <c r="AP2" s="115"/>
      <c r="AQ2" s="115"/>
      <c r="AR2" s="115"/>
      <c r="AS2" s="115"/>
      <c r="AT2" s="115"/>
      <c r="AU2" s="115"/>
      <c r="AV2" s="115"/>
      <c r="AW2" s="115"/>
      <c r="AX2" s="115"/>
      <c r="AY2" s="115"/>
      <c r="AZ2" s="115"/>
    </row>
    <row r="3" spans="1:52">
      <c r="A3" s="111" t="s">
        <v>3087</v>
      </c>
      <c r="B3" s="111">
        <v>1</v>
      </c>
      <c r="C3" s="112" t="str">
        <f t="shared" si="0"/>
        <v>MCC07</v>
      </c>
      <c r="D3" s="101" t="s">
        <v>3097</v>
      </c>
      <c r="E3" s="184">
        <v>45688</v>
      </c>
      <c r="F3" s="101" t="s">
        <v>2916</v>
      </c>
      <c r="G3" s="111" t="str">
        <f>VLOOKUP(C3,CODORL!Q:T,4,FALSE)</f>
        <v>Enric Cisa Lluis</v>
      </c>
      <c r="H3" s="101" t="s">
        <v>3098</v>
      </c>
      <c r="I3" s="101" t="s">
        <v>3099</v>
      </c>
      <c r="J3" s="101" t="s">
        <v>3100</v>
      </c>
      <c r="K3" s="101" t="s">
        <v>3101</v>
      </c>
      <c r="L3" s="101">
        <v>600</v>
      </c>
      <c r="M3" s="101">
        <v>0</v>
      </c>
      <c r="N3" s="101" t="s">
        <v>3102</v>
      </c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14" t="str">
        <f t="shared" si="1"/>
        <v>HSP-183,,,,,,,,,</v>
      </c>
      <c r="Z3" s="114" t="s">
        <v>3103</v>
      </c>
      <c r="AA3" s="114"/>
      <c r="AB3" s="114"/>
      <c r="AC3" s="114"/>
      <c r="AD3" s="114"/>
      <c r="AE3" s="114"/>
      <c r="AF3" s="114"/>
      <c r="AG3" s="114"/>
      <c r="AH3" s="114"/>
      <c r="AI3" s="114"/>
      <c r="AJ3" s="115"/>
      <c r="AK3" s="115">
        <f t="shared" si="2"/>
        <v>2</v>
      </c>
      <c r="AL3" s="115">
        <f t="shared" si="3"/>
        <v>1</v>
      </c>
      <c r="AM3" s="115"/>
      <c r="AN3" s="115"/>
      <c r="AO3" s="115"/>
      <c r="AP3" s="115"/>
      <c r="AQ3" s="115"/>
      <c r="AR3" s="115"/>
      <c r="AS3" s="115"/>
      <c r="AT3" s="115"/>
      <c r="AU3" s="115"/>
      <c r="AV3" s="115"/>
      <c r="AW3" s="115"/>
      <c r="AX3" s="115"/>
      <c r="AY3" s="115"/>
      <c r="AZ3" s="115"/>
    </row>
    <row r="4" spans="1:52">
      <c r="A4" s="111" t="s">
        <v>47</v>
      </c>
      <c r="B4" s="111">
        <v>1</v>
      </c>
      <c r="C4" s="112" t="str">
        <f t="shared" si="0"/>
        <v>ISL91</v>
      </c>
      <c r="D4" s="101" t="s">
        <v>3104</v>
      </c>
      <c r="E4" s="184">
        <v>45688</v>
      </c>
      <c r="F4" s="101" t="s">
        <v>2863</v>
      </c>
      <c r="G4" s="111" t="str">
        <f>VLOOKUP(C4,CODORL!Q:T,4,FALSE)</f>
        <v>Alejandra Jara Maquilón</v>
      </c>
      <c r="H4" s="101" t="s">
        <v>101</v>
      </c>
      <c r="I4" s="101" t="s">
        <v>2864</v>
      </c>
      <c r="J4" s="101" t="s">
        <v>2865</v>
      </c>
      <c r="K4" s="101" t="s">
        <v>2866</v>
      </c>
      <c r="L4" s="101">
        <v>300</v>
      </c>
      <c r="M4" s="101">
        <v>75</v>
      </c>
      <c r="N4" s="101" t="s">
        <v>3105</v>
      </c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14" t="str">
        <f t="shared" si="1"/>
        <v>ALB-963,,,,,,,,,</v>
      </c>
      <c r="Z4" s="114" t="s">
        <v>3106</v>
      </c>
      <c r="AA4" s="114"/>
      <c r="AB4" s="114"/>
      <c r="AC4" s="114"/>
      <c r="AD4" s="114"/>
      <c r="AE4" s="114"/>
      <c r="AF4" s="114"/>
      <c r="AG4" s="114"/>
      <c r="AH4" s="114"/>
      <c r="AI4" s="114"/>
      <c r="AJ4" s="115"/>
      <c r="AK4" s="115">
        <f t="shared" si="2"/>
        <v>1</v>
      </c>
      <c r="AL4" s="115">
        <f t="shared" si="3"/>
        <v>1</v>
      </c>
      <c r="AM4" s="115"/>
      <c r="AN4" s="115"/>
      <c r="AO4" s="115"/>
      <c r="AP4" s="115"/>
      <c r="AQ4" s="115"/>
      <c r="AR4" s="115"/>
      <c r="AS4" s="115"/>
      <c r="AT4" s="115"/>
      <c r="AU4" s="115"/>
      <c r="AV4" s="115"/>
      <c r="AW4" s="115"/>
      <c r="AX4" s="115"/>
      <c r="AY4" s="115"/>
      <c r="AZ4" s="115"/>
    </row>
    <row r="5" spans="1:52">
      <c r="A5" s="111" t="s">
        <v>47</v>
      </c>
      <c r="B5" s="111">
        <v>1</v>
      </c>
      <c r="C5" s="112" t="str">
        <f t="shared" si="0"/>
        <v>ISL122</v>
      </c>
      <c r="D5" s="101" t="s">
        <v>3107</v>
      </c>
      <c r="E5" s="184">
        <v>45688</v>
      </c>
      <c r="F5" s="101" t="s">
        <v>2869</v>
      </c>
      <c r="G5" s="111" t="str">
        <f>VLOOKUP(C5,CODORL!Q:T,4,FALSE)</f>
        <v>María Agustina Sevilla García</v>
      </c>
      <c r="H5" s="101" t="s">
        <v>2952</v>
      </c>
      <c r="I5" s="101" t="s">
        <v>2953</v>
      </c>
      <c r="J5" s="101" t="s">
        <v>2954</v>
      </c>
      <c r="K5" s="101" t="s">
        <v>2955</v>
      </c>
      <c r="L5" s="101">
        <v>4200</v>
      </c>
      <c r="M5" s="101">
        <v>50</v>
      </c>
      <c r="N5" s="101" t="s">
        <v>3108</v>
      </c>
      <c r="O5" s="101" t="s">
        <v>3109</v>
      </c>
      <c r="P5" s="101" t="s">
        <v>3110</v>
      </c>
      <c r="Q5" s="101" t="s">
        <v>3111</v>
      </c>
      <c r="R5" s="101" t="s">
        <v>3112</v>
      </c>
      <c r="S5" s="101" t="s">
        <v>3113</v>
      </c>
      <c r="T5" s="101" t="s">
        <v>3114</v>
      </c>
      <c r="U5" s="101" t="s">
        <v>3115</v>
      </c>
      <c r="V5" s="101"/>
      <c r="W5" s="101"/>
      <c r="X5" s="101"/>
      <c r="Y5" s="114" t="str">
        <f t="shared" si="1"/>
        <v>C2024121911307467,C202412210579993,C2024121918401162,C2025115113929824,MUR-838,MUR-1241,MUR-1840,MUR-1809,,,C202412210579993,C2024121918401162,C2025115113929824,MUR-838,MUR-1241,MUR-1840,MUR-1809,,</v>
      </c>
      <c r="Z5" s="114" t="s">
        <v>3116</v>
      </c>
      <c r="AA5" s="114" t="s">
        <v>3117</v>
      </c>
      <c r="AB5" s="114" t="s">
        <v>3118</v>
      </c>
      <c r="AC5" s="114" t="s">
        <v>3119</v>
      </c>
      <c r="AD5" s="114" t="s">
        <v>3120</v>
      </c>
      <c r="AE5" s="114" t="s">
        <v>3121</v>
      </c>
      <c r="AF5" s="114" t="s">
        <v>3122</v>
      </c>
      <c r="AG5" s="114" t="s">
        <v>3123</v>
      </c>
      <c r="AH5" s="114"/>
      <c r="AI5" s="114"/>
      <c r="AJ5" s="115"/>
      <c r="AK5" s="115">
        <f t="shared" si="2"/>
        <v>14</v>
      </c>
      <c r="AL5" s="115">
        <f t="shared" si="3"/>
        <v>8</v>
      </c>
      <c r="AM5" s="115"/>
      <c r="AN5" s="115"/>
      <c r="AO5" s="115"/>
      <c r="AP5" s="115"/>
      <c r="AQ5" s="115"/>
      <c r="AR5" s="115"/>
      <c r="AS5" s="115"/>
      <c r="AT5" s="115"/>
      <c r="AU5" s="115"/>
      <c r="AV5" s="115"/>
      <c r="AW5" s="115"/>
      <c r="AX5" s="115"/>
      <c r="AY5" s="115"/>
      <c r="AZ5" s="115"/>
    </row>
    <row r="6" spans="1:52">
      <c r="A6" s="111" t="s">
        <v>251</v>
      </c>
      <c r="B6" s="111">
        <v>1</v>
      </c>
      <c r="C6" s="112" t="str">
        <f t="shared" si="0"/>
        <v>LAA31</v>
      </c>
      <c r="D6" s="101" t="s">
        <v>3124</v>
      </c>
      <c r="E6" s="184">
        <v>45688</v>
      </c>
      <c r="F6" s="101" t="s">
        <v>3011</v>
      </c>
      <c r="G6" s="111" t="str">
        <f>VLOOKUP(C6,CODORL!Q:T,4,FALSE)</f>
        <v>Luis Fidel Nieto</v>
      </c>
      <c r="H6" s="101" t="s">
        <v>3125</v>
      </c>
      <c r="I6" s="101" t="s">
        <v>3126</v>
      </c>
      <c r="J6" s="101" t="s">
        <v>3127</v>
      </c>
      <c r="K6" s="101" t="s">
        <v>3128</v>
      </c>
      <c r="L6" s="101">
        <v>600</v>
      </c>
      <c r="M6" s="101">
        <v>200</v>
      </c>
      <c r="N6" s="101" t="s">
        <v>3129</v>
      </c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14" t="str">
        <f t="shared" si="1"/>
        <v>C20241028183729336,,,,,,,,,</v>
      </c>
      <c r="Z6" s="114" t="s">
        <v>3130</v>
      </c>
      <c r="AA6" s="114"/>
      <c r="AB6" s="114"/>
      <c r="AC6" s="114"/>
      <c r="AD6" s="114"/>
      <c r="AE6" s="114"/>
      <c r="AF6" s="114"/>
      <c r="AG6" s="114"/>
      <c r="AH6" s="114"/>
      <c r="AI6" s="114"/>
      <c r="AJ6" s="115"/>
      <c r="AK6" s="115">
        <f t="shared" si="2"/>
        <v>2</v>
      </c>
      <c r="AL6" s="115">
        <f t="shared" si="3"/>
        <v>1</v>
      </c>
      <c r="AM6" s="115"/>
      <c r="AN6" s="115"/>
      <c r="AO6" s="115"/>
      <c r="AP6" s="115"/>
      <c r="AQ6" s="115"/>
      <c r="AR6" s="115"/>
      <c r="AS6" s="115"/>
      <c r="AT6" s="115"/>
      <c r="AU6" s="115"/>
      <c r="AV6" s="115"/>
      <c r="AW6" s="115"/>
      <c r="AX6" s="115"/>
      <c r="AY6" s="115"/>
      <c r="AZ6" s="115"/>
    </row>
    <row r="7" spans="1:52">
      <c r="A7" s="111" t="s">
        <v>251</v>
      </c>
      <c r="B7" s="111">
        <v>1</v>
      </c>
      <c r="C7" s="112" t="str">
        <f t="shared" si="0"/>
        <v>LAA09</v>
      </c>
      <c r="D7" s="101" t="s">
        <v>3131</v>
      </c>
      <c r="E7" s="184">
        <v>45688</v>
      </c>
      <c r="F7" s="101" t="s">
        <v>3011</v>
      </c>
      <c r="G7" s="111" t="str">
        <f>VLOOKUP(C7,CODORL!Q:T,4,FALSE)</f>
        <v>Enrique Gómez Aldaz</v>
      </c>
      <c r="H7" s="101" t="s">
        <v>3132</v>
      </c>
      <c r="I7" s="101" t="s">
        <v>3133</v>
      </c>
      <c r="J7" s="101" t="s">
        <v>3134</v>
      </c>
      <c r="K7" s="101" t="s">
        <v>3135</v>
      </c>
      <c r="L7" s="101">
        <v>1800</v>
      </c>
      <c r="M7" s="101">
        <v>200</v>
      </c>
      <c r="N7" s="101" t="s">
        <v>3136</v>
      </c>
      <c r="O7" s="101" t="s">
        <v>3137</v>
      </c>
      <c r="P7" s="101" t="s">
        <v>3138</v>
      </c>
      <c r="Q7" s="101"/>
      <c r="R7" s="101"/>
      <c r="S7" s="101"/>
      <c r="T7" s="101"/>
      <c r="U7" s="101"/>
      <c r="V7" s="101"/>
      <c r="W7" s="101"/>
      <c r="X7" s="101"/>
      <c r="Y7" s="114" t="str">
        <f t="shared" si="1"/>
        <v>C202522016543251,C202547155653185,C202411269446308,C202547155653185,C202411269446308,,,,,,,</v>
      </c>
      <c r="Z7" s="114" t="s">
        <v>3139</v>
      </c>
      <c r="AA7" s="114" t="s">
        <v>3140</v>
      </c>
      <c r="AB7" s="114" t="s">
        <v>3141</v>
      </c>
      <c r="AC7" s="114"/>
      <c r="AD7" s="114"/>
      <c r="AE7" s="114"/>
      <c r="AF7" s="114"/>
      <c r="AG7" s="114"/>
      <c r="AH7" s="114"/>
      <c r="AI7" s="114"/>
      <c r="AJ7" s="115"/>
      <c r="AK7" s="115">
        <f t="shared" si="2"/>
        <v>6</v>
      </c>
      <c r="AL7" s="115">
        <f t="shared" si="3"/>
        <v>3</v>
      </c>
      <c r="AM7" s="115"/>
      <c r="AN7" s="115"/>
      <c r="AO7" s="115"/>
      <c r="AP7" s="115"/>
      <c r="AQ7" s="115"/>
      <c r="AR7" s="115"/>
      <c r="AS7" s="115"/>
      <c r="AT7" s="115"/>
      <c r="AU7" s="115"/>
      <c r="AV7" s="115"/>
      <c r="AW7" s="115"/>
      <c r="AX7" s="115"/>
      <c r="AY7" s="115"/>
      <c r="AZ7" s="115"/>
    </row>
    <row r="8" spans="1:52">
      <c r="A8" s="111" t="s">
        <v>23</v>
      </c>
      <c r="B8" s="111">
        <v>1</v>
      </c>
      <c r="C8" s="112" t="str">
        <f t="shared" si="0"/>
        <v>RPG51</v>
      </c>
      <c r="D8" s="101" t="s">
        <v>3142</v>
      </c>
      <c r="E8" s="184">
        <v>45688</v>
      </c>
      <c r="F8" s="101" t="s">
        <v>2900</v>
      </c>
      <c r="G8" s="111" t="str">
        <f>VLOOKUP(C8,CODORL!Q:T,4,FALSE)</f>
        <v>María Rey Marcos</v>
      </c>
      <c r="H8" s="101" t="s">
        <v>2080</v>
      </c>
      <c r="I8" s="101" t="s">
        <v>2901</v>
      </c>
      <c r="J8" s="101" t="s">
        <v>3143</v>
      </c>
      <c r="K8" s="101" t="s">
        <v>2903</v>
      </c>
      <c r="L8" s="101">
        <v>6300</v>
      </c>
      <c r="M8" s="101">
        <v>200</v>
      </c>
      <c r="N8" s="101" t="s">
        <v>3144</v>
      </c>
      <c r="O8" s="101" t="s">
        <v>3145</v>
      </c>
      <c r="P8" s="101" t="s">
        <v>3146</v>
      </c>
      <c r="Q8" s="101" t="s">
        <v>3147</v>
      </c>
      <c r="R8" s="101" t="s">
        <v>3148</v>
      </c>
      <c r="S8" s="101" t="s">
        <v>3149</v>
      </c>
      <c r="T8" s="101" t="s">
        <v>3150</v>
      </c>
      <c r="U8" s="101" t="s">
        <v>3151</v>
      </c>
      <c r="V8" s="101" t="s">
        <v>3152</v>
      </c>
      <c r="W8" s="101" t="s">
        <v>3153</v>
      </c>
      <c r="X8" s="101" t="s">
        <v>3154</v>
      </c>
      <c r="Y8" s="114" t="str">
        <f t="shared" si="1"/>
        <v>ORS-286,ORS-289,ORS-297,ORS-309,ORS-348,ORS-356,ORS-367,ORS-363,ORS-340,ORS-398,ORS-289,ORS-297,ORS-309,ORS-348,ORS-356,ORS-367,ORS-363,ORS-340,ORS-398</v>
      </c>
      <c r="Z8" s="114" t="s">
        <v>3155</v>
      </c>
      <c r="AA8" s="114" t="s">
        <v>3156</v>
      </c>
      <c r="AB8" s="114" t="s">
        <v>3157</v>
      </c>
      <c r="AC8" s="114" t="s">
        <v>3158</v>
      </c>
      <c r="AD8" s="114" t="s">
        <v>3159</v>
      </c>
      <c r="AE8" s="114" t="s">
        <v>3160</v>
      </c>
      <c r="AF8" s="114" t="s">
        <v>3161</v>
      </c>
      <c r="AG8" s="114" t="s">
        <v>3162</v>
      </c>
      <c r="AH8" s="114" t="s">
        <v>3163</v>
      </c>
      <c r="AI8" s="114" t="s">
        <v>3164</v>
      </c>
      <c r="AJ8" s="186"/>
      <c r="AK8" s="186">
        <f t="shared" si="2"/>
        <v>21</v>
      </c>
      <c r="AL8" s="186">
        <f t="shared" si="3"/>
        <v>10</v>
      </c>
      <c r="AM8" s="186"/>
      <c r="AN8" s="186"/>
      <c r="AO8" s="186"/>
      <c r="AP8" s="186"/>
      <c r="AQ8" s="186"/>
      <c r="AR8" s="186"/>
      <c r="AS8" s="186"/>
      <c r="AT8" s="186"/>
      <c r="AU8" s="186"/>
      <c r="AV8" s="186"/>
      <c r="AW8" s="186"/>
      <c r="AX8" s="186"/>
      <c r="AY8" s="186"/>
      <c r="AZ8" s="186"/>
    </row>
    <row r="9" spans="1:52">
      <c r="A9" s="111" t="s">
        <v>14</v>
      </c>
      <c r="B9" s="111">
        <v>1</v>
      </c>
      <c r="C9" s="112" t="str">
        <f t="shared" si="0"/>
        <v>RFV11</v>
      </c>
      <c r="D9" s="101" t="s">
        <v>3165</v>
      </c>
      <c r="E9" s="184">
        <v>45688</v>
      </c>
      <c r="F9" s="101" t="s">
        <v>3166</v>
      </c>
      <c r="G9" s="111" t="str">
        <f>VLOOKUP(C9,CODORL!Q:T,4,FALSE)</f>
        <v>José Ramiro de León Lima</v>
      </c>
      <c r="H9" s="101" t="s">
        <v>3167</v>
      </c>
      <c r="I9" s="101" t="s">
        <v>3168</v>
      </c>
      <c r="J9" s="101" t="s">
        <v>3169</v>
      </c>
      <c r="K9" s="101" t="s">
        <v>3170</v>
      </c>
      <c r="L9" s="101">
        <v>900</v>
      </c>
      <c r="M9" s="101">
        <v>150</v>
      </c>
      <c r="N9" s="101" t="s">
        <v>3171</v>
      </c>
      <c r="O9" s="101" t="s">
        <v>3172</v>
      </c>
      <c r="P9" s="101"/>
      <c r="Q9" s="101"/>
      <c r="R9" s="101"/>
      <c r="S9" s="101"/>
      <c r="T9" s="101"/>
      <c r="U9" s="101"/>
      <c r="V9" s="101"/>
      <c r="W9" s="101"/>
      <c r="X9" s="101"/>
      <c r="Y9" s="114" t="str">
        <f t="shared" si="1"/>
        <v>C2024917112351882,C2024107104222946,C2024107104222946,,,,,,,,</v>
      </c>
      <c r="Z9" s="114" t="s">
        <v>3173</v>
      </c>
      <c r="AA9" s="114" t="s">
        <v>3174</v>
      </c>
      <c r="AB9" s="114"/>
      <c r="AC9" s="114"/>
      <c r="AD9" s="114"/>
      <c r="AE9" s="114"/>
      <c r="AF9" s="114"/>
      <c r="AG9" s="114"/>
      <c r="AH9" s="114"/>
      <c r="AI9" s="114"/>
      <c r="AJ9" s="115"/>
      <c r="AK9" s="115">
        <f t="shared" si="2"/>
        <v>3</v>
      </c>
      <c r="AL9" s="115">
        <f t="shared" si="3"/>
        <v>2</v>
      </c>
      <c r="AM9" s="115"/>
      <c r="AN9" s="115"/>
      <c r="AO9" s="115"/>
      <c r="AP9" s="115"/>
      <c r="AQ9" s="115"/>
      <c r="AR9" s="115"/>
      <c r="AS9" s="115"/>
      <c r="AT9" s="115"/>
      <c r="AU9" s="115"/>
      <c r="AV9" s="115"/>
      <c r="AW9" s="115"/>
      <c r="AX9" s="115"/>
      <c r="AY9" s="115"/>
      <c r="AZ9" s="115"/>
    </row>
    <row r="10" spans="1:52">
      <c r="A10" s="111" t="s">
        <v>14</v>
      </c>
      <c r="B10" s="111">
        <v>1</v>
      </c>
      <c r="C10" s="112" t="str">
        <f t="shared" si="0"/>
        <v>ISL53</v>
      </c>
      <c r="D10" s="101" t="s">
        <v>3175</v>
      </c>
      <c r="E10" s="184">
        <v>45688</v>
      </c>
      <c r="F10" s="101" t="s">
        <v>3176</v>
      </c>
      <c r="G10" s="111" t="str">
        <f>VLOOKUP(C10,CODORL!Q:T,4,FALSE)</f>
        <v>José Luis Batlles Medina</v>
      </c>
      <c r="H10" s="101" t="s">
        <v>3177</v>
      </c>
      <c r="I10" s="101" t="s">
        <v>3178</v>
      </c>
      <c r="J10" s="101" t="s">
        <v>3179</v>
      </c>
      <c r="K10" s="101" t="s">
        <v>3180</v>
      </c>
      <c r="L10" s="101">
        <v>600</v>
      </c>
      <c r="M10" s="101">
        <v>100</v>
      </c>
      <c r="N10" s="101" t="s">
        <v>3181</v>
      </c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14" t="str">
        <f t="shared" si="1"/>
        <v>C2024911181519498,,,,,,,,,</v>
      </c>
      <c r="Z10" s="114" t="s">
        <v>3182</v>
      </c>
      <c r="AA10" s="114"/>
      <c r="AB10" s="114"/>
      <c r="AC10" s="114"/>
      <c r="AD10" s="114"/>
      <c r="AE10" s="114"/>
      <c r="AF10" s="114"/>
      <c r="AG10" s="114"/>
      <c r="AH10" s="114"/>
      <c r="AI10" s="114"/>
      <c r="AJ10" s="115"/>
      <c r="AK10" s="115">
        <f t="shared" si="2"/>
        <v>2</v>
      </c>
      <c r="AL10" s="115">
        <f t="shared" si="3"/>
        <v>1</v>
      </c>
      <c r="AM10" s="115"/>
      <c r="AN10" s="115"/>
      <c r="AO10" s="115"/>
      <c r="AP10" s="115"/>
      <c r="AQ10" s="115"/>
      <c r="AR10" s="115"/>
      <c r="AS10" s="115"/>
      <c r="AT10" s="115"/>
      <c r="AU10" s="115"/>
      <c r="AV10" s="115"/>
      <c r="AW10" s="115"/>
      <c r="AX10" s="115"/>
      <c r="AY10" s="115"/>
      <c r="AZ10" s="115"/>
    </row>
    <row r="11" spans="1:52">
      <c r="A11" s="111" t="s">
        <v>8</v>
      </c>
      <c r="B11" s="111">
        <v>1</v>
      </c>
      <c r="C11" s="112" t="str">
        <f t="shared" si="0"/>
        <v>MBM03</v>
      </c>
      <c r="D11" s="101" t="s">
        <v>3183</v>
      </c>
      <c r="E11" s="184">
        <v>45688</v>
      </c>
      <c r="F11" s="101" t="s">
        <v>2935</v>
      </c>
      <c r="G11" s="111" t="str">
        <f>VLOOKUP(C11,CODORL!Q:T,4,FALSE)</f>
        <v>Alejandro Harguindey Antoli-Candela</v>
      </c>
      <c r="H11" s="101" t="s">
        <v>2942</v>
      </c>
      <c r="I11" s="101" t="s">
        <v>2943</v>
      </c>
      <c r="J11" s="101" t="s">
        <v>2944</v>
      </c>
      <c r="K11" s="101" t="s">
        <v>2945</v>
      </c>
      <c r="L11" s="101">
        <v>600</v>
      </c>
      <c r="M11" s="101">
        <v>0</v>
      </c>
      <c r="N11" s="101" t="s">
        <v>3184</v>
      </c>
      <c r="O11" s="113"/>
      <c r="P11" s="101"/>
      <c r="Q11" s="101"/>
      <c r="R11" s="101"/>
      <c r="S11" s="101"/>
      <c r="T11" s="101"/>
      <c r="U11" s="101"/>
      <c r="V11" s="101"/>
      <c r="W11" s="101"/>
      <c r="X11" s="101"/>
      <c r="Y11" s="114" t="str">
        <f t="shared" si="1"/>
        <v>C20241218143319166,,,,,,,,,</v>
      </c>
      <c r="Z11" s="114" t="s">
        <v>3185</v>
      </c>
      <c r="AA11" s="114"/>
      <c r="AB11" s="114"/>
      <c r="AC11" s="114"/>
      <c r="AD11" s="114"/>
      <c r="AE11" s="114"/>
      <c r="AF11" s="114"/>
      <c r="AG11" s="114"/>
      <c r="AH11" s="114"/>
      <c r="AI11" s="114"/>
      <c r="AJ11" s="115"/>
      <c r="AK11" s="115">
        <f t="shared" si="2"/>
        <v>2</v>
      </c>
      <c r="AL11" s="115">
        <f t="shared" si="3"/>
        <v>1</v>
      </c>
      <c r="AM11" s="115"/>
      <c r="AN11" s="115"/>
      <c r="AO11" s="115"/>
      <c r="AP11" s="115"/>
      <c r="AQ11" s="115"/>
      <c r="AR11" s="115"/>
      <c r="AS11" s="115"/>
      <c r="AT11" s="115"/>
      <c r="AU11" s="115"/>
      <c r="AV11" s="115"/>
      <c r="AW11" s="115"/>
      <c r="AX11" s="115"/>
      <c r="AY11" s="115"/>
      <c r="AZ11" s="115"/>
    </row>
    <row r="12" spans="1:52">
      <c r="A12" s="111" t="s">
        <v>8</v>
      </c>
      <c r="B12" s="111">
        <v>1</v>
      </c>
      <c r="C12" s="112" t="str">
        <f t="shared" si="0"/>
        <v>MBM114</v>
      </c>
      <c r="D12" s="101" t="s">
        <v>3186</v>
      </c>
      <c r="E12" s="184">
        <v>45688</v>
      </c>
      <c r="F12" s="101" t="s">
        <v>3187</v>
      </c>
      <c r="G12" s="111" t="str">
        <f>VLOOKUP(C12,CODORL!Q:T,4,FALSE)</f>
        <v>Esther García López</v>
      </c>
      <c r="H12" s="101" t="s">
        <v>3080</v>
      </c>
      <c r="I12" s="101" t="s">
        <v>2937</v>
      </c>
      <c r="J12" s="101" t="s">
        <v>3188</v>
      </c>
      <c r="K12" s="101" t="s">
        <v>3189</v>
      </c>
      <c r="L12" s="101">
        <v>300</v>
      </c>
      <c r="M12" s="101">
        <v>165</v>
      </c>
      <c r="N12" s="101" t="s">
        <v>3190</v>
      </c>
      <c r="O12" s="113"/>
      <c r="P12" s="101"/>
      <c r="Q12" s="101"/>
      <c r="R12" s="101"/>
      <c r="S12" s="101"/>
      <c r="T12" s="101"/>
      <c r="U12" s="101"/>
      <c r="V12" s="101"/>
      <c r="W12" s="101"/>
      <c r="X12" s="101"/>
      <c r="Y12" s="114" t="str">
        <f t="shared" si="1"/>
        <v>MAL-752,,,,,,,,,</v>
      </c>
      <c r="Z12" s="114" t="s">
        <v>3191</v>
      </c>
      <c r="AA12" s="114"/>
      <c r="AB12" s="114"/>
      <c r="AC12" s="114"/>
      <c r="AD12" s="114"/>
      <c r="AE12" s="114"/>
      <c r="AF12" s="114"/>
      <c r="AG12" s="114"/>
      <c r="AH12" s="114"/>
      <c r="AI12" s="114"/>
      <c r="AJ12" s="115"/>
      <c r="AK12" s="115">
        <f t="shared" si="2"/>
        <v>1</v>
      </c>
      <c r="AL12" s="115">
        <f t="shared" si="3"/>
        <v>1</v>
      </c>
      <c r="AM12" s="115"/>
      <c r="AN12" s="115"/>
      <c r="AO12" s="115"/>
      <c r="AP12" s="115"/>
      <c r="AQ12" s="115"/>
      <c r="AR12" s="115"/>
      <c r="AS12" s="115"/>
      <c r="AT12" s="115"/>
      <c r="AU12" s="115"/>
      <c r="AV12" s="115"/>
      <c r="AW12" s="115"/>
      <c r="AX12" s="115"/>
      <c r="AY12" s="115"/>
      <c r="AZ12" s="115"/>
    </row>
    <row r="13" spans="1:52">
      <c r="A13" s="111" t="s">
        <v>8</v>
      </c>
      <c r="B13" s="111">
        <v>2</v>
      </c>
      <c r="C13" s="112" t="str">
        <f t="shared" si="0"/>
        <v>MBM153</v>
      </c>
      <c r="D13" s="101" t="s">
        <v>3192</v>
      </c>
      <c r="E13" s="184">
        <v>45716</v>
      </c>
      <c r="F13" s="101" t="s">
        <v>3193</v>
      </c>
      <c r="G13" s="111" t="str">
        <f>VLOOKUP(C13,CODORL!Q:T,4,FALSE)</f>
        <v>María Santillán Sánchez</v>
      </c>
      <c r="H13" s="101" t="s">
        <v>3194</v>
      </c>
      <c r="I13" s="103" t="s">
        <v>3195</v>
      </c>
      <c r="J13" s="185" t="s">
        <v>3196</v>
      </c>
      <c r="K13" s="101" t="s">
        <v>3197</v>
      </c>
      <c r="L13" s="101">
        <v>1200</v>
      </c>
      <c r="M13" s="101">
        <v>244.28</v>
      </c>
      <c r="N13" s="101" t="s">
        <v>3198</v>
      </c>
      <c r="O13" s="101" t="s">
        <v>3199</v>
      </c>
      <c r="P13" s="101"/>
      <c r="Q13" s="101"/>
      <c r="R13" s="101"/>
      <c r="S13" s="101"/>
      <c r="T13" s="101"/>
      <c r="U13" s="101"/>
      <c r="V13" s="101"/>
      <c r="W13" s="101"/>
      <c r="X13" s="101"/>
      <c r="Y13" s="114" t="str">
        <f t="shared" si="1"/>
        <v>OCA-1501,OCA-1501,OCA-1501,,,,,,,,</v>
      </c>
      <c r="Z13" s="114" t="s">
        <v>3200</v>
      </c>
      <c r="AA13" s="114" t="s">
        <v>3201</v>
      </c>
      <c r="AB13" s="114"/>
      <c r="AC13" s="114"/>
      <c r="AD13" s="114"/>
      <c r="AE13" s="114"/>
      <c r="AF13" s="114"/>
      <c r="AG13" s="114"/>
      <c r="AH13" s="114"/>
      <c r="AI13" s="114"/>
      <c r="AJ13" s="115"/>
      <c r="AK13" s="115">
        <f t="shared" si="2"/>
        <v>4</v>
      </c>
      <c r="AL13" s="115">
        <f t="shared" si="3"/>
        <v>2</v>
      </c>
      <c r="AM13" s="115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  <c r="AY13" s="115"/>
      <c r="AZ13" s="115"/>
    </row>
    <row r="14" spans="1:52">
      <c r="A14" s="111" t="s">
        <v>3087</v>
      </c>
      <c r="B14" s="111">
        <v>2</v>
      </c>
      <c r="C14" s="112" t="str">
        <f t="shared" si="0"/>
        <v>MCC32</v>
      </c>
      <c r="D14" s="101" t="s">
        <v>3202</v>
      </c>
      <c r="E14" s="184">
        <v>45716</v>
      </c>
      <c r="F14" s="101" t="s">
        <v>3203</v>
      </c>
      <c r="G14" s="111" t="str">
        <f>VLOOKUP(C14,CODORL!Q:T,4,FALSE)</f>
        <v>Xavier González Compta</v>
      </c>
      <c r="H14" s="101" t="s">
        <v>3204</v>
      </c>
      <c r="I14" s="103">
        <v>43671201</v>
      </c>
      <c r="J14" s="185" t="s">
        <v>3205</v>
      </c>
      <c r="K14" s="101" t="s">
        <v>3206</v>
      </c>
      <c r="L14" s="101">
        <v>1200</v>
      </c>
      <c r="M14" s="101">
        <v>0</v>
      </c>
      <c r="N14" s="101" t="s">
        <v>3207</v>
      </c>
      <c r="O14" s="101" t="s">
        <v>3208</v>
      </c>
      <c r="P14" s="101"/>
      <c r="Q14" s="101"/>
      <c r="R14" s="101"/>
      <c r="S14" s="101"/>
      <c r="T14" s="101"/>
      <c r="U14" s="101"/>
      <c r="V14" s="101"/>
      <c r="W14" s="101"/>
      <c r="X14" s="101"/>
      <c r="Y14" s="114" t="str">
        <f t="shared" si="1"/>
        <v>BVI-299,BVI-250,BVI-250,,,,,,,,</v>
      </c>
      <c r="Z14" s="114" t="s">
        <v>3209</v>
      </c>
      <c r="AA14" s="114" t="s">
        <v>3210</v>
      </c>
      <c r="AB14" s="114"/>
      <c r="AC14" s="114"/>
      <c r="AD14" s="114"/>
      <c r="AE14" s="114"/>
      <c r="AF14" s="114"/>
      <c r="AG14" s="114"/>
      <c r="AH14" s="114"/>
      <c r="AI14" s="114"/>
      <c r="AJ14" s="115"/>
      <c r="AK14" s="115">
        <f t="shared" si="2"/>
        <v>4</v>
      </c>
      <c r="AL14" s="115">
        <f t="shared" si="3"/>
        <v>2</v>
      </c>
      <c r="AM14" s="115"/>
      <c r="AN14" s="115"/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  <c r="AY14" s="115"/>
      <c r="AZ14" s="115"/>
    </row>
    <row r="15" spans="1:52">
      <c r="A15" s="111" t="s">
        <v>251</v>
      </c>
      <c r="B15" s="111">
        <v>2</v>
      </c>
      <c r="C15" s="112" t="str">
        <f t="shared" si="0"/>
        <v>LAA64</v>
      </c>
      <c r="D15" s="101" t="s">
        <v>3211</v>
      </c>
      <c r="E15" s="184">
        <v>45716</v>
      </c>
      <c r="F15" s="101" t="s">
        <v>3011</v>
      </c>
      <c r="G15" s="111" t="str">
        <f>VLOOKUP(C15,CODORL!Q:T,4,FALSE)</f>
        <v>Juan Manuel Maza Solano</v>
      </c>
      <c r="H15" s="101" t="s">
        <v>1607</v>
      </c>
      <c r="I15" s="103" t="s">
        <v>3212</v>
      </c>
      <c r="J15" s="185" t="s">
        <v>3213</v>
      </c>
      <c r="K15" s="101" t="s">
        <v>3214</v>
      </c>
      <c r="L15" s="101">
        <v>600</v>
      </c>
      <c r="M15" s="101">
        <v>200</v>
      </c>
      <c r="N15" s="101" t="s">
        <v>3215</v>
      </c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14" t="str">
        <f t="shared" si="1"/>
        <v>C2024111818228440,,,,,,,,,,</v>
      </c>
      <c r="Z15" s="114" t="s">
        <v>3216</v>
      </c>
      <c r="AA15" s="114"/>
      <c r="AB15" s="114"/>
      <c r="AC15" s="114"/>
      <c r="AD15" s="114"/>
      <c r="AE15" s="114"/>
      <c r="AF15" s="114"/>
      <c r="AG15" s="114"/>
      <c r="AH15" s="114"/>
      <c r="AI15" s="114"/>
      <c r="AJ15" s="115"/>
      <c r="AK15" s="115">
        <f t="shared" si="2"/>
        <v>2</v>
      </c>
      <c r="AL15" s="115">
        <f t="shared" si="3"/>
        <v>1</v>
      </c>
      <c r="AM15" s="115"/>
      <c r="AN15" s="115"/>
      <c r="AO15" s="115"/>
      <c r="AP15" s="115"/>
      <c r="AQ15" s="115"/>
      <c r="AR15" s="115"/>
      <c r="AS15" s="115"/>
      <c r="AT15" s="115"/>
      <c r="AU15" s="115"/>
      <c r="AV15" s="115"/>
      <c r="AW15" s="115"/>
      <c r="AX15" s="115"/>
      <c r="AY15" s="115"/>
      <c r="AZ15" s="115"/>
    </row>
    <row r="16" spans="1:52">
      <c r="A16" s="111" t="s">
        <v>3087</v>
      </c>
      <c r="B16" s="111">
        <v>2</v>
      </c>
      <c r="C16" s="112" t="str">
        <f t="shared" si="0"/>
        <v>MCC38</v>
      </c>
      <c r="D16" s="101" t="s">
        <v>3217</v>
      </c>
      <c r="E16" s="184">
        <v>45716</v>
      </c>
      <c r="F16" s="101" t="s">
        <v>3218</v>
      </c>
      <c r="G16" s="111" t="str">
        <f>VLOOKUP(C16,CODORL!Q:T,4,FALSE)</f>
        <v>Ana Moreno Valor</v>
      </c>
      <c r="H16" s="101" t="s">
        <v>217</v>
      </c>
      <c r="I16" s="103" t="s">
        <v>3219</v>
      </c>
      <c r="J16" s="185" t="s">
        <v>3220</v>
      </c>
      <c r="K16" s="101" t="s">
        <v>3221</v>
      </c>
      <c r="L16" s="101">
        <v>900</v>
      </c>
      <c r="M16" s="101">
        <v>130</v>
      </c>
      <c r="N16" s="101" t="s">
        <v>3222</v>
      </c>
      <c r="O16" s="101" t="s">
        <v>3223</v>
      </c>
      <c r="P16" s="101"/>
      <c r="Q16" s="101"/>
      <c r="R16" s="101"/>
      <c r="S16" s="101"/>
      <c r="T16" s="101"/>
      <c r="U16" s="101"/>
      <c r="V16" s="101"/>
      <c r="W16" s="101"/>
      <c r="X16" s="101"/>
      <c r="Y16" s="114" t="str">
        <f t="shared" si="1"/>
        <v>BFA-62,BFA-20,BFA-20,,,,,,,,</v>
      </c>
      <c r="Z16" s="114" t="s">
        <v>3224</v>
      </c>
      <c r="AA16" s="114" t="s">
        <v>3225</v>
      </c>
      <c r="AB16" s="114"/>
      <c r="AC16" s="114"/>
      <c r="AD16" s="114"/>
      <c r="AE16" s="114"/>
      <c r="AF16" s="114"/>
      <c r="AG16" s="114"/>
      <c r="AH16" s="114"/>
      <c r="AI16" s="114"/>
      <c r="AJ16" s="115"/>
      <c r="AK16" s="115">
        <f t="shared" si="2"/>
        <v>3</v>
      </c>
      <c r="AL16" s="115">
        <f t="shared" si="3"/>
        <v>2</v>
      </c>
      <c r="AM16" s="115"/>
      <c r="AN16" s="115"/>
      <c r="AO16" s="115"/>
      <c r="AP16" s="115"/>
      <c r="AQ16" s="115"/>
      <c r="AR16" s="115"/>
      <c r="AS16" s="115"/>
      <c r="AT16" s="115"/>
      <c r="AU16" s="115"/>
      <c r="AV16" s="115"/>
      <c r="AW16" s="115"/>
      <c r="AX16" s="115"/>
      <c r="AY16" s="115"/>
      <c r="AZ16" s="115"/>
    </row>
    <row r="17" spans="1:52">
      <c r="A17" s="111" t="s">
        <v>14</v>
      </c>
      <c r="B17" s="111">
        <v>2</v>
      </c>
      <c r="C17" s="112" t="str">
        <f t="shared" si="0"/>
        <v>RFV33</v>
      </c>
      <c r="D17" s="101" t="s">
        <v>3226</v>
      </c>
      <c r="E17" s="184">
        <v>45716</v>
      </c>
      <c r="F17" s="101" t="s">
        <v>2921</v>
      </c>
      <c r="G17" s="111" t="str">
        <f>VLOOKUP(C17,CODORL!Q:T,4,FALSE)</f>
        <v>Paula Martínez-Ruiz De Apocada</v>
      </c>
      <c r="H17" s="101" t="s">
        <v>3227</v>
      </c>
      <c r="I17" s="103" t="s">
        <v>2922</v>
      </c>
      <c r="J17" s="185" t="s">
        <v>3228</v>
      </c>
      <c r="K17" s="101" t="s">
        <v>2924</v>
      </c>
      <c r="L17" s="101">
        <v>900</v>
      </c>
      <c r="M17" s="101">
        <v>150</v>
      </c>
      <c r="N17" s="101" t="s">
        <v>3229</v>
      </c>
      <c r="O17" s="101" t="s">
        <v>3230</v>
      </c>
      <c r="P17" s="101"/>
      <c r="Q17" s="101"/>
      <c r="R17" s="101"/>
      <c r="S17" s="101"/>
      <c r="T17" s="101"/>
      <c r="U17" s="101"/>
      <c r="V17" s="101"/>
      <c r="W17" s="101"/>
      <c r="X17" s="101"/>
      <c r="Y17" s="114" t="str">
        <f t="shared" si="1"/>
        <v>C2024121992818633,C20241128112759711,C20241128112759711,,,,,,,,</v>
      </c>
      <c r="Z17" s="114" t="s">
        <v>3231</v>
      </c>
      <c r="AA17" s="114" t="s">
        <v>3232</v>
      </c>
      <c r="AB17" s="114"/>
      <c r="AC17" s="114"/>
      <c r="AD17" s="114"/>
      <c r="AE17" s="114"/>
      <c r="AF17" s="114"/>
      <c r="AG17" s="114"/>
      <c r="AH17" s="114"/>
      <c r="AI17" s="114"/>
      <c r="AJ17" s="115"/>
      <c r="AK17" s="115">
        <f t="shared" si="2"/>
        <v>3</v>
      </c>
      <c r="AL17" s="115">
        <f t="shared" si="3"/>
        <v>2</v>
      </c>
      <c r="AM17" s="115"/>
      <c r="AN17" s="115"/>
      <c r="AO17" s="115"/>
      <c r="AP17" s="115"/>
      <c r="AQ17" s="115"/>
      <c r="AR17" s="115"/>
      <c r="AS17" s="115"/>
      <c r="AT17" s="115"/>
      <c r="AU17" s="115"/>
      <c r="AV17" s="115"/>
      <c r="AW17" s="115"/>
      <c r="AX17" s="115"/>
      <c r="AY17" s="115"/>
      <c r="AZ17" s="115"/>
    </row>
    <row r="18" spans="1:52">
      <c r="A18" s="111" t="s">
        <v>8</v>
      </c>
      <c r="B18" s="111">
        <v>2</v>
      </c>
      <c r="C18" s="112" t="str">
        <f t="shared" si="0"/>
        <v>MBM20</v>
      </c>
      <c r="D18" s="101" t="s">
        <v>3233</v>
      </c>
      <c r="E18" s="184">
        <v>45716</v>
      </c>
      <c r="F18" s="101" t="s">
        <v>3193</v>
      </c>
      <c r="G18" s="111" t="str">
        <f>VLOOKUP(C18,CODORL!Q:T,4,FALSE)</f>
        <v>Eviatar Friedlander</v>
      </c>
      <c r="H18" s="101" t="s">
        <v>842</v>
      </c>
      <c r="I18" s="103" t="s">
        <v>3234</v>
      </c>
      <c r="J18" s="185" t="s">
        <v>3235</v>
      </c>
      <c r="K18" s="101" t="s">
        <v>3236</v>
      </c>
      <c r="L18" s="101">
        <v>3900</v>
      </c>
      <c r="M18" s="101">
        <v>702</v>
      </c>
      <c r="N18" s="101" t="s">
        <v>3237</v>
      </c>
      <c r="O18" s="101" t="s">
        <v>3238</v>
      </c>
      <c r="P18" s="101" t="s">
        <v>3239</v>
      </c>
      <c r="Q18" s="101" t="s">
        <v>3240</v>
      </c>
      <c r="R18" s="101" t="s">
        <v>3241</v>
      </c>
      <c r="S18" s="101" t="s">
        <v>3242</v>
      </c>
      <c r="T18" s="101" t="s">
        <v>3243</v>
      </c>
      <c r="U18" s="101" t="s">
        <v>3244</v>
      </c>
      <c r="V18" s="101"/>
      <c r="W18" s="101"/>
      <c r="X18" s="101"/>
      <c r="Y18" s="114" t="str">
        <f t="shared" si="1"/>
        <v>OCA-745,OCA-1194,OCA-712,OCA-763,C2024927132146546,OCA-1487,OCA-1436,C2024917124045108,OCA-1194,OCA-712,OCA-763,C2024927132146546,OCA-1487,OCA-1436,C2024917124045108,,</v>
      </c>
      <c r="Z18" s="114" t="s">
        <v>3245</v>
      </c>
      <c r="AA18" s="114" t="s">
        <v>3246</v>
      </c>
      <c r="AB18" s="114" t="s">
        <v>3247</v>
      </c>
      <c r="AC18" s="114" t="s">
        <v>3248</v>
      </c>
      <c r="AD18" s="114" t="s">
        <v>3249</v>
      </c>
      <c r="AE18" s="114" t="s">
        <v>3250</v>
      </c>
      <c r="AF18" s="114" t="s">
        <v>3251</v>
      </c>
      <c r="AG18" s="114" t="s">
        <v>3252</v>
      </c>
      <c r="AH18" s="114"/>
      <c r="AI18" s="114"/>
      <c r="AJ18" s="115"/>
      <c r="AK18" s="115">
        <f t="shared" si="2"/>
        <v>13</v>
      </c>
      <c r="AL18" s="115">
        <f t="shared" si="3"/>
        <v>8</v>
      </c>
      <c r="AM18" s="115"/>
      <c r="AN18" s="115"/>
      <c r="AO18" s="115"/>
      <c r="AP18" s="115"/>
      <c r="AQ18" s="115"/>
      <c r="AR18" s="115"/>
      <c r="AS18" s="115"/>
      <c r="AT18" s="115"/>
      <c r="AU18" s="115"/>
      <c r="AV18" s="115"/>
      <c r="AW18" s="115"/>
      <c r="AX18" s="115"/>
      <c r="AY18" s="115"/>
      <c r="AZ18" s="115"/>
    </row>
    <row r="19" spans="1:52">
      <c r="A19" s="111" t="s">
        <v>8</v>
      </c>
      <c r="B19" s="111">
        <v>2</v>
      </c>
      <c r="C19" s="112" t="str">
        <f t="shared" si="0"/>
        <v>MBM60</v>
      </c>
      <c r="D19" s="101" t="s">
        <v>3253</v>
      </c>
      <c r="E19" s="184">
        <v>45716</v>
      </c>
      <c r="F19" s="101" t="s">
        <v>2880</v>
      </c>
      <c r="G19" s="111" t="str">
        <f>VLOOKUP(C19,CODORL!Q:T,4,FALSE)</f>
        <v>juan Ignacio Riestra Ayora</v>
      </c>
      <c r="H19" s="101" t="s">
        <v>3254</v>
      </c>
      <c r="I19" s="103" t="s">
        <v>3255</v>
      </c>
      <c r="J19" s="185" t="s">
        <v>3256</v>
      </c>
      <c r="K19" s="101" t="s">
        <v>3257</v>
      </c>
      <c r="L19" s="101">
        <v>2100</v>
      </c>
      <c r="M19" s="101">
        <v>0</v>
      </c>
      <c r="N19" s="101" t="s">
        <v>3258</v>
      </c>
      <c r="O19" s="101" t="s">
        <v>3259</v>
      </c>
      <c r="P19" s="101" t="s">
        <v>3260</v>
      </c>
      <c r="Q19" s="101" t="s">
        <v>3261</v>
      </c>
      <c r="R19" s="101"/>
      <c r="S19" s="101"/>
      <c r="T19" s="101"/>
      <c r="U19" s="101"/>
      <c r="V19" s="101"/>
      <c r="W19" s="101"/>
      <c r="X19" s="101"/>
      <c r="Y19" s="114" t="str">
        <f t="shared" si="1"/>
        <v>C20249411957492,MGE-197,MGE-149,C2024122121322358,MGE-197,MGE-149,C2024122121322358,,,,,,</v>
      </c>
      <c r="Z19" s="114" t="s">
        <v>3262</v>
      </c>
      <c r="AA19" s="114" t="s">
        <v>3263</v>
      </c>
      <c r="AB19" s="114" t="s">
        <v>3264</v>
      </c>
      <c r="AC19" s="114" t="s">
        <v>3265</v>
      </c>
      <c r="AD19" s="114"/>
      <c r="AE19" s="114"/>
      <c r="AF19" s="114"/>
      <c r="AG19" s="114"/>
      <c r="AH19" s="114"/>
      <c r="AI19" s="114"/>
      <c r="AJ19" s="115"/>
      <c r="AK19" s="115">
        <f t="shared" si="2"/>
        <v>7</v>
      </c>
      <c r="AL19" s="115">
        <f t="shared" si="3"/>
        <v>4</v>
      </c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</row>
    <row r="20" spans="1:52">
      <c r="A20" s="111" t="s">
        <v>8</v>
      </c>
      <c r="B20" s="111">
        <v>2</v>
      </c>
      <c r="C20" s="112" t="str">
        <f t="shared" si="0"/>
        <v>MBM109</v>
      </c>
      <c r="D20" s="101" t="s">
        <v>3266</v>
      </c>
      <c r="E20" s="184">
        <v>45716</v>
      </c>
      <c r="F20" s="101" t="s">
        <v>2893</v>
      </c>
      <c r="G20" s="111" t="str">
        <f>VLOOKUP(C20,CODORL!Q:T,4,FALSE)</f>
        <v>Desirée Méndez Brenderbache</v>
      </c>
      <c r="H20" s="101" t="s">
        <v>664</v>
      </c>
      <c r="I20" s="103" t="s">
        <v>2894</v>
      </c>
      <c r="J20" s="185" t="s">
        <v>3267</v>
      </c>
      <c r="K20" s="101" t="s">
        <v>2896</v>
      </c>
      <c r="L20" s="101">
        <v>300</v>
      </c>
      <c r="M20" s="101">
        <v>0</v>
      </c>
      <c r="N20" s="101" t="s">
        <v>3268</v>
      </c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14" t="str">
        <f t="shared" si="1"/>
        <v>C20241031162736884,,,,,,,,,</v>
      </c>
      <c r="Z20" s="114" t="s">
        <v>3269</v>
      </c>
      <c r="AA20" s="114"/>
      <c r="AB20" s="114"/>
      <c r="AC20" s="114"/>
      <c r="AD20" s="114"/>
      <c r="AE20" s="114"/>
      <c r="AF20" s="114"/>
      <c r="AG20" s="114"/>
      <c r="AH20" s="114"/>
      <c r="AI20" s="114"/>
      <c r="AJ20" s="115"/>
      <c r="AK20" s="115">
        <f t="shared" si="2"/>
        <v>1</v>
      </c>
      <c r="AL20" s="115">
        <f t="shared" si="3"/>
        <v>1</v>
      </c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</row>
    <row r="21" spans="1:52">
      <c r="A21" s="111" t="s">
        <v>14</v>
      </c>
      <c r="B21" s="111">
        <v>2</v>
      </c>
      <c r="C21" s="112" t="str">
        <f t="shared" si="0"/>
        <v>ISL104</v>
      </c>
      <c r="D21" s="101" t="s">
        <v>3270</v>
      </c>
      <c r="E21" s="184">
        <v>45716</v>
      </c>
      <c r="F21" s="101" t="s">
        <v>3271</v>
      </c>
      <c r="G21" s="111" t="str">
        <f>VLOOKUP(C21,CODORL!Q:T,4,FALSE)</f>
        <v>Isabel Polo Tomás</v>
      </c>
      <c r="H21" s="101" t="s">
        <v>1170</v>
      </c>
      <c r="I21" s="103" t="s">
        <v>3272</v>
      </c>
      <c r="J21" s="185" t="s">
        <v>3273</v>
      </c>
      <c r="K21" s="101" t="s">
        <v>3274</v>
      </c>
      <c r="L21" s="101">
        <v>600</v>
      </c>
      <c r="M21" s="101">
        <v>15</v>
      </c>
      <c r="N21" s="101" t="s">
        <v>3275</v>
      </c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14" t="str">
        <f t="shared" si="1"/>
        <v>C20241224102857904,,,,,,,,,</v>
      </c>
      <c r="Z21" s="114" t="s">
        <v>3276</v>
      </c>
      <c r="AA21" s="114"/>
      <c r="AB21" s="114"/>
      <c r="AC21" s="114"/>
      <c r="AD21" s="114"/>
      <c r="AE21" s="114"/>
      <c r="AF21" s="114"/>
      <c r="AG21" s="114"/>
      <c r="AH21" s="114"/>
      <c r="AI21" s="114"/>
      <c r="AJ21" s="115"/>
      <c r="AK21" s="115">
        <f t="shared" si="2"/>
        <v>2</v>
      </c>
      <c r="AL21" s="115">
        <f t="shared" si="3"/>
        <v>1</v>
      </c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</row>
    <row r="22" spans="1:52">
      <c r="A22" s="111" t="s">
        <v>3087</v>
      </c>
      <c r="B22" s="111">
        <v>2</v>
      </c>
      <c r="C22" s="112" t="str">
        <f t="shared" si="0"/>
        <v>MCC12</v>
      </c>
      <c r="D22" s="101" t="s">
        <v>3277</v>
      </c>
      <c r="E22" s="184">
        <v>45716</v>
      </c>
      <c r="F22" s="101" t="s">
        <v>3218</v>
      </c>
      <c r="G22" s="111" t="str">
        <f>VLOOKUP(C22,CODORL!Q:T,4,FALSE)</f>
        <v>Felipe López Hernández</v>
      </c>
      <c r="H22" s="101" t="s">
        <v>863</v>
      </c>
      <c r="I22" s="103" t="s">
        <v>3278</v>
      </c>
      <c r="J22" s="185" t="s">
        <v>3279</v>
      </c>
      <c r="K22" s="101" t="s">
        <v>3280</v>
      </c>
      <c r="L22" s="101">
        <v>600</v>
      </c>
      <c r="M22" s="101">
        <v>0</v>
      </c>
      <c r="N22" s="101" t="s">
        <v>3281</v>
      </c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14" t="str">
        <f t="shared" si="1"/>
        <v>HSP-130,,,,,,,,,</v>
      </c>
      <c r="Z22" s="114" t="s">
        <v>3282</v>
      </c>
      <c r="AA22" s="114"/>
      <c r="AB22" s="114"/>
      <c r="AC22" s="114"/>
      <c r="AD22" s="114"/>
      <c r="AE22" s="114"/>
      <c r="AF22" s="114"/>
      <c r="AG22" s="114"/>
      <c r="AH22" s="114"/>
      <c r="AI22" s="114"/>
      <c r="AJ22" s="115"/>
      <c r="AK22" s="115">
        <f t="shared" si="2"/>
        <v>2</v>
      </c>
      <c r="AL22" s="115">
        <f t="shared" si="3"/>
        <v>1</v>
      </c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</row>
    <row r="23" spans="1:52">
      <c r="A23" s="187" t="s">
        <v>8</v>
      </c>
      <c r="B23" s="187">
        <v>2</v>
      </c>
      <c r="C23" s="188" t="str">
        <f t="shared" si="0"/>
        <v>MBM131</v>
      </c>
      <c r="D23" s="101" t="s">
        <v>3283</v>
      </c>
      <c r="E23" s="184">
        <v>45716</v>
      </c>
      <c r="F23" s="101" t="s">
        <v>3284</v>
      </c>
      <c r="G23" s="111" t="str">
        <f>VLOOKUP(C23,CODORL!Q:T,4,FALSE)</f>
        <v>Laura Garrido García</v>
      </c>
      <c r="H23" s="101" t="s">
        <v>1706</v>
      </c>
      <c r="I23" s="103" t="s">
        <v>3285</v>
      </c>
      <c r="J23" s="185" t="s">
        <v>3286</v>
      </c>
      <c r="K23" s="101" t="s">
        <v>3287</v>
      </c>
      <c r="L23" s="101">
        <v>1200</v>
      </c>
      <c r="M23" s="101">
        <v>0</v>
      </c>
      <c r="N23" s="101" t="s">
        <v>3288</v>
      </c>
      <c r="O23" s="101" t="s">
        <v>3289</v>
      </c>
      <c r="P23" s="101"/>
      <c r="Q23" s="101"/>
      <c r="R23" s="101"/>
      <c r="S23" s="101"/>
      <c r="T23" s="101"/>
      <c r="U23" s="101"/>
      <c r="V23" s="101"/>
      <c r="W23" s="101"/>
      <c r="X23" s="101"/>
      <c r="Y23" s="114" t="str">
        <f t="shared" si="1"/>
        <v>VAG-5397,C20241217182425568,,,,,,,,</v>
      </c>
      <c r="Z23" s="114" t="s">
        <v>3290</v>
      </c>
      <c r="AA23" s="114" t="s">
        <v>3291</v>
      </c>
      <c r="AB23" s="114"/>
      <c r="AC23" s="114"/>
      <c r="AD23" s="114"/>
      <c r="AE23" s="114"/>
      <c r="AF23" s="114"/>
      <c r="AG23" s="114"/>
      <c r="AH23" s="114"/>
      <c r="AI23" s="114"/>
      <c r="AJ23" s="114"/>
      <c r="AK23" s="114"/>
      <c r="AL23" s="114"/>
      <c r="AM23" s="114"/>
      <c r="AN23" s="114"/>
      <c r="AO23" s="114"/>
      <c r="AP23" s="114"/>
      <c r="AQ23" s="114"/>
      <c r="AR23" s="114"/>
      <c r="AS23" s="114"/>
      <c r="AT23" s="114"/>
      <c r="AU23" s="114"/>
      <c r="AV23" s="114"/>
      <c r="AW23" s="114"/>
      <c r="AX23" s="114"/>
      <c r="AY23" s="114"/>
      <c r="AZ23" s="114"/>
    </row>
    <row r="24" spans="1:52">
      <c r="A24" s="111" t="s">
        <v>14</v>
      </c>
      <c r="B24" s="111">
        <v>2</v>
      </c>
      <c r="C24" s="112" t="str">
        <f t="shared" si="0"/>
        <v>RFV15</v>
      </c>
      <c r="D24" s="101" t="s">
        <v>3292</v>
      </c>
      <c r="E24" s="184">
        <v>45716</v>
      </c>
      <c r="F24" s="101" t="s">
        <v>3166</v>
      </c>
      <c r="G24" s="111" t="str">
        <f>VLOOKUP(C24,CODORL!Q:T,4,FALSE)</f>
        <v>Jean Franco Intraprendente Martini</v>
      </c>
      <c r="H24" s="101" t="s">
        <v>3027</v>
      </c>
      <c r="I24" s="103" t="s">
        <v>3028</v>
      </c>
      <c r="J24" s="185" t="s">
        <v>3293</v>
      </c>
      <c r="K24" s="101" t="s">
        <v>3294</v>
      </c>
      <c r="L24" s="101">
        <v>600</v>
      </c>
      <c r="M24" s="101">
        <v>202.05</v>
      </c>
      <c r="N24" s="101" t="s">
        <v>3295</v>
      </c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14" t="str">
        <f t="shared" si="1"/>
        <v>C20251241223661,,,,,,,,,</v>
      </c>
      <c r="Z24" s="114" t="s">
        <v>3296</v>
      </c>
      <c r="AA24" s="114"/>
      <c r="AB24" s="114"/>
      <c r="AC24" s="114"/>
      <c r="AD24" s="114"/>
      <c r="AE24" s="114"/>
      <c r="AF24" s="114"/>
      <c r="AG24" s="114"/>
      <c r="AH24" s="114"/>
      <c r="AI24" s="114"/>
      <c r="AJ24" s="115"/>
      <c r="AK24" s="115">
        <f t="shared" ref="AK24:AK67" si="4">L24/300</f>
        <v>2</v>
      </c>
      <c r="AL24" s="115">
        <f t="shared" ref="AL24:AL67" si="5">COUNTA(Z24:AI24)</f>
        <v>1</v>
      </c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</row>
    <row r="25" spans="1:52">
      <c r="A25" s="111" t="s">
        <v>8</v>
      </c>
      <c r="B25" s="111">
        <v>2</v>
      </c>
      <c r="C25" s="112" t="str">
        <f t="shared" si="0"/>
        <v>MBM03</v>
      </c>
      <c r="D25" s="101" t="s">
        <v>3297</v>
      </c>
      <c r="E25" s="184">
        <v>45716</v>
      </c>
      <c r="F25" s="101" t="s">
        <v>3298</v>
      </c>
      <c r="G25" s="111" t="str">
        <f>VLOOKUP(C25,CODORL!Q:T,4,FALSE)</f>
        <v>Alejandro Harguindey Antoli-Candela</v>
      </c>
      <c r="H25" s="101" t="s">
        <v>2942</v>
      </c>
      <c r="I25" s="103" t="s">
        <v>3299</v>
      </c>
      <c r="J25" s="185" t="s">
        <v>3300</v>
      </c>
      <c r="K25" s="101" t="s">
        <v>2945</v>
      </c>
      <c r="L25" s="101">
        <v>1200</v>
      </c>
      <c r="M25" s="101">
        <v>0</v>
      </c>
      <c r="N25" s="101" t="s">
        <v>3301</v>
      </c>
      <c r="O25" s="101" t="s">
        <v>3302</v>
      </c>
      <c r="P25" s="101"/>
      <c r="Q25" s="101"/>
      <c r="R25" s="101"/>
      <c r="S25" s="101"/>
      <c r="T25" s="101"/>
      <c r="U25" s="101"/>
      <c r="V25" s="101"/>
      <c r="W25" s="101"/>
      <c r="X25" s="101"/>
      <c r="Y25" s="114" t="str">
        <f t="shared" si="1"/>
        <v>C202512795336841,C2025115113626365,C2025115113626365,,,,,,,,</v>
      </c>
      <c r="Z25" s="114" t="s">
        <v>3303</v>
      </c>
      <c r="AA25" s="114" t="s">
        <v>3304</v>
      </c>
      <c r="AB25" s="114"/>
      <c r="AC25" s="114"/>
      <c r="AD25" s="114"/>
      <c r="AE25" s="114"/>
      <c r="AF25" s="114"/>
      <c r="AG25" s="114"/>
      <c r="AH25" s="114"/>
      <c r="AI25" s="114"/>
      <c r="AJ25" s="115"/>
      <c r="AK25" s="115">
        <f t="shared" si="4"/>
        <v>4</v>
      </c>
      <c r="AL25" s="115">
        <f t="shared" si="5"/>
        <v>2</v>
      </c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</row>
    <row r="26" spans="1:52">
      <c r="A26" s="111" t="s">
        <v>251</v>
      </c>
      <c r="B26" s="111">
        <v>2</v>
      </c>
      <c r="C26" s="112" t="str">
        <f t="shared" si="0"/>
        <v>LAA09</v>
      </c>
      <c r="D26" s="101" t="s">
        <v>3305</v>
      </c>
      <c r="E26" s="184">
        <v>45716</v>
      </c>
      <c r="F26" s="101" t="s">
        <v>3011</v>
      </c>
      <c r="G26" s="111" t="str">
        <f>VLOOKUP(C26,CODORL!Q:T,4,FALSE)</f>
        <v>Enrique Gómez Aldaz</v>
      </c>
      <c r="H26" s="101" t="s">
        <v>3132</v>
      </c>
      <c r="I26" s="103" t="s">
        <v>3133</v>
      </c>
      <c r="J26" s="185" t="s">
        <v>3306</v>
      </c>
      <c r="K26" s="101" t="s">
        <v>3135</v>
      </c>
      <c r="L26" s="101">
        <v>900</v>
      </c>
      <c r="M26" s="101">
        <v>100</v>
      </c>
      <c r="N26" s="101" t="s">
        <v>3307</v>
      </c>
      <c r="O26" s="101" t="s">
        <v>3308</v>
      </c>
      <c r="P26" s="101"/>
      <c r="Q26" s="101"/>
      <c r="R26" s="101"/>
      <c r="S26" s="101"/>
      <c r="T26" s="101"/>
      <c r="U26" s="101"/>
      <c r="V26" s="101"/>
      <c r="W26" s="101"/>
      <c r="X26" s="101"/>
      <c r="Y26" s="114" t="str">
        <f t="shared" si="1"/>
        <v>C202522016543251,C202412510526166,C202412510526166,,,,,,,,</v>
      </c>
      <c r="Z26" s="114" t="s">
        <v>3309</v>
      </c>
      <c r="AA26" s="114" t="s">
        <v>3310</v>
      </c>
      <c r="AB26" s="114"/>
      <c r="AC26" s="114"/>
      <c r="AD26" s="114"/>
      <c r="AE26" s="114"/>
      <c r="AF26" s="114"/>
      <c r="AG26" s="114"/>
      <c r="AH26" s="114"/>
      <c r="AI26" s="114"/>
      <c r="AJ26" s="115"/>
      <c r="AK26" s="115">
        <f t="shared" si="4"/>
        <v>3</v>
      </c>
      <c r="AL26" s="115">
        <f t="shared" si="5"/>
        <v>2</v>
      </c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</row>
    <row r="27" spans="1:52">
      <c r="A27" s="111" t="s">
        <v>47</v>
      </c>
      <c r="B27" s="111">
        <v>2</v>
      </c>
      <c r="C27" s="112" t="str">
        <f t="shared" si="0"/>
        <v>ISL122</v>
      </c>
      <c r="D27" s="101" t="s">
        <v>3311</v>
      </c>
      <c r="E27" s="184">
        <v>45716</v>
      </c>
      <c r="F27" s="101" t="s">
        <v>2869</v>
      </c>
      <c r="G27" s="111" t="str">
        <f>VLOOKUP(C27,CODORL!Q:T,4,FALSE)</f>
        <v>María Agustina Sevilla García</v>
      </c>
      <c r="H27" s="101" t="s">
        <v>2952</v>
      </c>
      <c r="I27" s="103" t="s">
        <v>2953</v>
      </c>
      <c r="J27" s="185" t="s">
        <v>2954</v>
      </c>
      <c r="K27" s="101" t="s">
        <v>2955</v>
      </c>
      <c r="L27" s="101">
        <v>1200</v>
      </c>
      <c r="M27" s="101">
        <v>250</v>
      </c>
      <c r="N27" s="101" t="s">
        <v>3312</v>
      </c>
      <c r="O27" s="101" t="s">
        <v>3313</v>
      </c>
      <c r="P27" s="101"/>
      <c r="Q27" s="101"/>
      <c r="R27" s="101"/>
      <c r="S27" s="101"/>
      <c r="T27" s="101"/>
      <c r="U27" s="101"/>
      <c r="V27" s="101"/>
      <c r="W27" s="101"/>
      <c r="X27" s="101"/>
      <c r="Y27" s="114" t="str">
        <f t="shared" si="1"/>
        <v>C202412261718823,MUR-1837,MUR-1837,,,,,,,,</v>
      </c>
      <c r="Z27" s="114" t="s">
        <v>3314</v>
      </c>
      <c r="AA27" s="114" t="s">
        <v>3315</v>
      </c>
      <c r="AB27" s="114"/>
      <c r="AC27" s="114"/>
      <c r="AD27" s="114"/>
      <c r="AE27" s="114"/>
      <c r="AF27" s="114"/>
      <c r="AG27" s="114"/>
      <c r="AH27" s="114"/>
      <c r="AI27" s="114"/>
      <c r="AJ27" s="115"/>
      <c r="AK27" s="115">
        <f t="shared" si="4"/>
        <v>4</v>
      </c>
      <c r="AL27" s="115">
        <f t="shared" si="5"/>
        <v>2</v>
      </c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</row>
    <row r="28" spans="1:52">
      <c r="A28" s="111" t="s">
        <v>8</v>
      </c>
      <c r="B28" s="111">
        <v>3</v>
      </c>
      <c r="C28" s="112" t="str">
        <f t="shared" si="0"/>
        <v>MBM187</v>
      </c>
      <c r="D28" s="101" t="s">
        <v>3316</v>
      </c>
      <c r="E28" s="184">
        <v>45747</v>
      </c>
      <c r="F28" s="101" t="s">
        <v>2886</v>
      </c>
      <c r="G28" s="111" t="str">
        <f>VLOOKUP(C28,CODORL!Q:T,4,FALSE)</f>
        <v>Abel Bogoya Castaño</v>
      </c>
      <c r="H28" s="101" t="s">
        <v>13</v>
      </c>
      <c r="I28" s="101" t="s">
        <v>3317</v>
      </c>
      <c r="J28" s="101" t="s">
        <v>3318</v>
      </c>
      <c r="K28" s="101" t="s">
        <v>3319</v>
      </c>
      <c r="L28" s="101">
        <v>1200</v>
      </c>
      <c r="M28" s="101">
        <v>0</v>
      </c>
      <c r="N28" s="101" t="s">
        <v>3320</v>
      </c>
      <c r="O28" s="346" t="s">
        <v>3321</v>
      </c>
      <c r="P28" s="345"/>
      <c r="Q28" s="345"/>
      <c r="R28" s="101"/>
      <c r="S28" s="101"/>
      <c r="T28" s="101"/>
      <c r="U28" s="101"/>
      <c r="V28" s="101"/>
      <c r="W28" s="101"/>
      <c r="X28" s="101"/>
      <c r="Y28" s="114" t="str">
        <f t="shared" si="1"/>
        <v>C202524192528978,C2024112710520472,C2024112710520472,,,,,,,,</v>
      </c>
      <c r="Z28" s="114" t="s">
        <v>3322</v>
      </c>
      <c r="AA28" s="114" t="s">
        <v>3323</v>
      </c>
      <c r="AB28" s="114"/>
      <c r="AC28" s="114"/>
      <c r="AD28" s="114"/>
      <c r="AE28" s="114"/>
      <c r="AF28" s="114"/>
      <c r="AG28" s="114"/>
      <c r="AH28" s="114"/>
      <c r="AI28" s="114"/>
      <c r="AJ28" s="115"/>
      <c r="AK28" s="115">
        <f t="shared" si="4"/>
        <v>4</v>
      </c>
      <c r="AL28" s="115">
        <f t="shared" si="5"/>
        <v>2</v>
      </c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</row>
    <row r="29" spans="1:52">
      <c r="A29" s="111" t="s">
        <v>2784</v>
      </c>
      <c r="B29" s="111">
        <v>3</v>
      </c>
      <c r="C29" s="112" t="str">
        <f t="shared" si="0"/>
        <v>LRM125</v>
      </c>
      <c r="D29" s="101" t="s">
        <v>3324</v>
      </c>
      <c r="E29" s="184">
        <v>45747</v>
      </c>
      <c r="F29" s="101" t="s">
        <v>2972</v>
      </c>
      <c r="G29" s="111" t="str">
        <f>VLOOKUP(C29,CODORL!Q:T,4,FALSE)</f>
        <v>Ainhoa Moreno Bravo</v>
      </c>
      <c r="H29" s="101" t="s">
        <v>71</v>
      </c>
      <c r="I29" s="101" t="s">
        <v>2973</v>
      </c>
      <c r="J29" s="101" t="s">
        <v>2974</v>
      </c>
      <c r="K29" s="101" t="s">
        <v>2975</v>
      </c>
      <c r="L29" s="101">
        <v>3000</v>
      </c>
      <c r="M29" s="101">
        <v>249</v>
      </c>
      <c r="N29" s="101" t="s">
        <v>3325</v>
      </c>
      <c r="O29" s="101" t="s">
        <v>3326</v>
      </c>
      <c r="P29" s="101" t="s">
        <v>3327</v>
      </c>
      <c r="Q29" s="101" t="s">
        <v>3328</v>
      </c>
      <c r="R29" s="101" t="s">
        <v>3329</v>
      </c>
      <c r="S29" s="101" t="s">
        <v>3330</v>
      </c>
      <c r="T29" s="348" t="s">
        <v>3331</v>
      </c>
      <c r="U29" s="345"/>
      <c r="V29" s="101"/>
      <c r="W29" s="101"/>
      <c r="X29" s="101"/>
      <c r="Y29" s="114" t="str">
        <f t="shared" si="1"/>
        <v>TAL-10,TAL-55,TAL-74,TAL-63,TAL-84,TAL-129,TAL-120,,TAL-55,TAL-74,TAL-63,TAL-84,TAL-129,TAL-120,,,</v>
      </c>
      <c r="Z29" s="114" t="s">
        <v>3332</v>
      </c>
      <c r="AA29" s="114" t="s">
        <v>3333</v>
      </c>
      <c r="AB29" s="114" t="s">
        <v>3334</v>
      </c>
      <c r="AC29" s="114" t="s">
        <v>3335</v>
      </c>
      <c r="AD29" s="114" t="s">
        <v>3336</v>
      </c>
      <c r="AE29" s="114" t="s">
        <v>3337</v>
      </c>
      <c r="AF29" s="114" t="s">
        <v>3338</v>
      </c>
      <c r="AG29" s="114"/>
      <c r="AH29" s="114"/>
      <c r="AI29" s="114"/>
      <c r="AJ29" s="115"/>
      <c r="AK29" s="115">
        <f t="shared" si="4"/>
        <v>10</v>
      </c>
      <c r="AL29" s="115">
        <f t="shared" si="5"/>
        <v>7</v>
      </c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</row>
    <row r="30" spans="1:52">
      <c r="A30" s="111" t="s">
        <v>47</v>
      </c>
      <c r="B30" s="111">
        <v>3</v>
      </c>
      <c r="C30" s="112" t="str">
        <f t="shared" si="0"/>
        <v>ISL91</v>
      </c>
      <c r="D30" s="101" t="s">
        <v>3339</v>
      </c>
      <c r="E30" s="184">
        <v>45747</v>
      </c>
      <c r="F30" s="101" t="s">
        <v>2863</v>
      </c>
      <c r="G30" s="111" t="str">
        <f>VLOOKUP(C30,CODORL!Q:T,4,FALSE)</f>
        <v>Alejandra Jara Maquilón</v>
      </c>
      <c r="H30" s="101" t="s">
        <v>101</v>
      </c>
      <c r="I30" s="103" t="s">
        <v>2864</v>
      </c>
      <c r="J30" s="103" t="s">
        <v>3340</v>
      </c>
      <c r="K30" s="103" t="s">
        <v>2866</v>
      </c>
      <c r="L30" s="101">
        <v>300</v>
      </c>
      <c r="M30" s="101">
        <v>125</v>
      </c>
      <c r="N30" s="346" t="s">
        <v>3341</v>
      </c>
      <c r="O30" s="345"/>
      <c r="P30" s="345"/>
      <c r="Q30" s="101"/>
      <c r="R30" s="101"/>
      <c r="S30" s="101"/>
      <c r="T30" s="101"/>
      <c r="U30" s="101"/>
      <c r="V30" s="101"/>
      <c r="W30" s="101"/>
      <c r="X30" s="101"/>
      <c r="Y30" s="114" t="str">
        <f t="shared" si="1"/>
        <v>C202531216280481,,,,,,,,,</v>
      </c>
      <c r="Z30" s="114" t="s">
        <v>3342</v>
      </c>
      <c r="AA30" s="114"/>
      <c r="AB30" s="114"/>
      <c r="AC30" s="114"/>
      <c r="AD30" s="114"/>
      <c r="AE30" s="114"/>
      <c r="AF30" s="114"/>
      <c r="AG30" s="114"/>
      <c r="AH30" s="114"/>
      <c r="AI30" s="114"/>
      <c r="AJ30" s="115"/>
      <c r="AK30" s="115">
        <f t="shared" si="4"/>
        <v>1</v>
      </c>
      <c r="AL30" s="115">
        <f t="shared" si="5"/>
        <v>1</v>
      </c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</row>
    <row r="31" spans="1:52">
      <c r="A31" s="111" t="s">
        <v>8</v>
      </c>
      <c r="B31" s="111">
        <v>3</v>
      </c>
      <c r="C31" s="112" t="str">
        <f t="shared" si="0"/>
        <v>MBM03</v>
      </c>
      <c r="D31" s="101" t="s">
        <v>3343</v>
      </c>
      <c r="E31" s="184">
        <v>45747</v>
      </c>
      <c r="F31" s="101" t="s">
        <v>2935</v>
      </c>
      <c r="G31" s="111" t="str">
        <f>VLOOKUP(C31,CODORL!Q:T,4,FALSE)</f>
        <v>Alejandro Harguindey Antoli-Candela</v>
      </c>
      <c r="H31" s="101" t="s">
        <v>2942</v>
      </c>
      <c r="I31" s="101" t="s">
        <v>3299</v>
      </c>
      <c r="J31" s="101" t="s">
        <v>3344</v>
      </c>
      <c r="K31" s="101" t="s">
        <v>2945</v>
      </c>
      <c r="L31" s="101">
        <v>300</v>
      </c>
      <c r="M31" s="101">
        <v>0</v>
      </c>
      <c r="N31" s="346" t="s">
        <v>3345</v>
      </c>
      <c r="O31" s="345"/>
      <c r="P31" s="345"/>
      <c r="Q31" s="101"/>
      <c r="R31" s="101"/>
      <c r="S31" s="101"/>
      <c r="T31" s="101"/>
      <c r="U31" s="101"/>
      <c r="V31" s="101"/>
      <c r="W31" s="101"/>
      <c r="X31" s="101"/>
      <c r="Y31" s="114" t="str">
        <f t="shared" si="1"/>
        <v>C202522415322175,,,,,,,,,</v>
      </c>
      <c r="Z31" s="114" t="s">
        <v>3346</v>
      </c>
      <c r="AA31" s="114"/>
      <c r="AB31" s="114"/>
      <c r="AC31" s="114"/>
      <c r="AD31" s="114"/>
      <c r="AE31" s="114"/>
      <c r="AF31" s="114"/>
      <c r="AG31" s="114"/>
      <c r="AH31" s="114"/>
      <c r="AI31" s="114"/>
      <c r="AJ31" s="115"/>
      <c r="AK31" s="115">
        <f t="shared" si="4"/>
        <v>1</v>
      </c>
      <c r="AL31" s="115">
        <f t="shared" si="5"/>
        <v>1</v>
      </c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</row>
    <row r="32" spans="1:52">
      <c r="A32" s="187" t="s">
        <v>8</v>
      </c>
      <c r="B32" s="187">
        <v>3</v>
      </c>
      <c r="C32" s="188" t="str">
        <f t="shared" si="0"/>
        <v>MBM186</v>
      </c>
      <c r="D32" s="101" t="s">
        <v>3347</v>
      </c>
      <c r="E32" s="184">
        <v>45747</v>
      </c>
      <c r="F32" s="101" t="s">
        <v>2886</v>
      </c>
      <c r="G32" s="111" t="str">
        <f>VLOOKUP(C32,CODORL!Q:T,4,FALSE)</f>
        <v>Marta Abad Pascual</v>
      </c>
      <c r="H32" s="101" t="s">
        <v>2887</v>
      </c>
      <c r="I32" s="101" t="s">
        <v>2888</v>
      </c>
      <c r="J32" s="101" t="s">
        <v>3348</v>
      </c>
      <c r="K32" s="101" t="s">
        <v>2890</v>
      </c>
      <c r="L32" s="101">
        <v>1200</v>
      </c>
      <c r="M32" s="101">
        <v>0</v>
      </c>
      <c r="N32" s="101" t="s">
        <v>3349</v>
      </c>
      <c r="O32" s="346" t="s">
        <v>3350</v>
      </c>
      <c r="P32" s="345"/>
      <c r="Q32" s="101"/>
      <c r="R32" s="101"/>
      <c r="S32" s="101"/>
      <c r="T32" s="101"/>
      <c r="U32" s="101"/>
      <c r="V32" s="101"/>
      <c r="W32" s="101"/>
      <c r="X32" s="101"/>
      <c r="Y32" s="114" t="str">
        <f t="shared" si="1"/>
        <v>C2024111418454683,C2025313181155435,C2025313181155435,,,,,,,,</v>
      </c>
      <c r="Z32" s="114" t="s">
        <v>3351</v>
      </c>
      <c r="AA32" s="114" t="s">
        <v>3352</v>
      </c>
      <c r="AB32" s="114"/>
      <c r="AC32" s="114"/>
      <c r="AD32" s="114"/>
      <c r="AE32" s="114"/>
      <c r="AF32" s="114"/>
      <c r="AG32" s="114"/>
      <c r="AH32" s="114"/>
      <c r="AI32" s="114"/>
      <c r="AJ32" s="115"/>
      <c r="AK32" s="115">
        <f t="shared" si="4"/>
        <v>4</v>
      </c>
      <c r="AL32" s="115">
        <f t="shared" si="5"/>
        <v>2</v>
      </c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</row>
    <row r="33" spans="1:52">
      <c r="A33" s="111" t="s">
        <v>8</v>
      </c>
      <c r="B33" s="111">
        <v>3</v>
      </c>
      <c r="C33" s="112" t="str">
        <f t="shared" si="0"/>
        <v>MBM11</v>
      </c>
      <c r="D33" s="101" t="s">
        <v>3353</v>
      </c>
      <c r="E33" s="184">
        <v>45747</v>
      </c>
      <c r="F33" s="101" t="s">
        <v>3354</v>
      </c>
      <c r="G33" s="111" t="str">
        <f>VLOOKUP(C33,CODORL!Q:T,4,FALSE)</f>
        <v>Antonio Rodríguez Rivero</v>
      </c>
      <c r="H33" s="101" t="s">
        <v>2990</v>
      </c>
      <c r="I33" s="101" t="s">
        <v>2881</v>
      </c>
      <c r="J33" s="101" t="s">
        <v>2882</v>
      </c>
      <c r="K33" s="101" t="s">
        <v>2883</v>
      </c>
      <c r="L33" s="101">
        <v>7800</v>
      </c>
      <c r="M33" s="101">
        <v>191.63</v>
      </c>
      <c r="N33" s="122" t="s">
        <v>3355</v>
      </c>
      <c r="O33" s="101" t="s">
        <v>3356</v>
      </c>
      <c r="P33" s="122" t="s">
        <v>3357</v>
      </c>
      <c r="Q33" s="122" t="s">
        <v>3358</v>
      </c>
      <c r="R33" s="122" t="s">
        <v>3359</v>
      </c>
      <c r="S33" s="122" t="s">
        <v>3360</v>
      </c>
      <c r="T33" s="122" t="s">
        <v>3361</v>
      </c>
      <c r="U33" s="122" t="s">
        <v>3362</v>
      </c>
      <c r="V33" s="101" t="s">
        <v>3363</v>
      </c>
      <c r="W33" s="101" t="s">
        <v>3364</v>
      </c>
      <c r="X33" s="122" t="s">
        <v>3365</v>
      </c>
      <c r="Y33" s="114" t="str">
        <f t="shared" si="1"/>
        <v>MGE-78,MGE-280,MGE-257,MGE-259,MGE-92,MGE-37,MGE-248,C202492618534356,C20241017112117100,MGE-61,MGE-280,MGE-257,MGE-259,MGE-92,MGE-37,MGE-248,C202492618534356,C20241017112117100,MGE-61</v>
      </c>
      <c r="Z33" s="114" t="s">
        <v>2992</v>
      </c>
      <c r="AA33" s="114" t="s">
        <v>2993</v>
      </c>
      <c r="AB33" s="114" t="s">
        <v>2994</v>
      </c>
      <c r="AC33" s="114" t="s">
        <v>2995</v>
      </c>
      <c r="AD33" s="114" t="s">
        <v>2996</v>
      </c>
      <c r="AE33" s="114" t="s">
        <v>2997</v>
      </c>
      <c r="AF33" s="114" t="s">
        <v>2998</v>
      </c>
      <c r="AG33" s="114" t="s">
        <v>2999</v>
      </c>
      <c r="AH33" s="114" t="s">
        <v>3000</v>
      </c>
      <c r="AI33" s="114" t="s">
        <v>3001</v>
      </c>
      <c r="AJ33" s="186"/>
      <c r="AK33" s="186">
        <f t="shared" si="4"/>
        <v>26</v>
      </c>
      <c r="AL33" s="186">
        <f t="shared" si="5"/>
        <v>10</v>
      </c>
      <c r="AM33" s="186"/>
      <c r="AN33" s="186"/>
      <c r="AO33" s="186"/>
      <c r="AP33" s="186"/>
      <c r="AQ33" s="186"/>
      <c r="AR33" s="186"/>
      <c r="AS33" s="186"/>
      <c r="AT33" s="186"/>
      <c r="AU33" s="186"/>
      <c r="AV33" s="186"/>
      <c r="AW33" s="186"/>
      <c r="AX33" s="186"/>
      <c r="AY33" s="186"/>
      <c r="AZ33" s="186"/>
    </row>
    <row r="34" spans="1:52">
      <c r="A34" s="111" t="s">
        <v>47</v>
      </c>
      <c r="B34" s="111">
        <v>3</v>
      </c>
      <c r="C34" s="112" t="str">
        <f t="shared" si="0"/>
        <v>ISL95</v>
      </c>
      <c r="D34" s="103" t="s">
        <v>3366</v>
      </c>
      <c r="E34" s="184">
        <v>45747</v>
      </c>
      <c r="F34" s="101" t="s">
        <v>2863</v>
      </c>
      <c r="G34" s="111" t="str">
        <f>VLOOKUP(C34,CODORL!Q:T,4,FALSE)</f>
        <v>Blanca Maria Martinez Duro</v>
      </c>
      <c r="H34" s="103" t="s">
        <v>3367</v>
      </c>
      <c r="I34" s="103" t="s">
        <v>3368</v>
      </c>
      <c r="J34" s="103" t="s">
        <v>3369</v>
      </c>
      <c r="K34" s="103" t="s">
        <v>3370</v>
      </c>
      <c r="L34" s="101">
        <v>300</v>
      </c>
      <c r="M34" s="101">
        <v>50</v>
      </c>
      <c r="N34" s="346" t="s">
        <v>3371</v>
      </c>
      <c r="O34" s="345"/>
      <c r="P34" s="101"/>
      <c r="Q34" s="101"/>
      <c r="R34" s="101"/>
      <c r="S34" s="101"/>
      <c r="T34" s="101"/>
      <c r="U34" s="101"/>
      <c r="V34" s="101"/>
      <c r="W34" s="101"/>
      <c r="X34" s="101"/>
      <c r="Y34" s="114" t="str">
        <f t="shared" si="1"/>
        <v>C20252392436772,,,,,,,,,</v>
      </c>
      <c r="Z34" s="114" t="s">
        <v>3372</v>
      </c>
      <c r="AA34" s="114"/>
      <c r="AB34" s="114"/>
      <c r="AC34" s="114"/>
      <c r="AD34" s="114"/>
      <c r="AE34" s="114"/>
      <c r="AF34" s="114"/>
      <c r="AG34" s="114"/>
      <c r="AH34" s="114"/>
      <c r="AI34" s="114"/>
      <c r="AJ34" s="115"/>
      <c r="AK34" s="115">
        <f t="shared" si="4"/>
        <v>1</v>
      </c>
      <c r="AL34" s="115">
        <f t="shared" si="5"/>
        <v>1</v>
      </c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</row>
    <row r="35" spans="1:52">
      <c r="A35" s="111" t="s">
        <v>8</v>
      </c>
      <c r="B35" s="111">
        <v>3</v>
      </c>
      <c r="C35" s="112" t="str">
        <f t="shared" si="0"/>
        <v>MBM24</v>
      </c>
      <c r="D35" s="101" t="s">
        <v>3373</v>
      </c>
      <c r="E35" s="184">
        <v>45747</v>
      </c>
      <c r="F35" s="101" t="s">
        <v>2935</v>
      </c>
      <c r="G35" s="111" t="str">
        <f>VLOOKUP(C35,CODORL!Q:T,4,FALSE)</f>
        <v>Fernando García Alcántara</v>
      </c>
      <c r="H35" s="101" t="s">
        <v>3374</v>
      </c>
      <c r="I35" s="101" t="s">
        <v>3375</v>
      </c>
      <c r="J35" s="101" t="s">
        <v>3376</v>
      </c>
      <c r="K35" s="101" t="s">
        <v>3377</v>
      </c>
      <c r="L35" s="101">
        <v>1500</v>
      </c>
      <c r="M35" s="101">
        <v>0</v>
      </c>
      <c r="N35" s="101" t="s">
        <v>3378</v>
      </c>
      <c r="O35" s="101" t="s">
        <v>3379</v>
      </c>
      <c r="P35" s="346" t="s">
        <v>3380</v>
      </c>
      <c r="Q35" s="345"/>
      <c r="R35" s="345"/>
      <c r="S35" s="101"/>
      <c r="T35" s="101"/>
      <c r="U35" s="101"/>
      <c r="V35" s="101"/>
      <c r="W35" s="101"/>
      <c r="X35" s="101"/>
      <c r="Y35" s="114" t="str">
        <f t="shared" si="1"/>
        <v>VAG-5013,MTJ-229,MTJ-135MTJ-229,MTJ-135,MTJ-229,MTJ-135,,,,,,,</v>
      </c>
      <c r="Z35" s="114" t="s">
        <v>3381</v>
      </c>
      <c r="AA35" s="114" t="s">
        <v>3382</v>
      </c>
      <c r="AB35" s="114" t="s">
        <v>3383</v>
      </c>
      <c r="AC35" s="114"/>
      <c r="AD35" s="114"/>
      <c r="AE35" s="114"/>
      <c r="AF35" s="114"/>
      <c r="AG35" s="114"/>
      <c r="AH35" s="114"/>
      <c r="AI35" s="114"/>
      <c r="AJ35" s="115"/>
      <c r="AK35" s="115">
        <f t="shared" si="4"/>
        <v>5</v>
      </c>
      <c r="AL35" s="115">
        <f t="shared" si="5"/>
        <v>3</v>
      </c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</row>
    <row r="36" spans="1:52">
      <c r="A36" s="111" t="s">
        <v>14</v>
      </c>
      <c r="B36" s="111">
        <v>3</v>
      </c>
      <c r="C36" s="112" t="str">
        <f t="shared" si="0"/>
        <v>ISL104</v>
      </c>
      <c r="D36" s="103" t="s">
        <v>3384</v>
      </c>
      <c r="E36" s="184">
        <v>45747</v>
      </c>
      <c r="F36" s="103" t="s">
        <v>3271</v>
      </c>
      <c r="G36" s="111" t="str">
        <f>VLOOKUP(C36,CODORL!Q:T,4,FALSE)</f>
        <v>Isabel Polo Tomás</v>
      </c>
      <c r="H36" s="103" t="s">
        <v>1170</v>
      </c>
      <c r="I36" s="103" t="s">
        <v>3272</v>
      </c>
      <c r="J36" s="103" t="s">
        <v>3385</v>
      </c>
      <c r="K36" s="103" t="s">
        <v>3274</v>
      </c>
      <c r="L36" s="103">
        <v>900</v>
      </c>
      <c r="M36" s="103">
        <v>165</v>
      </c>
      <c r="N36" s="103" t="s">
        <v>3386</v>
      </c>
      <c r="O36" s="348" t="s">
        <v>3387</v>
      </c>
      <c r="P36" s="345"/>
      <c r="Q36" s="345"/>
      <c r="R36" s="103"/>
      <c r="S36" s="101"/>
      <c r="T36" s="103"/>
      <c r="U36" s="101"/>
      <c r="V36" s="101"/>
      <c r="W36" s="101"/>
      <c r="X36" s="101"/>
      <c r="Y36" s="114" t="str">
        <f t="shared" si="1"/>
        <v>C202533161053724,C20252261641078,C20252261641078,,,,,,,,</v>
      </c>
      <c r="Z36" s="114" t="s">
        <v>3388</v>
      </c>
      <c r="AA36" s="114" t="s">
        <v>3389</v>
      </c>
      <c r="AB36" s="114"/>
      <c r="AC36" s="114"/>
      <c r="AD36" s="114"/>
      <c r="AE36" s="114"/>
      <c r="AF36" s="114"/>
      <c r="AG36" s="114"/>
      <c r="AH36" s="114"/>
      <c r="AI36" s="114"/>
      <c r="AJ36" s="115"/>
      <c r="AK36" s="115">
        <f t="shared" si="4"/>
        <v>3</v>
      </c>
      <c r="AL36" s="115">
        <f t="shared" si="5"/>
        <v>2</v>
      </c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</row>
    <row r="37" spans="1:52">
      <c r="A37" s="111" t="s">
        <v>8</v>
      </c>
      <c r="B37" s="111">
        <v>3</v>
      </c>
      <c r="C37" s="112" t="str">
        <f t="shared" si="0"/>
        <v>MBM40</v>
      </c>
      <c r="D37" s="101" t="s">
        <v>3390</v>
      </c>
      <c r="E37" s="184">
        <v>45747</v>
      </c>
      <c r="F37" s="101" t="s">
        <v>3193</v>
      </c>
      <c r="G37" s="111" t="str">
        <f>VLOOKUP(C37,CODORL!Q:T,4,FALSE)</f>
        <v>Javier Gavilanes Plasencia</v>
      </c>
      <c r="H37" s="101" t="s">
        <v>1236</v>
      </c>
      <c r="I37" s="101" t="s">
        <v>3391</v>
      </c>
      <c r="J37" s="101" t="s">
        <v>3392</v>
      </c>
      <c r="K37" s="101" t="s">
        <v>3393</v>
      </c>
      <c r="L37" s="101">
        <v>1200</v>
      </c>
      <c r="M37" s="101">
        <v>0</v>
      </c>
      <c r="N37" s="122" t="s">
        <v>3394</v>
      </c>
      <c r="O37" s="349" t="s">
        <v>3395</v>
      </c>
      <c r="P37" s="345"/>
      <c r="Q37" s="345"/>
      <c r="R37" s="101"/>
      <c r="S37" s="101"/>
      <c r="T37" s="101"/>
      <c r="U37" s="101"/>
      <c r="V37" s="101"/>
      <c r="W37" s="101"/>
      <c r="X37" s="101"/>
      <c r="Y37" s="114" t="str">
        <f t="shared" si="1"/>
        <v>OCA-1138,OCA-1389,OCA-1389,,,,,,,,</v>
      </c>
      <c r="Z37" s="114" t="s">
        <v>3396</v>
      </c>
      <c r="AA37" s="114" t="s">
        <v>3397</v>
      </c>
      <c r="AB37" s="114"/>
      <c r="AC37" s="114"/>
      <c r="AD37" s="114"/>
      <c r="AE37" s="114"/>
      <c r="AF37" s="114"/>
      <c r="AG37" s="114"/>
      <c r="AH37" s="114"/>
      <c r="AI37" s="114"/>
      <c r="AJ37" s="115"/>
      <c r="AK37" s="115">
        <f t="shared" si="4"/>
        <v>4</v>
      </c>
      <c r="AL37" s="115">
        <f t="shared" si="5"/>
        <v>2</v>
      </c>
      <c r="AM37" s="115"/>
      <c r="AN37" s="115"/>
      <c r="AO37" s="115"/>
      <c r="AP37" s="115"/>
      <c r="AQ37" s="115"/>
      <c r="AR37" s="115"/>
      <c r="AS37" s="115"/>
      <c r="AT37" s="115"/>
      <c r="AU37" s="115"/>
      <c r="AV37" s="115"/>
      <c r="AW37" s="115"/>
      <c r="AX37" s="115"/>
      <c r="AY37" s="115"/>
      <c r="AZ37" s="115"/>
    </row>
    <row r="38" spans="1:52">
      <c r="A38" s="111" t="s">
        <v>14</v>
      </c>
      <c r="B38" s="111">
        <v>3</v>
      </c>
      <c r="C38" s="112" t="str">
        <f t="shared" si="0"/>
        <v>RFV15</v>
      </c>
      <c r="D38" s="101" t="s">
        <v>3398</v>
      </c>
      <c r="E38" s="184">
        <v>45747</v>
      </c>
      <c r="F38" s="101" t="s">
        <v>3166</v>
      </c>
      <c r="G38" s="111" t="str">
        <f>VLOOKUP(C38,CODORL!Q:T,4,FALSE)</f>
        <v>Jean Franco Intraprendente Martini</v>
      </c>
      <c r="H38" s="101" t="s">
        <v>3027</v>
      </c>
      <c r="I38" s="101" t="s">
        <v>3028</v>
      </c>
      <c r="J38" s="101" t="s">
        <v>3399</v>
      </c>
      <c r="K38" s="101" t="s">
        <v>3294</v>
      </c>
      <c r="L38" s="101">
        <v>1200</v>
      </c>
      <c r="M38" s="101">
        <v>52</v>
      </c>
      <c r="N38" s="103" t="s">
        <v>3400</v>
      </c>
      <c r="O38" s="103" t="s">
        <v>3401</v>
      </c>
      <c r="P38" s="346" t="s">
        <v>3402</v>
      </c>
      <c r="Q38" s="345"/>
      <c r="R38" s="101"/>
      <c r="S38" s="101"/>
      <c r="T38" s="101"/>
      <c r="U38" s="101"/>
      <c r="V38" s="101"/>
      <c r="W38" s="101"/>
      <c r="X38" s="101"/>
      <c r="Y38" s="114" t="str">
        <f t="shared" si="1"/>
        <v>C2024122411582318,C202412912145720,C202531712235115,C202412912145720,C202531712235115,,,,,,,</v>
      </c>
      <c r="Z38" s="114" t="s">
        <v>3403</v>
      </c>
      <c r="AA38" s="114" t="s">
        <v>3404</v>
      </c>
      <c r="AB38" s="114" t="s">
        <v>3405</v>
      </c>
      <c r="AC38" s="114"/>
      <c r="AD38" s="114"/>
      <c r="AE38" s="114"/>
      <c r="AF38" s="114"/>
      <c r="AG38" s="114"/>
      <c r="AH38" s="114"/>
      <c r="AI38" s="114"/>
      <c r="AJ38" s="115"/>
      <c r="AK38" s="115">
        <f t="shared" si="4"/>
        <v>4</v>
      </c>
      <c r="AL38" s="115">
        <f t="shared" si="5"/>
        <v>3</v>
      </c>
      <c r="AM38" s="115"/>
      <c r="AN38" s="115"/>
      <c r="AO38" s="115"/>
      <c r="AP38" s="115"/>
      <c r="AQ38" s="115"/>
      <c r="AR38" s="115"/>
      <c r="AS38" s="115"/>
      <c r="AT38" s="115"/>
      <c r="AU38" s="115"/>
      <c r="AV38" s="115"/>
      <c r="AW38" s="115"/>
      <c r="AX38" s="115"/>
      <c r="AY38" s="115"/>
      <c r="AZ38" s="115"/>
    </row>
    <row r="39" spans="1:52">
      <c r="A39" s="111" t="s">
        <v>251</v>
      </c>
      <c r="B39" s="111">
        <v>3</v>
      </c>
      <c r="C39" s="112" t="str">
        <f t="shared" si="0"/>
        <v>LAA64</v>
      </c>
      <c r="D39" s="103" t="s">
        <v>3406</v>
      </c>
      <c r="E39" s="184">
        <v>45747</v>
      </c>
      <c r="F39" s="101" t="s">
        <v>3011</v>
      </c>
      <c r="G39" s="111" t="str">
        <f>VLOOKUP(C39,CODORL!Q:T,4,FALSE)</f>
        <v>Juan Manuel Maza Solano</v>
      </c>
      <c r="H39" s="103" t="s">
        <v>1607</v>
      </c>
      <c r="I39" s="103" t="s">
        <v>3212</v>
      </c>
      <c r="J39" s="103" t="s">
        <v>3407</v>
      </c>
      <c r="K39" s="103" t="s">
        <v>3214</v>
      </c>
      <c r="L39" s="101">
        <v>1800</v>
      </c>
      <c r="M39" s="103">
        <v>0</v>
      </c>
      <c r="N39" s="103" t="s">
        <v>3408</v>
      </c>
      <c r="O39" s="103" t="s">
        <v>3409</v>
      </c>
      <c r="P39" s="348" t="s">
        <v>3410</v>
      </c>
      <c r="Q39" s="345"/>
      <c r="R39" s="345"/>
      <c r="S39" s="101"/>
      <c r="T39" s="101"/>
      <c r="U39" s="101"/>
      <c r="V39" s="101"/>
      <c r="W39" s="101"/>
      <c r="X39" s="101"/>
      <c r="Y39" s="114" t="str">
        <f t="shared" si="1"/>
        <v>C2025226122555530,C202537113048231,SMO-92,C202537113048231,SMO-92,,,,,,,</v>
      </c>
      <c r="Z39" s="114" t="s">
        <v>3411</v>
      </c>
      <c r="AA39" s="114" t="s">
        <v>3412</v>
      </c>
      <c r="AB39" s="114" t="s">
        <v>3413</v>
      </c>
      <c r="AC39" s="114"/>
      <c r="AD39" s="114"/>
      <c r="AE39" s="114"/>
      <c r="AF39" s="114"/>
      <c r="AG39" s="114"/>
      <c r="AH39" s="114"/>
      <c r="AI39" s="114"/>
      <c r="AJ39" s="115"/>
      <c r="AK39" s="115">
        <f t="shared" si="4"/>
        <v>6</v>
      </c>
      <c r="AL39" s="115">
        <f t="shared" si="5"/>
        <v>3</v>
      </c>
      <c r="AM39" s="115"/>
      <c r="AN39" s="115"/>
      <c r="AO39" s="115"/>
      <c r="AP39" s="115"/>
      <c r="AQ39" s="115"/>
      <c r="AR39" s="115"/>
      <c r="AS39" s="115"/>
      <c r="AT39" s="115"/>
      <c r="AU39" s="115"/>
      <c r="AV39" s="115"/>
      <c r="AW39" s="115"/>
      <c r="AX39" s="115"/>
      <c r="AY39" s="115"/>
      <c r="AZ39" s="115"/>
    </row>
    <row r="40" spans="1:52">
      <c r="A40" s="111" t="s">
        <v>2784</v>
      </c>
      <c r="B40" s="111">
        <v>3</v>
      </c>
      <c r="C40" s="112" t="str">
        <f t="shared" si="0"/>
        <v>LRM246</v>
      </c>
      <c r="D40" s="101" t="s">
        <v>3414</v>
      </c>
      <c r="E40" s="184">
        <v>45747</v>
      </c>
      <c r="F40" s="101" t="s">
        <v>2972</v>
      </c>
      <c r="G40" s="111" t="str">
        <f>VLOOKUP(C40,CODORL!Q:T,4,FALSE)</f>
        <v>Maria Del Rocío Lobato Pérez</v>
      </c>
      <c r="H40" s="101" t="s">
        <v>3046</v>
      </c>
      <c r="I40" s="101" t="s">
        <v>3047</v>
      </c>
      <c r="J40" s="101" t="s">
        <v>3048</v>
      </c>
      <c r="K40" s="101" t="s">
        <v>3049</v>
      </c>
      <c r="L40" s="101">
        <v>600</v>
      </c>
      <c r="M40" s="101">
        <v>0</v>
      </c>
      <c r="N40" s="346" t="s">
        <v>3415</v>
      </c>
      <c r="O40" s="345"/>
      <c r="P40" s="101"/>
      <c r="Q40" s="101"/>
      <c r="R40" s="101"/>
      <c r="S40" s="101"/>
      <c r="T40" s="101"/>
      <c r="U40" s="101"/>
      <c r="V40" s="189"/>
      <c r="W40" s="101"/>
      <c r="X40" s="101"/>
      <c r="Y40" s="114" t="str">
        <f t="shared" si="1"/>
        <v>C20241114112059902,,,,,,,,,</v>
      </c>
      <c r="Z40" s="114" t="s">
        <v>3416</v>
      </c>
      <c r="AA40" s="114"/>
      <c r="AB40" s="114"/>
      <c r="AC40" s="114"/>
      <c r="AD40" s="114"/>
      <c r="AE40" s="114"/>
      <c r="AF40" s="114"/>
      <c r="AG40" s="114"/>
      <c r="AH40" s="114"/>
      <c r="AI40" s="114"/>
      <c r="AJ40" s="115"/>
      <c r="AK40" s="115">
        <f t="shared" si="4"/>
        <v>2</v>
      </c>
      <c r="AL40" s="115">
        <f t="shared" si="5"/>
        <v>1</v>
      </c>
      <c r="AM40" s="115"/>
      <c r="AN40" s="115"/>
      <c r="AO40" s="115"/>
      <c r="AP40" s="115"/>
      <c r="AQ40" s="115"/>
      <c r="AR40" s="115"/>
      <c r="AS40" s="115"/>
      <c r="AT40" s="115"/>
      <c r="AU40" s="115"/>
      <c r="AV40" s="115"/>
      <c r="AW40" s="115"/>
      <c r="AX40" s="115"/>
      <c r="AY40" s="115"/>
      <c r="AZ40" s="115"/>
    </row>
    <row r="41" spans="1:52">
      <c r="A41" s="111" t="s">
        <v>23</v>
      </c>
      <c r="B41" s="111">
        <v>3</v>
      </c>
      <c r="C41" s="112" t="str">
        <f t="shared" si="0"/>
        <v>RPG51</v>
      </c>
      <c r="D41" s="101" t="s">
        <v>3417</v>
      </c>
      <c r="E41" s="184">
        <v>45747</v>
      </c>
      <c r="F41" s="101" t="s">
        <v>2900</v>
      </c>
      <c r="G41" s="111" t="str">
        <f>VLOOKUP(C41,CODORL!Q:T,4,FALSE)</f>
        <v>María Rey Marcos</v>
      </c>
      <c r="H41" s="101" t="s">
        <v>2080</v>
      </c>
      <c r="I41" s="101" t="s">
        <v>2901</v>
      </c>
      <c r="J41" s="101" t="s">
        <v>2902</v>
      </c>
      <c r="K41" s="101" t="s">
        <v>2903</v>
      </c>
      <c r="L41" s="101">
        <v>600</v>
      </c>
      <c r="M41" s="101">
        <v>200</v>
      </c>
      <c r="N41" s="103" t="s">
        <v>3418</v>
      </c>
      <c r="O41" s="348" t="s">
        <v>3419</v>
      </c>
      <c r="P41" s="345"/>
      <c r="Q41" s="345"/>
      <c r="R41" s="101"/>
      <c r="S41" s="101"/>
      <c r="T41" s="101"/>
      <c r="U41" s="101"/>
      <c r="V41" s="101"/>
      <c r="W41" s="101"/>
      <c r="X41" s="101"/>
      <c r="Y41" s="114" t="str">
        <f t="shared" si="1"/>
        <v>C202512212136169,C202531116110349,C202531116110349,,,,,,,,</v>
      </c>
      <c r="Z41" s="114" t="s">
        <v>3420</v>
      </c>
      <c r="AA41" s="114" t="s">
        <v>3421</v>
      </c>
      <c r="AB41" s="114"/>
      <c r="AC41" s="114"/>
      <c r="AD41" s="114"/>
      <c r="AE41" s="114"/>
      <c r="AF41" s="114"/>
      <c r="AG41" s="114"/>
      <c r="AH41" s="114"/>
      <c r="AI41" s="114"/>
      <c r="AJ41" s="115"/>
      <c r="AK41" s="115">
        <f t="shared" si="4"/>
        <v>2</v>
      </c>
      <c r="AL41" s="115">
        <f t="shared" si="5"/>
        <v>2</v>
      </c>
      <c r="AM41" s="115"/>
      <c r="AN41" s="115"/>
      <c r="AO41" s="115"/>
      <c r="AP41" s="115"/>
      <c r="AQ41" s="115"/>
      <c r="AR41" s="115"/>
      <c r="AS41" s="115"/>
      <c r="AT41" s="115"/>
      <c r="AU41" s="115"/>
      <c r="AV41" s="115"/>
      <c r="AW41" s="115"/>
      <c r="AX41" s="115"/>
      <c r="AY41" s="115"/>
      <c r="AZ41" s="115"/>
    </row>
    <row r="42" spans="1:52">
      <c r="A42" s="111" t="s">
        <v>3087</v>
      </c>
      <c r="B42" s="111">
        <v>3</v>
      </c>
      <c r="C42" s="112" t="str">
        <f t="shared" si="0"/>
        <v>MCC50</v>
      </c>
      <c r="D42" s="101" t="s">
        <v>3422</v>
      </c>
      <c r="E42" s="184">
        <v>45747</v>
      </c>
      <c r="F42" s="101" t="s">
        <v>3423</v>
      </c>
      <c r="G42" s="111" t="str">
        <f>VLOOKUP(C42,CODORL!Q:T,4,FALSE)</f>
        <v>Marta Mesalles Ruiz</v>
      </c>
      <c r="H42" s="101" t="s">
        <v>2197</v>
      </c>
      <c r="I42" s="101" t="s">
        <v>3424</v>
      </c>
      <c r="J42" s="101" t="s">
        <v>3425</v>
      </c>
      <c r="K42" s="101" t="s">
        <v>3426</v>
      </c>
      <c r="L42" s="101">
        <v>600</v>
      </c>
      <c r="M42" s="101">
        <v>0</v>
      </c>
      <c r="N42" s="346" t="s">
        <v>3427</v>
      </c>
      <c r="O42" s="345"/>
      <c r="P42" s="101"/>
      <c r="Q42" s="101"/>
      <c r="R42" s="101"/>
      <c r="S42" s="101"/>
      <c r="T42" s="101"/>
      <c r="U42" s="103"/>
      <c r="V42" s="103"/>
      <c r="W42" s="103"/>
      <c r="X42" s="101"/>
      <c r="Y42" s="114" t="str">
        <f t="shared" si="1"/>
        <v>C20247319048537,,,,,,,,,</v>
      </c>
      <c r="Z42" s="190" t="s">
        <v>3428</v>
      </c>
      <c r="AA42" s="190"/>
      <c r="AB42" s="190"/>
      <c r="AC42" s="190"/>
      <c r="AD42" s="190"/>
      <c r="AE42" s="114"/>
      <c r="AF42" s="114"/>
      <c r="AG42" s="114"/>
      <c r="AH42" s="114"/>
      <c r="AI42" s="114"/>
      <c r="AJ42" s="115"/>
      <c r="AK42" s="115">
        <f t="shared" si="4"/>
        <v>2</v>
      </c>
      <c r="AL42" s="115">
        <f t="shared" si="5"/>
        <v>1</v>
      </c>
      <c r="AM42" s="115"/>
      <c r="AN42" s="115"/>
      <c r="AO42" s="115"/>
      <c r="AP42" s="115"/>
      <c r="AQ42" s="115"/>
      <c r="AR42" s="115"/>
      <c r="AS42" s="115"/>
      <c r="AT42" s="115"/>
      <c r="AU42" s="115"/>
      <c r="AV42" s="115"/>
      <c r="AW42" s="115"/>
      <c r="AX42" s="115"/>
      <c r="AY42" s="115"/>
      <c r="AZ42" s="115"/>
    </row>
    <row r="43" spans="1:52">
      <c r="A43" s="111" t="s">
        <v>23</v>
      </c>
      <c r="B43" s="111">
        <v>3</v>
      </c>
      <c r="C43" s="112" t="str">
        <f t="shared" si="0"/>
        <v>RPG31</v>
      </c>
      <c r="D43" s="101" t="s">
        <v>3429</v>
      </c>
      <c r="E43" s="184">
        <v>45747</v>
      </c>
      <c r="F43" s="101" t="s">
        <v>2900</v>
      </c>
      <c r="G43" s="111" t="str">
        <f>VLOOKUP(C43,CODORL!Q:T,4,FALSE)</f>
        <v>Rafael Alfonso Hurtado Ruzza</v>
      </c>
      <c r="H43" s="101" t="s">
        <v>3430</v>
      </c>
      <c r="I43" s="101" t="s">
        <v>3431</v>
      </c>
      <c r="J43" s="101" t="s">
        <v>3432</v>
      </c>
      <c r="K43" s="101" t="s">
        <v>3433</v>
      </c>
      <c r="L43" s="101">
        <v>600</v>
      </c>
      <c r="M43" s="101">
        <v>0</v>
      </c>
      <c r="N43" s="346" t="s">
        <v>3434</v>
      </c>
      <c r="O43" s="345"/>
      <c r="P43" s="345"/>
      <c r="Q43" s="101"/>
      <c r="R43" s="101"/>
      <c r="S43" s="101"/>
      <c r="T43" s="101"/>
      <c r="U43" s="101"/>
      <c r="V43" s="101"/>
      <c r="W43" s="101"/>
      <c r="X43" s="101"/>
      <c r="Y43" s="114" t="str">
        <f t="shared" si="1"/>
        <v>VIG-540,,,,,,,,,</v>
      </c>
      <c r="Z43" s="114" t="s">
        <v>3435</v>
      </c>
      <c r="AA43" s="114"/>
      <c r="AB43" s="114"/>
      <c r="AC43" s="114"/>
      <c r="AD43" s="114"/>
      <c r="AE43" s="114"/>
      <c r="AF43" s="114"/>
      <c r="AG43" s="114"/>
      <c r="AH43" s="114"/>
      <c r="AI43" s="114"/>
      <c r="AJ43" s="115"/>
      <c r="AK43" s="115">
        <f t="shared" si="4"/>
        <v>2</v>
      </c>
      <c r="AL43" s="115">
        <f t="shared" si="5"/>
        <v>1</v>
      </c>
      <c r="AM43" s="115"/>
      <c r="AN43" s="115"/>
      <c r="AO43" s="115"/>
      <c r="AP43" s="115"/>
      <c r="AQ43" s="115"/>
      <c r="AR43" s="115"/>
      <c r="AS43" s="115"/>
      <c r="AT43" s="115"/>
      <c r="AU43" s="115"/>
      <c r="AV43" s="115"/>
      <c r="AW43" s="115"/>
      <c r="AX43" s="115"/>
      <c r="AY43" s="115"/>
      <c r="AZ43" s="115"/>
    </row>
    <row r="44" spans="1:52">
      <c r="A44" s="111" t="s">
        <v>8</v>
      </c>
      <c r="B44" s="111">
        <v>3</v>
      </c>
      <c r="C44" s="112" t="str">
        <f t="shared" si="0"/>
        <v>MBM75</v>
      </c>
      <c r="D44" s="101" t="s">
        <v>3436</v>
      </c>
      <c r="E44" s="184">
        <v>45747</v>
      </c>
      <c r="F44" s="101" t="s">
        <v>3187</v>
      </c>
      <c r="G44" s="111" t="str">
        <f>VLOOKUP(C44,CODORL!Q:T,4,FALSE)</f>
        <v>Raimundo Gómez-Blasi</v>
      </c>
      <c r="H44" s="101" t="s">
        <v>3437</v>
      </c>
      <c r="I44" s="101" t="s">
        <v>3438</v>
      </c>
      <c r="J44" s="101" t="s">
        <v>3439</v>
      </c>
      <c r="K44" s="101" t="s">
        <v>3440</v>
      </c>
      <c r="L44" s="101">
        <v>1200</v>
      </c>
      <c r="M44" s="101">
        <v>0</v>
      </c>
      <c r="N44" s="101" t="s">
        <v>3441</v>
      </c>
      <c r="O44" s="346" t="s">
        <v>3442</v>
      </c>
      <c r="P44" s="345"/>
      <c r="Q44" s="345"/>
      <c r="R44" s="101"/>
      <c r="S44" s="101"/>
      <c r="T44" s="101"/>
      <c r="U44" s="101"/>
      <c r="V44" s="101"/>
      <c r="W44" s="101"/>
      <c r="X44" s="101"/>
      <c r="Y44" s="114" t="str">
        <f t="shared" si="1"/>
        <v>C2024101175847739,C2025319111757105,C2025319111757105,,,,,,,,</v>
      </c>
      <c r="Z44" s="114" t="s">
        <v>3443</v>
      </c>
      <c r="AA44" s="114" t="s">
        <v>3444</v>
      </c>
      <c r="AB44" s="114"/>
      <c r="AC44" s="114"/>
      <c r="AD44" s="114"/>
      <c r="AE44" s="114"/>
      <c r="AF44" s="114"/>
      <c r="AG44" s="114"/>
      <c r="AH44" s="114"/>
      <c r="AI44" s="114"/>
      <c r="AJ44" s="115"/>
      <c r="AK44" s="115">
        <f t="shared" si="4"/>
        <v>4</v>
      </c>
      <c r="AL44" s="115">
        <f t="shared" si="5"/>
        <v>2</v>
      </c>
      <c r="AM44" s="115"/>
      <c r="AN44" s="115"/>
      <c r="AO44" s="115"/>
      <c r="AP44" s="115"/>
      <c r="AQ44" s="115"/>
      <c r="AR44" s="115"/>
      <c r="AS44" s="115"/>
      <c r="AT44" s="115"/>
      <c r="AU44" s="115"/>
      <c r="AV44" s="115"/>
      <c r="AW44" s="115"/>
      <c r="AX44" s="115"/>
      <c r="AY44" s="115"/>
      <c r="AZ44" s="115"/>
    </row>
    <row r="45" spans="1:52">
      <c r="A45" s="111" t="s">
        <v>47</v>
      </c>
      <c r="B45" s="111">
        <v>4</v>
      </c>
      <c r="C45" s="112" t="str">
        <f t="shared" si="0"/>
        <v>ISL91</v>
      </c>
      <c r="D45" s="101" t="s">
        <v>3445</v>
      </c>
      <c r="E45" s="117">
        <v>45777</v>
      </c>
      <c r="F45" s="101" t="s">
        <v>2863</v>
      </c>
      <c r="G45" s="111" t="str">
        <f>VLOOKUP(C45,CODORL!Q:T,4,FALSE)</f>
        <v>Alejandra Jara Maquilón</v>
      </c>
      <c r="H45" s="101" t="s">
        <v>101</v>
      </c>
      <c r="I45" s="103" t="s">
        <v>2864</v>
      </c>
      <c r="J45" s="103" t="s">
        <v>3340</v>
      </c>
      <c r="K45" s="103" t="s">
        <v>2866</v>
      </c>
      <c r="L45" s="103">
        <v>300</v>
      </c>
      <c r="M45" s="101">
        <v>100</v>
      </c>
      <c r="N45" s="346" t="s">
        <v>3446</v>
      </c>
      <c r="O45" s="345"/>
      <c r="P45" s="345"/>
      <c r="Q45" s="101"/>
      <c r="R45" s="101"/>
      <c r="S45" s="101"/>
      <c r="T45" s="101"/>
      <c r="U45" s="101"/>
      <c r="V45" s="101"/>
      <c r="W45" s="101"/>
      <c r="X45" s="101"/>
      <c r="Y45" s="114" t="str">
        <f t="shared" si="1"/>
        <v>C202537164450420,,,,,,,,,</v>
      </c>
      <c r="Z45" s="114" t="s">
        <v>3447</v>
      </c>
      <c r="AA45" s="114"/>
      <c r="AB45" s="114"/>
      <c r="AC45" s="114"/>
      <c r="AD45" s="114"/>
      <c r="AE45" s="114"/>
      <c r="AF45" s="114"/>
      <c r="AG45" s="114"/>
      <c r="AH45" s="114"/>
      <c r="AI45" s="114"/>
      <c r="AJ45" s="115"/>
      <c r="AK45" s="115">
        <f t="shared" si="4"/>
        <v>1</v>
      </c>
      <c r="AL45" s="115">
        <f t="shared" si="5"/>
        <v>1</v>
      </c>
      <c r="AM45" s="115"/>
      <c r="AN45" s="115"/>
      <c r="AO45" s="115"/>
      <c r="AP45" s="115"/>
      <c r="AQ45" s="115"/>
      <c r="AR45" s="115"/>
      <c r="AS45" s="115"/>
      <c r="AT45" s="115"/>
      <c r="AU45" s="115"/>
      <c r="AV45" s="115"/>
      <c r="AW45" s="115"/>
      <c r="AX45" s="115"/>
      <c r="AY45" s="115"/>
      <c r="AZ45" s="115"/>
    </row>
    <row r="46" spans="1:52">
      <c r="A46" s="111" t="s">
        <v>23</v>
      </c>
      <c r="B46" s="111">
        <v>4</v>
      </c>
      <c r="C46" s="112" t="str">
        <f t="shared" si="0"/>
        <v>RPG51</v>
      </c>
      <c r="D46" s="101" t="s">
        <v>3448</v>
      </c>
      <c r="E46" s="117">
        <v>45777</v>
      </c>
      <c r="F46" s="101" t="s">
        <v>2900</v>
      </c>
      <c r="G46" s="111" t="str">
        <f>VLOOKUP(C46,CODORL!Q:T,4,FALSE)</f>
        <v>María Rey Marcos</v>
      </c>
      <c r="H46" s="101" t="s">
        <v>2080</v>
      </c>
      <c r="I46" s="101" t="s">
        <v>2901</v>
      </c>
      <c r="J46" s="101" t="s">
        <v>2902</v>
      </c>
      <c r="K46" s="101" t="s">
        <v>2903</v>
      </c>
      <c r="L46" s="103">
        <v>4200</v>
      </c>
      <c r="M46" s="101">
        <v>0</v>
      </c>
      <c r="N46" s="103" t="s">
        <v>3449</v>
      </c>
      <c r="O46" s="103" t="s">
        <v>3450</v>
      </c>
      <c r="P46" s="103" t="s">
        <v>3451</v>
      </c>
      <c r="Q46" s="103" t="s">
        <v>3452</v>
      </c>
      <c r="R46" s="103" t="s">
        <v>3453</v>
      </c>
      <c r="S46" s="103" t="s">
        <v>3454</v>
      </c>
      <c r="T46" s="101" t="s">
        <v>3455</v>
      </c>
      <c r="U46" s="346" t="s">
        <v>3456</v>
      </c>
      <c r="V46" s="345"/>
      <c r="W46" s="345"/>
      <c r="X46" s="101"/>
      <c r="Y46" s="114" t="str">
        <f t="shared" si="1"/>
        <v>C20241227105840801,C202541101629813,C2025310131050525,C202532111406504,C202532616048587,C202537125118614,C202532416722666,C202531111363421,C202541101629813,C2025310131050525,C202532111406504,C202532616048587,C202537125118614,C202532416722666,C202531111363421,,</v>
      </c>
      <c r="Z46" s="114" t="s">
        <v>3457</v>
      </c>
      <c r="AA46" s="114" t="s">
        <v>3458</v>
      </c>
      <c r="AB46" s="114" t="s">
        <v>3459</v>
      </c>
      <c r="AC46" s="114" t="s">
        <v>3460</v>
      </c>
      <c r="AD46" s="114" t="s">
        <v>3461</v>
      </c>
      <c r="AE46" s="114" t="s">
        <v>3462</v>
      </c>
      <c r="AF46" s="114" t="s">
        <v>3463</v>
      </c>
      <c r="AG46" s="114" t="s">
        <v>3464</v>
      </c>
      <c r="AH46" s="114"/>
      <c r="AI46" s="114"/>
      <c r="AJ46" s="115"/>
      <c r="AK46" s="115">
        <f t="shared" si="4"/>
        <v>14</v>
      </c>
      <c r="AL46" s="115">
        <f t="shared" si="5"/>
        <v>8</v>
      </c>
      <c r="AM46" s="115"/>
      <c r="AN46" s="115"/>
      <c r="AO46" s="115"/>
      <c r="AP46" s="115"/>
      <c r="AQ46" s="115"/>
      <c r="AR46" s="115"/>
      <c r="AS46" s="115"/>
      <c r="AT46" s="115"/>
      <c r="AU46" s="115"/>
      <c r="AV46" s="115"/>
      <c r="AW46" s="115"/>
      <c r="AX46" s="115"/>
      <c r="AY46" s="115"/>
      <c r="AZ46" s="115"/>
    </row>
    <row r="47" spans="1:52">
      <c r="A47" s="111" t="s">
        <v>8</v>
      </c>
      <c r="B47" s="111">
        <v>4</v>
      </c>
      <c r="C47" s="112" t="str">
        <f t="shared" si="0"/>
        <v>MBM109</v>
      </c>
      <c r="D47" s="103" t="s">
        <v>3465</v>
      </c>
      <c r="E47" s="117">
        <v>45777</v>
      </c>
      <c r="F47" s="103" t="s">
        <v>2893</v>
      </c>
      <c r="G47" s="111" t="str">
        <f>VLOOKUP(C47,CODORL!Q:T,4,FALSE)</f>
        <v>Desirée Méndez Brenderbache</v>
      </c>
      <c r="H47" s="103" t="s">
        <v>664</v>
      </c>
      <c r="I47" s="103" t="s">
        <v>2894</v>
      </c>
      <c r="J47" s="103" t="s">
        <v>2895</v>
      </c>
      <c r="K47" s="103" t="s">
        <v>2896</v>
      </c>
      <c r="L47" s="103">
        <v>600</v>
      </c>
      <c r="M47" s="101">
        <v>0</v>
      </c>
      <c r="N47" s="348" t="s">
        <v>3466</v>
      </c>
      <c r="O47" s="345"/>
      <c r="P47" s="345"/>
      <c r="Q47" s="103"/>
      <c r="R47" s="103"/>
      <c r="S47" s="103"/>
      <c r="T47" s="103"/>
      <c r="U47" s="103"/>
      <c r="V47" s="103"/>
      <c r="W47" s="103"/>
      <c r="X47" s="103"/>
      <c r="Y47" s="114" t="str">
        <f t="shared" si="1"/>
        <v>C202525165212977,,,,,,,,,</v>
      </c>
      <c r="Z47" s="114" t="s">
        <v>3467</v>
      </c>
      <c r="AA47" s="114"/>
      <c r="AB47" s="114"/>
      <c r="AC47" s="114"/>
      <c r="AD47" s="114"/>
      <c r="AE47" s="114"/>
      <c r="AF47" s="114"/>
      <c r="AG47" s="114"/>
      <c r="AH47" s="114"/>
      <c r="AI47" s="114"/>
      <c r="AJ47" s="115"/>
      <c r="AK47" s="115">
        <f t="shared" si="4"/>
        <v>2</v>
      </c>
      <c r="AL47" s="115">
        <f t="shared" si="5"/>
        <v>1</v>
      </c>
      <c r="AM47" s="115"/>
      <c r="AN47" s="115"/>
      <c r="AO47" s="115"/>
      <c r="AP47" s="115"/>
      <c r="AQ47" s="115"/>
      <c r="AR47" s="115"/>
      <c r="AS47" s="115"/>
      <c r="AT47" s="115"/>
      <c r="AU47" s="115"/>
      <c r="AV47" s="115"/>
      <c r="AW47" s="115"/>
      <c r="AX47" s="115"/>
      <c r="AY47" s="115"/>
      <c r="AZ47" s="115"/>
    </row>
    <row r="48" spans="1:52">
      <c r="A48" s="111" t="s">
        <v>8</v>
      </c>
      <c r="B48" s="111">
        <v>4</v>
      </c>
      <c r="C48" s="112" t="str">
        <f t="shared" si="0"/>
        <v>MBM41</v>
      </c>
      <c r="D48" s="103" t="s">
        <v>3468</v>
      </c>
      <c r="E48" s="117">
        <v>45777</v>
      </c>
      <c r="F48" s="101" t="s">
        <v>3469</v>
      </c>
      <c r="G48" s="111" t="str">
        <f>VLOOKUP(C48,CODORL!Q:T,4,FALSE)</f>
        <v>Javier Olarieta Soto</v>
      </c>
      <c r="H48" s="103" t="s">
        <v>1254</v>
      </c>
      <c r="I48" s="103" t="s">
        <v>3470</v>
      </c>
      <c r="J48" s="101" t="s">
        <v>3471</v>
      </c>
      <c r="K48" s="101" t="s">
        <v>3472</v>
      </c>
      <c r="L48" s="103">
        <v>1500</v>
      </c>
      <c r="M48" s="101">
        <v>0</v>
      </c>
      <c r="N48" s="101" t="s">
        <v>3473</v>
      </c>
      <c r="O48" s="101" t="s">
        <v>3474</v>
      </c>
      <c r="P48" s="346" t="s">
        <v>3475</v>
      </c>
      <c r="Q48" s="345"/>
      <c r="R48" s="345"/>
      <c r="S48" s="101"/>
      <c r="T48" s="101"/>
      <c r="U48" s="101"/>
      <c r="V48" s="101"/>
      <c r="W48" s="101"/>
      <c r="X48" s="101"/>
      <c r="Y48" s="114" t="str">
        <f t="shared" si="1"/>
        <v>PIO-11304,JBR-1686,C202525105521192,JBR-1686,C202525105521192,,,,,,,</v>
      </c>
      <c r="Z48" s="114" t="s">
        <v>3476</v>
      </c>
      <c r="AA48" s="114" t="s">
        <v>3477</v>
      </c>
      <c r="AB48" s="114" t="s">
        <v>3478</v>
      </c>
      <c r="AC48" s="114"/>
      <c r="AD48" s="114"/>
      <c r="AE48" s="114"/>
      <c r="AF48" s="114"/>
      <c r="AG48" s="114"/>
      <c r="AH48" s="114"/>
      <c r="AI48" s="114"/>
      <c r="AJ48" s="115"/>
      <c r="AK48" s="115">
        <f t="shared" si="4"/>
        <v>5</v>
      </c>
      <c r="AL48" s="115">
        <f t="shared" si="5"/>
        <v>3</v>
      </c>
      <c r="AM48" s="115"/>
      <c r="AN48" s="115"/>
      <c r="AO48" s="115"/>
      <c r="AP48" s="115"/>
      <c r="AQ48" s="115"/>
      <c r="AR48" s="115"/>
      <c r="AS48" s="115"/>
      <c r="AT48" s="115"/>
      <c r="AU48" s="115"/>
      <c r="AV48" s="115"/>
      <c r="AW48" s="115"/>
      <c r="AX48" s="115"/>
      <c r="AY48" s="115"/>
      <c r="AZ48" s="115"/>
    </row>
    <row r="49" spans="1:52">
      <c r="A49" s="111" t="s">
        <v>8</v>
      </c>
      <c r="B49" s="111">
        <v>4</v>
      </c>
      <c r="C49" s="112" t="str">
        <f t="shared" si="0"/>
        <v>MBM125</v>
      </c>
      <c r="D49" s="103" t="s">
        <v>3479</v>
      </c>
      <c r="E49" s="117">
        <v>45777</v>
      </c>
      <c r="F49" s="101" t="s">
        <v>3480</v>
      </c>
      <c r="G49" s="111" t="str">
        <f>VLOOKUP(C49,CODORL!Q:T,4,FALSE)</f>
        <v>Itziar Álvarez Palacios</v>
      </c>
      <c r="H49" s="103" t="s">
        <v>3481</v>
      </c>
      <c r="I49" s="103" t="s">
        <v>3482</v>
      </c>
      <c r="J49" s="101" t="s">
        <v>3483</v>
      </c>
      <c r="K49" s="101" t="s">
        <v>3484</v>
      </c>
      <c r="L49" s="103">
        <v>1500</v>
      </c>
      <c r="M49" s="101">
        <v>0</v>
      </c>
      <c r="N49" s="101" t="s">
        <v>3485</v>
      </c>
      <c r="O49" s="101" t="s">
        <v>3486</v>
      </c>
      <c r="P49" s="346" t="s">
        <v>3487</v>
      </c>
      <c r="Q49" s="345"/>
      <c r="R49" s="101"/>
      <c r="S49" s="101"/>
      <c r="T49" s="101"/>
      <c r="U49" s="101"/>
      <c r="V49" s="101"/>
      <c r="W49" s="101"/>
      <c r="X49" s="101"/>
      <c r="Y49" s="114" t="str">
        <f t="shared" si="1"/>
        <v>C202525103535787,C202531310656790,C20251139655355,C202531310656790,C20251139655355,,,,,,,</v>
      </c>
      <c r="Z49" s="114" t="s">
        <v>3488</v>
      </c>
      <c r="AA49" s="114" t="s">
        <v>3489</v>
      </c>
      <c r="AB49" s="114" t="s">
        <v>3490</v>
      </c>
      <c r="AC49" s="114"/>
      <c r="AD49" s="114"/>
      <c r="AE49" s="114"/>
      <c r="AF49" s="114"/>
      <c r="AG49" s="114"/>
      <c r="AH49" s="114"/>
      <c r="AI49" s="114"/>
      <c r="AJ49" s="115"/>
      <c r="AK49" s="115">
        <f t="shared" si="4"/>
        <v>5</v>
      </c>
      <c r="AL49" s="115">
        <f t="shared" si="5"/>
        <v>3</v>
      </c>
      <c r="AM49" s="115"/>
      <c r="AN49" s="115"/>
      <c r="AO49" s="115"/>
      <c r="AP49" s="115"/>
      <c r="AQ49" s="115"/>
      <c r="AR49" s="115"/>
      <c r="AS49" s="115"/>
      <c r="AT49" s="115"/>
      <c r="AU49" s="115"/>
      <c r="AV49" s="115"/>
      <c r="AW49" s="115"/>
      <c r="AX49" s="115"/>
      <c r="AY49" s="115"/>
      <c r="AZ49" s="115"/>
    </row>
    <row r="50" spans="1:52">
      <c r="A50" s="111" t="s">
        <v>2784</v>
      </c>
      <c r="B50" s="111">
        <v>4</v>
      </c>
      <c r="C50" s="112" t="str">
        <f t="shared" si="0"/>
        <v>LRM220</v>
      </c>
      <c r="D50" s="103" t="s">
        <v>3491</v>
      </c>
      <c r="E50" s="117">
        <v>45777</v>
      </c>
      <c r="F50" s="101" t="s">
        <v>2972</v>
      </c>
      <c r="G50" s="111" t="str">
        <f>VLOOKUP(C50,CODORL!Q:T,4,FALSE)</f>
        <v>Natalia Gisseth Pulido Fonseca</v>
      </c>
      <c r="H50" s="103" t="s">
        <v>2329</v>
      </c>
      <c r="I50" s="103" t="s">
        <v>3492</v>
      </c>
      <c r="J50" s="101" t="s">
        <v>3493</v>
      </c>
      <c r="K50" s="101" t="s">
        <v>3494</v>
      </c>
      <c r="L50" s="103">
        <v>1200</v>
      </c>
      <c r="M50" s="101">
        <v>0</v>
      </c>
      <c r="N50" s="101" t="s">
        <v>3495</v>
      </c>
      <c r="O50" s="101" t="s">
        <v>3496</v>
      </c>
      <c r="P50" s="348" t="s">
        <v>3497</v>
      </c>
      <c r="Q50" s="345"/>
      <c r="R50" s="345"/>
      <c r="S50" s="345"/>
      <c r="T50" s="101"/>
      <c r="U50" s="101"/>
      <c r="V50" s="101"/>
      <c r="W50" s="101"/>
      <c r="X50" s="101"/>
      <c r="Y50" s="114" t="str">
        <f t="shared" si="1"/>
        <v>C2025117104426138,TAL-116,C20254785434864,TAL-116,C20254785434864,,,,,,,</v>
      </c>
      <c r="Z50" s="114" t="s">
        <v>3498</v>
      </c>
      <c r="AA50" s="114" t="s">
        <v>3499</v>
      </c>
      <c r="AB50" s="114" t="s">
        <v>3500</v>
      </c>
      <c r="AC50" s="114"/>
      <c r="AD50" s="114"/>
      <c r="AE50" s="114"/>
      <c r="AF50" s="114"/>
      <c r="AG50" s="114"/>
      <c r="AH50" s="114"/>
      <c r="AI50" s="114"/>
      <c r="AJ50" s="115"/>
      <c r="AK50" s="115">
        <f t="shared" si="4"/>
        <v>4</v>
      </c>
      <c r="AL50" s="115">
        <f t="shared" si="5"/>
        <v>3</v>
      </c>
      <c r="AM50" s="115"/>
      <c r="AN50" s="115"/>
      <c r="AO50" s="115"/>
      <c r="AP50" s="115"/>
      <c r="AQ50" s="115"/>
      <c r="AR50" s="115"/>
      <c r="AS50" s="115"/>
      <c r="AT50" s="115"/>
      <c r="AU50" s="115"/>
      <c r="AV50" s="115"/>
      <c r="AW50" s="115"/>
      <c r="AX50" s="115"/>
      <c r="AY50" s="115"/>
      <c r="AZ50" s="115"/>
    </row>
    <row r="51" spans="1:52">
      <c r="A51" s="111" t="s">
        <v>3087</v>
      </c>
      <c r="B51" s="111">
        <v>4</v>
      </c>
      <c r="C51" s="112" t="str">
        <f t="shared" si="0"/>
        <v>MCC06</v>
      </c>
      <c r="D51" s="103" t="s">
        <v>3501</v>
      </c>
      <c r="E51" s="117">
        <v>45777</v>
      </c>
      <c r="F51" s="101" t="s">
        <v>2909</v>
      </c>
      <c r="G51" s="111" t="str">
        <f>VLOOKUP(C51,CODORL!Q:T,4,FALSE)</f>
        <v>Eladio Sicilia Maluenda</v>
      </c>
      <c r="H51" s="103" t="s">
        <v>713</v>
      </c>
      <c r="I51" s="103" t="s">
        <v>3502</v>
      </c>
      <c r="J51" s="101" t="s">
        <v>3503</v>
      </c>
      <c r="K51" s="101" t="s">
        <v>3504</v>
      </c>
      <c r="L51" s="103">
        <v>600</v>
      </c>
      <c r="M51" s="101">
        <v>0</v>
      </c>
      <c r="N51" s="346" t="s">
        <v>3505</v>
      </c>
      <c r="O51" s="345"/>
      <c r="P51" s="101"/>
      <c r="Q51" s="101"/>
      <c r="R51" s="101"/>
      <c r="S51" s="101"/>
      <c r="T51" s="101"/>
      <c r="U51" s="101"/>
      <c r="V51" s="101"/>
      <c r="W51" s="101"/>
      <c r="X51" s="101"/>
      <c r="Y51" s="114" t="str">
        <f t="shared" si="1"/>
        <v>BCOR-106,,,,,,,,,</v>
      </c>
      <c r="Z51" s="114" t="s">
        <v>3506</v>
      </c>
      <c r="AA51" s="114"/>
      <c r="AB51" s="114"/>
      <c r="AC51" s="114"/>
      <c r="AD51" s="114"/>
      <c r="AE51" s="114"/>
      <c r="AF51" s="114"/>
      <c r="AG51" s="114"/>
      <c r="AH51" s="114"/>
      <c r="AI51" s="114"/>
      <c r="AJ51" s="115"/>
      <c r="AK51" s="115">
        <f t="shared" si="4"/>
        <v>2</v>
      </c>
      <c r="AL51" s="115">
        <f t="shared" si="5"/>
        <v>1</v>
      </c>
      <c r="AM51" s="115"/>
      <c r="AN51" s="115"/>
      <c r="AO51" s="115"/>
      <c r="AP51" s="115"/>
      <c r="AQ51" s="115"/>
      <c r="AR51" s="115"/>
      <c r="AS51" s="115"/>
      <c r="AT51" s="115"/>
      <c r="AU51" s="115"/>
      <c r="AV51" s="115"/>
      <c r="AW51" s="115"/>
      <c r="AX51" s="115"/>
      <c r="AY51" s="115"/>
      <c r="AZ51" s="115"/>
    </row>
    <row r="52" spans="1:52">
      <c r="A52" s="111" t="s">
        <v>8</v>
      </c>
      <c r="B52" s="111">
        <v>4</v>
      </c>
      <c r="C52" s="112" t="str">
        <f t="shared" si="0"/>
        <v>MBM75</v>
      </c>
      <c r="D52" s="101" t="s">
        <v>3507</v>
      </c>
      <c r="E52" s="117">
        <v>45777</v>
      </c>
      <c r="F52" s="101" t="s">
        <v>3187</v>
      </c>
      <c r="G52" s="111" t="str">
        <f>VLOOKUP(C52,CODORL!Q:T,4,FALSE)</f>
        <v>Raimundo Gómez-Blasi</v>
      </c>
      <c r="H52" s="101" t="s">
        <v>3437</v>
      </c>
      <c r="I52" s="101" t="s">
        <v>3438</v>
      </c>
      <c r="J52" s="101" t="s">
        <v>3439</v>
      </c>
      <c r="K52" s="101" t="s">
        <v>3440</v>
      </c>
      <c r="L52" s="103">
        <v>600</v>
      </c>
      <c r="M52" s="101">
        <v>0</v>
      </c>
      <c r="N52" s="103" t="s">
        <v>3508</v>
      </c>
      <c r="O52" s="101"/>
      <c r="P52" s="103"/>
      <c r="Q52" s="101"/>
      <c r="R52" s="101"/>
      <c r="S52" s="101"/>
      <c r="T52" s="101"/>
      <c r="U52" s="101"/>
      <c r="V52" s="101"/>
      <c r="W52" s="101"/>
      <c r="X52" s="101"/>
      <c r="Y52" s="114" t="str">
        <f t="shared" si="1"/>
        <v>C202531310345895,,,,,,,,,</v>
      </c>
      <c r="Z52" s="114" t="s">
        <v>3509</v>
      </c>
      <c r="AA52" s="114"/>
      <c r="AB52" s="114"/>
      <c r="AC52" s="114"/>
      <c r="AD52" s="114"/>
      <c r="AE52" s="114"/>
      <c r="AF52" s="114"/>
      <c r="AG52" s="114"/>
      <c r="AH52" s="114"/>
      <c r="AI52" s="114"/>
      <c r="AJ52" s="115"/>
      <c r="AK52" s="115">
        <f t="shared" si="4"/>
        <v>2</v>
      </c>
      <c r="AL52" s="115">
        <f t="shared" si="5"/>
        <v>1</v>
      </c>
      <c r="AM52" s="115"/>
      <c r="AN52" s="115"/>
      <c r="AO52" s="115"/>
      <c r="AP52" s="115"/>
      <c r="AQ52" s="115"/>
      <c r="AR52" s="115"/>
      <c r="AS52" s="115"/>
      <c r="AT52" s="115"/>
      <c r="AU52" s="115"/>
      <c r="AV52" s="115"/>
      <c r="AW52" s="115"/>
      <c r="AX52" s="115"/>
      <c r="AY52" s="115"/>
      <c r="AZ52" s="115"/>
    </row>
    <row r="53" spans="1:52">
      <c r="A53" s="111" t="s">
        <v>8</v>
      </c>
      <c r="B53" s="111">
        <v>4</v>
      </c>
      <c r="C53" s="112" t="str">
        <f t="shared" si="0"/>
        <v>MBM11</v>
      </c>
      <c r="D53" s="101" t="s">
        <v>3510</v>
      </c>
      <c r="E53" s="117">
        <v>45777</v>
      </c>
      <c r="F53" s="101" t="s">
        <v>2880</v>
      </c>
      <c r="G53" s="111" t="str">
        <f>VLOOKUP(C53,CODORL!Q:T,4,FALSE)</f>
        <v>Antonio Rodríguez Rivero</v>
      </c>
      <c r="H53" s="101" t="s">
        <v>2990</v>
      </c>
      <c r="I53" s="101" t="s">
        <v>2881</v>
      </c>
      <c r="J53" s="101" t="s">
        <v>2882</v>
      </c>
      <c r="K53" s="101" t="s">
        <v>2883</v>
      </c>
      <c r="L53" s="103">
        <v>600</v>
      </c>
      <c r="M53" s="101">
        <v>200</v>
      </c>
      <c r="N53" s="103" t="s">
        <v>3511</v>
      </c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14" t="str">
        <f t="shared" si="1"/>
        <v>C202532511356291,,,,,,,,,</v>
      </c>
      <c r="Z53" s="114" t="s">
        <v>3512</v>
      </c>
      <c r="AA53" s="114"/>
      <c r="AB53" s="114"/>
      <c r="AC53" s="114"/>
      <c r="AD53" s="114"/>
      <c r="AE53" s="114"/>
      <c r="AF53" s="114"/>
      <c r="AG53" s="114"/>
      <c r="AH53" s="114"/>
      <c r="AI53" s="114"/>
      <c r="AJ53" s="115"/>
      <c r="AK53" s="115">
        <f t="shared" si="4"/>
        <v>2</v>
      </c>
      <c r="AL53" s="115">
        <f t="shared" si="5"/>
        <v>1</v>
      </c>
      <c r="AM53" s="115"/>
      <c r="AN53" s="115"/>
      <c r="AO53" s="115"/>
      <c r="AP53" s="115"/>
      <c r="AQ53" s="115"/>
      <c r="AR53" s="115"/>
      <c r="AS53" s="115"/>
      <c r="AT53" s="115"/>
      <c r="AU53" s="115"/>
      <c r="AV53" s="115"/>
      <c r="AW53" s="115"/>
      <c r="AX53" s="115"/>
      <c r="AY53" s="115"/>
      <c r="AZ53" s="115"/>
    </row>
    <row r="54" spans="1:52">
      <c r="A54" s="111" t="s">
        <v>8</v>
      </c>
      <c r="B54" s="111">
        <v>4</v>
      </c>
      <c r="C54" s="112" t="str">
        <f t="shared" si="0"/>
        <v>MBM03</v>
      </c>
      <c r="D54" s="101" t="s">
        <v>3513</v>
      </c>
      <c r="E54" s="117">
        <v>45777</v>
      </c>
      <c r="F54" s="103" t="s">
        <v>3514</v>
      </c>
      <c r="G54" s="111" t="str">
        <f>VLOOKUP(C54,CODORL!Q:T,4,FALSE)</f>
        <v>Alejandro Harguindey Antoli-Candela</v>
      </c>
      <c r="H54" s="103" t="s">
        <v>110</v>
      </c>
      <c r="I54" s="101" t="s">
        <v>3299</v>
      </c>
      <c r="J54" s="101" t="s">
        <v>3344</v>
      </c>
      <c r="K54" s="101" t="s">
        <v>2945</v>
      </c>
      <c r="L54" s="103">
        <v>1800</v>
      </c>
      <c r="M54" s="101">
        <v>0</v>
      </c>
      <c r="N54" s="103" t="s">
        <v>3515</v>
      </c>
      <c r="O54" s="103" t="s">
        <v>3516</v>
      </c>
      <c r="P54" s="348" t="s">
        <v>3517</v>
      </c>
      <c r="Q54" s="345"/>
      <c r="R54" s="345"/>
      <c r="S54" s="101"/>
      <c r="T54" s="101"/>
      <c r="U54" s="101"/>
      <c r="V54" s="101"/>
      <c r="W54" s="101"/>
      <c r="X54" s="101"/>
      <c r="Y54" s="114" t="str">
        <f t="shared" si="1"/>
        <v>C20253281052260,C202523152357478,C202541182722744,C202523152357478,C202541182722744,,,,,,,</v>
      </c>
      <c r="Z54" s="114" t="s">
        <v>3518</v>
      </c>
      <c r="AA54" s="114" t="s">
        <v>3519</v>
      </c>
      <c r="AB54" s="114" t="s">
        <v>3520</v>
      </c>
      <c r="AC54" s="114"/>
      <c r="AD54" s="114"/>
      <c r="AE54" s="114"/>
      <c r="AF54" s="114"/>
      <c r="AG54" s="114"/>
      <c r="AH54" s="114"/>
      <c r="AI54" s="114"/>
      <c r="AJ54" s="115"/>
      <c r="AK54" s="115">
        <f t="shared" si="4"/>
        <v>6</v>
      </c>
      <c r="AL54" s="115">
        <f t="shared" si="5"/>
        <v>3</v>
      </c>
      <c r="AM54" s="115"/>
      <c r="AN54" s="115"/>
      <c r="AO54" s="115"/>
      <c r="AP54" s="115"/>
      <c r="AQ54" s="115"/>
      <c r="AR54" s="115"/>
      <c r="AS54" s="115"/>
      <c r="AT54" s="115"/>
      <c r="AU54" s="115"/>
      <c r="AV54" s="115"/>
      <c r="AW54" s="115"/>
      <c r="AX54" s="115"/>
      <c r="AY54" s="115"/>
      <c r="AZ54" s="115"/>
    </row>
    <row r="55" spans="1:52">
      <c r="A55" s="111" t="s">
        <v>8</v>
      </c>
      <c r="B55" s="111">
        <v>4</v>
      </c>
      <c r="C55" s="112" t="str">
        <f t="shared" si="0"/>
        <v>MBM40</v>
      </c>
      <c r="D55" s="101" t="s">
        <v>3521</v>
      </c>
      <c r="E55" s="117">
        <v>45777</v>
      </c>
      <c r="F55" s="101" t="s">
        <v>3193</v>
      </c>
      <c r="G55" s="111" t="str">
        <f>VLOOKUP(C55,CODORL!Q:T,4,FALSE)</f>
        <v>Javier Gavilanes Plasencia</v>
      </c>
      <c r="H55" s="101" t="s">
        <v>1236</v>
      </c>
      <c r="I55" s="101" t="s">
        <v>3391</v>
      </c>
      <c r="J55" s="101" t="s">
        <v>3392</v>
      </c>
      <c r="K55" s="101" t="s">
        <v>3393</v>
      </c>
      <c r="L55" s="103">
        <v>600</v>
      </c>
      <c r="M55" s="101">
        <v>0</v>
      </c>
      <c r="N55" s="348" t="s">
        <v>3522</v>
      </c>
      <c r="O55" s="345"/>
      <c r="P55" s="345"/>
      <c r="Q55" s="101"/>
      <c r="R55" s="101"/>
      <c r="S55" s="101"/>
      <c r="T55" s="101"/>
      <c r="U55" s="101"/>
      <c r="V55" s="101"/>
      <c r="W55" s="101"/>
      <c r="X55" s="101"/>
      <c r="Y55" s="114" t="str">
        <f t="shared" si="1"/>
        <v>C202542112951685,,,,,,,,,</v>
      </c>
      <c r="Z55" s="114" t="s">
        <v>3523</v>
      </c>
      <c r="AA55" s="114"/>
      <c r="AB55" s="114"/>
      <c r="AC55" s="114"/>
      <c r="AD55" s="114"/>
      <c r="AE55" s="114"/>
      <c r="AF55" s="114"/>
      <c r="AG55" s="114"/>
      <c r="AH55" s="114"/>
      <c r="AI55" s="114"/>
      <c r="AJ55" s="115"/>
      <c r="AK55" s="115">
        <f t="shared" si="4"/>
        <v>2</v>
      </c>
      <c r="AL55" s="115">
        <f t="shared" si="5"/>
        <v>1</v>
      </c>
      <c r="AM55" s="115"/>
      <c r="AN55" s="115"/>
      <c r="AO55" s="115"/>
      <c r="AP55" s="115"/>
      <c r="AQ55" s="115"/>
      <c r="AR55" s="115"/>
      <c r="AS55" s="115"/>
      <c r="AT55" s="115"/>
      <c r="AU55" s="115"/>
      <c r="AV55" s="115"/>
      <c r="AW55" s="115"/>
      <c r="AX55" s="115"/>
      <c r="AY55" s="115"/>
      <c r="AZ55" s="115"/>
    </row>
    <row r="56" spans="1:52">
      <c r="A56" s="111" t="s">
        <v>14</v>
      </c>
      <c r="B56" s="111">
        <v>4</v>
      </c>
      <c r="C56" s="112" t="str">
        <f t="shared" si="0"/>
        <v>RFV15</v>
      </c>
      <c r="D56" s="101" t="s">
        <v>3524</v>
      </c>
      <c r="E56" s="117">
        <v>45777</v>
      </c>
      <c r="F56" s="101" t="s">
        <v>3166</v>
      </c>
      <c r="G56" s="111" t="str">
        <f>VLOOKUP(C56,CODORL!Q:T,4,FALSE)</f>
        <v>Jean Franco Intraprendente Martini</v>
      </c>
      <c r="H56" s="101" t="s">
        <v>3027</v>
      </c>
      <c r="I56" s="101" t="s">
        <v>3028</v>
      </c>
      <c r="J56" s="101" t="s">
        <v>3399</v>
      </c>
      <c r="K56" s="101" t="s">
        <v>3294</v>
      </c>
      <c r="L56" s="103">
        <v>300</v>
      </c>
      <c r="M56" s="101">
        <v>100</v>
      </c>
      <c r="N56" s="348" t="s">
        <v>3402</v>
      </c>
      <c r="O56" s="345"/>
      <c r="P56" s="345"/>
      <c r="Q56" s="101"/>
      <c r="R56" s="101"/>
      <c r="S56" s="101"/>
      <c r="T56" s="101"/>
      <c r="U56" s="101"/>
      <c r="V56" s="101"/>
      <c r="W56" s="101"/>
      <c r="X56" s="101"/>
      <c r="Y56" s="114" t="str">
        <f t="shared" si="1"/>
        <v>C202531712235115,,,,,,,,,</v>
      </c>
      <c r="Z56" s="114" t="s">
        <v>3405</v>
      </c>
      <c r="AA56" s="114"/>
      <c r="AB56" s="114"/>
      <c r="AC56" s="114"/>
      <c r="AD56" s="114"/>
      <c r="AE56" s="114"/>
      <c r="AF56" s="114"/>
      <c r="AG56" s="114"/>
      <c r="AH56" s="114"/>
      <c r="AI56" s="114"/>
      <c r="AJ56" s="115"/>
      <c r="AK56" s="115">
        <f t="shared" si="4"/>
        <v>1</v>
      </c>
      <c r="AL56" s="115">
        <f t="shared" si="5"/>
        <v>1</v>
      </c>
      <c r="AM56" s="115"/>
      <c r="AN56" s="115"/>
      <c r="AO56" s="115"/>
      <c r="AP56" s="115"/>
      <c r="AQ56" s="115"/>
      <c r="AR56" s="115"/>
      <c r="AS56" s="115"/>
      <c r="AT56" s="115"/>
      <c r="AU56" s="115"/>
      <c r="AV56" s="115"/>
      <c r="AW56" s="115"/>
      <c r="AX56" s="115"/>
      <c r="AY56" s="115"/>
      <c r="AZ56" s="115"/>
    </row>
    <row r="57" spans="1:52">
      <c r="A57" s="111" t="s">
        <v>2784</v>
      </c>
      <c r="B57" s="111">
        <v>4</v>
      </c>
      <c r="C57" s="112" t="str">
        <f t="shared" si="0"/>
        <v>LRM246</v>
      </c>
      <c r="D57" s="101" t="s">
        <v>3525</v>
      </c>
      <c r="E57" s="117">
        <v>45777</v>
      </c>
      <c r="F57" s="101" t="s">
        <v>2972</v>
      </c>
      <c r="G57" s="111" t="str">
        <f>VLOOKUP(C57,CODORL!Q:T,4,FALSE)</f>
        <v>Maria Del Rocío Lobato Pérez</v>
      </c>
      <c r="H57" s="101" t="s">
        <v>3046</v>
      </c>
      <c r="I57" s="101" t="s">
        <v>3047</v>
      </c>
      <c r="J57" s="101" t="s">
        <v>3048</v>
      </c>
      <c r="K57" s="101" t="s">
        <v>3049</v>
      </c>
      <c r="L57" s="103">
        <v>300</v>
      </c>
      <c r="M57" s="101">
        <v>0</v>
      </c>
      <c r="N57" s="346" t="s">
        <v>3526</v>
      </c>
      <c r="O57" s="345"/>
      <c r="P57" s="345"/>
      <c r="Q57" s="101"/>
      <c r="R57" s="101"/>
      <c r="S57" s="101"/>
      <c r="T57" s="101"/>
      <c r="U57" s="101"/>
      <c r="V57" s="189"/>
      <c r="W57" s="101"/>
      <c r="X57" s="101"/>
      <c r="Y57" s="114" t="str">
        <f t="shared" si="1"/>
        <v>C2025411226184,,,,,,,,,</v>
      </c>
      <c r="Z57" s="114" t="s">
        <v>3527</v>
      </c>
      <c r="AA57" s="114"/>
      <c r="AB57" s="114"/>
      <c r="AC57" s="114"/>
      <c r="AD57" s="114"/>
      <c r="AE57" s="114"/>
      <c r="AF57" s="114"/>
      <c r="AG57" s="114"/>
      <c r="AH57" s="114"/>
      <c r="AI57" s="114"/>
      <c r="AJ57" s="115"/>
      <c r="AK57" s="115">
        <f t="shared" si="4"/>
        <v>1</v>
      </c>
      <c r="AL57" s="115">
        <f t="shared" si="5"/>
        <v>1</v>
      </c>
      <c r="AM57" s="115"/>
      <c r="AN57" s="115"/>
      <c r="AO57" s="115"/>
      <c r="AP57" s="115"/>
      <c r="AQ57" s="115"/>
      <c r="AR57" s="115"/>
      <c r="AS57" s="115"/>
      <c r="AT57" s="115"/>
      <c r="AU57" s="115"/>
      <c r="AV57" s="115"/>
      <c r="AW57" s="115"/>
      <c r="AX57" s="115"/>
      <c r="AY57" s="115"/>
      <c r="AZ57" s="115"/>
    </row>
    <row r="58" spans="1:52">
      <c r="A58" s="111" t="s">
        <v>251</v>
      </c>
      <c r="B58" s="111">
        <v>4</v>
      </c>
      <c r="C58" s="112" t="str">
        <f t="shared" si="0"/>
        <v>LAA09</v>
      </c>
      <c r="D58" s="101" t="s">
        <v>3528</v>
      </c>
      <c r="E58" s="117">
        <v>45777</v>
      </c>
      <c r="F58" s="103" t="s">
        <v>3529</v>
      </c>
      <c r="G58" s="111" t="str">
        <f>VLOOKUP(C58,CODORL!Q:T,4,FALSE)</f>
        <v>Enrique Gómez Aldaz</v>
      </c>
      <c r="H58" s="103" t="s">
        <v>764</v>
      </c>
      <c r="I58" s="103" t="s">
        <v>3133</v>
      </c>
      <c r="J58" s="103" t="s">
        <v>3530</v>
      </c>
      <c r="K58" s="103" t="s">
        <v>3135</v>
      </c>
      <c r="L58" s="103">
        <v>600</v>
      </c>
      <c r="M58" s="101"/>
      <c r="N58" s="348" t="s">
        <v>3531</v>
      </c>
      <c r="O58" s="345"/>
      <c r="P58" s="345"/>
      <c r="Q58" s="101"/>
      <c r="R58" s="101"/>
      <c r="S58" s="101"/>
      <c r="T58" s="101"/>
      <c r="U58" s="101"/>
      <c r="V58" s="101"/>
      <c r="W58" s="101"/>
      <c r="X58" s="101"/>
      <c r="Y58" s="114" t="str">
        <f t="shared" si="1"/>
        <v>SEVE-385,,,,,,,,,</v>
      </c>
      <c r="Z58" s="114" t="s">
        <v>3532</v>
      </c>
      <c r="AA58" s="114"/>
      <c r="AB58" s="114"/>
      <c r="AC58" s="114"/>
      <c r="AD58" s="114"/>
      <c r="AE58" s="114"/>
      <c r="AF58" s="114"/>
      <c r="AG58" s="114"/>
      <c r="AH58" s="114"/>
      <c r="AI58" s="114"/>
      <c r="AJ58" s="115"/>
      <c r="AK58" s="115">
        <f t="shared" si="4"/>
        <v>2</v>
      </c>
      <c r="AL58" s="115">
        <f t="shared" si="5"/>
        <v>1</v>
      </c>
      <c r="AM58" s="115"/>
      <c r="AN58" s="115"/>
      <c r="AO58" s="115"/>
      <c r="AP58" s="115"/>
      <c r="AQ58" s="115"/>
      <c r="AR58" s="115"/>
      <c r="AS58" s="115"/>
      <c r="AT58" s="115"/>
      <c r="AU58" s="115"/>
      <c r="AV58" s="115"/>
      <c r="AW58" s="115"/>
      <c r="AX58" s="115"/>
      <c r="AY58" s="115"/>
      <c r="AZ58" s="115"/>
    </row>
    <row r="59" spans="1:52">
      <c r="A59" s="111" t="s">
        <v>8</v>
      </c>
      <c r="B59" s="111">
        <v>4</v>
      </c>
      <c r="C59" s="112" t="str">
        <f t="shared" si="0"/>
        <v>MBM114</v>
      </c>
      <c r="D59" s="101" t="s">
        <v>3533</v>
      </c>
      <c r="E59" s="117">
        <v>45777</v>
      </c>
      <c r="F59" s="103" t="s">
        <v>2880</v>
      </c>
      <c r="G59" s="111" t="str">
        <f>VLOOKUP(C59,CODORL!Q:T,4,FALSE)</f>
        <v>Esther García López</v>
      </c>
      <c r="H59" s="103" t="s">
        <v>806</v>
      </c>
      <c r="I59" s="101" t="s">
        <v>2937</v>
      </c>
      <c r="J59" s="103" t="s">
        <v>3534</v>
      </c>
      <c r="K59" s="103" t="s">
        <v>3189</v>
      </c>
      <c r="L59" s="103">
        <v>600</v>
      </c>
      <c r="M59" s="101"/>
      <c r="N59" s="348" t="s">
        <v>3535</v>
      </c>
      <c r="O59" s="345"/>
      <c r="P59" s="345"/>
      <c r="Q59" s="101"/>
      <c r="R59" s="101"/>
      <c r="S59" s="101"/>
      <c r="T59" s="101"/>
      <c r="U59" s="101"/>
      <c r="V59" s="101"/>
      <c r="W59" s="101"/>
      <c r="X59" s="101"/>
      <c r="Y59" s="114" t="str">
        <f t="shared" si="1"/>
        <v>C2025312121831214,,,,,,,,,</v>
      </c>
      <c r="Z59" s="114" t="s">
        <v>3536</v>
      </c>
      <c r="AA59" s="114"/>
      <c r="AB59" s="114"/>
      <c r="AC59" s="114"/>
      <c r="AD59" s="114"/>
      <c r="AE59" s="114"/>
      <c r="AF59" s="114"/>
      <c r="AG59" s="114"/>
      <c r="AH59" s="114"/>
      <c r="AI59" s="114"/>
      <c r="AJ59" s="115"/>
      <c r="AK59" s="115">
        <f t="shared" si="4"/>
        <v>2</v>
      </c>
      <c r="AL59" s="115">
        <f t="shared" si="5"/>
        <v>1</v>
      </c>
      <c r="AM59" s="115"/>
      <c r="AN59" s="115"/>
      <c r="AO59" s="115"/>
      <c r="AP59" s="115"/>
      <c r="AQ59" s="115"/>
      <c r="AR59" s="115"/>
      <c r="AS59" s="115"/>
      <c r="AT59" s="115"/>
      <c r="AU59" s="115"/>
      <c r="AV59" s="115"/>
      <c r="AW59" s="115"/>
      <c r="AX59" s="115"/>
      <c r="AY59" s="115"/>
      <c r="AZ59" s="115"/>
    </row>
    <row r="60" spans="1:52">
      <c r="A60" s="111" t="s">
        <v>3087</v>
      </c>
      <c r="B60" s="111">
        <v>4</v>
      </c>
      <c r="C60" s="112" t="str">
        <f t="shared" si="0"/>
        <v>MCC07</v>
      </c>
      <c r="D60" s="101" t="s">
        <v>3537</v>
      </c>
      <c r="E60" s="117">
        <v>45777</v>
      </c>
      <c r="F60" s="103" t="s">
        <v>3538</v>
      </c>
      <c r="G60" s="111" t="str">
        <f>VLOOKUP(C60,CODORL!Q:T,4,FALSE)</f>
        <v>Enric Cisa Lluis</v>
      </c>
      <c r="H60" s="103" t="s">
        <v>752</v>
      </c>
      <c r="I60" s="101" t="s">
        <v>3099</v>
      </c>
      <c r="J60" s="101" t="s">
        <v>3539</v>
      </c>
      <c r="K60" s="101" t="s">
        <v>3540</v>
      </c>
      <c r="L60" s="103">
        <v>1200</v>
      </c>
      <c r="M60" s="101"/>
      <c r="N60" s="103" t="s">
        <v>3541</v>
      </c>
      <c r="O60" s="348" t="s">
        <v>3542</v>
      </c>
      <c r="P60" s="345"/>
      <c r="Q60" s="345"/>
      <c r="R60" s="101"/>
      <c r="S60" s="101"/>
      <c r="T60" s="101"/>
      <c r="U60" s="101"/>
      <c r="V60" s="101"/>
      <c r="W60" s="101"/>
      <c r="X60" s="101"/>
      <c r="Y60" s="114" t="str">
        <f t="shared" si="1"/>
        <v>C20252189810642,C202532612250205,C202532612250205,,,,,,,,</v>
      </c>
      <c r="Z60" s="114" t="s">
        <v>3543</v>
      </c>
      <c r="AA60" s="114" t="s">
        <v>3544</v>
      </c>
      <c r="AB60" s="114"/>
      <c r="AC60" s="114"/>
      <c r="AD60" s="114"/>
      <c r="AE60" s="114"/>
      <c r="AF60" s="114"/>
      <c r="AG60" s="114"/>
      <c r="AH60" s="114"/>
      <c r="AI60" s="114"/>
      <c r="AJ60" s="115"/>
      <c r="AK60" s="115">
        <f t="shared" si="4"/>
        <v>4</v>
      </c>
      <c r="AL60" s="115">
        <f t="shared" si="5"/>
        <v>2</v>
      </c>
      <c r="AM60" s="115"/>
      <c r="AN60" s="115"/>
      <c r="AO60" s="115"/>
      <c r="AP60" s="115"/>
      <c r="AQ60" s="115"/>
      <c r="AR60" s="115"/>
      <c r="AS60" s="115"/>
      <c r="AT60" s="115"/>
      <c r="AU60" s="115"/>
      <c r="AV60" s="115"/>
      <c r="AW60" s="115"/>
      <c r="AX60" s="115"/>
      <c r="AY60" s="115"/>
      <c r="AZ60" s="115"/>
    </row>
    <row r="61" spans="1:52">
      <c r="A61" s="111" t="s">
        <v>8</v>
      </c>
      <c r="B61" s="111">
        <v>4</v>
      </c>
      <c r="C61" s="112" t="str">
        <f t="shared" si="0"/>
        <v>MBM20</v>
      </c>
      <c r="D61" s="103" t="s">
        <v>3545</v>
      </c>
      <c r="E61" s="117">
        <v>45777</v>
      </c>
      <c r="F61" s="103" t="s">
        <v>3193</v>
      </c>
      <c r="G61" s="111" t="str">
        <f>VLOOKUP(C61,CODORL!Q:T,4,FALSE)</f>
        <v>Eviatar Friedlander</v>
      </c>
      <c r="H61" s="103" t="s">
        <v>842</v>
      </c>
      <c r="I61" s="103" t="s">
        <v>3234</v>
      </c>
      <c r="J61" s="103" t="s">
        <v>3546</v>
      </c>
      <c r="K61" s="103" t="s">
        <v>3236</v>
      </c>
      <c r="L61" s="103">
        <v>300</v>
      </c>
      <c r="M61" s="101"/>
      <c r="N61" s="348" t="s">
        <v>3547</v>
      </c>
      <c r="O61" s="345"/>
      <c r="P61" s="345"/>
      <c r="Q61" s="101"/>
      <c r="R61" s="101"/>
      <c r="S61" s="101"/>
      <c r="T61" s="101"/>
      <c r="U61" s="101"/>
      <c r="V61" s="101"/>
      <c r="W61" s="101"/>
      <c r="X61" s="101"/>
      <c r="Y61" s="114" t="str">
        <f t="shared" si="1"/>
        <v>C202535104543545,,,,,,,,,</v>
      </c>
      <c r="Z61" s="114" t="s">
        <v>3548</v>
      </c>
      <c r="AA61" s="114"/>
      <c r="AB61" s="114"/>
      <c r="AC61" s="114"/>
      <c r="AD61" s="114"/>
      <c r="AE61" s="114"/>
      <c r="AF61" s="114"/>
      <c r="AG61" s="114"/>
      <c r="AH61" s="114"/>
      <c r="AI61" s="114"/>
      <c r="AJ61" s="115"/>
      <c r="AK61" s="115">
        <f t="shared" si="4"/>
        <v>1</v>
      </c>
      <c r="AL61" s="115">
        <f t="shared" si="5"/>
        <v>1</v>
      </c>
      <c r="AM61" s="115"/>
      <c r="AN61" s="115"/>
      <c r="AO61" s="115"/>
      <c r="AP61" s="115"/>
      <c r="AQ61" s="115"/>
      <c r="AR61" s="115"/>
      <c r="AS61" s="115"/>
      <c r="AT61" s="115"/>
      <c r="AU61" s="115"/>
      <c r="AV61" s="115"/>
      <c r="AW61" s="115"/>
      <c r="AX61" s="115"/>
      <c r="AY61" s="115"/>
      <c r="AZ61" s="115"/>
    </row>
    <row r="62" spans="1:52">
      <c r="A62" s="111" t="s">
        <v>14</v>
      </c>
      <c r="B62" s="111">
        <v>4</v>
      </c>
      <c r="C62" s="112" t="str">
        <f t="shared" si="0"/>
        <v>RFV33</v>
      </c>
      <c r="D62" s="101" t="s">
        <v>3549</v>
      </c>
      <c r="E62" s="117">
        <v>45777</v>
      </c>
      <c r="F62" s="103" t="s">
        <v>2921</v>
      </c>
      <c r="G62" s="111" t="str">
        <f>VLOOKUP(C62,CODORL!Q:T,4,FALSE)</f>
        <v>Paula Martínez-Ruiz De Apocada</v>
      </c>
      <c r="H62" s="103" t="s">
        <v>2456</v>
      </c>
      <c r="I62" s="103" t="s">
        <v>2922</v>
      </c>
      <c r="J62" s="103" t="s">
        <v>2923</v>
      </c>
      <c r="K62" s="103" t="s">
        <v>2924</v>
      </c>
      <c r="L62" s="103">
        <v>300</v>
      </c>
      <c r="M62" s="101"/>
      <c r="N62" s="348" t="s">
        <v>3550</v>
      </c>
      <c r="O62" s="345"/>
      <c r="P62" s="345"/>
      <c r="Q62" s="101"/>
      <c r="R62" s="101"/>
      <c r="S62" s="101"/>
      <c r="T62" s="101"/>
      <c r="U62" s="101"/>
      <c r="V62" s="101"/>
      <c r="W62" s="101"/>
      <c r="X62" s="101"/>
      <c r="Y62" s="114" t="str">
        <f t="shared" si="1"/>
        <v>C2025320162550143,,,,,,,,,</v>
      </c>
      <c r="Z62" s="114" t="s">
        <v>3551</v>
      </c>
      <c r="AA62" s="114"/>
      <c r="AB62" s="114"/>
      <c r="AC62" s="114"/>
      <c r="AD62" s="114"/>
      <c r="AE62" s="114"/>
      <c r="AF62" s="114"/>
      <c r="AG62" s="114"/>
      <c r="AH62" s="114"/>
      <c r="AI62" s="114"/>
      <c r="AJ62" s="115"/>
      <c r="AK62" s="115">
        <f t="shared" si="4"/>
        <v>1</v>
      </c>
      <c r="AL62" s="115">
        <f t="shared" si="5"/>
        <v>1</v>
      </c>
      <c r="AM62" s="115"/>
      <c r="AN62" s="115"/>
      <c r="AO62" s="115"/>
      <c r="AP62" s="115"/>
      <c r="AQ62" s="115"/>
      <c r="AR62" s="115"/>
      <c r="AS62" s="115"/>
      <c r="AT62" s="115"/>
      <c r="AU62" s="115"/>
      <c r="AV62" s="115"/>
      <c r="AW62" s="115"/>
      <c r="AX62" s="115"/>
      <c r="AY62" s="115"/>
      <c r="AZ62" s="115"/>
    </row>
    <row r="63" spans="1:52">
      <c r="A63" s="111" t="s">
        <v>8</v>
      </c>
      <c r="B63" s="111">
        <v>4</v>
      </c>
      <c r="C63" s="112" t="str">
        <f t="shared" si="0"/>
        <v>MBM60</v>
      </c>
      <c r="D63" s="101" t="s">
        <v>3552</v>
      </c>
      <c r="E63" s="117">
        <v>45777</v>
      </c>
      <c r="F63" s="103" t="s">
        <v>2880</v>
      </c>
      <c r="G63" s="111" t="str">
        <f>VLOOKUP(C63,CODORL!Q:T,4,FALSE)</f>
        <v>juan Ignacio Riestra Ayora</v>
      </c>
      <c r="H63" s="103" t="s">
        <v>3254</v>
      </c>
      <c r="I63" s="103" t="s">
        <v>3255</v>
      </c>
      <c r="J63" s="103" t="s">
        <v>3553</v>
      </c>
      <c r="K63" s="103" t="s">
        <v>3257</v>
      </c>
      <c r="L63" s="103">
        <v>600</v>
      </c>
      <c r="M63" s="101">
        <v>0</v>
      </c>
      <c r="N63" s="348" t="s">
        <v>3554</v>
      </c>
      <c r="O63" s="345"/>
      <c r="P63" s="345"/>
      <c r="Q63" s="101"/>
      <c r="R63" s="101"/>
      <c r="S63" s="101"/>
      <c r="T63" s="101"/>
      <c r="U63" s="101"/>
      <c r="V63" s="101"/>
      <c r="W63" s="101"/>
      <c r="X63" s="101"/>
      <c r="Y63" s="114" t="str">
        <f t="shared" si="1"/>
        <v>C202533193254143,,,,,,,,,</v>
      </c>
      <c r="Z63" s="114" t="s">
        <v>3555</v>
      </c>
      <c r="AA63" s="114"/>
      <c r="AB63" s="114"/>
      <c r="AC63" s="114"/>
      <c r="AD63" s="114"/>
      <c r="AE63" s="114"/>
      <c r="AF63" s="114"/>
      <c r="AG63" s="114"/>
      <c r="AH63" s="114"/>
      <c r="AI63" s="114"/>
      <c r="AJ63" s="115"/>
      <c r="AK63" s="115">
        <f t="shared" si="4"/>
        <v>2</v>
      </c>
      <c r="AL63" s="115">
        <f t="shared" si="5"/>
        <v>1</v>
      </c>
      <c r="AM63" s="115"/>
      <c r="AN63" s="115"/>
      <c r="AO63" s="115"/>
      <c r="AP63" s="115"/>
      <c r="AQ63" s="115"/>
      <c r="AR63" s="115"/>
      <c r="AS63" s="115"/>
      <c r="AT63" s="115"/>
      <c r="AU63" s="115"/>
      <c r="AV63" s="115"/>
      <c r="AW63" s="115"/>
      <c r="AX63" s="115"/>
      <c r="AY63" s="115"/>
      <c r="AZ63" s="115"/>
    </row>
    <row r="64" spans="1:52">
      <c r="A64" s="111" t="s">
        <v>14</v>
      </c>
      <c r="B64" s="111">
        <v>4</v>
      </c>
      <c r="C64" s="112" t="str">
        <f t="shared" si="0"/>
        <v>RFV11</v>
      </c>
      <c r="D64" s="101" t="s">
        <v>3556</v>
      </c>
      <c r="E64" s="117">
        <v>45777</v>
      </c>
      <c r="F64" s="101" t="s">
        <v>3166</v>
      </c>
      <c r="G64" s="111" t="str">
        <f>VLOOKUP(C64,CODORL!Q:T,4,FALSE)</f>
        <v>José Ramiro de León Lima</v>
      </c>
      <c r="H64" s="103" t="s">
        <v>3557</v>
      </c>
      <c r="I64" s="103" t="s">
        <v>3168</v>
      </c>
      <c r="J64" s="103" t="s">
        <v>3558</v>
      </c>
      <c r="K64" s="103" t="s">
        <v>3170</v>
      </c>
      <c r="L64" s="103">
        <v>1500</v>
      </c>
      <c r="M64" s="101">
        <v>100</v>
      </c>
      <c r="N64" s="103" t="s">
        <v>3559</v>
      </c>
      <c r="O64" s="103" t="s">
        <v>3560</v>
      </c>
      <c r="P64" s="101" t="s">
        <v>3561</v>
      </c>
      <c r="Q64" s="101"/>
      <c r="R64" s="101"/>
      <c r="S64" s="101"/>
      <c r="T64" s="101"/>
      <c r="U64" s="101"/>
      <c r="V64" s="101"/>
      <c r="W64" s="101"/>
      <c r="X64" s="101"/>
      <c r="Y64" s="114" t="str">
        <f t="shared" si="1"/>
        <v>C20254715111937,C2025325122735477,C202518103353476,C2025325122735477,C202518103353476,,,,,,,</v>
      </c>
      <c r="Z64" s="114" t="s">
        <v>3562</v>
      </c>
      <c r="AA64" s="114" t="s">
        <v>3563</v>
      </c>
      <c r="AB64" s="114" t="s">
        <v>3564</v>
      </c>
      <c r="AC64" s="114"/>
      <c r="AD64" s="114"/>
      <c r="AE64" s="114"/>
      <c r="AF64" s="114"/>
      <c r="AG64" s="114"/>
      <c r="AH64" s="114"/>
      <c r="AI64" s="114"/>
      <c r="AJ64" s="115"/>
      <c r="AK64" s="115">
        <f t="shared" si="4"/>
        <v>5</v>
      </c>
      <c r="AL64" s="115">
        <f t="shared" si="5"/>
        <v>3</v>
      </c>
      <c r="AM64" s="115"/>
      <c r="AN64" s="115"/>
      <c r="AO64" s="115"/>
      <c r="AP64" s="115"/>
      <c r="AQ64" s="115"/>
      <c r="AR64" s="115"/>
      <c r="AS64" s="115"/>
      <c r="AT64" s="115"/>
      <c r="AU64" s="115"/>
      <c r="AV64" s="115"/>
      <c r="AW64" s="115"/>
      <c r="AX64" s="115"/>
      <c r="AY64" s="115"/>
      <c r="AZ64" s="115"/>
    </row>
    <row r="65" spans="1:52">
      <c r="A65" s="111" t="s">
        <v>3087</v>
      </c>
      <c r="B65" s="111">
        <v>4</v>
      </c>
      <c r="C65" s="112" t="str">
        <f t="shared" si="0"/>
        <v>MCC27</v>
      </c>
      <c r="D65" s="103" t="s">
        <v>3565</v>
      </c>
      <c r="E65" s="117">
        <v>45777</v>
      </c>
      <c r="F65" s="101" t="s">
        <v>3566</v>
      </c>
      <c r="G65" s="111" t="str">
        <f>VLOOKUP(C65,CODORL!Q:T,4,FALSE)</f>
        <v>Miquel Guirao Cano</v>
      </c>
      <c r="H65" s="103" t="s">
        <v>2284</v>
      </c>
      <c r="I65" s="103" t="s">
        <v>3567</v>
      </c>
      <c r="J65" s="103" t="s">
        <v>3568</v>
      </c>
      <c r="K65" s="103" t="s">
        <v>3569</v>
      </c>
      <c r="L65" s="103">
        <v>600</v>
      </c>
      <c r="M65" s="101"/>
      <c r="N65" s="346" t="s">
        <v>3570</v>
      </c>
      <c r="O65" s="345"/>
      <c r="P65" s="345"/>
      <c r="Q65" s="101"/>
      <c r="R65" s="101"/>
      <c r="S65" s="101"/>
      <c r="T65" s="101"/>
      <c r="U65" s="101"/>
      <c r="V65" s="101"/>
      <c r="W65" s="101"/>
      <c r="X65" s="101"/>
      <c r="Y65" s="114" t="str">
        <f t="shared" si="1"/>
        <v>BVI-371,,,,,,,,,</v>
      </c>
      <c r="Z65" s="114" t="s">
        <v>3571</v>
      </c>
      <c r="AA65" s="114"/>
      <c r="AB65" s="114"/>
      <c r="AC65" s="114"/>
      <c r="AD65" s="114"/>
      <c r="AE65" s="114"/>
      <c r="AF65" s="114"/>
      <c r="AG65" s="114"/>
      <c r="AH65" s="114"/>
      <c r="AI65" s="114"/>
      <c r="AJ65" s="115"/>
      <c r="AK65" s="115">
        <f t="shared" si="4"/>
        <v>2</v>
      </c>
      <c r="AL65" s="115">
        <f t="shared" si="5"/>
        <v>1</v>
      </c>
      <c r="AM65" s="115"/>
      <c r="AN65" s="115"/>
      <c r="AO65" s="115"/>
      <c r="AP65" s="115"/>
      <c r="AQ65" s="115"/>
      <c r="AR65" s="115"/>
      <c r="AS65" s="115"/>
      <c r="AT65" s="115"/>
      <c r="AU65" s="115"/>
      <c r="AV65" s="115"/>
      <c r="AW65" s="115"/>
      <c r="AX65" s="115"/>
      <c r="AY65" s="115"/>
      <c r="AZ65" s="115"/>
    </row>
    <row r="66" spans="1:52">
      <c r="A66" s="111" t="s">
        <v>47</v>
      </c>
      <c r="B66" s="111">
        <v>4</v>
      </c>
      <c r="C66" s="112" t="str">
        <f t="shared" si="0"/>
        <v>ISL14</v>
      </c>
      <c r="D66" s="103" t="s">
        <v>3572</v>
      </c>
      <c r="E66" s="117">
        <v>45777</v>
      </c>
      <c r="F66" s="101" t="s">
        <v>2873</v>
      </c>
      <c r="G66" s="111" t="str">
        <f>VLOOKUP(C66,CODORL!Q:T,4,FALSE)</f>
        <v>Carlos Velásquez Fermín</v>
      </c>
      <c r="H66" s="103" t="s">
        <v>3573</v>
      </c>
      <c r="I66" s="103" t="s">
        <v>3574</v>
      </c>
      <c r="J66" s="103" t="s">
        <v>3575</v>
      </c>
      <c r="K66" s="103" t="s">
        <v>3576</v>
      </c>
      <c r="L66" s="103">
        <v>1500</v>
      </c>
      <c r="M66" s="101"/>
      <c r="N66" s="101" t="s">
        <v>3577</v>
      </c>
      <c r="O66" s="101" t="s">
        <v>3578</v>
      </c>
      <c r="P66" s="101" t="s">
        <v>3579</v>
      </c>
      <c r="Q66" s="101"/>
      <c r="R66" s="101"/>
      <c r="S66" s="101"/>
      <c r="T66" s="101"/>
      <c r="U66" s="101"/>
      <c r="V66" s="101"/>
      <c r="W66" s="101"/>
      <c r="X66" s="101"/>
      <c r="Y66" s="114" t="str">
        <f t="shared" si="1"/>
        <v>C202522016428508,BNI-222,C2024724105524682,,,,,,,</v>
      </c>
      <c r="Z66" s="114" t="s">
        <v>3580</v>
      </c>
      <c r="AA66" s="114" t="s">
        <v>3581</v>
      </c>
      <c r="AB66" s="114" t="s">
        <v>3582</v>
      </c>
      <c r="AC66" s="114"/>
      <c r="AD66" s="114"/>
      <c r="AE66" s="114"/>
      <c r="AF66" s="114"/>
      <c r="AG66" s="114"/>
      <c r="AH66" s="114"/>
      <c r="AI66" s="114"/>
      <c r="AJ66" s="115"/>
      <c r="AK66" s="115">
        <f t="shared" si="4"/>
        <v>5</v>
      </c>
      <c r="AL66" s="115">
        <f t="shared" si="5"/>
        <v>3</v>
      </c>
      <c r="AM66" s="115"/>
      <c r="AN66" s="115"/>
      <c r="AO66" s="115"/>
      <c r="AP66" s="115"/>
      <c r="AQ66" s="115"/>
      <c r="AR66" s="115"/>
      <c r="AS66" s="115"/>
      <c r="AT66" s="115"/>
      <c r="AU66" s="115"/>
      <c r="AV66" s="115"/>
      <c r="AW66" s="115"/>
      <c r="AX66" s="115"/>
      <c r="AY66" s="115"/>
      <c r="AZ66" s="115"/>
    </row>
    <row r="67" spans="1:52">
      <c r="A67" s="111" t="s">
        <v>47</v>
      </c>
      <c r="B67" s="111">
        <v>4</v>
      </c>
      <c r="C67" s="112" t="str">
        <f t="shared" si="0"/>
        <v>ISL136</v>
      </c>
      <c r="D67" s="101" t="s">
        <v>3583</v>
      </c>
      <c r="E67" s="117">
        <v>45777</v>
      </c>
      <c r="F67" s="101" t="s">
        <v>2873</v>
      </c>
      <c r="G67" s="111" t="str">
        <f>VLOOKUP(C67,CODORL!Q:T,4,FALSE)</f>
        <v>Oreana Carolina Camacaro González</v>
      </c>
      <c r="H67" s="103" t="s">
        <v>2874</v>
      </c>
      <c r="I67" s="103" t="s">
        <v>3584</v>
      </c>
      <c r="J67" s="103" t="s">
        <v>2876</v>
      </c>
      <c r="K67" s="103" t="s">
        <v>2877</v>
      </c>
      <c r="L67" s="103">
        <v>1200</v>
      </c>
      <c r="M67" s="101"/>
      <c r="N67" s="101" t="s">
        <v>3585</v>
      </c>
      <c r="O67" s="346" t="s">
        <v>3586</v>
      </c>
      <c r="P67" s="345"/>
      <c r="Q67" s="345"/>
      <c r="R67" s="101"/>
      <c r="S67" s="101"/>
      <c r="T67" s="101"/>
      <c r="U67" s="101"/>
      <c r="V67" s="101"/>
      <c r="W67" s="101"/>
      <c r="X67" s="101"/>
      <c r="Y67" s="114" t="str">
        <f t="shared" si="1"/>
        <v>C20241230104550278,C20241021145759644,,,,,,,,</v>
      </c>
      <c r="Z67" s="114" t="s">
        <v>3587</v>
      </c>
      <c r="AA67" s="114" t="s">
        <v>3588</v>
      </c>
      <c r="AB67" s="114"/>
      <c r="AC67" s="114"/>
      <c r="AD67" s="114"/>
      <c r="AE67" s="114"/>
      <c r="AF67" s="114"/>
      <c r="AG67" s="114"/>
      <c r="AH67" s="114"/>
      <c r="AI67" s="114"/>
      <c r="AJ67" s="115"/>
      <c r="AK67" s="115">
        <f t="shared" si="4"/>
        <v>4</v>
      </c>
      <c r="AL67" s="115">
        <f t="shared" si="5"/>
        <v>2</v>
      </c>
      <c r="AM67" s="115"/>
      <c r="AN67" s="115"/>
      <c r="AO67" s="115"/>
      <c r="AP67" s="115"/>
      <c r="AQ67" s="115"/>
      <c r="AR67" s="115"/>
      <c r="AS67" s="115"/>
      <c r="AT67" s="115"/>
      <c r="AU67" s="115"/>
      <c r="AV67" s="115"/>
      <c r="AW67" s="115"/>
      <c r="AX67" s="115"/>
      <c r="AY67" s="115"/>
      <c r="AZ67" s="115"/>
    </row>
    <row r="68" spans="1:52">
      <c r="A68" s="111" t="s">
        <v>47</v>
      </c>
      <c r="B68" s="111">
        <v>5</v>
      </c>
      <c r="C68" s="112" t="str">
        <f t="shared" si="0"/>
        <v>ISL14</v>
      </c>
      <c r="D68" s="103" t="s">
        <v>3589</v>
      </c>
      <c r="E68" s="117">
        <v>45789</v>
      </c>
      <c r="F68" s="101" t="s">
        <v>2873</v>
      </c>
      <c r="G68" s="111" t="str">
        <f>VLOOKUP(C68,CODORL!Q:T,4,FALSE)</f>
        <v>Carlos Velásquez Fermín</v>
      </c>
      <c r="H68" s="103" t="s">
        <v>3573</v>
      </c>
      <c r="I68" s="103" t="s">
        <v>3574</v>
      </c>
      <c r="J68" s="103" t="s">
        <v>3590</v>
      </c>
      <c r="K68" s="103" t="s">
        <v>3591</v>
      </c>
      <c r="L68" s="101">
        <v>600</v>
      </c>
      <c r="M68" s="101"/>
      <c r="N68" s="101" t="s">
        <v>3592</v>
      </c>
      <c r="O68" s="113"/>
      <c r="P68" s="101"/>
      <c r="Q68" s="101"/>
      <c r="R68" s="101"/>
      <c r="S68" s="101"/>
      <c r="T68" s="101"/>
      <c r="U68" s="101"/>
      <c r="V68" s="101"/>
      <c r="W68" s="101"/>
      <c r="X68" s="101"/>
      <c r="Y68" s="114" t="str">
        <f t="shared" si="1"/>
        <v>,,,,,,,,,</v>
      </c>
      <c r="Z68" s="114"/>
      <c r="AA68" s="114"/>
      <c r="AB68" s="114"/>
      <c r="AC68" s="114"/>
      <c r="AD68" s="114"/>
      <c r="AE68" s="114"/>
      <c r="AF68" s="114"/>
      <c r="AG68" s="114"/>
      <c r="AH68" s="114"/>
      <c r="AI68" s="114"/>
      <c r="AJ68" s="114"/>
      <c r="AK68" s="115"/>
      <c r="AL68" s="115"/>
      <c r="AM68" s="115"/>
      <c r="AN68" s="115"/>
      <c r="AO68" s="115"/>
      <c r="AP68" s="115"/>
      <c r="AQ68" s="115"/>
      <c r="AR68" s="115"/>
      <c r="AS68" s="115"/>
      <c r="AT68" s="115"/>
      <c r="AU68" s="115"/>
      <c r="AV68" s="115"/>
      <c r="AW68" s="115"/>
      <c r="AX68" s="115"/>
      <c r="AY68" s="115"/>
      <c r="AZ68" s="115"/>
    </row>
    <row r="69" spans="1:52">
      <c r="A69" s="111" t="s">
        <v>2784</v>
      </c>
      <c r="B69" s="111">
        <v>5</v>
      </c>
      <c r="C69" s="112" t="str">
        <f t="shared" si="0"/>
        <v>LRM125</v>
      </c>
      <c r="D69" s="101" t="s">
        <v>3593</v>
      </c>
      <c r="E69" s="117">
        <v>45808</v>
      </c>
      <c r="F69" s="101" t="s">
        <v>2972</v>
      </c>
      <c r="G69" s="111" t="str">
        <f>VLOOKUP(C69,CODORL!Q:T,4,FALSE)</f>
        <v>Ainhoa Moreno Bravo</v>
      </c>
      <c r="H69" s="101" t="s">
        <v>71</v>
      </c>
      <c r="I69" s="103" t="s">
        <v>2973</v>
      </c>
      <c r="J69" s="103" t="s">
        <v>2974</v>
      </c>
      <c r="K69" s="103" t="s">
        <v>2975</v>
      </c>
      <c r="L69" s="103">
        <v>900</v>
      </c>
      <c r="M69" s="113">
        <v>0</v>
      </c>
      <c r="N69" s="101" t="s">
        <v>3594</v>
      </c>
      <c r="O69" s="101" t="s">
        <v>3595</v>
      </c>
      <c r="P69" s="101"/>
      <c r="Q69" s="101"/>
      <c r="R69" s="101"/>
      <c r="S69" s="101"/>
      <c r="T69" s="101"/>
      <c r="U69" s="101"/>
      <c r="V69" s="101"/>
      <c r="W69" s="101"/>
      <c r="X69" s="101"/>
      <c r="Y69" s="114" t="str">
        <f t="shared" si="1"/>
        <v>C2025559032454,C2025513111916844,,,,,,,,</v>
      </c>
      <c r="Z69" s="114" t="s">
        <v>3596</v>
      </c>
      <c r="AA69" s="114" t="s">
        <v>3597</v>
      </c>
      <c r="AB69" s="114"/>
      <c r="AC69" s="114"/>
      <c r="AD69" s="114"/>
      <c r="AE69" s="114"/>
      <c r="AF69" s="114"/>
      <c r="AG69" s="114"/>
      <c r="AH69" s="114"/>
      <c r="AI69" s="114"/>
      <c r="AJ69" s="115"/>
      <c r="AK69" s="115">
        <f t="shared" ref="AK69:AK83" si="6">L69/300</f>
        <v>3</v>
      </c>
      <c r="AL69" s="115">
        <f t="shared" ref="AL69:AL83" si="7">COUNTA(Z69:AI69)</f>
        <v>2</v>
      </c>
      <c r="AM69" s="115"/>
      <c r="AN69" s="115"/>
      <c r="AO69" s="115"/>
      <c r="AP69" s="115"/>
      <c r="AQ69" s="115"/>
      <c r="AR69" s="115"/>
      <c r="AS69" s="115"/>
      <c r="AT69" s="115"/>
      <c r="AU69" s="115"/>
      <c r="AV69" s="115"/>
      <c r="AW69" s="115"/>
      <c r="AX69" s="115"/>
      <c r="AY69" s="115"/>
      <c r="AZ69" s="115"/>
    </row>
    <row r="70" spans="1:52">
      <c r="A70" s="111" t="s">
        <v>8</v>
      </c>
      <c r="B70" s="111">
        <v>5</v>
      </c>
      <c r="C70" s="112" t="str">
        <f t="shared" si="0"/>
        <v>MBM03</v>
      </c>
      <c r="D70" s="101" t="s">
        <v>3598</v>
      </c>
      <c r="E70" s="117">
        <v>45808</v>
      </c>
      <c r="F70" s="101" t="s">
        <v>2929</v>
      </c>
      <c r="G70" s="111" t="str">
        <f>VLOOKUP(C70,CODORL!Q:T,4,FALSE)</f>
        <v>Alejandro Harguindey Antoli-Candela</v>
      </c>
      <c r="H70" s="101" t="s">
        <v>110</v>
      </c>
      <c r="I70" s="103" t="s">
        <v>3299</v>
      </c>
      <c r="J70" s="103" t="s">
        <v>3344</v>
      </c>
      <c r="K70" s="103" t="s">
        <v>2945</v>
      </c>
      <c r="L70" s="103">
        <v>600</v>
      </c>
      <c r="M70" s="113">
        <v>0</v>
      </c>
      <c r="N70" s="101" t="s">
        <v>3599</v>
      </c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14" t="str">
        <f t="shared" si="1"/>
        <v>C20255512337333,,,,,,,,,</v>
      </c>
      <c r="Z70" s="114" t="s">
        <v>3600</v>
      </c>
      <c r="AA70" s="114"/>
      <c r="AB70" s="114"/>
      <c r="AC70" s="114"/>
      <c r="AD70" s="114"/>
      <c r="AE70" s="114"/>
      <c r="AF70" s="114"/>
      <c r="AG70" s="114"/>
      <c r="AH70" s="114"/>
      <c r="AI70" s="114"/>
      <c r="AJ70" s="115"/>
      <c r="AK70" s="115">
        <f t="shared" si="6"/>
        <v>2</v>
      </c>
      <c r="AL70" s="115">
        <f t="shared" si="7"/>
        <v>1</v>
      </c>
      <c r="AM70" s="115"/>
      <c r="AN70" s="115"/>
      <c r="AO70" s="115"/>
      <c r="AP70" s="115"/>
      <c r="AQ70" s="115"/>
      <c r="AR70" s="115"/>
      <c r="AS70" s="115"/>
      <c r="AT70" s="115"/>
      <c r="AU70" s="115"/>
      <c r="AV70" s="115"/>
      <c r="AW70" s="115"/>
      <c r="AX70" s="115"/>
      <c r="AY70" s="115"/>
      <c r="AZ70" s="115"/>
    </row>
    <row r="71" spans="1:52">
      <c r="A71" s="111" t="s">
        <v>8</v>
      </c>
      <c r="B71" s="111">
        <v>5</v>
      </c>
      <c r="C71" s="112" t="str">
        <f t="shared" si="0"/>
        <v>MBM186</v>
      </c>
      <c r="D71" s="101" t="s">
        <v>3601</v>
      </c>
      <c r="E71" s="117">
        <v>45808</v>
      </c>
      <c r="F71" s="101" t="s">
        <v>2886</v>
      </c>
      <c r="G71" s="111" t="str">
        <f>VLOOKUP(C71,CODORL!Q:T,4,FALSE)</f>
        <v>Marta Abad Pascual</v>
      </c>
      <c r="H71" s="101" t="s">
        <v>2887</v>
      </c>
      <c r="I71" s="103" t="s">
        <v>2888</v>
      </c>
      <c r="J71" s="103" t="s">
        <v>3348</v>
      </c>
      <c r="K71" s="103" t="s">
        <v>2890</v>
      </c>
      <c r="L71" s="103">
        <v>600</v>
      </c>
      <c r="M71" s="113">
        <v>0</v>
      </c>
      <c r="N71" s="101" t="s">
        <v>3602</v>
      </c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14" t="str">
        <f t="shared" si="1"/>
        <v>C2025430171017606,,,,,,,,,</v>
      </c>
      <c r="Z71" s="114" t="s">
        <v>3603</v>
      </c>
      <c r="AA71" s="114"/>
      <c r="AB71" s="114"/>
      <c r="AC71" s="114"/>
      <c r="AD71" s="114"/>
      <c r="AE71" s="114"/>
      <c r="AF71" s="114"/>
      <c r="AG71" s="114"/>
      <c r="AH71" s="114"/>
      <c r="AI71" s="114"/>
      <c r="AJ71" s="115"/>
      <c r="AK71" s="115">
        <f t="shared" si="6"/>
        <v>2</v>
      </c>
      <c r="AL71" s="115">
        <f t="shared" si="7"/>
        <v>1</v>
      </c>
      <c r="AM71" s="115"/>
      <c r="AN71" s="115"/>
      <c r="AO71" s="115"/>
      <c r="AP71" s="115"/>
      <c r="AQ71" s="115"/>
      <c r="AR71" s="115"/>
      <c r="AS71" s="115"/>
      <c r="AT71" s="115"/>
      <c r="AU71" s="115"/>
      <c r="AV71" s="115"/>
      <c r="AW71" s="115"/>
      <c r="AX71" s="115"/>
      <c r="AY71" s="115"/>
      <c r="AZ71" s="115"/>
    </row>
    <row r="72" spans="1:52">
      <c r="A72" s="111" t="s">
        <v>8</v>
      </c>
      <c r="B72" s="111">
        <v>5</v>
      </c>
      <c r="C72" s="112" t="str">
        <f t="shared" si="0"/>
        <v>MBM11</v>
      </c>
      <c r="D72" s="101" t="s">
        <v>3604</v>
      </c>
      <c r="E72" s="117">
        <v>45808</v>
      </c>
      <c r="F72" s="101" t="s">
        <v>3605</v>
      </c>
      <c r="G72" s="111" t="str">
        <f>VLOOKUP(C72,CODORL!Q:T,4,FALSE)</f>
        <v>Antonio Rodríguez Rivero</v>
      </c>
      <c r="H72" s="101" t="s">
        <v>358</v>
      </c>
      <c r="I72" s="103" t="s">
        <v>2881</v>
      </c>
      <c r="J72" s="103" t="s">
        <v>2882</v>
      </c>
      <c r="K72" s="103" t="s">
        <v>2883</v>
      </c>
      <c r="L72" s="103">
        <v>600</v>
      </c>
      <c r="M72" s="113">
        <v>200</v>
      </c>
      <c r="N72" s="101" t="s">
        <v>3606</v>
      </c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14" t="str">
        <f t="shared" si="1"/>
        <v>C202551312215598,,,,,,,,,</v>
      </c>
      <c r="Z72" s="114" t="s">
        <v>3607</v>
      </c>
      <c r="AA72" s="114"/>
      <c r="AB72" s="114"/>
      <c r="AC72" s="114"/>
      <c r="AD72" s="114"/>
      <c r="AE72" s="114"/>
      <c r="AF72" s="114"/>
      <c r="AG72" s="114"/>
      <c r="AH72" s="114"/>
      <c r="AI72" s="114"/>
      <c r="AJ72" s="115"/>
      <c r="AK72" s="115">
        <f t="shared" si="6"/>
        <v>2</v>
      </c>
      <c r="AL72" s="115">
        <f t="shared" si="7"/>
        <v>1</v>
      </c>
      <c r="AM72" s="115"/>
      <c r="AN72" s="115"/>
      <c r="AO72" s="115"/>
      <c r="AP72" s="115"/>
      <c r="AQ72" s="115"/>
      <c r="AR72" s="115"/>
      <c r="AS72" s="115"/>
      <c r="AT72" s="115"/>
      <c r="AU72" s="115"/>
      <c r="AV72" s="115"/>
      <c r="AW72" s="115"/>
      <c r="AX72" s="115"/>
      <c r="AY72" s="115"/>
      <c r="AZ72" s="115"/>
    </row>
    <row r="73" spans="1:52">
      <c r="A73" s="111" t="s">
        <v>47</v>
      </c>
      <c r="B73" s="111">
        <v>5</v>
      </c>
      <c r="C73" s="112" t="str">
        <f t="shared" si="0"/>
        <v>ISL95</v>
      </c>
      <c r="D73" s="101" t="s">
        <v>3608</v>
      </c>
      <c r="E73" s="117">
        <v>45808</v>
      </c>
      <c r="F73" s="101" t="s">
        <v>2863</v>
      </c>
      <c r="G73" s="111" t="str">
        <f>VLOOKUP(C73,CODORL!Q:T,4,FALSE)</f>
        <v>Blanca Maria Martinez Duro</v>
      </c>
      <c r="H73" s="101" t="s">
        <v>418</v>
      </c>
      <c r="I73" s="103" t="s">
        <v>3368</v>
      </c>
      <c r="J73" s="103" t="s">
        <v>3369</v>
      </c>
      <c r="K73" s="103" t="s">
        <v>3609</v>
      </c>
      <c r="L73" s="103">
        <v>300</v>
      </c>
      <c r="M73" s="113">
        <v>100</v>
      </c>
      <c r="N73" s="101" t="s">
        <v>3610</v>
      </c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14" t="str">
        <f t="shared" si="1"/>
        <v>C2025122105841733,,,,,,,,,</v>
      </c>
      <c r="Z73" s="114" t="s">
        <v>3611</v>
      </c>
      <c r="AA73" s="114"/>
      <c r="AB73" s="114"/>
      <c r="AC73" s="114"/>
      <c r="AD73" s="114"/>
      <c r="AE73" s="114"/>
      <c r="AF73" s="114"/>
      <c r="AG73" s="114"/>
      <c r="AH73" s="114"/>
      <c r="AI73" s="114"/>
      <c r="AJ73" s="115"/>
      <c r="AK73" s="115">
        <f t="shared" si="6"/>
        <v>1</v>
      </c>
      <c r="AL73" s="115">
        <f t="shared" si="7"/>
        <v>1</v>
      </c>
      <c r="AM73" s="115"/>
      <c r="AN73" s="115"/>
      <c r="AO73" s="115"/>
      <c r="AP73" s="115"/>
      <c r="AQ73" s="115"/>
      <c r="AR73" s="115"/>
      <c r="AS73" s="115"/>
      <c r="AT73" s="115"/>
      <c r="AU73" s="115"/>
      <c r="AV73" s="115"/>
      <c r="AW73" s="115"/>
      <c r="AX73" s="115"/>
      <c r="AY73" s="115"/>
      <c r="AZ73" s="115"/>
    </row>
    <row r="74" spans="1:52">
      <c r="A74" s="111" t="s">
        <v>8</v>
      </c>
      <c r="B74" s="111">
        <v>5</v>
      </c>
      <c r="C74" s="112" t="str">
        <f t="shared" si="0"/>
        <v>MBM109</v>
      </c>
      <c r="D74" s="101" t="s">
        <v>3612</v>
      </c>
      <c r="E74" s="117">
        <v>45808</v>
      </c>
      <c r="F74" s="101" t="s">
        <v>2893</v>
      </c>
      <c r="G74" s="111" t="str">
        <f>VLOOKUP(C74,CODORL!Q:T,4,FALSE)</f>
        <v>Desirée Méndez Brenderbache</v>
      </c>
      <c r="H74" s="101" t="s">
        <v>664</v>
      </c>
      <c r="I74" s="103" t="s">
        <v>2894</v>
      </c>
      <c r="J74" s="103" t="s">
        <v>2895</v>
      </c>
      <c r="K74" s="103" t="s">
        <v>2896</v>
      </c>
      <c r="L74" s="103">
        <v>1200</v>
      </c>
      <c r="M74" s="113"/>
      <c r="N74" s="101" t="s">
        <v>3613</v>
      </c>
      <c r="O74" s="101" t="s">
        <v>3614</v>
      </c>
      <c r="P74" s="101"/>
      <c r="Q74" s="101"/>
      <c r="R74" s="101"/>
      <c r="S74" s="101"/>
      <c r="T74" s="101"/>
      <c r="U74" s="101"/>
      <c r="V74" s="101"/>
      <c r="W74" s="101"/>
      <c r="X74" s="101"/>
      <c r="Y74" s="114" t="str">
        <f t="shared" si="1"/>
        <v>C202544111746204,C202542416422541,C202542416422541,,,,,,,,</v>
      </c>
      <c r="Z74" s="114" t="s">
        <v>3615</v>
      </c>
      <c r="AA74" s="114" t="s">
        <v>3616</v>
      </c>
      <c r="AB74" s="114"/>
      <c r="AC74" s="114"/>
      <c r="AD74" s="114"/>
      <c r="AE74" s="114"/>
      <c r="AF74" s="114"/>
      <c r="AG74" s="114"/>
      <c r="AH74" s="114"/>
      <c r="AI74" s="114"/>
      <c r="AJ74" s="115"/>
      <c r="AK74" s="115">
        <f t="shared" si="6"/>
        <v>4</v>
      </c>
      <c r="AL74" s="115">
        <f t="shared" si="7"/>
        <v>2</v>
      </c>
      <c r="AM74" s="115"/>
      <c r="AN74" s="115"/>
      <c r="AO74" s="115"/>
      <c r="AP74" s="115"/>
      <c r="AQ74" s="115"/>
      <c r="AR74" s="115"/>
      <c r="AS74" s="115"/>
      <c r="AT74" s="115"/>
      <c r="AU74" s="115"/>
      <c r="AV74" s="115"/>
      <c r="AW74" s="115"/>
      <c r="AX74" s="115"/>
      <c r="AY74" s="115"/>
      <c r="AZ74" s="115"/>
    </row>
    <row r="75" spans="1:52">
      <c r="A75" s="111" t="s">
        <v>8</v>
      </c>
      <c r="B75" s="111">
        <v>5</v>
      </c>
      <c r="C75" s="112" t="str">
        <f t="shared" si="0"/>
        <v>MBM20</v>
      </c>
      <c r="D75" s="101" t="s">
        <v>3617</v>
      </c>
      <c r="E75" s="117">
        <v>45808</v>
      </c>
      <c r="F75" s="101" t="s">
        <v>3193</v>
      </c>
      <c r="G75" s="111" t="str">
        <f>VLOOKUP(C75,CODORL!Q:T,4,FALSE)</f>
        <v>Eviatar Friedlander</v>
      </c>
      <c r="H75" s="101" t="s">
        <v>842</v>
      </c>
      <c r="I75" s="103" t="s">
        <v>3234</v>
      </c>
      <c r="J75" s="103" t="s">
        <v>3235</v>
      </c>
      <c r="K75" s="103" t="s">
        <v>3236</v>
      </c>
      <c r="L75" s="103">
        <v>1800</v>
      </c>
      <c r="M75" s="113">
        <v>0</v>
      </c>
      <c r="N75" s="101" t="s">
        <v>3618</v>
      </c>
      <c r="O75" s="101" t="s">
        <v>3619</v>
      </c>
      <c r="P75" s="101" t="s">
        <v>3620</v>
      </c>
      <c r="Q75" s="101"/>
      <c r="R75" s="101"/>
      <c r="S75" s="101"/>
      <c r="T75" s="101"/>
      <c r="U75" s="101"/>
      <c r="V75" s="101"/>
      <c r="W75" s="101"/>
      <c r="X75" s="101"/>
      <c r="Y75" s="114" t="str">
        <f t="shared" si="1"/>
        <v>C20254316290829,C202543115411107,C20241120161651439,C202543115411107,C20241120161651439,,,,,,,</v>
      </c>
      <c r="Z75" s="114" t="s">
        <v>3621</v>
      </c>
      <c r="AA75" s="114" t="s">
        <v>3622</v>
      </c>
      <c r="AB75" s="114" t="s">
        <v>3623</v>
      </c>
      <c r="AC75" s="114"/>
      <c r="AD75" s="114"/>
      <c r="AE75" s="114"/>
      <c r="AF75" s="114"/>
      <c r="AG75" s="114"/>
      <c r="AH75" s="114"/>
      <c r="AI75" s="114"/>
      <c r="AJ75" s="115"/>
      <c r="AK75" s="115">
        <f t="shared" si="6"/>
        <v>6</v>
      </c>
      <c r="AL75" s="115">
        <f t="shared" si="7"/>
        <v>3</v>
      </c>
      <c r="AM75" s="115"/>
      <c r="AN75" s="115"/>
      <c r="AO75" s="115"/>
      <c r="AP75" s="115"/>
      <c r="AQ75" s="115"/>
      <c r="AR75" s="115"/>
      <c r="AS75" s="115"/>
      <c r="AT75" s="115"/>
      <c r="AU75" s="115"/>
      <c r="AV75" s="115"/>
      <c r="AW75" s="115"/>
      <c r="AX75" s="115"/>
      <c r="AY75" s="115"/>
      <c r="AZ75" s="115"/>
    </row>
    <row r="76" spans="1:52">
      <c r="A76" s="111" t="s">
        <v>47</v>
      </c>
      <c r="B76" s="111">
        <v>5</v>
      </c>
      <c r="C76" s="112" t="str">
        <f t="shared" si="0"/>
        <v>ISL122</v>
      </c>
      <c r="D76" s="101" t="s">
        <v>3624</v>
      </c>
      <c r="E76" s="117">
        <v>45808</v>
      </c>
      <c r="F76" s="101" t="s">
        <v>2869</v>
      </c>
      <c r="G76" s="111" t="str">
        <f>VLOOKUP(C76,CODORL!Q:T,4,FALSE)</f>
        <v>María Agustina Sevilla García</v>
      </c>
      <c r="H76" s="101" t="s">
        <v>2952</v>
      </c>
      <c r="I76" s="103" t="s">
        <v>2953</v>
      </c>
      <c r="J76" s="103" t="s">
        <v>2954</v>
      </c>
      <c r="K76" s="103" t="s">
        <v>2955</v>
      </c>
      <c r="L76" s="103">
        <v>1200</v>
      </c>
      <c r="M76" s="113">
        <v>150</v>
      </c>
      <c r="N76" s="101" t="s">
        <v>3625</v>
      </c>
      <c r="O76" s="101" t="s">
        <v>3626</v>
      </c>
      <c r="P76" s="101" t="s">
        <v>3627</v>
      </c>
      <c r="Q76" s="101"/>
      <c r="R76" s="101"/>
      <c r="S76" s="101"/>
      <c r="T76" s="101"/>
      <c r="U76" s="101"/>
      <c r="V76" s="101"/>
      <c r="W76" s="101"/>
      <c r="X76" s="101"/>
      <c r="Y76" s="114" t="str">
        <f t="shared" si="1"/>
        <v>C202532516432291,C202557183244726,MUR-1968,C202557183244726,MUR-1968,,,,,,,</v>
      </c>
      <c r="Z76" s="114" t="s">
        <v>3628</v>
      </c>
      <c r="AA76" s="114" t="s">
        <v>3629</v>
      </c>
      <c r="AB76" s="114" t="s">
        <v>3630</v>
      </c>
      <c r="AC76" s="114"/>
      <c r="AD76" s="114"/>
      <c r="AE76" s="114"/>
      <c r="AF76" s="114"/>
      <c r="AG76" s="114"/>
      <c r="AH76" s="114"/>
      <c r="AI76" s="114"/>
      <c r="AJ76" s="115"/>
      <c r="AK76" s="115">
        <f t="shared" si="6"/>
        <v>4</v>
      </c>
      <c r="AL76" s="115">
        <f t="shared" si="7"/>
        <v>3</v>
      </c>
      <c r="AM76" s="115"/>
      <c r="AN76" s="115"/>
      <c r="AO76" s="115"/>
      <c r="AP76" s="115"/>
      <c r="AQ76" s="115"/>
      <c r="AR76" s="115"/>
      <c r="AS76" s="115"/>
      <c r="AT76" s="115"/>
      <c r="AU76" s="115"/>
      <c r="AV76" s="115"/>
      <c r="AW76" s="115"/>
      <c r="AX76" s="115"/>
      <c r="AY76" s="115"/>
      <c r="AZ76" s="115"/>
    </row>
    <row r="77" spans="1:52">
      <c r="A77" s="111" t="s">
        <v>8</v>
      </c>
      <c r="B77" s="111">
        <v>5</v>
      </c>
      <c r="C77" s="112" t="str">
        <f t="shared" si="0"/>
        <v>MBM40</v>
      </c>
      <c r="D77" s="101" t="s">
        <v>3631</v>
      </c>
      <c r="E77" s="117">
        <v>45808</v>
      </c>
      <c r="F77" s="101" t="s">
        <v>3632</v>
      </c>
      <c r="G77" s="111" t="str">
        <f>VLOOKUP(C77,CODORL!Q:T,4,FALSE)</f>
        <v>Javier Gavilanes Plasencia</v>
      </c>
      <c r="H77" s="101" t="s">
        <v>1236</v>
      </c>
      <c r="I77" s="103" t="s">
        <v>3391</v>
      </c>
      <c r="J77" s="103" t="s">
        <v>3392</v>
      </c>
      <c r="K77" s="103" t="s">
        <v>3393</v>
      </c>
      <c r="L77" s="103">
        <v>600</v>
      </c>
      <c r="M77" s="113">
        <v>0</v>
      </c>
      <c r="N77" s="101" t="s">
        <v>3633</v>
      </c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14" t="str">
        <f t="shared" si="1"/>
        <v>C202558162243855,,,,,,,,,</v>
      </c>
      <c r="Z77" s="114" t="s">
        <v>3634</v>
      </c>
      <c r="AA77" s="114"/>
      <c r="AB77" s="114"/>
      <c r="AC77" s="114"/>
      <c r="AD77" s="114"/>
      <c r="AE77" s="114"/>
      <c r="AF77" s="114"/>
      <c r="AG77" s="114"/>
      <c r="AH77" s="114"/>
      <c r="AI77" s="114"/>
      <c r="AJ77" s="115"/>
      <c r="AK77" s="115">
        <f t="shared" si="6"/>
        <v>2</v>
      </c>
      <c r="AL77" s="115">
        <f t="shared" si="7"/>
        <v>1</v>
      </c>
      <c r="AM77" s="115"/>
      <c r="AN77" s="115"/>
      <c r="AO77" s="115"/>
      <c r="AP77" s="115"/>
      <c r="AQ77" s="115"/>
      <c r="AR77" s="115"/>
      <c r="AS77" s="115"/>
      <c r="AT77" s="115"/>
      <c r="AU77" s="115"/>
      <c r="AV77" s="115"/>
      <c r="AW77" s="115"/>
      <c r="AX77" s="115"/>
      <c r="AY77" s="115"/>
      <c r="AZ77" s="115"/>
    </row>
    <row r="78" spans="1:52">
      <c r="A78" s="111" t="s">
        <v>14</v>
      </c>
      <c r="B78" s="111">
        <v>5</v>
      </c>
      <c r="C78" s="112" t="str">
        <f t="shared" si="0"/>
        <v>RFV15</v>
      </c>
      <c r="D78" s="101" t="s">
        <v>3635</v>
      </c>
      <c r="E78" s="117">
        <v>45808</v>
      </c>
      <c r="F78" s="101" t="s">
        <v>2921</v>
      </c>
      <c r="G78" s="111" t="str">
        <f>VLOOKUP(C78,CODORL!Q:T,4,FALSE)</f>
        <v>Jean Franco Intraprendente Martini</v>
      </c>
      <c r="H78" s="101" t="s">
        <v>3027</v>
      </c>
      <c r="I78" s="103" t="s">
        <v>3028</v>
      </c>
      <c r="J78" s="103" t="s">
        <v>3399</v>
      </c>
      <c r="K78" s="103" t="s">
        <v>3294</v>
      </c>
      <c r="L78" s="103">
        <v>900</v>
      </c>
      <c r="M78" s="113">
        <v>250</v>
      </c>
      <c r="N78" s="101" t="s">
        <v>3636</v>
      </c>
      <c r="O78" s="101" t="s">
        <v>3637</v>
      </c>
      <c r="P78" s="101"/>
      <c r="Q78" s="101"/>
      <c r="R78" s="101"/>
      <c r="S78" s="101"/>
      <c r="T78" s="101"/>
      <c r="U78" s="101"/>
      <c r="V78" s="101"/>
      <c r="W78" s="101"/>
      <c r="X78" s="101"/>
      <c r="Y78" s="114" t="str">
        <f t="shared" si="1"/>
        <v>C20254149410566,C202541182926561,C202541182926561,,,,,,,,</v>
      </c>
      <c r="Z78" s="114" t="s">
        <v>3638</v>
      </c>
      <c r="AA78" s="114" t="s">
        <v>3639</v>
      </c>
      <c r="AB78" s="114"/>
      <c r="AC78" s="114"/>
      <c r="AD78" s="114"/>
      <c r="AE78" s="114"/>
      <c r="AF78" s="114"/>
      <c r="AG78" s="114"/>
      <c r="AH78" s="114"/>
      <c r="AI78" s="114"/>
      <c r="AJ78" s="115"/>
      <c r="AK78" s="115">
        <f t="shared" si="6"/>
        <v>3</v>
      </c>
      <c r="AL78" s="115">
        <f t="shared" si="7"/>
        <v>2</v>
      </c>
      <c r="AM78" s="115"/>
      <c r="AN78" s="115"/>
      <c r="AO78" s="115"/>
      <c r="AP78" s="115"/>
      <c r="AQ78" s="115"/>
      <c r="AR78" s="115"/>
      <c r="AS78" s="115"/>
      <c r="AT78" s="115"/>
      <c r="AU78" s="115"/>
      <c r="AV78" s="115"/>
      <c r="AW78" s="115"/>
      <c r="AX78" s="115"/>
      <c r="AY78" s="115"/>
      <c r="AZ78" s="115"/>
    </row>
    <row r="79" spans="1:52">
      <c r="A79" s="111" t="s">
        <v>14</v>
      </c>
      <c r="B79" s="111">
        <v>5</v>
      </c>
      <c r="C79" s="112" t="str">
        <f t="shared" si="0"/>
        <v>RFV11</v>
      </c>
      <c r="D79" s="101" t="s">
        <v>3640</v>
      </c>
      <c r="E79" s="117">
        <v>45808</v>
      </c>
      <c r="F79" s="101" t="s">
        <v>2921</v>
      </c>
      <c r="G79" s="111" t="str">
        <f>VLOOKUP(C79,CODORL!Q:T,4,FALSE)</f>
        <v>José Ramiro de León Lima</v>
      </c>
      <c r="H79" s="101" t="s">
        <v>3641</v>
      </c>
      <c r="I79" s="103" t="s">
        <v>3168</v>
      </c>
      <c r="J79" s="103" t="s">
        <v>3169</v>
      </c>
      <c r="K79" s="103" t="s">
        <v>3170</v>
      </c>
      <c r="L79" s="103">
        <v>600</v>
      </c>
      <c r="M79" s="113">
        <v>200</v>
      </c>
      <c r="N79" s="101" t="s">
        <v>3642</v>
      </c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14" t="str">
        <f t="shared" si="1"/>
        <v>C202542310580896,,,,,,,,,</v>
      </c>
      <c r="Z79" s="114" t="s">
        <v>3643</v>
      </c>
      <c r="AA79" s="114"/>
      <c r="AB79" s="114"/>
      <c r="AC79" s="114"/>
      <c r="AD79" s="114"/>
      <c r="AE79" s="114"/>
      <c r="AF79" s="114"/>
      <c r="AG79" s="114"/>
      <c r="AH79" s="114"/>
      <c r="AI79" s="114"/>
      <c r="AJ79" s="115"/>
      <c r="AK79" s="115">
        <f t="shared" si="6"/>
        <v>2</v>
      </c>
      <c r="AL79" s="115">
        <f t="shared" si="7"/>
        <v>1</v>
      </c>
      <c r="AM79" s="115"/>
      <c r="AN79" s="115"/>
      <c r="AO79" s="115"/>
      <c r="AP79" s="115"/>
      <c r="AQ79" s="115"/>
      <c r="AR79" s="115"/>
      <c r="AS79" s="115"/>
      <c r="AT79" s="115"/>
      <c r="AU79" s="115"/>
      <c r="AV79" s="115"/>
      <c r="AW79" s="115"/>
      <c r="AX79" s="115"/>
      <c r="AY79" s="115"/>
      <c r="AZ79" s="115"/>
    </row>
    <row r="80" spans="1:52">
      <c r="A80" s="111" t="s">
        <v>8</v>
      </c>
      <c r="B80" s="111">
        <v>5</v>
      </c>
      <c r="C80" s="112" t="str">
        <f t="shared" si="0"/>
        <v>MBM60</v>
      </c>
      <c r="D80" s="101" t="s">
        <v>3644</v>
      </c>
      <c r="E80" s="117">
        <v>45808</v>
      </c>
      <c r="F80" s="101" t="s">
        <v>2880</v>
      </c>
      <c r="G80" s="111" t="str">
        <f>VLOOKUP(C80,CODORL!Q:T,4,FALSE)</f>
        <v>juan Ignacio Riestra Ayora</v>
      </c>
      <c r="H80" s="101" t="s">
        <v>3254</v>
      </c>
      <c r="I80" s="103" t="s">
        <v>3255</v>
      </c>
      <c r="J80" s="103" t="s">
        <v>3553</v>
      </c>
      <c r="K80" s="103" t="s">
        <v>3257</v>
      </c>
      <c r="L80" s="103">
        <v>600</v>
      </c>
      <c r="M80" s="113">
        <v>0</v>
      </c>
      <c r="N80" s="101" t="s">
        <v>3645</v>
      </c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14" t="str">
        <f t="shared" si="1"/>
        <v>C202533193254143,,,,,,,,,</v>
      </c>
      <c r="Z80" s="114" t="s">
        <v>3555</v>
      </c>
      <c r="AA80" s="114"/>
      <c r="AB80" s="114"/>
      <c r="AC80" s="114"/>
      <c r="AD80" s="114"/>
      <c r="AE80" s="114"/>
      <c r="AF80" s="114"/>
      <c r="AG80" s="114"/>
      <c r="AH80" s="114"/>
      <c r="AI80" s="114"/>
      <c r="AJ80" s="115"/>
      <c r="AK80" s="115">
        <f t="shared" si="6"/>
        <v>2</v>
      </c>
      <c r="AL80" s="115">
        <f t="shared" si="7"/>
        <v>1</v>
      </c>
      <c r="AM80" s="115"/>
      <c r="AN80" s="115"/>
      <c r="AO80" s="115"/>
      <c r="AP80" s="115"/>
      <c r="AQ80" s="115"/>
      <c r="AR80" s="115"/>
      <c r="AS80" s="115"/>
      <c r="AT80" s="115"/>
      <c r="AU80" s="115"/>
      <c r="AV80" s="115"/>
      <c r="AW80" s="115"/>
      <c r="AX80" s="115"/>
      <c r="AY80" s="115"/>
      <c r="AZ80" s="115"/>
    </row>
    <row r="81" spans="1:52">
      <c r="A81" s="111" t="s">
        <v>23</v>
      </c>
      <c r="B81" s="111">
        <v>5</v>
      </c>
      <c r="C81" s="112" t="str">
        <f t="shared" si="0"/>
        <v>RPG51</v>
      </c>
      <c r="D81" s="101" t="s">
        <v>3646</v>
      </c>
      <c r="E81" s="117">
        <v>45808</v>
      </c>
      <c r="F81" s="101" t="s">
        <v>2900</v>
      </c>
      <c r="G81" s="111" t="str">
        <f>VLOOKUP(C81,CODORL!Q:T,4,FALSE)</f>
        <v>María Rey Marcos</v>
      </c>
      <c r="H81" s="101" t="s">
        <v>2080</v>
      </c>
      <c r="I81" s="103" t="s">
        <v>2901</v>
      </c>
      <c r="J81" s="101" t="s">
        <v>2902</v>
      </c>
      <c r="K81" s="103" t="s">
        <v>2903</v>
      </c>
      <c r="L81" s="103">
        <v>2100</v>
      </c>
      <c r="M81" s="113">
        <v>0</v>
      </c>
      <c r="N81" s="101" t="s">
        <v>3647</v>
      </c>
      <c r="O81" s="101" t="s">
        <v>3648</v>
      </c>
      <c r="P81" s="101" t="s">
        <v>3649</v>
      </c>
      <c r="Q81" s="101" t="s">
        <v>3650</v>
      </c>
      <c r="R81" s="101"/>
      <c r="S81" s="101"/>
      <c r="T81" s="101"/>
      <c r="U81" s="101"/>
      <c r="V81" s="101"/>
      <c r="W81" s="101"/>
      <c r="X81" s="101"/>
      <c r="Y81" s="114" t="str">
        <f t="shared" si="1"/>
        <v>C20253141012518,C202543016459972,C2025591271264,C202531111363421,C202543016459972,C2025591271264,C202531111363421,,,,,,</v>
      </c>
      <c r="Z81" s="114" t="s">
        <v>3651</v>
      </c>
      <c r="AA81" s="114" t="s">
        <v>3652</v>
      </c>
      <c r="AB81" s="114" t="s">
        <v>3653</v>
      </c>
      <c r="AC81" s="114" t="s">
        <v>3464</v>
      </c>
      <c r="AD81" s="114"/>
      <c r="AE81" s="114"/>
      <c r="AF81" s="114"/>
      <c r="AG81" s="114"/>
      <c r="AH81" s="114"/>
      <c r="AI81" s="114"/>
      <c r="AJ81" s="115"/>
      <c r="AK81" s="115">
        <f t="shared" si="6"/>
        <v>7</v>
      </c>
      <c r="AL81" s="115">
        <f t="shared" si="7"/>
        <v>4</v>
      </c>
      <c r="AM81" s="115"/>
      <c r="AN81" s="115"/>
      <c r="AO81" s="115"/>
      <c r="AP81" s="115"/>
      <c r="AQ81" s="115"/>
      <c r="AR81" s="115"/>
      <c r="AS81" s="115"/>
      <c r="AT81" s="115"/>
      <c r="AU81" s="115"/>
      <c r="AV81" s="115"/>
      <c r="AW81" s="115"/>
      <c r="AX81" s="115"/>
      <c r="AY81" s="115"/>
      <c r="AZ81" s="115"/>
    </row>
    <row r="82" spans="1:52">
      <c r="A82" s="111" t="s">
        <v>47</v>
      </c>
      <c r="B82" s="111">
        <v>5</v>
      </c>
      <c r="C82" s="112" t="str">
        <f t="shared" si="0"/>
        <v>ISL136</v>
      </c>
      <c r="D82" s="101" t="s">
        <v>3654</v>
      </c>
      <c r="E82" s="117">
        <v>45808</v>
      </c>
      <c r="F82" s="101" t="s">
        <v>2873</v>
      </c>
      <c r="G82" s="111" t="str">
        <f>VLOOKUP(C82,CODORL!Q:T,4,FALSE)</f>
        <v>Oreana Carolina Camacaro González</v>
      </c>
      <c r="H82" s="101" t="s">
        <v>2874</v>
      </c>
      <c r="I82" s="103" t="s">
        <v>3584</v>
      </c>
      <c r="J82" s="103" t="s">
        <v>2876</v>
      </c>
      <c r="K82" s="103" t="s">
        <v>2877</v>
      </c>
      <c r="L82" s="103">
        <v>300</v>
      </c>
      <c r="M82" s="113">
        <v>50</v>
      </c>
      <c r="N82" s="101" t="s">
        <v>3655</v>
      </c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14" t="str">
        <f t="shared" si="1"/>
        <v>C202541015594666,,,,,,,,,</v>
      </c>
      <c r="Z82" s="114" t="s">
        <v>3656</v>
      </c>
      <c r="AA82" s="114"/>
      <c r="AB82" s="114"/>
      <c r="AC82" s="114"/>
      <c r="AD82" s="114"/>
      <c r="AE82" s="114"/>
      <c r="AF82" s="114"/>
      <c r="AG82" s="114"/>
      <c r="AH82" s="114"/>
      <c r="AI82" s="114"/>
      <c r="AJ82" s="115"/>
      <c r="AK82" s="115">
        <f t="shared" si="6"/>
        <v>1</v>
      </c>
      <c r="AL82" s="115">
        <f t="shared" si="7"/>
        <v>1</v>
      </c>
      <c r="AM82" s="115"/>
      <c r="AN82" s="115"/>
      <c r="AO82" s="115"/>
      <c r="AP82" s="115"/>
      <c r="AQ82" s="115"/>
      <c r="AR82" s="115"/>
      <c r="AS82" s="115"/>
      <c r="AT82" s="115"/>
      <c r="AU82" s="115"/>
      <c r="AV82" s="115"/>
      <c r="AW82" s="115"/>
      <c r="AX82" s="115"/>
      <c r="AY82" s="115"/>
      <c r="AZ82" s="115"/>
    </row>
    <row r="83" spans="1:52">
      <c r="A83" s="111" t="s">
        <v>47</v>
      </c>
      <c r="B83" s="111">
        <v>5</v>
      </c>
      <c r="C83" s="112" t="str">
        <f t="shared" si="0"/>
        <v>ISL75</v>
      </c>
      <c r="D83" s="101" t="s">
        <v>3657</v>
      </c>
      <c r="E83" s="117">
        <v>45808</v>
      </c>
      <c r="F83" s="101" t="s">
        <v>2863</v>
      </c>
      <c r="G83" s="111" t="str">
        <f>VLOOKUP(C83,CODORL!Q:T,4,FALSE)</f>
        <v>Pedro Masegosa Zapata</v>
      </c>
      <c r="H83" s="101" t="s">
        <v>2492</v>
      </c>
      <c r="I83" s="103" t="s">
        <v>2967</v>
      </c>
      <c r="J83" s="103" t="s">
        <v>2968</v>
      </c>
      <c r="K83" s="103" t="s">
        <v>2969</v>
      </c>
      <c r="L83" s="103">
        <v>900</v>
      </c>
      <c r="M83" s="113">
        <v>0</v>
      </c>
      <c r="N83" s="101" t="s">
        <v>3658</v>
      </c>
      <c r="O83" s="101" t="s">
        <v>3659</v>
      </c>
      <c r="P83" s="101"/>
      <c r="Q83" s="101"/>
      <c r="R83" s="101"/>
      <c r="S83" s="101"/>
      <c r="T83" s="101"/>
      <c r="U83" s="101"/>
      <c r="V83" s="101"/>
      <c r="W83" s="101"/>
      <c r="X83" s="101"/>
      <c r="Y83" s="114" t="str">
        <f t="shared" si="1"/>
        <v>C2025317152319499,ALB-621,ALB-621,,,,,,,,</v>
      </c>
      <c r="Z83" s="114" t="s">
        <v>3660</v>
      </c>
      <c r="AA83" s="114" t="s">
        <v>3661</v>
      </c>
      <c r="AB83" s="114"/>
      <c r="AC83" s="114"/>
      <c r="AD83" s="114"/>
      <c r="AE83" s="114"/>
      <c r="AF83" s="114"/>
      <c r="AG83" s="114"/>
      <c r="AH83" s="114"/>
      <c r="AI83" s="114"/>
      <c r="AJ83" s="115"/>
      <c r="AK83" s="115">
        <f t="shared" si="6"/>
        <v>3</v>
      </c>
      <c r="AL83" s="115">
        <f t="shared" si="7"/>
        <v>2</v>
      </c>
      <c r="AM83" s="115"/>
      <c r="AN83" s="115"/>
      <c r="AO83" s="115"/>
      <c r="AP83" s="115"/>
      <c r="AQ83" s="115"/>
      <c r="AR83" s="115"/>
      <c r="AS83" s="115"/>
      <c r="AT83" s="115"/>
      <c r="AU83" s="115"/>
      <c r="AV83" s="115"/>
      <c r="AW83" s="115"/>
      <c r="AX83" s="115"/>
      <c r="AY83" s="115"/>
      <c r="AZ83" s="115"/>
    </row>
    <row r="84" spans="1:52">
      <c r="A84" s="111" t="s">
        <v>8</v>
      </c>
      <c r="B84" s="111">
        <v>6</v>
      </c>
      <c r="C84" s="112" t="str">
        <f t="shared" si="0"/>
        <v>MBM20</v>
      </c>
      <c r="D84" s="101" t="s">
        <v>3662</v>
      </c>
      <c r="E84" s="117">
        <v>45845</v>
      </c>
      <c r="F84" s="101" t="s">
        <v>3193</v>
      </c>
      <c r="G84" s="111" t="str">
        <f>VLOOKUP(C84,CODORL!Q:T,4,FALSE)</f>
        <v>Eviatar Friedlander</v>
      </c>
      <c r="H84" s="101" t="s">
        <v>842</v>
      </c>
      <c r="I84" s="101" t="s">
        <v>3234</v>
      </c>
      <c r="J84" s="101" t="s">
        <v>3235</v>
      </c>
      <c r="K84" s="101" t="s">
        <v>3236</v>
      </c>
      <c r="L84" s="101">
        <v>600</v>
      </c>
      <c r="M84" s="101"/>
      <c r="N84" s="101" t="s">
        <v>3663</v>
      </c>
      <c r="O84" s="106"/>
      <c r="P84" s="101"/>
      <c r="Q84" s="101"/>
      <c r="R84" s="101"/>
      <c r="S84" s="101"/>
      <c r="T84" s="101"/>
      <c r="U84" s="101"/>
      <c r="V84" s="101"/>
      <c r="W84" s="101"/>
      <c r="X84" s="101"/>
      <c r="Y84" s="114" t="str">
        <f t="shared" si="1"/>
        <v>,,,,,,,,,</v>
      </c>
      <c r="Z84" s="114"/>
      <c r="AA84" s="114"/>
      <c r="AB84" s="114"/>
      <c r="AC84" s="114"/>
      <c r="AD84" s="114"/>
      <c r="AE84" s="114"/>
      <c r="AF84" s="114"/>
      <c r="AG84" s="114"/>
      <c r="AH84" s="114"/>
      <c r="AI84" s="113"/>
      <c r="AJ84" s="113"/>
      <c r="AK84" s="113"/>
      <c r="AL84" s="113"/>
      <c r="AM84" s="113"/>
      <c r="AN84" s="113"/>
      <c r="AO84" s="113"/>
      <c r="AP84" s="113"/>
      <c r="AQ84" s="113"/>
      <c r="AR84" s="113"/>
      <c r="AS84" s="113"/>
      <c r="AT84" s="113"/>
      <c r="AU84" s="113"/>
      <c r="AV84" s="113"/>
      <c r="AW84" s="113"/>
      <c r="AX84" s="113"/>
      <c r="AY84" s="113"/>
      <c r="AZ84" s="113"/>
    </row>
    <row r="85" spans="1:52">
      <c r="A85" s="111" t="s">
        <v>8</v>
      </c>
      <c r="B85" s="111">
        <v>6</v>
      </c>
      <c r="C85" s="112" t="str">
        <f t="shared" si="0"/>
        <v>MBM11</v>
      </c>
      <c r="D85" s="101" t="s">
        <v>3664</v>
      </c>
      <c r="E85" s="117">
        <v>45845</v>
      </c>
      <c r="F85" s="101" t="s">
        <v>3605</v>
      </c>
      <c r="G85" s="111" t="str">
        <f>VLOOKUP(C85,CODORL!Q:T,4,FALSE)</f>
        <v>Antonio Rodríguez Rivero</v>
      </c>
      <c r="H85" s="101" t="s">
        <v>358</v>
      </c>
      <c r="I85" s="101" t="s">
        <v>2881</v>
      </c>
      <c r="J85" s="101" t="s">
        <v>2882</v>
      </c>
      <c r="K85" s="101" t="s">
        <v>2883</v>
      </c>
      <c r="L85" s="101">
        <v>1200</v>
      </c>
      <c r="M85" s="101"/>
      <c r="N85" s="101" t="s">
        <v>3665</v>
      </c>
      <c r="O85" s="101" t="s">
        <v>3666</v>
      </c>
      <c r="P85" s="101" t="s">
        <v>3667</v>
      </c>
      <c r="Q85" s="106"/>
      <c r="R85" s="106"/>
      <c r="S85" s="106"/>
      <c r="T85" s="101"/>
      <c r="U85" s="101"/>
      <c r="V85" s="101"/>
      <c r="W85" s="101"/>
      <c r="X85" s="101"/>
      <c r="Y85" s="114" t="str">
        <f t="shared" si="1"/>
        <v>,,,,,,,,,</v>
      </c>
      <c r="Z85" s="114"/>
      <c r="AA85" s="114"/>
      <c r="AB85" s="114"/>
      <c r="AC85" s="114"/>
      <c r="AD85" s="114"/>
      <c r="AE85" s="114"/>
      <c r="AF85" s="114"/>
      <c r="AG85" s="114"/>
      <c r="AH85" s="114"/>
      <c r="AI85" s="113"/>
      <c r="AJ85" s="113"/>
      <c r="AK85" s="113"/>
      <c r="AL85" s="113"/>
      <c r="AM85" s="113"/>
      <c r="AN85" s="113"/>
      <c r="AO85" s="113"/>
      <c r="AP85" s="113"/>
      <c r="AQ85" s="113"/>
      <c r="AR85" s="113"/>
      <c r="AS85" s="113"/>
      <c r="AT85" s="113"/>
      <c r="AU85" s="113"/>
      <c r="AV85" s="113"/>
      <c r="AW85" s="113"/>
      <c r="AX85" s="113"/>
      <c r="AY85" s="113"/>
      <c r="AZ85" s="113"/>
    </row>
    <row r="86" spans="1:52">
      <c r="A86" s="111" t="s">
        <v>47</v>
      </c>
      <c r="B86" s="111">
        <v>6</v>
      </c>
      <c r="C86" s="112" t="str">
        <f t="shared" si="0"/>
        <v>ISL122</v>
      </c>
      <c r="D86" s="101" t="s">
        <v>3668</v>
      </c>
      <c r="E86" s="117">
        <v>45845</v>
      </c>
      <c r="F86" s="101" t="s">
        <v>2869</v>
      </c>
      <c r="G86" s="111" t="str">
        <f>VLOOKUP(C86,CODORL!Q:T,4,FALSE)</f>
        <v>María Agustina Sevilla García</v>
      </c>
      <c r="H86" s="101" t="s">
        <v>2952</v>
      </c>
      <c r="I86" s="101" t="s">
        <v>2953</v>
      </c>
      <c r="J86" s="101" t="s">
        <v>2954</v>
      </c>
      <c r="K86" s="101" t="s">
        <v>2955</v>
      </c>
      <c r="L86" s="101">
        <v>2700</v>
      </c>
      <c r="M86" s="101"/>
      <c r="N86" s="101" t="s">
        <v>3669</v>
      </c>
      <c r="O86" s="101" t="s">
        <v>3670</v>
      </c>
      <c r="P86" s="101" t="s">
        <v>3671</v>
      </c>
      <c r="Q86" s="101" t="s">
        <v>3672</v>
      </c>
      <c r="R86" s="101" t="s">
        <v>3673</v>
      </c>
      <c r="S86" s="106"/>
      <c r="T86" s="106"/>
      <c r="U86" s="106"/>
      <c r="V86" s="101"/>
      <c r="W86" s="106"/>
      <c r="X86" s="101"/>
      <c r="Y86" s="114" t="str">
        <f t="shared" si="1"/>
        <v>,,,,,,,,,</v>
      </c>
      <c r="Z86" s="114"/>
      <c r="AA86" s="114"/>
      <c r="AB86" s="114"/>
      <c r="AC86" s="114"/>
      <c r="AD86" s="114"/>
      <c r="AE86" s="114"/>
      <c r="AF86" s="114"/>
      <c r="AG86" s="114"/>
      <c r="AH86" s="114"/>
      <c r="AI86" s="113"/>
      <c r="AJ86" s="113"/>
      <c r="AK86" s="113"/>
      <c r="AL86" s="113"/>
      <c r="AM86" s="113"/>
      <c r="AN86" s="113"/>
      <c r="AO86" s="113"/>
      <c r="AP86" s="113"/>
      <c r="AQ86" s="113"/>
      <c r="AR86" s="113"/>
      <c r="AS86" s="113"/>
      <c r="AT86" s="113"/>
      <c r="AU86" s="113"/>
      <c r="AV86" s="113"/>
      <c r="AW86" s="113"/>
      <c r="AX86" s="113"/>
      <c r="AY86" s="113"/>
      <c r="AZ86" s="113"/>
    </row>
    <row r="87" spans="1:52">
      <c r="A87" s="111" t="s">
        <v>23</v>
      </c>
      <c r="B87" s="111">
        <v>6</v>
      </c>
      <c r="C87" s="112" t="str">
        <f t="shared" si="0"/>
        <v>RPG51</v>
      </c>
      <c r="D87" s="101" t="s">
        <v>3674</v>
      </c>
      <c r="E87" s="117">
        <v>45845</v>
      </c>
      <c r="F87" s="101" t="s">
        <v>2900</v>
      </c>
      <c r="G87" s="111" t="str">
        <f>VLOOKUP(C87,CODORL!Q:T,4,FALSE)</f>
        <v>María Rey Marcos</v>
      </c>
      <c r="H87" s="101" t="s">
        <v>2080</v>
      </c>
      <c r="I87" s="101" t="s">
        <v>2901</v>
      </c>
      <c r="J87" s="101" t="s">
        <v>2902</v>
      </c>
      <c r="K87" s="101" t="s">
        <v>2903</v>
      </c>
      <c r="L87" s="101">
        <v>2400</v>
      </c>
      <c r="M87" s="101"/>
      <c r="N87" s="101" t="s">
        <v>3675</v>
      </c>
      <c r="O87" s="101" t="s">
        <v>3676</v>
      </c>
      <c r="P87" s="101" t="s">
        <v>3677</v>
      </c>
      <c r="Q87" s="101" t="s">
        <v>3678</v>
      </c>
      <c r="R87" s="106"/>
      <c r="S87" s="106"/>
      <c r="T87" s="101"/>
      <c r="U87" s="106"/>
      <c r="V87" s="101"/>
      <c r="W87" s="101"/>
      <c r="X87" s="101"/>
      <c r="Y87" s="114" t="str">
        <f t="shared" si="1"/>
        <v>,,,,,,,,,</v>
      </c>
      <c r="Z87" s="114"/>
      <c r="AA87" s="114"/>
      <c r="AB87" s="114"/>
      <c r="AC87" s="114"/>
      <c r="AD87" s="114"/>
      <c r="AE87" s="114"/>
      <c r="AF87" s="114"/>
      <c r="AG87" s="114"/>
      <c r="AH87" s="114"/>
      <c r="AI87" s="113"/>
      <c r="AJ87" s="113"/>
      <c r="AK87" s="113"/>
      <c r="AL87" s="113"/>
      <c r="AM87" s="113"/>
      <c r="AN87" s="113"/>
      <c r="AO87" s="113"/>
      <c r="AP87" s="113"/>
      <c r="AQ87" s="113"/>
      <c r="AR87" s="113"/>
      <c r="AS87" s="113"/>
      <c r="AT87" s="113"/>
      <c r="AU87" s="113"/>
      <c r="AV87" s="113"/>
      <c r="AW87" s="113"/>
      <c r="AX87" s="113"/>
      <c r="AY87" s="113"/>
      <c r="AZ87" s="113"/>
    </row>
    <row r="88" spans="1:52">
      <c r="A88" s="111" t="s">
        <v>23</v>
      </c>
      <c r="B88" s="111">
        <v>6</v>
      </c>
      <c r="C88" s="112" t="str">
        <f t="shared" si="0"/>
        <v>RPG31</v>
      </c>
      <c r="D88" s="101" t="s">
        <v>3679</v>
      </c>
      <c r="E88" s="117">
        <v>45845</v>
      </c>
      <c r="F88" s="101" t="s">
        <v>2900</v>
      </c>
      <c r="G88" s="111" t="str">
        <f>VLOOKUP(C88,CODORL!Q:T,4,FALSE)</f>
        <v>Rafael Alfonso Hurtado Ruzza</v>
      </c>
      <c r="H88" s="101" t="s">
        <v>3430</v>
      </c>
      <c r="I88" s="101" t="s">
        <v>3431</v>
      </c>
      <c r="J88" s="101" t="s">
        <v>3432</v>
      </c>
      <c r="K88" s="101" t="s">
        <v>3433</v>
      </c>
      <c r="L88" s="101">
        <v>1200</v>
      </c>
      <c r="M88" s="101"/>
      <c r="N88" s="101" t="s">
        <v>3680</v>
      </c>
      <c r="O88" s="101" t="s">
        <v>3681</v>
      </c>
      <c r="P88" s="101"/>
      <c r="Q88" s="101"/>
      <c r="R88" s="106"/>
      <c r="S88" s="106"/>
      <c r="T88" s="101"/>
      <c r="U88" s="101"/>
      <c r="V88" s="101"/>
      <c r="W88" s="101"/>
      <c r="X88" s="101"/>
      <c r="Y88" s="114" t="str">
        <f t="shared" si="1"/>
        <v>,,,,,,,,,</v>
      </c>
      <c r="Z88" s="114"/>
      <c r="AA88" s="114"/>
      <c r="AB88" s="114"/>
      <c r="AC88" s="114"/>
      <c r="AD88" s="114"/>
      <c r="AE88" s="114"/>
      <c r="AF88" s="114"/>
      <c r="AG88" s="114"/>
      <c r="AH88" s="114"/>
      <c r="AI88" s="113"/>
      <c r="AJ88" s="113"/>
      <c r="AK88" s="113"/>
      <c r="AL88" s="113"/>
      <c r="AM88" s="113"/>
      <c r="AN88" s="113"/>
      <c r="AO88" s="113"/>
      <c r="AP88" s="113"/>
      <c r="AQ88" s="113"/>
      <c r="AR88" s="113"/>
      <c r="AS88" s="113"/>
      <c r="AT88" s="113"/>
      <c r="AU88" s="113"/>
      <c r="AV88" s="113"/>
      <c r="AW88" s="113"/>
      <c r="AX88" s="113"/>
      <c r="AY88" s="113"/>
      <c r="AZ88" s="113"/>
    </row>
    <row r="89" spans="1:52">
      <c r="A89" s="111" t="s">
        <v>14</v>
      </c>
      <c r="B89" s="111">
        <v>6</v>
      </c>
      <c r="C89" s="112" t="str">
        <f t="shared" si="0"/>
        <v>RFV28</v>
      </c>
      <c r="D89" s="101" t="s">
        <v>3682</v>
      </c>
      <c r="E89" s="117">
        <v>45845</v>
      </c>
      <c r="F89" s="101" t="s">
        <v>2921</v>
      </c>
      <c r="G89" s="111" t="str">
        <f>VLOOKUP(C89,CODORL!Q:T,4,FALSE)</f>
        <v>Celia López Molla</v>
      </c>
      <c r="H89" s="101" t="s">
        <v>3052</v>
      </c>
      <c r="I89" s="101" t="s">
        <v>3053</v>
      </c>
      <c r="J89" s="101" t="s">
        <v>3054</v>
      </c>
      <c r="K89" s="101" t="s">
        <v>3055</v>
      </c>
      <c r="L89" s="101">
        <v>900</v>
      </c>
      <c r="M89" s="101">
        <v>50</v>
      </c>
      <c r="N89" s="101" t="s">
        <v>3683</v>
      </c>
      <c r="O89" s="101" t="s">
        <v>3684</v>
      </c>
      <c r="P89" s="101"/>
      <c r="Q89" s="101"/>
      <c r="R89" s="106"/>
      <c r="S89" s="106"/>
      <c r="T89" s="101"/>
      <c r="U89" s="101"/>
      <c r="V89" s="101"/>
      <c r="W89" s="101"/>
      <c r="X89" s="101"/>
      <c r="Y89" s="114" t="str">
        <f t="shared" si="1"/>
        <v>,,,,,,,,,</v>
      </c>
      <c r="Z89" s="114"/>
      <c r="AA89" s="114"/>
      <c r="AB89" s="114"/>
      <c r="AC89" s="114"/>
      <c r="AD89" s="114"/>
      <c r="AE89" s="114"/>
      <c r="AF89" s="114"/>
      <c r="AG89" s="114"/>
      <c r="AH89" s="114"/>
      <c r="AI89" s="113"/>
      <c r="AJ89" s="113"/>
      <c r="AK89" s="113"/>
      <c r="AL89" s="113"/>
      <c r="AM89" s="113"/>
      <c r="AN89" s="113"/>
      <c r="AO89" s="113"/>
      <c r="AP89" s="113"/>
      <c r="AQ89" s="113"/>
      <c r="AR89" s="113"/>
      <c r="AS89" s="113"/>
      <c r="AT89" s="113"/>
      <c r="AU89" s="113"/>
      <c r="AV89" s="113"/>
      <c r="AW89" s="113"/>
      <c r="AX89" s="113"/>
      <c r="AY89" s="113"/>
      <c r="AZ89" s="113"/>
    </row>
    <row r="90" spans="1:52">
      <c r="A90" s="111" t="s">
        <v>3087</v>
      </c>
      <c r="B90" s="111">
        <v>6</v>
      </c>
      <c r="C90" s="112" t="str">
        <f t="shared" si="0"/>
        <v>MCC67</v>
      </c>
      <c r="D90" s="101" t="s">
        <v>3685</v>
      </c>
      <c r="E90" s="117">
        <v>45845</v>
      </c>
      <c r="F90" s="101" t="s">
        <v>2916</v>
      </c>
      <c r="G90" s="111" t="str">
        <f>VLOOKUP(C90,CODORL!Q:T,4,FALSE)</f>
        <v>Cristina Marín Garrido</v>
      </c>
      <c r="H90" s="101" t="s">
        <v>610</v>
      </c>
      <c r="I90" s="101" t="s">
        <v>3686</v>
      </c>
      <c r="J90" s="101" t="s">
        <v>3687</v>
      </c>
      <c r="K90" s="101" t="s">
        <v>3688</v>
      </c>
      <c r="L90" s="101">
        <v>600</v>
      </c>
      <c r="M90" s="101">
        <v>0</v>
      </c>
      <c r="N90" s="101" t="s">
        <v>3689</v>
      </c>
      <c r="O90" s="106"/>
      <c r="P90" s="101"/>
      <c r="Q90" s="101"/>
      <c r="R90" s="101"/>
      <c r="S90" s="101"/>
      <c r="T90" s="101"/>
      <c r="U90" s="101"/>
      <c r="V90" s="101"/>
      <c r="W90" s="101"/>
      <c r="X90" s="101"/>
      <c r="Y90" s="114" t="str">
        <f t="shared" si="1"/>
        <v>,,,,,,,,,</v>
      </c>
      <c r="Z90" s="114"/>
      <c r="AA90" s="114"/>
      <c r="AB90" s="114"/>
      <c r="AC90" s="114"/>
      <c r="AD90" s="114"/>
      <c r="AE90" s="114"/>
      <c r="AF90" s="114"/>
      <c r="AG90" s="114"/>
      <c r="AH90" s="114"/>
      <c r="AI90" s="113"/>
      <c r="AJ90" s="113"/>
      <c r="AK90" s="113"/>
      <c r="AL90" s="113"/>
      <c r="AM90" s="113"/>
      <c r="AN90" s="113"/>
      <c r="AO90" s="113"/>
      <c r="AP90" s="113"/>
      <c r="AQ90" s="113"/>
      <c r="AR90" s="113"/>
      <c r="AS90" s="113"/>
      <c r="AT90" s="113"/>
      <c r="AU90" s="113"/>
      <c r="AV90" s="113"/>
      <c r="AW90" s="113"/>
      <c r="AX90" s="113"/>
      <c r="AY90" s="113"/>
      <c r="AZ90" s="113"/>
    </row>
    <row r="91" spans="1:52">
      <c r="A91" s="111" t="s">
        <v>8</v>
      </c>
      <c r="B91" s="111">
        <v>6</v>
      </c>
      <c r="C91" s="112" t="str">
        <f t="shared" si="0"/>
        <v>MBM03</v>
      </c>
      <c r="D91" s="101" t="s">
        <v>3690</v>
      </c>
      <c r="E91" s="117">
        <v>45845</v>
      </c>
      <c r="F91" s="101" t="s">
        <v>2984</v>
      </c>
      <c r="G91" s="111" t="str">
        <f>VLOOKUP(C91,CODORL!Q:T,4,FALSE)</f>
        <v>Alejandro Harguindey Antoli-Candela</v>
      </c>
      <c r="H91" s="101" t="s">
        <v>110</v>
      </c>
      <c r="I91" s="101" t="s">
        <v>3299</v>
      </c>
      <c r="J91" s="101" t="s">
        <v>3344</v>
      </c>
      <c r="K91" s="101" t="s">
        <v>2945</v>
      </c>
      <c r="L91" s="101">
        <v>300</v>
      </c>
      <c r="M91" s="113">
        <v>0</v>
      </c>
      <c r="N91" s="101" t="s">
        <v>3691</v>
      </c>
      <c r="O91" s="113"/>
      <c r="P91" s="101"/>
      <c r="Q91" s="101"/>
      <c r="R91" s="101"/>
      <c r="S91" s="101"/>
      <c r="T91" s="101"/>
      <c r="U91" s="101"/>
      <c r="V91" s="101"/>
      <c r="W91" s="101"/>
      <c r="X91" s="101"/>
      <c r="Y91" s="114" t="str">
        <f t="shared" si="1"/>
        <v>,,,,,,,,,</v>
      </c>
      <c r="Z91" s="114"/>
      <c r="AA91" s="114"/>
      <c r="AB91" s="114"/>
      <c r="AC91" s="114"/>
      <c r="AD91" s="114"/>
      <c r="AE91" s="114"/>
      <c r="AF91" s="114"/>
      <c r="AG91" s="114"/>
      <c r="AH91" s="114"/>
      <c r="AI91" s="113"/>
      <c r="AJ91" s="113"/>
      <c r="AK91" s="113"/>
      <c r="AL91" s="113"/>
      <c r="AM91" s="113"/>
      <c r="AN91" s="113"/>
      <c r="AO91" s="113"/>
      <c r="AP91" s="113"/>
      <c r="AQ91" s="113"/>
      <c r="AR91" s="113"/>
      <c r="AS91" s="113"/>
      <c r="AT91" s="113"/>
      <c r="AU91" s="113"/>
      <c r="AV91" s="113"/>
      <c r="AW91" s="113"/>
      <c r="AX91" s="113"/>
      <c r="AY91" s="113"/>
      <c r="AZ91" s="113"/>
    </row>
    <row r="92" spans="1:52">
      <c r="A92" s="111" t="s">
        <v>8</v>
      </c>
      <c r="B92" s="111">
        <v>6</v>
      </c>
      <c r="C92" s="112" t="str">
        <f t="shared" si="0"/>
        <v>MBM41</v>
      </c>
      <c r="D92" s="101" t="s">
        <v>3692</v>
      </c>
      <c r="E92" s="117">
        <v>45845</v>
      </c>
      <c r="F92" s="101" t="s">
        <v>2886</v>
      </c>
      <c r="G92" s="111" t="str">
        <f>VLOOKUP(C92,CODORL!Q:T,4,FALSE)</f>
        <v>Javier Olarieta Soto</v>
      </c>
      <c r="H92" s="101" t="s">
        <v>1254</v>
      </c>
      <c r="I92" s="101" t="s">
        <v>3470</v>
      </c>
      <c r="J92" s="101" t="s">
        <v>3471</v>
      </c>
      <c r="K92" s="101" t="s">
        <v>3472</v>
      </c>
      <c r="L92" s="101">
        <v>300</v>
      </c>
      <c r="M92" s="101"/>
      <c r="N92" s="101" t="s">
        <v>3693</v>
      </c>
      <c r="O92" s="106"/>
      <c r="P92" s="101"/>
      <c r="Q92" s="101"/>
      <c r="R92" s="101"/>
      <c r="S92" s="101"/>
      <c r="T92" s="101"/>
      <c r="U92" s="101"/>
      <c r="V92" s="101"/>
      <c r="W92" s="101"/>
      <c r="X92" s="101"/>
      <c r="Y92" s="114" t="str">
        <f t="shared" si="1"/>
        <v>,,,,,,,,,</v>
      </c>
      <c r="Z92" s="114"/>
      <c r="AA92" s="114"/>
      <c r="AB92" s="114"/>
      <c r="AC92" s="114"/>
      <c r="AD92" s="114"/>
      <c r="AE92" s="114"/>
      <c r="AF92" s="114"/>
      <c r="AG92" s="114"/>
      <c r="AH92" s="114"/>
      <c r="AI92" s="113"/>
      <c r="AJ92" s="113"/>
      <c r="AK92" s="113"/>
      <c r="AL92" s="113"/>
      <c r="AM92" s="113"/>
      <c r="AN92" s="113"/>
      <c r="AO92" s="113"/>
      <c r="AP92" s="113"/>
      <c r="AQ92" s="113"/>
      <c r="AR92" s="113"/>
      <c r="AS92" s="113"/>
      <c r="AT92" s="113"/>
      <c r="AU92" s="113"/>
      <c r="AV92" s="113"/>
      <c r="AW92" s="113"/>
      <c r="AX92" s="113"/>
      <c r="AY92" s="113"/>
      <c r="AZ92" s="113"/>
    </row>
    <row r="93" spans="1:52">
      <c r="A93" s="111" t="s">
        <v>3087</v>
      </c>
      <c r="B93" s="111">
        <v>6</v>
      </c>
      <c r="C93" s="112" t="str">
        <f t="shared" si="0"/>
        <v>MCC68</v>
      </c>
      <c r="D93" s="101" t="s">
        <v>3694</v>
      </c>
      <c r="E93" s="117">
        <v>45845</v>
      </c>
      <c r="F93" s="101" t="s">
        <v>2916</v>
      </c>
      <c r="G93" s="111" t="str">
        <f>VLOOKUP(C93,CODORL!Q:T,4,FALSE)</f>
        <v>Miriam Hamdham</v>
      </c>
      <c r="H93" s="101" t="s">
        <v>2302</v>
      </c>
      <c r="I93" s="101" t="s">
        <v>3695</v>
      </c>
      <c r="J93" s="101" t="s">
        <v>3696</v>
      </c>
      <c r="K93" s="101" t="s">
        <v>3697</v>
      </c>
      <c r="L93" s="101">
        <v>600</v>
      </c>
      <c r="M93" s="101"/>
      <c r="N93" s="101" t="s">
        <v>3698</v>
      </c>
      <c r="O93" s="106"/>
      <c r="P93" s="101"/>
      <c r="Q93" s="101"/>
      <c r="R93" s="101"/>
      <c r="S93" s="101"/>
      <c r="T93" s="101"/>
      <c r="U93" s="101"/>
      <c r="V93" s="101"/>
      <c r="W93" s="101"/>
      <c r="X93" s="101"/>
      <c r="Y93" s="114" t="str">
        <f t="shared" si="1"/>
        <v>,,,,,,,,,</v>
      </c>
      <c r="Z93" s="114"/>
      <c r="AA93" s="114"/>
      <c r="AB93" s="114"/>
      <c r="AC93" s="114"/>
      <c r="AD93" s="114"/>
      <c r="AE93" s="114"/>
      <c r="AF93" s="114"/>
      <c r="AG93" s="114"/>
      <c r="AH93" s="114"/>
      <c r="AI93" s="114"/>
      <c r="AJ93" s="115"/>
      <c r="AK93" s="115"/>
      <c r="AL93" s="115"/>
      <c r="AM93" s="115"/>
      <c r="AN93" s="115"/>
      <c r="AO93" s="115"/>
      <c r="AP93" s="115"/>
      <c r="AQ93" s="115"/>
      <c r="AR93" s="115"/>
      <c r="AS93" s="115"/>
      <c r="AT93" s="115"/>
      <c r="AU93" s="115"/>
      <c r="AV93" s="115"/>
      <c r="AW93" s="115"/>
      <c r="AX93" s="115"/>
      <c r="AY93" s="115"/>
      <c r="AZ93" s="115"/>
    </row>
    <row r="94" spans="1:52">
      <c r="A94" s="111" t="s">
        <v>8</v>
      </c>
      <c r="B94" s="111">
        <v>6</v>
      </c>
      <c r="C94" s="112" t="str">
        <f t="shared" si="0"/>
        <v>MBM145</v>
      </c>
      <c r="D94" s="101" t="s">
        <v>3699</v>
      </c>
      <c r="E94" s="117">
        <v>45845</v>
      </c>
      <c r="F94" s="101" t="s">
        <v>3700</v>
      </c>
      <c r="G94" s="111" t="str">
        <f>VLOOKUP(C94,CODORL!Q:T,4,FALSE)</f>
        <v>María del Mar Martínez Ruiz-coello</v>
      </c>
      <c r="H94" s="101" t="s">
        <v>1951</v>
      </c>
      <c r="I94" s="101" t="s">
        <v>3701</v>
      </c>
      <c r="J94" s="101" t="s">
        <v>3702</v>
      </c>
      <c r="K94" s="101" t="s">
        <v>3703</v>
      </c>
      <c r="L94" s="101">
        <v>2400</v>
      </c>
      <c r="M94" s="101"/>
      <c r="N94" s="101" t="s">
        <v>3704</v>
      </c>
      <c r="O94" s="101" t="s">
        <v>3705</v>
      </c>
      <c r="P94" s="101" t="s">
        <v>3706</v>
      </c>
      <c r="Q94" s="101" t="s">
        <v>3707</v>
      </c>
      <c r="R94" s="106"/>
      <c r="S94" s="106"/>
      <c r="T94" s="101"/>
      <c r="U94" s="106"/>
      <c r="V94" s="101"/>
      <c r="W94" s="101"/>
      <c r="X94" s="101"/>
      <c r="Y94" s="114" t="str">
        <f t="shared" si="1"/>
        <v>,,,,,,,,,</v>
      </c>
      <c r="Z94" s="114"/>
      <c r="AA94" s="114"/>
      <c r="AB94" s="114"/>
      <c r="AC94" s="114"/>
      <c r="AD94" s="114"/>
      <c r="AE94" s="114"/>
      <c r="AF94" s="114"/>
      <c r="AG94" s="114"/>
      <c r="AH94" s="114"/>
      <c r="AI94" s="114"/>
      <c r="AJ94" s="115"/>
      <c r="AK94" s="115"/>
      <c r="AL94" s="115"/>
      <c r="AM94" s="115"/>
      <c r="AN94" s="115"/>
      <c r="AO94" s="115"/>
      <c r="AP94" s="115"/>
      <c r="AQ94" s="115"/>
      <c r="AR94" s="115"/>
      <c r="AS94" s="115"/>
      <c r="AT94" s="115"/>
      <c r="AU94" s="115"/>
      <c r="AV94" s="115"/>
      <c r="AW94" s="115"/>
      <c r="AX94" s="115"/>
      <c r="AY94" s="115"/>
      <c r="AZ94" s="115"/>
    </row>
    <row r="95" spans="1:52">
      <c r="A95" s="111" t="s">
        <v>47</v>
      </c>
      <c r="B95" s="111">
        <v>6</v>
      </c>
      <c r="C95" s="112" t="str">
        <f t="shared" si="0"/>
        <v>ISL136</v>
      </c>
      <c r="D95" s="101" t="s">
        <v>3708</v>
      </c>
      <c r="E95" s="117">
        <v>45845</v>
      </c>
      <c r="F95" s="101" t="s">
        <v>2873</v>
      </c>
      <c r="G95" s="111" t="str">
        <f>VLOOKUP(C95,CODORL!Q:T,4,FALSE)</f>
        <v>Oreana Carolina Camacaro González</v>
      </c>
      <c r="H95" s="101" t="s">
        <v>2874</v>
      </c>
      <c r="I95" s="101" t="s">
        <v>3584</v>
      </c>
      <c r="J95" s="101" t="s">
        <v>2876</v>
      </c>
      <c r="K95" s="101" t="s">
        <v>2877</v>
      </c>
      <c r="L95" s="101">
        <v>600</v>
      </c>
      <c r="M95" s="101">
        <v>100</v>
      </c>
      <c r="N95" s="101" t="s">
        <v>3709</v>
      </c>
      <c r="O95" s="106"/>
      <c r="P95" s="101"/>
      <c r="Q95" s="101"/>
      <c r="R95" s="101"/>
      <c r="S95" s="101"/>
      <c r="T95" s="101"/>
      <c r="U95" s="101"/>
      <c r="V95" s="101"/>
      <c r="W95" s="101"/>
      <c r="X95" s="101"/>
      <c r="Y95" s="114" t="str">
        <f t="shared" si="1"/>
        <v>,,,,,,,,,</v>
      </c>
      <c r="Z95" s="114"/>
      <c r="AA95" s="114"/>
      <c r="AB95" s="114"/>
      <c r="AC95" s="114"/>
      <c r="AD95" s="114"/>
      <c r="AE95" s="114"/>
      <c r="AF95" s="114"/>
      <c r="AG95" s="114"/>
      <c r="AH95" s="114"/>
      <c r="AI95" s="114"/>
      <c r="AJ95" s="115"/>
      <c r="AK95" s="115"/>
      <c r="AL95" s="115"/>
      <c r="AM95" s="115"/>
      <c r="AN95" s="115"/>
      <c r="AO95" s="115"/>
      <c r="AP95" s="115"/>
      <c r="AQ95" s="115"/>
      <c r="AR95" s="115"/>
      <c r="AS95" s="115"/>
      <c r="AT95" s="115"/>
      <c r="AU95" s="115"/>
      <c r="AV95" s="115"/>
      <c r="AW95" s="115"/>
      <c r="AX95" s="115"/>
      <c r="AY95" s="115"/>
      <c r="AZ95" s="115"/>
    </row>
    <row r="96" spans="1:52">
      <c r="A96" s="111" t="s">
        <v>2784</v>
      </c>
      <c r="B96" s="111">
        <v>7</v>
      </c>
      <c r="C96" s="112" t="str">
        <f t="shared" si="0"/>
        <v>LRM125</v>
      </c>
      <c r="D96" s="101" t="s">
        <v>3710</v>
      </c>
      <c r="E96" s="117">
        <v>45870</v>
      </c>
      <c r="F96" s="101" t="s">
        <v>2972</v>
      </c>
      <c r="G96" s="111" t="str">
        <f>VLOOKUP(C96,CODORL!Q:T,4,FALSE)</f>
        <v>Ainhoa Moreno Bravo</v>
      </c>
      <c r="H96" s="101" t="s">
        <v>71</v>
      </c>
      <c r="I96" s="101" t="s">
        <v>2973</v>
      </c>
      <c r="J96" s="101" t="s">
        <v>2974</v>
      </c>
      <c r="K96" s="101" t="s">
        <v>2975</v>
      </c>
      <c r="L96" s="101">
        <v>600</v>
      </c>
      <c r="M96" s="101"/>
      <c r="N96" s="101" t="s">
        <v>3711</v>
      </c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14" t="str">
        <f t="shared" si="1"/>
        <v>,,,,,,,,,</v>
      </c>
      <c r="Z96" s="114"/>
      <c r="AA96" s="114"/>
      <c r="AB96" s="114"/>
      <c r="AC96" s="114"/>
      <c r="AD96" s="114"/>
      <c r="AE96" s="114"/>
      <c r="AF96" s="114"/>
      <c r="AG96" s="114"/>
      <c r="AH96" s="114"/>
      <c r="AI96" s="114"/>
      <c r="AJ96" s="114"/>
      <c r="AK96" s="115"/>
      <c r="AL96" s="115"/>
      <c r="AM96" s="115"/>
      <c r="AN96" s="115"/>
      <c r="AO96" s="115"/>
      <c r="AP96" s="115"/>
      <c r="AQ96" s="115"/>
      <c r="AR96" s="115"/>
      <c r="AS96" s="115"/>
      <c r="AT96" s="115"/>
      <c r="AU96" s="115"/>
      <c r="AV96" s="115"/>
      <c r="AW96" s="115"/>
      <c r="AX96" s="115"/>
      <c r="AY96" s="115"/>
      <c r="AZ96" s="115"/>
    </row>
    <row r="97" spans="1:52">
      <c r="A97" s="111" t="s">
        <v>8</v>
      </c>
      <c r="B97" s="111">
        <v>7</v>
      </c>
      <c r="C97" s="112" t="str">
        <f t="shared" si="0"/>
        <v>MBM11</v>
      </c>
      <c r="D97" s="101" t="s">
        <v>3712</v>
      </c>
      <c r="E97" s="117">
        <v>45870</v>
      </c>
      <c r="F97" s="101" t="s">
        <v>2880</v>
      </c>
      <c r="G97" s="111" t="str">
        <f>VLOOKUP(C97,CODORL!Q:T,4,FALSE)</f>
        <v>Antonio Rodríguez Rivero</v>
      </c>
      <c r="H97" s="101" t="s">
        <v>358</v>
      </c>
      <c r="I97" s="101" t="s">
        <v>2881</v>
      </c>
      <c r="J97" s="101" t="s">
        <v>2882</v>
      </c>
      <c r="K97" s="101" t="s">
        <v>2883</v>
      </c>
      <c r="L97" s="101">
        <v>1200</v>
      </c>
      <c r="M97" s="101"/>
      <c r="N97" s="101" t="s">
        <v>3713</v>
      </c>
      <c r="O97" s="101" t="s">
        <v>3714</v>
      </c>
      <c r="P97" s="101"/>
      <c r="Q97" s="101"/>
      <c r="R97" s="101"/>
      <c r="S97" s="101"/>
      <c r="T97" s="101"/>
      <c r="U97" s="101"/>
      <c r="V97" s="101"/>
      <c r="W97" s="101"/>
      <c r="X97" s="101"/>
      <c r="Y97" s="114" t="str">
        <f t="shared" si="1"/>
        <v>C20253191222199,,,,,,,,,</v>
      </c>
      <c r="Z97" s="114" t="s">
        <v>3715</v>
      </c>
      <c r="AA97" s="114"/>
      <c r="AB97" s="114"/>
      <c r="AC97" s="114"/>
      <c r="AD97" s="114"/>
      <c r="AE97" s="114"/>
      <c r="AF97" s="114"/>
      <c r="AG97" s="114"/>
      <c r="AH97" s="114"/>
      <c r="AI97" s="114"/>
      <c r="AJ97" s="114"/>
      <c r="AK97" s="115"/>
      <c r="AL97" s="115"/>
      <c r="AM97" s="115"/>
      <c r="AN97" s="115"/>
      <c r="AO97" s="115"/>
      <c r="AP97" s="115"/>
      <c r="AQ97" s="115"/>
      <c r="AR97" s="115"/>
      <c r="AS97" s="115"/>
      <c r="AT97" s="115"/>
      <c r="AU97" s="115"/>
      <c r="AV97" s="115"/>
      <c r="AW97" s="115"/>
      <c r="AX97" s="115"/>
      <c r="AY97" s="115"/>
      <c r="AZ97" s="115"/>
    </row>
    <row r="98" spans="1:52">
      <c r="A98" s="111" t="s">
        <v>47</v>
      </c>
      <c r="B98" s="111">
        <v>7</v>
      </c>
      <c r="C98" s="112" t="str">
        <f t="shared" si="0"/>
        <v>ISL14</v>
      </c>
      <c r="D98" s="101" t="s">
        <v>3716</v>
      </c>
      <c r="E98" s="117">
        <v>45870</v>
      </c>
      <c r="F98" s="101" t="s">
        <v>2961</v>
      </c>
      <c r="G98" s="111" t="str">
        <f>VLOOKUP(C98,CODORL!Q:T,4,FALSE)</f>
        <v>Carlos Velásquez Fermín</v>
      </c>
      <c r="H98" s="101" t="s">
        <v>3573</v>
      </c>
      <c r="I98" s="101" t="s">
        <v>3574</v>
      </c>
      <c r="J98" s="101" t="s">
        <v>3575</v>
      </c>
      <c r="K98" s="101" t="s">
        <v>3576</v>
      </c>
      <c r="L98" s="101">
        <v>300</v>
      </c>
      <c r="M98" s="101">
        <v>150</v>
      </c>
      <c r="N98" s="101" t="s">
        <v>3717</v>
      </c>
      <c r="O98" s="113"/>
      <c r="P98" s="101"/>
      <c r="Q98" s="101"/>
      <c r="R98" s="101"/>
      <c r="S98" s="101"/>
      <c r="T98" s="101"/>
      <c r="U98" s="101"/>
      <c r="V98" s="101"/>
      <c r="W98" s="101"/>
      <c r="X98" s="101"/>
      <c r="Y98" s="114" t="str">
        <f t="shared" si="1"/>
        <v>,,,,,,,,,</v>
      </c>
      <c r="Z98" s="114"/>
      <c r="AA98" s="114"/>
      <c r="AB98" s="114"/>
      <c r="AC98" s="114"/>
      <c r="AD98" s="114"/>
      <c r="AE98" s="114"/>
      <c r="AF98" s="114"/>
      <c r="AG98" s="114"/>
      <c r="AH98" s="114"/>
      <c r="AI98" s="114"/>
      <c r="AJ98" s="114"/>
      <c r="AK98" s="115"/>
      <c r="AL98" s="115"/>
      <c r="AM98" s="115"/>
      <c r="AN98" s="115"/>
      <c r="AO98" s="115"/>
      <c r="AP98" s="115"/>
      <c r="AQ98" s="115"/>
      <c r="AR98" s="115"/>
      <c r="AS98" s="115"/>
      <c r="AT98" s="115"/>
      <c r="AU98" s="115"/>
      <c r="AV98" s="115"/>
      <c r="AW98" s="115"/>
      <c r="AX98" s="115"/>
      <c r="AY98" s="115"/>
      <c r="AZ98" s="115"/>
    </row>
    <row r="99" spans="1:52">
      <c r="A99" s="111" t="s">
        <v>3087</v>
      </c>
      <c r="B99" s="111">
        <v>7</v>
      </c>
      <c r="C99" s="112" t="str">
        <f t="shared" si="0"/>
        <v>MCC04</v>
      </c>
      <c r="D99" s="101" t="s">
        <v>3718</v>
      </c>
      <c r="E99" s="117">
        <v>45870</v>
      </c>
      <c r="F99" s="101" t="s">
        <v>2909</v>
      </c>
      <c r="G99" s="111" t="str">
        <f>VLOOKUP(C99,CODORL!Q:T,4,FALSE)</f>
        <v>Darío Agudelo García</v>
      </c>
      <c r="H99" s="101" t="s">
        <v>652</v>
      </c>
      <c r="I99" s="101" t="s">
        <v>3719</v>
      </c>
      <c r="J99" s="101" t="s">
        <v>3720</v>
      </c>
      <c r="K99" s="101" t="s">
        <v>3721</v>
      </c>
      <c r="L99" s="101">
        <v>600</v>
      </c>
      <c r="M99" s="101"/>
      <c r="N99" s="101" t="s">
        <v>3722</v>
      </c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14" t="str">
        <f t="shared" si="1"/>
        <v>,,,,,,,,,</v>
      </c>
      <c r="Z99" s="114"/>
      <c r="AA99" s="114"/>
      <c r="AB99" s="114"/>
      <c r="AC99" s="114"/>
      <c r="AD99" s="114"/>
      <c r="AE99" s="114"/>
      <c r="AF99" s="114"/>
      <c r="AG99" s="114"/>
      <c r="AH99" s="114"/>
      <c r="AI99" s="114"/>
      <c r="AJ99" s="114"/>
      <c r="AK99" s="115"/>
      <c r="AL99" s="115"/>
      <c r="AM99" s="115"/>
      <c r="AN99" s="115"/>
      <c r="AO99" s="115"/>
      <c r="AP99" s="115"/>
      <c r="AQ99" s="115"/>
      <c r="AR99" s="115"/>
      <c r="AS99" s="115"/>
      <c r="AT99" s="115"/>
      <c r="AU99" s="115"/>
      <c r="AV99" s="115"/>
      <c r="AW99" s="115"/>
      <c r="AX99" s="115"/>
      <c r="AY99" s="115"/>
      <c r="AZ99" s="115"/>
    </row>
    <row r="100" spans="1:52">
      <c r="A100" s="111" t="s">
        <v>47</v>
      </c>
      <c r="B100" s="111">
        <v>7</v>
      </c>
      <c r="C100" s="112" t="str">
        <f t="shared" si="0"/>
        <v>ISL122</v>
      </c>
      <c r="D100" s="101" t="s">
        <v>3723</v>
      </c>
      <c r="E100" s="117">
        <v>45870</v>
      </c>
      <c r="F100" s="101" t="s">
        <v>2869</v>
      </c>
      <c r="G100" s="111" t="str">
        <f>VLOOKUP(C100,CODORL!Q:T,4,FALSE)</f>
        <v>María Agustina Sevilla García</v>
      </c>
      <c r="H100" s="101" t="s">
        <v>2952</v>
      </c>
      <c r="I100" s="101" t="s">
        <v>2953</v>
      </c>
      <c r="J100" s="101" t="s">
        <v>2954</v>
      </c>
      <c r="K100" s="101" t="s">
        <v>2955</v>
      </c>
      <c r="L100" s="101">
        <v>600</v>
      </c>
      <c r="M100" s="101">
        <v>100</v>
      </c>
      <c r="N100" s="101" t="s">
        <v>3724</v>
      </c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14" t="str">
        <f t="shared" si="1"/>
        <v>,,,,,,,,,</v>
      </c>
      <c r="Z100" s="114"/>
      <c r="AA100" s="114"/>
      <c r="AB100" s="114"/>
      <c r="AC100" s="114"/>
      <c r="AD100" s="114"/>
      <c r="AE100" s="114"/>
      <c r="AF100" s="114"/>
      <c r="AG100" s="114"/>
      <c r="AH100" s="114"/>
      <c r="AI100" s="114"/>
      <c r="AJ100" s="114"/>
      <c r="AK100" s="115"/>
      <c r="AL100" s="115"/>
      <c r="AM100" s="115"/>
      <c r="AN100" s="115"/>
      <c r="AO100" s="115"/>
      <c r="AP100" s="115"/>
      <c r="AQ100" s="115"/>
      <c r="AR100" s="115"/>
      <c r="AS100" s="115"/>
      <c r="AT100" s="115"/>
      <c r="AU100" s="115"/>
      <c r="AV100" s="115"/>
      <c r="AW100" s="115"/>
      <c r="AX100" s="115"/>
      <c r="AY100" s="115"/>
      <c r="AZ100" s="115"/>
    </row>
    <row r="101" spans="1:52">
      <c r="A101" s="111" t="s">
        <v>8</v>
      </c>
      <c r="B101" s="111">
        <v>7</v>
      </c>
      <c r="C101" s="112" t="str">
        <f t="shared" si="0"/>
        <v>MBM125</v>
      </c>
      <c r="D101" s="101" t="s">
        <v>3725</v>
      </c>
      <c r="E101" s="117">
        <v>45870</v>
      </c>
      <c r="F101" s="101" t="s">
        <v>3480</v>
      </c>
      <c r="G101" s="111" t="str">
        <f>VLOOKUP(C101,CODORL!Q:T,4,FALSE)</f>
        <v>Itziar Álvarez Palacios</v>
      </c>
      <c r="H101" s="101" t="s">
        <v>3481</v>
      </c>
      <c r="I101" s="101" t="s">
        <v>3482</v>
      </c>
      <c r="J101" s="101" t="s">
        <v>3483</v>
      </c>
      <c r="K101" s="101" t="s">
        <v>3484</v>
      </c>
      <c r="L101" s="101">
        <v>600</v>
      </c>
      <c r="M101" s="101"/>
      <c r="N101" s="101" t="s">
        <v>3726</v>
      </c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14" t="str">
        <f t="shared" si="1"/>
        <v>,,,,,,,,,</v>
      </c>
      <c r="Z101" s="114"/>
      <c r="AA101" s="114"/>
      <c r="AB101" s="114"/>
      <c r="AC101" s="114"/>
      <c r="AD101" s="114"/>
      <c r="AE101" s="114"/>
      <c r="AF101" s="114"/>
      <c r="AG101" s="114"/>
      <c r="AH101" s="114"/>
      <c r="AI101" s="114"/>
      <c r="AJ101" s="114"/>
      <c r="AK101" s="115"/>
      <c r="AL101" s="115"/>
      <c r="AM101" s="115"/>
      <c r="AN101" s="115"/>
      <c r="AO101" s="115"/>
      <c r="AP101" s="115"/>
      <c r="AQ101" s="115"/>
      <c r="AR101" s="115"/>
      <c r="AS101" s="115"/>
      <c r="AT101" s="115"/>
      <c r="AU101" s="115"/>
      <c r="AV101" s="115"/>
      <c r="AW101" s="115"/>
      <c r="AX101" s="115"/>
      <c r="AY101" s="115"/>
      <c r="AZ101" s="115"/>
    </row>
    <row r="102" spans="1:52">
      <c r="A102" s="111" t="s">
        <v>8</v>
      </c>
      <c r="B102" s="111">
        <v>7</v>
      </c>
      <c r="C102" s="112" t="str">
        <f t="shared" si="0"/>
        <v>MBM36</v>
      </c>
      <c r="D102" s="101" t="s">
        <v>3727</v>
      </c>
      <c r="E102" s="117">
        <v>45870</v>
      </c>
      <c r="F102" s="101" t="s">
        <v>3193</v>
      </c>
      <c r="G102" s="111" t="str">
        <f>VLOOKUP(C102,CODORL!Q:T,4,FALSE)</f>
        <v>Jaime Martín Carranza</v>
      </c>
      <c r="H102" s="101" t="s">
        <v>3728</v>
      </c>
      <c r="I102" s="101" t="s">
        <v>3729</v>
      </c>
      <c r="J102" s="101" t="s">
        <v>3730</v>
      </c>
      <c r="K102" s="101" t="s">
        <v>3731</v>
      </c>
      <c r="L102" s="101">
        <v>2700</v>
      </c>
      <c r="M102" s="101"/>
      <c r="N102" s="101" t="s">
        <v>3732</v>
      </c>
      <c r="O102" s="101" t="s">
        <v>3733</v>
      </c>
      <c r="P102" s="101" t="s">
        <v>3734</v>
      </c>
      <c r="Q102" s="101" t="s">
        <v>3735</v>
      </c>
      <c r="R102" s="101" t="s">
        <v>3736</v>
      </c>
      <c r="S102" s="101"/>
      <c r="T102" s="101"/>
      <c r="U102" s="101"/>
      <c r="V102" s="101"/>
      <c r="W102" s="101"/>
      <c r="X102" s="101"/>
      <c r="Y102" s="114" t="str">
        <f t="shared" si="1"/>
        <v>,,,,,,,,,</v>
      </c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5"/>
      <c r="AL102" s="115"/>
      <c r="AM102" s="115"/>
      <c r="AN102" s="115"/>
      <c r="AO102" s="115"/>
      <c r="AP102" s="115"/>
      <c r="AQ102" s="115"/>
      <c r="AR102" s="115"/>
      <c r="AS102" s="115"/>
      <c r="AT102" s="115"/>
      <c r="AU102" s="115"/>
      <c r="AV102" s="115"/>
      <c r="AW102" s="115"/>
      <c r="AX102" s="115"/>
      <c r="AY102" s="115"/>
      <c r="AZ102" s="115"/>
    </row>
    <row r="103" spans="1:52">
      <c r="A103" s="111" t="s">
        <v>3737</v>
      </c>
      <c r="B103" s="111">
        <v>7</v>
      </c>
      <c r="C103" s="112" t="str">
        <f t="shared" si="0"/>
        <v>LAA64</v>
      </c>
      <c r="D103" s="101" t="s">
        <v>3738</v>
      </c>
      <c r="E103" s="117">
        <v>45870</v>
      </c>
      <c r="F103" s="101" t="s">
        <v>3005</v>
      </c>
      <c r="G103" s="111" t="str">
        <f>VLOOKUP(C103,CODORL!Q:T,4,FALSE)</f>
        <v>Juan Manuel Maza Solano</v>
      </c>
      <c r="H103" s="101" t="s">
        <v>1604</v>
      </c>
      <c r="I103" s="101" t="s">
        <v>3212</v>
      </c>
      <c r="J103" s="101" t="s">
        <v>3407</v>
      </c>
      <c r="K103" s="101" t="s">
        <v>3214</v>
      </c>
      <c r="L103" s="101">
        <v>600</v>
      </c>
      <c r="M103" s="101">
        <v>200</v>
      </c>
      <c r="N103" s="101" t="s">
        <v>3739</v>
      </c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14" t="str">
        <f t="shared" si="1"/>
        <v>,,,,,,,,,</v>
      </c>
      <c r="Z103" s="114"/>
      <c r="AA103" s="114"/>
      <c r="AB103" s="114"/>
      <c r="AC103" s="114"/>
      <c r="AD103" s="114"/>
      <c r="AE103" s="114"/>
      <c r="AF103" s="114"/>
      <c r="AG103" s="114"/>
      <c r="AH103" s="114"/>
      <c r="AI103" s="114"/>
      <c r="AJ103" s="114"/>
      <c r="AK103" s="115"/>
      <c r="AL103" s="115"/>
      <c r="AM103" s="115"/>
      <c r="AN103" s="115"/>
      <c r="AO103" s="115"/>
      <c r="AP103" s="115"/>
      <c r="AQ103" s="115"/>
      <c r="AR103" s="115"/>
      <c r="AS103" s="115"/>
      <c r="AT103" s="115"/>
      <c r="AU103" s="115"/>
      <c r="AV103" s="115"/>
      <c r="AW103" s="115"/>
      <c r="AX103" s="115"/>
      <c r="AY103" s="115"/>
      <c r="AZ103" s="115"/>
    </row>
    <row r="104" spans="1:52">
      <c r="A104" s="111" t="s">
        <v>8</v>
      </c>
      <c r="B104" s="111">
        <v>7</v>
      </c>
      <c r="C104" s="112" t="str">
        <f t="shared" si="0"/>
        <v>MBM131</v>
      </c>
      <c r="D104" s="101" t="s">
        <v>3740</v>
      </c>
      <c r="E104" s="117">
        <v>45870</v>
      </c>
      <c r="F104" s="101" t="s">
        <v>2929</v>
      </c>
      <c r="G104" s="111" t="str">
        <f>VLOOKUP(C104,CODORL!Q:T,4,FALSE)</f>
        <v>Laura Garrido García</v>
      </c>
      <c r="H104" s="101" t="s">
        <v>1706</v>
      </c>
      <c r="I104" s="101" t="s">
        <v>3285</v>
      </c>
      <c r="J104" s="101" t="s">
        <v>3286</v>
      </c>
      <c r="K104" s="101" t="s">
        <v>3287</v>
      </c>
      <c r="L104" s="101">
        <v>300</v>
      </c>
      <c r="M104" s="101"/>
      <c r="N104" s="101" t="s">
        <v>3741</v>
      </c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14" t="str">
        <f t="shared" si="1"/>
        <v>,,,,,,,,,</v>
      </c>
      <c r="Z104" s="114"/>
      <c r="AA104" s="114"/>
      <c r="AB104" s="114"/>
      <c r="AC104" s="114"/>
      <c r="AD104" s="114"/>
      <c r="AE104" s="114"/>
      <c r="AF104" s="114"/>
      <c r="AG104" s="114"/>
      <c r="AH104" s="114"/>
      <c r="AI104" s="114"/>
      <c r="AJ104" s="114"/>
      <c r="AK104" s="115"/>
      <c r="AL104" s="115"/>
      <c r="AM104" s="115"/>
      <c r="AN104" s="115"/>
      <c r="AO104" s="115"/>
      <c r="AP104" s="115"/>
      <c r="AQ104" s="115"/>
      <c r="AR104" s="115"/>
      <c r="AS104" s="115"/>
      <c r="AT104" s="115"/>
      <c r="AU104" s="115"/>
      <c r="AV104" s="115"/>
      <c r="AW104" s="115"/>
      <c r="AX104" s="115"/>
      <c r="AY104" s="115"/>
      <c r="AZ104" s="115"/>
    </row>
    <row r="105" spans="1:52">
      <c r="A105" s="111" t="s">
        <v>23</v>
      </c>
      <c r="B105" s="111">
        <v>7</v>
      </c>
      <c r="C105" s="112" t="str">
        <f t="shared" si="0"/>
        <v>RPG51</v>
      </c>
      <c r="D105" s="101" t="s">
        <v>3742</v>
      </c>
      <c r="E105" s="117">
        <v>45870</v>
      </c>
      <c r="F105" s="101" t="s">
        <v>2900</v>
      </c>
      <c r="G105" s="111" t="str">
        <f>VLOOKUP(C105,CODORL!Q:T,4,FALSE)</f>
        <v>María Rey Marcos</v>
      </c>
      <c r="H105" s="101" t="s">
        <v>2080</v>
      </c>
      <c r="I105" s="101" t="s">
        <v>2901</v>
      </c>
      <c r="J105" s="101" t="s">
        <v>2902</v>
      </c>
      <c r="K105" s="101" t="s">
        <v>2903</v>
      </c>
      <c r="L105" s="101">
        <v>900</v>
      </c>
      <c r="M105" s="101"/>
      <c r="N105" s="101" t="s">
        <v>3743</v>
      </c>
      <c r="O105" s="101" t="s">
        <v>3744</v>
      </c>
      <c r="P105" s="101"/>
      <c r="Q105" s="101"/>
      <c r="R105" s="101"/>
      <c r="S105" s="101"/>
      <c r="T105" s="101"/>
      <c r="U105" s="101"/>
      <c r="V105" s="101"/>
      <c r="W105" s="101"/>
      <c r="X105" s="101"/>
      <c r="Y105" s="114" t="str">
        <f t="shared" si="1"/>
        <v>,,,,,,,,,</v>
      </c>
      <c r="Z105" s="114"/>
      <c r="AA105" s="114"/>
      <c r="AB105" s="114"/>
      <c r="AC105" s="114"/>
      <c r="AD105" s="114"/>
      <c r="AE105" s="114"/>
      <c r="AF105" s="114"/>
      <c r="AG105" s="114"/>
      <c r="AH105" s="114"/>
      <c r="AI105" s="114"/>
      <c r="AJ105" s="114"/>
      <c r="AK105" s="115"/>
      <c r="AL105" s="115"/>
      <c r="AM105" s="115"/>
      <c r="AN105" s="115"/>
      <c r="AO105" s="115"/>
      <c r="AP105" s="115"/>
      <c r="AQ105" s="115"/>
      <c r="AR105" s="115"/>
      <c r="AS105" s="115"/>
      <c r="AT105" s="115"/>
      <c r="AU105" s="115"/>
      <c r="AV105" s="115"/>
      <c r="AW105" s="115"/>
      <c r="AX105" s="115"/>
      <c r="AY105" s="115"/>
      <c r="AZ105" s="115"/>
    </row>
    <row r="106" spans="1:52">
      <c r="A106" s="111" t="s">
        <v>2784</v>
      </c>
      <c r="B106" s="111">
        <v>7</v>
      </c>
      <c r="C106" s="112" t="str">
        <f t="shared" si="0"/>
        <v>LRM220</v>
      </c>
      <c r="D106" s="101" t="s">
        <v>3745</v>
      </c>
      <c r="E106" s="117">
        <v>45870</v>
      </c>
      <c r="F106" s="101" t="s">
        <v>2972</v>
      </c>
      <c r="G106" s="111" t="str">
        <f>VLOOKUP(C106,CODORL!Q:T,4,FALSE)</f>
        <v>Natalia Gisseth Pulido Fonseca</v>
      </c>
      <c r="H106" s="101" t="s">
        <v>2329</v>
      </c>
      <c r="I106" s="101" t="s">
        <v>3492</v>
      </c>
      <c r="J106" s="101" t="s">
        <v>3493</v>
      </c>
      <c r="K106" s="101" t="s">
        <v>3494</v>
      </c>
      <c r="L106" s="101">
        <v>300</v>
      </c>
      <c r="M106" s="101"/>
      <c r="N106" s="101" t="s">
        <v>3746</v>
      </c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14" t="str">
        <f t="shared" si="1"/>
        <v>,,,,,,,,,</v>
      </c>
      <c r="Z106" s="114"/>
      <c r="AA106" s="114"/>
      <c r="AB106" s="114"/>
      <c r="AC106" s="114"/>
      <c r="AD106" s="114"/>
      <c r="AE106" s="114"/>
      <c r="AF106" s="114"/>
      <c r="AG106" s="114"/>
      <c r="AH106" s="114"/>
      <c r="AI106" s="114"/>
      <c r="AJ106" s="114"/>
      <c r="AK106" s="115"/>
      <c r="AL106" s="115"/>
      <c r="AM106" s="115"/>
      <c r="AN106" s="115"/>
      <c r="AO106" s="115"/>
      <c r="AP106" s="115"/>
      <c r="AQ106" s="115"/>
      <c r="AR106" s="115"/>
      <c r="AS106" s="115"/>
      <c r="AT106" s="115"/>
      <c r="AU106" s="115"/>
      <c r="AV106" s="115"/>
      <c r="AW106" s="115"/>
      <c r="AX106" s="115"/>
      <c r="AY106" s="115"/>
      <c r="AZ106" s="115"/>
    </row>
    <row r="107" spans="1:52">
      <c r="A107" s="111" t="s">
        <v>14</v>
      </c>
      <c r="B107" s="111">
        <v>7</v>
      </c>
      <c r="C107" s="112" t="str">
        <f t="shared" si="0"/>
        <v>RFV22</v>
      </c>
      <c r="D107" s="101" t="s">
        <v>3747</v>
      </c>
      <c r="E107" s="117">
        <v>45870</v>
      </c>
      <c r="F107" s="101" t="s">
        <v>2921</v>
      </c>
      <c r="G107" s="111" t="str">
        <f>VLOOKUP(C107,CODORL!Q:T,4,FALSE)</f>
        <v>Martín Eduardo Marcano Acuña</v>
      </c>
      <c r="H107" s="101" t="s">
        <v>2215</v>
      </c>
      <c r="I107" s="101" t="s">
        <v>2978</v>
      </c>
      <c r="J107" s="101" t="s">
        <v>2979</v>
      </c>
      <c r="K107" s="101" t="s">
        <v>2980</v>
      </c>
      <c r="L107" s="101">
        <v>1200</v>
      </c>
      <c r="M107" s="101">
        <v>200</v>
      </c>
      <c r="N107" s="101" t="s">
        <v>3748</v>
      </c>
      <c r="O107" s="101" t="s">
        <v>3749</v>
      </c>
      <c r="P107" s="101"/>
      <c r="Q107" s="101"/>
      <c r="R107" s="101"/>
      <c r="S107" s="101"/>
      <c r="T107" s="101"/>
      <c r="U107" s="101"/>
      <c r="V107" s="101"/>
      <c r="W107" s="101"/>
      <c r="X107" s="101"/>
      <c r="Y107" s="114" t="str">
        <f t="shared" si="1"/>
        <v>,,,,,,,,,</v>
      </c>
      <c r="Z107" s="114"/>
      <c r="AA107" s="114"/>
      <c r="AB107" s="114"/>
      <c r="AC107" s="114"/>
      <c r="AD107" s="114"/>
      <c r="AE107" s="114"/>
      <c r="AF107" s="114"/>
      <c r="AG107" s="114"/>
      <c r="AH107" s="114"/>
      <c r="AI107" s="114"/>
      <c r="AJ107" s="114"/>
      <c r="AK107" s="115"/>
      <c r="AL107" s="115"/>
      <c r="AM107" s="115"/>
      <c r="AN107" s="115"/>
      <c r="AO107" s="115"/>
      <c r="AP107" s="115"/>
      <c r="AQ107" s="115"/>
      <c r="AR107" s="115"/>
      <c r="AS107" s="115"/>
      <c r="AT107" s="115"/>
      <c r="AU107" s="115"/>
      <c r="AV107" s="115"/>
      <c r="AW107" s="115"/>
      <c r="AX107" s="115"/>
      <c r="AY107" s="115"/>
      <c r="AZ107" s="115"/>
    </row>
    <row r="108" spans="1:52">
      <c r="A108" s="111" t="s">
        <v>47</v>
      </c>
      <c r="B108" s="111">
        <v>8</v>
      </c>
      <c r="C108" s="112" t="str">
        <f t="shared" si="0"/>
        <v>ISL14</v>
      </c>
      <c r="D108" s="101" t="s">
        <v>3750</v>
      </c>
      <c r="E108" s="117">
        <v>45901</v>
      </c>
      <c r="F108" s="101" t="s">
        <v>2961</v>
      </c>
      <c r="G108" s="111" t="str">
        <f>VLOOKUP(C108,CODORL!Q:T,4,FALSE)</f>
        <v>Carlos Velásquez Fermín</v>
      </c>
      <c r="H108" s="101" t="s">
        <v>3573</v>
      </c>
      <c r="I108" s="101" t="s">
        <v>3574</v>
      </c>
      <c r="J108" s="101" t="s">
        <v>3575</v>
      </c>
      <c r="K108" s="101" t="s">
        <v>3576</v>
      </c>
      <c r="L108" s="101">
        <v>600</v>
      </c>
      <c r="M108" s="101">
        <v>250</v>
      </c>
      <c r="N108" s="101" t="s">
        <v>3751</v>
      </c>
      <c r="O108" s="113"/>
      <c r="P108" s="101"/>
      <c r="Q108" s="101"/>
      <c r="R108" s="101"/>
      <c r="S108" s="101"/>
      <c r="T108" s="101"/>
      <c r="U108" s="101"/>
      <c r="V108" s="101"/>
      <c r="W108" s="101"/>
      <c r="X108" s="101"/>
      <c r="Y108" s="114" t="str">
        <f t="shared" si="1"/>
        <v>,,,,,,,,,</v>
      </c>
      <c r="Z108" s="114"/>
      <c r="AA108" s="114"/>
      <c r="AB108" s="114"/>
      <c r="AC108" s="114"/>
      <c r="AD108" s="114"/>
      <c r="AE108" s="114"/>
      <c r="AF108" s="114"/>
      <c r="AG108" s="114"/>
      <c r="AH108" s="114"/>
      <c r="AI108" s="114"/>
      <c r="AJ108" s="115"/>
      <c r="AK108" s="115"/>
      <c r="AL108" s="115"/>
      <c r="AM108" s="115"/>
      <c r="AN108" s="115"/>
      <c r="AO108" s="115"/>
      <c r="AP108" s="115"/>
      <c r="AQ108" s="115"/>
      <c r="AR108" s="115"/>
      <c r="AS108" s="115"/>
      <c r="AT108" s="115"/>
      <c r="AU108" s="115"/>
      <c r="AV108" s="115"/>
      <c r="AW108" s="115"/>
      <c r="AX108" s="115"/>
      <c r="AY108" s="115"/>
      <c r="AZ108" s="115"/>
    </row>
    <row r="109" spans="1:52">
      <c r="A109" s="111" t="s">
        <v>14</v>
      </c>
      <c r="B109" s="111">
        <v>8</v>
      </c>
      <c r="C109" s="112" t="str">
        <f t="shared" si="0"/>
        <v>RFV15</v>
      </c>
      <c r="D109" s="101" t="s">
        <v>3752</v>
      </c>
      <c r="E109" s="117">
        <v>45901</v>
      </c>
      <c r="F109" s="101" t="s">
        <v>2921</v>
      </c>
      <c r="G109" s="111" t="str">
        <f>VLOOKUP(C109,CODORL!Q:T,4,FALSE)</f>
        <v>Jean Franco Intraprendente Martini</v>
      </c>
      <c r="H109" s="101" t="s">
        <v>3027</v>
      </c>
      <c r="I109" s="103" t="s">
        <v>3028</v>
      </c>
      <c r="J109" s="103" t="s">
        <v>3029</v>
      </c>
      <c r="K109" s="103" t="s">
        <v>3294</v>
      </c>
      <c r="L109" s="103">
        <v>900</v>
      </c>
      <c r="M109" s="101">
        <v>50</v>
      </c>
      <c r="N109" s="101" t="s">
        <v>3753</v>
      </c>
      <c r="O109" s="101" t="s">
        <v>3754</v>
      </c>
      <c r="P109" s="101"/>
      <c r="Q109" s="101"/>
      <c r="R109" s="101"/>
      <c r="S109" s="101"/>
      <c r="T109" s="101"/>
      <c r="U109" s="101"/>
      <c r="V109" s="101"/>
      <c r="W109" s="101"/>
      <c r="X109" s="101"/>
      <c r="Y109" s="114" t="str">
        <f t="shared" si="1"/>
        <v>C202541112259462,,,,,,,,,</v>
      </c>
      <c r="Z109" s="114" t="s">
        <v>3034</v>
      </c>
      <c r="AA109" s="114"/>
      <c r="AB109" s="114"/>
      <c r="AC109" s="114"/>
      <c r="AD109" s="114"/>
      <c r="AE109" s="114"/>
      <c r="AF109" s="114"/>
      <c r="AG109" s="114"/>
      <c r="AH109" s="114"/>
      <c r="AI109" s="114"/>
      <c r="AJ109" s="115"/>
      <c r="AK109" s="115">
        <f t="shared" ref="AK109:AK110" si="8">L109/300</f>
        <v>3</v>
      </c>
      <c r="AL109" s="115">
        <f t="shared" ref="AL109:AL110" si="9">COUNTA(Z109:AI109)</f>
        <v>1</v>
      </c>
      <c r="AM109" s="115"/>
      <c r="AN109" s="115"/>
      <c r="AO109" s="115"/>
      <c r="AP109" s="115"/>
      <c r="AQ109" s="115"/>
      <c r="AR109" s="115"/>
      <c r="AS109" s="115"/>
      <c r="AT109" s="115"/>
      <c r="AU109" s="115"/>
      <c r="AV109" s="115"/>
      <c r="AW109" s="115"/>
      <c r="AX109" s="115"/>
      <c r="AY109" s="115"/>
      <c r="AZ109" s="115"/>
    </row>
    <row r="110" spans="1:52">
      <c r="A110" s="111" t="s">
        <v>2784</v>
      </c>
      <c r="B110" s="111">
        <v>8</v>
      </c>
      <c r="C110" s="112" t="str">
        <f t="shared" si="0"/>
        <v>LRM246</v>
      </c>
      <c r="D110" s="101" t="s">
        <v>3755</v>
      </c>
      <c r="E110" s="117">
        <v>45901</v>
      </c>
      <c r="F110" s="101" t="s">
        <v>2972</v>
      </c>
      <c r="G110" s="111" t="str">
        <f>VLOOKUP(C110,CODORL!Q:T,4,FALSE)</f>
        <v>Maria Del Rocío Lobato Pérez</v>
      </c>
      <c r="H110" s="103" t="s">
        <v>3046</v>
      </c>
      <c r="I110" s="103" t="s">
        <v>3047</v>
      </c>
      <c r="J110" s="103" t="s">
        <v>3048</v>
      </c>
      <c r="K110" s="103" t="s">
        <v>3049</v>
      </c>
      <c r="L110" s="103">
        <v>600</v>
      </c>
      <c r="M110" s="103"/>
      <c r="N110" s="101" t="s">
        <v>3756</v>
      </c>
      <c r="O110" s="191"/>
      <c r="P110" s="191"/>
      <c r="Q110" s="191"/>
      <c r="R110" s="191"/>
      <c r="S110" s="191"/>
      <c r="T110" s="191"/>
      <c r="U110" s="191"/>
      <c r="V110" s="191"/>
      <c r="W110" s="191"/>
      <c r="X110" s="191"/>
      <c r="Y110" s="114" t="str">
        <f t="shared" si="1"/>
        <v>C2025411226184,,,,,,,,,</v>
      </c>
      <c r="Z110" s="114" t="s">
        <v>3527</v>
      </c>
      <c r="AA110" s="114"/>
      <c r="AB110" s="114"/>
      <c r="AC110" s="114"/>
      <c r="AD110" s="114"/>
      <c r="AE110" s="114"/>
      <c r="AF110" s="114"/>
      <c r="AG110" s="114"/>
      <c r="AH110" s="114"/>
      <c r="AI110" s="114"/>
      <c r="AJ110" s="115"/>
      <c r="AK110" s="115">
        <f t="shared" si="8"/>
        <v>2</v>
      </c>
      <c r="AL110" s="115">
        <f t="shared" si="9"/>
        <v>1</v>
      </c>
      <c r="AM110" s="115"/>
      <c r="AN110" s="115"/>
      <c r="AO110" s="115"/>
      <c r="AP110" s="115"/>
      <c r="AQ110" s="115"/>
      <c r="AR110" s="115"/>
      <c r="AS110" s="115"/>
      <c r="AT110" s="115"/>
      <c r="AU110" s="115"/>
      <c r="AV110" s="115"/>
      <c r="AW110" s="115"/>
      <c r="AX110" s="115"/>
      <c r="AY110" s="115"/>
      <c r="AZ110" s="115"/>
    </row>
    <row r="111" spans="1:52">
      <c r="A111" s="111" t="s">
        <v>8</v>
      </c>
      <c r="B111" s="111">
        <v>8</v>
      </c>
      <c r="C111" s="112" t="str">
        <f t="shared" si="0"/>
        <v>MBM03</v>
      </c>
      <c r="D111" s="101" t="s">
        <v>3757</v>
      </c>
      <c r="E111" s="117">
        <v>45901</v>
      </c>
      <c r="F111" s="101" t="s">
        <v>3758</v>
      </c>
      <c r="G111" s="111" t="str">
        <f>VLOOKUP(C111,CODORL!Q:T,4,FALSE)</f>
        <v>Alejandro Harguindey Antoli-Candela</v>
      </c>
      <c r="H111" s="101" t="s">
        <v>110</v>
      </c>
      <c r="I111" s="101" t="s">
        <v>3299</v>
      </c>
      <c r="J111" s="101" t="s">
        <v>3344</v>
      </c>
      <c r="K111" s="101" t="s">
        <v>2945</v>
      </c>
      <c r="L111" s="101">
        <v>300</v>
      </c>
      <c r="M111" s="101">
        <v>0</v>
      </c>
      <c r="N111" s="101" t="s">
        <v>3759</v>
      </c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14" t="str">
        <f t="shared" si="1"/>
        <v>,,,,,,,,,</v>
      </c>
      <c r="Z111" s="114"/>
      <c r="AA111" s="114"/>
      <c r="AB111" s="114"/>
      <c r="AC111" s="114"/>
      <c r="AD111" s="114"/>
      <c r="AE111" s="114"/>
      <c r="AF111" s="114"/>
      <c r="AG111" s="114"/>
      <c r="AH111" s="114"/>
      <c r="AI111" s="113"/>
      <c r="AJ111" s="113"/>
      <c r="AK111" s="113"/>
      <c r="AL111" s="113"/>
      <c r="AM111" s="113"/>
      <c r="AN111" s="113"/>
      <c r="AO111" s="113"/>
      <c r="AP111" s="113"/>
      <c r="AQ111" s="113"/>
      <c r="AR111" s="113"/>
      <c r="AS111" s="113"/>
      <c r="AT111" s="113"/>
      <c r="AU111" s="113"/>
      <c r="AV111" s="113"/>
      <c r="AW111" s="113"/>
      <c r="AX111" s="113"/>
      <c r="AY111" s="113"/>
      <c r="AZ111" s="113"/>
    </row>
    <row r="112" spans="1:52">
      <c r="A112" s="111" t="s">
        <v>23</v>
      </c>
      <c r="B112" s="111">
        <v>8</v>
      </c>
      <c r="C112" s="112" t="str">
        <f t="shared" si="0"/>
        <v>RPG51</v>
      </c>
      <c r="D112" s="103" t="s">
        <v>3760</v>
      </c>
      <c r="E112" s="117">
        <v>45901</v>
      </c>
      <c r="F112" s="101" t="s">
        <v>2900</v>
      </c>
      <c r="G112" s="111" t="str">
        <f>VLOOKUP(C112,CODORL!Q:T,4,FALSE)</f>
        <v>María Rey Marcos</v>
      </c>
      <c r="H112" s="101" t="s">
        <v>2080</v>
      </c>
      <c r="I112" s="103" t="s">
        <v>2901</v>
      </c>
      <c r="J112" s="101" t="s">
        <v>2902</v>
      </c>
      <c r="K112" s="103" t="s">
        <v>2903</v>
      </c>
      <c r="L112" s="103">
        <v>1500</v>
      </c>
      <c r="M112" s="103">
        <v>100</v>
      </c>
      <c r="N112" s="101" t="s">
        <v>3761</v>
      </c>
      <c r="O112" s="113" t="s">
        <v>3762</v>
      </c>
      <c r="P112" s="101" t="s">
        <v>3763</v>
      </c>
      <c r="Q112" s="101"/>
      <c r="R112" s="101"/>
      <c r="S112" s="101"/>
      <c r="T112" s="101"/>
      <c r="U112" s="101"/>
      <c r="V112" s="101"/>
      <c r="W112" s="101"/>
      <c r="X112" s="101"/>
      <c r="Y112" s="114" t="str">
        <f t="shared" si="1"/>
        <v>C202561113133217,C20254816522192,,,,,,,,</v>
      </c>
      <c r="Z112" s="114" t="s">
        <v>3764</v>
      </c>
      <c r="AA112" s="114" t="s">
        <v>3765</v>
      </c>
      <c r="AB112" s="114"/>
      <c r="AC112" s="114"/>
      <c r="AD112" s="114"/>
      <c r="AE112" s="114"/>
      <c r="AF112" s="114"/>
      <c r="AG112" s="114"/>
      <c r="AH112" s="114"/>
      <c r="AI112" s="114"/>
      <c r="AJ112" s="115"/>
      <c r="AK112" s="115"/>
      <c r="AL112" s="115"/>
      <c r="AM112" s="115"/>
      <c r="AN112" s="115"/>
      <c r="AO112" s="115"/>
      <c r="AP112" s="115"/>
      <c r="AQ112" s="115"/>
      <c r="AR112" s="115"/>
      <c r="AS112" s="115"/>
      <c r="AT112" s="115"/>
      <c r="AU112" s="115"/>
      <c r="AV112" s="115"/>
      <c r="AW112" s="115"/>
      <c r="AX112" s="115"/>
      <c r="AY112" s="115"/>
      <c r="AZ112" s="115"/>
    </row>
    <row r="113" spans="1:52">
      <c r="A113" s="111" t="s">
        <v>47</v>
      </c>
      <c r="B113" s="111">
        <v>9</v>
      </c>
      <c r="C113" s="112" t="str">
        <f t="shared" si="0"/>
        <v>ISL122</v>
      </c>
      <c r="D113" s="101" t="s">
        <v>3766</v>
      </c>
      <c r="E113" s="102">
        <v>45931</v>
      </c>
      <c r="F113" s="101" t="s">
        <v>2869</v>
      </c>
      <c r="G113" s="111" t="str">
        <f>VLOOKUP(C113,CODORL!Q:T,4,FALSE)</f>
        <v>María Agustina Sevilla García</v>
      </c>
      <c r="H113" s="101" t="s">
        <v>2952</v>
      </c>
      <c r="I113" s="101" t="s">
        <v>2953</v>
      </c>
      <c r="J113" s="101" t="s">
        <v>2954</v>
      </c>
      <c r="K113" s="101" t="s">
        <v>2955</v>
      </c>
      <c r="L113" s="101">
        <v>300</v>
      </c>
      <c r="M113" s="101">
        <v>0</v>
      </c>
      <c r="N113" s="113" t="s">
        <v>3767</v>
      </c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14" t="str">
        <f t="shared" si="1"/>
        <v>,,,,,,,,,</v>
      </c>
      <c r="Z113" s="114"/>
      <c r="AA113" s="114"/>
      <c r="AB113" s="114"/>
      <c r="AC113" s="114"/>
      <c r="AD113" s="114"/>
      <c r="AE113" s="114"/>
      <c r="AF113" s="114"/>
      <c r="AG113" s="114"/>
      <c r="AH113" s="114"/>
      <c r="AI113" s="114"/>
      <c r="AJ113" s="115"/>
      <c r="AK113" s="115"/>
      <c r="AL113" s="115"/>
      <c r="AM113" s="115"/>
      <c r="AN113" s="115"/>
      <c r="AO113" s="115"/>
      <c r="AP113" s="115"/>
      <c r="AQ113" s="115"/>
      <c r="AR113" s="115"/>
      <c r="AS113" s="115"/>
      <c r="AT113" s="115"/>
      <c r="AU113" s="115"/>
      <c r="AV113" s="115"/>
      <c r="AW113" s="115"/>
      <c r="AX113" s="115"/>
      <c r="AY113" s="115"/>
      <c r="AZ113" s="115"/>
    </row>
    <row r="114" spans="1:52">
      <c r="A114" s="111" t="s">
        <v>8</v>
      </c>
      <c r="B114" s="111">
        <v>9</v>
      </c>
      <c r="C114" s="112" t="str">
        <f t="shared" si="0"/>
        <v>MBM20</v>
      </c>
      <c r="D114" s="101" t="s">
        <v>3768</v>
      </c>
      <c r="E114" s="102">
        <v>45931</v>
      </c>
      <c r="F114" s="101" t="s">
        <v>3193</v>
      </c>
      <c r="G114" s="111" t="str">
        <f>VLOOKUP(C114,CODORL!Q:T,4,FALSE)</f>
        <v>Eviatar Friedlander</v>
      </c>
      <c r="H114" s="101" t="s">
        <v>842</v>
      </c>
      <c r="I114" s="101" t="s">
        <v>3234</v>
      </c>
      <c r="J114" s="101" t="s">
        <v>3235</v>
      </c>
      <c r="K114" s="101" t="s">
        <v>3236</v>
      </c>
      <c r="L114" s="101">
        <v>600</v>
      </c>
      <c r="M114" s="101">
        <v>0</v>
      </c>
      <c r="N114" s="113" t="s">
        <v>3769</v>
      </c>
      <c r="O114" s="106"/>
      <c r="P114" s="101"/>
      <c r="Q114" s="101"/>
      <c r="R114" s="101"/>
      <c r="S114" s="101"/>
      <c r="T114" s="101"/>
      <c r="U114" s="101"/>
      <c r="V114" s="101"/>
      <c r="W114" s="101"/>
      <c r="X114" s="101"/>
      <c r="Y114" s="114" t="str">
        <f t="shared" si="1"/>
        <v>,,,,,,,,,</v>
      </c>
      <c r="Z114" s="114"/>
      <c r="AA114" s="114"/>
      <c r="AB114" s="114"/>
      <c r="AC114" s="114"/>
      <c r="AD114" s="114"/>
      <c r="AE114" s="114"/>
      <c r="AF114" s="114"/>
      <c r="AG114" s="114"/>
      <c r="AH114" s="114"/>
      <c r="AI114" s="114"/>
      <c r="AJ114" s="115"/>
      <c r="AK114" s="115"/>
      <c r="AL114" s="115"/>
      <c r="AM114" s="115"/>
      <c r="AN114" s="115"/>
      <c r="AO114" s="115"/>
      <c r="AP114" s="115"/>
      <c r="AQ114" s="115"/>
      <c r="AR114" s="115"/>
      <c r="AS114" s="115"/>
      <c r="AT114" s="115"/>
      <c r="AU114" s="115"/>
      <c r="AV114" s="115"/>
      <c r="AW114" s="115"/>
      <c r="AX114" s="115"/>
      <c r="AY114" s="115"/>
      <c r="AZ114" s="115"/>
    </row>
    <row r="115" spans="1:52">
      <c r="A115" s="111" t="s">
        <v>8</v>
      </c>
      <c r="B115" s="111">
        <v>9</v>
      </c>
      <c r="C115" s="112" t="str">
        <f t="shared" si="0"/>
        <v>MBM109</v>
      </c>
      <c r="D115" s="101" t="s">
        <v>3770</v>
      </c>
      <c r="E115" s="102">
        <v>45931</v>
      </c>
      <c r="F115" s="101" t="s">
        <v>2893</v>
      </c>
      <c r="G115" s="111" t="str">
        <f>VLOOKUP(C115,CODORL!Q:T,4,FALSE)</f>
        <v>Desirée Méndez Brenderbache</v>
      </c>
      <c r="H115" s="101" t="s">
        <v>667</v>
      </c>
      <c r="I115" s="103" t="s">
        <v>2894</v>
      </c>
      <c r="J115" s="103" t="s">
        <v>2895</v>
      </c>
      <c r="K115" s="103" t="s">
        <v>2896</v>
      </c>
      <c r="L115" s="101">
        <v>300</v>
      </c>
      <c r="M115" s="101">
        <v>0</v>
      </c>
      <c r="N115" s="113" t="s">
        <v>3771</v>
      </c>
      <c r="O115" s="106"/>
      <c r="P115" s="101"/>
      <c r="Q115" s="101"/>
      <c r="R115" s="101"/>
      <c r="S115" s="101"/>
      <c r="T115" s="101"/>
      <c r="U115" s="101"/>
      <c r="V115" s="101"/>
      <c r="W115" s="101"/>
      <c r="X115" s="101"/>
      <c r="Y115" s="114" t="str">
        <f t="shared" si="1"/>
        <v>,,,,,,,,,</v>
      </c>
      <c r="Z115" s="114"/>
      <c r="AA115" s="114"/>
      <c r="AB115" s="114"/>
      <c r="AC115" s="114"/>
      <c r="AD115" s="114"/>
      <c r="AE115" s="114"/>
      <c r="AF115" s="114"/>
      <c r="AG115" s="114"/>
      <c r="AH115" s="114"/>
      <c r="AI115" s="114"/>
      <c r="AJ115" s="115"/>
      <c r="AK115" s="115"/>
      <c r="AL115" s="115"/>
      <c r="AM115" s="115"/>
      <c r="AN115" s="115"/>
      <c r="AO115" s="115"/>
      <c r="AP115" s="115"/>
      <c r="AQ115" s="115"/>
      <c r="AR115" s="115"/>
      <c r="AS115" s="115"/>
      <c r="AT115" s="115"/>
      <c r="AU115" s="115"/>
      <c r="AV115" s="115"/>
      <c r="AW115" s="115"/>
      <c r="AX115" s="115"/>
      <c r="AY115" s="115"/>
      <c r="AZ115" s="115"/>
    </row>
    <row r="116" spans="1:52">
      <c r="A116" s="111" t="s">
        <v>14</v>
      </c>
      <c r="B116" s="111">
        <v>9</v>
      </c>
      <c r="C116" s="112" t="str">
        <f t="shared" si="0"/>
        <v>RFV21</v>
      </c>
      <c r="D116" s="101" t="s">
        <v>3772</v>
      </c>
      <c r="E116" s="102">
        <v>45931</v>
      </c>
      <c r="F116" s="101" t="s">
        <v>2921</v>
      </c>
      <c r="G116" s="111" t="str">
        <f>VLOOKUP(C116,CODORL!Q121:T1116,4,FALSE)</f>
        <v>Manuel Mateos Fernández</v>
      </c>
      <c r="H116" s="192" t="s">
        <v>3773</v>
      </c>
      <c r="I116" s="193" t="s">
        <v>3774</v>
      </c>
      <c r="J116" s="193" t="s">
        <v>3775</v>
      </c>
      <c r="K116" s="193" t="s">
        <v>3776</v>
      </c>
      <c r="L116" s="101">
        <v>3000</v>
      </c>
      <c r="M116" s="101">
        <v>150</v>
      </c>
      <c r="N116" s="113" t="s">
        <v>3777</v>
      </c>
      <c r="O116" s="113" t="s">
        <v>3778</v>
      </c>
      <c r="P116" s="113" t="s">
        <v>3779</v>
      </c>
      <c r="Q116" s="113" t="s">
        <v>3780</v>
      </c>
      <c r="R116" s="113" t="s">
        <v>3781</v>
      </c>
      <c r="S116" s="113" t="s">
        <v>3782</v>
      </c>
      <c r="T116" s="113"/>
      <c r="U116" s="106"/>
      <c r="V116" s="113"/>
      <c r="W116" s="106"/>
      <c r="X116" s="113"/>
      <c r="Y116" s="114" t="str">
        <f t="shared" si="1"/>
        <v>,,,,,,,,,</v>
      </c>
      <c r="Z116" s="114"/>
      <c r="AA116" s="114"/>
      <c r="AB116" s="114"/>
      <c r="AC116" s="114"/>
      <c r="AD116" s="114"/>
      <c r="AE116" s="114"/>
      <c r="AF116" s="114"/>
      <c r="AG116" s="114"/>
      <c r="AH116" s="114"/>
      <c r="AI116" s="114"/>
      <c r="AJ116" s="115"/>
      <c r="AK116" s="115"/>
      <c r="AL116" s="115"/>
      <c r="AM116" s="115"/>
      <c r="AN116" s="115"/>
      <c r="AO116" s="115"/>
      <c r="AP116" s="115"/>
      <c r="AQ116" s="115"/>
      <c r="AR116" s="115"/>
      <c r="AS116" s="115"/>
      <c r="AT116" s="115"/>
      <c r="AU116" s="115"/>
      <c r="AV116" s="115"/>
      <c r="AW116" s="115"/>
      <c r="AX116" s="115"/>
      <c r="AY116" s="115"/>
      <c r="AZ116" s="115"/>
    </row>
    <row r="117" spans="1:52">
      <c r="A117" s="111" t="s">
        <v>3737</v>
      </c>
      <c r="B117" s="111">
        <v>9</v>
      </c>
      <c r="C117" s="112" t="str">
        <f t="shared" si="0"/>
        <v>LAA71</v>
      </c>
      <c r="D117" s="101" t="s">
        <v>3783</v>
      </c>
      <c r="E117" s="102">
        <v>45931</v>
      </c>
      <c r="F117" s="101" t="s">
        <v>3784</v>
      </c>
      <c r="G117" s="111" t="str">
        <f>VLOOKUP(C117,CODORL!Q122:T1117,4,FALSE)</f>
        <v>Maria Teresa Cervilla Martín</v>
      </c>
      <c r="H117" s="101" t="s">
        <v>2110</v>
      </c>
      <c r="I117" s="193" t="s">
        <v>3785</v>
      </c>
      <c r="J117" s="193" t="s">
        <v>3786</v>
      </c>
      <c r="K117" s="193" t="s">
        <v>3787</v>
      </c>
      <c r="L117" s="101">
        <v>600</v>
      </c>
      <c r="M117" s="101">
        <v>200</v>
      </c>
      <c r="N117" s="113" t="s">
        <v>3788</v>
      </c>
      <c r="O117" s="106"/>
      <c r="P117" s="113"/>
      <c r="Q117" s="106"/>
      <c r="R117" s="113"/>
      <c r="S117" s="113"/>
      <c r="T117" s="101"/>
      <c r="U117" s="101"/>
      <c r="V117" s="101"/>
      <c r="W117" s="101"/>
      <c r="X117" s="101"/>
      <c r="Y117" s="114" t="str">
        <f t="shared" si="1"/>
        <v>,,,,,,,,,</v>
      </c>
      <c r="Z117" s="114"/>
      <c r="AA117" s="114"/>
      <c r="AB117" s="114"/>
      <c r="AC117" s="114"/>
      <c r="AD117" s="114"/>
      <c r="AE117" s="114"/>
      <c r="AF117" s="114"/>
      <c r="AG117" s="114"/>
      <c r="AH117" s="114"/>
      <c r="AI117" s="114"/>
      <c r="AJ117" s="115"/>
      <c r="AK117" s="115"/>
      <c r="AL117" s="115"/>
      <c r="AM117" s="115"/>
      <c r="AN117" s="115"/>
      <c r="AO117" s="115"/>
      <c r="AP117" s="115"/>
      <c r="AQ117" s="115"/>
      <c r="AR117" s="115"/>
      <c r="AS117" s="115"/>
      <c r="AT117" s="115"/>
      <c r="AU117" s="115"/>
      <c r="AV117" s="115"/>
      <c r="AW117" s="115"/>
      <c r="AX117" s="115"/>
      <c r="AY117" s="115"/>
      <c r="AZ117" s="115"/>
    </row>
    <row r="118" spans="1:52">
      <c r="A118" s="111" t="s">
        <v>3737</v>
      </c>
      <c r="B118" s="111">
        <v>9</v>
      </c>
      <c r="C118" s="112" t="str">
        <f t="shared" si="0"/>
        <v>LAA71</v>
      </c>
      <c r="D118" s="101" t="s">
        <v>3789</v>
      </c>
      <c r="E118" s="102">
        <v>45931</v>
      </c>
      <c r="F118" s="101" t="s">
        <v>3011</v>
      </c>
      <c r="G118" s="111" t="str">
        <f>VLOOKUP(C118,CODORL!Q123:T1118,4,FALSE)</f>
        <v>Maria Teresa Cervilla Martín</v>
      </c>
      <c r="H118" s="101" t="s">
        <v>2110</v>
      </c>
      <c r="I118" s="193" t="s">
        <v>3785</v>
      </c>
      <c r="J118" s="193" t="s">
        <v>3786</v>
      </c>
      <c r="K118" s="193" t="s">
        <v>3787</v>
      </c>
      <c r="L118" s="113">
        <v>600</v>
      </c>
      <c r="M118" s="113">
        <v>200</v>
      </c>
      <c r="N118" s="113" t="s">
        <v>3790</v>
      </c>
      <c r="O118" s="113"/>
      <c r="P118" s="113"/>
      <c r="Q118" s="113"/>
      <c r="R118" s="101"/>
      <c r="S118" s="101"/>
      <c r="T118" s="101"/>
      <c r="U118" s="101"/>
      <c r="V118" s="101"/>
      <c r="W118" s="101"/>
      <c r="X118" s="101"/>
      <c r="Y118" s="114"/>
      <c r="Z118" s="114"/>
      <c r="AA118" s="114"/>
      <c r="AB118" s="114"/>
      <c r="AC118" s="114"/>
      <c r="AD118" s="114"/>
      <c r="AE118" s="114"/>
      <c r="AF118" s="114"/>
      <c r="AG118" s="114"/>
      <c r="AH118" s="114"/>
      <c r="AI118" s="114"/>
      <c r="AJ118" s="115"/>
      <c r="AK118" s="115"/>
      <c r="AL118" s="115"/>
      <c r="AM118" s="115"/>
      <c r="AN118" s="115"/>
      <c r="AO118" s="115"/>
      <c r="AP118" s="115"/>
      <c r="AQ118" s="115"/>
      <c r="AR118" s="115"/>
      <c r="AS118" s="115"/>
      <c r="AT118" s="115"/>
      <c r="AU118" s="115"/>
      <c r="AV118" s="115"/>
      <c r="AW118" s="115"/>
      <c r="AX118" s="115"/>
      <c r="AY118" s="115"/>
      <c r="AZ118" s="115"/>
    </row>
    <row r="119" spans="1:52">
      <c r="A119" s="111" t="s">
        <v>23</v>
      </c>
      <c r="B119" s="111">
        <v>9</v>
      </c>
      <c r="C119" s="112" t="str">
        <f t="shared" si="0"/>
        <v>RPG51</v>
      </c>
      <c r="D119" s="103" t="s">
        <v>3791</v>
      </c>
      <c r="E119" s="102">
        <v>45931</v>
      </c>
      <c r="F119" s="101" t="s">
        <v>2900</v>
      </c>
      <c r="G119" s="111" t="str">
        <f>VLOOKUP(C119,CODORL!Q123:T1118,4,FALSE)</f>
        <v>María Rey Marcos</v>
      </c>
      <c r="H119" s="101" t="s">
        <v>2080</v>
      </c>
      <c r="I119" s="103" t="s">
        <v>2901</v>
      </c>
      <c r="J119" s="101" t="s">
        <v>2902</v>
      </c>
      <c r="K119" s="103" t="s">
        <v>2903</v>
      </c>
      <c r="L119" s="113">
        <v>900</v>
      </c>
      <c r="M119" s="113">
        <v>0</v>
      </c>
      <c r="N119" s="101" t="s">
        <v>3792</v>
      </c>
      <c r="O119" s="113" t="s">
        <v>2927</v>
      </c>
      <c r="P119" s="113"/>
      <c r="Q119" s="106"/>
      <c r="R119" s="101"/>
      <c r="S119" s="101"/>
      <c r="T119" s="101"/>
      <c r="U119" s="101"/>
      <c r="V119" s="101"/>
      <c r="W119" s="101"/>
      <c r="X119" s="101"/>
      <c r="Y119" s="114"/>
      <c r="Z119" s="114"/>
      <c r="AA119" s="114"/>
      <c r="AB119" s="114"/>
      <c r="AC119" s="114"/>
      <c r="AD119" s="114"/>
      <c r="AE119" s="114"/>
      <c r="AF119" s="114"/>
      <c r="AG119" s="114"/>
      <c r="AH119" s="114"/>
      <c r="AI119" s="114"/>
      <c r="AJ119" s="115"/>
      <c r="AK119" s="115"/>
      <c r="AL119" s="115"/>
      <c r="AM119" s="115"/>
      <c r="AN119" s="115"/>
      <c r="AO119" s="115"/>
      <c r="AP119" s="115"/>
      <c r="AQ119" s="115"/>
      <c r="AR119" s="115"/>
      <c r="AS119" s="115"/>
      <c r="AT119" s="115"/>
      <c r="AU119" s="115"/>
      <c r="AV119" s="115"/>
      <c r="AW119" s="115"/>
      <c r="AX119" s="115"/>
      <c r="AY119" s="115"/>
      <c r="AZ119" s="115"/>
    </row>
    <row r="120" spans="1:52">
      <c r="A120" s="111" t="s">
        <v>14</v>
      </c>
      <c r="B120" s="111">
        <v>10</v>
      </c>
      <c r="C120" s="112" t="str">
        <f t="shared" si="0"/>
        <v>RFV24</v>
      </c>
      <c r="D120" s="113" t="s">
        <v>3793</v>
      </c>
      <c r="E120" s="102">
        <v>45962</v>
      </c>
      <c r="F120" s="101" t="s">
        <v>2921</v>
      </c>
      <c r="G120" s="111" t="str">
        <f>VLOOKUP(C120,CODORL!Q124:T1119,4,FALSE)</f>
        <v>Raimon García Chillerón</v>
      </c>
      <c r="H120" s="113" t="s">
        <v>2555</v>
      </c>
      <c r="I120" s="113" t="s">
        <v>3022</v>
      </c>
      <c r="J120" s="101" t="s">
        <v>3023</v>
      </c>
      <c r="K120" s="113" t="s">
        <v>3024</v>
      </c>
      <c r="L120" s="101">
        <v>2100</v>
      </c>
      <c r="M120" s="101">
        <v>0</v>
      </c>
      <c r="N120" s="101" t="s">
        <v>3794</v>
      </c>
      <c r="O120" s="101" t="s">
        <v>3795</v>
      </c>
      <c r="P120" s="101" t="s">
        <v>3796</v>
      </c>
      <c r="Q120" s="101" t="s">
        <v>2927</v>
      </c>
      <c r="R120" s="106"/>
      <c r="S120" s="106"/>
      <c r="T120" s="101"/>
      <c r="U120" s="106"/>
      <c r="V120" s="101"/>
      <c r="W120" s="101"/>
      <c r="X120" s="101"/>
      <c r="Y120" s="114"/>
      <c r="Z120" s="114"/>
      <c r="AA120" s="114"/>
      <c r="AB120" s="114"/>
      <c r="AC120" s="114"/>
      <c r="AD120" s="114"/>
      <c r="AE120" s="114"/>
      <c r="AF120" s="114"/>
      <c r="AG120" s="114"/>
      <c r="AH120" s="114"/>
      <c r="AI120" s="114"/>
      <c r="AJ120" s="115"/>
      <c r="AK120" s="115"/>
      <c r="AL120" s="115"/>
      <c r="AM120" s="115"/>
      <c r="AN120" s="115"/>
      <c r="AO120" s="115"/>
      <c r="AP120" s="115"/>
      <c r="AQ120" s="115"/>
      <c r="AR120" s="115"/>
      <c r="AS120" s="115"/>
      <c r="AT120" s="115"/>
      <c r="AU120" s="115"/>
      <c r="AV120" s="115"/>
      <c r="AW120" s="115"/>
      <c r="AX120" s="115"/>
      <c r="AY120" s="115"/>
      <c r="AZ120" s="115"/>
    </row>
    <row r="121" spans="1:52">
      <c r="A121" s="111" t="s">
        <v>3087</v>
      </c>
      <c r="B121" s="111">
        <v>10</v>
      </c>
      <c r="C121" s="112" t="str">
        <f t="shared" si="0"/>
        <v>MCC40</v>
      </c>
      <c r="D121" s="193" t="s">
        <v>3797</v>
      </c>
      <c r="E121" s="102">
        <v>45962</v>
      </c>
      <c r="F121" s="101" t="s">
        <v>2909</v>
      </c>
      <c r="G121" s="111" t="str">
        <f>VLOOKUP(C121,CODORL!Q:T,4,FALSE)</f>
        <v>Anna Sumarroca Trouboul</v>
      </c>
      <c r="H121" s="113" t="s">
        <v>295</v>
      </c>
      <c r="I121" s="193" t="s">
        <v>3798</v>
      </c>
      <c r="J121" s="193" t="s">
        <v>3799</v>
      </c>
      <c r="K121" s="193" t="s">
        <v>3800</v>
      </c>
      <c r="L121" s="113">
        <v>600</v>
      </c>
      <c r="M121" s="113">
        <v>0</v>
      </c>
      <c r="N121" s="101" t="s">
        <v>3801</v>
      </c>
      <c r="O121" s="106"/>
      <c r="P121" s="101"/>
      <c r="Q121" s="101"/>
      <c r="R121" s="101"/>
      <c r="S121" s="101"/>
      <c r="T121" s="101"/>
      <c r="U121" s="101"/>
      <c r="V121" s="101"/>
      <c r="W121" s="101"/>
      <c r="X121" s="101"/>
      <c r="Y121" s="114"/>
      <c r="Z121" s="114"/>
      <c r="AA121" s="114"/>
      <c r="AB121" s="114"/>
      <c r="AC121" s="114"/>
      <c r="AD121" s="114"/>
      <c r="AE121" s="114"/>
      <c r="AF121" s="114"/>
      <c r="AG121" s="114"/>
      <c r="AH121" s="114"/>
      <c r="AI121" s="115"/>
      <c r="AJ121" s="115"/>
      <c r="AK121" s="115"/>
      <c r="AL121" s="115"/>
      <c r="AM121" s="115"/>
      <c r="AN121" s="113"/>
      <c r="AO121" s="113"/>
      <c r="AP121" s="113"/>
      <c r="AQ121" s="113"/>
      <c r="AR121" s="113"/>
      <c r="AS121" s="113"/>
      <c r="AT121" s="113"/>
      <c r="AU121" s="113"/>
      <c r="AV121" s="113"/>
      <c r="AW121" s="113"/>
      <c r="AX121" s="113"/>
      <c r="AY121" s="113"/>
      <c r="AZ121" s="113"/>
    </row>
    <row r="122" spans="1:52">
      <c r="A122" s="111" t="s">
        <v>47</v>
      </c>
      <c r="B122" s="111">
        <v>10</v>
      </c>
      <c r="C122" s="112" t="str">
        <f t="shared" si="0"/>
        <v>ISL122</v>
      </c>
      <c r="D122" s="101" t="s">
        <v>3802</v>
      </c>
      <c r="E122" s="102">
        <v>45962</v>
      </c>
      <c r="F122" s="101" t="s">
        <v>2869</v>
      </c>
      <c r="G122" s="111" t="str">
        <f>VLOOKUP(C122,CODORL!Q:T,4,FALSE)</f>
        <v>María Agustina Sevilla García</v>
      </c>
      <c r="H122" s="101" t="s">
        <v>2952</v>
      </c>
      <c r="I122" s="101" t="s">
        <v>2953</v>
      </c>
      <c r="J122" s="101" t="s">
        <v>2954</v>
      </c>
      <c r="K122" s="101" t="s">
        <v>2955</v>
      </c>
      <c r="L122" s="101">
        <v>3000</v>
      </c>
      <c r="M122" s="101">
        <v>0</v>
      </c>
      <c r="N122" s="113" t="s">
        <v>3803</v>
      </c>
      <c r="O122" s="113" t="s">
        <v>3804</v>
      </c>
      <c r="P122" s="106" t="s">
        <v>3805</v>
      </c>
      <c r="Q122" s="106" t="s">
        <v>3806</v>
      </c>
      <c r="R122" s="101" t="s">
        <v>3807</v>
      </c>
      <c r="S122" s="106"/>
      <c r="T122" s="101"/>
      <c r="U122" s="101"/>
      <c r="V122" s="101"/>
      <c r="W122" s="101"/>
      <c r="X122" s="101"/>
      <c r="Y122" s="114"/>
      <c r="Z122" s="114"/>
      <c r="AA122" s="114"/>
      <c r="AB122" s="114"/>
      <c r="AC122" s="114"/>
      <c r="AD122" s="114"/>
      <c r="AE122" s="115"/>
      <c r="AF122" s="115"/>
      <c r="AG122" s="115"/>
      <c r="AH122" s="115"/>
      <c r="AI122" s="115"/>
      <c r="AJ122" s="113"/>
      <c r="AK122" s="113"/>
      <c r="AL122" s="113"/>
      <c r="AM122" s="113"/>
      <c r="AN122" s="113"/>
      <c r="AO122" s="113"/>
      <c r="AP122" s="113"/>
      <c r="AQ122" s="113"/>
      <c r="AR122" s="113"/>
      <c r="AS122" s="113"/>
      <c r="AT122" s="113"/>
      <c r="AU122" s="113"/>
      <c r="AV122" s="113"/>
      <c r="AW122" s="113"/>
      <c r="AX122" s="113"/>
      <c r="AY122" s="113"/>
      <c r="AZ122" s="113"/>
    </row>
    <row r="123" spans="1:52">
      <c r="A123" s="111" t="s">
        <v>3737</v>
      </c>
      <c r="B123" s="111">
        <v>10</v>
      </c>
      <c r="C123" s="112" t="str">
        <f t="shared" si="0"/>
        <v>LAA71</v>
      </c>
      <c r="D123" s="101" t="s">
        <v>3789</v>
      </c>
      <c r="E123" s="102">
        <v>45962</v>
      </c>
      <c r="F123" s="101" t="s">
        <v>3784</v>
      </c>
      <c r="G123" s="111" t="str">
        <f>VLOOKUP(C123,CODORL!Q131:T1126,4,FALSE)</f>
        <v>Maria Teresa Cervilla Martín</v>
      </c>
      <c r="H123" s="101" t="s">
        <v>2110</v>
      </c>
      <c r="I123" s="193" t="s">
        <v>3785</v>
      </c>
      <c r="J123" s="193" t="s">
        <v>3786</v>
      </c>
      <c r="K123" s="193" t="s">
        <v>3787</v>
      </c>
      <c r="L123" s="101">
        <v>1200</v>
      </c>
      <c r="M123" s="101"/>
      <c r="N123" s="113" t="s">
        <v>3808</v>
      </c>
      <c r="O123" s="113" t="s">
        <v>3809</v>
      </c>
      <c r="P123" s="113"/>
      <c r="Q123" s="113"/>
      <c r="R123" s="106"/>
      <c r="S123" s="106"/>
      <c r="T123" s="101"/>
      <c r="U123" s="101"/>
      <c r="V123" s="101"/>
      <c r="W123" s="101"/>
      <c r="X123" s="101"/>
      <c r="Y123" s="114"/>
      <c r="Z123" s="114"/>
      <c r="AA123" s="114"/>
      <c r="AB123" s="114"/>
      <c r="AC123" s="114"/>
      <c r="AD123" s="114"/>
      <c r="AE123" s="114"/>
      <c r="AF123" s="114"/>
      <c r="AG123" s="114"/>
      <c r="AH123" s="114"/>
      <c r="AI123" s="114"/>
      <c r="AJ123" s="115"/>
      <c r="AK123" s="115"/>
      <c r="AL123" s="115"/>
      <c r="AM123" s="115"/>
      <c r="AN123" s="115"/>
      <c r="AO123" s="115"/>
      <c r="AP123" s="115"/>
      <c r="AQ123" s="115"/>
      <c r="AR123" s="115"/>
      <c r="AS123" s="115"/>
      <c r="AT123" s="115"/>
      <c r="AU123" s="115"/>
      <c r="AV123" s="115"/>
      <c r="AW123" s="115"/>
      <c r="AX123" s="115"/>
      <c r="AY123" s="115"/>
      <c r="AZ123" s="115"/>
    </row>
    <row r="124" spans="1:52">
      <c r="A124" s="111" t="s">
        <v>251</v>
      </c>
      <c r="B124" s="111">
        <v>10</v>
      </c>
      <c r="C124" s="112" t="str">
        <f t="shared" si="0"/>
        <v>LAA09</v>
      </c>
      <c r="D124" s="101" t="s">
        <v>3810</v>
      </c>
      <c r="E124" s="102">
        <v>45962</v>
      </c>
      <c r="F124" s="103" t="s">
        <v>3529</v>
      </c>
      <c r="G124" s="111" t="str">
        <f>VLOOKUP(C124,CODORL!Q:T,4,FALSE)</f>
        <v>Enrique Gómez Aldaz</v>
      </c>
      <c r="H124" s="103" t="s">
        <v>764</v>
      </c>
      <c r="I124" s="103" t="s">
        <v>3133</v>
      </c>
      <c r="J124" s="103" t="s">
        <v>3530</v>
      </c>
      <c r="K124" s="103" t="s">
        <v>3135</v>
      </c>
      <c r="L124" s="103">
        <v>600</v>
      </c>
      <c r="M124" s="101">
        <v>200</v>
      </c>
      <c r="N124" s="101" t="s">
        <v>3811</v>
      </c>
      <c r="O124" s="47"/>
      <c r="P124" s="103"/>
      <c r="Q124" s="101"/>
      <c r="R124" s="101"/>
      <c r="S124" s="101"/>
      <c r="T124" s="101"/>
      <c r="U124" s="101"/>
      <c r="V124" s="101"/>
      <c r="W124" s="101"/>
      <c r="X124" s="101"/>
      <c r="Y124" s="101" t="str">
        <f>CONCATENATE(Z124,",",AA124,",",AB124,",",AC124,",",AD124,",",AE124,",",AF124,",",AG124,",",AH124,",",AI124)</f>
        <v>SEVE-385,,,,,,,,,</v>
      </c>
      <c r="Z124" s="101" t="s">
        <v>3532</v>
      </c>
      <c r="AA124" s="101"/>
      <c r="AB124" s="101"/>
      <c r="AC124" s="101"/>
      <c r="AD124" s="101"/>
      <c r="AE124" s="101"/>
      <c r="AF124" s="101"/>
      <c r="AG124" s="101"/>
      <c r="AH124" s="101"/>
      <c r="AI124" s="101"/>
      <c r="AJ124" s="119"/>
      <c r="AK124" s="119">
        <f>L124/300</f>
        <v>2</v>
      </c>
      <c r="AL124" s="119">
        <f>COUNTA(Z124:AI124)</f>
        <v>1</v>
      </c>
      <c r="AM124" s="119"/>
      <c r="AN124" s="119"/>
      <c r="AO124" s="119"/>
      <c r="AP124" s="119"/>
      <c r="AQ124" s="119"/>
      <c r="AR124" s="119"/>
      <c r="AS124" s="119"/>
      <c r="AT124" s="119"/>
      <c r="AU124" s="119"/>
      <c r="AV124" s="119"/>
      <c r="AW124" s="119"/>
      <c r="AX124" s="119"/>
      <c r="AY124" s="119"/>
      <c r="AZ124" s="119"/>
    </row>
    <row r="125" spans="1:52">
      <c r="A125" s="111" t="s">
        <v>8</v>
      </c>
      <c r="B125" s="111">
        <v>10</v>
      </c>
      <c r="C125" s="112" t="str">
        <f t="shared" si="0"/>
        <v>MBM11</v>
      </c>
      <c r="D125" s="101" t="s">
        <v>3812</v>
      </c>
      <c r="E125" s="102">
        <v>45962</v>
      </c>
      <c r="F125" s="106" t="s">
        <v>3605</v>
      </c>
      <c r="G125" s="111" t="str">
        <f>VLOOKUP(C125,CODORL!Q:T,4,FALSE)</f>
        <v>Antonio Rodríguez Rivero</v>
      </c>
      <c r="H125" s="101" t="s">
        <v>358</v>
      </c>
      <c r="I125" s="101" t="s">
        <v>2881</v>
      </c>
      <c r="J125" s="101" t="s">
        <v>2882</v>
      </c>
      <c r="K125" s="101" t="s">
        <v>2883</v>
      </c>
      <c r="L125" s="101">
        <v>600</v>
      </c>
      <c r="M125" s="101"/>
      <c r="N125" s="101" t="s">
        <v>3813</v>
      </c>
      <c r="O125" s="106"/>
      <c r="P125" s="101"/>
      <c r="Q125" s="101"/>
      <c r="R125" s="101"/>
      <c r="S125" s="101"/>
      <c r="T125" s="101"/>
      <c r="U125" s="101"/>
      <c r="V125" s="101"/>
      <c r="W125" s="101"/>
      <c r="X125" s="101"/>
      <c r="Y125" s="114" t="s">
        <v>3814</v>
      </c>
      <c r="Z125" s="114" t="s">
        <v>3715</v>
      </c>
      <c r="AA125" s="114"/>
      <c r="AB125" s="114"/>
      <c r="AC125" s="114"/>
      <c r="AD125" s="114"/>
      <c r="AE125" s="114"/>
      <c r="AF125" s="114"/>
      <c r="AG125" s="114"/>
      <c r="AH125" s="114"/>
      <c r="AI125" s="114"/>
      <c r="AJ125" s="114"/>
      <c r="AK125" s="115"/>
      <c r="AL125" s="115"/>
      <c r="AM125" s="115"/>
      <c r="AN125" s="115"/>
      <c r="AO125" s="115"/>
      <c r="AP125" s="115"/>
      <c r="AQ125" s="115"/>
      <c r="AR125" s="115"/>
      <c r="AS125" s="115"/>
      <c r="AT125" s="115"/>
      <c r="AU125" s="115"/>
      <c r="AV125" s="115"/>
      <c r="AW125" s="115"/>
      <c r="AX125" s="115"/>
      <c r="AY125" s="115"/>
      <c r="AZ125" s="115"/>
    </row>
    <row r="126" spans="1:52">
      <c r="A126" s="111" t="s">
        <v>14</v>
      </c>
      <c r="B126" s="111">
        <v>10</v>
      </c>
      <c r="C126" s="112" t="str">
        <f t="shared" si="0"/>
        <v>RFV21</v>
      </c>
      <c r="D126" s="101" t="s">
        <v>3815</v>
      </c>
      <c r="E126" s="102">
        <v>45962</v>
      </c>
      <c r="F126" s="101" t="s">
        <v>2921</v>
      </c>
      <c r="G126" s="111" t="str">
        <f>VLOOKUP(C126,CODORL!Q134:T1129,4,FALSE)</f>
        <v>Manuel Mateos Fernández</v>
      </c>
      <c r="H126" s="192" t="s">
        <v>3773</v>
      </c>
      <c r="I126" s="193" t="s">
        <v>3774</v>
      </c>
      <c r="J126" s="193" t="s">
        <v>3775</v>
      </c>
      <c r="K126" s="193" t="s">
        <v>3776</v>
      </c>
      <c r="L126" s="101">
        <v>300</v>
      </c>
      <c r="M126" s="101">
        <v>200</v>
      </c>
      <c r="N126" s="113" t="s">
        <v>3816</v>
      </c>
      <c r="O126" s="106"/>
      <c r="P126" s="113"/>
      <c r="Q126" s="113"/>
      <c r="R126" s="113"/>
      <c r="S126" s="113"/>
      <c r="T126" s="113"/>
      <c r="U126" s="113"/>
      <c r="V126" s="101"/>
      <c r="W126" s="101"/>
      <c r="X126" s="101"/>
      <c r="Y126" s="114" t="s">
        <v>3817</v>
      </c>
      <c r="Z126" s="114"/>
      <c r="AA126" s="114"/>
      <c r="AB126" s="114"/>
      <c r="AC126" s="114"/>
      <c r="AD126" s="114"/>
      <c r="AE126" s="114"/>
      <c r="AF126" s="114"/>
      <c r="AG126" s="114"/>
      <c r="AH126" s="114"/>
      <c r="AI126" s="114"/>
      <c r="AJ126" s="115"/>
      <c r="AK126" s="115"/>
      <c r="AL126" s="115"/>
      <c r="AM126" s="115"/>
      <c r="AN126" s="115"/>
      <c r="AO126" s="115"/>
      <c r="AP126" s="115"/>
      <c r="AQ126" s="115"/>
      <c r="AR126" s="115"/>
      <c r="AS126" s="115"/>
      <c r="AT126" s="115"/>
      <c r="AU126" s="115"/>
      <c r="AV126" s="115"/>
      <c r="AW126" s="115"/>
      <c r="AX126" s="115"/>
      <c r="AY126" s="115"/>
      <c r="AZ126" s="115"/>
    </row>
    <row r="127" spans="1:52">
      <c r="A127" s="111" t="s">
        <v>23</v>
      </c>
      <c r="B127" s="111">
        <v>10</v>
      </c>
      <c r="C127" s="112" t="str">
        <f t="shared" si="0"/>
        <v>RPG51</v>
      </c>
      <c r="D127" s="103" t="s">
        <v>3818</v>
      </c>
      <c r="E127" s="102">
        <v>45962</v>
      </c>
      <c r="F127" s="101" t="s">
        <v>2900</v>
      </c>
      <c r="G127" s="111" t="str">
        <f>VLOOKUP(C127,CODORL!Q135:T1130,4,FALSE)</f>
        <v>María Rey Marcos</v>
      </c>
      <c r="H127" s="101" t="s">
        <v>2080</v>
      </c>
      <c r="I127" s="103" t="s">
        <v>2901</v>
      </c>
      <c r="J127" s="101" t="s">
        <v>2902</v>
      </c>
      <c r="K127" s="103" t="s">
        <v>2903</v>
      </c>
      <c r="L127" s="113">
        <v>1500</v>
      </c>
      <c r="M127" s="113">
        <v>0</v>
      </c>
      <c r="N127" s="113" t="s">
        <v>3819</v>
      </c>
      <c r="O127" s="106" t="s">
        <v>3820</v>
      </c>
      <c r="P127" s="113" t="s">
        <v>2927</v>
      </c>
      <c r="Q127" s="113"/>
      <c r="R127" s="101"/>
      <c r="S127" s="101"/>
      <c r="T127" s="101"/>
      <c r="U127" s="101"/>
      <c r="V127" s="101"/>
      <c r="W127" s="101"/>
      <c r="X127" s="101"/>
      <c r="Y127" s="114" t="s">
        <v>2906</v>
      </c>
      <c r="Z127" s="114"/>
      <c r="AA127" s="114"/>
      <c r="AB127" s="114"/>
      <c r="AC127" s="114"/>
      <c r="AD127" s="114"/>
      <c r="AE127" s="114"/>
      <c r="AF127" s="114"/>
      <c r="AG127" s="114"/>
      <c r="AH127" s="114"/>
      <c r="AI127" s="114"/>
      <c r="AJ127" s="115"/>
      <c r="AK127" s="115"/>
      <c r="AL127" s="115"/>
      <c r="AM127" s="115"/>
      <c r="AN127" s="115"/>
      <c r="AO127" s="115"/>
      <c r="AP127" s="115"/>
      <c r="AQ127" s="115"/>
      <c r="AR127" s="115"/>
      <c r="AS127" s="115"/>
      <c r="AT127" s="115"/>
      <c r="AU127" s="115"/>
      <c r="AV127" s="115"/>
      <c r="AW127" s="115"/>
      <c r="AX127" s="115"/>
      <c r="AY127" s="115"/>
      <c r="AZ127" s="115"/>
    </row>
    <row r="128" spans="1:52">
      <c r="A128" s="111" t="s">
        <v>8</v>
      </c>
      <c r="B128" s="111">
        <v>10</v>
      </c>
      <c r="C128" s="112" t="str">
        <f t="shared" si="0"/>
        <v>MBM186</v>
      </c>
      <c r="D128" s="101" t="s">
        <v>3821</v>
      </c>
      <c r="E128" s="102">
        <v>45962</v>
      </c>
      <c r="F128" s="101" t="s">
        <v>2886</v>
      </c>
      <c r="G128" s="111" t="str">
        <f>VLOOKUP(C128,CODORL!Q138:T1133,4,FALSE)</f>
        <v>Marta Abad Pascual</v>
      </c>
      <c r="H128" s="101" t="s">
        <v>2887</v>
      </c>
      <c r="I128" s="103" t="s">
        <v>2888</v>
      </c>
      <c r="J128" s="103" t="s">
        <v>2889</v>
      </c>
      <c r="K128" s="103" t="s">
        <v>2890</v>
      </c>
      <c r="L128" s="103">
        <v>600</v>
      </c>
      <c r="M128" s="113">
        <v>0</v>
      </c>
      <c r="N128" s="101" t="s">
        <v>3822</v>
      </c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14" t="str">
        <f t="shared" ref="Y128:Y132" si="10">CONCATENATE(Z128,",",AA128,",",AB128,",",AC128,",",AD128,",",AE128,",",AF128,",",AG128,",",AH128,",",AI128)</f>
        <v>C2025430171017606,,,,,,,,,</v>
      </c>
      <c r="Z128" s="114" t="s">
        <v>3603</v>
      </c>
      <c r="AA128" s="114"/>
      <c r="AB128" s="114"/>
      <c r="AC128" s="114"/>
      <c r="AD128" s="114"/>
      <c r="AE128" s="114"/>
      <c r="AF128" s="114"/>
      <c r="AG128" s="114"/>
      <c r="AH128" s="114"/>
      <c r="AI128" s="114"/>
      <c r="AJ128" s="115"/>
      <c r="AK128" s="115">
        <f>L128/300</f>
        <v>2</v>
      </c>
      <c r="AL128" s="115">
        <f>COUNTA(Z128:AI128)</f>
        <v>1</v>
      </c>
      <c r="AM128" s="115"/>
      <c r="AN128" s="115"/>
      <c r="AO128" s="115"/>
      <c r="AP128" s="115"/>
      <c r="AQ128" s="115"/>
      <c r="AR128" s="115"/>
      <c r="AS128" s="115"/>
      <c r="AT128" s="115"/>
      <c r="AU128" s="115"/>
      <c r="AV128" s="115"/>
      <c r="AW128" s="115"/>
      <c r="AX128" s="115"/>
      <c r="AY128" s="115"/>
      <c r="AZ128" s="115"/>
    </row>
    <row r="129" spans="1:52">
      <c r="A129" s="111" t="s">
        <v>8</v>
      </c>
      <c r="B129" s="111">
        <v>10</v>
      </c>
      <c r="C129" s="112" t="s">
        <v>138</v>
      </c>
      <c r="D129" s="101" t="s">
        <v>3823</v>
      </c>
      <c r="E129" s="102">
        <v>45962</v>
      </c>
      <c r="F129" s="101" t="s">
        <v>3480</v>
      </c>
      <c r="G129" s="111" t="str">
        <f>VLOOKUP(C129,CODORL!Q:T,4,FALSE)</f>
        <v>Alfonso Plaza López</v>
      </c>
      <c r="H129" s="101" t="s">
        <v>3824</v>
      </c>
      <c r="I129" s="101" t="s">
        <v>3825</v>
      </c>
      <c r="J129" s="101" t="s">
        <v>3826</v>
      </c>
      <c r="K129" s="101" t="s">
        <v>3827</v>
      </c>
      <c r="L129" s="103">
        <v>600</v>
      </c>
      <c r="M129" s="113">
        <v>0</v>
      </c>
      <c r="N129" s="101" t="s">
        <v>3828</v>
      </c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14" t="str">
        <f t="shared" si="10"/>
        <v>,,,,,,,,,</v>
      </c>
      <c r="Z129" s="114"/>
      <c r="AA129" s="114"/>
      <c r="AB129" s="114"/>
      <c r="AC129" s="114"/>
      <c r="AD129" s="114"/>
      <c r="AE129" s="114"/>
      <c r="AF129" s="114"/>
      <c r="AG129" s="114"/>
      <c r="AH129" s="114"/>
      <c r="AI129" s="114"/>
      <c r="AJ129" s="115"/>
      <c r="AK129" s="115"/>
      <c r="AL129" s="115"/>
      <c r="AM129" s="115"/>
      <c r="AN129" s="115"/>
      <c r="AO129" s="115"/>
      <c r="AP129" s="115"/>
      <c r="AQ129" s="115"/>
      <c r="AR129" s="115"/>
      <c r="AS129" s="115"/>
      <c r="AT129" s="115"/>
      <c r="AU129" s="115"/>
      <c r="AV129" s="115"/>
      <c r="AW129" s="115"/>
      <c r="AX129" s="115"/>
      <c r="AY129" s="115"/>
      <c r="AZ129" s="115"/>
    </row>
    <row r="130" spans="1:52">
      <c r="A130" s="111" t="s">
        <v>14</v>
      </c>
      <c r="B130" s="111">
        <v>10</v>
      </c>
      <c r="C130" s="112" t="s">
        <v>159</v>
      </c>
      <c r="D130" s="101" t="s">
        <v>3829</v>
      </c>
      <c r="E130" s="102">
        <v>45962</v>
      </c>
      <c r="F130" s="101" t="s">
        <v>2921</v>
      </c>
      <c r="G130" s="111" t="str">
        <f>VLOOKUP(C130,CODORL!Q:T,4,FALSE)</f>
        <v>Álvaro Pérez Llinares</v>
      </c>
      <c r="H130" s="101" t="s">
        <v>161</v>
      </c>
      <c r="I130" s="101" t="s">
        <v>3830</v>
      </c>
      <c r="J130" s="101" t="s">
        <v>3831</v>
      </c>
      <c r="K130" s="101" t="s">
        <v>3832</v>
      </c>
      <c r="L130" s="101">
        <v>3500</v>
      </c>
      <c r="M130" s="101">
        <v>0</v>
      </c>
      <c r="N130" s="101" t="s">
        <v>3833</v>
      </c>
      <c r="O130" s="101" t="s">
        <v>3834</v>
      </c>
      <c r="P130" s="101" t="s">
        <v>3835</v>
      </c>
      <c r="Q130" s="101" t="s">
        <v>3836</v>
      </c>
      <c r="R130" s="101" t="s">
        <v>3837</v>
      </c>
      <c r="S130" s="101"/>
      <c r="T130" s="101"/>
      <c r="U130" s="101"/>
      <c r="V130" s="101"/>
      <c r="W130" s="101"/>
      <c r="X130" s="101"/>
      <c r="Y130" s="114" t="str">
        <f t="shared" si="10"/>
        <v>,,,,,,,,,</v>
      </c>
      <c r="Z130" s="114"/>
      <c r="AA130" s="114"/>
      <c r="AB130" s="114"/>
      <c r="AC130" s="114"/>
      <c r="AD130" s="114"/>
      <c r="AE130" s="114"/>
      <c r="AF130" s="114"/>
      <c r="AG130" s="114"/>
      <c r="AH130" s="114"/>
      <c r="AI130" s="114"/>
      <c r="AJ130" s="114"/>
      <c r="AK130" s="114"/>
      <c r="AL130" s="115"/>
      <c r="AM130" s="115"/>
      <c r="AN130" s="115"/>
      <c r="AO130" s="115"/>
      <c r="AP130" s="115"/>
      <c r="AQ130" s="115"/>
      <c r="AR130" s="115"/>
      <c r="AS130" s="115"/>
      <c r="AT130" s="115"/>
      <c r="AU130" s="115"/>
      <c r="AV130" s="115"/>
      <c r="AW130" s="115"/>
      <c r="AX130" s="115"/>
      <c r="AY130" s="115"/>
      <c r="AZ130" s="115"/>
    </row>
    <row r="131" spans="1:52">
      <c r="A131" s="111" t="s">
        <v>2784</v>
      </c>
      <c r="B131" s="111">
        <v>10</v>
      </c>
      <c r="C131" s="112" t="str">
        <f t="shared" ref="C131:C133" si="11">LEFT(D131,SEARCH("/",D131,1)-1)</f>
        <v>LRM246</v>
      </c>
      <c r="D131" s="101" t="s">
        <v>3838</v>
      </c>
      <c r="E131" s="102">
        <v>45962</v>
      </c>
      <c r="F131" s="101" t="s">
        <v>2972</v>
      </c>
      <c r="G131" s="111" t="str">
        <f>VLOOKUP(C131,CODORL!Q:T,4,FALSE)</f>
        <v>Maria Del Rocío Lobato Pérez</v>
      </c>
      <c r="H131" s="103" t="s">
        <v>3046</v>
      </c>
      <c r="I131" s="103" t="s">
        <v>3047</v>
      </c>
      <c r="J131" s="103" t="s">
        <v>3839</v>
      </c>
      <c r="K131" s="103" t="s">
        <v>3049</v>
      </c>
      <c r="L131" s="103">
        <v>600</v>
      </c>
      <c r="M131" s="103"/>
      <c r="N131" s="101" t="s">
        <v>3840</v>
      </c>
      <c r="O131" s="191"/>
      <c r="P131" s="191"/>
      <c r="Q131" s="191"/>
      <c r="R131" s="191"/>
      <c r="S131" s="191"/>
      <c r="T131" s="191"/>
      <c r="U131" s="191"/>
      <c r="V131" s="191"/>
      <c r="W131" s="191"/>
      <c r="X131" s="191"/>
      <c r="Y131" s="114" t="str">
        <f t="shared" si="10"/>
        <v>C2025411226184,,,,,,,,,</v>
      </c>
      <c r="Z131" s="114" t="s">
        <v>3527</v>
      </c>
      <c r="AA131" s="114"/>
      <c r="AB131" s="114"/>
      <c r="AC131" s="114"/>
      <c r="AD131" s="114"/>
      <c r="AE131" s="114"/>
      <c r="AF131" s="114"/>
      <c r="AG131" s="114"/>
      <c r="AH131" s="114"/>
      <c r="AI131" s="114"/>
      <c r="AJ131" s="115"/>
      <c r="AK131" s="115">
        <f t="shared" ref="AK131:AK132" si="12">L131/300</f>
        <v>2</v>
      </c>
      <c r="AL131" s="115">
        <f t="shared" ref="AL131:AL132" si="13">COUNTA(Z131:AI131)</f>
        <v>1</v>
      </c>
      <c r="AM131" s="115"/>
      <c r="AN131" s="115"/>
      <c r="AO131" s="115"/>
      <c r="AP131" s="115"/>
      <c r="AQ131" s="115"/>
      <c r="AR131" s="115"/>
      <c r="AS131" s="115"/>
      <c r="AT131" s="115"/>
      <c r="AU131" s="115"/>
      <c r="AV131" s="115"/>
      <c r="AW131" s="115"/>
      <c r="AX131" s="115"/>
      <c r="AY131" s="115"/>
      <c r="AZ131" s="115"/>
    </row>
    <row r="132" spans="1:52">
      <c r="A132" s="111" t="s">
        <v>8</v>
      </c>
      <c r="B132" s="111">
        <v>10</v>
      </c>
      <c r="C132" s="112" t="str">
        <f t="shared" si="11"/>
        <v>MBM24</v>
      </c>
      <c r="D132" s="101" t="s">
        <v>3841</v>
      </c>
      <c r="E132" s="102">
        <v>45962</v>
      </c>
      <c r="F132" s="101" t="s">
        <v>2880</v>
      </c>
      <c r="G132" s="111" t="str">
        <f>VLOOKUP(C132,CODORL!Q:T,4,FALSE)</f>
        <v>Fernando García Alcántara</v>
      </c>
      <c r="H132" s="101" t="s">
        <v>3374</v>
      </c>
      <c r="I132" s="101" t="s">
        <v>3375</v>
      </c>
      <c r="J132" s="101" t="s">
        <v>3842</v>
      </c>
      <c r="K132" s="101" t="s">
        <v>3377</v>
      </c>
      <c r="L132" s="101">
        <v>600</v>
      </c>
      <c r="M132" s="101">
        <v>0</v>
      </c>
      <c r="N132" s="194" t="s">
        <v>3843</v>
      </c>
      <c r="O132" s="195"/>
      <c r="P132" s="346"/>
      <c r="Q132" s="345"/>
      <c r="R132" s="345"/>
      <c r="S132" s="101"/>
      <c r="T132" s="101"/>
      <c r="U132" s="101"/>
      <c r="V132" s="101"/>
      <c r="W132" s="101"/>
      <c r="X132" s="101"/>
      <c r="Y132" s="114" t="str">
        <f t="shared" si="10"/>
        <v>VAG-5013,MTJ-229,MTJ-135MTJ-229,MTJ-135,MTJ-229,MTJ-135,,,,,,,</v>
      </c>
      <c r="Z132" s="114" t="s">
        <v>3381</v>
      </c>
      <c r="AA132" s="114" t="s">
        <v>3382</v>
      </c>
      <c r="AB132" s="114" t="s">
        <v>3383</v>
      </c>
      <c r="AC132" s="114"/>
      <c r="AD132" s="114"/>
      <c r="AE132" s="114"/>
      <c r="AF132" s="114"/>
      <c r="AG132" s="114"/>
      <c r="AH132" s="114"/>
      <c r="AI132" s="114"/>
      <c r="AJ132" s="115"/>
      <c r="AK132" s="115">
        <f t="shared" si="12"/>
        <v>2</v>
      </c>
      <c r="AL132" s="115">
        <f t="shared" si="13"/>
        <v>3</v>
      </c>
      <c r="AM132" s="115"/>
      <c r="AN132" s="115"/>
      <c r="AO132" s="115"/>
      <c r="AP132" s="115"/>
      <c r="AQ132" s="115"/>
      <c r="AR132" s="115"/>
      <c r="AS132" s="115"/>
      <c r="AT132" s="115"/>
      <c r="AU132" s="115"/>
      <c r="AV132" s="115"/>
      <c r="AW132" s="115"/>
      <c r="AX132" s="115"/>
      <c r="AY132" s="115"/>
      <c r="AZ132" s="115"/>
    </row>
    <row r="133" spans="1:52">
      <c r="A133" s="111" t="s">
        <v>251</v>
      </c>
      <c r="B133" s="111">
        <v>11</v>
      </c>
      <c r="C133" s="112" t="str">
        <f t="shared" si="11"/>
        <v>LAA77</v>
      </c>
      <c r="D133" s="101" t="s">
        <v>3844</v>
      </c>
      <c r="E133" s="102">
        <v>45992</v>
      </c>
      <c r="F133" s="101" t="s">
        <v>3011</v>
      </c>
      <c r="G133" s="111" t="str">
        <f>VLOOKUP(C133,CODORL!Q:T,4,FALSE)</f>
        <v>Mercedes Ceballos Cauto</v>
      </c>
      <c r="H133" s="101" t="str">
        <f>VLOOKUP(C133,CODORL!Q:T,4,FALSE)</f>
        <v>Mercedes Ceballos Cauto</v>
      </c>
      <c r="I133" s="101" t="s">
        <v>3012</v>
      </c>
      <c r="J133" s="101" t="s">
        <v>3013</v>
      </c>
      <c r="K133" s="101" t="s">
        <v>3014</v>
      </c>
      <c r="L133" s="101">
        <v>1200</v>
      </c>
      <c r="M133" s="101"/>
      <c r="N133" s="196" t="s">
        <v>3845</v>
      </c>
      <c r="O133" s="101" t="s">
        <v>3846</v>
      </c>
      <c r="P133" s="101" t="s">
        <v>2927</v>
      </c>
      <c r="Q133" s="101"/>
      <c r="R133" s="101"/>
      <c r="S133" s="101"/>
      <c r="T133" s="101"/>
      <c r="U133" s="101"/>
      <c r="V133" s="101"/>
      <c r="W133" s="101"/>
      <c r="X133" s="101"/>
      <c r="Y133" s="114"/>
      <c r="Z133" s="114"/>
      <c r="AA133" s="114"/>
      <c r="AB133" s="114"/>
      <c r="AC133" s="114"/>
      <c r="AD133" s="114"/>
      <c r="AE133" s="114"/>
      <c r="AF133" s="114"/>
      <c r="AG133" s="114"/>
      <c r="AH133" s="114"/>
      <c r="AI133" s="114"/>
      <c r="AJ133" s="115"/>
      <c r="AK133" s="115"/>
      <c r="AL133" s="115"/>
      <c r="AM133" s="115"/>
      <c r="AN133" s="115"/>
      <c r="AO133" s="115"/>
      <c r="AP133" s="115"/>
      <c r="AQ133" s="115"/>
      <c r="AR133" s="115"/>
      <c r="AS133" s="115"/>
      <c r="AT133" s="115"/>
      <c r="AU133" s="115"/>
      <c r="AV133" s="115"/>
      <c r="AW133" s="115"/>
      <c r="AX133" s="115"/>
      <c r="AY133" s="115"/>
      <c r="AZ133" s="115"/>
    </row>
    <row r="134" spans="1:52">
      <c r="A134" s="111" t="s">
        <v>251</v>
      </c>
      <c r="B134" s="111">
        <v>11</v>
      </c>
      <c r="C134" s="112" t="s">
        <v>2733</v>
      </c>
      <c r="D134" s="101" t="s">
        <v>3847</v>
      </c>
      <c r="E134" s="102">
        <v>45992</v>
      </c>
      <c r="F134" s="106" t="s">
        <v>3005</v>
      </c>
      <c r="G134" s="111" t="str">
        <f>VLOOKUP(C134,CODORL!Q:T,4,FALSE)</f>
        <v>Vicente Mira Escartí</v>
      </c>
      <c r="H134" s="101" t="s">
        <v>2735</v>
      </c>
      <c r="I134" s="101" t="s">
        <v>3006</v>
      </c>
      <c r="J134" s="101" t="s">
        <v>3007</v>
      </c>
      <c r="K134" s="101" t="s">
        <v>3008</v>
      </c>
      <c r="L134" s="101">
        <v>3000</v>
      </c>
      <c r="M134" s="101">
        <v>200</v>
      </c>
      <c r="N134" s="106" t="s">
        <v>3848</v>
      </c>
      <c r="O134" s="106" t="s">
        <v>3849</v>
      </c>
      <c r="P134" s="106" t="s">
        <v>3850</v>
      </c>
      <c r="Q134" s="101" t="s">
        <v>3851</v>
      </c>
      <c r="R134" s="101" t="s">
        <v>3852</v>
      </c>
      <c r="S134" s="101" t="s">
        <v>3809</v>
      </c>
      <c r="T134" s="101"/>
      <c r="U134" s="101"/>
      <c r="V134" s="101"/>
      <c r="W134" s="101"/>
      <c r="X134" s="101"/>
      <c r="Y134" s="114"/>
      <c r="Z134" s="114"/>
      <c r="AA134" s="114"/>
      <c r="AB134" s="114"/>
      <c r="AC134" s="114"/>
      <c r="AD134" s="114"/>
      <c r="AE134" s="114"/>
      <c r="AF134" s="114"/>
      <c r="AG134" s="114"/>
      <c r="AH134" s="114"/>
      <c r="AI134" s="114"/>
      <c r="AJ134" s="114"/>
      <c r="AK134" s="114"/>
      <c r="AL134" s="115"/>
      <c r="AM134" s="115"/>
      <c r="AN134" s="115"/>
      <c r="AO134" s="115"/>
      <c r="AP134" s="115"/>
      <c r="AQ134" s="115"/>
      <c r="AR134" s="115"/>
      <c r="AS134" s="115"/>
      <c r="AT134" s="115"/>
      <c r="AU134" s="115"/>
      <c r="AV134" s="115"/>
      <c r="AW134" s="115"/>
      <c r="AX134" s="115"/>
      <c r="AY134" s="115"/>
      <c r="AZ134" s="115"/>
    </row>
    <row r="135" spans="1:52">
      <c r="A135" s="111" t="s">
        <v>47</v>
      </c>
      <c r="B135" s="111">
        <v>11</v>
      </c>
      <c r="C135" s="112" t="str">
        <f t="shared" ref="C135:C139" si="14">LEFT(D135,SEARCH("/",D135,1)-1)</f>
        <v>ISL122</v>
      </c>
      <c r="D135" s="101" t="s">
        <v>3853</v>
      </c>
      <c r="E135" s="102">
        <v>45992</v>
      </c>
      <c r="F135" s="101" t="s">
        <v>2869</v>
      </c>
      <c r="G135" s="111" t="str">
        <f>VLOOKUP(C135,CODORL!Q:T,4,FALSE)</f>
        <v>María Agustina Sevilla García</v>
      </c>
      <c r="H135" s="101" t="s">
        <v>2952</v>
      </c>
      <c r="I135" s="101" t="s">
        <v>2953</v>
      </c>
      <c r="J135" s="101" t="s">
        <v>2954</v>
      </c>
      <c r="K135" s="101" t="s">
        <v>2955</v>
      </c>
      <c r="L135" s="101">
        <v>900</v>
      </c>
      <c r="M135" s="101">
        <v>150</v>
      </c>
      <c r="N135" s="197" t="s">
        <v>3854</v>
      </c>
      <c r="O135" s="113" t="s">
        <v>3855</v>
      </c>
      <c r="P135" s="106"/>
      <c r="Q135" s="106"/>
      <c r="R135" s="101"/>
      <c r="S135" s="106"/>
      <c r="T135" s="101"/>
      <c r="U135" s="101"/>
      <c r="V135" s="101"/>
      <c r="W135" s="101"/>
      <c r="X135" s="101"/>
      <c r="Y135" s="114"/>
      <c r="Z135" s="114"/>
      <c r="AA135" s="114"/>
      <c r="AB135" s="114"/>
      <c r="AC135" s="114"/>
      <c r="AD135" s="114"/>
      <c r="AE135" s="115"/>
      <c r="AF135" s="115"/>
      <c r="AG135" s="115"/>
      <c r="AH135" s="115"/>
      <c r="AI135" s="115"/>
      <c r="AJ135" s="113"/>
      <c r="AK135" s="113"/>
      <c r="AL135" s="113"/>
      <c r="AM135" s="113"/>
      <c r="AN135" s="113"/>
      <c r="AO135" s="113"/>
      <c r="AP135" s="113"/>
      <c r="AQ135" s="113"/>
      <c r="AR135" s="113"/>
      <c r="AS135" s="113"/>
      <c r="AT135" s="113"/>
      <c r="AU135" s="113"/>
      <c r="AV135" s="113"/>
      <c r="AW135" s="113"/>
      <c r="AX135" s="113"/>
      <c r="AY135" s="113"/>
      <c r="AZ135" s="113"/>
    </row>
    <row r="136" spans="1:52">
      <c r="A136" s="111" t="s">
        <v>47</v>
      </c>
      <c r="B136" s="111">
        <v>11</v>
      </c>
      <c r="C136" s="112" t="str">
        <f t="shared" si="14"/>
        <v>ISL136</v>
      </c>
      <c r="D136" s="101" t="s">
        <v>3856</v>
      </c>
      <c r="E136" s="102">
        <v>45992</v>
      </c>
      <c r="F136" s="101" t="s">
        <v>2873</v>
      </c>
      <c r="G136" s="111" t="str">
        <f>VLOOKUP(C136,CODORL!Q:T,4,FALSE)</f>
        <v>Oreana Carolina Camacaro González</v>
      </c>
      <c r="H136" s="101" t="s">
        <v>2874</v>
      </c>
      <c r="I136" s="101" t="s">
        <v>3584</v>
      </c>
      <c r="J136" s="101" t="s">
        <v>2876</v>
      </c>
      <c r="K136" s="101" t="s">
        <v>2877</v>
      </c>
      <c r="L136" s="101">
        <v>600</v>
      </c>
      <c r="M136" s="101">
        <v>200</v>
      </c>
      <c r="N136" s="113" t="s">
        <v>3857</v>
      </c>
      <c r="O136" s="106"/>
      <c r="P136" s="101"/>
      <c r="Q136" s="101"/>
      <c r="R136" s="101"/>
      <c r="S136" s="101"/>
      <c r="T136" s="101"/>
      <c r="U136" s="101"/>
      <c r="V136" s="101"/>
      <c r="W136" s="101"/>
      <c r="X136" s="101"/>
      <c r="Y136" s="114" t="str">
        <f t="shared" ref="Y136:Y140" si="15">CONCATENATE(Z136,",",AA136,",",AB136,",",AC136,",",AD136,",",AE136,",",AF136,",",AG136,",",AH136,",",AI136)</f>
        <v>,,,,,,,,,</v>
      </c>
      <c r="Z136" s="114"/>
      <c r="AA136" s="114"/>
      <c r="AB136" s="114"/>
      <c r="AC136" s="114"/>
      <c r="AD136" s="114"/>
      <c r="AE136" s="114"/>
      <c r="AF136" s="114"/>
      <c r="AG136" s="114"/>
      <c r="AH136" s="114"/>
      <c r="AI136" s="114"/>
      <c r="AJ136" s="115"/>
      <c r="AK136" s="115"/>
      <c r="AL136" s="115"/>
      <c r="AM136" s="115"/>
      <c r="AN136" s="115"/>
      <c r="AO136" s="115"/>
      <c r="AP136" s="115"/>
      <c r="AQ136" s="115"/>
      <c r="AR136" s="115"/>
      <c r="AS136" s="115"/>
      <c r="AT136" s="115"/>
      <c r="AU136" s="115"/>
      <c r="AV136" s="115"/>
      <c r="AW136" s="115"/>
      <c r="AX136" s="115"/>
      <c r="AY136" s="115"/>
      <c r="AZ136" s="115"/>
    </row>
    <row r="137" spans="1:52">
      <c r="A137" s="111" t="s">
        <v>251</v>
      </c>
      <c r="B137" s="111">
        <v>11</v>
      </c>
      <c r="C137" s="112" t="str">
        <f t="shared" si="14"/>
        <v>LAA09</v>
      </c>
      <c r="D137" s="101" t="s">
        <v>3858</v>
      </c>
      <c r="E137" s="102">
        <v>45992</v>
      </c>
      <c r="F137" s="103" t="s">
        <v>3011</v>
      </c>
      <c r="G137" s="111" t="str">
        <f>VLOOKUP(C137,CODORL!Q:T,4,FALSE)</f>
        <v>Enrique Gómez Aldaz</v>
      </c>
      <c r="H137" s="103" t="s">
        <v>764</v>
      </c>
      <c r="I137" s="103" t="s">
        <v>3133</v>
      </c>
      <c r="J137" s="103" t="s">
        <v>3530</v>
      </c>
      <c r="K137" s="103" t="s">
        <v>3135</v>
      </c>
      <c r="L137" s="103">
        <v>300</v>
      </c>
      <c r="M137" s="101">
        <v>200</v>
      </c>
      <c r="N137" s="101" t="s">
        <v>3859</v>
      </c>
      <c r="O137" s="47"/>
      <c r="P137" s="103"/>
      <c r="Q137" s="101"/>
      <c r="R137" s="101"/>
      <c r="S137" s="101"/>
      <c r="T137" s="101"/>
      <c r="U137" s="101"/>
      <c r="V137" s="101"/>
      <c r="W137" s="101"/>
      <c r="X137" s="101"/>
      <c r="Y137" s="101" t="str">
        <f t="shared" si="15"/>
        <v>SEVE-385,,,,,,,,,</v>
      </c>
      <c r="Z137" s="101" t="s">
        <v>3532</v>
      </c>
      <c r="AA137" s="101"/>
      <c r="AB137" s="101"/>
      <c r="AC137" s="101"/>
      <c r="AD137" s="101"/>
      <c r="AE137" s="101"/>
      <c r="AF137" s="101"/>
      <c r="AG137" s="101"/>
      <c r="AH137" s="101"/>
      <c r="AI137" s="101"/>
      <c r="AJ137" s="119"/>
      <c r="AK137" s="119">
        <f>L137/300</f>
        <v>1</v>
      </c>
      <c r="AL137" s="119">
        <f>COUNTA(Z137:AI137)</f>
        <v>1</v>
      </c>
      <c r="AM137" s="119"/>
      <c r="AN137" s="119"/>
      <c r="AO137" s="119"/>
      <c r="AP137" s="119"/>
      <c r="AQ137" s="119"/>
      <c r="AR137" s="119"/>
      <c r="AS137" s="119"/>
      <c r="AT137" s="119"/>
      <c r="AU137" s="119"/>
      <c r="AV137" s="119"/>
      <c r="AW137" s="119"/>
      <c r="AX137" s="119"/>
      <c r="AY137" s="119"/>
      <c r="AZ137" s="119"/>
    </row>
    <row r="138" spans="1:52">
      <c r="A138" s="111" t="s">
        <v>8</v>
      </c>
      <c r="B138" s="111">
        <v>11</v>
      </c>
      <c r="C138" s="112" t="str">
        <f t="shared" si="14"/>
        <v>MBM03</v>
      </c>
      <c r="D138" s="101" t="s">
        <v>3860</v>
      </c>
      <c r="E138" s="102">
        <v>45992</v>
      </c>
      <c r="F138" s="106" t="s">
        <v>3861</v>
      </c>
      <c r="G138" s="111" t="str">
        <f>VLOOKUP(C138,CODORL!Q:T,4,FALSE)</f>
        <v>Alejandro Harguindey Antoli-Candela</v>
      </c>
      <c r="H138" s="101" t="s">
        <v>110</v>
      </c>
      <c r="I138" s="101" t="s">
        <v>3299</v>
      </c>
      <c r="J138" s="101" t="s">
        <v>3344</v>
      </c>
      <c r="K138" s="101" t="s">
        <v>2945</v>
      </c>
      <c r="L138" s="101">
        <v>600</v>
      </c>
      <c r="M138" s="101">
        <v>0</v>
      </c>
      <c r="N138" s="113" t="s">
        <v>3862</v>
      </c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14" t="str">
        <f t="shared" si="15"/>
        <v>,,,,,,,,,</v>
      </c>
      <c r="Z138" s="114"/>
      <c r="AA138" s="114"/>
      <c r="AB138" s="114"/>
      <c r="AC138" s="114"/>
      <c r="AD138" s="114"/>
      <c r="AE138" s="114"/>
      <c r="AF138" s="114"/>
      <c r="AG138" s="114"/>
      <c r="AH138" s="114"/>
      <c r="AI138" s="113"/>
      <c r="AJ138" s="113"/>
      <c r="AK138" s="113"/>
      <c r="AL138" s="113"/>
      <c r="AM138" s="113"/>
      <c r="AN138" s="113"/>
      <c r="AO138" s="113"/>
      <c r="AP138" s="113"/>
      <c r="AQ138" s="113"/>
      <c r="AR138" s="113"/>
      <c r="AS138" s="113"/>
      <c r="AT138" s="113"/>
      <c r="AU138" s="113"/>
      <c r="AV138" s="113"/>
      <c r="AW138" s="113"/>
      <c r="AX138" s="113"/>
      <c r="AY138" s="113"/>
      <c r="AZ138" s="113"/>
    </row>
    <row r="139" spans="1:52">
      <c r="A139" s="111" t="s">
        <v>8</v>
      </c>
      <c r="B139" s="111">
        <v>11</v>
      </c>
      <c r="C139" s="112" t="str">
        <f t="shared" si="14"/>
        <v>MBM03</v>
      </c>
      <c r="D139" s="101" t="s">
        <v>3863</v>
      </c>
      <c r="E139" s="102">
        <v>45992</v>
      </c>
      <c r="F139" s="106" t="s">
        <v>3605</v>
      </c>
      <c r="G139" s="111" t="str">
        <f>VLOOKUP(C139,CODORL!Q:T,4,FALSE)</f>
        <v>Alejandro Harguindey Antoli-Candela</v>
      </c>
      <c r="H139" s="101" t="s">
        <v>110</v>
      </c>
      <c r="I139" s="101" t="s">
        <v>3299</v>
      </c>
      <c r="J139" s="101" t="s">
        <v>3344</v>
      </c>
      <c r="K139" s="101" t="s">
        <v>2945</v>
      </c>
      <c r="L139" s="101">
        <v>600</v>
      </c>
      <c r="M139" s="101">
        <v>0</v>
      </c>
      <c r="N139" s="113" t="s">
        <v>3864</v>
      </c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14" t="str">
        <f t="shared" si="15"/>
        <v>,,,,,,,,,</v>
      </c>
      <c r="Z139" s="114"/>
      <c r="AA139" s="114"/>
      <c r="AB139" s="114"/>
      <c r="AC139" s="114"/>
      <c r="AD139" s="114"/>
      <c r="AE139" s="114"/>
      <c r="AF139" s="114"/>
      <c r="AG139" s="114"/>
      <c r="AH139" s="114"/>
      <c r="AI139" s="113"/>
      <c r="AJ139" s="113"/>
      <c r="AK139" s="113"/>
      <c r="AL139" s="113"/>
      <c r="AM139" s="113"/>
      <c r="AN139" s="113"/>
      <c r="AO139" s="113"/>
      <c r="AP139" s="113"/>
      <c r="AQ139" s="113"/>
      <c r="AR139" s="113"/>
      <c r="AS139" s="113"/>
      <c r="AT139" s="113"/>
      <c r="AU139" s="113"/>
      <c r="AV139" s="113"/>
      <c r="AW139" s="113"/>
      <c r="AX139" s="113"/>
      <c r="AY139" s="113"/>
      <c r="AZ139" s="113"/>
    </row>
    <row r="140" spans="1:52">
      <c r="A140" s="111" t="s">
        <v>8</v>
      </c>
      <c r="B140" s="111">
        <v>11</v>
      </c>
      <c r="C140" s="112" t="s">
        <v>138</v>
      </c>
      <c r="D140" s="101" t="s">
        <v>3865</v>
      </c>
      <c r="E140" s="102">
        <v>45992</v>
      </c>
      <c r="F140" s="101" t="s">
        <v>3193</v>
      </c>
      <c r="G140" s="111" t="str">
        <f>VLOOKUP(C140,CODORL!Q:T,4,FALSE)</f>
        <v>Alfonso Plaza López</v>
      </c>
      <c r="H140" s="101" t="s">
        <v>3824</v>
      </c>
      <c r="I140" s="101" t="s">
        <v>3825</v>
      </c>
      <c r="J140" s="101" t="s">
        <v>3826</v>
      </c>
      <c r="K140" s="101" t="s">
        <v>3827</v>
      </c>
      <c r="L140" s="103">
        <v>600</v>
      </c>
      <c r="M140" s="113">
        <v>0</v>
      </c>
      <c r="N140" s="101" t="s">
        <v>3866</v>
      </c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14" t="str">
        <f t="shared" si="15"/>
        <v>,,,,,,,,,</v>
      </c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5"/>
      <c r="AK140" s="115"/>
      <c r="AL140" s="115"/>
      <c r="AM140" s="115"/>
      <c r="AN140" s="115"/>
      <c r="AO140" s="115"/>
      <c r="AP140" s="115"/>
      <c r="AQ140" s="115"/>
      <c r="AR140" s="115"/>
      <c r="AS140" s="115"/>
      <c r="AT140" s="115"/>
      <c r="AU140" s="115"/>
      <c r="AV140" s="115"/>
      <c r="AW140" s="115"/>
      <c r="AX140" s="115"/>
      <c r="AY140" s="115"/>
      <c r="AZ140" s="115"/>
    </row>
    <row r="141" spans="1:52">
      <c r="A141" s="111" t="s">
        <v>8</v>
      </c>
      <c r="B141" s="111">
        <v>11</v>
      </c>
      <c r="C141" s="112" t="str">
        <f t="shared" ref="C141:C154" si="16">LEFT(D141,SEARCH("/",D141,1)-1)</f>
        <v>MBM11</v>
      </c>
      <c r="D141" s="101" t="s">
        <v>3867</v>
      </c>
      <c r="E141" s="102">
        <v>45992</v>
      </c>
      <c r="F141" s="106" t="s">
        <v>2929</v>
      </c>
      <c r="G141" s="111" t="str">
        <f>VLOOKUP(C141,CODORL!Q:T,4,FALSE)</f>
        <v>Antonio Rodríguez Rivero</v>
      </c>
      <c r="H141" s="101" t="s">
        <v>358</v>
      </c>
      <c r="I141" s="101" t="s">
        <v>2881</v>
      </c>
      <c r="J141" s="101" t="s">
        <v>2882</v>
      </c>
      <c r="K141" s="101" t="s">
        <v>2883</v>
      </c>
      <c r="L141" s="101">
        <v>600</v>
      </c>
      <c r="M141" s="101"/>
      <c r="N141" s="101" t="s">
        <v>3868</v>
      </c>
      <c r="O141" s="106"/>
      <c r="P141" s="101"/>
      <c r="Q141" s="101"/>
      <c r="R141" s="101"/>
      <c r="S141" s="101"/>
      <c r="T141" s="101"/>
      <c r="U141" s="101"/>
      <c r="V141" s="101"/>
      <c r="W141" s="101"/>
      <c r="X141" s="101"/>
      <c r="Y141" s="114" t="s">
        <v>3814</v>
      </c>
      <c r="Z141" s="114" t="s">
        <v>3715</v>
      </c>
      <c r="AA141" s="114"/>
      <c r="AB141" s="114"/>
      <c r="AC141" s="114"/>
      <c r="AD141" s="114"/>
      <c r="AE141" s="114"/>
      <c r="AF141" s="114"/>
      <c r="AG141" s="114"/>
      <c r="AH141" s="114"/>
      <c r="AI141" s="114"/>
      <c r="AJ141" s="114"/>
      <c r="AK141" s="115"/>
      <c r="AL141" s="115"/>
      <c r="AM141" s="115"/>
      <c r="AN141" s="115"/>
      <c r="AO141" s="115"/>
      <c r="AP141" s="115"/>
      <c r="AQ141" s="115"/>
      <c r="AR141" s="115"/>
      <c r="AS141" s="115"/>
      <c r="AT141" s="115"/>
      <c r="AU141" s="115"/>
      <c r="AV141" s="115"/>
      <c r="AW141" s="115"/>
      <c r="AX141" s="115"/>
      <c r="AY141" s="115"/>
      <c r="AZ141" s="115"/>
    </row>
    <row r="142" spans="1:52">
      <c r="A142" s="111" t="s">
        <v>8</v>
      </c>
      <c r="B142" s="111">
        <v>11</v>
      </c>
      <c r="C142" s="112" t="str">
        <f t="shared" si="16"/>
        <v>MBM60</v>
      </c>
      <c r="D142" s="101" t="s">
        <v>3869</v>
      </c>
      <c r="E142" s="102">
        <v>45992</v>
      </c>
      <c r="F142" s="101" t="s">
        <v>3187</v>
      </c>
      <c r="G142" s="111" t="str">
        <f>VLOOKUP(C142,CODORL!Q:T,4,FALSE)</f>
        <v>juan Ignacio Riestra Ayora</v>
      </c>
      <c r="H142" s="101" t="s">
        <v>3254</v>
      </c>
      <c r="I142" s="103" t="s">
        <v>3255</v>
      </c>
      <c r="J142" s="103" t="s">
        <v>3553</v>
      </c>
      <c r="K142" s="103" t="s">
        <v>3257</v>
      </c>
      <c r="L142" s="103">
        <v>600</v>
      </c>
      <c r="M142" s="113">
        <v>0</v>
      </c>
      <c r="N142" s="101" t="s">
        <v>3870</v>
      </c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14" t="str">
        <f>CONCATENATE(Z142,",",AA142,",",AB142,",",AC142,",",AD142,",",AE142,",",AF142,",",AG142,",",AH142,",",AI142)</f>
        <v>C202533193254143,,,,,,,,,</v>
      </c>
      <c r="Z142" s="114" t="s">
        <v>3555</v>
      </c>
      <c r="AA142" s="114"/>
      <c r="AB142" s="114"/>
      <c r="AC142" s="114"/>
      <c r="AD142" s="114"/>
      <c r="AE142" s="114"/>
      <c r="AF142" s="114"/>
      <c r="AG142" s="114"/>
      <c r="AH142" s="114"/>
      <c r="AI142" s="114"/>
      <c r="AJ142" s="115"/>
      <c r="AK142" s="115">
        <f>L142/300</f>
        <v>2</v>
      </c>
      <c r="AL142" s="115">
        <f>COUNTA(Z142:AI142)</f>
        <v>1</v>
      </c>
      <c r="AM142" s="115"/>
      <c r="AN142" s="115"/>
      <c r="AO142" s="115"/>
      <c r="AP142" s="115"/>
      <c r="AQ142" s="115"/>
      <c r="AR142" s="115"/>
      <c r="AS142" s="115"/>
      <c r="AT142" s="115"/>
      <c r="AU142" s="115"/>
      <c r="AV142" s="115"/>
      <c r="AW142" s="115"/>
      <c r="AX142" s="115"/>
      <c r="AY142" s="115"/>
      <c r="AZ142" s="115"/>
    </row>
    <row r="143" spans="1:52">
      <c r="A143" s="111" t="s">
        <v>8</v>
      </c>
      <c r="B143" s="111">
        <v>11</v>
      </c>
      <c r="C143" s="112" t="str">
        <f t="shared" si="16"/>
        <v>MBM128</v>
      </c>
      <c r="D143" s="101" t="s">
        <v>3871</v>
      </c>
      <c r="E143" s="102">
        <v>45992</v>
      </c>
      <c r="F143" s="106" t="s">
        <v>2929</v>
      </c>
      <c r="G143" s="111" t="str">
        <f>VLOOKUP(C143,CODORL!Q:T,4,FALSE)</f>
        <v>Karla Natali Montaño Rueda</v>
      </c>
      <c r="H143" s="101" t="s">
        <v>1679</v>
      </c>
      <c r="I143" s="120" t="s">
        <v>2930</v>
      </c>
      <c r="J143" s="120" t="s">
        <v>2931</v>
      </c>
      <c r="K143" s="198" t="s">
        <v>2932</v>
      </c>
      <c r="L143" s="101">
        <v>600</v>
      </c>
      <c r="M143" s="101"/>
      <c r="N143" s="113" t="s">
        <v>3872</v>
      </c>
      <c r="O143" s="106"/>
      <c r="P143" s="101"/>
      <c r="Q143" s="101"/>
      <c r="R143" s="101"/>
      <c r="S143" s="101"/>
      <c r="T143" s="101"/>
      <c r="U143" s="101"/>
      <c r="V143" s="101"/>
      <c r="W143" s="101"/>
      <c r="X143" s="101"/>
      <c r="Y143" s="114"/>
      <c r="Z143" s="114"/>
      <c r="AA143" s="114"/>
      <c r="AB143" s="114"/>
      <c r="AC143" s="114"/>
      <c r="AD143" s="114"/>
      <c r="AE143" s="114"/>
      <c r="AF143" s="114"/>
      <c r="AG143" s="114"/>
      <c r="AH143" s="114"/>
      <c r="AI143" s="114"/>
      <c r="AJ143" s="114"/>
      <c r="AK143" s="114"/>
      <c r="AL143" s="115"/>
      <c r="AM143" s="115"/>
      <c r="AN143" s="115"/>
      <c r="AO143" s="115"/>
      <c r="AP143" s="115"/>
      <c r="AQ143" s="115"/>
      <c r="AR143" s="115"/>
      <c r="AS143" s="115"/>
      <c r="AT143" s="115"/>
      <c r="AU143" s="115"/>
      <c r="AV143" s="115"/>
      <c r="AW143" s="115"/>
      <c r="AX143" s="115"/>
      <c r="AY143" s="115"/>
      <c r="AZ143" s="115"/>
    </row>
    <row r="144" spans="1:52">
      <c r="A144" s="111" t="s">
        <v>3087</v>
      </c>
      <c r="B144" s="111">
        <v>11</v>
      </c>
      <c r="C144" s="112" t="str">
        <f t="shared" si="16"/>
        <v>MCC04</v>
      </c>
      <c r="D144" s="101" t="s">
        <v>3873</v>
      </c>
      <c r="E144" s="102">
        <v>45992</v>
      </c>
      <c r="F144" s="101" t="s">
        <v>3218</v>
      </c>
      <c r="G144" s="111" t="str">
        <f>VLOOKUP(C144,CODORL!Q:T,4,FALSE)</f>
        <v>Darío Agudelo García</v>
      </c>
      <c r="H144" s="101" t="s">
        <v>652</v>
      </c>
      <c r="I144" s="101" t="s">
        <v>3719</v>
      </c>
      <c r="J144" s="101" t="s">
        <v>3720</v>
      </c>
      <c r="K144" s="101" t="s">
        <v>3721</v>
      </c>
      <c r="L144" s="101">
        <v>600</v>
      </c>
      <c r="M144" s="101"/>
      <c r="N144" s="113" t="s">
        <v>3874</v>
      </c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14" t="str">
        <f t="shared" ref="Y144:Y147" si="17">CONCATENATE(Z144,",",AA144,",",AB144,",",AC144,",",AD144,",",AE144,",",AF144,",",AG144,",",AH144,",",AI144)</f>
        <v>,,,,,,,,,</v>
      </c>
      <c r="Z144" s="114"/>
      <c r="AA144" s="114"/>
      <c r="AB144" s="114"/>
      <c r="AC144" s="114"/>
      <c r="AD144" s="114"/>
      <c r="AE144" s="114"/>
      <c r="AF144" s="114"/>
      <c r="AG144" s="114"/>
      <c r="AH144" s="114"/>
      <c r="AI144" s="114"/>
      <c r="AJ144" s="114"/>
      <c r="AK144" s="115"/>
      <c r="AL144" s="115"/>
      <c r="AM144" s="115"/>
      <c r="AN144" s="115"/>
      <c r="AO144" s="115"/>
      <c r="AP144" s="115"/>
      <c r="AQ144" s="115"/>
      <c r="AR144" s="115"/>
      <c r="AS144" s="115"/>
      <c r="AT144" s="115"/>
      <c r="AU144" s="115"/>
      <c r="AV144" s="115"/>
      <c r="AW144" s="115"/>
      <c r="AX144" s="115"/>
      <c r="AY144" s="115"/>
      <c r="AZ144" s="115"/>
    </row>
    <row r="145" spans="1:52">
      <c r="A145" s="111" t="s">
        <v>8</v>
      </c>
      <c r="B145" s="111">
        <v>11</v>
      </c>
      <c r="C145" s="112" t="str">
        <f t="shared" si="16"/>
        <v>MBM75</v>
      </c>
      <c r="D145" s="101" t="s">
        <v>3875</v>
      </c>
      <c r="E145" s="102">
        <v>45992</v>
      </c>
      <c r="F145" s="101" t="s">
        <v>3187</v>
      </c>
      <c r="G145" s="111" t="str">
        <f>VLOOKUP(C145,CODORL!Q:T,4,FALSE)</f>
        <v>Raimundo Gómez-Blasi</v>
      </c>
      <c r="H145" s="101" t="s">
        <v>3437</v>
      </c>
      <c r="I145" s="101" t="s">
        <v>3438</v>
      </c>
      <c r="J145" s="101" t="s">
        <v>3439</v>
      </c>
      <c r="K145" s="101" t="s">
        <v>3440</v>
      </c>
      <c r="L145" s="103">
        <v>600</v>
      </c>
      <c r="M145" s="101">
        <v>0</v>
      </c>
      <c r="N145" s="103" t="s">
        <v>3876</v>
      </c>
      <c r="O145" s="101"/>
      <c r="P145" s="103"/>
      <c r="Q145" s="101"/>
      <c r="R145" s="101"/>
      <c r="S145" s="101"/>
      <c r="T145" s="101"/>
      <c r="U145" s="101"/>
      <c r="V145" s="101"/>
      <c r="W145" s="101"/>
      <c r="X145" s="101"/>
      <c r="Y145" s="114" t="str">
        <f t="shared" si="17"/>
        <v>C202531310345895,,,,,,,,,</v>
      </c>
      <c r="Z145" s="114" t="s">
        <v>3509</v>
      </c>
      <c r="AA145" s="114"/>
      <c r="AB145" s="114"/>
      <c r="AC145" s="114"/>
      <c r="AD145" s="114"/>
      <c r="AE145" s="114"/>
      <c r="AF145" s="114"/>
      <c r="AG145" s="114"/>
      <c r="AH145" s="114"/>
      <c r="AI145" s="114"/>
      <c r="AJ145" s="115"/>
      <c r="AK145" s="115">
        <f t="shared" ref="AK145:AK147" si="18">L145/300</f>
        <v>2</v>
      </c>
      <c r="AL145" s="115">
        <f t="shared" ref="AL145:AL147" si="19">COUNTA(Z145:AI145)</f>
        <v>1</v>
      </c>
      <c r="AM145" s="115"/>
      <c r="AN145" s="115"/>
      <c r="AO145" s="115"/>
      <c r="AP145" s="115"/>
      <c r="AQ145" s="115"/>
      <c r="AR145" s="115"/>
      <c r="AS145" s="115"/>
      <c r="AT145" s="115"/>
      <c r="AU145" s="115"/>
      <c r="AV145" s="115"/>
      <c r="AW145" s="115"/>
      <c r="AX145" s="115"/>
      <c r="AY145" s="115"/>
      <c r="AZ145" s="115"/>
    </row>
    <row r="146" spans="1:52">
      <c r="A146" s="111" t="s">
        <v>8</v>
      </c>
      <c r="B146" s="111">
        <v>11</v>
      </c>
      <c r="C146" s="112" t="str">
        <f t="shared" si="16"/>
        <v>MBM186</v>
      </c>
      <c r="D146" s="101" t="s">
        <v>3877</v>
      </c>
      <c r="E146" s="102">
        <v>45992</v>
      </c>
      <c r="F146" s="101" t="s">
        <v>2886</v>
      </c>
      <c r="G146" s="111" t="str">
        <f>VLOOKUP(C146,CODORL!Q156:T1151,4,FALSE)</f>
        <v>Marta Abad Pascual</v>
      </c>
      <c r="H146" s="101" t="s">
        <v>2887</v>
      </c>
      <c r="I146" s="103" t="s">
        <v>2888</v>
      </c>
      <c r="J146" s="103" t="s">
        <v>2889</v>
      </c>
      <c r="K146" s="103" t="s">
        <v>2890</v>
      </c>
      <c r="L146" s="103">
        <v>600</v>
      </c>
      <c r="M146" s="113">
        <v>0</v>
      </c>
      <c r="N146" s="101" t="s">
        <v>3878</v>
      </c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14" t="str">
        <f t="shared" si="17"/>
        <v>C2025430171017606,,,,,,,,,</v>
      </c>
      <c r="Z146" s="114" t="s">
        <v>3603</v>
      </c>
      <c r="AA146" s="114"/>
      <c r="AB146" s="114"/>
      <c r="AC146" s="114"/>
      <c r="AD146" s="114"/>
      <c r="AE146" s="114"/>
      <c r="AF146" s="114"/>
      <c r="AG146" s="114"/>
      <c r="AH146" s="114"/>
      <c r="AI146" s="114"/>
      <c r="AJ146" s="115"/>
      <c r="AK146" s="115">
        <f t="shared" si="18"/>
        <v>2</v>
      </c>
      <c r="AL146" s="115">
        <f t="shared" si="19"/>
        <v>1</v>
      </c>
      <c r="AM146" s="115"/>
      <c r="AN146" s="115"/>
      <c r="AO146" s="115"/>
      <c r="AP146" s="115"/>
      <c r="AQ146" s="115"/>
      <c r="AR146" s="115"/>
      <c r="AS146" s="115"/>
      <c r="AT146" s="115"/>
      <c r="AU146" s="115"/>
      <c r="AV146" s="115"/>
      <c r="AW146" s="115"/>
      <c r="AX146" s="115"/>
      <c r="AY146" s="115"/>
      <c r="AZ146" s="115"/>
    </row>
    <row r="147" spans="1:52">
      <c r="A147" s="111" t="s">
        <v>14</v>
      </c>
      <c r="B147" s="111">
        <v>11</v>
      </c>
      <c r="C147" s="112" t="str">
        <f t="shared" si="16"/>
        <v>RFV11</v>
      </c>
      <c r="D147" s="101" t="s">
        <v>3879</v>
      </c>
      <c r="E147" s="102">
        <v>45992</v>
      </c>
      <c r="F147" s="101" t="s">
        <v>2921</v>
      </c>
      <c r="G147" s="111" t="str">
        <f>VLOOKUP(C147,CODORL!Q:T,4,FALSE)</f>
        <v>José Ramiro de León Lima</v>
      </c>
      <c r="H147" s="101" t="s">
        <v>3641</v>
      </c>
      <c r="I147" s="103" t="s">
        <v>3168</v>
      </c>
      <c r="J147" s="103" t="s">
        <v>3169</v>
      </c>
      <c r="K147" s="103" t="s">
        <v>3170</v>
      </c>
      <c r="L147" s="103">
        <v>900</v>
      </c>
      <c r="M147" s="113">
        <v>0</v>
      </c>
      <c r="N147" s="101" t="s">
        <v>3880</v>
      </c>
      <c r="O147" s="101" t="s">
        <v>3881</v>
      </c>
      <c r="P147" s="101" t="s">
        <v>2927</v>
      </c>
      <c r="Q147" s="101"/>
      <c r="R147" s="101"/>
      <c r="S147" s="101"/>
      <c r="T147" s="101"/>
      <c r="U147" s="101"/>
      <c r="V147" s="101"/>
      <c r="W147" s="101"/>
      <c r="X147" s="101"/>
      <c r="Y147" s="114" t="str">
        <f t="shared" si="17"/>
        <v>C202542310580896,,,,,,,,,</v>
      </c>
      <c r="Z147" s="114" t="s">
        <v>3643</v>
      </c>
      <c r="AA147" s="114"/>
      <c r="AB147" s="114"/>
      <c r="AC147" s="114"/>
      <c r="AD147" s="114"/>
      <c r="AE147" s="114"/>
      <c r="AF147" s="114"/>
      <c r="AG147" s="114"/>
      <c r="AH147" s="114"/>
      <c r="AI147" s="114"/>
      <c r="AJ147" s="115"/>
      <c r="AK147" s="115">
        <f t="shared" si="18"/>
        <v>3</v>
      </c>
      <c r="AL147" s="115">
        <f t="shared" si="19"/>
        <v>1</v>
      </c>
      <c r="AM147" s="115"/>
      <c r="AN147" s="115"/>
      <c r="AO147" s="115"/>
      <c r="AP147" s="115"/>
      <c r="AQ147" s="115"/>
      <c r="AR147" s="115"/>
      <c r="AS147" s="115"/>
      <c r="AT147" s="115"/>
      <c r="AU147" s="115"/>
      <c r="AV147" s="115"/>
      <c r="AW147" s="115"/>
      <c r="AX147" s="115"/>
      <c r="AY147" s="115"/>
      <c r="AZ147" s="115"/>
    </row>
    <row r="148" spans="1:52">
      <c r="A148" s="111" t="s">
        <v>14</v>
      </c>
      <c r="B148" s="111">
        <v>11</v>
      </c>
      <c r="C148" s="112" t="str">
        <f t="shared" si="16"/>
        <v>RFV24</v>
      </c>
      <c r="D148" s="101" t="s">
        <v>3882</v>
      </c>
      <c r="E148" s="102">
        <v>45992</v>
      </c>
      <c r="F148" s="101" t="s">
        <v>2921</v>
      </c>
      <c r="G148" s="111" t="str">
        <f>VLOOKUP(C148,CODORL!Q152:T1147,4,FALSE)</f>
        <v>Raimon García Chillerón</v>
      </c>
      <c r="H148" s="101" t="s">
        <v>2555</v>
      </c>
      <c r="I148" s="113" t="s">
        <v>3022</v>
      </c>
      <c r="J148" s="101" t="s">
        <v>3023</v>
      </c>
      <c r="K148" s="113" t="s">
        <v>3024</v>
      </c>
      <c r="L148" s="101">
        <v>600</v>
      </c>
      <c r="M148" s="101">
        <v>100</v>
      </c>
      <c r="N148" s="101" t="s">
        <v>3883</v>
      </c>
      <c r="O148" s="101"/>
      <c r="P148" s="101"/>
      <c r="Q148" s="101"/>
      <c r="R148" s="106"/>
      <c r="S148" s="106"/>
      <c r="T148" s="101"/>
      <c r="U148" s="106"/>
      <c r="V148" s="101"/>
      <c r="W148" s="101"/>
      <c r="X148" s="101"/>
      <c r="Y148" s="114"/>
      <c r="Z148" s="114"/>
      <c r="AA148" s="114"/>
      <c r="AB148" s="114"/>
      <c r="AC148" s="114"/>
      <c r="AD148" s="114"/>
      <c r="AE148" s="114"/>
      <c r="AF148" s="114"/>
      <c r="AG148" s="114"/>
      <c r="AH148" s="114"/>
      <c r="AI148" s="114"/>
      <c r="AJ148" s="115"/>
      <c r="AK148" s="115"/>
      <c r="AL148" s="115"/>
      <c r="AM148" s="115"/>
      <c r="AN148" s="115"/>
      <c r="AO148" s="115"/>
      <c r="AP148" s="115"/>
      <c r="AQ148" s="115"/>
      <c r="AR148" s="115"/>
      <c r="AS148" s="115"/>
      <c r="AT148" s="115"/>
      <c r="AU148" s="115"/>
      <c r="AV148" s="115"/>
      <c r="AW148" s="115"/>
      <c r="AX148" s="115"/>
      <c r="AY148" s="115"/>
      <c r="AZ148" s="115"/>
    </row>
    <row r="149" spans="1:52">
      <c r="A149" s="111" t="s">
        <v>14</v>
      </c>
      <c r="B149" s="111">
        <v>11</v>
      </c>
      <c r="C149" s="112" t="str">
        <f t="shared" si="16"/>
        <v>RFV24</v>
      </c>
      <c r="D149" s="101" t="s">
        <v>3884</v>
      </c>
      <c r="E149" s="102">
        <v>45992</v>
      </c>
      <c r="F149" s="101" t="s">
        <v>2984</v>
      </c>
      <c r="G149" s="111" t="str">
        <f>VLOOKUP(C149,CODORL!Q153:T1148,4,FALSE)</f>
        <v>Raimon García Chillerón</v>
      </c>
      <c r="H149" s="101" t="s">
        <v>2555</v>
      </c>
      <c r="I149" s="113" t="s">
        <v>3022</v>
      </c>
      <c r="J149" s="101" t="s">
        <v>3023</v>
      </c>
      <c r="K149" s="113" t="s">
        <v>3024</v>
      </c>
      <c r="L149" s="101">
        <v>600</v>
      </c>
      <c r="M149" s="101">
        <v>100</v>
      </c>
      <c r="N149" s="101" t="s">
        <v>3885</v>
      </c>
      <c r="O149" s="101"/>
      <c r="P149" s="101"/>
      <c r="Q149" s="101"/>
      <c r="R149" s="106"/>
      <c r="S149" s="106"/>
      <c r="T149" s="101"/>
      <c r="U149" s="106"/>
      <c r="V149" s="101"/>
      <c r="W149" s="101"/>
      <c r="X149" s="101"/>
      <c r="Y149" s="114"/>
      <c r="Z149" s="114"/>
      <c r="AA149" s="114"/>
      <c r="AB149" s="114"/>
      <c r="AC149" s="114"/>
      <c r="AD149" s="114"/>
      <c r="AE149" s="114"/>
      <c r="AF149" s="114"/>
      <c r="AG149" s="114"/>
      <c r="AH149" s="114"/>
      <c r="AI149" s="114"/>
      <c r="AJ149" s="115"/>
      <c r="AK149" s="115"/>
      <c r="AL149" s="115"/>
      <c r="AM149" s="115"/>
      <c r="AN149" s="115"/>
      <c r="AO149" s="115"/>
      <c r="AP149" s="115"/>
      <c r="AQ149" s="115"/>
      <c r="AR149" s="115"/>
      <c r="AS149" s="115"/>
      <c r="AT149" s="115"/>
      <c r="AU149" s="115"/>
      <c r="AV149" s="115"/>
      <c r="AW149" s="115"/>
      <c r="AX149" s="115"/>
      <c r="AY149" s="115"/>
      <c r="AZ149" s="115"/>
    </row>
    <row r="150" spans="1:52">
      <c r="A150" s="111" t="s">
        <v>14</v>
      </c>
      <c r="B150" s="111">
        <v>11</v>
      </c>
      <c r="C150" s="112" t="str">
        <f t="shared" si="16"/>
        <v>RFV33</v>
      </c>
      <c r="D150" s="101" t="s">
        <v>3886</v>
      </c>
      <c r="E150" s="102">
        <v>45992</v>
      </c>
      <c r="F150" s="103" t="s">
        <v>2921</v>
      </c>
      <c r="G150" s="111" t="str">
        <f>VLOOKUP(C150,CODORL!Q:T,4,FALSE)</f>
        <v>Paula Martínez-Ruiz De Apocada</v>
      </c>
      <c r="H150" s="103" t="s">
        <v>2456</v>
      </c>
      <c r="I150" s="103" t="s">
        <v>2922</v>
      </c>
      <c r="J150" s="103" t="s">
        <v>2923</v>
      </c>
      <c r="K150" s="103" t="s">
        <v>2924</v>
      </c>
      <c r="L150" s="103">
        <v>300</v>
      </c>
      <c r="M150" s="101">
        <v>50</v>
      </c>
      <c r="N150" s="197" t="s">
        <v>3887</v>
      </c>
      <c r="O150" s="103"/>
      <c r="P150" s="103"/>
      <c r="Q150" s="101"/>
      <c r="R150" s="101"/>
      <c r="S150" s="101"/>
      <c r="T150" s="101"/>
      <c r="U150" s="101"/>
      <c r="V150" s="101"/>
      <c r="W150" s="101"/>
      <c r="X150" s="101"/>
      <c r="Y150" s="114" t="str">
        <f>CONCATENATE(Z150,",",AA150,",",AB150,",",AC150,",",AD150,",",AE150,",",AF150,",",AG150,",",AH150,",",AI150)</f>
        <v>C2025320162550143,,,,,,,,,</v>
      </c>
      <c r="Z150" s="114" t="s">
        <v>3551</v>
      </c>
      <c r="AA150" s="114"/>
      <c r="AB150" s="114"/>
      <c r="AC150" s="114"/>
      <c r="AD150" s="114"/>
      <c r="AE150" s="114"/>
      <c r="AF150" s="114"/>
      <c r="AG150" s="114"/>
      <c r="AH150" s="114"/>
      <c r="AI150" s="114"/>
      <c r="AJ150" s="115"/>
      <c r="AK150" s="115">
        <f>L150/300</f>
        <v>1</v>
      </c>
      <c r="AL150" s="115">
        <f>COUNTA(Z150:AI150)</f>
        <v>1</v>
      </c>
      <c r="AM150" s="115"/>
      <c r="AN150" s="115"/>
      <c r="AO150" s="115"/>
      <c r="AP150" s="115"/>
      <c r="AQ150" s="115"/>
      <c r="AR150" s="115"/>
      <c r="AS150" s="115"/>
      <c r="AT150" s="115"/>
      <c r="AU150" s="115"/>
      <c r="AV150" s="115"/>
      <c r="AW150" s="115"/>
      <c r="AX150" s="115"/>
      <c r="AY150" s="115"/>
      <c r="AZ150" s="115"/>
    </row>
    <row r="151" spans="1:52">
      <c r="A151" s="111" t="s">
        <v>23</v>
      </c>
      <c r="B151" s="111">
        <v>11</v>
      </c>
      <c r="C151" s="112" t="str">
        <f t="shared" si="16"/>
        <v>RPG51</v>
      </c>
      <c r="D151" s="103" t="s">
        <v>3888</v>
      </c>
      <c r="E151" s="102">
        <v>45992</v>
      </c>
      <c r="F151" s="101" t="s">
        <v>2900</v>
      </c>
      <c r="G151" s="111" t="str">
        <f>VLOOKUP(C151,CODORL!Q159:T1154,4,FALSE)</f>
        <v>María Rey Marcos</v>
      </c>
      <c r="H151" s="101" t="s">
        <v>2080</v>
      </c>
      <c r="I151" s="103" t="s">
        <v>2901</v>
      </c>
      <c r="J151" s="101" t="s">
        <v>2902</v>
      </c>
      <c r="K151" s="103" t="s">
        <v>2903</v>
      </c>
      <c r="L151" s="113">
        <v>1500</v>
      </c>
      <c r="M151" s="113">
        <v>0</v>
      </c>
      <c r="N151" s="113" t="s">
        <v>3889</v>
      </c>
      <c r="O151" s="106" t="s">
        <v>3890</v>
      </c>
      <c r="P151" s="113" t="s">
        <v>3891</v>
      </c>
      <c r="Q151" s="113"/>
      <c r="R151" s="101"/>
      <c r="S151" s="101"/>
      <c r="T151" s="101"/>
      <c r="U151" s="101"/>
      <c r="V151" s="101"/>
      <c r="W151" s="101"/>
      <c r="X151" s="101"/>
      <c r="Y151" s="114" t="s">
        <v>2906</v>
      </c>
      <c r="Z151" s="114"/>
      <c r="AA151" s="114"/>
      <c r="AB151" s="114"/>
      <c r="AC151" s="114"/>
      <c r="AD151" s="114"/>
      <c r="AE151" s="114"/>
      <c r="AF151" s="114"/>
      <c r="AG151" s="114"/>
      <c r="AH151" s="114"/>
      <c r="AI151" s="114"/>
      <c r="AJ151" s="115"/>
      <c r="AK151" s="115"/>
      <c r="AL151" s="115"/>
      <c r="AM151" s="115"/>
      <c r="AN151" s="115"/>
      <c r="AO151" s="115"/>
      <c r="AP151" s="115"/>
      <c r="AQ151" s="115"/>
      <c r="AR151" s="115"/>
      <c r="AS151" s="115"/>
      <c r="AT151" s="115"/>
      <c r="AU151" s="115"/>
      <c r="AV151" s="115"/>
      <c r="AW151" s="115"/>
      <c r="AX151" s="115"/>
      <c r="AY151" s="115"/>
      <c r="AZ151" s="115"/>
    </row>
    <row r="152" spans="1:52">
      <c r="A152" s="111" t="s">
        <v>47</v>
      </c>
      <c r="B152" s="111">
        <v>11</v>
      </c>
      <c r="C152" s="112" t="str">
        <f t="shared" si="16"/>
        <v>ISL91</v>
      </c>
      <c r="D152" s="101" t="s">
        <v>3892</v>
      </c>
      <c r="E152" s="102">
        <v>45992</v>
      </c>
      <c r="F152" s="101" t="s">
        <v>2863</v>
      </c>
      <c r="G152" s="111" t="str">
        <f>VLOOKUP(C152,CODORL!Q:T,4,FALSE)</f>
        <v>Alejandra Jara Maquilón</v>
      </c>
      <c r="H152" s="101" t="s">
        <v>101</v>
      </c>
      <c r="I152" s="103" t="s">
        <v>2864</v>
      </c>
      <c r="J152" s="103" t="s">
        <v>3340</v>
      </c>
      <c r="K152" s="103" t="s">
        <v>2866</v>
      </c>
      <c r="L152" s="103">
        <v>600</v>
      </c>
      <c r="M152" s="101">
        <v>200</v>
      </c>
      <c r="N152" s="101" t="s">
        <v>3893</v>
      </c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14" t="str">
        <f>CONCATENATE(Z152,",",AA152,",",AB152,",",AC152,",",AD152,",",AE152,",",AF152,",",AG152,",",AH152,",",AI152)</f>
        <v>C202537164450420,,,,,,,,,</v>
      </c>
      <c r="Z152" s="114" t="s">
        <v>3447</v>
      </c>
      <c r="AA152" s="114"/>
      <c r="AB152" s="114"/>
      <c r="AC152" s="114"/>
      <c r="AD152" s="114"/>
      <c r="AE152" s="114"/>
      <c r="AF152" s="114"/>
      <c r="AG152" s="114"/>
      <c r="AH152" s="114"/>
      <c r="AI152" s="114"/>
      <c r="AJ152" s="115"/>
      <c r="AK152" s="115">
        <f>L152/300</f>
        <v>2</v>
      </c>
      <c r="AL152" s="115">
        <f>COUNTA(Z152:AI152)</f>
        <v>1</v>
      </c>
      <c r="AM152" s="115"/>
      <c r="AN152" s="115"/>
      <c r="AO152" s="115"/>
      <c r="AP152" s="115"/>
      <c r="AQ152" s="115"/>
      <c r="AR152" s="115"/>
      <c r="AS152" s="115"/>
      <c r="AT152" s="115"/>
      <c r="AU152" s="115"/>
      <c r="AV152" s="115"/>
      <c r="AW152" s="115"/>
      <c r="AX152" s="115"/>
      <c r="AY152" s="115"/>
      <c r="AZ152" s="115"/>
    </row>
    <row r="153" spans="1:52">
      <c r="A153" s="111" t="s">
        <v>2784</v>
      </c>
      <c r="B153" s="111">
        <v>12</v>
      </c>
      <c r="C153" s="112" t="str">
        <f t="shared" si="16"/>
        <v>LRM266</v>
      </c>
      <c r="D153" s="101" t="s">
        <v>3894</v>
      </c>
      <c r="E153" s="199">
        <v>46022</v>
      </c>
      <c r="F153" s="101" t="s">
        <v>2972</v>
      </c>
      <c r="G153" s="111" t="s">
        <v>3895</v>
      </c>
      <c r="H153" s="101" t="s">
        <v>3895</v>
      </c>
      <c r="I153" s="101" t="s">
        <v>3896</v>
      </c>
      <c r="J153" s="47" t="s">
        <v>3897</v>
      </c>
      <c r="K153" s="101" t="s">
        <v>3898</v>
      </c>
      <c r="L153" s="101">
        <v>1500</v>
      </c>
      <c r="M153" s="101">
        <v>0</v>
      </c>
      <c r="N153" s="101" t="s">
        <v>3899</v>
      </c>
      <c r="O153" s="101" t="s">
        <v>3900</v>
      </c>
      <c r="P153" s="101" t="s">
        <v>2927</v>
      </c>
      <c r="Q153" s="101"/>
      <c r="R153" s="101"/>
      <c r="S153" s="101"/>
      <c r="T153" s="101"/>
      <c r="U153" s="101"/>
      <c r="V153" s="101"/>
      <c r="W153" s="101"/>
      <c r="X153" s="101"/>
      <c r="Y153" s="114"/>
      <c r="Z153" s="114"/>
      <c r="AA153" s="114"/>
      <c r="AB153" s="114"/>
      <c r="AC153" s="114"/>
      <c r="AD153" s="114"/>
      <c r="AE153" s="114"/>
      <c r="AF153" s="114"/>
      <c r="AG153" s="114"/>
      <c r="AH153" s="114"/>
      <c r="AI153" s="114"/>
      <c r="AJ153" s="114"/>
      <c r="AK153" s="114"/>
      <c r="AL153" s="115"/>
      <c r="AM153" s="115"/>
      <c r="AN153" s="115"/>
      <c r="AO153" s="115"/>
      <c r="AP153" s="115"/>
      <c r="AQ153" s="115"/>
      <c r="AR153" s="115"/>
      <c r="AS153" s="115"/>
      <c r="AT153" s="115"/>
      <c r="AU153" s="115"/>
      <c r="AV153" s="115"/>
      <c r="AW153" s="115"/>
      <c r="AX153" s="115"/>
      <c r="AY153" s="115"/>
      <c r="AZ153" s="115"/>
    </row>
    <row r="154" spans="1:52">
      <c r="A154" s="111" t="s">
        <v>2784</v>
      </c>
      <c r="B154" s="111">
        <v>12</v>
      </c>
      <c r="C154" s="112" t="str">
        <f t="shared" si="16"/>
        <v>LRM246</v>
      </c>
      <c r="D154" s="101" t="s">
        <v>3901</v>
      </c>
      <c r="E154" s="199">
        <v>46022</v>
      </c>
      <c r="F154" s="101" t="s">
        <v>2972</v>
      </c>
      <c r="G154" s="111" t="str">
        <f>VLOOKUP(C154,CODORL!Q:T,4,FALSE)</f>
        <v>Maria Del Rocío Lobato Pérez</v>
      </c>
      <c r="H154" s="103" t="s">
        <v>3046</v>
      </c>
      <c r="I154" s="103" t="s">
        <v>3047</v>
      </c>
      <c r="J154" s="103" t="s">
        <v>3839</v>
      </c>
      <c r="K154" s="103" t="s">
        <v>3049</v>
      </c>
      <c r="L154" s="103">
        <v>300</v>
      </c>
      <c r="M154" s="103"/>
      <c r="N154" s="101" t="s">
        <v>3902</v>
      </c>
      <c r="O154" s="191"/>
      <c r="P154" s="191"/>
      <c r="Q154" s="191"/>
      <c r="R154" s="191"/>
      <c r="S154" s="191"/>
      <c r="T154" s="191"/>
      <c r="U154" s="191"/>
      <c r="V154" s="191"/>
      <c r="W154" s="191"/>
      <c r="X154" s="191"/>
      <c r="Y154" s="114" t="str">
        <f>CONCATENATE(Z154,",",AA154,",",AB154,",",AC154,",",AD154,",",AE154,",",AF154,",",AG154,",",AH154,",",AI154)</f>
        <v>C2025411226184,,,,,,,,,</v>
      </c>
      <c r="Z154" s="114" t="s">
        <v>3527</v>
      </c>
      <c r="AA154" s="114"/>
      <c r="AB154" s="114"/>
      <c r="AC154" s="114"/>
      <c r="AD154" s="114"/>
      <c r="AE154" s="114"/>
      <c r="AF154" s="114"/>
      <c r="AG154" s="114"/>
      <c r="AH154" s="114"/>
      <c r="AI154" s="114"/>
      <c r="AJ154" s="115"/>
      <c r="AK154" s="115">
        <f>L154/300</f>
        <v>1</v>
      </c>
      <c r="AL154" s="115">
        <f>COUNTA(Z154:AI154)</f>
        <v>1</v>
      </c>
      <c r="AM154" s="115"/>
      <c r="AN154" s="115"/>
      <c r="AO154" s="115"/>
      <c r="AP154" s="115"/>
      <c r="AQ154" s="115"/>
      <c r="AR154" s="115"/>
      <c r="AS154" s="115"/>
      <c r="AT154" s="115"/>
      <c r="AU154" s="115"/>
      <c r="AV154" s="115"/>
      <c r="AW154" s="115"/>
      <c r="AX154" s="115"/>
      <c r="AY154" s="115"/>
      <c r="AZ154" s="115"/>
    </row>
    <row r="155" spans="1:52">
      <c r="A155" s="111" t="s">
        <v>14</v>
      </c>
      <c r="B155" s="111">
        <v>12</v>
      </c>
      <c r="C155" s="105" t="s">
        <v>2033</v>
      </c>
      <c r="D155" s="47" t="s">
        <v>3903</v>
      </c>
      <c r="E155" s="199">
        <v>46022</v>
      </c>
      <c r="F155" s="101" t="s">
        <v>2984</v>
      </c>
      <c r="G155" s="111" t="str">
        <f>VLOOKUP(C155,CODORL!Q:T,4,FALSE)</f>
        <v>María José Lesmas Navarro</v>
      </c>
      <c r="H155" s="120" t="s">
        <v>2035</v>
      </c>
      <c r="I155" s="120" t="s">
        <v>2985</v>
      </c>
      <c r="J155" s="101" t="s">
        <v>2986</v>
      </c>
      <c r="K155" s="198" t="s">
        <v>2987</v>
      </c>
      <c r="L155" s="101">
        <v>600</v>
      </c>
      <c r="M155" s="101">
        <v>100</v>
      </c>
      <c r="N155" s="101" t="s">
        <v>3904</v>
      </c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14"/>
      <c r="Z155" s="114"/>
      <c r="AA155" s="114"/>
      <c r="AB155" s="114"/>
      <c r="AC155" s="114"/>
      <c r="AD155" s="114"/>
      <c r="AE155" s="114"/>
      <c r="AF155" s="114"/>
      <c r="AG155" s="114"/>
      <c r="AH155" s="114"/>
      <c r="AI155" s="114"/>
      <c r="AJ155" s="114"/>
      <c r="AK155" s="114"/>
      <c r="AL155" s="115"/>
      <c r="AM155" s="115"/>
      <c r="AN155" s="115"/>
      <c r="AO155" s="115"/>
      <c r="AP155" s="115"/>
      <c r="AQ155" s="115"/>
      <c r="AR155" s="115"/>
      <c r="AS155" s="115"/>
      <c r="AT155" s="115"/>
      <c r="AU155" s="115"/>
      <c r="AV155" s="115"/>
      <c r="AW155" s="115"/>
      <c r="AX155" s="115"/>
      <c r="AY155" s="115"/>
      <c r="AZ155" s="115"/>
    </row>
    <row r="156" spans="1:52">
      <c r="A156" s="111" t="s">
        <v>47</v>
      </c>
      <c r="B156" s="111">
        <v>12</v>
      </c>
      <c r="C156" s="112" t="s">
        <v>2490</v>
      </c>
      <c r="D156" s="101" t="s">
        <v>3905</v>
      </c>
      <c r="E156" s="199">
        <v>46022</v>
      </c>
      <c r="F156" s="101" t="s">
        <v>2863</v>
      </c>
      <c r="G156" s="111" t="str">
        <f>VLOOKUP(C156,CODORL!Q:T,4,FALSE)</f>
        <v>Pedro Masegosa Zapata</v>
      </c>
      <c r="H156" s="106" t="s">
        <v>2492</v>
      </c>
      <c r="I156" s="47" t="s">
        <v>2967</v>
      </c>
      <c r="J156" s="47" t="s">
        <v>2968</v>
      </c>
      <c r="K156" s="47" t="s">
        <v>2969</v>
      </c>
      <c r="L156" s="101">
        <v>600</v>
      </c>
      <c r="M156" s="47">
        <v>100</v>
      </c>
      <c r="N156" s="161" t="s">
        <v>3906</v>
      </c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106"/>
      <c r="Z156" s="106"/>
      <c r="AA156" s="106"/>
      <c r="AB156" s="106"/>
      <c r="AC156" s="106"/>
      <c r="AD156" s="106"/>
      <c r="AE156" s="106"/>
      <c r="AF156" s="106"/>
      <c r="AG156" s="106"/>
      <c r="AH156" s="106"/>
      <c r="AI156" s="106"/>
      <c r="AJ156" s="106"/>
      <c r="AK156" s="106"/>
      <c r="AL156" s="106"/>
      <c r="AM156" s="106"/>
      <c r="AN156" s="106"/>
      <c r="AO156" s="106"/>
      <c r="AP156" s="106"/>
      <c r="AQ156" s="106"/>
      <c r="AR156" s="106"/>
      <c r="AS156" s="106"/>
      <c r="AT156" s="106"/>
      <c r="AU156" s="106"/>
      <c r="AV156" s="106"/>
      <c r="AW156" s="106"/>
      <c r="AX156" s="106"/>
      <c r="AY156" s="106"/>
      <c r="AZ156" s="106"/>
    </row>
    <row r="157" spans="1:52">
      <c r="A157" s="111" t="s">
        <v>8</v>
      </c>
      <c r="B157" s="111">
        <v>12</v>
      </c>
      <c r="C157" s="112" t="str">
        <f>LEFT(D157,SEARCH("/",D157,1)-1)</f>
        <v>MBM187</v>
      </c>
      <c r="D157" s="101" t="s">
        <v>3907</v>
      </c>
      <c r="E157" s="200">
        <v>46022</v>
      </c>
      <c r="F157" s="101" t="s">
        <v>2886</v>
      </c>
      <c r="G157" s="111" t="str">
        <f>VLOOKUP(C157,CODORL!Q:T,4,FALSE)</f>
        <v>Abel Bogoya Castaño</v>
      </c>
      <c r="H157" s="101" t="s">
        <v>13</v>
      </c>
      <c r="I157" s="101" t="s">
        <v>3317</v>
      </c>
      <c r="J157" s="101" t="s">
        <v>3318</v>
      </c>
      <c r="K157" s="101" t="s">
        <v>3319</v>
      </c>
      <c r="L157" s="101">
        <v>1800</v>
      </c>
      <c r="M157" s="101">
        <v>0</v>
      </c>
      <c r="N157" s="101" t="s">
        <v>3908</v>
      </c>
      <c r="O157" s="101" t="s">
        <v>3909</v>
      </c>
      <c r="P157" s="161" t="s">
        <v>3910</v>
      </c>
      <c r="Q157" s="101"/>
      <c r="R157" s="101"/>
      <c r="S157" s="101"/>
      <c r="T157" s="101"/>
      <c r="U157" s="101"/>
      <c r="V157" s="101"/>
      <c r="W157" s="101"/>
      <c r="X157" s="101"/>
      <c r="Y157" s="114" t="str">
        <f>CONCATENATE(Z157,",",AA157,",",AB157,",",AC157,",",AD157,",",AE157,",",AF157,",",AG157,",",AH157,",",AI157)</f>
        <v>C202524192528978,C2024112710520472,C2024112710520472,,,,,,,,</v>
      </c>
      <c r="Z157" s="114" t="s">
        <v>3322</v>
      </c>
      <c r="AA157" s="114" t="s">
        <v>3323</v>
      </c>
      <c r="AB157" s="114"/>
      <c r="AC157" s="114"/>
      <c r="AD157" s="114"/>
      <c r="AE157" s="114"/>
      <c r="AF157" s="114"/>
      <c r="AG157" s="114"/>
      <c r="AH157" s="114"/>
      <c r="AI157" s="114"/>
      <c r="AJ157" s="115"/>
      <c r="AK157" s="115">
        <f>L157/300</f>
        <v>6</v>
      </c>
      <c r="AL157" s="115">
        <f>COUNTA(Z157:AI157)</f>
        <v>2</v>
      </c>
      <c r="AM157" s="115"/>
      <c r="AN157" s="115"/>
      <c r="AO157" s="115"/>
      <c r="AP157" s="115"/>
      <c r="AQ157" s="115"/>
      <c r="AR157" s="115"/>
      <c r="AS157" s="115"/>
      <c r="AT157" s="115"/>
      <c r="AU157" s="115"/>
      <c r="AV157" s="115"/>
      <c r="AW157" s="115"/>
      <c r="AX157" s="115"/>
      <c r="AY157" s="115"/>
      <c r="AZ157" s="115"/>
    </row>
    <row r="158" spans="1:52">
      <c r="A158" s="111" t="s">
        <v>47</v>
      </c>
      <c r="B158" s="111">
        <v>12</v>
      </c>
      <c r="C158" s="112" t="s">
        <v>99</v>
      </c>
      <c r="D158" s="101" t="s">
        <v>3911</v>
      </c>
      <c r="E158" s="199">
        <v>46022</v>
      </c>
      <c r="F158" s="101" t="s">
        <v>2863</v>
      </c>
      <c r="G158" s="111" t="s">
        <v>101</v>
      </c>
      <c r="H158" s="101" t="s">
        <v>101</v>
      </c>
      <c r="I158" s="101" t="s">
        <v>2864</v>
      </c>
      <c r="J158" s="101" t="s">
        <v>3340</v>
      </c>
      <c r="K158" s="101" t="s">
        <v>2866</v>
      </c>
      <c r="L158" s="101">
        <v>1200</v>
      </c>
      <c r="M158" s="101">
        <v>50</v>
      </c>
      <c r="N158" s="101" t="s">
        <v>3912</v>
      </c>
      <c r="O158" s="161" t="s">
        <v>3913</v>
      </c>
      <c r="P158" s="101" t="s">
        <v>2927</v>
      </c>
      <c r="Q158" s="101"/>
      <c r="R158" s="101"/>
      <c r="S158" s="101"/>
      <c r="T158" s="101"/>
      <c r="U158" s="101"/>
      <c r="V158" s="101"/>
      <c r="W158" s="101"/>
      <c r="X158" s="101"/>
      <c r="Y158" s="114" t="s">
        <v>3914</v>
      </c>
      <c r="Z158" s="114" t="s">
        <v>3447</v>
      </c>
      <c r="AA158" s="114"/>
      <c r="AB158" s="114"/>
      <c r="AC158" s="114"/>
      <c r="AD158" s="114"/>
      <c r="AE158" s="114"/>
      <c r="AF158" s="114"/>
      <c r="AG158" s="114"/>
      <c r="AH158" s="114"/>
      <c r="AI158" s="114"/>
      <c r="AJ158" s="114"/>
      <c r="AK158" s="114">
        <v>2</v>
      </c>
      <c r="AL158" s="115">
        <v>1</v>
      </c>
      <c r="AM158" s="115"/>
      <c r="AN158" s="115"/>
      <c r="AO158" s="115"/>
      <c r="AP158" s="115"/>
      <c r="AQ158" s="115"/>
      <c r="AR158" s="115"/>
      <c r="AS158" s="115"/>
      <c r="AT158" s="115"/>
      <c r="AU158" s="115"/>
      <c r="AV158" s="115"/>
      <c r="AW158" s="115"/>
      <c r="AX158" s="115"/>
      <c r="AY158" s="115"/>
      <c r="AZ158" s="115"/>
    </row>
    <row r="159" spans="1:52">
      <c r="A159" s="111" t="s">
        <v>8</v>
      </c>
      <c r="B159" s="111">
        <v>12</v>
      </c>
      <c r="C159" s="112" t="str">
        <f t="shared" ref="C159:C172" si="20">LEFT(D159,SEARCH("/",D159,1)-1)</f>
        <v>MBM11</v>
      </c>
      <c r="D159" s="101" t="s">
        <v>3915</v>
      </c>
      <c r="E159" s="199">
        <v>46022</v>
      </c>
      <c r="F159" s="106" t="s">
        <v>2880</v>
      </c>
      <c r="G159" s="111" t="str">
        <f>VLOOKUP(C159,CODORL!Q:T,4,FALSE)</f>
        <v>Antonio Rodríguez Rivero</v>
      </c>
      <c r="H159" s="101" t="s">
        <v>358</v>
      </c>
      <c r="I159" s="101" t="s">
        <v>2881</v>
      </c>
      <c r="J159" s="101" t="s">
        <v>2882</v>
      </c>
      <c r="K159" s="101" t="s">
        <v>2883</v>
      </c>
      <c r="L159" s="101">
        <v>600</v>
      </c>
      <c r="M159" s="101"/>
      <c r="N159" s="101" t="s">
        <v>3916</v>
      </c>
      <c r="O159" s="106"/>
      <c r="P159" s="101"/>
      <c r="Q159" s="101"/>
      <c r="R159" s="101"/>
      <c r="S159" s="101"/>
      <c r="T159" s="101"/>
      <c r="U159" s="101"/>
      <c r="V159" s="101"/>
      <c r="W159" s="101"/>
      <c r="X159" s="101"/>
      <c r="Y159" s="114" t="s">
        <v>3814</v>
      </c>
      <c r="Z159" s="114" t="s">
        <v>3715</v>
      </c>
      <c r="AA159" s="114"/>
      <c r="AB159" s="114"/>
      <c r="AC159" s="114"/>
      <c r="AD159" s="114"/>
      <c r="AE159" s="114"/>
      <c r="AF159" s="114"/>
      <c r="AG159" s="114"/>
      <c r="AH159" s="114"/>
      <c r="AI159" s="114"/>
      <c r="AJ159" s="114"/>
      <c r="AK159" s="115"/>
      <c r="AL159" s="115"/>
      <c r="AM159" s="115"/>
      <c r="AN159" s="115"/>
      <c r="AO159" s="115"/>
      <c r="AP159" s="115"/>
      <c r="AQ159" s="115"/>
      <c r="AR159" s="115"/>
      <c r="AS159" s="115"/>
      <c r="AT159" s="115"/>
      <c r="AU159" s="115"/>
      <c r="AV159" s="115"/>
      <c r="AW159" s="115"/>
      <c r="AX159" s="115"/>
      <c r="AY159" s="115"/>
      <c r="AZ159" s="115"/>
    </row>
    <row r="160" spans="1:52">
      <c r="A160" s="111" t="s">
        <v>8</v>
      </c>
      <c r="B160" s="111">
        <v>12</v>
      </c>
      <c r="C160" s="112" t="str">
        <f t="shared" si="20"/>
        <v>MBM11</v>
      </c>
      <c r="D160" s="101" t="s">
        <v>3917</v>
      </c>
      <c r="E160" s="199">
        <v>46022</v>
      </c>
      <c r="F160" s="106" t="s">
        <v>3918</v>
      </c>
      <c r="G160" s="111" t="str">
        <f>VLOOKUP(C160,CODORL!Q:T,4,FALSE)</f>
        <v>Antonio Rodríguez Rivero</v>
      </c>
      <c r="H160" s="101" t="s">
        <v>358</v>
      </c>
      <c r="I160" s="101" t="s">
        <v>2881</v>
      </c>
      <c r="J160" s="101" t="s">
        <v>2882</v>
      </c>
      <c r="K160" s="101" t="s">
        <v>2883</v>
      </c>
      <c r="L160" s="101">
        <v>600</v>
      </c>
      <c r="M160" s="101"/>
      <c r="N160" s="101" t="s">
        <v>3919</v>
      </c>
      <c r="O160" s="106"/>
      <c r="P160" s="101"/>
      <c r="Q160" s="101"/>
      <c r="R160" s="101"/>
      <c r="S160" s="101"/>
      <c r="T160" s="101"/>
      <c r="U160" s="101"/>
      <c r="V160" s="101"/>
      <c r="W160" s="101"/>
      <c r="X160" s="101"/>
      <c r="Y160" s="114" t="s">
        <v>3814</v>
      </c>
      <c r="Z160" s="114" t="s">
        <v>3715</v>
      </c>
      <c r="AA160" s="114"/>
      <c r="AB160" s="114"/>
      <c r="AC160" s="114"/>
      <c r="AD160" s="114"/>
      <c r="AE160" s="114"/>
      <c r="AF160" s="114"/>
      <c r="AG160" s="114"/>
      <c r="AH160" s="114"/>
      <c r="AI160" s="114"/>
      <c r="AJ160" s="114"/>
      <c r="AK160" s="115"/>
      <c r="AL160" s="115"/>
      <c r="AM160" s="115"/>
      <c r="AN160" s="115"/>
      <c r="AO160" s="115"/>
      <c r="AP160" s="115"/>
      <c r="AQ160" s="115"/>
      <c r="AR160" s="115"/>
      <c r="AS160" s="115"/>
      <c r="AT160" s="115"/>
      <c r="AU160" s="115"/>
      <c r="AV160" s="115"/>
      <c r="AW160" s="115"/>
      <c r="AX160" s="115"/>
      <c r="AY160" s="115"/>
      <c r="AZ160" s="115"/>
    </row>
    <row r="161" spans="1:52">
      <c r="A161" s="111" t="s">
        <v>8</v>
      </c>
      <c r="B161" s="111">
        <v>12</v>
      </c>
      <c r="C161" s="112" t="str">
        <f t="shared" si="20"/>
        <v>MBM186</v>
      </c>
      <c r="D161" s="101" t="s">
        <v>3920</v>
      </c>
      <c r="E161" s="199">
        <v>46022</v>
      </c>
      <c r="F161" s="101" t="s">
        <v>2886</v>
      </c>
      <c r="G161" s="111" t="str">
        <f>VLOOKUP(C161,CODORL!Q171:T1166,4,FALSE)</f>
        <v>Marta Abad Pascual</v>
      </c>
      <c r="H161" s="101" t="s">
        <v>2887</v>
      </c>
      <c r="I161" s="103" t="s">
        <v>2888</v>
      </c>
      <c r="J161" s="103" t="s">
        <v>2889</v>
      </c>
      <c r="K161" s="103" t="s">
        <v>2890</v>
      </c>
      <c r="L161" s="103">
        <v>600</v>
      </c>
      <c r="M161" s="113">
        <v>0</v>
      </c>
      <c r="N161" s="101" t="s">
        <v>3921</v>
      </c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14" t="str">
        <f t="shared" ref="Y161:Y162" si="21">CONCATENATE(Z161,",",AA161,",",AB161,",",AC161,",",AD161,",",AE161,",",AF161,",",AG161,",",AH161,",",AI161)</f>
        <v>C2025430171017606,,,,,,,,,</v>
      </c>
      <c r="Z161" s="114" t="s">
        <v>3603</v>
      </c>
      <c r="AA161" s="114"/>
      <c r="AB161" s="114"/>
      <c r="AC161" s="114"/>
      <c r="AD161" s="114"/>
      <c r="AE161" s="114"/>
      <c r="AF161" s="114"/>
      <c r="AG161" s="114"/>
      <c r="AH161" s="114"/>
      <c r="AI161" s="114"/>
      <c r="AJ161" s="115"/>
      <c r="AK161" s="115">
        <f>L161/300</f>
        <v>2</v>
      </c>
      <c r="AL161" s="115">
        <f>COUNTA(Z161:AI161)</f>
        <v>1</v>
      </c>
      <c r="AM161" s="115"/>
      <c r="AN161" s="115"/>
      <c r="AO161" s="115"/>
      <c r="AP161" s="115"/>
      <c r="AQ161" s="115"/>
      <c r="AR161" s="115"/>
      <c r="AS161" s="115"/>
      <c r="AT161" s="115"/>
      <c r="AU161" s="115"/>
      <c r="AV161" s="115"/>
      <c r="AW161" s="115"/>
      <c r="AX161" s="115"/>
      <c r="AY161" s="115"/>
      <c r="AZ161" s="115"/>
    </row>
    <row r="162" spans="1:52">
      <c r="A162" s="111" t="s">
        <v>3087</v>
      </c>
      <c r="B162" s="111">
        <v>12</v>
      </c>
      <c r="C162" s="112" t="str">
        <f t="shared" si="20"/>
        <v>MCC04</v>
      </c>
      <c r="D162" s="101" t="s">
        <v>3922</v>
      </c>
      <c r="E162" s="199">
        <v>46022</v>
      </c>
      <c r="F162" s="101" t="s">
        <v>2909</v>
      </c>
      <c r="G162" s="111" t="str">
        <f>VLOOKUP(C162,CODORL!Q:T,4,FALSE)</f>
        <v>Darío Agudelo García</v>
      </c>
      <c r="H162" s="101" t="s">
        <v>652</v>
      </c>
      <c r="I162" s="101" t="s">
        <v>3719</v>
      </c>
      <c r="J162" s="101" t="s">
        <v>3720</v>
      </c>
      <c r="K162" s="101" t="s">
        <v>3721</v>
      </c>
      <c r="L162" s="101">
        <v>600</v>
      </c>
      <c r="M162" s="101"/>
      <c r="N162" s="113" t="s">
        <v>3923</v>
      </c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14" t="str">
        <f t="shared" si="21"/>
        <v>,,,,,,,,,</v>
      </c>
      <c r="Z162" s="114"/>
      <c r="AA162" s="114"/>
      <c r="AB162" s="114"/>
      <c r="AC162" s="114"/>
      <c r="AD162" s="114"/>
      <c r="AE162" s="114"/>
      <c r="AF162" s="114"/>
      <c r="AG162" s="114"/>
      <c r="AH162" s="114"/>
      <c r="AI162" s="114"/>
      <c r="AJ162" s="114"/>
      <c r="AK162" s="115"/>
      <c r="AL162" s="115"/>
      <c r="AM162" s="115"/>
      <c r="AN162" s="115"/>
      <c r="AO162" s="115"/>
      <c r="AP162" s="115"/>
      <c r="AQ162" s="115"/>
      <c r="AR162" s="115"/>
      <c r="AS162" s="115"/>
      <c r="AT162" s="115"/>
      <c r="AU162" s="115"/>
      <c r="AV162" s="115"/>
      <c r="AW162" s="115"/>
      <c r="AX162" s="115"/>
      <c r="AY162" s="115"/>
      <c r="AZ162" s="115"/>
    </row>
    <row r="163" spans="1:52">
      <c r="A163" s="111" t="s">
        <v>23</v>
      </c>
      <c r="B163" s="111">
        <v>12</v>
      </c>
      <c r="C163" s="112" t="str">
        <f t="shared" si="20"/>
        <v>RPG51</v>
      </c>
      <c r="D163" s="103" t="s">
        <v>3924</v>
      </c>
      <c r="E163" s="199">
        <v>46022</v>
      </c>
      <c r="F163" s="101" t="s">
        <v>2900</v>
      </c>
      <c r="G163" s="111" t="str">
        <f>VLOOKUP(C163,CODORL!Q171:T1166,4,FALSE)</f>
        <v>María Rey Marcos</v>
      </c>
      <c r="H163" s="101" t="s">
        <v>2080</v>
      </c>
      <c r="I163" s="103" t="s">
        <v>2901</v>
      </c>
      <c r="J163" s="101" t="s">
        <v>2902</v>
      </c>
      <c r="K163" s="103" t="s">
        <v>2903</v>
      </c>
      <c r="L163" s="113">
        <v>2400</v>
      </c>
      <c r="M163" s="113">
        <v>0</v>
      </c>
      <c r="N163" s="201" t="s">
        <v>3925</v>
      </c>
      <c r="O163" s="201" t="s">
        <v>3926</v>
      </c>
      <c r="P163" s="201" t="s">
        <v>3927</v>
      </c>
      <c r="Q163" s="201" t="s">
        <v>3928</v>
      </c>
      <c r="R163" s="201" t="s">
        <v>3929</v>
      </c>
      <c r="S163" s="201" t="s">
        <v>3930</v>
      </c>
      <c r="T163" s="101"/>
      <c r="U163" s="101"/>
      <c r="V163" s="101"/>
      <c r="W163" s="101"/>
      <c r="X163" s="101"/>
      <c r="Y163" s="114" t="s">
        <v>2906</v>
      </c>
      <c r="Z163" s="114"/>
      <c r="AA163" s="114"/>
      <c r="AB163" s="114"/>
      <c r="AC163" s="114"/>
      <c r="AD163" s="114"/>
      <c r="AE163" s="114"/>
      <c r="AF163" s="114"/>
      <c r="AG163" s="114"/>
      <c r="AH163" s="114"/>
      <c r="AI163" s="114"/>
      <c r="AJ163" s="115"/>
      <c r="AK163" s="115"/>
      <c r="AL163" s="115"/>
      <c r="AM163" s="115"/>
      <c r="AN163" s="115"/>
      <c r="AO163" s="115"/>
      <c r="AP163" s="115"/>
      <c r="AQ163" s="115"/>
      <c r="AR163" s="115"/>
      <c r="AS163" s="115"/>
      <c r="AT163" s="115"/>
      <c r="AU163" s="115"/>
      <c r="AV163" s="115"/>
      <c r="AW163" s="115"/>
      <c r="AX163" s="115"/>
      <c r="AY163" s="115"/>
      <c r="AZ163" s="115"/>
    </row>
    <row r="164" spans="1:52">
      <c r="A164" s="111" t="s">
        <v>8</v>
      </c>
      <c r="B164" s="111">
        <v>12</v>
      </c>
      <c r="C164" s="112" t="str">
        <f t="shared" si="20"/>
        <v>MBM109</v>
      </c>
      <c r="D164" s="101" t="s">
        <v>3931</v>
      </c>
      <c r="E164" s="199">
        <v>46022</v>
      </c>
      <c r="F164" s="101" t="s">
        <v>2893</v>
      </c>
      <c r="G164" s="111" t="str">
        <f>VLOOKUP(C164,CODORL!Q:T,4,FALSE)</f>
        <v>Desirée Méndez Brenderbache</v>
      </c>
      <c r="H164" s="101" t="s">
        <v>667</v>
      </c>
      <c r="I164" s="103" t="s">
        <v>2894</v>
      </c>
      <c r="J164" s="103" t="s">
        <v>2895</v>
      </c>
      <c r="K164" s="103" t="s">
        <v>2896</v>
      </c>
      <c r="L164" s="101">
        <v>1200</v>
      </c>
      <c r="M164" s="101">
        <v>0</v>
      </c>
      <c r="N164" s="161" t="s">
        <v>3932</v>
      </c>
      <c r="O164" s="106" t="s">
        <v>3933</v>
      </c>
      <c r="Q164" s="101"/>
      <c r="R164" s="101"/>
      <c r="S164" s="101"/>
      <c r="T164" s="101"/>
      <c r="U164" s="101"/>
      <c r="V164" s="101"/>
      <c r="W164" s="101"/>
      <c r="X164" s="101"/>
      <c r="Y164" s="114" t="str">
        <f>CONCATENATE(Z164,",",AA164,",",AB164,",",AC164,",",AD164,",",AE164,",",AF164,",",AG164,",",AH164,",",AI164)</f>
        <v>,,,,,,,,,</v>
      </c>
      <c r="Z164" s="114"/>
      <c r="AA164" s="114"/>
      <c r="AB164" s="114"/>
      <c r="AC164" s="114"/>
      <c r="AD164" s="114"/>
      <c r="AE164" s="114"/>
      <c r="AF164" s="114"/>
      <c r="AG164" s="114"/>
      <c r="AH164" s="114"/>
      <c r="AI164" s="114"/>
      <c r="AJ164" s="115"/>
      <c r="AK164" s="115"/>
      <c r="AL164" s="115"/>
      <c r="AM164" s="115"/>
      <c r="AN164" s="115"/>
      <c r="AO164" s="115"/>
      <c r="AP164" s="115"/>
      <c r="AQ164" s="115"/>
      <c r="AR164" s="115"/>
      <c r="AS164" s="115"/>
      <c r="AT164" s="115"/>
      <c r="AU164" s="115"/>
      <c r="AV164" s="115"/>
      <c r="AW164" s="115"/>
      <c r="AX164" s="115"/>
      <c r="AY164" s="115"/>
      <c r="AZ164" s="115"/>
    </row>
    <row r="165" spans="1:52">
      <c r="A165" s="111" t="s">
        <v>8</v>
      </c>
      <c r="B165" s="111">
        <v>12</v>
      </c>
      <c r="C165" s="112" t="str">
        <f t="shared" si="20"/>
        <v>MBM128</v>
      </c>
      <c r="D165" s="101" t="s">
        <v>3934</v>
      </c>
      <c r="E165" s="199">
        <v>46022</v>
      </c>
      <c r="F165" s="106" t="s">
        <v>3043</v>
      </c>
      <c r="G165" s="111" t="str">
        <f>VLOOKUP(C165,CODORL!Q:T,4,FALSE)</f>
        <v>Karla Natali Montaño Rueda</v>
      </c>
      <c r="H165" s="101" t="s">
        <v>1679</v>
      </c>
      <c r="I165" s="120" t="s">
        <v>2930</v>
      </c>
      <c r="J165" s="120" t="s">
        <v>2931</v>
      </c>
      <c r="K165" s="198" t="s">
        <v>2932</v>
      </c>
      <c r="L165" s="101">
        <v>300</v>
      </c>
      <c r="M165" s="101"/>
      <c r="N165" s="113" t="s">
        <v>3935</v>
      </c>
      <c r="O165" s="106"/>
      <c r="Q165" s="101"/>
      <c r="R165" s="101"/>
      <c r="S165" s="101"/>
      <c r="T165" s="101"/>
      <c r="U165" s="101"/>
      <c r="V165" s="101"/>
      <c r="W165" s="101"/>
      <c r="X165" s="101"/>
      <c r="Y165" s="114"/>
      <c r="Z165" s="114"/>
      <c r="AA165" s="114"/>
      <c r="AB165" s="114"/>
      <c r="AC165" s="114"/>
      <c r="AD165" s="114"/>
      <c r="AE165" s="114"/>
      <c r="AF165" s="114"/>
      <c r="AG165" s="114"/>
      <c r="AH165" s="114"/>
      <c r="AI165" s="114"/>
      <c r="AJ165" s="114"/>
      <c r="AK165" s="114"/>
      <c r="AL165" s="115"/>
      <c r="AM165" s="115"/>
      <c r="AN165" s="115"/>
      <c r="AO165" s="115"/>
      <c r="AP165" s="115"/>
      <c r="AQ165" s="115"/>
      <c r="AR165" s="115"/>
      <c r="AS165" s="115"/>
      <c r="AT165" s="115"/>
      <c r="AU165" s="115"/>
      <c r="AV165" s="115"/>
      <c r="AW165" s="115"/>
      <c r="AX165" s="115"/>
      <c r="AY165" s="115"/>
      <c r="AZ165" s="115"/>
    </row>
    <row r="166" spans="1:52">
      <c r="A166" s="111" t="s">
        <v>8</v>
      </c>
      <c r="B166" s="111">
        <v>12</v>
      </c>
      <c r="C166" s="112" t="str">
        <f t="shared" si="20"/>
        <v>MBM03</v>
      </c>
      <c r="D166" s="101" t="s">
        <v>3936</v>
      </c>
      <c r="E166" s="199">
        <v>46022</v>
      </c>
      <c r="F166" s="106" t="s">
        <v>2869</v>
      </c>
      <c r="G166" s="111" t="str">
        <f>VLOOKUP(C166,CODORL!Q:T,4,FALSE)</f>
        <v>Alejandro Harguindey Antoli-Candela</v>
      </c>
      <c r="H166" s="101" t="s">
        <v>110</v>
      </c>
      <c r="I166" s="101" t="s">
        <v>3299</v>
      </c>
      <c r="J166" s="101" t="s">
        <v>3344</v>
      </c>
      <c r="K166" s="101" t="s">
        <v>2945</v>
      </c>
      <c r="L166" s="101">
        <v>300</v>
      </c>
      <c r="M166" s="101">
        <v>0</v>
      </c>
      <c r="N166" s="161" t="s">
        <v>3937</v>
      </c>
      <c r="O166" s="101"/>
      <c r="Q166" s="101"/>
      <c r="R166" s="101"/>
      <c r="S166" s="101"/>
      <c r="T166" s="101"/>
      <c r="U166" s="101"/>
      <c r="V166" s="101"/>
      <c r="W166" s="101"/>
      <c r="X166" s="101"/>
      <c r="Y166" s="114" t="str">
        <f t="shared" ref="Y166:Y170" si="22">CONCATENATE(Z166,",",AA166,",",AB166,",",AC166,",",AD166,",",AE166,",",AF166,",",AG166,",",AH166,",",AI166)</f>
        <v>,,,,,,,,,</v>
      </c>
      <c r="Z166" s="114"/>
      <c r="AA166" s="114"/>
      <c r="AB166" s="114"/>
      <c r="AC166" s="114"/>
      <c r="AD166" s="114"/>
      <c r="AE166" s="114"/>
      <c r="AF166" s="114"/>
      <c r="AG166" s="114"/>
      <c r="AH166" s="114"/>
      <c r="AI166" s="113"/>
      <c r="AJ166" s="113"/>
      <c r="AK166" s="113"/>
      <c r="AL166" s="113"/>
      <c r="AM166" s="113"/>
      <c r="AN166" s="113"/>
      <c r="AO166" s="113"/>
      <c r="AP166" s="113"/>
      <c r="AQ166" s="113"/>
      <c r="AR166" s="113"/>
      <c r="AS166" s="113"/>
      <c r="AT166" s="113"/>
      <c r="AU166" s="113"/>
      <c r="AV166" s="113"/>
      <c r="AW166" s="113"/>
      <c r="AX166" s="113"/>
      <c r="AY166" s="113"/>
      <c r="AZ166" s="113"/>
    </row>
    <row r="167" spans="1:52">
      <c r="A167" s="111" t="s">
        <v>8</v>
      </c>
      <c r="B167" s="111">
        <v>12</v>
      </c>
      <c r="C167" s="112" t="str">
        <f t="shared" si="20"/>
        <v>MBM03</v>
      </c>
      <c r="D167" s="101" t="s">
        <v>3938</v>
      </c>
      <c r="E167" s="199">
        <v>46022</v>
      </c>
      <c r="F167" s="106" t="s">
        <v>3861</v>
      </c>
      <c r="G167" s="111" t="str">
        <f>VLOOKUP(C167,CODORL!Q:T,4,FALSE)</f>
        <v>Alejandro Harguindey Antoli-Candela</v>
      </c>
      <c r="H167" s="101" t="s">
        <v>110</v>
      </c>
      <c r="I167" s="101" t="s">
        <v>3299</v>
      </c>
      <c r="J167" s="101" t="s">
        <v>3344</v>
      </c>
      <c r="K167" s="101" t="s">
        <v>2945</v>
      </c>
      <c r="L167" s="101">
        <v>600</v>
      </c>
      <c r="M167" s="101">
        <v>0</v>
      </c>
      <c r="N167" s="161" t="s">
        <v>3939</v>
      </c>
      <c r="O167" s="101"/>
      <c r="Q167" s="101"/>
      <c r="R167" s="101"/>
      <c r="S167" s="101"/>
      <c r="T167" s="101"/>
      <c r="U167" s="101"/>
      <c r="V167" s="101"/>
      <c r="W167" s="101"/>
      <c r="X167" s="101"/>
      <c r="Y167" s="114" t="str">
        <f t="shared" si="22"/>
        <v>,,,,,,,,,</v>
      </c>
      <c r="Z167" s="114"/>
      <c r="AA167" s="114"/>
      <c r="AB167" s="114"/>
      <c r="AC167" s="114"/>
      <c r="AD167" s="114"/>
      <c r="AE167" s="114"/>
      <c r="AF167" s="114"/>
      <c r="AG167" s="114"/>
      <c r="AH167" s="114"/>
      <c r="AI167" s="113"/>
      <c r="AJ167" s="113"/>
      <c r="AK167" s="113"/>
      <c r="AL167" s="113"/>
      <c r="AM167" s="113"/>
      <c r="AN167" s="113"/>
      <c r="AO167" s="113"/>
      <c r="AP167" s="113"/>
      <c r="AQ167" s="113"/>
      <c r="AR167" s="113"/>
      <c r="AS167" s="113"/>
      <c r="AT167" s="113"/>
      <c r="AU167" s="113"/>
      <c r="AV167" s="113"/>
      <c r="AW167" s="113"/>
      <c r="AX167" s="113"/>
      <c r="AY167" s="113"/>
      <c r="AZ167" s="113"/>
    </row>
    <row r="168" spans="1:52">
      <c r="A168" s="111" t="s">
        <v>14</v>
      </c>
      <c r="B168" s="111">
        <v>12</v>
      </c>
      <c r="C168" s="112" t="str">
        <f t="shared" si="20"/>
        <v>RFV11</v>
      </c>
      <c r="D168" s="101" t="s">
        <v>3940</v>
      </c>
      <c r="E168" s="199">
        <v>46022</v>
      </c>
      <c r="F168" s="101" t="s">
        <v>2921</v>
      </c>
      <c r="G168" s="111" t="str">
        <f>VLOOKUP(C168,CODORL!Q:T,4,FALSE)</f>
        <v>José Ramiro de León Lima</v>
      </c>
      <c r="H168" s="101" t="s">
        <v>3641</v>
      </c>
      <c r="I168" s="103" t="s">
        <v>3168</v>
      </c>
      <c r="J168" s="103" t="s">
        <v>3169</v>
      </c>
      <c r="K168" s="103" t="s">
        <v>3170</v>
      </c>
      <c r="L168" s="103">
        <v>300</v>
      </c>
      <c r="M168" s="113">
        <v>50</v>
      </c>
      <c r="N168" s="101" t="s">
        <v>3941</v>
      </c>
      <c r="O168" s="101"/>
      <c r="Q168" s="101"/>
      <c r="R168" s="101"/>
      <c r="S168" s="101"/>
      <c r="T168" s="101"/>
      <c r="U168" s="101"/>
      <c r="V168" s="101"/>
      <c r="W168" s="101"/>
      <c r="X168" s="101"/>
      <c r="Y168" s="114" t="str">
        <f t="shared" si="22"/>
        <v>C202542310580896,,,,,,,,,</v>
      </c>
      <c r="Z168" s="114" t="s">
        <v>3643</v>
      </c>
      <c r="AA168" s="114"/>
      <c r="AB168" s="114"/>
      <c r="AC168" s="114"/>
      <c r="AD168" s="114"/>
      <c r="AE168" s="114"/>
      <c r="AF168" s="114"/>
      <c r="AG168" s="114"/>
      <c r="AH168" s="114"/>
      <c r="AI168" s="114"/>
      <c r="AJ168" s="115"/>
      <c r="AK168" s="115">
        <f>L168/300</f>
        <v>1</v>
      </c>
      <c r="AL168" s="115">
        <f>COUNTA(Z168:AI168)</f>
        <v>1</v>
      </c>
      <c r="AM168" s="115"/>
      <c r="AN168" s="115"/>
      <c r="AO168" s="115"/>
      <c r="AP168" s="115"/>
      <c r="AQ168" s="115"/>
      <c r="AR168" s="115"/>
      <c r="AS168" s="115"/>
      <c r="AT168" s="115"/>
      <c r="AU168" s="115"/>
      <c r="AV168" s="115"/>
      <c r="AW168" s="115"/>
      <c r="AX168" s="115"/>
      <c r="AY168" s="115"/>
      <c r="AZ168" s="115"/>
    </row>
    <row r="169" spans="1:52">
      <c r="A169" s="111" t="s">
        <v>14</v>
      </c>
      <c r="B169" s="111">
        <v>12</v>
      </c>
      <c r="C169" s="112" t="str">
        <f t="shared" si="20"/>
        <v>RFV28</v>
      </c>
      <c r="D169" s="101" t="s">
        <v>3942</v>
      </c>
      <c r="E169" s="202">
        <v>46022</v>
      </c>
      <c r="F169" s="101" t="s">
        <v>2921</v>
      </c>
      <c r="G169" s="111" t="str">
        <f>VLOOKUP(C169,CODORL!Q:T,4,FALSE)</f>
        <v>Celia López Molla</v>
      </c>
      <c r="H169" s="101" t="s">
        <v>3052</v>
      </c>
      <c r="I169" s="101" t="s">
        <v>3053</v>
      </c>
      <c r="J169" s="101" t="s">
        <v>3054</v>
      </c>
      <c r="K169" s="101" t="s">
        <v>3055</v>
      </c>
      <c r="L169" s="101">
        <v>300</v>
      </c>
      <c r="M169" s="101">
        <v>100</v>
      </c>
      <c r="N169" s="161" t="s">
        <v>3943</v>
      </c>
      <c r="O169" s="101"/>
      <c r="P169" s="101"/>
      <c r="Q169" s="101"/>
      <c r="R169" s="106"/>
      <c r="S169" s="106"/>
      <c r="T169" s="101"/>
      <c r="U169" s="101"/>
      <c r="V169" s="101"/>
      <c r="W169" s="101"/>
      <c r="X169" s="101"/>
      <c r="Y169" s="114" t="str">
        <f t="shared" si="22"/>
        <v>,,,,,,,,,</v>
      </c>
      <c r="Z169" s="114"/>
      <c r="AA169" s="114"/>
      <c r="AB169" s="114"/>
      <c r="AC169" s="114"/>
      <c r="AD169" s="114"/>
      <c r="AE169" s="114"/>
      <c r="AF169" s="114"/>
      <c r="AG169" s="114"/>
      <c r="AH169" s="114"/>
      <c r="AI169" s="113"/>
      <c r="AJ169" s="113"/>
      <c r="AK169" s="113"/>
      <c r="AL169" s="113"/>
      <c r="AM169" s="113"/>
      <c r="AN169" s="113"/>
      <c r="AO169" s="113"/>
      <c r="AP169" s="113"/>
      <c r="AQ169" s="113"/>
      <c r="AR169" s="113"/>
      <c r="AS169" s="113"/>
      <c r="AT169" s="113"/>
      <c r="AU169" s="113"/>
      <c r="AV169" s="113"/>
      <c r="AW169" s="113"/>
      <c r="AX169" s="113"/>
      <c r="AY169" s="113"/>
      <c r="AZ169" s="113"/>
    </row>
    <row r="170" spans="1:52">
      <c r="A170" s="111" t="s">
        <v>14</v>
      </c>
      <c r="B170" s="111">
        <v>12</v>
      </c>
      <c r="C170" s="112" t="str">
        <f t="shared" si="20"/>
        <v>RFV33</v>
      </c>
      <c r="D170" s="101" t="s">
        <v>3944</v>
      </c>
      <c r="E170" s="199">
        <v>46022</v>
      </c>
      <c r="F170" s="103" t="s">
        <v>2921</v>
      </c>
      <c r="G170" s="111" t="str">
        <f>VLOOKUP(C170,CODORL!Q:T,4,FALSE)</f>
        <v>Paula Martínez-Ruiz De Apocada</v>
      </c>
      <c r="H170" s="103" t="s">
        <v>2456</v>
      </c>
      <c r="I170" s="103" t="s">
        <v>2922</v>
      </c>
      <c r="J170" s="103" t="s">
        <v>2923</v>
      </c>
      <c r="K170" s="103" t="s">
        <v>2924</v>
      </c>
      <c r="L170" s="103">
        <v>600</v>
      </c>
      <c r="M170" s="101">
        <v>150</v>
      </c>
      <c r="N170" s="113" t="s">
        <v>3945</v>
      </c>
      <c r="O170" s="103"/>
      <c r="P170" s="103"/>
      <c r="Q170" s="101"/>
      <c r="R170" s="101"/>
      <c r="S170" s="101"/>
      <c r="T170" s="101"/>
      <c r="U170" s="101"/>
      <c r="V170" s="101"/>
      <c r="W170" s="101"/>
      <c r="X170" s="101"/>
      <c r="Y170" s="114" t="str">
        <f t="shared" si="22"/>
        <v>C2025320162550143,,,,,,,,,</v>
      </c>
      <c r="Z170" s="114" t="s">
        <v>3551</v>
      </c>
      <c r="AA170" s="114"/>
      <c r="AB170" s="114"/>
      <c r="AC170" s="114"/>
      <c r="AD170" s="114"/>
      <c r="AE170" s="114"/>
      <c r="AF170" s="114"/>
      <c r="AG170" s="114"/>
      <c r="AH170" s="114"/>
      <c r="AI170" s="114"/>
      <c r="AJ170" s="115"/>
      <c r="AK170" s="115">
        <f>L170/300</f>
        <v>2</v>
      </c>
      <c r="AL170" s="115">
        <f>COUNTA(Z170:AI170)</f>
        <v>1</v>
      </c>
      <c r="AM170" s="115"/>
      <c r="AN170" s="115"/>
      <c r="AO170" s="115"/>
      <c r="AP170" s="115"/>
      <c r="AQ170" s="115"/>
      <c r="AR170" s="115"/>
      <c r="AS170" s="115"/>
      <c r="AT170" s="115"/>
      <c r="AU170" s="115"/>
      <c r="AV170" s="115"/>
      <c r="AW170" s="115"/>
      <c r="AX170" s="115"/>
      <c r="AY170" s="115"/>
      <c r="AZ170" s="115"/>
    </row>
    <row r="171" spans="1:52">
      <c r="A171" s="111" t="s">
        <v>47</v>
      </c>
      <c r="B171" s="111">
        <v>12</v>
      </c>
      <c r="C171" s="112" t="str">
        <f t="shared" si="20"/>
        <v>ISL122</v>
      </c>
      <c r="D171" s="101" t="s">
        <v>3946</v>
      </c>
      <c r="E171" s="202">
        <v>46022</v>
      </c>
      <c r="F171" s="101" t="s">
        <v>2869</v>
      </c>
      <c r="G171" s="111" t="s">
        <v>1898</v>
      </c>
      <c r="H171" s="116" t="s">
        <v>2952</v>
      </c>
      <c r="I171" s="101" t="s">
        <v>2953</v>
      </c>
      <c r="J171" s="101" t="s">
        <v>2954</v>
      </c>
      <c r="K171" s="101" t="s">
        <v>2955</v>
      </c>
      <c r="L171" s="101">
        <v>2400</v>
      </c>
      <c r="M171" s="101">
        <v>0</v>
      </c>
      <c r="N171" s="161" t="s">
        <v>3947</v>
      </c>
      <c r="O171" s="161" t="s">
        <v>3948</v>
      </c>
      <c r="P171" s="161" t="s">
        <v>3949</v>
      </c>
      <c r="Q171" s="1" t="s">
        <v>3950</v>
      </c>
      <c r="R171" s="1" t="s">
        <v>2927</v>
      </c>
      <c r="U171" s="101"/>
      <c r="V171" s="101"/>
      <c r="W171" s="101"/>
      <c r="X171" s="101"/>
      <c r="Y171" s="114"/>
      <c r="Z171" s="114"/>
      <c r="AA171" s="114"/>
      <c r="AB171" s="114"/>
      <c r="AC171" s="114"/>
      <c r="AD171" s="114"/>
      <c r="AE171" s="114"/>
      <c r="AF171" s="114"/>
      <c r="AG171" s="114"/>
      <c r="AH171" s="114"/>
      <c r="AI171" s="114"/>
      <c r="AJ171" s="114"/>
      <c r="AK171" s="114"/>
      <c r="AL171" s="115"/>
      <c r="AM171" s="115"/>
      <c r="AN171" s="115"/>
      <c r="AO171" s="115"/>
      <c r="AP171" s="115"/>
      <c r="AQ171" s="115"/>
      <c r="AR171" s="115"/>
      <c r="AS171" s="115"/>
      <c r="AT171" s="115"/>
      <c r="AU171" s="115"/>
      <c r="AV171" s="115"/>
      <c r="AW171" s="115"/>
      <c r="AX171" s="115"/>
      <c r="AY171" s="115"/>
      <c r="AZ171" s="115"/>
    </row>
    <row r="172" spans="1:52">
      <c r="A172" s="111"/>
      <c r="B172" s="111"/>
      <c r="C172" s="112" t="e">
        <f t="shared" si="20"/>
        <v>#VALUE!</v>
      </c>
      <c r="D172" s="101" t="s">
        <v>3951</v>
      </c>
      <c r="E172" s="101"/>
      <c r="F172" s="101"/>
      <c r="G172" s="111"/>
      <c r="H172" s="116" t="s">
        <v>3573</v>
      </c>
      <c r="I172" s="101"/>
      <c r="J172" s="101"/>
      <c r="K172" s="101"/>
      <c r="L172" s="101"/>
      <c r="M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14"/>
      <c r="Z172" s="114"/>
      <c r="AA172" s="114"/>
      <c r="AB172" s="114"/>
      <c r="AC172" s="114"/>
      <c r="AD172" s="114"/>
      <c r="AE172" s="114"/>
      <c r="AF172" s="114"/>
      <c r="AG172" s="114"/>
      <c r="AH172" s="114"/>
      <c r="AI172" s="114"/>
      <c r="AJ172" s="114"/>
      <c r="AK172" s="114"/>
      <c r="AL172" s="115"/>
      <c r="AM172" s="115"/>
      <c r="AN172" s="115"/>
      <c r="AO172" s="115"/>
      <c r="AP172" s="115"/>
      <c r="AQ172" s="115"/>
      <c r="AR172" s="115"/>
      <c r="AS172" s="115"/>
      <c r="AT172" s="115"/>
      <c r="AU172" s="115"/>
      <c r="AV172" s="115"/>
      <c r="AW172" s="115"/>
      <c r="AX172" s="115"/>
      <c r="AY172" s="115"/>
      <c r="AZ172" s="115"/>
    </row>
    <row r="173" spans="1:52">
      <c r="A173" s="111"/>
      <c r="B173" s="111"/>
      <c r="C173" s="112"/>
      <c r="D173" s="101"/>
      <c r="E173" s="102"/>
      <c r="F173" s="106"/>
      <c r="G173" s="111"/>
      <c r="H173" s="101"/>
      <c r="I173" s="101"/>
      <c r="J173" s="101"/>
      <c r="K173" s="101"/>
      <c r="L173" s="101"/>
      <c r="M173" s="101"/>
      <c r="O173" s="106"/>
      <c r="P173" s="101"/>
      <c r="Q173" s="101"/>
      <c r="R173" s="101"/>
      <c r="S173" s="101"/>
      <c r="T173" s="101"/>
      <c r="U173" s="101"/>
      <c r="V173" s="101"/>
      <c r="W173" s="101"/>
      <c r="X173" s="101"/>
      <c r="Y173" s="114"/>
      <c r="Z173" s="114"/>
      <c r="AA173" s="114"/>
      <c r="AB173" s="114"/>
      <c r="AC173" s="114"/>
      <c r="AD173" s="114"/>
      <c r="AE173" s="114"/>
      <c r="AF173" s="114"/>
      <c r="AG173" s="114"/>
      <c r="AH173" s="114"/>
      <c r="AI173" s="114"/>
      <c r="AJ173" s="114"/>
      <c r="AK173" s="115"/>
      <c r="AL173" s="115"/>
      <c r="AM173" s="115"/>
      <c r="AN173" s="115"/>
      <c r="AO173" s="115"/>
      <c r="AP173" s="115"/>
      <c r="AQ173" s="115"/>
      <c r="AR173" s="115"/>
      <c r="AS173" s="115"/>
      <c r="AT173" s="115"/>
      <c r="AU173" s="115"/>
      <c r="AV173" s="115"/>
      <c r="AW173" s="115"/>
      <c r="AX173" s="115"/>
      <c r="AY173" s="115"/>
      <c r="AZ173" s="115"/>
    </row>
    <row r="174" spans="1:52">
      <c r="A174" s="111"/>
      <c r="B174" s="111"/>
      <c r="C174" s="112"/>
      <c r="D174" s="101"/>
      <c r="E174" s="101"/>
      <c r="F174" s="101"/>
      <c r="G174" s="111"/>
      <c r="H174" s="101"/>
      <c r="I174" s="101"/>
      <c r="J174" s="101"/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14"/>
      <c r="Z174" s="114"/>
      <c r="AA174" s="114"/>
      <c r="AB174" s="114"/>
      <c r="AC174" s="114"/>
      <c r="AD174" s="114"/>
      <c r="AE174" s="114"/>
      <c r="AF174" s="114"/>
      <c r="AG174" s="114"/>
      <c r="AH174" s="114"/>
      <c r="AI174" s="114"/>
      <c r="AJ174" s="114"/>
      <c r="AK174" s="114"/>
      <c r="AL174" s="115"/>
      <c r="AM174" s="115"/>
      <c r="AN174" s="115"/>
      <c r="AO174" s="115"/>
      <c r="AP174" s="115"/>
      <c r="AQ174" s="115"/>
      <c r="AR174" s="115"/>
      <c r="AS174" s="115"/>
      <c r="AT174" s="115"/>
      <c r="AU174" s="115"/>
      <c r="AV174" s="115"/>
      <c r="AW174" s="115"/>
      <c r="AX174" s="115"/>
      <c r="AY174" s="115"/>
      <c r="AZ174" s="115"/>
    </row>
    <row r="175" spans="1:52">
      <c r="A175" s="111"/>
      <c r="B175" s="111"/>
      <c r="C175" s="112"/>
      <c r="D175" s="101"/>
      <c r="E175" s="101"/>
      <c r="F175" s="101"/>
      <c r="G175" s="111"/>
      <c r="H175" s="101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14"/>
      <c r="Z175" s="114"/>
      <c r="AA175" s="114"/>
      <c r="AB175" s="114"/>
      <c r="AC175" s="114"/>
      <c r="AD175" s="114"/>
      <c r="AE175" s="114"/>
      <c r="AF175" s="114"/>
      <c r="AG175" s="114"/>
      <c r="AH175" s="114"/>
      <c r="AI175" s="114"/>
      <c r="AJ175" s="114"/>
      <c r="AK175" s="114"/>
      <c r="AL175" s="115"/>
      <c r="AM175" s="115"/>
      <c r="AN175" s="115"/>
      <c r="AO175" s="115"/>
      <c r="AP175" s="115"/>
      <c r="AQ175" s="115"/>
      <c r="AR175" s="115"/>
      <c r="AS175" s="115"/>
      <c r="AT175" s="115"/>
      <c r="AU175" s="115"/>
      <c r="AV175" s="115"/>
      <c r="AW175" s="115"/>
      <c r="AX175" s="115"/>
      <c r="AY175" s="115"/>
      <c r="AZ175" s="115"/>
    </row>
    <row r="176" spans="1:52">
      <c r="A176" s="111"/>
      <c r="B176" s="111"/>
      <c r="C176" s="112"/>
      <c r="D176" s="101"/>
      <c r="E176" s="101"/>
      <c r="F176" s="101"/>
      <c r="G176" s="111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14"/>
      <c r="Z176" s="114"/>
      <c r="AA176" s="114"/>
      <c r="AB176" s="114"/>
      <c r="AC176" s="114"/>
      <c r="AD176" s="114"/>
      <c r="AE176" s="114"/>
      <c r="AF176" s="114"/>
      <c r="AG176" s="114"/>
      <c r="AH176" s="114"/>
      <c r="AI176" s="114"/>
      <c r="AJ176" s="114"/>
      <c r="AK176" s="114"/>
      <c r="AL176" s="115"/>
      <c r="AM176" s="115"/>
      <c r="AN176" s="115"/>
      <c r="AO176" s="115"/>
      <c r="AP176" s="115"/>
      <c r="AQ176" s="115"/>
      <c r="AR176" s="115"/>
      <c r="AS176" s="115"/>
      <c r="AT176" s="115"/>
      <c r="AU176" s="115"/>
      <c r="AV176" s="115"/>
      <c r="AW176" s="115"/>
      <c r="AX176" s="115"/>
      <c r="AY176" s="115"/>
      <c r="AZ176" s="115"/>
    </row>
    <row r="177" spans="1:52">
      <c r="A177" s="111"/>
      <c r="B177" s="111"/>
      <c r="C177" s="112"/>
      <c r="D177" s="101"/>
      <c r="E177" s="101"/>
      <c r="F177" s="101"/>
      <c r="G177" s="111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14"/>
      <c r="Z177" s="114"/>
      <c r="AA177" s="114"/>
      <c r="AB177" s="114"/>
      <c r="AC177" s="114"/>
      <c r="AD177" s="114"/>
      <c r="AE177" s="114"/>
      <c r="AF177" s="114"/>
      <c r="AG177" s="114"/>
      <c r="AH177" s="114"/>
      <c r="AI177" s="114"/>
      <c r="AJ177" s="114"/>
      <c r="AK177" s="114"/>
      <c r="AL177" s="115"/>
      <c r="AM177" s="115"/>
      <c r="AN177" s="115"/>
      <c r="AO177" s="115"/>
      <c r="AP177" s="115"/>
      <c r="AQ177" s="115"/>
      <c r="AR177" s="115"/>
      <c r="AS177" s="115"/>
      <c r="AT177" s="115"/>
      <c r="AU177" s="115"/>
      <c r="AV177" s="115"/>
      <c r="AW177" s="115"/>
      <c r="AX177" s="115"/>
      <c r="AY177" s="115"/>
      <c r="AZ177" s="115"/>
    </row>
    <row r="178" spans="1:52">
      <c r="A178" s="111"/>
      <c r="B178" s="111"/>
      <c r="C178" s="112"/>
      <c r="D178" s="101"/>
      <c r="E178" s="101"/>
      <c r="F178" s="101"/>
      <c r="G178" s="111"/>
      <c r="H178" s="101"/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14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5"/>
      <c r="AM178" s="115"/>
      <c r="AN178" s="115"/>
      <c r="AO178" s="115"/>
      <c r="AP178" s="115"/>
      <c r="AQ178" s="115"/>
      <c r="AR178" s="115"/>
      <c r="AS178" s="115"/>
      <c r="AT178" s="115"/>
      <c r="AU178" s="115"/>
      <c r="AV178" s="115"/>
      <c r="AW178" s="115"/>
      <c r="AX178" s="115"/>
      <c r="AY178" s="115"/>
      <c r="AZ178" s="115"/>
    </row>
    <row r="179" spans="1:52">
      <c r="A179" s="111"/>
      <c r="B179" s="111"/>
      <c r="C179" s="112"/>
      <c r="D179" s="101"/>
      <c r="E179" s="101"/>
      <c r="F179" s="101"/>
      <c r="G179" s="111"/>
      <c r="H179" s="101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14"/>
      <c r="Z179" s="114"/>
      <c r="AA179" s="114"/>
      <c r="AB179" s="114"/>
      <c r="AC179" s="114"/>
      <c r="AD179" s="114"/>
      <c r="AE179" s="114"/>
      <c r="AF179" s="114"/>
      <c r="AG179" s="114"/>
      <c r="AH179" s="114"/>
      <c r="AI179" s="114"/>
      <c r="AJ179" s="114"/>
      <c r="AK179" s="114"/>
      <c r="AL179" s="115"/>
      <c r="AM179" s="115"/>
      <c r="AN179" s="115"/>
      <c r="AO179" s="115"/>
      <c r="AP179" s="115"/>
      <c r="AQ179" s="115"/>
      <c r="AR179" s="115"/>
      <c r="AS179" s="115"/>
      <c r="AT179" s="115"/>
      <c r="AU179" s="115"/>
      <c r="AV179" s="115"/>
      <c r="AW179" s="115"/>
      <c r="AX179" s="115"/>
      <c r="AY179" s="115"/>
      <c r="AZ179" s="115"/>
    </row>
    <row r="180" spans="1:52">
      <c r="A180" s="111"/>
      <c r="B180" s="111"/>
      <c r="C180" s="112"/>
      <c r="D180" s="101"/>
      <c r="E180" s="101"/>
      <c r="F180" s="101"/>
      <c r="G180" s="111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14"/>
      <c r="Z180" s="114"/>
      <c r="AA180" s="114"/>
      <c r="AB180" s="114"/>
      <c r="AC180" s="114"/>
      <c r="AD180" s="114"/>
      <c r="AE180" s="114"/>
      <c r="AF180" s="114"/>
      <c r="AG180" s="114"/>
      <c r="AH180" s="114"/>
      <c r="AI180" s="114"/>
      <c r="AJ180" s="114"/>
      <c r="AK180" s="114"/>
      <c r="AL180" s="114"/>
      <c r="AM180" s="114"/>
      <c r="AN180" s="114"/>
      <c r="AO180" s="114"/>
      <c r="AP180" s="114"/>
      <c r="AQ180" s="114"/>
      <c r="AR180" s="114"/>
      <c r="AS180" s="114"/>
      <c r="AT180" s="114"/>
      <c r="AU180" s="114"/>
      <c r="AV180" s="114"/>
      <c r="AW180" s="114"/>
      <c r="AX180" s="114"/>
      <c r="AY180" s="114"/>
      <c r="AZ180" s="114"/>
    </row>
    <row r="181" spans="1:52">
      <c r="A181" s="111"/>
      <c r="B181" s="111"/>
      <c r="C181" s="112"/>
      <c r="D181" s="101"/>
      <c r="E181" s="101"/>
      <c r="F181" s="101"/>
      <c r="G181" s="111"/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14"/>
      <c r="Z181" s="114"/>
      <c r="AA181" s="114"/>
      <c r="AB181" s="114"/>
      <c r="AC181" s="114"/>
      <c r="AD181" s="114"/>
      <c r="AE181" s="114"/>
      <c r="AF181" s="114"/>
      <c r="AG181" s="114"/>
      <c r="AH181" s="114"/>
      <c r="AI181" s="114"/>
      <c r="AJ181" s="114"/>
      <c r="AK181" s="114"/>
      <c r="AL181" s="114"/>
      <c r="AM181" s="114"/>
      <c r="AN181" s="114"/>
      <c r="AO181" s="114"/>
      <c r="AP181" s="114"/>
      <c r="AQ181" s="114"/>
      <c r="AR181" s="114"/>
      <c r="AS181" s="114"/>
      <c r="AT181" s="114"/>
      <c r="AU181" s="114"/>
      <c r="AV181" s="114"/>
      <c r="AW181" s="114"/>
      <c r="AX181" s="114"/>
      <c r="AY181" s="114"/>
      <c r="AZ181" s="114"/>
    </row>
    <row r="182" spans="1:52">
      <c r="A182" s="111"/>
      <c r="B182" s="111"/>
      <c r="C182" s="112"/>
      <c r="D182" s="101"/>
      <c r="E182" s="101"/>
      <c r="F182" s="101"/>
      <c r="G182" s="111"/>
      <c r="H182" s="101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14"/>
      <c r="Z182" s="114"/>
      <c r="AA182" s="114"/>
      <c r="AB182" s="114"/>
      <c r="AC182" s="114"/>
      <c r="AD182" s="114"/>
      <c r="AE182" s="114"/>
      <c r="AF182" s="114"/>
      <c r="AG182" s="114"/>
      <c r="AH182" s="114"/>
      <c r="AI182" s="114"/>
      <c r="AJ182" s="114"/>
      <c r="AK182" s="114"/>
      <c r="AL182" s="114"/>
      <c r="AM182" s="114"/>
      <c r="AN182" s="114"/>
      <c r="AO182" s="114"/>
      <c r="AP182" s="114"/>
      <c r="AQ182" s="114"/>
      <c r="AR182" s="114"/>
      <c r="AS182" s="114"/>
      <c r="AT182" s="114"/>
      <c r="AU182" s="114"/>
      <c r="AV182" s="114"/>
      <c r="AW182" s="114"/>
      <c r="AX182" s="114"/>
      <c r="AY182" s="114"/>
      <c r="AZ182" s="114"/>
    </row>
    <row r="183" spans="1:52">
      <c r="A183" s="111"/>
      <c r="B183" s="111"/>
      <c r="C183" s="112"/>
      <c r="D183" s="101"/>
      <c r="E183" s="101"/>
      <c r="F183" s="101"/>
      <c r="G183" s="111"/>
      <c r="H183" s="101"/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14"/>
      <c r="Z183" s="114"/>
      <c r="AA183" s="114"/>
      <c r="AB183" s="114"/>
      <c r="AC183" s="114"/>
      <c r="AD183" s="114"/>
      <c r="AE183" s="114"/>
      <c r="AF183" s="114"/>
      <c r="AG183" s="114"/>
      <c r="AH183" s="114"/>
      <c r="AI183" s="114"/>
      <c r="AJ183" s="114"/>
      <c r="AK183" s="114"/>
      <c r="AL183" s="114"/>
      <c r="AM183" s="114"/>
      <c r="AN183" s="114"/>
      <c r="AO183" s="114"/>
      <c r="AP183" s="114"/>
      <c r="AQ183" s="114"/>
      <c r="AR183" s="114"/>
      <c r="AS183" s="114"/>
      <c r="AT183" s="114"/>
      <c r="AU183" s="114"/>
      <c r="AV183" s="114"/>
      <c r="AW183" s="114"/>
      <c r="AX183" s="114"/>
      <c r="AY183" s="114"/>
      <c r="AZ183" s="114"/>
    </row>
    <row r="184" spans="1:52">
      <c r="A184" s="111"/>
      <c r="B184" s="111"/>
      <c r="C184" s="112"/>
      <c r="D184" s="101"/>
      <c r="E184" s="101"/>
      <c r="F184" s="101"/>
      <c r="G184" s="11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14"/>
      <c r="Z184" s="114"/>
      <c r="AA184" s="114"/>
      <c r="AB184" s="114"/>
      <c r="AC184" s="114"/>
      <c r="AD184" s="114"/>
      <c r="AE184" s="114"/>
      <c r="AF184" s="114"/>
      <c r="AG184" s="114"/>
      <c r="AH184" s="114"/>
      <c r="AI184" s="114"/>
      <c r="AJ184" s="114"/>
      <c r="AK184" s="114"/>
      <c r="AL184" s="114"/>
      <c r="AM184" s="114"/>
      <c r="AN184" s="114"/>
      <c r="AO184" s="114"/>
      <c r="AP184" s="114"/>
      <c r="AQ184" s="114"/>
      <c r="AR184" s="114"/>
      <c r="AS184" s="114"/>
      <c r="AT184" s="114"/>
      <c r="AU184" s="114"/>
      <c r="AV184" s="114"/>
      <c r="AW184" s="114"/>
      <c r="AX184" s="114"/>
      <c r="AY184" s="114"/>
      <c r="AZ184" s="114"/>
    </row>
    <row r="185" spans="1:52">
      <c r="A185" s="111"/>
      <c r="B185" s="111"/>
      <c r="C185" s="112"/>
      <c r="D185" s="101"/>
      <c r="E185" s="101"/>
      <c r="F185" s="101"/>
      <c r="G185" s="111"/>
      <c r="H185" s="101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14"/>
      <c r="Z185" s="114"/>
      <c r="AA185" s="114"/>
      <c r="AB185" s="114"/>
      <c r="AC185" s="114"/>
      <c r="AD185" s="114"/>
      <c r="AE185" s="114"/>
      <c r="AF185" s="114"/>
      <c r="AG185" s="114"/>
      <c r="AH185" s="114"/>
      <c r="AI185" s="114"/>
      <c r="AJ185" s="114"/>
      <c r="AK185" s="114"/>
      <c r="AL185" s="114"/>
      <c r="AM185" s="114"/>
      <c r="AN185" s="114"/>
      <c r="AO185" s="114"/>
      <c r="AP185" s="114"/>
      <c r="AQ185" s="114"/>
      <c r="AR185" s="114"/>
      <c r="AS185" s="114"/>
      <c r="AT185" s="114"/>
      <c r="AU185" s="114"/>
      <c r="AV185" s="114"/>
      <c r="AW185" s="114"/>
      <c r="AX185" s="114"/>
      <c r="AY185" s="114"/>
      <c r="AZ185" s="114"/>
    </row>
    <row r="186" spans="1:52">
      <c r="A186" s="111"/>
      <c r="B186" s="111"/>
      <c r="C186" s="112"/>
      <c r="D186" s="101"/>
      <c r="E186" s="101"/>
      <c r="F186" s="101"/>
      <c r="G186" s="111"/>
      <c r="H186" s="101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14"/>
      <c r="Z186" s="114"/>
      <c r="AA186" s="114"/>
      <c r="AB186" s="114"/>
      <c r="AC186" s="114"/>
      <c r="AD186" s="114"/>
      <c r="AE186" s="114"/>
      <c r="AF186" s="114"/>
      <c r="AG186" s="114"/>
      <c r="AH186" s="114"/>
      <c r="AI186" s="114"/>
      <c r="AJ186" s="114"/>
      <c r="AK186" s="114"/>
      <c r="AL186" s="114"/>
      <c r="AM186" s="114"/>
      <c r="AN186" s="114"/>
      <c r="AO186" s="114"/>
      <c r="AP186" s="114"/>
      <c r="AQ186" s="114"/>
      <c r="AR186" s="114"/>
      <c r="AS186" s="114"/>
      <c r="AT186" s="114"/>
      <c r="AU186" s="114"/>
      <c r="AV186" s="114"/>
      <c r="AW186" s="114"/>
      <c r="AX186" s="114"/>
      <c r="AY186" s="114"/>
      <c r="AZ186" s="114"/>
    </row>
    <row r="187" spans="1:52">
      <c r="A187" s="111"/>
      <c r="B187" s="111"/>
      <c r="C187" s="112"/>
      <c r="D187" s="101"/>
      <c r="E187" s="101"/>
      <c r="F187" s="101"/>
      <c r="G187" s="11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14"/>
      <c r="Z187" s="114"/>
      <c r="AA187" s="114"/>
      <c r="AB187" s="114"/>
      <c r="AC187" s="114"/>
      <c r="AD187" s="114"/>
      <c r="AE187" s="114"/>
      <c r="AF187" s="114"/>
      <c r="AG187" s="114"/>
      <c r="AH187" s="114"/>
      <c r="AI187" s="114"/>
      <c r="AJ187" s="114"/>
      <c r="AK187" s="114"/>
      <c r="AL187" s="114"/>
      <c r="AM187" s="114"/>
      <c r="AN187" s="114"/>
      <c r="AO187" s="114"/>
      <c r="AP187" s="114"/>
      <c r="AQ187" s="114"/>
      <c r="AR187" s="114"/>
      <c r="AS187" s="114"/>
      <c r="AT187" s="114"/>
      <c r="AU187" s="114"/>
      <c r="AV187" s="114"/>
      <c r="AW187" s="114"/>
      <c r="AX187" s="114"/>
      <c r="AY187" s="114"/>
      <c r="AZ187" s="114"/>
    </row>
    <row r="188" spans="1:52">
      <c r="A188" s="111"/>
      <c r="B188" s="111"/>
      <c r="C188" s="112"/>
      <c r="D188" s="101"/>
      <c r="E188" s="101"/>
      <c r="F188" s="101"/>
      <c r="G188" s="11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14"/>
      <c r="Z188" s="114"/>
      <c r="AA188" s="114"/>
      <c r="AB188" s="114"/>
      <c r="AC188" s="114"/>
      <c r="AD188" s="114"/>
      <c r="AE188" s="114"/>
      <c r="AF188" s="114"/>
      <c r="AG188" s="114"/>
      <c r="AH188" s="114"/>
      <c r="AI188" s="114"/>
      <c r="AJ188" s="114"/>
      <c r="AK188" s="114"/>
      <c r="AL188" s="114"/>
      <c r="AM188" s="114"/>
      <c r="AN188" s="114"/>
      <c r="AO188" s="114"/>
      <c r="AP188" s="114"/>
      <c r="AQ188" s="114"/>
      <c r="AR188" s="114"/>
      <c r="AS188" s="114"/>
      <c r="AT188" s="114"/>
      <c r="AU188" s="114"/>
      <c r="AV188" s="114"/>
      <c r="AW188" s="114"/>
      <c r="AX188" s="114"/>
      <c r="AY188" s="114"/>
      <c r="AZ188" s="114"/>
    </row>
    <row r="189" spans="1:52">
      <c r="A189" s="111"/>
      <c r="B189" s="111"/>
      <c r="C189" s="112"/>
      <c r="D189" s="101"/>
      <c r="E189" s="101"/>
      <c r="F189" s="101"/>
      <c r="G189" s="111"/>
      <c r="H189" s="101"/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14"/>
      <c r="Z189" s="114"/>
      <c r="AA189" s="114"/>
      <c r="AB189" s="114"/>
      <c r="AC189" s="114"/>
      <c r="AD189" s="114"/>
      <c r="AE189" s="114"/>
      <c r="AF189" s="114"/>
      <c r="AG189" s="114"/>
      <c r="AH189" s="114"/>
      <c r="AI189" s="114"/>
      <c r="AJ189" s="114"/>
      <c r="AK189" s="114"/>
      <c r="AL189" s="114"/>
      <c r="AM189" s="114"/>
      <c r="AN189" s="114"/>
      <c r="AO189" s="114"/>
      <c r="AP189" s="114"/>
      <c r="AQ189" s="114"/>
      <c r="AR189" s="114"/>
      <c r="AS189" s="114"/>
      <c r="AT189" s="114"/>
      <c r="AU189" s="114"/>
      <c r="AV189" s="114"/>
      <c r="AW189" s="114"/>
      <c r="AX189" s="114"/>
      <c r="AY189" s="114"/>
      <c r="AZ189" s="114"/>
    </row>
    <row r="190" spans="1:52">
      <c r="A190" s="111"/>
      <c r="B190" s="111"/>
      <c r="C190" s="112"/>
      <c r="D190" s="101"/>
      <c r="E190" s="101"/>
      <c r="F190" s="101"/>
      <c r="G190" s="111"/>
      <c r="H190" s="101"/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14"/>
      <c r="Z190" s="114"/>
      <c r="AA190" s="114"/>
      <c r="AB190" s="114"/>
      <c r="AC190" s="114"/>
      <c r="AD190" s="114"/>
      <c r="AE190" s="114"/>
      <c r="AF190" s="114"/>
      <c r="AG190" s="114"/>
      <c r="AH190" s="114"/>
      <c r="AI190" s="114"/>
      <c r="AJ190" s="114"/>
      <c r="AK190" s="114"/>
      <c r="AL190" s="114"/>
      <c r="AM190" s="114"/>
      <c r="AN190" s="114"/>
      <c r="AO190" s="114"/>
      <c r="AP190" s="114"/>
      <c r="AQ190" s="114"/>
      <c r="AR190" s="114"/>
      <c r="AS190" s="114"/>
      <c r="AT190" s="114"/>
      <c r="AU190" s="114"/>
      <c r="AV190" s="114"/>
      <c r="AW190" s="114"/>
      <c r="AX190" s="114"/>
      <c r="AY190" s="114"/>
      <c r="AZ190" s="114"/>
    </row>
    <row r="191" spans="1:52">
      <c r="A191" s="111"/>
      <c r="B191" s="111"/>
      <c r="C191" s="112"/>
      <c r="D191" s="101"/>
      <c r="E191" s="101"/>
      <c r="F191" s="101"/>
      <c r="G191" s="111"/>
      <c r="H191" s="101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14"/>
      <c r="Z191" s="114"/>
      <c r="AA191" s="114"/>
      <c r="AB191" s="114"/>
      <c r="AC191" s="114"/>
      <c r="AD191" s="114"/>
      <c r="AE191" s="114"/>
      <c r="AF191" s="114"/>
      <c r="AG191" s="114"/>
      <c r="AH191" s="114"/>
      <c r="AI191" s="114"/>
      <c r="AJ191" s="114"/>
      <c r="AK191" s="114"/>
      <c r="AL191" s="114"/>
      <c r="AM191" s="114"/>
      <c r="AN191" s="114"/>
      <c r="AO191" s="114"/>
      <c r="AP191" s="114"/>
      <c r="AQ191" s="114"/>
      <c r="AR191" s="114"/>
      <c r="AS191" s="114"/>
      <c r="AT191" s="114"/>
      <c r="AU191" s="114"/>
      <c r="AV191" s="114"/>
      <c r="AW191" s="114"/>
      <c r="AX191" s="114"/>
      <c r="AY191" s="114"/>
      <c r="AZ191" s="114"/>
    </row>
    <row r="192" spans="1:52">
      <c r="A192" s="111"/>
      <c r="B192" s="111"/>
      <c r="C192" s="112"/>
      <c r="D192" s="101"/>
      <c r="E192" s="101"/>
      <c r="F192" s="101"/>
      <c r="G192" s="111"/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14"/>
      <c r="Z192" s="114"/>
      <c r="AA192" s="114"/>
      <c r="AB192" s="114"/>
      <c r="AC192" s="114"/>
      <c r="AD192" s="114"/>
      <c r="AE192" s="114"/>
      <c r="AF192" s="114"/>
      <c r="AG192" s="114"/>
      <c r="AH192" s="114"/>
      <c r="AI192" s="114"/>
      <c r="AJ192" s="114"/>
      <c r="AK192" s="114"/>
      <c r="AL192" s="114"/>
      <c r="AM192" s="114"/>
      <c r="AN192" s="114"/>
      <c r="AO192" s="114"/>
      <c r="AP192" s="114"/>
      <c r="AQ192" s="114"/>
      <c r="AR192" s="114"/>
      <c r="AS192" s="114"/>
      <c r="AT192" s="114"/>
      <c r="AU192" s="114"/>
      <c r="AV192" s="114"/>
      <c r="AW192" s="114"/>
      <c r="AX192" s="114"/>
      <c r="AY192" s="114"/>
      <c r="AZ192" s="114"/>
    </row>
    <row r="193" spans="1:52">
      <c r="A193" s="111"/>
      <c r="B193" s="111"/>
      <c r="C193" s="112"/>
      <c r="D193" s="101"/>
      <c r="E193" s="101"/>
      <c r="F193" s="101"/>
      <c r="G193" s="11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14"/>
      <c r="Z193" s="114"/>
      <c r="AA193" s="114"/>
      <c r="AB193" s="114"/>
      <c r="AC193" s="114"/>
      <c r="AD193" s="114"/>
      <c r="AE193" s="114"/>
      <c r="AF193" s="114"/>
      <c r="AG193" s="114"/>
      <c r="AH193" s="114"/>
      <c r="AI193" s="114"/>
      <c r="AJ193" s="114"/>
      <c r="AK193" s="114"/>
      <c r="AL193" s="114"/>
      <c r="AM193" s="114"/>
      <c r="AN193" s="114"/>
      <c r="AO193" s="114"/>
      <c r="AP193" s="114"/>
      <c r="AQ193" s="114"/>
      <c r="AR193" s="114"/>
      <c r="AS193" s="114"/>
      <c r="AT193" s="114"/>
      <c r="AU193" s="114"/>
      <c r="AV193" s="114"/>
      <c r="AW193" s="114"/>
      <c r="AX193" s="114"/>
      <c r="AY193" s="114"/>
      <c r="AZ193" s="114"/>
    </row>
    <row r="194" spans="1:52">
      <c r="A194" s="111"/>
      <c r="B194" s="111"/>
      <c r="C194" s="112"/>
      <c r="D194" s="101"/>
      <c r="E194" s="101"/>
      <c r="F194" s="101"/>
      <c r="G194" s="11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14"/>
      <c r="Z194" s="114"/>
      <c r="AA194" s="114"/>
      <c r="AB194" s="114"/>
      <c r="AC194" s="114"/>
      <c r="AD194" s="114"/>
      <c r="AE194" s="114"/>
      <c r="AF194" s="114"/>
      <c r="AG194" s="114"/>
      <c r="AH194" s="114"/>
      <c r="AI194" s="114"/>
      <c r="AJ194" s="114"/>
      <c r="AK194" s="114"/>
      <c r="AL194" s="114"/>
      <c r="AM194" s="114"/>
      <c r="AN194" s="114"/>
      <c r="AO194" s="114"/>
      <c r="AP194" s="114"/>
      <c r="AQ194" s="114"/>
      <c r="AR194" s="114"/>
      <c r="AS194" s="114"/>
      <c r="AT194" s="114"/>
      <c r="AU194" s="114"/>
      <c r="AV194" s="114"/>
      <c r="AW194" s="114"/>
      <c r="AX194" s="114"/>
      <c r="AY194" s="114"/>
      <c r="AZ194" s="114"/>
    </row>
    <row r="195" spans="1:52">
      <c r="A195" s="111"/>
      <c r="B195" s="111"/>
      <c r="C195" s="112"/>
      <c r="D195" s="101"/>
      <c r="E195" s="101"/>
      <c r="F195" s="101"/>
      <c r="G195" s="111"/>
      <c r="H195" s="101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14"/>
      <c r="Z195" s="114"/>
      <c r="AA195" s="114"/>
      <c r="AB195" s="114"/>
      <c r="AC195" s="114"/>
      <c r="AD195" s="114"/>
      <c r="AE195" s="114"/>
      <c r="AF195" s="114"/>
      <c r="AG195" s="114"/>
      <c r="AH195" s="114"/>
      <c r="AI195" s="114"/>
      <c r="AJ195" s="114"/>
      <c r="AK195" s="114"/>
      <c r="AL195" s="114"/>
      <c r="AM195" s="114"/>
      <c r="AN195" s="114"/>
      <c r="AO195" s="114"/>
      <c r="AP195" s="114"/>
      <c r="AQ195" s="114"/>
      <c r="AR195" s="114"/>
      <c r="AS195" s="114"/>
      <c r="AT195" s="114"/>
      <c r="AU195" s="114"/>
      <c r="AV195" s="114"/>
      <c r="AW195" s="114"/>
      <c r="AX195" s="114"/>
      <c r="AY195" s="114"/>
      <c r="AZ195" s="114"/>
    </row>
    <row r="196" spans="1:52">
      <c r="A196" s="111"/>
      <c r="B196" s="111"/>
      <c r="C196" s="112"/>
      <c r="D196" s="101"/>
      <c r="E196" s="101"/>
      <c r="F196" s="101"/>
      <c r="G196" s="111"/>
      <c r="H196" s="101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14"/>
      <c r="Z196" s="114"/>
      <c r="AA196" s="114"/>
      <c r="AB196" s="114"/>
      <c r="AC196" s="114"/>
      <c r="AD196" s="114"/>
      <c r="AE196" s="114"/>
      <c r="AF196" s="114"/>
      <c r="AG196" s="114"/>
      <c r="AH196" s="114"/>
      <c r="AI196" s="114"/>
      <c r="AJ196" s="114"/>
      <c r="AK196" s="114"/>
      <c r="AL196" s="114"/>
      <c r="AM196" s="114"/>
      <c r="AN196" s="114"/>
      <c r="AO196" s="114"/>
      <c r="AP196" s="114"/>
      <c r="AQ196" s="114"/>
      <c r="AR196" s="114"/>
      <c r="AS196" s="114"/>
      <c r="AT196" s="114"/>
      <c r="AU196" s="114"/>
      <c r="AV196" s="114"/>
      <c r="AW196" s="114"/>
      <c r="AX196" s="114"/>
      <c r="AY196" s="114"/>
      <c r="AZ196" s="114"/>
    </row>
    <row r="197" spans="1:52">
      <c r="A197" s="111"/>
      <c r="B197" s="111"/>
      <c r="C197" s="112"/>
      <c r="D197" s="101"/>
      <c r="E197" s="101"/>
      <c r="F197" s="101"/>
      <c r="G197" s="111"/>
      <c r="H197" s="101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14"/>
      <c r="Z197" s="114"/>
      <c r="AA197" s="114"/>
      <c r="AB197" s="114"/>
      <c r="AC197" s="114"/>
      <c r="AD197" s="114"/>
      <c r="AE197" s="114"/>
      <c r="AF197" s="114"/>
      <c r="AG197" s="114"/>
      <c r="AH197" s="114"/>
      <c r="AI197" s="114"/>
      <c r="AJ197" s="114"/>
      <c r="AK197" s="114"/>
      <c r="AL197" s="114"/>
      <c r="AM197" s="114"/>
      <c r="AN197" s="114"/>
      <c r="AO197" s="114"/>
      <c r="AP197" s="114"/>
      <c r="AQ197" s="114"/>
      <c r="AR197" s="114"/>
      <c r="AS197" s="114"/>
      <c r="AT197" s="114"/>
      <c r="AU197" s="114"/>
      <c r="AV197" s="114"/>
      <c r="AW197" s="114"/>
      <c r="AX197" s="114"/>
      <c r="AY197" s="114"/>
      <c r="AZ197" s="114"/>
    </row>
    <row r="198" spans="1:52">
      <c r="A198" s="111"/>
      <c r="B198" s="111"/>
      <c r="C198" s="112"/>
      <c r="D198" s="101"/>
      <c r="E198" s="101"/>
      <c r="F198" s="101"/>
      <c r="G198" s="111"/>
      <c r="H198" s="101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14"/>
      <c r="Z198" s="114"/>
      <c r="AA198" s="114"/>
      <c r="AB198" s="114"/>
      <c r="AC198" s="114"/>
      <c r="AD198" s="114"/>
      <c r="AE198" s="114"/>
      <c r="AF198" s="114"/>
      <c r="AG198" s="114"/>
      <c r="AH198" s="114"/>
      <c r="AI198" s="114"/>
      <c r="AJ198" s="114"/>
      <c r="AK198" s="114"/>
      <c r="AL198" s="114"/>
      <c r="AM198" s="114"/>
      <c r="AN198" s="114"/>
      <c r="AO198" s="114"/>
      <c r="AP198" s="114"/>
      <c r="AQ198" s="114"/>
      <c r="AR198" s="114"/>
      <c r="AS198" s="114"/>
      <c r="AT198" s="114"/>
      <c r="AU198" s="114"/>
      <c r="AV198" s="114"/>
      <c r="AW198" s="114"/>
      <c r="AX198" s="114"/>
      <c r="AY198" s="114"/>
      <c r="AZ198" s="114"/>
    </row>
    <row r="199" spans="1:52">
      <c r="A199" s="111"/>
      <c r="B199" s="111"/>
      <c r="C199" s="112"/>
      <c r="D199" s="101"/>
      <c r="E199" s="101"/>
      <c r="F199" s="101"/>
      <c r="G199" s="111"/>
      <c r="H199" s="101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14"/>
      <c r="Z199" s="114"/>
      <c r="AA199" s="114"/>
      <c r="AB199" s="114"/>
      <c r="AC199" s="114"/>
      <c r="AD199" s="114"/>
      <c r="AE199" s="114"/>
      <c r="AF199" s="114"/>
      <c r="AG199" s="114"/>
      <c r="AH199" s="114"/>
      <c r="AI199" s="114"/>
      <c r="AJ199" s="114"/>
      <c r="AK199" s="114"/>
      <c r="AL199" s="114"/>
      <c r="AM199" s="114"/>
      <c r="AN199" s="114"/>
      <c r="AO199" s="114"/>
      <c r="AP199" s="114"/>
      <c r="AQ199" s="114"/>
      <c r="AR199" s="114"/>
      <c r="AS199" s="114"/>
      <c r="AT199" s="114"/>
      <c r="AU199" s="114"/>
      <c r="AV199" s="114"/>
      <c r="AW199" s="114"/>
      <c r="AX199" s="114"/>
      <c r="AY199" s="114"/>
      <c r="AZ199" s="114"/>
    </row>
    <row r="200" spans="1:52">
      <c r="A200" s="111"/>
      <c r="B200" s="111"/>
      <c r="C200" s="112"/>
      <c r="D200" s="101"/>
      <c r="E200" s="101"/>
      <c r="F200" s="101"/>
      <c r="G200" s="111"/>
      <c r="H200" s="101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14"/>
      <c r="Z200" s="114"/>
      <c r="AA200" s="114"/>
      <c r="AB200" s="114"/>
      <c r="AC200" s="114"/>
      <c r="AD200" s="114"/>
      <c r="AE200" s="114"/>
      <c r="AF200" s="114"/>
      <c r="AG200" s="114"/>
      <c r="AH200" s="114"/>
      <c r="AI200" s="114"/>
      <c r="AJ200" s="114"/>
      <c r="AK200" s="114"/>
      <c r="AL200" s="114"/>
      <c r="AM200" s="114"/>
      <c r="AN200" s="114"/>
      <c r="AO200" s="114"/>
      <c r="AP200" s="114"/>
      <c r="AQ200" s="114"/>
      <c r="AR200" s="114"/>
      <c r="AS200" s="114"/>
      <c r="AT200" s="114"/>
      <c r="AU200" s="114"/>
      <c r="AV200" s="114"/>
      <c r="AW200" s="114"/>
      <c r="AX200" s="114"/>
      <c r="AY200" s="114"/>
      <c r="AZ200" s="114"/>
    </row>
    <row r="201" spans="1:52">
      <c r="A201" s="111"/>
      <c r="B201" s="111"/>
      <c r="C201" s="112"/>
      <c r="D201" s="101"/>
      <c r="E201" s="101"/>
      <c r="F201" s="101"/>
      <c r="G201" s="111"/>
      <c r="H201" s="101"/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14"/>
      <c r="Z201" s="114"/>
      <c r="AA201" s="114"/>
      <c r="AB201" s="114"/>
      <c r="AC201" s="114"/>
      <c r="AD201" s="114"/>
      <c r="AE201" s="114"/>
      <c r="AF201" s="114"/>
      <c r="AG201" s="114"/>
      <c r="AH201" s="114"/>
      <c r="AI201" s="114"/>
      <c r="AJ201" s="114"/>
      <c r="AK201" s="114"/>
      <c r="AL201" s="114"/>
      <c r="AM201" s="114"/>
      <c r="AN201" s="114"/>
      <c r="AO201" s="114"/>
      <c r="AP201" s="114"/>
      <c r="AQ201" s="114"/>
      <c r="AR201" s="114"/>
      <c r="AS201" s="114"/>
      <c r="AT201" s="114"/>
      <c r="AU201" s="114"/>
      <c r="AV201" s="114"/>
      <c r="AW201" s="114"/>
      <c r="AX201" s="114"/>
      <c r="AY201" s="114"/>
      <c r="AZ201" s="114"/>
    </row>
    <row r="202" spans="1:52">
      <c r="A202" s="111"/>
      <c r="B202" s="111"/>
      <c r="C202" s="112"/>
      <c r="D202" s="101"/>
      <c r="E202" s="101"/>
      <c r="F202" s="101"/>
      <c r="G202" s="111"/>
      <c r="H202" s="101"/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14"/>
      <c r="Z202" s="114"/>
      <c r="AA202" s="114"/>
      <c r="AB202" s="114"/>
      <c r="AC202" s="114"/>
      <c r="AD202" s="114"/>
      <c r="AE202" s="114"/>
      <c r="AF202" s="114"/>
      <c r="AG202" s="114"/>
      <c r="AH202" s="114"/>
      <c r="AI202" s="114"/>
      <c r="AJ202" s="114"/>
      <c r="AK202" s="114"/>
      <c r="AL202" s="114"/>
      <c r="AM202" s="114"/>
      <c r="AN202" s="114"/>
      <c r="AO202" s="114"/>
      <c r="AP202" s="114"/>
      <c r="AQ202" s="114"/>
      <c r="AR202" s="114"/>
      <c r="AS202" s="114"/>
      <c r="AT202" s="114"/>
      <c r="AU202" s="114"/>
      <c r="AV202" s="114"/>
      <c r="AW202" s="114"/>
      <c r="AX202" s="114"/>
      <c r="AY202" s="114"/>
      <c r="AZ202" s="114"/>
    </row>
    <row r="203" spans="1:52">
      <c r="A203" s="111"/>
      <c r="B203" s="111"/>
      <c r="C203" s="112"/>
      <c r="D203" s="101"/>
      <c r="E203" s="101"/>
      <c r="F203" s="101"/>
      <c r="G203" s="111"/>
      <c r="H203" s="101"/>
      <c r="I203" s="101"/>
      <c r="J203" s="101"/>
      <c r="K203" s="101"/>
      <c r="L203" s="101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14"/>
      <c r="Z203" s="114"/>
      <c r="AA203" s="114"/>
      <c r="AB203" s="114"/>
      <c r="AC203" s="114"/>
      <c r="AD203" s="114"/>
      <c r="AE203" s="114"/>
      <c r="AF203" s="114"/>
      <c r="AG203" s="114"/>
      <c r="AH203" s="114"/>
      <c r="AI203" s="114"/>
      <c r="AJ203" s="114"/>
      <c r="AK203" s="114"/>
      <c r="AL203" s="114"/>
      <c r="AM203" s="114"/>
      <c r="AN203" s="114"/>
      <c r="AO203" s="114"/>
      <c r="AP203" s="114"/>
      <c r="AQ203" s="114"/>
      <c r="AR203" s="114"/>
      <c r="AS203" s="114"/>
      <c r="AT203" s="114"/>
      <c r="AU203" s="114"/>
      <c r="AV203" s="114"/>
      <c r="AW203" s="114"/>
      <c r="AX203" s="114"/>
      <c r="AY203" s="114"/>
      <c r="AZ203" s="114"/>
    </row>
    <row r="204" spans="1:52">
      <c r="A204" s="111"/>
      <c r="B204" s="111"/>
      <c r="C204" s="112"/>
      <c r="D204" s="101"/>
      <c r="E204" s="101"/>
      <c r="F204" s="101"/>
      <c r="G204" s="111"/>
      <c r="H204" s="101"/>
      <c r="I204" s="101"/>
      <c r="J204" s="101"/>
      <c r="K204" s="101"/>
      <c r="L204" s="101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14"/>
      <c r="Z204" s="114"/>
      <c r="AA204" s="114"/>
      <c r="AB204" s="114"/>
      <c r="AC204" s="114"/>
      <c r="AD204" s="114"/>
      <c r="AE204" s="114"/>
      <c r="AF204" s="114"/>
      <c r="AG204" s="114"/>
      <c r="AH204" s="114"/>
      <c r="AI204" s="114"/>
      <c r="AJ204" s="114"/>
      <c r="AK204" s="114"/>
      <c r="AL204" s="114"/>
      <c r="AM204" s="114"/>
      <c r="AN204" s="114"/>
      <c r="AO204" s="114"/>
      <c r="AP204" s="114"/>
      <c r="AQ204" s="114"/>
      <c r="AR204" s="114"/>
      <c r="AS204" s="114"/>
      <c r="AT204" s="114"/>
      <c r="AU204" s="114"/>
      <c r="AV204" s="114"/>
      <c r="AW204" s="114"/>
      <c r="AX204" s="114"/>
      <c r="AY204" s="114"/>
      <c r="AZ204" s="114"/>
    </row>
    <row r="205" spans="1:52">
      <c r="A205" s="111"/>
      <c r="B205" s="111"/>
      <c r="C205" s="112"/>
      <c r="D205" s="101"/>
      <c r="E205" s="101"/>
      <c r="F205" s="101"/>
      <c r="G205" s="111"/>
      <c r="H205" s="101"/>
      <c r="I205" s="101"/>
      <c r="J205" s="101"/>
      <c r="K205" s="101"/>
      <c r="L205" s="101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14"/>
      <c r="Z205" s="114"/>
      <c r="AA205" s="114"/>
      <c r="AB205" s="114"/>
      <c r="AC205" s="114"/>
      <c r="AD205" s="114"/>
      <c r="AE205" s="114"/>
      <c r="AF205" s="114"/>
      <c r="AG205" s="114"/>
      <c r="AH205" s="114"/>
      <c r="AI205" s="114"/>
      <c r="AJ205" s="114"/>
      <c r="AK205" s="114"/>
      <c r="AL205" s="114"/>
      <c r="AM205" s="114"/>
      <c r="AN205" s="114"/>
      <c r="AO205" s="114"/>
      <c r="AP205" s="114"/>
      <c r="AQ205" s="114"/>
      <c r="AR205" s="114"/>
      <c r="AS205" s="114"/>
      <c r="AT205" s="114"/>
      <c r="AU205" s="114"/>
      <c r="AV205" s="114"/>
      <c r="AW205" s="114"/>
      <c r="AX205" s="114"/>
      <c r="AY205" s="114"/>
      <c r="AZ205" s="114"/>
    </row>
    <row r="206" spans="1:52">
      <c r="A206" s="111"/>
      <c r="B206" s="111"/>
      <c r="C206" s="112"/>
      <c r="D206" s="101"/>
      <c r="E206" s="101"/>
      <c r="F206" s="101"/>
      <c r="G206" s="111"/>
      <c r="H206" s="101"/>
      <c r="I206" s="101"/>
      <c r="J206" s="101"/>
      <c r="K206" s="101"/>
      <c r="L206" s="101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14"/>
      <c r="Z206" s="114"/>
      <c r="AA206" s="114"/>
      <c r="AB206" s="114"/>
      <c r="AC206" s="114"/>
      <c r="AD206" s="114"/>
      <c r="AE206" s="114"/>
      <c r="AF206" s="114"/>
      <c r="AG206" s="114"/>
      <c r="AH206" s="114"/>
      <c r="AI206" s="114"/>
      <c r="AJ206" s="114"/>
      <c r="AK206" s="114"/>
      <c r="AL206" s="114"/>
      <c r="AM206" s="114"/>
      <c r="AN206" s="114"/>
      <c r="AO206" s="114"/>
      <c r="AP206" s="114"/>
      <c r="AQ206" s="114"/>
      <c r="AR206" s="114"/>
      <c r="AS206" s="114"/>
      <c r="AT206" s="114"/>
      <c r="AU206" s="114"/>
      <c r="AV206" s="114"/>
      <c r="AW206" s="114"/>
      <c r="AX206" s="114"/>
      <c r="AY206" s="114"/>
      <c r="AZ206" s="114"/>
    </row>
    <row r="207" spans="1:52">
      <c r="A207" s="111"/>
      <c r="B207" s="111"/>
      <c r="C207" s="112"/>
      <c r="D207" s="101"/>
      <c r="E207" s="101"/>
      <c r="F207" s="101"/>
      <c r="G207" s="111"/>
      <c r="H207" s="101"/>
      <c r="I207" s="101"/>
      <c r="J207" s="101"/>
      <c r="K207" s="101"/>
      <c r="L207" s="101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14"/>
      <c r="Z207" s="114"/>
      <c r="AA207" s="114"/>
      <c r="AB207" s="114"/>
      <c r="AC207" s="114"/>
      <c r="AD207" s="114"/>
      <c r="AE207" s="114"/>
      <c r="AF207" s="114"/>
      <c r="AG207" s="114"/>
      <c r="AH207" s="114"/>
      <c r="AI207" s="114"/>
      <c r="AJ207" s="114"/>
      <c r="AK207" s="114"/>
      <c r="AL207" s="114"/>
      <c r="AM207" s="114"/>
      <c r="AN207" s="114"/>
      <c r="AO207" s="114"/>
      <c r="AP207" s="114"/>
      <c r="AQ207" s="114"/>
      <c r="AR207" s="114"/>
      <c r="AS207" s="114"/>
      <c r="AT207" s="114"/>
      <c r="AU207" s="114"/>
      <c r="AV207" s="114"/>
      <c r="AW207" s="114"/>
      <c r="AX207" s="114"/>
      <c r="AY207" s="114"/>
      <c r="AZ207" s="114"/>
    </row>
    <row r="208" spans="1:52">
      <c r="A208" s="111"/>
      <c r="B208" s="111"/>
      <c r="C208" s="112"/>
      <c r="D208" s="101"/>
      <c r="E208" s="101"/>
      <c r="F208" s="101"/>
      <c r="G208" s="11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14"/>
      <c r="Z208" s="114"/>
      <c r="AA208" s="114"/>
      <c r="AB208" s="114"/>
      <c r="AC208" s="114"/>
      <c r="AD208" s="114"/>
      <c r="AE208" s="114"/>
      <c r="AF208" s="114"/>
      <c r="AG208" s="114"/>
      <c r="AH208" s="114"/>
      <c r="AI208" s="114"/>
      <c r="AJ208" s="114"/>
      <c r="AK208" s="114"/>
      <c r="AL208" s="114"/>
      <c r="AM208" s="114"/>
      <c r="AN208" s="114"/>
      <c r="AO208" s="114"/>
      <c r="AP208" s="114"/>
      <c r="AQ208" s="114"/>
      <c r="AR208" s="114"/>
      <c r="AS208" s="114"/>
      <c r="AT208" s="114"/>
      <c r="AU208" s="114"/>
      <c r="AV208" s="114"/>
      <c r="AW208" s="114"/>
      <c r="AX208" s="114"/>
      <c r="AY208" s="114"/>
      <c r="AZ208" s="114"/>
    </row>
    <row r="209" spans="1:52">
      <c r="A209" s="111"/>
      <c r="B209" s="111"/>
      <c r="C209" s="112"/>
      <c r="D209" s="101"/>
      <c r="E209" s="101"/>
      <c r="F209" s="101"/>
      <c r="G209" s="11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14"/>
      <c r="Z209" s="114"/>
      <c r="AA209" s="114"/>
      <c r="AB209" s="114"/>
      <c r="AC209" s="114"/>
      <c r="AD209" s="114"/>
      <c r="AE209" s="114"/>
      <c r="AF209" s="114"/>
      <c r="AG209" s="114"/>
      <c r="AH209" s="114"/>
      <c r="AI209" s="114"/>
      <c r="AJ209" s="114"/>
      <c r="AK209" s="114"/>
      <c r="AL209" s="114"/>
      <c r="AM209" s="114"/>
      <c r="AN209" s="114"/>
      <c r="AO209" s="114"/>
      <c r="AP209" s="114"/>
      <c r="AQ209" s="114"/>
      <c r="AR209" s="114"/>
      <c r="AS209" s="114"/>
      <c r="AT209" s="114"/>
      <c r="AU209" s="114"/>
      <c r="AV209" s="114"/>
      <c r="AW209" s="114"/>
      <c r="AX209" s="114"/>
      <c r="AY209" s="114"/>
      <c r="AZ209" s="114"/>
    </row>
    <row r="210" spans="1:52">
      <c r="A210" s="111"/>
      <c r="B210" s="111"/>
      <c r="C210" s="112"/>
      <c r="D210" s="101"/>
      <c r="E210" s="101"/>
      <c r="F210" s="101"/>
      <c r="G210" s="11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14"/>
      <c r="Z210" s="114"/>
      <c r="AA210" s="114"/>
      <c r="AB210" s="114"/>
      <c r="AC210" s="114"/>
      <c r="AD210" s="114"/>
      <c r="AE210" s="114"/>
      <c r="AF210" s="114"/>
      <c r="AG210" s="114"/>
      <c r="AH210" s="114"/>
      <c r="AI210" s="114"/>
      <c r="AJ210" s="114"/>
      <c r="AK210" s="114"/>
      <c r="AL210" s="114"/>
      <c r="AM210" s="114"/>
      <c r="AN210" s="114"/>
      <c r="AO210" s="114"/>
      <c r="AP210" s="114"/>
      <c r="AQ210" s="114"/>
      <c r="AR210" s="114"/>
      <c r="AS210" s="114"/>
      <c r="AT210" s="114"/>
      <c r="AU210" s="114"/>
      <c r="AV210" s="114"/>
      <c r="AW210" s="114"/>
      <c r="AX210" s="114"/>
      <c r="AY210" s="114"/>
      <c r="AZ210" s="114"/>
    </row>
    <row r="211" spans="1:52">
      <c r="A211" s="111"/>
      <c r="B211" s="111"/>
      <c r="C211" s="112"/>
      <c r="D211" s="101"/>
      <c r="E211" s="101"/>
      <c r="F211" s="101"/>
      <c r="G211" s="11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14"/>
      <c r="Z211" s="114"/>
      <c r="AA211" s="114"/>
      <c r="AB211" s="114"/>
      <c r="AC211" s="114"/>
      <c r="AD211" s="114"/>
      <c r="AE211" s="114"/>
      <c r="AF211" s="114"/>
      <c r="AG211" s="114"/>
      <c r="AH211" s="114"/>
      <c r="AI211" s="114"/>
      <c r="AJ211" s="114"/>
      <c r="AK211" s="114"/>
      <c r="AL211" s="114"/>
      <c r="AM211" s="114"/>
      <c r="AN211" s="114"/>
      <c r="AO211" s="114"/>
      <c r="AP211" s="114"/>
      <c r="AQ211" s="114"/>
      <c r="AR211" s="114"/>
      <c r="AS211" s="114"/>
      <c r="AT211" s="114"/>
      <c r="AU211" s="114"/>
      <c r="AV211" s="114"/>
      <c r="AW211" s="114"/>
      <c r="AX211" s="114"/>
      <c r="AY211" s="114"/>
      <c r="AZ211" s="114"/>
    </row>
    <row r="212" spans="1:52">
      <c r="A212" s="111"/>
      <c r="B212" s="111"/>
      <c r="C212" s="112"/>
      <c r="D212" s="101"/>
      <c r="E212" s="101"/>
      <c r="F212" s="101"/>
      <c r="G212" s="111"/>
      <c r="H212" s="101"/>
      <c r="I212" s="101"/>
      <c r="J212" s="101"/>
      <c r="K212" s="101"/>
      <c r="L212" s="101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14"/>
      <c r="Z212" s="114"/>
      <c r="AA212" s="114"/>
      <c r="AB212" s="114"/>
      <c r="AC212" s="114"/>
      <c r="AD212" s="114"/>
      <c r="AE212" s="114"/>
      <c r="AF212" s="114"/>
      <c r="AG212" s="114"/>
      <c r="AH212" s="114"/>
      <c r="AI212" s="114"/>
      <c r="AJ212" s="114"/>
      <c r="AK212" s="114"/>
      <c r="AL212" s="114"/>
      <c r="AM212" s="114"/>
      <c r="AN212" s="114"/>
      <c r="AO212" s="114"/>
      <c r="AP212" s="114"/>
      <c r="AQ212" s="114"/>
      <c r="AR212" s="114"/>
      <c r="AS212" s="114"/>
      <c r="AT212" s="114"/>
      <c r="AU212" s="114"/>
      <c r="AV212" s="114"/>
      <c r="AW212" s="114"/>
      <c r="AX212" s="114"/>
      <c r="AY212" s="114"/>
      <c r="AZ212" s="114"/>
    </row>
    <row r="213" spans="1:52">
      <c r="A213" s="111"/>
      <c r="B213" s="111"/>
      <c r="C213" s="112"/>
      <c r="D213" s="101"/>
      <c r="E213" s="101"/>
      <c r="F213" s="101"/>
      <c r="G213" s="111"/>
      <c r="H213" s="101"/>
      <c r="I213" s="101"/>
      <c r="J213" s="101"/>
      <c r="K213" s="101"/>
      <c r="L213" s="101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14"/>
      <c r="Z213" s="114"/>
      <c r="AA213" s="114"/>
      <c r="AB213" s="114"/>
      <c r="AC213" s="114"/>
      <c r="AD213" s="114"/>
      <c r="AE213" s="114"/>
      <c r="AF213" s="114"/>
      <c r="AG213" s="114"/>
      <c r="AH213" s="114"/>
      <c r="AI213" s="114"/>
      <c r="AJ213" s="114"/>
      <c r="AK213" s="114"/>
      <c r="AL213" s="114"/>
      <c r="AM213" s="114"/>
      <c r="AN213" s="114"/>
      <c r="AO213" s="114"/>
      <c r="AP213" s="114"/>
      <c r="AQ213" s="114"/>
      <c r="AR213" s="114"/>
      <c r="AS213" s="114"/>
      <c r="AT213" s="114"/>
      <c r="AU213" s="114"/>
      <c r="AV213" s="114"/>
      <c r="AW213" s="114"/>
      <c r="AX213" s="114"/>
      <c r="AY213" s="114"/>
      <c r="AZ213" s="114"/>
    </row>
    <row r="214" spans="1:52">
      <c r="A214" s="111"/>
      <c r="B214" s="111"/>
      <c r="C214" s="112"/>
      <c r="D214" s="101"/>
      <c r="E214" s="101"/>
      <c r="F214" s="101"/>
      <c r="G214" s="111"/>
      <c r="H214" s="101"/>
      <c r="I214" s="101"/>
      <c r="J214" s="101"/>
      <c r="K214" s="101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14"/>
      <c r="Z214" s="114"/>
      <c r="AA214" s="114"/>
      <c r="AB214" s="114"/>
      <c r="AC214" s="114"/>
      <c r="AD214" s="114"/>
      <c r="AE214" s="114"/>
      <c r="AF214" s="114"/>
      <c r="AG214" s="114"/>
      <c r="AH214" s="114"/>
      <c r="AI214" s="114"/>
      <c r="AJ214" s="114"/>
      <c r="AK214" s="114"/>
      <c r="AL214" s="114"/>
      <c r="AM214" s="114"/>
      <c r="AN214" s="114"/>
      <c r="AO214" s="114"/>
      <c r="AP214" s="114"/>
      <c r="AQ214" s="114"/>
      <c r="AR214" s="114"/>
      <c r="AS214" s="114"/>
      <c r="AT214" s="114"/>
      <c r="AU214" s="114"/>
      <c r="AV214" s="114"/>
      <c r="AW214" s="114"/>
      <c r="AX214" s="114"/>
      <c r="AY214" s="114"/>
      <c r="AZ214" s="114"/>
    </row>
    <row r="215" spans="1:52">
      <c r="A215" s="111"/>
      <c r="B215" s="111"/>
      <c r="C215" s="112"/>
      <c r="D215" s="101"/>
      <c r="E215" s="101"/>
      <c r="F215" s="101"/>
      <c r="G215" s="111"/>
      <c r="H215" s="101"/>
      <c r="I215" s="101"/>
      <c r="J215" s="101"/>
      <c r="K215" s="101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14"/>
      <c r="Z215" s="114"/>
      <c r="AA215" s="114"/>
      <c r="AB215" s="114"/>
      <c r="AC215" s="114"/>
      <c r="AD215" s="114"/>
      <c r="AE215" s="114"/>
      <c r="AF215" s="114"/>
      <c r="AG215" s="114"/>
      <c r="AH215" s="114"/>
      <c r="AI215" s="114"/>
      <c r="AJ215" s="114"/>
      <c r="AK215" s="114"/>
      <c r="AL215" s="114"/>
      <c r="AM215" s="114"/>
      <c r="AN215" s="114"/>
      <c r="AO215" s="114"/>
      <c r="AP215" s="114"/>
      <c r="AQ215" s="114"/>
      <c r="AR215" s="114"/>
      <c r="AS215" s="114"/>
      <c r="AT215" s="114"/>
      <c r="AU215" s="114"/>
      <c r="AV215" s="114"/>
      <c r="AW215" s="114"/>
      <c r="AX215" s="114"/>
      <c r="AY215" s="114"/>
      <c r="AZ215" s="114"/>
    </row>
    <row r="216" spans="1:52">
      <c r="A216" s="111"/>
      <c r="B216" s="111"/>
      <c r="C216" s="112"/>
      <c r="D216" s="101"/>
      <c r="E216" s="101"/>
      <c r="F216" s="101"/>
      <c r="G216" s="111"/>
      <c r="H216" s="101"/>
      <c r="I216" s="101"/>
      <c r="J216" s="101"/>
      <c r="K216" s="101"/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14"/>
      <c r="Z216" s="114"/>
      <c r="AA216" s="114"/>
      <c r="AB216" s="114"/>
      <c r="AC216" s="114"/>
      <c r="AD216" s="114"/>
      <c r="AE216" s="114"/>
      <c r="AF216" s="114"/>
      <c r="AG216" s="114"/>
      <c r="AH216" s="114"/>
      <c r="AI216" s="114"/>
      <c r="AJ216" s="114"/>
      <c r="AK216" s="114"/>
      <c r="AL216" s="114"/>
      <c r="AM216" s="114"/>
      <c r="AN216" s="114"/>
      <c r="AO216" s="114"/>
      <c r="AP216" s="114"/>
      <c r="AQ216" s="114"/>
      <c r="AR216" s="114"/>
      <c r="AS216" s="114"/>
      <c r="AT216" s="114"/>
      <c r="AU216" s="114"/>
      <c r="AV216" s="114"/>
      <c r="AW216" s="114"/>
      <c r="AX216" s="114"/>
      <c r="AY216" s="114"/>
      <c r="AZ216" s="114"/>
    </row>
    <row r="217" spans="1:52">
      <c r="A217" s="111"/>
      <c r="B217" s="111"/>
      <c r="C217" s="112"/>
      <c r="D217" s="101"/>
      <c r="E217" s="101"/>
      <c r="F217" s="101"/>
      <c r="G217" s="111"/>
      <c r="H217" s="101"/>
      <c r="I217" s="101"/>
      <c r="J217" s="101"/>
      <c r="K217" s="101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14"/>
      <c r="Z217" s="114"/>
      <c r="AA217" s="114"/>
      <c r="AB217" s="114"/>
      <c r="AC217" s="114"/>
      <c r="AD217" s="114"/>
      <c r="AE217" s="114"/>
      <c r="AF217" s="114"/>
      <c r="AG217" s="114"/>
      <c r="AH217" s="114"/>
      <c r="AI217" s="114"/>
      <c r="AJ217" s="114"/>
      <c r="AK217" s="114"/>
      <c r="AL217" s="114"/>
      <c r="AM217" s="114"/>
      <c r="AN217" s="114"/>
      <c r="AO217" s="114"/>
      <c r="AP217" s="114"/>
      <c r="AQ217" s="114"/>
      <c r="AR217" s="114"/>
      <c r="AS217" s="114"/>
      <c r="AT217" s="114"/>
      <c r="AU217" s="114"/>
      <c r="AV217" s="114"/>
      <c r="AW217" s="114"/>
      <c r="AX217" s="114"/>
      <c r="AY217" s="114"/>
      <c r="AZ217" s="114"/>
    </row>
    <row r="218" spans="1:52">
      <c r="A218" s="111"/>
      <c r="B218" s="111"/>
      <c r="C218" s="112"/>
      <c r="D218" s="101"/>
      <c r="E218" s="101"/>
      <c r="F218" s="101"/>
      <c r="G218" s="111"/>
      <c r="H218" s="101"/>
      <c r="I218" s="101"/>
      <c r="J218" s="101"/>
      <c r="K218" s="101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14"/>
      <c r="Z218" s="114"/>
      <c r="AA218" s="114"/>
      <c r="AB218" s="114"/>
      <c r="AC218" s="114"/>
      <c r="AD218" s="114"/>
      <c r="AE218" s="114"/>
      <c r="AF218" s="114"/>
      <c r="AG218" s="114"/>
      <c r="AH218" s="114"/>
      <c r="AI218" s="114"/>
      <c r="AJ218" s="114"/>
      <c r="AK218" s="114"/>
      <c r="AL218" s="114"/>
      <c r="AM218" s="114"/>
      <c r="AN218" s="114"/>
      <c r="AO218" s="114"/>
      <c r="AP218" s="114"/>
      <c r="AQ218" s="114"/>
      <c r="AR218" s="114"/>
      <c r="AS218" s="114"/>
      <c r="AT218" s="114"/>
      <c r="AU218" s="114"/>
      <c r="AV218" s="114"/>
      <c r="AW218" s="114"/>
      <c r="AX218" s="114"/>
      <c r="AY218" s="114"/>
      <c r="AZ218" s="114"/>
    </row>
    <row r="219" spans="1:52">
      <c r="A219" s="111"/>
      <c r="B219" s="111"/>
      <c r="C219" s="112"/>
      <c r="D219" s="101"/>
      <c r="E219" s="101"/>
      <c r="F219" s="101"/>
      <c r="G219" s="111"/>
      <c r="H219" s="101"/>
      <c r="I219" s="101"/>
      <c r="J219" s="101"/>
      <c r="K219" s="101"/>
      <c r="L219" s="101"/>
      <c r="M219" s="101"/>
      <c r="N219" s="101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14"/>
      <c r="Z219" s="114"/>
      <c r="AA219" s="114"/>
      <c r="AB219" s="114"/>
      <c r="AC219" s="114"/>
      <c r="AD219" s="114"/>
      <c r="AE219" s="114"/>
      <c r="AF219" s="114"/>
      <c r="AG219" s="114"/>
      <c r="AH219" s="114"/>
      <c r="AI219" s="114"/>
      <c r="AJ219" s="114"/>
      <c r="AK219" s="114"/>
      <c r="AL219" s="114"/>
      <c r="AM219" s="114"/>
      <c r="AN219" s="114"/>
      <c r="AO219" s="114"/>
      <c r="AP219" s="114"/>
      <c r="AQ219" s="114"/>
      <c r="AR219" s="114"/>
      <c r="AS219" s="114"/>
      <c r="AT219" s="114"/>
      <c r="AU219" s="114"/>
      <c r="AV219" s="114"/>
      <c r="AW219" s="114"/>
      <c r="AX219" s="114"/>
      <c r="AY219" s="114"/>
      <c r="AZ219" s="114"/>
    </row>
    <row r="220" spans="1:52">
      <c r="A220" s="111"/>
      <c r="B220" s="111"/>
      <c r="C220" s="112"/>
      <c r="D220" s="101"/>
      <c r="E220" s="101"/>
      <c r="F220" s="101"/>
      <c r="G220" s="111"/>
      <c r="H220" s="101"/>
      <c r="I220" s="101"/>
      <c r="J220" s="101"/>
      <c r="K220" s="101"/>
      <c r="L220" s="101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14"/>
      <c r="Z220" s="114"/>
      <c r="AA220" s="114"/>
      <c r="AB220" s="114"/>
      <c r="AC220" s="114"/>
      <c r="AD220" s="114"/>
      <c r="AE220" s="114"/>
      <c r="AF220" s="114"/>
      <c r="AG220" s="114"/>
      <c r="AH220" s="114"/>
      <c r="AI220" s="114"/>
      <c r="AJ220" s="114"/>
      <c r="AK220" s="114"/>
      <c r="AL220" s="114"/>
      <c r="AM220" s="114"/>
      <c r="AN220" s="114"/>
      <c r="AO220" s="114"/>
      <c r="AP220" s="114"/>
      <c r="AQ220" s="114"/>
      <c r="AR220" s="114"/>
      <c r="AS220" s="114"/>
      <c r="AT220" s="114"/>
      <c r="AU220" s="114"/>
      <c r="AV220" s="114"/>
      <c r="AW220" s="114"/>
      <c r="AX220" s="114"/>
      <c r="AY220" s="114"/>
      <c r="AZ220" s="114"/>
    </row>
    <row r="221" spans="1:52">
      <c r="A221" s="111"/>
      <c r="B221" s="111"/>
      <c r="C221" s="112"/>
      <c r="D221" s="101"/>
      <c r="E221" s="101"/>
      <c r="F221" s="101"/>
      <c r="G221" s="111"/>
      <c r="H221" s="101"/>
      <c r="I221" s="101"/>
      <c r="J221" s="101"/>
      <c r="K221" s="101"/>
      <c r="L221" s="101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14"/>
      <c r="Z221" s="114"/>
      <c r="AA221" s="114"/>
      <c r="AB221" s="114"/>
      <c r="AC221" s="114"/>
      <c r="AD221" s="114"/>
      <c r="AE221" s="114"/>
      <c r="AF221" s="114"/>
      <c r="AG221" s="114"/>
      <c r="AH221" s="114"/>
      <c r="AI221" s="114"/>
      <c r="AJ221" s="114"/>
      <c r="AK221" s="114"/>
      <c r="AL221" s="114"/>
      <c r="AM221" s="114"/>
      <c r="AN221" s="114"/>
      <c r="AO221" s="114"/>
      <c r="AP221" s="114"/>
      <c r="AQ221" s="114"/>
      <c r="AR221" s="114"/>
      <c r="AS221" s="114"/>
      <c r="AT221" s="114"/>
      <c r="AU221" s="114"/>
      <c r="AV221" s="114"/>
      <c r="AW221" s="114"/>
      <c r="AX221" s="114"/>
      <c r="AY221" s="114"/>
      <c r="AZ221" s="114"/>
    </row>
    <row r="222" spans="1:52">
      <c r="A222" s="111"/>
      <c r="B222" s="111"/>
      <c r="C222" s="112"/>
      <c r="D222" s="101"/>
      <c r="E222" s="101"/>
      <c r="F222" s="101"/>
      <c r="G222" s="11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14"/>
      <c r="Z222" s="114"/>
      <c r="AA222" s="114"/>
      <c r="AB222" s="114"/>
      <c r="AC222" s="114"/>
      <c r="AD222" s="114"/>
      <c r="AE222" s="114"/>
      <c r="AF222" s="114"/>
      <c r="AG222" s="114"/>
      <c r="AH222" s="114"/>
      <c r="AI222" s="114"/>
      <c r="AJ222" s="114"/>
      <c r="AK222" s="114"/>
      <c r="AL222" s="114"/>
      <c r="AM222" s="114"/>
      <c r="AN222" s="114"/>
      <c r="AO222" s="114"/>
      <c r="AP222" s="114"/>
      <c r="AQ222" s="114"/>
      <c r="AR222" s="114"/>
      <c r="AS222" s="114"/>
      <c r="AT222" s="114"/>
      <c r="AU222" s="114"/>
      <c r="AV222" s="114"/>
      <c r="AW222" s="114"/>
      <c r="AX222" s="114"/>
      <c r="AY222" s="114"/>
      <c r="AZ222" s="114"/>
    </row>
    <row r="223" spans="1:52">
      <c r="A223" s="111"/>
      <c r="B223" s="111"/>
      <c r="C223" s="112"/>
      <c r="D223" s="101"/>
      <c r="E223" s="101"/>
      <c r="F223" s="101"/>
      <c r="G223" s="11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14"/>
      <c r="Z223" s="114"/>
      <c r="AA223" s="114"/>
      <c r="AB223" s="114"/>
      <c r="AC223" s="114"/>
      <c r="AD223" s="114"/>
      <c r="AE223" s="114"/>
      <c r="AF223" s="114"/>
      <c r="AG223" s="114"/>
      <c r="AH223" s="114"/>
      <c r="AI223" s="114"/>
      <c r="AJ223" s="114"/>
      <c r="AK223" s="114"/>
      <c r="AL223" s="114"/>
      <c r="AM223" s="114"/>
      <c r="AN223" s="114"/>
      <c r="AO223" s="114"/>
      <c r="AP223" s="114"/>
      <c r="AQ223" s="114"/>
      <c r="AR223" s="114"/>
      <c r="AS223" s="114"/>
      <c r="AT223" s="114"/>
      <c r="AU223" s="114"/>
      <c r="AV223" s="114"/>
      <c r="AW223" s="114"/>
      <c r="AX223" s="114"/>
      <c r="AY223" s="114"/>
      <c r="AZ223" s="114"/>
    </row>
    <row r="224" spans="1:52">
      <c r="A224" s="111"/>
      <c r="B224" s="111"/>
      <c r="C224" s="112"/>
      <c r="D224" s="101"/>
      <c r="E224" s="101"/>
      <c r="F224" s="101"/>
      <c r="G224" s="11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14"/>
      <c r="Z224" s="114"/>
      <c r="AA224" s="114"/>
      <c r="AB224" s="114"/>
      <c r="AC224" s="114"/>
      <c r="AD224" s="114"/>
      <c r="AE224" s="114"/>
      <c r="AF224" s="114"/>
      <c r="AG224" s="114"/>
      <c r="AH224" s="114"/>
      <c r="AI224" s="114"/>
      <c r="AJ224" s="114"/>
      <c r="AK224" s="114"/>
      <c r="AL224" s="114"/>
      <c r="AM224" s="114"/>
      <c r="AN224" s="114"/>
      <c r="AO224" s="114"/>
      <c r="AP224" s="114"/>
      <c r="AQ224" s="114"/>
      <c r="AR224" s="114"/>
      <c r="AS224" s="114"/>
      <c r="AT224" s="114"/>
      <c r="AU224" s="114"/>
      <c r="AV224" s="114"/>
      <c r="AW224" s="114"/>
      <c r="AX224" s="114"/>
      <c r="AY224" s="114"/>
      <c r="AZ224" s="114"/>
    </row>
    <row r="225" spans="1:52">
      <c r="A225" s="111"/>
      <c r="B225" s="111"/>
      <c r="C225" s="112"/>
      <c r="D225" s="101"/>
      <c r="E225" s="101"/>
      <c r="F225" s="101"/>
      <c r="G225" s="11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14"/>
      <c r="Z225" s="114"/>
      <c r="AA225" s="114"/>
      <c r="AB225" s="114"/>
      <c r="AC225" s="114"/>
      <c r="AD225" s="114"/>
      <c r="AE225" s="114"/>
      <c r="AF225" s="114"/>
      <c r="AG225" s="114"/>
      <c r="AH225" s="114"/>
      <c r="AI225" s="114"/>
      <c r="AJ225" s="114"/>
      <c r="AK225" s="114"/>
      <c r="AL225" s="114"/>
      <c r="AM225" s="114"/>
      <c r="AN225" s="114"/>
      <c r="AO225" s="114"/>
      <c r="AP225" s="114"/>
      <c r="AQ225" s="114"/>
      <c r="AR225" s="114"/>
      <c r="AS225" s="114"/>
      <c r="AT225" s="114"/>
      <c r="AU225" s="114"/>
      <c r="AV225" s="114"/>
      <c r="AW225" s="114"/>
      <c r="AX225" s="114"/>
      <c r="AY225" s="114"/>
      <c r="AZ225" s="114"/>
    </row>
    <row r="226" spans="1:52">
      <c r="A226" s="111"/>
      <c r="B226" s="111"/>
      <c r="C226" s="112"/>
      <c r="D226" s="101"/>
      <c r="E226" s="101"/>
      <c r="F226" s="101"/>
      <c r="G226" s="111"/>
      <c r="H226" s="101"/>
      <c r="I226" s="101"/>
      <c r="J226" s="101"/>
      <c r="K226" s="101"/>
      <c r="L226" s="101"/>
      <c r="M226" s="101"/>
      <c r="N226" s="101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14"/>
      <c r="Z226" s="114"/>
      <c r="AA226" s="114"/>
      <c r="AB226" s="114"/>
      <c r="AC226" s="114"/>
      <c r="AD226" s="114"/>
      <c r="AE226" s="114"/>
      <c r="AF226" s="114"/>
      <c r="AG226" s="114"/>
      <c r="AH226" s="114"/>
      <c r="AI226" s="114"/>
      <c r="AJ226" s="114"/>
      <c r="AK226" s="114"/>
      <c r="AL226" s="114"/>
      <c r="AM226" s="114"/>
      <c r="AN226" s="114"/>
      <c r="AO226" s="114"/>
      <c r="AP226" s="114"/>
      <c r="AQ226" s="114"/>
      <c r="AR226" s="114"/>
      <c r="AS226" s="114"/>
      <c r="AT226" s="114"/>
      <c r="AU226" s="114"/>
      <c r="AV226" s="114"/>
      <c r="AW226" s="114"/>
      <c r="AX226" s="114"/>
      <c r="AY226" s="114"/>
      <c r="AZ226" s="114"/>
    </row>
    <row r="227" spans="1:52">
      <c r="A227" s="111"/>
      <c r="B227" s="111"/>
      <c r="C227" s="112"/>
      <c r="D227" s="101"/>
      <c r="E227" s="101"/>
      <c r="F227" s="101"/>
      <c r="G227" s="111"/>
      <c r="H227" s="101"/>
      <c r="I227" s="101"/>
      <c r="J227" s="101"/>
      <c r="K227" s="101"/>
      <c r="L227" s="101"/>
      <c r="M227" s="101"/>
      <c r="N227" s="101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14"/>
      <c r="Z227" s="114"/>
      <c r="AA227" s="114"/>
      <c r="AB227" s="114"/>
      <c r="AC227" s="114"/>
      <c r="AD227" s="114"/>
      <c r="AE227" s="114"/>
      <c r="AF227" s="114"/>
      <c r="AG227" s="114"/>
      <c r="AH227" s="114"/>
      <c r="AI227" s="114"/>
      <c r="AJ227" s="114"/>
      <c r="AK227" s="114"/>
      <c r="AL227" s="114"/>
      <c r="AM227" s="114"/>
      <c r="AN227" s="114"/>
      <c r="AO227" s="114"/>
      <c r="AP227" s="114"/>
      <c r="AQ227" s="114"/>
      <c r="AR227" s="114"/>
      <c r="AS227" s="114"/>
      <c r="AT227" s="114"/>
      <c r="AU227" s="114"/>
      <c r="AV227" s="114"/>
      <c r="AW227" s="114"/>
      <c r="AX227" s="114"/>
      <c r="AY227" s="114"/>
      <c r="AZ227" s="114"/>
    </row>
    <row r="228" spans="1:52">
      <c r="A228" s="111"/>
      <c r="B228" s="111"/>
      <c r="C228" s="112"/>
      <c r="D228" s="101"/>
      <c r="E228" s="101"/>
      <c r="F228" s="101"/>
      <c r="G228" s="111"/>
      <c r="H228" s="101"/>
      <c r="I228" s="101"/>
      <c r="J228" s="101"/>
      <c r="K228" s="101"/>
      <c r="L228" s="101"/>
      <c r="M228" s="101"/>
      <c r="N228" s="101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14"/>
      <c r="Z228" s="114"/>
      <c r="AA228" s="114"/>
      <c r="AB228" s="114"/>
      <c r="AC228" s="114"/>
      <c r="AD228" s="114"/>
      <c r="AE228" s="114"/>
      <c r="AF228" s="114"/>
      <c r="AG228" s="114"/>
      <c r="AH228" s="114"/>
      <c r="AI228" s="114"/>
      <c r="AJ228" s="114"/>
      <c r="AK228" s="114"/>
      <c r="AL228" s="114"/>
      <c r="AM228" s="114"/>
      <c r="AN228" s="114"/>
      <c r="AO228" s="114"/>
      <c r="AP228" s="114"/>
      <c r="AQ228" s="114"/>
      <c r="AR228" s="114"/>
      <c r="AS228" s="114"/>
      <c r="AT228" s="114"/>
      <c r="AU228" s="114"/>
      <c r="AV228" s="114"/>
      <c r="AW228" s="114"/>
      <c r="AX228" s="114"/>
      <c r="AY228" s="114"/>
      <c r="AZ228" s="114"/>
    </row>
    <row r="229" spans="1:52">
      <c r="A229" s="111"/>
      <c r="B229" s="111"/>
      <c r="C229" s="112"/>
      <c r="D229" s="101"/>
      <c r="E229" s="101"/>
      <c r="F229" s="101"/>
      <c r="G229" s="111"/>
      <c r="H229" s="101"/>
      <c r="I229" s="101"/>
      <c r="J229" s="101"/>
      <c r="K229" s="101"/>
      <c r="L229" s="101"/>
      <c r="M229" s="101"/>
      <c r="N229" s="101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14"/>
      <c r="Z229" s="114"/>
      <c r="AA229" s="114"/>
      <c r="AB229" s="114"/>
      <c r="AC229" s="114"/>
      <c r="AD229" s="114"/>
      <c r="AE229" s="114"/>
      <c r="AF229" s="114"/>
      <c r="AG229" s="114"/>
      <c r="AH229" s="114"/>
      <c r="AI229" s="114"/>
      <c r="AJ229" s="114"/>
      <c r="AK229" s="114"/>
      <c r="AL229" s="114"/>
      <c r="AM229" s="114"/>
      <c r="AN229" s="114"/>
      <c r="AO229" s="114"/>
      <c r="AP229" s="114"/>
      <c r="AQ229" s="114"/>
      <c r="AR229" s="114"/>
      <c r="AS229" s="114"/>
      <c r="AT229" s="114"/>
      <c r="AU229" s="114"/>
      <c r="AV229" s="114"/>
      <c r="AW229" s="114"/>
      <c r="AX229" s="114"/>
      <c r="AY229" s="114"/>
      <c r="AZ229" s="114"/>
    </row>
    <row r="230" spans="1:52">
      <c r="A230" s="111"/>
      <c r="B230" s="111"/>
      <c r="C230" s="112"/>
      <c r="D230" s="101"/>
      <c r="E230" s="101"/>
      <c r="F230" s="101"/>
      <c r="G230" s="111"/>
      <c r="H230" s="101"/>
      <c r="I230" s="101"/>
      <c r="J230" s="101"/>
      <c r="K230" s="101"/>
      <c r="L230" s="101"/>
      <c r="M230" s="101"/>
      <c r="N230" s="101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14"/>
      <c r="Z230" s="114"/>
      <c r="AA230" s="114"/>
      <c r="AB230" s="114"/>
      <c r="AC230" s="114"/>
      <c r="AD230" s="114"/>
      <c r="AE230" s="114"/>
      <c r="AF230" s="114"/>
      <c r="AG230" s="114"/>
      <c r="AH230" s="114"/>
      <c r="AI230" s="114"/>
      <c r="AJ230" s="114"/>
      <c r="AK230" s="114"/>
      <c r="AL230" s="114"/>
      <c r="AM230" s="114"/>
      <c r="AN230" s="114"/>
      <c r="AO230" s="114"/>
      <c r="AP230" s="114"/>
      <c r="AQ230" s="114"/>
      <c r="AR230" s="114"/>
      <c r="AS230" s="114"/>
      <c r="AT230" s="114"/>
      <c r="AU230" s="114"/>
      <c r="AV230" s="114"/>
      <c r="AW230" s="114"/>
      <c r="AX230" s="114"/>
      <c r="AY230" s="114"/>
      <c r="AZ230" s="114"/>
    </row>
    <row r="231" spans="1:52">
      <c r="A231" s="111"/>
      <c r="B231" s="111"/>
      <c r="C231" s="112"/>
      <c r="D231" s="101"/>
      <c r="E231" s="101"/>
      <c r="F231" s="101"/>
      <c r="G231" s="111"/>
      <c r="H231" s="101"/>
      <c r="I231" s="101"/>
      <c r="J231" s="101"/>
      <c r="K231" s="101"/>
      <c r="L231" s="101"/>
      <c r="M231" s="101"/>
      <c r="N231" s="101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14"/>
      <c r="Z231" s="114"/>
      <c r="AA231" s="114"/>
      <c r="AB231" s="114"/>
      <c r="AC231" s="114"/>
      <c r="AD231" s="114"/>
      <c r="AE231" s="114"/>
      <c r="AF231" s="114"/>
      <c r="AG231" s="114"/>
      <c r="AH231" s="114"/>
      <c r="AI231" s="114"/>
      <c r="AJ231" s="114"/>
      <c r="AK231" s="114"/>
      <c r="AL231" s="114"/>
      <c r="AM231" s="114"/>
      <c r="AN231" s="114"/>
      <c r="AO231" s="114"/>
      <c r="AP231" s="114"/>
      <c r="AQ231" s="114"/>
      <c r="AR231" s="114"/>
      <c r="AS231" s="114"/>
      <c r="AT231" s="114"/>
      <c r="AU231" s="114"/>
      <c r="AV231" s="114"/>
      <c r="AW231" s="114"/>
      <c r="AX231" s="114"/>
      <c r="AY231" s="114"/>
      <c r="AZ231" s="114"/>
    </row>
    <row r="232" spans="1:52">
      <c r="A232" s="111"/>
      <c r="B232" s="111"/>
      <c r="C232" s="112"/>
      <c r="D232" s="101"/>
      <c r="E232" s="101"/>
      <c r="F232" s="101"/>
      <c r="G232" s="111"/>
      <c r="H232" s="101"/>
      <c r="I232" s="101"/>
      <c r="J232" s="101"/>
      <c r="K232" s="101"/>
      <c r="L232" s="101"/>
      <c r="M232" s="101"/>
      <c r="N232" s="101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114"/>
      <c r="Z232" s="114"/>
      <c r="AA232" s="114"/>
      <c r="AB232" s="114"/>
      <c r="AC232" s="114"/>
      <c r="AD232" s="114"/>
      <c r="AE232" s="114"/>
      <c r="AF232" s="114"/>
      <c r="AG232" s="114"/>
      <c r="AH232" s="114"/>
      <c r="AI232" s="114"/>
      <c r="AJ232" s="114"/>
      <c r="AK232" s="114"/>
      <c r="AL232" s="114"/>
      <c r="AM232" s="114"/>
      <c r="AN232" s="114"/>
      <c r="AO232" s="114"/>
      <c r="AP232" s="114"/>
      <c r="AQ232" s="114"/>
      <c r="AR232" s="114"/>
      <c r="AS232" s="114"/>
      <c r="AT232" s="114"/>
      <c r="AU232" s="114"/>
      <c r="AV232" s="114"/>
      <c r="AW232" s="114"/>
      <c r="AX232" s="114"/>
      <c r="AY232" s="114"/>
      <c r="AZ232" s="114"/>
    </row>
    <row r="233" spans="1:52">
      <c r="A233" s="111"/>
      <c r="B233" s="111"/>
      <c r="C233" s="112"/>
      <c r="D233" s="101"/>
      <c r="E233" s="101"/>
      <c r="F233" s="101"/>
      <c r="G233" s="11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14"/>
      <c r="Z233" s="114"/>
      <c r="AA233" s="114"/>
      <c r="AB233" s="114"/>
      <c r="AC233" s="114"/>
      <c r="AD233" s="114"/>
      <c r="AE233" s="114"/>
      <c r="AF233" s="114"/>
      <c r="AG233" s="114"/>
      <c r="AH233" s="114"/>
      <c r="AI233" s="114"/>
      <c r="AJ233" s="114"/>
      <c r="AK233" s="114"/>
      <c r="AL233" s="114"/>
      <c r="AM233" s="114"/>
      <c r="AN233" s="114"/>
      <c r="AO233" s="114"/>
      <c r="AP233" s="114"/>
      <c r="AQ233" s="114"/>
      <c r="AR233" s="114"/>
      <c r="AS233" s="114"/>
      <c r="AT233" s="114"/>
      <c r="AU233" s="114"/>
      <c r="AV233" s="114"/>
      <c r="AW233" s="114"/>
      <c r="AX233" s="114"/>
      <c r="AY233" s="114"/>
      <c r="AZ233" s="114"/>
    </row>
    <row r="234" spans="1:52">
      <c r="A234" s="111"/>
      <c r="B234" s="111"/>
      <c r="C234" s="112"/>
      <c r="D234" s="101"/>
      <c r="E234" s="101"/>
      <c r="F234" s="101"/>
      <c r="G234" s="11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14"/>
      <c r="Z234" s="114"/>
      <c r="AA234" s="114"/>
      <c r="AB234" s="114"/>
      <c r="AC234" s="114"/>
      <c r="AD234" s="114"/>
      <c r="AE234" s="114"/>
      <c r="AF234" s="114"/>
      <c r="AG234" s="114"/>
      <c r="AH234" s="114"/>
      <c r="AI234" s="114"/>
      <c r="AJ234" s="114"/>
      <c r="AK234" s="114"/>
      <c r="AL234" s="114"/>
      <c r="AM234" s="114"/>
      <c r="AN234" s="114"/>
      <c r="AO234" s="114"/>
      <c r="AP234" s="114"/>
      <c r="AQ234" s="114"/>
      <c r="AR234" s="114"/>
      <c r="AS234" s="114"/>
      <c r="AT234" s="114"/>
      <c r="AU234" s="114"/>
      <c r="AV234" s="114"/>
      <c r="AW234" s="114"/>
      <c r="AX234" s="114"/>
      <c r="AY234" s="114"/>
      <c r="AZ234" s="114"/>
    </row>
    <row r="235" spans="1:52">
      <c r="A235" s="111"/>
      <c r="B235" s="111"/>
      <c r="C235" s="112"/>
      <c r="D235" s="101"/>
      <c r="E235" s="101"/>
      <c r="F235" s="101"/>
      <c r="G235" s="111"/>
      <c r="H235" s="101"/>
      <c r="I235" s="101"/>
      <c r="J235" s="101"/>
      <c r="K235" s="101"/>
      <c r="L235" s="101"/>
      <c r="M235" s="101"/>
      <c r="N235" s="101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14"/>
      <c r="Z235" s="114"/>
      <c r="AA235" s="114"/>
      <c r="AB235" s="114"/>
      <c r="AC235" s="114"/>
      <c r="AD235" s="114"/>
      <c r="AE235" s="114"/>
      <c r="AF235" s="114"/>
      <c r="AG235" s="114"/>
      <c r="AH235" s="114"/>
      <c r="AI235" s="114"/>
      <c r="AJ235" s="114"/>
      <c r="AK235" s="114"/>
      <c r="AL235" s="114"/>
      <c r="AM235" s="114"/>
      <c r="AN235" s="114"/>
      <c r="AO235" s="114"/>
      <c r="AP235" s="114"/>
      <c r="AQ235" s="114"/>
      <c r="AR235" s="114"/>
      <c r="AS235" s="114"/>
      <c r="AT235" s="114"/>
      <c r="AU235" s="114"/>
      <c r="AV235" s="114"/>
      <c r="AW235" s="114"/>
      <c r="AX235" s="114"/>
      <c r="AY235" s="114"/>
      <c r="AZ235" s="114"/>
    </row>
    <row r="236" spans="1:52">
      <c r="A236" s="111"/>
      <c r="B236" s="111"/>
      <c r="C236" s="112"/>
      <c r="D236" s="101"/>
      <c r="E236" s="101"/>
      <c r="F236" s="101"/>
      <c r="G236" s="111"/>
      <c r="H236" s="101"/>
      <c r="I236" s="101"/>
      <c r="J236" s="101"/>
      <c r="K236" s="101"/>
      <c r="L236" s="101"/>
      <c r="M236" s="101"/>
      <c r="N236" s="101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14"/>
      <c r="Z236" s="114"/>
      <c r="AA236" s="114"/>
      <c r="AB236" s="114"/>
      <c r="AC236" s="114"/>
      <c r="AD236" s="114"/>
      <c r="AE236" s="114"/>
      <c r="AF236" s="114"/>
      <c r="AG236" s="114"/>
      <c r="AH236" s="114"/>
      <c r="AI236" s="114"/>
      <c r="AJ236" s="114"/>
      <c r="AK236" s="114"/>
      <c r="AL236" s="114"/>
      <c r="AM236" s="114"/>
      <c r="AN236" s="114"/>
      <c r="AO236" s="114"/>
      <c r="AP236" s="114"/>
      <c r="AQ236" s="114"/>
      <c r="AR236" s="114"/>
      <c r="AS236" s="114"/>
      <c r="AT236" s="114"/>
      <c r="AU236" s="114"/>
      <c r="AV236" s="114"/>
      <c r="AW236" s="114"/>
      <c r="AX236" s="114"/>
      <c r="AY236" s="114"/>
      <c r="AZ236" s="114"/>
    </row>
    <row r="237" spans="1:52">
      <c r="A237" s="111"/>
      <c r="B237" s="111"/>
      <c r="C237" s="112"/>
      <c r="D237" s="101"/>
      <c r="E237" s="101"/>
      <c r="F237" s="101"/>
      <c r="G237" s="111"/>
      <c r="H237" s="101"/>
      <c r="I237" s="101"/>
      <c r="J237" s="101"/>
      <c r="K237" s="101"/>
      <c r="L237" s="101"/>
      <c r="M237" s="101"/>
      <c r="N237" s="101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14"/>
      <c r="Z237" s="114"/>
      <c r="AA237" s="114"/>
      <c r="AB237" s="114"/>
      <c r="AC237" s="114"/>
      <c r="AD237" s="114"/>
      <c r="AE237" s="114"/>
      <c r="AF237" s="114"/>
      <c r="AG237" s="114"/>
      <c r="AH237" s="114"/>
      <c r="AI237" s="114"/>
      <c r="AJ237" s="114"/>
      <c r="AK237" s="114"/>
      <c r="AL237" s="114"/>
      <c r="AM237" s="114"/>
      <c r="AN237" s="114"/>
      <c r="AO237" s="114"/>
      <c r="AP237" s="114"/>
      <c r="AQ237" s="114"/>
      <c r="AR237" s="114"/>
      <c r="AS237" s="114"/>
      <c r="AT237" s="114"/>
      <c r="AU237" s="114"/>
      <c r="AV237" s="114"/>
      <c r="AW237" s="114"/>
      <c r="AX237" s="114"/>
      <c r="AY237" s="114"/>
      <c r="AZ237" s="114"/>
    </row>
    <row r="238" spans="1:52">
      <c r="A238" s="111"/>
      <c r="B238" s="111"/>
      <c r="C238" s="112"/>
      <c r="D238" s="101"/>
      <c r="E238" s="101"/>
      <c r="F238" s="101"/>
      <c r="G238" s="111"/>
      <c r="H238" s="101"/>
      <c r="I238" s="101"/>
      <c r="J238" s="101"/>
      <c r="K238" s="101"/>
      <c r="L238" s="101"/>
      <c r="M238" s="101"/>
      <c r="N238" s="101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14"/>
      <c r="Z238" s="114"/>
      <c r="AA238" s="114"/>
      <c r="AB238" s="114"/>
      <c r="AC238" s="114"/>
      <c r="AD238" s="114"/>
      <c r="AE238" s="114"/>
      <c r="AF238" s="114"/>
      <c r="AG238" s="114"/>
      <c r="AH238" s="114"/>
      <c r="AI238" s="114"/>
      <c r="AJ238" s="114"/>
      <c r="AK238" s="114"/>
      <c r="AL238" s="114"/>
      <c r="AM238" s="114"/>
      <c r="AN238" s="114"/>
      <c r="AO238" s="114"/>
      <c r="AP238" s="114"/>
      <c r="AQ238" s="114"/>
      <c r="AR238" s="114"/>
      <c r="AS238" s="114"/>
      <c r="AT238" s="114"/>
      <c r="AU238" s="114"/>
      <c r="AV238" s="114"/>
      <c r="AW238" s="114"/>
      <c r="AX238" s="114"/>
      <c r="AY238" s="114"/>
      <c r="AZ238" s="114"/>
    </row>
    <row r="239" spans="1:52">
      <c r="A239" s="111"/>
      <c r="B239" s="111"/>
      <c r="C239" s="112"/>
      <c r="D239" s="101"/>
      <c r="E239" s="101"/>
      <c r="F239" s="101"/>
      <c r="G239" s="111"/>
      <c r="H239" s="101"/>
      <c r="I239" s="101"/>
      <c r="J239" s="101"/>
      <c r="K239" s="101"/>
      <c r="L239" s="101"/>
      <c r="M239" s="101"/>
      <c r="N239" s="101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  <c r="Y239" s="114"/>
      <c r="Z239" s="114"/>
      <c r="AA239" s="114"/>
      <c r="AB239" s="114"/>
      <c r="AC239" s="114"/>
      <c r="AD239" s="114"/>
      <c r="AE239" s="114"/>
      <c r="AF239" s="114"/>
      <c r="AG239" s="114"/>
      <c r="AH239" s="114"/>
      <c r="AI239" s="114"/>
      <c r="AJ239" s="114"/>
      <c r="AK239" s="114"/>
      <c r="AL239" s="114"/>
      <c r="AM239" s="114"/>
      <c r="AN239" s="114"/>
      <c r="AO239" s="114"/>
      <c r="AP239" s="114"/>
      <c r="AQ239" s="114"/>
      <c r="AR239" s="114"/>
      <c r="AS239" s="114"/>
      <c r="AT239" s="114"/>
      <c r="AU239" s="114"/>
      <c r="AV239" s="114"/>
      <c r="AW239" s="114"/>
      <c r="AX239" s="114"/>
      <c r="AY239" s="114"/>
      <c r="AZ239" s="114"/>
    </row>
    <row r="240" spans="1:52">
      <c r="A240" s="111"/>
      <c r="B240" s="111"/>
      <c r="C240" s="112"/>
      <c r="D240" s="101"/>
      <c r="E240" s="101"/>
      <c r="F240" s="101"/>
      <c r="G240" s="111"/>
      <c r="H240" s="101"/>
      <c r="I240" s="101"/>
      <c r="J240" s="101"/>
      <c r="K240" s="101"/>
      <c r="L240" s="101"/>
      <c r="M240" s="101"/>
      <c r="N240" s="101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14"/>
      <c r="Z240" s="114"/>
      <c r="AA240" s="114"/>
      <c r="AB240" s="114"/>
      <c r="AC240" s="114"/>
      <c r="AD240" s="114"/>
      <c r="AE240" s="114"/>
      <c r="AF240" s="114"/>
      <c r="AG240" s="114"/>
      <c r="AH240" s="114"/>
      <c r="AI240" s="114"/>
      <c r="AJ240" s="114"/>
      <c r="AK240" s="114"/>
      <c r="AL240" s="114"/>
      <c r="AM240" s="114"/>
      <c r="AN240" s="114"/>
      <c r="AO240" s="114"/>
      <c r="AP240" s="114"/>
      <c r="AQ240" s="114"/>
      <c r="AR240" s="114"/>
      <c r="AS240" s="114"/>
      <c r="AT240" s="114"/>
      <c r="AU240" s="114"/>
      <c r="AV240" s="114"/>
      <c r="AW240" s="114"/>
      <c r="AX240" s="114"/>
      <c r="AY240" s="114"/>
      <c r="AZ240" s="114"/>
    </row>
    <row r="241" spans="1:52">
      <c r="A241" s="111"/>
      <c r="B241" s="111"/>
      <c r="C241" s="112"/>
      <c r="D241" s="101"/>
      <c r="E241" s="101"/>
      <c r="F241" s="101"/>
      <c r="G241" s="111"/>
      <c r="H241" s="101"/>
      <c r="I241" s="101"/>
      <c r="J241" s="101"/>
      <c r="K241" s="101"/>
      <c r="L241" s="101"/>
      <c r="M241" s="101"/>
      <c r="N241" s="101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  <c r="Y241" s="114"/>
      <c r="Z241" s="114"/>
      <c r="AA241" s="114"/>
      <c r="AB241" s="114"/>
      <c r="AC241" s="114"/>
      <c r="AD241" s="114"/>
      <c r="AE241" s="114"/>
      <c r="AF241" s="114"/>
      <c r="AG241" s="114"/>
      <c r="AH241" s="114"/>
      <c r="AI241" s="114"/>
      <c r="AJ241" s="114"/>
      <c r="AK241" s="114"/>
      <c r="AL241" s="114"/>
      <c r="AM241" s="114"/>
      <c r="AN241" s="114"/>
      <c r="AO241" s="114"/>
      <c r="AP241" s="114"/>
      <c r="AQ241" s="114"/>
      <c r="AR241" s="114"/>
      <c r="AS241" s="114"/>
      <c r="AT241" s="114"/>
      <c r="AU241" s="114"/>
      <c r="AV241" s="114"/>
      <c r="AW241" s="114"/>
      <c r="AX241" s="114"/>
      <c r="AY241" s="114"/>
      <c r="AZ241" s="114"/>
    </row>
    <row r="242" spans="1:52">
      <c r="A242" s="111"/>
      <c r="B242" s="111"/>
      <c r="C242" s="112"/>
      <c r="D242" s="101"/>
      <c r="E242" s="101"/>
      <c r="F242" s="101"/>
      <c r="G242" s="111"/>
      <c r="H242" s="101"/>
      <c r="I242" s="101"/>
      <c r="J242" s="101"/>
      <c r="K242" s="101"/>
      <c r="L242" s="101"/>
      <c r="M242" s="101"/>
      <c r="N242" s="101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14"/>
      <c r="Z242" s="114"/>
      <c r="AA242" s="114"/>
      <c r="AB242" s="114"/>
      <c r="AC242" s="114"/>
      <c r="AD242" s="114"/>
      <c r="AE242" s="114"/>
      <c r="AF242" s="114"/>
      <c r="AG242" s="114"/>
      <c r="AH242" s="114"/>
      <c r="AI242" s="114"/>
      <c r="AJ242" s="114"/>
      <c r="AK242" s="114"/>
      <c r="AL242" s="114"/>
      <c r="AM242" s="114"/>
      <c r="AN242" s="114"/>
      <c r="AO242" s="114"/>
      <c r="AP242" s="114"/>
      <c r="AQ242" s="114"/>
      <c r="AR242" s="114"/>
      <c r="AS242" s="114"/>
      <c r="AT242" s="114"/>
      <c r="AU242" s="114"/>
      <c r="AV242" s="114"/>
      <c r="AW242" s="114"/>
      <c r="AX242" s="114"/>
      <c r="AY242" s="114"/>
      <c r="AZ242" s="114"/>
    </row>
    <row r="243" spans="1:52">
      <c r="A243" s="111"/>
      <c r="B243" s="111"/>
      <c r="C243" s="112"/>
      <c r="D243" s="101"/>
      <c r="E243" s="101"/>
      <c r="F243" s="101"/>
      <c r="G243" s="111"/>
      <c r="H243" s="101"/>
      <c r="I243" s="101"/>
      <c r="J243" s="101"/>
      <c r="K243" s="101"/>
      <c r="L243" s="101"/>
      <c r="M243" s="101"/>
      <c r="N243" s="101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14"/>
      <c r="Z243" s="114"/>
      <c r="AA243" s="114"/>
      <c r="AB243" s="114"/>
      <c r="AC243" s="114"/>
      <c r="AD243" s="114"/>
      <c r="AE243" s="114"/>
      <c r="AF243" s="114"/>
      <c r="AG243" s="114"/>
      <c r="AH243" s="114"/>
      <c r="AI243" s="114"/>
      <c r="AJ243" s="114"/>
      <c r="AK243" s="114"/>
      <c r="AL243" s="114"/>
      <c r="AM243" s="114"/>
      <c r="AN243" s="114"/>
      <c r="AO243" s="114"/>
      <c r="AP243" s="114"/>
      <c r="AQ243" s="114"/>
      <c r="AR243" s="114"/>
      <c r="AS243" s="114"/>
      <c r="AT243" s="114"/>
      <c r="AU243" s="114"/>
      <c r="AV243" s="114"/>
      <c r="AW243" s="114"/>
      <c r="AX243" s="114"/>
      <c r="AY243" s="114"/>
      <c r="AZ243" s="114"/>
    </row>
    <row r="244" spans="1:52">
      <c r="A244" s="111"/>
      <c r="B244" s="111"/>
      <c r="C244" s="112"/>
      <c r="D244" s="101"/>
      <c r="E244" s="101"/>
      <c r="F244" s="101"/>
      <c r="G244" s="111"/>
      <c r="H244" s="101"/>
      <c r="I244" s="101"/>
      <c r="J244" s="101"/>
      <c r="K244" s="101"/>
      <c r="L244" s="101"/>
      <c r="M244" s="101"/>
      <c r="N244" s="101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14"/>
      <c r="Z244" s="114"/>
      <c r="AA244" s="114"/>
      <c r="AB244" s="114"/>
      <c r="AC244" s="114"/>
      <c r="AD244" s="114"/>
      <c r="AE244" s="114"/>
      <c r="AF244" s="114"/>
      <c r="AG244" s="114"/>
      <c r="AH244" s="114"/>
      <c r="AI244" s="114"/>
      <c r="AJ244" s="114"/>
      <c r="AK244" s="114"/>
      <c r="AL244" s="114"/>
      <c r="AM244" s="114"/>
      <c r="AN244" s="114"/>
      <c r="AO244" s="114"/>
      <c r="AP244" s="114"/>
      <c r="AQ244" s="114"/>
      <c r="AR244" s="114"/>
      <c r="AS244" s="114"/>
      <c r="AT244" s="114"/>
      <c r="AU244" s="114"/>
      <c r="AV244" s="114"/>
      <c r="AW244" s="114"/>
      <c r="AX244" s="114"/>
      <c r="AY244" s="114"/>
      <c r="AZ244" s="114"/>
    </row>
    <row r="245" spans="1:52">
      <c r="A245" s="111"/>
      <c r="B245" s="111"/>
      <c r="C245" s="112"/>
      <c r="D245" s="101"/>
      <c r="E245" s="101"/>
      <c r="F245" s="101"/>
      <c r="G245" s="111"/>
      <c r="H245" s="101"/>
      <c r="I245" s="101"/>
      <c r="J245" s="101"/>
      <c r="K245" s="101"/>
      <c r="L245" s="101"/>
      <c r="M245" s="101"/>
      <c r="N245" s="101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14"/>
      <c r="Z245" s="114"/>
      <c r="AA245" s="114"/>
      <c r="AB245" s="114"/>
      <c r="AC245" s="114"/>
      <c r="AD245" s="114"/>
      <c r="AE245" s="114"/>
      <c r="AF245" s="114"/>
      <c r="AG245" s="114"/>
      <c r="AH245" s="114"/>
      <c r="AI245" s="114"/>
      <c r="AJ245" s="114"/>
      <c r="AK245" s="114"/>
      <c r="AL245" s="114"/>
      <c r="AM245" s="114"/>
      <c r="AN245" s="114"/>
      <c r="AO245" s="114"/>
      <c r="AP245" s="114"/>
      <c r="AQ245" s="114"/>
      <c r="AR245" s="114"/>
      <c r="AS245" s="114"/>
      <c r="AT245" s="114"/>
      <c r="AU245" s="114"/>
      <c r="AV245" s="114"/>
      <c r="AW245" s="114"/>
      <c r="AX245" s="114"/>
      <c r="AY245" s="114"/>
      <c r="AZ245" s="114"/>
    </row>
    <row r="246" spans="1:52">
      <c r="A246" s="111"/>
      <c r="B246" s="111"/>
      <c r="C246" s="112"/>
      <c r="D246" s="101"/>
      <c r="E246" s="101"/>
      <c r="F246" s="101"/>
      <c r="G246" s="111"/>
      <c r="H246" s="101"/>
      <c r="I246" s="101"/>
      <c r="J246" s="101"/>
      <c r="K246" s="101"/>
      <c r="L246" s="101"/>
      <c r="M246" s="101"/>
      <c r="N246" s="101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14"/>
      <c r="Z246" s="114"/>
      <c r="AA246" s="114"/>
      <c r="AB246" s="114"/>
      <c r="AC246" s="114"/>
      <c r="AD246" s="114"/>
      <c r="AE246" s="114"/>
      <c r="AF246" s="114"/>
      <c r="AG246" s="114"/>
      <c r="AH246" s="114"/>
      <c r="AI246" s="114"/>
      <c r="AJ246" s="114"/>
      <c r="AK246" s="114"/>
      <c r="AL246" s="114"/>
      <c r="AM246" s="114"/>
      <c r="AN246" s="114"/>
      <c r="AO246" s="114"/>
      <c r="AP246" s="114"/>
      <c r="AQ246" s="114"/>
      <c r="AR246" s="114"/>
      <c r="AS246" s="114"/>
      <c r="AT246" s="114"/>
      <c r="AU246" s="114"/>
      <c r="AV246" s="114"/>
      <c r="AW246" s="114"/>
      <c r="AX246" s="114"/>
      <c r="AY246" s="114"/>
      <c r="AZ246" s="114"/>
    </row>
    <row r="247" spans="1:52">
      <c r="A247" s="111"/>
      <c r="B247" s="111"/>
      <c r="C247" s="112"/>
      <c r="D247" s="101"/>
      <c r="E247" s="101"/>
      <c r="F247" s="101"/>
      <c r="G247" s="111"/>
      <c r="H247" s="101"/>
      <c r="I247" s="101"/>
      <c r="J247" s="101"/>
      <c r="K247" s="101"/>
      <c r="L247" s="101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14"/>
      <c r="Z247" s="114"/>
      <c r="AA247" s="114"/>
      <c r="AB247" s="114"/>
      <c r="AC247" s="114"/>
      <c r="AD247" s="114"/>
      <c r="AE247" s="114"/>
      <c r="AF247" s="114"/>
      <c r="AG247" s="114"/>
      <c r="AH247" s="114"/>
      <c r="AI247" s="114"/>
      <c r="AJ247" s="114"/>
      <c r="AK247" s="114"/>
      <c r="AL247" s="114"/>
      <c r="AM247" s="114"/>
      <c r="AN247" s="114"/>
      <c r="AO247" s="114"/>
      <c r="AP247" s="114"/>
      <c r="AQ247" s="114"/>
      <c r="AR247" s="114"/>
      <c r="AS247" s="114"/>
      <c r="AT247" s="114"/>
      <c r="AU247" s="114"/>
      <c r="AV247" s="114"/>
      <c r="AW247" s="114"/>
      <c r="AX247" s="114"/>
      <c r="AY247" s="114"/>
      <c r="AZ247" s="114"/>
    </row>
    <row r="248" spans="1:52">
      <c r="A248" s="111"/>
      <c r="B248" s="111"/>
      <c r="C248" s="112"/>
      <c r="D248" s="101"/>
      <c r="E248" s="101"/>
      <c r="F248" s="101"/>
      <c r="G248" s="111"/>
      <c r="H248" s="101"/>
      <c r="I248" s="101"/>
      <c r="J248" s="101"/>
      <c r="K248" s="101"/>
      <c r="L248" s="101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14"/>
      <c r="Z248" s="114"/>
      <c r="AA248" s="114"/>
      <c r="AB248" s="114"/>
      <c r="AC248" s="114"/>
      <c r="AD248" s="114"/>
      <c r="AE248" s="114"/>
      <c r="AF248" s="114"/>
      <c r="AG248" s="114"/>
      <c r="AH248" s="114"/>
      <c r="AI248" s="114"/>
      <c r="AJ248" s="114"/>
      <c r="AK248" s="114"/>
      <c r="AL248" s="114"/>
      <c r="AM248" s="114"/>
      <c r="AN248" s="114"/>
      <c r="AO248" s="114"/>
      <c r="AP248" s="114"/>
      <c r="AQ248" s="114"/>
      <c r="AR248" s="114"/>
      <c r="AS248" s="114"/>
      <c r="AT248" s="114"/>
      <c r="AU248" s="114"/>
      <c r="AV248" s="114"/>
      <c r="AW248" s="114"/>
      <c r="AX248" s="114"/>
      <c r="AY248" s="114"/>
      <c r="AZ248" s="114"/>
    </row>
    <row r="249" spans="1:52">
      <c r="A249" s="111"/>
      <c r="B249" s="111"/>
      <c r="C249" s="112"/>
      <c r="D249" s="101"/>
      <c r="E249" s="101"/>
      <c r="F249" s="101"/>
      <c r="G249" s="111"/>
      <c r="H249" s="101"/>
      <c r="I249" s="101"/>
      <c r="J249" s="101"/>
      <c r="K249" s="101"/>
      <c r="L249" s="101"/>
      <c r="M249" s="101"/>
      <c r="N249" s="101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14"/>
      <c r="Z249" s="114"/>
      <c r="AA249" s="114"/>
      <c r="AB249" s="114"/>
      <c r="AC249" s="114"/>
      <c r="AD249" s="114"/>
      <c r="AE249" s="114"/>
      <c r="AF249" s="114"/>
      <c r="AG249" s="114"/>
      <c r="AH249" s="114"/>
      <c r="AI249" s="114"/>
      <c r="AJ249" s="114"/>
      <c r="AK249" s="114"/>
      <c r="AL249" s="114"/>
      <c r="AM249" s="114"/>
      <c r="AN249" s="114"/>
      <c r="AO249" s="114"/>
      <c r="AP249" s="114"/>
      <c r="AQ249" s="114"/>
      <c r="AR249" s="114"/>
      <c r="AS249" s="114"/>
      <c r="AT249" s="114"/>
      <c r="AU249" s="114"/>
      <c r="AV249" s="114"/>
      <c r="AW249" s="114"/>
      <c r="AX249" s="114"/>
      <c r="AY249" s="114"/>
      <c r="AZ249" s="114"/>
    </row>
    <row r="250" spans="1:52">
      <c r="A250" s="111"/>
      <c r="B250" s="111"/>
      <c r="C250" s="112"/>
      <c r="D250" s="101"/>
      <c r="E250" s="101"/>
      <c r="F250" s="101"/>
      <c r="G250" s="111"/>
      <c r="H250" s="101"/>
      <c r="I250" s="101"/>
      <c r="J250" s="101"/>
      <c r="K250" s="101"/>
      <c r="L250" s="101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14"/>
      <c r="Z250" s="114"/>
      <c r="AA250" s="114"/>
      <c r="AB250" s="114"/>
      <c r="AC250" s="114"/>
      <c r="AD250" s="114"/>
      <c r="AE250" s="114"/>
      <c r="AF250" s="114"/>
      <c r="AG250" s="114"/>
      <c r="AH250" s="114"/>
      <c r="AI250" s="114"/>
      <c r="AJ250" s="114"/>
      <c r="AK250" s="114"/>
      <c r="AL250" s="114"/>
      <c r="AM250" s="114"/>
      <c r="AN250" s="114"/>
      <c r="AO250" s="114"/>
      <c r="AP250" s="114"/>
      <c r="AQ250" s="114"/>
      <c r="AR250" s="114"/>
      <c r="AS250" s="114"/>
      <c r="AT250" s="114"/>
      <c r="AU250" s="114"/>
      <c r="AV250" s="114"/>
      <c r="AW250" s="114"/>
      <c r="AX250" s="114"/>
      <c r="AY250" s="114"/>
      <c r="AZ250" s="114"/>
    </row>
    <row r="251" spans="1:52">
      <c r="A251" s="111"/>
      <c r="B251" s="111"/>
      <c r="C251" s="112"/>
      <c r="D251" s="101"/>
      <c r="E251" s="101"/>
      <c r="F251" s="101"/>
      <c r="G251" s="111"/>
      <c r="H251" s="101"/>
      <c r="I251" s="101"/>
      <c r="J251" s="101"/>
      <c r="K251" s="101"/>
      <c r="L251" s="101"/>
      <c r="M251" s="101"/>
      <c r="N251" s="101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14"/>
      <c r="Z251" s="114"/>
      <c r="AA251" s="114"/>
      <c r="AB251" s="114"/>
      <c r="AC251" s="114"/>
      <c r="AD251" s="114"/>
      <c r="AE251" s="114"/>
      <c r="AF251" s="114"/>
      <c r="AG251" s="114"/>
      <c r="AH251" s="114"/>
      <c r="AI251" s="114"/>
      <c r="AJ251" s="114"/>
      <c r="AK251" s="114"/>
      <c r="AL251" s="114"/>
      <c r="AM251" s="114"/>
      <c r="AN251" s="114"/>
      <c r="AO251" s="114"/>
      <c r="AP251" s="114"/>
      <c r="AQ251" s="114"/>
      <c r="AR251" s="114"/>
      <c r="AS251" s="114"/>
      <c r="AT251" s="114"/>
      <c r="AU251" s="114"/>
      <c r="AV251" s="114"/>
      <c r="AW251" s="114"/>
      <c r="AX251" s="114"/>
      <c r="AY251" s="114"/>
      <c r="AZ251" s="114"/>
    </row>
    <row r="252" spans="1:52">
      <c r="A252" s="111"/>
      <c r="B252" s="111"/>
      <c r="C252" s="112"/>
      <c r="D252" s="101"/>
      <c r="E252" s="101"/>
      <c r="F252" s="101"/>
      <c r="G252" s="111"/>
      <c r="H252" s="101"/>
      <c r="I252" s="101"/>
      <c r="J252" s="101"/>
      <c r="K252" s="101"/>
      <c r="L252" s="101"/>
      <c r="M252" s="101"/>
      <c r="N252" s="101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14"/>
      <c r="Z252" s="114"/>
      <c r="AA252" s="114"/>
      <c r="AB252" s="114"/>
      <c r="AC252" s="114"/>
      <c r="AD252" s="114"/>
      <c r="AE252" s="114"/>
      <c r="AF252" s="114"/>
      <c r="AG252" s="114"/>
      <c r="AH252" s="114"/>
      <c r="AI252" s="114"/>
      <c r="AJ252" s="114"/>
      <c r="AK252" s="114"/>
      <c r="AL252" s="114"/>
      <c r="AM252" s="114"/>
      <c r="AN252" s="114"/>
      <c r="AO252" s="114"/>
      <c r="AP252" s="114"/>
      <c r="AQ252" s="114"/>
      <c r="AR252" s="114"/>
      <c r="AS252" s="114"/>
      <c r="AT252" s="114"/>
      <c r="AU252" s="114"/>
      <c r="AV252" s="114"/>
      <c r="AW252" s="114"/>
      <c r="AX252" s="114"/>
      <c r="AY252" s="114"/>
      <c r="AZ252" s="114"/>
    </row>
    <row r="253" spans="1:52">
      <c r="A253" s="111"/>
      <c r="B253" s="111"/>
      <c r="C253" s="112"/>
      <c r="D253" s="101"/>
      <c r="E253" s="101"/>
      <c r="F253" s="101"/>
      <c r="G253" s="111"/>
      <c r="H253" s="101"/>
      <c r="I253" s="101"/>
      <c r="J253" s="101"/>
      <c r="K253" s="101"/>
      <c r="L253" s="101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14"/>
      <c r="Z253" s="114"/>
      <c r="AA253" s="114"/>
      <c r="AB253" s="114"/>
      <c r="AC253" s="114"/>
      <c r="AD253" s="114"/>
      <c r="AE253" s="114"/>
      <c r="AF253" s="114"/>
      <c r="AG253" s="114"/>
      <c r="AH253" s="114"/>
      <c r="AI253" s="114"/>
      <c r="AJ253" s="114"/>
      <c r="AK253" s="114"/>
      <c r="AL253" s="114"/>
      <c r="AM253" s="114"/>
      <c r="AN253" s="114"/>
      <c r="AO253" s="114"/>
      <c r="AP253" s="114"/>
      <c r="AQ253" s="114"/>
      <c r="AR253" s="114"/>
      <c r="AS253" s="114"/>
      <c r="AT253" s="114"/>
      <c r="AU253" s="114"/>
      <c r="AV253" s="114"/>
      <c r="AW253" s="114"/>
      <c r="AX253" s="114"/>
      <c r="AY253" s="114"/>
      <c r="AZ253" s="114"/>
    </row>
    <row r="254" spans="1:52">
      <c r="A254" s="111"/>
      <c r="B254" s="111"/>
      <c r="C254" s="112"/>
      <c r="D254" s="101"/>
      <c r="E254" s="101"/>
      <c r="F254" s="101"/>
      <c r="G254" s="111"/>
      <c r="H254" s="101"/>
      <c r="I254" s="101"/>
      <c r="J254" s="101"/>
      <c r="K254" s="101"/>
      <c r="L254" s="101"/>
      <c r="M254" s="101"/>
      <c r="N254" s="101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14"/>
      <c r="Z254" s="114"/>
      <c r="AA254" s="114"/>
      <c r="AB254" s="114"/>
      <c r="AC254" s="114"/>
      <c r="AD254" s="114"/>
      <c r="AE254" s="114"/>
      <c r="AF254" s="114"/>
      <c r="AG254" s="114"/>
      <c r="AH254" s="114"/>
      <c r="AI254" s="114"/>
      <c r="AJ254" s="114"/>
      <c r="AK254" s="114"/>
      <c r="AL254" s="114"/>
      <c r="AM254" s="114"/>
      <c r="AN254" s="114"/>
      <c r="AO254" s="114"/>
      <c r="AP254" s="114"/>
      <c r="AQ254" s="114"/>
      <c r="AR254" s="114"/>
      <c r="AS254" s="114"/>
      <c r="AT254" s="114"/>
      <c r="AU254" s="114"/>
      <c r="AV254" s="114"/>
      <c r="AW254" s="114"/>
      <c r="AX254" s="114"/>
      <c r="AY254" s="114"/>
      <c r="AZ254" s="114"/>
    </row>
    <row r="255" spans="1:52">
      <c r="A255" s="111"/>
      <c r="B255" s="111"/>
      <c r="C255" s="112"/>
      <c r="D255" s="101"/>
      <c r="E255" s="101"/>
      <c r="F255" s="101"/>
      <c r="G255" s="111"/>
      <c r="H255" s="101"/>
      <c r="I255" s="101"/>
      <c r="J255" s="101"/>
      <c r="K255" s="101"/>
      <c r="L255" s="101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14"/>
      <c r="Z255" s="114"/>
      <c r="AA255" s="114"/>
      <c r="AB255" s="114"/>
      <c r="AC255" s="114"/>
      <c r="AD255" s="114"/>
      <c r="AE255" s="114"/>
      <c r="AF255" s="114"/>
      <c r="AG255" s="114"/>
      <c r="AH255" s="114"/>
      <c r="AI255" s="114"/>
      <c r="AJ255" s="114"/>
      <c r="AK255" s="114"/>
      <c r="AL255" s="114"/>
      <c r="AM255" s="114"/>
      <c r="AN255" s="114"/>
      <c r="AO255" s="114"/>
      <c r="AP255" s="114"/>
      <c r="AQ255" s="114"/>
      <c r="AR255" s="114"/>
      <c r="AS255" s="114"/>
      <c r="AT255" s="114"/>
      <c r="AU255" s="114"/>
      <c r="AV255" s="114"/>
      <c r="AW255" s="114"/>
      <c r="AX255" s="114"/>
      <c r="AY255" s="114"/>
      <c r="AZ255" s="114"/>
    </row>
    <row r="256" spans="1:52">
      <c r="A256" s="111"/>
      <c r="B256" s="111"/>
      <c r="C256" s="112"/>
      <c r="D256" s="101"/>
      <c r="E256" s="101"/>
      <c r="F256" s="101"/>
      <c r="G256" s="11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14"/>
      <c r="Z256" s="114"/>
      <c r="AA256" s="114"/>
      <c r="AB256" s="114"/>
      <c r="AC256" s="114"/>
      <c r="AD256" s="114"/>
      <c r="AE256" s="114"/>
      <c r="AF256" s="114"/>
      <c r="AG256" s="114"/>
      <c r="AH256" s="114"/>
      <c r="AI256" s="114"/>
      <c r="AJ256" s="114"/>
      <c r="AK256" s="114"/>
      <c r="AL256" s="114"/>
      <c r="AM256" s="114"/>
      <c r="AN256" s="114"/>
      <c r="AO256" s="114"/>
      <c r="AP256" s="114"/>
      <c r="AQ256" s="114"/>
      <c r="AR256" s="114"/>
      <c r="AS256" s="114"/>
      <c r="AT256" s="114"/>
      <c r="AU256" s="114"/>
      <c r="AV256" s="114"/>
      <c r="AW256" s="114"/>
      <c r="AX256" s="114"/>
      <c r="AY256" s="114"/>
      <c r="AZ256" s="114"/>
    </row>
    <row r="257" spans="1:52">
      <c r="A257" s="111"/>
      <c r="B257" s="111"/>
      <c r="C257" s="112"/>
      <c r="D257" s="101"/>
      <c r="E257" s="101"/>
      <c r="F257" s="101"/>
      <c r="G257" s="11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14"/>
      <c r="Z257" s="114"/>
      <c r="AA257" s="114"/>
      <c r="AB257" s="114"/>
      <c r="AC257" s="114"/>
      <c r="AD257" s="114"/>
      <c r="AE257" s="114"/>
      <c r="AF257" s="114"/>
      <c r="AG257" s="114"/>
      <c r="AH257" s="114"/>
      <c r="AI257" s="114"/>
      <c r="AJ257" s="114"/>
      <c r="AK257" s="114"/>
      <c r="AL257" s="114"/>
      <c r="AM257" s="114"/>
      <c r="AN257" s="114"/>
      <c r="AO257" s="114"/>
      <c r="AP257" s="114"/>
      <c r="AQ257" s="114"/>
      <c r="AR257" s="114"/>
      <c r="AS257" s="114"/>
      <c r="AT257" s="114"/>
      <c r="AU257" s="114"/>
      <c r="AV257" s="114"/>
      <c r="AW257" s="114"/>
      <c r="AX257" s="114"/>
      <c r="AY257" s="114"/>
      <c r="AZ257" s="114"/>
    </row>
    <row r="258" spans="1:52">
      <c r="A258" s="111"/>
      <c r="B258" s="111"/>
      <c r="C258" s="112"/>
      <c r="D258" s="101"/>
      <c r="E258" s="101"/>
      <c r="F258" s="101"/>
      <c r="G258" s="111"/>
      <c r="H258" s="101"/>
      <c r="I258" s="101"/>
      <c r="J258" s="101"/>
      <c r="K258" s="101"/>
      <c r="L258" s="101"/>
      <c r="M258" s="101"/>
      <c r="N258" s="101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14"/>
      <c r="Z258" s="114"/>
      <c r="AA258" s="114"/>
      <c r="AB258" s="114"/>
      <c r="AC258" s="114"/>
      <c r="AD258" s="114"/>
      <c r="AE258" s="114"/>
      <c r="AF258" s="114"/>
      <c r="AG258" s="114"/>
      <c r="AH258" s="114"/>
      <c r="AI258" s="114"/>
      <c r="AJ258" s="114"/>
      <c r="AK258" s="114"/>
      <c r="AL258" s="114"/>
      <c r="AM258" s="114"/>
      <c r="AN258" s="114"/>
      <c r="AO258" s="114"/>
      <c r="AP258" s="114"/>
      <c r="AQ258" s="114"/>
      <c r="AR258" s="114"/>
      <c r="AS258" s="114"/>
      <c r="AT258" s="114"/>
      <c r="AU258" s="114"/>
      <c r="AV258" s="114"/>
      <c r="AW258" s="114"/>
      <c r="AX258" s="114"/>
      <c r="AY258" s="114"/>
      <c r="AZ258" s="114"/>
    </row>
    <row r="259" spans="1:52">
      <c r="A259" s="111"/>
      <c r="B259" s="111"/>
      <c r="C259" s="112"/>
      <c r="D259" s="101"/>
      <c r="E259" s="101"/>
      <c r="F259" s="101"/>
      <c r="G259" s="111"/>
      <c r="H259" s="101"/>
      <c r="I259" s="101"/>
      <c r="J259" s="101"/>
      <c r="K259" s="101"/>
      <c r="L259" s="101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14"/>
      <c r="Z259" s="114"/>
      <c r="AA259" s="114"/>
      <c r="AB259" s="114"/>
      <c r="AC259" s="114"/>
      <c r="AD259" s="114"/>
      <c r="AE259" s="114"/>
      <c r="AF259" s="114"/>
      <c r="AG259" s="114"/>
      <c r="AH259" s="114"/>
      <c r="AI259" s="114"/>
      <c r="AJ259" s="114"/>
      <c r="AK259" s="114"/>
      <c r="AL259" s="114"/>
      <c r="AM259" s="114"/>
      <c r="AN259" s="114"/>
      <c r="AO259" s="114"/>
      <c r="AP259" s="114"/>
      <c r="AQ259" s="114"/>
      <c r="AR259" s="114"/>
      <c r="AS259" s="114"/>
      <c r="AT259" s="114"/>
      <c r="AU259" s="114"/>
      <c r="AV259" s="114"/>
      <c r="AW259" s="114"/>
      <c r="AX259" s="114"/>
      <c r="AY259" s="114"/>
      <c r="AZ259" s="114"/>
    </row>
    <row r="260" spans="1:52">
      <c r="A260" s="111"/>
      <c r="B260" s="111"/>
      <c r="C260" s="112"/>
      <c r="D260" s="101"/>
      <c r="E260" s="101"/>
      <c r="F260" s="101"/>
      <c r="G260" s="11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14"/>
      <c r="Z260" s="114"/>
      <c r="AA260" s="114"/>
      <c r="AB260" s="114"/>
      <c r="AC260" s="114"/>
      <c r="AD260" s="114"/>
      <c r="AE260" s="114"/>
      <c r="AF260" s="114"/>
      <c r="AG260" s="114"/>
      <c r="AH260" s="114"/>
      <c r="AI260" s="114"/>
      <c r="AJ260" s="114"/>
      <c r="AK260" s="114"/>
      <c r="AL260" s="114"/>
      <c r="AM260" s="114"/>
      <c r="AN260" s="114"/>
      <c r="AO260" s="114"/>
      <c r="AP260" s="114"/>
      <c r="AQ260" s="114"/>
      <c r="AR260" s="114"/>
      <c r="AS260" s="114"/>
      <c r="AT260" s="114"/>
      <c r="AU260" s="114"/>
      <c r="AV260" s="114"/>
      <c r="AW260" s="114"/>
      <c r="AX260" s="114"/>
      <c r="AY260" s="114"/>
      <c r="AZ260" s="114"/>
    </row>
    <row r="261" spans="1:52">
      <c r="A261" s="111"/>
      <c r="B261" s="111"/>
      <c r="C261" s="112"/>
      <c r="D261" s="101"/>
      <c r="E261" s="101"/>
      <c r="F261" s="101"/>
      <c r="G261" s="111"/>
      <c r="H261" s="101"/>
      <c r="I261" s="101"/>
      <c r="J261" s="101"/>
      <c r="K261" s="101"/>
      <c r="L261" s="101"/>
      <c r="M261" s="101"/>
      <c r="N261" s="101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14"/>
      <c r="Z261" s="114"/>
      <c r="AA261" s="114"/>
      <c r="AB261" s="114"/>
      <c r="AC261" s="114"/>
      <c r="AD261" s="114"/>
      <c r="AE261" s="114"/>
      <c r="AF261" s="114"/>
      <c r="AG261" s="114"/>
      <c r="AH261" s="114"/>
      <c r="AI261" s="114"/>
      <c r="AJ261" s="114"/>
      <c r="AK261" s="114"/>
      <c r="AL261" s="114"/>
      <c r="AM261" s="114"/>
      <c r="AN261" s="114"/>
      <c r="AO261" s="114"/>
      <c r="AP261" s="114"/>
      <c r="AQ261" s="114"/>
      <c r="AR261" s="114"/>
      <c r="AS261" s="114"/>
      <c r="AT261" s="114"/>
      <c r="AU261" s="114"/>
      <c r="AV261" s="114"/>
      <c r="AW261" s="114"/>
      <c r="AX261" s="114"/>
      <c r="AY261" s="114"/>
      <c r="AZ261" s="114"/>
    </row>
    <row r="262" spans="1:52">
      <c r="A262" s="111"/>
      <c r="B262" s="111"/>
      <c r="C262" s="112"/>
      <c r="D262" s="101"/>
      <c r="E262" s="101"/>
      <c r="F262" s="101"/>
      <c r="G262" s="111"/>
      <c r="H262" s="101"/>
      <c r="I262" s="101"/>
      <c r="J262" s="101"/>
      <c r="K262" s="101"/>
      <c r="L262" s="101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14"/>
      <c r="Z262" s="114"/>
      <c r="AA262" s="114"/>
      <c r="AB262" s="114"/>
      <c r="AC262" s="114"/>
      <c r="AD262" s="114"/>
      <c r="AE262" s="114"/>
      <c r="AF262" s="114"/>
      <c r="AG262" s="114"/>
      <c r="AH262" s="114"/>
      <c r="AI262" s="114"/>
      <c r="AJ262" s="114"/>
      <c r="AK262" s="114"/>
      <c r="AL262" s="114"/>
      <c r="AM262" s="114"/>
      <c r="AN262" s="114"/>
      <c r="AO262" s="114"/>
      <c r="AP262" s="114"/>
      <c r="AQ262" s="114"/>
      <c r="AR262" s="114"/>
      <c r="AS262" s="114"/>
      <c r="AT262" s="114"/>
      <c r="AU262" s="114"/>
      <c r="AV262" s="114"/>
      <c r="AW262" s="114"/>
      <c r="AX262" s="114"/>
      <c r="AY262" s="114"/>
      <c r="AZ262" s="114"/>
    </row>
    <row r="263" spans="1:52">
      <c r="A263" s="111"/>
      <c r="B263" s="111"/>
      <c r="C263" s="112"/>
      <c r="D263" s="101"/>
      <c r="E263" s="101"/>
      <c r="F263" s="101"/>
      <c r="G263" s="111"/>
      <c r="H263" s="101"/>
      <c r="I263" s="101"/>
      <c r="J263" s="101"/>
      <c r="K263" s="101"/>
      <c r="L263" s="101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14"/>
      <c r="Z263" s="114"/>
      <c r="AA263" s="114"/>
      <c r="AB263" s="114"/>
      <c r="AC263" s="114"/>
      <c r="AD263" s="114"/>
      <c r="AE263" s="114"/>
      <c r="AF263" s="114"/>
      <c r="AG263" s="114"/>
      <c r="AH263" s="114"/>
      <c r="AI263" s="114"/>
      <c r="AJ263" s="114"/>
      <c r="AK263" s="114"/>
      <c r="AL263" s="114"/>
      <c r="AM263" s="114"/>
      <c r="AN263" s="114"/>
      <c r="AO263" s="114"/>
      <c r="AP263" s="114"/>
      <c r="AQ263" s="114"/>
      <c r="AR263" s="114"/>
      <c r="AS263" s="114"/>
      <c r="AT263" s="114"/>
      <c r="AU263" s="114"/>
      <c r="AV263" s="114"/>
      <c r="AW263" s="114"/>
      <c r="AX263" s="114"/>
      <c r="AY263" s="114"/>
      <c r="AZ263" s="114"/>
    </row>
    <row r="264" spans="1:52">
      <c r="A264" s="111"/>
      <c r="B264" s="111"/>
      <c r="C264" s="112"/>
      <c r="D264" s="101"/>
      <c r="E264" s="101"/>
      <c r="F264" s="101"/>
      <c r="G264" s="111"/>
      <c r="H264" s="101"/>
      <c r="I264" s="101"/>
      <c r="J264" s="101"/>
      <c r="K264" s="101"/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14"/>
      <c r="Z264" s="114"/>
      <c r="AA264" s="114"/>
      <c r="AB264" s="114"/>
      <c r="AC264" s="114"/>
      <c r="AD264" s="114"/>
      <c r="AE264" s="114"/>
      <c r="AF264" s="114"/>
      <c r="AG264" s="114"/>
      <c r="AH264" s="114"/>
      <c r="AI264" s="114"/>
      <c r="AJ264" s="114"/>
      <c r="AK264" s="114"/>
      <c r="AL264" s="114"/>
      <c r="AM264" s="114"/>
      <c r="AN264" s="114"/>
      <c r="AO264" s="114"/>
      <c r="AP264" s="114"/>
      <c r="AQ264" s="114"/>
      <c r="AR264" s="114"/>
      <c r="AS264" s="114"/>
      <c r="AT264" s="114"/>
      <c r="AU264" s="114"/>
      <c r="AV264" s="114"/>
      <c r="AW264" s="114"/>
      <c r="AX264" s="114"/>
      <c r="AY264" s="114"/>
      <c r="AZ264" s="114"/>
    </row>
    <row r="265" spans="1:52">
      <c r="A265" s="111"/>
      <c r="B265" s="111"/>
      <c r="C265" s="112"/>
      <c r="D265" s="101"/>
      <c r="E265" s="101"/>
      <c r="F265" s="101"/>
      <c r="G265" s="111"/>
      <c r="H265" s="101"/>
      <c r="I265" s="101"/>
      <c r="J265" s="101"/>
      <c r="K265" s="101"/>
      <c r="L265" s="101"/>
      <c r="M265" s="101"/>
      <c r="N265" s="101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  <c r="Y265" s="114"/>
      <c r="Z265" s="114"/>
      <c r="AA265" s="114"/>
      <c r="AB265" s="114"/>
      <c r="AC265" s="114"/>
      <c r="AD265" s="114"/>
      <c r="AE265" s="114"/>
      <c r="AF265" s="114"/>
      <c r="AG265" s="114"/>
      <c r="AH265" s="114"/>
      <c r="AI265" s="114"/>
      <c r="AJ265" s="114"/>
      <c r="AK265" s="114"/>
      <c r="AL265" s="114"/>
      <c r="AM265" s="114"/>
      <c r="AN265" s="114"/>
      <c r="AO265" s="114"/>
      <c r="AP265" s="114"/>
      <c r="AQ265" s="114"/>
      <c r="AR265" s="114"/>
      <c r="AS265" s="114"/>
      <c r="AT265" s="114"/>
      <c r="AU265" s="114"/>
      <c r="AV265" s="114"/>
      <c r="AW265" s="114"/>
      <c r="AX265" s="114"/>
      <c r="AY265" s="114"/>
      <c r="AZ265" s="114"/>
    </row>
    <row r="266" spans="1:52">
      <c r="A266" s="111"/>
      <c r="B266" s="111"/>
      <c r="C266" s="112"/>
      <c r="D266" s="101"/>
      <c r="E266" s="101"/>
      <c r="F266" s="101"/>
      <c r="G266" s="111"/>
      <c r="H266" s="101"/>
      <c r="I266" s="101"/>
      <c r="J266" s="101"/>
      <c r="K266" s="101"/>
      <c r="L266" s="101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14"/>
      <c r="Z266" s="114"/>
      <c r="AA266" s="114"/>
      <c r="AB266" s="114"/>
      <c r="AC266" s="114"/>
      <c r="AD266" s="114"/>
      <c r="AE266" s="114"/>
      <c r="AF266" s="114"/>
      <c r="AG266" s="114"/>
      <c r="AH266" s="114"/>
      <c r="AI266" s="114"/>
      <c r="AJ266" s="114"/>
      <c r="AK266" s="114"/>
      <c r="AL266" s="114"/>
      <c r="AM266" s="114"/>
      <c r="AN266" s="114"/>
      <c r="AO266" s="114"/>
      <c r="AP266" s="114"/>
      <c r="AQ266" s="114"/>
      <c r="AR266" s="114"/>
      <c r="AS266" s="114"/>
      <c r="AT266" s="114"/>
      <c r="AU266" s="114"/>
      <c r="AV266" s="114"/>
      <c r="AW266" s="114"/>
      <c r="AX266" s="114"/>
      <c r="AY266" s="114"/>
      <c r="AZ266" s="114"/>
    </row>
    <row r="267" spans="1:52">
      <c r="A267" s="111"/>
      <c r="B267" s="111"/>
      <c r="C267" s="112"/>
      <c r="D267" s="101"/>
      <c r="E267" s="101"/>
      <c r="F267" s="101"/>
      <c r="G267" s="111"/>
      <c r="H267" s="101"/>
      <c r="I267" s="101"/>
      <c r="J267" s="101"/>
      <c r="K267" s="101"/>
      <c r="L267" s="101"/>
      <c r="M267" s="101"/>
      <c r="N267" s="101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  <c r="Y267" s="114"/>
      <c r="Z267" s="114"/>
      <c r="AA267" s="114"/>
      <c r="AB267" s="114"/>
      <c r="AC267" s="114"/>
      <c r="AD267" s="114"/>
      <c r="AE267" s="114"/>
      <c r="AF267" s="114"/>
      <c r="AG267" s="114"/>
      <c r="AH267" s="114"/>
      <c r="AI267" s="114"/>
      <c r="AJ267" s="114"/>
      <c r="AK267" s="114"/>
      <c r="AL267" s="114"/>
      <c r="AM267" s="114"/>
      <c r="AN267" s="114"/>
      <c r="AO267" s="114"/>
      <c r="AP267" s="114"/>
      <c r="AQ267" s="114"/>
      <c r="AR267" s="114"/>
      <c r="AS267" s="114"/>
      <c r="AT267" s="114"/>
      <c r="AU267" s="114"/>
      <c r="AV267" s="114"/>
      <c r="AW267" s="114"/>
      <c r="AX267" s="114"/>
      <c r="AY267" s="114"/>
      <c r="AZ267" s="114"/>
    </row>
    <row r="268" spans="1:52">
      <c r="A268" s="111"/>
      <c r="B268" s="111"/>
      <c r="C268" s="112"/>
      <c r="D268" s="101"/>
      <c r="E268" s="101"/>
      <c r="F268" s="101"/>
      <c r="G268" s="111"/>
      <c r="H268" s="101"/>
      <c r="I268" s="101"/>
      <c r="J268" s="101"/>
      <c r="K268" s="101"/>
      <c r="L268" s="101"/>
      <c r="M268" s="101"/>
      <c r="N268" s="101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  <c r="Y268" s="114"/>
      <c r="Z268" s="114"/>
      <c r="AA268" s="114"/>
      <c r="AB268" s="114"/>
      <c r="AC268" s="114"/>
      <c r="AD268" s="114"/>
      <c r="AE268" s="114"/>
      <c r="AF268" s="114"/>
      <c r="AG268" s="114"/>
      <c r="AH268" s="114"/>
      <c r="AI268" s="114"/>
      <c r="AJ268" s="114"/>
      <c r="AK268" s="114"/>
      <c r="AL268" s="114"/>
      <c r="AM268" s="114"/>
      <c r="AN268" s="114"/>
      <c r="AO268" s="114"/>
      <c r="AP268" s="114"/>
      <c r="AQ268" s="114"/>
      <c r="AR268" s="114"/>
      <c r="AS268" s="114"/>
      <c r="AT268" s="114"/>
      <c r="AU268" s="114"/>
      <c r="AV268" s="114"/>
      <c r="AW268" s="114"/>
      <c r="AX268" s="114"/>
      <c r="AY268" s="114"/>
      <c r="AZ268" s="114"/>
    </row>
    <row r="269" spans="1:52">
      <c r="A269" s="111"/>
      <c r="B269" s="111"/>
      <c r="C269" s="112"/>
      <c r="D269" s="101"/>
      <c r="E269" s="101"/>
      <c r="F269" s="101"/>
      <c r="G269" s="111"/>
      <c r="H269" s="101"/>
      <c r="I269" s="101"/>
      <c r="J269" s="101"/>
      <c r="K269" s="101"/>
      <c r="L269" s="101"/>
      <c r="M269" s="101"/>
      <c r="N269" s="101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  <c r="Y269" s="114"/>
      <c r="Z269" s="114"/>
      <c r="AA269" s="114"/>
      <c r="AB269" s="114"/>
      <c r="AC269" s="114"/>
      <c r="AD269" s="114"/>
      <c r="AE269" s="114"/>
      <c r="AF269" s="114"/>
      <c r="AG269" s="114"/>
      <c r="AH269" s="114"/>
      <c r="AI269" s="114"/>
      <c r="AJ269" s="114"/>
      <c r="AK269" s="114"/>
      <c r="AL269" s="114"/>
      <c r="AM269" s="114"/>
      <c r="AN269" s="114"/>
      <c r="AO269" s="114"/>
      <c r="AP269" s="114"/>
      <c r="AQ269" s="114"/>
      <c r="AR269" s="114"/>
      <c r="AS269" s="114"/>
      <c r="AT269" s="114"/>
      <c r="AU269" s="114"/>
      <c r="AV269" s="114"/>
      <c r="AW269" s="114"/>
      <c r="AX269" s="114"/>
      <c r="AY269" s="114"/>
      <c r="AZ269" s="114"/>
    </row>
    <row r="270" spans="1:52">
      <c r="A270" s="111"/>
      <c r="B270" s="111"/>
      <c r="C270" s="112"/>
      <c r="D270" s="101"/>
      <c r="E270" s="101"/>
      <c r="F270" s="101"/>
      <c r="G270" s="111"/>
      <c r="H270" s="101"/>
      <c r="I270" s="101"/>
      <c r="J270" s="101"/>
      <c r="K270" s="101"/>
      <c r="L270" s="101"/>
      <c r="M270" s="101"/>
      <c r="N270" s="101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14"/>
      <c r="Z270" s="114"/>
      <c r="AA270" s="114"/>
      <c r="AB270" s="114"/>
      <c r="AC270" s="114"/>
      <c r="AD270" s="114"/>
      <c r="AE270" s="114"/>
      <c r="AF270" s="114"/>
      <c r="AG270" s="114"/>
      <c r="AH270" s="114"/>
      <c r="AI270" s="114"/>
      <c r="AJ270" s="114"/>
      <c r="AK270" s="114"/>
      <c r="AL270" s="114"/>
      <c r="AM270" s="114"/>
      <c r="AN270" s="114"/>
      <c r="AO270" s="114"/>
      <c r="AP270" s="114"/>
      <c r="AQ270" s="114"/>
      <c r="AR270" s="114"/>
      <c r="AS270" s="114"/>
      <c r="AT270" s="114"/>
      <c r="AU270" s="114"/>
      <c r="AV270" s="114"/>
      <c r="AW270" s="114"/>
      <c r="AX270" s="114"/>
      <c r="AY270" s="114"/>
      <c r="AZ270" s="114"/>
    </row>
    <row r="271" spans="1:52">
      <c r="A271" s="111"/>
      <c r="B271" s="111"/>
      <c r="C271" s="112"/>
      <c r="D271" s="101"/>
      <c r="E271" s="101"/>
      <c r="F271" s="101"/>
      <c r="G271" s="111"/>
      <c r="H271" s="101"/>
      <c r="I271" s="101"/>
      <c r="J271" s="101"/>
      <c r="K271" s="101"/>
      <c r="L271" s="101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14"/>
      <c r="Z271" s="114"/>
      <c r="AA271" s="114"/>
      <c r="AB271" s="114"/>
      <c r="AC271" s="114"/>
      <c r="AD271" s="114"/>
      <c r="AE271" s="114"/>
      <c r="AF271" s="114"/>
      <c r="AG271" s="114"/>
      <c r="AH271" s="114"/>
      <c r="AI271" s="114"/>
      <c r="AJ271" s="114"/>
      <c r="AK271" s="114"/>
      <c r="AL271" s="114"/>
      <c r="AM271" s="114"/>
      <c r="AN271" s="114"/>
      <c r="AO271" s="114"/>
      <c r="AP271" s="114"/>
      <c r="AQ271" s="114"/>
      <c r="AR271" s="114"/>
      <c r="AS271" s="114"/>
      <c r="AT271" s="114"/>
      <c r="AU271" s="114"/>
      <c r="AV271" s="114"/>
      <c r="AW271" s="114"/>
      <c r="AX271" s="114"/>
      <c r="AY271" s="114"/>
      <c r="AZ271" s="114"/>
    </row>
    <row r="272" spans="1:52">
      <c r="A272" s="111"/>
      <c r="B272" s="111"/>
      <c r="C272" s="112"/>
      <c r="D272" s="101"/>
      <c r="E272" s="101"/>
      <c r="F272" s="101"/>
      <c r="G272" s="111"/>
      <c r="H272" s="101"/>
      <c r="I272" s="101"/>
      <c r="J272" s="101"/>
      <c r="K272" s="101"/>
      <c r="L272" s="101"/>
      <c r="M272" s="101"/>
      <c r="N272" s="101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  <c r="Y272" s="114"/>
      <c r="Z272" s="114"/>
      <c r="AA272" s="114"/>
      <c r="AB272" s="114"/>
      <c r="AC272" s="114"/>
      <c r="AD272" s="114"/>
      <c r="AE272" s="114"/>
      <c r="AF272" s="114"/>
      <c r="AG272" s="114"/>
      <c r="AH272" s="114"/>
      <c r="AI272" s="114"/>
      <c r="AJ272" s="114"/>
      <c r="AK272" s="114"/>
      <c r="AL272" s="114"/>
      <c r="AM272" s="114"/>
      <c r="AN272" s="114"/>
      <c r="AO272" s="114"/>
      <c r="AP272" s="114"/>
      <c r="AQ272" s="114"/>
      <c r="AR272" s="114"/>
      <c r="AS272" s="114"/>
      <c r="AT272" s="114"/>
      <c r="AU272" s="114"/>
      <c r="AV272" s="114"/>
      <c r="AW272" s="114"/>
      <c r="AX272" s="114"/>
      <c r="AY272" s="114"/>
      <c r="AZ272" s="114"/>
    </row>
    <row r="273" spans="1:52">
      <c r="A273" s="111"/>
      <c r="B273" s="111"/>
      <c r="C273" s="112"/>
      <c r="D273" s="101"/>
      <c r="E273" s="101"/>
      <c r="F273" s="101"/>
      <c r="G273" s="111"/>
      <c r="H273" s="101"/>
      <c r="I273" s="101"/>
      <c r="J273" s="101"/>
      <c r="K273" s="101"/>
      <c r="L273" s="101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14"/>
      <c r="Z273" s="114"/>
      <c r="AA273" s="114"/>
      <c r="AB273" s="114"/>
      <c r="AC273" s="114"/>
      <c r="AD273" s="114"/>
      <c r="AE273" s="114"/>
      <c r="AF273" s="114"/>
      <c r="AG273" s="114"/>
      <c r="AH273" s="114"/>
      <c r="AI273" s="114"/>
      <c r="AJ273" s="114"/>
      <c r="AK273" s="114"/>
      <c r="AL273" s="114"/>
      <c r="AM273" s="114"/>
      <c r="AN273" s="114"/>
      <c r="AO273" s="114"/>
      <c r="AP273" s="114"/>
      <c r="AQ273" s="114"/>
      <c r="AR273" s="114"/>
      <c r="AS273" s="114"/>
      <c r="AT273" s="114"/>
      <c r="AU273" s="114"/>
      <c r="AV273" s="114"/>
      <c r="AW273" s="114"/>
      <c r="AX273" s="114"/>
      <c r="AY273" s="114"/>
      <c r="AZ273" s="114"/>
    </row>
    <row r="274" spans="1:52">
      <c r="A274" s="111"/>
      <c r="B274" s="111"/>
      <c r="C274" s="112"/>
      <c r="D274" s="101"/>
      <c r="E274" s="101"/>
      <c r="F274" s="101"/>
      <c r="G274" s="11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14"/>
      <c r="Z274" s="114"/>
      <c r="AA274" s="114"/>
      <c r="AB274" s="114"/>
      <c r="AC274" s="114"/>
      <c r="AD274" s="114"/>
      <c r="AE274" s="114"/>
      <c r="AF274" s="114"/>
      <c r="AG274" s="114"/>
      <c r="AH274" s="114"/>
      <c r="AI274" s="114"/>
      <c r="AJ274" s="114"/>
      <c r="AK274" s="114"/>
      <c r="AL274" s="114"/>
      <c r="AM274" s="114"/>
      <c r="AN274" s="114"/>
      <c r="AO274" s="114"/>
      <c r="AP274" s="114"/>
      <c r="AQ274" s="114"/>
      <c r="AR274" s="114"/>
      <c r="AS274" s="114"/>
      <c r="AT274" s="114"/>
      <c r="AU274" s="114"/>
      <c r="AV274" s="114"/>
      <c r="AW274" s="114"/>
      <c r="AX274" s="114"/>
      <c r="AY274" s="114"/>
      <c r="AZ274" s="114"/>
    </row>
    <row r="275" spans="1:52">
      <c r="A275" s="111"/>
      <c r="B275" s="111"/>
      <c r="C275" s="112"/>
      <c r="D275" s="101"/>
      <c r="E275" s="101"/>
      <c r="F275" s="101"/>
      <c r="G275" s="11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14"/>
      <c r="Z275" s="114"/>
      <c r="AA275" s="114"/>
      <c r="AB275" s="114"/>
      <c r="AC275" s="114"/>
      <c r="AD275" s="114"/>
      <c r="AE275" s="114"/>
      <c r="AF275" s="114"/>
      <c r="AG275" s="114"/>
      <c r="AH275" s="114"/>
      <c r="AI275" s="114"/>
      <c r="AJ275" s="114"/>
      <c r="AK275" s="114"/>
      <c r="AL275" s="114"/>
      <c r="AM275" s="114"/>
      <c r="AN275" s="114"/>
      <c r="AO275" s="114"/>
      <c r="AP275" s="114"/>
      <c r="AQ275" s="114"/>
      <c r="AR275" s="114"/>
      <c r="AS275" s="114"/>
      <c r="AT275" s="114"/>
      <c r="AU275" s="114"/>
      <c r="AV275" s="114"/>
      <c r="AW275" s="114"/>
      <c r="AX275" s="114"/>
      <c r="AY275" s="114"/>
      <c r="AZ275" s="114"/>
    </row>
    <row r="276" spans="1:52">
      <c r="A276" s="111"/>
      <c r="B276" s="111"/>
      <c r="C276" s="112"/>
      <c r="D276" s="101"/>
      <c r="E276" s="101"/>
      <c r="F276" s="101"/>
      <c r="G276" s="11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14"/>
      <c r="Z276" s="114"/>
      <c r="AA276" s="114"/>
      <c r="AB276" s="114"/>
      <c r="AC276" s="114"/>
      <c r="AD276" s="114"/>
      <c r="AE276" s="114"/>
      <c r="AF276" s="114"/>
      <c r="AG276" s="114"/>
      <c r="AH276" s="114"/>
      <c r="AI276" s="114"/>
      <c r="AJ276" s="114"/>
      <c r="AK276" s="114"/>
      <c r="AL276" s="114"/>
      <c r="AM276" s="114"/>
      <c r="AN276" s="114"/>
      <c r="AO276" s="114"/>
      <c r="AP276" s="114"/>
      <c r="AQ276" s="114"/>
      <c r="AR276" s="114"/>
      <c r="AS276" s="114"/>
      <c r="AT276" s="114"/>
      <c r="AU276" s="114"/>
      <c r="AV276" s="114"/>
      <c r="AW276" s="114"/>
      <c r="AX276" s="114"/>
      <c r="AY276" s="114"/>
      <c r="AZ276" s="114"/>
    </row>
    <row r="277" spans="1:52">
      <c r="A277" s="111"/>
      <c r="B277" s="111"/>
      <c r="C277" s="112"/>
      <c r="D277" s="101"/>
      <c r="E277" s="101"/>
      <c r="F277" s="101"/>
      <c r="G277" s="11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14"/>
      <c r="Z277" s="114"/>
      <c r="AA277" s="114"/>
      <c r="AB277" s="114"/>
      <c r="AC277" s="114"/>
      <c r="AD277" s="114"/>
      <c r="AE277" s="114"/>
      <c r="AF277" s="114"/>
      <c r="AG277" s="114"/>
      <c r="AH277" s="114"/>
      <c r="AI277" s="114"/>
      <c r="AJ277" s="114"/>
      <c r="AK277" s="114"/>
      <c r="AL277" s="114"/>
      <c r="AM277" s="114"/>
      <c r="AN277" s="114"/>
      <c r="AO277" s="114"/>
      <c r="AP277" s="114"/>
      <c r="AQ277" s="114"/>
      <c r="AR277" s="114"/>
      <c r="AS277" s="114"/>
      <c r="AT277" s="114"/>
      <c r="AU277" s="114"/>
      <c r="AV277" s="114"/>
      <c r="AW277" s="114"/>
      <c r="AX277" s="114"/>
      <c r="AY277" s="114"/>
      <c r="AZ277" s="114"/>
    </row>
    <row r="278" spans="1:52">
      <c r="A278" s="111"/>
      <c r="B278" s="111"/>
      <c r="C278" s="112"/>
      <c r="D278" s="101"/>
      <c r="E278" s="101"/>
      <c r="F278" s="101"/>
      <c r="G278" s="111"/>
      <c r="H278" s="101"/>
      <c r="I278" s="101"/>
      <c r="J278" s="101"/>
      <c r="K278" s="101"/>
      <c r="L278" s="101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14"/>
      <c r="Z278" s="114"/>
      <c r="AA278" s="114"/>
      <c r="AB278" s="114"/>
      <c r="AC278" s="114"/>
      <c r="AD278" s="114"/>
      <c r="AE278" s="114"/>
      <c r="AF278" s="114"/>
      <c r="AG278" s="114"/>
      <c r="AH278" s="114"/>
      <c r="AI278" s="114"/>
      <c r="AJ278" s="114"/>
      <c r="AK278" s="114"/>
      <c r="AL278" s="114"/>
      <c r="AM278" s="114"/>
      <c r="AN278" s="114"/>
      <c r="AO278" s="114"/>
      <c r="AP278" s="114"/>
      <c r="AQ278" s="114"/>
      <c r="AR278" s="114"/>
      <c r="AS278" s="114"/>
      <c r="AT278" s="114"/>
      <c r="AU278" s="114"/>
      <c r="AV278" s="114"/>
      <c r="AW278" s="114"/>
      <c r="AX278" s="114"/>
      <c r="AY278" s="114"/>
      <c r="AZ278" s="114"/>
    </row>
    <row r="279" spans="1:52">
      <c r="A279" s="111"/>
      <c r="B279" s="111"/>
      <c r="C279" s="112"/>
      <c r="D279" s="101"/>
      <c r="E279" s="101"/>
      <c r="F279" s="101"/>
      <c r="G279" s="11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14"/>
      <c r="Z279" s="114"/>
      <c r="AA279" s="114"/>
      <c r="AB279" s="114"/>
      <c r="AC279" s="114"/>
      <c r="AD279" s="114"/>
      <c r="AE279" s="114"/>
      <c r="AF279" s="114"/>
      <c r="AG279" s="114"/>
      <c r="AH279" s="114"/>
      <c r="AI279" s="114"/>
      <c r="AJ279" s="114"/>
      <c r="AK279" s="114"/>
      <c r="AL279" s="114"/>
      <c r="AM279" s="114"/>
      <c r="AN279" s="114"/>
      <c r="AO279" s="114"/>
      <c r="AP279" s="114"/>
      <c r="AQ279" s="114"/>
      <c r="AR279" s="114"/>
      <c r="AS279" s="114"/>
      <c r="AT279" s="114"/>
      <c r="AU279" s="114"/>
      <c r="AV279" s="114"/>
      <c r="AW279" s="114"/>
      <c r="AX279" s="114"/>
      <c r="AY279" s="114"/>
      <c r="AZ279" s="114"/>
    </row>
    <row r="280" spans="1:52">
      <c r="A280" s="111"/>
      <c r="B280" s="111"/>
      <c r="C280" s="112"/>
      <c r="D280" s="101"/>
      <c r="E280" s="101"/>
      <c r="F280" s="101"/>
      <c r="G280" s="11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14"/>
      <c r="Z280" s="114"/>
      <c r="AA280" s="114"/>
      <c r="AB280" s="114"/>
      <c r="AC280" s="114"/>
      <c r="AD280" s="114"/>
      <c r="AE280" s="114"/>
      <c r="AF280" s="114"/>
      <c r="AG280" s="114"/>
      <c r="AH280" s="114"/>
      <c r="AI280" s="114"/>
      <c r="AJ280" s="114"/>
      <c r="AK280" s="114"/>
      <c r="AL280" s="114"/>
      <c r="AM280" s="114"/>
      <c r="AN280" s="114"/>
      <c r="AO280" s="114"/>
      <c r="AP280" s="114"/>
      <c r="AQ280" s="114"/>
      <c r="AR280" s="114"/>
      <c r="AS280" s="114"/>
      <c r="AT280" s="114"/>
      <c r="AU280" s="114"/>
      <c r="AV280" s="114"/>
      <c r="AW280" s="114"/>
      <c r="AX280" s="114"/>
      <c r="AY280" s="114"/>
      <c r="AZ280" s="114"/>
    </row>
    <row r="281" spans="1:52">
      <c r="A281" s="111"/>
      <c r="B281" s="111"/>
      <c r="C281" s="112"/>
      <c r="D281" s="101"/>
      <c r="E281" s="101"/>
      <c r="F281" s="101"/>
      <c r="G281" s="111"/>
      <c r="H281" s="101"/>
      <c r="I281" s="101"/>
      <c r="J281" s="101"/>
      <c r="K281" s="101"/>
      <c r="L281" s="101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14"/>
      <c r="Z281" s="114"/>
      <c r="AA281" s="114"/>
      <c r="AB281" s="114"/>
      <c r="AC281" s="114"/>
      <c r="AD281" s="114"/>
      <c r="AE281" s="114"/>
      <c r="AF281" s="114"/>
      <c r="AG281" s="114"/>
      <c r="AH281" s="114"/>
      <c r="AI281" s="114"/>
      <c r="AJ281" s="114"/>
      <c r="AK281" s="114"/>
      <c r="AL281" s="114"/>
      <c r="AM281" s="114"/>
      <c r="AN281" s="114"/>
      <c r="AO281" s="114"/>
      <c r="AP281" s="114"/>
      <c r="AQ281" s="114"/>
      <c r="AR281" s="114"/>
      <c r="AS281" s="114"/>
      <c r="AT281" s="114"/>
      <c r="AU281" s="114"/>
      <c r="AV281" s="114"/>
      <c r="AW281" s="114"/>
      <c r="AX281" s="114"/>
      <c r="AY281" s="114"/>
      <c r="AZ281" s="114"/>
    </row>
    <row r="282" spans="1:52">
      <c r="A282" s="111"/>
      <c r="B282" s="111"/>
      <c r="C282" s="112"/>
      <c r="D282" s="101"/>
      <c r="E282" s="101"/>
      <c r="F282" s="101"/>
      <c r="G282" s="111"/>
      <c r="H282" s="101"/>
      <c r="I282" s="101"/>
      <c r="J282" s="101"/>
      <c r="K282" s="101"/>
      <c r="L282" s="101"/>
      <c r="M282" s="101"/>
      <c r="N282" s="101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  <c r="Y282" s="114"/>
      <c r="Z282" s="114"/>
      <c r="AA282" s="114"/>
      <c r="AB282" s="114"/>
      <c r="AC282" s="114"/>
      <c r="AD282" s="114"/>
      <c r="AE282" s="114"/>
      <c r="AF282" s="114"/>
      <c r="AG282" s="114"/>
      <c r="AH282" s="114"/>
      <c r="AI282" s="114"/>
      <c r="AJ282" s="114"/>
      <c r="AK282" s="114"/>
      <c r="AL282" s="114"/>
      <c r="AM282" s="114"/>
      <c r="AN282" s="114"/>
      <c r="AO282" s="114"/>
      <c r="AP282" s="114"/>
      <c r="AQ282" s="114"/>
      <c r="AR282" s="114"/>
      <c r="AS282" s="114"/>
      <c r="AT282" s="114"/>
      <c r="AU282" s="114"/>
      <c r="AV282" s="114"/>
      <c r="AW282" s="114"/>
      <c r="AX282" s="114"/>
      <c r="AY282" s="114"/>
      <c r="AZ282" s="114"/>
    </row>
    <row r="283" spans="1:52">
      <c r="A283" s="111"/>
      <c r="B283" s="111"/>
      <c r="C283" s="112"/>
      <c r="D283" s="101"/>
      <c r="E283" s="101"/>
      <c r="F283" s="101"/>
      <c r="G283" s="111"/>
      <c r="H283" s="101"/>
      <c r="I283" s="101"/>
      <c r="J283" s="101"/>
      <c r="K283" s="101"/>
      <c r="L283" s="101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14"/>
      <c r="Z283" s="114"/>
      <c r="AA283" s="114"/>
      <c r="AB283" s="114"/>
      <c r="AC283" s="114"/>
      <c r="AD283" s="114"/>
      <c r="AE283" s="114"/>
      <c r="AF283" s="114"/>
      <c r="AG283" s="114"/>
      <c r="AH283" s="114"/>
      <c r="AI283" s="114"/>
      <c r="AJ283" s="114"/>
      <c r="AK283" s="114"/>
      <c r="AL283" s="114"/>
      <c r="AM283" s="114"/>
      <c r="AN283" s="114"/>
      <c r="AO283" s="114"/>
      <c r="AP283" s="114"/>
      <c r="AQ283" s="114"/>
      <c r="AR283" s="114"/>
      <c r="AS283" s="114"/>
      <c r="AT283" s="114"/>
      <c r="AU283" s="114"/>
      <c r="AV283" s="114"/>
      <c r="AW283" s="114"/>
      <c r="AX283" s="114"/>
      <c r="AY283" s="114"/>
      <c r="AZ283" s="114"/>
    </row>
    <row r="284" spans="1:52">
      <c r="A284" s="111"/>
      <c r="B284" s="111"/>
      <c r="C284" s="112"/>
      <c r="D284" s="101"/>
      <c r="E284" s="101"/>
      <c r="F284" s="101"/>
      <c r="G284" s="111"/>
      <c r="H284" s="101"/>
      <c r="I284" s="101"/>
      <c r="J284" s="101"/>
      <c r="K284" s="101"/>
      <c r="L284" s="101"/>
      <c r="M284" s="101"/>
      <c r="N284" s="101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  <c r="Y284" s="114"/>
      <c r="Z284" s="114"/>
      <c r="AA284" s="114"/>
      <c r="AB284" s="114"/>
      <c r="AC284" s="114"/>
      <c r="AD284" s="114"/>
      <c r="AE284" s="114"/>
      <c r="AF284" s="114"/>
      <c r="AG284" s="114"/>
      <c r="AH284" s="114"/>
      <c r="AI284" s="114"/>
      <c r="AJ284" s="114"/>
      <c r="AK284" s="114"/>
      <c r="AL284" s="114"/>
      <c r="AM284" s="114"/>
      <c r="AN284" s="114"/>
      <c r="AO284" s="114"/>
      <c r="AP284" s="114"/>
      <c r="AQ284" s="114"/>
      <c r="AR284" s="114"/>
      <c r="AS284" s="114"/>
      <c r="AT284" s="114"/>
      <c r="AU284" s="114"/>
      <c r="AV284" s="114"/>
      <c r="AW284" s="114"/>
      <c r="AX284" s="114"/>
      <c r="AY284" s="114"/>
      <c r="AZ284" s="114"/>
    </row>
    <row r="285" spans="1:52">
      <c r="A285" s="111"/>
      <c r="B285" s="111"/>
      <c r="C285" s="112"/>
      <c r="D285" s="101"/>
      <c r="E285" s="101"/>
      <c r="F285" s="101"/>
      <c r="G285" s="111"/>
      <c r="H285" s="101"/>
      <c r="I285" s="101"/>
      <c r="J285" s="101"/>
      <c r="K285" s="101"/>
      <c r="L285" s="101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14"/>
      <c r="Z285" s="114"/>
      <c r="AA285" s="114"/>
      <c r="AB285" s="114"/>
      <c r="AC285" s="114"/>
      <c r="AD285" s="114"/>
      <c r="AE285" s="114"/>
      <c r="AF285" s="114"/>
      <c r="AG285" s="114"/>
      <c r="AH285" s="114"/>
      <c r="AI285" s="114"/>
      <c r="AJ285" s="114"/>
      <c r="AK285" s="114"/>
      <c r="AL285" s="114"/>
      <c r="AM285" s="114"/>
      <c r="AN285" s="114"/>
      <c r="AO285" s="114"/>
      <c r="AP285" s="114"/>
      <c r="AQ285" s="114"/>
      <c r="AR285" s="114"/>
      <c r="AS285" s="114"/>
      <c r="AT285" s="114"/>
      <c r="AU285" s="114"/>
      <c r="AV285" s="114"/>
      <c r="AW285" s="114"/>
      <c r="AX285" s="114"/>
      <c r="AY285" s="114"/>
      <c r="AZ285" s="114"/>
    </row>
    <row r="286" spans="1:52">
      <c r="A286" s="111"/>
      <c r="B286" s="111"/>
      <c r="C286" s="112"/>
      <c r="D286" s="101"/>
      <c r="E286" s="101"/>
      <c r="F286" s="101"/>
      <c r="G286" s="111"/>
      <c r="H286" s="101"/>
      <c r="I286" s="101"/>
      <c r="J286" s="101"/>
      <c r="K286" s="101"/>
      <c r="L286" s="101"/>
      <c r="M286" s="101"/>
      <c r="N286" s="101"/>
      <c r="O286" s="101"/>
      <c r="P286" s="101"/>
      <c r="Q286" s="101"/>
      <c r="R286" s="101"/>
      <c r="S286" s="101"/>
      <c r="T286" s="101"/>
      <c r="U286" s="101"/>
      <c r="V286" s="101"/>
      <c r="W286" s="101"/>
      <c r="X286" s="101"/>
      <c r="Y286" s="114"/>
      <c r="Z286" s="114"/>
      <c r="AA286" s="114"/>
      <c r="AB286" s="114"/>
      <c r="AC286" s="114"/>
      <c r="AD286" s="114"/>
      <c r="AE286" s="114"/>
      <c r="AF286" s="114"/>
      <c r="AG286" s="114"/>
      <c r="AH286" s="114"/>
      <c r="AI286" s="114"/>
      <c r="AJ286" s="114"/>
      <c r="AK286" s="114"/>
      <c r="AL286" s="114"/>
      <c r="AM286" s="114"/>
      <c r="AN286" s="114"/>
      <c r="AO286" s="114"/>
      <c r="AP286" s="114"/>
      <c r="AQ286" s="114"/>
      <c r="AR286" s="114"/>
      <c r="AS286" s="114"/>
      <c r="AT286" s="114"/>
      <c r="AU286" s="114"/>
      <c r="AV286" s="114"/>
      <c r="AW286" s="114"/>
      <c r="AX286" s="114"/>
      <c r="AY286" s="114"/>
      <c r="AZ286" s="114"/>
    </row>
    <row r="287" spans="1:52">
      <c r="A287" s="111"/>
      <c r="B287" s="111"/>
      <c r="C287" s="112"/>
      <c r="D287" s="101"/>
      <c r="E287" s="101"/>
      <c r="F287" s="101"/>
      <c r="G287" s="111"/>
      <c r="H287" s="101"/>
      <c r="I287" s="101"/>
      <c r="J287" s="101"/>
      <c r="K287" s="101"/>
      <c r="L287" s="101"/>
      <c r="M287" s="101"/>
      <c r="N287" s="101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14"/>
      <c r="Z287" s="114"/>
      <c r="AA287" s="114"/>
      <c r="AB287" s="114"/>
      <c r="AC287" s="114"/>
      <c r="AD287" s="114"/>
      <c r="AE287" s="114"/>
      <c r="AF287" s="114"/>
      <c r="AG287" s="114"/>
      <c r="AH287" s="114"/>
      <c r="AI287" s="114"/>
      <c r="AJ287" s="114"/>
      <c r="AK287" s="114"/>
      <c r="AL287" s="114"/>
      <c r="AM287" s="114"/>
      <c r="AN287" s="114"/>
      <c r="AO287" s="114"/>
      <c r="AP287" s="114"/>
      <c r="AQ287" s="114"/>
      <c r="AR287" s="114"/>
      <c r="AS287" s="114"/>
      <c r="AT287" s="114"/>
      <c r="AU287" s="114"/>
      <c r="AV287" s="114"/>
      <c r="AW287" s="114"/>
      <c r="AX287" s="114"/>
      <c r="AY287" s="114"/>
      <c r="AZ287" s="114"/>
    </row>
    <row r="288" spans="1:52">
      <c r="A288" s="111"/>
      <c r="B288" s="111"/>
      <c r="C288" s="112"/>
      <c r="D288" s="101"/>
      <c r="E288" s="101"/>
      <c r="F288" s="101"/>
      <c r="G288" s="111"/>
      <c r="H288" s="101"/>
      <c r="I288" s="101"/>
      <c r="J288" s="101"/>
      <c r="K288" s="101"/>
      <c r="L288" s="101"/>
      <c r="M288" s="101"/>
      <c r="N288" s="101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14"/>
      <c r="Z288" s="114"/>
      <c r="AA288" s="114"/>
      <c r="AB288" s="114"/>
      <c r="AC288" s="114"/>
      <c r="AD288" s="114"/>
      <c r="AE288" s="114"/>
      <c r="AF288" s="114"/>
      <c r="AG288" s="114"/>
      <c r="AH288" s="114"/>
      <c r="AI288" s="114"/>
      <c r="AJ288" s="114"/>
      <c r="AK288" s="114"/>
      <c r="AL288" s="114"/>
      <c r="AM288" s="114"/>
      <c r="AN288" s="114"/>
      <c r="AO288" s="114"/>
      <c r="AP288" s="114"/>
      <c r="AQ288" s="114"/>
      <c r="AR288" s="114"/>
      <c r="AS288" s="114"/>
      <c r="AT288" s="114"/>
      <c r="AU288" s="114"/>
      <c r="AV288" s="114"/>
      <c r="AW288" s="114"/>
      <c r="AX288" s="114"/>
      <c r="AY288" s="114"/>
      <c r="AZ288" s="114"/>
    </row>
    <row r="289" spans="1:52">
      <c r="A289" s="111"/>
      <c r="B289" s="111"/>
      <c r="C289" s="112"/>
      <c r="D289" s="101"/>
      <c r="E289" s="101"/>
      <c r="F289" s="101"/>
      <c r="G289" s="111"/>
      <c r="H289" s="101"/>
      <c r="I289" s="101"/>
      <c r="J289" s="101"/>
      <c r="K289" s="101"/>
      <c r="L289" s="101"/>
      <c r="M289" s="101"/>
      <c r="N289" s="101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14"/>
      <c r="Z289" s="114"/>
      <c r="AA289" s="114"/>
      <c r="AB289" s="114"/>
      <c r="AC289" s="114"/>
      <c r="AD289" s="114"/>
      <c r="AE289" s="114"/>
      <c r="AF289" s="114"/>
      <c r="AG289" s="114"/>
      <c r="AH289" s="114"/>
      <c r="AI289" s="114"/>
      <c r="AJ289" s="114"/>
      <c r="AK289" s="114"/>
      <c r="AL289" s="114"/>
      <c r="AM289" s="114"/>
      <c r="AN289" s="114"/>
      <c r="AO289" s="114"/>
      <c r="AP289" s="114"/>
      <c r="AQ289" s="114"/>
      <c r="AR289" s="114"/>
      <c r="AS289" s="114"/>
      <c r="AT289" s="114"/>
      <c r="AU289" s="114"/>
      <c r="AV289" s="114"/>
      <c r="AW289" s="114"/>
      <c r="AX289" s="114"/>
      <c r="AY289" s="114"/>
      <c r="AZ289" s="114"/>
    </row>
    <row r="290" spans="1:52">
      <c r="A290" s="111"/>
      <c r="B290" s="111"/>
      <c r="C290" s="112"/>
      <c r="D290" s="101"/>
      <c r="E290" s="101"/>
      <c r="F290" s="101"/>
      <c r="G290" s="111"/>
      <c r="H290" s="101"/>
      <c r="I290" s="101"/>
      <c r="J290" s="101"/>
      <c r="K290" s="101"/>
      <c r="L290" s="101"/>
      <c r="M290" s="101"/>
      <c r="N290" s="101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  <c r="Y290" s="114"/>
      <c r="Z290" s="114"/>
      <c r="AA290" s="114"/>
      <c r="AB290" s="114"/>
      <c r="AC290" s="114"/>
      <c r="AD290" s="114"/>
      <c r="AE290" s="114"/>
      <c r="AF290" s="114"/>
      <c r="AG290" s="114"/>
      <c r="AH290" s="114"/>
      <c r="AI290" s="114"/>
      <c r="AJ290" s="114"/>
      <c r="AK290" s="114"/>
      <c r="AL290" s="114"/>
      <c r="AM290" s="114"/>
      <c r="AN290" s="114"/>
      <c r="AO290" s="114"/>
      <c r="AP290" s="114"/>
      <c r="AQ290" s="114"/>
      <c r="AR290" s="114"/>
      <c r="AS290" s="114"/>
      <c r="AT290" s="114"/>
      <c r="AU290" s="114"/>
      <c r="AV290" s="114"/>
      <c r="AW290" s="114"/>
      <c r="AX290" s="114"/>
      <c r="AY290" s="114"/>
      <c r="AZ290" s="114"/>
    </row>
    <row r="291" spans="1:52">
      <c r="A291" s="111"/>
      <c r="B291" s="111"/>
      <c r="C291" s="112"/>
      <c r="D291" s="101"/>
      <c r="E291" s="101"/>
      <c r="F291" s="101"/>
      <c r="G291" s="111"/>
      <c r="H291" s="101"/>
      <c r="I291" s="101"/>
      <c r="J291" s="101"/>
      <c r="K291" s="101"/>
      <c r="L291" s="101"/>
      <c r="M291" s="101"/>
      <c r="N291" s="101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14"/>
      <c r="Z291" s="114"/>
      <c r="AA291" s="114"/>
      <c r="AB291" s="114"/>
      <c r="AC291" s="114"/>
      <c r="AD291" s="114"/>
      <c r="AE291" s="114"/>
      <c r="AF291" s="114"/>
      <c r="AG291" s="114"/>
      <c r="AH291" s="114"/>
      <c r="AI291" s="114"/>
      <c r="AJ291" s="114"/>
      <c r="AK291" s="114"/>
      <c r="AL291" s="114"/>
      <c r="AM291" s="114"/>
      <c r="AN291" s="114"/>
      <c r="AO291" s="114"/>
      <c r="AP291" s="114"/>
      <c r="AQ291" s="114"/>
      <c r="AR291" s="114"/>
      <c r="AS291" s="114"/>
      <c r="AT291" s="114"/>
      <c r="AU291" s="114"/>
      <c r="AV291" s="114"/>
      <c r="AW291" s="114"/>
      <c r="AX291" s="114"/>
      <c r="AY291" s="114"/>
      <c r="AZ291" s="114"/>
    </row>
    <row r="292" spans="1:52">
      <c r="A292" s="111"/>
      <c r="B292" s="111"/>
      <c r="C292" s="112"/>
      <c r="D292" s="101"/>
      <c r="E292" s="101"/>
      <c r="F292" s="101"/>
      <c r="G292" s="111"/>
      <c r="H292" s="101"/>
      <c r="I292" s="101"/>
      <c r="J292" s="101"/>
      <c r="K292" s="101"/>
      <c r="L292" s="101"/>
      <c r="M292" s="101"/>
      <c r="N292" s="101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  <c r="Y292" s="114"/>
      <c r="Z292" s="114"/>
      <c r="AA292" s="114"/>
      <c r="AB292" s="114"/>
      <c r="AC292" s="114"/>
      <c r="AD292" s="114"/>
      <c r="AE292" s="114"/>
      <c r="AF292" s="114"/>
      <c r="AG292" s="114"/>
      <c r="AH292" s="114"/>
      <c r="AI292" s="114"/>
      <c r="AJ292" s="114"/>
      <c r="AK292" s="114"/>
      <c r="AL292" s="114"/>
      <c r="AM292" s="114"/>
      <c r="AN292" s="114"/>
      <c r="AO292" s="114"/>
      <c r="AP292" s="114"/>
      <c r="AQ292" s="114"/>
      <c r="AR292" s="114"/>
      <c r="AS292" s="114"/>
      <c r="AT292" s="114"/>
      <c r="AU292" s="114"/>
      <c r="AV292" s="114"/>
      <c r="AW292" s="114"/>
      <c r="AX292" s="114"/>
      <c r="AY292" s="114"/>
      <c r="AZ292" s="114"/>
    </row>
    <row r="293" spans="1:52">
      <c r="A293" s="111"/>
      <c r="B293" s="111"/>
      <c r="C293" s="112"/>
      <c r="D293" s="101"/>
      <c r="E293" s="101"/>
      <c r="F293" s="101"/>
      <c r="G293" s="111"/>
      <c r="H293" s="101"/>
      <c r="I293" s="101"/>
      <c r="J293" s="101"/>
      <c r="K293" s="101"/>
      <c r="L293" s="101"/>
      <c r="M293" s="101"/>
      <c r="N293" s="101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  <c r="Y293" s="114"/>
      <c r="Z293" s="114"/>
      <c r="AA293" s="114"/>
      <c r="AB293" s="114"/>
      <c r="AC293" s="114"/>
      <c r="AD293" s="114"/>
      <c r="AE293" s="114"/>
      <c r="AF293" s="114"/>
      <c r="AG293" s="114"/>
      <c r="AH293" s="114"/>
      <c r="AI293" s="114"/>
      <c r="AJ293" s="114"/>
      <c r="AK293" s="114"/>
      <c r="AL293" s="114"/>
      <c r="AM293" s="114"/>
      <c r="AN293" s="114"/>
      <c r="AO293" s="114"/>
      <c r="AP293" s="114"/>
      <c r="AQ293" s="114"/>
      <c r="AR293" s="114"/>
      <c r="AS293" s="114"/>
      <c r="AT293" s="114"/>
      <c r="AU293" s="114"/>
      <c r="AV293" s="114"/>
      <c r="AW293" s="114"/>
      <c r="AX293" s="114"/>
      <c r="AY293" s="114"/>
      <c r="AZ293" s="114"/>
    </row>
    <row r="294" spans="1:52">
      <c r="A294" s="111"/>
      <c r="B294" s="111"/>
      <c r="C294" s="112"/>
      <c r="D294" s="101"/>
      <c r="E294" s="101"/>
      <c r="F294" s="101"/>
      <c r="G294" s="111"/>
      <c r="H294" s="101"/>
      <c r="I294" s="101"/>
      <c r="J294" s="101"/>
      <c r="K294" s="101"/>
      <c r="L294" s="101"/>
      <c r="M294" s="101"/>
      <c r="N294" s="101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  <c r="Y294" s="114"/>
      <c r="Z294" s="114"/>
      <c r="AA294" s="114"/>
      <c r="AB294" s="114"/>
      <c r="AC294" s="114"/>
      <c r="AD294" s="114"/>
      <c r="AE294" s="114"/>
      <c r="AF294" s="114"/>
      <c r="AG294" s="114"/>
      <c r="AH294" s="114"/>
      <c r="AI294" s="114"/>
      <c r="AJ294" s="114"/>
      <c r="AK294" s="114"/>
      <c r="AL294" s="114"/>
      <c r="AM294" s="114"/>
      <c r="AN294" s="114"/>
      <c r="AO294" s="114"/>
      <c r="AP294" s="114"/>
      <c r="AQ294" s="114"/>
      <c r="AR294" s="114"/>
      <c r="AS294" s="114"/>
      <c r="AT294" s="114"/>
      <c r="AU294" s="114"/>
      <c r="AV294" s="114"/>
      <c r="AW294" s="114"/>
      <c r="AX294" s="114"/>
      <c r="AY294" s="114"/>
      <c r="AZ294" s="114"/>
    </row>
    <row r="295" spans="1:52">
      <c r="A295" s="111"/>
      <c r="B295" s="111"/>
      <c r="C295" s="112"/>
      <c r="D295" s="101"/>
      <c r="E295" s="101"/>
      <c r="F295" s="101"/>
      <c r="G295" s="111"/>
      <c r="H295" s="101"/>
      <c r="I295" s="101"/>
      <c r="J295" s="101"/>
      <c r="K295" s="101"/>
      <c r="L295" s="101"/>
      <c r="M295" s="101"/>
      <c r="N295" s="101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14"/>
      <c r="Z295" s="114"/>
      <c r="AA295" s="114"/>
      <c r="AB295" s="114"/>
      <c r="AC295" s="114"/>
      <c r="AD295" s="114"/>
      <c r="AE295" s="114"/>
      <c r="AF295" s="114"/>
      <c r="AG295" s="114"/>
      <c r="AH295" s="114"/>
      <c r="AI295" s="114"/>
      <c r="AJ295" s="114"/>
      <c r="AK295" s="114"/>
      <c r="AL295" s="114"/>
      <c r="AM295" s="114"/>
      <c r="AN295" s="114"/>
      <c r="AO295" s="114"/>
      <c r="AP295" s="114"/>
      <c r="AQ295" s="114"/>
      <c r="AR295" s="114"/>
      <c r="AS295" s="114"/>
      <c r="AT295" s="114"/>
      <c r="AU295" s="114"/>
      <c r="AV295" s="114"/>
      <c r="AW295" s="114"/>
      <c r="AX295" s="114"/>
      <c r="AY295" s="114"/>
      <c r="AZ295" s="114"/>
    </row>
    <row r="296" spans="1:52">
      <c r="A296" s="111"/>
      <c r="B296" s="111"/>
      <c r="C296" s="112"/>
      <c r="D296" s="101"/>
      <c r="E296" s="101"/>
      <c r="F296" s="101"/>
      <c r="G296" s="111"/>
      <c r="H296" s="101"/>
      <c r="I296" s="101"/>
      <c r="J296" s="101"/>
      <c r="K296" s="101"/>
      <c r="L296" s="101"/>
      <c r="M296" s="101"/>
      <c r="N296" s="101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14"/>
      <c r="Z296" s="114"/>
      <c r="AA296" s="114"/>
      <c r="AB296" s="114"/>
      <c r="AC296" s="114"/>
      <c r="AD296" s="114"/>
      <c r="AE296" s="114"/>
      <c r="AF296" s="114"/>
      <c r="AG296" s="114"/>
      <c r="AH296" s="114"/>
      <c r="AI296" s="114"/>
      <c r="AJ296" s="114"/>
      <c r="AK296" s="114"/>
      <c r="AL296" s="114"/>
      <c r="AM296" s="114"/>
      <c r="AN296" s="114"/>
      <c r="AO296" s="114"/>
      <c r="AP296" s="114"/>
      <c r="AQ296" s="114"/>
      <c r="AR296" s="114"/>
      <c r="AS296" s="114"/>
      <c r="AT296" s="114"/>
      <c r="AU296" s="114"/>
      <c r="AV296" s="114"/>
      <c r="AW296" s="114"/>
      <c r="AX296" s="114"/>
      <c r="AY296" s="114"/>
      <c r="AZ296" s="114"/>
    </row>
    <row r="297" spans="1:52">
      <c r="A297" s="111"/>
      <c r="B297" s="111"/>
      <c r="C297" s="112"/>
      <c r="D297" s="101"/>
      <c r="E297" s="101"/>
      <c r="F297" s="101"/>
      <c r="G297" s="111"/>
      <c r="H297" s="101"/>
      <c r="I297" s="101"/>
      <c r="J297" s="101"/>
      <c r="K297" s="101"/>
      <c r="L297" s="101"/>
      <c r="M297" s="101"/>
      <c r="N297" s="101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  <c r="Y297" s="114"/>
      <c r="Z297" s="114"/>
      <c r="AA297" s="114"/>
      <c r="AB297" s="114"/>
      <c r="AC297" s="114"/>
      <c r="AD297" s="114"/>
      <c r="AE297" s="114"/>
      <c r="AF297" s="114"/>
      <c r="AG297" s="114"/>
      <c r="AH297" s="114"/>
      <c r="AI297" s="114"/>
      <c r="AJ297" s="114"/>
      <c r="AK297" s="114"/>
      <c r="AL297" s="114"/>
      <c r="AM297" s="114"/>
      <c r="AN297" s="114"/>
      <c r="AO297" s="114"/>
      <c r="AP297" s="114"/>
      <c r="AQ297" s="114"/>
      <c r="AR297" s="114"/>
      <c r="AS297" s="114"/>
      <c r="AT297" s="114"/>
      <c r="AU297" s="114"/>
      <c r="AV297" s="114"/>
      <c r="AW297" s="114"/>
      <c r="AX297" s="114"/>
      <c r="AY297" s="114"/>
      <c r="AZ297" s="114"/>
    </row>
    <row r="298" spans="1:52">
      <c r="A298" s="111"/>
      <c r="B298" s="111"/>
      <c r="C298" s="112"/>
      <c r="D298" s="101"/>
      <c r="E298" s="101"/>
      <c r="F298" s="101"/>
      <c r="G298" s="111"/>
      <c r="H298" s="101"/>
      <c r="I298" s="101"/>
      <c r="J298" s="101"/>
      <c r="K298" s="101"/>
      <c r="L298" s="101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14"/>
      <c r="Z298" s="114"/>
      <c r="AA298" s="114"/>
      <c r="AB298" s="114"/>
      <c r="AC298" s="114"/>
      <c r="AD298" s="114"/>
      <c r="AE298" s="114"/>
      <c r="AF298" s="114"/>
      <c r="AG298" s="114"/>
      <c r="AH298" s="114"/>
      <c r="AI298" s="114"/>
      <c r="AJ298" s="114"/>
      <c r="AK298" s="114"/>
      <c r="AL298" s="114"/>
      <c r="AM298" s="114"/>
      <c r="AN298" s="114"/>
      <c r="AO298" s="114"/>
      <c r="AP298" s="114"/>
      <c r="AQ298" s="114"/>
      <c r="AR298" s="114"/>
      <c r="AS298" s="114"/>
      <c r="AT298" s="114"/>
      <c r="AU298" s="114"/>
      <c r="AV298" s="114"/>
      <c r="AW298" s="114"/>
      <c r="AX298" s="114"/>
      <c r="AY298" s="114"/>
      <c r="AZ298" s="114"/>
    </row>
    <row r="299" spans="1:52">
      <c r="A299" s="111"/>
      <c r="B299" s="111"/>
      <c r="C299" s="112"/>
      <c r="D299" s="101"/>
      <c r="E299" s="101"/>
      <c r="F299" s="101"/>
      <c r="G299" s="111"/>
      <c r="H299" s="101"/>
      <c r="I299" s="101"/>
      <c r="J299" s="101"/>
      <c r="K299" s="101"/>
      <c r="L299" s="101"/>
      <c r="M299" s="101"/>
      <c r="N299" s="101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14"/>
      <c r="Z299" s="114"/>
      <c r="AA299" s="114"/>
      <c r="AB299" s="114"/>
      <c r="AC299" s="114"/>
      <c r="AD299" s="114"/>
      <c r="AE299" s="114"/>
      <c r="AF299" s="114"/>
      <c r="AG299" s="114"/>
      <c r="AH299" s="114"/>
      <c r="AI299" s="114"/>
      <c r="AJ299" s="114"/>
      <c r="AK299" s="114"/>
      <c r="AL299" s="114"/>
      <c r="AM299" s="114"/>
      <c r="AN299" s="114"/>
      <c r="AO299" s="114"/>
      <c r="AP299" s="114"/>
      <c r="AQ299" s="114"/>
      <c r="AR299" s="114"/>
      <c r="AS299" s="114"/>
      <c r="AT299" s="114"/>
      <c r="AU299" s="114"/>
      <c r="AV299" s="114"/>
      <c r="AW299" s="114"/>
      <c r="AX299" s="114"/>
      <c r="AY299" s="114"/>
      <c r="AZ299" s="114"/>
    </row>
    <row r="300" spans="1:52">
      <c r="A300" s="111"/>
      <c r="B300" s="111"/>
      <c r="C300" s="112"/>
      <c r="D300" s="101"/>
      <c r="E300" s="101"/>
      <c r="F300" s="101"/>
      <c r="G300" s="111"/>
      <c r="H300" s="101"/>
      <c r="I300" s="101"/>
      <c r="J300" s="101"/>
      <c r="K300" s="101"/>
      <c r="L300" s="101"/>
      <c r="M300" s="101"/>
      <c r="N300" s="101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  <c r="Y300" s="114"/>
      <c r="Z300" s="114"/>
      <c r="AA300" s="114"/>
      <c r="AB300" s="114"/>
      <c r="AC300" s="114"/>
      <c r="AD300" s="114"/>
      <c r="AE300" s="114"/>
      <c r="AF300" s="114"/>
      <c r="AG300" s="114"/>
      <c r="AH300" s="114"/>
      <c r="AI300" s="114"/>
      <c r="AJ300" s="114"/>
      <c r="AK300" s="114"/>
      <c r="AL300" s="114"/>
      <c r="AM300" s="114"/>
      <c r="AN300" s="114"/>
      <c r="AO300" s="114"/>
      <c r="AP300" s="114"/>
      <c r="AQ300" s="114"/>
      <c r="AR300" s="114"/>
      <c r="AS300" s="114"/>
      <c r="AT300" s="114"/>
      <c r="AU300" s="114"/>
      <c r="AV300" s="114"/>
      <c r="AW300" s="114"/>
      <c r="AX300" s="114"/>
      <c r="AY300" s="114"/>
      <c r="AZ300" s="114"/>
    </row>
    <row r="301" spans="1:52">
      <c r="A301" s="111"/>
      <c r="B301" s="111"/>
      <c r="C301" s="112"/>
      <c r="D301" s="101"/>
      <c r="E301" s="101"/>
      <c r="F301" s="101"/>
      <c r="G301" s="111"/>
      <c r="H301" s="101"/>
      <c r="I301" s="101"/>
      <c r="J301" s="101"/>
      <c r="K301" s="101"/>
      <c r="L301" s="101"/>
      <c r="M301" s="101"/>
      <c r="N301" s="101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14"/>
      <c r="Z301" s="114"/>
      <c r="AA301" s="114"/>
      <c r="AB301" s="114"/>
      <c r="AC301" s="114"/>
      <c r="AD301" s="114"/>
      <c r="AE301" s="114"/>
      <c r="AF301" s="114"/>
      <c r="AG301" s="114"/>
      <c r="AH301" s="114"/>
      <c r="AI301" s="114"/>
      <c r="AJ301" s="114"/>
      <c r="AK301" s="114"/>
      <c r="AL301" s="114"/>
      <c r="AM301" s="114"/>
      <c r="AN301" s="114"/>
      <c r="AO301" s="114"/>
      <c r="AP301" s="114"/>
      <c r="AQ301" s="114"/>
      <c r="AR301" s="114"/>
      <c r="AS301" s="114"/>
      <c r="AT301" s="114"/>
      <c r="AU301" s="114"/>
      <c r="AV301" s="114"/>
      <c r="AW301" s="114"/>
      <c r="AX301" s="114"/>
      <c r="AY301" s="114"/>
      <c r="AZ301" s="114"/>
    </row>
    <row r="302" spans="1:52">
      <c r="A302" s="111"/>
      <c r="B302" s="111"/>
      <c r="C302" s="112"/>
      <c r="D302" s="101"/>
      <c r="E302" s="101"/>
      <c r="F302" s="101"/>
      <c r="G302" s="11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14"/>
      <c r="Z302" s="114"/>
      <c r="AA302" s="114"/>
      <c r="AB302" s="114"/>
      <c r="AC302" s="114"/>
      <c r="AD302" s="114"/>
      <c r="AE302" s="114"/>
      <c r="AF302" s="114"/>
      <c r="AG302" s="114"/>
      <c r="AH302" s="114"/>
      <c r="AI302" s="114"/>
      <c r="AJ302" s="114"/>
      <c r="AK302" s="114"/>
      <c r="AL302" s="114"/>
      <c r="AM302" s="114"/>
      <c r="AN302" s="114"/>
      <c r="AO302" s="114"/>
      <c r="AP302" s="114"/>
      <c r="AQ302" s="114"/>
      <c r="AR302" s="114"/>
      <c r="AS302" s="114"/>
      <c r="AT302" s="114"/>
      <c r="AU302" s="114"/>
      <c r="AV302" s="114"/>
      <c r="AW302" s="114"/>
      <c r="AX302" s="114"/>
      <c r="AY302" s="114"/>
      <c r="AZ302" s="114"/>
    </row>
    <row r="303" spans="1:52">
      <c r="A303" s="111"/>
      <c r="B303" s="111"/>
      <c r="C303" s="112"/>
      <c r="D303" s="101"/>
      <c r="E303" s="101"/>
      <c r="F303" s="101"/>
      <c r="G303" s="11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14"/>
      <c r="Z303" s="114"/>
      <c r="AA303" s="114"/>
      <c r="AB303" s="114"/>
      <c r="AC303" s="114"/>
      <c r="AD303" s="114"/>
      <c r="AE303" s="114"/>
      <c r="AF303" s="114"/>
      <c r="AG303" s="114"/>
      <c r="AH303" s="114"/>
      <c r="AI303" s="114"/>
      <c r="AJ303" s="114"/>
      <c r="AK303" s="114"/>
      <c r="AL303" s="114"/>
      <c r="AM303" s="114"/>
      <c r="AN303" s="114"/>
      <c r="AO303" s="114"/>
      <c r="AP303" s="114"/>
      <c r="AQ303" s="114"/>
      <c r="AR303" s="114"/>
      <c r="AS303" s="114"/>
      <c r="AT303" s="114"/>
      <c r="AU303" s="114"/>
      <c r="AV303" s="114"/>
      <c r="AW303" s="114"/>
      <c r="AX303" s="114"/>
      <c r="AY303" s="114"/>
      <c r="AZ303" s="114"/>
    </row>
    <row r="304" spans="1:52">
      <c r="A304" s="111"/>
      <c r="B304" s="111"/>
      <c r="C304" s="112"/>
      <c r="D304" s="101"/>
      <c r="E304" s="101"/>
      <c r="F304" s="101"/>
      <c r="G304" s="111"/>
      <c r="H304" s="101"/>
      <c r="I304" s="101"/>
      <c r="J304" s="101"/>
      <c r="K304" s="101"/>
      <c r="L304" s="101"/>
      <c r="M304" s="101"/>
      <c r="N304" s="101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  <c r="Y304" s="114"/>
      <c r="Z304" s="114"/>
      <c r="AA304" s="114"/>
      <c r="AB304" s="114"/>
      <c r="AC304" s="114"/>
      <c r="AD304" s="114"/>
      <c r="AE304" s="114"/>
      <c r="AF304" s="114"/>
      <c r="AG304" s="114"/>
      <c r="AH304" s="114"/>
      <c r="AI304" s="114"/>
      <c r="AJ304" s="114"/>
      <c r="AK304" s="114"/>
      <c r="AL304" s="114"/>
      <c r="AM304" s="114"/>
      <c r="AN304" s="114"/>
      <c r="AO304" s="114"/>
      <c r="AP304" s="114"/>
      <c r="AQ304" s="114"/>
      <c r="AR304" s="114"/>
      <c r="AS304" s="114"/>
      <c r="AT304" s="114"/>
      <c r="AU304" s="114"/>
      <c r="AV304" s="114"/>
      <c r="AW304" s="114"/>
      <c r="AX304" s="114"/>
      <c r="AY304" s="114"/>
      <c r="AZ304" s="114"/>
    </row>
    <row r="305" spans="1:52">
      <c r="A305" s="111"/>
      <c r="B305" s="111"/>
      <c r="C305" s="112"/>
      <c r="D305" s="101"/>
      <c r="E305" s="101"/>
      <c r="F305" s="101"/>
      <c r="G305" s="111"/>
      <c r="H305" s="101"/>
      <c r="I305" s="101"/>
      <c r="J305" s="101"/>
      <c r="K305" s="101"/>
      <c r="L305" s="101"/>
      <c r="M305" s="101"/>
      <c r="N305" s="101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14"/>
      <c r="Z305" s="114"/>
      <c r="AA305" s="114"/>
      <c r="AB305" s="114"/>
      <c r="AC305" s="114"/>
      <c r="AD305" s="114"/>
      <c r="AE305" s="114"/>
      <c r="AF305" s="114"/>
      <c r="AG305" s="114"/>
      <c r="AH305" s="114"/>
      <c r="AI305" s="114"/>
      <c r="AJ305" s="114"/>
      <c r="AK305" s="114"/>
      <c r="AL305" s="114"/>
      <c r="AM305" s="114"/>
      <c r="AN305" s="114"/>
      <c r="AO305" s="114"/>
      <c r="AP305" s="114"/>
      <c r="AQ305" s="114"/>
      <c r="AR305" s="114"/>
      <c r="AS305" s="114"/>
      <c r="AT305" s="114"/>
      <c r="AU305" s="114"/>
      <c r="AV305" s="114"/>
      <c r="AW305" s="114"/>
      <c r="AX305" s="114"/>
      <c r="AY305" s="114"/>
      <c r="AZ305" s="114"/>
    </row>
    <row r="306" spans="1:52">
      <c r="A306" s="111"/>
      <c r="B306" s="111"/>
      <c r="C306" s="112"/>
      <c r="D306" s="101"/>
      <c r="E306" s="101"/>
      <c r="F306" s="101"/>
      <c r="G306" s="111"/>
      <c r="H306" s="101"/>
      <c r="I306" s="101"/>
      <c r="J306" s="101"/>
      <c r="K306" s="101"/>
      <c r="L306" s="101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14"/>
      <c r="Z306" s="114"/>
      <c r="AA306" s="114"/>
      <c r="AB306" s="114"/>
      <c r="AC306" s="114"/>
      <c r="AD306" s="114"/>
      <c r="AE306" s="114"/>
      <c r="AF306" s="114"/>
      <c r="AG306" s="114"/>
      <c r="AH306" s="114"/>
      <c r="AI306" s="114"/>
      <c r="AJ306" s="114"/>
      <c r="AK306" s="114"/>
      <c r="AL306" s="114"/>
      <c r="AM306" s="114"/>
      <c r="AN306" s="114"/>
      <c r="AO306" s="114"/>
      <c r="AP306" s="114"/>
      <c r="AQ306" s="114"/>
      <c r="AR306" s="114"/>
      <c r="AS306" s="114"/>
      <c r="AT306" s="114"/>
      <c r="AU306" s="114"/>
      <c r="AV306" s="114"/>
      <c r="AW306" s="114"/>
      <c r="AX306" s="114"/>
      <c r="AY306" s="114"/>
      <c r="AZ306" s="114"/>
    </row>
    <row r="307" spans="1:52">
      <c r="A307" s="111"/>
      <c r="B307" s="111"/>
      <c r="C307" s="112"/>
      <c r="D307" s="101"/>
      <c r="E307" s="101"/>
      <c r="F307" s="101"/>
      <c r="G307" s="111"/>
      <c r="H307" s="101"/>
      <c r="I307" s="101"/>
      <c r="J307" s="101"/>
      <c r="K307" s="101"/>
      <c r="L307" s="101"/>
      <c r="M307" s="101"/>
      <c r="N307" s="101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14"/>
      <c r="Z307" s="114"/>
      <c r="AA307" s="114"/>
      <c r="AB307" s="114"/>
      <c r="AC307" s="114"/>
      <c r="AD307" s="114"/>
      <c r="AE307" s="114"/>
      <c r="AF307" s="114"/>
      <c r="AG307" s="114"/>
      <c r="AH307" s="114"/>
      <c r="AI307" s="114"/>
      <c r="AJ307" s="114"/>
      <c r="AK307" s="114"/>
      <c r="AL307" s="114"/>
      <c r="AM307" s="114"/>
      <c r="AN307" s="114"/>
      <c r="AO307" s="114"/>
      <c r="AP307" s="114"/>
      <c r="AQ307" s="114"/>
      <c r="AR307" s="114"/>
      <c r="AS307" s="114"/>
      <c r="AT307" s="114"/>
      <c r="AU307" s="114"/>
      <c r="AV307" s="114"/>
      <c r="AW307" s="114"/>
      <c r="AX307" s="114"/>
      <c r="AY307" s="114"/>
      <c r="AZ307" s="114"/>
    </row>
    <row r="308" spans="1:52">
      <c r="A308" s="111"/>
      <c r="B308" s="111"/>
      <c r="C308" s="112"/>
      <c r="D308" s="101"/>
      <c r="E308" s="101"/>
      <c r="F308" s="101"/>
      <c r="G308" s="111"/>
      <c r="H308" s="101"/>
      <c r="I308" s="101"/>
      <c r="J308" s="101"/>
      <c r="K308" s="101"/>
      <c r="L308" s="101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14"/>
      <c r="Z308" s="114"/>
      <c r="AA308" s="114"/>
      <c r="AB308" s="114"/>
      <c r="AC308" s="114"/>
      <c r="AD308" s="114"/>
      <c r="AE308" s="114"/>
      <c r="AF308" s="114"/>
      <c r="AG308" s="114"/>
      <c r="AH308" s="114"/>
      <c r="AI308" s="114"/>
      <c r="AJ308" s="114"/>
      <c r="AK308" s="114"/>
      <c r="AL308" s="114"/>
      <c r="AM308" s="114"/>
      <c r="AN308" s="114"/>
      <c r="AO308" s="114"/>
      <c r="AP308" s="114"/>
      <c r="AQ308" s="114"/>
      <c r="AR308" s="114"/>
      <c r="AS308" s="114"/>
      <c r="AT308" s="114"/>
      <c r="AU308" s="114"/>
      <c r="AV308" s="114"/>
      <c r="AW308" s="114"/>
      <c r="AX308" s="114"/>
      <c r="AY308" s="114"/>
      <c r="AZ308" s="114"/>
    </row>
    <row r="309" spans="1:52">
      <c r="A309" s="111"/>
      <c r="B309" s="111"/>
      <c r="C309" s="112"/>
      <c r="D309" s="101"/>
      <c r="E309" s="101"/>
      <c r="F309" s="101"/>
      <c r="G309" s="111"/>
      <c r="H309" s="101"/>
      <c r="I309" s="101"/>
      <c r="J309" s="101"/>
      <c r="K309" s="101"/>
      <c r="L309" s="101"/>
      <c r="M309" s="101"/>
      <c r="N309" s="101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  <c r="Y309" s="114"/>
      <c r="Z309" s="114"/>
      <c r="AA309" s="114"/>
      <c r="AB309" s="114"/>
      <c r="AC309" s="114"/>
      <c r="AD309" s="114"/>
      <c r="AE309" s="114"/>
      <c r="AF309" s="114"/>
      <c r="AG309" s="114"/>
      <c r="AH309" s="114"/>
      <c r="AI309" s="114"/>
      <c r="AJ309" s="114"/>
      <c r="AK309" s="114"/>
      <c r="AL309" s="114"/>
      <c r="AM309" s="114"/>
      <c r="AN309" s="114"/>
      <c r="AO309" s="114"/>
      <c r="AP309" s="114"/>
      <c r="AQ309" s="114"/>
      <c r="AR309" s="114"/>
      <c r="AS309" s="114"/>
      <c r="AT309" s="114"/>
      <c r="AU309" s="114"/>
      <c r="AV309" s="114"/>
      <c r="AW309" s="114"/>
      <c r="AX309" s="114"/>
      <c r="AY309" s="114"/>
      <c r="AZ309" s="114"/>
    </row>
    <row r="310" spans="1:52">
      <c r="A310" s="111"/>
      <c r="B310" s="111"/>
      <c r="C310" s="112"/>
      <c r="D310" s="101"/>
      <c r="E310" s="101"/>
      <c r="F310" s="101"/>
      <c r="G310" s="111"/>
      <c r="H310" s="101"/>
      <c r="I310" s="101"/>
      <c r="J310" s="101"/>
      <c r="K310" s="101"/>
      <c r="L310" s="101"/>
      <c r="M310" s="101"/>
      <c r="N310" s="101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14"/>
      <c r="Z310" s="114"/>
      <c r="AA310" s="114"/>
      <c r="AB310" s="114"/>
      <c r="AC310" s="114"/>
      <c r="AD310" s="114"/>
      <c r="AE310" s="114"/>
      <c r="AF310" s="114"/>
      <c r="AG310" s="114"/>
      <c r="AH310" s="114"/>
      <c r="AI310" s="114"/>
      <c r="AJ310" s="114"/>
      <c r="AK310" s="114"/>
      <c r="AL310" s="114"/>
      <c r="AM310" s="114"/>
      <c r="AN310" s="114"/>
      <c r="AO310" s="114"/>
      <c r="AP310" s="114"/>
      <c r="AQ310" s="114"/>
      <c r="AR310" s="114"/>
      <c r="AS310" s="114"/>
      <c r="AT310" s="114"/>
      <c r="AU310" s="114"/>
      <c r="AV310" s="114"/>
      <c r="AW310" s="114"/>
      <c r="AX310" s="114"/>
      <c r="AY310" s="114"/>
      <c r="AZ310" s="114"/>
    </row>
    <row r="311" spans="1:52">
      <c r="A311" s="111"/>
      <c r="B311" s="111"/>
      <c r="C311" s="112"/>
      <c r="D311" s="101"/>
      <c r="E311" s="101"/>
      <c r="F311" s="101"/>
      <c r="G311" s="111"/>
      <c r="H311" s="101"/>
      <c r="I311" s="101"/>
      <c r="J311" s="101"/>
      <c r="K311" s="101"/>
      <c r="L311" s="101"/>
      <c r="M311" s="101"/>
      <c r="N311" s="101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14"/>
      <c r="Z311" s="114"/>
      <c r="AA311" s="114"/>
      <c r="AB311" s="114"/>
      <c r="AC311" s="114"/>
      <c r="AD311" s="114"/>
      <c r="AE311" s="114"/>
      <c r="AF311" s="114"/>
      <c r="AG311" s="114"/>
      <c r="AH311" s="114"/>
      <c r="AI311" s="114"/>
      <c r="AJ311" s="114"/>
      <c r="AK311" s="114"/>
      <c r="AL311" s="114"/>
      <c r="AM311" s="114"/>
      <c r="AN311" s="114"/>
      <c r="AO311" s="114"/>
      <c r="AP311" s="114"/>
      <c r="AQ311" s="114"/>
      <c r="AR311" s="114"/>
      <c r="AS311" s="114"/>
      <c r="AT311" s="114"/>
      <c r="AU311" s="114"/>
      <c r="AV311" s="114"/>
      <c r="AW311" s="114"/>
      <c r="AX311" s="114"/>
      <c r="AY311" s="114"/>
      <c r="AZ311" s="114"/>
    </row>
    <row r="312" spans="1:52">
      <c r="A312" s="111"/>
      <c r="B312" s="111"/>
      <c r="C312" s="112"/>
      <c r="D312" s="101"/>
      <c r="E312" s="101"/>
      <c r="F312" s="101"/>
      <c r="G312" s="11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14"/>
      <c r="Z312" s="114"/>
      <c r="AA312" s="114"/>
      <c r="AB312" s="114"/>
      <c r="AC312" s="114"/>
      <c r="AD312" s="114"/>
      <c r="AE312" s="114"/>
      <c r="AF312" s="114"/>
      <c r="AG312" s="114"/>
      <c r="AH312" s="114"/>
      <c r="AI312" s="114"/>
      <c r="AJ312" s="114"/>
      <c r="AK312" s="114"/>
      <c r="AL312" s="114"/>
      <c r="AM312" s="114"/>
      <c r="AN312" s="114"/>
      <c r="AO312" s="114"/>
      <c r="AP312" s="114"/>
      <c r="AQ312" s="114"/>
      <c r="AR312" s="114"/>
      <c r="AS312" s="114"/>
      <c r="AT312" s="114"/>
      <c r="AU312" s="114"/>
      <c r="AV312" s="114"/>
      <c r="AW312" s="114"/>
      <c r="AX312" s="114"/>
      <c r="AY312" s="114"/>
      <c r="AZ312" s="114"/>
    </row>
    <row r="313" spans="1:52">
      <c r="A313" s="111"/>
      <c r="B313" s="111"/>
      <c r="C313" s="112"/>
      <c r="D313" s="101"/>
      <c r="E313" s="101"/>
      <c r="F313" s="101"/>
      <c r="G313" s="111"/>
      <c r="H313" s="101"/>
      <c r="I313" s="101"/>
      <c r="J313" s="101"/>
      <c r="K313" s="101"/>
      <c r="L313" s="101"/>
      <c r="M313" s="101"/>
      <c r="N313" s="101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  <c r="Y313" s="114"/>
      <c r="Z313" s="114"/>
      <c r="AA313" s="114"/>
      <c r="AB313" s="114"/>
      <c r="AC313" s="114"/>
      <c r="AD313" s="114"/>
      <c r="AE313" s="114"/>
      <c r="AF313" s="114"/>
      <c r="AG313" s="114"/>
      <c r="AH313" s="114"/>
      <c r="AI313" s="114"/>
      <c r="AJ313" s="114"/>
      <c r="AK313" s="114"/>
      <c r="AL313" s="114"/>
      <c r="AM313" s="114"/>
      <c r="AN313" s="114"/>
      <c r="AO313" s="114"/>
      <c r="AP313" s="114"/>
      <c r="AQ313" s="114"/>
      <c r="AR313" s="114"/>
      <c r="AS313" s="114"/>
      <c r="AT313" s="114"/>
      <c r="AU313" s="114"/>
      <c r="AV313" s="114"/>
      <c r="AW313" s="114"/>
      <c r="AX313" s="114"/>
      <c r="AY313" s="114"/>
      <c r="AZ313" s="114"/>
    </row>
    <row r="314" spans="1:52">
      <c r="A314" s="111"/>
      <c r="B314" s="111"/>
      <c r="C314" s="112"/>
      <c r="D314" s="101"/>
      <c r="E314" s="101"/>
      <c r="F314" s="101"/>
      <c r="G314" s="111"/>
      <c r="H314" s="101"/>
      <c r="I314" s="101"/>
      <c r="J314" s="101"/>
      <c r="K314" s="101"/>
      <c r="L314" s="101"/>
      <c r="M314" s="101"/>
      <c r="N314" s="101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14"/>
      <c r="Z314" s="114"/>
      <c r="AA314" s="114"/>
      <c r="AB314" s="114"/>
      <c r="AC314" s="114"/>
      <c r="AD314" s="114"/>
      <c r="AE314" s="114"/>
      <c r="AF314" s="114"/>
      <c r="AG314" s="114"/>
      <c r="AH314" s="114"/>
      <c r="AI314" s="114"/>
      <c r="AJ314" s="114"/>
      <c r="AK314" s="114"/>
      <c r="AL314" s="114"/>
      <c r="AM314" s="114"/>
      <c r="AN314" s="114"/>
      <c r="AO314" s="114"/>
      <c r="AP314" s="114"/>
      <c r="AQ314" s="114"/>
      <c r="AR314" s="114"/>
      <c r="AS314" s="114"/>
      <c r="AT314" s="114"/>
      <c r="AU314" s="114"/>
      <c r="AV314" s="114"/>
      <c r="AW314" s="114"/>
      <c r="AX314" s="114"/>
      <c r="AY314" s="114"/>
      <c r="AZ314" s="114"/>
    </row>
    <row r="315" spans="1:52">
      <c r="A315" s="111"/>
      <c r="B315" s="111"/>
      <c r="C315" s="112"/>
      <c r="D315" s="101"/>
      <c r="E315" s="101"/>
      <c r="F315" s="101"/>
      <c r="G315" s="111"/>
      <c r="H315" s="101"/>
      <c r="I315" s="101"/>
      <c r="J315" s="101"/>
      <c r="K315" s="101"/>
      <c r="L315" s="101"/>
      <c r="M315" s="101"/>
      <c r="N315" s="101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  <c r="Y315" s="114"/>
      <c r="Z315" s="114"/>
      <c r="AA315" s="114"/>
      <c r="AB315" s="114"/>
      <c r="AC315" s="114"/>
      <c r="AD315" s="114"/>
      <c r="AE315" s="114"/>
      <c r="AF315" s="114"/>
      <c r="AG315" s="114"/>
      <c r="AH315" s="114"/>
      <c r="AI315" s="114"/>
      <c r="AJ315" s="114"/>
      <c r="AK315" s="114"/>
      <c r="AL315" s="114"/>
      <c r="AM315" s="114"/>
      <c r="AN315" s="114"/>
      <c r="AO315" s="114"/>
      <c r="AP315" s="114"/>
      <c r="AQ315" s="114"/>
      <c r="AR315" s="114"/>
      <c r="AS315" s="114"/>
      <c r="AT315" s="114"/>
      <c r="AU315" s="114"/>
      <c r="AV315" s="114"/>
      <c r="AW315" s="114"/>
      <c r="AX315" s="114"/>
      <c r="AY315" s="114"/>
      <c r="AZ315" s="114"/>
    </row>
    <row r="316" spans="1:52">
      <c r="A316" s="111"/>
      <c r="B316" s="111"/>
      <c r="C316" s="112"/>
      <c r="D316" s="101"/>
      <c r="E316" s="101"/>
      <c r="F316" s="101"/>
      <c r="G316" s="111"/>
      <c r="H316" s="101"/>
      <c r="I316" s="101"/>
      <c r="J316" s="101"/>
      <c r="K316" s="101"/>
      <c r="L316" s="101"/>
      <c r="M316" s="101"/>
      <c r="N316" s="101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  <c r="Y316" s="114"/>
      <c r="Z316" s="114"/>
      <c r="AA316" s="114"/>
      <c r="AB316" s="114"/>
      <c r="AC316" s="114"/>
      <c r="AD316" s="114"/>
      <c r="AE316" s="114"/>
      <c r="AF316" s="114"/>
      <c r="AG316" s="114"/>
      <c r="AH316" s="114"/>
      <c r="AI316" s="114"/>
      <c r="AJ316" s="114"/>
      <c r="AK316" s="114"/>
      <c r="AL316" s="114"/>
      <c r="AM316" s="114"/>
      <c r="AN316" s="114"/>
      <c r="AO316" s="114"/>
      <c r="AP316" s="114"/>
      <c r="AQ316" s="114"/>
      <c r="AR316" s="114"/>
      <c r="AS316" s="114"/>
      <c r="AT316" s="114"/>
      <c r="AU316" s="114"/>
      <c r="AV316" s="114"/>
      <c r="AW316" s="114"/>
      <c r="AX316" s="114"/>
      <c r="AY316" s="114"/>
      <c r="AZ316" s="114"/>
    </row>
    <row r="317" spans="1:52">
      <c r="A317" s="111"/>
      <c r="B317" s="111"/>
      <c r="C317" s="112"/>
      <c r="D317" s="101"/>
      <c r="E317" s="101"/>
      <c r="F317" s="101"/>
      <c r="G317" s="111"/>
      <c r="H317" s="101"/>
      <c r="I317" s="101"/>
      <c r="J317" s="101"/>
      <c r="K317" s="101"/>
      <c r="L317" s="101"/>
      <c r="M317" s="101"/>
      <c r="N317" s="101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  <c r="Y317" s="114"/>
      <c r="Z317" s="114"/>
      <c r="AA317" s="114"/>
      <c r="AB317" s="114"/>
      <c r="AC317" s="114"/>
      <c r="AD317" s="114"/>
      <c r="AE317" s="114"/>
      <c r="AF317" s="114"/>
      <c r="AG317" s="114"/>
      <c r="AH317" s="114"/>
      <c r="AI317" s="114"/>
      <c r="AJ317" s="114"/>
      <c r="AK317" s="114"/>
      <c r="AL317" s="114"/>
      <c r="AM317" s="114"/>
      <c r="AN317" s="114"/>
      <c r="AO317" s="114"/>
      <c r="AP317" s="114"/>
      <c r="AQ317" s="114"/>
      <c r="AR317" s="114"/>
      <c r="AS317" s="114"/>
      <c r="AT317" s="114"/>
      <c r="AU317" s="114"/>
      <c r="AV317" s="114"/>
      <c r="AW317" s="114"/>
      <c r="AX317" s="114"/>
      <c r="AY317" s="114"/>
      <c r="AZ317" s="114"/>
    </row>
    <row r="318" spans="1:52">
      <c r="A318" s="111"/>
      <c r="B318" s="111"/>
      <c r="C318" s="112"/>
      <c r="D318" s="101"/>
      <c r="E318" s="101"/>
      <c r="F318" s="101"/>
      <c r="G318" s="111"/>
      <c r="H318" s="101"/>
      <c r="I318" s="101"/>
      <c r="J318" s="101"/>
      <c r="K318" s="101"/>
      <c r="L318" s="101"/>
      <c r="M318" s="101"/>
      <c r="N318" s="101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14"/>
      <c r="Z318" s="114"/>
      <c r="AA318" s="114"/>
      <c r="AB318" s="114"/>
      <c r="AC318" s="114"/>
      <c r="AD318" s="114"/>
      <c r="AE318" s="114"/>
      <c r="AF318" s="114"/>
      <c r="AG318" s="114"/>
      <c r="AH318" s="114"/>
      <c r="AI318" s="114"/>
      <c r="AJ318" s="114"/>
      <c r="AK318" s="114"/>
      <c r="AL318" s="114"/>
      <c r="AM318" s="114"/>
      <c r="AN318" s="114"/>
      <c r="AO318" s="114"/>
      <c r="AP318" s="114"/>
      <c r="AQ318" s="114"/>
      <c r="AR318" s="114"/>
      <c r="AS318" s="114"/>
      <c r="AT318" s="114"/>
      <c r="AU318" s="114"/>
      <c r="AV318" s="114"/>
      <c r="AW318" s="114"/>
      <c r="AX318" s="114"/>
      <c r="AY318" s="114"/>
      <c r="AZ318" s="114"/>
    </row>
    <row r="319" spans="1:52">
      <c r="A319" s="111"/>
      <c r="B319" s="111"/>
      <c r="C319" s="112"/>
      <c r="D319" s="101"/>
      <c r="E319" s="101"/>
      <c r="F319" s="101"/>
      <c r="G319" s="111"/>
      <c r="H319" s="101"/>
      <c r="I319" s="101"/>
      <c r="J319" s="101"/>
      <c r="K319" s="101"/>
      <c r="L319" s="101"/>
      <c r="M319" s="101"/>
      <c r="N319" s="101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14"/>
      <c r="Z319" s="114"/>
      <c r="AA319" s="114"/>
      <c r="AB319" s="114"/>
      <c r="AC319" s="114"/>
      <c r="AD319" s="114"/>
      <c r="AE319" s="114"/>
      <c r="AF319" s="114"/>
      <c r="AG319" s="114"/>
      <c r="AH319" s="114"/>
      <c r="AI319" s="114"/>
      <c r="AJ319" s="114"/>
      <c r="AK319" s="114"/>
      <c r="AL319" s="114"/>
      <c r="AM319" s="114"/>
      <c r="AN319" s="114"/>
      <c r="AO319" s="114"/>
      <c r="AP319" s="114"/>
      <c r="AQ319" s="114"/>
      <c r="AR319" s="114"/>
      <c r="AS319" s="114"/>
      <c r="AT319" s="114"/>
      <c r="AU319" s="114"/>
      <c r="AV319" s="114"/>
      <c r="AW319" s="114"/>
      <c r="AX319" s="114"/>
      <c r="AY319" s="114"/>
      <c r="AZ319" s="114"/>
    </row>
    <row r="320" spans="1:52">
      <c r="A320" s="111"/>
      <c r="B320" s="111"/>
      <c r="C320" s="112"/>
      <c r="D320" s="101"/>
      <c r="E320" s="101"/>
      <c r="F320" s="101"/>
      <c r="G320" s="111"/>
      <c r="H320" s="101"/>
      <c r="I320" s="101"/>
      <c r="J320" s="101"/>
      <c r="K320" s="101"/>
      <c r="L320" s="101"/>
      <c r="M320" s="101"/>
      <c r="N320" s="101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14"/>
      <c r="Z320" s="114"/>
      <c r="AA320" s="114"/>
      <c r="AB320" s="114"/>
      <c r="AC320" s="114"/>
      <c r="AD320" s="114"/>
      <c r="AE320" s="114"/>
      <c r="AF320" s="114"/>
      <c r="AG320" s="114"/>
      <c r="AH320" s="114"/>
      <c r="AI320" s="114"/>
      <c r="AJ320" s="114"/>
      <c r="AK320" s="114"/>
      <c r="AL320" s="114"/>
      <c r="AM320" s="114"/>
      <c r="AN320" s="114"/>
      <c r="AO320" s="114"/>
      <c r="AP320" s="114"/>
      <c r="AQ320" s="114"/>
      <c r="AR320" s="114"/>
      <c r="AS320" s="114"/>
      <c r="AT320" s="114"/>
      <c r="AU320" s="114"/>
      <c r="AV320" s="114"/>
      <c r="AW320" s="114"/>
      <c r="AX320" s="114"/>
      <c r="AY320" s="114"/>
      <c r="AZ320" s="114"/>
    </row>
    <row r="321" spans="1:52">
      <c r="A321" s="111"/>
      <c r="B321" s="111"/>
      <c r="C321" s="112"/>
      <c r="D321" s="101"/>
      <c r="E321" s="101"/>
      <c r="F321" s="101"/>
      <c r="G321" s="111"/>
      <c r="H321" s="101"/>
      <c r="I321" s="101"/>
      <c r="J321" s="101"/>
      <c r="K321" s="101"/>
      <c r="L321" s="101"/>
      <c r="M321" s="101"/>
      <c r="N321" s="101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14"/>
      <c r="Z321" s="114"/>
      <c r="AA321" s="114"/>
      <c r="AB321" s="114"/>
      <c r="AC321" s="114"/>
      <c r="AD321" s="114"/>
      <c r="AE321" s="114"/>
      <c r="AF321" s="114"/>
      <c r="AG321" s="114"/>
      <c r="AH321" s="114"/>
      <c r="AI321" s="114"/>
      <c r="AJ321" s="114"/>
      <c r="AK321" s="114"/>
      <c r="AL321" s="114"/>
      <c r="AM321" s="114"/>
      <c r="AN321" s="114"/>
      <c r="AO321" s="114"/>
      <c r="AP321" s="114"/>
      <c r="AQ321" s="114"/>
      <c r="AR321" s="114"/>
      <c r="AS321" s="114"/>
      <c r="AT321" s="114"/>
      <c r="AU321" s="114"/>
      <c r="AV321" s="114"/>
      <c r="AW321" s="114"/>
      <c r="AX321" s="114"/>
      <c r="AY321" s="114"/>
      <c r="AZ321" s="114"/>
    </row>
    <row r="322" spans="1:52">
      <c r="A322" s="111"/>
      <c r="B322" s="111"/>
      <c r="C322" s="112"/>
      <c r="D322" s="101"/>
      <c r="E322" s="101"/>
      <c r="F322" s="101"/>
      <c r="G322" s="111"/>
      <c r="H322" s="101"/>
      <c r="I322" s="101"/>
      <c r="J322" s="101"/>
      <c r="K322" s="101"/>
      <c r="L322" s="101"/>
      <c r="M322" s="101"/>
      <c r="N322" s="101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  <c r="Y322" s="114"/>
      <c r="Z322" s="114"/>
      <c r="AA322" s="114"/>
      <c r="AB322" s="114"/>
      <c r="AC322" s="114"/>
      <c r="AD322" s="114"/>
      <c r="AE322" s="114"/>
      <c r="AF322" s="114"/>
      <c r="AG322" s="114"/>
      <c r="AH322" s="114"/>
      <c r="AI322" s="114"/>
      <c r="AJ322" s="114"/>
      <c r="AK322" s="114"/>
      <c r="AL322" s="114"/>
      <c r="AM322" s="114"/>
      <c r="AN322" s="114"/>
      <c r="AO322" s="114"/>
      <c r="AP322" s="114"/>
      <c r="AQ322" s="114"/>
      <c r="AR322" s="114"/>
      <c r="AS322" s="114"/>
      <c r="AT322" s="114"/>
      <c r="AU322" s="114"/>
      <c r="AV322" s="114"/>
      <c r="AW322" s="114"/>
      <c r="AX322" s="114"/>
      <c r="AY322" s="114"/>
      <c r="AZ322" s="114"/>
    </row>
    <row r="323" spans="1:52">
      <c r="A323" s="111"/>
      <c r="B323" s="111"/>
      <c r="C323" s="112"/>
      <c r="D323" s="101"/>
      <c r="E323" s="101"/>
      <c r="F323" s="101"/>
      <c r="G323" s="111"/>
      <c r="H323" s="101"/>
      <c r="I323" s="101"/>
      <c r="J323" s="101"/>
      <c r="K323" s="101"/>
      <c r="L323" s="101"/>
      <c r="M323" s="101"/>
      <c r="N323" s="101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14"/>
      <c r="Z323" s="114"/>
      <c r="AA323" s="114"/>
      <c r="AB323" s="114"/>
      <c r="AC323" s="114"/>
      <c r="AD323" s="114"/>
      <c r="AE323" s="114"/>
      <c r="AF323" s="114"/>
      <c r="AG323" s="114"/>
      <c r="AH323" s="114"/>
      <c r="AI323" s="114"/>
      <c r="AJ323" s="114"/>
      <c r="AK323" s="114"/>
      <c r="AL323" s="114"/>
      <c r="AM323" s="114"/>
      <c r="AN323" s="114"/>
      <c r="AO323" s="114"/>
      <c r="AP323" s="114"/>
      <c r="AQ323" s="114"/>
      <c r="AR323" s="114"/>
      <c r="AS323" s="114"/>
      <c r="AT323" s="114"/>
      <c r="AU323" s="114"/>
      <c r="AV323" s="114"/>
      <c r="AW323" s="114"/>
      <c r="AX323" s="114"/>
      <c r="AY323" s="114"/>
      <c r="AZ323" s="114"/>
    </row>
    <row r="324" spans="1:52">
      <c r="A324" s="111"/>
      <c r="B324" s="111"/>
      <c r="C324" s="112"/>
      <c r="D324" s="101"/>
      <c r="E324" s="101"/>
      <c r="F324" s="101"/>
      <c r="G324" s="111"/>
      <c r="H324" s="101"/>
      <c r="I324" s="101"/>
      <c r="J324" s="101"/>
      <c r="K324" s="101"/>
      <c r="L324" s="101"/>
      <c r="M324" s="101"/>
      <c r="N324" s="101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14"/>
      <c r="Z324" s="114"/>
      <c r="AA324" s="114"/>
      <c r="AB324" s="114"/>
      <c r="AC324" s="114"/>
      <c r="AD324" s="114"/>
      <c r="AE324" s="114"/>
      <c r="AF324" s="114"/>
      <c r="AG324" s="114"/>
      <c r="AH324" s="114"/>
      <c r="AI324" s="114"/>
      <c r="AJ324" s="114"/>
      <c r="AK324" s="114"/>
      <c r="AL324" s="114"/>
      <c r="AM324" s="114"/>
      <c r="AN324" s="114"/>
      <c r="AO324" s="114"/>
      <c r="AP324" s="114"/>
      <c r="AQ324" s="114"/>
      <c r="AR324" s="114"/>
      <c r="AS324" s="114"/>
      <c r="AT324" s="114"/>
      <c r="AU324" s="114"/>
      <c r="AV324" s="114"/>
      <c r="AW324" s="114"/>
      <c r="AX324" s="114"/>
      <c r="AY324" s="114"/>
      <c r="AZ324" s="114"/>
    </row>
    <row r="325" spans="1:52">
      <c r="A325" s="111"/>
      <c r="B325" s="111"/>
      <c r="C325" s="112"/>
      <c r="D325" s="101"/>
      <c r="E325" s="101"/>
      <c r="F325" s="101"/>
      <c r="G325" s="11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14"/>
      <c r="Z325" s="114"/>
      <c r="AA325" s="114"/>
      <c r="AB325" s="114"/>
      <c r="AC325" s="114"/>
      <c r="AD325" s="114"/>
      <c r="AE325" s="114"/>
      <c r="AF325" s="114"/>
      <c r="AG325" s="114"/>
      <c r="AH325" s="114"/>
      <c r="AI325" s="114"/>
      <c r="AJ325" s="114"/>
      <c r="AK325" s="114"/>
      <c r="AL325" s="114"/>
      <c r="AM325" s="114"/>
      <c r="AN325" s="114"/>
      <c r="AO325" s="114"/>
      <c r="AP325" s="114"/>
      <c r="AQ325" s="114"/>
      <c r="AR325" s="114"/>
      <c r="AS325" s="114"/>
      <c r="AT325" s="114"/>
      <c r="AU325" s="114"/>
      <c r="AV325" s="114"/>
      <c r="AW325" s="114"/>
      <c r="AX325" s="114"/>
      <c r="AY325" s="114"/>
      <c r="AZ325" s="114"/>
    </row>
    <row r="326" spans="1:52">
      <c r="A326" s="111"/>
      <c r="B326" s="111"/>
      <c r="C326" s="112"/>
      <c r="D326" s="101"/>
      <c r="E326" s="101"/>
      <c r="F326" s="101"/>
      <c r="G326" s="11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14"/>
      <c r="Z326" s="114"/>
      <c r="AA326" s="114"/>
      <c r="AB326" s="114"/>
      <c r="AC326" s="114"/>
      <c r="AD326" s="114"/>
      <c r="AE326" s="114"/>
      <c r="AF326" s="114"/>
      <c r="AG326" s="114"/>
      <c r="AH326" s="114"/>
      <c r="AI326" s="114"/>
      <c r="AJ326" s="114"/>
      <c r="AK326" s="114"/>
      <c r="AL326" s="114"/>
      <c r="AM326" s="114"/>
      <c r="AN326" s="114"/>
      <c r="AO326" s="114"/>
      <c r="AP326" s="114"/>
      <c r="AQ326" s="114"/>
      <c r="AR326" s="114"/>
      <c r="AS326" s="114"/>
      <c r="AT326" s="114"/>
      <c r="AU326" s="114"/>
      <c r="AV326" s="114"/>
      <c r="AW326" s="114"/>
      <c r="AX326" s="114"/>
      <c r="AY326" s="114"/>
      <c r="AZ326" s="114"/>
    </row>
    <row r="327" spans="1:52">
      <c r="A327" s="111"/>
      <c r="B327" s="111"/>
      <c r="C327" s="112"/>
      <c r="D327" s="101"/>
      <c r="E327" s="101"/>
      <c r="F327" s="101"/>
      <c r="G327" s="11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14"/>
      <c r="Z327" s="114"/>
      <c r="AA327" s="114"/>
      <c r="AB327" s="114"/>
      <c r="AC327" s="114"/>
      <c r="AD327" s="114"/>
      <c r="AE327" s="114"/>
      <c r="AF327" s="114"/>
      <c r="AG327" s="114"/>
      <c r="AH327" s="114"/>
      <c r="AI327" s="114"/>
      <c r="AJ327" s="114"/>
      <c r="AK327" s="114"/>
      <c r="AL327" s="114"/>
      <c r="AM327" s="114"/>
      <c r="AN327" s="114"/>
      <c r="AO327" s="114"/>
      <c r="AP327" s="114"/>
      <c r="AQ327" s="114"/>
      <c r="AR327" s="114"/>
      <c r="AS327" s="114"/>
      <c r="AT327" s="114"/>
      <c r="AU327" s="114"/>
      <c r="AV327" s="114"/>
      <c r="AW327" s="114"/>
      <c r="AX327" s="114"/>
      <c r="AY327" s="114"/>
      <c r="AZ327" s="114"/>
    </row>
    <row r="328" spans="1:52">
      <c r="A328" s="111"/>
      <c r="B328" s="111"/>
      <c r="C328" s="112"/>
      <c r="D328" s="101"/>
      <c r="E328" s="101"/>
      <c r="F328" s="101"/>
      <c r="G328" s="11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14"/>
      <c r="Z328" s="114"/>
      <c r="AA328" s="114"/>
      <c r="AB328" s="114"/>
      <c r="AC328" s="114"/>
      <c r="AD328" s="114"/>
      <c r="AE328" s="114"/>
      <c r="AF328" s="114"/>
      <c r="AG328" s="114"/>
      <c r="AH328" s="114"/>
      <c r="AI328" s="114"/>
      <c r="AJ328" s="114"/>
      <c r="AK328" s="114"/>
      <c r="AL328" s="114"/>
      <c r="AM328" s="114"/>
      <c r="AN328" s="114"/>
      <c r="AO328" s="114"/>
      <c r="AP328" s="114"/>
      <c r="AQ328" s="114"/>
      <c r="AR328" s="114"/>
      <c r="AS328" s="114"/>
      <c r="AT328" s="114"/>
      <c r="AU328" s="114"/>
      <c r="AV328" s="114"/>
      <c r="AW328" s="114"/>
      <c r="AX328" s="114"/>
      <c r="AY328" s="114"/>
      <c r="AZ328" s="114"/>
    </row>
    <row r="329" spans="1:52">
      <c r="A329" s="111"/>
      <c r="B329" s="111"/>
      <c r="C329" s="112"/>
      <c r="D329" s="101"/>
      <c r="E329" s="101"/>
      <c r="F329" s="101"/>
      <c r="G329" s="11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14"/>
      <c r="Z329" s="114"/>
      <c r="AA329" s="114"/>
      <c r="AB329" s="114"/>
      <c r="AC329" s="114"/>
      <c r="AD329" s="114"/>
      <c r="AE329" s="114"/>
      <c r="AF329" s="114"/>
      <c r="AG329" s="114"/>
      <c r="AH329" s="114"/>
      <c r="AI329" s="114"/>
      <c r="AJ329" s="114"/>
      <c r="AK329" s="114"/>
      <c r="AL329" s="114"/>
      <c r="AM329" s="114"/>
      <c r="AN329" s="114"/>
      <c r="AO329" s="114"/>
      <c r="AP329" s="114"/>
      <c r="AQ329" s="114"/>
      <c r="AR329" s="114"/>
      <c r="AS329" s="114"/>
      <c r="AT329" s="114"/>
      <c r="AU329" s="114"/>
      <c r="AV329" s="114"/>
      <c r="AW329" s="114"/>
      <c r="AX329" s="114"/>
      <c r="AY329" s="114"/>
      <c r="AZ329" s="114"/>
    </row>
    <row r="330" spans="1:52">
      <c r="A330" s="111"/>
      <c r="B330" s="111"/>
      <c r="C330" s="112"/>
      <c r="D330" s="101"/>
      <c r="E330" s="101"/>
      <c r="F330" s="101"/>
      <c r="G330" s="111"/>
      <c r="H330" s="101"/>
      <c r="I330" s="101"/>
      <c r="J330" s="101"/>
      <c r="K330" s="101"/>
      <c r="L330" s="101"/>
      <c r="M330" s="101"/>
      <c r="N330" s="101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  <c r="Y330" s="114"/>
      <c r="Z330" s="114"/>
      <c r="AA330" s="114"/>
      <c r="AB330" s="114"/>
      <c r="AC330" s="114"/>
      <c r="AD330" s="114"/>
      <c r="AE330" s="114"/>
      <c r="AF330" s="114"/>
      <c r="AG330" s="114"/>
      <c r="AH330" s="114"/>
      <c r="AI330" s="114"/>
      <c r="AJ330" s="114"/>
      <c r="AK330" s="114"/>
      <c r="AL330" s="114"/>
      <c r="AM330" s="114"/>
      <c r="AN330" s="114"/>
      <c r="AO330" s="114"/>
      <c r="AP330" s="114"/>
      <c r="AQ330" s="114"/>
      <c r="AR330" s="114"/>
      <c r="AS330" s="114"/>
      <c r="AT330" s="114"/>
      <c r="AU330" s="114"/>
      <c r="AV330" s="114"/>
      <c r="AW330" s="114"/>
      <c r="AX330" s="114"/>
      <c r="AY330" s="114"/>
      <c r="AZ330" s="114"/>
    </row>
    <row r="331" spans="1:52">
      <c r="A331" s="111"/>
      <c r="B331" s="111"/>
      <c r="C331" s="112"/>
      <c r="D331" s="101"/>
      <c r="E331" s="101"/>
      <c r="F331" s="101"/>
      <c r="G331" s="111"/>
      <c r="H331" s="101"/>
      <c r="I331" s="101"/>
      <c r="J331" s="101"/>
      <c r="K331" s="101"/>
      <c r="L331" s="101"/>
      <c r="M331" s="101"/>
      <c r="N331" s="101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14"/>
      <c r="Z331" s="114"/>
      <c r="AA331" s="114"/>
      <c r="AB331" s="114"/>
      <c r="AC331" s="114"/>
      <c r="AD331" s="114"/>
      <c r="AE331" s="114"/>
      <c r="AF331" s="114"/>
      <c r="AG331" s="114"/>
      <c r="AH331" s="114"/>
      <c r="AI331" s="114"/>
      <c r="AJ331" s="114"/>
      <c r="AK331" s="114"/>
      <c r="AL331" s="114"/>
      <c r="AM331" s="114"/>
      <c r="AN331" s="114"/>
      <c r="AO331" s="114"/>
      <c r="AP331" s="114"/>
      <c r="AQ331" s="114"/>
      <c r="AR331" s="114"/>
      <c r="AS331" s="114"/>
      <c r="AT331" s="114"/>
      <c r="AU331" s="114"/>
      <c r="AV331" s="114"/>
      <c r="AW331" s="114"/>
      <c r="AX331" s="114"/>
      <c r="AY331" s="114"/>
      <c r="AZ331" s="114"/>
    </row>
    <row r="332" spans="1:52">
      <c r="A332" s="111"/>
      <c r="B332" s="111"/>
      <c r="C332" s="112"/>
      <c r="D332" s="101"/>
      <c r="E332" s="101"/>
      <c r="F332" s="101"/>
      <c r="G332" s="111"/>
      <c r="H332" s="101"/>
      <c r="I332" s="101"/>
      <c r="J332" s="101"/>
      <c r="K332" s="101"/>
      <c r="L332" s="101"/>
      <c r="M332" s="101"/>
      <c r="N332" s="101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  <c r="Y332" s="114"/>
      <c r="Z332" s="114"/>
      <c r="AA332" s="114"/>
      <c r="AB332" s="114"/>
      <c r="AC332" s="114"/>
      <c r="AD332" s="114"/>
      <c r="AE332" s="114"/>
      <c r="AF332" s="114"/>
      <c r="AG332" s="114"/>
      <c r="AH332" s="114"/>
      <c r="AI332" s="114"/>
      <c r="AJ332" s="114"/>
      <c r="AK332" s="114"/>
      <c r="AL332" s="114"/>
      <c r="AM332" s="114"/>
      <c r="AN332" s="114"/>
      <c r="AO332" s="114"/>
      <c r="AP332" s="114"/>
      <c r="AQ332" s="114"/>
      <c r="AR332" s="114"/>
      <c r="AS332" s="114"/>
      <c r="AT332" s="114"/>
      <c r="AU332" s="114"/>
      <c r="AV332" s="114"/>
      <c r="AW332" s="114"/>
      <c r="AX332" s="114"/>
      <c r="AY332" s="114"/>
      <c r="AZ332" s="114"/>
    </row>
    <row r="333" spans="1:52">
      <c r="A333" s="111"/>
      <c r="B333" s="111"/>
      <c r="C333" s="112"/>
      <c r="D333" s="101"/>
      <c r="E333" s="101"/>
      <c r="F333" s="101"/>
      <c r="G333" s="111"/>
      <c r="H333" s="101"/>
      <c r="I333" s="101"/>
      <c r="J333" s="101"/>
      <c r="K333" s="101"/>
      <c r="L333" s="101"/>
      <c r="M333" s="101"/>
      <c r="N333" s="101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14"/>
      <c r="Z333" s="114"/>
      <c r="AA333" s="114"/>
      <c r="AB333" s="114"/>
      <c r="AC333" s="114"/>
      <c r="AD333" s="114"/>
      <c r="AE333" s="114"/>
      <c r="AF333" s="114"/>
      <c r="AG333" s="114"/>
      <c r="AH333" s="114"/>
      <c r="AI333" s="114"/>
      <c r="AJ333" s="114"/>
      <c r="AK333" s="114"/>
      <c r="AL333" s="114"/>
      <c r="AM333" s="114"/>
      <c r="AN333" s="114"/>
      <c r="AO333" s="114"/>
      <c r="AP333" s="114"/>
      <c r="AQ333" s="114"/>
      <c r="AR333" s="114"/>
      <c r="AS333" s="114"/>
      <c r="AT333" s="114"/>
      <c r="AU333" s="114"/>
      <c r="AV333" s="114"/>
      <c r="AW333" s="114"/>
      <c r="AX333" s="114"/>
      <c r="AY333" s="114"/>
      <c r="AZ333" s="114"/>
    </row>
    <row r="334" spans="1:52">
      <c r="A334" s="111"/>
      <c r="B334" s="111"/>
      <c r="C334" s="112"/>
      <c r="D334" s="101"/>
      <c r="E334" s="101"/>
      <c r="F334" s="101"/>
      <c r="G334" s="111"/>
      <c r="H334" s="101"/>
      <c r="I334" s="101"/>
      <c r="J334" s="101"/>
      <c r="K334" s="101"/>
      <c r="L334" s="101"/>
      <c r="M334" s="101"/>
      <c r="N334" s="101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14"/>
      <c r="Z334" s="114"/>
      <c r="AA334" s="114"/>
      <c r="AB334" s="114"/>
      <c r="AC334" s="114"/>
      <c r="AD334" s="114"/>
      <c r="AE334" s="114"/>
      <c r="AF334" s="114"/>
      <c r="AG334" s="114"/>
      <c r="AH334" s="114"/>
      <c r="AI334" s="114"/>
      <c r="AJ334" s="114"/>
      <c r="AK334" s="114"/>
      <c r="AL334" s="114"/>
      <c r="AM334" s="114"/>
      <c r="AN334" s="114"/>
      <c r="AO334" s="114"/>
      <c r="AP334" s="114"/>
      <c r="AQ334" s="114"/>
      <c r="AR334" s="114"/>
      <c r="AS334" s="114"/>
      <c r="AT334" s="114"/>
      <c r="AU334" s="114"/>
      <c r="AV334" s="114"/>
      <c r="AW334" s="114"/>
      <c r="AX334" s="114"/>
      <c r="AY334" s="114"/>
      <c r="AZ334" s="114"/>
    </row>
    <row r="335" spans="1:52">
      <c r="A335" s="111"/>
      <c r="B335" s="111"/>
      <c r="C335" s="112"/>
      <c r="D335" s="101"/>
      <c r="E335" s="101"/>
      <c r="F335" s="101"/>
      <c r="G335" s="111"/>
      <c r="H335" s="101"/>
      <c r="I335" s="101"/>
      <c r="J335" s="101"/>
      <c r="K335" s="101"/>
      <c r="L335" s="101"/>
      <c r="M335" s="101"/>
      <c r="N335" s="101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  <c r="Y335" s="114"/>
      <c r="Z335" s="114"/>
      <c r="AA335" s="114"/>
      <c r="AB335" s="114"/>
      <c r="AC335" s="114"/>
      <c r="AD335" s="114"/>
      <c r="AE335" s="114"/>
      <c r="AF335" s="114"/>
      <c r="AG335" s="114"/>
      <c r="AH335" s="114"/>
      <c r="AI335" s="114"/>
      <c r="AJ335" s="114"/>
      <c r="AK335" s="114"/>
      <c r="AL335" s="114"/>
      <c r="AM335" s="114"/>
      <c r="AN335" s="114"/>
      <c r="AO335" s="114"/>
      <c r="AP335" s="114"/>
      <c r="AQ335" s="114"/>
      <c r="AR335" s="114"/>
      <c r="AS335" s="114"/>
      <c r="AT335" s="114"/>
      <c r="AU335" s="114"/>
      <c r="AV335" s="114"/>
      <c r="AW335" s="114"/>
      <c r="AX335" s="114"/>
      <c r="AY335" s="114"/>
      <c r="AZ335" s="114"/>
    </row>
    <row r="336" spans="1:52">
      <c r="A336" s="111"/>
      <c r="B336" s="111"/>
      <c r="C336" s="112"/>
      <c r="D336" s="101"/>
      <c r="E336" s="101"/>
      <c r="F336" s="101"/>
      <c r="G336" s="111"/>
      <c r="H336" s="101"/>
      <c r="I336" s="101"/>
      <c r="J336" s="101"/>
      <c r="K336" s="101"/>
      <c r="L336" s="101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14"/>
      <c r="Z336" s="114"/>
      <c r="AA336" s="114"/>
      <c r="AB336" s="114"/>
      <c r="AC336" s="114"/>
      <c r="AD336" s="114"/>
      <c r="AE336" s="114"/>
      <c r="AF336" s="114"/>
      <c r="AG336" s="114"/>
      <c r="AH336" s="114"/>
      <c r="AI336" s="114"/>
      <c r="AJ336" s="114"/>
      <c r="AK336" s="114"/>
      <c r="AL336" s="114"/>
      <c r="AM336" s="114"/>
      <c r="AN336" s="114"/>
      <c r="AO336" s="114"/>
      <c r="AP336" s="114"/>
      <c r="AQ336" s="114"/>
      <c r="AR336" s="114"/>
      <c r="AS336" s="114"/>
      <c r="AT336" s="114"/>
      <c r="AU336" s="114"/>
      <c r="AV336" s="114"/>
      <c r="AW336" s="114"/>
      <c r="AX336" s="114"/>
      <c r="AY336" s="114"/>
      <c r="AZ336" s="114"/>
    </row>
    <row r="337" spans="1:52">
      <c r="A337" s="111"/>
      <c r="B337" s="111"/>
      <c r="C337" s="112"/>
      <c r="D337" s="101"/>
      <c r="E337" s="101"/>
      <c r="F337" s="101"/>
      <c r="G337" s="111"/>
      <c r="H337" s="101"/>
      <c r="I337" s="101"/>
      <c r="J337" s="101"/>
      <c r="K337" s="101"/>
      <c r="L337" s="101"/>
      <c r="M337" s="101"/>
      <c r="N337" s="101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14"/>
      <c r="Z337" s="114"/>
      <c r="AA337" s="114"/>
      <c r="AB337" s="114"/>
      <c r="AC337" s="114"/>
      <c r="AD337" s="114"/>
      <c r="AE337" s="114"/>
      <c r="AF337" s="114"/>
      <c r="AG337" s="114"/>
      <c r="AH337" s="114"/>
      <c r="AI337" s="114"/>
      <c r="AJ337" s="114"/>
      <c r="AK337" s="114"/>
      <c r="AL337" s="114"/>
      <c r="AM337" s="114"/>
      <c r="AN337" s="114"/>
      <c r="AO337" s="114"/>
      <c r="AP337" s="114"/>
      <c r="AQ337" s="114"/>
      <c r="AR337" s="114"/>
      <c r="AS337" s="114"/>
      <c r="AT337" s="114"/>
      <c r="AU337" s="114"/>
      <c r="AV337" s="114"/>
      <c r="AW337" s="114"/>
      <c r="AX337" s="114"/>
      <c r="AY337" s="114"/>
      <c r="AZ337" s="114"/>
    </row>
    <row r="338" spans="1:52">
      <c r="A338" s="111"/>
      <c r="B338" s="111"/>
      <c r="C338" s="112"/>
      <c r="D338" s="101"/>
      <c r="E338" s="101"/>
      <c r="F338" s="101"/>
      <c r="G338" s="111"/>
      <c r="H338" s="101"/>
      <c r="I338" s="101"/>
      <c r="J338" s="101"/>
      <c r="K338" s="101"/>
      <c r="L338" s="101"/>
      <c r="M338" s="101"/>
      <c r="N338" s="101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  <c r="Y338" s="114"/>
      <c r="Z338" s="114"/>
      <c r="AA338" s="114"/>
      <c r="AB338" s="114"/>
      <c r="AC338" s="114"/>
      <c r="AD338" s="114"/>
      <c r="AE338" s="114"/>
      <c r="AF338" s="114"/>
      <c r="AG338" s="114"/>
      <c r="AH338" s="114"/>
      <c r="AI338" s="114"/>
      <c r="AJ338" s="114"/>
      <c r="AK338" s="114"/>
      <c r="AL338" s="114"/>
      <c r="AM338" s="114"/>
      <c r="AN338" s="114"/>
      <c r="AO338" s="114"/>
      <c r="AP338" s="114"/>
      <c r="AQ338" s="114"/>
      <c r="AR338" s="114"/>
      <c r="AS338" s="114"/>
      <c r="AT338" s="114"/>
      <c r="AU338" s="114"/>
      <c r="AV338" s="114"/>
      <c r="AW338" s="114"/>
      <c r="AX338" s="114"/>
      <c r="AY338" s="114"/>
      <c r="AZ338" s="114"/>
    </row>
    <row r="339" spans="1:52">
      <c r="A339" s="111"/>
      <c r="B339" s="111"/>
      <c r="C339" s="112"/>
      <c r="D339" s="101"/>
      <c r="E339" s="101"/>
      <c r="F339" s="101"/>
      <c r="G339" s="111"/>
      <c r="H339" s="101"/>
      <c r="I339" s="101"/>
      <c r="J339" s="101"/>
      <c r="K339" s="101"/>
      <c r="L339" s="101"/>
      <c r="M339" s="101"/>
      <c r="N339" s="101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14"/>
      <c r="Z339" s="114"/>
      <c r="AA339" s="114"/>
      <c r="AB339" s="114"/>
      <c r="AC339" s="114"/>
      <c r="AD339" s="114"/>
      <c r="AE339" s="114"/>
      <c r="AF339" s="114"/>
      <c r="AG339" s="114"/>
      <c r="AH339" s="114"/>
      <c r="AI339" s="114"/>
      <c r="AJ339" s="114"/>
      <c r="AK339" s="114"/>
      <c r="AL339" s="114"/>
      <c r="AM339" s="114"/>
      <c r="AN339" s="114"/>
      <c r="AO339" s="114"/>
      <c r="AP339" s="114"/>
      <c r="AQ339" s="114"/>
      <c r="AR339" s="114"/>
      <c r="AS339" s="114"/>
      <c r="AT339" s="114"/>
      <c r="AU339" s="114"/>
      <c r="AV339" s="114"/>
      <c r="AW339" s="114"/>
      <c r="AX339" s="114"/>
      <c r="AY339" s="114"/>
      <c r="AZ339" s="114"/>
    </row>
    <row r="340" spans="1:52">
      <c r="A340" s="111"/>
      <c r="B340" s="111"/>
      <c r="C340" s="112"/>
      <c r="D340" s="101"/>
      <c r="E340" s="101"/>
      <c r="F340" s="101"/>
      <c r="G340" s="111"/>
      <c r="H340" s="101"/>
      <c r="I340" s="101"/>
      <c r="J340" s="101"/>
      <c r="K340" s="101"/>
      <c r="L340" s="101"/>
      <c r="M340" s="101"/>
      <c r="N340" s="101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14"/>
      <c r="Z340" s="114"/>
      <c r="AA340" s="114"/>
      <c r="AB340" s="114"/>
      <c r="AC340" s="114"/>
      <c r="AD340" s="114"/>
      <c r="AE340" s="114"/>
      <c r="AF340" s="114"/>
      <c r="AG340" s="114"/>
      <c r="AH340" s="114"/>
      <c r="AI340" s="114"/>
      <c r="AJ340" s="114"/>
      <c r="AK340" s="114"/>
      <c r="AL340" s="114"/>
      <c r="AM340" s="114"/>
      <c r="AN340" s="114"/>
      <c r="AO340" s="114"/>
      <c r="AP340" s="114"/>
      <c r="AQ340" s="114"/>
      <c r="AR340" s="114"/>
      <c r="AS340" s="114"/>
      <c r="AT340" s="114"/>
      <c r="AU340" s="114"/>
      <c r="AV340" s="114"/>
      <c r="AW340" s="114"/>
      <c r="AX340" s="114"/>
      <c r="AY340" s="114"/>
      <c r="AZ340" s="114"/>
    </row>
    <row r="341" spans="1:52">
      <c r="A341" s="111"/>
      <c r="B341" s="111"/>
      <c r="C341" s="112"/>
      <c r="D341" s="101"/>
      <c r="E341" s="101"/>
      <c r="F341" s="101"/>
      <c r="G341" s="111"/>
      <c r="H341" s="101"/>
      <c r="I341" s="101"/>
      <c r="J341" s="101"/>
      <c r="K341" s="101"/>
      <c r="L341" s="101"/>
      <c r="M341" s="101"/>
      <c r="N341" s="101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14"/>
      <c r="Z341" s="114"/>
      <c r="AA341" s="114"/>
      <c r="AB341" s="114"/>
      <c r="AC341" s="114"/>
      <c r="AD341" s="114"/>
      <c r="AE341" s="114"/>
      <c r="AF341" s="114"/>
      <c r="AG341" s="114"/>
      <c r="AH341" s="114"/>
      <c r="AI341" s="114"/>
      <c r="AJ341" s="114"/>
      <c r="AK341" s="114"/>
      <c r="AL341" s="114"/>
      <c r="AM341" s="114"/>
      <c r="AN341" s="114"/>
      <c r="AO341" s="114"/>
      <c r="AP341" s="114"/>
      <c r="AQ341" s="114"/>
      <c r="AR341" s="114"/>
      <c r="AS341" s="114"/>
      <c r="AT341" s="114"/>
      <c r="AU341" s="114"/>
      <c r="AV341" s="114"/>
      <c r="AW341" s="114"/>
      <c r="AX341" s="114"/>
      <c r="AY341" s="114"/>
      <c r="AZ341" s="114"/>
    </row>
    <row r="342" spans="1:52">
      <c r="A342" s="111"/>
      <c r="B342" s="111"/>
      <c r="C342" s="112"/>
      <c r="D342" s="101"/>
      <c r="E342" s="101"/>
      <c r="F342" s="101"/>
      <c r="G342" s="111"/>
      <c r="H342" s="101"/>
      <c r="I342" s="101"/>
      <c r="J342" s="101"/>
      <c r="K342" s="101"/>
      <c r="L342" s="101"/>
      <c r="M342" s="101"/>
      <c r="N342" s="101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14"/>
      <c r="Z342" s="114"/>
      <c r="AA342" s="114"/>
      <c r="AB342" s="114"/>
      <c r="AC342" s="114"/>
      <c r="AD342" s="114"/>
      <c r="AE342" s="114"/>
      <c r="AF342" s="114"/>
      <c r="AG342" s="114"/>
      <c r="AH342" s="114"/>
      <c r="AI342" s="114"/>
      <c r="AJ342" s="114"/>
      <c r="AK342" s="114"/>
      <c r="AL342" s="114"/>
      <c r="AM342" s="114"/>
      <c r="AN342" s="114"/>
      <c r="AO342" s="114"/>
      <c r="AP342" s="114"/>
      <c r="AQ342" s="114"/>
      <c r="AR342" s="114"/>
      <c r="AS342" s="114"/>
      <c r="AT342" s="114"/>
      <c r="AU342" s="114"/>
      <c r="AV342" s="114"/>
      <c r="AW342" s="114"/>
      <c r="AX342" s="114"/>
      <c r="AY342" s="114"/>
      <c r="AZ342" s="114"/>
    </row>
    <row r="343" spans="1:52">
      <c r="A343" s="111"/>
      <c r="B343" s="111"/>
      <c r="C343" s="112"/>
      <c r="D343" s="101"/>
      <c r="E343" s="101"/>
      <c r="F343" s="101"/>
      <c r="G343" s="111"/>
      <c r="H343" s="101"/>
      <c r="I343" s="101"/>
      <c r="J343" s="101"/>
      <c r="K343" s="101"/>
      <c r="L343" s="101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14"/>
      <c r="Z343" s="114"/>
      <c r="AA343" s="114"/>
      <c r="AB343" s="114"/>
      <c r="AC343" s="114"/>
      <c r="AD343" s="114"/>
      <c r="AE343" s="114"/>
      <c r="AF343" s="114"/>
      <c r="AG343" s="114"/>
      <c r="AH343" s="114"/>
      <c r="AI343" s="114"/>
      <c r="AJ343" s="114"/>
      <c r="AK343" s="114"/>
      <c r="AL343" s="114"/>
      <c r="AM343" s="114"/>
      <c r="AN343" s="114"/>
      <c r="AO343" s="114"/>
      <c r="AP343" s="114"/>
      <c r="AQ343" s="114"/>
      <c r="AR343" s="114"/>
      <c r="AS343" s="114"/>
      <c r="AT343" s="114"/>
      <c r="AU343" s="114"/>
      <c r="AV343" s="114"/>
      <c r="AW343" s="114"/>
      <c r="AX343" s="114"/>
      <c r="AY343" s="114"/>
      <c r="AZ343" s="114"/>
    </row>
    <row r="344" spans="1:52">
      <c r="A344" s="111"/>
      <c r="B344" s="111"/>
      <c r="C344" s="112"/>
      <c r="D344" s="101"/>
      <c r="E344" s="101"/>
      <c r="F344" s="101"/>
      <c r="G344" s="111"/>
      <c r="H344" s="101"/>
      <c r="I344" s="101"/>
      <c r="J344" s="101"/>
      <c r="K344" s="101"/>
      <c r="L344" s="101"/>
      <c r="M344" s="101"/>
      <c r="N344" s="101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14"/>
      <c r="Z344" s="114"/>
      <c r="AA344" s="114"/>
      <c r="AB344" s="114"/>
      <c r="AC344" s="114"/>
      <c r="AD344" s="114"/>
      <c r="AE344" s="114"/>
      <c r="AF344" s="114"/>
      <c r="AG344" s="114"/>
      <c r="AH344" s="114"/>
      <c r="AI344" s="114"/>
      <c r="AJ344" s="114"/>
      <c r="AK344" s="114"/>
      <c r="AL344" s="114"/>
      <c r="AM344" s="114"/>
      <c r="AN344" s="114"/>
      <c r="AO344" s="114"/>
      <c r="AP344" s="114"/>
      <c r="AQ344" s="114"/>
      <c r="AR344" s="114"/>
      <c r="AS344" s="114"/>
      <c r="AT344" s="114"/>
      <c r="AU344" s="114"/>
      <c r="AV344" s="114"/>
      <c r="AW344" s="114"/>
      <c r="AX344" s="114"/>
      <c r="AY344" s="114"/>
      <c r="AZ344" s="114"/>
    </row>
    <row r="345" spans="1:52">
      <c r="A345" s="111"/>
      <c r="B345" s="111"/>
      <c r="C345" s="112"/>
      <c r="D345" s="101"/>
      <c r="E345" s="101"/>
      <c r="F345" s="101"/>
      <c r="G345" s="111"/>
      <c r="H345" s="101"/>
      <c r="I345" s="101"/>
      <c r="J345" s="101"/>
      <c r="K345" s="101"/>
      <c r="L345" s="101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14"/>
      <c r="Z345" s="114"/>
      <c r="AA345" s="114"/>
      <c r="AB345" s="114"/>
      <c r="AC345" s="114"/>
      <c r="AD345" s="114"/>
      <c r="AE345" s="114"/>
      <c r="AF345" s="114"/>
      <c r="AG345" s="114"/>
      <c r="AH345" s="114"/>
      <c r="AI345" s="114"/>
      <c r="AJ345" s="114"/>
      <c r="AK345" s="114"/>
      <c r="AL345" s="114"/>
      <c r="AM345" s="114"/>
      <c r="AN345" s="114"/>
      <c r="AO345" s="114"/>
      <c r="AP345" s="114"/>
      <c r="AQ345" s="114"/>
      <c r="AR345" s="114"/>
      <c r="AS345" s="114"/>
      <c r="AT345" s="114"/>
      <c r="AU345" s="114"/>
      <c r="AV345" s="114"/>
      <c r="AW345" s="114"/>
      <c r="AX345" s="114"/>
      <c r="AY345" s="114"/>
      <c r="AZ345" s="114"/>
    </row>
    <row r="346" spans="1:52">
      <c r="A346" s="111"/>
      <c r="B346" s="111"/>
      <c r="C346" s="112"/>
      <c r="D346" s="101"/>
      <c r="E346" s="101"/>
      <c r="F346" s="101"/>
      <c r="G346" s="111"/>
      <c r="H346" s="101"/>
      <c r="I346" s="101"/>
      <c r="J346" s="101"/>
      <c r="K346" s="101"/>
      <c r="L346" s="101"/>
      <c r="M346" s="101"/>
      <c r="N346" s="101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  <c r="Y346" s="114"/>
      <c r="Z346" s="114"/>
      <c r="AA346" s="114"/>
      <c r="AB346" s="114"/>
      <c r="AC346" s="114"/>
      <c r="AD346" s="114"/>
      <c r="AE346" s="114"/>
      <c r="AF346" s="114"/>
      <c r="AG346" s="114"/>
      <c r="AH346" s="114"/>
      <c r="AI346" s="114"/>
      <c r="AJ346" s="114"/>
      <c r="AK346" s="114"/>
      <c r="AL346" s="114"/>
      <c r="AM346" s="114"/>
      <c r="AN346" s="114"/>
      <c r="AO346" s="114"/>
      <c r="AP346" s="114"/>
      <c r="AQ346" s="114"/>
      <c r="AR346" s="114"/>
      <c r="AS346" s="114"/>
      <c r="AT346" s="114"/>
      <c r="AU346" s="114"/>
      <c r="AV346" s="114"/>
      <c r="AW346" s="114"/>
      <c r="AX346" s="114"/>
      <c r="AY346" s="114"/>
      <c r="AZ346" s="114"/>
    </row>
    <row r="347" spans="1:52">
      <c r="A347" s="111"/>
      <c r="B347" s="111"/>
      <c r="C347" s="112"/>
      <c r="D347" s="101"/>
      <c r="E347" s="101"/>
      <c r="F347" s="101"/>
      <c r="G347" s="111"/>
      <c r="H347" s="101"/>
      <c r="I347" s="101"/>
      <c r="J347" s="101"/>
      <c r="K347" s="101"/>
      <c r="L347" s="101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14"/>
      <c r="Z347" s="114"/>
      <c r="AA347" s="114"/>
      <c r="AB347" s="114"/>
      <c r="AC347" s="114"/>
      <c r="AD347" s="114"/>
      <c r="AE347" s="114"/>
      <c r="AF347" s="114"/>
      <c r="AG347" s="114"/>
      <c r="AH347" s="114"/>
      <c r="AI347" s="114"/>
      <c r="AJ347" s="114"/>
      <c r="AK347" s="114"/>
      <c r="AL347" s="114"/>
      <c r="AM347" s="114"/>
      <c r="AN347" s="114"/>
      <c r="AO347" s="114"/>
      <c r="AP347" s="114"/>
      <c r="AQ347" s="114"/>
      <c r="AR347" s="114"/>
      <c r="AS347" s="114"/>
      <c r="AT347" s="114"/>
      <c r="AU347" s="114"/>
      <c r="AV347" s="114"/>
      <c r="AW347" s="114"/>
      <c r="AX347" s="114"/>
      <c r="AY347" s="114"/>
      <c r="AZ347" s="114"/>
    </row>
    <row r="348" spans="1:52">
      <c r="A348" s="111"/>
      <c r="B348" s="111"/>
      <c r="C348" s="112"/>
      <c r="D348" s="101"/>
      <c r="E348" s="101"/>
      <c r="F348" s="101"/>
      <c r="G348" s="11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14"/>
      <c r="Z348" s="114"/>
      <c r="AA348" s="114"/>
      <c r="AB348" s="114"/>
      <c r="AC348" s="114"/>
      <c r="AD348" s="114"/>
      <c r="AE348" s="114"/>
      <c r="AF348" s="114"/>
      <c r="AG348" s="114"/>
      <c r="AH348" s="114"/>
      <c r="AI348" s="114"/>
      <c r="AJ348" s="114"/>
      <c r="AK348" s="114"/>
      <c r="AL348" s="114"/>
      <c r="AM348" s="114"/>
      <c r="AN348" s="114"/>
      <c r="AO348" s="114"/>
      <c r="AP348" s="114"/>
      <c r="AQ348" s="114"/>
      <c r="AR348" s="114"/>
      <c r="AS348" s="114"/>
      <c r="AT348" s="114"/>
      <c r="AU348" s="114"/>
      <c r="AV348" s="114"/>
      <c r="AW348" s="114"/>
      <c r="AX348" s="114"/>
      <c r="AY348" s="114"/>
      <c r="AZ348" s="114"/>
    </row>
    <row r="349" spans="1:52">
      <c r="A349" s="111"/>
      <c r="B349" s="111"/>
      <c r="C349" s="112"/>
      <c r="D349" s="101"/>
      <c r="E349" s="101"/>
      <c r="F349" s="101"/>
      <c r="G349" s="11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14"/>
      <c r="Z349" s="114"/>
      <c r="AA349" s="114"/>
      <c r="AB349" s="114"/>
      <c r="AC349" s="114"/>
      <c r="AD349" s="114"/>
      <c r="AE349" s="114"/>
      <c r="AF349" s="114"/>
      <c r="AG349" s="114"/>
      <c r="AH349" s="114"/>
      <c r="AI349" s="114"/>
      <c r="AJ349" s="114"/>
      <c r="AK349" s="114"/>
      <c r="AL349" s="114"/>
      <c r="AM349" s="114"/>
      <c r="AN349" s="114"/>
      <c r="AO349" s="114"/>
      <c r="AP349" s="114"/>
      <c r="AQ349" s="114"/>
      <c r="AR349" s="114"/>
      <c r="AS349" s="114"/>
      <c r="AT349" s="114"/>
      <c r="AU349" s="114"/>
      <c r="AV349" s="114"/>
      <c r="AW349" s="114"/>
      <c r="AX349" s="114"/>
      <c r="AY349" s="114"/>
      <c r="AZ349" s="114"/>
    </row>
    <row r="350" spans="1:52">
      <c r="A350" s="111"/>
      <c r="B350" s="111"/>
      <c r="C350" s="112"/>
      <c r="D350" s="101"/>
      <c r="E350" s="101"/>
      <c r="F350" s="101"/>
      <c r="G350" s="111"/>
      <c r="H350" s="101"/>
      <c r="I350" s="101"/>
      <c r="J350" s="101"/>
      <c r="K350" s="101"/>
      <c r="L350" s="101"/>
      <c r="M350" s="101"/>
      <c r="N350" s="101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14"/>
      <c r="Z350" s="114"/>
      <c r="AA350" s="114"/>
      <c r="AB350" s="114"/>
      <c r="AC350" s="114"/>
      <c r="AD350" s="114"/>
      <c r="AE350" s="114"/>
      <c r="AF350" s="114"/>
      <c r="AG350" s="114"/>
      <c r="AH350" s="114"/>
      <c r="AI350" s="114"/>
      <c r="AJ350" s="114"/>
      <c r="AK350" s="114"/>
      <c r="AL350" s="114"/>
      <c r="AM350" s="114"/>
      <c r="AN350" s="114"/>
      <c r="AO350" s="114"/>
      <c r="AP350" s="114"/>
      <c r="AQ350" s="114"/>
      <c r="AR350" s="114"/>
      <c r="AS350" s="114"/>
      <c r="AT350" s="114"/>
      <c r="AU350" s="114"/>
      <c r="AV350" s="114"/>
      <c r="AW350" s="114"/>
      <c r="AX350" s="114"/>
      <c r="AY350" s="114"/>
      <c r="AZ350" s="114"/>
    </row>
    <row r="351" spans="1:52">
      <c r="A351" s="111"/>
      <c r="B351" s="111"/>
      <c r="C351" s="112"/>
      <c r="D351" s="101"/>
      <c r="E351" s="101"/>
      <c r="F351" s="101"/>
      <c r="G351" s="111"/>
      <c r="H351" s="101"/>
      <c r="I351" s="101"/>
      <c r="J351" s="101"/>
      <c r="K351" s="101"/>
      <c r="L351" s="101"/>
      <c r="M351" s="101"/>
      <c r="N351" s="101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  <c r="Y351" s="114"/>
      <c r="Z351" s="114"/>
      <c r="AA351" s="114"/>
      <c r="AB351" s="114"/>
      <c r="AC351" s="114"/>
      <c r="AD351" s="114"/>
      <c r="AE351" s="114"/>
      <c r="AF351" s="114"/>
      <c r="AG351" s="114"/>
      <c r="AH351" s="114"/>
      <c r="AI351" s="114"/>
      <c r="AJ351" s="114"/>
      <c r="AK351" s="114"/>
      <c r="AL351" s="114"/>
      <c r="AM351" s="114"/>
      <c r="AN351" s="114"/>
      <c r="AO351" s="114"/>
      <c r="AP351" s="114"/>
      <c r="AQ351" s="114"/>
      <c r="AR351" s="114"/>
      <c r="AS351" s="114"/>
      <c r="AT351" s="114"/>
      <c r="AU351" s="114"/>
      <c r="AV351" s="114"/>
      <c r="AW351" s="114"/>
      <c r="AX351" s="114"/>
      <c r="AY351" s="114"/>
      <c r="AZ351" s="114"/>
    </row>
    <row r="352" spans="1:52">
      <c r="A352" s="111"/>
      <c r="B352" s="111"/>
      <c r="C352" s="112"/>
      <c r="D352" s="101"/>
      <c r="E352" s="101"/>
      <c r="F352" s="101"/>
      <c r="G352" s="111"/>
      <c r="H352" s="101"/>
      <c r="I352" s="101"/>
      <c r="J352" s="101"/>
      <c r="K352" s="101"/>
      <c r="L352" s="101"/>
      <c r="M352" s="101"/>
      <c r="N352" s="101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14"/>
      <c r="Z352" s="114"/>
      <c r="AA352" s="114"/>
      <c r="AB352" s="114"/>
      <c r="AC352" s="114"/>
      <c r="AD352" s="114"/>
      <c r="AE352" s="114"/>
      <c r="AF352" s="114"/>
      <c r="AG352" s="114"/>
      <c r="AH352" s="114"/>
      <c r="AI352" s="114"/>
      <c r="AJ352" s="114"/>
      <c r="AK352" s="114"/>
      <c r="AL352" s="114"/>
      <c r="AM352" s="114"/>
      <c r="AN352" s="114"/>
      <c r="AO352" s="114"/>
      <c r="AP352" s="114"/>
      <c r="AQ352" s="114"/>
      <c r="AR352" s="114"/>
      <c r="AS352" s="114"/>
      <c r="AT352" s="114"/>
      <c r="AU352" s="114"/>
      <c r="AV352" s="114"/>
      <c r="AW352" s="114"/>
      <c r="AX352" s="114"/>
      <c r="AY352" s="114"/>
      <c r="AZ352" s="114"/>
    </row>
    <row r="353" spans="1:52">
      <c r="A353" s="111"/>
      <c r="B353" s="111"/>
      <c r="C353" s="112"/>
      <c r="D353" s="101"/>
      <c r="E353" s="101"/>
      <c r="F353" s="101"/>
      <c r="G353" s="111"/>
      <c r="H353" s="101"/>
      <c r="I353" s="101"/>
      <c r="J353" s="101"/>
      <c r="K353" s="101"/>
      <c r="L353" s="101"/>
      <c r="M353" s="101"/>
      <c r="N353" s="101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14"/>
      <c r="Z353" s="114"/>
      <c r="AA353" s="114"/>
      <c r="AB353" s="114"/>
      <c r="AC353" s="114"/>
      <c r="AD353" s="114"/>
      <c r="AE353" s="114"/>
      <c r="AF353" s="114"/>
      <c r="AG353" s="114"/>
      <c r="AH353" s="114"/>
      <c r="AI353" s="114"/>
      <c r="AJ353" s="114"/>
      <c r="AK353" s="114"/>
      <c r="AL353" s="114"/>
      <c r="AM353" s="114"/>
      <c r="AN353" s="114"/>
      <c r="AO353" s="114"/>
      <c r="AP353" s="114"/>
      <c r="AQ353" s="114"/>
      <c r="AR353" s="114"/>
      <c r="AS353" s="114"/>
      <c r="AT353" s="114"/>
      <c r="AU353" s="114"/>
      <c r="AV353" s="114"/>
      <c r="AW353" s="114"/>
      <c r="AX353" s="114"/>
      <c r="AY353" s="114"/>
      <c r="AZ353" s="114"/>
    </row>
    <row r="354" spans="1:52">
      <c r="A354" s="111"/>
      <c r="B354" s="111"/>
      <c r="C354" s="112"/>
      <c r="D354" s="101"/>
      <c r="E354" s="101"/>
      <c r="F354" s="101"/>
      <c r="G354" s="111"/>
      <c r="H354" s="101"/>
      <c r="I354" s="101"/>
      <c r="J354" s="101"/>
      <c r="K354" s="101"/>
      <c r="L354" s="101"/>
      <c r="M354" s="101"/>
      <c r="N354" s="101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14"/>
      <c r="Z354" s="114"/>
      <c r="AA354" s="114"/>
      <c r="AB354" s="114"/>
      <c r="AC354" s="114"/>
      <c r="AD354" s="114"/>
      <c r="AE354" s="114"/>
      <c r="AF354" s="114"/>
      <c r="AG354" s="114"/>
      <c r="AH354" s="114"/>
      <c r="AI354" s="114"/>
      <c r="AJ354" s="114"/>
      <c r="AK354" s="114"/>
      <c r="AL354" s="114"/>
      <c r="AM354" s="114"/>
      <c r="AN354" s="114"/>
      <c r="AO354" s="114"/>
      <c r="AP354" s="114"/>
      <c r="AQ354" s="114"/>
      <c r="AR354" s="114"/>
      <c r="AS354" s="114"/>
      <c r="AT354" s="114"/>
      <c r="AU354" s="114"/>
      <c r="AV354" s="114"/>
      <c r="AW354" s="114"/>
      <c r="AX354" s="114"/>
      <c r="AY354" s="114"/>
      <c r="AZ354" s="114"/>
    </row>
    <row r="355" spans="1:52">
      <c r="A355" s="111"/>
      <c r="B355" s="111"/>
      <c r="C355" s="112"/>
      <c r="D355" s="101"/>
      <c r="E355" s="101"/>
      <c r="F355" s="101"/>
      <c r="G355" s="111"/>
      <c r="H355" s="101"/>
      <c r="I355" s="101"/>
      <c r="J355" s="101"/>
      <c r="K355" s="101"/>
      <c r="L355" s="101"/>
      <c r="M355" s="101"/>
      <c r="N355" s="101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14"/>
      <c r="Z355" s="114"/>
      <c r="AA355" s="114"/>
      <c r="AB355" s="114"/>
      <c r="AC355" s="114"/>
      <c r="AD355" s="114"/>
      <c r="AE355" s="114"/>
      <c r="AF355" s="114"/>
      <c r="AG355" s="114"/>
      <c r="AH355" s="114"/>
      <c r="AI355" s="114"/>
      <c r="AJ355" s="114"/>
      <c r="AK355" s="114"/>
      <c r="AL355" s="114"/>
      <c r="AM355" s="114"/>
      <c r="AN355" s="114"/>
      <c r="AO355" s="114"/>
      <c r="AP355" s="114"/>
      <c r="AQ355" s="114"/>
      <c r="AR355" s="114"/>
      <c r="AS355" s="114"/>
      <c r="AT355" s="114"/>
      <c r="AU355" s="114"/>
      <c r="AV355" s="114"/>
      <c r="AW355" s="114"/>
      <c r="AX355" s="114"/>
      <c r="AY355" s="114"/>
      <c r="AZ355" s="114"/>
    </row>
    <row r="356" spans="1:52">
      <c r="A356" s="111"/>
      <c r="B356" s="111"/>
      <c r="C356" s="112"/>
      <c r="D356" s="101"/>
      <c r="E356" s="101"/>
      <c r="F356" s="101"/>
      <c r="G356" s="111"/>
      <c r="H356" s="101"/>
      <c r="I356" s="101"/>
      <c r="J356" s="101"/>
      <c r="K356" s="101"/>
      <c r="L356" s="101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14"/>
      <c r="Z356" s="114"/>
      <c r="AA356" s="114"/>
      <c r="AB356" s="114"/>
      <c r="AC356" s="114"/>
      <c r="AD356" s="114"/>
      <c r="AE356" s="114"/>
      <c r="AF356" s="114"/>
      <c r="AG356" s="114"/>
      <c r="AH356" s="114"/>
      <c r="AI356" s="114"/>
      <c r="AJ356" s="114"/>
      <c r="AK356" s="114"/>
      <c r="AL356" s="114"/>
      <c r="AM356" s="114"/>
      <c r="AN356" s="114"/>
      <c r="AO356" s="114"/>
      <c r="AP356" s="114"/>
      <c r="AQ356" s="114"/>
      <c r="AR356" s="114"/>
      <c r="AS356" s="114"/>
      <c r="AT356" s="114"/>
      <c r="AU356" s="114"/>
      <c r="AV356" s="114"/>
      <c r="AW356" s="114"/>
      <c r="AX356" s="114"/>
      <c r="AY356" s="114"/>
      <c r="AZ356" s="114"/>
    </row>
    <row r="357" spans="1:52">
      <c r="A357" s="111"/>
      <c r="B357" s="111"/>
      <c r="C357" s="112"/>
      <c r="D357" s="101"/>
      <c r="E357" s="101"/>
      <c r="F357" s="101"/>
      <c r="G357" s="111"/>
      <c r="H357" s="101"/>
      <c r="I357" s="101"/>
      <c r="J357" s="101"/>
      <c r="K357" s="101"/>
      <c r="L357" s="101"/>
      <c r="M357" s="101"/>
      <c r="N357" s="101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14"/>
      <c r="Z357" s="114"/>
      <c r="AA357" s="114"/>
      <c r="AB357" s="114"/>
      <c r="AC357" s="114"/>
      <c r="AD357" s="114"/>
      <c r="AE357" s="114"/>
      <c r="AF357" s="114"/>
      <c r="AG357" s="114"/>
      <c r="AH357" s="114"/>
      <c r="AI357" s="114"/>
      <c r="AJ357" s="114"/>
      <c r="AK357" s="114"/>
      <c r="AL357" s="114"/>
      <c r="AM357" s="114"/>
      <c r="AN357" s="114"/>
      <c r="AO357" s="114"/>
      <c r="AP357" s="114"/>
      <c r="AQ357" s="114"/>
      <c r="AR357" s="114"/>
      <c r="AS357" s="114"/>
      <c r="AT357" s="114"/>
      <c r="AU357" s="114"/>
      <c r="AV357" s="114"/>
      <c r="AW357" s="114"/>
      <c r="AX357" s="114"/>
      <c r="AY357" s="114"/>
      <c r="AZ357" s="114"/>
    </row>
    <row r="358" spans="1:52">
      <c r="A358" s="111"/>
      <c r="B358" s="111"/>
      <c r="C358" s="112"/>
      <c r="D358" s="101"/>
      <c r="E358" s="101"/>
      <c r="F358" s="101"/>
      <c r="G358" s="111"/>
      <c r="H358" s="101"/>
      <c r="I358" s="101"/>
      <c r="J358" s="101"/>
      <c r="K358" s="101"/>
      <c r="L358" s="101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14"/>
      <c r="Z358" s="114"/>
      <c r="AA358" s="114"/>
      <c r="AB358" s="114"/>
      <c r="AC358" s="114"/>
      <c r="AD358" s="114"/>
      <c r="AE358" s="114"/>
      <c r="AF358" s="114"/>
      <c r="AG358" s="114"/>
      <c r="AH358" s="114"/>
      <c r="AI358" s="114"/>
      <c r="AJ358" s="114"/>
      <c r="AK358" s="114"/>
      <c r="AL358" s="114"/>
      <c r="AM358" s="114"/>
      <c r="AN358" s="114"/>
      <c r="AO358" s="114"/>
      <c r="AP358" s="114"/>
      <c r="AQ358" s="114"/>
      <c r="AR358" s="114"/>
      <c r="AS358" s="114"/>
      <c r="AT358" s="114"/>
      <c r="AU358" s="114"/>
      <c r="AV358" s="114"/>
      <c r="AW358" s="114"/>
      <c r="AX358" s="114"/>
      <c r="AY358" s="114"/>
      <c r="AZ358" s="114"/>
    </row>
    <row r="359" spans="1:52">
      <c r="A359" s="111"/>
      <c r="B359" s="111"/>
      <c r="C359" s="112"/>
      <c r="D359" s="101"/>
      <c r="E359" s="101"/>
      <c r="F359" s="101"/>
      <c r="G359" s="111"/>
      <c r="H359" s="101"/>
      <c r="I359" s="101"/>
      <c r="J359" s="101"/>
      <c r="K359" s="101"/>
      <c r="L359" s="101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14"/>
      <c r="Z359" s="114"/>
      <c r="AA359" s="114"/>
      <c r="AB359" s="114"/>
      <c r="AC359" s="114"/>
      <c r="AD359" s="114"/>
      <c r="AE359" s="114"/>
      <c r="AF359" s="114"/>
      <c r="AG359" s="114"/>
      <c r="AH359" s="114"/>
      <c r="AI359" s="114"/>
      <c r="AJ359" s="114"/>
      <c r="AK359" s="114"/>
      <c r="AL359" s="114"/>
      <c r="AM359" s="114"/>
      <c r="AN359" s="114"/>
      <c r="AO359" s="114"/>
      <c r="AP359" s="114"/>
      <c r="AQ359" s="114"/>
      <c r="AR359" s="114"/>
      <c r="AS359" s="114"/>
      <c r="AT359" s="114"/>
      <c r="AU359" s="114"/>
      <c r="AV359" s="114"/>
      <c r="AW359" s="114"/>
      <c r="AX359" s="114"/>
      <c r="AY359" s="114"/>
      <c r="AZ359" s="114"/>
    </row>
    <row r="360" spans="1:52">
      <c r="A360" s="111"/>
      <c r="B360" s="111"/>
      <c r="C360" s="112"/>
      <c r="D360" s="101"/>
      <c r="E360" s="101"/>
      <c r="F360" s="101"/>
      <c r="G360" s="111"/>
      <c r="H360" s="101"/>
      <c r="I360" s="101"/>
      <c r="J360" s="101"/>
      <c r="K360" s="101"/>
      <c r="L360" s="101"/>
      <c r="M360" s="101"/>
      <c r="N360" s="101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14"/>
      <c r="Z360" s="114"/>
      <c r="AA360" s="114"/>
      <c r="AB360" s="114"/>
      <c r="AC360" s="114"/>
      <c r="AD360" s="114"/>
      <c r="AE360" s="114"/>
      <c r="AF360" s="114"/>
      <c r="AG360" s="114"/>
      <c r="AH360" s="114"/>
      <c r="AI360" s="114"/>
      <c r="AJ360" s="114"/>
      <c r="AK360" s="114"/>
      <c r="AL360" s="114"/>
      <c r="AM360" s="114"/>
      <c r="AN360" s="114"/>
      <c r="AO360" s="114"/>
      <c r="AP360" s="114"/>
      <c r="AQ360" s="114"/>
      <c r="AR360" s="114"/>
      <c r="AS360" s="114"/>
      <c r="AT360" s="114"/>
      <c r="AU360" s="114"/>
      <c r="AV360" s="114"/>
      <c r="AW360" s="114"/>
      <c r="AX360" s="114"/>
      <c r="AY360" s="114"/>
      <c r="AZ360" s="114"/>
    </row>
    <row r="361" spans="1:52">
      <c r="A361" s="111"/>
      <c r="B361" s="111"/>
      <c r="C361" s="112"/>
      <c r="D361" s="101"/>
      <c r="E361" s="101"/>
      <c r="F361" s="101"/>
      <c r="G361" s="111"/>
      <c r="H361" s="101"/>
      <c r="I361" s="101"/>
      <c r="J361" s="101"/>
      <c r="K361" s="101"/>
      <c r="L361" s="101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14"/>
      <c r="Z361" s="114"/>
      <c r="AA361" s="114"/>
      <c r="AB361" s="114"/>
      <c r="AC361" s="114"/>
      <c r="AD361" s="114"/>
      <c r="AE361" s="114"/>
      <c r="AF361" s="114"/>
      <c r="AG361" s="114"/>
      <c r="AH361" s="114"/>
      <c r="AI361" s="114"/>
      <c r="AJ361" s="114"/>
      <c r="AK361" s="114"/>
      <c r="AL361" s="114"/>
      <c r="AM361" s="114"/>
      <c r="AN361" s="114"/>
      <c r="AO361" s="114"/>
      <c r="AP361" s="114"/>
      <c r="AQ361" s="114"/>
      <c r="AR361" s="114"/>
      <c r="AS361" s="114"/>
      <c r="AT361" s="114"/>
      <c r="AU361" s="114"/>
      <c r="AV361" s="114"/>
      <c r="AW361" s="114"/>
      <c r="AX361" s="114"/>
      <c r="AY361" s="114"/>
      <c r="AZ361" s="114"/>
    </row>
    <row r="362" spans="1:52">
      <c r="A362" s="111"/>
      <c r="B362" s="111"/>
      <c r="C362" s="112"/>
      <c r="D362" s="101"/>
      <c r="E362" s="101"/>
      <c r="F362" s="101"/>
      <c r="G362" s="111"/>
      <c r="H362" s="101"/>
      <c r="I362" s="101"/>
      <c r="J362" s="101"/>
      <c r="K362" s="101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14"/>
      <c r="Z362" s="114"/>
      <c r="AA362" s="114"/>
      <c r="AB362" s="114"/>
      <c r="AC362" s="114"/>
      <c r="AD362" s="114"/>
      <c r="AE362" s="114"/>
      <c r="AF362" s="114"/>
      <c r="AG362" s="114"/>
      <c r="AH362" s="114"/>
      <c r="AI362" s="114"/>
      <c r="AJ362" s="114"/>
      <c r="AK362" s="114"/>
      <c r="AL362" s="114"/>
      <c r="AM362" s="114"/>
      <c r="AN362" s="114"/>
      <c r="AO362" s="114"/>
      <c r="AP362" s="114"/>
      <c r="AQ362" s="114"/>
      <c r="AR362" s="114"/>
      <c r="AS362" s="114"/>
      <c r="AT362" s="114"/>
      <c r="AU362" s="114"/>
      <c r="AV362" s="114"/>
      <c r="AW362" s="114"/>
      <c r="AX362" s="114"/>
      <c r="AY362" s="114"/>
      <c r="AZ362" s="114"/>
    </row>
    <row r="363" spans="1:52">
      <c r="A363" s="111"/>
      <c r="B363" s="111"/>
      <c r="C363" s="112"/>
      <c r="D363" s="101"/>
      <c r="E363" s="101"/>
      <c r="F363" s="101"/>
      <c r="G363" s="111"/>
      <c r="H363" s="101"/>
      <c r="I363" s="101"/>
      <c r="J363" s="101"/>
      <c r="K363" s="101"/>
      <c r="L363" s="101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14"/>
      <c r="Z363" s="114"/>
      <c r="AA363" s="114"/>
      <c r="AB363" s="114"/>
      <c r="AC363" s="114"/>
      <c r="AD363" s="114"/>
      <c r="AE363" s="114"/>
      <c r="AF363" s="114"/>
      <c r="AG363" s="114"/>
      <c r="AH363" s="114"/>
      <c r="AI363" s="114"/>
      <c r="AJ363" s="114"/>
      <c r="AK363" s="114"/>
      <c r="AL363" s="114"/>
      <c r="AM363" s="114"/>
      <c r="AN363" s="114"/>
      <c r="AO363" s="114"/>
      <c r="AP363" s="114"/>
      <c r="AQ363" s="114"/>
      <c r="AR363" s="114"/>
      <c r="AS363" s="114"/>
      <c r="AT363" s="114"/>
      <c r="AU363" s="114"/>
      <c r="AV363" s="114"/>
      <c r="AW363" s="114"/>
      <c r="AX363" s="114"/>
      <c r="AY363" s="114"/>
      <c r="AZ363" s="114"/>
    </row>
    <row r="364" spans="1:52">
      <c r="A364" s="111"/>
      <c r="B364" s="111"/>
      <c r="C364" s="112"/>
      <c r="D364" s="101"/>
      <c r="E364" s="101"/>
      <c r="F364" s="101"/>
      <c r="G364" s="11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14"/>
      <c r="Z364" s="114"/>
      <c r="AA364" s="114"/>
      <c r="AB364" s="114"/>
      <c r="AC364" s="114"/>
      <c r="AD364" s="114"/>
      <c r="AE364" s="114"/>
      <c r="AF364" s="114"/>
      <c r="AG364" s="114"/>
      <c r="AH364" s="114"/>
      <c r="AI364" s="114"/>
      <c r="AJ364" s="114"/>
      <c r="AK364" s="114"/>
      <c r="AL364" s="114"/>
      <c r="AM364" s="114"/>
      <c r="AN364" s="114"/>
      <c r="AO364" s="114"/>
      <c r="AP364" s="114"/>
      <c r="AQ364" s="114"/>
      <c r="AR364" s="114"/>
      <c r="AS364" s="114"/>
      <c r="AT364" s="114"/>
      <c r="AU364" s="114"/>
      <c r="AV364" s="114"/>
      <c r="AW364" s="114"/>
      <c r="AX364" s="114"/>
      <c r="AY364" s="114"/>
      <c r="AZ364" s="114"/>
    </row>
    <row r="365" spans="1:52">
      <c r="A365" s="111"/>
      <c r="B365" s="111"/>
      <c r="C365" s="112"/>
      <c r="D365" s="101"/>
      <c r="E365" s="101"/>
      <c r="F365" s="101"/>
      <c r="G365" s="111"/>
      <c r="H365" s="101"/>
      <c r="I365" s="101"/>
      <c r="J365" s="101"/>
      <c r="K365" s="101"/>
      <c r="L365" s="101"/>
      <c r="M365" s="101"/>
      <c r="N365" s="101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14"/>
      <c r="Z365" s="114"/>
      <c r="AA365" s="114"/>
      <c r="AB365" s="114"/>
      <c r="AC365" s="114"/>
      <c r="AD365" s="114"/>
      <c r="AE365" s="114"/>
      <c r="AF365" s="114"/>
      <c r="AG365" s="114"/>
      <c r="AH365" s="114"/>
      <c r="AI365" s="114"/>
      <c r="AJ365" s="114"/>
      <c r="AK365" s="114"/>
      <c r="AL365" s="114"/>
      <c r="AM365" s="114"/>
      <c r="AN365" s="114"/>
      <c r="AO365" s="114"/>
      <c r="AP365" s="114"/>
      <c r="AQ365" s="114"/>
      <c r="AR365" s="114"/>
      <c r="AS365" s="114"/>
      <c r="AT365" s="114"/>
      <c r="AU365" s="114"/>
      <c r="AV365" s="114"/>
      <c r="AW365" s="114"/>
      <c r="AX365" s="114"/>
      <c r="AY365" s="114"/>
      <c r="AZ365" s="114"/>
    </row>
    <row r="366" spans="1:52">
      <c r="A366" s="111"/>
      <c r="B366" s="111"/>
      <c r="C366" s="112"/>
      <c r="D366" s="101"/>
      <c r="E366" s="101"/>
      <c r="F366" s="101"/>
      <c r="G366" s="111"/>
      <c r="H366" s="101"/>
      <c r="I366" s="101"/>
      <c r="J366" s="101"/>
      <c r="K366" s="101"/>
      <c r="L366" s="101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14"/>
      <c r="Z366" s="114"/>
      <c r="AA366" s="114"/>
      <c r="AB366" s="114"/>
      <c r="AC366" s="114"/>
      <c r="AD366" s="114"/>
      <c r="AE366" s="114"/>
      <c r="AF366" s="114"/>
      <c r="AG366" s="114"/>
      <c r="AH366" s="114"/>
      <c r="AI366" s="114"/>
      <c r="AJ366" s="114"/>
      <c r="AK366" s="114"/>
      <c r="AL366" s="114"/>
      <c r="AM366" s="114"/>
      <c r="AN366" s="114"/>
      <c r="AO366" s="114"/>
      <c r="AP366" s="114"/>
      <c r="AQ366" s="114"/>
      <c r="AR366" s="114"/>
      <c r="AS366" s="114"/>
      <c r="AT366" s="114"/>
      <c r="AU366" s="114"/>
      <c r="AV366" s="114"/>
      <c r="AW366" s="114"/>
      <c r="AX366" s="114"/>
      <c r="AY366" s="114"/>
      <c r="AZ366" s="114"/>
    </row>
    <row r="367" spans="1:52">
      <c r="A367" s="111"/>
      <c r="B367" s="111"/>
      <c r="C367" s="112"/>
      <c r="D367" s="101"/>
      <c r="E367" s="101"/>
      <c r="F367" s="101"/>
      <c r="G367" s="111"/>
      <c r="H367" s="101"/>
      <c r="I367" s="101"/>
      <c r="J367" s="101"/>
      <c r="K367" s="101"/>
      <c r="L367" s="101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14"/>
      <c r="Z367" s="114"/>
      <c r="AA367" s="114"/>
      <c r="AB367" s="114"/>
      <c r="AC367" s="114"/>
      <c r="AD367" s="114"/>
      <c r="AE367" s="114"/>
      <c r="AF367" s="114"/>
      <c r="AG367" s="114"/>
      <c r="AH367" s="114"/>
      <c r="AI367" s="114"/>
      <c r="AJ367" s="114"/>
      <c r="AK367" s="114"/>
      <c r="AL367" s="114"/>
      <c r="AM367" s="114"/>
      <c r="AN367" s="114"/>
      <c r="AO367" s="114"/>
      <c r="AP367" s="114"/>
      <c r="AQ367" s="114"/>
      <c r="AR367" s="114"/>
      <c r="AS367" s="114"/>
      <c r="AT367" s="114"/>
      <c r="AU367" s="114"/>
      <c r="AV367" s="114"/>
      <c r="AW367" s="114"/>
      <c r="AX367" s="114"/>
      <c r="AY367" s="114"/>
      <c r="AZ367" s="114"/>
    </row>
    <row r="368" spans="1:52">
      <c r="A368" s="111"/>
      <c r="B368" s="111"/>
      <c r="C368" s="112"/>
      <c r="D368" s="101"/>
      <c r="E368" s="101"/>
      <c r="F368" s="101"/>
      <c r="G368" s="111"/>
      <c r="H368" s="101"/>
      <c r="I368" s="101"/>
      <c r="J368" s="101"/>
      <c r="K368" s="101"/>
      <c r="L368" s="101"/>
      <c r="M368" s="101"/>
      <c r="N368" s="101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14"/>
      <c r="Z368" s="114"/>
      <c r="AA368" s="114"/>
      <c r="AB368" s="114"/>
      <c r="AC368" s="114"/>
      <c r="AD368" s="114"/>
      <c r="AE368" s="114"/>
      <c r="AF368" s="114"/>
      <c r="AG368" s="114"/>
      <c r="AH368" s="114"/>
      <c r="AI368" s="114"/>
      <c r="AJ368" s="114"/>
      <c r="AK368" s="114"/>
      <c r="AL368" s="114"/>
      <c r="AM368" s="114"/>
      <c r="AN368" s="114"/>
      <c r="AO368" s="114"/>
      <c r="AP368" s="114"/>
      <c r="AQ368" s="114"/>
      <c r="AR368" s="114"/>
      <c r="AS368" s="114"/>
      <c r="AT368" s="114"/>
      <c r="AU368" s="114"/>
      <c r="AV368" s="114"/>
      <c r="AW368" s="114"/>
      <c r="AX368" s="114"/>
      <c r="AY368" s="114"/>
      <c r="AZ368" s="114"/>
    </row>
    <row r="369" spans="1:52">
      <c r="A369" s="111"/>
      <c r="B369" s="111"/>
      <c r="C369" s="112"/>
      <c r="D369" s="101"/>
      <c r="E369" s="101"/>
      <c r="F369" s="101"/>
      <c r="G369" s="111"/>
      <c r="H369" s="101"/>
      <c r="I369" s="101"/>
      <c r="J369" s="101"/>
      <c r="K369" s="101"/>
      <c r="L369" s="101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14"/>
      <c r="Z369" s="114"/>
      <c r="AA369" s="114"/>
      <c r="AB369" s="114"/>
      <c r="AC369" s="114"/>
      <c r="AD369" s="114"/>
      <c r="AE369" s="114"/>
      <c r="AF369" s="114"/>
      <c r="AG369" s="114"/>
      <c r="AH369" s="114"/>
      <c r="AI369" s="114"/>
      <c r="AJ369" s="114"/>
      <c r="AK369" s="114"/>
      <c r="AL369" s="114"/>
      <c r="AM369" s="114"/>
      <c r="AN369" s="114"/>
      <c r="AO369" s="114"/>
      <c r="AP369" s="114"/>
      <c r="AQ369" s="114"/>
      <c r="AR369" s="114"/>
      <c r="AS369" s="114"/>
      <c r="AT369" s="114"/>
      <c r="AU369" s="114"/>
      <c r="AV369" s="114"/>
      <c r="AW369" s="114"/>
      <c r="AX369" s="114"/>
      <c r="AY369" s="114"/>
      <c r="AZ369" s="114"/>
    </row>
    <row r="370" spans="1:52">
      <c r="A370" s="111"/>
      <c r="B370" s="111"/>
      <c r="C370" s="112"/>
      <c r="D370" s="101"/>
      <c r="E370" s="101"/>
      <c r="F370" s="101"/>
      <c r="G370" s="111"/>
      <c r="H370" s="101"/>
      <c r="I370" s="101"/>
      <c r="J370" s="101"/>
      <c r="K370" s="101"/>
      <c r="L370" s="101"/>
      <c r="M370" s="101"/>
      <c r="N370" s="101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  <c r="Y370" s="114"/>
      <c r="Z370" s="114"/>
      <c r="AA370" s="114"/>
      <c r="AB370" s="114"/>
      <c r="AC370" s="114"/>
      <c r="AD370" s="114"/>
      <c r="AE370" s="114"/>
      <c r="AF370" s="114"/>
      <c r="AG370" s="114"/>
      <c r="AH370" s="114"/>
      <c r="AI370" s="114"/>
      <c r="AJ370" s="114"/>
      <c r="AK370" s="114"/>
      <c r="AL370" s="114"/>
      <c r="AM370" s="114"/>
      <c r="AN370" s="114"/>
      <c r="AO370" s="114"/>
      <c r="AP370" s="114"/>
      <c r="AQ370" s="114"/>
      <c r="AR370" s="114"/>
      <c r="AS370" s="114"/>
      <c r="AT370" s="114"/>
      <c r="AU370" s="114"/>
      <c r="AV370" s="114"/>
      <c r="AW370" s="114"/>
      <c r="AX370" s="114"/>
      <c r="AY370" s="114"/>
      <c r="AZ370" s="114"/>
    </row>
    <row r="371" spans="1:52">
      <c r="A371" s="111"/>
      <c r="B371" s="111"/>
      <c r="C371" s="112"/>
      <c r="D371" s="101"/>
      <c r="E371" s="101"/>
      <c r="F371" s="101"/>
      <c r="G371" s="11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14"/>
      <c r="Z371" s="114"/>
      <c r="AA371" s="114"/>
      <c r="AB371" s="114"/>
      <c r="AC371" s="114"/>
      <c r="AD371" s="114"/>
      <c r="AE371" s="114"/>
      <c r="AF371" s="114"/>
      <c r="AG371" s="114"/>
      <c r="AH371" s="114"/>
      <c r="AI371" s="114"/>
      <c r="AJ371" s="114"/>
      <c r="AK371" s="114"/>
      <c r="AL371" s="114"/>
      <c r="AM371" s="114"/>
      <c r="AN371" s="114"/>
      <c r="AO371" s="114"/>
      <c r="AP371" s="114"/>
      <c r="AQ371" s="114"/>
      <c r="AR371" s="114"/>
      <c r="AS371" s="114"/>
      <c r="AT371" s="114"/>
      <c r="AU371" s="114"/>
      <c r="AV371" s="114"/>
      <c r="AW371" s="114"/>
      <c r="AX371" s="114"/>
      <c r="AY371" s="114"/>
      <c r="AZ371" s="114"/>
    </row>
    <row r="372" spans="1:52">
      <c r="A372" s="111"/>
      <c r="B372" s="111"/>
      <c r="C372" s="112"/>
      <c r="D372" s="101"/>
      <c r="E372" s="101"/>
      <c r="F372" s="101"/>
      <c r="G372" s="11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14"/>
      <c r="Z372" s="114"/>
      <c r="AA372" s="114"/>
      <c r="AB372" s="114"/>
      <c r="AC372" s="114"/>
      <c r="AD372" s="114"/>
      <c r="AE372" s="114"/>
      <c r="AF372" s="114"/>
      <c r="AG372" s="114"/>
      <c r="AH372" s="114"/>
      <c r="AI372" s="114"/>
      <c r="AJ372" s="114"/>
      <c r="AK372" s="114"/>
      <c r="AL372" s="114"/>
      <c r="AM372" s="114"/>
      <c r="AN372" s="114"/>
      <c r="AO372" s="114"/>
      <c r="AP372" s="114"/>
      <c r="AQ372" s="114"/>
      <c r="AR372" s="114"/>
      <c r="AS372" s="114"/>
      <c r="AT372" s="114"/>
      <c r="AU372" s="114"/>
      <c r="AV372" s="114"/>
      <c r="AW372" s="114"/>
      <c r="AX372" s="114"/>
      <c r="AY372" s="114"/>
      <c r="AZ372" s="114"/>
    </row>
    <row r="373" spans="1:52">
      <c r="A373" s="111"/>
      <c r="B373" s="111"/>
      <c r="C373" s="112"/>
      <c r="D373" s="101"/>
      <c r="E373" s="101"/>
      <c r="F373" s="101"/>
      <c r="G373" s="111"/>
      <c r="H373" s="101"/>
      <c r="I373" s="101"/>
      <c r="J373" s="101"/>
      <c r="K373" s="101"/>
      <c r="L373" s="101"/>
      <c r="M373" s="101"/>
      <c r="N373" s="101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  <c r="Y373" s="114"/>
      <c r="Z373" s="114"/>
      <c r="AA373" s="114"/>
      <c r="AB373" s="114"/>
      <c r="AC373" s="114"/>
      <c r="AD373" s="114"/>
      <c r="AE373" s="114"/>
      <c r="AF373" s="114"/>
      <c r="AG373" s="114"/>
      <c r="AH373" s="114"/>
      <c r="AI373" s="114"/>
      <c r="AJ373" s="114"/>
      <c r="AK373" s="114"/>
      <c r="AL373" s="114"/>
      <c r="AM373" s="114"/>
      <c r="AN373" s="114"/>
      <c r="AO373" s="114"/>
      <c r="AP373" s="114"/>
      <c r="AQ373" s="114"/>
      <c r="AR373" s="114"/>
      <c r="AS373" s="114"/>
      <c r="AT373" s="114"/>
      <c r="AU373" s="114"/>
      <c r="AV373" s="114"/>
      <c r="AW373" s="114"/>
      <c r="AX373" s="114"/>
      <c r="AY373" s="114"/>
      <c r="AZ373" s="114"/>
    </row>
    <row r="374" spans="1:52">
      <c r="A374" s="111"/>
      <c r="B374" s="111"/>
      <c r="C374" s="112"/>
      <c r="D374" s="101"/>
      <c r="E374" s="101"/>
      <c r="F374" s="101"/>
      <c r="G374" s="111"/>
      <c r="H374" s="101"/>
      <c r="I374" s="101"/>
      <c r="J374" s="101"/>
      <c r="K374" s="101"/>
      <c r="L374" s="101"/>
      <c r="M374" s="101"/>
      <c r="N374" s="101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14"/>
      <c r="Z374" s="114"/>
      <c r="AA374" s="114"/>
      <c r="AB374" s="114"/>
      <c r="AC374" s="114"/>
      <c r="AD374" s="114"/>
      <c r="AE374" s="114"/>
      <c r="AF374" s="114"/>
      <c r="AG374" s="114"/>
      <c r="AH374" s="114"/>
      <c r="AI374" s="114"/>
      <c r="AJ374" s="114"/>
      <c r="AK374" s="114"/>
      <c r="AL374" s="114"/>
      <c r="AM374" s="114"/>
      <c r="AN374" s="114"/>
      <c r="AO374" s="114"/>
      <c r="AP374" s="114"/>
      <c r="AQ374" s="114"/>
      <c r="AR374" s="114"/>
      <c r="AS374" s="114"/>
      <c r="AT374" s="114"/>
      <c r="AU374" s="114"/>
      <c r="AV374" s="114"/>
      <c r="AW374" s="114"/>
      <c r="AX374" s="114"/>
      <c r="AY374" s="114"/>
      <c r="AZ374" s="114"/>
    </row>
    <row r="375" spans="1:52">
      <c r="A375" s="111"/>
      <c r="B375" s="111"/>
      <c r="C375" s="112"/>
      <c r="D375" s="101"/>
      <c r="E375" s="101"/>
      <c r="F375" s="101"/>
      <c r="G375" s="111"/>
      <c r="H375" s="101"/>
      <c r="I375" s="101"/>
      <c r="J375" s="101"/>
      <c r="K375" s="101"/>
      <c r="L375" s="101"/>
      <c r="M375" s="101"/>
      <c r="N375" s="101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  <c r="Y375" s="114"/>
      <c r="Z375" s="114"/>
      <c r="AA375" s="114"/>
      <c r="AB375" s="114"/>
      <c r="AC375" s="114"/>
      <c r="AD375" s="114"/>
      <c r="AE375" s="114"/>
      <c r="AF375" s="114"/>
      <c r="AG375" s="114"/>
      <c r="AH375" s="114"/>
      <c r="AI375" s="114"/>
      <c r="AJ375" s="114"/>
      <c r="AK375" s="114"/>
      <c r="AL375" s="114"/>
      <c r="AM375" s="114"/>
      <c r="AN375" s="114"/>
      <c r="AO375" s="114"/>
      <c r="AP375" s="114"/>
      <c r="AQ375" s="114"/>
      <c r="AR375" s="114"/>
      <c r="AS375" s="114"/>
      <c r="AT375" s="114"/>
      <c r="AU375" s="114"/>
      <c r="AV375" s="114"/>
      <c r="AW375" s="114"/>
      <c r="AX375" s="114"/>
      <c r="AY375" s="114"/>
      <c r="AZ375" s="114"/>
    </row>
    <row r="376" spans="1:52">
      <c r="A376" s="111"/>
      <c r="B376" s="111"/>
      <c r="C376" s="112"/>
      <c r="D376" s="101"/>
      <c r="E376" s="101"/>
      <c r="F376" s="101"/>
      <c r="G376" s="111"/>
      <c r="H376" s="101"/>
      <c r="I376" s="101"/>
      <c r="J376" s="101"/>
      <c r="K376" s="101"/>
      <c r="L376" s="101"/>
      <c r="M376" s="101"/>
      <c r="N376" s="101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14"/>
      <c r="Z376" s="114"/>
      <c r="AA376" s="114"/>
      <c r="AB376" s="114"/>
      <c r="AC376" s="114"/>
      <c r="AD376" s="114"/>
      <c r="AE376" s="114"/>
      <c r="AF376" s="114"/>
      <c r="AG376" s="114"/>
      <c r="AH376" s="114"/>
      <c r="AI376" s="114"/>
      <c r="AJ376" s="114"/>
      <c r="AK376" s="114"/>
      <c r="AL376" s="114"/>
      <c r="AM376" s="114"/>
      <c r="AN376" s="114"/>
      <c r="AO376" s="114"/>
      <c r="AP376" s="114"/>
      <c r="AQ376" s="114"/>
      <c r="AR376" s="114"/>
      <c r="AS376" s="114"/>
      <c r="AT376" s="114"/>
      <c r="AU376" s="114"/>
      <c r="AV376" s="114"/>
      <c r="AW376" s="114"/>
      <c r="AX376" s="114"/>
      <c r="AY376" s="114"/>
      <c r="AZ376" s="114"/>
    </row>
    <row r="377" spans="1:52">
      <c r="A377" s="111"/>
      <c r="B377" s="111"/>
      <c r="C377" s="112"/>
      <c r="D377" s="101"/>
      <c r="E377" s="101"/>
      <c r="F377" s="101"/>
      <c r="G377" s="111"/>
      <c r="H377" s="101"/>
      <c r="I377" s="101"/>
      <c r="J377" s="101"/>
      <c r="K377" s="101"/>
      <c r="L377" s="101"/>
      <c r="M377" s="101"/>
      <c r="N377" s="101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14"/>
      <c r="Z377" s="114"/>
      <c r="AA377" s="114"/>
      <c r="AB377" s="114"/>
      <c r="AC377" s="114"/>
      <c r="AD377" s="114"/>
      <c r="AE377" s="114"/>
      <c r="AF377" s="114"/>
      <c r="AG377" s="114"/>
      <c r="AH377" s="114"/>
      <c r="AI377" s="114"/>
      <c r="AJ377" s="114"/>
      <c r="AK377" s="114"/>
      <c r="AL377" s="114"/>
      <c r="AM377" s="114"/>
      <c r="AN377" s="114"/>
      <c r="AO377" s="114"/>
      <c r="AP377" s="114"/>
      <c r="AQ377" s="114"/>
      <c r="AR377" s="114"/>
      <c r="AS377" s="114"/>
      <c r="AT377" s="114"/>
      <c r="AU377" s="114"/>
      <c r="AV377" s="114"/>
      <c r="AW377" s="114"/>
      <c r="AX377" s="114"/>
      <c r="AY377" s="114"/>
      <c r="AZ377" s="114"/>
    </row>
    <row r="378" spans="1:52">
      <c r="A378" s="111"/>
      <c r="B378" s="111"/>
      <c r="C378" s="112"/>
      <c r="D378" s="101"/>
      <c r="E378" s="101"/>
      <c r="F378" s="101"/>
      <c r="G378" s="11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14"/>
      <c r="Z378" s="114"/>
      <c r="AA378" s="114"/>
      <c r="AB378" s="114"/>
      <c r="AC378" s="114"/>
      <c r="AD378" s="114"/>
      <c r="AE378" s="114"/>
      <c r="AF378" s="114"/>
      <c r="AG378" s="114"/>
      <c r="AH378" s="114"/>
      <c r="AI378" s="114"/>
      <c r="AJ378" s="114"/>
      <c r="AK378" s="114"/>
      <c r="AL378" s="114"/>
      <c r="AM378" s="114"/>
      <c r="AN378" s="114"/>
      <c r="AO378" s="114"/>
      <c r="AP378" s="114"/>
      <c r="AQ378" s="114"/>
      <c r="AR378" s="114"/>
      <c r="AS378" s="114"/>
      <c r="AT378" s="114"/>
      <c r="AU378" s="114"/>
      <c r="AV378" s="114"/>
      <c r="AW378" s="114"/>
      <c r="AX378" s="114"/>
      <c r="AY378" s="114"/>
      <c r="AZ378" s="114"/>
    </row>
    <row r="379" spans="1:52">
      <c r="A379" s="111"/>
      <c r="B379" s="111"/>
      <c r="C379" s="112"/>
      <c r="D379" s="101"/>
      <c r="E379" s="101"/>
      <c r="F379" s="101"/>
      <c r="G379" s="11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14"/>
      <c r="Z379" s="114"/>
      <c r="AA379" s="114"/>
      <c r="AB379" s="114"/>
      <c r="AC379" s="114"/>
      <c r="AD379" s="114"/>
      <c r="AE379" s="114"/>
      <c r="AF379" s="114"/>
      <c r="AG379" s="114"/>
      <c r="AH379" s="114"/>
      <c r="AI379" s="114"/>
      <c r="AJ379" s="114"/>
      <c r="AK379" s="114"/>
      <c r="AL379" s="114"/>
      <c r="AM379" s="114"/>
      <c r="AN379" s="114"/>
      <c r="AO379" s="114"/>
      <c r="AP379" s="114"/>
      <c r="AQ379" s="114"/>
      <c r="AR379" s="114"/>
      <c r="AS379" s="114"/>
      <c r="AT379" s="114"/>
      <c r="AU379" s="114"/>
      <c r="AV379" s="114"/>
      <c r="AW379" s="114"/>
      <c r="AX379" s="114"/>
      <c r="AY379" s="114"/>
      <c r="AZ379" s="114"/>
    </row>
    <row r="380" spans="1:52">
      <c r="A380" s="111"/>
      <c r="B380" s="111"/>
      <c r="C380" s="112"/>
      <c r="D380" s="101"/>
      <c r="E380" s="101"/>
      <c r="F380" s="101"/>
      <c r="G380" s="11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14"/>
      <c r="Z380" s="114"/>
      <c r="AA380" s="114"/>
      <c r="AB380" s="114"/>
      <c r="AC380" s="114"/>
      <c r="AD380" s="114"/>
      <c r="AE380" s="114"/>
      <c r="AF380" s="114"/>
      <c r="AG380" s="114"/>
      <c r="AH380" s="114"/>
      <c r="AI380" s="114"/>
      <c r="AJ380" s="114"/>
      <c r="AK380" s="114"/>
      <c r="AL380" s="114"/>
      <c r="AM380" s="114"/>
      <c r="AN380" s="114"/>
      <c r="AO380" s="114"/>
      <c r="AP380" s="114"/>
      <c r="AQ380" s="114"/>
      <c r="AR380" s="114"/>
      <c r="AS380" s="114"/>
      <c r="AT380" s="114"/>
      <c r="AU380" s="114"/>
      <c r="AV380" s="114"/>
      <c r="AW380" s="114"/>
      <c r="AX380" s="114"/>
      <c r="AY380" s="114"/>
      <c r="AZ380" s="114"/>
    </row>
    <row r="381" spans="1:52">
      <c r="A381" s="111"/>
      <c r="B381" s="111"/>
      <c r="C381" s="112"/>
      <c r="D381" s="101"/>
      <c r="E381" s="101"/>
      <c r="F381" s="101"/>
      <c r="G381" s="11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14"/>
      <c r="Z381" s="114"/>
      <c r="AA381" s="114"/>
      <c r="AB381" s="114"/>
      <c r="AC381" s="114"/>
      <c r="AD381" s="114"/>
      <c r="AE381" s="114"/>
      <c r="AF381" s="114"/>
      <c r="AG381" s="114"/>
      <c r="AH381" s="114"/>
      <c r="AI381" s="114"/>
      <c r="AJ381" s="114"/>
      <c r="AK381" s="114"/>
      <c r="AL381" s="114"/>
      <c r="AM381" s="114"/>
      <c r="AN381" s="114"/>
      <c r="AO381" s="114"/>
      <c r="AP381" s="114"/>
      <c r="AQ381" s="114"/>
      <c r="AR381" s="114"/>
      <c r="AS381" s="114"/>
      <c r="AT381" s="114"/>
      <c r="AU381" s="114"/>
      <c r="AV381" s="114"/>
      <c r="AW381" s="114"/>
      <c r="AX381" s="114"/>
      <c r="AY381" s="114"/>
      <c r="AZ381" s="114"/>
    </row>
    <row r="382" spans="1:52">
      <c r="A382" s="111"/>
      <c r="B382" s="111"/>
      <c r="C382" s="112"/>
      <c r="D382" s="101"/>
      <c r="E382" s="101"/>
      <c r="F382" s="101"/>
      <c r="G382" s="111"/>
      <c r="H382" s="101"/>
      <c r="I382" s="101"/>
      <c r="J382" s="101"/>
      <c r="K382" s="101"/>
      <c r="L382" s="101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14"/>
      <c r="Z382" s="114"/>
      <c r="AA382" s="114"/>
      <c r="AB382" s="114"/>
      <c r="AC382" s="114"/>
      <c r="AD382" s="114"/>
      <c r="AE382" s="114"/>
      <c r="AF382" s="114"/>
      <c r="AG382" s="114"/>
      <c r="AH382" s="114"/>
      <c r="AI382" s="114"/>
      <c r="AJ382" s="114"/>
      <c r="AK382" s="114"/>
      <c r="AL382" s="114"/>
      <c r="AM382" s="114"/>
      <c r="AN382" s="114"/>
      <c r="AO382" s="114"/>
      <c r="AP382" s="114"/>
      <c r="AQ382" s="114"/>
      <c r="AR382" s="114"/>
      <c r="AS382" s="114"/>
      <c r="AT382" s="114"/>
      <c r="AU382" s="114"/>
      <c r="AV382" s="114"/>
      <c r="AW382" s="114"/>
      <c r="AX382" s="114"/>
      <c r="AY382" s="114"/>
      <c r="AZ382" s="114"/>
    </row>
    <row r="383" spans="1:52">
      <c r="A383" s="111"/>
      <c r="B383" s="111"/>
      <c r="C383" s="112"/>
      <c r="D383" s="101"/>
      <c r="E383" s="101"/>
      <c r="F383" s="101"/>
      <c r="G383" s="111"/>
      <c r="H383" s="101"/>
      <c r="I383" s="101"/>
      <c r="J383" s="101"/>
      <c r="K383" s="101"/>
      <c r="L383" s="101"/>
      <c r="M383" s="101"/>
      <c r="N383" s="101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  <c r="Y383" s="114"/>
      <c r="Z383" s="114"/>
      <c r="AA383" s="114"/>
      <c r="AB383" s="114"/>
      <c r="AC383" s="114"/>
      <c r="AD383" s="114"/>
      <c r="AE383" s="114"/>
      <c r="AF383" s="114"/>
      <c r="AG383" s="114"/>
      <c r="AH383" s="114"/>
      <c r="AI383" s="114"/>
      <c r="AJ383" s="114"/>
      <c r="AK383" s="114"/>
      <c r="AL383" s="114"/>
      <c r="AM383" s="114"/>
      <c r="AN383" s="114"/>
      <c r="AO383" s="114"/>
      <c r="AP383" s="114"/>
      <c r="AQ383" s="114"/>
      <c r="AR383" s="114"/>
      <c r="AS383" s="114"/>
      <c r="AT383" s="114"/>
      <c r="AU383" s="114"/>
      <c r="AV383" s="114"/>
      <c r="AW383" s="114"/>
      <c r="AX383" s="114"/>
      <c r="AY383" s="114"/>
      <c r="AZ383" s="114"/>
    </row>
    <row r="384" spans="1:52">
      <c r="A384" s="111"/>
      <c r="B384" s="111"/>
      <c r="C384" s="112"/>
      <c r="D384" s="101"/>
      <c r="E384" s="101"/>
      <c r="F384" s="101"/>
      <c r="G384" s="111"/>
      <c r="H384" s="101"/>
      <c r="I384" s="101"/>
      <c r="J384" s="101"/>
      <c r="K384" s="101"/>
      <c r="L384" s="101"/>
      <c r="M384" s="101"/>
      <c r="N384" s="101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14"/>
      <c r="Z384" s="114"/>
      <c r="AA384" s="114"/>
      <c r="AB384" s="114"/>
      <c r="AC384" s="114"/>
      <c r="AD384" s="114"/>
      <c r="AE384" s="114"/>
      <c r="AF384" s="114"/>
      <c r="AG384" s="114"/>
      <c r="AH384" s="114"/>
      <c r="AI384" s="114"/>
      <c r="AJ384" s="114"/>
      <c r="AK384" s="114"/>
      <c r="AL384" s="114"/>
      <c r="AM384" s="114"/>
      <c r="AN384" s="114"/>
      <c r="AO384" s="114"/>
      <c r="AP384" s="114"/>
      <c r="AQ384" s="114"/>
      <c r="AR384" s="114"/>
      <c r="AS384" s="114"/>
      <c r="AT384" s="114"/>
      <c r="AU384" s="114"/>
      <c r="AV384" s="114"/>
      <c r="AW384" s="114"/>
      <c r="AX384" s="114"/>
      <c r="AY384" s="114"/>
      <c r="AZ384" s="114"/>
    </row>
    <row r="385" spans="1:52">
      <c r="A385" s="111"/>
      <c r="B385" s="111"/>
      <c r="C385" s="112"/>
      <c r="D385" s="101"/>
      <c r="E385" s="101"/>
      <c r="F385" s="101"/>
      <c r="G385" s="111"/>
      <c r="H385" s="101"/>
      <c r="I385" s="101"/>
      <c r="J385" s="101"/>
      <c r="K385" s="101"/>
      <c r="L385" s="101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14"/>
      <c r="Z385" s="114"/>
      <c r="AA385" s="114"/>
      <c r="AB385" s="114"/>
      <c r="AC385" s="114"/>
      <c r="AD385" s="114"/>
      <c r="AE385" s="114"/>
      <c r="AF385" s="114"/>
      <c r="AG385" s="114"/>
      <c r="AH385" s="114"/>
      <c r="AI385" s="114"/>
      <c r="AJ385" s="114"/>
      <c r="AK385" s="114"/>
      <c r="AL385" s="114"/>
      <c r="AM385" s="114"/>
      <c r="AN385" s="114"/>
      <c r="AO385" s="114"/>
      <c r="AP385" s="114"/>
      <c r="AQ385" s="114"/>
      <c r="AR385" s="114"/>
      <c r="AS385" s="114"/>
      <c r="AT385" s="114"/>
      <c r="AU385" s="114"/>
      <c r="AV385" s="114"/>
      <c r="AW385" s="114"/>
      <c r="AX385" s="114"/>
      <c r="AY385" s="114"/>
      <c r="AZ385" s="114"/>
    </row>
    <row r="386" spans="1:52">
      <c r="A386" s="111"/>
      <c r="B386" s="111"/>
      <c r="C386" s="112"/>
      <c r="D386" s="101"/>
      <c r="E386" s="101"/>
      <c r="F386" s="101"/>
      <c r="G386" s="111"/>
      <c r="H386" s="101"/>
      <c r="I386" s="101"/>
      <c r="J386" s="101"/>
      <c r="K386" s="101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14"/>
      <c r="Z386" s="114"/>
      <c r="AA386" s="114"/>
      <c r="AB386" s="114"/>
      <c r="AC386" s="114"/>
      <c r="AD386" s="114"/>
      <c r="AE386" s="114"/>
      <c r="AF386" s="114"/>
      <c r="AG386" s="114"/>
      <c r="AH386" s="114"/>
      <c r="AI386" s="114"/>
      <c r="AJ386" s="114"/>
      <c r="AK386" s="114"/>
      <c r="AL386" s="114"/>
      <c r="AM386" s="114"/>
      <c r="AN386" s="114"/>
      <c r="AO386" s="114"/>
      <c r="AP386" s="114"/>
      <c r="AQ386" s="114"/>
      <c r="AR386" s="114"/>
      <c r="AS386" s="114"/>
      <c r="AT386" s="114"/>
      <c r="AU386" s="114"/>
      <c r="AV386" s="114"/>
      <c r="AW386" s="114"/>
      <c r="AX386" s="114"/>
      <c r="AY386" s="114"/>
      <c r="AZ386" s="114"/>
    </row>
    <row r="387" spans="1:52">
      <c r="A387" s="111"/>
      <c r="B387" s="111"/>
      <c r="C387" s="112"/>
      <c r="D387" s="101"/>
      <c r="E387" s="101"/>
      <c r="F387" s="101"/>
      <c r="G387" s="111"/>
      <c r="H387" s="101"/>
      <c r="I387" s="101"/>
      <c r="J387" s="101"/>
      <c r="K387" s="101"/>
      <c r="L387" s="101"/>
      <c r="M387" s="101"/>
      <c r="N387" s="101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14"/>
      <c r="Z387" s="114"/>
      <c r="AA387" s="114"/>
      <c r="AB387" s="114"/>
      <c r="AC387" s="114"/>
      <c r="AD387" s="114"/>
      <c r="AE387" s="114"/>
      <c r="AF387" s="114"/>
      <c r="AG387" s="114"/>
      <c r="AH387" s="114"/>
      <c r="AI387" s="114"/>
      <c r="AJ387" s="114"/>
      <c r="AK387" s="114"/>
      <c r="AL387" s="114"/>
      <c r="AM387" s="114"/>
      <c r="AN387" s="114"/>
      <c r="AO387" s="114"/>
      <c r="AP387" s="114"/>
      <c r="AQ387" s="114"/>
      <c r="AR387" s="114"/>
      <c r="AS387" s="114"/>
      <c r="AT387" s="114"/>
      <c r="AU387" s="114"/>
      <c r="AV387" s="114"/>
      <c r="AW387" s="114"/>
      <c r="AX387" s="114"/>
      <c r="AY387" s="114"/>
      <c r="AZ387" s="114"/>
    </row>
    <row r="388" spans="1:52">
      <c r="A388" s="111"/>
      <c r="B388" s="111"/>
      <c r="C388" s="112"/>
      <c r="D388" s="101"/>
      <c r="E388" s="101"/>
      <c r="F388" s="101"/>
      <c r="G388" s="111"/>
      <c r="H388" s="101"/>
      <c r="I388" s="101"/>
      <c r="J388" s="101"/>
      <c r="K388" s="101"/>
      <c r="L388" s="101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14"/>
      <c r="Z388" s="114"/>
      <c r="AA388" s="114"/>
      <c r="AB388" s="114"/>
      <c r="AC388" s="114"/>
      <c r="AD388" s="114"/>
      <c r="AE388" s="114"/>
      <c r="AF388" s="114"/>
      <c r="AG388" s="114"/>
      <c r="AH388" s="114"/>
      <c r="AI388" s="114"/>
      <c r="AJ388" s="114"/>
      <c r="AK388" s="114"/>
      <c r="AL388" s="114"/>
      <c r="AM388" s="114"/>
      <c r="AN388" s="114"/>
      <c r="AO388" s="114"/>
      <c r="AP388" s="114"/>
      <c r="AQ388" s="114"/>
      <c r="AR388" s="114"/>
      <c r="AS388" s="114"/>
      <c r="AT388" s="114"/>
      <c r="AU388" s="114"/>
      <c r="AV388" s="114"/>
      <c r="AW388" s="114"/>
      <c r="AX388" s="114"/>
      <c r="AY388" s="114"/>
      <c r="AZ388" s="114"/>
    </row>
    <row r="389" spans="1:52">
      <c r="A389" s="111"/>
      <c r="B389" s="111"/>
      <c r="C389" s="112"/>
      <c r="D389" s="101"/>
      <c r="E389" s="101"/>
      <c r="F389" s="101"/>
      <c r="G389" s="111"/>
      <c r="H389" s="101"/>
      <c r="I389" s="101"/>
      <c r="J389" s="101"/>
      <c r="K389" s="101"/>
      <c r="L389" s="101"/>
      <c r="M389" s="101"/>
      <c r="N389" s="101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14"/>
      <c r="Z389" s="114"/>
      <c r="AA389" s="114"/>
      <c r="AB389" s="114"/>
      <c r="AC389" s="114"/>
      <c r="AD389" s="114"/>
      <c r="AE389" s="114"/>
      <c r="AF389" s="114"/>
      <c r="AG389" s="114"/>
      <c r="AH389" s="114"/>
      <c r="AI389" s="114"/>
      <c r="AJ389" s="114"/>
      <c r="AK389" s="114"/>
      <c r="AL389" s="114"/>
      <c r="AM389" s="114"/>
      <c r="AN389" s="114"/>
      <c r="AO389" s="114"/>
      <c r="AP389" s="114"/>
      <c r="AQ389" s="114"/>
      <c r="AR389" s="114"/>
      <c r="AS389" s="114"/>
      <c r="AT389" s="114"/>
      <c r="AU389" s="114"/>
      <c r="AV389" s="114"/>
      <c r="AW389" s="114"/>
      <c r="AX389" s="114"/>
      <c r="AY389" s="114"/>
      <c r="AZ389" s="114"/>
    </row>
    <row r="390" spans="1:52">
      <c r="A390" s="111"/>
      <c r="B390" s="111"/>
      <c r="C390" s="112"/>
      <c r="D390" s="101"/>
      <c r="E390" s="101"/>
      <c r="F390" s="101"/>
      <c r="G390" s="111"/>
      <c r="H390" s="101"/>
      <c r="I390" s="101"/>
      <c r="J390" s="101"/>
      <c r="K390" s="101"/>
      <c r="L390" s="101"/>
      <c r="M390" s="101"/>
      <c r="N390" s="101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14"/>
      <c r="Z390" s="114"/>
      <c r="AA390" s="114"/>
      <c r="AB390" s="114"/>
      <c r="AC390" s="114"/>
      <c r="AD390" s="114"/>
      <c r="AE390" s="114"/>
      <c r="AF390" s="114"/>
      <c r="AG390" s="114"/>
      <c r="AH390" s="114"/>
      <c r="AI390" s="114"/>
      <c r="AJ390" s="114"/>
      <c r="AK390" s="114"/>
      <c r="AL390" s="114"/>
      <c r="AM390" s="114"/>
      <c r="AN390" s="114"/>
      <c r="AO390" s="114"/>
      <c r="AP390" s="114"/>
      <c r="AQ390" s="114"/>
      <c r="AR390" s="114"/>
      <c r="AS390" s="114"/>
      <c r="AT390" s="114"/>
      <c r="AU390" s="114"/>
      <c r="AV390" s="114"/>
      <c r="AW390" s="114"/>
      <c r="AX390" s="114"/>
      <c r="AY390" s="114"/>
      <c r="AZ390" s="114"/>
    </row>
    <row r="391" spans="1:52">
      <c r="A391" s="111"/>
      <c r="B391" s="111"/>
      <c r="C391" s="112"/>
      <c r="D391" s="101"/>
      <c r="E391" s="101"/>
      <c r="F391" s="101"/>
      <c r="G391" s="111"/>
      <c r="H391" s="101"/>
      <c r="I391" s="101"/>
      <c r="J391" s="101"/>
      <c r="K391" s="101"/>
      <c r="L391" s="101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14"/>
      <c r="Z391" s="114"/>
      <c r="AA391" s="114"/>
      <c r="AB391" s="114"/>
      <c r="AC391" s="114"/>
      <c r="AD391" s="114"/>
      <c r="AE391" s="114"/>
      <c r="AF391" s="114"/>
      <c r="AG391" s="114"/>
      <c r="AH391" s="114"/>
      <c r="AI391" s="114"/>
      <c r="AJ391" s="114"/>
      <c r="AK391" s="114"/>
      <c r="AL391" s="114"/>
      <c r="AM391" s="114"/>
      <c r="AN391" s="114"/>
      <c r="AO391" s="114"/>
      <c r="AP391" s="114"/>
      <c r="AQ391" s="114"/>
      <c r="AR391" s="114"/>
      <c r="AS391" s="114"/>
      <c r="AT391" s="114"/>
      <c r="AU391" s="114"/>
      <c r="AV391" s="114"/>
      <c r="AW391" s="114"/>
      <c r="AX391" s="114"/>
      <c r="AY391" s="114"/>
      <c r="AZ391" s="114"/>
    </row>
    <row r="392" spans="1:52">
      <c r="A392" s="111"/>
      <c r="B392" s="111"/>
      <c r="C392" s="112"/>
      <c r="D392" s="101"/>
      <c r="E392" s="101"/>
      <c r="F392" s="101"/>
      <c r="G392" s="111"/>
      <c r="H392" s="101"/>
      <c r="I392" s="101"/>
      <c r="J392" s="101"/>
      <c r="K392" s="101"/>
      <c r="L392" s="101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14"/>
      <c r="Z392" s="114"/>
      <c r="AA392" s="114"/>
      <c r="AB392" s="114"/>
      <c r="AC392" s="114"/>
      <c r="AD392" s="114"/>
      <c r="AE392" s="114"/>
      <c r="AF392" s="114"/>
      <c r="AG392" s="114"/>
      <c r="AH392" s="114"/>
      <c r="AI392" s="114"/>
      <c r="AJ392" s="114"/>
      <c r="AK392" s="114"/>
      <c r="AL392" s="114"/>
      <c r="AM392" s="114"/>
      <c r="AN392" s="114"/>
      <c r="AO392" s="114"/>
      <c r="AP392" s="114"/>
      <c r="AQ392" s="114"/>
      <c r="AR392" s="114"/>
      <c r="AS392" s="114"/>
      <c r="AT392" s="114"/>
      <c r="AU392" s="114"/>
      <c r="AV392" s="114"/>
      <c r="AW392" s="114"/>
      <c r="AX392" s="114"/>
      <c r="AY392" s="114"/>
      <c r="AZ392" s="114"/>
    </row>
    <row r="393" spans="1:52">
      <c r="A393" s="111"/>
      <c r="B393" s="111"/>
      <c r="C393" s="112"/>
      <c r="D393" s="101"/>
      <c r="E393" s="101"/>
      <c r="F393" s="101"/>
      <c r="G393" s="111"/>
      <c r="H393" s="101"/>
      <c r="I393" s="101"/>
      <c r="J393" s="101"/>
      <c r="K393" s="101"/>
      <c r="L393" s="101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14"/>
      <c r="Z393" s="114"/>
      <c r="AA393" s="114"/>
      <c r="AB393" s="114"/>
      <c r="AC393" s="114"/>
      <c r="AD393" s="114"/>
      <c r="AE393" s="114"/>
      <c r="AF393" s="114"/>
      <c r="AG393" s="114"/>
      <c r="AH393" s="114"/>
      <c r="AI393" s="114"/>
      <c r="AJ393" s="114"/>
      <c r="AK393" s="114"/>
      <c r="AL393" s="114"/>
      <c r="AM393" s="114"/>
      <c r="AN393" s="114"/>
      <c r="AO393" s="114"/>
      <c r="AP393" s="114"/>
      <c r="AQ393" s="114"/>
      <c r="AR393" s="114"/>
      <c r="AS393" s="114"/>
      <c r="AT393" s="114"/>
      <c r="AU393" s="114"/>
      <c r="AV393" s="114"/>
      <c r="AW393" s="114"/>
      <c r="AX393" s="114"/>
      <c r="AY393" s="114"/>
      <c r="AZ393" s="114"/>
    </row>
    <row r="394" spans="1:52">
      <c r="A394" s="111"/>
      <c r="B394" s="111"/>
      <c r="C394" s="112"/>
      <c r="D394" s="101"/>
      <c r="E394" s="101"/>
      <c r="F394" s="101"/>
      <c r="G394" s="11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14"/>
      <c r="Z394" s="114"/>
      <c r="AA394" s="114"/>
      <c r="AB394" s="114"/>
      <c r="AC394" s="114"/>
      <c r="AD394" s="114"/>
      <c r="AE394" s="114"/>
      <c r="AF394" s="114"/>
      <c r="AG394" s="114"/>
      <c r="AH394" s="114"/>
      <c r="AI394" s="114"/>
      <c r="AJ394" s="114"/>
      <c r="AK394" s="114"/>
      <c r="AL394" s="114"/>
      <c r="AM394" s="114"/>
      <c r="AN394" s="114"/>
      <c r="AO394" s="114"/>
      <c r="AP394" s="114"/>
      <c r="AQ394" s="114"/>
      <c r="AR394" s="114"/>
      <c r="AS394" s="114"/>
      <c r="AT394" s="114"/>
      <c r="AU394" s="114"/>
      <c r="AV394" s="114"/>
      <c r="AW394" s="114"/>
      <c r="AX394" s="114"/>
      <c r="AY394" s="114"/>
      <c r="AZ394" s="114"/>
    </row>
    <row r="395" spans="1:52">
      <c r="A395" s="111"/>
      <c r="B395" s="111"/>
      <c r="C395" s="112"/>
      <c r="D395" s="101"/>
      <c r="E395" s="101"/>
      <c r="F395" s="101"/>
      <c r="G395" s="11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14"/>
      <c r="Z395" s="114"/>
      <c r="AA395" s="114"/>
      <c r="AB395" s="114"/>
      <c r="AC395" s="114"/>
      <c r="AD395" s="114"/>
      <c r="AE395" s="114"/>
      <c r="AF395" s="114"/>
      <c r="AG395" s="114"/>
      <c r="AH395" s="114"/>
      <c r="AI395" s="114"/>
      <c r="AJ395" s="114"/>
      <c r="AK395" s="114"/>
      <c r="AL395" s="114"/>
      <c r="AM395" s="114"/>
      <c r="AN395" s="114"/>
      <c r="AO395" s="114"/>
      <c r="AP395" s="114"/>
      <c r="AQ395" s="114"/>
      <c r="AR395" s="114"/>
      <c r="AS395" s="114"/>
      <c r="AT395" s="114"/>
      <c r="AU395" s="114"/>
      <c r="AV395" s="114"/>
      <c r="AW395" s="114"/>
      <c r="AX395" s="114"/>
      <c r="AY395" s="114"/>
      <c r="AZ395" s="114"/>
    </row>
    <row r="396" spans="1:52">
      <c r="A396" s="111"/>
      <c r="B396" s="111"/>
      <c r="C396" s="112"/>
      <c r="D396" s="101"/>
      <c r="E396" s="101"/>
      <c r="F396" s="101"/>
      <c r="G396" s="111"/>
      <c r="H396" s="101"/>
      <c r="I396" s="101"/>
      <c r="J396" s="101"/>
      <c r="K396" s="101"/>
      <c r="L396" s="101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14"/>
      <c r="Z396" s="114"/>
      <c r="AA396" s="114"/>
      <c r="AB396" s="114"/>
      <c r="AC396" s="114"/>
      <c r="AD396" s="114"/>
      <c r="AE396" s="114"/>
      <c r="AF396" s="114"/>
      <c r="AG396" s="114"/>
      <c r="AH396" s="114"/>
      <c r="AI396" s="114"/>
      <c r="AJ396" s="114"/>
      <c r="AK396" s="114"/>
      <c r="AL396" s="114"/>
      <c r="AM396" s="114"/>
      <c r="AN396" s="114"/>
      <c r="AO396" s="114"/>
      <c r="AP396" s="114"/>
      <c r="AQ396" s="114"/>
      <c r="AR396" s="114"/>
      <c r="AS396" s="114"/>
      <c r="AT396" s="114"/>
      <c r="AU396" s="114"/>
      <c r="AV396" s="114"/>
      <c r="AW396" s="114"/>
      <c r="AX396" s="114"/>
      <c r="AY396" s="114"/>
      <c r="AZ396" s="114"/>
    </row>
    <row r="397" spans="1:52">
      <c r="A397" s="111"/>
      <c r="B397" s="111"/>
      <c r="C397" s="112"/>
      <c r="D397" s="101"/>
      <c r="E397" s="101"/>
      <c r="F397" s="101"/>
      <c r="G397" s="111"/>
      <c r="H397" s="101"/>
      <c r="I397" s="101"/>
      <c r="J397" s="101"/>
      <c r="K397" s="101"/>
      <c r="L397" s="101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14"/>
      <c r="Z397" s="114"/>
      <c r="AA397" s="114"/>
      <c r="AB397" s="114"/>
      <c r="AC397" s="114"/>
      <c r="AD397" s="114"/>
      <c r="AE397" s="114"/>
      <c r="AF397" s="114"/>
      <c r="AG397" s="114"/>
      <c r="AH397" s="114"/>
      <c r="AI397" s="114"/>
      <c r="AJ397" s="114"/>
      <c r="AK397" s="114"/>
      <c r="AL397" s="114"/>
      <c r="AM397" s="114"/>
      <c r="AN397" s="114"/>
      <c r="AO397" s="114"/>
      <c r="AP397" s="114"/>
      <c r="AQ397" s="114"/>
      <c r="AR397" s="114"/>
      <c r="AS397" s="114"/>
      <c r="AT397" s="114"/>
      <c r="AU397" s="114"/>
      <c r="AV397" s="114"/>
      <c r="AW397" s="114"/>
      <c r="AX397" s="114"/>
      <c r="AY397" s="114"/>
      <c r="AZ397" s="114"/>
    </row>
    <row r="398" spans="1:52">
      <c r="A398" s="111"/>
      <c r="B398" s="111"/>
      <c r="C398" s="112"/>
      <c r="D398" s="101"/>
      <c r="E398" s="101"/>
      <c r="F398" s="101"/>
      <c r="G398" s="111"/>
      <c r="H398" s="101"/>
      <c r="I398" s="101"/>
      <c r="J398" s="101"/>
      <c r="K398" s="101"/>
      <c r="L398" s="101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14"/>
      <c r="Z398" s="114"/>
      <c r="AA398" s="114"/>
      <c r="AB398" s="114"/>
      <c r="AC398" s="114"/>
      <c r="AD398" s="114"/>
      <c r="AE398" s="114"/>
      <c r="AF398" s="114"/>
      <c r="AG398" s="114"/>
      <c r="AH398" s="114"/>
      <c r="AI398" s="114"/>
      <c r="AJ398" s="114"/>
      <c r="AK398" s="114"/>
      <c r="AL398" s="114"/>
      <c r="AM398" s="114"/>
      <c r="AN398" s="114"/>
      <c r="AO398" s="114"/>
      <c r="AP398" s="114"/>
      <c r="AQ398" s="114"/>
      <c r="AR398" s="114"/>
      <c r="AS398" s="114"/>
      <c r="AT398" s="114"/>
      <c r="AU398" s="114"/>
      <c r="AV398" s="114"/>
      <c r="AW398" s="114"/>
      <c r="AX398" s="114"/>
      <c r="AY398" s="114"/>
      <c r="AZ398" s="114"/>
    </row>
    <row r="399" spans="1:52">
      <c r="A399" s="111"/>
      <c r="B399" s="111"/>
      <c r="C399" s="112"/>
      <c r="D399" s="101"/>
      <c r="E399" s="101"/>
      <c r="F399" s="101"/>
      <c r="G399" s="111"/>
      <c r="H399" s="101"/>
      <c r="I399" s="101"/>
      <c r="J399" s="101"/>
      <c r="K399" s="101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14"/>
      <c r="Z399" s="114"/>
      <c r="AA399" s="114"/>
      <c r="AB399" s="114"/>
      <c r="AC399" s="114"/>
      <c r="AD399" s="114"/>
      <c r="AE399" s="114"/>
      <c r="AF399" s="114"/>
      <c r="AG399" s="114"/>
      <c r="AH399" s="114"/>
      <c r="AI399" s="114"/>
      <c r="AJ399" s="114"/>
      <c r="AK399" s="114"/>
      <c r="AL399" s="114"/>
      <c r="AM399" s="114"/>
      <c r="AN399" s="114"/>
      <c r="AO399" s="114"/>
      <c r="AP399" s="114"/>
      <c r="AQ399" s="114"/>
      <c r="AR399" s="114"/>
      <c r="AS399" s="114"/>
      <c r="AT399" s="114"/>
      <c r="AU399" s="114"/>
      <c r="AV399" s="114"/>
      <c r="AW399" s="114"/>
      <c r="AX399" s="114"/>
      <c r="AY399" s="114"/>
      <c r="AZ399" s="114"/>
    </row>
    <row r="400" spans="1:52">
      <c r="A400" s="111"/>
      <c r="B400" s="111"/>
      <c r="C400" s="112"/>
      <c r="D400" s="101"/>
      <c r="E400" s="101"/>
      <c r="F400" s="101"/>
      <c r="G400" s="111"/>
      <c r="H400" s="101"/>
      <c r="I400" s="101"/>
      <c r="J400" s="101"/>
      <c r="K400" s="101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14"/>
      <c r="Z400" s="114"/>
      <c r="AA400" s="114"/>
      <c r="AB400" s="114"/>
      <c r="AC400" s="114"/>
      <c r="AD400" s="114"/>
      <c r="AE400" s="114"/>
      <c r="AF400" s="114"/>
      <c r="AG400" s="114"/>
      <c r="AH400" s="114"/>
      <c r="AI400" s="114"/>
      <c r="AJ400" s="114"/>
      <c r="AK400" s="114"/>
      <c r="AL400" s="114"/>
      <c r="AM400" s="114"/>
      <c r="AN400" s="114"/>
      <c r="AO400" s="114"/>
      <c r="AP400" s="114"/>
      <c r="AQ400" s="114"/>
      <c r="AR400" s="114"/>
      <c r="AS400" s="114"/>
      <c r="AT400" s="114"/>
      <c r="AU400" s="114"/>
      <c r="AV400" s="114"/>
      <c r="AW400" s="114"/>
      <c r="AX400" s="114"/>
      <c r="AY400" s="114"/>
      <c r="AZ400" s="114"/>
    </row>
    <row r="401" spans="1:52">
      <c r="A401" s="111"/>
      <c r="B401" s="111"/>
      <c r="C401" s="112"/>
      <c r="D401" s="101"/>
      <c r="E401" s="101"/>
      <c r="F401" s="101"/>
      <c r="G401" s="111"/>
      <c r="H401" s="101"/>
      <c r="I401" s="101"/>
      <c r="J401" s="101"/>
      <c r="K401" s="101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14"/>
      <c r="Z401" s="114"/>
      <c r="AA401" s="114"/>
      <c r="AB401" s="114"/>
      <c r="AC401" s="114"/>
      <c r="AD401" s="114"/>
      <c r="AE401" s="114"/>
      <c r="AF401" s="114"/>
      <c r="AG401" s="114"/>
      <c r="AH401" s="114"/>
      <c r="AI401" s="114"/>
      <c r="AJ401" s="114"/>
      <c r="AK401" s="114"/>
      <c r="AL401" s="114"/>
      <c r="AM401" s="114"/>
      <c r="AN401" s="114"/>
      <c r="AO401" s="114"/>
      <c r="AP401" s="114"/>
      <c r="AQ401" s="114"/>
      <c r="AR401" s="114"/>
      <c r="AS401" s="114"/>
      <c r="AT401" s="114"/>
      <c r="AU401" s="114"/>
      <c r="AV401" s="114"/>
      <c r="AW401" s="114"/>
      <c r="AX401" s="114"/>
      <c r="AY401" s="114"/>
      <c r="AZ401" s="114"/>
    </row>
    <row r="402" spans="1:52">
      <c r="A402" s="111"/>
      <c r="B402" s="111"/>
      <c r="C402" s="112"/>
      <c r="D402" s="101"/>
      <c r="E402" s="101"/>
      <c r="F402" s="101"/>
      <c r="G402" s="111"/>
      <c r="H402" s="101"/>
      <c r="I402" s="101"/>
      <c r="J402" s="101"/>
      <c r="K402" s="101"/>
      <c r="L402" s="101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14"/>
      <c r="Z402" s="114"/>
      <c r="AA402" s="114"/>
      <c r="AB402" s="114"/>
      <c r="AC402" s="114"/>
      <c r="AD402" s="114"/>
      <c r="AE402" s="114"/>
      <c r="AF402" s="114"/>
      <c r="AG402" s="114"/>
      <c r="AH402" s="114"/>
      <c r="AI402" s="114"/>
      <c r="AJ402" s="114"/>
      <c r="AK402" s="114"/>
      <c r="AL402" s="114"/>
      <c r="AM402" s="114"/>
      <c r="AN402" s="114"/>
      <c r="AO402" s="114"/>
      <c r="AP402" s="114"/>
      <c r="AQ402" s="114"/>
      <c r="AR402" s="114"/>
      <c r="AS402" s="114"/>
      <c r="AT402" s="114"/>
      <c r="AU402" s="114"/>
      <c r="AV402" s="114"/>
      <c r="AW402" s="114"/>
      <c r="AX402" s="114"/>
      <c r="AY402" s="114"/>
      <c r="AZ402" s="114"/>
    </row>
    <row r="403" spans="1:52">
      <c r="A403" s="111"/>
      <c r="B403" s="111"/>
      <c r="C403" s="112"/>
      <c r="D403" s="101"/>
      <c r="E403" s="101"/>
      <c r="F403" s="101"/>
      <c r="G403" s="111"/>
      <c r="H403" s="101"/>
      <c r="I403" s="101"/>
      <c r="J403" s="101"/>
      <c r="K403" s="101"/>
      <c r="L403" s="101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14"/>
      <c r="Z403" s="114"/>
      <c r="AA403" s="114"/>
      <c r="AB403" s="114"/>
      <c r="AC403" s="114"/>
      <c r="AD403" s="114"/>
      <c r="AE403" s="114"/>
      <c r="AF403" s="114"/>
      <c r="AG403" s="114"/>
      <c r="AH403" s="114"/>
      <c r="AI403" s="114"/>
      <c r="AJ403" s="114"/>
      <c r="AK403" s="114"/>
      <c r="AL403" s="114"/>
      <c r="AM403" s="114"/>
      <c r="AN403" s="114"/>
      <c r="AO403" s="114"/>
      <c r="AP403" s="114"/>
      <c r="AQ403" s="114"/>
      <c r="AR403" s="114"/>
      <c r="AS403" s="114"/>
      <c r="AT403" s="114"/>
      <c r="AU403" s="114"/>
      <c r="AV403" s="114"/>
      <c r="AW403" s="114"/>
      <c r="AX403" s="114"/>
      <c r="AY403" s="114"/>
      <c r="AZ403" s="114"/>
    </row>
    <row r="404" spans="1:52">
      <c r="A404" s="111"/>
      <c r="B404" s="111"/>
      <c r="C404" s="112"/>
      <c r="D404" s="101"/>
      <c r="E404" s="101"/>
      <c r="F404" s="101"/>
      <c r="G404" s="111"/>
      <c r="H404" s="101"/>
      <c r="I404" s="101"/>
      <c r="J404" s="101"/>
      <c r="K404" s="101"/>
      <c r="L404" s="101"/>
      <c r="M404" s="101"/>
      <c r="N404" s="101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14"/>
      <c r="Z404" s="114"/>
      <c r="AA404" s="114"/>
      <c r="AB404" s="114"/>
      <c r="AC404" s="114"/>
      <c r="AD404" s="114"/>
      <c r="AE404" s="114"/>
      <c r="AF404" s="114"/>
      <c r="AG404" s="114"/>
      <c r="AH404" s="114"/>
      <c r="AI404" s="114"/>
      <c r="AJ404" s="114"/>
      <c r="AK404" s="114"/>
      <c r="AL404" s="114"/>
      <c r="AM404" s="114"/>
      <c r="AN404" s="114"/>
      <c r="AO404" s="114"/>
      <c r="AP404" s="114"/>
      <c r="AQ404" s="114"/>
      <c r="AR404" s="114"/>
      <c r="AS404" s="114"/>
      <c r="AT404" s="114"/>
      <c r="AU404" s="114"/>
      <c r="AV404" s="114"/>
      <c r="AW404" s="114"/>
      <c r="AX404" s="114"/>
      <c r="AY404" s="114"/>
      <c r="AZ404" s="114"/>
    </row>
    <row r="405" spans="1:52">
      <c r="A405" s="111"/>
      <c r="B405" s="111"/>
      <c r="C405" s="112"/>
      <c r="D405" s="101"/>
      <c r="E405" s="101"/>
      <c r="F405" s="101"/>
      <c r="G405" s="111"/>
      <c r="H405" s="101"/>
      <c r="I405" s="101"/>
      <c r="J405" s="101"/>
      <c r="K405" s="101"/>
      <c r="L405" s="101"/>
      <c r="M405" s="101"/>
      <c r="N405" s="101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14"/>
      <c r="Z405" s="114"/>
      <c r="AA405" s="114"/>
      <c r="AB405" s="114"/>
      <c r="AC405" s="114"/>
      <c r="AD405" s="114"/>
      <c r="AE405" s="114"/>
      <c r="AF405" s="114"/>
      <c r="AG405" s="114"/>
      <c r="AH405" s="114"/>
      <c r="AI405" s="114"/>
      <c r="AJ405" s="114"/>
      <c r="AK405" s="114"/>
      <c r="AL405" s="114"/>
      <c r="AM405" s="114"/>
      <c r="AN405" s="114"/>
      <c r="AO405" s="114"/>
      <c r="AP405" s="114"/>
      <c r="AQ405" s="114"/>
      <c r="AR405" s="114"/>
      <c r="AS405" s="114"/>
      <c r="AT405" s="114"/>
      <c r="AU405" s="114"/>
      <c r="AV405" s="114"/>
      <c r="AW405" s="114"/>
      <c r="AX405" s="114"/>
      <c r="AY405" s="114"/>
      <c r="AZ405" s="114"/>
    </row>
    <row r="406" spans="1:52">
      <c r="A406" s="111"/>
      <c r="B406" s="111"/>
      <c r="C406" s="112"/>
      <c r="D406" s="101"/>
      <c r="E406" s="101"/>
      <c r="F406" s="101"/>
      <c r="G406" s="111"/>
      <c r="H406" s="101"/>
      <c r="I406" s="101"/>
      <c r="J406" s="101"/>
      <c r="K406" s="101"/>
      <c r="L406" s="101"/>
      <c r="M406" s="101"/>
      <c r="N406" s="101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14"/>
      <c r="Z406" s="114"/>
      <c r="AA406" s="114"/>
      <c r="AB406" s="114"/>
      <c r="AC406" s="114"/>
      <c r="AD406" s="114"/>
      <c r="AE406" s="114"/>
      <c r="AF406" s="114"/>
      <c r="AG406" s="114"/>
      <c r="AH406" s="114"/>
      <c r="AI406" s="114"/>
      <c r="AJ406" s="114"/>
      <c r="AK406" s="114"/>
      <c r="AL406" s="114"/>
      <c r="AM406" s="114"/>
      <c r="AN406" s="114"/>
      <c r="AO406" s="114"/>
      <c r="AP406" s="114"/>
      <c r="AQ406" s="114"/>
      <c r="AR406" s="114"/>
      <c r="AS406" s="114"/>
      <c r="AT406" s="114"/>
      <c r="AU406" s="114"/>
      <c r="AV406" s="114"/>
      <c r="AW406" s="114"/>
      <c r="AX406" s="114"/>
      <c r="AY406" s="114"/>
      <c r="AZ406" s="114"/>
    </row>
    <row r="407" spans="1:52">
      <c r="A407" s="111"/>
      <c r="B407" s="111"/>
      <c r="C407" s="112"/>
      <c r="D407" s="101"/>
      <c r="E407" s="101"/>
      <c r="F407" s="101"/>
      <c r="G407" s="111"/>
      <c r="H407" s="101"/>
      <c r="I407" s="101"/>
      <c r="J407" s="101"/>
      <c r="K407" s="101"/>
      <c r="L407" s="101"/>
      <c r="M407" s="101"/>
      <c r="N407" s="101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  <c r="Y407" s="114"/>
      <c r="Z407" s="114"/>
      <c r="AA407" s="114"/>
      <c r="AB407" s="114"/>
      <c r="AC407" s="114"/>
      <c r="AD407" s="114"/>
      <c r="AE407" s="114"/>
      <c r="AF407" s="114"/>
      <c r="AG407" s="114"/>
      <c r="AH407" s="114"/>
      <c r="AI407" s="114"/>
      <c r="AJ407" s="114"/>
      <c r="AK407" s="114"/>
      <c r="AL407" s="114"/>
      <c r="AM407" s="114"/>
      <c r="AN407" s="114"/>
      <c r="AO407" s="114"/>
      <c r="AP407" s="114"/>
      <c r="AQ407" s="114"/>
      <c r="AR407" s="114"/>
      <c r="AS407" s="114"/>
      <c r="AT407" s="114"/>
      <c r="AU407" s="114"/>
      <c r="AV407" s="114"/>
      <c r="AW407" s="114"/>
      <c r="AX407" s="114"/>
      <c r="AY407" s="114"/>
      <c r="AZ407" s="114"/>
    </row>
    <row r="408" spans="1:52">
      <c r="A408" s="111"/>
      <c r="B408" s="111"/>
      <c r="C408" s="112"/>
      <c r="D408" s="101"/>
      <c r="E408" s="101"/>
      <c r="F408" s="101"/>
      <c r="G408" s="111"/>
      <c r="H408" s="101"/>
      <c r="I408" s="101"/>
      <c r="J408" s="101"/>
      <c r="K408" s="101"/>
      <c r="L408" s="101"/>
      <c r="M408" s="101"/>
      <c r="N408" s="101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14"/>
      <c r="Z408" s="114"/>
      <c r="AA408" s="114"/>
      <c r="AB408" s="114"/>
      <c r="AC408" s="114"/>
      <c r="AD408" s="114"/>
      <c r="AE408" s="114"/>
      <c r="AF408" s="114"/>
      <c r="AG408" s="114"/>
      <c r="AH408" s="114"/>
      <c r="AI408" s="114"/>
      <c r="AJ408" s="114"/>
      <c r="AK408" s="114"/>
      <c r="AL408" s="114"/>
      <c r="AM408" s="114"/>
      <c r="AN408" s="114"/>
      <c r="AO408" s="114"/>
      <c r="AP408" s="114"/>
      <c r="AQ408" s="114"/>
      <c r="AR408" s="114"/>
      <c r="AS408" s="114"/>
      <c r="AT408" s="114"/>
      <c r="AU408" s="114"/>
      <c r="AV408" s="114"/>
      <c r="AW408" s="114"/>
      <c r="AX408" s="114"/>
      <c r="AY408" s="114"/>
      <c r="AZ408" s="114"/>
    </row>
    <row r="409" spans="1:52">
      <c r="A409" s="111"/>
      <c r="B409" s="111"/>
      <c r="C409" s="112"/>
      <c r="D409" s="101"/>
      <c r="E409" s="101"/>
      <c r="F409" s="101"/>
      <c r="G409" s="111"/>
      <c r="H409" s="101"/>
      <c r="I409" s="101"/>
      <c r="J409" s="101"/>
      <c r="K409" s="101"/>
      <c r="L409" s="101"/>
      <c r="M409" s="101"/>
      <c r="N409" s="101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14"/>
      <c r="Z409" s="114"/>
      <c r="AA409" s="114"/>
      <c r="AB409" s="114"/>
      <c r="AC409" s="114"/>
      <c r="AD409" s="114"/>
      <c r="AE409" s="114"/>
      <c r="AF409" s="114"/>
      <c r="AG409" s="114"/>
      <c r="AH409" s="114"/>
      <c r="AI409" s="114"/>
      <c r="AJ409" s="114"/>
      <c r="AK409" s="114"/>
      <c r="AL409" s="114"/>
      <c r="AM409" s="114"/>
      <c r="AN409" s="114"/>
      <c r="AO409" s="114"/>
      <c r="AP409" s="114"/>
      <c r="AQ409" s="114"/>
      <c r="AR409" s="114"/>
      <c r="AS409" s="114"/>
      <c r="AT409" s="114"/>
      <c r="AU409" s="114"/>
      <c r="AV409" s="114"/>
      <c r="AW409" s="114"/>
      <c r="AX409" s="114"/>
      <c r="AY409" s="114"/>
      <c r="AZ409" s="114"/>
    </row>
    <row r="410" spans="1:52">
      <c r="A410" s="111"/>
      <c r="B410" s="111"/>
      <c r="C410" s="112"/>
      <c r="D410" s="101"/>
      <c r="E410" s="101"/>
      <c r="F410" s="101"/>
      <c r="G410" s="111"/>
      <c r="H410" s="101"/>
      <c r="I410" s="101"/>
      <c r="J410" s="101"/>
      <c r="K410" s="101"/>
      <c r="L410" s="101"/>
      <c r="M410" s="101"/>
      <c r="N410" s="101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  <c r="Y410" s="114"/>
      <c r="Z410" s="114"/>
      <c r="AA410" s="114"/>
      <c r="AB410" s="114"/>
      <c r="AC410" s="114"/>
      <c r="AD410" s="114"/>
      <c r="AE410" s="114"/>
      <c r="AF410" s="114"/>
      <c r="AG410" s="114"/>
      <c r="AH410" s="114"/>
      <c r="AI410" s="114"/>
      <c r="AJ410" s="114"/>
      <c r="AK410" s="114"/>
      <c r="AL410" s="114"/>
      <c r="AM410" s="114"/>
      <c r="AN410" s="114"/>
      <c r="AO410" s="114"/>
      <c r="AP410" s="114"/>
      <c r="AQ410" s="114"/>
      <c r="AR410" s="114"/>
      <c r="AS410" s="114"/>
      <c r="AT410" s="114"/>
      <c r="AU410" s="114"/>
      <c r="AV410" s="114"/>
      <c r="AW410" s="114"/>
      <c r="AX410" s="114"/>
      <c r="AY410" s="114"/>
      <c r="AZ410" s="114"/>
    </row>
    <row r="411" spans="1:52">
      <c r="A411" s="111"/>
      <c r="B411" s="111"/>
      <c r="C411" s="112"/>
      <c r="D411" s="101"/>
      <c r="E411" s="101"/>
      <c r="F411" s="101"/>
      <c r="G411" s="111"/>
      <c r="H411" s="101"/>
      <c r="I411" s="101"/>
      <c r="J411" s="101"/>
      <c r="K411" s="101"/>
      <c r="L411" s="101"/>
      <c r="M411" s="101"/>
      <c r="N411" s="101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14"/>
      <c r="Z411" s="114"/>
      <c r="AA411" s="114"/>
      <c r="AB411" s="114"/>
      <c r="AC411" s="114"/>
      <c r="AD411" s="114"/>
      <c r="AE411" s="114"/>
      <c r="AF411" s="114"/>
      <c r="AG411" s="114"/>
      <c r="AH411" s="114"/>
      <c r="AI411" s="114"/>
      <c r="AJ411" s="114"/>
      <c r="AK411" s="114"/>
      <c r="AL411" s="114"/>
      <c r="AM411" s="114"/>
      <c r="AN411" s="114"/>
      <c r="AO411" s="114"/>
      <c r="AP411" s="114"/>
      <c r="AQ411" s="114"/>
      <c r="AR411" s="114"/>
      <c r="AS411" s="114"/>
      <c r="AT411" s="114"/>
      <c r="AU411" s="114"/>
      <c r="AV411" s="114"/>
      <c r="AW411" s="114"/>
      <c r="AX411" s="114"/>
      <c r="AY411" s="114"/>
      <c r="AZ411" s="114"/>
    </row>
    <row r="412" spans="1:52">
      <c r="A412" s="111"/>
      <c r="B412" s="111"/>
      <c r="C412" s="112"/>
      <c r="D412" s="101"/>
      <c r="E412" s="101"/>
      <c r="F412" s="101"/>
      <c r="G412" s="111"/>
      <c r="H412" s="101"/>
      <c r="I412" s="101"/>
      <c r="J412" s="101"/>
      <c r="K412" s="101"/>
      <c r="L412" s="101"/>
      <c r="M412" s="101"/>
      <c r="N412" s="101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14"/>
      <c r="Z412" s="114"/>
      <c r="AA412" s="114"/>
      <c r="AB412" s="114"/>
      <c r="AC412" s="114"/>
      <c r="AD412" s="114"/>
      <c r="AE412" s="114"/>
      <c r="AF412" s="114"/>
      <c r="AG412" s="114"/>
      <c r="AH412" s="114"/>
      <c r="AI412" s="114"/>
      <c r="AJ412" s="114"/>
      <c r="AK412" s="114"/>
      <c r="AL412" s="114"/>
      <c r="AM412" s="114"/>
      <c r="AN412" s="114"/>
      <c r="AO412" s="114"/>
      <c r="AP412" s="114"/>
      <c r="AQ412" s="114"/>
      <c r="AR412" s="114"/>
      <c r="AS412" s="114"/>
      <c r="AT412" s="114"/>
      <c r="AU412" s="114"/>
      <c r="AV412" s="114"/>
      <c r="AW412" s="114"/>
      <c r="AX412" s="114"/>
      <c r="AY412" s="114"/>
      <c r="AZ412" s="114"/>
    </row>
    <row r="413" spans="1:52">
      <c r="A413" s="111"/>
      <c r="B413" s="111"/>
      <c r="C413" s="112"/>
      <c r="D413" s="101"/>
      <c r="E413" s="101"/>
      <c r="F413" s="101"/>
      <c r="G413" s="111"/>
      <c r="H413" s="101"/>
      <c r="I413" s="101"/>
      <c r="J413" s="101"/>
      <c r="K413" s="101"/>
      <c r="L413" s="101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14"/>
      <c r="Z413" s="114"/>
      <c r="AA413" s="114"/>
      <c r="AB413" s="114"/>
      <c r="AC413" s="114"/>
      <c r="AD413" s="114"/>
      <c r="AE413" s="114"/>
      <c r="AF413" s="114"/>
      <c r="AG413" s="114"/>
      <c r="AH413" s="114"/>
      <c r="AI413" s="114"/>
      <c r="AJ413" s="114"/>
      <c r="AK413" s="114"/>
      <c r="AL413" s="114"/>
      <c r="AM413" s="114"/>
      <c r="AN413" s="114"/>
      <c r="AO413" s="114"/>
      <c r="AP413" s="114"/>
      <c r="AQ413" s="114"/>
      <c r="AR413" s="114"/>
      <c r="AS413" s="114"/>
      <c r="AT413" s="114"/>
      <c r="AU413" s="114"/>
      <c r="AV413" s="114"/>
      <c r="AW413" s="114"/>
      <c r="AX413" s="114"/>
      <c r="AY413" s="114"/>
      <c r="AZ413" s="114"/>
    </row>
    <row r="414" spans="1:52">
      <c r="A414" s="111"/>
      <c r="B414" s="111"/>
      <c r="C414" s="112"/>
      <c r="D414" s="101"/>
      <c r="E414" s="101"/>
      <c r="F414" s="101"/>
      <c r="G414" s="111"/>
      <c r="H414" s="101"/>
      <c r="I414" s="101"/>
      <c r="J414" s="101"/>
      <c r="K414" s="101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14"/>
      <c r="Z414" s="114"/>
      <c r="AA414" s="114"/>
      <c r="AB414" s="114"/>
      <c r="AC414" s="114"/>
      <c r="AD414" s="114"/>
      <c r="AE414" s="114"/>
      <c r="AF414" s="114"/>
      <c r="AG414" s="114"/>
      <c r="AH414" s="114"/>
      <c r="AI414" s="114"/>
      <c r="AJ414" s="114"/>
      <c r="AK414" s="114"/>
      <c r="AL414" s="114"/>
      <c r="AM414" s="114"/>
      <c r="AN414" s="114"/>
      <c r="AO414" s="114"/>
      <c r="AP414" s="114"/>
      <c r="AQ414" s="114"/>
      <c r="AR414" s="114"/>
      <c r="AS414" s="114"/>
      <c r="AT414" s="114"/>
      <c r="AU414" s="114"/>
      <c r="AV414" s="114"/>
      <c r="AW414" s="114"/>
      <c r="AX414" s="114"/>
      <c r="AY414" s="114"/>
      <c r="AZ414" s="114"/>
    </row>
    <row r="415" spans="1:52">
      <c r="A415" s="111"/>
      <c r="B415" s="111"/>
      <c r="C415" s="112"/>
      <c r="D415" s="101"/>
      <c r="E415" s="101"/>
      <c r="F415" s="101"/>
      <c r="G415" s="111"/>
      <c r="H415" s="101"/>
      <c r="I415" s="101"/>
      <c r="J415" s="101"/>
      <c r="K415" s="101"/>
      <c r="L415" s="101"/>
      <c r="M415" s="101"/>
      <c r="N415" s="101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  <c r="Y415" s="114"/>
      <c r="Z415" s="114"/>
      <c r="AA415" s="114"/>
      <c r="AB415" s="114"/>
      <c r="AC415" s="114"/>
      <c r="AD415" s="114"/>
      <c r="AE415" s="114"/>
      <c r="AF415" s="114"/>
      <c r="AG415" s="114"/>
      <c r="AH415" s="114"/>
      <c r="AI415" s="114"/>
      <c r="AJ415" s="114"/>
      <c r="AK415" s="114"/>
      <c r="AL415" s="114"/>
      <c r="AM415" s="114"/>
      <c r="AN415" s="114"/>
      <c r="AO415" s="114"/>
      <c r="AP415" s="114"/>
      <c r="AQ415" s="114"/>
      <c r="AR415" s="114"/>
      <c r="AS415" s="114"/>
      <c r="AT415" s="114"/>
      <c r="AU415" s="114"/>
      <c r="AV415" s="114"/>
      <c r="AW415" s="114"/>
      <c r="AX415" s="114"/>
      <c r="AY415" s="114"/>
      <c r="AZ415" s="114"/>
    </row>
    <row r="416" spans="1:52">
      <c r="A416" s="111"/>
      <c r="B416" s="111"/>
      <c r="C416" s="112"/>
      <c r="D416" s="101"/>
      <c r="E416" s="101"/>
      <c r="F416" s="101"/>
      <c r="G416" s="11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14"/>
      <c r="Z416" s="114"/>
      <c r="AA416" s="114"/>
      <c r="AB416" s="114"/>
      <c r="AC416" s="114"/>
      <c r="AD416" s="114"/>
      <c r="AE416" s="114"/>
      <c r="AF416" s="114"/>
      <c r="AG416" s="114"/>
      <c r="AH416" s="114"/>
      <c r="AI416" s="114"/>
      <c r="AJ416" s="114"/>
      <c r="AK416" s="114"/>
      <c r="AL416" s="114"/>
      <c r="AM416" s="114"/>
      <c r="AN416" s="114"/>
      <c r="AO416" s="114"/>
      <c r="AP416" s="114"/>
      <c r="AQ416" s="114"/>
      <c r="AR416" s="114"/>
      <c r="AS416" s="114"/>
      <c r="AT416" s="114"/>
      <c r="AU416" s="114"/>
      <c r="AV416" s="114"/>
      <c r="AW416" s="114"/>
      <c r="AX416" s="114"/>
      <c r="AY416" s="114"/>
      <c r="AZ416" s="114"/>
    </row>
    <row r="417" spans="1:52">
      <c r="A417" s="111"/>
      <c r="B417" s="111"/>
      <c r="C417" s="112"/>
      <c r="D417" s="101"/>
      <c r="E417" s="101"/>
      <c r="F417" s="101"/>
      <c r="G417" s="111"/>
      <c r="H417" s="101"/>
      <c r="I417" s="101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14"/>
      <c r="Z417" s="114"/>
      <c r="AA417" s="114"/>
      <c r="AB417" s="114"/>
      <c r="AC417" s="114"/>
      <c r="AD417" s="114"/>
      <c r="AE417" s="114"/>
      <c r="AF417" s="114"/>
      <c r="AG417" s="114"/>
      <c r="AH417" s="114"/>
      <c r="AI417" s="114"/>
      <c r="AJ417" s="114"/>
      <c r="AK417" s="114"/>
      <c r="AL417" s="114"/>
      <c r="AM417" s="114"/>
      <c r="AN417" s="114"/>
      <c r="AO417" s="114"/>
      <c r="AP417" s="114"/>
      <c r="AQ417" s="114"/>
      <c r="AR417" s="114"/>
      <c r="AS417" s="114"/>
      <c r="AT417" s="114"/>
      <c r="AU417" s="114"/>
      <c r="AV417" s="114"/>
      <c r="AW417" s="114"/>
      <c r="AX417" s="114"/>
      <c r="AY417" s="114"/>
      <c r="AZ417" s="114"/>
    </row>
    <row r="418" spans="1:52">
      <c r="A418" s="111"/>
      <c r="B418" s="111"/>
      <c r="C418" s="112"/>
      <c r="D418" s="101"/>
      <c r="E418" s="101"/>
      <c r="F418" s="101"/>
      <c r="G418" s="111"/>
      <c r="H418" s="101"/>
      <c r="I418" s="101"/>
      <c r="J418" s="101"/>
      <c r="K418" s="101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14"/>
      <c r="Z418" s="114"/>
      <c r="AA418" s="114"/>
      <c r="AB418" s="114"/>
      <c r="AC418" s="114"/>
      <c r="AD418" s="114"/>
      <c r="AE418" s="114"/>
      <c r="AF418" s="114"/>
      <c r="AG418" s="114"/>
      <c r="AH418" s="114"/>
      <c r="AI418" s="114"/>
      <c r="AJ418" s="114"/>
      <c r="AK418" s="114"/>
      <c r="AL418" s="114"/>
      <c r="AM418" s="114"/>
      <c r="AN418" s="114"/>
      <c r="AO418" s="114"/>
      <c r="AP418" s="114"/>
      <c r="AQ418" s="114"/>
      <c r="AR418" s="114"/>
      <c r="AS418" s="114"/>
      <c r="AT418" s="114"/>
      <c r="AU418" s="114"/>
      <c r="AV418" s="114"/>
      <c r="AW418" s="114"/>
      <c r="AX418" s="114"/>
      <c r="AY418" s="114"/>
      <c r="AZ418" s="114"/>
    </row>
    <row r="419" spans="1:52">
      <c r="A419" s="111"/>
      <c r="B419" s="111"/>
      <c r="C419" s="112"/>
      <c r="D419" s="101"/>
      <c r="E419" s="101"/>
      <c r="F419" s="101"/>
      <c r="G419" s="111"/>
      <c r="H419" s="101"/>
      <c r="I419" s="101"/>
      <c r="J419" s="101"/>
      <c r="K419" s="101"/>
      <c r="L419" s="101"/>
      <c r="M419" s="101"/>
      <c r="N419" s="101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  <c r="Y419" s="114"/>
      <c r="Z419" s="114"/>
      <c r="AA419" s="114"/>
      <c r="AB419" s="114"/>
      <c r="AC419" s="114"/>
      <c r="AD419" s="114"/>
      <c r="AE419" s="114"/>
      <c r="AF419" s="114"/>
      <c r="AG419" s="114"/>
      <c r="AH419" s="114"/>
      <c r="AI419" s="114"/>
      <c r="AJ419" s="114"/>
      <c r="AK419" s="114"/>
      <c r="AL419" s="114"/>
      <c r="AM419" s="114"/>
      <c r="AN419" s="114"/>
      <c r="AO419" s="114"/>
      <c r="AP419" s="114"/>
      <c r="AQ419" s="114"/>
      <c r="AR419" s="114"/>
      <c r="AS419" s="114"/>
      <c r="AT419" s="114"/>
      <c r="AU419" s="114"/>
      <c r="AV419" s="114"/>
      <c r="AW419" s="114"/>
      <c r="AX419" s="114"/>
      <c r="AY419" s="114"/>
      <c r="AZ419" s="114"/>
    </row>
    <row r="420" spans="1:52">
      <c r="A420" s="111"/>
      <c r="B420" s="111"/>
      <c r="C420" s="112"/>
      <c r="D420" s="101"/>
      <c r="E420" s="101"/>
      <c r="F420" s="101"/>
      <c r="G420" s="111"/>
      <c r="H420" s="101"/>
      <c r="I420" s="101"/>
      <c r="J420" s="101"/>
      <c r="K420" s="101"/>
      <c r="L420" s="101"/>
      <c r="M420" s="101"/>
      <c r="N420" s="101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14"/>
      <c r="Z420" s="114"/>
      <c r="AA420" s="114"/>
      <c r="AB420" s="114"/>
      <c r="AC420" s="114"/>
      <c r="AD420" s="114"/>
      <c r="AE420" s="114"/>
      <c r="AF420" s="114"/>
      <c r="AG420" s="114"/>
      <c r="AH420" s="114"/>
      <c r="AI420" s="114"/>
      <c r="AJ420" s="114"/>
      <c r="AK420" s="114"/>
      <c r="AL420" s="114"/>
      <c r="AM420" s="114"/>
      <c r="AN420" s="114"/>
      <c r="AO420" s="114"/>
      <c r="AP420" s="114"/>
      <c r="AQ420" s="114"/>
      <c r="AR420" s="114"/>
      <c r="AS420" s="114"/>
      <c r="AT420" s="114"/>
      <c r="AU420" s="114"/>
      <c r="AV420" s="114"/>
      <c r="AW420" s="114"/>
      <c r="AX420" s="114"/>
      <c r="AY420" s="114"/>
      <c r="AZ420" s="114"/>
    </row>
    <row r="421" spans="1:52">
      <c r="A421" s="111"/>
      <c r="B421" s="111"/>
      <c r="C421" s="112"/>
      <c r="D421" s="101"/>
      <c r="E421" s="101"/>
      <c r="F421" s="101"/>
      <c r="G421" s="111"/>
      <c r="H421" s="101"/>
      <c r="I421" s="101"/>
      <c r="J421" s="101"/>
      <c r="K421" s="101"/>
      <c r="L421" s="101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14"/>
      <c r="Z421" s="114"/>
      <c r="AA421" s="114"/>
      <c r="AB421" s="114"/>
      <c r="AC421" s="114"/>
      <c r="AD421" s="114"/>
      <c r="AE421" s="114"/>
      <c r="AF421" s="114"/>
      <c r="AG421" s="114"/>
      <c r="AH421" s="114"/>
      <c r="AI421" s="114"/>
      <c r="AJ421" s="114"/>
      <c r="AK421" s="114"/>
      <c r="AL421" s="114"/>
      <c r="AM421" s="114"/>
      <c r="AN421" s="114"/>
      <c r="AO421" s="114"/>
      <c r="AP421" s="114"/>
      <c r="AQ421" s="114"/>
      <c r="AR421" s="114"/>
      <c r="AS421" s="114"/>
      <c r="AT421" s="114"/>
      <c r="AU421" s="114"/>
      <c r="AV421" s="114"/>
      <c r="AW421" s="114"/>
      <c r="AX421" s="114"/>
      <c r="AY421" s="114"/>
      <c r="AZ421" s="114"/>
    </row>
    <row r="422" spans="1:52">
      <c r="A422" s="111"/>
      <c r="B422" s="111"/>
      <c r="C422" s="112"/>
      <c r="D422" s="101"/>
      <c r="E422" s="101"/>
      <c r="F422" s="101"/>
      <c r="G422" s="111"/>
      <c r="H422" s="101"/>
      <c r="I422" s="101"/>
      <c r="J422" s="101"/>
      <c r="K422" s="101"/>
      <c r="L422" s="101"/>
      <c r="M422" s="101"/>
      <c r="N422" s="101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14"/>
      <c r="Z422" s="114"/>
      <c r="AA422" s="114"/>
      <c r="AB422" s="114"/>
      <c r="AC422" s="114"/>
      <c r="AD422" s="114"/>
      <c r="AE422" s="114"/>
      <c r="AF422" s="114"/>
      <c r="AG422" s="114"/>
      <c r="AH422" s="114"/>
      <c r="AI422" s="114"/>
      <c r="AJ422" s="114"/>
      <c r="AK422" s="114"/>
      <c r="AL422" s="114"/>
      <c r="AM422" s="114"/>
      <c r="AN422" s="114"/>
      <c r="AO422" s="114"/>
      <c r="AP422" s="114"/>
      <c r="AQ422" s="114"/>
      <c r="AR422" s="114"/>
      <c r="AS422" s="114"/>
      <c r="AT422" s="114"/>
      <c r="AU422" s="114"/>
      <c r="AV422" s="114"/>
      <c r="AW422" s="114"/>
      <c r="AX422" s="114"/>
      <c r="AY422" s="114"/>
      <c r="AZ422" s="114"/>
    </row>
    <row r="423" spans="1:52">
      <c r="A423" s="111"/>
      <c r="B423" s="111"/>
      <c r="C423" s="112"/>
      <c r="D423" s="101"/>
      <c r="E423" s="101"/>
      <c r="F423" s="101"/>
      <c r="G423" s="111"/>
      <c r="H423" s="101"/>
      <c r="I423" s="101"/>
      <c r="J423" s="101"/>
      <c r="K423" s="101"/>
      <c r="L423" s="101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14"/>
      <c r="Z423" s="114"/>
      <c r="AA423" s="114"/>
      <c r="AB423" s="114"/>
      <c r="AC423" s="114"/>
      <c r="AD423" s="114"/>
      <c r="AE423" s="114"/>
      <c r="AF423" s="114"/>
      <c r="AG423" s="114"/>
      <c r="AH423" s="114"/>
      <c r="AI423" s="114"/>
      <c r="AJ423" s="114"/>
      <c r="AK423" s="114"/>
      <c r="AL423" s="114"/>
      <c r="AM423" s="114"/>
      <c r="AN423" s="114"/>
      <c r="AO423" s="114"/>
      <c r="AP423" s="114"/>
      <c r="AQ423" s="114"/>
      <c r="AR423" s="114"/>
      <c r="AS423" s="114"/>
      <c r="AT423" s="114"/>
      <c r="AU423" s="114"/>
      <c r="AV423" s="114"/>
      <c r="AW423" s="114"/>
      <c r="AX423" s="114"/>
      <c r="AY423" s="114"/>
      <c r="AZ423" s="114"/>
    </row>
    <row r="424" spans="1:52">
      <c r="A424" s="111"/>
      <c r="B424" s="111"/>
      <c r="C424" s="112"/>
      <c r="D424" s="101"/>
      <c r="E424" s="101"/>
      <c r="F424" s="101"/>
      <c r="G424" s="111"/>
      <c r="H424" s="101"/>
      <c r="I424" s="101"/>
      <c r="J424" s="101"/>
      <c r="K424" s="101"/>
      <c r="L424" s="101"/>
      <c r="M424" s="101"/>
      <c r="N424" s="101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14"/>
      <c r="Z424" s="114"/>
      <c r="AA424" s="114"/>
      <c r="AB424" s="114"/>
      <c r="AC424" s="114"/>
      <c r="AD424" s="114"/>
      <c r="AE424" s="114"/>
      <c r="AF424" s="114"/>
      <c r="AG424" s="114"/>
      <c r="AH424" s="114"/>
      <c r="AI424" s="114"/>
      <c r="AJ424" s="114"/>
      <c r="AK424" s="114"/>
      <c r="AL424" s="114"/>
      <c r="AM424" s="114"/>
      <c r="AN424" s="114"/>
      <c r="AO424" s="114"/>
      <c r="AP424" s="114"/>
      <c r="AQ424" s="114"/>
      <c r="AR424" s="114"/>
      <c r="AS424" s="114"/>
      <c r="AT424" s="114"/>
      <c r="AU424" s="114"/>
      <c r="AV424" s="114"/>
      <c r="AW424" s="114"/>
      <c r="AX424" s="114"/>
      <c r="AY424" s="114"/>
      <c r="AZ424" s="114"/>
    </row>
    <row r="425" spans="1:52">
      <c r="A425" s="111"/>
      <c r="B425" s="111"/>
      <c r="C425" s="112"/>
      <c r="D425" s="101"/>
      <c r="E425" s="101"/>
      <c r="F425" s="101"/>
      <c r="G425" s="111"/>
      <c r="H425" s="101"/>
      <c r="I425" s="101"/>
      <c r="J425" s="101"/>
      <c r="K425" s="101"/>
      <c r="L425" s="101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14"/>
      <c r="Z425" s="114"/>
      <c r="AA425" s="114"/>
      <c r="AB425" s="114"/>
      <c r="AC425" s="114"/>
      <c r="AD425" s="114"/>
      <c r="AE425" s="114"/>
      <c r="AF425" s="114"/>
      <c r="AG425" s="114"/>
      <c r="AH425" s="114"/>
      <c r="AI425" s="114"/>
      <c r="AJ425" s="114"/>
      <c r="AK425" s="114"/>
      <c r="AL425" s="114"/>
      <c r="AM425" s="114"/>
      <c r="AN425" s="114"/>
      <c r="AO425" s="114"/>
      <c r="AP425" s="114"/>
      <c r="AQ425" s="114"/>
      <c r="AR425" s="114"/>
      <c r="AS425" s="114"/>
      <c r="AT425" s="114"/>
      <c r="AU425" s="114"/>
      <c r="AV425" s="114"/>
      <c r="AW425" s="114"/>
      <c r="AX425" s="114"/>
      <c r="AY425" s="114"/>
      <c r="AZ425" s="114"/>
    </row>
    <row r="426" spans="1:52">
      <c r="A426" s="111"/>
      <c r="B426" s="111"/>
      <c r="C426" s="112"/>
      <c r="D426" s="101"/>
      <c r="E426" s="101"/>
      <c r="F426" s="101"/>
      <c r="G426" s="111"/>
      <c r="H426" s="101"/>
      <c r="I426" s="101"/>
      <c r="J426" s="101"/>
      <c r="K426" s="101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14"/>
      <c r="Z426" s="114"/>
      <c r="AA426" s="114"/>
      <c r="AB426" s="114"/>
      <c r="AC426" s="114"/>
      <c r="AD426" s="114"/>
      <c r="AE426" s="114"/>
      <c r="AF426" s="114"/>
      <c r="AG426" s="114"/>
      <c r="AH426" s="114"/>
      <c r="AI426" s="114"/>
      <c r="AJ426" s="114"/>
      <c r="AK426" s="114"/>
      <c r="AL426" s="114"/>
      <c r="AM426" s="114"/>
      <c r="AN426" s="114"/>
      <c r="AO426" s="114"/>
      <c r="AP426" s="114"/>
      <c r="AQ426" s="114"/>
      <c r="AR426" s="114"/>
      <c r="AS426" s="114"/>
      <c r="AT426" s="114"/>
      <c r="AU426" s="114"/>
      <c r="AV426" s="114"/>
      <c r="AW426" s="114"/>
      <c r="AX426" s="114"/>
      <c r="AY426" s="114"/>
      <c r="AZ426" s="114"/>
    </row>
    <row r="427" spans="1:52">
      <c r="A427" s="111"/>
      <c r="B427" s="111"/>
      <c r="C427" s="112"/>
      <c r="D427" s="101"/>
      <c r="E427" s="101"/>
      <c r="F427" s="101"/>
      <c r="G427" s="111"/>
      <c r="H427" s="101"/>
      <c r="I427" s="101"/>
      <c r="J427" s="101"/>
      <c r="K427" s="101"/>
      <c r="L427" s="101"/>
      <c r="M427" s="101"/>
      <c r="N427" s="101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14"/>
      <c r="Z427" s="114"/>
      <c r="AA427" s="114"/>
      <c r="AB427" s="114"/>
      <c r="AC427" s="114"/>
      <c r="AD427" s="114"/>
      <c r="AE427" s="114"/>
      <c r="AF427" s="114"/>
      <c r="AG427" s="114"/>
      <c r="AH427" s="114"/>
      <c r="AI427" s="114"/>
      <c r="AJ427" s="114"/>
      <c r="AK427" s="114"/>
      <c r="AL427" s="114"/>
      <c r="AM427" s="114"/>
      <c r="AN427" s="114"/>
      <c r="AO427" s="114"/>
      <c r="AP427" s="114"/>
      <c r="AQ427" s="114"/>
      <c r="AR427" s="114"/>
      <c r="AS427" s="114"/>
      <c r="AT427" s="114"/>
      <c r="AU427" s="114"/>
      <c r="AV427" s="114"/>
      <c r="AW427" s="114"/>
      <c r="AX427" s="114"/>
      <c r="AY427" s="114"/>
      <c r="AZ427" s="114"/>
    </row>
    <row r="428" spans="1:52">
      <c r="A428" s="111"/>
      <c r="B428" s="111"/>
      <c r="C428" s="112"/>
      <c r="D428" s="101"/>
      <c r="E428" s="101"/>
      <c r="F428" s="101"/>
      <c r="G428" s="111"/>
      <c r="H428" s="101"/>
      <c r="I428" s="101"/>
      <c r="J428" s="101"/>
      <c r="K428" s="101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14"/>
      <c r="Z428" s="114"/>
      <c r="AA428" s="114"/>
      <c r="AB428" s="114"/>
      <c r="AC428" s="114"/>
      <c r="AD428" s="114"/>
      <c r="AE428" s="114"/>
      <c r="AF428" s="114"/>
      <c r="AG428" s="114"/>
      <c r="AH428" s="114"/>
      <c r="AI428" s="114"/>
      <c r="AJ428" s="114"/>
      <c r="AK428" s="114"/>
      <c r="AL428" s="114"/>
      <c r="AM428" s="114"/>
      <c r="AN428" s="114"/>
      <c r="AO428" s="114"/>
      <c r="AP428" s="114"/>
      <c r="AQ428" s="114"/>
      <c r="AR428" s="114"/>
      <c r="AS428" s="114"/>
      <c r="AT428" s="114"/>
      <c r="AU428" s="114"/>
      <c r="AV428" s="114"/>
      <c r="AW428" s="114"/>
      <c r="AX428" s="114"/>
      <c r="AY428" s="114"/>
      <c r="AZ428" s="114"/>
    </row>
    <row r="429" spans="1:52">
      <c r="A429" s="111"/>
      <c r="B429" s="111"/>
      <c r="C429" s="112"/>
      <c r="D429" s="101"/>
      <c r="E429" s="101"/>
      <c r="F429" s="101"/>
      <c r="G429" s="111"/>
      <c r="H429" s="101"/>
      <c r="I429" s="101"/>
      <c r="J429" s="101"/>
      <c r="K429" s="101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14"/>
      <c r="Z429" s="114"/>
      <c r="AA429" s="114"/>
      <c r="AB429" s="114"/>
      <c r="AC429" s="114"/>
      <c r="AD429" s="114"/>
      <c r="AE429" s="114"/>
      <c r="AF429" s="114"/>
      <c r="AG429" s="114"/>
      <c r="AH429" s="114"/>
      <c r="AI429" s="114"/>
      <c r="AJ429" s="114"/>
      <c r="AK429" s="114"/>
      <c r="AL429" s="114"/>
      <c r="AM429" s="114"/>
      <c r="AN429" s="114"/>
      <c r="AO429" s="114"/>
      <c r="AP429" s="114"/>
      <c r="AQ429" s="114"/>
      <c r="AR429" s="114"/>
      <c r="AS429" s="114"/>
      <c r="AT429" s="114"/>
      <c r="AU429" s="114"/>
      <c r="AV429" s="114"/>
      <c r="AW429" s="114"/>
      <c r="AX429" s="114"/>
      <c r="AY429" s="114"/>
      <c r="AZ429" s="114"/>
    </row>
    <row r="430" spans="1:52">
      <c r="A430" s="111"/>
      <c r="B430" s="111"/>
      <c r="C430" s="112"/>
      <c r="D430" s="101"/>
      <c r="E430" s="101"/>
      <c r="F430" s="101"/>
      <c r="G430" s="11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14"/>
      <c r="Z430" s="114"/>
      <c r="AA430" s="114"/>
      <c r="AB430" s="114"/>
      <c r="AC430" s="114"/>
      <c r="AD430" s="114"/>
      <c r="AE430" s="114"/>
      <c r="AF430" s="114"/>
      <c r="AG430" s="114"/>
      <c r="AH430" s="114"/>
      <c r="AI430" s="114"/>
      <c r="AJ430" s="114"/>
      <c r="AK430" s="114"/>
      <c r="AL430" s="114"/>
      <c r="AM430" s="114"/>
      <c r="AN430" s="114"/>
      <c r="AO430" s="114"/>
      <c r="AP430" s="114"/>
      <c r="AQ430" s="114"/>
      <c r="AR430" s="114"/>
      <c r="AS430" s="114"/>
      <c r="AT430" s="114"/>
      <c r="AU430" s="114"/>
      <c r="AV430" s="114"/>
      <c r="AW430" s="114"/>
      <c r="AX430" s="114"/>
      <c r="AY430" s="114"/>
      <c r="AZ430" s="114"/>
    </row>
    <row r="431" spans="1:52">
      <c r="A431" s="111"/>
      <c r="B431" s="111"/>
      <c r="C431" s="112"/>
      <c r="D431" s="101"/>
      <c r="E431" s="101"/>
      <c r="F431" s="101"/>
      <c r="G431" s="11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14"/>
      <c r="Z431" s="114"/>
      <c r="AA431" s="114"/>
      <c r="AB431" s="114"/>
      <c r="AC431" s="114"/>
      <c r="AD431" s="114"/>
      <c r="AE431" s="114"/>
      <c r="AF431" s="114"/>
      <c r="AG431" s="114"/>
      <c r="AH431" s="114"/>
      <c r="AI431" s="114"/>
      <c r="AJ431" s="114"/>
      <c r="AK431" s="114"/>
      <c r="AL431" s="114"/>
      <c r="AM431" s="114"/>
      <c r="AN431" s="114"/>
      <c r="AO431" s="114"/>
      <c r="AP431" s="114"/>
      <c r="AQ431" s="114"/>
      <c r="AR431" s="114"/>
      <c r="AS431" s="114"/>
      <c r="AT431" s="114"/>
      <c r="AU431" s="114"/>
      <c r="AV431" s="114"/>
      <c r="AW431" s="114"/>
      <c r="AX431" s="114"/>
      <c r="AY431" s="114"/>
      <c r="AZ431" s="114"/>
    </row>
    <row r="432" spans="1:52">
      <c r="A432" s="111"/>
      <c r="B432" s="111"/>
      <c r="C432" s="112"/>
      <c r="D432" s="101"/>
      <c r="E432" s="101"/>
      <c r="F432" s="101"/>
      <c r="G432" s="11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14"/>
      <c r="Z432" s="114"/>
      <c r="AA432" s="114"/>
      <c r="AB432" s="114"/>
      <c r="AC432" s="114"/>
      <c r="AD432" s="114"/>
      <c r="AE432" s="114"/>
      <c r="AF432" s="114"/>
      <c r="AG432" s="114"/>
      <c r="AH432" s="114"/>
      <c r="AI432" s="114"/>
      <c r="AJ432" s="114"/>
      <c r="AK432" s="114"/>
      <c r="AL432" s="114"/>
      <c r="AM432" s="114"/>
      <c r="AN432" s="114"/>
      <c r="AO432" s="114"/>
      <c r="AP432" s="114"/>
      <c r="AQ432" s="114"/>
      <c r="AR432" s="114"/>
      <c r="AS432" s="114"/>
      <c r="AT432" s="114"/>
      <c r="AU432" s="114"/>
      <c r="AV432" s="114"/>
      <c r="AW432" s="114"/>
      <c r="AX432" s="114"/>
      <c r="AY432" s="114"/>
      <c r="AZ432" s="114"/>
    </row>
    <row r="433" spans="1:52">
      <c r="A433" s="111"/>
      <c r="B433" s="111"/>
      <c r="C433" s="112"/>
      <c r="D433" s="101"/>
      <c r="E433" s="101"/>
      <c r="F433" s="101"/>
      <c r="G433" s="11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14"/>
      <c r="Z433" s="114"/>
      <c r="AA433" s="114"/>
      <c r="AB433" s="114"/>
      <c r="AC433" s="114"/>
      <c r="AD433" s="114"/>
      <c r="AE433" s="114"/>
      <c r="AF433" s="114"/>
      <c r="AG433" s="114"/>
      <c r="AH433" s="114"/>
      <c r="AI433" s="114"/>
      <c r="AJ433" s="114"/>
      <c r="AK433" s="114"/>
      <c r="AL433" s="114"/>
      <c r="AM433" s="114"/>
      <c r="AN433" s="114"/>
      <c r="AO433" s="114"/>
      <c r="AP433" s="114"/>
      <c r="AQ433" s="114"/>
      <c r="AR433" s="114"/>
      <c r="AS433" s="114"/>
      <c r="AT433" s="114"/>
      <c r="AU433" s="114"/>
      <c r="AV433" s="114"/>
      <c r="AW433" s="114"/>
      <c r="AX433" s="114"/>
      <c r="AY433" s="114"/>
      <c r="AZ433" s="114"/>
    </row>
    <row r="434" spans="1:52">
      <c r="A434" s="111"/>
      <c r="B434" s="111"/>
      <c r="C434" s="112"/>
      <c r="D434" s="101"/>
      <c r="E434" s="101"/>
      <c r="F434" s="101"/>
      <c r="G434" s="111"/>
      <c r="H434" s="101"/>
      <c r="I434" s="101"/>
      <c r="J434" s="101"/>
      <c r="K434" s="101"/>
      <c r="L434" s="101"/>
      <c r="M434" s="101"/>
      <c r="N434" s="101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14"/>
      <c r="Z434" s="114"/>
      <c r="AA434" s="114"/>
      <c r="AB434" s="114"/>
      <c r="AC434" s="114"/>
      <c r="AD434" s="114"/>
      <c r="AE434" s="114"/>
      <c r="AF434" s="114"/>
      <c r="AG434" s="114"/>
      <c r="AH434" s="114"/>
      <c r="AI434" s="114"/>
      <c r="AJ434" s="114"/>
      <c r="AK434" s="114"/>
      <c r="AL434" s="114"/>
      <c r="AM434" s="114"/>
      <c r="AN434" s="114"/>
      <c r="AO434" s="114"/>
      <c r="AP434" s="114"/>
      <c r="AQ434" s="114"/>
      <c r="AR434" s="114"/>
      <c r="AS434" s="114"/>
      <c r="AT434" s="114"/>
      <c r="AU434" s="114"/>
      <c r="AV434" s="114"/>
      <c r="AW434" s="114"/>
      <c r="AX434" s="114"/>
      <c r="AY434" s="114"/>
      <c r="AZ434" s="114"/>
    </row>
    <row r="435" spans="1:52">
      <c r="A435" s="111"/>
      <c r="B435" s="111"/>
      <c r="C435" s="112"/>
      <c r="D435" s="101"/>
      <c r="E435" s="101"/>
      <c r="F435" s="101"/>
      <c r="G435" s="111"/>
      <c r="H435" s="101"/>
      <c r="I435" s="101"/>
      <c r="J435" s="101"/>
      <c r="K435" s="101"/>
      <c r="L435" s="101"/>
      <c r="M435" s="101"/>
      <c r="N435" s="101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14"/>
      <c r="Z435" s="114"/>
      <c r="AA435" s="114"/>
      <c r="AB435" s="114"/>
      <c r="AC435" s="114"/>
      <c r="AD435" s="114"/>
      <c r="AE435" s="114"/>
      <c r="AF435" s="114"/>
      <c r="AG435" s="114"/>
      <c r="AH435" s="114"/>
      <c r="AI435" s="114"/>
      <c r="AJ435" s="114"/>
      <c r="AK435" s="114"/>
      <c r="AL435" s="114"/>
      <c r="AM435" s="114"/>
      <c r="AN435" s="114"/>
      <c r="AO435" s="114"/>
      <c r="AP435" s="114"/>
      <c r="AQ435" s="114"/>
      <c r="AR435" s="114"/>
      <c r="AS435" s="114"/>
      <c r="AT435" s="114"/>
      <c r="AU435" s="114"/>
      <c r="AV435" s="114"/>
      <c r="AW435" s="114"/>
      <c r="AX435" s="114"/>
      <c r="AY435" s="114"/>
      <c r="AZ435" s="114"/>
    </row>
    <row r="436" spans="1:52">
      <c r="A436" s="111"/>
      <c r="B436" s="111"/>
      <c r="C436" s="112"/>
      <c r="D436" s="101"/>
      <c r="E436" s="101"/>
      <c r="F436" s="101"/>
      <c r="G436" s="111"/>
      <c r="H436" s="101"/>
      <c r="I436" s="101"/>
      <c r="J436" s="101"/>
      <c r="K436" s="101"/>
      <c r="L436" s="101"/>
      <c r="M436" s="101"/>
      <c r="N436" s="101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14"/>
      <c r="Z436" s="114"/>
      <c r="AA436" s="114"/>
      <c r="AB436" s="114"/>
      <c r="AC436" s="114"/>
      <c r="AD436" s="114"/>
      <c r="AE436" s="114"/>
      <c r="AF436" s="114"/>
      <c r="AG436" s="114"/>
      <c r="AH436" s="114"/>
      <c r="AI436" s="114"/>
      <c r="AJ436" s="114"/>
      <c r="AK436" s="114"/>
      <c r="AL436" s="114"/>
      <c r="AM436" s="114"/>
      <c r="AN436" s="114"/>
      <c r="AO436" s="114"/>
      <c r="AP436" s="114"/>
      <c r="AQ436" s="114"/>
      <c r="AR436" s="114"/>
      <c r="AS436" s="114"/>
      <c r="AT436" s="114"/>
      <c r="AU436" s="114"/>
      <c r="AV436" s="114"/>
      <c r="AW436" s="114"/>
      <c r="AX436" s="114"/>
      <c r="AY436" s="114"/>
      <c r="AZ436" s="114"/>
    </row>
    <row r="437" spans="1:52">
      <c r="A437" s="111"/>
      <c r="B437" s="111"/>
      <c r="C437" s="112"/>
      <c r="D437" s="101"/>
      <c r="E437" s="101"/>
      <c r="F437" s="101"/>
      <c r="G437" s="111"/>
      <c r="H437" s="101"/>
      <c r="I437" s="101"/>
      <c r="J437" s="101"/>
      <c r="K437" s="101"/>
      <c r="L437" s="101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14"/>
      <c r="Z437" s="114"/>
      <c r="AA437" s="114"/>
      <c r="AB437" s="114"/>
      <c r="AC437" s="114"/>
      <c r="AD437" s="114"/>
      <c r="AE437" s="114"/>
      <c r="AF437" s="114"/>
      <c r="AG437" s="114"/>
      <c r="AH437" s="114"/>
      <c r="AI437" s="114"/>
      <c r="AJ437" s="114"/>
      <c r="AK437" s="114"/>
      <c r="AL437" s="114"/>
      <c r="AM437" s="114"/>
      <c r="AN437" s="114"/>
      <c r="AO437" s="114"/>
      <c r="AP437" s="114"/>
      <c r="AQ437" s="114"/>
      <c r="AR437" s="114"/>
      <c r="AS437" s="114"/>
      <c r="AT437" s="114"/>
      <c r="AU437" s="114"/>
      <c r="AV437" s="114"/>
      <c r="AW437" s="114"/>
      <c r="AX437" s="114"/>
      <c r="AY437" s="114"/>
      <c r="AZ437" s="114"/>
    </row>
    <row r="438" spans="1:52">
      <c r="A438" s="111"/>
      <c r="B438" s="111"/>
      <c r="C438" s="112"/>
      <c r="D438" s="101"/>
      <c r="E438" s="101"/>
      <c r="F438" s="101"/>
      <c r="G438" s="111"/>
      <c r="H438" s="101"/>
      <c r="I438" s="101"/>
      <c r="J438" s="101"/>
      <c r="K438" s="101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14"/>
      <c r="Z438" s="114"/>
      <c r="AA438" s="114"/>
      <c r="AB438" s="114"/>
      <c r="AC438" s="114"/>
      <c r="AD438" s="114"/>
      <c r="AE438" s="114"/>
      <c r="AF438" s="114"/>
      <c r="AG438" s="114"/>
      <c r="AH438" s="114"/>
      <c r="AI438" s="114"/>
      <c r="AJ438" s="114"/>
      <c r="AK438" s="114"/>
      <c r="AL438" s="114"/>
      <c r="AM438" s="114"/>
      <c r="AN438" s="114"/>
      <c r="AO438" s="114"/>
      <c r="AP438" s="114"/>
      <c r="AQ438" s="114"/>
      <c r="AR438" s="114"/>
      <c r="AS438" s="114"/>
      <c r="AT438" s="114"/>
      <c r="AU438" s="114"/>
      <c r="AV438" s="114"/>
      <c r="AW438" s="114"/>
      <c r="AX438" s="114"/>
      <c r="AY438" s="114"/>
      <c r="AZ438" s="114"/>
    </row>
    <row r="439" spans="1:52">
      <c r="A439" s="111"/>
      <c r="B439" s="111"/>
      <c r="C439" s="112"/>
      <c r="D439" s="101"/>
      <c r="E439" s="101"/>
      <c r="F439" s="101"/>
      <c r="G439" s="111"/>
      <c r="H439" s="101"/>
      <c r="I439" s="101"/>
      <c r="J439" s="101"/>
      <c r="K439" s="101"/>
      <c r="L439" s="101"/>
      <c r="M439" s="101"/>
      <c r="N439" s="101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14"/>
      <c r="Z439" s="114"/>
      <c r="AA439" s="114"/>
      <c r="AB439" s="114"/>
      <c r="AC439" s="114"/>
      <c r="AD439" s="114"/>
      <c r="AE439" s="114"/>
      <c r="AF439" s="114"/>
      <c r="AG439" s="114"/>
      <c r="AH439" s="114"/>
      <c r="AI439" s="114"/>
      <c r="AJ439" s="114"/>
      <c r="AK439" s="114"/>
      <c r="AL439" s="114"/>
      <c r="AM439" s="114"/>
      <c r="AN439" s="114"/>
      <c r="AO439" s="114"/>
      <c r="AP439" s="114"/>
      <c r="AQ439" s="114"/>
      <c r="AR439" s="114"/>
      <c r="AS439" s="114"/>
      <c r="AT439" s="114"/>
      <c r="AU439" s="114"/>
      <c r="AV439" s="114"/>
      <c r="AW439" s="114"/>
      <c r="AX439" s="114"/>
      <c r="AY439" s="114"/>
      <c r="AZ439" s="114"/>
    </row>
    <row r="440" spans="1:52">
      <c r="A440" s="111"/>
      <c r="B440" s="111"/>
      <c r="C440" s="112"/>
      <c r="D440" s="101"/>
      <c r="E440" s="101"/>
      <c r="F440" s="101"/>
      <c r="G440" s="111"/>
      <c r="H440" s="101"/>
      <c r="I440" s="101"/>
      <c r="J440" s="101"/>
      <c r="K440" s="101"/>
      <c r="L440" s="101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14"/>
      <c r="Z440" s="114"/>
      <c r="AA440" s="114"/>
      <c r="AB440" s="114"/>
      <c r="AC440" s="114"/>
      <c r="AD440" s="114"/>
      <c r="AE440" s="114"/>
      <c r="AF440" s="114"/>
      <c r="AG440" s="114"/>
      <c r="AH440" s="114"/>
      <c r="AI440" s="114"/>
      <c r="AJ440" s="114"/>
      <c r="AK440" s="114"/>
      <c r="AL440" s="114"/>
      <c r="AM440" s="114"/>
      <c r="AN440" s="114"/>
      <c r="AO440" s="114"/>
      <c r="AP440" s="114"/>
      <c r="AQ440" s="114"/>
      <c r="AR440" s="114"/>
      <c r="AS440" s="114"/>
      <c r="AT440" s="114"/>
      <c r="AU440" s="114"/>
      <c r="AV440" s="114"/>
      <c r="AW440" s="114"/>
      <c r="AX440" s="114"/>
      <c r="AY440" s="114"/>
      <c r="AZ440" s="114"/>
    </row>
    <row r="441" spans="1:52">
      <c r="A441" s="111"/>
      <c r="B441" s="111"/>
      <c r="C441" s="112"/>
      <c r="D441" s="101"/>
      <c r="E441" s="101"/>
      <c r="F441" s="101"/>
      <c r="G441" s="111"/>
      <c r="H441" s="101"/>
      <c r="I441" s="101"/>
      <c r="J441" s="101"/>
      <c r="K441" s="101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14"/>
      <c r="Z441" s="114"/>
      <c r="AA441" s="114"/>
      <c r="AB441" s="114"/>
      <c r="AC441" s="114"/>
      <c r="AD441" s="114"/>
      <c r="AE441" s="114"/>
      <c r="AF441" s="114"/>
      <c r="AG441" s="114"/>
      <c r="AH441" s="114"/>
      <c r="AI441" s="114"/>
      <c r="AJ441" s="114"/>
      <c r="AK441" s="114"/>
      <c r="AL441" s="114"/>
      <c r="AM441" s="114"/>
      <c r="AN441" s="114"/>
      <c r="AO441" s="114"/>
      <c r="AP441" s="114"/>
      <c r="AQ441" s="114"/>
      <c r="AR441" s="114"/>
      <c r="AS441" s="114"/>
      <c r="AT441" s="114"/>
      <c r="AU441" s="114"/>
      <c r="AV441" s="114"/>
      <c r="AW441" s="114"/>
      <c r="AX441" s="114"/>
      <c r="AY441" s="114"/>
      <c r="AZ441" s="114"/>
    </row>
    <row r="442" spans="1:52">
      <c r="A442" s="111"/>
      <c r="B442" s="111"/>
      <c r="C442" s="112"/>
      <c r="D442" s="101"/>
      <c r="E442" s="101"/>
      <c r="F442" s="101"/>
      <c r="G442" s="111"/>
      <c r="H442" s="101"/>
      <c r="I442" s="101"/>
      <c r="J442" s="101"/>
      <c r="K442" s="101"/>
      <c r="L442" s="101"/>
      <c r="M442" s="101"/>
      <c r="N442" s="101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  <c r="Y442" s="114"/>
      <c r="Z442" s="114"/>
      <c r="AA442" s="114"/>
      <c r="AB442" s="114"/>
      <c r="AC442" s="114"/>
      <c r="AD442" s="114"/>
      <c r="AE442" s="114"/>
      <c r="AF442" s="114"/>
      <c r="AG442" s="114"/>
      <c r="AH442" s="114"/>
      <c r="AI442" s="114"/>
      <c r="AJ442" s="114"/>
      <c r="AK442" s="114"/>
      <c r="AL442" s="114"/>
      <c r="AM442" s="114"/>
      <c r="AN442" s="114"/>
      <c r="AO442" s="114"/>
      <c r="AP442" s="114"/>
      <c r="AQ442" s="114"/>
      <c r="AR442" s="114"/>
      <c r="AS442" s="114"/>
      <c r="AT442" s="114"/>
      <c r="AU442" s="114"/>
      <c r="AV442" s="114"/>
      <c r="AW442" s="114"/>
      <c r="AX442" s="114"/>
      <c r="AY442" s="114"/>
      <c r="AZ442" s="114"/>
    </row>
    <row r="443" spans="1:52">
      <c r="A443" s="111"/>
      <c r="B443" s="111"/>
      <c r="C443" s="112"/>
      <c r="D443" s="101"/>
      <c r="E443" s="101"/>
      <c r="F443" s="101"/>
      <c r="G443" s="111"/>
      <c r="H443" s="101"/>
      <c r="I443" s="101"/>
      <c r="J443" s="101"/>
      <c r="K443" s="101"/>
      <c r="L443" s="101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14"/>
      <c r="Z443" s="114"/>
      <c r="AA443" s="114"/>
      <c r="AB443" s="114"/>
      <c r="AC443" s="114"/>
      <c r="AD443" s="114"/>
      <c r="AE443" s="114"/>
      <c r="AF443" s="114"/>
      <c r="AG443" s="114"/>
      <c r="AH443" s="114"/>
      <c r="AI443" s="114"/>
      <c r="AJ443" s="114"/>
      <c r="AK443" s="114"/>
      <c r="AL443" s="114"/>
      <c r="AM443" s="114"/>
      <c r="AN443" s="114"/>
      <c r="AO443" s="114"/>
      <c r="AP443" s="114"/>
      <c r="AQ443" s="114"/>
      <c r="AR443" s="114"/>
      <c r="AS443" s="114"/>
      <c r="AT443" s="114"/>
      <c r="AU443" s="114"/>
      <c r="AV443" s="114"/>
      <c r="AW443" s="114"/>
      <c r="AX443" s="114"/>
      <c r="AY443" s="114"/>
      <c r="AZ443" s="114"/>
    </row>
    <row r="444" spans="1:52">
      <c r="A444" s="111"/>
      <c r="B444" s="111"/>
      <c r="C444" s="112"/>
      <c r="D444" s="101"/>
      <c r="E444" s="101"/>
      <c r="F444" s="101"/>
      <c r="G444" s="111"/>
      <c r="H444" s="101"/>
      <c r="I444" s="101"/>
      <c r="J444" s="101"/>
      <c r="K444" s="101"/>
      <c r="L444" s="101"/>
      <c r="M444" s="101"/>
      <c r="N444" s="101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  <c r="Y444" s="114"/>
      <c r="Z444" s="114"/>
      <c r="AA444" s="114"/>
      <c r="AB444" s="114"/>
      <c r="AC444" s="114"/>
      <c r="AD444" s="114"/>
      <c r="AE444" s="114"/>
      <c r="AF444" s="114"/>
      <c r="AG444" s="114"/>
      <c r="AH444" s="114"/>
      <c r="AI444" s="114"/>
      <c r="AJ444" s="114"/>
      <c r="AK444" s="114"/>
      <c r="AL444" s="114"/>
      <c r="AM444" s="114"/>
      <c r="AN444" s="114"/>
      <c r="AO444" s="114"/>
      <c r="AP444" s="114"/>
      <c r="AQ444" s="114"/>
      <c r="AR444" s="114"/>
      <c r="AS444" s="114"/>
      <c r="AT444" s="114"/>
      <c r="AU444" s="114"/>
      <c r="AV444" s="114"/>
      <c r="AW444" s="114"/>
      <c r="AX444" s="114"/>
      <c r="AY444" s="114"/>
      <c r="AZ444" s="114"/>
    </row>
    <row r="445" spans="1:52">
      <c r="A445" s="111"/>
      <c r="B445" s="111"/>
      <c r="C445" s="112"/>
      <c r="D445" s="101"/>
      <c r="E445" s="101"/>
      <c r="F445" s="101"/>
      <c r="G445" s="111"/>
      <c r="H445" s="101"/>
      <c r="I445" s="101"/>
      <c r="J445" s="101"/>
      <c r="K445" s="101"/>
      <c r="L445" s="101"/>
      <c r="M445" s="101"/>
      <c r="N445" s="101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  <c r="Y445" s="114"/>
      <c r="Z445" s="114"/>
      <c r="AA445" s="114"/>
      <c r="AB445" s="114"/>
      <c r="AC445" s="114"/>
      <c r="AD445" s="114"/>
      <c r="AE445" s="114"/>
      <c r="AF445" s="114"/>
      <c r="AG445" s="114"/>
      <c r="AH445" s="114"/>
      <c r="AI445" s="114"/>
      <c r="AJ445" s="114"/>
      <c r="AK445" s="114"/>
      <c r="AL445" s="114"/>
      <c r="AM445" s="114"/>
      <c r="AN445" s="114"/>
      <c r="AO445" s="114"/>
      <c r="AP445" s="114"/>
      <c r="AQ445" s="114"/>
      <c r="AR445" s="114"/>
      <c r="AS445" s="114"/>
      <c r="AT445" s="114"/>
      <c r="AU445" s="114"/>
      <c r="AV445" s="114"/>
      <c r="AW445" s="114"/>
      <c r="AX445" s="114"/>
      <c r="AY445" s="114"/>
      <c r="AZ445" s="114"/>
    </row>
    <row r="446" spans="1:52">
      <c r="A446" s="111"/>
      <c r="B446" s="111"/>
      <c r="C446" s="112"/>
      <c r="D446" s="101"/>
      <c r="E446" s="101"/>
      <c r="F446" s="101"/>
      <c r="G446" s="111"/>
      <c r="H446" s="101"/>
      <c r="I446" s="101"/>
      <c r="J446" s="101"/>
      <c r="K446" s="101"/>
      <c r="L446" s="101"/>
      <c r="M446" s="101"/>
      <c r="N446" s="101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  <c r="Y446" s="114"/>
      <c r="Z446" s="114"/>
      <c r="AA446" s="114"/>
      <c r="AB446" s="114"/>
      <c r="AC446" s="114"/>
      <c r="AD446" s="114"/>
      <c r="AE446" s="114"/>
      <c r="AF446" s="114"/>
      <c r="AG446" s="114"/>
      <c r="AH446" s="114"/>
      <c r="AI446" s="114"/>
      <c r="AJ446" s="114"/>
      <c r="AK446" s="114"/>
      <c r="AL446" s="114"/>
      <c r="AM446" s="114"/>
      <c r="AN446" s="114"/>
      <c r="AO446" s="114"/>
      <c r="AP446" s="114"/>
      <c r="AQ446" s="114"/>
      <c r="AR446" s="114"/>
      <c r="AS446" s="114"/>
      <c r="AT446" s="114"/>
      <c r="AU446" s="114"/>
      <c r="AV446" s="114"/>
      <c r="AW446" s="114"/>
      <c r="AX446" s="114"/>
      <c r="AY446" s="114"/>
      <c r="AZ446" s="114"/>
    </row>
    <row r="447" spans="1:52">
      <c r="A447" s="111"/>
      <c r="B447" s="111"/>
      <c r="C447" s="112"/>
      <c r="D447" s="101"/>
      <c r="E447" s="101"/>
      <c r="F447" s="101"/>
      <c r="G447" s="111"/>
      <c r="H447" s="101"/>
      <c r="I447" s="101"/>
      <c r="J447" s="101"/>
      <c r="K447" s="101"/>
      <c r="L447" s="101"/>
      <c r="M447" s="101"/>
      <c r="N447" s="101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  <c r="Y447" s="114"/>
      <c r="Z447" s="114"/>
      <c r="AA447" s="114"/>
      <c r="AB447" s="114"/>
      <c r="AC447" s="114"/>
      <c r="AD447" s="114"/>
      <c r="AE447" s="114"/>
      <c r="AF447" s="114"/>
      <c r="AG447" s="114"/>
      <c r="AH447" s="114"/>
      <c r="AI447" s="114"/>
      <c r="AJ447" s="114"/>
      <c r="AK447" s="114"/>
      <c r="AL447" s="114"/>
      <c r="AM447" s="114"/>
      <c r="AN447" s="114"/>
      <c r="AO447" s="114"/>
      <c r="AP447" s="114"/>
      <c r="AQ447" s="114"/>
      <c r="AR447" s="114"/>
      <c r="AS447" s="114"/>
      <c r="AT447" s="114"/>
      <c r="AU447" s="114"/>
      <c r="AV447" s="114"/>
      <c r="AW447" s="114"/>
      <c r="AX447" s="114"/>
      <c r="AY447" s="114"/>
      <c r="AZ447" s="114"/>
    </row>
    <row r="448" spans="1:52">
      <c r="A448" s="111"/>
      <c r="B448" s="111"/>
      <c r="C448" s="112"/>
      <c r="D448" s="101"/>
      <c r="E448" s="101"/>
      <c r="F448" s="101"/>
      <c r="G448" s="111"/>
      <c r="H448" s="101"/>
      <c r="I448" s="101"/>
      <c r="J448" s="101"/>
      <c r="K448" s="101"/>
      <c r="L448" s="101"/>
      <c r="M448" s="101"/>
      <c r="N448" s="101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14"/>
      <c r="Z448" s="114"/>
      <c r="AA448" s="114"/>
      <c r="AB448" s="114"/>
      <c r="AC448" s="114"/>
      <c r="AD448" s="114"/>
      <c r="AE448" s="114"/>
      <c r="AF448" s="114"/>
      <c r="AG448" s="114"/>
      <c r="AH448" s="114"/>
      <c r="AI448" s="114"/>
      <c r="AJ448" s="114"/>
      <c r="AK448" s="114"/>
      <c r="AL448" s="114"/>
      <c r="AM448" s="114"/>
      <c r="AN448" s="114"/>
      <c r="AO448" s="114"/>
      <c r="AP448" s="114"/>
      <c r="AQ448" s="114"/>
      <c r="AR448" s="114"/>
      <c r="AS448" s="114"/>
      <c r="AT448" s="114"/>
      <c r="AU448" s="114"/>
      <c r="AV448" s="114"/>
      <c r="AW448" s="114"/>
      <c r="AX448" s="114"/>
      <c r="AY448" s="114"/>
      <c r="AZ448" s="114"/>
    </row>
    <row r="449" spans="1:52">
      <c r="A449" s="111"/>
      <c r="B449" s="111"/>
      <c r="C449" s="112"/>
      <c r="D449" s="101"/>
      <c r="E449" s="101"/>
      <c r="F449" s="101"/>
      <c r="G449" s="111"/>
      <c r="H449" s="101"/>
      <c r="I449" s="101"/>
      <c r="J449" s="101"/>
      <c r="K449" s="101"/>
      <c r="L449" s="101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14"/>
      <c r="Z449" s="114"/>
      <c r="AA449" s="114"/>
      <c r="AB449" s="114"/>
      <c r="AC449" s="114"/>
      <c r="AD449" s="114"/>
      <c r="AE449" s="114"/>
      <c r="AF449" s="114"/>
      <c r="AG449" s="114"/>
      <c r="AH449" s="114"/>
      <c r="AI449" s="114"/>
      <c r="AJ449" s="114"/>
      <c r="AK449" s="114"/>
      <c r="AL449" s="114"/>
      <c r="AM449" s="114"/>
      <c r="AN449" s="114"/>
      <c r="AO449" s="114"/>
      <c r="AP449" s="114"/>
      <c r="AQ449" s="114"/>
      <c r="AR449" s="114"/>
      <c r="AS449" s="114"/>
      <c r="AT449" s="114"/>
      <c r="AU449" s="114"/>
      <c r="AV449" s="114"/>
      <c r="AW449" s="114"/>
      <c r="AX449" s="114"/>
      <c r="AY449" s="114"/>
      <c r="AZ449" s="114"/>
    </row>
    <row r="450" spans="1:52">
      <c r="A450" s="111"/>
      <c r="B450" s="111"/>
      <c r="C450" s="112"/>
      <c r="D450" s="101"/>
      <c r="E450" s="101"/>
      <c r="F450" s="101"/>
      <c r="G450" s="111"/>
      <c r="H450" s="101"/>
      <c r="I450" s="101"/>
      <c r="J450" s="101"/>
      <c r="K450" s="101"/>
      <c r="L450" s="101"/>
      <c r="M450" s="101"/>
      <c r="N450" s="101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14"/>
      <c r="Z450" s="114"/>
      <c r="AA450" s="114"/>
      <c r="AB450" s="114"/>
      <c r="AC450" s="114"/>
      <c r="AD450" s="114"/>
      <c r="AE450" s="114"/>
      <c r="AF450" s="114"/>
      <c r="AG450" s="114"/>
      <c r="AH450" s="114"/>
      <c r="AI450" s="114"/>
      <c r="AJ450" s="114"/>
      <c r="AK450" s="114"/>
      <c r="AL450" s="114"/>
      <c r="AM450" s="114"/>
      <c r="AN450" s="114"/>
      <c r="AO450" s="114"/>
      <c r="AP450" s="114"/>
      <c r="AQ450" s="114"/>
      <c r="AR450" s="114"/>
      <c r="AS450" s="114"/>
      <c r="AT450" s="114"/>
      <c r="AU450" s="114"/>
      <c r="AV450" s="114"/>
      <c r="AW450" s="114"/>
      <c r="AX450" s="114"/>
      <c r="AY450" s="114"/>
      <c r="AZ450" s="114"/>
    </row>
    <row r="451" spans="1:52">
      <c r="A451" s="111"/>
      <c r="B451" s="111"/>
      <c r="C451" s="112"/>
      <c r="D451" s="101"/>
      <c r="E451" s="101"/>
      <c r="F451" s="101"/>
      <c r="G451" s="111"/>
      <c r="H451" s="101"/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14"/>
      <c r="Z451" s="114"/>
      <c r="AA451" s="114"/>
      <c r="AB451" s="114"/>
      <c r="AC451" s="114"/>
      <c r="AD451" s="114"/>
      <c r="AE451" s="114"/>
      <c r="AF451" s="114"/>
      <c r="AG451" s="114"/>
      <c r="AH451" s="114"/>
      <c r="AI451" s="114"/>
      <c r="AJ451" s="114"/>
      <c r="AK451" s="114"/>
      <c r="AL451" s="114"/>
      <c r="AM451" s="114"/>
      <c r="AN451" s="114"/>
      <c r="AO451" s="114"/>
      <c r="AP451" s="114"/>
      <c r="AQ451" s="114"/>
      <c r="AR451" s="114"/>
      <c r="AS451" s="114"/>
      <c r="AT451" s="114"/>
      <c r="AU451" s="114"/>
      <c r="AV451" s="114"/>
      <c r="AW451" s="114"/>
      <c r="AX451" s="114"/>
      <c r="AY451" s="114"/>
      <c r="AZ451" s="114"/>
    </row>
    <row r="452" spans="1:52">
      <c r="A452" s="111"/>
      <c r="B452" s="111"/>
      <c r="C452" s="112"/>
      <c r="D452" s="101"/>
      <c r="E452" s="101"/>
      <c r="F452" s="101"/>
      <c r="G452" s="111"/>
      <c r="H452" s="101"/>
      <c r="I452" s="101"/>
      <c r="J452" s="101"/>
      <c r="K452" s="101"/>
      <c r="L452" s="101"/>
      <c r="M452" s="101"/>
      <c r="N452" s="101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  <c r="Y452" s="114"/>
      <c r="Z452" s="114"/>
      <c r="AA452" s="114"/>
      <c r="AB452" s="114"/>
      <c r="AC452" s="114"/>
      <c r="AD452" s="114"/>
      <c r="AE452" s="114"/>
      <c r="AF452" s="114"/>
      <c r="AG452" s="114"/>
      <c r="AH452" s="114"/>
      <c r="AI452" s="114"/>
      <c r="AJ452" s="114"/>
      <c r="AK452" s="114"/>
      <c r="AL452" s="114"/>
      <c r="AM452" s="114"/>
      <c r="AN452" s="114"/>
      <c r="AO452" s="114"/>
      <c r="AP452" s="114"/>
      <c r="AQ452" s="114"/>
      <c r="AR452" s="114"/>
      <c r="AS452" s="114"/>
      <c r="AT452" s="114"/>
      <c r="AU452" s="114"/>
      <c r="AV452" s="114"/>
      <c r="AW452" s="114"/>
      <c r="AX452" s="114"/>
      <c r="AY452" s="114"/>
      <c r="AZ452" s="114"/>
    </row>
    <row r="453" spans="1:52">
      <c r="A453" s="111"/>
      <c r="B453" s="111"/>
      <c r="C453" s="112"/>
      <c r="D453" s="101"/>
      <c r="E453" s="101"/>
      <c r="F453" s="101"/>
      <c r="G453" s="111"/>
      <c r="H453" s="101"/>
      <c r="I453" s="101"/>
      <c r="J453" s="101"/>
      <c r="K453" s="101"/>
      <c r="L453" s="101"/>
      <c r="M453" s="101"/>
      <c r="N453" s="101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  <c r="Y453" s="114"/>
      <c r="Z453" s="114"/>
      <c r="AA453" s="114"/>
      <c r="AB453" s="114"/>
      <c r="AC453" s="114"/>
      <c r="AD453" s="114"/>
      <c r="AE453" s="114"/>
      <c r="AF453" s="114"/>
      <c r="AG453" s="114"/>
      <c r="AH453" s="114"/>
      <c r="AI453" s="114"/>
      <c r="AJ453" s="114"/>
      <c r="AK453" s="114"/>
      <c r="AL453" s="114"/>
      <c r="AM453" s="114"/>
      <c r="AN453" s="114"/>
      <c r="AO453" s="114"/>
      <c r="AP453" s="114"/>
      <c r="AQ453" s="114"/>
      <c r="AR453" s="114"/>
      <c r="AS453" s="114"/>
      <c r="AT453" s="114"/>
      <c r="AU453" s="114"/>
      <c r="AV453" s="114"/>
      <c r="AW453" s="114"/>
      <c r="AX453" s="114"/>
      <c r="AY453" s="114"/>
      <c r="AZ453" s="114"/>
    </row>
    <row r="454" spans="1:52">
      <c r="A454" s="111"/>
      <c r="B454" s="111"/>
      <c r="C454" s="112"/>
      <c r="D454" s="101"/>
      <c r="E454" s="101"/>
      <c r="F454" s="101"/>
      <c r="G454" s="111"/>
      <c r="H454" s="101"/>
      <c r="I454" s="101"/>
      <c r="J454" s="101"/>
      <c r="K454" s="101"/>
      <c r="L454" s="101"/>
      <c r="M454" s="101"/>
      <c r="N454" s="101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  <c r="Y454" s="114"/>
      <c r="Z454" s="114"/>
      <c r="AA454" s="114"/>
      <c r="AB454" s="114"/>
      <c r="AC454" s="114"/>
      <c r="AD454" s="114"/>
      <c r="AE454" s="114"/>
      <c r="AF454" s="114"/>
      <c r="AG454" s="114"/>
      <c r="AH454" s="114"/>
      <c r="AI454" s="114"/>
      <c r="AJ454" s="114"/>
      <c r="AK454" s="114"/>
      <c r="AL454" s="114"/>
      <c r="AM454" s="114"/>
      <c r="AN454" s="114"/>
      <c r="AO454" s="114"/>
      <c r="AP454" s="114"/>
      <c r="AQ454" s="114"/>
      <c r="AR454" s="114"/>
      <c r="AS454" s="114"/>
      <c r="AT454" s="114"/>
      <c r="AU454" s="114"/>
      <c r="AV454" s="114"/>
      <c r="AW454" s="114"/>
      <c r="AX454" s="114"/>
      <c r="AY454" s="114"/>
      <c r="AZ454" s="114"/>
    </row>
    <row r="455" spans="1:52">
      <c r="A455" s="111"/>
      <c r="B455" s="111"/>
      <c r="C455" s="112"/>
      <c r="D455" s="101"/>
      <c r="E455" s="101"/>
      <c r="F455" s="101"/>
      <c r="G455" s="111"/>
      <c r="H455" s="101"/>
      <c r="I455" s="101"/>
      <c r="J455" s="101"/>
      <c r="K455" s="101"/>
      <c r="L455" s="101"/>
      <c r="M455" s="101"/>
      <c r="N455" s="101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  <c r="Y455" s="114"/>
      <c r="Z455" s="114"/>
      <c r="AA455" s="114"/>
      <c r="AB455" s="114"/>
      <c r="AC455" s="114"/>
      <c r="AD455" s="114"/>
      <c r="AE455" s="114"/>
      <c r="AF455" s="114"/>
      <c r="AG455" s="114"/>
      <c r="AH455" s="114"/>
      <c r="AI455" s="114"/>
      <c r="AJ455" s="114"/>
      <c r="AK455" s="114"/>
      <c r="AL455" s="114"/>
      <c r="AM455" s="114"/>
      <c r="AN455" s="114"/>
      <c r="AO455" s="114"/>
      <c r="AP455" s="114"/>
      <c r="AQ455" s="114"/>
      <c r="AR455" s="114"/>
      <c r="AS455" s="114"/>
      <c r="AT455" s="114"/>
      <c r="AU455" s="114"/>
      <c r="AV455" s="114"/>
      <c r="AW455" s="114"/>
      <c r="AX455" s="114"/>
      <c r="AY455" s="114"/>
      <c r="AZ455" s="114"/>
    </row>
    <row r="456" spans="1:52">
      <c r="A456" s="111"/>
      <c r="B456" s="111"/>
      <c r="C456" s="112"/>
      <c r="D456" s="101"/>
      <c r="E456" s="101"/>
      <c r="F456" s="101"/>
      <c r="G456" s="111"/>
      <c r="H456" s="101"/>
      <c r="I456" s="101"/>
      <c r="J456" s="101"/>
      <c r="K456" s="101"/>
      <c r="L456" s="101"/>
      <c r="M456" s="101"/>
      <c r="N456" s="101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  <c r="Y456" s="114"/>
      <c r="Z456" s="114"/>
      <c r="AA456" s="114"/>
      <c r="AB456" s="114"/>
      <c r="AC456" s="114"/>
      <c r="AD456" s="114"/>
      <c r="AE456" s="114"/>
      <c r="AF456" s="114"/>
      <c r="AG456" s="114"/>
      <c r="AH456" s="114"/>
      <c r="AI456" s="114"/>
      <c r="AJ456" s="114"/>
      <c r="AK456" s="114"/>
      <c r="AL456" s="114"/>
      <c r="AM456" s="114"/>
      <c r="AN456" s="114"/>
      <c r="AO456" s="114"/>
      <c r="AP456" s="114"/>
      <c r="AQ456" s="114"/>
      <c r="AR456" s="114"/>
      <c r="AS456" s="114"/>
      <c r="AT456" s="114"/>
      <c r="AU456" s="114"/>
      <c r="AV456" s="114"/>
      <c r="AW456" s="114"/>
      <c r="AX456" s="114"/>
      <c r="AY456" s="114"/>
      <c r="AZ456" s="114"/>
    </row>
    <row r="457" spans="1:52">
      <c r="A457" s="111"/>
      <c r="B457" s="111"/>
      <c r="C457" s="112"/>
      <c r="D457" s="101"/>
      <c r="E457" s="101"/>
      <c r="F457" s="101"/>
      <c r="G457" s="111"/>
      <c r="H457" s="101"/>
      <c r="I457" s="101"/>
      <c r="J457" s="101"/>
      <c r="K457" s="101"/>
      <c r="L457" s="101"/>
      <c r="M457" s="101"/>
      <c r="N457" s="101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14"/>
      <c r="Z457" s="114"/>
      <c r="AA457" s="114"/>
      <c r="AB457" s="114"/>
      <c r="AC457" s="114"/>
      <c r="AD457" s="114"/>
      <c r="AE457" s="114"/>
      <c r="AF457" s="114"/>
      <c r="AG457" s="114"/>
      <c r="AH457" s="114"/>
      <c r="AI457" s="114"/>
      <c r="AJ457" s="114"/>
      <c r="AK457" s="114"/>
      <c r="AL457" s="114"/>
      <c r="AM457" s="114"/>
      <c r="AN457" s="114"/>
      <c r="AO457" s="114"/>
      <c r="AP457" s="114"/>
      <c r="AQ457" s="114"/>
      <c r="AR457" s="114"/>
      <c r="AS457" s="114"/>
      <c r="AT457" s="114"/>
      <c r="AU457" s="114"/>
      <c r="AV457" s="114"/>
      <c r="AW457" s="114"/>
      <c r="AX457" s="114"/>
      <c r="AY457" s="114"/>
      <c r="AZ457" s="114"/>
    </row>
    <row r="458" spans="1:52">
      <c r="A458" s="111"/>
      <c r="B458" s="111"/>
      <c r="C458" s="112"/>
      <c r="D458" s="101"/>
      <c r="E458" s="101"/>
      <c r="F458" s="101"/>
      <c r="G458" s="111"/>
      <c r="H458" s="101"/>
      <c r="I458" s="101"/>
      <c r="J458" s="101"/>
      <c r="K458" s="101"/>
      <c r="L458" s="101"/>
      <c r="M458" s="101"/>
      <c r="N458" s="101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  <c r="Y458" s="114"/>
      <c r="Z458" s="114"/>
      <c r="AA458" s="114"/>
      <c r="AB458" s="114"/>
      <c r="AC458" s="114"/>
      <c r="AD458" s="114"/>
      <c r="AE458" s="114"/>
      <c r="AF458" s="114"/>
      <c r="AG458" s="114"/>
      <c r="AH458" s="114"/>
      <c r="AI458" s="114"/>
      <c r="AJ458" s="114"/>
      <c r="AK458" s="114"/>
      <c r="AL458" s="114"/>
      <c r="AM458" s="114"/>
      <c r="AN458" s="114"/>
      <c r="AO458" s="114"/>
      <c r="AP458" s="114"/>
      <c r="AQ458" s="114"/>
      <c r="AR458" s="114"/>
      <c r="AS458" s="114"/>
      <c r="AT458" s="114"/>
      <c r="AU458" s="114"/>
      <c r="AV458" s="114"/>
      <c r="AW458" s="114"/>
      <c r="AX458" s="114"/>
      <c r="AY458" s="114"/>
      <c r="AZ458" s="114"/>
    </row>
    <row r="459" spans="1:52">
      <c r="A459" s="111"/>
      <c r="B459" s="111"/>
      <c r="C459" s="112"/>
      <c r="D459" s="101"/>
      <c r="E459" s="101"/>
      <c r="F459" s="101"/>
      <c r="G459" s="111"/>
      <c r="H459" s="101"/>
      <c r="I459" s="101"/>
      <c r="J459" s="101"/>
      <c r="K459" s="101"/>
      <c r="L459" s="101"/>
      <c r="M459" s="101"/>
      <c r="N459" s="101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  <c r="Y459" s="114"/>
      <c r="Z459" s="114"/>
      <c r="AA459" s="114"/>
      <c r="AB459" s="114"/>
      <c r="AC459" s="114"/>
      <c r="AD459" s="114"/>
      <c r="AE459" s="114"/>
      <c r="AF459" s="114"/>
      <c r="AG459" s="114"/>
      <c r="AH459" s="114"/>
      <c r="AI459" s="114"/>
      <c r="AJ459" s="114"/>
      <c r="AK459" s="114"/>
      <c r="AL459" s="114"/>
      <c r="AM459" s="114"/>
      <c r="AN459" s="114"/>
      <c r="AO459" s="114"/>
      <c r="AP459" s="114"/>
      <c r="AQ459" s="114"/>
      <c r="AR459" s="114"/>
      <c r="AS459" s="114"/>
      <c r="AT459" s="114"/>
      <c r="AU459" s="114"/>
      <c r="AV459" s="114"/>
      <c r="AW459" s="114"/>
      <c r="AX459" s="114"/>
      <c r="AY459" s="114"/>
      <c r="AZ459" s="114"/>
    </row>
    <row r="460" spans="1:52">
      <c r="A460" s="111"/>
      <c r="B460" s="111"/>
      <c r="C460" s="112"/>
      <c r="D460" s="101"/>
      <c r="E460" s="101"/>
      <c r="F460" s="101"/>
      <c r="G460" s="111"/>
      <c r="H460" s="101"/>
      <c r="I460" s="101"/>
      <c r="J460" s="101"/>
      <c r="K460" s="101"/>
      <c r="L460" s="101"/>
      <c r="M460" s="101"/>
      <c r="N460" s="101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  <c r="Y460" s="114"/>
      <c r="Z460" s="114"/>
      <c r="AA460" s="114"/>
      <c r="AB460" s="114"/>
      <c r="AC460" s="114"/>
      <c r="AD460" s="114"/>
      <c r="AE460" s="114"/>
      <c r="AF460" s="114"/>
      <c r="AG460" s="114"/>
      <c r="AH460" s="114"/>
      <c r="AI460" s="114"/>
      <c r="AJ460" s="114"/>
      <c r="AK460" s="114"/>
      <c r="AL460" s="114"/>
      <c r="AM460" s="114"/>
      <c r="AN460" s="114"/>
      <c r="AO460" s="114"/>
      <c r="AP460" s="114"/>
      <c r="AQ460" s="114"/>
      <c r="AR460" s="114"/>
      <c r="AS460" s="114"/>
      <c r="AT460" s="114"/>
      <c r="AU460" s="114"/>
      <c r="AV460" s="114"/>
      <c r="AW460" s="114"/>
      <c r="AX460" s="114"/>
      <c r="AY460" s="114"/>
      <c r="AZ460" s="114"/>
    </row>
    <row r="461" spans="1:52">
      <c r="A461" s="111"/>
      <c r="B461" s="111"/>
      <c r="C461" s="112"/>
      <c r="D461" s="101"/>
      <c r="E461" s="101"/>
      <c r="F461" s="101"/>
      <c r="G461" s="111"/>
      <c r="H461" s="101"/>
      <c r="I461" s="101"/>
      <c r="J461" s="101"/>
      <c r="K461" s="101"/>
      <c r="L461" s="101"/>
      <c r="M461" s="101"/>
      <c r="N461" s="101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14"/>
      <c r="Z461" s="114"/>
      <c r="AA461" s="114"/>
      <c r="AB461" s="114"/>
      <c r="AC461" s="114"/>
      <c r="AD461" s="114"/>
      <c r="AE461" s="114"/>
      <c r="AF461" s="114"/>
      <c r="AG461" s="114"/>
      <c r="AH461" s="114"/>
      <c r="AI461" s="114"/>
      <c r="AJ461" s="114"/>
      <c r="AK461" s="114"/>
      <c r="AL461" s="114"/>
      <c r="AM461" s="114"/>
      <c r="AN461" s="114"/>
      <c r="AO461" s="114"/>
      <c r="AP461" s="114"/>
      <c r="AQ461" s="114"/>
      <c r="AR461" s="114"/>
      <c r="AS461" s="114"/>
      <c r="AT461" s="114"/>
      <c r="AU461" s="114"/>
      <c r="AV461" s="114"/>
      <c r="AW461" s="114"/>
      <c r="AX461" s="114"/>
      <c r="AY461" s="114"/>
      <c r="AZ461" s="114"/>
    </row>
    <row r="462" spans="1:52">
      <c r="A462" s="111"/>
      <c r="B462" s="111"/>
      <c r="C462" s="112"/>
      <c r="D462" s="101"/>
      <c r="E462" s="101"/>
      <c r="F462" s="101"/>
      <c r="G462" s="111"/>
      <c r="H462" s="101"/>
      <c r="I462" s="101"/>
      <c r="J462" s="101"/>
      <c r="K462" s="101"/>
      <c r="L462" s="101"/>
      <c r="M462" s="101"/>
      <c r="N462" s="101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14"/>
      <c r="Z462" s="114"/>
      <c r="AA462" s="114"/>
      <c r="AB462" s="114"/>
      <c r="AC462" s="114"/>
      <c r="AD462" s="114"/>
      <c r="AE462" s="114"/>
      <c r="AF462" s="114"/>
      <c r="AG462" s="114"/>
      <c r="AH462" s="114"/>
      <c r="AI462" s="114"/>
      <c r="AJ462" s="114"/>
      <c r="AK462" s="114"/>
      <c r="AL462" s="114"/>
      <c r="AM462" s="114"/>
      <c r="AN462" s="114"/>
      <c r="AO462" s="114"/>
      <c r="AP462" s="114"/>
      <c r="AQ462" s="114"/>
      <c r="AR462" s="114"/>
      <c r="AS462" s="114"/>
      <c r="AT462" s="114"/>
      <c r="AU462" s="114"/>
      <c r="AV462" s="114"/>
      <c r="AW462" s="114"/>
      <c r="AX462" s="114"/>
      <c r="AY462" s="114"/>
      <c r="AZ462" s="114"/>
    </row>
    <row r="463" spans="1:52">
      <c r="A463" s="111"/>
      <c r="B463" s="111"/>
      <c r="C463" s="112"/>
      <c r="D463" s="101"/>
      <c r="E463" s="101"/>
      <c r="F463" s="101"/>
      <c r="G463" s="111"/>
      <c r="H463" s="101"/>
      <c r="I463" s="101"/>
      <c r="J463" s="101"/>
      <c r="K463" s="101"/>
      <c r="L463" s="101"/>
      <c r="M463" s="101"/>
      <c r="N463" s="101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  <c r="Y463" s="114"/>
      <c r="Z463" s="114"/>
      <c r="AA463" s="114"/>
      <c r="AB463" s="114"/>
      <c r="AC463" s="114"/>
      <c r="AD463" s="114"/>
      <c r="AE463" s="114"/>
      <c r="AF463" s="114"/>
      <c r="AG463" s="114"/>
      <c r="AH463" s="114"/>
      <c r="AI463" s="114"/>
      <c r="AJ463" s="114"/>
      <c r="AK463" s="114"/>
      <c r="AL463" s="114"/>
      <c r="AM463" s="114"/>
      <c r="AN463" s="114"/>
      <c r="AO463" s="114"/>
      <c r="AP463" s="114"/>
      <c r="AQ463" s="114"/>
      <c r="AR463" s="114"/>
      <c r="AS463" s="114"/>
      <c r="AT463" s="114"/>
      <c r="AU463" s="114"/>
      <c r="AV463" s="114"/>
      <c r="AW463" s="114"/>
      <c r="AX463" s="114"/>
      <c r="AY463" s="114"/>
      <c r="AZ463" s="114"/>
    </row>
    <row r="464" spans="1:52">
      <c r="A464" s="111"/>
      <c r="B464" s="111"/>
      <c r="C464" s="112"/>
      <c r="D464" s="101"/>
      <c r="E464" s="101"/>
      <c r="F464" s="101"/>
      <c r="G464" s="111"/>
      <c r="H464" s="101"/>
      <c r="I464" s="101"/>
      <c r="J464" s="101"/>
      <c r="K464" s="101"/>
      <c r="L464" s="101"/>
      <c r="M464" s="101"/>
      <c r="N464" s="101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  <c r="Y464" s="114"/>
      <c r="Z464" s="114"/>
      <c r="AA464" s="114"/>
      <c r="AB464" s="114"/>
      <c r="AC464" s="114"/>
      <c r="AD464" s="114"/>
      <c r="AE464" s="114"/>
      <c r="AF464" s="114"/>
      <c r="AG464" s="114"/>
      <c r="AH464" s="114"/>
      <c r="AI464" s="114"/>
      <c r="AJ464" s="114"/>
      <c r="AK464" s="114"/>
      <c r="AL464" s="114"/>
      <c r="AM464" s="114"/>
      <c r="AN464" s="114"/>
      <c r="AO464" s="114"/>
      <c r="AP464" s="114"/>
      <c r="AQ464" s="114"/>
      <c r="AR464" s="114"/>
      <c r="AS464" s="114"/>
      <c r="AT464" s="114"/>
      <c r="AU464" s="114"/>
      <c r="AV464" s="114"/>
      <c r="AW464" s="114"/>
      <c r="AX464" s="114"/>
      <c r="AY464" s="114"/>
      <c r="AZ464" s="114"/>
    </row>
    <row r="465" spans="1:52">
      <c r="A465" s="111"/>
      <c r="B465" s="111"/>
      <c r="C465" s="112"/>
      <c r="D465" s="101"/>
      <c r="E465" s="101"/>
      <c r="F465" s="101"/>
      <c r="G465" s="111"/>
      <c r="H465" s="101"/>
      <c r="I465" s="101"/>
      <c r="J465" s="101"/>
      <c r="K465" s="101"/>
      <c r="L465" s="101"/>
      <c r="M465" s="101"/>
      <c r="N465" s="101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14"/>
      <c r="Z465" s="114"/>
      <c r="AA465" s="114"/>
      <c r="AB465" s="114"/>
      <c r="AC465" s="114"/>
      <c r="AD465" s="114"/>
      <c r="AE465" s="114"/>
      <c r="AF465" s="114"/>
      <c r="AG465" s="114"/>
      <c r="AH465" s="114"/>
      <c r="AI465" s="114"/>
      <c r="AJ465" s="114"/>
      <c r="AK465" s="114"/>
      <c r="AL465" s="114"/>
      <c r="AM465" s="114"/>
      <c r="AN465" s="114"/>
      <c r="AO465" s="114"/>
      <c r="AP465" s="114"/>
      <c r="AQ465" s="114"/>
      <c r="AR465" s="114"/>
      <c r="AS465" s="114"/>
      <c r="AT465" s="114"/>
      <c r="AU465" s="114"/>
      <c r="AV465" s="114"/>
      <c r="AW465" s="114"/>
      <c r="AX465" s="114"/>
      <c r="AY465" s="114"/>
      <c r="AZ465" s="114"/>
    </row>
    <row r="466" spans="1:52">
      <c r="A466" s="111"/>
      <c r="B466" s="111"/>
      <c r="C466" s="112"/>
      <c r="D466" s="101"/>
      <c r="E466" s="101"/>
      <c r="F466" s="101"/>
      <c r="G466" s="111"/>
      <c r="H466" s="101"/>
      <c r="I466" s="101"/>
      <c r="J466" s="101"/>
      <c r="K466" s="101"/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14"/>
      <c r="Z466" s="114"/>
      <c r="AA466" s="114"/>
      <c r="AB466" s="114"/>
      <c r="AC466" s="114"/>
      <c r="AD466" s="114"/>
      <c r="AE466" s="114"/>
      <c r="AF466" s="114"/>
      <c r="AG466" s="114"/>
      <c r="AH466" s="114"/>
      <c r="AI466" s="114"/>
      <c r="AJ466" s="114"/>
      <c r="AK466" s="114"/>
      <c r="AL466" s="114"/>
      <c r="AM466" s="114"/>
      <c r="AN466" s="114"/>
      <c r="AO466" s="114"/>
      <c r="AP466" s="114"/>
      <c r="AQ466" s="114"/>
      <c r="AR466" s="114"/>
      <c r="AS466" s="114"/>
      <c r="AT466" s="114"/>
      <c r="AU466" s="114"/>
      <c r="AV466" s="114"/>
      <c r="AW466" s="114"/>
      <c r="AX466" s="114"/>
      <c r="AY466" s="114"/>
      <c r="AZ466" s="114"/>
    </row>
    <row r="467" spans="1:52">
      <c r="A467" s="111"/>
      <c r="B467" s="111"/>
      <c r="C467" s="112"/>
      <c r="D467" s="101"/>
      <c r="E467" s="101"/>
      <c r="F467" s="101"/>
      <c r="G467" s="111"/>
      <c r="H467" s="101"/>
      <c r="I467" s="101"/>
      <c r="J467" s="101"/>
      <c r="K467" s="101"/>
      <c r="L467" s="101"/>
      <c r="M467" s="101"/>
      <c r="N467" s="101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14"/>
      <c r="Z467" s="114"/>
      <c r="AA467" s="114"/>
      <c r="AB467" s="114"/>
      <c r="AC467" s="114"/>
      <c r="AD467" s="114"/>
      <c r="AE467" s="114"/>
      <c r="AF467" s="114"/>
      <c r="AG467" s="114"/>
      <c r="AH467" s="114"/>
      <c r="AI467" s="114"/>
      <c r="AJ467" s="114"/>
      <c r="AK467" s="114"/>
      <c r="AL467" s="114"/>
      <c r="AM467" s="114"/>
      <c r="AN467" s="114"/>
      <c r="AO467" s="114"/>
      <c r="AP467" s="114"/>
      <c r="AQ467" s="114"/>
      <c r="AR467" s="114"/>
      <c r="AS467" s="114"/>
      <c r="AT467" s="114"/>
      <c r="AU467" s="114"/>
      <c r="AV467" s="114"/>
      <c r="AW467" s="114"/>
      <c r="AX467" s="114"/>
      <c r="AY467" s="114"/>
      <c r="AZ467" s="114"/>
    </row>
    <row r="468" spans="1:52">
      <c r="A468" s="111"/>
      <c r="B468" s="111"/>
      <c r="C468" s="112"/>
      <c r="D468" s="101"/>
      <c r="E468" s="101"/>
      <c r="F468" s="101"/>
      <c r="G468" s="11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14"/>
      <c r="Z468" s="114"/>
      <c r="AA468" s="114"/>
      <c r="AB468" s="114"/>
      <c r="AC468" s="114"/>
      <c r="AD468" s="114"/>
      <c r="AE468" s="114"/>
      <c r="AF468" s="114"/>
      <c r="AG468" s="114"/>
      <c r="AH468" s="114"/>
      <c r="AI468" s="114"/>
      <c r="AJ468" s="114"/>
      <c r="AK468" s="114"/>
      <c r="AL468" s="114"/>
      <c r="AM468" s="114"/>
      <c r="AN468" s="114"/>
      <c r="AO468" s="114"/>
      <c r="AP468" s="114"/>
      <c r="AQ468" s="114"/>
      <c r="AR468" s="114"/>
      <c r="AS468" s="114"/>
      <c r="AT468" s="114"/>
      <c r="AU468" s="114"/>
      <c r="AV468" s="114"/>
      <c r="AW468" s="114"/>
      <c r="AX468" s="114"/>
      <c r="AY468" s="114"/>
      <c r="AZ468" s="114"/>
    </row>
    <row r="469" spans="1:52">
      <c r="A469" s="111"/>
      <c r="B469" s="111"/>
      <c r="C469" s="112"/>
      <c r="D469" s="101"/>
      <c r="E469" s="101"/>
      <c r="F469" s="101"/>
      <c r="G469" s="111"/>
      <c r="H469" s="101"/>
      <c r="I469" s="101"/>
      <c r="J469" s="101"/>
      <c r="K469" s="101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14"/>
      <c r="Z469" s="114"/>
      <c r="AA469" s="114"/>
      <c r="AB469" s="114"/>
      <c r="AC469" s="114"/>
      <c r="AD469" s="114"/>
      <c r="AE469" s="114"/>
      <c r="AF469" s="114"/>
      <c r="AG469" s="114"/>
      <c r="AH469" s="114"/>
      <c r="AI469" s="114"/>
      <c r="AJ469" s="114"/>
      <c r="AK469" s="114"/>
      <c r="AL469" s="114"/>
      <c r="AM469" s="114"/>
      <c r="AN469" s="114"/>
      <c r="AO469" s="114"/>
      <c r="AP469" s="114"/>
      <c r="AQ469" s="114"/>
      <c r="AR469" s="114"/>
      <c r="AS469" s="114"/>
      <c r="AT469" s="114"/>
      <c r="AU469" s="114"/>
      <c r="AV469" s="114"/>
      <c r="AW469" s="114"/>
      <c r="AX469" s="114"/>
      <c r="AY469" s="114"/>
      <c r="AZ469" s="114"/>
    </row>
    <row r="470" spans="1:52">
      <c r="A470" s="111"/>
      <c r="B470" s="111"/>
      <c r="C470" s="112"/>
      <c r="D470" s="101"/>
      <c r="E470" s="101"/>
      <c r="F470" s="101"/>
      <c r="G470" s="111"/>
      <c r="H470" s="101"/>
      <c r="I470" s="101"/>
      <c r="J470" s="101"/>
      <c r="K470" s="101"/>
      <c r="L470" s="101"/>
      <c r="M470" s="101"/>
      <c r="N470" s="101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14"/>
      <c r="Z470" s="114"/>
      <c r="AA470" s="114"/>
      <c r="AB470" s="114"/>
      <c r="AC470" s="114"/>
      <c r="AD470" s="114"/>
      <c r="AE470" s="114"/>
      <c r="AF470" s="114"/>
      <c r="AG470" s="114"/>
      <c r="AH470" s="114"/>
      <c r="AI470" s="114"/>
      <c r="AJ470" s="114"/>
      <c r="AK470" s="114"/>
      <c r="AL470" s="114"/>
      <c r="AM470" s="114"/>
      <c r="AN470" s="114"/>
      <c r="AO470" s="114"/>
      <c r="AP470" s="114"/>
      <c r="AQ470" s="114"/>
      <c r="AR470" s="114"/>
      <c r="AS470" s="114"/>
      <c r="AT470" s="114"/>
      <c r="AU470" s="114"/>
      <c r="AV470" s="114"/>
      <c r="AW470" s="114"/>
      <c r="AX470" s="114"/>
      <c r="AY470" s="114"/>
      <c r="AZ470" s="114"/>
    </row>
    <row r="471" spans="1:52">
      <c r="A471" s="111"/>
      <c r="B471" s="111"/>
      <c r="C471" s="112"/>
      <c r="D471" s="101"/>
      <c r="E471" s="101"/>
      <c r="F471" s="101"/>
      <c r="G471" s="111"/>
      <c r="H471" s="101"/>
      <c r="I471" s="101"/>
      <c r="J471" s="101"/>
      <c r="K471" s="101"/>
      <c r="L471" s="101"/>
      <c r="M471" s="101"/>
      <c r="N471" s="101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14"/>
      <c r="Z471" s="114"/>
      <c r="AA471" s="114"/>
      <c r="AB471" s="114"/>
      <c r="AC471" s="114"/>
      <c r="AD471" s="114"/>
      <c r="AE471" s="114"/>
      <c r="AF471" s="114"/>
      <c r="AG471" s="114"/>
      <c r="AH471" s="114"/>
      <c r="AI471" s="114"/>
      <c r="AJ471" s="114"/>
      <c r="AK471" s="114"/>
      <c r="AL471" s="114"/>
      <c r="AM471" s="114"/>
      <c r="AN471" s="114"/>
      <c r="AO471" s="114"/>
      <c r="AP471" s="114"/>
      <c r="AQ471" s="114"/>
      <c r="AR471" s="114"/>
      <c r="AS471" s="114"/>
      <c r="AT471" s="114"/>
      <c r="AU471" s="114"/>
      <c r="AV471" s="114"/>
      <c r="AW471" s="114"/>
      <c r="AX471" s="114"/>
      <c r="AY471" s="114"/>
      <c r="AZ471" s="114"/>
    </row>
    <row r="472" spans="1:52">
      <c r="A472" s="111"/>
      <c r="B472" s="111"/>
      <c r="C472" s="112"/>
      <c r="D472" s="101"/>
      <c r="E472" s="101"/>
      <c r="F472" s="101"/>
      <c r="G472" s="111"/>
      <c r="H472" s="101"/>
      <c r="I472" s="101"/>
      <c r="J472" s="101"/>
      <c r="K472" s="101"/>
      <c r="L472" s="101"/>
      <c r="M472" s="101"/>
      <c r="N472" s="101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14"/>
      <c r="Z472" s="114"/>
      <c r="AA472" s="114"/>
      <c r="AB472" s="114"/>
      <c r="AC472" s="114"/>
      <c r="AD472" s="114"/>
      <c r="AE472" s="114"/>
      <c r="AF472" s="114"/>
      <c r="AG472" s="114"/>
      <c r="AH472" s="114"/>
      <c r="AI472" s="114"/>
      <c r="AJ472" s="114"/>
      <c r="AK472" s="114"/>
      <c r="AL472" s="114"/>
      <c r="AM472" s="114"/>
      <c r="AN472" s="114"/>
      <c r="AO472" s="114"/>
      <c r="AP472" s="114"/>
      <c r="AQ472" s="114"/>
      <c r="AR472" s="114"/>
      <c r="AS472" s="114"/>
      <c r="AT472" s="114"/>
      <c r="AU472" s="114"/>
      <c r="AV472" s="114"/>
      <c r="AW472" s="114"/>
      <c r="AX472" s="114"/>
      <c r="AY472" s="114"/>
      <c r="AZ472" s="114"/>
    </row>
    <row r="473" spans="1:52">
      <c r="A473" s="111"/>
      <c r="B473" s="111"/>
      <c r="C473" s="112"/>
      <c r="D473" s="101"/>
      <c r="E473" s="101"/>
      <c r="F473" s="101"/>
      <c r="G473" s="111"/>
      <c r="H473" s="101"/>
      <c r="I473" s="101"/>
      <c r="J473" s="101"/>
      <c r="K473" s="101"/>
      <c r="L473" s="101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14"/>
      <c r="Z473" s="114"/>
      <c r="AA473" s="114"/>
      <c r="AB473" s="114"/>
      <c r="AC473" s="114"/>
      <c r="AD473" s="114"/>
      <c r="AE473" s="114"/>
      <c r="AF473" s="114"/>
      <c r="AG473" s="114"/>
      <c r="AH473" s="114"/>
      <c r="AI473" s="114"/>
      <c r="AJ473" s="114"/>
      <c r="AK473" s="114"/>
      <c r="AL473" s="114"/>
      <c r="AM473" s="114"/>
      <c r="AN473" s="114"/>
      <c r="AO473" s="114"/>
      <c r="AP473" s="114"/>
      <c r="AQ473" s="114"/>
      <c r="AR473" s="114"/>
      <c r="AS473" s="114"/>
      <c r="AT473" s="114"/>
      <c r="AU473" s="114"/>
      <c r="AV473" s="114"/>
      <c r="AW473" s="114"/>
      <c r="AX473" s="114"/>
      <c r="AY473" s="114"/>
      <c r="AZ473" s="114"/>
    </row>
    <row r="474" spans="1:52">
      <c r="A474" s="111"/>
      <c r="B474" s="111"/>
      <c r="C474" s="112"/>
      <c r="D474" s="101"/>
      <c r="E474" s="101"/>
      <c r="F474" s="101"/>
      <c r="G474" s="111"/>
      <c r="H474" s="101"/>
      <c r="I474" s="101"/>
      <c r="J474" s="101"/>
      <c r="K474" s="101"/>
      <c r="L474" s="101"/>
      <c r="M474" s="101"/>
      <c r="N474" s="101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14"/>
      <c r="Z474" s="114"/>
      <c r="AA474" s="114"/>
      <c r="AB474" s="114"/>
      <c r="AC474" s="114"/>
      <c r="AD474" s="114"/>
      <c r="AE474" s="114"/>
      <c r="AF474" s="114"/>
      <c r="AG474" s="114"/>
      <c r="AH474" s="114"/>
      <c r="AI474" s="114"/>
      <c r="AJ474" s="114"/>
      <c r="AK474" s="114"/>
      <c r="AL474" s="114"/>
      <c r="AM474" s="114"/>
      <c r="AN474" s="114"/>
      <c r="AO474" s="114"/>
      <c r="AP474" s="114"/>
      <c r="AQ474" s="114"/>
      <c r="AR474" s="114"/>
      <c r="AS474" s="114"/>
      <c r="AT474" s="114"/>
      <c r="AU474" s="114"/>
      <c r="AV474" s="114"/>
      <c r="AW474" s="114"/>
      <c r="AX474" s="114"/>
      <c r="AY474" s="114"/>
      <c r="AZ474" s="114"/>
    </row>
    <row r="475" spans="1:52">
      <c r="A475" s="111"/>
      <c r="B475" s="111"/>
      <c r="C475" s="112"/>
      <c r="D475" s="101"/>
      <c r="E475" s="101"/>
      <c r="F475" s="101"/>
      <c r="G475" s="111"/>
      <c r="H475" s="101"/>
      <c r="I475" s="101"/>
      <c r="J475" s="101"/>
      <c r="K475" s="101"/>
      <c r="L475" s="101"/>
      <c r="M475" s="101"/>
      <c r="N475" s="101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14"/>
      <c r="Z475" s="114"/>
      <c r="AA475" s="114"/>
      <c r="AB475" s="114"/>
      <c r="AC475" s="114"/>
      <c r="AD475" s="114"/>
      <c r="AE475" s="114"/>
      <c r="AF475" s="114"/>
      <c r="AG475" s="114"/>
      <c r="AH475" s="114"/>
      <c r="AI475" s="114"/>
      <c r="AJ475" s="114"/>
      <c r="AK475" s="114"/>
      <c r="AL475" s="114"/>
      <c r="AM475" s="114"/>
      <c r="AN475" s="114"/>
      <c r="AO475" s="114"/>
      <c r="AP475" s="114"/>
      <c r="AQ475" s="114"/>
      <c r="AR475" s="114"/>
      <c r="AS475" s="114"/>
      <c r="AT475" s="114"/>
      <c r="AU475" s="114"/>
      <c r="AV475" s="114"/>
      <c r="AW475" s="114"/>
      <c r="AX475" s="114"/>
      <c r="AY475" s="114"/>
      <c r="AZ475" s="114"/>
    </row>
    <row r="476" spans="1:52">
      <c r="A476" s="111"/>
      <c r="B476" s="111"/>
      <c r="C476" s="112"/>
      <c r="D476" s="101"/>
      <c r="E476" s="101"/>
      <c r="F476" s="101"/>
      <c r="G476" s="111"/>
      <c r="H476" s="101"/>
      <c r="I476" s="101"/>
      <c r="J476" s="101"/>
      <c r="K476" s="101"/>
      <c r="L476" s="101"/>
      <c r="M476" s="101"/>
      <c r="N476" s="101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14"/>
      <c r="Z476" s="114"/>
      <c r="AA476" s="114"/>
      <c r="AB476" s="114"/>
      <c r="AC476" s="114"/>
      <c r="AD476" s="114"/>
      <c r="AE476" s="114"/>
      <c r="AF476" s="114"/>
      <c r="AG476" s="114"/>
      <c r="AH476" s="114"/>
      <c r="AI476" s="114"/>
      <c r="AJ476" s="114"/>
      <c r="AK476" s="114"/>
      <c r="AL476" s="114"/>
      <c r="AM476" s="114"/>
      <c r="AN476" s="114"/>
      <c r="AO476" s="114"/>
      <c r="AP476" s="114"/>
      <c r="AQ476" s="114"/>
      <c r="AR476" s="114"/>
      <c r="AS476" s="114"/>
      <c r="AT476" s="114"/>
      <c r="AU476" s="114"/>
      <c r="AV476" s="114"/>
      <c r="AW476" s="114"/>
      <c r="AX476" s="114"/>
      <c r="AY476" s="114"/>
      <c r="AZ476" s="114"/>
    </row>
    <row r="477" spans="1:52">
      <c r="A477" s="111"/>
      <c r="B477" s="111"/>
      <c r="C477" s="112"/>
      <c r="D477" s="101"/>
      <c r="E477" s="101"/>
      <c r="F477" s="101"/>
      <c r="G477" s="111"/>
      <c r="H477" s="101"/>
      <c r="I477" s="101"/>
      <c r="J477" s="101"/>
      <c r="K477" s="101"/>
      <c r="L477" s="101"/>
      <c r="M477" s="101"/>
      <c r="N477" s="101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14"/>
      <c r="Z477" s="114"/>
      <c r="AA477" s="114"/>
      <c r="AB477" s="114"/>
      <c r="AC477" s="114"/>
      <c r="AD477" s="114"/>
      <c r="AE477" s="114"/>
      <c r="AF477" s="114"/>
      <c r="AG477" s="114"/>
      <c r="AH477" s="114"/>
      <c r="AI477" s="114"/>
      <c r="AJ477" s="114"/>
      <c r="AK477" s="114"/>
      <c r="AL477" s="114"/>
      <c r="AM477" s="114"/>
      <c r="AN477" s="114"/>
      <c r="AO477" s="114"/>
      <c r="AP477" s="114"/>
      <c r="AQ477" s="114"/>
      <c r="AR477" s="114"/>
      <c r="AS477" s="114"/>
      <c r="AT477" s="114"/>
      <c r="AU477" s="114"/>
      <c r="AV477" s="114"/>
      <c r="AW477" s="114"/>
      <c r="AX477" s="114"/>
      <c r="AY477" s="114"/>
      <c r="AZ477" s="114"/>
    </row>
    <row r="478" spans="1:52">
      <c r="A478" s="111"/>
      <c r="B478" s="111"/>
      <c r="C478" s="112"/>
      <c r="D478" s="101"/>
      <c r="E478" s="101"/>
      <c r="F478" s="101"/>
      <c r="G478" s="111"/>
      <c r="H478" s="101"/>
      <c r="I478" s="101"/>
      <c r="J478" s="101"/>
      <c r="K478" s="101"/>
      <c r="L478" s="101"/>
      <c r="M478" s="101"/>
      <c r="N478" s="101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14"/>
      <c r="Z478" s="114"/>
      <c r="AA478" s="114"/>
      <c r="AB478" s="114"/>
      <c r="AC478" s="114"/>
      <c r="AD478" s="114"/>
      <c r="AE478" s="114"/>
      <c r="AF478" s="114"/>
      <c r="AG478" s="114"/>
      <c r="AH478" s="114"/>
      <c r="AI478" s="114"/>
      <c r="AJ478" s="114"/>
      <c r="AK478" s="114"/>
      <c r="AL478" s="114"/>
      <c r="AM478" s="114"/>
      <c r="AN478" s="114"/>
      <c r="AO478" s="114"/>
      <c r="AP478" s="114"/>
      <c r="AQ478" s="114"/>
      <c r="AR478" s="114"/>
      <c r="AS478" s="114"/>
      <c r="AT478" s="114"/>
      <c r="AU478" s="114"/>
      <c r="AV478" s="114"/>
      <c r="AW478" s="114"/>
      <c r="AX478" s="114"/>
      <c r="AY478" s="114"/>
      <c r="AZ478" s="114"/>
    </row>
    <row r="479" spans="1:52">
      <c r="A479" s="111"/>
      <c r="B479" s="111"/>
      <c r="C479" s="112"/>
      <c r="D479" s="101"/>
      <c r="E479" s="101"/>
      <c r="F479" s="101"/>
      <c r="G479" s="111"/>
      <c r="H479" s="101"/>
      <c r="I479" s="101"/>
      <c r="J479" s="101"/>
      <c r="K479" s="101"/>
      <c r="L479" s="101"/>
      <c r="M479" s="101"/>
      <c r="N479" s="101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14"/>
      <c r="Z479" s="114"/>
      <c r="AA479" s="114"/>
      <c r="AB479" s="114"/>
      <c r="AC479" s="114"/>
      <c r="AD479" s="114"/>
      <c r="AE479" s="114"/>
      <c r="AF479" s="114"/>
      <c r="AG479" s="114"/>
      <c r="AH479" s="114"/>
      <c r="AI479" s="114"/>
      <c r="AJ479" s="114"/>
      <c r="AK479" s="114"/>
      <c r="AL479" s="114"/>
      <c r="AM479" s="114"/>
      <c r="AN479" s="114"/>
      <c r="AO479" s="114"/>
      <c r="AP479" s="114"/>
      <c r="AQ479" s="114"/>
      <c r="AR479" s="114"/>
      <c r="AS479" s="114"/>
      <c r="AT479" s="114"/>
      <c r="AU479" s="114"/>
      <c r="AV479" s="114"/>
      <c r="AW479" s="114"/>
      <c r="AX479" s="114"/>
      <c r="AY479" s="114"/>
      <c r="AZ479" s="114"/>
    </row>
    <row r="480" spans="1:52">
      <c r="A480" s="111"/>
      <c r="B480" s="111"/>
      <c r="C480" s="112"/>
      <c r="D480" s="101"/>
      <c r="E480" s="101"/>
      <c r="F480" s="101"/>
      <c r="G480" s="111"/>
      <c r="H480" s="101"/>
      <c r="I480" s="101"/>
      <c r="J480" s="101"/>
      <c r="K480" s="101"/>
      <c r="L480" s="101"/>
      <c r="M480" s="101"/>
      <c r="N480" s="101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14"/>
      <c r="Z480" s="114"/>
      <c r="AA480" s="114"/>
      <c r="AB480" s="114"/>
      <c r="AC480" s="114"/>
      <c r="AD480" s="114"/>
      <c r="AE480" s="114"/>
      <c r="AF480" s="114"/>
      <c r="AG480" s="114"/>
      <c r="AH480" s="114"/>
      <c r="AI480" s="114"/>
      <c r="AJ480" s="114"/>
      <c r="AK480" s="114"/>
      <c r="AL480" s="114"/>
      <c r="AM480" s="114"/>
      <c r="AN480" s="114"/>
      <c r="AO480" s="114"/>
      <c r="AP480" s="114"/>
      <c r="AQ480" s="114"/>
      <c r="AR480" s="114"/>
      <c r="AS480" s="114"/>
      <c r="AT480" s="114"/>
      <c r="AU480" s="114"/>
      <c r="AV480" s="114"/>
      <c r="AW480" s="114"/>
      <c r="AX480" s="114"/>
      <c r="AY480" s="114"/>
      <c r="AZ480" s="114"/>
    </row>
    <row r="481" spans="1:52">
      <c r="A481" s="111"/>
      <c r="B481" s="111"/>
      <c r="C481" s="112"/>
      <c r="D481" s="101"/>
      <c r="E481" s="101"/>
      <c r="F481" s="101"/>
      <c r="G481" s="111"/>
      <c r="H481" s="101"/>
      <c r="I481" s="101"/>
      <c r="J481" s="101"/>
      <c r="K481" s="101"/>
      <c r="L481" s="101"/>
      <c r="M481" s="101"/>
      <c r="N481" s="101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14"/>
      <c r="Z481" s="114"/>
      <c r="AA481" s="114"/>
      <c r="AB481" s="114"/>
      <c r="AC481" s="114"/>
      <c r="AD481" s="114"/>
      <c r="AE481" s="114"/>
      <c r="AF481" s="114"/>
      <c r="AG481" s="114"/>
      <c r="AH481" s="114"/>
      <c r="AI481" s="114"/>
      <c r="AJ481" s="114"/>
      <c r="AK481" s="114"/>
      <c r="AL481" s="114"/>
      <c r="AM481" s="114"/>
      <c r="AN481" s="114"/>
      <c r="AO481" s="114"/>
      <c r="AP481" s="114"/>
      <c r="AQ481" s="114"/>
      <c r="AR481" s="114"/>
      <c r="AS481" s="114"/>
      <c r="AT481" s="114"/>
      <c r="AU481" s="114"/>
      <c r="AV481" s="114"/>
      <c r="AW481" s="114"/>
      <c r="AX481" s="114"/>
      <c r="AY481" s="114"/>
      <c r="AZ481" s="114"/>
    </row>
    <row r="482" spans="1:52">
      <c r="A482" s="111"/>
      <c r="B482" s="111"/>
      <c r="C482" s="112"/>
      <c r="D482" s="101"/>
      <c r="E482" s="101"/>
      <c r="F482" s="101"/>
      <c r="G482" s="11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14"/>
      <c r="Z482" s="114"/>
      <c r="AA482" s="114"/>
      <c r="AB482" s="114"/>
      <c r="AC482" s="114"/>
      <c r="AD482" s="114"/>
      <c r="AE482" s="114"/>
      <c r="AF482" s="114"/>
      <c r="AG482" s="114"/>
      <c r="AH482" s="114"/>
      <c r="AI482" s="114"/>
      <c r="AJ482" s="114"/>
      <c r="AK482" s="114"/>
      <c r="AL482" s="114"/>
      <c r="AM482" s="114"/>
      <c r="AN482" s="114"/>
      <c r="AO482" s="114"/>
      <c r="AP482" s="114"/>
      <c r="AQ482" s="114"/>
      <c r="AR482" s="114"/>
      <c r="AS482" s="114"/>
      <c r="AT482" s="114"/>
      <c r="AU482" s="114"/>
      <c r="AV482" s="114"/>
      <c r="AW482" s="114"/>
      <c r="AX482" s="114"/>
      <c r="AY482" s="114"/>
      <c r="AZ482" s="114"/>
    </row>
    <row r="483" spans="1:52">
      <c r="A483" s="111"/>
      <c r="B483" s="111"/>
      <c r="C483" s="112"/>
      <c r="D483" s="101"/>
      <c r="E483" s="101"/>
      <c r="F483" s="101"/>
      <c r="G483" s="11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14"/>
      <c r="Z483" s="114"/>
      <c r="AA483" s="114"/>
      <c r="AB483" s="114"/>
      <c r="AC483" s="114"/>
      <c r="AD483" s="114"/>
      <c r="AE483" s="114"/>
      <c r="AF483" s="114"/>
      <c r="AG483" s="114"/>
      <c r="AH483" s="114"/>
      <c r="AI483" s="114"/>
      <c r="AJ483" s="114"/>
      <c r="AK483" s="114"/>
      <c r="AL483" s="114"/>
      <c r="AM483" s="114"/>
      <c r="AN483" s="114"/>
      <c r="AO483" s="114"/>
      <c r="AP483" s="114"/>
      <c r="AQ483" s="114"/>
      <c r="AR483" s="114"/>
      <c r="AS483" s="114"/>
      <c r="AT483" s="114"/>
      <c r="AU483" s="114"/>
      <c r="AV483" s="114"/>
      <c r="AW483" s="114"/>
      <c r="AX483" s="114"/>
      <c r="AY483" s="114"/>
      <c r="AZ483" s="114"/>
    </row>
    <row r="484" spans="1:52">
      <c r="A484" s="111"/>
      <c r="B484" s="111"/>
      <c r="C484" s="112"/>
      <c r="D484" s="101"/>
      <c r="E484" s="101"/>
      <c r="F484" s="101"/>
      <c r="G484" s="11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14"/>
      <c r="Z484" s="114"/>
      <c r="AA484" s="114"/>
      <c r="AB484" s="114"/>
      <c r="AC484" s="114"/>
      <c r="AD484" s="114"/>
      <c r="AE484" s="114"/>
      <c r="AF484" s="114"/>
      <c r="AG484" s="114"/>
      <c r="AH484" s="114"/>
      <c r="AI484" s="114"/>
      <c r="AJ484" s="114"/>
      <c r="AK484" s="114"/>
      <c r="AL484" s="114"/>
      <c r="AM484" s="114"/>
      <c r="AN484" s="114"/>
      <c r="AO484" s="114"/>
      <c r="AP484" s="114"/>
      <c r="AQ484" s="114"/>
      <c r="AR484" s="114"/>
      <c r="AS484" s="114"/>
      <c r="AT484" s="114"/>
      <c r="AU484" s="114"/>
      <c r="AV484" s="114"/>
      <c r="AW484" s="114"/>
      <c r="AX484" s="114"/>
      <c r="AY484" s="114"/>
      <c r="AZ484" s="114"/>
    </row>
    <row r="485" spans="1:52">
      <c r="A485" s="111"/>
      <c r="B485" s="111"/>
      <c r="C485" s="112"/>
      <c r="D485" s="101"/>
      <c r="E485" s="101"/>
      <c r="F485" s="101"/>
      <c r="G485" s="11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14"/>
      <c r="Z485" s="114"/>
      <c r="AA485" s="114"/>
      <c r="AB485" s="114"/>
      <c r="AC485" s="114"/>
      <c r="AD485" s="114"/>
      <c r="AE485" s="114"/>
      <c r="AF485" s="114"/>
      <c r="AG485" s="114"/>
      <c r="AH485" s="114"/>
      <c r="AI485" s="114"/>
      <c r="AJ485" s="114"/>
      <c r="AK485" s="114"/>
      <c r="AL485" s="114"/>
      <c r="AM485" s="114"/>
      <c r="AN485" s="114"/>
      <c r="AO485" s="114"/>
      <c r="AP485" s="114"/>
      <c r="AQ485" s="114"/>
      <c r="AR485" s="114"/>
      <c r="AS485" s="114"/>
      <c r="AT485" s="114"/>
      <c r="AU485" s="114"/>
      <c r="AV485" s="114"/>
      <c r="AW485" s="114"/>
      <c r="AX485" s="114"/>
      <c r="AY485" s="114"/>
      <c r="AZ485" s="114"/>
    </row>
    <row r="486" spans="1:52">
      <c r="A486" s="111"/>
      <c r="B486" s="111"/>
      <c r="C486" s="112"/>
      <c r="D486" s="101"/>
      <c r="E486" s="101"/>
      <c r="F486" s="101"/>
      <c r="G486" s="111"/>
      <c r="H486" s="101"/>
      <c r="I486" s="101"/>
      <c r="J486" s="101"/>
      <c r="K486" s="101"/>
      <c r="L486" s="101"/>
      <c r="M486" s="101"/>
      <c r="N486" s="101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14"/>
      <c r="Z486" s="114"/>
      <c r="AA486" s="114"/>
      <c r="AB486" s="114"/>
      <c r="AC486" s="114"/>
      <c r="AD486" s="114"/>
      <c r="AE486" s="114"/>
      <c r="AF486" s="114"/>
      <c r="AG486" s="114"/>
      <c r="AH486" s="114"/>
      <c r="AI486" s="114"/>
      <c r="AJ486" s="114"/>
      <c r="AK486" s="114"/>
      <c r="AL486" s="114"/>
      <c r="AM486" s="114"/>
      <c r="AN486" s="114"/>
      <c r="AO486" s="114"/>
      <c r="AP486" s="114"/>
      <c r="AQ486" s="114"/>
      <c r="AR486" s="114"/>
      <c r="AS486" s="114"/>
      <c r="AT486" s="114"/>
      <c r="AU486" s="114"/>
      <c r="AV486" s="114"/>
      <c r="AW486" s="114"/>
      <c r="AX486" s="114"/>
      <c r="AY486" s="114"/>
      <c r="AZ486" s="114"/>
    </row>
    <row r="487" spans="1:52">
      <c r="A487" s="111"/>
      <c r="B487" s="111"/>
      <c r="C487" s="112"/>
      <c r="D487" s="101"/>
      <c r="E487" s="101"/>
      <c r="F487" s="101"/>
      <c r="G487" s="111"/>
      <c r="H487" s="101"/>
      <c r="I487" s="101"/>
      <c r="J487" s="101"/>
      <c r="K487" s="101"/>
      <c r="L487" s="101"/>
      <c r="M487" s="101"/>
      <c r="N487" s="101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  <c r="Y487" s="114"/>
      <c r="Z487" s="114"/>
      <c r="AA487" s="114"/>
      <c r="AB487" s="114"/>
      <c r="AC487" s="114"/>
      <c r="AD487" s="114"/>
      <c r="AE487" s="114"/>
      <c r="AF487" s="114"/>
      <c r="AG487" s="114"/>
      <c r="AH487" s="114"/>
      <c r="AI487" s="114"/>
      <c r="AJ487" s="114"/>
      <c r="AK487" s="114"/>
      <c r="AL487" s="114"/>
      <c r="AM487" s="114"/>
      <c r="AN487" s="114"/>
      <c r="AO487" s="114"/>
      <c r="AP487" s="114"/>
      <c r="AQ487" s="114"/>
      <c r="AR487" s="114"/>
      <c r="AS487" s="114"/>
      <c r="AT487" s="114"/>
      <c r="AU487" s="114"/>
      <c r="AV487" s="114"/>
      <c r="AW487" s="114"/>
      <c r="AX487" s="114"/>
      <c r="AY487" s="114"/>
      <c r="AZ487" s="114"/>
    </row>
    <row r="488" spans="1:52">
      <c r="A488" s="111"/>
      <c r="B488" s="111"/>
      <c r="C488" s="112"/>
      <c r="D488" s="101"/>
      <c r="E488" s="101"/>
      <c r="F488" s="101"/>
      <c r="G488" s="111"/>
      <c r="H488" s="101"/>
      <c r="I488" s="101"/>
      <c r="J488" s="101"/>
      <c r="K488" s="101"/>
      <c r="L488" s="101"/>
      <c r="M488" s="101"/>
      <c r="N488" s="101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14"/>
      <c r="Z488" s="114"/>
      <c r="AA488" s="114"/>
      <c r="AB488" s="114"/>
      <c r="AC488" s="114"/>
      <c r="AD488" s="114"/>
      <c r="AE488" s="114"/>
      <c r="AF488" s="114"/>
      <c r="AG488" s="114"/>
      <c r="AH488" s="114"/>
      <c r="AI488" s="114"/>
      <c r="AJ488" s="114"/>
      <c r="AK488" s="114"/>
      <c r="AL488" s="114"/>
      <c r="AM488" s="114"/>
      <c r="AN488" s="114"/>
      <c r="AO488" s="114"/>
      <c r="AP488" s="114"/>
      <c r="AQ488" s="114"/>
      <c r="AR488" s="114"/>
      <c r="AS488" s="114"/>
      <c r="AT488" s="114"/>
      <c r="AU488" s="114"/>
      <c r="AV488" s="114"/>
      <c r="AW488" s="114"/>
      <c r="AX488" s="114"/>
      <c r="AY488" s="114"/>
      <c r="AZ488" s="114"/>
    </row>
    <row r="489" spans="1:52">
      <c r="A489" s="111"/>
      <c r="B489" s="111"/>
      <c r="C489" s="112"/>
      <c r="D489" s="101"/>
      <c r="E489" s="101"/>
      <c r="F489" s="101"/>
      <c r="G489" s="111"/>
      <c r="H489" s="101"/>
      <c r="I489" s="101"/>
      <c r="J489" s="101"/>
      <c r="K489" s="101"/>
      <c r="L489" s="101"/>
      <c r="M489" s="101"/>
      <c r="N489" s="101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14"/>
      <c r="Z489" s="114"/>
      <c r="AA489" s="114"/>
      <c r="AB489" s="114"/>
      <c r="AC489" s="114"/>
      <c r="AD489" s="114"/>
      <c r="AE489" s="114"/>
      <c r="AF489" s="114"/>
      <c r="AG489" s="114"/>
      <c r="AH489" s="114"/>
      <c r="AI489" s="114"/>
      <c r="AJ489" s="114"/>
      <c r="AK489" s="114"/>
      <c r="AL489" s="114"/>
      <c r="AM489" s="114"/>
      <c r="AN489" s="114"/>
      <c r="AO489" s="114"/>
      <c r="AP489" s="114"/>
      <c r="AQ489" s="114"/>
      <c r="AR489" s="114"/>
      <c r="AS489" s="114"/>
      <c r="AT489" s="114"/>
      <c r="AU489" s="114"/>
      <c r="AV489" s="114"/>
      <c r="AW489" s="114"/>
      <c r="AX489" s="114"/>
      <c r="AY489" s="114"/>
      <c r="AZ489" s="114"/>
    </row>
    <row r="490" spans="1:52">
      <c r="A490" s="111"/>
      <c r="B490" s="111"/>
      <c r="C490" s="112"/>
      <c r="D490" s="101"/>
      <c r="E490" s="101"/>
      <c r="F490" s="101"/>
      <c r="G490" s="111"/>
      <c r="H490" s="101"/>
      <c r="I490" s="101"/>
      <c r="J490" s="101"/>
      <c r="K490" s="101"/>
      <c r="L490" s="101"/>
      <c r="M490" s="101"/>
      <c r="N490" s="101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14"/>
      <c r="Z490" s="114"/>
      <c r="AA490" s="114"/>
      <c r="AB490" s="114"/>
      <c r="AC490" s="114"/>
      <c r="AD490" s="114"/>
      <c r="AE490" s="114"/>
      <c r="AF490" s="114"/>
      <c r="AG490" s="114"/>
      <c r="AH490" s="114"/>
      <c r="AI490" s="114"/>
      <c r="AJ490" s="114"/>
      <c r="AK490" s="114"/>
      <c r="AL490" s="114"/>
      <c r="AM490" s="114"/>
      <c r="AN490" s="114"/>
      <c r="AO490" s="114"/>
      <c r="AP490" s="114"/>
      <c r="AQ490" s="114"/>
      <c r="AR490" s="114"/>
      <c r="AS490" s="114"/>
      <c r="AT490" s="114"/>
      <c r="AU490" s="114"/>
      <c r="AV490" s="114"/>
      <c r="AW490" s="114"/>
      <c r="AX490" s="114"/>
      <c r="AY490" s="114"/>
      <c r="AZ490" s="114"/>
    </row>
    <row r="491" spans="1:52">
      <c r="A491" s="111"/>
      <c r="B491" s="111"/>
      <c r="C491" s="112"/>
      <c r="D491" s="101"/>
      <c r="E491" s="101"/>
      <c r="F491" s="101"/>
      <c r="G491" s="111"/>
      <c r="H491" s="101"/>
      <c r="I491" s="101"/>
      <c r="J491" s="101"/>
      <c r="K491" s="101"/>
      <c r="L491" s="101"/>
      <c r="M491" s="101"/>
      <c r="N491" s="101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14"/>
      <c r="Z491" s="114"/>
      <c r="AA491" s="114"/>
      <c r="AB491" s="114"/>
      <c r="AC491" s="114"/>
      <c r="AD491" s="114"/>
      <c r="AE491" s="114"/>
      <c r="AF491" s="114"/>
      <c r="AG491" s="114"/>
      <c r="AH491" s="114"/>
      <c r="AI491" s="114"/>
      <c r="AJ491" s="114"/>
      <c r="AK491" s="114"/>
      <c r="AL491" s="114"/>
      <c r="AM491" s="114"/>
      <c r="AN491" s="114"/>
      <c r="AO491" s="114"/>
      <c r="AP491" s="114"/>
      <c r="AQ491" s="114"/>
      <c r="AR491" s="114"/>
      <c r="AS491" s="114"/>
      <c r="AT491" s="114"/>
      <c r="AU491" s="114"/>
      <c r="AV491" s="114"/>
      <c r="AW491" s="114"/>
      <c r="AX491" s="114"/>
      <c r="AY491" s="114"/>
      <c r="AZ491" s="114"/>
    </row>
    <row r="492" spans="1:52">
      <c r="A492" s="111"/>
      <c r="B492" s="111"/>
      <c r="C492" s="112"/>
      <c r="D492" s="101"/>
      <c r="E492" s="101"/>
      <c r="F492" s="101"/>
      <c r="G492" s="111"/>
      <c r="H492" s="101"/>
      <c r="I492" s="101"/>
      <c r="J492" s="101"/>
      <c r="K492" s="101"/>
      <c r="L492" s="101"/>
      <c r="M492" s="101"/>
      <c r="N492" s="101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14"/>
      <c r="Z492" s="114"/>
      <c r="AA492" s="114"/>
      <c r="AB492" s="114"/>
      <c r="AC492" s="114"/>
      <c r="AD492" s="114"/>
      <c r="AE492" s="114"/>
      <c r="AF492" s="114"/>
      <c r="AG492" s="114"/>
      <c r="AH492" s="114"/>
      <c r="AI492" s="114"/>
      <c r="AJ492" s="114"/>
      <c r="AK492" s="114"/>
      <c r="AL492" s="114"/>
      <c r="AM492" s="114"/>
      <c r="AN492" s="114"/>
      <c r="AO492" s="114"/>
      <c r="AP492" s="114"/>
      <c r="AQ492" s="114"/>
      <c r="AR492" s="114"/>
      <c r="AS492" s="114"/>
      <c r="AT492" s="114"/>
      <c r="AU492" s="114"/>
      <c r="AV492" s="114"/>
      <c r="AW492" s="114"/>
      <c r="AX492" s="114"/>
      <c r="AY492" s="114"/>
      <c r="AZ492" s="114"/>
    </row>
    <row r="493" spans="1:52">
      <c r="A493" s="111"/>
      <c r="B493" s="111"/>
      <c r="C493" s="112"/>
      <c r="D493" s="101"/>
      <c r="E493" s="101"/>
      <c r="F493" s="101"/>
      <c r="G493" s="111"/>
      <c r="H493" s="101"/>
      <c r="I493" s="101"/>
      <c r="J493" s="101"/>
      <c r="K493" s="101"/>
      <c r="L493" s="101"/>
      <c r="M493" s="101"/>
      <c r="N493" s="101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14"/>
      <c r="Z493" s="114"/>
      <c r="AA493" s="114"/>
      <c r="AB493" s="114"/>
      <c r="AC493" s="114"/>
      <c r="AD493" s="114"/>
      <c r="AE493" s="114"/>
      <c r="AF493" s="114"/>
      <c r="AG493" s="114"/>
      <c r="AH493" s="114"/>
      <c r="AI493" s="114"/>
      <c r="AJ493" s="114"/>
      <c r="AK493" s="114"/>
      <c r="AL493" s="114"/>
      <c r="AM493" s="114"/>
      <c r="AN493" s="114"/>
      <c r="AO493" s="114"/>
      <c r="AP493" s="114"/>
      <c r="AQ493" s="114"/>
      <c r="AR493" s="114"/>
      <c r="AS493" s="114"/>
      <c r="AT493" s="114"/>
      <c r="AU493" s="114"/>
      <c r="AV493" s="114"/>
      <c r="AW493" s="114"/>
      <c r="AX493" s="114"/>
      <c r="AY493" s="114"/>
      <c r="AZ493" s="114"/>
    </row>
    <row r="494" spans="1:52">
      <c r="A494" s="111"/>
      <c r="B494" s="111"/>
      <c r="C494" s="112"/>
      <c r="D494" s="101"/>
      <c r="E494" s="101"/>
      <c r="F494" s="101"/>
      <c r="G494" s="111"/>
      <c r="H494" s="101"/>
      <c r="I494" s="101"/>
      <c r="J494" s="101"/>
      <c r="K494" s="101"/>
      <c r="L494" s="101"/>
      <c r="M494" s="101"/>
      <c r="N494" s="101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14"/>
      <c r="Z494" s="114"/>
      <c r="AA494" s="114"/>
      <c r="AB494" s="114"/>
      <c r="AC494" s="114"/>
      <c r="AD494" s="114"/>
      <c r="AE494" s="114"/>
      <c r="AF494" s="114"/>
      <c r="AG494" s="114"/>
      <c r="AH494" s="114"/>
      <c r="AI494" s="114"/>
      <c r="AJ494" s="114"/>
      <c r="AK494" s="114"/>
      <c r="AL494" s="114"/>
      <c r="AM494" s="114"/>
      <c r="AN494" s="114"/>
      <c r="AO494" s="114"/>
      <c r="AP494" s="114"/>
      <c r="AQ494" s="114"/>
      <c r="AR494" s="114"/>
      <c r="AS494" s="114"/>
      <c r="AT494" s="114"/>
      <c r="AU494" s="114"/>
      <c r="AV494" s="114"/>
      <c r="AW494" s="114"/>
      <c r="AX494" s="114"/>
      <c r="AY494" s="114"/>
      <c r="AZ494" s="114"/>
    </row>
    <row r="495" spans="1:52">
      <c r="A495" s="111"/>
      <c r="B495" s="111"/>
      <c r="C495" s="112"/>
      <c r="D495" s="101"/>
      <c r="E495" s="101"/>
      <c r="F495" s="101"/>
      <c r="G495" s="111"/>
      <c r="H495" s="101"/>
      <c r="I495" s="101"/>
      <c r="J495" s="101"/>
      <c r="K495" s="101"/>
      <c r="L495" s="101"/>
      <c r="M495" s="101"/>
      <c r="N495" s="101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14"/>
      <c r="Z495" s="114"/>
      <c r="AA495" s="114"/>
      <c r="AB495" s="114"/>
      <c r="AC495" s="114"/>
      <c r="AD495" s="114"/>
      <c r="AE495" s="114"/>
      <c r="AF495" s="114"/>
      <c r="AG495" s="114"/>
      <c r="AH495" s="114"/>
      <c r="AI495" s="114"/>
      <c r="AJ495" s="114"/>
      <c r="AK495" s="114"/>
      <c r="AL495" s="114"/>
      <c r="AM495" s="114"/>
      <c r="AN495" s="114"/>
      <c r="AO495" s="114"/>
      <c r="AP495" s="114"/>
      <c r="AQ495" s="114"/>
      <c r="AR495" s="114"/>
      <c r="AS495" s="114"/>
      <c r="AT495" s="114"/>
      <c r="AU495" s="114"/>
      <c r="AV495" s="114"/>
      <c r="AW495" s="114"/>
      <c r="AX495" s="114"/>
      <c r="AY495" s="114"/>
      <c r="AZ495" s="114"/>
    </row>
    <row r="496" spans="1:52">
      <c r="A496" s="111"/>
      <c r="B496" s="111"/>
      <c r="C496" s="112"/>
      <c r="D496" s="101"/>
      <c r="E496" s="101"/>
      <c r="F496" s="101"/>
      <c r="G496" s="111"/>
      <c r="H496" s="101"/>
      <c r="I496" s="101"/>
      <c r="J496" s="101"/>
      <c r="K496" s="101"/>
      <c r="L496" s="101"/>
      <c r="M496" s="101"/>
      <c r="N496" s="101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14"/>
      <c r="Z496" s="114"/>
      <c r="AA496" s="114"/>
      <c r="AB496" s="114"/>
      <c r="AC496" s="114"/>
      <c r="AD496" s="114"/>
      <c r="AE496" s="114"/>
      <c r="AF496" s="114"/>
      <c r="AG496" s="114"/>
      <c r="AH496" s="114"/>
      <c r="AI496" s="114"/>
      <c r="AJ496" s="114"/>
      <c r="AK496" s="114"/>
      <c r="AL496" s="114"/>
      <c r="AM496" s="114"/>
      <c r="AN496" s="114"/>
      <c r="AO496" s="114"/>
      <c r="AP496" s="114"/>
      <c r="AQ496" s="114"/>
      <c r="AR496" s="114"/>
      <c r="AS496" s="114"/>
      <c r="AT496" s="114"/>
      <c r="AU496" s="114"/>
      <c r="AV496" s="114"/>
      <c r="AW496" s="114"/>
      <c r="AX496" s="114"/>
      <c r="AY496" s="114"/>
      <c r="AZ496" s="114"/>
    </row>
    <row r="497" spans="1:52">
      <c r="A497" s="111"/>
      <c r="B497" s="111"/>
      <c r="C497" s="112"/>
      <c r="D497" s="101"/>
      <c r="E497" s="101"/>
      <c r="F497" s="101"/>
      <c r="G497" s="111"/>
      <c r="H497" s="101"/>
      <c r="I497" s="101"/>
      <c r="J497" s="101"/>
      <c r="K497" s="101"/>
      <c r="L497" s="101"/>
      <c r="M497" s="101"/>
      <c r="N497" s="101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14"/>
      <c r="Z497" s="114"/>
      <c r="AA497" s="114"/>
      <c r="AB497" s="114"/>
      <c r="AC497" s="114"/>
      <c r="AD497" s="114"/>
      <c r="AE497" s="114"/>
      <c r="AF497" s="114"/>
      <c r="AG497" s="114"/>
      <c r="AH497" s="114"/>
      <c r="AI497" s="114"/>
      <c r="AJ497" s="114"/>
      <c r="AK497" s="114"/>
      <c r="AL497" s="114"/>
      <c r="AM497" s="114"/>
      <c r="AN497" s="114"/>
      <c r="AO497" s="114"/>
      <c r="AP497" s="114"/>
      <c r="AQ497" s="114"/>
      <c r="AR497" s="114"/>
      <c r="AS497" s="114"/>
      <c r="AT497" s="114"/>
      <c r="AU497" s="114"/>
      <c r="AV497" s="114"/>
      <c r="AW497" s="114"/>
      <c r="AX497" s="114"/>
      <c r="AY497" s="114"/>
      <c r="AZ497" s="114"/>
    </row>
    <row r="498" spans="1:52">
      <c r="A498" s="111"/>
      <c r="B498" s="111"/>
      <c r="C498" s="112"/>
      <c r="D498" s="101"/>
      <c r="E498" s="101"/>
      <c r="F498" s="101"/>
      <c r="G498" s="111"/>
      <c r="H498" s="101"/>
      <c r="I498" s="101"/>
      <c r="J498" s="101"/>
      <c r="K498" s="101"/>
      <c r="L498" s="101"/>
      <c r="M498" s="101"/>
      <c r="N498" s="101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14"/>
      <c r="Z498" s="114"/>
      <c r="AA498" s="114"/>
      <c r="AB498" s="114"/>
      <c r="AC498" s="114"/>
      <c r="AD498" s="114"/>
      <c r="AE498" s="114"/>
      <c r="AF498" s="114"/>
      <c r="AG498" s="114"/>
      <c r="AH498" s="114"/>
      <c r="AI498" s="114"/>
      <c r="AJ498" s="114"/>
      <c r="AK498" s="114"/>
      <c r="AL498" s="114"/>
      <c r="AM498" s="114"/>
      <c r="AN498" s="114"/>
      <c r="AO498" s="114"/>
      <c r="AP498" s="114"/>
      <c r="AQ498" s="114"/>
      <c r="AR498" s="114"/>
      <c r="AS498" s="114"/>
      <c r="AT498" s="114"/>
      <c r="AU498" s="114"/>
      <c r="AV498" s="114"/>
      <c r="AW498" s="114"/>
      <c r="AX498" s="114"/>
      <c r="AY498" s="114"/>
      <c r="AZ498" s="114"/>
    </row>
    <row r="499" spans="1:52">
      <c r="A499" s="111"/>
      <c r="B499" s="111"/>
      <c r="C499" s="112"/>
      <c r="D499" s="101"/>
      <c r="E499" s="101"/>
      <c r="F499" s="101"/>
      <c r="G499" s="111"/>
      <c r="H499" s="101"/>
      <c r="I499" s="101"/>
      <c r="J499" s="101"/>
      <c r="K499" s="101"/>
      <c r="L499" s="101"/>
      <c r="M499" s="101"/>
      <c r="N499" s="101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14"/>
      <c r="Z499" s="114"/>
      <c r="AA499" s="114"/>
      <c r="AB499" s="114"/>
      <c r="AC499" s="114"/>
      <c r="AD499" s="114"/>
      <c r="AE499" s="114"/>
      <c r="AF499" s="114"/>
      <c r="AG499" s="114"/>
      <c r="AH499" s="114"/>
      <c r="AI499" s="114"/>
      <c r="AJ499" s="114"/>
      <c r="AK499" s="114"/>
      <c r="AL499" s="114"/>
      <c r="AM499" s="114"/>
      <c r="AN499" s="114"/>
      <c r="AO499" s="114"/>
      <c r="AP499" s="114"/>
      <c r="AQ499" s="114"/>
      <c r="AR499" s="114"/>
      <c r="AS499" s="114"/>
      <c r="AT499" s="114"/>
      <c r="AU499" s="114"/>
      <c r="AV499" s="114"/>
      <c r="AW499" s="114"/>
      <c r="AX499" s="114"/>
      <c r="AY499" s="114"/>
      <c r="AZ499" s="114"/>
    </row>
    <row r="500" spans="1:52">
      <c r="A500" s="111"/>
      <c r="B500" s="111"/>
      <c r="C500" s="112"/>
      <c r="D500" s="101"/>
      <c r="E500" s="101"/>
      <c r="F500" s="101"/>
      <c r="G500" s="111"/>
      <c r="H500" s="101"/>
      <c r="I500" s="101"/>
      <c r="J500" s="101"/>
      <c r="K500" s="101"/>
      <c r="L500" s="101"/>
      <c r="M500" s="101"/>
      <c r="N500" s="101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14"/>
      <c r="Z500" s="114"/>
      <c r="AA500" s="114"/>
      <c r="AB500" s="114"/>
      <c r="AC500" s="114"/>
      <c r="AD500" s="114"/>
      <c r="AE500" s="114"/>
      <c r="AF500" s="114"/>
      <c r="AG500" s="114"/>
      <c r="AH500" s="114"/>
      <c r="AI500" s="114"/>
      <c r="AJ500" s="114"/>
      <c r="AK500" s="114"/>
      <c r="AL500" s="114"/>
      <c r="AM500" s="114"/>
      <c r="AN500" s="114"/>
      <c r="AO500" s="114"/>
      <c r="AP500" s="114"/>
      <c r="AQ500" s="114"/>
      <c r="AR500" s="114"/>
      <c r="AS500" s="114"/>
      <c r="AT500" s="114"/>
      <c r="AU500" s="114"/>
      <c r="AV500" s="114"/>
      <c r="AW500" s="114"/>
      <c r="AX500" s="114"/>
      <c r="AY500" s="114"/>
      <c r="AZ500" s="114"/>
    </row>
    <row r="501" spans="1:52">
      <c r="A501" s="111"/>
      <c r="B501" s="111"/>
      <c r="C501" s="112"/>
      <c r="D501" s="101"/>
      <c r="E501" s="101"/>
      <c r="F501" s="101"/>
      <c r="G501" s="111"/>
      <c r="H501" s="101"/>
      <c r="I501" s="101"/>
      <c r="J501" s="101"/>
      <c r="K501" s="101"/>
      <c r="L501" s="101"/>
      <c r="M501" s="101"/>
      <c r="N501" s="101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14"/>
      <c r="Z501" s="114"/>
      <c r="AA501" s="114"/>
      <c r="AB501" s="114"/>
      <c r="AC501" s="114"/>
      <c r="AD501" s="114"/>
      <c r="AE501" s="114"/>
      <c r="AF501" s="114"/>
      <c r="AG501" s="114"/>
      <c r="AH501" s="114"/>
      <c r="AI501" s="114"/>
      <c r="AJ501" s="114"/>
      <c r="AK501" s="114"/>
      <c r="AL501" s="114"/>
      <c r="AM501" s="114"/>
      <c r="AN501" s="114"/>
      <c r="AO501" s="114"/>
      <c r="AP501" s="114"/>
      <c r="AQ501" s="114"/>
      <c r="AR501" s="114"/>
      <c r="AS501" s="114"/>
      <c r="AT501" s="114"/>
      <c r="AU501" s="114"/>
      <c r="AV501" s="114"/>
      <c r="AW501" s="114"/>
      <c r="AX501" s="114"/>
      <c r="AY501" s="114"/>
      <c r="AZ501" s="114"/>
    </row>
    <row r="502" spans="1:52">
      <c r="A502" s="111"/>
      <c r="B502" s="111"/>
      <c r="C502" s="112"/>
      <c r="D502" s="101"/>
      <c r="E502" s="101"/>
      <c r="F502" s="101"/>
      <c r="G502" s="111"/>
      <c r="H502" s="101"/>
      <c r="I502" s="101"/>
      <c r="J502" s="101"/>
      <c r="K502" s="101"/>
      <c r="L502" s="101"/>
      <c r="M502" s="101"/>
      <c r="N502" s="101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14"/>
      <c r="Z502" s="114"/>
      <c r="AA502" s="114"/>
      <c r="AB502" s="114"/>
      <c r="AC502" s="114"/>
      <c r="AD502" s="114"/>
      <c r="AE502" s="114"/>
      <c r="AF502" s="114"/>
      <c r="AG502" s="114"/>
      <c r="AH502" s="114"/>
      <c r="AI502" s="114"/>
      <c r="AJ502" s="114"/>
      <c r="AK502" s="114"/>
      <c r="AL502" s="114"/>
      <c r="AM502" s="114"/>
      <c r="AN502" s="114"/>
      <c r="AO502" s="114"/>
      <c r="AP502" s="114"/>
      <c r="AQ502" s="114"/>
      <c r="AR502" s="114"/>
      <c r="AS502" s="114"/>
      <c r="AT502" s="114"/>
      <c r="AU502" s="114"/>
      <c r="AV502" s="114"/>
      <c r="AW502" s="114"/>
      <c r="AX502" s="114"/>
      <c r="AY502" s="114"/>
      <c r="AZ502" s="114"/>
    </row>
    <row r="503" spans="1:52">
      <c r="A503" s="111"/>
      <c r="B503" s="111"/>
      <c r="C503" s="112"/>
      <c r="D503" s="101"/>
      <c r="E503" s="101"/>
      <c r="F503" s="101"/>
      <c r="G503" s="111"/>
      <c r="H503" s="101"/>
      <c r="I503" s="101"/>
      <c r="J503" s="101"/>
      <c r="K503" s="101"/>
      <c r="L503" s="101"/>
      <c r="M503" s="101"/>
      <c r="N503" s="101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14"/>
      <c r="Z503" s="114"/>
      <c r="AA503" s="114"/>
      <c r="AB503" s="114"/>
      <c r="AC503" s="114"/>
      <c r="AD503" s="114"/>
      <c r="AE503" s="114"/>
      <c r="AF503" s="114"/>
      <c r="AG503" s="114"/>
      <c r="AH503" s="114"/>
      <c r="AI503" s="114"/>
      <c r="AJ503" s="114"/>
      <c r="AK503" s="114"/>
      <c r="AL503" s="114"/>
      <c r="AM503" s="114"/>
      <c r="AN503" s="114"/>
      <c r="AO503" s="114"/>
      <c r="AP503" s="114"/>
      <c r="AQ503" s="114"/>
      <c r="AR503" s="114"/>
      <c r="AS503" s="114"/>
      <c r="AT503" s="114"/>
      <c r="AU503" s="114"/>
      <c r="AV503" s="114"/>
      <c r="AW503" s="114"/>
      <c r="AX503" s="114"/>
      <c r="AY503" s="114"/>
      <c r="AZ503" s="114"/>
    </row>
    <row r="504" spans="1:52">
      <c r="A504" s="111"/>
      <c r="B504" s="111"/>
      <c r="C504" s="112"/>
      <c r="D504" s="101"/>
      <c r="E504" s="101"/>
      <c r="F504" s="101"/>
      <c r="G504" s="111"/>
      <c r="H504" s="101"/>
      <c r="I504" s="101"/>
      <c r="J504" s="101"/>
      <c r="K504" s="101"/>
      <c r="L504" s="101"/>
      <c r="M504" s="101"/>
      <c r="N504" s="101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14"/>
      <c r="Z504" s="114"/>
      <c r="AA504" s="114"/>
      <c r="AB504" s="114"/>
      <c r="AC504" s="114"/>
      <c r="AD504" s="114"/>
      <c r="AE504" s="114"/>
      <c r="AF504" s="114"/>
      <c r="AG504" s="114"/>
      <c r="AH504" s="114"/>
      <c r="AI504" s="114"/>
      <c r="AJ504" s="114"/>
      <c r="AK504" s="114"/>
      <c r="AL504" s="114"/>
      <c r="AM504" s="114"/>
      <c r="AN504" s="114"/>
      <c r="AO504" s="114"/>
      <c r="AP504" s="114"/>
      <c r="AQ504" s="114"/>
      <c r="AR504" s="114"/>
      <c r="AS504" s="114"/>
      <c r="AT504" s="114"/>
      <c r="AU504" s="114"/>
      <c r="AV504" s="114"/>
      <c r="AW504" s="114"/>
      <c r="AX504" s="114"/>
      <c r="AY504" s="114"/>
      <c r="AZ504" s="114"/>
    </row>
    <row r="505" spans="1:52">
      <c r="A505" s="111"/>
      <c r="B505" s="111"/>
      <c r="C505" s="112"/>
      <c r="D505" s="101"/>
      <c r="E505" s="101"/>
      <c r="F505" s="101"/>
      <c r="G505" s="111"/>
      <c r="H505" s="101"/>
      <c r="I505" s="101"/>
      <c r="J505" s="101"/>
      <c r="K505" s="101"/>
      <c r="L505" s="101"/>
      <c r="M505" s="101"/>
      <c r="N505" s="101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14"/>
      <c r="Z505" s="114"/>
      <c r="AA505" s="114"/>
      <c r="AB505" s="114"/>
      <c r="AC505" s="114"/>
      <c r="AD505" s="114"/>
      <c r="AE505" s="114"/>
      <c r="AF505" s="114"/>
      <c r="AG505" s="114"/>
      <c r="AH505" s="114"/>
      <c r="AI505" s="114"/>
      <c r="AJ505" s="114"/>
      <c r="AK505" s="114"/>
      <c r="AL505" s="114"/>
      <c r="AM505" s="114"/>
      <c r="AN505" s="114"/>
      <c r="AO505" s="114"/>
      <c r="AP505" s="114"/>
      <c r="AQ505" s="114"/>
      <c r="AR505" s="114"/>
      <c r="AS505" s="114"/>
      <c r="AT505" s="114"/>
      <c r="AU505" s="114"/>
      <c r="AV505" s="114"/>
      <c r="AW505" s="114"/>
      <c r="AX505" s="114"/>
      <c r="AY505" s="114"/>
      <c r="AZ505" s="114"/>
    </row>
    <row r="506" spans="1:52">
      <c r="A506" s="111"/>
      <c r="B506" s="111"/>
      <c r="C506" s="112"/>
      <c r="D506" s="101"/>
      <c r="E506" s="101"/>
      <c r="F506" s="101"/>
      <c r="G506" s="111"/>
      <c r="H506" s="101"/>
      <c r="I506" s="101"/>
      <c r="J506" s="101"/>
      <c r="K506" s="101"/>
      <c r="L506" s="101"/>
      <c r="M506" s="101"/>
      <c r="N506" s="101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  <c r="Y506" s="114"/>
      <c r="Z506" s="114"/>
      <c r="AA506" s="114"/>
      <c r="AB506" s="114"/>
      <c r="AC506" s="114"/>
      <c r="AD506" s="114"/>
      <c r="AE506" s="114"/>
      <c r="AF506" s="114"/>
      <c r="AG506" s="114"/>
      <c r="AH506" s="114"/>
      <c r="AI506" s="114"/>
      <c r="AJ506" s="114"/>
      <c r="AK506" s="114"/>
      <c r="AL506" s="114"/>
      <c r="AM506" s="114"/>
      <c r="AN506" s="114"/>
      <c r="AO506" s="114"/>
      <c r="AP506" s="114"/>
      <c r="AQ506" s="114"/>
      <c r="AR506" s="114"/>
      <c r="AS506" s="114"/>
      <c r="AT506" s="114"/>
      <c r="AU506" s="114"/>
      <c r="AV506" s="114"/>
      <c r="AW506" s="114"/>
      <c r="AX506" s="114"/>
      <c r="AY506" s="114"/>
      <c r="AZ506" s="114"/>
    </row>
    <row r="507" spans="1:52">
      <c r="A507" s="111"/>
      <c r="B507" s="111"/>
      <c r="C507" s="112"/>
      <c r="D507" s="101"/>
      <c r="E507" s="101"/>
      <c r="F507" s="101"/>
      <c r="G507" s="111"/>
      <c r="H507" s="101"/>
      <c r="I507" s="101"/>
      <c r="J507" s="101"/>
      <c r="K507" s="101"/>
      <c r="L507" s="101"/>
      <c r="M507" s="101"/>
      <c r="N507" s="101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14"/>
      <c r="Z507" s="114"/>
      <c r="AA507" s="114"/>
      <c r="AB507" s="114"/>
      <c r="AC507" s="114"/>
      <c r="AD507" s="114"/>
      <c r="AE507" s="114"/>
      <c r="AF507" s="114"/>
      <c r="AG507" s="114"/>
      <c r="AH507" s="114"/>
      <c r="AI507" s="114"/>
      <c r="AJ507" s="114"/>
      <c r="AK507" s="114"/>
      <c r="AL507" s="114"/>
      <c r="AM507" s="114"/>
      <c r="AN507" s="114"/>
      <c r="AO507" s="114"/>
      <c r="AP507" s="114"/>
      <c r="AQ507" s="114"/>
      <c r="AR507" s="114"/>
      <c r="AS507" s="114"/>
      <c r="AT507" s="114"/>
      <c r="AU507" s="114"/>
      <c r="AV507" s="114"/>
      <c r="AW507" s="114"/>
      <c r="AX507" s="114"/>
      <c r="AY507" s="114"/>
      <c r="AZ507" s="114"/>
    </row>
    <row r="508" spans="1:52">
      <c r="A508" s="111"/>
      <c r="B508" s="111"/>
      <c r="C508" s="112"/>
      <c r="D508" s="101"/>
      <c r="E508" s="101"/>
      <c r="F508" s="101"/>
      <c r="G508" s="111"/>
      <c r="H508" s="101"/>
      <c r="I508" s="101"/>
      <c r="J508" s="101"/>
      <c r="K508" s="101"/>
      <c r="L508" s="101"/>
      <c r="M508" s="101"/>
      <c r="N508" s="101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14"/>
      <c r="Z508" s="114"/>
      <c r="AA508" s="114"/>
      <c r="AB508" s="114"/>
      <c r="AC508" s="114"/>
      <c r="AD508" s="114"/>
      <c r="AE508" s="114"/>
      <c r="AF508" s="114"/>
      <c r="AG508" s="114"/>
      <c r="AH508" s="114"/>
      <c r="AI508" s="114"/>
      <c r="AJ508" s="114"/>
      <c r="AK508" s="114"/>
      <c r="AL508" s="114"/>
      <c r="AM508" s="114"/>
      <c r="AN508" s="114"/>
      <c r="AO508" s="114"/>
      <c r="AP508" s="114"/>
      <c r="AQ508" s="114"/>
      <c r="AR508" s="114"/>
      <c r="AS508" s="114"/>
      <c r="AT508" s="114"/>
      <c r="AU508" s="114"/>
      <c r="AV508" s="114"/>
      <c r="AW508" s="114"/>
      <c r="AX508" s="114"/>
      <c r="AY508" s="114"/>
      <c r="AZ508" s="114"/>
    </row>
    <row r="509" spans="1:52">
      <c r="A509" s="111"/>
      <c r="B509" s="111"/>
      <c r="C509" s="112"/>
      <c r="D509" s="101"/>
      <c r="E509" s="101"/>
      <c r="F509" s="101"/>
      <c r="G509" s="111"/>
      <c r="H509" s="101"/>
      <c r="I509" s="101"/>
      <c r="J509" s="101"/>
      <c r="K509" s="101"/>
      <c r="L509" s="101"/>
      <c r="M509" s="101"/>
      <c r="N509" s="101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14"/>
      <c r="Z509" s="114"/>
      <c r="AA509" s="114"/>
      <c r="AB509" s="114"/>
      <c r="AC509" s="114"/>
      <c r="AD509" s="114"/>
      <c r="AE509" s="114"/>
      <c r="AF509" s="114"/>
      <c r="AG509" s="114"/>
      <c r="AH509" s="114"/>
      <c r="AI509" s="114"/>
      <c r="AJ509" s="114"/>
      <c r="AK509" s="114"/>
      <c r="AL509" s="114"/>
      <c r="AM509" s="114"/>
      <c r="AN509" s="114"/>
      <c r="AO509" s="114"/>
      <c r="AP509" s="114"/>
      <c r="AQ509" s="114"/>
      <c r="AR509" s="114"/>
      <c r="AS509" s="114"/>
      <c r="AT509" s="114"/>
      <c r="AU509" s="114"/>
      <c r="AV509" s="114"/>
      <c r="AW509" s="114"/>
      <c r="AX509" s="114"/>
      <c r="AY509" s="114"/>
      <c r="AZ509" s="114"/>
    </row>
    <row r="510" spans="1:52">
      <c r="A510" s="111"/>
      <c r="B510" s="111"/>
      <c r="C510" s="112"/>
      <c r="D510" s="101"/>
      <c r="E510" s="101"/>
      <c r="F510" s="101"/>
      <c r="G510" s="111"/>
      <c r="H510" s="101"/>
      <c r="I510" s="101"/>
      <c r="J510" s="101"/>
      <c r="K510" s="101"/>
      <c r="L510" s="101"/>
      <c r="M510" s="101"/>
      <c r="N510" s="101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  <c r="Y510" s="114"/>
      <c r="Z510" s="114"/>
      <c r="AA510" s="114"/>
      <c r="AB510" s="114"/>
      <c r="AC510" s="114"/>
      <c r="AD510" s="114"/>
      <c r="AE510" s="114"/>
      <c r="AF510" s="114"/>
      <c r="AG510" s="114"/>
      <c r="AH510" s="114"/>
      <c r="AI510" s="114"/>
      <c r="AJ510" s="114"/>
      <c r="AK510" s="114"/>
      <c r="AL510" s="114"/>
      <c r="AM510" s="114"/>
      <c r="AN510" s="114"/>
      <c r="AO510" s="114"/>
      <c r="AP510" s="114"/>
      <c r="AQ510" s="114"/>
      <c r="AR510" s="114"/>
      <c r="AS510" s="114"/>
      <c r="AT510" s="114"/>
      <c r="AU510" s="114"/>
      <c r="AV510" s="114"/>
      <c r="AW510" s="114"/>
      <c r="AX510" s="114"/>
      <c r="AY510" s="114"/>
      <c r="AZ510" s="114"/>
    </row>
    <row r="511" spans="1:52">
      <c r="A511" s="111"/>
      <c r="B511" s="111"/>
      <c r="C511" s="112"/>
      <c r="D511" s="101"/>
      <c r="E511" s="101"/>
      <c r="F511" s="101"/>
      <c r="G511" s="111"/>
      <c r="H511" s="101"/>
      <c r="I511" s="101"/>
      <c r="J511" s="101"/>
      <c r="K511" s="101"/>
      <c r="L511" s="101"/>
      <c r="M511" s="101"/>
      <c r="N511" s="101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  <c r="Y511" s="114"/>
      <c r="Z511" s="114"/>
      <c r="AA511" s="114"/>
      <c r="AB511" s="114"/>
      <c r="AC511" s="114"/>
      <c r="AD511" s="114"/>
      <c r="AE511" s="114"/>
      <c r="AF511" s="114"/>
      <c r="AG511" s="114"/>
      <c r="AH511" s="114"/>
      <c r="AI511" s="114"/>
      <c r="AJ511" s="114"/>
      <c r="AK511" s="114"/>
      <c r="AL511" s="114"/>
      <c r="AM511" s="114"/>
      <c r="AN511" s="114"/>
      <c r="AO511" s="114"/>
      <c r="AP511" s="114"/>
      <c r="AQ511" s="114"/>
      <c r="AR511" s="114"/>
      <c r="AS511" s="114"/>
      <c r="AT511" s="114"/>
      <c r="AU511" s="114"/>
      <c r="AV511" s="114"/>
      <c r="AW511" s="114"/>
      <c r="AX511" s="114"/>
      <c r="AY511" s="114"/>
      <c r="AZ511" s="114"/>
    </row>
    <row r="512" spans="1:52">
      <c r="A512" s="111"/>
      <c r="B512" s="111"/>
      <c r="C512" s="112"/>
      <c r="D512" s="101"/>
      <c r="E512" s="101"/>
      <c r="F512" s="101"/>
      <c r="G512" s="111"/>
      <c r="H512" s="101"/>
      <c r="I512" s="101"/>
      <c r="J512" s="101"/>
      <c r="K512" s="101"/>
      <c r="L512" s="101"/>
      <c r="M512" s="101"/>
      <c r="N512" s="101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14"/>
      <c r="Z512" s="114"/>
      <c r="AA512" s="114"/>
      <c r="AB512" s="114"/>
      <c r="AC512" s="114"/>
      <c r="AD512" s="114"/>
      <c r="AE512" s="114"/>
      <c r="AF512" s="114"/>
      <c r="AG512" s="114"/>
      <c r="AH512" s="114"/>
      <c r="AI512" s="114"/>
      <c r="AJ512" s="114"/>
      <c r="AK512" s="114"/>
      <c r="AL512" s="114"/>
      <c r="AM512" s="114"/>
      <c r="AN512" s="114"/>
      <c r="AO512" s="114"/>
      <c r="AP512" s="114"/>
      <c r="AQ512" s="114"/>
      <c r="AR512" s="114"/>
      <c r="AS512" s="114"/>
      <c r="AT512" s="114"/>
      <c r="AU512" s="114"/>
      <c r="AV512" s="114"/>
      <c r="AW512" s="114"/>
      <c r="AX512" s="114"/>
      <c r="AY512" s="114"/>
      <c r="AZ512" s="114"/>
    </row>
    <row r="513" spans="1:52">
      <c r="A513" s="111"/>
      <c r="B513" s="111"/>
      <c r="C513" s="112"/>
      <c r="D513" s="101"/>
      <c r="E513" s="101"/>
      <c r="F513" s="101"/>
      <c r="G513" s="111"/>
      <c r="H513" s="101"/>
      <c r="I513" s="101"/>
      <c r="J513" s="101"/>
      <c r="K513" s="101"/>
      <c r="L513" s="101"/>
      <c r="M513" s="101"/>
      <c r="N513" s="101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14"/>
      <c r="Z513" s="114"/>
      <c r="AA513" s="114"/>
      <c r="AB513" s="114"/>
      <c r="AC513" s="114"/>
      <c r="AD513" s="114"/>
      <c r="AE513" s="114"/>
      <c r="AF513" s="114"/>
      <c r="AG513" s="114"/>
      <c r="AH513" s="114"/>
      <c r="AI513" s="114"/>
      <c r="AJ513" s="114"/>
      <c r="AK513" s="114"/>
      <c r="AL513" s="114"/>
      <c r="AM513" s="114"/>
      <c r="AN513" s="114"/>
      <c r="AO513" s="114"/>
      <c r="AP513" s="114"/>
      <c r="AQ513" s="114"/>
      <c r="AR513" s="114"/>
      <c r="AS513" s="114"/>
      <c r="AT513" s="114"/>
      <c r="AU513" s="114"/>
      <c r="AV513" s="114"/>
      <c r="AW513" s="114"/>
      <c r="AX513" s="114"/>
      <c r="AY513" s="114"/>
      <c r="AZ513" s="114"/>
    </row>
    <row r="514" spans="1:52">
      <c r="A514" s="111"/>
      <c r="B514" s="111"/>
      <c r="C514" s="112"/>
      <c r="D514" s="101"/>
      <c r="E514" s="101"/>
      <c r="F514" s="101"/>
      <c r="G514" s="111"/>
      <c r="H514" s="101"/>
      <c r="I514" s="101"/>
      <c r="J514" s="101"/>
      <c r="K514" s="101"/>
      <c r="L514" s="101"/>
      <c r="M514" s="101"/>
      <c r="N514" s="101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14"/>
      <c r="Z514" s="114"/>
      <c r="AA514" s="114"/>
      <c r="AB514" s="114"/>
      <c r="AC514" s="114"/>
      <c r="AD514" s="114"/>
      <c r="AE514" s="114"/>
      <c r="AF514" s="114"/>
      <c r="AG514" s="114"/>
      <c r="AH514" s="114"/>
      <c r="AI514" s="114"/>
      <c r="AJ514" s="114"/>
      <c r="AK514" s="114"/>
      <c r="AL514" s="114"/>
      <c r="AM514" s="114"/>
      <c r="AN514" s="114"/>
      <c r="AO514" s="114"/>
      <c r="AP514" s="114"/>
      <c r="AQ514" s="114"/>
      <c r="AR514" s="114"/>
      <c r="AS514" s="114"/>
      <c r="AT514" s="114"/>
      <c r="AU514" s="114"/>
      <c r="AV514" s="114"/>
      <c r="AW514" s="114"/>
      <c r="AX514" s="114"/>
      <c r="AY514" s="114"/>
      <c r="AZ514" s="114"/>
    </row>
    <row r="515" spans="1:52">
      <c r="A515" s="111"/>
      <c r="B515" s="111"/>
      <c r="C515" s="112"/>
      <c r="D515" s="101"/>
      <c r="E515" s="101"/>
      <c r="F515" s="101"/>
      <c r="G515" s="111"/>
      <c r="H515" s="101"/>
      <c r="I515" s="101"/>
      <c r="J515" s="101"/>
      <c r="K515" s="101"/>
      <c r="L515" s="101"/>
      <c r="M515" s="101"/>
      <c r="N515" s="101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14"/>
      <c r="Z515" s="114"/>
      <c r="AA515" s="114"/>
      <c r="AB515" s="114"/>
      <c r="AC515" s="114"/>
      <c r="AD515" s="114"/>
      <c r="AE515" s="114"/>
      <c r="AF515" s="114"/>
      <c r="AG515" s="114"/>
      <c r="AH515" s="114"/>
      <c r="AI515" s="114"/>
      <c r="AJ515" s="114"/>
      <c r="AK515" s="114"/>
      <c r="AL515" s="114"/>
      <c r="AM515" s="114"/>
      <c r="AN515" s="114"/>
      <c r="AO515" s="114"/>
      <c r="AP515" s="114"/>
      <c r="AQ515" s="114"/>
      <c r="AR515" s="114"/>
      <c r="AS515" s="114"/>
      <c r="AT515" s="114"/>
      <c r="AU515" s="114"/>
      <c r="AV515" s="114"/>
      <c r="AW515" s="114"/>
      <c r="AX515" s="114"/>
      <c r="AY515" s="114"/>
      <c r="AZ515" s="114"/>
    </row>
    <row r="516" spans="1:52">
      <c r="A516" s="111"/>
      <c r="B516" s="111"/>
      <c r="C516" s="112"/>
      <c r="D516" s="101"/>
      <c r="E516" s="101"/>
      <c r="F516" s="101"/>
      <c r="G516" s="111"/>
      <c r="H516" s="101"/>
      <c r="I516" s="101"/>
      <c r="J516" s="101"/>
      <c r="K516" s="101"/>
      <c r="L516" s="101"/>
      <c r="M516" s="101"/>
      <c r="N516" s="101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14"/>
      <c r="Z516" s="114"/>
      <c r="AA516" s="114"/>
      <c r="AB516" s="114"/>
      <c r="AC516" s="114"/>
      <c r="AD516" s="114"/>
      <c r="AE516" s="114"/>
      <c r="AF516" s="114"/>
      <c r="AG516" s="114"/>
      <c r="AH516" s="114"/>
      <c r="AI516" s="114"/>
      <c r="AJ516" s="114"/>
      <c r="AK516" s="114"/>
      <c r="AL516" s="114"/>
      <c r="AM516" s="114"/>
      <c r="AN516" s="114"/>
      <c r="AO516" s="114"/>
      <c r="AP516" s="114"/>
      <c r="AQ516" s="114"/>
      <c r="AR516" s="114"/>
      <c r="AS516" s="114"/>
      <c r="AT516" s="114"/>
      <c r="AU516" s="114"/>
      <c r="AV516" s="114"/>
      <c r="AW516" s="114"/>
      <c r="AX516" s="114"/>
      <c r="AY516" s="114"/>
      <c r="AZ516" s="114"/>
    </row>
    <row r="517" spans="1:52">
      <c r="A517" s="111"/>
      <c r="B517" s="111"/>
      <c r="C517" s="112"/>
      <c r="D517" s="101"/>
      <c r="E517" s="101"/>
      <c r="F517" s="101"/>
      <c r="G517" s="111"/>
      <c r="H517" s="101"/>
      <c r="I517" s="101"/>
      <c r="J517" s="101"/>
      <c r="K517" s="101"/>
      <c r="L517" s="101"/>
      <c r="M517" s="101"/>
      <c r="N517" s="101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14"/>
      <c r="Z517" s="114"/>
      <c r="AA517" s="114"/>
      <c r="AB517" s="114"/>
      <c r="AC517" s="114"/>
      <c r="AD517" s="114"/>
      <c r="AE517" s="114"/>
      <c r="AF517" s="114"/>
      <c r="AG517" s="114"/>
      <c r="AH517" s="114"/>
      <c r="AI517" s="114"/>
      <c r="AJ517" s="114"/>
      <c r="AK517" s="114"/>
      <c r="AL517" s="114"/>
      <c r="AM517" s="114"/>
      <c r="AN517" s="114"/>
      <c r="AO517" s="114"/>
      <c r="AP517" s="114"/>
      <c r="AQ517" s="114"/>
      <c r="AR517" s="114"/>
      <c r="AS517" s="114"/>
      <c r="AT517" s="114"/>
      <c r="AU517" s="114"/>
      <c r="AV517" s="114"/>
      <c r="AW517" s="114"/>
      <c r="AX517" s="114"/>
      <c r="AY517" s="114"/>
      <c r="AZ517" s="114"/>
    </row>
    <row r="518" spans="1:52">
      <c r="A518" s="111"/>
      <c r="B518" s="111"/>
      <c r="C518" s="112"/>
      <c r="D518" s="101"/>
      <c r="E518" s="101"/>
      <c r="F518" s="101"/>
      <c r="G518" s="111"/>
      <c r="H518" s="101"/>
      <c r="I518" s="101"/>
      <c r="J518" s="101"/>
      <c r="K518" s="101"/>
      <c r="L518" s="101"/>
      <c r="M518" s="101"/>
      <c r="N518" s="101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14"/>
      <c r="Z518" s="114"/>
      <c r="AA518" s="114"/>
      <c r="AB518" s="114"/>
      <c r="AC518" s="114"/>
      <c r="AD518" s="114"/>
      <c r="AE518" s="114"/>
      <c r="AF518" s="114"/>
      <c r="AG518" s="114"/>
      <c r="AH518" s="114"/>
      <c r="AI518" s="114"/>
      <c r="AJ518" s="114"/>
      <c r="AK518" s="114"/>
      <c r="AL518" s="114"/>
      <c r="AM518" s="114"/>
      <c r="AN518" s="114"/>
      <c r="AO518" s="114"/>
      <c r="AP518" s="114"/>
      <c r="AQ518" s="114"/>
      <c r="AR518" s="114"/>
      <c r="AS518" s="114"/>
      <c r="AT518" s="114"/>
      <c r="AU518" s="114"/>
      <c r="AV518" s="114"/>
      <c r="AW518" s="114"/>
      <c r="AX518" s="114"/>
      <c r="AY518" s="114"/>
      <c r="AZ518" s="114"/>
    </row>
    <row r="519" spans="1:52">
      <c r="A519" s="111"/>
      <c r="B519" s="111"/>
      <c r="C519" s="112"/>
      <c r="D519" s="101"/>
      <c r="E519" s="101"/>
      <c r="F519" s="101"/>
      <c r="G519" s="111"/>
      <c r="H519" s="101"/>
      <c r="I519" s="101"/>
      <c r="J519" s="101"/>
      <c r="K519" s="101"/>
      <c r="L519" s="101"/>
      <c r="M519" s="101"/>
      <c r="N519" s="101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14"/>
      <c r="Z519" s="114"/>
      <c r="AA519" s="114"/>
      <c r="AB519" s="114"/>
      <c r="AC519" s="114"/>
      <c r="AD519" s="114"/>
      <c r="AE519" s="114"/>
      <c r="AF519" s="114"/>
      <c r="AG519" s="114"/>
      <c r="AH519" s="114"/>
      <c r="AI519" s="114"/>
      <c r="AJ519" s="114"/>
      <c r="AK519" s="114"/>
      <c r="AL519" s="114"/>
      <c r="AM519" s="114"/>
      <c r="AN519" s="114"/>
      <c r="AO519" s="114"/>
      <c r="AP519" s="114"/>
      <c r="AQ519" s="114"/>
      <c r="AR519" s="114"/>
      <c r="AS519" s="114"/>
      <c r="AT519" s="114"/>
      <c r="AU519" s="114"/>
      <c r="AV519" s="114"/>
      <c r="AW519" s="114"/>
      <c r="AX519" s="114"/>
      <c r="AY519" s="114"/>
      <c r="AZ519" s="114"/>
    </row>
    <row r="520" spans="1:52">
      <c r="A520" s="111"/>
      <c r="B520" s="111"/>
      <c r="C520" s="112"/>
      <c r="D520" s="101"/>
      <c r="E520" s="101"/>
      <c r="F520" s="101"/>
      <c r="G520" s="11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14"/>
      <c r="Z520" s="114"/>
      <c r="AA520" s="114"/>
      <c r="AB520" s="114"/>
      <c r="AC520" s="114"/>
      <c r="AD520" s="114"/>
      <c r="AE520" s="114"/>
      <c r="AF520" s="114"/>
      <c r="AG520" s="114"/>
      <c r="AH520" s="114"/>
      <c r="AI520" s="114"/>
      <c r="AJ520" s="114"/>
      <c r="AK520" s="114"/>
      <c r="AL520" s="114"/>
      <c r="AM520" s="114"/>
      <c r="AN520" s="114"/>
      <c r="AO520" s="114"/>
      <c r="AP520" s="114"/>
      <c r="AQ520" s="114"/>
      <c r="AR520" s="114"/>
      <c r="AS520" s="114"/>
      <c r="AT520" s="114"/>
      <c r="AU520" s="114"/>
      <c r="AV520" s="114"/>
      <c r="AW520" s="114"/>
      <c r="AX520" s="114"/>
      <c r="AY520" s="114"/>
      <c r="AZ520" s="114"/>
    </row>
    <row r="521" spans="1:52">
      <c r="A521" s="111"/>
      <c r="B521" s="111"/>
      <c r="C521" s="112"/>
      <c r="D521" s="101"/>
      <c r="E521" s="101"/>
      <c r="F521" s="101"/>
      <c r="G521" s="111"/>
      <c r="H521" s="101"/>
      <c r="I521" s="101"/>
      <c r="J521" s="101"/>
      <c r="K521" s="101"/>
      <c r="L521" s="101"/>
      <c r="M521" s="101"/>
      <c r="N521" s="101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14"/>
      <c r="Z521" s="114"/>
      <c r="AA521" s="114"/>
      <c r="AB521" s="114"/>
      <c r="AC521" s="114"/>
      <c r="AD521" s="114"/>
      <c r="AE521" s="114"/>
      <c r="AF521" s="114"/>
      <c r="AG521" s="114"/>
      <c r="AH521" s="114"/>
      <c r="AI521" s="114"/>
      <c r="AJ521" s="114"/>
      <c r="AK521" s="114"/>
      <c r="AL521" s="114"/>
      <c r="AM521" s="114"/>
      <c r="AN521" s="114"/>
      <c r="AO521" s="114"/>
      <c r="AP521" s="114"/>
      <c r="AQ521" s="114"/>
      <c r="AR521" s="114"/>
      <c r="AS521" s="114"/>
      <c r="AT521" s="114"/>
      <c r="AU521" s="114"/>
      <c r="AV521" s="114"/>
      <c r="AW521" s="114"/>
      <c r="AX521" s="114"/>
      <c r="AY521" s="114"/>
      <c r="AZ521" s="114"/>
    </row>
    <row r="522" spans="1:52">
      <c r="A522" s="111"/>
      <c r="B522" s="111"/>
      <c r="C522" s="112"/>
      <c r="D522" s="101"/>
      <c r="E522" s="101"/>
      <c r="F522" s="101"/>
      <c r="G522" s="111"/>
      <c r="H522" s="101"/>
      <c r="I522" s="101"/>
      <c r="J522" s="101"/>
      <c r="K522" s="101"/>
      <c r="L522" s="101"/>
      <c r="M522" s="101"/>
      <c r="N522" s="101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14"/>
      <c r="Z522" s="114"/>
      <c r="AA522" s="114"/>
      <c r="AB522" s="114"/>
      <c r="AC522" s="114"/>
      <c r="AD522" s="114"/>
      <c r="AE522" s="114"/>
      <c r="AF522" s="114"/>
      <c r="AG522" s="114"/>
      <c r="AH522" s="114"/>
      <c r="AI522" s="114"/>
      <c r="AJ522" s="114"/>
      <c r="AK522" s="114"/>
      <c r="AL522" s="114"/>
      <c r="AM522" s="114"/>
      <c r="AN522" s="114"/>
      <c r="AO522" s="114"/>
      <c r="AP522" s="114"/>
      <c r="AQ522" s="114"/>
      <c r="AR522" s="114"/>
      <c r="AS522" s="114"/>
      <c r="AT522" s="114"/>
      <c r="AU522" s="114"/>
      <c r="AV522" s="114"/>
      <c r="AW522" s="114"/>
      <c r="AX522" s="114"/>
      <c r="AY522" s="114"/>
      <c r="AZ522" s="114"/>
    </row>
    <row r="523" spans="1:52">
      <c r="A523" s="111"/>
      <c r="B523" s="111"/>
      <c r="C523" s="112"/>
      <c r="D523" s="101"/>
      <c r="E523" s="101"/>
      <c r="F523" s="101"/>
      <c r="G523" s="111"/>
      <c r="H523" s="101"/>
      <c r="I523" s="101"/>
      <c r="J523" s="101"/>
      <c r="K523" s="101"/>
      <c r="L523" s="101"/>
      <c r="M523" s="101"/>
      <c r="N523" s="101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14"/>
      <c r="Z523" s="114"/>
      <c r="AA523" s="114"/>
      <c r="AB523" s="114"/>
      <c r="AC523" s="114"/>
      <c r="AD523" s="114"/>
      <c r="AE523" s="114"/>
      <c r="AF523" s="114"/>
      <c r="AG523" s="114"/>
      <c r="AH523" s="114"/>
      <c r="AI523" s="114"/>
      <c r="AJ523" s="114"/>
      <c r="AK523" s="114"/>
      <c r="AL523" s="114"/>
      <c r="AM523" s="114"/>
      <c r="AN523" s="114"/>
      <c r="AO523" s="114"/>
      <c r="AP523" s="114"/>
      <c r="AQ523" s="114"/>
      <c r="AR523" s="114"/>
      <c r="AS523" s="114"/>
      <c r="AT523" s="114"/>
      <c r="AU523" s="114"/>
      <c r="AV523" s="114"/>
      <c r="AW523" s="114"/>
      <c r="AX523" s="114"/>
      <c r="AY523" s="114"/>
      <c r="AZ523" s="114"/>
    </row>
    <row r="524" spans="1:52">
      <c r="A524" s="111"/>
      <c r="B524" s="111"/>
      <c r="C524" s="112"/>
      <c r="D524" s="101"/>
      <c r="E524" s="101"/>
      <c r="F524" s="101"/>
      <c r="G524" s="111"/>
      <c r="H524" s="101"/>
      <c r="I524" s="101"/>
      <c r="J524" s="101"/>
      <c r="K524" s="101"/>
      <c r="L524" s="101"/>
      <c r="M524" s="101"/>
      <c r="N524" s="101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14"/>
      <c r="Z524" s="114"/>
      <c r="AA524" s="114"/>
      <c r="AB524" s="114"/>
      <c r="AC524" s="114"/>
      <c r="AD524" s="114"/>
      <c r="AE524" s="114"/>
      <c r="AF524" s="114"/>
      <c r="AG524" s="114"/>
      <c r="AH524" s="114"/>
      <c r="AI524" s="114"/>
      <c r="AJ524" s="114"/>
      <c r="AK524" s="114"/>
      <c r="AL524" s="114"/>
      <c r="AM524" s="114"/>
      <c r="AN524" s="114"/>
      <c r="AO524" s="114"/>
      <c r="AP524" s="114"/>
      <c r="AQ524" s="114"/>
      <c r="AR524" s="114"/>
      <c r="AS524" s="114"/>
      <c r="AT524" s="114"/>
      <c r="AU524" s="114"/>
      <c r="AV524" s="114"/>
      <c r="AW524" s="114"/>
      <c r="AX524" s="114"/>
      <c r="AY524" s="114"/>
      <c r="AZ524" s="114"/>
    </row>
    <row r="525" spans="1:52">
      <c r="A525" s="111"/>
      <c r="B525" s="111"/>
      <c r="C525" s="112"/>
      <c r="D525" s="101"/>
      <c r="E525" s="101"/>
      <c r="F525" s="101"/>
      <c r="G525" s="111"/>
      <c r="H525" s="101"/>
      <c r="I525" s="101"/>
      <c r="J525" s="101"/>
      <c r="K525" s="101"/>
      <c r="L525" s="101"/>
      <c r="M525" s="101"/>
      <c r="N525" s="101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14"/>
      <c r="Z525" s="114"/>
      <c r="AA525" s="114"/>
      <c r="AB525" s="114"/>
      <c r="AC525" s="114"/>
      <c r="AD525" s="114"/>
      <c r="AE525" s="114"/>
      <c r="AF525" s="114"/>
      <c r="AG525" s="114"/>
      <c r="AH525" s="114"/>
      <c r="AI525" s="114"/>
      <c r="AJ525" s="114"/>
      <c r="AK525" s="114"/>
      <c r="AL525" s="114"/>
      <c r="AM525" s="114"/>
      <c r="AN525" s="114"/>
      <c r="AO525" s="114"/>
      <c r="AP525" s="114"/>
      <c r="AQ525" s="114"/>
      <c r="AR525" s="114"/>
      <c r="AS525" s="114"/>
      <c r="AT525" s="114"/>
      <c r="AU525" s="114"/>
      <c r="AV525" s="114"/>
      <c r="AW525" s="114"/>
      <c r="AX525" s="114"/>
      <c r="AY525" s="114"/>
      <c r="AZ525" s="114"/>
    </row>
    <row r="526" spans="1:52">
      <c r="A526" s="111"/>
      <c r="B526" s="111"/>
      <c r="C526" s="112"/>
      <c r="D526" s="101"/>
      <c r="E526" s="101"/>
      <c r="F526" s="101"/>
      <c r="G526" s="111"/>
      <c r="H526" s="101"/>
      <c r="I526" s="101"/>
      <c r="J526" s="101"/>
      <c r="K526" s="101"/>
      <c r="L526" s="101"/>
      <c r="M526" s="101"/>
      <c r="N526" s="101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14"/>
      <c r="Z526" s="114"/>
      <c r="AA526" s="114"/>
      <c r="AB526" s="114"/>
      <c r="AC526" s="114"/>
      <c r="AD526" s="114"/>
      <c r="AE526" s="114"/>
      <c r="AF526" s="114"/>
      <c r="AG526" s="114"/>
      <c r="AH526" s="114"/>
      <c r="AI526" s="114"/>
      <c r="AJ526" s="114"/>
      <c r="AK526" s="114"/>
      <c r="AL526" s="114"/>
      <c r="AM526" s="114"/>
      <c r="AN526" s="114"/>
      <c r="AO526" s="114"/>
      <c r="AP526" s="114"/>
      <c r="AQ526" s="114"/>
      <c r="AR526" s="114"/>
      <c r="AS526" s="114"/>
      <c r="AT526" s="114"/>
      <c r="AU526" s="114"/>
      <c r="AV526" s="114"/>
      <c r="AW526" s="114"/>
      <c r="AX526" s="114"/>
      <c r="AY526" s="114"/>
      <c r="AZ526" s="114"/>
    </row>
    <row r="527" spans="1:52">
      <c r="A527" s="111"/>
      <c r="B527" s="111"/>
      <c r="C527" s="112"/>
      <c r="D527" s="101"/>
      <c r="E527" s="101"/>
      <c r="F527" s="101"/>
      <c r="G527" s="111"/>
      <c r="H527" s="101"/>
      <c r="I527" s="101"/>
      <c r="J527" s="101"/>
      <c r="K527" s="101"/>
      <c r="L527" s="101"/>
      <c r="M527" s="101"/>
      <c r="N527" s="101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14"/>
      <c r="Z527" s="114"/>
      <c r="AA527" s="114"/>
      <c r="AB527" s="114"/>
      <c r="AC527" s="114"/>
      <c r="AD527" s="114"/>
      <c r="AE527" s="114"/>
      <c r="AF527" s="114"/>
      <c r="AG527" s="114"/>
      <c r="AH527" s="114"/>
      <c r="AI527" s="114"/>
      <c r="AJ527" s="114"/>
      <c r="AK527" s="114"/>
      <c r="AL527" s="114"/>
      <c r="AM527" s="114"/>
      <c r="AN527" s="114"/>
      <c r="AO527" s="114"/>
      <c r="AP527" s="114"/>
      <c r="AQ527" s="114"/>
      <c r="AR527" s="114"/>
      <c r="AS527" s="114"/>
      <c r="AT527" s="114"/>
      <c r="AU527" s="114"/>
      <c r="AV527" s="114"/>
      <c r="AW527" s="114"/>
      <c r="AX527" s="114"/>
      <c r="AY527" s="114"/>
      <c r="AZ527" s="114"/>
    </row>
    <row r="528" spans="1:52">
      <c r="A528" s="111"/>
      <c r="B528" s="111"/>
      <c r="C528" s="112"/>
      <c r="D528" s="101"/>
      <c r="E528" s="101"/>
      <c r="F528" s="101"/>
      <c r="G528" s="111"/>
      <c r="H528" s="101"/>
      <c r="I528" s="101"/>
      <c r="J528" s="101"/>
      <c r="K528" s="101"/>
      <c r="L528" s="101"/>
      <c r="M528" s="101"/>
      <c r="N528" s="101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14"/>
      <c r="Z528" s="114"/>
      <c r="AA528" s="114"/>
      <c r="AB528" s="114"/>
      <c r="AC528" s="114"/>
      <c r="AD528" s="114"/>
      <c r="AE528" s="114"/>
      <c r="AF528" s="114"/>
      <c r="AG528" s="114"/>
      <c r="AH528" s="114"/>
      <c r="AI528" s="114"/>
      <c r="AJ528" s="114"/>
      <c r="AK528" s="114"/>
      <c r="AL528" s="114"/>
      <c r="AM528" s="114"/>
      <c r="AN528" s="114"/>
      <c r="AO528" s="114"/>
      <c r="AP528" s="114"/>
      <c r="AQ528" s="114"/>
      <c r="AR528" s="114"/>
      <c r="AS528" s="114"/>
      <c r="AT528" s="114"/>
      <c r="AU528" s="114"/>
      <c r="AV528" s="114"/>
      <c r="AW528" s="114"/>
      <c r="AX528" s="114"/>
      <c r="AY528" s="114"/>
      <c r="AZ528" s="114"/>
    </row>
    <row r="529" spans="1:52">
      <c r="A529" s="111"/>
      <c r="B529" s="111"/>
      <c r="C529" s="112"/>
      <c r="D529" s="101"/>
      <c r="E529" s="101"/>
      <c r="F529" s="101"/>
      <c r="G529" s="111"/>
      <c r="H529" s="101"/>
      <c r="I529" s="101"/>
      <c r="J529" s="101"/>
      <c r="K529" s="101"/>
      <c r="L529" s="101"/>
      <c r="M529" s="101"/>
      <c r="N529" s="101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14"/>
      <c r="Z529" s="114"/>
      <c r="AA529" s="114"/>
      <c r="AB529" s="114"/>
      <c r="AC529" s="114"/>
      <c r="AD529" s="114"/>
      <c r="AE529" s="114"/>
      <c r="AF529" s="114"/>
      <c r="AG529" s="114"/>
      <c r="AH529" s="114"/>
      <c r="AI529" s="114"/>
      <c r="AJ529" s="114"/>
      <c r="AK529" s="114"/>
      <c r="AL529" s="114"/>
      <c r="AM529" s="114"/>
      <c r="AN529" s="114"/>
      <c r="AO529" s="114"/>
      <c r="AP529" s="114"/>
      <c r="AQ529" s="114"/>
      <c r="AR529" s="114"/>
      <c r="AS529" s="114"/>
      <c r="AT529" s="114"/>
      <c r="AU529" s="114"/>
      <c r="AV529" s="114"/>
      <c r="AW529" s="114"/>
      <c r="AX529" s="114"/>
      <c r="AY529" s="114"/>
      <c r="AZ529" s="114"/>
    </row>
    <row r="530" spans="1:52">
      <c r="A530" s="111"/>
      <c r="B530" s="111"/>
      <c r="C530" s="112"/>
      <c r="D530" s="101"/>
      <c r="E530" s="101"/>
      <c r="F530" s="101"/>
      <c r="G530" s="111"/>
      <c r="H530" s="101"/>
      <c r="I530" s="101"/>
      <c r="J530" s="101"/>
      <c r="K530" s="101"/>
      <c r="L530" s="101"/>
      <c r="M530" s="101"/>
      <c r="N530" s="101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14"/>
      <c r="Z530" s="114"/>
      <c r="AA530" s="114"/>
      <c r="AB530" s="114"/>
      <c r="AC530" s="114"/>
      <c r="AD530" s="114"/>
      <c r="AE530" s="114"/>
      <c r="AF530" s="114"/>
      <c r="AG530" s="114"/>
      <c r="AH530" s="114"/>
      <c r="AI530" s="114"/>
      <c r="AJ530" s="114"/>
      <c r="AK530" s="114"/>
      <c r="AL530" s="114"/>
      <c r="AM530" s="114"/>
      <c r="AN530" s="114"/>
      <c r="AO530" s="114"/>
      <c r="AP530" s="114"/>
      <c r="AQ530" s="114"/>
      <c r="AR530" s="114"/>
      <c r="AS530" s="114"/>
      <c r="AT530" s="114"/>
      <c r="AU530" s="114"/>
      <c r="AV530" s="114"/>
      <c r="AW530" s="114"/>
      <c r="AX530" s="114"/>
      <c r="AY530" s="114"/>
      <c r="AZ530" s="114"/>
    </row>
    <row r="531" spans="1:52">
      <c r="A531" s="111"/>
      <c r="B531" s="111"/>
      <c r="C531" s="112"/>
      <c r="D531" s="101"/>
      <c r="E531" s="101"/>
      <c r="F531" s="101"/>
      <c r="G531" s="111"/>
      <c r="H531" s="101"/>
      <c r="I531" s="101"/>
      <c r="J531" s="101"/>
      <c r="K531" s="101"/>
      <c r="L531" s="101"/>
      <c r="M531" s="101"/>
      <c r="N531" s="101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14"/>
      <c r="Z531" s="114"/>
      <c r="AA531" s="114"/>
      <c r="AB531" s="114"/>
      <c r="AC531" s="114"/>
      <c r="AD531" s="114"/>
      <c r="AE531" s="114"/>
      <c r="AF531" s="114"/>
      <c r="AG531" s="114"/>
      <c r="AH531" s="114"/>
      <c r="AI531" s="114"/>
      <c r="AJ531" s="114"/>
      <c r="AK531" s="114"/>
      <c r="AL531" s="114"/>
      <c r="AM531" s="114"/>
      <c r="AN531" s="114"/>
      <c r="AO531" s="114"/>
      <c r="AP531" s="114"/>
      <c r="AQ531" s="114"/>
      <c r="AR531" s="114"/>
      <c r="AS531" s="114"/>
      <c r="AT531" s="114"/>
      <c r="AU531" s="114"/>
      <c r="AV531" s="114"/>
      <c r="AW531" s="114"/>
      <c r="AX531" s="114"/>
      <c r="AY531" s="114"/>
      <c r="AZ531" s="114"/>
    </row>
    <row r="532" spans="1:52">
      <c r="A532" s="111"/>
      <c r="B532" s="111"/>
      <c r="C532" s="112"/>
      <c r="D532" s="101"/>
      <c r="E532" s="101"/>
      <c r="F532" s="101"/>
      <c r="G532" s="111"/>
      <c r="H532" s="101"/>
      <c r="I532" s="101"/>
      <c r="J532" s="101"/>
      <c r="K532" s="101"/>
      <c r="L532" s="101"/>
      <c r="M532" s="101"/>
      <c r="N532" s="101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14"/>
      <c r="Z532" s="114"/>
      <c r="AA532" s="114"/>
      <c r="AB532" s="114"/>
      <c r="AC532" s="114"/>
      <c r="AD532" s="114"/>
      <c r="AE532" s="114"/>
      <c r="AF532" s="114"/>
      <c r="AG532" s="114"/>
      <c r="AH532" s="114"/>
      <c r="AI532" s="114"/>
      <c r="AJ532" s="114"/>
      <c r="AK532" s="114"/>
      <c r="AL532" s="114"/>
      <c r="AM532" s="114"/>
      <c r="AN532" s="114"/>
      <c r="AO532" s="114"/>
      <c r="AP532" s="114"/>
      <c r="AQ532" s="114"/>
      <c r="AR532" s="114"/>
      <c r="AS532" s="114"/>
      <c r="AT532" s="114"/>
      <c r="AU532" s="114"/>
      <c r="AV532" s="114"/>
      <c r="AW532" s="114"/>
      <c r="AX532" s="114"/>
      <c r="AY532" s="114"/>
      <c r="AZ532" s="114"/>
    </row>
    <row r="533" spans="1:52">
      <c r="A533" s="111"/>
      <c r="B533" s="111"/>
      <c r="C533" s="112"/>
      <c r="D533" s="101"/>
      <c r="E533" s="101"/>
      <c r="F533" s="101"/>
      <c r="G533" s="111"/>
      <c r="H533" s="101"/>
      <c r="I533" s="101"/>
      <c r="J533" s="101"/>
      <c r="K533" s="101"/>
      <c r="L533" s="101"/>
      <c r="M533" s="101"/>
      <c r="N533" s="101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14"/>
      <c r="Z533" s="114"/>
      <c r="AA533" s="114"/>
      <c r="AB533" s="114"/>
      <c r="AC533" s="114"/>
      <c r="AD533" s="114"/>
      <c r="AE533" s="114"/>
      <c r="AF533" s="114"/>
      <c r="AG533" s="114"/>
      <c r="AH533" s="114"/>
      <c r="AI533" s="114"/>
      <c r="AJ533" s="114"/>
      <c r="AK533" s="114"/>
      <c r="AL533" s="114"/>
      <c r="AM533" s="114"/>
      <c r="AN533" s="114"/>
      <c r="AO533" s="114"/>
      <c r="AP533" s="114"/>
      <c r="AQ533" s="114"/>
      <c r="AR533" s="114"/>
      <c r="AS533" s="114"/>
      <c r="AT533" s="114"/>
      <c r="AU533" s="114"/>
      <c r="AV533" s="114"/>
      <c r="AW533" s="114"/>
      <c r="AX533" s="114"/>
      <c r="AY533" s="114"/>
      <c r="AZ533" s="114"/>
    </row>
    <row r="534" spans="1:52">
      <c r="A534" s="111"/>
      <c r="B534" s="111"/>
      <c r="C534" s="112"/>
      <c r="D534" s="101"/>
      <c r="E534" s="101"/>
      <c r="F534" s="101"/>
      <c r="G534" s="111"/>
      <c r="H534" s="101"/>
      <c r="I534" s="101"/>
      <c r="J534" s="101"/>
      <c r="K534" s="101"/>
      <c r="L534" s="101"/>
      <c r="M534" s="101"/>
      <c r="N534" s="101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14"/>
      <c r="Z534" s="114"/>
      <c r="AA534" s="114"/>
      <c r="AB534" s="114"/>
      <c r="AC534" s="114"/>
      <c r="AD534" s="114"/>
      <c r="AE534" s="114"/>
      <c r="AF534" s="114"/>
      <c r="AG534" s="114"/>
      <c r="AH534" s="114"/>
      <c r="AI534" s="114"/>
      <c r="AJ534" s="114"/>
      <c r="AK534" s="114"/>
      <c r="AL534" s="114"/>
      <c r="AM534" s="114"/>
      <c r="AN534" s="114"/>
      <c r="AO534" s="114"/>
      <c r="AP534" s="114"/>
      <c r="AQ534" s="114"/>
      <c r="AR534" s="114"/>
      <c r="AS534" s="114"/>
      <c r="AT534" s="114"/>
      <c r="AU534" s="114"/>
      <c r="AV534" s="114"/>
      <c r="AW534" s="114"/>
      <c r="AX534" s="114"/>
      <c r="AY534" s="114"/>
      <c r="AZ534" s="114"/>
    </row>
    <row r="535" spans="1:52">
      <c r="A535" s="111"/>
      <c r="B535" s="111"/>
      <c r="C535" s="112"/>
      <c r="D535" s="101"/>
      <c r="E535" s="101"/>
      <c r="F535" s="101"/>
      <c r="G535" s="111"/>
      <c r="H535" s="101"/>
      <c r="I535" s="101"/>
      <c r="J535" s="101"/>
      <c r="K535" s="101"/>
      <c r="L535" s="101"/>
      <c r="M535" s="101"/>
      <c r="N535" s="101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  <c r="Y535" s="114"/>
      <c r="Z535" s="114"/>
      <c r="AA535" s="114"/>
      <c r="AB535" s="114"/>
      <c r="AC535" s="114"/>
      <c r="AD535" s="114"/>
      <c r="AE535" s="114"/>
      <c r="AF535" s="114"/>
      <c r="AG535" s="114"/>
      <c r="AH535" s="114"/>
      <c r="AI535" s="114"/>
      <c r="AJ535" s="114"/>
      <c r="AK535" s="114"/>
      <c r="AL535" s="114"/>
      <c r="AM535" s="114"/>
      <c r="AN535" s="114"/>
      <c r="AO535" s="114"/>
      <c r="AP535" s="114"/>
      <c r="AQ535" s="114"/>
      <c r="AR535" s="114"/>
      <c r="AS535" s="114"/>
      <c r="AT535" s="114"/>
      <c r="AU535" s="114"/>
      <c r="AV535" s="114"/>
      <c r="AW535" s="114"/>
      <c r="AX535" s="114"/>
      <c r="AY535" s="114"/>
      <c r="AZ535" s="114"/>
    </row>
    <row r="536" spans="1:52">
      <c r="A536" s="111"/>
      <c r="B536" s="111"/>
      <c r="C536" s="112"/>
      <c r="D536" s="101"/>
      <c r="E536" s="101"/>
      <c r="F536" s="101"/>
      <c r="G536" s="111"/>
      <c r="H536" s="101"/>
      <c r="I536" s="101"/>
      <c r="J536" s="101"/>
      <c r="K536" s="101"/>
      <c r="L536" s="101"/>
      <c r="M536" s="101"/>
      <c r="N536" s="101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  <c r="Y536" s="114"/>
      <c r="Z536" s="114"/>
      <c r="AA536" s="114"/>
      <c r="AB536" s="114"/>
      <c r="AC536" s="114"/>
      <c r="AD536" s="114"/>
      <c r="AE536" s="114"/>
      <c r="AF536" s="114"/>
      <c r="AG536" s="114"/>
      <c r="AH536" s="114"/>
      <c r="AI536" s="114"/>
      <c r="AJ536" s="114"/>
      <c r="AK536" s="114"/>
      <c r="AL536" s="114"/>
      <c r="AM536" s="114"/>
      <c r="AN536" s="114"/>
      <c r="AO536" s="114"/>
      <c r="AP536" s="114"/>
      <c r="AQ536" s="114"/>
      <c r="AR536" s="114"/>
      <c r="AS536" s="114"/>
      <c r="AT536" s="114"/>
      <c r="AU536" s="114"/>
      <c r="AV536" s="114"/>
      <c r="AW536" s="114"/>
      <c r="AX536" s="114"/>
      <c r="AY536" s="114"/>
      <c r="AZ536" s="114"/>
    </row>
    <row r="537" spans="1:52">
      <c r="A537" s="111"/>
      <c r="B537" s="111"/>
      <c r="C537" s="112"/>
      <c r="D537" s="101"/>
      <c r="E537" s="101"/>
      <c r="F537" s="101"/>
      <c r="G537" s="111"/>
      <c r="H537" s="101"/>
      <c r="I537" s="101"/>
      <c r="J537" s="101"/>
      <c r="K537" s="101"/>
      <c r="L537" s="101"/>
      <c r="M537" s="101"/>
      <c r="N537" s="101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  <c r="Y537" s="114"/>
      <c r="Z537" s="114"/>
      <c r="AA537" s="114"/>
      <c r="AB537" s="114"/>
      <c r="AC537" s="114"/>
      <c r="AD537" s="114"/>
      <c r="AE537" s="114"/>
      <c r="AF537" s="114"/>
      <c r="AG537" s="114"/>
      <c r="AH537" s="114"/>
      <c r="AI537" s="114"/>
      <c r="AJ537" s="114"/>
      <c r="AK537" s="114"/>
      <c r="AL537" s="114"/>
      <c r="AM537" s="114"/>
      <c r="AN537" s="114"/>
      <c r="AO537" s="114"/>
      <c r="AP537" s="114"/>
      <c r="AQ537" s="114"/>
      <c r="AR537" s="114"/>
      <c r="AS537" s="114"/>
      <c r="AT537" s="114"/>
      <c r="AU537" s="114"/>
      <c r="AV537" s="114"/>
      <c r="AW537" s="114"/>
      <c r="AX537" s="114"/>
      <c r="AY537" s="114"/>
      <c r="AZ537" s="114"/>
    </row>
    <row r="538" spans="1:52">
      <c r="A538" s="111"/>
      <c r="B538" s="111"/>
      <c r="C538" s="112"/>
      <c r="D538" s="101"/>
      <c r="E538" s="101"/>
      <c r="F538" s="101"/>
      <c r="G538" s="111"/>
      <c r="H538" s="101"/>
      <c r="I538" s="101"/>
      <c r="J538" s="101"/>
      <c r="K538" s="101"/>
      <c r="L538" s="101"/>
      <c r="M538" s="101"/>
      <c r="N538" s="101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  <c r="Y538" s="114"/>
      <c r="Z538" s="114"/>
      <c r="AA538" s="114"/>
      <c r="AB538" s="114"/>
      <c r="AC538" s="114"/>
      <c r="AD538" s="114"/>
      <c r="AE538" s="114"/>
      <c r="AF538" s="114"/>
      <c r="AG538" s="114"/>
      <c r="AH538" s="114"/>
      <c r="AI538" s="114"/>
      <c r="AJ538" s="114"/>
      <c r="AK538" s="114"/>
      <c r="AL538" s="114"/>
      <c r="AM538" s="114"/>
      <c r="AN538" s="114"/>
      <c r="AO538" s="114"/>
      <c r="AP538" s="114"/>
      <c r="AQ538" s="114"/>
      <c r="AR538" s="114"/>
      <c r="AS538" s="114"/>
      <c r="AT538" s="114"/>
      <c r="AU538" s="114"/>
      <c r="AV538" s="114"/>
      <c r="AW538" s="114"/>
      <c r="AX538" s="114"/>
      <c r="AY538" s="114"/>
      <c r="AZ538" s="114"/>
    </row>
    <row r="539" spans="1:52">
      <c r="A539" s="111"/>
      <c r="B539" s="111"/>
      <c r="C539" s="112"/>
      <c r="D539" s="101"/>
      <c r="E539" s="101"/>
      <c r="F539" s="101"/>
      <c r="G539" s="111"/>
      <c r="H539" s="101"/>
      <c r="I539" s="101"/>
      <c r="J539" s="101"/>
      <c r="K539" s="101"/>
      <c r="L539" s="101"/>
      <c r="M539" s="101"/>
      <c r="N539" s="101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14"/>
      <c r="Z539" s="114"/>
      <c r="AA539" s="114"/>
      <c r="AB539" s="114"/>
      <c r="AC539" s="114"/>
      <c r="AD539" s="114"/>
      <c r="AE539" s="114"/>
      <c r="AF539" s="114"/>
      <c r="AG539" s="114"/>
      <c r="AH539" s="114"/>
      <c r="AI539" s="114"/>
      <c r="AJ539" s="114"/>
      <c r="AK539" s="114"/>
      <c r="AL539" s="114"/>
      <c r="AM539" s="114"/>
      <c r="AN539" s="114"/>
      <c r="AO539" s="114"/>
      <c r="AP539" s="114"/>
      <c r="AQ539" s="114"/>
      <c r="AR539" s="114"/>
      <c r="AS539" s="114"/>
      <c r="AT539" s="114"/>
      <c r="AU539" s="114"/>
      <c r="AV539" s="114"/>
      <c r="AW539" s="114"/>
      <c r="AX539" s="114"/>
      <c r="AY539" s="114"/>
      <c r="AZ539" s="114"/>
    </row>
    <row r="540" spans="1:52">
      <c r="A540" s="111"/>
      <c r="B540" s="111"/>
      <c r="C540" s="112"/>
      <c r="D540" s="101"/>
      <c r="E540" s="101"/>
      <c r="F540" s="101"/>
      <c r="G540" s="111"/>
      <c r="H540" s="101"/>
      <c r="I540" s="101"/>
      <c r="J540" s="101"/>
      <c r="K540" s="101"/>
      <c r="L540" s="101"/>
      <c r="M540" s="101"/>
      <c r="N540" s="101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  <c r="Y540" s="114"/>
      <c r="Z540" s="114"/>
      <c r="AA540" s="114"/>
      <c r="AB540" s="114"/>
      <c r="AC540" s="114"/>
      <c r="AD540" s="114"/>
      <c r="AE540" s="114"/>
      <c r="AF540" s="114"/>
      <c r="AG540" s="114"/>
      <c r="AH540" s="114"/>
      <c r="AI540" s="114"/>
      <c r="AJ540" s="114"/>
      <c r="AK540" s="114"/>
      <c r="AL540" s="114"/>
      <c r="AM540" s="114"/>
      <c r="AN540" s="114"/>
      <c r="AO540" s="114"/>
      <c r="AP540" s="114"/>
      <c r="AQ540" s="114"/>
      <c r="AR540" s="114"/>
      <c r="AS540" s="114"/>
      <c r="AT540" s="114"/>
      <c r="AU540" s="114"/>
      <c r="AV540" s="114"/>
      <c r="AW540" s="114"/>
      <c r="AX540" s="114"/>
      <c r="AY540" s="114"/>
      <c r="AZ540" s="114"/>
    </row>
    <row r="541" spans="1:52">
      <c r="A541" s="111"/>
      <c r="B541" s="111"/>
      <c r="C541" s="112"/>
      <c r="D541" s="101"/>
      <c r="E541" s="101"/>
      <c r="F541" s="101"/>
      <c r="G541" s="111"/>
      <c r="H541" s="101"/>
      <c r="I541" s="101"/>
      <c r="J541" s="101"/>
      <c r="K541" s="101"/>
      <c r="L541" s="101"/>
      <c r="M541" s="101"/>
      <c r="N541" s="101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  <c r="Y541" s="114"/>
      <c r="Z541" s="114"/>
      <c r="AA541" s="114"/>
      <c r="AB541" s="114"/>
      <c r="AC541" s="114"/>
      <c r="AD541" s="114"/>
      <c r="AE541" s="114"/>
      <c r="AF541" s="114"/>
      <c r="AG541" s="114"/>
      <c r="AH541" s="114"/>
      <c r="AI541" s="114"/>
      <c r="AJ541" s="114"/>
      <c r="AK541" s="114"/>
      <c r="AL541" s="114"/>
      <c r="AM541" s="114"/>
      <c r="AN541" s="114"/>
      <c r="AO541" s="114"/>
      <c r="AP541" s="114"/>
      <c r="AQ541" s="114"/>
      <c r="AR541" s="114"/>
      <c r="AS541" s="114"/>
      <c r="AT541" s="114"/>
      <c r="AU541" s="114"/>
      <c r="AV541" s="114"/>
      <c r="AW541" s="114"/>
      <c r="AX541" s="114"/>
      <c r="AY541" s="114"/>
      <c r="AZ541" s="114"/>
    </row>
    <row r="542" spans="1:52">
      <c r="A542" s="111"/>
      <c r="B542" s="111"/>
      <c r="C542" s="112"/>
      <c r="D542" s="101"/>
      <c r="E542" s="101"/>
      <c r="F542" s="101"/>
      <c r="G542" s="111"/>
      <c r="H542" s="101"/>
      <c r="I542" s="101"/>
      <c r="J542" s="101"/>
      <c r="K542" s="101"/>
      <c r="L542" s="101"/>
      <c r="M542" s="101"/>
      <c r="N542" s="101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  <c r="Y542" s="114"/>
      <c r="Z542" s="114"/>
      <c r="AA542" s="114"/>
      <c r="AB542" s="114"/>
      <c r="AC542" s="114"/>
      <c r="AD542" s="114"/>
      <c r="AE542" s="114"/>
      <c r="AF542" s="114"/>
      <c r="AG542" s="114"/>
      <c r="AH542" s="114"/>
      <c r="AI542" s="114"/>
      <c r="AJ542" s="114"/>
      <c r="AK542" s="114"/>
      <c r="AL542" s="114"/>
      <c r="AM542" s="114"/>
      <c r="AN542" s="114"/>
      <c r="AO542" s="114"/>
      <c r="AP542" s="114"/>
      <c r="AQ542" s="114"/>
      <c r="AR542" s="114"/>
      <c r="AS542" s="114"/>
      <c r="AT542" s="114"/>
      <c r="AU542" s="114"/>
      <c r="AV542" s="114"/>
      <c r="AW542" s="114"/>
      <c r="AX542" s="114"/>
      <c r="AY542" s="114"/>
      <c r="AZ542" s="114"/>
    </row>
    <row r="543" spans="1:52">
      <c r="A543" s="111"/>
      <c r="B543" s="111"/>
      <c r="C543" s="112"/>
      <c r="D543" s="101"/>
      <c r="E543" s="101"/>
      <c r="F543" s="101"/>
      <c r="G543" s="111"/>
      <c r="H543" s="101"/>
      <c r="I543" s="101"/>
      <c r="J543" s="101"/>
      <c r="K543" s="101"/>
      <c r="L543" s="101"/>
      <c r="M543" s="101"/>
      <c r="N543" s="101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  <c r="Y543" s="114"/>
      <c r="Z543" s="114"/>
      <c r="AA543" s="114"/>
      <c r="AB543" s="114"/>
      <c r="AC543" s="114"/>
      <c r="AD543" s="114"/>
      <c r="AE543" s="114"/>
      <c r="AF543" s="114"/>
      <c r="AG543" s="114"/>
      <c r="AH543" s="114"/>
      <c r="AI543" s="114"/>
      <c r="AJ543" s="114"/>
      <c r="AK543" s="114"/>
      <c r="AL543" s="114"/>
      <c r="AM543" s="114"/>
      <c r="AN543" s="114"/>
      <c r="AO543" s="114"/>
      <c r="AP543" s="114"/>
      <c r="AQ543" s="114"/>
      <c r="AR543" s="114"/>
      <c r="AS543" s="114"/>
      <c r="AT543" s="114"/>
      <c r="AU543" s="114"/>
      <c r="AV543" s="114"/>
      <c r="AW543" s="114"/>
      <c r="AX543" s="114"/>
      <c r="AY543" s="114"/>
      <c r="AZ543" s="114"/>
    </row>
    <row r="544" spans="1:52">
      <c r="A544" s="111"/>
      <c r="B544" s="111"/>
      <c r="C544" s="112"/>
      <c r="D544" s="101"/>
      <c r="E544" s="101"/>
      <c r="F544" s="101"/>
      <c r="G544" s="111"/>
      <c r="H544" s="101"/>
      <c r="I544" s="101"/>
      <c r="J544" s="101"/>
      <c r="K544" s="101"/>
      <c r="L544" s="101"/>
      <c r="M544" s="101"/>
      <c r="N544" s="101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  <c r="Y544" s="114"/>
      <c r="Z544" s="114"/>
      <c r="AA544" s="114"/>
      <c r="AB544" s="114"/>
      <c r="AC544" s="114"/>
      <c r="AD544" s="114"/>
      <c r="AE544" s="114"/>
      <c r="AF544" s="114"/>
      <c r="AG544" s="114"/>
      <c r="AH544" s="114"/>
      <c r="AI544" s="114"/>
      <c r="AJ544" s="114"/>
      <c r="AK544" s="114"/>
      <c r="AL544" s="114"/>
      <c r="AM544" s="114"/>
      <c r="AN544" s="114"/>
      <c r="AO544" s="114"/>
      <c r="AP544" s="114"/>
      <c r="AQ544" s="114"/>
      <c r="AR544" s="114"/>
      <c r="AS544" s="114"/>
      <c r="AT544" s="114"/>
      <c r="AU544" s="114"/>
      <c r="AV544" s="114"/>
      <c r="AW544" s="114"/>
      <c r="AX544" s="114"/>
      <c r="AY544" s="114"/>
      <c r="AZ544" s="114"/>
    </row>
    <row r="545" spans="1:52">
      <c r="A545" s="111"/>
      <c r="B545" s="111"/>
      <c r="C545" s="112"/>
      <c r="D545" s="101"/>
      <c r="E545" s="101"/>
      <c r="F545" s="101"/>
      <c r="G545" s="111"/>
      <c r="H545" s="101"/>
      <c r="I545" s="101"/>
      <c r="J545" s="101"/>
      <c r="K545" s="101"/>
      <c r="L545" s="101"/>
      <c r="M545" s="101"/>
      <c r="N545" s="101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  <c r="Y545" s="114"/>
      <c r="Z545" s="114"/>
      <c r="AA545" s="114"/>
      <c r="AB545" s="114"/>
      <c r="AC545" s="114"/>
      <c r="AD545" s="114"/>
      <c r="AE545" s="114"/>
      <c r="AF545" s="114"/>
      <c r="AG545" s="114"/>
      <c r="AH545" s="114"/>
      <c r="AI545" s="114"/>
      <c r="AJ545" s="114"/>
      <c r="AK545" s="114"/>
      <c r="AL545" s="114"/>
      <c r="AM545" s="114"/>
      <c r="AN545" s="114"/>
      <c r="AO545" s="114"/>
      <c r="AP545" s="114"/>
      <c r="AQ545" s="114"/>
      <c r="AR545" s="114"/>
      <c r="AS545" s="114"/>
      <c r="AT545" s="114"/>
      <c r="AU545" s="114"/>
      <c r="AV545" s="114"/>
      <c r="AW545" s="114"/>
      <c r="AX545" s="114"/>
      <c r="AY545" s="114"/>
      <c r="AZ545" s="114"/>
    </row>
    <row r="546" spans="1:52">
      <c r="A546" s="111"/>
      <c r="B546" s="111"/>
      <c r="C546" s="112"/>
      <c r="D546" s="101"/>
      <c r="E546" s="101"/>
      <c r="F546" s="101"/>
      <c r="G546" s="111"/>
      <c r="H546" s="101"/>
      <c r="I546" s="101"/>
      <c r="J546" s="101"/>
      <c r="K546" s="101"/>
      <c r="L546" s="101"/>
      <c r="M546" s="101"/>
      <c r="N546" s="101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14"/>
      <c r="Z546" s="114"/>
      <c r="AA546" s="114"/>
      <c r="AB546" s="114"/>
      <c r="AC546" s="114"/>
      <c r="AD546" s="114"/>
      <c r="AE546" s="114"/>
      <c r="AF546" s="114"/>
      <c r="AG546" s="114"/>
      <c r="AH546" s="114"/>
      <c r="AI546" s="114"/>
      <c r="AJ546" s="114"/>
      <c r="AK546" s="114"/>
      <c r="AL546" s="114"/>
      <c r="AM546" s="114"/>
      <c r="AN546" s="114"/>
      <c r="AO546" s="114"/>
      <c r="AP546" s="114"/>
      <c r="AQ546" s="114"/>
      <c r="AR546" s="114"/>
      <c r="AS546" s="114"/>
      <c r="AT546" s="114"/>
      <c r="AU546" s="114"/>
      <c r="AV546" s="114"/>
      <c r="AW546" s="114"/>
      <c r="AX546" s="114"/>
      <c r="AY546" s="114"/>
      <c r="AZ546" s="114"/>
    </row>
    <row r="547" spans="1:52">
      <c r="A547" s="111"/>
      <c r="B547" s="111"/>
      <c r="C547" s="112"/>
      <c r="D547" s="101"/>
      <c r="E547" s="101"/>
      <c r="F547" s="101"/>
      <c r="G547" s="111"/>
      <c r="H547" s="101"/>
      <c r="I547" s="101"/>
      <c r="J547" s="101"/>
      <c r="K547" s="101"/>
      <c r="L547" s="101"/>
      <c r="M547" s="101"/>
      <c r="N547" s="101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  <c r="Y547" s="114"/>
      <c r="Z547" s="114"/>
      <c r="AA547" s="114"/>
      <c r="AB547" s="114"/>
      <c r="AC547" s="114"/>
      <c r="AD547" s="114"/>
      <c r="AE547" s="114"/>
      <c r="AF547" s="114"/>
      <c r="AG547" s="114"/>
      <c r="AH547" s="114"/>
      <c r="AI547" s="114"/>
      <c r="AJ547" s="114"/>
      <c r="AK547" s="114"/>
      <c r="AL547" s="114"/>
      <c r="AM547" s="114"/>
      <c r="AN547" s="114"/>
      <c r="AO547" s="114"/>
      <c r="AP547" s="114"/>
      <c r="AQ547" s="114"/>
      <c r="AR547" s="114"/>
      <c r="AS547" s="114"/>
      <c r="AT547" s="114"/>
      <c r="AU547" s="114"/>
      <c r="AV547" s="114"/>
      <c r="AW547" s="114"/>
      <c r="AX547" s="114"/>
      <c r="AY547" s="114"/>
      <c r="AZ547" s="114"/>
    </row>
    <row r="548" spans="1:52">
      <c r="A548" s="111"/>
      <c r="B548" s="111"/>
      <c r="C548" s="112"/>
      <c r="D548" s="101"/>
      <c r="E548" s="101"/>
      <c r="F548" s="101"/>
      <c r="G548" s="111"/>
      <c r="H548" s="101"/>
      <c r="I548" s="101"/>
      <c r="J548" s="101"/>
      <c r="K548" s="101"/>
      <c r="L548" s="101"/>
      <c r="M548" s="101"/>
      <c r="N548" s="101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  <c r="Y548" s="114"/>
      <c r="Z548" s="114"/>
      <c r="AA548" s="114"/>
      <c r="AB548" s="114"/>
      <c r="AC548" s="114"/>
      <c r="AD548" s="114"/>
      <c r="AE548" s="114"/>
      <c r="AF548" s="114"/>
      <c r="AG548" s="114"/>
      <c r="AH548" s="114"/>
      <c r="AI548" s="114"/>
      <c r="AJ548" s="114"/>
      <c r="AK548" s="114"/>
      <c r="AL548" s="114"/>
      <c r="AM548" s="114"/>
      <c r="AN548" s="114"/>
      <c r="AO548" s="114"/>
      <c r="AP548" s="114"/>
      <c r="AQ548" s="114"/>
      <c r="AR548" s="114"/>
      <c r="AS548" s="114"/>
      <c r="AT548" s="114"/>
      <c r="AU548" s="114"/>
      <c r="AV548" s="114"/>
      <c r="AW548" s="114"/>
      <c r="AX548" s="114"/>
      <c r="AY548" s="114"/>
      <c r="AZ548" s="114"/>
    </row>
    <row r="549" spans="1:52">
      <c r="A549" s="111"/>
      <c r="B549" s="111"/>
      <c r="C549" s="112"/>
      <c r="D549" s="101"/>
      <c r="E549" s="101"/>
      <c r="F549" s="101"/>
      <c r="G549" s="111"/>
      <c r="H549" s="101"/>
      <c r="I549" s="101"/>
      <c r="J549" s="101"/>
      <c r="K549" s="101"/>
      <c r="L549" s="101"/>
      <c r="M549" s="101"/>
      <c r="N549" s="101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  <c r="Y549" s="114"/>
      <c r="Z549" s="114"/>
      <c r="AA549" s="114"/>
      <c r="AB549" s="114"/>
      <c r="AC549" s="114"/>
      <c r="AD549" s="114"/>
      <c r="AE549" s="114"/>
      <c r="AF549" s="114"/>
      <c r="AG549" s="114"/>
      <c r="AH549" s="114"/>
      <c r="AI549" s="114"/>
      <c r="AJ549" s="114"/>
      <c r="AK549" s="114"/>
      <c r="AL549" s="114"/>
      <c r="AM549" s="114"/>
      <c r="AN549" s="114"/>
      <c r="AO549" s="114"/>
      <c r="AP549" s="114"/>
      <c r="AQ549" s="114"/>
      <c r="AR549" s="114"/>
      <c r="AS549" s="114"/>
      <c r="AT549" s="114"/>
      <c r="AU549" s="114"/>
      <c r="AV549" s="114"/>
      <c r="AW549" s="114"/>
      <c r="AX549" s="114"/>
      <c r="AY549" s="114"/>
      <c r="AZ549" s="114"/>
    </row>
    <row r="550" spans="1:52">
      <c r="A550" s="111"/>
      <c r="B550" s="111"/>
      <c r="C550" s="112"/>
      <c r="D550" s="101"/>
      <c r="E550" s="101"/>
      <c r="F550" s="101"/>
      <c r="G550" s="111"/>
      <c r="H550" s="101"/>
      <c r="I550" s="101"/>
      <c r="J550" s="101"/>
      <c r="K550" s="101"/>
      <c r="L550" s="101"/>
      <c r="M550" s="101"/>
      <c r="N550" s="101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14"/>
      <c r="Z550" s="114"/>
      <c r="AA550" s="114"/>
      <c r="AB550" s="114"/>
      <c r="AC550" s="114"/>
      <c r="AD550" s="114"/>
      <c r="AE550" s="114"/>
      <c r="AF550" s="114"/>
      <c r="AG550" s="114"/>
      <c r="AH550" s="114"/>
      <c r="AI550" s="114"/>
      <c r="AJ550" s="114"/>
      <c r="AK550" s="114"/>
      <c r="AL550" s="114"/>
      <c r="AM550" s="114"/>
      <c r="AN550" s="114"/>
      <c r="AO550" s="114"/>
      <c r="AP550" s="114"/>
      <c r="AQ550" s="114"/>
      <c r="AR550" s="114"/>
      <c r="AS550" s="114"/>
      <c r="AT550" s="114"/>
      <c r="AU550" s="114"/>
      <c r="AV550" s="114"/>
      <c r="AW550" s="114"/>
      <c r="AX550" s="114"/>
      <c r="AY550" s="114"/>
      <c r="AZ550" s="114"/>
    </row>
    <row r="551" spans="1:52">
      <c r="A551" s="111"/>
      <c r="B551" s="111"/>
      <c r="C551" s="112"/>
      <c r="D551" s="101"/>
      <c r="E551" s="101"/>
      <c r="F551" s="101"/>
      <c r="G551" s="111"/>
      <c r="H551" s="101"/>
      <c r="I551" s="101"/>
      <c r="J551" s="101"/>
      <c r="K551" s="101"/>
      <c r="L551" s="101"/>
      <c r="M551" s="101"/>
      <c r="N551" s="101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14"/>
      <c r="Z551" s="114"/>
      <c r="AA551" s="114"/>
      <c r="AB551" s="114"/>
      <c r="AC551" s="114"/>
      <c r="AD551" s="114"/>
      <c r="AE551" s="114"/>
      <c r="AF551" s="114"/>
      <c r="AG551" s="114"/>
      <c r="AH551" s="114"/>
      <c r="AI551" s="114"/>
      <c r="AJ551" s="114"/>
      <c r="AK551" s="114"/>
      <c r="AL551" s="114"/>
      <c r="AM551" s="114"/>
      <c r="AN551" s="114"/>
      <c r="AO551" s="114"/>
      <c r="AP551" s="114"/>
      <c r="AQ551" s="114"/>
      <c r="AR551" s="114"/>
      <c r="AS551" s="114"/>
      <c r="AT551" s="114"/>
      <c r="AU551" s="114"/>
      <c r="AV551" s="114"/>
      <c r="AW551" s="114"/>
      <c r="AX551" s="114"/>
      <c r="AY551" s="114"/>
      <c r="AZ551" s="114"/>
    </row>
    <row r="552" spans="1:52">
      <c r="A552" s="111"/>
      <c r="B552" s="111"/>
      <c r="C552" s="112"/>
      <c r="D552" s="101"/>
      <c r="E552" s="101"/>
      <c r="F552" s="101"/>
      <c r="G552" s="111"/>
      <c r="H552" s="101"/>
      <c r="I552" s="101"/>
      <c r="J552" s="101"/>
      <c r="K552" s="101"/>
      <c r="L552" s="101"/>
      <c r="M552" s="101"/>
      <c r="N552" s="101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  <c r="Y552" s="114"/>
      <c r="Z552" s="114"/>
      <c r="AA552" s="114"/>
      <c r="AB552" s="114"/>
      <c r="AC552" s="114"/>
      <c r="AD552" s="114"/>
      <c r="AE552" s="114"/>
      <c r="AF552" s="114"/>
      <c r="AG552" s="114"/>
      <c r="AH552" s="114"/>
      <c r="AI552" s="114"/>
      <c r="AJ552" s="114"/>
      <c r="AK552" s="114"/>
      <c r="AL552" s="114"/>
      <c r="AM552" s="114"/>
      <c r="AN552" s="114"/>
      <c r="AO552" s="114"/>
      <c r="AP552" s="114"/>
      <c r="AQ552" s="114"/>
      <c r="AR552" s="114"/>
      <c r="AS552" s="114"/>
      <c r="AT552" s="114"/>
      <c r="AU552" s="114"/>
      <c r="AV552" s="114"/>
      <c r="AW552" s="114"/>
      <c r="AX552" s="114"/>
      <c r="AY552" s="114"/>
      <c r="AZ552" s="114"/>
    </row>
    <row r="553" spans="1:52">
      <c r="A553" s="111"/>
      <c r="B553" s="111"/>
      <c r="C553" s="112"/>
      <c r="D553" s="101"/>
      <c r="E553" s="101"/>
      <c r="F553" s="101"/>
      <c r="G553" s="111"/>
      <c r="H553" s="101"/>
      <c r="I553" s="101"/>
      <c r="J553" s="101"/>
      <c r="K553" s="101"/>
      <c r="L553" s="101"/>
      <c r="M553" s="101"/>
      <c r="N553" s="101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  <c r="Y553" s="114"/>
      <c r="Z553" s="114"/>
      <c r="AA553" s="114"/>
      <c r="AB553" s="114"/>
      <c r="AC553" s="114"/>
      <c r="AD553" s="114"/>
      <c r="AE553" s="114"/>
      <c r="AF553" s="114"/>
      <c r="AG553" s="114"/>
      <c r="AH553" s="114"/>
      <c r="AI553" s="114"/>
      <c r="AJ553" s="114"/>
      <c r="AK553" s="114"/>
      <c r="AL553" s="114"/>
      <c r="AM553" s="114"/>
      <c r="AN553" s="114"/>
      <c r="AO553" s="114"/>
      <c r="AP553" s="114"/>
      <c r="AQ553" s="114"/>
      <c r="AR553" s="114"/>
      <c r="AS553" s="114"/>
      <c r="AT553" s="114"/>
      <c r="AU553" s="114"/>
      <c r="AV553" s="114"/>
      <c r="AW553" s="114"/>
      <c r="AX553" s="114"/>
      <c r="AY553" s="114"/>
      <c r="AZ553" s="114"/>
    </row>
    <row r="554" spans="1:52">
      <c r="A554" s="111"/>
      <c r="B554" s="111"/>
      <c r="C554" s="112"/>
      <c r="D554" s="101"/>
      <c r="E554" s="101"/>
      <c r="F554" s="101"/>
      <c r="G554" s="111"/>
      <c r="H554" s="101"/>
      <c r="I554" s="101"/>
      <c r="J554" s="101"/>
      <c r="K554" s="101"/>
      <c r="L554" s="101"/>
      <c r="M554" s="101"/>
      <c r="N554" s="101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  <c r="Y554" s="114"/>
      <c r="Z554" s="114"/>
      <c r="AA554" s="114"/>
      <c r="AB554" s="114"/>
      <c r="AC554" s="114"/>
      <c r="AD554" s="114"/>
      <c r="AE554" s="114"/>
      <c r="AF554" s="114"/>
      <c r="AG554" s="114"/>
      <c r="AH554" s="114"/>
      <c r="AI554" s="114"/>
      <c r="AJ554" s="114"/>
      <c r="AK554" s="114"/>
      <c r="AL554" s="114"/>
      <c r="AM554" s="114"/>
      <c r="AN554" s="114"/>
      <c r="AO554" s="114"/>
      <c r="AP554" s="114"/>
      <c r="AQ554" s="114"/>
      <c r="AR554" s="114"/>
      <c r="AS554" s="114"/>
      <c r="AT554" s="114"/>
      <c r="AU554" s="114"/>
      <c r="AV554" s="114"/>
      <c r="AW554" s="114"/>
      <c r="AX554" s="114"/>
      <c r="AY554" s="114"/>
      <c r="AZ554" s="114"/>
    </row>
    <row r="555" spans="1:52">
      <c r="A555" s="111"/>
      <c r="B555" s="111"/>
      <c r="C555" s="112"/>
      <c r="D555" s="101"/>
      <c r="E555" s="101"/>
      <c r="F555" s="101"/>
      <c r="G555" s="111"/>
      <c r="H555" s="101"/>
      <c r="I555" s="101"/>
      <c r="J555" s="101"/>
      <c r="K555" s="101"/>
      <c r="L555" s="101"/>
      <c r="M555" s="101"/>
      <c r="N555" s="101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  <c r="Y555" s="114"/>
      <c r="Z555" s="114"/>
      <c r="AA555" s="114"/>
      <c r="AB555" s="114"/>
      <c r="AC555" s="114"/>
      <c r="AD555" s="114"/>
      <c r="AE555" s="114"/>
      <c r="AF555" s="114"/>
      <c r="AG555" s="114"/>
      <c r="AH555" s="114"/>
      <c r="AI555" s="114"/>
      <c r="AJ555" s="114"/>
      <c r="AK555" s="114"/>
      <c r="AL555" s="114"/>
      <c r="AM555" s="114"/>
      <c r="AN555" s="114"/>
      <c r="AO555" s="114"/>
      <c r="AP555" s="114"/>
      <c r="AQ555" s="114"/>
      <c r="AR555" s="114"/>
      <c r="AS555" s="114"/>
      <c r="AT555" s="114"/>
      <c r="AU555" s="114"/>
      <c r="AV555" s="114"/>
      <c r="AW555" s="114"/>
      <c r="AX555" s="114"/>
      <c r="AY555" s="114"/>
      <c r="AZ555" s="114"/>
    </row>
    <row r="556" spans="1:52">
      <c r="A556" s="111"/>
      <c r="B556" s="111"/>
      <c r="C556" s="112"/>
      <c r="D556" s="101"/>
      <c r="E556" s="101"/>
      <c r="F556" s="101"/>
      <c r="G556" s="111"/>
      <c r="H556" s="101"/>
      <c r="I556" s="101"/>
      <c r="J556" s="101"/>
      <c r="K556" s="101"/>
      <c r="L556" s="101"/>
      <c r="M556" s="101"/>
      <c r="N556" s="101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  <c r="Y556" s="114"/>
      <c r="Z556" s="114"/>
      <c r="AA556" s="114"/>
      <c r="AB556" s="114"/>
      <c r="AC556" s="114"/>
      <c r="AD556" s="114"/>
      <c r="AE556" s="114"/>
      <c r="AF556" s="114"/>
      <c r="AG556" s="114"/>
      <c r="AH556" s="114"/>
      <c r="AI556" s="114"/>
      <c r="AJ556" s="114"/>
      <c r="AK556" s="114"/>
      <c r="AL556" s="114"/>
      <c r="AM556" s="114"/>
      <c r="AN556" s="114"/>
      <c r="AO556" s="114"/>
      <c r="AP556" s="114"/>
      <c r="AQ556" s="114"/>
      <c r="AR556" s="114"/>
      <c r="AS556" s="114"/>
      <c r="AT556" s="114"/>
      <c r="AU556" s="114"/>
      <c r="AV556" s="114"/>
      <c r="AW556" s="114"/>
      <c r="AX556" s="114"/>
      <c r="AY556" s="114"/>
      <c r="AZ556" s="114"/>
    </row>
    <row r="557" spans="1:52">
      <c r="A557" s="111"/>
      <c r="B557" s="111"/>
      <c r="C557" s="112"/>
      <c r="D557" s="101"/>
      <c r="E557" s="101"/>
      <c r="F557" s="101"/>
      <c r="G557" s="111"/>
      <c r="H557" s="101"/>
      <c r="I557" s="101"/>
      <c r="J557" s="101"/>
      <c r="K557" s="101"/>
      <c r="L557" s="101"/>
      <c r="M557" s="101"/>
      <c r="N557" s="101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  <c r="Y557" s="114"/>
      <c r="Z557" s="114"/>
      <c r="AA557" s="114"/>
      <c r="AB557" s="114"/>
      <c r="AC557" s="114"/>
      <c r="AD557" s="114"/>
      <c r="AE557" s="114"/>
      <c r="AF557" s="114"/>
      <c r="AG557" s="114"/>
      <c r="AH557" s="114"/>
      <c r="AI557" s="114"/>
      <c r="AJ557" s="114"/>
      <c r="AK557" s="114"/>
      <c r="AL557" s="114"/>
      <c r="AM557" s="114"/>
      <c r="AN557" s="114"/>
      <c r="AO557" s="114"/>
      <c r="AP557" s="114"/>
      <c r="AQ557" s="114"/>
      <c r="AR557" s="114"/>
      <c r="AS557" s="114"/>
      <c r="AT557" s="114"/>
      <c r="AU557" s="114"/>
      <c r="AV557" s="114"/>
      <c r="AW557" s="114"/>
      <c r="AX557" s="114"/>
      <c r="AY557" s="114"/>
      <c r="AZ557" s="114"/>
    </row>
    <row r="558" spans="1:52">
      <c r="A558" s="111"/>
      <c r="B558" s="111"/>
      <c r="C558" s="112"/>
      <c r="D558" s="101"/>
      <c r="E558" s="101"/>
      <c r="F558" s="101"/>
      <c r="G558" s="111"/>
      <c r="H558" s="101"/>
      <c r="I558" s="101"/>
      <c r="J558" s="101"/>
      <c r="K558" s="101"/>
      <c r="L558" s="101"/>
      <c r="M558" s="101"/>
      <c r="N558" s="101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  <c r="Y558" s="114"/>
      <c r="Z558" s="114"/>
      <c r="AA558" s="114"/>
      <c r="AB558" s="114"/>
      <c r="AC558" s="114"/>
      <c r="AD558" s="114"/>
      <c r="AE558" s="114"/>
      <c r="AF558" s="114"/>
      <c r="AG558" s="114"/>
      <c r="AH558" s="114"/>
      <c r="AI558" s="114"/>
      <c r="AJ558" s="114"/>
      <c r="AK558" s="114"/>
      <c r="AL558" s="114"/>
      <c r="AM558" s="114"/>
      <c r="AN558" s="114"/>
      <c r="AO558" s="114"/>
      <c r="AP558" s="114"/>
      <c r="AQ558" s="114"/>
      <c r="AR558" s="114"/>
      <c r="AS558" s="114"/>
      <c r="AT558" s="114"/>
      <c r="AU558" s="114"/>
      <c r="AV558" s="114"/>
      <c r="AW558" s="114"/>
      <c r="AX558" s="114"/>
      <c r="AY558" s="114"/>
      <c r="AZ558" s="114"/>
    </row>
    <row r="559" spans="1:52">
      <c r="A559" s="111"/>
      <c r="B559" s="111"/>
      <c r="C559" s="112"/>
      <c r="D559" s="101"/>
      <c r="E559" s="101"/>
      <c r="F559" s="101"/>
      <c r="G559" s="111"/>
      <c r="H559" s="101"/>
      <c r="I559" s="101"/>
      <c r="J559" s="101"/>
      <c r="K559" s="101"/>
      <c r="L559" s="101"/>
      <c r="M559" s="101"/>
      <c r="N559" s="101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  <c r="Y559" s="114"/>
      <c r="Z559" s="114"/>
      <c r="AA559" s="114"/>
      <c r="AB559" s="114"/>
      <c r="AC559" s="114"/>
      <c r="AD559" s="114"/>
      <c r="AE559" s="114"/>
      <c r="AF559" s="114"/>
      <c r="AG559" s="114"/>
      <c r="AH559" s="114"/>
      <c r="AI559" s="114"/>
      <c r="AJ559" s="114"/>
      <c r="AK559" s="114"/>
      <c r="AL559" s="114"/>
      <c r="AM559" s="114"/>
      <c r="AN559" s="114"/>
      <c r="AO559" s="114"/>
      <c r="AP559" s="114"/>
      <c r="AQ559" s="114"/>
      <c r="AR559" s="114"/>
      <c r="AS559" s="114"/>
      <c r="AT559" s="114"/>
      <c r="AU559" s="114"/>
      <c r="AV559" s="114"/>
      <c r="AW559" s="114"/>
      <c r="AX559" s="114"/>
      <c r="AY559" s="114"/>
      <c r="AZ559" s="114"/>
    </row>
    <row r="560" spans="1:52">
      <c r="A560" s="111"/>
      <c r="B560" s="111"/>
      <c r="C560" s="112"/>
      <c r="D560" s="101"/>
      <c r="E560" s="101"/>
      <c r="F560" s="101"/>
      <c r="G560" s="111"/>
      <c r="H560" s="101"/>
      <c r="I560" s="101"/>
      <c r="J560" s="101"/>
      <c r="K560" s="101"/>
      <c r="L560" s="101"/>
      <c r="M560" s="101"/>
      <c r="N560" s="101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  <c r="Y560" s="114"/>
      <c r="Z560" s="114"/>
      <c r="AA560" s="114"/>
      <c r="AB560" s="114"/>
      <c r="AC560" s="114"/>
      <c r="AD560" s="114"/>
      <c r="AE560" s="114"/>
      <c r="AF560" s="114"/>
      <c r="AG560" s="114"/>
      <c r="AH560" s="114"/>
      <c r="AI560" s="114"/>
      <c r="AJ560" s="114"/>
      <c r="AK560" s="114"/>
      <c r="AL560" s="114"/>
      <c r="AM560" s="114"/>
      <c r="AN560" s="114"/>
      <c r="AO560" s="114"/>
      <c r="AP560" s="114"/>
      <c r="AQ560" s="114"/>
      <c r="AR560" s="114"/>
      <c r="AS560" s="114"/>
      <c r="AT560" s="114"/>
      <c r="AU560" s="114"/>
      <c r="AV560" s="114"/>
      <c r="AW560" s="114"/>
      <c r="AX560" s="114"/>
      <c r="AY560" s="114"/>
      <c r="AZ560" s="114"/>
    </row>
    <row r="561" spans="1:52">
      <c r="A561" s="111"/>
      <c r="B561" s="111"/>
      <c r="C561" s="112"/>
      <c r="D561" s="101"/>
      <c r="E561" s="101"/>
      <c r="F561" s="101"/>
      <c r="G561" s="111"/>
      <c r="H561" s="101"/>
      <c r="I561" s="101"/>
      <c r="J561" s="101"/>
      <c r="K561" s="101"/>
      <c r="L561" s="101"/>
      <c r="M561" s="101"/>
      <c r="N561" s="101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  <c r="Y561" s="114"/>
      <c r="Z561" s="114"/>
      <c r="AA561" s="114"/>
      <c r="AB561" s="114"/>
      <c r="AC561" s="114"/>
      <c r="AD561" s="114"/>
      <c r="AE561" s="114"/>
      <c r="AF561" s="114"/>
      <c r="AG561" s="114"/>
      <c r="AH561" s="114"/>
      <c r="AI561" s="114"/>
      <c r="AJ561" s="114"/>
      <c r="AK561" s="114"/>
      <c r="AL561" s="114"/>
      <c r="AM561" s="114"/>
      <c r="AN561" s="114"/>
      <c r="AO561" s="114"/>
      <c r="AP561" s="114"/>
      <c r="AQ561" s="114"/>
      <c r="AR561" s="114"/>
      <c r="AS561" s="114"/>
      <c r="AT561" s="114"/>
      <c r="AU561" s="114"/>
      <c r="AV561" s="114"/>
      <c r="AW561" s="114"/>
      <c r="AX561" s="114"/>
      <c r="AY561" s="114"/>
      <c r="AZ561" s="114"/>
    </row>
    <row r="562" spans="1:52">
      <c r="A562" s="111"/>
      <c r="B562" s="111"/>
      <c r="C562" s="112"/>
      <c r="D562" s="101"/>
      <c r="E562" s="101"/>
      <c r="F562" s="101"/>
      <c r="G562" s="111"/>
      <c r="H562" s="101"/>
      <c r="I562" s="101"/>
      <c r="J562" s="101"/>
      <c r="K562" s="101"/>
      <c r="L562" s="101"/>
      <c r="M562" s="101"/>
      <c r="N562" s="101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  <c r="Y562" s="114"/>
      <c r="Z562" s="114"/>
      <c r="AA562" s="114"/>
      <c r="AB562" s="114"/>
      <c r="AC562" s="114"/>
      <c r="AD562" s="114"/>
      <c r="AE562" s="114"/>
      <c r="AF562" s="114"/>
      <c r="AG562" s="114"/>
      <c r="AH562" s="114"/>
      <c r="AI562" s="114"/>
      <c r="AJ562" s="114"/>
      <c r="AK562" s="114"/>
      <c r="AL562" s="114"/>
      <c r="AM562" s="114"/>
      <c r="AN562" s="114"/>
      <c r="AO562" s="114"/>
      <c r="AP562" s="114"/>
      <c r="AQ562" s="114"/>
      <c r="AR562" s="114"/>
      <c r="AS562" s="114"/>
      <c r="AT562" s="114"/>
      <c r="AU562" s="114"/>
      <c r="AV562" s="114"/>
      <c r="AW562" s="114"/>
      <c r="AX562" s="114"/>
      <c r="AY562" s="114"/>
      <c r="AZ562" s="114"/>
    </row>
    <row r="563" spans="1:52">
      <c r="A563" s="111"/>
      <c r="B563" s="111"/>
      <c r="C563" s="112"/>
      <c r="D563" s="101"/>
      <c r="E563" s="101"/>
      <c r="F563" s="101"/>
      <c r="G563" s="111"/>
      <c r="H563" s="101"/>
      <c r="I563" s="101"/>
      <c r="J563" s="101"/>
      <c r="K563" s="101"/>
      <c r="L563" s="101"/>
      <c r="M563" s="101"/>
      <c r="N563" s="101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  <c r="Y563" s="114"/>
      <c r="Z563" s="114"/>
      <c r="AA563" s="114"/>
      <c r="AB563" s="114"/>
      <c r="AC563" s="114"/>
      <c r="AD563" s="114"/>
      <c r="AE563" s="114"/>
      <c r="AF563" s="114"/>
      <c r="AG563" s="114"/>
      <c r="AH563" s="114"/>
      <c r="AI563" s="114"/>
      <c r="AJ563" s="114"/>
      <c r="AK563" s="114"/>
      <c r="AL563" s="114"/>
      <c r="AM563" s="114"/>
      <c r="AN563" s="114"/>
      <c r="AO563" s="114"/>
      <c r="AP563" s="114"/>
      <c r="AQ563" s="114"/>
      <c r="AR563" s="114"/>
      <c r="AS563" s="114"/>
      <c r="AT563" s="114"/>
      <c r="AU563" s="114"/>
      <c r="AV563" s="114"/>
      <c r="AW563" s="114"/>
      <c r="AX563" s="114"/>
      <c r="AY563" s="114"/>
      <c r="AZ563" s="114"/>
    </row>
    <row r="564" spans="1:52">
      <c r="A564" s="111"/>
      <c r="B564" s="111"/>
      <c r="C564" s="112"/>
      <c r="D564" s="101"/>
      <c r="E564" s="101"/>
      <c r="F564" s="101"/>
      <c r="G564" s="111"/>
      <c r="H564" s="101"/>
      <c r="I564" s="101"/>
      <c r="J564" s="101"/>
      <c r="K564" s="101"/>
      <c r="L564" s="101"/>
      <c r="M564" s="101"/>
      <c r="N564" s="101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  <c r="Y564" s="114"/>
      <c r="Z564" s="114"/>
      <c r="AA564" s="114"/>
      <c r="AB564" s="114"/>
      <c r="AC564" s="114"/>
      <c r="AD564" s="114"/>
      <c r="AE564" s="114"/>
      <c r="AF564" s="114"/>
      <c r="AG564" s="114"/>
      <c r="AH564" s="114"/>
      <c r="AI564" s="114"/>
      <c r="AJ564" s="114"/>
      <c r="AK564" s="114"/>
      <c r="AL564" s="114"/>
      <c r="AM564" s="114"/>
      <c r="AN564" s="114"/>
      <c r="AO564" s="114"/>
      <c r="AP564" s="114"/>
      <c r="AQ564" s="114"/>
      <c r="AR564" s="114"/>
      <c r="AS564" s="114"/>
      <c r="AT564" s="114"/>
      <c r="AU564" s="114"/>
      <c r="AV564" s="114"/>
      <c r="AW564" s="114"/>
      <c r="AX564" s="114"/>
      <c r="AY564" s="114"/>
      <c r="AZ564" s="114"/>
    </row>
    <row r="565" spans="1:52">
      <c r="A565" s="111"/>
      <c r="B565" s="111"/>
      <c r="C565" s="112"/>
      <c r="D565" s="101"/>
      <c r="E565" s="101"/>
      <c r="F565" s="101"/>
      <c r="G565" s="111"/>
      <c r="H565" s="101"/>
      <c r="I565" s="101"/>
      <c r="J565" s="101"/>
      <c r="K565" s="101"/>
      <c r="L565" s="101"/>
      <c r="M565" s="101"/>
      <c r="N565" s="101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  <c r="Y565" s="114"/>
      <c r="Z565" s="114"/>
      <c r="AA565" s="114"/>
      <c r="AB565" s="114"/>
      <c r="AC565" s="114"/>
      <c r="AD565" s="114"/>
      <c r="AE565" s="114"/>
      <c r="AF565" s="114"/>
      <c r="AG565" s="114"/>
      <c r="AH565" s="114"/>
      <c r="AI565" s="114"/>
      <c r="AJ565" s="114"/>
      <c r="AK565" s="114"/>
      <c r="AL565" s="114"/>
      <c r="AM565" s="114"/>
      <c r="AN565" s="114"/>
      <c r="AO565" s="114"/>
      <c r="AP565" s="114"/>
      <c r="AQ565" s="114"/>
      <c r="AR565" s="114"/>
      <c r="AS565" s="114"/>
      <c r="AT565" s="114"/>
      <c r="AU565" s="114"/>
      <c r="AV565" s="114"/>
      <c r="AW565" s="114"/>
      <c r="AX565" s="114"/>
      <c r="AY565" s="114"/>
      <c r="AZ565" s="114"/>
    </row>
    <row r="566" spans="1:52">
      <c r="A566" s="111"/>
      <c r="B566" s="111"/>
      <c r="C566" s="112"/>
      <c r="D566" s="101"/>
      <c r="E566" s="101"/>
      <c r="F566" s="101"/>
      <c r="G566" s="111"/>
      <c r="H566" s="101"/>
      <c r="I566" s="101"/>
      <c r="J566" s="101"/>
      <c r="K566" s="101"/>
      <c r="L566" s="101"/>
      <c r="M566" s="101"/>
      <c r="N566" s="101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  <c r="Y566" s="114"/>
      <c r="Z566" s="114"/>
      <c r="AA566" s="114"/>
      <c r="AB566" s="114"/>
      <c r="AC566" s="114"/>
      <c r="AD566" s="114"/>
      <c r="AE566" s="114"/>
      <c r="AF566" s="114"/>
      <c r="AG566" s="114"/>
      <c r="AH566" s="114"/>
      <c r="AI566" s="114"/>
      <c r="AJ566" s="114"/>
      <c r="AK566" s="114"/>
      <c r="AL566" s="114"/>
      <c r="AM566" s="114"/>
      <c r="AN566" s="114"/>
      <c r="AO566" s="114"/>
      <c r="AP566" s="114"/>
      <c r="AQ566" s="114"/>
      <c r="AR566" s="114"/>
      <c r="AS566" s="114"/>
      <c r="AT566" s="114"/>
      <c r="AU566" s="114"/>
      <c r="AV566" s="114"/>
      <c r="AW566" s="114"/>
      <c r="AX566" s="114"/>
      <c r="AY566" s="114"/>
      <c r="AZ566" s="114"/>
    </row>
    <row r="567" spans="1:52">
      <c r="A567" s="111"/>
      <c r="B567" s="111"/>
      <c r="C567" s="112"/>
      <c r="D567" s="101"/>
      <c r="E567" s="101"/>
      <c r="F567" s="101"/>
      <c r="G567" s="111"/>
      <c r="H567" s="101"/>
      <c r="I567" s="101"/>
      <c r="J567" s="101"/>
      <c r="K567" s="101"/>
      <c r="L567" s="101"/>
      <c r="M567" s="101"/>
      <c r="N567" s="101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  <c r="Y567" s="114"/>
      <c r="Z567" s="114"/>
      <c r="AA567" s="114"/>
      <c r="AB567" s="114"/>
      <c r="AC567" s="114"/>
      <c r="AD567" s="114"/>
      <c r="AE567" s="114"/>
      <c r="AF567" s="114"/>
      <c r="AG567" s="114"/>
      <c r="AH567" s="114"/>
      <c r="AI567" s="114"/>
      <c r="AJ567" s="114"/>
      <c r="AK567" s="114"/>
      <c r="AL567" s="114"/>
      <c r="AM567" s="114"/>
      <c r="AN567" s="114"/>
      <c r="AO567" s="114"/>
      <c r="AP567" s="114"/>
      <c r="AQ567" s="114"/>
      <c r="AR567" s="114"/>
      <c r="AS567" s="114"/>
      <c r="AT567" s="114"/>
      <c r="AU567" s="114"/>
      <c r="AV567" s="114"/>
      <c r="AW567" s="114"/>
      <c r="AX567" s="114"/>
      <c r="AY567" s="114"/>
      <c r="AZ567" s="114"/>
    </row>
    <row r="568" spans="1:52">
      <c r="A568" s="111"/>
      <c r="B568" s="111"/>
      <c r="C568" s="112"/>
      <c r="D568" s="101"/>
      <c r="E568" s="101"/>
      <c r="F568" s="101"/>
      <c r="G568" s="111"/>
      <c r="H568" s="101"/>
      <c r="I568" s="101"/>
      <c r="J568" s="101"/>
      <c r="K568" s="101"/>
      <c r="L568" s="101"/>
      <c r="M568" s="101"/>
      <c r="N568" s="101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  <c r="Y568" s="114"/>
      <c r="Z568" s="114"/>
      <c r="AA568" s="114"/>
      <c r="AB568" s="114"/>
      <c r="AC568" s="114"/>
      <c r="AD568" s="114"/>
      <c r="AE568" s="114"/>
      <c r="AF568" s="114"/>
      <c r="AG568" s="114"/>
      <c r="AH568" s="114"/>
      <c r="AI568" s="114"/>
      <c r="AJ568" s="114"/>
      <c r="AK568" s="114"/>
      <c r="AL568" s="114"/>
      <c r="AM568" s="114"/>
      <c r="AN568" s="114"/>
      <c r="AO568" s="114"/>
      <c r="AP568" s="114"/>
      <c r="AQ568" s="114"/>
      <c r="AR568" s="114"/>
      <c r="AS568" s="114"/>
      <c r="AT568" s="114"/>
      <c r="AU568" s="114"/>
      <c r="AV568" s="114"/>
      <c r="AW568" s="114"/>
      <c r="AX568" s="114"/>
      <c r="AY568" s="114"/>
      <c r="AZ568" s="114"/>
    </row>
    <row r="569" spans="1:52">
      <c r="A569" s="111"/>
      <c r="B569" s="111"/>
      <c r="C569" s="112"/>
      <c r="D569" s="101"/>
      <c r="E569" s="101"/>
      <c r="F569" s="101"/>
      <c r="G569" s="111"/>
      <c r="H569" s="101"/>
      <c r="I569" s="101"/>
      <c r="J569" s="101"/>
      <c r="K569" s="101"/>
      <c r="L569" s="101"/>
      <c r="M569" s="101"/>
      <c r="N569" s="101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  <c r="Y569" s="114"/>
      <c r="Z569" s="114"/>
      <c r="AA569" s="114"/>
      <c r="AB569" s="114"/>
      <c r="AC569" s="114"/>
      <c r="AD569" s="114"/>
      <c r="AE569" s="114"/>
      <c r="AF569" s="114"/>
      <c r="AG569" s="114"/>
      <c r="AH569" s="114"/>
      <c r="AI569" s="114"/>
      <c r="AJ569" s="114"/>
      <c r="AK569" s="114"/>
      <c r="AL569" s="114"/>
      <c r="AM569" s="114"/>
      <c r="AN569" s="114"/>
      <c r="AO569" s="114"/>
      <c r="AP569" s="114"/>
      <c r="AQ569" s="114"/>
      <c r="AR569" s="114"/>
      <c r="AS569" s="114"/>
      <c r="AT569" s="114"/>
      <c r="AU569" s="114"/>
      <c r="AV569" s="114"/>
      <c r="AW569" s="114"/>
      <c r="AX569" s="114"/>
      <c r="AY569" s="114"/>
      <c r="AZ569" s="114"/>
    </row>
    <row r="570" spans="1:52">
      <c r="A570" s="111"/>
      <c r="B570" s="111"/>
      <c r="C570" s="112"/>
      <c r="D570" s="101"/>
      <c r="E570" s="101"/>
      <c r="F570" s="101"/>
      <c r="G570" s="111"/>
      <c r="H570" s="101"/>
      <c r="I570" s="101"/>
      <c r="J570" s="101"/>
      <c r="K570" s="101"/>
      <c r="L570" s="101"/>
      <c r="M570" s="101"/>
      <c r="N570" s="101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  <c r="Y570" s="114"/>
      <c r="Z570" s="114"/>
      <c r="AA570" s="114"/>
      <c r="AB570" s="114"/>
      <c r="AC570" s="114"/>
      <c r="AD570" s="114"/>
      <c r="AE570" s="114"/>
      <c r="AF570" s="114"/>
      <c r="AG570" s="114"/>
      <c r="AH570" s="114"/>
      <c r="AI570" s="114"/>
      <c r="AJ570" s="114"/>
      <c r="AK570" s="114"/>
      <c r="AL570" s="114"/>
      <c r="AM570" s="114"/>
      <c r="AN570" s="114"/>
      <c r="AO570" s="114"/>
      <c r="AP570" s="114"/>
      <c r="AQ570" s="114"/>
      <c r="AR570" s="114"/>
      <c r="AS570" s="114"/>
      <c r="AT570" s="114"/>
      <c r="AU570" s="114"/>
      <c r="AV570" s="114"/>
      <c r="AW570" s="114"/>
      <c r="AX570" s="114"/>
      <c r="AY570" s="114"/>
      <c r="AZ570" s="114"/>
    </row>
    <row r="571" spans="1:52">
      <c r="A571" s="111"/>
      <c r="B571" s="111"/>
      <c r="C571" s="112"/>
      <c r="D571" s="101"/>
      <c r="E571" s="101"/>
      <c r="F571" s="101"/>
      <c r="G571" s="111"/>
      <c r="H571" s="101"/>
      <c r="I571" s="101"/>
      <c r="J571" s="101"/>
      <c r="K571" s="101"/>
      <c r="L571" s="101"/>
      <c r="M571" s="101"/>
      <c r="N571" s="101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  <c r="Y571" s="114"/>
      <c r="Z571" s="114"/>
      <c r="AA571" s="114"/>
      <c r="AB571" s="114"/>
      <c r="AC571" s="114"/>
      <c r="AD571" s="114"/>
      <c r="AE571" s="114"/>
      <c r="AF571" s="114"/>
      <c r="AG571" s="114"/>
      <c r="AH571" s="114"/>
      <c r="AI571" s="114"/>
      <c r="AJ571" s="114"/>
      <c r="AK571" s="114"/>
      <c r="AL571" s="114"/>
      <c r="AM571" s="114"/>
      <c r="AN571" s="114"/>
      <c r="AO571" s="114"/>
      <c r="AP571" s="114"/>
      <c r="AQ571" s="114"/>
      <c r="AR571" s="114"/>
      <c r="AS571" s="114"/>
      <c r="AT571" s="114"/>
      <c r="AU571" s="114"/>
      <c r="AV571" s="114"/>
      <c r="AW571" s="114"/>
      <c r="AX571" s="114"/>
      <c r="AY571" s="114"/>
      <c r="AZ571" s="114"/>
    </row>
    <row r="572" spans="1:52">
      <c r="A572" s="111"/>
      <c r="B572" s="111"/>
      <c r="C572" s="112"/>
      <c r="D572" s="101"/>
      <c r="E572" s="101"/>
      <c r="F572" s="101"/>
      <c r="G572" s="111"/>
      <c r="H572" s="101"/>
      <c r="I572" s="101"/>
      <c r="J572" s="101"/>
      <c r="K572" s="101"/>
      <c r="L572" s="101"/>
      <c r="M572" s="101"/>
      <c r="N572" s="101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  <c r="Y572" s="114"/>
      <c r="Z572" s="114"/>
      <c r="AA572" s="114"/>
      <c r="AB572" s="114"/>
      <c r="AC572" s="114"/>
      <c r="AD572" s="114"/>
      <c r="AE572" s="114"/>
      <c r="AF572" s="114"/>
      <c r="AG572" s="114"/>
      <c r="AH572" s="114"/>
      <c r="AI572" s="114"/>
      <c r="AJ572" s="114"/>
      <c r="AK572" s="114"/>
      <c r="AL572" s="114"/>
      <c r="AM572" s="114"/>
      <c r="AN572" s="114"/>
      <c r="AO572" s="114"/>
      <c r="AP572" s="114"/>
      <c r="AQ572" s="114"/>
      <c r="AR572" s="114"/>
      <c r="AS572" s="114"/>
      <c r="AT572" s="114"/>
      <c r="AU572" s="114"/>
      <c r="AV572" s="114"/>
      <c r="AW572" s="114"/>
      <c r="AX572" s="114"/>
      <c r="AY572" s="114"/>
      <c r="AZ572" s="114"/>
    </row>
    <row r="573" spans="1:52">
      <c r="A573" s="111"/>
      <c r="B573" s="111"/>
      <c r="C573" s="112"/>
      <c r="D573" s="101"/>
      <c r="E573" s="101"/>
      <c r="F573" s="101"/>
      <c r="G573" s="111"/>
      <c r="H573" s="101"/>
      <c r="I573" s="101"/>
      <c r="J573" s="101"/>
      <c r="K573" s="101"/>
      <c r="L573" s="101"/>
      <c r="M573" s="101"/>
      <c r="N573" s="101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  <c r="Y573" s="114"/>
      <c r="Z573" s="114"/>
      <c r="AA573" s="114"/>
      <c r="AB573" s="114"/>
      <c r="AC573" s="114"/>
      <c r="AD573" s="114"/>
      <c r="AE573" s="114"/>
      <c r="AF573" s="114"/>
      <c r="AG573" s="114"/>
      <c r="AH573" s="114"/>
      <c r="AI573" s="114"/>
      <c r="AJ573" s="114"/>
      <c r="AK573" s="114"/>
      <c r="AL573" s="114"/>
      <c r="AM573" s="114"/>
      <c r="AN573" s="114"/>
      <c r="AO573" s="114"/>
      <c r="AP573" s="114"/>
      <c r="AQ573" s="114"/>
      <c r="AR573" s="114"/>
      <c r="AS573" s="114"/>
      <c r="AT573" s="114"/>
      <c r="AU573" s="114"/>
      <c r="AV573" s="114"/>
      <c r="AW573" s="114"/>
      <c r="AX573" s="114"/>
      <c r="AY573" s="114"/>
      <c r="AZ573" s="114"/>
    </row>
    <row r="574" spans="1:52">
      <c r="A574" s="111"/>
      <c r="B574" s="111"/>
      <c r="C574" s="112"/>
      <c r="D574" s="101"/>
      <c r="E574" s="101"/>
      <c r="F574" s="101"/>
      <c r="G574" s="111"/>
      <c r="H574" s="101"/>
      <c r="I574" s="101"/>
      <c r="J574" s="101"/>
      <c r="K574" s="101"/>
      <c r="L574" s="101"/>
      <c r="M574" s="101"/>
      <c r="N574" s="101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  <c r="Y574" s="114"/>
      <c r="Z574" s="114"/>
      <c r="AA574" s="114"/>
      <c r="AB574" s="114"/>
      <c r="AC574" s="114"/>
      <c r="AD574" s="114"/>
      <c r="AE574" s="114"/>
      <c r="AF574" s="114"/>
      <c r="AG574" s="114"/>
      <c r="AH574" s="114"/>
      <c r="AI574" s="114"/>
      <c r="AJ574" s="114"/>
      <c r="AK574" s="114"/>
      <c r="AL574" s="114"/>
      <c r="AM574" s="114"/>
      <c r="AN574" s="114"/>
      <c r="AO574" s="114"/>
      <c r="AP574" s="114"/>
      <c r="AQ574" s="114"/>
      <c r="AR574" s="114"/>
      <c r="AS574" s="114"/>
      <c r="AT574" s="114"/>
      <c r="AU574" s="114"/>
      <c r="AV574" s="114"/>
      <c r="AW574" s="114"/>
      <c r="AX574" s="114"/>
      <c r="AY574" s="114"/>
      <c r="AZ574" s="114"/>
    </row>
    <row r="575" spans="1:52">
      <c r="A575" s="111"/>
      <c r="B575" s="111"/>
      <c r="C575" s="112"/>
      <c r="D575" s="101"/>
      <c r="E575" s="101"/>
      <c r="F575" s="101"/>
      <c r="G575" s="111"/>
      <c r="H575" s="101"/>
      <c r="I575" s="101"/>
      <c r="J575" s="101"/>
      <c r="K575" s="101"/>
      <c r="L575" s="101"/>
      <c r="M575" s="101"/>
      <c r="N575" s="101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  <c r="Y575" s="114"/>
      <c r="Z575" s="114"/>
      <c r="AA575" s="114"/>
      <c r="AB575" s="114"/>
      <c r="AC575" s="114"/>
      <c r="AD575" s="114"/>
      <c r="AE575" s="114"/>
      <c r="AF575" s="114"/>
      <c r="AG575" s="114"/>
      <c r="AH575" s="114"/>
      <c r="AI575" s="114"/>
      <c r="AJ575" s="114"/>
      <c r="AK575" s="114"/>
      <c r="AL575" s="114"/>
      <c r="AM575" s="114"/>
      <c r="AN575" s="114"/>
      <c r="AO575" s="114"/>
      <c r="AP575" s="114"/>
      <c r="AQ575" s="114"/>
      <c r="AR575" s="114"/>
      <c r="AS575" s="114"/>
      <c r="AT575" s="114"/>
      <c r="AU575" s="114"/>
      <c r="AV575" s="114"/>
      <c r="AW575" s="114"/>
      <c r="AX575" s="114"/>
      <c r="AY575" s="114"/>
      <c r="AZ575" s="114"/>
    </row>
    <row r="576" spans="1:52">
      <c r="A576" s="111"/>
      <c r="B576" s="111"/>
      <c r="C576" s="112"/>
      <c r="D576" s="101"/>
      <c r="E576" s="101"/>
      <c r="F576" s="101"/>
      <c r="G576" s="111"/>
      <c r="H576" s="101"/>
      <c r="I576" s="101"/>
      <c r="J576" s="101"/>
      <c r="K576" s="101"/>
      <c r="L576" s="101"/>
      <c r="M576" s="101"/>
      <c r="N576" s="101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  <c r="Y576" s="114"/>
      <c r="Z576" s="114"/>
      <c r="AA576" s="114"/>
      <c r="AB576" s="114"/>
      <c r="AC576" s="114"/>
      <c r="AD576" s="114"/>
      <c r="AE576" s="114"/>
      <c r="AF576" s="114"/>
      <c r="AG576" s="114"/>
      <c r="AH576" s="114"/>
      <c r="AI576" s="114"/>
      <c r="AJ576" s="114"/>
      <c r="AK576" s="114"/>
      <c r="AL576" s="114"/>
      <c r="AM576" s="114"/>
      <c r="AN576" s="114"/>
      <c r="AO576" s="114"/>
      <c r="AP576" s="114"/>
      <c r="AQ576" s="114"/>
      <c r="AR576" s="114"/>
      <c r="AS576" s="114"/>
      <c r="AT576" s="114"/>
      <c r="AU576" s="114"/>
      <c r="AV576" s="114"/>
      <c r="AW576" s="114"/>
      <c r="AX576" s="114"/>
      <c r="AY576" s="114"/>
      <c r="AZ576" s="114"/>
    </row>
    <row r="577" spans="1:52">
      <c r="A577" s="111"/>
      <c r="B577" s="111"/>
      <c r="C577" s="112"/>
      <c r="D577" s="101"/>
      <c r="E577" s="101"/>
      <c r="F577" s="101"/>
      <c r="G577" s="111"/>
      <c r="H577" s="101"/>
      <c r="I577" s="101"/>
      <c r="J577" s="101"/>
      <c r="K577" s="101"/>
      <c r="L577" s="101"/>
      <c r="M577" s="101"/>
      <c r="N577" s="101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  <c r="Y577" s="114"/>
      <c r="Z577" s="114"/>
      <c r="AA577" s="114"/>
      <c r="AB577" s="114"/>
      <c r="AC577" s="114"/>
      <c r="AD577" s="114"/>
      <c r="AE577" s="114"/>
      <c r="AF577" s="114"/>
      <c r="AG577" s="114"/>
      <c r="AH577" s="114"/>
      <c r="AI577" s="114"/>
      <c r="AJ577" s="114"/>
      <c r="AK577" s="114"/>
      <c r="AL577" s="114"/>
      <c r="AM577" s="114"/>
      <c r="AN577" s="114"/>
      <c r="AO577" s="114"/>
      <c r="AP577" s="114"/>
      <c r="AQ577" s="114"/>
      <c r="AR577" s="114"/>
      <c r="AS577" s="114"/>
      <c r="AT577" s="114"/>
      <c r="AU577" s="114"/>
      <c r="AV577" s="114"/>
      <c r="AW577" s="114"/>
      <c r="AX577" s="114"/>
      <c r="AY577" s="114"/>
      <c r="AZ577" s="114"/>
    </row>
    <row r="578" spans="1:52">
      <c r="A578" s="111"/>
      <c r="B578" s="111"/>
      <c r="C578" s="112"/>
      <c r="D578" s="101"/>
      <c r="E578" s="101"/>
      <c r="F578" s="101"/>
      <c r="G578" s="111"/>
      <c r="H578" s="101"/>
      <c r="I578" s="101"/>
      <c r="J578" s="101"/>
      <c r="K578" s="101"/>
      <c r="L578" s="101"/>
      <c r="M578" s="101"/>
      <c r="N578" s="101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  <c r="Y578" s="114"/>
      <c r="Z578" s="114"/>
      <c r="AA578" s="114"/>
      <c r="AB578" s="114"/>
      <c r="AC578" s="114"/>
      <c r="AD578" s="114"/>
      <c r="AE578" s="114"/>
      <c r="AF578" s="114"/>
      <c r="AG578" s="114"/>
      <c r="AH578" s="114"/>
      <c r="AI578" s="114"/>
      <c r="AJ578" s="114"/>
      <c r="AK578" s="114"/>
      <c r="AL578" s="114"/>
      <c r="AM578" s="114"/>
      <c r="AN578" s="114"/>
      <c r="AO578" s="114"/>
      <c r="AP578" s="114"/>
      <c r="AQ578" s="114"/>
      <c r="AR578" s="114"/>
      <c r="AS578" s="114"/>
      <c r="AT578" s="114"/>
      <c r="AU578" s="114"/>
      <c r="AV578" s="114"/>
      <c r="AW578" s="114"/>
      <c r="AX578" s="114"/>
      <c r="AY578" s="114"/>
      <c r="AZ578" s="114"/>
    </row>
    <row r="579" spans="1:52">
      <c r="A579" s="111"/>
      <c r="B579" s="111"/>
      <c r="C579" s="112"/>
      <c r="D579" s="101"/>
      <c r="E579" s="101"/>
      <c r="F579" s="101"/>
      <c r="G579" s="111"/>
      <c r="H579" s="101"/>
      <c r="I579" s="101"/>
      <c r="J579" s="101"/>
      <c r="K579" s="101"/>
      <c r="L579" s="101"/>
      <c r="M579" s="101"/>
      <c r="N579" s="101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  <c r="Y579" s="114"/>
      <c r="Z579" s="114"/>
      <c r="AA579" s="114"/>
      <c r="AB579" s="114"/>
      <c r="AC579" s="114"/>
      <c r="AD579" s="114"/>
      <c r="AE579" s="114"/>
      <c r="AF579" s="114"/>
      <c r="AG579" s="114"/>
      <c r="AH579" s="114"/>
      <c r="AI579" s="114"/>
      <c r="AJ579" s="114"/>
      <c r="AK579" s="114"/>
      <c r="AL579" s="114"/>
      <c r="AM579" s="114"/>
      <c r="AN579" s="114"/>
      <c r="AO579" s="114"/>
      <c r="AP579" s="114"/>
      <c r="AQ579" s="114"/>
      <c r="AR579" s="114"/>
      <c r="AS579" s="114"/>
      <c r="AT579" s="114"/>
      <c r="AU579" s="114"/>
      <c r="AV579" s="114"/>
      <c r="AW579" s="114"/>
      <c r="AX579" s="114"/>
      <c r="AY579" s="114"/>
      <c r="AZ579" s="114"/>
    </row>
    <row r="580" spans="1:52">
      <c r="A580" s="111"/>
      <c r="B580" s="111"/>
      <c r="C580" s="112"/>
      <c r="D580" s="101"/>
      <c r="E580" s="101"/>
      <c r="F580" s="101"/>
      <c r="G580" s="111"/>
      <c r="H580" s="101"/>
      <c r="I580" s="101"/>
      <c r="J580" s="101"/>
      <c r="K580" s="101"/>
      <c r="L580" s="101"/>
      <c r="M580" s="101"/>
      <c r="N580" s="101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  <c r="Y580" s="114"/>
      <c r="Z580" s="114"/>
      <c r="AA580" s="114"/>
      <c r="AB580" s="114"/>
      <c r="AC580" s="114"/>
      <c r="AD580" s="114"/>
      <c r="AE580" s="114"/>
      <c r="AF580" s="114"/>
      <c r="AG580" s="114"/>
      <c r="AH580" s="114"/>
      <c r="AI580" s="114"/>
      <c r="AJ580" s="114"/>
      <c r="AK580" s="114"/>
      <c r="AL580" s="114"/>
      <c r="AM580" s="114"/>
      <c r="AN580" s="114"/>
      <c r="AO580" s="114"/>
      <c r="AP580" s="114"/>
      <c r="AQ580" s="114"/>
      <c r="AR580" s="114"/>
      <c r="AS580" s="114"/>
      <c r="AT580" s="114"/>
      <c r="AU580" s="114"/>
      <c r="AV580" s="114"/>
      <c r="AW580" s="114"/>
      <c r="AX580" s="114"/>
      <c r="AY580" s="114"/>
      <c r="AZ580" s="114"/>
    </row>
    <row r="581" spans="1:52">
      <c r="A581" s="111"/>
      <c r="B581" s="111"/>
      <c r="C581" s="112"/>
      <c r="D581" s="101"/>
      <c r="E581" s="101"/>
      <c r="F581" s="101"/>
      <c r="G581" s="111"/>
      <c r="H581" s="101"/>
      <c r="I581" s="101"/>
      <c r="J581" s="101"/>
      <c r="K581" s="101"/>
      <c r="L581" s="101"/>
      <c r="M581" s="101"/>
      <c r="N581" s="101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  <c r="Y581" s="114"/>
      <c r="Z581" s="114"/>
      <c r="AA581" s="114"/>
      <c r="AB581" s="114"/>
      <c r="AC581" s="114"/>
      <c r="AD581" s="114"/>
      <c r="AE581" s="114"/>
      <c r="AF581" s="114"/>
      <c r="AG581" s="114"/>
      <c r="AH581" s="114"/>
      <c r="AI581" s="114"/>
      <c r="AJ581" s="114"/>
      <c r="AK581" s="114"/>
      <c r="AL581" s="114"/>
      <c r="AM581" s="114"/>
      <c r="AN581" s="114"/>
      <c r="AO581" s="114"/>
      <c r="AP581" s="114"/>
      <c r="AQ581" s="114"/>
      <c r="AR581" s="114"/>
      <c r="AS581" s="114"/>
      <c r="AT581" s="114"/>
      <c r="AU581" s="114"/>
      <c r="AV581" s="114"/>
      <c r="AW581" s="114"/>
      <c r="AX581" s="114"/>
      <c r="AY581" s="114"/>
      <c r="AZ581" s="114"/>
    </row>
    <row r="582" spans="1:52">
      <c r="A582" s="111"/>
      <c r="B582" s="111"/>
      <c r="C582" s="112"/>
      <c r="D582" s="101"/>
      <c r="E582" s="101"/>
      <c r="F582" s="101"/>
      <c r="G582" s="111"/>
      <c r="H582" s="101"/>
      <c r="I582" s="101"/>
      <c r="J582" s="101"/>
      <c r="K582" s="101"/>
      <c r="L582" s="101"/>
      <c r="M582" s="101"/>
      <c r="N582" s="101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  <c r="Y582" s="114"/>
      <c r="Z582" s="114"/>
      <c r="AA582" s="114"/>
      <c r="AB582" s="114"/>
      <c r="AC582" s="114"/>
      <c r="AD582" s="114"/>
      <c r="AE582" s="114"/>
      <c r="AF582" s="114"/>
      <c r="AG582" s="114"/>
      <c r="AH582" s="114"/>
      <c r="AI582" s="114"/>
      <c r="AJ582" s="114"/>
      <c r="AK582" s="114"/>
      <c r="AL582" s="114"/>
      <c r="AM582" s="114"/>
      <c r="AN582" s="114"/>
      <c r="AO582" s="114"/>
      <c r="AP582" s="114"/>
      <c r="AQ582" s="114"/>
      <c r="AR582" s="114"/>
      <c r="AS582" s="114"/>
      <c r="AT582" s="114"/>
      <c r="AU582" s="114"/>
      <c r="AV582" s="114"/>
      <c r="AW582" s="114"/>
      <c r="AX582" s="114"/>
      <c r="AY582" s="114"/>
      <c r="AZ582" s="114"/>
    </row>
    <row r="583" spans="1:52">
      <c r="A583" s="111"/>
      <c r="B583" s="111"/>
      <c r="C583" s="112"/>
      <c r="D583" s="101"/>
      <c r="E583" s="101"/>
      <c r="F583" s="101"/>
      <c r="G583" s="111"/>
      <c r="H583" s="101"/>
      <c r="I583" s="101"/>
      <c r="J583" s="101"/>
      <c r="K583" s="101"/>
      <c r="L583" s="101"/>
      <c r="M583" s="101"/>
      <c r="N583" s="101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  <c r="Y583" s="114"/>
      <c r="Z583" s="114"/>
      <c r="AA583" s="114"/>
      <c r="AB583" s="114"/>
      <c r="AC583" s="114"/>
      <c r="AD583" s="114"/>
      <c r="AE583" s="114"/>
      <c r="AF583" s="114"/>
      <c r="AG583" s="114"/>
      <c r="AH583" s="114"/>
      <c r="AI583" s="114"/>
      <c r="AJ583" s="114"/>
      <c r="AK583" s="114"/>
      <c r="AL583" s="114"/>
      <c r="AM583" s="114"/>
      <c r="AN583" s="114"/>
      <c r="AO583" s="114"/>
      <c r="AP583" s="114"/>
      <c r="AQ583" s="114"/>
      <c r="AR583" s="114"/>
      <c r="AS583" s="114"/>
      <c r="AT583" s="114"/>
      <c r="AU583" s="114"/>
      <c r="AV583" s="114"/>
      <c r="AW583" s="114"/>
      <c r="AX583" s="114"/>
      <c r="AY583" s="114"/>
      <c r="AZ583" s="114"/>
    </row>
    <row r="584" spans="1:52">
      <c r="A584" s="111"/>
      <c r="B584" s="111"/>
      <c r="C584" s="112"/>
      <c r="D584" s="101"/>
      <c r="E584" s="101"/>
      <c r="F584" s="101"/>
      <c r="G584" s="111"/>
      <c r="H584" s="101"/>
      <c r="I584" s="101"/>
      <c r="J584" s="101"/>
      <c r="K584" s="101"/>
      <c r="L584" s="101"/>
      <c r="M584" s="101"/>
      <c r="N584" s="101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  <c r="Y584" s="114"/>
      <c r="Z584" s="114"/>
      <c r="AA584" s="114"/>
      <c r="AB584" s="114"/>
      <c r="AC584" s="114"/>
      <c r="AD584" s="114"/>
      <c r="AE584" s="114"/>
      <c r="AF584" s="114"/>
      <c r="AG584" s="114"/>
      <c r="AH584" s="114"/>
      <c r="AI584" s="114"/>
      <c r="AJ584" s="114"/>
      <c r="AK584" s="114"/>
      <c r="AL584" s="114"/>
      <c r="AM584" s="114"/>
      <c r="AN584" s="114"/>
      <c r="AO584" s="114"/>
      <c r="AP584" s="114"/>
      <c r="AQ584" s="114"/>
      <c r="AR584" s="114"/>
      <c r="AS584" s="114"/>
      <c r="AT584" s="114"/>
      <c r="AU584" s="114"/>
      <c r="AV584" s="114"/>
      <c r="AW584" s="114"/>
      <c r="AX584" s="114"/>
      <c r="AY584" s="114"/>
      <c r="AZ584" s="114"/>
    </row>
    <row r="585" spans="1:52">
      <c r="A585" s="111"/>
      <c r="B585" s="111"/>
      <c r="C585" s="112"/>
      <c r="D585" s="101"/>
      <c r="E585" s="101"/>
      <c r="F585" s="101"/>
      <c r="G585" s="111"/>
      <c r="H585" s="101"/>
      <c r="I585" s="101"/>
      <c r="J585" s="101"/>
      <c r="K585" s="101"/>
      <c r="L585" s="101"/>
      <c r="M585" s="101"/>
      <c r="N585" s="101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  <c r="Y585" s="114"/>
      <c r="Z585" s="114"/>
      <c r="AA585" s="114"/>
      <c r="AB585" s="114"/>
      <c r="AC585" s="114"/>
      <c r="AD585" s="114"/>
      <c r="AE585" s="114"/>
      <c r="AF585" s="114"/>
      <c r="AG585" s="114"/>
      <c r="AH585" s="114"/>
      <c r="AI585" s="114"/>
      <c r="AJ585" s="114"/>
      <c r="AK585" s="114"/>
      <c r="AL585" s="114"/>
      <c r="AM585" s="114"/>
      <c r="AN585" s="114"/>
      <c r="AO585" s="114"/>
      <c r="AP585" s="114"/>
      <c r="AQ585" s="114"/>
      <c r="AR585" s="114"/>
      <c r="AS585" s="114"/>
      <c r="AT585" s="114"/>
      <c r="AU585" s="114"/>
      <c r="AV585" s="114"/>
      <c r="AW585" s="114"/>
      <c r="AX585" s="114"/>
      <c r="AY585" s="114"/>
      <c r="AZ585" s="114"/>
    </row>
    <row r="586" spans="1:52">
      <c r="A586" s="111"/>
      <c r="B586" s="111"/>
      <c r="C586" s="112"/>
      <c r="D586" s="101"/>
      <c r="E586" s="101"/>
      <c r="F586" s="101"/>
      <c r="G586" s="111"/>
      <c r="H586" s="101"/>
      <c r="I586" s="101"/>
      <c r="J586" s="101"/>
      <c r="K586" s="101"/>
      <c r="L586" s="101"/>
      <c r="M586" s="101"/>
      <c r="N586" s="101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  <c r="Y586" s="114"/>
      <c r="Z586" s="114"/>
      <c r="AA586" s="114"/>
      <c r="AB586" s="114"/>
      <c r="AC586" s="114"/>
      <c r="AD586" s="114"/>
      <c r="AE586" s="114"/>
      <c r="AF586" s="114"/>
      <c r="AG586" s="114"/>
      <c r="AH586" s="114"/>
      <c r="AI586" s="114"/>
      <c r="AJ586" s="114"/>
      <c r="AK586" s="114"/>
      <c r="AL586" s="114"/>
      <c r="AM586" s="114"/>
      <c r="AN586" s="114"/>
      <c r="AO586" s="114"/>
      <c r="AP586" s="114"/>
      <c r="AQ586" s="114"/>
      <c r="AR586" s="114"/>
      <c r="AS586" s="114"/>
      <c r="AT586" s="114"/>
      <c r="AU586" s="114"/>
      <c r="AV586" s="114"/>
      <c r="AW586" s="114"/>
      <c r="AX586" s="114"/>
      <c r="AY586" s="114"/>
      <c r="AZ586" s="114"/>
    </row>
    <row r="587" spans="1:52">
      <c r="A587" s="111"/>
      <c r="B587" s="111"/>
      <c r="C587" s="112"/>
      <c r="D587" s="101"/>
      <c r="E587" s="101"/>
      <c r="F587" s="101"/>
      <c r="G587" s="111"/>
      <c r="H587" s="101"/>
      <c r="I587" s="101"/>
      <c r="J587" s="101"/>
      <c r="K587" s="101"/>
      <c r="L587" s="101"/>
      <c r="M587" s="101"/>
      <c r="N587" s="101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  <c r="Y587" s="114"/>
      <c r="Z587" s="114"/>
      <c r="AA587" s="114"/>
      <c r="AB587" s="114"/>
      <c r="AC587" s="114"/>
      <c r="AD587" s="114"/>
      <c r="AE587" s="114"/>
      <c r="AF587" s="114"/>
      <c r="AG587" s="114"/>
      <c r="AH587" s="114"/>
      <c r="AI587" s="114"/>
      <c r="AJ587" s="114"/>
      <c r="AK587" s="114"/>
      <c r="AL587" s="114"/>
      <c r="AM587" s="114"/>
      <c r="AN587" s="114"/>
      <c r="AO587" s="114"/>
      <c r="AP587" s="114"/>
      <c r="AQ587" s="114"/>
      <c r="AR587" s="114"/>
      <c r="AS587" s="114"/>
      <c r="AT587" s="114"/>
      <c r="AU587" s="114"/>
      <c r="AV587" s="114"/>
      <c r="AW587" s="114"/>
      <c r="AX587" s="114"/>
      <c r="AY587" s="114"/>
      <c r="AZ587" s="114"/>
    </row>
    <row r="588" spans="1:52">
      <c r="A588" s="111"/>
      <c r="B588" s="111"/>
      <c r="C588" s="112"/>
      <c r="D588" s="101"/>
      <c r="E588" s="101"/>
      <c r="F588" s="101"/>
      <c r="G588" s="111"/>
      <c r="H588" s="101"/>
      <c r="I588" s="101"/>
      <c r="J588" s="101"/>
      <c r="K588" s="101"/>
      <c r="L588" s="101"/>
      <c r="M588" s="101"/>
      <c r="N588" s="101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  <c r="Y588" s="114"/>
      <c r="Z588" s="114"/>
      <c r="AA588" s="114"/>
      <c r="AB588" s="114"/>
      <c r="AC588" s="114"/>
      <c r="AD588" s="114"/>
      <c r="AE588" s="114"/>
      <c r="AF588" s="114"/>
      <c r="AG588" s="114"/>
      <c r="AH588" s="114"/>
      <c r="AI588" s="114"/>
      <c r="AJ588" s="114"/>
      <c r="AK588" s="114"/>
      <c r="AL588" s="114"/>
      <c r="AM588" s="114"/>
      <c r="AN588" s="114"/>
      <c r="AO588" s="114"/>
      <c r="AP588" s="114"/>
      <c r="AQ588" s="114"/>
      <c r="AR588" s="114"/>
      <c r="AS588" s="114"/>
      <c r="AT588" s="114"/>
      <c r="AU588" s="114"/>
      <c r="AV588" s="114"/>
      <c r="AW588" s="114"/>
      <c r="AX588" s="114"/>
      <c r="AY588" s="114"/>
      <c r="AZ588" s="114"/>
    </row>
    <row r="589" spans="1:52">
      <c r="A589" s="111"/>
      <c r="B589" s="111"/>
      <c r="C589" s="112"/>
      <c r="D589" s="101"/>
      <c r="E589" s="101"/>
      <c r="F589" s="101"/>
      <c r="G589" s="111"/>
      <c r="H589" s="101"/>
      <c r="I589" s="101"/>
      <c r="J589" s="101"/>
      <c r="K589" s="101"/>
      <c r="L589" s="101"/>
      <c r="M589" s="101"/>
      <c r="N589" s="101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  <c r="Y589" s="114"/>
      <c r="Z589" s="114"/>
      <c r="AA589" s="114"/>
      <c r="AB589" s="114"/>
      <c r="AC589" s="114"/>
      <c r="AD589" s="114"/>
      <c r="AE589" s="114"/>
      <c r="AF589" s="114"/>
      <c r="AG589" s="114"/>
      <c r="AH589" s="114"/>
      <c r="AI589" s="114"/>
      <c r="AJ589" s="114"/>
      <c r="AK589" s="114"/>
      <c r="AL589" s="114"/>
      <c r="AM589" s="114"/>
      <c r="AN589" s="114"/>
      <c r="AO589" s="114"/>
      <c r="AP589" s="114"/>
      <c r="AQ589" s="114"/>
      <c r="AR589" s="114"/>
      <c r="AS589" s="114"/>
      <c r="AT589" s="114"/>
      <c r="AU589" s="114"/>
      <c r="AV589" s="114"/>
      <c r="AW589" s="114"/>
      <c r="AX589" s="114"/>
      <c r="AY589" s="114"/>
      <c r="AZ589" s="114"/>
    </row>
    <row r="590" spans="1:52">
      <c r="A590" s="111"/>
      <c r="B590" s="111"/>
      <c r="C590" s="112"/>
      <c r="D590" s="101"/>
      <c r="E590" s="101"/>
      <c r="F590" s="101"/>
      <c r="G590" s="111"/>
      <c r="H590" s="101"/>
      <c r="I590" s="101"/>
      <c r="J590" s="101"/>
      <c r="K590" s="101"/>
      <c r="L590" s="101"/>
      <c r="M590" s="101"/>
      <c r="N590" s="101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  <c r="Y590" s="114"/>
      <c r="Z590" s="114"/>
      <c r="AA590" s="114"/>
      <c r="AB590" s="114"/>
      <c r="AC590" s="114"/>
      <c r="AD590" s="114"/>
      <c r="AE590" s="114"/>
      <c r="AF590" s="114"/>
      <c r="AG590" s="114"/>
      <c r="AH590" s="114"/>
      <c r="AI590" s="114"/>
      <c r="AJ590" s="114"/>
      <c r="AK590" s="114"/>
      <c r="AL590" s="114"/>
      <c r="AM590" s="114"/>
      <c r="AN590" s="114"/>
      <c r="AO590" s="114"/>
      <c r="AP590" s="114"/>
      <c r="AQ590" s="114"/>
      <c r="AR590" s="114"/>
      <c r="AS590" s="114"/>
      <c r="AT590" s="114"/>
      <c r="AU590" s="114"/>
      <c r="AV590" s="114"/>
      <c r="AW590" s="114"/>
      <c r="AX590" s="114"/>
      <c r="AY590" s="114"/>
      <c r="AZ590" s="114"/>
    </row>
    <row r="591" spans="1:52">
      <c r="A591" s="111"/>
      <c r="B591" s="111"/>
      <c r="C591" s="112"/>
      <c r="D591" s="101"/>
      <c r="E591" s="101"/>
      <c r="F591" s="101"/>
      <c r="G591" s="111"/>
      <c r="H591" s="101"/>
      <c r="I591" s="101"/>
      <c r="J591" s="101"/>
      <c r="K591" s="101"/>
      <c r="L591" s="101"/>
      <c r="M591" s="101"/>
      <c r="N591" s="101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  <c r="Y591" s="114"/>
      <c r="Z591" s="114"/>
      <c r="AA591" s="114"/>
      <c r="AB591" s="114"/>
      <c r="AC591" s="114"/>
      <c r="AD591" s="114"/>
      <c r="AE591" s="114"/>
      <c r="AF591" s="114"/>
      <c r="AG591" s="114"/>
      <c r="AH591" s="114"/>
      <c r="AI591" s="114"/>
      <c r="AJ591" s="114"/>
      <c r="AK591" s="114"/>
      <c r="AL591" s="114"/>
      <c r="AM591" s="114"/>
      <c r="AN591" s="114"/>
      <c r="AO591" s="114"/>
      <c r="AP591" s="114"/>
      <c r="AQ591" s="114"/>
      <c r="AR591" s="114"/>
      <c r="AS591" s="114"/>
      <c r="AT591" s="114"/>
      <c r="AU591" s="114"/>
      <c r="AV591" s="114"/>
      <c r="AW591" s="114"/>
      <c r="AX591" s="114"/>
      <c r="AY591" s="114"/>
      <c r="AZ591" s="114"/>
    </row>
    <row r="592" spans="1:52">
      <c r="A592" s="111"/>
      <c r="B592" s="111"/>
      <c r="C592" s="112"/>
      <c r="D592" s="101"/>
      <c r="E592" s="101"/>
      <c r="F592" s="101"/>
      <c r="G592" s="111"/>
      <c r="H592" s="101"/>
      <c r="I592" s="101"/>
      <c r="J592" s="101"/>
      <c r="K592" s="101"/>
      <c r="L592" s="101"/>
      <c r="M592" s="101"/>
      <c r="N592" s="101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  <c r="Y592" s="114"/>
      <c r="Z592" s="114"/>
      <c r="AA592" s="114"/>
      <c r="AB592" s="114"/>
      <c r="AC592" s="114"/>
      <c r="AD592" s="114"/>
      <c r="AE592" s="114"/>
      <c r="AF592" s="114"/>
      <c r="AG592" s="114"/>
      <c r="AH592" s="114"/>
      <c r="AI592" s="114"/>
      <c r="AJ592" s="114"/>
      <c r="AK592" s="114"/>
      <c r="AL592" s="114"/>
      <c r="AM592" s="114"/>
      <c r="AN592" s="114"/>
      <c r="AO592" s="114"/>
      <c r="AP592" s="114"/>
      <c r="AQ592" s="114"/>
      <c r="AR592" s="114"/>
      <c r="AS592" s="114"/>
      <c r="AT592" s="114"/>
      <c r="AU592" s="114"/>
      <c r="AV592" s="114"/>
      <c r="AW592" s="114"/>
      <c r="AX592" s="114"/>
      <c r="AY592" s="114"/>
      <c r="AZ592" s="114"/>
    </row>
    <row r="593" spans="1:52">
      <c r="A593" s="111"/>
      <c r="B593" s="111"/>
      <c r="C593" s="112"/>
      <c r="D593" s="101"/>
      <c r="E593" s="101"/>
      <c r="F593" s="101"/>
      <c r="G593" s="111"/>
      <c r="H593" s="101"/>
      <c r="I593" s="101"/>
      <c r="J593" s="101"/>
      <c r="K593" s="101"/>
      <c r="L593" s="101"/>
      <c r="M593" s="101"/>
      <c r="N593" s="101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  <c r="Y593" s="114"/>
      <c r="Z593" s="114"/>
      <c r="AA593" s="114"/>
      <c r="AB593" s="114"/>
      <c r="AC593" s="114"/>
      <c r="AD593" s="114"/>
      <c r="AE593" s="114"/>
      <c r="AF593" s="114"/>
      <c r="AG593" s="114"/>
      <c r="AH593" s="114"/>
      <c r="AI593" s="114"/>
      <c r="AJ593" s="114"/>
      <c r="AK593" s="114"/>
      <c r="AL593" s="114"/>
      <c r="AM593" s="114"/>
      <c r="AN593" s="114"/>
      <c r="AO593" s="114"/>
      <c r="AP593" s="114"/>
      <c r="AQ593" s="114"/>
      <c r="AR593" s="114"/>
      <c r="AS593" s="114"/>
      <c r="AT593" s="114"/>
      <c r="AU593" s="114"/>
      <c r="AV593" s="114"/>
      <c r="AW593" s="114"/>
      <c r="AX593" s="114"/>
      <c r="AY593" s="114"/>
      <c r="AZ593" s="114"/>
    </row>
    <row r="594" spans="1:52">
      <c r="A594" s="111"/>
      <c r="B594" s="111"/>
      <c r="C594" s="112"/>
      <c r="D594" s="101"/>
      <c r="E594" s="101"/>
      <c r="F594" s="101"/>
      <c r="G594" s="111"/>
      <c r="H594" s="101"/>
      <c r="I594" s="101"/>
      <c r="J594" s="101"/>
      <c r="K594" s="101"/>
      <c r="L594" s="101"/>
      <c r="M594" s="101"/>
      <c r="N594" s="101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  <c r="Y594" s="114"/>
      <c r="Z594" s="114"/>
      <c r="AA594" s="114"/>
      <c r="AB594" s="114"/>
      <c r="AC594" s="114"/>
      <c r="AD594" s="114"/>
      <c r="AE594" s="114"/>
      <c r="AF594" s="114"/>
      <c r="AG594" s="114"/>
      <c r="AH594" s="114"/>
      <c r="AI594" s="114"/>
      <c r="AJ594" s="114"/>
      <c r="AK594" s="114"/>
      <c r="AL594" s="114"/>
      <c r="AM594" s="114"/>
      <c r="AN594" s="114"/>
      <c r="AO594" s="114"/>
      <c r="AP594" s="114"/>
      <c r="AQ594" s="114"/>
      <c r="AR594" s="114"/>
      <c r="AS594" s="114"/>
      <c r="AT594" s="114"/>
      <c r="AU594" s="114"/>
      <c r="AV594" s="114"/>
      <c r="AW594" s="114"/>
      <c r="AX594" s="114"/>
      <c r="AY594" s="114"/>
      <c r="AZ594" s="114"/>
    </row>
    <row r="595" spans="1:52">
      <c r="A595" s="111"/>
      <c r="B595" s="111"/>
      <c r="C595" s="112"/>
      <c r="D595" s="101"/>
      <c r="E595" s="101"/>
      <c r="F595" s="101"/>
      <c r="G595" s="111"/>
      <c r="H595" s="101"/>
      <c r="I595" s="101"/>
      <c r="J595" s="101"/>
      <c r="K595" s="101"/>
      <c r="L595" s="101"/>
      <c r="M595" s="101"/>
      <c r="N595" s="101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  <c r="Y595" s="114"/>
      <c r="Z595" s="114"/>
      <c r="AA595" s="114"/>
      <c r="AB595" s="114"/>
      <c r="AC595" s="114"/>
      <c r="AD595" s="114"/>
      <c r="AE595" s="114"/>
      <c r="AF595" s="114"/>
      <c r="AG595" s="114"/>
      <c r="AH595" s="114"/>
      <c r="AI595" s="114"/>
      <c r="AJ595" s="114"/>
      <c r="AK595" s="114"/>
      <c r="AL595" s="114"/>
      <c r="AM595" s="114"/>
      <c r="AN595" s="114"/>
      <c r="AO595" s="114"/>
      <c r="AP595" s="114"/>
      <c r="AQ595" s="114"/>
      <c r="AR595" s="114"/>
      <c r="AS595" s="114"/>
      <c r="AT595" s="114"/>
      <c r="AU595" s="114"/>
      <c r="AV595" s="114"/>
      <c r="AW595" s="114"/>
      <c r="AX595" s="114"/>
      <c r="AY595" s="114"/>
      <c r="AZ595" s="114"/>
    </row>
    <row r="596" spans="1:52">
      <c r="A596" s="111"/>
      <c r="B596" s="111"/>
      <c r="C596" s="112"/>
      <c r="D596" s="101"/>
      <c r="E596" s="101"/>
      <c r="F596" s="101"/>
      <c r="G596" s="111"/>
      <c r="H596" s="101"/>
      <c r="I596" s="101"/>
      <c r="J596" s="101"/>
      <c r="K596" s="101"/>
      <c r="L596" s="101"/>
      <c r="M596" s="101"/>
      <c r="N596" s="101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  <c r="Y596" s="114"/>
      <c r="Z596" s="114"/>
      <c r="AA596" s="114"/>
      <c r="AB596" s="114"/>
      <c r="AC596" s="114"/>
      <c r="AD596" s="114"/>
      <c r="AE596" s="114"/>
      <c r="AF596" s="114"/>
      <c r="AG596" s="114"/>
      <c r="AH596" s="114"/>
      <c r="AI596" s="114"/>
      <c r="AJ596" s="114"/>
      <c r="AK596" s="114"/>
      <c r="AL596" s="114"/>
      <c r="AM596" s="114"/>
      <c r="AN596" s="114"/>
      <c r="AO596" s="114"/>
      <c r="AP596" s="114"/>
      <c r="AQ596" s="114"/>
      <c r="AR596" s="114"/>
      <c r="AS596" s="114"/>
      <c r="AT596" s="114"/>
      <c r="AU596" s="114"/>
      <c r="AV596" s="114"/>
      <c r="AW596" s="114"/>
      <c r="AX596" s="114"/>
      <c r="AY596" s="114"/>
      <c r="AZ596" s="114"/>
    </row>
    <row r="597" spans="1:52">
      <c r="A597" s="111"/>
      <c r="B597" s="111"/>
      <c r="C597" s="112"/>
      <c r="D597" s="101"/>
      <c r="E597" s="101"/>
      <c r="F597" s="101"/>
      <c r="G597" s="111"/>
      <c r="H597" s="101"/>
      <c r="I597" s="101"/>
      <c r="J597" s="101"/>
      <c r="K597" s="101"/>
      <c r="L597" s="101"/>
      <c r="M597" s="101"/>
      <c r="N597" s="101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  <c r="Y597" s="114"/>
      <c r="Z597" s="114"/>
      <c r="AA597" s="114"/>
      <c r="AB597" s="114"/>
      <c r="AC597" s="114"/>
      <c r="AD597" s="114"/>
      <c r="AE597" s="114"/>
      <c r="AF597" s="114"/>
      <c r="AG597" s="114"/>
      <c r="AH597" s="114"/>
      <c r="AI597" s="114"/>
      <c r="AJ597" s="114"/>
      <c r="AK597" s="114"/>
      <c r="AL597" s="114"/>
      <c r="AM597" s="114"/>
      <c r="AN597" s="114"/>
      <c r="AO597" s="114"/>
      <c r="AP597" s="114"/>
      <c r="AQ597" s="114"/>
      <c r="AR597" s="114"/>
      <c r="AS597" s="114"/>
      <c r="AT597" s="114"/>
      <c r="AU597" s="114"/>
      <c r="AV597" s="114"/>
      <c r="AW597" s="114"/>
      <c r="AX597" s="114"/>
      <c r="AY597" s="114"/>
      <c r="AZ597" s="114"/>
    </row>
    <row r="598" spans="1:52">
      <c r="A598" s="111"/>
      <c r="B598" s="111"/>
      <c r="C598" s="112"/>
      <c r="D598" s="101"/>
      <c r="E598" s="101"/>
      <c r="F598" s="101"/>
      <c r="G598" s="111"/>
      <c r="H598" s="101"/>
      <c r="I598" s="101"/>
      <c r="J598" s="101"/>
      <c r="K598" s="101"/>
      <c r="L598" s="101"/>
      <c r="M598" s="101"/>
      <c r="N598" s="101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  <c r="Y598" s="114"/>
      <c r="Z598" s="114"/>
      <c r="AA598" s="114"/>
      <c r="AB598" s="114"/>
      <c r="AC598" s="114"/>
      <c r="AD598" s="114"/>
      <c r="AE598" s="114"/>
      <c r="AF598" s="114"/>
      <c r="AG598" s="114"/>
      <c r="AH598" s="114"/>
      <c r="AI598" s="114"/>
      <c r="AJ598" s="114"/>
      <c r="AK598" s="114"/>
      <c r="AL598" s="114"/>
      <c r="AM598" s="114"/>
      <c r="AN598" s="114"/>
      <c r="AO598" s="114"/>
      <c r="AP598" s="114"/>
      <c r="AQ598" s="114"/>
      <c r="AR598" s="114"/>
      <c r="AS598" s="114"/>
      <c r="AT598" s="114"/>
      <c r="AU598" s="114"/>
      <c r="AV598" s="114"/>
      <c r="AW598" s="114"/>
      <c r="AX598" s="114"/>
      <c r="AY598" s="114"/>
      <c r="AZ598" s="114"/>
    </row>
    <row r="599" spans="1:52">
      <c r="A599" s="111"/>
      <c r="B599" s="111"/>
      <c r="C599" s="112"/>
      <c r="D599" s="101"/>
      <c r="E599" s="101"/>
      <c r="F599" s="101"/>
      <c r="G599" s="111"/>
      <c r="H599" s="101"/>
      <c r="I599" s="101"/>
      <c r="J599" s="101"/>
      <c r="K599" s="101"/>
      <c r="L599" s="101"/>
      <c r="M599" s="101"/>
      <c r="N599" s="101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  <c r="Y599" s="114"/>
      <c r="Z599" s="114"/>
      <c r="AA599" s="114"/>
      <c r="AB599" s="114"/>
      <c r="AC599" s="114"/>
      <c r="AD599" s="114"/>
      <c r="AE599" s="114"/>
      <c r="AF599" s="114"/>
      <c r="AG599" s="114"/>
      <c r="AH599" s="114"/>
      <c r="AI599" s="114"/>
      <c r="AJ599" s="114"/>
      <c r="AK599" s="114"/>
      <c r="AL599" s="114"/>
      <c r="AM599" s="114"/>
      <c r="AN599" s="114"/>
      <c r="AO599" s="114"/>
      <c r="AP599" s="114"/>
      <c r="AQ599" s="114"/>
      <c r="AR599" s="114"/>
      <c r="AS599" s="114"/>
      <c r="AT599" s="114"/>
      <c r="AU599" s="114"/>
      <c r="AV599" s="114"/>
      <c r="AW599" s="114"/>
      <c r="AX599" s="114"/>
      <c r="AY599" s="114"/>
      <c r="AZ599" s="114"/>
    </row>
    <row r="600" spans="1:52">
      <c r="A600" s="111"/>
      <c r="B600" s="111"/>
      <c r="C600" s="112"/>
      <c r="D600" s="101"/>
      <c r="E600" s="101"/>
      <c r="F600" s="101"/>
      <c r="G600" s="111"/>
      <c r="H600" s="101"/>
      <c r="I600" s="101"/>
      <c r="J600" s="101"/>
      <c r="K600" s="101"/>
      <c r="L600" s="101"/>
      <c r="M600" s="101"/>
      <c r="N600" s="101"/>
      <c r="O600" s="101"/>
      <c r="P600" s="101"/>
      <c r="Q600" s="101"/>
      <c r="R600" s="101"/>
      <c r="S600" s="101"/>
      <c r="T600" s="101"/>
      <c r="U600" s="101"/>
      <c r="V600" s="101"/>
      <c r="W600" s="101"/>
      <c r="X600" s="101"/>
      <c r="Y600" s="114"/>
      <c r="Z600" s="114"/>
      <c r="AA600" s="114"/>
      <c r="AB600" s="114"/>
      <c r="AC600" s="114"/>
      <c r="AD600" s="114"/>
      <c r="AE600" s="114"/>
      <c r="AF600" s="114"/>
      <c r="AG600" s="114"/>
      <c r="AH600" s="114"/>
      <c r="AI600" s="114"/>
      <c r="AJ600" s="114"/>
      <c r="AK600" s="114"/>
      <c r="AL600" s="114"/>
      <c r="AM600" s="114"/>
      <c r="AN600" s="114"/>
      <c r="AO600" s="114"/>
      <c r="AP600" s="114"/>
      <c r="AQ600" s="114"/>
      <c r="AR600" s="114"/>
      <c r="AS600" s="114"/>
      <c r="AT600" s="114"/>
      <c r="AU600" s="114"/>
      <c r="AV600" s="114"/>
      <c r="AW600" s="114"/>
      <c r="AX600" s="114"/>
      <c r="AY600" s="114"/>
      <c r="AZ600" s="114"/>
    </row>
    <row r="601" spans="1:52">
      <c r="A601" s="111"/>
      <c r="B601" s="111"/>
      <c r="C601" s="112"/>
      <c r="D601" s="101"/>
      <c r="E601" s="101"/>
      <c r="F601" s="101"/>
      <c r="G601" s="111"/>
      <c r="H601" s="101"/>
      <c r="I601" s="101"/>
      <c r="J601" s="101"/>
      <c r="K601" s="101"/>
      <c r="L601" s="101"/>
      <c r="M601" s="101"/>
      <c r="N601" s="101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  <c r="Y601" s="114"/>
      <c r="Z601" s="114"/>
      <c r="AA601" s="114"/>
      <c r="AB601" s="114"/>
      <c r="AC601" s="114"/>
      <c r="AD601" s="114"/>
      <c r="AE601" s="114"/>
      <c r="AF601" s="114"/>
      <c r="AG601" s="114"/>
      <c r="AH601" s="114"/>
      <c r="AI601" s="114"/>
      <c r="AJ601" s="114"/>
      <c r="AK601" s="114"/>
      <c r="AL601" s="114"/>
      <c r="AM601" s="114"/>
      <c r="AN601" s="114"/>
      <c r="AO601" s="114"/>
      <c r="AP601" s="114"/>
      <c r="AQ601" s="114"/>
      <c r="AR601" s="114"/>
      <c r="AS601" s="114"/>
      <c r="AT601" s="114"/>
      <c r="AU601" s="114"/>
      <c r="AV601" s="114"/>
      <c r="AW601" s="114"/>
      <c r="AX601" s="114"/>
      <c r="AY601" s="114"/>
      <c r="AZ601" s="114"/>
    </row>
    <row r="602" spans="1:52">
      <c r="A602" s="111"/>
      <c r="B602" s="111"/>
      <c r="C602" s="112"/>
      <c r="D602" s="101"/>
      <c r="E602" s="101"/>
      <c r="F602" s="101"/>
      <c r="G602" s="111"/>
      <c r="H602" s="101"/>
      <c r="I602" s="101"/>
      <c r="J602" s="101"/>
      <c r="K602" s="101"/>
      <c r="L602" s="101"/>
      <c r="M602" s="101"/>
      <c r="N602" s="101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  <c r="Y602" s="114"/>
      <c r="Z602" s="114"/>
      <c r="AA602" s="114"/>
      <c r="AB602" s="114"/>
      <c r="AC602" s="114"/>
      <c r="AD602" s="114"/>
      <c r="AE602" s="114"/>
      <c r="AF602" s="114"/>
      <c r="AG602" s="114"/>
      <c r="AH602" s="114"/>
      <c r="AI602" s="114"/>
      <c r="AJ602" s="114"/>
      <c r="AK602" s="114"/>
      <c r="AL602" s="114"/>
      <c r="AM602" s="114"/>
      <c r="AN602" s="114"/>
      <c r="AO602" s="114"/>
      <c r="AP602" s="114"/>
      <c r="AQ602" s="114"/>
      <c r="AR602" s="114"/>
      <c r="AS602" s="114"/>
      <c r="AT602" s="114"/>
      <c r="AU602" s="114"/>
      <c r="AV602" s="114"/>
      <c r="AW602" s="114"/>
      <c r="AX602" s="114"/>
      <c r="AY602" s="114"/>
      <c r="AZ602" s="114"/>
    </row>
    <row r="603" spans="1:52">
      <c r="A603" s="111"/>
      <c r="B603" s="111"/>
      <c r="C603" s="112"/>
      <c r="D603" s="101"/>
      <c r="E603" s="101"/>
      <c r="F603" s="101"/>
      <c r="G603" s="111"/>
      <c r="H603" s="101"/>
      <c r="I603" s="101"/>
      <c r="J603" s="101"/>
      <c r="K603" s="101"/>
      <c r="L603" s="101"/>
      <c r="M603" s="101"/>
      <c r="N603" s="101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  <c r="Y603" s="114"/>
      <c r="Z603" s="114"/>
      <c r="AA603" s="114"/>
      <c r="AB603" s="114"/>
      <c r="AC603" s="114"/>
      <c r="AD603" s="114"/>
      <c r="AE603" s="114"/>
      <c r="AF603" s="114"/>
      <c r="AG603" s="114"/>
      <c r="AH603" s="114"/>
      <c r="AI603" s="114"/>
      <c r="AJ603" s="114"/>
      <c r="AK603" s="114"/>
      <c r="AL603" s="114"/>
      <c r="AM603" s="114"/>
      <c r="AN603" s="114"/>
      <c r="AO603" s="114"/>
      <c r="AP603" s="114"/>
      <c r="AQ603" s="114"/>
      <c r="AR603" s="114"/>
      <c r="AS603" s="114"/>
      <c r="AT603" s="114"/>
      <c r="AU603" s="114"/>
      <c r="AV603" s="114"/>
      <c r="AW603" s="114"/>
      <c r="AX603" s="114"/>
      <c r="AY603" s="114"/>
      <c r="AZ603" s="114"/>
    </row>
    <row r="604" spans="1:52">
      <c r="A604" s="111"/>
      <c r="B604" s="111"/>
      <c r="C604" s="112"/>
      <c r="D604" s="101"/>
      <c r="E604" s="101"/>
      <c r="F604" s="101"/>
      <c r="G604" s="111"/>
      <c r="H604" s="101"/>
      <c r="I604" s="101"/>
      <c r="J604" s="101"/>
      <c r="K604" s="101"/>
      <c r="L604" s="101"/>
      <c r="M604" s="101"/>
      <c r="N604" s="101"/>
      <c r="O604" s="101"/>
      <c r="P604" s="101"/>
      <c r="Q604" s="101"/>
      <c r="R604" s="101"/>
      <c r="S604" s="101"/>
      <c r="T604" s="101"/>
      <c r="U604" s="101"/>
      <c r="V604" s="101"/>
      <c r="W604" s="101"/>
      <c r="X604" s="101"/>
      <c r="Y604" s="114"/>
      <c r="Z604" s="114"/>
      <c r="AA604" s="114"/>
      <c r="AB604" s="114"/>
      <c r="AC604" s="114"/>
      <c r="AD604" s="114"/>
      <c r="AE604" s="114"/>
      <c r="AF604" s="114"/>
      <c r="AG604" s="114"/>
      <c r="AH604" s="114"/>
      <c r="AI604" s="114"/>
      <c r="AJ604" s="114"/>
      <c r="AK604" s="114"/>
      <c r="AL604" s="114"/>
      <c r="AM604" s="114"/>
      <c r="AN604" s="114"/>
      <c r="AO604" s="114"/>
      <c r="AP604" s="114"/>
      <c r="AQ604" s="114"/>
      <c r="AR604" s="114"/>
      <c r="AS604" s="114"/>
      <c r="AT604" s="114"/>
      <c r="AU604" s="114"/>
      <c r="AV604" s="114"/>
      <c r="AW604" s="114"/>
      <c r="AX604" s="114"/>
      <c r="AY604" s="114"/>
      <c r="AZ604" s="114"/>
    </row>
    <row r="605" spans="1:52">
      <c r="A605" s="111"/>
      <c r="B605" s="111"/>
      <c r="C605" s="112"/>
      <c r="D605" s="101"/>
      <c r="E605" s="101"/>
      <c r="F605" s="101"/>
      <c r="G605" s="111"/>
      <c r="H605" s="101"/>
      <c r="I605" s="101"/>
      <c r="J605" s="101"/>
      <c r="K605" s="101"/>
      <c r="L605" s="101"/>
      <c r="M605" s="101"/>
      <c r="N605" s="101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  <c r="Y605" s="114"/>
      <c r="Z605" s="114"/>
      <c r="AA605" s="114"/>
      <c r="AB605" s="114"/>
      <c r="AC605" s="114"/>
      <c r="AD605" s="114"/>
      <c r="AE605" s="114"/>
      <c r="AF605" s="114"/>
      <c r="AG605" s="114"/>
      <c r="AH605" s="114"/>
      <c r="AI605" s="114"/>
      <c r="AJ605" s="114"/>
      <c r="AK605" s="114"/>
      <c r="AL605" s="114"/>
      <c r="AM605" s="114"/>
      <c r="AN605" s="114"/>
      <c r="AO605" s="114"/>
      <c r="AP605" s="114"/>
      <c r="AQ605" s="114"/>
      <c r="AR605" s="114"/>
      <c r="AS605" s="114"/>
      <c r="AT605" s="114"/>
      <c r="AU605" s="114"/>
      <c r="AV605" s="114"/>
      <c r="AW605" s="114"/>
      <c r="AX605" s="114"/>
      <c r="AY605" s="114"/>
      <c r="AZ605" s="114"/>
    </row>
    <row r="606" spans="1:52">
      <c r="A606" s="111"/>
      <c r="B606" s="111"/>
      <c r="C606" s="112"/>
      <c r="D606" s="101"/>
      <c r="E606" s="101"/>
      <c r="F606" s="101"/>
      <c r="G606" s="111"/>
      <c r="H606" s="101"/>
      <c r="I606" s="101"/>
      <c r="J606" s="101"/>
      <c r="K606" s="101"/>
      <c r="L606" s="101"/>
      <c r="M606" s="101"/>
      <c r="N606" s="101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  <c r="Y606" s="114"/>
      <c r="Z606" s="114"/>
      <c r="AA606" s="114"/>
      <c r="AB606" s="114"/>
      <c r="AC606" s="114"/>
      <c r="AD606" s="114"/>
      <c r="AE606" s="114"/>
      <c r="AF606" s="114"/>
      <c r="AG606" s="114"/>
      <c r="AH606" s="114"/>
      <c r="AI606" s="114"/>
      <c r="AJ606" s="114"/>
      <c r="AK606" s="114"/>
      <c r="AL606" s="114"/>
      <c r="AM606" s="114"/>
      <c r="AN606" s="114"/>
      <c r="AO606" s="114"/>
      <c r="AP606" s="114"/>
      <c r="AQ606" s="114"/>
      <c r="AR606" s="114"/>
      <c r="AS606" s="114"/>
      <c r="AT606" s="114"/>
      <c r="AU606" s="114"/>
      <c r="AV606" s="114"/>
      <c r="AW606" s="114"/>
      <c r="AX606" s="114"/>
      <c r="AY606" s="114"/>
      <c r="AZ606" s="114"/>
    </row>
    <row r="607" spans="1:52">
      <c r="A607" s="111"/>
      <c r="B607" s="111"/>
      <c r="C607" s="112"/>
      <c r="D607" s="101"/>
      <c r="E607" s="101"/>
      <c r="F607" s="101"/>
      <c r="G607" s="111"/>
      <c r="H607" s="101"/>
      <c r="I607" s="101"/>
      <c r="J607" s="101"/>
      <c r="K607" s="101"/>
      <c r="L607" s="101"/>
      <c r="M607" s="101"/>
      <c r="N607" s="101"/>
      <c r="O607" s="101"/>
      <c r="P607" s="101"/>
      <c r="Q607" s="101"/>
      <c r="R607" s="101"/>
      <c r="S607" s="101"/>
      <c r="T607" s="101"/>
      <c r="U607" s="101"/>
      <c r="V607" s="101"/>
      <c r="W607" s="101"/>
      <c r="X607" s="101"/>
      <c r="Y607" s="114"/>
      <c r="Z607" s="114"/>
      <c r="AA607" s="114"/>
      <c r="AB607" s="114"/>
      <c r="AC607" s="114"/>
      <c r="AD607" s="114"/>
      <c r="AE607" s="114"/>
      <c r="AF607" s="114"/>
      <c r="AG607" s="114"/>
      <c r="AH607" s="114"/>
      <c r="AI607" s="114"/>
      <c r="AJ607" s="114"/>
      <c r="AK607" s="114"/>
      <c r="AL607" s="114"/>
      <c r="AM607" s="114"/>
      <c r="AN607" s="114"/>
      <c r="AO607" s="114"/>
      <c r="AP607" s="114"/>
      <c r="AQ607" s="114"/>
      <c r="AR607" s="114"/>
      <c r="AS607" s="114"/>
      <c r="AT607" s="114"/>
      <c r="AU607" s="114"/>
      <c r="AV607" s="114"/>
      <c r="AW607" s="114"/>
      <c r="AX607" s="114"/>
      <c r="AY607" s="114"/>
      <c r="AZ607" s="114"/>
    </row>
    <row r="608" spans="1:52">
      <c r="A608" s="111"/>
      <c r="B608" s="111"/>
      <c r="C608" s="112"/>
      <c r="D608" s="101"/>
      <c r="E608" s="101"/>
      <c r="F608" s="101"/>
      <c r="G608" s="111"/>
      <c r="H608" s="101"/>
      <c r="I608" s="101"/>
      <c r="J608" s="101"/>
      <c r="K608" s="101"/>
      <c r="L608" s="101"/>
      <c r="M608" s="101"/>
      <c r="N608" s="101"/>
      <c r="O608" s="101"/>
      <c r="P608" s="101"/>
      <c r="Q608" s="101"/>
      <c r="R608" s="101"/>
      <c r="S608" s="101"/>
      <c r="T608" s="101"/>
      <c r="U608" s="101"/>
      <c r="V608" s="101"/>
      <c r="W608" s="101"/>
      <c r="X608" s="101"/>
      <c r="Y608" s="114"/>
      <c r="Z608" s="114"/>
      <c r="AA608" s="114"/>
      <c r="AB608" s="114"/>
      <c r="AC608" s="114"/>
      <c r="AD608" s="114"/>
      <c r="AE608" s="114"/>
      <c r="AF608" s="114"/>
      <c r="AG608" s="114"/>
      <c r="AH608" s="114"/>
      <c r="AI608" s="114"/>
      <c r="AJ608" s="114"/>
      <c r="AK608" s="114"/>
      <c r="AL608" s="114"/>
      <c r="AM608" s="114"/>
      <c r="AN608" s="114"/>
      <c r="AO608" s="114"/>
      <c r="AP608" s="114"/>
      <c r="AQ608" s="114"/>
      <c r="AR608" s="114"/>
      <c r="AS608" s="114"/>
      <c r="AT608" s="114"/>
      <c r="AU608" s="114"/>
      <c r="AV608" s="114"/>
      <c r="AW608" s="114"/>
      <c r="AX608" s="114"/>
      <c r="AY608" s="114"/>
      <c r="AZ608" s="114"/>
    </row>
    <row r="609" spans="1:52">
      <c r="A609" s="111"/>
      <c r="B609" s="111"/>
      <c r="C609" s="112"/>
      <c r="D609" s="101"/>
      <c r="E609" s="101"/>
      <c r="F609" s="101"/>
      <c r="G609" s="111"/>
      <c r="H609" s="101"/>
      <c r="I609" s="101"/>
      <c r="J609" s="101"/>
      <c r="K609" s="101"/>
      <c r="L609" s="101"/>
      <c r="M609" s="101"/>
      <c r="N609" s="101"/>
      <c r="O609" s="101"/>
      <c r="P609" s="101"/>
      <c r="Q609" s="101"/>
      <c r="R609" s="101"/>
      <c r="S609" s="101"/>
      <c r="T609" s="101"/>
      <c r="U609" s="101"/>
      <c r="V609" s="101"/>
      <c r="W609" s="101"/>
      <c r="X609" s="101"/>
      <c r="Y609" s="114"/>
      <c r="Z609" s="114"/>
      <c r="AA609" s="114"/>
      <c r="AB609" s="114"/>
      <c r="AC609" s="114"/>
      <c r="AD609" s="114"/>
      <c r="AE609" s="114"/>
      <c r="AF609" s="114"/>
      <c r="AG609" s="114"/>
      <c r="AH609" s="114"/>
      <c r="AI609" s="114"/>
      <c r="AJ609" s="114"/>
      <c r="AK609" s="114"/>
      <c r="AL609" s="114"/>
      <c r="AM609" s="114"/>
      <c r="AN609" s="114"/>
      <c r="AO609" s="114"/>
      <c r="AP609" s="114"/>
      <c r="AQ609" s="114"/>
      <c r="AR609" s="114"/>
      <c r="AS609" s="114"/>
      <c r="AT609" s="114"/>
      <c r="AU609" s="114"/>
      <c r="AV609" s="114"/>
      <c r="AW609" s="114"/>
      <c r="AX609" s="114"/>
      <c r="AY609" s="114"/>
      <c r="AZ609" s="114"/>
    </row>
    <row r="610" spans="1:52">
      <c r="A610" s="111"/>
      <c r="B610" s="111"/>
      <c r="C610" s="112"/>
      <c r="D610" s="101"/>
      <c r="E610" s="101"/>
      <c r="F610" s="101"/>
      <c r="G610" s="111"/>
      <c r="H610" s="101"/>
      <c r="I610" s="101"/>
      <c r="J610" s="101"/>
      <c r="K610" s="101"/>
      <c r="L610" s="101"/>
      <c r="M610" s="101"/>
      <c r="N610" s="101"/>
      <c r="O610" s="101"/>
      <c r="P610" s="101"/>
      <c r="Q610" s="101"/>
      <c r="R610" s="101"/>
      <c r="S610" s="101"/>
      <c r="T610" s="101"/>
      <c r="U610" s="101"/>
      <c r="V610" s="101"/>
      <c r="W610" s="101"/>
      <c r="X610" s="101"/>
      <c r="Y610" s="114"/>
      <c r="Z610" s="114"/>
      <c r="AA610" s="114"/>
      <c r="AB610" s="114"/>
      <c r="AC610" s="114"/>
      <c r="AD610" s="114"/>
      <c r="AE610" s="114"/>
      <c r="AF610" s="114"/>
      <c r="AG610" s="114"/>
      <c r="AH610" s="114"/>
      <c r="AI610" s="114"/>
      <c r="AJ610" s="114"/>
      <c r="AK610" s="114"/>
      <c r="AL610" s="114"/>
      <c r="AM610" s="114"/>
      <c r="AN610" s="114"/>
      <c r="AO610" s="114"/>
      <c r="AP610" s="114"/>
      <c r="AQ610" s="114"/>
      <c r="AR610" s="114"/>
      <c r="AS610" s="114"/>
      <c r="AT610" s="114"/>
      <c r="AU610" s="114"/>
      <c r="AV610" s="114"/>
      <c r="AW610" s="114"/>
      <c r="AX610" s="114"/>
      <c r="AY610" s="114"/>
      <c r="AZ610" s="114"/>
    </row>
    <row r="611" spans="1:52">
      <c r="A611" s="111"/>
      <c r="B611" s="111"/>
      <c r="C611" s="112"/>
      <c r="D611" s="101"/>
      <c r="E611" s="101"/>
      <c r="F611" s="101"/>
      <c r="G611" s="111"/>
      <c r="H611" s="101"/>
      <c r="I611" s="101"/>
      <c r="J611" s="101"/>
      <c r="K611" s="101"/>
      <c r="L611" s="101"/>
      <c r="M611" s="101"/>
      <c r="N611" s="101"/>
      <c r="O611" s="101"/>
      <c r="P611" s="101"/>
      <c r="Q611" s="101"/>
      <c r="R611" s="101"/>
      <c r="S611" s="101"/>
      <c r="T611" s="101"/>
      <c r="U611" s="101"/>
      <c r="V611" s="101"/>
      <c r="W611" s="101"/>
      <c r="X611" s="101"/>
      <c r="Y611" s="114"/>
      <c r="Z611" s="114"/>
      <c r="AA611" s="114"/>
      <c r="AB611" s="114"/>
      <c r="AC611" s="114"/>
      <c r="AD611" s="114"/>
      <c r="AE611" s="114"/>
      <c r="AF611" s="114"/>
      <c r="AG611" s="114"/>
      <c r="AH611" s="114"/>
      <c r="AI611" s="114"/>
      <c r="AJ611" s="114"/>
      <c r="AK611" s="114"/>
      <c r="AL611" s="114"/>
      <c r="AM611" s="114"/>
      <c r="AN611" s="114"/>
      <c r="AO611" s="114"/>
      <c r="AP611" s="114"/>
      <c r="AQ611" s="114"/>
      <c r="AR611" s="114"/>
      <c r="AS611" s="114"/>
      <c r="AT611" s="114"/>
      <c r="AU611" s="114"/>
      <c r="AV611" s="114"/>
      <c r="AW611" s="114"/>
      <c r="AX611" s="114"/>
      <c r="AY611" s="114"/>
      <c r="AZ611" s="114"/>
    </row>
    <row r="612" spans="1:52">
      <c r="A612" s="111"/>
      <c r="B612" s="111"/>
      <c r="C612" s="112"/>
      <c r="D612" s="101"/>
      <c r="E612" s="101"/>
      <c r="F612" s="101"/>
      <c r="G612" s="111"/>
      <c r="H612" s="101"/>
      <c r="I612" s="101"/>
      <c r="J612" s="101"/>
      <c r="K612" s="101"/>
      <c r="L612" s="101"/>
      <c r="M612" s="101"/>
      <c r="N612" s="101"/>
      <c r="O612" s="101"/>
      <c r="P612" s="101"/>
      <c r="Q612" s="101"/>
      <c r="R612" s="101"/>
      <c r="S612" s="101"/>
      <c r="T612" s="101"/>
      <c r="U612" s="101"/>
      <c r="V612" s="101"/>
      <c r="W612" s="101"/>
      <c r="X612" s="101"/>
      <c r="Y612" s="114"/>
      <c r="Z612" s="114"/>
      <c r="AA612" s="114"/>
      <c r="AB612" s="114"/>
      <c r="AC612" s="114"/>
      <c r="AD612" s="114"/>
      <c r="AE612" s="114"/>
      <c r="AF612" s="114"/>
      <c r="AG612" s="114"/>
      <c r="AH612" s="114"/>
      <c r="AI612" s="114"/>
      <c r="AJ612" s="114"/>
      <c r="AK612" s="114"/>
      <c r="AL612" s="114"/>
      <c r="AM612" s="114"/>
      <c r="AN612" s="114"/>
      <c r="AO612" s="114"/>
      <c r="AP612" s="114"/>
      <c r="AQ612" s="114"/>
      <c r="AR612" s="114"/>
      <c r="AS612" s="114"/>
      <c r="AT612" s="114"/>
      <c r="AU612" s="114"/>
      <c r="AV612" s="114"/>
      <c r="AW612" s="114"/>
      <c r="AX612" s="114"/>
      <c r="AY612" s="114"/>
      <c r="AZ612" s="114"/>
    </row>
    <row r="613" spans="1:52">
      <c r="A613" s="111"/>
      <c r="B613" s="111"/>
      <c r="C613" s="112"/>
      <c r="D613" s="101"/>
      <c r="E613" s="101"/>
      <c r="F613" s="101"/>
      <c r="G613" s="111"/>
      <c r="H613" s="101"/>
      <c r="I613" s="101"/>
      <c r="J613" s="101"/>
      <c r="K613" s="101"/>
      <c r="L613" s="101"/>
      <c r="M613" s="101"/>
      <c r="N613" s="101"/>
      <c r="O613" s="101"/>
      <c r="P613" s="101"/>
      <c r="Q613" s="101"/>
      <c r="R613" s="101"/>
      <c r="S613" s="101"/>
      <c r="T613" s="101"/>
      <c r="U613" s="101"/>
      <c r="V613" s="101"/>
      <c r="W613" s="101"/>
      <c r="X613" s="101"/>
      <c r="Y613" s="114"/>
      <c r="Z613" s="114"/>
      <c r="AA613" s="114"/>
      <c r="AB613" s="114"/>
      <c r="AC613" s="114"/>
      <c r="AD613" s="114"/>
      <c r="AE613" s="114"/>
      <c r="AF613" s="114"/>
      <c r="AG613" s="114"/>
      <c r="AH613" s="114"/>
      <c r="AI613" s="114"/>
      <c r="AJ613" s="114"/>
      <c r="AK613" s="114"/>
      <c r="AL613" s="114"/>
      <c r="AM613" s="114"/>
      <c r="AN613" s="114"/>
      <c r="AO613" s="114"/>
      <c r="AP613" s="114"/>
      <c r="AQ613" s="114"/>
      <c r="AR613" s="114"/>
      <c r="AS613" s="114"/>
      <c r="AT613" s="114"/>
      <c r="AU613" s="114"/>
      <c r="AV613" s="114"/>
      <c r="AW613" s="114"/>
      <c r="AX613" s="114"/>
      <c r="AY613" s="114"/>
      <c r="AZ613" s="114"/>
    </row>
    <row r="614" spans="1:52">
      <c r="A614" s="111"/>
      <c r="B614" s="111"/>
      <c r="C614" s="112"/>
      <c r="D614" s="101"/>
      <c r="E614" s="101"/>
      <c r="F614" s="101"/>
      <c r="G614" s="111"/>
      <c r="H614" s="101"/>
      <c r="I614" s="101"/>
      <c r="J614" s="101"/>
      <c r="K614" s="101"/>
      <c r="L614" s="101"/>
      <c r="M614" s="101"/>
      <c r="N614" s="101"/>
      <c r="O614" s="101"/>
      <c r="P614" s="101"/>
      <c r="Q614" s="101"/>
      <c r="R614" s="101"/>
      <c r="S614" s="101"/>
      <c r="T614" s="101"/>
      <c r="U614" s="101"/>
      <c r="V614" s="101"/>
      <c r="W614" s="101"/>
      <c r="X614" s="101"/>
      <c r="Y614" s="114"/>
      <c r="Z614" s="114"/>
      <c r="AA614" s="114"/>
      <c r="AB614" s="114"/>
      <c r="AC614" s="114"/>
      <c r="AD614" s="114"/>
      <c r="AE614" s="114"/>
      <c r="AF614" s="114"/>
      <c r="AG614" s="114"/>
      <c r="AH614" s="114"/>
      <c r="AI614" s="114"/>
      <c r="AJ614" s="114"/>
      <c r="AK614" s="114"/>
      <c r="AL614" s="114"/>
      <c r="AM614" s="114"/>
      <c r="AN614" s="114"/>
      <c r="AO614" s="114"/>
      <c r="AP614" s="114"/>
      <c r="AQ614" s="114"/>
      <c r="AR614" s="114"/>
      <c r="AS614" s="114"/>
      <c r="AT614" s="114"/>
      <c r="AU614" s="114"/>
      <c r="AV614" s="114"/>
      <c r="AW614" s="114"/>
      <c r="AX614" s="114"/>
      <c r="AY614" s="114"/>
      <c r="AZ614" s="114"/>
    </row>
    <row r="615" spans="1:52">
      <c r="A615" s="111"/>
      <c r="B615" s="111"/>
      <c r="C615" s="112"/>
      <c r="D615" s="101"/>
      <c r="E615" s="101"/>
      <c r="F615" s="101"/>
      <c r="G615" s="111"/>
      <c r="H615" s="101"/>
      <c r="I615" s="101"/>
      <c r="J615" s="101"/>
      <c r="K615" s="101"/>
      <c r="L615" s="101"/>
      <c r="M615" s="101"/>
      <c r="N615" s="101"/>
      <c r="O615" s="101"/>
      <c r="P615" s="101"/>
      <c r="Q615" s="101"/>
      <c r="R615" s="101"/>
      <c r="S615" s="101"/>
      <c r="T615" s="101"/>
      <c r="U615" s="101"/>
      <c r="V615" s="101"/>
      <c r="W615" s="101"/>
      <c r="X615" s="101"/>
      <c r="Y615" s="114"/>
      <c r="Z615" s="114"/>
      <c r="AA615" s="114"/>
      <c r="AB615" s="114"/>
      <c r="AC615" s="114"/>
      <c r="AD615" s="114"/>
      <c r="AE615" s="114"/>
      <c r="AF615" s="114"/>
      <c r="AG615" s="114"/>
      <c r="AH615" s="114"/>
      <c r="AI615" s="114"/>
      <c r="AJ615" s="114"/>
      <c r="AK615" s="114"/>
      <c r="AL615" s="114"/>
      <c r="AM615" s="114"/>
      <c r="AN615" s="114"/>
      <c r="AO615" s="114"/>
      <c r="AP615" s="114"/>
      <c r="AQ615" s="114"/>
      <c r="AR615" s="114"/>
      <c r="AS615" s="114"/>
      <c r="AT615" s="114"/>
      <c r="AU615" s="114"/>
      <c r="AV615" s="114"/>
      <c r="AW615" s="114"/>
      <c r="AX615" s="114"/>
      <c r="AY615" s="114"/>
      <c r="AZ615" s="114"/>
    </row>
    <row r="616" spans="1:52">
      <c r="A616" s="111"/>
      <c r="B616" s="111"/>
      <c r="C616" s="112"/>
      <c r="D616" s="101"/>
      <c r="E616" s="101"/>
      <c r="F616" s="101"/>
      <c r="G616" s="111"/>
      <c r="H616" s="101"/>
      <c r="I616" s="101"/>
      <c r="J616" s="101"/>
      <c r="K616" s="101"/>
      <c r="L616" s="101"/>
      <c r="M616" s="101"/>
      <c r="N616" s="101"/>
      <c r="O616" s="101"/>
      <c r="P616" s="101"/>
      <c r="Q616" s="101"/>
      <c r="R616" s="101"/>
      <c r="S616" s="101"/>
      <c r="T616" s="101"/>
      <c r="U616" s="101"/>
      <c r="V616" s="101"/>
      <c r="W616" s="101"/>
      <c r="X616" s="101"/>
      <c r="Y616" s="114"/>
      <c r="Z616" s="114"/>
      <c r="AA616" s="114"/>
      <c r="AB616" s="114"/>
      <c r="AC616" s="114"/>
      <c r="AD616" s="114"/>
      <c r="AE616" s="114"/>
      <c r="AF616" s="114"/>
      <c r="AG616" s="114"/>
      <c r="AH616" s="114"/>
      <c r="AI616" s="114"/>
      <c r="AJ616" s="114"/>
      <c r="AK616" s="114"/>
      <c r="AL616" s="114"/>
      <c r="AM616" s="114"/>
      <c r="AN616" s="114"/>
      <c r="AO616" s="114"/>
      <c r="AP616" s="114"/>
      <c r="AQ616" s="114"/>
      <c r="AR616" s="114"/>
      <c r="AS616" s="114"/>
      <c r="AT616" s="114"/>
      <c r="AU616" s="114"/>
      <c r="AV616" s="114"/>
      <c r="AW616" s="114"/>
      <c r="AX616" s="114"/>
      <c r="AY616" s="114"/>
      <c r="AZ616" s="114"/>
    </row>
    <row r="617" spans="1:52">
      <c r="A617" s="111"/>
      <c r="B617" s="111"/>
      <c r="C617" s="112"/>
      <c r="D617" s="101"/>
      <c r="E617" s="101"/>
      <c r="F617" s="101"/>
      <c r="G617" s="111"/>
      <c r="H617" s="101"/>
      <c r="I617" s="101"/>
      <c r="J617" s="101"/>
      <c r="K617" s="101"/>
      <c r="L617" s="101"/>
      <c r="M617" s="101"/>
      <c r="N617" s="101"/>
      <c r="O617" s="101"/>
      <c r="P617" s="101"/>
      <c r="Q617" s="101"/>
      <c r="R617" s="101"/>
      <c r="S617" s="101"/>
      <c r="T617" s="101"/>
      <c r="U617" s="101"/>
      <c r="V617" s="101"/>
      <c r="W617" s="101"/>
      <c r="X617" s="101"/>
      <c r="Y617" s="114"/>
      <c r="Z617" s="114"/>
      <c r="AA617" s="114"/>
      <c r="AB617" s="114"/>
      <c r="AC617" s="114"/>
      <c r="AD617" s="114"/>
      <c r="AE617" s="114"/>
      <c r="AF617" s="114"/>
      <c r="AG617" s="114"/>
      <c r="AH617" s="114"/>
      <c r="AI617" s="114"/>
      <c r="AJ617" s="114"/>
      <c r="AK617" s="114"/>
      <c r="AL617" s="114"/>
      <c r="AM617" s="114"/>
      <c r="AN617" s="114"/>
      <c r="AO617" s="114"/>
      <c r="AP617" s="114"/>
      <c r="AQ617" s="114"/>
      <c r="AR617" s="114"/>
      <c r="AS617" s="114"/>
      <c r="AT617" s="114"/>
      <c r="AU617" s="114"/>
      <c r="AV617" s="114"/>
      <c r="AW617" s="114"/>
      <c r="AX617" s="114"/>
      <c r="AY617" s="114"/>
      <c r="AZ617" s="114"/>
    </row>
    <row r="618" spans="1:52">
      <c r="A618" s="111"/>
      <c r="B618" s="111"/>
      <c r="C618" s="112"/>
      <c r="D618" s="101"/>
      <c r="E618" s="101"/>
      <c r="F618" s="101"/>
      <c r="G618" s="111"/>
      <c r="H618" s="101"/>
      <c r="I618" s="101"/>
      <c r="J618" s="101"/>
      <c r="K618" s="101"/>
      <c r="L618" s="101"/>
      <c r="M618" s="101"/>
      <c r="N618" s="101"/>
      <c r="O618" s="101"/>
      <c r="P618" s="101"/>
      <c r="Q618" s="101"/>
      <c r="R618" s="101"/>
      <c r="S618" s="101"/>
      <c r="T618" s="101"/>
      <c r="U618" s="101"/>
      <c r="V618" s="101"/>
      <c r="W618" s="101"/>
      <c r="X618" s="101"/>
      <c r="Y618" s="114"/>
      <c r="Z618" s="114"/>
      <c r="AA618" s="114"/>
      <c r="AB618" s="114"/>
      <c r="AC618" s="114"/>
      <c r="AD618" s="114"/>
      <c r="AE618" s="114"/>
      <c r="AF618" s="114"/>
      <c r="AG618" s="114"/>
      <c r="AH618" s="114"/>
      <c r="AI618" s="114"/>
      <c r="AJ618" s="114"/>
      <c r="AK618" s="114"/>
      <c r="AL618" s="114"/>
      <c r="AM618" s="114"/>
      <c r="AN618" s="114"/>
      <c r="AO618" s="114"/>
      <c r="AP618" s="114"/>
      <c r="AQ618" s="114"/>
      <c r="AR618" s="114"/>
      <c r="AS618" s="114"/>
      <c r="AT618" s="114"/>
      <c r="AU618" s="114"/>
      <c r="AV618" s="114"/>
      <c r="AW618" s="114"/>
      <c r="AX618" s="114"/>
      <c r="AY618" s="114"/>
      <c r="AZ618" s="114"/>
    </row>
    <row r="619" spans="1:52">
      <c r="A619" s="111"/>
      <c r="B619" s="111"/>
      <c r="C619" s="112"/>
      <c r="D619" s="101"/>
      <c r="E619" s="101"/>
      <c r="F619" s="101"/>
      <c r="G619" s="111"/>
      <c r="H619" s="101"/>
      <c r="I619" s="101"/>
      <c r="J619" s="101"/>
      <c r="K619" s="101"/>
      <c r="L619" s="101"/>
      <c r="M619" s="101"/>
      <c r="N619" s="101"/>
      <c r="O619" s="101"/>
      <c r="P619" s="101"/>
      <c r="Q619" s="101"/>
      <c r="R619" s="101"/>
      <c r="S619" s="101"/>
      <c r="T619" s="101"/>
      <c r="U619" s="101"/>
      <c r="V619" s="101"/>
      <c r="W619" s="101"/>
      <c r="X619" s="101"/>
      <c r="Y619" s="114"/>
      <c r="Z619" s="114"/>
      <c r="AA619" s="114"/>
      <c r="AB619" s="114"/>
      <c r="AC619" s="114"/>
      <c r="AD619" s="114"/>
      <c r="AE619" s="114"/>
      <c r="AF619" s="114"/>
      <c r="AG619" s="114"/>
      <c r="AH619" s="114"/>
      <c r="AI619" s="114"/>
      <c r="AJ619" s="114"/>
      <c r="AK619" s="114"/>
      <c r="AL619" s="114"/>
      <c r="AM619" s="114"/>
      <c r="AN619" s="114"/>
      <c r="AO619" s="114"/>
      <c r="AP619" s="114"/>
      <c r="AQ619" s="114"/>
      <c r="AR619" s="114"/>
      <c r="AS619" s="114"/>
      <c r="AT619" s="114"/>
      <c r="AU619" s="114"/>
      <c r="AV619" s="114"/>
      <c r="AW619" s="114"/>
      <c r="AX619" s="114"/>
      <c r="AY619" s="114"/>
      <c r="AZ619" s="114"/>
    </row>
    <row r="620" spans="1:52">
      <c r="A620" s="111"/>
      <c r="B620" s="111"/>
      <c r="C620" s="112"/>
      <c r="D620" s="101"/>
      <c r="E620" s="101"/>
      <c r="F620" s="101"/>
      <c r="G620" s="111"/>
      <c r="H620" s="101"/>
      <c r="I620" s="101"/>
      <c r="J620" s="101"/>
      <c r="K620" s="101"/>
      <c r="L620" s="101"/>
      <c r="M620" s="101"/>
      <c r="N620" s="101"/>
      <c r="O620" s="101"/>
      <c r="P620" s="101"/>
      <c r="Q620" s="101"/>
      <c r="R620" s="101"/>
      <c r="S620" s="101"/>
      <c r="T620" s="101"/>
      <c r="U620" s="101"/>
      <c r="V620" s="101"/>
      <c r="W620" s="101"/>
      <c r="X620" s="101"/>
      <c r="Y620" s="114"/>
      <c r="Z620" s="114"/>
      <c r="AA620" s="114"/>
      <c r="AB620" s="114"/>
      <c r="AC620" s="114"/>
      <c r="AD620" s="114"/>
      <c r="AE620" s="114"/>
      <c r="AF620" s="114"/>
      <c r="AG620" s="114"/>
      <c r="AH620" s="114"/>
      <c r="AI620" s="114"/>
      <c r="AJ620" s="114"/>
      <c r="AK620" s="114"/>
      <c r="AL620" s="114"/>
      <c r="AM620" s="114"/>
      <c r="AN620" s="114"/>
      <c r="AO620" s="114"/>
      <c r="AP620" s="114"/>
      <c r="AQ620" s="114"/>
      <c r="AR620" s="114"/>
      <c r="AS620" s="114"/>
      <c r="AT620" s="114"/>
      <c r="AU620" s="114"/>
      <c r="AV620" s="114"/>
      <c r="AW620" s="114"/>
      <c r="AX620" s="114"/>
      <c r="AY620" s="114"/>
      <c r="AZ620" s="114"/>
    </row>
    <row r="621" spans="1:52">
      <c r="A621" s="111"/>
      <c r="B621" s="111"/>
      <c r="C621" s="112"/>
      <c r="D621" s="101"/>
      <c r="E621" s="101"/>
      <c r="F621" s="101"/>
      <c r="G621" s="111"/>
      <c r="H621" s="101"/>
      <c r="I621" s="101"/>
      <c r="J621" s="101"/>
      <c r="K621" s="101"/>
      <c r="L621" s="101"/>
      <c r="M621" s="101"/>
      <c r="N621" s="101"/>
      <c r="O621" s="101"/>
      <c r="P621" s="101"/>
      <c r="Q621" s="101"/>
      <c r="R621" s="101"/>
      <c r="S621" s="101"/>
      <c r="T621" s="101"/>
      <c r="U621" s="101"/>
      <c r="V621" s="101"/>
      <c r="W621" s="101"/>
      <c r="X621" s="101"/>
      <c r="Y621" s="114"/>
      <c r="Z621" s="114"/>
      <c r="AA621" s="114"/>
      <c r="AB621" s="114"/>
      <c r="AC621" s="114"/>
      <c r="AD621" s="114"/>
      <c r="AE621" s="114"/>
      <c r="AF621" s="114"/>
      <c r="AG621" s="114"/>
      <c r="AH621" s="114"/>
      <c r="AI621" s="114"/>
      <c r="AJ621" s="114"/>
      <c r="AK621" s="114"/>
      <c r="AL621" s="114"/>
      <c r="AM621" s="114"/>
      <c r="AN621" s="114"/>
      <c r="AO621" s="114"/>
      <c r="AP621" s="114"/>
      <c r="AQ621" s="114"/>
      <c r="AR621" s="114"/>
      <c r="AS621" s="114"/>
      <c r="AT621" s="114"/>
      <c r="AU621" s="114"/>
      <c r="AV621" s="114"/>
      <c r="AW621" s="114"/>
      <c r="AX621" s="114"/>
      <c r="AY621" s="114"/>
      <c r="AZ621" s="114"/>
    </row>
    <row r="622" spans="1:52">
      <c r="A622" s="111"/>
      <c r="B622" s="111"/>
      <c r="C622" s="112"/>
      <c r="D622" s="101"/>
      <c r="E622" s="101"/>
      <c r="F622" s="101"/>
      <c r="G622" s="111"/>
      <c r="H622" s="101"/>
      <c r="I622" s="101"/>
      <c r="J622" s="101"/>
      <c r="K622" s="101"/>
      <c r="L622" s="101"/>
      <c r="M622" s="101"/>
      <c r="N622" s="101"/>
      <c r="O622" s="101"/>
      <c r="P622" s="101"/>
      <c r="Q622" s="101"/>
      <c r="R622" s="101"/>
      <c r="S622" s="101"/>
      <c r="T622" s="101"/>
      <c r="U622" s="101"/>
      <c r="V622" s="101"/>
      <c r="W622" s="101"/>
      <c r="X622" s="101"/>
      <c r="Y622" s="114"/>
      <c r="Z622" s="114"/>
      <c r="AA622" s="114"/>
      <c r="AB622" s="114"/>
      <c r="AC622" s="114"/>
      <c r="AD622" s="114"/>
      <c r="AE622" s="114"/>
      <c r="AF622" s="114"/>
      <c r="AG622" s="114"/>
      <c r="AH622" s="114"/>
      <c r="AI622" s="114"/>
      <c r="AJ622" s="114"/>
      <c r="AK622" s="114"/>
      <c r="AL622" s="114"/>
      <c r="AM622" s="114"/>
      <c r="AN622" s="114"/>
      <c r="AO622" s="114"/>
      <c r="AP622" s="114"/>
      <c r="AQ622" s="114"/>
      <c r="AR622" s="114"/>
      <c r="AS622" s="114"/>
      <c r="AT622" s="114"/>
      <c r="AU622" s="114"/>
      <c r="AV622" s="114"/>
      <c r="AW622" s="114"/>
      <c r="AX622" s="114"/>
      <c r="AY622" s="114"/>
      <c r="AZ622" s="114"/>
    </row>
    <row r="623" spans="1:52">
      <c r="A623" s="111"/>
      <c r="B623" s="111"/>
      <c r="C623" s="112"/>
      <c r="D623" s="101"/>
      <c r="E623" s="101"/>
      <c r="F623" s="101"/>
      <c r="G623" s="111"/>
      <c r="H623" s="101"/>
      <c r="I623" s="101"/>
      <c r="J623" s="101"/>
      <c r="K623" s="101"/>
      <c r="L623" s="101"/>
      <c r="M623" s="101"/>
      <c r="N623" s="101"/>
      <c r="O623" s="101"/>
      <c r="P623" s="101"/>
      <c r="Q623" s="101"/>
      <c r="R623" s="101"/>
      <c r="S623" s="101"/>
      <c r="T623" s="101"/>
      <c r="U623" s="101"/>
      <c r="V623" s="101"/>
      <c r="W623" s="101"/>
      <c r="X623" s="101"/>
      <c r="Y623" s="114"/>
      <c r="Z623" s="114"/>
      <c r="AA623" s="114"/>
      <c r="AB623" s="114"/>
      <c r="AC623" s="114"/>
      <c r="AD623" s="114"/>
      <c r="AE623" s="114"/>
      <c r="AF623" s="114"/>
      <c r="AG623" s="114"/>
      <c r="AH623" s="114"/>
      <c r="AI623" s="114"/>
      <c r="AJ623" s="114"/>
      <c r="AK623" s="114"/>
      <c r="AL623" s="114"/>
      <c r="AM623" s="114"/>
      <c r="AN623" s="114"/>
      <c r="AO623" s="114"/>
      <c r="AP623" s="114"/>
      <c r="AQ623" s="114"/>
      <c r="AR623" s="114"/>
      <c r="AS623" s="114"/>
      <c r="AT623" s="114"/>
      <c r="AU623" s="114"/>
      <c r="AV623" s="114"/>
      <c r="AW623" s="114"/>
      <c r="AX623" s="114"/>
      <c r="AY623" s="114"/>
      <c r="AZ623" s="114"/>
    </row>
    <row r="624" spans="1:52">
      <c r="A624" s="111"/>
      <c r="B624" s="111"/>
      <c r="C624" s="112"/>
      <c r="D624" s="101"/>
      <c r="E624" s="101"/>
      <c r="F624" s="101"/>
      <c r="G624" s="111"/>
      <c r="H624" s="101"/>
      <c r="I624" s="101"/>
      <c r="J624" s="101"/>
      <c r="K624" s="101"/>
      <c r="L624" s="101"/>
      <c r="M624" s="101"/>
      <c r="N624" s="101"/>
      <c r="O624" s="101"/>
      <c r="P624" s="101"/>
      <c r="Q624" s="101"/>
      <c r="R624" s="101"/>
      <c r="S624" s="101"/>
      <c r="T624" s="101"/>
      <c r="U624" s="101"/>
      <c r="V624" s="101"/>
      <c r="W624" s="101"/>
      <c r="X624" s="101"/>
      <c r="Y624" s="114"/>
      <c r="Z624" s="114"/>
      <c r="AA624" s="114"/>
      <c r="AB624" s="114"/>
      <c r="AC624" s="114"/>
      <c r="AD624" s="114"/>
      <c r="AE624" s="114"/>
      <c r="AF624" s="114"/>
      <c r="AG624" s="114"/>
      <c r="AH624" s="114"/>
      <c r="AI624" s="114"/>
      <c r="AJ624" s="114"/>
      <c r="AK624" s="114"/>
      <c r="AL624" s="114"/>
      <c r="AM624" s="114"/>
      <c r="AN624" s="114"/>
      <c r="AO624" s="114"/>
      <c r="AP624" s="114"/>
      <c r="AQ624" s="114"/>
      <c r="AR624" s="114"/>
      <c r="AS624" s="114"/>
      <c r="AT624" s="114"/>
      <c r="AU624" s="114"/>
      <c r="AV624" s="114"/>
      <c r="AW624" s="114"/>
      <c r="AX624" s="114"/>
      <c r="AY624" s="114"/>
      <c r="AZ624" s="114"/>
    </row>
    <row r="625" spans="1:52">
      <c r="A625" s="111"/>
      <c r="B625" s="111"/>
      <c r="C625" s="112"/>
      <c r="D625" s="101"/>
      <c r="E625" s="101"/>
      <c r="F625" s="101"/>
      <c r="G625" s="111"/>
      <c r="H625" s="101"/>
      <c r="I625" s="101"/>
      <c r="J625" s="101"/>
      <c r="K625" s="101"/>
      <c r="L625" s="101"/>
      <c r="M625" s="101"/>
      <c r="N625" s="101"/>
      <c r="O625" s="101"/>
      <c r="P625" s="101"/>
      <c r="Q625" s="101"/>
      <c r="R625" s="101"/>
      <c r="S625" s="101"/>
      <c r="T625" s="101"/>
      <c r="U625" s="101"/>
      <c r="V625" s="101"/>
      <c r="W625" s="101"/>
      <c r="X625" s="101"/>
      <c r="Y625" s="114"/>
      <c r="Z625" s="114"/>
      <c r="AA625" s="114"/>
      <c r="AB625" s="114"/>
      <c r="AC625" s="114"/>
      <c r="AD625" s="114"/>
      <c r="AE625" s="114"/>
      <c r="AF625" s="114"/>
      <c r="AG625" s="114"/>
      <c r="AH625" s="114"/>
      <c r="AI625" s="114"/>
      <c r="AJ625" s="114"/>
      <c r="AK625" s="114"/>
      <c r="AL625" s="114"/>
      <c r="AM625" s="114"/>
      <c r="AN625" s="114"/>
      <c r="AO625" s="114"/>
      <c r="AP625" s="114"/>
      <c r="AQ625" s="114"/>
      <c r="AR625" s="114"/>
      <c r="AS625" s="114"/>
      <c r="AT625" s="114"/>
      <c r="AU625" s="114"/>
      <c r="AV625" s="114"/>
      <c r="AW625" s="114"/>
      <c r="AX625" s="114"/>
      <c r="AY625" s="114"/>
      <c r="AZ625" s="114"/>
    </row>
    <row r="626" spans="1:52">
      <c r="A626" s="111"/>
      <c r="B626" s="111"/>
      <c r="C626" s="112"/>
      <c r="D626" s="101"/>
      <c r="E626" s="101"/>
      <c r="F626" s="101"/>
      <c r="G626" s="111"/>
      <c r="H626" s="101"/>
      <c r="I626" s="101"/>
      <c r="J626" s="101"/>
      <c r="K626" s="101"/>
      <c r="L626" s="101"/>
      <c r="M626" s="101"/>
      <c r="N626" s="101"/>
      <c r="O626" s="101"/>
      <c r="P626" s="101"/>
      <c r="Q626" s="101"/>
      <c r="R626" s="101"/>
      <c r="S626" s="101"/>
      <c r="T626" s="101"/>
      <c r="U626" s="101"/>
      <c r="V626" s="101"/>
      <c r="W626" s="101"/>
      <c r="X626" s="101"/>
      <c r="Y626" s="114"/>
      <c r="Z626" s="114"/>
      <c r="AA626" s="114"/>
      <c r="AB626" s="114"/>
      <c r="AC626" s="114"/>
      <c r="AD626" s="114"/>
      <c r="AE626" s="114"/>
      <c r="AF626" s="114"/>
      <c r="AG626" s="114"/>
      <c r="AH626" s="114"/>
      <c r="AI626" s="114"/>
      <c r="AJ626" s="114"/>
      <c r="AK626" s="114"/>
      <c r="AL626" s="114"/>
      <c r="AM626" s="114"/>
      <c r="AN626" s="114"/>
      <c r="AO626" s="114"/>
      <c r="AP626" s="114"/>
      <c r="AQ626" s="114"/>
      <c r="AR626" s="114"/>
      <c r="AS626" s="114"/>
      <c r="AT626" s="114"/>
      <c r="AU626" s="114"/>
      <c r="AV626" s="114"/>
      <c r="AW626" s="114"/>
      <c r="AX626" s="114"/>
      <c r="AY626" s="114"/>
      <c r="AZ626" s="114"/>
    </row>
    <row r="627" spans="1:52">
      <c r="A627" s="111"/>
      <c r="B627" s="111"/>
      <c r="C627" s="112"/>
      <c r="D627" s="101"/>
      <c r="E627" s="101"/>
      <c r="F627" s="101"/>
      <c r="G627" s="111"/>
      <c r="H627" s="101"/>
      <c r="I627" s="101"/>
      <c r="J627" s="101"/>
      <c r="K627" s="101"/>
      <c r="L627" s="101"/>
      <c r="M627" s="101"/>
      <c r="N627" s="101"/>
      <c r="O627" s="101"/>
      <c r="P627" s="101"/>
      <c r="Q627" s="101"/>
      <c r="R627" s="101"/>
      <c r="S627" s="101"/>
      <c r="T627" s="101"/>
      <c r="U627" s="101"/>
      <c r="V627" s="101"/>
      <c r="W627" s="101"/>
      <c r="X627" s="101"/>
      <c r="Y627" s="114"/>
      <c r="Z627" s="114"/>
      <c r="AA627" s="114"/>
      <c r="AB627" s="114"/>
      <c r="AC627" s="114"/>
      <c r="AD627" s="114"/>
      <c r="AE627" s="114"/>
      <c r="AF627" s="114"/>
      <c r="AG627" s="114"/>
      <c r="AH627" s="114"/>
      <c r="AI627" s="114"/>
      <c r="AJ627" s="114"/>
      <c r="AK627" s="114"/>
      <c r="AL627" s="114"/>
      <c r="AM627" s="114"/>
      <c r="AN627" s="114"/>
      <c r="AO627" s="114"/>
      <c r="AP627" s="114"/>
      <c r="AQ627" s="114"/>
      <c r="AR627" s="114"/>
      <c r="AS627" s="114"/>
      <c r="AT627" s="114"/>
      <c r="AU627" s="114"/>
      <c r="AV627" s="114"/>
      <c r="AW627" s="114"/>
      <c r="AX627" s="114"/>
      <c r="AY627" s="114"/>
      <c r="AZ627" s="114"/>
    </row>
    <row r="628" spans="1:52">
      <c r="A628" s="111"/>
      <c r="B628" s="111"/>
      <c r="C628" s="112"/>
      <c r="D628" s="101"/>
      <c r="E628" s="101"/>
      <c r="F628" s="101"/>
      <c r="G628" s="111"/>
      <c r="H628" s="101"/>
      <c r="I628" s="101"/>
      <c r="J628" s="101"/>
      <c r="K628" s="101"/>
      <c r="L628" s="101"/>
      <c r="M628" s="101"/>
      <c r="N628" s="101"/>
      <c r="O628" s="101"/>
      <c r="P628" s="101"/>
      <c r="Q628" s="101"/>
      <c r="R628" s="101"/>
      <c r="S628" s="101"/>
      <c r="T628" s="101"/>
      <c r="U628" s="101"/>
      <c r="V628" s="101"/>
      <c r="W628" s="101"/>
      <c r="X628" s="101"/>
      <c r="Y628" s="114"/>
      <c r="Z628" s="114"/>
      <c r="AA628" s="114"/>
      <c r="AB628" s="114"/>
      <c r="AC628" s="114"/>
      <c r="AD628" s="114"/>
      <c r="AE628" s="114"/>
      <c r="AF628" s="114"/>
      <c r="AG628" s="114"/>
      <c r="AH628" s="114"/>
      <c r="AI628" s="114"/>
      <c r="AJ628" s="114"/>
      <c r="AK628" s="114"/>
      <c r="AL628" s="114"/>
      <c r="AM628" s="114"/>
      <c r="AN628" s="114"/>
      <c r="AO628" s="114"/>
      <c r="AP628" s="114"/>
      <c r="AQ628" s="114"/>
      <c r="AR628" s="114"/>
      <c r="AS628" s="114"/>
      <c r="AT628" s="114"/>
      <c r="AU628" s="114"/>
      <c r="AV628" s="114"/>
      <c r="AW628" s="114"/>
      <c r="AX628" s="114"/>
      <c r="AY628" s="114"/>
      <c r="AZ628" s="114"/>
    </row>
    <row r="629" spans="1:52">
      <c r="A629" s="111"/>
      <c r="B629" s="111"/>
      <c r="C629" s="112"/>
      <c r="D629" s="101"/>
      <c r="E629" s="101"/>
      <c r="F629" s="101"/>
      <c r="G629" s="111"/>
      <c r="H629" s="101"/>
      <c r="I629" s="101"/>
      <c r="J629" s="101"/>
      <c r="K629" s="101"/>
      <c r="L629" s="101"/>
      <c r="M629" s="101"/>
      <c r="N629" s="101"/>
      <c r="O629" s="101"/>
      <c r="P629" s="101"/>
      <c r="Q629" s="101"/>
      <c r="R629" s="101"/>
      <c r="S629" s="101"/>
      <c r="T629" s="101"/>
      <c r="U629" s="101"/>
      <c r="V629" s="101"/>
      <c r="W629" s="101"/>
      <c r="X629" s="101"/>
      <c r="Y629" s="114"/>
      <c r="Z629" s="114"/>
      <c r="AA629" s="114"/>
      <c r="AB629" s="114"/>
      <c r="AC629" s="114"/>
      <c r="AD629" s="114"/>
      <c r="AE629" s="114"/>
      <c r="AF629" s="114"/>
      <c r="AG629" s="114"/>
      <c r="AH629" s="114"/>
      <c r="AI629" s="114"/>
      <c r="AJ629" s="114"/>
      <c r="AK629" s="114"/>
      <c r="AL629" s="114"/>
      <c r="AM629" s="114"/>
      <c r="AN629" s="114"/>
      <c r="AO629" s="114"/>
      <c r="AP629" s="114"/>
      <c r="AQ629" s="114"/>
      <c r="AR629" s="114"/>
      <c r="AS629" s="114"/>
      <c r="AT629" s="114"/>
      <c r="AU629" s="114"/>
      <c r="AV629" s="114"/>
      <c r="AW629" s="114"/>
      <c r="AX629" s="114"/>
      <c r="AY629" s="114"/>
      <c r="AZ629" s="114"/>
    </row>
    <row r="630" spans="1:52">
      <c r="A630" s="111"/>
      <c r="B630" s="111"/>
      <c r="C630" s="112"/>
      <c r="D630" s="101"/>
      <c r="E630" s="101"/>
      <c r="F630" s="101"/>
      <c r="G630" s="111"/>
      <c r="H630" s="101"/>
      <c r="I630" s="101"/>
      <c r="J630" s="101"/>
      <c r="K630" s="101"/>
      <c r="L630" s="101"/>
      <c r="M630" s="101"/>
      <c r="N630" s="101"/>
      <c r="O630" s="101"/>
      <c r="P630" s="101"/>
      <c r="Q630" s="101"/>
      <c r="R630" s="101"/>
      <c r="S630" s="101"/>
      <c r="T630" s="101"/>
      <c r="U630" s="101"/>
      <c r="V630" s="101"/>
      <c r="W630" s="101"/>
      <c r="X630" s="101"/>
      <c r="Y630" s="114"/>
      <c r="Z630" s="114"/>
      <c r="AA630" s="114"/>
      <c r="AB630" s="114"/>
      <c r="AC630" s="114"/>
      <c r="AD630" s="114"/>
      <c r="AE630" s="114"/>
      <c r="AF630" s="114"/>
      <c r="AG630" s="114"/>
      <c r="AH630" s="114"/>
      <c r="AI630" s="114"/>
      <c r="AJ630" s="114"/>
      <c r="AK630" s="114"/>
      <c r="AL630" s="114"/>
      <c r="AM630" s="114"/>
      <c r="AN630" s="114"/>
      <c r="AO630" s="114"/>
      <c r="AP630" s="114"/>
      <c r="AQ630" s="114"/>
      <c r="AR630" s="114"/>
      <c r="AS630" s="114"/>
      <c r="AT630" s="114"/>
      <c r="AU630" s="114"/>
      <c r="AV630" s="114"/>
      <c r="AW630" s="114"/>
      <c r="AX630" s="114"/>
      <c r="AY630" s="114"/>
      <c r="AZ630" s="114"/>
    </row>
    <row r="631" spans="1:52">
      <c r="A631" s="111"/>
      <c r="B631" s="111"/>
      <c r="C631" s="112"/>
      <c r="D631" s="101"/>
      <c r="E631" s="101"/>
      <c r="F631" s="101"/>
      <c r="G631" s="111"/>
      <c r="H631" s="101"/>
      <c r="I631" s="101"/>
      <c r="J631" s="101"/>
      <c r="K631" s="101"/>
      <c r="L631" s="101"/>
      <c r="M631" s="101"/>
      <c r="N631" s="101"/>
      <c r="O631" s="101"/>
      <c r="P631" s="101"/>
      <c r="Q631" s="101"/>
      <c r="R631" s="101"/>
      <c r="S631" s="101"/>
      <c r="T631" s="101"/>
      <c r="U631" s="101"/>
      <c r="V631" s="101"/>
      <c r="W631" s="101"/>
      <c r="X631" s="101"/>
      <c r="Y631" s="114"/>
      <c r="Z631" s="114"/>
      <c r="AA631" s="114"/>
      <c r="AB631" s="114"/>
      <c r="AC631" s="114"/>
      <c r="AD631" s="114"/>
      <c r="AE631" s="114"/>
      <c r="AF631" s="114"/>
      <c r="AG631" s="114"/>
      <c r="AH631" s="114"/>
      <c r="AI631" s="114"/>
      <c r="AJ631" s="114"/>
      <c r="AK631" s="114"/>
      <c r="AL631" s="114"/>
      <c r="AM631" s="114"/>
      <c r="AN631" s="114"/>
      <c r="AO631" s="114"/>
      <c r="AP631" s="114"/>
      <c r="AQ631" s="114"/>
      <c r="AR631" s="114"/>
      <c r="AS631" s="114"/>
      <c r="AT631" s="114"/>
      <c r="AU631" s="114"/>
      <c r="AV631" s="114"/>
      <c r="AW631" s="114"/>
      <c r="AX631" s="114"/>
      <c r="AY631" s="114"/>
      <c r="AZ631" s="114"/>
    </row>
    <row r="632" spans="1:52">
      <c r="A632" s="111"/>
      <c r="B632" s="111"/>
      <c r="C632" s="112"/>
      <c r="D632" s="101"/>
      <c r="E632" s="101"/>
      <c r="F632" s="101"/>
      <c r="G632" s="111"/>
      <c r="H632" s="101"/>
      <c r="I632" s="101"/>
      <c r="J632" s="101"/>
      <c r="K632" s="101"/>
      <c r="L632" s="101"/>
      <c r="M632" s="101"/>
      <c r="N632" s="101"/>
      <c r="O632" s="101"/>
      <c r="P632" s="101"/>
      <c r="Q632" s="101"/>
      <c r="R632" s="101"/>
      <c r="S632" s="101"/>
      <c r="T632" s="101"/>
      <c r="U632" s="101"/>
      <c r="V632" s="101"/>
      <c r="W632" s="101"/>
      <c r="X632" s="101"/>
      <c r="Y632" s="114"/>
      <c r="Z632" s="114"/>
      <c r="AA632" s="114"/>
      <c r="AB632" s="114"/>
      <c r="AC632" s="114"/>
      <c r="AD632" s="114"/>
      <c r="AE632" s="114"/>
      <c r="AF632" s="114"/>
      <c r="AG632" s="114"/>
      <c r="AH632" s="114"/>
      <c r="AI632" s="114"/>
      <c r="AJ632" s="114"/>
      <c r="AK632" s="114"/>
      <c r="AL632" s="114"/>
      <c r="AM632" s="114"/>
      <c r="AN632" s="114"/>
      <c r="AO632" s="114"/>
      <c r="AP632" s="114"/>
      <c r="AQ632" s="114"/>
      <c r="AR632" s="114"/>
      <c r="AS632" s="114"/>
      <c r="AT632" s="114"/>
      <c r="AU632" s="114"/>
      <c r="AV632" s="114"/>
      <c r="AW632" s="114"/>
      <c r="AX632" s="114"/>
      <c r="AY632" s="114"/>
      <c r="AZ632" s="114"/>
    </row>
    <row r="633" spans="1:52">
      <c r="A633" s="111"/>
      <c r="B633" s="111"/>
      <c r="C633" s="112"/>
      <c r="D633" s="101"/>
      <c r="E633" s="101"/>
      <c r="F633" s="101"/>
      <c r="G633" s="111"/>
      <c r="H633" s="101"/>
      <c r="I633" s="101"/>
      <c r="J633" s="101"/>
      <c r="K633" s="101"/>
      <c r="L633" s="101"/>
      <c r="M633" s="101"/>
      <c r="N633" s="101"/>
      <c r="O633" s="101"/>
      <c r="P633" s="101"/>
      <c r="Q633" s="101"/>
      <c r="R633" s="101"/>
      <c r="S633" s="101"/>
      <c r="T633" s="101"/>
      <c r="U633" s="101"/>
      <c r="V633" s="101"/>
      <c r="W633" s="101"/>
      <c r="X633" s="101"/>
      <c r="Y633" s="114"/>
      <c r="Z633" s="114"/>
      <c r="AA633" s="114"/>
      <c r="AB633" s="114"/>
      <c r="AC633" s="114"/>
      <c r="AD633" s="114"/>
      <c r="AE633" s="114"/>
      <c r="AF633" s="114"/>
      <c r="AG633" s="114"/>
      <c r="AH633" s="114"/>
      <c r="AI633" s="114"/>
      <c r="AJ633" s="114"/>
      <c r="AK633" s="114"/>
      <c r="AL633" s="114"/>
      <c r="AM633" s="114"/>
      <c r="AN633" s="114"/>
      <c r="AO633" s="114"/>
      <c r="AP633" s="114"/>
      <c r="AQ633" s="114"/>
      <c r="AR633" s="114"/>
      <c r="AS633" s="114"/>
      <c r="AT633" s="114"/>
      <c r="AU633" s="114"/>
      <c r="AV633" s="114"/>
      <c r="AW633" s="114"/>
      <c r="AX633" s="114"/>
      <c r="AY633" s="114"/>
      <c r="AZ633" s="114"/>
    </row>
    <row r="634" spans="1:52">
      <c r="A634" s="111"/>
      <c r="B634" s="111"/>
      <c r="C634" s="112"/>
      <c r="D634" s="101"/>
      <c r="E634" s="101"/>
      <c r="F634" s="101"/>
      <c r="G634" s="111"/>
      <c r="H634" s="101"/>
      <c r="I634" s="101"/>
      <c r="J634" s="101"/>
      <c r="K634" s="101"/>
      <c r="L634" s="101"/>
      <c r="M634" s="101"/>
      <c r="N634" s="101"/>
      <c r="O634" s="101"/>
      <c r="P634" s="101"/>
      <c r="Q634" s="101"/>
      <c r="R634" s="101"/>
      <c r="S634" s="101"/>
      <c r="T634" s="101"/>
      <c r="U634" s="101"/>
      <c r="V634" s="101"/>
      <c r="W634" s="101"/>
      <c r="X634" s="101"/>
      <c r="Y634" s="114"/>
      <c r="Z634" s="114"/>
      <c r="AA634" s="114"/>
      <c r="AB634" s="114"/>
      <c r="AC634" s="114"/>
      <c r="AD634" s="114"/>
      <c r="AE634" s="114"/>
      <c r="AF634" s="114"/>
      <c r="AG634" s="114"/>
      <c r="AH634" s="114"/>
      <c r="AI634" s="114"/>
      <c r="AJ634" s="114"/>
      <c r="AK634" s="114"/>
      <c r="AL634" s="114"/>
      <c r="AM634" s="114"/>
      <c r="AN634" s="114"/>
      <c r="AO634" s="114"/>
      <c r="AP634" s="114"/>
      <c r="AQ634" s="114"/>
      <c r="AR634" s="114"/>
      <c r="AS634" s="114"/>
      <c r="AT634" s="114"/>
      <c r="AU634" s="114"/>
      <c r="AV634" s="114"/>
      <c r="AW634" s="114"/>
      <c r="AX634" s="114"/>
      <c r="AY634" s="114"/>
      <c r="AZ634" s="114"/>
    </row>
    <row r="635" spans="1:52">
      <c r="A635" s="111"/>
      <c r="B635" s="111"/>
      <c r="C635" s="112"/>
      <c r="D635" s="101"/>
      <c r="E635" s="101"/>
      <c r="F635" s="101"/>
      <c r="G635" s="111"/>
      <c r="H635" s="101"/>
      <c r="I635" s="101"/>
      <c r="J635" s="101"/>
      <c r="K635" s="101"/>
      <c r="L635" s="101"/>
      <c r="M635" s="101"/>
      <c r="N635" s="101"/>
      <c r="O635" s="101"/>
      <c r="P635" s="101"/>
      <c r="Q635" s="101"/>
      <c r="R635" s="101"/>
      <c r="S635" s="101"/>
      <c r="T635" s="101"/>
      <c r="U635" s="101"/>
      <c r="V635" s="101"/>
      <c r="W635" s="101"/>
      <c r="X635" s="101"/>
      <c r="Y635" s="114"/>
      <c r="Z635" s="114"/>
      <c r="AA635" s="114"/>
      <c r="AB635" s="114"/>
      <c r="AC635" s="114"/>
      <c r="AD635" s="114"/>
      <c r="AE635" s="114"/>
      <c r="AF635" s="114"/>
      <c r="AG635" s="114"/>
      <c r="AH635" s="114"/>
      <c r="AI635" s="114"/>
      <c r="AJ635" s="114"/>
      <c r="AK635" s="114"/>
      <c r="AL635" s="114"/>
      <c r="AM635" s="114"/>
      <c r="AN635" s="114"/>
      <c r="AO635" s="114"/>
      <c r="AP635" s="114"/>
      <c r="AQ635" s="114"/>
      <c r="AR635" s="114"/>
      <c r="AS635" s="114"/>
      <c r="AT635" s="114"/>
      <c r="AU635" s="114"/>
      <c r="AV635" s="114"/>
      <c r="AW635" s="114"/>
      <c r="AX635" s="114"/>
      <c r="AY635" s="114"/>
      <c r="AZ635" s="114"/>
    </row>
    <row r="636" spans="1:52">
      <c r="A636" s="111"/>
      <c r="B636" s="111"/>
      <c r="C636" s="112"/>
      <c r="D636" s="101"/>
      <c r="E636" s="101"/>
      <c r="F636" s="101"/>
      <c r="G636" s="111"/>
      <c r="H636" s="101"/>
      <c r="I636" s="101"/>
      <c r="J636" s="101"/>
      <c r="K636" s="101"/>
      <c r="L636" s="101"/>
      <c r="M636" s="101"/>
      <c r="N636" s="101"/>
      <c r="O636" s="101"/>
      <c r="P636" s="101"/>
      <c r="Q636" s="101"/>
      <c r="R636" s="101"/>
      <c r="S636" s="101"/>
      <c r="T636" s="101"/>
      <c r="U636" s="101"/>
      <c r="V636" s="101"/>
      <c r="W636" s="101"/>
      <c r="X636" s="101"/>
      <c r="Y636" s="114"/>
      <c r="Z636" s="114"/>
      <c r="AA636" s="114"/>
      <c r="AB636" s="114"/>
      <c r="AC636" s="114"/>
      <c r="AD636" s="114"/>
      <c r="AE636" s="114"/>
      <c r="AF636" s="114"/>
      <c r="AG636" s="114"/>
      <c r="AH636" s="114"/>
      <c r="AI636" s="114"/>
      <c r="AJ636" s="114"/>
      <c r="AK636" s="114"/>
      <c r="AL636" s="114"/>
      <c r="AM636" s="114"/>
      <c r="AN636" s="114"/>
      <c r="AO636" s="114"/>
      <c r="AP636" s="114"/>
      <c r="AQ636" s="114"/>
      <c r="AR636" s="114"/>
      <c r="AS636" s="114"/>
      <c r="AT636" s="114"/>
      <c r="AU636" s="114"/>
      <c r="AV636" s="114"/>
      <c r="AW636" s="114"/>
      <c r="AX636" s="114"/>
      <c r="AY636" s="114"/>
      <c r="AZ636" s="114"/>
    </row>
    <row r="637" spans="1:52">
      <c r="A637" s="111"/>
      <c r="B637" s="111"/>
      <c r="C637" s="112"/>
      <c r="D637" s="101"/>
      <c r="E637" s="101"/>
      <c r="F637" s="101"/>
      <c r="G637" s="111"/>
      <c r="H637" s="101"/>
      <c r="I637" s="101"/>
      <c r="J637" s="101"/>
      <c r="K637" s="101"/>
      <c r="L637" s="101"/>
      <c r="M637" s="101"/>
      <c r="N637" s="101"/>
      <c r="O637" s="101"/>
      <c r="P637" s="101"/>
      <c r="Q637" s="101"/>
      <c r="R637" s="101"/>
      <c r="S637" s="101"/>
      <c r="T637" s="101"/>
      <c r="U637" s="101"/>
      <c r="V637" s="101"/>
      <c r="W637" s="101"/>
      <c r="X637" s="101"/>
      <c r="Y637" s="114"/>
      <c r="Z637" s="114"/>
      <c r="AA637" s="114"/>
      <c r="AB637" s="114"/>
      <c r="AC637" s="114"/>
      <c r="AD637" s="114"/>
      <c r="AE637" s="114"/>
      <c r="AF637" s="114"/>
      <c r="AG637" s="114"/>
      <c r="AH637" s="114"/>
      <c r="AI637" s="114"/>
      <c r="AJ637" s="114"/>
      <c r="AK637" s="114"/>
      <c r="AL637" s="114"/>
      <c r="AM637" s="114"/>
      <c r="AN637" s="114"/>
      <c r="AO637" s="114"/>
      <c r="AP637" s="114"/>
      <c r="AQ637" s="114"/>
      <c r="AR637" s="114"/>
      <c r="AS637" s="114"/>
      <c r="AT637" s="114"/>
      <c r="AU637" s="114"/>
      <c r="AV637" s="114"/>
      <c r="AW637" s="114"/>
      <c r="AX637" s="114"/>
      <c r="AY637" s="114"/>
      <c r="AZ637" s="114"/>
    </row>
    <row r="638" spans="1:52">
      <c r="A638" s="111"/>
      <c r="B638" s="111"/>
      <c r="C638" s="112"/>
      <c r="D638" s="101"/>
      <c r="E638" s="101"/>
      <c r="F638" s="101"/>
      <c r="G638" s="111"/>
      <c r="H638" s="101"/>
      <c r="I638" s="101"/>
      <c r="J638" s="101"/>
      <c r="K638" s="101"/>
      <c r="L638" s="101"/>
      <c r="M638" s="101"/>
      <c r="N638" s="101"/>
      <c r="O638" s="101"/>
      <c r="P638" s="101"/>
      <c r="Q638" s="101"/>
      <c r="R638" s="101"/>
      <c r="S638" s="101"/>
      <c r="T638" s="101"/>
      <c r="U638" s="101"/>
      <c r="V638" s="101"/>
      <c r="W638" s="101"/>
      <c r="X638" s="101"/>
      <c r="Y638" s="114"/>
      <c r="Z638" s="114"/>
      <c r="AA638" s="114"/>
      <c r="AB638" s="114"/>
      <c r="AC638" s="114"/>
      <c r="AD638" s="114"/>
      <c r="AE638" s="114"/>
      <c r="AF638" s="114"/>
      <c r="AG638" s="114"/>
      <c r="AH638" s="114"/>
      <c r="AI638" s="114"/>
      <c r="AJ638" s="114"/>
      <c r="AK638" s="114"/>
      <c r="AL638" s="114"/>
      <c r="AM638" s="114"/>
      <c r="AN638" s="114"/>
      <c r="AO638" s="114"/>
      <c r="AP638" s="114"/>
      <c r="AQ638" s="114"/>
      <c r="AR638" s="114"/>
      <c r="AS638" s="114"/>
      <c r="AT638" s="114"/>
      <c r="AU638" s="114"/>
      <c r="AV638" s="114"/>
      <c r="AW638" s="114"/>
      <c r="AX638" s="114"/>
      <c r="AY638" s="114"/>
      <c r="AZ638" s="114"/>
    </row>
    <row r="639" spans="1:52">
      <c r="A639" s="111"/>
      <c r="B639" s="111"/>
      <c r="C639" s="112"/>
      <c r="D639" s="101"/>
      <c r="E639" s="101"/>
      <c r="F639" s="101"/>
      <c r="G639" s="111"/>
      <c r="H639" s="101"/>
      <c r="I639" s="101"/>
      <c r="J639" s="101"/>
      <c r="K639" s="101"/>
      <c r="L639" s="101"/>
      <c r="M639" s="101"/>
      <c r="N639" s="101"/>
      <c r="O639" s="101"/>
      <c r="P639" s="101"/>
      <c r="Q639" s="101"/>
      <c r="R639" s="101"/>
      <c r="S639" s="101"/>
      <c r="T639" s="101"/>
      <c r="U639" s="101"/>
      <c r="V639" s="101"/>
      <c r="W639" s="101"/>
      <c r="X639" s="101"/>
      <c r="Y639" s="114"/>
      <c r="Z639" s="114"/>
      <c r="AA639" s="114"/>
      <c r="AB639" s="114"/>
      <c r="AC639" s="114"/>
      <c r="AD639" s="114"/>
      <c r="AE639" s="114"/>
      <c r="AF639" s="114"/>
      <c r="AG639" s="114"/>
      <c r="AH639" s="114"/>
      <c r="AI639" s="114"/>
      <c r="AJ639" s="114"/>
      <c r="AK639" s="114"/>
      <c r="AL639" s="114"/>
      <c r="AM639" s="114"/>
      <c r="AN639" s="114"/>
      <c r="AO639" s="114"/>
      <c r="AP639" s="114"/>
      <c r="AQ639" s="114"/>
      <c r="AR639" s="114"/>
      <c r="AS639" s="114"/>
      <c r="AT639" s="114"/>
      <c r="AU639" s="114"/>
      <c r="AV639" s="114"/>
      <c r="AW639" s="114"/>
      <c r="AX639" s="114"/>
      <c r="AY639" s="114"/>
      <c r="AZ639" s="114"/>
    </row>
    <row r="640" spans="1:52">
      <c r="A640" s="111"/>
      <c r="B640" s="111"/>
      <c r="C640" s="112"/>
      <c r="D640" s="101"/>
      <c r="E640" s="101"/>
      <c r="F640" s="101"/>
      <c r="G640" s="111"/>
      <c r="H640" s="101"/>
      <c r="I640" s="101"/>
      <c r="J640" s="101"/>
      <c r="K640" s="101"/>
      <c r="L640" s="101"/>
      <c r="M640" s="101"/>
      <c r="N640" s="101"/>
      <c r="O640" s="101"/>
      <c r="P640" s="101"/>
      <c r="Q640" s="101"/>
      <c r="R640" s="101"/>
      <c r="S640" s="101"/>
      <c r="T640" s="101"/>
      <c r="U640" s="101"/>
      <c r="V640" s="101"/>
      <c r="W640" s="101"/>
      <c r="X640" s="101"/>
      <c r="Y640" s="114"/>
      <c r="Z640" s="114"/>
      <c r="AA640" s="114"/>
      <c r="AB640" s="114"/>
      <c r="AC640" s="114"/>
      <c r="AD640" s="114"/>
      <c r="AE640" s="114"/>
      <c r="AF640" s="114"/>
      <c r="AG640" s="114"/>
      <c r="AH640" s="114"/>
      <c r="AI640" s="114"/>
      <c r="AJ640" s="114"/>
      <c r="AK640" s="114"/>
      <c r="AL640" s="114"/>
      <c r="AM640" s="114"/>
      <c r="AN640" s="114"/>
      <c r="AO640" s="114"/>
      <c r="AP640" s="114"/>
      <c r="AQ640" s="114"/>
      <c r="AR640" s="114"/>
      <c r="AS640" s="114"/>
      <c r="AT640" s="114"/>
      <c r="AU640" s="114"/>
      <c r="AV640" s="114"/>
      <c r="AW640" s="114"/>
      <c r="AX640" s="114"/>
      <c r="AY640" s="114"/>
      <c r="AZ640" s="114"/>
    </row>
    <row r="641" spans="1:52">
      <c r="A641" s="111"/>
      <c r="B641" s="111"/>
      <c r="C641" s="112"/>
      <c r="D641" s="101"/>
      <c r="E641" s="101"/>
      <c r="F641" s="101"/>
      <c r="G641" s="111"/>
      <c r="H641" s="101"/>
      <c r="I641" s="101"/>
      <c r="J641" s="101"/>
      <c r="K641" s="101"/>
      <c r="L641" s="101"/>
      <c r="M641" s="101"/>
      <c r="N641" s="101"/>
      <c r="O641" s="101"/>
      <c r="P641" s="101"/>
      <c r="Q641" s="101"/>
      <c r="R641" s="101"/>
      <c r="S641" s="101"/>
      <c r="T641" s="101"/>
      <c r="U641" s="101"/>
      <c r="V641" s="101"/>
      <c r="W641" s="101"/>
      <c r="X641" s="101"/>
      <c r="Y641" s="114"/>
      <c r="Z641" s="114"/>
      <c r="AA641" s="114"/>
      <c r="AB641" s="114"/>
      <c r="AC641" s="114"/>
      <c r="AD641" s="114"/>
      <c r="AE641" s="114"/>
      <c r="AF641" s="114"/>
      <c r="AG641" s="114"/>
      <c r="AH641" s="114"/>
      <c r="AI641" s="114"/>
      <c r="AJ641" s="114"/>
      <c r="AK641" s="114"/>
      <c r="AL641" s="114"/>
      <c r="AM641" s="114"/>
      <c r="AN641" s="114"/>
      <c r="AO641" s="114"/>
      <c r="AP641" s="114"/>
      <c r="AQ641" s="114"/>
      <c r="AR641" s="114"/>
      <c r="AS641" s="114"/>
      <c r="AT641" s="114"/>
      <c r="AU641" s="114"/>
      <c r="AV641" s="114"/>
      <c r="AW641" s="114"/>
      <c r="AX641" s="114"/>
      <c r="AY641" s="114"/>
      <c r="AZ641" s="114"/>
    </row>
    <row r="642" spans="1:52">
      <c r="A642" s="111"/>
      <c r="B642" s="111"/>
      <c r="C642" s="112"/>
      <c r="D642" s="101"/>
      <c r="E642" s="101"/>
      <c r="F642" s="101"/>
      <c r="G642" s="111"/>
      <c r="H642" s="101"/>
      <c r="I642" s="101"/>
      <c r="J642" s="101"/>
      <c r="K642" s="101"/>
      <c r="L642" s="101"/>
      <c r="M642" s="101"/>
      <c r="N642" s="101"/>
      <c r="O642" s="101"/>
      <c r="P642" s="101"/>
      <c r="Q642" s="101"/>
      <c r="R642" s="101"/>
      <c r="S642" s="101"/>
      <c r="T642" s="101"/>
      <c r="U642" s="101"/>
      <c r="V642" s="101"/>
      <c r="W642" s="101"/>
      <c r="X642" s="101"/>
      <c r="Y642" s="114"/>
      <c r="Z642" s="114"/>
      <c r="AA642" s="114"/>
      <c r="AB642" s="114"/>
      <c r="AC642" s="114"/>
      <c r="AD642" s="114"/>
      <c r="AE642" s="114"/>
      <c r="AF642" s="114"/>
      <c r="AG642" s="114"/>
      <c r="AH642" s="114"/>
      <c r="AI642" s="114"/>
      <c r="AJ642" s="114"/>
      <c r="AK642" s="114"/>
      <c r="AL642" s="114"/>
      <c r="AM642" s="114"/>
      <c r="AN642" s="114"/>
      <c r="AO642" s="114"/>
      <c r="AP642" s="114"/>
      <c r="AQ642" s="114"/>
      <c r="AR642" s="114"/>
      <c r="AS642" s="114"/>
      <c r="AT642" s="114"/>
      <c r="AU642" s="114"/>
      <c r="AV642" s="114"/>
      <c r="AW642" s="114"/>
      <c r="AX642" s="114"/>
      <c r="AY642" s="114"/>
      <c r="AZ642" s="114"/>
    </row>
    <row r="643" spans="1:52">
      <c r="A643" s="111"/>
      <c r="B643" s="111"/>
      <c r="C643" s="112"/>
      <c r="D643" s="101"/>
      <c r="E643" s="101"/>
      <c r="F643" s="101"/>
      <c r="G643" s="111"/>
      <c r="H643" s="101"/>
      <c r="I643" s="101"/>
      <c r="J643" s="101"/>
      <c r="K643" s="101"/>
      <c r="L643" s="101"/>
      <c r="M643" s="101"/>
      <c r="N643" s="101"/>
      <c r="O643" s="101"/>
      <c r="P643" s="101"/>
      <c r="Q643" s="101"/>
      <c r="R643" s="101"/>
      <c r="S643" s="101"/>
      <c r="T643" s="101"/>
      <c r="U643" s="101"/>
      <c r="V643" s="101"/>
      <c r="W643" s="101"/>
      <c r="X643" s="101"/>
      <c r="Y643" s="114"/>
      <c r="Z643" s="114"/>
      <c r="AA643" s="114"/>
      <c r="AB643" s="114"/>
      <c r="AC643" s="114"/>
      <c r="AD643" s="114"/>
      <c r="AE643" s="114"/>
      <c r="AF643" s="114"/>
      <c r="AG643" s="114"/>
      <c r="AH643" s="114"/>
      <c r="AI643" s="114"/>
      <c r="AJ643" s="114"/>
      <c r="AK643" s="114"/>
      <c r="AL643" s="114"/>
      <c r="AM643" s="114"/>
      <c r="AN643" s="114"/>
      <c r="AO643" s="114"/>
      <c r="AP643" s="114"/>
      <c r="AQ643" s="114"/>
      <c r="AR643" s="114"/>
      <c r="AS643" s="114"/>
      <c r="AT643" s="114"/>
      <c r="AU643" s="114"/>
      <c r="AV643" s="114"/>
      <c r="AW643" s="114"/>
      <c r="AX643" s="114"/>
      <c r="AY643" s="114"/>
      <c r="AZ643" s="114"/>
    </row>
    <row r="644" spans="1:52">
      <c r="A644" s="111"/>
      <c r="B644" s="111"/>
      <c r="C644" s="112"/>
      <c r="D644" s="101"/>
      <c r="E644" s="101"/>
      <c r="F644" s="101"/>
      <c r="G644" s="111"/>
      <c r="H644" s="101"/>
      <c r="I644" s="101"/>
      <c r="J644" s="101"/>
      <c r="K644" s="101"/>
      <c r="L644" s="101"/>
      <c r="M644" s="101"/>
      <c r="N644" s="101"/>
      <c r="O644" s="101"/>
      <c r="P644" s="101"/>
      <c r="Q644" s="101"/>
      <c r="R644" s="101"/>
      <c r="S644" s="101"/>
      <c r="T644" s="101"/>
      <c r="U644" s="101"/>
      <c r="V644" s="101"/>
      <c r="W644" s="101"/>
      <c r="X644" s="101"/>
      <c r="Y644" s="114"/>
      <c r="Z644" s="114"/>
      <c r="AA644" s="114"/>
      <c r="AB644" s="114"/>
      <c r="AC644" s="114"/>
      <c r="AD644" s="114"/>
      <c r="AE644" s="114"/>
      <c r="AF644" s="114"/>
      <c r="AG644" s="114"/>
      <c r="AH644" s="114"/>
      <c r="AI644" s="114"/>
      <c r="AJ644" s="114"/>
      <c r="AK644" s="114"/>
      <c r="AL644" s="114"/>
      <c r="AM644" s="114"/>
      <c r="AN644" s="114"/>
      <c r="AO644" s="114"/>
      <c r="AP644" s="114"/>
      <c r="AQ644" s="114"/>
      <c r="AR644" s="114"/>
      <c r="AS644" s="114"/>
      <c r="AT644" s="114"/>
      <c r="AU644" s="114"/>
      <c r="AV644" s="114"/>
      <c r="AW644" s="114"/>
      <c r="AX644" s="114"/>
      <c r="AY644" s="114"/>
      <c r="AZ644" s="114"/>
    </row>
    <row r="645" spans="1:52">
      <c r="A645" s="111"/>
      <c r="B645" s="111"/>
      <c r="C645" s="112"/>
      <c r="D645" s="101"/>
      <c r="E645" s="101"/>
      <c r="F645" s="101"/>
      <c r="G645" s="111"/>
      <c r="H645" s="101"/>
      <c r="I645" s="101"/>
      <c r="J645" s="101"/>
      <c r="K645" s="101"/>
      <c r="L645" s="101"/>
      <c r="M645" s="101"/>
      <c r="N645" s="101"/>
      <c r="O645" s="101"/>
      <c r="P645" s="101"/>
      <c r="Q645" s="101"/>
      <c r="R645" s="101"/>
      <c r="S645" s="101"/>
      <c r="T645" s="101"/>
      <c r="U645" s="101"/>
      <c r="V645" s="101"/>
      <c r="W645" s="101"/>
      <c r="X645" s="101"/>
      <c r="Y645" s="114"/>
      <c r="Z645" s="114"/>
      <c r="AA645" s="114"/>
      <c r="AB645" s="114"/>
      <c r="AC645" s="114"/>
      <c r="AD645" s="114"/>
      <c r="AE645" s="114"/>
      <c r="AF645" s="114"/>
      <c r="AG645" s="114"/>
      <c r="AH645" s="114"/>
      <c r="AI645" s="114"/>
      <c r="AJ645" s="114"/>
      <c r="AK645" s="114"/>
      <c r="AL645" s="114"/>
      <c r="AM645" s="114"/>
      <c r="AN645" s="114"/>
      <c r="AO645" s="114"/>
      <c r="AP645" s="114"/>
      <c r="AQ645" s="114"/>
      <c r="AR645" s="114"/>
      <c r="AS645" s="114"/>
      <c r="AT645" s="114"/>
      <c r="AU645" s="114"/>
      <c r="AV645" s="114"/>
      <c r="AW645" s="114"/>
      <c r="AX645" s="114"/>
      <c r="AY645" s="114"/>
      <c r="AZ645" s="114"/>
    </row>
    <row r="646" spans="1:52">
      <c r="A646" s="111"/>
      <c r="B646" s="111"/>
      <c r="C646" s="112"/>
      <c r="D646" s="101"/>
      <c r="E646" s="101"/>
      <c r="F646" s="101"/>
      <c r="G646" s="111"/>
      <c r="H646" s="101"/>
      <c r="I646" s="101"/>
      <c r="J646" s="101"/>
      <c r="K646" s="101"/>
      <c r="L646" s="101"/>
      <c r="M646" s="101"/>
      <c r="N646" s="101"/>
      <c r="O646" s="101"/>
      <c r="P646" s="101"/>
      <c r="Q646" s="101"/>
      <c r="R646" s="101"/>
      <c r="S646" s="101"/>
      <c r="T646" s="101"/>
      <c r="U646" s="101"/>
      <c r="V646" s="101"/>
      <c r="W646" s="101"/>
      <c r="X646" s="101"/>
      <c r="Y646" s="114"/>
      <c r="Z646" s="114"/>
      <c r="AA646" s="114"/>
      <c r="AB646" s="114"/>
      <c r="AC646" s="114"/>
      <c r="AD646" s="114"/>
      <c r="AE646" s="114"/>
      <c r="AF646" s="114"/>
      <c r="AG646" s="114"/>
      <c r="AH646" s="114"/>
      <c r="AI646" s="114"/>
      <c r="AJ646" s="114"/>
      <c r="AK646" s="114"/>
      <c r="AL646" s="114"/>
      <c r="AM646" s="114"/>
      <c r="AN646" s="114"/>
      <c r="AO646" s="114"/>
      <c r="AP646" s="114"/>
      <c r="AQ646" s="114"/>
      <c r="AR646" s="114"/>
      <c r="AS646" s="114"/>
      <c r="AT646" s="114"/>
      <c r="AU646" s="114"/>
      <c r="AV646" s="114"/>
      <c r="AW646" s="114"/>
      <c r="AX646" s="114"/>
      <c r="AY646" s="114"/>
      <c r="AZ646" s="114"/>
    </row>
    <row r="647" spans="1:52">
      <c r="A647" s="111"/>
      <c r="B647" s="111"/>
      <c r="C647" s="112"/>
      <c r="D647" s="101"/>
      <c r="E647" s="101"/>
      <c r="F647" s="101"/>
      <c r="G647" s="111"/>
      <c r="H647" s="101"/>
      <c r="I647" s="101"/>
      <c r="J647" s="101"/>
      <c r="K647" s="101"/>
      <c r="L647" s="101"/>
      <c r="M647" s="101"/>
      <c r="N647" s="101"/>
      <c r="O647" s="101"/>
      <c r="P647" s="101"/>
      <c r="Q647" s="101"/>
      <c r="R647" s="101"/>
      <c r="S647" s="101"/>
      <c r="T647" s="101"/>
      <c r="U647" s="101"/>
      <c r="V647" s="101"/>
      <c r="W647" s="101"/>
      <c r="X647" s="101"/>
      <c r="Y647" s="114"/>
      <c r="Z647" s="114"/>
      <c r="AA647" s="114"/>
      <c r="AB647" s="114"/>
      <c r="AC647" s="114"/>
      <c r="AD647" s="114"/>
      <c r="AE647" s="114"/>
      <c r="AF647" s="114"/>
      <c r="AG647" s="114"/>
      <c r="AH647" s="114"/>
      <c r="AI647" s="114"/>
      <c r="AJ647" s="114"/>
      <c r="AK647" s="114"/>
      <c r="AL647" s="114"/>
      <c r="AM647" s="114"/>
      <c r="AN647" s="114"/>
      <c r="AO647" s="114"/>
      <c r="AP647" s="114"/>
      <c r="AQ647" s="114"/>
      <c r="AR647" s="114"/>
      <c r="AS647" s="114"/>
      <c r="AT647" s="114"/>
      <c r="AU647" s="114"/>
      <c r="AV647" s="114"/>
      <c r="AW647" s="114"/>
      <c r="AX647" s="114"/>
      <c r="AY647" s="114"/>
      <c r="AZ647" s="114"/>
    </row>
    <row r="648" spans="1:52">
      <c r="A648" s="111"/>
      <c r="B648" s="111"/>
      <c r="C648" s="112"/>
      <c r="D648" s="101"/>
      <c r="E648" s="101"/>
      <c r="F648" s="101"/>
      <c r="G648" s="111"/>
      <c r="H648" s="101"/>
      <c r="I648" s="101"/>
      <c r="J648" s="101"/>
      <c r="K648" s="101"/>
      <c r="L648" s="101"/>
      <c r="M648" s="101"/>
      <c r="N648" s="101"/>
      <c r="O648" s="101"/>
      <c r="P648" s="101"/>
      <c r="Q648" s="101"/>
      <c r="R648" s="101"/>
      <c r="S648" s="101"/>
      <c r="T648" s="101"/>
      <c r="U648" s="101"/>
      <c r="V648" s="101"/>
      <c r="W648" s="101"/>
      <c r="X648" s="101"/>
      <c r="Y648" s="114"/>
      <c r="Z648" s="114"/>
      <c r="AA648" s="114"/>
      <c r="AB648" s="114"/>
      <c r="AC648" s="114"/>
      <c r="AD648" s="114"/>
      <c r="AE648" s="114"/>
      <c r="AF648" s="114"/>
      <c r="AG648" s="114"/>
      <c r="AH648" s="114"/>
      <c r="AI648" s="114"/>
      <c r="AJ648" s="114"/>
      <c r="AK648" s="114"/>
      <c r="AL648" s="114"/>
      <c r="AM648" s="114"/>
      <c r="AN648" s="114"/>
      <c r="AO648" s="114"/>
      <c r="AP648" s="114"/>
      <c r="AQ648" s="114"/>
      <c r="AR648" s="114"/>
      <c r="AS648" s="114"/>
      <c r="AT648" s="114"/>
      <c r="AU648" s="114"/>
      <c r="AV648" s="114"/>
      <c r="AW648" s="114"/>
      <c r="AX648" s="114"/>
      <c r="AY648" s="114"/>
      <c r="AZ648" s="114"/>
    </row>
    <row r="649" spans="1:52">
      <c r="A649" s="111"/>
      <c r="B649" s="111"/>
      <c r="C649" s="112"/>
      <c r="D649" s="101"/>
      <c r="E649" s="101"/>
      <c r="F649" s="101"/>
      <c r="G649" s="111"/>
      <c r="H649" s="101"/>
      <c r="I649" s="101"/>
      <c r="J649" s="101"/>
      <c r="K649" s="101"/>
      <c r="L649" s="101"/>
      <c r="M649" s="101"/>
      <c r="N649" s="101"/>
      <c r="O649" s="101"/>
      <c r="P649" s="101"/>
      <c r="Q649" s="101"/>
      <c r="R649" s="101"/>
      <c r="S649" s="101"/>
      <c r="T649" s="101"/>
      <c r="U649" s="101"/>
      <c r="V649" s="101"/>
      <c r="W649" s="101"/>
      <c r="X649" s="101"/>
      <c r="Y649" s="114"/>
      <c r="Z649" s="114"/>
      <c r="AA649" s="114"/>
      <c r="AB649" s="114"/>
      <c r="AC649" s="114"/>
      <c r="AD649" s="114"/>
      <c r="AE649" s="114"/>
      <c r="AF649" s="114"/>
      <c r="AG649" s="114"/>
      <c r="AH649" s="114"/>
      <c r="AI649" s="114"/>
      <c r="AJ649" s="114"/>
      <c r="AK649" s="114"/>
      <c r="AL649" s="114"/>
      <c r="AM649" s="114"/>
      <c r="AN649" s="114"/>
      <c r="AO649" s="114"/>
      <c r="AP649" s="114"/>
      <c r="AQ649" s="114"/>
      <c r="AR649" s="114"/>
      <c r="AS649" s="114"/>
      <c r="AT649" s="114"/>
      <c r="AU649" s="114"/>
      <c r="AV649" s="114"/>
      <c r="AW649" s="114"/>
      <c r="AX649" s="114"/>
      <c r="AY649" s="114"/>
      <c r="AZ649" s="114"/>
    </row>
    <row r="650" spans="1:52">
      <c r="A650" s="111"/>
      <c r="B650" s="111"/>
      <c r="C650" s="112"/>
      <c r="D650" s="101"/>
      <c r="E650" s="101"/>
      <c r="F650" s="101"/>
      <c r="G650" s="111"/>
      <c r="H650" s="101"/>
      <c r="I650" s="101"/>
      <c r="J650" s="101"/>
      <c r="K650" s="101"/>
      <c r="L650" s="101"/>
      <c r="M650" s="101"/>
      <c r="N650" s="101"/>
      <c r="O650" s="101"/>
      <c r="P650" s="101"/>
      <c r="Q650" s="101"/>
      <c r="R650" s="101"/>
      <c r="S650" s="101"/>
      <c r="T650" s="101"/>
      <c r="U650" s="101"/>
      <c r="V650" s="101"/>
      <c r="W650" s="101"/>
      <c r="X650" s="101"/>
      <c r="Y650" s="114"/>
      <c r="Z650" s="114"/>
      <c r="AA650" s="114"/>
      <c r="AB650" s="114"/>
      <c r="AC650" s="114"/>
      <c r="AD650" s="114"/>
      <c r="AE650" s="114"/>
      <c r="AF650" s="114"/>
      <c r="AG650" s="114"/>
      <c r="AH650" s="114"/>
      <c r="AI650" s="114"/>
      <c r="AJ650" s="114"/>
      <c r="AK650" s="114"/>
      <c r="AL650" s="114"/>
      <c r="AM650" s="114"/>
      <c r="AN650" s="114"/>
      <c r="AO650" s="114"/>
      <c r="AP650" s="114"/>
      <c r="AQ650" s="114"/>
      <c r="AR650" s="114"/>
      <c r="AS650" s="114"/>
      <c r="AT650" s="114"/>
      <c r="AU650" s="114"/>
      <c r="AV650" s="114"/>
      <c r="AW650" s="114"/>
      <c r="AX650" s="114"/>
      <c r="AY650" s="114"/>
      <c r="AZ650" s="114"/>
    </row>
    <row r="651" spans="1:52">
      <c r="A651" s="111"/>
      <c r="B651" s="111"/>
      <c r="C651" s="112"/>
      <c r="D651" s="101"/>
      <c r="E651" s="101"/>
      <c r="F651" s="101"/>
      <c r="G651" s="111"/>
      <c r="H651" s="101"/>
      <c r="I651" s="101"/>
      <c r="J651" s="101"/>
      <c r="K651" s="101"/>
      <c r="L651" s="101"/>
      <c r="M651" s="101"/>
      <c r="N651" s="101"/>
      <c r="O651" s="101"/>
      <c r="P651" s="101"/>
      <c r="Q651" s="101"/>
      <c r="R651" s="101"/>
      <c r="S651" s="101"/>
      <c r="T651" s="101"/>
      <c r="U651" s="101"/>
      <c r="V651" s="101"/>
      <c r="W651" s="101"/>
      <c r="X651" s="101"/>
      <c r="Y651" s="114"/>
      <c r="Z651" s="114"/>
      <c r="AA651" s="114"/>
      <c r="AB651" s="114"/>
      <c r="AC651" s="114"/>
      <c r="AD651" s="114"/>
      <c r="AE651" s="114"/>
      <c r="AF651" s="114"/>
      <c r="AG651" s="114"/>
      <c r="AH651" s="114"/>
      <c r="AI651" s="114"/>
      <c r="AJ651" s="114"/>
      <c r="AK651" s="114"/>
      <c r="AL651" s="114"/>
      <c r="AM651" s="114"/>
      <c r="AN651" s="114"/>
      <c r="AO651" s="114"/>
      <c r="AP651" s="114"/>
      <c r="AQ651" s="114"/>
      <c r="AR651" s="114"/>
      <c r="AS651" s="114"/>
      <c r="AT651" s="114"/>
      <c r="AU651" s="114"/>
      <c r="AV651" s="114"/>
      <c r="AW651" s="114"/>
      <c r="AX651" s="114"/>
      <c r="AY651" s="114"/>
      <c r="AZ651" s="114"/>
    </row>
    <row r="652" spans="1:52">
      <c r="A652" s="111"/>
      <c r="B652" s="111"/>
      <c r="C652" s="112"/>
      <c r="D652" s="101"/>
      <c r="E652" s="101"/>
      <c r="F652" s="101"/>
      <c r="G652" s="111"/>
      <c r="H652" s="101"/>
      <c r="I652" s="101"/>
      <c r="J652" s="101"/>
      <c r="K652" s="101"/>
      <c r="L652" s="101"/>
      <c r="M652" s="101"/>
      <c r="N652" s="101"/>
      <c r="O652" s="101"/>
      <c r="P652" s="101"/>
      <c r="Q652" s="101"/>
      <c r="R652" s="101"/>
      <c r="S652" s="101"/>
      <c r="T652" s="101"/>
      <c r="U652" s="101"/>
      <c r="V652" s="101"/>
      <c r="W652" s="101"/>
      <c r="X652" s="101"/>
      <c r="Y652" s="114"/>
      <c r="Z652" s="114"/>
      <c r="AA652" s="114"/>
      <c r="AB652" s="114"/>
      <c r="AC652" s="114"/>
      <c r="AD652" s="114"/>
      <c r="AE652" s="114"/>
      <c r="AF652" s="114"/>
      <c r="AG652" s="114"/>
      <c r="AH652" s="114"/>
      <c r="AI652" s="114"/>
      <c r="AJ652" s="114"/>
      <c r="AK652" s="114"/>
      <c r="AL652" s="114"/>
      <c r="AM652" s="114"/>
      <c r="AN652" s="114"/>
      <c r="AO652" s="114"/>
      <c r="AP652" s="114"/>
      <c r="AQ652" s="114"/>
      <c r="AR652" s="114"/>
      <c r="AS652" s="114"/>
      <c r="AT652" s="114"/>
      <c r="AU652" s="114"/>
      <c r="AV652" s="114"/>
      <c r="AW652" s="114"/>
      <c r="AX652" s="114"/>
      <c r="AY652" s="114"/>
      <c r="AZ652" s="114"/>
    </row>
    <row r="653" spans="1:52">
      <c r="A653" s="111"/>
      <c r="B653" s="111"/>
      <c r="C653" s="112"/>
      <c r="D653" s="101"/>
      <c r="E653" s="101"/>
      <c r="F653" s="101"/>
      <c r="G653" s="111"/>
      <c r="H653" s="101"/>
      <c r="I653" s="101"/>
      <c r="J653" s="101"/>
      <c r="K653" s="101"/>
      <c r="L653" s="101"/>
      <c r="M653" s="101"/>
      <c r="N653" s="101"/>
      <c r="O653" s="101"/>
      <c r="P653" s="101"/>
      <c r="Q653" s="101"/>
      <c r="R653" s="101"/>
      <c r="S653" s="101"/>
      <c r="T653" s="101"/>
      <c r="U653" s="101"/>
      <c r="V653" s="101"/>
      <c r="W653" s="101"/>
      <c r="X653" s="101"/>
      <c r="Y653" s="114"/>
      <c r="Z653" s="114"/>
      <c r="AA653" s="114"/>
      <c r="AB653" s="114"/>
      <c r="AC653" s="114"/>
      <c r="AD653" s="114"/>
      <c r="AE653" s="114"/>
      <c r="AF653" s="114"/>
      <c r="AG653" s="114"/>
      <c r="AH653" s="114"/>
      <c r="AI653" s="114"/>
      <c r="AJ653" s="114"/>
      <c r="AK653" s="114"/>
      <c r="AL653" s="114"/>
      <c r="AM653" s="114"/>
      <c r="AN653" s="114"/>
      <c r="AO653" s="114"/>
      <c r="AP653" s="114"/>
      <c r="AQ653" s="114"/>
      <c r="AR653" s="114"/>
      <c r="AS653" s="114"/>
      <c r="AT653" s="114"/>
      <c r="AU653" s="114"/>
      <c r="AV653" s="114"/>
      <c r="AW653" s="114"/>
      <c r="AX653" s="114"/>
      <c r="AY653" s="114"/>
      <c r="AZ653" s="114"/>
    </row>
    <row r="654" spans="1:52">
      <c r="A654" s="111"/>
      <c r="B654" s="111"/>
      <c r="C654" s="112"/>
      <c r="D654" s="101"/>
      <c r="E654" s="101"/>
      <c r="F654" s="101"/>
      <c r="G654" s="111"/>
      <c r="H654" s="101"/>
      <c r="I654" s="101"/>
      <c r="J654" s="101"/>
      <c r="K654" s="101"/>
      <c r="L654" s="101"/>
      <c r="M654" s="101"/>
      <c r="N654" s="101"/>
      <c r="O654" s="101"/>
      <c r="P654" s="101"/>
      <c r="Q654" s="101"/>
      <c r="R654" s="101"/>
      <c r="S654" s="101"/>
      <c r="T654" s="101"/>
      <c r="U654" s="101"/>
      <c r="V654" s="101"/>
      <c r="W654" s="101"/>
      <c r="X654" s="101"/>
      <c r="Y654" s="114"/>
      <c r="Z654" s="114"/>
      <c r="AA654" s="114"/>
      <c r="AB654" s="114"/>
      <c r="AC654" s="114"/>
      <c r="AD654" s="114"/>
      <c r="AE654" s="114"/>
      <c r="AF654" s="114"/>
      <c r="AG654" s="114"/>
      <c r="AH654" s="114"/>
      <c r="AI654" s="114"/>
      <c r="AJ654" s="114"/>
      <c r="AK654" s="114"/>
      <c r="AL654" s="114"/>
      <c r="AM654" s="114"/>
      <c r="AN654" s="114"/>
      <c r="AO654" s="114"/>
      <c r="AP654" s="114"/>
      <c r="AQ654" s="114"/>
      <c r="AR654" s="114"/>
      <c r="AS654" s="114"/>
      <c r="AT654" s="114"/>
      <c r="AU654" s="114"/>
      <c r="AV654" s="114"/>
      <c r="AW654" s="114"/>
      <c r="AX654" s="114"/>
      <c r="AY654" s="114"/>
      <c r="AZ654" s="114"/>
    </row>
    <row r="655" spans="1:52">
      <c r="A655" s="111"/>
      <c r="B655" s="111"/>
      <c r="C655" s="112"/>
      <c r="D655" s="101"/>
      <c r="E655" s="101"/>
      <c r="F655" s="101"/>
      <c r="G655" s="111"/>
      <c r="H655" s="101"/>
      <c r="I655" s="101"/>
      <c r="J655" s="101"/>
      <c r="K655" s="101"/>
      <c r="L655" s="101"/>
      <c r="M655" s="101"/>
      <c r="N655" s="101"/>
      <c r="O655" s="101"/>
      <c r="P655" s="101"/>
      <c r="Q655" s="101"/>
      <c r="R655" s="101"/>
      <c r="S655" s="101"/>
      <c r="T655" s="101"/>
      <c r="U655" s="101"/>
      <c r="V655" s="101"/>
      <c r="W655" s="101"/>
      <c r="X655" s="101"/>
      <c r="Y655" s="114"/>
      <c r="Z655" s="114"/>
      <c r="AA655" s="114"/>
      <c r="AB655" s="114"/>
      <c r="AC655" s="114"/>
      <c r="AD655" s="114"/>
      <c r="AE655" s="114"/>
      <c r="AF655" s="114"/>
      <c r="AG655" s="114"/>
      <c r="AH655" s="114"/>
      <c r="AI655" s="114"/>
      <c r="AJ655" s="114"/>
      <c r="AK655" s="114"/>
      <c r="AL655" s="114"/>
      <c r="AM655" s="114"/>
      <c r="AN655" s="114"/>
      <c r="AO655" s="114"/>
      <c r="AP655" s="114"/>
      <c r="AQ655" s="114"/>
      <c r="AR655" s="114"/>
      <c r="AS655" s="114"/>
      <c r="AT655" s="114"/>
      <c r="AU655" s="114"/>
      <c r="AV655" s="114"/>
      <c r="AW655" s="114"/>
      <c r="AX655" s="114"/>
      <c r="AY655" s="114"/>
      <c r="AZ655" s="114"/>
    </row>
    <row r="656" spans="1:52">
      <c r="A656" s="111"/>
      <c r="B656" s="111"/>
      <c r="C656" s="112"/>
      <c r="D656" s="101"/>
      <c r="E656" s="101"/>
      <c r="F656" s="101"/>
      <c r="G656" s="111"/>
      <c r="H656" s="101"/>
      <c r="I656" s="101"/>
      <c r="J656" s="101"/>
      <c r="K656" s="101"/>
      <c r="L656" s="101"/>
      <c r="M656" s="101"/>
      <c r="N656" s="101"/>
      <c r="O656" s="101"/>
      <c r="P656" s="101"/>
      <c r="Q656" s="101"/>
      <c r="R656" s="101"/>
      <c r="S656" s="101"/>
      <c r="T656" s="101"/>
      <c r="U656" s="101"/>
      <c r="V656" s="101"/>
      <c r="W656" s="101"/>
      <c r="X656" s="101"/>
      <c r="Y656" s="114"/>
      <c r="Z656" s="114"/>
      <c r="AA656" s="114"/>
      <c r="AB656" s="114"/>
      <c r="AC656" s="114"/>
      <c r="AD656" s="114"/>
      <c r="AE656" s="114"/>
      <c r="AF656" s="114"/>
      <c r="AG656" s="114"/>
      <c r="AH656" s="114"/>
      <c r="AI656" s="114"/>
      <c r="AJ656" s="114"/>
      <c r="AK656" s="114"/>
      <c r="AL656" s="114"/>
      <c r="AM656" s="114"/>
      <c r="AN656" s="114"/>
      <c r="AO656" s="114"/>
      <c r="AP656" s="114"/>
      <c r="AQ656" s="114"/>
      <c r="AR656" s="114"/>
      <c r="AS656" s="114"/>
      <c r="AT656" s="114"/>
      <c r="AU656" s="114"/>
      <c r="AV656" s="114"/>
      <c r="AW656" s="114"/>
      <c r="AX656" s="114"/>
      <c r="AY656" s="114"/>
      <c r="AZ656" s="114"/>
    </row>
    <row r="657" spans="1:52">
      <c r="A657" s="111"/>
      <c r="B657" s="111"/>
      <c r="C657" s="112"/>
      <c r="D657" s="101"/>
      <c r="E657" s="101"/>
      <c r="F657" s="101"/>
      <c r="G657" s="111"/>
      <c r="H657" s="101"/>
      <c r="I657" s="101"/>
      <c r="J657" s="101"/>
      <c r="K657" s="101"/>
      <c r="L657" s="101"/>
      <c r="M657" s="101"/>
      <c r="N657" s="101"/>
      <c r="O657" s="101"/>
      <c r="P657" s="101"/>
      <c r="Q657" s="101"/>
      <c r="R657" s="101"/>
      <c r="S657" s="101"/>
      <c r="T657" s="101"/>
      <c r="U657" s="101"/>
      <c r="V657" s="101"/>
      <c r="W657" s="101"/>
      <c r="X657" s="101"/>
      <c r="Y657" s="114"/>
      <c r="Z657" s="114"/>
      <c r="AA657" s="114"/>
      <c r="AB657" s="114"/>
      <c r="AC657" s="114"/>
      <c r="AD657" s="114"/>
      <c r="AE657" s="114"/>
      <c r="AF657" s="114"/>
      <c r="AG657" s="114"/>
      <c r="AH657" s="114"/>
      <c r="AI657" s="114"/>
      <c r="AJ657" s="114"/>
      <c r="AK657" s="114"/>
      <c r="AL657" s="114"/>
      <c r="AM657" s="114"/>
      <c r="AN657" s="114"/>
      <c r="AO657" s="114"/>
      <c r="AP657" s="114"/>
      <c r="AQ657" s="114"/>
      <c r="AR657" s="114"/>
      <c r="AS657" s="114"/>
      <c r="AT657" s="114"/>
      <c r="AU657" s="114"/>
      <c r="AV657" s="114"/>
      <c r="AW657" s="114"/>
      <c r="AX657" s="114"/>
      <c r="AY657" s="114"/>
      <c r="AZ657" s="114"/>
    </row>
    <row r="658" spans="1:52">
      <c r="A658" s="111"/>
      <c r="B658" s="111"/>
      <c r="C658" s="112"/>
      <c r="D658" s="101"/>
      <c r="E658" s="101"/>
      <c r="F658" s="101"/>
      <c r="G658" s="111"/>
      <c r="H658" s="101"/>
      <c r="I658" s="101"/>
      <c r="J658" s="101"/>
      <c r="K658" s="101"/>
      <c r="L658" s="101"/>
      <c r="M658" s="101"/>
      <c r="N658" s="101"/>
      <c r="O658" s="101"/>
      <c r="P658" s="101"/>
      <c r="Q658" s="101"/>
      <c r="R658" s="101"/>
      <c r="S658" s="101"/>
      <c r="T658" s="101"/>
      <c r="U658" s="101"/>
      <c r="V658" s="101"/>
      <c r="W658" s="101"/>
      <c r="X658" s="101"/>
      <c r="Y658" s="114"/>
      <c r="Z658" s="114"/>
      <c r="AA658" s="114"/>
      <c r="AB658" s="114"/>
      <c r="AC658" s="114"/>
      <c r="AD658" s="114"/>
      <c r="AE658" s="114"/>
      <c r="AF658" s="114"/>
      <c r="AG658" s="114"/>
      <c r="AH658" s="114"/>
      <c r="AI658" s="114"/>
      <c r="AJ658" s="114"/>
      <c r="AK658" s="114"/>
      <c r="AL658" s="114"/>
      <c r="AM658" s="114"/>
      <c r="AN658" s="114"/>
      <c r="AO658" s="114"/>
      <c r="AP658" s="114"/>
      <c r="AQ658" s="114"/>
      <c r="AR658" s="114"/>
      <c r="AS658" s="114"/>
      <c r="AT658" s="114"/>
      <c r="AU658" s="114"/>
      <c r="AV658" s="114"/>
      <c r="AW658" s="114"/>
      <c r="AX658" s="114"/>
      <c r="AY658" s="114"/>
      <c r="AZ658" s="114"/>
    </row>
    <row r="659" spans="1:52">
      <c r="A659" s="111"/>
      <c r="B659" s="111"/>
      <c r="C659" s="112"/>
      <c r="D659" s="101"/>
      <c r="E659" s="101"/>
      <c r="F659" s="101"/>
      <c r="G659" s="111"/>
      <c r="H659" s="101"/>
      <c r="I659" s="101"/>
      <c r="J659" s="101"/>
      <c r="K659" s="101"/>
      <c r="L659" s="101"/>
      <c r="M659" s="101"/>
      <c r="N659" s="101"/>
      <c r="O659" s="101"/>
      <c r="P659" s="101"/>
      <c r="Q659" s="101"/>
      <c r="R659" s="101"/>
      <c r="S659" s="101"/>
      <c r="T659" s="101"/>
      <c r="U659" s="101"/>
      <c r="V659" s="101"/>
      <c r="W659" s="101"/>
      <c r="X659" s="101"/>
      <c r="Y659" s="114"/>
      <c r="Z659" s="114"/>
      <c r="AA659" s="114"/>
      <c r="AB659" s="114"/>
      <c r="AC659" s="114"/>
      <c r="AD659" s="114"/>
      <c r="AE659" s="114"/>
      <c r="AF659" s="114"/>
      <c r="AG659" s="114"/>
      <c r="AH659" s="114"/>
      <c r="AI659" s="114"/>
      <c r="AJ659" s="114"/>
      <c r="AK659" s="114"/>
      <c r="AL659" s="114"/>
      <c r="AM659" s="114"/>
      <c r="AN659" s="114"/>
      <c r="AO659" s="114"/>
      <c r="AP659" s="114"/>
      <c r="AQ659" s="114"/>
      <c r="AR659" s="114"/>
      <c r="AS659" s="114"/>
      <c r="AT659" s="114"/>
      <c r="AU659" s="114"/>
      <c r="AV659" s="114"/>
      <c r="AW659" s="114"/>
      <c r="AX659" s="114"/>
      <c r="AY659" s="114"/>
      <c r="AZ659" s="114"/>
    </row>
    <row r="660" spans="1:52">
      <c r="A660" s="111"/>
      <c r="B660" s="111"/>
      <c r="C660" s="112"/>
      <c r="D660" s="101"/>
      <c r="E660" s="101"/>
      <c r="F660" s="101"/>
      <c r="G660" s="111"/>
      <c r="H660" s="101"/>
      <c r="I660" s="101"/>
      <c r="J660" s="101"/>
      <c r="K660" s="101"/>
      <c r="L660" s="101"/>
      <c r="M660" s="101"/>
      <c r="N660" s="101"/>
      <c r="O660" s="101"/>
      <c r="P660" s="101"/>
      <c r="Q660" s="101"/>
      <c r="R660" s="101"/>
      <c r="S660" s="101"/>
      <c r="T660" s="101"/>
      <c r="U660" s="101"/>
      <c r="V660" s="101"/>
      <c r="W660" s="101"/>
      <c r="X660" s="101"/>
      <c r="Y660" s="114"/>
      <c r="Z660" s="114"/>
      <c r="AA660" s="114"/>
      <c r="AB660" s="114"/>
      <c r="AC660" s="114"/>
      <c r="AD660" s="114"/>
      <c r="AE660" s="114"/>
      <c r="AF660" s="114"/>
      <c r="AG660" s="114"/>
      <c r="AH660" s="114"/>
      <c r="AI660" s="114"/>
      <c r="AJ660" s="114"/>
      <c r="AK660" s="114"/>
      <c r="AL660" s="114"/>
      <c r="AM660" s="114"/>
      <c r="AN660" s="114"/>
      <c r="AO660" s="114"/>
      <c r="AP660" s="114"/>
      <c r="AQ660" s="114"/>
      <c r="AR660" s="114"/>
      <c r="AS660" s="114"/>
      <c r="AT660" s="114"/>
      <c r="AU660" s="114"/>
      <c r="AV660" s="114"/>
      <c r="AW660" s="114"/>
      <c r="AX660" s="114"/>
      <c r="AY660" s="114"/>
      <c r="AZ660" s="114"/>
    </row>
    <row r="661" spans="1:52">
      <c r="A661" s="111"/>
      <c r="B661" s="111"/>
      <c r="C661" s="112"/>
      <c r="D661" s="101"/>
      <c r="E661" s="101"/>
      <c r="F661" s="101"/>
      <c r="G661" s="111"/>
      <c r="H661" s="101"/>
      <c r="I661" s="101"/>
      <c r="J661" s="101"/>
      <c r="K661" s="101"/>
      <c r="L661" s="101"/>
      <c r="M661" s="101"/>
      <c r="N661" s="101"/>
      <c r="O661" s="101"/>
      <c r="P661" s="101"/>
      <c r="Q661" s="101"/>
      <c r="R661" s="101"/>
      <c r="S661" s="101"/>
      <c r="T661" s="101"/>
      <c r="U661" s="101"/>
      <c r="V661" s="101"/>
      <c r="W661" s="101"/>
      <c r="X661" s="101"/>
      <c r="Y661" s="114"/>
      <c r="Z661" s="114"/>
      <c r="AA661" s="114"/>
      <c r="AB661" s="114"/>
      <c r="AC661" s="114"/>
      <c r="AD661" s="114"/>
      <c r="AE661" s="114"/>
      <c r="AF661" s="114"/>
      <c r="AG661" s="114"/>
      <c r="AH661" s="114"/>
      <c r="AI661" s="114"/>
      <c r="AJ661" s="114"/>
      <c r="AK661" s="114"/>
      <c r="AL661" s="114"/>
      <c r="AM661" s="114"/>
      <c r="AN661" s="114"/>
      <c r="AO661" s="114"/>
      <c r="AP661" s="114"/>
      <c r="AQ661" s="114"/>
      <c r="AR661" s="114"/>
      <c r="AS661" s="114"/>
      <c r="AT661" s="114"/>
      <c r="AU661" s="114"/>
      <c r="AV661" s="114"/>
      <c r="AW661" s="114"/>
      <c r="AX661" s="114"/>
      <c r="AY661" s="114"/>
      <c r="AZ661" s="114"/>
    </row>
    <row r="662" spans="1:52">
      <c r="A662" s="111"/>
      <c r="B662" s="111"/>
      <c r="C662" s="112"/>
      <c r="D662" s="101"/>
      <c r="E662" s="101"/>
      <c r="F662" s="101"/>
      <c r="G662" s="111"/>
      <c r="H662" s="101"/>
      <c r="I662" s="101"/>
      <c r="J662" s="101"/>
      <c r="K662" s="101"/>
      <c r="L662" s="101"/>
      <c r="M662" s="101"/>
      <c r="N662" s="101"/>
      <c r="O662" s="101"/>
      <c r="P662" s="101"/>
      <c r="Q662" s="101"/>
      <c r="R662" s="101"/>
      <c r="S662" s="101"/>
      <c r="T662" s="101"/>
      <c r="U662" s="101"/>
      <c r="V662" s="101"/>
      <c r="W662" s="101"/>
      <c r="X662" s="101"/>
      <c r="Y662" s="114"/>
      <c r="Z662" s="114"/>
      <c r="AA662" s="114"/>
      <c r="AB662" s="114"/>
      <c r="AC662" s="114"/>
      <c r="AD662" s="114"/>
      <c r="AE662" s="114"/>
      <c r="AF662" s="114"/>
      <c r="AG662" s="114"/>
      <c r="AH662" s="114"/>
      <c r="AI662" s="114"/>
      <c r="AJ662" s="114"/>
      <c r="AK662" s="114"/>
      <c r="AL662" s="114"/>
      <c r="AM662" s="114"/>
      <c r="AN662" s="114"/>
      <c r="AO662" s="114"/>
      <c r="AP662" s="114"/>
      <c r="AQ662" s="114"/>
      <c r="AR662" s="114"/>
      <c r="AS662" s="114"/>
      <c r="AT662" s="114"/>
      <c r="AU662" s="114"/>
      <c r="AV662" s="114"/>
      <c r="AW662" s="114"/>
      <c r="AX662" s="114"/>
      <c r="AY662" s="114"/>
      <c r="AZ662" s="114"/>
    </row>
    <row r="663" spans="1:52">
      <c r="A663" s="111"/>
      <c r="B663" s="111"/>
      <c r="C663" s="112"/>
      <c r="D663" s="101"/>
      <c r="E663" s="101"/>
      <c r="F663" s="101"/>
      <c r="G663" s="111"/>
      <c r="H663" s="101"/>
      <c r="I663" s="101"/>
      <c r="J663" s="101"/>
      <c r="K663" s="101"/>
      <c r="L663" s="101"/>
      <c r="M663" s="101"/>
      <c r="N663" s="101"/>
      <c r="O663" s="101"/>
      <c r="P663" s="101"/>
      <c r="Q663" s="101"/>
      <c r="R663" s="101"/>
      <c r="S663" s="101"/>
      <c r="T663" s="101"/>
      <c r="U663" s="101"/>
      <c r="V663" s="101"/>
      <c r="W663" s="101"/>
      <c r="X663" s="101"/>
      <c r="Y663" s="114"/>
      <c r="Z663" s="114"/>
      <c r="AA663" s="114"/>
      <c r="AB663" s="114"/>
      <c r="AC663" s="114"/>
      <c r="AD663" s="114"/>
      <c r="AE663" s="114"/>
      <c r="AF663" s="114"/>
      <c r="AG663" s="114"/>
      <c r="AH663" s="114"/>
      <c r="AI663" s="114"/>
      <c r="AJ663" s="114"/>
      <c r="AK663" s="114"/>
      <c r="AL663" s="114"/>
      <c r="AM663" s="114"/>
      <c r="AN663" s="114"/>
      <c r="AO663" s="114"/>
      <c r="AP663" s="114"/>
      <c r="AQ663" s="114"/>
      <c r="AR663" s="114"/>
      <c r="AS663" s="114"/>
      <c r="AT663" s="114"/>
      <c r="AU663" s="114"/>
      <c r="AV663" s="114"/>
      <c r="AW663" s="114"/>
      <c r="AX663" s="114"/>
      <c r="AY663" s="114"/>
      <c r="AZ663" s="114"/>
    </row>
    <row r="664" spans="1:52">
      <c r="A664" s="111"/>
      <c r="B664" s="111"/>
      <c r="C664" s="112"/>
      <c r="D664" s="101"/>
      <c r="E664" s="101"/>
      <c r="F664" s="101"/>
      <c r="G664" s="111"/>
      <c r="H664" s="101"/>
      <c r="I664" s="101"/>
      <c r="J664" s="101"/>
      <c r="K664" s="101"/>
      <c r="L664" s="101"/>
      <c r="M664" s="101"/>
      <c r="N664" s="101"/>
      <c r="O664" s="101"/>
      <c r="P664" s="101"/>
      <c r="Q664" s="101"/>
      <c r="R664" s="101"/>
      <c r="S664" s="101"/>
      <c r="T664" s="101"/>
      <c r="U664" s="101"/>
      <c r="V664" s="101"/>
      <c r="W664" s="101"/>
      <c r="X664" s="101"/>
      <c r="Y664" s="114"/>
      <c r="Z664" s="114"/>
      <c r="AA664" s="114"/>
      <c r="AB664" s="114"/>
      <c r="AC664" s="114"/>
      <c r="AD664" s="114"/>
      <c r="AE664" s="114"/>
      <c r="AF664" s="114"/>
      <c r="AG664" s="114"/>
      <c r="AH664" s="114"/>
      <c r="AI664" s="114"/>
      <c r="AJ664" s="114"/>
      <c r="AK664" s="114"/>
      <c r="AL664" s="114"/>
      <c r="AM664" s="114"/>
      <c r="AN664" s="114"/>
      <c r="AO664" s="114"/>
      <c r="AP664" s="114"/>
      <c r="AQ664" s="114"/>
      <c r="AR664" s="114"/>
      <c r="AS664" s="114"/>
      <c r="AT664" s="114"/>
      <c r="AU664" s="114"/>
      <c r="AV664" s="114"/>
      <c r="AW664" s="114"/>
      <c r="AX664" s="114"/>
      <c r="AY664" s="114"/>
      <c r="AZ664" s="114"/>
    </row>
    <row r="665" spans="1:52">
      <c r="A665" s="111"/>
      <c r="B665" s="111"/>
      <c r="C665" s="112"/>
      <c r="D665" s="101"/>
      <c r="E665" s="101"/>
      <c r="F665" s="101"/>
      <c r="G665" s="111"/>
      <c r="H665" s="101"/>
      <c r="I665" s="101"/>
      <c r="J665" s="101"/>
      <c r="K665" s="101"/>
      <c r="L665" s="101"/>
      <c r="M665" s="101"/>
      <c r="N665" s="101"/>
      <c r="O665" s="101"/>
      <c r="P665" s="101"/>
      <c r="Q665" s="101"/>
      <c r="R665" s="101"/>
      <c r="S665" s="101"/>
      <c r="T665" s="101"/>
      <c r="U665" s="101"/>
      <c r="V665" s="101"/>
      <c r="W665" s="101"/>
      <c r="X665" s="101"/>
      <c r="Y665" s="114"/>
      <c r="Z665" s="114"/>
      <c r="AA665" s="114"/>
      <c r="AB665" s="114"/>
      <c r="AC665" s="114"/>
      <c r="AD665" s="114"/>
      <c r="AE665" s="114"/>
      <c r="AF665" s="114"/>
      <c r="AG665" s="114"/>
      <c r="AH665" s="114"/>
      <c r="AI665" s="114"/>
      <c r="AJ665" s="114"/>
      <c r="AK665" s="114"/>
      <c r="AL665" s="114"/>
      <c r="AM665" s="114"/>
      <c r="AN665" s="114"/>
      <c r="AO665" s="114"/>
      <c r="AP665" s="114"/>
      <c r="AQ665" s="114"/>
      <c r="AR665" s="114"/>
      <c r="AS665" s="114"/>
      <c r="AT665" s="114"/>
      <c r="AU665" s="114"/>
      <c r="AV665" s="114"/>
      <c r="AW665" s="114"/>
      <c r="AX665" s="114"/>
      <c r="AY665" s="114"/>
      <c r="AZ665" s="114"/>
    </row>
    <row r="666" spans="1:52">
      <c r="A666" s="111"/>
      <c r="B666" s="111"/>
      <c r="C666" s="112"/>
      <c r="D666" s="101"/>
      <c r="E666" s="101"/>
      <c r="F666" s="101"/>
      <c r="G666" s="111"/>
      <c r="H666" s="101"/>
      <c r="I666" s="101"/>
      <c r="J666" s="101"/>
      <c r="K666" s="101"/>
      <c r="L666" s="101"/>
      <c r="M666" s="101"/>
      <c r="N666" s="101"/>
      <c r="O666" s="101"/>
      <c r="P666" s="101"/>
      <c r="Q666" s="101"/>
      <c r="R666" s="101"/>
      <c r="S666" s="101"/>
      <c r="T666" s="101"/>
      <c r="U666" s="101"/>
      <c r="V666" s="101"/>
      <c r="W666" s="101"/>
      <c r="X666" s="101"/>
      <c r="Y666" s="114"/>
      <c r="Z666" s="114"/>
      <c r="AA666" s="114"/>
      <c r="AB666" s="114"/>
      <c r="AC666" s="114"/>
      <c r="AD666" s="114"/>
      <c r="AE666" s="114"/>
      <c r="AF666" s="114"/>
      <c r="AG666" s="114"/>
      <c r="AH666" s="114"/>
      <c r="AI666" s="114"/>
      <c r="AJ666" s="114"/>
      <c r="AK666" s="114"/>
      <c r="AL666" s="114"/>
      <c r="AM666" s="114"/>
      <c r="AN666" s="114"/>
      <c r="AO666" s="114"/>
      <c r="AP666" s="114"/>
      <c r="AQ666" s="114"/>
      <c r="AR666" s="114"/>
      <c r="AS666" s="114"/>
      <c r="AT666" s="114"/>
      <c r="AU666" s="114"/>
      <c r="AV666" s="114"/>
      <c r="AW666" s="114"/>
      <c r="AX666" s="114"/>
      <c r="AY666" s="114"/>
      <c r="AZ666" s="114"/>
    </row>
    <row r="667" spans="1:52">
      <c r="A667" s="111"/>
      <c r="B667" s="111"/>
      <c r="C667" s="112"/>
      <c r="D667" s="101"/>
      <c r="E667" s="101"/>
      <c r="F667" s="101"/>
      <c r="G667" s="111"/>
      <c r="H667" s="101"/>
      <c r="I667" s="101"/>
      <c r="J667" s="101"/>
      <c r="K667" s="101"/>
      <c r="L667" s="101"/>
      <c r="M667" s="101"/>
      <c r="N667" s="101"/>
      <c r="O667" s="101"/>
      <c r="P667" s="101"/>
      <c r="Q667" s="101"/>
      <c r="R667" s="101"/>
      <c r="S667" s="101"/>
      <c r="T667" s="101"/>
      <c r="U667" s="101"/>
      <c r="V667" s="101"/>
      <c r="W667" s="101"/>
      <c r="X667" s="101"/>
      <c r="Y667" s="114"/>
      <c r="Z667" s="114"/>
      <c r="AA667" s="114"/>
      <c r="AB667" s="114"/>
      <c r="AC667" s="114"/>
      <c r="AD667" s="114"/>
      <c r="AE667" s="114"/>
      <c r="AF667" s="114"/>
      <c r="AG667" s="114"/>
      <c r="AH667" s="114"/>
      <c r="AI667" s="114"/>
      <c r="AJ667" s="114"/>
      <c r="AK667" s="114"/>
      <c r="AL667" s="114"/>
      <c r="AM667" s="114"/>
      <c r="AN667" s="114"/>
      <c r="AO667" s="114"/>
      <c r="AP667" s="114"/>
      <c r="AQ667" s="114"/>
      <c r="AR667" s="114"/>
      <c r="AS667" s="114"/>
      <c r="AT667" s="114"/>
      <c r="AU667" s="114"/>
      <c r="AV667" s="114"/>
      <c r="AW667" s="114"/>
      <c r="AX667" s="114"/>
      <c r="AY667" s="114"/>
      <c r="AZ667" s="114"/>
    </row>
    <row r="668" spans="1:52">
      <c r="A668" s="111"/>
      <c r="B668" s="111"/>
      <c r="C668" s="112"/>
      <c r="D668" s="101"/>
      <c r="E668" s="101"/>
      <c r="F668" s="101"/>
      <c r="G668" s="111"/>
      <c r="H668" s="101"/>
      <c r="I668" s="101"/>
      <c r="J668" s="101"/>
      <c r="K668" s="101"/>
      <c r="L668" s="101"/>
      <c r="M668" s="101"/>
      <c r="N668" s="101"/>
      <c r="O668" s="101"/>
      <c r="P668" s="101"/>
      <c r="Q668" s="101"/>
      <c r="R668" s="101"/>
      <c r="S668" s="101"/>
      <c r="T668" s="101"/>
      <c r="U668" s="101"/>
      <c r="V668" s="101"/>
      <c r="W668" s="101"/>
      <c r="X668" s="101"/>
      <c r="Y668" s="114"/>
      <c r="Z668" s="114"/>
      <c r="AA668" s="114"/>
      <c r="AB668" s="114"/>
      <c r="AC668" s="114"/>
      <c r="AD668" s="114"/>
      <c r="AE668" s="114"/>
      <c r="AF668" s="114"/>
      <c r="AG668" s="114"/>
      <c r="AH668" s="114"/>
      <c r="AI668" s="114"/>
      <c r="AJ668" s="114"/>
      <c r="AK668" s="114"/>
      <c r="AL668" s="114"/>
      <c r="AM668" s="114"/>
      <c r="AN668" s="114"/>
      <c r="AO668" s="114"/>
      <c r="AP668" s="114"/>
      <c r="AQ668" s="114"/>
      <c r="AR668" s="114"/>
      <c r="AS668" s="114"/>
      <c r="AT668" s="114"/>
      <c r="AU668" s="114"/>
      <c r="AV668" s="114"/>
      <c r="AW668" s="114"/>
      <c r="AX668" s="114"/>
      <c r="AY668" s="114"/>
      <c r="AZ668" s="114"/>
    </row>
    <row r="669" spans="1:52">
      <c r="A669" s="111"/>
      <c r="B669" s="111"/>
      <c r="C669" s="112"/>
      <c r="D669" s="101"/>
      <c r="E669" s="101"/>
      <c r="F669" s="101"/>
      <c r="G669" s="111"/>
      <c r="H669" s="101"/>
      <c r="I669" s="101"/>
      <c r="J669" s="101"/>
      <c r="K669" s="101"/>
      <c r="L669" s="101"/>
      <c r="M669" s="101"/>
      <c r="N669" s="101"/>
      <c r="O669" s="101"/>
      <c r="P669" s="101"/>
      <c r="Q669" s="101"/>
      <c r="R669" s="101"/>
      <c r="S669" s="101"/>
      <c r="T669" s="101"/>
      <c r="U669" s="101"/>
      <c r="V669" s="101"/>
      <c r="W669" s="101"/>
      <c r="X669" s="101"/>
      <c r="Y669" s="114"/>
      <c r="Z669" s="114"/>
      <c r="AA669" s="114"/>
      <c r="AB669" s="114"/>
      <c r="AC669" s="114"/>
      <c r="AD669" s="114"/>
      <c r="AE669" s="114"/>
      <c r="AF669" s="114"/>
      <c r="AG669" s="114"/>
      <c r="AH669" s="114"/>
      <c r="AI669" s="114"/>
      <c r="AJ669" s="114"/>
      <c r="AK669" s="114"/>
      <c r="AL669" s="114"/>
      <c r="AM669" s="114"/>
      <c r="AN669" s="114"/>
      <c r="AO669" s="114"/>
      <c r="AP669" s="114"/>
      <c r="AQ669" s="114"/>
      <c r="AR669" s="114"/>
      <c r="AS669" s="114"/>
      <c r="AT669" s="114"/>
      <c r="AU669" s="114"/>
      <c r="AV669" s="114"/>
      <c r="AW669" s="114"/>
      <c r="AX669" s="114"/>
      <c r="AY669" s="114"/>
      <c r="AZ669" s="114"/>
    </row>
    <row r="670" spans="1:52">
      <c r="A670" s="111"/>
      <c r="B670" s="111"/>
      <c r="C670" s="112"/>
      <c r="D670" s="101"/>
      <c r="E670" s="101"/>
      <c r="F670" s="101"/>
      <c r="G670" s="111"/>
      <c r="H670" s="101"/>
      <c r="I670" s="101"/>
      <c r="J670" s="101"/>
      <c r="K670" s="101"/>
      <c r="L670" s="101"/>
      <c r="M670" s="101"/>
      <c r="N670" s="101"/>
      <c r="O670" s="101"/>
      <c r="P670" s="101"/>
      <c r="Q670" s="101"/>
      <c r="R670" s="101"/>
      <c r="S670" s="101"/>
      <c r="T670" s="101"/>
      <c r="U670" s="101"/>
      <c r="V670" s="101"/>
      <c r="W670" s="101"/>
      <c r="X670" s="101"/>
      <c r="Y670" s="114"/>
      <c r="Z670" s="114"/>
      <c r="AA670" s="114"/>
      <c r="AB670" s="114"/>
      <c r="AC670" s="114"/>
      <c r="AD670" s="114"/>
      <c r="AE670" s="114"/>
      <c r="AF670" s="114"/>
      <c r="AG670" s="114"/>
      <c r="AH670" s="114"/>
      <c r="AI670" s="114"/>
      <c r="AJ670" s="114"/>
      <c r="AK670" s="114"/>
      <c r="AL670" s="114"/>
      <c r="AM670" s="114"/>
      <c r="AN670" s="114"/>
      <c r="AO670" s="114"/>
      <c r="AP670" s="114"/>
      <c r="AQ670" s="114"/>
      <c r="AR670" s="114"/>
      <c r="AS670" s="114"/>
      <c r="AT670" s="114"/>
      <c r="AU670" s="114"/>
      <c r="AV670" s="114"/>
      <c r="AW670" s="114"/>
      <c r="AX670" s="114"/>
      <c r="AY670" s="114"/>
      <c r="AZ670" s="114"/>
    </row>
    <row r="671" spans="1:52">
      <c r="A671" s="111"/>
      <c r="B671" s="111"/>
      <c r="C671" s="112"/>
      <c r="D671" s="101"/>
      <c r="E671" s="101"/>
      <c r="F671" s="101"/>
      <c r="G671" s="111"/>
      <c r="H671" s="101"/>
      <c r="I671" s="101"/>
      <c r="J671" s="101"/>
      <c r="K671" s="101"/>
      <c r="L671" s="101"/>
      <c r="M671" s="101"/>
      <c r="N671" s="101"/>
      <c r="O671" s="101"/>
      <c r="P671" s="101"/>
      <c r="Q671" s="101"/>
      <c r="R671" s="101"/>
      <c r="S671" s="101"/>
      <c r="T671" s="101"/>
      <c r="U671" s="101"/>
      <c r="V671" s="101"/>
      <c r="W671" s="101"/>
      <c r="X671" s="101"/>
      <c r="Y671" s="114"/>
      <c r="Z671" s="114"/>
      <c r="AA671" s="114"/>
      <c r="AB671" s="114"/>
      <c r="AC671" s="114"/>
      <c r="AD671" s="114"/>
      <c r="AE671" s="114"/>
      <c r="AF671" s="114"/>
      <c r="AG671" s="114"/>
      <c r="AH671" s="114"/>
      <c r="AI671" s="114"/>
      <c r="AJ671" s="114"/>
      <c r="AK671" s="114"/>
      <c r="AL671" s="114"/>
      <c r="AM671" s="114"/>
      <c r="AN671" s="114"/>
      <c r="AO671" s="114"/>
      <c r="AP671" s="114"/>
      <c r="AQ671" s="114"/>
      <c r="AR671" s="114"/>
      <c r="AS671" s="114"/>
      <c r="AT671" s="114"/>
      <c r="AU671" s="114"/>
      <c r="AV671" s="114"/>
      <c r="AW671" s="114"/>
      <c r="AX671" s="114"/>
      <c r="AY671" s="114"/>
      <c r="AZ671" s="114"/>
    </row>
    <row r="672" spans="1:52">
      <c r="A672" s="111"/>
      <c r="B672" s="111"/>
      <c r="C672" s="112"/>
      <c r="D672" s="101"/>
      <c r="E672" s="101"/>
      <c r="F672" s="101"/>
      <c r="G672" s="111"/>
      <c r="H672" s="101"/>
      <c r="I672" s="101"/>
      <c r="J672" s="101"/>
      <c r="K672" s="101"/>
      <c r="L672" s="101"/>
      <c r="M672" s="101"/>
      <c r="N672" s="101"/>
      <c r="O672" s="101"/>
      <c r="P672" s="101"/>
      <c r="Q672" s="101"/>
      <c r="R672" s="101"/>
      <c r="S672" s="101"/>
      <c r="T672" s="101"/>
      <c r="U672" s="101"/>
      <c r="V672" s="101"/>
      <c r="W672" s="101"/>
      <c r="X672" s="101"/>
      <c r="Y672" s="114"/>
      <c r="Z672" s="114"/>
      <c r="AA672" s="114"/>
      <c r="AB672" s="114"/>
      <c r="AC672" s="114"/>
      <c r="AD672" s="114"/>
      <c r="AE672" s="114"/>
      <c r="AF672" s="114"/>
      <c r="AG672" s="114"/>
      <c r="AH672" s="114"/>
      <c r="AI672" s="114"/>
      <c r="AJ672" s="114"/>
      <c r="AK672" s="114"/>
      <c r="AL672" s="114"/>
      <c r="AM672" s="114"/>
      <c r="AN672" s="114"/>
      <c r="AO672" s="114"/>
      <c r="AP672" s="114"/>
      <c r="AQ672" s="114"/>
      <c r="AR672" s="114"/>
      <c r="AS672" s="114"/>
      <c r="AT672" s="114"/>
      <c r="AU672" s="114"/>
      <c r="AV672" s="114"/>
      <c r="AW672" s="114"/>
      <c r="AX672" s="114"/>
      <c r="AY672" s="114"/>
      <c r="AZ672" s="114"/>
    </row>
    <row r="673" spans="1:52">
      <c r="A673" s="111"/>
      <c r="B673" s="111"/>
      <c r="C673" s="112"/>
      <c r="D673" s="101"/>
      <c r="E673" s="101"/>
      <c r="F673" s="101"/>
      <c r="G673" s="111"/>
      <c r="H673" s="101"/>
      <c r="I673" s="101"/>
      <c r="J673" s="101"/>
      <c r="K673" s="101"/>
      <c r="L673" s="101"/>
      <c r="M673" s="101"/>
      <c r="N673" s="101"/>
      <c r="O673" s="101"/>
      <c r="P673" s="101"/>
      <c r="Q673" s="101"/>
      <c r="R673" s="101"/>
      <c r="S673" s="101"/>
      <c r="T673" s="101"/>
      <c r="U673" s="101"/>
      <c r="V673" s="101"/>
      <c r="W673" s="101"/>
      <c r="X673" s="101"/>
      <c r="Y673" s="114"/>
      <c r="Z673" s="114"/>
      <c r="AA673" s="114"/>
      <c r="AB673" s="114"/>
      <c r="AC673" s="114"/>
      <c r="AD673" s="114"/>
      <c r="AE673" s="114"/>
      <c r="AF673" s="114"/>
      <c r="AG673" s="114"/>
      <c r="AH673" s="114"/>
      <c r="AI673" s="114"/>
      <c r="AJ673" s="114"/>
      <c r="AK673" s="114"/>
      <c r="AL673" s="114"/>
      <c r="AM673" s="114"/>
      <c r="AN673" s="114"/>
      <c r="AO673" s="114"/>
      <c r="AP673" s="114"/>
      <c r="AQ673" s="114"/>
      <c r="AR673" s="114"/>
      <c r="AS673" s="114"/>
      <c r="AT673" s="114"/>
      <c r="AU673" s="114"/>
      <c r="AV673" s="114"/>
      <c r="AW673" s="114"/>
      <c r="AX673" s="114"/>
      <c r="AY673" s="114"/>
      <c r="AZ673" s="114"/>
    </row>
    <row r="674" spans="1:52">
      <c r="A674" s="111"/>
      <c r="B674" s="111"/>
      <c r="C674" s="112"/>
      <c r="D674" s="101"/>
      <c r="E674" s="101"/>
      <c r="F674" s="101"/>
      <c r="G674" s="111"/>
      <c r="H674" s="101"/>
      <c r="I674" s="101"/>
      <c r="J674" s="101"/>
      <c r="K674" s="101"/>
      <c r="L674" s="101"/>
      <c r="M674" s="101"/>
      <c r="N674" s="101"/>
      <c r="O674" s="101"/>
      <c r="P674" s="101"/>
      <c r="Q674" s="101"/>
      <c r="R674" s="101"/>
      <c r="S674" s="101"/>
      <c r="T674" s="101"/>
      <c r="U674" s="101"/>
      <c r="V674" s="101"/>
      <c r="W674" s="101"/>
      <c r="X674" s="101"/>
      <c r="Y674" s="114"/>
      <c r="Z674" s="114"/>
      <c r="AA674" s="114"/>
      <c r="AB674" s="114"/>
      <c r="AC674" s="114"/>
      <c r="AD674" s="114"/>
      <c r="AE674" s="114"/>
      <c r="AF674" s="114"/>
      <c r="AG674" s="114"/>
      <c r="AH674" s="114"/>
      <c r="AI674" s="114"/>
      <c r="AJ674" s="114"/>
      <c r="AK674" s="114"/>
      <c r="AL674" s="114"/>
      <c r="AM674" s="114"/>
      <c r="AN674" s="114"/>
      <c r="AO674" s="114"/>
      <c r="AP674" s="114"/>
      <c r="AQ674" s="114"/>
      <c r="AR674" s="114"/>
      <c r="AS674" s="114"/>
      <c r="AT674" s="114"/>
      <c r="AU674" s="114"/>
      <c r="AV674" s="114"/>
      <c r="AW674" s="114"/>
      <c r="AX674" s="114"/>
      <c r="AY674" s="114"/>
      <c r="AZ674" s="114"/>
    </row>
    <row r="675" spans="1:52">
      <c r="A675" s="111"/>
      <c r="B675" s="111"/>
      <c r="C675" s="112"/>
      <c r="D675" s="101"/>
      <c r="E675" s="101"/>
      <c r="F675" s="101"/>
      <c r="G675" s="111"/>
      <c r="H675" s="101"/>
      <c r="I675" s="101"/>
      <c r="J675" s="101"/>
      <c r="K675" s="101"/>
      <c r="L675" s="101"/>
      <c r="M675" s="101"/>
      <c r="N675" s="101"/>
      <c r="O675" s="101"/>
      <c r="P675" s="101"/>
      <c r="Q675" s="101"/>
      <c r="R675" s="101"/>
      <c r="S675" s="101"/>
      <c r="T675" s="101"/>
      <c r="U675" s="101"/>
      <c r="V675" s="101"/>
      <c r="W675" s="101"/>
      <c r="X675" s="101"/>
      <c r="Y675" s="114"/>
      <c r="Z675" s="114"/>
      <c r="AA675" s="114"/>
      <c r="AB675" s="114"/>
      <c r="AC675" s="114"/>
      <c r="AD675" s="114"/>
      <c r="AE675" s="114"/>
      <c r="AF675" s="114"/>
      <c r="AG675" s="114"/>
      <c r="AH675" s="114"/>
      <c r="AI675" s="114"/>
      <c r="AJ675" s="114"/>
      <c r="AK675" s="114"/>
      <c r="AL675" s="114"/>
      <c r="AM675" s="114"/>
      <c r="AN675" s="114"/>
      <c r="AO675" s="114"/>
      <c r="AP675" s="114"/>
      <c r="AQ675" s="114"/>
      <c r="AR675" s="114"/>
      <c r="AS675" s="114"/>
      <c r="AT675" s="114"/>
      <c r="AU675" s="114"/>
      <c r="AV675" s="114"/>
      <c r="AW675" s="114"/>
      <c r="AX675" s="114"/>
      <c r="AY675" s="114"/>
      <c r="AZ675" s="114"/>
    </row>
    <row r="676" spans="1:52">
      <c r="A676" s="111"/>
      <c r="B676" s="111"/>
      <c r="C676" s="112"/>
      <c r="D676" s="101"/>
      <c r="E676" s="101"/>
      <c r="F676" s="101"/>
      <c r="G676" s="111"/>
      <c r="H676" s="101"/>
      <c r="I676" s="101"/>
      <c r="J676" s="101"/>
      <c r="K676" s="101"/>
      <c r="L676" s="101"/>
      <c r="M676" s="101"/>
      <c r="N676" s="101"/>
      <c r="O676" s="101"/>
      <c r="P676" s="101"/>
      <c r="Q676" s="101"/>
      <c r="R676" s="101"/>
      <c r="S676" s="101"/>
      <c r="T676" s="101"/>
      <c r="U676" s="101"/>
      <c r="V676" s="101"/>
      <c r="W676" s="101"/>
      <c r="X676" s="101"/>
      <c r="Y676" s="114"/>
      <c r="Z676" s="114"/>
      <c r="AA676" s="114"/>
      <c r="AB676" s="114"/>
      <c r="AC676" s="114"/>
      <c r="AD676" s="114"/>
      <c r="AE676" s="114"/>
      <c r="AF676" s="114"/>
      <c r="AG676" s="114"/>
      <c r="AH676" s="114"/>
      <c r="AI676" s="114"/>
      <c r="AJ676" s="114"/>
      <c r="AK676" s="114"/>
      <c r="AL676" s="114"/>
      <c r="AM676" s="114"/>
      <c r="AN676" s="114"/>
      <c r="AO676" s="114"/>
      <c r="AP676" s="114"/>
      <c r="AQ676" s="114"/>
      <c r="AR676" s="114"/>
      <c r="AS676" s="114"/>
      <c r="AT676" s="114"/>
      <c r="AU676" s="114"/>
      <c r="AV676" s="114"/>
      <c r="AW676" s="114"/>
      <c r="AX676" s="114"/>
      <c r="AY676" s="114"/>
      <c r="AZ676" s="114"/>
    </row>
    <row r="677" spans="1:52">
      <c r="A677" s="111"/>
      <c r="B677" s="111"/>
      <c r="C677" s="112"/>
      <c r="D677" s="101"/>
      <c r="E677" s="101"/>
      <c r="F677" s="101"/>
      <c r="G677" s="111"/>
      <c r="H677" s="101"/>
      <c r="I677" s="101"/>
      <c r="J677" s="101"/>
      <c r="K677" s="101"/>
      <c r="L677" s="101"/>
      <c r="M677" s="101"/>
      <c r="N677" s="101"/>
      <c r="O677" s="101"/>
      <c r="P677" s="101"/>
      <c r="Q677" s="101"/>
      <c r="R677" s="101"/>
      <c r="S677" s="101"/>
      <c r="T677" s="101"/>
      <c r="U677" s="101"/>
      <c r="V677" s="101"/>
      <c r="W677" s="101"/>
      <c r="X677" s="101"/>
      <c r="Y677" s="114"/>
      <c r="Z677" s="114"/>
      <c r="AA677" s="114"/>
      <c r="AB677" s="114"/>
      <c r="AC677" s="114"/>
      <c r="AD677" s="114"/>
      <c r="AE677" s="114"/>
      <c r="AF677" s="114"/>
      <c r="AG677" s="114"/>
      <c r="AH677" s="114"/>
      <c r="AI677" s="114"/>
      <c r="AJ677" s="114"/>
      <c r="AK677" s="114"/>
      <c r="AL677" s="114"/>
      <c r="AM677" s="114"/>
      <c r="AN677" s="114"/>
      <c r="AO677" s="114"/>
      <c r="AP677" s="114"/>
      <c r="AQ677" s="114"/>
      <c r="AR677" s="114"/>
      <c r="AS677" s="114"/>
      <c r="AT677" s="114"/>
      <c r="AU677" s="114"/>
      <c r="AV677" s="114"/>
      <c r="AW677" s="114"/>
      <c r="AX677" s="114"/>
      <c r="AY677" s="114"/>
      <c r="AZ677" s="114"/>
    </row>
    <row r="678" spans="1:52">
      <c r="A678" s="111"/>
      <c r="B678" s="111"/>
      <c r="C678" s="112"/>
      <c r="D678" s="101"/>
      <c r="E678" s="101"/>
      <c r="F678" s="101"/>
      <c r="G678" s="111"/>
      <c r="H678" s="101"/>
      <c r="I678" s="101"/>
      <c r="J678" s="101"/>
      <c r="K678" s="101"/>
      <c r="L678" s="101"/>
      <c r="M678" s="101"/>
      <c r="N678" s="101"/>
      <c r="O678" s="101"/>
      <c r="P678" s="101"/>
      <c r="Q678" s="101"/>
      <c r="R678" s="101"/>
      <c r="S678" s="101"/>
      <c r="T678" s="101"/>
      <c r="U678" s="101"/>
      <c r="V678" s="101"/>
      <c r="W678" s="101"/>
      <c r="X678" s="101"/>
      <c r="Y678" s="114"/>
      <c r="Z678" s="114"/>
      <c r="AA678" s="114"/>
      <c r="AB678" s="114"/>
      <c r="AC678" s="114"/>
      <c r="AD678" s="114"/>
      <c r="AE678" s="114"/>
      <c r="AF678" s="114"/>
      <c r="AG678" s="114"/>
      <c r="AH678" s="114"/>
      <c r="AI678" s="114"/>
      <c r="AJ678" s="114"/>
      <c r="AK678" s="114"/>
      <c r="AL678" s="114"/>
      <c r="AM678" s="114"/>
      <c r="AN678" s="114"/>
      <c r="AO678" s="114"/>
      <c r="AP678" s="114"/>
      <c r="AQ678" s="114"/>
      <c r="AR678" s="114"/>
      <c r="AS678" s="114"/>
      <c r="AT678" s="114"/>
      <c r="AU678" s="114"/>
      <c r="AV678" s="114"/>
      <c r="AW678" s="114"/>
      <c r="AX678" s="114"/>
      <c r="AY678" s="114"/>
      <c r="AZ678" s="114"/>
    </row>
    <row r="679" spans="1:52">
      <c r="A679" s="111"/>
      <c r="B679" s="111"/>
      <c r="C679" s="112"/>
      <c r="D679" s="101"/>
      <c r="E679" s="101"/>
      <c r="F679" s="101"/>
      <c r="G679" s="111"/>
      <c r="H679" s="101"/>
      <c r="I679" s="101"/>
      <c r="J679" s="101"/>
      <c r="K679" s="101"/>
      <c r="L679" s="101"/>
      <c r="M679" s="101"/>
      <c r="N679" s="101"/>
      <c r="O679" s="101"/>
      <c r="P679" s="101"/>
      <c r="Q679" s="101"/>
      <c r="R679" s="101"/>
      <c r="S679" s="101"/>
      <c r="T679" s="101"/>
      <c r="U679" s="101"/>
      <c r="V679" s="101"/>
      <c r="W679" s="101"/>
      <c r="X679" s="101"/>
      <c r="Y679" s="114"/>
      <c r="Z679" s="114"/>
      <c r="AA679" s="114"/>
      <c r="AB679" s="114"/>
      <c r="AC679" s="114"/>
      <c r="AD679" s="114"/>
      <c r="AE679" s="114"/>
      <c r="AF679" s="114"/>
      <c r="AG679" s="114"/>
      <c r="AH679" s="114"/>
      <c r="AI679" s="114"/>
      <c r="AJ679" s="114"/>
      <c r="AK679" s="114"/>
      <c r="AL679" s="114"/>
      <c r="AM679" s="114"/>
      <c r="AN679" s="114"/>
      <c r="AO679" s="114"/>
      <c r="AP679" s="114"/>
      <c r="AQ679" s="114"/>
      <c r="AR679" s="114"/>
      <c r="AS679" s="114"/>
      <c r="AT679" s="114"/>
      <c r="AU679" s="114"/>
      <c r="AV679" s="114"/>
      <c r="AW679" s="114"/>
      <c r="AX679" s="114"/>
      <c r="AY679" s="114"/>
      <c r="AZ679" s="114"/>
    </row>
    <row r="680" spans="1:52">
      <c r="A680" s="111"/>
      <c r="B680" s="111"/>
      <c r="C680" s="112"/>
      <c r="D680" s="101"/>
      <c r="E680" s="101"/>
      <c r="F680" s="101"/>
      <c r="G680" s="111"/>
      <c r="H680" s="101"/>
      <c r="I680" s="101"/>
      <c r="J680" s="101"/>
      <c r="K680" s="101"/>
      <c r="L680" s="101"/>
      <c r="M680" s="101"/>
      <c r="N680" s="101"/>
      <c r="O680" s="101"/>
      <c r="P680" s="101"/>
      <c r="Q680" s="101"/>
      <c r="R680" s="101"/>
      <c r="S680" s="101"/>
      <c r="T680" s="101"/>
      <c r="U680" s="101"/>
      <c r="V680" s="101"/>
      <c r="W680" s="101"/>
      <c r="X680" s="101"/>
      <c r="Y680" s="114"/>
      <c r="Z680" s="114"/>
      <c r="AA680" s="114"/>
      <c r="AB680" s="114"/>
      <c r="AC680" s="114"/>
      <c r="AD680" s="114"/>
      <c r="AE680" s="114"/>
      <c r="AF680" s="114"/>
      <c r="AG680" s="114"/>
      <c r="AH680" s="114"/>
      <c r="AI680" s="114"/>
      <c r="AJ680" s="114"/>
      <c r="AK680" s="114"/>
      <c r="AL680" s="114"/>
      <c r="AM680" s="114"/>
      <c r="AN680" s="114"/>
      <c r="AO680" s="114"/>
      <c r="AP680" s="114"/>
      <c r="AQ680" s="114"/>
      <c r="AR680" s="114"/>
      <c r="AS680" s="114"/>
      <c r="AT680" s="114"/>
      <c r="AU680" s="114"/>
      <c r="AV680" s="114"/>
      <c r="AW680" s="114"/>
      <c r="AX680" s="114"/>
      <c r="AY680" s="114"/>
      <c r="AZ680" s="114"/>
    </row>
    <row r="681" spans="1:52">
      <c r="A681" s="111"/>
      <c r="B681" s="111"/>
      <c r="C681" s="112"/>
      <c r="D681" s="101"/>
      <c r="E681" s="101"/>
      <c r="F681" s="101"/>
      <c r="G681" s="111"/>
      <c r="H681" s="101"/>
      <c r="I681" s="101"/>
      <c r="J681" s="101"/>
      <c r="K681" s="101"/>
      <c r="L681" s="101"/>
      <c r="M681" s="101"/>
      <c r="N681" s="101"/>
      <c r="O681" s="101"/>
      <c r="P681" s="101"/>
      <c r="Q681" s="101"/>
      <c r="R681" s="101"/>
      <c r="S681" s="101"/>
      <c r="T681" s="101"/>
      <c r="U681" s="101"/>
      <c r="V681" s="101"/>
      <c r="W681" s="101"/>
      <c r="X681" s="101"/>
      <c r="Y681" s="114"/>
      <c r="Z681" s="114"/>
      <c r="AA681" s="114"/>
      <c r="AB681" s="114"/>
      <c r="AC681" s="114"/>
      <c r="AD681" s="114"/>
      <c r="AE681" s="114"/>
      <c r="AF681" s="114"/>
      <c r="AG681" s="114"/>
      <c r="AH681" s="114"/>
      <c r="AI681" s="114"/>
      <c r="AJ681" s="114"/>
      <c r="AK681" s="114"/>
      <c r="AL681" s="114"/>
      <c r="AM681" s="114"/>
      <c r="AN681" s="114"/>
      <c r="AO681" s="114"/>
      <c r="AP681" s="114"/>
      <c r="AQ681" s="114"/>
      <c r="AR681" s="114"/>
      <c r="AS681" s="114"/>
      <c r="AT681" s="114"/>
      <c r="AU681" s="114"/>
      <c r="AV681" s="114"/>
      <c r="AW681" s="114"/>
      <c r="AX681" s="114"/>
      <c r="AY681" s="114"/>
      <c r="AZ681" s="114"/>
    </row>
    <row r="682" spans="1:52">
      <c r="A682" s="111"/>
      <c r="B682" s="111"/>
      <c r="C682" s="112"/>
      <c r="D682" s="101"/>
      <c r="E682" s="101"/>
      <c r="F682" s="101"/>
      <c r="G682" s="111"/>
      <c r="H682" s="101"/>
      <c r="I682" s="101"/>
      <c r="J682" s="101"/>
      <c r="K682" s="101"/>
      <c r="L682" s="101"/>
      <c r="M682" s="101"/>
      <c r="N682" s="101"/>
      <c r="O682" s="101"/>
      <c r="P682" s="101"/>
      <c r="Q682" s="101"/>
      <c r="R682" s="101"/>
      <c r="S682" s="101"/>
      <c r="T682" s="101"/>
      <c r="U682" s="101"/>
      <c r="V682" s="101"/>
      <c r="W682" s="101"/>
      <c r="X682" s="101"/>
      <c r="Y682" s="114"/>
      <c r="Z682" s="114"/>
      <c r="AA682" s="114"/>
      <c r="AB682" s="114"/>
      <c r="AC682" s="114"/>
      <c r="AD682" s="114"/>
      <c r="AE682" s="114"/>
      <c r="AF682" s="114"/>
      <c r="AG682" s="114"/>
      <c r="AH682" s="114"/>
      <c r="AI682" s="114"/>
      <c r="AJ682" s="114"/>
      <c r="AK682" s="114"/>
      <c r="AL682" s="114"/>
      <c r="AM682" s="114"/>
      <c r="AN682" s="114"/>
      <c r="AO682" s="114"/>
      <c r="AP682" s="114"/>
      <c r="AQ682" s="114"/>
      <c r="AR682" s="114"/>
      <c r="AS682" s="114"/>
      <c r="AT682" s="114"/>
      <c r="AU682" s="114"/>
      <c r="AV682" s="114"/>
      <c r="AW682" s="114"/>
      <c r="AX682" s="114"/>
      <c r="AY682" s="114"/>
      <c r="AZ682" s="114"/>
    </row>
    <row r="683" spans="1:52">
      <c r="A683" s="111"/>
      <c r="B683" s="111"/>
      <c r="C683" s="112"/>
      <c r="D683" s="101"/>
      <c r="E683" s="101"/>
      <c r="F683" s="101"/>
      <c r="G683" s="111"/>
      <c r="H683" s="101"/>
      <c r="I683" s="101"/>
      <c r="J683" s="101"/>
      <c r="K683" s="101"/>
      <c r="L683" s="101"/>
      <c r="M683" s="101"/>
      <c r="N683" s="101"/>
      <c r="O683" s="101"/>
      <c r="P683" s="101"/>
      <c r="Q683" s="101"/>
      <c r="R683" s="101"/>
      <c r="S683" s="101"/>
      <c r="T683" s="101"/>
      <c r="U683" s="101"/>
      <c r="V683" s="101"/>
      <c r="W683" s="101"/>
      <c r="X683" s="101"/>
      <c r="Y683" s="114"/>
      <c r="Z683" s="114"/>
      <c r="AA683" s="114"/>
      <c r="AB683" s="114"/>
      <c r="AC683" s="114"/>
      <c r="AD683" s="114"/>
      <c r="AE683" s="114"/>
      <c r="AF683" s="114"/>
      <c r="AG683" s="114"/>
      <c r="AH683" s="114"/>
      <c r="AI683" s="114"/>
      <c r="AJ683" s="114"/>
      <c r="AK683" s="114"/>
      <c r="AL683" s="114"/>
      <c r="AM683" s="114"/>
      <c r="AN683" s="114"/>
      <c r="AO683" s="114"/>
      <c r="AP683" s="114"/>
      <c r="AQ683" s="114"/>
      <c r="AR683" s="114"/>
      <c r="AS683" s="114"/>
      <c r="AT683" s="114"/>
      <c r="AU683" s="114"/>
      <c r="AV683" s="114"/>
      <c r="AW683" s="114"/>
      <c r="AX683" s="114"/>
      <c r="AY683" s="114"/>
      <c r="AZ683" s="114"/>
    </row>
    <row r="684" spans="1:52">
      <c r="A684" s="111"/>
      <c r="B684" s="111"/>
      <c r="C684" s="112"/>
      <c r="D684" s="101"/>
      <c r="E684" s="101"/>
      <c r="F684" s="101"/>
      <c r="G684" s="111"/>
      <c r="H684" s="101"/>
      <c r="I684" s="101"/>
      <c r="J684" s="101"/>
      <c r="K684" s="101"/>
      <c r="L684" s="101"/>
      <c r="M684" s="101"/>
      <c r="N684" s="101"/>
      <c r="O684" s="101"/>
      <c r="P684" s="101"/>
      <c r="Q684" s="101"/>
      <c r="R684" s="101"/>
      <c r="S684" s="101"/>
      <c r="T684" s="101"/>
      <c r="U684" s="101"/>
      <c r="V684" s="101"/>
      <c r="W684" s="101"/>
      <c r="X684" s="101"/>
      <c r="Y684" s="114"/>
      <c r="Z684" s="114"/>
      <c r="AA684" s="114"/>
      <c r="AB684" s="114"/>
      <c r="AC684" s="114"/>
      <c r="AD684" s="114"/>
      <c r="AE684" s="114"/>
      <c r="AF684" s="114"/>
      <c r="AG684" s="114"/>
      <c r="AH684" s="114"/>
      <c r="AI684" s="114"/>
      <c r="AJ684" s="114"/>
      <c r="AK684" s="114"/>
      <c r="AL684" s="114"/>
      <c r="AM684" s="114"/>
      <c r="AN684" s="114"/>
      <c r="AO684" s="114"/>
      <c r="AP684" s="114"/>
      <c r="AQ684" s="114"/>
      <c r="AR684" s="114"/>
      <c r="AS684" s="114"/>
      <c r="AT684" s="114"/>
      <c r="AU684" s="114"/>
      <c r="AV684" s="114"/>
      <c r="AW684" s="114"/>
      <c r="AX684" s="114"/>
      <c r="AY684" s="114"/>
      <c r="AZ684" s="114"/>
    </row>
    <row r="685" spans="1:52">
      <c r="A685" s="111"/>
      <c r="B685" s="111"/>
      <c r="C685" s="112"/>
      <c r="D685" s="101"/>
      <c r="E685" s="101"/>
      <c r="F685" s="101"/>
      <c r="G685" s="111"/>
      <c r="H685" s="101"/>
      <c r="I685" s="101"/>
      <c r="J685" s="101"/>
      <c r="K685" s="101"/>
      <c r="L685" s="101"/>
      <c r="M685" s="101"/>
      <c r="N685" s="101"/>
      <c r="O685" s="101"/>
      <c r="P685" s="101"/>
      <c r="Q685" s="101"/>
      <c r="R685" s="101"/>
      <c r="S685" s="101"/>
      <c r="T685" s="101"/>
      <c r="U685" s="101"/>
      <c r="V685" s="101"/>
      <c r="W685" s="101"/>
      <c r="X685" s="101"/>
      <c r="Y685" s="114"/>
      <c r="Z685" s="114"/>
      <c r="AA685" s="114"/>
      <c r="AB685" s="114"/>
      <c r="AC685" s="114"/>
      <c r="AD685" s="114"/>
      <c r="AE685" s="114"/>
      <c r="AF685" s="114"/>
      <c r="AG685" s="114"/>
      <c r="AH685" s="114"/>
      <c r="AI685" s="114"/>
      <c r="AJ685" s="114"/>
      <c r="AK685" s="114"/>
      <c r="AL685" s="114"/>
      <c r="AM685" s="114"/>
      <c r="AN685" s="114"/>
      <c r="AO685" s="114"/>
      <c r="AP685" s="114"/>
      <c r="AQ685" s="114"/>
      <c r="AR685" s="114"/>
      <c r="AS685" s="114"/>
      <c r="AT685" s="114"/>
      <c r="AU685" s="114"/>
      <c r="AV685" s="114"/>
      <c r="AW685" s="114"/>
      <c r="AX685" s="114"/>
      <c r="AY685" s="114"/>
      <c r="AZ685" s="114"/>
    </row>
    <row r="686" spans="1:52">
      <c r="A686" s="111"/>
      <c r="B686" s="111"/>
      <c r="C686" s="112"/>
      <c r="D686" s="101"/>
      <c r="E686" s="101"/>
      <c r="F686" s="101"/>
      <c r="G686" s="111"/>
      <c r="H686" s="101"/>
      <c r="I686" s="101"/>
      <c r="J686" s="101"/>
      <c r="K686" s="101"/>
      <c r="L686" s="101"/>
      <c r="M686" s="101"/>
      <c r="N686" s="101"/>
      <c r="O686" s="101"/>
      <c r="P686" s="101"/>
      <c r="Q686" s="101"/>
      <c r="R686" s="101"/>
      <c r="S686" s="101"/>
      <c r="T686" s="101"/>
      <c r="U686" s="101"/>
      <c r="V686" s="101"/>
      <c r="W686" s="101"/>
      <c r="X686" s="101"/>
      <c r="Y686" s="114"/>
      <c r="Z686" s="114"/>
      <c r="AA686" s="114"/>
      <c r="AB686" s="114"/>
      <c r="AC686" s="114"/>
      <c r="AD686" s="114"/>
      <c r="AE686" s="114"/>
      <c r="AF686" s="114"/>
      <c r="AG686" s="114"/>
      <c r="AH686" s="114"/>
      <c r="AI686" s="114"/>
      <c r="AJ686" s="114"/>
      <c r="AK686" s="114"/>
      <c r="AL686" s="114"/>
      <c r="AM686" s="114"/>
      <c r="AN686" s="114"/>
      <c r="AO686" s="114"/>
      <c r="AP686" s="114"/>
      <c r="AQ686" s="114"/>
      <c r="AR686" s="114"/>
      <c r="AS686" s="114"/>
      <c r="AT686" s="114"/>
      <c r="AU686" s="114"/>
      <c r="AV686" s="114"/>
      <c r="AW686" s="114"/>
      <c r="AX686" s="114"/>
      <c r="AY686" s="114"/>
      <c r="AZ686" s="114"/>
    </row>
    <row r="687" spans="1:52">
      <c r="A687" s="111"/>
      <c r="B687" s="111"/>
      <c r="C687" s="112"/>
      <c r="D687" s="101"/>
      <c r="E687" s="101"/>
      <c r="F687" s="101"/>
      <c r="G687" s="111"/>
      <c r="H687" s="101"/>
      <c r="I687" s="101"/>
      <c r="J687" s="101"/>
      <c r="K687" s="101"/>
      <c r="L687" s="101"/>
      <c r="M687" s="101"/>
      <c r="N687" s="101"/>
      <c r="O687" s="101"/>
      <c r="P687" s="101"/>
      <c r="Q687" s="101"/>
      <c r="R687" s="101"/>
      <c r="S687" s="101"/>
      <c r="T687" s="101"/>
      <c r="U687" s="101"/>
      <c r="V687" s="101"/>
      <c r="W687" s="101"/>
      <c r="X687" s="101"/>
      <c r="Y687" s="114"/>
      <c r="Z687" s="114"/>
      <c r="AA687" s="114"/>
      <c r="AB687" s="114"/>
      <c r="AC687" s="114"/>
      <c r="AD687" s="114"/>
      <c r="AE687" s="114"/>
      <c r="AF687" s="114"/>
      <c r="AG687" s="114"/>
      <c r="AH687" s="114"/>
      <c r="AI687" s="114"/>
      <c r="AJ687" s="114"/>
      <c r="AK687" s="114"/>
      <c r="AL687" s="114"/>
      <c r="AM687" s="114"/>
      <c r="AN687" s="114"/>
      <c r="AO687" s="114"/>
      <c r="AP687" s="114"/>
      <c r="AQ687" s="114"/>
      <c r="AR687" s="114"/>
      <c r="AS687" s="114"/>
      <c r="AT687" s="114"/>
      <c r="AU687" s="114"/>
      <c r="AV687" s="114"/>
      <c r="AW687" s="114"/>
      <c r="AX687" s="114"/>
      <c r="AY687" s="114"/>
      <c r="AZ687" s="114"/>
    </row>
    <row r="688" spans="1:52">
      <c r="A688" s="111"/>
      <c r="B688" s="111"/>
      <c r="C688" s="112"/>
      <c r="D688" s="101"/>
      <c r="E688" s="101"/>
      <c r="F688" s="101"/>
      <c r="G688" s="111"/>
      <c r="H688" s="101"/>
      <c r="I688" s="101"/>
      <c r="J688" s="101"/>
      <c r="K688" s="101"/>
      <c r="L688" s="101"/>
      <c r="M688" s="101"/>
      <c r="N688" s="101"/>
      <c r="O688" s="101"/>
      <c r="P688" s="101"/>
      <c r="Q688" s="101"/>
      <c r="R688" s="101"/>
      <c r="S688" s="101"/>
      <c r="T688" s="101"/>
      <c r="U688" s="101"/>
      <c r="V688" s="101"/>
      <c r="W688" s="101"/>
      <c r="X688" s="101"/>
      <c r="Y688" s="114"/>
      <c r="Z688" s="114"/>
      <c r="AA688" s="114"/>
      <c r="AB688" s="114"/>
      <c r="AC688" s="114"/>
      <c r="AD688" s="114"/>
      <c r="AE688" s="114"/>
      <c r="AF688" s="114"/>
      <c r="AG688" s="114"/>
      <c r="AH688" s="114"/>
      <c r="AI688" s="114"/>
      <c r="AJ688" s="114"/>
      <c r="AK688" s="114"/>
      <c r="AL688" s="114"/>
      <c r="AM688" s="114"/>
      <c r="AN688" s="114"/>
      <c r="AO688" s="114"/>
      <c r="AP688" s="114"/>
      <c r="AQ688" s="114"/>
      <c r="AR688" s="114"/>
      <c r="AS688" s="114"/>
      <c r="AT688" s="114"/>
      <c r="AU688" s="114"/>
      <c r="AV688" s="114"/>
      <c r="AW688" s="114"/>
      <c r="AX688" s="114"/>
      <c r="AY688" s="114"/>
      <c r="AZ688" s="114"/>
    </row>
    <row r="689" spans="1:52">
      <c r="A689" s="111"/>
      <c r="B689" s="111"/>
      <c r="C689" s="112"/>
      <c r="D689" s="101"/>
      <c r="E689" s="101"/>
      <c r="F689" s="101"/>
      <c r="G689" s="111"/>
      <c r="H689" s="101"/>
      <c r="I689" s="101"/>
      <c r="J689" s="101"/>
      <c r="K689" s="101"/>
      <c r="L689" s="101"/>
      <c r="M689" s="101"/>
      <c r="N689" s="101"/>
      <c r="O689" s="101"/>
      <c r="P689" s="101"/>
      <c r="Q689" s="101"/>
      <c r="R689" s="101"/>
      <c r="S689" s="101"/>
      <c r="T689" s="101"/>
      <c r="U689" s="101"/>
      <c r="V689" s="101"/>
      <c r="W689" s="101"/>
      <c r="X689" s="101"/>
      <c r="Y689" s="114"/>
      <c r="Z689" s="114"/>
      <c r="AA689" s="114"/>
      <c r="AB689" s="114"/>
      <c r="AC689" s="114"/>
      <c r="AD689" s="114"/>
      <c r="AE689" s="114"/>
      <c r="AF689" s="114"/>
      <c r="AG689" s="114"/>
      <c r="AH689" s="114"/>
      <c r="AI689" s="114"/>
      <c r="AJ689" s="114"/>
      <c r="AK689" s="114"/>
      <c r="AL689" s="114"/>
      <c r="AM689" s="114"/>
      <c r="AN689" s="114"/>
      <c r="AO689" s="114"/>
      <c r="AP689" s="114"/>
      <c r="AQ689" s="114"/>
      <c r="AR689" s="114"/>
      <c r="AS689" s="114"/>
      <c r="AT689" s="114"/>
      <c r="AU689" s="114"/>
      <c r="AV689" s="114"/>
      <c r="AW689" s="114"/>
      <c r="AX689" s="114"/>
      <c r="AY689" s="114"/>
      <c r="AZ689" s="114"/>
    </row>
    <row r="690" spans="1:52">
      <c r="A690" s="111"/>
      <c r="B690" s="111"/>
      <c r="C690" s="112"/>
      <c r="D690" s="101"/>
      <c r="E690" s="101"/>
      <c r="F690" s="101"/>
      <c r="G690" s="111"/>
      <c r="H690" s="101"/>
      <c r="I690" s="101"/>
      <c r="J690" s="101"/>
      <c r="K690" s="101"/>
      <c r="L690" s="101"/>
      <c r="M690" s="101"/>
      <c r="N690" s="101"/>
      <c r="O690" s="101"/>
      <c r="P690" s="101"/>
      <c r="Q690" s="101"/>
      <c r="R690" s="101"/>
      <c r="S690" s="101"/>
      <c r="T690" s="101"/>
      <c r="U690" s="101"/>
      <c r="V690" s="101"/>
      <c r="W690" s="101"/>
      <c r="X690" s="101"/>
      <c r="Y690" s="114"/>
      <c r="Z690" s="114"/>
      <c r="AA690" s="114"/>
      <c r="AB690" s="114"/>
      <c r="AC690" s="114"/>
      <c r="AD690" s="114"/>
      <c r="AE690" s="114"/>
      <c r="AF690" s="114"/>
      <c r="AG690" s="114"/>
      <c r="AH690" s="114"/>
      <c r="AI690" s="114"/>
      <c r="AJ690" s="114"/>
      <c r="AK690" s="114"/>
      <c r="AL690" s="114"/>
      <c r="AM690" s="114"/>
      <c r="AN690" s="114"/>
      <c r="AO690" s="114"/>
      <c r="AP690" s="114"/>
      <c r="AQ690" s="114"/>
      <c r="AR690" s="114"/>
      <c r="AS690" s="114"/>
      <c r="AT690" s="114"/>
      <c r="AU690" s="114"/>
      <c r="AV690" s="114"/>
      <c r="AW690" s="114"/>
      <c r="AX690" s="114"/>
      <c r="AY690" s="114"/>
      <c r="AZ690" s="114"/>
    </row>
    <row r="691" spans="1:52">
      <c r="A691" s="111"/>
      <c r="B691" s="111"/>
      <c r="C691" s="112"/>
      <c r="D691" s="101"/>
      <c r="E691" s="101"/>
      <c r="F691" s="101"/>
      <c r="G691" s="111"/>
      <c r="H691" s="101"/>
      <c r="I691" s="101"/>
      <c r="J691" s="101"/>
      <c r="K691" s="101"/>
      <c r="L691" s="101"/>
      <c r="M691" s="101"/>
      <c r="N691" s="101"/>
      <c r="O691" s="101"/>
      <c r="P691" s="101"/>
      <c r="Q691" s="101"/>
      <c r="R691" s="101"/>
      <c r="S691" s="101"/>
      <c r="T691" s="101"/>
      <c r="U691" s="101"/>
      <c r="V691" s="101"/>
      <c r="W691" s="101"/>
      <c r="X691" s="101"/>
      <c r="Y691" s="114"/>
      <c r="Z691" s="114"/>
      <c r="AA691" s="114"/>
      <c r="AB691" s="114"/>
      <c r="AC691" s="114"/>
      <c r="AD691" s="114"/>
      <c r="AE691" s="114"/>
      <c r="AF691" s="114"/>
      <c r="AG691" s="114"/>
      <c r="AH691" s="114"/>
      <c r="AI691" s="114"/>
      <c r="AJ691" s="114"/>
      <c r="AK691" s="114"/>
      <c r="AL691" s="114"/>
      <c r="AM691" s="114"/>
      <c r="AN691" s="114"/>
      <c r="AO691" s="114"/>
      <c r="AP691" s="114"/>
      <c r="AQ691" s="114"/>
      <c r="AR691" s="114"/>
      <c r="AS691" s="114"/>
      <c r="AT691" s="114"/>
      <c r="AU691" s="114"/>
      <c r="AV691" s="114"/>
      <c r="AW691" s="114"/>
      <c r="AX691" s="114"/>
      <c r="AY691" s="114"/>
      <c r="AZ691" s="114"/>
    </row>
    <row r="692" spans="1:52">
      <c r="A692" s="111"/>
      <c r="B692" s="111"/>
      <c r="C692" s="112"/>
      <c r="D692" s="101"/>
      <c r="E692" s="101"/>
      <c r="F692" s="101"/>
      <c r="G692" s="111"/>
      <c r="H692" s="101"/>
      <c r="I692" s="101"/>
      <c r="J692" s="101"/>
      <c r="K692" s="101"/>
      <c r="L692" s="101"/>
      <c r="M692" s="101"/>
      <c r="N692" s="101"/>
      <c r="O692" s="101"/>
      <c r="P692" s="101"/>
      <c r="Q692" s="101"/>
      <c r="R692" s="101"/>
      <c r="S692" s="101"/>
      <c r="T692" s="101"/>
      <c r="U692" s="101"/>
      <c r="V692" s="101"/>
      <c r="W692" s="101"/>
      <c r="X692" s="101"/>
      <c r="Y692" s="114"/>
      <c r="Z692" s="114"/>
      <c r="AA692" s="114"/>
      <c r="AB692" s="114"/>
      <c r="AC692" s="114"/>
      <c r="AD692" s="114"/>
      <c r="AE692" s="114"/>
      <c r="AF692" s="114"/>
      <c r="AG692" s="114"/>
      <c r="AH692" s="114"/>
      <c r="AI692" s="114"/>
      <c r="AJ692" s="114"/>
      <c r="AK692" s="114"/>
      <c r="AL692" s="114"/>
      <c r="AM692" s="114"/>
      <c r="AN692" s="114"/>
      <c r="AO692" s="114"/>
      <c r="AP692" s="114"/>
      <c r="AQ692" s="114"/>
      <c r="AR692" s="114"/>
      <c r="AS692" s="114"/>
      <c r="AT692" s="114"/>
      <c r="AU692" s="114"/>
      <c r="AV692" s="114"/>
      <c r="AW692" s="114"/>
      <c r="AX692" s="114"/>
      <c r="AY692" s="114"/>
      <c r="AZ692" s="114"/>
    </row>
    <row r="693" spans="1:52">
      <c r="A693" s="111"/>
      <c r="B693" s="111"/>
      <c r="C693" s="112"/>
      <c r="D693" s="101"/>
      <c r="E693" s="101"/>
      <c r="F693" s="101"/>
      <c r="G693" s="111"/>
      <c r="H693" s="101"/>
      <c r="I693" s="101"/>
      <c r="J693" s="101"/>
      <c r="K693" s="101"/>
      <c r="L693" s="101"/>
      <c r="M693" s="101"/>
      <c r="N693" s="101"/>
      <c r="O693" s="101"/>
      <c r="P693" s="101"/>
      <c r="Q693" s="101"/>
      <c r="R693" s="101"/>
      <c r="S693" s="101"/>
      <c r="T693" s="101"/>
      <c r="U693" s="101"/>
      <c r="V693" s="101"/>
      <c r="W693" s="101"/>
      <c r="X693" s="101"/>
      <c r="Y693" s="114"/>
      <c r="Z693" s="114"/>
      <c r="AA693" s="114"/>
      <c r="AB693" s="114"/>
      <c r="AC693" s="114"/>
      <c r="AD693" s="114"/>
      <c r="AE693" s="114"/>
      <c r="AF693" s="114"/>
      <c r="AG693" s="114"/>
      <c r="AH693" s="114"/>
      <c r="AI693" s="114"/>
      <c r="AJ693" s="114"/>
      <c r="AK693" s="114"/>
      <c r="AL693" s="114"/>
      <c r="AM693" s="114"/>
      <c r="AN693" s="114"/>
      <c r="AO693" s="114"/>
      <c r="AP693" s="114"/>
      <c r="AQ693" s="114"/>
      <c r="AR693" s="114"/>
      <c r="AS693" s="114"/>
      <c r="AT693" s="114"/>
      <c r="AU693" s="114"/>
      <c r="AV693" s="114"/>
      <c r="AW693" s="114"/>
      <c r="AX693" s="114"/>
      <c r="AY693" s="114"/>
      <c r="AZ693" s="114"/>
    </row>
    <row r="694" spans="1:52">
      <c r="A694" s="111"/>
      <c r="B694" s="111"/>
      <c r="C694" s="112"/>
      <c r="D694" s="101"/>
      <c r="E694" s="101"/>
      <c r="F694" s="101"/>
      <c r="G694" s="111"/>
      <c r="H694" s="101"/>
      <c r="I694" s="101"/>
      <c r="J694" s="101"/>
      <c r="K694" s="101"/>
      <c r="L694" s="101"/>
      <c r="M694" s="101"/>
      <c r="N694" s="101"/>
      <c r="O694" s="101"/>
      <c r="P694" s="101"/>
      <c r="Q694" s="101"/>
      <c r="R694" s="101"/>
      <c r="S694" s="101"/>
      <c r="T694" s="101"/>
      <c r="U694" s="101"/>
      <c r="V694" s="101"/>
      <c r="W694" s="101"/>
      <c r="X694" s="101"/>
      <c r="Y694" s="114"/>
      <c r="Z694" s="114"/>
      <c r="AA694" s="114"/>
      <c r="AB694" s="114"/>
      <c r="AC694" s="114"/>
      <c r="AD694" s="114"/>
      <c r="AE694" s="114"/>
      <c r="AF694" s="114"/>
      <c r="AG694" s="114"/>
      <c r="AH694" s="114"/>
      <c r="AI694" s="114"/>
      <c r="AJ694" s="114"/>
      <c r="AK694" s="114"/>
      <c r="AL694" s="114"/>
      <c r="AM694" s="114"/>
      <c r="AN694" s="114"/>
      <c r="AO694" s="114"/>
      <c r="AP694" s="114"/>
      <c r="AQ694" s="114"/>
      <c r="AR694" s="114"/>
      <c r="AS694" s="114"/>
      <c r="AT694" s="114"/>
      <c r="AU694" s="114"/>
      <c r="AV694" s="114"/>
      <c r="AW694" s="114"/>
      <c r="AX694" s="114"/>
      <c r="AY694" s="114"/>
      <c r="AZ694" s="114"/>
    </row>
    <row r="695" spans="1:52">
      <c r="A695" s="111"/>
      <c r="B695" s="111"/>
      <c r="C695" s="112"/>
      <c r="D695" s="101"/>
      <c r="E695" s="101"/>
      <c r="F695" s="101"/>
      <c r="G695" s="111"/>
      <c r="H695" s="101"/>
      <c r="I695" s="101"/>
      <c r="J695" s="101"/>
      <c r="K695" s="101"/>
      <c r="L695" s="101"/>
      <c r="M695" s="101"/>
      <c r="N695" s="101"/>
      <c r="O695" s="101"/>
      <c r="P695" s="101"/>
      <c r="Q695" s="101"/>
      <c r="R695" s="101"/>
      <c r="S695" s="101"/>
      <c r="T695" s="101"/>
      <c r="U695" s="101"/>
      <c r="V695" s="101"/>
      <c r="W695" s="101"/>
      <c r="X695" s="101"/>
      <c r="Y695" s="114"/>
      <c r="Z695" s="114"/>
      <c r="AA695" s="114"/>
      <c r="AB695" s="114"/>
      <c r="AC695" s="114"/>
      <c r="AD695" s="114"/>
      <c r="AE695" s="114"/>
      <c r="AF695" s="114"/>
      <c r="AG695" s="114"/>
      <c r="AH695" s="114"/>
      <c r="AI695" s="114"/>
      <c r="AJ695" s="114"/>
      <c r="AK695" s="114"/>
      <c r="AL695" s="114"/>
      <c r="AM695" s="114"/>
      <c r="AN695" s="114"/>
      <c r="AO695" s="114"/>
      <c r="AP695" s="114"/>
      <c r="AQ695" s="114"/>
      <c r="AR695" s="114"/>
      <c r="AS695" s="114"/>
      <c r="AT695" s="114"/>
      <c r="AU695" s="114"/>
      <c r="AV695" s="114"/>
      <c r="AW695" s="114"/>
      <c r="AX695" s="114"/>
      <c r="AY695" s="114"/>
      <c r="AZ695" s="114"/>
    </row>
    <row r="696" spans="1:52">
      <c r="A696" s="111"/>
      <c r="B696" s="111"/>
      <c r="C696" s="112"/>
      <c r="D696" s="101"/>
      <c r="E696" s="101"/>
      <c r="F696" s="101"/>
      <c r="G696" s="111"/>
      <c r="H696" s="101"/>
      <c r="I696" s="101"/>
      <c r="J696" s="101"/>
      <c r="K696" s="101"/>
      <c r="L696" s="101"/>
      <c r="M696" s="101"/>
      <c r="N696" s="101"/>
      <c r="O696" s="101"/>
      <c r="P696" s="101"/>
      <c r="Q696" s="101"/>
      <c r="R696" s="101"/>
      <c r="S696" s="101"/>
      <c r="T696" s="101"/>
      <c r="U696" s="101"/>
      <c r="V696" s="101"/>
      <c r="W696" s="101"/>
      <c r="X696" s="101"/>
      <c r="Y696" s="114"/>
      <c r="Z696" s="114"/>
      <c r="AA696" s="114"/>
      <c r="AB696" s="114"/>
      <c r="AC696" s="114"/>
      <c r="AD696" s="114"/>
      <c r="AE696" s="114"/>
      <c r="AF696" s="114"/>
      <c r="AG696" s="114"/>
      <c r="AH696" s="114"/>
      <c r="AI696" s="114"/>
      <c r="AJ696" s="114"/>
      <c r="AK696" s="114"/>
      <c r="AL696" s="114"/>
      <c r="AM696" s="114"/>
      <c r="AN696" s="114"/>
      <c r="AO696" s="114"/>
      <c r="AP696" s="114"/>
      <c r="AQ696" s="114"/>
      <c r="AR696" s="114"/>
      <c r="AS696" s="114"/>
      <c r="AT696" s="114"/>
      <c r="AU696" s="114"/>
      <c r="AV696" s="114"/>
      <c r="AW696" s="114"/>
      <c r="AX696" s="114"/>
      <c r="AY696" s="114"/>
      <c r="AZ696" s="114"/>
    </row>
    <row r="697" spans="1:52">
      <c r="A697" s="111"/>
      <c r="B697" s="111"/>
      <c r="C697" s="112"/>
      <c r="D697" s="101"/>
      <c r="E697" s="101"/>
      <c r="F697" s="101"/>
      <c r="G697" s="111"/>
      <c r="H697" s="101"/>
      <c r="I697" s="101"/>
      <c r="J697" s="101"/>
      <c r="K697" s="101"/>
      <c r="L697" s="101"/>
      <c r="M697" s="101"/>
      <c r="N697" s="101"/>
      <c r="O697" s="101"/>
      <c r="P697" s="101"/>
      <c r="Q697" s="101"/>
      <c r="R697" s="101"/>
      <c r="S697" s="101"/>
      <c r="T697" s="101"/>
      <c r="U697" s="101"/>
      <c r="V697" s="101"/>
      <c r="W697" s="101"/>
      <c r="X697" s="101"/>
      <c r="Y697" s="114"/>
      <c r="Z697" s="114"/>
      <c r="AA697" s="114"/>
      <c r="AB697" s="114"/>
      <c r="AC697" s="114"/>
      <c r="AD697" s="114"/>
      <c r="AE697" s="114"/>
      <c r="AF697" s="114"/>
      <c r="AG697" s="114"/>
      <c r="AH697" s="114"/>
      <c r="AI697" s="114"/>
      <c r="AJ697" s="114"/>
      <c r="AK697" s="114"/>
      <c r="AL697" s="114"/>
      <c r="AM697" s="114"/>
      <c r="AN697" s="114"/>
      <c r="AO697" s="114"/>
      <c r="AP697" s="114"/>
      <c r="AQ697" s="114"/>
      <c r="AR697" s="114"/>
      <c r="AS697" s="114"/>
      <c r="AT697" s="114"/>
      <c r="AU697" s="114"/>
      <c r="AV697" s="114"/>
      <c r="AW697" s="114"/>
      <c r="AX697" s="114"/>
      <c r="AY697" s="114"/>
      <c r="AZ697" s="114"/>
    </row>
    <row r="698" spans="1:52">
      <c r="A698" s="111"/>
      <c r="B698" s="111"/>
      <c r="C698" s="112"/>
      <c r="D698" s="101"/>
      <c r="E698" s="101"/>
      <c r="F698" s="101"/>
      <c r="G698" s="111"/>
      <c r="H698" s="101"/>
      <c r="I698" s="101"/>
      <c r="J698" s="101"/>
      <c r="K698" s="101"/>
      <c r="L698" s="101"/>
      <c r="M698" s="101"/>
      <c r="N698" s="101"/>
      <c r="O698" s="101"/>
      <c r="P698" s="101"/>
      <c r="Q698" s="101"/>
      <c r="R698" s="101"/>
      <c r="S698" s="101"/>
      <c r="T698" s="101"/>
      <c r="U698" s="101"/>
      <c r="V698" s="101"/>
      <c r="W698" s="101"/>
      <c r="X698" s="101"/>
      <c r="Y698" s="114"/>
      <c r="Z698" s="114"/>
      <c r="AA698" s="114"/>
      <c r="AB698" s="114"/>
      <c r="AC698" s="114"/>
      <c r="AD698" s="114"/>
      <c r="AE698" s="114"/>
      <c r="AF698" s="114"/>
      <c r="AG698" s="114"/>
      <c r="AH698" s="114"/>
      <c r="AI698" s="114"/>
      <c r="AJ698" s="114"/>
      <c r="AK698" s="114"/>
      <c r="AL698" s="114"/>
      <c r="AM698" s="114"/>
      <c r="AN698" s="114"/>
      <c r="AO698" s="114"/>
      <c r="AP698" s="114"/>
      <c r="AQ698" s="114"/>
      <c r="AR698" s="114"/>
      <c r="AS698" s="114"/>
      <c r="AT698" s="114"/>
      <c r="AU698" s="114"/>
      <c r="AV698" s="114"/>
      <c r="AW698" s="114"/>
      <c r="AX698" s="114"/>
      <c r="AY698" s="114"/>
      <c r="AZ698" s="114"/>
    </row>
    <row r="699" spans="1:52">
      <c r="A699" s="111"/>
      <c r="B699" s="111"/>
      <c r="C699" s="112"/>
      <c r="D699" s="101"/>
      <c r="E699" s="101"/>
      <c r="F699" s="101"/>
      <c r="G699" s="111"/>
      <c r="H699" s="101"/>
      <c r="I699" s="101"/>
      <c r="J699" s="101"/>
      <c r="K699" s="101"/>
      <c r="L699" s="101"/>
      <c r="M699" s="101"/>
      <c r="N699" s="101"/>
      <c r="O699" s="101"/>
      <c r="P699" s="101"/>
      <c r="Q699" s="101"/>
      <c r="R699" s="101"/>
      <c r="S699" s="101"/>
      <c r="T699" s="101"/>
      <c r="U699" s="101"/>
      <c r="V699" s="101"/>
      <c r="W699" s="101"/>
      <c r="X699" s="101"/>
      <c r="Y699" s="114"/>
      <c r="Z699" s="114"/>
      <c r="AA699" s="114"/>
      <c r="AB699" s="114"/>
      <c r="AC699" s="114"/>
      <c r="AD699" s="114"/>
      <c r="AE699" s="114"/>
      <c r="AF699" s="114"/>
      <c r="AG699" s="114"/>
      <c r="AH699" s="114"/>
      <c r="AI699" s="114"/>
      <c r="AJ699" s="114"/>
      <c r="AK699" s="114"/>
      <c r="AL699" s="114"/>
      <c r="AM699" s="114"/>
      <c r="AN699" s="114"/>
      <c r="AO699" s="114"/>
      <c r="AP699" s="114"/>
      <c r="AQ699" s="114"/>
      <c r="AR699" s="114"/>
      <c r="AS699" s="114"/>
      <c r="AT699" s="114"/>
      <c r="AU699" s="114"/>
      <c r="AV699" s="114"/>
      <c r="AW699" s="114"/>
      <c r="AX699" s="114"/>
      <c r="AY699" s="114"/>
      <c r="AZ699" s="114"/>
    </row>
    <row r="700" spans="1:52">
      <c r="A700" s="111"/>
      <c r="B700" s="111"/>
      <c r="C700" s="112"/>
      <c r="D700" s="101"/>
      <c r="E700" s="101"/>
      <c r="F700" s="101"/>
      <c r="G700" s="111"/>
      <c r="H700" s="101"/>
      <c r="I700" s="101"/>
      <c r="J700" s="101"/>
      <c r="K700" s="101"/>
      <c r="L700" s="101"/>
      <c r="M700" s="101"/>
      <c r="N700" s="101"/>
      <c r="O700" s="101"/>
      <c r="P700" s="101"/>
      <c r="Q700" s="101"/>
      <c r="R700" s="101"/>
      <c r="S700" s="101"/>
      <c r="T700" s="101"/>
      <c r="U700" s="101"/>
      <c r="V700" s="101"/>
      <c r="W700" s="101"/>
      <c r="X700" s="101"/>
      <c r="Y700" s="114"/>
      <c r="Z700" s="114"/>
      <c r="AA700" s="114"/>
      <c r="AB700" s="114"/>
      <c r="AC700" s="114"/>
      <c r="AD700" s="114"/>
      <c r="AE700" s="114"/>
      <c r="AF700" s="114"/>
      <c r="AG700" s="114"/>
      <c r="AH700" s="114"/>
      <c r="AI700" s="114"/>
      <c r="AJ700" s="114"/>
      <c r="AK700" s="114"/>
      <c r="AL700" s="114"/>
      <c r="AM700" s="114"/>
      <c r="AN700" s="114"/>
      <c r="AO700" s="114"/>
      <c r="AP700" s="114"/>
      <c r="AQ700" s="114"/>
      <c r="AR700" s="114"/>
      <c r="AS700" s="114"/>
      <c r="AT700" s="114"/>
      <c r="AU700" s="114"/>
      <c r="AV700" s="114"/>
      <c r="AW700" s="114"/>
      <c r="AX700" s="114"/>
      <c r="AY700" s="114"/>
      <c r="AZ700" s="114"/>
    </row>
    <row r="701" spans="1:52">
      <c r="A701" s="111"/>
      <c r="B701" s="111"/>
      <c r="C701" s="112"/>
      <c r="D701" s="101"/>
      <c r="E701" s="101"/>
      <c r="F701" s="101"/>
      <c r="G701" s="111"/>
      <c r="H701" s="101"/>
      <c r="I701" s="101"/>
      <c r="J701" s="101"/>
      <c r="K701" s="101"/>
      <c r="L701" s="101"/>
      <c r="M701" s="101"/>
      <c r="N701" s="101"/>
      <c r="O701" s="101"/>
      <c r="P701" s="101"/>
      <c r="Q701" s="101"/>
      <c r="R701" s="101"/>
      <c r="S701" s="101"/>
      <c r="T701" s="101"/>
      <c r="U701" s="101"/>
      <c r="V701" s="101"/>
      <c r="W701" s="101"/>
      <c r="X701" s="101"/>
      <c r="Y701" s="114"/>
      <c r="Z701" s="114"/>
      <c r="AA701" s="114"/>
      <c r="AB701" s="114"/>
      <c r="AC701" s="114"/>
      <c r="AD701" s="114"/>
      <c r="AE701" s="114"/>
      <c r="AF701" s="114"/>
      <c r="AG701" s="114"/>
      <c r="AH701" s="114"/>
      <c r="AI701" s="114"/>
      <c r="AJ701" s="114"/>
      <c r="AK701" s="114"/>
      <c r="AL701" s="114"/>
      <c r="AM701" s="114"/>
      <c r="AN701" s="114"/>
      <c r="AO701" s="114"/>
      <c r="AP701" s="114"/>
      <c r="AQ701" s="114"/>
      <c r="AR701" s="114"/>
      <c r="AS701" s="114"/>
      <c r="AT701" s="114"/>
      <c r="AU701" s="114"/>
      <c r="AV701" s="114"/>
      <c r="AW701" s="114"/>
      <c r="AX701" s="114"/>
      <c r="AY701" s="114"/>
      <c r="AZ701" s="114"/>
    </row>
    <row r="702" spans="1:52">
      <c r="A702" s="111"/>
      <c r="B702" s="111"/>
      <c r="C702" s="112"/>
      <c r="D702" s="101"/>
      <c r="E702" s="101"/>
      <c r="F702" s="101"/>
      <c r="G702" s="111"/>
      <c r="H702" s="101"/>
      <c r="I702" s="101"/>
      <c r="J702" s="101"/>
      <c r="K702" s="101"/>
      <c r="L702" s="101"/>
      <c r="M702" s="101"/>
      <c r="N702" s="101"/>
      <c r="O702" s="101"/>
      <c r="P702" s="101"/>
      <c r="Q702" s="101"/>
      <c r="R702" s="101"/>
      <c r="S702" s="101"/>
      <c r="T702" s="101"/>
      <c r="U702" s="101"/>
      <c r="V702" s="101"/>
      <c r="W702" s="101"/>
      <c r="X702" s="101"/>
      <c r="Y702" s="114"/>
      <c r="Z702" s="114"/>
      <c r="AA702" s="114"/>
      <c r="AB702" s="114"/>
      <c r="AC702" s="114"/>
      <c r="AD702" s="114"/>
      <c r="AE702" s="114"/>
      <c r="AF702" s="114"/>
      <c r="AG702" s="114"/>
      <c r="AH702" s="114"/>
      <c r="AI702" s="114"/>
      <c r="AJ702" s="114"/>
      <c r="AK702" s="114"/>
      <c r="AL702" s="114"/>
      <c r="AM702" s="114"/>
      <c r="AN702" s="114"/>
      <c r="AO702" s="114"/>
      <c r="AP702" s="114"/>
      <c r="AQ702" s="114"/>
      <c r="AR702" s="114"/>
      <c r="AS702" s="114"/>
      <c r="AT702" s="114"/>
      <c r="AU702" s="114"/>
      <c r="AV702" s="114"/>
      <c r="AW702" s="114"/>
      <c r="AX702" s="114"/>
      <c r="AY702" s="114"/>
      <c r="AZ702" s="114"/>
    </row>
    <row r="703" spans="1:52">
      <c r="A703" s="111"/>
      <c r="B703" s="111"/>
      <c r="C703" s="112"/>
      <c r="D703" s="101"/>
      <c r="E703" s="101"/>
      <c r="F703" s="101"/>
      <c r="G703" s="111"/>
      <c r="H703" s="101"/>
      <c r="I703" s="101"/>
      <c r="J703" s="101"/>
      <c r="K703" s="101"/>
      <c r="L703" s="101"/>
      <c r="M703" s="101"/>
      <c r="N703" s="101"/>
      <c r="O703" s="101"/>
      <c r="P703" s="101"/>
      <c r="Q703" s="101"/>
      <c r="R703" s="101"/>
      <c r="S703" s="101"/>
      <c r="T703" s="101"/>
      <c r="U703" s="101"/>
      <c r="V703" s="101"/>
      <c r="W703" s="101"/>
      <c r="X703" s="101"/>
      <c r="Y703" s="114"/>
      <c r="Z703" s="114"/>
      <c r="AA703" s="114"/>
      <c r="AB703" s="114"/>
      <c r="AC703" s="114"/>
      <c r="AD703" s="114"/>
      <c r="AE703" s="114"/>
      <c r="AF703" s="114"/>
      <c r="AG703" s="114"/>
      <c r="AH703" s="114"/>
      <c r="AI703" s="114"/>
      <c r="AJ703" s="114"/>
      <c r="AK703" s="114"/>
      <c r="AL703" s="114"/>
      <c r="AM703" s="114"/>
      <c r="AN703" s="114"/>
      <c r="AO703" s="114"/>
      <c r="AP703" s="114"/>
      <c r="AQ703" s="114"/>
      <c r="AR703" s="114"/>
      <c r="AS703" s="114"/>
      <c r="AT703" s="114"/>
      <c r="AU703" s="114"/>
      <c r="AV703" s="114"/>
      <c r="AW703" s="114"/>
      <c r="AX703" s="114"/>
      <c r="AY703" s="114"/>
      <c r="AZ703" s="114"/>
    </row>
    <row r="704" spans="1:52">
      <c r="A704" s="111"/>
      <c r="B704" s="111"/>
      <c r="C704" s="112"/>
      <c r="D704" s="101"/>
      <c r="E704" s="101"/>
      <c r="F704" s="101"/>
      <c r="G704" s="111"/>
      <c r="H704" s="101"/>
      <c r="I704" s="101"/>
      <c r="J704" s="101"/>
      <c r="K704" s="101"/>
      <c r="L704" s="101"/>
      <c r="M704" s="101"/>
      <c r="N704" s="101"/>
      <c r="O704" s="101"/>
      <c r="P704" s="101"/>
      <c r="Q704" s="101"/>
      <c r="R704" s="101"/>
      <c r="S704" s="101"/>
      <c r="T704" s="101"/>
      <c r="U704" s="101"/>
      <c r="V704" s="101"/>
      <c r="W704" s="101"/>
      <c r="X704" s="101"/>
      <c r="Y704" s="114"/>
      <c r="Z704" s="114"/>
      <c r="AA704" s="114"/>
      <c r="AB704" s="114"/>
      <c r="AC704" s="114"/>
      <c r="AD704" s="114"/>
      <c r="AE704" s="114"/>
      <c r="AF704" s="114"/>
      <c r="AG704" s="114"/>
      <c r="AH704" s="114"/>
      <c r="AI704" s="114"/>
      <c r="AJ704" s="114"/>
      <c r="AK704" s="114"/>
      <c r="AL704" s="114"/>
      <c r="AM704" s="114"/>
      <c r="AN704" s="114"/>
      <c r="AO704" s="114"/>
      <c r="AP704" s="114"/>
      <c r="AQ704" s="114"/>
      <c r="AR704" s="114"/>
      <c r="AS704" s="114"/>
      <c r="AT704" s="114"/>
      <c r="AU704" s="114"/>
      <c r="AV704" s="114"/>
      <c r="AW704" s="114"/>
      <c r="AX704" s="114"/>
      <c r="AY704" s="114"/>
      <c r="AZ704" s="114"/>
    </row>
    <row r="705" spans="1:52">
      <c r="A705" s="111"/>
      <c r="B705" s="111"/>
      <c r="C705" s="112"/>
      <c r="D705" s="101"/>
      <c r="E705" s="101"/>
      <c r="F705" s="101"/>
      <c r="G705" s="111"/>
      <c r="H705" s="101"/>
      <c r="I705" s="101"/>
      <c r="J705" s="101"/>
      <c r="K705" s="101"/>
      <c r="L705" s="101"/>
      <c r="M705" s="101"/>
      <c r="N705" s="101"/>
      <c r="O705" s="101"/>
      <c r="P705" s="101"/>
      <c r="Q705" s="101"/>
      <c r="R705" s="101"/>
      <c r="S705" s="101"/>
      <c r="T705" s="101"/>
      <c r="U705" s="101"/>
      <c r="V705" s="101"/>
      <c r="W705" s="101"/>
      <c r="X705" s="101"/>
      <c r="Y705" s="114"/>
      <c r="Z705" s="114"/>
      <c r="AA705" s="114"/>
      <c r="AB705" s="114"/>
      <c r="AC705" s="114"/>
      <c r="AD705" s="114"/>
      <c r="AE705" s="114"/>
      <c r="AF705" s="114"/>
      <c r="AG705" s="114"/>
      <c r="AH705" s="114"/>
      <c r="AI705" s="114"/>
      <c r="AJ705" s="114"/>
      <c r="AK705" s="114"/>
      <c r="AL705" s="114"/>
      <c r="AM705" s="114"/>
      <c r="AN705" s="114"/>
      <c r="AO705" s="114"/>
      <c r="AP705" s="114"/>
      <c r="AQ705" s="114"/>
      <c r="AR705" s="114"/>
      <c r="AS705" s="114"/>
      <c r="AT705" s="114"/>
      <c r="AU705" s="114"/>
      <c r="AV705" s="114"/>
      <c r="AW705" s="114"/>
      <c r="AX705" s="114"/>
      <c r="AY705" s="114"/>
      <c r="AZ705" s="114"/>
    </row>
    <row r="706" spans="1:52">
      <c r="A706" s="111"/>
      <c r="B706" s="111"/>
      <c r="C706" s="112"/>
      <c r="D706" s="101"/>
      <c r="E706" s="101"/>
      <c r="F706" s="101"/>
      <c r="G706" s="111"/>
      <c r="H706" s="101"/>
      <c r="I706" s="101"/>
      <c r="J706" s="101"/>
      <c r="K706" s="101"/>
      <c r="L706" s="101"/>
      <c r="M706" s="101"/>
      <c r="N706" s="101"/>
      <c r="O706" s="101"/>
      <c r="P706" s="101"/>
      <c r="Q706" s="101"/>
      <c r="R706" s="101"/>
      <c r="S706" s="101"/>
      <c r="T706" s="101"/>
      <c r="U706" s="101"/>
      <c r="V706" s="101"/>
      <c r="W706" s="101"/>
      <c r="X706" s="101"/>
      <c r="Y706" s="114"/>
      <c r="Z706" s="114"/>
      <c r="AA706" s="114"/>
      <c r="AB706" s="114"/>
      <c r="AC706" s="114"/>
      <c r="AD706" s="114"/>
      <c r="AE706" s="114"/>
      <c r="AF706" s="114"/>
      <c r="AG706" s="114"/>
      <c r="AH706" s="114"/>
      <c r="AI706" s="114"/>
      <c r="AJ706" s="114"/>
      <c r="AK706" s="114"/>
      <c r="AL706" s="114"/>
      <c r="AM706" s="114"/>
      <c r="AN706" s="114"/>
      <c r="AO706" s="114"/>
      <c r="AP706" s="114"/>
      <c r="AQ706" s="114"/>
      <c r="AR706" s="114"/>
      <c r="AS706" s="114"/>
      <c r="AT706" s="114"/>
      <c r="AU706" s="114"/>
      <c r="AV706" s="114"/>
      <c r="AW706" s="114"/>
      <c r="AX706" s="114"/>
      <c r="AY706" s="114"/>
      <c r="AZ706" s="114"/>
    </row>
    <row r="707" spans="1:52">
      <c r="A707" s="111"/>
      <c r="B707" s="111"/>
      <c r="C707" s="112"/>
      <c r="D707" s="101"/>
      <c r="E707" s="101"/>
      <c r="F707" s="101"/>
      <c r="G707" s="111"/>
      <c r="H707" s="101"/>
      <c r="I707" s="101"/>
      <c r="J707" s="101"/>
      <c r="K707" s="101"/>
      <c r="L707" s="101"/>
      <c r="M707" s="101"/>
      <c r="N707" s="101"/>
      <c r="O707" s="101"/>
      <c r="P707" s="101"/>
      <c r="Q707" s="101"/>
      <c r="R707" s="101"/>
      <c r="S707" s="101"/>
      <c r="T707" s="101"/>
      <c r="U707" s="101"/>
      <c r="V707" s="101"/>
      <c r="W707" s="101"/>
      <c r="X707" s="101"/>
      <c r="Y707" s="114"/>
      <c r="Z707" s="114"/>
      <c r="AA707" s="114"/>
      <c r="AB707" s="114"/>
      <c r="AC707" s="114"/>
      <c r="AD707" s="114"/>
      <c r="AE707" s="114"/>
      <c r="AF707" s="114"/>
      <c r="AG707" s="114"/>
      <c r="AH707" s="114"/>
      <c r="AI707" s="114"/>
      <c r="AJ707" s="114"/>
      <c r="AK707" s="114"/>
      <c r="AL707" s="114"/>
      <c r="AM707" s="114"/>
      <c r="AN707" s="114"/>
      <c r="AO707" s="114"/>
      <c r="AP707" s="114"/>
      <c r="AQ707" s="114"/>
      <c r="AR707" s="114"/>
      <c r="AS707" s="114"/>
      <c r="AT707" s="114"/>
      <c r="AU707" s="114"/>
      <c r="AV707" s="114"/>
      <c r="AW707" s="114"/>
      <c r="AX707" s="114"/>
      <c r="AY707" s="114"/>
      <c r="AZ707" s="114"/>
    </row>
    <row r="708" spans="1:52">
      <c r="A708" s="111"/>
      <c r="B708" s="111"/>
      <c r="C708" s="112"/>
      <c r="D708" s="101"/>
      <c r="E708" s="101"/>
      <c r="F708" s="101"/>
      <c r="G708" s="111"/>
      <c r="H708" s="101"/>
      <c r="I708" s="101"/>
      <c r="J708" s="101"/>
      <c r="K708" s="101"/>
      <c r="L708" s="101"/>
      <c r="M708" s="101"/>
      <c r="N708" s="101"/>
      <c r="O708" s="101"/>
      <c r="P708" s="101"/>
      <c r="Q708" s="101"/>
      <c r="R708" s="101"/>
      <c r="S708" s="101"/>
      <c r="T708" s="101"/>
      <c r="U708" s="101"/>
      <c r="V708" s="101"/>
      <c r="W708" s="101"/>
      <c r="X708" s="101"/>
      <c r="Y708" s="114"/>
      <c r="Z708" s="114"/>
      <c r="AA708" s="114"/>
      <c r="AB708" s="114"/>
      <c r="AC708" s="114"/>
      <c r="AD708" s="114"/>
      <c r="AE708" s="114"/>
      <c r="AF708" s="114"/>
      <c r="AG708" s="114"/>
      <c r="AH708" s="114"/>
      <c r="AI708" s="114"/>
      <c r="AJ708" s="114"/>
      <c r="AK708" s="114"/>
      <c r="AL708" s="114"/>
      <c r="AM708" s="114"/>
      <c r="AN708" s="114"/>
      <c r="AO708" s="114"/>
      <c r="AP708" s="114"/>
      <c r="AQ708" s="114"/>
      <c r="AR708" s="114"/>
      <c r="AS708" s="114"/>
      <c r="AT708" s="114"/>
      <c r="AU708" s="114"/>
      <c r="AV708" s="114"/>
      <c r="AW708" s="114"/>
      <c r="AX708" s="114"/>
      <c r="AY708" s="114"/>
      <c r="AZ708" s="114"/>
    </row>
    <row r="709" spans="1:52">
      <c r="A709" s="111"/>
      <c r="B709" s="111"/>
      <c r="C709" s="112"/>
      <c r="D709" s="101"/>
      <c r="E709" s="101"/>
      <c r="F709" s="101"/>
      <c r="G709" s="111"/>
      <c r="H709" s="101"/>
      <c r="I709" s="101"/>
      <c r="J709" s="101"/>
      <c r="K709" s="101"/>
      <c r="L709" s="101"/>
      <c r="M709" s="101"/>
      <c r="N709" s="101"/>
      <c r="O709" s="101"/>
      <c r="P709" s="101"/>
      <c r="Q709" s="101"/>
      <c r="R709" s="101"/>
      <c r="S709" s="101"/>
      <c r="T709" s="101"/>
      <c r="U709" s="101"/>
      <c r="V709" s="101"/>
      <c r="W709" s="101"/>
      <c r="X709" s="101"/>
      <c r="Y709" s="114"/>
      <c r="Z709" s="114"/>
      <c r="AA709" s="114"/>
      <c r="AB709" s="114"/>
      <c r="AC709" s="114"/>
      <c r="AD709" s="114"/>
      <c r="AE709" s="114"/>
      <c r="AF709" s="114"/>
      <c r="AG709" s="114"/>
      <c r="AH709" s="114"/>
      <c r="AI709" s="114"/>
      <c r="AJ709" s="114"/>
      <c r="AK709" s="114"/>
      <c r="AL709" s="114"/>
      <c r="AM709" s="114"/>
      <c r="AN709" s="114"/>
      <c r="AO709" s="114"/>
      <c r="AP709" s="114"/>
      <c r="AQ709" s="114"/>
      <c r="AR709" s="114"/>
      <c r="AS709" s="114"/>
      <c r="AT709" s="114"/>
      <c r="AU709" s="114"/>
      <c r="AV709" s="114"/>
      <c r="AW709" s="114"/>
      <c r="AX709" s="114"/>
      <c r="AY709" s="114"/>
      <c r="AZ709" s="114"/>
    </row>
    <row r="710" spans="1:52">
      <c r="A710" s="111"/>
      <c r="B710" s="111"/>
      <c r="C710" s="112"/>
      <c r="D710" s="101"/>
      <c r="E710" s="101"/>
      <c r="F710" s="101"/>
      <c r="G710" s="111"/>
      <c r="H710" s="101"/>
      <c r="I710" s="101"/>
      <c r="J710" s="101"/>
      <c r="K710" s="101"/>
      <c r="L710" s="101"/>
      <c r="M710" s="101"/>
      <c r="N710" s="101"/>
      <c r="O710" s="101"/>
      <c r="P710" s="101"/>
      <c r="Q710" s="101"/>
      <c r="R710" s="101"/>
      <c r="S710" s="101"/>
      <c r="T710" s="101"/>
      <c r="U710" s="101"/>
      <c r="V710" s="101"/>
      <c r="W710" s="101"/>
      <c r="X710" s="101"/>
      <c r="Y710" s="114"/>
      <c r="Z710" s="114"/>
      <c r="AA710" s="114"/>
      <c r="AB710" s="114"/>
      <c r="AC710" s="114"/>
      <c r="AD710" s="114"/>
      <c r="AE710" s="114"/>
      <c r="AF710" s="114"/>
      <c r="AG710" s="114"/>
      <c r="AH710" s="114"/>
      <c r="AI710" s="114"/>
      <c r="AJ710" s="114"/>
      <c r="AK710" s="114"/>
      <c r="AL710" s="114"/>
      <c r="AM710" s="114"/>
      <c r="AN710" s="114"/>
      <c r="AO710" s="114"/>
      <c r="AP710" s="114"/>
      <c r="AQ710" s="114"/>
      <c r="AR710" s="114"/>
      <c r="AS710" s="114"/>
      <c r="AT710" s="114"/>
      <c r="AU710" s="114"/>
      <c r="AV710" s="114"/>
      <c r="AW710" s="114"/>
      <c r="AX710" s="114"/>
      <c r="AY710" s="114"/>
      <c r="AZ710" s="114"/>
    </row>
    <row r="711" spans="1:52">
      <c r="A711" s="111"/>
      <c r="B711" s="111"/>
      <c r="C711" s="112"/>
      <c r="D711" s="101"/>
      <c r="E711" s="101"/>
      <c r="F711" s="101"/>
      <c r="G711" s="111"/>
      <c r="H711" s="101"/>
      <c r="I711" s="101"/>
      <c r="J711" s="101"/>
      <c r="K711" s="101"/>
      <c r="L711" s="101"/>
      <c r="M711" s="101"/>
      <c r="N711" s="101"/>
      <c r="O711" s="101"/>
      <c r="P711" s="101"/>
      <c r="Q711" s="101"/>
      <c r="R711" s="101"/>
      <c r="S711" s="101"/>
      <c r="T711" s="101"/>
      <c r="U711" s="101"/>
      <c r="V711" s="101"/>
      <c r="W711" s="101"/>
      <c r="X711" s="101"/>
      <c r="Y711" s="114"/>
      <c r="Z711" s="114"/>
      <c r="AA711" s="114"/>
      <c r="AB711" s="114"/>
      <c r="AC711" s="114"/>
      <c r="AD711" s="114"/>
      <c r="AE711" s="114"/>
      <c r="AF711" s="114"/>
      <c r="AG711" s="114"/>
      <c r="AH711" s="114"/>
      <c r="AI711" s="114"/>
      <c r="AJ711" s="114"/>
      <c r="AK711" s="114"/>
      <c r="AL711" s="114"/>
      <c r="AM711" s="114"/>
      <c r="AN711" s="114"/>
      <c r="AO711" s="114"/>
      <c r="AP711" s="114"/>
      <c r="AQ711" s="114"/>
      <c r="AR711" s="114"/>
      <c r="AS711" s="114"/>
      <c r="AT711" s="114"/>
      <c r="AU711" s="114"/>
      <c r="AV711" s="114"/>
      <c r="AW711" s="114"/>
      <c r="AX711" s="114"/>
      <c r="AY711" s="114"/>
      <c r="AZ711" s="114"/>
    </row>
    <row r="712" spans="1:52">
      <c r="A712" s="111"/>
      <c r="B712" s="111"/>
      <c r="C712" s="112"/>
      <c r="D712" s="101"/>
      <c r="E712" s="101"/>
      <c r="F712" s="101"/>
      <c r="G712" s="111"/>
      <c r="H712" s="101"/>
      <c r="I712" s="101"/>
      <c r="J712" s="101"/>
      <c r="K712" s="101"/>
      <c r="L712" s="101"/>
      <c r="M712" s="101"/>
      <c r="N712" s="101"/>
      <c r="O712" s="101"/>
      <c r="P712" s="101"/>
      <c r="Q712" s="101"/>
      <c r="R712" s="101"/>
      <c r="S712" s="101"/>
      <c r="T712" s="101"/>
      <c r="U712" s="101"/>
      <c r="V712" s="101"/>
      <c r="W712" s="101"/>
      <c r="X712" s="101"/>
      <c r="Y712" s="114"/>
      <c r="Z712" s="114"/>
      <c r="AA712" s="114"/>
      <c r="AB712" s="114"/>
      <c r="AC712" s="114"/>
      <c r="AD712" s="114"/>
      <c r="AE712" s="114"/>
      <c r="AF712" s="114"/>
      <c r="AG712" s="114"/>
      <c r="AH712" s="114"/>
      <c r="AI712" s="114"/>
      <c r="AJ712" s="114"/>
      <c r="AK712" s="114"/>
      <c r="AL712" s="114"/>
      <c r="AM712" s="114"/>
      <c r="AN712" s="114"/>
      <c r="AO712" s="114"/>
      <c r="AP712" s="114"/>
      <c r="AQ712" s="114"/>
      <c r="AR712" s="114"/>
      <c r="AS712" s="114"/>
      <c r="AT712" s="114"/>
      <c r="AU712" s="114"/>
      <c r="AV712" s="114"/>
      <c r="AW712" s="114"/>
      <c r="AX712" s="114"/>
      <c r="AY712" s="114"/>
      <c r="AZ712" s="114"/>
    </row>
    <row r="713" spans="1:52">
      <c r="A713" s="111"/>
      <c r="B713" s="111"/>
      <c r="C713" s="112"/>
      <c r="D713" s="101"/>
      <c r="E713" s="101"/>
      <c r="F713" s="101"/>
      <c r="G713" s="111"/>
      <c r="H713" s="101"/>
      <c r="I713" s="101"/>
      <c r="J713" s="101"/>
      <c r="K713" s="101"/>
      <c r="L713" s="101"/>
      <c r="M713" s="101"/>
      <c r="N713" s="101"/>
      <c r="O713" s="101"/>
      <c r="P713" s="101"/>
      <c r="Q713" s="101"/>
      <c r="R713" s="101"/>
      <c r="S713" s="101"/>
      <c r="T713" s="101"/>
      <c r="U713" s="101"/>
      <c r="V713" s="101"/>
      <c r="W713" s="101"/>
      <c r="X713" s="101"/>
      <c r="Y713" s="114"/>
      <c r="Z713" s="114"/>
      <c r="AA713" s="114"/>
      <c r="AB713" s="114"/>
      <c r="AC713" s="114"/>
      <c r="AD713" s="114"/>
      <c r="AE713" s="114"/>
      <c r="AF713" s="114"/>
      <c r="AG713" s="114"/>
      <c r="AH713" s="114"/>
      <c r="AI713" s="114"/>
      <c r="AJ713" s="114"/>
      <c r="AK713" s="114"/>
      <c r="AL713" s="114"/>
      <c r="AM713" s="114"/>
      <c r="AN713" s="114"/>
      <c r="AO713" s="114"/>
      <c r="AP713" s="114"/>
      <c r="AQ713" s="114"/>
      <c r="AR713" s="114"/>
      <c r="AS713" s="114"/>
      <c r="AT713" s="114"/>
      <c r="AU713" s="114"/>
      <c r="AV713" s="114"/>
      <c r="AW713" s="114"/>
      <c r="AX713" s="114"/>
      <c r="AY713" s="114"/>
      <c r="AZ713" s="114"/>
    </row>
    <row r="714" spans="1:52">
      <c r="A714" s="111"/>
      <c r="B714" s="111"/>
      <c r="C714" s="112"/>
      <c r="D714" s="101"/>
      <c r="E714" s="101"/>
      <c r="F714" s="101"/>
      <c r="G714" s="111"/>
      <c r="H714" s="101"/>
      <c r="I714" s="101"/>
      <c r="J714" s="101"/>
      <c r="K714" s="101"/>
      <c r="L714" s="101"/>
      <c r="M714" s="101"/>
      <c r="N714" s="101"/>
      <c r="O714" s="101"/>
      <c r="P714" s="101"/>
      <c r="Q714" s="101"/>
      <c r="R714" s="101"/>
      <c r="S714" s="101"/>
      <c r="T714" s="101"/>
      <c r="U714" s="101"/>
      <c r="V714" s="101"/>
      <c r="W714" s="101"/>
      <c r="X714" s="101"/>
      <c r="Y714" s="114"/>
      <c r="Z714" s="114"/>
      <c r="AA714" s="114"/>
      <c r="AB714" s="114"/>
      <c r="AC714" s="114"/>
      <c r="AD714" s="114"/>
      <c r="AE714" s="114"/>
      <c r="AF714" s="114"/>
      <c r="AG714" s="114"/>
      <c r="AH714" s="114"/>
      <c r="AI714" s="114"/>
      <c r="AJ714" s="114"/>
      <c r="AK714" s="114"/>
      <c r="AL714" s="114"/>
      <c r="AM714" s="114"/>
      <c r="AN714" s="114"/>
      <c r="AO714" s="114"/>
      <c r="AP714" s="114"/>
      <c r="AQ714" s="114"/>
      <c r="AR714" s="114"/>
      <c r="AS714" s="114"/>
      <c r="AT714" s="114"/>
      <c r="AU714" s="114"/>
      <c r="AV714" s="114"/>
      <c r="AW714" s="114"/>
      <c r="AX714" s="114"/>
      <c r="AY714" s="114"/>
      <c r="AZ714" s="114"/>
    </row>
    <row r="715" spans="1:52">
      <c r="A715" s="111"/>
      <c r="B715" s="111"/>
      <c r="C715" s="112"/>
      <c r="D715" s="101"/>
      <c r="E715" s="101"/>
      <c r="F715" s="101"/>
      <c r="G715" s="111"/>
      <c r="H715" s="101"/>
      <c r="I715" s="101"/>
      <c r="J715" s="101"/>
      <c r="K715" s="101"/>
      <c r="L715" s="101"/>
      <c r="M715" s="101"/>
      <c r="N715" s="101"/>
      <c r="O715" s="101"/>
      <c r="P715" s="101"/>
      <c r="Q715" s="101"/>
      <c r="R715" s="101"/>
      <c r="S715" s="101"/>
      <c r="T715" s="101"/>
      <c r="U715" s="101"/>
      <c r="V715" s="101"/>
      <c r="W715" s="101"/>
      <c r="X715" s="101"/>
      <c r="Y715" s="114"/>
      <c r="Z715" s="114"/>
      <c r="AA715" s="114"/>
      <c r="AB715" s="114"/>
      <c r="AC715" s="114"/>
      <c r="AD715" s="114"/>
      <c r="AE715" s="114"/>
      <c r="AF715" s="114"/>
      <c r="AG715" s="114"/>
      <c r="AH715" s="114"/>
      <c r="AI715" s="114"/>
      <c r="AJ715" s="114"/>
      <c r="AK715" s="114"/>
      <c r="AL715" s="114"/>
      <c r="AM715" s="114"/>
      <c r="AN715" s="114"/>
      <c r="AO715" s="114"/>
      <c r="AP715" s="114"/>
      <c r="AQ715" s="114"/>
      <c r="AR715" s="114"/>
      <c r="AS715" s="114"/>
      <c r="AT715" s="114"/>
      <c r="AU715" s="114"/>
      <c r="AV715" s="114"/>
      <c r="AW715" s="114"/>
      <c r="AX715" s="114"/>
      <c r="AY715" s="114"/>
      <c r="AZ715" s="114"/>
    </row>
    <row r="716" spans="1:52">
      <c r="A716" s="111"/>
      <c r="B716" s="111"/>
      <c r="C716" s="112"/>
      <c r="D716" s="101"/>
      <c r="E716" s="101"/>
      <c r="F716" s="101"/>
      <c r="G716" s="111"/>
      <c r="H716" s="101"/>
      <c r="I716" s="101"/>
      <c r="J716" s="101"/>
      <c r="K716" s="101"/>
      <c r="L716" s="101"/>
      <c r="M716" s="101"/>
      <c r="N716" s="101"/>
      <c r="O716" s="101"/>
      <c r="P716" s="101"/>
      <c r="Q716" s="101"/>
      <c r="R716" s="101"/>
      <c r="S716" s="101"/>
      <c r="T716" s="101"/>
      <c r="U716" s="101"/>
      <c r="V716" s="101"/>
      <c r="W716" s="101"/>
      <c r="X716" s="101"/>
      <c r="Y716" s="114"/>
      <c r="Z716" s="114"/>
      <c r="AA716" s="114"/>
      <c r="AB716" s="114"/>
      <c r="AC716" s="114"/>
      <c r="AD716" s="114"/>
      <c r="AE716" s="114"/>
      <c r="AF716" s="114"/>
      <c r="AG716" s="114"/>
      <c r="AH716" s="114"/>
      <c r="AI716" s="114"/>
      <c r="AJ716" s="114"/>
      <c r="AK716" s="114"/>
      <c r="AL716" s="114"/>
      <c r="AM716" s="114"/>
      <c r="AN716" s="114"/>
      <c r="AO716" s="114"/>
      <c r="AP716" s="114"/>
      <c r="AQ716" s="114"/>
      <c r="AR716" s="114"/>
      <c r="AS716" s="114"/>
      <c r="AT716" s="114"/>
      <c r="AU716" s="114"/>
      <c r="AV716" s="114"/>
      <c r="AW716" s="114"/>
      <c r="AX716" s="114"/>
      <c r="AY716" s="114"/>
      <c r="AZ716" s="114"/>
    </row>
    <row r="717" spans="1:52">
      <c r="A717" s="111"/>
      <c r="B717" s="111"/>
      <c r="C717" s="112"/>
      <c r="D717" s="101"/>
      <c r="E717" s="101"/>
      <c r="F717" s="101"/>
      <c r="G717" s="111"/>
      <c r="H717" s="101"/>
      <c r="I717" s="101"/>
      <c r="J717" s="101"/>
      <c r="K717" s="101"/>
      <c r="L717" s="101"/>
      <c r="M717" s="101"/>
      <c r="N717" s="101"/>
      <c r="O717" s="101"/>
      <c r="P717" s="101"/>
      <c r="Q717" s="101"/>
      <c r="R717" s="101"/>
      <c r="S717" s="101"/>
      <c r="T717" s="101"/>
      <c r="U717" s="101"/>
      <c r="V717" s="101"/>
      <c r="W717" s="101"/>
      <c r="X717" s="101"/>
      <c r="Y717" s="114"/>
      <c r="Z717" s="114"/>
      <c r="AA717" s="114"/>
      <c r="AB717" s="114"/>
      <c r="AC717" s="114"/>
      <c r="AD717" s="114"/>
      <c r="AE717" s="114"/>
      <c r="AF717" s="114"/>
      <c r="AG717" s="114"/>
      <c r="AH717" s="114"/>
      <c r="AI717" s="114"/>
      <c r="AJ717" s="114"/>
      <c r="AK717" s="114"/>
      <c r="AL717" s="114"/>
      <c r="AM717" s="114"/>
      <c r="AN717" s="114"/>
      <c r="AO717" s="114"/>
      <c r="AP717" s="114"/>
      <c r="AQ717" s="114"/>
      <c r="AR717" s="114"/>
      <c r="AS717" s="114"/>
      <c r="AT717" s="114"/>
      <c r="AU717" s="114"/>
      <c r="AV717" s="114"/>
      <c r="AW717" s="114"/>
      <c r="AX717" s="114"/>
      <c r="AY717" s="114"/>
      <c r="AZ717" s="114"/>
    </row>
    <row r="718" spans="1:52">
      <c r="A718" s="111"/>
      <c r="B718" s="111"/>
      <c r="C718" s="112"/>
      <c r="D718" s="101"/>
      <c r="E718" s="101"/>
      <c r="F718" s="101"/>
      <c r="G718" s="111"/>
      <c r="H718" s="101"/>
      <c r="I718" s="101"/>
      <c r="J718" s="101"/>
      <c r="K718" s="101"/>
      <c r="L718" s="101"/>
      <c r="M718" s="101"/>
      <c r="N718" s="101"/>
      <c r="O718" s="101"/>
      <c r="P718" s="101"/>
      <c r="Q718" s="101"/>
      <c r="R718" s="101"/>
      <c r="S718" s="101"/>
      <c r="T718" s="101"/>
      <c r="U718" s="101"/>
      <c r="V718" s="101"/>
      <c r="W718" s="101"/>
      <c r="X718" s="101"/>
      <c r="Y718" s="114"/>
      <c r="Z718" s="114"/>
      <c r="AA718" s="114"/>
      <c r="AB718" s="114"/>
      <c r="AC718" s="114"/>
      <c r="AD718" s="114"/>
      <c r="AE718" s="114"/>
      <c r="AF718" s="114"/>
      <c r="AG718" s="114"/>
      <c r="AH718" s="114"/>
      <c r="AI718" s="114"/>
      <c r="AJ718" s="114"/>
      <c r="AK718" s="114"/>
      <c r="AL718" s="114"/>
      <c r="AM718" s="114"/>
      <c r="AN718" s="114"/>
      <c r="AO718" s="114"/>
      <c r="AP718" s="114"/>
      <c r="AQ718" s="114"/>
      <c r="AR718" s="114"/>
      <c r="AS718" s="114"/>
      <c r="AT718" s="114"/>
      <c r="AU718" s="114"/>
      <c r="AV718" s="114"/>
      <c r="AW718" s="114"/>
      <c r="AX718" s="114"/>
      <c r="AY718" s="114"/>
      <c r="AZ718" s="114"/>
    </row>
    <row r="719" spans="1:52">
      <c r="A719" s="111"/>
      <c r="B719" s="111"/>
      <c r="C719" s="112"/>
      <c r="D719" s="101"/>
      <c r="E719" s="101"/>
      <c r="F719" s="101"/>
      <c r="G719" s="111"/>
      <c r="H719" s="101"/>
      <c r="I719" s="101"/>
      <c r="J719" s="101"/>
      <c r="K719" s="101"/>
      <c r="L719" s="101"/>
      <c r="M719" s="101"/>
      <c r="N719" s="101"/>
      <c r="O719" s="101"/>
      <c r="P719" s="101"/>
      <c r="Q719" s="101"/>
      <c r="R719" s="101"/>
      <c r="S719" s="101"/>
      <c r="T719" s="101"/>
      <c r="U719" s="101"/>
      <c r="V719" s="101"/>
      <c r="W719" s="101"/>
      <c r="X719" s="101"/>
      <c r="Y719" s="114"/>
      <c r="Z719" s="114"/>
      <c r="AA719" s="114"/>
      <c r="AB719" s="114"/>
      <c r="AC719" s="114"/>
      <c r="AD719" s="114"/>
      <c r="AE719" s="114"/>
      <c r="AF719" s="114"/>
      <c r="AG719" s="114"/>
      <c r="AH719" s="114"/>
      <c r="AI719" s="114"/>
      <c r="AJ719" s="114"/>
      <c r="AK719" s="114"/>
      <c r="AL719" s="114"/>
      <c r="AM719" s="114"/>
      <c r="AN719" s="114"/>
      <c r="AO719" s="114"/>
      <c r="AP719" s="114"/>
      <c r="AQ719" s="114"/>
      <c r="AR719" s="114"/>
      <c r="AS719" s="114"/>
      <c r="AT719" s="114"/>
      <c r="AU719" s="114"/>
      <c r="AV719" s="114"/>
      <c r="AW719" s="114"/>
      <c r="AX719" s="114"/>
      <c r="AY719" s="114"/>
      <c r="AZ719" s="114"/>
    </row>
    <row r="720" spans="1:52">
      <c r="A720" s="111"/>
      <c r="B720" s="111"/>
      <c r="C720" s="112"/>
      <c r="D720" s="101"/>
      <c r="E720" s="101"/>
      <c r="F720" s="101"/>
      <c r="G720" s="111"/>
      <c r="H720" s="101"/>
      <c r="I720" s="101"/>
      <c r="J720" s="101"/>
      <c r="K720" s="101"/>
      <c r="L720" s="101"/>
      <c r="M720" s="101"/>
      <c r="N720" s="101"/>
      <c r="O720" s="101"/>
      <c r="P720" s="101"/>
      <c r="Q720" s="101"/>
      <c r="R720" s="101"/>
      <c r="S720" s="101"/>
      <c r="T720" s="101"/>
      <c r="U720" s="101"/>
      <c r="V720" s="101"/>
      <c r="W720" s="101"/>
      <c r="X720" s="101"/>
      <c r="Y720" s="114"/>
      <c r="Z720" s="114"/>
      <c r="AA720" s="114"/>
      <c r="AB720" s="114"/>
      <c r="AC720" s="114"/>
      <c r="AD720" s="114"/>
      <c r="AE720" s="114"/>
      <c r="AF720" s="114"/>
      <c r="AG720" s="114"/>
      <c r="AH720" s="114"/>
      <c r="AI720" s="114"/>
      <c r="AJ720" s="114"/>
      <c r="AK720" s="114"/>
      <c r="AL720" s="114"/>
      <c r="AM720" s="114"/>
      <c r="AN720" s="114"/>
      <c r="AO720" s="114"/>
      <c r="AP720" s="114"/>
      <c r="AQ720" s="114"/>
      <c r="AR720" s="114"/>
      <c r="AS720" s="114"/>
      <c r="AT720" s="114"/>
      <c r="AU720" s="114"/>
      <c r="AV720" s="114"/>
      <c r="AW720" s="114"/>
      <c r="AX720" s="114"/>
      <c r="AY720" s="114"/>
      <c r="AZ720" s="114"/>
    </row>
    <row r="721" spans="1:52">
      <c r="A721" s="111"/>
      <c r="B721" s="111"/>
      <c r="C721" s="112"/>
      <c r="D721" s="101"/>
      <c r="E721" s="101"/>
      <c r="F721" s="101"/>
      <c r="G721" s="111"/>
      <c r="H721" s="101"/>
      <c r="I721" s="101"/>
      <c r="J721" s="101"/>
      <c r="K721" s="101"/>
      <c r="L721" s="101"/>
      <c r="M721" s="101"/>
      <c r="N721" s="101"/>
      <c r="O721" s="101"/>
      <c r="P721" s="101"/>
      <c r="Q721" s="101"/>
      <c r="R721" s="101"/>
      <c r="S721" s="101"/>
      <c r="T721" s="101"/>
      <c r="U721" s="101"/>
      <c r="V721" s="101"/>
      <c r="W721" s="101"/>
      <c r="X721" s="101"/>
      <c r="Y721" s="114"/>
      <c r="Z721" s="114"/>
      <c r="AA721" s="114"/>
      <c r="AB721" s="114"/>
      <c r="AC721" s="114"/>
      <c r="AD721" s="114"/>
      <c r="AE721" s="114"/>
      <c r="AF721" s="114"/>
      <c r="AG721" s="114"/>
      <c r="AH721" s="114"/>
      <c r="AI721" s="114"/>
      <c r="AJ721" s="114"/>
      <c r="AK721" s="114"/>
      <c r="AL721" s="114"/>
      <c r="AM721" s="114"/>
      <c r="AN721" s="114"/>
      <c r="AO721" s="114"/>
      <c r="AP721" s="114"/>
      <c r="AQ721" s="114"/>
      <c r="AR721" s="114"/>
      <c r="AS721" s="114"/>
      <c r="AT721" s="114"/>
      <c r="AU721" s="114"/>
      <c r="AV721" s="114"/>
      <c r="AW721" s="114"/>
      <c r="AX721" s="114"/>
      <c r="AY721" s="114"/>
      <c r="AZ721" s="114"/>
    </row>
    <row r="722" spans="1:52">
      <c r="A722" s="111"/>
      <c r="B722" s="111"/>
      <c r="C722" s="112"/>
      <c r="D722" s="101"/>
      <c r="E722" s="101"/>
      <c r="F722" s="101"/>
      <c r="G722" s="111"/>
      <c r="H722" s="101"/>
      <c r="I722" s="101"/>
      <c r="J722" s="101"/>
      <c r="K722" s="101"/>
      <c r="L722" s="101"/>
      <c r="M722" s="101"/>
      <c r="N722" s="101"/>
      <c r="O722" s="101"/>
      <c r="P722" s="101"/>
      <c r="Q722" s="101"/>
      <c r="R722" s="101"/>
      <c r="S722" s="101"/>
      <c r="T722" s="101"/>
      <c r="U722" s="101"/>
      <c r="V722" s="101"/>
      <c r="W722" s="101"/>
      <c r="X722" s="101"/>
      <c r="Y722" s="114"/>
      <c r="Z722" s="114"/>
      <c r="AA722" s="114"/>
      <c r="AB722" s="114"/>
      <c r="AC722" s="114"/>
      <c r="AD722" s="114"/>
      <c r="AE722" s="114"/>
      <c r="AF722" s="114"/>
      <c r="AG722" s="114"/>
      <c r="AH722" s="114"/>
      <c r="AI722" s="114"/>
      <c r="AJ722" s="114"/>
      <c r="AK722" s="114"/>
      <c r="AL722" s="114"/>
      <c r="AM722" s="114"/>
      <c r="AN722" s="114"/>
      <c r="AO722" s="114"/>
      <c r="AP722" s="114"/>
      <c r="AQ722" s="114"/>
      <c r="AR722" s="114"/>
      <c r="AS722" s="114"/>
      <c r="AT722" s="114"/>
      <c r="AU722" s="114"/>
      <c r="AV722" s="114"/>
      <c r="AW722" s="114"/>
      <c r="AX722" s="114"/>
      <c r="AY722" s="114"/>
      <c r="AZ722" s="114"/>
    </row>
    <row r="723" spans="1:52">
      <c r="A723" s="111"/>
      <c r="B723" s="111"/>
      <c r="C723" s="112"/>
      <c r="D723" s="101"/>
      <c r="E723" s="101"/>
      <c r="F723" s="101"/>
      <c r="G723" s="111"/>
      <c r="H723" s="101"/>
      <c r="I723" s="101"/>
      <c r="J723" s="101"/>
      <c r="K723" s="101"/>
      <c r="L723" s="101"/>
      <c r="M723" s="101"/>
      <c r="N723" s="101"/>
      <c r="O723" s="101"/>
      <c r="P723" s="101"/>
      <c r="Q723" s="101"/>
      <c r="R723" s="101"/>
      <c r="S723" s="101"/>
      <c r="T723" s="101"/>
      <c r="U723" s="101"/>
      <c r="V723" s="101"/>
      <c r="W723" s="101"/>
      <c r="X723" s="101"/>
      <c r="Y723" s="114"/>
      <c r="Z723" s="114"/>
      <c r="AA723" s="114"/>
      <c r="AB723" s="114"/>
      <c r="AC723" s="114"/>
      <c r="AD723" s="114"/>
      <c r="AE723" s="114"/>
      <c r="AF723" s="114"/>
      <c r="AG723" s="114"/>
      <c r="AH723" s="114"/>
      <c r="AI723" s="114"/>
      <c r="AJ723" s="114"/>
      <c r="AK723" s="114"/>
      <c r="AL723" s="114"/>
      <c r="AM723" s="114"/>
      <c r="AN723" s="114"/>
      <c r="AO723" s="114"/>
      <c r="AP723" s="114"/>
      <c r="AQ723" s="114"/>
      <c r="AR723" s="114"/>
      <c r="AS723" s="114"/>
      <c r="AT723" s="114"/>
      <c r="AU723" s="114"/>
      <c r="AV723" s="114"/>
      <c r="AW723" s="114"/>
      <c r="AX723" s="114"/>
      <c r="AY723" s="114"/>
      <c r="AZ723" s="114"/>
    </row>
    <row r="724" spans="1:52">
      <c r="A724" s="111"/>
      <c r="B724" s="111"/>
      <c r="C724" s="112"/>
      <c r="D724" s="101"/>
      <c r="E724" s="101"/>
      <c r="F724" s="101"/>
      <c r="G724" s="111"/>
      <c r="H724" s="101"/>
      <c r="I724" s="101"/>
      <c r="J724" s="101"/>
      <c r="K724" s="101"/>
      <c r="L724" s="101"/>
      <c r="M724" s="101"/>
      <c r="N724" s="101"/>
      <c r="O724" s="101"/>
      <c r="P724" s="101"/>
      <c r="Q724" s="101"/>
      <c r="R724" s="101"/>
      <c r="S724" s="101"/>
      <c r="T724" s="101"/>
      <c r="U724" s="101"/>
      <c r="V724" s="101"/>
      <c r="W724" s="101"/>
      <c r="X724" s="101"/>
      <c r="Y724" s="114"/>
      <c r="Z724" s="114"/>
      <c r="AA724" s="114"/>
      <c r="AB724" s="114"/>
      <c r="AC724" s="114"/>
      <c r="AD724" s="114"/>
      <c r="AE724" s="114"/>
      <c r="AF724" s="114"/>
      <c r="AG724" s="114"/>
      <c r="AH724" s="114"/>
      <c r="AI724" s="114"/>
      <c r="AJ724" s="114"/>
      <c r="AK724" s="114"/>
      <c r="AL724" s="114"/>
      <c r="AM724" s="114"/>
      <c r="AN724" s="114"/>
      <c r="AO724" s="114"/>
      <c r="AP724" s="114"/>
      <c r="AQ724" s="114"/>
      <c r="AR724" s="114"/>
      <c r="AS724" s="114"/>
      <c r="AT724" s="114"/>
      <c r="AU724" s="114"/>
      <c r="AV724" s="114"/>
      <c r="AW724" s="114"/>
      <c r="AX724" s="114"/>
      <c r="AY724" s="114"/>
      <c r="AZ724" s="114"/>
    </row>
    <row r="725" spans="1:52">
      <c r="A725" s="111"/>
      <c r="B725" s="111"/>
      <c r="C725" s="112"/>
      <c r="D725" s="101"/>
      <c r="E725" s="101"/>
      <c r="F725" s="101"/>
      <c r="G725" s="111"/>
      <c r="H725" s="101"/>
      <c r="I725" s="101"/>
      <c r="J725" s="101"/>
      <c r="K725" s="101"/>
      <c r="L725" s="101"/>
      <c r="M725" s="101"/>
      <c r="N725" s="101"/>
      <c r="O725" s="101"/>
      <c r="P725" s="101"/>
      <c r="Q725" s="101"/>
      <c r="R725" s="101"/>
      <c r="S725" s="101"/>
      <c r="T725" s="101"/>
      <c r="U725" s="101"/>
      <c r="V725" s="101"/>
      <c r="W725" s="101"/>
      <c r="X725" s="101"/>
      <c r="Y725" s="114"/>
      <c r="Z725" s="114"/>
      <c r="AA725" s="114"/>
      <c r="AB725" s="114"/>
      <c r="AC725" s="114"/>
      <c r="AD725" s="114"/>
      <c r="AE725" s="114"/>
      <c r="AF725" s="114"/>
      <c r="AG725" s="114"/>
      <c r="AH725" s="114"/>
      <c r="AI725" s="114"/>
      <c r="AJ725" s="114"/>
      <c r="AK725" s="114"/>
      <c r="AL725" s="114"/>
      <c r="AM725" s="114"/>
      <c r="AN725" s="114"/>
      <c r="AO725" s="114"/>
      <c r="AP725" s="114"/>
      <c r="AQ725" s="114"/>
      <c r="AR725" s="114"/>
      <c r="AS725" s="114"/>
      <c r="AT725" s="114"/>
      <c r="AU725" s="114"/>
      <c r="AV725" s="114"/>
      <c r="AW725" s="114"/>
      <c r="AX725" s="114"/>
      <c r="AY725" s="114"/>
      <c r="AZ725" s="114"/>
    </row>
    <row r="726" spans="1:52">
      <c r="A726" s="111"/>
      <c r="B726" s="111"/>
      <c r="C726" s="112"/>
      <c r="D726" s="101"/>
      <c r="E726" s="101"/>
      <c r="F726" s="101"/>
      <c r="G726" s="111"/>
      <c r="H726" s="101"/>
      <c r="I726" s="101"/>
      <c r="J726" s="101"/>
      <c r="K726" s="101"/>
      <c r="L726" s="101"/>
      <c r="M726" s="101"/>
      <c r="N726" s="101"/>
      <c r="O726" s="101"/>
      <c r="P726" s="101"/>
      <c r="Q726" s="101"/>
      <c r="R726" s="101"/>
      <c r="S726" s="101"/>
      <c r="T726" s="101"/>
      <c r="U726" s="101"/>
      <c r="V726" s="101"/>
      <c r="W726" s="101"/>
      <c r="X726" s="101"/>
      <c r="Y726" s="114"/>
      <c r="Z726" s="114"/>
      <c r="AA726" s="114"/>
      <c r="AB726" s="114"/>
      <c r="AC726" s="114"/>
      <c r="AD726" s="114"/>
      <c r="AE726" s="114"/>
      <c r="AF726" s="114"/>
      <c r="AG726" s="114"/>
      <c r="AH726" s="114"/>
      <c r="AI726" s="114"/>
      <c r="AJ726" s="114"/>
      <c r="AK726" s="114"/>
      <c r="AL726" s="114"/>
      <c r="AM726" s="114"/>
      <c r="AN726" s="114"/>
      <c r="AO726" s="114"/>
      <c r="AP726" s="114"/>
      <c r="AQ726" s="114"/>
      <c r="AR726" s="114"/>
      <c r="AS726" s="114"/>
      <c r="AT726" s="114"/>
      <c r="AU726" s="114"/>
      <c r="AV726" s="114"/>
      <c r="AW726" s="114"/>
      <c r="AX726" s="114"/>
      <c r="AY726" s="114"/>
      <c r="AZ726" s="114"/>
    </row>
    <row r="727" spans="1:52">
      <c r="A727" s="111"/>
      <c r="B727" s="111"/>
      <c r="C727" s="112"/>
      <c r="D727" s="101"/>
      <c r="E727" s="101"/>
      <c r="F727" s="101"/>
      <c r="G727" s="111"/>
      <c r="H727" s="101"/>
      <c r="I727" s="101"/>
      <c r="J727" s="101"/>
      <c r="K727" s="101"/>
      <c r="L727" s="101"/>
      <c r="M727" s="101"/>
      <c r="N727" s="101"/>
      <c r="O727" s="101"/>
      <c r="P727" s="101"/>
      <c r="Q727" s="101"/>
      <c r="R727" s="101"/>
      <c r="S727" s="101"/>
      <c r="T727" s="101"/>
      <c r="U727" s="101"/>
      <c r="V727" s="101"/>
      <c r="W727" s="101"/>
      <c r="X727" s="101"/>
      <c r="Y727" s="114"/>
      <c r="Z727" s="114"/>
      <c r="AA727" s="114"/>
      <c r="AB727" s="114"/>
      <c r="AC727" s="114"/>
      <c r="AD727" s="114"/>
      <c r="AE727" s="114"/>
      <c r="AF727" s="114"/>
      <c r="AG727" s="114"/>
      <c r="AH727" s="114"/>
      <c r="AI727" s="114"/>
      <c r="AJ727" s="114"/>
      <c r="AK727" s="114"/>
      <c r="AL727" s="114"/>
      <c r="AM727" s="114"/>
      <c r="AN727" s="114"/>
      <c r="AO727" s="114"/>
      <c r="AP727" s="114"/>
      <c r="AQ727" s="114"/>
      <c r="AR727" s="114"/>
      <c r="AS727" s="114"/>
      <c r="AT727" s="114"/>
      <c r="AU727" s="114"/>
      <c r="AV727" s="114"/>
      <c r="AW727" s="114"/>
      <c r="AX727" s="114"/>
      <c r="AY727" s="114"/>
      <c r="AZ727" s="114"/>
    </row>
    <row r="728" spans="1:52">
      <c r="A728" s="111"/>
      <c r="B728" s="111"/>
      <c r="C728" s="112"/>
      <c r="D728" s="101"/>
      <c r="E728" s="101"/>
      <c r="F728" s="101"/>
      <c r="G728" s="111"/>
      <c r="H728" s="101"/>
      <c r="I728" s="101"/>
      <c r="J728" s="101"/>
      <c r="K728" s="101"/>
      <c r="L728" s="101"/>
      <c r="M728" s="101"/>
      <c r="N728" s="101"/>
      <c r="O728" s="101"/>
      <c r="P728" s="101"/>
      <c r="Q728" s="101"/>
      <c r="R728" s="101"/>
      <c r="S728" s="101"/>
      <c r="T728" s="101"/>
      <c r="U728" s="101"/>
      <c r="V728" s="101"/>
      <c r="W728" s="101"/>
      <c r="X728" s="101"/>
      <c r="Y728" s="114"/>
      <c r="Z728" s="114"/>
      <c r="AA728" s="114"/>
      <c r="AB728" s="114"/>
      <c r="AC728" s="114"/>
      <c r="AD728" s="114"/>
      <c r="AE728" s="114"/>
      <c r="AF728" s="114"/>
      <c r="AG728" s="114"/>
      <c r="AH728" s="114"/>
      <c r="AI728" s="114"/>
      <c r="AJ728" s="114"/>
      <c r="AK728" s="114"/>
      <c r="AL728" s="114"/>
      <c r="AM728" s="114"/>
      <c r="AN728" s="114"/>
      <c r="AO728" s="114"/>
      <c r="AP728" s="114"/>
      <c r="AQ728" s="114"/>
      <c r="AR728" s="114"/>
      <c r="AS728" s="114"/>
      <c r="AT728" s="114"/>
      <c r="AU728" s="114"/>
      <c r="AV728" s="114"/>
      <c r="AW728" s="114"/>
      <c r="AX728" s="114"/>
      <c r="AY728" s="114"/>
      <c r="AZ728" s="114"/>
    </row>
    <row r="729" spans="1:52">
      <c r="A729" s="111"/>
      <c r="B729" s="111"/>
      <c r="C729" s="112"/>
      <c r="D729" s="101"/>
      <c r="E729" s="101"/>
      <c r="F729" s="101"/>
      <c r="G729" s="111"/>
      <c r="H729" s="101"/>
      <c r="I729" s="101"/>
      <c r="J729" s="101"/>
      <c r="K729" s="101"/>
      <c r="L729" s="101"/>
      <c r="M729" s="101"/>
      <c r="N729" s="101"/>
      <c r="O729" s="101"/>
      <c r="P729" s="101"/>
      <c r="Q729" s="101"/>
      <c r="R729" s="101"/>
      <c r="S729" s="101"/>
      <c r="T729" s="101"/>
      <c r="U729" s="101"/>
      <c r="V729" s="101"/>
      <c r="W729" s="101"/>
      <c r="X729" s="101"/>
      <c r="Y729" s="114"/>
      <c r="Z729" s="114"/>
      <c r="AA729" s="114"/>
      <c r="AB729" s="114"/>
      <c r="AC729" s="114"/>
      <c r="AD729" s="114"/>
      <c r="AE729" s="114"/>
      <c r="AF729" s="114"/>
      <c r="AG729" s="114"/>
      <c r="AH729" s="114"/>
      <c r="AI729" s="114"/>
      <c r="AJ729" s="114"/>
      <c r="AK729" s="114"/>
      <c r="AL729" s="114"/>
      <c r="AM729" s="114"/>
      <c r="AN729" s="114"/>
      <c r="AO729" s="114"/>
      <c r="AP729" s="114"/>
      <c r="AQ729" s="114"/>
      <c r="AR729" s="114"/>
      <c r="AS729" s="114"/>
      <c r="AT729" s="114"/>
      <c r="AU729" s="114"/>
      <c r="AV729" s="114"/>
      <c r="AW729" s="114"/>
      <c r="AX729" s="114"/>
      <c r="AY729" s="114"/>
      <c r="AZ729" s="114"/>
    </row>
    <row r="730" spans="1:52">
      <c r="A730" s="111"/>
      <c r="B730" s="111"/>
      <c r="C730" s="112"/>
      <c r="D730" s="101"/>
      <c r="E730" s="101"/>
      <c r="F730" s="101"/>
      <c r="G730" s="111"/>
      <c r="H730" s="101"/>
      <c r="I730" s="101"/>
      <c r="J730" s="101"/>
      <c r="K730" s="101"/>
      <c r="L730" s="101"/>
      <c r="M730" s="101"/>
      <c r="N730" s="101"/>
      <c r="O730" s="101"/>
      <c r="P730" s="101"/>
      <c r="Q730" s="101"/>
      <c r="R730" s="101"/>
      <c r="S730" s="101"/>
      <c r="T730" s="101"/>
      <c r="U730" s="101"/>
      <c r="V730" s="101"/>
      <c r="W730" s="101"/>
      <c r="X730" s="101"/>
      <c r="Y730" s="114"/>
      <c r="Z730" s="114"/>
      <c r="AA730" s="114"/>
      <c r="AB730" s="114"/>
      <c r="AC730" s="114"/>
      <c r="AD730" s="114"/>
      <c r="AE730" s="114"/>
      <c r="AF730" s="114"/>
      <c r="AG730" s="114"/>
      <c r="AH730" s="114"/>
      <c r="AI730" s="114"/>
      <c r="AJ730" s="114"/>
      <c r="AK730" s="114"/>
      <c r="AL730" s="114"/>
      <c r="AM730" s="114"/>
      <c r="AN730" s="114"/>
      <c r="AO730" s="114"/>
      <c r="AP730" s="114"/>
      <c r="AQ730" s="114"/>
      <c r="AR730" s="114"/>
      <c r="AS730" s="114"/>
      <c r="AT730" s="114"/>
      <c r="AU730" s="114"/>
      <c r="AV730" s="114"/>
      <c r="AW730" s="114"/>
      <c r="AX730" s="114"/>
      <c r="AY730" s="114"/>
      <c r="AZ730" s="114"/>
    </row>
    <row r="731" spans="1:52">
      <c r="A731" s="111"/>
      <c r="B731" s="111"/>
      <c r="C731" s="112"/>
      <c r="D731" s="101"/>
      <c r="E731" s="101"/>
      <c r="F731" s="101"/>
      <c r="G731" s="111"/>
      <c r="H731" s="101"/>
      <c r="I731" s="101"/>
      <c r="J731" s="101"/>
      <c r="K731" s="101"/>
      <c r="L731" s="101"/>
      <c r="M731" s="101"/>
      <c r="N731" s="101"/>
      <c r="O731" s="101"/>
      <c r="P731" s="101"/>
      <c r="Q731" s="101"/>
      <c r="R731" s="101"/>
      <c r="S731" s="101"/>
      <c r="T731" s="101"/>
      <c r="U731" s="101"/>
      <c r="V731" s="101"/>
      <c r="W731" s="101"/>
      <c r="X731" s="101"/>
      <c r="Y731" s="114"/>
      <c r="Z731" s="114"/>
      <c r="AA731" s="114"/>
      <c r="AB731" s="114"/>
      <c r="AC731" s="114"/>
      <c r="AD731" s="114"/>
      <c r="AE731" s="114"/>
      <c r="AF731" s="114"/>
      <c r="AG731" s="114"/>
      <c r="AH731" s="114"/>
      <c r="AI731" s="114"/>
      <c r="AJ731" s="114"/>
      <c r="AK731" s="114"/>
      <c r="AL731" s="114"/>
      <c r="AM731" s="114"/>
      <c r="AN731" s="114"/>
      <c r="AO731" s="114"/>
      <c r="AP731" s="114"/>
      <c r="AQ731" s="114"/>
      <c r="AR731" s="114"/>
      <c r="AS731" s="114"/>
      <c r="AT731" s="114"/>
      <c r="AU731" s="114"/>
      <c r="AV731" s="114"/>
      <c r="AW731" s="114"/>
      <c r="AX731" s="114"/>
      <c r="AY731" s="114"/>
      <c r="AZ731" s="114"/>
    </row>
    <row r="732" spans="1:52">
      <c r="A732" s="111"/>
      <c r="B732" s="111"/>
      <c r="C732" s="112"/>
      <c r="D732" s="101"/>
      <c r="E732" s="101"/>
      <c r="F732" s="101"/>
      <c r="G732" s="111"/>
      <c r="H732" s="101"/>
      <c r="I732" s="101"/>
      <c r="J732" s="101"/>
      <c r="K732" s="101"/>
      <c r="L732" s="101"/>
      <c r="M732" s="101"/>
      <c r="N732" s="101"/>
      <c r="O732" s="101"/>
      <c r="P732" s="101"/>
      <c r="Q732" s="101"/>
      <c r="R732" s="101"/>
      <c r="S732" s="101"/>
      <c r="T732" s="101"/>
      <c r="U732" s="101"/>
      <c r="V732" s="101"/>
      <c r="W732" s="101"/>
      <c r="X732" s="101"/>
      <c r="Y732" s="114"/>
      <c r="Z732" s="114"/>
      <c r="AA732" s="114"/>
      <c r="AB732" s="114"/>
      <c r="AC732" s="114"/>
      <c r="AD732" s="114"/>
      <c r="AE732" s="114"/>
      <c r="AF732" s="114"/>
      <c r="AG732" s="114"/>
      <c r="AH732" s="114"/>
      <c r="AI732" s="114"/>
      <c r="AJ732" s="114"/>
      <c r="AK732" s="114"/>
      <c r="AL732" s="114"/>
      <c r="AM732" s="114"/>
      <c r="AN732" s="114"/>
      <c r="AO732" s="114"/>
      <c r="AP732" s="114"/>
      <c r="AQ732" s="114"/>
      <c r="AR732" s="114"/>
      <c r="AS732" s="114"/>
      <c r="AT732" s="114"/>
      <c r="AU732" s="114"/>
      <c r="AV732" s="114"/>
      <c r="AW732" s="114"/>
      <c r="AX732" s="114"/>
      <c r="AY732" s="114"/>
      <c r="AZ732" s="114"/>
    </row>
    <row r="733" spans="1:52">
      <c r="A733" s="111"/>
      <c r="B733" s="111"/>
      <c r="C733" s="112"/>
      <c r="D733" s="101"/>
      <c r="E733" s="101"/>
      <c r="F733" s="101"/>
      <c r="G733" s="111"/>
      <c r="H733" s="101"/>
      <c r="I733" s="101"/>
      <c r="J733" s="101"/>
      <c r="K733" s="101"/>
      <c r="L733" s="101"/>
      <c r="M733" s="101"/>
      <c r="N733" s="101"/>
      <c r="O733" s="101"/>
      <c r="P733" s="101"/>
      <c r="Q733" s="101"/>
      <c r="R733" s="101"/>
      <c r="S733" s="101"/>
      <c r="T733" s="101"/>
      <c r="U733" s="101"/>
      <c r="V733" s="101"/>
      <c r="W733" s="101"/>
      <c r="X733" s="101"/>
      <c r="Y733" s="114"/>
      <c r="Z733" s="114"/>
      <c r="AA733" s="114"/>
      <c r="AB733" s="114"/>
      <c r="AC733" s="114"/>
      <c r="AD733" s="114"/>
      <c r="AE733" s="114"/>
      <c r="AF733" s="114"/>
      <c r="AG733" s="114"/>
      <c r="AH733" s="114"/>
      <c r="AI733" s="114"/>
      <c r="AJ733" s="114"/>
      <c r="AK733" s="114"/>
      <c r="AL733" s="114"/>
      <c r="AM733" s="114"/>
      <c r="AN733" s="114"/>
      <c r="AO733" s="114"/>
      <c r="AP733" s="114"/>
      <c r="AQ733" s="114"/>
      <c r="AR733" s="114"/>
      <c r="AS733" s="114"/>
      <c r="AT733" s="114"/>
      <c r="AU733" s="114"/>
      <c r="AV733" s="114"/>
      <c r="AW733" s="114"/>
      <c r="AX733" s="114"/>
      <c r="AY733" s="114"/>
      <c r="AZ733" s="114"/>
    </row>
    <row r="734" spans="1:52">
      <c r="A734" s="111"/>
      <c r="B734" s="111"/>
      <c r="C734" s="112"/>
      <c r="D734" s="101"/>
      <c r="E734" s="101"/>
      <c r="F734" s="101"/>
      <c r="G734" s="111"/>
      <c r="H734" s="101"/>
      <c r="I734" s="101"/>
      <c r="J734" s="101"/>
      <c r="K734" s="101"/>
      <c r="L734" s="101"/>
      <c r="M734" s="101"/>
      <c r="N734" s="101"/>
      <c r="O734" s="101"/>
      <c r="P734" s="101"/>
      <c r="Q734" s="101"/>
      <c r="R734" s="101"/>
      <c r="S734" s="101"/>
      <c r="T734" s="101"/>
      <c r="U734" s="101"/>
      <c r="V734" s="101"/>
      <c r="W734" s="101"/>
      <c r="X734" s="101"/>
      <c r="Y734" s="114"/>
      <c r="Z734" s="114"/>
      <c r="AA734" s="114"/>
      <c r="AB734" s="114"/>
      <c r="AC734" s="114"/>
      <c r="AD734" s="114"/>
      <c r="AE734" s="114"/>
      <c r="AF734" s="114"/>
      <c r="AG734" s="114"/>
      <c r="AH734" s="114"/>
      <c r="AI734" s="114"/>
      <c r="AJ734" s="114"/>
      <c r="AK734" s="114"/>
      <c r="AL734" s="114"/>
      <c r="AM734" s="114"/>
      <c r="AN734" s="114"/>
      <c r="AO734" s="114"/>
      <c r="AP734" s="114"/>
      <c r="AQ734" s="114"/>
      <c r="AR734" s="114"/>
      <c r="AS734" s="114"/>
      <c r="AT734" s="114"/>
      <c r="AU734" s="114"/>
      <c r="AV734" s="114"/>
      <c r="AW734" s="114"/>
      <c r="AX734" s="114"/>
      <c r="AY734" s="114"/>
      <c r="AZ734" s="114"/>
    </row>
    <row r="735" spans="1:52">
      <c r="A735" s="111"/>
      <c r="B735" s="111"/>
      <c r="C735" s="112"/>
      <c r="D735" s="101"/>
      <c r="E735" s="101"/>
      <c r="F735" s="101"/>
      <c r="G735" s="111"/>
      <c r="H735" s="101"/>
      <c r="I735" s="101"/>
      <c r="J735" s="101"/>
      <c r="K735" s="101"/>
      <c r="L735" s="101"/>
      <c r="M735" s="101"/>
      <c r="N735" s="101"/>
      <c r="O735" s="101"/>
      <c r="P735" s="101"/>
      <c r="Q735" s="101"/>
      <c r="R735" s="101"/>
      <c r="S735" s="101"/>
      <c r="T735" s="101"/>
      <c r="U735" s="101"/>
      <c r="V735" s="101"/>
      <c r="W735" s="101"/>
      <c r="X735" s="101"/>
      <c r="Y735" s="114"/>
      <c r="Z735" s="114"/>
      <c r="AA735" s="114"/>
      <c r="AB735" s="114"/>
      <c r="AC735" s="114"/>
      <c r="AD735" s="114"/>
      <c r="AE735" s="114"/>
      <c r="AF735" s="114"/>
      <c r="AG735" s="114"/>
      <c r="AH735" s="114"/>
      <c r="AI735" s="114"/>
      <c r="AJ735" s="114"/>
      <c r="AK735" s="114"/>
      <c r="AL735" s="114"/>
      <c r="AM735" s="114"/>
      <c r="AN735" s="114"/>
      <c r="AO735" s="114"/>
      <c r="AP735" s="114"/>
      <c r="AQ735" s="114"/>
      <c r="AR735" s="114"/>
      <c r="AS735" s="114"/>
      <c r="AT735" s="114"/>
      <c r="AU735" s="114"/>
      <c r="AV735" s="114"/>
      <c r="AW735" s="114"/>
      <c r="AX735" s="114"/>
      <c r="AY735" s="114"/>
      <c r="AZ735" s="114"/>
    </row>
    <row r="736" spans="1:52">
      <c r="A736" s="111"/>
      <c r="B736" s="111"/>
      <c r="C736" s="112"/>
      <c r="D736" s="101"/>
      <c r="E736" s="101"/>
      <c r="F736" s="101"/>
      <c r="G736" s="111"/>
      <c r="H736" s="101"/>
      <c r="I736" s="101"/>
      <c r="J736" s="101"/>
      <c r="K736" s="101"/>
      <c r="L736" s="101"/>
      <c r="M736" s="101"/>
      <c r="N736" s="101"/>
      <c r="O736" s="101"/>
      <c r="P736" s="101"/>
      <c r="Q736" s="101"/>
      <c r="R736" s="101"/>
      <c r="S736" s="101"/>
      <c r="T736" s="101"/>
      <c r="U736" s="101"/>
      <c r="V736" s="101"/>
      <c r="W736" s="101"/>
      <c r="X736" s="101"/>
      <c r="Y736" s="114"/>
      <c r="Z736" s="114"/>
      <c r="AA736" s="114"/>
      <c r="AB736" s="114"/>
      <c r="AC736" s="114"/>
      <c r="AD736" s="114"/>
      <c r="AE736" s="114"/>
      <c r="AF736" s="114"/>
      <c r="AG736" s="114"/>
      <c r="AH736" s="114"/>
      <c r="AI736" s="114"/>
      <c r="AJ736" s="114"/>
      <c r="AK736" s="114"/>
      <c r="AL736" s="114"/>
      <c r="AM736" s="114"/>
      <c r="AN736" s="114"/>
      <c r="AO736" s="114"/>
      <c r="AP736" s="114"/>
      <c r="AQ736" s="114"/>
      <c r="AR736" s="114"/>
      <c r="AS736" s="114"/>
      <c r="AT736" s="114"/>
      <c r="AU736" s="114"/>
      <c r="AV736" s="114"/>
      <c r="AW736" s="114"/>
      <c r="AX736" s="114"/>
      <c r="AY736" s="114"/>
      <c r="AZ736" s="114"/>
    </row>
    <row r="737" spans="1:52">
      <c r="A737" s="111"/>
      <c r="B737" s="111"/>
      <c r="C737" s="112"/>
      <c r="D737" s="101"/>
      <c r="E737" s="101"/>
      <c r="F737" s="101"/>
      <c r="G737" s="111"/>
      <c r="H737" s="101"/>
      <c r="I737" s="101"/>
      <c r="J737" s="101"/>
      <c r="K737" s="101"/>
      <c r="L737" s="101"/>
      <c r="M737" s="101"/>
      <c r="N737" s="101"/>
      <c r="O737" s="101"/>
      <c r="P737" s="101"/>
      <c r="Q737" s="101"/>
      <c r="R737" s="101"/>
      <c r="S737" s="101"/>
      <c r="T737" s="101"/>
      <c r="U737" s="101"/>
      <c r="V737" s="101"/>
      <c r="W737" s="101"/>
      <c r="X737" s="101"/>
      <c r="Y737" s="114"/>
      <c r="Z737" s="114"/>
      <c r="AA737" s="114"/>
      <c r="AB737" s="114"/>
      <c r="AC737" s="114"/>
      <c r="AD737" s="114"/>
      <c r="AE737" s="114"/>
      <c r="AF737" s="114"/>
      <c r="AG737" s="114"/>
      <c r="AH737" s="114"/>
      <c r="AI737" s="114"/>
      <c r="AJ737" s="114"/>
      <c r="AK737" s="114"/>
      <c r="AL737" s="114"/>
      <c r="AM737" s="114"/>
      <c r="AN737" s="114"/>
      <c r="AO737" s="114"/>
      <c r="AP737" s="114"/>
      <c r="AQ737" s="114"/>
      <c r="AR737" s="114"/>
      <c r="AS737" s="114"/>
      <c r="AT737" s="114"/>
      <c r="AU737" s="114"/>
      <c r="AV737" s="114"/>
      <c r="AW737" s="114"/>
      <c r="AX737" s="114"/>
      <c r="AY737" s="114"/>
      <c r="AZ737" s="114"/>
    </row>
    <row r="738" spans="1:52">
      <c r="A738" s="111"/>
      <c r="B738" s="111"/>
      <c r="C738" s="112"/>
      <c r="D738" s="101"/>
      <c r="E738" s="101"/>
      <c r="F738" s="101"/>
      <c r="G738" s="111"/>
      <c r="H738" s="101"/>
      <c r="I738" s="101"/>
      <c r="J738" s="101"/>
      <c r="K738" s="101"/>
      <c r="L738" s="101"/>
      <c r="M738" s="101"/>
      <c r="N738" s="101"/>
      <c r="O738" s="101"/>
      <c r="P738" s="101"/>
      <c r="Q738" s="101"/>
      <c r="R738" s="101"/>
      <c r="S738" s="101"/>
      <c r="T738" s="101"/>
      <c r="U738" s="101"/>
      <c r="V738" s="101"/>
      <c r="W738" s="101"/>
      <c r="X738" s="101"/>
      <c r="Y738" s="114"/>
      <c r="Z738" s="114"/>
      <c r="AA738" s="114"/>
      <c r="AB738" s="114"/>
      <c r="AC738" s="114"/>
      <c r="AD738" s="114"/>
      <c r="AE738" s="114"/>
      <c r="AF738" s="114"/>
      <c r="AG738" s="114"/>
      <c r="AH738" s="114"/>
      <c r="AI738" s="114"/>
      <c r="AJ738" s="114"/>
      <c r="AK738" s="114"/>
      <c r="AL738" s="114"/>
      <c r="AM738" s="114"/>
      <c r="AN738" s="114"/>
      <c r="AO738" s="114"/>
      <c r="AP738" s="114"/>
      <c r="AQ738" s="114"/>
      <c r="AR738" s="114"/>
      <c r="AS738" s="114"/>
      <c r="AT738" s="114"/>
      <c r="AU738" s="114"/>
      <c r="AV738" s="114"/>
      <c r="AW738" s="114"/>
      <c r="AX738" s="114"/>
      <c r="AY738" s="114"/>
      <c r="AZ738" s="114"/>
    </row>
    <row r="739" spans="1:52">
      <c r="A739" s="111"/>
      <c r="B739" s="111"/>
      <c r="C739" s="112"/>
      <c r="D739" s="101"/>
      <c r="E739" s="101"/>
      <c r="F739" s="101"/>
      <c r="G739" s="111"/>
      <c r="H739" s="101"/>
      <c r="I739" s="101"/>
      <c r="J739" s="101"/>
      <c r="K739" s="101"/>
      <c r="L739" s="101"/>
      <c r="M739" s="101"/>
      <c r="N739" s="101"/>
      <c r="O739" s="101"/>
      <c r="P739" s="101"/>
      <c r="Q739" s="101"/>
      <c r="R739" s="101"/>
      <c r="S739" s="101"/>
      <c r="T739" s="101"/>
      <c r="U739" s="101"/>
      <c r="V739" s="101"/>
      <c r="W739" s="101"/>
      <c r="X739" s="101"/>
      <c r="Y739" s="114"/>
      <c r="Z739" s="114"/>
      <c r="AA739" s="114"/>
      <c r="AB739" s="114"/>
      <c r="AC739" s="114"/>
      <c r="AD739" s="114"/>
      <c r="AE739" s="114"/>
      <c r="AF739" s="114"/>
      <c r="AG739" s="114"/>
      <c r="AH739" s="114"/>
      <c r="AI739" s="114"/>
      <c r="AJ739" s="114"/>
      <c r="AK739" s="114"/>
      <c r="AL739" s="114"/>
      <c r="AM739" s="114"/>
      <c r="AN739" s="114"/>
      <c r="AO739" s="114"/>
      <c r="AP739" s="114"/>
      <c r="AQ739" s="114"/>
      <c r="AR739" s="114"/>
      <c r="AS739" s="114"/>
      <c r="AT739" s="114"/>
      <c r="AU739" s="114"/>
      <c r="AV739" s="114"/>
      <c r="AW739" s="114"/>
      <c r="AX739" s="114"/>
      <c r="AY739" s="114"/>
      <c r="AZ739" s="114"/>
    </row>
    <row r="740" spans="1:52">
      <c r="A740" s="111"/>
      <c r="B740" s="111"/>
      <c r="C740" s="112"/>
      <c r="D740" s="101"/>
      <c r="E740" s="101"/>
      <c r="F740" s="101"/>
      <c r="G740" s="111"/>
      <c r="H740" s="101"/>
      <c r="I740" s="101"/>
      <c r="J740" s="101"/>
      <c r="K740" s="101"/>
      <c r="L740" s="101"/>
      <c r="M740" s="101"/>
      <c r="N740" s="101"/>
      <c r="O740" s="101"/>
      <c r="P740" s="101"/>
      <c r="Q740" s="101"/>
      <c r="R740" s="101"/>
      <c r="S740" s="101"/>
      <c r="T740" s="101"/>
      <c r="U740" s="101"/>
      <c r="V740" s="101"/>
      <c r="W740" s="101"/>
      <c r="X740" s="101"/>
      <c r="Y740" s="114"/>
      <c r="Z740" s="114"/>
      <c r="AA740" s="114"/>
      <c r="AB740" s="114"/>
      <c r="AC740" s="114"/>
      <c r="AD740" s="114"/>
      <c r="AE740" s="114"/>
      <c r="AF740" s="114"/>
      <c r="AG740" s="114"/>
      <c r="AH740" s="114"/>
      <c r="AI740" s="114"/>
      <c r="AJ740" s="114"/>
      <c r="AK740" s="114"/>
      <c r="AL740" s="114"/>
      <c r="AM740" s="114"/>
      <c r="AN740" s="114"/>
      <c r="AO740" s="114"/>
      <c r="AP740" s="114"/>
      <c r="AQ740" s="114"/>
      <c r="AR740" s="114"/>
      <c r="AS740" s="114"/>
      <c r="AT740" s="114"/>
      <c r="AU740" s="114"/>
      <c r="AV740" s="114"/>
      <c r="AW740" s="114"/>
      <c r="AX740" s="114"/>
      <c r="AY740" s="114"/>
      <c r="AZ740" s="114"/>
    </row>
    <row r="741" spans="1:52">
      <c r="A741" s="111"/>
      <c r="B741" s="111"/>
      <c r="C741" s="112"/>
      <c r="D741" s="101"/>
      <c r="E741" s="101"/>
      <c r="F741" s="101"/>
      <c r="G741" s="111"/>
      <c r="H741" s="101"/>
      <c r="I741" s="101"/>
      <c r="J741" s="101"/>
      <c r="K741" s="101"/>
      <c r="L741" s="101"/>
      <c r="M741" s="101"/>
      <c r="N741" s="101"/>
      <c r="O741" s="101"/>
      <c r="P741" s="101"/>
      <c r="Q741" s="101"/>
      <c r="R741" s="101"/>
      <c r="S741" s="101"/>
      <c r="T741" s="101"/>
      <c r="U741" s="101"/>
      <c r="V741" s="101"/>
      <c r="W741" s="101"/>
      <c r="X741" s="101"/>
      <c r="Y741" s="114"/>
      <c r="Z741" s="114"/>
      <c r="AA741" s="114"/>
      <c r="AB741" s="114"/>
      <c r="AC741" s="114"/>
      <c r="AD741" s="114"/>
      <c r="AE741" s="114"/>
      <c r="AF741" s="114"/>
      <c r="AG741" s="114"/>
      <c r="AH741" s="114"/>
      <c r="AI741" s="114"/>
      <c r="AJ741" s="114"/>
      <c r="AK741" s="114"/>
      <c r="AL741" s="114"/>
      <c r="AM741" s="114"/>
      <c r="AN741" s="114"/>
      <c r="AO741" s="114"/>
      <c r="AP741" s="114"/>
      <c r="AQ741" s="114"/>
      <c r="AR741" s="114"/>
      <c r="AS741" s="114"/>
      <c r="AT741" s="114"/>
      <c r="AU741" s="114"/>
      <c r="AV741" s="114"/>
      <c r="AW741" s="114"/>
      <c r="AX741" s="114"/>
      <c r="AY741" s="114"/>
      <c r="AZ741" s="114"/>
    </row>
    <row r="742" spans="1:52">
      <c r="A742" s="111"/>
      <c r="B742" s="111"/>
      <c r="C742" s="112"/>
      <c r="D742" s="101"/>
      <c r="E742" s="101"/>
      <c r="F742" s="101"/>
      <c r="G742" s="111"/>
      <c r="H742" s="101"/>
      <c r="I742" s="101"/>
      <c r="J742" s="101"/>
      <c r="K742" s="101"/>
      <c r="L742" s="101"/>
      <c r="M742" s="101"/>
      <c r="N742" s="101"/>
      <c r="O742" s="101"/>
      <c r="P742" s="101"/>
      <c r="Q742" s="101"/>
      <c r="R742" s="101"/>
      <c r="S742" s="101"/>
      <c r="T742" s="101"/>
      <c r="U742" s="101"/>
      <c r="V742" s="101"/>
      <c r="W742" s="101"/>
      <c r="X742" s="101"/>
      <c r="Y742" s="114"/>
      <c r="Z742" s="114"/>
      <c r="AA742" s="114"/>
      <c r="AB742" s="114"/>
      <c r="AC742" s="114"/>
      <c r="AD742" s="114"/>
      <c r="AE742" s="114"/>
      <c r="AF742" s="114"/>
      <c r="AG742" s="114"/>
      <c r="AH742" s="114"/>
      <c r="AI742" s="114"/>
      <c r="AJ742" s="114"/>
      <c r="AK742" s="114"/>
      <c r="AL742" s="114"/>
      <c r="AM742" s="114"/>
      <c r="AN742" s="114"/>
      <c r="AO742" s="114"/>
      <c r="AP742" s="114"/>
      <c r="AQ742" s="114"/>
      <c r="AR742" s="114"/>
      <c r="AS742" s="114"/>
      <c r="AT742" s="114"/>
      <c r="AU742" s="114"/>
      <c r="AV742" s="114"/>
      <c r="AW742" s="114"/>
      <c r="AX742" s="114"/>
      <c r="AY742" s="114"/>
      <c r="AZ742" s="114"/>
    </row>
    <row r="743" spans="1:52">
      <c r="A743" s="111"/>
      <c r="B743" s="111"/>
      <c r="C743" s="112"/>
      <c r="D743" s="101"/>
      <c r="E743" s="101"/>
      <c r="F743" s="101"/>
      <c r="G743" s="111"/>
      <c r="H743" s="101"/>
      <c r="I743" s="101"/>
      <c r="J743" s="101"/>
      <c r="K743" s="101"/>
      <c r="L743" s="101"/>
      <c r="M743" s="101"/>
      <c r="N743" s="101"/>
      <c r="O743" s="101"/>
      <c r="P743" s="101"/>
      <c r="Q743" s="101"/>
      <c r="R743" s="101"/>
      <c r="S743" s="101"/>
      <c r="T743" s="101"/>
      <c r="U743" s="101"/>
      <c r="V743" s="101"/>
      <c r="W743" s="101"/>
      <c r="X743" s="101"/>
      <c r="Y743" s="114"/>
      <c r="Z743" s="114"/>
      <c r="AA743" s="114"/>
      <c r="AB743" s="114"/>
      <c r="AC743" s="114"/>
      <c r="AD743" s="114"/>
      <c r="AE743" s="114"/>
      <c r="AF743" s="114"/>
      <c r="AG743" s="114"/>
      <c r="AH743" s="114"/>
      <c r="AI743" s="114"/>
      <c r="AJ743" s="114"/>
      <c r="AK743" s="114"/>
      <c r="AL743" s="114"/>
      <c r="AM743" s="114"/>
      <c r="AN743" s="114"/>
      <c r="AO743" s="114"/>
      <c r="AP743" s="114"/>
      <c r="AQ743" s="114"/>
      <c r="AR743" s="114"/>
      <c r="AS743" s="114"/>
      <c r="AT743" s="114"/>
      <c r="AU743" s="114"/>
      <c r="AV743" s="114"/>
      <c r="AW743" s="114"/>
      <c r="AX743" s="114"/>
      <c r="AY743" s="114"/>
      <c r="AZ743" s="114"/>
    </row>
    <row r="744" spans="1:52">
      <c r="A744" s="111"/>
      <c r="B744" s="111"/>
      <c r="C744" s="112"/>
      <c r="D744" s="101"/>
      <c r="E744" s="101"/>
      <c r="F744" s="101"/>
      <c r="G744" s="111"/>
      <c r="H744" s="101"/>
      <c r="I744" s="101"/>
      <c r="J744" s="101"/>
      <c r="K744" s="101"/>
      <c r="L744" s="101"/>
      <c r="M744" s="101"/>
      <c r="N744" s="101"/>
      <c r="O744" s="101"/>
      <c r="P744" s="101"/>
      <c r="Q744" s="101"/>
      <c r="R744" s="101"/>
      <c r="S744" s="101"/>
      <c r="T744" s="101"/>
      <c r="U744" s="101"/>
      <c r="V744" s="101"/>
      <c r="W744" s="101"/>
      <c r="X744" s="101"/>
      <c r="Y744" s="114"/>
      <c r="Z744" s="114"/>
      <c r="AA744" s="114"/>
      <c r="AB744" s="114"/>
      <c r="AC744" s="114"/>
      <c r="AD744" s="114"/>
      <c r="AE744" s="114"/>
      <c r="AF744" s="114"/>
      <c r="AG744" s="114"/>
      <c r="AH744" s="114"/>
      <c r="AI744" s="114"/>
      <c r="AJ744" s="114"/>
      <c r="AK744" s="114"/>
      <c r="AL744" s="114"/>
      <c r="AM744" s="114"/>
      <c r="AN744" s="114"/>
      <c r="AO744" s="114"/>
      <c r="AP744" s="114"/>
      <c r="AQ744" s="114"/>
      <c r="AR744" s="114"/>
      <c r="AS744" s="114"/>
      <c r="AT744" s="114"/>
      <c r="AU744" s="114"/>
      <c r="AV744" s="114"/>
      <c r="AW744" s="114"/>
      <c r="AX744" s="114"/>
      <c r="AY744" s="114"/>
      <c r="AZ744" s="114"/>
    </row>
    <row r="745" spans="1:52">
      <c r="A745" s="111"/>
      <c r="B745" s="111"/>
      <c r="C745" s="112"/>
      <c r="D745" s="101"/>
      <c r="E745" s="101"/>
      <c r="F745" s="101"/>
      <c r="G745" s="111"/>
      <c r="H745" s="101"/>
      <c r="I745" s="101"/>
      <c r="J745" s="101"/>
      <c r="K745" s="101"/>
      <c r="L745" s="101"/>
      <c r="M745" s="101"/>
      <c r="N745" s="101"/>
      <c r="O745" s="101"/>
      <c r="P745" s="101"/>
      <c r="Q745" s="101"/>
      <c r="R745" s="101"/>
      <c r="S745" s="101"/>
      <c r="T745" s="101"/>
      <c r="U745" s="101"/>
      <c r="V745" s="101"/>
      <c r="W745" s="101"/>
      <c r="X745" s="101"/>
      <c r="Y745" s="114"/>
      <c r="Z745" s="114"/>
      <c r="AA745" s="114"/>
      <c r="AB745" s="114"/>
      <c r="AC745" s="114"/>
      <c r="AD745" s="114"/>
      <c r="AE745" s="114"/>
      <c r="AF745" s="114"/>
      <c r="AG745" s="114"/>
      <c r="AH745" s="114"/>
      <c r="AI745" s="114"/>
      <c r="AJ745" s="114"/>
      <c r="AK745" s="114"/>
      <c r="AL745" s="114"/>
      <c r="AM745" s="114"/>
      <c r="AN745" s="114"/>
      <c r="AO745" s="114"/>
      <c r="AP745" s="114"/>
      <c r="AQ745" s="114"/>
      <c r="AR745" s="114"/>
      <c r="AS745" s="114"/>
      <c r="AT745" s="114"/>
      <c r="AU745" s="114"/>
      <c r="AV745" s="114"/>
      <c r="AW745" s="114"/>
      <c r="AX745" s="114"/>
      <c r="AY745" s="114"/>
      <c r="AZ745" s="114"/>
    </row>
    <row r="746" spans="1:52">
      <c r="A746" s="111"/>
      <c r="B746" s="111"/>
      <c r="C746" s="112"/>
      <c r="D746" s="101"/>
      <c r="E746" s="101"/>
      <c r="F746" s="101"/>
      <c r="G746" s="111"/>
      <c r="H746" s="101"/>
      <c r="I746" s="101"/>
      <c r="J746" s="101"/>
      <c r="K746" s="101"/>
      <c r="L746" s="101"/>
      <c r="M746" s="101"/>
      <c r="N746" s="101"/>
      <c r="O746" s="101"/>
      <c r="P746" s="101"/>
      <c r="Q746" s="101"/>
      <c r="R746" s="101"/>
      <c r="S746" s="101"/>
      <c r="T746" s="101"/>
      <c r="U746" s="101"/>
      <c r="V746" s="101"/>
      <c r="W746" s="101"/>
      <c r="X746" s="101"/>
      <c r="Y746" s="114"/>
      <c r="Z746" s="114"/>
      <c r="AA746" s="114"/>
      <c r="AB746" s="114"/>
      <c r="AC746" s="114"/>
      <c r="AD746" s="114"/>
      <c r="AE746" s="114"/>
      <c r="AF746" s="114"/>
      <c r="AG746" s="114"/>
      <c r="AH746" s="114"/>
      <c r="AI746" s="114"/>
      <c r="AJ746" s="114"/>
      <c r="AK746" s="114"/>
      <c r="AL746" s="114"/>
      <c r="AM746" s="114"/>
      <c r="AN746" s="114"/>
      <c r="AO746" s="114"/>
      <c r="AP746" s="114"/>
      <c r="AQ746" s="114"/>
      <c r="AR746" s="114"/>
      <c r="AS746" s="114"/>
      <c r="AT746" s="114"/>
      <c r="AU746" s="114"/>
      <c r="AV746" s="114"/>
      <c r="AW746" s="114"/>
      <c r="AX746" s="114"/>
      <c r="AY746" s="114"/>
      <c r="AZ746" s="114"/>
    </row>
    <row r="747" spans="1:52">
      <c r="A747" s="111"/>
      <c r="B747" s="111"/>
      <c r="C747" s="112"/>
      <c r="D747" s="101"/>
      <c r="E747" s="101"/>
      <c r="F747" s="101"/>
      <c r="G747" s="111"/>
      <c r="H747" s="101"/>
      <c r="I747" s="101"/>
      <c r="J747" s="101"/>
      <c r="K747" s="101"/>
      <c r="L747" s="101"/>
      <c r="M747" s="101"/>
      <c r="N747" s="101"/>
      <c r="O747" s="101"/>
      <c r="P747" s="101"/>
      <c r="Q747" s="101"/>
      <c r="R747" s="101"/>
      <c r="S747" s="101"/>
      <c r="T747" s="101"/>
      <c r="U747" s="101"/>
      <c r="V747" s="101"/>
      <c r="W747" s="101"/>
      <c r="X747" s="101"/>
      <c r="Y747" s="114"/>
      <c r="Z747" s="114"/>
      <c r="AA747" s="114"/>
      <c r="AB747" s="114"/>
      <c r="AC747" s="114"/>
      <c r="AD747" s="114"/>
      <c r="AE747" s="114"/>
      <c r="AF747" s="114"/>
      <c r="AG747" s="114"/>
      <c r="AH747" s="114"/>
      <c r="AI747" s="114"/>
      <c r="AJ747" s="114"/>
      <c r="AK747" s="114"/>
      <c r="AL747" s="114"/>
      <c r="AM747" s="114"/>
      <c r="AN747" s="114"/>
      <c r="AO747" s="114"/>
      <c r="AP747" s="114"/>
      <c r="AQ747" s="114"/>
      <c r="AR747" s="114"/>
      <c r="AS747" s="114"/>
      <c r="AT747" s="114"/>
      <c r="AU747" s="114"/>
      <c r="AV747" s="114"/>
      <c r="AW747" s="114"/>
      <c r="AX747" s="114"/>
      <c r="AY747" s="114"/>
      <c r="AZ747" s="114"/>
    </row>
    <row r="748" spans="1:52">
      <c r="A748" s="111"/>
      <c r="B748" s="111"/>
      <c r="C748" s="112"/>
      <c r="D748" s="101"/>
      <c r="E748" s="101"/>
      <c r="F748" s="101"/>
      <c r="G748" s="111"/>
      <c r="H748" s="101"/>
      <c r="I748" s="101"/>
      <c r="J748" s="101"/>
      <c r="K748" s="101"/>
      <c r="L748" s="101"/>
      <c r="M748" s="101"/>
      <c r="N748" s="101"/>
      <c r="O748" s="101"/>
      <c r="P748" s="101"/>
      <c r="Q748" s="101"/>
      <c r="R748" s="101"/>
      <c r="S748" s="101"/>
      <c r="T748" s="101"/>
      <c r="U748" s="101"/>
      <c r="V748" s="101"/>
      <c r="W748" s="101"/>
      <c r="X748" s="101"/>
      <c r="Y748" s="114"/>
      <c r="Z748" s="114"/>
      <c r="AA748" s="114"/>
      <c r="AB748" s="114"/>
      <c r="AC748" s="114"/>
      <c r="AD748" s="114"/>
      <c r="AE748" s="114"/>
      <c r="AF748" s="114"/>
      <c r="AG748" s="114"/>
      <c r="AH748" s="114"/>
      <c r="AI748" s="114"/>
      <c r="AJ748" s="114"/>
      <c r="AK748" s="114"/>
      <c r="AL748" s="114"/>
      <c r="AM748" s="114"/>
      <c r="AN748" s="114"/>
      <c r="AO748" s="114"/>
      <c r="AP748" s="114"/>
      <c r="AQ748" s="114"/>
      <c r="AR748" s="114"/>
      <c r="AS748" s="114"/>
      <c r="AT748" s="114"/>
      <c r="AU748" s="114"/>
      <c r="AV748" s="114"/>
      <c r="AW748" s="114"/>
      <c r="AX748" s="114"/>
      <c r="AY748" s="114"/>
      <c r="AZ748" s="114"/>
    </row>
    <row r="749" spans="1:52">
      <c r="A749" s="111"/>
      <c r="B749" s="111"/>
      <c r="C749" s="112"/>
      <c r="D749" s="101"/>
      <c r="E749" s="101"/>
      <c r="F749" s="101"/>
      <c r="G749" s="111"/>
      <c r="H749" s="101"/>
      <c r="I749" s="101"/>
      <c r="J749" s="101"/>
      <c r="K749" s="101"/>
      <c r="L749" s="101"/>
      <c r="M749" s="101"/>
      <c r="N749" s="101"/>
      <c r="O749" s="101"/>
      <c r="P749" s="101"/>
      <c r="Q749" s="101"/>
      <c r="R749" s="101"/>
      <c r="S749" s="101"/>
      <c r="T749" s="101"/>
      <c r="U749" s="101"/>
      <c r="V749" s="101"/>
      <c r="W749" s="101"/>
      <c r="X749" s="101"/>
      <c r="Y749" s="114"/>
      <c r="Z749" s="114"/>
      <c r="AA749" s="114"/>
      <c r="AB749" s="114"/>
      <c r="AC749" s="114"/>
      <c r="AD749" s="114"/>
      <c r="AE749" s="114"/>
      <c r="AF749" s="114"/>
      <c r="AG749" s="114"/>
      <c r="AH749" s="114"/>
      <c r="AI749" s="114"/>
      <c r="AJ749" s="114"/>
      <c r="AK749" s="114"/>
      <c r="AL749" s="114"/>
      <c r="AM749" s="114"/>
      <c r="AN749" s="114"/>
      <c r="AO749" s="114"/>
      <c r="AP749" s="114"/>
      <c r="AQ749" s="114"/>
      <c r="AR749" s="114"/>
      <c r="AS749" s="114"/>
      <c r="AT749" s="114"/>
      <c r="AU749" s="114"/>
      <c r="AV749" s="114"/>
      <c r="AW749" s="114"/>
      <c r="AX749" s="114"/>
      <c r="AY749" s="114"/>
      <c r="AZ749" s="114"/>
    </row>
    <row r="750" spans="1:52">
      <c r="A750" s="111"/>
      <c r="B750" s="111"/>
      <c r="C750" s="112"/>
      <c r="D750" s="101"/>
      <c r="E750" s="101"/>
      <c r="F750" s="101"/>
      <c r="G750" s="111"/>
      <c r="H750" s="101"/>
      <c r="I750" s="101"/>
      <c r="J750" s="101"/>
      <c r="K750" s="101"/>
      <c r="L750" s="101"/>
      <c r="M750" s="101"/>
      <c r="N750" s="101"/>
      <c r="O750" s="101"/>
      <c r="P750" s="101"/>
      <c r="Q750" s="101"/>
      <c r="R750" s="101"/>
      <c r="S750" s="101"/>
      <c r="T750" s="101"/>
      <c r="U750" s="101"/>
      <c r="V750" s="101"/>
      <c r="W750" s="101"/>
      <c r="X750" s="101"/>
      <c r="Y750" s="114"/>
      <c r="Z750" s="114"/>
      <c r="AA750" s="114"/>
      <c r="AB750" s="114"/>
      <c r="AC750" s="114"/>
      <c r="AD750" s="114"/>
      <c r="AE750" s="114"/>
      <c r="AF750" s="114"/>
      <c r="AG750" s="114"/>
      <c r="AH750" s="114"/>
      <c r="AI750" s="114"/>
      <c r="AJ750" s="114"/>
      <c r="AK750" s="114"/>
      <c r="AL750" s="114"/>
      <c r="AM750" s="114"/>
      <c r="AN750" s="114"/>
      <c r="AO750" s="114"/>
      <c r="AP750" s="114"/>
      <c r="AQ750" s="114"/>
      <c r="AR750" s="114"/>
      <c r="AS750" s="114"/>
      <c r="AT750" s="114"/>
      <c r="AU750" s="114"/>
      <c r="AV750" s="114"/>
      <c r="AW750" s="114"/>
      <c r="AX750" s="114"/>
      <c r="AY750" s="114"/>
      <c r="AZ750" s="114"/>
    </row>
    <row r="751" spans="1:52">
      <c r="A751" s="111"/>
      <c r="B751" s="111"/>
      <c r="C751" s="112"/>
      <c r="D751" s="101"/>
      <c r="E751" s="101"/>
      <c r="F751" s="101"/>
      <c r="G751" s="111"/>
      <c r="H751" s="101"/>
      <c r="I751" s="101"/>
      <c r="J751" s="101"/>
      <c r="K751" s="101"/>
      <c r="L751" s="101"/>
      <c r="M751" s="101"/>
      <c r="N751" s="101"/>
      <c r="O751" s="101"/>
      <c r="P751" s="101"/>
      <c r="Q751" s="101"/>
      <c r="R751" s="101"/>
      <c r="S751" s="101"/>
      <c r="T751" s="101"/>
      <c r="U751" s="101"/>
      <c r="V751" s="101"/>
      <c r="W751" s="101"/>
      <c r="X751" s="101"/>
      <c r="Y751" s="114"/>
      <c r="Z751" s="114"/>
      <c r="AA751" s="114"/>
      <c r="AB751" s="114"/>
      <c r="AC751" s="114"/>
      <c r="AD751" s="114"/>
      <c r="AE751" s="114"/>
      <c r="AF751" s="114"/>
      <c r="AG751" s="114"/>
      <c r="AH751" s="114"/>
      <c r="AI751" s="114"/>
      <c r="AJ751" s="114"/>
      <c r="AK751" s="114"/>
      <c r="AL751" s="114"/>
      <c r="AM751" s="114"/>
      <c r="AN751" s="114"/>
      <c r="AO751" s="114"/>
      <c r="AP751" s="114"/>
      <c r="AQ751" s="114"/>
      <c r="AR751" s="114"/>
      <c r="AS751" s="114"/>
      <c r="AT751" s="114"/>
      <c r="AU751" s="114"/>
      <c r="AV751" s="114"/>
      <c r="AW751" s="114"/>
      <c r="AX751" s="114"/>
      <c r="AY751" s="114"/>
      <c r="AZ751" s="114"/>
    </row>
    <row r="752" spans="1:52">
      <c r="A752" s="111"/>
      <c r="B752" s="111"/>
      <c r="C752" s="112"/>
      <c r="D752" s="101"/>
      <c r="E752" s="101"/>
      <c r="F752" s="101"/>
      <c r="G752" s="111"/>
      <c r="H752" s="101"/>
      <c r="I752" s="101"/>
      <c r="J752" s="101"/>
      <c r="K752" s="101"/>
      <c r="L752" s="101"/>
      <c r="M752" s="101"/>
      <c r="N752" s="101"/>
      <c r="O752" s="101"/>
      <c r="P752" s="101"/>
      <c r="Q752" s="101"/>
      <c r="R752" s="101"/>
      <c r="S752" s="101"/>
      <c r="T752" s="101"/>
      <c r="U752" s="101"/>
      <c r="V752" s="101"/>
      <c r="W752" s="101"/>
      <c r="X752" s="101"/>
      <c r="Y752" s="114"/>
      <c r="Z752" s="114"/>
      <c r="AA752" s="114"/>
      <c r="AB752" s="114"/>
      <c r="AC752" s="114"/>
      <c r="AD752" s="114"/>
      <c r="AE752" s="114"/>
      <c r="AF752" s="114"/>
      <c r="AG752" s="114"/>
      <c r="AH752" s="114"/>
      <c r="AI752" s="114"/>
      <c r="AJ752" s="114"/>
      <c r="AK752" s="114"/>
      <c r="AL752" s="114"/>
      <c r="AM752" s="114"/>
      <c r="AN752" s="114"/>
      <c r="AO752" s="114"/>
      <c r="AP752" s="114"/>
      <c r="AQ752" s="114"/>
      <c r="AR752" s="114"/>
      <c r="AS752" s="114"/>
      <c r="AT752" s="114"/>
      <c r="AU752" s="114"/>
      <c r="AV752" s="114"/>
      <c r="AW752" s="114"/>
      <c r="AX752" s="114"/>
      <c r="AY752" s="114"/>
      <c r="AZ752" s="114"/>
    </row>
    <row r="753" spans="1:52">
      <c r="A753" s="111"/>
      <c r="B753" s="111"/>
      <c r="C753" s="112"/>
      <c r="D753" s="101"/>
      <c r="E753" s="101"/>
      <c r="F753" s="101"/>
      <c r="G753" s="111"/>
      <c r="H753" s="101"/>
      <c r="I753" s="101"/>
      <c r="J753" s="101"/>
      <c r="K753" s="101"/>
      <c r="L753" s="101"/>
      <c r="M753" s="101"/>
      <c r="N753" s="101"/>
      <c r="O753" s="101"/>
      <c r="P753" s="101"/>
      <c r="Q753" s="101"/>
      <c r="R753" s="101"/>
      <c r="S753" s="101"/>
      <c r="T753" s="101"/>
      <c r="U753" s="101"/>
      <c r="V753" s="101"/>
      <c r="W753" s="101"/>
      <c r="X753" s="101"/>
      <c r="Y753" s="114"/>
      <c r="Z753" s="114"/>
      <c r="AA753" s="114"/>
      <c r="AB753" s="114"/>
      <c r="AC753" s="114"/>
      <c r="AD753" s="114"/>
      <c r="AE753" s="114"/>
      <c r="AF753" s="114"/>
      <c r="AG753" s="114"/>
      <c r="AH753" s="114"/>
      <c r="AI753" s="114"/>
      <c r="AJ753" s="114"/>
      <c r="AK753" s="114"/>
      <c r="AL753" s="114"/>
      <c r="AM753" s="114"/>
      <c r="AN753" s="114"/>
      <c r="AO753" s="114"/>
      <c r="AP753" s="114"/>
      <c r="AQ753" s="114"/>
      <c r="AR753" s="114"/>
      <c r="AS753" s="114"/>
      <c r="AT753" s="114"/>
      <c r="AU753" s="114"/>
      <c r="AV753" s="114"/>
      <c r="AW753" s="114"/>
      <c r="AX753" s="114"/>
      <c r="AY753" s="114"/>
      <c r="AZ753" s="114"/>
    </row>
    <row r="754" spans="1:52">
      <c r="A754" s="111"/>
      <c r="B754" s="111"/>
      <c r="C754" s="112"/>
      <c r="D754" s="101"/>
      <c r="E754" s="101"/>
      <c r="F754" s="101"/>
      <c r="G754" s="111"/>
      <c r="H754" s="101"/>
      <c r="I754" s="101"/>
      <c r="J754" s="101"/>
      <c r="K754" s="101"/>
      <c r="L754" s="101"/>
      <c r="M754" s="101"/>
      <c r="N754" s="101"/>
      <c r="O754" s="101"/>
      <c r="P754" s="101"/>
      <c r="Q754" s="101"/>
      <c r="R754" s="101"/>
      <c r="S754" s="101"/>
      <c r="T754" s="101"/>
      <c r="U754" s="101"/>
      <c r="V754" s="101"/>
      <c r="W754" s="101"/>
      <c r="X754" s="101"/>
      <c r="Y754" s="114"/>
      <c r="Z754" s="114"/>
      <c r="AA754" s="114"/>
      <c r="AB754" s="114"/>
      <c r="AC754" s="114"/>
      <c r="AD754" s="114"/>
      <c r="AE754" s="114"/>
      <c r="AF754" s="114"/>
      <c r="AG754" s="114"/>
      <c r="AH754" s="114"/>
      <c r="AI754" s="114"/>
      <c r="AJ754" s="114"/>
      <c r="AK754" s="114"/>
      <c r="AL754" s="114"/>
      <c r="AM754" s="114"/>
      <c r="AN754" s="114"/>
      <c r="AO754" s="114"/>
      <c r="AP754" s="114"/>
      <c r="AQ754" s="114"/>
      <c r="AR754" s="114"/>
      <c r="AS754" s="114"/>
      <c r="AT754" s="114"/>
      <c r="AU754" s="114"/>
      <c r="AV754" s="114"/>
      <c r="AW754" s="114"/>
      <c r="AX754" s="114"/>
      <c r="AY754" s="114"/>
      <c r="AZ754" s="114"/>
    </row>
    <row r="755" spans="1:52">
      <c r="A755" s="111"/>
      <c r="B755" s="111"/>
      <c r="C755" s="112"/>
      <c r="D755" s="101"/>
      <c r="E755" s="101"/>
      <c r="F755" s="101"/>
      <c r="G755" s="111"/>
      <c r="H755" s="101"/>
      <c r="I755" s="101"/>
      <c r="J755" s="101"/>
      <c r="K755" s="101"/>
      <c r="L755" s="101"/>
      <c r="M755" s="101"/>
      <c r="N755" s="101"/>
      <c r="O755" s="101"/>
      <c r="P755" s="101"/>
      <c r="Q755" s="101"/>
      <c r="R755" s="101"/>
      <c r="S755" s="101"/>
      <c r="T755" s="101"/>
      <c r="U755" s="101"/>
      <c r="V755" s="101"/>
      <c r="W755" s="101"/>
      <c r="X755" s="101"/>
      <c r="Y755" s="114"/>
      <c r="Z755" s="114"/>
      <c r="AA755" s="114"/>
      <c r="AB755" s="114"/>
      <c r="AC755" s="114"/>
      <c r="AD755" s="114"/>
      <c r="AE755" s="114"/>
      <c r="AF755" s="114"/>
      <c r="AG755" s="114"/>
      <c r="AH755" s="114"/>
      <c r="AI755" s="114"/>
      <c r="AJ755" s="114"/>
      <c r="AK755" s="114"/>
      <c r="AL755" s="114"/>
      <c r="AM755" s="114"/>
      <c r="AN755" s="114"/>
      <c r="AO755" s="114"/>
      <c r="AP755" s="114"/>
      <c r="AQ755" s="114"/>
      <c r="AR755" s="114"/>
      <c r="AS755" s="114"/>
      <c r="AT755" s="114"/>
      <c r="AU755" s="114"/>
      <c r="AV755" s="114"/>
      <c r="AW755" s="114"/>
      <c r="AX755" s="114"/>
      <c r="AY755" s="114"/>
      <c r="AZ755" s="114"/>
    </row>
    <row r="756" spans="1:52">
      <c r="A756" s="111"/>
      <c r="B756" s="111"/>
      <c r="C756" s="112"/>
      <c r="D756" s="101"/>
      <c r="E756" s="101"/>
      <c r="F756" s="101"/>
      <c r="G756" s="111"/>
      <c r="H756" s="101"/>
      <c r="I756" s="101"/>
      <c r="J756" s="101"/>
      <c r="K756" s="101"/>
      <c r="L756" s="101"/>
      <c r="M756" s="101"/>
      <c r="N756" s="101"/>
      <c r="O756" s="101"/>
      <c r="P756" s="101"/>
      <c r="Q756" s="101"/>
      <c r="R756" s="101"/>
      <c r="S756" s="101"/>
      <c r="T756" s="101"/>
      <c r="U756" s="101"/>
      <c r="V756" s="101"/>
      <c r="W756" s="101"/>
      <c r="X756" s="101"/>
      <c r="Y756" s="114"/>
      <c r="Z756" s="114"/>
      <c r="AA756" s="114"/>
      <c r="AB756" s="114"/>
      <c r="AC756" s="114"/>
      <c r="AD756" s="114"/>
      <c r="AE756" s="114"/>
      <c r="AF756" s="114"/>
      <c r="AG756" s="114"/>
      <c r="AH756" s="114"/>
      <c r="AI756" s="114"/>
      <c r="AJ756" s="114"/>
      <c r="AK756" s="114"/>
      <c r="AL756" s="114"/>
      <c r="AM756" s="114"/>
      <c r="AN756" s="114"/>
      <c r="AO756" s="114"/>
      <c r="AP756" s="114"/>
      <c r="AQ756" s="114"/>
      <c r="AR756" s="114"/>
      <c r="AS756" s="114"/>
      <c r="AT756" s="114"/>
      <c r="AU756" s="114"/>
      <c r="AV756" s="114"/>
      <c r="AW756" s="114"/>
      <c r="AX756" s="114"/>
      <c r="AY756" s="114"/>
      <c r="AZ756" s="114"/>
    </row>
    <row r="757" spans="1:52">
      <c r="A757" s="111"/>
      <c r="B757" s="111"/>
      <c r="C757" s="112"/>
      <c r="D757" s="101"/>
      <c r="E757" s="101"/>
      <c r="F757" s="101"/>
      <c r="G757" s="111"/>
      <c r="H757" s="101"/>
      <c r="I757" s="101"/>
      <c r="J757" s="101"/>
      <c r="K757" s="101"/>
      <c r="L757" s="101"/>
      <c r="M757" s="101"/>
      <c r="N757" s="101"/>
      <c r="O757" s="101"/>
      <c r="P757" s="101"/>
      <c r="Q757" s="101"/>
      <c r="R757" s="101"/>
      <c r="S757" s="101"/>
      <c r="T757" s="101"/>
      <c r="U757" s="101"/>
      <c r="V757" s="101"/>
      <c r="W757" s="101"/>
      <c r="X757" s="101"/>
      <c r="Y757" s="114"/>
      <c r="Z757" s="114"/>
      <c r="AA757" s="114"/>
      <c r="AB757" s="114"/>
      <c r="AC757" s="114"/>
      <c r="AD757" s="114"/>
      <c r="AE757" s="114"/>
      <c r="AF757" s="114"/>
      <c r="AG757" s="114"/>
      <c r="AH757" s="114"/>
      <c r="AI757" s="114"/>
      <c r="AJ757" s="114"/>
      <c r="AK757" s="114"/>
      <c r="AL757" s="114"/>
      <c r="AM757" s="114"/>
      <c r="AN757" s="114"/>
      <c r="AO757" s="114"/>
      <c r="AP757" s="114"/>
      <c r="AQ757" s="114"/>
      <c r="AR757" s="114"/>
      <c r="AS757" s="114"/>
      <c r="AT757" s="114"/>
      <c r="AU757" s="114"/>
      <c r="AV757" s="114"/>
      <c r="AW757" s="114"/>
      <c r="AX757" s="114"/>
      <c r="AY757" s="114"/>
      <c r="AZ757" s="114"/>
    </row>
    <row r="758" spans="1:52">
      <c r="A758" s="111"/>
      <c r="B758" s="111"/>
      <c r="C758" s="112"/>
      <c r="D758" s="101"/>
      <c r="E758" s="101"/>
      <c r="F758" s="101"/>
      <c r="G758" s="111"/>
      <c r="H758" s="101"/>
      <c r="I758" s="101"/>
      <c r="J758" s="101"/>
      <c r="K758" s="101"/>
      <c r="L758" s="101"/>
      <c r="M758" s="101"/>
      <c r="N758" s="101"/>
      <c r="O758" s="101"/>
      <c r="P758" s="101"/>
      <c r="Q758" s="101"/>
      <c r="R758" s="101"/>
      <c r="S758" s="101"/>
      <c r="T758" s="101"/>
      <c r="U758" s="101"/>
      <c r="V758" s="101"/>
      <c r="W758" s="101"/>
      <c r="X758" s="101"/>
      <c r="Y758" s="114"/>
      <c r="Z758" s="114"/>
      <c r="AA758" s="114"/>
      <c r="AB758" s="114"/>
      <c r="AC758" s="114"/>
      <c r="AD758" s="114"/>
      <c r="AE758" s="114"/>
      <c r="AF758" s="114"/>
      <c r="AG758" s="114"/>
      <c r="AH758" s="114"/>
      <c r="AI758" s="114"/>
      <c r="AJ758" s="114"/>
      <c r="AK758" s="114"/>
      <c r="AL758" s="114"/>
      <c r="AM758" s="114"/>
      <c r="AN758" s="114"/>
      <c r="AO758" s="114"/>
      <c r="AP758" s="114"/>
      <c r="AQ758" s="114"/>
      <c r="AR758" s="114"/>
      <c r="AS758" s="114"/>
      <c r="AT758" s="114"/>
      <c r="AU758" s="114"/>
      <c r="AV758" s="114"/>
      <c r="AW758" s="114"/>
      <c r="AX758" s="114"/>
      <c r="AY758" s="114"/>
      <c r="AZ758" s="114"/>
    </row>
    <row r="759" spans="1:52">
      <c r="A759" s="111"/>
      <c r="B759" s="111"/>
      <c r="C759" s="112"/>
      <c r="D759" s="101"/>
      <c r="E759" s="101"/>
      <c r="F759" s="101"/>
      <c r="G759" s="111"/>
      <c r="H759" s="101"/>
      <c r="I759" s="101"/>
      <c r="J759" s="101"/>
      <c r="K759" s="101"/>
      <c r="L759" s="101"/>
      <c r="M759" s="101"/>
      <c r="N759" s="101"/>
      <c r="O759" s="101"/>
      <c r="P759" s="101"/>
      <c r="Q759" s="101"/>
      <c r="R759" s="101"/>
      <c r="S759" s="101"/>
      <c r="T759" s="101"/>
      <c r="U759" s="101"/>
      <c r="V759" s="101"/>
      <c r="W759" s="101"/>
      <c r="X759" s="101"/>
      <c r="Y759" s="114"/>
      <c r="Z759" s="114"/>
      <c r="AA759" s="114"/>
      <c r="AB759" s="114"/>
      <c r="AC759" s="114"/>
      <c r="AD759" s="114"/>
      <c r="AE759" s="114"/>
      <c r="AF759" s="114"/>
      <c r="AG759" s="114"/>
      <c r="AH759" s="114"/>
      <c r="AI759" s="114"/>
      <c r="AJ759" s="114"/>
      <c r="AK759" s="114"/>
      <c r="AL759" s="114"/>
      <c r="AM759" s="114"/>
      <c r="AN759" s="114"/>
      <c r="AO759" s="114"/>
      <c r="AP759" s="114"/>
      <c r="AQ759" s="114"/>
      <c r="AR759" s="114"/>
      <c r="AS759" s="114"/>
      <c r="AT759" s="114"/>
      <c r="AU759" s="114"/>
      <c r="AV759" s="114"/>
      <c r="AW759" s="114"/>
      <c r="AX759" s="114"/>
      <c r="AY759" s="114"/>
      <c r="AZ759" s="114"/>
    </row>
    <row r="760" spans="1:52">
      <c r="A760" s="111"/>
      <c r="B760" s="111"/>
      <c r="C760" s="112"/>
      <c r="D760" s="101"/>
      <c r="E760" s="101"/>
      <c r="F760" s="101"/>
      <c r="G760" s="111"/>
      <c r="H760" s="101"/>
      <c r="I760" s="101"/>
      <c r="J760" s="101"/>
      <c r="K760" s="101"/>
      <c r="L760" s="101"/>
      <c r="M760" s="101"/>
      <c r="N760" s="101"/>
      <c r="O760" s="101"/>
      <c r="P760" s="101"/>
      <c r="Q760" s="101"/>
      <c r="R760" s="101"/>
      <c r="S760" s="101"/>
      <c r="T760" s="101"/>
      <c r="U760" s="101"/>
      <c r="V760" s="101"/>
      <c r="W760" s="101"/>
      <c r="X760" s="101"/>
      <c r="Y760" s="114"/>
      <c r="Z760" s="114"/>
      <c r="AA760" s="114"/>
      <c r="AB760" s="114"/>
      <c r="AC760" s="114"/>
      <c r="AD760" s="114"/>
      <c r="AE760" s="114"/>
      <c r="AF760" s="114"/>
      <c r="AG760" s="114"/>
      <c r="AH760" s="114"/>
      <c r="AI760" s="114"/>
      <c r="AJ760" s="114"/>
      <c r="AK760" s="114"/>
      <c r="AL760" s="114"/>
      <c r="AM760" s="114"/>
      <c r="AN760" s="114"/>
      <c r="AO760" s="114"/>
      <c r="AP760" s="114"/>
      <c r="AQ760" s="114"/>
      <c r="AR760" s="114"/>
      <c r="AS760" s="114"/>
      <c r="AT760" s="114"/>
      <c r="AU760" s="114"/>
      <c r="AV760" s="114"/>
      <c r="AW760" s="114"/>
      <c r="AX760" s="114"/>
      <c r="AY760" s="114"/>
      <c r="AZ760" s="114"/>
    </row>
    <row r="761" spans="1:52">
      <c r="A761" s="111"/>
      <c r="B761" s="111"/>
      <c r="C761" s="112"/>
      <c r="D761" s="101"/>
      <c r="E761" s="101"/>
      <c r="F761" s="101"/>
      <c r="G761" s="111"/>
      <c r="H761" s="101"/>
      <c r="I761" s="101"/>
      <c r="J761" s="101"/>
      <c r="K761" s="101"/>
      <c r="L761" s="101"/>
      <c r="M761" s="101"/>
      <c r="N761" s="101"/>
      <c r="O761" s="101"/>
      <c r="P761" s="101"/>
      <c r="Q761" s="101"/>
      <c r="R761" s="101"/>
      <c r="S761" s="101"/>
      <c r="T761" s="101"/>
      <c r="U761" s="101"/>
      <c r="V761" s="101"/>
      <c r="W761" s="101"/>
      <c r="X761" s="101"/>
      <c r="Y761" s="114"/>
      <c r="Z761" s="114"/>
      <c r="AA761" s="114"/>
      <c r="AB761" s="114"/>
      <c r="AC761" s="114"/>
      <c r="AD761" s="114"/>
      <c r="AE761" s="114"/>
      <c r="AF761" s="114"/>
      <c r="AG761" s="114"/>
      <c r="AH761" s="114"/>
      <c r="AI761" s="114"/>
      <c r="AJ761" s="114"/>
      <c r="AK761" s="114"/>
      <c r="AL761" s="114"/>
      <c r="AM761" s="114"/>
      <c r="AN761" s="114"/>
      <c r="AO761" s="114"/>
      <c r="AP761" s="114"/>
      <c r="AQ761" s="114"/>
      <c r="AR761" s="114"/>
      <c r="AS761" s="114"/>
      <c r="AT761" s="114"/>
      <c r="AU761" s="114"/>
      <c r="AV761" s="114"/>
      <c r="AW761" s="114"/>
      <c r="AX761" s="114"/>
      <c r="AY761" s="114"/>
      <c r="AZ761" s="114"/>
    </row>
    <row r="762" spans="1:52">
      <c r="A762" s="111"/>
      <c r="B762" s="111"/>
      <c r="C762" s="112"/>
      <c r="D762" s="101"/>
      <c r="E762" s="101"/>
      <c r="F762" s="101"/>
      <c r="G762" s="111"/>
      <c r="H762" s="101"/>
      <c r="I762" s="101"/>
      <c r="J762" s="101"/>
      <c r="K762" s="101"/>
      <c r="L762" s="101"/>
      <c r="M762" s="101"/>
      <c r="N762" s="101"/>
      <c r="O762" s="101"/>
      <c r="P762" s="101"/>
      <c r="Q762" s="101"/>
      <c r="R762" s="101"/>
      <c r="S762" s="101"/>
      <c r="T762" s="101"/>
      <c r="U762" s="101"/>
      <c r="V762" s="101"/>
      <c r="W762" s="101"/>
      <c r="X762" s="101"/>
      <c r="Y762" s="114"/>
      <c r="Z762" s="114"/>
      <c r="AA762" s="114"/>
      <c r="AB762" s="114"/>
      <c r="AC762" s="114"/>
      <c r="AD762" s="114"/>
      <c r="AE762" s="114"/>
      <c r="AF762" s="114"/>
      <c r="AG762" s="114"/>
      <c r="AH762" s="114"/>
      <c r="AI762" s="114"/>
      <c r="AJ762" s="114"/>
      <c r="AK762" s="114"/>
      <c r="AL762" s="114"/>
      <c r="AM762" s="114"/>
      <c r="AN762" s="114"/>
      <c r="AO762" s="114"/>
      <c r="AP762" s="114"/>
      <c r="AQ762" s="114"/>
      <c r="AR762" s="114"/>
      <c r="AS762" s="114"/>
      <c r="AT762" s="114"/>
      <c r="AU762" s="114"/>
      <c r="AV762" s="114"/>
      <c r="AW762" s="114"/>
      <c r="AX762" s="114"/>
      <c r="AY762" s="114"/>
      <c r="AZ762" s="114"/>
    </row>
    <row r="763" spans="1:52">
      <c r="A763" s="111"/>
      <c r="B763" s="111"/>
      <c r="C763" s="112"/>
      <c r="D763" s="101"/>
      <c r="E763" s="101"/>
      <c r="F763" s="101"/>
      <c r="G763" s="111"/>
      <c r="H763" s="101"/>
      <c r="I763" s="101"/>
      <c r="J763" s="101"/>
      <c r="K763" s="101"/>
      <c r="L763" s="101"/>
      <c r="M763" s="101"/>
      <c r="N763" s="101"/>
      <c r="O763" s="101"/>
      <c r="P763" s="101"/>
      <c r="Q763" s="101"/>
      <c r="R763" s="101"/>
      <c r="S763" s="101"/>
      <c r="T763" s="101"/>
      <c r="U763" s="101"/>
      <c r="V763" s="101"/>
      <c r="W763" s="101"/>
      <c r="X763" s="101"/>
      <c r="Y763" s="114"/>
      <c r="Z763" s="114"/>
      <c r="AA763" s="114"/>
      <c r="AB763" s="114"/>
      <c r="AC763" s="114"/>
      <c r="AD763" s="114"/>
      <c r="AE763" s="114"/>
      <c r="AF763" s="114"/>
      <c r="AG763" s="114"/>
      <c r="AH763" s="114"/>
      <c r="AI763" s="114"/>
      <c r="AJ763" s="114"/>
      <c r="AK763" s="114"/>
      <c r="AL763" s="114"/>
      <c r="AM763" s="114"/>
      <c r="AN763" s="114"/>
      <c r="AO763" s="114"/>
      <c r="AP763" s="114"/>
      <c r="AQ763" s="114"/>
      <c r="AR763" s="114"/>
      <c r="AS763" s="114"/>
      <c r="AT763" s="114"/>
      <c r="AU763" s="114"/>
      <c r="AV763" s="114"/>
      <c r="AW763" s="114"/>
      <c r="AX763" s="114"/>
      <c r="AY763" s="114"/>
      <c r="AZ763" s="114"/>
    </row>
    <row r="764" spans="1:52">
      <c r="A764" s="111"/>
      <c r="B764" s="111"/>
      <c r="C764" s="112"/>
      <c r="D764" s="101"/>
      <c r="E764" s="101"/>
      <c r="F764" s="101"/>
      <c r="G764" s="111"/>
      <c r="H764" s="101"/>
      <c r="I764" s="101"/>
      <c r="J764" s="101"/>
      <c r="K764" s="101"/>
      <c r="L764" s="101"/>
      <c r="M764" s="101"/>
      <c r="N764" s="101"/>
      <c r="O764" s="101"/>
      <c r="P764" s="101"/>
      <c r="Q764" s="101"/>
      <c r="R764" s="101"/>
      <c r="S764" s="101"/>
      <c r="T764" s="101"/>
      <c r="U764" s="101"/>
      <c r="V764" s="101"/>
      <c r="W764" s="101"/>
      <c r="X764" s="101"/>
      <c r="Y764" s="114"/>
      <c r="Z764" s="114"/>
      <c r="AA764" s="114"/>
      <c r="AB764" s="114"/>
      <c r="AC764" s="114"/>
      <c r="AD764" s="114"/>
      <c r="AE764" s="114"/>
      <c r="AF764" s="114"/>
      <c r="AG764" s="114"/>
      <c r="AH764" s="114"/>
      <c r="AI764" s="114"/>
      <c r="AJ764" s="114"/>
      <c r="AK764" s="114"/>
      <c r="AL764" s="114"/>
      <c r="AM764" s="114"/>
      <c r="AN764" s="114"/>
      <c r="AO764" s="114"/>
      <c r="AP764" s="114"/>
      <c r="AQ764" s="114"/>
      <c r="AR764" s="114"/>
      <c r="AS764" s="114"/>
      <c r="AT764" s="114"/>
      <c r="AU764" s="114"/>
      <c r="AV764" s="114"/>
      <c r="AW764" s="114"/>
      <c r="AX764" s="114"/>
      <c r="AY764" s="114"/>
      <c r="AZ764" s="114"/>
    </row>
    <row r="765" spans="1:52">
      <c r="A765" s="111"/>
      <c r="B765" s="111"/>
      <c r="C765" s="112"/>
      <c r="D765" s="101"/>
      <c r="E765" s="101"/>
      <c r="F765" s="101"/>
      <c r="G765" s="111"/>
      <c r="H765" s="101"/>
      <c r="I765" s="101"/>
      <c r="J765" s="101"/>
      <c r="K765" s="101"/>
      <c r="L765" s="101"/>
      <c r="M765" s="101"/>
      <c r="N765" s="101"/>
      <c r="O765" s="101"/>
      <c r="P765" s="101"/>
      <c r="Q765" s="101"/>
      <c r="R765" s="101"/>
      <c r="S765" s="101"/>
      <c r="T765" s="101"/>
      <c r="U765" s="101"/>
      <c r="V765" s="101"/>
      <c r="W765" s="101"/>
      <c r="X765" s="101"/>
      <c r="Y765" s="114"/>
      <c r="Z765" s="114"/>
      <c r="AA765" s="114"/>
      <c r="AB765" s="114"/>
      <c r="AC765" s="114"/>
      <c r="AD765" s="114"/>
      <c r="AE765" s="114"/>
      <c r="AF765" s="114"/>
      <c r="AG765" s="114"/>
      <c r="AH765" s="114"/>
      <c r="AI765" s="114"/>
      <c r="AJ765" s="114"/>
      <c r="AK765" s="114"/>
      <c r="AL765" s="114"/>
      <c r="AM765" s="114"/>
      <c r="AN765" s="114"/>
      <c r="AO765" s="114"/>
      <c r="AP765" s="114"/>
      <c r="AQ765" s="114"/>
      <c r="AR765" s="114"/>
      <c r="AS765" s="114"/>
      <c r="AT765" s="114"/>
      <c r="AU765" s="114"/>
      <c r="AV765" s="114"/>
      <c r="AW765" s="114"/>
      <c r="AX765" s="114"/>
      <c r="AY765" s="114"/>
      <c r="AZ765" s="114"/>
    </row>
    <row r="766" spans="1:52">
      <c r="A766" s="111"/>
      <c r="B766" s="111"/>
      <c r="C766" s="112"/>
      <c r="D766" s="101"/>
      <c r="E766" s="101"/>
      <c r="F766" s="101"/>
      <c r="G766" s="111"/>
      <c r="H766" s="101"/>
      <c r="I766" s="101"/>
      <c r="J766" s="101"/>
      <c r="K766" s="101"/>
      <c r="L766" s="101"/>
      <c r="M766" s="101"/>
      <c r="N766" s="101"/>
      <c r="O766" s="101"/>
      <c r="P766" s="101"/>
      <c r="Q766" s="101"/>
      <c r="R766" s="101"/>
      <c r="S766" s="101"/>
      <c r="T766" s="101"/>
      <c r="U766" s="101"/>
      <c r="V766" s="101"/>
      <c r="W766" s="101"/>
      <c r="X766" s="101"/>
      <c r="Y766" s="114"/>
      <c r="Z766" s="114"/>
      <c r="AA766" s="114"/>
      <c r="AB766" s="114"/>
      <c r="AC766" s="114"/>
      <c r="AD766" s="114"/>
      <c r="AE766" s="114"/>
      <c r="AF766" s="114"/>
      <c r="AG766" s="114"/>
      <c r="AH766" s="114"/>
      <c r="AI766" s="114"/>
      <c r="AJ766" s="114"/>
      <c r="AK766" s="114"/>
      <c r="AL766" s="114"/>
      <c r="AM766" s="114"/>
      <c r="AN766" s="114"/>
      <c r="AO766" s="114"/>
      <c r="AP766" s="114"/>
      <c r="AQ766" s="114"/>
      <c r="AR766" s="114"/>
      <c r="AS766" s="114"/>
      <c r="AT766" s="114"/>
      <c r="AU766" s="114"/>
      <c r="AV766" s="114"/>
      <c r="AW766" s="114"/>
      <c r="AX766" s="114"/>
      <c r="AY766" s="114"/>
      <c r="AZ766" s="114"/>
    </row>
    <row r="767" spans="1:52">
      <c r="A767" s="111"/>
      <c r="B767" s="111"/>
      <c r="C767" s="112"/>
      <c r="D767" s="101"/>
      <c r="E767" s="101"/>
      <c r="F767" s="101"/>
      <c r="G767" s="111"/>
      <c r="H767" s="101"/>
      <c r="I767" s="101"/>
      <c r="J767" s="101"/>
      <c r="K767" s="101"/>
      <c r="L767" s="101"/>
      <c r="M767" s="101"/>
      <c r="N767" s="101"/>
      <c r="O767" s="101"/>
      <c r="P767" s="101"/>
      <c r="Q767" s="101"/>
      <c r="R767" s="101"/>
      <c r="S767" s="101"/>
      <c r="T767" s="101"/>
      <c r="U767" s="101"/>
      <c r="V767" s="101"/>
      <c r="W767" s="101"/>
      <c r="X767" s="101"/>
      <c r="Y767" s="114"/>
      <c r="Z767" s="114"/>
      <c r="AA767" s="114"/>
      <c r="AB767" s="114"/>
      <c r="AC767" s="114"/>
      <c r="AD767" s="114"/>
      <c r="AE767" s="114"/>
      <c r="AF767" s="114"/>
      <c r="AG767" s="114"/>
      <c r="AH767" s="114"/>
      <c r="AI767" s="114"/>
      <c r="AJ767" s="114"/>
      <c r="AK767" s="114"/>
      <c r="AL767" s="114"/>
      <c r="AM767" s="114"/>
      <c r="AN767" s="114"/>
      <c r="AO767" s="114"/>
      <c r="AP767" s="114"/>
      <c r="AQ767" s="114"/>
      <c r="AR767" s="114"/>
      <c r="AS767" s="114"/>
      <c r="AT767" s="114"/>
      <c r="AU767" s="114"/>
      <c r="AV767" s="114"/>
      <c r="AW767" s="114"/>
      <c r="AX767" s="114"/>
      <c r="AY767" s="114"/>
      <c r="AZ767" s="114"/>
    </row>
    <row r="768" spans="1:52">
      <c r="A768" s="111"/>
      <c r="B768" s="111"/>
      <c r="C768" s="112"/>
      <c r="D768" s="101"/>
      <c r="E768" s="101"/>
      <c r="F768" s="101"/>
      <c r="G768" s="111"/>
      <c r="H768" s="101"/>
      <c r="I768" s="101"/>
      <c r="J768" s="101"/>
      <c r="K768" s="101"/>
      <c r="L768" s="101"/>
      <c r="M768" s="101"/>
      <c r="N768" s="101"/>
      <c r="O768" s="101"/>
      <c r="P768" s="101"/>
      <c r="Q768" s="101"/>
      <c r="R768" s="101"/>
      <c r="S768" s="101"/>
      <c r="T768" s="101"/>
      <c r="U768" s="101"/>
      <c r="V768" s="101"/>
      <c r="W768" s="101"/>
      <c r="X768" s="101"/>
      <c r="Y768" s="114"/>
      <c r="Z768" s="114"/>
      <c r="AA768" s="114"/>
      <c r="AB768" s="114"/>
      <c r="AC768" s="114"/>
      <c r="AD768" s="114"/>
      <c r="AE768" s="114"/>
      <c r="AF768" s="114"/>
      <c r="AG768" s="114"/>
      <c r="AH768" s="114"/>
      <c r="AI768" s="114"/>
      <c r="AJ768" s="114"/>
      <c r="AK768" s="114"/>
      <c r="AL768" s="114"/>
      <c r="AM768" s="114"/>
      <c r="AN768" s="114"/>
      <c r="AO768" s="114"/>
      <c r="AP768" s="114"/>
      <c r="AQ768" s="114"/>
      <c r="AR768" s="114"/>
      <c r="AS768" s="114"/>
      <c r="AT768" s="114"/>
      <c r="AU768" s="114"/>
      <c r="AV768" s="114"/>
      <c r="AW768" s="114"/>
      <c r="AX768" s="114"/>
      <c r="AY768" s="114"/>
      <c r="AZ768" s="114"/>
    </row>
    <row r="769" spans="1:52">
      <c r="A769" s="111"/>
      <c r="B769" s="111"/>
      <c r="C769" s="112"/>
      <c r="D769" s="101"/>
      <c r="E769" s="101"/>
      <c r="F769" s="101"/>
      <c r="G769" s="111"/>
      <c r="H769" s="101"/>
      <c r="I769" s="101"/>
      <c r="J769" s="101"/>
      <c r="K769" s="101"/>
      <c r="L769" s="101"/>
      <c r="M769" s="101"/>
      <c r="N769" s="101"/>
      <c r="O769" s="101"/>
      <c r="P769" s="101"/>
      <c r="Q769" s="101"/>
      <c r="R769" s="101"/>
      <c r="S769" s="101"/>
      <c r="T769" s="101"/>
      <c r="U769" s="101"/>
      <c r="V769" s="101"/>
      <c r="W769" s="101"/>
      <c r="X769" s="101"/>
      <c r="Y769" s="114"/>
      <c r="Z769" s="114"/>
      <c r="AA769" s="114"/>
      <c r="AB769" s="114"/>
      <c r="AC769" s="114"/>
      <c r="AD769" s="114"/>
      <c r="AE769" s="114"/>
      <c r="AF769" s="114"/>
      <c r="AG769" s="114"/>
      <c r="AH769" s="114"/>
      <c r="AI769" s="114"/>
      <c r="AJ769" s="114"/>
      <c r="AK769" s="114"/>
      <c r="AL769" s="114"/>
      <c r="AM769" s="114"/>
      <c r="AN769" s="114"/>
      <c r="AO769" s="114"/>
      <c r="AP769" s="114"/>
      <c r="AQ769" s="114"/>
      <c r="AR769" s="114"/>
      <c r="AS769" s="114"/>
      <c r="AT769" s="114"/>
      <c r="AU769" s="114"/>
      <c r="AV769" s="114"/>
      <c r="AW769" s="114"/>
      <c r="AX769" s="114"/>
      <c r="AY769" s="114"/>
      <c r="AZ769" s="114"/>
    </row>
    <row r="770" spans="1:52">
      <c r="A770" s="111"/>
      <c r="B770" s="111"/>
      <c r="C770" s="112"/>
      <c r="D770" s="101"/>
      <c r="E770" s="101"/>
      <c r="F770" s="101"/>
      <c r="G770" s="111"/>
      <c r="H770" s="101"/>
      <c r="I770" s="101"/>
      <c r="J770" s="101"/>
      <c r="K770" s="101"/>
      <c r="L770" s="101"/>
      <c r="M770" s="101"/>
      <c r="N770" s="101"/>
      <c r="O770" s="101"/>
      <c r="P770" s="101"/>
      <c r="Q770" s="101"/>
      <c r="R770" s="101"/>
      <c r="S770" s="101"/>
      <c r="T770" s="101"/>
      <c r="U770" s="101"/>
      <c r="V770" s="101"/>
      <c r="W770" s="101"/>
      <c r="X770" s="101"/>
      <c r="Y770" s="114"/>
      <c r="Z770" s="114"/>
      <c r="AA770" s="114"/>
      <c r="AB770" s="114"/>
      <c r="AC770" s="114"/>
      <c r="AD770" s="114"/>
      <c r="AE770" s="114"/>
      <c r="AF770" s="114"/>
      <c r="AG770" s="114"/>
      <c r="AH770" s="114"/>
      <c r="AI770" s="114"/>
      <c r="AJ770" s="114"/>
      <c r="AK770" s="114"/>
      <c r="AL770" s="114"/>
      <c r="AM770" s="114"/>
      <c r="AN770" s="114"/>
      <c r="AO770" s="114"/>
      <c r="AP770" s="114"/>
      <c r="AQ770" s="114"/>
      <c r="AR770" s="114"/>
      <c r="AS770" s="114"/>
      <c r="AT770" s="114"/>
      <c r="AU770" s="114"/>
      <c r="AV770" s="114"/>
      <c r="AW770" s="114"/>
      <c r="AX770" s="114"/>
      <c r="AY770" s="114"/>
      <c r="AZ770" s="114"/>
    </row>
    <row r="771" spans="1:52">
      <c r="A771" s="111"/>
      <c r="B771" s="111"/>
      <c r="C771" s="112"/>
      <c r="D771" s="101"/>
      <c r="E771" s="101"/>
      <c r="F771" s="101"/>
      <c r="G771" s="111"/>
      <c r="H771" s="101"/>
      <c r="I771" s="101"/>
      <c r="J771" s="101"/>
      <c r="K771" s="101"/>
      <c r="L771" s="101"/>
      <c r="M771" s="101"/>
      <c r="N771" s="101"/>
      <c r="O771" s="101"/>
      <c r="P771" s="101"/>
      <c r="Q771" s="101"/>
      <c r="R771" s="101"/>
      <c r="S771" s="101"/>
      <c r="T771" s="101"/>
      <c r="U771" s="101"/>
      <c r="V771" s="101"/>
      <c r="W771" s="101"/>
      <c r="X771" s="101"/>
      <c r="Y771" s="114"/>
      <c r="Z771" s="114"/>
      <c r="AA771" s="114"/>
      <c r="AB771" s="114"/>
      <c r="AC771" s="114"/>
      <c r="AD771" s="114"/>
      <c r="AE771" s="114"/>
      <c r="AF771" s="114"/>
      <c r="AG771" s="114"/>
      <c r="AH771" s="114"/>
      <c r="AI771" s="114"/>
      <c r="AJ771" s="114"/>
      <c r="AK771" s="114"/>
      <c r="AL771" s="114"/>
      <c r="AM771" s="114"/>
      <c r="AN771" s="114"/>
      <c r="AO771" s="114"/>
      <c r="AP771" s="114"/>
      <c r="AQ771" s="114"/>
      <c r="AR771" s="114"/>
      <c r="AS771" s="114"/>
      <c r="AT771" s="114"/>
      <c r="AU771" s="114"/>
      <c r="AV771" s="114"/>
      <c r="AW771" s="114"/>
      <c r="AX771" s="114"/>
      <c r="AY771" s="114"/>
      <c r="AZ771" s="114"/>
    </row>
    <row r="772" spans="1:52">
      <c r="A772" s="111"/>
      <c r="B772" s="111"/>
      <c r="C772" s="112"/>
      <c r="D772" s="101"/>
      <c r="E772" s="101"/>
      <c r="F772" s="101"/>
      <c r="G772" s="111"/>
      <c r="H772" s="101"/>
      <c r="I772" s="101"/>
      <c r="J772" s="101"/>
      <c r="K772" s="101"/>
      <c r="L772" s="101"/>
      <c r="M772" s="101"/>
      <c r="N772" s="101"/>
      <c r="O772" s="101"/>
      <c r="P772" s="101"/>
      <c r="Q772" s="101"/>
      <c r="R772" s="101"/>
      <c r="S772" s="101"/>
      <c r="T772" s="101"/>
      <c r="U772" s="101"/>
      <c r="V772" s="101"/>
      <c r="W772" s="101"/>
      <c r="X772" s="101"/>
      <c r="Y772" s="114"/>
      <c r="Z772" s="114"/>
      <c r="AA772" s="114"/>
      <c r="AB772" s="114"/>
      <c r="AC772" s="114"/>
      <c r="AD772" s="114"/>
      <c r="AE772" s="114"/>
      <c r="AF772" s="114"/>
      <c r="AG772" s="114"/>
      <c r="AH772" s="114"/>
      <c r="AI772" s="114"/>
      <c r="AJ772" s="114"/>
      <c r="AK772" s="114"/>
      <c r="AL772" s="114"/>
      <c r="AM772" s="114"/>
      <c r="AN772" s="114"/>
      <c r="AO772" s="114"/>
      <c r="AP772" s="114"/>
      <c r="AQ772" s="114"/>
      <c r="AR772" s="114"/>
      <c r="AS772" s="114"/>
      <c r="AT772" s="114"/>
      <c r="AU772" s="114"/>
      <c r="AV772" s="114"/>
      <c r="AW772" s="114"/>
      <c r="AX772" s="114"/>
      <c r="AY772" s="114"/>
      <c r="AZ772" s="114"/>
    </row>
    <row r="773" spans="1:52">
      <c r="A773" s="111"/>
      <c r="B773" s="111"/>
      <c r="C773" s="112"/>
      <c r="D773" s="101"/>
      <c r="E773" s="101"/>
      <c r="F773" s="101"/>
      <c r="G773" s="111"/>
      <c r="H773" s="101"/>
      <c r="I773" s="101"/>
      <c r="J773" s="101"/>
      <c r="K773" s="101"/>
      <c r="L773" s="101"/>
      <c r="M773" s="101"/>
      <c r="N773" s="101"/>
      <c r="O773" s="101"/>
      <c r="P773" s="101"/>
      <c r="Q773" s="101"/>
      <c r="R773" s="101"/>
      <c r="S773" s="101"/>
      <c r="T773" s="101"/>
      <c r="U773" s="101"/>
      <c r="V773" s="101"/>
      <c r="W773" s="101"/>
      <c r="X773" s="101"/>
      <c r="Y773" s="114"/>
      <c r="Z773" s="114"/>
      <c r="AA773" s="114"/>
      <c r="AB773" s="114"/>
      <c r="AC773" s="114"/>
      <c r="AD773" s="114"/>
      <c r="AE773" s="114"/>
      <c r="AF773" s="114"/>
      <c r="AG773" s="114"/>
      <c r="AH773" s="114"/>
      <c r="AI773" s="114"/>
      <c r="AJ773" s="114"/>
      <c r="AK773" s="114"/>
      <c r="AL773" s="114"/>
      <c r="AM773" s="114"/>
      <c r="AN773" s="114"/>
      <c r="AO773" s="114"/>
      <c r="AP773" s="114"/>
      <c r="AQ773" s="114"/>
      <c r="AR773" s="114"/>
      <c r="AS773" s="114"/>
      <c r="AT773" s="114"/>
      <c r="AU773" s="114"/>
      <c r="AV773" s="114"/>
      <c r="AW773" s="114"/>
      <c r="AX773" s="114"/>
      <c r="AY773" s="114"/>
      <c r="AZ773" s="114"/>
    </row>
    <row r="774" spans="1:52">
      <c r="A774" s="111"/>
      <c r="B774" s="111"/>
      <c r="C774" s="112"/>
      <c r="D774" s="101"/>
      <c r="E774" s="101"/>
      <c r="F774" s="101"/>
      <c r="G774" s="111"/>
      <c r="H774" s="101"/>
      <c r="I774" s="101"/>
      <c r="J774" s="101"/>
      <c r="K774" s="101"/>
      <c r="L774" s="101"/>
      <c r="M774" s="101"/>
      <c r="N774" s="101"/>
      <c r="O774" s="101"/>
      <c r="P774" s="101"/>
      <c r="Q774" s="101"/>
      <c r="R774" s="101"/>
      <c r="S774" s="101"/>
      <c r="T774" s="101"/>
      <c r="U774" s="101"/>
      <c r="V774" s="101"/>
      <c r="W774" s="101"/>
      <c r="X774" s="101"/>
      <c r="Y774" s="114"/>
      <c r="Z774" s="114"/>
      <c r="AA774" s="114"/>
      <c r="AB774" s="114"/>
      <c r="AC774" s="114"/>
      <c r="AD774" s="114"/>
      <c r="AE774" s="114"/>
      <c r="AF774" s="114"/>
      <c r="AG774" s="114"/>
      <c r="AH774" s="114"/>
      <c r="AI774" s="114"/>
      <c r="AJ774" s="114"/>
      <c r="AK774" s="114"/>
      <c r="AL774" s="114"/>
      <c r="AM774" s="114"/>
      <c r="AN774" s="114"/>
      <c r="AO774" s="114"/>
      <c r="AP774" s="114"/>
      <c r="AQ774" s="114"/>
      <c r="AR774" s="114"/>
      <c r="AS774" s="114"/>
      <c r="AT774" s="114"/>
      <c r="AU774" s="114"/>
      <c r="AV774" s="114"/>
      <c r="AW774" s="114"/>
      <c r="AX774" s="114"/>
      <c r="AY774" s="114"/>
      <c r="AZ774" s="114"/>
    </row>
    <row r="775" spans="1:52">
      <c r="A775" s="111"/>
      <c r="B775" s="111"/>
      <c r="C775" s="112"/>
      <c r="D775" s="101"/>
      <c r="E775" s="101"/>
      <c r="F775" s="101"/>
      <c r="G775" s="111"/>
      <c r="H775" s="101"/>
      <c r="I775" s="101"/>
      <c r="J775" s="101"/>
      <c r="K775" s="101"/>
      <c r="L775" s="101"/>
      <c r="M775" s="101"/>
      <c r="N775" s="101"/>
      <c r="O775" s="101"/>
      <c r="P775" s="101"/>
      <c r="Q775" s="101"/>
      <c r="R775" s="101"/>
      <c r="S775" s="101"/>
      <c r="T775" s="101"/>
      <c r="U775" s="101"/>
      <c r="V775" s="101"/>
      <c r="W775" s="101"/>
      <c r="X775" s="101"/>
      <c r="Y775" s="114"/>
      <c r="Z775" s="114"/>
      <c r="AA775" s="114"/>
      <c r="AB775" s="114"/>
      <c r="AC775" s="114"/>
      <c r="AD775" s="114"/>
      <c r="AE775" s="114"/>
      <c r="AF775" s="114"/>
      <c r="AG775" s="114"/>
      <c r="AH775" s="114"/>
      <c r="AI775" s="114"/>
      <c r="AJ775" s="114"/>
      <c r="AK775" s="114"/>
      <c r="AL775" s="114"/>
      <c r="AM775" s="114"/>
      <c r="AN775" s="114"/>
      <c r="AO775" s="114"/>
      <c r="AP775" s="114"/>
      <c r="AQ775" s="114"/>
      <c r="AR775" s="114"/>
      <c r="AS775" s="114"/>
      <c r="AT775" s="114"/>
      <c r="AU775" s="114"/>
      <c r="AV775" s="114"/>
      <c r="AW775" s="114"/>
      <c r="AX775" s="114"/>
      <c r="AY775" s="114"/>
      <c r="AZ775" s="114"/>
    </row>
    <row r="776" spans="1:52">
      <c r="A776" s="111"/>
      <c r="B776" s="111"/>
      <c r="C776" s="112"/>
      <c r="D776" s="101"/>
      <c r="E776" s="101"/>
      <c r="F776" s="101"/>
      <c r="G776" s="111"/>
      <c r="H776" s="101"/>
      <c r="I776" s="101"/>
      <c r="J776" s="101"/>
      <c r="K776" s="101"/>
      <c r="L776" s="101"/>
      <c r="M776" s="101"/>
      <c r="N776" s="101"/>
      <c r="O776" s="101"/>
      <c r="P776" s="101"/>
      <c r="Q776" s="101"/>
      <c r="R776" s="101"/>
      <c r="S776" s="101"/>
      <c r="T776" s="101"/>
      <c r="U776" s="101"/>
      <c r="V776" s="101"/>
      <c r="W776" s="101"/>
      <c r="X776" s="101"/>
      <c r="Y776" s="114"/>
      <c r="Z776" s="114"/>
      <c r="AA776" s="114"/>
      <c r="AB776" s="114"/>
      <c r="AC776" s="114"/>
      <c r="AD776" s="114"/>
      <c r="AE776" s="114"/>
      <c r="AF776" s="114"/>
      <c r="AG776" s="114"/>
      <c r="AH776" s="114"/>
      <c r="AI776" s="114"/>
      <c r="AJ776" s="114"/>
      <c r="AK776" s="114"/>
      <c r="AL776" s="114"/>
      <c r="AM776" s="114"/>
      <c r="AN776" s="114"/>
      <c r="AO776" s="114"/>
      <c r="AP776" s="114"/>
      <c r="AQ776" s="114"/>
      <c r="AR776" s="114"/>
      <c r="AS776" s="114"/>
      <c r="AT776" s="114"/>
      <c r="AU776" s="114"/>
      <c r="AV776" s="114"/>
      <c r="AW776" s="114"/>
      <c r="AX776" s="114"/>
      <c r="AY776" s="114"/>
      <c r="AZ776" s="114"/>
    </row>
    <row r="777" spans="1:52">
      <c r="A777" s="111"/>
      <c r="B777" s="111"/>
      <c r="C777" s="112"/>
      <c r="D777" s="101"/>
      <c r="E777" s="101"/>
      <c r="F777" s="101"/>
      <c r="G777" s="111"/>
      <c r="H777" s="101"/>
      <c r="I777" s="101"/>
      <c r="J777" s="101"/>
      <c r="K777" s="101"/>
      <c r="L777" s="101"/>
      <c r="M777" s="101"/>
      <c r="N777" s="101"/>
      <c r="O777" s="101"/>
      <c r="P777" s="101"/>
      <c r="Q777" s="101"/>
      <c r="R777" s="101"/>
      <c r="S777" s="101"/>
      <c r="T777" s="101"/>
      <c r="U777" s="101"/>
      <c r="V777" s="101"/>
      <c r="W777" s="101"/>
      <c r="X777" s="101"/>
      <c r="Y777" s="114"/>
      <c r="Z777" s="114"/>
      <c r="AA777" s="114"/>
      <c r="AB777" s="114"/>
      <c r="AC777" s="114"/>
      <c r="AD777" s="114"/>
      <c r="AE777" s="114"/>
      <c r="AF777" s="114"/>
      <c r="AG777" s="114"/>
      <c r="AH777" s="114"/>
      <c r="AI777" s="114"/>
      <c r="AJ777" s="114"/>
      <c r="AK777" s="114"/>
      <c r="AL777" s="114"/>
      <c r="AM777" s="114"/>
      <c r="AN777" s="114"/>
      <c r="AO777" s="114"/>
      <c r="AP777" s="114"/>
      <c r="AQ777" s="114"/>
      <c r="AR777" s="114"/>
      <c r="AS777" s="114"/>
      <c r="AT777" s="114"/>
      <c r="AU777" s="114"/>
      <c r="AV777" s="114"/>
      <c r="AW777" s="114"/>
      <c r="AX777" s="114"/>
      <c r="AY777" s="114"/>
      <c r="AZ777" s="114"/>
    </row>
    <row r="778" spans="1:52">
      <c r="A778" s="111"/>
      <c r="B778" s="111"/>
      <c r="C778" s="112"/>
      <c r="D778" s="101"/>
      <c r="E778" s="101"/>
      <c r="F778" s="101"/>
      <c r="G778" s="111"/>
      <c r="H778" s="101"/>
      <c r="I778" s="101"/>
      <c r="J778" s="101"/>
      <c r="K778" s="101"/>
      <c r="L778" s="101"/>
      <c r="M778" s="101"/>
      <c r="N778" s="101"/>
      <c r="O778" s="101"/>
      <c r="P778" s="101"/>
      <c r="Q778" s="101"/>
      <c r="R778" s="101"/>
      <c r="S778" s="101"/>
      <c r="T778" s="101"/>
      <c r="U778" s="101"/>
      <c r="V778" s="101"/>
      <c r="W778" s="101"/>
      <c r="X778" s="101"/>
      <c r="Y778" s="114"/>
      <c r="Z778" s="114"/>
      <c r="AA778" s="114"/>
      <c r="AB778" s="114"/>
      <c r="AC778" s="114"/>
      <c r="AD778" s="114"/>
      <c r="AE778" s="114"/>
      <c r="AF778" s="114"/>
      <c r="AG778" s="114"/>
      <c r="AH778" s="114"/>
      <c r="AI778" s="114"/>
      <c r="AJ778" s="114"/>
      <c r="AK778" s="114"/>
      <c r="AL778" s="114"/>
      <c r="AM778" s="114"/>
      <c r="AN778" s="114"/>
      <c r="AO778" s="114"/>
      <c r="AP778" s="114"/>
      <c r="AQ778" s="114"/>
      <c r="AR778" s="114"/>
      <c r="AS778" s="114"/>
      <c r="AT778" s="114"/>
      <c r="AU778" s="114"/>
      <c r="AV778" s="114"/>
      <c r="AW778" s="114"/>
      <c r="AX778" s="114"/>
      <c r="AY778" s="114"/>
      <c r="AZ778" s="114"/>
    </row>
    <row r="779" spans="1:52">
      <c r="A779" s="111"/>
      <c r="B779" s="111"/>
      <c r="C779" s="112"/>
      <c r="D779" s="101"/>
      <c r="E779" s="101"/>
      <c r="F779" s="101"/>
      <c r="G779" s="111"/>
      <c r="H779" s="101"/>
      <c r="I779" s="101"/>
      <c r="J779" s="101"/>
      <c r="K779" s="101"/>
      <c r="L779" s="101"/>
      <c r="M779" s="101"/>
      <c r="N779" s="101"/>
      <c r="O779" s="101"/>
      <c r="P779" s="101"/>
      <c r="Q779" s="101"/>
      <c r="R779" s="101"/>
      <c r="S779" s="101"/>
      <c r="T779" s="101"/>
      <c r="U779" s="101"/>
      <c r="V779" s="101"/>
      <c r="W779" s="101"/>
      <c r="X779" s="101"/>
      <c r="Y779" s="114"/>
      <c r="Z779" s="114"/>
      <c r="AA779" s="114"/>
      <c r="AB779" s="114"/>
      <c r="AC779" s="114"/>
      <c r="AD779" s="114"/>
      <c r="AE779" s="114"/>
      <c r="AF779" s="114"/>
      <c r="AG779" s="114"/>
      <c r="AH779" s="114"/>
      <c r="AI779" s="114"/>
      <c r="AJ779" s="114"/>
      <c r="AK779" s="114"/>
      <c r="AL779" s="114"/>
      <c r="AM779" s="114"/>
      <c r="AN779" s="114"/>
      <c r="AO779" s="114"/>
      <c r="AP779" s="114"/>
      <c r="AQ779" s="114"/>
      <c r="AR779" s="114"/>
      <c r="AS779" s="114"/>
      <c r="AT779" s="114"/>
      <c r="AU779" s="114"/>
      <c r="AV779" s="114"/>
      <c r="AW779" s="114"/>
      <c r="AX779" s="114"/>
      <c r="AY779" s="114"/>
      <c r="AZ779" s="114"/>
    </row>
    <row r="780" spans="1:52">
      <c r="A780" s="111"/>
      <c r="B780" s="111"/>
      <c r="C780" s="112"/>
      <c r="D780" s="101"/>
      <c r="E780" s="101"/>
      <c r="F780" s="101"/>
      <c r="G780" s="111"/>
      <c r="H780" s="101"/>
      <c r="I780" s="101"/>
      <c r="J780" s="101"/>
      <c r="K780" s="101"/>
      <c r="L780" s="101"/>
      <c r="M780" s="101"/>
      <c r="N780" s="101"/>
      <c r="O780" s="101"/>
      <c r="P780" s="101"/>
      <c r="Q780" s="101"/>
      <c r="R780" s="101"/>
      <c r="S780" s="101"/>
      <c r="T780" s="101"/>
      <c r="U780" s="101"/>
      <c r="V780" s="101"/>
      <c r="W780" s="101"/>
      <c r="X780" s="101"/>
      <c r="Y780" s="114"/>
      <c r="Z780" s="114"/>
      <c r="AA780" s="114"/>
      <c r="AB780" s="114"/>
      <c r="AC780" s="114"/>
      <c r="AD780" s="114"/>
      <c r="AE780" s="114"/>
      <c r="AF780" s="114"/>
      <c r="AG780" s="114"/>
      <c r="AH780" s="114"/>
      <c r="AI780" s="114"/>
      <c r="AJ780" s="114"/>
      <c r="AK780" s="114"/>
      <c r="AL780" s="114"/>
      <c r="AM780" s="114"/>
      <c r="AN780" s="114"/>
      <c r="AO780" s="114"/>
      <c r="AP780" s="114"/>
      <c r="AQ780" s="114"/>
      <c r="AR780" s="114"/>
      <c r="AS780" s="114"/>
      <c r="AT780" s="114"/>
      <c r="AU780" s="114"/>
      <c r="AV780" s="114"/>
      <c r="AW780" s="114"/>
      <c r="AX780" s="114"/>
      <c r="AY780" s="114"/>
      <c r="AZ780" s="114"/>
    </row>
    <row r="781" spans="1:52">
      <c r="A781" s="111"/>
      <c r="B781" s="111"/>
      <c r="C781" s="112"/>
      <c r="D781" s="101"/>
      <c r="E781" s="101"/>
      <c r="F781" s="101"/>
      <c r="G781" s="111"/>
      <c r="H781" s="101"/>
      <c r="I781" s="101"/>
      <c r="J781" s="101"/>
      <c r="K781" s="101"/>
      <c r="L781" s="101"/>
      <c r="M781" s="101"/>
      <c r="N781" s="101"/>
      <c r="O781" s="101"/>
      <c r="P781" s="101"/>
      <c r="Q781" s="101"/>
      <c r="R781" s="101"/>
      <c r="S781" s="101"/>
      <c r="T781" s="101"/>
      <c r="U781" s="101"/>
      <c r="V781" s="101"/>
      <c r="W781" s="101"/>
      <c r="X781" s="101"/>
      <c r="Y781" s="114"/>
      <c r="Z781" s="114"/>
      <c r="AA781" s="114"/>
      <c r="AB781" s="114"/>
      <c r="AC781" s="114"/>
      <c r="AD781" s="114"/>
      <c r="AE781" s="114"/>
      <c r="AF781" s="114"/>
      <c r="AG781" s="114"/>
      <c r="AH781" s="114"/>
      <c r="AI781" s="114"/>
      <c r="AJ781" s="114"/>
      <c r="AK781" s="114"/>
      <c r="AL781" s="114"/>
      <c r="AM781" s="114"/>
      <c r="AN781" s="114"/>
      <c r="AO781" s="114"/>
      <c r="AP781" s="114"/>
      <c r="AQ781" s="114"/>
      <c r="AR781" s="114"/>
      <c r="AS781" s="114"/>
      <c r="AT781" s="114"/>
      <c r="AU781" s="114"/>
      <c r="AV781" s="114"/>
      <c r="AW781" s="114"/>
      <c r="AX781" s="114"/>
      <c r="AY781" s="114"/>
      <c r="AZ781" s="114"/>
    </row>
    <row r="782" spans="1:52">
      <c r="A782" s="111"/>
      <c r="B782" s="111"/>
      <c r="C782" s="112"/>
      <c r="D782" s="101"/>
      <c r="E782" s="101"/>
      <c r="F782" s="101"/>
      <c r="G782" s="111"/>
      <c r="H782" s="101"/>
      <c r="I782" s="101"/>
      <c r="J782" s="101"/>
      <c r="K782" s="101"/>
      <c r="L782" s="101"/>
      <c r="M782" s="101"/>
      <c r="N782" s="101"/>
      <c r="O782" s="101"/>
      <c r="P782" s="101"/>
      <c r="Q782" s="101"/>
      <c r="R782" s="101"/>
      <c r="S782" s="101"/>
      <c r="T782" s="101"/>
      <c r="U782" s="101"/>
      <c r="V782" s="101"/>
      <c r="W782" s="101"/>
      <c r="X782" s="101"/>
      <c r="Y782" s="114"/>
      <c r="Z782" s="114"/>
      <c r="AA782" s="114"/>
      <c r="AB782" s="114"/>
      <c r="AC782" s="114"/>
      <c r="AD782" s="114"/>
      <c r="AE782" s="114"/>
      <c r="AF782" s="114"/>
      <c r="AG782" s="114"/>
      <c r="AH782" s="114"/>
      <c r="AI782" s="114"/>
      <c r="AJ782" s="114"/>
      <c r="AK782" s="114"/>
      <c r="AL782" s="114"/>
      <c r="AM782" s="114"/>
      <c r="AN782" s="114"/>
      <c r="AO782" s="114"/>
      <c r="AP782" s="114"/>
      <c r="AQ782" s="114"/>
      <c r="AR782" s="114"/>
      <c r="AS782" s="114"/>
      <c r="AT782" s="114"/>
      <c r="AU782" s="114"/>
      <c r="AV782" s="114"/>
      <c r="AW782" s="114"/>
      <c r="AX782" s="114"/>
      <c r="AY782" s="114"/>
      <c r="AZ782" s="114"/>
    </row>
    <row r="783" spans="1:52">
      <c r="A783" s="111"/>
      <c r="B783" s="111"/>
      <c r="C783" s="112"/>
      <c r="D783" s="101"/>
      <c r="E783" s="101"/>
      <c r="F783" s="101"/>
      <c r="G783" s="111"/>
      <c r="H783" s="101"/>
      <c r="I783" s="101"/>
      <c r="J783" s="101"/>
      <c r="K783" s="101"/>
      <c r="L783" s="101"/>
      <c r="M783" s="101"/>
      <c r="N783" s="101"/>
      <c r="O783" s="101"/>
      <c r="P783" s="101"/>
      <c r="Q783" s="101"/>
      <c r="R783" s="101"/>
      <c r="S783" s="101"/>
      <c r="T783" s="101"/>
      <c r="U783" s="101"/>
      <c r="V783" s="101"/>
      <c r="W783" s="101"/>
      <c r="X783" s="101"/>
      <c r="Y783" s="114"/>
      <c r="Z783" s="114"/>
      <c r="AA783" s="114"/>
      <c r="AB783" s="114"/>
      <c r="AC783" s="114"/>
      <c r="AD783" s="114"/>
      <c r="AE783" s="114"/>
      <c r="AF783" s="114"/>
      <c r="AG783" s="114"/>
      <c r="AH783" s="114"/>
      <c r="AI783" s="114"/>
      <c r="AJ783" s="114"/>
      <c r="AK783" s="114"/>
      <c r="AL783" s="114"/>
      <c r="AM783" s="114"/>
      <c r="AN783" s="114"/>
      <c r="AO783" s="114"/>
      <c r="AP783" s="114"/>
      <c r="AQ783" s="114"/>
      <c r="AR783" s="114"/>
      <c r="AS783" s="114"/>
      <c r="AT783" s="114"/>
      <c r="AU783" s="114"/>
      <c r="AV783" s="114"/>
      <c r="AW783" s="114"/>
      <c r="AX783" s="114"/>
      <c r="AY783" s="114"/>
      <c r="AZ783" s="114"/>
    </row>
    <row r="784" spans="1:52">
      <c r="A784" s="111"/>
      <c r="B784" s="111"/>
      <c r="C784" s="112"/>
      <c r="D784" s="101"/>
      <c r="E784" s="101"/>
      <c r="F784" s="101"/>
      <c r="G784" s="111"/>
      <c r="H784" s="101"/>
      <c r="I784" s="101"/>
      <c r="J784" s="101"/>
      <c r="K784" s="101"/>
      <c r="L784" s="101"/>
      <c r="M784" s="101"/>
      <c r="N784" s="101"/>
      <c r="O784" s="101"/>
      <c r="P784" s="101"/>
      <c r="Q784" s="101"/>
      <c r="R784" s="101"/>
      <c r="S784" s="101"/>
      <c r="T784" s="101"/>
      <c r="U784" s="101"/>
      <c r="V784" s="101"/>
      <c r="W784" s="101"/>
      <c r="X784" s="101"/>
      <c r="Y784" s="114"/>
      <c r="Z784" s="114"/>
      <c r="AA784" s="114"/>
      <c r="AB784" s="114"/>
      <c r="AC784" s="114"/>
      <c r="AD784" s="114"/>
      <c r="AE784" s="114"/>
      <c r="AF784" s="114"/>
      <c r="AG784" s="114"/>
      <c r="AH784" s="114"/>
      <c r="AI784" s="114"/>
      <c r="AJ784" s="114"/>
      <c r="AK784" s="114"/>
      <c r="AL784" s="114"/>
      <c r="AM784" s="114"/>
      <c r="AN784" s="114"/>
      <c r="AO784" s="114"/>
      <c r="AP784" s="114"/>
      <c r="AQ784" s="114"/>
      <c r="AR784" s="114"/>
      <c r="AS784" s="114"/>
      <c r="AT784" s="114"/>
      <c r="AU784" s="114"/>
      <c r="AV784" s="114"/>
      <c r="AW784" s="114"/>
      <c r="AX784" s="114"/>
      <c r="AY784" s="114"/>
      <c r="AZ784" s="114"/>
    </row>
    <row r="785" spans="1:52">
      <c r="A785" s="111"/>
      <c r="B785" s="111"/>
      <c r="C785" s="112"/>
      <c r="D785" s="101"/>
      <c r="E785" s="101"/>
      <c r="F785" s="101"/>
      <c r="G785" s="111"/>
      <c r="H785" s="101"/>
      <c r="I785" s="101"/>
      <c r="J785" s="101"/>
      <c r="K785" s="101"/>
      <c r="L785" s="101"/>
      <c r="M785" s="101"/>
      <c r="N785" s="101"/>
      <c r="O785" s="101"/>
      <c r="P785" s="101"/>
      <c r="Q785" s="101"/>
      <c r="R785" s="101"/>
      <c r="S785" s="101"/>
      <c r="T785" s="101"/>
      <c r="U785" s="101"/>
      <c r="V785" s="101"/>
      <c r="W785" s="101"/>
      <c r="X785" s="101"/>
      <c r="Y785" s="114"/>
      <c r="Z785" s="114"/>
      <c r="AA785" s="114"/>
      <c r="AB785" s="114"/>
      <c r="AC785" s="114"/>
      <c r="AD785" s="114"/>
      <c r="AE785" s="114"/>
      <c r="AF785" s="114"/>
      <c r="AG785" s="114"/>
      <c r="AH785" s="114"/>
      <c r="AI785" s="114"/>
      <c r="AJ785" s="114"/>
      <c r="AK785" s="114"/>
      <c r="AL785" s="114"/>
      <c r="AM785" s="114"/>
      <c r="AN785" s="114"/>
      <c r="AO785" s="114"/>
      <c r="AP785" s="114"/>
      <c r="AQ785" s="114"/>
      <c r="AR785" s="114"/>
      <c r="AS785" s="114"/>
      <c r="AT785" s="114"/>
      <c r="AU785" s="114"/>
      <c r="AV785" s="114"/>
      <c r="AW785" s="114"/>
      <c r="AX785" s="114"/>
      <c r="AY785" s="114"/>
      <c r="AZ785" s="114"/>
    </row>
    <row r="786" spans="1:52">
      <c r="A786" s="111"/>
      <c r="B786" s="111"/>
      <c r="C786" s="112"/>
      <c r="D786" s="101"/>
      <c r="E786" s="101"/>
      <c r="F786" s="101"/>
      <c r="G786" s="111"/>
      <c r="H786" s="101"/>
      <c r="I786" s="101"/>
      <c r="J786" s="101"/>
      <c r="K786" s="101"/>
      <c r="L786" s="101"/>
      <c r="M786" s="101"/>
      <c r="N786" s="101"/>
      <c r="O786" s="101"/>
      <c r="P786" s="101"/>
      <c r="Q786" s="101"/>
      <c r="R786" s="101"/>
      <c r="S786" s="101"/>
      <c r="T786" s="101"/>
      <c r="U786" s="101"/>
      <c r="V786" s="101"/>
      <c r="W786" s="101"/>
      <c r="X786" s="101"/>
      <c r="Y786" s="114"/>
      <c r="Z786" s="114"/>
      <c r="AA786" s="114"/>
      <c r="AB786" s="114"/>
      <c r="AC786" s="114"/>
      <c r="AD786" s="114"/>
      <c r="AE786" s="114"/>
      <c r="AF786" s="114"/>
      <c r="AG786" s="114"/>
      <c r="AH786" s="114"/>
      <c r="AI786" s="114"/>
      <c r="AJ786" s="114"/>
      <c r="AK786" s="114"/>
      <c r="AL786" s="114"/>
      <c r="AM786" s="114"/>
      <c r="AN786" s="114"/>
      <c r="AO786" s="114"/>
      <c r="AP786" s="114"/>
      <c r="AQ786" s="114"/>
      <c r="AR786" s="114"/>
      <c r="AS786" s="114"/>
      <c r="AT786" s="114"/>
      <c r="AU786" s="114"/>
      <c r="AV786" s="114"/>
      <c r="AW786" s="114"/>
      <c r="AX786" s="114"/>
      <c r="AY786" s="114"/>
      <c r="AZ786" s="114"/>
    </row>
    <row r="787" spans="1:52">
      <c r="A787" s="111"/>
      <c r="B787" s="111"/>
      <c r="C787" s="112"/>
      <c r="D787" s="101"/>
      <c r="E787" s="101"/>
      <c r="F787" s="101"/>
      <c r="G787" s="111"/>
      <c r="H787" s="101"/>
      <c r="I787" s="101"/>
      <c r="J787" s="101"/>
      <c r="K787" s="101"/>
      <c r="L787" s="101"/>
      <c r="M787" s="101"/>
      <c r="N787" s="101"/>
      <c r="O787" s="101"/>
      <c r="P787" s="101"/>
      <c r="Q787" s="101"/>
      <c r="R787" s="101"/>
      <c r="S787" s="101"/>
      <c r="T787" s="101"/>
      <c r="U787" s="101"/>
      <c r="V787" s="101"/>
      <c r="W787" s="101"/>
      <c r="X787" s="101"/>
      <c r="Y787" s="114"/>
      <c r="Z787" s="114"/>
      <c r="AA787" s="114"/>
      <c r="AB787" s="114"/>
      <c r="AC787" s="114"/>
      <c r="AD787" s="114"/>
      <c r="AE787" s="114"/>
      <c r="AF787" s="114"/>
      <c r="AG787" s="114"/>
      <c r="AH787" s="114"/>
      <c r="AI787" s="114"/>
      <c r="AJ787" s="114"/>
      <c r="AK787" s="114"/>
      <c r="AL787" s="114"/>
      <c r="AM787" s="114"/>
      <c r="AN787" s="114"/>
      <c r="AO787" s="114"/>
      <c r="AP787" s="114"/>
      <c r="AQ787" s="114"/>
      <c r="AR787" s="114"/>
      <c r="AS787" s="114"/>
      <c r="AT787" s="114"/>
      <c r="AU787" s="114"/>
      <c r="AV787" s="114"/>
      <c r="AW787" s="114"/>
      <c r="AX787" s="114"/>
      <c r="AY787" s="114"/>
      <c r="AZ787" s="114"/>
    </row>
    <row r="788" spans="1:52">
      <c r="A788" s="111"/>
      <c r="B788" s="111"/>
      <c r="C788" s="112"/>
      <c r="D788" s="101"/>
      <c r="E788" s="101"/>
      <c r="F788" s="101"/>
      <c r="G788" s="111"/>
      <c r="H788" s="101"/>
      <c r="I788" s="101"/>
      <c r="J788" s="101"/>
      <c r="K788" s="101"/>
      <c r="L788" s="101"/>
      <c r="M788" s="101"/>
      <c r="N788" s="101"/>
      <c r="O788" s="101"/>
      <c r="P788" s="101"/>
      <c r="Q788" s="101"/>
      <c r="R788" s="101"/>
      <c r="S788" s="101"/>
      <c r="T788" s="101"/>
      <c r="U788" s="101"/>
      <c r="V788" s="101"/>
      <c r="W788" s="101"/>
      <c r="X788" s="101"/>
      <c r="Y788" s="114"/>
      <c r="Z788" s="114"/>
      <c r="AA788" s="114"/>
      <c r="AB788" s="114"/>
      <c r="AC788" s="114"/>
      <c r="AD788" s="114"/>
      <c r="AE788" s="114"/>
      <c r="AF788" s="114"/>
      <c r="AG788" s="114"/>
      <c r="AH788" s="114"/>
      <c r="AI788" s="114"/>
      <c r="AJ788" s="114"/>
      <c r="AK788" s="114"/>
      <c r="AL788" s="114"/>
      <c r="AM788" s="114"/>
      <c r="AN788" s="114"/>
      <c r="AO788" s="114"/>
      <c r="AP788" s="114"/>
      <c r="AQ788" s="114"/>
      <c r="AR788" s="114"/>
      <c r="AS788" s="114"/>
      <c r="AT788" s="114"/>
      <c r="AU788" s="114"/>
      <c r="AV788" s="114"/>
      <c r="AW788" s="114"/>
      <c r="AX788" s="114"/>
      <c r="AY788" s="114"/>
      <c r="AZ788" s="114"/>
    </row>
    <row r="789" spans="1:52">
      <c r="A789" s="111"/>
      <c r="B789" s="111"/>
      <c r="C789" s="112"/>
      <c r="D789" s="101"/>
      <c r="E789" s="101"/>
      <c r="F789" s="101"/>
      <c r="G789" s="111"/>
      <c r="H789" s="101"/>
      <c r="I789" s="101"/>
      <c r="J789" s="101"/>
      <c r="K789" s="101"/>
      <c r="L789" s="101"/>
      <c r="M789" s="101"/>
      <c r="N789" s="101"/>
      <c r="O789" s="101"/>
      <c r="P789" s="101"/>
      <c r="Q789" s="101"/>
      <c r="R789" s="101"/>
      <c r="S789" s="101"/>
      <c r="T789" s="101"/>
      <c r="U789" s="101"/>
      <c r="V789" s="101"/>
      <c r="W789" s="101"/>
      <c r="X789" s="101"/>
      <c r="Y789" s="114"/>
      <c r="Z789" s="114"/>
      <c r="AA789" s="114"/>
      <c r="AB789" s="114"/>
      <c r="AC789" s="114"/>
      <c r="AD789" s="114"/>
      <c r="AE789" s="114"/>
      <c r="AF789" s="114"/>
      <c r="AG789" s="114"/>
      <c r="AH789" s="114"/>
      <c r="AI789" s="114"/>
      <c r="AJ789" s="114"/>
      <c r="AK789" s="114"/>
      <c r="AL789" s="114"/>
      <c r="AM789" s="114"/>
      <c r="AN789" s="114"/>
      <c r="AO789" s="114"/>
      <c r="AP789" s="114"/>
      <c r="AQ789" s="114"/>
      <c r="AR789" s="114"/>
      <c r="AS789" s="114"/>
      <c r="AT789" s="114"/>
      <c r="AU789" s="114"/>
      <c r="AV789" s="114"/>
      <c r="AW789" s="114"/>
      <c r="AX789" s="114"/>
      <c r="AY789" s="114"/>
      <c r="AZ789" s="114"/>
    </row>
    <row r="790" spans="1:52">
      <c r="A790" s="111"/>
      <c r="B790" s="111"/>
      <c r="C790" s="112"/>
      <c r="D790" s="101"/>
      <c r="E790" s="101"/>
      <c r="F790" s="101"/>
      <c r="G790" s="111"/>
      <c r="H790" s="101"/>
      <c r="I790" s="101"/>
      <c r="J790" s="101"/>
      <c r="K790" s="101"/>
      <c r="L790" s="101"/>
      <c r="M790" s="101"/>
      <c r="N790" s="101"/>
      <c r="O790" s="101"/>
      <c r="P790" s="101"/>
      <c r="Q790" s="101"/>
      <c r="R790" s="101"/>
      <c r="S790" s="101"/>
      <c r="T790" s="101"/>
      <c r="U790" s="101"/>
      <c r="V790" s="101"/>
      <c r="W790" s="101"/>
      <c r="X790" s="101"/>
      <c r="Y790" s="114"/>
      <c r="Z790" s="114"/>
      <c r="AA790" s="114"/>
      <c r="AB790" s="114"/>
      <c r="AC790" s="114"/>
      <c r="AD790" s="114"/>
      <c r="AE790" s="114"/>
      <c r="AF790" s="114"/>
      <c r="AG790" s="114"/>
      <c r="AH790" s="114"/>
      <c r="AI790" s="114"/>
      <c r="AJ790" s="114"/>
      <c r="AK790" s="114"/>
      <c r="AL790" s="114"/>
      <c r="AM790" s="114"/>
      <c r="AN790" s="114"/>
      <c r="AO790" s="114"/>
      <c r="AP790" s="114"/>
      <c r="AQ790" s="114"/>
      <c r="AR790" s="114"/>
      <c r="AS790" s="114"/>
      <c r="AT790" s="114"/>
      <c r="AU790" s="114"/>
      <c r="AV790" s="114"/>
      <c r="AW790" s="114"/>
      <c r="AX790" s="114"/>
      <c r="AY790" s="114"/>
      <c r="AZ790" s="114"/>
    </row>
    <row r="791" spans="1:52">
      <c r="A791" s="111"/>
      <c r="B791" s="111"/>
      <c r="C791" s="112"/>
      <c r="D791" s="101"/>
      <c r="E791" s="101"/>
      <c r="F791" s="101"/>
      <c r="G791" s="111"/>
      <c r="H791" s="101"/>
      <c r="I791" s="101"/>
      <c r="J791" s="101"/>
      <c r="K791" s="101"/>
      <c r="L791" s="101"/>
      <c r="M791" s="101"/>
      <c r="N791" s="101"/>
      <c r="O791" s="101"/>
      <c r="P791" s="101"/>
      <c r="Q791" s="101"/>
      <c r="R791" s="101"/>
      <c r="S791" s="101"/>
      <c r="T791" s="101"/>
      <c r="U791" s="101"/>
      <c r="V791" s="101"/>
      <c r="W791" s="101"/>
      <c r="X791" s="101"/>
      <c r="Y791" s="114"/>
      <c r="Z791" s="114"/>
      <c r="AA791" s="114"/>
      <c r="AB791" s="114"/>
      <c r="AC791" s="114"/>
      <c r="AD791" s="114"/>
      <c r="AE791" s="114"/>
      <c r="AF791" s="114"/>
      <c r="AG791" s="114"/>
      <c r="AH791" s="114"/>
      <c r="AI791" s="114"/>
      <c r="AJ791" s="114"/>
      <c r="AK791" s="114"/>
      <c r="AL791" s="114"/>
      <c r="AM791" s="114"/>
      <c r="AN791" s="114"/>
      <c r="AO791" s="114"/>
      <c r="AP791" s="114"/>
      <c r="AQ791" s="114"/>
      <c r="AR791" s="114"/>
      <c r="AS791" s="114"/>
      <c r="AT791" s="114"/>
      <c r="AU791" s="114"/>
      <c r="AV791" s="114"/>
      <c r="AW791" s="114"/>
      <c r="AX791" s="114"/>
      <c r="AY791" s="114"/>
      <c r="AZ791" s="114"/>
    </row>
    <row r="792" spans="1:52">
      <c r="A792" s="111"/>
      <c r="B792" s="111"/>
      <c r="C792" s="112"/>
      <c r="D792" s="101"/>
      <c r="E792" s="101"/>
      <c r="F792" s="101"/>
      <c r="G792" s="111"/>
      <c r="H792" s="101"/>
      <c r="I792" s="101"/>
      <c r="J792" s="101"/>
      <c r="K792" s="101"/>
      <c r="L792" s="101"/>
      <c r="M792" s="101"/>
      <c r="N792" s="101"/>
      <c r="O792" s="101"/>
      <c r="P792" s="101"/>
      <c r="Q792" s="101"/>
      <c r="R792" s="101"/>
      <c r="S792" s="101"/>
      <c r="T792" s="101"/>
      <c r="U792" s="101"/>
      <c r="V792" s="101"/>
      <c r="W792" s="101"/>
      <c r="X792" s="101"/>
      <c r="Y792" s="114"/>
      <c r="Z792" s="114"/>
      <c r="AA792" s="114"/>
      <c r="AB792" s="114"/>
      <c r="AC792" s="114"/>
      <c r="AD792" s="114"/>
      <c r="AE792" s="114"/>
      <c r="AF792" s="114"/>
      <c r="AG792" s="114"/>
      <c r="AH792" s="114"/>
      <c r="AI792" s="114"/>
      <c r="AJ792" s="114"/>
      <c r="AK792" s="114"/>
      <c r="AL792" s="114"/>
      <c r="AM792" s="114"/>
      <c r="AN792" s="114"/>
      <c r="AO792" s="114"/>
      <c r="AP792" s="114"/>
      <c r="AQ792" s="114"/>
      <c r="AR792" s="114"/>
      <c r="AS792" s="114"/>
      <c r="AT792" s="114"/>
      <c r="AU792" s="114"/>
      <c r="AV792" s="114"/>
      <c r="AW792" s="114"/>
      <c r="AX792" s="114"/>
      <c r="AY792" s="114"/>
      <c r="AZ792" s="114"/>
    </row>
    <row r="793" spans="1:52">
      <c r="A793" s="111"/>
      <c r="B793" s="111"/>
      <c r="C793" s="112"/>
      <c r="D793" s="101"/>
      <c r="E793" s="101"/>
      <c r="F793" s="101"/>
      <c r="G793" s="111"/>
      <c r="H793" s="101"/>
      <c r="I793" s="101"/>
      <c r="J793" s="101"/>
      <c r="K793" s="101"/>
      <c r="L793" s="101"/>
      <c r="M793" s="101"/>
      <c r="N793" s="101"/>
      <c r="O793" s="101"/>
      <c r="P793" s="101"/>
      <c r="Q793" s="101"/>
      <c r="R793" s="101"/>
      <c r="S793" s="101"/>
      <c r="T793" s="101"/>
      <c r="U793" s="101"/>
      <c r="V793" s="101"/>
      <c r="W793" s="101"/>
      <c r="X793" s="101"/>
      <c r="Y793" s="114"/>
      <c r="Z793" s="114"/>
      <c r="AA793" s="114"/>
      <c r="AB793" s="114"/>
      <c r="AC793" s="114"/>
      <c r="AD793" s="114"/>
      <c r="AE793" s="114"/>
      <c r="AF793" s="114"/>
      <c r="AG793" s="114"/>
      <c r="AH793" s="114"/>
      <c r="AI793" s="114"/>
      <c r="AJ793" s="114"/>
      <c r="AK793" s="114"/>
      <c r="AL793" s="114"/>
      <c r="AM793" s="114"/>
      <c r="AN793" s="114"/>
      <c r="AO793" s="114"/>
      <c r="AP793" s="114"/>
      <c r="AQ793" s="114"/>
      <c r="AR793" s="114"/>
      <c r="AS793" s="114"/>
      <c r="AT793" s="114"/>
      <c r="AU793" s="114"/>
      <c r="AV793" s="114"/>
      <c r="AW793" s="114"/>
      <c r="AX793" s="114"/>
      <c r="AY793" s="114"/>
      <c r="AZ793" s="114"/>
    </row>
    <row r="794" spans="1:52">
      <c r="A794" s="111"/>
      <c r="B794" s="111"/>
      <c r="C794" s="112"/>
      <c r="D794" s="101"/>
      <c r="E794" s="101"/>
      <c r="F794" s="101"/>
      <c r="G794" s="111"/>
      <c r="H794" s="101"/>
      <c r="I794" s="101"/>
      <c r="J794" s="101"/>
      <c r="K794" s="101"/>
      <c r="L794" s="101"/>
      <c r="M794" s="101"/>
      <c r="N794" s="101"/>
      <c r="O794" s="101"/>
      <c r="P794" s="101"/>
      <c r="Q794" s="101"/>
      <c r="R794" s="101"/>
      <c r="S794" s="101"/>
      <c r="T794" s="101"/>
      <c r="U794" s="101"/>
      <c r="V794" s="101"/>
      <c r="W794" s="101"/>
      <c r="X794" s="101"/>
      <c r="Y794" s="114"/>
      <c r="Z794" s="114"/>
      <c r="AA794" s="114"/>
      <c r="AB794" s="114"/>
      <c r="AC794" s="114"/>
      <c r="AD794" s="114"/>
      <c r="AE794" s="114"/>
      <c r="AF794" s="114"/>
      <c r="AG794" s="114"/>
      <c r="AH794" s="114"/>
      <c r="AI794" s="114"/>
      <c r="AJ794" s="114"/>
      <c r="AK794" s="114"/>
      <c r="AL794" s="114"/>
      <c r="AM794" s="114"/>
      <c r="AN794" s="114"/>
      <c r="AO794" s="114"/>
      <c r="AP794" s="114"/>
      <c r="AQ794" s="114"/>
      <c r="AR794" s="114"/>
      <c r="AS794" s="114"/>
      <c r="AT794" s="114"/>
      <c r="AU794" s="114"/>
      <c r="AV794" s="114"/>
      <c r="AW794" s="114"/>
      <c r="AX794" s="114"/>
      <c r="AY794" s="114"/>
      <c r="AZ794" s="114"/>
    </row>
    <row r="795" spans="1:52">
      <c r="A795" s="111"/>
      <c r="B795" s="111"/>
      <c r="C795" s="112"/>
      <c r="D795" s="101"/>
      <c r="E795" s="101"/>
      <c r="F795" s="101"/>
      <c r="G795" s="111"/>
      <c r="H795" s="101"/>
      <c r="I795" s="101"/>
      <c r="J795" s="101"/>
      <c r="K795" s="101"/>
      <c r="L795" s="101"/>
      <c r="M795" s="101"/>
      <c r="N795" s="101"/>
      <c r="O795" s="101"/>
      <c r="P795" s="101"/>
      <c r="Q795" s="101"/>
      <c r="R795" s="101"/>
      <c r="S795" s="101"/>
      <c r="T795" s="101"/>
      <c r="U795" s="101"/>
      <c r="V795" s="101"/>
      <c r="W795" s="101"/>
      <c r="X795" s="101"/>
      <c r="Y795" s="114"/>
      <c r="Z795" s="114"/>
      <c r="AA795" s="114"/>
      <c r="AB795" s="114"/>
      <c r="AC795" s="114"/>
      <c r="AD795" s="114"/>
      <c r="AE795" s="114"/>
      <c r="AF795" s="114"/>
      <c r="AG795" s="114"/>
      <c r="AH795" s="114"/>
      <c r="AI795" s="114"/>
      <c r="AJ795" s="114"/>
      <c r="AK795" s="114"/>
      <c r="AL795" s="114"/>
      <c r="AM795" s="114"/>
      <c r="AN795" s="114"/>
      <c r="AO795" s="114"/>
      <c r="AP795" s="114"/>
      <c r="AQ795" s="114"/>
      <c r="AR795" s="114"/>
      <c r="AS795" s="114"/>
      <c r="AT795" s="114"/>
      <c r="AU795" s="114"/>
      <c r="AV795" s="114"/>
      <c r="AW795" s="114"/>
      <c r="AX795" s="114"/>
      <c r="AY795" s="114"/>
      <c r="AZ795" s="114"/>
    </row>
    <row r="796" spans="1:52">
      <c r="A796" s="111"/>
      <c r="B796" s="111"/>
      <c r="C796" s="112"/>
      <c r="D796" s="101"/>
      <c r="E796" s="101"/>
      <c r="F796" s="101"/>
      <c r="G796" s="111"/>
      <c r="H796" s="101"/>
      <c r="I796" s="101"/>
      <c r="J796" s="101"/>
      <c r="K796" s="101"/>
      <c r="L796" s="101"/>
      <c r="M796" s="101"/>
      <c r="N796" s="101"/>
      <c r="O796" s="101"/>
      <c r="P796" s="101"/>
      <c r="Q796" s="101"/>
      <c r="R796" s="101"/>
      <c r="S796" s="101"/>
      <c r="T796" s="101"/>
      <c r="U796" s="101"/>
      <c r="V796" s="101"/>
      <c r="W796" s="101"/>
      <c r="X796" s="101"/>
      <c r="Y796" s="114"/>
      <c r="Z796" s="114"/>
      <c r="AA796" s="114"/>
      <c r="AB796" s="114"/>
      <c r="AC796" s="114"/>
      <c r="AD796" s="114"/>
      <c r="AE796" s="114"/>
      <c r="AF796" s="114"/>
      <c r="AG796" s="114"/>
      <c r="AH796" s="114"/>
      <c r="AI796" s="114"/>
      <c r="AJ796" s="114"/>
      <c r="AK796" s="114"/>
      <c r="AL796" s="114"/>
      <c r="AM796" s="114"/>
      <c r="AN796" s="114"/>
      <c r="AO796" s="114"/>
      <c r="AP796" s="114"/>
      <c r="AQ796" s="114"/>
      <c r="AR796" s="114"/>
      <c r="AS796" s="114"/>
      <c r="AT796" s="114"/>
      <c r="AU796" s="114"/>
      <c r="AV796" s="114"/>
      <c r="AW796" s="114"/>
      <c r="AX796" s="114"/>
      <c r="AY796" s="114"/>
      <c r="AZ796" s="114"/>
    </row>
    <row r="797" spans="1:52">
      <c r="A797" s="111"/>
      <c r="B797" s="111"/>
      <c r="C797" s="112"/>
      <c r="D797" s="101"/>
      <c r="E797" s="101"/>
      <c r="F797" s="101"/>
      <c r="G797" s="111"/>
      <c r="H797" s="101"/>
      <c r="I797" s="101"/>
      <c r="J797" s="101"/>
      <c r="K797" s="101"/>
      <c r="L797" s="101"/>
      <c r="M797" s="101"/>
      <c r="N797" s="101"/>
      <c r="O797" s="101"/>
      <c r="P797" s="101"/>
      <c r="Q797" s="101"/>
      <c r="R797" s="101"/>
      <c r="S797" s="101"/>
      <c r="T797" s="101"/>
      <c r="U797" s="101"/>
      <c r="V797" s="101"/>
      <c r="W797" s="101"/>
      <c r="X797" s="101"/>
      <c r="Y797" s="114"/>
      <c r="Z797" s="114"/>
      <c r="AA797" s="114"/>
      <c r="AB797" s="114"/>
      <c r="AC797" s="114"/>
      <c r="AD797" s="114"/>
      <c r="AE797" s="114"/>
      <c r="AF797" s="114"/>
      <c r="AG797" s="114"/>
      <c r="AH797" s="114"/>
      <c r="AI797" s="114"/>
      <c r="AJ797" s="114"/>
      <c r="AK797" s="114"/>
      <c r="AL797" s="114"/>
      <c r="AM797" s="114"/>
      <c r="AN797" s="114"/>
      <c r="AO797" s="114"/>
      <c r="AP797" s="114"/>
      <c r="AQ797" s="114"/>
      <c r="AR797" s="114"/>
      <c r="AS797" s="114"/>
      <c r="AT797" s="114"/>
      <c r="AU797" s="114"/>
      <c r="AV797" s="114"/>
      <c r="AW797" s="114"/>
      <c r="AX797" s="114"/>
      <c r="AY797" s="114"/>
      <c r="AZ797" s="114"/>
    </row>
    <row r="798" spans="1:52">
      <c r="A798" s="111"/>
      <c r="B798" s="111"/>
      <c r="C798" s="112"/>
      <c r="D798" s="101"/>
      <c r="E798" s="101"/>
      <c r="F798" s="101"/>
      <c r="G798" s="111"/>
      <c r="H798" s="101"/>
      <c r="I798" s="101"/>
      <c r="J798" s="101"/>
      <c r="K798" s="101"/>
      <c r="L798" s="101"/>
      <c r="M798" s="101"/>
      <c r="N798" s="101"/>
      <c r="O798" s="101"/>
      <c r="P798" s="101"/>
      <c r="Q798" s="101"/>
      <c r="R798" s="101"/>
      <c r="S798" s="101"/>
      <c r="T798" s="101"/>
      <c r="U798" s="101"/>
      <c r="V798" s="101"/>
      <c r="W798" s="101"/>
      <c r="X798" s="101"/>
      <c r="Y798" s="114"/>
      <c r="Z798" s="114"/>
      <c r="AA798" s="114"/>
      <c r="AB798" s="114"/>
      <c r="AC798" s="114"/>
      <c r="AD798" s="114"/>
      <c r="AE798" s="114"/>
      <c r="AF798" s="114"/>
      <c r="AG798" s="114"/>
      <c r="AH798" s="114"/>
      <c r="AI798" s="114"/>
      <c r="AJ798" s="114"/>
      <c r="AK798" s="114"/>
      <c r="AL798" s="114"/>
      <c r="AM798" s="114"/>
      <c r="AN798" s="114"/>
      <c r="AO798" s="114"/>
      <c r="AP798" s="114"/>
      <c r="AQ798" s="114"/>
      <c r="AR798" s="114"/>
      <c r="AS798" s="114"/>
      <c r="AT798" s="114"/>
      <c r="AU798" s="114"/>
      <c r="AV798" s="114"/>
      <c r="AW798" s="114"/>
      <c r="AX798" s="114"/>
      <c r="AY798" s="114"/>
      <c r="AZ798" s="114"/>
    </row>
    <row r="799" spans="1:52">
      <c r="A799" s="111"/>
      <c r="B799" s="111"/>
      <c r="C799" s="112"/>
      <c r="D799" s="101"/>
      <c r="E799" s="101"/>
      <c r="F799" s="101"/>
      <c r="G799" s="111"/>
      <c r="H799" s="101"/>
      <c r="I799" s="101"/>
      <c r="J799" s="101"/>
      <c r="K799" s="101"/>
      <c r="L799" s="101"/>
      <c r="M799" s="101"/>
      <c r="N799" s="101"/>
      <c r="O799" s="101"/>
      <c r="P799" s="101"/>
      <c r="Q799" s="101"/>
      <c r="R799" s="101"/>
      <c r="S799" s="101"/>
      <c r="T799" s="101"/>
      <c r="U799" s="101"/>
      <c r="V799" s="101"/>
      <c r="W799" s="101"/>
      <c r="X799" s="101"/>
      <c r="Y799" s="114"/>
      <c r="Z799" s="114"/>
      <c r="AA799" s="114"/>
      <c r="AB799" s="114"/>
      <c r="AC799" s="114"/>
      <c r="AD799" s="114"/>
      <c r="AE799" s="114"/>
      <c r="AF799" s="114"/>
      <c r="AG799" s="114"/>
      <c r="AH799" s="114"/>
      <c r="AI799" s="114"/>
      <c r="AJ799" s="114"/>
      <c r="AK799" s="114"/>
      <c r="AL799" s="114"/>
      <c r="AM799" s="114"/>
      <c r="AN799" s="114"/>
      <c r="AO799" s="114"/>
      <c r="AP799" s="114"/>
      <c r="AQ799" s="114"/>
      <c r="AR799" s="114"/>
      <c r="AS799" s="114"/>
      <c r="AT799" s="114"/>
      <c r="AU799" s="114"/>
      <c r="AV799" s="114"/>
      <c r="AW799" s="114"/>
      <c r="AX799" s="114"/>
      <c r="AY799" s="114"/>
      <c r="AZ799" s="114"/>
    </row>
    <row r="800" spans="1:52">
      <c r="A800" s="111"/>
      <c r="B800" s="111"/>
      <c r="C800" s="112"/>
      <c r="D800" s="101"/>
      <c r="E800" s="101"/>
      <c r="F800" s="101"/>
      <c r="G800" s="111"/>
      <c r="H800" s="101"/>
      <c r="I800" s="101"/>
      <c r="J800" s="101"/>
      <c r="K800" s="101"/>
      <c r="L800" s="101"/>
      <c r="M800" s="101"/>
      <c r="N800" s="101"/>
      <c r="O800" s="101"/>
      <c r="P800" s="101"/>
      <c r="Q800" s="101"/>
      <c r="R800" s="101"/>
      <c r="S800" s="101"/>
      <c r="T800" s="101"/>
      <c r="U800" s="101"/>
      <c r="V800" s="101"/>
      <c r="W800" s="101"/>
      <c r="X800" s="101"/>
      <c r="Y800" s="114"/>
      <c r="Z800" s="114"/>
      <c r="AA800" s="114"/>
      <c r="AB800" s="114"/>
      <c r="AC800" s="114"/>
      <c r="AD800" s="114"/>
      <c r="AE800" s="114"/>
      <c r="AF800" s="114"/>
      <c r="AG800" s="114"/>
      <c r="AH800" s="114"/>
      <c r="AI800" s="114"/>
      <c r="AJ800" s="114"/>
      <c r="AK800" s="114"/>
      <c r="AL800" s="114"/>
      <c r="AM800" s="114"/>
      <c r="AN800" s="114"/>
      <c r="AO800" s="114"/>
      <c r="AP800" s="114"/>
      <c r="AQ800" s="114"/>
      <c r="AR800" s="114"/>
      <c r="AS800" s="114"/>
      <c r="AT800" s="114"/>
      <c r="AU800" s="114"/>
      <c r="AV800" s="114"/>
      <c r="AW800" s="114"/>
      <c r="AX800" s="114"/>
      <c r="AY800" s="114"/>
      <c r="AZ800" s="114"/>
    </row>
    <row r="801" spans="1:52">
      <c r="A801" s="111"/>
      <c r="B801" s="111"/>
      <c r="C801" s="112"/>
      <c r="D801" s="101"/>
      <c r="E801" s="101"/>
      <c r="F801" s="101"/>
      <c r="G801" s="111"/>
      <c r="H801" s="101"/>
      <c r="I801" s="101"/>
      <c r="J801" s="101"/>
      <c r="K801" s="101"/>
      <c r="L801" s="101"/>
      <c r="M801" s="101"/>
      <c r="N801" s="101"/>
      <c r="O801" s="101"/>
      <c r="P801" s="101"/>
      <c r="Q801" s="101"/>
      <c r="R801" s="101"/>
      <c r="S801" s="101"/>
      <c r="T801" s="101"/>
      <c r="U801" s="101"/>
      <c r="V801" s="101"/>
      <c r="W801" s="101"/>
      <c r="X801" s="101"/>
      <c r="Y801" s="114"/>
      <c r="Z801" s="114"/>
      <c r="AA801" s="114"/>
      <c r="AB801" s="114"/>
      <c r="AC801" s="114"/>
      <c r="AD801" s="114"/>
      <c r="AE801" s="114"/>
      <c r="AF801" s="114"/>
      <c r="AG801" s="114"/>
      <c r="AH801" s="114"/>
      <c r="AI801" s="114"/>
      <c r="AJ801" s="114"/>
      <c r="AK801" s="114"/>
      <c r="AL801" s="114"/>
      <c r="AM801" s="114"/>
      <c r="AN801" s="114"/>
      <c r="AO801" s="114"/>
      <c r="AP801" s="114"/>
      <c r="AQ801" s="114"/>
      <c r="AR801" s="114"/>
      <c r="AS801" s="114"/>
      <c r="AT801" s="114"/>
      <c r="AU801" s="114"/>
      <c r="AV801" s="114"/>
      <c r="AW801" s="114"/>
      <c r="AX801" s="114"/>
      <c r="AY801" s="114"/>
      <c r="AZ801" s="114"/>
    </row>
    <row r="802" spans="1:52">
      <c r="A802" s="111"/>
      <c r="B802" s="111"/>
      <c r="C802" s="112"/>
      <c r="D802" s="101"/>
      <c r="E802" s="101"/>
      <c r="F802" s="101"/>
      <c r="G802" s="111"/>
      <c r="H802" s="101"/>
      <c r="I802" s="101"/>
      <c r="J802" s="101"/>
      <c r="K802" s="101"/>
      <c r="L802" s="101"/>
      <c r="M802" s="101"/>
      <c r="N802" s="101"/>
      <c r="O802" s="101"/>
      <c r="P802" s="101"/>
      <c r="Q802" s="101"/>
      <c r="R802" s="101"/>
      <c r="S802" s="101"/>
      <c r="T802" s="101"/>
      <c r="U802" s="101"/>
      <c r="V802" s="101"/>
      <c r="W802" s="101"/>
      <c r="X802" s="101"/>
      <c r="Y802" s="114"/>
      <c r="Z802" s="114"/>
      <c r="AA802" s="114"/>
      <c r="AB802" s="114"/>
      <c r="AC802" s="114"/>
      <c r="AD802" s="114"/>
      <c r="AE802" s="114"/>
      <c r="AF802" s="114"/>
      <c r="AG802" s="114"/>
      <c r="AH802" s="114"/>
      <c r="AI802" s="114"/>
      <c r="AJ802" s="114"/>
      <c r="AK802" s="114"/>
      <c r="AL802" s="114"/>
      <c r="AM802" s="114"/>
      <c r="AN802" s="114"/>
      <c r="AO802" s="114"/>
      <c r="AP802" s="114"/>
      <c r="AQ802" s="114"/>
      <c r="AR802" s="114"/>
      <c r="AS802" s="114"/>
      <c r="AT802" s="114"/>
      <c r="AU802" s="114"/>
      <c r="AV802" s="114"/>
      <c r="AW802" s="114"/>
      <c r="AX802" s="114"/>
      <c r="AY802" s="114"/>
      <c r="AZ802" s="114"/>
    </row>
    <row r="803" spans="1:52">
      <c r="A803" s="111"/>
      <c r="B803" s="111"/>
      <c r="C803" s="112"/>
      <c r="D803" s="101"/>
      <c r="E803" s="101"/>
      <c r="F803" s="101"/>
      <c r="G803" s="111"/>
      <c r="H803" s="101"/>
      <c r="I803" s="101"/>
      <c r="J803" s="101"/>
      <c r="K803" s="101"/>
      <c r="L803" s="101"/>
      <c r="M803" s="101"/>
      <c r="N803" s="101"/>
      <c r="O803" s="101"/>
      <c r="P803" s="101"/>
      <c r="Q803" s="101"/>
      <c r="R803" s="101"/>
      <c r="S803" s="101"/>
      <c r="T803" s="101"/>
      <c r="U803" s="101"/>
      <c r="V803" s="101"/>
      <c r="W803" s="101"/>
      <c r="X803" s="101"/>
      <c r="Y803" s="114"/>
      <c r="Z803" s="114"/>
      <c r="AA803" s="114"/>
      <c r="AB803" s="114"/>
      <c r="AC803" s="114"/>
      <c r="AD803" s="114"/>
      <c r="AE803" s="114"/>
      <c r="AF803" s="114"/>
      <c r="AG803" s="114"/>
      <c r="AH803" s="114"/>
      <c r="AI803" s="114"/>
      <c r="AJ803" s="114"/>
      <c r="AK803" s="114"/>
      <c r="AL803" s="114"/>
      <c r="AM803" s="114"/>
      <c r="AN803" s="114"/>
      <c r="AO803" s="114"/>
      <c r="AP803" s="114"/>
      <c r="AQ803" s="114"/>
      <c r="AR803" s="114"/>
      <c r="AS803" s="114"/>
      <c r="AT803" s="114"/>
      <c r="AU803" s="114"/>
      <c r="AV803" s="114"/>
      <c r="AW803" s="114"/>
      <c r="AX803" s="114"/>
      <c r="AY803" s="114"/>
      <c r="AZ803" s="114"/>
    </row>
    <row r="804" spans="1:52">
      <c r="A804" s="111"/>
      <c r="B804" s="111"/>
      <c r="C804" s="112"/>
      <c r="D804" s="101"/>
      <c r="E804" s="101"/>
      <c r="F804" s="101"/>
      <c r="G804" s="111"/>
      <c r="H804" s="101"/>
      <c r="I804" s="101"/>
      <c r="J804" s="101"/>
      <c r="K804" s="101"/>
      <c r="L804" s="101"/>
      <c r="M804" s="101"/>
      <c r="N804" s="101"/>
      <c r="O804" s="101"/>
      <c r="P804" s="101"/>
      <c r="Q804" s="101"/>
      <c r="R804" s="101"/>
      <c r="S804" s="101"/>
      <c r="T804" s="101"/>
      <c r="U804" s="101"/>
      <c r="V804" s="101"/>
      <c r="W804" s="101"/>
      <c r="X804" s="101"/>
      <c r="Y804" s="114"/>
      <c r="Z804" s="114"/>
      <c r="AA804" s="114"/>
      <c r="AB804" s="114"/>
      <c r="AC804" s="114"/>
      <c r="AD804" s="114"/>
      <c r="AE804" s="114"/>
      <c r="AF804" s="114"/>
      <c r="AG804" s="114"/>
      <c r="AH804" s="114"/>
      <c r="AI804" s="114"/>
      <c r="AJ804" s="114"/>
      <c r="AK804" s="114"/>
      <c r="AL804" s="114"/>
      <c r="AM804" s="114"/>
      <c r="AN804" s="114"/>
      <c r="AO804" s="114"/>
      <c r="AP804" s="114"/>
      <c r="AQ804" s="114"/>
      <c r="AR804" s="114"/>
      <c r="AS804" s="114"/>
      <c r="AT804" s="114"/>
      <c r="AU804" s="114"/>
      <c r="AV804" s="114"/>
      <c r="AW804" s="114"/>
      <c r="AX804" s="114"/>
      <c r="AY804" s="114"/>
      <c r="AZ804" s="114"/>
    </row>
    <row r="805" spans="1:52">
      <c r="A805" s="111"/>
      <c r="B805" s="111"/>
      <c r="C805" s="112"/>
      <c r="D805" s="101"/>
      <c r="E805" s="101"/>
      <c r="F805" s="101"/>
      <c r="G805" s="111"/>
      <c r="H805" s="101"/>
      <c r="I805" s="101"/>
      <c r="J805" s="101"/>
      <c r="K805" s="101"/>
      <c r="L805" s="101"/>
      <c r="M805" s="101"/>
      <c r="N805" s="101"/>
      <c r="O805" s="101"/>
      <c r="P805" s="101"/>
      <c r="Q805" s="101"/>
      <c r="R805" s="101"/>
      <c r="S805" s="101"/>
      <c r="T805" s="101"/>
      <c r="U805" s="101"/>
      <c r="V805" s="101"/>
      <c r="W805" s="101"/>
      <c r="X805" s="101"/>
      <c r="Y805" s="114"/>
      <c r="Z805" s="114"/>
      <c r="AA805" s="114"/>
      <c r="AB805" s="114"/>
      <c r="AC805" s="114"/>
      <c r="AD805" s="114"/>
      <c r="AE805" s="114"/>
      <c r="AF805" s="114"/>
      <c r="AG805" s="114"/>
      <c r="AH805" s="114"/>
      <c r="AI805" s="114"/>
      <c r="AJ805" s="114"/>
      <c r="AK805" s="114"/>
      <c r="AL805" s="114"/>
      <c r="AM805" s="114"/>
      <c r="AN805" s="114"/>
      <c r="AO805" s="114"/>
      <c r="AP805" s="114"/>
      <c r="AQ805" s="114"/>
      <c r="AR805" s="114"/>
      <c r="AS805" s="114"/>
      <c r="AT805" s="114"/>
      <c r="AU805" s="114"/>
      <c r="AV805" s="114"/>
      <c r="AW805" s="114"/>
      <c r="AX805" s="114"/>
      <c r="AY805" s="114"/>
      <c r="AZ805" s="114"/>
    </row>
    <row r="806" spans="1:52">
      <c r="A806" s="111"/>
      <c r="B806" s="111"/>
      <c r="C806" s="112"/>
      <c r="D806" s="101"/>
      <c r="E806" s="101"/>
      <c r="F806" s="101"/>
      <c r="G806" s="111"/>
      <c r="H806" s="101"/>
      <c r="I806" s="101"/>
      <c r="J806" s="101"/>
      <c r="K806" s="101"/>
      <c r="L806" s="101"/>
      <c r="M806" s="101"/>
      <c r="N806" s="101"/>
      <c r="O806" s="101"/>
      <c r="P806" s="101"/>
      <c r="Q806" s="101"/>
      <c r="R806" s="101"/>
      <c r="S806" s="101"/>
      <c r="T806" s="101"/>
      <c r="U806" s="101"/>
      <c r="V806" s="101"/>
      <c r="W806" s="101"/>
      <c r="X806" s="101"/>
      <c r="Y806" s="114"/>
      <c r="Z806" s="114"/>
      <c r="AA806" s="114"/>
      <c r="AB806" s="114"/>
      <c r="AC806" s="114"/>
      <c r="AD806" s="114"/>
      <c r="AE806" s="114"/>
      <c r="AF806" s="114"/>
      <c r="AG806" s="114"/>
      <c r="AH806" s="114"/>
      <c r="AI806" s="114"/>
      <c r="AJ806" s="114"/>
      <c r="AK806" s="114"/>
      <c r="AL806" s="114"/>
      <c r="AM806" s="114"/>
      <c r="AN806" s="114"/>
      <c r="AO806" s="114"/>
      <c r="AP806" s="114"/>
      <c r="AQ806" s="114"/>
      <c r="AR806" s="114"/>
      <c r="AS806" s="114"/>
      <c r="AT806" s="114"/>
      <c r="AU806" s="114"/>
      <c r="AV806" s="114"/>
      <c r="AW806" s="114"/>
      <c r="AX806" s="114"/>
      <c r="AY806" s="114"/>
      <c r="AZ806" s="114"/>
    </row>
    <row r="807" spans="1:52">
      <c r="A807" s="111"/>
      <c r="B807" s="111"/>
      <c r="C807" s="112"/>
      <c r="D807" s="101"/>
      <c r="E807" s="101"/>
      <c r="F807" s="101"/>
      <c r="G807" s="111"/>
      <c r="H807" s="101"/>
      <c r="I807" s="101"/>
      <c r="J807" s="101"/>
      <c r="K807" s="101"/>
      <c r="L807" s="101"/>
      <c r="M807" s="101"/>
      <c r="N807" s="101"/>
      <c r="O807" s="101"/>
      <c r="P807" s="101"/>
      <c r="Q807" s="101"/>
      <c r="R807" s="101"/>
      <c r="S807" s="101"/>
      <c r="T807" s="101"/>
      <c r="U807" s="101"/>
      <c r="V807" s="101"/>
      <c r="W807" s="101"/>
      <c r="X807" s="101"/>
      <c r="Y807" s="114"/>
      <c r="Z807" s="114"/>
      <c r="AA807" s="114"/>
      <c r="AB807" s="114"/>
      <c r="AC807" s="114"/>
      <c r="AD807" s="114"/>
      <c r="AE807" s="114"/>
      <c r="AF807" s="114"/>
      <c r="AG807" s="114"/>
      <c r="AH807" s="114"/>
      <c r="AI807" s="114"/>
      <c r="AJ807" s="114"/>
      <c r="AK807" s="114"/>
      <c r="AL807" s="114"/>
      <c r="AM807" s="114"/>
      <c r="AN807" s="114"/>
      <c r="AO807" s="114"/>
      <c r="AP807" s="114"/>
      <c r="AQ807" s="114"/>
      <c r="AR807" s="114"/>
      <c r="AS807" s="114"/>
      <c r="AT807" s="114"/>
      <c r="AU807" s="114"/>
      <c r="AV807" s="114"/>
      <c r="AW807" s="114"/>
      <c r="AX807" s="114"/>
      <c r="AY807" s="114"/>
      <c r="AZ807" s="114"/>
    </row>
    <row r="808" spans="1:52">
      <c r="A808" s="111"/>
      <c r="B808" s="111"/>
      <c r="C808" s="112"/>
      <c r="D808" s="101"/>
      <c r="E808" s="101"/>
      <c r="F808" s="101"/>
      <c r="G808" s="111"/>
      <c r="H808" s="101"/>
      <c r="I808" s="101"/>
      <c r="J808" s="101"/>
      <c r="K808" s="101"/>
      <c r="L808" s="101"/>
      <c r="M808" s="101"/>
      <c r="N808" s="101"/>
      <c r="O808" s="101"/>
      <c r="P808" s="101"/>
      <c r="Q808" s="101"/>
      <c r="R808" s="101"/>
      <c r="S808" s="101"/>
      <c r="T808" s="101"/>
      <c r="U808" s="101"/>
      <c r="V808" s="101"/>
      <c r="W808" s="101"/>
      <c r="X808" s="101"/>
      <c r="Y808" s="114"/>
      <c r="Z808" s="114"/>
      <c r="AA808" s="114"/>
      <c r="AB808" s="114"/>
      <c r="AC808" s="114"/>
      <c r="AD808" s="114"/>
      <c r="AE808" s="114"/>
      <c r="AF808" s="114"/>
      <c r="AG808" s="114"/>
      <c r="AH808" s="114"/>
      <c r="AI808" s="114"/>
      <c r="AJ808" s="114"/>
      <c r="AK808" s="114"/>
      <c r="AL808" s="114"/>
      <c r="AM808" s="114"/>
      <c r="AN808" s="114"/>
      <c r="AO808" s="114"/>
      <c r="AP808" s="114"/>
      <c r="AQ808" s="114"/>
      <c r="AR808" s="114"/>
      <c r="AS808" s="114"/>
      <c r="AT808" s="114"/>
      <c r="AU808" s="114"/>
      <c r="AV808" s="114"/>
      <c r="AW808" s="114"/>
      <c r="AX808" s="114"/>
      <c r="AY808" s="114"/>
      <c r="AZ808" s="114"/>
    </row>
    <row r="809" spans="1:52">
      <c r="A809" s="111"/>
      <c r="B809" s="111"/>
      <c r="C809" s="112"/>
      <c r="D809" s="101"/>
      <c r="E809" s="101"/>
      <c r="F809" s="101"/>
      <c r="G809" s="111"/>
      <c r="H809" s="101"/>
      <c r="I809" s="101"/>
      <c r="J809" s="101"/>
      <c r="K809" s="101"/>
      <c r="L809" s="101"/>
      <c r="M809" s="101"/>
      <c r="N809" s="101"/>
      <c r="O809" s="101"/>
      <c r="P809" s="101"/>
      <c r="Q809" s="101"/>
      <c r="R809" s="101"/>
      <c r="S809" s="101"/>
      <c r="T809" s="101"/>
      <c r="U809" s="101"/>
      <c r="V809" s="101"/>
      <c r="W809" s="101"/>
      <c r="X809" s="101"/>
      <c r="Y809" s="114"/>
      <c r="Z809" s="114"/>
      <c r="AA809" s="114"/>
      <c r="AB809" s="114"/>
      <c r="AC809" s="114"/>
      <c r="AD809" s="114"/>
      <c r="AE809" s="114"/>
      <c r="AF809" s="114"/>
      <c r="AG809" s="114"/>
      <c r="AH809" s="114"/>
      <c r="AI809" s="114"/>
      <c r="AJ809" s="114"/>
      <c r="AK809" s="114"/>
      <c r="AL809" s="114"/>
      <c r="AM809" s="114"/>
      <c r="AN809" s="114"/>
      <c r="AO809" s="114"/>
      <c r="AP809" s="114"/>
      <c r="AQ809" s="114"/>
      <c r="AR809" s="114"/>
      <c r="AS809" s="114"/>
      <c r="AT809" s="114"/>
      <c r="AU809" s="114"/>
      <c r="AV809" s="114"/>
      <c r="AW809" s="114"/>
      <c r="AX809" s="114"/>
      <c r="AY809" s="114"/>
      <c r="AZ809" s="114"/>
    </row>
    <row r="810" spans="1:52">
      <c r="A810" s="111"/>
      <c r="B810" s="111"/>
      <c r="C810" s="112"/>
      <c r="D810" s="101"/>
      <c r="E810" s="101"/>
      <c r="F810" s="101"/>
      <c r="G810" s="111"/>
      <c r="H810" s="101"/>
      <c r="I810" s="101"/>
      <c r="J810" s="101"/>
      <c r="K810" s="101"/>
      <c r="L810" s="101"/>
      <c r="M810" s="101"/>
      <c r="N810" s="101"/>
      <c r="O810" s="101"/>
      <c r="P810" s="101"/>
      <c r="Q810" s="101"/>
      <c r="R810" s="101"/>
      <c r="S810" s="101"/>
      <c r="T810" s="101"/>
      <c r="U810" s="101"/>
      <c r="V810" s="101"/>
      <c r="W810" s="101"/>
      <c r="X810" s="101"/>
      <c r="Y810" s="114"/>
      <c r="Z810" s="114"/>
      <c r="AA810" s="114"/>
      <c r="AB810" s="114"/>
      <c r="AC810" s="114"/>
      <c r="AD810" s="114"/>
      <c r="AE810" s="114"/>
      <c r="AF810" s="114"/>
      <c r="AG810" s="114"/>
      <c r="AH810" s="114"/>
      <c r="AI810" s="114"/>
      <c r="AJ810" s="114"/>
      <c r="AK810" s="114"/>
      <c r="AL810" s="114"/>
      <c r="AM810" s="114"/>
      <c r="AN810" s="114"/>
      <c r="AO810" s="114"/>
      <c r="AP810" s="114"/>
      <c r="AQ810" s="114"/>
      <c r="AR810" s="114"/>
      <c r="AS810" s="114"/>
      <c r="AT810" s="114"/>
      <c r="AU810" s="114"/>
      <c r="AV810" s="114"/>
      <c r="AW810" s="114"/>
      <c r="AX810" s="114"/>
      <c r="AY810" s="114"/>
      <c r="AZ810" s="114"/>
    </row>
    <row r="811" spans="1:52">
      <c r="A811" s="111"/>
      <c r="B811" s="111"/>
      <c r="C811" s="112"/>
      <c r="D811" s="101"/>
      <c r="E811" s="101"/>
      <c r="F811" s="101"/>
      <c r="G811" s="111"/>
      <c r="H811" s="101"/>
      <c r="I811" s="101"/>
      <c r="J811" s="101"/>
      <c r="K811" s="101"/>
      <c r="L811" s="101"/>
      <c r="M811" s="101"/>
      <c r="N811" s="101"/>
      <c r="O811" s="101"/>
      <c r="P811" s="101"/>
      <c r="Q811" s="101"/>
      <c r="R811" s="101"/>
      <c r="S811" s="101"/>
      <c r="T811" s="101"/>
      <c r="U811" s="101"/>
      <c r="V811" s="101"/>
      <c r="W811" s="101"/>
      <c r="X811" s="101"/>
      <c r="Y811" s="114"/>
      <c r="Z811" s="114"/>
      <c r="AA811" s="114"/>
      <c r="AB811" s="114"/>
      <c r="AC811" s="114"/>
      <c r="AD811" s="114"/>
      <c r="AE811" s="114"/>
      <c r="AF811" s="114"/>
      <c r="AG811" s="114"/>
      <c r="AH811" s="114"/>
      <c r="AI811" s="114"/>
      <c r="AJ811" s="114"/>
      <c r="AK811" s="114"/>
      <c r="AL811" s="114"/>
      <c r="AM811" s="114"/>
      <c r="AN811" s="114"/>
      <c r="AO811" s="114"/>
      <c r="AP811" s="114"/>
      <c r="AQ811" s="114"/>
      <c r="AR811" s="114"/>
      <c r="AS811" s="114"/>
      <c r="AT811" s="114"/>
      <c r="AU811" s="114"/>
      <c r="AV811" s="114"/>
      <c r="AW811" s="114"/>
      <c r="AX811" s="114"/>
      <c r="AY811" s="114"/>
      <c r="AZ811" s="114"/>
    </row>
    <row r="812" spans="1:52">
      <c r="A812" s="111"/>
      <c r="B812" s="111"/>
      <c r="C812" s="112"/>
      <c r="D812" s="101"/>
      <c r="E812" s="101"/>
      <c r="F812" s="101"/>
      <c r="G812" s="111"/>
      <c r="H812" s="101"/>
      <c r="I812" s="101"/>
      <c r="J812" s="101"/>
      <c r="K812" s="101"/>
      <c r="L812" s="101"/>
      <c r="M812" s="101"/>
      <c r="N812" s="101"/>
      <c r="O812" s="101"/>
      <c r="P812" s="101"/>
      <c r="Q812" s="101"/>
      <c r="R812" s="101"/>
      <c r="S812" s="101"/>
      <c r="T812" s="101"/>
      <c r="U812" s="101"/>
      <c r="V812" s="101"/>
      <c r="W812" s="101"/>
      <c r="X812" s="101"/>
      <c r="Y812" s="114"/>
      <c r="Z812" s="114"/>
      <c r="AA812" s="114"/>
      <c r="AB812" s="114"/>
      <c r="AC812" s="114"/>
      <c r="AD812" s="114"/>
      <c r="AE812" s="114"/>
      <c r="AF812" s="114"/>
      <c r="AG812" s="114"/>
      <c r="AH812" s="114"/>
      <c r="AI812" s="114"/>
      <c r="AJ812" s="114"/>
      <c r="AK812" s="114"/>
      <c r="AL812" s="114"/>
      <c r="AM812" s="114"/>
      <c r="AN812" s="114"/>
      <c r="AO812" s="114"/>
      <c r="AP812" s="114"/>
      <c r="AQ812" s="114"/>
      <c r="AR812" s="114"/>
      <c r="AS812" s="114"/>
      <c r="AT812" s="114"/>
      <c r="AU812" s="114"/>
      <c r="AV812" s="114"/>
      <c r="AW812" s="114"/>
      <c r="AX812" s="114"/>
      <c r="AY812" s="114"/>
      <c r="AZ812" s="114"/>
    </row>
    <row r="813" spans="1:52">
      <c r="A813" s="111"/>
      <c r="B813" s="111"/>
      <c r="C813" s="112"/>
      <c r="D813" s="101"/>
      <c r="E813" s="101"/>
      <c r="F813" s="101"/>
      <c r="G813" s="111"/>
      <c r="H813" s="101"/>
      <c r="I813" s="101"/>
      <c r="J813" s="101"/>
      <c r="K813" s="101"/>
      <c r="L813" s="101"/>
      <c r="M813" s="101"/>
      <c r="N813" s="101"/>
      <c r="O813" s="101"/>
      <c r="P813" s="101"/>
      <c r="Q813" s="101"/>
      <c r="R813" s="101"/>
      <c r="S813" s="101"/>
      <c r="T813" s="101"/>
      <c r="U813" s="101"/>
      <c r="V813" s="101"/>
      <c r="W813" s="101"/>
      <c r="X813" s="101"/>
      <c r="Y813" s="114"/>
      <c r="Z813" s="114"/>
      <c r="AA813" s="114"/>
      <c r="AB813" s="114"/>
      <c r="AC813" s="114"/>
      <c r="AD813" s="114"/>
      <c r="AE813" s="114"/>
      <c r="AF813" s="114"/>
      <c r="AG813" s="114"/>
      <c r="AH813" s="114"/>
      <c r="AI813" s="114"/>
      <c r="AJ813" s="114"/>
      <c r="AK813" s="114"/>
      <c r="AL813" s="114"/>
      <c r="AM813" s="114"/>
      <c r="AN813" s="114"/>
      <c r="AO813" s="114"/>
      <c r="AP813" s="114"/>
      <c r="AQ813" s="114"/>
      <c r="AR813" s="114"/>
      <c r="AS813" s="114"/>
      <c r="AT813" s="114"/>
      <c r="AU813" s="114"/>
      <c r="AV813" s="114"/>
      <c r="AW813" s="114"/>
      <c r="AX813" s="114"/>
      <c r="AY813" s="114"/>
      <c r="AZ813" s="114"/>
    </row>
    <row r="814" spans="1:52">
      <c r="A814" s="111"/>
      <c r="B814" s="111"/>
      <c r="C814" s="112"/>
      <c r="D814" s="101"/>
      <c r="E814" s="101"/>
      <c r="F814" s="101"/>
      <c r="G814" s="111"/>
      <c r="H814" s="101"/>
      <c r="I814" s="101"/>
      <c r="J814" s="101"/>
      <c r="K814" s="101"/>
      <c r="L814" s="101"/>
      <c r="M814" s="101"/>
      <c r="N814" s="101"/>
      <c r="O814" s="101"/>
      <c r="P814" s="101"/>
      <c r="Q814" s="101"/>
      <c r="R814" s="101"/>
      <c r="S814" s="101"/>
      <c r="T814" s="101"/>
      <c r="U814" s="101"/>
      <c r="V814" s="101"/>
      <c r="W814" s="101"/>
      <c r="X814" s="101"/>
      <c r="Y814" s="114"/>
      <c r="Z814" s="114"/>
      <c r="AA814" s="114"/>
      <c r="AB814" s="114"/>
      <c r="AC814" s="114"/>
      <c r="AD814" s="114"/>
      <c r="AE814" s="114"/>
      <c r="AF814" s="114"/>
      <c r="AG814" s="114"/>
      <c r="AH814" s="114"/>
      <c r="AI814" s="114"/>
      <c r="AJ814" s="114"/>
      <c r="AK814" s="114"/>
      <c r="AL814" s="114"/>
      <c r="AM814" s="114"/>
      <c r="AN814" s="114"/>
      <c r="AO814" s="114"/>
      <c r="AP814" s="114"/>
      <c r="AQ814" s="114"/>
      <c r="AR814" s="114"/>
      <c r="AS814" s="114"/>
      <c r="AT814" s="114"/>
      <c r="AU814" s="114"/>
      <c r="AV814" s="114"/>
      <c r="AW814" s="114"/>
      <c r="AX814" s="114"/>
      <c r="AY814" s="114"/>
      <c r="AZ814" s="114"/>
    </row>
    <row r="815" spans="1:52">
      <c r="A815" s="111"/>
      <c r="B815" s="111"/>
      <c r="C815" s="112"/>
      <c r="D815" s="101"/>
      <c r="E815" s="101"/>
      <c r="F815" s="101"/>
      <c r="G815" s="111"/>
      <c r="H815" s="101"/>
      <c r="I815" s="101"/>
      <c r="J815" s="101"/>
      <c r="K815" s="101"/>
      <c r="L815" s="101"/>
      <c r="M815" s="101"/>
      <c r="N815" s="101"/>
      <c r="O815" s="101"/>
      <c r="P815" s="101"/>
      <c r="Q815" s="101"/>
      <c r="R815" s="101"/>
      <c r="S815" s="101"/>
      <c r="T815" s="101"/>
      <c r="U815" s="101"/>
      <c r="V815" s="101"/>
      <c r="W815" s="101"/>
      <c r="X815" s="101"/>
      <c r="Y815" s="114"/>
      <c r="Z815" s="114"/>
      <c r="AA815" s="114"/>
      <c r="AB815" s="114"/>
      <c r="AC815" s="114"/>
      <c r="AD815" s="114"/>
      <c r="AE815" s="114"/>
      <c r="AF815" s="114"/>
      <c r="AG815" s="114"/>
      <c r="AH815" s="114"/>
      <c r="AI815" s="114"/>
      <c r="AJ815" s="114"/>
      <c r="AK815" s="114"/>
      <c r="AL815" s="114"/>
      <c r="AM815" s="114"/>
      <c r="AN815" s="114"/>
      <c r="AO815" s="114"/>
      <c r="AP815" s="114"/>
      <c r="AQ815" s="114"/>
      <c r="AR815" s="114"/>
      <c r="AS815" s="114"/>
      <c r="AT815" s="114"/>
      <c r="AU815" s="114"/>
      <c r="AV815" s="114"/>
      <c r="AW815" s="114"/>
      <c r="AX815" s="114"/>
      <c r="AY815" s="114"/>
      <c r="AZ815" s="114"/>
    </row>
    <row r="816" spans="1:52">
      <c r="A816" s="111"/>
      <c r="B816" s="111"/>
      <c r="C816" s="112"/>
      <c r="D816" s="101"/>
      <c r="E816" s="101"/>
      <c r="F816" s="101"/>
      <c r="G816" s="111"/>
      <c r="H816" s="101"/>
      <c r="I816" s="101"/>
      <c r="J816" s="101"/>
      <c r="K816" s="101"/>
      <c r="L816" s="101"/>
      <c r="M816" s="101"/>
      <c r="N816" s="101"/>
      <c r="O816" s="101"/>
      <c r="P816" s="101"/>
      <c r="Q816" s="101"/>
      <c r="R816" s="101"/>
      <c r="S816" s="101"/>
      <c r="T816" s="101"/>
      <c r="U816" s="101"/>
      <c r="V816" s="101"/>
      <c r="W816" s="101"/>
      <c r="X816" s="101"/>
      <c r="Y816" s="114"/>
      <c r="Z816" s="114"/>
      <c r="AA816" s="114"/>
      <c r="AB816" s="114"/>
      <c r="AC816" s="114"/>
      <c r="AD816" s="114"/>
      <c r="AE816" s="114"/>
      <c r="AF816" s="114"/>
      <c r="AG816" s="114"/>
      <c r="AH816" s="114"/>
      <c r="AI816" s="114"/>
      <c r="AJ816" s="114"/>
      <c r="AK816" s="114"/>
      <c r="AL816" s="114"/>
      <c r="AM816" s="114"/>
      <c r="AN816" s="114"/>
      <c r="AO816" s="114"/>
      <c r="AP816" s="114"/>
      <c r="AQ816" s="114"/>
      <c r="AR816" s="114"/>
      <c r="AS816" s="114"/>
      <c r="AT816" s="114"/>
      <c r="AU816" s="114"/>
      <c r="AV816" s="114"/>
      <c r="AW816" s="114"/>
      <c r="AX816" s="114"/>
      <c r="AY816" s="114"/>
      <c r="AZ816" s="114"/>
    </row>
    <row r="817" spans="1:52">
      <c r="A817" s="111"/>
      <c r="B817" s="111"/>
      <c r="C817" s="112"/>
      <c r="D817" s="101"/>
      <c r="E817" s="101"/>
      <c r="F817" s="101"/>
      <c r="G817" s="111"/>
      <c r="H817" s="101"/>
      <c r="I817" s="101"/>
      <c r="J817" s="101"/>
      <c r="K817" s="101"/>
      <c r="L817" s="101"/>
      <c r="M817" s="101"/>
      <c r="N817" s="101"/>
      <c r="O817" s="101"/>
      <c r="P817" s="101"/>
      <c r="Q817" s="101"/>
      <c r="R817" s="101"/>
      <c r="S817" s="101"/>
      <c r="T817" s="101"/>
      <c r="U817" s="101"/>
      <c r="V817" s="101"/>
      <c r="W817" s="101"/>
      <c r="X817" s="101"/>
      <c r="Y817" s="114"/>
      <c r="Z817" s="114"/>
      <c r="AA817" s="114"/>
      <c r="AB817" s="114"/>
      <c r="AC817" s="114"/>
      <c r="AD817" s="114"/>
      <c r="AE817" s="114"/>
      <c r="AF817" s="114"/>
      <c r="AG817" s="114"/>
      <c r="AH817" s="114"/>
      <c r="AI817" s="114"/>
      <c r="AJ817" s="114"/>
      <c r="AK817" s="114"/>
      <c r="AL817" s="114"/>
      <c r="AM817" s="114"/>
      <c r="AN817" s="114"/>
      <c r="AO817" s="114"/>
      <c r="AP817" s="114"/>
      <c r="AQ817" s="114"/>
      <c r="AR817" s="114"/>
      <c r="AS817" s="114"/>
      <c r="AT817" s="114"/>
      <c r="AU817" s="114"/>
      <c r="AV817" s="114"/>
      <c r="AW817" s="114"/>
      <c r="AX817" s="114"/>
      <c r="AY817" s="114"/>
      <c r="AZ817" s="114"/>
    </row>
    <row r="818" spans="1:52">
      <c r="A818" s="111"/>
      <c r="B818" s="111"/>
      <c r="C818" s="112"/>
      <c r="D818" s="101"/>
      <c r="E818" s="101"/>
      <c r="F818" s="101"/>
      <c r="G818" s="111"/>
      <c r="H818" s="101"/>
      <c r="I818" s="101"/>
      <c r="J818" s="101"/>
      <c r="K818" s="101"/>
      <c r="L818" s="101"/>
      <c r="M818" s="101"/>
      <c r="N818" s="101"/>
      <c r="O818" s="101"/>
      <c r="P818" s="101"/>
      <c r="Q818" s="101"/>
      <c r="R818" s="101"/>
      <c r="S818" s="101"/>
      <c r="T818" s="101"/>
      <c r="U818" s="101"/>
      <c r="V818" s="101"/>
      <c r="W818" s="101"/>
      <c r="X818" s="101"/>
      <c r="Y818" s="114"/>
      <c r="Z818" s="114"/>
      <c r="AA818" s="114"/>
      <c r="AB818" s="114"/>
      <c r="AC818" s="114"/>
      <c r="AD818" s="114"/>
      <c r="AE818" s="114"/>
      <c r="AF818" s="114"/>
      <c r="AG818" s="114"/>
      <c r="AH818" s="114"/>
      <c r="AI818" s="114"/>
      <c r="AJ818" s="114"/>
      <c r="AK818" s="114"/>
      <c r="AL818" s="114"/>
      <c r="AM818" s="114"/>
      <c r="AN818" s="114"/>
      <c r="AO818" s="114"/>
      <c r="AP818" s="114"/>
      <c r="AQ818" s="114"/>
      <c r="AR818" s="114"/>
      <c r="AS818" s="114"/>
      <c r="AT818" s="114"/>
      <c r="AU818" s="114"/>
      <c r="AV818" s="114"/>
      <c r="AW818" s="114"/>
      <c r="AX818" s="114"/>
      <c r="AY818" s="114"/>
      <c r="AZ818" s="114"/>
    </row>
    <row r="819" spans="1:52">
      <c r="A819" s="111"/>
      <c r="B819" s="111"/>
      <c r="C819" s="112"/>
      <c r="D819" s="101"/>
      <c r="E819" s="101"/>
      <c r="F819" s="101"/>
      <c r="G819" s="111"/>
      <c r="H819" s="101"/>
      <c r="I819" s="101"/>
      <c r="J819" s="101"/>
      <c r="K819" s="101"/>
      <c r="L819" s="101"/>
      <c r="M819" s="101"/>
      <c r="N819" s="101"/>
      <c r="O819" s="101"/>
      <c r="P819" s="101"/>
      <c r="Q819" s="101"/>
      <c r="R819" s="101"/>
      <c r="S819" s="101"/>
      <c r="T819" s="101"/>
      <c r="U819" s="101"/>
      <c r="V819" s="101"/>
      <c r="W819" s="101"/>
      <c r="X819" s="101"/>
      <c r="Y819" s="114"/>
      <c r="Z819" s="114"/>
      <c r="AA819" s="114"/>
      <c r="AB819" s="114"/>
      <c r="AC819" s="114"/>
      <c r="AD819" s="114"/>
      <c r="AE819" s="114"/>
      <c r="AF819" s="114"/>
      <c r="AG819" s="114"/>
      <c r="AH819" s="114"/>
      <c r="AI819" s="114"/>
      <c r="AJ819" s="114"/>
      <c r="AK819" s="114"/>
      <c r="AL819" s="114"/>
      <c r="AM819" s="114"/>
      <c r="AN819" s="114"/>
      <c r="AO819" s="114"/>
      <c r="AP819" s="114"/>
      <c r="AQ819" s="114"/>
      <c r="AR819" s="114"/>
      <c r="AS819" s="114"/>
      <c r="AT819" s="114"/>
      <c r="AU819" s="114"/>
      <c r="AV819" s="114"/>
      <c r="AW819" s="114"/>
      <c r="AX819" s="114"/>
      <c r="AY819" s="114"/>
      <c r="AZ819" s="114"/>
    </row>
    <row r="820" spans="1:52">
      <c r="A820" s="111"/>
      <c r="B820" s="111"/>
      <c r="C820" s="112"/>
      <c r="D820" s="101"/>
      <c r="E820" s="101"/>
      <c r="F820" s="101"/>
      <c r="G820" s="111"/>
      <c r="H820" s="101"/>
      <c r="I820" s="101"/>
      <c r="J820" s="101"/>
      <c r="K820" s="101"/>
      <c r="L820" s="101"/>
      <c r="M820" s="101"/>
      <c r="N820" s="101"/>
      <c r="O820" s="101"/>
      <c r="P820" s="101"/>
      <c r="Q820" s="101"/>
      <c r="R820" s="101"/>
      <c r="S820" s="101"/>
      <c r="T820" s="101"/>
      <c r="U820" s="101"/>
      <c r="V820" s="101"/>
      <c r="W820" s="101"/>
      <c r="X820" s="101"/>
      <c r="Y820" s="114"/>
      <c r="Z820" s="114"/>
      <c r="AA820" s="114"/>
      <c r="AB820" s="114"/>
      <c r="AC820" s="114"/>
      <c r="AD820" s="114"/>
      <c r="AE820" s="114"/>
      <c r="AF820" s="114"/>
      <c r="AG820" s="114"/>
      <c r="AH820" s="114"/>
      <c r="AI820" s="114"/>
      <c r="AJ820" s="114"/>
      <c r="AK820" s="114"/>
      <c r="AL820" s="114"/>
      <c r="AM820" s="114"/>
      <c r="AN820" s="114"/>
      <c r="AO820" s="114"/>
      <c r="AP820" s="114"/>
      <c r="AQ820" s="114"/>
      <c r="AR820" s="114"/>
      <c r="AS820" s="114"/>
      <c r="AT820" s="114"/>
      <c r="AU820" s="114"/>
      <c r="AV820" s="114"/>
      <c r="AW820" s="114"/>
      <c r="AX820" s="114"/>
      <c r="AY820" s="114"/>
      <c r="AZ820" s="114"/>
    </row>
    <row r="821" spans="1:52">
      <c r="A821" s="111"/>
      <c r="B821" s="111"/>
      <c r="C821" s="112"/>
      <c r="D821" s="101"/>
      <c r="E821" s="101"/>
      <c r="F821" s="101"/>
      <c r="G821" s="111"/>
      <c r="H821" s="101"/>
      <c r="I821" s="101"/>
      <c r="J821" s="101"/>
      <c r="K821" s="101"/>
      <c r="L821" s="101"/>
      <c r="M821" s="101"/>
      <c r="N821" s="101"/>
      <c r="O821" s="101"/>
      <c r="P821" s="101"/>
      <c r="Q821" s="101"/>
      <c r="R821" s="101"/>
      <c r="S821" s="101"/>
      <c r="T821" s="101"/>
      <c r="U821" s="101"/>
      <c r="V821" s="101"/>
      <c r="W821" s="101"/>
      <c r="X821" s="101"/>
      <c r="Y821" s="114"/>
      <c r="Z821" s="114"/>
      <c r="AA821" s="114"/>
      <c r="AB821" s="114"/>
      <c r="AC821" s="114"/>
      <c r="AD821" s="114"/>
      <c r="AE821" s="114"/>
      <c r="AF821" s="114"/>
      <c r="AG821" s="114"/>
      <c r="AH821" s="114"/>
      <c r="AI821" s="114"/>
      <c r="AJ821" s="114"/>
      <c r="AK821" s="114"/>
      <c r="AL821" s="114"/>
      <c r="AM821" s="114"/>
      <c r="AN821" s="114"/>
      <c r="AO821" s="114"/>
      <c r="AP821" s="114"/>
      <c r="AQ821" s="114"/>
      <c r="AR821" s="114"/>
      <c r="AS821" s="114"/>
      <c r="AT821" s="114"/>
      <c r="AU821" s="114"/>
      <c r="AV821" s="114"/>
      <c r="AW821" s="114"/>
      <c r="AX821" s="114"/>
      <c r="AY821" s="114"/>
      <c r="AZ821" s="114"/>
    </row>
    <row r="822" spans="1:52">
      <c r="A822" s="111"/>
      <c r="B822" s="111"/>
      <c r="C822" s="112"/>
      <c r="D822" s="101"/>
      <c r="E822" s="101"/>
      <c r="F822" s="101"/>
      <c r="G822" s="111"/>
      <c r="H822" s="101"/>
      <c r="I822" s="101"/>
      <c r="J822" s="101"/>
      <c r="K822" s="101"/>
      <c r="L822" s="101"/>
      <c r="M822" s="101"/>
      <c r="N822" s="101"/>
      <c r="O822" s="101"/>
      <c r="P822" s="101"/>
      <c r="Q822" s="101"/>
      <c r="R822" s="101"/>
      <c r="S822" s="101"/>
      <c r="T822" s="101"/>
      <c r="U822" s="101"/>
      <c r="V822" s="101"/>
      <c r="W822" s="101"/>
      <c r="X822" s="101"/>
      <c r="Y822" s="114"/>
      <c r="Z822" s="114"/>
      <c r="AA822" s="114"/>
      <c r="AB822" s="114"/>
      <c r="AC822" s="114"/>
      <c r="AD822" s="114"/>
      <c r="AE822" s="114"/>
      <c r="AF822" s="114"/>
      <c r="AG822" s="114"/>
      <c r="AH822" s="114"/>
      <c r="AI822" s="114"/>
      <c r="AJ822" s="114"/>
      <c r="AK822" s="114"/>
      <c r="AL822" s="114"/>
      <c r="AM822" s="114"/>
      <c r="AN822" s="114"/>
      <c r="AO822" s="114"/>
      <c r="AP822" s="114"/>
      <c r="AQ822" s="114"/>
      <c r="AR822" s="114"/>
      <c r="AS822" s="114"/>
      <c r="AT822" s="114"/>
      <c r="AU822" s="114"/>
      <c r="AV822" s="114"/>
      <c r="AW822" s="114"/>
      <c r="AX822" s="114"/>
      <c r="AY822" s="114"/>
      <c r="AZ822" s="114"/>
    </row>
    <row r="823" spans="1:52">
      <c r="A823" s="111"/>
      <c r="B823" s="111"/>
      <c r="C823" s="112"/>
      <c r="D823" s="101"/>
      <c r="E823" s="101"/>
      <c r="F823" s="101"/>
      <c r="G823" s="111"/>
      <c r="H823" s="101"/>
      <c r="I823" s="101"/>
      <c r="J823" s="101"/>
      <c r="K823" s="101"/>
      <c r="L823" s="101"/>
      <c r="M823" s="101"/>
      <c r="N823" s="101"/>
      <c r="O823" s="101"/>
      <c r="P823" s="101"/>
      <c r="Q823" s="101"/>
      <c r="R823" s="101"/>
      <c r="S823" s="101"/>
      <c r="T823" s="101"/>
      <c r="U823" s="101"/>
      <c r="V823" s="101"/>
      <c r="W823" s="101"/>
      <c r="X823" s="101"/>
      <c r="Y823" s="114"/>
      <c r="Z823" s="114"/>
      <c r="AA823" s="114"/>
      <c r="AB823" s="114"/>
      <c r="AC823" s="114"/>
      <c r="AD823" s="114"/>
      <c r="AE823" s="114"/>
      <c r="AF823" s="114"/>
      <c r="AG823" s="114"/>
      <c r="AH823" s="114"/>
      <c r="AI823" s="114"/>
      <c r="AJ823" s="114"/>
      <c r="AK823" s="114"/>
      <c r="AL823" s="114"/>
      <c r="AM823" s="114"/>
      <c r="AN823" s="114"/>
      <c r="AO823" s="114"/>
      <c r="AP823" s="114"/>
      <c r="AQ823" s="114"/>
      <c r="AR823" s="114"/>
      <c r="AS823" s="114"/>
      <c r="AT823" s="114"/>
      <c r="AU823" s="114"/>
      <c r="AV823" s="114"/>
      <c r="AW823" s="114"/>
      <c r="AX823" s="114"/>
      <c r="AY823" s="114"/>
      <c r="AZ823" s="114"/>
    </row>
    <row r="824" spans="1:52">
      <c r="A824" s="111"/>
      <c r="B824" s="111"/>
      <c r="C824" s="112"/>
      <c r="D824" s="101"/>
      <c r="E824" s="101"/>
      <c r="F824" s="101"/>
      <c r="G824" s="111"/>
      <c r="H824" s="101"/>
      <c r="I824" s="101"/>
      <c r="J824" s="101"/>
      <c r="K824" s="101"/>
      <c r="L824" s="101"/>
      <c r="M824" s="101"/>
      <c r="N824" s="101"/>
      <c r="O824" s="101"/>
      <c r="P824" s="101"/>
      <c r="Q824" s="101"/>
      <c r="R824" s="101"/>
      <c r="S824" s="101"/>
      <c r="T824" s="101"/>
      <c r="U824" s="101"/>
      <c r="V824" s="101"/>
      <c r="W824" s="101"/>
      <c r="X824" s="101"/>
      <c r="Y824" s="114"/>
      <c r="Z824" s="114"/>
      <c r="AA824" s="114"/>
      <c r="AB824" s="114"/>
      <c r="AC824" s="114"/>
      <c r="AD824" s="114"/>
      <c r="AE824" s="114"/>
      <c r="AF824" s="114"/>
      <c r="AG824" s="114"/>
      <c r="AH824" s="114"/>
      <c r="AI824" s="114"/>
      <c r="AJ824" s="114"/>
      <c r="AK824" s="114"/>
      <c r="AL824" s="114"/>
      <c r="AM824" s="114"/>
      <c r="AN824" s="114"/>
      <c r="AO824" s="114"/>
      <c r="AP824" s="114"/>
      <c r="AQ824" s="114"/>
      <c r="AR824" s="114"/>
      <c r="AS824" s="114"/>
      <c r="AT824" s="114"/>
      <c r="AU824" s="114"/>
      <c r="AV824" s="114"/>
      <c r="AW824" s="114"/>
      <c r="AX824" s="114"/>
      <c r="AY824" s="114"/>
      <c r="AZ824" s="114"/>
    </row>
    <row r="825" spans="1:52">
      <c r="A825" s="111"/>
      <c r="B825" s="111"/>
      <c r="C825" s="112"/>
      <c r="D825" s="101"/>
      <c r="E825" s="101"/>
      <c r="F825" s="101"/>
      <c r="G825" s="111"/>
      <c r="H825" s="101"/>
      <c r="I825" s="101"/>
      <c r="J825" s="101"/>
      <c r="K825" s="101"/>
      <c r="L825" s="101"/>
      <c r="M825" s="101"/>
      <c r="N825" s="101"/>
      <c r="O825" s="101"/>
      <c r="P825" s="101"/>
      <c r="Q825" s="101"/>
      <c r="R825" s="101"/>
      <c r="S825" s="101"/>
      <c r="T825" s="101"/>
      <c r="U825" s="101"/>
      <c r="V825" s="101"/>
      <c r="W825" s="101"/>
      <c r="X825" s="101"/>
      <c r="Y825" s="114"/>
      <c r="Z825" s="114"/>
      <c r="AA825" s="114"/>
      <c r="AB825" s="114"/>
      <c r="AC825" s="114"/>
      <c r="AD825" s="114"/>
      <c r="AE825" s="114"/>
      <c r="AF825" s="114"/>
      <c r="AG825" s="114"/>
      <c r="AH825" s="114"/>
      <c r="AI825" s="114"/>
      <c r="AJ825" s="114"/>
      <c r="AK825" s="114"/>
      <c r="AL825" s="114"/>
      <c r="AM825" s="114"/>
      <c r="AN825" s="114"/>
      <c r="AO825" s="114"/>
      <c r="AP825" s="114"/>
      <c r="AQ825" s="114"/>
      <c r="AR825" s="114"/>
      <c r="AS825" s="114"/>
      <c r="AT825" s="114"/>
      <c r="AU825" s="114"/>
      <c r="AV825" s="114"/>
      <c r="AW825" s="114"/>
      <c r="AX825" s="114"/>
      <c r="AY825" s="114"/>
      <c r="AZ825" s="114"/>
    </row>
    <row r="826" spans="1:52">
      <c r="A826" s="111"/>
      <c r="B826" s="111"/>
      <c r="C826" s="112"/>
      <c r="D826" s="101"/>
      <c r="E826" s="101"/>
      <c r="F826" s="101"/>
      <c r="G826" s="111"/>
      <c r="H826" s="101"/>
      <c r="I826" s="101"/>
      <c r="J826" s="101"/>
      <c r="K826" s="101"/>
      <c r="L826" s="101"/>
      <c r="M826" s="101"/>
      <c r="N826" s="101"/>
      <c r="O826" s="101"/>
      <c r="P826" s="101"/>
      <c r="Q826" s="101"/>
      <c r="R826" s="101"/>
      <c r="S826" s="101"/>
      <c r="T826" s="101"/>
      <c r="U826" s="101"/>
      <c r="V826" s="101"/>
      <c r="W826" s="101"/>
      <c r="X826" s="101"/>
      <c r="Y826" s="114"/>
      <c r="Z826" s="114"/>
      <c r="AA826" s="114"/>
      <c r="AB826" s="114"/>
      <c r="AC826" s="114"/>
      <c r="AD826" s="114"/>
      <c r="AE826" s="114"/>
      <c r="AF826" s="114"/>
      <c r="AG826" s="114"/>
      <c r="AH826" s="114"/>
      <c r="AI826" s="114"/>
      <c r="AJ826" s="114"/>
      <c r="AK826" s="114"/>
      <c r="AL826" s="114"/>
      <c r="AM826" s="114"/>
      <c r="AN826" s="114"/>
      <c r="AO826" s="114"/>
      <c r="AP826" s="114"/>
      <c r="AQ826" s="114"/>
      <c r="AR826" s="114"/>
      <c r="AS826" s="114"/>
      <c r="AT826" s="114"/>
      <c r="AU826" s="114"/>
      <c r="AV826" s="114"/>
      <c r="AW826" s="114"/>
      <c r="AX826" s="114"/>
      <c r="AY826" s="114"/>
      <c r="AZ826" s="114"/>
    </row>
    <row r="827" spans="1:52">
      <c r="A827" s="111"/>
      <c r="B827" s="111"/>
      <c r="C827" s="112"/>
      <c r="D827" s="101"/>
      <c r="E827" s="101"/>
      <c r="F827" s="101"/>
      <c r="G827" s="111"/>
      <c r="H827" s="101"/>
      <c r="I827" s="101"/>
      <c r="J827" s="101"/>
      <c r="K827" s="101"/>
      <c r="L827" s="101"/>
      <c r="M827" s="101"/>
      <c r="N827" s="101"/>
      <c r="O827" s="101"/>
      <c r="P827" s="101"/>
      <c r="Q827" s="101"/>
      <c r="R827" s="101"/>
      <c r="S827" s="101"/>
      <c r="T827" s="101"/>
      <c r="U827" s="101"/>
      <c r="V827" s="101"/>
      <c r="W827" s="101"/>
      <c r="X827" s="101"/>
      <c r="Y827" s="114"/>
      <c r="Z827" s="114"/>
      <c r="AA827" s="114"/>
      <c r="AB827" s="114"/>
      <c r="AC827" s="114"/>
      <c r="AD827" s="114"/>
      <c r="AE827" s="114"/>
      <c r="AF827" s="114"/>
      <c r="AG827" s="114"/>
      <c r="AH827" s="114"/>
      <c r="AI827" s="114"/>
      <c r="AJ827" s="114"/>
      <c r="AK827" s="114"/>
      <c r="AL827" s="114"/>
      <c r="AM827" s="114"/>
      <c r="AN827" s="114"/>
      <c r="AO827" s="114"/>
      <c r="AP827" s="114"/>
      <c r="AQ827" s="114"/>
      <c r="AR827" s="114"/>
      <c r="AS827" s="114"/>
      <c r="AT827" s="114"/>
      <c r="AU827" s="114"/>
      <c r="AV827" s="114"/>
      <c r="AW827" s="114"/>
      <c r="AX827" s="114"/>
      <c r="AY827" s="114"/>
      <c r="AZ827" s="114"/>
    </row>
    <row r="828" spans="1:52">
      <c r="A828" s="111"/>
      <c r="B828" s="111"/>
      <c r="C828" s="112"/>
      <c r="D828" s="101"/>
      <c r="E828" s="101"/>
      <c r="F828" s="101"/>
      <c r="G828" s="111"/>
      <c r="H828" s="101"/>
      <c r="I828" s="101"/>
      <c r="J828" s="101"/>
      <c r="K828" s="101"/>
      <c r="L828" s="101"/>
      <c r="M828" s="101"/>
      <c r="N828" s="101"/>
      <c r="O828" s="101"/>
      <c r="P828" s="101"/>
      <c r="Q828" s="101"/>
      <c r="R828" s="101"/>
      <c r="S828" s="101"/>
      <c r="T828" s="101"/>
      <c r="U828" s="101"/>
      <c r="V828" s="101"/>
      <c r="W828" s="101"/>
      <c r="X828" s="101"/>
      <c r="Y828" s="114"/>
      <c r="Z828" s="114"/>
      <c r="AA828" s="114"/>
      <c r="AB828" s="114"/>
      <c r="AC828" s="114"/>
      <c r="AD828" s="114"/>
      <c r="AE828" s="114"/>
      <c r="AF828" s="114"/>
      <c r="AG828" s="114"/>
      <c r="AH828" s="114"/>
      <c r="AI828" s="114"/>
      <c r="AJ828" s="114"/>
      <c r="AK828" s="114"/>
      <c r="AL828" s="114"/>
      <c r="AM828" s="114"/>
      <c r="AN828" s="114"/>
      <c r="AO828" s="114"/>
      <c r="AP828" s="114"/>
      <c r="AQ828" s="114"/>
      <c r="AR828" s="114"/>
      <c r="AS828" s="114"/>
      <c r="AT828" s="114"/>
      <c r="AU828" s="114"/>
      <c r="AV828" s="114"/>
      <c r="AW828" s="114"/>
      <c r="AX828" s="114"/>
      <c r="AY828" s="114"/>
      <c r="AZ828" s="114"/>
    </row>
    <row r="829" spans="1:52">
      <c r="A829" s="111"/>
      <c r="B829" s="111"/>
      <c r="C829" s="112"/>
      <c r="D829" s="101"/>
      <c r="E829" s="101"/>
      <c r="F829" s="101"/>
      <c r="G829" s="111"/>
      <c r="H829" s="101"/>
      <c r="I829" s="101"/>
      <c r="J829" s="101"/>
      <c r="K829" s="101"/>
      <c r="L829" s="101"/>
      <c r="M829" s="101"/>
      <c r="N829" s="101"/>
      <c r="O829" s="101"/>
      <c r="P829" s="101"/>
      <c r="Q829" s="101"/>
      <c r="R829" s="101"/>
      <c r="S829" s="101"/>
      <c r="T829" s="101"/>
      <c r="U829" s="101"/>
      <c r="V829" s="101"/>
      <c r="W829" s="101"/>
      <c r="X829" s="101"/>
      <c r="Y829" s="114"/>
      <c r="Z829" s="114"/>
      <c r="AA829" s="114"/>
      <c r="AB829" s="114"/>
      <c r="AC829" s="114"/>
      <c r="AD829" s="114"/>
      <c r="AE829" s="114"/>
      <c r="AF829" s="114"/>
      <c r="AG829" s="114"/>
      <c r="AH829" s="114"/>
      <c r="AI829" s="114"/>
      <c r="AJ829" s="114"/>
      <c r="AK829" s="114"/>
      <c r="AL829" s="114"/>
      <c r="AM829" s="114"/>
      <c r="AN829" s="114"/>
      <c r="AO829" s="114"/>
      <c r="AP829" s="114"/>
      <c r="AQ829" s="114"/>
      <c r="AR829" s="114"/>
      <c r="AS829" s="114"/>
      <c r="AT829" s="114"/>
      <c r="AU829" s="114"/>
      <c r="AV829" s="114"/>
      <c r="AW829" s="114"/>
      <c r="AX829" s="114"/>
      <c r="AY829" s="114"/>
      <c r="AZ829" s="114"/>
    </row>
    <row r="830" spans="1:52">
      <c r="A830" s="111"/>
      <c r="B830" s="111"/>
      <c r="C830" s="112"/>
      <c r="D830" s="101"/>
      <c r="E830" s="101"/>
      <c r="F830" s="101"/>
      <c r="G830" s="111"/>
      <c r="H830" s="101"/>
      <c r="I830" s="101"/>
      <c r="J830" s="101"/>
      <c r="K830" s="101"/>
      <c r="L830" s="101"/>
      <c r="M830" s="101"/>
      <c r="N830" s="101"/>
      <c r="O830" s="101"/>
      <c r="P830" s="101"/>
      <c r="Q830" s="101"/>
      <c r="R830" s="101"/>
      <c r="S830" s="101"/>
      <c r="T830" s="101"/>
      <c r="U830" s="101"/>
      <c r="V830" s="101"/>
      <c r="W830" s="101"/>
      <c r="X830" s="101"/>
      <c r="Y830" s="114"/>
      <c r="Z830" s="114"/>
      <c r="AA830" s="114"/>
      <c r="AB830" s="114"/>
      <c r="AC830" s="114"/>
      <c r="AD830" s="114"/>
      <c r="AE830" s="114"/>
      <c r="AF830" s="114"/>
      <c r="AG830" s="114"/>
      <c r="AH830" s="114"/>
      <c r="AI830" s="114"/>
      <c r="AJ830" s="114"/>
      <c r="AK830" s="114"/>
      <c r="AL830" s="114"/>
      <c r="AM830" s="114"/>
      <c r="AN830" s="114"/>
      <c r="AO830" s="114"/>
      <c r="AP830" s="114"/>
      <c r="AQ830" s="114"/>
      <c r="AR830" s="114"/>
      <c r="AS830" s="114"/>
      <c r="AT830" s="114"/>
      <c r="AU830" s="114"/>
      <c r="AV830" s="114"/>
      <c r="AW830" s="114"/>
      <c r="AX830" s="114"/>
      <c r="AY830" s="114"/>
      <c r="AZ830" s="114"/>
    </row>
    <row r="831" spans="1:52">
      <c r="A831" s="111"/>
      <c r="B831" s="111"/>
      <c r="C831" s="112"/>
      <c r="D831" s="101"/>
      <c r="E831" s="101"/>
      <c r="F831" s="101"/>
      <c r="G831" s="111"/>
      <c r="H831" s="101"/>
      <c r="I831" s="101"/>
      <c r="J831" s="101"/>
      <c r="K831" s="101"/>
      <c r="L831" s="101"/>
      <c r="M831" s="101"/>
      <c r="N831" s="101"/>
      <c r="O831" s="101"/>
      <c r="P831" s="101"/>
      <c r="Q831" s="101"/>
      <c r="R831" s="101"/>
      <c r="S831" s="101"/>
      <c r="T831" s="101"/>
      <c r="U831" s="101"/>
      <c r="V831" s="101"/>
      <c r="W831" s="101"/>
      <c r="X831" s="101"/>
      <c r="Y831" s="114"/>
      <c r="Z831" s="114"/>
      <c r="AA831" s="114"/>
      <c r="AB831" s="114"/>
      <c r="AC831" s="114"/>
      <c r="AD831" s="114"/>
      <c r="AE831" s="114"/>
      <c r="AF831" s="114"/>
      <c r="AG831" s="114"/>
      <c r="AH831" s="114"/>
      <c r="AI831" s="114"/>
      <c r="AJ831" s="114"/>
      <c r="AK831" s="114"/>
      <c r="AL831" s="114"/>
      <c r="AM831" s="114"/>
      <c r="AN831" s="114"/>
      <c r="AO831" s="114"/>
      <c r="AP831" s="114"/>
      <c r="AQ831" s="114"/>
      <c r="AR831" s="114"/>
      <c r="AS831" s="114"/>
      <c r="AT831" s="114"/>
      <c r="AU831" s="114"/>
      <c r="AV831" s="114"/>
      <c r="AW831" s="114"/>
      <c r="AX831" s="114"/>
      <c r="AY831" s="114"/>
      <c r="AZ831" s="114"/>
    </row>
    <row r="832" spans="1:52">
      <c r="A832" s="111"/>
      <c r="B832" s="111"/>
      <c r="C832" s="112"/>
      <c r="D832" s="101"/>
      <c r="E832" s="101"/>
      <c r="F832" s="101"/>
      <c r="G832" s="111"/>
      <c r="H832" s="101"/>
      <c r="I832" s="101"/>
      <c r="J832" s="101"/>
      <c r="K832" s="101"/>
      <c r="L832" s="101"/>
      <c r="M832" s="101"/>
      <c r="N832" s="101"/>
      <c r="O832" s="101"/>
      <c r="P832" s="101"/>
      <c r="Q832" s="101"/>
      <c r="R832" s="101"/>
      <c r="S832" s="101"/>
      <c r="T832" s="101"/>
      <c r="U832" s="101"/>
      <c r="V832" s="101"/>
      <c r="W832" s="101"/>
      <c r="X832" s="101"/>
      <c r="Y832" s="114"/>
      <c r="Z832" s="114"/>
      <c r="AA832" s="114"/>
      <c r="AB832" s="114"/>
      <c r="AC832" s="114"/>
      <c r="AD832" s="114"/>
      <c r="AE832" s="114"/>
      <c r="AF832" s="114"/>
      <c r="AG832" s="114"/>
      <c r="AH832" s="114"/>
      <c r="AI832" s="114"/>
      <c r="AJ832" s="114"/>
      <c r="AK832" s="114"/>
      <c r="AL832" s="114"/>
      <c r="AM832" s="114"/>
      <c r="AN832" s="114"/>
      <c r="AO832" s="114"/>
      <c r="AP832" s="114"/>
      <c r="AQ832" s="114"/>
      <c r="AR832" s="114"/>
      <c r="AS832" s="114"/>
      <c r="AT832" s="114"/>
      <c r="AU832" s="114"/>
      <c r="AV832" s="114"/>
      <c r="AW832" s="114"/>
      <c r="AX832" s="114"/>
      <c r="AY832" s="114"/>
      <c r="AZ832" s="114"/>
    </row>
    <row r="833" spans="1:52">
      <c r="A833" s="111"/>
      <c r="B833" s="111"/>
      <c r="C833" s="112"/>
      <c r="D833" s="101"/>
      <c r="E833" s="101"/>
      <c r="F833" s="101"/>
      <c r="G833" s="111"/>
      <c r="H833" s="101"/>
      <c r="I833" s="101"/>
      <c r="J833" s="101"/>
      <c r="K833" s="101"/>
      <c r="L833" s="101"/>
      <c r="M833" s="101"/>
      <c r="N833" s="101"/>
      <c r="O833" s="101"/>
      <c r="P833" s="101"/>
      <c r="Q833" s="101"/>
      <c r="R833" s="101"/>
      <c r="S833" s="101"/>
      <c r="T833" s="101"/>
      <c r="U833" s="101"/>
      <c r="V833" s="101"/>
      <c r="W833" s="101"/>
      <c r="X833" s="101"/>
      <c r="Y833" s="114"/>
      <c r="Z833" s="114"/>
      <c r="AA833" s="114"/>
      <c r="AB833" s="114"/>
      <c r="AC833" s="114"/>
      <c r="AD833" s="114"/>
      <c r="AE833" s="114"/>
      <c r="AF833" s="114"/>
      <c r="AG833" s="114"/>
      <c r="AH833" s="114"/>
      <c r="AI833" s="114"/>
      <c r="AJ833" s="114"/>
      <c r="AK833" s="114"/>
      <c r="AL833" s="114"/>
      <c r="AM833" s="114"/>
      <c r="AN833" s="114"/>
      <c r="AO833" s="114"/>
      <c r="AP833" s="114"/>
      <c r="AQ833" s="114"/>
      <c r="AR833" s="114"/>
      <c r="AS833" s="114"/>
      <c r="AT833" s="114"/>
      <c r="AU833" s="114"/>
      <c r="AV833" s="114"/>
      <c r="AW833" s="114"/>
      <c r="AX833" s="114"/>
      <c r="AY833" s="114"/>
      <c r="AZ833" s="114"/>
    </row>
    <row r="834" spans="1:52">
      <c r="A834" s="111"/>
      <c r="B834" s="111"/>
      <c r="C834" s="112"/>
      <c r="D834" s="101"/>
      <c r="E834" s="101"/>
      <c r="F834" s="101"/>
      <c r="G834" s="111"/>
      <c r="H834" s="101"/>
      <c r="I834" s="101"/>
      <c r="J834" s="101"/>
      <c r="K834" s="101"/>
      <c r="L834" s="101"/>
      <c r="M834" s="101"/>
      <c r="N834" s="101"/>
      <c r="O834" s="101"/>
      <c r="P834" s="101"/>
      <c r="Q834" s="101"/>
      <c r="R834" s="101"/>
      <c r="S834" s="101"/>
      <c r="T834" s="101"/>
      <c r="U834" s="101"/>
      <c r="V834" s="101"/>
      <c r="W834" s="101"/>
      <c r="X834" s="101"/>
      <c r="Y834" s="114"/>
      <c r="Z834" s="114"/>
      <c r="AA834" s="114"/>
      <c r="AB834" s="114"/>
      <c r="AC834" s="114"/>
      <c r="AD834" s="114"/>
      <c r="AE834" s="114"/>
      <c r="AF834" s="114"/>
      <c r="AG834" s="114"/>
      <c r="AH834" s="114"/>
      <c r="AI834" s="114"/>
      <c r="AJ834" s="114"/>
      <c r="AK834" s="114"/>
      <c r="AL834" s="114"/>
      <c r="AM834" s="114"/>
      <c r="AN834" s="114"/>
      <c r="AO834" s="114"/>
      <c r="AP834" s="114"/>
      <c r="AQ834" s="114"/>
      <c r="AR834" s="114"/>
      <c r="AS834" s="114"/>
      <c r="AT834" s="114"/>
      <c r="AU834" s="114"/>
      <c r="AV834" s="114"/>
      <c r="AW834" s="114"/>
      <c r="AX834" s="114"/>
      <c r="AY834" s="114"/>
      <c r="AZ834" s="114"/>
    </row>
    <row r="835" spans="1:52">
      <c r="A835" s="111"/>
      <c r="B835" s="111"/>
      <c r="C835" s="112"/>
      <c r="D835" s="101"/>
      <c r="E835" s="101"/>
      <c r="F835" s="101"/>
      <c r="G835" s="111"/>
      <c r="H835" s="101"/>
      <c r="I835" s="101"/>
      <c r="J835" s="101"/>
      <c r="K835" s="101"/>
      <c r="L835" s="101"/>
      <c r="M835" s="101"/>
      <c r="N835" s="101"/>
      <c r="O835" s="101"/>
      <c r="P835" s="101"/>
      <c r="Q835" s="101"/>
      <c r="R835" s="101"/>
      <c r="S835" s="101"/>
      <c r="T835" s="101"/>
      <c r="U835" s="101"/>
      <c r="V835" s="101"/>
      <c r="W835" s="101"/>
      <c r="X835" s="101"/>
      <c r="Y835" s="114"/>
      <c r="Z835" s="114"/>
      <c r="AA835" s="114"/>
      <c r="AB835" s="114"/>
      <c r="AC835" s="114"/>
      <c r="AD835" s="114"/>
      <c r="AE835" s="114"/>
      <c r="AF835" s="114"/>
      <c r="AG835" s="114"/>
      <c r="AH835" s="114"/>
      <c r="AI835" s="114"/>
      <c r="AJ835" s="114"/>
      <c r="AK835" s="114"/>
      <c r="AL835" s="114"/>
      <c r="AM835" s="114"/>
      <c r="AN835" s="114"/>
      <c r="AO835" s="114"/>
      <c r="AP835" s="114"/>
      <c r="AQ835" s="114"/>
      <c r="AR835" s="114"/>
      <c r="AS835" s="114"/>
      <c r="AT835" s="114"/>
      <c r="AU835" s="114"/>
      <c r="AV835" s="114"/>
      <c r="AW835" s="114"/>
      <c r="AX835" s="114"/>
      <c r="AY835" s="114"/>
      <c r="AZ835" s="114"/>
    </row>
    <row r="836" spans="1:52">
      <c r="A836" s="111"/>
      <c r="B836" s="111"/>
      <c r="C836" s="112"/>
      <c r="D836" s="101"/>
      <c r="E836" s="101"/>
      <c r="F836" s="101"/>
      <c r="G836" s="111"/>
      <c r="H836" s="101"/>
      <c r="I836" s="101"/>
      <c r="J836" s="101"/>
      <c r="K836" s="101"/>
      <c r="L836" s="101"/>
      <c r="M836" s="101"/>
      <c r="N836" s="101"/>
      <c r="O836" s="101"/>
      <c r="P836" s="101"/>
      <c r="Q836" s="101"/>
      <c r="R836" s="101"/>
      <c r="S836" s="101"/>
      <c r="T836" s="101"/>
      <c r="U836" s="101"/>
      <c r="V836" s="101"/>
      <c r="W836" s="101"/>
      <c r="X836" s="101"/>
      <c r="Y836" s="114"/>
      <c r="Z836" s="114"/>
      <c r="AA836" s="114"/>
      <c r="AB836" s="114"/>
      <c r="AC836" s="114"/>
      <c r="AD836" s="114"/>
      <c r="AE836" s="114"/>
      <c r="AF836" s="114"/>
      <c r="AG836" s="114"/>
      <c r="AH836" s="114"/>
      <c r="AI836" s="114"/>
      <c r="AJ836" s="114"/>
      <c r="AK836" s="114"/>
      <c r="AL836" s="114"/>
      <c r="AM836" s="114"/>
      <c r="AN836" s="114"/>
      <c r="AO836" s="114"/>
      <c r="AP836" s="114"/>
      <c r="AQ836" s="114"/>
      <c r="AR836" s="114"/>
      <c r="AS836" s="114"/>
      <c r="AT836" s="114"/>
      <c r="AU836" s="114"/>
      <c r="AV836" s="114"/>
      <c r="AW836" s="114"/>
      <c r="AX836" s="114"/>
      <c r="AY836" s="114"/>
      <c r="AZ836" s="114"/>
    </row>
    <row r="837" spans="1:52">
      <c r="A837" s="111"/>
      <c r="B837" s="111"/>
      <c r="C837" s="112"/>
      <c r="D837" s="101"/>
      <c r="E837" s="101"/>
      <c r="F837" s="101"/>
      <c r="G837" s="111"/>
      <c r="H837" s="101"/>
      <c r="I837" s="101"/>
      <c r="J837" s="101"/>
      <c r="K837" s="101"/>
      <c r="L837" s="101"/>
      <c r="M837" s="101"/>
      <c r="N837" s="101"/>
      <c r="O837" s="101"/>
      <c r="P837" s="101"/>
      <c r="Q837" s="101"/>
      <c r="R837" s="101"/>
      <c r="S837" s="101"/>
      <c r="T837" s="101"/>
      <c r="U837" s="101"/>
      <c r="V837" s="101"/>
      <c r="W837" s="101"/>
      <c r="X837" s="101"/>
      <c r="Y837" s="114"/>
      <c r="Z837" s="114"/>
      <c r="AA837" s="114"/>
      <c r="AB837" s="114"/>
      <c r="AC837" s="114"/>
      <c r="AD837" s="114"/>
      <c r="AE837" s="114"/>
      <c r="AF837" s="114"/>
      <c r="AG837" s="114"/>
      <c r="AH837" s="114"/>
      <c r="AI837" s="114"/>
      <c r="AJ837" s="114"/>
      <c r="AK837" s="114"/>
      <c r="AL837" s="114"/>
      <c r="AM837" s="114"/>
      <c r="AN837" s="114"/>
      <c r="AO837" s="114"/>
      <c r="AP837" s="114"/>
      <c r="AQ837" s="114"/>
      <c r="AR837" s="114"/>
      <c r="AS837" s="114"/>
      <c r="AT837" s="114"/>
      <c r="AU837" s="114"/>
      <c r="AV837" s="114"/>
      <c r="AW837" s="114"/>
      <c r="AX837" s="114"/>
      <c r="AY837" s="114"/>
      <c r="AZ837" s="114"/>
    </row>
    <row r="838" spans="1:52">
      <c r="A838" s="111"/>
      <c r="B838" s="111"/>
      <c r="C838" s="112"/>
      <c r="D838" s="101"/>
      <c r="E838" s="101"/>
      <c r="F838" s="101"/>
      <c r="G838" s="111"/>
      <c r="H838" s="101"/>
      <c r="I838" s="101"/>
      <c r="J838" s="101"/>
      <c r="K838" s="101"/>
      <c r="L838" s="101"/>
      <c r="M838" s="101"/>
      <c r="N838" s="101"/>
      <c r="O838" s="101"/>
      <c r="P838" s="101"/>
      <c r="Q838" s="101"/>
      <c r="R838" s="101"/>
      <c r="S838" s="101"/>
      <c r="T838" s="101"/>
      <c r="U838" s="101"/>
      <c r="V838" s="101"/>
      <c r="W838" s="101"/>
      <c r="X838" s="101"/>
      <c r="Y838" s="114"/>
      <c r="Z838" s="114"/>
      <c r="AA838" s="114"/>
      <c r="AB838" s="114"/>
      <c r="AC838" s="114"/>
      <c r="AD838" s="114"/>
      <c r="AE838" s="114"/>
      <c r="AF838" s="114"/>
      <c r="AG838" s="114"/>
      <c r="AH838" s="114"/>
      <c r="AI838" s="114"/>
      <c r="AJ838" s="114"/>
      <c r="AK838" s="114"/>
      <c r="AL838" s="114"/>
      <c r="AM838" s="114"/>
      <c r="AN838" s="114"/>
      <c r="AO838" s="114"/>
      <c r="AP838" s="114"/>
      <c r="AQ838" s="114"/>
      <c r="AR838" s="114"/>
      <c r="AS838" s="114"/>
      <c r="AT838" s="114"/>
      <c r="AU838" s="114"/>
      <c r="AV838" s="114"/>
      <c r="AW838" s="114"/>
      <c r="AX838" s="114"/>
      <c r="AY838" s="114"/>
      <c r="AZ838" s="114"/>
    </row>
    <row r="839" spans="1:52">
      <c r="A839" s="111"/>
      <c r="B839" s="111"/>
      <c r="C839" s="112"/>
      <c r="D839" s="101"/>
      <c r="E839" s="101"/>
      <c r="F839" s="101"/>
      <c r="G839" s="111"/>
      <c r="H839" s="101"/>
      <c r="I839" s="101"/>
      <c r="J839" s="101"/>
      <c r="K839" s="101"/>
      <c r="L839" s="101"/>
      <c r="M839" s="101"/>
      <c r="N839" s="101"/>
      <c r="O839" s="101"/>
      <c r="P839" s="101"/>
      <c r="Q839" s="101"/>
      <c r="R839" s="101"/>
      <c r="S839" s="101"/>
      <c r="T839" s="101"/>
      <c r="U839" s="101"/>
      <c r="V839" s="101"/>
      <c r="W839" s="101"/>
      <c r="X839" s="101"/>
      <c r="Y839" s="114"/>
      <c r="Z839" s="114"/>
      <c r="AA839" s="114"/>
      <c r="AB839" s="114"/>
      <c r="AC839" s="114"/>
      <c r="AD839" s="114"/>
      <c r="AE839" s="114"/>
      <c r="AF839" s="114"/>
      <c r="AG839" s="114"/>
      <c r="AH839" s="114"/>
      <c r="AI839" s="114"/>
      <c r="AJ839" s="114"/>
      <c r="AK839" s="114"/>
      <c r="AL839" s="114"/>
      <c r="AM839" s="114"/>
      <c r="AN839" s="114"/>
      <c r="AO839" s="114"/>
      <c r="AP839" s="114"/>
      <c r="AQ839" s="114"/>
      <c r="AR839" s="114"/>
      <c r="AS839" s="114"/>
      <c r="AT839" s="114"/>
      <c r="AU839" s="114"/>
      <c r="AV839" s="114"/>
      <c r="AW839" s="114"/>
      <c r="AX839" s="114"/>
      <c r="AY839" s="114"/>
      <c r="AZ839" s="114"/>
    </row>
    <row r="840" spans="1:52">
      <c r="A840" s="111"/>
      <c r="B840" s="111"/>
      <c r="C840" s="112"/>
      <c r="D840" s="101"/>
      <c r="E840" s="101"/>
      <c r="F840" s="101"/>
      <c r="G840" s="111"/>
      <c r="H840" s="101"/>
      <c r="I840" s="101"/>
      <c r="J840" s="101"/>
      <c r="K840" s="101"/>
      <c r="L840" s="101"/>
      <c r="M840" s="101"/>
      <c r="N840" s="101"/>
      <c r="O840" s="101"/>
      <c r="P840" s="101"/>
      <c r="Q840" s="101"/>
      <c r="R840" s="101"/>
      <c r="S840" s="101"/>
      <c r="T840" s="101"/>
      <c r="U840" s="101"/>
      <c r="V840" s="101"/>
      <c r="W840" s="101"/>
      <c r="X840" s="101"/>
      <c r="Y840" s="114"/>
      <c r="Z840" s="114"/>
      <c r="AA840" s="114"/>
      <c r="AB840" s="114"/>
      <c r="AC840" s="114"/>
      <c r="AD840" s="114"/>
      <c r="AE840" s="114"/>
      <c r="AF840" s="114"/>
      <c r="AG840" s="114"/>
      <c r="AH840" s="114"/>
      <c r="AI840" s="114"/>
      <c r="AJ840" s="114"/>
      <c r="AK840" s="114"/>
      <c r="AL840" s="114"/>
      <c r="AM840" s="114"/>
      <c r="AN840" s="114"/>
      <c r="AO840" s="114"/>
      <c r="AP840" s="114"/>
      <c r="AQ840" s="114"/>
      <c r="AR840" s="114"/>
      <c r="AS840" s="114"/>
      <c r="AT840" s="114"/>
      <c r="AU840" s="114"/>
      <c r="AV840" s="114"/>
      <c r="AW840" s="114"/>
      <c r="AX840" s="114"/>
      <c r="AY840" s="114"/>
      <c r="AZ840" s="114"/>
    </row>
    <row r="841" spans="1:52">
      <c r="A841" s="111"/>
      <c r="B841" s="111"/>
      <c r="C841" s="112"/>
      <c r="D841" s="101"/>
      <c r="E841" s="101"/>
      <c r="F841" s="101"/>
      <c r="G841" s="111"/>
      <c r="H841" s="101"/>
      <c r="I841" s="101"/>
      <c r="J841" s="101"/>
      <c r="K841" s="101"/>
      <c r="L841" s="101"/>
      <c r="M841" s="101"/>
      <c r="N841" s="101"/>
      <c r="O841" s="101"/>
      <c r="P841" s="101"/>
      <c r="Q841" s="101"/>
      <c r="R841" s="101"/>
      <c r="S841" s="101"/>
      <c r="T841" s="101"/>
      <c r="U841" s="101"/>
      <c r="V841" s="101"/>
      <c r="W841" s="101"/>
      <c r="X841" s="101"/>
      <c r="Y841" s="114"/>
      <c r="Z841" s="114"/>
      <c r="AA841" s="114"/>
      <c r="AB841" s="114"/>
      <c r="AC841" s="114"/>
      <c r="AD841" s="114"/>
      <c r="AE841" s="114"/>
      <c r="AF841" s="114"/>
      <c r="AG841" s="114"/>
      <c r="AH841" s="114"/>
      <c r="AI841" s="114"/>
      <c r="AJ841" s="114"/>
      <c r="AK841" s="114"/>
      <c r="AL841" s="114"/>
      <c r="AM841" s="114"/>
      <c r="AN841" s="114"/>
      <c r="AO841" s="114"/>
      <c r="AP841" s="114"/>
      <c r="AQ841" s="114"/>
      <c r="AR841" s="114"/>
      <c r="AS841" s="114"/>
      <c r="AT841" s="114"/>
      <c r="AU841" s="114"/>
      <c r="AV841" s="114"/>
      <c r="AW841" s="114"/>
      <c r="AX841" s="114"/>
      <c r="AY841" s="114"/>
      <c r="AZ841" s="114"/>
    </row>
    <row r="842" spans="1:52">
      <c r="A842" s="111"/>
      <c r="B842" s="111"/>
      <c r="C842" s="112"/>
      <c r="D842" s="101"/>
      <c r="E842" s="101"/>
      <c r="F842" s="101"/>
      <c r="G842" s="111"/>
      <c r="H842" s="101"/>
      <c r="I842" s="101"/>
      <c r="J842" s="101"/>
      <c r="K842" s="101"/>
      <c r="L842" s="101"/>
      <c r="M842" s="101"/>
      <c r="N842" s="101"/>
      <c r="O842" s="101"/>
      <c r="P842" s="101"/>
      <c r="Q842" s="101"/>
      <c r="R842" s="101"/>
      <c r="S842" s="101"/>
      <c r="T842" s="101"/>
      <c r="U842" s="101"/>
      <c r="V842" s="101"/>
      <c r="W842" s="101"/>
      <c r="X842" s="101"/>
      <c r="Y842" s="114"/>
      <c r="Z842" s="114"/>
      <c r="AA842" s="114"/>
      <c r="AB842" s="114"/>
      <c r="AC842" s="114"/>
      <c r="AD842" s="114"/>
      <c r="AE842" s="114"/>
      <c r="AF842" s="114"/>
      <c r="AG842" s="114"/>
      <c r="AH842" s="114"/>
      <c r="AI842" s="114"/>
      <c r="AJ842" s="114"/>
      <c r="AK842" s="114"/>
      <c r="AL842" s="114"/>
      <c r="AM842" s="114"/>
      <c r="AN842" s="114"/>
      <c r="AO842" s="114"/>
      <c r="AP842" s="114"/>
      <c r="AQ842" s="114"/>
      <c r="AR842" s="114"/>
      <c r="AS842" s="114"/>
      <c r="AT842" s="114"/>
      <c r="AU842" s="114"/>
      <c r="AV842" s="114"/>
      <c r="AW842" s="114"/>
      <c r="AX842" s="114"/>
      <c r="AY842" s="114"/>
      <c r="AZ842" s="114"/>
    </row>
    <row r="843" spans="1:52">
      <c r="A843" s="111"/>
      <c r="B843" s="111"/>
      <c r="C843" s="112"/>
      <c r="D843" s="101"/>
      <c r="E843" s="101"/>
      <c r="F843" s="101"/>
      <c r="G843" s="111"/>
      <c r="H843" s="101"/>
      <c r="I843" s="101"/>
      <c r="J843" s="101"/>
      <c r="K843" s="101"/>
      <c r="L843" s="101"/>
      <c r="M843" s="101"/>
      <c r="N843" s="101"/>
      <c r="O843" s="101"/>
      <c r="P843" s="101"/>
      <c r="Q843" s="101"/>
      <c r="R843" s="101"/>
      <c r="S843" s="101"/>
      <c r="T843" s="101"/>
      <c r="U843" s="101"/>
      <c r="V843" s="101"/>
      <c r="W843" s="101"/>
      <c r="X843" s="101"/>
      <c r="Y843" s="114"/>
      <c r="Z843" s="114"/>
      <c r="AA843" s="114"/>
      <c r="AB843" s="114"/>
      <c r="AC843" s="114"/>
      <c r="AD843" s="114"/>
      <c r="AE843" s="114"/>
      <c r="AF843" s="114"/>
      <c r="AG843" s="114"/>
      <c r="AH843" s="114"/>
      <c r="AI843" s="114"/>
      <c r="AJ843" s="114"/>
      <c r="AK843" s="114"/>
      <c r="AL843" s="114"/>
      <c r="AM843" s="114"/>
      <c r="AN843" s="114"/>
      <c r="AO843" s="114"/>
      <c r="AP843" s="114"/>
      <c r="AQ843" s="114"/>
      <c r="AR843" s="114"/>
      <c r="AS843" s="114"/>
      <c r="AT843" s="114"/>
      <c r="AU843" s="114"/>
      <c r="AV843" s="114"/>
      <c r="AW843" s="114"/>
      <c r="AX843" s="114"/>
      <c r="AY843" s="114"/>
      <c r="AZ843" s="114"/>
    </row>
    <row r="844" spans="1:52">
      <c r="A844" s="111"/>
      <c r="B844" s="111"/>
      <c r="C844" s="112"/>
      <c r="D844" s="101"/>
      <c r="E844" s="101"/>
      <c r="F844" s="101"/>
      <c r="G844" s="111"/>
      <c r="H844" s="101"/>
      <c r="I844" s="101"/>
      <c r="J844" s="101"/>
      <c r="K844" s="101"/>
      <c r="L844" s="101"/>
      <c r="M844" s="101"/>
      <c r="N844" s="101"/>
      <c r="O844" s="101"/>
      <c r="P844" s="101"/>
      <c r="Q844" s="101"/>
      <c r="R844" s="101"/>
      <c r="S844" s="101"/>
      <c r="T844" s="101"/>
      <c r="U844" s="101"/>
      <c r="V844" s="101"/>
      <c r="W844" s="101"/>
      <c r="X844" s="101"/>
      <c r="Y844" s="114"/>
      <c r="Z844" s="114"/>
      <c r="AA844" s="114"/>
      <c r="AB844" s="114"/>
      <c r="AC844" s="114"/>
      <c r="AD844" s="114"/>
      <c r="AE844" s="114"/>
      <c r="AF844" s="114"/>
      <c r="AG844" s="114"/>
      <c r="AH844" s="114"/>
      <c r="AI844" s="114"/>
      <c r="AJ844" s="114"/>
      <c r="AK844" s="114"/>
      <c r="AL844" s="114"/>
      <c r="AM844" s="114"/>
      <c r="AN844" s="114"/>
      <c r="AO844" s="114"/>
      <c r="AP844" s="114"/>
      <c r="AQ844" s="114"/>
      <c r="AR844" s="114"/>
      <c r="AS844" s="114"/>
      <c r="AT844" s="114"/>
      <c r="AU844" s="114"/>
      <c r="AV844" s="114"/>
      <c r="AW844" s="114"/>
      <c r="AX844" s="114"/>
      <c r="AY844" s="114"/>
      <c r="AZ844" s="114"/>
    </row>
    <row r="845" spans="1:52">
      <c r="A845" s="111"/>
      <c r="B845" s="111"/>
      <c r="C845" s="112"/>
      <c r="D845" s="101"/>
      <c r="E845" s="101"/>
      <c r="F845" s="101"/>
      <c r="G845" s="111"/>
      <c r="H845" s="101"/>
      <c r="I845" s="101"/>
      <c r="J845" s="101"/>
      <c r="K845" s="101"/>
      <c r="L845" s="101"/>
      <c r="M845" s="101"/>
      <c r="N845" s="101"/>
      <c r="O845" s="101"/>
      <c r="P845" s="101"/>
      <c r="Q845" s="101"/>
      <c r="R845" s="101"/>
      <c r="S845" s="101"/>
      <c r="T845" s="101"/>
      <c r="U845" s="101"/>
      <c r="V845" s="101"/>
      <c r="W845" s="101"/>
      <c r="X845" s="101"/>
      <c r="Y845" s="114"/>
      <c r="Z845" s="114"/>
      <c r="AA845" s="114"/>
      <c r="AB845" s="114"/>
      <c r="AC845" s="114"/>
      <c r="AD845" s="114"/>
      <c r="AE845" s="114"/>
      <c r="AF845" s="114"/>
      <c r="AG845" s="114"/>
      <c r="AH845" s="114"/>
      <c r="AI845" s="114"/>
      <c r="AJ845" s="114"/>
      <c r="AK845" s="114"/>
      <c r="AL845" s="114"/>
      <c r="AM845" s="114"/>
      <c r="AN845" s="114"/>
      <c r="AO845" s="114"/>
      <c r="AP845" s="114"/>
      <c r="AQ845" s="114"/>
      <c r="AR845" s="114"/>
      <c r="AS845" s="114"/>
      <c r="AT845" s="114"/>
      <c r="AU845" s="114"/>
      <c r="AV845" s="114"/>
      <c r="AW845" s="114"/>
      <c r="AX845" s="114"/>
      <c r="AY845" s="114"/>
      <c r="AZ845" s="114"/>
    </row>
    <row r="846" spans="1:52">
      <c r="A846" s="111"/>
      <c r="B846" s="111"/>
      <c r="C846" s="112"/>
      <c r="D846" s="101"/>
      <c r="E846" s="101"/>
      <c r="F846" s="101"/>
      <c r="G846" s="111"/>
      <c r="H846" s="101"/>
      <c r="I846" s="101"/>
      <c r="J846" s="101"/>
      <c r="K846" s="101"/>
      <c r="L846" s="101"/>
      <c r="M846" s="101"/>
      <c r="N846" s="101"/>
      <c r="O846" s="101"/>
      <c r="P846" s="101"/>
      <c r="Q846" s="101"/>
      <c r="R846" s="101"/>
      <c r="S846" s="101"/>
      <c r="T846" s="101"/>
      <c r="U846" s="101"/>
      <c r="V846" s="101"/>
      <c r="W846" s="101"/>
      <c r="X846" s="101"/>
      <c r="Y846" s="114"/>
      <c r="Z846" s="114"/>
      <c r="AA846" s="114"/>
      <c r="AB846" s="114"/>
      <c r="AC846" s="114"/>
      <c r="AD846" s="114"/>
      <c r="AE846" s="114"/>
      <c r="AF846" s="114"/>
      <c r="AG846" s="114"/>
      <c r="AH846" s="114"/>
      <c r="AI846" s="114"/>
      <c r="AJ846" s="114"/>
      <c r="AK846" s="114"/>
      <c r="AL846" s="114"/>
      <c r="AM846" s="114"/>
      <c r="AN846" s="114"/>
      <c r="AO846" s="114"/>
      <c r="AP846" s="114"/>
      <c r="AQ846" s="114"/>
      <c r="AR846" s="114"/>
      <c r="AS846" s="114"/>
      <c r="AT846" s="114"/>
      <c r="AU846" s="114"/>
      <c r="AV846" s="114"/>
      <c r="AW846" s="114"/>
      <c r="AX846" s="114"/>
      <c r="AY846" s="114"/>
      <c r="AZ846" s="114"/>
    </row>
    <row r="847" spans="1:52">
      <c r="A847" s="111"/>
      <c r="B847" s="111"/>
      <c r="C847" s="112"/>
      <c r="D847" s="101"/>
      <c r="E847" s="101"/>
      <c r="F847" s="101"/>
      <c r="G847" s="111"/>
      <c r="H847" s="101"/>
      <c r="I847" s="101"/>
      <c r="J847" s="101"/>
      <c r="K847" s="101"/>
      <c r="L847" s="101"/>
      <c r="M847" s="101"/>
      <c r="N847" s="101"/>
      <c r="O847" s="101"/>
      <c r="P847" s="101"/>
      <c r="Q847" s="101"/>
      <c r="R847" s="101"/>
      <c r="S847" s="101"/>
      <c r="T847" s="101"/>
      <c r="U847" s="101"/>
      <c r="V847" s="101"/>
      <c r="W847" s="101"/>
      <c r="X847" s="101"/>
      <c r="Y847" s="114"/>
      <c r="Z847" s="114"/>
      <c r="AA847" s="114"/>
      <c r="AB847" s="114"/>
      <c r="AC847" s="114"/>
      <c r="AD847" s="114"/>
      <c r="AE847" s="114"/>
      <c r="AF847" s="114"/>
      <c r="AG847" s="114"/>
      <c r="AH847" s="114"/>
      <c r="AI847" s="114"/>
      <c r="AJ847" s="114"/>
      <c r="AK847" s="114"/>
      <c r="AL847" s="114"/>
      <c r="AM847" s="114"/>
      <c r="AN847" s="114"/>
      <c r="AO847" s="114"/>
      <c r="AP847" s="114"/>
      <c r="AQ847" s="114"/>
      <c r="AR847" s="114"/>
      <c r="AS847" s="114"/>
      <c r="AT847" s="114"/>
      <c r="AU847" s="114"/>
      <c r="AV847" s="114"/>
      <c r="AW847" s="114"/>
      <c r="AX847" s="114"/>
      <c r="AY847" s="114"/>
      <c r="AZ847" s="114"/>
    </row>
    <row r="848" spans="1:52">
      <c r="A848" s="111"/>
      <c r="B848" s="111"/>
      <c r="C848" s="112"/>
      <c r="D848" s="101"/>
      <c r="E848" s="101"/>
      <c r="F848" s="101"/>
      <c r="G848" s="111"/>
      <c r="H848" s="101"/>
      <c r="I848" s="101"/>
      <c r="J848" s="101"/>
      <c r="K848" s="101"/>
      <c r="L848" s="101"/>
      <c r="M848" s="101"/>
      <c r="N848" s="101"/>
      <c r="O848" s="101"/>
      <c r="P848" s="101"/>
      <c r="Q848" s="101"/>
      <c r="R848" s="101"/>
      <c r="S848" s="101"/>
      <c r="T848" s="101"/>
      <c r="U848" s="101"/>
      <c r="V848" s="101"/>
      <c r="W848" s="101"/>
      <c r="X848" s="101"/>
      <c r="Y848" s="114"/>
      <c r="Z848" s="114"/>
      <c r="AA848" s="114"/>
      <c r="AB848" s="114"/>
      <c r="AC848" s="114"/>
      <c r="AD848" s="114"/>
      <c r="AE848" s="114"/>
      <c r="AF848" s="114"/>
      <c r="AG848" s="114"/>
      <c r="AH848" s="114"/>
      <c r="AI848" s="114"/>
      <c r="AJ848" s="114"/>
      <c r="AK848" s="114"/>
      <c r="AL848" s="114"/>
      <c r="AM848" s="114"/>
      <c r="AN848" s="114"/>
      <c r="AO848" s="114"/>
      <c r="AP848" s="114"/>
      <c r="AQ848" s="114"/>
      <c r="AR848" s="114"/>
      <c r="AS848" s="114"/>
      <c r="AT848" s="114"/>
      <c r="AU848" s="114"/>
      <c r="AV848" s="114"/>
      <c r="AW848" s="114"/>
      <c r="AX848" s="114"/>
      <c r="AY848" s="114"/>
      <c r="AZ848" s="114"/>
    </row>
    <row r="849" spans="1:52">
      <c r="A849" s="111"/>
      <c r="B849" s="111"/>
      <c r="C849" s="112"/>
      <c r="D849" s="101"/>
      <c r="E849" s="101"/>
      <c r="F849" s="101"/>
      <c r="G849" s="111"/>
      <c r="H849" s="101"/>
      <c r="I849" s="101"/>
      <c r="J849" s="101"/>
      <c r="K849" s="101"/>
      <c r="L849" s="101"/>
      <c r="M849" s="101"/>
      <c r="N849" s="101"/>
      <c r="O849" s="101"/>
      <c r="P849" s="101"/>
      <c r="Q849" s="101"/>
      <c r="R849" s="101"/>
      <c r="S849" s="101"/>
      <c r="T849" s="101"/>
      <c r="U849" s="101"/>
      <c r="V849" s="101"/>
      <c r="W849" s="101"/>
      <c r="X849" s="101"/>
      <c r="Y849" s="114"/>
      <c r="Z849" s="114"/>
      <c r="AA849" s="114"/>
      <c r="AB849" s="114"/>
      <c r="AC849" s="114"/>
      <c r="AD849" s="114"/>
      <c r="AE849" s="114"/>
      <c r="AF849" s="114"/>
      <c r="AG849" s="114"/>
      <c r="AH849" s="114"/>
      <c r="AI849" s="114"/>
      <c r="AJ849" s="114"/>
      <c r="AK849" s="114"/>
      <c r="AL849" s="114"/>
      <c r="AM849" s="114"/>
      <c r="AN849" s="114"/>
      <c r="AO849" s="114"/>
      <c r="AP849" s="114"/>
      <c r="AQ849" s="114"/>
      <c r="AR849" s="114"/>
      <c r="AS849" s="114"/>
      <c r="AT849" s="114"/>
      <c r="AU849" s="114"/>
      <c r="AV849" s="114"/>
      <c r="AW849" s="114"/>
      <c r="AX849" s="114"/>
      <c r="AY849" s="114"/>
      <c r="AZ849" s="114"/>
    </row>
    <row r="850" spans="1:52">
      <c r="A850" s="111"/>
      <c r="B850" s="111"/>
      <c r="C850" s="112"/>
      <c r="D850" s="101"/>
      <c r="E850" s="101"/>
      <c r="F850" s="101"/>
      <c r="G850" s="111"/>
      <c r="H850" s="101"/>
      <c r="I850" s="101"/>
      <c r="J850" s="101"/>
      <c r="K850" s="101"/>
      <c r="L850" s="101"/>
      <c r="M850" s="101"/>
      <c r="N850" s="101"/>
      <c r="O850" s="101"/>
      <c r="P850" s="101"/>
      <c r="Q850" s="101"/>
      <c r="R850" s="101"/>
      <c r="S850" s="101"/>
      <c r="T850" s="101"/>
      <c r="U850" s="101"/>
      <c r="V850" s="101"/>
      <c r="W850" s="101"/>
      <c r="X850" s="101"/>
      <c r="Y850" s="114"/>
      <c r="Z850" s="114"/>
      <c r="AA850" s="114"/>
      <c r="AB850" s="114"/>
      <c r="AC850" s="114"/>
      <c r="AD850" s="114"/>
      <c r="AE850" s="114"/>
      <c r="AF850" s="114"/>
      <c r="AG850" s="114"/>
      <c r="AH850" s="114"/>
      <c r="AI850" s="114"/>
      <c r="AJ850" s="114"/>
      <c r="AK850" s="114"/>
      <c r="AL850" s="114"/>
      <c r="AM850" s="114"/>
      <c r="AN850" s="114"/>
      <c r="AO850" s="114"/>
      <c r="AP850" s="114"/>
      <c r="AQ850" s="114"/>
      <c r="AR850" s="114"/>
      <c r="AS850" s="114"/>
      <c r="AT850" s="114"/>
      <c r="AU850" s="114"/>
      <c r="AV850" s="114"/>
      <c r="AW850" s="114"/>
      <c r="AX850" s="114"/>
      <c r="AY850" s="114"/>
      <c r="AZ850" s="114"/>
    </row>
    <row r="851" spans="1:52">
      <c r="A851" s="111"/>
      <c r="B851" s="111"/>
      <c r="C851" s="112"/>
      <c r="D851" s="101"/>
      <c r="E851" s="101"/>
      <c r="F851" s="101"/>
      <c r="G851" s="111"/>
      <c r="H851" s="101"/>
      <c r="I851" s="101"/>
      <c r="J851" s="101"/>
      <c r="K851" s="101"/>
      <c r="L851" s="101"/>
      <c r="M851" s="101"/>
      <c r="N851" s="101"/>
      <c r="O851" s="101"/>
      <c r="P851" s="101"/>
      <c r="Q851" s="101"/>
      <c r="R851" s="101"/>
      <c r="S851" s="101"/>
      <c r="T851" s="101"/>
      <c r="U851" s="101"/>
      <c r="V851" s="101"/>
      <c r="W851" s="101"/>
      <c r="X851" s="101"/>
      <c r="Y851" s="114"/>
      <c r="Z851" s="114"/>
      <c r="AA851" s="114"/>
      <c r="AB851" s="114"/>
      <c r="AC851" s="114"/>
      <c r="AD851" s="114"/>
      <c r="AE851" s="114"/>
      <c r="AF851" s="114"/>
      <c r="AG851" s="114"/>
      <c r="AH851" s="114"/>
      <c r="AI851" s="114"/>
      <c r="AJ851" s="114"/>
      <c r="AK851" s="114"/>
      <c r="AL851" s="114"/>
      <c r="AM851" s="114"/>
      <c r="AN851" s="114"/>
      <c r="AO851" s="114"/>
      <c r="AP851" s="114"/>
      <c r="AQ851" s="114"/>
      <c r="AR851" s="114"/>
      <c r="AS851" s="114"/>
      <c r="AT851" s="114"/>
      <c r="AU851" s="114"/>
      <c r="AV851" s="114"/>
      <c r="AW851" s="114"/>
      <c r="AX851" s="114"/>
      <c r="AY851" s="114"/>
      <c r="AZ851" s="114"/>
    </row>
    <row r="852" spans="1:52">
      <c r="A852" s="111"/>
      <c r="B852" s="111"/>
      <c r="C852" s="112"/>
      <c r="D852" s="101"/>
      <c r="E852" s="101"/>
      <c r="F852" s="101"/>
      <c r="G852" s="111"/>
      <c r="H852" s="101"/>
      <c r="I852" s="101"/>
      <c r="J852" s="101"/>
      <c r="K852" s="101"/>
      <c r="L852" s="101"/>
      <c r="M852" s="101"/>
      <c r="N852" s="101"/>
      <c r="O852" s="101"/>
      <c r="P852" s="101"/>
      <c r="Q852" s="101"/>
      <c r="R852" s="101"/>
      <c r="S852" s="101"/>
      <c r="T852" s="101"/>
      <c r="U852" s="101"/>
      <c r="V852" s="101"/>
      <c r="W852" s="101"/>
      <c r="X852" s="101"/>
      <c r="Y852" s="114"/>
      <c r="Z852" s="114"/>
      <c r="AA852" s="114"/>
      <c r="AB852" s="114"/>
      <c r="AC852" s="114"/>
      <c r="AD852" s="114"/>
      <c r="AE852" s="114"/>
      <c r="AF852" s="114"/>
      <c r="AG852" s="114"/>
      <c r="AH852" s="114"/>
      <c r="AI852" s="114"/>
      <c r="AJ852" s="114"/>
      <c r="AK852" s="114"/>
      <c r="AL852" s="114"/>
      <c r="AM852" s="114"/>
      <c r="AN852" s="114"/>
      <c r="AO852" s="114"/>
      <c r="AP852" s="114"/>
      <c r="AQ852" s="114"/>
      <c r="AR852" s="114"/>
      <c r="AS852" s="114"/>
      <c r="AT852" s="114"/>
      <c r="AU852" s="114"/>
      <c r="AV852" s="114"/>
      <c r="AW852" s="114"/>
      <c r="AX852" s="114"/>
      <c r="AY852" s="114"/>
      <c r="AZ852" s="114"/>
    </row>
    <row r="853" spans="1:52">
      <c r="A853" s="111"/>
      <c r="B853" s="111"/>
      <c r="C853" s="112"/>
      <c r="D853" s="101"/>
      <c r="E853" s="101"/>
      <c r="F853" s="101"/>
      <c r="G853" s="111"/>
      <c r="H853" s="101"/>
      <c r="I853" s="101"/>
      <c r="J853" s="101"/>
      <c r="K853" s="101"/>
      <c r="L853" s="101"/>
      <c r="M853" s="101"/>
      <c r="N853" s="101"/>
      <c r="O853" s="101"/>
      <c r="P853" s="101"/>
      <c r="Q853" s="101"/>
      <c r="R853" s="101"/>
      <c r="S853" s="101"/>
      <c r="T853" s="101"/>
      <c r="U853" s="101"/>
      <c r="V853" s="101"/>
      <c r="W853" s="101"/>
      <c r="X853" s="101"/>
      <c r="Y853" s="114"/>
      <c r="Z853" s="114"/>
      <c r="AA853" s="114"/>
      <c r="AB853" s="114"/>
      <c r="AC853" s="114"/>
      <c r="AD853" s="114"/>
      <c r="AE853" s="114"/>
      <c r="AF853" s="114"/>
      <c r="AG853" s="114"/>
      <c r="AH853" s="114"/>
      <c r="AI853" s="114"/>
      <c r="AJ853" s="114"/>
      <c r="AK853" s="114"/>
      <c r="AL853" s="114"/>
      <c r="AM853" s="114"/>
      <c r="AN853" s="114"/>
      <c r="AO853" s="114"/>
      <c r="AP853" s="114"/>
      <c r="AQ853" s="114"/>
      <c r="AR853" s="114"/>
      <c r="AS853" s="114"/>
      <c r="AT853" s="114"/>
      <c r="AU853" s="114"/>
      <c r="AV853" s="114"/>
      <c r="AW853" s="114"/>
      <c r="AX853" s="114"/>
      <c r="AY853" s="114"/>
      <c r="AZ853" s="114"/>
    </row>
    <row r="854" spans="1:52">
      <c r="A854" s="111"/>
      <c r="B854" s="111"/>
      <c r="C854" s="112"/>
      <c r="D854" s="101"/>
      <c r="E854" s="101"/>
      <c r="F854" s="101"/>
      <c r="G854" s="111"/>
      <c r="H854" s="101"/>
      <c r="I854" s="101"/>
      <c r="J854" s="101"/>
      <c r="K854" s="101"/>
      <c r="L854" s="101"/>
      <c r="M854" s="101"/>
      <c r="N854" s="101"/>
      <c r="O854" s="101"/>
      <c r="P854" s="101"/>
      <c r="Q854" s="101"/>
      <c r="R854" s="101"/>
      <c r="S854" s="101"/>
      <c r="T854" s="101"/>
      <c r="U854" s="101"/>
      <c r="V854" s="101"/>
      <c r="W854" s="101"/>
      <c r="X854" s="101"/>
      <c r="Y854" s="114"/>
      <c r="Z854" s="114"/>
      <c r="AA854" s="114"/>
      <c r="AB854" s="114"/>
      <c r="AC854" s="114"/>
      <c r="AD854" s="114"/>
      <c r="AE854" s="114"/>
      <c r="AF854" s="114"/>
      <c r="AG854" s="114"/>
      <c r="AH854" s="114"/>
      <c r="AI854" s="114"/>
      <c r="AJ854" s="114"/>
      <c r="AK854" s="114"/>
      <c r="AL854" s="114"/>
      <c r="AM854" s="114"/>
      <c r="AN854" s="114"/>
      <c r="AO854" s="114"/>
      <c r="AP854" s="114"/>
      <c r="AQ854" s="114"/>
      <c r="AR854" s="114"/>
      <c r="AS854" s="114"/>
      <c r="AT854" s="114"/>
      <c r="AU854" s="114"/>
      <c r="AV854" s="114"/>
      <c r="AW854" s="114"/>
      <c r="AX854" s="114"/>
      <c r="AY854" s="114"/>
      <c r="AZ854" s="114"/>
    </row>
    <row r="855" spans="1:52">
      <c r="A855" s="111"/>
      <c r="B855" s="111"/>
      <c r="C855" s="112"/>
      <c r="D855" s="101"/>
      <c r="E855" s="101"/>
      <c r="F855" s="101"/>
      <c r="G855" s="111"/>
      <c r="H855" s="101"/>
      <c r="I855" s="101"/>
      <c r="J855" s="101"/>
      <c r="K855" s="101"/>
      <c r="L855" s="101"/>
      <c r="M855" s="101"/>
      <c r="N855" s="101"/>
      <c r="O855" s="101"/>
      <c r="P855" s="101"/>
      <c r="Q855" s="101"/>
      <c r="R855" s="101"/>
      <c r="S855" s="101"/>
      <c r="T855" s="101"/>
      <c r="U855" s="101"/>
      <c r="V855" s="101"/>
      <c r="W855" s="101"/>
      <c r="X855" s="101"/>
      <c r="Y855" s="114"/>
      <c r="Z855" s="114"/>
      <c r="AA855" s="114"/>
      <c r="AB855" s="114"/>
      <c r="AC855" s="114"/>
      <c r="AD855" s="114"/>
      <c r="AE855" s="114"/>
      <c r="AF855" s="114"/>
      <c r="AG855" s="114"/>
      <c r="AH855" s="114"/>
      <c r="AI855" s="114"/>
      <c r="AJ855" s="114"/>
      <c r="AK855" s="114"/>
      <c r="AL855" s="114"/>
      <c r="AM855" s="114"/>
      <c r="AN855" s="114"/>
      <c r="AO855" s="114"/>
      <c r="AP855" s="114"/>
      <c r="AQ855" s="114"/>
      <c r="AR855" s="114"/>
      <c r="AS855" s="114"/>
      <c r="AT855" s="114"/>
      <c r="AU855" s="114"/>
      <c r="AV855" s="114"/>
      <c r="AW855" s="114"/>
      <c r="AX855" s="114"/>
      <c r="AY855" s="114"/>
      <c r="AZ855" s="114"/>
    </row>
    <row r="856" spans="1:52">
      <c r="A856" s="111"/>
      <c r="B856" s="111"/>
      <c r="C856" s="112"/>
      <c r="D856" s="101"/>
      <c r="E856" s="101"/>
      <c r="F856" s="101"/>
      <c r="G856" s="111"/>
      <c r="H856" s="101"/>
      <c r="I856" s="101"/>
      <c r="J856" s="101"/>
      <c r="K856" s="101"/>
      <c r="L856" s="101"/>
      <c r="M856" s="101"/>
      <c r="N856" s="101"/>
      <c r="O856" s="101"/>
      <c r="P856" s="101"/>
      <c r="Q856" s="101"/>
      <c r="R856" s="101"/>
      <c r="S856" s="101"/>
      <c r="T856" s="101"/>
      <c r="U856" s="101"/>
      <c r="V856" s="101"/>
      <c r="W856" s="101"/>
      <c r="X856" s="101"/>
      <c r="Y856" s="114"/>
      <c r="Z856" s="114"/>
      <c r="AA856" s="114"/>
      <c r="AB856" s="114"/>
      <c r="AC856" s="114"/>
      <c r="AD856" s="114"/>
      <c r="AE856" s="114"/>
      <c r="AF856" s="114"/>
      <c r="AG856" s="114"/>
      <c r="AH856" s="114"/>
      <c r="AI856" s="114"/>
      <c r="AJ856" s="114"/>
      <c r="AK856" s="114"/>
      <c r="AL856" s="114"/>
      <c r="AM856" s="114"/>
      <c r="AN856" s="114"/>
      <c r="AO856" s="114"/>
      <c r="AP856" s="114"/>
      <c r="AQ856" s="114"/>
      <c r="AR856" s="114"/>
      <c r="AS856" s="114"/>
      <c r="AT856" s="114"/>
      <c r="AU856" s="114"/>
      <c r="AV856" s="114"/>
      <c r="AW856" s="114"/>
      <c r="AX856" s="114"/>
      <c r="AY856" s="114"/>
      <c r="AZ856" s="114"/>
    </row>
    <row r="857" spans="1:52">
      <c r="A857" s="111"/>
      <c r="B857" s="111"/>
      <c r="C857" s="112"/>
      <c r="D857" s="101"/>
      <c r="E857" s="101"/>
      <c r="F857" s="101"/>
      <c r="G857" s="111"/>
      <c r="H857" s="101"/>
      <c r="I857" s="101"/>
      <c r="J857" s="101"/>
      <c r="K857" s="101"/>
      <c r="L857" s="101"/>
      <c r="M857" s="101"/>
      <c r="N857" s="101"/>
      <c r="O857" s="101"/>
      <c r="P857" s="101"/>
      <c r="Q857" s="101"/>
      <c r="R857" s="101"/>
      <c r="S857" s="101"/>
      <c r="T857" s="101"/>
      <c r="U857" s="101"/>
      <c r="V857" s="101"/>
      <c r="W857" s="101"/>
      <c r="X857" s="101"/>
      <c r="Y857" s="114"/>
      <c r="Z857" s="114"/>
      <c r="AA857" s="114"/>
      <c r="AB857" s="114"/>
      <c r="AC857" s="114"/>
      <c r="AD857" s="114"/>
      <c r="AE857" s="114"/>
      <c r="AF857" s="114"/>
      <c r="AG857" s="114"/>
      <c r="AH857" s="114"/>
      <c r="AI857" s="114"/>
      <c r="AJ857" s="114"/>
      <c r="AK857" s="114"/>
      <c r="AL857" s="114"/>
      <c r="AM857" s="114"/>
      <c r="AN857" s="114"/>
      <c r="AO857" s="114"/>
      <c r="AP857" s="114"/>
      <c r="AQ857" s="114"/>
      <c r="AR857" s="114"/>
      <c r="AS857" s="114"/>
      <c r="AT857" s="114"/>
      <c r="AU857" s="114"/>
      <c r="AV857" s="114"/>
      <c r="AW857" s="114"/>
      <c r="AX857" s="114"/>
      <c r="AY857" s="114"/>
      <c r="AZ857" s="114"/>
    </row>
    <row r="858" spans="1:52">
      <c r="A858" s="111"/>
      <c r="B858" s="111"/>
      <c r="C858" s="112"/>
      <c r="D858" s="101"/>
      <c r="E858" s="101"/>
      <c r="F858" s="101"/>
      <c r="G858" s="111"/>
      <c r="H858" s="101"/>
      <c r="I858" s="101"/>
      <c r="J858" s="101"/>
      <c r="K858" s="101"/>
      <c r="L858" s="101"/>
      <c r="M858" s="101"/>
      <c r="N858" s="101"/>
      <c r="O858" s="101"/>
      <c r="P858" s="101"/>
      <c r="Q858" s="101"/>
      <c r="R858" s="101"/>
      <c r="S858" s="101"/>
      <c r="T858" s="101"/>
      <c r="U858" s="101"/>
      <c r="V858" s="101"/>
      <c r="W858" s="101"/>
      <c r="X858" s="101"/>
      <c r="Y858" s="114"/>
      <c r="Z858" s="114"/>
      <c r="AA858" s="114"/>
      <c r="AB858" s="114"/>
      <c r="AC858" s="114"/>
      <c r="AD858" s="114"/>
      <c r="AE858" s="114"/>
      <c r="AF858" s="114"/>
      <c r="AG858" s="114"/>
      <c r="AH858" s="114"/>
      <c r="AI858" s="114"/>
      <c r="AJ858" s="114"/>
      <c r="AK858" s="114"/>
      <c r="AL858" s="114"/>
      <c r="AM858" s="114"/>
      <c r="AN858" s="114"/>
      <c r="AO858" s="114"/>
      <c r="AP858" s="114"/>
      <c r="AQ858" s="114"/>
      <c r="AR858" s="114"/>
      <c r="AS858" s="114"/>
      <c r="AT858" s="114"/>
      <c r="AU858" s="114"/>
      <c r="AV858" s="114"/>
      <c r="AW858" s="114"/>
      <c r="AX858" s="114"/>
      <c r="AY858" s="114"/>
      <c r="AZ858" s="114"/>
    </row>
    <row r="859" spans="1:52">
      <c r="A859" s="111"/>
      <c r="B859" s="111"/>
      <c r="C859" s="112"/>
      <c r="D859" s="101"/>
      <c r="E859" s="101"/>
      <c r="F859" s="101"/>
      <c r="G859" s="111"/>
      <c r="H859" s="101"/>
      <c r="I859" s="101"/>
      <c r="J859" s="101"/>
      <c r="K859" s="101"/>
      <c r="L859" s="101"/>
      <c r="M859" s="101"/>
      <c r="N859" s="101"/>
      <c r="O859" s="101"/>
      <c r="P859" s="101"/>
      <c r="Q859" s="101"/>
      <c r="R859" s="101"/>
      <c r="S859" s="101"/>
      <c r="T859" s="101"/>
      <c r="U859" s="101"/>
      <c r="V859" s="101"/>
      <c r="W859" s="101"/>
      <c r="X859" s="101"/>
      <c r="Y859" s="114"/>
      <c r="Z859" s="114"/>
      <c r="AA859" s="114"/>
      <c r="AB859" s="114"/>
      <c r="AC859" s="114"/>
      <c r="AD859" s="114"/>
      <c r="AE859" s="114"/>
      <c r="AF859" s="114"/>
      <c r="AG859" s="114"/>
      <c r="AH859" s="114"/>
      <c r="AI859" s="114"/>
      <c r="AJ859" s="114"/>
      <c r="AK859" s="114"/>
      <c r="AL859" s="114"/>
      <c r="AM859" s="114"/>
      <c r="AN859" s="114"/>
      <c r="AO859" s="114"/>
      <c r="AP859" s="114"/>
      <c r="AQ859" s="114"/>
      <c r="AR859" s="114"/>
      <c r="AS859" s="114"/>
      <c r="AT859" s="114"/>
      <c r="AU859" s="114"/>
      <c r="AV859" s="114"/>
      <c r="AW859" s="114"/>
      <c r="AX859" s="114"/>
      <c r="AY859" s="114"/>
      <c r="AZ859" s="114"/>
    </row>
    <row r="860" spans="1:52">
      <c r="A860" s="111"/>
      <c r="B860" s="111"/>
      <c r="C860" s="112"/>
      <c r="D860" s="101"/>
      <c r="E860" s="101"/>
      <c r="F860" s="101"/>
      <c r="G860" s="111"/>
      <c r="H860" s="101"/>
      <c r="I860" s="101"/>
      <c r="J860" s="101"/>
      <c r="K860" s="101"/>
      <c r="L860" s="101"/>
      <c r="M860" s="101"/>
      <c r="N860" s="101"/>
      <c r="O860" s="101"/>
      <c r="P860" s="101"/>
      <c r="Q860" s="101"/>
      <c r="R860" s="101"/>
      <c r="S860" s="101"/>
      <c r="T860" s="101"/>
      <c r="U860" s="101"/>
      <c r="V860" s="101"/>
      <c r="W860" s="101"/>
      <c r="X860" s="101"/>
      <c r="Y860" s="114"/>
      <c r="Z860" s="114"/>
      <c r="AA860" s="114"/>
      <c r="AB860" s="114"/>
      <c r="AC860" s="114"/>
      <c r="AD860" s="114"/>
      <c r="AE860" s="114"/>
      <c r="AF860" s="114"/>
      <c r="AG860" s="114"/>
      <c r="AH860" s="114"/>
      <c r="AI860" s="114"/>
      <c r="AJ860" s="114"/>
      <c r="AK860" s="114"/>
      <c r="AL860" s="114"/>
      <c r="AM860" s="114"/>
      <c r="AN860" s="114"/>
      <c r="AO860" s="114"/>
      <c r="AP860" s="114"/>
      <c r="AQ860" s="114"/>
      <c r="AR860" s="114"/>
      <c r="AS860" s="114"/>
      <c r="AT860" s="114"/>
      <c r="AU860" s="114"/>
      <c r="AV860" s="114"/>
      <c r="AW860" s="114"/>
      <c r="AX860" s="114"/>
      <c r="AY860" s="114"/>
      <c r="AZ860" s="114"/>
    </row>
    <row r="861" spans="1:52">
      <c r="A861" s="111"/>
      <c r="B861" s="111"/>
      <c r="C861" s="112"/>
      <c r="D861" s="101"/>
      <c r="E861" s="101"/>
      <c r="F861" s="101"/>
      <c r="G861" s="111"/>
      <c r="H861" s="101"/>
      <c r="I861" s="101"/>
      <c r="J861" s="101"/>
      <c r="K861" s="101"/>
      <c r="L861" s="101"/>
      <c r="M861" s="101"/>
      <c r="N861" s="101"/>
      <c r="O861" s="101"/>
      <c r="P861" s="101"/>
      <c r="Q861" s="101"/>
      <c r="R861" s="101"/>
      <c r="S861" s="101"/>
      <c r="T861" s="101"/>
      <c r="U861" s="101"/>
      <c r="V861" s="101"/>
      <c r="W861" s="101"/>
      <c r="X861" s="101"/>
      <c r="Y861" s="114"/>
      <c r="Z861" s="114"/>
      <c r="AA861" s="114"/>
      <c r="AB861" s="114"/>
      <c r="AC861" s="114"/>
      <c r="AD861" s="114"/>
      <c r="AE861" s="114"/>
      <c r="AF861" s="114"/>
      <c r="AG861" s="114"/>
      <c r="AH861" s="114"/>
      <c r="AI861" s="114"/>
      <c r="AJ861" s="114"/>
      <c r="AK861" s="114"/>
      <c r="AL861" s="114"/>
      <c r="AM861" s="114"/>
      <c r="AN861" s="114"/>
      <c r="AO861" s="114"/>
      <c r="AP861" s="114"/>
      <c r="AQ861" s="114"/>
      <c r="AR861" s="114"/>
      <c r="AS861" s="114"/>
      <c r="AT861" s="114"/>
      <c r="AU861" s="114"/>
      <c r="AV861" s="114"/>
      <c r="AW861" s="114"/>
      <c r="AX861" s="114"/>
      <c r="AY861" s="114"/>
      <c r="AZ861" s="114"/>
    </row>
    <row r="862" spans="1:52">
      <c r="A862" s="111"/>
      <c r="B862" s="111"/>
      <c r="C862" s="112"/>
      <c r="D862" s="101"/>
      <c r="E862" s="101"/>
      <c r="F862" s="101"/>
      <c r="G862" s="111"/>
      <c r="H862" s="101"/>
      <c r="I862" s="101"/>
      <c r="J862" s="101"/>
      <c r="K862" s="101"/>
      <c r="L862" s="101"/>
      <c r="M862" s="101"/>
      <c r="N862" s="101"/>
      <c r="O862" s="101"/>
      <c r="P862" s="101"/>
      <c r="Q862" s="101"/>
      <c r="R862" s="101"/>
      <c r="S862" s="101"/>
      <c r="T862" s="101"/>
      <c r="U862" s="101"/>
      <c r="V862" s="101"/>
      <c r="W862" s="101"/>
      <c r="X862" s="101"/>
      <c r="Y862" s="114"/>
      <c r="Z862" s="114"/>
      <c r="AA862" s="114"/>
      <c r="AB862" s="114"/>
      <c r="AC862" s="114"/>
      <c r="AD862" s="114"/>
      <c r="AE862" s="114"/>
      <c r="AF862" s="114"/>
      <c r="AG862" s="114"/>
      <c r="AH862" s="114"/>
      <c r="AI862" s="114"/>
      <c r="AJ862" s="114"/>
      <c r="AK862" s="114"/>
      <c r="AL862" s="114"/>
      <c r="AM862" s="114"/>
      <c r="AN862" s="114"/>
      <c r="AO862" s="114"/>
      <c r="AP862" s="114"/>
      <c r="AQ862" s="114"/>
      <c r="AR862" s="114"/>
      <c r="AS862" s="114"/>
      <c r="AT862" s="114"/>
      <c r="AU862" s="114"/>
      <c r="AV862" s="114"/>
      <c r="AW862" s="114"/>
      <c r="AX862" s="114"/>
      <c r="AY862" s="114"/>
      <c r="AZ862" s="114"/>
    </row>
    <row r="863" spans="1:52">
      <c r="A863" s="111"/>
      <c r="B863" s="111"/>
      <c r="C863" s="112"/>
      <c r="D863" s="101"/>
      <c r="E863" s="101"/>
      <c r="F863" s="101"/>
      <c r="G863" s="111"/>
      <c r="H863" s="101"/>
      <c r="I863" s="101"/>
      <c r="J863" s="101"/>
      <c r="K863" s="101"/>
      <c r="L863" s="101"/>
      <c r="M863" s="101"/>
      <c r="N863" s="101"/>
      <c r="O863" s="101"/>
      <c r="P863" s="101"/>
      <c r="Q863" s="101"/>
      <c r="R863" s="101"/>
      <c r="S863" s="101"/>
      <c r="T863" s="101"/>
      <c r="U863" s="101"/>
      <c r="V863" s="101"/>
      <c r="W863" s="101"/>
      <c r="X863" s="101"/>
      <c r="Y863" s="114"/>
      <c r="Z863" s="114"/>
      <c r="AA863" s="114"/>
      <c r="AB863" s="114"/>
      <c r="AC863" s="114"/>
      <c r="AD863" s="114"/>
      <c r="AE863" s="114"/>
      <c r="AF863" s="114"/>
      <c r="AG863" s="114"/>
      <c r="AH863" s="114"/>
      <c r="AI863" s="114"/>
      <c r="AJ863" s="114"/>
      <c r="AK863" s="114"/>
      <c r="AL863" s="114"/>
      <c r="AM863" s="114"/>
      <c r="AN863" s="114"/>
      <c r="AO863" s="114"/>
      <c r="AP863" s="114"/>
      <c r="AQ863" s="114"/>
      <c r="AR863" s="114"/>
      <c r="AS863" s="114"/>
      <c r="AT863" s="114"/>
      <c r="AU863" s="114"/>
      <c r="AV863" s="114"/>
      <c r="AW863" s="114"/>
      <c r="AX863" s="114"/>
      <c r="AY863" s="114"/>
      <c r="AZ863" s="114"/>
    </row>
    <row r="864" spans="1:52">
      <c r="A864" s="111"/>
      <c r="B864" s="111"/>
      <c r="C864" s="112"/>
      <c r="D864" s="101"/>
      <c r="E864" s="101"/>
      <c r="F864" s="101"/>
      <c r="G864" s="111"/>
      <c r="H864" s="101"/>
      <c r="I864" s="101"/>
      <c r="J864" s="101"/>
      <c r="K864" s="101"/>
      <c r="L864" s="101"/>
      <c r="M864" s="101"/>
      <c r="N864" s="101"/>
      <c r="O864" s="101"/>
      <c r="P864" s="101"/>
      <c r="Q864" s="101"/>
      <c r="R864" s="101"/>
      <c r="S864" s="101"/>
      <c r="T864" s="101"/>
      <c r="U864" s="101"/>
      <c r="V864" s="101"/>
      <c r="W864" s="101"/>
      <c r="X864" s="101"/>
      <c r="Y864" s="114"/>
      <c r="Z864" s="114"/>
      <c r="AA864" s="114"/>
      <c r="AB864" s="114"/>
      <c r="AC864" s="114"/>
      <c r="AD864" s="114"/>
      <c r="AE864" s="114"/>
      <c r="AF864" s="114"/>
      <c r="AG864" s="114"/>
      <c r="AH864" s="114"/>
      <c r="AI864" s="114"/>
      <c r="AJ864" s="114"/>
      <c r="AK864" s="114"/>
      <c r="AL864" s="114"/>
      <c r="AM864" s="114"/>
      <c r="AN864" s="114"/>
      <c r="AO864" s="114"/>
      <c r="AP864" s="114"/>
      <c r="AQ864" s="114"/>
      <c r="AR864" s="114"/>
      <c r="AS864" s="114"/>
      <c r="AT864" s="114"/>
      <c r="AU864" s="114"/>
      <c r="AV864" s="114"/>
      <c r="AW864" s="114"/>
      <c r="AX864" s="114"/>
      <c r="AY864" s="114"/>
      <c r="AZ864" s="114"/>
    </row>
    <row r="865" spans="1:52">
      <c r="A865" s="111"/>
      <c r="B865" s="111"/>
      <c r="C865" s="112"/>
      <c r="D865" s="101"/>
      <c r="E865" s="101"/>
      <c r="F865" s="101"/>
      <c r="G865" s="111"/>
      <c r="H865" s="101"/>
      <c r="I865" s="101"/>
      <c r="J865" s="101"/>
      <c r="K865" s="101"/>
      <c r="L865" s="101"/>
      <c r="M865" s="101"/>
      <c r="N865" s="101"/>
      <c r="O865" s="101"/>
      <c r="P865" s="101"/>
      <c r="Q865" s="101"/>
      <c r="R865" s="101"/>
      <c r="S865" s="101"/>
      <c r="T865" s="101"/>
      <c r="U865" s="101"/>
      <c r="V865" s="101"/>
      <c r="W865" s="101"/>
      <c r="X865" s="101"/>
      <c r="Y865" s="114"/>
      <c r="Z865" s="114"/>
      <c r="AA865" s="114"/>
      <c r="AB865" s="114"/>
      <c r="AC865" s="114"/>
      <c r="AD865" s="114"/>
      <c r="AE865" s="114"/>
      <c r="AF865" s="114"/>
      <c r="AG865" s="114"/>
      <c r="AH865" s="114"/>
      <c r="AI865" s="114"/>
      <c r="AJ865" s="114"/>
      <c r="AK865" s="114"/>
      <c r="AL865" s="114"/>
      <c r="AM865" s="114"/>
      <c r="AN865" s="114"/>
      <c r="AO865" s="114"/>
      <c r="AP865" s="114"/>
      <c r="AQ865" s="114"/>
      <c r="AR865" s="114"/>
      <c r="AS865" s="114"/>
      <c r="AT865" s="114"/>
      <c r="AU865" s="114"/>
      <c r="AV865" s="114"/>
      <c r="AW865" s="114"/>
      <c r="AX865" s="114"/>
      <c r="AY865" s="114"/>
      <c r="AZ865" s="114"/>
    </row>
    <row r="866" spans="1:52">
      <c r="A866" s="111"/>
      <c r="B866" s="111"/>
      <c r="C866" s="112"/>
      <c r="D866" s="101"/>
      <c r="E866" s="101"/>
      <c r="F866" s="101"/>
      <c r="G866" s="111"/>
      <c r="H866" s="101"/>
      <c r="I866" s="101"/>
      <c r="J866" s="101"/>
      <c r="K866" s="101"/>
      <c r="L866" s="101"/>
      <c r="M866" s="101"/>
      <c r="N866" s="101"/>
      <c r="O866" s="101"/>
      <c r="P866" s="101"/>
      <c r="Q866" s="101"/>
      <c r="R866" s="101"/>
      <c r="S866" s="101"/>
      <c r="T866" s="101"/>
      <c r="U866" s="101"/>
      <c r="V866" s="101"/>
      <c r="W866" s="101"/>
      <c r="X866" s="101"/>
      <c r="Y866" s="114"/>
      <c r="Z866" s="114"/>
      <c r="AA866" s="114"/>
      <c r="AB866" s="114"/>
      <c r="AC866" s="114"/>
      <c r="AD866" s="114"/>
      <c r="AE866" s="114"/>
      <c r="AF866" s="114"/>
      <c r="AG866" s="114"/>
      <c r="AH866" s="114"/>
      <c r="AI866" s="114"/>
      <c r="AJ866" s="114"/>
      <c r="AK866" s="114"/>
      <c r="AL866" s="114"/>
      <c r="AM866" s="114"/>
      <c r="AN866" s="114"/>
      <c r="AO866" s="114"/>
      <c r="AP866" s="114"/>
      <c r="AQ866" s="114"/>
      <c r="AR866" s="114"/>
      <c r="AS866" s="114"/>
      <c r="AT866" s="114"/>
      <c r="AU866" s="114"/>
      <c r="AV866" s="114"/>
      <c r="AW866" s="114"/>
      <c r="AX866" s="114"/>
      <c r="AY866" s="114"/>
      <c r="AZ866" s="114"/>
    </row>
    <row r="867" spans="1:52">
      <c r="A867" s="111"/>
      <c r="B867" s="111"/>
      <c r="C867" s="112"/>
      <c r="D867" s="101"/>
      <c r="E867" s="101"/>
      <c r="F867" s="101"/>
      <c r="G867" s="111"/>
      <c r="H867" s="101"/>
      <c r="I867" s="101"/>
      <c r="J867" s="101"/>
      <c r="K867" s="101"/>
      <c r="L867" s="101"/>
      <c r="M867" s="101"/>
      <c r="N867" s="101"/>
      <c r="O867" s="101"/>
      <c r="P867" s="101"/>
      <c r="Q867" s="101"/>
      <c r="R867" s="101"/>
      <c r="S867" s="101"/>
      <c r="T867" s="101"/>
      <c r="U867" s="101"/>
      <c r="V867" s="101"/>
      <c r="W867" s="101"/>
      <c r="X867" s="101"/>
      <c r="Y867" s="114"/>
      <c r="Z867" s="114"/>
      <c r="AA867" s="114"/>
      <c r="AB867" s="114"/>
      <c r="AC867" s="114"/>
      <c r="AD867" s="114"/>
      <c r="AE867" s="114"/>
      <c r="AF867" s="114"/>
      <c r="AG867" s="114"/>
      <c r="AH867" s="114"/>
      <c r="AI867" s="114"/>
      <c r="AJ867" s="114"/>
      <c r="AK867" s="114"/>
      <c r="AL867" s="114"/>
      <c r="AM867" s="114"/>
      <c r="AN867" s="114"/>
      <c r="AO867" s="114"/>
      <c r="AP867" s="114"/>
      <c r="AQ867" s="114"/>
      <c r="AR867" s="114"/>
      <c r="AS867" s="114"/>
      <c r="AT867" s="114"/>
      <c r="AU867" s="114"/>
      <c r="AV867" s="114"/>
      <c r="AW867" s="114"/>
      <c r="AX867" s="114"/>
      <c r="AY867" s="114"/>
      <c r="AZ867" s="114"/>
    </row>
    <row r="868" spans="1:52">
      <c r="A868" s="111"/>
      <c r="B868" s="111"/>
      <c r="C868" s="112"/>
      <c r="D868" s="101"/>
      <c r="E868" s="101"/>
      <c r="F868" s="101"/>
      <c r="G868" s="111"/>
      <c r="H868" s="101"/>
      <c r="I868" s="101"/>
      <c r="J868" s="101"/>
      <c r="K868" s="101"/>
      <c r="L868" s="101"/>
      <c r="M868" s="101"/>
      <c r="N868" s="101"/>
      <c r="O868" s="101"/>
      <c r="P868" s="101"/>
      <c r="Q868" s="101"/>
      <c r="R868" s="101"/>
      <c r="S868" s="101"/>
      <c r="T868" s="101"/>
      <c r="U868" s="101"/>
      <c r="V868" s="101"/>
      <c r="W868" s="101"/>
      <c r="X868" s="101"/>
      <c r="Y868" s="114"/>
      <c r="Z868" s="114"/>
      <c r="AA868" s="114"/>
      <c r="AB868" s="114"/>
      <c r="AC868" s="114"/>
      <c r="AD868" s="114"/>
      <c r="AE868" s="114"/>
      <c r="AF868" s="114"/>
      <c r="AG868" s="114"/>
      <c r="AH868" s="114"/>
      <c r="AI868" s="114"/>
      <c r="AJ868" s="114"/>
      <c r="AK868" s="114"/>
      <c r="AL868" s="114"/>
      <c r="AM868" s="114"/>
      <c r="AN868" s="114"/>
      <c r="AO868" s="114"/>
      <c r="AP868" s="114"/>
      <c r="AQ868" s="114"/>
      <c r="AR868" s="114"/>
      <c r="AS868" s="114"/>
      <c r="AT868" s="114"/>
      <c r="AU868" s="114"/>
      <c r="AV868" s="114"/>
      <c r="AW868" s="114"/>
      <c r="AX868" s="114"/>
      <c r="AY868" s="114"/>
      <c r="AZ868" s="114"/>
    </row>
    <row r="869" spans="1:52">
      <c r="A869" s="111"/>
      <c r="B869" s="111"/>
      <c r="C869" s="112"/>
      <c r="D869" s="101"/>
      <c r="E869" s="101"/>
      <c r="F869" s="101"/>
      <c r="G869" s="111"/>
      <c r="H869" s="101"/>
      <c r="I869" s="101"/>
      <c r="J869" s="101"/>
      <c r="K869" s="101"/>
      <c r="L869" s="101"/>
      <c r="M869" s="101"/>
      <c r="N869" s="101"/>
      <c r="O869" s="101"/>
      <c r="P869" s="101"/>
      <c r="Q869" s="101"/>
      <c r="R869" s="101"/>
      <c r="S869" s="101"/>
      <c r="T869" s="101"/>
      <c r="U869" s="101"/>
      <c r="V869" s="101"/>
      <c r="W869" s="101"/>
      <c r="X869" s="101"/>
      <c r="Y869" s="114"/>
      <c r="Z869" s="114"/>
      <c r="AA869" s="114"/>
      <c r="AB869" s="114"/>
      <c r="AC869" s="114"/>
      <c r="AD869" s="114"/>
      <c r="AE869" s="114"/>
      <c r="AF869" s="114"/>
      <c r="AG869" s="114"/>
      <c r="AH869" s="114"/>
      <c r="AI869" s="114"/>
      <c r="AJ869" s="114"/>
      <c r="AK869" s="114"/>
      <c r="AL869" s="114"/>
      <c r="AM869" s="114"/>
      <c r="AN869" s="114"/>
      <c r="AO869" s="114"/>
      <c r="AP869" s="114"/>
      <c r="AQ869" s="114"/>
      <c r="AR869" s="114"/>
      <c r="AS869" s="114"/>
      <c r="AT869" s="114"/>
      <c r="AU869" s="114"/>
      <c r="AV869" s="114"/>
      <c r="AW869" s="114"/>
      <c r="AX869" s="114"/>
      <c r="AY869" s="114"/>
      <c r="AZ869" s="114"/>
    </row>
    <row r="870" spans="1:52">
      <c r="A870" s="111"/>
      <c r="B870" s="111"/>
      <c r="C870" s="112"/>
      <c r="D870" s="101"/>
      <c r="E870" s="101"/>
      <c r="F870" s="101"/>
      <c r="G870" s="111"/>
      <c r="H870" s="101"/>
      <c r="I870" s="101"/>
      <c r="J870" s="101"/>
      <c r="K870" s="101"/>
      <c r="L870" s="101"/>
      <c r="M870" s="101"/>
      <c r="N870" s="101"/>
      <c r="O870" s="101"/>
      <c r="P870" s="101"/>
      <c r="Q870" s="101"/>
      <c r="R870" s="101"/>
      <c r="S870" s="101"/>
      <c r="T870" s="101"/>
      <c r="U870" s="101"/>
      <c r="V870" s="101"/>
      <c r="W870" s="101"/>
      <c r="X870" s="101"/>
      <c r="Y870" s="114"/>
      <c r="Z870" s="114"/>
      <c r="AA870" s="114"/>
      <c r="AB870" s="114"/>
      <c r="AC870" s="114"/>
      <c r="AD870" s="114"/>
      <c r="AE870" s="114"/>
      <c r="AF870" s="114"/>
      <c r="AG870" s="114"/>
      <c r="AH870" s="114"/>
      <c r="AI870" s="114"/>
      <c r="AJ870" s="114"/>
      <c r="AK870" s="114"/>
      <c r="AL870" s="114"/>
      <c r="AM870" s="114"/>
      <c r="AN870" s="114"/>
      <c r="AO870" s="114"/>
      <c r="AP870" s="114"/>
      <c r="AQ870" s="114"/>
      <c r="AR870" s="114"/>
      <c r="AS870" s="114"/>
      <c r="AT870" s="114"/>
      <c r="AU870" s="114"/>
      <c r="AV870" s="114"/>
      <c r="AW870" s="114"/>
      <c r="AX870" s="114"/>
      <c r="AY870" s="114"/>
      <c r="AZ870" s="114"/>
    </row>
    <row r="871" spans="1:52">
      <c r="A871" s="111"/>
      <c r="B871" s="111"/>
      <c r="C871" s="112"/>
      <c r="D871" s="101"/>
      <c r="E871" s="101"/>
      <c r="F871" s="101"/>
      <c r="G871" s="111"/>
      <c r="H871" s="101"/>
      <c r="I871" s="101"/>
      <c r="J871" s="101"/>
      <c r="K871" s="101"/>
      <c r="L871" s="101"/>
      <c r="M871" s="101"/>
      <c r="N871" s="101"/>
      <c r="O871" s="101"/>
      <c r="P871" s="101"/>
      <c r="Q871" s="101"/>
      <c r="R871" s="101"/>
      <c r="S871" s="101"/>
      <c r="T871" s="101"/>
      <c r="U871" s="101"/>
      <c r="V871" s="101"/>
      <c r="W871" s="101"/>
      <c r="X871" s="101"/>
      <c r="Y871" s="114"/>
      <c r="Z871" s="114"/>
      <c r="AA871" s="114"/>
      <c r="AB871" s="114"/>
      <c r="AC871" s="114"/>
      <c r="AD871" s="114"/>
      <c r="AE871" s="114"/>
      <c r="AF871" s="114"/>
      <c r="AG871" s="114"/>
      <c r="AH871" s="114"/>
      <c r="AI871" s="114"/>
      <c r="AJ871" s="114"/>
      <c r="AK871" s="114"/>
      <c r="AL871" s="114"/>
      <c r="AM871" s="114"/>
      <c r="AN871" s="114"/>
      <c r="AO871" s="114"/>
      <c r="AP871" s="114"/>
      <c r="AQ871" s="114"/>
      <c r="AR871" s="114"/>
      <c r="AS871" s="114"/>
      <c r="AT871" s="114"/>
      <c r="AU871" s="114"/>
      <c r="AV871" s="114"/>
      <c r="AW871" s="114"/>
      <c r="AX871" s="114"/>
      <c r="AY871" s="114"/>
      <c r="AZ871" s="114"/>
    </row>
    <row r="872" spans="1:52">
      <c r="A872" s="111"/>
      <c r="B872" s="111"/>
      <c r="C872" s="112"/>
      <c r="D872" s="101"/>
      <c r="E872" s="101"/>
      <c r="F872" s="101"/>
      <c r="G872" s="111"/>
      <c r="H872" s="101"/>
      <c r="I872" s="101"/>
      <c r="J872" s="101"/>
      <c r="K872" s="101"/>
      <c r="L872" s="101"/>
      <c r="M872" s="101"/>
      <c r="N872" s="101"/>
      <c r="O872" s="101"/>
      <c r="P872" s="101"/>
      <c r="Q872" s="101"/>
      <c r="R872" s="101"/>
      <c r="S872" s="101"/>
      <c r="T872" s="101"/>
      <c r="U872" s="101"/>
      <c r="V872" s="101"/>
      <c r="W872" s="101"/>
      <c r="X872" s="101"/>
      <c r="Y872" s="114"/>
      <c r="Z872" s="114"/>
      <c r="AA872" s="114"/>
      <c r="AB872" s="114"/>
      <c r="AC872" s="114"/>
      <c r="AD872" s="114"/>
      <c r="AE872" s="114"/>
      <c r="AF872" s="114"/>
      <c r="AG872" s="114"/>
      <c r="AH872" s="114"/>
      <c r="AI872" s="114"/>
      <c r="AJ872" s="114"/>
      <c r="AK872" s="114"/>
      <c r="AL872" s="114"/>
      <c r="AM872" s="114"/>
      <c r="AN872" s="114"/>
      <c r="AO872" s="114"/>
      <c r="AP872" s="114"/>
      <c r="AQ872" s="114"/>
      <c r="AR872" s="114"/>
      <c r="AS872" s="114"/>
      <c r="AT872" s="114"/>
      <c r="AU872" s="114"/>
      <c r="AV872" s="114"/>
      <c r="AW872" s="114"/>
      <c r="AX872" s="114"/>
      <c r="AY872" s="114"/>
      <c r="AZ872" s="114"/>
    </row>
    <row r="873" spans="1:52">
      <c r="A873" s="111"/>
      <c r="B873" s="111"/>
      <c r="C873" s="112"/>
      <c r="D873" s="101"/>
      <c r="E873" s="101"/>
      <c r="F873" s="101"/>
      <c r="G873" s="111"/>
      <c r="H873" s="101"/>
      <c r="I873" s="101"/>
      <c r="J873" s="101"/>
      <c r="K873" s="101"/>
      <c r="L873" s="101"/>
      <c r="M873" s="101"/>
      <c r="N873" s="101"/>
      <c r="O873" s="101"/>
      <c r="P873" s="101"/>
      <c r="Q873" s="101"/>
      <c r="R873" s="101"/>
      <c r="S873" s="101"/>
      <c r="T873" s="101"/>
      <c r="U873" s="101"/>
      <c r="V873" s="101"/>
      <c r="W873" s="101"/>
      <c r="X873" s="101"/>
      <c r="Y873" s="114"/>
      <c r="Z873" s="114"/>
      <c r="AA873" s="114"/>
      <c r="AB873" s="114"/>
      <c r="AC873" s="114"/>
      <c r="AD873" s="114"/>
      <c r="AE873" s="114"/>
      <c r="AF873" s="114"/>
      <c r="AG873" s="114"/>
      <c r="AH873" s="114"/>
      <c r="AI873" s="114"/>
      <c r="AJ873" s="114"/>
      <c r="AK873" s="114"/>
      <c r="AL873" s="114"/>
      <c r="AM873" s="114"/>
      <c r="AN873" s="114"/>
      <c r="AO873" s="114"/>
      <c r="AP873" s="114"/>
      <c r="AQ873" s="114"/>
      <c r="AR873" s="114"/>
      <c r="AS873" s="114"/>
      <c r="AT873" s="114"/>
      <c r="AU873" s="114"/>
      <c r="AV873" s="114"/>
      <c r="AW873" s="114"/>
      <c r="AX873" s="114"/>
      <c r="AY873" s="114"/>
      <c r="AZ873" s="114"/>
    </row>
    <row r="874" spans="1:52">
      <c r="A874" s="111"/>
      <c r="B874" s="111"/>
      <c r="C874" s="112"/>
      <c r="D874" s="101"/>
      <c r="E874" s="101"/>
      <c r="F874" s="101"/>
      <c r="G874" s="111"/>
      <c r="H874" s="101"/>
      <c r="I874" s="101"/>
      <c r="J874" s="101"/>
      <c r="K874" s="101"/>
      <c r="L874" s="101"/>
      <c r="M874" s="101"/>
      <c r="N874" s="101"/>
      <c r="O874" s="101"/>
      <c r="P874" s="101"/>
      <c r="Q874" s="101"/>
      <c r="R874" s="101"/>
      <c r="S874" s="101"/>
      <c r="T874" s="101"/>
      <c r="U874" s="101"/>
      <c r="V874" s="101"/>
      <c r="W874" s="101"/>
      <c r="X874" s="101"/>
      <c r="Y874" s="114"/>
      <c r="Z874" s="114"/>
      <c r="AA874" s="114"/>
      <c r="AB874" s="114"/>
      <c r="AC874" s="114"/>
      <c r="AD874" s="114"/>
      <c r="AE874" s="114"/>
      <c r="AF874" s="114"/>
      <c r="AG874" s="114"/>
      <c r="AH874" s="114"/>
      <c r="AI874" s="114"/>
      <c r="AJ874" s="114"/>
      <c r="AK874" s="114"/>
      <c r="AL874" s="114"/>
      <c r="AM874" s="114"/>
      <c r="AN874" s="114"/>
      <c r="AO874" s="114"/>
      <c r="AP874" s="114"/>
      <c r="AQ874" s="114"/>
      <c r="AR874" s="114"/>
      <c r="AS874" s="114"/>
      <c r="AT874" s="114"/>
      <c r="AU874" s="114"/>
      <c r="AV874" s="114"/>
      <c r="AW874" s="114"/>
      <c r="AX874" s="114"/>
      <c r="AY874" s="114"/>
      <c r="AZ874" s="114"/>
    </row>
    <row r="875" spans="1:52">
      <c r="A875" s="111"/>
      <c r="B875" s="111"/>
      <c r="C875" s="112"/>
      <c r="D875" s="101"/>
      <c r="E875" s="101"/>
      <c r="F875" s="101"/>
      <c r="G875" s="111"/>
      <c r="H875" s="101"/>
      <c r="I875" s="101"/>
      <c r="J875" s="101"/>
      <c r="K875" s="101"/>
      <c r="L875" s="101"/>
      <c r="M875" s="101"/>
      <c r="N875" s="101"/>
      <c r="O875" s="101"/>
      <c r="P875" s="101"/>
      <c r="Q875" s="101"/>
      <c r="R875" s="101"/>
      <c r="S875" s="101"/>
      <c r="T875" s="101"/>
      <c r="U875" s="101"/>
      <c r="V875" s="101"/>
      <c r="W875" s="101"/>
      <c r="X875" s="101"/>
      <c r="Y875" s="114"/>
      <c r="Z875" s="114"/>
      <c r="AA875" s="114"/>
      <c r="AB875" s="114"/>
      <c r="AC875" s="114"/>
      <c r="AD875" s="114"/>
      <c r="AE875" s="114"/>
      <c r="AF875" s="114"/>
      <c r="AG875" s="114"/>
      <c r="AH875" s="114"/>
      <c r="AI875" s="114"/>
      <c r="AJ875" s="114"/>
      <c r="AK875" s="114"/>
      <c r="AL875" s="114"/>
      <c r="AM875" s="114"/>
      <c r="AN875" s="114"/>
      <c r="AO875" s="114"/>
      <c r="AP875" s="114"/>
      <c r="AQ875" s="114"/>
      <c r="AR875" s="114"/>
      <c r="AS875" s="114"/>
      <c r="AT875" s="114"/>
      <c r="AU875" s="114"/>
      <c r="AV875" s="114"/>
      <c r="AW875" s="114"/>
      <c r="AX875" s="114"/>
      <c r="AY875" s="114"/>
      <c r="AZ875" s="114"/>
    </row>
    <row r="876" spans="1:52">
      <c r="A876" s="111"/>
      <c r="B876" s="111"/>
      <c r="C876" s="112"/>
      <c r="D876" s="101"/>
      <c r="E876" s="101"/>
      <c r="F876" s="101"/>
      <c r="G876" s="111"/>
      <c r="H876" s="101"/>
      <c r="I876" s="101"/>
      <c r="J876" s="101"/>
      <c r="K876" s="101"/>
      <c r="L876" s="101"/>
      <c r="M876" s="101"/>
      <c r="N876" s="101"/>
      <c r="O876" s="101"/>
      <c r="P876" s="101"/>
      <c r="Q876" s="101"/>
      <c r="R876" s="101"/>
      <c r="S876" s="101"/>
      <c r="T876" s="101"/>
      <c r="U876" s="101"/>
      <c r="V876" s="101"/>
      <c r="W876" s="101"/>
      <c r="X876" s="101"/>
      <c r="Y876" s="114"/>
      <c r="Z876" s="114"/>
      <c r="AA876" s="114"/>
      <c r="AB876" s="114"/>
      <c r="AC876" s="114"/>
      <c r="AD876" s="114"/>
      <c r="AE876" s="114"/>
      <c r="AF876" s="114"/>
      <c r="AG876" s="114"/>
      <c r="AH876" s="114"/>
      <c r="AI876" s="114"/>
      <c r="AJ876" s="114"/>
      <c r="AK876" s="114"/>
      <c r="AL876" s="114"/>
      <c r="AM876" s="114"/>
      <c r="AN876" s="114"/>
      <c r="AO876" s="114"/>
      <c r="AP876" s="114"/>
      <c r="AQ876" s="114"/>
      <c r="AR876" s="114"/>
      <c r="AS876" s="114"/>
      <c r="AT876" s="114"/>
      <c r="AU876" s="114"/>
      <c r="AV876" s="114"/>
      <c r="AW876" s="114"/>
      <c r="AX876" s="114"/>
      <c r="AY876" s="114"/>
      <c r="AZ876" s="114"/>
    </row>
    <row r="877" spans="1:52">
      <c r="A877" s="111"/>
      <c r="B877" s="111"/>
      <c r="C877" s="112"/>
      <c r="D877" s="101"/>
      <c r="E877" s="101"/>
      <c r="F877" s="101"/>
      <c r="G877" s="111"/>
      <c r="H877" s="101"/>
      <c r="I877" s="101"/>
      <c r="J877" s="101"/>
      <c r="K877" s="101"/>
      <c r="L877" s="101"/>
      <c r="M877" s="101"/>
      <c r="N877" s="101"/>
      <c r="O877" s="101"/>
      <c r="P877" s="101"/>
      <c r="Q877" s="101"/>
      <c r="R877" s="101"/>
      <c r="S877" s="101"/>
      <c r="T877" s="101"/>
      <c r="U877" s="101"/>
      <c r="V877" s="101"/>
      <c r="W877" s="101"/>
      <c r="X877" s="101"/>
      <c r="Y877" s="114"/>
      <c r="Z877" s="114"/>
      <c r="AA877" s="114"/>
      <c r="AB877" s="114"/>
      <c r="AC877" s="114"/>
      <c r="AD877" s="114"/>
      <c r="AE877" s="114"/>
      <c r="AF877" s="114"/>
      <c r="AG877" s="114"/>
      <c r="AH877" s="114"/>
      <c r="AI877" s="114"/>
      <c r="AJ877" s="114"/>
      <c r="AK877" s="114"/>
      <c r="AL877" s="114"/>
      <c r="AM877" s="114"/>
      <c r="AN877" s="114"/>
      <c r="AO877" s="114"/>
      <c r="AP877" s="114"/>
      <c r="AQ877" s="114"/>
      <c r="AR877" s="114"/>
      <c r="AS877" s="114"/>
      <c r="AT877" s="114"/>
      <c r="AU877" s="114"/>
      <c r="AV877" s="114"/>
      <c r="AW877" s="114"/>
      <c r="AX877" s="114"/>
      <c r="AY877" s="114"/>
      <c r="AZ877" s="114"/>
    </row>
    <row r="878" spans="1:52">
      <c r="A878" s="111"/>
      <c r="B878" s="111"/>
      <c r="C878" s="112"/>
      <c r="D878" s="101"/>
      <c r="E878" s="101"/>
      <c r="F878" s="101"/>
      <c r="G878" s="111"/>
      <c r="H878" s="101"/>
      <c r="I878" s="101"/>
      <c r="J878" s="101"/>
      <c r="K878" s="101"/>
      <c r="L878" s="101"/>
      <c r="M878" s="101"/>
      <c r="N878" s="101"/>
      <c r="O878" s="101"/>
      <c r="P878" s="101"/>
      <c r="Q878" s="101"/>
      <c r="R878" s="101"/>
      <c r="S878" s="101"/>
      <c r="T878" s="101"/>
      <c r="U878" s="101"/>
      <c r="V878" s="101"/>
      <c r="W878" s="101"/>
      <c r="X878" s="101"/>
      <c r="Y878" s="114"/>
      <c r="Z878" s="114"/>
      <c r="AA878" s="114"/>
      <c r="AB878" s="114"/>
      <c r="AC878" s="114"/>
      <c r="AD878" s="114"/>
      <c r="AE878" s="114"/>
      <c r="AF878" s="114"/>
      <c r="AG878" s="114"/>
      <c r="AH878" s="114"/>
      <c r="AI878" s="114"/>
      <c r="AJ878" s="114"/>
      <c r="AK878" s="114"/>
      <c r="AL878" s="114"/>
      <c r="AM878" s="114"/>
      <c r="AN878" s="114"/>
      <c r="AO878" s="114"/>
      <c r="AP878" s="114"/>
      <c r="AQ878" s="114"/>
      <c r="AR878" s="114"/>
      <c r="AS878" s="114"/>
      <c r="AT878" s="114"/>
      <c r="AU878" s="114"/>
      <c r="AV878" s="114"/>
      <c r="AW878" s="114"/>
      <c r="AX878" s="114"/>
      <c r="AY878" s="114"/>
      <c r="AZ878" s="114"/>
    </row>
    <row r="879" spans="1:52">
      <c r="A879" s="111"/>
      <c r="B879" s="111"/>
      <c r="C879" s="112"/>
      <c r="D879" s="101"/>
      <c r="E879" s="101"/>
      <c r="F879" s="101"/>
      <c r="G879" s="111"/>
      <c r="H879" s="101"/>
      <c r="I879" s="101"/>
      <c r="J879" s="101"/>
      <c r="K879" s="101"/>
      <c r="L879" s="101"/>
      <c r="M879" s="101"/>
      <c r="N879" s="101"/>
      <c r="O879" s="101"/>
      <c r="P879" s="101"/>
      <c r="Q879" s="101"/>
      <c r="R879" s="101"/>
      <c r="S879" s="101"/>
      <c r="T879" s="101"/>
      <c r="U879" s="101"/>
      <c r="V879" s="101"/>
      <c r="W879" s="101"/>
      <c r="X879" s="101"/>
      <c r="Y879" s="114"/>
      <c r="Z879" s="114"/>
      <c r="AA879" s="114"/>
      <c r="AB879" s="114"/>
      <c r="AC879" s="114"/>
      <c r="AD879" s="114"/>
      <c r="AE879" s="114"/>
      <c r="AF879" s="114"/>
      <c r="AG879" s="114"/>
      <c r="AH879" s="114"/>
      <c r="AI879" s="114"/>
      <c r="AJ879" s="114"/>
      <c r="AK879" s="114"/>
      <c r="AL879" s="114"/>
      <c r="AM879" s="114"/>
      <c r="AN879" s="114"/>
      <c r="AO879" s="114"/>
      <c r="AP879" s="114"/>
      <c r="AQ879" s="114"/>
      <c r="AR879" s="114"/>
      <c r="AS879" s="114"/>
      <c r="AT879" s="114"/>
      <c r="AU879" s="114"/>
      <c r="AV879" s="114"/>
      <c r="AW879" s="114"/>
      <c r="AX879" s="114"/>
      <c r="AY879" s="114"/>
      <c r="AZ879" s="114"/>
    </row>
    <row r="880" spans="1:52">
      <c r="A880" s="111"/>
      <c r="B880" s="111"/>
      <c r="C880" s="112"/>
      <c r="D880" s="101"/>
      <c r="E880" s="101"/>
      <c r="F880" s="101"/>
      <c r="G880" s="111"/>
      <c r="H880" s="101"/>
      <c r="I880" s="101"/>
      <c r="J880" s="101"/>
      <c r="K880" s="101"/>
      <c r="L880" s="101"/>
      <c r="M880" s="101"/>
      <c r="N880" s="101"/>
      <c r="O880" s="101"/>
      <c r="P880" s="101"/>
      <c r="Q880" s="101"/>
      <c r="R880" s="101"/>
      <c r="S880" s="101"/>
      <c r="T880" s="101"/>
      <c r="U880" s="101"/>
      <c r="V880" s="101"/>
      <c r="W880" s="101"/>
      <c r="X880" s="101"/>
      <c r="Y880" s="114"/>
      <c r="Z880" s="114"/>
      <c r="AA880" s="114"/>
      <c r="AB880" s="114"/>
      <c r="AC880" s="114"/>
      <c r="AD880" s="114"/>
      <c r="AE880" s="114"/>
      <c r="AF880" s="114"/>
      <c r="AG880" s="114"/>
      <c r="AH880" s="114"/>
      <c r="AI880" s="114"/>
      <c r="AJ880" s="114"/>
      <c r="AK880" s="114"/>
      <c r="AL880" s="114"/>
      <c r="AM880" s="114"/>
      <c r="AN880" s="114"/>
      <c r="AO880" s="114"/>
      <c r="AP880" s="114"/>
      <c r="AQ880" s="114"/>
      <c r="AR880" s="114"/>
      <c r="AS880" s="114"/>
      <c r="AT880" s="114"/>
      <c r="AU880" s="114"/>
      <c r="AV880" s="114"/>
      <c r="AW880" s="114"/>
      <c r="AX880" s="114"/>
      <c r="AY880" s="114"/>
      <c r="AZ880" s="114"/>
    </row>
    <row r="881" spans="1:52">
      <c r="A881" s="111"/>
      <c r="B881" s="111"/>
      <c r="C881" s="112"/>
      <c r="D881" s="101"/>
      <c r="E881" s="101"/>
      <c r="F881" s="101"/>
      <c r="G881" s="111"/>
      <c r="H881" s="101"/>
      <c r="I881" s="101"/>
      <c r="J881" s="101"/>
      <c r="K881" s="101"/>
      <c r="L881" s="101"/>
      <c r="M881" s="101"/>
      <c r="N881" s="101"/>
      <c r="O881" s="101"/>
      <c r="P881" s="101"/>
      <c r="Q881" s="101"/>
      <c r="R881" s="101"/>
      <c r="S881" s="101"/>
      <c r="T881" s="101"/>
      <c r="U881" s="101"/>
      <c r="V881" s="101"/>
      <c r="W881" s="101"/>
      <c r="X881" s="101"/>
      <c r="Y881" s="114"/>
      <c r="Z881" s="114"/>
      <c r="AA881" s="114"/>
      <c r="AB881" s="114"/>
      <c r="AC881" s="114"/>
      <c r="AD881" s="114"/>
      <c r="AE881" s="114"/>
      <c r="AF881" s="114"/>
      <c r="AG881" s="114"/>
      <c r="AH881" s="114"/>
      <c r="AI881" s="114"/>
      <c r="AJ881" s="114"/>
      <c r="AK881" s="114"/>
      <c r="AL881" s="114"/>
      <c r="AM881" s="114"/>
      <c r="AN881" s="114"/>
      <c r="AO881" s="114"/>
      <c r="AP881" s="114"/>
      <c r="AQ881" s="114"/>
      <c r="AR881" s="114"/>
      <c r="AS881" s="114"/>
      <c r="AT881" s="114"/>
      <c r="AU881" s="114"/>
      <c r="AV881" s="114"/>
      <c r="AW881" s="114"/>
      <c r="AX881" s="114"/>
      <c r="AY881" s="114"/>
      <c r="AZ881" s="114"/>
    </row>
    <row r="882" spans="1:52">
      <c r="A882" s="111"/>
      <c r="B882" s="111"/>
      <c r="C882" s="112"/>
      <c r="D882" s="101"/>
      <c r="E882" s="101"/>
      <c r="F882" s="101"/>
      <c r="G882" s="111"/>
      <c r="H882" s="101"/>
      <c r="I882" s="101"/>
      <c r="J882" s="101"/>
      <c r="K882" s="101"/>
      <c r="L882" s="101"/>
      <c r="M882" s="101"/>
      <c r="N882" s="101"/>
      <c r="O882" s="101"/>
      <c r="P882" s="101"/>
      <c r="Q882" s="101"/>
      <c r="R882" s="101"/>
      <c r="S882" s="101"/>
      <c r="T882" s="101"/>
      <c r="U882" s="101"/>
      <c r="V882" s="101"/>
      <c r="W882" s="101"/>
      <c r="X882" s="101"/>
      <c r="Y882" s="114"/>
      <c r="Z882" s="114"/>
      <c r="AA882" s="114"/>
      <c r="AB882" s="114"/>
      <c r="AC882" s="114"/>
      <c r="AD882" s="114"/>
      <c r="AE882" s="114"/>
      <c r="AF882" s="114"/>
      <c r="AG882" s="114"/>
      <c r="AH882" s="114"/>
      <c r="AI882" s="114"/>
      <c r="AJ882" s="114"/>
      <c r="AK882" s="114"/>
      <c r="AL882" s="114"/>
      <c r="AM882" s="114"/>
      <c r="AN882" s="114"/>
      <c r="AO882" s="114"/>
      <c r="AP882" s="114"/>
      <c r="AQ882" s="114"/>
      <c r="AR882" s="114"/>
      <c r="AS882" s="114"/>
      <c r="AT882" s="114"/>
      <c r="AU882" s="114"/>
      <c r="AV882" s="114"/>
      <c r="AW882" s="114"/>
      <c r="AX882" s="114"/>
      <c r="AY882" s="114"/>
      <c r="AZ882" s="114"/>
    </row>
    <row r="883" spans="1:52">
      <c r="A883" s="111"/>
      <c r="B883" s="111"/>
      <c r="C883" s="112"/>
      <c r="D883" s="101"/>
      <c r="E883" s="101"/>
      <c r="F883" s="101"/>
      <c r="G883" s="111"/>
      <c r="H883" s="101"/>
      <c r="I883" s="101"/>
      <c r="J883" s="101"/>
      <c r="K883" s="101"/>
      <c r="L883" s="101"/>
      <c r="M883" s="101"/>
      <c r="N883" s="101"/>
      <c r="O883" s="101"/>
      <c r="P883" s="101"/>
      <c r="Q883" s="101"/>
      <c r="R883" s="101"/>
      <c r="S883" s="101"/>
      <c r="T883" s="101"/>
      <c r="U883" s="101"/>
      <c r="V883" s="101"/>
      <c r="W883" s="101"/>
      <c r="X883" s="101"/>
      <c r="Y883" s="114"/>
      <c r="Z883" s="114"/>
      <c r="AA883" s="114"/>
      <c r="AB883" s="114"/>
      <c r="AC883" s="114"/>
      <c r="AD883" s="114"/>
      <c r="AE883" s="114"/>
      <c r="AF883" s="114"/>
      <c r="AG883" s="114"/>
      <c r="AH883" s="114"/>
      <c r="AI883" s="114"/>
      <c r="AJ883" s="114"/>
      <c r="AK883" s="114"/>
      <c r="AL883" s="114"/>
      <c r="AM883" s="114"/>
      <c r="AN883" s="114"/>
      <c r="AO883" s="114"/>
      <c r="AP883" s="114"/>
      <c r="AQ883" s="114"/>
      <c r="AR883" s="114"/>
      <c r="AS883" s="114"/>
      <c r="AT883" s="114"/>
      <c r="AU883" s="114"/>
      <c r="AV883" s="114"/>
      <c r="AW883" s="114"/>
      <c r="AX883" s="114"/>
      <c r="AY883" s="114"/>
      <c r="AZ883" s="114"/>
    </row>
    <row r="884" spans="1:52">
      <c r="A884" s="111"/>
      <c r="B884" s="111"/>
      <c r="C884" s="112"/>
      <c r="D884" s="101"/>
      <c r="E884" s="101"/>
      <c r="F884" s="101"/>
      <c r="G884" s="111"/>
      <c r="H884" s="101"/>
      <c r="I884" s="101"/>
      <c r="J884" s="101"/>
      <c r="K884" s="101"/>
      <c r="L884" s="101"/>
      <c r="M884" s="101"/>
      <c r="N884" s="101"/>
      <c r="O884" s="101"/>
      <c r="P884" s="101"/>
      <c r="Q884" s="101"/>
      <c r="R884" s="101"/>
      <c r="S884" s="101"/>
      <c r="T884" s="101"/>
      <c r="U884" s="101"/>
      <c r="V884" s="101"/>
      <c r="W884" s="101"/>
      <c r="X884" s="101"/>
      <c r="Y884" s="114"/>
      <c r="Z884" s="114"/>
      <c r="AA884" s="114"/>
      <c r="AB884" s="114"/>
      <c r="AC884" s="114"/>
      <c r="AD884" s="114"/>
      <c r="AE884" s="114"/>
      <c r="AF884" s="114"/>
      <c r="AG884" s="114"/>
      <c r="AH884" s="114"/>
      <c r="AI884" s="114"/>
      <c r="AJ884" s="114"/>
      <c r="AK884" s="114"/>
      <c r="AL884" s="114"/>
      <c r="AM884" s="114"/>
      <c r="AN884" s="114"/>
      <c r="AO884" s="114"/>
      <c r="AP884" s="114"/>
      <c r="AQ884" s="114"/>
      <c r="AR884" s="114"/>
      <c r="AS884" s="114"/>
      <c r="AT884" s="114"/>
      <c r="AU884" s="114"/>
      <c r="AV884" s="114"/>
      <c r="AW884" s="114"/>
      <c r="AX884" s="114"/>
      <c r="AY884" s="114"/>
      <c r="AZ884" s="114"/>
    </row>
    <row r="885" spans="1:52">
      <c r="A885" s="111"/>
      <c r="B885" s="111"/>
      <c r="C885" s="112"/>
      <c r="D885" s="101"/>
      <c r="E885" s="101"/>
      <c r="F885" s="101"/>
      <c r="G885" s="111"/>
      <c r="H885" s="101"/>
      <c r="I885" s="101"/>
      <c r="J885" s="101"/>
      <c r="K885" s="101"/>
      <c r="L885" s="101"/>
      <c r="M885" s="101"/>
      <c r="N885" s="101"/>
      <c r="O885" s="101"/>
      <c r="P885" s="101"/>
      <c r="Q885" s="101"/>
      <c r="R885" s="101"/>
      <c r="S885" s="101"/>
      <c r="T885" s="101"/>
      <c r="U885" s="101"/>
      <c r="V885" s="101"/>
      <c r="W885" s="101"/>
      <c r="X885" s="101"/>
      <c r="Y885" s="114"/>
      <c r="Z885" s="114"/>
      <c r="AA885" s="114"/>
      <c r="AB885" s="114"/>
      <c r="AC885" s="114"/>
      <c r="AD885" s="114"/>
      <c r="AE885" s="114"/>
      <c r="AF885" s="114"/>
      <c r="AG885" s="114"/>
      <c r="AH885" s="114"/>
      <c r="AI885" s="114"/>
      <c r="AJ885" s="114"/>
      <c r="AK885" s="114"/>
      <c r="AL885" s="114"/>
      <c r="AM885" s="114"/>
      <c r="AN885" s="114"/>
      <c r="AO885" s="114"/>
      <c r="AP885" s="114"/>
      <c r="AQ885" s="114"/>
      <c r="AR885" s="114"/>
      <c r="AS885" s="114"/>
      <c r="AT885" s="114"/>
      <c r="AU885" s="114"/>
      <c r="AV885" s="114"/>
      <c r="AW885" s="114"/>
      <c r="AX885" s="114"/>
      <c r="AY885" s="114"/>
      <c r="AZ885" s="114"/>
    </row>
    <row r="886" spans="1:52">
      <c r="A886" s="111"/>
      <c r="B886" s="111"/>
      <c r="C886" s="112"/>
      <c r="D886" s="101"/>
      <c r="E886" s="101"/>
      <c r="F886" s="101"/>
      <c r="G886" s="111"/>
      <c r="H886" s="101"/>
      <c r="I886" s="101"/>
      <c r="J886" s="101"/>
      <c r="K886" s="101"/>
      <c r="L886" s="101"/>
      <c r="M886" s="101"/>
      <c r="N886" s="101"/>
      <c r="O886" s="101"/>
      <c r="P886" s="101"/>
      <c r="Q886" s="101"/>
      <c r="R886" s="101"/>
      <c r="S886" s="101"/>
      <c r="T886" s="101"/>
      <c r="U886" s="101"/>
      <c r="V886" s="101"/>
      <c r="W886" s="101"/>
      <c r="X886" s="101"/>
      <c r="Y886" s="114"/>
      <c r="Z886" s="114"/>
      <c r="AA886" s="114"/>
      <c r="AB886" s="114"/>
      <c r="AC886" s="114"/>
      <c r="AD886" s="114"/>
      <c r="AE886" s="114"/>
      <c r="AF886" s="114"/>
      <c r="AG886" s="114"/>
      <c r="AH886" s="114"/>
      <c r="AI886" s="114"/>
      <c r="AJ886" s="114"/>
      <c r="AK886" s="114"/>
      <c r="AL886" s="114"/>
      <c r="AM886" s="114"/>
      <c r="AN886" s="114"/>
      <c r="AO886" s="114"/>
      <c r="AP886" s="114"/>
      <c r="AQ886" s="114"/>
      <c r="AR886" s="114"/>
      <c r="AS886" s="114"/>
      <c r="AT886" s="114"/>
      <c r="AU886" s="114"/>
      <c r="AV886" s="114"/>
      <c r="AW886" s="114"/>
      <c r="AX886" s="114"/>
      <c r="AY886" s="114"/>
      <c r="AZ886" s="114"/>
    </row>
    <row r="887" spans="1:52">
      <c r="A887" s="111"/>
      <c r="B887" s="111"/>
      <c r="C887" s="112"/>
      <c r="D887" s="101"/>
      <c r="E887" s="101"/>
      <c r="F887" s="101"/>
      <c r="G887" s="111"/>
      <c r="H887" s="101"/>
      <c r="I887" s="101"/>
      <c r="J887" s="101"/>
      <c r="K887" s="101"/>
      <c r="L887" s="101"/>
      <c r="M887" s="101"/>
      <c r="N887" s="101"/>
      <c r="O887" s="101"/>
      <c r="P887" s="101"/>
      <c r="Q887" s="101"/>
      <c r="R887" s="101"/>
      <c r="S887" s="101"/>
      <c r="T887" s="101"/>
      <c r="U887" s="101"/>
      <c r="V887" s="101"/>
      <c r="W887" s="101"/>
      <c r="X887" s="101"/>
      <c r="Y887" s="114"/>
      <c r="Z887" s="114"/>
      <c r="AA887" s="114"/>
      <c r="AB887" s="114"/>
      <c r="AC887" s="114"/>
      <c r="AD887" s="114"/>
      <c r="AE887" s="114"/>
      <c r="AF887" s="114"/>
      <c r="AG887" s="114"/>
      <c r="AH887" s="114"/>
      <c r="AI887" s="114"/>
      <c r="AJ887" s="114"/>
      <c r="AK887" s="114"/>
      <c r="AL887" s="114"/>
      <c r="AM887" s="114"/>
      <c r="AN887" s="114"/>
      <c r="AO887" s="114"/>
      <c r="AP887" s="114"/>
      <c r="AQ887" s="114"/>
      <c r="AR887" s="114"/>
      <c r="AS887" s="114"/>
      <c r="AT887" s="114"/>
      <c r="AU887" s="114"/>
      <c r="AV887" s="114"/>
      <c r="AW887" s="114"/>
      <c r="AX887" s="114"/>
      <c r="AY887" s="114"/>
      <c r="AZ887" s="114"/>
    </row>
    <row r="888" spans="1:52">
      <c r="A888" s="111"/>
      <c r="B888" s="111"/>
      <c r="C888" s="112"/>
      <c r="D888" s="101"/>
      <c r="E888" s="101"/>
      <c r="F888" s="101"/>
      <c r="G888" s="111"/>
      <c r="H888" s="101"/>
      <c r="I888" s="101"/>
      <c r="J888" s="101"/>
      <c r="K888" s="101"/>
      <c r="L888" s="101"/>
      <c r="M888" s="101"/>
      <c r="N888" s="101"/>
      <c r="O888" s="101"/>
      <c r="P888" s="101"/>
      <c r="Q888" s="101"/>
      <c r="R888" s="101"/>
      <c r="S888" s="101"/>
      <c r="T888" s="101"/>
      <c r="U888" s="101"/>
      <c r="V888" s="101"/>
      <c r="W888" s="101"/>
      <c r="X888" s="101"/>
      <c r="Y888" s="114"/>
      <c r="Z888" s="114"/>
      <c r="AA888" s="114"/>
      <c r="AB888" s="114"/>
      <c r="AC888" s="114"/>
      <c r="AD888" s="114"/>
      <c r="AE888" s="114"/>
      <c r="AF888" s="114"/>
      <c r="AG888" s="114"/>
      <c r="AH888" s="114"/>
      <c r="AI888" s="114"/>
      <c r="AJ888" s="114"/>
      <c r="AK888" s="114"/>
      <c r="AL888" s="114"/>
      <c r="AM888" s="114"/>
      <c r="AN888" s="114"/>
      <c r="AO888" s="114"/>
      <c r="AP888" s="114"/>
      <c r="AQ888" s="114"/>
      <c r="AR888" s="114"/>
      <c r="AS888" s="114"/>
      <c r="AT888" s="114"/>
      <c r="AU888" s="114"/>
      <c r="AV888" s="114"/>
      <c r="AW888" s="114"/>
      <c r="AX888" s="114"/>
      <c r="AY888" s="114"/>
      <c r="AZ888" s="114"/>
    </row>
    <row r="889" spans="1:52">
      <c r="A889" s="111"/>
      <c r="B889" s="111"/>
      <c r="C889" s="112"/>
      <c r="D889" s="101"/>
      <c r="E889" s="101"/>
      <c r="F889" s="101"/>
      <c r="G889" s="111"/>
      <c r="H889" s="101"/>
      <c r="I889" s="101"/>
      <c r="J889" s="101"/>
      <c r="K889" s="101"/>
      <c r="L889" s="101"/>
      <c r="M889" s="101"/>
      <c r="N889" s="101"/>
      <c r="O889" s="101"/>
      <c r="P889" s="101"/>
      <c r="Q889" s="101"/>
      <c r="R889" s="101"/>
      <c r="S889" s="101"/>
      <c r="T889" s="101"/>
      <c r="U889" s="101"/>
      <c r="V889" s="101"/>
      <c r="W889" s="101"/>
      <c r="X889" s="101"/>
      <c r="Y889" s="114"/>
      <c r="Z889" s="114"/>
      <c r="AA889" s="114"/>
      <c r="AB889" s="114"/>
      <c r="AC889" s="114"/>
      <c r="AD889" s="114"/>
      <c r="AE889" s="114"/>
      <c r="AF889" s="114"/>
      <c r="AG889" s="114"/>
      <c r="AH889" s="114"/>
      <c r="AI889" s="114"/>
      <c r="AJ889" s="114"/>
      <c r="AK889" s="114"/>
      <c r="AL889" s="114"/>
      <c r="AM889" s="114"/>
      <c r="AN889" s="114"/>
      <c r="AO889" s="114"/>
      <c r="AP889" s="114"/>
      <c r="AQ889" s="114"/>
      <c r="AR889" s="114"/>
      <c r="AS889" s="114"/>
      <c r="AT889" s="114"/>
      <c r="AU889" s="114"/>
      <c r="AV889" s="114"/>
      <c r="AW889" s="114"/>
      <c r="AX889" s="114"/>
      <c r="AY889" s="114"/>
      <c r="AZ889" s="114"/>
    </row>
    <row r="890" spans="1:52">
      <c r="A890" s="111"/>
      <c r="B890" s="111"/>
      <c r="C890" s="112"/>
      <c r="D890" s="101"/>
      <c r="E890" s="101"/>
      <c r="F890" s="101"/>
      <c r="G890" s="111"/>
      <c r="H890" s="101"/>
      <c r="I890" s="101"/>
      <c r="J890" s="101"/>
      <c r="K890" s="101"/>
      <c r="L890" s="101"/>
      <c r="M890" s="101"/>
      <c r="N890" s="101"/>
      <c r="O890" s="101"/>
      <c r="P890" s="101"/>
      <c r="Q890" s="101"/>
      <c r="R890" s="101"/>
      <c r="S890" s="101"/>
      <c r="T890" s="101"/>
      <c r="U890" s="101"/>
      <c r="V890" s="101"/>
      <c r="W890" s="101"/>
      <c r="X890" s="101"/>
      <c r="Y890" s="114"/>
      <c r="Z890" s="114"/>
      <c r="AA890" s="114"/>
      <c r="AB890" s="114"/>
      <c r="AC890" s="114"/>
      <c r="AD890" s="114"/>
      <c r="AE890" s="114"/>
      <c r="AF890" s="114"/>
      <c r="AG890" s="114"/>
      <c r="AH890" s="114"/>
      <c r="AI890" s="114"/>
      <c r="AJ890" s="114"/>
      <c r="AK890" s="114"/>
      <c r="AL890" s="114"/>
      <c r="AM890" s="114"/>
      <c r="AN890" s="114"/>
      <c r="AO890" s="114"/>
      <c r="AP890" s="114"/>
      <c r="AQ890" s="114"/>
      <c r="AR890" s="114"/>
      <c r="AS890" s="114"/>
      <c r="AT890" s="114"/>
      <c r="AU890" s="114"/>
      <c r="AV890" s="114"/>
      <c r="AW890" s="114"/>
      <c r="AX890" s="114"/>
      <c r="AY890" s="114"/>
      <c r="AZ890" s="114"/>
    </row>
    <row r="891" spans="1:52">
      <c r="A891" s="111"/>
      <c r="B891" s="111"/>
      <c r="C891" s="112"/>
      <c r="D891" s="101"/>
      <c r="E891" s="101"/>
      <c r="F891" s="101"/>
      <c r="G891" s="111"/>
      <c r="H891" s="101"/>
      <c r="I891" s="101"/>
      <c r="J891" s="101"/>
      <c r="K891" s="101"/>
      <c r="L891" s="101"/>
      <c r="M891" s="101"/>
      <c r="N891" s="101"/>
      <c r="O891" s="101"/>
      <c r="P891" s="101"/>
      <c r="Q891" s="101"/>
      <c r="R891" s="101"/>
      <c r="S891" s="101"/>
      <c r="T891" s="101"/>
      <c r="U891" s="101"/>
      <c r="V891" s="101"/>
      <c r="W891" s="101"/>
      <c r="X891" s="101"/>
      <c r="Y891" s="114"/>
      <c r="Z891" s="114"/>
      <c r="AA891" s="114"/>
      <c r="AB891" s="114"/>
      <c r="AC891" s="114"/>
      <c r="AD891" s="114"/>
      <c r="AE891" s="114"/>
      <c r="AF891" s="114"/>
      <c r="AG891" s="114"/>
      <c r="AH891" s="114"/>
      <c r="AI891" s="114"/>
      <c r="AJ891" s="114"/>
      <c r="AK891" s="114"/>
      <c r="AL891" s="114"/>
      <c r="AM891" s="114"/>
      <c r="AN891" s="114"/>
      <c r="AO891" s="114"/>
      <c r="AP891" s="114"/>
      <c r="AQ891" s="114"/>
      <c r="AR891" s="114"/>
      <c r="AS891" s="114"/>
      <c r="AT891" s="114"/>
      <c r="AU891" s="114"/>
      <c r="AV891" s="114"/>
      <c r="AW891" s="114"/>
      <c r="AX891" s="114"/>
      <c r="AY891" s="114"/>
      <c r="AZ891" s="114"/>
    </row>
    <row r="892" spans="1:52">
      <c r="A892" s="111"/>
      <c r="B892" s="111"/>
      <c r="C892" s="112"/>
      <c r="D892" s="101"/>
      <c r="E892" s="101"/>
      <c r="F892" s="101"/>
      <c r="G892" s="111"/>
      <c r="H892" s="101"/>
      <c r="I892" s="101"/>
      <c r="J892" s="101"/>
      <c r="K892" s="101"/>
      <c r="L892" s="101"/>
      <c r="M892" s="101"/>
      <c r="N892" s="101"/>
      <c r="O892" s="101"/>
      <c r="P892" s="101"/>
      <c r="Q892" s="101"/>
      <c r="R892" s="101"/>
      <c r="S892" s="101"/>
      <c r="T892" s="101"/>
      <c r="U892" s="101"/>
      <c r="V892" s="101"/>
      <c r="W892" s="101"/>
      <c r="X892" s="101"/>
      <c r="Y892" s="114"/>
      <c r="Z892" s="114"/>
      <c r="AA892" s="114"/>
      <c r="AB892" s="114"/>
      <c r="AC892" s="114"/>
      <c r="AD892" s="114"/>
      <c r="AE892" s="114"/>
      <c r="AF892" s="114"/>
      <c r="AG892" s="114"/>
      <c r="AH892" s="114"/>
      <c r="AI892" s="114"/>
      <c r="AJ892" s="114"/>
      <c r="AK892" s="114"/>
      <c r="AL892" s="114"/>
      <c r="AM892" s="114"/>
      <c r="AN892" s="114"/>
      <c r="AO892" s="114"/>
      <c r="AP892" s="114"/>
      <c r="AQ892" s="114"/>
      <c r="AR892" s="114"/>
      <c r="AS892" s="114"/>
      <c r="AT892" s="114"/>
      <c r="AU892" s="114"/>
      <c r="AV892" s="114"/>
      <c r="AW892" s="114"/>
      <c r="AX892" s="114"/>
      <c r="AY892" s="114"/>
      <c r="AZ892" s="114"/>
    </row>
    <row r="893" spans="1:52">
      <c r="A893" s="111"/>
      <c r="B893" s="111"/>
      <c r="C893" s="112"/>
      <c r="D893" s="101"/>
      <c r="E893" s="101"/>
      <c r="F893" s="101"/>
      <c r="G893" s="111"/>
      <c r="H893" s="101"/>
      <c r="I893" s="101"/>
      <c r="J893" s="101"/>
      <c r="K893" s="101"/>
      <c r="L893" s="101"/>
      <c r="M893" s="101"/>
      <c r="N893" s="101"/>
      <c r="O893" s="101"/>
      <c r="P893" s="101"/>
      <c r="Q893" s="101"/>
      <c r="R893" s="101"/>
      <c r="S893" s="101"/>
      <c r="T893" s="101"/>
      <c r="U893" s="101"/>
      <c r="V893" s="101"/>
      <c r="W893" s="101"/>
      <c r="X893" s="101"/>
      <c r="Y893" s="114"/>
      <c r="Z893" s="114"/>
      <c r="AA893" s="114"/>
      <c r="AB893" s="114"/>
      <c r="AC893" s="114"/>
      <c r="AD893" s="114"/>
      <c r="AE893" s="114"/>
      <c r="AF893" s="114"/>
      <c r="AG893" s="114"/>
      <c r="AH893" s="114"/>
      <c r="AI893" s="114"/>
      <c r="AJ893" s="114"/>
      <c r="AK893" s="114"/>
      <c r="AL893" s="114"/>
      <c r="AM893" s="114"/>
      <c r="AN893" s="114"/>
      <c r="AO893" s="114"/>
      <c r="AP893" s="114"/>
      <c r="AQ893" s="114"/>
      <c r="AR893" s="114"/>
      <c r="AS893" s="114"/>
      <c r="AT893" s="114"/>
      <c r="AU893" s="114"/>
      <c r="AV893" s="114"/>
      <c r="AW893" s="114"/>
      <c r="AX893" s="114"/>
      <c r="AY893" s="114"/>
      <c r="AZ893" s="114"/>
    </row>
    <row r="894" spans="1:52">
      <c r="A894" s="111"/>
      <c r="B894" s="111"/>
      <c r="C894" s="112"/>
      <c r="D894" s="101"/>
      <c r="E894" s="101"/>
      <c r="F894" s="101"/>
      <c r="G894" s="111"/>
      <c r="H894" s="101"/>
      <c r="I894" s="101"/>
      <c r="J894" s="101"/>
      <c r="K894" s="101"/>
      <c r="L894" s="101"/>
      <c r="M894" s="101"/>
      <c r="N894" s="101"/>
      <c r="O894" s="101"/>
      <c r="P894" s="101"/>
      <c r="Q894" s="101"/>
      <c r="R894" s="101"/>
      <c r="S894" s="101"/>
      <c r="T894" s="101"/>
      <c r="U894" s="101"/>
      <c r="V894" s="101"/>
      <c r="W894" s="101"/>
      <c r="X894" s="101"/>
      <c r="Y894" s="114"/>
      <c r="Z894" s="114"/>
      <c r="AA894" s="114"/>
      <c r="AB894" s="114"/>
      <c r="AC894" s="114"/>
      <c r="AD894" s="114"/>
      <c r="AE894" s="114"/>
      <c r="AF894" s="114"/>
      <c r="AG894" s="114"/>
      <c r="AH894" s="114"/>
      <c r="AI894" s="114"/>
      <c r="AJ894" s="114"/>
      <c r="AK894" s="114"/>
      <c r="AL894" s="114"/>
      <c r="AM894" s="114"/>
      <c r="AN894" s="114"/>
      <c r="AO894" s="114"/>
      <c r="AP894" s="114"/>
      <c r="AQ894" s="114"/>
      <c r="AR894" s="114"/>
      <c r="AS894" s="114"/>
      <c r="AT894" s="114"/>
      <c r="AU894" s="114"/>
      <c r="AV894" s="114"/>
      <c r="AW894" s="114"/>
      <c r="AX894" s="114"/>
      <c r="AY894" s="114"/>
      <c r="AZ894" s="114"/>
    </row>
    <row r="895" spans="1:52">
      <c r="A895" s="111"/>
      <c r="B895" s="111"/>
      <c r="C895" s="112"/>
      <c r="D895" s="101"/>
      <c r="E895" s="101"/>
      <c r="F895" s="101"/>
      <c r="G895" s="111"/>
      <c r="H895" s="101"/>
      <c r="I895" s="101"/>
      <c r="J895" s="101"/>
      <c r="K895" s="101"/>
      <c r="L895" s="101"/>
      <c r="M895" s="101"/>
      <c r="N895" s="101"/>
      <c r="O895" s="101"/>
      <c r="P895" s="101"/>
      <c r="Q895" s="101"/>
      <c r="R895" s="101"/>
      <c r="S895" s="101"/>
      <c r="T895" s="101"/>
      <c r="U895" s="101"/>
      <c r="V895" s="101"/>
      <c r="W895" s="101"/>
      <c r="X895" s="101"/>
      <c r="Y895" s="114"/>
      <c r="Z895" s="114"/>
      <c r="AA895" s="114"/>
      <c r="AB895" s="114"/>
      <c r="AC895" s="114"/>
      <c r="AD895" s="114"/>
      <c r="AE895" s="114"/>
      <c r="AF895" s="114"/>
      <c r="AG895" s="114"/>
      <c r="AH895" s="114"/>
      <c r="AI895" s="114"/>
      <c r="AJ895" s="114"/>
      <c r="AK895" s="114"/>
      <c r="AL895" s="114"/>
      <c r="AM895" s="114"/>
      <c r="AN895" s="114"/>
      <c r="AO895" s="114"/>
      <c r="AP895" s="114"/>
      <c r="AQ895" s="114"/>
      <c r="AR895" s="114"/>
      <c r="AS895" s="114"/>
      <c r="AT895" s="114"/>
      <c r="AU895" s="114"/>
      <c r="AV895" s="114"/>
      <c r="AW895" s="114"/>
      <c r="AX895" s="114"/>
      <c r="AY895" s="114"/>
      <c r="AZ895" s="114"/>
    </row>
    <row r="896" spans="1:52">
      <c r="A896" s="111"/>
      <c r="B896" s="111"/>
      <c r="C896" s="112"/>
      <c r="D896" s="101"/>
      <c r="E896" s="101"/>
      <c r="F896" s="101"/>
      <c r="G896" s="111"/>
      <c r="H896" s="101"/>
      <c r="I896" s="101"/>
      <c r="J896" s="101"/>
      <c r="K896" s="101"/>
      <c r="L896" s="101"/>
      <c r="M896" s="101"/>
      <c r="N896" s="101"/>
      <c r="O896" s="101"/>
      <c r="P896" s="101"/>
      <c r="Q896" s="101"/>
      <c r="R896" s="101"/>
      <c r="S896" s="101"/>
      <c r="T896" s="101"/>
      <c r="U896" s="101"/>
      <c r="V896" s="101"/>
      <c r="W896" s="101"/>
      <c r="X896" s="101"/>
      <c r="Y896" s="114"/>
      <c r="Z896" s="114"/>
      <c r="AA896" s="114"/>
      <c r="AB896" s="114"/>
      <c r="AC896" s="114"/>
      <c r="AD896" s="114"/>
      <c r="AE896" s="114"/>
      <c r="AF896" s="114"/>
      <c r="AG896" s="114"/>
      <c r="AH896" s="114"/>
      <c r="AI896" s="114"/>
      <c r="AJ896" s="114"/>
      <c r="AK896" s="114"/>
      <c r="AL896" s="114"/>
      <c r="AM896" s="114"/>
      <c r="AN896" s="114"/>
      <c r="AO896" s="114"/>
      <c r="AP896" s="114"/>
      <c r="AQ896" s="114"/>
      <c r="AR896" s="114"/>
      <c r="AS896" s="114"/>
      <c r="AT896" s="114"/>
      <c r="AU896" s="114"/>
      <c r="AV896" s="114"/>
      <c r="AW896" s="114"/>
      <c r="AX896" s="114"/>
      <c r="AY896" s="114"/>
      <c r="AZ896" s="114"/>
    </row>
    <row r="897" spans="1:52">
      <c r="A897" s="111"/>
      <c r="B897" s="111"/>
      <c r="C897" s="112"/>
      <c r="D897" s="101"/>
      <c r="E897" s="101"/>
      <c r="F897" s="101"/>
      <c r="G897" s="111"/>
      <c r="H897" s="101"/>
      <c r="I897" s="101"/>
      <c r="J897" s="101"/>
      <c r="K897" s="101"/>
      <c r="L897" s="101"/>
      <c r="M897" s="101"/>
      <c r="N897" s="101"/>
      <c r="O897" s="101"/>
      <c r="P897" s="101"/>
      <c r="Q897" s="101"/>
      <c r="R897" s="101"/>
      <c r="S897" s="101"/>
      <c r="T897" s="101"/>
      <c r="U897" s="101"/>
      <c r="V897" s="101"/>
      <c r="W897" s="101"/>
      <c r="X897" s="101"/>
      <c r="Y897" s="114"/>
      <c r="Z897" s="114"/>
      <c r="AA897" s="114"/>
      <c r="AB897" s="114"/>
      <c r="AC897" s="114"/>
      <c r="AD897" s="114"/>
      <c r="AE897" s="114"/>
      <c r="AF897" s="114"/>
      <c r="AG897" s="114"/>
      <c r="AH897" s="114"/>
      <c r="AI897" s="114"/>
      <c r="AJ897" s="114"/>
      <c r="AK897" s="114"/>
      <c r="AL897" s="114"/>
      <c r="AM897" s="114"/>
      <c r="AN897" s="114"/>
      <c r="AO897" s="114"/>
      <c r="AP897" s="114"/>
      <c r="AQ897" s="114"/>
      <c r="AR897" s="114"/>
      <c r="AS897" s="114"/>
      <c r="AT897" s="114"/>
      <c r="AU897" s="114"/>
      <c r="AV897" s="114"/>
      <c r="AW897" s="114"/>
      <c r="AX897" s="114"/>
      <c r="AY897" s="114"/>
      <c r="AZ897" s="114"/>
    </row>
    <row r="898" spans="1:52">
      <c r="A898" s="111"/>
      <c r="B898" s="111"/>
      <c r="C898" s="112"/>
      <c r="D898" s="101"/>
      <c r="E898" s="101"/>
      <c r="F898" s="101"/>
      <c r="G898" s="111"/>
      <c r="H898" s="101"/>
      <c r="I898" s="101"/>
      <c r="J898" s="101"/>
      <c r="K898" s="101"/>
      <c r="L898" s="101"/>
      <c r="M898" s="101"/>
      <c r="N898" s="101"/>
      <c r="O898" s="101"/>
      <c r="P898" s="101"/>
      <c r="Q898" s="101"/>
      <c r="R898" s="101"/>
      <c r="S898" s="101"/>
      <c r="T898" s="101"/>
      <c r="U898" s="101"/>
      <c r="V898" s="101"/>
      <c r="W898" s="101"/>
      <c r="X898" s="101"/>
      <c r="Y898" s="114"/>
      <c r="Z898" s="114"/>
      <c r="AA898" s="114"/>
      <c r="AB898" s="114"/>
      <c r="AC898" s="114"/>
      <c r="AD898" s="114"/>
      <c r="AE898" s="114"/>
      <c r="AF898" s="114"/>
      <c r="AG898" s="114"/>
      <c r="AH898" s="114"/>
      <c r="AI898" s="114"/>
      <c r="AJ898" s="114"/>
      <c r="AK898" s="114"/>
      <c r="AL898" s="114"/>
      <c r="AM898" s="114"/>
      <c r="AN898" s="114"/>
      <c r="AO898" s="114"/>
      <c r="AP898" s="114"/>
      <c r="AQ898" s="114"/>
      <c r="AR898" s="114"/>
      <c r="AS898" s="114"/>
      <c r="AT898" s="114"/>
      <c r="AU898" s="114"/>
      <c r="AV898" s="114"/>
      <c r="AW898" s="114"/>
      <c r="AX898" s="114"/>
      <c r="AY898" s="114"/>
      <c r="AZ898" s="114"/>
    </row>
    <row r="899" spans="1:52">
      <c r="A899" s="111"/>
      <c r="B899" s="111"/>
      <c r="C899" s="112"/>
      <c r="D899" s="101"/>
      <c r="E899" s="101"/>
      <c r="F899" s="101"/>
      <c r="G899" s="111"/>
      <c r="H899" s="101"/>
      <c r="I899" s="101"/>
      <c r="J899" s="101"/>
      <c r="K899" s="101"/>
      <c r="L899" s="101"/>
      <c r="M899" s="101"/>
      <c r="N899" s="101"/>
      <c r="O899" s="101"/>
      <c r="P899" s="101"/>
      <c r="Q899" s="101"/>
      <c r="R899" s="101"/>
      <c r="S899" s="101"/>
      <c r="T899" s="101"/>
      <c r="U899" s="101"/>
      <c r="V899" s="101"/>
      <c r="W899" s="101"/>
      <c r="X899" s="101"/>
      <c r="Y899" s="114"/>
      <c r="Z899" s="114"/>
      <c r="AA899" s="114"/>
      <c r="AB899" s="114"/>
      <c r="AC899" s="114"/>
      <c r="AD899" s="114"/>
      <c r="AE899" s="114"/>
      <c r="AF899" s="114"/>
      <c r="AG899" s="114"/>
      <c r="AH899" s="114"/>
      <c r="AI899" s="114"/>
      <c r="AJ899" s="114"/>
      <c r="AK899" s="114"/>
      <c r="AL899" s="114"/>
      <c r="AM899" s="114"/>
      <c r="AN899" s="114"/>
      <c r="AO899" s="114"/>
      <c r="AP899" s="114"/>
      <c r="AQ899" s="114"/>
      <c r="AR899" s="114"/>
      <c r="AS899" s="114"/>
      <c r="AT899" s="114"/>
      <c r="AU899" s="114"/>
      <c r="AV899" s="114"/>
      <c r="AW899" s="114"/>
      <c r="AX899" s="114"/>
      <c r="AY899" s="114"/>
      <c r="AZ899" s="114"/>
    </row>
    <row r="900" spans="1:52">
      <c r="A900" s="111"/>
      <c r="B900" s="111"/>
      <c r="C900" s="112"/>
      <c r="D900" s="101"/>
      <c r="E900" s="101"/>
      <c r="F900" s="101"/>
      <c r="G900" s="111"/>
      <c r="H900" s="101"/>
      <c r="I900" s="101"/>
      <c r="J900" s="101"/>
      <c r="K900" s="101"/>
      <c r="L900" s="101"/>
      <c r="M900" s="101"/>
      <c r="N900" s="101"/>
      <c r="O900" s="101"/>
      <c r="P900" s="101"/>
      <c r="Q900" s="101"/>
      <c r="R900" s="101"/>
      <c r="S900" s="101"/>
      <c r="T900" s="101"/>
      <c r="U900" s="101"/>
      <c r="V900" s="101"/>
      <c r="W900" s="101"/>
      <c r="X900" s="101"/>
      <c r="Y900" s="114"/>
      <c r="Z900" s="114"/>
      <c r="AA900" s="114"/>
      <c r="AB900" s="114"/>
      <c r="AC900" s="114"/>
      <c r="AD900" s="114"/>
      <c r="AE900" s="114"/>
      <c r="AF900" s="114"/>
      <c r="AG900" s="114"/>
      <c r="AH900" s="114"/>
      <c r="AI900" s="114"/>
      <c r="AJ900" s="114"/>
      <c r="AK900" s="114"/>
      <c r="AL900" s="114"/>
      <c r="AM900" s="114"/>
      <c r="AN900" s="114"/>
      <c r="AO900" s="114"/>
      <c r="AP900" s="114"/>
      <c r="AQ900" s="114"/>
      <c r="AR900" s="114"/>
      <c r="AS900" s="114"/>
      <c r="AT900" s="114"/>
      <c r="AU900" s="114"/>
      <c r="AV900" s="114"/>
      <c r="AW900" s="114"/>
      <c r="AX900" s="114"/>
      <c r="AY900" s="114"/>
      <c r="AZ900" s="114"/>
    </row>
    <row r="901" spans="1:52">
      <c r="A901" s="111"/>
      <c r="B901" s="111"/>
      <c r="C901" s="112"/>
      <c r="D901" s="101"/>
      <c r="E901" s="101"/>
      <c r="F901" s="101"/>
      <c r="G901" s="111"/>
      <c r="H901" s="101"/>
      <c r="I901" s="101"/>
      <c r="J901" s="101"/>
      <c r="K901" s="101"/>
      <c r="L901" s="101"/>
      <c r="M901" s="101"/>
      <c r="N901" s="101"/>
      <c r="O901" s="101"/>
      <c r="P901" s="101"/>
      <c r="Q901" s="101"/>
      <c r="R901" s="101"/>
      <c r="S901" s="101"/>
      <c r="T901" s="101"/>
      <c r="U901" s="101"/>
      <c r="V901" s="101"/>
      <c r="W901" s="101"/>
      <c r="X901" s="101"/>
      <c r="Y901" s="114"/>
      <c r="Z901" s="114"/>
      <c r="AA901" s="114"/>
      <c r="AB901" s="114"/>
      <c r="AC901" s="114"/>
      <c r="AD901" s="114"/>
      <c r="AE901" s="114"/>
      <c r="AF901" s="114"/>
      <c r="AG901" s="114"/>
      <c r="AH901" s="114"/>
      <c r="AI901" s="114"/>
      <c r="AJ901" s="114"/>
      <c r="AK901" s="114"/>
      <c r="AL901" s="114"/>
      <c r="AM901" s="114"/>
      <c r="AN901" s="114"/>
      <c r="AO901" s="114"/>
      <c r="AP901" s="114"/>
      <c r="AQ901" s="114"/>
      <c r="AR901" s="114"/>
      <c r="AS901" s="114"/>
      <c r="AT901" s="114"/>
      <c r="AU901" s="114"/>
      <c r="AV901" s="114"/>
      <c r="AW901" s="114"/>
      <c r="AX901" s="114"/>
      <c r="AY901" s="114"/>
      <c r="AZ901" s="114"/>
    </row>
    <row r="902" spans="1:52">
      <c r="A902" s="111"/>
      <c r="B902" s="111"/>
      <c r="C902" s="112"/>
      <c r="D902" s="101"/>
      <c r="E902" s="101"/>
      <c r="F902" s="101"/>
      <c r="G902" s="111"/>
      <c r="H902" s="101"/>
      <c r="I902" s="101"/>
      <c r="J902" s="101"/>
      <c r="K902" s="101"/>
      <c r="L902" s="101"/>
      <c r="M902" s="101"/>
      <c r="N902" s="101"/>
      <c r="O902" s="101"/>
      <c r="P902" s="101"/>
      <c r="Q902" s="101"/>
      <c r="R902" s="101"/>
      <c r="S902" s="101"/>
      <c r="T902" s="101"/>
      <c r="U902" s="101"/>
      <c r="V902" s="101"/>
      <c r="W902" s="101"/>
      <c r="X902" s="101"/>
      <c r="Y902" s="114"/>
      <c r="Z902" s="114"/>
      <c r="AA902" s="114"/>
      <c r="AB902" s="114"/>
      <c r="AC902" s="114"/>
      <c r="AD902" s="114"/>
      <c r="AE902" s="114"/>
      <c r="AF902" s="114"/>
      <c r="AG902" s="114"/>
      <c r="AH902" s="114"/>
      <c r="AI902" s="114"/>
      <c r="AJ902" s="114"/>
      <c r="AK902" s="114"/>
      <c r="AL902" s="114"/>
      <c r="AM902" s="114"/>
      <c r="AN902" s="114"/>
      <c r="AO902" s="114"/>
      <c r="AP902" s="114"/>
      <c r="AQ902" s="114"/>
      <c r="AR902" s="114"/>
      <c r="AS902" s="114"/>
      <c r="AT902" s="114"/>
      <c r="AU902" s="114"/>
      <c r="AV902" s="114"/>
      <c r="AW902" s="114"/>
      <c r="AX902" s="114"/>
      <c r="AY902" s="114"/>
      <c r="AZ902" s="114"/>
    </row>
    <row r="903" spans="1:52">
      <c r="A903" s="111"/>
      <c r="B903" s="111"/>
      <c r="C903" s="112"/>
      <c r="D903" s="101"/>
      <c r="E903" s="101"/>
      <c r="F903" s="101"/>
      <c r="G903" s="111"/>
      <c r="H903" s="101"/>
      <c r="I903" s="101"/>
      <c r="J903" s="101"/>
      <c r="K903" s="101"/>
      <c r="L903" s="101"/>
      <c r="M903" s="101"/>
      <c r="N903" s="101"/>
      <c r="O903" s="101"/>
      <c r="P903" s="101"/>
      <c r="Q903" s="101"/>
      <c r="R903" s="101"/>
      <c r="S903" s="101"/>
      <c r="T903" s="101"/>
      <c r="U903" s="101"/>
      <c r="V903" s="101"/>
      <c r="W903" s="101"/>
      <c r="X903" s="101"/>
      <c r="Y903" s="114"/>
      <c r="Z903" s="114"/>
      <c r="AA903" s="114"/>
      <c r="AB903" s="114"/>
      <c r="AC903" s="114"/>
      <c r="AD903" s="114"/>
      <c r="AE903" s="114"/>
      <c r="AF903" s="114"/>
      <c r="AG903" s="114"/>
      <c r="AH903" s="114"/>
      <c r="AI903" s="114"/>
      <c r="AJ903" s="114"/>
      <c r="AK903" s="114"/>
      <c r="AL903" s="114"/>
      <c r="AM903" s="114"/>
      <c r="AN903" s="114"/>
      <c r="AO903" s="114"/>
      <c r="AP903" s="114"/>
      <c r="AQ903" s="114"/>
      <c r="AR903" s="114"/>
      <c r="AS903" s="114"/>
      <c r="AT903" s="114"/>
      <c r="AU903" s="114"/>
      <c r="AV903" s="114"/>
      <c r="AW903" s="114"/>
      <c r="AX903" s="114"/>
      <c r="AY903" s="114"/>
      <c r="AZ903" s="114"/>
    </row>
    <row r="904" spans="1:52">
      <c r="A904" s="111"/>
      <c r="B904" s="111"/>
      <c r="C904" s="112"/>
      <c r="D904" s="101"/>
      <c r="E904" s="101"/>
      <c r="F904" s="101"/>
      <c r="G904" s="111"/>
      <c r="H904" s="101"/>
      <c r="I904" s="101"/>
      <c r="J904" s="101"/>
      <c r="K904" s="101"/>
      <c r="L904" s="101"/>
      <c r="M904" s="101"/>
      <c r="N904" s="101"/>
      <c r="O904" s="101"/>
      <c r="P904" s="101"/>
      <c r="Q904" s="101"/>
      <c r="R904" s="101"/>
      <c r="S904" s="101"/>
      <c r="T904" s="101"/>
      <c r="U904" s="101"/>
      <c r="V904" s="101"/>
      <c r="W904" s="101"/>
      <c r="X904" s="101"/>
      <c r="Y904" s="114"/>
      <c r="Z904" s="114"/>
      <c r="AA904" s="114"/>
      <c r="AB904" s="114"/>
      <c r="AC904" s="114"/>
      <c r="AD904" s="114"/>
      <c r="AE904" s="114"/>
      <c r="AF904" s="114"/>
      <c r="AG904" s="114"/>
      <c r="AH904" s="114"/>
      <c r="AI904" s="114"/>
      <c r="AJ904" s="114"/>
      <c r="AK904" s="114"/>
      <c r="AL904" s="114"/>
      <c r="AM904" s="114"/>
      <c r="AN904" s="114"/>
      <c r="AO904" s="114"/>
      <c r="AP904" s="114"/>
      <c r="AQ904" s="114"/>
      <c r="AR904" s="114"/>
      <c r="AS904" s="114"/>
      <c r="AT904" s="114"/>
      <c r="AU904" s="114"/>
      <c r="AV904" s="114"/>
      <c r="AW904" s="114"/>
      <c r="AX904" s="114"/>
      <c r="AY904" s="114"/>
      <c r="AZ904" s="114"/>
    </row>
    <row r="905" spans="1:52">
      <c r="A905" s="111"/>
      <c r="B905" s="111"/>
      <c r="C905" s="112"/>
      <c r="D905" s="101"/>
      <c r="E905" s="101"/>
      <c r="F905" s="101"/>
      <c r="G905" s="111"/>
      <c r="H905" s="101"/>
      <c r="I905" s="101"/>
      <c r="J905" s="101"/>
      <c r="K905" s="101"/>
      <c r="L905" s="101"/>
      <c r="M905" s="101"/>
      <c r="N905" s="101"/>
      <c r="O905" s="101"/>
      <c r="P905" s="101"/>
      <c r="Q905" s="101"/>
      <c r="R905" s="101"/>
      <c r="S905" s="101"/>
      <c r="T905" s="101"/>
      <c r="U905" s="101"/>
      <c r="V905" s="101"/>
      <c r="W905" s="101"/>
      <c r="X905" s="101"/>
      <c r="Y905" s="114"/>
      <c r="Z905" s="114"/>
      <c r="AA905" s="114"/>
      <c r="AB905" s="114"/>
      <c r="AC905" s="114"/>
      <c r="AD905" s="114"/>
      <c r="AE905" s="114"/>
      <c r="AF905" s="114"/>
      <c r="AG905" s="114"/>
      <c r="AH905" s="114"/>
      <c r="AI905" s="114"/>
      <c r="AJ905" s="114"/>
      <c r="AK905" s="114"/>
      <c r="AL905" s="114"/>
      <c r="AM905" s="114"/>
      <c r="AN905" s="114"/>
      <c r="AO905" s="114"/>
      <c r="AP905" s="114"/>
      <c r="AQ905" s="114"/>
      <c r="AR905" s="114"/>
      <c r="AS905" s="114"/>
      <c r="AT905" s="114"/>
      <c r="AU905" s="114"/>
      <c r="AV905" s="114"/>
      <c r="AW905" s="114"/>
      <c r="AX905" s="114"/>
      <c r="AY905" s="114"/>
      <c r="AZ905" s="114"/>
    </row>
    <row r="906" spans="1:52">
      <c r="A906" s="111"/>
      <c r="B906" s="111"/>
      <c r="C906" s="112"/>
      <c r="D906" s="101"/>
      <c r="E906" s="101"/>
      <c r="F906" s="101"/>
      <c r="G906" s="111"/>
      <c r="H906" s="101"/>
      <c r="I906" s="101"/>
      <c r="J906" s="101"/>
      <c r="K906" s="101"/>
      <c r="L906" s="101"/>
      <c r="M906" s="101"/>
      <c r="N906" s="101"/>
      <c r="O906" s="101"/>
      <c r="P906" s="101"/>
      <c r="Q906" s="101"/>
      <c r="R906" s="101"/>
      <c r="S906" s="101"/>
      <c r="T906" s="101"/>
      <c r="U906" s="101"/>
      <c r="V906" s="101"/>
      <c r="W906" s="101"/>
      <c r="X906" s="101"/>
      <c r="Y906" s="114"/>
      <c r="Z906" s="114"/>
      <c r="AA906" s="114"/>
      <c r="AB906" s="114"/>
      <c r="AC906" s="114"/>
      <c r="AD906" s="114"/>
      <c r="AE906" s="114"/>
      <c r="AF906" s="114"/>
      <c r="AG906" s="114"/>
      <c r="AH906" s="114"/>
      <c r="AI906" s="114"/>
      <c r="AJ906" s="114"/>
      <c r="AK906" s="114"/>
      <c r="AL906" s="114"/>
      <c r="AM906" s="114"/>
      <c r="AN906" s="114"/>
      <c r="AO906" s="114"/>
      <c r="AP906" s="114"/>
      <c r="AQ906" s="114"/>
      <c r="AR906" s="114"/>
      <c r="AS906" s="114"/>
      <c r="AT906" s="114"/>
      <c r="AU906" s="114"/>
      <c r="AV906" s="114"/>
      <c r="AW906" s="114"/>
      <c r="AX906" s="114"/>
      <c r="AY906" s="114"/>
      <c r="AZ906" s="114"/>
    </row>
    <row r="907" spans="1:52">
      <c r="A907" s="111"/>
      <c r="B907" s="111"/>
      <c r="C907" s="112"/>
      <c r="D907" s="101"/>
      <c r="E907" s="101"/>
      <c r="F907" s="101"/>
      <c r="G907" s="111"/>
      <c r="H907" s="101"/>
      <c r="I907" s="101"/>
      <c r="J907" s="101"/>
      <c r="K907" s="101"/>
      <c r="L907" s="101"/>
      <c r="M907" s="101"/>
      <c r="N907" s="101"/>
      <c r="O907" s="101"/>
      <c r="P907" s="101"/>
      <c r="Q907" s="101"/>
      <c r="R907" s="101"/>
      <c r="S907" s="101"/>
      <c r="T907" s="101"/>
      <c r="U907" s="101"/>
      <c r="V907" s="101"/>
      <c r="W907" s="101"/>
      <c r="X907" s="101"/>
      <c r="Y907" s="114"/>
      <c r="Z907" s="114"/>
      <c r="AA907" s="114"/>
      <c r="AB907" s="114"/>
      <c r="AC907" s="114"/>
      <c r="AD907" s="114"/>
      <c r="AE907" s="114"/>
      <c r="AF907" s="114"/>
      <c r="AG907" s="114"/>
      <c r="AH907" s="114"/>
      <c r="AI907" s="114"/>
      <c r="AJ907" s="114"/>
      <c r="AK907" s="114"/>
      <c r="AL907" s="114"/>
      <c r="AM907" s="114"/>
      <c r="AN907" s="114"/>
      <c r="AO907" s="114"/>
      <c r="AP907" s="114"/>
      <c r="AQ907" s="114"/>
      <c r="AR907" s="114"/>
      <c r="AS907" s="114"/>
      <c r="AT907" s="114"/>
      <c r="AU907" s="114"/>
      <c r="AV907" s="114"/>
      <c r="AW907" s="114"/>
      <c r="AX907" s="114"/>
      <c r="AY907" s="114"/>
      <c r="AZ907" s="114"/>
    </row>
    <row r="908" spans="1:52">
      <c r="A908" s="111"/>
      <c r="B908" s="111"/>
      <c r="C908" s="112"/>
      <c r="D908" s="101"/>
      <c r="E908" s="101"/>
      <c r="F908" s="101"/>
      <c r="G908" s="111"/>
      <c r="H908" s="101"/>
      <c r="I908" s="101"/>
      <c r="J908" s="101"/>
      <c r="K908" s="101"/>
      <c r="L908" s="101"/>
      <c r="M908" s="101"/>
      <c r="N908" s="101"/>
      <c r="O908" s="101"/>
      <c r="P908" s="101"/>
      <c r="Q908" s="101"/>
      <c r="R908" s="101"/>
      <c r="S908" s="101"/>
      <c r="T908" s="101"/>
      <c r="U908" s="101"/>
      <c r="V908" s="101"/>
      <c r="W908" s="101"/>
      <c r="X908" s="101"/>
      <c r="Y908" s="114"/>
      <c r="Z908" s="114"/>
      <c r="AA908" s="114"/>
      <c r="AB908" s="114"/>
      <c r="AC908" s="114"/>
      <c r="AD908" s="114"/>
      <c r="AE908" s="114"/>
      <c r="AF908" s="114"/>
      <c r="AG908" s="114"/>
      <c r="AH908" s="114"/>
      <c r="AI908" s="114"/>
      <c r="AJ908" s="114"/>
      <c r="AK908" s="114"/>
      <c r="AL908" s="114"/>
      <c r="AM908" s="114"/>
      <c r="AN908" s="114"/>
      <c r="AO908" s="114"/>
      <c r="AP908" s="114"/>
      <c r="AQ908" s="114"/>
      <c r="AR908" s="114"/>
      <c r="AS908" s="114"/>
      <c r="AT908" s="114"/>
      <c r="AU908" s="114"/>
      <c r="AV908" s="114"/>
      <c r="AW908" s="114"/>
      <c r="AX908" s="114"/>
      <c r="AY908" s="114"/>
      <c r="AZ908" s="114"/>
    </row>
    <row r="909" spans="1:52">
      <c r="A909" s="111"/>
      <c r="B909" s="111"/>
      <c r="C909" s="112"/>
      <c r="D909" s="101"/>
      <c r="E909" s="101"/>
      <c r="F909" s="101"/>
      <c r="G909" s="111"/>
      <c r="H909" s="101"/>
      <c r="I909" s="101"/>
      <c r="J909" s="101"/>
      <c r="K909" s="101"/>
      <c r="L909" s="101"/>
      <c r="M909" s="101"/>
      <c r="N909" s="101"/>
      <c r="O909" s="101"/>
      <c r="P909" s="101"/>
      <c r="Q909" s="101"/>
      <c r="R909" s="101"/>
      <c r="S909" s="101"/>
      <c r="T909" s="101"/>
      <c r="U909" s="101"/>
      <c r="V909" s="101"/>
      <c r="W909" s="101"/>
      <c r="X909" s="101"/>
      <c r="Y909" s="114"/>
      <c r="Z909" s="114"/>
      <c r="AA909" s="114"/>
      <c r="AB909" s="114"/>
      <c r="AC909" s="114"/>
      <c r="AD909" s="114"/>
      <c r="AE909" s="114"/>
      <c r="AF909" s="114"/>
      <c r="AG909" s="114"/>
      <c r="AH909" s="114"/>
      <c r="AI909" s="114"/>
      <c r="AJ909" s="114"/>
      <c r="AK909" s="114"/>
      <c r="AL909" s="114"/>
      <c r="AM909" s="114"/>
      <c r="AN909" s="114"/>
      <c r="AO909" s="114"/>
      <c r="AP909" s="114"/>
      <c r="AQ909" s="114"/>
      <c r="AR909" s="114"/>
      <c r="AS909" s="114"/>
      <c r="AT909" s="114"/>
      <c r="AU909" s="114"/>
      <c r="AV909" s="114"/>
      <c r="AW909" s="114"/>
      <c r="AX909" s="114"/>
      <c r="AY909" s="114"/>
      <c r="AZ909" s="114"/>
    </row>
    <row r="910" spans="1:52">
      <c r="A910" s="111"/>
      <c r="B910" s="111"/>
      <c r="C910" s="112"/>
      <c r="D910" s="101"/>
      <c r="E910" s="101"/>
      <c r="F910" s="101"/>
      <c r="G910" s="111"/>
      <c r="H910" s="101"/>
      <c r="I910" s="101"/>
      <c r="J910" s="101"/>
      <c r="K910" s="101"/>
      <c r="L910" s="101"/>
      <c r="M910" s="101"/>
      <c r="N910" s="101"/>
      <c r="O910" s="101"/>
      <c r="P910" s="101"/>
      <c r="Q910" s="101"/>
      <c r="R910" s="101"/>
      <c r="S910" s="101"/>
      <c r="T910" s="101"/>
      <c r="U910" s="101"/>
      <c r="V910" s="101"/>
      <c r="W910" s="101"/>
      <c r="X910" s="101"/>
      <c r="Y910" s="114"/>
      <c r="Z910" s="114"/>
      <c r="AA910" s="114"/>
      <c r="AB910" s="114"/>
      <c r="AC910" s="114"/>
      <c r="AD910" s="114"/>
      <c r="AE910" s="114"/>
      <c r="AF910" s="114"/>
      <c r="AG910" s="114"/>
      <c r="AH910" s="114"/>
      <c r="AI910" s="114"/>
      <c r="AJ910" s="114"/>
      <c r="AK910" s="114"/>
      <c r="AL910" s="114"/>
      <c r="AM910" s="114"/>
      <c r="AN910" s="114"/>
      <c r="AO910" s="114"/>
      <c r="AP910" s="114"/>
      <c r="AQ910" s="114"/>
      <c r="AR910" s="114"/>
      <c r="AS910" s="114"/>
      <c r="AT910" s="114"/>
      <c r="AU910" s="114"/>
      <c r="AV910" s="114"/>
      <c r="AW910" s="114"/>
      <c r="AX910" s="114"/>
      <c r="AY910" s="114"/>
      <c r="AZ910" s="114"/>
    </row>
    <row r="911" spans="1:52">
      <c r="A911" s="111"/>
      <c r="B911" s="111"/>
      <c r="C911" s="112"/>
      <c r="D911" s="101"/>
      <c r="E911" s="101"/>
      <c r="F911" s="101"/>
      <c r="G911" s="111"/>
      <c r="H911" s="101"/>
      <c r="I911" s="101"/>
      <c r="J911" s="101"/>
      <c r="K911" s="101"/>
      <c r="L911" s="101"/>
      <c r="M911" s="101"/>
      <c r="N911" s="101"/>
      <c r="O911" s="101"/>
      <c r="P911" s="101"/>
      <c r="Q911" s="101"/>
      <c r="R911" s="101"/>
      <c r="S911" s="101"/>
      <c r="T911" s="101"/>
      <c r="U911" s="101"/>
      <c r="V911" s="101"/>
      <c r="W911" s="101"/>
      <c r="X911" s="101"/>
      <c r="Y911" s="114"/>
      <c r="Z911" s="114"/>
      <c r="AA911" s="114"/>
      <c r="AB911" s="114"/>
      <c r="AC911" s="114"/>
      <c r="AD911" s="114"/>
      <c r="AE911" s="114"/>
      <c r="AF911" s="114"/>
      <c r="AG911" s="114"/>
      <c r="AH911" s="114"/>
      <c r="AI911" s="114"/>
      <c r="AJ911" s="114"/>
      <c r="AK911" s="114"/>
      <c r="AL911" s="114"/>
      <c r="AM911" s="114"/>
      <c r="AN911" s="114"/>
      <c r="AO911" s="114"/>
      <c r="AP911" s="114"/>
      <c r="AQ911" s="114"/>
      <c r="AR911" s="114"/>
      <c r="AS911" s="114"/>
      <c r="AT911" s="114"/>
      <c r="AU911" s="114"/>
      <c r="AV911" s="114"/>
      <c r="AW911" s="114"/>
      <c r="AX911" s="114"/>
      <c r="AY911" s="114"/>
      <c r="AZ911" s="114"/>
    </row>
    <row r="912" spans="1:52">
      <c r="A912" s="111"/>
      <c r="B912" s="111"/>
      <c r="C912" s="112"/>
      <c r="D912" s="101"/>
      <c r="E912" s="101"/>
      <c r="F912" s="101"/>
      <c r="G912" s="111"/>
      <c r="H912" s="101"/>
      <c r="I912" s="101"/>
      <c r="J912" s="101"/>
      <c r="K912" s="101"/>
      <c r="L912" s="101"/>
      <c r="M912" s="101"/>
      <c r="N912" s="101"/>
      <c r="O912" s="101"/>
      <c r="P912" s="101"/>
      <c r="Q912" s="101"/>
      <c r="R912" s="101"/>
      <c r="S912" s="101"/>
      <c r="T912" s="101"/>
      <c r="U912" s="101"/>
      <c r="V912" s="101"/>
      <c r="W912" s="101"/>
      <c r="X912" s="101"/>
      <c r="Y912" s="114"/>
      <c r="Z912" s="114"/>
      <c r="AA912" s="114"/>
      <c r="AB912" s="114"/>
      <c r="AC912" s="114"/>
      <c r="AD912" s="114"/>
      <c r="AE912" s="114"/>
      <c r="AF912" s="114"/>
      <c r="AG912" s="114"/>
      <c r="AH912" s="114"/>
      <c r="AI912" s="114"/>
      <c r="AJ912" s="114"/>
      <c r="AK912" s="114"/>
      <c r="AL912" s="114"/>
      <c r="AM912" s="114"/>
      <c r="AN912" s="114"/>
      <c r="AO912" s="114"/>
      <c r="AP912" s="114"/>
      <c r="AQ912" s="114"/>
      <c r="AR912" s="114"/>
      <c r="AS912" s="114"/>
      <c r="AT912" s="114"/>
      <c r="AU912" s="114"/>
      <c r="AV912" s="114"/>
      <c r="AW912" s="114"/>
      <c r="AX912" s="114"/>
      <c r="AY912" s="114"/>
      <c r="AZ912" s="114"/>
    </row>
    <row r="913" spans="1:52">
      <c r="A913" s="111"/>
      <c r="B913" s="111"/>
      <c r="C913" s="112"/>
      <c r="D913" s="101"/>
      <c r="E913" s="101"/>
      <c r="F913" s="101"/>
      <c r="G913" s="111"/>
      <c r="H913" s="101"/>
      <c r="I913" s="101"/>
      <c r="J913" s="101"/>
      <c r="K913" s="101"/>
      <c r="L913" s="101"/>
      <c r="M913" s="101"/>
      <c r="N913" s="101"/>
      <c r="O913" s="101"/>
      <c r="P913" s="101"/>
      <c r="Q913" s="101"/>
      <c r="R913" s="101"/>
      <c r="S913" s="101"/>
      <c r="T913" s="101"/>
      <c r="U913" s="101"/>
      <c r="V913" s="101"/>
      <c r="W913" s="101"/>
      <c r="X913" s="101"/>
      <c r="Y913" s="114"/>
      <c r="Z913" s="114"/>
      <c r="AA913" s="114"/>
      <c r="AB913" s="114"/>
      <c r="AC913" s="114"/>
      <c r="AD913" s="114"/>
      <c r="AE913" s="114"/>
      <c r="AF913" s="114"/>
      <c r="AG913" s="114"/>
      <c r="AH913" s="114"/>
      <c r="AI913" s="114"/>
      <c r="AJ913" s="114"/>
      <c r="AK913" s="114"/>
      <c r="AL913" s="114"/>
      <c r="AM913" s="114"/>
      <c r="AN913" s="114"/>
      <c r="AO913" s="114"/>
      <c r="AP913" s="114"/>
      <c r="AQ913" s="114"/>
      <c r="AR913" s="114"/>
      <c r="AS913" s="114"/>
      <c r="AT913" s="114"/>
      <c r="AU913" s="114"/>
      <c r="AV913" s="114"/>
      <c r="AW913" s="114"/>
      <c r="AX913" s="114"/>
      <c r="AY913" s="114"/>
      <c r="AZ913" s="114"/>
    </row>
    <row r="914" spans="1:52">
      <c r="A914" s="111"/>
      <c r="B914" s="111"/>
      <c r="C914" s="112"/>
      <c r="D914" s="101"/>
      <c r="E914" s="101"/>
      <c r="F914" s="101"/>
      <c r="G914" s="111"/>
      <c r="H914" s="101"/>
      <c r="I914" s="101"/>
      <c r="J914" s="101"/>
      <c r="K914" s="101"/>
      <c r="L914" s="101"/>
      <c r="M914" s="101"/>
      <c r="N914" s="101"/>
      <c r="O914" s="101"/>
      <c r="P914" s="101"/>
      <c r="Q914" s="101"/>
      <c r="R914" s="101"/>
      <c r="S914" s="101"/>
      <c r="T914" s="101"/>
      <c r="U914" s="101"/>
      <c r="V914" s="101"/>
      <c r="W914" s="101"/>
      <c r="X914" s="101"/>
      <c r="Y914" s="114"/>
      <c r="Z914" s="114"/>
      <c r="AA914" s="114"/>
      <c r="AB914" s="114"/>
      <c r="AC914" s="114"/>
      <c r="AD914" s="114"/>
      <c r="AE914" s="114"/>
      <c r="AF914" s="114"/>
      <c r="AG914" s="114"/>
      <c r="AH914" s="114"/>
      <c r="AI914" s="114"/>
      <c r="AJ914" s="114"/>
      <c r="AK914" s="114"/>
      <c r="AL914" s="114"/>
      <c r="AM914" s="114"/>
      <c r="AN914" s="114"/>
      <c r="AO914" s="114"/>
      <c r="AP914" s="114"/>
      <c r="AQ914" s="114"/>
      <c r="AR914" s="114"/>
      <c r="AS914" s="114"/>
      <c r="AT914" s="114"/>
      <c r="AU914" s="114"/>
      <c r="AV914" s="114"/>
      <c r="AW914" s="114"/>
      <c r="AX914" s="114"/>
      <c r="AY914" s="114"/>
      <c r="AZ914" s="114"/>
    </row>
    <row r="915" spans="1:52">
      <c r="A915" s="111"/>
      <c r="B915" s="111"/>
      <c r="C915" s="112"/>
      <c r="D915" s="101"/>
      <c r="E915" s="101"/>
      <c r="F915" s="101"/>
      <c r="G915" s="111"/>
      <c r="H915" s="101"/>
      <c r="I915" s="101"/>
      <c r="J915" s="101"/>
      <c r="K915" s="101"/>
      <c r="L915" s="101"/>
      <c r="M915" s="101"/>
      <c r="N915" s="101"/>
      <c r="O915" s="101"/>
      <c r="P915" s="101"/>
      <c r="Q915" s="101"/>
      <c r="R915" s="101"/>
      <c r="S915" s="101"/>
      <c r="T915" s="101"/>
      <c r="U915" s="101"/>
      <c r="V915" s="101"/>
      <c r="W915" s="101"/>
      <c r="X915" s="101"/>
      <c r="Y915" s="114"/>
      <c r="Z915" s="114"/>
      <c r="AA915" s="114"/>
      <c r="AB915" s="114"/>
      <c r="AC915" s="114"/>
      <c r="AD915" s="114"/>
      <c r="AE915" s="114"/>
      <c r="AF915" s="114"/>
      <c r="AG915" s="114"/>
      <c r="AH915" s="114"/>
      <c r="AI915" s="114"/>
      <c r="AJ915" s="114"/>
      <c r="AK915" s="114"/>
      <c r="AL915" s="114"/>
      <c r="AM915" s="114"/>
      <c r="AN915" s="114"/>
      <c r="AO915" s="114"/>
      <c r="AP915" s="114"/>
      <c r="AQ915" s="114"/>
      <c r="AR915" s="114"/>
      <c r="AS915" s="114"/>
      <c r="AT915" s="114"/>
      <c r="AU915" s="114"/>
      <c r="AV915" s="114"/>
      <c r="AW915" s="114"/>
      <c r="AX915" s="114"/>
      <c r="AY915" s="114"/>
      <c r="AZ915" s="114"/>
    </row>
    <row r="916" spans="1:52">
      <c r="A916" s="111"/>
      <c r="B916" s="111"/>
      <c r="C916" s="112"/>
      <c r="D916" s="101"/>
      <c r="E916" s="101"/>
      <c r="F916" s="101"/>
      <c r="G916" s="111"/>
      <c r="H916" s="101"/>
      <c r="I916" s="101"/>
      <c r="J916" s="101"/>
      <c r="K916" s="101"/>
      <c r="L916" s="101"/>
      <c r="M916" s="101"/>
      <c r="N916" s="101"/>
      <c r="O916" s="101"/>
      <c r="P916" s="101"/>
      <c r="Q916" s="101"/>
      <c r="R916" s="101"/>
      <c r="S916" s="101"/>
      <c r="T916" s="101"/>
      <c r="U916" s="101"/>
      <c r="V916" s="101"/>
      <c r="W916" s="101"/>
      <c r="X916" s="101"/>
      <c r="Y916" s="114"/>
      <c r="Z916" s="114"/>
      <c r="AA916" s="114"/>
      <c r="AB916" s="114"/>
      <c r="AC916" s="114"/>
      <c r="AD916" s="114"/>
      <c r="AE916" s="114"/>
      <c r="AF916" s="114"/>
      <c r="AG916" s="114"/>
      <c r="AH916" s="114"/>
      <c r="AI916" s="114"/>
      <c r="AJ916" s="114"/>
      <c r="AK916" s="114"/>
      <c r="AL916" s="114"/>
      <c r="AM916" s="114"/>
      <c r="AN916" s="114"/>
      <c r="AO916" s="114"/>
      <c r="AP916" s="114"/>
      <c r="AQ916" s="114"/>
      <c r="AR916" s="114"/>
      <c r="AS916" s="114"/>
      <c r="AT916" s="114"/>
      <c r="AU916" s="114"/>
      <c r="AV916" s="114"/>
      <c r="AW916" s="114"/>
      <c r="AX916" s="114"/>
      <c r="AY916" s="114"/>
      <c r="AZ916" s="114"/>
    </row>
    <row r="917" spans="1:52">
      <c r="A917" s="111"/>
      <c r="B917" s="111"/>
      <c r="C917" s="112"/>
      <c r="D917" s="101"/>
      <c r="E917" s="101"/>
      <c r="F917" s="101"/>
      <c r="G917" s="111"/>
      <c r="H917" s="101"/>
      <c r="I917" s="101"/>
      <c r="J917" s="101"/>
      <c r="K917" s="101"/>
      <c r="L917" s="101"/>
      <c r="M917" s="101"/>
      <c r="N917" s="101"/>
      <c r="O917" s="101"/>
      <c r="P917" s="101"/>
      <c r="Q917" s="101"/>
      <c r="R917" s="101"/>
      <c r="S917" s="101"/>
      <c r="T917" s="101"/>
      <c r="U917" s="101"/>
      <c r="V917" s="101"/>
      <c r="W917" s="101"/>
      <c r="X917" s="101"/>
      <c r="Y917" s="114"/>
      <c r="Z917" s="114"/>
      <c r="AA917" s="114"/>
      <c r="AB917" s="114"/>
      <c r="AC917" s="114"/>
      <c r="AD917" s="114"/>
      <c r="AE917" s="114"/>
      <c r="AF917" s="114"/>
      <c r="AG917" s="114"/>
      <c r="AH917" s="114"/>
      <c r="AI917" s="114"/>
      <c r="AJ917" s="114"/>
      <c r="AK917" s="114"/>
      <c r="AL917" s="114"/>
      <c r="AM917" s="114"/>
      <c r="AN917" s="114"/>
      <c r="AO917" s="114"/>
      <c r="AP917" s="114"/>
      <c r="AQ917" s="114"/>
      <c r="AR917" s="114"/>
      <c r="AS917" s="114"/>
      <c r="AT917" s="114"/>
      <c r="AU917" s="114"/>
      <c r="AV917" s="114"/>
      <c r="AW917" s="114"/>
      <c r="AX917" s="114"/>
      <c r="AY917" s="114"/>
      <c r="AZ917" s="114"/>
    </row>
    <row r="918" spans="1:52">
      <c r="A918" s="111"/>
      <c r="B918" s="111"/>
      <c r="C918" s="112"/>
      <c r="D918" s="101"/>
      <c r="E918" s="101"/>
      <c r="F918" s="101"/>
      <c r="G918" s="111"/>
      <c r="H918" s="101"/>
      <c r="I918" s="101"/>
      <c r="J918" s="101"/>
      <c r="K918" s="101"/>
      <c r="L918" s="101"/>
      <c r="M918" s="101"/>
      <c r="N918" s="101"/>
      <c r="O918" s="101"/>
      <c r="P918" s="101"/>
      <c r="Q918" s="101"/>
      <c r="R918" s="101"/>
      <c r="S918" s="101"/>
      <c r="T918" s="101"/>
      <c r="U918" s="101"/>
      <c r="V918" s="101"/>
      <c r="W918" s="101"/>
      <c r="X918" s="101"/>
      <c r="Y918" s="114"/>
      <c r="Z918" s="114"/>
      <c r="AA918" s="114"/>
      <c r="AB918" s="114"/>
      <c r="AC918" s="114"/>
      <c r="AD918" s="114"/>
      <c r="AE918" s="114"/>
      <c r="AF918" s="114"/>
      <c r="AG918" s="114"/>
      <c r="AH918" s="114"/>
      <c r="AI918" s="114"/>
      <c r="AJ918" s="114"/>
      <c r="AK918" s="114"/>
      <c r="AL918" s="114"/>
      <c r="AM918" s="114"/>
      <c r="AN918" s="114"/>
      <c r="AO918" s="114"/>
      <c r="AP918" s="114"/>
      <c r="AQ918" s="114"/>
      <c r="AR918" s="114"/>
      <c r="AS918" s="114"/>
      <c r="AT918" s="114"/>
      <c r="AU918" s="114"/>
      <c r="AV918" s="114"/>
      <c r="AW918" s="114"/>
      <c r="AX918" s="114"/>
      <c r="AY918" s="114"/>
      <c r="AZ918" s="114"/>
    </row>
    <row r="919" spans="1:52">
      <c r="A919" s="111"/>
      <c r="B919" s="111"/>
      <c r="C919" s="112"/>
      <c r="D919" s="101"/>
      <c r="E919" s="101"/>
      <c r="F919" s="101"/>
      <c r="G919" s="111"/>
      <c r="H919" s="101"/>
      <c r="I919" s="101"/>
      <c r="J919" s="101"/>
      <c r="K919" s="101"/>
      <c r="L919" s="101"/>
      <c r="M919" s="101"/>
      <c r="N919" s="101"/>
      <c r="O919" s="101"/>
      <c r="P919" s="101"/>
      <c r="Q919" s="101"/>
      <c r="R919" s="101"/>
      <c r="S919" s="101"/>
      <c r="T919" s="101"/>
      <c r="U919" s="101"/>
      <c r="V919" s="101"/>
      <c r="W919" s="101"/>
      <c r="X919" s="101"/>
      <c r="Y919" s="114"/>
      <c r="Z919" s="114"/>
      <c r="AA919" s="114"/>
      <c r="AB919" s="114"/>
      <c r="AC919" s="114"/>
      <c r="AD919" s="114"/>
      <c r="AE919" s="114"/>
      <c r="AF919" s="114"/>
      <c r="AG919" s="114"/>
      <c r="AH919" s="114"/>
      <c r="AI919" s="114"/>
      <c r="AJ919" s="114"/>
      <c r="AK919" s="114"/>
      <c r="AL919" s="114"/>
      <c r="AM919" s="114"/>
      <c r="AN919" s="114"/>
      <c r="AO919" s="114"/>
      <c r="AP919" s="114"/>
      <c r="AQ919" s="114"/>
      <c r="AR919" s="114"/>
      <c r="AS919" s="114"/>
      <c r="AT919" s="114"/>
      <c r="AU919" s="114"/>
      <c r="AV919" s="114"/>
      <c r="AW919" s="114"/>
      <c r="AX919" s="114"/>
      <c r="AY919" s="114"/>
      <c r="AZ919" s="114"/>
    </row>
    <row r="920" spans="1:52">
      <c r="A920" s="111"/>
      <c r="B920" s="111"/>
      <c r="C920" s="112"/>
      <c r="D920" s="101"/>
      <c r="E920" s="101"/>
      <c r="F920" s="101"/>
      <c r="G920" s="111"/>
      <c r="H920" s="101"/>
      <c r="I920" s="101"/>
      <c r="J920" s="101"/>
      <c r="K920" s="101"/>
      <c r="L920" s="101"/>
      <c r="M920" s="101"/>
      <c r="N920" s="101"/>
      <c r="O920" s="101"/>
      <c r="P920" s="101"/>
      <c r="Q920" s="101"/>
      <c r="R920" s="101"/>
      <c r="S920" s="101"/>
      <c r="T920" s="101"/>
      <c r="U920" s="101"/>
      <c r="V920" s="101"/>
      <c r="W920" s="101"/>
      <c r="X920" s="101"/>
      <c r="Y920" s="114"/>
      <c r="Z920" s="114"/>
      <c r="AA920" s="114"/>
      <c r="AB920" s="114"/>
      <c r="AC920" s="114"/>
      <c r="AD920" s="114"/>
      <c r="AE920" s="114"/>
      <c r="AF920" s="114"/>
      <c r="AG920" s="114"/>
      <c r="AH920" s="114"/>
      <c r="AI920" s="114"/>
      <c r="AJ920" s="114"/>
      <c r="AK920" s="114"/>
      <c r="AL920" s="114"/>
      <c r="AM920" s="114"/>
      <c r="AN920" s="114"/>
      <c r="AO920" s="114"/>
      <c r="AP920" s="114"/>
      <c r="AQ920" s="114"/>
      <c r="AR920" s="114"/>
      <c r="AS920" s="114"/>
      <c r="AT920" s="114"/>
      <c r="AU920" s="114"/>
      <c r="AV920" s="114"/>
      <c r="AW920" s="114"/>
      <c r="AX920" s="114"/>
      <c r="AY920" s="114"/>
      <c r="AZ920" s="114"/>
    </row>
    <row r="921" spans="1:52">
      <c r="A921" s="111"/>
      <c r="B921" s="111"/>
      <c r="C921" s="112"/>
      <c r="D921" s="101"/>
      <c r="E921" s="101"/>
      <c r="F921" s="101"/>
      <c r="G921" s="111"/>
      <c r="H921" s="101"/>
      <c r="I921" s="101"/>
      <c r="J921" s="101"/>
      <c r="K921" s="101"/>
      <c r="L921" s="101"/>
      <c r="M921" s="101"/>
      <c r="N921" s="101"/>
      <c r="O921" s="101"/>
      <c r="P921" s="101"/>
      <c r="Q921" s="101"/>
      <c r="R921" s="101"/>
      <c r="S921" s="101"/>
      <c r="T921" s="101"/>
      <c r="U921" s="101"/>
      <c r="V921" s="101"/>
      <c r="W921" s="101"/>
      <c r="X921" s="101"/>
      <c r="Y921" s="114"/>
      <c r="Z921" s="114"/>
      <c r="AA921" s="114"/>
      <c r="AB921" s="114"/>
      <c r="AC921" s="114"/>
      <c r="AD921" s="114"/>
      <c r="AE921" s="114"/>
      <c r="AF921" s="114"/>
      <c r="AG921" s="114"/>
      <c r="AH921" s="114"/>
      <c r="AI921" s="114"/>
      <c r="AJ921" s="114"/>
      <c r="AK921" s="114"/>
      <c r="AL921" s="114"/>
      <c r="AM921" s="114"/>
      <c r="AN921" s="114"/>
      <c r="AO921" s="114"/>
      <c r="AP921" s="114"/>
      <c r="AQ921" s="114"/>
      <c r="AR921" s="114"/>
      <c r="AS921" s="114"/>
      <c r="AT921" s="114"/>
      <c r="AU921" s="114"/>
      <c r="AV921" s="114"/>
      <c r="AW921" s="114"/>
      <c r="AX921" s="114"/>
      <c r="AY921" s="114"/>
      <c r="AZ921" s="114"/>
    </row>
    <row r="922" spans="1:52">
      <c r="A922" s="111"/>
      <c r="B922" s="111"/>
      <c r="C922" s="112"/>
      <c r="D922" s="101"/>
      <c r="E922" s="101"/>
      <c r="F922" s="101"/>
      <c r="G922" s="111"/>
      <c r="H922" s="101"/>
      <c r="I922" s="101"/>
      <c r="J922" s="101"/>
      <c r="K922" s="101"/>
      <c r="L922" s="101"/>
      <c r="M922" s="101"/>
      <c r="N922" s="101"/>
      <c r="O922" s="101"/>
      <c r="P922" s="101"/>
      <c r="Q922" s="101"/>
      <c r="R922" s="101"/>
      <c r="S922" s="101"/>
      <c r="T922" s="101"/>
      <c r="U922" s="101"/>
      <c r="V922" s="101"/>
      <c r="W922" s="101"/>
      <c r="X922" s="101"/>
      <c r="Y922" s="114"/>
      <c r="Z922" s="114"/>
      <c r="AA922" s="114"/>
      <c r="AB922" s="114"/>
      <c r="AC922" s="114"/>
      <c r="AD922" s="114"/>
      <c r="AE922" s="114"/>
      <c r="AF922" s="114"/>
      <c r="AG922" s="114"/>
      <c r="AH922" s="114"/>
      <c r="AI922" s="114"/>
      <c r="AJ922" s="114"/>
      <c r="AK922" s="114"/>
      <c r="AL922" s="114"/>
      <c r="AM922" s="114"/>
      <c r="AN922" s="114"/>
      <c r="AO922" s="114"/>
      <c r="AP922" s="114"/>
      <c r="AQ922" s="114"/>
      <c r="AR922" s="114"/>
      <c r="AS922" s="114"/>
      <c r="AT922" s="114"/>
      <c r="AU922" s="114"/>
      <c r="AV922" s="114"/>
      <c r="AW922" s="114"/>
      <c r="AX922" s="114"/>
      <c r="AY922" s="114"/>
      <c r="AZ922" s="114"/>
    </row>
    <row r="923" spans="1:52">
      <c r="A923" s="111"/>
      <c r="B923" s="111"/>
      <c r="C923" s="112"/>
      <c r="D923" s="101"/>
      <c r="E923" s="101"/>
      <c r="F923" s="101"/>
      <c r="G923" s="111"/>
      <c r="H923" s="101"/>
      <c r="I923" s="101"/>
      <c r="J923" s="101"/>
      <c r="K923" s="101"/>
      <c r="L923" s="101"/>
      <c r="M923" s="101"/>
      <c r="N923" s="101"/>
      <c r="O923" s="101"/>
      <c r="P923" s="101"/>
      <c r="Q923" s="101"/>
      <c r="R923" s="101"/>
      <c r="S923" s="101"/>
      <c r="T923" s="101"/>
      <c r="U923" s="101"/>
      <c r="V923" s="101"/>
      <c r="W923" s="101"/>
      <c r="X923" s="101"/>
      <c r="Y923" s="114"/>
      <c r="Z923" s="114"/>
      <c r="AA923" s="114"/>
      <c r="AB923" s="114"/>
      <c r="AC923" s="114"/>
      <c r="AD923" s="114"/>
      <c r="AE923" s="114"/>
      <c r="AF923" s="114"/>
      <c r="AG923" s="114"/>
      <c r="AH923" s="114"/>
      <c r="AI923" s="114"/>
      <c r="AJ923" s="114"/>
      <c r="AK923" s="114"/>
      <c r="AL923" s="114"/>
      <c r="AM923" s="114"/>
      <c r="AN923" s="114"/>
      <c r="AO923" s="114"/>
      <c r="AP923" s="114"/>
      <c r="AQ923" s="114"/>
      <c r="AR923" s="114"/>
      <c r="AS923" s="114"/>
      <c r="AT923" s="114"/>
      <c r="AU923" s="114"/>
      <c r="AV923" s="114"/>
      <c r="AW923" s="114"/>
      <c r="AX923" s="114"/>
      <c r="AY923" s="114"/>
      <c r="AZ923" s="114"/>
    </row>
    <row r="924" spans="1:52">
      <c r="A924" s="111"/>
      <c r="B924" s="111"/>
      <c r="C924" s="112"/>
      <c r="D924" s="101"/>
      <c r="E924" s="101"/>
      <c r="F924" s="101"/>
      <c r="G924" s="111"/>
      <c r="H924" s="101"/>
      <c r="I924" s="101"/>
      <c r="J924" s="101"/>
      <c r="K924" s="101"/>
      <c r="L924" s="101"/>
      <c r="M924" s="101"/>
      <c r="N924" s="101"/>
      <c r="O924" s="101"/>
      <c r="P924" s="101"/>
      <c r="Q924" s="101"/>
      <c r="R924" s="101"/>
      <c r="S924" s="101"/>
      <c r="T924" s="101"/>
      <c r="U924" s="101"/>
      <c r="V924" s="101"/>
      <c r="W924" s="101"/>
      <c r="X924" s="101"/>
      <c r="Y924" s="114"/>
      <c r="Z924" s="114"/>
      <c r="AA924" s="114"/>
      <c r="AB924" s="114"/>
      <c r="AC924" s="114"/>
      <c r="AD924" s="114"/>
      <c r="AE924" s="114"/>
      <c r="AF924" s="114"/>
      <c r="AG924" s="114"/>
      <c r="AH924" s="114"/>
      <c r="AI924" s="114"/>
      <c r="AJ924" s="114"/>
      <c r="AK924" s="114"/>
      <c r="AL924" s="114"/>
      <c r="AM924" s="114"/>
      <c r="AN924" s="114"/>
      <c r="AO924" s="114"/>
      <c r="AP924" s="114"/>
      <c r="AQ924" s="114"/>
      <c r="AR924" s="114"/>
      <c r="AS924" s="114"/>
      <c r="AT924" s="114"/>
      <c r="AU924" s="114"/>
      <c r="AV924" s="114"/>
      <c r="AW924" s="114"/>
      <c r="AX924" s="114"/>
      <c r="AY924" s="114"/>
      <c r="AZ924" s="114"/>
    </row>
    <row r="925" spans="1:52">
      <c r="A925" s="111"/>
      <c r="B925" s="111"/>
      <c r="C925" s="112"/>
      <c r="D925" s="101"/>
      <c r="E925" s="101"/>
      <c r="F925" s="101"/>
      <c r="G925" s="111"/>
      <c r="H925" s="101"/>
      <c r="I925" s="101"/>
      <c r="J925" s="101"/>
      <c r="K925" s="101"/>
      <c r="L925" s="101"/>
      <c r="M925" s="101"/>
      <c r="N925" s="101"/>
      <c r="O925" s="101"/>
      <c r="P925" s="101"/>
      <c r="Q925" s="101"/>
      <c r="R925" s="101"/>
      <c r="S925" s="101"/>
      <c r="T925" s="101"/>
      <c r="U925" s="101"/>
      <c r="V925" s="101"/>
      <c r="W925" s="101"/>
      <c r="X925" s="101"/>
      <c r="Y925" s="114"/>
      <c r="Z925" s="114"/>
      <c r="AA925" s="114"/>
      <c r="AB925" s="114"/>
      <c r="AC925" s="114"/>
      <c r="AD925" s="114"/>
      <c r="AE925" s="114"/>
      <c r="AF925" s="114"/>
      <c r="AG925" s="114"/>
      <c r="AH925" s="114"/>
      <c r="AI925" s="114"/>
      <c r="AJ925" s="114"/>
      <c r="AK925" s="114"/>
      <c r="AL925" s="114"/>
      <c r="AM925" s="114"/>
      <c r="AN925" s="114"/>
      <c r="AO925" s="114"/>
      <c r="AP925" s="114"/>
      <c r="AQ925" s="114"/>
      <c r="AR925" s="114"/>
      <c r="AS925" s="114"/>
      <c r="AT925" s="114"/>
      <c r="AU925" s="114"/>
      <c r="AV925" s="114"/>
      <c r="AW925" s="114"/>
      <c r="AX925" s="114"/>
      <c r="AY925" s="114"/>
      <c r="AZ925" s="114"/>
    </row>
    <row r="926" spans="1:52">
      <c r="A926" s="111"/>
      <c r="B926" s="111"/>
      <c r="C926" s="112"/>
      <c r="D926" s="101"/>
      <c r="E926" s="101"/>
      <c r="F926" s="101"/>
      <c r="G926" s="111"/>
      <c r="H926" s="101"/>
      <c r="I926" s="101"/>
      <c r="J926" s="101"/>
      <c r="K926" s="101"/>
      <c r="L926" s="101"/>
      <c r="M926" s="101"/>
      <c r="N926" s="101"/>
      <c r="O926" s="101"/>
      <c r="P926" s="101"/>
      <c r="Q926" s="101"/>
      <c r="R926" s="101"/>
      <c r="S926" s="101"/>
      <c r="T926" s="101"/>
      <c r="U926" s="101"/>
      <c r="V926" s="101"/>
      <c r="W926" s="101"/>
      <c r="X926" s="101"/>
      <c r="Y926" s="114"/>
      <c r="Z926" s="114"/>
      <c r="AA926" s="114"/>
      <c r="AB926" s="114"/>
      <c r="AC926" s="114"/>
      <c r="AD926" s="114"/>
      <c r="AE926" s="114"/>
      <c r="AF926" s="114"/>
      <c r="AG926" s="114"/>
      <c r="AH926" s="114"/>
      <c r="AI926" s="114"/>
      <c r="AJ926" s="114"/>
      <c r="AK926" s="114"/>
      <c r="AL926" s="114"/>
      <c r="AM926" s="114"/>
      <c r="AN926" s="114"/>
      <c r="AO926" s="114"/>
      <c r="AP926" s="114"/>
      <c r="AQ926" s="114"/>
      <c r="AR926" s="114"/>
      <c r="AS926" s="114"/>
      <c r="AT926" s="114"/>
      <c r="AU926" s="114"/>
      <c r="AV926" s="114"/>
      <c r="AW926" s="114"/>
      <c r="AX926" s="114"/>
      <c r="AY926" s="114"/>
      <c r="AZ926" s="114"/>
    </row>
    <row r="927" spans="1:52">
      <c r="A927" s="111"/>
      <c r="B927" s="111"/>
      <c r="C927" s="112"/>
      <c r="D927" s="101"/>
      <c r="E927" s="101"/>
      <c r="F927" s="101"/>
      <c r="G927" s="111"/>
      <c r="H927" s="101"/>
      <c r="I927" s="101"/>
      <c r="J927" s="101"/>
      <c r="K927" s="101"/>
      <c r="L927" s="101"/>
      <c r="M927" s="101"/>
      <c r="N927" s="101"/>
      <c r="O927" s="101"/>
      <c r="P927" s="101"/>
      <c r="Q927" s="101"/>
      <c r="R927" s="101"/>
      <c r="S927" s="101"/>
      <c r="T927" s="101"/>
      <c r="U927" s="101"/>
      <c r="V927" s="101"/>
      <c r="W927" s="101"/>
      <c r="X927" s="101"/>
      <c r="Y927" s="114"/>
      <c r="Z927" s="114"/>
      <c r="AA927" s="114"/>
      <c r="AB927" s="114"/>
      <c r="AC927" s="114"/>
      <c r="AD927" s="114"/>
      <c r="AE927" s="114"/>
      <c r="AF927" s="114"/>
      <c r="AG927" s="114"/>
      <c r="AH927" s="114"/>
      <c r="AI927" s="114"/>
      <c r="AJ927" s="114"/>
      <c r="AK927" s="114"/>
      <c r="AL927" s="114"/>
      <c r="AM927" s="114"/>
      <c r="AN927" s="114"/>
      <c r="AO927" s="114"/>
      <c r="AP927" s="114"/>
      <c r="AQ927" s="114"/>
      <c r="AR927" s="114"/>
      <c r="AS927" s="114"/>
      <c r="AT927" s="114"/>
      <c r="AU927" s="114"/>
      <c r="AV927" s="114"/>
      <c r="AW927" s="114"/>
      <c r="AX927" s="114"/>
      <c r="AY927" s="114"/>
      <c r="AZ927" s="114"/>
    </row>
    <row r="928" spans="1:52">
      <c r="A928" s="111"/>
      <c r="B928" s="111"/>
      <c r="C928" s="112"/>
      <c r="D928" s="101"/>
      <c r="E928" s="101"/>
      <c r="F928" s="101"/>
      <c r="G928" s="111"/>
      <c r="H928" s="101"/>
      <c r="I928" s="101"/>
      <c r="J928" s="101"/>
      <c r="K928" s="101"/>
      <c r="L928" s="101"/>
      <c r="M928" s="101"/>
      <c r="N928" s="101"/>
      <c r="O928" s="101"/>
      <c r="P928" s="101"/>
      <c r="Q928" s="101"/>
      <c r="R928" s="101"/>
      <c r="S928" s="101"/>
      <c r="T928" s="101"/>
      <c r="U928" s="101"/>
      <c r="V928" s="101"/>
      <c r="W928" s="101"/>
      <c r="X928" s="101"/>
      <c r="Y928" s="114"/>
      <c r="Z928" s="114"/>
      <c r="AA928" s="114"/>
      <c r="AB928" s="114"/>
      <c r="AC928" s="114"/>
      <c r="AD928" s="114"/>
      <c r="AE928" s="114"/>
      <c r="AF928" s="114"/>
      <c r="AG928" s="114"/>
      <c r="AH928" s="114"/>
      <c r="AI928" s="114"/>
      <c r="AJ928" s="114"/>
      <c r="AK928" s="114"/>
      <c r="AL928" s="114"/>
      <c r="AM928" s="114"/>
      <c r="AN928" s="114"/>
      <c r="AO928" s="114"/>
      <c r="AP928" s="114"/>
      <c r="AQ928" s="114"/>
      <c r="AR928" s="114"/>
      <c r="AS928" s="114"/>
      <c r="AT928" s="114"/>
      <c r="AU928" s="114"/>
      <c r="AV928" s="114"/>
      <c r="AW928" s="114"/>
      <c r="AX928" s="114"/>
      <c r="AY928" s="114"/>
      <c r="AZ928" s="114"/>
    </row>
    <row r="929" spans="1:52">
      <c r="A929" s="111"/>
      <c r="B929" s="111"/>
      <c r="C929" s="112"/>
      <c r="D929" s="101"/>
      <c r="E929" s="101"/>
      <c r="F929" s="101"/>
      <c r="G929" s="111"/>
      <c r="H929" s="101"/>
      <c r="I929" s="101"/>
      <c r="J929" s="101"/>
      <c r="K929" s="101"/>
      <c r="L929" s="101"/>
      <c r="M929" s="101"/>
      <c r="N929" s="101"/>
      <c r="O929" s="101"/>
      <c r="P929" s="101"/>
      <c r="Q929" s="101"/>
      <c r="R929" s="101"/>
      <c r="S929" s="101"/>
      <c r="T929" s="101"/>
      <c r="U929" s="101"/>
      <c r="V929" s="101"/>
      <c r="W929" s="101"/>
      <c r="X929" s="101"/>
      <c r="Y929" s="114"/>
      <c r="Z929" s="114"/>
      <c r="AA929" s="114"/>
      <c r="AB929" s="114"/>
      <c r="AC929" s="114"/>
      <c r="AD929" s="114"/>
      <c r="AE929" s="114"/>
      <c r="AF929" s="114"/>
      <c r="AG929" s="114"/>
      <c r="AH929" s="114"/>
      <c r="AI929" s="114"/>
      <c r="AJ929" s="114"/>
      <c r="AK929" s="114"/>
      <c r="AL929" s="114"/>
      <c r="AM929" s="114"/>
      <c r="AN929" s="114"/>
      <c r="AO929" s="114"/>
      <c r="AP929" s="114"/>
      <c r="AQ929" s="114"/>
      <c r="AR929" s="114"/>
      <c r="AS929" s="114"/>
      <c r="AT929" s="114"/>
      <c r="AU929" s="114"/>
      <c r="AV929" s="114"/>
      <c r="AW929" s="114"/>
      <c r="AX929" s="114"/>
      <c r="AY929" s="114"/>
      <c r="AZ929" s="114"/>
    </row>
    <row r="930" spans="1:52">
      <c r="A930" s="111"/>
      <c r="B930" s="111"/>
      <c r="C930" s="112"/>
      <c r="D930" s="101"/>
      <c r="E930" s="101"/>
      <c r="F930" s="101"/>
      <c r="G930" s="111"/>
      <c r="H930" s="101"/>
      <c r="I930" s="101"/>
      <c r="J930" s="101"/>
      <c r="K930" s="101"/>
      <c r="L930" s="101"/>
      <c r="M930" s="101"/>
      <c r="N930" s="101"/>
      <c r="O930" s="101"/>
      <c r="P930" s="101"/>
      <c r="Q930" s="101"/>
      <c r="R930" s="101"/>
      <c r="S930" s="101"/>
      <c r="T930" s="101"/>
      <c r="U930" s="101"/>
      <c r="V930" s="101"/>
      <c r="W930" s="101"/>
      <c r="X930" s="101"/>
      <c r="Y930" s="114"/>
      <c r="Z930" s="114"/>
      <c r="AA930" s="114"/>
      <c r="AB930" s="114"/>
      <c r="AC930" s="114"/>
      <c r="AD930" s="114"/>
      <c r="AE930" s="114"/>
      <c r="AF930" s="114"/>
      <c r="AG930" s="114"/>
      <c r="AH930" s="114"/>
      <c r="AI930" s="114"/>
      <c r="AJ930" s="114"/>
      <c r="AK930" s="114"/>
      <c r="AL930" s="114"/>
      <c r="AM930" s="114"/>
      <c r="AN930" s="114"/>
      <c r="AO930" s="114"/>
      <c r="AP930" s="114"/>
      <c r="AQ930" s="114"/>
      <c r="AR930" s="114"/>
      <c r="AS930" s="114"/>
      <c r="AT930" s="114"/>
      <c r="AU930" s="114"/>
      <c r="AV930" s="114"/>
      <c r="AW930" s="114"/>
      <c r="AX930" s="114"/>
      <c r="AY930" s="114"/>
      <c r="AZ930" s="114"/>
    </row>
    <row r="931" spans="1:52">
      <c r="A931" s="111"/>
      <c r="B931" s="111"/>
      <c r="C931" s="112"/>
      <c r="D931" s="101"/>
      <c r="E931" s="101"/>
      <c r="F931" s="101"/>
      <c r="G931" s="111"/>
      <c r="H931" s="101"/>
      <c r="I931" s="101"/>
      <c r="J931" s="101"/>
      <c r="K931" s="101"/>
      <c r="L931" s="101"/>
      <c r="M931" s="101"/>
      <c r="N931" s="101"/>
      <c r="O931" s="101"/>
      <c r="P931" s="101"/>
      <c r="Q931" s="101"/>
      <c r="R931" s="101"/>
      <c r="S931" s="101"/>
      <c r="T931" s="101"/>
      <c r="U931" s="101"/>
      <c r="V931" s="101"/>
      <c r="W931" s="101"/>
      <c r="X931" s="101"/>
      <c r="Y931" s="114"/>
      <c r="Z931" s="114"/>
      <c r="AA931" s="114"/>
      <c r="AB931" s="114"/>
      <c r="AC931" s="114"/>
      <c r="AD931" s="114"/>
      <c r="AE931" s="114"/>
      <c r="AF931" s="114"/>
      <c r="AG931" s="114"/>
      <c r="AH931" s="114"/>
      <c r="AI931" s="114"/>
      <c r="AJ931" s="114"/>
      <c r="AK931" s="114"/>
      <c r="AL931" s="114"/>
      <c r="AM931" s="114"/>
      <c r="AN931" s="114"/>
      <c r="AO931" s="114"/>
      <c r="AP931" s="114"/>
      <c r="AQ931" s="114"/>
      <c r="AR931" s="114"/>
      <c r="AS931" s="114"/>
      <c r="AT931" s="114"/>
      <c r="AU931" s="114"/>
      <c r="AV931" s="114"/>
      <c r="AW931" s="114"/>
      <c r="AX931" s="114"/>
      <c r="AY931" s="114"/>
      <c r="AZ931" s="114"/>
    </row>
    <row r="932" spans="1:52">
      <c r="A932" s="111"/>
      <c r="B932" s="111"/>
      <c r="C932" s="112"/>
      <c r="D932" s="101"/>
      <c r="E932" s="101"/>
      <c r="F932" s="101"/>
      <c r="G932" s="111"/>
      <c r="H932" s="101"/>
      <c r="I932" s="101"/>
      <c r="J932" s="101"/>
      <c r="K932" s="101"/>
      <c r="L932" s="101"/>
      <c r="M932" s="101"/>
      <c r="N932" s="101"/>
      <c r="O932" s="101"/>
      <c r="P932" s="101"/>
      <c r="Q932" s="101"/>
      <c r="R932" s="101"/>
      <c r="S932" s="101"/>
      <c r="T932" s="101"/>
      <c r="U932" s="101"/>
      <c r="V932" s="101"/>
      <c r="W932" s="101"/>
      <c r="X932" s="101"/>
      <c r="Y932" s="114"/>
      <c r="Z932" s="114"/>
      <c r="AA932" s="114"/>
      <c r="AB932" s="114"/>
      <c r="AC932" s="114"/>
      <c r="AD932" s="114"/>
      <c r="AE932" s="114"/>
      <c r="AF932" s="114"/>
      <c r="AG932" s="114"/>
      <c r="AH932" s="114"/>
      <c r="AI932" s="114"/>
      <c r="AJ932" s="114"/>
      <c r="AK932" s="114"/>
      <c r="AL932" s="114"/>
      <c r="AM932" s="114"/>
      <c r="AN932" s="114"/>
      <c r="AO932" s="114"/>
      <c r="AP932" s="114"/>
      <c r="AQ932" s="114"/>
      <c r="AR932" s="114"/>
      <c r="AS932" s="114"/>
      <c r="AT932" s="114"/>
      <c r="AU932" s="114"/>
      <c r="AV932" s="114"/>
      <c r="AW932" s="114"/>
      <c r="AX932" s="114"/>
      <c r="AY932" s="114"/>
      <c r="AZ932" s="114"/>
    </row>
    <row r="933" spans="1:52">
      <c r="A933" s="111"/>
      <c r="B933" s="111"/>
      <c r="C933" s="112"/>
      <c r="D933" s="101"/>
      <c r="E933" s="101"/>
      <c r="F933" s="101"/>
      <c r="G933" s="111"/>
      <c r="H933" s="101"/>
      <c r="I933" s="101"/>
      <c r="J933" s="101"/>
      <c r="K933" s="101"/>
      <c r="L933" s="101"/>
      <c r="M933" s="101"/>
      <c r="N933" s="101"/>
      <c r="O933" s="101"/>
      <c r="P933" s="101"/>
      <c r="Q933" s="101"/>
      <c r="R933" s="101"/>
      <c r="S933" s="101"/>
      <c r="T933" s="101"/>
      <c r="U933" s="101"/>
      <c r="V933" s="101"/>
      <c r="W933" s="101"/>
      <c r="X933" s="101"/>
      <c r="Y933" s="114"/>
      <c r="Z933" s="114"/>
      <c r="AA933" s="114"/>
      <c r="AB933" s="114"/>
      <c r="AC933" s="114"/>
      <c r="AD933" s="114"/>
      <c r="AE933" s="114"/>
      <c r="AF933" s="114"/>
      <c r="AG933" s="114"/>
      <c r="AH933" s="114"/>
      <c r="AI933" s="114"/>
      <c r="AJ933" s="114"/>
      <c r="AK933" s="114"/>
      <c r="AL933" s="114"/>
      <c r="AM933" s="114"/>
      <c r="AN933" s="114"/>
      <c r="AO933" s="114"/>
      <c r="AP933" s="114"/>
      <c r="AQ933" s="114"/>
      <c r="AR933" s="114"/>
      <c r="AS933" s="114"/>
      <c r="AT933" s="114"/>
      <c r="AU933" s="114"/>
      <c r="AV933" s="114"/>
      <c r="AW933" s="114"/>
      <c r="AX933" s="114"/>
      <c r="AY933" s="114"/>
      <c r="AZ933" s="114"/>
    </row>
    <row r="934" spans="1:52">
      <c r="A934" s="111"/>
      <c r="B934" s="111"/>
      <c r="C934" s="112"/>
      <c r="D934" s="101"/>
      <c r="E934" s="101"/>
      <c r="F934" s="101"/>
      <c r="G934" s="111"/>
      <c r="H934" s="101"/>
      <c r="I934" s="101"/>
      <c r="J934" s="101"/>
      <c r="K934" s="101"/>
      <c r="L934" s="101"/>
      <c r="M934" s="101"/>
      <c r="N934" s="101"/>
      <c r="O934" s="101"/>
      <c r="P934" s="101"/>
      <c r="Q934" s="101"/>
      <c r="R934" s="101"/>
      <c r="S934" s="101"/>
      <c r="T934" s="101"/>
      <c r="U934" s="101"/>
      <c r="V934" s="101"/>
      <c r="W934" s="101"/>
      <c r="X934" s="101"/>
      <c r="Y934" s="114"/>
      <c r="Z934" s="114"/>
      <c r="AA934" s="114"/>
      <c r="AB934" s="114"/>
      <c r="AC934" s="114"/>
      <c r="AD934" s="114"/>
      <c r="AE934" s="114"/>
      <c r="AF934" s="114"/>
      <c r="AG934" s="114"/>
      <c r="AH934" s="114"/>
      <c r="AI934" s="114"/>
      <c r="AJ934" s="114"/>
      <c r="AK934" s="114"/>
      <c r="AL934" s="114"/>
      <c r="AM934" s="114"/>
      <c r="AN934" s="114"/>
      <c r="AO934" s="114"/>
      <c r="AP934" s="114"/>
      <c r="AQ934" s="114"/>
      <c r="AR934" s="114"/>
      <c r="AS934" s="114"/>
      <c r="AT934" s="114"/>
      <c r="AU934" s="114"/>
      <c r="AV934" s="114"/>
      <c r="AW934" s="114"/>
      <c r="AX934" s="114"/>
      <c r="AY934" s="114"/>
      <c r="AZ934" s="114"/>
    </row>
    <row r="935" spans="1:52">
      <c r="A935" s="111"/>
      <c r="B935" s="111"/>
      <c r="C935" s="112"/>
      <c r="D935" s="101"/>
      <c r="E935" s="101"/>
      <c r="F935" s="101"/>
      <c r="G935" s="111"/>
      <c r="H935" s="101"/>
      <c r="I935" s="101"/>
      <c r="J935" s="101"/>
      <c r="K935" s="101"/>
      <c r="L935" s="101"/>
      <c r="M935" s="101"/>
      <c r="N935" s="101"/>
      <c r="O935" s="101"/>
      <c r="P935" s="101"/>
      <c r="Q935" s="101"/>
      <c r="R935" s="101"/>
      <c r="S935" s="101"/>
      <c r="T935" s="101"/>
      <c r="U935" s="101"/>
      <c r="V935" s="101"/>
      <c r="W935" s="101"/>
      <c r="X935" s="101"/>
      <c r="Y935" s="114"/>
      <c r="Z935" s="114"/>
      <c r="AA935" s="114"/>
      <c r="AB935" s="114"/>
      <c r="AC935" s="114"/>
      <c r="AD935" s="114"/>
      <c r="AE935" s="114"/>
      <c r="AF935" s="114"/>
      <c r="AG935" s="114"/>
      <c r="AH935" s="114"/>
      <c r="AI935" s="114"/>
      <c r="AJ935" s="114"/>
      <c r="AK935" s="114"/>
      <c r="AL935" s="114"/>
      <c r="AM935" s="114"/>
      <c r="AN935" s="114"/>
      <c r="AO935" s="114"/>
      <c r="AP935" s="114"/>
      <c r="AQ935" s="114"/>
      <c r="AR935" s="114"/>
      <c r="AS935" s="114"/>
      <c r="AT935" s="114"/>
      <c r="AU935" s="114"/>
      <c r="AV935" s="114"/>
      <c r="AW935" s="114"/>
      <c r="AX935" s="114"/>
      <c r="AY935" s="114"/>
      <c r="AZ935" s="114"/>
    </row>
    <row r="936" spans="1:52">
      <c r="A936" s="111"/>
      <c r="B936" s="111"/>
      <c r="C936" s="112"/>
      <c r="D936" s="101"/>
      <c r="E936" s="101"/>
      <c r="F936" s="101"/>
      <c r="G936" s="111"/>
      <c r="H936" s="101"/>
      <c r="I936" s="101"/>
      <c r="J936" s="101"/>
      <c r="K936" s="101"/>
      <c r="L936" s="101"/>
      <c r="M936" s="101"/>
      <c r="N936" s="101"/>
      <c r="O936" s="101"/>
      <c r="P936" s="101"/>
      <c r="Q936" s="101"/>
      <c r="R936" s="101"/>
      <c r="S936" s="101"/>
      <c r="T936" s="101"/>
      <c r="U936" s="101"/>
      <c r="V936" s="101"/>
      <c r="W936" s="101"/>
      <c r="X936" s="101"/>
      <c r="Y936" s="114"/>
      <c r="Z936" s="114"/>
      <c r="AA936" s="114"/>
      <c r="AB936" s="114"/>
      <c r="AC936" s="114"/>
      <c r="AD936" s="114"/>
      <c r="AE936" s="114"/>
      <c r="AF936" s="114"/>
      <c r="AG936" s="114"/>
      <c r="AH936" s="114"/>
      <c r="AI936" s="114"/>
      <c r="AJ936" s="114"/>
      <c r="AK936" s="114"/>
      <c r="AL936" s="114"/>
      <c r="AM936" s="114"/>
      <c r="AN936" s="114"/>
      <c r="AO936" s="114"/>
      <c r="AP936" s="114"/>
      <c r="AQ936" s="114"/>
      <c r="AR936" s="114"/>
      <c r="AS936" s="114"/>
      <c r="AT936" s="114"/>
      <c r="AU936" s="114"/>
      <c r="AV936" s="114"/>
      <c r="AW936" s="114"/>
      <c r="AX936" s="114"/>
      <c r="AY936" s="114"/>
      <c r="AZ936" s="114"/>
    </row>
    <row r="937" spans="1:52">
      <c r="A937" s="111"/>
      <c r="B937" s="111"/>
      <c r="C937" s="112"/>
      <c r="D937" s="101"/>
      <c r="E937" s="101"/>
      <c r="F937" s="101"/>
      <c r="G937" s="111"/>
      <c r="H937" s="101"/>
      <c r="I937" s="101"/>
      <c r="J937" s="101"/>
      <c r="K937" s="101"/>
      <c r="L937" s="101"/>
      <c r="M937" s="101"/>
      <c r="N937" s="101"/>
      <c r="O937" s="101"/>
      <c r="P937" s="101"/>
      <c r="Q937" s="101"/>
      <c r="R937" s="101"/>
      <c r="S937" s="101"/>
      <c r="T937" s="101"/>
      <c r="U937" s="101"/>
      <c r="V937" s="101"/>
      <c r="W937" s="101"/>
      <c r="X937" s="101"/>
      <c r="Y937" s="114"/>
      <c r="Z937" s="114"/>
      <c r="AA937" s="114"/>
      <c r="AB937" s="114"/>
      <c r="AC937" s="114"/>
      <c r="AD937" s="114"/>
      <c r="AE937" s="114"/>
      <c r="AF937" s="114"/>
      <c r="AG937" s="114"/>
      <c r="AH937" s="114"/>
      <c r="AI937" s="114"/>
      <c r="AJ937" s="114"/>
      <c r="AK937" s="114"/>
      <c r="AL937" s="114"/>
      <c r="AM937" s="114"/>
      <c r="AN937" s="114"/>
      <c r="AO937" s="114"/>
      <c r="AP937" s="114"/>
      <c r="AQ937" s="114"/>
      <c r="AR937" s="114"/>
      <c r="AS937" s="114"/>
      <c r="AT937" s="114"/>
      <c r="AU937" s="114"/>
      <c r="AV937" s="114"/>
      <c r="AW937" s="114"/>
      <c r="AX937" s="114"/>
      <c r="AY937" s="114"/>
      <c r="AZ937" s="114"/>
    </row>
    <row r="938" spans="1:52">
      <c r="A938" s="111"/>
      <c r="B938" s="111"/>
      <c r="C938" s="112"/>
      <c r="D938" s="101"/>
      <c r="E938" s="101"/>
      <c r="F938" s="101"/>
      <c r="G938" s="111"/>
      <c r="H938" s="101"/>
      <c r="I938" s="101"/>
      <c r="J938" s="101"/>
      <c r="K938" s="101"/>
      <c r="L938" s="101"/>
      <c r="M938" s="101"/>
      <c r="N938" s="101"/>
      <c r="O938" s="101"/>
      <c r="P938" s="101"/>
      <c r="Q938" s="101"/>
      <c r="R938" s="101"/>
      <c r="S938" s="101"/>
      <c r="T938" s="101"/>
      <c r="U938" s="101"/>
      <c r="V938" s="101"/>
      <c r="W938" s="101"/>
      <c r="X938" s="101"/>
      <c r="Y938" s="114"/>
      <c r="Z938" s="114"/>
      <c r="AA938" s="114"/>
      <c r="AB938" s="114"/>
      <c r="AC938" s="114"/>
      <c r="AD938" s="114"/>
      <c r="AE938" s="114"/>
      <c r="AF938" s="114"/>
      <c r="AG938" s="114"/>
      <c r="AH938" s="114"/>
      <c r="AI938" s="114"/>
      <c r="AJ938" s="114"/>
      <c r="AK938" s="114"/>
      <c r="AL938" s="114"/>
      <c r="AM938" s="114"/>
      <c r="AN938" s="114"/>
      <c r="AO938" s="114"/>
      <c r="AP938" s="114"/>
      <c r="AQ938" s="114"/>
      <c r="AR938" s="114"/>
      <c r="AS938" s="114"/>
      <c r="AT938" s="114"/>
      <c r="AU938" s="114"/>
      <c r="AV938" s="114"/>
      <c r="AW938" s="114"/>
      <c r="AX938" s="114"/>
      <c r="AY938" s="114"/>
      <c r="AZ938" s="114"/>
    </row>
    <row r="939" spans="1:52">
      <c r="A939" s="111"/>
      <c r="B939" s="111"/>
      <c r="C939" s="112"/>
      <c r="D939" s="101"/>
      <c r="E939" s="101"/>
      <c r="F939" s="101"/>
      <c r="G939" s="111"/>
      <c r="H939" s="101"/>
      <c r="I939" s="101"/>
      <c r="J939" s="101"/>
      <c r="K939" s="101"/>
      <c r="L939" s="101"/>
      <c r="M939" s="101"/>
      <c r="N939" s="101"/>
      <c r="O939" s="101"/>
      <c r="P939" s="101"/>
      <c r="Q939" s="101"/>
      <c r="R939" s="101"/>
      <c r="S939" s="101"/>
      <c r="T939" s="101"/>
      <c r="U939" s="101"/>
      <c r="V939" s="101"/>
      <c r="W939" s="101"/>
      <c r="X939" s="101"/>
      <c r="Y939" s="114"/>
      <c r="Z939" s="114"/>
      <c r="AA939" s="114"/>
      <c r="AB939" s="114"/>
      <c r="AC939" s="114"/>
      <c r="AD939" s="114"/>
      <c r="AE939" s="114"/>
      <c r="AF939" s="114"/>
      <c r="AG939" s="114"/>
      <c r="AH939" s="114"/>
      <c r="AI939" s="114"/>
      <c r="AJ939" s="114"/>
      <c r="AK939" s="114"/>
      <c r="AL939" s="114"/>
      <c r="AM939" s="114"/>
      <c r="AN939" s="114"/>
      <c r="AO939" s="114"/>
      <c r="AP939" s="114"/>
      <c r="AQ939" s="114"/>
      <c r="AR939" s="114"/>
      <c r="AS939" s="114"/>
      <c r="AT939" s="114"/>
      <c r="AU939" s="114"/>
      <c r="AV939" s="114"/>
      <c r="AW939" s="114"/>
      <c r="AX939" s="114"/>
      <c r="AY939" s="114"/>
      <c r="AZ939" s="114"/>
    </row>
    <row r="940" spans="1:52">
      <c r="A940" s="111"/>
      <c r="B940" s="111"/>
      <c r="C940" s="112"/>
      <c r="D940" s="101"/>
      <c r="E940" s="101"/>
      <c r="F940" s="101"/>
      <c r="G940" s="111"/>
      <c r="H940" s="101"/>
      <c r="I940" s="101"/>
      <c r="J940" s="101"/>
      <c r="K940" s="101"/>
      <c r="L940" s="101"/>
      <c r="M940" s="101"/>
      <c r="N940" s="101"/>
      <c r="O940" s="101"/>
      <c r="P940" s="101"/>
      <c r="Q940" s="101"/>
      <c r="R940" s="101"/>
      <c r="S940" s="101"/>
      <c r="T940" s="101"/>
      <c r="U940" s="101"/>
      <c r="V940" s="101"/>
      <c r="W940" s="101"/>
      <c r="X940" s="101"/>
      <c r="Y940" s="114"/>
      <c r="Z940" s="114"/>
      <c r="AA940" s="114"/>
      <c r="AB940" s="114"/>
      <c r="AC940" s="114"/>
      <c r="AD940" s="114"/>
      <c r="AE940" s="114"/>
      <c r="AF940" s="114"/>
      <c r="AG940" s="114"/>
      <c r="AH940" s="114"/>
      <c r="AI940" s="114"/>
      <c r="AJ940" s="114"/>
      <c r="AK940" s="114"/>
      <c r="AL940" s="114"/>
      <c r="AM940" s="114"/>
      <c r="AN940" s="114"/>
      <c r="AO940" s="114"/>
      <c r="AP940" s="114"/>
      <c r="AQ940" s="114"/>
      <c r="AR940" s="114"/>
      <c r="AS940" s="114"/>
      <c r="AT940" s="114"/>
      <c r="AU940" s="114"/>
      <c r="AV940" s="114"/>
      <c r="AW940" s="114"/>
      <c r="AX940" s="114"/>
      <c r="AY940" s="114"/>
      <c r="AZ940" s="114"/>
    </row>
    <row r="941" spans="1:52">
      <c r="A941" s="111"/>
      <c r="B941" s="111"/>
      <c r="C941" s="112"/>
      <c r="D941" s="101"/>
      <c r="E941" s="101"/>
      <c r="F941" s="101"/>
      <c r="G941" s="111"/>
      <c r="H941" s="101"/>
      <c r="I941" s="101"/>
      <c r="J941" s="101"/>
      <c r="K941" s="101"/>
      <c r="L941" s="101"/>
      <c r="M941" s="101"/>
      <c r="N941" s="101"/>
      <c r="O941" s="101"/>
      <c r="P941" s="101"/>
      <c r="Q941" s="101"/>
      <c r="R941" s="101"/>
      <c r="S941" s="101"/>
      <c r="T941" s="101"/>
      <c r="U941" s="101"/>
      <c r="V941" s="101"/>
      <c r="W941" s="101"/>
      <c r="X941" s="101"/>
      <c r="Y941" s="114"/>
      <c r="Z941" s="114"/>
      <c r="AA941" s="114"/>
      <c r="AB941" s="114"/>
      <c r="AC941" s="114"/>
      <c r="AD941" s="114"/>
      <c r="AE941" s="114"/>
      <c r="AF941" s="114"/>
      <c r="AG941" s="114"/>
      <c r="AH941" s="114"/>
      <c r="AI941" s="114"/>
      <c r="AJ941" s="114"/>
      <c r="AK941" s="114"/>
      <c r="AL941" s="114"/>
      <c r="AM941" s="114"/>
      <c r="AN941" s="114"/>
      <c r="AO941" s="114"/>
      <c r="AP941" s="114"/>
      <c r="AQ941" s="114"/>
      <c r="AR941" s="114"/>
      <c r="AS941" s="114"/>
      <c r="AT941" s="114"/>
      <c r="AU941" s="114"/>
      <c r="AV941" s="114"/>
      <c r="AW941" s="114"/>
      <c r="AX941" s="114"/>
      <c r="AY941" s="114"/>
      <c r="AZ941" s="114"/>
    </row>
    <row r="942" spans="1:52">
      <c r="A942" s="111"/>
      <c r="B942" s="111"/>
      <c r="C942" s="112"/>
      <c r="D942" s="101"/>
      <c r="E942" s="101"/>
      <c r="F942" s="101"/>
      <c r="G942" s="111"/>
      <c r="H942" s="101"/>
      <c r="I942" s="101"/>
      <c r="J942" s="101"/>
      <c r="K942" s="101"/>
      <c r="L942" s="101"/>
      <c r="M942" s="101"/>
      <c r="N942" s="101"/>
      <c r="O942" s="101"/>
      <c r="P942" s="101"/>
      <c r="Q942" s="101"/>
      <c r="R942" s="101"/>
      <c r="S942" s="101"/>
      <c r="T942" s="101"/>
      <c r="U942" s="101"/>
      <c r="V942" s="101"/>
      <c r="W942" s="101"/>
      <c r="X942" s="101"/>
      <c r="Y942" s="114"/>
      <c r="Z942" s="114"/>
      <c r="AA942" s="114"/>
      <c r="AB942" s="114"/>
      <c r="AC942" s="114"/>
      <c r="AD942" s="114"/>
      <c r="AE942" s="114"/>
      <c r="AF942" s="114"/>
      <c r="AG942" s="114"/>
      <c r="AH942" s="114"/>
      <c r="AI942" s="114"/>
      <c r="AJ942" s="114"/>
      <c r="AK942" s="114"/>
      <c r="AL942" s="114"/>
      <c r="AM942" s="114"/>
      <c r="AN942" s="114"/>
      <c r="AO942" s="114"/>
      <c r="AP942" s="114"/>
      <c r="AQ942" s="114"/>
      <c r="AR942" s="114"/>
      <c r="AS942" s="114"/>
      <c r="AT942" s="114"/>
      <c r="AU942" s="114"/>
      <c r="AV942" s="114"/>
      <c r="AW942" s="114"/>
      <c r="AX942" s="114"/>
      <c r="AY942" s="114"/>
      <c r="AZ942" s="114"/>
    </row>
    <row r="943" spans="1:52">
      <c r="A943" s="111"/>
      <c r="B943" s="111"/>
      <c r="C943" s="112"/>
      <c r="D943" s="101"/>
      <c r="E943" s="101"/>
      <c r="F943" s="101"/>
      <c r="G943" s="111"/>
      <c r="H943" s="101"/>
      <c r="I943" s="101"/>
      <c r="J943" s="101"/>
      <c r="K943" s="101"/>
      <c r="L943" s="101"/>
      <c r="M943" s="101"/>
      <c r="N943" s="101"/>
      <c r="O943" s="101"/>
      <c r="P943" s="101"/>
      <c r="Q943" s="101"/>
      <c r="R943" s="101"/>
      <c r="S943" s="101"/>
      <c r="T943" s="101"/>
      <c r="U943" s="101"/>
      <c r="V943" s="101"/>
      <c r="W943" s="101"/>
      <c r="X943" s="101"/>
      <c r="Y943" s="114"/>
      <c r="Z943" s="114"/>
      <c r="AA943" s="114"/>
      <c r="AB943" s="114"/>
      <c r="AC943" s="114"/>
      <c r="AD943" s="114"/>
      <c r="AE943" s="114"/>
      <c r="AF943" s="114"/>
      <c r="AG943" s="114"/>
      <c r="AH943" s="114"/>
      <c r="AI943" s="114"/>
      <c r="AJ943" s="114"/>
      <c r="AK943" s="114"/>
      <c r="AL943" s="114"/>
      <c r="AM943" s="114"/>
      <c r="AN943" s="114"/>
      <c r="AO943" s="114"/>
      <c r="AP943" s="114"/>
      <c r="AQ943" s="114"/>
      <c r="AR943" s="114"/>
      <c r="AS943" s="114"/>
      <c r="AT943" s="114"/>
      <c r="AU943" s="114"/>
      <c r="AV943" s="114"/>
      <c r="AW943" s="114"/>
      <c r="AX943" s="114"/>
      <c r="AY943" s="114"/>
      <c r="AZ943" s="114"/>
    </row>
    <row r="944" spans="1:52">
      <c r="A944" s="111"/>
      <c r="B944" s="111"/>
      <c r="C944" s="112"/>
      <c r="D944" s="101"/>
      <c r="E944" s="101"/>
      <c r="F944" s="101"/>
      <c r="G944" s="111"/>
      <c r="H944" s="101"/>
      <c r="I944" s="101"/>
      <c r="J944" s="101"/>
      <c r="K944" s="101"/>
      <c r="L944" s="101"/>
      <c r="M944" s="101"/>
      <c r="N944" s="101"/>
      <c r="O944" s="101"/>
      <c r="P944" s="101"/>
      <c r="Q944" s="101"/>
      <c r="R944" s="101"/>
      <c r="S944" s="101"/>
      <c r="T944" s="101"/>
      <c r="U944" s="101"/>
      <c r="V944" s="101"/>
      <c r="W944" s="101"/>
      <c r="X944" s="101"/>
      <c r="Y944" s="114"/>
      <c r="Z944" s="114"/>
      <c r="AA944" s="114"/>
      <c r="AB944" s="114"/>
      <c r="AC944" s="114"/>
      <c r="AD944" s="114"/>
      <c r="AE944" s="114"/>
      <c r="AF944" s="114"/>
      <c r="AG944" s="114"/>
      <c r="AH944" s="114"/>
      <c r="AI944" s="114"/>
      <c r="AJ944" s="114"/>
      <c r="AK944" s="114"/>
      <c r="AL944" s="114"/>
      <c r="AM944" s="114"/>
      <c r="AN944" s="114"/>
      <c r="AO944" s="114"/>
      <c r="AP944" s="114"/>
      <c r="AQ944" s="114"/>
      <c r="AR944" s="114"/>
      <c r="AS944" s="114"/>
      <c r="AT944" s="114"/>
      <c r="AU944" s="114"/>
      <c r="AV944" s="114"/>
      <c r="AW944" s="114"/>
      <c r="AX944" s="114"/>
      <c r="AY944" s="114"/>
      <c r="AZ944" s="114"/>
    </row>
    <row r="945" spans="1:52">
      <c r="A945" s="111"/>
      <c r="B945" s="111"/>
      <c r="C945" s="112"/>
      <c r="D945" s="101"/>
      <c r="E945" s="101"/>
      <c r="F945" s="101"/>
      <c r="G945" s="111"/>
      <c r="H945" s="101"/>
      <c r="I945" s="101"/>
      <c r="J945" s="101"/>
      <c r="K945" s="101"/>
      <c r="L945" s="101"/>
      <c r="M945" s="101"/>
      <c r="N945" s="101"/>
      <c r="O945" s="101"/>
      <c r="P945" s="101"/>
      <c r="Q945" s="101"/>
      <c r="R945" s="101"/>
      <c r="S945" s="101"/>
      <c r="T945" s="101"/>
      <c r="U945" s="101"/>
      <c r="V945" s="101"/>
      <c r="W945" s="101"/>
      <c r="X945" s="101"/>
      <c r="Y945" s="114"/>
      <c r="Z945" s="114"/>
      <c r="AA945" s="114"/>
      <c r="AB945" s="114"/>
      <c r="AC945" s="114"/>
      <c r="AD945" s="114"/>
      <c r="AE945" s="114"/>
      <c r="AF945" s="114"/>
      <c r="AG945" s="114"/>
      <c r="AH945" s="114"/>
      <c r="AI945" s="114"/>
      <c r="AJ945" s="114"/>
      <c r="AK945" s="114"/>
      <c r="AL945" s="114"/>
      <c r="AM945" s="114"/>
      <c r="AN945" s="114"/>
      <c r="AO945" s="114"/>
      <c r="AP945" s="114"/>
      <c r="AQ945" s="114"/>
      <c r="AR945" s="114"/>
      <c r="AS945" s="114"/>
      <c r="AT945" s="114"/>
      <c r="AU945" s="114"/>
      <c r="AV945" s="114"/>
      <c r="AW945" s="114"/>
      <c r="AX945" s="114"/>
      <c r="AY945" s="114"/>
      <c r="AZ945" s="114"/>
    </row>
    <row r="946" spans="1:52">
      <c r="A946" s="111"/>
      <c r="B946" s="111"/>
      <c r="C946" s="112"/>
      <c r="D946" s="101"/>
      <c r="E946" s="101"/>
      <c r="F946" s="101"/>
      <c r="G946" s="111"/>
      <c r="H946" s="101"/>
      <c r="I946" s="101"/>
      <c r="J946" s="101"/>
      <c r="K946" s="101"/>
      <c r="L946" s="101"/>
      <c r="M946" s="101"/>
      <c r="N946" s="101"/>
      <c r="O946" s="101"/>
      <c r="P946" s="101"/>
      <c r="Q946" s="101"/>
      <c r="R946" s="101"/>
      <c r="S946" s="101"/>
      <c r="T946" s="101"/>
      <c r="U946" s="101"/>
      <c r="V946" s="101"/>
      <c r="W946" s="101"/>
      <c r="X946" s="101"/>
      <c r="Y946" s="114"/>
      <c r="Z946" s="114"/>
      <c r="AA946" s="114"/>
      <c r="AB946" s="114"/>
      <c r="AC946" s="114"/>
      <c r="AD946" s="114"/>
      <c r="AE946" s="114"/>
      <c r="AF946" s="114"/>
      <c r="AG946" s="114"/>
      <c r="AH946" s="114"/>
      <c r="AI946" s="114"/>
      <c r="AJ946" s="114"/>
      <c r="AK946" s="114"/>
      <c r="AL946" s="114"/>
      <c r="AM946" s="114"/>
      <c r="AN946" s="114"/>
      <c r="AO946" s="114"/>
      <c r="AP946" s="114"/>
      <c r="AQ946" s="114"/>
      <c r="AR946" s="114"/>
      <c r="AS946" s="114"/>
      <c r="AT946" s="114"/>
      <c r="AU946" s="114"/>
      <c r="AV946" s="114"/>
      <c r="AW946" s="114"/>
      <c r="AX946" s="114"/>
      <c r="AY946" s="114"/>
      <c r="AZ946" s="114"/>
    </row>
    <row r="947" spans="1:52">
      <c r="A947" s="111"/>
      <c r="B947" s="111"/>
      <c r="C947" s="112"/>
      <c r="D947" s="101"/>
      <c r="E947" s="101"/>
      <c r="F947" s="101"/>
      <c r="G947" s="111"/>
      <c r="H947" s="101"/>
      <c r="I947" s="101"/>
      <c r="J947" s="101"/>
      <c r="K947" s="101"/>
      <c r="L947" s="101"/>
      <c r="M947" s="101"/>
      <c r="N947" s="101"/>
      <c r="O947" s="101"/>
      <c r="P947" s="101"/>
      <c r="Q947" s="101"/>
      <c r="R947" s="101"/>
      <c r="S947" s="101"/>
      <c r="T947" s="101"/>
      <c r="U947" s="101"/>
      <c r="V947" s="101"/>
      <c r="W947" s="101"/>
      <c r="X947" s="101"/>
      <c r="Y947" s="114"/>
      <c r="Z947" s="114"/>
      <c r="AA947" s="114"/>
      <c r="AB947" s="114"/>
      <c r="AC947" s="114"/>
      <c r="AD947" s="114"/>
      <c r="AE947" s="114"/>
      <c r="AF947" s="114"/>
      <c r="AG947" s="114"/>
      <c r="AH947" s="114"/>
      <c r="AI947" s="114"/>
      <c r="AJ947" s="114"/>
      <c r="AK947" s="114"/>
      <c r="AL947" s="114"/>
      <c r="AM947" s="114"/>
      <c r="AN947" s="114"/>
      <c r="AO947" s="114"/>
      <c r="AP947" s="114"/>
      <c r="AQ947" s="114"/>
      <c r="AR947" s="114"/>
      <c r="AS947" s="114"/>
      <c r="AT947" s="114"/>
      <c r="AU947" s="114"/>
      <c r="AV947" s="114"/>
      <c r="AW947" s="114"/>
      <c r="AX947" s="114"/>
      <c r="AY947" s="114"/>
      <c r="AZ947" s="114"/>
    </row>
    <row r="948" spans="1:52">
      <c r="A948" s="111"/>
      <c r="B948" s="111"/>
      <c r="C948" s="112"/>
      <c r="D948" s="101"/>
      <c r="E948" s="101"/>
      <c r="F948" s="101"/>
      <c r="G948" s="111"/>
      <c r="H948" s="101"/>
      <c r="I948" s="101"/>
      <c r="J948" s="101"/>
      <c r="K948" s="101"/>
      <c r="L948" s="101"/>
      <c r="M948" s="101"/>
      <c r="N948" s="101"/>
      <c r="O948" s="101"/>
      <c r="P948" s="101"/>
      <c r="Q948" s="101"/>
      <c r="R948" s="101"/>
      <c r="S948" s="101"/>
      <c r="T948" s="101"/>
      <c r="U948" s="101"/>
      <c r="V948" s="101"/>
      <c r="W948" s="101"/>
      <c r="X948" s="101"/>
      <c r="Y948" s="114"/>
      <c r="Z948" s="114"/>
      <c r="AA948" s="114"/>
      <c r="AB948" s="114"/>
      <c r="AC948" s="114"/>
      <c r="AD948" s="114"/>
      <c r="AE948" s="114"/>
      <c r="AF948" s="114"/>
      <c r="AG948" s="114"/>
      <c r="AH948" s="114"/>
      <c r="AI948" s="114"/>
      <c r="AJ948" s="114"/>
      <c r="AK948" s="114"/>
      <c r="AL948" s="114"/>
      <c r="AM948" s="114"/>
      <c r="AN948" s="114"/>
      <c r="AO948" s="114"/>
      <c r="AP948" s="114"/>
      <c r="AQ948" s="114"/>
      <c r="AR948" s="114"/>
      <c r="AS948" s="114"/>
      <c r="AT948" s="114"/>
      <c r="AU948" s="114"/>
      <c r="AV948" s="114"/>
      <c r="AW948" s="114"/>
      <c r="AX948" s="114"/>
      <c r="AY948" s="114"/>
      <c r="AZ948" s="114"/>
    </row>
    <row r="949" spans="1:52">
      <c r="A949" s="111"/>
      <c r="B949" s="111"/>
      <c r="C949" s="112"/>
      <c r="D949" s="101"/>
      <c r="E949" s="101"/>
      <c r="F949" s="101"/>
      <c r="G949" s="111"/>
      <c r="H949" s="101"/>
      <c r="I949" s="101"/>
      <c r="J949" s="101"/>
      <c r="K949" s="101"/>
      <c r="L949" s="101"/>
      <c r="M949" s="101"/>
      <c r="N949" s="101"/>
      <c r="O949" s="101"/>
      <c r="P949" s="101"/>
      <c r="Q949" s="101"/>
      <c r="R949" s="101"/>
      <c r="S949" s="101"/>
      <c r="T949" s="101"/>
      <c r="U949" s="101"/>
      <c r="V949" s="101"/>
      <c r="W949" s="101"/>
      <c r="X949" s="101"/>
      <c r="Y949" s="114"/>
      <c r="Z949" s="114"/>
      <c r="AA949" s="114"/>
      <c r="AB949" s="114"/>
      <c r="AC949" s="114"/>
      <c r="AD949" s="114"/>
      <c r="AE949" s="114"/>
      <c r="AF949" s="114"/>
      <c r="AG949" s="114"/>
      <c r="AH949" s="114"/>
      <c r="AI949" s="114"/>
      <c r="AJ949" s="114"/>
      <c r="AK949" s="114"/>
      <c r="AL949" s="114"/>
      <c r="AM949" s="114"/>
      <c r="AN949" s="114"/>
      <c r="AO949" s="114"/>
      <c r="AP949" s="114"/>
      <c r="AQ949" s="114"/>
      <c r="AR949" s="114"/>
      <c r="AS949" s="114"/>
      <c r="AT949" s="114"/>
      <c r="AU949" s="114"/>
      <c r="AV949" s="114"/>
      <c r="AW949" s="114"/>
      <c r="AX949" s="114"/>
      <c r="AY949" s="114"/>
      <c r="AZ949" s="114"/>
    </row>
    <row r="950" spans="1:52">
      <c r="A950" s="111"/>
      <c r="B950" s="111"/>
      <c r="C950" s="112"/>
      <c r="D950" s="101"/>
      <c r="E950" s="101"/>
      <c r="F950" s="101"/>
      <c r="G950" s="111"/>
      <c r="H950" s="101"/>
      <c r="I950" s="101"/>
      <c r="J950" s="101"/>
      <c r="K950" s="101"/>
      <c r="L950" s="101"/>
      <c r="M950" s="101"/>
      <c r="N950" s="101"/>
      <c r="O950" s="101"/>
      <c r="P950" s="101"/>
      <c r="Q950" s="101"/>
      <c r="R950" s="101"/>
      <c r="S950" s="101"/>
      <c r="T950" s="101"/>
      <c r="U950" s="101"/>
      <c r="V950" s="101"/>
      <c r="W950" s="101"/>
      <c r="X950" s="101"/>
      <c r="Y950" s="114"/>
      <c r="Z950" s="114"/>
      <c r="AA950" s="114"/>
      <c r="AB950" s="114"/>
      <c r="AC950" s="114"/>
      <c r="AD950" s="114"/>
      <c r="AE950" s="114"/>
      <c r="AF950" s="114"/>
      <c r="AG950" s="114"/>
      <c r="AH950" s="114"/>
      <c r="AI950" s="114"/>
      <c r="AJ950" s="114"/>
      <c r="AK950" s="114"/>
      <c r="AL950" s="114"/>
      <c r="AM950" s="114"/>
      <c r="AN950" s="114"/>
      <c r="AO950" s="114"/>
      <c r="AP950" s="114"/>
      <c r="AQ950" s="114"/>
      <c r="AR950" s="114"/>
      <c r="AS950" s="114"/>
      <c r="AT950" s="114"/>
      <c r="AU950" s="114"/>
      <c r="AV950" s="114"/>
      <c r="AW950" s="114"/>
      <c r="AX950" s="114"/>
      <c r="AY950" s="114"/>
      <c r="AZ950" s="114"/>
    </row>
    <row r="951" spans="1:52">
      <c r="A951" s="111"/>
      <c r="B951" s="111"/>
      <c r="C951" s="112"/>
      <c r="D951" s="101"/>
      <c r="E951" s="101"/>
      <c r="F951" s="101"/>
      <c r="G951" s="111"/>
      <c r="H951" s="101"/>
      <c r="I951" s="101"/>
      <c r="J951" s="101"/>
      <c r="K951" s="101"/>
      <c r="L951" s="101"/>
      <c r="M951" s="101"/>
      <c r="N951" s="101"/>
      <c r="O951" s="101"/>
      <c r="P951" s="101"/>
      <c r="Q951" s="101"/>
      <c r="R951" s="101"/>
      <c r="S951" s="101"/>
      <c r="T951" s="101"/>
      <c r="U951" s="101"/>
      <c r="V951" s="101"/>
      <c r="W951" s="101"/>
      <c r="X951" s="101"/>
      <c r="Y951" s="114"/>
      <c r="Z951" s="114"/>
      <c r="AA951" s="114"/>
      <c r="AB951" s="114"/>
      <c r="AC951" s="114"/>
      <c r="AD951" s="114"/>
      <c r="AE951" s="114"/>
      <c r="AF951" s="114"/>
      <c r="AG951" s="114"/>
      <c r="AH951" s="114"/>
      <c r="AI951" s="114"/>
      <c r="AJ951" s="114"/>
      <c r="AK951" s="114"/>
      <c r="AL951" s="114"/>
      <c r="AM951" s="114"/>
      <c r="AN951" s="114"/>
      <c r="AO951" s="114"/>
      <c r="AP951" s="114"/>
      <c r="AQ951" s="114"/>
      <c r="AR951" s="114"/>
      <c r="AS951" s="114"/>
      <c r="AT951" s="114"/>
      <c r="AU951" s="114"/>
      <c r="AV951" s="114"/>
      <c r="AW951" s="114"/>
      <c r="AX951" s="114"/>
      <c r="AY951" s="114"/>
      <c r="AZ951" s="114"/>
    </row>
    <row r="952" spans="1:52">
      <c r="A952" s="111"/>
      <c r="B952" s="111"/>
      <c r="C952" s="112"/>
      <c r="D952" s="101"/>
      <c r="E952" s="101"/>
      <c r="F952" s="101"/>
      <c r="G952" s="111"/>
      <c r="H952" s="101"/>
      <c r="I952" s="101"/>
      <c r="J952" s="101"/>
      <c r="K952" s="101"/>
      <c r="L952" s="101"/>
      <c r="M952" s="101"/>
      <c r="N952" s="101"/>
      <c r="O952" s="101"/>
      <c r="P952" s="101"/>
      <c r="Q952" s="101"/>
      <c r="R952" s="101"/>
      <c r="S952" s="101"/>
      <c r="T952" s="101"/>
      <c r="U952" s="101"/>
      <c r="V952" s="101"/>
      <c r="W952" s="101"/>
      <c r="X952" s="101"/>
      <c r="Y952" s="114"/>
      <c r="Z952" s="114"/>
      <c r="AA952" s="114"/>
      <c r="AB952" s="114"/>
      <c r="AC952" s="114"/>
      <c r="AD952" s="114"/>
      <c r="AE952" s="114"/>
      <c r="AF952" s="114"/>
      <c r="AG952" s="114"/>
      <c r="AH952" s="114"/>
      <c r="AI952" s="114"/>
      <c r="AJ952" s="114"/>
      <c r="AK952" s="114"/>
      <c r="AL952" s="114"/>
      <c r="AM952" s="114"/>
      <c r="AN952" s="114"/>
      <c r="AO952" s="114"/>
      <c r="AP952" s="114"/>
      <c r="AQ952" s="114"/>
      <c r="AR952" s="114"/>
      <c r="AS952" s="114"/>
      <c r="AT952" s="114"/>
      <c r="AU952" s="114"/>
      <c r="AV952" s="114"/>
      <c r="AW952" s="114"/>
      <c r="AX952" s="114"/>
      <c r="AY952" s="114"/>
      <c r="AZ952" s="114"/>
    </row>
    <row r="953" spans="1:52">
      <c r="A953" s="111"/>
      <c r="B953" s="111"/>
      <c r="C953" s="112"/>
      <c r="D953" s="101"/>
      <c r="E953" s="101"/>
      <c r="F953" s="101"/>
      <c r="G953" s="111"/>
      <c r="H953" s="101"/>
      <c r="I953" s="101"/>
      <c r="J953" s="101"/>
      <c r="K953" s="101"/>
      <c r="L953" s="101"/>
      <c r="M953" s="101"/>
      <c r="N953" s="101"/>
      <c r="O953" s="101"/>
      <c r="P953" s="101"/>
      <c r="Q953" s="101"/>
      <c r="R953" s="101"/>
      <c r="S953" s="101"/>
      <c r="T953" s="101"/>
      <c r="U953" s="101"/>
      <c r="V953" s="101"/>
      <c r="W953" s="101"/>
      <c r="X953" s="101"/>
      <c r="Y953" s="114"/>
      <c r="Z953" s="114"/>
      <c r="AA953" s="114"/>
      <c r="AB953" s="114"/>
      <c r="AC953" s="114"/>
      <c r="AD953" s="114"/>
      <c r="AE953" s="114"/>
      <c r="AF953" s="114"/>
      <c r="AG953" s="114"/>
      <c r="AH953" s="114"/>
      <c r="AI953" s="114"/>
      <c r="AJ953" s="114"/>
      <c r="AK953" s="114"/>
      <c r="AL953" s="114"/>
      <c r="AM953" s="114"/>
      <c r="AN953" s="114"/>
      <c r="AO953" s="114"/>
      <c r="AP953" s="114"/>
      <c r="AQ953" s="114"/>
      <c r="AR953" s="114"/>
      <c r="AS953" s="114"/>
      <c r="AT953" s="114"/>
      <c r="AU953" s="114"/>
      <c r="AV953" s="114"/>
      <c r="AW953" s="114"/>
      <c r="AX953" s="114"/>
      <c r="AY953" s="114"/>
      <c r="AZ953" s="114"/>
    </row>
    <row r="954" spans="1:52">
      <c r="A954" s="111"/>
      <c r="B954" s="111"/>
      <c r="C954" s="112"/>
      <c r="D954" s="101"/>
      <c r="E954" s="101"/>
      <c r="F954" s="101"/>
      <c r="G954" s="111"/>
      <c r="H954" s="101"/>
      <c r="I954" s="101"/>
      <c r="J954" s="101"/>
      <c r="K954" s="101"/>
      <c r="L954" s="101"/>
      <c r="M954" s="101"/>
      <c r="N954" s="101"/>
      <c r="O954" s="101"/>
      <c r="P954" s="101"/>
      <c r="Q954" s="101"/>
      <c r="R954" s="101"/>
      <c r="S954" s="101"/>
      <c r="T954" s="101"/>
      <c r="U954" s="101"/>
      <c r="V954" s="101"/>
      <c r="W954" s="101"/>
      <c r="X954" s="101"/>
      <c r="Y954" s="114"/>
      <c r="Z954" s="114"/>
      <c r="AA954" s="114"/>
      <c r="AB954" s="114"/>
      <c r="AC954" s="114"/>
      <c r="AD954" s="114"/>
      <c r="AE954" s="114"/>
      <c r="AF954" s="114"/>
      <c r="AG954" s="114"/>
      <c r="AH954" s="114"/>
      <c r="AI954" s="114"/>
      <c r="AJ954" s="114"/>
      <c r="AK954" s="114"/>
      <c r="AL954" s="114"/>
      <c r="AM954" s="114"/>
      <c r="AN954" s="114"/>
      <c r="AO954" s="114"/>
      <c r="AP954" s="114"/>
      <c r="AQ954" s="114"/>
      <c r="AR954" s="114"/>
      <c r="AS954" s="114"/>
      <c r="AT954" s="114"/>
      <c r="AU954" s="114"/>
      <c r="AV954" s="114"/>
      <c r="AW954" s="114"/>
      <c r="AX954" s="114"/>
      <c r="AY954" s="114"/>
      <c r="AZ954" s="114"/>
    </row>
    <row r="955" spans="1:52">
      <c r="A955" s="111"/>
      <c r="B955" s="111"/>
      <c r="C955" s="112"/>
      <c r="D955" s="101"/>
      <c r="E955" s="101"/>
      <c r="F955" s="101"/>
      <c r="G955" s="111"/>
      <c r="H955" s="101"/>
      <c r="I955" s="101"/>
      <c r="J955" s="101"/>
      <c r="K955" s="101"/>
      <c r="L955" s="101"/>
      <c r="M955" s="101"/>
      <c r="N955" s="101"/>
      <c r="O955" s="101"/>
      <c r="P955" s="101"/>
      <c r="Q955" s="101"/>
      <c r="R955" s="101"/>
      <c r="S955" s="101"/>
      <c r="T955" s="101"/>
      <c r="U955" s="101"/>
      <c r="V955" s="101"/>
      <c r="W955" s="101"/>
      <c r="X955" s="101"/>
      <c r="Y955" s="114"/>
      <c r="Z955" s="114"/>
      <c r="AA955" s="114"/>
      <c r="AB955" s="114"/>
      <c r="AC955" s="114"/>
      <c r="AD955" s="114"/>
      <c r="AE955" s="114"/>
      <c r="AF955" s="114"/>
      <c r="AG955" s="114"/>
      <c r="AH955" s="114"/>
      <c r="AI955" s="114"/>
      <c r="AJ955" s="114"/>
      <c r="AK955" s="114"/>
      <c r="AL955" s="114"/>
      <c r="AM955" s="114"/>
      <c r="AN955" s="114"/>
      <c r="AO955" s="114"/>
      <c r="AP955" s="114"/>
      <c r="AQ955" s="114"/>
      <c r="AR955" s="114"/>
      <c r="AS955" s="114"/>
      <c r="AT955" s="114"/>
      <c r="AU955" s="114"/>
      <c r="AV955" s="114"/>
      <c r="AW955" s="114"/>
      <c r="AX955" s="114"/>
      <c r="AY955" s="114"/>
      <c r="AZ955" s="114"/>
    </row>
    <row r="956" spans="1:52">
      <c r="A956" s="111"/>
      <c r="B956" s="111"/>
      <c r="C956" s="112"/>
      <c r="D956" s="101"/>
      <c r="E956" s="101"/>
      <c r="F956" s="101"/>
      <c r="G956" s="111"/>
      <c r="H956" s="101"/>
      <c r="I956" s="101"/>
      <c r="J956" s="101"/>
      <c r="K956" s="101"/>
      <c r="L956" s="101"/>
      <c r="M956" s="101"/>
      <c r="N956" s="101"/>
      <c r="O956" s="101"/>
      <c r="P956" s="101"/>
      <c r="Q956" s="101"/>
      <c r="R956" s="101"/>
      <c r="S956" s="101"/>
      <c r="T956" s="101"/>
      <c r="U956" s="101"/>
      <c r="V956" s="101"/>
      <c r="W956" s="101"/>
      <c r="X956" s="101"/>
      <c r="Y956" s="114"/>
      <c r="Z956" s="114"/>
      <c r="AA956" s="114"/>
      <c r="AB956" s="114"/>
      <c r="AC956" s="114"/>
      <c r="AD956" s="114"/>
      <c r="AE956" s="114"/>
      <c r="AF956" s="114"/>
      <c r="AG956" s="114"/>
      <c r="AH956" s="114"/>
      <c r="AI956" s="114"/>
      <c r="AJ956" s="114"/>
      <c r="AK956" s="114"/>
      <c r="AL956" s="114"/>
      <c r="AM956" s="114"/>
      <c r="AN956" s="114"/>
      <c r="AO956" s="114"/>
      <c r="AP956" s="114"/>
      <c r="AQ956" s="114"/>
      <c r="AR956" s="114"/>
      <c r="AS956" s="114"/>
      <c r="AT956" s="114"/>
      <c r="AU956" s="114"/>
      <c r="AV956" s="114"/>
      <c r="AW956" s="114"/>
      <c r="AX956" s="114"/>
      <c r="AY956" s="114"/>
      <c r="AZ956" s="114"/>
    </row>
    <row r="957" spans="1:52">
      <c r="A957" s="111"/>
      <c r="B957" s="111"/>
      <c r="C957" s="112"/>
      <c r="D957" s="101"/>
      <c r="E957" s="101"/>
      <c r="F957" s="101"/>
      <c r="G957" s="111"/>
      <c r="H957" s="101"/>
      <c r="I957" s="101"/>
      <c r="J957" s="101"/>
      <c r="K957" s="101"/>
      <c r="L957" s="101"/>
      <c r="M957" s="101"/>
      <c r="N957" s="101"/>
      <c r="O957" s="101"/>
      <c r="P957" s="101"/>
      <c r="Q957" s="101"/>
      <c r="R957" s="101"/>
      <c r="S957" s="101"/>
      <c r="T957" s="101"/>
      <c r="U957" s="101"/>
      <c r="V957" s="101"/>
      <c r="W957" s="101"/>
      <c r="X957" s="101"/>
      <c r="Y957" s="114"/>
      <c r="Z957" s="114"/>
      <c r="AA957" s="114"/>
      <c r="AB957" s="114"/>
      <c r="AC957" s="114"/>
      <c r="AD957" s="114"/>
      <c r="AE957" s="114"/>
      <c r="AF957" s="114"/>
      <c r="AG957" s="114"/>
      <c r="AH957" s="114"/>
      <c r="AI957" s="114"/>
      <c r="AJ957" s="114"/>
      <c r="AK957" s="114"/>
      <c r="AL957" s="114"/>
      <c r="AM957" s="114"/>
      <c r="AN957" s="114"/>
      <c r="AO957" s="114"/>
      <c r="AP957" s="114"/>
      <c r="AQ957" s="114"/>
      <c r="AR957" s="114"/>
      <c r="AS957" s="114"/>
      <c r="AT957" s="114"/>
      <c r="AU957" s="114"/>
      <c r="AV957" s="114"/>
      <c r="AW957" s="114"/>
      <c r="AX957" s="114"/>
      <c r="AY957" s="114"/>
      <c r="AZ957" s="114"/>
    </row>
    <row r="958" spans="1:52">
      <c r="A958" s="111"/>
      <c r="B958" s="111"/>
      <c r="C958" s="112"/>
      <c r="D958" s="101"/>
      <c r="E958" s="101"/>
      <c r="F958" s="101"/>
      <c r="G958" s="111"/>
      <c r="H958" s="101"/>
      <c r="I958" s="101"/>
      <c r="J958" s="101"/>
      <c r="K958" s="101"/>
      <c r="L958" s="101"/>
      <c r="M958" s="101"/>
      <c r="N958" s="101"/>
      <c r="O958" s="101"/>
      <c r="P958" s="101"/>
      <c r="Q958" s="101"/>
      <c r="R958" s="101"/>
      <c r="S958" s="101"/>
      <c r="T958" s="101"/>
      <c r="U958" s="101"/>
      <c r="V958" s="101"/>
      <c r="W958" s="101"/>
      <c r="X958" s="101"/>
      <c r="Y958" s="114"/>
      <c r="Z958" s="114"/>
      <c r="AA958" s="114"/>
      <c r="AB958" s="114"/>
      <c r="AC958" s="114"/>
      <c r="AD958" s="114"/>
      <c r="AE958" s="114"/>
      <c r="AF958" s="114"/>
      <c r="AG958" s="114"/>
      <c r="AH958" s="114"/>
      <c r="AI958" s="114"/>
      <c r="AJ958" s="114"/>
      <c r="AK958" s="114"/>
      <c r="AL958" s="114"/>
      <c r="AM958" s="114"/>
      <c r="AN958" s="114"/>
      <c r="AO958" s="114"/>
      <c r="AP958" s="114"/>
      <c r="AQ958" s="114"/>
      <c r="AR958" s="114"/>
      <c r="AS958" s="114"/>
      <c r="AT958" s="114"/>
      <c r="AU958" s="114"/>
      <c r="AV958" s="114"/>
      <c r="AW958" s="114"/>
      <c r="AX958" s="114"/>
      <c r="AY958" s="114"/>
      <c r="AZ958" s="114"/>
    </row>
    <row r="959" spans="1:52">
      <c r="A959" s="111"/>
      <c r="B959" s="111"/>
      <c r="C959" s="112"/>
      <c r="D959" s="101"/>
      <c r="E959" s="101"/>
      <c r="F959" s="101"/>
      <c r="G959" s="111"/>
      <c r="H959" s="101"/>
      <c r="I959" s="101"/>
      <c r="J959" s="101"/>
      <c r="K959" s="101"/>
      <c r="L959" s="101"/>
      <c r="M959" s="101"/>
      <c r="N959" s="101"/>
      <c r="O959" s="101"/>
      <c r="P959" s="101"/>
      <c r="Q959" s="101"/>
      <c r="R959" s="101"/>
      <c r="S959" s="101"/>
      <c r="T959" s="101"/>
      <c r="U959" s="101"/>
      <c r="V959" s="101"/>
      <c r="W959" s="101"/>
      <c r="X959" s="101"/>
      <c r="Y959" s="114"/>
      <c r="Z959" s="114"/>
      <c r="AA959" s="114"/>
      <c r="AB959" s="114"/>
      <c r="AC959" s="114"/>
      <c r="AD959" s="114"/>
      <c r="AE959" s="114"/>
      <c r="AF959" s="114"/>
      <c r="AG959" s="114"/>
      <c r="AH959" s="114"/>
      <c r="AI959" s="114"/>
      <c r="AJ959" s="114"/>
      <c r="AK959" s="114"/>
      <c r="AL959" s="114"/>
      <c r="AM959" s="114"/>
      <c r="AN959" s="114"/>
      <c r="AO959" s="114"/>
      <c r="AP959" s="114"/>
      <c r="AQ959" s="114"/>
      <c r="AR959" s="114"/>
      <c r="AS959" s="114"/>
      <c r="AT959" s="114"/>
      <c r="AU959" s="114"/>
      <c r="AV959" s="114"/>
      <c r="AW959" s="114"/>
      <c r="AX959" s="114"/>
      <c r="AY959" s="114"/>
      <c r="AZ959" s="114"/>
    </row>
    <row r="960" spans="1:52">
      <c r="A960" s="111"/>
      <c r="B960" s="111"/>
      <c r="C960" s="112"/>
      <c r="D960" s="101"/>
      <c r="E960" s="101"/>
      <c r="F960" s="101"/>
      <c r="G960" s="111"/>
      <c r="H960" s="101"/>
      <c r="I960" s="101"/>
      <c r="J960" s="101"/>
      <c r="K960" s="101"/>
      <c r="L960" s="101"/>
      <c r="M960" s="101"/>
      <c r="N960" s="101"/>
      <c r="O960" s="101"/>
      <c r="P960" s="101"/>
      <c r="Q960" s="101"/>
      <c r="R960" s="101"/>
      <c r="S960" s="101"/>
      <c r="T960" s="101"/>
      <c r="U960" s="101"/>
      <c r="V960" s="101"/>
      <c r="W960" s="101"/>
      <c r="X960" s="101"/>
      <c r="Y960" s="114"/>
      <c r="Z960" s="114"/>
      <c r="AA960" s="114"/>
      <c r="AB960" s="114"/>
      <c r="AC960" s="114"/>
      <c r="AD960" s="114"/>
      <c r="AE960" s="114"/>
      <c r="AF960" s="114"/>
      <c r="AG960" s="114"/>
      <c r="AH960" s="114"/>
      <c r="AI960" s="114"/>
      <c r="AJ960" s="114"/>
      <c r="AK960" s="114"/>
      <c r="AL960" s="114"/>
      <c r="AM960" s="114"/>
      <c r="AN960" s="114"/>
      <c r="AO960" s="114"/>
      <c r="AP960" s="114"/>
      <c r="AQ960" s="114"/>
      <c r="AR960" s="114"/>
      <c r="AS960" s="114"/>
      <c r="AT960" s="114"/>
      <c r="AU960" s="114"/>
      <c r="AV960" s="114"/>
      <c r="AW960" s="114"/>
      <c r="AX960" s="114"/>
      <c r="AY960" s="114"/>
      <c r="AZ960" s="114"/>
    </row>
    <row r="961" spans="1:52">
      <c r="A961" s="111"/>
      <c r="B961" s="111"/>
      <c r="C961" s="112"/>
      <c r="D961" s="101"/>
      <c r="E961" s="101"/>
      <c r="F961" s="101"/>
      <c r="G961" s="111"/>
      <c r="H961" s="101"/>
      <c r="I961" s="101"/>
      <c r="J961" s="101"/>
      <c r="K961" s="101"/>
      <c r="L961" s="101"/>
      <c r="M961" s="101"/>
      <c r="N961" s="101"/>
      <c r="O961" s="101"/>
      <c r="P961" s="101"/>
      <c r="Q961" s="101"/>
      <c r="R961" s="101"/>
      <c r="S961" s="101"/>
      <c r="T961" s="101"/>
      <c r="U961" s="101"/>
      <c r="V961" s="101"/>
      <c r="W961" s="101"/>
      <c r="X961" s="101"/>
      <c r="Y961" s="114"/>
      <c r="Z961" s="114"/>
      <c r="AA961" s="114"/>
      <c r="AB961" s="114"/>
      <c r="AC961" s="114"/>
      <c r="AD961" s="114"/>
      <c r="AE961" s="114"/>
      <c r="AF961" s="114"/>
      <c r="AG961" s="114"/>
      <c r="AH961" s="114"/>
      <c r="AI961" s="114"/>
      <c r="AJ961" s="114"/>
      <c r="AK961" s="114"/>
      <c r="AL961" s="114"/>
      <c r="AM961" s="114"/>
      <c r="AN961" s="114"/>
      <c r="AO961" s="114"/>
      <c r="AP961" s="114"/>
      <c r="AQ961" s="114"/>
      <c r="AR961" s="114"/>
      <c r="AS961" s="114"/>
      <c r="AT961" s="114"/>
      <c r="AU961" s="114"/>
      <c r="AV961" s="114"/>
      <c r="AW961" s="114"/>
      <c r="AX961" s="114"/>
      <c r="AY961" s="114"/>
      <c r="AZ961" s="114"/>
    </row>
    <row r="962" spans="1:52">
      <c r="A962" s="111"/>
      <c r="B962" s="111"/>
      <c r="C962" s="112"/>
      <c r="D962" s="101"/>
      <c r="E962" s="101"/>
      <c r="F962" s="101"/>
      <c r="G962" s="111"/>
      <c r="H962" s="101"/>
      <c r="I962" s="101"/>
      <c r="J962" s="101"/>
      <c r="K962" s="101"/>
      <c r="L962" s="101"/>
      <c r="M962" s="101"/>
      <c r="N962" s="101"/>
      <c r="O962" s="101"/>
      <c r="P962" s="101"/>
      <c r="Q962" s="101"/>
      <c r="R962" s="101"/>
      <c r="S962" s="101"/>
      <c r="T962" s="101"/>
      <c r="U962" s="101"/>
      <c r="V962" s="101"/>
      <c r="W962" s="101"/>
      <c r="X962" s="101"/>
      <c r="Y962" s="114"/>
      <c r="Z962" s="114"/>
      <c r="AA962" s="114"/>
      <c r="AB962" s="114"/>
      <c r="AC962" s="114"/>
      <c r="AD962" s="114"/>
      <c r="AE962" s="114"/>
      <c r="AF962" s="114"/>
      <c r="AG962" s="114"/>
      <c r="AH962" s="114"/>
      <c r="AI962" s="114"/>
      <c r="AJ962" s="114"/>
      <c r="AK962" s="114"/>
      <c r="AL962" s="114"/>
      <c r="AM962" s="114"/>
      <c r="AN962" s="114"/>
      <c r="AO962" s="114"/>
      <c r="AP962" s="114"/>
      <c r="AQ962" s="114"/>
      <c r="AR962" s="114"/>
      <c r="AS962" s="114"/>
      <c r="AT962" s="114"/>
      <c r="AU962" s="114"/>
      <c r="AV962" s="114"/>
      <c r="AW962" s="114"/>
      <c r="AX962" s="114"/>
      <c r="AY962" s="114"/>
      <c r="AZ962" s="114"/>
    </row>
    <row r="963" spans="1:52">
      <c r="A963" s="111"/>
      <c r="B963" s="111"/>
      <c r="C963" s="112"/>
      <c r="D963" s="101"/>
      <c r="E963" s="101"/>
      <c r="F963" s="101"/>
      <c r="G963" s="111"/>
      <c r="H963" s="101"/>
      <c r="I963" s="101"/>
      <c r="J963" s="101"/>
      <c r="K963" s="101"/>
      <c r="L963" s="101"/>
      <c r="M963" s="101"/>
      <c r="N963" s="101"/>
      <c r="O963" s="101"/>
      <c r="P963" s="101"/>
      <c r="Q963" s="101"/>
      <c r="R963" s="101"/>
      <c r="S963" s="101"/>
      <c r="T963" s="101"/>
      <c r="U963" s="101"/>
      <c r="V963" s="101"/>
      <c r="W963" s="101"/>
      <c r="X963" s="101"/>
      <c r="Y963" s="114"/>
      <c r="Z963" s="114"/>
      <c r="AA963" s="114"/>
      <c r="AB963" s="114"/>
      <c r="AC963" s="114"/>
      <c r="AD963" s="114"/>
      <c r="AE963" s="114"/>
      <c r="AF963" s="114"/>
      <c r="AG963" s="114"/>
      <c r="AH963" s="114"/>
      <c r="AI963" s="114"/>
      <c r="AJ963" s="114"/>
      <c r="AK963" s="114"/>
      <c r="AL963" s="114"/>
      <c r="AM963" s="114"/>
      <c r="AN963" s="114"/>
      <c r="AO963" s="114"/>
      <c r="AP963" s="114"/>
      <c r="AQ963" s="114"/>
      <c r="AR963" s="114"/>
      <c r="AS963" s="114"/>
      <c r="AT963" s="114"/>
      <c r="AU963" s="114"/>
      <c r="AV963" s="114"/>
      <c r="AW963" s="114"/>
      <c r="AX963" s="114"/>
      <c r="AY963" s="114"/>
      <c r="AZ963" s="114"/>
    </row>
    <row r="964" spans="1:52">
      <c r="A964" s="111"/>
      <c r="B964" s="111"/>
      <c r="C964" s="112"/>
      <c r="D964" s="101"/>
      <c r="E964" s="101"/>
      <c r="F964" s="101"/>
      <c r="G964" s="111"/>
      <c r="H964" s="101"/>
      <c r="I964" s="101"/>
      <c r="J964" s="101"/>
      <c r="K964" s="101"/>
      <c r="L964" s="101"/>
      <c r="M964" s="101"/>
      <c r="N964" s="101"/>
      <c r="O964" s="101"/>
      <c r="P964" s="101"/>
      <c r="Q964" s="101"/>
      <c r="R964" s="101"/>
      <c r="S964" s="101"/>
      <c r="T964" s="101"/>
      <c r="U964" s="101"/>
      <c r="V964" s="101"/>
      <c r="W964" s="101"/>
      <c r="X964" s="101"/>
      <c r="Y964" s="114"/>
      <c r="Z964" s="114"/>
      <c r="AA964" s="114"/>
      <c r="AB964" s="114"/>
      <c r="AC964" s="114"/>
      <c r="AD964" s="114"/>
      <c r="AE964" s="114"/>
      <c r="AF964" s="114"/>
      <c r="AG964" s="114"/>
      <c r="AH964" s="114"/>
      <c r="AI964" s="114"/>
      <c r="AJ964" s="114"/>
      <c r="AK964" s="114"/>
      <c r="AL964" s="114"/>
      <c r="AM964" s="114"/>
      <c r="AN964" s="114"/>
      <c r="AO964" s="114"/>
      <c r="AP964" s="114"/>
      <c r="AQ964" s="114"/>
      <c r="AR964" s="114"/>
      <c r="AS964" s="114"/>
      <c r="AT964" s="114"/>
      <c r="AU964" s="114"/>
      <c r="AV964" s="114"/>
      <c r="AW964" s="114"/>
      <c r="AX964" s="114"/>
      <c r="AY964" s="114"/>
      <c r="AZ964" s="114"/>
    </row>
    <row r="965" spans="1:52">
      <c r="A965" s="111"/>
      <c r="B965" s="111"/>
      <c r="C965" s="112"/>
      <c r="D965" s="101"/>
      <c r="E965" s="101"/>
      <c r="F965" s="101"/>
      <c r="G965" s="111"/>
      <c r="H965" s="101"/>
      <c r="I965" s="101"/>
      <c r="J965" s="101"/>
      <c r="K965" s="101"/>
      <c r="L965" s="101"/>
      <c r="M965" s="101"/>
      <c r="N965" s="101"/>
      <c r="O965" s="101"/>
      <c r="P965" s="101"/>
      <c r="Q965" s="101"/>
      <c r="R965" s="101"/>
      <c r="S965" s="101"/>
      <c r="T965" s="101"/>
      <c r="U965" s="101"/>
      <c r="V965" s="101"/>
      <c r="W965" s="101"/>
      <c r="X965" s="101"/>
      <c r="Y965" s="114"/>
      <c r="Z965" s="114"/>
      <c r="AA965" s="114"/>
      <c r="AB965" s="114"/>
      <c r="AC965" s="114"/>
      <c r="AD965" s="114"/>
      <c r="AE965" s="114"/>
      <c r="AF965" s="114"/>
      <c r="AG965" s="114"/>
      <c r="AH965" s="114"/>
      <c r="AI965" s="114"/>
      <c r="AJ965" s="114"/>
      <c r="AK965" s="114"/>
      <c r="AL965" s="114"/>
      <c r="AM965" s="114"/>
      <c r="AN965" s="114"/>
      <c r="AO965" s="114"/>
      <c r="AP965" s="114"/>
      <c r="AQ965" s="114"/>
      <c r="AR965" s="114"/>
      <c r="AS965" s="114"/>
      <c r="AT965" s="114"/>
      <c r="AU965" s="114"/>
      <c r="AV965" s="114"/>
      <c r="AW965" s="114"/>
      <c r="AX965" s="114"/>
      <c r="AY965" s="114"/>
      <c r="AZ965" s="114"/>
    </row>
    <row r="966" spans="1:52">
      <c r="A966" s="111"/>
      <c r="B966" s="111"/>
      <c r="C966" s="112"/>
      <c r="D966" s="101"/>
      <c r="E966" s="101"/>
      <c r="F966" s="101"/>
      <c r="G966" s="111"/>
      <c r="H966" s="101"/>
      <c r="I966" s="101"/>
      <c r="J966" s="101"/>
      <c r="K966" s="101"/>
      <c r="L966" s="101"/>
      <c r="M966" s="101"/>
      <c r="N966" s="101"/>
      <c r="O966" s="101"/>
      <c r="P966" s="101"/>
      <c r="Q966" s="101"/>
      <c r="R966" s="101"/>
      <c r="S966" s="101"/>
      <c r="T966" s="101"/>
      <c r="U966" s="101"/>
      <c r="V966" s="101"/>
      <c r="W966" s="101"/>
      <c r="X966" s="101"/>
      <c r="Y966" s="114"/>
      <c r="Z966" s="114"/>
      <c r="AA966" s="114"/>
      <c r="AB966" s="114"/>
      <c r="AC966" s="114"/>
      <c r="AD966" s="114"/>
      <c r="AE966" s="114"/>
      <c r="AF966" s="114"/>
      <c r="AG966" s="114"/>
      <c r="AH966" s="114"/>
      <c r="AI966" s="114"/>
      <c r="AJ966" s="114"/>
      <c r="AK966" s="114"/>
      <c r="AL966" s="114"/>
      <c r="AM966" s="114"/>
      <c r="AN966" s="114"/>
      <c r="AO966" s="114"/>
      <c r="AP966" s="114"/>
      <c r="AQ966" s="114"/>
      <c r="AR966" s="114"/>
      <c r="AS966" s="114"/>
      <c r="AT966" s="114"/>
      <c r="AU966" s="114"/>
      <c r="AV966" s="114"/>
      <c r="AW966" s="114"/>
      <c r="AX966" s="114"/>
      <c r="AY966" s="114"/>
      <c r="AZ966" s="114"/>
    </row>
    <row r="967" spans="1:52">
      <c r="A967" s="111"/>
      <c r="B967" s="111"/>
      <c r="C967" s="112"/>
      <c r="D967" s="101"/>
      <c r="E967" s="101"/>
      <c r="F967" s="101"/>
      <c r="G967" s="111"/>
      <c r="H967" s="101"/>
      <c r="I967" s="101"/>
      <c r="J967" s="101"/>
      <c r="K967" s="101"/>
      <c r="L967" s="101"/>
      <c r="M967" s="101"/>
      <c r="N967" s="101"/>
      <c r="O967" s="101"/>
      <c r="P967" s="101"/>
      <c r="Q967" s="101"/>
      <c r="R967" s="101"/>
      <c r="S967" s="101"/>
      <c r="T967" s="101"/>
      <c r="U967" s="101"/>
      <c r="V967" s="101"/>
      <c r="W967" s="101"/>
      <c r="X967" s="101"/>
      <c r="Y967" s="114"/>
      <c r="Z967" s="114"/>
      <c r="AA967" s="114"/>
      <c r="AB967" s="114"/>
      <c r="AC967" s="114"/>
      <c r="AD967" s="114"/>
      <c r="AE967" s="114"/>
      <c r="AF967" s="114"/>
      <c r="AG967" s="114"/>
      <c r="AH967" s="114"/>
      <c r="AI967" s="114"/>
      <c r="AJ967" s="114"/>
      <c r="AK967" s="114"/>
      <c r="AL967" s="114"/>
      <c r="AM967" s="114"/>
      <c r="AN967" s="114"/>
      <c r="AO967" s="114"/>
      <c r="AP967" s="114"/>
      <c r="AQ967" s="114"/>
      <c r="AR967" s="114"/>
      <c r="AS967" s="114"/>
      <c r="AT967" s="114"/>
      <c r="AU967" s="114"/>
      <c r="AV967" s="114"/>
      <c r="AW967" s="114"/>
      <c r="AX967" s="114"/>
      <c r="AY967" s="114"/>
      <c r="AZ967" s="114"/>
    </row>
    <row r="968" spans="1:52">
      <c r="A968" s="111"/>
      <c r="B968" s="111"/>
      <c r="C968" s="112"/>
      <c r="D968" s="101"/>
      <c r="E968" s="101"/>
      <c r="F968" s="101"/>
      <c r="G968" s="111"/>
      <c r="H968" s="101"/>
      <c r="I968" s="101"/>
      <c r="J968" s="101"/>
      <c r="K968" s="101"/>
      <c r="L968" s="101"/>
      <c r="M968" s="101"/>
      <c r="N968" s="101"/>
      <c r="O968" s="101"/>
      <c r="P968" s="101"/>
      <c r="Q968" s="101"/>
      <c r="R968" s="101"/>
      <c r="S968" s="101"/>
      <c r="T968" s="101"/>
      <c r="U968" s="101"/>
      <c r="V968" s="101"/>
      <c r="W968" s="101"/>
      <c r="X968" s="101"/>
      <c r="Y968" s="114"/>
      <c r="Z968" s="114"/>
      <c r="AA968" s="114"/>
      <c r="AB968" s="114"/>
      <c r="AC968" s="114"/>
      <c r="AD968" s="114"/>
      <c r="AE968" s="114"/>
      <c r="AF968" s="114"/>
      <c r="AG968" s="114"/>
      <c r="AH968" s="114"/>
      <c r="AI968" s="114"/>
      <c r="AJ968" s="114"/>
      <c r="AK968" s="114"/>
      <c r="AL968" s="114"/>
      <c r="AM968" s="114"/>
      <c r="AN968" s="114"/>
      <c r="AO968" s="114"/>
      <c r="AP968" s="114"/>
      <c r="AQ968" s="114"/>
      <c r="AR968" s="114"/>
      <c r="AS968" s="114"/>
      <c r="AT968" s="114"/>
      <c r="AU968" s="114"/>
      <c r="AV968" s="114"/>
      <c r="AW968" s="114"/>
      <c r="AX968" s="114"/>
      <c r="AY968" s="114"/>
      <c r="AZ968" s="114"/>
    </row>
    <row r="969" spans="1:52">
      <c r="A969" s="111"/>
      <c r="B969" s="111"/>
      <c r="C969" s="112"/>
      <c r="D969" s="101"/>
      <c r="E969" s="101"/>
      <c r="F969" s="101"/>
      <c r="G969" s="111"/>
      <c r="H969" s="101"/>
      <c r="I969" s="101"/>
      <c r="J969" s="101"/>
      <c r="K969" s="101"/>
      <c r="L969" s="101"/>
      <c r="M969" s="101"/>
      <c r="N969" s="101"/>
      <c r="O969" s="101"/>
      <c r="P969" s="101"/>
      <c r="Q969" s="101"/>
      <c r="R969" s="101"/>
      <c r="S969" s="101"/>
      <c r="T969" s="101"/>
      <c r="U969" s="101"/>
      <c r="V969" s="101"/>
      <c r="W969" s="101"/>
      <c r="X969" s="101"/>
      <c r="Y969" s="114"/>
      <c r="Z969" s="114"/>
      <c r="AA969" s="114"/>
      <c r="AB969" s="114"/>
      <c r="AC969" s="114"/>
      <c r="AD969" s="114"/>
      <c r="AE969" s="114"/>
      <c r="AF969" s="114"/>
      <c r="AG969" s="114"/>
      <c r="AH969" s="114"/>
      <c r="AI969" s="114"/>
      <c r="AJ969" s="114"/>
      <c r="AK969" s="114"/>
      <c r="AL969" s="114"/>
      <c r="AM969" s="114"/>
      <c r="AN969" s="114"/>
      <c r="AO969" s="114"/>
      <c r="AP969" s="114"/>
      <c r="AQ969" s="114"/>
      <c r="AR969" s="114"/>
      <c r="AS969" s="114"/>
      <c r="AT969" s="114"/>
      <c r="AU969" s="114"/>
      <c r="AV969" s="114"/>
      <c r="AW969" s="114"/>
      <c r="AX969" s="114"/>
      <c r="AY969" s="114"/>
      <c r="AZ969" s="114"/>
    </row>
    <row r="970" spans="1:52">
      <c r="A970" s="111"/>
      <c r="B970" s="111"/>
      <c r="C970" s="112"/>
      <c r="D970" s="101"/>
      <c r="E970" s="101"/>
      <c r="F970" s="101"/>
      <c r="G970" s="111"/>
      <c r="H970" s="101"/>
      <c r="I970" s="101"/>
      <c r="J970" s="101"/>
      <c r="K970" s="101"/>
      <c r="L970" s="101"/>
      <c r="M970" s="101"/>
      <c r="N970" s="101"/>
      <c r="O970" s="101"/>
      <c r="P970" s="101"/>
      <c r="Q970" s="101"/>
      <c r="R970" s="101"/>
      <c r="S970" s="101"/>
      <c r="T970" s="101"/>
      <c r="U970" s="101"/>
      <c r="V970" s="101"/>
      <c r="W970" s="101"/>
      <c r="X970" s="101"/>
      <c r="Y970" s="114"/>
      <c r="Z970" s="114"/>
      <c r="AA970" s="114"/>
      <c r="AB970" s="114"/>
      <c r="AC970" s="114"/>
      <c r="AD970" s="114"/>
      <c r="AE970" s="114"/>
      <c r="AF970" s="114"/>
      <c r="AG970" s="114"/>
      <c r="AH970" s="114"/>
      <c r="AI970" s="114"/>
      <c r="AJ970" s="114"/>
      <c r="AK970" s="114"/>
      <c r="AL970" s="114"/>
      <c r="AM970" s="114"/>
      <c r="AN970" s="114"/>
      <c r="AO970" s="114"/>
      <c r="AP970" s="114"/>
      <c r="AQ970" s="114"/>
      <c r="AR970" s="114"/>
      <c r="AS970" s="114"/>
      <c r="AT970" s="114"/>
      <c r="AU970" s="114"/>
      <c r="AV970" s="114"/>
      <c r="AW970" s="114"/>
      <c r="AX970" s="114"/>
      <c r="AY970" s="114"/>
      <c r="AZ970" s="114"/>
    </row>
    <row r="971" spans="1:52">
      <c r="A971" s="111"/>
      <c r="B971" s="111"/>
      <c r="C971" s="112"/>
      <c r="D971" s="101"/>
      <c r="E971" s="101"/>
      <c r="F971" s="101"/>
      <c r="G971" s="111"/>
      <c r="H971" s="101"/>
      <c r="I971" s="101"/>
      <c r="J971" s="101"/>
      <c r="K971" s="101"/>
      <c r="L971" s="101"/>
      <c r="M971" s="101"/>
      <c r="N971" s="101"/>
      <c r="O971" s="101"/>
      <c r="P971" s="101"/>
      <c r="Q971" s="101"/>
      <c r="R971" s="101"/>
      <c r="S971" s="101"/>
      <c r="T971" s="101"/>
      <c r="U971" s="101"/>
      <c r="V971" s="101"/>
      <c r="W971" s="101"/>
      <c r="X971" s="101"/>
      <c r="Y971" s="114"/>
      <c r="Z971" s="114"/>
      <c r="AA971" s="114"/>
      <c r="AB971" s="114"/>
      <c r="AC971" s="114"/>
      <c r="AD971" s="114"/>
      <c r="AE971" s="114"/>
      <c r="AF971" s="114"/>
      <c r="AG971" s="114"/>
      <c r="AH971" s="114"/>
      <c r="AI971" s="114"/>
      <c r="AJ971" s="114"/>
      <c r="AK971" s="114"/>
      <c r="AL971" s="114"/>
      <c r="AM971" s="114"/>
      <c r="AN971" s="114"/>
      <c r="AO971" s="114"/>
      <c r="AP971" s="114"/>
      <c r="AQ971" s="114"/>
      <c r="AR971" s="114"/>
      <c r="AS971" s="114"/>
      <c r="AT971" s="114"/>
      <c r="AU971" s="114"/>
      <c r="AV971" s="114"/>
      <c r="AW971" s="114"/>
      <c r="AX971" s="114"/>
      <c r="AY971" s="114"/>
      <c r="AZ971" s="114"/>
    </row>
    <row r="972" spans="1:52">
      <c r="A972" s="111"/>
      <c r="B972" s="111"/>
      <c r="C972" s="112"/>
      <c r="D972" s="101"/>
      <c r="E972" s="101"/>
      <c r="F972" s="101"/>
      <c r="G972" s="111"/>
      <c r="H972" s="101"/>
      <c r="I972" s="101"/>
      <c r="J972" s="101"/>
      <c r="K972" s="101"/>
      <c r="L972" s="101"/>
      <c r="M972" s="101"/>
      <c r="N972" s="101"/>
      <c r="O972" s="101"/>
      <c r="P972" s="101"/>
      <c r="Q972" s="101"/>
      <c r="R972" s="101"/>
      <c r="S972" s="101"/>
      <c r="T972" s="101"/>
      <c r="U972" s="101"/>
      <c r="V972" s="101"/>
      <c r="W972" s="101"/>
      <c r="X972" s="101"/>
      <c r="Y972" s="114"/>
      <c r="Z972" s="114"/>
      <c r="AA972" s="114"/>
      <c r="AB972" s="114"/>
      <c r="AC972" s="114"/>
      <c r="AD972" s="114"/>
      <c r="AE972" s="114"/>
      <c r="AF972" s="114"/>
      <c r="AG972" s="114"/>
      <c r="AH972" s="114"/>
      <c r="AI972" s="114"/>
      <c r="AJ972" s="114"/>
      <c r="AK972" s="114"/>
      <c r="AL972" s="114"/>
      <c r="AM972" s="114"/>
      <c r="AN972" s="114"/>
      <c r="AO972" s="114"/>
      <c r="AP972" s="114"/>
      <c r="AQ972" s="114"/>
      <c r="AR972" s="114"/>
      <c r="AS972" s="114"/>
      <c r="AT972" s="114"/>
      <c r="AU972" s="114"/>
      <c r="AV972" s="114"/>
      <c r="AW972" s="114"/>
      <c r="AX972" s="114"/>
      <c r="AY972" s="114"/>
      <c r="AZ972" s="114"/>
    </row>
    <row r="973" spans="1:52">
      <c r="A973" s="111"/>
      <c r="B973" s="111"/>
      <c r="C973" s="112"/>
      <c r="D973" s="101"/>
      <c r="E973" s="101"/>
      <c r="F973" s="101"/>
      <c r="G973" s="111"/>
      <c r="H973" s="101"/>
      <c r="I973" s="101"/>
      <c r="J973" s="101"/>
      <c r="K973" s="101"/>
      <c r="L973" s="101"/>
      <c r="M973" s="101"/>
      <c r="N973" s="101"/>
      <c r="O973" s="101"/>
      <c r="P973" s="101"/>
      <c r="Q973" s="101"/>
      <c r="R973" s="101"/>
      <c r="S973" s="101"/>
      <c r="T973" s="101"/>
      <c r="U973" s="101"/>
      <c r="V973" s="101"/>
      <c r="W973" s="101"/>
      <c r="X973" s="101"/>
      <c r="Y973" s="114"/>
      <c r="Z973" s="114"/>
      <c r="AA973" s="114"/>
      <c r="AB973" s="114"/>
      <c r="AC973" s="114"/>
      <c r="AD973" s="114"/>
      <c r="AE973" s="114"/>
      <c r="AF973" s="114"/>
      <c r="AG973" s="114"/>
      <c r="AH973" s="114"/>
      <c r="AI973" s="114"/>
      <c r="AJ973" s="114"/>
      <c r="AK973" s="114"/>
      <c r="AL973" s="114"/>
      <c r="AM973" s="114"/>
      <c r="AN973" s="114"/>
      <c r="AO973" s="114"/>
      <c r="AP973" s="114"/>
      <c r="AQ973" s="114"/>
      <c r="AR973" s="114"/>
      <c r="AS973" s="114"/>
      <c r="AT973" s="114"/>
      <c r="AU973" s="114"/>
      <c r="AV973" s="114"/>
      <c r="AW973" s="114"/>
      <c r="AX973" s="114"/>
      <c r="AY973" s="114"/>
      <c r="AZ973" s="114"/>
    </row>
    <row r="974" spans="1:52">
      <c r="A974" s="111"/>
      <c r="B974" s="111"/>
      <c r="C974" s="112"/>
      <c r="D974" s="101"/>
      <c r="E974" s="101"/>
      <c r="F974" s="101"/>
      <c r="G974" s="111"/>
      <c r="H974" s="101"/>
      <c r="I974" s="101"/>
      <c r="J974" s="101"/>
      <c r="K974" s="101"/>
      <c r="L974" s="101"/>
      <c r="M974" s="101"/>
      <c r="N974" s="101"/>
      <c r="O974" s="101"/>
      <c r="P974" s="101"/>
      <c r="Q974" s="101"/>
      <c r="R974" s="101"/>
      <c r="S974" s="101"/>
      <c r="T974" s="101"/>
      <c r="U974" s="101"/>
      <c r="V974" s="101"/>
      <c r="W974" s="101"/>
      <c r="X974" s="101"/>
      <c r="Y974" s="114"/>
      <c r="Z974" s="114"/>
      <c r="AA974" s="114"/>
      <c r="AB974" s="114"/>
      <c r="AC974" s="114"/>
      <c r="AD974" s="114"/>
      <c r="AE974" s="114"/>
      <c r="AF974" s="114"/>
      <c r="AG974" s="114"/>
      <c r="AH974" s="114"/>
      <c r="AI974" s="114"/>
      <c r="AJ974" s="114"/>
      <c r="AK974" s="114"/>
      <c r="AL974" s="114"/>
      <c r="AM974" s="114"/>
      <c r="AN974" s="114"/>
      <c r="AO974" s="114"/>
      <c r="AP974" s="114"/>
      <c r="AQ974" s="114"/>
      <c r="AR974" s="114"/>
      <c r="AS974" s="114"/>
      <c r="AT974" s="114"/>
      <c r="AU974" s="114"/>
      <c r="AV974" s="114"/>
      <c r="AW974" s="114"/>
      <c r="AX974" s="114"/>
      <c r="AY974" s="114"/>
      <c r="AZ974" s="114"/>
    </row>
    <row r="975" spans="1:52">
      <c r="A975" s="111"/>
      <c r="B975" s="111"/>
      <c r="C975" s="112"/>
      <c r="D975" s="101"/>
      <c r="E975" s="101"/>
      <c r="F975" s="101"/>
      <c r="G975" s="111"/>
      <c r="H975" s="101"/>
      <c r="I975" s="101"/>
      <c r="J975" s="101"/>
      <c r="K975" s="101"/>
      <c r="L975" s="101"/>
      <c r="M975" s="101"/>
      <c r="N975" s="101"/>
      <c r="O975" s="101"/>
      <c r="P975" s="101"/>
      <c r="Q975" s="101"/>
      <c r="R975" s="101"/>
      <c r="S975" s="101"/>
      <c r="T975" s="101"/>
      <c r="U975" s="101"/>
      <c r="V975" s="101"/>
      <c r="W975" s="101"/>
      <c r="X975" s="101"/>
      <c r="Y975" s="114"/>
      <c r="Z975" s="114"/>
      <c r="AA975" s="114"/>
      <c r="AB975" s="114"/>
      <c r="AC975" s="114"/>
      <c r="AD975" s="114"/>
      <c r="AE975" s="114"/>
      <c r="AF975" s="114"/>
      <c r="AG975" s="114"/>
      <c r="AH975" s="114"/>
      <c r="AI975" s="114"/>
      <c r="AJ975" s="114"/>
      <c r="AK975" s="114"/>
      <c r="AL975" s="114"/>
      <c r="AM975" s="114"/>
      <c r="AN975" s="114"/>
      <c r="AO975" s="114"/>
      <c r="AP975" s="114"/>
      <c r="AQ975" s="114"/>
      <c r="AR975" s="114"/>
      <c r="AS975" s="114"/>
      <c r="AT975" s="114"/>
      <c r="AU975" s="114"/>
      <c r="AV975" s="114"/>
      <c r="AW975" s="114"/>
      <c r="AX975" s="114"/>
      <c r="AY975" s="114"/>
      <c r="AZ975" s="114"/>
    </row>
    <row r="976" spans="1:52">
      <c r="A976" s="111"/>
      <c r="B976" s="111"/>
      <c r="C976" s="112"/>
      <c r="D976" s="101"/>
      <c r="E976" s="101"/>
      <c r="F976" s="101"/>
      <c r="G976" s="111"/>
      <c r="H976" s="101"/>
      <c r="I976" s="101"/>
      <c r="J976" s="101"/>
      <c r="K976" s="101"/>
      <c r="L976" s="101"/>
      <c r="M976" s="101"/>
      <c r="N976" s="101"/>
      <c r="O976" s="101"/>
      <c r="P976" s="101"/>
      <c r="Q976" s="101"/>
      <c r="R976" s="101"/>
      <c r="S976" s="101"/>
      <c r="T976" s="101"/>
      <c r="U976" s="101"/>
      <c r="V976" s="101"/>
      <c r="W976" s="101"/>
      <c r="X976" s="101"/>
      <c r="Y976" s="114"/>
      <c r="Z976" s="114"/>
      <c r="AA976" s="114"/>
      <c r="AB976" s="114"/>
      <c r="AC976" s="114"/>
      <c r="AD976" s="114"/>
      <c r="AE976" s="114"/>
      <c r="AF976" s="114"/>
      <c r="AG976" s="114"/>
      <c r="AH976" s="114"/>
      <c r="AI976" s="114"/>
      <c r="AJ976" s="114"/>
      <c r="AK976" s="114"/>
      <c r="AL976" s="114"/>
      <c r="AM976" s="114"/>
      <c r="AN976" s="114"/>
      <c r="AO976" s="114"/>
      <c r="AP976" s="114"/>
      <c r="AQ976" s="114"/>
      <c r="AR976" s="114"/>
      <c r="AS976" s="114"/>
      <c r="AT976" s="114"/>
      <c r="AU976" s="114"/>
      <c r="AV976" s="114"/>
      <c r="AW976" s="114"/>
      <c r="AX976" s="114"/>
      <c r="AY976" s="114"/>
      <c r="AZ976" s="114"/>
    </row>
    <row r="977" spans="1:52">
      <c r="A977" s="111"/>
      <c r="B977" s="111"/>
      <c r="C977" s="112"/>
      <c r="D977" s="101"/>
      <c r="E977" s="101"/>
      <c r="F977" s="101"/>
      <c r="G977" s="111"/>
      <c r="H977" s="101"/>
      <c r="I977" s="101"/>
      <c r="J977" s="101"/>
      <c r="K977" s="101"/>
      <c r="L977" s="101"/>
      <c r="M977" s="101"/>
      <c r="N977" s="101"/>
      <c r="O977" s="101"/>
      <c r="P977" s="101"/>
      <c r="Q977" s="101"/>
      <c r="R977" s="101"/>
      <c r="S977" s="101"/>
      <c r="T977" s="101"/>
      <c r="U977" s="101"/>
      <c r="V977" s="101"/>
      <c r="W977" s="101"/>
      <c r="X977" s="101"/>
      <c r="Y977" s="114"/>
      <c r="Z977" s="114"/>
      <c r="AA977" s="114"/>
      <c r="AB977" s="114"/>
      <c r="AC977" s="114"/>
      <c r="AD977" s="114"/>
      <c r="AE977" s="114"/>
      <c r="AF977" s="114"/>
      <c r="AG977" s="114"/>
      <c r="AH977" s="114"/>
      <c r="AI977" s="114"/>
      <c r="AJ977" s="114"/>
      <c r="AK977" s="114"/>
      <c r="AL977" s="114"/>
      <c r="AM977" s="114"/>
      <c r="AN977" s="114"/>
      <c r="AO977" s="114"/>
      <c r="AP977" s="114"/>
      <c r="AQ977" s="114"/>
      <c r="AR977" s="114"/>
      <c r="AS977" s="114"/>
      <c r="AT977" s="114"/>
      <c r="AU977" s="114"/>
      <c r="AV977" s="114"/>
      <c r="AW977" s="114"/>
      <c r="AX977" s="114"/>
      <c r="AY977" s="114"/>
      <c r="AZ977" s="114"/>
    </row>
    <row r="978" spans="1:52">
      <c r="A978" s="111"/>
      <c r="B978" s="111"/>
      <c r="C978" s="112"/>
      <c r="D978" s="101"/>
      <c r="E978" s="101"/>
      <c r="F978" s="101"/>
      <c r="G978" s="111"/>
      <c r="H978" s="101"/>
      <c r="I978" s="101"/>
      <c r="J978" s="101"/>
      <c r="K978" s="101"/>
      <c r="L978" s="101"/>
      <c r="M978" s="101"/>
      <c r="N978" s="101"/>
      <c r="O978" s="101"/>
      <c r="P978" s="101"/>
      <c r="Q978" s="101"/>
      <c r="R978" s="101"/>
      <c r="S978" s="101"/>
      <c r="T978" s="101"/>
      <c r="U978" s="101"/>
      <c r="V978" s="101"/>
      <c r="W978" s="101"/>
      <c r="X978" s="101"/>
      <c r="Y978" s="114"/>
      <c r="Z978" s="114"/>
      <c r="AA978" s="114"/>
      <c r="AB978" s="114"/>
      <c r="AC978" s="114"/>
      <c r="AD978" s="114"/>
      <c r="AE978" s="114"/>
      <c r="AF978" s="114"/>
      <c r="AG978" s="114"/>
      <c r="AH978" s="114"/>
      <c r="AI978" s="114"/>
      <c r="AJ978" s="114"/>
      <c r="AK978" s="114"/>
      <c r="AL978" s="114"/>
      <c r="AM978" s="114"/>
      <c r="AN978" s="114"/>
      <c r="AO978" s="114"/>
      <c r="AP978" s="114"/>
      <c r="AQ978" s="114"/>
      <c r="AR978" s="114"/>
      <c r="AS978" s="114"/>
      <c r="AT978" s="114"/>
      <c r="AU978" s="114"/>
      <c r="AV978" s="114"/>
      <c r="AW978" s="114"/>
      <c r="AX978" s="114"/>
      <c r="AY978" s="114"/>
      <c r="AZ978" s="114"/>
    </row>
    <row r="979" spans="1:52">
      <c r="A979" s="111"/>
      <c r="B979" s="111"/>
      <c r="C979" s="112"/>
      <c r="D979" s="101"/>
      <c r="E979" s="101"/>
      <c r="F979" s="101"/>
      <c r="G979" s="111"/>
      <c r="H979" s="101"/>
      <c r="I979" s="101"/>
      <c r="J979" s="101"/>
      <c r="K979" s="101"/>
      <c r="L979" s="101"/>
      <c r="M979" s="101"/>
      <c r="N979" s="101"/>
      <c r="O979" s="101"/>
      <c r="P979" s="101"/>
      <c r="Q979" s="101"/>
      <c r="R979" s="101"/>
      <c r="S979" s="101"/>
      <c r="T979" s="101"/>
      <c r="U979" s="101"/>
      <c r="V979" s="101"/>
      <c r="W979" s="101"/>
      <c r="X979" s="101"/>
      <c r="Y979" s="114"/>
      <c r="Z979" s="114"/>
      <c r="AA979" s="114"/>
      <c r="AB979" s="114"/>
      <c r="AC979" s="114"/>
      <c r="AD979" s="114"/>
      <c r="AE979" s="114"/>
      <c r="AF979" s="114"/>
      <c r="AG979" s="114"/>
      <c r="AH979" s="114"/>
      <c r="AI979" s="114"/>
      <c r="AJ979" s="114"/>
      <c r="AK979" s="114"/>
      <c r="AL979" s="114"/>
      <c r="AM979" s="114"/>
      <c r="AN979" s="114"/>
      <c r="AO979" s="114"/>
      <c r="AP979" s="114"/>
      <c r="AQ979" s="114"/>
      <c r="AR979" s="114"/>
      <c r="AS979" s="114"/>
      <c r="AT979" s="114"/>
      <c r="AU979" s="114"/>
      <c r="AV979" s="114"/>
      <c r="AW979" s="114"/>
      <c r="AX979" s="114"/>
      <c r="AY979" s="114"/>
      <c r="AZ979" s="114"/>
    </row>
    <row r="980" spans="1:52">
      <c r="A980" s="111"/>
      <c r="B980" s="111"/>
      <c r="C980" s="112"/>
      <c r="D980" s="101"/>
      <c r="E980" s="101"/>
      <c r="F980" s="101"/>
      <c r="G980" s="111"/>
      <c r="H980" s="101"/>
      <c r="I980" s="101"/>
      <c r="J980" s="101"/>
      <c r="K980" s="101"/>
      <c r="L980" s="101"/>
      <c r="M980" s="101"/>
      <c r="N980" s="101"/>
      <c r="O980" s="101"/>
      <c r="P980" s="101"/>
      <c r="Q980" s="101"/>
      <c r="R980" s="101"/>
      <c r="S980" s="101"/>
      <c r="T980" s="101"/>
      <c r="U980" s="101"/>
      <c r="V980" s="101"/>
      <c r="W980" s="101"/>
      <c r="X980" s="101"/>
      <c r="Y980" s="114"/>
      <c r="Z980" s="114"/>
      <c r="AA980" s="114"/>
      <c r="AB980" s="114"/>
      <c r="AC980" s="114"/>
      <c r="AD980" s="114"/>
      <c r="AE980" s="114"/>
      <c r="AF980" s="114"/>
      <c r="AG980" s="114"/>
      <c r="AH980" s="114"/>
      <c r="AI980" s="114"/>
      <c r="AJ980" s="114"/>
      <c r="AK980" s="114"/>
      <c r="AL980" s="114"/>
      <c r="AM980" s="114"/>
      <c r="AN980" s="114"/>
      <c r="AO980" s="114"/>
      <c r="AP980" s="114"/>
      <c r="AQ980" s="114"/>
      <c r="AR980" s="114"/>
      <c r="AS980" s="114"/>
      <c r="AT980" s="114"/>
      <c r="AU980" s="114"/>
      <c r="AV980" s="114"/>
      <c r="AW980" s="114"/>
      <c r="AX980" s="114"/>
      <c r="AY980" s="114"/>
      <c r="AZ980" s="114"/>
    </row>
    <row r="981" spans="1:52">
      <c r="A981" s="111"/>
      <c r="B981" s="111"/>
      <c r="C981" s="112"/>
      <c r="D981" s="101"/>
      <c r="E981" s="101"/>
      <c r="F981" s="101"/>
      <c r="G981" s="111"/>
      <c r="H981" s="101"/>
      <c r="I981" s="101"/>
      <c r="J981" s="101"/>
      <c r="K981" s="101"/>
      <c r="L981" s="101"/>
      <c r="M981" s="101"/>
      <c r="N981" s="101"/>
      <c r="O981" s="101"/>
      <c r="P981" s="101"/>
      <c r="Q981" s="101"/>
      <c r="R981" s="101"/>
      <c r="S981" s="101"/>
      <c r="T981" s="101"/>
      <c r="U981" s="101"/>
      <c r="V981" s="101"/>
      <c r="W981" s="101"/>
      <c r="X981" s="101"/>
      <c r="Y981" s="114"/>
      <c r="Z981" s="114"/>
      <c r="AA981" s="114"/>
      <c r="AB981" s="114"/>
      <c r="AC981" s="114"/>
      <c r="AD981" s="114"/>
      <c r="AE981" s="114"/>
      <c r="AF981" s="114"/>
      <c r="AG981" s="114"/>
      <c r="AH981" s="114"/>
      <c r="AI981" s="114"/>
      <c r="AJ981" s="114"/>
      <c r="AK981" s="114"/>
      <c r="AL981" s="114"/>
      <c r="AM981" s="114"/>
      <c r="AN981" s="114"/>
      <c r="AO981" s="114"/>
      <c r="AP981" s="114"/>
      <c r="AQ981" s="114"/>
      <c r="AR981" s="114"/>
      <c r="AS981" s="114"/>
      <c r="AT981" s="114"/>
      <c r="AU981" s="114"/>
      <c r="AV981" s="114"/>
      <c r="AW981" s="114"/>
      <c r="AX981" s="114"/>
      <c r="AY981" s="114"/>
      <c r="AZ981" s="114"/>
    </row>
    <row r="982" spans="1:52">
      <c r="A982" s="111"/>
      <c r="B982" s="111"/>
      <c r="C982" s="112"/>
      <c r="D982" s="101"/>
      <c r="E982" s="101"/>
      <c r="F982" s="101"/>
      <c r="G982" s="111"/>
      <c r="H982" s="101"/>
      <c r="I982" s="101"/>
      <c r="J982" s="101"/>
      <c r="K982" s="101"/>
      <c r="L982" s="101"/>
      <c r="M982" s="101"/>
      <c r="N982" s="101"/>
      <c r="O982" s="101"/>
      <c r="P982" s="101"/>
      <c r="Q982" s="101"/>
      <c r="R982" s="101"/>
      <c r="S982" s="101"/>
      <c r="T982" s="101"/>
      <c r="U982" s="101"/>
      <c r="V982" s="101"/>
      <c r="W982" s="101"/>
      <c r="X982" s="101"/>
      <c r="Y982" s="114"/>
      <c r="Z982" s="114"/>
      <c r="AA982" s="114"/>
      <c r="AB982" s="114"/>
      <c r="AC982" s="114"/>
      <c r="AD982" s="114"/>
      <c r="AE982" s="114"/>
      <c r="AF982" s="114"/>
      <c r="AG982" s="114"/>
      <c r="AH982" s="114"/>
      <c r="AI982" s="114"/>
      <c r="AJ982" s="114"/>
      <c r="AK982" s="114"/>
      <c r="AL982" s="114"/>
      <c r="AM982" s="114"/>
      <c r="AN982" s="114"/>
      <c r="AO982" s="114"/>
      <c r="AP982" s="114"/>
      <c r="AQ982" s="114"/>
      <c r="AR982" s="114"/>
      <c r="AS982" s="114"/>
      <c r="AT982" s="114"/>
      <c r="AU982" s="114"/>
      <c r="AV982" s="114"/>
      <c r="AW982" s="114"/>
      <c r="AX982" s="114"/>
      <c r="AY982" s="114"/>
      <c r="AZ982" s="114"/>
    </row>
    <row r="983" spans="1:52">
      <c r="A983" s="111"/>
      <c r="B983" s="111"/>
      <c r="C983" s="112"/>
      <c r="D983" s="101"/>
      <c r="E983" s="101"/>
      <c r="F983" s="101"/>
      <c r="G983" s="111"/>
      <c r="H983" s="101"/>
      <c r="I983" s="101"/>
      <c r="J983" s="101"/>
      <c r="K983" s="101"/>
      <c r="L983" s="101"/>
      <c r="M983" s="101"/>
      <c r="N983" s="101"/>
      <c r="O983" s="101"/>
      <c r="P983" s="101"/>
      <c r="Q983" s="101"/>
      <c r="R983" s="101"/>
      <c r="S983" s="101"/>
      <c r="T983" s="101"/>
      <c r="U983" s="101"/>
      <c r="V983" s="101"/>
      <c r="W983" s="101"/>
      <c r="X983" s="101"/>
      <c r="Y983" s="114"/>
      <c r="Z983" s="114"/>
      <c r="AA983" s="114"/>
      <c r="AB983" s="114"/>
      <c r="AC983" s="114"/>
      <c r="AD983" s="114"/>
      <c r="AE983" s="114"/>
      <c r="AF983" s="114"/>
      <c r="AG983" s="114"/>
      <c r="AH983" s="114"/>
      <c r="AI983" s="114"/>
      <c r="AJ983" s="114"/>
      <c r="AK983" s="114"/>
      <c r="AL983" s="114"/>
      <c r="AM983" s="114"/>
      <c r="AN983" s="114"/>
      <c r="AO983" s="114"/>
      <c r="AP983" s="114"/>
      <c r="AQ983" s="114"/>
      <c r="AR983" s="114"/>
      <c r="AS983" s="114"/>
      <c r="AT983" s="114"/>
      <c r="AU983" s="114"/>
      <c r="AV983" s="114"/>
      <c r="AW983" s="114"/>
      <c r="AX983" s="114"/>
      <c r="AY983" s="114"/>
      <c r="AZ983" s="114"/>
    </row>
    <row r="984" spans="1:52">
      <c r="A984" s="111"/>
      <c r="B984" s="111"/>
      <c r="C984" s="112"/>
      <c r="D984" s="101"/>
      <c r="E984" s="101"/>
      <c r="F984" s="101"/>
      <c r="G984" s="111"/>
      <c r="H984" s="101"/>
      <c r="I984" s="101"/>
      <c r="J984" s="101"/>
      <c r="K984" s="101"/>
      <c r="L984" s="101"/>
      <c r="M984" s="101"/>
      <c r="N984" s="101"/>
      <c r="O984" s="101"/>
      <c r="P984" s="101"/>
      <c r="Q984" s="101"/>
      <c r="R984" s="101"/>
      <c r="S984" s="101"/>
      <c r="T984" s="101"/>
      <c r="U984" s="101"/>
      <c r="V984" s="101"/>
      <c r="W984" s="101"/>
      <c r="X984" s="101"/>
      <c r="Y984" s="114"/>
      <c r="Z984" s="114"/>
      <c r="AA984" s="114"/>
      <c r="AB984" s="114"/>
      <c r="AC984" s="114"/>
      <c r="AD984" s="114"/>
      <c r="AE984" s="114"/>
      <c r="AF984" s="114"/>
      <c r="AG984" s="114"/>
      <c r="AH984" s="114"/>
      <c r="AI984" s="114"/>
      <c r="AJ984" s="114"/>
      <c r="AK984" s="114"/>
      <c r="AL984" s="114"/>
      <c r="AM984" s="114"/>
      <c r="AN984" s="114"/>
      <c r="AO984" s="114"/>
      <c r="AP984" s="114"/>
      <c r="AQ984" s="114"/>
      <c r="AR984" s="114"/>
      <c r="AS984" s="114"/>
      <c r="AT984" s="114"/>
      <c r="AU984" s="114"/>
      <c r="AV984" s="114"/>
      <c r="AW984" s="114"/>
      <c r="AX984" s="114"/>
      <c r="AY984" s="114"/>
      <c r="AZ984" s="114"/>
    </row>
    <row r="985" spans="1:52">
      <c r="A985" s="111"/>
      <c r="B985" s="111"/>
      <c r="C985" s="112"/>
      <c r="D985" s="101"/>
      <c r="E985" s="101"/>
      <c r="F985" s="101"/>
      <c r="G985" s="111"/>
      <c r="H985" s="101"/>
      <c r="I985" s="101"/>
      <c r="J985" s="101"/>
      <c r="K985" s="101"/>
      <c r="L985" s="101"/>
      <c r="M985" s="101"/>
      <c r="N985" s="101"/>
      <c r="O985" s="101"/>
      <c r="P985" s="101"/>
      <c r="Q985" s="101"/>
      <c r="R985" s="101"/>
      <c r="S985" s="101"/>
      <c r="T985" s="101"/>
      <c r="U985" s="101"/>
      <c r="V985" s="101"/>
      <c r="W985" s="101"/>
      <c r="X985" s="101"/>
      <c r="Y985" s="114"/>
      <c r="Z985" s="114"/>
      <c r="AA985" s="114"/>
      <c r="AB985" s="114"/>
      <c r="AC985" s="114"/>
      <c r="AD985" s="114"/>
      <c r="AE985" s="114"/>
      <c r="AF985" s="114"/>
      <c r="AG985" s="114"/>
      <c r="AH985" s="114"/>
      <c r="AI985" s="114"/>
      <c r="AJ985" s="114"/>
      <c r="AK985" s="114"/>
      <c r="AL985" s="114"/>
      <c r="AM985" s="114"/>
      <c r="AN985" s="114"/>
      <c r="AO985" s="114"/>
      <c r="AP985" s="114"/>
      <c r="AQ985" s="114"/>
      <c r="AR985" s="114"/>
      <c r="AS985" s="114"/>
      <c r="AT985" s="114"/>
      <c r="AU985" s="114"/>
      <c r="AV985" s="114"/>
      <c r="AW985" s="114"/>
      <c r="AX985" s="114"/>
      <c r="AY985" s="114"/>
      <c r="AZ985" s="114"/>
    </row>
    <row r="986" spans="1:52">
      <c r="A986" s="111"/>
      <c r="B986" s="111"/>
      <c r="C986" s="112"/>
      <c r="D986" s="101"/>
      <c r="E986" s="101"/>
      <c r="F986" s="101"/>
      <c r="G986" s="111"/>
      <c r="H986" s="101"/>
      <c r="I986" s="101"/>
      <c r="J986" s="101"/>
      <c r="K986" s="101"/>
      <c r="L986" s="101"/>
      <c r="M986" s="101"/>
      <c r="N986" s="101"/>
      <c r="O986" s="101"/>
      <c r="P986" s="101"/>
      <c r="Q986" s="101"/>
      <c r="R986" s="101"/>
      <c r="S986" s="101"/>
      <c r="T986" s="101"/>
      <c r="U986" s="101"/>
      <c r="V986" s="101"/>
      <c r="W986" s="101"/>
      <c r="X986" s="101"/>
      <c r="Y986" s="114"/>
      <c r="Z986" s="114"/>
      <c r="AA986" s="114"/>
      <c r="AB986" s="114"/>
      <c r="AC986" s="114"/>
      <c r="AD986" s="114"/>
      <c r="AE986" s="114"/>
      <c r="AF986" s="114"/>
      <c r="AG986" s="114"/>
      <c r="AH986" s="114"/>
      <c r="AI986" s="114"/>
      <c r="AJ986" s="114"/>
      <c r="AK986" s="114"/>
      <c r="AL986" s="114"/>
      <c r="AM986" s="114"/>
      <c r="AN986" s="114"/>
      <c r="AO986" s="114"/>
      <c r="AP986" s="114"/>
      <c r="AQ986" s="114"/>
      <c r="AR986" s="114"/>
      <c r="AS986" s="114"/>
      <c r="AT986" s="114"/>
      <c r="AU986" s="114"/>
      <c r="AV986" s="114"/>
      <c r="AW986" s="114"/>
      <c r="AX986" s="114"/>
      <c r="AY986" s="114"/>
      <c r="AZ986" s="114"/>
    </row>
    <row r="987" spans="1:52">
      <c r="A987" s="111"/>
      <c r="B987" s="111"/>
      <c r="C987" s="112"/>
      <c r="D987" s="101"/>
      <c r="E987" s="101"/>
      <c r="F987" s="101"/>
      <c r="G987" s="111"/>
      <c r="H987" s="101"/>
      <c r="I987" s="101"/>
      <c r="J987" s="101"/>
      <c r="K987" s="101"/>
      <c r="L987" s="101"/>
      <c r="M987" s="101"/>
      <c r="N987" s="101"/>
      <c r="O987" s="101"/>
      <c r="P987" s="101"/>
      <c r="Q987" s="101"/>
      <c r="R987" s="101"/>
      <c r="S987" s="101"/>
      <c r="T987" s="101"/>
      <c r="U987" s="101"/>
      <c r="V987" s="101"/>
      <c r="W987" s="101"/>
      <c r="X987" s="101"/>
      <c r="Y987" s="114"/>
      <c r="Z987" s="114"/>
      <c r="AA987" s="114"/>
      <c r="AB987" s="114"/>
      <c r="AC987" s="114"/>
      <c r="AD987" s="114"/>
      <c r="AE987" s="114"/>
      <c r="AF987" s="114"/>
      <c r="AG987" s="114"/>
      <c r="AH987" s="114"/>
      <c r="AI987" s="114"/>
      <c r="AJ987" s="114"/>
      <c r="AK987" s="114"/>
      <c r="AL987" s="114"/>
      <c r="AM987" s="114"/>
      <c r="AN987" s="114"/>
      <c r="AO987" s="114"/>
      <c r="AP987" s="114"/>
      <c r="AQ987" s="114"/>
      <c r="AR987" s="114"/>
      <c r="AS987" s="114"/>
      <c r="AT987" s="114"/>
      <c r="AU987" s="114"/>
      <c r="AV987" s="114"/>
      <c r="AW987" s="114"/>
      <c r="AX987" s="114"/>
      <c r="AY987" s="114"/>
      <c r="AZ987" s="114"/>
    </row>
    <row r="988" spans="1:52">
      <c r="A988" s="111"/>
      <c r="B988" s="111"/>
      <c r="C988" s="112"/>
      <c r="D988" s="101"/>
      <c r="E988" s="101"/>
      <c r="F988" s="101"/>
      <c r="G988" s="111"/>
      <c r="H988" s="101"/>
      <c r="I988" s="101"/>
      <c r="J988" s="101"/>
      <c r="K988" s="101"/>
      <c r="L988" s="101"/>
      <c r="M988" s="101"/>
      <c r="N988" s="101"/>
      <c r="O988" s="101"/>
      <c r="P988" s="101"/>
      <c r="Q988" s="101"/>
      <c r="R988" s="101"/>
      <c r="S988" s="101"/>
      <c r="T988" s="101"/>
      <c r="U988" s="101"/>
      <c r="V988" s="101"/>
      <c r="W988" s="101"/>
      <c r="X988" s="101"/>
      <c r="Y988" s="114"/>
      <c r="Z988" s="114"/>
      <c r="AA988" s="114"/>
      <c r="AB988" s="114"/>
      <c r="AC988" s="114"/>
      <c r="AD988" s="114"/>
      <c r="AE988" s="114"/>
      <c r="AF988" s="114"/>
      <c r="AG988" s="114"/>
      <c r="AH988" s="114"/>
      <c r="AI988" s="114"/>
      <c r="AJ988" s="114"/>
      <c r="AK988" s="114"/>
      <c r="AL988" s="114"/>
      <c r="AM988" s="114"/>
      <c r="AN988" s="114"/>
      <c r="AO988" s="114"/>
      <c r="AP988" s="114"/>
      <c r="AQ988" s="114"/>
      <c r="AR988" s="114"/>
      <c r="AS988" s="114"/>
      <c r="AT988" s="114"/>
      <c r="AU988" s="114"/>
      <c r="AV988" s="114"/>
      <c r="AW988" s="114"/>
      <c r="AX988" s="114"/>
      <c r="AY988" s="114"/>
      <c r="AZ988" s="114"/>
    </row>
    <row r="989" spans="1:52">
      <c r="A989" s="111"/>
      <c r="B989" s="111"/>
      <c r="C989" s="112"/>
      <c r="D989" s="101"/>
      <c r="E989" s="101"/>
      <c r="F989" s="101"/>
      <c r="G989" s="111"/>
      <c r="H989" s="101"/>
      <c r="I989" s="101"/>
      <c r="J989" s="101"/>
      <c r="K989" s="101"/>
      <c r="L989" s="101"/>
      <c r="M989" s="101"/>
      <c r="N989" s="101"/>
      <c r="O989" s="101"/>
      <c r="P989" s="101"/>
      <c r="Q989" s="101"/>
      <c r="R989" s="101"/>
      <c r="S989" s="101"/>
      <c r="T989" s="101"/>
      <c r="U989" s="101"/>
      <c r="V989" s="101"/>
      <c r="W989" s="101"/>
      <c r="X989" s="101"/>
      <c r="Y989" s="114"/>
      <c r="Z989" s="114"/>
      <c r="AA989" s="114"/>
      <c r="AB989" s="114"/>
      <c r="AC989" s="114"/>
      <c r="AD989" s="114"/>
      <c r="AE989" s="114"/>
      <c r="AF989" s="114"/>
      <c r="AG989" s="114"/>
      <c r="AH989" s="114"/>
      <c r="AI989" s="114"/>
      <c r="AJ989" s="114"/>
      <c r="AK989" s="114"/>
      <c r="AL989" s="114"/>
      <c r="AM989" s="114"/>
      <c r="AN989" s="114"/>
      <c r="AO989" s="114"/>
      <c r="AP989" s="114"/>
      <c r="AQ989" s="114"/>
      <c r="AR989" s="114"/>
      <c r="AS989" s="114"/>
      <c r="AT989" s="114"/>
      <c r="AU989" s="114"/>
      <c r="AV989" s="114"/>
      <c r="AW989" s="114"/>
      <c r="AX989" s="114"/>
      <c r="AY989" s="114"/>
      <c r="AZ989" s="114"/>
    </row>
    <row r="990" spans="1:52">
      <c r="A990" s="111"/>
      <c r="B990" s="111"/>
      <c r="C990" s="112"/>
      <c r="D990" s="101"/>
      <c r="E990" s="101"/>
      <c r="F990" s="101"/>
      <c r="G990" s="111"/>
      <c r="H990" s="101"/>
      <c r="I990" s="101"/>
      <c r="J990" s="101"/>
      <c r="K990" s="101"/>
      <c r="L990" s="101"/>
      <c r="M990" s="101"/>
      <c r="N990" s="101"/>
      <c r="O990" s="101"/>
      <c r="P990" s="101"/>
      <c r="Q990" s="101"/>
      <c r="R990" s="101"/>
      <c r="S990" s="101"/>
      <c r="T990" s="101"/>
      <c r="U990" s="101"/>
      <c r="V990" s="101"/>
      <c r="W990" s="101"/>
      <c r="X990" s="101"/>
      <c r="Y990" s="114"/>
      <c r="Z990" s="114"/>
      <c r="AA990" s="114"/>
      <c r="AB990" s="114"/>
      <c r="AC990" s="114"/>
      <c r="AD990" s="114"/>
      <c r="AE990" s="114"/>
      <c r="AF990" s="114"/>
      <c r="AG990" s="114"/>
      <c r="AH990" s="114"/>
      <c r="AI990" s="114"/>
      <c r="AJ990" s="114"/>
      <c r="AK990" s="114"/>
      <c r="AL990" s="114"/>
      <c r="AM990" s="114"/>
      <c r="AN990" s="114"/>
      <c r="AO990" s="114"/>
      <c r="AP990" s="114"/>
      <c r="AQ990" s="114"/>
      <c r="AR990" s="114"/>
      <c r="AS990" s="114"/>
      <c r="AT990" s="114"/>
      <c r="AU990" s="114"/>
      <c r="AV990" s="114"/>
      <c r="AW990" s="114"/>
      <c r="AX990" s="114"/>
      <c r="AY990" s="114"/>
      <c r="AZ990" s="114"/>
    </row>
    <row r="991" spans="1:52">
      <c r="A991" s="111"/>
      <c r="B991" s="111"/>
      <c r="C991" s="112"/>
      <c r="D991" s="101"/>
      <c r="E991" s="101"/>
      <c r="F991" s="101"/>
      <c r="G991" s="111"/>
      <c r="H991" s="101"/>
      <c r="I991" s="101"/>
      <c r="J991" s="101"/>
      <c r="K991" s="101"/>
      <c r="L991" s="101"/>
      <c r="M991" s="101"/>
      <c r="N991" s="101"/>
      <c r="O991" s="101"/>
      <c r="P991" s="101"/>
      <c r="Q991" s="101"/>
      <c r="R991" s="101"/>
      <c r="S991" s="101"/>
      <c r="T991" s="101"/>
      <c r="U991" s="101"/>
      <c r="V991" s="101"/>
      <c r="W991" s="101"/>
      <c r="X991" s="101"/>
      <c r="Y991" s="114"/>
      <c r="Z991" s="114"/>
      <c r="AA991" s="114"/>
      <c r="AB991" s="114"/>
      <c r="AC991" s="114"/>
      <c r="AD991" s="114"/>
      <c r="AE991" s="114"/>
      <c r="AF991" s="114"/>
      <c r="AG991" s="114"/>
      <c r="AH991" s="114"/>
      <c r="AI991" s="114"/>
      <c r="AJ991" s="114"/>
      <c r="AK991" s="114"/>
      <c r="AL991" s="114"/>
      <c r="AM991" s="114"/>
      <c r="AN991" s="114"/>
      <c r="AO991" s="114"/>
      <c r="AP991" s="114"/>
      <c r="AQ991" s="114"/>
      <c r="AR991" s="114"/>
      <c r="AS991" s="114"/>
      <c r="AT991" s="114"/>
      <c r="AU991" s="114"/>
      <c r="AV991" s="114"/>
      <c r="AW991" s="114"/>
      <c r="AX991" s="114"/>
      <c r="AY991" s="114"/>
      <c r="AZ991" s="114"/>
    </row>
    <row r="992" spans="1:52">
      <c r="A992" s="111"/>
      <c r="B992" s="111"/>
      <c r="C992" s="112"/>
      <c r="D992" s="101"/>
      <c r="E992" s="101"/>
      <c r="F992" s="101"/>
      <c r="G992" s="111"/>
      <c r="H992" s="101"/>
      <c r="I992" s="101"/>
      <c r="J992" s="101"/>
      <c r="K992" s="101"/>
      <c r="L992" s="101"/>
      <c r="M992" s="101"/>
      <c r="N992" s="101"/>
      <c r="O992" s="101"/>
      <c r="P992" s="101"/>
      <c r="Q992" s="101"/>
      <c r="R992" s="101"/>
      <c r="S992" s="101"/>
      <c r="T992" s="101"/>
      <c r="U992" s="101"/>
      <c r="V992" s="101"/>
      <c r="W992" s="101"/>
      <c r="X992" s="101"/>
      <c r="Y992" s="114"/>
      <c r="Z992" s="114"/>
      <c r="AA992" s="114"/>
      <c r="AB992" s="114"/>
      <c r="AC992" s="114"/>
      <c r="AD992" s="114"/>
      <c r="AE992" s="114"/>
      <c r="AF992" s="114"/>
      <c r="AG992" s="114"/>
      <c r="AH992" s="114"/>
      <c r="AI992" s="114"/>
      <c r="AJ992" s="114"/>
      <c r="AK992" s="114"/>
      <c r="AL992" s="114"/>
      <c r="AM992" s="114"/>
      <c r="AN992" s="114"/>
      <c r="AO992" s="114"/>
      <c r="AP992" s="114"/>
      <c r="AQ992" s="114"/>
      <c r="AR992" s="114"/>
      <c r="AS992" s="114"/>
      <c r="AT992" s="114"/>
      <c r="AU992" s="114"/>
      <c r="AV992" s="114"/>
      <c r="AW992" s="114"/>
      <c r="AX992" s="114"/>
      <c r="AY992" s="114"/>
      <c r="AZ992" s="114"/>
    </row>
    <row r="993" spans="1:52">
      <c r="A993" s="111"/>
      <c r="B993" s="111"/>
      <c r="C993" s="112"/>
      <c r="D993" s="101"/>
      <c r="E993" s="101"/>
      <c r="F993" s="101"/>
      <c r="G993" s="111"/>
      <c r="H993" s="101"/>
      <c r="I993" s="101"/>
      <c r="J993" s="101"/>
      <c r="K993" s="101"/>
      <c r="L993" s="101"/>
      <c r="M993" s="101"/>
      <c r="N993" s="101"/>
      <c r="O993" s="101"/>
      <c r="P993" s="101"/>
      <c r="Q993" s="101"/>
      <c r="R993" s="101"/>
      <c r="S993" s="101"/>
      <c r="T993" s="101"/>
      <c r="U993" s="101"/>
      <c r="V993" s="101"/>
      <c r="W993" s="101"/>
      <c r="X993" s="101"/>
      <c r="Y993" s="114"/>
      <c r="Z993" s="114"/>
      <c r="AA993" s="114"/>
      <c r="AB993" s="114"/>
      <c r="AC993" s="114"/>
      <c r="AD993" s="114"/>
      <c r="AE993" s="114"/>
      <c r="AF993" s="114"/>
      <c r="AG993" s="114"/>
      <c r="AH993" s="114"/>
      <c r="AI993" s="114"/>
      <c r="AJ993" s="114"/>
      <c r="AK993" s="114"/>
      <c r="AL993" s="114"/>
      <c r="AM993" s="114"/>
      <c r="AN993" s="114"/>
      <c r="AO993" s="114"/>
      <c r="AP993" s="114"/>
      <c r="AQ993" s="114"/>
      <c r="AR993" s="114"/>
      <c r="AS993" s="114"/>
      <c r="AT993" s="114"/>
      <c r="AU993" s="114"/>
      <c r="AV993" s="114"/>
      <c r="AW993" s="114"/>
      <c r="AX993" s="114"/>
      <c r="AY993" s="114"/>
      <c r="AZ993" s="114"/>
    </row>
    <row r="994" spans="1:52">
      <c r="A994" s="111"/>
      <c r="B994" s="111"/>
      <c r="C994" s="112"/>
      <c r="D994" s="101"/>
      <c r="E994" s="101"/>
      <c r="F994" s="101"/>
      <c r="G994" s="111"/>
      <c r="H994" s="101"/>
      <c r="I994" s="101"/>
      <c r="J994" s="101"/>
      <c r="K994" s="101"/>
      <c r="L994" s="101"/>
      <c r="M994" s="101"/>
      <c r="N994" s="101"/>
      <c r="O994" s="101"/>
      <c r="P994" s="101"/>
      <c r="Q994" s="101"/>
      <c r="R994" s="101"/>
      <c r="S994" s="101"/>
      <c r="T994" s="101"/>
      <c r="U994" s="101"/>
      <c r="V994" s="101"/>
      <c r="W994" s="101"/>
      <c r="X994" s="101"/>
      <c r="Y994" s="114"/>
      <c r="Z994" s="114"/>
      <c r="AA994" s="114"/>
      <c r="AB994" s="114"/>
      <c r="AC994" s="114"/>
      <c r="AD994" s="114"/>
      <c r="AE994" s="114"/>
      <c r="AF994" s="114"/>
      <c r="AG994" s="114"/>
      <c r="AH994" s="114"/>
      <c r="AI994" s="114"/>
      <c r="AJ994" s="114"/>
      <c r="AK994" s="114"/>
      <c r="AL994" s="114"/>
      <c r="AM994" s="114"/>
      <c r="AN994" s="114"/>
      <c r="AO994" s="114"/>
      <c r="AP994" s="114"/>
      <c r="AQ994" s="114"/>
      <c r="AR994" s="114"/>
      <c r="AS994" s="114"/>
      <c r="AT994" s="114"/>
      <c r="AU994" s="114"/>
      <c r="AV994" s="114"/>
      <c r="AW994" s="114"/>
      <c r="AX994" s="114"/>
      <c r="AY994" s="114"/>
      <c r="AZ994" s="114"/>
    </row>
    <row r="995" spans="1:52">
      <c r="A995" s="111"/>
      <c r="B995" s="111"/>
      <c r="C995" s="112"/>
      <c r="D995" s="101"/>
      <c r="E995" s="101"/>
      <c r="F995" s="101"/>
      <c r="G995" s="111"/>
      <c r="H995" s="101"/>
      <c r="I995" s="101"/>
      <c r="J995" s="101"/>
      <c r="K995" s="101"/>
      <c r="L995" s="101"/>
      <c r="M995" s="101"/>
      <c r="N995" s="101"/>
      <c r="O995" s="101"/>
      <c r="P995" s="101"/>
      <c r="Q995" s="101"/>
      <c r="R995" s="101"/>
      <c r="S995" s="101"/>
      <c r="T995" s="101"/>
      <c r="U995" s="101"/>
      <c r="V995" s="101"/>
      <c r="W995" s="101"/>
      <c r="X995" s="101"/>
      <c r="Y995" s="114"/>
      <c r="Z995" s="114"/>
      <c r="AA995" s="114"/>
      <c r="AB995" s="114"/>
      <c r="AC995" s="114"/>
      <c r="AD995" s="114"/>
      <c r="AE995" s="114"/>
      <c r="AF995" s="114"/>
      <c r="AG995" s="114"/>
      <c r="AH995" s="114"/>
      <c r="AI995" s="114"/>
      <c r="AJ995" s="114"/>
      <c r="AK995" s="114"/>
      <c r="AL995" s="114"/>
      <c r="AM995" s="114"/>
      <c r="AN995" s="114"/>
      <c r="AO995" s="114"/>
      <c r="AP995" s="114"/>
      <c r="AQ995" s="114"/>
      <c r="AR995" s="114"/>
      <c r="AS995" s="114"/>
      <c r="AT995" s="114"/>
      <c r="AU995" s="114"/>
      <c r="AV995" s="114"/>
      <c r="AW995" s="114"/>
      <c r="AX995" s="114"/>
      <c r="AY995" s="114"/>
      <c r="AZ995" s="114"/>
    </row>
    <row r="996" spans="1:52">
      <c r="A996" s="111"/>
      <c r="B996" s="111"/>
      <c r="C996" s="112"/>
      <c r="D996" s="101"/>
      <c r="E996" s="101"/>
      <c r="F996" s="101"/>
      <c r="G996" s="111"/>
      <c r="H996" s="101"/>
      <c r="I996" s="101"/>
      <c r="J996" s="101"/>
      <c r="K996" s="101"/>
      <c r="L996" s="101"/>
      <c r="M996" s="101"/>
      <c r="N996" s="101"/>
      <c r="O996" s="101"/>
      <c r="P996" s="101"/>
      <c r="Q996" s="101"/>
      <c r="R996" s="101"/>
      <c r="S996" s="101"/>
      <c r="T996" s="101"/>
      <c r="U996" s="101"/>
      <c r="V996" s="101"/>
      <c r="W996" s="101"/>
      <c r="X996" s="101"/>
      <c r="Y996" s="114"/>
      <c r="Z996" s="114"/>
      <c r="AA996" s="114"/>
      <c r="AB996" s="114"/>
      <c r="AC996" s="114"/>
      <c r="AD996" s="114"/>
      <c r="AE996" s="114"/>
      <c r="AF996" s="114"/>
      <c r="AG996" s="114"/>
      <c r="AH996" s="114"/>
      <c r="AI996" s="114"/>
      <c r="AJ996" s="114"/>
      <c r="AK996" s="114"/>
      <c r="AL996" s="114"/>
      <c r="AM996" s="114"/>
      <c r="AN996" s="114"/>
      <c r="AO996" s="114"/>
      <c r="AP996" s="114"/>
      <c r="AQ996" s="114"/>
      <c r="AR996" s="114"/>
      <c r="AS996" s="114"/>
      <c r="AT996" s="114"/>
      <c r="AU996" s="114"/>
      <c r="AV996" s="114"/>
      <c r="AW996" s="114"/>
      <c r="AX996" s="114"/>
      <c r="AY996" s="114"/>
      <c r="AZ996" s="114"/>
    </row>
    <row r="997" spans="1:52">
      <c r="A997" s="111"/>
      <c r="B997" s="111"/>
      <c r="C997" s="112"/>
      <c r="D997" s="101"/>
      <c r="E997" s="101"/>
      <c r="F997" s="101"/>
      <c r="G997" s="111"/>
      <c r="H997" s="101"/>
      <c r="I997" s="101"/>
      <c r="J997" s="101"/>
      <c r="K997" s="101"/>
      <c r="L997" s="101"/>
      <c r="M997" s="101"/>
      <c r="N997" s="101"/>
      <c r="O997" s="101"/>
      <c r="P997" s="101"/>
      <c r="Q997" s="101"/>
      <c r="R997" s="101"/>
      <c r="S997" s="101"/>
      <c r="T997" s="101"/>
      <c r="U997" s="101"/>
      <c r="V997" s="101"/>
      <c r="W997" s="101"/>
      <c r="X997" s="101"/>
      <c r="Y997" s="114"/>
      <c r="Z997" s="114"/>
      <c r="AA997" s="114"/>
      <c r="AB997" s="114"/>
      <c r="AC997" s="114"/>
      <c r="AD997" s="114"/>
      <c r="AE997" s="114"/>
      <c r="AF997" s="114"/>
      <c r="AG997" s="114"/>
      <c r="AH997" s="114"/>
      <c r="AI997" s="114"/>
      <c r="AJ997" s="114"/>
      <c r="AK997" s="114"/>
      <c r="AL997" s="114"/>
      <c r="AM997" s="114"/>
      <c r="AN997" s="114"/>
      <c r="AO997" s="114"/>
      <c r="AP997" s="114"/>
      <c r="AQ997" s="114"/>
      <c r="AR997" s="114"/>
      <c r="AS997" s="114"/>
      <c r="AT997" s="114"/>
      <c r="AU997" s="114"/>
      <c r="AV997" s="114"/>
      <c r="AW997" s="114"/>
      <c r="AX997" s="114"/>
      <c r="AY997" s="114"/>
      <c r="AZ997" s="114"/>
    </row>
    <row r="998" spans="1:52">
      <c r="A998" s="111"/>
      <c r="B998" s="111"/>
      <c r="C998" s="112"/>
      <c r="D998" s="101"/>
      <c r="E998" s="101"/>
      <c r="F998" s="101"/>
      <c r="G998" s="111"/>
      <c r="H998" s="101"/>
      <c r="I998" s="101"/>
      <c r="J998" s="101"/>
      <c r="K998" s="101"/>
      <c r="L998" s="101"/>
      <c r="M998" s="101"/>
      <c r="N998" s="101"/>
      <c r="O998" s="101"/>
      <c r="P998" s="101"/>
      <c r="Q998" s="101"/>
      <c r="R998" s="101"/>
      <c r="S998" s="101"/>
      <c r="T998" s="101"/>
      <c r="U998" s="101"/>
      <c r="V998" s="101"/>
      <c r="W998" s="101"/>
      <c r="X998" s="101"/>
      <c r="Y998" s="114"/>
      <c r="Z998" s="114"/>
      <c r="AA998" s="114"/>
      <c r="AB998" s="114"/>
      <c r="AC998" s="114"/>
      <c r="AD998" s="114"/>
      <c r="AE998" s="114"/>
      <c r="AF998" s="114"/>
      <c r="AG998" s="114"/>
      <c r="AH998" s="114"/>
      <c r="AI998" s="114"/>
      <c r="AJ998" s="114"/>
      <c r="AK998" s="114"/>
      <c r="AL998" s="114"/>
      <c r="AM998" s="114"/>
      <c r="AN998" s="114"/>
      <c r="AO998" s="114"/>
      <c r="AP998" s="114"/>
      <c r="AQ998" s="114"/>
      <c r="AR998" s="114"/>
      <c r="AS998" s="114"/>
      <c r="AT998" s="114"/>
      <c r="AU998" s="114"/>
      <c r="AV998" s="114"/>
      <c r="AW998" s="114"/>
      <c r="AX998" s="114"/>
      <c r="AY998" s="114"/>
      <c r="AZ998" s="114"/>
    </row>
    <row r="999" spans="1:52">
      <c r="A999" s="111"/>
      <c r="B999" s="111"/>
      <c r="C999" s="112"/>
      <c r="D999" s="101"/>
      <c r="E999" s="101"/>
      <c r="F999" s="101"/>
      <c r="G999" s="111"/>
      <c r="H999" s="101"/>
      <c r="I999" s="101"/>
      <c r="J999" s="101"/>
      <c r="K999" s="101"/>
      <c r="L999" s="101"/>
      <c r="M999" s="101"/>
      <c r="N999" s="101"/>
      <c r="O999" s="101"/>
      <c r="P999" s="101"/>
      <c r="Q999" s="101"/>
      <c r="R999" s="101"/>
      <c r="S999" s="101"/>
      <c r="T999" s="101"/>
      <c r="U999" s="101"/>
      <c r="V999" s="101"/>
      <c r="W999" s="101"/>
      <c r="X999" s="101"/>
      <c r="Y999" s="114"/>
      <c r="Z999" s="114"/>
      <c r="AA999" s="114"/>
      <c r="AB999" s="114"/>
      <c r="AC999" s="114"/>
      <c r="AD999" s="114"/>
      <c r="AE999" s="114"/>
      <c r="AF999" s="114"/>
      <c r="AG999" s="114"/>
      <c r="AH999" s="114"/>
      <c r="AI999" s="114"/>
      <c r="AJ999" s="114"/>
      <c r="AK999" s="114"/>
      <c r="AL999" s="114"/>
      <c r="AM999" s="114"/>
      <c r="AN999" s="114"/>
      <c r="AO999" s="114"/>
      <c r="AP999" s="114"/>
      <c r="AQ999" s="114"/>
      <c r="AR999" s="114"/>
      <c r="AS999" s="114"/>
      <c r="AT999" s="114"/>
      <c r="AU999" s="114"/>
      <c r="AV999" s="114"/>
      <c r="AW999" s="114"/>
      <c r="AX999" s="114"/>
      <c r="AY999" s="114"/>
      <c r="AZ999" s="114"/>
    </row>
    <row r="1000" spans="1:52">
      <c r="A1000" s="111"/>
      <c r="B1000" s="111"/>
      <c r="C1000" s="112"/>
      <c r="D1000" s="101"/>
      <c r="E1000" s="101"/>
      <c r="F1000" s="101"/>
      <c r="G1000" s="111"/>
      <c r="H1000" s="101"/>
      <c r="I1000" s="101"/>
      <c r="J1000" s="101"/>
      <c r="K1000" s="101"/>
      <c r="L1000" s="101"/>
      <c r="M1000" s="101"/>
      <c r="N1000" s="101"/>
      <c r="O1000" s="101"/>
      <c r="P1000" s="101"/>
      <c r="Q1000" s="101"/>
      <c r="R1000" s="101"/>
      <c r="S1000" s="101"/>
      <c r="T1000" s="101"/>
      <c r="U1000" s="101"/>
      <c r="V1000" s="101"/>
      <c r="W1000" s="101"/>
      <c r="X1000" s="101"/>
      <c r="Y1000" s="114"/>
      <c r="Z1000" s="114"/>
      <c r="AA1000" s="114"/>
      <c r="AB1000" s="114"/>
      <c r="AC1000" s="114"/>
      <c r="AD1000" s="114"/>
      <c r="AE1000" s="114"/>
      <c r="AF1000" s="114"/>
      <c r="AG1000" s="114"/>
      <c r="AH1000" s="114"/>
      <c r="AI1000" s="114"/>
      <c r="AJ1000" s="114"/>
      <c r="AK1000" s="114"/>
      <c r="AL1000" s="114"/>
      <c r="AM1000" s="114"/>
      <c r="AN1000" s="114"/>
      <c r="AO1000" s="114"/>
      <c r="AP1000" s="114"/>
      <c r="AQ1000" s="114"/>
      <c r="AR1000" s="114"/>
      <c r="AS1000" s="114"/>
      <c r="AT1000" s="114"/>
      <c r="AU1000" s="114"/>
      <c r="AV1000" s="114"/>
      <c r="AW1000" s="114"/>
      <c r="AX1000" s="114"/>
      <c r="AY1000" s="114"/>
      <c r="AZ1000" s="114"/>
    </row>
    <row r="1001" spans="1:52">
      <c r="A1001" s="111"/>
      <c r="B1001" s="111"/>
      <c r="C1001" s="112"/>
      <c r="D1001" s="101"/>
      <c r="E1001" s="101"/>
      <c r="F1001" s="101"/>
      <c r="G1001" s="111"/>
      <c r="H1001" s="101"/>
      <c r="I1001" s="101"/>
      <c r="J1001" s="101"/>
      <c r="K1001" s="101"/>
      <c r="L1001" s="101"/>
      <c r="M1001" s="101"/>
      <c r="N1001" s="101"/>
      <c r="O1001" s="101"/>
      <c r="P1001" s="101"/>
      <c r="Q1001" s="101"/>
      <c r="R1001" s="101"/>
      <c r="S1001" s="101"/>
      <c r="T1001" s="101"/>
      <c r="U1001" s="101"/>
      <c r="V1001" s="101"/>
      <c r="W1001" s="101"/>
      <c r="X1001" s="101"/>
      <c r="Y1001" s="114"/>
      <c r="Z1001" s="114"/>
      <c r="AA1001" s="114"/>
      <c r="AB1001" s="114"/>
      <c r="AC1001" s="114"/>
      <c r="AD1001" s="114"/>
      <c r="AE1001" s="114"/>
      <c r="AF1001" s="114"/>
      <c r="AG1001" s="114"/>
      <c r="AH1001" s="114"/>
      <c r="AI1001" s="114"/>
      <c r="AJ1001" s="114"/>
      <c r="AK1001" s="114"/>
      <c r="AL1001" s="114"/>
      <c r="AM1001" s="114"/>
      <c r="AN1001" s="114"/>
      <c r="AO1001" s="114"/>
      <c r="AP1001" s="114"/>
      <c r="AQ1001" s="114"/>
      <c r="AR1001" s="114"/>
      <c r="AS1001" s="114"/>
      <c r="AT1001" s="114"/>
      <c r="AU1001" s="114"/>
      <c r="AV1001" s="114"/>
      <c r="AW1001" s="114"/>
      <c r="AX1001" s="114"/>
      <c r="AY1001" s="114"/>
      <c r="AZ1001" s="114"/>
    </row>
    <row r="1002" spans="1:52">
      <c r="A1002" s="111"/>
      <c r="B1002" s="111"/>
      <c r="C1002" s="112"/>
      <c r="D1002" s="101"/>
      <c r="E1002" s="101"/>
      <c r="F1002" s="101"/>
      <c r="G1002" s="111"/>
      <c r="H1002" s="101"/>
      <c r="I1002" s="101"/>
      <c r="J1002" s="101"/>
      <c r="K1002" s="101"/>
      <c r="L1002" s="101"/>
      <c r="M1002" s="101"/>
      <c r="N1002" s="101"/>
      <c r="O1002" s="101"/>
      <c r="P1002" s="101"/>
      <c r="Q1002" s="101"/>
      <c r="R1002" s="101"/>
      <c r="S1002" s="101"/>
      <c r="T1002" s="101"/>
      <c r="U1002" s="101"/>
      <c r="V1002" s="101"/>
      <c r="W1002" s="101"/>
      <c r="X1002" s="101"/>
      <c r="Y1002" s="114"/>
      <c r="Z1002" s="114"/>
      <c r="AA1002" s="114"/>
      <c r="AB1002" s="114"/>
      <c r="AC1002" s="114"/>
      <c r="AD1002" s="114"/>
      <c r="AE1002" s="114"/>
      <c r="AF1002" s="114"/>
      <c r="AG1002" s="114"/>
      <c r="AH1002" s="114"/>
      <c r="AI1002" s="114"/>
      <c r="AJ1002" s="114"/>
      <c r="AK1002" s="114"/>
      <c r="AL1002" s="114"/>
      <c r="AM1002" s="114"/>
      <c r="AN1002" s="114"/>
      <c r="AO1002" s="114"/>
      <c r="AP1002" s="114"/>
      <c r="AQ1002" s="114"/>
      <c r="AR1002" s="114"/>
      <c r="AS1002" s="114"/>
      <c r="AT1002" s="114"/>
      <c r="AU1002" s="114"/>
      <c r="AV1002" s="114"/>
      <c r="AW1002" s="114"/>
      <c r="AX1002" s="114"/>
      <c r="AY1002" s="114"/>
      <c r="AZ1002" s="114"/>
    </row>
    <row r="1003" spans="1:52">
      <c r="A1003" s="111"/>
      <c r="B1003" s="111"/>
      <c r="C1003" s="112"/>
      <c r="D1003" s="101"/>
      <c r="E1003" s="101"/>
      <c r="F1003" s="101"/>
      <c r="G1003" s="111"/>
      <c r="H1003" s="101"/>
      <c r="I1003" s="101"/>
      <c r="J1003" s="101"/>
      <c r="K1003" s="101"/>
      <c r="L1003" s="101"/>
      <c r="M1003" s="101"/>
      <c r="N1003" s="101"/>
      <c r="O1003" s="101"/>
      <c r="P1003" s="101"/>
      <c r="Q1003" s="101"/>
      <c r="R1003" s="101"/>
      <c r="S1003" s="101"/>
      <c r="T1003" s="101"/>
      <c r="U1003" s="101"/>
      <c r="V1003" s="101"/>
      <c r="W1003" s="101"/>
      <c r="X1003" s="101"/>
      <c r="Y1003" s="114"/>
      <c r="Z1003" s="114"/>
      <c r="AA1003" s="114"/>
      <c r="AB1003" s="114"/>
      <c r="AC1003" s="114"/>
      <c r="AD1003" s="114"/>
      <c r="AE1003" s="114"/>
      <c r="AF1003" s="114"/>
      <c r="AG1003" s="114"/>
      <c r="AH1003" s="114"/>
      <c r="AI1003" s="114"/>
      <c r="AJ1003" s="114"/>
      <c r="AK1003" s="114"/>
      <c r="AL1003" s="114"/>
      <c r="AM1003" s="114"/>
      <c r="AN1003" s="114"/>
      <c r="AO1003" s="114"/>
      <c r="AP1003" s="114"/>
      <c r="AQ1003" s="114"/>
      <c r="AR1003" s="114"/>
      <c r="AS1003" s="114"/>
      <c r="AT1003" s="114"/>
      <c r="AU1003" s="114"/>
      <c r="AV1003" s="114"/>
      <c r="AW1003" s="114"/>
      <c r="AX1003" s="114"/>
      <c r="AY1003" s="114"/>
      <c r="AZ1003" s="114"/>
    </row>
    <row r="1004" spans="1:52">
      <c r="A1004" s="111"/>
      <c r="B1004" s="111"/>
      <c r="C1004" s="112"/>
      <c r="D1004" s="101"/>
      <c r="E1004" s="101"/>
      <c r="F1004" s="101"/>
      <c r="G1004" s="111"/>
      <c r="H1004" s="101"/>
      <c r="I1004" s="101"/>
      <c r="J1004" s="101"/>
      <c r="K1004" s="101"/>
      <c r="L1004" s="101"/>
      <c r="M1004" s="101"/>
      <c r="N1004" s="101"/>
      <c r="O1004" s="101"/>
      <c r="P1004" s="101"/>
      <c r="Q1004" s="101"/>
      <c r="R1004" s="101"/>
      <c r="S1004" s="101"/>
      <c r="T1004" s="101"/>
      <c r="U1004" s="101"/>
      <c r="V1004" s="101"/>
      <c r="W1004" s="101"/>
      <c r="X1004" s="101"/>
      <c r="Y1004" s="114"/>
      <c r="Z1004" s="114"/>
      <c r="AA1004" s="114"/>
      <c r="AB1004" s="114"/>
      <c r="AC1004" s="114"/>
      <c r="AD1004" s="114"/>
      <c r="AE1004" s="114"/>
      <c r="AF1004" s="114"/>
      <c r="AG1004" s="114"/>
      <c r="AH1004" s="114"/>
      <c r="AI1004" s="114"/>
      <c r="AJ1004" s="114"/>
      <c r="AK1004" s="114"/>
      <c r="AL1004" s="114"/>
      <c r="AM1004" s="114"/>
      <c r="AN1004" s="114"/>
      <c r="AO1004" s="114"/>
      <c r="AP1004" s="114"/>
      <c r="AQ1004" s="114"/>
      <c r="AR1004" s="114"/>
      <c r="AS1004" s="114"/>
      <c r="AT1004" s="114"/>
      <c r="AU1004" s="114"/>
      <c r="AV1004" s="114"/>
      <c r="AW1004" s="114"/>
      <c r="AX1004" s="114"/>
      <c r="AY1004" s="114"/>
      <c r="AZ1004" s="114"/>
    </row>
    <row r="1005" spans="1:52">
      <c r="A1005" s="111"/>
      <c r="B1005" s="111"/>
      <c r="C1005" s="112"/>
      <c r="D1005" s="101"/>
      <c r="E1005" s="101"/>
      <c r="F1005" s="101"/>
      <c r="G1005" s="111"/>
      <c r="H1005" s="101"/>
      <c r="I1005" s="101"/>
      <c r="J1005" s="101"/>
      <c r="K1005" s="101"/>
      <c r="L1005" s="101"/>
      <c r="M1005" s="101"/>
      <c r="N1005" s="101"/>
      <c r="O1005" s="101"/>
      <c r="P1005" s="101"/>
      <c r="Q1005" s="101"/>
      <c r="R1005" s="101"/>
      <c r="S1005" s="101"/>
      <c r="T1005" s="101"/>
      <c r="U1005" s="101"/>
      <c r="V1005" s="101"/>
      <c r="W1005" s="101"/>
      <c r="X1005" s="101"/>
      <c r="Y1005" s="114"/>
      <c r="Z1005" s="114"/>
      <c r="AA1005" s="114"/>
      <c r="AB1005" s="114"/>
      <c r="AC1005" s="114"/>
      <c r="AD1005" s="114"/>
      <c r="AE1005" s="114"/>
      <c r="AF1005" s="114"/>
      <c r="AG1005" s="114"/>
      <c r="AH1005" s="114"/>
      <c r="AI1005" s="114"/>
      <c r="AJ1005" s="114"/>
      <c r="AK1005" s="114"/>
      <c r="AL1005" s="114"/>
      <c r="AM1005" s="114"/>
      <c r="AN1005" s="114"/>
      <c r="AO1005" s="114"/>
      <c r="AP1005" s="114"/>
      <c r="AQ1005" s="114"/>
      <c r="AR1005" s="114"/>
      <c r="AS1005" s="114"/>
      <c r="AT1005" s="114"/>
      <c r="AU1005" s="114"/>
      <c r="AV1005" s="114"/>
      <c r="AW1005" s="114"/>
      <c r="AX1005" s="114"/>
      <c r="AY1005" s="114"/>
      <c r="AZ1005" s="114"/>
    </row>
    <row r="1006" spans="1:52">
      <c r="A1006" s="111"/>
      <c r="B1006" s="111"/>
      <c r="C1006" s="112"/>
      <c r="D1006" s="101"/>
      <c r="E1006" s="101"/>
      <c r="F1006" s="101"/>
      <c r="G1006" s="111"/>
      <c r="H1006" s="101"/>
      <c r="I1006" s="101"/>
      <c r="J1006" s="101"/>
      <c r="K1006" s="101"/>
      <c r="L1006" s="101"/>
      <c r="M1006" s="101"/>
      <c r="N1006" s="101"/>
      <c r="O1006" s="101"/>
      <c r="P1006" s="101"/>
      <c r="Q1006" s="101"/>
      <c r="R1006" s="101"/>
      <c r="S1006" s="101"/>
      <c r="T1006" s="101"/>
      <c r="U1006" s="101"/>
      <c r="V1006" s="101"/>
      <c r="W1006" s="101"/>
      <c r="X1006" s="101"/>
      <c r="Y1006" s="114"/>
      <c r="Z1006" s="114"/>
      <c r="AA1006" s="114"/>
      <c r="AB1006" s="114"/>
      <c r="AC1006" s="114"/>
      <c r="AD1006" s="114"/>
      <c r="AE1006" s="114"/>
      <c r="AF1006" s="114"/>
      <c r="AG1006" s="114"/>
      <c r="AH1006" s="114"/>
      <c r="AI1006" s="114"/>
      <c r="AJ1006" s="114"/>
      <c r="AK1006" s="114"/>
      <c r="AL1006" s="114"/>
      <c r="AM1006" s="114"/>
      <c r="AN1006" s="114"/>
      <c r="AO1006" s="114"/>
      <c r="AP1006" s="114"/>
      <c r="AQ1006" s="114"/>
      <c r="AR1006" s="114"/>
      <c r="AS1006" s="114"/>
      <c r="AT1006" s="114"/>
      <c r="AU1006" s="114"/>
      <c r="AV1006" s="114"/>
      <c r="AW1006" s="114"/>
      <c r="AX1006" s="114"/>
      <c r="AY1006" s="114"/>
      <c r="AZ1006" s="114"/>
    </row>
    <row r="1007" spans="1:52">
      <c r="A1007" s="111"/>
      <c r="B1007" s="111"/>
      <c r="C1007" s="112"/>
      <c r="D1007" s="101"/>
      <c r="E1007" s="101"/>
      <c r="F1007" s="101"/>
      <c r="G1007" s="111"/>
      <c r="H1007" s="101"/>
      <c r="I1007" s="101"/>
      <c r="J1007" s="101"/>
      <c r="K1007" s="101"/>
      <c r="L1007" s="101"/>
      <c r="M1007" s="101"/>
      <c r="N1007" s="101"/>
      <c r="O1007" s="101"/>
      <c r="P1007" s="101"/>
      <c r="Q1007" s="101"/>
      <c r="R1007" s="101"/>
      <c r="S1007" s="101"/>
      <c r="T1007" s="101"/>
      <c r="U1007" s="101"/>
      <c r="V1007" s="101"/>
      <c r="W1007" s="101"/>
      <c r="X1007" s="101"/>
      <c r="Y1007" s="114"/>
      <c r="Z1007" s="114"/>
      <c r="AA1007" s="114"/>
      <c r="AB1007" s="114"/>
      <c r="AC1007" s="114"/>
      <c r="AD1007" s="114"/>
      <c r="AE1007" s="114"/>
      <c r="AF1007" s="114"/>
      <c r="AG1007" s="114"/>
      <c r="AH1007" s="114"/>
      <c r="AI1007" s="114"/>
      <c r="AJ1007" s="114"/>
      <c r="AK1007" s="114"/>
      <c r="AL1007" s="114"/>
      <c r="AM1007" s="114"/>
      <c r="AN1007" s="114"/>
      <c r="AO1007" s="114"/>
      <c r="AP1007" s="114"/>
      <c r="AQ1007" s="114"/>
      <c r="AR1007" s="114"/>
      <c r="AS1007" s="114"/>
      <c r="AT1007" s="114"/>
      <c r="AU1007" s="114"/>
      <c r="AV1007" s="114"/>
      <c r="AW1007" s="114"/>
      <c r="AX1007" s="114"/>
      <c r="AY1007" s="114"/>
      <c r="AZ1007" s="114"/>
    </row>
    <row r="1008" spans="1:52">
      <c r="A1008" s="111"/>
      <c r="B1008" s="111"/>
      <c r="C1008" s="112"/>
      <c r="D1008" s="101"/>
      <c r="E1008" s="101"/>
      <c r="F1008" s="101"/>
      <c r="G1008" s="111"/>
      <c r="H1008" s="101"/>
      <c r="I1008" s="101"/>
      <c r="J1008" s="101"/>
      <c r="K1008" s="101"/>
      <c r="L1008" s="101"/>
      <c r="M1008" s="101"/>
      <c r="N1008" s="101"/>
      <c r="O1008" s="101"/>
      <c r="P1008" s="101"/>
      <c r="Q1008" s="101"/>
      <c r="R1008" s="101"/>
      <c r="S1008" s="101"/>
      <c r="T1008" s="101"/>
      <c r="U1008" s="101"/>
      <c r="V1008" s="101"/>
      <c r="W1008" s="101"/>
      <c r="X1008" s="101"/>
      <c r="Y1008" s="114"/>
      <c r="Z1008" s="114"/>
      <c r="AA1008" s="114"/>
      <c r="AB1008" s="114"/>
      <c r="AC1008" s="114"/>
      <c r="AD1008" s="114"/>
      <c r="AE1008" s="114"/>
      <c r="AF1008" s="114"/>
      <c r="AG1008" s="114"/>
      <c r="AH1008" s="114"/>
      <c r="AI1008" s="114"/>
      <c r="AJ1008" s="114"/>
      <c r="AK1008" s="114"/>
      <c r="AL1008" s="114"/>
      <c r="AM1008" s="114"/>
      <c r="AN1008" s="114"/>
      <c r="AO1008" s="114"/>
      <c r="AP1008" s="114"/>
      <c r="AQ1008" s="114"/>
      <c r="AR1008" s="114"/>
      <c r="AS1008" s="114"/>
      <c r="AT1008" s="114"/>
      <c r="AU1008" s="114"/>
      <c r="AV1008" s="114"/>
      <c r="AW1008" s="114"/>
      <c r="AX1008" s="114"/>
      <c r="AY1008" s="114"/>
      <c r="AZ1008" s="114"/>
    </row>
    <row r="1009" spans="1:52">
      <c r="A1009" s="111"/>
      <c r="B1009" s="111"/>
      <c r="C1009" s="112"/>
      <c r="D1009" s="101"/>
      <c r="E1009" s="101"/>
      <c r="F1009" s="101"/>
      <c r="G1009" s="111"/>
      <c r="H1009" s="101"/>
      <c r="I1009" s="101"/>
      <c r="J1009" s="101"/>
      <c r="K1009" s="101"/>
      <c r="L1009" s="101"/>
      <c r="M1009" s="101"/>
      <c r="N1009" s="101"/>
      <c r="O1009" s="101"/>
      <c r="P1009" s="101"/>
      <c r="Q1009" s="101"/>
      <c r="R1009" s="101"/>
      <c r="S1009" s="101"/>
      <c r="T1009" s="101"/>
      <c r="U1009" s="101"/>
      <c r="V1009" s="101"/>
      <c r="W1009" s="101"/>
      <c r="X1009" s="101"/>
      <c r="Y1009" s="114"/>
      <c r="Z1009" s="114"/>
      <c r="AA1009" s="114"/>
      <c r="AB1009" s="114"/>
      <c r="AC1009" s="114"/>
      <c r="AD1009" s="114"/>
      <c r="AE1009" s="114"/>
      <c r="AF1009" s="114"/>
      <c r="AG1009" s="114"/>
      <c r="AH1009" s="114"/>
      <c r="AI1009" s="114"/>
      <c r="AJ1009" s="114"/>
      <c r="AK1009" s="114"/>
      <c r="AL1009" s="114"/>
      <c r="AM1009" s="114"/>
      <c r="AN1009" s="114"/>
      <c r="AO1009" s="114"/>
      <c r="AP1009" s="114"/>
      <c r="AQ1009" s="114"/>
      <c r="AR1009" s="114"/>
      <c r="AS1009" s="114"/>
      <c r="AT1009" s="114"/>
      <c r="AU1009" s="114"/>
      <c r="AV1009" s="114"/>
      <c r="AW1009" s="114"/>
      <c r="AX1009" s="114"/>
      <c r="AY1009" s="114"/>
      <c r="AZ1009" s="114"/>
    </row>
    <row r="1010" spans="1:52">
      <c r="A1010" s="111"/>
      <c r="B1010" s="111"/>
      <c r="C1010" s="112"/>
      <c r="D1010" s="101"/>
      <c r="E1010" s="101"/>
      <c r="F1010" s="101"/>
      <c r="G1010" s="111"/>
      <c r="H1010" s="101"/>
      <c r="I1010" s="101"/>
      <c r="J1010" s="101"/>
      <c r="K1010" s="101"/>
      <c r="L1010" s="101"/>
      <c r="M1010" s="101"/>
      <c r="N1010" s="101"/>
      <c r="O1010" s="101"/>
      <c r="P1010" s="101"/>
      <c r="Q1010" s="101"/>
      <c r="R1010" s="101"/>
      <c r="S1010" s="101"/>
      <c r="T1010" s="101"/>
      <c r="U1010" s="101"/>
      <c r="V1010" s="101"/>
      <c r="W1010" s="101"/>
      <c r="X1010" s="101"/>
      <c r="Y1010" s="114"/>
      <c r="Z1010" s="114"/>
      <c r="AA1010" s="114"/>
      <c r="AB1010" s="114"/>
      <c r="AC1010" s="114"/>
      <c r="AD1010" s="114"/>
      <c r="AE1010" s="114"/>
      <c r="AF1010" s="114"/>
      <c r="AG1010" s="114"/>
      <c r="AH1010" s="114"/>
      <c r="AI1010" s="114"/>
      <c r="AJ1010" s="114"/>
      <c r="AK1010" s="114"/>
      <c r="AL1010" s="114"/>
      <c r="AM1010" s="114"/>
      <c r="AN1010" s="114"/>
      <c r="AO1010" s="114"/>
      <c r="AP1010" s="114"/>
      <c r="AQ1010" s="114"/>
      <c r="AR1010" s="114"/>
      <c r="AS1010" s="114"/>
      <c r="AT1010" s="114"/>
      <c r="AU1010" s="114"/>
      <c r="AV1010" s="114"/>
      <c r="AW1010" s="114"/>
      <c r="AX1010" s="114"/>
      <c r="AY1010" s="114"/>
      <c r="AZ1010" s="114"/>
    </row>
    <row r="1011" spans="1:52">
      <c r="A1011" s="111"/>
      <c r="B1011" s="111"/>
      <c r="C1011" s="112"/>
      <c r="D1011" s="101"/>
      <c r="E1011" s="101"/>
      <c r="F1011" s="101"/>
      <c r="G1011" s="111"/>
      <c r="H1011" s="101"/>
      <c r="I1011" s="101"/>
      <c r="J1011" s="101"/>
      <c r="K1011" s="101"/>
      <c r="L1011" s="101"/>
      <c r="M1011" s="101"/>
      <c r="N1011" s="101"/>
      <c r="O1011" s="101"/>
      <c r="P1011" s="101"/>
      <c r="Q1011" s="101"/>
      <c r="R1011" s="101"/>
      <c r="S1011" s="101"/>
      <c r="T1011" s="101"/>
      <c r="U1011" s="101"/>
      <c r="V1011" s="101"/>
      <c r="W1011" s="101"/>
      <c r="X1011" s="101"/>
      <c r="Y1011" s="114"/>
      <c r="Z1011" s="114"/>
      <c r="AA1011" s="114"/>
      <c r="AB1011" s="114"/>
      <c r="AC1011" s="114"/>
      <c r="AD1011" s="114"/>
      <c r="AE1011" s="114"/>
      <c r="AF1011" s="114"/>
      <c r="AG1011" s="114"/>
      <c r="AH1011" s="114"/>
      <c r="AI1011" s="114"/>
      <c r="AJ1011" s="114"/>
      <c r="AK1011" s="114"/>
      <c r="AL1011" s="114"/>
      <c r="AM1011" s="114"/>
      <c r="AN1011" s="114"/>
      <c r="AO1011" s="114"/>
      <c r="AP1011" s="114"/>
      <c r="AQ1011" s="114"/>
      <c r="AR1011" s="114"/>
      <c r="AS1011" s="114"/>
      <c r="AT1011" s="114"/>
      <c r="AU1011" s="114"/>
      <c r="AV1011" s="114"/>
      <c r="AW1011" s="114"/>
      <c r="AX1011" s="114"/>
      <c r="AY1011" s="114"/>
      <c r="AZ1011" s="114"/>
    </row>
    <row r="1012" spans="1:52">
      <c r="A1012" s="111"/>
      <c r="B1012" s="111"/>
      <c r="C1012" s="112"/>
      <c r="D1012" s="101"/>
      <c r="E1012" s="101"/>
      <c r="F1012" s="101"/>
      <c r="G1012" s="111"/>
      <c r="H1012" s="101"/>
      <c r="I1012" s="101"/>
      <c r="J1012" s="101"/>
      <c r="K1012" s="101"/>
      <c r="L1012" s="101"/>
      <c r="M1012" s="101"/>
      <c r="N1012" s="101"/>
      <c r="O1012" s="101"/>
      <c r="P1012" s="101"/>
      <c r="Q1012" s="101"/>
      <c r="R1012" s="101"/>
      <c r="S1012" s="101"/>
      <c r="T1012" s="101"/>
      <c r="U1012" s="101"/>
      <c r="V1012" s="101"/>
      <c r="W1012" s="101"/>
      <c r="X1012" s="101"/>
      <c r="Y1012" s="114"/>
      <c r="Z1012" s="114"/>
      <c r="AA1012" s="114"/>
      <c r="AB1012" s="114"/>
      <c r="AC1012" s="114"/>
      <c r="AD1012" s="114"/>
      <c r="AE1012" s="114"/>
      <c r="AF1012" s="114"/>
      <c r="AG1012" s="114"/>
      <c r="AH1012" s="114"/>
      <c r="AI1012" s="114"/>
      <c r="AJ1012" s="114"/>
      <c r="AK1012" s="114"/>
      <c r="AL1012" s="114"/>
      <c r="AM1012" s="114"/>
      <c r="AN1012" s="114"/>
      <c r="AO1012" s="114"/>
      <c r="AP1012" s="114"/>
      <c r="AQ1012" s="114"/>
      <c r="AR1012" s="114"/>
      <c r="AS1012" s="114"/>
      <c r="AT1012" s="114"/>
      <c r="AU1012" s="114"/>
      <c r="AV1012" s="114"/>
      <c r="AW1012" s="114"/>
      <c r="AX1012" s="114"/>
      <c r="AY1012" s="114"/>
      <c r="AZ1012" s="114"/>
    </row>
    <row r="1013" spans="1:52">
      <c r="A1013" s="111"/>
      <c r="B1013" s="111"/>
      <c r="C1013" s="112"/>
      <c r="D1013" s="101"/>
      <c r="E1013" s="101"/>
      <c r="F1013" s="101"/>
      <c r="G1013" s="111"/>
      <c r="H1013" s="101"/>
      <c r="I1013" s="101"/>
      <c r="J1013" s="101"/>
      <c r="K1013" s="101"/>
      <c r="L1013" s="101"/>
      <c r="M1013" s="101"/>
      <c r="N1013" s="101"/>
      <c r="O1013" s="101"/>
      <c r="P1013" s="101"/>
      <c r="Q1013" s="101"/>
      <c r="R1013" s="101"/>
      <c r="S1013" s="101"/>
      <c r="T1013" s="101"/>
      <c r="U1013" s="101"/>
      <c r="V1013" s="101"/>
      <c r="W1013" s="101"/>
      <c r="X1013" s="101"/>
      <c r="Y1013" s="114"/>
      <c r="Z1013" s="114"/>
      <c r="AA1013" s="114"/>
      <c r="AB1013" s="114"/>
      <c r="AC1013" s="114"/>
      <c r="AD1013" s="114"/>
      <c r="AE1013" s="114"/>
      <c r="AF1013" s="114"/>
      <c r="AG1013" s="114"/>
      <c r="AH1013" s="114"/>
      <c r="AI1013" s="114"/>
      <c r="AJ1013" s="114"/>
      <c r="AK1013" s="114"/>
      <c r="AL1013" s="114"/>
      <c r="AM1013" s="114"/>
      <c r="AN1013" s="114"/>
      <c r="AO1013" s="114"/>
      <c r="AP1013" s="114"/>
      <c r="AQ1013" s="114"/>
      <c r="AR1013" s="114"/>
      <c r="AS1013" s="114"/>
      <c r="AT1013" s="114"/>
      <c r="AU1013" s="114"/>
      <c r="AV1013" s="114"/>
      <c r="AW1013" s="114"/>
      <c r="AX1013" s="114"/>
      <c r="AY1013" s="114"/>
      <c r="AZ1013" s="114"/>
    </row>
    <row r="1014" spans="1:52">
      <c r="A1014" s="111"/>
      <c r="B1014" s="111"/>
      <c r="C1014" s="112"/>
      <c r="D1014" s="101"/>
      <c r="E1014" s="101"/>
      <c r="F1014" s="101"/>
      <c r="G1014" s="111"/>
      <c r="H1014" s="101"/>
      <c r="I1014" s="101"/>
      <c r="J1014" s="101"/>
      <c r="K1014" s="101"/>
      <c r="L1014" s="101"/>
      <c r="M1014" s="101"/>
      <c r="N1014" s="101"/>
      <c r="O1014" s="101"/>
      <c r="P1014" s="101"/>
      <c r="Q1014" s="101"/>
      <c r="R1014" s="101"/>
      <c r="S1014" s="101"/>
      <c r="T1014" s="101"/>
      <c r="U1014" s="101"/>
      <c r="V1014" s="101"/>
      <c r="W1014" s="101"/>
      <c r="X1014" s="101"/>
      <c r="Y1014" s="114"/>
      <c r="Z1014" s="114"/>
      <c r="AA1014" s="114"/>
      <c r="AB1014" s="114"/>
      <c r="AC1014" s="114"/>
      <c r="AD1014" s="114"/>
      <c r="AE1014" s="114"/>
      <c r="AF1014" s="114"/>
      <c r="AG1014" s="114"/>
      <c r="AH1014" s="114"/>
      <c r="AI1014" s="114"/>
      <c r="AJ1014" s="114"/>
      <c r="AK1014" s="114"/>
      <c r="AL1014" s="114"/>
      <c r="AM1014" s="114"/>
      <c r="AN1014" s="114"/>
      <c r="AO1014" s="114"/>
      <c r="AP1014" s="114"/>
      <c r="AQ1014" s="114"/>
      <c r="AR1014" s="114"/>
      <c r="AS1014" s="114"/>
      <c r="AT1014" s="114"/>
      <c r="AU1014" s="114"/>
      <c r="AV1014" s="114"/>
      <c r="AW1014" s="114"/>
      <c r="AX1014" s="114"/>
      <c r="AY1014" s="114"/>
      <c r="AZ1014" s="114"/>
    </row>
    <row r="1015" spans="1:52">
      <c r="A1015" s="111"/>
      <c r="B1015" s="111"/>
      <c r="C1015" s="112"/>
      <c r="D1015" s="101"/>
      <c r="E1015" s="101"/>
      <c r="F1015" s="101"/>
      <c r="G1015" s="111"/>
      <c r="H1015" s="101"/>
      <c r="I1015" s="101"/>
      <c r="J1015" s="101"/>
      <c r="K1015" s="101"/>
      <c r="L1015" s="101"/>
      <c r="M1015" s="101"/>
      <c r="N1015" s="101"/>
      <c r="O1015" s="101"/>
      <c r="P1015" s="101"/>
      <c r="Q1015" s="101"/>
      <c r="R1015" s="101"/>
      <c r="S1015" s="101"/>
      <c r="T1015" s="101"/>
      <c r="U1015" s="101"/>
      <c r="V1015" s="101"/>
      <c r="W1015" s="101"/>
      <c r="X1015" s="101"/>
      <c r="Y1015" s="114"/>
      <c r="Z1015" s="114"/>
      <c r="AA1015" s="114"/>
      <c r="AB1015" s="114"/>
      <c r="AC1015" s="114"/>
      <c r="AD1015" s="114"/>
      <c r="AE1015" s="114"/>
      <c r="AF1015" s="114"/>
      <c r="AG1015" s="114"/>
      <c r="AH1015" s="114"/>
      <c r="AI1015" s="114"/>
      <c r="AJ1015" s="114"/>
      <c r="AK1015" s="114"/>
      <c r="AL1015" s="114"/>
      <c r="AM1015" s="114"/>
      <c r="AN1015" s="114"/>
      <c r="AO1015" s="114"/>
      <c r="AP1015" s="114"/>
      <c r="AQ1015" s="114"/>
      <c r="AR1015" s="114"/>
      <c r="AS1015" s="114"/>
      <c r="AT1015" s="114"/>
      <c r="AU1015" s="114"/>
      <c r="AV1015" s="114"/>
      <c r="AW1015" s="114"/>
      <c r="AX1015" s="114"/>
      <c r="AY1015" s="114"/>
      <c r="AZ1015" s="114"/>
    </row>
    <row r="1016" spans="1:52">
      <c r="A1016" s="111"/>
      <c r="B1016" s="111"/>
      <c r="C1016" s="112"/>
      <c r="D1016" s="101"/>
      <c r="E1016" s="101"/>
      <c r="F1016" s="101"/>
      <c r="G1016" s="111"/>
      <c r="H1016" s="101"/>
      <c r="I1016" s="101"/>
      <c r="J1016" s="101"/>
      <c r="K1016" s="101"/>
      <c r="L1016" s="101"/>
      <c r="M1016" s="101"/>
      <c r="N1016" s="101"/>
      <c r="O1016" s="101"/>
      <c r="P1016" s="101"/>
      <c r="Q1016" s="101"/>
      <c r="R1016" s="101"/>
      <c r="S1016" s="101"/>
      <c r="T1016" s="101"/>
      <c r="U1016" s="101"/>
      <c r="V1016" s="101"/>
      <c r="W1016" s="101"/>
      <c r="X1016" s="101"/>
      <c r="Y1016" s="114"/>
      <c r="Z1016" s="114"/>
      <c r="AA1016" s="114"/>
      <c r="AB1016" s="114"/>
      <c r="AC1016" s="114"/>
      <c r="AD1016" s="114"/>
      <c r="AE1016" s="114"/>
      <c r="AF1016" s="114"/>
      <c r="AG1016" s="114"/>
      <c r="AH1016" s="114"/>
      <c r="AI1016" s="114"/>
      <c r="AJ1016" s="114"/>
      <c r="AK1016" s="114"/>
      <c r="AL1016" s="114"/>
      <c r="AM1016" s="114"/>
      <c r="AN1016" s="114"/>
      <c r="AO1016" s="114"/>
      <c r="AP1016" s="114"/>
      <c r="AQ1016" s="114"/>
      <c r="AR1016" s="114"/>
      <c r="AS1016" s="114"/>
      <c r="AT1016" s="114"/>
      <c r="AU1016" s="114"/>
      <c r="AV1016" s="114"/>
      <c r="AW1016" s="114"/>
      <c r="AX1016" s="114"/>
      <c r="AY1016" s="114"/>
      <c r="AZ1016" s="114"/>
    </row>
    <row r="1017" spans="1:52">
      <c r="A1017" s="111"/>
      <c r="B1017" s="111"/>
      <c r="C1017" s="112"/>
      <c r="D1017" s="101"/>
      <c r="E1017" s="101"/>
      <c r="F1017" s="101"/>
      <c r="G1017" s="111"/>
      <c r="H1017" s="101"/>
      <c r="I1017" s="101"/>
      <c r="J1017" s="101"/>
      <c r="K1017" s="101"/>
      <c r="L1017" s="101"/>
      <c r="M1017" s="101"/>
      <c r="N1017" s="101"/>
      <c r="O1017" s="101"/>
      <c r="P1017" s="101"/>
      <c r="Q1017" s="101"/>
      <c r="R1017" s="101"/>
      <c r="S1017" s="101"/>
      <c r="T1017" s="101"/>
      <c r="U1017" s="101"/>
      <c r="V1017" s="101"/>
      <c r="W1017" s="101"/>
      <c r="X1017" s="101"/>
      <c r="Y1017" s="114"/>
      <c r="Z1017" s="114"/>
      <c r="AA1017" s="114"/>
      <c r="AB1017" s="114"/>
      <c r="AC1017" s="114"/>
      <c r="AD1017" s="114"/>
      <c r="AE1017" s="114"/>
      <c r="AF1017" s="114"/>
      <c r="AG1017" s="114"/>
      <c r="AH1017" s="114"/>
      <c r="AI1017" s="114"/>
      <c r="AJ1017" s="114"/>
      <c r="AK1017" s="114"/>
      <c r="AL1017" s="114"/>
      <c r="AM1017" s="114"/>
      <c r="AN1017" s="114"/>
      <c r="AO1017" s="114"/>
      <c r="AP1017" s="114"/>
      <c r="AQ1017" s="114"/>
      <c r="AR1017" s="114"/>
      <c r="AS1017" s="114"/>
      <c r="AT1017" s="114"/>
      <c r="AU1017" s="114"/>
      <c r="AV1017" s="114"/>
      <c r="AW1017" s="114"/>
      <c r="AX1017" s="114"/>
      <c r="AY1017" s="114"/>
      <c r="AZ1017" s="114"/>
    </row>
    <row r="1018" spans="1:52">
      <c r="A1018" s="111"/>
      <c r="B1018" s="111"/>
      <c r="C1018" s="112"/>
      <c r="D1018" s="101"/>
      <c r="E1018" s="101"/>
      <c r="F1018" s="101"/>
      <c r="G1018" s="111"/>
      <c r="H1018" s="101"/>
      <c r="I1018" s="101"/>
      <c r="J1018" s="101"/>
      <c r="K1018" s="101"/>
      <c r="L1018" s="101"/>
      <c r="M1018" s="101"/>
      <c r="N1018" s="101"/>
      <c r="O1018" s="101"/>
      <c r="P1018" s="101"/>
      <c r="Q1018" s="101"/>
      <c r="R1018" s="101"/>
      <c r="S1018" s="101"/>
      <c r="T1018" s="101"/>
      <c r="U1018" s="101"/>
      <c r="V1018" s="101"/>
      <c r="W1018" s="101"/>
      <c r="X1018" s="101"/>
      <c r="Y1018" s="114"/>
      <c r="Z1018" s="114"/>
      <c r="AA1018" s="114"/>
      <c r="AB1018" s="114"/>
      <c r="AC1018" s="114"/>
      <c r="AD1018" s="114"/>
      <c r="AE1018" s="114"/>
      <c r="AF1018" s="114"/>
      <c r="AG1018" s="114"/>
      <c r="AH1018" s="114"/>
      <c r="AI1018" s="114"/>
      <c r="AJ1018" s="114"/>
      <c r="AK1018" s="114"/>
      <c r="AL1018" s="114"/>
      <c r="AM1018" s="114"/>
      <c r="AN1018" s="114"/>
      <c r="AO1018" s="114"/>
      <c r="AP1018" s="114"/>
      <c r="AQ1018" s="114"/>
      <c r="AR1018" s="114"/>
      <c r="AS1018" s="114"/>
      <c r="AT1018" s="114"/>
      <c r="AU1018" s="114"/>
      <c r="AV1018" s="114"/>
      <c r="AW1018" s="114"/>
      <c r="AX1018" s="114"/>
      <c r="AY1018" s="114"/>
      <c r="AZ1018" s="114"/>
    </row>
    <row r="1019" spans="1:52">
      <c r="A1019" s="111"/>
      <c r="B1019" s="111"/>
      <c r="C1019" s="112"/>
      <c r="D1019" s="101"/>
      <c r="E1019" s="101"/>
      <c r="F1019" s="101"/>
      <c r="G1019" s="111"/>
      <c r="H1019" s="101"/>
      <c r="I1019" s="101"/>
      <c r="J1019" s="101"/>
      <c r="K1019" s="101"/>
      <c r="L1019" s="101"/>
      <c r="M1019" s="101"/>
      <c r="N1019" s="101"/>
      <c r="O1019" s="101"/>
      <c r="P1019" s="101"/>
      <c r="Q1019" s="101"/>
      <c r="R1019" s="101"/>
      <c r="S1019" s="101"/>
      <c r="T1019" s="101"/>
      <c r="U1019" s="101"/>
      <c r="V1019" s="101"/>
      <c r="W1019" s="101"/>
      <c r="X1019" s="101"/>
      <c r="Y1019" s="114"/>
      <c r="Z1019" s="114"/>
      <c r="AA1019" s="114"/>
      <c r="AB1019" s="114"/>
      <c r="AC1019" s="114"/>
      <c r="AD1019" s="114"/>
      <c r="AE1019" s="114"/>
      <c r="AF1019" s="114"/>
      <c r="AG1019" s="114"/>
      <c r="AH1019" s="114"/>
      <c r="AI1019" s="114"/>
      <c r="AJ1019" s="114"/>
      <c r="AK1019" s="114"/>
      <c r="AL1019" s="114"/>
      <c r="AM1019" s="114"/>
      <c r="AN1019" s="114"/>
      <c r="AO1019" s="114"/>
      <c r="AP1019" s="114"/>
      <c r="AQ1019" s="114"/>
      <c r="AR1019" s="114"/>
      <c r="AS1019" s="114"/>
      <c r="AT1019" s="114"/>
      <c r="AU1019" s="114"/>
      <c r="AV1019" s="114"/>
      <c r="AW1019" s="114"/>
      <c r="AX1019" s="114"/>
      <c r="AY1019" s="114"/>
      <c r="AZ1019" s="114"/>
    </row>
    <row r="1020" spans="1:52">
      <c r="A1020" s="111"/>
      <c r="B1020" s="111"/>
      <c r="C1020" s="112"/>
      <c r="D1020" s="101"/>
      <c r="E1020" s="101"/>
      <c r="F1020" s="101"/>
      <c r="G1020" s="111"/>
      <c r="H1020" s="101"/>
      <c r="I1020" s="101"/>
      <c r="J1020" s="101"/>
      <c r="K1020" s="101"/>
      <c r="L1020" s="101"/>
      <c r="M1020" s="101"/>
      <c r="N1020" s="101"/>
      <c r="O1020" s="101"/>
      <c r="P1020" s="101"/>
      <c r="Q1020" s="101"/>
      <c r="R1020" s="101"/>
      <c r="S1020" s="101"/>
      <c r="T1020" s="101"/>
      <c r="U1020" s="101"/>
      <c r="V1020" s="101"/>
      <c r="W1020" s="101"/>
      <c r="X1020" s="101"/>
      <c r="Y1020" s="114"/>
      <c r="Z1020" s="114"/>
      <c r="AA1020" s="114"/>
      <c r="AB1020" s="114"/>
      <c r="AC1020" s="114"/>
      <c r="AD1020" s="114"/>
      <c r="AE1020" s="114"/>
      <c r="AF1020" s="114"/>
      <c r="AG1020" s="114"/>
      <c r="AH1020" s="114"/>
      <c r="AI1020" s="114"/>
      <c r="AJ1020" s="114"/>
      <c r="AK1020" s="114"/>
      <c r="AL1020" s="114"/>
      <c r="AM1020" s="114"/>
      <c r="AN1020" s="114"/>
      <c r="AO1020" s="114"/>
      <c r="AP1020" s="114"/>
      <c r="AQ1020" s="114"/>
      <c r="AR1020" s="114"/>
      <c r="AS1020" s="114"/>
      <c r="AT1020" s="114"/>
      <c r="AU1020" s="114"/>
      <c r="AV1020" s="114"/>
      <c r="AW1020" s="114"/>
      <c r="AX1020" s="114"/>
      <c r="AY1020" s="114"/>
      <c r="AZ1020" s="114"/>
    </row>
    <row r="1021" spans="1:52">
      <c r="A1021" s="111"/>
      <c r="B1021" s="111"/>
      <c r="C1021" s="112"/>
      <c r="D1021" s="101"/>
      <c r="E1021" s="101"/>
      <c r="F1021" s="101"/>
      <c r="G1021" s="111"/>
      <c r="H1021" s="101"/>
      <c r="I1021" s="101"/>
      <c r="J1021" s="101"/>
      <c r="K1021" s="101"/>
      <c r="L1021" s="101"/>
      <c r="M1021" s="101"/>
      <c r="N1021" s="101"/>
      <c r="O1021" s="101"/>
      <c r="P1021" s="101"/>
      <c r="Q1021" s="101"/>
      <c r="R1021" s="101"/>
      <c r="S1021" s="101"/>
      <c r="T1021" s="101"/>
      <c r="U1021" s="101"/>
      <c r="V1021" s="101"/>
      <c r="W1021" s="101"/>
      <c r="X1021" s="101"/>
      <c r="Y1021" s="114"/>
      <c r="Z1021" s="114"/>
      <c r="AA1021" s="114"/>
      <c r="AB1021" s="114"/>
      <c r="AC1021" s="114"/>
      <c r="AD1021" s="114"/>
      <c r="AE1021" s="114"/>
      <c r="AF1021" s="114"/>
      <c r="AG1021" s="114"/>
      <c r="AH1021" s="114"/>
      <c r="AI1021" s="114"/>
      <c r="AJ1021" s="114"/>
      <c r="AK1021" s="114"/>
      <c r="AL1021" s="114"/>
      <c r="AM1021" s="114"/>
      <c r="AN1021" s="114"/>
      <c r="AO1021" s="114"/>
      <c r="AP1021" s="114"/>
      <c r="AQ1021" s="114"/>
      <c r="AR1021" s="114"/>
      <c r="AS1021" s="114"/>
      <c r="AT1021" s="114"/>
      <c r="AU1021" s="114"/>
      <c r="AV1021" s="114"/>
      <c r="AW1021" s="114"/>
      <c r="AX1021" s="114"/>
      <c r="AY1021" s="114"/>
      <c r="AZ1021" s="114"/>
    </row>
    <row r="1022" spans="1:52">
      <c r="A1022" s="111"/>
      <c r="B1022" s="111"/>
      <c r="C1022" s="112"/>
      <c r="D1022" s="101"/>
      <c r="E1022" s="101"/>
      <c r="F1022" s="101"/>
      <c r="G1022" s="111"/>
      <c r="H1022" s="101"/>
      <c r="I1022" s="101"/>
      <c r="J1022" s="101"/>
      <c r="K1022" s="101"/>
      <c r="L1022" s="101"/>
      <c r="M1022" s="101"/>
      <c r="N1022" s="101"/>
      <c r="O1022" s="101"/>
      <c r="P1022" s="101"/>
      <c r="Q1022" s="101"/>
      <c r="R1022" s="101"/>
      <c r="S1022" s="101"/>
      <c r="T1022" s="101"/>
      <c r="U1022" s="101"/>
      <c r="V1022" s="101"/>
      <c r="W1022" s="101"/>
      <c r="X1022" s="101"/>
      <c r="Y1022" s="114"/>
      <c r="Z1022" s="114"/>
      <c r="AA1022" s="114"/>
      <c r="AB1022" s="114"/>
      <c r="AC1022" s="114"/>
      <c r="AD1022" s="114"/>
      <c r="AE1022" s="114"/>
      <c r="AF1022" s="114"/>
      <c r="AG1022" s="114"/>
      <c r="AH1022" s="114"/>
      <c r="AI1022" s="114"/>
      <c r="AJ1022" s="114"/>
      <c r="AK1022" s="114"/>
      <c r="AL1022" s="114"/>
      <c r="AM1022" s="114"/>
      <c r="AN1022" s="114"/>
      <c r="AO1022" s="114"/>
      <c r="AP1022" s="114"/>
      <c r="AQ1022" s="114"/>
      <c r="AR1022" s="114"/>
      <c r="AS1022" s="114"/>
      <c r="AT1022" s="114"/>
      <c r="AU1022" s="114"/>
      <c r="AV1022" s="114"/>
      <c r="AW1022" s="114"/>
      <c r="AX1022" s="114"/>
      <c r="AY1022" s="114"/>
      <c r="AZ1022" s="114"/>
    </row>
    <row r="1023" spans="1:52">
      <c r="A1023" s="111"/>
      <c r="B1023" s="111"/>
      <c r="C1023" s="112"/>
      <c r="D1023" s="101"/>
      <c r="E1023" s="101"/>
      <c r="F1023" s="101"/>
      <c r="G1023" s="111"/>
      <c r="H1023" s="101"/>
      <c r="I1023" s="101"/>
      <c r="J1023" s="101"/>
      <c r="K1023" s="101"/>
      <c r="L1023" s="101"/>
      <c r="M1023" s="101"/>
      <c r="N1023" s="101"/>
      <c r="O1023" s="101"/>
      <c r="P1023" s="101"/>
      <c r="Q1023" s="101"/>
      <c r="R1023" s="101"/>
      <c r="S1023" s="101"/>
      <c r="T1023" s="101"/>
      <c r="U1023" s="101"/>
      <c r="V1023" s="101"/>
      <c r="W1023" s="101"/>
      <c r="X1023" s="101"/>
      <c r="Y1023" s="114"/>
      <c r="Z1023" s="114"/>
      <c r="AA1023" s="114"/>
      <c r="AB1023" s="114"/>
      <c r="AC1023" s="114"/>
      <c r="AD1023" s="114"/>
      <c r="AE1023" s="114"/>
      <c r="AF1023" s="114"/>
      <c r="AG1023" s="114"/>
      <c r="AH1023" s="114"/>
      <c r="AI1023" s="114"/>
      <c r="AJ1023" s="114"/>
      <c r="AK1023" s="114"/>
      <c r="AL1023" s="114"/>
      <c r="AM1023" s="114"/>
      <c r="AN1023" s="114"/>
      <c r="AO1023" s="114"/>
      <c r="AP1023" s="114"/>
      <c r="AQ1023" s="114"/>
      <c r="AR1023" s="114"/>
      <c r="AS1023" s="114"/>
      <c r="AT1023" s="114"/>
      <c r="AU1023" s="114"/>
      <c r="AV1023" s="114"/>
      <c r="AW1023" s="114"/>
      <c r="AX1023" s="114"/>
      <c r="AY1023" s="114"/>
      <c r="AZ1023" s="114"/>
    </row>
    <row r="1024" spans="1:52">
      <c r="A1024" s="111"/>
      <c r="B1024" s="111"/>
      <c r="C1024" s="112"/>
      <c r="D1024" s="101"/>
      <c r="E1024" s="101"/>
      <c r="F1024" s="101"/>
      <c r="G1024" s="111"/>
      <c r="H1024" s="101"/>
      <c r="I1024" s="101"/>
      <c r="J1024" s="101"/>
      <c r="K1024" s="101"/>
      <c r="L1024" s="101"/>
      <c r="M1024" s="101"/>
      <c r="N1024" s="101"/>
      <c r="O1024" s="101"/>
      <c r="P1024" s="101"/>
      <c r="Q1024" s="101"/>
      <c r="R1024" s="101"/>
      <c r="S1024" s="101"/>
      <c r="T1024" s="101"/>
      <c r="U1024" s="101"/>
      <c r="V1024" s="101"/>
      <c r="W1024" s="101"/>
      <c r="X1024" s="101"/>
      <c r="Y1024" s="114"/>
      <c r="Z1024" s="114"/>
      <c r="AA1024" s="114"/>
      <c r="AB1024" s="114"/>
      <c r="AC1024" s="114"/>
      <c r="AD1024" s="114"/>
      <c r="AE1024" s="114"/>
      <c r="AF1024" s="114"/>
      <c r="AG1024" s="114"/>
      <c r="AH1024" s="114"/>
      <c r="AI1024" s="114"/>
      <c r="AJ1024" s="114"/>
      <c r="AK1024" s="114"/>
      <c r="AL1024" s="114"/>
      <c r="AM1024" s="114"/>
      <c r="AN1024" s="114"/>
      <c r="AO1024" s="114"/>
      <c r="AP1024" s="114"/>
      <c r="AQ1024" s="114"/>
      <c r="AR1024" s="114"/>
      <c r="AS1024" s="114"/>
      <c r="AT1024" s="114"/>
      <c r="AU1024" s="114"/>
      <c r="AV1024" s="114"/>
      <c r="AW1024" s="114"/>
      <c r="AX1024" s="114"/>
      <c r="AY1024" s="114"/>
      <c r="AZ1024" s="114"/>
    </row>
    <row r="1025" spans="1:52">
      <c r="A1025" s="111"/>
      <c r="B1025" s="111"/>
      <c r="C1025" s="112"/>
      <c r="D1025" s="101"/>
      <c r="E1025" s="101"/>
      <c r="F1025" s="101"/>
      <c r="G1025" s="111"/>
      <c r="H1025" s="101"/>
      <c r="I1025" s="101"/>
      <c r="J1025" s="101"/>
      <c r="K1025" s="101"/>
      <c r="L1025" s="101"/>
      <c r="M1025" s="101"/>
      <c r="N1025" s="101"/>
      <c r="O1025" s="101"/>
      <c r="P1025" s="101"/>
      <c r="Q1025" s="101"/>
      <c r="R1025" s="101"/>
      <c r="S1025" s="101"/>
      <c r="T1025" s="101"/>
      <c r="U1025" s="101"/>
      <c r="V1025" s="101"/>
      <c r="W1025" s="101"/>
      <c r="X1025" s="101"/>
      <c r="Y1025" s="114"/>
      <c r="Z1025" s="114"/>
      <c r="AA1025" s="114"/>
      <c r="AB1025" s="114"/>
      <c r="AC1025" s="114"/>
      <c r="AD1025" s="114"/>
      <c r="AE1025" s="114"/>
      <c r="AF1025" s="114"/>
      <c r="AG1025" s="114"/>
      <c r="AH1025" s="114"/>
      <c r="AI1025" s="114"/>
      <c r="AJ1025" s="114"/>
      <c r="AK1025" s="114"/>
      <c r="AL1025" s="114"/>
      <c r="AM1025" s="114"/>
      <c r="AN1025" s="114"/>
      <c r="AO1025" s="114"/>
      <c r="AP1025" s="114"/>
      <c r="AQ1025" s="114"/>
      <c r="AR1025" s="114"/>
      <c r="AS1025" s="114"/>
      <c r="AT1025" s="114"/>
      <c r="AU1025" s="114"/>
      <c r="AV1025" s="114"/>
      <c r="AW1025" s="114"/>
      <c r="AX1025" s="114"/>
      <c r="AY1025" s="114"/>
      <c r="AZ1025" s="114"/>
    </row>
    <row r="1026" spans="1:52">
      <c r="A1026" s="111"/>
      <c r="B1026" s="111"/>
      <c r="C1026" s="112"/>
      <c r="D1026" s="101"/>
      <c r="E1026" s="101"/>
      <c r="F1026" s="101"/>
      <c r="G1026" s="111"/>
      <c r="H1026" s="101"/>
      <c r="I1026" s="101"/>
      <c r="J1026" s="101"/>
      <c r="K1026" s="101"/>
      <c r="L1026" s="101"/>
      <c r="M1026" s="101"/>
      <c r="N1026" s="101"/>
      <c r="O1026" s="101"/>
      <c r="P1026" s="101"/>
      <c r="Q1026" s="101"/>
      <c r="R1026" s="101"/>
      <c r="S1026" s="101"/>
      <c r="T1026" s="101"/>
      <c r="U1026" s="101"/>
      <c r="V1026" s="101"/>
      <c r="W1026" s="101"/>
      <c r="X1026" s="101"/>
      <c r="Y1026" s="114"/>
      <c r="Z1026" s="114"/>
      <c r="AA1026" s="114"/>
      <c r="AB1026" s="114"/>
      <c r="AC1026" s="114"/>
      <c r="AD1026" s="114"/>
      <c r="AE1026" s="114"/>
      <c r="AF1026" s="114"/>
      <c r="AG1026" s="114"/>
      <c r="AH1026" s="114"/>
      <c r="AI1026" s="114"/>
      <c r="AJ1026" s="114"/>
      <c r="AK1026" s="114"/>
      <c r="AL1026" s="114"/>
      <c r="AM1026" s="114"/>
      <c r="AN1026" s="114"/>
      <c r="AO1026" s="114"/>
      <c r="AP1026" s="114"/>
      <c r="AQ1026" s="114"/>
      <c r="AR1026" s="114"/>
      <c r="AS1026" s="114"/>
      <c r="AT1026" s="114"/>
      <c r="AU1026" s="114"/>
      <c r="AV1026" s="114"/>
      <c r="AW1026" s="114"/>
      <c r="AX1026" s="114"/>
      <c r="AY1026" s="114"/>
      <c r="AZ1026" s="114"/>
    </row>
    <row r="1027" spans="1:52">
      <c r="A1027" s="111"/>
      <c r="B1027" s="111"/>
      <c r="C1027" s="112"/>
      <c r="D1027" s="101"/>
      <c r="E1027" s="101"/>
      <c r="F1027" s="101"/>
      <c r="G1027" s="111"/>
      <c r="H1027" s="101"/>
      <c r="I1027" s="101"/>
      <c r="J1027" s="101"/>
      <c r="K1027" s="101"/>
      <c r="L1027" s="101"/>
      <c r="M1027" s="101"/>
      <c r="N1027" s="101"/>
      <c r="O1027" s="101"/>
      <c r="P1027" s="101"/>
      <c r="Q1027" s="101"/>
      <c r="R1027" s="101"/>
      <c r="S1027" s="101"/>
      <c r="T1027" s="101"/>
      <c r="U1027" s="101"/>
      <c r="V1027" s="101"/>
      <c r="W1027" s="101"/>
      <c r="X1027" s="101"/>
      <c r="Y1027" s="114"/>
      <c r="Z1027" s="114"/>
      <c r="AA1027" s="114"/>
      <c r="AB1027" s="114"/>
      <c r="AC1027" s="114"/>
      <c r="AD1027" s="114"/>
      <c r="AE1027" s="114"/>
      <c r="AF1027" s="114"/>
      <c r="AG1027" s="114"/>
      <c r="AH1027" s="114"/>
      <c r="AI1027" s="114"/>
      <c r="AJ1027" s="114"/>
      <c r="AK1027" s="114"/>
      <c r="AL1027" s="114"/>
      <c r="AM1027" s="114"/>
      <c r="AN1027" s="114"/>
      <c r="AO1027" s="114"/>
      <c r="AP1027" s="114"/>
      <c r="AQ1027" s="114"/>
      <c r="AR1027" s="114"/>
      <c r="AS1027" s="114"/>
      <c r="AT1027" s="114"/>
      <c r="AU1027" s="114"/>
      <c r="AV1027" s="114"/>
      <c r="AW1027" s="114"/>
      <c r="AX1027" s="114"/>
      <c r="AY1027" s="114"/>
      <c r="AZ1027" s="114"/>
    </row>
    <row r="1028" spans="1:52">
      <c r="A1028" s="111"/>
      <c r="B1028" s="111"/>
      <c r="C1028" s="112"/>
      <c r="D1028" s="101"/>
      <c r="E1028" s="101"/>
      <c r="F1028" s="101"/>
      <c r="G1028" s="111"/>
      <c r="H1028" s="101"/>
      <c r="I1028" s="101"/>
      <c r="J1028" s="101"/>
      <c r="K1028" s="101"/>
      <c r="L1028" s="101"/>
      <c r="M1028" s="101"/>
      <c r="N1028" s="101"/>
      <c r="O1028" s="101"/>
      <c r="P1028" s="101"/>
      <c r="Q1028" s="101"/>
      <c r="R1028" s="101"/>
      <c r="S1028" s="101"/>
      <c r="T1028" s="101"/>
      <c r="U1028" s="101"/>
      <c r="V1028" s="101"/>
      <c r="W1028" s="101"/>
      <c r="X1028" s="101"/>
      <c r="Y1028" s="114"/>
      <c r="Z1028" s="114"/>
      <c r="AA1028" s="114"/>
      <c r="AB1028" s="114"/>
      <c r="AC1028" s="114"/>
      <c r="AD1028" s="114"/>
      <c r="AE1028" s="114"/>
      <c r="AF1028" s="114"/>
      <c r="AG1028" s="114"/>
      <c r="AH1028" s="114"/>
      <c r="AI1028" s="114"/>
      <c r="AJ1028" s="114"/>
      <c r="AK1028" s="114"/>
      <c r="AL1028" s="114"/>
      <c r="AM1028" s="114"/>
      <c r="AN1028" s="114"/>
      <c r="AO1028" s="114"/>
      <c r="AP1028" s="114"/>
      <c r="AQ1028" s="114"/>
      <c r="AR1028" s="114"/>
      <c r="AS1028" s="114"/>
      <c r="AT1028" s="114"/>
      <c r="AU1028" s="114"/>
      <c r="AV1028" s="114"/>
      <c r="AW1028" s="114"/>
      <c r="AX1028" s="114"/>
      <c r="AY1028" s="114"/>
      <c r="AZ1028" s="114"/>
    </row>
    <row r="1029" spans="1:52">
      <c r="A1029" s="111"/>
      <c r="B1029" s="111"/>
      <c r="C1029" s="112"/>
      <c r="D1029" s="101"/>
      <c r="E1029" s="101"/>
      <c r="F1029" s="101"/>
      <c r="G1029" s="111"/>
      <c r="H1029" s="101"/>
      <c r="I1029" s="101"/>
      <c r="J1029" s="101"/>
      <c r="K1029" s="101"/>
      <c r="L1029" s="101"/>
      <c r="M1029" s="101"/>
      <c r="N1029" s="101"/>
      <c r="O1029" s="101"/>
      <c r="P1029" s="101"/>
      <c r="Q1029" s="101"/>
      <c r="R1029" s="101"/>
      <c r="S1029" s="101"/>
      <c r="T1029" s="101"/>
      <c r="U1029" s="101"/>
      <c r="V1029" s="101"/>
      <c r="W1029" s="101"/>
      <c r="X1029" s="101"/>
      <c r="Y1029" s="114"/>
      <c r="Z1029" s="114"/>
      <c r="AA1029" s="114"/>
      <c r="AB1029" s="114"/>
      <c r="AC1029" s="114"/>
      <c r="AD1029" s="114"/>
      <c r="AE1029" s="114"/>
      <c r="AF1029" s="114"/>
      <c r="AG1029" s="114"/>
      <c r="AH1029" s="114"/>
      <c r="AI1029" s="114"/>
      <c r="AJ1029" s="114"/>
      <c r="AK1029" s="114"/>
      <c r="AL1029" s="114"/>
      <c r="AM1029" s="114"/>
      <c r="AN1029" s="114"/>
      <c r="AO1029" s="114"/>
      <c r="AP1029" s="114"/>
      <c r="AQ1029" s="114"/>
      <c r="AR1029" s="114"/>
      <c r="AS1029" s="114"/>
      <c r="AT1029" s="114"/>
      <c r="AU1029" s="114"/>
      <c r="AV1029" s="114"/>
      <c r="AW1029" s="114"/>
      <c r="AX1029" s="114"/>
      <c r="AY1029" s="114"/>
      <c r="AZ1029" s="114"/>
    </row>
    <row r="1030" spans="1:52">
      <c r="A1030" s="111"/>
      <c r="B1030" s="111"/>
      <c r="C1030" s="112"/>
      <c r="D1030" s="101"/>
      <c r="E1030" s="101"/>
      <c r="F1030" s="101"/>
      <c r="G1030" s="111"/>
      <c r="H1030" s="101"/>
      <c r="I1030" s="101"/>
      <c r="J1030" s="101"/>
      <c r="K1030" s="101"/>
      <c r="L1030" s="101"/>
      <c r="M1030" s="101"/>
      <c r="N1030" s="101"/>
      <c r="O1030" s="101"/>
      <c r="P1030" s="101"/>
      <c r="Q1030" s="101"/>
      <c r="R1030" s="101"/>
      <c r="S1030" s="101"/>
      <c r="T1030" s="101"/>
      <c r="U1030" s="101"/>
      <c r="V1030" s="101"/>
      <c r="W1030" s="101"/>
      <c r="X1030" s="101"/>
      <c r="Y1030" s="114"/>
      <c r="Z1030" s="114"/>
      <c r="AA1030" s="114"/>
      <c r="AB1030" s="114"/>
      <c r="AC1030" s="114"/>
      <c r="AD1030" s="114"/>
      <c r="AE1030" s="114"/>
      <c r="AF1030" s="114"/>
      <c r="AG1030" s="114"/>
      <c r="AH1030" s="114"/>
      <c r="AI1030" s="114"/>
      <c r="AJ1030" s="114"/>
      <c r="AK1030" s="114"/>
      <c r="AL1030" s="114"/>
      <c r="AM1030" s="114"/>
      <c r="AN1030" s="114"/>
      <c r="AO1030" s="114"/>
      <c r="AP1030" s="114"/>
      <c r="AQ1030" s="114"/>
      <c r="AR1030" s="114"/>
      <c r="AS1030" s="114"/>
      <c r="AT1030" s="114"/>
      <c r="AU1030" s="114"/>
      <c r="AV1030" s="114"/>
      <c r="AW1030" s="114"/>
      <c r="AX1030" s="114"/>
      <c r="AY1030" s="114"/>
      <c r="AZ1030" s="114"/>
    </row>
    <row r="1031" spans="1:52">
      <c r="A1031" s="111"/>
      <c r="B1031" s="111"/>
      <c r="C1031" s="112"/>
      <c r="D1031" s="101"/>
      <c r="E1031" s="101"/>
      <c r="F1031" s="101"/>
      <c r="G1031" s="111"/>
      <c r="H1031" s="101"/>
      <c r="I1031" s="101"/>
      <c r="J1031" s="101"/>
      <c r="K1031" s="101"/>
      <c r="L1031" s="101"/>
      <c r="M1031" s="101"/>
      <c r="N1031" s="101"/>
      <c r="O1031" s="101"/>
      <c r="P1031" s="101"/>
      <c r="Q1031" s="101"/>
      <c r="R1031" s="101"/>
      <c r="S1031" s="101"/>
      <c r="T1031" s="101"/>
      <c r="U1031" s="101"/>
      <c r="V1031" s="101"/>
      <c r="W1031" s="101"/>
      <c r="X1031" s="101"/>
      <c r="Y1031" s="114"/>
      <c r="Z1031" s="114"/>
      <c r="AA1031" s="114"/>
      <c r="AB1031" s="114"/>
      <c r="AC1031" s="114"/>
      <c r="AD1031" s="114"/>
      <c r="AE1031" s="114"/>
      <c r="AF1031" s="114"/>
      <c r="AG1031" s="114"/>
      <c r="AH1031" s="114"/>
      <c r="AI1031" s="114"/>
      <c r="AJ1031" s="114"/>
      <c r="AK1031" s="114"/>
      <c r="AL1031" s="114"/>
      <c r="AM1031" s="114"/>
      <c r="AN1031" s="114"/>
      <c r="AO1031" s="114"/>
      <c r="AP1031" s="114"/>
      <c r="AQ1031" s="114"/>
      <c r="AR1031" s="114"/>
      <c r="AS1031" s="114"/>
      <c r="AT1031" s="114"/>
      <c r="AU1031" s="114"/>
      <c r="AV1031" s="114"/>
      <c r="AW1031" s="114"/>
      <c r="AX1031" s="114"/>
      <c r="AY1031" s="114"/>
      <c r="AZ1031" s="114"/>
    </row>
    <row r="1032" spans="1:52">
      <c r="A1032" s="111"/>
      <c r="B1032" s="111"/>
      <c r="C1032" s="112"/>
      <c r="D1032" s="101"/>
      <c r="E1032" s="101"/>
      <c r="F1032" s="101"/>
      <c r="G1032" s="111"/>
      <c r="H1032" s="101"/>
      <c r="I1032" s="101"/>
      <c r="J1032" s="101"/>
      <c r="K1032" s="101"/>
      <c r="L1032" s="101"/>
      <c r="M1032" s="101"/>
      <c r="N1032" s="101"/>
      <c r="O1032" s="101"/>
      <c r="P1032" s="101"/>
      <c r="Q1032" s="101"/>
      <c r="R1032" s="101"/>
      <c r="S1032" s="101"/>
      <c r="T1032" s="101"/>
      <c r="U1032" s="101"/>
      <c r="V1032" s="101"/>
      <c r="W1032" s="101"/>
      <c r="X1032" s="101"/>
      <c r="Y1032" s="114"/>
      <c r="Z1032" s="114"/>
      <c r="AA1032" s="114"/>
      <c r="AB1032" s="114"/>
      <c r="AC1032" s="114"/>
      <c r="AD1032" s="114"/>
      <c r="AE1032" s="114"/>
      <c r="AF1032" s="114"/>
      <c r="AG1032" s="114"/>
      <c r="AH1032" s="114"/>
      <c r="AI1032" s="114"/>
      <c r="AJ1032" s="114"/>
      <c r="AK1032" s="114"/>
      <c r="AL1032" s="114"/>
      <c r="AM1032" s="114"/>
      <c r="AN1032" s="114"/>
      <c r="AO1032" s="114"/>
      <c r="AP1032" s="114"/>
      <c r="AQ1032" s="114"/>
      <c r="AR1032" s="114"/>
      <c r="AS1032" s="114"/>
      <c r="AT1032" s="114"/>
      <c r="AU1032" s="114"/>
      <c r="AV1032" s="114"/>
      <c r="AW1032" s="114"/>
      <c r="AX1032" s="114"/>
      <c r="AY1032" s="114"/>
      <c r="AZ1032" s="114"/>
    </row>
    <row r="1033" spans="1:52">
      <c r="A1033" s="111"/>
      <c r="B1033" s="111"/>
      <c r="C1033" s="112"/>
      <c r="D1033" s="101"/>
      <c r="E1033" s="101"/>
      <c r="F1033" s="101"/>
      <c r="G1033" s="111"/>
      <c r="H1033" s="101"/>
      <c r="I1033" s="101"/>
      <c r="J1033" s="101"/>
      <c r="K1033" s="101"/>
      <c r="L1033" s="101"/>
      <c r="M1033" s="101"/>
      <c r="N1033" s="101"/>
      <c r="O1033" s="101"/>
      <c r="P1033" s="101"/>
      <c r="Q1033" s="101"/>
      <c r="R1033" s="101"/>
      <c r="S1033" s="101"/>
      <c r="T1033" s="101"/>
      <c r="U1033" s="101"/>
      <c r="V1033" s="101"/>
      <c r="W1033" s="101"/>
      <c r="X1033" s="101"/>
      <c r="Y1033" s="114"/>
      <c r="Z1033" s="114"/>
      <c r="AA1033" s="114"/>
      <c r="AB1033" s="114"/>
      <c r="AC1033" s="114"/>
      <c r="AD1033" s="114"/>
      <c r="AE1033" s="114"/>
      <c r="AF1033" s="114"/>
      <c r="AG1033" s="114"/>
      <c r="AH1033" s="114"/>
      <c r="AI1033" s="114"/>
      <c r="AJ1033" s="114"/>
      <c r="AK1033" s="114"/>
      <c r="AL1033" s="114"/>
      <c r="AM1033" s="114"/>
      <c r="AN1033" s="114"/>
      <c r="AO1033" s="114"/>
      <c r="AP1033" s="114"/>
      <c r="AQ1033" s="114"/>
      <c r="AR1033" s="114"/>
      <c r="AS1033" s="114"/>
      <c r="AT1033" s="114"/>
      <c r="AU1033" s="114"/>
      <c r="AV1033" s="114"/>
      <c r="AW1033" s="114"/>
      <c r="AX1033" s="114"/>
      <c r="AY1033" s="114"/>
      <c r="AZ1033" s="114"/>
    </row>
    <row r="1034" spans="1:52">
      <c r="A1034" s="111"/>
      <c r="B1034" s="111"/>
      <c r="C1034" s="112"/>
      <c r="D1034" s="101"/>
      <c r="E1034" s="101"/>
      <c r="F1034" s="101"/>
      <c r="G1034" s="111"/>
      <c r="H1034" s="101"/>
      <c r="I1034" s="101"/>
      <c r="J1034" s="101"/>
      <c r="K1034" s="101"/>
      <c r="L1034" s="101"/>
      <c r="M1034" s="101"/>
      <c r="N1034" s="101"/>
      <c r="O1034" s="101"/>
      <c r="P1034" s="101"/>
      <c r="Q1034" s="101"/>
      <c r="R1034" s="101"/>
      <c r="S1034" s="101"/>
      <c r="T1034" s="101"/>
      <c r="U1034" s="101"/>
      <c r="V1034" s="101"/>
      <c r="W1034" s="101"/>
      <c r="X1034" s="101"/>
      <c r="Y1034" s="114"/>
      <c r="Z1034" s="114"/>
      <c r="AA1034" s="114"/>
      <c r="AB1034" s="114"/>
      <c r="AC1034" s="114"/>
      <c r="AD1034" s="114"/>
      <c r="AE1034" s="114"/>
      <c r="AF1034" s="114"/>
      <c r="AG1034" s="114"/>
      <c r="AH1034" s="114"/>
      <c r="AI1034" s="114"/>
      <c r="AJ1034" s="114"/>
      <c r="AK1034" s="114"/>
      <c r="AL1034" s="114"/>
      <c r="AM1034" s="114"/>
      <c r="AN1034" s="114"/>
      <c r="AO1034" s="114"/>
      <c r="AP1034" s="114"/>
      <c r="AQ1034" s="114"/>
      <c r="AR1034" s="114"/>
      <c r="AS1034" s="114"/>
      <c r="AT1034" s="114"/>
      <c r="AU1034" s="114"/>
      <c r="AV1034" s="114"/>
      <c r="AW1034" s="114"/>
      <c r="AX1034" s="114"/>
      <c r="AY1034" s="114"/>
      <c r="AZ1034" s="114"/>
    </row>
    <row r="1035" spans="1:52">
      <c r="A1035" s="111"/>
      <c r="B1035" s="111"/>
      <c r="C1035" s="112"/>
      <c r="D1035" s="101"/>
      <c r="E1035" s="101"/>
      <c r="F1035" s="101"/>
      <c r="G1035" s="111"/>
      <c r="H1035" s="101"/>
      <c r="I1035" s="101"/>
      <c r="J1035" s="101"/>
      <c r="K1035" s="101"/>
      <c r="L1035" s="101"/>
      <c r="M1035" s="101"/>
      <c r="N1035" s="101"/>
      <c r="O1035" s="101"/>
      <c r="P1035" s="101"/>
      <c r="Q1035" s="101"/>
      <c r="R1035" s="101"/>
      <c r="S1035" s="101"/>
      <c r="T1035" s="101"/>
      <c r="U1035" s="101"/>
      <c r="V1035" s="101"/>
      <c r="W1035" s="101"/>
      <c r="X1035" s="101"/>
      <c r="Y1035" s="114"/>
      <c r="Z1035" s="114"/>
      <c r="AA1035" s="114"/>
      <c r="AB1035" s="114"/>
      <c r="AC1035" s="114"/>
      <c r="AD1035" s="114"/>
      <c r="AE1035" s="114"/>
      <c r="AF1035" s="114"/>
      <c r="AG1035" s="114"/>
      <c r="AH1035" s="114"/>
      <c r="AI1035" s="114"/>
      <c r="AJ1035" s="114"/>
      <c r="AK1035" s="114"/>
      <c r="AL1035" s="114"/>
      <c r="AM1035" s="114"/>
      <c r="AN1035" s="114"/>
      <c r="AO1035" s="114"/>
      <c r="AP1035" s="114"/>
      <c r="AQ1035" s="114"/>
      <c r="AR1035" s="114"/>
      <c r="AS1035" s="114"/>
      <c r="AT1035" s="114"/>
      <c r="AU1035" s="114"/>
      <c r="AV1035" s="114"/>
      <c r="AW1035" s="114"/>
      <c r="AX1035" s="114"/>
      <c r="AY1035" s="114"/>
      <c r="AZ1035" s="114"/>
    </row>
    <row r="1036" spans="1:52">
      <c r="A1036" s="111"/>
      <c r="B1036" s="111"/>
      <c r="C1036" s="112"/>
      <c r="D1036" s="101"/>
      <c r="E1036" s="101"/>
      <c r="F1036" s="101"/>
      <c r="G1036" s="111"/>
      <c r="H1036" s="101"/>
      <c r="I1036" s="101"/>
      <c r="J1036" s="101"/>
      <c r="K1036" s="101"/>
      <c r="L1036" s="101"/>
      <c r="M1036" s="101"/>
      <c r="N1036" s="101"/>
      <c r="O1036" s="101"/>
      <c r="P1036" s="101"/>
      <c r="Q1036" s="101"/>
      <c r="R1036" s="101"/>
      <c r="S1036" s="101"/>
      <c r="T1036" s="101"/>
      <c r="U1036" s="101"/>
      <c r="V1036" s="101"/>
      <c r="W1036" s="101"/>
      <c r="X1036" s="101"/>
      <c r="Y1036" s="114"/>
      <c r="Z1036" s="114"/>
      <c r="AA1036" s="114"/>
      <c r="AB1036" s="114"/>
      <c r="AC1036" s="114"/>
      <c r="AD1036" s="114"/>
      <c r="AE1036" s="114"/>
      <c r="AF1036" s="114"/>
      <c r="AG1036" s="114"/>
      <c r="AH1036" s="114"/>
      <c r="AI1036" s="114"/>
      <c r="AJ1036" s="114"/>
      <c r="AK1036" s="114"/>
      <c r="AL1036" s="114"/>
      <c r="AM1036" s="114"/>
      <c r="AN1036" s="114"/>
      <c r="AO1036" s="114"/>
      <c r="AP1036" s="114"/>
      <c r="AQ1036" s="114"/>
      <c r="AR1036" s="114"/>
      <c r="AS1036" s="114"/>
      <c r="AT1036" s="114"/>
      <c r="AU1036" s="114"/>
      <c r="AV1036" s="114"/>
      <c r="AW1036" s="114"/>
      <c r="AX1036" s="114"/>
      <c r="AY1036" s="114"/>
      <c r="AZ1036" s="114"/>
    </row>
    <row r="1037" spans="1:52">
      <c r="A1037" s="111"/>
      <c r="B1037" s="111"/>
      <c r="C1037" s="112"/>
      <c r="D1037" s="101"/>
      <c r="E1037" s="101"/>
      <c r="F1037" s="101"/>
      <c r="G1037" s="111"/>
      <c r="H1037" s="101"/>
      <c r="I1037" s="101"/>
      <c r="J1037" s="101"/>
      <c r="K1037" s="101"/>
      <c r="L1037" s="101"/>
      <c r="M1037" s="101"/>
      <c r="N1037" s="101"/>
      <c r="O1037" s="101"/>
      <c r="P1037" s="101"/>
      <c r="Q1037" s="101"/>
      <c r="R1037" s="101"/>
      <c r="S1037" s="101"/>
      <c r="T1037" s="101"/>
      <c r="U1037" s="101"/>
      <c r="V1037" s="101"/>
      <c r="W1037" s="101"/>
      <c r="X1037" s="101"/>
      <c r="Y1037" s="114"/>
      <c r="Z1037" s="114"/>
      <c r="AA1037" s="114"/>
      <c r="AB1037" s="114"/>
      <c r="AC1037" s="114"/>
      <c r="AD1037" s="114"/>
      <c r="AE1037" s="114"/>
      <c r="AF1037" s="114"/>
      <c r="AG1037" s="114"/>
      <c r="AH1037" s="114"/>
      <c r="AI1037" s="114"/>
      <c r="AJ1037" s="114"/>
      <c r="AK1037" s="114"/>
      <c r="AL1037" s="114"/>
      <c r="AM1037" s="114"/>
      <c r="AN1037" s="114"/>
      <c r="AO1037" s="114"/>
      <c r="AP1037" s="114"/>
      <c r="AQ1037" s="114"/>
      <c r="AR1037" s="114"/>
      <c r="AS1037" s="114"/>
      <c r="AT1037" s="114"/>
      <c r="AU1037" s="114"/>
      <c r="AV1037" s="114"/>
      <c r="AW1037" s="114"/>
      <c r="AX1037" s="114"/>
      <c r="AY1037" s="114"/>
      <c r="AZ1037" s="114"/>
    </row>
    <row r="1038" spans="1:52">
      <c r="A1038" s="111"/>
      <c r="B1038" s="111"/>
      <c r="C1038" s="112"/>
      <c r="D1038" s="101"/>
      <c r="E1038" s="101"/>
      <c r="F1038" s="101"/>
      <c r="G1038" s="111"/>
      <c r="H1038" s="101"/>
      <c r="I1038" s="101"/>
      <c r="J1038" s="101"/>
      <c r="K1038" s="101"/>
      <c r="L1038" s="101"/>
      <c r="M1038" s="101"/>
      <c r="N1038" s="101"/>
      <c r="O1038" s="101"/>
      <c r="P1038" s="101"/>
      <c r="Q1038" s="101"/>
      <c r="R1038" s="101"/>
      <c r="S1038" s="101"/>
      <c r="T1038" s="101"/>
      <c r="U1038" s="101"/>
      <c r="V1038" s="101"/>
      <c r="W1038" s="101"/>
      <c r="X1038" s="101"/>
      <c r="Y1038" s="114"/>
      <c r="Z1038" s="114"/>
      <c r="AA1038" s="114"/>
      <c r="AB1038" s="114"/>
      <c r="AC1038" s="114"/>
      <c r="AD1038" s="114"/>
      <c r="AE1038" s="114"/>
      <c r="AF1038" s="114"/>
      <c r="AG1038" s="114"/>
      <c r="AH1038" s="114"/>
      <c r="AI1038" s="114"/>
      <c r="AJ1038" s="114"/>
      <c r="AK1038" s="114"/>
      <c r="AL1038" s="114"/>
      <c r="AM1038" s="114"/>
      <c r="AN1038" s="114"/>
      <c r="AO1038" s="114"/>
      <c r="AP1038" s="114"/>
      <c r="AQ1038" s="114"/>
      <c r="AR1038" s="114"/>
      <c r="AS1038" s="114"/>
      <c r="AT1038" s="114"/>
      <c r="AU1038" s="114"/>
      <c r="AV1038" s="114"/>
      <c r="AW1038" s="114"/>
      <c r="AX1038" s="114"/>
      <c r="AY1038" s="114"/>
      <c r="AZ1038" s="114"/>
    </row>
    <row r="1039" spans="1:52">
      <c r="A1039" s="111"/>
      <c r="B1039" s="111"/>
      <c r="C1039" s="112"/>
      <c r="D1039" s="101"/>
      <c r="E1039" s="101"/>
      <c r="F1039" s="101"/>
      <c r="G1039" s="111"/>
      <c r="H1039" s="101"/>
      <c r="I1039" s="101"/>
      <c r="J1039" s="101"/>
      <c r="K1039" s="101"/>
      <c r="L1039" s="101"/>
      <c r="M1039" s="101"/>
      <c r="N1039" s="101"/>
      <c r="O1039" s="101"/>
      <c r="P1039" s="101"/>
      <c r="Q1039" s="101"/>
      <c r="R1039" s="101"/>
      <c r="S1039" s="101"/>
      <c r="T1039" s="101"/>
      <c r="U1039" s="101"/>
      <c r="V1039" s="101"/>
      <c r="W1039" s="101"/>
      <c r="X1039" s="101"/>
      <c r="Y1039" s="114"/>
      <c r="Z1039" s="114"/>
      <c r="AA1039" s="114"/>
      <c r="AB1039" s="114"/>
      <c r="AC1039" s="114"/>
      <c r="AD1039" s="114"/>
      <c r="AE1039" s="114"/>
      <c r="AF1039" s="114"/>
      <c r="AG1039" s="114"/>
      <c r="AH1039" s="114"/>
      <c r="AI1039" s="114"/>
      <c r="AJ1039" s="114"/>
      <c r="AK1039" s="114"/>
      <c r="AL1039" s="114"/>
      <c r="AM1039" s="114"/>
      <c r="AN1039" s="114"/>
      <c r="AO1039" s="114"/>
      <c r="AP1039" s="114"/>
      <c r="AQ1039" s="114"/>
      <c r="AR1039" s="114"/>
      <c r="AS1039" s="114"/>
      <c r="AT1039" s="114"/>
      <c r="AU1039" s="114"/>
      <c r="AV1039" s="114"/>
      <c r="AW1039" s="114"/>
      <c r="AX1039" s="114"/>
      <c r="AY1039" s="114"/>
      <c r="AZ1039" s="114"/>
    </row>
    <row r="1040" spans="1:52">
      <c r="A1040" s="111"/>
      <c r="B1040" s="111"/>
      <c r="C1040" s="112"/>
      <c r="D1040" s="101"/>
      <c r="E1040" s="101"/>
      <c r="F1040" s="101"/>
      <c r="G1040" s="111"/>
      <c r="H1040" s="101"/>
      <c r="I1040" s="101"/>
      <c r="J1040" s="101"/>
      <c r="K1040" s="101"/>
      <c r="L1040" s="101"/>
      <c r="M1040" s="101"/>
      <c r="N1040" s="101"/>
      <c r="O1040" s="101"/>
      <c r="P1040" s="101"/>
      <c r="Q1040" s="101"/>
      <c r="R1040" s="101"/>
      <c r="S1040" s="101"/>
      <c r="T1040" s="101"/>
      <c r="U1040" s="101"/>
      <c r="V1040" s="101"/>
      <c r="W1040" s="101"/>
      <c r="X1040" s="101"/>
      <c r="Y1040" s="114"/>
      <c r="Z1040" s="114"/>
      <c r="AA1040" s="114"/>
      <c r="AB1040" s="114"/>
      <c r="AC1040" s="114"/>
      <c r="AD1040" s="114"/>
      <c r="AE1040" s="114"/>
      <c r="AF1040" s="114"/>
      <c r="AG1040" s="114"/>
      <c r="AH1040" s="114"/>
      <c r="AI1040" s="114"/>
      <c r="AJ1040" s="114"/>
      <c r="AK1040" s="114"/>
      <c r="AL1040" s="114"/>
      <c r="AM1040" s="114"/>
      <c r="AN1040" s="114"/>
      <c r="AO1040" s="114"/>
      <c r="AP1040" s="114"/>
      <c r="AQ1040" s="114"/>
      <c r="AR1040" s="114"/>
      <c r="AS1040" s="114"/>
      <c r="AT1040" s="114"/>
      <c r="AU1040" s="114"/>
      <c r="AV1040" s="114"/>
      <c r="AW1040" s="114"/>
      <c r="AX1040" s="114"/>
      <c r="AY1040" s="114"/>
      <c r="AZ1040" s="114"/>
    </row>
    <row r="1041" spans="1:52">
      <c r="A1041" s="111"/>
      <c r="B1041" s="111"/>
      <c r="C1041" s="112"/>
      <c r="D1041" s="101"/>
      <c r="E1041" s="101"/>
      <c r="F1041" s="101"/>
      <c r="G1041" s="111"/>
      <c r="H1041" s="101"/>
      <c r="I1041" s="101"/>
      <c r="J1041" s="101"/>
      <c r="K1041" s="101"/>
      <c r="L1041" s="101"/>
      <c r="M1041" s="101"/>
      <c r="N1041" s="101"/>
      <c r="O1041" s="101"/>
      <c r="P1041" s="101"/>
      <c r="Q1041" s="101"/>
      <c r="R1041" s="101"/>
      <c r="S1041" s="101"/>
      <c r="T1041" s="101"/>
      <c r="U1041" s="101"/>
      <c r="V1041" s="101"/>
      <c r="W1041" s="101"/>
      <c r="X1041" s="101"/>
      <c r="Y1041" s="114"/>
      <c r="Z1041" s="114"/>
      <c r="AA1041" s="114"/>
      <c r="AB1041" s="114"/>
      <c r="AC1041" s="114"/>
      <c r="AD1041" s="114"/>
      <c r="AE1041" s="114"/>
      <c r="AF1041" s="114"/>
      <c r="AG1041" s="114"/>
      <c r="AH1041" s="114"/>
      <c r="AI1041" s="114"/>
      <c r="AJ1041" s="114"/>
      <c r="AK1041" s="114"/>
      <c r="AL1041" s="114"/>
      <c r="AM1041" s="114"/>
      <c r="AN1041" s="114"/>
      <c r="AO1041" s="114"/>
      <c r="AP1041" s="114"/>
      <c r="AQ1041" s="114"/>
      <c r="AR1041" s="114"/>
      <c r="AS1041" s="114"/>
      <c r="AT1041" s="114"/>
      <c r="AU1041" s="114"/>
      <c r="AV1041" s="114"/>
      <c r="AW1041" s="114"/>
      <c r="AX1041" s="114"/>
      <c r="AY1041" s="114"/>
      <c r="AZ1041" s="114"/>
    </row>
    <row r="1042" spans="1:52">
      <c r="A1042" s="111"/>
      <c r="B1042" s="111"/>
      <c r="C1042" s="112"/>
      <c r="D1042" s="101"/>
      <c r="E1042" s="101"/>
      <c r="F1042" s="101"/>
      <c r="G1042" s="111"/>
      <c r="H1042" s="101"/>
      <c r="I1042" s="101"/>
      <c r="J1042" s="101"/>
      <c r="K1042" s="101"/>
      <c r="L1042" s="101"/>
      <c r="M1042" s="101"/>
      <c r="N1042" s="101"/>
      <c r="O1042" s="101"/>
      <c r="P1042" s="101"/>
      <c r="Q1042" s="101"/>
      <c r="R1042" s="101"/>
      <c r="S1042" s="101"/>
      <c r="T1042" s="101"/>
      <c r="U1042" s="101"/>
      <c r="V1042" s="101"/>
      <c r="W1042" s="101"/>
      <c r="X1042" s="101"/>
      <c r="Y1042" s="114"/>
      <c r="Z1042" s="114"/>
      <c r="AA1042" s="114"/>
      <c r="AB1042" s="114"/>
      <c r="AC1042" s="114"/>
      <c r="AD1042" s="114"/>
      <c r="AE1042" s="114"/>
      <c r="AF1042" s="114"/>
      <c r="AG1042" s="114"/>
      <c r="AH1042" s="114"/>
      <c r="AI1042" s="114"/>
      <c r="AJ1042" s="114"/>
      <c r="AK1042" s="114"/>
      <c r="AL1042" s="114"/>
      <c r="AM1042" s="114"/>
      <c r="AN1042" s="114"/>
      <c r="AO1042" s="114"/>
      <c r="AP1042" s="114"/>
      <c r="AQ1042" s="114"/>
      <c r="AR1042" s="114"/>
      <c r="AS1042" s="114"/>
      <c r="AT1042" s="114"/>
      <c r="AU1042" s="114"/>
      <c r="AV1042" s="114"/>
      <c r="AW1042" s="114"/>
      <c r="AX1042" s="114"/>
      <c r="AY1042" s="114"/>
      <c r="AZ1042" s="114"/>
    </row>
    <row r="1043" spans="1:52">
      <c r="A1043" s="111"/>
      <c r="B1043" s="111"/>
      <c r="C1043" s="112"/>
      <c r="D1043" s="101"/>
      <c r="E1043" s="101"/>
      <c r="F1043" s="101"/>
      <c r="G1043" s="111"/>
      <c r="H1043" s="101"/>
      <c r="I1043" s="101"/>
      <c r="J1043" s="101"/>
      <c r="K1043" s="101"/>
      <c r="L1043" s="101"/>
      <c r="M1043" s="101"/>
      <c r="N1043" s="101"/>
      <c r="O1043" s="101"/>
      <c r="P1043" s="101"/>
      <c r="Q1043" s="101"/>
      <c r="R1043" s="101"/>
      <c r="S1043" s="101"/>
      <c r="T1043" s="101"/>
      <c r="U1043" s="101"/>
      <c r="V1043" s="101"/>
      <c r="W1043" s="101"/>
      <c r="X1043" s="101"/>
      <c r="Y1043" s="114"/>
      <c r="Z1043" s="114"/>
      <c r="AA1043" s="114"/>
      <c r="AB1043" s="114"/>
      <c r="AC1043" s="114"/>
      <c r="AD1043" s="114"/>
      <c r="AE1043" s="114"/>
      <c r="AF1043" s="114"/>
      <c r="AG1043" s="114"/>
      <c r="AH1043" s="114"/>
      <c r="AI1043" s="114"/>
      <c r="AJ1043" s="114"/>
      <c r="AK1043" s="114"/>
      <c r="AL1043" s="114"/>
      <c r="AM1043" s="114"/>
      <c r="AN1043" s="114"/>
      <c r="AO1043" s="114"/>
      <c r="AP1043" s="114"/>
      <c r="AQ1043" s="114"/>
      <c r="AR1043" s="114"/>
      <c r="AS1043" s="114"/>
      <c r="AT1043" s="114"/>
      <c r="AU1043" s="114"/>
      <c r="AV1043" s="114"/>
      <c r="AW1043" s="114"/>
      <c r="AX1043" s="114"/>
      <c r="AY1043" s="114"/>
      <c r="AZ1043" s="114"/>
    </row>
    <row r="1044" spans="1:52">
      <c r="A1044" s="111"/>
      <c r="B1044" s="111"/>
      <c r="C1044" s="112"/>
      <c r="D1044" s="101"/>
      <c r="E1044" s="101"/>
      <c r="F1044" s="101"/>
      <c r="G1044" s="111"/>
      <c r="H1044" s="101"/>
      <c r="I1044" s="101"/>
      <c r="J1044" s="101"/>
      <c r="K1044" s="101"/>
      <c r="L1044" s="101"/>
      <c r="M1044" s="101"/>
      <c r="N1044" s="101"/>
      <c r="O1044" s="101"/>
      <c r="P1044" s="101"/>
      <c r="Q1044" s="101"/>
      <c r="R1044" s="101"/>
      <c r="S1044" s="101"/>
      <c r="T1044" s="101"/>
      <c r="U1044" s="101"/>
      <c r="V1044" s="101"/>
      <c r="W1044" s="101"/>
      <c r="X1044" s="101"/>
      <c r="Y1044" s="114"/>
      <c r="Z1044" s="114"/>
      <c r="AA1044" s="114"/>
      <c r="AB1044" s="114"/>
      <c r="AC1044" s="114"/>
      <c r="AD1044" s="114"/>
      <c r="AE1044" s="114"/>
      <c r="AF1044" s="114"/>
      <c r="AG1044" s="114"/>
      <c r="AH1044" s="114"/>
      <c r="AI1044" s="114"/>
      <c r="AJ1044" s="114"/>
      <c r="AK1044" s="114"/>
      <c r="AL1044" s="114"/>
      <c r="AM1044" s="114"/>
      <c r="AN1044" s="114"/>
      <c r="AO1044" s="114"/>
      <c r="AP1044" s="114"/>
      <c r="AQ1044" s="114"/>
      <c r="AR1044" s="114"/>
      <c r="AS1044" s="114"/>
      <c r="AT1044" s="114"/>
      <c r="AU1044" s="114"/>
      <c r="AV1044" s="114"/>
      <c r="AW1044" s="114"/>
      <c r="AX1044" s="114"/>
      <c r="AY1044" s="114"/>
      <c r="AZ1044" s="114"/>
    </row>
    <row r="1045" spans="1:52">
      <c r="A1045" s="111"/>
      <c r="B1045" s="111"/>
      <c r="C1045" s="112"/>
      <c r="D1045" s="101"/>
      <c r="E1045" s="101"/>
      <c r="F1045" s="101"/>
      <c r="G1045" s="111"/>
      <c r="H1045" s="101"/>
      <c r="I1045" s="101"/>
      <c r="J1045" s="101"/>
      <c r="K1045" s="101"/>
      <c r="L1045" s="101"/>
      <c r="M1045" s="101"/>
      <c r="N1045" s="101"/>
      <c r="O1045" s="101"/>
      <c r="P1045" s="101"/>
      <c r="Q1045" s="101"/>
      <c r="R1045" s="101"/>
      <c r="S1045" s="101"/>
      <c r="T1045" s="101"/>
      <c r="U1045" s="101"/>
      <c r="V1045" s="101"/>
      <c r="W1045" s="101"/>
      <c r="X1045" s="101"/>
      <c r="Y1045" s="114"/>
      <c r="Z1045" s="114"/>
      <c r="AA1045" s="114"/>
      <c r="AB1045" s="114"/>
      <c r="AC1045" s="114"/>
      <c r="AD1045" s="114"/>
      <c r="AE1045" s="114"/>
      <c r="AF1045" s="114"/>
      <c r="AG1045" s="114"/>
      <c r="AH1045" s="114"/>
      <c r="AI1045" s="114"/>
      <c r="AJ1045" s="114"/>
      <c r="AK1045" s="114"/>
      <c r="AL1045" s="114"/>
      <c r="AM1045" s="114"/>
      <c r="AN1045" s="114"/>
      <c r="AO1045" s="114"/>
      <c r="AP1045" s="114"/>
      <c r="AQ1045" s="114"/>
      <c r="AR1045" s="114"/>
      <c r="AS1045" s="114"/>
      <c r="AT1045" s="114"/>
      <c r="AU1045" s="114"/>
      <c r="AV1045" s="114"/>
      <c r="AW1045" s="114"/>
      <c r="AX1045" s="114"/>
      <c r="AY1045" s="114"/>
      <c r="AZ1045" s="114"/>
    </row>
    <row r="1046" spans="1:52">
      <c r="A1046" s="111"/>
      <c r="B1046" s="111"/>
      <c r="C1046" s="112"/>
      <c r="D1046" s="101"/>
      <c r="E1046" s="101"/>
      <c r="F1046" s="101"/>
      <c r="G1046" s="111"/>
      <c r="H1046" s="101"/>
      <c r="I1046" s="101"/>
      <c r="J1046" s="101"/>
      <c r="K1046" s="101"/>
      <c r="L1046" s="101"/>
      <c r="M1046" s="101"/>
      <c r="N1046" s="101"/>
      <c r="O1046" s="101"/>
      <c r="P1046" s="101"/>
      <c r="Q1046" s="101"/>
      <c r="R1046" s="101"/>
      <c r="S1046" s="101"/>
      <c r="T1046" s="101"/>
      <c r="U1046" s="101"/>
      <c r="V1046" s="101"/>
      <c r="W1046" s="101"/>
      <c r="X1046" s="101"/>
      <c r="Y1046" s="114"/>
      <c r="Z1046" s="114"/>
      <c r="AA1046" s="114"/>
      <c r="AB1046" s="114"/>
      <c r="AC1046" s="114"/>
      <c r="AD1046" s="114"/>
      <c r="AE1046" s="114"/>
      <c r="AF1046" s="114"/>
      <c r="AG1046" s="114"/>
      <c r="AH1046" s="114"/>
      <c r="AI1046" s="114"/>
      <c r="AJ1046" s="114"/>
      <c r="AK1046" s="114"/>
      <c r="AL1046" s="114"/>
      <c r="AM1046" s="114"/>
      <c r="AN1046" s="114"/>
      <c r="AO1046" s="114"/>
      <c r="AP1046" s="114"/>
      <c r="AQ1046" s="114"/>
      <c r="AR1046" s="114"/>
      <c r="AS1046" s="114"/>
      <c r="AT1046" s="114"/>
      <c r="AU1046" s="114"/>
      <c r="AV1046" s="114"/>
      <c r="AW1046" s="114"/>
      <c r="AX1046" s="114"/>
      <c r="AY1046" s="114"/>
      <c r="AZ1046" s="114"/>
    </row>
    <row r="1047" spans="1:52">
      <c r="A1047" s="111"/>
      <c r="B1047" s="111"/>
      <c r="C1047" s="112"/>
      <c r="D1047" s="101"/>
      <c r="E1047" s="101"/>
      <c r="F1047" s="101"/>
      <c r="G1047" s="111"/>
      <c r="H1047" s="101"/>
      <c r="I1047" s="101"/>
      <c r="J1047" s="101"/>
      <c r="K1047" s="101"/>
      <c r="L1047" s="101"/>
      <c r="M1047" s="101"/>
      <c r="N1047" s="101"/>
      <c r="O1047" s="101"/>
      <c r="P1047" s="101"/>
      <c r="Q1047" s="101"/>
      <c r="R1047" s="101"/>
      <c r="S1047" s="101"/>
      <c r="T1047" s="101"/>
      <c r="U1047" s="101"/>
      <c r="V1047" s="101"/>
      <c r="W1047" s="101"/>
      <c r="X1047" s="101"/>
      <c r="Y1047" s="114"/>
      <c r="Z1047" s="114"/>
      <c r="AA1047" s="114"/>
      <c r="AB1047" s="114"/>
      <c r="AC1047" s="114"/>
      <c r="AD1047" s="114"/>
      <c r="AE1047" s="114"/>
      <c r="AF1047" s="114"/>
      <c r="AG1047" s="114"/>
      <c r="AH1047" s="114"/>
      <c r="AI1047" s="114"/>
      <c r="AJ1047" s="114"/>
      <c r="AK1047" s="114"/>
      <c r="AL1047" s="114"/>
      <c r="AM1047" s="114"/>
      <c r="AN1047" s="114"/>
      <c r="AO1047" s="114"/>
      <c r="AP1047" s="114"/>
      <c r="AQ1047" s="114"/>
      <c r="AR1047" s="114"/>
      <c r="AS1047" s="114"/>
      <c r="AT1047" s="114"/>
      <c r="AU1047" s="114"/>
      <c r="AV1047" s="114"/>
      <c r="AW1047" s="114"/>
      <c r="AX1047" s="114"/>
      <c r="AY1047" s="114"/>
      <c r="AZ1047" s="114"/>
    </row>
    <row r="1048" spans="1:52">
      <c r="A1048" s="111"/>
      <c r="B1048" s="111"/>
      <c r="C1048" s="112"/>
      <c r="D1048" s="101"/>
      <c r="E1048" s="101"/>
      <c r="F1048" s="101"/>
      <c r="G1048" s="111"/>
      <c r="H1048" s="101"/>
      <c r="I1048" s="101"/>
      <c r="J1048" s="101"/>
      <c r="K1048" s="101"/>
      <c r="L1048" s="101"/>
      <c r="M1048" s="101"/>
      <c r="N1048" s="101"/>
      <c r="O1048" s="101"/>
      <c r="P1048" s="101"/>
      <c r="Q1048" s="101"/>
      <c r="R1048" s="101"/>
      <c r="S1048" s="101"/>
      <c r="T1048" s="101"/>
      <c r="U1048" s="101"/>
      <c r="V1048" s="101"/>
      <c r="W1048" s="101"/>
      <c r="X1048" s="101"/>
      <c r="Y1048" s="114"/>
      <c r="Z1048" s="114"/>
      <c r="AA1048" s="114"/>
      <c r="AB1048" s="114"/>
      <c r="AC1048" s="114"/>
      <c r="AD1048" s="114"/>
      <c r="AE1048" s="114"/>
      <c r="AF1048" s="114"/>
      <c r="AG1048" s="114"/>
      <c r="AH1048" s="114"/>
      <c r="AI1048" s="114"/>
      <c r="AJ1048" s="114"/>
      <c r="AK1048" s="114"/>
      <c r="AL1048" s="114"/>
      <c r="AM1048" s="114"/>
      <c r="AN1048" s="114"/>
      <c r="AO1048" s="114"/>
      <c r="AP1048" s="114"/>
      <c r="AQ1048" s="114"/>
      <c r="AR1048" s="114"/>
      <c r="AS1048" s="114"/>
      <c r="AT1048" s="114"/>
      <c r="AU1048" s="114"/>
      <c r="AV1048" s="114"/>
      <c r="AW1048" s="114"/>
      <c r="AX1048" s="114"/>
      <c r="AY1048" s="114"/>
      <c r="AZ1048" s="114"/>
    </row>
    <row r="1049" spans="1:52">
      <c r="A1049" s="111"/>
      <c r="B1049" s="111"/>
      <c r="C1049" s="112"/>
      <c r="D1049" s="101"/>
      <c r="E1049" s="101"/>
      <c r="F1049" s="101"/>
      <c r="G1049" s="111"/>
      <c r="H1049" s="101"/>
      <c r="I1049" s="101"/>
      <c r="J1049" s="101"/>
      <c r="K1049" s="101"/>
      <c r="L1049" s="101"/>
      <c r="M1049" s="101"/>
      <c r="N1049" s="101"/>
      <c r="O1049" s="101"/>
      <c r="P1049" s="101"/>
      <c r="Q1049" s="101"/>
      <c r="R1049" s="101"/>
      <c r="S1049" s="101"/>
      <c r="T1049" s="101"/>
      <c r="U1049" s="101"/>
      <c r="V1049" s="101"/>
      <c r="W1049" s="101"/>
      <c r="X1049" s="101"/>
      <c r="Y1049" s="114"/>
      <c r="Z1049" s="114"/>
      <c r="AA1049" s="114"/>
      <c r="AB1049" s="114"/>
      <c r="AC1049" s="114"/>
      <c r="AD1049" s="114"/>
      <c r="AE1049" s="114"/>
      <c r="AF1049" s="114"/>
      <c r="AG1049" s="114"/>
      <c r="AH1049" s="114"/>
      <c r="AI1049" s="114"/>
      <c r="AJ1049" s="114"/>
      <c r="AK1049" s="114"/>
      <c r="AL1049" s="114"/>
      <c r="AM1049" s="114"/>
      <c r="AN1049" s="114"/>
      <c r="AO1049" s="114"/>
      <c r="AP1049" s="114"/>
      <c r="AQ1049" s="114"/>
      <c r="AR1049" s="114"/>
      <c r="AS1049" s="114"/>
      <c r="AT1049" s="114"/>
      <c r="AU1049" s="114"/>
      <c r="AV1049" s="114"/>
      <c r="AW1049" s="114"/>
      <c r="AX1049" s="114"/>
      <c r="AY1049" s="114"/>
      <c r="AZ1049" s="114"/>
    </row>
    <row r="1050" spans="1:52">
      <c r="A1050" s="111"/>
      <c r="B1050" s="111"/>
      <c r="C1050" s="112"/>
      <c r="D1050" s="101"/>
      <c r="E1050" s="101"/>
      <c r="F1050" s="101"/>
      <c r="G1050" s="111"/>
      <c r="H1050" s="101"/>
      <c r="I1050" s="101"/>
      <c r="J1050" s="101"/>
      <c r="K1050" s="101"/>
      <c r="L1050" s="101"/>
      <c r="M1050" s="101"/>
      <c r="N1050" s="101"/>
      <c r="O1050" s="101"/>
      <c r="P1050" s="101"/>
      <c r="Q1050" s="101"/>
      <c r="R1050" s="101"/>
      <c r="S1050" s="101"/>
      <c r="T1050" s="101"/>
      <c r="U1050" s="101"/>
      <c r="V1050" s="101"/>
      <c r="W1050" s="101"/>
      <c r="X1050" s="101"/>
      <c r="Y1050" s="114"/>
      <c r="Z1050" s="114"/>
      <c r="AA1050" s="114"/>
      <c r="AB1050" s="114"/>
      <c r="AC1050" s="114"/>
      <c r="AD1050" s="114"/>
      <c r="AE1050" s="114"/>
      <c r="AF1050" s="114"/>
      <c r="AG1050" s="114"/>
      <c r="AH1050" s="114"/>
      <c r="AI1050" s="114"/>
      <c r="AJ1050" s="114"/>
      <c r="AK1050" s="114"/>
      <c r="AL1050" s="114"/>
      <c r="AM1050" s="114"/>
      <c r="AN1050" s="114"/>
      <c r="AO1050" s="114"/>
      <c r="AP1050" s="114"/>
      <c r="AQ1050" s="114"/>
      <c r="AR1050" s="114"/>
      <c r="AS1050" s="114"/>
      <c r="AT1050" s="114"/>
      <c r="AU1050" s="114"/>
      <c r="AV1050" s="114"/>
      <c r="AW1050" s="114"/>
      <c r="AX1050" s="114"/>
      <c r="AY1050" s="114"/>
      <c r="AZ1050" s="114"/>
    </row>
    <row r="1051" spans="1:52">
      <c r="A1051" s="111"/>
      <c r="B1051" s="111"/>
      <c r="C1051" s="112"/>
      <c r="D1051" s="101"/>
      <c r="E1051" s="101"/>
      <c r="F1051" s="101"/>
      <c r="G1051" s="111"/>
      <c r="H1051" s="101"/>
      <c r="I1051" s="101"/>
      <c r="J1051" s="101"/>
      <c r="K1051" s="101"/>
      <c r="L1051" s="101"/>
      <c r="M1051" s="101"/>
      <c r="N1051" s="101"/>
      <c r="O1051" s="101"/>
      <c r="P1051" s="101"/>
      <c r="Q1051" s="101"/>
      <c r="R1051" s="101"/>
      <c r="S1051" s="101"/>
      <c r="T1051" s="101"/>
      <c r="U1051" s="101"/>
      <c r="V1051" s="101"/>
      <c r="W1051" s="101"/>
      <c r="X1051" s="101"/>
      <c r="Y1051" s="114"/>
      <c r="Z1051" s="114"/>
      <c r="AA1051" s="114"/>
      <c r="AB1051" s="114"/>
      <c r="AC1051" s="114"/>
      <c r="AD1051" s="114"/>
      <c r="AE1051" s="114"/>
      <c r="AF1051" s="114"/>
      <c r="AG1051" s="114"/>
      <c r="AH1051" s="114"/>
      <c r="AI1051" s="114"/>
      <c r="AJ1051" s="114"/>
      <c r="AK1051" s="114"/>
      <c r="AL1051" s="114"/>
      <c r="AM1051" s="114"/>
      <c r="AN1051" s="114"/>
      <c r="AO1051" s="114"/>
      <c r="AP1051" s="114"/>
      <c r="AQ1051" s="114"/>
      <c r="AR1051" s="114"/>
      <c r="AS1051" s="114"/>
      <c r="AT1051" s="114"/>
      <c r="AU1051" s="114"/>
      <c r="AV1051" s="114"/>
      <c r="AW1051" s="114"/>
      <c r="AX1051" s="114"/>
      <c r="AY1051" s="114"/>
      <c r="AZ1051" s="114"/>
    </row>
    <row r="1052" spans="1:52">
      <c r="A1052" s="111"/>
      <c r="B1052" s="111"/>
      <c r="C1052" s="112"/>
      <c r="D1052" s="101"/>
      <c r="E1052" s="101"/>
      <c r="F1052" s="101"/>
      <c r="G1052" s="111"/>
      <c r="H1052" s="101"/>
      <c r="I1052" s="101"/>
      <c r="J1052" s="101"/>
      <c r="K1052" s="101"/>
      <c r="L1052" s="101"/>
      <c r="M1052" s="101"/>
      <c r="N1052" s="101"/>
      <c r="O1052" s="101"/>
      <c r="P1052" s="101"/>
      <c r="Q1052" s="101"/>
      <c r="R1052" s="101"/>
      <c r="S1052" s="101"/>
      <c r="T1052" s="101"/>
      <c r="U1052" s="101"/>
      <c r="V1052" s="101"/>
      <c r="W1052" s="101"/>
      <c r="X1052" s="101"/>
      <c r="Y1052" s="114"/>
      <c r="Z1052" s="114"/>
      <c r="AA1052" s="114"/>
      <c r="AB1052" s="114"/>
      <c r="AC1052" s="114"/>
      <c r="AD1052" s="114"/>
      <c r="AE1052" s="114"/>
      <c r="AF1052" s="114"/>
      <c r="AG1052" s="114"/>
      <c r="AH1052" s="114"/>
      <c r="AI1052" s="114"/>
      <c r="AJ1052" s="114"/>
      <c r="AK1052" s="114"/>
      <c r="AL1052" s="114"/>
      <c r="AM1052" s="114"/>
      <c r="AN1052" s="114"/>
      <c r="AO1052" s="114"/>
      <c r="AP1052" s="114"/>
      <c r="AQ1052" s="114"/>
      <c r="AR1052" s="114"/>
      <c r="AS1052" s="114"/>
      <c r="AT1052" s="114"/>
      <c r="AU1052" s="114"/>
      <c r="AV1052" s="114"/>
      <c r="AW1052" s="114"/>
      <c r="AX1052" s="114"/>
      <c r="AY1052" s="114"/>
      <c r="AZ1052" s="114"/>
    </row>
    <row r="1053" spans="1:52">
      <c r="A1053" s="111"/>
      <c r="B1053" s="111"/>
      <c r="C1053" s="112"/>
      <c r="D1053" s="101"/>
      <c r="E1053" s="101"/>
      <c r="F1053" s="101"/>
      <c r="G1053" s="111"/>
      <c r="H1053" s="101"/>
      <c r="I1053" s="101"/>
      <c r="J1053" s="101"/>
      <c r="K1053" s="101"/>
      <c r="L1053" s="101"/>
      <c r="M1053" s="101"/>
      <c r="N1053" s="101"/>
      <c r="O1053" s="101"/>
      <c r="P1053" s="101"/>
      <c r="Q1053" s="101"/>
      <c r="R1053" s="101"/>
      <c r="S1053" s="101"/>
      <c r="T1053" s="101"/>
      <c r="U1053" s="101"/>
      <c r="V1053" s="101"/>
      <c r="W1053" s="101"/>
      <c r="X1053" s="101"/>
      <c r="Y1053" s="114"/>
      <c r="Z1053" s="114"/>
      <c r="AA1053" s="114"/>
      <c r="AB1053" s="114"/>
      <c r="AC1053" s="114"/>
      <c r="AD1053" s="114"/>
      <c r="AE1053" s="114"/>
      <c r="AF1053" s="114"/>
      <c r="AG1053" s="114"/>
      <c r="AH1053" s="114"/>
      <c r="AI1053" s="114"/>
      <c r="AJ1053" s="114"/>
      <c r="AK1053" s="114"/>
      <c r="AL1053" s="114"/>
      <c r="AM1053" s="114"/>
      <c r="AN1053" s="114"/>
      <c r="AO1053" s="114"/>
      <c r="AP1053" s="114"/>
      <c r="AQ1053" s="114"/>
      <c r="AR1053" s="114"/>
      <c r="AS1053" s="114"/>
      <c r="AT1053" s="114"/>
      <c r="AU1053" s="114"/>
      <c r="AV1053" s="114"/>
      <c r="AW1053" s="114"/>
      <c r="AX1053" s="114"/>
      <c r="AY1053" s="114"/>
      <c r="AZ1053" s="114"/>
    </row>
    <row r="1054" spans="1:52">
      <c r="A1054" s="111"/>
      <c r="B1054" s="111"/>
      <c r="C1054" s="112"/>
      <c r="D1054" s="101"/>
      <c r="E1054" s="101"/>
      <c r="F1054" s="101"/>
      <c r="G1054" s="111"/>
      <c r="H1054" s="101"/>
      <c r="I1054" s="101"/>
      <c r="J1054" s="101"/>
      <c r="K1054" s="101"/>
      <c r="L1054" s="101"/>
      <c r="M1054" s="101"/>
      <c r="N1054" s="101"/>
      <c r="O1054" s="101"/>
      <c r="P1054" s="101"/>
      <c r="Q1054" s="101"/>
      <c r="R1054" s="101"/>
      <c r="S1054" s="101"/>
      <c r="T1054" s="101"/>
      <c r="U1054" s="101"/>
      <c r="V1054" s="101"/>
      <c r="W1054" s="101"/>
      <c r="X1054" s="101"/>
      <c r="Y1054" s="114"/>
      <c r="Z1054" s="114"/>
      <c r="AA1054" s="114"/>
      <c r="AB1054" s="114"/>
      <c r="AC1054" s="114"/>
      <c r="AD1054" s="114"/>
      <c r="AE1054" s="114"/>
      <c r="AF1054" s="114"/>
      <c r="AG1054" s="114"/>
      <c r="AH1054" s="114"/>
      <c r="AI1054" s="114"/>
      <c r="AJ1054" s="114"/>
      <c r="AK1054" s="114"/>
      <c r="AL1054" s="114"/>
      <c r="AM1054" s="114"/>
      <c r="AN1054" s="114"/>
      <c r="AO1054" s="114"/>
      <c r="AP1054" s="114"/>
      <c r="AQ1054" s="114"/>
      <c r="AR1054" s="114"/>
      <c r="AS1054" s="114"/>
      <c r="AT1054" s="114"/>
      <c r="AU1054" s="114"/>
      <c r="AV1054" s="114"/>
      <c r="AW1054" s="114"/>
      <c r="AX1054" s="114"/>
      <c r="AY1054" s="114"/>
      <c r="AZ1054" s="114"/>
    </row>
    <row r="1055" spans="1:52">
      <c r="A1055" s="111"/>
      <c r="B1055" s="111"/>
      <c r="C1055" s="112"/>
      <c r="D1055" s="101"/>
      <c r="E1055" s="101"/>
      <c r="F1055" s="101"/>
      <c r="G1055" s="111"/>
      <c r="H1055" s="101"/>
      <c r="I1055" s="101"/>
      <c r="J1055" s="101"/>
      <c r="K1055" s="101"/>
      <c r="L1055" s="101"/>
      <c r="M1055" s="101"/>
      <c r="N1055" s="101"/>
      <c r="O1055" s="101"/>
      <c r="P1055" s="101"/>
      <c r="Q1055" s="101"/>
      <c r="R1055" s="101"/>
      <c r="S1055" s="101"/>
      <c r="T1055" s="101"/>
      <c r="U1055" s="101"/>
      <c r="V1055" s="101"/>
      <c r="W1055" s="101"/>
      <c r="X1055" s="101"/>
      <c r="Y1055" s="114"/>
      <c r="Z1055" s="114"/>
      <c r="AA1055" s="114"/>
      <c r="AB1055" s="114"/>
      <c r="AC1055" s="114"/>
      <c r="AD1055" s="114"/>
      <c r="AE1055" s="114"/>
      <c r="AF1055" s="114"/>
      <c r="AG1055" s="114"/>
      <c r="AH1055" s="114"/>
      <c r="AI1055" s="114"/>
      <c r="AJ1055" s="114"/>
      <c r="AK1055" s="114"/>
      <c r="AL1055" s="114"/>
      <c r="AM1055" s="114"/>
      <c r="AN1055" s="114"/>
      <c r="AO1055" s="114"/>
      <c r="AP1055" s="114"/>
      <c r="AQ1055" s="114"/>
      <c r="AR1055" s="114"/>
      <c r="AS1055" s="114"/>
      <c r="AT1055" s="114"/>
      <c r="AU1055" s="114"/>
      <c r="AV1055" s="114"/>
      <c r="AW1055" s="114"/>
      <c r="AX1055" s="114"/>
      <c r="AY1055" s="114"/>
      <c r="AZ1055" s="114"/>
    </row>
    <row r="1056" spans="1:52">
      <c r="A1056" s="111"/>
      <c r="B1056" s="111"/>
      <c r="C1056" s="112"/>
      <c r="D1056" s="101"/>
      <c r="E1056" s="101"/>
      <c r="F1056" s="101"/>
      <c r="G1056" s="111"/>
      <c r="H1056" s="101"/>
      <c r="I1056" s="101"/>
      <c r="J1056" s="101"/>
      <c r="K1056" s="101"/>
      <c r="L1056" s="101"/>
      <c r="M1056" s="101"/>
      <c r="N1056" s="101"/>
      <c r="O1056" s="101"/>
      <c r="P1056" s="101"/>
      <c r="Q1056" s="101"/>
      <c r="R1056" s="101"/>
      <c r="S1056" s="101"/>
      <c r="T1056" s="101"/>
      <c r="U1056" s="101"/>
      <c r="V1056" s="101"/>
      <c r="W1056" s="101"/>
      <c r="X1056" s="101"/>
      <c r="Y1056" s="114"/>
      <c r="Z1056" s="114"/>
      <c r="AA1056" s="114"/>
      <c r="AB1056" s="114"/>
      <c r="AC1056" s="114"/>
      <c r="AD1056" s="114"/>
      <c r="AE1056" s="114"/>
      <c r="AF1056" s="114"/>
      <c r="AG1056" s="114"/>
      <c r="AH1056" s="114"/>
      <c r="AI1056" s="114"/>
      <c r="AJ1056" s="114"/>
      <c r="AK1056" s="114"/>
      <c r="AL1056" s="114"/>
      <c r="AM1056" s="114"/>
      <c r="AN1056" s="114"/>
      <c r="AO1056" s="114"/>
      <c r="AP1056" s="114"/>
      <c r="AQ1056" s="114"/>
      <c r="AR1056" s="114"/>
      <c r="AS1056" s="114"/>
      <c r="AT1056" s="114"/>
      <c r="AU1056" s="114"/>
      <c r="AV1056" s="114"/>
      <c r="AW1056" s="114"/>
      <c r="AX1056" s="114"/>
      <c r="AY1056" s="114"/>
      <c r="AZ1056" s="114"/>
    </row>
    <row r="1057" spans="1:52">
      <c r="A1057" s="111"/>
      <c r="B1057" s="111"/>
      <c r="C1057" s="112"/>
      <c r="D1057" s="101"/>
      <c r="E1057" s="101"/>
      <c r="F1057" s="101"/>
      <c r="G1057" s="111"/>
      <c r="H1057" s="101"/>
      <c r="I1057" s="101"/>
      <c r="J1057" s="101"/>
      <c r="K1057" s="101"/>
      <c r="L1057" s="101"/>
      <c r="M1057" s="101"/>
      <c r="N1057" s="101"/>
      <c r="O1057" s="101"/>
      <c r="P1057" s="101"/>
      <c r="Q1057" s="101"/>
      <c r="R1057" s="101"/>
      <c r="S1057" s="101"/>
      <c r="T1057" s="101"/>
      <c r="U1057" s="101"/>
      <c r="V1057" s="101"/>
      <c r="W1057" s="101"/>
      <c r="X1057" s="101"/>
      <c r="Y1057" s="114"/>
      <c r="Z1057" s="114"/>
      <c r="AA1057" s="114"/>
      <c r="AB1057" s="114"/>
      <c r="AC1057" s="114"/>
      <c r="AD1057" s="114"/>
      <c r="AE1057" s="114"/>
      <c r="AF1057" s="114"/>
      <c r="AG1057" s="114"/>
      <c r="AH1057" s="114"/>
      <c r="AI1057" s="114"/>
      <c r="AJ1057" s="114"/>
      <c r="AK1057" s="114"/>
      <c r="AL1057" s="114"/>
      <c r="AM1057" s="114"/>
      <c r="AN1057" s="114"/>
      <c r="AO1057" s="114"/>
      <c r="AP1057" s="114"/>
      <c r="AQ1057" s="114"/>
      <c r="AR1057" s="114"/>
      <c r="AS1057" s="114"/>
      <c r="AT1057" s="114"/>
      <c r="AU1057" s="114"/>
      <c r="AV1057" s="114"/>
      <c r="AW1057" s="114"/>
      <c r="AX1057" s="114"/>
      <c r="AY1057" s="114"/>
      <c r="AZ1057" s="114"/>
    </row>
    <row r="1058" spans="1:52">
      <c r="A1058" s="111"/>
      <c r="B1058" s="111"/>
      <c r="C1058" s="112"/>
      <c r="D1058" s="101"/>
      <c r="E1058" s="101"/>
      <c r="F1058" s="101"/>
      <c r="G1058" s="111"/>
      <c r="H1058" s="101"/>
      <c r="I1058" s="101"/>
      <c r="J1058" s="101"/>
      <c r="K1058" s="101"/>
      <c r="L1058" s="101"/>
      <c r="M1058" s="101"/>
      <c r="N1058" s="101"/>
      <c r="O1058" s="101"/>
      <c r="P1058" s="101"/>
      <c r="Q1058" s="101"/>
      <c r="R1058" s="101"/>
      <c r="S1058" s="101"/>
      <c r="T1058" s="101"/>
      <c r="U1058" s="101"/>
      <c r="V1058" s="101"/>
      <c r="W1058" s="101"/>
      <c r="X1058" s="101"/>
      <c r="Y1058" s="114"/>
      <c r="Z1058" s="114"/>
      <c r="AA1058" s="114"/>
      <c r="AB1058" s="114"/>
      <c r="AC1058" s="114"/>
      <c r="AD1058" s="114"/>
      <c r="AE1058" s="114"/>
      <c r="AF1058" s="114"/>
      <c r="AG1058" s="114"/>
      <c r="AH1058" s="114"/>
      <c r="AI1058" s="114"/>
      <c r="AJ1058" s="114"/>
      <c r="AK1058" s="114"/>
      <c r="AL1058" s="114"/>
      <c r="AM1058" s="114"/>
      <c r="AN1058" s="114"/>
      <c r="AO1058" s="114"/>
      <c r="AP1058" s="114"/>
      <c r="AQ1058" s="114"/>
      <c r="AR1058" s="114"/>
      <c r="AS1058" s="114"/>
      <c r="AT1058" s="114"/>
      <c r="AU1058" s="114"/>
      <c r="AV1058" s="114"/>
      <c r="AW1058" s="114"/>
      <c r="AX1058" s="114"/>
      <c r="AY1058" s="114"/>
      <c r="AZ1058" s="114"/>
    </row>
    <row r="1059" spans="1:52">
      <c r="A1059" s="111"/>
      <c r="B1059" s="111"/>
      <c r="C1059" s="112"/>
      <c r="D1059" s="101"/>
      <c r="E1059" s="101"/>
      <c r="F1059" s="101"/>
      <c r="G1059" s="111"/>
      <c r="H1059" s="101"/>
      <c r="I1059" s="101"/>
      <c r="J1059" s="101"/>
      <c r="K1059" s="101"/>
      <c r="L1059" s="101"/>
      <c r="M1059" s="101"/>
      <c r="N1059" s="101"/>
      <c r="O1059" s="101"/>
      <c r="P1059" s="101"/>
      <c r="Q1059" s="101"/>
      <c r="R1059" s="101"/>
      <c r="S1059" s="101"/>
      <c r="T1059" s="101"/>
      <c r="U1059" s="101"/>
      <c r="V1059" s="101"/>
      <c r="W1059" s="101"/>
      <c r="X1059" s="101"/>
      <c r="Y1059" s="114"/>
      <c r="Z1059" s="114"/>
      <c r="AA1059" s="114"/>
      <c r="AB1059" s="114"/>
      <c r="AC1059" s="114"/>
      <c r="AD1059" s="114"/>
      <c r="AE1059" s="114"/>
      <c r="AF1059" s="114"/>
      <c r="AG1059" s="114"/>
      <c r="AH1059" s="114"/>
      <c r="AI1059" s="114"/>
      <c r="AJ1059" s="114"/>
      <c r="AK1059" s="114"/>
      <c r="AL1059" s="114"/>
      <c r="AM1059" s="114"/>
      <c r="AN1059" s="114"/>
      <c r="AO1059" s="114"/>
      <c r="AP1059" s="114"/>
      <c r="AQ1059" s="114"/>
      <c r="AR1059" s="114"/>
      <c r="AS1059" s="114"/>
      <c r="AT1059" s="114"/>
      <c r="AU1059" s="114"/>
      <c r="AV1059" s="114"/>
      <c r="AW1059" s="114"/>
      <c r="AX1059" s="114"/>
      <c r="AY1059" s="114"/>
      <c r="AZ1059" s="114"/>
    </row>
    <row r="1060" spans="1:52">
      <c r="A1060" s="111"/>
      <c r="B1060" s="111"/>
      <c r="C1060" s="112"/>
      <c r="D1060" s="101"/>
      <c r="E1060" s="101"/>
      <c r="F1060" s="101"/>
      <c r="G1060" s="111"/>
      <c r="H1060" s="101"/>
      <c r="I1060" s="101"/>
      <c r="J1060" s="101"/>
      <c r="K1060" s="101"/>
      <c r="L1060" s="101"/>
      <c r="M1060" s="101"/>
      <c r="N1060" s="101"/>
      <c r="O1060" s="101"/>
      <c r="P1060" s="101"/>
      <c r="Q1060" s="101"/>
      <c r="R1060" s="101"/>
      <c r="S1060" s="101"/>
      <c r="T1060" s="101"/>
      <c r="U1060" s="101"/>
      <c r="V1060" s="101"/>
      <c r="W1060" s="101"/>
      <c r="X1060" s="101"/>
      <c r="Y1060" s="114"/>
      <c r="Z1060" s="114"/>
      <c r="AA1060" s="114"/>
      <c r="AB1060" s="114"/>
      <c r="AC1060" s="114"/>
      <c r="AD1060" s="114"/>
      <c r="AE1060" s="114"/>
      <c r="AF1060" s="114"/>
      <c r="AG1060" s="114"/>
      <c r="AH1060" s="114"/>
      <c r="AI1060" s="114"/>
      <c r="AJ1060" s="114"/>
      <c r="AK1060" s="114"/>
      <c r="AL1060" s="114"/>
      <c r="AM1060" s="114"/>
      <c r="AN1060" s="114"/>
      <c r="AO1060" s="114"/>
      <c r="AP1060" s="114"/>
      <c r="AQ1060" s="114"/>
      <c r="AR1060" s="114"/>
      <c r="AS1060" s="114"/>
      <c r="AT1060" s="114"/>
      <c r="AU1060" s="114"/>
      <c r="AV1060" s="114"/>
      <c r="AW1060" s="114"/>
      <c r="AX1060" s="114"/>
      <c r="AY1060" s="114"/>
      <c r="AZ1060" s="114"/>
    </row>
    <row r="1061" spans="1:52">
      <c r="A1061" s="111"/>
      <c r="B1061" s="111"/>
      <c r="C1061" s="112"/>
      <c r="D1061" s="101"/>
      <c r="E1061" s="101"/>
      <c r="F1061" s="101"/>
      <c r="G1061" s="111"/>
      <c r="H1061" s="101"/>
      <c r="I1061" s="101"/>
      <c r="J1061" s="101"/>
      <c r="K1061" s="101"/>
      <c r="L1061" s="101"/>
      <c r="M1061" s="101"/>
      <c r="N1061" s="101"/>
      <c r="O1061" s="101"/>
      <c r="P1061" s="101"/>
      <c r="Q1061" s="101"/>
      <c r="R1061" s="101"/>
      <c r="S1061" s="101"/>
      <c r="T1061" s="101"/>
      <c r="U1061" s="101"/>
      <c r="V1061" s="101"/>
      <c r="W1061" s="101"/>
      <c r="X1061" s="101"/>
      <c r="Y1061" s="114"/>
      <c r="Z1061" s="114"/>
      <c r="AA1061" s="114"/>
      <c r="AB1061" s="114"/>
      <c r="AC1061" s="114"/>
      <c r="AD1061" s="114"/>
      <c r="AE1061" s="114"/>
      <c r="AF1061" s="114"/>
      <c r="AG1061" s="114"/>
      <c r="AH1061" s="114"/>
      <c r="AI1061" s="114"/>
      <c r="AJ1061" s="114"/>
      <c r="AK1061" s="114"/>
      <c r="AL1061" s="114"/>
      <c r="AM1061" s="114"/>
      <c r="AN1061" s="114"/>
      <c r="AO1061" s="114"/>
      <c r="AP1061" s="114"/>
      <c r="AQ1061" s="114"/>
      <c r="AR1061" s="114"/>
      <c r="AS1061" s="114"/>
      <c r="AT1061" s="114"/>
      <c r="AU1061" s="114"/>
      <c r="AV1061" s="114"/>
      <c r="AW1061" s="114"/>
      <c r="AX1061" s="114"/>
      <c r="AY1061" s="114"/>
      <c r="AZ1061" s="114"/>
    </row>
    <row r="1062" spans="1:52">
      <c r="A1062" s="111"/>
      <c r="B1062" s="111"/>
      <c r="C1062" s="112"/>
      <c r="D1062" s="101"/>
      <c r="E1062" s="101"/>
      <c r="F1062" s="101"/>
      <c r="G1062" s="111"/>
      <c r="H1062" s="101"/>
      <c r="I1062" s="101"/>
      <c r="J1062" s="101"/>
      <c r="K1062" s="101"/>
      <c r="L1062" s="101"/>
      <c r="M1062" s="101"/>
      <c r="N1062" s="101"/>
      <c r="O1062" s="101"/>
      <c r="P1062" s="101"/>
      <c r="Q1062" s="101"/>
      <c r="R1062" s="101"/>
      <c r="S1062" s="101"/>
      <c r="T1062" s="101"/>
      <c r="U1062" s="101"/>
      <c r="V1062" s="101"/>
      <c r="W1062" s="101"/>
      <c r="X1062" s="101"/>
      <c r="Y1062" s="114"/>
      <c r="Z1062" s="114"/>
      <c r="AA1062" s="114"/>
      <c r="AB1062" s="114"/>
      <c r="AC1062" s="114"/>
      <c r="AD1062" s="114"/>
      <c r="AE1062" s="114"/>
      <c r="AF1062" s="114"/>
      <c r="AG1062" s="114"/>
      <c r="AH1062" s="114"/>
      <c r="AI1062" s="114"/>
      <c r="AJ1062" s="114"/>
      <c r="AK1062" s="114"/>
      <c r="AL1062" s="114"/>
      <c r="AM1062" s="114"/>
      <c r="AN1062" s="114"/>
      <c r="AO1062" s="114"/>
      <c r="AP1062" s="114"/>
      <c r="AQ1062" s="114"/>
      <c r="AR1062" s="114"/>
      <c r="AS1062" s="114"/>
      <c r="AT1062" s="114"/>
      <c r="AU1062" s="114"/>
      <c r="AV1062" s="114"/>
      <c r="AW1062" s="114"/>
      <c r="AX1062" s="114"/>
      <c r="AY1062" s="114"/>
      <c r="AZ1062" s="114"/>
    </row>
    <row r="1063" spans="1:52">
      <c r="A1063" s="111"/>
      <c r="B1063" s="111"/>
      <c r="C1063" s="112"/>
      <c r="D1063" s="101"/>
      <c r="E1063" s="101"/>
      <c r="F1063" s="101"/>
      <c r="G1063" s="111"/>
      <c r="H1063" s="101"/>
      <c r="I1063" s="101"/>
      <c r="J1063" s="101"/>
      <c r="K1063" s="101"/>
      <c r="L1063" s="101"/>
      <c r="M1063" s="101"/>
      <c r="N1063" s="101"/>
      <c r="O1063" s="101"/>
      <c r="P1063" s="101"/>
      <c r="Q1063" s="101"/>
      <c r="R1063" s="101"/>
      <c r="S1063" s="101"/>
      <c r="T1063" s="101"/>
      <c r="U1063" s="101"/>
      <c r="V1063" s="101"/>
      <c r="W1063" s="101"/>
      <c r="X1063" s="101"/>
      <c r="Y1063" s="114"/>
      <c r="Z1063" s="114"/>
      <c r="AA1063" s="114"/>
      <c r="AB1063" s="114"/>
      <c r="AC1063" s="114"/>
      <c r="AD1063" s="114"/>
      <c r="AE1063" s="114"/>
      <c r="AF1063" s="114"/>
      <c r="AG1063" s="114"/>
      <c r="AH1063" s="114"/>
      <c r="AI1063" s="114"/>
      <c r="AJ1063" s="114"/>
      <c r="AK1063" s="114"/>
      <c r="AL1063" s="114"/>
      <c r="AM1063" s="114"/>
      <c r="AN1063" s="114"/>
      <c r="AO1063" s="114"/>
      <c r="AP1063" s="114"/>
      <c r="AQ1063" s="114"/>
      <c r="AR1063" s="114"/>
      <c r="AS1063" s="114"/>
      <c r="AT1063" s="114"/>
      <c r="AU1063" s="114"/>
      <c r="AV1063" s="114"/>
      <c r="AW1063" s="114"/>
      <c r="AX1063" s="114"/>
      <c r="AY1063" s="114"/>
      <c r="AZ1063" s="114"/>
    </row>
    <row r="1064" spans="1:52">
      <c r="A1064" s="111"/>
      <c r="B1064" s="111"/>
      <c r="C1064" s="112"/>
      <c r="D1064" s="101"/>
      <c r="E1064" s="101"/>
      <c r="F1064" s="101"/>
      <c r="G1064" s="111"/>
      <c r="H1064" s="101"/>
      <c r="I1064" s="101"/>
      <c r="J1064" s="101"/>
      <c r="K1064" s="101"/>
      <c r="L1064" s="101"/>
      <c r="M1064" s="101"/>
      <c r="N1064" s="101"/>
      <c r="O1064" s="101"/>
      <c r="P1064" s="101"/>
      <c r="Q1064" s="101"/>
      <c r="R1064" s="101"/>
      <c r="S1064" s="101"/>
      <c r="T1064" s="101"/>
      <c r="U1064" s="101"/>
      <c r="V1064" s="101"/>
      <c r="W1064" s="101"/>
      <c r="X1064" s="101"/>
      <c r="Y1064" s="114"/>
      <c r="Z1064" s="114"/>
      <c r="AA1064" s="114"/>
      <c r="AB1064" s="114"/>
      <c r="AC1064" s="114"/>
      <c r="AD1064" s="114"/>
      <c r="AE1064" s="114"/>
      <c r="AF1064" s="114"/>
      <c r="AG1064" s="114"/>
      <c r="AH1064" s="114"/>
      <c r="AI1064" s="114"/>
      <c r="AJ1064" s="114"/>
      <c r="AK1064" s="114"/>
      <c r="AL1064" s="114"/>
      <c r="AM1064" s="114"/>
      <c r="AN1064" s="114"/>
      <c r="AO1064" s="114"/>
      <c r="AP1064" s="114"/>
      <c r="AQ1064" s="114"/>
      <c r="AR1064" s="114"/>
      <c r="AS1064" s="114"/>
      <c r="AT1064" s="114"/>
      <c r="AU1064" s="114"/>
      <c r="AV1064" s="114"/>
      <c r="AW1064" s="114"/>
      <c r="AX1064" s="114"/>
      <c r="AY1064" s="114"/>
      <c r="AZ1064" s="114"/>
    </row>
    <row r="1065" spans="1:52">
      <c r="A1065" s="111"/>
      <c r="B1065" s="111"/>
      <c r="C1065" s="112"/>
      <c r="D1065" s="101"/>
      <c r="E1065" s="101"/>
      <c r="F1065" s="101"/>
      <c r="G1065" s="111"/>
      <c r="H1065" s="101"/>
      <c r="I1065" s="101"/>
      <c r="J1065" s="101"/>
      <c r="K1065" s="101"/>
      <c r="L1065" s="101"/>
      <c r="M1065" s="101"/>
      <c r="N1065" s="101"/>
      <c r="O1065" s="101"/>
      <c r="P1065" s="101"/>
      <c r="Q1065" s="101"/>
      <c r="R1065" s="101"/>
      <c r="S1065" s="101"/>
      <c r="T1065" s="101"/>
      <c r="U1065" s="101"/>
      <c r="V1065" s="101"/>
      <c r="W1065" s="101"/>
      <c r="X1065" s="101"/>
      <c r="Y1065" s="114"/>
      <c r="Z1065" s="114"/>
      <c r="AA1065" s="114"/>
      <c r="AB1065" s="114"/>
      <c r="AC1065" s="114"/>
      <c r="AD1065" s="114"/>
      <c r="AE1065" s="114"/>
      <c r="AF1065" s="114"/>
      <c r="AG1065" s="114"/>
      <c r="AH1065" s="114"/>
      <c r="AI1065" s="114"/>
      <c r="AJ1065" s="114"/>
      <c r="AK1065" s="114"/>
      <c r="AL1065" s="114"/>
      <c r="AM1065" s="114"/>
      <c r="AN1065" s="114"/>
      <c r="AO1065" s="114"/>
      <c r="AP1065" s="114"/>
      <c r="AQ1065" s="114"/>
      <c r="AR1065" s="114"/>
      <c r="AS1065" s="114"/>
      <c r="AT1065" s="114"/>
      <c r="AU1065" s="114"/>
      <c r="AV1065" s="114"/>
      <c r="AW1065" s="114"/>
      <c r="AX1065" s="114"/>
      <c r="AY1065" s="114"/>
      <c r="AZ1065" s="114"/>
    </row>
    <row r="1066" spans="1:52">
      <c r="A1066" s="111"/>
      <c r="B1066" s="111"/>
      <c r="C1066" s="112"/>
      <c r="D1066" s="101"/>
      <c r="E1066" s="101"/>
      <c r="F1066" s="101"/>
      <c r="G1066" s="111"/>
      <c r="H1066" s="101"/>
      <c r="I1066" s="101"/>
      <c r="J1066" s="101"/>
      <c r="K1066" s="101"/>
      <c r="L1066" s="101"/>
      <c r="M1066" s="101"/>
      <c r="N1066" s="101"/>
      <c r="O1066" s="101"/>
      <c r="P1066" s="101"/>
      <c r="Q1066" s="101"/>
      <c r="R1066" s="101"/>
      <c r="S1066" s="101"/>
      <c r="T1066" s="101"/>
      <c r="U1066" s="101"/>
      <c r="V1066" s="101"/>
      <c r="W1066" s="101"/>
      <c r="X1066" s="101"/>
      <c r="Y1066" s="114"/>
      <c r="Z1066" s="114"/>
      <c r="AA1066" s="114"/>
      <c r="AB1066" s="114"/>
      <c r="AC1066" s="114"/>
      <c r="AD1066" s="114"/>
      <c r="AE1066" s="114"/>
      <c r="AF1066" s="114"/>
      <c r="AG1066" s="114"/>
      <c r="AH1066" s="114"/>
      <c r="AI1066" s="114"/>
      <c r="AJ1066" s="114"/>
      <c r="AK1066" s="114"/>
      <c r="AL1066" s="114"/>
      <c r="AM1066" s="114"/>
      <c r="AN1066" s="114"/>
      <c r="AO1066" s="114"/>
      <c r="AP1066" s="114"/>
      <c r="AQ1066" s="114"/>
      <c r="AR1066" s="114"/>
      <c r="AS1066" s="114"/>
      <c r="AT1066" s="114"/>
      <c r="AU1066" s="114"/>
      <c r="AV1066" s="114"/>
      <c r="AW1066" s="114"/>
      <c r="AX1066" s="114"/>
      <c r="AY1066" s="114"/>
      <c r="AZ1066" s="114"/>
    </row>
    <row r="1067" spans="1:52">
      <c r="A1067" s="111"/>
      <c r="B1067" s="111"/>
      <c r="C1067" s="112"/>
      <c r="D1067" s="101"/>
      <c r="E1067" s="101"/>
      <c r="F1067" s="101"/>
      <c r="G1067" s="111"/>
      <c r="H1067" s="101"/>
      <c r="I1067" s="101"/>
      <c r="J1067" s="101"/>
      <c r="K1067" s="101"/>
      <c r="L1067" s="101"/>
      <c r="M1067" s="101"/>
      <c r="N1067" s="101"/>
      <c r="O1067" s="101"/>
      <c r="P1067" s="101"/>
      <c r="Q1067" s="101"/>
      <c r="R1067" s="101"/>
      <c r="S1067" s="101"/>
      <c r="T1067" s="101"/>
      <c r="U1067" s="101"/>
      <c r="V1067" s="101"/>
      <c r="W1067" s="101"/>
      <c r="X1067" s="101"/>
      <c r="Y1067" s="114"/>
      <c r="Z1067" s="114"/>
      <c r="AA1067" s="114"/>
      <c r="AB1067" s="114"/>
      <c r="AC1067" s="114"/>
      <c r="AD1067" s="114"/>
      <c r="AE1067" s="114"/>
      <c r="AF1067" s="114"/>
      <c r="AG1067" s="114"/>
      <c r="AH1067" s="114"/>
      <c r="AI1067" s="114"/>
      <c r="AJ1067" s="114"/>
      <c r="AK1067" s="114"/>
      <c r="AL1067" s="114"/>
      <c r="AM1067" s="114"/>
      <c r="AN1067" s="114"/>
      <c r="AO1067" s="114"/>
      <c r="AP1067" s="114"/>
      <c r="AQ1067" s="114"/>
      <c r="AR1067" s="114"/>
      <c r="AS1067" s="114"/>
      <c r="AT1067" s="114"/>
      <c r="AU1067" s="114"/>
      <c r="AV1067" s="114"/>
      <c r="AW1067" s="114"/>
      <c r="AX1067" s="114"/>
      <c r="AY1067" s="114"/>
      <c r="AZ1067" s="114"/>
    </row>
    <row r="1068" spans="1:52">
      <c r="A1068" s="111"/>
      <c r="B1068" s="111"/>
      <c r="C1068" s="112"/>
      <c r="D1068" s="101"/>
      <c r="E1068" s="101"/>
      <c r="F1068" s="101"/>
      <c r="G1068" s="111"/>
      <c r="H1068" s="101"/>
      <c r="I1068" s="101"/>
      <c r="J1068" s="101"/>
      <c r="K1068" s="101"/>
      <c r="L1068" s="101"/>
      <c r="M1068" s="101"/>
      <c r="N1068" s="101"/>
      <c r="O1068" s="101"/>
      <c r="P1068" s="101"/>
      <c r="Q1068" s="101"/>
      <c r="R1068" s="101"/>
      <c r="S1068" s="101"/>
      <c r="T1068" s="101"/>
      <c r="U1068" s="101"/>
      <c r="V1068" s="101"/>
      <c r="W1068" s="101"/>
      <c r="X1068" s="101"/>
      <c r="Y1068" s="114"/>
      <c r="Z1068" s="114"/>
      <c r="AA1068" s="114"/>
      <c r="AB1068" s="114"/>
      <c r="AC1068" s="114"/>
      <c r="AD1068" s="114"/>
      <c r="AE1068" s="114"/>
      <c r="AF1068" s="114"/>
      <c r="AG1068" s="114"/>
      <c r="AH1068" s="114"/>
      <c r="AI1068" s="114"/>
      <c r="AJ1068" s="114"/>
      <c r="AK1068" s="114"/>
      <c r="AL1068" s="114"/>
      <c r="AM1068" s="114"/>
      <c r="AN1068" s="114"/>
      <c r="AO1068" s="114"/>
      <c r="AP1068" s="114"/>
      <c r="AQ1068" s="114"/>
      <c r="AR1068" s="114"/>
      <c r="AS1068" s="114"/>
      <c r="AT1068" s="114"/>
      <c r="AU1068" s="114"/>
      <c r="AV1068" s="114"/>
      <c r="AW1068" s="114"/>
      <c r="AX1068" s="114"/>
      <c r="AY1068" s="114"/>
      <c r="AZ1068" s="114"/>
    </row>
    <row r="1069" spans="1:52">
      <c r="A1069" s="111"/>
      <c r="B1069" s="111"/>
      <c r="C1069" s="112"/>
      <c r="D1069" s="101"/>
      <c r="E1069" s="101"/>
      <c r="F1069" s="101"/>
      <c r="G1069" s="111"/>
      <c r="H1069" s="101"/>
      <c r="I1069" s="101"/>
      <c r="J1069" s="101"/>
      <c r="K1069" s="101"/>
      <c r="L1069" s="101"/>
      <c r="M1069" s="101"/>
      <c r="N1069" s="101"/>
      <c r="O1069" s="101"/>
      <c r="P1069" s="101"/>
      <c r="Q1069" s="101"/>
      <c r="R1069" s="101"/>
      <c r="S1069" s="101"/>
      <c r="T1069" s="101"/>
      <c r="U1069" s="101"/>
      <c r="V1069" s="101"/>
      <c r="W1069" s="101"/>
      <c r="X1069" s="101"/>
      <c r="Y1069" s="114"/>
      <c r="Z1069" s="114"/>
      <c r="AA1069" s="114"/>
      <c r="AB1069" s="114"/>
      <c r="AC1069" s="114"/>
      <c r="AD1069" s="114"/>
      <c r="AE1069" s="114"/>
      <c r="AF1069" s="114"/>
      <c r="AG1069" s="114"/>
      <c r="AH1069" s="114"/>
      <c r="AI1069" s="114"/>
      <c r="AJ1069" s="114"/>
      <c r="AK1069" s="114"/>
      <c r="AL1069" s="114"/>
      <c r="AM1069" s="114"/>
      <c r="AN1069" s="114"/>
      <c r="AO1069" s="114"/>
      <c r="AP1069" s="114"/>
      <c r="AQ1069" s="114"/>
      <c r="AR1069" s="114"/>
      <c r="AS1069" s="114"/>
      <c r="AT1069" s="114"/>
      <c r="AU1069" s="114"/>
      <c r="AV1069" s="114"/>
      <c r="AW1069" s="114"/>
      <c r="AX1069" s="114"/>
      <c r="AY1069" s="114"/>
      <c r="AZ1069" s="114"/>
    </row>
    <row r="1070" spans="1:52">
      <c r="A1070" s="111"/>
      <c r="B1070" s="111"/>
      <c r="C1070" s="112"/>
      <c r="D1070" s="101"/>
      <c r="E1070" s="101"/>
      <c r="F1070" s="101"/>
      <c r="G1070" s="111"/>
      <c r="H1070" s="101"/>
      <c r="I1070" s="101"/>
      <c r="J1070" s="101"/>
      <c r="K1070" s="101"/>
      <c r="L1070" s="101"/>
      <c r="M1070" s="101"/>
      <c r="N1070" s="101"/>
      <c r="O1070" s="101"/>
      <c r="P1070" s="101"/>
      <c r="Q1070" s="101"/>
      <c r="R1070" s="101"/>
      <c r="S1070" s="101"/>
      <c r="T1070" s="101"/>
      <c r="U1070" s="101"/>
      <c r="V1070" s="101"/>
      <c r="W1070" s="101"/>
      <c r="X1070" s="101"/>
      <c r="Y1070" s="114"/>
      <c r="Z1070" s="114"/>
      <c r="AA1070" s="114"/>
      <c r="AB1070" s="114"/>
      <c r="AC1070" s="114"/>
      <c r="AD1070" s="114"/>
      <c r="AE1070" s="114"/>
      <c r="AF1070" s="114"/>
      <c r="AG1070" s="114"/>
      <c r="AH1070" s="114"/>
      <c r="AI1070" s="114"/>
      <c r="AJ1070" s="114"/>
      <c r="AK1070" s="114"/>
      <c r="AL1070" s="114"/>
      <c r="AM1070" s="114"/>
      <c r="AN1070" s="114"/>
      <c r="AO1070" s="114"/>
      <c r="AP1070" s="114"/>
      <c r="AQ1070" s="114"/>
      <c r="AR1070" s="114"/>
      <c r="AS1070" s="114"/>
      <c r="AT1070" s="114"/>
      <c r="AU1070" s="114"/>
      <c r="AV1070" s="114"/>
      <c r="AW1070" s="114"/>
      <c r="AX1070" s="114"/>
      <c r="AY1070" s="114"/>
      <c r="AZ1070" s="114"/>
    </row>
    <row r="1071" spans="1:52">
      <c r="A1071" s="111"/>
      <c r="B1071" s="111"/>
      <c r="C1071" s="112"/>
      <c r="D1071" s="101"/>
      <c r="E1071" s="101"/>
      <c r="F1071" s="101"/>
      <c r="G1071" s="111"/>
      <c r="H1071" s="101"/>
      <c r="I1071" s="101"/>
      <c r="J1071" s="101"/>
      <c r="K1071" s="101"/>
      <c r="L1071" s="101"/>
      <c r="M1071" s="101"/>
      <c r="N1071" s="101"/>
      <c r="O1071" s="101"/>
      <c r="P1071" s="101"/>
      <c r="Q1071" s="101"/>
      <c r="R1071" s="101"/>
      <c r="S1071" s="101"/>
      <c r="T1071" s="101"/>
      <c r="U1071" s="101"/>
      <c r="V1071" s="101"/>
      <c r="W1071" s="101"/>
      <c r="X1071" s="101"/>
      <c r="Y1071" s="114"/>
      <c r="Z1071" s="114"/>
      <c r="AA1071" s="114"/>
      <c r="AB1071" s="114"/>
      <c r="AC1071" s="114"/>
      <c r="AD1071" s="114"/>
      <c r="AE1071" s="114"/>
      <c r="AF1071" s="114"/>
      <c r="AG1071" s="114"/>
      <c r="AH1071" s="114"/>
      <c r="AI1071" s="114"/>
      <c r="AJ1071" s="114"/>
      <c r="AK1071" s="114"/>
      <c r="AL1071" s="114"/>
      <c r="AM1071" s="114"/>
      <c r="AN1071" s="114"/>
      <c r="AO1071" s="114"/>
      <c r="AP1071" s="114"/>
      <c r="AQ1071" s="114"/>
      <c r="AR1071" s="114"/>
      <c r="AS1071" s="114"/>
      <c r="AT1071" s="114"/>
      <c r="AU1071" s="114"/>
      <c r="AV1071" s="114"/>
      <c r="AW1071" s="114"/>
      <c r="AX1071" s="114"/>
      <c r="AY1071" s="114"/>
      <c r="AZ1071" s="114"/>
    </row>
    <row r="1072" spans="1:52">
      <c r="A1072" s="111"/>
      <c r="B1072" s="111"/>
      <c r="C1072" s="112"/>
      <c r="D1072" s="101"/>
      <c r="E1072" s="101"/>
      <c r="F1072" s="101"/>
      <c r="G1072" s="111"/>
      <c r="H1072" s="101"/>
      <c r="I1072" s="101"/>
      <c r="J1072" s="101"/>
      <c r="K1072" s="101"/>
      <c r="L1072" s="101"/>
      <c r="M1072" s="101"/>
      <c r="N1072" s="101"/>
      <c r="O1072" s="101"/>
      <c r="P1072" s="101"/>
      <c r="Q1072" s="101"/>
      <c r="R1072" s="101"/>
      <c r="S1072" s="101"/>
      <c r="T1072" s="101"/>
      <c r="U1072" s="101"/>
      <c r="V1072" s="101"/>
      <c r="W1072" s="101"/>
      <c r="X1072" s="101"/>
      <c r="Y1072" s="114"/>
      <c r="Z1072" s="114"/>
      <c r="AA1072" s="114"/>
      <c r="AB1072" s="114"/>
      <c r="AC1072" s="114"/>
      <c r="AD1072" s="114"/>
      <c r="AE1072" s="114"/>
      <c r="AF1072" s="114"/>
      <c r="AG1072" s="114"/>
      <c r="AH1072" s="114"/>
      <c r="AI1072" s="114"/>
      <c r="AJ1072" s="114"/>
      <c r="AK1072" s="114"/>
      <c r="AL1072" s="114"/>
      <c r="AM1072" s="114"/>
      <c r="AN1072" s="114"/>
      <c r="AO1072" s="114"/>
      <c r="AP1072" s="114"/>
      <c r="AQ1072" s="114"/>
      <c r="AR1072" s="114"/>
      <c r="AS1072" s="114"/>
      <c r="AT1072" s="114"/>
      <c r="AU1072" s="114"/>
      <c r="AV1072" s="114"/>
      <c r="AW1072" s="114"/>
      <c r="AX1072" s="114"/>
      <c r="AY1072" s="114"/>
      <c r="AZ1072" s="114"/>
    </row>
    <row r="1073" spans="1:52">
      <c r="A1073" s="111"/>
      <c r="B1073" s="111"/>
      <c r="C1073" s="112"/>
      <c r="D1073" s="101"/>
      <c r="E1073" s="101"/>
      <c r="F1073" s="101"/>
      <c r="G1073" s="111"/>
      <c r="H1073" s="101"/>
      <c r="I1073" s="101"/>
      <c r="J1073" s="101"/>
      <c r="K1073" s="101"/>
      <c r="L1073" s="101"/>
      <c r="M1073" s="101"/>
      <c r="N1073" s="101"/>
      <c r="O1073" s="101"/>
      <c r="P1073" s="101"/>
      <c r="Q1073" s="101"/>
      <c r="R1073" s="101"/>
      <c r="S1073" s="101"/>
      <c r="T1073" s="101"/>
      <c r="U1073" s="101"/>
      <c r="V1073" s="101"/>
      <c r="W1073" s="101"/>
      <c r="X1073" s="101"/>
      <c r="Y1073" s="114"/>
      <c r="Z1073" s="114"/>
      <c r="AA1073" s="114"/>
      <c r="AB1073" s="114"/>
      <c r="AC1073" s="114"/>
      <c r="AD1073" s="114"/>
      <c r="AE1073" s="114"/>
      <c r="AF1073" s="114"/>
      <c r="AG1073" s="114"/>
      <c r="AH1073" s="114"/>
      <c r="AI1073" s="114"/>
      <c r="AJ1073" s="114"/>
      <c r="AK1073" s="114"/>
      <c r="AL1073" s="114"/>
      <c r="AM1073" s="114"/>
      <c r="AN1073" s="114"/>
      <c r="AO1073" s="114"/>
      <c r="AP1073" s="114"/>
      <c r="AQ1073" s="114"/>
      <c r="AR1073" s="114"/>
      <c r="AS1073" s="114"/>
      <c r="AT1073" s="114"/>
      <c r="AU1073" s="114"/>
      <c r="AV1073" s="114"/>
      <c r="AW1073" s="114"/>
      <c r="AX1073" s="114"/>
      <c r="AY1073" s="114"/>
      <c r="AZ1073" s="114"/>
    </row>
    <row r="1074" spans="1:52">
      <c r="A1074" s="111"/>
      <c r="B1074" s="111"/>
      <c r="C1074" s="112"/>
      <c r="D1074" s="101"/>
      <c r="E1074" s="101"/>
      <c r="F1074" s="101"/>
      <c r="G1074" s="111"/>
      <c r="H1074" s="101"/>
      <c r="I1074" s="101"/>
      <c r="J1074" s="101"/>
      <c r="K1074" s="101"/>
      <c r="L1074" s="101"/>
      <c r="M1074" s="101"/>
      <c r="N1074" s="101"/>
      <c r="O1074" s="101"/>
      <c r="P1074" s="101"/>
      <c r="Q1074" s="101"/>
      <c r="R1074" s="101"/>
      <c r="S1074" s="101"/>
      <c r="T1074" s="101"/>
      <c r="U1074" s="101"/>
      <c r="V1074" s="101"/>
      <c r="W1074" s="101"/>
      <c r="X1074" s="101"/>
      <c r="Y1074" s="114"/>
      <c r="Z1074" s="114"/>
      <c r="AA1074" s="114"/>
      <c r="AB1074" s="114"/>
      <c r="AC1074" s="114"/>
      <c r="AD1074" s="114"/>
      <c r="AE1074" s="114"/>
      <c r="AF1074" s="114"/>
      <c r="AG1074" s="114"/>
      <c r="AH1074" s="114"/>
      <c r="AI1074" s="114"/>
      <c r="AJ1074" s="114"/>
      <c r="AK1074" s="114"/>
      <c r="AL1074" s="114"/>
      <c r="AM1074" s="114"/>
      <c r="AN1074" s="114"/>
      <c r="AO1074" s="114"/>
      <c r="AP1074" s="114"/>
      <c r="AQ1074" s="114"/>
      <c r="AR1074" s="114"/>
      <c r="AS1074" s="114"/>
      <c r="AT1074" s="114"/>
      <c r="AU1074" s="114"/>
      <c r="AV1074" s="114"/>
      <c r="AW1074" s="114"/>
      <c r="AX1074" s="114"/>
      <c r="AY1074" s="114"/>
      <c r="AZ1074" s="114"/>
    </row>
    <row r="1075" spans="1:52">
      <c r="A1075" s="111"/>
      <c r="B1075" s="111"/>
      <c r="C1075" s="112"/>
      <c r="D1075" s="101"/>
      <c r="E1075" s="101"/>
      <c r="F1075" s="101"/>
      <c r="G1075" s="111"/>
      <c r="H1075" s="101"/>
      <c r="I1075" s="101"/>
      <c r="J1075" s="101"/>
      <c r="K1075" s="101"/>
      <c r="L1075" s="101"/>
      <c r="M1075" s="101"/>
      <c r="N1075" s="101"/>
      <c r="O1075" s="101"/>
      <c r="P1075" s="101"/>
      <c r="Q1075" s="101"/>
      <c r="R1075" s="101"/>
      <c r="S1075" s="101"/>
      <c r="T1075" s="101"/>
      <c r="U1075" s="101"/>
      <c r="V1075" s="101"/>
      <c r="W1075" s="101"/>
      <c r="X1075" s="101"/>
      <c r="Y1075" s="114"/>
      <c r="Z1075" s="114"/>
      <c r="AA1075" s="114"/>
      <c r="AB1075" s="114"/>
      <c r="AC1075" s="114"/>
      <c r="AD1075" s="114"/>
      <c r="AE1075" s="114"/>
      <c r="AF1075" s="114"/>
      <c r="AG1075" s="114"/>
      <c r="AH1075" s="114"/>
      <c r="AI1075" s="114"/>
      <c r="AJ1075" s="114"/>
      <c r="AK1075" s="114"/>
      <c r="AL1075" s="114"/>
      <c r="AM1075" s="114"/>
      <c r="AN1075" s="114"/>
      <c r="AO1075" s="114"/>
      <c r="AP1075" s="114"/>
      <c r="AQ1075" s="114"/>
      <c r="AR1075" s="114"/>
      <c r="AS1075" s="114"/>
      <c r="AT1075" s="114"/>
      <c r="AU1075" s="114"/>
      <c r="AV1075" s="114"/>
      <c r="AW1075" s="114"/>
      <c r="AX1075" s="114"/>
      <c r="AY1075" s="114"/>
      <c r="AZ1075" s="114"/>
    </row>
    <row r="1076" spans="1:52">
      <c r="A1076" s="111"/>
      <c r="B1076" s="111"/>
      <c r="C1076" s="112"/>
      <c r="D1076" s="101"/>
      <c r="E1076" s="101"/>
      <c r="F1076" s="101"/>
      <c r="G1076" s="111"/>
      <c r="H1076" s="101"/>
      <c r="I1076" s="101"/>
      <c r="J1076" s="101"/>
      <c r="K1076" s="101"/>
      <c r="L1076" s="101"/>
      <c r="M1076" s="101"/>
      <c r="N1076" s="101"/>
      <c r="O1076" s="101"/>
      <c r="P1076" s="101"/>
      <c r="Q1076" s="101"/>
      <c r="R1076" s="101"/>
      <c r="S1076" s="101"/>
      <c r="T1076" s="101"/>
      <c r="U1076" s="101"/>
      <c r="V1076" s="101"/>
      <c r="W1076" s="101"/>
      <c r="X1076" s="101"/>
      <c r="Y1076" s="114"/>
      <c r="Z1076" s="114"/>
      <c r="AA1076" s="114"/>
      <c r="AB1076" s="114"/>
      <c r="AC1076" s="114"/>
      <c r="AD1076" s="114"/>
      <c r="AE1076" s="114"/>
      <c r="AF1076" s="114"/>
      <c r="AG1076" s="114"/>
      <c r="AH1076" s="114"/>
      <c r="AI1076" s="114"/>
      <c r="AJ1076" s="114"/>
      <c r="AK1076" s="114"/>
      <c r="AL1076" s="114"/>
      <c r="AM1076" s="114"/>
      <c r="AN1076" s="114"/>
      <c r="AO1076" s="114"/>
      <c r="AP1076" s="114"/>
      <c r="AQ1076" s="114"/>
      <c r="AR1076" s="114"/>
      <c r="AS1076" s="114"/>
      <c r="AT1076" s="114"/>
      <c r="AU1076" s="114"/>
      <c r="AV1076" s="114"/>
      <c r="AW1076" s="114"/>
      <c r="AX1076" s="114"/>
      <c r="AY1076" s="114"/>
      <c r="AZ1076" s="114"/>
    </row>
    <row r="1077" spans="1:52">
      <c r="A1077" s="111"/>
      <c r="B1077" s="111"/>
      <c r="C1077" s="112"/>
      <c r="D1077" s="101"/>
      <c r="E1077" s="101"/>
      <c r="F1077" s="101"/>
      <c r="G1077" s="111"/>
      <c r="H1077" s="101"/>
      <c r="I1077" s="101"/>
      <c r="J1077" s="101"/>
      <c r="K1077" s="101"/>
      <c r="L1077" s="101"/>
      <c r="M1077" s="101"/>
      <c r="N1077" s="101"/>
      <c r="O1077" s="101"/>
      <c r="P1077" s="101"/>
      <c r="Q1077" s="101"/>
      <c r="R1077" s="101"/>
      <c r="S1077" s="101"/>
      <c r="T1077" s="101"/>
      <c r="U1077" s="101"/>
      <c r="V1077" s="101"/>
      <c r="W1077" s="101"/>
      <c r="X1077" s="101"/>
      <c r="Y1077" s="114"/>
      <c r="Z1077" s="114"/>
      <c r="AA1077" s="114"/>
      <c r="AB1077" s="114"/>
      <c r="AC1077" s="114"/>
      <c r="AD1077" s="114"/>
      <c r="AE1077" s="114"/>
      <c r="AF1077" s="114"/>
      <c r="AG1077" s="114"/>
      <c r="AH1077" s="114"/>
      <c r="AI1077" s="114"/>
      <c r="AJ1077" s="114"/>
      <c r="AK1077" s="114"/>
      <c r="AL1077" s="114"/>
      <c r="AM1077" s="114"/>
      <c r="AN1077" s="114"/>
      <c r="AO1077" s="114"/>
      <c r="AP1077" s="114"/>
      <c r="AQ1077" s="114"/>
      <c r="AR1077" s="114"/>
      <c r="AS1077" s="114"/>
      <c r="AT1077" s="114"/>
      <c r="AU1077" s="114"/>
      <c r="AV1077" s="114"/>
      <c r="AW1077" s="114"/>
      <c r="AX1077" s="114"/>
      <c r="AY1077" s="114"/>
      <c r="AZ1077" s="114"/>
    </row>
    <row r="1078" spans="1:52">
      <c r="A1078" s="111"/>
      <c r="B1078" s="111"/>
      <c r="C1078" s="112"/>
      <c r="D1078" s="101"/>
      <c r="E1078" s="101"/>
      <c r="F1078" s="101"/>
      <c r="G1078" s="111"/>
      <c r="H1078" s="101"/>
      <c r="I1078" s="101"/>
      <c r="J1078" s="101"/>
      <c r="K1078" s="101"/>
      <c r="L1078" s="101"/>
      <c r="M1078" s="101"/>
      <c r="N1078" s="101"/>
      <c r="O1078" s="101"/>
      <c r="P1078" s="101"/>
      <c r="Q1078" s="101"/>
      <c r="R1078" s="101"/>
      <c r="S1078" s="101"/>
      <c r="T1078" s="101"/>
      <c r="U1078" s="101"/>
      <c r="V1078" s="101"/>
      <c r="W1078" s="101"/>
      <c r="X1078" s="101"/>
      <c r="Y1078" s="114"/>
      <c r="Z1078" s="114"/>
      <c r="AA1078" s="114"/>
      <c r="AB1078" s="114"/>
      <c r="AC1078" s="114"/>
      <c r="AD1078" s="114"/>
      <c r="AE1078" s="114"/>
      <c r="AF1078" s="114"/>
      <c r="AG1078" s="114"/>
      <c r="AH1078" s="114"/>
      <c r="AI1078" s="114"/>
      <c r="AJ1078" s="114"/>
      <c r="AK1078" s="114"/>
      <c r="AL1078" s="114"/>
      <c r="AM1078" s="114"/>
      <c r="AN1078" s="114"/>
      <c r="AO1078" s="114"/>
      <c r="AP1078" s="114"/>
      <c r="AQ1078" s="114"/>
      <c r="AR1078" s="114"/>
      <c r="AS1078" s="114"/>
      <c r="AT1078" s="114"/>
      <c r="AU1078" s="114"/>
      <c r="AV1078" s="114"/>
      <c r="AW1078" s="114"/>
      <c r="AX1078" s="114"/>
      <c r="AY1078" s="114"/>
      <c r="AZ1078" s="114"/>
    </row>
    <row r="1079" spans="1:52">
      <c r="A1079" s="111"/>
      <c r="B1079" s="111"/>
      <c r="C1079" s="112"/>
      <c r="D1079" s="101"/>
      <c r="E1079" s="101"/>
      <c r="F1079" s="101"/>
      <c r="G1079" s="111"/>
      <c r="H1079" s="101"/>
      <c r="I1079" s="101"/>
      <c r="J1079" s="101"/>
      <c r="K1079" s="101"/>
      <c r="L1079" s="101"/>
      <c r="M1079" s="101"/>
      <c r="N1079" s="101"/>
      <c r="O1079" s="101"/>
      <c r="P1079" s="101"/>
      <c r="Q1079" s="101"/>
      <c r="R1079" s="101"/>
      <c r="S1079" s="101"/>
      <c r="T1079" s="101"/>
      <c r="U1079" s="101"/>
      <c r="V1079" s="101"/>
      <c r="W1079" s="101"/>
      <c r="X1079" s="101"/>
      <c r="Y1079" s="114"/>
      <c r="Z1079" s="114"/>
      <c r="AA1079" s="114"/>
      <c r="AB1079" s="114"/>
      <c r="AC1079" s="114"/>
      <c r="AD1079" s="114"/>
      <c r="AE1079" s="114"/>
      <c r="AF1079" s="114"/>
      <c r="AG1079" s="114"/>
      <c r="AH1079" s="114"/>
      <c r="AI1079" s="114"/>
      <c r="AJ1079" s="114"/>
      <c r="AK1079" s="114"/>
      <c r="AL1079" s="114"/>
      <c r="AM1079" s="114"/>
      <c r="AN1079" s="114"/>
      <c r="AO1079" s="114"/>
      <c r="AP1079" s="114"/>
      <c r="AQ1079" s="114"/>
      <c r="AR1079" s="114"/>
      <c r="AS1079" s="114"/>
      <c r="AT1079" s="114"/>
      <c r="AU1079" s="114"/>
      <c r="AV1079" s="114"/>
      <c r="AW1079" s="114"/>
      <c r="AX1079" s="114"/>
      <c r="AY1079" s="114"/>
      <c r="AZ1079" s="114"/>
    </row>
    <row r="1080" spans="1:52">
      <c r="A1080" s="111"/>
      <c r="B1080" s="111"/>
      <c r="C1080" s="112"/>
      <c r="D1080" s="101"/>
      <c r="E1080" s="101"/>
      <c r="F1080" s="101"/>
      <c r="G1080" s="111"/>
      <c r="H1080" s="101"/>
      <c r="I1080" s="101"/>
      <c r="J1080" s="101"/>
      <c r="K1080" s="101"/>
      <c r="L1080" s="101"/>
      <c r="M1080" s="101"/>
      <c r="N1080" s="101"/>
      <c r="O1080" s="101"/>
      <c r="P1080" s="101"/>
      <c r="Q1080" s="101"/>
      <c r="R1080" s="101"/>
      <c r="S1080" s="101"/>
      <c r="T1080" s="101"/>
      <c r="U1080" s="101"/>
      <c r="V1080" s="101"/>
      <c r="W1080" s="101"/>
      <c r="X1080" s="101"/>
      <c r="Y1080" s="114"/>
      <c r="Z1080" s="114"/>
      <c r="AA1080" s="114"/>
      <c r="AB1080" s="114"/>
      <c r="AC1080" s="114"/>
      <c r="AD1080" s="114"/>
      <c r="AE1080" s="114"/>
      <c r="AF1080" s="114"/>
      <c r="AG1080" s="114"/>
      <c r="AH1080" s="114"/>
      <c r="AI1080" s="114"/>
      <c r="AJ1080" s="114"/>
      <c r="AK1080" s="114"/>
      <c r="AL1080" s="114"/>
      <c r="AM1080" s="114"/>
      <c r="AN1080" s="114"/>
      <c r="AO1080" s="114"/>
      <c r="AP1080" s="114"/>
      <c r="AQ1080" s="114"/>
      <c r="AR1080" s="114"/>
      <c r="AS1080" s="114"/>
      <c r="AT1080" s="114"/>
      <c r="AU1080" s="114"/>
      <c r="AV1080" s="114"/>
      <c r="AW1080" s="114"/>
      <c r="AX1080" s="114"/>
      <c r="AY1080" s="114"/>
      <c r="AZ1080" s="114"/>
    </row>
    <row r="1081" spans="1:52">
      <c r="A1081" s="111"/>
      <c r="B1081" s="111"/>
      <c r="C1081" s="112"/>
      <c r="D1081" s="101"/>
      <c r="E1081" s="101"/>
      <c r="F1081" s="101"/>
      <c r="G1081" s="111"/>
      <c r="H1081" s="101"/>
      <c r="I1081" s="101"/>
      <c r="J1081" s="101"/>
      <c r="K1081" s="101"/>
      <c r="L1081" s="101"/>
      <c r="M1081" s="101"/>
      <c r="N1081" s="101"/>
      <c r="O1081" s="101"/>
      <c r="P1081" s="101"/>
      <c r="Q1081" s="101"/>
      <c r="R1081" s="101"/>
      <c r="S1081" s="101"/>
      <c r="T1081" s="101"/>
      <c r="U1081" s="101"/>
      <c r="V1081" s="101"/>
      <c r="W1081" s="101"/>
      <c r="X1081" s="101"/>
      <c r="Y1081" s="114"/>
      <c r="Z1081" s="114"/>
      <c r="AA1081" s="114"/>
      <c r="AB1081" s="114"/>
      <c r="AC1081" s="114"/>
      <c r="AD1081" s="114"/>
      <c r="AE1081" s="114"/>
      <c r="AF1081" s="114"/>
      <c r="AG1081" s="114"/>
      <c r="AH1081" s="114"/>
      <c r="AI1081" s="114"/>
      <c r="AJ1081" s="114"/>
      <c r="AK1081" s="114"/>
      <c r="AL1081" s="114"/>
      <c r="AM1081" s="114"/>
      <c r="AN1081" s="114"/>
      <c r="AO1081" s="114"/>
      <c r="AP1081" s="114"/>
      <c r="AQ1081" s="114"/>
      <c r="AR1081" s="114"/>
      <c r="AS1081" s="114"/>
      <c r="AT1081" s="114"/>
      <c r="AU1081" s="114"/>
      <c r="AV1081" s="114"/>
      <c r="AW1081" s="114"/>
      <c r="AX1081" s="114"/>
      <c r="AY1081" s="114"/>
      <c r="AZ1081" s="114"/>
    </row>
    <row r="1082" spans="1:52">
      <c r="A1082" s="111"/>
      <c r="B1082" s="111"/>
      <c r="C1082" s="112"/>
      <c r="D1082" s="101"/>
      <c r="E1082" s="101"/>
      <c r="F1082" s="101"/>
      <c r="G1082" s="111"/>
      <c r="H1082" s="101"/>
      <c r="I1082" s="101"/>
      <c r="J1082" s="101"/>
      <c r="K1082" s="101"/>
      <c r="L1082" s="101"/>
      <c r="M1082" s="101"/>
      <c r="N1082" s="101"/>
      <c r="O1082" s="101"/>
      <c r="P1082" s="101"/>
      <c r="Q1082" s="101"/>
      <c r="R1082" s="101"/>
      <c r="S1082" s="101"/>
      <c r="T1082" s="101"/>
      <c r="U1082" s="101"/>
      <c r="V1082" s="101"/>
      <c r="W1082" s="101"/>
      <c r="X1082" s="101"/>
      <c r="Y1082" s="114"/>
      <c r="Z1082" s="114"/>
      <c r="AA1082" s="114"/>
      <c r="AB1082" s="114"/>
      <c r="AC1082" s="114"/>
      <c r="AD1082" s="114"/>
      <c r="AE1082" s="114"/>
      <c r="AF1082" s="114"/>
      <c r="AG1082" s="114"/>
      <c r="AH1082" s="114"/>
      <c r="AI1082" s="114"/>
      <c r="AJ1082" s="114"/>
      <c r="AK1082" s="114"/>
      <c r="AL1082" s="114"/>
      <c r="AM1082" s="114"/>
      <c r="AN1082" s="114"/>
      <c r="AO1082" s="114"/>
      <c r="AP1082" s="114"/>
      <c r="AQ1082" s="114"/>
      <c r="AR1082" s="114"/>
      <c r="AS1082" s="114"/>
      <c r="AT1082" s="114"/>
      <c r="AU1082" s="114"/>
      <c r="AV1082" s="114"/>
      <c r="AW1082" s="114"/>
      <c r="AX1082" s="114"/>
      <c r="AY1082" s="114"/>
      <c r="AZ1082" s="114"/>
    </row>
    <row r="1083" spans="1:52">
      <c r="A1083" s="111"/>
      <c r="B1083" s="111"/>
      <c r="C1083" s="112"/>
      <c r="D1083" s="101"/>
      <c r="E1083" s="101"/>
      <c r="F1083" s="101"/>
      <c r="G1083" s="111"/>
      <c r="H1083" s="101"/>
      <c r="I1083" s="101"/>
      <c r="J1083" s="101"/>
      <c r="K1083" s="101"/>
      <c r="L1083" s="101"/>
      <c r="M1083" s="101"/>
      <c r="N1083" s="101"/>
      <c r="O1083" s="101"/>
      <c r="P1083" s="101"/>
      <c r="Q1083" s="101"/>
      <c r="R1083" s="101"/>
      <c r="S1083" s="101"/>
      <c r="T1083" s="101"/>
      <c r="U1083" s="101"/>
      <c r="V1083" s="101"/>
      <c r="W1083" s="101"/>
      <c r="X1083" s="101"/>
      <c r="Y1083" s="114"/>
      <c r="Z1083" s="114"/>
      <c r="AA1083" s="114"/>
      <c r="AB1083" s="114"/>
      <c r="AC1083" s="114"/>
      <c r="AD1083" s="114"/>
      <c r="AE1083" s="114"/>
      <c r="AF1083" s="114"/>
      <c r="AG1083" s="114"/>
      <c r="AH1083" s="114"/>
      <c r="AI1083" s="114"/>
      <c r="AJ1083" s="114"/>
      <c r="AK1083" s="114"/>
      <c r="AL1083" s="114"/>
      <c r="AM1083" s="114"/>
      <c r="AN1083" s="114"/>
      <c r="AO1083" s="114"/>
      <c r="AP1083" s="114"/>
      <c r="AQ1083" s="114"/>
      <c r="AR1083" s="114"/>
      <c r="AS1083" s="114"/>
      <c r="AT1083" s="114"/>
      <c r="AU1083" s="114"/>
      <c r="AV1083" s="114"/>
      <c r="AW1083" s="114"/>
      <c r="AX1083" s="114"/>
      <c r="AY1083" s="114"/>
      <c r="AZ1083" s="114"/>
    </row>
    <row r="1084" spans="1:52">
      <c r="A1084" s="111"/>
      <c r="B1084" s="111"/>
      <c r="C1084" s="112"/>
      <c r="D1084" s="101"/>
      <c r="E1084" s="101"/>
      <c r="F1084" s="101"/>
      <c r="G1084" s="111"/>
      <c r="H1084" s="101"/>
      <c r="I1084" s="101"/>
      <c r="J1084" s="101"/>
      <c r="K1084" s="101"/>
      <c r="L1084" s="101"/>
      <c r="M1084" s="101"/>
      <c r="N1084" s="101"/>
      <c r="O1084" s="101"/>
      <c r="P1084" s="101"/>
      <c r="Q1084" s="101"/>
      <c r="R1084" s="101"/>
      <c r="S1084" s="101"/>
      <c r="T1084" s="101"/>
      <c r="U1084" s="101"/>
      <c r="V1084" s="101"/>
      <c r="W1084" s="101"/>
      <c r="X1084" s="101"/>
      <c r="Y1084" s="114"/>
      <c r="Z1084" s="114"/>
      <c r="AA1084" s="114"/>
      <c r="AB1084" s="114"/>
      <c r="AC1084" s="114"/>
      <c r="AD1084" s="114"/>
      <c r="AE1084" s="114"/>
      <c r="AF1084" s="114"/>
      <c r="AG1084" s="114"/>
      <c r="AH1084" s="114"/>
      <c r="AI1084" s="114"/>
      <c r="AJ1084" s="114"/>
      <c r="AK1084" s="114"/>
      <c r="AL1084" s="114"/>
      <c r="AM1084" s="114"/>
      <c r="AN1084" s="114"/>
      <c r="AO1084" s="114"/>
      <c r="AP1084" s="114"/>
      <c r="AQ1084" s="114"/>
      <c r="AR1084" s="114"/>
      <c r="AS1084" s="114"/>
      <c r="AT1084" s="114"/>
      <c r="AU1084" s="114"/>
      <c r="AV1084" s="114"/>
      <c r="AW1084" s="114"/>
      <c r="AX1084" s="114"/>
      <c r="AY1084" s="114"/>
      <c r="AZ1084" s="114"/>
    </row>
    <row r="1085" spans="1:52">
      <c r="A1085" s="111"/>
      <c r="B1085" s="111"/>
      <c r="C1085" s="112"/>
      <c r="D1085" s="101"/>
      <c r="E1085" s="101"/>
      <c r="F1085" s="101"/>
      <c r="G1085" s="111"/>
      <c r="H1085" s="101"/>
      <c r="I1085" s="101"/>
      <c r="J1085" s="101"/>
      <c r="K1085" s="101"/>
      <c r="L1085" s="101"/>
      <c r="M1085" s="101"/>
      <c r="N1085" s="101"/>
      <c r="O1085" s="101"/>
      <c r="P1085" s="101"/>
      <c r="Q1085" s="101"/>
      <c r="R1085" s="101"/>
      <c r="S1085" s="101"/>
      <c r="T1085" s="101"/>
      <c r="U1085" s="101"/>
      <c r="V1085" s="101"/>
      <c r="W1085" s="101"/>
      <c r="X1085" s="101"/>
      <c r="Y1085" s="114"/>
      <c r="Z1085" s="114"/>
      <c r="AA1085" s="114"/>
      <c r="AB1085" s="114"/>
      <c r="AC1085" s="114"/>
      <c r="AD1085" s="114"/>
      <c r="AE1085" s="114"/>
      <c r="AF1085" s="114"/>
      <c r="AG1085" s="114"/>
      <c r="AH1085" s="114"/>
      <c r="AI1085" s="114"/>
      <c r="AJ1085" s="114"/>
      <c r="AK1085" s="114"/>
      <c r="AL1085" s="114"/>
      <c r="AM1085" s="114"/>
      <c r="AN1085" s="114"/>
      <c r="AO1085" s="114"/>
      <c r="AP1085" s="114"/>
      <c r="AQ1085" s="114"/>
      <c r="AR1085" s="114"/>
      <c r="AS1085" s="114"/>
      <c r="AT1085" s="114"/>
      <c r="AU1085" s="114"/>
      <c r="AV1085" s="114"/>
      <c r="AW1085" s="114"/>
      <c r="AX1085" s="114"/>
      <c r="AY1085" s="114"/>
      <c r="AZ1085" s="114"/>
    </row>
    <row r="1086" spans="1:52">
      <c r="A1086" s="111"/>
      <c r="B1086" s="111"/>
      <c r="C1086" s="112"/>
      <c r="D1086" s="101"/>
      <c r="E1086" s="101"/>
      <c r="F1086" s="101"/>
      <c r="G1086" s="111"/>
      <c r="H1086" s="101"/>
      <c r="I1086" s="101"/>
      <c r="J1086" s="101"/>
      <c r="K1086" s="101"/>
      <c r="L1086" s="101"/>
      <c r="M1086" s="101"/>
      <c r="N1086" s="101"/>
      <c r="O1086" s="101"/>
      <c r="P1086" s="101"/>
      <c r="Q1086" s="101"/>
      <c r="R1086" s="101"/>
      <c r="S1086" s="101"/>
      <c r="T1086" s="101"/>
      <c r="U1086" s="101"/>
      <c r="V1086" s="101"/>
      <c r="W1086" s="101"/>
      <c r="X1086" s="101"/>
      <c r="Y1086" s="114"/>
      <c r="Z1086" s="114"/>
      <c r="AA1086" s="114"/>
      <c r="AB1086" s="114"/>
      <c r="AC1086" s="114"/>
      <c r="AD1086" s="114"/>
      <c r="AE1086" s="114"/>
      <c r="AF1086" s="114"/>
      <c r="AG1086" s="114"/>
      <c r="AH1086" s="114"/>
      <c r="AI1086" s="114"/>
      <c r="AJ1086" s="114"/>
      <c r="AK1086" s="114"/>
      <c r="AL1086" s="114"/>
      <c r="AM1086" s="114"/>
      <c r="AN1086" s="114"/>
      <c r="AO1086" s="114"/>
      <c r="AP1086" s="114"/>
      <c r="AQ1086" s="114"/>
      <c r="AR1086" s="114"/>
      <c r="AS1086" s="114"/>
      <c r="AT1086" s="114"/>
      <c r="AU1086" s="114"/>
      <c r="AV1086" s="114"/>
      <c r="AW1086" s="114"/>
      <c r="AX1086" s="114"/>
      <c r="AY1086" s="114"/>
      <c r="AZ1086" s="114"/>
    </row>
    <row r="1087" spans="1:52">
      <c r="A1087" s="111"/>
      <c r="B1087" s="111"/>
      <c r="C1087" s="112"/>
      <c r="D1087" s="101"/>
      <c r="E1087" s="101"/>
      <c r="F1087" s="101"/>
      <c r="G1087" s="111"/>
      <c r="H1087" s="101"/>
      <c r="I1087" s="101"/>
      <c r="J1087" s="101"/>
      <c r="K1087" s="101"/>
      <c r="L1087" s="101"/>
      <c r="M1087" s="101"/>
      <c r="N1087" s="101"/>
      <c r="O1087" s="101"/>
      <c r="P1087" s="101"/>
      <c r="Q1087" s="101"/>
      <c r="R1087" s="101"/>
      <c r="S1087" s="101"/>
      <c r="T1087" s="101"/>
      <c r="U1087" s="101"/>
      <c r="V1087" s="101"/>
      <c r="W1087" s="101"/>
      <c r="X1087" s="101"/>
      <c r="Y1087" s="114"/>
      <c r="Z1087" s="114"/>
      <c r="AA1087" s="114"/>
      <c r="AB1087" s="114"/>
      <c r="AC1087" s="114"/>
      <c r="AD1087" s="114"/>
      <c r="AE1087" s="114"/>
      <c r="AF1087" s="114"/>
      <c r="AG1087" s="114"/>
      <c r="AH1087" s="114"/>
      <c r="AI1087" s="114"/>
      <c r="AJ1087" s="114"/>
      <c r="AK1087" s="114"/>
      <c r="AL1087" s="114"/>
      <c r="AM1087" s="114"/>
      <c r="AN1087" s="114"/>
      <c r="AO1087" s="114"/>
      <c r="AP1087" s="114"/>
      <c r="AQ1087" s="114"/>
      <c r="AR1087" s="114"/>
      <c r="AS1087" s="114"/>
      <c r="AT1087" s="114"/>
      <c r="AU1087" s="114"/>
      <c r="AV1087" s="114"/>
      <c r="AW1087" s="114"/>
      <c r="AX1087" s="114"/>
      <c r="AY1087" s="114"/>
      <c r="AZ1087" s="114"/>
    </row>
    <row r="1088" spans="1:52">
      <c r="A1088" s="111"/>
      <c r="B1088" s="111"/>
      <c r="C1088" s="112"/>
      <c r="D1088" s="101"/>
      <c r="E1088" s="101"/>
      <c r="F1088" s="101"/>
      <c r="G1088" s="111"/>
      <c r="H1088" s="101"/>
      <c r="I1088" s="101"/>
      <c r="J1088" s="101"/>
      <c r="K1088" s="101"/>
      <c r="L1088" s="101"/>
      <c r="M1088" s="101"/>
      <c r="N1088" s="101"/>
      <c r="O1088" s="101"/>
      <c r="P1088" s="101"/>
      <c r="Q1088" s="101"/>
      <c r="R1088" s="101"/>
      <c r="S1088" s="101"/>
      <c r="T1088" s="101"/>
      <c r="U1088" s="101"/>
      <c r="V1088" s="101"/>
      <c r="W1088" s="101"/>
      <c r="X1088" s="101"/>
      <c r="Y1088" s="114"/>
      <c r="Z1088" s="114"/>
      <c r="AA1088" s="114"/>
      <c r="AB1088" s="114"/>
      <c r="AC1088" s="114"/>
      <c r="AD1088" s="114"/>
      <c r="AE1088" s="114"/>
      <c r="AF1088" s="114"/>
      <c r="AG1088" s="114"/>
      <c r="AH1088" s="114"/>
      <c r="AI1088" s="114"/>
      <c r="AJ1088" s="114"/>
      <c r="AK1088" s="114"/>
      <c r="AL1088" s="114"/>
      <c r="AM1088" s="114"/>
      <c r="AN1088" s="114"/>
      <c r="AO1088" s="114"/>
      <c r="AP1088" s="114"/>
      <c r="AQ1088" s="114"/>
      <c r="AR1088" s="114"/>
      <c r="AS1088" s="114"/>
      <c r="AT1088" s="114"/>
      <c r="AU1088" s="114"/>
      <c r="AV1088" s="114"/>
      <c r="AW1088" s="114"/>
      <c r="AX1088" s="114"/>
      <c r="AY1088" s="114"/>
      <c r="AZ1088" s="114"/>
    </row>
    <row r="1089" spans="1:52">
      <c r="A1089" s="111"/>
      <c r="B1089" s="111"/>
      <c r="C1089" s="112"/>
      <c r="D1089" s="101"/>
      <c r="E1089" s="101"/>
      <c r="F1089" s="101"/>
      <c r="G1089" s="111"/>
      <c r="H1089" s="101"/>
      <c r="I1089" s="101"/>
      <c r="J1089" s="101"/>
      <c r="K1089" s="101"/>
      <c r="L1089" s="101"/>
      <c r="M1089" s="101"/>
      <c r="N1089" s="101"/>
      <c r="O1089" s="101"/>
      <c r="P1089" s="101"/>
      <c r="Q1089" s="101"/>
      <c r="R1089" s="101"/>
      <c r="S1089" s="101"/>
      <c r="T1089" s="101"/>
      <c r="U1089" s="101"/>
      <c r="V1089" s="101"/>
      <c r="W1089" s="101"/>
      <c r="X1089" s="101"/>
      <c r="Y1089" s="114"/>
      <c r="Z1089" s="114"/>
      <c r="AA1089" s="114"/>
      <c r="AB1089" s="114"/>
      <c r="AC1089" s="114"/>
      <c r="AD1089" s="114"/>
      <c r="AE1089" s="114"/>
      <c r="AF1089" s="114"/>
      <c r="AG1089" s="114"/>
      <c r="AH1089" s="114"/>
      <c r="AI1089" s="114"/>
      <c r="AJ1089" s="114"/>
      <c r="AK1089" s="114"/>
      <c r="AL1089" s="114"/>
      <c r="AM1089" s="114"/>
      <c r="AN1089" s="114"/>
      <c r="AO1089" s="114"/>
      <c r="AP1089" s="114"/>
      <c r="AQ1089" s="114"/>
      <c r="AR1089" s="114"/>
      <c r="AS1089" s="114"/>
      <c r="AT1089" s="114"/>
      <c r="AU1089" s="114"/>
      <c r="AV1089" s="114"/>
      <c r="AW1089" s="114"/>
      <c r="AX1089" s="114"/>
      <c r="AY1089" s="114"/>
      <c r="AZ1089" s="114"/>
    </row>
    <row r="1090" spans="1:52">
      <c r="A1090" s="111"/>
      <c r="B1090" s="111"/>
      <c r="C1090" s="112"/>
      <c r="D1090" s="101"/>
      <c r="E1090" s="101"/>
      <c r="F1090" s="101"/>
      <c r="G1090" s="111"/>
      <c r="H1090" s="101"/>
      <c r="I1090" s="101"/>
      <c r="J1090" s="101"/>
      <c r="K1090" s="101"/>
      <c r="L1090" s="101"/>
      <c r="M1090" s="101"/>
      <c r="N1090" s="101"/>
      <c r="O1090" s="101"/>
      <c r="P1090" s="101"/>
      <c r="Q1090" s="101"/>
      <c r="R1090" s="101"/>
      <c r="S1090" s="101"/>
      <c r="T1090" s="101"/>
      <c r="U1090" s="101"/>
      <c r="V1090" s="101"/>
      <c r="W1090" s="101"/>
      <c r="X1090" s="101"/>
      <c r="Y1090" s="114"/>
      <c r="Z1090" s="114"/>
      <c r="AA1090" s="114"/>
      <c r="AB1090" s="114"/>
      <c r="AC1090" s="114"/>
      <c r="AD1090" s="114"/>
      <c r="AE1090" s="114"/>
      <c r="AF1090" s="114"/>
      <c r="AG1090" s="114"/>
      <c r="AH1090" s="114"/>
      <c r="AI1090" s="114"/>
      <c r="AJ1090" s="114"/>
      <c r="AK1090" s="114"/>
      <c r="AL1090" s="114"/>
      <c r="AM1090" s="114"/>
      <c r="AN1090" s="114"/>
      <c r="AO1090" s="114"/>
      <c r="AP1090" s="114"/>
      <c r="AQ1090" s="114"/>
      <c r="AR1090" s="114"/>
      <c r="AS1090" s="114"/>
      <c r="AT1090" s="114"/>
      <c r="AU1090" s="114"/>
      <c r="AV1090" s="114"/>
      <c r="AW1090" s="114"/>
      <c r="AX1090" s="114"/>
      <c r="AY1090" s="114"/>
      <c r="AZ1090" s="114"/>
    </row>
    <row r="1091" spans="1:52">
      <c r="A1091" s="111"/>
      <c r="B1091" s="111"/>
      <c r="C1091" s="112"/>
      <c r="D1091" s="101"/>
      <c r="E1091" s="101"/>
      <c r="F1091" s="101"/>
      <c r="G1091" s="111"/>
      <c r="H1091" s="101"/>
      <c r="I1091" s="101"/>
      <c r="J1091" s="101"/>
      <c r="K1091" s="101"/>
      <c r="L1091" s="101"/>
      <c r="M1091" s="101"/>
      <c r="N1091" s="101"/>
      <c r="O1091" s="101"/>
      <c r="P1091" s="101"/>
      <c r="Q1091" s="101"/>
      <c r="R1091" s="101"/>
      <c r="S1091" s="101"/>
      <c r="T1091" s="101"/>
      <c r="U1091" s="101"/>
      <c r="V1091" s="101"/>
      <c r="W1091" s="101"/>
      <c r="X1091" s="101"/>
      <c r="Y1091" s="114"/>
      <c r="Z1091" s="114"/>
      <c r="AA1091" s="114"/>
      <c r="AB1091" s="114"/>
      <c r="AC1091" s="114"/>
      <c r="AD1091" s="114"/>
      <c r="AE1091" s="114"/>
      <c r="AF1091" s="114"/>
      <c r="AG1091" s="114"/>
      <c r="AH1091" s="114"/>
      <c r="AI1091" s="114"/>
      <c r="AJ1091" s="114"/>
      <c r="AK1091" s="114"/>
      <c r="AL1091" s="114"/>
      <c r="AM1091" s="114"/>
      <c r="AN1091" s="114"/>
      <c r="AO1091" s="114"/>
      <c r="AP1091" s="114"/>
      <c r="AQ1091" s="114"/>
      <c r="AR1091" s="114"/>
      <c r="AS1091" s="114"/>
      <c r="AT1091" s="114"/>
      <c r="AU1091" s="114"/>
      <c r="AV1091" s="114"/>
      <c r="AW1091" s="114"/>
      <c r="AX1091" s="114"/>
      <c r="AY1091" s="114"/>
      <c r="AZ1091" s="114"/>
    </row>
    <row r="1092" spans="1:52">
      <c r="A1092" s="111"/>
      <c r="B1092" s="111"/>
      <c r="C1092" s="112"/>
      <c r="D1092" s="101"/>
      <c r="E1092" s="101"/>
      <c r="F1092" s="101"/>
      <c r="G1092" s="111"/>
      <c r="H1092" s="101"/>
      <c r="I1092" s="101"/>
      <c r="J1092" s="101"/>
      <c r="K1092" s="101"/>
      <c r="L1092" s="101"/>
      <c r="M1092" s="101"/>
      <c r="N1092" s="101"/>
      <c r="O1092" s="101"/>
      <c r="P1092" s="101"/>
      <c r="Q1092" s="101"/>
      <c r="R1092" s="101"/>
      <c r="S1092" s="101"/>
      <c r="T1092" s="101"/>
      <c r="U1092" s="101"/>
      <c r="V1092" s="101"/>
      <c r="W1092" s="101"/>
      <c r="X1092" s="101"/>
      <c r="Y1092" s="114"/>
      <c r="Z1092" s="114"/>
      <c r="AA1092" s="114"/>
      <c r="AB1092" s="114"/>
      <c r="AC1092" s="114"/>
      <c r="AD1092" s="114"/>
      <c r="AE1092" s="114"/>
      <c r="AF1092" s="114"/>
      <c r="AG1092" s="114"/>
      <c r="AH1092" s="114"/>
      <c r="AI1092" s="114"/>
      <c r="AJ1092" s="114"/>
      <c r="AK1092" s="114"/>
      <c r="AL1092" s="114"/>
      <c r="AM1092" s="114"/>
      <c r="AN1092" s="114"/>
      <c r="AO1092" s="114"/>
      <c r="AP1092" s="114"/>
      <c r="AQ1092" s="114"/>
      <c r="AR1092" s="114"/>
      <c r="AS1092" s="114"/>
      <c r="AT1092" s="114"/>
      <c r="AU1092" s="114"/>
      <c r="AV1092" s="114"/>
      <c r="AW1092" s="114"/>
      <c r="AX1092" s="114"/>
      <c r="AY1092" s="114"/>
      <c r="AZ1092" s="114"/>
    </row>
    <row r="1093" spans="1:52">
      <c r="A1093" s="111"/>
      <c r="B1093" s="111"/>
      <c r="C1093" s="112"/>
      <c r="D1093" s="101"/>
      <c r="E1093" s="101"/>
      <c r="F1093" s="101"/>
      <c r="G1093" s="111"/>
      <c r="H1093" s="101"/>
      <c r="I1093" s="101"/>
      <c r="J1093" s="101"/>
      <c r="K1093" s="101"/>
      <c r="L1093" s="101"/>
      <c r="M1093" s="101"/>
      <c r="N1093" s="101"/>
      <c r="O1093" s="101"/>
      <c r="P1093" s="101"/>
      <c r="Q1093" s="101"/>
      <c r="R1093" s="101"/>
      <c r="S1093" s="101"/>
      <c r="T1093" s="101"/>
      <c r="U1093" s="101"/>
      <c r="V1093" s="101"/>
      <c r="W1093" s="101"/>
      <c r="X1093" s="101"/>
      <c r="Y1093" s="114"/>
      <c r="Z1093" s="114"/>
      <c r="AA1093" s="114"/>
      <c r="AB1093" s="114"/>
      <c r="AC1093" s="114"/>
      <c r="AD1093" s="114"/>
      <c r="AE1093" s="114"/>
      <c r="AF1093" s="114"/>
      <c r="AG1093" s="114"/>
      <c r="AH1093" s="114"/>
      <c r="AI1093" s="114"/>
      <c r="AJ1093" s="114"/>
      <c r="AK1093" s="114"/>
      <c r="AL1093" s="114"/>
      <c r="AM1093" s="114"/>
      <c r="AN1093" s="114"/>
      <c r="AO1093" s="114"/>
      <c r="AP1093" s="114"/>
      <c r="AQ1093" s="114"/>
      <c r="AR1093" s="114"/>
      <c r="AS1093" s="114"/>
      <c r="AT1093" s="114"/>
      <c r="AU1093" s="114"/>
      <c r="AV1093" s="114"/>
      <c r="AW1093" s="114"/>
      <c r="AX1093" s="114"/>
      <c r="AY1093" s="114"/>
      <c r="AZ1093" s="114"/>
    </row>
    <row r="1094" spans="1:52">
      <c r="A1094" s="111"/>
      <c r="B1094" s="111"/>
      <c r="C1094" s="112"/>
      <c r="D1094" s="101"/>
      <c r="E1094" s="101"/>
      <c r="F1094" s="101"/>
      <c r="G1094" s="111"/>
      <c r="H1094" s="101"/>
      <c r="I1094" s="101"/>
      <c r="J1094" s="101"/>
      <c r="K1094" s="101"/>
      <c r="L1094" s="101"/>
      <c r="M1094" s="101"/>
      <c r="N1094" s="101"/>
      <c r="O1094" s="101"/>
      <c r="P1094" s="101"/>
      <c r="Q1094" s="101"/>
      <c r="R1094" s="101"/>
      <c r="S1094" s="101"/>
      <c r="T1094" s="101"/>
      <c r="U1094" s="101"/>
      <c r="V1094" s="101"/>
      <c r="W1094" s="101"/>
      <c r="X1094" s="101"/>
      <c r="Y1094" s="114"/>
      <c r="Z1094" s="114"/>
      <c r="AA1094" s="114"/>
      <c r="AB1094" s="114"/>
      <c r="AC1094" s="114"/>
      <c r="AD1094" s="114"/>
      <c r="AE1094" s="114"/>
      <c r="AF1094" s="114"/>
      <c r="AG1094" s="114"/>
      <c r="AH1094" s="114"/>
      <c r="AI1094" s="114"/>
      <c r="AJ1094" s="114"/>
      <c r="AK1094" s="114"/>
      <c r="AL1094" s="114"/>
      <c r="AM1094" s="114"/>
      <c r="AN1094" s="114"/>
      <c r="AO1094" s="114"/>
      <c r="AP1094" s="114"/>
      <c r="AQ1094" s="114"/>
      <c r="AR1094" s="114"/>
      <c r="AS1094" s="114"/>
      <c r="AT1094" s="114"/>
      <c r="AU1094" s="114"/>
      <c r="AV1094" s="114"/>
      <c r="AW1094" s="114"/>
      <c r="AX1094" s="114"/>
      <c r="AY1094" s="114"/>
      <c r="AZ1094" s="114"/>
    </row>
    <row r="1095" spans="1:52">
      <c r="A1095" s="111"/>
      <c r="B1095" s="111"/>
      <c r="C1095" s="112"/>
      <c r="D1095" s="101"/>
      <c r="E1095" s="101"/>
      <c r="F1095" s="101"/>
      <c r="G1095" s="111"/>
      <c r="H1095" s="101"/>
      <c r="I1095" s="101"/>
      <c r="J1095" s="101"/>
      <c r="K1095" s="101"/>
      <c r="L1095" s="101"/>
      <c r="M1095" s="101"/>
      <c r="N1095" s="101"/>
      <c r="O1095" s="101"/>
      <c r="P1095" s="101"/>
      <c r="Q1095" s="101"/>
      <c r="R1095" s="101"/>
      <c r="S1095" s="101"/>
      <c r="T1095" s="101"/>
      <c r="U1095" s="101"/>
      <c r="V1095" s="101"/>
      <c r="W1095" s="101"/>
      <c r="X1095" s="101"/>
      <c r="Y1095" s="114"/>
      <c r="Z1095" s="114"/>
      <c r="AA1095" s="114"/>
      <c r="AB1095" s="114"/>
      <c r="AC1095" s="114"/>
      <c r="AD1095" s="114"/>
      <c r="AE1095" s="114"/>
      <c r="AF1095" s="114"/>
      <c r="AG1095" s="114"/>
      <c r="AH1095" s="114"/>
      <c r="AI1095" s="114"/>
      <c r="AJ1095" s="114"/>
      <c r="AK1095" s="114"/>
      <c r="AL1095" s="114"/>
      <c r="AM1095" s="114"/>
      <c r="AN1095" s="114"/>
      <c r="AO1095" s="114"/>
      <c r="AP1095" s="114"/>
      <c r="AQ1095" s="114"/>
      <c r="AR1095" s="114"/>
      <c r="AS1095" s="114"/>
      <c r="AT1095" s="114"/>
      <c r="AU1095" s="114"/>
      <c r="AV1095" s="114"/>
      <c r="AW1095" s="114"/>
      <c r="AX1095" s="114"/>
      <c r="AY1095" s="114"/>
      <c r="AZ1095" s="114"/>
    </row>
    <row r="1096" spans="1:52">
      <c r="A1096" s="111"/>
      <c r="B1096" s="111"/>
      <c r="C1096" s="112"/>
      <c r="D1096" s="101"/>
      <c r="E1096" s="101"/>
      <c r="F1096" s="101"/>
      <c r="G1096" s="111"/>
      <c r="H1096" s="101"/>
      <c r="I1096" s="101"/>
      <c r="J1096" s="101"/>
      <c r="K1096" s="101"/>
      <c r="L1096" s="101"/>
      <c r="M1096" s="101"/>
      <c r="N1096" s="101"/>
      <c r="O1096" s="101"/>
      <c r="P1096" s="101"/>
      <c r="Q1096" s="101"/>
      <c r="R1096" s="101"/>
      <c r="S1096" s="101"/>
      <c r="T1096" s="101"/>
      <c r="U1096" s="101"/>
      <c r="V1096" s="101"/>
      <c r="W1096" s="101"/>
      <c r="X1096" s="101"/>
      <c r="Y1096" s="114"/>
      <c r="Z1096" s="114"/>
      <c r="AA1096" s="114"/>
      <c r="AB1096" s="114"/>
      <c r="AC1096" s="114"/>
      <c r="AD1096" s="114"/>
      <c r="AE1096" s="114"/>
      <c r="AF1096" s="114"/>
      <c r="AG1096" s="114"/>
      <c r="AH1096" s="114"/>
      <c r="AI1096" s="114"/>
      <c r="AJ1096" s="114"/>
      <c r="AK1096" s="114"/>
      <c r="AL1096" s="114"/>
      <c r="AM1096" s="114"/>
      <c r="AN1096" s="114"/>
      <c r="AO1096" s="114"/>
      <c r="AP1096" s="114"/>
      <c r="AQ1096" s="114"/>
      <c r="AR1096" s="114"/>
      <c r="AS1096" s="114"/>
      <c r="AT1096" s="114"/>
      <c r="AU1096" s="114"/>
      <c r="AV1096" s="114"/>
      <c r="AW1096" s="114"/>
      <c r="AX1096" s="114"/>
      <c r="AY1096" s="114"/>
      <c r="AZ1096" s="114"/>
    </row>
    <row r="1097" spans="1:52">
      <c r="A1097" s="111"/>
      <c r="B1097" s="111"/>
      <c r="C1097" s="112"/>
      <c r="D1097" s="101"/>
      <c r="E1097" s="101"/>
      <c r="F1097" s="101"/>
      <c r="G1097" s="111"/>
      <c r="H1097" s="101"/>
      <c r="I1097" s="101"/>
      <c r="J1097" s="101"/>
      <c r="K1097" s="101"/>
      <c r="L1097" s="101"/>
      <c r="M1097" s="101"/>
      <c r="N1097" s="101"/>
      <c r="O1097" s="101"/>
      <c r="P1097" s="101"/>
      <c r="Q1097" s="101"/>
      <c r="R1097" s="101"/>
      <c r="S1097" s="101"/>
      <c r="T1097" s="101"/>
      <c r="U1097" s="101"/>
      <c r="V1097" s="101"/>
      <c r="W1097" s="101"/>
      <c r="X1097" s="101"/>
      <c r="Y1097" s="114"/>
      <c r="Z1097" s="114"/>
      <c r="AA1097" s="114"/>
      <c r="AB1097" s="114"/>
      <c r="AC1097" s="114"/>
      <c r="AD1097" s="114"/>
      <c r="AE1097" s="114"/>
      <c r="AF1097" s="114"/>
      <c r="AG1097" s="114"/>
      <c r="AH1097" s="114"/>
      <c r="AI1097" s="114"/>
      <c r="AJ1097" s="114"/>
      <c r="AK1097" s="114"/>
      <c r="AL1097" s="114"/>
      <c r="AM1097" s="114"/>
      <c r="AN1097" s="114"/>
      <c r="AO1097" s="114"/>
      <c r="AP1097" s="114"/>
      <c r="AQ1097" s="114"/>
      <c r="AR1097" s="114"/>
      <c r="AS1097" s="114"/>
      <c r="AT1097" s="114"/>
      <c r="AU1097" s="114"/>
      <c r="AV1097" s="114"/>
      <c r="AW1097" s="114"/>
      <c r="AX1097" s="114"/>
      <c r="AY1097" s="114"/>
      <c r="AZ1097" s="114"/>
    </row>
    <row r="1098" spans="1:52">
      <c r="A1098" s="111"/>
      <c r="B1098" s="111"/>
      <c r="C1098" s="112"/>
      <c r="D1098" s="101"/>
      <c r="E1098" s="101"/>
      <c r="F1098" s="101"/>
      <c r="G1098" s="111"/>
      <c r="H1098" s="101"/>
      <c r="I1098" s="101"/>
      <c r="J1098" s="101"/>
      <c r="K1098" s="101"/>
      <c r="L1098" s="101"/>
      <c r="M1098" s="101"/>
      <c r="N1098" s="101"/>
      <c r="O1098" s="101"/>
      <c r="P1098" s="101"/>
      <c r="Q1098" s="101"/>
      <c r="R1098" s="101"/>
      <c r="S1098" s="101"/>
      <c r="T1098" s="101"/>
      <c r="U1098" s="101"/>
      <c r="V1098" s="101"/>
      <c r="W1098" s="101"/>
      <c r="X1098" s="101"/>
      <c r="Y1098" s="114"/>
      <c r="Z1098" s="114"/>
      <c r="AA1098" s="114"/>
      <c r="AB1098" s="114"/>
      <c r="AC1098" s="114"/>
      <c r="AD1098" s="114"/>
      <c r="AE1098" s="114"/>
      <c r="AF1098" s="114"/>
      <c r="AG1098" s="114"/>
      <c r="AH1098" s="114"/>
      <c r="AI1098" s="114"/>
      <c r="AJ1098" s="114"/>
      <c r="AK1098" s="114"/>
      <c r="AL1098" s="114"/>
      <c r="AM1098" s="114"/>
      <c r="AN1098" s="114"/>
      <c r="AO1098" s="114"/>
      <c r="AP1098" s="114"/>
      <c r="AQ1098" s="114"/>
      <c r="AR1098" s="114"/>
      <c r="AS1098" s="114"/>
      <c r="AT1098" s="114"/>
      <c r="AU1098" s="114"/>
      <c r="AV1098" s="114"/>
      <c r="AW1098" s="114"/>
      <c r="AX1098" s="114"/>
      <c r="AY1098" s="114"/>
      <c r="AZ1098" s="114"/>
    </row>
    <row r="1099" spans="1:52">
      <c r="A1099" s="111"/>
      <c r="B1099" s="111"/>
      <c r="C1099" s="112"/>
      <c r="D1099" s="101"/>
      <c r="E1099" s="101"/>
      <c r="F1099" s="101"/>
      <c r="G1099" s="111"/>
      <c r="H1099" s="101"/>
      <c r="I1099" s="101"/>
      <c r="J1099" s="101"/>
      <c r="K1099" s="101"/>
      <c r="L1099" s="101"/>
      <c r="M1099" s="101"/>
      <c r="N1099" s="101"/>
      <c r="O1099" s="101"/>
      <c r="P1099" s="101"/>
      <c r="Q1099" s="101"/>
      <c r="R1099" s="101"/>
      <c r="S1099" s="101"/>
      <c r="T1099" s="101"/>
      <c r="U1099" s="101"/>
      <c r="V1099" s="101"/>
      <c r="W1099" s="101"/>
      <c r="X1099" s="101"/>
      <c r="Y1099" s="114"/>
      <c r="Z1099" s="114"/>
      <c r="AA1099" s="114"/>
      <c r="AB1099" s="114"/>
      <c r="AC1099" s="114"/>
      <c r="AD1099" s="114"/>
      <c r="AE1099" s="114"/>
      <c r="AF1099" s="114"/>
      <c r="AG1099" s="114"/>
      <c r="AH1099" s="114"/>
      <c r="AI1099" s="114"/>
      <c r="AJ1099" s="114"/>
      <c r="AK1099" s="114"/>
      <c r="AL1099" s="114"/>
      <c r="AM1099" s="114"/>
      <c r="AN1099" s="114"/>
      <c r="AO1099" s="114"/>
      <c r="AP1099" s="114"/>
      <c r="AQ1099" s="114"/>
      <c r="AR1099" s="114"/>
      <c r="AS1099" s="114"/>
      <c r="AT1099" s="114"/>
      <c r="AU1099" s="114"/>
      <c r="AV1099" s="114"/>
      <c r="AW1099" s="114"/>
      <c r="AX1099" s="114"/>
      <c r="AY1099" s="114"/>
      <c r="AZ1099" s="114"/>
    </row>
    <row r="1100" spans="1:52">
      <c r="A1100" s="111"/>
      <c r="B1100" s="111"/>
      <c r="C1100" s="112"/>
      <c r="D1100" s="101"/>
      <c r="E1100" s="101"/>
      <c r="F1100" s="101"/>
      <c r="G1100" s="111"/>
      <c r="H1100" s="101"/>
      <c r="I1100" s="101"/>
      <c r="J1100" s="101"/>
      <c r="K1100" s="101"/>
      <c r="L1100" s="101"/>
      <c r="M1100" s="101"/>
      <c r="N1100" s="101"/>
      <c r="O1100" s="101"/>
      <c r="P1100" s="101"/>
      <c r="Q1100" s="101"/>
      <c r="R1100" s="101"/>
      <c r="S1100" s="101"/>
      <c r="T1100" s="101"/>
      <c r="U1100" s="101"/>
      <c r="V1100" s="101"/>
      <c r="W1100" s="101"/>
      <c r="X1100" s="101"/>
      <c r="Y1100" s="114"/>
      <c r="Z1100" s="114"/>
      <c r="AA1100" s="114"/>
      <c r="AB1100" s="114"/>
      <c r="AC1100" s="114"/>
      <c r="AD1100" s="114"/>
      <c r="AE1100" s="114"/>
      <c r="AF1100" s="114"/>
      <c r="AG1100" s="114"/>
      <c r="AH1100" s="114"/>
      <c r="AI1100" s="114"/>
      <c r="AJ1100" s="114"/>
      <c r="AK1100" s="114"/>
      <c r="AL1100" s="114"/>
      <c r="AM1100" s="114"/>
      <c r="AN1100" s="114"/>
      <c r="AO1100" s="114"/>
      <c r="AP1100" s="114"/>
      <c r="AQ1100" s="114"/>
      <c r="AR1100" s="114"/>
      <c r="AS1100" s="114"/>
      <c r="AT1100" s="114"/>
      <c r="AU1100" s="114"/>
      <c r="AV1100" s="114"/>
      <c r="AW1100" s="114"/>
      <c r="AX1100" s="114"/>
      <c r="AY1100" s="114"/>
      <c r="AZ1100" s="114"/>
    </row>
    <row r="1101" spans="1:52">
      <c r="A1101" s="111"/>
      <c r="B1101" s="111"/>
      <c r="C1101" s="112"/>
      <c r="D1101" s="101"/>
      <c r="E1101" s="101"/>
      <c r="F1101" s="101"/>
      <c r="G1101" s="111"/>
      <c r="H1101" s="101"/>
      <c r="I1101" s="101"/>
      <c r="J1101" s="101"/>
      <c r="K1101" s="101"/>
      <c r="L1101" s="101"/>
      <c r="M1101" s="101"/>
      <c r="N1101" s="101"/>
      <c r="O1101" s="101"/>
      <c r="P1101" s="101"/>
      <c r="Q1101" s="101"/>
      <c r="R1101" s="101"/>
      <c r="S1101" s="101"/>
      <c r="T1101" s="101"/>
      <c r="U1101" s="101"/>
      <c r="V1101" s="101"/>
      <c r="W1101" s="101"/>
      <c r="X1101" s="101"/>
      <c r="Y1101" s="114"/>
      <c r="Z1101" s="114"/>
      <c r="AA1101" s="114"/>
      <c r="AB1101" s="114"/>
      <c r="AC1101" s="114"/>
      <c r="AD1101" s="114"/>
      <c r="AE1101" s="114"/>
      <c r="AF1101" s="114"/>
      <c r="AG1101" s="114"/>
      <c r="AH1101" s="114"/>
      <c r="AI1101" s="114"/>
      <c r="AJ1101" s="114"/>
      <c r="AK1101" s="114"/>
      <c r="AL1101" s="114"/>
      <c r="AM1101" s="114"/>
      <c r="AN1101" s="114"/>
      <c r="AO1101" s="114"/>
      <c r="AP1101" s="114"/>
      <c r="AQ1101" s="114"/>
      <c r="AR1101" s="114"/>
      <c r="AS1101" s="114"/>
      <c r="AT1101" s="114"/>
      <c r="AU1101" s="114"/>
      <c r="AV1101" s="114"/>
      <c r="AW1101" s="114"/>
      <c r="AX1101" s="114"/>
      <c r="AY1101" s="114"/>
      <c r="AZ1101" s="114"/>
    </row>
    <row r="1102" spans="1:52">
      <c r="A1102" s="111"/>
      <c r="B1102" s="111"/>
      <c r="C1102" s="112"/>
      <c r="D1102" s="101"/>
      <c r="E1102" s="101"/>
      <c r="F1102" s="101"/>
      <c r="G1102" s="111"/>
      <c r="H1102" s="101"/>
      <c r="I1102" s="101"/>
      <c r="J1102" s="101"/>
      <c r="K1102" s="101"/>
      <c r="L1102" s="101"/>
      <c r="M1102" s="101"/>
      <c r="N1102" s="101"/>
      <c r="O1102" s="101"/>
      <c r="P1102" s="101"/>
      <c r="Q1102" s="101"/>
      <c r="R1102" s="101"/>
      <c r="S1102" s="101"/>
      <c r="T1102" s="101"/>
      <c r="U1102" s="101"/>
      <c r="V1102" s="101"/>
      <c r="W1102" s="101"/>
      <c r="X1102" s="101"/>
      <c r="Y1102" s="114"/>
      <c r="Z1102" s="114"/>
      <c r="AA1102" s="114"/>
      <c r="AB1102" s="114"/>
      <c r="AC1102" s="114"/>
      <c r="AD1102" s="114"/>
      <c r="AE1102" s="114"/>
      <c r="AF1102" s="114"/>
      <c r="AG1102" s="114"/>
      <c r="AH1102" s="114"/>
      <c r="AI1102" s="114"/>
      <c r="AJ1102" s="114"/>
      <c r="AK1102" s="114"/>
      <c r="AL1102" s="114"/>
      <c r="AM1102" s="114"/>
      <c r="AN1102" s="114"/>
      <c r="AO1102" s="114"/>
      <c r="AP1102" s="114"/>
      <c r="AQ1102" s="114"/>
      <c r="AR1102" s="114"/>
      <c r="AS1102" s="114"/>
      <c r="AT1102" s="114"/>
      <c r="AU1102" s="114"/>
      <c r="AV1102" s="114"/>
      <c r="AW1102" s="114"/>
      <c r="AX1102" s="114"/>
      <c r="AY1102" s="114"/>
      <c r="AZ1102" s="114"/>
    </row>
    <row r="1103" spans="1:52">
      <c r="A1103" s="111"/>
      <c r="B1103" s="111"/>
      <c r="C1103" s="112"/>
      <c r="D1103" s="101"/>
      <c r="E1103" s="101"/>
      <c r="F1103" s="101"/>
      <c r="G1103" s="111"/>
      <c r="H1103" s="101"/>
      <c r="I1103" s="101"/>
      <c r="J1103" s="101"/>
      <c r="K1103" s="101"/>
      <c r="L1103" s="101"/>
      <c r="M1103" s="101"/>
      <c r="N1103" s="101"/>
      <c r="O1103" s="101"/>
      <c r="P1103" s="101"/>
      <c r="Q1103" s="101"/>
      <c r="R1103" s="101"/>
      <c r="S1103" s="101"/>
      <c r="T1103" s="101"/>
      <c r="U1103" s="101"/>
      <c r="V1103" s="101"/>
      <c r="W1103" s="101"/>
      <c r="X1103" s="101"/>
      <c r="Y1103" s="114"/>
      <c r="Z1103" s="114"/>
      <c r="AA1103" s="114"/>
      <c r="AB1103" s="114"/>
      <c r="AC1103" s="114"/>
      <c r="AD1103" s="114"/>
      <c r="AE1103" s="114"/>
      <c r="AF1103" s="114"/>
      <c r="AG1103" s="114"/>
      <c r="AH1103" s="114"/>
      <c r="AI1103" s="114"/>
      <c r="AJ1103" s="114"/>
      <c r="AK1103" s="114"/>
      <c r="AL1103" s="114"/>
      <c r="AM1103" s="114"/>
      <c r="AN1103" s="114"/>
      <c r="AO1103" s="114"/>
      <c r="AP1103" s="114"/>
      <c r="AQ1103" s="114"/>
      <c r="AR1103" s="114"/>
      <c r="AS1103" s="114"/>
      <c r="AT1103" s="114"/>
      <c r="AU1103" s="114"/>
      <c r="AV1103" s="114"/>
      <c r="AW1103" s="114"/>
      <c r="AX1103" s="114"/>
      <c r="AY1103" s="114"/>
      <c r="AZ1103" s="114"/>
    </row>
    <row r="1104" spans="1:52">
      <c r="A1104" s="111"/>
      <c r="B1104" s="111"/>
      <c r="C1104" s="112"/>
      <c r="D1104" s="101"/>
      <c r="E1104" s="101"/>
      <c r="F1104" s="101"/>
      <c r="G1104" s="111"/>
      <c r="H1104" s="101"/>
      <c r="I1104" s="101"/>
      <c r="J1104" s="101"/>
      <c r="K1104" s="101"/>
      <c r="L1104" s="101"/>
      <c r="M1104" s="101"/>
      <c r="N1104" s="101"/>
      <c r="O1104" s="101"/>
      <c r="P1104" s="101"/>
      <c r="Q1104" s="101"/>
      <c r="R1104" s="101"/>
      <c r="S1104" s="101"/>
      <c r="T1104" s="101"/>
      <c r="U1104" s="101"/>
      <c r="V1104" s="101"/>
      <c r="W1104" s="101"/>
      <c r="X1104" s="101"/>
      <c r="Y1104" s="114"/>
      <c r="Z1104" s="114"/>
      <c r="AA1104" s="114"/>
      <c r="AB1104" s="114"/>
      <c r="AC1104" s="114"/>
      <c r="AD1104" s="114"/>
      <c r="AE1104" s="114"/>
      <c r="AF1104" s="114"/>
      <c r="AG1104" s="114"/>
      <c r="AH1104" s="114"/>
      <c r="AI1104" s="114"/>
      <c r="AJ1104" s="114"/>
      <c r="AK1104" s="114"/>
      <c r="AL1104" s="114"/>
      <c r="AM1104" s="114"/>
      <c r="AN1104" s="114"/>
      <c r="AO1104" s="114"/>
      <c r="AP1104" s="114"/>
      <c r="AQ1104" s="114"/>
      <c r="AR1104" s="114"/>
      <c r="AS1104" s="114"/>
      <c r="AT1104" s="114"/>
      <c r="AU1104" s="114"/>
      <c r="AV1104" s="114"/>
      <c r="AW1104" s="114"/>
      <c r="AX1104" s="114"/>
      <c r="AY1104" s="114"/>
      <c r="AZ1104" s="114"/>
    </row>
    <row r="1105" spans="1:52">
      <c r="A1105" s="111"/>
      <c r="B1105" s="111"/>
      <c r="C1105" s="112"/>
      <c r="D1105" s="101"/>
      <c r="E1105" s="101"/>
      <c r="F1105" s="101"/>
      <c r="G1105" s="111"/>
      <c r="H1105" s="101"/>
      <c r="I1105" s="101"/>
      <c r="J1105" s="101"/>
      <c r="K1105" s="101"/>
      <c r="L1105" s="101"/>
      <c r="M1105" s="101"/>
      <c r="N1105" s="101"/>
      <c r="O1105" s="101"/>
      <c r="P1105" s="101"/>
      <c r="Q1105" s="101"/>
      <c r="R1105" s="101"/>
      <c r="S1105" s="101"/>
      <c r="T1105" s="101"/>
      <c r="U1105" s="101"/>
      <c r="V1105" s="101"/>
      <c r="W1105" s="101"/>
      <c r="X1105" s="101"/>
      <c r="Y1105" s="114"/>
      <c r="Z1105" s="114"/>
      <c r="AA1105" s="114"/>
      <c r="AB1105" s="114"/>
      <c r="AC1105" s="114"/>
      <c r="AD1105" s="114"/>
      <c r="AE1105" s="114"/>
      <c r="AF1105" s="114"/>
      <c r="AG1105" s="114"/>
      <c r="AH1105" s="114"/>
      <c r="AI1105" s="114"/>
      <c r="AJ1105" s="114"/>
      <c r="AK1105" s="114"/>
      <c r="AL1105" s="114"/>
      <c r="AM1105" s="114"/>
      <c r="AN1105" s="114"/>
      <c r="AO1105" s="114"/>
      <c r="AP1105" s="114"/>
      <c r="AQ1105" s="114"/>
      <c r="AR1105" s="114"/>
      <c r="AS1105" s="114"/>
      <c r="AT1105" s="114"/>
      <c r="AU1105" s="114"/>
      <c r="AV1105" s="114"/>
      <c r="AW1105" s="114"/>
      <c r="AX1105" s="114"/>
      <c r="AY1105" s="114"/>
      <c r="AZ1105" s="114"/>
    </row>
    <row r="1106" spans="1:52">
      <c r="A1106" s="111"/>
      <c r="B1106" s="111"/>
      <c r="C1106" s="112"/>
      <c r="D1106" s="101"/>
      <c r="E1106" s="101"/>
      <c r="F1106" s="101"/>
      <c r="G1106" s="111"/>
      <c r="H1106" s="101"/>
      <c r="I1106" s="101"/>
      <c r="J1106" s="101"/>
      <c r="K1106" s="101"/>
      <c r="L1106" s="101"/>
      <c r="M1106" s="101"/>
      <c r="N1106" s="101"/>
      <c r="O1106" s="101"/>
      <c r="P1106" s="101"/>
      <c r="Q1106" s="101"/>
      <c r="R1106" s="101"/>
      <c r="S1106" s="101"/>
      <c r="T1106" s="101"/>
      <c r="U1106" s="101"/>
      <c r="V1106" s="101"/>
      <c r="W1106" s="101"/>
      <c r="X1106" s="101"/>
      <c r="Y1106" s="114"/>
      <c r="Z1106" s="114"/>
      <c r="AA1106" s="114"/>
      <c r="AB1106" s="114"/>
      <c r="AC1106" s="114"/>
      <c r="AD1106" s="114"/>
      <c r="AE1106" s="114"/>
      <c r="AF1106" s="114"/>
      <c r="AG1106" s="114"/>
      <c r="AH1106" s="114"/>
      <c r="AI1106" s="114"/>
      <c r="AJ1106" s="114"/>
      <c r="AK1106" s="114"/>
      <c r="AL1106" s="114"/>
      <c r="AM1106" s="114"/>
      <c r="AN1106" s="114"/>
      <c r="AO1106" s="114"/>
      <c r="AP1106" s="114"/>
      <c r="AQ1106" s="114"/>
      <c r="AR1106" s="114"/>
      <c r="AS1106" s="114"/>
      <c r="AT1106" s="114"/>
      <c r="AU1106" s="114"/>
      <c r="AV1106" s="114"/>
      <c r="AW1106" s="114"/>
      <c r="AX1106" s="114"/>
      <c r="AY1106" s="114"/>
      <c r="AZ1106" s="114"/>
    </row>
    <row r="1107" spans="1:52">
      <c r="A1107" s="111"/>
      <c r="B1107" s="111"/>
      <c r="C1107" s="112"/>
      <c r="D1107" s="101"/>
      <c r="E1107" s="101"/>
      <c r="F1107" s="101"/>
      <c r="G1107" s="111"/>
      <c r="H1107" s="101"/>
      <c r="I1107" s="101"/>
      <c r="J1107" s="101"/>
      <c r="K1107" s="101"/>
      <c r="L1107" s="101"/>
      <c r="M1107" s="101"/>
      <c r="N1107" s="101"/>
      <c r="O1107" s="101"/>
      <c r="P1107" s="101"/>
      <c r="Q1107" s="101"/>
      <c r="R1107" s="101"/>
      <c r="S1107" s="101"/>
      <c r="T1107" s="101"/>
      <c r="U1107" s="101"/>
      <c r="V1107" s="101"/>
      <c r="W1107" s="101"/>
      <c r="X1107" s="101"/>
      <c r="Y1107" s="114"/>
      <c r="Z1107" s="114"/>
      <c r="AA1107" s="114"/>
      <c r="AB1107" s="114"/>
      <c r="AC1107" s="114"/>
      <c r="AD1107" s="114"/>
      <c r="AE1107" s="114"/>
      <c r="AF1107" s="114"/>
      <c r="AG1107" s="114"/>
      <c r="AH1107" s="114"/>
      <c r="AI1107" s="114"/>
      <c r="AJ1107" s="114"/>
      <c r="AK1107" s="114"/>
      <c r="AL1107" s="114"/>
      <c r="AM1107" s="114"/>
      <c r="AN1107" s="114"/>
      <c r="AO1107" s="114"/>
      <c r="AP1107" s="114"/>
      <c r="AQ1107" s="114"/>
      <c r="AR1107" s="114"/>
      <c r="AS1107" s="114"/>
      <c r="AT1107" s="114"/>
      <c r="AU1107" s="114"/>
      <c r="AV1107" s="114"/>
      <c r="AW1107" s="114"/>
      <c r="AX1107" s="114"/>
      <c r="AY1107" s="114"/>
      <c r="AZ1107" s="114"/>
    </row>
    <row r="1108" spans="1:52">
      <c r="A1108" s="111"/>
      <c r="B1108" s="111"/>
      <c r="C1108" s="112"/>
      <c r="D1108" s="101"/>
      <c r="E1108" s="101"/>
      <c r="F1108" s="101"/>
      <c r="G1108" s="111"/>
      <c r="H1108" s="101"/>
      <c r="I1108" s="101"/>
      <c r="J1108" s="101"/>
      <c r="K1108" s="101"/>
      <c r="L1108" s="101"/>
      <c r="M1108" s="101"/>
      <c r="N1108" s="101"/>
      <c r="O1108" s="101"/>
      <c r="P1108" s="101"/>
      <c r="Q1108" s="101"/>
      <c r="R1108" s="101"/>
      <c r="S1108" s="101"/>
      <c r="T1108" s="101"/>
      <c r="U1108" s="101"/>
      <c r="V1108" s="101"/>
      <c r="W1108" s="101"/>
      <c r="X1108" s="101"/>
      <c r="Y1108" s="114"/>
      <c r="Z1108" s="114"/>
      <c r="AA1108" s="114"/>
      <c r="AB1108" s="114"/>
      <c r="AC1108" s="114"/>
      <c r="AD1108" s="114"/>
      <c r="AE1108" s="114"/>
      <c r="AF1108" s="114"/>
      <c r="AG1108" s="114"/>
      <c r="AH1108" s="114"/>
      <c r="AI1108" s="114"/>
      <c r="AJ1108" s="114"/>
      <c r="AK1108" s="114"/>
      <c r="AL1108" s="114"/>
      <c r="AM1108" s="114"/>
      <c r="AN1108" s="114"/>
      <c r="AO1108" s="114"/>
      <c r="AP1108" s="114"/>
      <c r="AQ1108" s="114"/>
      <c r="AR1108" s="114"/>
      <c r="AS1108" s="114"/>
      <c r="AT1108" s="114"/>
      <c r="AU1108" s="114"/>
      <c r="AV1108" s="114"/>
      <c r="AW1108" s="114"/>
      <c r="AX1108" s="114"/>
      <c r="AY1108" s="114"/>
      <c r="AZ1108" s="114"/>
    </row>
    <row r="1109" spans="1:52">
      <c r="A1109" s="111"/>
      <c r="B1109" s="111"/>
      <c r="C1109" s="112"/>
      <c r="D1109" s="101"/>
      <c r="E1109" s="101"/>
      <c r="F1109" s="101"/>
      <c r="G1109" s="111"/>
      <c r="H1109" s="101"/>
      <c r="I1109" s="101"/>
      <c r="J1109" s="101"/>
      <c r="K1109" s="101"/>
      <c r="L1109" s="101"/>
      <c r="M1109" s="101"/>
      <c r="N1109" s="101"/>
      <c r="O1109" s="101"/>
      <c r="P1109" s="101"/>
      <c r="Q1109" s="101"/>
      <c r="R1109" s="101"/>
      <c r="S1109" s="101"/>
      <c r="T1109" s="101"/>
      <c r="U1109" s="101"/>
      <c r="V1109" s="101"/>
      <c r="W1109" s="101"/>
      <c r="X1109" s="101"/>
      <c r="Y1109" s="114"/>
      <c r="Z1109" s="114"/>
      <c r="AA1109" s="114"/>
      <c r="AB1109" s="114"/>
      <c r="AC1109" s="114"/>
      <c r="AD1109" s="114"/>
      <c r="AE1109" s="114"/>
      <c r="AF1109" s="114"/>
      <c r="AG1109" s="114"/>
      <c r="AH1109" s="114"/>
      <c r="AI1109" s="114"/>
      <c r="AJ1109" s="114"/>
      <c r="AK1109" s="114"/>
      <c r="AL1109" s="114"/>
      <c r="AM1109" s="114"/>
      <c r="AN1109" s="114"/>
      <c r="AO1109" s="114"/>
      <c r="AP1109" s="114"/>
      <c r="AQ1109" s="114"/>
      <c r="AR1109" s="114"/>
      <c r="AS1109" s="114"/>
      <c r="AT1109" s="114"/>
      <c r="AU1109" s="114"/>
      <c r="AV1109" s="114"/>
      <c r="AW1109" s="114"/>
      <c r="AX1109" s="114"/>
      <c r="AY1109" s="114"/>
      <c r="AZ1109" s="114"/>
    </row>
    <row r="1110" spans="1:52">
      <c r="A1110" s="111"/>
      <c r="B1110" s="111"/>
      <c r="C1110" s="112"/>
      <c r="D1110" s="101"/>
      <c r="E1110" s="101"/>
      <c r="F1110" s="101"/>
      <c r="G1110" s="111"/>
      <c r="H1110" s="101"/>
      <c r="I1110" s="101"/>
      <c r="J1110" s="101"/>
      <c r="K1110" s="101"/>
      <c r="L1110" s="101"/>
      <c r="M1110" s="101"/>
      <c r="N1110" s="101"/>
      <c r="O1110" s="101"/>
      <c r="P1110" s="101"/>
      <c r="Q1110" s="101"/>
      <c r="R1110" s="101"/>
      <c r="S1110" s="101"/>
      <c r="T1110" s="101"/>
      <c r="U1110" s="101"/>
      <c r="V1110" s="101"/>
      <c r="W1110" s="101"/>
      <c r="X1110" s="101"/>
      <c r="Y1110" s="114"/>
      <c r="Z1110" s="114"/>
      <c r="AA1110" s="114"/>
      <c r="AB1110" s="114"/>
      <c r="AC1110" s="114"/>
      <c r="AD1110" s="114"/>
      <c r="AE1110" s="114"/>
      <c r="AF1110" s="114"/>
      <c r="AG1110" s="114"/>
      <c r="AH1110" s="114"/>
      <c r="AI1110" s="114"/>
      <c r="AJ1110" s="114"/>
      <c r="AK1110" s="114"/>
      <c r="AL1110" s="114"/>
      <c r="AM1110" s="114"/>
      <c r="AN1110" s="114"/>
      <c r="AO1110" s="114"/>
      <c r="AP1110" s="114"/>
      <c r="AQ1110" s="114"/>
      <c r="AR1110" s="114"/>
      <c r="AS1110" s="114"/>
      <c r="AT1110" s="114"/>
      <c r="AU1110" s="114"/>
      <c r="AV1110" s="114"/>
      <c r="AW1110" s="114"/>
      <c r="AX1110" s="114"/>
      <c r="AY1110" s="114"/>
      <c r="AZ1110" s="114"/>
    </row>
    <row r="1111" spans="1:52">
      <c r="A1111" s="111"/>
      <c r="B1111" s="111"/>
      <c r="C1111" s="112"/>
      <c r="D1111" s="101"/>
      <c r="E1111" s="101"/>
      <c r="F1111" s="101"/>
      <c r="G1111" s="111"/>
      <c r="H1111" s="101"/>
      <c r="I1111" s="101"/>
      <c r="J1111" s="101"/>
      <c r="K1111" s="101"/>
      <c r="L1111" s="101"/>
      <c r="M1111" s="101"/>
      <c r="N1111" s="101"/>
      <c r="O1111" s="101"/>
      <c r="P1111" s="101"/>
      <c r="Q1111" s="101"/>
      <c r="R1111" s="101"/>
      <c r="S1111" s="101"/>
      <c r="T1111" s="101"/>
      <c r="U1111" s="101"/>
      <c r="V1111" s="101"/>
      <c r="W1111" s="101"/>
      <c r="X1111" s="101"/>
      <c r="Y1111" s="114"/>
      <c r="Z1111" s="114"/>
      <c r="AA1111" s="114"/>
      <c r="AB1111" s="114"/>
      <c r="AC1111" s="114"/>
      <c r="AD1111" s="114"/>
      <c r="AE1111" s="114"/>
      <c r="AF1111" s="114"/>
      <c r="AG1111" s="114"/>
      <c r="AH1111" s="114"/>
      <c r="AI1111" s="114"/>
      <c r="AJ1111" s="114"/>
      <c r="AK1111" s="114"/>
      <c r="AL1111" s="114"/>
      <c r="AM1111" s="114"/>
      <c r="AN1111" s="114"/>
      <c r="AO1111" s="114"/>
      <c r="AP1111" s="114"/>
      <c r="AQ1111" s="114"/>
      <c r="AR1111" s="114"/>
      <c r="AS1111" s="114"/>
      <c r="AT1111" s="114"/>
      <c r="AU1111" s="114"/>
      <c r="AV1111" s="114"/>
      <c r="AW1111" s="114"/>
      <c r="AX1111" s="114"/>
      <c r="AY1111" s="114"/>
      <c r="AZ1111" s="114"/>
    </row>
    <row r="1112" spans="1:52">
      <c r="A1112" s="111"/>
      <c r="B1112" s="111"/>
      <c r="C1112" s="112"/>
      <c r="D1112" s="101"/>
      <c r="E1112" s="101"/>
      <c r="F1112" s="101"/>
      <c r="G1112" s="111"/>
      <c r="H1112" s="101"/>
      <c r="I1112" s="101"/>
      <c r="J1112" s="101"/>
      <c r="K1112" s="101"/>
      <c r="L1112" s="101"/>
      <c r="M1112" s="101"/>
      <c r="N1112" s="101"/>
      <c r="O1112" s="101"/>
      <c r="P1112" s="101"/>
      <c r="Q1112" s="101"/>
      <c r="R1112" s="101"/>
      <c r="S1112" s="101"/>
      <c r="T1112" s="101"/>
      <c r="U1112" s="101"/>
      <c r="V1112" s="101"/>
      <c r="W1112" s="101"/>
      <c r="X1112" s="101"/>
      <c r="Y1112" s="114"/>
      <c r="Z1112" s="114"/>
      <c r="AA1112" s="114"/>
      <c r="AB1112" s="114"/>
      <c r="AC1112" s="114"/>
      <c r="AD1112" s="114"/>
      <c r="AE1112" s="114"/>
      <c r="AF1112" s="114"/>
      <c r="AG1112" s="114"/>
      <c r="AH1112" s="114"/>
      <c r="AI1112" s="114"/>
      <c r="AJ1112" s="114"/>
      <c r="AK1112" s="114"/>
      <c r="AL1112" s="114"/>
      <c r="AM1112" s="114"/>
      <c r="AN1112" s="114"/>
      <c r="AO1112" s="114"/>
      <c r="AP1112" s="114"/>
      <c r="AQ1112" s="114"/>
      <c r="AR1112" s="114"/>
      <c r="AS1112" s="114"/>
      <c r="AT1112" s="114"/>
      <c r="AU1112" s="114"/>
      <c r="AV1112" s="114"/>
      <c r="AW1112" s="114"/>
      <c r="AX1112" s="114"/>
      <c r="AY1112" s="114"/>
      <c r="AZ1112" s="114"/>
    </row>
    <row r="1113" spans="1:52">
      <c r="A1113" s="111"/>
      <c r="B1113" s="111"/>
      <c r="C1113" s="112"/>
      <c r="D1113" s="101"/>
      <c r="E1113" s="101"/>
      <c r="F1113" s="101"/>
      <c r="G1113" s="111"/>
      <c r="H1113" s="101"/>
      <c r="I1113" s="101"/>
      <c r="J1113" s="101"/>
      <c r="K1113" s="101"/>
      <c r="L1113" s="101"/>
      <c r="M1113" s="101"/>
      <c r="N1113" s="101"/>
      <c r="O1113" s="101"/>
      <c r="P1113" s="101"/>
      <c r="Q1113" s="101"/>
      <c r="R1113" s="101"/>
      <c r="S1113" s="101"/>
      <c r="T1113" s="101"/>
      <c r="U1113" s="101"/>
      <c r="V1113" s="101"/>
      <c r="W1113" s="101"/>
      <c r="X1113" s="101"/>
      <c r="Y1113" s="114"/>
      <c r="Z1113" s="114"/>
      <c r="AA1113" s="114"/>
      <c r="AB1113" s="114"/>
      <c r="AC1113" s="114"/>
      <c r="AD1113" s="114"/>
      <c r="AE1113" s="114"/>
      <c r="AF1113" s="114"/>
      <c r="AG1113" s="114"/>
      <c r="AH1113" s="114"/>
      <c r="AI1113" s="114"/>
      <c r="AJ1113" s="114"/>
      <c r="AK1113" s="114"/>
      <c r="AL1113" s="114"/>
      <c r="AM1113" s="114"/>
      <c r="AN1113" s="114"/>
      <c r="AO1113" s="114"/>
      <c r="AP1113" s="114"/>
      <c r="AQ1113" s="114"/>
      <c r="AR1113" s="114"/>
      <c r="AS1113" s="114"/>
      <c r="AT1113" s="114"/>
      <c r="AU1113" s="114"/>
      <c r="AV1113" s="114"/>
      <c r="AW1113" s="114"/>
      <c r="AX1113" s="114"/>
      <c r="AY1113" s="114"/>
      <c r="AZ1113" s="114"/>
    </row>
    <row r="1114" spans="1:52">
      <c r="A1114" s="111"/>
      <c r="B1114" s="111"/>
      <c r="C1114" s="112"/>
      <c r="D1114" s="101"/>
      <c r="E1114" s="101"/>
      <c r="F1114" s="101"/>
      <c r="G1114" s="111"/>
      <c r="H1114" s="101"/>
      <c r="I1114" s="101"/>
      <c r="J1114" s="101"/>
      <c r="K1114" s="101"/>
      <c r="L1114" s="101"/>
      <c r="M1114" s="101"/>
      <c r="N1114" s="101"/>
      <c r="O1114" s="101"/>
      <c r="P1114" s="101"/>
      <c r="Q1114" s="101"/>
      <c r="R1114" s="101"/>
      <c r="S1114" s="101"/>
      <c r="T1114" s="101"/>
      <c r="U1114" s="101"/>
      <c r="V1114" s="101"/>
      <c r="W1114" s="101"/>
      <c r="X1114" s="101"/>
      <c r="Y1114" s="114"/>
      <c r="Z1114" s="114"/>
      <c r="AA1114" s="114"/>
      <c r="AB1114" s="114"/>
      <c r="AC1114" s="114"/>
      <c r="AD1114" s="114"/>
      <c r="AE1114" s="114"/>
      <c r="AF1114" s="114"/>
      <c r="AG1114" s="114"/>
      <c r="AH1114" s="114"/>
      <c r="AI1114" s="114"/>
      <c r="AJ1114" s="114"/>
      <c r="AK1114" s="114"/>
      <c r="AL1114" s="114"/>
      <c r="AM1114" s="114"/>
      <c r="AN1114" s="114"/>
      <c r="AO1114" s="114"/>
      <c r="AP1114" s="114"/>
      <c r="AQ1114" s="114"/>
      <c r="AR1114" s="114"/>
      <c r="AS1114" s="114"/>
      <c r="AT1114" s="114"/>
      <c r="AU1114" s="114"/>
      <c r="AV1114" s="114"/>
      <c r="AW1114" s="114"/>
      <c r="AX1114" s="114"/>
      <c r="AY1114" s="114"/>
      <c r="AZ1114" s="114"/>
    </row>
    <row r="1115" spans="1:52">
      <c r="A1115" s="111"/>
      <c r="B1115" s="111"/>
      <c r="C1115" s="112"/>
      <c r="D1115" s="101"/>
      <c r="E1115" s="101"/>
      <c r="F1115" s="101"/>
      <c r="G1115" s="111"/>
      <c r="H1115" s="101"/>
      <c r="I1115" s="101"/>
      <c r="J1115" s="101"/>
      <c r="K1115" s="101"/>
      <c r="L1115" s="101"/>
      <c r="M1115" s="101"/>
      <c r="N1115" s="101"/>
      <c r="O1115" s="101"/>
      <c r="P1115" s="101"/>
      <c r="Q1115" s="101"/>
      <c r="R1115" s="101"/>
      <c r="S1115" s="101"/>
      <c r="T1115" s="101"/>
      <c r="U1115" s="101"/>
      <c r="V1115" s="101"/>
      <c r="W1115" s="101"/>
      <c r="X1115" s="101"/>
      <c r="Y1115" s="114"/>
      <c r="Z1115" s="114"/>
      <c r="AA1115" s="114"/>
      <c r="AB1115" s="114"/>
      <c r="AC1115" s="114"/>
      <c r="AD1115" s="114"/>
      <c r="AE1115" s="114"/>
      <c r="AF1115" s="114"/>
      <c r="AG1115" s="114"/>
      <c r="AH1115" s="114"/>
      <c r="AI1115" s="114"/>
      <c r="AJ1115" s="114"/>
      <c r="AK1115" s="114"/>
      <c r="AL1115" s="114"/>
      <c r="AM1115" s="114"/>
      <c r="AN1115" s="114"/>
      <c r="AO1115" s="114"/>
      <c r="AP1115" s="114"/>
      <c r="AQ1115" s="114"/>
      <c r="AR1115" s="114"/>
      <c r="AS1115" s="114"/>
      <c r="AT1115" s="114"/>
      <c r="AU1115" s="114"/>
      <c r="AV1115" s="114"/>
      <c r="AW1115" s="114"/>
      <c r="AX1115" s="114"/>
      <c r="AY1115" s="114"/>
      <c r="AZ1115" s="114"/>
    </row>
    <row r="1116" spans="1:52">
      <c r="A1116" s="111"/>
      <c r="B1116" s="111"/>
      <c r="C1116" s="112"/>
      <c r="D1116" s="101"/>
      <c r="E1116" s="101"/>
      <c r="F1116" s="101"/>
      <c r="G1116" s="111"/>
      <c r="H1116" s="101"/>
      <c r="I1116" s="101"/>
      <c r="J1116" s="101"/>
      <c r="K1116" s="101"/>
      <c r="L1116" s="101"/>
      <c r="M1116" s="101"/>
      <c r="N1116" s="101"/>
      <c r="O1116" s="101"/>
      <c r="P1116" s="101"/>
      <c r="Q1116" s="101"/>
      <c r="R1116" s="101"/>
      <c r="S1116" s="101"/>
      <c r="T1116" s="101"/>
      <c r="U1116" s="101"/>
      <c r="V1116" s="101"/>
      <c r="W1116" s="101"/>
      <c r="X1116" s="101"/>
      <c r="Y1116" s="114"/>
      <c r="Z1116" s="114"/>
      <c r="AA1116" s="114"/>
      <c r="AB1116" s="114"/>
      <c r="AC1116" s="114"/>
      <c r="AD1116" s="114"/>
      <c r="AE1116" s="114"/>
      <c r="AF1116" s="114"/>
      <c r="AG1116" s="114"/>
      <c r="AH1116" s="114"/>
      <c r="AI1116" s="114"/>
      <c r="AJ1116" s="114"/>
      <c r="AK1116" s="114"/>
      <c r="AL1116" s="114"/>
      <c r="AM1116" s="114"/>
      <c r="AN1116" s="114"/>
      <c r="AO1116" s="114"/>
      <c r="AP1116" s="114"/>
      <c r="AQ1116" s="114"/>
      <c r="AR1116" s="114"/>
      <c r="AS1116" s="114"/>
      <c r="AT1116" s="114"/>
      <c r="AU1116" s="114"/>
      <c r="AV1116" s="114"/>
      <c r="AW1116" s="114"/>
      <c r="AX1116" s="114"/>
      <c r="AY1116" s="114"/>
      <c r="AZ1116" s="114"/>
    </row>
    <row r="1117" spans="1:52">
      <c r="A1117" s="111"/>
      <c r="B1117" s="111"/>
      <c r="C1117" s="112"/>
      <c r="D1117" s="101"/>
      <c r="E1117" s="101"/>
      <c r="F1117" s="101"/>
      <c r="G1117" s="111"/>
      <c r="H1117" s="101"/>
      <c r="I1117" s="101"/>
      <c r="J1117" s="101"/>
      <c r="K1117" s="101"/>
      <c r="L1117" s="101"/>
      <c r="M1117" s="101"/>
      <c r="N1117" s="101"/>
      <c r="O1117" s="101"/>
      <c r="P1117" s="101"/>
      <c r="Q1117" s="101"/>
      <c r="R1117" s="101"/>
      <c r="S1117" s="101"/>
      <c r="T1117" s="101"/>
      <c r="U1117" s="101"/>
      <c r="V1117" s="101"/>
      <c r="W1117" s="101"/>
      <c r="X1117" s="101"/>
      <c r="Y1117" s="114"/>
      <c r="Z1117" s="114"/>
      <c r="AA1117" s="114"/>
      <c r="AB1117" s="114"/>
      <c r="AC1117" s="114"/>
      <c r="AD1117" s="114"/>
      <c r="AE1117" s="114"/>
      <c r="AF1117" s="114"/>
      <c r="AG1117" s="114"/>
      <c r="AH1117" s="114"/>
      <c r="AI1117" s="114"/>
      <c r="AJ1117" s="114"/>
      <c r="AK1117" s="114"/>
      <c r="AL1117" s="114"/>
      <c r="AM1117" s="114"/>
      <c r="AN1117" s="114"/>
      <c r="AO1117" s="114"/>
      <c r="AP1117" s="114"/>
      <c r="AQ1117" s="114"/>
      <c r="AR1117" s="114"/>
      <c r="AS1117" s="114"/>
      <c r="AT1117" s="114"/>
      <c r="AU1117" s="114"/>
      <c r="AV1117" s="114"/>
      <c r="AW1117" s="114"/>
      <c r="AX1117" s="114"/>
      <c r="AY1117" s="114"/>
      <c r="AZ1117" s="114"/>
    </row>
    <row r="1118" spans="1:52">
      <c r="A1118" s="111"/>
      <c r="B1118" s="111"/>
      <c r="C1118" s="112"/>
      <c r="D1118" s="101"/>
      <c r="E1118" s="101"/>
      <c r="F1118" s="101"/>
      <c r="G1118" s="111"/>
      <c r="H1118" s="101"/>
      <c r="I1118" s="101"/>
      <c r="J1118" s="101"/>
      <c r="K1118" s="101"/>
      <c r="L1118" s="101"/>
      <c r="M1118" s="101"/>
      <c r="N1118" s="101"/>
      <c r="O1118" s="101"/>
      <c r="P1118" s="101"/>
      <c r="Q1118" s="101"/>
      <c r="R1118" s="101"/>
      <c r="S1118" s="101"/>
      <c r="T1118" s="101"/>
      <c r="U1118" s="101"/>
      <c r="V1118" s="101"/>
      <c r="W1118" s="101"/>
      <c r="X1118" s="101"/>
      <c r="Y1118" s="114"/>
      <c r="Z1118" s="114"/>
      <c r="AA1118" s="114"/>
      <c r="AB1118" s="114"/>
      <c r="AC1118" s="114"/>
      <c r="AD1118" s="114"/>
      <c r="AE1118" s="114"/>
      <c r="AF1118" s="114"/>
      <c r="AG1118" s="114"/>
      <c r="AH1118" s="114"/>
      <c r="AI1118" s="114"/>
      <c r="AJ1118" s="114"/>
      <c r="AK1118" s="114"/>
      <c r="AL1118" s="114"/>
      <c r="AM1118" s="114"/>
      <c r="AN1118" s="114"/>
      <c r="AO1118" s="114"/>
      <c r="AP1118" s="114"/>
      <c r="AQ1118" s="114"/>
      <c r="AR1118" s="114"/>
      <c r="AS1118" s="114"/>
      <c r="AT1118" s="114"/>
      <c r="AU1118" s="114"/>
      <c r="AV1118" s="114"/>
      <c r="AW1118" s="114"/>
      <c r="AX1118" s="114"/>
      <c r="AY1118" s="114"/>
      <c r="AZ1118" s="114"/>
    </row>
    <row r="1119" spans="1:52">
      <c r="A1119" s="111"/>
      <c r="B1119" s="111"/>
      <c r="C1119" s="112"/>
      <c r="D1119" s="101"/>
      <c r="E1119" s="101"/>
      <c r="F1119" s="101"/>
      <c r="G1119" s="111"/>
      <c r="H1119" s="101"/>
      <c r="I1119" s="101"/>
      <c r="J1119" s="101"/>
      <c r="K1119" s="101"/>
      <c r="L1119" s="101"/>
      <c r="M1119" s="101"/>
      <c r="N1119" s="101"/>
      <c r="O1119" s="101"/>
      <c r="P1119" s="101"/>
      <c r="Q1119" s="101"/>
      <c r="R1119" s="101"/>
      <c r="S1119" s="101"/>
      <c r="T1119" s="101"/>
      <c r="U1119" s="101"/>
      <c r="V1119" s="101"/>
      <c r="W1119" s="101"/>
      <c r="X1119" s="101"/>
      <c r="Y1119" s="114"/>
      <c r="Z1119" s="114"/>
      <c r="AA1119" s="114"/>
      <c r="AB1119" s="114"/>
      <c r="AC1119" s="114"/>
      <c r="AD1119" s="114"/>
      <c r="AE1119" s="114"/>
      <c r="AF1119" s="114"/>
      <c r="AG1119" s="114"/>
      <c r="AH1119" s="114"/>
      <c r="AI1119" s="114"/>
      <c r="AJ1119" s="114"/>
      <c r="AK1119" s="114"/>
      <c r="AL1119" s="114"/>
      <c r="AM1119" s="114"/>
      <c r="AN1119" s="114"/>
      <c r="AO1119" s="114"/>
      <c r="AP1119" s="114"/>
      <c r="AQ1119" s="114"/>
      <c r="AR1119" s="114"/>
      <c r="AS1119" s="114"/>
      <c r="AT1119" s="114"/>
      <c r="AU1119" s="114"/>
      <c r="AV1119" s="114"/>
      <c r="AW1119" s="114"/>
      <c r="AX1119" s="114"/>
      <c r="AY1119" s="114"/>
      <c r="AZ1119" s="114"/>
    </row>
    <row r="1120" spans="1:52">
      <c r="A1120" s="111"/>
      <c r="B1120" s="111"/>
      <c r="C1120" s="112"/>
      <c r="D1120" s="101"/>
      <c r="E1120" s="101"/>
      <c r="F1120" s="101"/>
      <c r="G1120" s="111"/>
      <c r="H1120" s="101"/>
      <c r="I1120" s="101"/>
      <c r="J1120" s="101"/>
      <c r="K1120" s="101"/>
      <c r="L1120" s="101"/>
      <c r="M1120" s="101"/>
      <c r="N1120" s="101"/>
      <c r="O1120" s="101"/>
      <c r="P1120" s="101"/>
      <c r="Q1120" s="101"/>
      <c r="R1120" s="101"/>
      <c r="S1120" s="101"/>
      <c r="T1120" s="101"/>
      <c r="U1120" s="101"/>
      <c r="V1120" s="101"/>
      <c r="W1120" s="101"/>
      <c r="X1120" s="101"/>
      <c r="Y1120" s="114"/>
      <c r="Z1120" s="114"/>
      <c r="AA1120" s="114"/>
      <c r="AB1120" s="114"/>
      <c r="AC1120" s="114"/>
      <c r="AD1120" s="114"/>
      <c r="AE1120" s="114"/>
      <c r="AF1120" s="114"/>
      <c r="AG1120" s="114"/>
      <c r="AH1120" s="114"/>
      <c r="AI1120" s="114"/>
      <c r="AJ1120" s="114"/>
      <c r="AK1120" s="114"/>
      <c r="AL1120" s="114"/>
      <c r="AM1120" s="114"/>
      <c r="AN1120" s="114"/>
      <c r="AO1120" s="114"/>
      <c r="AP1120" s="114"/>
      <c r="AQ1120" s="114"/>
      <c r="AR1120" s="114"/>
      <c r="AS1120" s="114"/>
      <c r="AT1120" s="114"/>
      <c r="AU1120" s="114"/>
      <c r="AV1120" s="114"/>
      <c r="AW1120" s="114"/>
      <c r="AX1120" s="114"/>
      <c r="AY1120" s="114"/>
      <c r="AZ1120" s="114"/>
    </row>
    <row r="1121" spans="1:52">
      <c r="A1121" s="111"/>
      <c r="B1121" s="111"/>
      <c r="C1121" s="112"/>
      <c r="D1121" s="101"/>
      <c r="E1121" s="101"/>
      <c r="F1121" s="101"/>
      <c r="G1121" s="111"/>
      <c r="H1121" s="101"/>
      <c r="I1121" s="101"/>
      <c r="J1121" s="101"/>
      <c r="K1121" s="101"/>
      <c r="L1121" s="101"/>
      <c r="M1121" s="101"/>
      <c r="N1121" s="101"/>
      <c r="O1121" s="101"/>
      <c r="P1121" s="101"/>
      <c r="Q1121" s="101"/>
      <c r="R1121" s="101"/>
      <c r="S1121" s="101"/>
      <c r="T1121" s="101"/>
      <c r="U1121" s="101"/>
      <c r="V1121" s="101"/>
      <c r="W1121" s="101"/>
      <c r="X1121" s="101"/>
      <c r="Y1121" s="114"/>
      <c r="Z1121" s="114"/>
      <c r="AA1121" s="114"/>
      <c r="AB1121" s="114"/>
      <c r="AC1121" s="114"/>
      <c r="AD1121" s="114"/>
      <c r="AE1121" s="114"/>
      <c r="AF1121" s="114"/>
      <c r="AG1121" s="114"/>
      <c r="AH1121" s="114"/>
      <c r="AI1121" s="114"/>
      <c r="AJ1121" s="114"/>
      <c r="AK1121" s="114"/>
      <c r="AL1121" s="114"/>
      <c r="AM1121" s="114"/>
      <c r="AN1121" s="114"/>
      <c r="AO1121" s="114"/>
      <c r="AP1121" s="114"/>
      <c r="AQ1121" s="114"/>
      <c r="AR1121" s="114"/>
      <c r="AS1121" s="114"/>
      <c r="AT1121" s="114"/>
      <c r="AU1121" s="114"/>
      <c r="AV1121" s="114"/>
      <c r="AW1121" s="114"/>
      <c r="AX1121" s="114"/>
      <c r="AY1121" s="114"/>
      <c r="AZ1121" s="114"/>
    </row>
    <row r="1122" spans="1:52">
      <c r="A1122" s="111"/>
      <c r="B1122" s="111"/>
      <c r="C1122" s="112"/>
      <c r="D1122" s="101"/>
      <c r="E1122" s="101"/>
      <c r="F1122" s="101"/>
      <c r="G1122" s="111"/>
      <c r="H1122" s="101"/>
      <c r="I1122" s="101"/>
      <c r="J1122" s="101"/>
      <c r="K1122" s="101"/>
      <c r="L1122" s="101"/>
      <c r="M1122" s="101"/>
      <c r="N1122" s="101"/>
      <c r="O1122" s="101"/>
      <c r="P1122" s="101"/>
      <c r="Q1122" s="101"/>
      <c r="R1122" s="101"/>
      <c r="S1122" s="101"/>
      <c r="T1122" s="101"/>
      <c r="U1122" s="101"/>
      <c r="V1122" s="101"/>
      <c r="W1122" s="101"/>
      <c r="X1122" s="101"/>
      <c r="Y1122" s="114"/>
      <c r="Z1122" s="114"/>
      <c r="AA1122" s="114"/>
      <c r="AB1122" s="114"/>
      <c r="AC1122" s="114"/>
      <c r="AD1122" s="114"/>
      <c r="AE1122" s="114"/>
      <c r="AF1122" s="114"/>
      <c r="AG1122" s="114"/>
      <c r="AH1122" s="114"/>
      <c r="AI1122" s="114"/>
      <c r="AJ1122" s="114"/>
      <c r="AK1122" s="114"/>
      <c r="AL1122" s="114"/>
      <c r="AM1122" s="114"/>
      <c r="AN1122" s="114"/>
      <c r="AO1122" s="114"/>
      <c r="AP1122" s="114"/>
      <c r="AQ1122" s="114"/>
      <c r="AR1122" s="114"/>
      <c r="AS1122" s="114"/>
      <c r="AT1122" s="114"/>
      <c r="AU1122" s="114"/>
      <c r="AV1122" s="114"/>
      <c r="AW1122" s="114"/>
      <c r="AX1122" s="114"/>
      <c r="AY1122" s="114"/>
      <c r="AZ1122" s="114"/>
    </row>
    <row r="1123" spans="1:52">
      <c r="A1123" s="111"/>
      <c r="B1123" s="111"/>
      <c r="C1123" s="112"/>
      <c r="D1123" s="101"/>
      <c r="E1123" s="101"/>
      <c r="F1123" s="101"/>
      <c r="G1123" s="111"/>
      <c r="H1123" s="101"/>
      <c r="I1123" s="101"/>
      <c r="J1123" s="101"/>
      <c r="K1123" s="101"/>
      <c r="L1123" s="101"/>
      <c r="M1123" s="101"/>
      <c r="N1123" s="101"/>
      <c r="O1123" s="101"/>
      <c r="P1123" s="101"/>
      <c r="Q1123" s="101"/>
      <c r="R1123" s="101"/>
      <c r="S1123" s="101"/>
      <c r="T1123" s="101"/>
      <c r="U1123" s="101"/>
      <c r="V1123" s="101"/>
      <c r="W1123" s="101"/>
      <c r="X1123" s="101"/>
      <c r="Y1123" s="114"/>
      <c r="Z1123" s="114"/>
      <c r="AA1123" s="114"/>
      <c r="AB1123" s="114"/>
      <c r="AC1123" s="114"/>
      <c r="AD1123" s="114"/>
      <c r="AE1123" s="114"/>
      <c r="AF1123" s="114"/>
      <c r="AG1123" s="114"/>
      <c r="AH1123" s="114"/>
      <c r="AI1123" s="114"/>
      <c r="AJ1123" s="114"/>
      <c r="AK1123" s="114"/>
      <c r="AL1123" s="114"/>
      <c r="AM1123" s="114"/>
      <c r="AN1123" s="114"/>
      <c r="AO1123" s="114"/>
      <c r="AP1123" s="114"/>
      <c r="AQ1123" s="114"/>
      <c r="AR1123" s="114"/>
      <c r="AS1123" s="114"/>
      <c r="AT1123" s="114"/>
      <c r="AU1123" s="114"/>
      <c r="AV1123" s="114"/>
      <c r="AW1123" s="114"/>
      <c r="AX1123" s="114"/>
      <c r="AY1123" s="114"/>
      <c r="AZ1123" s="114"/>
    </row>
    <row r="1124" spans="1:52">
      <c r="A1124" s="111"/>
      <c r="B1124" s="111"/>
      <c r="C1124" s="112"/>
      <c r="D1124" s="101"/>
      <c r="E1124" s="101"/>
      <c r="F1124" s="101"/>
      <c r="G1124" s="111"/>
      <c r="H1124" s="101"/>
      <c r="I1124" s="101"/>
      <c r="J1124" s="101"/>
      <c r="K1124" s="101"/>
      <c r="L1124" s="101"/>
      <c r="M1124" s="101"/>
      <c r="N1124" s="101"/>
      <c r="O1124" s="101"/>
      <c r="P1124" s="101"/>
      <c r="Q1124" s="101"/>
      <c r="R1124" s="101"/>
      <c r="S1124" s="101"/>
      <c r="T1124" s="101"/>
      <c r="U1124" s="101"/>
      <c r="V1124" s="101"/>
      <c r="W1124" s="101"/>
      <c r="X1124" s="101"/>
      <c r="Y1124" s="114"/>
      <c r="Z1124" s="114"/>
      <c r="AA1124" s="114"/>
      <c r="AB1124" s="114"/>
      <c r="AC1124" s="114"/>
      <c r="AD1124" s="114"/>
      <c r="AE1124" s="114"/>
      <c r="AF1124" s="114"/>
      <c r="AG1124" s="114"/>
      <c r="AH1124" s="114"/>
      <c r="AI1124" s="114"/>
      <c r="AJ1124" s="114"/>
      <c r="AK1124" s="114"/>
      <c r="AL1124" s="114"/>
      <c r="AM1124" s="114"/>
      <c r="AN1124" s="114"/>
      <c r="AO1124" s="114"/>
      <c r="AP1124" s="114"/>
      <c r="AQ1124" s="114"/>
      <c r="AR1124" s="114"/>
      <c r="AS1124" s="114"/>
      <c r="AT1124" s="114"/>
      <c r="AU1124" s="114"/>
      <c r="AV1124" s="114"/>
      <c r="AW1124" s="114"/>
      <c r="AX1124" s="114"/>
      <c r="AY1124" s="114"/>
      <c r="AZ1124" s="114"/>
    </row>
    <row r="1125" spans="1:52">
      <c r="A1125" s="111"/>
      <c r="B1125" s="111"/>
      <c r="C1125" s="112"/>
      <c r="D1125" s="101"/>
      <c r="E1125" s="101"/>
      <c r="F1125" s="101"/>
      <c r="G1125" s="111"/>
      <c r="H1125" s="101"/>
      <c r="I1125" s="101"/>
      <c r="J1125" s="101"/>
      <c r="K1125" s="101"/>
      <c r="L1125" s="101"/>
      <c r="M1125" s="101"/>
      <c r="N1125" s="101"/>
      <c r="O1125" s="101"/>
      <c r="P1125" s="101"/>
      <c r="Q1125" s="101"/>
      <c r="R1125" s="101"/>
      <c r="S1125" s="101"/>
      <c r="T1125" s="101"/>
      <c r="U1125" s="101"/>
      <c r="V1125" s="101"/>
      <c r="W1125" s="101"/>
      <c r="X1125" s="101"/>
      <c r="Y1125" s="114"/>
      <c r="Z1125" s="114"/>
      <c r="AA1125" s="114"/>
      <c r="AB1125" s="114"/>
      <c r="AC1125" s="114"/>
      <c r="AD1125" s="114"/>
      <c r="AE1125" s="114"/>
      <c r="AF1125" s="114"/>
      <c r="AG1125" s="114"/>
      <c r="AH1125" s="114"/>
      <c r="AI1125" s="114"/>
      <c r="AJ1125" s="114"/>
      <c r="AK1125" s="114"/>
      <c r="AL1125" s="114"/>
      <c r="AM1125" s="114"/>
      <c r="AN1125" s="114"/>
      <c r="AO1125" s="114"/>
      <c r="AP1125" s="114"/>
      <c r="AQ1125" s="114"/>
      <c r="AR1125" s="114"/>
      <c r="AS1125" s="114"/>
      <c r="AT1125" s="114"/>
      <c r="AU1125" s="114"/>
      <c r="AV1125" s="114"/>
      <c r="AW1125" s="114"/>
      <c r="AX1125" s="114"/>
      <c r="AY1125" s="114"/>
      <c r="AZ1125" s="114"/>
    </row>
    <row r="1126" spans="1:52">
      <c r="A1126" s="111"/>
      <c r="B1126" s="111"/>
      <c r="C1126" s="112"/>
      <c r="D1126" s="101"/>
      <c r="E1126" s="101"/>
      <c r="F1126" s="101"/>
      <c r="G1126" s="111"/>
      <c r="H1126" s="101"/>
      <c r="I1126" s="101"/>
      <c r="J1126" s="101"/>
      <c r="K1126" s="101"/>
      <c r="L1126" s="101"/>
      <c r="M1126" s="101"/>
      <c r="N1126" s="101"/>
      <c r="O1126" s="101"/>
      <c r="P1126" s="101"/>
      <c r="Q1126" s="101"/>
      <c r="R1126" s="101"/>
      <c r="S1126" s="101"/>
      <c r="T1126" s="101"/>
      <c r="U1126" s="101"/>
      <c r="V1126" s="101"/>
      <c r="W1126" s="101"/>
      <c r="X1126" s="101"/>
      <c r="Y1126" s="114"/>
      <c r="Z1126" s="114"/>
      <c r="AA1126" s="114"/>
      <c r="AB1126" s="114"/>
      <c r="AC1126" s="114"/>
      <c r="AD1126" s="114"/>
      <c r="AE1126" s="114"/>
      <c r="AF1126" s="114"/>
      <c r="AG1126" s="114"/>
      <c r="AH1126" s="114"/>
      <c r="AI1126" s="114"/>
      <c r="AJ1126" s="114"/>
      <c r="AK1126" s="114"/>
      <c r="AL1126" s="114"/>
      <c r="AM1126" s="114"/>
      <c r="AN1126" s="114"/>
      <c r="AO1126" s="114"/>
      <c r="AP1126" s="114"/>
      <c r="AQ1126" s="114"/>
      <c r="AR1126" s="114"/>
      <c r="AS1126" s="114"/>
      <c r="AT1126" s="114"/>
      <c r="AU1126" s="114"/>
      <c r="AV1126" s="114"/>
      <c r="AW1126" s="114"/>
      <c r="AX1126" s="114"/>
      <c r="AY1126" s="114"/>
      <c r="AZ1126" s="114"/>
    </row>
    <row r="1127" spans="1:52">
      <c r="A1127" s="111"/>
      <c r="B1127" s="111"/>
      <c r="C1127" s="112"/>
      <c r="D1127" s="101"/>
      <c r="E1127" s="101"/>
      <c r="F1127" s="101"/>
      <c r="G1127" s="111"/>
      <c r="H1127" s="101"/>
      <c r="I1127" s="101"/>
      <c r="J1127" s="101"/>
      <c r="K1127" s="101"/>
      <c r="L1127" s="101"/>
      <c r="M1127" s="101"/>
      <c r="N1127" s="101"/>
      <c r="O1127" s="101"/>
      <c r="P1127" s="101"/>
      <c r="Q1127" s="101"/>
      <c r="R1127" s="101"/>
      <c r="S1127" s="101"/>
      <c r="T1127" s="101"/>
      <c r="U1127" s="101"/>
      <c r="V1127" s="101"/>
      <c r="W1127" s="101"/>
      <c r="X1127" s="101"/>
      <c r="Y1127" s="114"/>
      <c r="Z1127" s="114"/>
      <c r="AA1127" s="114"/>
      <c r="AB1127" s="114"/>
      <c r="AC1127" s="114"/>
      <c r="AD1127" s="114"/>
      <c r="AE1127" s="114"/>
      <c r="AF1127" s="114"/>
      <c r="AG1127" s="114"/>
      <c r="AH1127" s="114"/>
      <c r="AI1127" s="114"/>
      <c r="AJ1127" s="114"/>
      <c r="AK1127" s="114"/>
      <c r="AL1127" s="114"/>
      <c r="AM1127" s="114"/>
      <c r="AN1127" s="114"/>
      <c r="AO1127" s="114"/>
      <c r="AP1127" s="114"/>
      <c r="AQ1127" s="114"/>
      <c r="AR1127" s="114"/>
      <c r="AS1127" s="114"/>
      <c r="AT1127" s="114"/>
      <c r="AU1127" s="114"/>
      <c r="AV1127" s="114"/>
      <c r="AW1127" s="114"/>
      <c r="AX1127" s="114"/>
      <c r="AY1127" s="114"/>
      <c r="AZ1127" s="114"/>
    </row>
    <row r="1128" spans="1:52">
      <c r="A1128" s="111"/>
      <c r="B1128" s="111"/>
      <c r="C1128" s="112"/>
      <c r="D1128" s="101"/>
      <c r="E1128" s="101"/>
      <c r="F1128" s="101"/>
      <c r="G1128" s="111"/>
      <c r="H1128" s="101"/>
      <c r="I1128" s="101"/>
      <c r="J1128" s="101"/>
      <c r="K1128" s="101"/>
      <c r="L1128" s="101"/>
      <c r="M1128" s="101"/>
      <c r="N1128" s="101"/>
      <c r="O1128" s="101"/>
      <c r="P1128" s="101"/>
      <c r="Q1128" s="101"/>
      <c r="R1128" s="101"/>
      <c r="S1128" s="101"/>
      <c r="T1128" s="101"/>
      <c r="U1128" s="101"/>
      <c r="V1128" s="101"/>
      <c r="W1128" s="101"/>
      <c r="X1128" s="101"/>
      <c r="Y1128" s="114"/>
      <c r="Z1128" s="114"/>
      <c r="AA1128" s="114"/>
      <c r="AB1128" s="114"/>
      <c r="AC1128" s="114"/>
      <c r="AD1128" s="114"/>
      <c r="AE1128" s="114"/>
      <c r="AF1128" s="114"/>
      <c r="AG1128" s="114"/>
      <c r="AH1128" s="114"/>
      <c r="AI1128" s="114"/>
      <c r="AJ1128" s="114"/>
      <c r="AK1128" s="114"/>
      <c r="AL1128" s="114"/>
      <c r="AM1128" s="114"/>
      <c r="AN1128" s="114"/>
      <c r="AO1128" s="114"/>
      <c r="AP1128" s="114"/>
      <c r="AQ1128" s="114"/>
      <c r="AR1128" s="114"/>
      <c r="AS1128" s="114"/>
      <c r="AT1128" s="114"/>
      <c r="AU1128" s="114"/>
      <c r="AV1128" s="114"/>
      <c r="AW1128" s="114"/>
      <c r="AX1128" s="114"/>
      <c r="AY1128" s="114"/>
      <c r="AZ1128" s="114"/>
    </row>
    <row r="1129" spans="1:52">
      <c r="A1129" s="111"/>
      <c r="B1129" s="111"/>
      <c r="C1129" s="112"/>
      <c r="D1129" s="101"/>
      <c r="E1129" s="101"/>
      <c r="F1129" s="101"/>
      <c r="G1129" s="111"/>
      <c r="H1129" s="101"/>
      <c r="I1129" s="101"/>
      <c r="J1129" s="101"/>
      <c r="K1129" s="101"/>
      <c r="L1129" s="101"/>
      <c r="M1129" s="101"/>
      <c r="N1129" s="101"/>
      <c r="O1129" s="101"/>
      <c r="P1129" s="101"/>
      <c r="Q1129" s="101"/>
      <c r="R1129" s="101"/>
      <c r="S1129" s="101"/>
      <c r="T1129" s="101"/>
      <c r="U1129" s="101"/>
      <c r="V1129" s="101"/>
      <c r="W1129" s="101"/>
      <c r="X1129" s="101"/>
      <c r="Y1129" s="114"/>
      <c r="Z1129" s="114"/>
      <c r="AA1129" s="114"/>
      <c r="AB1129" s="114"/>
      <c r="AC1129" s="114"/>
      <c r="AD1129" s="114"/>
      <c r="AE1129" s="114"/>
      <c r="AF1129" s="114"/>
      <c r="AG1129" s="114"/>
      <c r="AH1129" s="114"/>
      <c r="AI1129" s="114"/>
      <c r="AJ1129" s="114"/>
      <c r="AK1129" s="114"/>
      <c r="AL1129" s="114"/>
      <c r="AM1129" s="114"/>
      <c r="AN1129" s="114"/>
      <c r="AO1129" s="114"/>
      <c r="AP1129" s="114"/>
      <c r="AQ1129" s="114"/>
      <c r="AR1129" s="114"/>
      <c r="AS1129" s="114"/>
      <c r="AT1129" s="114"/>
      <c r="AU1129" s="114"/>
      <c r="AV1129" s="114"/>
      <c r="AW1129" s="114"/>
      <c r="AX1129" s="114"/>
      <c r="AY1129" s="114"/>
      <c r="AZ1129" s="114"/>
    </row>
    <row r="1130" spans="1:52">
      <c r="A1130" s="111"/>
      <c r="B1130" s="111"/>
      <c r="C1130" s="112"/>
      <c r="D1130" s="101"/>
      <c r="E1130" s="101"/>
      <c r="F1130" s="101"/>
      <c r="G1130" s="111"/>
      <c r="H1130" s="101"/>
      <c r="I1130" s="101"/>
      <c r="J1130" s="101"/>
      <c r="K1130" s="101"/>
      <c r="L1130" s="101"/>
      <c r="M1130" s="101"/>
      <c r="N1130" s="101"/>
      <c r="O1130" s="101"/>
      <c r="P1130" s="101"/>
      <c r="Q1130" s="101"/>
      <c r="R1130" s="101"/>
      <c r="S1130" s="101"/>
      <c r="T1130" s="101"/>
      <c r="U1130" s="101"/>
      <c r="V1130" s="101"/>
      <c r="W1130" s="101"/>
      <c r="X1130" s="101"/>
      <c r="Y1130" s="114"/>
      <c r="Z1130" s="114"/>
      <c r="AA1130" s="114"/>
      <c r="AB1130" s="114"/>
      <c r="AC1130" s="114"/>
      <c r="AD1130" s="114"/>
      <c r="AE1130" s="114"/>
      <c r="AF1130" s="114"/>
      <c r="AG1130" s="114"/>
      <c r="AH1130" s="114"/>
      <c r="AI1130" s="114"/>
      <c r="AJ1130" s="114"/>
      <c r="AK1130" s="114"/>
      <c r="AL1130" s="114"/>
      <c r="AM1130" s="114"/>
      <c r="AN1130" s="114"/>
      <c r="AO1130" s="114"/>
      <c r="AP1130" s="114"/>
      <c r="AQ1130" s="114"/>
      <c r="AR1130" s="114"/>
      <c r="AS1130" s="114"/>
      <c r="AT1130" s="114"/>
      <c r="AU1130" s="114"/>
      <c r="AV1130" s="114"/>
      <c r="AW1130" s="114"/>
      <c r="AX1130" s="114"/>
      <c r="AY1130" s="114"/>
      <c r="AZ1130" s="114"/>
    </row>
    <row r="1131" spans="1:52">
      <c r="A1131" s="111"/>
      <c r="B1131" s="111"/>
      <c r="C1131" s="112"/>
      <c r="D1131" s="101"/>
      <c r="E1131" s="101"/>
      <c r="F1131" s="101"/>
      <c r="G1131" s="111"/>
      <c r="H1131" s="101"/>
      <c r="I1131" s="101"/>
      <c r="J1131" s="101"/>
      <c r="K1131" s="101"/>
      <c r="L1131" s="101"/>
      <c r="M1131" s="101"/>
      <c r="N1131" s="101"/>
      <c r="O1131" s="101"/>
      <c r="P1131" s="101"/>
      <c r="Q1131" s="101"/>
      <c r="R1131" s="101"/>
      <c r="S1131" s="101"/>
      <c r="T1131" s="101"/>
      <c r="U1131" s="101"/>
      <c r="V1131" s="101"/>
      <c r="W1131" s="101"/>
      <c r="X1131" s="101"/>
      <c r="Y1131" s="114"/>
      <c r="Z1131" s="114"/>
      <c r="AA1131" s="114"/>
      <c r="AB1131" s="114"/>
      <c r="AC1131" s="114"/>
      <c r="AD1131" s="114"/>
      <c r="AE1131" s="114"/>
      <c r="AF1131" s="114"/>
      <c r="AG1131" s="114"/>
      <c r="AH1131" s="114"/>
      <c r="AI1131" s="114"/>
      <c r="AJ1131" s="114"/>
      <c r="AK1131" s="114"/>
      <c r="AL1131" s="114"/>
      <c r="AM1131" s="114"/>
      <c r="AN1131" s="114"/>
      <c r="AO1131" s="114"/>
      <c r="AP1131" s="114"/>
      <c r="AQ1131" s="114"/>
      <c r="AR1131" s="114"/>
      <c r="AS1131" s="114"/>
      <c r="AT1131" s="114"/>
      <c r="AU1131" s="114"/>
      <c r="AV1131" s="114"/>
      <c r="AW1131" s="114"/>
      <c r="AX1131" s="114"/>
      <c r="AY1131" s="114"/>
      <c r="AZ1131" s="114"/>
    </row>
    <row r="1132" spans="1:52">
      <c r="A1132" s="111"/>
      <c r="B1132" s="111"/>
      <c r="C1132" s="112"/>
      <c r="D1132" s="101"/>
      <c r="E1132" s="101"/>
      <c r="F1132" s="101"/>
      <c r="G1132" s="111"/>
      <c r="H1132" s="101"/>
      <c r="I1132" s="101"/>
      <c r="J1132" s="101"/>
      <c r="K1132" s="101"/>
      <c r="L1132" s="101"/>
      <c r="M1132" s="101"/>
      <c r="N1132" s="101"/>
      <c r="O1132" s="101"/>
      <c r="P1132" s="101"/>
      <c r="Q1132" s="101"/>
      <c r="R1132" s="101"/>
      <c r="S1132" s="101"/>
      <c r="T1132" s="101"/>
      <c r="U1132" s="101"/>
      <c r="V1132" s="101"/>
      <c r="W1132" s="101"/>
      <c r="X1132" s="101"/>
      <c r="Y1132" s="114"/>
      <c r="Z1132" s="114"/>
      <c r="AA1132" s="114"/>
      <c r="AB1132" s="114"/>
      <c r="AC1132" s="114"/>
      <c r="AD1132" s="114"/>
      <c r="AE1132" s="114"/>
      <c r="AF1132" s="114"/>
      <c r="AG1132" s="114"/>
      <c r="AH1132" s="114"/>
      <c r="AI1132" s="114"/>
      <c r="AJ1132" s="114"/>
      <c r="AK1132" s="114"/>
      <c r="AL1132" s="114"/>
      <c r="AM1132" s="114"/>
      <c r="AN1132" s="114"/>
      <c r="AO1132" s="114"/>
      <c r="AP1132" s="114"/>
      <c r="AQ1132" s="114"/>
      <c r="AR1132" s="114"/>
      <c r="AS1132" s="114"/>
      <c r="AT1132" s="114"/>
      <c r="AU1132" s="114"/>
      <c r="AV1132" s="114"/>
      <c r="AW1132" s="114"/>
      <c r="AX1132" s="114"/>
      <c r="AY1132" s="114"/>
      <c r="AZ1132" s="114"/>
    </row>
    <row r="1133" spans="1:52">
      <c r="A1133" s="111"/>
      <c r="B1133" s="111"/>
      <c r="C1133" s="112"/>
      <c r="D1133" s="101"/>
      <c r="E1133" s="101"/>
      <c r="F1133" s="101"/>
      <c r="G1133" s="111"/>
      <c r="H1133" s="101"/>
      <c r="I1133" s="101"/>
      <c r="J1133" s="101"/>
      <c r="K1133" s="101"/>
      <c r="L1133" s="101"/>
      <c r="M1133" s="101"/>
      <c r="N1133" s="101"/>
      <c r="O1133" s="101"/>
      <c r="P1133" s="101"/>
      <c r="Q1133" s="101"/>
      <c r="R1133" s="101"/>
      <c r="S1133" s="101"/>
      <c r="T1133" s="101"/>
      <c r="U1133" s="101"/>
      <c r="V1133" s="101"/>
      <c r="W1133" s="101"/>
      <c r="X1133" s="101"/>
      <c r="Y1133" s="114"/>
      <c r="Z1133" s="114"/>
      <c r="AA1133" s="114"/>
      <c r="AB1133" s="114"/>
      <c r="AC1133" s="114"/>
      <c r="AD1133" s="114"/>
      <c r="AE1133" s="114"/>
      <c r="AF1133" s="114"/>
      <c r="AG1133" s="114"/>
      <c r="AH1133" s="114"/>
      <c r="AI1133" s="114"/>
      <c r="AJ1133" s="114"/>
      <c r="AK1133" s="114"/>
      <c r="AL1133" s="114"/>
      <c r="AM1133" s="114"/>
      <c r="AN1133" s="114"/>
      <c r="AO1133" s="114"/>
      <c r="AP1133" s="114"/>
      <c r="AQ1133" s="114"/>
      <c r="AR1133" s="114"/>
      <c r="AS1133" s="114"/>
      <c r="AT1133" s="114"/>
      <c r="AU1133" s="114"/>
      <c r="AV1133" s="114"/>
      <c r="AW1133" s="114"/>
      <c r="AX1133" s="114"/>
      <c r="AY1133" s="114"/>
      <c r="AZ1133" s="114"/>
    </row>
    <row r="1134" spans="1:52">
      <c r="A1134" s="111"/>
      <c r="B1134" s="111"/>
      <c r="C1134" s="112"/>
      <c r="D1134" s="101"/>
      <c r="E1134" s="101"/>
      <c r="F1134" s="101"/>
      <c r="G1134" s="111"/>
      <c r="H1134" s="101"/>
      <c r="I1134" s="101"/>
      <c r="J1134" s="101"/>
      <c r="K1134" s="101"/>
      <c r="L1134" s="101"/>
      <c r="M1134" s="101"/>
      <c r="N1134" s="101"/>
      <c r="O1134" s="101"/>
      <c r="P1134" s="101"/>
      <c r="Q1134" s="101"/>
      <c r="R1134" s="101"/>
      <c r="S1134" s="101"/>
      <c r="T1134" s="101"/>
      <c r="U1134" s="101"/>
      <c r="V1134" s="101"/>
      <c r="W1134" s="101"/>
      <c r="X1134" s="101"/>
      <c r="Y1134" s="114"/>
      <c r="Z1134" s="114"/>
      <c r="AA1134" s="114"/>
      <c r="AB1134" s="114"/>
      <c r="AC1134" s="114"/>
      <c r="AD1134" s="114"/>
      <c r="AE1134" s="114"/>
      <c r="AF1134" s="114"/>
      <c r="AG1134" s="114"/>
      <c r="AH1134" s="114"/>
      <c r="AI1134" s="114"/>
      <c r="AJ1134" s="114"/>
      <c r="AK1134" s="114"/>
      <c r="AL1134" s="114"/>
      <c r="AM1134" s="114"/>
      <c r="AN1134" s="114"/>
      <c r="AO1134" s="114"/>
      <c r="AP1134" s="114"/>
      <c r="AQ1134" s="114"/>
      <c r="AR1134" s="114"/>
      <c r="AS1134" s="114"/>
      <c r="AT1134" s="114"/>
      <c r="AU1134" s="114"/>
      <c r="AV1134" s="114"/>
      <c r="AW1134" s="114"/>
      <c r="AX1134" s="114"/>
      <c r="AY1134" s="114"/>
      <c r="AZ1134" s="114"/>
    </row>
    <row r="1135" spans="1:52">
      <c r="A1135" s="111"/>
      <c r="B1135" s="111"/>
      <c r="C1135" s="112"/>
      <c r="D1135" s="101"/>
      <c r="E1135" s="101"/>
      <c r="F1135" s="101"/>
      <c r="G1135" s="111"/>
      <c r="H1135" s="101"/>
      <c r="I1135" s="101"/>
      <c r="J1135" s="101"/>
      <c r="K1135" s="101"/>
      <c r="L1135" s="101"/>
      <c r="M1135" s="101"/>
      <c r="N1135" s="101"/>
      <c r="O1135" s="101"/>
      <c r="P1135" s="101"/>
      <c r="Q1135" s="101"/>
      <c r="R1135" s="101"/>
      <c r="S1135" s="101"/>
      <c r="T1135" s="101"/>
      <c r="U1135" s="101"/>
      <c r="V1135" s="101"/>
      <c r="W1135" s="101"/>
      <c r="X1135" s="101"/>
      <c r="Y1135" s="114"/>
      <c r="Z1135" s="114"/>
      <c r="AA1135" s="114"/>
      <c r="AB1135" s="114"/>
      <c r="AC1135" s="114"/>
      <c r="AD1135" s="114"/>
      <c r="AE1135" s="114"/>
      <c r="AF1135" s="114"/>
      <c r="AG1135" s="114"/>
      <c r="AH1135" s="114"/>
      <c r="AI1135" s="114"/>
      <c r="AJ1135" s="114"/>
      <c r="AK1135" s="114"/>
      <c r="AL1135" s="114"/>
      <c r="AM1135" s="114"/>
      <c r="AN1135" s="114"/>
      <c r="AO1135" s="114"/>
      <c r="AP1135" s="114"/>
      <c r="AQ1135" s="114"/>
      <c r="AR1135" s="114"/>
      <c r="AS1135" s="114"/>
      <c r="AT1135" s="114"/>
      <c r="AU1135" s="114"/>
      <c r="AV1135" s="114"/>
      <c r="AW1135" s="114"/>
      <c r="AX1135" s="114"/>
      <c r="AY1135" s="114"/>
      <c r="AZ1135" s="114"/>
    </row>
    <row r="1136" spans="1:52">
      <c r="A1136" s="111"/>
      <c r="B1136" s="111"/>
      <c r="C1136" s="112"/>
      <c r="D1136" s="101"/>
      <c r="E1136" s="101"/>
      <c r="F1136" s="101"/>
      <c r="G1136" s="111"/>
      <c r="H1136" s="101"/>
      <c r="I1136" s="101"/>
      <c r="J1136" s="101"/>
      <c r="K1136" s="101"/>
      <c r="L1136" s="101"/>
      <c r="M1136" s="101"/>
      <c r="N1136" s="101"/>
      <c r="O1136" s="101"/>
      <c r="P1136" s="101"/>
      <c r="Q1136" s="101"/>
      <c r="R1136" s="101"/>
      <c r="S1136" s="101"/>
      <c r="T1136" s="101"/>
      <c r="U1136" s="101"/>
      <c r="V1136" s="101"/>
      <c r="W1136" s="101"/>
      <c r="X1136" s="101"/>
      <c r="Y1136" s="114"/>
      <c r="Z1136" s="114"/>
      <c r="AA1136" s="114"/>
      <c r="AB1136" s="114"/>
      <c r="AC1136" s="114"/>
      <c r="AD1136" s="114"/>
      <c r="AE1136" s="114"/>
      <c r="AF1136" s="114"/>
      <c r="AG1136" s="114"/>
      <c r="AH1136" s="114"/>
      <c r="AI1136" s="114"/>
      <c r="AJ1136" s="114"/>
      <c r="AK1136" s="114"/>
      <c r="AL1136" s="114"/>
      <c r="AM1136" s="114"/>
      <c r="AN1136" s="114"/>
      <c r="AO1136" s="114"/>
      <c r="AP1136" s="114"/>
      <c r="AQ1136" s="114"/>
      <c r="AR1136" s="114"/>
      <c r="AS1136" s="114"/>
      <c r="AT1136" s="114"/>
      <c r="AU1136" s="114"/>
      <c r="AV1136" s="114"/>
      <c r="AW1136" s="114"/>
      <c r="AX1136" s="114"/>
      <c r="AY1136" s="114"/>
      <c r="AZ1136" s="114"/>
    </row>
    <row r="1137" spans="1:52">
      <c r="A1137" s="111"/>
      <c r="B1137" s="111"/>
      <c r="C1137" s="112"/>
      <c r="D1137" s="101"/>
      <c r="E1137" s="101"/>
      <c r="F1137" s="101"/>
      <c r="G1137" s="111"/>
      <c r="H1137" s="101"/>
      <c r="I1137" s="101"/>
      <c r="J1137" s="101"/>
      <c r="K1137" s="101"/>
      <c r="L1137" s="101"/>
      <c r="M1137" s="101"/>
      <c r="N1137" s="101"/>
      <c r="O1137" s="101"/>
      <c r="P1137" s="101"/>
      <c r="Q1137" s="101"/>
      <c r="R1137" s="101"/>
      <c r="S1137" s="101"/>
      <c r="T1137" s="101"/>
      <c r="U1137" s="101"/>
      <c r="V1137" s="101"/>
      <c r="W1137" s="101"/>
      <c r="X1137" s="101"/>
      <c r="Y1137" s="114"/>
      <c r="Z1137" s="114"/>
      <c r="AA1137" s="114"/>
      <c r="AB1137" s="114"/>
      <c r="AC1137" s="114"/>
      <c r="AD1137" s="114"/>
      <c r="AE1137" s="114"/>
      <c r="AF1137" s="114"/>
      <c r="AG1137" s="114"/>
      <c r="AH1137" s="114"/>
      <c r="AI1137" s="114"/>
      <c r="AJ1137" s="114"/>
      <c r="AK1137" s="114"/>
      <c r="AL1137" s="114"/>
      <c r="AM1137" s="114"/>
      <c r="AN1137" s="114"/>
      <c r="AO1137" s="114"/>
      <c r="AP1137" s="114"/>
      <c r="AQ1137" s="114"/>
      <c r="AR1137" s="114"/>
      <c r="AS1137" s="114"/>
      <c r="AT1137" s="114"/>
      <c r="AU1137" s="114"/>
      <c r="AV1137" s="114"/>
      <c r="AW1137" s="114"/>
      <c r="AX1137" s="114"/>
      <c r="AY1137" s="114"/>
      <c r="AZ1137" s="114"/>
    </row>
    <row r="1138" spans="1:52">
      <c r="A1138" s="111"/>
      <c r="B1138" s="111"/>
      <c r="C1138" s="112"/>
      <c r="D1138" s="101"/>
      <c r="E1138" s="101"/>
      <c r="F1138" s="101"/>
      <c r="G1138" s="111"/>
      <c r="H1138" s="101"/>
      <c r="I1138" s="101"/>
      <c r="J1138" s="101"/>
      <c r="K1138" s="101"/>
      <c r="L1138" s="101"/>
      <c r="M1138" s="101"/>
      <c r="N1138" s="101"/>
      <c r="O1138" s="101"/>
      <c r="P1138" s="101"/>
      <c r="Q1138" s="101"/>
      <c r="R1138" s="101"/>
      <c r="S1138" s="101"/>
      <c r="T1138" s="101"/>
      <c r="U1138" s="101"/>
      <c r="V1138" s="101"/>
      <c r="W1138" s="101"/>
      <c r="X1138" s="101"/>
      <c r="Y1138" s="114"/>
      <c r="Z1138" s="114"/>
      <c r="AA1138" s="114"/>
      <c r="AB1138" s="114"/>
      <c r="AC1138" s="114"/>
      <c r="AD1138" s="114"/>
      <c r="AE1138" s="114"/>
      <c r="AF1138" s="114"/>
      <c r="AG1138" s="114"/>
      <c r="AH1138" s="114"/>
      <c r="AI1138" s="114"/>
      <c r="AJ1138" s="114"/>
      <c r="AK1138" s="114"/>
      <c r="AL1138" s="114"/>
      <c r="AM1138" s="114"/>
      <c r="AN1138" s="114"/>
      <c r="AO1138" s="114"/>
      <c r="AP1138" s="114"/>
      <c r="AQ1138" s="114"/>
      <c r="AR1138" s="114"/>
      <c r="AS1138" s="114"/>
      <c r="AT1138" s="114"/>
      <c r="AU1138" s="114"/>
      <c r="AV1138" s="114"/>
      <c r="AW1138" s="114"/>
      <c r="AX1138" s="114"/>
      <c r="AY1138" s="114"/>
      <c r="AZ1138" s="114"/>
    </row>
    <row r="1139" spans="1:52">
      <c r="A1139" s="111"/>
      <c r="B1139" s="111"/>
      <c r="C1139" s="112"/>
      <c r="D1139" s="101"/>
      <c r="E1139" s="101"/>
      <c r="F1139" s="101"/>
      <c r="G1139" s="111"/>
      <c r="H1139" s="101"/>
      <c r="I1139" s="101"/>
      <c r="J1139" s="101"/>
      <c r="K1139" s="101"/>
      <c r="L1139" s="101"/>
      <c r="M1139" s="101"/>
      <c r="N1139" s="101"/>
      <c r="O1139" s="101"/>
      <c r="P1139" s="101"/>
      <c r="Q1139" s="101"/>
      <c r="R1139" s="101"/>
      <c r="S1139" s="101"/>
      <c r="T1139" s="101"/>
      <c r="U1139" s="101"/>
      <c r="V1139" s="101"/>
      <c r="W1139" s="101"/>
      <c r="X1139" s="101"/>
      <c r="Y1139" s="114"/>
      <c r="Z1139" s="114"/>
      <c r="AA1139" s="114"/>
      <c r="AB1139" s="114"/>
      <c r="AC1139" s="114"/>
      <c r="AD1139" s="114"/>
      <c r="AE1139" s="114"/>
      <c r="AF1139" s="114"/>
      <c r="AG1139" s="114"/>
      <c r="AH1139" s="114"/>
      <c r="AI1139" s="114"/>
      <c r="AJ1139" s="114"/>
      <c r="AK1139" s="114"/>
      <c r="AL1139" s="114"/>
      <c r="AM1139" s="114"/>
      <c r="AN1139" s="114"/>
      <c r="AO1139" s="114"/>
      <c r="AP1139" s="114"/>
      <c r="AQ1139" s="114"/>
      <c r="AR1139" s="114"/>
      <c r="AS1139" s="114"/>
      <c r="AT1139" s="114"/>
      <c r="AU1139" s="114"/>
      <c r="AV1139" s="114"/>
      <c r="AW1139" s="114"/>
      <c r="AX1139" s="114"/>
      <c r="AY1139" s="114"/>
      <c r="AZ1139" s="114"/>
    </row>
    <row r="1140" spans="1:52">
      <c r="A1140" s="111"/>
      <c r="B1140" s="111"/>
      <c r="C1140" s="112"/>
      <c r="D1140" s="101"/>
      <c r="E1140" s="101"/>
      <c r="F1140" s="101"/>
      <c r="G1140" s="111"/>
      <c r="H1140" s="101"/>
      <c r="I1140" s="101"/>
      <c r="J1140" s="101"/>
      <c r="K1140" s="101"/>
      <c r="L1140" s="101"/>
      <c r="M1140" s="101"/>
      <c r="N1140" s="101"/>
      <c r="O1140" s="101"/>
      <c r="P1140" s="101"/>
      <c r="Q1140" s="101"/>
      <c r="R1140" s="101"/>
      <c r="S1140" s="101"/>
      <c r="T1140" s="101"/>
      <c r="U1140" s="101"/>
      <c r="V1140" s="101"/>
      <c r="W1140" s="101"/>
      <c r="X1140" s="101"/>
      <c r="Y1140" s="114"/>
      <c r="Z1140" s="114"/>
      <c r="AA1140" s="114"/>
      <c r="AB1140" s="114"/>
      <c r="AC1140" s="114"/>
      <c r="AD1140" s="114"/>
      <c r="AE1140" s="114"/>
      <c r="AF1140" s="114"/>
      <c r="AG1140" s="114"/>
      <c r="AH1140" s="114"/>
      <c r="AI1140" s="114"/>
      <c r="AJ1140" s="114"/>
      <c r="AK1140" s="114"/>
      <c r="AL1140" s="114"/>
      <c r="AM1140" s="114"/>
      <c r="AN1140" s="114"/>
      <c r="AO1140" s="114"/>
      <c r="AP1140" s="114"/>
      <c r="AQ1140" s="114"/>
      <c r="AR1140" s="114"/>
      <c r="AS1140" s="114"/>
      <c r="AT1140" s="114"/>
      <c r="AU1140" s="114"/>
      <c r="AV1140" s="114"/>
      <c r="AW1140" s="114"/>
      <c r="AX1140" s="114"/>
      <c r="AY1140" s="114"/>
      <c r="AZ1140" s="114"/>
    </row>
    <row r="1141" spans="1:52">
      <c r="A1141" s="111"/>
      <c r="B1141" s="111"/>
      <c r="C1141" s="112"/>
      <c r="D1141" s="101"/>
      <c r="E1141" s="101"/>
      <c r="F1141" s="101"/>
      <c r="G1141" s="111"/>
      <c r="H1141" s="101"/>
      <c r="I1141" s="101"/>
      <c r="J1141" s="101"/>
      <c r="K1141" s="101"/>
      <c r="L1141" s="101"/>
      <c r="M1141" s="101"/>
      <c r="N1141" s="101"/>
      <c r="O1141" s="101"/>
      <c r="P1141" s="101"/>
      <c r="Q1141" s="101"/>
      <c r="R1141" s="101"/>
      <c r="S1141" s="101"/>
      <c r="T1141" s="101"/>
      <c r="U1141" s="101"/>
      <c r="V1141" s="101"/>
      <c r="W1141" s="101"/>
      <c r="X1141" s="101"/>
      <c r="Y1141" s="114"/>
      <c r="Z1141" s="114"/>
      <c r="AA1141" s="114"/>
      <c r="AB1141" s="114"/>
      <c r="AC1141" s="114"/>
      <c r="AD1141" s="114"/>
      <c r="AE1141" s="114"/>
      <c r="AF1141" s="114"/>
      <c r="AG1141" s="114"/>
      <c r="AH1141" s="114"/>
      <c r="AI1141" s="114"/>
      <c r="AJ1141" s="114"/>
      <c r="AK1141" s="114"/>
      <c r="AL1141" s="114"/>
      <c r="AM1141" s="114"/>
      <c r="AN1141" s="114"/>
      <c r="AO1141" s="114"/>
      <c r="AP1141" s="114"/>
      <c r="AQ1141" s="114"/>
      <c r="AR1141" s="114"/>
      <c r="AS1141" s="114"/>
      <c r="AT1141" s="114"/>
      <c r="AU1141" s="114"/>
      <c r="AV1141" s="114"/>
      <c r="AW1141" s="114"/>
      <c r="AX1141" s="114"/>
      <c r="AY1141" s="114"/>
      <c r="AZ1141" s="114"/>
    </row>
    <row r="1142" spans="1:52">
      <c r="A1142" s="111"/>
      <c r="B1142" s="111"/>
      <c r="C1142" s="112"/>
      <c r="D1142" s="101"/>
      <c r="E1142" s="101"/>
      <c r="F1142" s="101"/>
      <c r="G1142" s="111"/>
      <c r="H1142" s="101"/>
      <c r="I1142" s="101"/>
      <c r="J1142" s="101"/>
      <c r="K1142" s="101"/>
      <c r="L1142" s="101"/>
      <c r="M1142" s="101"/>
      <c r="N1142" s="101"/>
      <c r="O1142" s="101"/>
      <c r="P1142" s="101"/>
      <c r="Q1142" s="101"/>
      <c r="R1142" s="101"/>
      <c r="S1142" s="101"/>
      <c r="T1142" s="101"/>
      <c r="U1142" s="101"/>
      <c r="V1142" s="101"/>
      <c r="W1142" s="101"/>
      <c r="X1142" s="101"/>
      <c r="Y1142" s="114"/>
      <c r="Z1142" s="114"/>
      <c r="AA1142" s="114"/>
      <c r="AB1142" s="114"/>
      <c r="AC1142" s="114"/>
      <c r="AD1142" s="114"/>
      <c r="AE1142" s="114"/>
      <c r="AF1142" s="114"/>
      <c r="AG1142" s="114"/>
      <c r="AH1142" s="114"/>
      <c r="AI1142" s="114"/>
      <c r="AJ1142" s="114"/>
      <c r="AK1142" s="114"/>
      <c r="AL1142" s="114"/>
      <c r="AM1142" s="114"/>
      <c r="AN1142" s="114"/>
      <c r="AO1142" s="114"/>
      <c r="AP1142" s="114"/>
      <c r="AQ1142" s="114"/>
      <c r="AR1142" s="114"/>
      <c r="AS1142" s="114"/>
      <c r="AT1142" s="114"/>
      <c r="AU1142" s="114"/>
      <c r="AV1142" s="114"/>
      <c r="AW1142" s="114"/>
      <c r="AX1142" s="114"/>
      <c r="AY1142" s="114"/>
      <c r="AZ1142" s="114"/>
    </row>
    <row r="1143" spans="1:52">
      <c r="A1143" s="111"/>
      <c r="B1143" s="111"/>
      <c r="C1143" s="112"/>
      <c r="D1143" s="101"/>
      <c r="E1143" s="101"/>
      <c r="F1143" s="101"/>
      <c r="G1143" s="111"/>
      <c r="H1143" s="101"/>
      <c r="I1143" s="101"/>
      <c r="J1143" s="101"/>
      <c r="K1143" s="101"/>
      <c r="L1143" s="101"/>
      <c r="M1143" s="101"/>
      <c r="N1143" s="101"/>
      <c r="O1143" s="101"/>
      <c r="P1143" s="101"/>
      <c r="Q1143" s="101"/>
      <c r="R1143" s="101"/>
      <c r="S1143" s="101"/>
      <c r="T1143" s="101"/>
      <c r="U1143" s="101"/>
      <c r="V1143" s="101"/>
      <c r="W1143" s="101"/>
      <c r="X1143" s="101"/>
      <c r="Y1143" s="114"/>
      <c r="Z1143" s="114"/>
      <c r="AA1143" s="114"/>
      <c r="AB1143" s="114"/>
      <c r="AC1143" s="114"/>
      <c r="AD1143" s="114"/>
      <c r="AE1143" s="114"/>
      <c r="AF1143" s="114"/>
      <c r="AG1143" s="114"/>
      <c r="AH1143" s="114"/>
      <c r="AI1143" s="114"/>
      <c r="AJ1143" s="114"/>
      <c r="AK1143" s="114"/>
      <c r="AL1143" s="114"/>
      <c r="AM1143" s="114"/>
      <c r="AN1143" s="114"/>
      <c r="AO1143" s="114"/>
      <c r="AP1143" s="114"/>
      <c r="AQ1143" s="114"/>
      <c r="AR1143" s="114"/>
      <c r="AS1143" s="114"/>
      <c r="AT1143" s="114"/>
      <c r="AU1143" s="114"/>
      <c r="AV1143" s="114"/>
      <c r="AW1143" s="114"/>
      <c r="AX1143" s="114"/>
      <c r="AY1143" s="114"/>
      <c r="AZ1143" s="114"/>
    </row>
    <row r="1144" spans="1:52">
      <c r="A1144" s="111"/>
      <c r="B1144" s="111"/>
      <c r="C1144" s="112"/>
      <c r="D1144" s="101"/>
      <c r="E1144" s="101"/>
      <c r="F1144" s="101"/>
      <c r="G1144" s="111"/>
      <c r="H1144" s="101"/>
      <c r="I1144" s="101"/>
      <c r="J1144" s="101"/>
      <c r="K1144" s="101"/>
      <c r="L1144" s="101"/>
      <c r="M1144" s="101"/>
      <c r="N1144" s="101"/>
      <c r="O1144" s="101"/>
      <c r="P1144" s="101"/>
      <c r="Q1144" s="101"/>
      <c r="R1144" s="101"/>
      <c r="S1144" s="101"/>
      <c r="T1144" s="101"/>
      <c r="U1144" s="101"/>
      <c r="V1144" s="101"/>
      <c r="W1144" s="101"/>
      <c r="X1144" s="101"/>
      <c r="Y1144" s="114"/>
      <c r="Z1144" s="114"/>
      <c r="AA1144" s="114"/>
      <c r="AB1144" s="114"/>
      <c r="AC1144" s="114"/>
      <c r="AD1144" s="114"/>
      <c r="AE1144" s="114"/>
      <c r="AF1144" s="114"/>
      <c r="AG1144" s="114"/>
      <c r="AH1144" s="114"/>
      <c r="AI1144" s="114"/>
      <c r="AJ1144" s="114"/>
      <c r="AK1144" s="114"/>
      <c r="AL1144" s="114"/>
      <c r="AM1144" s="114"/>
      <c r="AN1144" s="114"/>
      <c r="AO1144" s="114"/>
      <c r="AP1144" s="114"/>
      <c r="AQ1144" s="114"/>
      <c r="AR1144" s="114"/>
      <c r="AS1144" s="114"/>
      <c r="AT1144" s="114"/>
      <c r="AU1144" s="114"/>
      <c r="AV1144" s="114"/>
      <c r="AW1144" s="114"/>
      <c r="AX1144" s="114"/>
      <c r="AY1144" s="114"/>
      <c r="AZ1144" s="114"/>
    </row>
    <row r="1145" spans="1:52">
      <c r="A1145" s="111"/>
      <c r="B1145" s="111"/>
      <c r="C1145" s="112"/>
      <c r="D1145" s="101"/>
      <c r="E1145" s="101"/>
      <c r="F1145" s="101"/>
      <c r="G1145" s="111"/>
      <c r="H1145" s="101"/>
      <c r="I1145" s="101"/>
      <c r="J1145" s="101"/>
      <c r="K1145" s="101"/>
      <c r="L1145" s="101"/>
      <c r="M1145" s="101"/>
      <c r="N1145" s="101"/>
      <c r="O1145" s="101"/>
      <c r="P1145" s="101"/>
      <c r="Q1145" s="101"/>
      <c r="R1145" s="101"/>
      <c r="S1145" s="101"/>
      <c r="T1145" s="101"/>
      <c r="U1145" s="101"/>
      <c r="V1145" s="101"/>
      <c r="W1145" s="101"/>
      <c r="X1145" s="101"/>
      <c r="Y1145" s="114"/>
      <c r="Z1145" s="114"/>
      <c r="AA1145" s="114"/>
      <c r="AB1145" s="114"/>
      <c r="AC1145" s="114"/>
      <c r="AD1145" s="114"/>
      <c r="AE1145" s="114"/>
      <c r="AF1145" s="114"/>
      <c r="AG1145" s="114"/>
      <c r="AH1145" s="114"/>
      <c r="AI1145" s="114"/>
      <c r="AJ1145" s="114"/>
      <c r="AK1145" s="114"/>
      <c r="AL1145" s="114"/>
      <c r="AM1145" s="114"/>
      <c r="AN1145" s="114"/>
      <c r="AO1145" s="114"/>
      <c r="AP1145" s="114"/>
      <c r="AQ1145" s="114"/>
      <c r="AR1145" s="114"/>
      <c r="AS1145" s="114"/>
      <c r="AT1145" s="114"/>
      <c r="AU1145" s="114"/>
      <c r="AV1145" s="114"/>
      <c r="AW1145" s="114"/>
      <c r="AX1145" s="114"/>
      <c r="AY1145" s="114"/>
      <c r="AZ1145" s="114"/>
    </row>
    <row r="1146" spans="1:52">
      <c r="A1146" s="111"/>
      <c r="B1146" s="111"/>
      <c r="C1146" s="112"/>
      <c r="D1146" s="101"/>
      <c r="E1146" s="101"/>
      <c r="F1146" s="101"/>
      <c r="G1146" s="111"/>
      <c r="H1146" s="101"/>
      <c r="I1146" s="101"/>
      <c r="J1146" s="101"/>
      <c r="K1146" s="101"/>
      <c r="L1146" s="101"/>
      <c r="M1146" s="101"/>
      <c r="N1146" s="101"/>
      <c r="O1146" s="101"/>
      <c r="P1146" s="101"/>
      <c r="Q1146" s="101"/>
      <c r="R1146" s="101"/>
      <c r="S1146" s="101"/>
      <c r="T1146" s="101"/>
      <c r="U1146" s="101"/>
      <c r="V1146" s="101"/>
      <c r="W1146" s="101"/>
      <c r="X1146" s="101"/>
      <c r="Y1146" s="114"/>
      <c r="Z1146" s="114"/>
      <c r="AA1146" s="114"/>
      <c r="AB1146" s="114"/>
      <c r="AC1146" s="114"/>
      <c r="AD1146" s="114"/>
      <c r="AE1146" s="114"/>
      <c r="AF1146" s="114"/>
      <c r="AG1146" s="114"/>
      <c r="AH1146" s="114"/>
      <c r="AI1146" s="114"/>
      <c r="AJ1146" s="114"/>
      <c r="AK1146" s="114"/>
      <c r="AL1146" s="114"/>
      <c r="AM1146" s="114"/>
      <c r="AN1146" s="114"/>
      <c r="AO1146" s="114"/>
      <c r="AP1146" s="114"/>
      <c r="AQ1146" s="114"/>
      <c r="AR1146" s="114"/>
      <c r="AS1146" s="114"/>
      <c r="AT1146" s="114"/>
      <c r="AU1146" s="114"/>
      <c r="AV1146" s="114"/>
      <c r="AW1146" s="114"/>
      <c r="AX1146" s="114"/>
      <c r="AY1146" s="114"/>
      <c r="AZ1146" s="114"/>
    </row>
    <row r="1147" spans="1:52">
      <c r="A1147" s="111"/>
      <c r="B1147" s="111"/>
      <c r="C1147" s="112"/>
      <c r="D1147" s="101"/>
      <c r="E1147" s="101"/>
      <c r="F1147" s="101"/>
      <c r="G1147" s="111"/>
      <c r="H1147" s="101"/>
      <c r="I1147" s="101"/>
      <c r="J1147" s="101"/>
      <c r="K1147" s="101"/>
      <c r="L1147" s="101"/>
      <c r="M1147" s="101"/>
      <c r="N1147" s="101"/>
      <c r="O1147" s="101"/>
      <c r="P1147" s="101"/>
      <c r="Q1147" s="101"/>
      <c r="R1147" s="101"/>
      <c r="S1147" s="101"/>
      <c r="T1147" s="101"/>
      <c r="U1147" s="101"/>
      <c r="V1147" s="101"/>
      <c r="W1147" s="101"/>
      <c r="X1147" s="101"/>
      <c r="Y1147" s="114"/>
      <c r="Z1147" s="114"/>
      <c r="AA1147" s="114"/>
      <c r="AB1147" s="114"/>
      <c r="AC1147" s="114"/>
      <c r="AD1147" s="114"/>
      <c r="AE1147" s="114"/>
      <c r="AF1147" s="114"/>
      <c r="AG1147" s="114"/>
      <c r="AH1147" s="114"/>
      <c r="AI1147" s="114"/>
      <c r="AJ1147" s="114"/>
      <c r="AK1147" s="114"/>
      <c r="AL1147" s="114"/>
      <c r="AM1147" s="114"/>
      <c r="AN1147" s="114"/>
      <c r="AO1147" s="114"/>
      <c r="AP1147" s="114"/>
      <c r="AQ1147" s="114"/>
      <c r="AR1147" s="114"/>
      <c r="AS1147" s="114"/>
      <c r="AT1147" s="114"/>
      <c r="AU1147" s="114"/>
      <c r="AV1147" s="114"/>
      <c r="AW1147" s="114"/>
      <c r="AX1147" s="114"/>
      <c r="AY1147" s="114"/>
      <c r="AZ1147" s="114"/>
    </row>
    <row r="1148" spans="1:52">
      <c r="A1148" s="111"/>
      <c r="B1148" s="111"/>
      <c r="C1148" s="112"/>
      <c r="D1148" s="101"/>
      <c r="E1148" s="101"/>
      <c r="F1148" s="101"/>
      <c r="G1148" s="111"/>
      <c r="H1148" s="101"/>
      <c r="I1148" s="101"/>
      <c r="J1148" s="101"/>
      <c r="K1148" s="101"/>
      <c r="L1148" s="101"/>
      <c r="M1148" s="101"/>
      <c r="N1148" s="101"/>
      <c r="O1148" s="101"/>
      <c r="P1148" s="101"/>
      <c r="Q1148" s="101"/>
      <c r="R1148" s="101"/>
      <c r="S1148" s="101"/>
      <c r="T1148" s="101"/>
      <c r="U1148" s="101"/>
      <c r="V1148" s="101"/>
      <c r="W1148" s="101"/>
      <c r="X1148" s="101"/>
      <c r="Y1148" s="114"/>
      <c r="Z1148" s="114"/>
      <c r="AA1148" s="114"/>
      <c r="AB1148" s="114"/>
      <c r="AC1148" s="114"/>
      <c r="AD1148" s="114"/>
      <c r="AE1148" s="114"/>
      <c r="AF1148" s="114"/>
      <c r="AG1148" s="114"/>
      <c r="AH1148" s="114"/>
      <c r="AI1148" s="114"/>
      <c r="AJ1148" s="114"/>
      <c r="AK1148" s="114"/>
      <c r="AL1148" s="114"/>
      <c r="AM1148" s="114"/>
      <c r="AN1148" s="114"/>
      <c r="AO1148" s="114"/>
      <c r="AP1148" s="114"/>
      <c r="AQ1148" s="114"/>
      <c r="AR1148" s="114"/>
      <c r="AS1148" s="114"/>
      <c r="AT1148" s="114"/>
      <c r="AU1148" s="114"/>
      <c r="AV1148" s="114"/>
      <c r="AW1148" s="114"/>
      <c r="AX1148" s="114"/>
      <c r="AY1148" s="114"/>
      <c r="AZ1148" s="114"/>
    </row>
    <row r="1149" spans="1:52">
      <c r="A1149" s="111"/>
      <c r="B1149" s="111"/>
      <c r="C1149" s="112"/>
      <c r="D1149" s="101"/>
      <c r="E1149" s="101"/>
      <c r="F1149" s="101"/>
      <c r="G1149" s="111"/>
      <c r="H1149" s="101"/>
      <c r="I1149" s="101"/>
      <c r="J1149" s="101"/>
      <c r="K1149" s="101"/>
      <c r="L1149" s="101"/>
      <c r="M1149" s="101"/>
      <c r="N1149" s="101"/>
      <c r="O1149" s="101"/>
      <c r="P1149" s="101"/>
      <c r="Q1149" s="101"/>
      <c r="R1149" s="101"/>
      <c r="S1149" s="101"/>
      <c r="T1149" s="101"/>
      <c r="U1149" s="101"/>
      <c r="V1149" s="101"/>
      <c r="W1149" s="101"/>
      <c r="X1149" s="101"/>
      <c r="Y1149" s="114"/>
      <c r="Z1149" s="114"/>
      <c r="AA1149" s="114"/>
      <c r="AB1149" s="114"/>
      <c r="AC1149" s="114"/>
      <c r="AD1149" s="114"/>
      <c r="AE1149" s="114"/>
      <c r="AF1149" s="114"/>
      <c r="AG1149" s="114"/>
      <c r="AH1149" s="114"/>
      <c r="AI1149" s="114"/>
      <c r="AJ1149" s="114"/>
      <c r="AK1149" s="114"/>
      <c r="AL1149" s="114"/>
      <c r="AM1149" s="114"/>
      <c r="AN1149" s="114"/>
      <c r="AO1149" s="114"/>
      <c r="AP1149" s="114"/>
      <c r="AQ1149" s="114"/>
      <c r="AR1149" s="114"/>
      <c r="AS1149" s="114"/>
      <c r="AT1149" s="114"/>
      <c r="AU1149" s="114"/>
      <c r="AV1149" s="114"/>
      <c r="AW1149" s="114"/>
      <c r="AX1149" s="114"/>
      <c r="AY1149" s="114"/>
      <c r="AZ1149" s="114"/>
    </row>
    <row r="1150" spans="1:52">
      <c r="A1150" s="111"/>
      <c r="B1150" s="111"/>
      <c r="C1150" s="112"/>
      <c r="D1150" s="101"/>
      <c r="E1150" s="101"/>
      <c r="F1150" s="101"/>
      <c r="G1150" s="111"/>
      <c r="H1150" s="101"/>
      <c r="I1150" s="101"/>
      <c r="J1150" s="101"/>
      <c r="K1150" s="101"/>
      <c r="L1150" s="101"/>
      <c r="M1150" s="101"/>
      <c r="N1150" s="101"/>
      <c r="O1150" s="101"/>
      <c r="P1150" s="101"/>
      <c r="Q1150" s="101"/>
      <c r="R1150" s="101"/>
      <c r="S1150" s="101"/>
      <c r="T1150" s="101"/>
      <c r="U1150" s="101"/>
      <c r="V1150" s="101"/>
      <c r="W1150" s="101"/>
      <c r="X1150" s="101"/>
      <c r="Y1150" s="114"/>
      <c r="Z1150" s="114"/>
      <c r="AA1150" s="114"/>
      <c r="AB1150" s="114"/>
      <c r="AC1150" s="114"/>
      <c r="AD1150" s="114"/>
      <c r="AE1150" s="114"/>
      <c r="AF1150" s="114"/>
      <c r="AG1150" s="114"/>
      <c r="AH1150" s="114"/>
      <c r="AI1150" s="114"/>
      <c r="AJ1150" s="114"/>
      <c r="AK1150" s="114"/>
      <c r="AL1150" s="114"/>
      <c r="AM1150" s="114"/>
      <c r="AN1150" s="114"/>
      <c r="AO1150" s="114"/>
      <c r="AP1150" s="114"/>
      <c r="AQ1150" s="114"/>
      <c r="AR1150" s="114"/>
      <c r="AS1150" s="114"/>
      <c r="AT1150" s="114"/>
      <c r="AU1150" s="114"/>
      <c r="AV1150" s="114"/>
      <c r="AW1150" s="114"/>
      <c r="AX1150" s="114"/>
      <c r="AY1150" s="114"/>
      <c r="AZ1150" s="114"/>
    </row>
    <row r="1151" spans="1:52">
      <c r="A1151" s="111"/>
      <c r="B1151" s="111"/>
      <c r="C1151" s="112"/>
      <c r="D1151" s="101"/>
      <c r="E1151" s="101"/>
      <c r="F1151" s="101"/>
      <c r="G1151" s="111"/>
      <c r="H1151" s="101"/>
      <c r="I1151" s="101"/>
      <c r="J1151" s="101"/>
      <c r="K1151" s="101"/>
      <c r="L1151" s="101"/>
      <c r="M1151" s="101"/>
      <c r="N1151" s="101"/>
      <c r="O1151" s="101"/>
      <c r="P1151" s="101"/>
      <c r="Q1151" s="101"/>
      <c r="R1151" s="101"/>
      <c r="S1151" s="101"/>
      <c r="T1151" s="101"/>
      <c r="U1151" s="101"/>
      <c r="V1151" s="101"/>
      <c r="W1151" s="101"/>
      <c r="X1151" s="101"/>
      <c r="Y1151" s="114"/>
      <c r="Z1151" s="114"/>
      <c r="AA1151" s="114"/>
      <c r="AB1151" s="114"/>
      <c r="AC1151" s="114"/>
      <c r="AD1151" s="114"/>
      <c r="AE1151" s="114"/>
      <c r="AF1151" s="114"/>
      <c r="AG1151" s="114"/>
      <c r="AH1151" s="114"/>
      <c r="AI1151" s="114"/>
      <c r="AJ1151" s="114"/>
      <c r="AK1151" s="114"/>
      <c r="AL1151" s="114"/>
      <c r="AM1151" s="114"/>
      <c r="AN1151" s="114"/>
      <c r="AO1151" s="114"/>
      <c r="AP1151" s="114"/>
      <c r="AQ1151" s="114"/>
      <c r="AR1151" s="114"/>
      <c r="AS1151" s="114"/>
      <c r="AT1151" s="114"/>
      <c r="AU1151" s="114"/>
      <c r="AV1151" s="114"/>
      <c r="AW1151" s="114"/>
      <c r="AX1151" s="114"/>
      <c r="AY1151" s="114"/>
      <c r="AZ1151" s="114"/>
    </row>
    <row r="1152" spans="1:52">
      <c r="A1152" s="111"/>
      <c r="B1152" s="111"/>
      <c r="C1152" s="112"/>
      <c r="D1152" s="101"/>
      <c r="E1152" s="101"/>
      <c r="F1152" s="101"/>
      <c r="G1152" s="111"/>
      <c r="H1152" s="101"/>
      <c r="I1152" s="101"/>
      <c r="J1152" s="101"/>
      <c r="K1152" s="101"/>
      <c r="L1152" s="101"/>
      <c r="M1152" s="101"/>
      <c r="N1152" s="101"/>
      <c r="O1152" s="101"/>
      <c r="P1152" s="101"/>
      <c r="Q1152" s="101"/>
      <c r="R1152" s="101"/>
      <c r="S1152" s="101"/>
      <c r="T1152" s="101"/>
      <c r="U1152" s="101"/>
      <c r="V1152" s="101"/>
      <c r="W1152" s="101"/>
      <c r="X1152" s="101"/>
      <c r="Y1152" s="114"/>
      <c r="Z1152" s="114"/>
      <c r="AA1152" s="114"/>
      <c r="AB1152" s="114"/>
      <c r="AC1152" s="114"/>
      <c r="AD1152" s="114"/>
      <c r="AE1152" s="114"/>
      <c r="AF1152" s="114"/>
      <c r="AG1152" s="114"/>
      <c r="AH1152" s="114"/>
      <c r="AI1152" s="114"/>
      <c r="AJ1152" s="114"/>
      <c r="AK1152" s="114"/>
      <c r="AL1152" s="114"/>
      <c r="AM1152" s="114"/>
      <c r="AN1152" s="114"/>
      <c r="AO1152" s="114"/>
      <c r="AP1152" s="114"/>
      <c r="AQ1152" s="114"/>
      <c r="AR1152" s="114"/>
      <c r="AS1152" s="114"/>
      <c r="AT1152" s="114"/>
      <c r="AU1152" s="114"/>
      <c r="AV1152" s="114"/>
      <c r="AW1152" s="114"/>
      <c r="AX1152" s="114"/>
      <c r="AY1152" s="114"/>
      <c r="AZ1152" s="114"/>
    </row>
    <row r="1153" spans="1:52">
      <c r="A1153" s="111"/>
      <c r="B1153" s="111"/>
      <c r="C1153" s="112"/>
      <c r="D1153" s="101"/>
      <c r="E1153" s="101"/>
      <c r="F1153" s="101"/>
      <c r="G1153" s="111"/>
      <c r="H1153" s="101"/>
      <c r="I1153" s="101"/>
      <c r="J1153" s="101"/>
      <c r="K1153" s="101"/>
      <c r="L1153" s="101"/>
      <c r="M1153" s="101"/>
      <c r="N1153" s="101"/>
      <c r="O1153" s="101"/>
      <c r="P1153" s="101"/>
      <c r="Q1153" s="101"/>
      <c r="R1153" s="101"/>
      <c r="S1153" s="101"/>
      <c r="T1153" s="101"/>
      <c r="U1153" s="101"/>
      <c r="V1153" s="101"/>
      <c r="W1153" s="101"/>
      <c r="X1153" s="101"/>
      <c r="Y1153" s="114"/>
      <c r="Z1153" s="114"/>
      <c r="AA1153" s="114"/>
      <c r="AB1153" s="114"/>
      <c r="AC1153" s="114"/>
      <c r="AD1153" s="114"/>
      <c r="AE1153" s="114"/>
      <c r="AF1153" s="114"/>
      <c r="AG1153" s="114"/>
      <c r="AH1153" s="114"/>
      <c r="AI1153" s="114"/>
      <c r="AJ1153" s="114"/>
      <c r="AK1153" s="114"/>
      <c r="AL1153" s="114"/>
      <c r="AM1153" s="114"/>
      <c r="AN1153" s="114"/>
      <c r="AO1153" s="114"/>
      <c r="AP1153" s="114"/>
      <c r="AQ1153" s="114"/>
      <c r="AR1153" s="114"/>
      <c r="AS1153" s="114"/>
      <c r="AT1153" s="114"/>
      <c r="AU1153" s="114"/>
      <c r="AV1153" s="114"/>
      <c r="AW1153" s="114"/>
      <c r="AX1153" s="114"/>
      <c r="AY1153" s="114"/>
      <c r="AZ1153" s="114"/>
    </row>
    <row r="1154" spans="1:52">
      <c r="A1154" s="111"/>
      <c r="B1154" s="111"/>
      <c r="C1154" s="112"/>
      <c r="D1154" s="101"/>
      <c r="E1154" s="101"/>
      <c r="F1154" s="101"/>
      <c r="G1154" s="111"/>
      <c r="H1154" s="101"/>
      <c r="I1154" s="101"/>
      <c r="J1154" s="101"/>
      <c r="K1154" s="101"/>
      <c r="L1154" s="101"/>
      <c r="M1154" s="101"/>
      <c r="N1154" s="101"/>
      <c r="O1154" s="101"/>
      <c r="P1154" s="101"/>
      <c r="Q1154" s="101"/>
      <c r="R1154" s="101"/>
      <c r="S1154" s="101"/>
      <c r="T1154" s="101"/>
      <c r="U1154" s="101"/>
      <c r="V1154" s="101"/>
      <c r="W1154" s="101"/>
      <c r="X1154" s="101"/>
      <c r="Y1154" s="114"/>
      <c r="Z1154" s="114"/>
      <c r="AA1154" s="114"/>
      <c r="AB1154" s="114"/>
      <c r="AC1154" s="114"/>
      <c r="AD1154" s="114"/>
      <c r="AE1154" s="114"/>
      <c r="AF1154" s="114"/>
      <c r="AG1154" s="114"/>
      <c r="AH1154" s="114"/>
      <c r="AI1154" s="114"/>
      <c r="AJ1154" s="114"/>
      <c r="AK1154" s="114"/>
      <c r="AL1154" s="114"/>
      <c r="AM1154" s="114"/>
      <c r="AN1154" s="114"/>
      <c r="AO1154" s="114"/>
      <c r="AP1154" s="114"/>
      <c r="AQ1154" s="114"/>
      <c r="AR1154" s="114"/>
      <c r="AS1154" s="114"/>
      <c r="AT1154" s="114"/>
      <c r="AU1154" s="114"/>
      <c r="AV1154" s="114"/>
      <c r="AW1154" s="114"/>
      <c r="AX1154" s="114"/>
      <c r="AY1154" s="114"/>
      <c r="AZ1154" s="114"/>
    </row>
    <row r="1155" spans="1:52">
      <c r="A1155" s="111"/>
      <c r="B1155" s="111"/>
      <c r="C1155" s="112"/>
      <c r="D1155" s="101"/>
      <c r="E1155" s="101"/>
      <c r="F1155" s="101"/>
      <c r="G1155" s="111"/>
      <c r="H1155" s="101"/>
      <c r="I1155" s="101"/>
      <c r="J1155" s="101"/>
      <c r="K1155" s="101"/>
      <c r="L1155" s="101"/>
      <c r="M1155" s="101"/>
      <c r="N1155" s="101"/>
      <c r="O1155" s="101"/>
      <c r="P1155" s="101"/>
      <c r="Q1155" s="101"/>
      <c r="R1155" s="101"/>
      <c r="S1155" s="101"/>
      <c r="T1155" s="101"/>
      <c r="U1155" s="101"/>
      <c r="V1155" s="101"/>
      <c r="W1155" s="101"/>
      <c r="X1155" s="101"/>
      <c r="Y1155" s="114"/>
      <c r="Z1155" s="114"/>
      <c r="AA1155" s="114"/>
      <c r="AB1155" s="114"/>
      <c r="AC1155" s="114"/>
      <c r="AD1155" s="114"/>
      <c r="AE1155" s="114"/>
      <c r="AF1155" s="114"/>
      <c r="AG1155" s="114"/>
      <c r="AH1155" s="114"/>
      <c r="AI1155" s="114"/>
      <c r="AJ1155" s="114"/>
      <c r="AK1155" s="114"/>
      <c r="AL1155" s="114"/>
      <c r="AM1155" s="114"/>
      <c r="AN1155" s="114"/>
      <c r="AO1155" s="114"/>
      <c r="AP1155" s="114"/>
      <c r="AQ1155" s="114"/>
      <c r="AR1155" s="114"/>
      <c r="AS1155" s="114"/>
      <c r="AT1155" s="114"/>
      <c r="AU1155" s="114"/>
      <c r="AV1155" s="114"/>
      <c r="AW1155" s="114"/>
      <c r="AX1155" s="114"/>
      <c r="AY1155" s="114"/>
      <c r="AZ1155" s="114"/>
    </row>
    <row r="1156" spans="1:52">
      <c r="A1156" s="111"/>
      <c r="B1156" s="111"/>
      <c r="C1156" s="112"/>
      <c r="D1156" s="101"/>
      <c r="E1156" s="101"/>
      <c r="F1156" s="101"/>
      <c r="G1156" s="111"/>
      <c r="H1156" s="101"/>
      <c r="I1156" s="101"/>
      <c r="J1156" s="101"/>
      <c r="K1156" s="101"/>
      <c r="L1156" s="101"/>
      <c r="M1156" s="101"/>
      <c r="N1156" s="101"/>
      <c r="O1156" s="101"/>
      <c r="P1156" s="101"/>
      <c r="Q1156" s="101"/>
      <c r="R1156" s="101"/>
      <c r="S1156" s="101"/>
      <c r="T1156" s="101"/>
      <c r="U1156" s="101"/>
      <c r="V1156" s="101"/>
      <c r="W1156" s="101"/>
      <c r="X1156" s="101"/>
      <c r="Y1156" s="114"/>
      <c r="Z1156" s="114"/>
      <c r="AA1156" s="114"/>
      <c r="AB1156" s="114"/>
      <c r="AC1156" s="114"/>
      <c r="AD1156" s="114"/>
      <c r="AE1156" s="114"/>
      <c r="AF1156" s="114"/>
      <c r="AG1156" s="114"/>
      <c r="AH1156" s="114"/>
      <c r="AI1156" s="114"/>
      <c r="AJ1156" s="114"/>
      <c r="AK1156" s="114"/>
      <c r="AL1156" s="114"/>
      <c r="AM1156" s="114"/>
      <c r="AN1156" s="114"/>
      <c r="AO1156" s="114"/>
      <c r="AP1156" s="114"/>
      <c r="AQ1156" s="114"/>
      <c r="AR1156" s="114"/>
      <c r="AS1156" s="114"/>
      <c r="AT1156" s="114"/>
      <c r="AU1156" s="114"/>
      <c r="AV1156" s="114"/>
      <c r="AW1156" s="114"/>
      <c r="AX1156" s="114"/>
      <c r="AY1156" s="114"/>
      <c r="AZ1156" s="114"/>
    </row>
    <row r="1157" spans="1:52">
      <c r="A1157" s="111"/>
      <c r="B1157" s="111"/>
      <c r="C1157" s="112"/>
      <c r="D1157" s="101"/>
      <c r="E1157" s="101"/>
      <c r="F1157" s="101"/>
      <c r="G1157" s="111"/>
      <c r="H1157" s="101"/>
      <c r="I1157" s="101"/>
      <c r="J1157" s="101"/>
      <c r="K1157" s="101"/>
      <c r="L1157" s="101"/>
      <c r="M1157" s="101"/>
      <c r="N1157" s="101"/>
      <c r="O1157" s="101"/>
      <c r="P1157" s="101"/>
      <c r="Q1157" s="101"/>
      <c r="R1157" s="101"/>
      <c r="S1157" s="101"/>
      <c r="T1157" s="101"/>
      <c r="U1157" s="101"/>
      <c r="V1157" s="101"/>
      <c r="W1157" s="101"/>
      <c r="X1157" s="101"/>
      <c r="Y1157" s="114"/>
      <c r="Z1157" s="114"/>
      <c r="AA1157" s="114"/>
      <c r="AB1157" s="114"/>
      <c r="AC1157" s="114"/>
      <c r="AD1157" s="114"/>
      <c r="AE1157" s="114"/>
      <c r="AF1157" s="114"/>
      <c r="AG1157" s="114"/>
      <c r="AH1157" s="114"/>
      <c r="AI1157" s="114"/>
      <c r="AJ1157" s="114"/>
      <c r="AK1157" s="114"/>
      <c r="AL1157" s="114"/>
      <c r="AM1157" s="114"/>
      <c r="AN1157" s="114"/>
      <c r="AO1157" s="114"/>
      <c r="AP1157" s="114"/>
      <c r="AQ1157" s="114"/>
      <c r="AR1157" s="114"/>
      <c r="AS1157" s="114"/>
      <c r="AT1157" s="114"/>
      <c r="AU1157" s="114"/>
      <c r="AV1157" s="114"/>
      <c r="AW1157" s="114"/>
      <c r="AX1157" s="114"/>
      <c r="AY1157" s="114"/>
      <c r="AZ1157" s="114"/>
    </row>
    <row r="1158" spans="1:52">
      <c r="A1158" s="111"/>
      <c r="B1158" s="111"/>
      <c r="C1158" s="112"/>
      <c r="D1158" s="101"/>
      <c r="E1158" s="101"/>
      <c r="F1158" s="101"/>
      <c r="G1158" s="111"/>
      <c r="H1158" s="101"/>
      <c r="I1158" s="101"/>
      <c r="J1158" s="101"/>
      <c r="K1158" s="101"/>
      <c r="L1158" s="101"/>
      <c r="M1158" s="101"/>
      <c r="N1158" s="101"/>
      <c r="O1158" s="101"/>
      <c r="P1158" s="101"/>
      <c r="Q1158" s="101"/>
      <c r="R1158" s="101"/>
      <c r="S1158" s="101"/>
      <c r="T1158" s="101"/>
      <c r="U1158" s="101"/>
      <c r="V1158" s="101"/>
      <c r="W1158" s="101"/>
      <c r="X1158" s="101"/>
      <c r="Y1158" s="114"/>
      <c r="Z1158" s="114"/>
      <c r="AA1158" s="114"/>
      <c r="AB1158" s="114"/>
      <c r="AC1158" s="114"/>
      <c r="AD1158" s="114"/>
      <c r="AE1158" s="114"/>
      <c r="AF1158" s="114"/>
      <c r="AG1158" s="114"/>
      <c r="AH1158" s="114"/>
      <c r="AI1158" s="114"/>
      <c r="AJ1158" s="114"/>
      <c r="AK1158" s="114"/>
      <c r="AL1158" s="114"/>
      <c r="AM1158" s="114"/>
      <c r="AN1158" s="114"/>
      <c r="AO1158" s="114"/>
      <c r="AP1158" s="114"/>
      <c r="AQ1158" s="114"/>
      <c r="AR1158" s="114"/>
      <c r="AS1158" s="114"/>
      <c r="AT1158" s="114"/>
      <c r="AU1158" s="114"/>
      <c r="AV1158" s="114"/>
      <c r="AW1158" s="114"/>
      <c r="AX1158" s="114"/>
      <c r="AY1158" s="114"/>
      <c r="AZ1158" s="114"/>
    </row>
    <row r="1159" spans="1:52">
      <c r="A1159" s="111"/>
      <c r="B1159" s="111"/>
      <c r="C1159" s="112"/>
      <c r="D1159" s="101"/>
      <c r="E1159" s="101"/>
      <c r="F1159" s="101"/>
      <c r="G1159" s="111"/>
      <c r="H1159" s="101"/>
      <c r="I1159" s="101"/>
      <c r="J1159" s="101"/>
      <c r="K1159" s="101"/>
      <c r="L1159" s="101"/>
      <c r="M1159" s="101"/>
      <c r="N1159" s="101"/>
      <c r="O1159" s="101"/>
      <c r="P1159" s="101"/>
      <c r="Q1159" s="101"/>
      <c r="R1159" s="101"/>
      <c r="S1159" s="101"/>
      <c r="T1159" s="101"/>
      <c r="U1159" s="101"/>
      <c r="V1159" s="101"/>
      <c r="W1159" s="101"/>
      <c r="X1159" s="101"/>
      <c r="Y1159" s="114"/>
      <c r="Z1159" s="114"/>
      <c r="AA1159" s="114"/>
      <c r="AB1159" s="114"/>
      <c r="AC1159" s="114"/>
      <c r="AD1159" s="114"/>
      <c r="AE1159" s="114"/>
      <c r="AF1159" s="114"/>
      <c r="AG1159" s="114"/>
      <c r="AH1159" s="114"/>
      <c r="AI1159" s="114"/>
      <c r="AJ1159" s="114"/>
      <c r="AK1159" s="114"/>
      <c r="AL1159" s="114"/>
      <c r="AM1159" s="114"/>
      <c r="AN1159" s="114"/>
      <c r="AO1159" s="114"/>
      <c r="AP1159" s="114"/>
      <c r="AQ1159" s="114"/>
      <c r="AR1159" s="114"/>
      <c r="AS1159" s="114"/>
      <c r="AT1159" s="114"/>
      <c r="AU1159" s="114"/>
      <c r="AV1159" s="114"/>
      <c r="AW1159" s="114"/>
      <c r="AX1159" s="114"/>
      <c r="AY1159" s="114"/>
      <c r="AZ1159" s="114"/>
    </row>
    <row r="1160" spans="1:52">
      <c r="A1160" s="111"/>
      <c r="B1160" s="111"/>
      <c r="C1160" s="112"/>
      <c r="D1160" s="101"/>
      <c r="E1160" s="101"/>
      <c r="F1160" s="101"/>
      <c r="G1160" s="111"/>
      <c r="H1160" s="101"/>
      <c r="I1160" s="101"/>
      <c r="J1160" s="101"/>
      <c r="K1160" s="101"/>
      <c r="L1160" s="101"/>
      <c r="M1160" s="101"/>
      <c r="N1160" s="101"/>
      <c r="O1160" s="101"/>
      <c r="P1160" s="101"/>
      <c r="Q1160" s="101"/>
      <c r="R1160" s="101"/>
      <c r="S1160" s="101"/>
      <c r="T1160" s="101"/>
      <c r="U1160" s="101"/>
      <c r="V1160" s="101"/>
      <c r="W1160" s="101"/>
      <c r="X1160" s="101"/>
      <c r="Y1160" s="114"/>
      <c r="Z1160" s="114"/>
      <c r="AA1160" s="114"/>
      <c r="AB1160" s="114"/>
      <c r="AC1160" s="114"/>
      <c r="AD1160" s="114"/>
      <c r="AE1160" s="114"/>
      <c r="AF1160" s="114"/>
      <c r="AG1160" s="114"/>
      <c r="AH1160" s="114"/>
      <c r="AI1160" s="114"/>
      <c r="AJ1160" s="114"/>
      <c r="AK1160" s="114"/>
      <c r="AL1160" s="114"/>
      <c r="AM1160" s="114"/>
      <c r="AN1160" s="114"/>
      <c r="AO1160" s="114"/>
      <c r="AP1160" s="114"/>
      <c r="AQ1160" s="114"/>
      <c r="AR1160" s="114"/>
      <c r="AS1160" s="114"/>
      <c r="AT1160" s="114"/>
      <c r="AU1160" s="114"/>
      <c r="AV1160" s="114"/>
      <c r="AW1160" s="114"/>
      <c r="AX1160" s="114"/>
      <c r="AY1160" s="114"/>
      <c r="AZ1160" s="114"/>
    </row>
    <row r="1161" spans="1:52">
      <c r="A1161" s="111"/>
      <c r="B1161" s="111"/>
      <c r="C1161" s="112"/>
      <c r="D1161" s="101"/>
      <c r="E1161" s="101"/>
      <c r="F1161" s="101"/>
      <c r="G1161" s="111"/>
      <c r="H1161" s="101"/>
      <c r="I1161" s="101"/>
      <c r="J1161" s="101"/>
      <c r="K1161" s="101"/>
      <c r="L1161" s="101"/>
      <c r="M1161" s="101"/>
      <c r="N1161" s="101"/>
      <c r="O1161" s="101"/>
      <c r="P1161" s="101"/>
      <c r="Q1161" s="101"/>
      <c r="R1161" s="101"/>
      <c r="S1161" s="101"/>
      <c r="T1161" s="101"/>
      <c r="U1161" s="101"/>
      <c r="V1161" s="101"/>
      <c r="W1161" s="101"/>
      <c r="X1161" s="101"/>
      <c r="Y1161" s="114"/>
      <c r="Z1161" s="114"/>
      <c r="AA1161" s="114"/>
      <c r="AB1161" s="114"/>
      <c r="AC1161" s="114"/>
      <c r="AD1161" s="114"/>
      <c r="AE1161" s="114"/>
      <c r="AF1161" s="114"/>
      <c r="AG1161" s="114"/>
      <c r="AH1161" s="114"/>
      <c r="AI1161" s="114"/>
      <c r="AJ1161" s="114"/>
      <c r="AK1161" s="114"/>
      <c r="AL1161" s="114"/>
      <c r="AM1161" s="114"/>
      <c r="AN1161" s="114"/>
      <c r="AO1161" s="114"/>
      <c r="AP1161" s="114"/>
      <c r="AQ1161" s="114"/>
      <c r="AR1161" s="114"/>
      <c r="AS1161" s="114"/>
      <c r="AT1161" s="114"/>
      <c r="AU1161" s="114"/>
      <c r="AV1161" s="114"/>
      <c r="AW1161" s="114"/>
      <c r="AX1161" s="114"/>
      <c r="AY1161" s="114"/>
      <c r="AZ1161" s="114"/>
    </row>
    <row r="1162" spans="1:52">
      <c r="A1162" s="111"/>
      <c r="B1162" s="111"/>
      <c r="C1162" s="112"/>
      <c r="D1162" s="101"/>
      <c r="E1162" s="101"/>
      <c r="F1162" s="101"/>
      <c r="G1162" s="111"/>
      <c r="H1162" s="101"/>
      <c r="I1162" s="101"/>
      <c r="J1162" s="101"/>
      <c r="K1162" s="101"/>
      <c r="L1162" s="101"/>
      <c r="M1162" s="101"/>
      <c r="N1162" s="101"/>
      <c r="O1162" s="101"/>
      <c r="P1162" s="101"/>
      <c r="Q1162" s="101"/>
      <c r="R1162" s="101"/>
      <c r="S1162" s="101"/>
      <c r="T1162" s="101"/>
      <c r="U1162" s="101"/>
      <c r="V1162" s="101"/>
      <c r="W1162" s="101"/>
      <c r="X1162" s="101"/>
      <c r="Y1162" s="114"/>
      <c r="Z1162" s="114"/>
      <c r="AA1162" s="114"/>
      <c r="AB1162" s="114"/>
      <c r="AC1162" s="114"/>
      <c r="AD1162" s="114"/>
      <c r="AE1162" s="114"/>
      <c r="AF1162" s="114"/>
      <c r="AG1162" s="114"/>
      <c r="AH1162" s="114"/>
      <c r="AI1162" s="114"/>
      <c r="AJ1162" s="114"/>
      <c r="AK1162" s="114"/>
      <c r="AL1162" s="114"/>
      <c r="AM1162" s="114"/>
      <c r="AN1162" s="114"/>
      <c r="AO1162" s="114"/>
      <c r="AP1162" s="114"/>
      <c r="AQ1162" s="114"/>
      <c r="AR1162" s="114"/>
      <c r="AS1162" s="114"/>
      <c r="AT1162" s="114"/>
      <c r="AU1162" s="114"/>
      <c r="AV1162" s="114"/>
      <c r="AW1162" s="114"/>
      <c r="AX1162" s="114"/>
      <c r="AY1162" s="114"/>
      <c r="AZ1162" s="114"/>
    </row>
    <row r="1163" spans="1:52">
      <c r="A1163" s="111"/>
      <c r="B1163" s="111"/>
      <c r="C1163" s="112"/>
      <c r="D1163" s="101"/>
      <c r="E1163" s="101"/>
      <c r="F1163" s="101"/>
      <c r="G1163" s="111"/>
      <c r="H1163" s="101"/>
      <c r="I1163" s="101"/>
      <c r="J1163" s="101"/>
      <c r="K1163" s="101"/>
      <c r="L1163" s="101"/>
      <c r="M1163" s="101"/>
      <c r="N1163" s="101"/>
      <c r="O1163" s="101"/>
      <c r="P1163" s="101"/>
      <c r="Q1163" s="101"/>
      <c r="R1163" s="101"/>
      <c r="S1163" s="101"/>
      <c r="T1163" s="101"/>
      <c r="U1163" s="101"/>
      <c r="V1163" s="101"/>
      <c r="W1163" s="101"/>
      <c r="X1163" s="101"/>
      <c r="Y1163" s="114"/>
      <c r="Z1163" s="114"/>
      <c r="AA1163" s="114"/>
      <c r="AB1163" s="114"/>
      <c r="AC1163" s="114"/>
      <c r="AD1163" s="114"/>
      <c r="AE1163" s="114"/>
      <c r="AF1163" s="114"/>
      <c r="AG1163" s="114"/>
      <c r="AH1163" s="114"/>
      <c r="AI1163" s="114"/>
      <c r="AJ1163" s="114"/>
      <c r="AK1163" s="114"/>
      <c r="AL1163" s="114"/>
      <c r="AM1163" s="114"/>
      <c r="AN1163" s="114"/>
      <c r="AO1163" s="114"/>
      <c r="AP1163" s="114"/>
      <c r="AQ1163" s="114"/>
      <c r="AR1163" s="114"/>
      <c r="AS1163" s="114"/>
      <c r="AT1163" s="114"/>
      <c r="AU1163" s="114"/>
      <c r="AV1163" s="114"/>
      <c r="AW1163" s="114"/>
      <c r="AX1163" s="114"/>
      <c r="AY1163" s="114"/>
      <c r="AZ1163" s="114"/>
    </row>
    <row r="1164" spans="1:52">
      <c r="A1164" s="111"/>
      <c r="B1164" s="111"/>
      <c r="C1164" s="112"/>
      <c r="D1164" s="101"/>
      <c r="E1164" s="101"/>
      <c r="F1164" s="101"/>
      <c r="G1164" s="111"/>
      <c r="H1164" s="101"/>
      <c r="I1164" s="101"/>
      <c r="J1164" s="101"/>
      <c r="K1164" s="101"/>
      <c r="L1164" s="101"/>
      <c r="M1164" s="101"/>
      <c r="N1164" s="101"/>
      <c r="O1164" s="101"/>
      <c r="P1164" s="101"/>
      <c r="Q1164" s="101"/>
      <c r="R1164" s="101"/>
      <c r="S1164" s="101"/>
      <c r="T1164" s="101"/>
      <c r="U1164" s="101"/>
      <c r="V1164" s="101"/>
      <c r="W1164" s="101"/>
      <c r="X1164" s="101"/>
      <c r="Y1164" s="114"/>
      <c r="Z1164" s="114"/>
      <c r="AA1164" s="114"/>
      <c r="AB1164" s="114"/>
      <c r="AC1164" s="114"/>
      <c r="AD1164" s="114"/>
      <c r="AE1164" s="114"/>
      <c r="AF1164" s="114"/>
      <c r="AG1164" s="114"/>
      <c r="AH1164" s="114"/>
      <c r="AI1164" s="114"/>
      <c r="AJ1164" s="114"/>
      <c r="AK1164" s="114"/>
      <c r="AL1164" s="114"/>
      <c r="AM1164" s="114"/>
      <c r="AN1164" s="114"/>
      <c r="AO1164" s="114"/>
      <c r="AP1164" s="114"/>
      <c r="AQ1164" s="114"/>
      <c r="AR1164" s="114"/>
      <c r="AS1164" s="114"/>
      <c r="AT1164" s="114"/>
      <c r="AU1164" s="114"/>
      <c r="AV1164" s="114"/>
      <c r="AW1164" s="114"/>
      <c r="AX1164" s="114"/>
      <c r="AY1164" s="114"/>
      <c r="AZ1164" s="114"/>
    </row>
    <row r="1165" spans="1:52">
      <c r="A1165" s="111"/>
      <c r="B1165" s="111"/>
      <c r="C1165" s="112"/>
      <c r="D1165" s="101"/>
      <c r="E1165" s="101"/>
      <c r="F1165" s="101"/>
      <c r="G1165" s="111"/>
      <c r="H1165" s="101"/>
      <c r="I1165" s="101"/>
      <c r="J1165" s="101"/>
      <c r="K1165" s="101"/>
      <c r="L1165" s="101"/>
      <c r="M1165" s="101"/>
      <c r="N1165" s="101"/>
      <c r="O1165" s="101"/>
      <c r="P1165" s="101"/>
      <c r="Q1165" s="101"/>
      <c r="R1165" s="101"/>
      <c r="S1165" s="101"/>
      <c r="T1165" s="101"/>
      <c r="U1165" s="101"/>
      <c r="V1165" s="101"/>
      <c r="W1165" s="101"/>
      <c r="X1165" s="101"/>
      <c r="Y1165" s="114"/>
      <c r="Z1165" s="114"/>
      <c r="AA1165" s="114"/>
      <c r="AB1165" s="114"/>
      <c r="AC1165" s="114"/>
      <c r="AD1165" s="114"/>
      <c r="AE1165" s="114"/>
      <c r="AF1165" s="114"/>
      <c r="AG1165" s="114"/>
      <c r="AH1165" s="114"/>
      <c r="AI1165" s="114"/>
      <c r="AJ1165" s="114"/>
      <c r="AK1165" s="114"/>
      <c r="AL1165" s="114"/>
      <c r="AM1165" s="114"/>
      <c r="AN1165" s="114"/>
      <c r="AO1165" s="114"/>
      <c r="AP1165" s="114"/>
      <c r="AQ1165" s="114"/>
      <c r="AR1165" s="114"/>
      <c r="AS1165" s="114"/>
      <c r="AT1165" s="114"/>
      <c r="AU1165" s="114"/>
      <c r="AV1165" s="114"/>
      <c r="AW1165" s="114"/>
      <c r="AX1165" s="114"/>
      <c r="AY1165" s="114"/>
      <c r="AZ1165" s="114"/>
    </row>
    <row r="1166" spans="1:52">
      <c r="A1166" s="111"/>
      <c r="B1166" s="111"/>
      <c r="C1166" s="112"/>
      <c r="D1166" s="101"/>
      <c r="E1166" s="101"/>
      <c r="F1166" s="101"/>
      <c r="G1166" s="111"/>
      <c r="H1166" s="101"/>
      <c r="I1166" s="101"/>
      <c r="J1166" s="101"/>
      <c r="K1166" s="101"/>
      <c r="L1166" s="101"/>
      <c r="M1166" s="101"/>
      <c r="N1166" s="101"/>
      <c r="O1166" s="101"/>
      <c r="P1166" s="101"/>
      <c r="Q1166" s="101"/>
      <c r="R1166" s="101"/>
      <c r="S1166" s="101"/>
      <c r="T1166" s="101"/>
      <c r="U1166" s="101"/>
      <c r="V1166" s="101"/>
      <c r="W1166" s="101"/>
      <c r="X1166" s="101"/>
      <c r="Y1166" s="114"/>
      <c r="Z1166" s="114"/>
      <c r="AA1166" s="114"/>
      <c r="AB1166" s="114"/>
      <c r="AC1166" s="114"/>
      <c r="AD1166" s="114"/>
      <c r="AE1166" s="114"/>
      <c r="AF1166" s="114"/>
      <c r="AG1166" s="114"/>
      <c r="AH1166" s="114"/>
      <c r="AI1166" s="114"/>
      <c r="AJ1166" s="114"/>
      <c r="AK1166" s="114"/>
      <c r="AL1166" s="114"/>
      <c r="AM1166" s="114"/>
      <c r="AN1166" s="114"/>
      <c r="AO1166" s="114"/>
      <c r="AP1166" s="114"/>
      <c r="AQ1166" s="114"/>
      <c r="AR1166" s="114"/>
      <c r="AS1166" s="114"/>
      <c r="AT1166" s="114"/>
      <c r="AU1166" s="114"/>
      <c r="AV1166" s="114"/>
      <c r="AW1166" s="114"/>
      <c r="AX1166" s="114"/>
      <c r="AY1166" s="114"/>
      <c r="AZ1166" s="114"/>
    </row>
    <row r="1167" spans="1:52">
      <c r="A1167" s="111"/>
      <c r="B1167" s="111"/>
      <c r="C1167" s="112"/>
      <c r="D1167" s="101"/>
      <c r="E1167" s="101"/>
      <c r="F1167" s="101"/>
      <c r="G1167" s="111"/>
      <c r="H1167" s="101"/>
      <c r="I1167" s="101"/>
      <c r="J1167" s="101"/>
      <c r="K1167" s="101"/>
      <c r="L1167" s="101"/>
      <c r="M1167" s="101"/>
      <c r="N1167" s="101"/>
      <c r="O1167" s="101"/>
      <c r="P1167" s="101"/>
      <c r="Q1167" s="101"/>
      <c r="R1167" s="101"/>
      <c r="S1167" s="101"/>
      <c r="T1167" s="101"/>
      <c r="U1167" s="101"/>
      <c r="V1167" s="101"/>
      <c r="W1167" s="101"/>
      <c r="X1167" s="101"/>
      <c r="Y1167" s="114"/>
      <c r="Z1167" s="114"/>
      <c r="AA1167" s="114"/>
      <c r="AB1167" s="114"/>
      <c r="AC1167" s="114"/>
      <c r="AD1167" s="114"/>
      <c r="AE1167" s="114"/>
      <c r="AF1167" s="114"/>
      <c r="AG1167" s="114"/>
      <c r="AH1167" s="114"/>
      <c r="AI1167" s="114"/>
      <c r="AJ1167" s="114"/>
      <c r="AK1167" s="114"/>
      <c r="AL1167" s="114"/>
      <c r="AM1167" s="114"/>
      <c r="AN1167" s="114"/>
      <c r="AO1167" s="114"/>
      <c r="AP1167" s="114"/>
      <c r="AQ1167" s="114"/>
      <c r="AR1167" s="114"/>
      <c r="AS1167" s="114"/>
      <c r="AT1167" s="114"/>
      <c r="AU1167" s="114"/>
      <c r="AV1167" s="114"/>
      <c r="AW1167" s="114"/>
      <c r="AX1167" s="114"/>
      <c r="AY1167" s="114"/>
      <c r="AZ1167" s="114"/>
    </row>
    <row r="1168" spans="1:52">
      <c r="A1168" s="111"/>
      <c r="B1168" s="111"/>
      <c r="C1168" s="112"/>
      <c r="D1168" s="101"/>
      <c r="E1168" s="101"/>
      <c r="F1168" s="101"/>
      <c r="G1168" s="111"/>
      <c r="H1168" s="101"/>
      <c r="I1168" s="101"/>
      <c r="J1168" s="101"/>
      <c r="K1168" s="101"/>
      <c r="L1168" s="101"/>
      <c r="M1168" s="101"/>
      <c r="N1168" s="101"/>
      <c r="O1168" s="101"/>
      <c r="P1168" s="101"/>
      <c r="Q1168" s="101"/>
      <c r="R1168" s="101"/>
      <c r="S1168" s="101"/>
      <c r="T1168" s="101"/>
      <c r="U1168" s="101"/>
      <c r="V1168" s="101"/>
      <c r="W1168" s="101"/>
      <c r="X1168" s="101"/>
      <c r="Y1168" s="114"/>
      <c r="Z1168" s="114"/>
      <c r="AA1168" s="114"/>
      <c r="AB1168" s="114"/>
      <c r="AC1168" s="114"/>
      <c r="AD1168" s="114"/>
      <c r="AE1168" s="114"/>
      <c r="AF1168" s="114"/>
      <c r="AG1168" s="114"/>
      <c r="AH1168" s="114"/>
      <c r="AI1168" s="114"/>
      <c r="AJ1168" s="114"/>
      <c r="AK1168" s="114"/>
      <c r="AL1168" s="114"/>
      <c r="AM1168" s="114"/>
      <c r="AN1168" s="114"/>
      <c r="AO1168" s="114"/>
      <c r="AP1168" s="114"/>
      <c r="AQ1168" s="114"/>
      <c r="AR1168" s="114"/>
      <c r="AS1168" s="114"/>
      <c r="AT1168" s="114"/>
      <c r="AU1168" s="114"/>
      <c r="AV1168" s="114"/>
      <c r="AW1168" s="114"/>
      <c r="AX1168" s="114"/>
      <c r="AY1168" s="114"/>
      <c r="AZ1168" s="114"/>
    </row>
    <row r="1169" spans="1:52">
      <c r="A1169" s="111"/>
      <c r="B1169" s="111"/>
      <c r="C1169" s="112"/>
      <c r="D1169" s="101"/>
      <c r="E1169" s="101"/>
      <c r="F1169" s="101"/>
      <c r="G1169" s="111"/>
      <c r="H1169" s="101"/>
      <c r="I1169" s="101"/>
      <c r="J1169" s="101"/>
      <c r="K1169" s="101"/>
      <c r="L1169" s="101"/>
      <c r="M1169" s="101"/>
      <c r="N1169" s="101"/>
      <c r="O1169" s="101"/>
      <c r="P1169" s="101"/>
      <c r="Q1169" s="101"/>
      <c r="R1169" s="101"/>
      <c r="S1169" s="101"/>
      <c r="T1169" s="101"/>
      <c r="U1169" s="101"/>
      <c r="V1169" s="101"/>
      <c r="W1169" s="101"/>
      <c r="X1169" s="101"/>
      <c r="Y1169" s="114"/>
      <c r="Z1169" s="114"/>
      <c r="AA1169" s="114"/>
      <c r="AB1169" s="114"/>
      <c r="AC1169" s="114"/>
      <c r="AD1169" s="114"/>
      <c r="AE1169" s="114"/>
      <c r="AF1169" s="114"/>
      <c r="AG1169" s="114"/>
      <c r="AH1169" s="114"/>
      <c r="AI1169" s="114"/>
      <c r="AJ1169" s="114"/>
      <c r="AK1169" s="114"/>
      <c r="AL1169" s="114"/>
      <c r="AM1169" s="114"/>
      <c r="AN1169" s="114"/>
      <c r="AO1169" s="114"/>
      <c r="AP1169" s="114"/>
      <c r="AQ1169" s="114"/>
      <c r="AR1169" s="114"/>
      <c r="AS1169" s="114"/>
      <c r="AT1169" s="114"/>
      <c r="AU1169" s="114"/>
      <c r="AV1169" s="114"/>
      <c r="AW1169" s="114"/>
      <c r="AX1169" s="114"/>
      <c r="AY1169" s="114"/>
      <c r="AZ1169" s="114"/>
    </row>
    <row r="1170" spans="1:52">
      <c r="A1170" s="111"/>
      <c r="B1170" s="111"/>
      <c r="C1170" s="112"/>
      <c r="D1170" s="101"/>
      <c r="E1170" s="101"/>
      <c r="F1170" s="101"/>
      <c r="G1170" s="111"/>
      <c r="H1170" s="101"/>
      <c r="I1170" s="101"/>
      <c r="J1170" s="101"/>
      <c r="K1170" s="101"/>
      <c r="L1170" s="101"/>
      <c r="M1170" s="101"/>
      <c r="N1170" s="101"/>
      <c r="O1170" s="101"/>
      <c r="P1170" s="101"/>
      <c r="Q1170" s="101"/>
      <c r="R1170" s="101"/>
      <c r="S1170" s="101"/>
      <c r="T1170" s="101"/>
      <c r="U1170" s="101"/>
      <c r="V1170" s="101"/>
      <c r="W1170" s="101"/>
      <c r="X1170" s="101"/>
      <c r="Y1170" s="114"/>
      <c r="Z1170" s="114"/>
      <c r="AA1170" s="114"/>
      <c r="AB1170" s="114"/>
      <c r="AC1170" s="114"/>
      <c r="AD1170" s="114"/>
      <c r="AE1170" s="114"/>
      <c r="AF1170" s="114"/>
      <c r="AG1170" s="114"/>
      <c r="AH1170" s="114"/>
      <c r="AI1170" s="114"/>
      <c r="AJ1170" s="114"/>
      <c r="AK1170" s="114"/>
      <c r="AL1170" s="114"/>
      <c r="AM1170" s="114"/>
      <c r="AN1170" s="114"/>
      <c r="AO1170" s="114"/>
      <c r="AP1170" s="114"/>
      <c r="AQ1170" s="114"/>
      <c r="AR1170" s="114"/>
      <c r="AS1170" s="114"/>
      <c r="AT1170" s="114"/>
      <c r="AU1170" s="114"/>
      <c r="AV1170" s="114"/>
      <c r="AW1170" s="114"/>
      <c r="AX1170" s="114"/>
      <c r="AY1170" s="114"/>
      <c r="AZ1170" s="114"/>
    </row>
    <row r="1171" spans="1:52">
      <c r="A1171" s="111"/>
      <c r="B1171" s="111"/>
      <c r="C1171" s="112"/>
      <c r="D1171" s="101"/>
      <c r="E1171" s="101"/>
      <c r="F1171" s="101"/>
      <c r="G1171" s="111"/>
      <c r="H1171" s="101"/>
      <c r="I1171" s="101"/>
      <c r="J1171" s="101"/>
      <c r="K1171" s="101"/>
      <c r="L1171" s="101"/>
      <c r="M1171" s="101"/>
      <c r="N1171" s="101"/>
      <c r="O1171" s="101"/>
      <c r="P1171" s="101"/>
      <c r="Q1171" s="101"/>
      <c r="R1171" s="101"/>
      <c r="S1171" s="101"/>
      <c r="T1171" s="101"/>
      <c r="U1171" s="101"/>
      <c r="V1171" s="101"/>
      <c r="W1171" s="101"/>
      <c r="X1171" s="101"/>
      <c r="Y1171" s="114"/>
      <c r="Z1171" s="114"/>
      <c r="AA1171" s="114"/>
      <c r="AB1171" s="114"/>
      <c r="AC1171" s="114"/>
      <c r="AD1171" s="114"/>
      <c r="AE1171" s="114"/>
      <c r="AF1171" s="114"/>
      <c r="AG1171" s="114"/>
      <c r="AH1171" s="114"/>
      <c r="AI1171" s="114"/>
      <c r="AJ1171" s="114"/>
      <c r="AK1171" s="114"/>
      <c r="AL1171" s="114"/>
      <c r="AM1171" s="114"/>
      <c r="AN1171" s="114"/>
      <c r="AO1171" s="114"/>
      <c r="AP1171" s="114"/>
      <c r="AQ1171" s="114"/>
      <c r="AR1171" s="114"/>
      <c r="AS1171" s="114"/>
      <c r="AT1171" s="114"/>
      <c r="AU1171" s="114"/>
      <c r="AV1171" s="114"/>
      <c r="AW1171" s="114"/>
      <c r="AX1171" s="114"/>
      <c r="AY1171" s="114"/>
      <c r="AZ1171" s="114"/>
    </row>
    <row r="1172" spans="1:52">
      <c r="A1172" s="111"/>
      <c r="B1172" s="111"/>
      <c r="C1172" s="112"/>
      <c r="D1172" s="101"/>
      <c r="E1172" s="101"/>
      <c r="F1172" s="101"/>
      <c r="G1172" s="111"/>
      <c r="H1172" s="101"/>
      <c r="I1172" s="101"/>
      <c r="J1172" s="101"/>
      <c r="K1172" s="101"/>
      <c r="L1172" s="101"/>
      <c r="M1172" s="101"/>
      <c r="N1172" s="101"/>
      <c r="O1172" s="101"/>
      <c r="P1172" s="101"/>
      <c r="Q1172" s="101"/>
      <c r="R1172" s="101"/>
      <c r="S1172" s="101"/>
      <c r="T1172" s="101"/>
      <c r="U1172" s="101"/>
      <c r="V1172" s="101"/>
      <c r="W1172" s="101"/>
      <c r="X1172" s="101"/>
      <c r="Y1172" s="114"/>
      <c r="Z1172" s="114"/>
      <c r="AA1172" s="114"/>
      <c r="AB1172" s="114"/>
      <c r="AC1172" s="114"/>
      <c r="AD1172" s="114"/>
      <c r="AE1172" s="114"/>
      <c r="AF1172" s="114"/>
      <c r="AG1172" s="114"/>
      <c r="AH1172" s="114"/>
      <c r="AI1172" s="114"/>
      <c r="AJ1172" s="114"/>
      <c r="AK1172" s="114"/>
      <c r="AL1172" s="114"/>
      <c r="AM1172" s="114"/>
      <c r="AN1172" s="114"/>
      <c r="AO1172" s="114"/>
      <c r="AP1172" s="114"/>
      <c r="AQ1172" s="114"/>
      <c r="AR1172" s="114"/>
      <c r="AS1172" s="114"/>
      <c r="AT1172" s="114"/>
      <c r="AU1172" s="114"/>
      <c r="AV1172" s="114"/>
      <c r="AW1172" s="114"/>
      <c r="AX1172" s="114"/>
      <c r="AY1172" s="114"/>
      <c r="AZ1172" s="114"/>
    </row>
    <row r="1173" spans="1:52">
      <c r="A1173" s="111"/>
      <c r="B1173" s="111"/>
      <c r="C1173" s="112"/>
      <c r="D1173" s="101"/>
      <c r="E1173" s="101"/>
      <c r="F1173" s="101"/>
      <c r="G1173" s="111"/>
      <c r="H1173" s="101"/>
      <c r="I1173" s="101"/>
      <c r="J1173" s="101"/>
      <c r="K1173" s="101"/>
      <c r="L1173" s="101"/>
      <c r="M1173" s="101"/>
      <c r="N1173" s="101"/>
      <c r="O1173" s="101"/>
      <c r="P1173" s="101"/>
      <c r="Q1173" s="101"/>
      <c r="R1173" s="101"/>
      <c r="S1173" s="101"/>
      <c r="T1173" s="101"/>
      <c r="U1173" s="101"/>
      <c r="V1173" s="101"/>
      <c r="W1173" s="101"/>
      <c r="X1173" s="101"/>
      <c r="Y1173" s="114"/>
      <c r="Z1173" s="114"/>
      <c r="AA1173" s="114"/>
      <c r="AB1173" s="114"/>
      <c r="AC1173" s="114"/>
      <c r="AD1173" s="114"/>
      <c r="AE1173" s="114"/>
      <c r="AF1173" s="114"/>
      <c r="AG1173" s="114"/>
      <c r="AH1173" s="114"/>
      <c r="AI1173" s="114"/>
      <c r="AJ1173" s="114"/>
      <c r="AK1173" s="114"/>
      <c r="AL1173" s="114"/>
      <c r="AM1173" s="114"/>
      <c r="AN1173" s="114"/>
      <c r="AO1173" s="114"/>
      <c r="AP1173" s="114"/>
      <c r="AQ1173" s="114"/>
      <c r="AR1173" s="114"/>
      <c r="AS1173" s="114"/>
      <c r="AT1173" s="114"/>
      <c r="AU1173" s="114"/>
      <c r="AV1173" s="114"/>
      <c r="AW1173" s="114"/>
      <c r="AX1173" s="114"/>
      <c r="AY1173" s="114"/>
      <c r="AZ1173" s="114"/>
    </row>
    <row r="1174" spans="1:52">
      <c r="A1174" s="111"/>
      <c r="B1174" s="111"/>
      <c r="C1174" s="112"/>
      <c r="D1174" s="101"/>
      <c r="E1174" s="101"/>
      <c r="F1174" s="101"/>
      <c r="G1174" s="111"/>
      <c r="H1174" s="101"/>
      <c r="I1174" s="101"/>
      <c r="J1174" s="101"/>
      <c r="K1174" s="101"/>
      <c r="L1174" s="101"/>
      <c r="M1174" s="101"/>
      <c r="N1174" s="101"/>
      <c r="O1174" s="101"/>
      <c r="P1174" s="101"/>
      <c r="Q1174" s="101"/>
      <c r="R1174" s="101"/>
      <c r="S1174" s="101"/>
      <c r="T1174" s="101"/>
      <c r="U1174" s="101"/>
      <c r="V1174" s="101"/>
      <c r="W1174" s="101"/>
      <c r="X1174" s="101"/>
      <c r="Y1174" s="114"/>
      <c r="Z1174" s="114"/>
      <c r="AA1174" s="114"/>
      <c r="AB1174" s="114"/>
      <c r="AC1174" s="114"/>
      <c r="AD1174" s="114"/>
      <c r="AE1174" s="114"/>
      <c r="AF1174" s="114"/>
      <c r="AG1174" s="114"/>
      <c r="AH1174" s="114"/>
      <c r="AI1174" s="114"/>
      <c r="AJ1174" s="114"/>
      <c r="AK1174" s="114"/>
      <c r="AL1174" s="114"/>
      <c r="AM1174" s="114"/>
      <c r="AN1174" s="114"/>
      <c r="AO1174" s="114"/>
      <c r="AP1174" s="114"/>
      <c r="AQ1174" s="114"/>
      <c r="AR1174" s="114"/>
      <c r="AS1174" s="114"/>
      <c r="AT1174" s="114"/>
      <c r="AU1174" s="114"/>
      <c r="AV1174" s="114"/>
      <c r="AW1174" s="114"/>
      <c r="AX1174" s="114"/>
      <c r="AY1174" s="114"/>
      <c r="AZ1174" s="114"/>
    </row>
    <row r="1175" spans="1:52">
      <c r="A1175" s="111"/>
      <c r="B1175" s="111"/>
      <c r="C1175" s="112"/>
      <c r="D1175" s="101"/>
      <c r="E1175" s="101"/>
      <c r="F1175" s="101"/>
      <c r="G1175" s="111"/>
      <c r="H1175" s="101"/>
      <c r="I1175" s="101"/>
      <c r="J1175" s="101"/>
      <c r="K1175" s="101"/>
      <c r="L1175" s="101"/>
      <c r="M1175" s="101"/>
      <c r="N1175" s="101"/>
      <c r="O1175" s="101"/>
      <c r="P1175" s="101"/>
      <c r="Q1175" s="101"/>
      <c r="R1175" s="101"/>
      <c r="S1175" s="101"/>
      <c r="T1175" s="101"/>
      <c r="U1175" s="101"/>
      <c r="V1175" s="101"/>
      <c r="W1175" s="101"/>
      <c r="X1175" s="101"/>
      <c r="Y1175" s="114"/>
      <c r="Z1175" s="114"/>
      <c r="AA1175" s="114"/>
      <c r="AB1175" s="114"/>
      <c r="AC1175" s="114"/>
      <c r="AD1175" s="114"/>
      <c r="AE1175" s="114"/>
      <c r="AF1175" s="114"/>
      <c r="AG1175" s="114"/>
      <c r="AH1175" s="114"/>
      <c r="AI1175" s="114"/>
      <c r="AJ1175" s="114"/>
      <c r="AK1175" s="114"/>
      <c r="AL1175" s="114"/>
      <c r="AM1175" s="114"/>
      <c r="AN1175" s="114"/>
      <c r="AO1175" s="114"/>
      <c r="AP1175" s="114"/>
      <c r="AQ1175" s="114"/>
      <c r="AR1175" s="114"/>
      <c r="AS1175" s="114"/>
      <c r="AT1175" s="114"/>
      <c r="AU1175" s="114"/>
      <c r="AV1175" s="114"/>
      <c r="AW1175" s="114"/>
      <c r="AX1175" s="114"/>
      <c r="AY1175" s="114"/>
      <c r="AZ1175" s="114"/>
    </row>
    <row r="1176" spans="1:52">
      <c r="A1176" s="111"/>
      <c r="B1176" s="111"/>
      <c r="C1176" s="112"/>
      <c r="D1176" s="101"/>
      <c r="E1176" s="101"/>
      <c r="F1176" s="101"/>
      <c r="G1176" s="111"/>
      <c r="H1176" s="101"/>
      <c r="I1176" s="101"/>
      <c r="J1176" s="101"/>
      <c r="K1176" s="101"/>
      <c r="L1176" s="101"/>
      <c r="M1176" s="101"/>
      <c r="N1176" s="101"/>
      <c r="O1176" s="101"/>
      <c r="P1176" s="101"/>
      <c r="Q1176" s="101"/>
      <c r="R1176" s="101"/>
      <c r="S1176" s="101"/>
      <c r="T1176" s="101"/>
      <c r="U1176" s="101"/>
      <c r="V1176" s="101"/>
      <c r="W1176" s="101"/>
      <c r="X1176" s="101"/>
      <c r="Y1176" s="114"/>
      <c r="Z1176" s="114"/>
      <c r="AA1176" s="114"/>
      <c r="AB1176" s="114"/>
      <c r="AC1176" s="114"/>
      <c r="AD1176" s="114"/>
      <c r="AE1176" s="114"/>
      <c r="AF1176" s="114"/>
      <c r="AG1176" s="114"/>
      <c r="AH1176" s="114"/>
      <c r="AI1176" s="114"/>
      <c r="AJ1176" s="114"/>
      <c r="AK1176" s="114"/>
      <c r="AL1176" s="114"/>
      <c r="AM1176" s="114"/>
      <c r="AN1176" s="114"/>
      <c r="AO1176" s="114"/>
      <c r="AP1176" s="114"/>
      <c r="AQ1176" s="114"/>
      <c r="AR1176" s="114"/>
      <c r="AS1176" s="114"/>
      <c r="AT1176" s="114"/>
      <c r="AU1176" s="114"/>
      <c r="AV1176" s="114"/>
      <c r="AW1176" s="114"/>
      <c r="AX1176" s="114"/>
      <c r="AY1176" s="114"/>
      <c r="AZ1176" s="114"/>
    </row>
    <row r="1177" spans="1:52">
      <c r="A1177" s="111"/>
      <c r="B1177" s="111"/>
      <c r="C1177" s="112"/>
      <c r="D1177" s="101"/>
      <c r="E1177" s="101"/>
      <c r="F1177" s="101"/>
      <c r="G1177" s="111"/>
      <c r="H1177" s="101"/>
      <c r="I1177" s="101"/>
      <c r="J1177" s="101"/>
      <c r="K1177" s="101"/>
      <c r="L1177" s="101"/>
      <c r="M1177" s="101"/>
      <c r="N1177" s="101"/>
      <c r="O1177" s="101"/>
      <c r="P1177" s="101"/>
      <c r="Q1177" s="101"/>
      <c r="R1177" s="101"/>
      <c r="S1177" s="101"/>
      <c r="T1177" s="101"/>
      <c r="U1177" s="101"/>
      <c r="V1177" s="101"/>
      <c r="W1177" s="101"/>
      <c r="X1177" s="101"/>
      <c r="Y1177" s="114"/>
      <c r="Z1177" s="114"/>
      <c r="AA1177" s="114"/>
      <c r="AB1177" s="114"/>
      <c r="AC1177" s="114"/>
      <c r="AD1177" s="114"/>
      <c r="AE1177" s="114"/>
      <c r="AF1177" s="114"/>
      <c r="AG1177" s="114"/>
      <c r="AH1177" s="114"/>
      <c r="AI1177" s="114"/>
      <c r="AJ1177" s="114"/>
      <c r="AK1177" s="114"/>
      <c r="AL1177" s="114"/>
      <c r="AM1177" s="114"/>
      <c r="AN1177" s="114"/>
      <c r="AO1177" s="114"/>
      <c r="AP1177" s="114"/>
      <c r="AQ1177" s="114"/>
      <c r="AR1177" s="114"/>
      <c r="AS1177" s="114"/>
      <c r="AT1177" s="114"/>
      <c r="AU1177" s="114"/>
      <c r="AV1177" s="114"/>
      <c r="AW1177" s="114"/>
      <c r="AX1177" s="114"/>
      <c r="AY1177" s="114"/>
      <c r="AZ1177" s="114"/>
    </row>
    <row r="1178" spans="1:52">
      <c r="A1178" s="111"/>
      <c r="B1178" s="111"/>
      <c r="C1178" s="112"/>
      <c r="D1178" s="101"/>
      <c r="E1178" s="101"/>
      <c r="F1178" s="101"/>
      <c r="G1178" s="111"/>
      <c r="H1178" s="101"/>
      <c r="I1178" s="101"/>
      <c r="J1178" s="101"/>
      <c r="K1178" s="101"/>
      <c r="L1178" s="101"/>
      <c r="M1178" s="101"/>
      <c r="N1178" s="101"/>
      <c r="O1178" s="101"/>
      <c r="P1178" s="101"/>
      <c r="Q1178" s="101"/>
      <c r="R1178" s="101"/>
      <c r="S1178" s="101"/>
      <c r="T1178" s="101"/>
      <c r="U1178" s="101"/>
      <c r="V1178" s="101"/>
      <c r="W1178" s="101"/>
      <c r="X1178" s="101"/>
      <c r="Y1178" s="114"/>
      <c r="Z1178" s="114"/>
      <c r="AA1178" s="114"/>
      <c r="AB1178" s="114"/>
      <c r="AC1178" s="114"/>
      <c r="AD1178" s="114"/>
      <c r="AE1178" s="114"/>
      <c r="AF1178" s="114"/>
      <c r="AG1178" s="114"/>
      <c r="AH1178" s="114"/>
      <c r="AI1178" s="114"/>
      <c r="AJ1178" s="114"/>
      <c r="AK1178" s="114"/>
      <c r="AL1178" s="114"/>
      <c r="AM1178" s="114"/>
      <c r="AN1178" s="114"/>
      <c r="AO1178" s="114"/>
      <c r="AP1178" s="114"/>
      <c r="AQ1178" s="114"/>
      <c r="AR1178" s="114"/>
      <c r="AS1178" s="114"/>
      <c r="AT1178" s="114"/>
      <c r="AU1178" s="114"/>
      <c r="AV1178" s="114"/>
      <c r="AW1178" s="114"/>
      <c r="AX1178" s="114"/>
      <c r="AY1178" s="114"/>
      <c r="AZ1178" s="114"/>
    </row>
    <row r="1179" spans="1:52">
      <c r="A1179" s="111"/>
      <c r="B1179" s="111"/>
      <c r="C1179" s="112"/>
      <c r="D1179" s="101"/>
      <c r="E1179" s="101"/>
      <c r="F1179" s="101"/>
      <c r="G1179" s="111"/>
      <c r="H1179" s="101"/>
      <c r="I1179" s="101"/>
      <c r="J1179" s="101"/>
      <c r="K1179" s="101"/>
      <c r="L1179" s="101"/>
      <c r="M1179" s="101"/>
      <c r="N1179" s="101"/>
      <c r="O1179" s="101"/>
      <c r="P1179" s="101"/>
      <c r="Q1179" s="101"/>
      <c r="R1179" s="101"/>
      <c r="S1179" s="101"/>
      <c r="T1179" s="101"/>
      <c r="U1179" s="101"/>
      <c r="V1179" s="101"/>
      <c r="W1179" s="101"/>
      <c r="X1179" s="101"/>
      <c r="Y1179" s="114"/>
      <c r="Z1179" s="114"/>
      <c r="AA1179" s="114"/>
      <c r="AB1179" s="114"/>
      <c r="AC1179" s="114"/>
      <c r="AD1179" s="114"/>
      <c r="AE1179" s="114"/>
      <c r="AF1179" s="114"/>
      <c r="AG1179" s="114"/>
      <c r="AH1179" s="114"/>
      <c r="AI1179" s="114"/>
      <c r="AJ1179" s="114"/>
      <c r="AK1179" s="114"/>
      <c r="AL1179" s="114"/>
      <c r="AM1179" s="114"/>
      <c r="AN1179" s="114"/>
      <c r="AO1179" s="114"/>
      <c r="AP1179" s="114"/>
      <c r="AQ1179" s="114"/>
      <c r="AR1179" s="114"/>
      <c r="AS1179" s="114"/>
      <c r="AT1179" s="114"/>
      <c r="AU1179" s="114"/>
      <c r="AV1179" s="114"/>
      <c r="AW1179" s="114"/>
      <c r="AX1179" s="114"/>
      <c r="AY1179" s="114"/>
      <c r="AZ1179" s="114"/>
    </row>
    <row r="1180" spans="1:52">
      <c r="A1180" s="111"/>
      <c r="B1180" s="111"/>
      <c r="C1180" s="112"/>
      <c r="D1180" s="101"/>
      <c r="E1180" s="101"/>
      <c r="F1180" s="101"/>
      <c r="G1180" s="111"/>
      <c r="H1180" s="101"/>
      <c r="I1180" s="101"/>
      <c r="J1180" s="101"/>
      <c r="K1180" s="101"/>
      <c r="L1180" s="101"/>
      <c r="M1180" s="101"/>
      <c r="N1180" s="101"/>
      <c r="O1180" s="101"/>
      <c r="P1180" s="101"/>
      <c r="Q1180" s="101"/>
      <c r="R1180" s="101"/>
      <c r="S1180" s="101"/>
      <c r="T1180" s="101"/>
      <c r="U1180" s="101"/>
      <c r="V1180" s="101"/>
      <c r="W1180" s="101"/>
      <c r="X1180" s="101"/>
      <c r="Y1180" s="114"/>
      <c r="Z1180" s="114"/>
      <c r="AA1180" s="114"/>
      <c r="AB1180" s="114"/>
      <c r="AC1180" s="114"/>
      <c r="AD1180" s="114"/>
      <c r="AE1180" s="114"/>
      <c r="AF1180" s="114"/>
      <c r="AG1180" s="114"/>
      <c r="AH1180" s="114"/>
      <c r="AI1180" s="114"/>
      <c r="AJ1180" s="114"/>
      <c r="AK1180" s="114"/>
      <c r="AL1180" s="114"/>
      <c r="AM1180" s="114"/>
      <c r="AN1180" s="114"/>
      <c r="AO1180" s="114"/>
      <c r="AP1180" s="114"/>
      <c r="AQ1180" s="114"/>
      <c r="AR1180" s="114"/>
      <c r="AS1180" s="114"/>
      <c r="AT1180" s="114"/>
      <c r="AU1180" s="114"/>
      <c r="AV1180" s="114"/>
      <c r="AW1180" s="114"/>
      <c r="AX1180" s="114"/>
      <c r="AY1180" s="114"/>
      <c r="AZ1180" s="114"/>
    </row>
    <row r="1181" spans="1:52">
      <c r="A1181" s="111"/>
      <c r="B1181" s="111"/>
      <c r="C1181" s="112"/>
      <c r="D1181" s="101"/>
      <c r="E1181" s="101"/>
      <c r="F1181" s="101"/>
      <c r="G1181" s="111"/>
      <c r="H1181" s="101"/>
      <c r="I1181" s="101"/>
      <c r="J1181" s="101"/>
      <c r="K1181" s="101"/>
      <c r="L1181" s="101"/>
      <c r="M1181" s="101"/>
      <c r="N1181" s="101"/>
      <c r="O1181" s="101"/>
      <c r="P1181" s="101"/>
      <c r="Q1181" s="101"/>
      <c r="R1181" s="101"/>
      <c r="S1181" s="101"/>
      <c r="T1181" s="101"/>
      <c r="U1181" s="101"/>
      <c r="V1181" s="101"/>
      <c r="W1181" s="101"/>
      <c r="X1181" s="101"/>
      <c r="Y1181" s="114"/>
      <c r="Z1181" s="114"/>
      <c r="AA1181" s="114"/>
      <c r="AB1181" s="114"/>
      <c r="AC1181" s="114"/>
      <c r="AD1181" s="114"/>
      <c r="AE1181" s="114"/>
      <c r="AF1181" s="114"/>
      <c r="AG1181" s="114"/>
      <c r="AH1181" s="114"/>
      <c r="AI1181" s="114"/>
      <c r="AJ1181" s="114"/>
      <c r="AK1181" s="114"/>
      <c r="AL1181" s="114"/>
      <c r="AM1181" s="114"/>
      <c r="AN1181" s="114"/>
      <c r="AO1181" s="114"/>
      <c r="AP1181" s="114"/>
      <c r="AQ1181" s="114"/>
      <c r="AR1181" s="114"/>
      <c r="AS1181" s="114"/>
      <c r="AT1181" s="114"/>
      <c r="AU1181" s="114"/>
      <c r="AV1181" s="114"/>
      <c r="AW1181" s="114"/>
      <c r="AX1181" s="114"/>
      <c r="AY1181" s="114"/>
      <c r="AZ1181" s="114"/>
    </row>
    <row r="1182" spans="1:52">
      <c r="A1182" s="111"/>
      <c r="B1182" s="111"/>
      <c r="C1182" s="112"/>
      <c r="D1182" s="101"/>
      <c r="E1182" s="101"/>
      <c r="F1182" s="101"/>
      <c r="G1182" s="111"/>
      <c r="H1182" s="101"/>
      <c r="I1182" s="101"/>
      <c r="J1182" s="101"/>
      <c r="K1182" s="101"/>
      <c r="L1182" s="101"/>
      <c r="M1182" s="101"/>
      <c r="N1182" s="101"/>
      <c r="O1182" s="101"/>
      <c r="P1182" s="101"/>
      <c r="Q1182" s="101"/>
      <c r="R1182" s="101"/>
      <c r="S1182" s="101"/>
      <c r="T1182" s="101"/>
      <c r="U1182" s="101"/>
      <c r="V1182" s="101"/>
      <c r="W1182" s="101"/>
      <c r="X1182" s="101"/>
      <c r="Y1182" s="114"/>
      <c r="Z1182" s="114"/>
      <c r="AA1182" s="114"/>
      <c r="AB1182" s="114"/>
      <c r="AC1182" s="114"/>
      <c r="AD1182" s="114"/>
      <c r="AE1182" s="114"/>
      <c r="AF1182" s="114"/>
      <c r="AG1182" s="114"/>
      <c r="AH1182" s="114"/>
      <c r="AI1182" s="114"/>
      <c r="AJ1182" s="114"/>
      <c r="AK1182" s="114"/>
      <c r="AL1182" s="114"/>
      <c r="AM1182" s="114"/>
      <c r="AN1182" s="114"/>
      <c r="AO1182" s="114"/>
      <c r="AP1182" s="114"/>
      <c r="AQ1182" s="114"/>
      <c r="AR1182" s="114"/>
      <c r="AS1182" s="114"/>
      <c r="AT1182" s="114"/>
      <c r="AU1182" s="114"/>
      <c r="AV1182" s="114"/>
      <c r="AW1182" s="114"/>
      <c r="AX1182" s="114"/>
      <c r="AY1182" s="114"/>
      <c r="AZ1182" s="114"/>
    </row>
    <row r="1183" spans="1:52">
      <c r="A1183" s="111"/>
      <c r="B1183" s="111"/>
      <c r="C1183" s="112"/>
      <c r="D1183" s="101"/>
      <c r="E1183" s="101"/>
      <c r="F1183" s="101"/>
      <c r="G1183" s="111"/>
      <c r="H1183" s="101"/>
      <c r="I1183" s="101"/>
      <c r="J1183" s="101"/>
      <c r="K1183" s="101"/>
      <c r="L1183" s="101"/>
      <c r="M1183" s="101"/>
      <c r="N1183" s="101"/>
      <c r="O1183" s="101"/>
      <c r="P1183" s="101"/>
      <c r="Q1183" s="101"/>
      <c r="R1183" s="101"/>
      <c r="S1183" s="101"/>
      <c r="T1183" s="101"/>
      <c r="U1183" s="101"/>
      <c r="V1183" s="101"/>
      <c r="W1183" s="101"/>
      <c r="X1183" s="101"/>
      <c r="Y1183" s="114"/>
      <c r="Z1183" s="114"/>
      <c r="AA1183" s="114"/>
      <c r="AB1183" s="114"/>
      <c r="AC1183" s="114"/>
      <c r="AD1183" s="114"/>
      <c r="AE1183" s="114"/>
      <c r="AF1183" s="114"/>
      <c r="AG1183" s="114"/>
      <c r="AH1183" s="114"/>
      <c r="AI1183" s="114"/>
      <c r="AJ1183" s="114"/>
      <c r="AK1183" s="114"/>
      <c r="AL1183" s="114"/>
      <c r="AM1183" s="114"/>
      <c r="AN1183" s="114"/>
      <c r="AO1183" s="114"/>
      <c r="AP1183" s="114"/>
      <c r="AQ1183" s="114"/>
      <c r="AR1183" s="114"/>
      <c r="AS1183" s="114"/>
      <c r="AT1183" s="114"/>
      <c r="AU1183" s="114"/>
      <c r="AV1183" s="114"/>
      <c r="AW1183" s="114"/>
      <c r="AX1183" s="114"/>
      <c r="AY1183" s="114"/>
      <c r="AZ1183" s="114"/>
    </row>
    <row r="1184" spans="1:52">
      <c r="A1184" s="111"/>
      <c r="B1184" s="111"/>
      <c r="C1184" s="112"/>
      <c r="D1184" s="101"/>
      <c r="E1184" s="101"/>
      <c r="F1184" s="101"/>
      <c r="G1184" s="111"/>
      <c r="H1184" s="101"/>
      <c r="I1184" s="101"/>
      <c r="J1184" s="101"/>
      <c r="K1184" s="101"/>
      <c r="L1184" s="101"/>
      <c r="M1184" s="101"/>
      <c r="N1184" s="101"/>
      <c r="O1184" s="101"/>
      <c r="P1184" s="101"/>
      <c r="Q1184" s="101"/>
      <c r="R1184" s="101"/>
      <c r="S1184" s="101"/>
      <c r="T1184" s="101"/>
      <c r="U1184" s="101"/>
      <c r="V1184" s="101"/>
      <c r="W1184" s="101"/>
      <c r="X1184" s="101"/>
      <c r="Y1184" s="114"/>
      <c r="Z1184" s="114"/>
      <c r="AA1184" s="114"/>
      <c r="AB1184" s="114"/>
      <c r="AC1184" s="114"/>
      <c r="AD1184" s="114"/>
      <c r="AE1184" s="114"/>
      <c r="AF1184" s="114"/>
      <c r="AG1184" s="114"/>
      <c r="AH1184" s="114"/>
      <c r="AI1184" s="114"/>
      <c r="AJ1184" s="114"/>
      <c r="AK1184" s="114"/>
      <c r="AL1184" s="114"/>
      <c r="AM1184" s="114"/>
      <c r="AN1184" s="114"/>
      <c r="AO1184" s="114"/>
      <c r="AP1184" s="114"/>
      <c r="AQ1184" s="114"/>
      <c r="AR1184" s="114"/>
      <c r="AS1184" s="114"/>
      <c r="AT1184" s="114"/>
      <c r="AU1184" s="114"/>
      <c r="AV1184" s="114"/>
      <c r="AW1184" s="114"/>
      <c r="AX1184" s="114"/>
      <c r="AY1184" s="114"/>
      <c r="AZ1184" s="114"/>
    </row>
    <row r="1185" spans="1:52">
      <c r="A1185" s="111"/>
      <c r="B1185" s="111"/>
      <c r="C1185" s="112"/>
      <c r="D1185" s="101"/>
      <c r="E1185" s="101"/>
      <c r="F1185" s="101"/>
      <c r="G1185" s="111"/>
      <c r="H1185" s="101"/>
      <c r="I1185" s="101"/>
      <c r="J1185" s="101"/>
      <c r="K1185" s="101"/>
      <c r="L1185" s="101"/>
      <c r="M1185" s="101"/>
      <c r="N1185" s="101"/>
      <c r="O1185" s="101"/>
      <c r="P1185" s="101"/>
      <c r="Q1185" s="101"/>
      <c r="R1185" s="101"/>
      <c r="S1185" s="101"/>
      <c r="T1185" s="101"/>
      <c r="U1185" s="101"/>
      <c r="V1185" s="101"/>
      <c r="W1185" s="101"/>
      <c r="X1185" s="101"/>
      <c r="Y1185" s="114"/>
      <c r="Z1185" s="114"/>
      <c r="AA1185" s="114"/>
      <c r="AB1185" s="114"/>
      <c r="AC1185" s="114"/>
      <c r="AD1185" s="114"/>
      <c r="AE1185" s="114"/>
      <c r="AF1185" s="114"/>
      <c r="AG1185" s="114"/>
      <c r="AH1185" s="114"/>
      <c r="AI1185" s="114"/>
      <c r="AJ1185" s="114"/>
      <c r="AK1185" s="114"/>
      <c r="AL1185" s="114"/>
      <c r="AM1185" s="114"/>
      <c r="AN1185" s="114"/>
      <c r="AO1185" s="114"/>
      <c r="AP1185" s="114"/>
      <c r="AQ1185" s="114"/>
      <c r="AR1185" s="114"/>
      <c r="AS1185" s="114"/>
      <c r="AT1185" s="114"/>
      <c r="AU1185" s="114"/>
      <c r="AV1185" s="114"/>
      <c r="AW1185" s="114"/>
      <c r="AX1185" s="114"/>
      <c r="AY1185" s="114"/>
      <c r="AZ1185" s="114"/>
    </row>
    <row r="1186" spans="1:52">
      <c r="A1186" s="111"/>
      <c r="B1186" s="111"/>
      <c r="C1186" s="112"/>
      <c r="D1186" s="101"/>
      <c r="E1186" s="101"/>
      <c r="F1186" s="101"/>
      <c r="G1186" s="111"/>
      <c r="H1186" s="101"/>
      <c r="I1186" s="101"/>
      <c r="J1186" s="101"/>
      <c r="K1186" s="101"/>
      <c r="L1186" s="101"/>
      <c r="M1186" s="101"/>
      <c r="N1186" s="101"/>
      <c r="O1186" s="101"/>
      <c r="P1186" s="101"/>
      <c r="Q1186" s="101"/>
      <c r="R1186" s="101"/>
      <c r="S1186" s="101"/>
      <c r="T1186" s="101"/>
      <c r="U1186" s="101"/>
      <c r="V1186" s="101"/>
      <c r="W1186" s="101"/>
      <c r="X1186" s="101"/>
      <c r="Y1186" s="114"/>
      <c r="Z1186" s="114"/>
      <c r="AA1186" s="114"/>
      <c r="AB1186" s="114"/>
      <c r="AC1186" s="114"/>
      <c r="AD1186" s="114"/>
      <c r="AE1186" s="114"/>
      <c r="AF1186" s="114"/>
      <c r="AG1186" s="114"/>
      <c r="AH1186" s="114"/>
      <c r="AI1186" s="114"/>
      <c r="AJ1186" s="114"/>
      <c r="AK1186" s="114"/>
      <c r="AL1186" s="114"/>
      <c r="AM1186" s="114"/>
      <c r="AN1186" s="114"/>
      <c r="AO1186" s="114"/>
      <c r="AP1186" s="114"/>
      <c r="AQ1186" s="114"/>
      <c r="AR1186" s="114"/>
      <c r="AS1186" s="114"/>
      <c r="AT1186" s="114"/>
      <c r="AU1186" s="114"/>
      <c r="AV1186" s="114"/>
      <c r="AW1186" s="114"/>
      <c r="AX1186" s="114"/>
      <c r="AY1186" s="114"/>
      <c r="AZ1186" s="114"/>
    </row>
    <row r="1187" spans="1:52">
      <c r="A1187" s="111"/>
      <c r="B1187" s="111"/>
      <c r="C1187" s="112"/>
      <c r="D1187" s="101"/>
      <c r="E1187" s="101"/>
      <c r="F1187" s="101"/>
      <c r="G1187" s="111"/>
      <c r="H1187" s="101"/>
      <c r="I1187" s="101"/>
      <c r="J1187" s="101"/>
      <c r="K1187" s="101"/>
      <c r="L1187" s="101"/>
      <c r="M1187" s="101"/>
      <c r="N1187" s="101"/>
      <c r="O1187" s="101"/>
      <c r="P1187" s="101"/>
      <c r="Q1187" s="101"/>
      <c r="R1187" s="101"/>
      <c r="S1187" s="101"/>
      <c r="T1187" s="101"/>
      <c r="U1187" s="101"/>
      <c r="V1187" s="101"/>
      <c r="W1187" s="101"/>
      <c r="X1187" s="101"/>
      <c r="Y1187" s="114"/>
      <c r="Z1187" s="114"/>
      <c r="AA1187" s="114"/>
      <c r="AB1187" s="114"/>
      <c r="AC1187" s="114"/>
      <c r="AD1187" s="114"/>
      <c r="AE1187" s="114"/>
      <c r="AF1187" s="114"/>
      <c r="AG1187" s="114"/>
      <c r="AH1187" s="114"/>
      <c r="AI1187" s="114"/>
      <c r="AJ1187" s="114"/>
      <c r="AK1187" s="114"/>
      <c r="AL1187" s="114"/>
      <c r="AM1187" s="114"/>
      <c r="AN1187" s="114"/>
      <c r="AO1187" s="114"/>
      <c r="AP1187" s="114"/>
      <c r="AQ1187" s="114"/>
      <c r="AR1187" s="114"/>
      <c r="AS1187" s="114"/>
      <c r="AT1187" s="114"/>
      <c r="AU1187" s="114"/>
      <c r="AV1187" s="114"/>
      <c r="AW1187" s="114"/>
      <c r="AX1187" s="114"/>
      <c r="AY1187" s="114"/>
      <c r="AZ1187" s="114"/>
    </row>
    <row r="1188" spans="1:52">
      <c r="A1188" s="111"/>
      <c r="B1188" s="111"/>
      <c r="C1188" s="112"/>
      <c r="D1188" s="101"/>
      <c r="E1188" s="101"/>
      <c r="F1188" s="101"/>
      <c r="G1188" s="111"/>
      <c r="H1188" s="101"/>
      <c r="I1188" s="101"/>
      <c r="J1188" s="101"/>
      <c r="K1188" s="101"/>
      <c r="L1188" s="101"/>
      <c r="M1188" s="101"/>
      <c r="N1188" s="101"/>
      <c r="O1188" s="101"/>
      <c r="P1188" s="101"/>
      <c r="Q1188" s="101"/>
      <c r="R1188" s="101"/>
      <c r="S1188" s="101"/>
      <c r="T1188" s="101"/>
      <c r="U1188" s="101"/>
      <c r="V1188" s="101"/>
      <c r="W1188" s="101"/>
      <c r="X1188" s="101"/>
      <c r="Y1188" s="114"/>
      <c r="Z1188" s="114"/>
      <c r="AA1188" s="114"/>
      <c r="AB1188" s="114"/>
      <c r="AC1188" s="114"/>
      <c r="AD1188" s="114"/>
      <c r="AE1188" s="114"/>
      <c r="AF1188" s="114"/>
      <c r="AG1188" s="114"/>
      <c r="AH1188" s="114"/>
      <c r="AI1188" s="114"/>
      <c r="AJ1188" s="114"/>
      <c r="AK1188" s="114"/>
      <c r="AL1188" s="114"/>
      <c r="AM1188" s="114"/>
      <c r="AN1188" s="114"/>
      <c r="AO1188" s="114"/>
      <c r="AP1188" s="114"/>
      <c r="AQ1188" s="114"/>
      <c r="AR1188" s="114"/>
      <c r="AS1188" s="114"/>
      <c r="AT1188" s="114"/>
      <c r="AU1188" s="114"/>
      <c r="AV1188" s="114"/>
      <c r="AW1188" s="114"/>
      <c r="AX1188" s="114"/>
      <c r="AY1188" s="114"/>
      <c r="AZ1188" s="114"/>
    </row>
    <row r="1189" spans="1:52">
      <c r="A1189" s="111"/>
      <c r="B1189" s="111"/>
      <c r="C1189" s="112"/>
      <c r="D1189" s="101"/>
      <c r="E1189" s="101"/>
      <c r="F1189" s="101"/>
      <c r="G1189" s="111"/>
      <c r="H1189" s="101"/>
      <c r="I1189" s="101"/>
      <c r="J1189" s="101"/>
      <c r="K1189" s="101"/>
      <c r="L1189" s="101"/>
      <c r="M1189" s="101"/>
      <c r="N1189" s="101"/>
      <c r="O1189" s="101"/>
      <c r="P1189" s="101"/>
      <c r="Q1189" s="101"/>
      <c r="R1189" s="101"/>
      <c r="S1189" s="101"/>
      <c r="T1189" s="101"/>
      <c r="U1189" s="101"/>
      <c r="V1189" s="101"/>
      <c r="W1189" s="101"/>
      <c r="X1189" s="101"/>
      <c r="Y1189" s="114"/>
      <c r="Z1189" s="114"/>
      <c r="AA1189" s="114"/>
      <c r="AB1189" s="114"/>
      <c r="AC1189" s="114"/>
      <c r="AD1189" s="114"/>
      <c r="AE1189" s="114"/>
      <c r="AF1189" s="114"/>
      <c r="AG1189" s="114"/>
      <c r="AH1189" s="114"/>
      <c r="AI1189" s="114"/>
      <c r="AJ1189" s="114"/>
      <c r="AK1189" s="114"/>
      <c r="AL1189" s="114"/>
      <c r="AM1189" s="114"/>
      <c r="AN1189" s="114"/>
      <c r="AO1189" s="114"/>
      <c r="AP1189" s="114"/>
      <c r="AQ1189" s="114"/>
      <c r="AR1189" s="114"/>
      <c r="AS1189" s="114"/>
      <c r="AT1189" s="114"/>
      <c r="AU1189" s="114"/>
      <c r="AV1189" s="114"/>
      <c r="AW1189" s="114"/>
      <c r="AX1189" s="114"/>
      <c r="AY1189" s="114"/>
      <c r="AZ1189" s="114"/>
    </row>
    <row r="1190" spans="1:52">
      <c r="A1190" s="111"/>
      <c r="B1190" s="111"/>
      <c r="C1190" s="112"/>
      <c r="D1190" s="101"/>
      <c r="E1190" s="101"/>
      <c r="F1190" s="101"/>
      <c r="G1190" s="111"/>
      <c r="H1190" s="101"/>
      <c r="I1190" s="101"/>
      <c r="J1190" s="101"/>
      <c r="K1190" s="101"/>
      <c r="L1190" s="101"/>
      <c r="M1190" s="101"/>
      <c r="N1190" s="101"/>
      <c r="O1190" s="101"/>
      <c r="P1190" s="101"/>
      <c r="Q1190" s="101"/>
      <c r="R1190" s="101"/>
      <c r="S1190" s="101"/>
      <c r="T1190" s="101"/>
      <c r="U1190" s="101"/>
      <c r="V1190" s="101"/>
      <c r="W1190" s="101"/>
      <c r="X1190" s="101"/>
      <c r="Y1190" s="114"/>
      <c r="Z1190" s="114"/>
      <c r="AA1190" s="114"/>
      <c r="AB1190" s="114"/>
      <c r="AC1190" s="114"/>
      <c r="AD1190" s="114"/>
      <c r="AE1190" s="114"/>
      <c r="AF1190" s="114"/>
      <c r="AG1190" s="114"/>
      <c r="AH1190" s="114"/>
      <c r="AI1190" s="114"/>
      <c r="AJ1190" s="114"/>
      <c r="AK1190" s="114"/>
      <c r="AL1190" s="114"/>
      <c r="AM1190" s="114"/>
      <c r="AN1190" s="114"/>
      <c r="AO1190" s="114"/>
      <c r="AP1190" s="114"/>
      <c r="AQ1190" s="114"/>
      <c r="AR1190" s="114"/>
      <c r="AS1190" s="114"/>
      <c r="AT1190" s="114"/>
      <c r="AU1190" s="114"/>
      <c r="AV1190" s="114"/>
      <c r="AW1190" s="114"/>
      <c r="AX1190" s="114"/>
      <c r="AY1190" s="114"/>
      <c r="AZ1190" s="114"/>
    </row>
    <row r="1191" spans="1:52">
      <c r="A1191" s="111"/>
      <c r="B1191" s="111"/>
      <c r="C1191" s="112"/>
      <c r="D1191" s="101"/>
      <c r="E1191" s="101"/>
      <c r="F1191" s="101"/>
      <c r="G1191" s="111"/>
      <c r="H1191" s="101"/>
      <c r="I1191" s="101"/>
      <c r="J1191" s="101"/>
      <c r="K1191" s="101"/>
      <c r="L1191" s="101"/>
      <c r="M1191" s="101"/>
      <c r="N1191" s="101"/>
      <c r="O1191" s="101"/>
      <c r="P1191" s="101"/>
      <c r="Q1191" s="101"/>
      <c r="R1191" s="101"/>
      <c r="S1191" s="101"/>
      <c r="T1191" s="101"/>
      <c r="U1191" s="101"/>
      <c r="V1191" s="101"/>
      <c r="W1191" s="101"/>
      <c r="X1191" s="101"/>
      <c r="Y1191" s="114"/>
      <c r="Z1191" s="114"/>
      <c r="AA1191" s="114"/>
      <c r="AB1191" s="114"/>
      <c r="AC1191" s="114"/>
      <c r="AD1191" s="114"/>
      <c r="AE1191" s="114"/>
      <c r="AF1191" s="114"/>
      <c r="AG1191" s="114"/>
      <c r="AH1191" s="114"/>
      <c r="AI1191" s="114"/>
      <c r="AJ1191" s="114"/>
      <c r="AK1191" s="114"/>
      <c r="AL1191" s="114"/>
      <c r="AM1191" s="114"/>
      <c r="AN1191" s="114"/>
      <c r="AO1191" s="114"/>
      <c r="AP1191" s="114"/>
      <c r="AQ1191" s="114"/>
      <c r="AR1191" s="114"/>
      <c r="AS1191" s="114"/>
      <c r="AT1191" s="114"/>
      <c r="AU1191" s="114"/>
      <c r="AV1191" s="114"/>
      <c r="AW1191" s="114"/>
      <c r="AX1191" s="114"/>
      <c r="AY1191" s="114"/>
      <c r="AZ1191" s="114"/>
    </row>
    <row r="1192" spans="1:52">
      <c r="A1192" s="111"/>
      <c r="B1192" s="111"/>
      <c r="C1192" s="112"/>
      <c r="D1192" s="101"/>
      <c r="E1192" s="101"/>
      <c r="F1192" s="101"/>
      <c r="G1192" s="111"/>
      <c r="H1192" s="101"/>
      <c r="I1192" s="101"/>
      <c r="J1192" s="101"/>
      <c r="K1192" s="101"/>
      <c r="L1192" s="101"/>
      <c r="M1192" s="101"/>
      <c r="N1192" s="101"/>
      <c r="O1192" s="101"/>
      <c r="P1192" s="101"/>
      <c r="Q1192" s="101"/>
      <c r="R1192" s="101"/>
      <c r="S1192" s="101"/>
      <c r="T1192" s="101"/>
      <c r="U1192" s="101"/>
      <c r="V1192" s="101"/>
      <c r="W1192" s="101"/>
      <c r="X1192" s="101"/>
      <c r="Y1192" s="114"/>
      <c r="Z1192" s="114"/>
      <c r="AA1192" s="114"/>
      <c r="AB1192" s="114"/>
      <c r="AC1192" s="114"/>
      <c r="AD1192" s="114"/>
      <c r="AE1192" s="114"/>
      <c r="AF1192" s="114"/>
      <c r="AG1192" s="114"/>
      <c r="AH1192" s="114"/>
      <c r="AI1192" s="114"/>
      <c r="AJ1192" s="114"/>
      <c r="AK1192" s="114"/>
      <c r="AL1192" s="114"/>
      <c r="AM1192" s="114"/>
      <c r="AN1192" s="114"/>
      <c r="AO1192" s="114"/>
      <c r="AP1192" s="114"/>
      <c r="AQ1192" s="114"/>
      <c r="AR1192" s="114"/>
      <c r="AS1192" s="114"/>
      <c r="AT1192" s="114"/>
      <c r="AU1192" s="114"/>
      <c r="AV1192" s="114"/>
      <c r="AW1192" s="114"/>
      <c r="AX1192" s="114"/>
      <c r="AY1192" s="114"/>
      <c r="AZ1192" s="114"/>
    </row>
    <row r="1193" spans="1:52">
      <c r="A1193" s="111"/>
      <c r="B1193" s="111"/>
      <c r="C1193" s="112"/>
      <c r="D1193" s="101"/>
      <c r="E1193" s="101"/>
      <c r="F1193" s="101"/>
      <c r="G1193" s="111"/>
      <c r="H1193" s="101"/>
      <c r="I1193" s="101"/>
      <c r="J1193" s="101"/>
      <c r="K1193" s="101"/>
      <c r="L1193" s="101"/>
      <c r="M1193" s="101"/>
      <c r="N1193" s="101"/>
      <c r="O1193" s="101"/>
      <c r="P1193" s="101"/>
      <c r="Q1193" s="101"/>
      <c r="R1193" s="101"/>
      <c r="S1193" s="101"/>
      <c r="T1193" s="101"/>
      <c r="U1193" s="101"/>
      <c r="V1193" s="101"/>
      <c r="W1193" s="101"/>
      <c r="X1193" s="101"/>
      <c r="Y1193" s="114"/>
      <c r="Z1193" s="114"/>
      <c r="AA1193" s="114"/>
      <c r="AB1193" s="114"/>
      <c r="AC1193" s="114"/>
      <c r="AD1193" s="114"/>
      <c r="AE1193" s="114"/>
      <c r="AF1193" s="114"/>
      <c r="AG1193" s="114"/>
      <c r="AH1193" s="114"/>
      <c r="AI1193" s="114"/>
      <c r="AJ1193" s="114"/>
      <c r="AK1193" s="114"/>
      <c r="AL1193" s="114"/>
      <c r="AM1193" s="114"/>
      <c r="AN1193" s="114"/>
      <c r="AO1193" s="114"/>
      <c r="AP1193" s="114"/>
      <c r="AQ1193" s="114"/>
      <c r="AR1193" s="114"/>
      <c r="AS1193" s="114"/>
      <c r="AT1193" s="114"/>
      <c r="AU1193" s="114"/>
      <c r="AV1193" s="114"/>
      <c r="AW1193" s="114"/>
      <c r="AX1193" s="114"/>
      <c r="AY1193" s="114"/>
      <c r="AZ1193" s="114"/>
    </row>
    <row r="1194" spans="1:52">
      <c r="A1194" s="111"/>
      <c r="B1194" s="111"/>
      <c r="C1194" s="112"/>
      <c r="D1194" s="101"/>
      <c r="E1194" s="101"/>
      <c r="F1194" s="101"/>
      <c r="G1194" s="111"/>
      <c r="H1194" s="101"/>
      <c r="I1194" s="101"/>
      <c r="J1194" s="101"/>
      <c r="K1194" s="101"/>
      <c r="L1194" s="101"/>
      <c r="M1194" s="101"/>
      <c r="N1194" s="101"/>
      <c r="O1194" s="101"/>
      <c r="P1194" s="101"/>
      <c r="Q1194" s="101"/>
      <c r="R1194" s="101"/>
      <c r="S1194" s="101"/>
      <c r="T1194" s="101"/>
      <c r="U1194" s="101"/>
      <c r="V1194" s="101"/>
      <c r="W1194" s="101"/>
      <c r="X1194" s="101"/>
      <c r="Y1194" s="114"/>
      <c r="Z1194" s="114"/>
      <c r="AA1194" s="114"/>
      <c r="AB1194" s="114"/>
      <c r="AC1194" s="114"/>
      <c r="AD1194" s="114"/>
      <c r="AE1194" s="114"/>
      <c r="AF1194" s="114"/>
      <c r="AG1194" s="114"/>
      <c r="AH1194" s="114"/>
      <c r="AI1194" s="114"/>
      <c r="AJ1194" s="114"/>
      <c r="AK1194" s="114"/>
      <c r="AL1194" s="114"/>
      <c r="AM1194" s="114"/>
      <c r="AN1194" s="114"/>
      <c r="AO1194" s="114"/>
      <c r="AP1194" s="114"/>
      <c r="AQ1194" s="114"/>
      <c r="AR1194" s="114"/>
      <c r="AS1194" s="114"/>
      <c r="AT1194" s="114"/>
      <c r="AU1194" s="114"/>
      <c r="AV1194" s="114"/>
      <c r="AW1194" s="114"/>
      <c r="AX1194" s="114"/>
      <c r="AY1194" s="114"/>
      <c r="AZ1194" s="114"/>
    </row>
    <row r="1195" spans="1:52">
      <c r="A1195" s="111"/>
      <c r="B1195" s="111"/>
      <c r="C1195" s="112"/>
      <c r="D1195" s="101"/>
      <c r="E1195" s="101"/>
      <c r="F1195" s="101"/>
      <c r="G1195" s="111"/>
      <c r="H1195" s="101"/>
      <c r="I1195" s="101"/>
      <c r="J1195" s="101"/>
      <c r="K1195" s="101"/>
      <c r="L1195" s="101"/>
      <c r="M1195" s="101"/>
      <c r="N1195" s="101"/>
      <c r="O1195" s="101"/>
      <c r="P1195" s="101"/>
      <c r="Q1195" s="101"/>
      <c r="R1195" s="101"/>
      <c r="S1195" s="101"/>
      <c r="T1195" s="101"/>
      <c r="U1195" s="101"/>
      <c r="V1195" s="101"/>
      <c r="W1195" s="101"/>
      <c r="X1195" s="101"/>
      <c r="Y1195" s="114"/>
      <c r="Z1195" s="114"/>
      <c r="AA1195" s="114"/>
      <c r="AB1195" s="114"/>
      <c r="AC1195" s="114"/>
      <c r="AD1195" s="114"/>
      <c r="AE1195" s="114"/>
      <c r="AF1195" s="114"/>
      <c r="AG1195" s="114"/>
      <c r="AH1195" s="114"/>
      <c r="AI1195" s="114"/>
      <c r="AJ1195" s="114"/>
      <c r="AK1195" s="114"/>
      <c r="AL1195" s="114"/>
      <c r="AM1195" s="114"/>
      <c r="AN1195" s="114"/>
      <c r="AO1195" s="114"/>
      <c r="AP1195" s="114"/>
      <c r="AQ1195" s="114"/>
      <c r="AR1195" s="114"/>
      <c r="AS1195" s="114"/>
      <c r="AT1195" s="114"/>
      <c r="AU1195" s="114"/>
      <c r="AV1195" s="114"/>
      <c r="AW1195" s="114"/>
      <c r="AX1195" s="114"/>
      <c r="AY1195" s="114"/>
      <c r="AZ1195" s="114"/>
    </row>
    <row r="1196" spans="1:52">
      <c r="A1196" s="111"/>
      <c r="B1196" s="111"/>
      <c r="C1196" s="112"/>
      <c r="D1196" s="101"/>
      <c r="E1196" s="101"/>
      <c r="F1196" s="101"/>
      <c r="G1196" s="111"/>
      <c r="H1196" s="101"/>
      <c r="I1196" s="101"/>
      <c r="J1196" s="101"/>
      <c r="K1196" s="101"/>
      <c r="L1196" s="101"/>
      <c r="M1196" s="101"/>
      <c r="N1196" s="101"/>
      <c r="O1196" s="101"/>
      <c r="P1196" s="101"/>
      <c r="Q1196" s="101"/>
      <c r="R1196" s="101"/>
      <c r="S1196" s="101"/>
      <c r="T1196" s="101"/>
      <c r="U1196" s="101"/>
      <c r="V1196" s="101"/>
      <c r="W1196" s="101"/>
      <c r="X1196" s="101"/>
      <c r="Y1196" s="114"/>
      <c r="Z1196" s="114"/>
      <c r="AA1196" s="114"/>
      <c r="AB1196" s="114"/>
      <c r="AC1196" s="114"/>
      <c r="AD1196" s="114"/>
      <c r="AE1196" s="114"/>
      <c r="AF1196" s="114"/>
      <c r="AG1196" s="114"/>
      <c r="AH1196" s="114"/>
      <c r="AI1196" s="114"/>
      <c r="AJ1196" s="114"/>
      <c r="AK1196" s="114"/>
      <c r="AL1196" s="114"/>
      <c r="AM1196" s="114"/>
      <c r="AN1196" s="114"/>
      <c r="AO1196" s="114"/>
      <c r="AP1196" s="114"/>
      <c r="AQ1196" s="114"/>
      <c r="AR1196" s="114"/>
      <c r="AS1196" s="114"/>
      <c r="AT1196" s="114"/>
      <c r="AU1196" s="114"/>
      <c r="AV1196" s="114"/>
      <c r="AW1196" s="114"/>
      <c r="AX1196" s="114"/>
      <c r="AY1196" s="114"/>
      <c r="AZ1196" s="114"/>
    </row>
    <row r="1197" spans="1:52">
      <c r="A1197" s="111"/>
      <c r="B1197" s="111"/>
      <c r="C1197" s="112"/>
      <c r="D1197" s="101"/>
      <c r="E1197" s="101"/>
      <c r="F1197" s="101"/>
      <c r="G1197" s="111"/>
      <c r="H1197" s="101"/>
      <c r="I1197" s="101"/>
      <c r="J1197" s="101"/>
      <c r="K1197" s="101"/>
      <c r="L1197" s="101"/>
      <c r="M1197" s="101"/>
      <c r="N1197" s="101"/>
      <c r="O1197" s="101"/>
      <c r="P1197" s="101"/>
      <c r="Q1197" s="101"/>
      <c r="R1197" s="101"/>
      <c r="S1197" s="101"/>
      <c r="T1197" s="101"/>
      <c r="U1197" s="101"/>
      <c r="V1197" s="101"/>
      <c r="W1197" s="101"/>
      <c r="X1197" s="101"/>
      <c r="Y1197" s="114"/>
      <c r="Z1197" s="114"/>
      <c r="AA1197" s="114"/>
      <c r="AB1197" s="114"/>
      <c r="AC1197" s="114"/>
      <c r="AD1197" s="114"/>
      <c r="AE1197" s="114"/>
      <c r="AF1197" s="114"/>
      <c r="AG1197" s="114"/>
      <c r="AH1197" s="114"/>
      <c r="AI1197" s="114"/>
      <c r="AJ1197" s="114"/>
      <c r="AK1197" s="114"/>
      <c r="AL1197" s="114"/>
      <c r="AM1197" s="114"/>
      <c r="AN1197" s="114"/>
      <c r="AO1197" s="114"/>
      <c r="AP1197" s="114"/>
      <c r="AQ1197" s="114"/>
      <c r="AR1197" s="114"/>
      <c r="AS1197" s="114"/>
      <c r="AT1197" s="114"/>
      <c r="AU1197" s="114"/>
      <c r="AV1197" s="114"/>
      <c r="AW1197" s="114"/>
      <c r="AX1197" s="114"/>
      <c r="AY1197" s="114"/>
      <c r="AZ1197" s="114"/>
    </row>
    <row r="1198" spans="1:52">
      <c r="A1198" s="111"/>
      <c r="B1198" s="111"/>
      <c r="C1198" s="112"/>
      <c r="D1198" s="101"/>
      <c r="E1198" s="101"/>
      <c r="F1198" s="101"/>
      <c r="G1198" s="111"/>
      <c r="H1198" s="101"/>
      <c r="I1198" s="101"/>
      <c r="J1198" s="101"/>
      <c r="K1198" s="101"/>
      <c r="L1198" s="101"/>
      <c r="M1198" s="101"/>
      <c r="N1198" s="101"/>
      <c r="O1198" s="101"/>
      <c r="P1198" s="101"/>
      <c r="Q1198" s="101"/>
      <c r="R1198" s="101"/>
      <c r="S1198" s="101"/>
      <c r="T1198" s="101"/>
      <c r="U1198" s="101"/>
      <c r="V1198" s="101"/>
      <c r="W1198" s="101"/>
      <c r="X1198" s="101"/>
      <c r="Y1198" s="114"/>
      <c r="Z1198" s="114"/>
      <c r="AA1198" s="114"/>
      <c r="AB1198" s="114"/>
      <c r="AC1198" s="114"/>
      <c r="AD1198" s="114"/>
      <c r="AE1198" s="114"/>
      <c r="AF1198" s="114"/>
      <c r="AG1198" s="114"/>
      <c r="AH1198" s="114"/>
      <c r="AI1198" s="114"/>
      <c r="AJ1198" s="114"/>
      <c r="AK1198" s="114"/>
      <c r="AL1198" s="114"/>
      <c r="AM1198" s="114"/>
      <c r="AN1198" s="114"/>
      <c r="AO1198" s="114"/>
      <c r="AP1198" s="114"/>
      <c r="AQ1198" s="114"/>
      <c r="AR1198" s="114"/>
      <c r="AS1198" s="114"/>
      <c r="AT1198" s="114"/>
      <c r="AU1198" s="114"/>
      <c r="AV1198" s="114"/>
      <c r="AW1198" s="114"/>
      <c r="AX1198" s="114"/>
      <c r="AY1198" s="114"/>
      <c r="AZ1198" s="114"/>
    </row>
    <row r="1199" spans="1:52">
      <c r="A1199" s="111"/>
      <c r="B1199" s="111"/>
      <c r="C1199" s="112"/>
      <c r="D1199" s="101"/>
      <c r="E1199" s="101"/>
      <c r="F1199" s="101"/>
      <c r="G1199" s="111"/>
      <c r="H1199" s="101"/>
      <c r="I1199" s="101"/>
      <c r="J1199" s="101"/>
      <c r="K1199" s="101"/>
      <c r="L1199" s="101"/>
      <c r="M1199" s="101"/>
      <c r="N1199" s="101"/>
      <c r="O1199" s="101"/>
      <c r="P1199" s="101"/>
      <c r="Q1199" s="101"/>
      <c r="R1199" s="101"/>
      <c r="S1199" s="101"/>
      <c r="T1199" s="101"/>
      <c r="U1199" s="101"/>
      <c r="V1199" s="101"/>
      <c r="W1199" s="101"/>
      <c r="X1199" s="101"/>
      <c r="Y1199" s="114"/>
      <c r="Z1199" s="114"/>
      <c r="AA1199" s="114"/>
      <c r="AB1199" s="114"/>
      <c r="AC1199" s="114"/>
      <c r="AD1199" s="114"/>
      <c r="AE1199" s="114"/>
      <c r="AF1199" s="114"/>
      <c r="AG1199" s="114"/>
      <c r="AH1199" s="114"/>
      <c r="AI1199" s="114"/>
      <c r="AJ1199" s="114"/>
      <c r="AK1199" s="114"/>
      <c r="AL1199" s="114"/>
      <c r="AM1199" s="114"/>
      <c r="AN1199" s="114"/>
      <c r="AO1199" s="114"/>
      <c r="AP1199" s="114"/>
      <c r="AQ1199" s="114"/>
      <c r="AR1199" s="114"/>
      <c r="AS1199" s="114"/>
      <c r="AT1199" s="114"/>
      <c r="AU1199" s="114"/>
      <c r="AV1199" s="114"/>
      <c r="AW1199" s="114"/>
      <c r="AX1199" s="114"/>
      <c r="AY1199" s="114"/>
      <c r="AZ1199" s="114"/>
    </row>
    <row r="1200" spans="1:52">
      <c r="A1200" s="111"/>
      <c r="B1200" s="111"/>
      <c r="C1200" s="112"/>
      <c r="D1200" s="101"/>
      <c r="E1200" s="101"/>
      <c r="F1200" s="101"/>
      <c r="G1200" s="111"/>
      <c r="H1200" s="101"/>
      <c r="I1200" s="101"/>
      <c r="J1200" s="101"/>
      <c r="K1200" s="101"/>
      <c r="L1200" s="101"/>
      <c r="M1200" s="101"/>
      <c r="N1200" s="101"/>
      <c r="O1200" s="101"/>
      <c r="P1200" s="101"/>
      <c r="Q1200" s="101"/>
      <c r="R1200" s="101"/>
      <c r="S1200" s="101"/>
      <c r="T1200" s="101"/>
      <c r="U1200" s="101"/>
      <c r="V1200" s="101"/>
      <c r="W1200" s="101"/>
      <c r="X1200" s="101"/>
      <c r="Y1200" s="114"/>
      <c r="Z1200" s="114"/>
      <c r="AA1200" s="114"/>
      <c r="AB1200" s="114"/>
      <c r="AC1200" s="114"/>
      <c r="AD1200" s="114"/>
      <c r="AE1200" s="114"/>
      <c r="AF1200" s="114"/>
      <c r="AG1200" s="114"/>
      <c r="AH1200" s="114"/>
      <c r="AI1200" s="114"/>
      <c r="AJ1200" s="114"/>
      <c r="AK1200" s="114"/>
      <c r="AL1200" s="114"/>
      <c r="AM1200" s="114"/>
      <c r="AN1200" s="114"/>
      <c r="AO1200" s="114"/>
      <c r="AP1200" s="114"/>
      <c r="AQ1200" s="114"/>
      <c r="AR1200" s="114"/>
      <c r="AS1200" s="114"/>
      <c r="AT1200" s="114"/>
      <c r="AU1200" s="114"/>
      <c r="AV1200" s="114"/>
      <c r="AW1200" s="114"/>
      <c r="AX1200" s="114"/>
      <c r="AY1200" s="114"/>
      <c r="AZ1200" s="114"/>
    </row>
    <row r="1201" spans="1:52">
      <c r="A1201" s="111"/>
      <c r="B1201" s="111"/>
      <c r="C1201" s="112"/>
      <c r="D1201" s="101"/>
      <c r="E1201" s="101"/>
      <c r="F1201" s="101"/>
      <c r="G1201" s="111"/>
      <c r="H1201" s="101"/>
      <c r="I1201" s="101"/>
      <c r="J1201" s="101"/>
      <c r="K1201" s="101"/>
      <c r="L1201" s="101"/>
      <c r="M1201" s="101"/>
      <c r="N1201" s="101"/>
      <c r="O1201" s="101"/>
      <c r="P1201" s="101"/>
      <c r="Q1201" s="101"/>
      <c r="R1201" s="101"/>
      <c r="S1201" s="101"/>
      <c r="T1201" s="101"/>
      <c r="U1201" s="101"/>
      <c r="V1201" s="101"/>
      <c r="W1201" s="101"/>
      <c r="X1201" s="101"/>
      <c r="Y1201" s="114"/>
      <c r="Z1201" s="114"/>
      <c r="AA1201" s="114"/>
      <c r="AB1201" s="114"/>
      <c r="AC1201" s="114"/>
      <c r="AD1201" s="114"/>
      <c r="AE1201" s="114"/>
      <c r="AF1201" s="114"/>
      <c r="AG1201" s="114"/>
      <c r="AH1201" s="114"/>
      <c r="AI1201" s="114"/>
      <c r="AJ1201" s="114"/>
      <c r="AK1201" s="114"/>
      <c r="AL1201" s="114"/>
      <c r="AM1201" s="114"/>
      <c r="AN1201" s="114"/>
      <c r="AO1201" s="114"/>
      <c r="AP1201" s="114"/>
      <c r="AQ1201" s="114"/>
      <c r="AR1201" s="114"/>
      <c r="AS1201" s="114"/>
      <c r="AT1201" s="114"/>
      <c r="AU1201" s="114"/>
      <c r="AV1201" s="114"/>
      <c r="AW1201" s="114"/>
      <c r="AX1201" s="114"/>
      <c r="AY1201" s="114"/>
      <c r="AZ1201" s="114"/>
    </row>
    <row r="1202" spans="1:52">
      <c r="A1202" s="111"/>
      <c r="B1202" s="111"/>
      <c r="C1202" s="112"/>
      <c r="D1202" s="101"/>
      <c r="E1202" s="101"/>
      <c r="F1202" s="101"/>
      <c r="G1202" s="111"/>
      <c r="H1202" s="101"/>
      <c r="I1202" s="101"/>
      <c r="J1202" s="101"/>
      <c r="K1202" s="101"/>
      <c r="L1202" s="101"/>
      <c r="M1202" s="101"/>
      <c r="N1202" s="101"/>
      <c r="O1202" s="101"/>
      <c r="P1202" s="101"/>
      <c r="Q1202" s="101"/>
      <c r="R1202" s="101"/>
      <c r="S1202" s="101"/>
      <c r="T1202" s="101"/>
      <c r="U1202" s="101"/>
      <c r="V1202" s="101"/>
      <c r="W1202" s="101"/>
      <c r="X1202" s="101"/>
      <c r="Y1202" s="114"/>
      <c r="Z1202" s="114"/>
      <c r="AA1202" s="114"/>
      <c r="AB1202" s="114"/>
      <c r="AC1202" s="114"/>
      <c r="AD1202" s="114"/>
      <c r="AE1202" s="114"/>
      <c r="AF1202" s="114"/>
      <c r="AG1202" s="114"/>
      <c r="AH1202" s="114"/>
      <c r="AI1202" s="114"/>
      <c r="AJ1202" s="114"/>
      <c r="AK1202" s="114"/>
      <c r="AL1202" s="114"/>
      <c r="AM1202" s="114"/>
      <c r="AN1202" s="114"/>
      <c r="AO1202" s="114"/>
      <c r="AP1202" s="114"/>
      <c r="AQ1202" s="114"/>
      <c r="AR1202" s="114"/>
      <c r="AS1202" s="114"/>
      <c r="AT1202" s="114"/>
      <c r="AU1202" s="114"/>
      <c r="AV1202" s="114"/>
      <c r="AW1202" s="114"/>
      <c r="AX1202" s="114"/>
      <c r="AY1202" s="114"/>
      <c r="AZ1202" s="114"/>
    </row>
    <row r="1203" spans="1:52">
      <c r="A1203" s="111"/>
      <c r="B1203" s="111"/>
      <c r="C1203" s="112"/>
      <c r="D1203" s="101"/>
      <c r="E1203" s="101"/>
      <c r="F1203" s="101"/>
      <c r="G1203" s="111"/>
      <c r="H1203" s="101"/>
      <c r="I1203" s="101"/>
      <c r="J1203" s="101"/>
      <c r="K1203" s="101"/>
      <c r="L1203" s="101"/>
      <c r="M1203" s="101"/>
      <c r="N1203" s="101"/>
      <c r="O1203" s="101"/>
      <c r="P1203" s="101"/>
      <c r="Q1203" s="101"/>
      <c r="R1203" s="101"/>
      <c r="S1203" s="101"/>
      <c r="T1203" s="101"/>
      <c r="U1203" s="101"/>
      <c r="V1203" s="101"/>
      <c r="W1203" s="101"/>
      <c r="X1203" s="101"/>
      <c r="Y1203" s="114"/>
      <c r="Z1203" s="114"/>
      <c r="AA1203" s="114"/>
      <c r="AB1203" s="114"/>
      <c r="AC1203" s="114"/>
      <c r="AD1203" s="114"/>
      <c r="AE1203" s="114"/>
      <c r="AF1203" s="114"/>
      <c r="AG1203" s="114"/>
      <c r="AH1203" s="114"/>
      <c r="AI1203" s="114"/>
      <c r="AJ1203" s="114"/>
      <c r="AK1203" s="114"/>
      <c r="AL1203" s="114"/>
      <c r="AM1203" s="114"/>
      <c r="AN1203" s="114"/>
      <c r="AO1203" s="114"/>
      <c r="AP1203" s="114"/>
      <c r="AQ1203" s="114"/>
      <c r="AR1203" s="114"/>
      <c r="AS1203" s="114"/>
      <c r="AT1203" s="114"/>
      <c r="AU1203" s="114"/>
      <c r="AV1203" s="114"/>
      <c r="AW1203" s="114"/>
      <c r="AX1203" s="114"/>
      <c r="AY1203" s="114"/>
      <c r="AZ1203" s="114"/>
    </row>
    <row r="1204" spans="1:52">
      <c r="A1204" s="111"/>
      <c r="B1204" s="111"/>
      <c r="C1204" s="112"/>
      <c r="D1204" s="101"/>
      <c r="E1204" s="101"/>
      <c r="F1204" s="101"/>
      <c r="G1204" s="111"/>
      <c r="H1204" s="101"/>
      <c r="I1204" s="101"/>
      <c r="J1204" s="101"/>
      <c r="K1204" s="101"/>
      <c r="L1204" s="101"/>
      <c r="M1204" s="101"/>
      <c r="N1204" s="101"/>
      <c r="O1204" s="101"/>
      <c r="P1204" s="101"/>
      <c r="Q1204" s="101"/>
      <c r="R1204" s="101"/>
      <c r="S1204" s="101"/>
      <c r="T1204" s="101"/>
      <c r="U1204" s="101"/>
      <c r="V1204" s="101"/>
      <c r="W1204" s="101"/>
      <c r="X1204" s="101"/>
      <c r="Y1204" s="114"/>
      <c r="Z1204" s="114"/>
      <c r="AA1204" s="114"/>
      <c r="AB1204" s="114"/>
      <c r="AC1204" s="114"/>
      <c r="AD1204" s="114"/>
      <c r="AE1204" s="114"/>
      <c r="AF1204" s="114"/>
      <c r="AG1204" s="114"/>
      <c r="AH1204" s="114"/>
      <c r="AI1204" s="114"/>
      <c r="AJ1204" s="114"/>
      <c r="AK1204" s="114"/>
      <c r="AL1204" s="114"/>
      <c r="AM1204" s="114"/>
      <c r="AN1204" s="114"/>
      <c r="AO1204" s="114"/>
      <c r="AP1204" s="114"/>
      <c r="AQ1204" s="114"/>
      <c r="AR1204" s="114"/>
      <c r="AS1204" s="114"/>
      <c r="AT1204" s="114"/>
      <c r="AU1204" s="114"/>
      <c r="AV1204" s="114"/>
      <c r="AW1204" s="114"/>
      <c r="AX1204" s="114"/>
      <c r="AY1204" s="114"/>
      <c r="AZ1204" s="114"/>
    </row>
    <row r="1205" spans="1:52">
      <c r="A1205" s="111"/>
      <c r="B1205" s="111"/>
      <c r="C1205" s="112"/>
      <c r="D1205" s="101"/>
      <c r="E1205" s="101"/>
      <c r="F1205" s="101"/>
      <c r="G1205" s="111"/>
      <c r="H1205" s="101"/>
      <c r="I1205" s="101"/>
      <c r="J1205" s="101"/>
      <c r="K1205" s="101"/>
      <c r="L1205" s="101"/>
      <c r="M1205" s="101"/>
      <c r="N1205" s="101"/>
      <c r="O1205" s="101"/>
      <c r="P1205" s="101"/>
      <c r="Q1205" s="101"/>
      <c r="R1205" s="101"/>
      <c r="S1205" s="101"/>
      <c r="T1205" s="101"/>
      <c r="U1205" s="101"/>
      <c r="V1205" s="101"/>
      <c r="W1205" s="101"/>
      <c r="X1205" s="101"/>
      <c r="Y1205" s="114"/>
      <c r="Z1205" s="114"/>
      <c r="AA1205" s="114"/>
      <c r="AB1205" s="114"/>
      <c r="AC1205" s="114"/>
      <c r="AD1205" s="114"/>
      <c r="AE1205" s="114"/>
      <c r="AF1205" s="114"/>
      <c r="AG1205" s="114"/>
      <c r="AH1205" s="114"/>
      <c r="AI1205" s="114"/>
      <c r="AJ1205" s="114"/>
      <c r="AK1205" s="114"/>
      <c r="AL1205" s="114"/>
      <c r="AM1205" s="114"/>
      <c r="AN1205" s="114"/>
      <c r="AO1205" s="114"/>
      <c r="AP1205" s="114"/>
      <c r="AQ1205" s="114"/>
      <c r="AR1205" s="114"/>
      <c r="AS1205" s="114"/>
      <c r="AT1205" s="114"/>
      <c r="AU1205" s="114"/>
      <c r="AV1205" s="114"/>
      <c r="AW1205" s="114"/>
      <c r="AX1205" s="114"/>
      <c r="AY1205" s="114"/>
      <c r="AZ1205" s="114"/>
    </row>
    <row r="1206" spans="1:52">
      <c r="A1206" s="111"/>
      <c r="B1206" s="111"/>
      <c r="C1206" s="112"/>
      <c r="D1206" s="101"/>
      <c r="E1206" s="101"/>
      <c r="F1206" s="101"/>
      <c r="G1206" s="111"/>
      <c r="H1206" s="101"/>
      <c r="I1206" s="101"/>
      <c r="J1206" s="101"/>
      <c r="K1206" s="101"/>
      <c r="L1206" s="101"/>
      <c r="M1206" s="101"/>
      <c r="N1206" s="101"/>
      <c r="O1206" s="101"/>
      <c r="P1206" s="101"/>
      <c r="Q1206" s="101"/>
      <c r="R1206" s="101"/>
      <c r="S1206" s="101"/>
      <c r="T1206" s="101"/>
      <c r="U1206" s="101"/>
      <c r="V1206" s="101"/>
      <c r="W1206" s="101"/>
      <c r="X1206" s="101"/>
      <c r="Y1206" s="114"/>
      <c r="Z1206" s="114"/>
      <c r="AA1206" s="114"/>
      <c r="AB1206" s="114"/>
      <c r="AC1206" s="114"/>
      <c r="AD1206" s="114"/>
      <c r="AE1206" s="114"/>
      <c r="AF1206" s="114"/>
      <c r="AG1206" s="114"/>
      <c r="AH1206" s="114"/>
      <c r="AI1206" s="114"/>
      <c r="AJ1206" s="114"/>
      <c r="AK1206" s="114"/>
      <c r="AL1206" s="114"/>
      <c r="AM1206" s="114"/>
      <c r="AN1206" s="114"/>
      <c r="AO1206" s="114"/>
      <c r="AP1206" s="114"/>
      <c r="AQ1206" s="114"/>
      <c r="AR1206" s="114"/>
      <c r="AS1206" s="114"/>
      <c r="AT1206" s="114"/>
      <c r="AU1206" s="114"/>
      <c r="AV1206" s="114"/>
      <c r="AW1206" s="114"/>
      <c r="AX1206" s="114"/>
      <c r="AY1206" s="114"/>
      <c r="AZ1206" s="114"/>
    </row>
    <row r="1207" spans="1:52">
      <c r="A1207" s="111"/>
      <c r="B1207" s="111"/>
      <c r="C1207" s="112"/>
      <c r="D1207" s="101"/>
      <c r="E1207" s="101"/>
      <c r="F1207" s="101"/>
      <c r="G1207" s="111"/>
      <c r="H1207" s="101"/>
      <c r="I1207" s="101"/>
      <c r="J1207" s="101"/>
      <c r="K1207" s="101"/>
      <c r="L1207" s="101"/>
      <c r="M1207" s="101"/>
      <c r="N1207" s="101"/>
      <c r="O1207" s="101"/>
      <c r="P1207" s="101"/>
      <c r="Q1207" s="101"/>
      <c r="R1207" s="101"/>
      <c r="S1207" s="101"/>
      <c r="T1207" s="101"/>
      <c r="U1207" s="101"/>
      <c r="V1207" s="101"/>
      <c r="W1207" s="101"/>
      <c r="X1207" s="101"/>
      <c r="Y1207" s="114"/>
      <c r="Z1207" s="114"/>
      <c r="AA1207" s="114"/>
      <c r="AB1207" s="114"/>
      <c r="AC1207" s="114"/>
      <c r="AD1207" s="114"/>
      <c r="AE1207" s="114"/>
      <c r="AF1207" s="114"/>
      <c r="AG1207" s="114"/>
      <c r="AH1207" s="114"/>
      <c r="AI1207" s="114"/>
      <c r="AJ1207" s="114"/>
      <c r="AK1207" s="114"/>
      <c r="AL1207" s="114"/>
      <c r="AM1207" s="114"/>
      <c r="AN1207" s="114"/>
      <c r="AO1207" s="114"/>
      <c r="AP1207" s="114"/>
      <c r="AQ1207" s="114"/>
      <c r="AR1207" s="114"/>
      <c r="AS1207" s="114"/>
      <c r="AT1207" s="114"/>
      <c r="AU1207" s="114"/>
      <c r="AV1207" s="114"/>
      <c r="AW1207" s="114"/>
      <c r="AX1207" s="114"/>
      <c r="AY1207" s="114"/>
      <c r="AZ1207" s="114"/>
    </row>
    <row r="1208" spans="1:52">
      <c r="A1208" s="111"/>
      <c r="B1208" s="111"/>
      <c r="C1208" s="112"/>
      <c r="D1208" s="101"/>
      <c r="E1208" s="101"/>
      <c r="F1208" s="101"/>
      <c r="G1208" s="111"/>
      <c r="H1208" s="101"/>
      <c r="I1208" s="101"/>
      <c r="J1208" s="101"/>
      <c r="K1208" s="101"/>
      <c r="L1208" s="101"/>
      <c r="M1208" s="101"/>
      <c r="N1208" s="101"/>
      <c r="O1208" s="101"/>
      <c r="P1208" s="101"/>
      <c r="Q1208" s="101"/>
      <c r="R1208" s="101"/>
      <c r="S1208" s="101"/>
      <c r="T1208" s="101"/>
      <c r="U1208" s="101"/>
      <c r="V1208" s="101"/>
      <c r="W1208" s="101"/>
      <c r="X1208" s="101"/>
      <c r="Y1208" s="114"/>
      <c r="Z1208" s="114"/>
      <c r="AA1208" s="114"/>
      <c r="AB1208" s="114"/>
      <c r="AC1208" s="114"/>
      <c r="AD1208" s="114"/>
      <c r="AE1208" s="114"/>
      <c r="AF1208" s="114"/>
      <c r="AG1208" s="114"/>
      <c r="AH1208" s="114"/>
      <c r="AI1208" s="114"/>
      <c r="AJ1208" s="114"/>
      <c r="AK1208" s="114"/>
      <c r="AL1208" s="114"/>
      <c r="AM1208" s="114"/>
      <c r="AN1208" s="114"/>
      <c r="AO1208" s="114"/>
      <c r="AP1208" s="114"/>
      <c r="AQ1208" s="114"/>
      <c r="AR1208" s="114"/>
      <c r="AS1208" s="114"/>
      <c r="AT1208" s="114"/>
      <c r="AU1208" s="114"/>
      <c r="AV1208" s="114"/>
      <c r="AW1208" s="114"/>
      <c r="AX1208" s="114"/>
      <c r="AY1208" s="114"/>
      <c r="AZ1208" s="114"/>
    </row>
    <row r="1209" spans="1:52">
      <c r="A1209" s="111"/>
      <c r="B1209" s="111"/>
      <c r="C1209" s="112"/>
      <c r="D1209" s="101"/>
      <c r="E1209" s="101"/>
      <c r="F1209" s="101"/>
      <c r="G1209" s="111"/>
      <c r="H1209" s="101"/>
      <c r="I1209" s="101"/>
      <c r="J1209" s="101"/>
      <c r="K1209" s="101"/>
      <c r="L1209" s="101"/>
      <c r="M1209" s="101"/>
      <c r="N1209" s="101"/>
      <c r="O1209" s="101"/>
      <c r="P1209" s="101"/>
      <c r="Q1209" s="101"/>
      <c r="R1209" s="101"/>
      <c r="S1209" s="101"/>
      <c r="T1209" s="101"/>
      <c r="U1209" s="101"/>
      <c r="V1209" s="101"/>
      <c r="W1209" s="101"/>
      <c r="X1209" s="101"/>
      <c r="Y1209" s="114"/>
      <c r="Z1209" s="114"/>
      <c r="AA1209" s="114"/>
      <c r="AB1209" s="114"/>
      <c r="AC1209" s="114"/>
      <c r="AD1209" s="114"/>
      <c r="AE1209" s="114"/>
      <c r="AF1209" s="114"/>
      <c r="AG1209" s="114"/>
      <c r="AH1209" s="114"/>
      <c r="AI1209" s="114"/>
      <c r="AJ1209" s="114"/>
      <c r="AK1209" s="114"/>
      <c r="AL1209" s="114"/>
      <c r="AM1209" s="114"/>
      <c r="AN1209" s="114"/>
      <c r="AO1209" s="114"/>
      <c r="AP1209" s="114"/>
      <c r="AQ1209" s="114"/>
      <c r="AR1209" s="114"/>
      <c r="AS1209" s="114"/>
      <c r="AT1209" s="114"/>
      <c r="AU1209" s="114"/>
      <c r="AV1209" s="114"/>
      <c r="AW1209" s="114"/>
      <c r="AX1209" s="114"/>
      <c r="AY1209" s="114"/>
      <c r="AZ1209" s="114"/>
    </row>
    <row r="1210" spans="1:52">
      <c r="A1210" s="111"/>
      <c r="B1210" s="111"/>
      <c r="C1210" s="112"/>
      <c r="D1210" s="101"/>
      <c r="E1210" s="101"/>
      <c r="F1210" s="101"/>
      <c r="G1210" s="111"/>
      <c r="H1210" s="101"/>
      <c r="I1210" s="101"/>
      <c r="J1210" s="101"/>
      <c r="K1210" s="101"/>
      <c r="L1210" s="101"/>
      <c r="M1210" s="101"/>
      <c r="N1210" s="101"/>
      <c r="O1210" s="101"/>
      <c r="P1210" s="101"/>
      <c r="Q1210" s="101"/>
      <c r="R1210" s="101"/>
      <c r="S1210" s="101"/>
      <c r="T1210" s="101"/>
      <c r="U1210" s="101"/>
      <c r="V1210" s="101"/>
      <c r="W1210" s="101"/>
      <c r="X1210" s="101"/>
      <c r="Y1210" s="114"/>
      <c r="Z1210" s="114"/>
      <c r="AA1210" s="114"/>
      <c r="AB1210" s="114"/>
      <c r="AC1210" s="114"/>
      <c r="AD1210" s="114"/>
      <c r="AE1210" s="114"/>
      <c r="AF1210" s="114"/>
      <c r="AG1210" s="114"/>
      <c r="AH1210" s="114"/>
      <c r="AI1210" s="114"/>
      <c r="AJ1210" s="114"/>
      <c r="AK1210" s="114"/>
      <c r="AL1210" s="114"/>
      <c r="AM1210" s="114"/>
      <c r="AN1210" s="114"/>
      <c r="AO1210" s="114"/>
      <c r="AP1210" s="114"/>
      <c r="AQ1210" s="114"/>
      <c r="AR1210" s="114"/>
      <c r="AS1210" s="114"/>
      <c r="AT1210" s="114"/>
      <c r="AU1210" s="114"/>
      <c r="AV1210" s="114"/>
      <c r="AW1210" s="114"/>
      <c r="AX1210" s="114"/>
      <c r="AY1210" s="114"/>
      <c r="AZ1210" s="114"/>
    </row>
    <row r="1211" spans="1:52">
      <c r="A1211" s="111"/>
      <c r="B1211" s="111"/>
      <c r="C1211" s="112"/>
      <c r="D1211" s="101"/>
      <c r="E1211" s="101"/>
      <c r="F1211" s="101"/>
      <c r="G1211" s="111"/>
      <c r="H1211" s="101"/>
      <c r="I1211" s="101"/>
      <c r="J1211" s="101"/>
      <c r="K1211" s="101"/>
      <c r="L1211" s="101"/>
      <c r="M1211" s="101"/>
      <c r="N1211" s="101"/>
      <c r="O1211" s="101"/>
      <c r="P1211" s="101"/>
      <c r="Q1211" s="101"/>
      <c r="R1211" s="101"/>
      <c r="S1211" s="101"/>
      <c r="T1211" s="101"/>
      <c r="U1211" s="101"/>
      <c r="V1211" s="101"/>
      <c r="W1211" s="101"/>
      <c r="X1211" s="101"/>
      <c r="Y1211" s="114"/>
      <c r="Z1211" s="114"/>
      <c r="AA1211" s="114"/>
      <c r="AB1211" s="114"/>
      <c r="AC1211" s="114"/>
      <c r="AD1211" s="114"/>
      <c r="AE1211" s="114"/>
      <c r="AF1211" s="114"/>
      <c r="AG1211" s="114"/>
      <c r="AH1211" s="114"/>
      <c r="AI1211" s="114"/>
      <c r="AJ1211" s="114"/>
      <c r="AK1211" s="114"/>
      <c r="AL1211" s="114"/>
      <c r="AM1211" s="114"/>
      <c r="AN1211" s="114"/>
      <c r="AO1211" s="114"/>
      <c r="AP1211" s="114"/>
      <c r="AQ1211" s="114"/>
      <c r="AR1211" s="114"/>
      <c r="AS1211" s="114"/>
      <c r="AT1211" s="114"/>
      <c r="AU1211" s="114"/>
      <c r="AV1211" s="114"/>
      <c r="AW1211" s="114"/>
      <c r="AX1211" s="114"/>
      <c r="AY1211" s="114"/>
      <c r="AZ1211" s="114"/>
    </row>
    <row r="1212" spans="1:52">
      <c r="A1212" s="111"/>
      <c r="B1212" s="111"/>
      <c r="C1212" s="112"/>
      <c r="D1212" s="101"/>
      <c r="E1212" s="101"/>
      <c r="F1212" s="101"/>
      <c r="G1212" s="111"/>
      <c r="H1212" s="101"/>
      <c r="I1212" s="101"/>
      <c r="J1212" s="101"/>
      <c r="K1212" s="101"/>
      <c r="L1212" s="101"/>
      <c r="M1212" s="101"/>
      <c r="N1212" s="101"/>
      <c r="O1212" s="101"/>
      <c r="P1212" s="101"/>
      <c r="Q1212" s="101"/>
      <c r="R1212" s="101"/>
      <c r="S1212" s="101"/>
      <c r="T1212" s="101"/>
      <c r="U1212" s="101"/>
      <c r="V1212" s="101"/>
      <c r="W1212" s="101"/>
      <c r="X1212" s="101"/>
      <c r="Y1212" s="114"/>
      <c r="Z1212" s="114"/>
      <c r="AA1212" s="114"/>
      <c r="AB1212" s="114"/>
      <c r="AC1212" s="114"/>
      <c r="AD1212" s="114"/>
      <c r="AE1212" s="114"/>
      <c r="AF1212" s="114"/>
      <c r="AG1212" s="114"/>
      <c r="AH1212" s="114"/>
      <c r="AI1212" s="114"/>
      <c r="AJ1212" s="114"/>
      <c r="AK1212" s="114"/>
      <c r="AL1212" s="114"/>
      <c r="AM1212" s="114"/>
      <c r="AN1212" s="114"/>
      <c r="AO1212" s="114"/>
      <c r="AP1212" s="114"/>
      <c r="AQ1212" s="114"/>
      <c r="AR1212" s="114"/>
      <c r="AS1212" s="114"/>
      <c r="AT1212" s="114"/>
      <c r="AU1212" s="114"/>
      <c r="AV1212" s="114"/>
      <c r="AW1212" s="114"/>
      <c r="AX1212" s="114"/>
      <c r="AY1212" s="114"/>
      <c r="AZ1212" s="114"/>
    </row>
    <row r="1213" spans="1:52">
      <c r="A1213" s="111"/>
      <c r="B1213" s="111"/>
      <c r="C1213" s="112"/>
      <c r="D1213" s="101"/>
      <c r="E1213" s="101"/>
      <c r="F1213" s="101"/>
      <c r="G1213" s="111"/>
      <c r="H1213" s="101"/>
      <c r="I1213" s="101"/>
      <c r="J1213" s="101"/>
      <c r="K1213" s="101"/>
      <c r="L1213" s="101"/>
      <c r="M1213" s="101"/>
      <c r="N1213" s="101"/>
      <c r="O1213" s="101"/>
      <c r="P1213" s="101"/>
      <c r="Q1213" s="101"/>
      <c r="R1213" s="101"/>
      <c r="S1213" s="101"/>
      <c r="T1213" s="101"/>
      <c r="U1213" s="101"/>
      <c r="V1213" s="101"/>
      <c r="W1213" s="101"/>
      <c r="X1213" s="101"/>
      <c r="Y1213" s="114"/>
      <c r="Z1213" s="114"/>
      <c r="AA1213" s="114"/>
      <c r="AB1213" s="114"/>
      <c r="AC1213" s="114"/>
      <c r="AD1213" s="114"/>
      <c r="AE1213" s="114"/>
      <c r="AF1213" s="114"/>
      <c r="AG1213" s="114"/>
      <c r="AH1213" s="114"/>
      <c r="AI1213" s="114"/>
      <c r="AJ1213" s="114"/>
      <c r="AK1213" s="114"/>
      <c r="AL1213" s="114"/>
      <c r="AM1213" s="114"/>
      <c r="AN1213" s="114"/>
      <c r="AO1213" s="114"/>
      <c r="AP1213" s="114"/>
      <c r="AQ1213" s="114"/>
      <c r="AR1213" s="114"/>
      <c r="AS1213" s="114"/>
      <c r="AT1213" s="114"/>
      <c r="AU1213" s="114"/>
      <c r="AV1213" s="114"/>
      <c r="AW1213" s="114"/>
      <c r="AX1213" s="114"/>
      <c r="AY1213" s="114"/>
      <c r="AZ1213" s="114"/>
    </row>
    <row r="1214" spans="1:52">
      <c r="A1214" s="111"/>
      <c r="B1214" s="111"/>
      <c r="C1214" s="112"/>
      <c r="D1214" s="101"/>
      <c r="E1214" s="101"/>
      <c r="F1214" s="101"/>
      <c r="G1214" s="111"/>
      <c r="H1214" s="101"/>
      <c r="I1214" s="101"/>
      <c r="J1214" s="101"/>
      <c r="K1214" s="101"/>
      <c r="L1214" s="101"/>
      <c r="M1214" s="101"/>
      <c r="N1214" s="101"/>
      <c r="O1214" s="101"/>
      <c r="P1214" s="101"/>
      <c r="Q1214" s="101"/>
      <c r="R1214" s="101"/>
      <c r="S1214" s="101"/>
      <c r="T1214" s="101"/>
      <c r="U1214" s="101"/>
      <c r="V1214" s="101"/>
      <c r="W1214" s="101"/>
      <c r="X1214" s="101"/>
      <c r="Y1214" s="114"/>
      <c r="Z1214" s="114"/>
      <c r="AA1214" s="114"/>
      <c r="AB1214" s="114"/>
      <c r="AC1214" s="114"/>
      <c r="AD1214" s="114"/>
      <c r="AE1214" s="114"/>
      <c r="AF1214" s="114"/>
      <c r="AG1214" s="114"/>
      <c r="AH1214" s="114"/>
      <c r="AI1214" s="114"/>
      <c r="AJ1214" s="114"/>
      <c r="AK1214" s="114"/>
      <c r="AL1214" s="114"/>
      <c r="AM1214" s="114"/>
      <c r="AN1214" s="114"/>
      <c r="AO1214" s="114"/>
      <c r="AP1214" s="114"/>
      <c r="AQ1214" s="114"/>
      <c r="AR1214" s="114"/>
      <c r="AS1214" s="114"/>
      <c r="AT1214" s="114"/>
      <c r="AU1214" s="114"/>
      <c r="AV1214" s="114"/>
      <c r="AW1214" s="114"/>
      <c r="AX1214" s="114"/>
      <c r="AY1214" s="114"/>
      <c r="AZ1214" s="114"/>
    </row>
    <row r="1215" spans="1:52">
      <c r="A1215" s="111"/>
      <c r="B1215" s="111"/>
      <c r="C1215" s="112"/>
      <c r="D1215" s="101"/>
      <c r="E1215" s="101"/>
      <c r="F1215" s="101"/>
      <c r="G1215" s="111"/>
      <c r="H1215" s="101"/>
      <c r="I1215" s="101"/>
      <c r="J1215" s="101"/>
      <c r="K1215" s="101"/>
      <c r="L1215" s="101"/>
      <c r="M1215" s="101"/>
      <c r="N1215" s="101"/>
      <c r="O1215" s="101"/>
      <c r="P1215" s="101"/>
      <c r="Q1215" s="101"/>
      <c r="R1215" s="101"/>
      <c r="S1215" s="101"/>
      <c r="T1215" s="101"/>
      <c r="U1215" s="101"/>
      <c r="V1215" s="101"/>
      <c r="W1215" s="101"/>
      <c r="X1215" s="101"/>
      <c r="Y1215" s="114"/>
      <c r="Z1215" s="114"/>
      <c r="AA1215" s="114"/>
      <c r="AB1215" s="114"/>
      <c r="AC1215" s="114"/>
      <c r="AD1215" s="114"/>
      <c r="AE1215" s="114"/>
      <c r="AF1215" s="114"/>
      <c r="AG1215" s="114"/>
      <c r="AH1215" s="114"/>
      <c r="AI1215" s="114"/>
      <c r="AJ1215" s="114"/>
      <c r="AK1215" s="114"/>
      <c r="AL1215" s="114"/>
      <c r="AM1215" s="114"/>
      <c r="AN1215" s="114"/>
      <c r="AO1215" s="114"/>
      <c r="AP1215" s="114"/>
      <c r="AQ1215" s="114"/>
      <c r="AR1215" s="114"/>
      <c r="AS1215" s="114"/>
      <c r="AT1215" s="114"/>
      <c r="AU1215" s="114"/>
      <c r="AV1215" s="114"/>
      <c r="AW1215" s="114"/>
      <c r="AX1215" s="114"/>
      <c r="AY1215" s="114"/>
      <c r="AZ1215" s="114"/>
    </row>
    <row r="1216" spans="1:52">
      <c r="A1216" s="111"/>
      <c r="B1216" s="111"/>
      <c r="C1216" s="112"/>
      <c r="D1216" s="101"/>
      <c r="E1216" s="101"/>
      <c r="F1216" s="101"/>
      <c r="G1216" s="111"/>
      <c r="H1216" s="101"/>
      <c r="I1216" s="101"/>
      <c r="J1216" s="101"/>
      <c r="K1216" s="101"/>
      <c r="L1216" s="101"/>
      <c r="M1216" s="101"/>
      <c r="N1216" s="101"/>
      <c r="O1216" s="101"/>
      <c r="P1216" s="101"/>
      <c r="Q1216" s="101"/>
      <c r="R1216" s="101"/>
      <c r="S1216" s="101"/>
      <c r="T1216" s="101"/>
      <c r="U1216" s="101"/>
      <c r="V1216" s="101"/>
      <c r="W1216" s="101"/>
      <c r="X1216" s="101"/>
      <c r="Y1216" s="114"/>
      <c r="Z1216" s="114"/>
      <c r="AA1216" s="114"/>
      <c r="AB1216" s="114"/>
      <c r="AC1216" s="114"/>
      <c r="AD1216" s="114"/>
      <c r="AE1216" s="114"/>
      <c r="AF1216" s="114"/>
      <c r="AG1216" s="114"/>
      <c r="AH1216" s="114"/>
      <c r="AI1216" s="114"/>
      <c r="AJ1216" s="114"/>
      <c r="AK1216" s="114"/>
      <c r="AL1216" s="114"/>
      <c r="AM1216" s="114"/>
      <c r="AN1216" s="114"/>
      <c r="AO1216" s="114"/>
      <c r="AP1216" s="114"/>
      <c r="AQ1216" s="114"/>
      <c r="AR1216" s="114"/>
      <c r="AS1216" s="114"/>
      <c r="AT1216" s="114"/>
      <c r="AU1216" s="114"/>
      <c r="AV1216" s="114"/>
      <c r="AW1216" s="114"/>
      <c r="AX1216" s="114"/>
      <c r="AY1216" s="114"/>
      <c r="AZ1216" s="114"/>
    </row>
    <row r="1217" spans="1:52">
      <c r="A1217" s="111"/>
      <c r="B1217" s="111"/>
      <c r="C1217" s="112"/>
      <c r="D1217" s="101"/>
      <c r="E1217" s="101"/>
      <c r="F1217" s="101"/>
      <c r="G1217" s="111"/>
      <c r="H1217" s="101"/>
      <c r="I1217" s="101"/>
      <c r="J1217" s="101"/>
      <c r="K1217" s="101"/>
      <c r="L1217" s="101"/>
      <c r="M1217" s="101"/>
      <c r="N1217" s="101"/>
      <c r="O1217" s="101"/>
      <c r="P1217" s="101"/>
      <c r="Q1217" s="101"/>
      <c r="R1217" s="101"/>
      <c r="S1217" s="101"/>
      <c r="T1217" s="101"/>
      <c r="U1217" s="101"/>
      <c r="V1217" s="101"/>
      <c r="W1217" s="101"/>
      <c r="X1217" s="101"/>
      <c r="Y1217" s="114"/>
      <c r="Z1217" s="114"/>
      <c r="AA1217" s="114"/>
      <c r="AB1217" s="114"/>
      <c r="AC1217" s="114"/>
      <c r="AD1217" s="114"/>
      <c r="AE1217" s="114"/>
      <c r="AF1217" s="114"/>
      <c r="AG1217" s="114"/>
      <c r="AH1217" s="114"/>
      <c r="AI1217" s="114"/>
      <c r="AJ1217" s="114"/>
      <c r="AK1217" s="114"/>
      <c r="AL1217" s="114"/>
      <c r="AM1217" s="114"/>
      <c r="AN1217" s="114"/>
      <c r="AO1217" s="114"/>
      <c r="AP1217" s="114"/>
      <c r="AQ1217" s="114"/>
      <c r="AR1217" s="114"/>
      <c r="AS1217" s="114"/>
      <c r="AT1217" s="114"/>
      <c r="AU1217" s="114"/>
      <c r="AV1217" s="114"/>
      <c r="AW1217" s="114"/>
      <c r="AX1217" s="114"/>
      <c r="AY1217" s="114"/>
      <c r="AZ1217" s="114"/>
    </row>
    <row r="1218" spans="1:52">
      <c r="A1218" s="111"/>
      <c r="B1218" s="111"/>
      <c r="C1218" s="112"/>
      <c r="D1218" s="101"/>
      <c r="E1218" s="101"/>
      <c r="F1218" s="101"/>
      <c r="G1218" s="111"/>
      <c r="H1218" s="101"/>
      <c r="I1218" s="101"/>
      <c r="J1218" s="101"/>
      <c r="K1218" s="101"/>
      <c r="L1218" s="101"/>
      <c r="M1218" s="101"/>
      <c r="N1218" s="101"/>
      <c r="O1218" s="101"/>
      <c r="P1218" s="101"/>
      <c r="Q1218" s="101"/>
      <c r="R1218" s="101"/>
      <c r="S1218" s="101"/>
      <c r="T1218" s="101"/>
      <c r="U1218" s="101"/>
      <c r="V1218" s="101"/>
      <c r="W1218" s="101"/>
      <c r="X1218" s="101"/>
      <c r="Y1218" s="114"/>
      <c r="Z1218" s="114"/>
      <c r="AA1218" s="114"/>
      <c r="AB1218" s="114"/>
      <c r="AC1218" s="114"/>
      <c r="AD1218" s="114"/>
      <c r="AE1218" s="114"/>
      <c r="AF1218" s="114"/>
      <c r="AG1218" s="114"/>
      <c r="AH1218" s="114"/>
      <c r="AI1218" s="114"/>
      <c r="AJ1218" s="114"/>
      <c r="AK1218" s="114"/>
      <c r="AL1218" s="114"/>
      <c r="AM1218" s="114"/>
      <c r="AN1218" s="114"/>
      <c r="AO1218" s="114"/>
      <c r="AP1218" s="114"/>
      <c r="AQ1218" s="114"/>
      <c r="AR1218" s="114"/>
      <c r="AS1218" s="114"/>
      <c r="AT1218" s="114"/>
      <c r="AU1218" s="114"/>
      <c r="AV1218" s="114"/>
      <c r="AW1218" s="114"/>
      <c r="AX1218" s="114"/>
      <c r="AY1218" s="114"/>
      <c r="AZ1218" s="114"/>
    </row>
    <row r="1219" spans="1:52">
      <c r="A1219" s="111"/>
      <c r="B1219" s="111"/>
      <c r="C1219" s="112"/>
      <c r="D1219" s="101"/>
      <c r="E1219" s="101"/>
      <c r="F1219" s="101"/>
      <c r="G1219" s="111"/>
      <c r="H1219" s="101"/>
      <c r="I1219" s="101"/>
      <c r="J1219" s="101"/>
      <c r="K1219" s="101"/>
      <c r="L1219" s="101"/>
      <c r="M1219" s="101"/>
      <c r="N1219" s="101"/>
      <c r="O1219" s="101"/>
      <c r="P1219" s="101"/>
      <c r="Q1219" s="101"/>
      <c r="R1219" s="101"/>
      <c r="S1219" s="101"/>
      <c r="T1219" s="101"/>
      <c r="U1219" s="101"/>
      <c r="V1219" s="101"/>
      <c r="W1219" s="101"/>
      <c r="X1219" s="101"/>
      <c r="Y1219" s="114"/>
      <c r="Z1219" s="114"/>
      <c r="AA1219" s="114"/>
      <c r="AB1219" s="114"/>
      <c r="AC1219" s="114"/>
      <c r="AD1219" s="114"/>
      <c r="AE1219" s="114"/>
      <c r="AF1219" s="114"/>
      <c r="AG1219" s="114"/>
      <c r="AH1219" s="114"/>
      <c r="AI1219" s="114"/>
      <c r="AJ1219" s="114"/>
      <c r="AK1219" s="114"/>
      <c r="AL1219" s="114"/>
      <c r="AM1219" s="114"/>
      <c r="AN1219" s="114"/>
      <c r="AO1219" s="114"/>
      <c r="AP1219" s="114"/>
      <c r="AQ1219" s="114"/>
      <c r="AR1219" s="114"/>
      <c r="AS1219" s="114"/>
      <c r="AT1219" s="114"/>
      <c r="AU1219" s="114"/>
      <c r="AV1219" s="114"/>
      <c r="AW1219" s="114"/>
      <c r="AX1219" s="114"/>
      <c r="AY1219" s="114"/>
      <c r="AZ1219" s="114"/>
    </row>
    <row r="1220" spans="1:52">
      <c r="A1220" s="111"/>
      <c r="B1220" s="111"/>
      <c r="C1220" s="112"/>
      <c r="D1220" s="101"/>
      <c r="E1220" s="101"/>
      <c r="F1220" s="101"/>
      <c r="G1220" s="111"/>
      <c r="H1220" s="101"/>
      <c r="I1220" s="101"/>
      <c r="J1220" s="101"/>
      <c r="K1220" s="101"/>
      <c r="L1220" s="101"/>
      <c r="M1220" s="101"/>
      <c r="N1220" s="101"/>
      <c r="O1220" s="101"/>
      <c r="P1220" s="101"/>
      <c r="Q1220" s="101"/>
      <c r="R1220" s="101"/>
      <c r="S1220" s="101"/>
      <c r="T1220" s="101"/>
      <c r="U1220" s="101"/>
      <c r="V1220" s="101"/>
      <c r="W1220" s="101"/>
      <c r="X1220" s="101"/>
      <c r="Y1220" s="114"/>
      <c r="Z1220" s="114"/>
      <c r="AA1220" s="114"/>
      <c r="AB1220" s="114"/>
      <c r="AC1220" s="114"/>
      <c r="AD1220" s="114"/>
      <c r="AE1220" s="114"/>
      <c r="AF1220" s="114"/>
      <c r="AG1220" s="114"/>
      <c r="AH1220" s="114"/>
      <c r="AI1220" s="114"/>
      <c r="AJ1220" s="114"/>
      <c r="AK1220" s="114"/>
      <c r="AL1220" s="114"/>
      <c r="AM1220" s="114"/>
      <c r="AN1220" s="114"/>
      <c r="AO1220" s="114"/>
      <c r="AP1220" s="114"/>
      <c r="AQ1220" s="114"/>
      <c r="AR1220" s="114"/>
      <c r="AS1220" s="114"/>
      <c r="AT1220" s="114"/>
      <c r="AU1220" s="114"/>
      <c r="AV1220" s="114"/>
      <c r="AW1220" s="114"/>
      <c r="AX1220" s="114"/>
      <c r="AY1220" s="114"/>
      <c r="AZ1220" s="114"/>
    </row>
    <row r="1221" spans="1:52">
      <c r="A1221" s="111"/>
      <c r="B1221" s="111"/>
      <c r="C1221" s="112"/>
      <c r="D1221" s="101"/>
      <c r="E1221" s="101"/>
      <c r="F1221" s="101"/>
      <c r="G1221" s="111"/>
      <c r="H1221" s="101"/>
      <c r="I1221" s="101"/>
      <c r="J1221" s="101"/>
      <c r="K1221" s="101"/>
      <c r="L1221" s="101"/>
      <c r="M1221" s="101"/>
      <c r="N1221" s="101"/>
      <c r="O1221" s="101"/>
      <c r="P1221" s="101"/>
      <c r="Q1221" s="101"/>
      <c r="R1221" s="101"/>
      <c r="S1221" s="101"/>
      <c r="T1221" s="101"/>
      <c r="U1221" s="101"/>
      <c r="V1221" s="101"/>
      <c r="W1221" s="101"/>
      <c r="X1221" s="101"/>
      <c r="Y1221" s="114"/>
      <c r="Z1221" s="114"/>
      <c r="AA1221" s="114"/>
      <c r="AB1221" s="114"/>
      <c r="AC1221" s="114"/>
      <c r="AD1221" s="114"/>
      <c r="AE1221" s="114"/>
      <c r="AF1221" s="114"/>
      <c r="AG1221" s="114"/>
      <c r="AH1221" s="114"/>
      <c r="AI1221" s="114"/>
      <c r="AJ1221" s="114"/>
      <c r="AK1221" s="114"/>
      <c r="AL1221" s="114"/>
      <c r="AM1221" s="114"/>
      <c r="AN1221" s="114"/>
      <c r="AO1221" s="114"/>
      <c r="AP1221" s="114"/>
      <c r="AQ1221" s="114"/>
      <c r="AR1221" s="114"/>
      <c r="AS1221" s="114"/>
      <c r="AT1221" s="114"/>
      <c r="AU1221" s="114"/>
      <c r="AV1221" s="114"/>
      <c r="AW1221" s="114"/>
      <c r="AX1221" s="114"/>
      <c r="AY1221" s="114"/>
      <c r="AZ1221" s="114"/>
    </row>
    <row r="1222" spans="1:52">
      <c r="A1222" s="111"/>
      <c r="B1222" s="111"/>
      <c r="C1222" s="112"/>
      <c r="D1222" s="101"/>
      <c r="E1222" s="101"/>
      <c r="F1222" s="101"/>
      <c r="G1222" s="111"/>
      <c r="H1222" s="101"/>
      <c r="I1222" s="101"/>
      <c r="J1222" s="101"/>
      <c r="K1222" s="101"/>
      <c r="L1222" s="101"/>
      <c r="M1222" s="101"/>
      <c r="N1222" s="101"/>
      <c r="O1222" s="101"/>
      <c r="P1222" s="101"/>
      <c r="Q1222" s="101"/>
      <c r="R1222" s="101"/>
      <c r="S1222" s="101"/>
      <c r="T1222" s="101"/>
      <c r="U1222" s="101"/>
      <c r="V1222" s="101"/>
      <c r="W1222" s="101"/>
      <c r="X1222" s="101"/>
      <c r="Y1222" s="114"/>
      <c r="Z1222" s="114"/>
      <c r="AA1222" s="114"/>
      <c r="AB1222" s="114"/>
      <c r="AC1222" s="114"/>
      <c r="AD1222" s="114"/>
      <c r="AE1222" s="114"/>
      <c r="AF1222" s="114"/>
      <c r="AG1222" s="114"/>
      <c r="AH1222" s="114"/>
      <c r="AI1222" s="114"/>
      <c r="AJ1222" s="114"/>
      <c r="AK1222" s="114"/>
      <c r="AL1222" s="114"/>
      <c r="AM1222" s="114"/>
      <c r="AN1222" s="114"/>
      <c r="AO1222" s="114"/>
      <c r="AP1222" s="114"/>
      <c r="AQ1222" s="114"/>
      <c r="AR1222" s="114"/>
      <c r="AS1222" s="114"/>
      <c r="AT1222" s="114"/>
      <c r="AU1222" s="114"/>
      <c r="AV1222" s="114"/>
      <c r="AW1222" s="114"/>
      <c r="AX1222" s="114"/>
      <c r="AY1222" s="114"/>
      <c r="AZ1222" s="114"/>
    </row>
    <row r="1223" spans="1:52">
      <c r="A1223" s="111"/>
      <c r="B1223" s="111"/>
      <c r="C1223" s="112"/>
      <c r="D1223" s="101"/>
      <c r="E1223" s="101"/>
      <c r="F1223" s="101"/>
      <c r="G1223" s="111"/>
      <c r="H1223" s="101"/>
      <c r="I1223" s="101"/>
      <c r="J1223" s="101"/>
      <c r="K1223" s="101"/>
      <c r="L1223" s="101"/>
      <c r="M1223" s="101"/>
      <c r="N1223" s="101"/>
      <c r="O1223" s="101"/>
      <c r="P1223" s="101"/>
      <c r="Q1223" s="101"/>
      <c r="R1223" s="101"/>
      <c r="S1223" s="101"/>
      <c r="T1223" s="101"/>
      <c r="U1223" s="101"/>
      <c r="V1223" s="101"/>
      <c r="W1223" s="101"/>
      <c r="X1223" s="101"/>
      <c r="Y1223" s="114"/>
      <c r="Z1223" s="114"/>
      <c r="AA1223" s="114"/>
      <c r="AB1223" s="114"/>
      <c r="AC1223" s="114"/>
      <c r="AD1223" s="114"/>
      <c r="AE1223" s="114"/>
      <c r="AF1223" s="114"/>
      <c r="AG1223" s="114"/>
      <c r="AH1223" s="114"/>
      <c r="AI1223" s="114"/>
      <c r="AJ1223" s="114"/>
      <c r="AK1223" s="114"/>
      <c r="AL1223" s="114"/>
      <c r="AM1223" s="114"/>
      <c r="AN1223" s="114"/>
      <c r="AO1223" s="114"/>
      <c r="AP1223" s="114"/>
      <c r="AQ1223" s="114"/>
      <c r="AR1223" s="114"/>
      <c r="AS1223" s="114"/>
      <c r="AT1223" s="114"/>
      <c r="AU1223" s="114"/>
      <c r="AV1223" s="114"/>
      <c r="AW1223" s="114"/>
      <c r="AX1223" s="114"/>
      <c r="AY1223" s="114"/>
      <c r="AZ1223" s="114"/>
    </row>
    <row r="1224" spans="1:52">
      <c r="A1224" s="111"/>
      <c r="B1224" s="111"/>
      <c r="C1224" s="112"/>
      <c r="D1224" s="101"/>
      <c r="E1224" s="101"/>
      <c r="F1224" s="101"/>
      <c r="G1224" s="111"/>
      <c r="H1224" s="101"/>
      <c r="I1224" s="101"/>
      <c r="J1224" s="101"/>
      <c r="K1224" s="101"/>
      <c r="L1224" s="101"/>
      <c r="M1224" s="101"/>
      <c r="N1224" s="101"/>
      <c r="O1224" s="101"/>
      <c r="P1224" s="101"/>
      <c r="Q1224" s="101"/>
      <c r="R1224" s="101"/>
      <c r="S1224" s="101"/>
      <c r="T1224" s="101"/>
      <c r="U1224" s="101"/>
      <c r="V1224" s="101"/>
      <c r="W1224" s="101"/>
      <c r="X1224" s="101"/>
      <c r="Y1224" s="114"/>
      <c r="Z1224" s="114"/>
      <c r="AA1224" s="114"/>
      <c r="AB1224" s="114"/>
      <c r="AC1224" s="114"/>
      <c r="AD1224" s="114"/>
      <c r="AE1224" s="114"/>
      <c r="AF1224" s="114"/>
      <c r="AG1224" s="114"/>
      <c r="AH1224" s="114"/>
      <c r="AI1224" s="114"/>
      <c r="AJ1224" s="114"/>
      <c r="AK1224" s="114"/>
      <c r="AL1224" s="114"/>
      <c r="AM1224" s="114"/>
      <c r="AN1224" s="114"/>
      <c r="AO1224" s="114"/>
      <c r="AP1224" s="114"/>
      <c r="AQ1224" s="114"/>
      <c r="AR1224" s="114"/>
      <c r="AS1224" s="114"/>
      <c r="AT1224" s="114"/>
      <c r="AU1224" s="114"/>
      <c r="AV1224" s="114"/>
      <c r="AW1224" s="114"/>
      <c r="AX1224" s="114"/>
      <c r="AY1224" s="114"/>
      <c r="AZ1224" s="114"/>
    </row>
    <row r="1225" spans="1:52">
      <c r="A1225" s="111"/>
      <c r="B1225" s="111"/>
      <c r="C1225" s="112"/>
      <c r="D1225" s="101"/>
      <c r="E1225" s="101"/>
      <c r="F1225" s="101"/>
      <c r="G1225" s="111"/>
      <c r="H1225" s="101"/>
      <c r="I1225" s="101"/>
      <c r="J1225" s="101"/>
      <c r="K1225" s="101"/>
      <c r="L1225" s="101"/>
      <c r="M1225" s="101"/>
      <c r="N1225" s="101"/>
      <c r="O1225" s="101"/>
      <c r="P1225" s="101"/>
      <c r="Q1225" s="101"/>
      <c r="R1225" s="101"/>
      <c r="S1225" s="101"/>
      <c r="T1225" s="101"/>
      <c r="U1225" s="101"/>
      <c r="V1225" s="101"/>
      <c r="W1225" s="101"/>
      <c r="X1225" s="101"/>
      <c r="Y1225" s="114"/>
      <c r="Z1225" s="114"/>
      <c r="AA1225" s="114"/>
      <c r="AB1225" s="114"/>
      <c r="AC1225" s="114"/>
      <c r="AD1225" s="114"/>
      <c r="AE1225" s="114"/>
      <c r="AF1225" s="114"/>
      <c r="AG1225" s="114"/>
      <c r="AH1225" s="114"/>
      <c r="AI1225" s="114"/>
      <c r="AJ1225" s="114"/>
      <c r="AK1225" s="114"/>
      <c r="AL1225" s="114"/>
      <c r="AM1225" s="114"/>
      <c r="AN1225" s="114"/>
      <c r="AO1225" s="114"/>
      <c r="AP1225" s="114"/>
      <c r="AQ1225" s="114"/>
      <c r="AR1225" s="114"/>
      <c r="AS1225" s="114"/>
      <c r="AT1225" s="114"/>
      <c r="AU1225" s="114"/>
      <c r="AV1225" s="114"/>
      <c r="AW1225" s="114"/>
      <c r="AX1225" s="114"/>
      <c r="AY1225" s="114"/>
      <c r="AZ1225" s="114"/>
    </row>
    <row r="1226" spans="1:52">
      <c r="A1226" s="111"/>
      <c r="B1226" s="111"/>
      <c r="C1226" s="112"/>
      <c r="D1226" s="101"/>
      <c r="E1226" s="101"/>
      <c r="F1226" s="101"/>
      <c r="G1226" s="111"/>
      <c r="H1226" s="101"/>
      <c r="I1226" s="101"/>
      <c r="J1226" s="101"/>
      <c r="K1226" s="101"/>
      <c r="L1226" s="101"/>
      <c r="M1226" s="101"/>
      <c r="N1226" s="101"/>
      <c r="O1226" s="101"/>
      <c r="P1226" s="101"/>
      <c r="Q1226" s="101"/>
      <c r="R1226" s="101"/>
      <c r="S1226" s="101"/>
      <c r="T1226" s="101"/>
      <c r="U1226" s="101"/>
      <c r="V1226" s="101"/>
      <c r="W1226" s="101"/>
      <c r="X1226" s="101"/>
      <c r="Y1226" s="114"/>
      <c r="Z1226" s="114"/>
      <c r="AA1226" s="114"/>
      <c r="AB1226" s="114"/>
      <c r="AC1226" s="114"/>
      <c r="AD1226" s="114"/>
      <c r="AE1226" s="114"/>
      <c r="AF1226" s="114"/>
      <c r="AG1226" s="114"/>
      <c r="AH1226" s="114"/>
      <c r="AI1226" s="114"/>
      <c r="AJ1226" s="114"/>
      <c r="AK1226" s="114"/>
      <c r="AL1226" s="114"/>
      <c r="AM1226" s="114"/>
      <c r="AN1226" s="114"/>
      <c r="AO1226" s="114"/>
      <c r="AP1226" s="114"/>
      <c r="AQ1226" s="114"/>
      <c r="AR1226" s="114"/>
      <c r="AS1226" s="114"/>
      <c r="AT1226" s="114"/>
      <c r="AU1226" s="114"/>
      <c r="AV1226" s="114"/>
      <c r="AW1226" s="114"/>
      <c r="AX1226" s="114"/>
      <c r="AY1226" s="114"/>
      <c r="AZ1226" s="114"/>
    </row>
    <row r="1227" spans="1:52">
      <c r="A1227" s="111"/>
      <c r="B1227" s="111"/>
      <c r="C1227" s="112"/>
      <c r="D1227" s="101"/>
      <c r="E1227" s="101"/>
      <c r="F1227" s="101"/>
      <c r="G1227" s="111"/>
      <c r="H1227" s="101"/>
      <c r="I1227" s="101"/>
      <c r="J1227" s="101"/>
      <c r="K1227" s="101"/>
      <c r="L1227" s="101"/>
      <c r="M1227" s="101"/>
      <c r="N1227" s="101"/>
      <c r="O1227" s="101"/>
      <c r="P1227" s="101"/>
      <c r="Q1227" s="101"/>
      <c r="R1227" s="101"/>
      <c r="S1227" s="101"/>
      <c r="T1227" s="101"/>
      <c r="U1227" s="101"/>
      <c r="V1227" s="101"/>
      <c r="W1227" s="101"/>
      <c r="X1227" s="101"/>
      <c r="Y1227" s="114"/>
      <c r="Z1227" s="114"/>
      <c r="AA1227" s="114"/>
      <c r="AB1227" s="114"/>
      <c r="AC1227" s="114"/>
      <c r="AD1227" s="114"/>
      <c r="AE1227" s="114"/>
      <c r="AF1227" s="114"/>
      <c r="AG1227" s="114"/>
      <c r="AH1227" s="114"/>
      <c r="AI1227" s="114"/>
      <c r="AJ1227" s="114"/>
      <c r="AK1227" s="114"/>
      <c r="AL1227" s="114"/>
      <c r="AM1227" s="114"/>
      <c r="AN1227" s="114"/>
      <c r="AO1227" s="114"/>
      <c r="AP1227" s="114"/>
      <c r="AQ1227" s="114"/>
      <c r="AR1227" s="114"/>
      <c r="AS1227" s="114"/>
      <c r="AT1227" s="114"/>
      <c r="AU1227" s="114"/>
      <c r="AV1227" s="114"/>
      <c r="AW1227" s="114"/>
      <c r="AX1227" s="114"/>
      <c r="AY1227" s="114"/>
      <c r="AZ1227" s="114"/>
    </row>
    <row r="1228" spans="1:52">
      <c r="A1228" s="111"/>
      <c r="B1228" s="111"/>
      <c r="C1228" s="112"/>
      <c r="D1228" s="101"/>
      <c r="E1228" s="101"/>
      <c r="F1228" s="101"/>
      <c r="G1228" s="111"/>
      <c r="H1228" s="101"/>
      <c r="I1228" s="101"/>
      <c r="J1228" s="101"/>
      <c r="K1228" s="101"/>
      <c r="L1228" s="101"/>
      <c r="M1228" s="101"/>
      <c r="N1228" s="101"/>
      <c r="O1228" s="101"/>
      <c r="P1228" s="101"/>
      <c r="Q1228" s="101"/>
      <c r="R1228" s="101"/>
      <c r="S1228" s="101"/>
      <c r="T1228" s="101"/>
      <c r="U1228" s="101"/>
      <c r="V1228" s="101"/>
      <c r="W1228" s="101"/>
      <c r="X1228" s="101"/>
      <c r="Y1228" s="114"/>
      <c r="Z1228" s="114"/>
      <c r="AA1228" s="114"/>
      <c r="AB1228" s="114"/>
      <c r="AC1228" s="114"/>
      <c r="AD1228" s="114"/>
      <c r="AE1228" s="114"/>
      <c r="AF1228" s="114"/>
      <c r="AG1228" s="114"/>
      <c r="AH1228" s="114"/>
      <c r="AI1228" s="114"/>
      <c r="AJ1228" s="114"/>
      <c r="AK1228" s="114"/>
      <c r="AL1228" s="114"/>
      <c r="AM1228" s="114"/>
      <c r="AN1228" s="114"/>
      <c r="AO1228" s="114"/>
      <c r="AP1228" s="114"/>
      <c r="AQ1228" s="114"/>
      <c r="AR1228" s="114"/>
      <c r="AS1228" s="114"/>
      <c r="AT1228" s="114"/>
      <c r="AU1228" s="114"/>
      <c r="AV1228" s="114"/>
      <c r="AW1228" s="114"/>
      <c r="AX1228" s="114"/>
      <c r="AY1228" s="114"/>
      <c r="AZ1228" s="114"/>
    </row>
    <row r="1229" spans="1:52">
      <c r="A1229" s="111"/>
      <c r="B1229" s="111"/>
      <c r="C1229" s="112"/>
      <c r="D1229" s="101"/>
      <c r="E1229" s="101"/>
      <c r="F1229" s="101"/>
      <c r="G1229" s="111"/>
      <c r="H1229" s="101"/>
      <c r="I1229" s="101"/>
      <c r="J1229" s="101"/>
      <c r="K1229" s="101"/>
      <c r="L1229" s="101"/>
      <c r="M1229" s="101"/>
      <c r="N1229" s="101"/>
      <c r="O1229" s="101"/>
      <c r="P1229" s="101"/>
      <c r="Q1229" s="101"/>
      <c r="R1229" s="101"/>
      <c r="S1229" s="101"/>
      <c r="T1229" s="101"/>
      <c r="U1229" s="101"/>
      <c r="V1229" s="101"/>
      <c r="W1229" s="101"/>
      <c r="X1229" s="101"/>
      <c r="Y1229" s="114"/>
      <c r="Z1229" s="114"/>
      <c r="AA1229" s="114"/>
      <c r="AB1229" s="114"/>
      <c r="AC1229" s="114"/>
      <c r="AD1229" s="114"/>
      <c r="AE1229" s="114"/>
      <c r="AF1229" s="114"/>
      <c r="AG1229" s="114"/>
      <c r="AH1229" s="114"/>
      <c r="AI1229" s="114"/>
      <c r="AJ1229" s="114"/>
      <c r="AK1229" s="114"/>
      <c r="AL1229" s="114"/>
      <c r="AM1229" s="114"/>
      <c r="AN1229" s="114"/>
      <c r="AO1229" s="114"/>
      <c r="AP1229" s="114"/>
      <c r="AQ1229" s="114"/>
      <c r="AR1229" s="114"/>
      <c r="AS1229" s="114"/>
      <c r="AT1229" s="114"/>
      <c r="AU1229" s="114"/>
      <c r="AV1229" s="114"/>
      <c r="AW1229" s="114"/>
      <c r="AX1229" s="114"/>
      <c r="AY1229" s="114"/>
      <c r="AZ1229" s="114"/>
    </row>
    <row r="1230" spans="1:52">
      <c r="A1230" s="111"/>
      <c r="B1230" s="111"/>
      <c r="C1230" s="112"/>
      <c r="D1230" s="101"/>
      <c r="E1230" s="101"/>
      <c r="F1230" s="101"/>
      <c r="G1230" s="111"/>
      <c r="H1230" s="101"/>
      <c r="I1230" s="101"/>
      <c r="J1230" s="101"/>
      <c r="K1230" s="101"/>
      <c r="L1230" s="101"/>
      <c r="M1230" s="101"/>
      <c r="N1230" s="101"/>
      <c r="O1230" s="101"/>
      <c r="P1230" s="101"/>
      <c r="Q1230" s="101"/>
      <c r="R1230" s="101"/>
      <c r="S1230" s="101"/>
      <c r="T1230" s="101"/>
      <c r="U1230" s="101"/>
      <c r="V1230" s="101"/>
      <c r="W1230" s="101"/>
      <c r="X1230" s="101"/>
      <c r="Y1230" s="114"/>
      <c r="Z1230" s="114"/>
      <c r="AA1230" s="114"/>
      <c r="AB1230" s="114"/>
      <c r="AC1230" s="114"/>
      <c r="AD1230" s="114"/>
      <c r="AE1230" s="114"/>
      <c r="AF1230" s="114"/>
      <c r="AG1230" s="114"/>
      <c r="AH1230" s="114"/>
      <c r="AI1230" s="114"/>
      <c r="AJ1230" s="114"/>
      <c r="AK1230" s="114"/>
      <c r="AL1230" s="114"/>
      <c r="AM1230" s="114"/>
      <c r="AN1230" s="114"/>
      <c r="AO1230" s="114"/>
      <c r="AP1230" s="114"/>
      <c r="AQ1230" s="114"/>
      <c r="AR1230" s="114"/>
      <c r="AS1230" s="114"/>
      <c r="AT1230" s="114"/>
      <c r="AU1230" s="114"/>
      <c r="AV1230" s="114"/>
      <c r="AW1230" s="114"/>
      <c r="AX1230" s="114"/>
      <c r="AY1230" s="114"/>
      <c r="AZ1230" s="114"/>
    </row>
    <row r="1231" spans="1:52">
      <c r="A1231" s="111"/>
      <c r="B1231" s="111"/>
      <c r="C1231" s="112"/>
      <c r="D1231" s="101"/>
      <c r="E1231" s="101"/>
      <c r="F1231" s="101"/>
      <c r="G1231" s="111"/>
      <c r="H1231" s="101"/>
      <c r="I1231" s="101"/>
      <c r="J1231" s="101"/>
      <c r="K1231" s="101"/>
      <c r="L1231" s="101"/>
      <c r="M1231" s="101"/>
      <c r="N1231" s="101"/>
      <c r="O1231" s="101"/>
      <c r="P1231" s="101"/>
      <c r="Q1231" s="101"/>
      <c r="R1231" s="101"/>
      <c r="S1231" s="101"/>
      <c r="T1231" s="101"/>
      <c r="U1231" s="101"/>
      <c r="V1231" s="101"/>
      <c r="W1231" s="101"/>
      <c r="X1231" s="101"/>
      <c r="Y1231" s="114"/>
      <c r="Z1231" s="114"/>
      <c r="AA1231" s="114"/>
      <c r="AB1231" s="114"/>
      <c r="AC1231" s="114"/>
      <c r="AD1231" s="114"/>
      <c r="AE1231" s="114"/>
      <c r="AF1231" s="114"/>
      <c r="AG1231" s="114"/>
      <c r="AH1231" s="114"/>
      <c r="AI1231" s="114"/>
      <c r="AJ1231" s="114"/>
      <c r="AK1231" s="114"/>
      <c r="AL1231" s="114"/>
      <c r="AM1231" s="114"/>
      <c r="AN1231" s="114"/>
      <c r="AO1231" s="114"/>
      <c r="AP1231" s="114"/>
      <c r="AQ1231" s="114"/>
      <c r="AR1231" s="114"/>
      <c r="AS1231" s="114"/>
      <c r="AT1231" s="114"/>
      <c r="AU1231" s="114"/>
      <c r="AV1231" s="114"/>
      <c r="AW1231" s="114"/>
      <c r="AX1231" s="114"/>
      <c r="AY1231" s="114"/>
      <c r="AZ1231" s="114"/>
    </row>
    <row r="1232" spans="1:52">
      <c r="A1232" s="111"/>
      <c r="B1232" s="111"/>
      <c r="C1232" s="112"/>
      <c r="D1232" s="101"/>
      <c r="E1232" s="101"/>
      <c r="F1232" s="101"/>
      <c r="G1232" s="111"/>
      <c r="H1232" s="101"/>
      <c r="I1232" s="101"/>
      <c r="J1232" s="101"/>
      <c r="K1232" s="101"/>
      <c r="L1232" s="101"/>
      <c r="M1232" s="101"/>
      <c r="N1232" s="101"/>
      <c r="O1232" s="101"/>
      <c r="P1232" s="101"/>
      <c r="Q1232" s="101"/>
      <c r="R1232" s="101"/>
      <c r="S1232" s="101"/>
      <c r="T1232" s="101"/>
      <c r="U1232" s="101"/>
      <c r="V1232" s="101"/>
      <c r="W1232" s="101"/>
      <c r="X1232" s="101"/>
      <c r="Y1232" s="114"/>
      <c r="Z1232" s="114"/>
      <c r="AA1232" s="114"/>
      <c r="AB1232" s="114"/>
      <c r="AC1232" s="114"/>
      <c r="AD1232" s="114"/>
      <c r="AE1232" s="114"/>
      <c r="AF1232" s="114"/>
      <c r="AG1232" s="114"/>
      <c r="AH1232" s="114"/>
      <c r="AI1232" s="114"/>
      <c r="AJ1232" s="114"/>
      <c r="AK1232" s="114"/>
      <c r="AL1232" s="114"/>
      <c r="AM1232" s="114"/>
      <c r="AN1232" s="114"/>
      <c r="AO1232" s="114"/>
      <c r="AP1232" s="114"/>
      <c r="AQ1232" s="114"/>
      <c r="AR1232" s="114"/>
      <c r="AS1232" s="114"/>
      <c r="AT1232" s="114"/>
      <c r="AU1232" s="114"/>
      <c r="AV1232" s="114"/>
      <c r="AW1232" s="114"/>
      <c r="AX1232" s="114"/>
      <c r="AY1232" s="114"/>
      <c r="AZ1232" s="114"/>
    </row>
    <row r="1233" spans="1:52">
      <c r="A1233" s="111"/>
      <c r="B1233" s="111"/>
      <c r="C1233" s="112"/>
      <c r="D1233" s="101"/>
      <c r="E1233" s="101"/>
      <c r="F1233" s="101"/>
      <c r="G1233" s="111"/>
      <c r="H1233" s="101"/>
      <c r="I1233" s="101"/>
      <c r="J1233" s="101"/>
      <c r="K1233" s="101"/>
      <c r="L1233" s="101"/>
      <c r="M1233" s="101"/>
      <c r="N1233" s="101"/>
      <c r="O1233" s="101"/>
      <c r="P1233" s="101"/>
      <c r="Q1233" s="101"/>
      <c r="R1233" s="101"/>
      <c r="S1233" s="101"/>
      <c r="T1233" s="101"/>
      <c r="U1233" s="101"/>
      <c r="V1233" s="101"/>
      <c r="W1233" s="101"/>
      <c r="X1233" s="101"/>
      <c r="Y1233" s="114"/>
      <c r="Z1233" s="114"/>
      <c r="AA1233" s="114"/>
      <c r="AB1233" s="114"/>
      <c r="AC1233" s="114"/>
      <c r="AD1233" s="114"/>
      <c r="AE1233" s="114"/>
      <c r="AF1233" s="114"/>
      <c r="AG1233" s="114"/>
      <c r="AH1233" s="114"/>
      <c r="AI1233" s="114"/>
      <c r="AJ1233" s="114"/>
      <c r="AK1233" s="114"/>
      <c r="AL1233" s="114"/>
      <c r="AM1233" s="114"/>
      <c r="AN1233" s="114"/>
      <c r="AO1233" s="114"/>
      <c r="AP1233" s="114"/>
      <c r="AQ1233" s="114"/>
      <c r="AR1233" s="114"/>
      <c r="AS1233" s="114"/>
      <c r="AT1233" s="114"/>
      <c r="AU1233" s="114"/>
      <c r="AV1233" s="114"/>
      <c r="AW1233" s="114"/>
      <c r="AX1233" s="114"/>
      <c r="AY1233" s="114"/>
      <c r="AZ1233" s="114"/>
    </row>
    <row r="1234" spans="1:52">
      <c r="A1234" s="111"/>
      <c r="B1234" s="111"/>
      <c r="C1234" s="112"/>
      <c r="D1234" s="101"/>
      <c r="E1234" s="101"/>
      <c r="F1234" s="101"/>
      <c r="G1234" s="111"/>
      <c r="H1234" s="101"/>
      <c r="I1234" s="101"/>
      <c r="J1234" s="101"/>
      <c r="K1234" s="101"/>
      <c r="L1234" s="101"/>
      <c r="M1234" s="101"/>
      <c r="N1234" s="101"/>
      <c r="O1234" s="101"/>
      <c r="P1234" s="101"/>
      <c r="Q1234" s="101"/>
      <c r="R1234" s="101"/>
      <c r="S1234" s="101"/>
      <c r="T1234" s="101"/>
      <c r="U1234" s="101"/>
      <c r="V1234" s="101"/>
      <c r="W1234" s="101"/>
      <c r="X1234" s="101"/>
      <c r="Y1234" s="114"/>
      <c r="Z1234" s="114"/>
      <c r="AA1234" s="114"/>
      <c r="AB1234" s="114"/>
      <c r="AC1234" s="114"/>
      <c r="AD1234" s="114"/>
      <c r="AE1234" s="114"/>
      <c r="AF1234" s="114"/>
      <c r="AG1234" s="114"/>
      <c r="AH1234" s="114"/>
      <c r="AI1234" s="114"/>
      <c r="AJ1234" s="114"/>
      <c r="AK1234" s="114"/>
      <c r="AL1234" s="114"/>
      <c r="AM1234" s="114"/>
      <c r="AN1234" s="114"/>
      <c r="AO1234" s="114"/>
      <c r="AP1234" s="114"/>
      <c r="AQ1234" s="114"/>
      <c r="AR1234" s="114"/>
      <c r="AS1234" s="114"/>
      <c r="AT1234" s="114"/>
      <c r="AU1234" s="114"/>
      <c r="AV1234" s="114"/>
      <c r="AW1234" s="114"/>
      <c r="AX1234" s="114"/>
      <c r="AY1234" s="114"/>
      <c r="AZ1234" s="114"/>
    </row>
    <row r="1235" spans="1:52">
      <c r="A1235" s="111"/>
      <c r="B1235" s="111"/>
      <c r="C1235" s="112"/>
      <c r="D1235" s="101"/>
      <c r="E1235" s="101"/>
      <c r="F1235" s="101"/>
      <c r="G1235" s="111"/>
      <c r="H1235" s="101"/>
      <c r="I1235" s="101"/>
      <c r="J1235" s="101"/>
      <c r="K1235" s="101"/>
      <c r="L1235" s="101"/>
      <c r="M1235" s="101"/>
      <c r="N1235" s="101"/>
      <c r="O1235" s="101"/>
      <c r="P1235" s="101"/>
      <c r="Q1235" s="101"/>
      <c r="R1235" s="101"/>
      <c r="S1235" s="101"/>
      <c r="T1235" s="101"/>
      <c r="U1235" s="101"/>
      <c r="V1235" s="101"/>
      <c r="W1235" s="101"/>
      <c r="X1235" s="101"/>
      <c r="Y1235" s="114"/>
      <c r="Z1235" s="114"/>
      <c r="AA1235" s="114"/>
      <c r="AB1235" s="114"/>
      <c r="AC1235" s="114"/>
      <c r="AD1235" s="114"/>
      <c r="AE1235" s="114"/>
      <c r="AF1235" s="114"/>
      <c r="AG1235" s="114"/>
      <c r="AH1235" s="114"/>
      <c r="AI1235" s="114"/>
      <c r="AJ1235" s="114"/>
      <c r="AK1235" s="114"/>
      <c r="AL1235" s="114"/>
      <c r="AM1235" s="114"/>
      <c r="AN1235" s="114"/>
      <c r="AO1235" s="114"/>
      <c r="AP1235" s="114"/>
      <c r="AQ1235" s="114"/>
      <c r="AR1235" s="114"/>
      <c r="AS1235" s="114"/>
      <c r="AT1235" s="114"/>
      <c r="AU1235" s="114"/>
      <c r="AV1235" s="114"/>
      <c r="AW1235" s="114"/>
      <c r="AX1235" s="114"/>
      <c r="AY1235" s="114"/>
      <c r="AZ1235" s="114"/>
    </row>
    <row r="1236" spans="1:52">
      <c r="A1236" s="111"/>
      <c r="B1236" s="111"/>
      <c r="C1236" s="112"/>
      <c r="D1236" s="101"/>
      <c r="E1236" s="101"/>
      <c r="F1236" s="101"/>
      <c r="G1236" s="111"/>
      <c r="H1236" s="101"/>
      <c r="I1236" s="101"/>
      <c r="J1236" s="101"/>
      <c r="K1236" s="101"/>
      <c r="L1236" s="101"/>
      <c r="M1236" s="101"/>
      <c r="N1236" s="101"/>
      <c r="O1236" s="101"/>
      <c r="P1236" s="101"/>
      <c r="Q1236" s="101"/>
      <c r="R1236" s="101"/>
      <c r="S1236" s="101"/>
      <c r="T1236" s="101"/>
      <c r="U1236" s="101"/>
      <c r="V1236" s="101"/>
      <c r="W1236" s="101"/>
      <c r="X1236" s="101"/>
      <c r="Y1236" s="114"/>
      <c r="Z1236" s="114"/>
      <c r="AA1236" s="114"/>
      <c r="AB1236" s="114"/>
      <c r="AC1236" s="114"/>
      <c r="AD1236" s="114"/>
      <c r="AE1236" s="114"/>
      <c r="AF1236" s="114"/>
      <c r="AG1236" s="114"/>
      <c r="AH1236" s="114"/>
      <c r="AI1236" s="114"/>
      <c r="AJ1236" s="114"/>
      <c r="AK1236" s="114"/>
      <c r="AL1236" s="114"/>
      <c r="AM1236" s="114"/>
      <c r="AN1236" s="114"/>
      <c r="AO1236" s="114"/>
      <c r="AP1236" s="114"/>
      <c r="AQ1236" s="114"/>
      <c r="AR1236" s="114"/>
      <c r="AS1236" s="114"/>
      <c r="AT1236" s="114"/>
      <c r="AU1236" s="114"/>
      <c r="AV1236" s="114"/>
      <c r="AW1236" s="114"/>
      <c r="AX1236" s="114"/>
      <c r="AY1236" s="114"/>
      <c r="AZ1236" s="114"/>
    </row>
    <row r="1237" spans="1:52">
      <c r="A1237" s="111"/>
      <c r="B1237" s="111"/>
      <c r="C1237" s="112"/>
      <c r="D1237" s="101"/>
      <c r="E1237" s="101"/>
      <c r="F1237" s="101"/>
      <c r="G1237" s="111"/>
      <c r="H1237" s="101"/>
      <c r="I1237" s="101"/>
      <c r="J1237" s="101"/>
      <c r="K1237" s="101"/>
      <c r="L1237" s="101"/>
      <c r="M1237" s="101"/>
      <c r="N1237" s="101"/>
      <c r="O1237" s="101"/>
      <c r="P1237" s="101"/>
      <c r="Q1237" s="101"/>
      <c r="R1237" s="101"/>
      <c r="S1237" s="101"/>
      <c r="T1237" s="101"/>
      <c r="U1237" s="101"/>
      <c r="V1237" s="101"/>
      <c r="W1237" s="101"/>
      <c r="X1237" s="101"/>
      <c r="Y1237" s="114"/>
      <c r="Z1237" s="114"/>
      <c r="AA1237" s="114"/>
      <c r="AB1237" s="114"/>
      <c r="AC1237" s="114"/>
      <c r="AD1237" s="114"/>
      <c r="AE1237" s="114"/>
      <c r="AF1237" s="114"/>
      <c r="AG1237" s="114"/>
      <c r="AH1237" s="114"/>
      <c r="AI1237" s="114"/>
      <c r="AJ1237" s="114"/>
      <c r="AK1237" s="114"/>
      <c r="AL1237" s="114"/>
      <c r="AM1237" s="114"/>
      <c r="AN1237" s="114"/>
      <c r="AO1237" s="114"/>
      <c r="AP1237" s="114"/>
      <c r="AQ1237" s="114"/>
      <c r="AR1237" s="114"/>
      <c r="AS1237" s="114"/>
      <c r="AT1237" s="114"/>
      <c r="AU1237" s="114"/>
      <c r="AV1237" s="114"/>
      <c r="AW1237" s="114"/>
      <c r="AX1237" s="114"/>
      <c r="AY1237" s="114"/>
      <c r="AZ1237" s="114"/>
    </row>
    <row r="1238" spans="1:52">
      <c r="A1238" s="111"/>
      <c r="B1238" s="111"/>
      <c r="C1238" s="112"/>
      <c r="D1238" s="101"/>
      <c r="E1238" s="101"/>
      <c r="F1238" s="101"/>
      <c r="G1238" s="111"/>
      <c r="H1238" s="101"/>
      <c r="I1238" s="101"/>
      <c r="J1238" s="101"/>
      <c r="K1238" s="101"/>
      <c r="L1238" s="101"/>
      <c r="M1238" s="101"/>
      <c r="N1238" s="101"/>
      <c r="O1238" s="101"/>
      <c r="P1238" s="101"/>
      <c r="Q1238" s="101"/>
      <c r="R1238" s="101"/>
      <c r="S1238" s="101"/>
      <c r="T1238" s="101"/>
      <c r="U1238" s="101"/>
      <c r="V1238" s="101"/>
      <c r="W1238" s="101"/>
      <c r="X1238" s="101"/>
      <c r="Y1238" s="114"/>
      <c r="Z1238" s="114"/>
      <c r="AA1238" s="114"/>
      <c r="AB1238" s="114"/>
      <c r="AC1238" s="114"/>
      <c r="AD1238" s="114"/>
      <c r="AE1238" s="114"/>
      <c r="AF1238" s="114"/>
      <c r="AG1238" s="114"/>
      <c r="AH1238" s="114"/>
      <c r="AI1238" s="114"/>
      <c r="AJ1238" s="114"/>
      <c r="AK1238" s="114"/>
      <c r="AL1238" s="114"/>
      <c r="AM1238" s="114"/>
      <c r="AN1238" s="114"/>
      <c r="AO1238" s="114"/>
      <c r="AP1238" s="114"/>
      <c r="AQ1238" s="114"/>
      <c r="AR1238" s="114"/>
      <c r="AS1238" s="114"/>
      <c r="AT1238" s="114"/>
      <c r="AU1238" s="114"/>
      <c r="AV1238" s="114"/>
      <c r="AW1238" s="114"/>
      <c r="AX1238" s="114"/>
      <c r="AY1238" s="114"/>
      <c r="AZ1238" s="114"/>
    </row>
    <row r="1239" spans="1:52">
      <c r="A1239" s="111"/>
      <c r="B1239" s="111"/>
      <c r="C1239" s="112"/>
      <c r="D1239" s="101"/>
      <c r="E1239" s="101"/>
      <c r="F1239" s="101"/>
      <c r="G1239" s="111"/>
      <c r="H1239" s="101"/>
      <c r="I1239" s="101"/>
      <c r="J1239" s="101"/>
      <c r="K1239" s="101"/>
      <c r="L1239" s="101"/>
      <c r="M1239" s="101"/>
      <c r="N1239" s="101"/>
      <c r="O1239" s="101"/>
      <c r="P1239" s="101"/>
      <c r="Q1239" s="101"/>
      <c r="R1239" s="101"/>
      <c r="S1239" s="101"/>
      <c r="T1239" s="101"/>
      <c r="U1239" s="101"/>
      <c r="V1239" s="101"/>
      <c r="W1239" s="101"/>
      <c r="X1239" s="101"/>
      <c r="Y1239" s="114"/>
      <c r="Z1239" s="114"/>
      <c r="AA1239" s="114"/>
      <c r="AB1239" s="114"/>
      <c r="AC1239" s="114"/>
      <c r="AD1239" s="114"/>
      <c r="AE1239" s="114"/>
      <c r="AF1239" s="114"/>
      <c r="AG1239" s="114"/>
      <c r="AH1239" s="114"/>
      <c r="AI1239" s="114"/>
      <c r="AJ1239" s="114"/>
      <c r="AK1239" s="114"/>
      <c r="AL1239" s="114"/>
      <c r="AM1239" s="114"/>
      <c r="AN1239" s="114"/>
      <c r="AO1239" s="114"/>
      <c r="AP1239" s="114"/>
      <c r="AQ1239" s="114"/>
      <c r="AR1239" s="114"/>
      <c r="AS1239" s="114"/>
      <c r="AT1239" s="114"/>
      <c r="AU1239" s="114"/>
      <c r="AV1239" s="114"/>
      <c r="AW1239" s="114"/>
      <c r="AX1239" s="114"/>
      <c r="AY1239" s="114"/>
      <c r="AZ1239" s="114"/>
    </row>
    <row r="1240" spans="1:52">
      <c r="A1240" s="111"/>
      <c r="B1240" s="111"/>
      <c r="C1240" s="112"/>
      <c r="D1240" s="101"/>
      <c r="E1240" s="101"/>
      <c r="F1240" s="101"/>
      <c r="G1240" s="111"/>
      <c r="H1240" s="101"/>
      <c r="I1240" s="101"/>
      <c r="J1240" s="101"/>
      <c r="K1240" s="101"/>
      <c r="L1240" s="101"/>
      <c r="M1240" s="101"/>
      <c r="N1240" s="101"/>
      <c r="O1240" s="101"/>
      <c r="P1240" s="101"/>
      <c r="Q1240" s="101"/>
      <c r="R1240" s="101"/>
      <c r="S1240" s="101"/>
      <c r="T1240" s="101"/>
      <c r="U1240" s="101"/>
      <c r="V1240" s="101"/>
      <c r="W1240" s="101"/>
      <c r="X1240" s="101"/>
      <c r="Y1240" s="114"/>
      <c r="Z1240" s="114"/>
      <c r="AA1240" s="114"/>
      <c r="AB1240" s="114"/>
      <c r="AC1240" s="114"/>
      <c r="AD1240" s="114"/>
      <c r="AE1240" s="114"/>
      <c r="AF1240" s="114"/>
      <c r="AG1240" s="114"/>
      <c r="AH1240" s="114"/>
      <c r="AI1240" s="114"/>
      <c r="AJ1240" s="114"/>
      <c r="AK1240" s="114"/>
      <c r="AL1240" s="114"/>
      <c r="AM1240" s="114"/>
      <c r="AN1240" s="114"/>
      <c r="AO1240" s="114"/>
      <c r="AP1240" s="114"/>
      <c r="AQ1240" s="114"/>
      <c r="AR1240" s="114"/>
      <c r="AS1240" s="114"/>
      <c r="AT1240" s="114"/>
      <c r="AU1240" s="114"/>
      <c r="AV1240" s="114"/>
      <c r="AW1240" s="114"/>
      <c r="AX1240" s="114"/>
      <c r="AY1240" s="114"/>
      <c r="AZ1240" s="114"/>
    </row>
    <row r="1241" spans="1:52">
      <c r="A1241" s="111"/>
      <c r="B1241" s="111"/>
      <c r="C1241" s="112"/>
      <c r="D1241" s="101"/>
      <c r="E1241" s="101"/>
      <c r="F1241" s="101"/>
      <c r="G1241" s="111"/>
      <c r="H1241" s="101"/>
      <c r="I1241" s="101"/>
      <c r="J1241" s="101"/>
      <c r="K1241" s="101"/>
      <c r="L1241" s="101"/>
      <c r="M1241" s="101"/>
      <c r="N1241" s="101"/>
      <c r="O1241" s="101"/>
      <c r="P1241" s="101"/>
      <c r="Q1241" s="101"/>
      <c r="R1241" s="101"/>
      <c r="S1241" s="101"/>
      <c r="T1241" s="101"/>
      <c r="U1241" s="101"/>
      <c r="V1241" s="101"/>
      <c r="W1241" s="101"/>
      <c r="X1241" s="101"/>
      <c r="Y1241" s="114"/>
      <c r="Z1241" s="114"/>
      <c r="AA1241" s="114"/>
      <c r="AB1241" s="114"/>
      <c r="AC1241" s="114"/>
      <c r="AD1241" s="114"/>
      <c r="AE1241" s="114"/>
      <c r="AF1241" s="114"/>
      <c r="AG1241" s="114"/>
      <c r="AH1241" s="114"/>
      <c r="AI1241" s="114"/>
      <c r="AJ1241" s="114"/>
      <c r="AK1241" s="114"/>
      <c r="AL1241" s="114"/>
      <c r="AM1241" s="114"/>
      <c r="AN1241" s="114"/>
      <c r="AO1241" s="114"/>
      <c r="AP1241" s="114"/>
      <c r="AQ1241" s="114"/>
      <c r="AR1241" s="114"/>
      <c r="AS1241" s="114"/>
      <c r="AT1241" s="114"/>
      <c r="AU1241" s="114"/>
      <c r="AV1241" s="114"/>
      <c r="AW1241" s="114"/>
      <c r="AX1241" s="114"/>
      <c r="AY1241" s="114"/>
      <c r="AZ1241" s="114"/>
    </row>
    <row r="1242" spans="1:52">
      <c r="A1242" s="111"/>
      <c r="B1242" s="111"/>
      <c r="C1242" s="112"/>
      <c r="D1242" s="101"/>
      <c r="E1242" s="101"/>
      <c r="F1242" s="101"/>
      <c r="G1242" s="111"/>
      <c r="H1242" s="101"/>
      <c r="I1242" s="101"/>
      <c r="J1242" s="101"/>
      <c r="K1242" s="101"/>
      <c r="L1242" s="101"/>
      <c r="M1242" s="101"/>
      <c r="N1242" s="101"/>
      <c r="O1242" s="101"/>
      <c r="P1242" s="101"/>
      <c r="Q1242" s="101"/>
      <c r="R1242" s="101"/>
      <c r="S1242" s="101"/>
      <c r="T1242" s="101"/>
      <c r="U1242" s="101"/>
      <c r="V1242" s="101"/>
      <c r="W1242" s="101"/>
      <c r="X1242" s="101"/>
      <c r="Y1242" s="114"/>
      <c r="Z1242" s="114"/>
      <c r="AA1242" s="114"/>
      <c r="AB1242" s="114"/>
      <c r="AC1242" s="114"/>
      <c r="AD1242" s="114"/>
      <c r="AE1242" s="114"/>
      <c r="AF1242" s="114"/>
      <c r="AG1242" s="114"/>
      <c r="AH1242" s="114"/>
      <c r="AI1242" s="114"/>
      <c r="AJ1242" s="114"/>
      <c r="AK1242" s="114"/>
      <c r="AL1242" s="114"/>
      <c r="AM1242" s="114"/>
      <c r="AN1242" s="114"/>
      <c r="AO1242" s="114"/>
      <c r="AP1242" s="114"/>
      <c r="AQ1242" s="114"/>
      <c r="AR1242" s="114"/>
      <c r="AS1242" s="114"/>
      <c r="AT1242" s="114"/>
      <c r="AU1242" s="114"/>
      <c r="AV1242" s="114"/>
      <c r="AW1242" s="114"/>
      <c r="AX1242" s="114"/>
      <c r="AY1242" s="114"/>
      <c r="AZ1242" s="114"/>
    </row>
    <row r="1243" spans="1:52">
      <c r="A1243" s="111"/>
      <c r="B1243" s="111"/>
      <c r="C1243" s="112"/>
      <c r="D1243" s="101"/>
      <c r="E1243" s="101"/>
      <c r="F1243" s="101"/>
      <c r="G1243" s="111"/>
      <c r="H1243" s="101"/>
      <c r="I1243" s="101"/>
      <c r="J1243" s="101"/>
      <c r="K1243" s="101"/>
      <c r="L1243" s="101"/>
      <c r="M1243" s="101"/>
      <c r="N1243" s="101"/>
      <c r="O1243" s="101"/>
      <c r="P1243" s="101"/>
      <c r="Q1243" s="101"/>
      <c r="R1243" s="101"/>
      <c r="S1243" s="101"/>
      <c r="T1243" s="101"/>
      <c r="U1243" s="101"/>
      <c r="V1243" s="101"/>
      <c r="W1243" s="101"/>
      <c r="X1243" s="101"/>
      <c r="Y1243" s="114"/>
      <c r="Z1243" s="114"/>
      <c r="AA1243" s="114"/>
      <c r="AB1243" s="114"/>
      <c r="AC1243" s="114"/>
      <c r="AD1243" s="114"/>
      <c r="AE1243" s="114"/>
      <c r="AF1243" s="114"/>
      <c r="AG1243" s="114"/>
      <c r="AH1243" s="114"/>
      <c r="AI1243" s="114"/>
      <c r="AJ1243" s="114"/>
      <c r="AK1243" s="114"/>
      <c r="AL1243" s="114"/>
      <c r="AM1243" s="114"/>
      <c r="AN1243" s="114"/>
      <c r="AO1243" s="114"/>
      <c r="AP1243" s="114"/>
      <c r="AQ1243" s="114"/>
      <c r="AR1243" s="114"/>
      <c r="AS1243" s="114"/>
      <c r="AT1243" s="114"/>
      <c r="AU1243" s="114"/>
      <c r="AV1243" s="114"/>
      <c r="AW1243" s="114"/>
      <c r="AX1243" s="114"/>
      <c r="AY1243" s="114"/>
      <c r="AZ1243" s="114"/>
    </row>
    <row r="1244" spans="1:52">
      <c r="A1244" s="111"/>
      <c r="B1244" s="111"/>
      <c r="C1244" s="112"/>
      <c r="D1244" s="101"/>
      <c r="E1244" s="101"/>
      <c r="F1244" s="101"/>
      <c r="G1244" s="111"/>
      <c r="H1244" s="101"/>
      <c r="I1244" s="101"/>
      <c r="J1244" s="101"/>
      <c r="K1244" s="101"/>
      <c r="L1244" s="101"/>
      <c r="M1244" s="101"/>
      <c r="N1244" s="101"/>
      <c r="O1244" s="101"/>
      <c r="P1244" s="101"/>
      <c r="Q1244" s="101"/>
      <c r="R1244" s="101"/>
      <c r="S1244" s="101"/>
      <c r="T1244" s="101"/>
      <c r="U1244" s="101"/>
      <c r="V1244" s="101"/>
      <c r="W1244" s="101"/>
      <c r="X1244" s="101"/>
      <c r="Y1244" s="114"/>
      <c r="Z1244" s="114"/>
      <c r="AA1244" s="114"/>
      <c r="AB1244" s="114"/>
      <c r="AC1244" s="114"/>
      <c r="AD1244" s="114"/>
      <c r="AE1244" s="114"/>
      <c r="AF1244" s="114"/>
      <c r="AG1244" s="114"/>
      <c r="AH1244" s="114"/>
      <c r="AI1244" s="114"/>
      <c r="AJ1244" s="114"/>
      <c r="AK1244" s="114"/>
      <c r="AL1244" s="114"/>
      <c r="AM1244" s="114"/>
      <c r="AN1244" s="114"/>
      <c r="AO1244" s="114"/>
      <c r="AP1244" s="114"/>
      <c r="AQ1244" s="114"/>
      <c r="AR1244" s="114"/>
      <c r="AS1244" s="114"/>
      <c r="AT1244" s="114"/>
      <c r="AU1244" s="114"/>
      <c r="AV1244" s="114"/>
      <c r="AW1244" s="114"/>
      <c r="AX1244" s="114"/>
      <c r="AY1244" s="114"/>
      <c r="AZ1244" s="114"/>
    </row>
    <row r="1245" spans="1:52">
      <c r="A1245" s="111"/>
      <c r="B1245" s="111"/>
      <c r="C1245" s="112"/>
      <c r="D1245" s="101"/>
      <c r="E1245" s="101"/>
      <c r="F1245" s="101"/>
      <c r="G1245" s="111"/>
      <c r="H1245" s="101"/>
      <c r="I1245" s="101"/>
      <c r="J1245" s="101"/>
      <c r="K1245" s="101"/>
      <c r="L1245" s="101"/>
      <c r="M1245" s="101"/>
      <c r="N1245" s="101"/>
      <c r="O1245" s="101"/>
      <c r="P1245" s="101"/>
      <c r="Q1245" s="101"/>
      <c r="R1245" s="101"/>
      <c r="S1245" s="101"/>
      <c r="T1245" s="101"/>
      <c r="U1245" s="101"/>
      <c r="V1245" s="101"/>
      <c r="W1245" s="101"/>
      <c r="X1245" s="101"/>
      <c r="Y1245" s="114"/>
      <c r="Z1245" s="114"/>
      <c r="AA1245" s="114"/>
      <c r="AB1245" s="114"/>
      <c r="AC1245" s="114"/>
      <c r="AD1245" s="114"/>
      <c r="AE1245" s="114"/>
      <c r="AF1245" s="114"/>
      <c r="AG1245" s="114"/>
      <c r="AH1245" s="114"/>
      <c r="AI1245" s="114"/>
      <c r="AJ1245" s="114"/>
      <c r="AK1245" s="114"/>
      <c r="AL1245" s="114"/>
      <c r="AM1245" s="114"/>
      <c r="AN1245" s="114"/>
      <c r="AO1245" s="114"/>
      <c r="AP1245" s="114"/>
      <c r="AQ1245" s="114"/>
      <c r="AR1245" s="114"/>
      <c r="AS1245" s="114"/>
      <c r="AT1245" s="114"/>
      <c r="AU1245" s="114"/>
      <c r="AV1245" s="114"/>
      <c r="AW1245" s="114"/>
      <c r="AX1245" s="114"/>
      <c r="AY1245" s="114"/>
      <c r="AZ1245" s="114"/>
    </row>
    <row r="1246" spans="1:52">
      <c r="A1246" s="111"/>
      <c r="B1246" s="111"/>
      <c r="C1246" s="112"/>
      <c r="D1246" s="101"/>
      <c r="E1246" s="101"/>
      <c r="F1246" s="101"/>
      <c r="G1246" s="111"/>
      <c r="H1246" s="101"/>
      <c r="I1246" s="101"/>
      <c r="J1246" s="101"/>
      <c r="K1246" s="101"/>
      <c r="L1246" s="101"/>
      <c r="M1246" s="101"/>
      <c r="N1246" s="101"/>
      <c r="O1246" s="101"/>
      <c r="P1246" s="101"/>
      <c r="Q1246" s="101"/>
      <c r="R1246" s="101"/>
      <c r="S1246" s="101"/>
      <c r="T1246" s="101"/>
      <c r="U1246" s="101"/>
      <c r="V1246" s="101"/>
      <c r="W1246" s="101"/>
      <c r="X1246" s="101"/>
      <c r="Y1246" s="114"/>
      <c r="Z1246" s="114"/>
      <c r="AA1246" s="114"/>
      <c r="AB1246" s="114"/>
      <c r="AC1246" s="114"/>
      <c r="AD1246" s="114"/>
      <c r="AE1246" s="114"/>
      <c r="AF1246" s="114"/>
      <c r="AG1246" s="114"/>
      <c r="AH1246" s="114"/>
      <c r="AI1246" s="114"/>
      <c r="AJ1246" s="114"/>
      <c r="AK1246" s="114"/>
      <c r="AL1246" s="114"/>
      <c r="AM1246" s="114"/>
      <c r="AN1246" s="114"/>
      <c r="AO1246" s="114"/>
      <c r="AP1246" s="114"/>
      <c r="AQ1246" s="114"/>
      <c r="AR1246" s="114"/>
      <c r="AS1246" s="114"/>
      <c r="AT1246" s="114"/>
      <c r="AU1246" s="114"/>
      <c r="AV1246" s="114"/>
      <c r="AW1246" s="114"/>
      <c r="AX1246" s="114"/>
      <c r="AY1246" s="114"/>
      <c r="AZ1246" s="114"/>
    </row>
    <row r="1247" spans="1:52">
      <c r="A1247" s="111"/>
      <c r="B1247" s="111"/>
      <c r="C1247" s="112"/>
      <c r="D1247" s="101"/>
      <c r="E1247" s="101"/>
      <c r="F1247" s="101"/>
      <c r="G1247" s="111"/>
      <c r="H1247" s="101"/>
      <c r="I1247" s="101"/>
      <c r="J1247" s="101"/>
      <c r="K1247" s="101"/>
      <c r="L1247" s="101"/>
      <c r="M1247" s="101"/>
      <c r="N1247" s="101"/>
      <c r="O1247" s="101"/>
      <c r="P1247" s="101"/>
      <c r="Q1247" s="101"/>
      <c r="R1247" s="101"/>
      <c r="S1247" s="101"/>
      <c r="T1247" s="101"/>
      <c r="U1247" s="101"/>
      <c r="V1247" s="101"/>
      <c r="W1247" s="101"/>
      <c r="X1247" s="101"/>
      <c r="Y1247" s="114"/>
      <c r="Z1247" s="114"/>
      <c r="AA1247" s="114"/>
      <c r="AB1247" s="114"/>
      <c r="AC1247" s="114"/>
      <c r="AD1247" s="114"/>
      <c r="AE1247" s="114"/>
      <c r="AF1247" s="114"/>
      <c r="AG1247" s="114"/>
      <c r="AH1247" s="114"/>
      <c r="AI1247" s="114"/>
      <c r="AJ1247" s="114"/>
      <c r="AK1247" s="114"/>
      <c r="AL1247" s="114"/>
      <c r="AM1247" s="114"/>
      <c r="AN1247" s="114"/>
      <c r="AO1247" s="114"/>
      <c r="AP1247" s="114"/>
      <c r="AQ1247" s="114"/>
      <c r="AR1247" s="114"/>
      <c r="AS1247" s="114"/>
      <c r="AT1247" s="114"/>
      <c r="AU1247" s="114"/>
      <c r="AV1247" s="114"/>
      <c r="AW1247" s="114"/>
      <c r="AX1247" s="114"/>
      <c r="AY1247" s="114"/>
      <c r="AZ1247" s="114"/>
    </row>
    <row r="1248" spans="1:52">
      <c r="A1248" s="111"/>
      <c r="B1248" s="111"/>
      <c r="C1248" s="112"/>
      <c r="D1248" s="101"/>
      <c r="E1248" s="101"/>
      <c r="F1248" s="101"/>
      <c r="G1248" s="111"/>
      <c r="H1248" s="101"/>
      <c r="I1248" s="101"/>
      <c r="J1248" s="101"/>
      <c r="K1248" s="101"/>
      <c r="L1248" s="101"/>
      <c r="M1248" s="101"/>
      <c r="N1248" s="101"/>
      <c r="O1248" s="101"/>
      <c r="P1248" s="101"/>
      <c r="Q1248" s="101"/>
      <c r="R1248" s="101"/>
      <c r="S1248" s="101"/>
      <c r="T1248" s="101"/>
      <c r="U1248" s="101"/>
      <c r="V1248" s="101"/>
      <c r="W1248" s="101"/>
      <c r="X1248" s="101"/>
      <c r="Y1248" s="114"/>
      <c r="Z1248" s="114"/>
      <c r="AA1248" s="114"/>
      <c r="AB1248" s="114"/>
      <c r="AC1248" s="114"/>
      <c r="AD1248" s="114"/>
      <c r="AE1248" s="114"/>
      <c r="AF1248" s="114"/>
      <c r="AG1248" s="114"/>
      <c r="AH1248" s="114"/>
      <c r="AI1248" s="114"/>
      <c r="AJ1248" s="114"/>
      <c r="AK1248" s="114"/>
      <c r="AL1248" s="114"/>
      <c r="AM1248" s="114"/>
      <c r="AN1248" s="114"/>
      <c r="AO1248" s="114"/>
      <c r="AP1248" s="114"/>
      <c r="AQ1248" s="114"/>
      <c r="AR1248" s="114"/>
      <c r="AS1248" s="114"/>
      <c r="AT1248" s="114"/>
      <c r="AU1248" s="114"/>
      <c r="AV1248" s="114"/>
      <c r="AW1248" s="114"/>
      <c r="AX1248" s="114"/>
      <c r="AY1248" s="114"/>
      <c r="AZ1248" s="114"/>
    </row>
    <row r="1249" spans="1:52">
      <c r="A1249" s="111"/>
      <c r="B1249" s="111"/>
      <c r="C1249" s="112"/>
      <c r="D1249" s="101"/>
      <c r="E1249" s="101"/>
      <c r="F1249" s="101"/>
      <c r="G1249" s="111"/>
      <c r="H1249" s="101"/>
      <c r="I1249" s="101"/>
      <c r="J1249" s="101"/>
      <c r="K1249" s="101"/>
      <c r="L1249" s="101"/>
      <c r="M1249" s="101"/>
      <c r="N1249" s="101"/>
      <c r="O1249" s="101"/>
      <c r="P1249" s="101"/>
      <c r="Q1249" s="101"/>
      <c r="R1249" s="101"/>
      <c r="S1249" s="101"/>
      <c r="T1249" s="101"/>
      <c r="U1249" s="101"/>
      <c r="V1249" s="101"/>
      <c r="W1249" s="101"/>
      <c r="X1249" s="101"/>
      <c r="Y1249" s="114"/>
      <c r="Z1249" s="114"/>
      <c r="AA1249" s="114"/>
      <c r="AB1249" s="114"/>
      <c r="AC1249" s="114"/>
      <c r="AD1249" s="114"/>
      <c r="AE1249" s="114"/>
      <c r="AF1249" s="114"/>
      <c r="AG1249" s="114"/>
      <c r="AH1249" s="114"/>
      <c r="AI1249" s="114"/>
      <c r="AJ1249" s="114"/>
      <c r="AK1249" s="114"/>
      <c r="AL1249" s="114"/>
      <c r="AM1249" s="114"/>
      <c r="AN1249" s="114"/>
      <c r="AO1249" s="114"/>
      <c r="AP1249" s="114"/>
      <c r="AQ1249" s="114"/>
      <c r="AR1249" s="114"/>
      <c r="AS1249" s="114"/>
      <c r="AT1249" s="114"/>
      <c r="AU1249" s="114"/>
      <c r="AV1249" s="114"/>
      <c r="AW1249" s="114"/>
      <c r="AX1249" s="114"/>
      <c r="AY1249" s="114"/>
      <c r="AZ1249" s="114"/>
    </row>
    <row r="1250" spans="1:52">
      <c r="A1250" s="111"/>
      <c r="B1250" s="111"/>
      <c r="C1250" s="112"/>
      <c r="D1250" s="101"/>
      <c r="E1250" s="101"/>
      <c r="F1250" s="101"/>
      <c r="G1250" s="111"/>
      <c r="H1250" s="101"/>
      <c r="I1250" s="101"/>
      <c r="J1250" s="101"/>
      <c r="K1250" s="101"/>
      <c r="L1250" s="101"/>
      <c r="M1250" s="101"/>
      <c r="N1250" s="101"/>
      <c r="O1250" s="101"/>
      <c r="P1250" s="101"/>
      <c r="Q1250" s="101"/>
      <c r="R1250" s="101"/>
      <c r="S1250" s="101"/>
      <c r="T1250" s="101"/>
      <c r="U1250" s="101"/>
      <c r="V1250" s="101"/>
      <c r="W1250" s="101"/>
      <c r="X1250" s="101"/>
      <c r="Y1250" s="114"/>
      <c r="Z1250" s="114"/>
      <c r="AA1250" s="114"/>
      <c r="AB1250" s="114"/>
      <c r="AC1250" s="114"/>
      <c r="AD1250" s="114"/>
      <c r="AE1250" s="114"/>
      <c r="AF1250" s="114"/>
      <c r="AG1250" s="114"/>
      <c r="AH1250" s="114"/>
      <c r="AI1250" s="114"/>
      <c r="AJ1250" s="114"/>
      <c r="AK1250" s="114"/>
      <c r="AL1250" s="114"/>
      <c r="AM1250" s="114"/>
      <c r="AN1250" s="114"/>
      <c r="AO1250" s="114"/>
      <c r="AP1250" s="114"/>
      <c r="AQ1250" s="114"/>
      <c r="AR1250" s="114"/>
      <c r="AS1250" s="114"/>
      <c r="AT1250" s="114"/>
      <c r="AU1250" s="114"/>
      <c r="AV1250" s="114"/>
      <c r="AW1250" s="114"/>
      <c r="AX1250" s="114"/>
      <c r="AY1250" s="114"/>
      <c r="AZ1250" s="114"/>
    </row>
    <row r="1251" spans="1:52">
      <c r="A1251" s="111"/>
      <c r="B1251" s="111"/>
      <c r="C1251" s="112"/>
      <c r="D1251" s="101"/>
      <c r="E1251" s="101"/>
      <c r="F1251" s="101"/>
      <c r="G1251" s="111"/>
      <c r="H1251" s="101"/>
      <c r="I1251" s="101"/>
      <c r="J1251" s="101"/>
      <c r="K1251" s="101"/>
      <c r="L1251" s="101"/>
      <c r="M1251" s="101"/>
      <c r="N1251" s="101"/>
      <c r="O1251" s="101"/>
      <c r="P1251" s="101"/>
      <c r="Q1251" s="101"/>
      <c r="R1251" s="101"/>
      <c r="S1251" s="101"/>
      <c r="T1251" s="101"/>
      <c r="U1251" s="101"/>
      <c r="V1251" s="101"/>
      <c r="W1251" s="101"/>
      <c r="X1251" s="101"/>
      <c r="Y1251" s="114"/>
      <c r="Z1251" s="114"/>
      <c r="AA1251" s="114"/>
      <c r="AB1251" s="114"/>
      <c r="AC1251" s="114"/>
      <c r="AD1251" s="114"/>
      <c r="AE1251" s="114"/>
      <c r="AF1251" s="114"/>
      <c r="AG1251" s="114"/>
      <c r="AH1251" s="114"/>
      <c r="AI1251" s="114"/>
      <c r="AJ1251" s="114"/>
      <c r="AK1251" s="114"/>
      <c r="AL1251" s="114"/>
      <c r="AM1251" s="114"/>
      <c r="AN1251" s="114"/>
      <c r="AO1251" s="114"/>
      <c r="AP1251" s="114"/>
      <c r="AQ1251" s="114"/>
      <c r="AR1251" s="114"/>
      <c r="AS1251" s="114"/>
      <c r="AT1251" s="114"/>
      <c r="AU1251" s="114"/>
      <c r="AV1251" s="114"/>
      <c r="AW1251" s="114"/>
      <c r="AX1251" s="114"/>
      <c r="AY1251" s="114"/>
      <c r="AZ1251" s="114"/>
    </row>
    <row r="1252" spans="1:52">
      <c r="A1252" s="111"/>
      <c r="B1252" s="111"/>
      <c r="C1252" s="112"/>
      <c r="D1252" s="101"/>
      <c r="E1252" s="101"/>
      <c r="F1252" s="101"/>
      <c r="G1252" s="111"/>
      <c r="H1252" s="101"/>
      <c r="I1252" s="101"/>
      <c r="J1252" s="101"/>
      <c r="K1252" s="101"/>
      <c r="L1252" s="101"/>
      <c r="M1252" s="101"/>
      <c r="N1252" s="101"/>
      <c r="O1252" s="101"/>
      <c r="P1252" s="101"/>
      <c r="Q1252" s="101"/>
      <c r="R1252" s="101"/>
      <c r="S1252" s="101"/>
      <c r="T1252" s="101"/>
      <c r="U1252" s="101"/>
      <c r="V1252" s="101"/>
      <c r="W1252" s="101"/>
      <c r="X1252" s="101"/>
      <c r="Y1252" s="114"/>
      <c r="Z1252" s="114"/>
      <c r="AA1252" s="114"/>
      <c r="AB1252" s="114"/>
      <c r="AC1252" s="114"/>
      <c r="AD1252" s="114"/>
      <c r="AE1252" s="114"/>
      <c r="AF1252" s="114"/>
      <c r="AG1252" s="114"/>
      <c r="AH1252" s="114"/>
      <c r="AI1252" s="114"/>
      <c r="AJ1252" s="114"/>
      <c r="AK1252" s="114"/>
      <c r="AL1252" s="114"/>
      <c r="AM1252" s="114"/>
      <c r="AN1252" s="114"/>
      <c r="AO1252" s="114"/>
      <c r="AP1252" s="114"/>
      <c r="AQ1252" s="114"/>
      <c r="AR1252" s="114"/>
      <c r="AS1252" s="114"/>
      <c r="AT1252" s="114"/>
      <c r="AU1252" s="114"/>
      <c r="AV1252" s="114"/>
      <c r="AW1252" s="114"/>
      <c r="AX1252" s="114"/>
      <c r="AY1252" s="114"/>
      <c r="AZ1252" s="114"/>
    </row>
    <row r="1253" spans="1:52">
      <c r="A1253" s="111"/>
      <c r="B1253" s="111"/>
      <c r="C1253" s="112"/>
      <c r="D1253" s="101"/>
      <c r="E1253" s="101"/>
      <c r="F1253" s="101"/>
      <c r="G1253" s="111"/>
      <c r="H1253" s="101"/>
      <c r="I1253" s="101"/>
      <c r="J1253" s="101"/>
      <c r="K1253" s="101"/>
      <c r="L1253" s="101"/>
      <c r="M1253" s="101"/>
      <c r="N1253" s="101"/>
      <c r="O1253" s="101"/>
      <c r="P1253" s="101"/>
      <c r="Q1253" s="101"/>
      <c r="R1253" s="101"/>
      <c r="S1253" s="101"/>
      <c r="T1253" s="101"/>
      <c r="U1253" s="101"/>
      <c r="V1253" s="101"/>
      <c r="W1253" s="101"/>
      <c r="X1253" s="101"/>
      <c r="Y1253" s="114"/>
      <c r="Z1253" s="114"/>
      <c r="AA1253" s="114"/>
      <c r="AB1253" s="114"/>
      <c r="AC1253" s="114"/>
      <c r="AD1253" s="114"/>
      <c r="AE1253" s="114"/>
      <c r="AF1253" s="114"/>
      <c r="AG1253" s="114"/>
      <c r="AH1253" s="114"/>
      <c r="AI1253" s="114"/>
      <c r="AJ1253" s="114"/>
      <c r="AK1253" s="114"/>
      <c r="AL1253" s="114"/>
      <c r="AM1253" s="114"/>
      <c r="AN1253" s="114"/>
      <c r="AO1253" s="114"/>
      <c r="AP1253" s="114"/>
      <c r="AQ1253" s="114"/>
      <c r="AR1253" s="114"/>
      <c r="AS1253" s="114"/>
      <c r="AT1253" s="114"/>
      <c r="AU1253" s="114"/>
      <c r="AV1253" s="114"/>
      <c r="AW1253" s="114"/>
      <c r="AX1253" s="114"/>
      <c r="AY1253" s="114"/>
      <c r="AZ1253" s="114"/>
    </row>
    <row r="1254" spans="1:52">
      <c r="A1254" s="111"/>
      <c r="B1254" s="111"/>
      <c r="C1254" s="112"/>
      <c r="D1254" s="101"/>
      <c r="E1254" s="101"/>
      <c r="F1254" s="101"/>
      <c r="G1254" s="111"/>
      <c r="H1254" s="101"/>
      <c r="I1254" s="101"/>
      <c r="J1254" s="101"/>
      <c r="K1254" s="101"/>
      <c r="L1254" s="101"/>
      <c r="M1254" s="101"/>
      <c r="N1254" s="101"/>
      <c r="O1254" s="101"/>
      <c r="P1254" s="101"/>
      <c r="Q1254" s="101"/>
      <c r="R1254" s="101"/>
      <c r="S1254" s="101"/>
      <c r="T1254" s="101"/>
      <c r="U1254" s="101"/>
      <c r="V1254" s="101"/>
      <c r="W1254" s="101"/>
      <c r="X1254" s="101"/>
      <c r="Y1254" s="114"/>
      <c r="Z1254" s="114"/>
      <c r="AA1254" s="114"/>
      <c r="AB1254" s="114"/>
      <c r="AC1254" s="114"/>
      <c r="AD1254" s="114"/>
      <c r="AE1254" s="114"/>
      <c r="AF1254" s="114"/>
      <c r="AG1254" s="114"/>
      <c r="AH1254" s="114"/>
      <c r="AI1254" s="114"/>
      <c r="AJ1254" s="114"/>
      <c r="AK1254" s="114"/>
      <c r="AL1254" s="114"/>
      <c r="AM1254" s="114"/>
      <c r="AN1254" s="114"/>
      <c r="AO1254" s="114"/>
      <c r="AP1254" s="114"/>
      <c r="AQ1254" s="114"/>
      <c r="AR1254" s="114"/>
      <c r="AS1254" s="114"/>
      <c r="AT1254" s="114"/>
      <c r="AU1254" s="114"/>
      <c r="AV1254" s="114"/>
      <c r="AW1254" s="114"/>
      <c r="AX1254" s="114"/>
      <c r="AY1254" s="114"/>
      <c r="AZ1254" s="114"/>
    </row>
    <row r="1255" spans="1:52">
      <c r="A1255" s="111"/>
      <c r="B1255" s="111"/>
      <c r="C1255" s="112"/>
      <c r="D1255" s="101"/>
      <c r="E1255" s="101"/>
      <c r="F1255" s="101"/>
      <c r="G1255" s="111"/>
      <c r="H1255" s="101"/>
      <c r="I1255" s="101"/>
      <c r="J1255" s="101"/>
      <c r="K1255" s="101"/>
      <c r="L1255" s="101"/>
      <c r="M1255" s="101"/>
      <c r="N1255" s="101"/>
      <c r="O1255" s="101"/>
      <c r="P1255" s="101"/>
      <c r="Q1255" s="101"/>
      <c r="R1255" s="101"/>
      <c r="S1255" s="101"/>
      <c r="T1255" s="101"/>
      <c r="U1255" s="101"/>
      <c r="V1255" s="101"/>
      <c r="W1255" s="101"/>
      <c r="X1255" s="101"/>
      <c r="Y1255" s="114"/>
      <c r="Z1255" s="114"/>
      <c r="AA1255" s="114"/>
      <c r="AB1255" s="114"/>
      <c r="AC1255" s="114"/>
      <c r="AD1255" s="114"/>
      <c r="AE1255" s="114"/>
      <c r="AF1255" s="114"/>
      <c r="AG1255" s="114"/>
      <c r="AH1255" s="114"/>
      <c r="AI1255" s="114"/>
      <c r="AJ1255" s="114"/>
      <c r="AK1255" s="114"/>
      <c r="AL1255" s="114"/>
      <c r="AM1255" s="114"/>
      <c r="AN1255" s="114"/>
      <c r="AO1255" s="114"/>
      <c r="AP1255" s="114"/>
      <c r="AQ1255" s="114"/>
      <c r="AR1255" s="114"/>
      <c r="AS1255" s="114"/>
      <c r="AT1255" s="114"/>
      <c r="AU1255" s="114"/>
      <c r="AV1255" s="114"/>
      <c r="AW1255" s="114"/>
      <c r="AX1255" s="114"/>
      <c r="AY1255" s="114"/>
      <c r="AZ1255" s="114"/>
    </row>
    <row r="1256" spans="1:52">
      <c r="A1256" s="111"/>
      <c r="B1256" s="111"/>
      <c r="C1256" s="112"/>
      <c r="D1256" s="101"/>
      <c r="E1256" s="101"/>
      <c r="F1256" s="101"/>
      <c r="G1256" s="111"/>
      <c r="H1256" s="101"/>
      <c r="I1256" s="101"/>
      <c r="J1256" s="101"/>
      <c r="K1256" s="101"/>
      <c r="L1256" s="101"/>
      <c r="M1256" s="101"/>
      <c r="N1256" s="101"/>
      <c r="O1256" s="101"/>
      <c r="P1256" s="101"/>
      <c r="Q1256" s="101"/>
      <c r="R1256" s="101"/>
      <c r="S1256" s="101"/>
      <c r="T1256" s="101"/>
      <c r="U1256" s="101"/>
      <c r="V1256" s="101"/>
      <c r="W1256" s="101"/>
      <c r="X1256" s="101"/>
      <c r="Y1256" s="114"/>
      <c r="Z1256" s="114"/>
      <c r="AA1256" s="114"/>
      <c r="AB1256" s="114"/>
      <c r="AC1256" s="114"/>
      <c r="AD1256" s="114"/>
      <c r="AE1256" s="114"/>
      <c r="AF1256" s="114"/>
      <c r="AG1256" s="114"/>
      <c r="AH1256" s="114"/>
      <c r="AI1256" s="114"/>
      <c r="AJ1256" s="114"/>
      <c r="AK1256" s="114"/>
      <c r="AL1256" s="114"/>
      <c r="AM1256" s="114"/>
      <c r="AN1256" s="114"/>
      <c r="AO1256" s="114"/>
      <c r="AP1256" s="114"/>
      <c r="AQ1256" s="114"/>
      <c r="AR1256" s="114"/>
      <c r="AS1256" s="114"/>
      <c r="AT1256" s="114"/>
      <c r="AU1256" s="114"/>
      <c r="AV1256" s="114"/>
      <c r="AW1256" s="114"/>
      <c r="AX1256" s="114"/>
      <c r="AY1256" s="114"/>
      <c r="AZ1256" s="114"/>
    </row>
    <row r="1257" spans="1:52">
      <c r="A1257" s="111"/>
      <c r="B1257" s="111"/>
      <c r="C1257" s="112"/>
      <c r="D1257" s="101"/>
      <c r="E1257" s="101"/>
      <c r="F1257" s="101"/>
      <c r="G1257" s="111"/>
      <c r="H1257" s="101"/>
      <c r="I1257" s="101"/>
      <c r="J1257" s="101"/>
      <c r="K1257" s="101"/>
      <c r="L1257" s="101"/>
      <c r="M1257" s="101"/>
      <c r="N1257" s="101"/>
      <c r="O1257" s="101"/>
      <c r="P1257" s="101"/>
      <c r="Q1257" s="101"/>
      <c r="R1257" s="101"/>
      <c r="S1257" s="101"/>
      <c r="T1257" s="101"/>
      <c r="U1257" s="101"/>
      <c r="V1257" s="101"/>
      <c r="W1257" s="101"/>
      <c r="X1257" s="101"/>
      <c r="Y1257" s="114"/>
      <c r="Z1257" s="114"/>
      <c r="AA1257" s="114"/>
      <c r="AB1257" s="114"/>
      <c r="AC1257" s="114"/>
      <c r="AD1257" s="114"/>
      <c r="AE1257" s="114"/>
      <c r="AF1257" s="114"/>
      <c r="AG1257" s="114"/>
      <c r="AH1257" s="114"/>
      <c r="AI1257" s="114"/>
      <c r="AJ1257" s="114"/>
      <c r="AK1257" s="114"/>
      <c r="AL1257" s="114"/>
      <c r="AM1257" s="114"/>
      <c r="AN1257" s="114"/>
      <c r="AO1257" s="114"/>
      <c r="AP1257" s="114"/>
      <c r="AQ1257" s="114"/>
      <c r="AR1257" s="114"/>
      <c r="AS1257" s="114"/>
      <c r="AT1257" s="114"/>
      <c r="AU1257" s="114"/>
      <c r="AV1257" s="114"/>
      <c r="AW1257" s="114"/>
      <c r="AX1257" s="114"/>
      <c r="AY1257" s="114"/>
      <c r="AZ1257" s="114"/>
    </row>
    <row r="1258" spans="1:52">
      <c r="A1258" s="111"/>
      <c r="B1258" s="111"/>
      <c r="C1258" s="112"/>
      <c r="D1258" s="101"/>
      <c r="E1258" s="101"/>
      <c r="F1258" s="101"/>
      <c r="G1258" s="111"/>
      <c r="H1258" s="101"/>
      <c r="I1258" s="101"/>
      <c r="J1258" s="101"/>
      <c r="K1258" s="101"/>
      <c r="L1258" s="101"/>
      <c r="M1258" s="101"/>
      <c r="N1258" s="101"/>
      <c r="O1258" s="101"/>
      <c r="P1258" s="101"/>
      <c r="Q1258" s="101"/>
      <c r="R1258" s="101"/>
      <c r="S1258" s="101"/>
      <c r="T1258" s="101"/>
      <c r="U1258" s="101"/>
      <c r="V1258" s="101"/>
      <c r="W1258" s="101"/>
      <c r="X1258" s="101"/>
      <c r="Y1258" s="114"/>
      <c r="Z1258" s="114"/>
      <c r="AA1258" s="114"/>
      <c r="AB1258" s="114"/>
      <c r="AC1258" s="114"/>
      <c r="AD1258" s="114"/>
      <c r="AE1258" s="114"/>
      <c r="AF1258" s="114"/>
      <c r="AG1258" s="114"/>
      <c r="AH1258" s="114"/>
      <c r="AI1258" s="114"/>
      <c r="AJ1258" s="114"/>
      <c r="AK1258" s="114"/>
      <c r="AL1258" s="114"/>
      <c r="AM1258" s="114"/>
      <c r="AN1258" s="114"/>
      <c r="AO1258" s="114"/>
      <c r="AP1258" s="114"/>
      <c r="AQ1258" s="114"/>
      <c r="AR1258" s="114"/>
      <c r="AS1258" s="114"/>
      <c r="AT1258" s="114"/>
      <c r="AU1258" s="114"/>
      <c r="AV1258" s="114"/>
      <c r="AW1258" s="114"/>
      <c r="AX1258" s="114"/>
      <c r="AY1258" s="114"/>
      <c r="AZ1258" s="114"/>
    </row>
    <row r="1259" spans="1:52">
      <c r="A1259" s="111"/>
      <c r="B1259" s="111"/>
      <c r="C1259" s="112"/>
      <c r="D1259" s="101"/>
      <c r="E1259" s="101"/>
      <c r="F1259" s="101"/>
      <c r="G1259" s="111"/>
      <c r="H1259" s="101"/>
      <c r="I1259" s="101"/>
      <c r="J1259" s="101"/>
      <c r="K1259" s="101"/>
      <c r="L1259" s="101"/>
      <c r="M1259" s="101"/>
      <c r="N1259" s="101"/>
      <c r="O1259" s="101"/>
      <c r="P1259" s="101"/>
      <c r="Q1259" s="101"/>
      <c r="R1259" s="101"/>
      <c r="S1259" s="101"/>
      <c r="T1259" s="101"/>
      <c r="U1259" s="101"/>
      <c r="V1259" s="101"/>
      <c r="W1259" s="101"/>
      <c r="X1259" s="101"/>
      <c r="Y1259" s="114"/>
      <c r="Z1259" s="114"/>
      <c r="AA1259" s="114"/>
      <c r="AB1259" s="114"/>
      <c r="AC1259" s="114"/>
      <c r="AD1259" s="114"/>
      <c r="AE1259" s="114"/>
      <c r="AF1259" s="114"/>
      <c r="AG1259" s="114"/>
      <c r="AH1259" s="114"/>
      <c r="AI1259" s="114"/>
      <c r="AJ1259" s="114"/>
      <c r="AK1259" s="114"/>
      <c r="AL1259" s="114"/>
      <c r="AM1259" s="114"/>
      <c r="AN1259" s="114"/>
      <c r="AO1259" s="114"/>
      <c r="AP1259" s="114"/>
      <c r="AQ1259" s="114"/>
      <c r="AR1259" s="114"/>
      <c r="AS1259" s="114"/>
      <c r="AT1259" s="114"/>
      <c r="AU1259" s="114"/>
      <c r="AV1259" s="114"/>
      <c r="AW1259" s="114"/>
      <c r="AX1259" s="114"/>
      <c r="AY1259" s="114"/>
      <c r="AZ1259" s="114"/>
    </row>
    <row r="1260" spans="1:52">
      <c r="A1260" s="111"/>
      <c r="B1260" s="111"/>
      <c r="C1260" s="112"/>
      <c r="D1260" s="101"/>
      <c r="E1260" s="101"/>
      <c r="F1260" s="101"/>
      <c r="G1260" s="111"/>
      <c r="H1260" s="101"/>
      <c r="I1260" s="101"/>
      <c r="J1260" s="101"/>
      <c r="K1260" s="101"/>
      <c r="L1260" s="101"/>
      <c r="M1260" s="101"/>
      <c r="N1260" s="101"/>
      <c r="O1260" s="101"/>
      <c r="P1260" s="101"/>
      <c r="Q1260" s="101"/>
      <c r="R1260" s="101"/>
      <c r="S1260" s="101"/>
      <c r="T1260" s="101"/>
      <c r="U1260" s="101"/>
      <c r="V1260" s="101"/>
      <c r="W1260" s="101"/>
      <c r="X1260" s="101"/>
      <c r="Y1260" s="114"/>
      <c r="Z1260" s="114"/>
      <c r="AA1260" s="114"/>
      <c r="AB1260" s="114"/>
      <c r="AC1260" s="114"/>
      <c r="AD1260" s="114"/>
      <c r="AE1260" s="114"/>
      <c r="AF1260" s="114"/>
      <c r="AG1260" s="114"/>
      <c r="AH1260" s="114"/>
      <c r="AI1260" s="114"/>
      <c r="AJ1260" s="114"/>
      <c r="AK1260" s="114"/>
      <c r="AL1260" s="114"/>
      <c r="AM1260" s="114"/>
      <c r="AN1260" s="114"/>
      <c r="AO1260" s="114"/>
      <c r="AP1260" s="114"/>
      <c r="AQ1260" s="114"/>
      <c r="AR1260" s="114"/>
      <c r="AS1260" s="114"/>
      <c r="AT1260" s="114"/>
      <c r="AU1260" s="114"/>
      <c r="AV1260" s="114"/>
      <c r="AW1260" s="114"/>
      <c r="AX1260" s="114"/>
      <c r="AY1260" s="114"/>
      <c r="AZ1260" s="114"/>
    </row>
    <row r="1261" spans="1:52">
      <c r="A1261" s="111"/>
      <c r="B1261" s="111"/>
      <c r="C1261" s="112"/>
      <c r="D1261" s="101"/>
      <c r="E1261" s="101"/>
      <c r="F1261" s="101"/>
      <c r="G1261" s="111"/>
      <c r="H1261" s="101"/>
      <c r="I1261" s="101"/>
      <c r="J1261" s="101"/>
      <c r="K1261" s="101"/>
      <c r="L1261" s="101"/>
      <c r="M1261" s="101"/>
      <c r="N1261" s="101"/>
      <c r="O1261" s="101"/>
      <c r="P1261" s="101"/>
      <c r="Q1261" s="101"/>
      <c r="R1261" s="101"/>
      <c r="S1261" s="101"/>
      <c r="T1261" s="101"/>
      <c r="U1261" s="101"/>
      <c r="V1261" s="101"/>
      <c r="W1261" s="101"/>
      <c r="X1261" s="101"/>
      <c r="Y1261" s="114"/>
      <c r="Z1261" s="114"/>
      <c r="AA1261" s="114"/>
      <c r="AB1261" s="114"/>
      <c r="AC1261" s="114"/>
      <c r="AD1261" s="114"/>
      <c r="AE1261" s="114"/>
      <c r="AF1261" s="114"/>
      <c r="AG1261" s="114"/>
      <c r="AH1261" s="114"/>
      <c r="AI1261" s="114"/>
      <c r="AJ1261" s="114"/>
      <c r="AK1261" s="114"/>
      <c r="AL1261" s="114"/>
      <c r="AM1261" s="114"/>
      <c r="AN1261" s="114"/>
      <c r="AO1261" s="114"/>
      <c r="AP1261" s="114"/>
      <c r="AQ1261" s="114"/>
      <c r="AR1261" s="114"/>
      <c r="AS1261" s="114"/>
      <c r="AT1261" s="114"/>
      <c r="AU1261" s="114"/>
      <c r="AV1261" s="114"/>
      <c r="AW1261" s="114"/>
      <c r="AX1261" s="114"/>
      <c r="AY1261" s="114"/>
      <c r="AZ1261" s="114"/>
    </row>
    <row r="1262" spans="1:52">
      <c r="A1262" s="111"/>
      <c r="B1262" s="111"/>
      <c r="C1262" s="112"/>
      <c r="D1262" s="101"/>
      <c r="E1262" s="101"/>
      <c r="F1262" s="101"/>
      <c r="G1262" s="111"/>
      <c r="H1262" s="101"/>
      <c r="I1262" s="101"/>
      <c r="J1262" s="101"/>
      <c r="K1262" s="101"/>
      <c r="L1262" s="101"/>
      <c r="M1262" s="101"/>
      <c r="N1262" s="101"/>
      <c r="O1262" s="101"/>
      <c r="P1262" s="101"/>
      <c r="Q1262" s="101"/>
      <c r="R1262" s="101"/>
      <c r="S1262" s="101"/>
      <c r="T1262" s="101"/>
      <c r="U1262" s="101"/>
      <c r="V1262" s="101"/>
      <c r="W1262" s="101"/>
      <c r="X1262" s="101"/>
      <c r="Y1262" s="114"/>
      <c r="Z1262" s="114"/>
      <c r="AA1262" s="114"/>
      <c r="AB1262" s="114"/>
      <c r="AC1262" s="114"/>
      <c r="AD1262" s="114"/>
      <c r="AE1262" s="114"/>
      <c r="AF1262" s="114"/>
      <c r="AG1262" s="114"/>
      <c r="AH1262" s="114"/>
      <c r="AI1262" s="114"/>
      <c r="AJ1262" s="114"/>
      <c r="AK1262" s="114"/>
      <c r="AL1262" s="114"/>
      <c r="AM1262" s="114"/>
      <c r="AN1262" s="114"/>
      <c r="AO1262" s="114"/>
      <c r="AP1262" s="114"/>
      <c r="AQ1262" s="114"/>
      <c r="AR1262" s="114"/>
      <c r="AS1262" s="114"/>
      <c r="AT1262" s="114"/>
      <c r="AU1262" s="114"/>
      <c r="AV1262" s="114"/>
      <c r="AW1262" s="114"/>
      <c r="AX1262" s="114"/>
      <c r="AY1262" s="114"/>
      <c r="AZ1262" s="114"/>
    </row>
    <row r="1263" spans="1:52">
      <c r="A1263" s="111"/>
      <c r="B1263" s="111"/>
      <c r="C1263" s="112"/>
      <c r="D1263" s="101"/>
      <c r="E1263" s="101"/>
      <c r="F1263" s="101"/>
      <c r="G1263" s="111"/>
      <c r="H1263" s="101"/>
      <c r="I1263" s="101"/>
      <c r="J1263" s="101"/>
      <c r="K1263" s="101"/>
      <c r="L1263" s="101"/>
      <c r="M1263" s="101"/>
      <c r="N1263" s="101"/>
      <c r="O1263" s="101"/>
      <c r="P1263" s="101"/>
      <c r="Q1263" s="101"/>
      <c r="R1263" s="101"/>
      <c r="S1263" s="101"/>
      <c r="T1263" s="101"/>
      <c r="U1263" s="101"/>
      <c r="V1263" s="101"/>
      <c r="W1263" s="101"/>
      <c r="X1263" s="101"/>
      <c r="Y1263" s="114"/>
      <c r="Z1263" s="114"/>
      <c r="AA1263" s="114"/>
      <c r="AB1263" s="114"/>
      <c r="AC1263" s="114"/>
      <c r="AD1263" s="114"/>
      <c r="AE1263" s="114"/>
      <c r="AF1263" s="114"/>
      <c r="AG1263" s="114"/>
      <c r="AH1263" s="114"/>
      <c r="AI1263" s="114"/>
      <c r="AJ1263" s="114"/>
      <c r="AK1263" s="114"/>
      <c r="AL1263" s="114"/>
      <c r="AM1263" s="114"/>
      <c r="AN1263" s="114"/>
      <c r="AO1263" s="114"/>
      <c r="AP1263" s="114"/>
      <c r="AQ1263" s="114"/>
      <c r="AR1263" s="114"/>
      <c r="AS1263" s="114"/>
      <c r="AT1263" s="114"/>
      <c r="AU1263" s="114"/>
      <c r="AV1263" s="114"/>
      <c r="AW1263" s="114"/>
      <c r="AX1263" s="114"/>
      <c r="AY1263" s="114"/>
      <c r="AZ1263" s="114"/>
    </row>
    <row r="1264" spans="1:52">
      <c r="A1264" s="111"/>
      <c r="B1264" s="111"/>
      <c r="C1264" s="112"/>
      <c r="D1264" s="101"/>
      <c r="E1264" s="101"/>
      <c r="F1264" s="101"/>
      <c r="G1264" s="111"/>
      <c r="H1264" s="101"/>
      <c r="I1264" s="101"/>
      <c r="J1264" s="101"/>
      <c r="K1264" s="101"/>
      <c r="L1264" s="101"/>
      <c r="M1264" s="101"/>
      <c r="N1264" s="101"/>
      <c r="O1264" s="101"/>
      <c r="P1264" s="101"/>
      <c r="Q1264" s="101"/>
      <c r="R1264" s="101"/>
      <c r="S1264" s="101"/>
      <c r="T1264" s="101"/>
      <c r="U1264" s="101"/>
      <c r="V1264" s="101"/>
      <c r="W1264" s="101"/>
      <c r="X1264" s="101"/>
      <c r="Y1264" s="114"/>
      <c r="Z1264" s="114"/>
      <c r="AA1264" s="114"/>
      <c r="AB1264" s="114"/>
      <c r="AC1264" s="114"/>
      <c r="AD1264" s="114"/>
      <c r="AE1264" s="114"/>
      <c r="AF1264" s="114"/>
      <c r="AG1264" s="114"/>
      <c r="AH1264" s="114"/>
      <c r="AI1264" s="114"/>
      <c r="AJ1264" s="114"/>
      <c r="AK1264" s="114"/>
      <c r="AL1264" s="114"/>
      <c r="AM1264" s="114"/>
      <c r="AN1264" s="114"/>
      <c r="AO1264" s="114"/>
      <c r="AP1264" s="114"/>
      <c r="AQ1264" s="114"/>
      <c r="AR1264" s="114"/>
      <c r="AS1264" s="114"/>
      <c r="AT1264" s="114"/>
      <c r="AU1264" s="114"/>
      <c r="AV1264" s="114"/>
      <c r="AW1264" s="114"/>
      <c r="AX1264" s="114"/>
      <c r="AY1264" s="114"/>
      <c r="AZ1264" s="114"/>
    </row>
    <row r="1265" spans="1:52">
      <c r="A1265" s="111"/>
      <c r="B1265" s="111"/>
      <c r="C1265" s="112"/>
      <c r="D1265" s="101"/>
      <c r="E1265" s="101"/>
      <c r="F1265" s="101"/>
      <c r="G1265" s="111"/>
      <c r="H1265" s="101"/>
      <c r="I1265" s="101"/>
      <c r="J1265" s="101"/>
      <c r="K1265" s="101"/>
      <c r="L1265" s="101"/>
      <c r="M1265" s="101"/>
      <c r="N1265" s="101"/>
      <c r="O1265" s="101"/>
      <c r="P1265" s="101"/>
      <c r="Q1265" s="101"/>
      <c r="R1265" s="101"/>
      <c r="S1265" s="101"/>
      <c r="T1265" s="101"/>
      <c r="U1265" s="101"/>
      <c r="V1265" s="101"/>
      <c r="W1265" s="101"/>
      <c r="X1265" s="101"/>
      <c r="Y1265" s="114"/>
      <c r="Z1265" s="114"/>
      <c r="AA1265" s="114"/>
      <c r="AB1265" s="114"/>
      <c r="AC1265" s="114"/>
      <c r="AD1265" s="114"/>
      <c r="AE1265" s="114"/>
      <c r="AF1265" s="114"/>
      <c r="AG1265" s="114"/>
      <c r="AH1265" s="114"/>
      <c r="AI1265" s="114"/>
      <c r="AJ1265" s="114"/>
      <c r="AK1265" s="114"/>
      <c r="AL1265" s="114"/>
      <c r="AM1265" s="114"/>
      <c r="AN1265" s="114"/>
      <c r="AO1265" s="114"/>
      <c r="AP1265" s="114"/>
      <c r="AQ1265" s="114"/>
      <c r="AR1265" s="114"/>
      <c r="AS1265" s="114"/>
      <c r="AT1265" s="114"/>
      <c r="AU1265" s="114"/>
      <c r="AV1265" s="114"/>
      <c r="AW1265" s="114"/>
      <c r="AX1265" s="114"/>
      <c r="AY1265" s="114"/>
      <c r="AZ1265" s="114"/>
    </row>
    <row r="1266" spans="1:52">
      <c r="A1266" s="111"/>
      <c r="B1266" s="111"/>
      <c r="C1266" s="112"/>
      <c r="D1266" s="101"/>
      <c r="E1266" s="101"/>
      <c r="F1266" s="101"/>
      <c r="G1266" s="111"/>
      <c r="H1266" s="101"/>
      <c r="I1266" s="101"/>
      <c r="J1266" s="101"/>
      <c r="K1266" s="101"/>
      <c r="L1266" s="101"/>
      <c r="M1266" s="101"/>
      <c r="N1266" s="101"/>
      <c r="O1266" s="101"/>
      <c r="P1266" s="101"/>
      <c r="Q1266" s="101"/>
      <c r="R1266" s="101"/>
      <c r="S1266" s="101"/>
      <c r="T1266" s="101"/>
      <c r="U1266" s="101"/>
      <c r="V1266" s="101"/>
      <c r="W1266" s="101"/>
      <c r="X1266" s="101"/>
      <c r="Y1266" s="114"/>
      <c r="Z1266" s="114"/>
      <c r="AA1266" s="114"/>
      <c r="AB1266" s="114"/>
      <c r="AC1266" s="114"/>
      <c r="AD1266" s="114"/>
      <c r="AE1266" s="114"/>
      <c r="AF1266" s="114"/>
      <c r="AG1266" s="114"/>
      <c r="AH1266" s="114"/>
      <c r="AI1266" s="114"/>
      <c r="AJ1266" s="114"/>
      <c r="AK1266" s="114"/>
      <c r="AL1266" s="114"/>
      <c r="AM1266" s="114"/>
      <c r="AN1266" s="114"/>
      <c r="AO1266" s="114"/>
      <c r="AP1266" s="114"/>
      <c r="AQ1266" s="114"/>
      <c r="AR1266" s="114"/>
      <c r="AS1266" s="114"/>
      <c r="AT1266" s="114"/>
      <c r="AU1266" s="114"/>
      <c r="AV1266" s="114"/>
      <c r="AW1266" s="114"/>
      <c r="AX1266" s="114"/>
      <c r="AY1266" s="114"/>
      <c r="AZ1266" s="114"/>
    </row>
    <row r="1267" spans="1:52">
      <c r="A1267" s="111"/>
      <c r="B1267" s="111"/>
      <c r="C1267" s="112"/>
      <c r="D1267" s="101"/>
      <c r="E1267" s="101"/>
      <c r="F1267" s="101"/>
      <c r="G1267" s="111"/>
      <c r="H1267" s="101"/>
      <c r="I1267" s="101"/>
      <c r="J1267" s="101"/>
      <c r="K1267" s="101"/>
      <c r="L1267" s="101"/>
      <c r="M1267" s="101"/>
      <c r="N1267" s="101"/>
      <c r="O1267" s="101"/>
      <c r="P1267" s="101"/>
      <c r="Q1267" s="101"/>
      <c r="R1267" s="101"/>
      <c r="S1267" s="101"/>
      <c r="T1267" s="101"/>
      <c r="U1267" s="101"/>
      <c r="V1267" s="101"/>
      <c r="W1267" s="101"/>
      <c r="X1267" s="101"/>
      <c r="Y1267" s="114"/>
      <c r="Z1267" s="114"/>
      <c r="AA1267" s="114"/>
      <c r="AB1267" s="114"/>
      <c r="AC1267" s="114"/>
      <c r="AD1267" s="114"/>
      <c r="AE1267" s="114"/>
      <c r="AF1267" s="114"/>
      <c r="AG1267" s="114"/>
      <c r="AH1267" s="114"/>
      <c r="AI1267" s="114"/>
      <c r="AJ1267" s="114"/>
      <c r="AK1267" s="114"/>
      <c r="AL1267" s="114"/>
      <c r="AM1267" s="114"/>
      <c r="AN1267" s="114"/>
      <c r="AO1267" s="114"/>
      <c r="AP1267" s="114"/>
      <c r="AQ1267" s="114"/>
      <c r="AR1267" s="114"/>
      <c r="AS1267" s="114"/>
      <c r="AT1267" s="114"/>
      <c r="AU1267" s="114"/>
      <c r="AV1267" s="114"/>
      <c r="AW1267" s="114"/>
      <c r="AX1267" s="114"/>
      <c r="AY1267" s="114"/>
      <c r="AZ1267" s="114"/>
    </row>
    <row r="1268" spans="1:52">
      <c r="A1268" s="111"/>
      <c r="B1268" s="111"/>
      <c r="C1268" s="112"/>
      <c r="D1268" s="101"/>
      <c r="E1268" s="101"/>
      <c r="F1268" s="101"/>
      <c r="G1268" s="111"/>
      <c r="H1268" s="101"/>
      <c r="I1268" s="101"/>
      <c r="J1268" s="101"/>
      <c r="K1268" s="101"/>
      <c r="L1268" s="101"/>
      <c r="M1268" s="101"/>
      <c r="N1268" s="101"/>
      <c r="O1268" s="101"/>
      <c r="P1268" s="101"/>
      <c r="Q1268" s="101"/>
      <c r="R1268" s="101"/>
      <c r="S1268" s="101"/>
      <c r="T1268" s="101"/>
      <c r="U1268" s="101"/>
      <c r="V1268" s="101"/>
      <c r="W1268" s="101"/>
      <c r="X1268" s="101"/>
      <c r="Y1268" s="114"/>
      <c r="Z1268" s="114"/>
      <c r="AA1268" s="114"/>
      <c r="AB1268" s="114"/>
      <c r="AC1268" s="114"/>
      <c r="AD1268" s="114"/>
      <c r="AE1268" s="114"/>
      <c r="AF1268" s="114"/>
      <c r="AG1268" s="114"/>
      <c r="AH1268" s="114"/>
      <c r="AI1268" s="114"/>
      <c r="AJ1268" s="114"/>
      <c r="AK1268" s="114"/>
      <c r="AL1268" s="114"/>
      <c r="AM1268" s="114"/>
      <c r="AN1268" s="114"/>
      <c r="AO1268" s="114"/>
      <c r="AP1268" s="114"/>
      <c r="AQ1268" s="114"/>
      <c r="AR1268" s="114"/>
      <c r="AS1268" s="114"/>
      <c r="AT1268" s="114"/>
      <c r="AU1268" s="114"/>
      <c r="AV1268" s="114"/>
      <c r="AW1268" s="114"/>
      <c r="AX1268" s="114"/>
      <c r="AY1268" s="114"/>
      <c r="AZ1268" s="114"/>
    </row>
    <row r="1269" spans="1:52">
      <c r="A1269" s="111"/>
      <c r="B1269" s="111"/>
      <c r="C1269" s="112"/>
      <c r="D1269" s="101"/>
      <c r="E1269" s="101"/>
      <c r="F1269" s="101"/>
      <c r="G1269" s="111"/>
      <c r="H1269" s="101"/>
      <c r="I1269" s="101"/>
      <c r="J1269" s="101"/>
      <c r="K1269" s="101"/>
      <c r="L1269" s="101"/>
      <c r="M1269" s="101"/>
      <c r="N1269" s="101"/>
      <c r="O1269" s="101"/>
      <c r="P1269" s="101"/>
      <c r="Q1269" s="101"/>
      <c r="R1269" s="101"/>
      <c r="S1269" s="101"/>
      <c r="T1269" s="101"/>
      <c r="U1269" s="101"/>
      <c r="V1269" s="101"/>
      <c r="W1269" s="101"/>
      <c r="X1269" s="101"/>
      <c r="Y1269" s="114"/>
      <c r="Z1269" s="114"/>
      <c r="AA1269" s="114"/>
      <c r="AB1269" s="114"/>
      <c r="AC1269" s="114"/>
      <c r="AD1269" s="114"/>
      <c r="AE1269" s="114"/>
      <c r="AF1269" s="114"/>
      <c r="AG1269" s="114"/>
      <c r="AH1269" s="114"/>
      <c r="AI1269" s="114"/>
      <c r="AJ1269" s="114"/>
      <c r="AK1269" s="114"/>
      <c r="AL1269" s="114"/>
      <c r="AM1269" s="114"/>
      <c r="AN1269" s="114"/>
      <c r="AO1269" s="114"/>
      <c r="AP1269" s="114"/>
      <c r="AQ1269" s="114"/>
      <c r="AR1269" s="114"/>
      <c r="AS1269" s="114"/>
      <c r="AT1269" s="114"/>
      <c r="AU1269" s="114"/>
      <c r="AV1269" s="114"/>
      <c r="AW1269" s="114"/>
      <c r="AX1269" s="114"/>
      <c r="AY1269" s="114"/>
      <c r="AZ1269" s="114"/>
    </row>
    <row r="1270" spans="1:52">
      <c r="A1270" s="111"/>
      <c r="B1270" s="111"/>
      <c r="C1270" s="112"/>
      <c r="D1270" s="101"/>
      <c r="E1270" s="101"/>
      <c r="F1270" s="101"/>
      <c r="G1270" s="111"/>
      <c r="H1270" s="101"/>
      <c r="I1270" s="101"/>
      <c r="J1270" s="101"/>
      <c r="K1270" s="101"/>
      <c r="L1270" s="101"/>
      <c r="M1270" s="101"/>
      <c r="N1270" s="101"/>
      <c r="O1270" s="101"/>
      <c r="P1270" s="101"/>
      <c r="Q1270" s="101"/>
      <c r="R1270" s="101"/>
      <c r="S1270" s="101"/>
      <c r="T1270" s="101"/>
      <c r="U1270" s="101"/>
      <c r="V1270" s="101"/>
      <c r="W1270" s="101"/>
      <c r="X1270" s="101"/>
      <c r="Y1270" s="114"/>
      <c r="Z1270" s="114"/>
      <c r="AA1270" s="114"/>
      <c r="AB1270" s="114"/>
      <c r="AC1270" s="114"/>
      <c r="AD1270" s="114"/>
      <c r="AE1270" s="114"/>
      <c r="AF1270" s="114"/>
      <c r="AG1270" s="114"/>
      <c r="AH1270" s="114"/>
      <c r="AI1270" s="114"/>
      <c r="AJ1270" s="114"/>
      <c r="AK1270" s="114"/>
      <c r="AL1270" s="114"/>
      <c r="AM1270" s="114"/>
      <c r="AN1270" s="114"/>
      <c r="AO1270" s="114"/>
      <c r="AP1270" s="114"/>
      <c r="AQ1270" s="114"/>
      <c r="AR1270" s="114"/>
      <c r="AS1270" s="114"/>
      <c r="AT1270" s="114"/>
      <c r="AU1270" s="114"/>
      <c r="AV1270" s="114"/>
      <c r="AW1270" s="114"/>
      <c r="AX1270" s="114"/>
      <c r="AY1270" s="114"/>
      <c r="AZ1270" s="114"/>
    </row>
    <row r="1271" spans="1:52">
      <c r="A1271" s="111"/>
      <c r="B1271" s="111"/>
      <c r="C1271" s="112"/>
      <c r="D1271" s="101"/>
      <c r="E1271" s="101"/>
      <c r="F1271" s="101"/>
      <c r="G1271" s="111"/>
      <c r="H1271" s="101"/>
      <c r="I1271" s="101"/>
      <c r="J1271" s="101"/>
      <c r="K1271" s="101"/>
      <c r="L1271" s="101"/>
      <c r="M1271" s="101"/>
      <c r="N1271" s="101"/>
      <c r="O1271" s="101"/>
      <c r="P1271" s="101"/>
      <c r="Q1271" s="101"/>
      <c r="R1271" s="101"/>
      <c r="S1271" s="101"/>
      <c r="T1271" s="101"/>
      <c r="U1271" s="101"/>
      <c r="V1271" s="101"/>
      <c r="W1271" s="101"/>
      <c r="X1271" s="101"/>
      <c r="Y1271" s="114"/>
      <c r="Z1271" s="114"/>
      <c r="AA1271" s="114"/>
      <c r="AB1271" s="114"/>
      <c r="AC1271" s="114"/>
      <c r="AD1271" s="114"/>
      <c r="AE1271" s="114"/>
      <c r="AF1271" s="114"/>
      <c r="AG1271" s="114"/>
      <c r="AH1271" s="114"/>
      <c r="AI1271" s="114"/>
      <c r="AJ1271" s="114"/>
      <c r="AK1271" s="114"/>
      <c r="AL1271" s="114"/>
      <c r="AM1271" s="114"/>
      <c r="AN1271" s="114"/>
      <c r="AO1271" s="114"/>
      <c r="AP1271" s="114"/>
      <c r="AQ1271" s="114"/>
      <c r="AR1271" s="114"/>
      <c r="AS1271" s="114"/>
      <c r="AT1271" s="114"/>
      <c r="AU1271" s="114"/>
      <c r="AV1271" s="114"/>
      <c r="AW1271" s="114"/>
      <c r="AX1271" s="114"/>
      <c r="AY1271" s="114"/>
      <c r="AZ1271" s="114"/>
    </row>
    <row r="1272" spans="1:52">
      <c r="A1272" s="111"/>
      <c r="B1272" s="111"/>
      <c r="C1272" s="112"/>
      <c r="D1272" s="101"/>
      <c r="E1272" s="101"/>
      <c r="F1272" s="101"/>
      <c r="G1272" s="111"/>
      <c r="H1272" s="101"/>
      <c r="I1272" s="101"/>
      <c r="J1272" s="101"/>
      <c r="K1272" s="101"/>
      <c r="L1272" s="101"/>
      <c r="M1272" s="101"/>
      <c r="N1272" s="101"/>
      <c r="O1272" s="101"/>
      <c r="P1272" s="101"/>
      <c r="Q1272" s="101"/>
      <c r="R1272" s="101"/>
      <c r="S1272" s="101"/>
      <c r="T1272" s="101"/>
      <c r="U1272" s="101"/>
      <c r="V1272" s="101"/>
      <c r="W1272" s="101"/>
      <c r="X1272" s="101"/>
      <c r="Y1272" s="114"/>
      <c r="Z1272" s="114"/>
      <c r="AA1272" s="114"/>
      <c r="AB1272" s="114"/>
      <c r="AC1272" s="114"/>
      <c r="AD1272" s="114"/>
      <c r="AE1272" s="114"/>
      <c r="AF1272" s="114"/>
      <c r="AG1272" s="114"/>
      <c r="AH1272" s="114"/>
      <c r="AI1272" s="114"/>
      <c r="AJ1272" s="114"/>
      <c r="AK1272" s="114"/>
      <c r="AL1272" s="114"/>
      <c r="AM1272" s="114"/>
      <c r="AN1272" s="114"/>
      <c r="AO1272" s="114"/>
      <c r="AP1272" s="114"/>
      <c r="AQ1272" s="114"/>
      <c r="AR1272" s="114"/>
      <c r="AS1272" s="114"/>
      <c r="AT1272" s="114"/>
      <c r="AU1272" s="114"/>
      <c r="AV1272" s="114"/>
      <c r="AW1272" s="114"/>
      <c r="AX1272" s="114"/>
      <c r="AY1272" s="114"/>
      <c r="AZ1272" s="114"/>
    </row>
    <row r="1273" spans="1:52">
      <c r="A1273" s="111"/>
      <c r="B1273" s="111"/>
      <c r="C1273" s="112"/>
      <c r="D1273" s="101"/>
      <c r="E1273" s="101"/>
      <c r="F1273" s="101"/>
      <c r="G1273" s="111"/>
      <c r="H1273" s="101"/>
      <c r="I1273" s="101"/>
      <c r="J1273" s="101"/>
      <c r="K1273" s="101"/>
      <c r="L1273" s="101"/>
      <c r="M1273" s="101"/>
      <c r="N1273" s="101"/>
      <c r="O1273" s="101"/>
      <c r="P1273" s="101"/>
      <c r="Q1273" s="101"/>
      <c r="R1273" s="101"/>
      <c r="S1273" s="101"/>
      <c r="T1273" s="101"/>
      <c r="U1273" s="101"/>
      <c r="V1273" s="101"/>
      <c r="W1273" s="101"/>
      <c r="X1273" s="101"/>
      <c r="Y1273" s="114"/>
      <c r="Z1273" s="114"/>
      <c r="AA1273" s="114"/>
      <c r="AB1273" s="114"/>
      <c r="AC1273" s="114"/>
      <c r="AD1273" s="114"/>
      <c r="AE1273" s="114"/>
      <c r="AF1273" s="114"/>
      <c r="AG1273" s="114"/>
      <c r="AH1273" s="114"/>
      <c r="AI1273" s="114"/>
      <c r="AJ1273" s="114"/>
      <c r="AK1273" s="114"/>
      <c r="AL1273" s="114"/>
      <c r="AM1273" s="114"/>
      <c r="AN1273" s="114"/>
      <c r="AO1273" s="114"/>
      <c r="AP1273" s="114"/>
      <c r="AQ1273" s="114"/>
      <c r="AR1273" s="114"/>
      <c r="AS1273" s="114"/>
      <c r="AT1273" s="114"/>
      <c r="AU1273" s="114"/>
      <c r="AV1273" s="114"/>
      <c r="AW1273" s="114"/>
      <c r="AX1273" s="114"/>
      <c r="AY1273" s="114"/>
      <c r="AZ1273" s="114"/>
    </row>
    <row r="1274" spans="1:52">
      <c r="A1274" s="111"/>
      <c r="B1274" s="111"/>
      <c r="C1274" s="112"/>
      <c r="D1274" s="101"/>
      <c r="E1274" s="101"/>
      <c r="F1274" s="101"/>
      <c r="G1274" s="111"/>
      <c r="H1274" s="101"/>
      <c r="I1274" s="101"/>
      <c r="J1274" s="101"/>
      <c r="K1274" s="101"/>
      <c r="L1274" s="101"/>
      <c r="M1274" s="101"/>
      <c r="N1274" s="101"/>
      <c r="O1274" s="101"/>
      <c r="P1274" s="101"/>
      <c r="Q1274" s="101"/>
      <c r="R1274" s="101"/>
      <c r="S1274" s="101"/>
      <c r="T1274" s="101"/>
      <c r="U1274" s="101"/>
      <c r="V1274" s="101"/>
      <c r="W1274" s="101"/>
      <c r="X1274" s="101"/>
      <c r="Y1274" s="114"/>
      <c r="Z1274" s="114"/>
      <c r="AA1274" s="114"/>
      <c r="AB1274" s="114"/>
      <c r="AC1274" s="114"/>
      <c r="AD1274" s="114"/>
      <c r="AE1274" s="114"/>
      <c r="AF1274" s="114"/>
      <c r="AG1274" s="114"/>
      <c r="AH1274" s="114"/>
      <c r="AI1274" s="114"/>
      <c r="AJ1274" s="114"/>
      <c r="AK1274" s="114"/>
      <c r="AL1274" s="114"/>
      <c r="AM1274" s="114"/>
      <c r="AN1274" s="114"/>
      <c r="AO1274" s="114"/>
      <c r="AP1274" s="114"/>
      <c r="AQ1274" s="114"/>
      <c r="AR1274" s="114"/>
      <c r="AS1274" s="114"/>
      <c r="AT1274" s="114"/>
      <c r="AU1274" s="114"/>
      <c r="AV1274" s="114"/>
      <c r="AW1274" s="114"/>
      <c r="AX1274" s="114"/>
      <c r="AY1274" s="114"/>
      <c r="AZ1274" s="114"/>
    </row>
    <row r="1275" spans="1:52">
      <c r="A1275" s="111"/>
      <c r="B1275" s="111"/>
      <c r="C1275" s="112"/>
      <c r="D1275" s="101"/>
      <c r="E1275" s="101"/>
      <c r="F1275" s="101"/>
      <c r="G1275" s="111"/>
      <c r="H1275" s="101"/>
      <c r="I1275" s="101"/>
      <c r="J1275" s="101"/>
      <c r="K1275" s="101"/>
      <c r="L1275" s="101"/>
      <c r="M1275" s="101"/>
      <c r="N1275" s="101"/>
      <c r="O1275" s="101"/>
      <c r="P1275" s="101"/>
      <c r="Q1275" s="101"/>
      <c r="R1275" s="101"/>
      <c r="S1275" s="101"/>
      <c r="T1275" s="101"/>
      <c r="U1275" s="101"/>
      <c r="V1275" s="101"/>
      <c r="W1275" s="101"/>
      <c r="X1275" s="101"/>
      <c r="Y1275" s="114"/>
      <c r="Z1275" s="114"/>
      <c r="AA1275" s="114"/>
      <c r="AB1275" s="114"/>
      <c r="AC1275" s="114"/>
      <c r="AD1275" s="114"/>
      <c r="AE1275" s="114"/>
      <c r="AF1275" s="114"/>
      <c r="AG1275" s="114"/>
      <c r="AH1275" s="114"/>
      <c r="AI1275" s="114"/>
      <c r="AJ1275" s="114"/>
      <c r="AK1275" s="114"/>
      <c r="AL1275" s="114"/>
      <c r="AM1275" s="114"/>
      <c r="AN1275" s="114"/>
      <c r="AO1275" s="114"/>
      <c r="AP1275" s="114"/>
      <c r="AQ1275" s="114"/>
      <c r="AR1275" s="114"/>
      <c r="AS1275" s="114"/>
      <c r="AT1275" s="114"/>
      <c r="AU1275" s="114"/>
      <c r="AV1275" s="114"/>
      <c r="AW1275" s="114"/>
      <c r="AX1275" s="114"/>
      <c r="AY1275" s="114"/>
      <c r="AZ1275" s="114"/>
    </row>
    <row r="1276" spans="1:52">
      <c r="A1276" s="111"/>
      <c r="B1276" s="111"/>
      <c r="C1276" s="112"/>
      <c r="D1276" s="101"/>
      <c r="E1276" s="101"/>
      <c r="F1276" s="101"/>
      <c r="G1276" s="111"/>
      <c r="H1276" s="101"/>
      <c r="I1276" s="101"/>
      <c r="J1276" s="101"/>
      <c r="K1276" s="101"/>
      <c r="L1276" s="101"/>
      <c r="M1276" s="101"/>
      <c r="N1276" s="101"/>
      <c r="O1276" s="101"/>
      <c r="P1276" s="101"/>
      <c r="Q1276" s="101"/>
      <c r="R1276" s="101"/>
      <c r="S1276" s="101"/>
      <c r="T1276" s="101"/>
      <c r="U1276" s="101"/>
      <c r="V1276" s="101"/>
      <c r="W1276" s="101"/>
      <c r="X1276" s="101"/>
      <c r="Y1276" s="114"/>
      <c r="Z1276" s="114"/>
      <c r="AA1276" s="114"/>
      <c r="AB1276" s="114"/>
      <c r="AC1276" s="114"/>
      <c r="AD1276" s="114"/>
      <c r="AE1276" s="114"/>
      <c r="AF1276" s="114"/>
      <c r="AG1276" s="114"/>
      <c r="AH1276" s="114"/>
      <c r="AI1276" s="114"/>
      <c r="AJ1276" s="114"/>
      <c r="AK1276" s="114"/>
      <c r="AL1276" s="114"/>
      <c r="AM1276" s="114"/>
      <c r="AN1276" s="114"/>
      <c r="AO1276" s="114"/>
      <c r="AP1276" s="114"/>
      <c r="AQ1276" s="114"/>
      <c r="AR1276" s="114"/>
      <c r="AS1276" s="114"/>
      <c r="AT1276" s="114"/>
      <c r="AU1276" s="114"/>
      <c r="AV1276" s="114"/>
      <c r="AW1276" s="114"/>
      <c r="AX1276" s="114"/>
      <c r="AY1276" s="114"/>
      <c r="AZ1276" s="114"/>
    </row>
    <row r="1277" spans="1:52">
      <c r="A1277" s="111"/>
      <c r="B1277" s="111"/>
      <c r="C1277" s="112"/>
      <c r="D1277" s="101"/>
      <c r="E1277" s="101"/>
      <c r="F1277" s="101"/>
      <c r="G1277" s="111"/>
      <c r="H1277" s="101"/>
      <c r="I1277" s="101"/>
      <c r="J1277" s="101"/>
      <c r="K1277" s="101"/>
      <c r="L1277" s="101"/>
      <c r="M1277" s="101"/>
      <c r="N1277" s="101"/>
      <c r="O1277" s="101"/>
      <c r="P1277" s="101"/>
      <c r="Q1277" s="101"/>
      <c r="R1277" s="101"/>
      <c r="S1277" s="101"/>
      <c r="T1277" s="101"/>
      <c r="U1277" s="101"/>
      <c r="V1277" s="101"/>
      <c r="W1277" s="101"/>
      <c r="X1277" s="101"/>
      <c r="Y1277" s="114"/>
      <c r="Z1277" s="114"/>
      <c r="AA1277" s="114"/>
      <c r="AB1277" s="114"/>
      <c r="AC1277" s="114"/>
      <c r="AD1277" s="114"/>
      <c r="AE1277" s="114"/>
      <c r="AF1277" s="114"/>
      <c r="AG1277" s="114"/>
      <c r="AH1277" s="114"/>
      <c r="AI1277" s="114"/>
      <c r="AJ1277" s="114"/>
      <c r="AK1277" s="114"/>
      <c r="AL1277" s="114"/>
      <c r="AM1277" s="114"/>
      <c r="AN1277" s="114"/>
      <c r="AO1277" s="114"/>
      <c r="AP1277" s="114"/>
      <c r="AQ1277" s="114"/>
      <c r="AR1277" s="114"/>
      <c r="AS1277" s="114"/>
      <c r="AT1277" s="114"/>
      <c r="AU1277" s="114"/>
      <c r="AV1277" s="114"/>
      <c r="AW1277" s="114"/>
      <c r="AX1277" s="114"/>
      <c r="AY1277" s="114"/>
      <c r="AZ1277" s="114"/>
    </row>
    <row r="1278" spans="1:52">
      <c r="A1278" s="111"/>
      <c r="B1278" s="111"/>
      <c r="C1278" s="112"/>
      <c r="D1278" s="101"/>
      <c r="E1278" s="101"/>
      <c r="F1278" s="101"/>
      <c r="G1278" s="111"/>
      <c r="H1278" s="101"/>
      <c r="I1278" s="101"/>
      <c r="J1278" s="101"/>
      <c r="K1278" s="101"/>
      <c r="L1278" s="101"/>
      <c r="M1278" s="101"/>
      <c r="N1278" s="101"/>
      <c r="O1278" s="101"/>
      <c r="P1278" s="101"/>
      <c r="Q1278" s="101"/>
      <c r="R1278" s="101"/>
      <c r="S1278" s="101"/>
      <c r="T1278" s="101"/>
      <c r="U1278" s="101"/>
      <c r="V1278" s="101"/>
      <c r="W1278" s="101"/>
      <c r="X1278" s="101"/>
      <c r="Y1278" s="114"/>
      <c r="Z1278" s="114"/>
      <c r="AA1278" s="114"/>
      <c r="AB1278" s="114"/>
      <c r="AC1278" s="114"/>
      <c r="AD1278" s="114"/>
      <c r="AE1278" s="114"/>
      <c r="AF1278" s="114"/>
      <c r="AG1278" s="114"/>
      <c r="AH1278" s="114"/>
      <c r="AI1278" s="114"/>
      <c r="AJ1278" s="114"/>
      <c r="AK1278" s="114"/>
      <c r="AL1278" s="114"/>
      <c r="AM1278" s="114"/>
      <c r="AN1278" s="114"/>
      <c r="AO1278" s="114"/>
      <c r="AP1278" s="114"/>
      <c r="AQ1278" s="114"/>
      <c r="AR1278" s="114"/>
      <c r="AS1278" s="114"/>
      <c r="AT1278" s="114"/>
      <c r="AU1278" s="114"/>
      <c r="AV1278" s="114"/>
      <c r="AW1278" s="114"/>
      <c r="AX1278" s="114"/>
      <c r="AY1278" s="114"/>
      <c r="AZ1278" s="114"/>
    </row>
    <row r="1279" spans="1:52">
      <c r="A1279" s="111"/>
      <c r="B1279" s="111"/>
      <c r="C1279" s="112"/>
      <c r="D1279" s="101"/>
      <c r="E1279" s="101"/>
      <c r="F1279" s="101"/>
      <c r="G1279" s="111"/>
      <c r="H1279" s="101"/>
      <c r="I1279" s="101"/>
      <c r="J1279" s="101"/>
      <c r="K1279" s="101"/>
      <c r="L1279" s="101"/>
      <c r="M1279" s="101"/>
      <c r="N1279" s="101"/>
      <c r="O1279" s="101"/>
      <c r="P1279" s="101"/>
      <c r="Q1279" s="101"/>
      <c r="R1279" s="101"/>
      <c r="S1279" s="101"/>
      <c r="T1279" s="101"/>
      <c r="U1279" s="101"/>
      <c r="V1279" s="101"/>
      <c r="W1279" s="101"/>
      <c r="X1279" s="101"/>
      <c r="Y1279" s="114"/>
      <c r="Z1279" s="114"/>
      <c r="AA1279" s="114"/>
      <c r="AB1279" s="114"/>
      <c r="AC1279" s="114"/>
      <c r="AD1279" s="114"/>
      <c r="AE1279" s="114"/>
      <c r="AF1279" s="114"/>
      <c r="AG1279" s="114"/>
      <c r="AH1279" s="114"/>
      <c r="AI1279" s="114"/>
      <c r="AJ1279" s="114"/>
      <c r="AK1279" s="114"/>
      <c r="AL1279" s="114"/>
      <c r="AM1279" s="114"/>
      <c r="AN1279" s="114"/>
      <c r="AO1279" s="114"/>
      <c r="AP1279" s="114"/>
      <c r="AQ1279" s="114"/>
      <c r="AR1279" s="114"/>
      <c r="AS1279" s="114"/>
      <c r="AT1279" s="114"/>
      <c r="AU1279" s="114"/>
      <c r="AV1279" s="114"/>
      <c r="AW1279" s="114"/>
      <c r="AX1279" s="114"/>
      <c r="AY1279" s="114"/>
      <c r="AZ1279" s="114"/>
    </row>
    <row r="1280" spans="1:52">
      <c r="A1280" s="111"/>
      <c r="B1280" s="111"/>
      <c r="C1280" s="112"/>
      <c r="D1280" s="101"/>
      <c r="E1280" s="101"/>
      <c r="F1280" s="101"/>
      <c r="G1280" s="111"/>
      <c r="H1280" s="101"/>
      <c r="I1280" s="101"/>
      <c r="J1280" s="101"/>
      <c r="K1280" s="101"/>
      <c r="L1280" s="101"/>
      <c r="M1280" s="101"/>
      <c r="N1280" s="101"/>
      <c r="O1280" s="101"/>
      <c r="P1280" s="101"/>
      <c r="Q1280" s="101"/>
      <c r="R1280" s="101"/>
      <c r="S1280" s="101"/>
      <c r="T1280" s="101"/>
      <c r="U1280" s="101"/>
      <c r="V1280" s="101"/>
      <c r="W1280" s="101"/>
      <c r="X1280" s="101"/>
      <c r="Y1280" s="114"/>
      <c r="Z1280" s="114"/>
      <c r="AA1280" s="114"/>
      <c r="AB1280" s="114"/>
      <c r="AC1280" s="114"/>
      <c r="AD1280" s="114"/>
      <c r="AE1280" s="114"/>
      <c r="AF1280" s="114"/>
      <c r="AG1280" s="114"/>
      <c r="AH1280" s="114"/>
      <c r="AI1280" s="114"/>
      <c r="AJ1280" s="114"/>
      <c r="AK1280" s="114"/>
      <c r="AL1280" s="114"/>
      <c r="AM1280" s="114"/>
      <c r="AN1280" s="114"/>
      <c r="AO1280" s="114"/>
      <c r="AP1280" s="114"/>
      <c r="AQ1280" s="114"/>
      <c r="AR1280" s="114"/>
      <c r="AS1280" s="114"/>
      <c r="AT1280" s="114"/>
      <c r="AU1280" s="114"/>
      <c r="AV1280" s="114"/>
      <c r="AW1280" s="114"/>
      <c r="AX1280" s="114"/>
      <c r="AY1280" s="114"/>
      <c r="AZ1280" s="114"/>
    </row>
    <row r="1281" spans="1:52">
      <c r="A1281" s="111"/>
      <c r="B1281" s="111"/>
      <c r="C1281" s="112"/>
      <c r="D1281" s="101"/>
      <c r="E1281" s="101"/>
      <c r="F1281" s="101"/>
      <c r="G1281" s="111"/>
      <c r="H1281" s="101"/>
      <c r="I1281" s="101"/>
      <c r="J1281" s="101"/>
      <c r="K1281" s="101"/>
      <c r="L1281" s="101"/>
      <c r="M1281" s="101"/>
      <c r="N1281" s="101"/>
      <c r="O1281" s="101"/>
      <c r="P1281" s="101"/>
      <c r="Q1281" s="101"/>
      <c r="R1281" s="101"/>
      <c r="S1281" s="101"/>
      <c r="T1281" s="101"/>
      <c r="U1281" s="101"/>
      <c r="V1281" s="101"/>
      <c r="W1281" s="101"/>
      <c r="X1281" s="101"/>
      <c r="Y1281" s="114"/>
      <c r="Z1281" s="114"/>
      <c r="AA1281" s="114"/>
      <c r="AB1281" s="114"/>
      <c r="AC1281" s="114"/>
      <c r="AD1281" s="114"/>
      <c r="AE1281" s="114"/>
      <c r="AF1281" s="114"/>
      <c r="AG1281" s="114"/>
      <c r="AH1281" s="114"/>
      <c r="AI1281" s="114"/>
      <c r="AJ1281" s="114"/>
      <c r="AK1281" s="114"/>
      <c r="AL1281" s="114"/>
      <c r="AM1281" s="114"/>
      <c r="AN1281" s="114"/>
      <c r="AO1281" s="114"/>
      <c r="AP1281" s="114"/>
      <c r="AQ1281" s="114"/>
      <c r="AR1281" s="114"/>
      <c r="AS1281" s="114"/>
      <c r="AT1281" s="114"/>
      <c r="AU1281" s="114"/>
      <c r="AV1281" s="114"/>
      <c r="AW1281" s="114"/>
      <c r="AX1281" s="114"/>
      <c r="AY1281" s="114"/>
      <c r="AZ1281" s="114"/>
    </row>
    <row r="1282" spans="1:52">
      <c r="A1282" s="111"/>
      <c r="B1282" s="111"/>
      <c r="C1282" s="112"/>
      <c r="D1282" s="101"/>
      <c r="E1282" s="101"/>
      <c r="F1282" s="101"/>
      <c r="G1282" s="111"/>
      <c r="H1282" s="101"/>
      <c r="I1282" s="101"/>
      <c r="J1282" s="101"/>
      <c r="K1282" s="101"/>
      <c r="L1282" s="101"/>
      <c r="M1282" s="101"/>
      <c r="N1282" s="101"/>
      <c r="O1282" s="101"/>
      <c r="P1282" s="101"/>
      <c r="Q1282" s="101"/>
      <c r="R1282" s="101"/>
      <c r="S1282" s="101"/>
      <c r="T1282" s="101"/>
      <c r="U1282" s="101"/>
      <c r="V1282" s="101"/>
      <c r="W1282" s="101"/>
      <c r="X1282" s="101"/>
      <c r="Y1282" s="114"/>
      <c r="Z1282" s="114"/>
      <c r="AA1282" s="114"/>
      <c r="AB1282" s="114"/>
      <c r="AC1282" s="114"/>
      <c r="AD1282" s="114"/>
      <c r="AE1282" s="114"/>
      <c r="AF1282" s="114"/>
      <c r="AG1282" s="114"/>
      <c r="AH1282" s="114"/>
      <c r="AI1282" s="114"/>
      <c r="AJ1282" s="114"/>
      <c r="AK1282" s="114"/>
      <c r="AL1282" s="114"/>
      <c r="AM1282" s="114"/>
      <c r="AN1282" s="114"/>
      <c r="AO1282" s="114"/>
      <c r="AP1282" s="114"/>
      <c r="AQ1282" s="114"/>
      <c r="AR1282" s="114"/>
      <c r="AS1282" s="114"/>
      <c r="AT1282" s="114"/>
      <c r="AU1282" s="114"/>
      <c r="AV1282" s="114"/>
      <c r="AW1282" s="114"/>
      <c r="AX1282" s="114"/>
      <c r="AY1282" s="114"/>
      <c r="AZ1282" s="114"/>
    </row>
    <row r="1283" spans="1:52">
      <c r="A1283" s="111"/>
      <c r="B1283" s="111"/>
      <c r="C1283" s="112"/>
      <c r="D1283" s="101"/>
      <c r="E1283" s="101"/>
      <c r="F1283" s="101"/>
      <c r="G1283" s="111"/>
      <c r="H1283" s="101"/>
      <c r="I1283" s="101"/>
      <c r="J1283" s="101"/>
      <c r="K1283" s="101"/>
      <c r="L1283" s="101"/>
      <c r="M1283" s="101"/>
      <c r="N1283" s="101"/>
      <c r="O1283" s="101"/>
      <c r="P1283" s="101"/>
      <c r="Q1283" s="101"/>
      <c r="R1283" s="101"/>
      <c r="S1283" s="101"/>
      <c r="T1283" s="101"/>
      <c r="U1283" s="101"/>
      <c r="V1283" s="101"/>
      <c r="W1283" s="101"/>
      <c r="X1283" s="101"/>
      <c r="Y1283" s="114"/>
      <c r="Z1283" s="114"/>
      <c r="AA1283" s="114"/>
      <c r="AB1283" s="114"/>
      <c r="AC1283" s="114"/>
      <c r="AD1283" s="114"/>
      <c r="AE1283" s="114"/>
      <c r="AF1283" s="114"/>
      <c r="AG1283" s="114"/>
      <c r="AH1283" s="114"/>
      <c r="AI1283" s="114"/>
      <c r="AJ1283" s="114"/>
      <c r="AK1283" s="114"/>
      <c r="AL1283" s="114"/>
      <c r="AM1283" s="114"/>
      <c r="AN1283" s="114"/>
      <c r="AO1283" s="114"/>
      <c r="AP1283" s="114"/>
      <c r="AQ1283" s="114"/>
      <c r="AR1283" s="114"/>
      <c r="AS1283" s="114"/>
      <c r="AT1283" s="114"/>
      <c r="AU1283" s="114"/>
      <c r="AV1283" s="114"/>
      <c r="AW1283" s="114"/>
      <c r="AX1283" s="114"/>
      <c r="AY1283" s="114"/>
      <c r="AZ1283" s="114"/>
    </row>
    <row r="1284" spans="1:52">
      <c r="A1284" s="111"/>
      <c r="B1284" s="111"/>
      <c r="C1284" s="112"/>
      <c r="D1284" s="101"/>
      <c r="E1284" s="101"/>
      <c r="F1284" s="101"/>
      <c r="G1284" s="111"/>
      <c r="H1284" s="101"/>
      <c r="I1284" s="101"/>
      <c r="J1284" s="101"/>
      <c r="K1284" s="101"/>
      <c r="L1284" s="101"/>
      <c r="M1284" s="101"/>
      <c r="N1284" s="101"/>
      <c r="O1284" s="101"/>
      <c r="P1284" s="101"/>
      <c r="Q1284" s="101"/>
      <c r="R1284" s="101"/>
      <c r="S1284" s="101"/>
      <c r="T1284" s="101"/>
      <c r="U1284" s="101"/>
      <c r="V1284" s="101"/>
      <c r="W1284" s="101"/>
      <c r="X1284" s="101"/>
      <c r="Y1284" s="114"/>
      <c r="Z1284" s="114"/>
      <c r="AA1284" s="114"/>
      <c r="AB1284" s="114"/>
      <c r="AC1284" s="114"/>
      <c r="AD1284" s="114"/>
      <c r="AE1284" s="114"/>
      <c r="AF1284" s="114"/>
      <c r="AG1284" s="114"/>
      <c r="AH1284" s="114"/>
      <c r="AI1284" s="114"/>
      <c r="AJ1284" s="114"/>
      <c r="AK1284" s="114"/>
      <c r="AL1284" s="114"/>
      <c r="AM1284" s="114"/>
      <c r="AN1284" s="114"/>
      <c r="AO1284" s="114"/>
      <c r="AP1284" s="114"/>
      <c r="AQ1284" s="114"/>
      <c r="AR1284" s="114"/>
      <c r="AS1284" s="114"/>
      <c r="AT1284" s="114"/>
      <c r="AU1284" s="114"/>
      <c r="AV1284" s="114"/>
      <c r="AW1284" s="114"/>
      <c r="AX1284" s="114"/>
      <c r="AY1284" s="114"/>
      <c r="AZ1284" s="114"/>
    </row>
    <row r="1285" spans="1:52">
      <c r="A1285" s="111"/>
      <c r="B1285" s="111"/>
      <c r="C1285" s="112"/>
      <c r="D1285" s="101"/>
      <c r="E1285" s="101"/>
      <c r="F1285" s="101"/>
      <c r="G1285" s="111"/>
      <c r="H1285" s="101"/>
      <c r="I1285" s="101"/>
      <c r="J1285" s="101"/>
      <c r="K1285" s="101"/>
      <c r="L1285" s="101"/>
      <c r="M1285" s="101"/>
      <c r="N1285" s="101"/>
      <c r="O1285" s="101"/>
      <c r="P1285" s="101"/>
      <c r="Q1285" s="101"/>
      <c r="R1285" s="101"/>
      <c r="S1285" s="101"/>
      <c r="T1285" s="101"/>
      <c r="U1285" s="101"/>
      <c r="V1285" s="101"/>
      <c r="W1285" s="101"/>
      <c r="X1285" s="101"/>
      <c r="Y1285" s="114"/>
      <c r="Z1285" s="114"/>
      <c r="AA1285" s="114"/>
      <c r="AB1285" s="114"/>
      <c r="AC1285" s="114"/>
      <c r="AD1285" s="114"/>
      <c r="AE1285" s="114"/>
      <c r="AF1285" s="114"/>
      <c r="AG1285" s="114"/>
      <c r="AH1285" s="114"/>
      <c r="AI1285" s="114"/>
      <c r="AJ1285" s="114"/>
      <c r="AK1285" s="114"/>
      <c r="AL1285" s="114"/>
      <c r="AM1285" s="114"/>
      <c r="AN1285" s="114"/>
      <c r="AO1285" s="114"/>
      <c r="AP1285" s="114"/>
      <c r="AQ1285" s="114"/>
      <c r="AR1285" s="114"/>
      <c r="AS1285" s="114"/>
      <c r="AT1285" s="114"/>
      <c r="AU1285" s="114"/>
      <c r="AV1285" s="114"/>
      <c r="AW1285" s="114"/>
      <c r="AX1285" s="114"/>
      <c r="AY1285" s="114"/>
      <c r="AZ1285" s="114"/>
    </row>
    <row r="1286" spans="1:52">
      <c r="A1286" s="111"/>
      <c r="B1286" s="111"/>
      <c r="C1286" s="112"/>
      <c r="D1286" s="101"/>
      <c r="E1286" s="101"/>
      <c r="F1286" s="101"/>
      <c r="G1286" s="111"/>
      <c r="H1286" s="101"/>
      <c r="I1286" s="101"/>
      <c r="J1286" s="101"/>
      <c r="K1286" s="101"/>
      <c r="L1286" s="101"/>
      <c r="M1286" s="101"/>
      <c r="N1286" s="101"/>
      <c r="O1286" s="101"/>
      <c r="P1286" s="101"/>
      <c r="Q1286" s="101"/>
      <c r="R1286" s="101"/>
      <c r="S1286" s="101"/>
      <c r="T1286" s="101"/>
      <c r="U1286" s="101"/>
      <c r="V1286" s="101"/>
      <c r="W1286" s="101"/>
      <c r="X1286" s="101"/>
      <c r="Y1286" s="114"/>
      <c r="Z1286" s="114"/>
      <c r="AA1286" s="114"/>
      <c r="AB1286" s="114"/>
      <c r="AC1286" s="114"/>
      <c r="AD1286" s="114"/>
      <c r="AE1286" s="114"/>
      <c r="AF1286" s="114"/>
      <c r="AG1286" s="114"/>
      <c r="AH1286" s="114"/>
      <c r="AI1286" s="114"/>
      <c r="AJ1286" s="114"/>
      <c r="AK1286" s="114"/>
      <c r="AL1286" s="114"/>
      <c r="AM1286" s="114"/>
      <c r="AN1286" s="114"/>
      <c r="AO1286" s="114"/>
      <c r="AP1286" s="114"/>
      <c r="AQ1286" s="114"/>
      <c r="AR1286" s="114"/>
      <c r="AS1286" s="114"/>
      <c r="AT1286" s="114"/>
      <c r="AU1286" s="114"/>
      <c r="AV1286" s="114"/>
      <c r="AW1286" s="114"/>
      <c r="AX1286" s="114"/>
      <c r="AY1286" s="114"/>
      <c r="AZ1286" s="114"/>
    </row>
    <row r="1287" spans="1:52">
      <c r="A1287" s="111"/>
      <c r="B1287" s="111"/>
      <c r="C1287" s="112"/>
      <c r="D1287" s="101"/>
      <c r="E1287" s="101"/>
      <c r="F1287" s="101"/>
      <c r="G1287" s="111"/>
      <c r="H1287" s="101"/>
      <c r="I1287" s="101"/>
      <c r="J1287" s="101"/>
      <c r="K1287" s="101"/>
      <c r="L1287" s="101"/>
      <c r="M1287" s="101"/>
      <c r="N1287" s="101"/>
      <c r="O1287" s="101"/>
      <c r="P1287" s="101"/>
      <c r="Q1287" s="101"/>
      <c r="R1287" s="101"/>
      <c r="S1287" s="101"/>
      <c r="T1287" s="101"/>
      <c r="U1287" s="101"/>
      <c r="V1287" s="101"/>
      <c r="W1287" s="101"/>
      <c r="X1287" s="101"/>
      <c r="Y1287" s="114"/>
      <c r="Z1287" s="114"/>
      <c r="AA1287" s="114"/>
      <c r="AB1287" s="114"/>
      <c r="AC1287" s="114"/>
      <c r="AD1287" s="114"/>
      <c r="AE1287" s="114"/>
      <c r="AF1287" s="114"/>
      <c r="AG1287" s="114"/>
      <c r="AH1287" s="114"/>
      <c r="AI1287" s="114"/>
      <c r="AJ1287" s="114"/>
      <c r="AK1287" s="114"/>
      <c r="AL1287" s="114"/>
      <c r="AM1287" s="114"/>
      <c r="AN1287" s="114"/>
      <c r="AO1287" s="114"/>
      <c r="AP1287" s="114"/>
      <c r="AQ1287" s="114"/>
      <c r="AR1287" s="114"/>
      <c r="AS1287" s="114"/>
      <c r="AT1287" s="114"/>
      <c r="AU1287" s="114"/>
      <c r="AV1287" s="114"/>
      <c r="AW1287" s="114"/>
      <c r="AX1287" s="114"/>
      <c r="AY1287" s="114"/>
      <c r="AZ1287" s="114"/>
    </row>
    <row r="1288" spans="1:52">
      <c r="A1288" s="111"/>
      <c r="B1288" s="111"/>
      <c r="C1288" s="112"/>
      <c r="D1288" s="101"/>
      <c r="E1288" s="101"/>
      <c r="F1288" s="101"/>
      <c r="G1288" s="111"/>
      <c r="H1288" s="101"/>
      <c r="I1288" s="101"/>
      <c r="J1288" s="101"/>
      <c r="K1288" s="101"/>
      <c r="L1288" s="101"/>
      <c r="M1288" s="101"/>
      <c r="N1288" s="101"/>
      <c r="O1288" s="101"/>
      <c r="P1288" s="101"/>
      <c r="Q1288" s="101"/>
      <c r="R1288" s="101"/>
      <c r="S1288" s="101"/>
      <c r="T1288" s="101"/>
      <c r="U1288" s="101"/>
      <c r="V1288" s="101"/>
      <c r="W1288" s="101"/>
      <c r="X1288" s="101"/>
      <c r="Y1288" s="114"/>
      <c r="Z1288" s="114"/>
      <c r="AA1288" s="114"/>
      <c r="AB1288" s="114"/>
      <c r="AC1288" s="114"/>
      <c r="AD1288" s="114"/>
      <c r="AE1288" s="114"/>
      <c r="AF1288" s="114"/>
      <c r="AG1288" s="114"/>
      <c r="AH1288" s="114"/>
      <c r="AI1288" s="114"/>
      <c r="AJ1288" s="114"/>
      <c r="AK1288" s="114"/>
      <c r="AL1288" s="114"/>
      <c r="AM1288" s="114"/>
      <c r="AN1288" s="114"/>
      <c r="AO1288" s="114"/>
      <c r="AP1288" s="114"/>
      <c r="AQ1288" s="114"/>
      <c r="AR1288" s="114"/>
      <c r="AS1288" s="114"/>
      <c r="AT1288" s="114"/>
      <c r="AU1288" s="114"/>
      <c r="AV1288" s="114"/>
      <c r="AW1288" s="114"/>
      <c r="AX1288" s="114"/>
      <c r="AY1288" s="114"/>
      <c r="AZ1288" s="114"/>
    </row>
    <row r="1289" spans="1:52">
      <c r="A1289" s="111"/>
      <c r="B1289" s="111"/>
      <c r="C1289" s="112"/>
      <c r="D1289" s="101"/>
      <c r="E1289" s="101"/>
      <c r="F1289" s="101"/>
      <c r="G1289" s="111"/>
      <c r="H1289" s="101"/>
      <c r="I1289" s="101"/>
      <c r="J1289" s="101"/>
      <c r="K1289" s="101"/>
      <c r="L1289" s="101"/>
      <c r="M1289" s="101"/>
      <c r="N1289" s="101"/>
      <c r="O1289" s="101"/>
      <c r="P1289" s="101"/>
      <c r="Q1289" s="101"/>
      <c r="R1289" s="101"/>
      <c r="S1289" s="101"/>
      <c r="T1289" s="101"/>
      <c r="U1289" s="101"/>
      <c r="V1289" s="101"/>
      <c r="W1289" s="101"/>
      <c r="X1289" s="101"/>
      <c r="Y1289" s="114"/>
      <c r="Z1289" s="114"/>
      <c r="AA1289" s="114"/>
      <c r="AB1289" s="114"/>
      <c r="AC1289" s="114"/>
      <c r="AD1289" s="114"/>
      <c r="AE1289" s="114"/>
      <c r="AF1289" s="114"/>
      <c r="AG1289" s="114"/>
      <c r="AH1289" s="114"/>
      <c r="AI1289" s="114"/>
      <c r="AJ1289" s="114"/>
      <c r="AK1289" s="114"/>
      <c r="AL1289" s="114"/>
      <c r="AM1289" s="114"/>
      <c r="AN1289" s="114"/>
      <c r="AO1289" s="114"/>
      <c r="AP1289" s="114"/>
      <c r="AQ1289" s="114"/>
      <c r="AR1289" s="114"/>
      <c r="AS1289" s="114"/>
      <c r="AT1289" s="114"/>
      <c r="AU1289" s="114"/>
      <c r="AV1289" s="114"/>
      <c r="AW1289" s="114"/>
      <c r="AX1289" s="114"/>
      <c r="AY1289" s="114"/>
      <c r="AZ1289" s="114"/>
    </row>
    <row r="1290" spans="1:52">
      <c r="A1290" s="111"/>
      <c r="B1290" s="111"/>
      <c r="C1290" s="112"/>
      <c r="D1290" s="101"/>
      <c r="E1290" s="101"/>
      <c r="F1290" s="101"/>
      <c r="G1290" s="111"/>
      <c r="H1290" s="101"/>
      <c r="I1290" s="101"/>
      <c r="J1290" s="101"/>
      <c r="K1290" s="101"/>
      <c r="L1290" s="101"/>
      <c r="M1290" s="101"/>
      <c r="N1290" s="101"/>
      <c r="O1290" s="101"/>
      <c r="P1290" s="101"/>
      <c r="Q1290" s="101"/>
      <c r="R1290" s="101"/>
      <c r="S1290" s="101"/>
      <c r="T1290" s="101"/>
      <c r="U1290" s="101"/>
      <c r="V1290" s="101"/>
      <c r="W1290" s="101"/>
      <c r="X1290" s="101"/>
      <c r="Y1290" s="114"/>
      <c r="Z1290" s="114"/>
      <c r="AA1290" s="114"/>
      <c r="AB1290" s="114"/>
      <c r="AC1290" s="114"/>
      <c r="AD1290" s="114"/>
      <c r="AE1290" s="114"/>
      <c r="AF1290" s="114"/>
      <c r="AG1290" s="114"/>
      <c r="AH1290" s="114"/>
      <c r="AI1290" s="114"/>
      <c r="AJ1290" s="114"/>
      <c r="AK1290" s="114"/>
      <c r="AL1290" s="114"/>
      <c r="AM1290" s="114"/>
      <c r="AN1290" s="114"/>
      <c r="AO1290" s="114"/>
      <c r="AP1290" s="114"/>
      <c r="AQ1290" s="114"/>
      <c r="AR1290" s="114"/>
      <c r="AS1290" s="114"/>
      <c r="AT1290" s="114"/>
      <c r="AU1290" s="114"/>
      <c r="AV1290" s="114"/>
      <c r="AW1290" s="114"/>
      <c r="AX1290" s="114"/>
      <c r="AY1290" s="114"/>
      <c r="AZ1290" s="114"/>
    </row>
    <row r="1291" spans="1:52">
      <c r="A1291" s="111"/>
      <c r="B1291" s="111"/>
      <c r="C1291" s="112"/>
      <c r="D1291" s="101"/>
      <c r="E1291" s="101"/>
      <c r="F1291" s="101"/>
      <c r="G1291" s="111"/>
      <c r="H1291" s="101"/>
      <c r="I1291" s="101"/>
      <c r="J1291" s="101"/>
      <c r="K1291" s="101"/>
      <c r="L1291" s="101"/>
      <c r="M1291" s="101"/>
      <c r="N1291" s="101"/>
      <c r="O1291" s="101"/>
      <c r="P1291" s="101"/>
      <c r="Q1291" s="101"/>
      <c r="R1291" s="101"/>
      <c r="S1291" s="101"/>
      <c r="T1291" s="101"/>
      <c r="U1291" s="101"/>
      <c r="V1291" s="101"/>
      <c r="W1291" s="101"/>
      <c r="X1291" s="101"/>
      <c r="Y1291" s="114"/>
      <c r="Z1291" s="114"/>
      <c r="AA1291" s="114"/>
      <c r="AB1291" s="114"/>
      <c r="AC1291" s="114"/>
      <c r="AD1291" s="114"/>
      <c r="AE1291" s="114"/>
      <c r="AF1291" s="114"/>
      <c r="AG1291" s="114"/>
      <c r="AH1291" s="114"/>
      <c r="AI1291" s="114"/>
      <c r="AJ1291" s="114"/>
      <c r="AK1291" s="114"/>
      <c r="AL1291" s="114"/>
      <c r="AM1291" s="114"/>
      <c r="AN1291" s="114"/>
      <c r="AO1291" s="114"/>
      <c r="AP1291" s="114"/>
      <c r="AQ1291" s="114"/>
      <c r="AR1291" s="114"/>
      <c r="AS1291" s="114"/>
      <c r="AT1291" s="114"/>
      <c r="AU1291" s="114"/>
      <c r="AV1291" s="114"/>
      <c r="AW1291" s="114"/>
      <c r="AX1291" s="114"/>
      <c r="AY1291" s="114"/>
      <c r="AZ1291" s="114"/>
    </row>
    <row r="1292" spans="1:52">
      <c r="A1292" s="111"/>
      <c r="B1292" s="111"/>
      <c r="C1292" s="112"/>
      <c r="D1292" s="101"/>
      <c r="E1292" s="101"/>
      <c r="F1292" s="101"/>
      <c r="G1292" s="111"/>
      <c r="H1292" s="101"/>
      <c r="I1292" s="101"/>
      <c r="J1292" s="101"/>
      <c r="K1292" s="101"/>
      <c r="L1292" s="101"/>
      <c r="M1292" s="101"/>
      <c r="N1292" s="101"/>
      <c r="O1292" s="101"/>
      <c r="P1292" s="101"/>
      <c r="Q1292" s="101"/>
      <c r="R1292" s="101"/>
      <c r="S1292" s="101"/>
      <c r="T1292" s="101"/>
      <c r="U1292" s="101"/>
      <c r="V1292" s="101"/>
      <c r="W1292" s="101"/>
      <c r="X1292" s="101"/>
      <c r="Y1292" s="114"/>
      <c r="Z1292" s="114"/>
      <c r="AA1292" s="114"/>
      <c r="AB1292" s="114"/>
      <c r="AC1292" s="114"/>
      <c r="AD1292" s="114"/>
      <c r="AE1292" s="114"/>
      <c r="AF1292" s="114"/>
      <c r="AG1292" s="114"/>
      <c r="AH1292" s="114"/>
      <c r="AI1292" s="114"/>
      <c r="AJ1292" s="114"/>
      <c r="AK1292" s="114"/>
      <c r="AL1292" s="114"/>
      <c r="AM1292" s="114"/>
      <c r="AN1292" s="114"/>
      <c r="AO1292" s="114"/>
      <c r="AP1292" s="114"/>
      <c r="AQ1292" s="114"/>
      <c r="AR1292" s="114"/>
      <c r="AS1292" s="114"/>
      <c r="AT1292" s="114"/>
      <c r="AU1292" s="114"/>
      <c r="AV1292" s="114"/>
      <c r="AW1292" s="114"/>
      <c r="AX1292" s="114"/>
      <c r="AY1292" s="114"/>
      <c r="AZ1292" s="114"/>
    </row>
    <row r="1293" spans="1:52">
      <c r="A1293" s="111"/>
      <c r="B1293" s="111"/>
      <c r="C1293" s="112"/>
      <c r="D1293" s="101"/>
      <c r="E1293" s="101"/>
      <c r="F1293" s="101"/>
      <c r="G1293" s="111"/>
      <c r="H1293" s="101"/>
      <c r="I1293" s="101"/>
      <c r="J1293" s="101"/>
      <c r="K1293" s="101"/>
      <c r="L1293" s="101"/>
      <c r="M1293" s="101"/>
      <c r="N1293" s="101"/>
      <c r="O1293" s="101"/>
      <c r="P1293" s="101"/>
      <c r="Q1293" s="101"/>
      <c r="R1293" s="101"/>
      <c r="S1293" s="101"/>
      <c r="T1293" s="101"/>
      <c r="U1293" s="101"/>
      <c r="V1293" s="101"/>
      <c r="W1293" s="101"/>
      <c r="X1293" s="101"/>
      <c r="Y1293" s="114"/>
      <c r="Z1293" s="114"/>
      <c r="AA1293" s="114"/>
      <c r="AB1293" s="114"/>
      <c r="AC1293" s="114"/>
      <c r="AD1293" s="114"/>
      <c r="AE1293" s="114"/>
      <c r="AF1293" s="114"/>
      <c r="AG1293" s="114"/>
      <c r="AH1293" s="114"/>
      <c r="AI1293" s="114"/>
      <c r="AJ1293" s="114"/>
      <c r="AK1293" s="114"/>
      <c r="AL1293" s="114"/>
      <c r="AM1293" s="114"/>
      <c r="AN1293" s="114"/>
      <c r="AO1293" s="114"/>
      <c r="AP1293" s="114"/>
      <c r="AQ1293" s="114"/>
      <c r="AR1293" s="114"/>
      <c r="AS1293" s="114"/>
      <c r="AT1293" s="114"/>
      <c r="AU1293" s="114"/>
      <c r="AV1293" s="114"/>
      <c r="AW1293" s="114"/>
      <c r="AX1293" s="114"/>
      <c r="AY1293" s="114"/>
      <c r="AZ1293" s="114"/>
    </row>
    <row r="1294" spans="1:52">
      <c r="A1294" s="111"/>
      <c r="B1294" s="111"/>
      <c r="C1294" s="112"/>
      <c r="D1294" s="101"/>
      <c r="E1294" s="101"/>
      <c r="F1294" s="101"/>
      <c r="G1294" s="111"/>
      <c r="H1294" s="101"/>
      <c r="I1294" s="101"/>
      <c r="J1294" s="101"/>
      <c r="K1294" s="101"/>
      <c r="L1294" s="101"/>
      <c r="M1294" s="101"/>
      <c r="N1294" s="101"/>
      <c r="O1294" s="101"/>
      <c r="P1294" s="101"/>
      <c r="Q1294" s="101"/>
      <c r="R1294" s="101"/>
      <c r="S1294" s="101"/>
      <c r="T1294" s="101"/>
      <c r="U1294" s="101"/>
      <c r="V1294" s="101"/>
      <c r="W1294" s="101"/>
      <c r="X1294" s="101"/>
      <c r="Y1294" s="114"/>
      <c r="Z1294" s="114"/>
      <c r="AA1294" s="114"/>
      <c r="AB1294" s="114"/>
      <c r="AC1294" s="114"/>
      <c r="AD1294" s="114"/>
      <c r="AE1294" s="114"/>
      <c r="AF1294" s="114"/>
      <c r="AG1294" s="114"/>
      <c r="AH1294" s="114"/>
      <c r="AI1294" s="114"/>
      <c r="AJ1294" s="114"/>
      <c r="AK1294" s="114"/>
      <c r="AL1294" s="114"/>
      <c r="AM1294" s="114"/>
      <c r="AN1294" s="114"/>
      <c r="AO1294" s="114"/>
      <c r="AP1294" s="114"/>
      <c r="AQ1294" s="114"/>
      <c r="AR1294" s="114"/>
      <c r="AS1294" s="114"/>
      <c r="AT1294" s="114"/>
      <c r="AU1294" s="114"/>
      <c r="AV1294" s="114"/>
      <c r="AW1294" s="114"/>
      <c r="AX1294" s="114"/>
      <c r="AY1294" s="114"/>
      <c r="AZ1294" s="114"/>
    </row>
    <row r="1295" spans="1:52">
      <c r="A1295" s="111"/>
      <c r="B1295" s="111"/>
      <c r="C1295" s="112"/>
      <c r="D1295" s="101"/>
      <c r="E1295" s="101"/>
      <c r="F1295" s="101"/>
      <c r="G1295" s="111"/>
      <c r="H1295" s="101"/>
      <c r="I1295" s="101"/>
      <c r="J1295" s="101"/>
      <c r="K1295" s="101"/>
      <c r="L1295" s="101"/>
      <c r="M1295" s="101"/>
      <c r="N1295" s="101"/>
      <c r="O1295" s="101"/>
      <c r="P1295" s="101"/>
      <c r="Q1295" s="101"/>
      <c r="R1295" s="101"/>
      <c r="S1295" s="101"/>
      <c r="T1295" s="101"/>
      <c r="U1295" s="101"/>
      <c r="V1295" s="101"/>
      <c r="W1295" s="101"/>
      <c r="X1295" s="101"/>
      <c r="Y1295" s="114"/>
      <c r="Z1295" s="114"/>
      <c r="AA1295" s="114"/>
      <c r="AB1295" s="114"/>
      <c r="AC1295" s="114"/>
      <c r="AD1295" s="114"/>
      <c r="AE1295" s="114"/>
      <c r="AF1295" s="114"/>
      <c r="AG1295" s="114"/>
      <c r="AH1295" s="114"/>
      <c r="AI1295" s="114"/>
      <c r="AJ1295" s="114"/>
      <c r="AK1295" s="114"/>
      <c r="AL1295" s="114"/>
      <c r="AM1295" s="114"/>
      <c r="AN1295" s="114"/>
      <c r="AO1295" s="114"/>
      <c r="AP1295" s="114"/>
      <c r="AQ1295" s="114"/>
      <c r="AR1295" s="114"/>
      <c r="AS1295" s="114"/>
      <c r="AT1295" s="114"/>
      <c r="AU1295" s="114"/>
      <c r="AV1295" s="114"/>
      <c r="AW1295" s="114"/>
      <c r="AX1295" s="114"/>
      <c r="AY1295" s="114"/>
      <c r="AZ1295" s="114"/>
    </row>
    <row r="1296" spans="1:52">
      <c r="A1296" s="111"/>
      <c r="B1296" s="111"/>
      <c r="C1296" s="112"/>
      <c r="D1296" s="101"/>
      <c r="E1296" s="101"/>
      <c r="F1296" s="101"/>
      <c r="G1296" s="111"/>
      <c r="H1296" s="101"/>
      <c r="I1296" s="101"/>
      <c r="J1296" s="101"/>
      <c r="K1296" s="101"/>
      <c r="L1296" s="101"/>
      <c r="M1296" s="101"/>
      <c r="N1296" s="101"/>
      <c r="O1296" s="101"/>
      <c r="P1296" s="101"/>
      <c r="Q1296" s="101"/>
      <c r="R1296" s="101"/>
      <c r="S1296" s="101"/>
      <c r="T1296" s="101"/>
      <c r="U1296" s="101"/>
      <c r="V1296" s="101"/>
      <c r="W1296" s="101"/>
      <c r="X1296" s="101"/>
      <c r="Y1296" s="114"/>
      <c r="Z1296" s="114"/>
      <c r="AA1296" s="114"/>
      <c r="AB1296" s="114"/>
      <c r="AC1296" s="114"/>
      <c r="AD1296" s="114"/>
      <c r="AE1296" s="114"/>
      <c r="AF1296" s="114"/>
      <c r="AG1296" s="114"/>
      <c r="AH1296" s="114"/>
      <c r="AI1296" s="114"/>
      <c r="AJ1296" s="114"/>
      <c r="AK1296" s="114"/>
      <c r="AL1296" s="114"/>
      <c r="AM1296" s="114"/>
      <c r="AN1296" s="114"/>
      <c r="AO1296" s="114"/>
      <c r="AP1296" s="114"/>
      <c r="AQ1296" s="114"/>
      <c r="AR1296" s="114"/>
      <c r="AS1296" s="114"/>
      <c r="AT1296" s="114"/>
      <c r="AU1296" s="114"/>
      <c r="AV1296" s="114"/>
      <c r="AW1296" s="114"/>
      <c r="AX1296" s="114"/>
      <c r="AY1296" s="114"/>
      <c r="AZ1296" s="114"/>
    </row>
    <row r="1297" spans="1:52">
      <c r="A1297" s="111"/>
      <c r="B1297" s="111"/>
      <c r="C1297" s="112"/>
      <c r="D1297" s="101"/>
      <c r="E1297" s="101"/>
      <c r="F1297" s="101"/>
      <c r="G1297" s="111"/>
      <c r="H1297" s="101"/>
      <c r="I1297" s="101"/>
      <c r="J1297" s="101"/>
      <c r="K1297" s="101"/>
      <c r="L1297" s="101"/>
      <c r="M1297" s="101"/>
      <c r="N1297" s="101"/>
      <c r="O1297" s="101"/>
      <c r="P1297" s="101"/>
      <c r="Q1297" s="101"/>
      <c r="R1297" s="101"/>
      <c r="S1297" s="101"/>
      <c r="T1297" s="101"/>
      <c r="U1297" s="101"/>
      <c r="V1297" s="101"/>
      <c r="W1297" s="101"/>
      <c r="X1297" s="101"/>
      <c r="Y1297" s="114"/>
      <c r="Z1297" s="114"/>
      <c r="AA1297" s="114"/>
      <c r="AB1297" s="114"/>
      <c r="AC1297" s="114"/>
      <c r="AD1297" s="114"/>
      <c r="AE1297" s="114"/>
      <c r="AF1297" s="114"/>
      <c r="AG1297" s="114"/>
      <c r="AH1297" s="114"/>
      <c r="AI1297" s="114"/>
      <c r="AJ1297" s="114"/>
      <c r="AK1297" s="114"/>
      <c r="AL1297" s="114"/>
      <c r="AM1297" s="114"/>
      <c r="AN1297" s="114"/>
      <c r="AO1297" s="114"/>
      <c r="AP1297" s="114"/>
      <c r="AQ1297" s="114"/>
      <c r="AR1297" s="114"/>
      <c r="AS1297" s="114"/>
      <c r="AT1297" s="114"/>
      <c r="AU1297" s="114"/>
      <c r="AV1297" s="114"/>
      <c r="AW1297" s="114"/>
      <c r="AX1297" s="114"/>
      <c r="AY1297" s="114"/>
      <c r="AZ1297" s="114"/>
    </row>
    <row r="1298" spans="1:52">
      <c r="A1298" s="111"/>
      <c r="B1298" s="111"/>
      <c r="C1298" s="112"/>
      <c r="D1298" s="101"/>
      <c r="E1298" s="101"/>
      <c r="F1298" s="101"/>
      <c r="G1298" s="111"/>
      <c r="H1298" s="101"/>
      <c r="I1298" s="101"/>
      <c r="J1298" s="101"/>
      <c r="K1298" s="101"/>
      <c r="L1298" s="101"/>
      <c r="M1298" s="101"/>
      <c r="N1298" s="101"/>
      <c r="O1298" s="101"/>
      <c r="P1298" s="101"/>
      <c r="Q1298" s="101"/>
      <c r="R1298" s="101"/>
      <c r="S1298" s="101"/>
      <c r="T1298" s="101"/>
      <c r="U1298" s="101"/>
      <c r="V1298" s="101"/>
      <c r="W1298" s="101"/>
      <c r="X1298" s="101"/>
      <c r="Y1298" s="114"/>
      <c r="Z1298" s="114"/>
      <c r="AA1298" s="114"/>
      <c r="AB1298" s="114"/>
      <c r="AC1298" s="114"/>
      <c r="AD1298" s="114"/>
      <c r="AE1298" s="114"/>
      <c r="AF1298" s="114"/>
      <c r="AG1298" s="114"/>
      <c r="AH1298" s="114"/>
      <c r="AI1298" s="114"/>
      <c r="AJ1298" s="114"/>
      <c r="AK1298" s="114"/>
      <c r="AL1298" s="114"/>
      <c r="AM1298" s="114"/>
      <c r="AN1298" s="114"/>
      <c r="AO1298" s="114"/>
      <c r="AP1298" s="114"/>
      <c r="AQ1298" s="114"/>
      <c r="AR1298" s="114"/>
      <c r="AS1298" s="114"/>
      <c r="AT1298" s="114"/>
      <c r="AU1298" s="114"/>
      <c r="AV1298" s="114"/>
      <c r="AW1298" s="114"/>
      <c r="AX1298" s="114"/>
      <c r="AY1298" s="114"/>
      <c r="AZ1298" s="114"/>
    </row>
    <row r="1299" spans="1:52">
      <c r="A1299" s="111"/>
      <c r="B1299" s="111"/>
      <c r="C1299" s="112"/>
      <c r="D1299" s="101"/>
      <c r="E1299" s="101"/>
      <c r="F1299" s="101"/>
      <c r="G1299" s="111"/>
      <c r="H1299" s="101"/>
      <c r="I1299" s="101"/>
      <c r="J1299" s="101"/>
      <c r="K1299" s="101"/>
      <c r="L1299" s="101"/>
      <c r="M1299" s="101"/>
      <c r="N1299" s="101"/>
      <c r="O1299" s="101"/>
      <c r="P1299" s="101"/>
      <c r="Q1299" s="101"/>
      <c r="R1299" s="101"/>
      <c r="S1299" s="101"/>
      <c r="T1299" s="101"/>
      <c r="U1299" s="101"/>
      <c r="V1299" s="101"/>
      <c r="W1299" s="101"/>
      <c r="X1299" s="101"/>
      <c r="Y1299" s="114"/>
      <c r="Z1299" s="114"/>
      <c r="AA1299" s="114"/>
      <c r="AB1299" s="114"/>
      <c r="AC1299" s="114"/>
      <c r="AD1299" s="114"/>
      <c r="AE1299" s="114"/>
      <c r="AF1299" s="114"/>
      <c r="AG1299" s="114"/>
      <c r="AH1299" s="114"/>
      <c r="AI1299" s="114"/>
      <c r="AJ1299" s="114"/>
      <c r="AK1299" s="114"/>
      <c r="AL1299" s="114"/>
      <c r="AM1299" s="114"/>
      <c r="AN1299" s="114"/>
      <c r="AO1299" s="114"/>
      <c r="AP1299" s="114"/>
      <c r="AQ1299" s="114"/>
      <c r="AR1299" s="114"/>
      <c r="AS1299" s="114"/>
      <c r="AT1299" s="114"/>
      <c r="AU1299" s="114"/>
      <c r="AV1299" s="114"/>
      <c r="AW1299" s="114"/>
      <c r="AX1299" s="114"/>
      <c r="AY1299" s="114"/>
      <c r="AZ1299" s="114"/>
    </row>
    <row r="1300" spans="1:52">
      <c r="A1300" s="111"/>
      <c r="B1300" s="111"/>
      <c r="C1300" s="112"/>
      <c r="D1300" s="101"/>
      <c r="E1300" s="101"/>
      <c r="F1300" s="101"/>
      <c r="G1300" s="111"/>
      <c r="H1300" s="101"/>
      <c r="I1300" s="101"/>
      <c r="J1300" s="101"/>
      <c r="K1300" s="101"/>
      <c r="L1300" s="101"/>
      <c r="M1300" s="101"/>
      <c r="N1300" s="101"/>
      <c r="O1300" s="101"/>
      <c r="P1300" s="101"/>
      <c r="Q1300" s="101"/>
      <c r="R1300" s="101"/>
      <c r="S1300" s="101"/>
      <c r="T1300" s="101"/>
      <c r="U1300" s="101"/>
      <c r="V1300" s="101"/>
      <c r="W1300" s="101"/>
      <c r="X1300" s="101"/>
      <c r="Y1300" s="114"/>
      <c r="Z1300" s="114"/>
      <c r="AA1300" s="114"/>
      <c r="AB1300" s="114"/>
      <c r="AC1300" s="114"/>
      <c r="AD1300" s="114"/>
      <c r="AE1300" s="114"/>
      <c r="AF1300" s="114"/>
      <c r="AG1300" s="114"/>
      <c r="AH1300" s="114"/>
      <c r="AI1300" s="114"/>
      <c r="AJ1300" s="114"/>
      <c r="AK1300" s="114"/>
      <c r="AL1300" s="114"/>
      <c r="AM1300" s="114"/>
      <c r="AN1300" s="114"/>
      <c r="AO1300" s="114"/>
      <c r="AP1300" s="114"/>
      <c r="AQ1300" s="114"/>
      <c r="AR1300" s="114"/>
      <c r="AS1300" s="114"/>
      <c r="AT1300" s="114"/>
      <c r="AU1300" s="114"/>
      <c r="AV1300" s="114"/>
      <c r="AW1300" s="114"/>
      <c r="AX1300" s="114"/>
      <c r="AY1300" s="114"/>
      <c r="AZ1300" s="114"/>
    </row>
    <row r="1301" spans="1:52">
      <c r="A1301" s="111"/>
      <c r="B1301" s="111"/>
      <c r="C1301" s="112"/>
      <c r="D1301" s="101"/>
      <c r="E1301" s="101"/>
      <c r="F1301" s="101"/>
      <c r="G1301" s="111"/>
      <c r="H1301" s="101"/>
      <c r="I1301" s="101"/>
      <c r="J1301" s="101"/>
      <c r="K1301" s="101"/>
      <c r="L1301" s="101"/>
      <c r="M1301" s="101"/>
      <c r="N1301" s="101"/>
      <c r="O1301" s="101"/>
      <c r="P1301" s="101"/>
      <c r="Q1301" s="101"/>
      <c r="R1301" s="101"/>
      <c r="S1301" s="101"/>
      <c r="T1301" s="101"/>
      <c r="U1301" s="101"/>
      <c r="V1301" s="101"/>
      <c r="W1301" s="101"/>
      <c r="X1301" s="101"/>
      <c r="Y1301" s="114"/>
      <c r="Z1301" s="114"/>
      <c r="AA1301" s="114"/>
      <c r="AB1301" s="114"/>
      <c r="AC1301" s="114"/>
      <c r="AD1301" s="114"/>
      <c r="AE1301" s="114"/>
      <c r="AF1301" s="114"/>
      <c r="AG1301" s="114"/>
      <c r="AH1301" s="114"/>
      <c r="AI1301" s="114"/>
      <c r="AJ1301" s="114"/>
      <c r="AK1301" s="114"/>
      <c r="AL1301" s="114"/>
      <c r="AM1301" s="114"/>
      <c r="AN1301" s="114"/>
      <c r="AO1301" s="114"/>
      <c r="AP1301" s="114"/>
      <c r="AQ1301" s="114"/>
      <c r="AR1301" s="114"/>
      <c r="AS1301" s="114"/>
      <c r="AT1301" s="114"/>
      <c r="AU1301" s="114"/>
      <c r="AV1301" s="114"/>
      <c r="AW1301" s="114"/>
      <c r="AX1301" s="114"/>
      <c r="AY1301" s="114"/>
      <c r="AZ1301" s="114"/>
    </row>
    <row r="1302" spans="1:52">
      <c r="A1302" s="111"/>
      <c r="B1302" s="111"/>
      <c r="C1302" s="112"/>
      <c r="D1302" s="101"/>
      <c r="E1302" s="101"/>
      <c r="F1302" s="101"/>
      <c r="G1302" s="111"/>
      <c r="H1302" s="101"/>
      <c r="I1302" s="101"/>
      <c r="J1302" s="101"/>
      <c r="K1302" s="101"/>
      <c r="L1302" s="101"/>
      <c r="M1302" s="101"/>
      <c r="N1302" s="101"/>
      <c r="O1302" s="101"/>
      <c r="P1302" s="101"/>
      <c r="Q1302" s="101"/>
      <c r="R1302" s="101"/>
      <c r="S1302" s="101"/>
      <c r="T1302" s="101"/>
      <c r="U1302" s="101"/>
      <c r="V1302" s="101"/>
      <c r="W1302" s="101"/>
      <c r="X1302" s="101"/>
      <c r="Y1302" s="114"/>
      <c r="Z1302" s="114"/>
      <c r="AA1302" s="114"/>
      <c r="AB1302" s="114"/>
      <c r="AC1302" s="114"/>
      <c r="AD1302" s="114"/>
      <c r="AE1302" s="114"/>
      <c r="AF1302" s="114"/>
      <c r="AG1302" s="114"/>
      <c r="AH1302" s="114"/>
      <c r="AI1302" s="114"/>
      <c r="AJ1302" s="114"/>
      <c r="AK1302" s="114"/>
      <c r="AL1302" s="114"/>
      <c r="AM1302" s="114"/>
      <c r="AN1302" s="114"/>
      <c r="AO1302" s="114"/>
      <c r="AP1302" s="114"/>
      <c r="AQ1302" s="114"/>
      <c r="AR1302" s="114"/>
      <c r="AS1302" s="114"/>
      <c r="AT1302" s="114"/>
      <c r="AU1302" s="114"/>
      <c r="AV1302" s="114"/>
      <c r="AW1302" s="114"/>
      <c r="AX1302" s="114"/>
      <c r="AY1302" s="114"/>
      <c r="AZ1302" s="114"/>
    </row>
    <row r="1303" spans="1:52">
      <c r="A1303" s="111"/>
      <c r="B1303" s="111"/>
      <c r="C1303" s="112"/>
      <c r="D1303" s="101"/>
      <c r="E1303" s="101"/>
      <c r="F1303" s="101"/>
      <c r="G1303" s="111"/>
      <c r="H1303" s="101"/>
      <c r="I1303" s="101"/>
      <c r="J1303" s="101"/>
      <c r="K1303" s="101"/>
      <c r="L1303" s="101"/>
      <c r="M1303" s="101"/>
      <c r="N1303" s="101"/>
      <c r="O1303" s="101"/>
      <c r="P1303" s="101"/>
      <c r="Q1303" s="101"/>
      <c r="R1303" s="101"/>
      <c r="S1303" s="101"/>
      <c r="T1303" s="101"/>
      <c r="U1303" s="101"/>
      <c r="V1303" s="101"/>
      <c r="W1303" s="101"/>
      <c r="X1303" s="101"/>
      <c r="Y1303" s="114"/>
      <c r="Z1303" s="114"/>
      <c r="AA1303" s="114"/>
      <c r="AB1303" s="114"/>
      <c r="AC1303" s="114"/>
      <c r="AD1303" s="114"/>
      <c r="AE1303" s="114"/>
      <c r="AF1303" s="114"/>
      <c r="AG1303" s="114"/>
      <c r="AH1303" s="114"/>
      <c r="AI1303" s="114"/>
      <c r="AJ1303" s="114"/>
      <c r="AK1303" s="114"/>
      <c r="AL1303" s="114"/>
      <c r="AM1303" s="114"/>
      <c r="AN1303" s="114"/>
      <c r="AO1303" s="114"/>
      <c r="AP1303" s="114"/>
      <c r="AQ1303" s="114"/>
      <c r="AR1303" s="114"/>
      <c r="AS1303" s="114"/>
      <c r="AT1303" s="114"/>
      <c r="AU1303" s="114"/>
      <c r="AV1303" s="114"/>
      <c r="AW1303" s="114"/>
      <c r="AX1303" s="114"/>
      <c r="AY1303" s="114"/>
      <c r="AZ1303" s="114"/>
    </row>
    <row r="1304" spans="1:52">
      <c r="A1304" s="111"/>
      <c r="B1304" s="111"/>
      <c r="C1304" s="112"/>
      <c r="D1304" s="101"/>
      <c r="E1304" s="101"/>
      <c r="F1304" s="101"/>
      <c r="G1304" s="111"/>
      <c r="H1304" s="101"/>
      <c r="I1304" s="101"/>
      <c r="J1304" s="101"/>
      <c r="K1304" s="101"/>
      <c r="L1304" s="101"/>
      <c r="M1304" s="101"/>
      <c r="N1304" s="101"/>
      <c r="O1304" s="101"/>
      <c r="P1304" s="101"/>
      <c r="Q1304" s="101"/>
      <c r="R1304" s="101"/>
      <c r="S1304" s="101"/>
      <c r="T1304" s="101"/>
      <c r="U1304" s="101"/>
      <c r="V1304" s="101"/>
      <c r="W1304" s="101"/>
      <c r="X1304" s="101"/>
      <c r="Y1304" s="114"/>
      <c r="Z1304" s="114"/>
      <c r="AA1304" s="114"/>
      <c r="AB1304" s="114"/>
      <c r="AC1304" s="114"/>
      <c r="AD1304" s="114"/>
      <c r="AE1304" s="114"/>
      <c r="AF1304" s="114"/>
      <c r="AG1304" s="114"/>
      <c r="AH1304" s="114"/>
      <c r="AI1304" s="114"/>
      <c r="AJ1304" s="114"/>
      <c r="AK1304" s="114"/>
      <c r="AL1304" s="114"/>
      <c r="AM1304" s="114"/>
      <c r="AN1304" s="114"/>
      <c r="AO1304" s="114"/>
      <c r="AP1304" s="114"/>
      <c r="AQ1304" s="114"/>
      <c r="AR1304" s="114"/>
      <c r="AS1304" s="114"/>
      <c r="AT1304" s="114"/>
      <c r="AU1304" s="114"/>
      <c r="AV1304" s="114"/>
      <c r="AW1304" s="114"/>
      <c r="AX1304" s="114"/>
      <c r="AY1304" s="114"/>
      <c r="AZ1304" s="114"/>
    </row>
    <row r="1305" spans="1:52">
      <c r="A1305" s="111"/>
      <c r="B1305" s="111"/>
      <c r="C1305" s="112"/>
      <c r="D1305" s="101"/>
      <c r="E1305" s="101"/>
      <c r="F1305" s="101"/>
      <c r="G1305" s="111"/>
      <c r="H1305" s="101"/>
      <c r="I1305" s="101"/>
      <c r="J1305" s="101"/>
      <c r="K1305" s="101"/>
      <c r="L1305" s="101"/>
      <c r="M1305" s="101"/>
      <c r="N1305" s="101"/>
      <c r="O1305" s="101"/>
      <c r="P1305" s="101"/>
      <c r="Q1305" s="101"/>
      <c r="R1305" s="101"/>
      <c r="S1305" s="101"/>
      <c r="T1305" s="101"/>
      <c r="U1305" s="101"/>
      <c r="V1305" s="101"/>
      <c r="W1305" s="101"/>
      <c r="X1305" s="101"/>
      <c r="Y1305" s="114"/>
      <c r="Z1305" s="114"/>
      <c r="AA1305" s="114"/>
      <c r="AB1305" s="114"/>
      <c r="AC1305" s="114"/>
      <c r="AD1305" s="114"/>
      <c r="AE1305" s="114"/>
      <c r="AF1305" s="114"/>
      <c r="AG1305" s="114"/>
      <c r="AH1305" s="114"/>
      <c r="AI1305" s="114"/>
      <c r="AJ1305" s="114"/>
      <c r="AK1305" s="114"/>
      <c r="AL1305" s="114"/>
      <c r="AM1305" s="114"/>
      <c r="AN1305" s="114"/>
      <c r="AO1305" s="114"/>
      <c r="AP1305" s="114"/>
      <c r="AQ1305" s="114"/>
      <c r="AR1305" s="114"/>
      <c r="AS1305" s="114"/>
      <c r="AT1305" s="114"/>
      <c r="AU1305" s="114"/>
      <c r="AV1305" s="114"/>
      <c r="AW1305" s="114"/>
      <c r="AX1305" s="114"/>
      <c r="AY1305" s="114"/>
      <c r="AZ1305" s="114"/>
    </row>
    <row r="1306" spans="1:52">
      <c r="A1306" s="111"/>
      <c r="B1306" s="111"/>
      <c r="C1306" s="112"/>
      <c r="D1306" s="101"/>
      <c r="E1306" s="101"/>
      <c r="F1306" s="101"/>
      <c r="G1306" s="111"/>
      <c r="H1306" s="101"/>
      <c r="I1306" s="101"/>
      <c r="J1306" s="101"/>
      <c r="K1306" s="101"/>
      <c r="L1306" s="101"/>
      <c r="M1306" s="101"/>
      <c r="N1306" s="101"/>
      <c r="O1306" s="101"/>
      <c r="P1306" s="101"/>
      <c r="Q1306" s="101"/>
      <c r="R1306" s="101"/>
      <c r="S1306" s="101"/>
      <c r="T1306" s="101"/>
      <c r="U1306" s="101"/>
      <c r="V1306" s="101"/>
      <c r="W1306" s="101"/>
      <c r="X1306" s="101"/>
      <c r="Y1306" s="114"/>
      <c r="Z1306" s="114"/>
      <c r="AA1306" s="114"/>
      <c r="AB1306" s="114"/>
      <c r="AC1306" s="114"/>
      <c r="AD1306" s="114"/>
      <c r="AE1306" s="114"/>
      <c r="AF1306" s="114"/>
      <c r="AG1306" s="114"/>
      <c r="AH1306" s="114"/>
      <c r="AI1306" s="114"/>
      <c r="AJ1306" s="114"/>
      <c r="AK1306" s="114"/>
      <c r="AL1306" s="114"/>
      <c r="AM1306" s="114"/>
      <c r="AN1306" s="114"/>
      <c r="AO1306" s="114"/>
      <c r="AP1306" s="114"/>
      <c r="AQ1306" s="114"/>
      <c r="AR1306" s="114"/>
      <c r="AS1306" s="114"/>
      <c r="AT1306" s="114"/>
      <c r="AU1306" s="114"/>
      <c r="AV1306" s="114"/>
      <c r="AW1306" s="114"/>
      <c r="AX1306" s="114"/>
      <c r="AY1306" s="114"/>
      <c r="AZ1306" s="114"/>
    </row>
    <row r="1307" spans="1:52">
      <c r="A1307" s="111"/>
      <c r="B1307" s="111"/>
      <c r="C1307" s="112"/>
      <c r="D1307" s="101"/>
      <c r="E1307" s="101"/>
      <c r="F1307" s="101"/>
      <c r="G1307" s="111"/>
      <c r="H1307" s="101"/>
      <c r="I1307" s="101"/>
      <c r="J1307" s="101"/>
      <c r="K1307" s="101"/>
      <c r="L1307" s="101"/>
      <c r="M1307" s="101"/>
      <c r="N1307" s="101"/>
      <c r="O1307" s="101"/>
      <c r="P1307" s="101"/>
      <c r="Q1307" s="101"/>
      <c r="R1307" s="101"/>
      <c r="S1307" s="101"/>
      <c r="T1307" s="101"/>
      <c r="U1307" s="101"/>
      <c r="V1307" s="101"/>
      <c r="W1307" s="101"/>
      <c r="X1307" s="101"/>
      <c r="Y1307" s="114"/>
      <c r="Z1307" s="114"/>
      <c r="AA1307" s="114"/>
      <c r="AB1307" s="114"/>
      <c r="AC1307" s="114"/>
      <c r="AD1307" s="114"/>
      <c r="AE1307" s="114"/>
      <c r="AF1307" s="114"/>
      <c r="AG1307" s="114"/>
      <c r="AH1307" s="114"/>
      <c r="AI1307" s="114"/>
      <c r="AJ1307" s="114"/>
      <c r="AK1307" s="114"/>
      <c r="AL1307" s="114"/>
      <c r="AM1307" s="114"/>
      <c r="AN1307" s="114"/>
      <c r="AO1307" s="114"/>
      <c r="AP1307" s="114"/>
      <c r="AQ1307" s="114"/>
      <c r="AR1307" s="114"/>
      <c r="AS1307" s="114"/>
      <c r="AT1307" s="114"/>
      <c r="AU1307" s="114"/>
      <c r="AV1307" s="114"/>
      <c r="AW1307" s="114"/>
      <c r="AX1307" s="114"/>
      <c r="AY1307" s="114"/>
      <c r="AZ1307" s="114"/>
    </row>
    <row r="1308" spans="1:52">
      <c r="A1308" s="111"/>
      <c r="B1308" s="111"/>
      <c r="C1308" s="112"/>
      <c r="D1308" s="101"/>
      <c r="E1308" s="101"/>
      <c r="F1308" s="101"/>
      <c r="G1308" s="111"/>
      <c r="H1308" s="101"/>
      <c r="I1308" s="101"/>
      <c r="J1308" s="101"/>
      <c r="K1308" s="101"/>
      <c r="L1308" s="101"/>
      <c r="M1308" s="101"/>
      <c r="N1308" s="101"/>
      <c r="O1308" s="101"/>
      <c r="P1308" s="101"/>
      <c r="Q1308" s="101"/>
      <c r="R1308" s="101"/>
      <c r="S1308" s="101"/>
      <c r="T1308" s="101"/>
      <c r="U1308" s="101"/>
      <c r="V1308" s="101"/>
      <c r="W1308" s="101"/>
      <c r="X1308" s="101"/>
      <c r="Y1308" s="114"/>
      <c r="Z1308" s="114"/>
      <c r="AA1308" s="114"/>
      <c r="AB1308" s="114"/>
      <c r="AC1308" s="114"/>
      <c r="AD1308" s="114"/>
      <c r="AE1308" s="114"/>
      <c r="AF1308" s="114"/>
      <c r="AG1308" s="114"/>
      <c r="AH1308" s="114"/>
      <c r="AI1308" s="114"/>
      <c r="AJ1308" s="114"/>
      <c r="AK1308" s="114"/>
      <c r="AL1308" s="114"/>
      <c r="AM1308" s="114"/>
      <c r="AN1308" s="114"/>
      <c r="AO1308" s="114"/>
      <c r="AP1308" s="114"/>
      <c r="AQ1308" s="114"/>
      <c r="AR1308" s="114"/>
      <c r="AS1308" s="114"/>
      <c r="AT1308" s="114"/>
      <c r="AU1308" s="114"/>
      <c r="AV1308" s="114"/>
      <c r="AW1308" s="114"/>
      <c r="AX1308" s="114"/>
      <c r="AY1308" s="114"/>
      <c r="AZ1308" s="114"/>
    </row>
    <row r="1309" spans="1:52">
      <c r="A1309" s="111"/>
      <c r="B1309" s="111"/>
      <c r="C1309" s="112"/>
      <c r="D1309" s="101"/>
      <c r="E1309" s="101"/>
      <c r="F1309" s="101"/>
      <c r="G1309" s="111"/>
      <c r="H1309" s="101"/>
      <c r="I1309" s="101"/>
      <c r="J1309" s="101"/>
      <c r="K1309" s="101"/>
      <c r="L1309" s="101"/>
      <c r="M1309" s="101"/>
      <c r="N1309" s="101"/>
      <c r="O1309" s="101"/>
      <c r="P1309" s="101"/>
      <c r="Q1309" s="101"/>
      <c r="R1309" s="101"/>
      <c r="S1309" s="101"/>
      <c r="T1309" s="101"/>
      <c r="U1309" s="101"/>
      <c r="V1309" s="101"/>
      <c r="W1309" s="101"/>
      <c r="X1309" s="101"/>
      <c r="Y1309" s="114"/>
      <c r="Z1309" s="114"/>
      <c r="AA1309" s="114"/>
      <c r="AB1309" s="114"/>
      <c r="AC1309" s="114"/>
      <c r="AD1309" s="114"/>
      <c r="AE1309" s="114"/>
      <c r="AF1309" s="114"/>
      <c r="AG1309" s="114"/>
      <c r="AH1309" s="114"/>
      <c r="AI1309" s="114"/>
      <c r="AJ1309" s="114"/>
      <c r="AK1309" s="114"/>
      <c r="AL1309" s="114"/>
      <c r="AM1309" s="114"/>
      <c r="AN1309" s="114"/>
      <c r="AO1309" s="114"/>
      <c r="AP1309" s="114"/>
      <c r="AQ1309" s="114"/>
      <c r="AR1309" s="114"/>
      <c r="AS1309" s="114"/>
      <c r="AT1309" s="114"/>
      <c r="AU1309" s="114"/>
      <c r="AV1309" s="114"/>
      <c r="AW1309" s="114"/>
      <c r="AX1309" s="114"/>
      <c r="AY1309" s="114"/>
      <c r="AZ1309" s="114"/>
    </row>
    <row r="1310" spans="1:52">
      <c r="A1310" s="111"/>
      <c r="B1310" s="111"/>
      <c r="C1310" s="112"/>
      <c r="D1310" s="101"/>
      <c r="E1310" s="101"/>
      <c r="F1310" s="101"/>
      <c r="G1310" s="111"/>
      <c r="H1310" s="101"/>
      <c r="I1310" s="101"/>
      <c r="J1310" s="101"/>
      <c r="K1310" s="101"/>
      <c r="L1310" s="101"/>
      <c r="M1310" s="101"/>
      <c r="N1310" s="101"/>
      <c r="O1310" s="101"/>
      <c r="P1310" s="101"/>
      <c r="Q1310" s="101"/>
      <c r="R1310" s="101"/>
      <c r="S1310" s="101"/>
      <c r="T1310" s="101"/>
      <c r="U1310" s="101"/>
      <c r="V1310" s="101"/>
      <c r="W1310" s="101"/>
      <c r="X1310" s="101"/>
      <c r="Y1310" s="114"/>
      <c r="Z1310" s="114"/>
      <c r="AA1310" s="114"/>
      <c r="AB1310" s="114"/>
      <c r="AC1310" s="114"/>
      <c r="AD1310" s="114"/>
      <c r="AE1310" s="114"/>
      <c r="AF1310" s="114"/>
      <c r="AG1310" s="114"/>
      <c r="AH1310" s="114"/>
      <c r="AI1310" s="114"/>
      <c r="AJ1310" s="114"/>
      <c r="AK1310" s="114"/>
      <c r="AL1310" s="114"/>
      <c r="AM1310" s="114"/>
      <c r="AN1310" s="114"/>
      <c r="AO1310" s="114"/>
      <c r="AP1310" s="114"/>
      <c r="AQ1310" s="114"/>
      <c r="AR1310" s="114"/>
      <c r="AS1310" s="114"/>
      <c r="AT1310" s="114"/>
      <c r="AU1310" s="114"/>
      <c r="AV1310" s="114"/>
      <c r="AW1310" s="114"/>
      <c r="AX1310" s="114"/>
      <c r="AY1310" s="114"/>
      <c r="AZ1310" s="114"/>
    </row>
    <row r="1311" spans="1:52">
      <c r="A1311" s="111"/>
      <c r="B1311" s="111"/>
      <c r="C1311" s="112"/>
      <c r="D1311" s="101"/>
      <c r="E1311" s="101"/>
      <c r="F1311" s="101"/>
      <c r="G1311" s="111"/>
      <c r="H1311" s="101"/>
      <c r="I1311" s="101"/>
      <c r="J1311" s="101"/>
      <c r="K1311" s="101"/>
      <c r="L1311" s="101"/>
      <c r="M1311" s="101"/>
      <c r="N1311" s="101"/>
      <c r="O1311" s="101"/>
      <c r="P1311" s="101"/>
      <c r="Q1311" s="101"/>
      <c r="R1311" s="101"/>
      <c r="S1311" s="101"/>
      <c r="T1311" s="101"/>
      <c r="U1311" s="101"/>
      <c r="V1311" s="101"/>
      <c r="W1311" s="101"/>
      <c r="X1311" s="101"/>
      <c r="Y1311" s="114"/>
      <c r="Z1311" s="114"/>
      <c r="AA1311" s="114"/>
      <c r="AB1311" s="114"/>
      <c r="AC1311" s="114"/>
      <c r="AD1311" s="114"/>
      <c r="AE1311" s="114"/>
      <c r="AF1311" s="114"/>
      <c r="AG1311" s="114"/>
      <c r="AH1311" s="114"/>
      <c r="AI1311" s="114"/>
      <c r="AJ1311" s="114"/>
      <c r="AK1311" s="114"/>
      <c r="AL1311" s="114"/>
      <c r="AM1311" s="114"/>
      <c r="AN1311" s="114"/>
      <c r="AO1311" s="114"/>
      <c r="AP1311" s="114"/>
      <c r="AQ1311" s="114"/>
      <c r="AR1311" s="114"/>
      <c r="AS1311" s="114"/>
      <c r="AT1311" s="114"/>
      <c r="AU1311" s="114"/>
      <c r="AV1311" s="114"/>
      <c r="AW1311" s="114"/>
      <c r="AX1311" s="114"/>
      <c r="AY1311" s="114"/>
      <c r="AZ1311" s="114"/>
    </row>
    <row r="1312" spans="1:52">
      <c r="A1312" s="111"/>
      <c r="B1312" s="111"/>
      <c r="C1312" s="112"/>
      <c r="D1312" s="101"/>
      <c r="E1312" s="101"/>
      <c r="F1312" s="101"/>
      <c r="G1312" s="111"/>
      <c r="H1312" s="101"/>
      <c r="I1312" s="101"/>
      <c r="J1312" s="101"/>
      <c r="K1312" s="101"/>
      <c r="L1312" s="101"/>
      <c r="M1312" s="101"/>
      <c r="N1312" s="101"/>
      <c r="O1312" s="101"/>
      <c r="P1312" s="101"/>
      <c r="Q1312" s="101"/>
      <c r="R1312" s="101"/>
      <c r="S1312" s="101"/>
      <c r="T1312" s="101"/>
      <c r="U1312" s="101"/>
      <c r="V1312" s="101"/>
      <c r="W1312" s="101"/>
      <c r="X1312" s="101"/>
      <c r="Y1312" s="114"/>
      <c r="Z1312" s="114"/>
      <c r="AA1312" s="114"/>
      <c r="AB1312" s="114"/>
      <c r="AC1312" s="114"/>
      <c r="AD1312" s="114"/>
      <c r="AE1312" s="114"/>
      <c r="AF1312" s="114"/>
      <c r="AG1312" s="114"/>
      <c r="AH1312" s="114"/>
      <c r="AI1312" s="114"/>
      <c r="AJ1312" s="114"/>
      <c r="AK1312" s="114"/>
      <c r="AL1312" s="114"/>
      <c r="AM1312" s="114"/>
      <c r="AN1312" s="114"/>
      <c r="AO1312" s="114"/>
      <c r="AP1312" s="114"/>
      <c r="AQ1312" s="114"/>
      <c r="AR1312" s="114"/>
      <c r="AS1312" s="114"/>
      <c r="AT1312" s="114"/>
      <c r="AU1312" s="114"/>
      <c r="AV1312" s="114"/>
      <c r="AW1312" s="114"/>
      <c r="AX1312" s="114"/>
      <c r="AY1312" s="114"/>
      <c r="AZ1312" s="114"/>
    </row>
    <row r="1313" spans="1:52">
      <c r="A1313" s="111"/>
      <c r="B1313" s="111"/>
      <c r="C1313" s="112"/>
      <c r="D1313" s="101"/>
      <c r="E1313" s="101"/>
      <c r="F1313" s="101"/>
      <c r="G1313" s="111"/>
      <c r="H1313" s="101"/>
      <c r="I1313" s="101"/>
      <c r="J1313" s="101"/>
      <c r="K1313" s="101"/>
      <c r="L1313" s="101"/>
      <c r="M1313" s="101"/>
      <c r="N1313" s="101"/>
      <c r="O1313" s="101"/>
      <c r="P1313" s="101"/>
      <c r="Q1313" s="101"/>
      <c r="R1313" s="101"/>
      <c r="S1313" s="101"/>
      <c r="T1313" s="101"/>
      <c r="U1313" s="101"/>
      <c r="V1313" s="101"/>
      <c r="W1313" s="101"/>
      <c r="X1313" s="101"/>
      <c r="Y1313" s="114"/>
      <c r="Z1313" s="114"/>
      <c r="AA1313" s="114"/>
      <c r="AB1313" s="114"/>
      <c r="AC1313" s="114"/>
      <c r="AD1313" s="114"/>
      <c r="AE1313" s="114"/>
      <c r="AF1313" s="114"/>
      <c r="AG1313" s="114"/>
      <c r="AH1313" s="114"/>
      <c r="AI1313" s="114"/>
      <c r="AJ1313" s="114"/>
      <c r="AK1313" s="114"/>
      <c r="AL1313" s="114"/>
      <c r="AM1313" s="114"/>
      <c r="AN1313" s="114"/>
      <c r="AO1313" s="114"/>
      <c r="AP1313" s="114"/>
      <c r="AQ1313" s="114"/>
      <c r="AR1313" s="114"/>
      <c r="AS1313" s="114"/>
      <c r="AT1313" s="114"/>
      <c r="AU1313" s="114"/>
      <c r="AV1313" s="114"/>
      <c r="AW1313" s="114"/>
      <c r="AX1313" s="114"/>
      <c r="AY1313" s="114"/>
      <c r="AZ1313" s="114"/>
    </row>
    <row r="1314" spans="1:52">
      <c r="A1314" s="111"/>
      <c r="B1314" s="111"/>
      <c r="C1314" s="112"/>
      <c r="D1314" s="101"/>
      <c r="E1314" s="101"/>
      <c r="F1314" s="101"/>
      <c r="G1314" s="111"/>
      <c r="H1314" s="101"/>
      <c r="I1314" s="101"/>
      <c r="J1314" s="101"/>
      <c r="K1314" s="101"/>
      <c r="L1314" s="101"/>
      <c r="M1314" s="101"/>
      <c r="N1314" s="101"/>
      <c r="O1314" s="101"/>
      <c r="P1314" s="101"/>
      <c r="Q1314" s="101"/>
      <c r="R1314" s="101"/>
      <c r="S1314" s="101"/>
      <c r="T1314" s="101"/>
      <c r="U1314" s="101"/>
      <c r="V1314" s="101"/>
      <c r="W1314" s="101"/>
      <c r="X1314" s="101"/>
      <c r="Y1314" s="114"/>
      <c r="Z1314" s="114"/>
      <c r="AA1314" s="114"/>
      <c r="AB1314" s="114"/>
      <c r="AC1314" s="114"/>
      <c r="AD1314" s="114"/>
      <c r="AE1314" s="114"/>
      <c r="AF1314" s="114"/>
      <c r="AG1314" s="114"/>
      <c r="AH1314" s="114"/>
      <c r="AI1314" s="114"/>
      <c r="AJ1314" s="114"/>
      <c r="AK1314" s="114"/>
      <c r="AL1314" s="114"/>
      <c r="AM1314" s="114"/>
      <c r="AN1314" s="114"/>
      <c r="AO1314" s="114"/>
      <c r="AP1314" s="114"/>
      <c r="AQ1314" s="114"/>
      <c r="AR1314" s="114"/>
      <c r="AS1314" s="114"/>
      <c r="AT1314" s="114"/>
      <c r="AU1314" s="114"/>
      <c r="AV1314" s="114"/>
      <c r="AW1314" s="114"/>
      <c r="AX1314" s="114"/>
      <c r="AY1314" s="114"/>
      <c r="AZ1314" s="114"/>
    </row>
    <row r="1315" spans="1:52">
      <c r="A1315" s="111"/>
      <c r="B1315" s="111"/>
      <c r="C1315" s="112"/>
      <c r="D1315" s="101"/>
      <c r="E1315" s="101"/>
      <c r="F1315" s="101"/>
      <c r="G1315" s="111"/>
      <c r="H1315" s="101"/>
      <c r="I1315" s="101"/>
      <c r="J1315" s="101"/>
      <c r="K1315" s="101"/>
      <c r="L1315" s="101"/>
      <c r="M1315" s="101"/>
      <c r="N1315" s="101"/>
      <c r="O1315" s="101"/>
      <c r="P1315" s="101"/>
      <c r="Q1315" s="101"/>
      <c r="R1315" s="101"/>
      <c r="S1315" s="101"/>
      <c r="T1315" s="101"/>
      <c r="U1315" s="101"/>
      <c r="V1315" s="101"/>
      <c r="W1315" s="101"/>
      <c r="X1315" s="101"/>
      <c r="Y1315" s="114"/>
      <c r="Z1315" s="114"/>
      <c r="AA1315" s="114"/>
      <c r="AB1315" s="114"/>
      <c r="AC1315" s="114"/>
      <c r="AD1315" s="114"/>
      <c r="AE1315" s="114"/>
      <c r="AF1315" s="114"/>
      <c r="AG1315" s="114"/>
      <c r="AH1315" s="114"/>
      <c r="AI1315" s="114"/>
      <c r="AJ1315" s="114"/>
      <c r="AK1315" s="114"/>
      <c r="AL1315" s="114"/>
      <c r="AM1315" s="114"/>
      <c r="AN1315" s="114"/>
      <c r="AO1315" s="114"/>
      <c r="AP1315" s="114"/>
      <c r="AQ1315" s="114"/>
      <c r="AR1315" s="114"/>
      <c r="AS1315" s="114"/>
      <c r="AT1315" s="114"/>
      <c r="AU1315" s="114"/>
      <c r="AV1315" s="114"/>
      <c r="AW1315" s="114"/>
      <c r="AX1315" s="114"/>
      <c r="AY1315" s="114"/>
      <c r="AZ1315" s="114"/>
    </row>
    <row r="1316" spans="1:52">
      <c r="A1316" s="111"/>
      <c r="B1316" s="111"/>
      <c r="C1316" s="112"/>
      <c r="D1316" s="101"/>
      <c r="E1316" s="101"/>
      <c r="F1316" s="101"/>
      <c r="G1316" s="111"/>
      <c r="H1316" s="101"/>
      <c r="I1316" s="101"/>
      <c r="J1316" s="101"/>
      <c r="K1316" s="101"/>
      <c r="L1316" s="101"/>
      <c r="M1316" s="101"/>
      <c r="N1316" s="101"/>
      <c r="O1316" s="101"/>
      <c r="P1316" s="101"/>
      <c r="Q1316" s="101"/>
      <c r="R1316" s="101"/>
      <c r="S1316" s="101"/>
      <c r="T1316" s="101"/>
      <c r="U1316" s="101"/>
      <c r="V1316" s="101"/>
      <c r="W1316" s="101"/>
      <c r="X1316" s="101"/>
      <c r="Y1316" s="114"/>
      <c r="Z1316" s="114"/>
      <c r="AA1316" s="114"/>
      <c r="AB1316" s="114"/>
      <c r="AC1316" s="114"/>
      <c r="AD1316" s="114"/>
      <c r="AE1316" s="114"/>
      <c r="AF1316" s="114"/>
      <c r="AG1316" s="114"/>
      <c r="AH1316" s="114"/>
      <c r="AI1316" s="114"/>
      <c r="AJ1316" s="114"/>
      <c r="AK1316" s="114"/>
      <c r="AL1316" s="114"/>
      <c r="AM1316" s="114"/>
      <c r="AN1316" s="114"/>
      <c r="AO1316" s="114"/>
      <c r="AP1316" s="114"/>
      <c r="AQ1316" s="114"/>
      <c r="AR1316" s="114"/>
      <c r="AS1316" s="114"/>
      <c r="AT1316" s="114"/>
      <c r="AU1316" s="114"/>
      <c r="AV1316" s="114"/>
      <c r="AW1316" s="114"/>
      <c r="AX1316" s="114"/>
      <c r="AY1316" s="114"/>
      <c r="AZ1316" s="114"/>
    </row>
    <row r="1317" spans="1:52">
      <c r="A1317" s="111"/>
      <c r="B1317" s="111"/>
      <c r="C1317" s="112"/>
      <c r="D1317" s="101"/>
      <c r="E1317" s="101"/>
      <c r="F1317" s="101"/>
      <c r="G1317" s="111"/>
      <c r="H1317" s="101"/>
      <c r="I1317" s="101"/>
      <c r="J1317" s="101"/>
      <c r="K1317" s="101"/>
      <c r="L1317" s="101"/>
      <c r="M1317" s="101"/>
      <c r="N1317" s="101"/>
      <c r="O1317" s="101"/>
      <c r="P1317" s="101"/>
      <c r="Q1317" s="101"/>
      <c r="R1317" s="101"/>
      <c r="S1317" s="101"/>
      <c r="T1317" s="101"/>
      <c r="U1317" s="101"/>
      <c r="V1317" s="101"/>
      <c r="W1317" s="101"/>
      <c r="X1317" s="101"/>
      <c r="Y1317" s="114"/>
      <c r="Z1317" s="114"/>
      <c r="AA1317" s="114"/>
      <c r="AB1317" s="114"/>
      <c r="AC1317" s="114"/>
      <c r="AD1317" s="114"/>
      <c r="AE1317" s="114"/>
      <c r="AF1317" s="114"/>
      <c r="AG1317" s="114"/>
      <c r="AH1317" s="114"/>
      <c r="AI1317" s="114"/>
      <c r="AJ1317" s="114"/>
      <c r="AK1317" s="114"/>
      <c r="AL1317" s="114"/>
      <c r="AM1317" s="114"/>
      <c r="AN1317" s="114"/>
      <c r="AO1317" s="114"/>
      <c r="AP1317" s="114"/>
      <c r="AQ1317" s="114"/>
      <c r="AR1317" s="114"/>
      <c r="AS1317" s="114"/>
      <c r="AT1317" s="114"/>
      <c r="AU1317" s="114"/>
      <c r="AV1317" s="114"/>
      <c r="AW1317" s="114"/>
      <c r="AX1317" s="114"/>
      <c r="AY1317" s="114"/>
      <c r="AZ1317" s="114"/>
    </row>
    <row r="1318" spans="1:52">
      <c r="A1318" s="111"/>
      <c r="B1318" s="111"/>
      <c r="C1318" s="112"/>
      <c r="D1318" s="101"/>
      <c r="E1318" s="101"/>
      <c r="F1318" s="101"/>
      <c r="G1318" s="111"/>
      <c r="H1318" s="101"/>
      <c r="I1318" s="101"/>
      <c r="J1318" s="101"/>
      <c r="K1318" s="101"/>
      <c r="L1318" s="101"/>
      <c r="M1318" s="101"/>
      <c r="N1318" s="101"/>
      <c r="O1318" s="101"/>
      <c r="P1318" s="101"/>
      <c r="Q1318" s="101"/>
      <c r="R1318" s="101"/>
      <c r="S1318" s="101"/>
      <c r="T1318" s="101"/>
      <c r="U1318" s="101"/>
      <c r="V1318" s="101"/>
      <c r="W1318" s="101"/>
      <c r="X1318" s="101"/>
      <c r="Y1318" s="114"/>
      <c r="Z1318" s="114"/>
      <c r="AA1318" s="114"/>
      <c r="AB1318" s="114"/>
      <c r="AC1318" s="114"/>
      <c r="AD1318" s="114"/>
      <c r="AE1318" s="114"/>
      <c r="AF1318" s="114"/>
      <c r="AG1318" s="114"/>
      <c r="AH1318" s="114"/>
      <c r="AI1318" s="114"/>
      <c r="AJ1318" s="114"/>
      <c r="AK1318" s="114"/>
      <c r="AL1318" s="114"/>
      <c r="AM1318" s="114"/>
      <c r="AN1318" s="114"/>
      <c r="AO1318" s="114"/>
      <c r="AP1318" s="114"/>
      <c r="AQ1318" s="114"/>
      <c r="AR1318" s="114"/>
      <c r="AS1318" s="114"/>
      <c r="AT1318" s="114"/>
      <c r="AU1318" s="114"/>
      <c r="AV1318" s="114"/>
      <c r="AW1318" s="114"/>
      <c r="AX1318" s="114"/>
      <c r="AY1318" s="114"/>
      <c r="AZ1318" s="114"/>
    </row>
    <row r="1319" spans="1:52">
      <c r="A1319" s="111"/>
      <c r="B1319" s="111"/>
      <c r="C1319" s="112"/>
      <c r="D1319" s="101"/>
      <c r="E1319" s="101"/>
      <c r="F1319" s="101"/>
      <c r="G1319" s="111"/>
      <c r="H1319" s="101"/>
      <c r="I1319" s="101"/>
      <c r="J1319" s="101"/>
      <c r="K1319" s="101"/>
      <c r="L1319" s="101"/>
      <c r="M1319" s="101"/>
      <c r="N1319" s="101"/>
      <c r="O1319" s="101"/>
      <c r="P1319" s="101"/>
      <c r="Q1319" s="101"/>
      <c r="R1319" s="101"/>
      <c r="S1319" s="101"/>
      <c r="T1319" s="101"/>
      <c r="U1319" s="101"/>
      <c r="V1319" s="101"/>
      <c r="W1319" s="101"/>
      <c r="X1319" s="101"/>
      <c r="Y1319" s="114"/>
      <c r="Z1319" s="114"/>
      <c r="AA1319" s="114"/>
      <c r="AB1319" s="114"/>
      <c r="AC1319" s="114"/>
      <c r="AD1319" s="114"/>
      <c r="AE1319" s="114"/>
      <c r="AF1319" s="114"/>
      <c r="AG1319" s="114"/>
      <c r="AH1319" s="114"/>
      <c r="AI1319" s="114"/>
      <c r="AJ1319" s="114"/>
      <c r="AK1319" s="114"/>
      <c r="AL1319" s="114"/>
      <c r="AM1319" s="114"/>
      <c r="AN1319" s="114"/>
      <c r="AO1319" s="114"/>
      <c r="AP1319" s="114"/>
      <c r="AQ1319" s="114"/>
      <c r="AR1319" s="114"/>
      <c r="AS1319" s="114"/>
      <c r="AT1319" s="114"/>
      <c r="AU1319" s="114"/>
      <c r="AV1319" s="114"/>
      <c r="AW1319" s="114"/>
      <c r="AX1319" s="114"/>
      <c r="AY1319" s="114"/>
      <c r="AZ1319" s="114"/>
    </row>
    <row r="1320" spans="1:52">
      <c r="A1320" s="111"/>
      <c r="B1320" s="111"/>
      <c r="C1320" s="112"/>
      <c r="D1320" s="101"/>
      <c r="E1320" s="101"/>
      <c r="F1320" s="101"/>
      <c r="G1320" s="111"/>
      <c r="H1320" s="101"/>
      <c r="I1320" s="101"/>
      <c r="J1320" s="101"/>
      <c r="K1320" s="101"/>
      <c r="L1320" s="101"/>
      <c r="M1320" s="101"/>
      <c r="N1320" s="101"/>
      <c r="O1320" s="101"/>
      <c r="P1320" s="101"/>
      <c r="Q1320" s="101"/>
      <c r="R1320" s="101"/>
      <c r="S1320" s="101"/>
      <c r="T1320" s="101"/>
      <c r="U1320" s="101"/>
      <c r="V1320" s="101"/>
      <c r="W1320" s="101"/>
      <c r="X1320" s="101"/>
      <c r="Y1320" s="114"/>
      <c r="Z1320" s="114"/>
      <c r="AA1320" s="114"/>
      <c r="AB1320" s="114"/>
      <c r="AC1320" s="114"/>
      <c r="AD1320" s="114"/>
      <c r="AE1320" s="114"/>
      <c r="AF1320" s="114"/>
      <c r="AG1320" s="114"/>
      <c r="AH1320" s="114"/>
      <c r="AI1320" s="114"/>
      <c r="AJ1320" s="114"/>
      <c r="AK1320" s="114"/>
      <c r="AL1320" s="114"/>
      <c r="AM1320" s="114"/>
      <c r="AN1320" s="114"/>
      <c r="AO1320" s="114"/>
      <c r="AP1320" s="114"/>
      <c r="AQ1320" s="114"/>
      <c r="AR1320" s="114"/>
      <c r="AS1320" s="114"/>
      <c r="AT1320" s="114"/>
      <c r="AU1320" s="114"/>
      <c r="AV1320" s="114"/>
      <c r="AW1320" s="114"/>
      <c r="AX1320" s="114"/>
      <c r="AY1320" s="114"/>
      <c r="AZ1320" s="114"/>
    </row>
    <row r="1321" spans="1:52">
      <c r="A1321" s="111"/>
      <c r="B1321" s="111"/>
      <c r="C1321" s="112"/>
      <c r="D1321" s="101"/>
      <c r="E1321" s="101"/>
      <c r="F1321" s="101"/>
      <c r="G1321" s="111"/>
      <c r="H1321" s="101"/>
      <c r="I1321" s="101"/>
      <c r="J1321" s="101"/>
      <c r="K1321" s="101"/>
      <c r="L1321" s="101"/>
      <c r="M1321" s="101"/>
      <c r="N1321" s="101"/>
      <c r="O1321" s="101"/>
      <c r="P1321" s="101"/>
      <c r="Q1321" s="101"/>
      <c r="R1321" s="101"/>
      <c r="S1321" s="101"/>
      <c r="T1321" s="101"/>
      <c r="U1321" s="101"/>
      <c r="V1321" s="101"/>
      <c r="W1321" s="101"/>
      <c r="X1321" s="101"/>
      <c r="Y1321" s="114"/>
      <c r="Z1321" s="114"/>
      <c r="AA1321" s="114"/>
      <c r="AB1321" s="114"/>
      <c r="AC1321" s="114"/>
      <c r="AD1321" s="114"/>
      <c r="AE1321" s="114"/>
      <c r="AF1321" s="114"/>
      <c r="AG1321" s="114"/>
      <c r="AH1321" s="114"/>
      <c r="AI1321" s="114"/>
      <c r="AJ1321" s="114"/>
      <c r="AK1321" s="114"/>
      <c r="AL1321" s="114"/>
      <c r="AM1321" s="114"/>
      <c r="AN1321" s="114"/>
      <c r="AO1321" s="114"/>
      <c r="AP1321" s="114"/>
      <c r="AQ1321" s="114"/>
      <c r="AR1321" s="114"/>
      <c r="AS1321" s="114"/>
      <c r="AT1321" s="114"/>
      <c r="AU1321" s="114"/>
      <c r="AV1321" s="114"/>
      <c r="AW1321" s="114"/>
      <c r="AX1321" s="114"/>
      <c r="AY1321" s="114"/>
      <c r="AZ1321" s="114"/>
    </row>
    <row r="1322" spans="1:52">
      <c r="A1322" s="111"/>
      <c r="B1322" s="111"/>
      <c r="C1322" s="112"/>
      <c r="D1322" s="101"/>
      <c r="E1322" s="101"/>
      <c r="F1322" s="101"/>
      <c r="G1322" s="111"/>
      <c r="H1322" s="101"/>
      <c r="I1322" s="101"/>
      <c r="J1322" s="101"/>
      <c r="K1322" s="101"/>
      <c r="L1322" s="101"/>
      <c r="M1322" s="101"/>
      <c r="N1322" s="101"/>
      <c r="O1322" s="101"/>
      <c r="P1322" s="101"/>
      <c r="Q1322" s="101"/>
      <c r="R1322" s="101"/>
      <c r="S1322" s="101"/>
      <c r="T1322" s="101"/>
      <c r="U1322" s="101"/>
      <c r="V1322" s="101"/>
      <c r="W1322" s="101"/>
      <c r="X1322" s="101"/>
      <c r="Y1322" s="114"/>
      <c r="Z1322" s="114"/>
      <c r="AA1322" s="114"/>
      <c r="AB1322" s="114"/>
      <c r="AC1322" s="114"/>
      <c r="AD1322" s="114"/>
      <c r="AE1322" s="114"/>
      <c r="AF1322" s="114"/>
      <c r="AG1322" s="114"/>
      <c r="AH1322" s="114"/>
      <c r="AI1322" s="114"/>
      <c r="AJ1322" s="114"/>
      <c r="AK1322" s="114"/>
      <c r="AL1322" s="114"/>
      <c r="AM1322" s="114"/>
      <c r="AN1322" s="114"/>
      <c r="AO1322" s="114"/>
      <c r="AP1322" s="114"/>
      <c r="AQ1322" s="114"/>
      <c r="AR1322" s="114"/>
      <c r="AS1322" s="114"/>
      <c r="AT1322" s="114"/>
      <c r="AU1322" s="114"/>
      <c r="AV1322" s="114"/>
      <c r="AW1322" s="114"/>
      <c r="AX1322" s="114"/>
      <c r="AY1322" s="114"/>
      <c r="AZ1322" s="114"/>
    </row>
    <row r="1323" spans="1:52">
      <c r="A1323" s="111"/>
      <c r="B1323" s="111"/>
      <c r="C1323" s="112"/>
      <c r="D1323" s="101"/>
      <c r="E1323" s="101"/>
      <c r="F1323" s="101"/>
      <c r="G1323" s="111"/>
      <c r="H1323" s="101"/>
      <c r="I1323" s="101"/>
      <c r="J1323" s="101"/>
      <c r="K1323" s="101"/>
      <c r="L1323" s="101"/>
      <c r="M1323" s="101"/>
      <c r="N1323" s="101"/>
      <c r="O1323" s="101"/>
      <c r="P1323" s="101"/>
      <c r="Q1323" s="101"/>
      <c r="R1323" s="101"/>
      <c r="S1323" s="101"/>
      <c r="T1323" s="101"/>
      <c r="U1323" s="101"/>
      <c r="V1323" s="101"/>
      <c r="W1323" s="101"/>
      <c r="X1323" s="101"/>
      <c r="Y1323" s="114"/>
      <c r="Z1323" s="114"/>
      <c r="AA1323" s="114"/>
      <c r="AB1323" s="114"/>
      <c r="AC1323" s="114"/>
      <c r="AD1323" s="114"/>
      <c r="AE1323" s="114"/>
      <c r="AF1323" s="114"/>
      <c r="AG1323" s="114"/>
      <c r="AH1323" s="114"/>
      <c r="AI1323" s="114"/>
      <c r="AJ1323" s="114"/>
      <c r="AK1323" s="114"/>
      <c r="AL1323" s="114"/>
      <c r="AM1323" s="114"/>
      <c r="AN1323" s="114"/>
      <c r="AO1323" s="114"/>
      <c r="AP1323" s="114"/>
      <c r="AQ1323" s="114"/>
      <c r="AR1323" s="114"/>
      <c r="AS1323" s="114"/>
      <c r="AT1323" s="114"/>
      <c r="AU1323" s="114"/>
      <c r="AV1323" s="114"/>
      <c r="AW1323" s="114"/>
      <c r="AX1323" s="114"/>
      <c r="AY1323" s="114"/>
      <c r="AZ1323" s="114"/>
    </row>
    <row r="1324" spans="1:52">
      <c r="A1324" s="111"/>
      <c r="B1324" s="111"/>
      <c r="C1324" s="112"/>
      <c r="D1324" s="101"/>
      <c r="E1324" s="101"/>
      <c r="F1324" s="101"/>
      <c r="G1324" s="111"/>
      <c r="H1324" s="101"/>
      <c r="I1324" s="101"/>
      <c r="J1324" s="101"/>
      <c r="K1324" s="101"/>
      <c r="L1324" s="101"/>
      <c r="M1324" s="101"/>
      <c r="N1324" s="101"/>
      <c r="O1324" s="101"/>
      <c r="P1324" s="101"/>
      <c r="Q1324" s="101"/>
      <c r="R1324" s="101"/>
      <c r="S1324" s="101"/>
      <c r="T1324" s="101"/>
      <c r="U1324" s="101"/>
      <c r="V1324" s="101"/>
      <c r="W1324" s="101"/>
      <c r="X1324" s="101"/>
      <c r="Y1324" s="114"/>
      <c r="Z1324" s="114"/>
      <c r="AA1324" s="114"/>
      <c r="AB1324" s="114"/>
      <c r="AC1324" s="114"/>
      <c r="AD1324" s="114"/>
      <c r="AE1324" s="114"/>
      <c r="AF1324" s="114"/>
      <c r="AG1324" s="114"/>
      <c r="AH1324" s="114"/>
      <c r="AI1324" s="114"/>
      <c r="AJ1324" s="114"/>
      <c r="AK1324" s="114"/>
      <c r="AL1324" s="114"/>
      <c r="AM1324" s="114"/>
      <c r="AN1324" s="114"/>
      <c r="AO1324" s="114"/>
      <c r="AP1324" s="114"/>
      <c r="AQ1324" s="114"/>
      <c r="AR1324" s="114"/>
      <c r="AS1324" s="114"/>
      <c r="AT1324" s="114"/>
      <c r="AU1324" s="114"/>
      <c r="AV1324" s="114"/>
      <c r="AW1324" s="114"/>
      <c r="AX1324" s="114"/>
      <c r="AY1324" s="114"/>
      <c r="AZ1324" s="114"/>
    </row>
    <row r="1325" spans="1:52">
      <c r="A1325" s="111"/>
      <c r="B1325" s="111"/>
      <c r="C1325" s="112"/>
      <c r="D1325" s="101"/>
      <c r="E1325" s="101"/>
      <c r="F1325" s="101"/>
      <c r="G1325" s="111"/>
      <c r="H1325" s="101"/>
      <c r="I1325" s="101"/>
      <c r="J1325" s="101"/>
      <c r="K1325" s="101"/>
      <c r="L1325" s="101"/>
      <c r="M1325" s="101"/>
      <c r="N1325" s="101"/>
      <c r="O1325" s="101"/>
      <c r="P1325" s="101"/>
      <c r="Q1325" s="101"/>
      <c r="R1325" s="101"/>
      <c r="S1325" s="101"/>
      <c r="T1325" s="101"/>
      <c r="U1325" s="101"/>
      <c r="V1325" s="101"/>
      <c r="W1325" s="101"/>
      <c r="X1325" s="101"/>
      <c r="Y1325" s="114"/>
      <c r="Z1325" s="114"/>
      <c r="AA1325" s="114"/>
      <c r="AB1325" s="114"/>
      <c r="AC1325" s="114"/>
      <c r="AD1325" s="114"/>
      <c r="AE1325" s="114"/>
      <c r="AF1325" s="114"/>
      <c r="AG1325" s="114"/>
      <c r="AH1325" s="114"/>
      <c r="AI1325" s="114"/>
      <c r="AJ1325" s="114"/>
      <c r="AK1325" s="114"/>
      <c r="AL1325" s="114"/>
      <c r="AM1325" s="114"/>
      <c r="AN1325" s="114"/>
      <c r="AO1325" s="114"/>
      <c r="AP1325" s="114"/>
      <c r="AQ1325" s="114"/>
      <c r="AR1325" s="114"/>
      <c r="AS1325" s="114"/>
      <c r="AT1325" s="114"/>
      <c r="AU1325" s="114"/>
      <c r="AV1325" s="114"/>
      <c r="AW1325" s="114"/>
      <c r="AX1325" s="114"/>
      <c r="AY1325" s="114"/>
      <c r="AZ1325" s="114"/>
    </row>
    <row r="1326" spans="1:52">
      <c r="A1326" s="111"/>
      <c r="B1326" s="111"/>
      <c r="C1326" s="112"/>
      <c r="D1326" s="101"/>
      <c r="E1326" s="101"/>
      <c r="F1326" s="101"/>
      <c r="G1326" s="111"/>
      <c r="H1326" s="101"/>
      <c r="I1326" s="101"/>
      <c r="J1326" s="101"/>
      <c r="K1326" s="101"/>
      <c r="L1326" s="101"/>
      <c r="M1326" s="101"/>
      <c r="N1326" s="101"/>
      <c r="O1326" s="101"/>
      <c r="P1326" s="101"/>
      <c r="Q1326" s="101"/>
      <c r="R1326" s="101"/>
      <c r="S1326" s="101"/>
      <c r="T1326" s="101"/>
      <c r="U1326" s="101"/>
      <c r="V1326" s="101"/>
      <c r="W1326" s="101"/>
      <c r="X1326" s="101"/>
      <c r="Y1326" s="114"/>
      <c r="Z1326" s="114"/>
      <c r="AA1326" s="114"/>
      <c r="AB1326" s="114"/>
      <c r="AC1326" s="114"/>
      <c r="AD1326" s="114"/>
      <c r="AE1326" s="114"/>
      <c r="AF1326" s="114"/>
      <c r="AG1326" s="114"/>
      <c r="AH1326" s="114"/>
      <c r="AI1326" s="114"/>
      <c r="AJ1326" s="114"/>
      <c r="AK1326" s="114"/>
      <c r="AL1326" s="114"/>
      <c r="AM1326" s="114"/>
      <c r="AN1326" s="114"/>
      <c r="AO1326" s="114"/>
      <c r="AP1326" s="114"/>
      <c r="AQ1326" s="114"/>
      <c r="AR1326" s="114"/>
      <c r="AS1326" s="114"/>
      <c r="AT1326" s="114"/>
      <c r="AU1326" s="114"/>
      <c r="AV1326" s="114"/>
      <c r="AW1326" s="114"/>
      <c r="AX1326" s="114"/>
      <c r="AY1326" s="114"/>
      <c r="AZ1326" s="114"/>
    </row>
    <row r="1327" spans="1:52">
      <c r="A1327" s="111"/>
      <c r="B1327" s="111"/>
      <c r="C1327" s="112"/>
      <c r="D1327" s="101"/>
      <c r="E1327" s="101"/>
      <c r="F1327" s="101"/>
      <c r="G1327" s="111"/>
      <c r="H1327" s="101"/>
      <c r="I1327" s="101"/>
      <c r="J1327" s="101"/>
      <c r="K1327" s="101"/>
      <c r="L1327" s="101"/>
      <c r="M1327" s="101"/>
      <c r="N1327" s="101"/>
      <c r="O1327" s="101"/>
      <c r="P1327" s="101"/>
      <c r="Q1327" s="101"/>
      <c r="R1327" s="101"/>
      <c r="S1327" s="101"/>
      <c r="T1327" s="101"/>
      <c r="U1327" s="101"/>
      <c r="V1327" s="101"/>
      <c r="W1327" s="101"/>
      <c r="X1327" s="101"/>
      <c r="Y1327" s="114"/>
      <c r="Z1327" s="114"/>
      <c r="AA1327" s="114"/>
      <c r="AB1327" s="114"/>
      <c r="AC1327" s="114"/>
      <c r="AD1327" s="114"/>
      <c r="AE1327" s="114"/>
      <c r="AF1327" s="114"/>
      <c r="AG1327" s="114"/>
      <c r="AH1327" s="114"/>
      <c r="AI1327" s="114"/>
      <c r="AJ1327" s="114"/>
      <c r="AK1327" s="114"/>
      <c r="AL1327" s="114"/>
      <c r="AM1327" s="114"/>
      <c r="AN1327" s="114"/>
      <c r="AO1327" s="114"/>
      <c r="AP1327" s="114"/>
      <c r="AQ1327" s="114"/>
      <c r="AR1327" s="114"/>
      <c r="AS1327" s="114"/>
      <c r="AT1327" s="114"/>
      <c r="AU1327" s="114"/>
      <c r="AV1327" s="114"/>
      <c r="AW1327" s="114"/>
      <c r="AX1327" s="114"/>
      <c r="AY1327" s="114"/>
      <c r="AZ1327" s="114"/>
    </row>
    <row r="1328" spans="1:52">
      <c r="A1328" s="111"/>
      <c r="B1328" s="111"/>
      <c r="C1328" s="112"/>
      <c r="D1328" s="101"/>
      <c r="E1328" s="101"/>
      <c r="F1328" s="101"/>
      <c r="G1328" s="111"/>
      <c r="H1328" s="101"/>
      <c r="I1328" s="101"/>
      <c r="J1328" s="101"/>
      <c r="K1328" s="101"/>
      <c r="L1328" s="101"/>
      <c r="M1328" s="101"/>
      <c r="N1328" s="101"/>
      <c r="O1328" s="101"/>
      <c r="P1328" s="101"/>
      <c r="Q1328" s="101"/>
      <c r="R1328" s="101"/>
      <c r="S1328" s="101"/>
      <c r="T1328" s="101"/>
      <c r="U1328" s="101"/>
      <c r="V1328" s="101"/>
      <c r="W1328" s="101"/>
      <c r="X1328" s="101"/>
      <c r="Y1328" s="114"/>
      <c r="Z1328" s="114"/>
      <c r="AA1328" s="114"/>
      <c r="AB1328" s="114"/>
      <c r="AC1328" s="114"/>
      <c r="AD1328" s="114"/>
      <c r="AE1328" s="114"/>
      <c r="AF1328" s="114"/>
      <c r="AG1328" s="114"/>
      <c r="AH1328" s="114"/>
      <c r="AI1328" s="114"/>
      <c r="AJ1328" s="114"/>
      <c r="AK1328" s="114"/>
      <c r="AL1328" s="114"/>
      <c r="AM1328" s="114"/>
      <c r="AN1328" s="114"/>
      <c r="AO1328" s="114"/>
      <c r="AP1328" s="114"/>
      <c r="AQ1328" s="114"/>
      <c r="AR1328" s="114"/>
      <c r="AS1328" s="114"/>
      <c r="AT1328" s="114"/>
      <c r="AU1328" s="114"/>
      <c r="AV1328" s="114"/>
      <c r="AW1328" s="114"/>
      <c r="AX1328" s="114"/>
      <c r="AY1328" s="114"/>
      <c r="AZ1328" s="114"/>
    </row>
    <row r="1329" spans="1:52">
      <c r="A1329" s="111"/>
      <c r="B1329" s="111"/>
      <c r="C1329" s="112"/>
      <c r="D1329" s="101"/>
      <c r="E1329" s="101"/>
      <c r="F1329" s="101"/>
      <c r="G1329" s="111"/>
      <c r="H1329" s="101"/>
      <c r="I1329" s="101"/>
      <c r="J1329" s="101"/>
      <c r="K1329" s="101"/>
      <c r="L1329" s="101"/>
      <c r="M1329" s="101"/>
      <c r="N1329" s="101"/>
      <c r="O1329" s="101"/>
      <c r="P1329" s="101"/>
      <c r="Q1329" s="101"/>
      <c r="R1329" s="101"/>
      <c r="S1329" s="101"/>
      <c r="T1329" s="101"/>
      <c r="U1329" s="101"/>
      <c r="V1329" s="101"/>
      <c r="W1329" s="101"/>
      <c r="X1329" s="101"/>
      <c r="Y1329" s="114"/>
      <c r="Z1329" s="114"/>
      <c r="AA1329" s="114"/>
      <c r="AB1329" s="114"/>
      <c r="AC1329" s="114"/>
      <c r="AD1329" s="114"/>
      <c r="AE1329" s="114"/>
      <c r="AF1329" s="114"/>
      <c r="AG1329" s="114"/>
      <c r="AH1329" s="114"/>
      <c r="AI1329" s="114"/>
      <c r="AJ1329" s="114"/>
      <c r="AK1329" s="114"/>
      <c r="AL1329" s="114"/>
      <c r="AM1329" s="114"/>
      <c r="AN1329" s="114"/>
      <c r="AO1329" s="114"/>
      <c r="AP1329" s="114"/>
      <c r="AQ1329" s="114"/>
      <c r="AR1329" s="114"/>
      <c r="AS1329" s="114"/>
      <c r="AT1329" s="114"/>
      <c r="AU1329" s="114"/>
      <c r="AV1329" s="114"/>
      <c r="AW1329" s="114"/>
      <c r="AX1329" s="114"/>
      <c r="AY1329" s="114"/>
      <c r="AZ1329" s="114"/>
    </row>
    <row r="1330" spans="1:52">
      <c r="A1330" s="111"/>
      <c r="B1330" s="111"/>
      <c r="C1330" s="112"/>
      <c r="D1330" s="101"/>
      <c r="E1330" s="101"/>
      <c r="F1330" s="101"/>
      <c r="G1330" s="111"/>
      <c r="H1330" s="101"/>
      <c r="I1330" s="101"/>
      <c r="J1330" s="101"/>
      <c r="K1330" s="101"/>
      <c r="L1330" s="101"/>
      <c r="M1330" s="101"/>
      <c r="N1330" s="101"/>
      <c r="O1330" s="101"/>
      <c r="P1330" s="101"/>
      <c r="Q1330" s="101"/>
      <c r="R1330" s="101"/>
      <c r="S1330" s="101"/>
      <c r="T1330" s="101"/>
      <c r="U1330" s="101"/>
      <c r="V1330" s="101"/>
      <c r="W1330" s="101"/>
      <c r="X1330" s="101"/>
      <c r="Y1330" s="114"/>
      <c r="Z1330" s="114"/>
      <c r="AA1330" s="114"/>
      <c r="AB1330" s="114"/>
      <c r="AC1330" s="114"/>
      <c r="AD1330" s="114"/>
      <c r="AE1330" s="114"/>
      <c r="AF1330" s="114"/>
      <c r="AG1330" s="114"/>
      <c r="AH1330" s="114"/>
      <c r="AI1330" s="114"/>
      <c r="AJ1330" s="114"/>
      <c r="AK1330" s="114"/>
      <c r="AL1330" s="114"/>
      <c r="AM1330" s="114"/>
      <c r="AN1330" s="114"/>
      <c r="AO1330" s="114"/>
      <c r="AP1330" s="114"/>
      <c r="AQ1330" s="114"/>
      <c r="AR1330" s="114"/>
      <c r="AS1330" s="114"/>
      <c r="AT1330" s="114"/>
      <c r="AU1330" s="114"/>
      <c r="AV1330" s="114"/>
      <c r="AW1330" s="114"/>
      <c r="AX1330" s="114"/>
      <c r="AY1330" s="114"/>
      <c r="AZ1330" s="114"/>
    </row>
    <row r="1331" spans="1:52">
      <c r="A1331" s="111"/>
      <c r="B1331" s="111"/>
      <c r="C1331" s="112"/>
      <c r="D1331" s="101"/>
      <c r="E1331" s="101"/>
      <c r="F1331" s="101"/>
      <c r="G1331" s="111"/>
      <c r="H1331" s="101"/>
      <c r="I1331" s="101"/>
      <c r="J1331" s="101"/>
      <c r="K1331" s="101"/>
      <c r="L1331" s="101"/>
      <c r="M1331" s="101"/>
      <c r="N1331" s="101"/>
      <c r="O1331" s="101"/>
      <c r="P1331" s="101"/>
      <c r="Q1331" s="101"/>
      <c r="R1331" s="101"/>
      <c r="S1331" s="101"/>
      <c r="T1331" s="101"/>
      <c r="U1331" s="101"/>
      <c r="V1331" s="101"/>
      <c r="W1331" s="101"/>
      <c r="X1331" s="101"/>
      <c r="Y1331" s="114"/>
      <c r="Z1331" s="114"/>
      <c r="AA1331" s="114"/>
      <c r="AB1331" s="114"/>
      <c r="AC1331" s="114"/>
      <c r="AD1331" s="114"/>
      <c r="AE1331" s="114"/>
      <c r="AF1331" s="114"/>
      <c r="AG1331" s="114"/>
      <c r="AH1331" s="114"/>
      <c r="AI1331" s="114"/>
      <c r="AJ1331" s="114"/>
      <c r="AK1331" s="114"/>
      <c r="AL1331" s="114"/>
      <c r="AM1331" s="114"/>
      <c r="AN1331" s="114"/>
      <c r="AO1331" s="114"/>
      <c r="AP1331" s="114"/>
      <c r="AQ1331" s="114"/>
      <c r="AR1331" s="114"/>
      <c r="AS1331" s="114"/>
      <c r="AT1331" s="114"/>
      <c r="AU1331" s="114"/>
      <c r="AV1331" s="114"/>
      <c r="AW1331" s="114"/>
      <c r="AX1331" s="114"/>
      <c r="AY1331" s="114"/>
      <c r="AZ1331" s="114"/>
    </row>
    <row r="1332" spans="1:52">
      <c r="A1332" s="111"/>
      <c r="B1332" s="111"/>
      <c r="C1332" s="112"/>
      <c r="D1332" s="101"/>
      <c r="E1332" s="101"/>
      <c r="F1332" s="101"/>
      <c r="G1332" s="111"/>
      <c r="H1332" s="101"/>
      <c r="I1332" s="101"/>
      <c r="J1332" s="101"/>
      <c r="K1332" s="101"/>
      <c r="L1332" s="101"/>
      <c r="M1332" s="101"/>
      <c r="N1332" s="101"/>
      <c r="O1332" s="101"/>
      <c r="P1332" s="101"/>
      <c r="Q1332" s="101"/>
      <c r="R1332" s="101"/>
      <c r="S1332" s="101"/>
      <c r="T1332" s="101"/>
      <c r="U1332" s="101"/>
      <c r="V1332" s="101"/>
      <c r="W1332" s="101"/>
      <c r="X1332" s="101"/>
      <c r="Y1332" s="114"/>
      <c r="Z1332" s="114"/>
      <c r="AA1332" s="114"/>
      <c r="AB1332" s="114"/>
      <c r="AC1332" s="114"/>
      <c r="AD1332" s="114"/>
      <c r="AE1332" s="114"/>
      <c r="AF1332" s="114"/>
      <c r="AG1332" s="114"/>
      <c r="AH1332" s="114"/>
      <c r="AI1332" s="114"/>
      <c r="AJ1332" s="114"/>
      <c r="AK1332" s="114"/>
      <c r="AL1332" s="114"/>
      <c r="AM1332" s="114"/>
      <c r="AN1332" s="114"/>
      <c r="AO1332" s="114"/>
      <c r="AP1332" s="114"/>
      <c r="AQ1332" s="114"/>
      <c r="AR1332" s="114"/>
      <c r="AS1332" s="114"/>
      <c r="AT1332" s="114"/>
      <c r="AU1332" s="114"/>
      <c r="AV1332" s="114"/>
      <c r="AW1332" s="114"/>
      <c r="AX1332" s="114"/>
      <c r="AY1332" s="114"/>
      <c r="AZ1332" s="114"/>
    </row>
    <row r="1333" spans="1:52">
      <c r="A1333" s="111"/>
      <c r="B1333" s="111"/>
      <c r="C1333" s="112"/>
      <c r="D1333" s="101"/>
      <c r="E1333" s="101"/>
      <c r="F1333" s="101"/>
      <c r="G1333" s="111"/>
      <c r="H1333" s="101"/>
      <c r="I1333" s="101"/>
      <c r="J1333" s="101"/>
      <c r="K1333" s="101"/>
      <c r="L1333" s="101"/>
      <c r="M1333" s="101"/>
      <c r="N1333" s="101"/>
      <c r="O1333" s="101"/>
      <c r="P1333" s="101"/>
      <c r="Q1333" s="101"/>
      <c r="R1333" s="101"/>
      <c r="S1333" s="101"/>
      <c r="T1333" s="101"/>
      <c r="U1333" s="101"/>
      <c r="V1333" s="101"/>
      <c r="W1333" s="101"/>
      <c r="X1333" s="101"/>
      <c r="Y1333" s="114"/>
      <c r="Z1333" s="114"/>
      <c r="AA1333" s="114"/>
      <c r="AB1333" s="114"/>
      <c r="AC1333" s="114"/>
      <c r="AD1333" s="114"/>
      <c r="AE1333" s="114"/>
      <c r="AF1333" s="114"/>
      <c r="AG1333" s="114"/>
      <c r="AH1333" s="114"/>
      <c r="AI1333" s="114"/>
      <c r="AJ1333" s="114"/>
      <c r="AK1333" s="114"/>
      <c r="AL1333" s="114"/>
      <c r="AM1333" s="114"/>
      <c r="AN1333" s="114"/>
      <c r="AO1333" s="114"/>
      <c r="AP1333" s="114"/>
      <c r="AQ1333" s="114"/>
      <c r="AR1333" s="114"/>
      <c r="AS1333" s="114"/>
      <c r="AT1333" s="114"/>
      <c r="AU1333" s="114"/>
      <c r="AV1333" s="114"/>
      <c r="AW1333" s="114"/>
      <c r="AX1333" s="114"/>
      <c r="AY1333" s="114"/>
      <c r="AZ1333" s="114"/>
    </row>
    <row r="1334" spans="1:52">
      <c r="A1334" s="111"/>
      <c r="B1334" s="111"/>
      <c r="C1334" s="112"/>
      <c r="D1334" s="101"/>
      <c r="E1334" s="101"/>
      <c r="F1334" s="101"/>
      <c r="G1334" s="111"/>
      <c r="H1334" s="101"/>
      <c r="I1334" s="101"/>
      <c r="J1334" s="101"/>
      <c r="K1334" s="101"/>
      <c r="L1334" s="101"/>
      <c r="M1334" s="101"/>
      <c r="N1334" s="101"/>
      <c r="O1334" s="101"/>
      <c r="P1334" s="101"/>
      <c r="Q1334" s="101"/>
      <c r="R1334" s="101"/>
      <c r="S1334" s="101"/>
      <c r="T1334" s="101"/>
      <c r="U1334" s="101"/>
      <c r="V1334" s="101"/>
      <c r="W1334" s="101"/>
      <c r="X1334" s="101"/>
      <c r="Y1334" s="114"/>
      <c r="Z1334" s="114"/>
      <c r="AA1334" s="114"/>
      <c r="AB1334" s="114"/>
      <c r="AC1334" s="114"/>
      <c r="AD1334" s="114"/>
      <c r="AE1334" s="114"/>
      <c r="AF1334" s="114"/>
      <c r="AG1334" s="114"/>
      <c r="AH1334" s="114"/>
      <c r="AI1334" s="114"/>
      <c r="AJ1334" s="114"/>
      <c r="AK1334" s="114"/>
      <c r="AL1334" s="114"/>
      <c r="AM1334" s="114"/>
      <c r="AN1334" s="114"/>
      <c r="AO1334" s="114"/>
      <c r="AP1334" s="114"/>
      <c r="AQ1334" s="114"/>
      <c r="AR1334" s="114"/>
      <c r="AS1334" s="114"/>
      <c r="AT1334" s="114"/>
      <c r="AU1334" s="114"/>
      <c r="AV1334" s="114"/>
      <c r="AW1334" s="114"/>
      <c r="AX1334" s="114"/>
      <c r="AY1334" s="114"/>
      <c r="AZ1334" s="114"/>
    </row>
    <row r="1335" spans="1:52">
      <c r="A1335" s="111"/>
      <c r="B1335" s="111"/>
      <c r="C1335" s="112"/>
      <c r="D1335" s="101"/>
      <c r="E1335" s="101"/>
      <c r="F1335" s="101"/>
      <c r="G1335" s="111"/>
      <c r="H1335" s="101"/>
      <c r="I1335" s="101"/>
      <c r="J1335" s="101"/>
      <c r="K1335" s="101"/>
      <c r="L1335" s="101"/>
      <c r="M1335" s="101"/>
      <c r="N1335" s="101"/>
      <c r="O1335" s="101"/>
      <c r="P1335" s="101"/>
      <c r="Q1335" s="101"/>
      <c r="R1335" s="101"/>
      <c r="S1335" s="101"/>
      <c r="T1335" s="101"/>
      <c r="U1335" s="101"/>
      <c r="V1335" s="101"/>
      <c r="W1335" s="101"/>
      <c r="X1335" s="101"/>
      <c r="Y1335" s="114"/>
      <c r="Z1335" s="114"/>
      <c r="AA1335" s="114"/>
      <c r="AB1335" s="114"/>
      <c r="AC1335" s="114"/>
      <c r="AD1335" s="114"/>
      <c r="AE1335" s="114"/>
      <c r="AF1335" s="114"/>
      <c r="AG1335" s="114"/>
      <c r="AH1335" s="114"/>
      <c r="AI1335" s="114"/>
      <c r="AJ1335" s="114"/>
      <c r="AK1335" s="114"/>
      <c r="AL1335" s="114"/>
      <c r="AM1335" s="114"/>
      <c r="AN1335" s="114"/>
      <c r="AO1335" s="114"/>
      <c r="AP1335" s="114"/>
      <c r="AQ1335" s="114"/>
      <c r="AR1335" s="114"/>
      <c r="AS1335" s="114"/>
      <c r="AT1335" s="114"/>
      <c r="AU1335" s="114"/>
      <c r="AV1335" s="114"/>
      <c r="AW1335" s="114"/>
      <c r="AX1335" s="114"/>
      <c r="AY1335" s="114"/>
      <c r="AZ1335" s="114"/>
    </row>
    <row r="1336" spans="1:52">
      <c r="A1336" s="111"/>
      <c r="B1336" s="111"/>
      <c r="C1336" s="112"/>
      <c r="D1336" s="101"/>
      <c r="E1336" s="101"/>
      <c r="F1336" s="101"/>
      <c r="G1336" s="111"/>
      <c r="H1336" s="101"/>
      <c r="I1336" s="101"/>
      <c r="J1336" s="101"/>
      <c r="K1336" s="101"/>
      <c r="L1336" s="101"/>
      <c r="M1336" s="101"/>
      <c r="N1336" s="101"/>
      <c r="O1336" s="101"/>
      <c r="P1336" s="101"/>
      <c r="Q1336" s="101"/>
      <c r="R1336" s="101"/>
      <c r="S1336" s="101"/>
      <c r="T1336" s="101"/>
      <c r="U1336" s="101"/>
      <c r="V1336" s="101"/>
      <c r="W1336" s="101"/>
      <c r="X1336" s="101"/>
      <c r="Y1336" s="114"/>
      <c r="Z1336" s="114"/>
      <c r="AA1336" s="114"/>
      <c r="AB1336" s="114"/>
      <c r="AC1336" s="114"/>
      <c r="AD1336" s="114"/>
      <c r="AE1336" s="114"/>
      <c r="AF1336" s="114"/>
      <c r="AG1336" s="114"/>
      <c r="AH1336" s="114"/>
      <c r="AI1336" s="114"/>
      <c r="AJ1336" s="114"/>
      <c r="AK1336" s="114"/>
      <c r="AL1336" s="114"/>
      <c r="AM1336" s="114"/>
      <c r="AN1336" s="114"/>
      <c r="AO1336" s="114"/>
      <c r="AP1336" s="114"/>
      <c r="AQ1336" s="114"/>
      <c r="AR1336" s="114"/>
      <c r="AS1336" s="114"/>
      <c r="AT1336" s="114"/>
      <c r="AU1336" s="114"/>
      <c r="AV1336" s="114"/>
      <c r="AW1336" s="114"/>
      <c r="AX1336" s="114"/>
      <c r="AY1336" s="114"/>
      <c r="AZ1336" s="114"/>
    </row>
    <row r="1337" spans="1:52">
      <c r="A1337" s="111"/>
      <c r="B1337" s="111"/>
      <c r="C1337" s="112"/>
      <c r="D1337" s="101"/>
      <c r="E1337" s="101"/>
      <c r="F1337" s="101"/>
      <c r="G1337" s="111"/>
      <c r="H1337" s="101"/>
      <c r="I1337" s="101"/>
      <c r="J1337" s="101"/>
      <c r="K1337" s="101"/>
      <c r="L1337" s="101"/>
      <c r="M1337" s="101"/>
      <c r="N1337" s="101"/>
      <c r="O1337" s="101"/>
      <c r="P1337" s="101"/>
      <c r="Q1337" s="101"/>
      <c r="R1337" s="101"/>
      <c r="S1337" s="101"/>
      <c r="T1337" s="101"/>
      <c r="U1337" s="101"/>
      <c r="V1337" s="101"/>
      <c r="W1337" s="101"/>
      <c r="X1337" s="101"/>
      <c r="Y1337" s="114"/>
      <c r="Z1337" s="114"/>
      <c r="AA1337" s="114"/>
      <c r="AB1337" s="114"/>
      <c r="AC1337" s="114"/>
      <c r="AD1337" s="114"/>
      <c r="AE1337" s="114"/>
      <c r="AF1337" s="114"/>
      <c r="AG1337" s="114"/>
      <c r="AH1337" s="114"/>
      <c r="AI1337" s="114"/>
      <c r="AJ1337" s="114"/>
      <c r="AK1337" s="114"/>
      <c r="AL1337" s="114"/>
      <c r="AM1337" s="114"/>
      <c r="AN1337" s="114"/>
      <c r="AO1337" s="114"/>
      <c r="AP1337" s="114"/>
      <c r="AQ1337" s="114"/>
      <c r="AR1337" s="114"/>
      <c r="AS1337" s="114"/>
      <c r="AT1337" s="114"/>
      <c r="AU1337" s="114"/>
      <c r="AV1337" s="114"/>
      <c r="AW1337" s="114"/>
      <c r="AX1337" s="114"/>
      <c r="AY1337" s="114"/>
      <c r="AZ1337" s="114"/>
    </row>
    <row r="1338" spans="1:52">
      <c r="A1338" s="111"/>
      <c r="B1338" s="111"/>
      <c r="C1338" s="112"/>
      <c r="D1338" s="101"/>
      <c r="E1338" s="101"/>
      <c r="F1338" s="101"/>
      <c r="G1338" s="111"/>
      <c r="H1338" s="101"/>
      <c r="I1338" s="101"/>
      <c r="J1338" s="101"/>
      <c r="K1338" s="101"/>
      <c r="L1338" s="101"/>
      <c r="M1338" s="101"/>
      <c r="N1338" s="101"/>
      <c r="O1338" s="101"/>
      <c r="P1338" s="101"/>
      <c r="Q1338" s="101"/>
      <c r="R1338" s="101"/>
      <c r="S1338" s="101"/>
      <c r="T1338" s="101"/>
      <c r="U1338" s="101"/>
      <c r="V1338" s="101"/>
      <c r="W1338" s="101"/>
      <c r="X1338" s="101"/>
      <c r="Y1338" s="114"/>
      <c r="Z1338" s="114"/>
      <c r="AA1338" s="114"/>
      <c r="AB1338" s="114"/>
      <c r="AC1338" s="114"/>
      <c r="AD1338" s="114"/>
      <c r="AE1338" s="114"/>
      <c r="AF1338" s="114"/>
      <c r="AG1338" s="114"/>
      <c r="AH1338" s="114"/>
      <c r="AI1338" s="114"/>
      <c r="AJ1338" s="114"/>
      <c r="AK1338" s="114"/>
      <c r="AL1338" s="114"/>
      <c r="AM1338" s="114"/>
      <c r="AN1338" s="114"/>
      <c r="AO1338" s="114"/>
      <c r="AP1338" s="114"/>
      <c r="AQ1338" s="114"/>
      <c r="AR1338" s="114"/>
      <c r="AS1338" s="114"/>
      <c r="AT1338" s="114"/>
      <c r="AU1338" s="114"/>
      <c r="AV1338" s="114"/>
      <c r="AW1338" s="114"/>
      <c r="AX1338" s="114"/>
      <c r="AY1338" s="114"/>
      <c r="AZ1338" s="114"/>
    </row>
    <row r="1339" spans="1:52">
      <c r="A1339" s="111"/>
      <c r="B1339" s="111"/>
      <c r="C1339" s="112"/>
      <c r="D1339" s="101"/>
      <c r="E1339" s="101"/>
      <c r="F1339" s="101"/>
      <c r="G1339" s="111"/>
      <c r="H1339" s="101"/>
      <c r="I1339" s="101"/>
      <c r="J1339" s="101"/>
      <c r="K1339" s="101"/>
      <c r="L1339" s="101"/>
      <c r="M1339" s="101"/>
      <c r="N1339" s="101"/>
      <c r="O1339" s="101"/>
      <c r="P1339" s="101"/>
      <c r="Q1339" s="101"/>
      <c r="R1339" s="101"/>
      <c r="S1339" s="101"/>
      <c r="T1339" s="101"/>
      <c r="U1339" s="101"/>
      <c r="V1339" s="101"/>
      <c r="W1339" s="101"/>
      <c r="X1339" s="101"/>
      <c r="Y1339" s="114"/>
      <c r="Z1339" s="114"/>
      <c r="AA1339" s="114"/>
      <c r="AB1339" s="114"/>
      <c r="AC1339" s="114"/>
      <c r="AD1339" s="114"/>
      <c r="AE1339" s="114"/>
      <c r="AF1339" s="114"/>
      <c r="AG1339" s="114"/>
      <c r="AH1339" s="114"/>
      <c r="AI1339" s="114"/>
      <c r="AJ1339" s="114"/>
      <c r="AK1339" s="114"/>
      <c r="AL1339" s="114"/>
      <c r="AM1339" s="114"/>
      <c r="AN1339" s="114"/>
      <c r="AO1339" s="114"/>
      <c r="AP1339" s="114"/>
      <c r="AQ1339" s="114"/>
      <c r="AR1339" s="114"/>
      <c r="AS1339" s="114"/>
      <c r="AT1339" s="114"/>
      <c r="AU1339" s="114"/>
      <c r="AV1339" s="114"/>
      <c r="AW1339" s="114"/>
      <c r="AX1339" s="114"/>
      <c r="AY1339" s="114"/>
      <c r="AZ1339" s="114"/>
    </row>
    <row r="1340" spans="1:52">
      <c r="A1340" s="111"/>
      <c r="B1340" s="111"/>
      <c r="C1340" s="112"/>
      <c r="D1340" s="101"/>
      <c r="E1340" s="101"/>
      <c r="F1340" s="101"/>
      <c r="G1340" s="111"/>
      <c r="H1340" s="101"/>
      <c r="I1340" s="101"/>
      <c r="J1340" s="101"/>
      <c r="K1340" s="101"/>
      <c r="L1340" s="101"/>
      <c r="M1340" s="101"/>
      <c r="N1340" s="101"/>
      <c r="O1340" s="101"/>
      <c r="P1340" s="101"/>
      <c r="Q1340" s="101"/>
      <c r="R1340" s="101"/>
      <c r="S1340" s="101"/>
      <c r="T1340" s="101"/>
      <c r="U1340" s="101"/>
      <c r="V1340" s="101"/>
      <c r="W1340" s="101"/>
      <c r="X1340" s="101"/>
      <c r="Y1340" s="114"/>
      <c r="Z1340" s="114"/>
      <c r="AA1340" s="114"/>
      <c r="AB1340" s="114"/>
      <c r="AC1340" s="114"/>
      <c r="AD1340" s="114"/>
      <c r="AE1340" s="114"/>
      <c r="AF1340" s="114"/>
      <c r="AG1340" s="114"/>
      <c r="AH1340" s="114"/>
      <c r="AI1340" s="114"/>
      <c r="AJ1340" s="114"/>
      <c r="AK1340" s="114"/>
      <c r="AL1340" s="114"/>
      <c r="AM1340" s="114"/>
      <c r="AN1340" s="114"/>
      <c r="AO1340" s="114"/>
      <c r="AP1340" s="114"/>
      <c r="AQ1340" s="114"/>
      <c r="AR1340" s="114"/>
      <c r="AS1340" s="114"/>
      <c r="AT1340" s="114"/>
      <c r="AU1340" s="114"/>
      <c r="AV1340" s="114"/>
      <c r="AW1340" s="114"/>
      <c r="AX1340" s="114"/>
      <c r="AY1340" s="114"/>
      <c r="AZ1340" s="114"/>
    </row>
    <row r="1341" spans="1:52">
      <c r="A1341" s="111"/>
      <c r="B1341" s="111"/>
      <c r="C1341" s="112"/>
      <c r="D1341" s="101"/>
      <c r="E1341" s="101"/>
      <c r="F1341" s="101"/>
      <c r="G1341" s="111"/>
      <c r="H1341" s="101"/>
      <c r="I1341" s="101"/>
      <c r="J1341" s="101"/>
      <c r="K1341" s="101"/>
      <c r="L1341" s="101"/>
      <c r="M1341" s="101"/>
      <c r="N1341" s="101"/>
      <c r="O1341" s="101"/>
      <c r="P1341" s="101"/>
      <c r="Q1341" s="101"/>
      <c r="R1341" s="101"/>
      <c r="S1341" s="101"/>
      <c r="T1341" s="101"/>
      <c r="U1341" s="101"/>
      <c r="V1341" s="101"/>
      <c r="W1341" s="101"/>
      <c r="X1341" s="101"/>
      <c r="Y1341" s="114"/>
      <c r="Z1341" s="114"/>
      <c r="AA1341" s="114"/>
      <c r="AB1341" s="114"/>
      <c r="AC1341" s="114"/>
      <c r="AD1341" s="114"/>
      <c r="AE1341" s="114"/>
      <c r="AF1341" s="114"/>
      <c r="AG1341" s="114"/>
      <c r="AH1341" s="114"/>
      <c r="AI1341" s="114"/>
      <c r="AJ1341" s="114"/>
      <c r="AK1341" s="114"/>
      <c r="AL1341" s="114"/>
      <c r="AM1341" s="114"/>
      <c r="AN1341" s="114"/>
      <c r="AO1341" s="114"/>
      <c r="AP1341" s="114"/>
      <c r="AQ1341" s="114"/>
      <c r="AR1341" s="114"/>
      <c r="AS1341" s="114"/>
      <c r="AT1341" s="114"/>
      <c r="AU1341" s="114"/>
      <c r="AV1341" s="114"/>
      <c r="AW1341" s="114"/>
      <c r="AX1341" s="114"/>
      <c r="AY1341" s="114"/>
      <c r="AZ1341" s="114"/>
    </row>
    <row r="1342" spans="1:52">
      <c r="A1342" s="111"/>
      <c r="B1342" s="111"/>
      <c r="C1342" s="112"/>
      <c r="D1342" s="101"/>
      <c r="E1342" s="101"/>
      <c r="F1342" s="101"/>
      <c r="G1342" s="111"/>
      <c r="H1342" s="101"/>
      <c r="I1342" s="101"/>
      <c r="J1342" s="101"/>
      <c r="K1342" s="101"/>
      <c r="L1342" s="101"/>
      <c r="M1342" s="101"/>
      <c r="N1342" s="101"/>
      <c r="O1342" s="101"/>
      <c r="P1342" s="101"/>
      <c r="Q1342" s="101"/>
      <c r="R1342" s="101"/>
      <c r="S1342" s="101"/>
      <c r="T1342" s="101"/>
      <c r="U1342" s="101"/>
      <c r="V1342" s="101"/>
      <c r="W1342" s="101"/>
      <c r="X1342" s="101"/>
      <c r="Y1342" s="114"/>
      <c r="Z1342" s="114"/>
      <c r="AA1342" s="114"/>
      <c r="AB1342" s="114"/>
      <c r="AC1342" s="114"/>
      <c r="AD1342" s="114"/>
      <c r="AE1342" s="114"/>
      <c r="AF1342" s="114"/>
      <c r="AG1342" s="114"/>
      <c r="AH1342" s="114"/>
      <c r="AI1342" s="114"/>
      <c r="AJ1342" s="114"/>
      <c r="AK1342" s="114"/>
      <c r="AL1342" s="114"/>
      <c r="AM1342" s="114"/>
      <c r="AN1342" s="114"/>
      <c r="AO1342" s="114"/>
      <c r="AP1342" s="114"/>
      <c r="AQ1342" s="114"/>
      <c r="AR1342" s="114"/>
      <c r="AS1342" s="114"/>
      <c r="AT1342" s="114"/>
      <c r="AU1342" s="114"/>
      <c r="AV1342" s="114"/>
      <c r="AW1342" s="114"/>
      <c r="AX1342" s="114"/>
      <c r="AY1342" s="114"/>
      <c r="AZ1342" s="114"/>
    </row>
    <row r="1343" spans="1:52">
      <c r="A1343" s="111"/>
      <c r="B1343" s="111"/>
      <c r="C1343" s="112"/>
      <c r="D1343" s="101"/>
      <c r="E1343" s="101"/>
      <c r="F1343" s="101"/>
      <c r="G1343" s="111"/>
      <c r="H1343" s="101"/>
      <c r="I1343" s="101"/>
      <c r="J1343" s="101"/>
      <c r="K1343" s="101"/>
      <c r="L1343" s="101"/>
      <c r="M1343" s="101"/>
      <c r="N1343" s="101"/>
      <c r="O1343" s="101"/>
      <c r="P1343" s="101"/>
      <c r="Q1343" s="101"/>
      <c r="R1343" s="101"/>
      <c r="S1343" s="101"/>
      <c r="T1343" s="101"/>
      <c r="U1343" s="101"/>
      <c r="V1343" s="101"/>
      <c r="W1343" s="101"/>
      <c r="X1343" s="101"/>
      <c r="Y1343" s="114"/>
      <c r="Z1343" s="114"/>
      <c r="AA1343" s="114"/>
      <c r="AB1343" s="114"/>
      <c r="AC1343" s="114"/>
      <c r="AD1343" s="114"/>
      <c r="AE1343" s="114"/>
      <c r="AF1343" s="114"/>
      <c r="AG1343" s="114"/>
      <c r="AH1343" s="114"/>
      <c r="AI1343" s="114"/>
      <c r="AJ1343" s="114"/>
      <c r="AK1343" s="114"/>
      <c r="AL1343" s="114"/>
      <c r="AM1343" s="114"/>
      <c r="AN1343" s="114"/>
      <c r="AO1343" s="114"/>
      <c r="AP1343" s="114"/>
      <c r="AQ1343" s="114"/>
      <c r="AR1343" s="114"/>
      <c r="AS1343" s="114"/>
      <c r="AT1343" s="114"/>
      <c r="AU1343" s="114"/>
      <c r="AV1343" s="114"/>
      <c r="AW1343" s="114"/>
      <c r="AX1343" s="114"/>
      <c r="AY1343" s="114"/>
      <c r="AZ1343" s="114"/>
    </row>
    <row r="1344" spans="1:52">
      <c r="A1344" s="111"/>
      <c r="B1344" s="111"/>
      <c r="C1344" s="112"/>
      <c r="D1344" s="101"/>
      <c r="E1344" s="101"/>
      <c r="F1344" s="101"/>
      <c r="G1344" s="111"/>
      <c r="H1344" s="101"/>
      <c r="I1344" s="101"/>
      <c r="J1344" s="101"/>
      <c r="K1344" s="101"/>
      <c r="L1344" s="101"/>
      <c r="M1344" s="101"/>
      <c r="N1344" s="101"/>
      <c r="O1344" s="101"/>
      <c r="P1344" s="101"/>
      <c r="Q1344" s="101"/>
      <c r="R1344" s="101"/>
      <c r="S1344" s="101"/>
      <c r="T1344" s="101"/>
      <c r="U1344" s="101"/>
      <c r="V1344" s="101"/>
      <c r="W1344" s="101"/>
      <c r="X1344" s="101"/>
      <c r="Y1344" s="114"/>
      <c r="Z1344" s="114"/>
      <c r="AA1344" s="114"/>
      <c r="AB1344" s="114"/>
      <c r="AC1344" s="114"/>
      <c r="AD1344" s="114"/>
      <c r="AE1344" s="114"/>
      <c r="AF1344" s="114"/>
      <c r="AG1344" s="114"/>
      <c r="AH1344" s="114"/>
      <c r="AI1344" s="114"/>
      <c r="AJ1344" s="114"/>
      <c r="AK1344" s="114"/>
      <c r="AL1344" s="114"/>
      <c r="AM1344" s="114"/>
      <c r="AN1344" s="114"/>
      <c r="AO1344" s="114"/>
      <c r="AP1344" s="114"/>
      <c r="AQ1344" s="114"/>
      <c r="AR1344" s="114"/>
      <c r="AS1344" s="114"/>
      <c r="AT1344" s="114"/>
      <c r="AU1344" s="114"/>
      <c r="AV1344" s="114"/>
      <c r="AW1344" s="114"/>
      <c r="AX1344" s="114"/>
      <c r="AY1344" s="114"/>
      <c r="AZ1344" s="114"/>
    </row>
    <row r="1345" spans="1:52">
      <c r="A1345" s="111"/>
      <c r="B1345" s="111"/>
      <c r="C1345" s="112"/>
      <c r="D1345" s="101"/>
      <c r="E1345" s="101"/>
      <c r="F1345" s="101"/>
      <c r="G1345" s="111"/>
      <c r="H1345" s="101"/>
      <c r="I1345" s="101"/>
      <c r="J1345" s="101"/>
      <c r="K1345" s="101"/>
      <c r="L1345" s="101"/>
      <c r="M1345" s="101"/>
      <c r="N1345" s="101"/>
      <c r="O1345" s="101"/>
      <c r="P1345" s="101"/>
      <c r="Q1345" s="101"/>
      <c r="R1345" s="101"/>
      <c r="S1345" s="101"/>
      <c r="T1345" s="101"/>
      <c r="U1345" s="101"/>
      <c r="V1345" s="101"/>
      <c r="W1345" s="101"/>
      <c r="X1345" s="101"/>
      <c r="Y1345" s="114"/>
      <c r="Z1345" s="114"/>
      <c r="AA1345" s="114"/>
      <c r="AB1345" s="114"/>
      <c r="AC1345" s="114"/>
      <c r="AD1345" s="114"/>
      <c r="AE1345" s="114"/>
      <c r="AF1345" s="114"/>
      <c r="AG1345" s="114"/>
      <c r="AH1345" s="114"/>
      <c r="AI1345" s="114"/>
      <c r="AJ1345" s="114"/>
      <c r="AK1345" s="114"/>
      <c r="AL1345" s="114"/>
      <c r="AM1345" s="114"/>
      <c r="AN1345" s="114"/>
      <c r="AO1345" s="114"/>
      <c r="AP1345" s="114"/>
      <c r="AQ1345" s="114"/>
      <c r="AR1345" s="114"/>
      <c r="AS1345" s="114"/>
      <c r="AT1345" s="114"/>
      <c r="AU1345" s="114"/>
      <c r="AV1345" s="114"/>
      <c r="AW1345" s="114"/>
      <c r="AX1345" s="114"/>
      <c r="AY1345" s="114"/>
      <c r="AZ1345" s="114"/>
    </row>
    <row r="1346" spans="1:52">
      <c r="A1346" s="111"/>
      <c r="B1346" s="111"/>
      <c r="C1346" s="112"/>
      <c r="D1346" s="101"/>
      <c r="E1346" s="101"/>
      <c r="F1346" s="101"/>
      <c r="G1346" s="111"/>
      <c r="H1346" s="101"/>
      <c r="I1346" s="101"/>
      <c r="J1346" s="101"/>
      <c r="K1346" s="101"/>
      <c r="L1346" s="101"/>
      <c r="M1346" s="101"/>
      <c r="N1346" s="101"/>
      <c r="O1346" s="101"/>
      <c r="P1346" s="101"/>
      <c r="Q1346" s="101"/>
      <c r="R1346" s="101"/>
      <c r="S1346" s="101"/>
      <c r="T1346" s="101"/>
      <c r="U1346" s="101"/>
      <c r="V1346" s="101"/>
      <c r="W1346" s="101"/>
      <c r="X1346" s="101"/>
      <c r="Y1346" s="114"/>
      <c r="Z1346" s="114"/>
      <c r="AA1346" s="114"/>
      <c r="AB1346" s="114"/>
      <c r="AC1346" s="114"/>
      <c r="AD1346" s="114"/>
      <c r="AE1346" s="114"/>
      <c r="AF1346" s="114"/>
      <c r="AG1346" s="114"/>
      <c r="AH1346" s="114"/>
      <c r="AI1346" s="114"/>
      <c r="AJ1346" s="114"/>
      <c r="AK1346" s="114"/>
      <c r="AL1346" s="114"/>
      <c r="AM1346" s="114"/>
      <c r="AN1346" s="114"/>
      <c r="AO1346" s="114"/>
      <c r="AP1346" s="114"/>
      <c r="AQ1346" s="114"/>
      <c r="AR1346" s="114"/>
      <c r="AS1346" s="114"/>
      <c r="AT1346" s="114"/>
      <c r="AU1346" s="114"/>
      <c r="AV1346" s="114"/>
      <c r="AW1346" s="114"/>
      <c r="AX1346" s="114"/>
      <c r="AY1346" s="114"/>
      <c r="AZ1346" s="114"/>
    </row>
    <row r="1347" spans="1:52">
      <c r="A1347" s="111"/>
      <c r="B1347" s="111"/>
      <c r="C1347" s="112"/>
      <c r="D1347" s="101"/>
      <c r="E1347" s="101"/>
      <c r="F1347" s="101"/>
      <c r="G1347" s="111"/>
      <c r="H1347" s="101"/>
      <c r="I1347" s="101"/>
      <c r="J1347" s="101"/>
      <c r="K1347" s="101"/>
      <c r="L1347" s="101"/>
      <c r="M1347" s="101"/>
      <c r="N1347" s="101"/>
      <c r="O1347" s="101"/>
      <c r="P1347" s="101"/>
      <c r="Q1347" s="101"/>
      <c r="R1347" s="101"/>
      <c r="S1347" s="101"/>
      <c r="T1347" s="101"/>
      <c r="U1347" s="101"/>
      <c r="V1347" s="101"/>
      <c r="W1347" s="101"/>
      <c r="X1347" s="101"/>
      <c r="Y1347" s="114"/>
      <c r="Z1347" s="114"/>
      <c r="AA1347" s="114"/>
      <c r="AB1347" s="114"/>
      <c r="AC1347" s="114"/>
      <c r="AD1347" s="114"/>
      <c r="AE1347" s="114"/>
      <c r="AF1347" s="114"/>
      <c r="AG1347" s="114"/>
      <c r="AH1347" s="114"/>
      <c r="AI1347" s="114"/>
      <c r="AJ1347" s="114"/>
      <c r="AK1347" s="114"/>
      <c r="AL1347" s="114"/>
      <c r="AM1347" s="114"/>
      <c r="AN1347" s="114"/>
      <c r="AO1347" s="114"/>
      <c r="AP1347" s="114"/>
      <c r="AQ1347" s="114"/>
      <c r="AR1347" s="114"/>
      <c r="AS1347" s="114"/>
      <c r="AT1347" s="114"/>
      <c r="AU1347" s="114"/>
      <c r="AV1347" s="114"/>
      <c r="AW1347" s="114"/>
      <c r="AX1347" s="114"/>
      <c r="AY1347" s="114"/>
      <c r="AZ1347" s="114"/>
    </row>
    <row r="1348" spans="1:52">
      <c r="A1348" s="111"/>
      <c r="B1348" s="111"/>
      <c r="C1348" s="112"/>
      <c r="D1348" s="101"/>
      <c r="E1348" s="101"/>
      <c r="F1348" s="101"/>
      <c r="G1348" s="111"/>
      <c r="H1348" s="101"/>
      <c r="I1348" s="101"/>
      <c r="J1348" s="101"/>
      <c r="K1348" s="101"/>
      <c r="L1348" s="101"/>
      <c r="M1348" s="101"/>
      <c r="N1348" s="101"/>
      <c r="O1348" s="101"/>
      <c r="P1348" s="101"/>
      <c r="Q1348" s="101"/>
      <c r="R1348" s="101"/>
      <c r="S1348" s="101"/>
      <c r="T1348" s="101"/>
      <c r="U1348" s="101"/>
      <c r="V1348" s="101"/>
      <c r="W1348" s="101"/>
      <c r="X1348" s="101"/>
      <c r="Y1348" s="114"/>
      <c r="Z1348" s="114"/>
      <c r="AA1348" s="114"/>
      <c r="AB1348" s="114"/>
      <c r="AC1348" s="114"/>
      <c r="AD1348" s="114"/>
      <c r="AE1348" s="114"/>
      <c r="AF1348" s="114"/>
      <c r="AG1348" s="114"/>
      <c r="AH1348" s="114"/>
      <c r="AI1348" s="114"/>
      <c r="AJ1348" s="114"/>
      <c r="AK1348" s="114"/>
      <c r="AL1348" s="114"/>
      <c r="AM1348" s="114"/>
      <c r="AN1348" s="114"/>
      <c r="AO1348" s="114"/>
      <c r="AP1348" s="114"/>
      <c r="AQ1348" s="114"/>
      <c r="AR1348" s="114"/>
      <c r="AS1348" s="114"/>
      <c r="AT1348" s="114"/>
      <c r="AU1348" s="114"/>
      <c r="AV1348" s="114"/>
      <c r="AW1348" s="114"/>
      <c r="AX1348" s="114"/>
      <c r="AY1348" s="114"/>
      <c r="AZ1348" s="114"/>
    </row>
    <row r="1349" spans="1:52">
      <c r="A1349" s="111"/>
      <c r="B1349" s="111"/>
      <c r="C1349" s="112"/>
      <c r="D1349" s="101"/>
      <c r="E1349" s="101"/>
      <c r="F1349" s="101"/>
      <c r="G1349" s="111"/>
      <c r="H1349" s="101"/>
      <c r="I1349" s="101"/>
      <c r="J1349" s="101"/>
      <c r="K1349" s="101"/>
      <c r="L1349" s="101"/>
      <c r="M1349" s="101"/>
      <c r="N1349" s="101"/>
      <c r="O1349" s="101"/>
      <c r="P1349" s="101"/>
      <c r="Q1349" s="101"/>
      <c r="R1349" s="101"/>
      <c r="S1349" s="101"/>
      <c r="T1349" s="101"/>
      <c r="U1349" s="101"/>
      <c r="V1349" s="101"/>
      <c r="W1349" s="101"/>
      <c r="X1349" s="101"/>
      <c r="Y1349" s="114"/>
      <c r="Z1349" s="114"/>
      <c r="AA1349" s="114"/>
      <c r="AB1349" s="114"/>
      <c r="AC1349" s="114"/>
      <c r="AD1349" s="114"/>
      <c r="AE1349" s="114"/>
      <c r="AF1349" s="114"/>
      <c r="AG1349" s="114"/>
      <c r="AH1349" s="114"/>
      <c r="AI1349" s="114"/>
      <c r="AJ1349" s="114"/>
      <c r="AK1349" s="114"/>
      <c r="AL1349" s="114"/>
      <c r="AM1349" s="114"/>
      <c r="AN1349" s="114"/>
      <c r="AO1349" s="114"/>
      <c r="AP1349" s="114"/>
      <c r="AQ1349" s="114"/>
      <c r="AR1349" s="114"/>
      <c r="AS1349" s="114"/>
      <c r="AT1349" s="114"/>
      <c r="AU1349" s="114"/>
      <c r="AV1349" s="114"/>
      <c r="AW1349" s="114"/>
      <c r="AX1349" s="114"/>
      <c r="AY1349" s="114"/>
      <c r="AZ1349" s="114"/>
    </row>
    <row r="1350" spans="1:52">
      <c r="A1350" s="111"/>
      <c r="B1350" s="111"/>
      <c r="C1350" s="112"/>
      <c r="D1350" s="101"/>
      <c r="E1350" s="101"/>
      <c r="F1350" s="101"/>
      <c r="G1350" s="111"/>
      <c r="H1350" s="101"/>
      <c r="I1350" s="101"/>
      <c r="J1350" s="101"/>
      <c r="K1350" s="101"/>
      <c r="L1350" s="101"/>
      <c r="M1350" s="101"/>
      <c r="N1350" s="101"/>
      <c r="O1350" s="101"/>
      <c r="P1350" s="101"/>
      <c r="Q1350" s="101"/>
      <c r="R1350" s="101"/>
      <c r="S1350" s="101"/>
      <c r="T1350" s="101"/>
      <c r="U1350" s="101"/>
      <c r="V1350" s="101"/>
      <c r="W1350" s="101"/>
      <c r="X1350" s="101"/>
      <c r="Y1350" s="114"/>
      <c r="Z1350" s="114"/>
      <c r="AA1350" s="114"/>
      <c r="AB1350" s="114"/>
      <c r="AC1350" s="114"/>
      <c r="AD1350" s="114"/>
      <c r="AE1350" s="114"/>
      <c r="AF1350" s="114"/>
      <c r="AG1350" s="114"/>
      <c r="AH1350" s="114"/>
      <c r="AI1350" s="114"/>
      <c r="AJ1350" s="114"/>
      <c r="AK1350" s="114"/>
      <c r="AL1350" s="114"/>
      <c r="AM1350" s="114"/>
      <c r="AN1350" s="114"/>
      <c r="AO1350" s="114"/>
      <c r="AP1350" s="114"/>
      <c r="AQ1350" s="114"/>
      <c r="AR1350" s="114"/>
      <c r="AS1350" s="114"/>
      <c r="AT1350" s="114"/>
      <c r="AU1350" s="114"/>
      <c r="AV1350" s="114"/>
      <c r="AW1350" s="114"/>
      <c r="AX1350" s="114"/>
      <c r="AY1350" s="114"/>
      <c r="AZ1350" s="114"/>
    </row>
    <row r="1351" spans="1:52">
      <c r="A1351" s="111"/>
      <c r="B1351" s="111"/>
      <c r="C1351" s="112"/>
      <c r="D1351" s="101"/>
      <c r="E1351" s="101"/>
      <c r="F1351" s="101"/>
      <c r="G1351" s="111"/>
      <c r="H1351" s="101"/>
      <c r="I1351" s="101"/>
      <c r="J1351" s="101"/>
      <c r="K1351" s="101"/>
      <c r="L1351" s="101"/>
      <c r="M1351" s="101"/>
      <c r="N1351" s="101"/>
      <c r="O1351" s="101"/>
      <c r="P1351" s="101"/>
      <c r="Q1351" s="101"/>
      <c r="R1351" s="101"/>
      <c r="S1351" s="101"/>
      <c r="T1351" s="101"/>
      <c r="U1351" s="101"/>
      <c r="V1351" s="101"/>
      <c r="W1351" s="101"/>
      <c r="X1351" s="101"/>
      <c r="Y1351" s="114"/>
      <c r="Z1351" s="114"/>
      <c r="AA1351" s="114"/>
      <c r="AB1351" s="114"/>
      <c r="AC1351" s="114"/>
      <c r="AD1351" s="114"/>
      <c r="AE1351" s="114"/>
      <c r="AF1351" s="114"/>
      <c r="AG1351" s="114"/>
      <c r="AH1351" s="114"/>
      <c r="AI1351" s="114"/>
      <c r="AJ1351" s="114"/>
      <c r="AK1351" s="114"/>
      <c r="AL1351" s="114"/>
      <c r="AM1351" s="114"/>
      <c r="AN1351" s="114"/>
      <c r="AO1351" s="114"/>
      <c r="AP1351" s="114"/>
      <c r="AQ1351" s="114"/>
      <c r="AR1351" s="114"/>
      <c r="AS1351" s="114"/>
      <c r="AT1351" s="114"/>
      <c r="AU1351" s="114"/>
      <c r="AV1351" s="114"/>
      <c r="AW1351" s="114"/>
      <c r="AX1351" s="114"/>
      <c r="AY1351" s="114"/>
      <c r="AZ1351" s="114"/>
    </row>
    <row r="1352" spans="1:52">
      <c r="A1352" s="111"/>
      <c r="B1352" s="111"/>
      <c r="C1352" s="112"/>
      <c r="D1352" s="101"/>
      <c r="E1352" s="101"/>
      <c r="F1352" s="101"/>
      <c r="G1352" s="111"/>
      <c r="H1352" s="101"/>
      <c r="I1352" s="101"/>
      <c r="J1352" s="101"/>
      <c r="K1352" s="101"/>
      <c r="L1352" s="101"/>
      <c r="M1352" s="101"/>
      <c r="N1352" s="101"/>
      <c r="O1352" s="101"/>
      <c r="P1352" s="101"/>
      <c r="Q1352" s="101"/>
      <c r="R1352" s="101"/>
      <c r="S1352" s="101"/>
      <c r="T1352" s="101"/>
      <c r="U1352" s="101"/>
      <c r="V1352" s="101"/>
      <c r="W1352" s="101"/>
      <c r="X1352" s="101"/>
      <c r="Y1352" s="114"/>
      <c r="Z1352" s="114"/>
      <c r="AA1352" s="114"/>
      <c r="AB1352" s="114"/>
      <c r="AC1352" s="114"/>
      <c r="AD1352" s="114"/>
      <c r="AE1352" s="114"/>
      <c r="AF1352" s="114"/>
      <c r="AG1352" s="114"/>
      <c r="AH1352" s="114"/>
      <c r="AI1352" s="114"/>
      <c r="AJ1352" s="114"/>
      <c r="AK1352" s="114"/>
      <c r="AL1352" s="114"/>
      <c r="AM1352" s="114"/>
      <c r="AN1352" s="114"/>
      <c r="AO1352" s="114"/>
      <c r="AP1352" s="114"/>
      <c r="AQ1352" s="114"/>
      <c r="AR1352" s="114"/>
      <c r="AS1352" s="114"/>
      <c r="AT1352" s="114"/>
      <c r="AU1352" s="114"/>
      <c r="AV1352" s="114"/>
      <c r="AW1352" s="114"/>
      <c r="AX1352" s="114"/>
      <c r="AY1352" s="114"/>
      <c r="AZ1352" s="114"/>
    </row>
    <row r="1353" spans="1:52">
      <c r="A1353" s="111"/>
      <c r="B1353" s="111"/>
      <c r="C1353" s="112"/>
      <c r="D1353" s="101"/>
      <c r="E1353" s="101"/>
      <c r="F1353" s="101"/>
      <c r="G1353" s="111"/>
      <c r="H1353" s="101"/>
      <c r="I1353" s="101"/>
      <c r="J1353" s="101"/>
      <c r="K1353" s="101"/>
      <c r="L1353" s="101"/>
      <c r="M1353" s="101"/>
      <c r="N1353" s="101"/>
      <c r="O1353" s="101"/>
      <c r="P1353" s="101"/>
      <c r="Q1353" s="101"/>
      <c r="R1353" s="101"/>
      <c r="S1353" s="101"/>
      <c r="T1353" s="101"/>
      <c r="U1353" s="101"/>
      <c r="V1353" s="101"/>
      <c r="W1353" s="101"/>
      <c r="X1353" s="101"/>
      <c r="Y1353" s="114"/>
      <c r="Z1353" s="114"/>
      <c r="AA1353" s="114"/>
      <c r="AB1353" s="114"/>
      <c r="AC1353" s="114"/>
      <c r="AD1353" s="114"/>
      <c r="AE1353" s="114"/>
      <c r="AF1353" s="114"/>
      <c r="AG1353" s="114"/>
      <c r="AH1353" s="114"/>
      <c r="AI1353" s="114"/>
      <c r="AJ1353" s="114"/>
      <c r="AK1353" s="114"/>
      <c r="AL1353" s="114"/>
      <c r="AM1353" s="114"/>
      <c r="AN1353" s="114"/>
      <c r="AO1353" s="114"/>
      <c r="AP1353" s="114"/>
      <c r="AQ1353" s="114"/>
      <c r="AR1353" s="114"/>
      <c r="AS1353" s="114"/>
      <c r="AT1353" s="114"/>
      <c r="AU1353" s="114"/>
      <c r="AV1353" s="114"/>
      <c r="AW1353" s="114"/>
      <c r="AX1353" s="114"/>
      <c r="AY1353" s="114"/>
      <c r="AZ1353" s="114"/>
    </row>
    <row r="1354" spans="1:52">
      <c r="A1354" s="111"/>
      <c r="B1354" s="111"/>
      <c r="C1354" s="112"/>
      <c r="D1354" s="101"/>
      <c r="E1354" s="101"/>
      <c r="F1354" s="101"/>
      <c r="G1354" s="111"/>
      <c r="H1354" s="101"/>
      <c r="I1354" s="101"/>
      <c r="J1354" s="101"/>
      <c r="K1354" s="101"/>
      <c r="L1354" s="101"/>
      <c r="M1354" s="101"/>
      <c r="N1354" s="101"/>
      <c r="O1354" s="101"/>
      <c r="P1354" s="101"/>
      <c r="Q1354" s="101"/>
      <c r="R1354" s="101"/>
      <c r="S1354" s="101"/>
      <c r="T1354" s="101"/>
      <c r="U1354" s="101"/>
      <c r="V1354" s="101"/>
      <c r="W1354" s="101"/>
      <c r="X1354" s="101"/>
      <c r="Y1354" s="114"/>
      <c r="Z1354" s="114"/>
      <c r="AA1354" s="114"/>
      <c r="AB1354" s="114"/>
      <c r="AC1354" s="114"/>
      <c r="AD1354" s="114"/>
      <c r="AE1354" s="114"/>
      <c r="AF1354" s="114"/>
      <c r="AG1354" s="114"/>
      <c r="AH1354" s="114"/>
      <c r="AI1354" s="114"/>
      <c r="AJ1354" s="114"/>
      <c r="AK1354" s="114"/>
      <c r="AL1354" s="114"/>
      <c r="AM1354" s="114"/>
      <c r="AN1354" s="114"/>
      <c r="AO1354" s="114"/>
      <c r="AP1354" s="114"/>
      <c r="AQ1354" s="114"/>
      <c r="AR1354" s="114"/>
      <c r="AS1354" s="114"/>
      <c r="AT1354" s="114"/>
      <c r="AU1354" s="114"/>
      <c r="AV1354" s="114"/>
      <c r="AW1354" s="114"/>
      <c r="AX1354" s="114"/>
      <c r="AY1354" s="114"/>
      <c r="AZ1354" s="114"/>
    </row>
    <row r="1355" spans="1:52">
      <c r="A1355" s="111"/>
      <c r="B1355" s="111"/>
      <c r="C1355" s="112"/>
      <c r="D1355" s="101"/>
      <c r="E1355" s="101"/>
      <c r="F1355" s="101"/>
      <c r="G1355" s="111"/>
      <c r="H1355" s="101"/>
      <c r="I1355" s="101"/>
      <c r="J1355" s="101"/>
      <c r="K1355" s="101"/>
      <c r="L1355" s="101"/>
      <c r="M1355" s="101"/>
      <c r="N1355" s="101"/>
      <c r="O1355" s="101"/>
      <c r="P1355" s="101"/>
      <c r="Q1355" s="101"/>
      <c r="R1355" s="101"/>
      <c r="S1355" s="101"/>
      <c r="T1355" s="101"/>
      <c r="U1355" s="101"/>
      <c r="V1355" s="101"/>
      <c r="W1355" s="101"/>
      <c r="X1355" s="101"/>
      <c r="Y1355" s="114"/>
      <c r="Z1355" s="114"/>
      <c r="AA1355" s="114"/>
      <c r="AB1355" s="114"/>
      <c r="AC1355" s="114"/>
      <c r="AD1355" s="114"/>
      <c r="AE1355" s="114"/>
      <c r="AF1355" s="114"/>
      <c r="AG1355" s="114"/>
      <c r="AH1355" s="114"/>
      <c r="AI1355" s="114"/>
      <c r="AJ1355" s="114"/>
      <c r="AK1355" s="114"/>
      <c r="AL1355" s="114"/>
      <c r="AM1355" s="114"/>
      <c r="AN1355" s="114"/>
      <c r="AO1355" s="114"/>
      <c r="AP1355" s="114"/>
      <c r="AQ1355" s="114"/>
      <c r="AR1355" s="114"/>
      <c r="AS1355" s="114"/>
      <c r="AT1355" s="114"/>
      <c r="AU1355" s="114"/>
      <c r="AV1355" s="114"/>
      <c r="AW1355" s="114"/>
      <c r="AX1355" s="114"/>
      <c r="AY1355" s="114"/>
      <c r="AZ1355" s="114"/>
    </row>
    <row r="1356" spans="1:52">
      <c r="A1356" s="111"/>
      <c r="B1356" s="111"/>
      <c r="C1356" s="112"/>
      <c r="D1356" s="101"/>
      <c r="E1356" s="101"/>
      <c r="F1356" s="101"/>
      <c r="G1356" s="111"/>
      <c r="H1356" s="101"/>
      <c r="I1356" s="101"/>
      <c r="J1356" s="101"/>
      <c r="K1356" s="101"/>
      <c r="L1356" s="101"/>
      <c r="M1356" s="101"/>
      <c r="N1356" s="101"/>
      <c r="O1356" s="101"/>
      <c r="P1356" s="101"/>
      <c r="Q1356" s="101"/>
      <c r="R1356" s="101"/>
      <c r="S1356" s="101"/>
      <c r="T1356" s="101"/>
      <c r="U1356" s="101"/>
      <c r="V1356" s="101"/>
      <c r="W1356" s="101"/>
      <c r="X1356" s="101"/>
      <c r="Y1356" s="114"/>
      <c r="Z1356" s="114"/>
      <c r="AA1356" s="114"/>
      <c r="AB1356" s="114"/>
      <c r="AC1356" s="114"/>
      <c r="AD1356" s="114"/>
      <c r="AE1356" s="114"/>
      <c r="AF1356" s="114"/>
      <c r="AG1356" s="114"/>
      <c r="AH1356" s="114"/>
      <c r="AI1356" s="114"/>
      <c r="AJ1356" s="114"/>
      <c r="AK1356" s="114"/>
      <c r="AL1356" s="114"/>
      <c r="AM1356" s="114"/>
      <c r="AN1356" s="114"/>
      <c r="AO1356" s="114"/>
      <c r="AP1356" s="114"/>
      <c r="AQ1356" s="114"/>
      <c r="AR1356" s="114"/>
      <c r="AS1356" s="114"/>
      <c r="AT1356" s="114"/>
      <c r="AU1356" s="114"/>
      <c r="AV1356" s="114"/>
      <c r="AW1356" s="114"/>
      <c r="AX1356" s="114"/>
      <c r="AY1356" s="114"/>
      <c r="AZ1356" s="114"/>
    </row>
    <row r="1357" spans="1:52">
      <c r="A1357" s="111"/>
      <c r="B1357" s="111"/>
      <c r="C1357" s="112"/>
      <c r="D1357" s="101"/>
      <c r="E1357" s="101"/>
      <c r="F1357" s="101"/>
      <c r="G1357" s="111"/>
      <c r="H1357" s="101"/>
      <c r="I1357" s="101"/>
      <c r="J1357" s="101"/>
      <c r="K1357" s="101"/>
      <c r="L1357" s="101"/>
      <c r="M1357" s="101"/>
      <c r="N1357" s="101"/>
      <c r="O1357" s="101"/>
      <c r="P1357" s="101"/>
      <c r="Q1357" s="101"/>
      <c r="R1357" s="101"/>
      <c r="S1357" s="101"/>
      <c r="T1357" s="101"/>
      <c r="U1357" s="101"/>
      <c r="V1357" s="101"/>
      <c r="W1357" s="101"/>
      <c r="X1357" s="101"/>
      <c r="Y1357" s="114"/>
      <c r="Z1357" s="114"/>
      <c r="AA1357" s="114"/>
      <c r="AB1357" s="114"/>
      <c r="AC1357" s="114"/>
      <c r="AD1357" s="114"/>
      <c r="AE1357" s="114"/>
      <c r="AF1357" s="114"/>
      <c r="AG1357" s="114"/>
      <c r="AH1357" s="114"/>
      <c r="AI1357" s="114"/>
      <c r="AJ1357" s="114"/>
      <c r="AK1357" s="114"/>
      <c r="AL1357" s="114"/>
      <c r="AM1357" s="114"/>
      <c r="AN1357" s="114"/>
      <c r="AO1357" s="114"/>
      <c r="AP1357" s="114"/>
      <c r="AQ1357" s="114"/>
      <c r="AR1357" s="114"/>
      <c r="AS1357" s="114"/>
      <c r="AT1357" s="114"/>
      <c r="AU1357" s="114"/>
      <c r="AV1357" s="114"/>
      <c r="AW1357" s="114"/>
      <c r="AX1357" s="114"/>
      <c r="AY1357" s="114"/>
      <c r="AZ1357" s="114"/>
    </row>
    <row r="1358" spans="1:52">
      <c r="A1358" s="111"/>
      <c r="B1358" s="111"/>
      <c r="C1358" s="112"/>
      <c r="D1358" s="101"/>
      <c r="E1358" s="101"/>
      <c r="F1358" s="101"/>
      <c r="G1358" s="111"/>
      <c r="H1358" s="101"/>
      <c r="I1358" s="101"/>
      <c r="J1358" s="101"/>
      <c r="K1358" s="101"/>
      <c r="L1358" s="101"/>
      <c r="M1358" s="101"/>
      <c r="N1358" s="101"/>
      <c r="O1358" s="101"/>
      <c r="P1358" s="101"/>
      <c r="Q1358" s="101"/>
      <c r="R1358" s="101"/>
      <c r="S1358" s="101"/>
      <c r="T1358" s="101"/>
      <c r="U1358" s="101"/>
      <c r="V1358" s="101"/>
      <c r="W1358" s="101"/>
      <c r="X1358" s="101"/>
      <c r="Y1358" s="114"/>
      <c r="Z1358" s="114"/>
      <c r="AA1358" s="114"/>
      <c r="AB1358" s="114"/>
      <c r="AC1358" s="114"/>
      <c r="AD1358" s="114"/>
      <c r="AE1358" s="114"/>
      <c r="AF1358" s="114"/>
      <c r="AG1358" s="114"/>
      <c r="AH1358" s="114"/>
      <c r="AI1358" s="114"/>
      <c r="AJ1358" s="114"/>
      <c r="AK1358" s="114"/>
      <c r="AL1358" s="114"/>
      <c r="AM1358" s="114"/>
      <c r="AN1358" s="114"/>
      <c r="AO1358" s="114"/>
      <c r="AP1358" s="114"/>
      <c r="AQ1358" s="114"/>
      <c r="AR1358" s="114"/>
      <c r="AS1358" s="114"/>
      <c r="AT1358" s="114"/>
      <c r="AU1358" s="114"/>
      <c r="AV1358" s="114"/>
      <c r="AW1358" s="114"/>
      <c r="AX1358" s="114"/>
      <c r="AY1358" s="114"/>
      <c r="AZ1358" s="114"/>
    </row>
    <row r="1359" spans="1:52">
      <c r="A1359" s="111"/>
      <c r="B1359" s="111"/>
      <c r="C1359" s="112"/>
      <c r="D1359" s="101"/>
      <c r="E1359" s="101"/>
      <c r="F1359" s="101"/>
      <c r="G1359" s="111"/>
      <c r="H1359" s="101"/>
      <c r="I1359" s="101"/>
      <c r="J1359" s="101"/>
      <c r="K1359" s="101"/>
      <c r="L1359" s="101"/>
      <c r="M1359" s="101"/>
      <c r="N1359" s="101"/>
      <c r="O1359" s="101"/>
      <c r="P1359" s="101"/>
      <c r="Q1359" s="101"/>
      <c r="R1359" s="101"/>
      <c r="S1359" s="101"/>
      <c r="T1359" s="101"/>
      <c r="U1359" s="101"/>
      <c r="V1359" s="101"/>
      <c r="W1359" s="101"/>
      <c r="X1359" s="101"/>
      <c r="Y1359" s="114"/>
      <c r="Z1359" s="114"/>
      <c r="AA1359" s="114"/>
      <c r="AB1359" s="114"/>
      <c r="AC1359" s="114"/>
      <c r="AD1359" s="114"/>
      <c r="AE1359" s="114"/>
      <c r="AF1359" s="114"/>
      <c r="AG1359" s="114"/>
      <c r="AH1359" s="114"/>
      <c r="AI1359" s="114"/>
      <c r="AJ1359" s="114"/>
      <c r="AK1359" s="114"/>
      <c r="AL1359" s="114"/>
      <c r="AM1359" s="114"/>
      <c r="AN1359" s="114"/>
      <c r="AO1359" s="114"/>
      <c r="AP1359" s="114"/>
      <c r="AQ1359" s="114"/>
      <c r="AR1359" s="114"/>
      <c r="AS1359" s="114"/>
      <c r="AT1359" s="114"/>
      <c r="AU1359" s="114"/>
      <c r="AV1359" s="114"/>
      <c r="AW1359" s="114"/>
      <c r="AX1359" s="114"/>
      <c r="AY1359" s="114"/>
      <c r="AZ1359" s="114"/>
    </row>
    <row r="1360" spans="1:52">
      <c r="A1360" s="111"/>
      <c r="B1360" s="111"/>
      <c r="C1360" s="112"/>
      <c r="D1360" s="101"/>
      <c r="E1360" s="101"/>
      <c r="F1360" s="101"/>
      <c r="G1360" s="111"/>
      <c r="H1360" s="101"/>
      <c r="I1360" s="101"/>
      <c r="J1360" s="101"/>
      <c r="K1360" s="101"/>
      <c r="L1360" s="101"/>
      <c r="M1360" s="101"/>
      <c r="N1360" s="101"/>
      <c r="O1360" s="101"/>
      <c r="P1360" s="101"/>
      <c r="Q1360" s="101"/>
      <c r="R1360" s="101"/>
      <c r="S1360" s="101"/>
      <c r="T1360" s="101"/>
      <c r="U1360" s="101"/>
      <c r="V1360" s="101"/>
      <c r="W1360" s="101"/>
      <c r="X1360" s="101"/>
      <c r="Y1360" s="114"/>
      <c r="Z1360" s="114"/>
      <c r="AA1360" s="114"/>
      <c r="AB1360" s="114"/>
      <c r="AC1360" s="114"/>
      <c r="AD1360" s="114"/>
      <c r="AE1360" s="114"/>
      <c r="AF1360" s="114"/>
      <c r="AG1360" s="114"/>
      <c r="AH1360" s="114"/>
      <c r="AI1360" s="114"/>
      <c r="AJ1360" s="114"/>
      <c r="AK1360" s="114"/>
      <c r="AL1360" s="114"/>
      <c r="AM1360" s="114"/>
      <c r="AN1360" s="114"/>
      <c r="AO1360" s="114"/>
      <c r="AP1360" s="114"/>
      <c r="AQ1360" s="114"/>
      <c r="AR1360" s="114"/>
      <c r="AS1360" s="114"/>
      <c r="AT1360" s="114"/>
      <c r="AU1360" s="114"/>
      <c r="AV1360" s="114"/>
      <c r="AW1360" s="114"/>
      <c r="AX1360" s="114"/>
      <c r="AY1360" s="114"/>
      <c r="AZ1360" s="114"/>
    </row>
    <row r="1361" spans="1:52">
      <c r="A1361" s="111"/>
      <c r="B1361" s="111"/>
      <c r="C1361" s="112"/>
      <c r="D1361" s="101"/>
      <c r="E1361" s="101"/>
      <c r="F1361" s="101"/>
      <c r="G1361" s="111"/>
      <c r="H1361" s="101"/>
      <c r="I1361" s="101"/>
      <c r="J1361" s="101"/>
      <c r="K1361" s="101"/>
      <c r="L1361" s="101"/>
      <c r="M1361" s="101"/>
      <c r="N1361" s="101"/>
      <c r="O1361" s="101"/>
      <c r="P1361" s="101"/>
      <c r="Q1361" s="101"/>
      <c r="R1361" s="101"/>
      <c r="S1361" s="101"/>
      <c r="T1361" s="101"/>
      <c r="U1361" s="101"/>
      <c r="V1361" s="101"/>
      <c r="W1361" s="101"/>
      <c r="X1361" s="101"/>
      <c r="Y1361" s="114"/>
      <c r="Z1361" s="114"/>
      <c r="AA1361" s="114"/>
      <c r="AB1361" s="114"/>
      <c r="AC1361" s="114"/>
      <c r="AD1361" s="114"/>
      <c r="AE1361" s="114"/>
      <c r="AF1361" s="114"/>
      <c r="AG1361" s="114"/>
      <c r="AH1361" s="114"/>
      <c r="AI1361" s="114"/>
      <c r="AJ1361" s="114"/>
      <c r="AK1361" s="114"/>
      <c r="AL1361" s="114"/>
      <c r="AM1361" s="114"/>
      <c r="AN1361" s="114"/>
      <c r="AO1361" s="114"/>
      <c r="AP1361" s="114"/>
      <c r="AQ1361" s="114"/>
      <c r="AR1361" s="114"/>
      <c r="AS1361" s="114"/>
      <c r="AT1361" s="114"/>
      <c r="AU1361" s="114"/>
      <c r="AV1361" s="114"/>
      <c r="AW1361" s="114"/>
      <c r="AX1361" s="114"/>
      <c r="AY1361" s="114"/>
      <c r="AZ1361" s="114"/>
    </row>
    <row r="1362" spans="1:52">
      <c r="A1362" s="111"/>
      <c r="B1362" s="111"/>
      <c r="C1362" s="112"/>
      <c r="D1362" s="101"/>
      <c r="E1362" s="101"/>
      <c r="F1362" s="101"/>
      <c r="G1362" s="111"/>
      <c r="H1362" s="101"/>
      <c r="I1362" s="101"/>
      <c r="J1362" s="101"/>
      <c r="K1362" s="101"/>
      <c r="L1362" s="101"/>
      <c r="M1362" s="101"/>
      <c r="N1362" s="101"/>
      <c r="O1362" s="101"/>
      <c r="P1362" s="101"/>
      <c r="Q1362" s="101"/>
      <c r="R1362" s="101"/>
      <c r="S1362" s="101"/>
      <c r="T1362" s="101"/>
      <c r="U1362" s="101"/>
      <c r="V1362" s="101"/>
      <c r="W1362" s="101"/>
      <c r="X1362" s="101"/>
      <c r="Y1362" s="114"/>
      <c r="Z1362" s="114"/>
      <c r="AA1362" s="114"/>
      <c r="AB1362" s="114"/>
      <c r="AC1362" s="114"/>
      <c r="AD1362" s="114"/>
      <c r="AE1362" s="114"/>
      <c r="AF1362" s="114"/>
      <c r="AG1362" s="114"/>
      <c r="AH1362" s="114"/>
      <c r="AI1362" s="114"/>
      <c r="AJ1362" s="114"/>
      <c r="AK1362" s="114"/>
      <c r="AL1362" s="114"/>
      <c r="AM1362" s="114"/>
      <c r="AN1362" s="114"/>
      <c r="AO1362" s="114"/>
      <c r="AP1362" s="114"/>
      <c r="AQ1362" s="114"/>
      <c r="AR1362" s="114"/>
      <c r="AS1362" s="114"/>
      <c r="AT1362" s="114"/>
      <c r="AU1362" s="114"/>
      <c r="AV1362" s="114"/>
      <c r="AW1362" s="114"/>
      <c r="AX1362" s="114"/>
      <c r="AY1362" s="114"/>
      <c r="AZ1362" s="114"/>
    </row>
    <row r="1363" spans="1:52">
      <c r="A1363" s="111"/>
      <c r="B1363" s="111"/>
      <c r="C1363" s="112"/>
      <c r="D1363" s="101"/>
      <c r="E1363" s="101"/>
      <c r="F1363" s="101"/>
      <c r="G1363" s="111"/>
      <c r="H1363" s="101"/>
      <c r="I1363" s="101"/>
      <c r="J1363" s="101"/>
      <c r="K1363" s="101"/>
      <c r="L1363" s="101"/>
      <c r="M1363" s="101"/>
      <c r="N1363" s="101"/>
      <c r="O1363" s="101"/>
      <c r="P1363" s="101"/>
      <c r="Q1363" s="101"/>
      <c r="R1363" s="101"/>
      <c r="S1363" s="101"/>
      <c r="T1363" s="101"/>
      <c r="U1363" s="101"/>
      <c r="V1363" s="101"/>
      <c r="W1363" s="101"/>
      <c r="X1363" s="101"/>
      <c r="Y1363" s="114"/>
      <c r="Z1363" s="114"/>
      <c r="AA1363" s="114"/>
      <c r="AB1363" s="114"/>
      <c r="AC1363" s="114"/>
      <c r="AD1363" s="114"/>
      <c r="AE1363" s="114"/>
      <c r="AF1363" s="114"/>
      <c r="AG1363" s="114"/>
      <c r="AH1363" s="114"/>
      <c r="AI1363" s="114"/>
      <c r="AJ1363" s="114"/>
      <c r="AK1363" s="114"/>
      <c r="AL1363" s="114"/>
      <c r="AM1363" s="114"/>
      <c r="AN1363" s="114"/>
      <c r="AO1363" s="114"/>
      <c r="AP1363" s="114"/>
      <c r="AQ1363" s="114"/>
      <c r="AR1363" s="114"/>
      <c r="AS1363" s="114"/>
      <c r="AT1363" s="114"/>
      <c r="AU1363" s="114"/>
      <c r="AV1363" s="114"/>
      <c r="AW1363" s="114"/>
      <c r="AX1363" s="114"/>
      <c r="AY1363" s="114"/>
      <c r="AZ1363" s="114"/>
    </row>
    <row r="1364" spans="1:52">
      <c r="A1364" s="111"/>
      <c r="B1364" s="111"/>
      <c r="C1364" s="112"/>
      <c r="D1364" s="101"/>
      <c r="E1364" s="101"/>
      <c r="F1364" s="101"/>
      <c r="G1364" s="111"/>
      <c r="H1364" s="101"/>
      <c r="I1364" s="101"/>
      <c r="J1364" s="101"/>
      <c r="K1364" s="101"/>
      <c r="L1364" s="101"/>
      <c r="M1364" s="101"/>
      <c r="N1364" s="101"/>
      <c r="O1364" s="101"/>
      <c r="P1364" s="101"/>
      <c r="Q1364" s="101"/>
      <c r="R1364" s="101"/>
      <c r="S1364" s="101"/>
      <c r="T1364" s="101"/>
      <c r="U1364" s="101"/>
      <c r="V1364" s="101"/>
      <c r="W1364" s="101"/>
      <c r="X1364" s="101"/>
      <c r="Y1364" s="114"/>
      <c r="Z1364" s="114"/>
      <c r="AA1364" s="114"/>
      <c r="AB1364" s="114"/>
      <c r="AC1364" s="114"/>
      <c r="AD1364" s="114"/>
      <c r="AE1364" s="114"/>
      <c r="AF1364" s="114"/>
      <c r="AG1364" s="114"/>
      <c r="AH1364" s="114"/>
      <c r="AI1364" s="114"/>
      <c r="AJ1364" s="114"/>
      <c r="AK1364" s="114"/>
      <c r="AL1364" s="114"/>
      <c r="AM1364" s="114"/>
      <c r="AN1364" s="114"/>
      <c r="AO1364" s="114"/>
      <c r="AP1364" s="114"/>
      <c r="AQ1364" s="114"/>
      <c r="AR1364" s="114"/>
      <c r="AS1364" s="114"/>
      <c r="AT1364" s="114"/>
      <c r="AU1364" s="114"/>
      <c r="AV1364" s="114"/>
      <c r="AW1364" s="114"/>
      <c r="AX1364" s="114"/>
      <c r="AY1364" s="114"/>
      <c r="AZ1364" s="114"/>
    </row>
    <row r="1365" spans="1:52">
      <c r="A1365" s="111"/>
      <c r="B1365" s="111"/>
      <c r="C1365" s="112"/>
      <c r="D1365" s="101"/>
      <c r="E1365" s="101"/>
      <c r="F1365" s="101"/>
      <c r="G1365" s="111"/>
      <c r="H1365" s="101"/>
      <c r="I1365" s="101"/>
      <c r="J1365" s="101"/>
      <c r="K1365" s="101"/>
      <c r="L1365" s="101"/>
      <c r="M1365" s="101"/>
      <c r="N1365" s="101"/>
      <c r="O1365" s="101"/>
      <c r="P1365" s="101"/>
      <c r="Q1365" s="101"/>
      <c r="R1365" s="101"/>
      <c r="S1365" s="101"/>
      <c r="T1365" s="101"/>
      <c r="U1365" s="101"/>
      <c r="V1365" s="101"/>
      <c r="W1365" s="101"/>
      <c r="X1365" s="101"/>
      <c r="Y1365" s="114"/>
      <c r="Z1365" s="114"/>
      <c r="AA1365" s="114"/>
      <c r="AB1365" s="114"/>
      <c r="AC1365" s="114"/>
      <c r="AD1365" s="114"/>
      <c r="AE1365" s="114"/>
      <c r="AF1365" s="114"/>
      <c r="AG1365" s="114"/>
      <c r="AH1365" s="114"/>
      <c r="AI1365" s="114"/>
      <c r="AJ1365" s="114"/>
      <c r="AK1365" s="114"/>
      <c r="AL1365" s="114"/>
      <c r="AM1365" s="114"/>
      <c r="AN1365" s="114"/>
      <c r="AO1365" s="114"/>
      <c r="AP1365" s="114"/>
      <c r="AQ1365" s="114"/>
      <c r="AR1365" s="114"/>
      <c r="AS1365" s="114"/>
      <c r="AT1365" s="114"/>
      <c r="AU1365" s="114"/>
      <c r="AV1365" s="114"/>
      <c r="AW1365" s="114"/>
      <c r="AX1365" s="114"/>
      <c r="AY1365" s="114"/>
      <c r="AZ1365" s="114"/>
    </row>
    <row r="1366" spans="1:52">
      <c r="A1366" s="111"/>
      <c r="B1366" s="111"/>
      <c r="C1366" s="112"/>
      <c r="D1366" s="101"/>
      <c r="E1366" s="101"/>
      <c r="F1366" s="101"/>
      <c r="G1366" s="111"/>
      <c r="H1366" s="101"/>
      <c r="I1366" s="101"/>
      <c r="J1366" s="101"/>
      <c r="K1366" s="101"/>
      <c r="L1366" s="101"/>
      <c r="M1366" s="101"/>
      <c r="N1366" s="101"/>
      <c r="O1366" s="101"/>
      <c r="P1366" s="101"/>
      <c r="Q1366" s="101"/>
      <c r="R1366" s="101"/>
      <c r="S1366" s="101"/>
      <c r="T1366" s="101"/>
      <c r="U1366" s="101"/>
      <c r="V1366" s="101"/>
      <c r="W1366" s="101"/>
      <c r="X1366" s="101"/>
      <c r="Y1366" s="114"/>
      <c r="Z1366" s="114"/>
      <c r="AA1366" s="114"/>
      <c r="AB1366" s="114"/>
      <c r="AC1366" s="114"/>
      <c r="AD1366" s="114"/>
      <c r="AE1366" s="114"/>
      <c r="AF1366" s="114"/>
      <c r="AG1366" s="114"/>
      <c r="AH1366" s="114"/>
      <c r="AI1366" s="114"/>
      <c r="AJ1366" s="114"/>
      <c r="AK1366" s="114"/>
      <c r="AL1366" s="114"/>
      <c r="AM1366" s="114"/>
      <c r="AN1366" s="114"/>
      <c r="AO1366" s="114"/>
      <c r="AP1366" s="114"/>
      <c r="AQ1366" s="114"/>
      <c r="AR1366" s="114"/>
      <c r="AS1366" s="114"/>
      <c r="AT1366" s="114"/>
      <c r="AU1366" s="114"/>
      <c r="AV1366" s="114"/>
      <c r="AW1366" s="114"/>
      <c r="AX1366" s="114"/>
      <c r="AY1366" s="114"/>
      <c r="AZ1366" s="114"/>
    </row>
    <row r="1367" spans="1:52">
      <c r="A1367" s="111"/>
      <c r="B1367" s="111"/>
      <c r="C1367" s="112"/>
      <c r="D1367" s="101"/>
      <c r="E1367" s="101"/>
      <c r="F1367" s="101"/>
      <c r="G1367" s="111"/>
      <c r="H1367" s="101"/>
      <c r="I1367" s="101"/>
      <c r="J1367" s="101"/>
      <c r="K1367" s="101"/>
      <c r="L1367" s="101"/>
      <c r="M1367" s="101"/>
      <c r="N1367" s="101"/>
      <c r="O1367" s="101"/>
      <c r="P1367" s="101"/>
      <c r="Q1367" s="101"/>
      <c r="R1367" s="101"/>
      <c r="S1367" s="101"/>
      <c r="T1367" s="101"/>
      <c r="U1367" s="101"/>
      <c r="V1367" s="101"/>
      <c r="W1367" s="101"/>
      <c r="X1367" s="101"/>
      <c r="Y1367" s="114"/>
      <c r="Z1367" s="114"/>
      <c r="AA1367" s="114"/>
      <c r="AB1367" s="114"/>
      <c r="AC1367" s="114"/>
      <c r="AD1367" s="114"/>
      <c r="AE1367" s="114"/>
      <c r="AF1367" s="114"/>
      <c r="AG1367" s="114"/>
      <c r="AH1367" s="114"/>
      <c r="AI1367" s="114"/>
      <c r="AJ1367" s="114"/>
      <c r="AK1367" s="114"/>
      <c r="AL1367" s="114"/>
      <c r="AM1367" s="114"/>
      <c r="AN1367" s="114"/>
      <c r="AO1367" s="114"/>
      <c r="AP1367" s="114"/>
      <c r="AQ1367" s="114"/>
      <c r="AR1367" s="114"/>
      <c r="AS1367" s="114"/>
      <c r="AT1367" s="114"/>
      <c r="AU1367" s="114"/>
      <c r="AV1367" s="114"/>
      <c r="AW1367" s="114"/>
      <c r="AX1367" s="114"/>
      <c r="AY1367" s="114"/>
      <c r="AZ1367" s="114"/>
    </row>
    <row r="1368" spans="1:52">
      <c r="A1368" s="111"/>
      <c r="B1368" s="111"/>
      <c r="C1368" s="112"/>
      <c r="D1368" s="101"/>
      <c r="E1368" s="101"/>
      <c r="F1368" s="101"/>
      <c r="G1368" s="111"/>
      <c r="H1368" s="101"/>
      <c r="I1368" s="101"/>
      <c r="J1368" s="101"/>
      <c r="K1368" s="101"/>
      <c r="L1368" s="101"/>
      <c r="M1368" s="101"/>
      <c r="N1368" s="101"/>
      <c r="O1368" s="101"/>
      <c r="P1368" s="101"/>
      <c r="Q1368" s="101"/>
      <c r="R1368" s="101"/>
      <c r="S1368" s="101"/>
      <c r="T1368" s="101"/>
      <c r="U1368" s="101"/>
      <c r="V1368" s="101"/>
      <c r="W1368" s="101"/>
      <c r="X1368" s="101"/>
      <c r="Y1368" s="114"/>
      <c r="Z1368" s="114"/>
      <c r="AA1368" s="114"/>
      <c r="AB1368" s="114"/>
      <c r="AC1368" s="114"/>
      <c r="AD1368" s="114"/>
      <c r="AE1368" s="114"/>
      <c r="AF1368" s="114"/>
      <c r="AG1368" s="114"/>
      <c r="AH1368" s="114"/>
      <c r="AI1368" s="114"/>
      <c r="AJ1368" s="114"/>
      <c r="AK1368" s="114"/>
      <c r="AL1368" s="114"/>
      <c r="AM1368" s="114"/>
      <c r="AN1368" s="114"/>
      <c r="AO1368" s="114"/>
      <c r="AP1368" s="114"/>
      <c r="AQ1368" s="114"/>
      <c r="AR1368" s="114"/>
      <c r="AS1368" s="114"/>
      <c r="AT1368" s="114"/>
      <c r="AU1368" s="114"/>
      <c r="AV1368" s="114"/>
      <c r="AW1368" s="114"/>
      <c r="AX1368" s="114"/>
      <c r="AY1368" s="114"/>
      <c r="AZ1368" s="114"/>
    </row>
    <row r="1369" spans="1:52">
      <c r="A1369" s="111"/>
      <c r="B1369" s="111"/>
      <c r="C1369" s="112"/>
      <c r="D1369" s="101"/>
      <c r="E1369" s="101"/>
      <c r="F1369" s="101"/>
      <c r="G1369" s="111"/>
      <c r="H1369" s="101"/>
      <c r="I1369" s="101"/>
      <c r="J1369" s="101"/>
      <c r="K1369" s="101"/>
      <c r="L1369" s="101"/>
      <c r="M1369" s="101"/>
      <c r="N1369" s="101"/>
      <c r="O1369" s="101"/>
      <c r="P1369" s="101"/>
      <c r="Q1369" s="101"/>
      <c r="R1369" s="101"/>
      <c r="S1369" s="101"/>
      <c r="T1369" s="101"/>
      <c r="U1369" s="101"/>
      <c r="V1369" s="101"/>
      <c r="W1369" s="101"/>
      <c r="X1369" s="101"/>
      <c r="Y1369" s="114"/>
      <c r="Z1369" s="114"/>
      <c r="AA1369" s="114"/>
      <c r="AB1369" s="114"/>
      <c r="AC1369" s="114"/>
      <c r="AD1369" s="114"/>
      <c r="AE1369" s="114"/>
      <c r="AF1369" s="114"/>
      <c r="AG1369" s="114"/>
      <c r="AH1369" s="114"/>
      <c r="AI1369" s="114"/>
      <c r="AJ1369" s="114"/>
      <c r="AK1369" s="114"/>
      <c r="AL1369" s="114"/>
      <c r="AM1369" s="114"/>
      <c r="AN1369" s="114"/>
      <c r="AO1369" s="114"/>
      <c r="AP1369" s="114"/>
      <c r="AQ1369" s="114"/>
      <c r="AR1369" s="114"/>
      <c r="AS1369" s="114"/>
      <c r="AT1369" s="114"/>
      <c r="AU1369" s="114"/>
      <c r="AV1369" s="114"/>
      <c r="AW1369" s="114"/>
      <c r="AX1369" s="114"/>
      <c r="AY1369" s="114"/>
      <c r="AZ1369" s="114"/>
    </row>
    <row r="1370" spans="1:52">
      <c r="A1370" s="111"/>
      <c r="B1370" s="111"/>
      <c r="C1370" s="112"/>
      <c r="D1370" s="101"/>
      <c r="E1370" s="101"/>
      <c r="F1370" s="101"/>
      <c r="G1370" s="111"/>
      <c r="H1370" s="101"/>
      <c r="I1370" s="101"/>
      <c r="J1370" s="101"/>
      <c r="K1370" s="101"/>
      <c r="L1370" s="101"/>
      <c r="M1370" s="101"/>
      <c r="N1370" s="101"/>
      <c r="O1370" s="101"/>
      <c r="P1370" s="101"/>
      <c r="Q1370" s="101"/>
      <c r="R1370" s="101"/>
      <c r="S1370" s="101"/>
      <c r="T1370" s="101"/>
      <c r="U1370" s="101"/>
      <c r="V1370" s="101"/>
      <c r="W1370" s="101"/>
      <c r="X1370" s="101"/>
      <c r="Y1370" s="114"/>
      <c r="Z1370" s="114"/>
      <c r="AA1370" s="114"/>
      <c r="AB1370" s="114"/>
      <c r="AC1370" s="114"/>
      <c r="AD1370" s="114"/>
      <c r="AE1370" s="114"/>
      <c r="AF1370" s="114"/>
      <c r="AG1370" s="114"/>
      <c r="AH1370" s="114"/>
      <c r="AI1370" s="114"/>
      <c r="AJ1370" s="114"/>
      <c r="AK1370" s="114"/>
      <c r="AL1370" s="114"/>
      <c r="AM1370" s="114"/>
      <c r="AN1370" s="114"/>
      <c r="AO1370" s="114"/>
      <c r="AP1370" s="114"/>
      <c r="AQ1370" s="114"/>
      <c r="AR1370" s="114"/>
      <c r="AS1370" s="114"/>
      <c r="AT1370" s="114"/>
      <c r="AU1370" s="114"/>
      <c r="AV1370" s="114"/>
      <c r="AW1370" s="114"/>
      <c r="AX1370" s="114"/>
      <c r="AY1370" s="114"/>
      <c r="AZ1370" s="114"/>
    </row>
    <row r="1371" spans="1:52">
      <c r="A1371" s="111"/>
      <c r="B1371" s="111"/>
      <c r="C1371" s="112"/>
      <c r="D1371" s="101"/>
      <c r="E1371" s="101"/>
      <c r="F1371" s="101"/>
      <c r="G1371" s="111"/>
      <c r="H1371" s="101"/>
      <c r="I1371" s="101"/>
      <c r="J1371" s="101"/>
      <c r="K1371" s="101"/>
      <c r="L1371" s="101"/>
      <c r="M1371" s="101"/>
      <c r="N1371" s="101"/>
      <c r="O1371" s="101"/>
      <c r="P1371" s="101"/>
      <c r="Q1371" s="101"/>
      <c r="R1371" s="101"/>
      <c r="S1371" s="101"/>
      <c r="T1371" s="101"/>
      <c r="U1371" s="101"/>
      <c r="V1371" s="101"/>
      <c r="W1371" s="101"/>
      <c r="X1371" s="101"/>
      <c r="Y1371" s="114"/>
      <c r="Z1371" s="114"/>
      <c r="AA1371" s="114"/>
      <c r="AB1371" s="114"/>
      <c r="AC1371" s="114"/>
      <c r="AD1371" s="114"/>
      <c r="AE1371" s="114"/>
      <c r="AF1371" s="114"/>
      <c r="AG1371" s="114"/>
      <c r="AH1371" s="114"/>
      <c r="AI1371" s="114"/>
      <c r="AJ1371" s="114"/>
      <c r="AK1371" s="114"/>
      <c r="AL1371" s="114"/>
      <c r="AM1371" s="114"/>
      <c r="AN1371" s="114"/>
      <c r="AO1371" s="114"/>
      <c r="AP1371" s="114"/>
      <c r="AQ1371" s="114"/>
      <c r="AR1371" s="114"/>
      <c r="AS1371" s="114"/>
      <c r="AT1371" s="114"/>
      <c r="AU1371" s="114"/>
      <c r="AV1371" s="114"/>
      <c r="AW1371" s="114"/>
      <c r="AX1371" s="114"/>
      <c r="AY1371" s="114"/>
      <c r="AZ1371" s="114"/>
    </row>
    <row r="1372" spans="1:52">
      <c r="A1372" s="111"/>
      <c r="B1372" s="111"/>
      <c r="C1372" s="112"/>
      <c r="D1372" s="101"/>
      <c r="E1372" s="101"/>
      <c r="F1372" s="101"/>
      <c r="G1372" s="111"/>
      <c r="H1372" s="101"/>
      <c r="I1372" s="101"/>
      <c r="J1372" s="101"/>
      <c r="K1372" s="101"/>
      <c r="L1372" s="101"/>
      <c r="M1372" s="101"/>
      <c r="N1372" s="101"/>
      <c r="O1372" s="101"/>
      <c r="P1372" s="101"/>
      <c r="Q1372" s="101"/>
      <c r="R1372" s="101"/>
      <c r="S1372" s="101"/>
      <c r="T1372" s="101"/>
      <c r="U1372" s="101"/>
      <c r="V1372" s="101"/>
      <c r="W1372" s="101"/>
      <c r="X1372" s="101"/>
      <c r="Y1372" s="114"/>
      <c r="Z1372" s="114"/>
      <c r="AA1372" s="114"/>
      <c r="AB1372" s="114"/>
      <c r="AC1372" s="114"/>
      <c r="AD1372" s="114"/>
      <c r="AE1372" s="114"/>
      <c r="AF1372" s="114"/>
      <c r="AG1372" s="114"/>
      <c r="AH1372" s="114"/>
      <c r="AI1372" s="114"/>
      <c r="AJ1372" s="114"/>
      <c r="AK1372" s="114"/>
      <c r="AL1372" s="114"/>
      <c r="AM1372" s="114"/>
      <c r="AN1372" s="114"/>
      <c r="AO1372" s="114"/>
      <c r="AP1372" s="114"/>
      <c r="AQ1372" s="114"/>
      <c r="AR1372" s="114"/>
      <c r="AS1372" s="114"/>
      <c r="AT1372" s="114"/>
      <c r="AU1372" s="114"/>
      <c r="AV1372" s="114"/>
      <c r="AW1372" s="114"/>
      <c r="AX1372" s="114"/>
      <c r="AY1372" s="114"/>
      <c r="AZ1372" s="114"/>
    </row>
    <row r="1373" spans="1:52">
      <c r="A1373" s="111"/>
      <c r="B1373" s="111"/>
      <c r="C1373" s="112"/>
      <c r="D1373" s="101"/>
      <c r="E1373" s="101"/>
      <c r="F1373" s="101"/>
      <c r="G1373" s="111"/>
      <c r="H1373" s="101"/>
      <c r="I1373" s="101"/>
      <c r="J1373" s="101"/>
      <c r="K1373" s="101"/>
      <c r="L1373" s="101"/>
      <c r="M1373" s="101"/>
      <c r="N1373" s="101"/>
      <c r="O1373" s="101"/>
      <c r="P1373" s="101"/>
      <c r="Q1373" s="101"/>
      <c r="R1373" s="101"/>
      <c r="S1373" s="101"/>
      <c r="T1373" s="101"/>
      <c r="U1373" s="101"/>
      <c r="V1373" s="101"/>
      <c r="W1373" s="101"/>
      <c r="X1373" s="101"/>
      <c r="Y1373" s="114"/>
      <c r="Z1373" s="114"/>
      <c r="AA1373" s="114"/>
      <c r="AB1373" s="114"/>
      <c r="AC1373" s="114"/>
      <c r="AD1373" s="114"/>
      <c r="AE1373" s="114"/>
      <c r="AF1373" s="114"/>
      <c r="AG1373" s="114"/>
      <c r="AH1373" s="114"/>
      <c r="AI1373" s="114"/>
      <c r="AJ1373" s="114"/>
      <c r="AK1373" s="114"/>
      <c r="AL1373" s="114"/>
      <c r="AM1373" s="114"/>
      <c r="AN1373" s="114"/>
      <c r="AO1373" s="114"/>
      <c r="AP1373" s="114"/>
      <c r="AQ1373" s="114"/>
      <c r="AR1373" s="114"/>
      <c r="AS1373" s="114"/>
      <c r="AT1373" s="114"/>
      <c r="AU1373" s="114"/>
      <c r="AV1373" s="114"/>
      <c r="AW1373" s="114"/>
      <c r="AX1373" s="114"/>
      <c r="AY1373" s="114"/>
      <c r="AZ1373" s="114"/>
    </row>
    <row r="1374" spans="1:52">
      <c r="A1374" s="111"/>
      <c r="B1374" s="111"/>
      <c r="C1374" s="112"/>
      <c r="D1374" s="101"/>
      <c r="E1374" s="101"/>
      <c r="F1374" s="101"/>
      <c r="G1374" s="111"/>
      <c r="H1374" s="101"/>
      <c r="I1374" s="101"/>
      <c r="J1374" s="101"/>
      <c r="K1374" s="101"/>
      <c r="L1374" s="101"/>
      <c r="M1374" s="101"/>
      <c r="N1374" s="101"/>
      <c r="O1374" s="101"/>
      <c r="P1374" s="101"/>
      <c r="Q1374" s="101"/>
      <c r="R1374" s="101"/>
      <c r="S1374" s="101"/>
      <c r="T1374" s="101"/>
      <c r="U1374" s="101"/>
      <c r="V1374" s="101"/>
      <c r="W1374" s="101"/>
      <c r="X1374" s="101"/>
      <c r="Y1374" s="114"/>
      <c r="Z1374" s="114"/>
      <c r="AA1374" s="114"/>
      <c r="AB1374" s="114"/>
      <c r="AC1374" s="114"/>
      <c r="AD1374" s="114"/>
      <c r="AE1374" s="114"/>
      <c r="AF1374" s="114"/>
      <c r="AG1374" s="114"/>
      <c r="AH1374" s="114"/>
      <c r="AI1374" s="114"/>
      <c r="AJ1374" s="114"/>
      <c r="AK1374" s="114"/>
      <c r="AL1374" s="114"/>
      <c r="AM1374" s="114"/>
      <c r="AN1374" s="114"/>
      <c r="AO1374" s="114"/>
      <c r="AP1374" s="114"/>
      <c r="AQ1374" s="114"/>
      <c r="AR1374" s="114"/>
      <c r="AS1374" s="114"/>
      <c r="AT1374" s="114"/>
      <c r="AU1374" s="114"/>
      <c r="AV1374" s="114"/>
      <c r="AW1374" s="114"/>
      <c r="AX1374" s="114"/>
      <c r="AY1374" s="114"/>
      <c r="AZ1374" s="114"/>
    </row>
    <row r="1375" spans="1:52">
      <c r="A1375" s="111"/>
      <c r="B1375" s="111"/>
      <c r="C1375" s="112"/>
      <c r="D1375" s="101"/>
      <c r="E1375" s="101"/>
      <c r="F1375" s="101"/>
      <c r="G1375" s="111"/>
      <c r="H1375" s="101"/>
      <c r="I1375" s="101"/>
      <c r="J1375" s="101"/>
      <c r="K1375" s="101"/>
      <c r="L1375" s="101"/>
      <c r="M1375" s="101"/>
      <c r="N1375" s="101"/>
      <c r="O1375" s="101"/>
      <c r="P1375" s="101"/>
      <c r="Q1375" s="101"/>
      <c r="R1375" s="101"/>
      <c r="S1375" s="101"/>
      <c r="T1375" s="101"/>
      <c r="U1375" s="101"/>
      <c r="V1375" s="101"/>
      <c r="W1375" s="101"/>
      <c r="X1375" s="101"/>
      <c r="Y1375" s="114"/>
      <c r="Z1375" s="114"/>
      <c r="AA1375" s="114"/>
      <c r="AB1375" s="114"/>
      <c r="AC1375" s="114"/>
      <c r="AD1375" s="114"/>
      <c r="AE1375" s="114"/>
      <c r="AF1375" s="114"/>
      <c r="AG1375" s="114"/>
      <c r="AH1375" s="114"/>
      <c r="AI1375" s="114"/>
      <c r="AJ1375" s="114"/>
      <c r="AK1375" s="114"/>
      <c r="AL1375" s="114"/>
      <c r="AM1375" s="114"/>
      <c r="AN1375" s="114"/>
      <c r="AO1375" s="114"/>
      <c r="AP1375" s="114"/>
      <c r="AQ1375" s="114"/>
      <c r="AR1375" s="114"/>
      <c r="AS1375" s="114"/>
      <c r="AT1375" s="114"/>
      <c r="AU1375" s="114"/>
      <c r="AV1375" s="114"/>
      <c r="AW1375" s="114"/>
      <c r="AX1375" s="114"/>
      <c r="AY1375" s="114"/>
      <c r="AZ1375" s="114"/>
    </row>
    <row r="1376" spans="1:52">
      <c r="A1376" s="111"/>
      <c r="B1376" s="111"/>
      <c r="C1376" s="112"/>
      <c r="D1376" s="101"/>
      <c r="E1376" s="101"/>
      <c r="F1376" s="101"/>
      <c r="G1376" s="111"/>
      <c r="H1376" s="101"/>
      <c r="I1376" s="101"/>
      <c r="J1376" s="101"/>
      <c r="K1376" s="101"/>
      <c r="L1376" s="101"/>
      <c r="M1376" s="101"/>
      <c r="N1376" s="101"/>
      <c r="O1376" s="101"/>
      <c r="P1376" s="101"/>
      <c r="Q1376" s="101"/>
      <c r="R1376" s="101"/>
      <c r="S1376" s="101"/>
      <c r="T1376" s="101"/>
      <c r="U1376" s="101"/>
      <c r="V1376" s="101"/>
      <c r="W1376" s="101"/>
      <c r="X1376" s="101"/>
      <c r="Y1376" s="114"/>
      <c r="Z1376" s="114"/>
      <c r="AA1376" s="114"/>
      <c r="AB1376" s="114"/>
      <c r="AC1376" s="114"/>
      <c r="AD1376" s="114"/>
      <c r="AE1376" s="114"/>
      <c r="AF1376" s="114"/>
      <c r="AG1376" s="114"/>
      <c r="AH1376" s="114"/>
      <c r="AI1376" s="114"/>
      <c r="AJ1376" s="114"/>
      <c r="AK1376" s="114"/>
      <c r="AL1376" s="114"/>
      <c r="AM1376" s="114"/>
      <c r="AN1376" s="114"/>
      <c r="AO1376" s="114"/>
      <c r="AP1376" s="114"/>
      <c r="AQ1376" s="114"/>
      <c r="AR1376" s="114"/>
      <c r="AS1376" s="114"/>
      <c r="AT1376" s="114"/>
      <c r="AU1376" s="114"/>
      <c r="AV1376" s="114"/>
      <c r="AW1376" s="114"/>
      <c r="AX1376" s="114"/>
      <c r="AY1376" s="114"/>
      <c r="AZ1376" s="114"/>
    </row>
    <row r="1377" spans="1:52">
      <c r="A1377" s="111"/>
      <c r="B1377" s="111"/>
      <c r="C1377" s="112"/>
      <c r="D1377" s="101"/>
      <c r="E1377" s="101"/>
      <c r="F1377" s="101"/>
      <c r="G1377" s="111"/>
      <c r="H1377" s="101"/>
      <c r="I1377" s="101"/>
      <c r="J1377" s="101"/>
      <c r="K1377" s="101"/>
      <c r="L1377" s="101"/>
      <c r="M1377" s="101"/>
      <c r="N1377" s="101"/>
      <c r="O1377" s="101"/>
      <c r="P1377" s="101"/>
      <c r="Q1377" s="101"/>
      <c r="R1377" s="101"/>
      <c r="S1377" s="101"/>
      <c r="T1377" s="101"/>
      <c r="U1377" s="101"/>
      <c r="V1377" s="101"/>
      <c r="W1377" s="101"/>
      <c r="X1377" s="101"/>
      <c r="Y1377" s="114"/>
      <c r="Z1377" s="114"/>
      <c r="AA1377" s="114"/>
      <c r="AB1377" s="114"/>
      <c r="AC1377" s="114"/>
      <c r="AD1377" s="114"/>
      <c r="AE1377" s="114"/>
      <c r="AF1377" s="114"/>
      <c r="AG1377" s="114"/>
      <c r="AH1377" s="114"/>
      <c r="AI1377" s="114"/>
      <c r="AJ1377" s="114"/>
      <c r="AK1377" s="114"/>
      <c r="AL1377" s="114"/>
      <c r="AM1377" s="114"/>
      <c r="AN1377" s="114"/>
      <c r="AO1377" s="114"/>
      <c r="AP1377" s="114"/>
      <c r="AQ1377" s="114"/>
      <c r="AR1377" s="114"/>
      <c r="AS1377" s="114"/>
      <c r="AT1377" s="114"/>
      <c r="AU1377" s="114"/>
      <c r="AV1377" s="114"/>
      <c r="AW1377" s="114"/>
      <c r="AX1377" s="114"/>
      <c r="AY1377" s="114"/>
      <c r="AZ1377" s="114"/>
    </row>
    <row r="1378" spans="1:52">
      <c r="A1378" s="111"/>
      <c r="B1378" s="111"/>
      <c r="C1378" s="112"/>
      <c r="D1378" s="101"/>
      <c r="E1378" s="101"/>
      <c r="F1378" s="101"/>
      <c r="G1378" s="111"/>
      <c r="H1378" s="101"/>
      <c r="I1378" s="101"/>
      <c r="J1378" s="101"/>
      <c r="K1378" s="101"/>
      <c r="L1378" s="101"/>
      <c r="M1378" s="101"/>
      <c r="N1378" s="101"/>
      <c r="O1378" s="101"/>
      <c r="P1378" s="101"/>
      <c r="Q1378" s="101"/>
      <c r="R1378" s="101"/>
      <c r="S1378" s="101"/>
      <c r="T1378" s="101"/>
      <c r="U1378" s="101"/>
      <c r="V1378" s="101"/>
      <c r="W1378" s="101"/>
      <c r="X1378" s="101"/>
      <c r="Y1378" s="114"/>
      <c r="Z1378" s="114"/>
      <c r="AA1378" s="114"/>
      <c r="AB1378" s="114"/>
      <c r="AC1378" s="114"/>
      <c r="AD1378" s="114"/>
      <c r="AE1378" s="114"/>
      <c r="AF1378" s="114"/>
      <c r="AG1378" s="114"/>
      <c r="AH1378" s="114"/>
      <c r="AI1378" s="114"/>
      <c r="AJ1378" s="114"/>
      <c r="AK1378" s="114"/>
      <c r="AL1378" s="114"/>
      <c r="AM1378" s="114"/>
      <c r="AN1378" s="114"/>
      <c r="AO1378" s="114"/>
      <c r="AP1378" s="114"/>
      <c r="AQ1378" s="114"/>
      <c r="AR1378" s="114"/>
      <c r="AS1378" s="114"/>
      <c r="AT1378" s="114"/>
      <c r="AU1378" s="114"/>
      <c r="AV1378" s="114"/>
      <c r="AW1378" s="114"/>
      <c r="AX1378" s="114"/>
      <c r="AY1378" s="114"/>
      <c r="AZ1378" s="114"/>
    </row>
    <row r="1379" spans="1:52">
      <c r="A1379" s="111"/>
      <c r="B1379" s="111"/>
      <c r="C1379" s="112"/>
      <c r="D1379" s="101"/>
      <c r="E1379" s="101"/>
      <c r="F1379" s="101"/>
      <c r="G1379" s="111"/>
      <c r="H1379" s="101"/>
      <c r="I1379" s="101"/>
      <c r="J1379" s="101"/>
      <c r="K1379" s="101"/>
      <c r="L1379" s="101"/>
      <c r="M1379" s="101"/>
      <c r="N1379" s="101"/>
      <c r="O1379" s="101"/>
      <c r="P1379" s="101"/>
      <c r="Q1379" s="101"/>
      <c r="R1379" s="101"/>
      <c r="S1379" s="101"/>
      <c r="T1379" s="101"/>
      <c r="U1379" s="101"/>
      <c r="V1379" s="101"/>
      <c r="W1379" s="101"/>
      <c r="X1379" s="101"/>
      <c r="Y1379" s="114"/>
      <c r="Z1379" s="114"/>
      <c r="AA1379" s="114"/>
      <c r="AB1379" s="114"/>
      <c r="AC1379" s="114"/>
      <c r="AD1379" s="114"/>
      <c r="AE1379" s="114"/>
      <c r="AF1379" s="114"/>
      <c r="AG1379" s="114"/>
      <c r="AH1379" s="114"/>
      <c r="AI1379" s="114"/>
      <c r="AJ1379" s="114"/>
      <c r="AK1379" s="114"/>
      <c r="AL1379" s="114"/>
      <c r="AM1379" s="114"/>
      <c r="AN1379" s="114"/>
      <c r="AO1379" s="114"/>
      <c r="AP1379" s="114"/>
      <c r="AQ1379" s="114"/>
      <c r="AR1379" s="114"/>
      <c r="AS1379" s="114"/>
      <c r="AT1379" s="114"/>
      <c r="AU1379" s="114"/>
      <c r="AV1379" s="114"/>
      <c r="AW1379" s="114"/>
      <c r="AX1379" s="114"/>
      <c r="AY1379" s="114"/>
      <c r="AZ1379" s="114"/>
    </row>
    <row r="1380" spans="1:52">
      <c r="A1380" s="111"/>
      <c r="B1380" s="111"/>
      <c r="C1380" s="112"/>
      <c r="D1380" s="101"/>
      <c r="E1380" s="101"/>
      <c r="F1380" s="101"/>
      <c r="G1380" s="111"/>
      <c r="H1380" s="101"/>
      <c r="I1380" s="101"/>
      <c r="J1380" s="101"/>
      <c r="K1380" s="101"/>
      <c r="L1380" s="101"/>
      <c r="M1380" s="101"/>
      <c r="N1380" s="101"/>
      <c r="O1380" s="101"/>
      <c r="P1380" s="101"/>
      <c r="Q1380" s="101"/>
      <c r="R1380" s="101"/>
      <c r="S1380" s="101"/>
      <c r="T1380" s="101"/>
      <c r="U1380" s="101"/>
      <c r="V1380" s="101"/>
      <c r="W1380" s="101"/>
      <c r="X1380" s="101"/>
      <c r="Y1380" s="114"/>
      <c r="Z1380" s="114"/>
      <c r="AA1380" s="114"/>
      <c r="AB1380" s="114"/>
      <c r="AC1380" s="114"/>
      <c r="AD1380" s="114"/>
      <c r="AE1380" s="114"/>
      <c r="AF1380" s="114"/>
      <c r="AG1380" s="114"/>
      <c r="AH1380" s="114"/>
      <c r="AI1380" s="114"/>
      <c r="AJ1380" s="114"/>
      <c r="AK1380" s="114"/>
      <c r="AL1380" s="114"/>
      <c r="AM1380" s="114"/>
      <c r="AN1380" s="114"/>
      <c r="AO1380" s="114"/>
      <c r="AP1380" s="114"/>
      <c r="AQ1380" s="114"/>
      <c r="AR1380" s="114"/>
      <c r="AS1380" s="114"/>
      <c r="AT1380" s="114"/>
      <c r="AU1380" s="114"/>
      <c r="AV1380" s="114"/>
      <c r="AW1380" s="114"/>
      <c r="AX1380" s="114"/>
      <c r="AY1380" s="114"/>
      <c r="AZ1380" s="114"/>
    </row>
    <row r="1381" spans="1:52">
      <c r="A1381" s="111"/>
      <c r="B1381" s="111"/>
      <c r="C1381" s="112"/>
      <c r="D1381" s="101"/>
      <c r="E1381" s="101"/>
      <c r="F1381" s="101"/>
      <c r="G1381" s="111"/>
      <c r="H1381" s="101"/>
      <c r="I1381" s="101"/>
      <c r="J1381" s="101"/>
      <c r="K1381" s="101"/>
      <c r="L1381" s="101"/>
      <c r="M1381" s="101"/>
      <c r="N1381" s="101"/>
      <c r="O1381" s="101"/>
      <c r="P1381" s="101"/>
      <c r="Q1381" s="101"/>
      <c r="R1381" s="101"/>
      <c r="S1381" s="101"/>
      <c r="T1381" s="101"/>
      <c r="U1381" s="101"/>
      <c r="V1381" s="101"/>
      <c r="W1381" s="101"/>
      <c r="X1381" s="101"/>
      <c r="Y1381" s="114"/>
      <c r="Z1381" s="114"/>
      <c r="AA1381" s="114"/>
      <c r="AB1381" s="114"/>
      <c r="AC1381" s="114"/>
      <c r="AD1381" s="114"/>
      <c r="AE1381" s="114"/>
      <c r="AF1381" s="114"/>
      <c r="AG1381" s="114"/>
      <c r="AH1381" s="114"/>
      <c r="AI1381" s="114"/>
      <c r="AJ1381" s="114"/>
      <c r="AK1381" s="114"/>
      <c r="AL1381" s="114"/>
      <c r="AM1381" s="114"/>
      <c r="AN1381" s="114"/>
      <c r="AO1381" s="114"/>
      <c r="AP1381" s="114"/>
      <c r="AQ1381" s="114"/>
      <c r="AR1381" s="114"/>
      <c r="AS1381" s="114"/>
      <c r="AT1381" s="114"/>
      <c r="AU1381" s="114"/>
      <c r="AV1381" s="114"/>
      <c r="AW1381" s="114"/>
      <c r="AX1381" s="114"/>
      <c r="AY1381" s="114"/>
      <c r="AZ1381" s="114"/>
    </row>
    <row r="1382" spans="1:52">
      <c r="A1382" s="111"/>
      <c r="B1382" s="111"/>
      <c r="C1382" s="112"/>
      <c r="D1382" s="101"/>
      <c r="E1382" s="101"/>
      <c r="F1382" s="101"/>
      <c r="G1382" s="111"/>
      <c r="H1382" s="101"/>
      <c r="I1382" s="101"/>
      <c r="J1382" s="101"/>
      <c r="K1382" s="101"/>
      <c r="L1382" s="101"/>
      <c r="M1382" s="101"/>
      <c r="N1382" s="101"/>
      <c r="O1382" s="101"/>
      <c r="P1382" s="101"/>
      <c r="Q1382" s="101"/>
      <c r="R1382" s="101"/>
      <c r="S1382" s="101"/>
      <c r="T1382" s="101"/>
      <c r="U1382" s="101"/>
      <c r="V1382" s="101"/>
      <c r="W1382" s="101"/>
      <c r="X1382" s="101"/>
      <c r="Y1382" s="114"/>
      <c r="Z1382" s="114"/>
      <c r="AA1382" s="114"/>
      <c r="AB1382" s="114"/>
      <c r="AC1382" s="114"/>
      <c r="AD1382" s="114"/>
      <c r="AE1382" s="114"/>
      <c r="AF1382" s="114"/>
      <c r="AG1382" s="114"/>
      <c r="AH1382" s="114"/>
      <c r="AI1382" s="114"/>
      <c r="AJ1382" s="114"/>
      <c r="AK1382" s="114"/>
      <c r="AL1382" s="114"/>
      <c r="AM1382" s="114"/>
      <c r="AN1382" s="114"/>
      <c r="AO1382" s="114"/>
      <c r="AP1382" s="114"/>
      <c r="AQ1382" s="114"/>
      <c r="AR1382" s="114"/>
      <c r="AS1382" s="114"/>
      <c r="AT1382" s="114"/>
      <c r="AU1382" s="114"/>
      <c r="AV1382" s="114"/>
      <c r="AW1382" s="114"/>
      <c r="AX1382" s="114"/>
      <c r="AY1382" s="114"/>
      <c r="AZ1382" s="114"/>
    </row>
    <row r="1383" spans="1:52">
      <c r="A1383" s="111"/>
      <c r="B1383" s="111"/>
      <c r="C1383" s="112"/>
      <c r="D1383" s="101"/>
      <c r="E1383" s="101"/>
      <c r="F1383" s="101"/>
      <c r="G1383" s="111"/>
      <c r="H1383" s="101"/>
      <c r="I1383" s="101"/>
      <c r="J1383" s="101"/>
      <c r="K1383" s="101"/>
      <c r="L1383" s="101"/>
      <c r="M1383" s="101"/>
      <c r="N1383" s="101"/>
      <c r="O1383" s="101"/>
      <c r="P1383" s="101"/>
      <c r="Q1383" s="101"/>
      <c r="R1383" s="101"/>
      <c r="S1383" s="101"/>
      <c r="T1383" s="101"/>
      <c r="U1383" s="101"/>
      <c r="V1383" s="101"/>
      <c r="W1383" s="101"/>
      <c r="X1383" s="101"/>
      <c r="Y1383" s="114"/>
      <c r="Z1383" s="114"/>
      <c r="AA1383" s="114"/>
      <c r="AB1383" s="114"/>
      <c r="AC1383" s="114"/>
      <c r="AD1383" s="114"/>
      <c r="AE1383" s="114"/>
      <c r="AF1383" s="114"/>
      <c r="AG1383" s="114"/>
      <c r="AH1383" s="114"/>
      <c r="AI1383" s="114"/>
      <c r="AJ1383" s="114"/>
      <c r="AK1383" s="114"/>
      <c r="AL1383" s="114"/>
      <c r="AM1383" s="114"/>
      <c r="AN1383" s="114"/>
      <c r="AO1383" s="114"/>
      <c r="AP1383" s="114"/>
      <c r="AQ1383" s="114"/>
      <c r="AR1383" s="114"/>
      <c r="AS1383" s="114"/>
      <c r="AT1383" s="114"/>
      <c r="AU1383" s="114"/>
      <c r="AV1383" s="114"/>
      <c r="AW1383" s="114"/>
      <c r="AX1383" s="114"/>
      <c r="AY1383" s="114"/>
      <c r="AZ1383" s="114"/>
    </row>
    <row r="1384" spans="1:52">
      <c r="A1384" s="111"/>
      <c r="B1384" s="111"/>
      <c r="C1384" s="112"/>
      <c r="D1384" s="101"/>
      <c r="E1384" s="101"/>
      <c r="F1384" s="101"/>
      <c r="G1384" s="111"/>
      <c r="H1384" s="101"/>
      <c r="I1384" s="101"/>
      <c r="J1384" s="101"/>
      <c r="K1384" s="101"/>
      <c r="L1384" s="101"/>
      <c r="M1384" s="101"/>
      <c r="N1384" s="101"/>
      <c r="O1384" s="101"/>
      <c r="P1384" s="101"/>
      <c r="Q1384" s="101"/>
      <c r="R1384" s="101"/>
      <c r="S1384" s="101"/>
      <c r="T1384" s="101"/>
      <c r="U1384" s="101"/>
      <c r="V1384" s="101"/>
      <c r="W1384" s="101"/>
      <c r="X1384" s="101"/>
      <c r="Y1384" s="114"/>
      <c r="Z1384" s="114"/>
      <c r="AA1384" s="114"/>
      <c r="AB1384" s="114"/>
      <c r="AC1384" s="114"/>
      <c r="AD1384" s="114"/>
      <c r="AE1384" s="114"/>
      <c r="AF1384" s="114"/>
      <c r="AG1384" s="114"/>
      <c r="AH1384" s="114"/>
      <c r="AI1384" s="114"/>
      <c r="AJ1384" s="114"/>
      <c r="AK1384" s="114"/>
      <c r="AL1384" s="114"/>
      <c r="AM1384" s="114"/>
      <c r="AN1384" s="114"/>
      <c r="AO1384" s="114"/>
      <c r="AP1384" s="114"/>
      <c r="AQ1384" s="114"/>
      <c r="AR1384" s="114"/>
      <c r="AS1384" s="114"/>
      <c r="AT1384" s="114"/>
      <c r="AU1384" s="114"/>
      <c r="AV1384" s="114"/>
      <c r="AW1384" s="114"/>
      <c r="AX1384" s="114"/>
      <c r="AY1384" s="114"/>
      <c r="AZ1384" s="114"/>
    </row>
    <row r="1385" spans="1:52">
      <c r="A1385" s="111"/>
      <c r="B1385" s="111"/>
      <c r="C1385" s="112"/>
      <c r="D1385" s="101"/>
      <c r="E1385" s="101"/>
      <c r="F1385" s="101"/>
      <c r="G1385" s="111"/>
      <c r="H1385" s="101"/>
      <c r="I1385" s="101"/>
      <c r="J1385" s="101"/>
      <c r="K1385" s="101"/>
      <c r="L1385" s="101"/>
      <c r="M1385" s="101"/>
      <c r="N1385" s="101"/>
      <c r="O1385" s="101"/>
      <c r="P1385" s="101"/>
      <c r="Q1385" s="101"/>
      <c r="R1385" s="101"/>
      <c r="S1385" s="101"/>
      <c r="T1385" s="101"/>
      <c r="U1385" s="101"/>
      <c r="V1385" s="101"/>
      <c r="W1385" s="101"/>
      <c r="X1385" s="101"/>
      <c r="Y1385" s="114"/>
      <c r="Z1385" s="114"/>
      <c r="AA1385" s="114"/>
      <c r="AB1385" s="114"/>
      <c r="AC1385" s="114"/>
      <c r="AD1385" s="114"/>
      <c r="AE1385" s="114"/>
      <c r="AF1385" s="114"/>
      <c r="AG1385" s="114"/>
      <c r="AH1385" s="114"/>
      <c r="AI1385" s="114"/>
      <c r="AJ1385" s="114"/>
      <c r="AK1385" s="114"/>
      <c r="AL1385" s="114"/>
      <c r="AM1385" s="114"/>
      <c r="AN1385" s="114"/>
      <c r="AO1385" s="114"/>
      <c r="AP1385" s="114"/>
      <c r="AQ1385" s="114"/>
      <c r="AR1385" s="114"/>
      <c r="AS1385" s="114"/>
      <c r="AT1385" s="114"/>
      <c r="AU1385" s="114"/>
      <c r="AV1385" s="114"/>
      <c r="AW1385" s="114"/>
      <c r="AX1385" s="114"/>
      <c r="AY1385" s="114"/>
      <c r="AZ1385" s="114"/>
    </row>
    <row r="1386" spans="1:52">
      <c r="A1386" s="111"/>
      <c r="B1386" s="111"/>
      <c r="C1386" s="112"/>
      <c r="D1386" s="101"/>
      <c r="E1386" s="101"/>
      <c r="F1386" s="101"/>
      <c r="G1386" s="111"/>
      <c r="H1386" s="101"/>
      <c r="I1386" s="101"/>
      <c r="J1386" s="101"/>
      <c r="K1386" s="101"/>
      <c r="L1386" s="101"/>
      <c r="M1386" s="101"/>
      <c r="N1386" s="101"/>
      <c r="O1386" s="101"/>
      <c r="P1386" s="101"/>
      <c r="Q1386" s="101"/>
      <c r="R1386" s="101"/>
      <c r="S1386" s="101"/>
      <c r="T1386" s="101"/>
      <c r="U1386" s="101"/>
      <c r="V1386" s="101"/>
      <c r="W1386" s="101"/>
      <c r="X1386" s="101"/>
      <c r="Y1386" s="114"/>
      <c r="Z1386" s="114"/>
      <c r="AA1386" s="114"/>
      <c r="AB1386" s="114"/>
      <c r="AC1386" s="114"/>
      <c r="AD1386" s="114"/>
      <c r="AE1386" s="114"/>
      <c r="AF1386" s="114"/>
      <c r="AG1386" s="114"/>
      <c r="AH1386" s="114"/>
      <c r="AI1386" s="114"/>
      <c r="AJ1386" s="114"/>
      <c r="AK1386" s="114"/>
      <c r="AL1386" s="114"/>
      <c r="AM1386" s="114"/>
      <c r="AN1386" s="114"/>
      <c r="AO1386" s="114"/>
      <c r="AP1386" s="114"/>
      <c r="AQ1386" s="114"/>
      <c r="AR1386" s="114"/>
      <c r="AS1386" s="114"/>
      <c r="AT1386" s="114"/>
      <c r="AU1386" s="114"/>
      <c r="AV1386" s="114"/>
      <c r="AW1386" s="114"/>
      <c r="AX1386" s="114"/>
      <c r="AY1386" s="114"/>
      <c r="AZ1386" s="114"/>
    </row>
    <row r="1387" spans="1:52">
      <c r="A1387" s="111"/>
      <c r="B1387" s="111"/>
      <c r="C1387" s="112"/>
      <c r="D1387" s="101"/>
      <c r="E1387" s="101"/>
      <c r="F1387" s="101"/>
      <c r="G1387" s="111"/>
      <c r="H1387" s="101"/>
      <c r="I1387" s="101"/>
      <c r="J1387" s="101"/>
      <c r="K1387" s="101"/>
      <c r="L1387" s="101"/>
      <c r="M1387" s="101"/>
      <c r="N1387" s="101"/>
      <c r="O1387" s="101"/>
      <c r="P1387" s="101"/>
      <c r="Q1387" s="101"/>
      <c r="R1387" s="101"/>
      <c r="S1387" s="101"/>
      <c r="T1387" s="101"/>
      <c r="U1387" s="101"/>
      <c r="V1387" s="101"/>
      <c r="W1387" s="101"/>
      <c r="X1387" s="101"/>
      <c r="Y1387" s="114"/>
      <c r="Z1387" s="114"/>
      <c r="AA1387" s="114"/>
      <c r="AB1387" s="114"/>
      <c r="AC1387" s="114"/>
      <c r="AD1387" s="114"/>
      <c r="AE1387" s="114"/>
      <c r="AF1387" s="114"/>
      <c r="AG1387" s="114"/>
      <c r="AH1387" s="114"/>
      <c r="AI1387" s="114"/>
      <c r="AJ1387" s="114"/>
      <c r="AK1387" s="114"/>
      <c r="AL1387" s="114"/>
      <c r="AM1387" s="114"/>
      <c r="AN1387" s="114"/>
      <c r="AO1387" s="114"/>
      <c r="AP1387" s="114"/>
      <c r="AQ1387" s="114"/>
      <c r="AR1387" s="114"/>
      <c r="AS1387" s="114"/>
      <c r="AT1387" s="114"/>
      <c r="AU1387" s="114"/>
      <c r="AV1387" s="114"/>
      <c r="AW1387" s="114"/>
      <c r="AX1387" s="114"/>
      <c r="AY1387" s="114"/>
      <c r="AZ1387" s="114"/>
    </row>
    <row r="1388" spans="1:52">
      <c r="A1388" s="111"/>
      <c r="B1388" s="111"/>
      <c r="C1388" s="112"/>
      <c r="D1388" s="101"/>
      <c r="E1388" s="101"/>
      <c r="F1388" s="101"/>
      <c r="G1388" s="111"/>
      <c r="H1388" s="101"/>
      <c r="I1388" s="101"/>
      <c r="J1388" s="101"/>
      <c r="K1388" s="101"/>
      <c r="L1388" s="101"/>
      <c r="M1388" s="101"/>
      <c r="N1388" s="101"/>
      <c r="O1388" s="101"/>
      <c r="P1388" s="101"/>
      <c r="Q1388" s="101"/>
      <c r="R1388" s="101"/>
      <c r="S1388" s="101"/>
      <c r="T1388" s="101"/>
      <c r="U1388" s="101"/>
      <c r="V1388" s="101"/>
      <c r="W1388" s="101"/>
      <c r="X1388" s="101"/>
      <c r="Y1388" s="114"/>
      <c r="Z1388" s="114"/>
      <c r="AA1388" s="114"/>
      <c r="AB1388" s="114"/>
      <c r="AC1388" s="114"/>
      <c r="AD1388" s="114"/>
      <c r="AE1388" s="114"/>
      <c r="AF1388" s="114"/>
      <c r="AG1388" s="114"/>
      <c r="AH1388" s="114"/>
      <c r="AI1388" s="114"/>
      <c r="AJ1388" s="114"/>
      <c r="AK1388" s="114"/>
      <c r="AL1388" s="114"/>
      <c r="AM1388" s="114"/>
      <c r="AN1388" s="114"/>
      <c r="AO1388" s="114"/>
      <c r="AP1388" s="114"/>
      <c r="AQ1388" s="114"/>
      <c r="AR1388" s="114"/>
      <c r="AS1388" s="114"/>
      <c r="AT1388" s="114"/>
      <c r="AU1388" s="114"/>
      <c r="AV1388" s="114"/>
      <c r="AW1388" s="114"/>
      <c r="AX1388" s="114"/>
      <c r="AY1388" s="114"/>
      <c r="AZ1388" s="114"/>
    </row>
    <row r="1389" spans="1:52">
      <c r="A1389" s="111"/>
      <c r="B1389" s="111"/>
      <c r="C1389" s="112"/>
      <c r="D1389" s="101"/>
      <c r="E1389" s="101"/>
      <c r="F1389" s="101"/>
      <c r="G1389" s="111"/>
      <c r="H1389" s="101"/>
      <c r="I1389" s="101"/>
      <c r="J1389" s="101"/>
      <c r="K1389" s="101"/>
      <c r="L1389" s="101"/>
      <c r="M1389" s="101"/>
      <c r="N1389" s="101"/>
      <c r="O1389" s="101"/>
      <c r="P1389" s="101"/>
      <c r="Q1389" s="101"/>
      <c r="R1389" s="101"/>
      <c r="S1389" s="101"/>
      <c r="T1389" s="101"/>
      <c r="U1389" s="101"/>
      <c r="V1389" s="101"/>
      <c r="W1389" s="101"/>
      <c r="X1389" s="101"/>
      <c r="Y1389" s="114"/>
      <c r="Z1389" s="114"/>
      <c r="AA1389" s="114"/>
      <c r="AB1389" s="114"/>
      <c r="AC1389" s="114"/>
      <c r="AD1389" s="114"/>
      <c r="AE1389" s="114"/>
      <c r="AF1389" s="114"/>
      <c r="AG1389" s="114"/>
      <c r="AH1389" s="114"/>
      <c r="AI1389" s="114"/>
      <c r="AJ1389" s="114"/>
      <c r="AK1389" s="114"/>
      <c r="AL1389" s="114"/>
      <c r="AM1389" s="114"/>
      <c r="AN1389" s="114"/>
      <c r="AO1389" s="114"/>
      <c r="AP1389" s="114"/>
      <c r="AQ1389" s="114"/>
      <c r="AR1389" s="114"/>
      <c r="AS1389" s="114"/>
      <c r="AT1389" s="114"/>
      <c r="AU1389" s="114"/>
      <c r="AV1389" s="114"/>
      <c r="AW1389" s="114"/>
      <c r="AX1389" s="114"/>
      <c r="AY1389" s="114"/>
      <c r="AZ1389" s="114"/>
    </row>
    <row r="1390" spans="1:52">
      <c r="A1390" s="111"/>
      <c r="B1390" s="111"/>
      <c r="C1390" s="112"/>
      <c r="D1390" s="101"/>
      <c r="E1390" s="101"/>
      <c r="F1390" s="101"/>
      <c r="G1390" s="111"/>
      <c r="H1390" s="101"/>
      <c r="I1390" s="101"/>
      <c r="J1390" s="101"/>
      <c r="K1390" s="101"/>
      <c r="L1390" s="101"/>
      <c r="M1390" s="101"/>
      <c r="N1390" s="101"/>
      <c r="O1390" s="101"/>
      <c r="P1390" s="101"/>
      <c r="Q1390" s="101"/>
      <c r="R1390" s="101"/>
      <c r="S1390" s="101"/>
      <c r="T1390" s="101"/>
      <c r="U1390" s="101"/>
      <c r="V1390" s="101"/>
      <c r="W1390" s="101"/>
      <c r="X1390" s="101"/>
      <c r="Y1390" s="114"/>
      <c r="Z1390" s="114"/>
      <c r="AA1390" s="114"/>
      <c r="AB1390" s="114"/>
      <c r="AC1390" s="114"/>
      <c r="AD1390" s="114"/>
      <c r="AE1390" s="114"/>
      <c r="AF1390" s="114"/>
      <c r="AG1390" s="114"/>
      <c r="AH1390" s="114"/>
      <c r="AI1390" s="114"/>
      <c r="AJ1390" s="114"/>
      <c r="AK1390" s="114"/>
      <c r="AL1390" s="114"/>
      <c r="AM1390" s="114"/>
      <c r="AN1390" s="114"/>
      <c r="AO1390" s="114"/>
      <c r="AP1390" s="114"/>
      <c r="AQ1390" s="114"/>
      <c r="AR1390" s="114"/>
      <c r="AS1390" s="114"/>
      <c r="AT1390" s="114"/>
      <c r="AU1390" s="114"/>
      <c r="AV1390" s="114"/>
      <c r="AW1390" s="114"/>
      <c r="AX1390" s="114"/>
      <c r="AY1390" s="114"/>
      <c r="AZ1390" s="114"/>
    </row>
    <row r="1391" spans="1:52">
      <c r="A1391" s="111"/>
      <c r="B1391" s="111"/>
      <c r="C1391" s="112"/>
      <c r="D1391" s="101"/>
      <c r="E1391" s="101"/>
      <c r="F1391" s="101"/>
      <c r="G1391" s="111"/>
      <c r="H1391" s="101"/>
      <c r="I1391" s="101"/>
      <c r="J1391" s="101"/>
      <c r="K1391" s="101"/>
      <c r="L1391" s="101"/>
      <c r="M1391" s="101"/>
      <c r="N1391" s="101"/>
      <c r="O1391" s="101"/>
      <c r="P1391" s="101"/>
      <c r="Q1391" s="101"/>
      <c r="R1391" s="101"/>
      <c r="S1391" s="101"/>
      <c r="T1391" s="101"/>
      <c r="U1391" s="101"/>
      <c r="V1391" s="101"/>
      <c r="W1391" s="101"/>
      <c r="X1391" s="101"/>
      <c r="Y1391" s="114"/>
      <c r="Z1391" s="114"/>
      <c r="AA1391" s="114"/>
      <c r="AB1391" s="114"/>
      <c r="AC1391" s="114"/>
      <c r="AD1391" s="114"/>
      <c r="AE1391" s="114"/>
      <c r="AF1391" s="114"/>
      <c r="AG1391" s="114"/>
      <c r="AH1391" s="114"/>
      <c r="AI1391" s="114"/>
      <c r="AJ1391" s="114"/>
      <c r="AK1391" s="114"/>
      <c r="AL1391" s="114"/>
      <c r="AM1391" s="114"/>
      <c r="AN1391" s="114"/>
      <c r="AO1391" s="114"/>
      <c r="AP1391" s="114"/>
      <c r="AQ1391" s="114"/>
      <c r="AR1391" s="114"/>
      <c r="AS1391" s="114"/>
      <c r="AT1391" s="114"/>
      <c r="AU1391" s="114"/>
      <c r="AV1391" s="114"/>
      <c r="AW1391" s="114"/>
      <c r="AX1391" s="114"/>
      <c r="AY1391" s="114"/>
      <c r="AZ1391" s="114"/>
    </row>
    <row r="1392" spans="1:52">
      <c r="A1392" s="111"/>
      <c r="B1392" s="111"/>
      <c r="C1392" s="112"/>
      <c r="D1392" s="101"/>
      <c r="E1392" s="101"/>
      <c r="F1392" s="101"/>
      <c r="G1392" s="111"/>
      <c r="H1392" s="101"/>
      <c r="I1392" s="101"/>
      <c r="J1392" s="101"/>
      <c r="K1392" s="101"/>
      <c r="L1392" s="101"/>
      <c r="M1392" s="101"/>
      <c r="N1392" s="101"/>
      <c r="O1392" s="101"/>
      <c r="P1392" s="101"/>
      <c r="Q1392" s="101"/>
      <c r="R1392" s="101"/>
      <c r="S1392" s="101"/>
      <c r="T1392" s="101"/>
      <c r="U1392" s="101"/>
      <c r="V1392" s="101"/>
      <c r="W1392" s="101"/>
      <c r="X1392" s="101"/>
      <c r="Y1392" s="114"/>
      <c r="Z1392" s="114"/>
      <c r="AA1392" s="114"/>
      <c r="AB1392" s="114"/>
      <c r="AC1392" s="114"/>
      <c r="AD1392" s="114"/>
      <c r="AE1392" s="114"/>
      <c r="AF1392" s="114"/>
      <c r="AG1392" s="114"/>
      <c r="AH1392" s="114"/>
      <c r="AI1392" s="114"/>
      <c r="AJ1392" s="114"/>
      <c r="AK1392" s="114"/>
      <c r="AL1392" s="114"/>
      <c r="AM1392" s="114"/>
      <c r="AN1392" s="114"/>
      <c r="AO1392" s="114"/>
      <c r="AP1392" s="114"/>
      <c r="AQ1392" s="114"/>
      <c r="AR1392" s="114"/>
      <c r="AS1392" s="114"/>
      <c r="AT1392" s="114"/>
      <c r="AU1392" s="114"/>
      <c r="AV1392" s="114"/>
      <c r="AW1392" s="114"/>
      <c r="AX1392" s="114"/>
      <c r="AY1392" s="114"/>
      <c r="AZ1392" s="114"/>
    </row>
    <row r="1393" spans="1:52">
      <c r="A1393" s="111"/>
      <c r="B1393" s="111"/>
      <c r="C1393" s="112"/>
      <c r="D1393" s="101"/>
      <c r="E1393" s="101"/>
      <c r="F1393" s="101"/>
      <c r="G1393" s="111"/>
      <c r="H1393" s="101"/>
      <c r="I1393" s="101"/>
      <c r="J1393" s="101"/>
      <c r="K1393" s="101"/>
      <c r="L1393" s="101"/>
      <c r="M1393" s="101"/>
      <c r="N1393" s="101"/>
      <c r="O1393" s="101"/>
      <c r="P1393" s="101"/>
      <c r="Q1393" s="101"/>
      <c r="R1393" s="101"/>
      <c r="S1393" s="101"/>
      <c r="T1393" s="101"/>
      <c r="U1393" s="101"/>
      <c r="V1393" s="101"/>
      <c r="W1393" s="101"/>
      <c r="X1393" s="101"/>
      <c r="Y1393" s="114"/>
      <c r="Z1393" s="114"/>
      <c r="AA1393" s="114"/>
      <c r="AB1393" s="114"/>
      <c r="AC1393" s="114"/>
      <c r="AD1393" s="114"/>
      <c r="AE1393" s="114"/>
      <c r="AF1393" s="114"/>
      <c r="AG1393" s="114"/>
      <c r="AH1393" s="114"/>
      <c r="AI1393" s="114"/>
      <c r="AJ1393" s="114"/>
      <c r="AK1393" s="114"/>
      <c r="AL1393" s="114"/>
      <c r="AM1393" s="114"/>
      <c r="AN1393" s="114"/>
      <c r="AO1393" s="114"/>
      <c r="AP1393" s="114"/>
      <c r="AQ1393" s="114"/>
      <c r="AR1393" s="114"/>
      <c r="AS1393" s="114"/>
      <c r="AT1393" s="114"/>
      <c r="AU1393" s="114"/>
      <c r="AV1393" s="114"/>
      <c r="AW1393" s="114"/>
      <c r="AX1393" s="114"/>
      <c r="AY1393" s="114"/>
      <c r="AZ1393" s="114"/>
    </row>
    <row r="1394" spans="1:52">
      <c r="A1394" s="111"/>
      <c r="B1394" s="111"/>
      <c r="C1394" s="112"/>
      <c r="D1394" s="101"/>
      <c r="E1394" s="101"/>
      <c r="F1394" s="101"/>
      <c r="G1394" s="111"/>
      <c r="H1394" s="101"/>
      <c r="I1394" s="101"/>
      <c r="J1394" s="101"/>
      <c r="K1394" s="101"/>
      <c r="L1394" s="101"/>
      <c r="M1394" s="101"/>
      <c r="N1394" s="101"/>
      <c r="O1394" s="101"/>
      <c r="P1394" s="101"/>
      <c r="Q1394" s="101"/>
      <c r="R1394" s="101"/>
      <c r="S1394" s="101"/>
      <c r="T1394" s="101"/>
      <c r="U1394" s="101"/>
      <c r="V1394" s="101"/>
      <c r="W1394" s="101"/>
      <c r="X1394" s="101"/>
      <c r="Y1394" s="114"/>
      <c r="Z1394" s="114"/>
      <c r="AA1394" s="114"/>
      <c r="AB1394" s="114"/>
      <c r="AC1394" s="114"/>
      <c r="AD1394" s="114"/>
      <c r="AE1394" s="114"/>
      <c r="AF1394" s="114"/>
      <c r="AG1394" s="114"/>
      <c r="AH1394" s="114"/>
      <c r="AI1394" s="114"/>
      <c r="AJ1394" s="114"/>
      <c r="AK1394" s="114"/>
      <c r="AL1394" s="114"/>
      <c r="AM1394" s="114"/>
      <c r="AN1394" s="114"/>
      <c r="AO1394" s="114"/>
      <c r="AP1394" s="114"/>
      <c r="AQ1394" s="114"/>
      <c r="AR1394" s="114"/>
      <c r="AS1394" s="114"/>
      <c r="AT1394" s="114"/>
      <c r="AU1394" s="114"/>
      <c r="AV1394" s="114"/>
      <c r="AW1394" s="114"/>
      <c r="AX1394" s="114"/>
      <c r="AY1394" s="114"/>
      <c r="AZ1394" s="114"/>
    </row>
    <row r="1395" spans="1:52">
      <c r="A1395" s="111"/>
      <c r="B1395" s="111"/>
      <c r="C1395" s="112"/>
      <c r="D1395" s="101"/>
      <c r="E1395" s="101"/>
      <c r="F1395" s="101"/>
      <c r="G1395" s="111"/>
      <c r="H1395" s="101"/>
      <c r="I1395" s="101"/>
      <c r="J1395" s="101"/>
      <c r="K1395" s="101"/>
      <c r="L1395" s="101"/>
      <c r="M1395" s="101"/>
      <c r="N1395" s="101"/>
      <c r="O1395" s="101"/>
      <c r="P1395" s="101"/>
      <c r="Q1395" s="101"/>
      <c r="R1395" s="101"/>
      <c r="S1395" s="101"/>
      <c r="T1395" s="101"/>
      <c r="U1395" s="101"/>
      <c r="V1395" s="101"/>
      <c r="W1395" s="101"/>
      <c r="X1395" s="101"/>
      <c r="Y1395" s="114"/>
      <c r="Z1395" s="114"/>
      <c r="AA1395" s="114"/>
      <c r="AB1395" s="114"/>
      <c r="AC1395" s="114"/>
      <c r="AD1395" s="114"/>
      <c r="AE1395" s="114"/>
      <c r="AF1395" s="114"/>
      <c r="AG1395" s="114"/>
      <c r="AH1395" s="114"/>
      <c r="AI1395" s="114"/>
      <c r="AJ1395" s="114"/>
      <c r="AK1395" s="114"/>
      <c r="AL1395" s="114"/>
      <c r="AM1395" s="114"/>
      <c r="AN1395" s="114"/>
      <c r="AO1395" s="114"/>
      <c r="AP1395" s="114"/>
      <c r="AQ1395" s="114"/>
      <c r="AR1395" s="114"/>
      <c r="AS1395" s="114"/>
      <c r="AT1395" s="114"/>
      <c r="AU1395" s="114"/>
      <c r="AV1395" s="114"/>
      <c r="AW1395" s="114"/>
      <c r="AX1395" s="114"/>
      <c r="AY1395" s="114"/>
      <c r="AZ1395" s="114"/>
    </row>
    <row r="1396" spans="1:52">
      <c r="A1396" s="111"/>
      <c r="B1396" s="111"/>
      <c r="C1396" s="112"/>
      <c r="D1396" s="101"/>
      <c r="E1396" s="101"/>
      <c r="F1396" s="101"/>
      <c r="G1396" s="111"/>
      <c r="H1396" s="101"/>
      <c r="I1396" s="101"/>
      <c r="J1396" s="101"/>
      <c r="K1396" s="101"/>
      <c r="L1396" s="101"/>
      <c r="M1396" s="101"/>
      <c r="N1396" s="101"/>
      <c r="O1396" s="101"/>
      <c r="P1396" s="101"/>
      <c r="Q1396" s="101"/>
      <c r="R1396" s="101"/>
      <c r="S1396" s="101"/>
      <c r="T1396" s="101"/>
      <c r="U1396" s="101"/>
      <c r="V1396" s="101"/>
      <c r="W1396" s="101"/>
      <c r="X1396" s="101"/>
      <c r="Y1396" s="114"/>
      <c r="Z1396" s="114"/>
      <c r="AA1396" s="114"/>
      <c r="AB1396" s="114"/>
      <c r="AC1396" s="114"/>
      <c r="AD1396" s="114"/>
      <c r="AE1396" s="114"/>
      <c r="AF1396" s="114"/>
      <c r="AG1396" s="114"/>
      <c r="AH1396" s="114"/>
      <c r="AI1396" s="114"/>
      <c r="AJ1396" s="114"/>
      <c r="AK1396" s="114"/>
      <c r="AL1396" s="114"/>
      <c r="AM1396" s="114"/>
      <c r="AN1396" s="114"/>
      <c r="AO1396" s="114"/>
      <c r="AP1396" s="114"/>
      <c r="AQ1396" s="114"/>
      <c r="AR1396" s="114"/>
      <c r="AS1396" s="114"/>
      <c r="AT1396" s="114"/>
      <c r="AU1396" s="114"/>
      <c r="AV1396" s="114"/>
      <c r="AW1396" s="114"/>
      <c r="AX1396" s="114"/>
      <c r="AY1396" s="114"/>
      <c r="AZ1396" s="114"/>
    </row>
    <row r="1397" spans="1:52">
      <c r="A1397" s="111"/>
      <c r="B1397" s="111"/>
      <c r="C1397" s="112"/>
      <c r="D1397" s="101"/>
      <c r="E1397" s="101"/>
      <c r="F1397" s="101"/>
      <c r="G1397" s="111"/>
      <c r="H1397" s="101"/>
      <c r="I1397" s="101"/>
      <c r="J1397" s="101"/>
      <c r="K1397" s="101"/>
      <c r="L1397" s="101"/>
      <c r="M1397" s="101"/>
      <c r="N1397" s="101"/>
      <c r="O1397" s="101"/>
      <c r="P1397" s="101"/>
      <c r="Q1397" s="101"/>
      <c r="R1397" s="101"/>
      <c r="S1397" s="101"/>
      <c r="T1397" s="101"/>
      <c r="U1397" s="101"/>
      <c r="V1397" s="101"/>
      <c r="W1397" s="101"/>
      <c r="X1397" s="101"/>
      <c r="Y1397" s="114"/>
      <c r="Z1397" s="114"/>
      <c r="AA1397" s="114"/>
      <c r="AB1397" s="114"/>
      <c r="AC1397" s="114"/>
      <c r="AD1397" s="114"/>
      <c r="AE1397" s="114"/>
      <c r="AF1397" s="114"/>
      <c r="AG1397" s="114"/>
      <c r="AH1397" s="114"/>
      <c r="AI1397" s="114"/>
      <c r="AJ1397" s="114"/>
      <c r="AK1397" s="114"/>
      <c r="AL1397" s="114"/>
      <c r="AM1397" s="114"/>
      <c r="AN1397" s="114"/>
      <c r="AO1397" s="114"/>
      <c r="AP1397" s="114"/>
      <c r="AQ1397" s="114"/>
      <c r="AR1397" s="114"/>
      <c r="AS1397" s="114"/>
      <c r="AT1397" s="114"/>
      <c r="AU1397" s="114"/>
      <c r="AV1397" s="114"/>
      <c r="AW1397" s="114"/>
      <c r="AX1397" s="114"/>
      <c r="AY1397" s="114"/>
      <c r="AZ1397" s="114"/>
    </row>
    <row r="1398" spans="1:52">
      <c r="A1398" s="111"/>
      <c r="B1398" s="111"/>
      <c r="C1398" s="112"/>
      <c r="D1398" s="101"/>
      <c r="E1398" s="101"/>
      <c r="F1398" s="101"/>
      <c r="G1398" s="111"/>
      <c r="H1398" s="101"/>
      <c r="I1398" s="101"/>
      <c r="J1398" s="101"/>
      <c r="K1398" s="101"/>
      <c r="L1398" s="101"/>
      <c r="M1398" s="101"/>
      <c r="N1398" s="101"/>
      <c r="O1398" s="101"/>
      <c r="P1398" s="101"/>
      <c r="Q1398" s="101"/>
      <c r="R1398" s="101"/>
      <c r="S1398" s="101"/>
      <c r="T1398" s="101"/>
      <c r="U1398" s="101"/>
      <c r="V1398" s="101"/>
      <c r="W1398" s="101"/>
      <c r="X1398" s="101"/>
      <c r="Y1398" s="114"/>
      <c r="Z1398" s="114"/>
      <c r="AA1398" s="114"/>
      <c r="AB1398" s="114"/>
      <c r="AC1398" s="114"/>
      <c r="AD1398" s="114"/>
      <c r="AE1398" s="114"/>
      <c r="AF1398" s="114"/>
      <c r="AG1398" s="114"/>
      <c r="AH1398" s="114"/>
      <c r="AI1398" s="114"/>
      <c r="AJ1398" s="114"/>
      <c r="AK1398" s="114"/>
      <c r="AL1398" s="114"/>
      <c r="AM1398" s="114"/>
      <c r="AN1398" s="114"/>
      <c r="AO1398" s="114"/>
      <c r="AP1398" s="114"/>
      <c r="AQ1398" s="114"/>
      <c r="AR1398" s="114"/>
      <c r="AS1398" s="114"/>
      <c r="AT1398" s="114"/>
      <c r="AU1398" s="114"/>
      <c r="AV1398" s="114"/>
      <c r="AW1398" s="114"/>
      <c r="AX1398" s="114"/>
      <c r="AY1398" s="114"/>
      <c r="AZ1398" s="114"/>
    </row>
    <row r="1399" spans="1:52">
      <c r="A1399" s="111"/>
      <c r="B1399" s="111"/>
      <c r="C1399" s="112"/>
      <c r="D1399" s="101"/>
      <c r="E1399" s="101"/>
      <c r="F1399" s="101"/>
      <c r="G1399" s="111"/>
      <c r="H1399" s="101"/>
      <c r="I1399" s="101"/>
      <c r="J1399" s="101"/>
      <c r="K1399" s="101"/>
      <c r="L1399" s="101"/>
      <c r="M1399" s="101"/>
      <c r="N1399" s="101"/>
      <c r="O1399" s="101"/>
      <c r="P1399" s="101"/>
      <c r="Q1399" s="101"/>
      <c r="R1399" s="101"/>
      <c r="S1399" s="101"/>
      <c r="T1399" s="101"/>
      <c r="U1399" s="101"/>
      <c r="V1399" s="101"/>
      <c r="W1399" s="101"/>
      <c r="X1399" s="101"/>
      <c r="Y1399" s="114"/>
      <c r="Z1399" s="114"/>
      <c r="AA1399" s="114"/>
      <c r="AB1399" s="114"/>
      <c r="AC1399" s="114"/>
      <c r="AD1399" s="114"/>
      <c r="AE1399" s="114"/>
      <c r="AF1399" s="114"/>
      <c r="AG1399" s="114"/>
      <c r="AH1399" s="114"/>
      <c r="AI1399" s="114"/>
      <c r="AJ1399" s="114"/>
      <c r="AK1399" s="114"/>
      <c r="AL1399" s="114"/>
      <c r="AM1399" s="114"/>
      <c r="AN1399" s="114"/>
      <c r="AO1399" s="114"/>
      <c r="AP1399" s="114"/>
      <c r="AQ1399" s="114"/>
      <c r="AR1399" s="114"/>
      <c r="AS1399" s="114"/>
      <c r="AT1399" s="114"/>
      <c r="AU1399" s="114"/>
      <c r="AV1399" s="114"/>
      <c r="AW1399" s="114"/>
      <c r="AX1399" s="114"/>
      <c r="AY1399" s="114"/>
      <c r="AZ1399" s="114"/>
    </row>
    <row r="1400" spans="1:52">
      <c r="A1400" s="111"/>
      <c r="B1400" s="111"/>
      <c r="C1400" s="112"/>
      <c r="D1400" s="101"/>
      <c r="E1400" s="101"/>
      <c r="F1400" s="101"/>
      <c r="G1400" s="111"/>
      <c r="H1400" s="101"/>
      <c r="I1400" s="101"/>
      <c r="J1400" s="101"/>
      <c r="K1400" s="101"/>
      <c r="L1400" s="101"/>
      <c r="M1400" s="101"/>
      <c r="N1400" s="101"/>
      <c r="O1400" s="101"/>
      <c r="P1400" s="101"/>
      <c r="Q1400" s="101"/>
      <c r="R1400" s="101"/>
      <c r="S1400" s="101"/>
      <c r="T1400" s="101"/>
      <c r="U1400" s="101"/>
      <c r="V1400" s="101"/>
      <c r="W1400" s="101"/>
      <c r="X1400" s="101"/>
      <c r="Y1400" s="114"/>
      <c r="Z1400" s="114"/>
      <c r="AA1400" s="114"/>
      <c r="AB1400" s="114"/>
      <c r="AC1400" s="114"/>
      <c r="AD1400" s="114"/>
      <c r="AE1400" s="114"/>
      <c r="AF1400" s="114"/>
      <c r="AG1400" s="114"/>
      <c r="AH1400" s="114"/>
      <c r="AI1400" s="114"/>
      <c r="AJ1400" s="114"/>
      <c r="AK1400" s="114"/>
      <c r="AL1400" s="114"/>
      <c r="AM1400" s="114"/>
      <c r="AN1400" s="114"/>
      <c r="AO1400" s="114"/>
      <c r="AP1400" s="114"/>
      <c r="AQ1400" s="114"/>
      <c r="AR1400" s="114"/>
      <c r="AS1400" s="114"/>
      <c r="AT1400" s="114"/>
      <c r="AU1400" s="114"/>
      <c r="AV1400" s="114"/>
      <c r="AW1400" s="114"/>
      <c r="AX1400" s="114"/>
      <c r="AY1400" s="114"/>
      <c r="AZ1400" s="114"/>
    </row>
    <row r="1401" spans="1:52">
      <c r="A1401" s="111"/>
      <c r="B1401" s="111"/>
      <c r="C1401" s="112"/>
      <c r="D1401" s="101"/>
      <c r="E1401" s="101"/>
      <c r="F1401" s="101"/>
      <c r="G1401" s="111"/>
      <c r="H1401" s="101"/>
      <c r="I1401" s="101"/>
      <c r="J1401" s="101"/>
      <c r="K1401" s="101"/>
      <c r="L1401" s="101"/>
      <c r="M1401" s="101"/>
      <c r="N1401" s="101"/>
      <c r="O1401" s="101"/>
      <c r="P1401" s="101"/>
      <c r="Q1401" s="101"/>
      <c r="R1401" s="101"/>
      <c r="S1401" s="101"/>
      <c r="T1401" s="101"/>
      <c r="U1401" s="101"/>
      <c r="V1401" s="101"/>
      <c r="W1401" s="101"/>
      <c r="X1401" s="101"/>
      <c r="Y1401" s="114"/>
      <c r="Z1401" s="114"/>
      <c r="AA1401" s="114"/>
      <c r="AB1401" s="114"/>
      <c r="AC1401" s="114"/>
      <c r="AD1401" s="114"/>
      <c r="AE1401" s="114"/>
      <c r="AF1401" s="114"/>
      <c r="AG1401" s="114"/>
      <c r="AH1401" s="114"/>
      <c r="AI1401" s="114"/>
      <c r="AJ1401" s="114"/>
      <c r="AK1401" s="114"/>
      <c r="AL1401" s="114"/>
      <c r="AM1401" s="114"/>
      <c r="AN1401" s="114"/>
      <c r="AO1401" s="114"/>
      <c r="AP1401" s="114"/>
      <c r="AQ1401" s="114"/>
      <c r="AR1401" s="114"/>
      <c r="AS1401" s="114"/>
      <c r="AT1401" s="114"/>
      <c r="AU1401" s="114"/>
      <c r="AV1401" s="114"/>
      <c r="AW1401" s="114"/>
      <c r="AX1401" s="114"/>
      <c r="AY1401" s="114"/>
      <c r="AZ1401" s="114"/>
    </row>
    <row r="1402" spans="1:52">
      <c r="A1402" s="111"/>
      <c r="B1402" s="111"/>
      <c r="C1402" s="112"/>
      <c r="D1402" s="101"/>
      <c r="E1402" s="101"/>
      <c r="F1402" s="101"/>
      <c r="G1402" s="111"/>
      <c r="H1402" s="101"/>
      <c r="I1402" s="101"/>
      <c r="J1402" s="101"/>
      <c r="K1402" s="101"/>
      <c r="L1402" s="101"/>
      <c r="M1402" s="101"/>
      <c r="N1402" s="101"/>
      <c r="O1402" s="101"/>
      <c r="P1402" s="101"/>
      <c r="Q1402" s="101"/>
      <c r="R1402" s="101"/>
      <c r="S1402" s="101"/>
      <c r="T1402" s="101"/>
      <c r="U1402" s="101"/>
      <c r="V1402" s="101"/>
      <c r="W1402" s="101"/>
      <c r="X1402" s="101"/>
      <c r="Y1402" s="114"/>
      <c r="Z1402" s="114"/>
      <c r="AA1402" s="114"/>
      <c r="AB1402" s="114"/>
      <c r="AC1402" s="114"/>
      <c r="AD1402" s="114"/>
      <c r="AE1402" s="114"/>
      <c r="AF1402" s="114"/>
      <c r="AG1402" s="114"/>
      <c r="AH1402" s="114"/>
      <c r="AI1402" s="114"/>
      <c r="AJ1402" s="114"/>
      <c r="AK1402" s="114"/>
      <c r="AL1402" s="114"/>
      <c r="AM1402" s="114"/>
      <c r="AN1402" s="114"/>
      <c r="AO1402" s="114"/>
      <c r="AP1402" s="114"/>
      <c r="AQ1402" s="114"/>
      <c r="AR1402" s="114"/>
      <c r="AS1402" s="114"/>
      <c r="AT1402" s="114"/>
      <c r="AU1402" s="114"/>
      <c r="AV1402" s="114"/>
      <c r="AW1402" s="114"/>
      <c r="AX1402" s="114"/>
      <c r="AY1402" s="114"/>
      <c r="AZ1402" s="114"/>
    </row>
    <row r="1403" spans="1:52">
      <c r="A1403" s="111"/>
      <c r="B1403" s="111"/>
      <c r="C1403" s="112"/>
      <c r="D1403" s="101"/>
      <c r="E1403" s="101"/>
      <c r="F1403" s="101"/>
      <c r="G1403" s="111"/>
      <c r="H1403" s="101"/>
      <c r="I1403" s="101"/>
      <c r="J1403" s="101"/>
      <c r="K1403" s="101"/>
      <c r="L1403" s="101"/>
      <c r="M1403" s="101"/>
      <c r="N1403" s="101"/>
      <c r="O1403" s="101"/>
      <c r="P1403" s="101"/>
      <c r="Q1403" s="101"/>
      <c r="R1403" s="101"/>
      <c r="S1403" s="101"/>
      <c r="T1403" s="101"/>
      <c r="U1403" s="101"/>
      <c r="V1403" s="101"/>
      <c r="W1403" s="101"/>
      <c r="X1403" s="101"/>
      <c r="Y1403" s="114"/>
      <c r="Z1403" s="114"/>
      <c r="AA1403" s="114"/>
      <c r="AB1403" s="114"/>
      <c r="AC1403" s="114"/>
      <c r="AD1403" s="114"/>
      <c r="AE1403" s="114"/>
      <c r="AF1403" s="114"/>
      <c r="AG1403" s="114"/>
      <c r="AH1403" s="114"/>
      <c r="AI1403" s="114"/>
      <c r="AJ1403" s="114"/>
      <c r="AK1403" s="114"/>
      <c r="AL1403" s="114"/>
      <c r="AM1403" s="114"/>
      <c r="AN1403" s="114"/>
      <c r="AO1403" s="114"/>
      <c r="AP1403" s="114"/>
      <c r="AQ1403" s="114"/>
      <c r="AR1403" s="114"/>
      <c r="AS1403" s="114"/>
      <c r="AT1403" s="114"/>
      <c r="AU1403" s="114"/>
      <c r="AV1403" s="114"/>
      <c r="AW1403" s="114"/>
      <c r="AX1403" s="114"/>
      <c r="AY1403" s="114"/>
      <c r="AZ1403" s="114"/>
    </row>
    <row r="1404" spans="1:52">
      <c r="A1404" s="111"/>
      <c r="B1404" s="111"/>
      <c r="C1404" s="112"/>
      <c r="D1404" s="101"/>
      <c r="E1404" s="101"/>
      <c r="F1404" s="101"/>
      <c r="G1404" s="111"/>
      <c r="H1404" s="101"/>
      <c r="I1404" s="101"/>
      <c r="J1404" s="101"/>
      <c r="K1404" s="101"/>
      <c r="L1404" s="101"/>
      <c r="M1404" s="101"/>
      <c r="N1404" s="101"/>
      <c r="O1404" s="101"/>
      <c r="P1404" s="101"/>
      <c r="Q1404" s="101"/>
      <c r="R1404" s="101"/>
      <c r="S1404" s="101"/>
      <c r="T1404" s="101"/>
      <c r="U1404" s="101"/>
      <c r="V1404" s="101"/>
      <c r="W1404" s="101"/>
      <c r="X1404" s="101"/>
      <c r="Y1404" s="114"/>
      <c r="Z1404" s="114"/>
      <c r="AA1404" s="114"/>
      <c r="AB1404" s="114"/>
      <c r="AC1404" s="114"/>
      <c r="AD1404" s="114"/>
      <c r="AE1404" s="114"/>
      <c r="AF1404" s="114"/>
      <c r="AG1404" s="114"/>
      <c r="AH1404" s="114"/>
      <c r="AI1404" s="114"/>
      <c r="AJ1404" s="114"/>
      <c r="AK1404" s="114"/>
      <c r="AL1404" s="114"/>
      <c r="AM1404" s="114"/>
      <c r="AN1404" s="114"/>
      <c r="AO1404" s="114"/>
      <c r="AP1404" s="114"/>
      <c r="AQ1404" s="114"/>
      <c r="AR1404" s="114"/>
      <c r="AS1404" s="114"/>
      <c r="AT1404" s="114"/>
      <c r="AU1404" s="114"/>
      <c r="AV1404" s="114"/>
      <c r="AW1404" s="114"/>
      <c r="AX1404" s="114"/>
      <c r="AY1404" s="114"/>
      <c r="AZ1404" s="114"/>
    </row>
    <row r="1405" spans="1:52">
      <c r="A1405" s="111"/>
      <c r="B1405" s="111"/>
      <c r="C1405" s="112"/>
      <c r="D1405" s="101"/>
      <c r="E1405" s="101"/>
      <c r="F1405" s="101"/>
      <c r="G1405" s="111"/>
      <c r="H1405" s="101"/>
      <c r="I1405" s="101"/>
      <c r="J1405" s="101"/>
      <c r="K1405" s="101"/>
      <c r="L1405" s="101"/>
      <c r="M1405" s="101"/>
      <c r="N1405" s="101"/>
      <c r="O1405" s="101"/>
      <c r="P1405" s="101"/>
      <c r="Q1405" s="101"/>
      <c r="R1405" s="101"/>
      <c r="S1405" s="101"/>
      <c r="T1405" s="101"/>
      <c r="U1405" s="101"/>
      <c r="V1405" s="101"/>
      <c r="W1405" s="101"/>
      <c r="X1405" s="101"/>
      <c r="Y1405" s="114"/>
      <c r="Z1405" s="114"/>
      <c r="AA1405" s="114"/>
      <c r="AB1405" s="114"/>
      <c r="AC1405" s="114"/>
      <c r="AD1405" s="114"/>
      <c r="AE1405" s="114"/>
      <c r="AF1405" s="114"/>
      <c r="AG1405" s="114"/>
      <c r="AH1405" s="114"/>
      <c r="AI1405" s="114"/>
      <c r="AJ1405" s="114"/>
      <c r="AK1405" s="114"/>
      <c r="AL1405" s="114"/>
      <c r="AM1405" s="114"/>
      <c r="AN1405" s="114"/>
      <c r="AO1405" s="114"/>
      <c r="AP1405" s="114"/>
      <c r="AQ1405" s="114"/>
      <c r="AR1405" s="114"/>
      <c r="AS1405" s="114"/>
      <c r="AT1405" s="114"/>
      <c r="AU1405" s="114"/>
      <c r="AV1405" s="114"/>
      <c r="AW1405" s="114"/>
      <c r="AX1405" s="114"/>
      <c r="AY1405" s="114"/>
      <c r="AZ1405" s="114"/>
    </row>
    <row r="1406" spans="1:52">
      <c r="A1406" s="111"/>
      <c r="B1406" s="111"/>
      <c r="C1406" s="112"/>
      <c r="D1406" s="101"/>
      <c r="E1406" s="101"/>
      <c r="F1406" s="101"/>
      <c r="G1406" s="111"/>
      <c r="H1406" s="101"/>
      <c r="I1406" s="101"/>
      <c r="J1406" s="101"/>
      <c r="K1406" s="101"/>
      <c r="L1406" s="101"/>
      <c r="M1406" s="101"/>
      <c r="N1406" s="101"/>
      <c r="O1406" s="101"/>
      <c r="P1406" s="101"/>
      <c r="Q1406" s="101"/>
      <c r="R1406" s="101"/>
      <c r="S1406" s="101"/>
      <c r="T1406" s="101"/>
      <c r="U1406" s="101"/>
      <c r="V1406" s="101"/>
      <c r="W1406" s="101"/>
      <c r="X1406" s="101"/>
      <c r="Y1406" s="114"/>
      <c r="Z1406" s="114"/>
      <c r="AA1406" s="114"/>
      <c r="AB1406" s="114"/>
      <c r="AC1406" s="114"/>
      <c r="AD1406" s="114"/>
      <c r="AE1406" s="114"/>
      <c r="AF1406" s="114"/>
      <c r="AG1406" s="114"/>
      <c r="AH1406" s="114"/>
      <c r="AI1406" s="114"/>
      <c r="AJ1406" s="114"/>
      <c r="AK1406" s="114"/>
      <c r="AL1406" s="114"/>
      <c r="AM1406" s="114"/>
      <c r="AN1406" s="114"/>
      <c r="AO1406" s="114"/>
      <c r="AP1406" s="114"/>
      <c r="AQ1406" s="114"/>
      <c r="AR1406" s="114"/>
      <c r="AS1406" s="114"/>
      <c r="AT1406" s="114"/>
      <c r="AU1406" s="114"/>
      <c r="AV1406" s="114"/>
      <c r="AW1406" s="114"/>
      <c r="AX1406" s="114"/>
      <c r="AY1406" s="114"/>
      <c r="AZ1406" s="114"/>
    </row>
    <row r="1407" spans="1:52">
      <c r="A1407" s="111"/>
      <c r="B1407" s="111"/>
      <c r="C1407" s="112"/>
      <c r="D1407" s="101"/>
      <c r="E1407" s="101"/>
      <c r="F1407" s="101"/>
      <c r="G1407" s="111"/>
      <c r="H1407" s="101"/>
      <c r="I1407" s="101"/>
      <c r="J1407" s="101"/>
      <c r="K1407" s="101"/>
      <c r="L1407" s="101"/>
      <c r="M1407" s="101"/>
      <c r="N1407" s="101"/>
      <c r="O1407" s="101"/>
      <c r="P1407" s="101"/>
      <c r="Q1407" s="101"/>
      <c r="R1407" s="101"/>
      <c r="S1407" s="101"/>
      <c r="T1407" s="101"/>
      <c r="U1407" s="101"/>
      <c r="V1407" s="101"/>
      <c r="W1407" s="101"/>
      <c r="X1407" s="101"/>
      <c r="Y1407" s="114"/>
      <c r="Z1407" s="114"/>
      <c r="AA1407" s="114"/>
      <c r="AB1407" s="114"/>
      <c r="AC1407" s="114"/>
      <c r="AD1407" s="114"/>
      <c r="AE1407" s="114"/>
      <c r="AF1407" s="114"/>
      <c r="AG1407" s="114"/>
      <c r="AH1407" s="114"/>
      <c r="AI1407" s="114"/>
      <c r="AJ1407" s="114"/>
      <c r="AK1407" s="114"/>
      <c r="AL1407" s="114"/>
      <c r="AM1407" s="114"/>
      <c r="AN1407" s="114"/>
      <c r="AO1407" s="114"/>
      <c r="AP1407" s="114"/>
      <c r="AQ1407" s="114"/>
      <c r="AR1407" s="114"/>
      <c r="AS1407" s="114"/>
      <c r="AT1407" s="114"/>
      <c r="AU1407" s="114"/>
      <c r="AV1407" s="114"/>
      <c r="AW1407" s="114"/>
      <c r="AX1407" s="114"/>
      <c r="AY1407" s="114"/>
      <c r="AZ1407" s="114"/>
    </row>
    <row r="1408" spans="1:52">
      <c r="A1408" s="111"/>
      <c r="B1408" s="111"/>
      <c r="C1408" s="112"/>
      <c r="D1408" s="101"/>
      <c r="E1408" s="101"/>
      <c r="F1408" s="101"/>
      <c r="G1408" s="111"/>
      <c r="H1408" s="101"/>
      <c r="I1408" s="101"/>
      <c r="J1408" s="101"/>
      <c r="K1408" s="101"/>
      <c r="L1408" s="101"/>
      <c r="M1408" s="101"/>
      <c r="N1408" s="101"/>
      <c r="O1408" s="101"/>
      <c r="P1408" s="101"/>
      <c r="Q1408" s="101"/>
      <c r="R1408" s="101"/>
      <c r="S1408" s="101"/>
      <c r="T1408" s="101"/>
      <c r="U1408" s="101"/>
      <c r="V1408" s="101"/>
      <c r="W1408" s="101"/>
      <c r="X1408" s="101"/>
      <c r="Y1408" s="114"/>
      <c r="Z1408" s="114"/>
      <c r="AA1408" s="114"/>
      <c r="AB1408" s="114"/>
      <c r="AC1408" s="114"/>
      <c r="AD1408" s="114"/>
      <c r="AE1408" s="114"/>
      <c r="AF1408" s="114"/>
      <c r="AG1408" s="114"/>
      <c r="AH1408" s="114"/>
      <c r="AI1408" s="114"/>
      <c r="AJ1408" s="114"/>
      <c r="AK1408" s="114"/>
      <c r="AL1408" s="114"/>
      <c r="AM1408" s="114"/>
      <c r="AN1408" s="114"/>
      <c r="AO1408" s="114"/>
      <c r="AP1408" s="114"/>
      <c r="AQ1408" s="114"/>
      <c r="AR1408" s="114"/>
      <c r="AS1408" s="114"/>
      <c r="AT1408" s="114"/>
      <c r="AU1408" s="114"/>
      <c r="AV1408" s="114"/>
      <c r="AW1408" s="114"/>
      <c r="AX1408" s="114"/>
      <c r="AY1408" s="114"/>
      <c r="AZ1408" s="114"/>
    </row>
    <row r="1409" spans="1:52">
      <c r="A1409" s="111"/>
      <c r="B1409" s="111"/>
      <c r="C1409" s="112"/>
      <c r="D1409" s="101"/>
      <c r="E1409" s="101"/>
      <c r="F1409" s="101"/>
      <c r="G1409" s="111"/>
      <c r="H1409" s="101"/>
      <c r="I1409" s="101"/>
      <c r="J1409" s="101"/>
      <c r="K1409" s="101"/>
      <c r="L1409" s="101"/>
      <c r="M1409" s="101"/>
      <c r="N1409" s="101"/>
      <c r="O1409" s="101"/>
      <c r="P1409" s="101"/>
      <c r="Q1409" s="101"/>
      <c r="R1409" s="101"/>
      <c r="S1409" s="101"/>
      <c r="T1409" s="101"/>
      <c r="U1409" s="101"/>
      <c r="V1409" s="101"/>
      <c r="W1409" s="101"/>
      <c r="X1409" s="101"/>
      <c r="Y1409" s="114"/>
      <c r="Z1409" s="114"/>
      <c r="AA1409" s="114"/>
      <c r="AB1409" s="114"/>
      <c r="AC1409" s="114"/>
      <c r="AD1409" s="114"/>
      <c r="AE1409" s="114"/>
      <c r="AF1409" s="114"/>
      <c r="AG1409" s="114"/>
      <c r="AH1409" s="114"/>
      <c r="AI1409" s="114"/>
      <c r="AJ1409" s="114"/>
      <c r="AK1409" s="114"/>
      <c r="AL1409" s="114"/>
      <c r="AM1409" s="114"/>
      <c r="AN1409" s="114"/>
      <c r="AO1409" s="114"/>
      <c r="AP1409" s="114"/>
      <c r="AQ1409" s="114"/>
      <c r="AR1409" s="114"/>
      <c r="AS1409" s="114"/>
      <c r="AT1409" s="114"/>
      <c r="AU1409" s="114"/>
      <c r="AV1409" s="114"/>
      <c r="AW1409" s="114"/>
      <c r="AX1409" s="114"/>
      <c r="AY1409" s="114"/>
      <c r="AZ1409" s="114"/>
    </row>
    <row r="1410" spans="1:52">
      <c r="A1410" s="111"/>
      <c r="B1410" s="111"/>
      <c r="C1410" s="112"/>
      <c r="D1410" s="101"/>
      <c r="E1410" s="101"/>
      <c r="F1410" s="101"/>
      <c r="G1410" s="111"/>
      <c r="H1410" s="101"/>
      <c r="I1410" s="101"/>
      <c r="J1410" s="101"/>
      <c r="K1410" s="101"/>
      <c r="L1410" s="101"/>
      <c r="M1410" s="101"/>
      <c r="N1410" s="101"/>
      <c r="O1410" s="101"/>
      <c r="P1410" s="101"/>
      <c r="Q1410" s="101"/>
      <c r="R1410" s="101"/>
      <c r="S1410" s="101"/>
      <c r="T1410" s="101"/>
      <c r="U1410" s="101"/>
      <c r="V1410" s="101"/>
      <c r="W1410" s="101"/>
      <c r="X1410" s="101"/>
      <c r="Y1410" s="114"/>
      <c r="Z1410" s="114"/>
      <c r="AA1410" s="114"/>
      <c r="AB1410" s="114"/>
      <c r="AC1410" s="114"/>
      <c r="AD1410" s="114"/>
      <c r="AE1410" s="114"/>
      <c r="AF1410" s="114"/>
      <c r="AG1410" s="114"/>
      <c r="AH1410" s="114"/>
      <c r="AI1410" s="114"/>
      <c r="AJ1410" s="114"/>
      <c r="AK1410" s="114"/>
      <c r="AL1410" s="114"/>
      <c r="AM1410" s="114"/>
      <c r="AN1410" s="114"/>
      <c r="AO1410" s="114"/>
      <c r="AP1410" s="114"/>
      <c r="AQ1410" s="114"/>
      <c r="AR1410" s="114"/>
      <c r="AS1410" s="114"/>
      <c r="AT1410" s="114"/>
      <c r="AU1410" s="114"/>
      <c r="AV1410" s="114"/>
      <c r="AW1410" s="114"/>
      <c r="AX1410" s="114"/>
      <c r="AY1410" s="114"/>
      <c r="AZ1410" s="114"/>
    </row>
    <row r="1411" spans="1:52">
      <c r="A1411" s="111"/>
      <c r="B1411" s="111"/>
      <c r="C1411" s="112"/>
      <c r="D1411" s="101"/>
      <c r="E1411" s="101"/>
      <c r="F1411" s="101"/>
      <c r="G1411" s="111"/>
      <c r="H1411" s="101"/>
      <c r="I1411" s="101"/>
      <c r="J1411" s="101"/>
      <c r="K1411" s="101"/>
      <c r="L1411" s="101"/>
      <c r="M1411" s="101"/>
      <c r="N1411" s="101"/>
      <c r="O1411" s="101"/>
      <c r="P1411" s="101"/>
      <c r="Q1411" s="101"/>
      <c r="R1411" s="101"/>
      <c r="S1411" s="101"/>
      <c r="T1411" s="101"/>
      <c r="U1411" s="101"/>
      <c r="V1411" s="101"/>
      <c r="W1411" s="101"/>
      <c r="X1411" s="101"/>
      <c r="Y1411" s="114"/>
      <c r="Z1411" s="114"/>
      <c r="AA1411" s="114"/>
      <c r="AB1411" s="114"/>
      <c r="AC1411" s="114"/>
      <c r="AD1411" s="114"/>
      <c r="AE1411" s="114"/>
      <c r="AF1411" s="114"/>
      <c r="AG1411" s="114"/>
      <c r="AH1411" s="114"/>
      <c r="AI1411" s="114"/>
      <c r="AJ1411" s="114"/>
      <c r="AK1411" s="114"/>
      <c r="AL1411" s="114"/>
      <c r="AM1411" s="114"/>
      <c r="AN1411" s="114"/>
      <c r="AO1411" s="114"/>
      <c r="AP1411" s="114"/>
      <c r="AQ1411" s="114"/>
      <c r="AR1411" s="114"/>
      <c r="AS1411" s="114"/>
      <c r="AT1411" s="114"/>
      <c r="AU1411" s="114"/>
      <c r="AV1411" s="114"/>
      <c r="AW1411" s="114"/>
      <c r="AX1411" s="114"/>
      <c r="AY1411" s="114"/>
      <c r="AZ1411" s="114"/>
    </row>
    <row r="1412" spans="1:52">
      <c r="A1412" s="111"/>
      <c r="B1412" s="111"/>
      <c r="C1412" s="112"/>
      <c r="D1412" s="101"/>
      <c r="E1412" s="101"/>
      <c r="F1412" s="101"/>
      <c r="G1412" s="111"/>
      <c r="H1412" s="101"/>
      <c r="I1412" s="101"/>
      <c r="J1412" s="101"/>
      <c r="K1412" s="101"/>
      <c r="L1412" s="101"/>
      <c r="M1412" s="101"/>
      <c r="N1412" s="101"/>
      <c r="O1412" s="101"/>
      <c r="P1412" s="101"/>
      <c r="Q1412" s="101"/>
      <c r="R1412" s="101"/>
      <c r="S1412" s="101"/>
      <c r="T1412" s="101"/>
      <c r="U1412" s="101"/>
      <c r="V1412" s="101"/>
      <c r="W1412" s="101"/>
      <c r="X1412" s="101"/>
      <c r="Y1412" s="114"/>
      <c r="Z1412" s="114"/>
      <c r="AA1412" s="114"/>
      <c r="AB1412" s="114"/>
      <c r="AC1412" s="114"/>
      <c r="AD1412" s="114"/>
      <c r="AE1412" s="114"/>
      <c r="AF1412" s="114"/>
      <c r="AG1412" s="114"/>
      <c r="AH1412" s="114"/>
      <c r="AI1412" s="114"/>
      <c r="AJ1412" s="114"/>
      <c r="AK1412" s="114"/>
      <c r="AL1412" s="114"/>
      <c r="AM1412" s="114"/>
      <c r="AN1412" s="114"/>
      <c r="AO1412" s="114"/>
      <c r="AP1412" s="114"/>
      <c r="AQ1412" s="114"/>
      <c r="AR1412" s="114"/>
      <c r="AS1412" s="114"/>
      <c r="AT1412" s="114"/>
      <c r="AU1412" s="114"/>
      <c r="AV1412" s="114"/>
      <c r="AW1412" s="114"/>
      <c r="AX1412" s="114"/>
      <c r="AY1412" s="114"/>
      <c r="AZ1412" s="114"/>
    </row>
    <row r="1413" spans="1:52">
      <c r="A1413" s="111"/>
      <c r="B1413" s="111"/>
      <c r="C1413" s="112"/>
      <c r="D1413" s="101"/>
      <c r="E1413" s="101"/>
      <c r="F1413" s="101"/>
      <c r="G1413" s="111"/>
      <c r="H1413" s="101"/>
      <c r="I1413" s="101"/>
      <c r="J1413" s="101"/>
      <c r="K1413" s="101"/>
      <c r="L1413" s="101"/>
      <c r="M1413" s="101"/>
      <c r="N1413" s="101"/>
      <c r="O1413" s="101"/>
      <c r="P1413" s="101"/>
      <c r="Q1413" s="101"/>
      <c r="R1413" s="101"/>
      <c r="S1413" s="101"/>
      <c r="T1413" s="101"/>
      <c r="U1413" s="101"/>
      <c r="V1413" s="101"/>
      <c r="W1413" s="101"/>
      <c r="X1413" s="101"/>
      <c r="Y1413" s="114"/>
      <c r="Z1413" s="114"/>
      <c r="AA1413" s="114"/>
      <c r="AB1413" s="114"/>
      <c r="AC1413" s="114"/>
      <c r="AD1413" s="114"/>
      <c r="AE1413" s="114"/>
      <c r="AF1413" s="114"/>
      <c r="AG1413" s="114"/>
      <c r="AH1413" s="114"/>
      <c r="AI1413" s="114"/>
      <c r="AJ1413" s="114"/>
      <c r="AK1413" s="114"/>
      <c r="AL1413" s="114"/>
      <c r="AM1413" s="114"/>
      <c r="AN1413" s="114"/>
      <c r="AO1413" s="114"/>
      <c r="AP1413" s="114"/>
      <c r="AQ1413" s="114"/>
      <c r="AR1413" s="114"/>
      <c r="AS1413" s="114"/>
      <c r="AT1413" s="114"/>
      <c r="AU1413" s="114"/>
      <c r="AV1413" s="114"/>
      <c r="AW1413" s="114"/>
      <c r="AX1413" s="114"/>
      <c r="AY1413" s="114"/>
      <c r="AZ1413" s="114"/>
    </row>
    <row r="1414" spans="1:52">
      <c r="A1414" s="111"/>
      <c r="B1414" s="111"/>
      <c r="C1414" s="112"/>
      <c r="D1414" s="101"/>
      <c r="E1414" s="101"/>
      <c r="F1414" s="101"/>
      <c r="G1414" s="111"/>
      <c r="H1414" s="101"/>
      <c r="I1414" s="101"/>
      <c r="J1414" s="101"/>
      <c r="K1414" s="101"/>
      <c r="L1414" s="101"/>
      <c r="M1414" s="101"/>
      <c r="N1414" s="101"/>
      <c r="O1414" s="101"/>
      <c r="P1414" s="101"/>
      <c r="Q1414" s="101"/>
      <c r="R1414" s="101"/>
      <c r="S1414" s="101"/>
      <c r="T1414" s="101"/>
      <c r="U1414" s="101"/>
      <c r="V1414" s="101"/>
      <c r="W1414" s="101"/>
      <c r="X1414" s="101"/>
      <c r="Y1414" s="114"/>
      <c r="Z1414" s="114"/>
      <c r="AA1414" s="114"/>
      <c r="AB1414" s="114"/>
      <c r="AC1414" s="114"/>
      <c r="AD1414" s="114"/>
      <c r="AE1414" s="114"/>
      <c r="AF1414" s="114"/>
      <c r="AG1414" s="114"/>
      <c r="AH1414" s="114"/>
      <c r="AI1414" s="114"/>
      <c r="AJ1414" s="114"/>
      <c r="AK1414" s="114"/>
      <c r="AL1414" s="114"/>
      <c r="AM1414" s="114"/>
      <c r="AN1414" s="114"/>
      <c r="AO1414" s="114"/>
      <c r="AP1414" s="114"/>
      <c r="AQ1414" s="114"/>
      <c r="AR1414" s="114"/>
      <c r="AS1414" s="114"/>
      <c r="AT1414" s="114"/>
      <c r="AU1414" s="114"/>
      <c r="AV1414" s="114"/>
      <c r="AW1414" s="114"/>
      <c r="AX1414" s="114"/>
      <c r="AY1414" s="114"/>
      <c r="AZ1414" s="114"/>
    </row>
    <row r="1415" spans="1:52">
      <c r="A1415" s="111"/>
      <c r="B1415" s="111"/>
      <c r="C1415" s="112"/>
      <c r="D1415" s="101"/>
      <c r="E1415" s="101"/>
      <c r="F1415" s="101"/>
      <c r="G1415" s="111"/>
      <c r="H1415" s="101"/>
      <c r="I1415" s="101"/>
      <c r="J1415" s="101"/>
      <c r="K1415" s="101"/>
      <c r="L1415" s="101"/>
      <c r="M1415" s="101"/>
      <c r="N1415" s="101"/>
      <c r="O1415" s="101"/>
      <c r="P1415" s="101"/>
      <c r="Q1415" s="101"/>
      <c r="R1415" s="101"/>
      <c r="S1415" s="101"/>
      <c r="T1415" s="101"/>
      <c r="U1415" s="101"/>
      <c r="V1415" s="101"/>
      <c r="W1415" s="101"/>
      <c r="X1415" s="101"/>
      <c r="Y1415" s="114"/>
      <c r="Z1415" s="114"/>
      <c r="AA1415" s="114"/>
      <c r="AB1415" s="114"/>
      <c r="AC1415" s="114"/>
      <c r="AD1415" s="114"/>
      <c r="AE1415" s="114"/>
      <c r="AF1415" s="114"/>
      <c r="AG1415" s="114"/>
      <c r="AH1415" s="114"/>
      <c r="AI1415" s="114"/>
      <c r="AJ1415" s="114"/>
      <c r="AK1415" s="114"/>
      <c r="AL1415" s="114"/>
      <c r="AM1415" s="114"/>
      <c r="AN1415" s="114"/>
      <c r="AO1415" s="114"/>
      <c r="AP1415" s="114"/>
      <c r="AQ1415" s="114"/>
      <c r="AR1415" s="114"/>
      <c r="AS1415" s="114"/>
      <c r="AT1415" s="114"/>
      <c r="AU1415" s="114"/>
      <c r="AV1415" s="114"/>
      <c r="AW1415" s="114"/>
      <c r="AX1415" s="114"/>
      <c r="AY1415" s="114"/>
      <c r="AZ1415" s="114"/>
    </row>
    <row r="1416" spans="1:52">
      <c r="A1416" s="111"/>
      <c r="B1416" s="111"/>
      <c r="C1416" s="112"/>
      <c r="D1416" s="101"/>
      <c r="E1416" s="101"/>
      <c r="F1416" s="101"/>
      <c r="G1416" s="111"/>
      <c r="H1416" s="101"/>
      <c r="I1416" s="101"/>
      <c r="J1416" s="101"/>
      <c r="K1416" s="101"/>
      <c r="L1416" s="101"/>
      <c r="M1416" s="101"/>
      <c r="N1416" s="101"/>
      <c r="O1416" s="101"/>
      <c r="P1416" s="101"/>
      <c r="Q1416" s="101"/>
      <c r="R1416" s="101"/>
      <c r="S1416" s="101"/>
      <c r="T1416" s="101"/>
      <c r="U1416" s="101"/>
      <c r="V1416" s="101"/>
      <c r="W1416" s="101"/>
      <c r="X1416" s="101"/>
      <c r="Y1416" s="114"/>
      <c r="Z1416" s="114"/>
      <c r="AA1416" s="114"/>
      <c r="AB1416" s="114"/>
      <c r="AC1416" s="114"/>
      <c r="AD1416" s="114"/>
      <c r="AE1416" s="114"/>
      <c r="AF1416" s="114"/>
      <c r="AG1416" s="114"/>
      <c r="AH1416" s="114"/>
      <c r="AI1416" s="114"/>
      <c r="AJ1416" s="114"/>
      <c r="AK1416" s="114"/>
      <c r="AL1416" s="114"/>
      <c r="AM1416" s="114"/>
      <c r="AN1416" s="114"/>
      <c r="AO1416" s="114"/>
      <c r="AP1416" s="114"/>
      <c r="AQ1416" s="114"/>
      <c r="AR1416" s="114"/>
      <c r="AS1416" s="114"/>
      <c r="AT1416" s="114"/>
      <c r="AU1416" s="114"/>
      <c r="AV1416" s="114"/>
      <c r="AW1416" s="114"/>
      <c r="AX1416" s="114"/>
      <c r="AY1416" s="114"/>
      <c r="AZ1416" s="114"/>
    </row>
    <row r="1417" spans="1:52">
      <c r="A1417" s="111"/>
      <c r="B1417" s="111"/>
      <c r="C1417" s="112"/>
      <c r="D1417" s="101"/>
      <c r="E1417" s="101"/>
      <c r="F1417" s="101"/>
      <c r="G1417" s="111"/>
      <c r="H1417" s="101"/>
      <c r="I1417" s="101"/>
      <c r="J1417" s="101"/>
      <c r="K1417" s="101"/>
      <c r="L1417" s="101"/>
      <c r="M1417" s="101"/>
      <c r="N1417" s="101"/>
      <c r="O1417" s="101"/>
      <c r="P1417" s="101"/>
      <c r="Q1417" s="101"/>
      <c r="R1417" s="101"/>
      <c r="S1417" s="101"/>
      <c r="T1417" s="101"/>
      <c r="U1417" s="101"/>
      <c r="V1417" s="101"/>
      <c r="W1417" s="101"/>
      <c r="X1417" s="101"/>
      <c r="Y1417" s="114"/>
      <c r="Z1417" s="114"/>
      <c r="AA1417" s="114"/>
      <c r="AB1417" s="114"/>
      <c r="AC1417" s="114"/>
      <c r="AD1417" s="114"/>
      <c r="AE1417" s="114"/>
      <c r="AF1417" s="114"/>
      <c r="AG1417" s="114"/>
      <c r="AH1417" s="114"/>
      <c r="AI1417" s="114"/>
      <c r="AJ1417" s="114"/>
      <c r="AK1417" s="114"/>
      <c r="AL1417" s="114"/>
      <c r="AM1417" s="114"/>
      <c r="AN1417" s="114"/>
      <c r="AO1417" s="114"/>
      <c r="AP1417" s="114"/>
      <c r="AQ1417" s="114"/>
      <c r="AR1417" s="114"/>
      <c r="AS1417" s="114"/>
      <c r="AT1417" s="114"/>
      <c r="AU1417" s="114"/>
      <c r="AV1417" s="114"/>
      <c r="AW1417" s="114"/>
      <c r="AX1417" s="114"/>
      <c r="AY1417" s="114"/>
      <c r="AZ1417" s="114"/>
    </row>
    <row r="1418" spans="1:52">
      <c r="A1418" s="111"/>
      <c r="B1418" s="111"/>
      <c r="C1418" s="112"/>
      <c r="D1418" s="101"/>
      <c r="E1418" s="101"/>
      <c r="F1418" s="101"/>
      <c r="G1418" s="111"/>
      <c r="H1418" s="101"/>
      <c r="I1418" s="101"/>
      <c r="J1418" s="101"/>
      <c r="K1418" s="101"/>
      <c r="L1418" s="101"/>
      <c r="M1418" s="101"/>
      <c r="N1418" s="101"/>
      <c r="O1418" s="101"/>
      <c r="P1418" s="101"/>
      <c r="Q1418" s="101"/>
      <c r="R1418" s="101"/>
      <c r="S1418" s="101"/>
      <c r="T1418" s="101"/>
      <c r="U1418" s="101"/>
      <c r="V1418" s="101"/>
      <c r="W1418" s="101"/>
      <c r="X1418" s="101"/>
      <c r="Y1418" s="114"/>
      <c r="Z1418" s="114"/>
      <c r="AA1418" s="114"/>
      <c r="AB1418" s="114"/>
      <c r="AC1418" s="114"/>
      <c r="AD1418" s="114"/>
      <c r="AE1418" s="114"/>
      <c r="AF1418" s="114"/>
      <c r="AG1418" s="114"/>
      <c r="AH1418" s="114"/>
      <c r="AI1418" s="114"/>
      <c r="AJ1418" s="114"/>
      <c r="AK1418" s="114"/>
      <c r="AL1418" s="114"/>
      <c r="AM1418" s="114"/>
      <c r="AN1418" s="114"/>
      <c r="AO1418" s="114"/>
      <c r="AP1418" s="114"/>
      <c r="AQ1418" s="114"/>
      <c r="AR1418" s="114"/>
      <c r="AS1418" s="114"/>
      <c r="AT1418" s="114"/>
      <c r="AU1418" s="114"/>
      <c r="AV1418" s="114"/>
      <c r="AW1418" s="114"/>
      <c r="AX1418" s="114"/>
      <c r="AY1418" s="114"/>
      <c r="AZ1418" s="114"/>
    </row>
    <row r="1419" spans="1:52">
      <c r="A1419" s="111"/>
      <c r="B1419" s="111"/>
      <c r="C1419" s="112"/>
      <c r="D1419" s="101"/>
      <c r="E1419" s="101"/>
      <c r="F1419" s="101"/>
      <c r="G1419" s="111"/>
      <c r="H1419" s="101"/>
      <c r="I1419" s="101"/>
      <c r="J1419" s="101"/>
      <c r="K1419" s="101"/>
      <c r="L1419" s="101"/>
      <c r="M1419" s="101"/>
      <c r="N1419" s="101"/>
      <c r="O1419" s="101"/>
      <c r="P1419" s="101"/>
      <c r="Q1419" s="101"/>
      <c r="R1419" s="101"/>
      <c r="S1419" s="101"/>
      <c r="T1419" s="101"/>
      <c r="U1419" s="101"/>
      <c r="V1419" s="101"/>
      <c r="W1419" s="101"/>
      <c r="X1419" s="101"/>
      <c r="Y1419" s="114"/>
      <c r="Z1419" s="114"/>
      <c r="AA1419" s="114"/>
      <c r="AB1419" s="114"/>
      <c r="AC1419" s="114"/>
      <c r="AD1419" s="114"/>
      <c r="AE1419" s="114"/>
      <c r="AF1419" s="114"/>
      <c r="AG1419" s="114"/>
      <c r="AH1419" s="114"/>
      <c r="AI1419" s="114"/>
      <c r="AJ1419" s="114"/>
      <c r="AK1419" s="114"/>
      <c r="AL1419" s="114"/>
      <c r="AM1419" s="114"/>
      <c r="AN1419" s="114"/>
      <c r="AO1419" s="114"/>
      <c r="AP1419" s="114"/>
      <c r="AQ1419" s="114"/>
      <c r="AR1419" s="114"/>
      <c r="AS1419" s="114"/>
      <c r="AT1419" s="114"/>
      <c r="AU1419" s="114"/>
      <c r="AV1419" s="114"/>
      <c r="AW1419" s="114"/>
      <c r="AX1419" s="114"/>
      <c r="AY1419" s="114"/>
      <c r="AZ1419" s="114"/>
    </row>
    <row r="1420" spans="1:52">
      <c r="A1420" s="111"/>
      <c r="B1420" s="111"/>
      <c r="C1420" s="112"/>
      <c r="D1420" s="101"/>
      <c r="E1420" s="101"/>
      <c r="F1420" s="101"/>
      <c r="G1420" s="111"/>
      <c r="H1420" s="101"/>
      <c r="I1420" s="101"/>
      <c r="J1420" s="101"/>
      <c r="K1420" s="101"/>
      <c r="L1420" s="101"/>
      <c r="M1420" s="101"/>
      <c r="N1420" s="101"/>
      <c r="O1420" s="101"/>
      <c r="P1420" s="101"/>
      <c r="Q1420" s="101"/>
      <c r="R1420" s="101"/>
      <c r="S1420" s="101"/>
      <c r="T1420" s="101"/>
      <c r="U1420" s="101"/>
      <c r="V1420" s="101"/>
      <c r="W1420" s="101"/>
      <c r="X1420" s="101"/>
      <c r="Y1420" s="114"/>
      <c r="Z1420" s="114"/>
      <c r="AA1420" s="114"/>
      <c r="AB1420" s="114"/>
      <c r="AC1420" s="114"/>
      <c r="AD1420" s="114"/>
      <c r="AE1420" s="114"/>
      <c r="AF1420" s="114"/>
      <c r="AG1420" s="114"/>
      <c r="AH1420" s="114"/>
      <c r="AI1420" s="114"/>
      <c r="AJ1420" s="114"/>
      <c r="AK1420" s="114"/>
      <c r="AL1420" s="114"/>
      <c r="AM1420" s="114"/>
      <c r="AN1420" s="114"/>
      <c r="AO1420" s="114"/>
      <c r="AP1420" s="114"/>
      <c r="AQ1420" s="114"/>
      <c r="AR1420" s="114"/>
      <c r="AS1420" s="114"/>
      <c r="AT1420" s="114"/>
      <c r="AU1420" s="114"/>
      <c r="AV1420" s="114"/>
      <c r="AW1420" s="114"/>
      <c r="AX1420" s="114"/>
      <c r="AY1420" s="114"/>
      <c r="AZ1420" s="114"/>
    </row>
    <row r="1421" spans="1:52">
      <c r="A1421" s="111"/>
      <c r="B1421" s="111"/>
      <c r="C1421" s="112"/>
      <c r="D1421" s="101"/>
      <c r="E1421" s="101"/>
      <c r="F1421" s="101"/>
      <c r="G1421" s="111"/>
      <c r="H1421" s="101"/>
      <c r="I1421" s="101"/>
      <c r="J1421" s="101"/>
      <c r="K1421" s="101"/>
      <c r="L1421" s="101"/>
      <c r="M1421" s="101"/>
      <c r="N1421" s="101"/>
      <c r="O1421" s="101"/>
      <c r="P1421" s="101"/>
      <c r="Q1421" s="101"/>
      <c r="R1421" s="101"/>
      <c r="S1421" s="101"/>
      <c r="T1421" s="101"/>
      <c r="U1421" s="101"/>
      <c r="V1421" s="101"/>
      <c r="W1421" s="101"/>
      <c r="X1421" s="101"/>
      <c r="Y1421" s="114"/>
      <c r="Z1421" s="114"/>
      <c r="AA1421" s="114"/>
      <c r="AB1421" s="114"/>
      <c r="AC1421" s="114"/>
      <c r="AD1421" s="114"/>
      <c r="AE1421" s="114"/>
      <c r="AF1421" s="114"/>
      <c r="AG1421" s="114"/>
      <c r="AH1421" s="114"/>
      <c r="AI1421" s="114"/>
      <c r="AJ1421" s="114"/>
      <c r="AK1421" s="114"/>
      <c r="AL1421" s="114"/>
      <c r="AM1421" s="114"/>
      <c r="AN1421" s="114"/>
      <c r="AO1421" s="114"/>
      <c r="AP1421" s="114"/>
      <c r="AQ1421" s="114"/>
      <c r="AR1421" s="114"/>
      <c r="AS1421" s="114"/>
      <c r="AT1421" s="114"/>
      <c r="AU1421" s="114"/>
      <c r="AV1421" s="114"/>
      <c r="AW1421" s="114"/>
      <c r="AX1421" s="114"/>
      <c r="AY1421" s="114"/>
      <c r="AZ1421" s="114"/>
    </row>
    <row r="1422" spans="1:52">
      <c r="A1422" s="111"/>
      <c r="B1422" s="111"/>
      <c r="C1422" s="112"/>
      <c r="D1422" s="101"/>
      <c r="E1422" s="101"/>
      <c r="F1422" s="101"/>
      <c r="G1422" s="111"/>
      <c r="H1422" s="101"/>
      <c r="I1422" s="101"/>
      <c r="J1422" s="101"/>
      <c r="K1422" s="101"/>
      <c r="L1422" s="101"/>
      <c r="M1422" s="101"/>
      <c r="N1422" s="101"/>
      <c r="O1422" s="101"/>
      <c r="P1422" s="101"/>
      <c r="Q1422" s="101"/>
      <c r="R1422" s="101"/>
      <c r="S1422" s="101"/>
      <c r="T1422" s="101"/>
      <c r="U1422" s="101"/>
      <c r="V1422" s="101"/>
      <c r="W1422" s="101"/>
      <c r="X1422" s="101"/>
      <c r="Y1422" s="114"/>
      <c r="Z1422" s="114"/>
      <c r="AA1422" s="114"/>
      <c r="AB1422" s="114"/>
      <c r="AC1422" s="114"/>
      <c r="AD1422" s="114"/>
      <c r="AE1422" s="114"/>
      <c r="AF1422" s="114"/>
      <c r="AG1422" s="114"/>
      <c r="AH1422" s="114"/>
      <c r="AI1422" s="114"/>
      <c r="AJ1422" s="114"/>
      <c r="AK1422" s="114"/>
      <c r="AL1422" s="114"/>
      <c r="AM1422" s="114"/>
      <c r="AN1422" s="114"/>
      <c r="AO1422" s="114"/>
      <c r="AP1422" s="114"/>
      <c r="AQ1422" s="114"/>
      <c r="AR1422" s="114"/>
      <c r="AS1422" s="114"/>
      <c r="AT1422" s="114"/>
      <c r="AU1422" s="114"/>
      <c r="AV1422" s="114"/>
      <c r="AW1422" s="114"/>
      <c r="AX1422" s="114"/>
      <c r="AY1422" s="114"/>
      <c r="AZ1422" s="114"/>
    </row>
    <row r="1423" spans="1:52">
      <c r="A1423" s="111"/>
      <c r="B1423" s="111"/>
      <c r="C1423" s="112"/>
      <c r="D1423" s="101"/>
      <c r="E1423" s="101"/>
      <c r="F1423" s="101"/>
      <c r="G1423" s="111"/>
      <c r="H1423" s="101"/>
      <c r="I1423" s="101"/>
      <c r="J1423" s="101"/>
      <c r="K1423" s="101"/>
      <c r="L1423" s="101"/>
      <c r="M1423" s="101"/>
      <c r="N1423" s="101"/>
      <c r="O1423" s="101"/>
      <c r="P1423" s="101"/>
      <c r="Q1423" s="101"/>
      <c r="R1423" s="101"/>
      <c r="S1423" s="101"/>
      <c r="T1423" s="101"/>
      <c r="U1423" s="101"/>
      <c r="V1423" s="101"/>
      <c r="W1423" s="101"/>
      <c r="X1423" s="101"/>
      <c r="Y1423" s="114"/>
      <c r="Z1423" s="114"/>
      <c r="AA1423" s="114"/>
      <c r="AB1423" s="114"/>
      <c r="AC1423" s="114"/>
      <c r="AD1423" s="114"/>
      <c r="AE1423" s="114"/>
      <c r="AF1423" s="114"/>
      <c r="AG1423" s="114"/>
      <c r="AH1423" s="114"/>
      <c r="AI1423" s="114"/>
      <c r="AJ1423" s="114"/>
      <c r="AK1423" s="114"/>
      <c r="AL1423" s="114"/>
      <c r="AM1423" s="114"/>
      <c r="AN1423" s="114"/>
      <c r="AO1423" s="114"/>
      <c r="AP1423" s="114"/>
      <c r="AQ1423" s="114"/>
      <c r="AR1423" s="114"/>
      <c r="AS1423" s="114"/>
      <c r="AT1423" s="114"/>
      <c r="AU1423" s="114"/>
      <c r="AV1423" s="114"/>
      <c r="AW1423" s="114"/>
      <c r="AX1423" s="114"/>
      <c r="AY1423" s="114"/>
      <c r="AZ1423" s="114"/>
    </row>
    <row r="1424" spans="1:52">
      <c r="A1424" s="111"/>
      <c r="B1424" s="111"/>
      <c r="C1424" s="112"/>
      <c r="D1424" s="101"/>
      <c r="E1424" s="101"/>
      <c r="F1424" s="101"/>
      <c r="G1424" s="111"/>
      <c r="H1424" s="101"/>
      <c r="I1424" s="101"/>
      <c r="J1424" s="101"/>
      <c r="K1424" s="101"/>
      <c r="L1424" s="101"/>
      <c r="M1424" s="101"/>
      <c r="N1424" s="101"/>
      <c r="O1424" s="101"/>
      <c r="P1424" s="101"/>
      <c r="Q1424" s="101"/>
      <c r="R1424" s="101"/>
      <c r="S1424" s="101"/>
      <c r="T1424" s="101"/>
      <c r="U1424" s="101"/>
      <c r="V1424" s="101"/>
      <c r="W1424" s="101"/>
      <c r="X1424" s="101"/>
      <c r="Y1424" s="114"/>
      <c r="Z1424" s="114"/>
      <c r="AA1424" s="114"/>
      <c r="AB1424" s="114"/>
      <c r="AC1424" s="114"/>
      <c r="AD1424" s="114"/>
      <c r="AE1424" s="114"/>
      <c r="AF1424" s="114"/>
      <c r="AG1424" s="114"/>
      <c r="AH1424" s="114"/>
      <c r="AI1424" s="114"/>
      <c r="AJ1424" s="114"/>
      <c r="AK1424" s="114"/>
      <c r="AL1424" s="114"/>
      <c r="AM1424" s="114"/>
      <c r="AN1424" s="114"/>
      <c r="AO1424" s="114"/>
      <c r="AP1424" s="114"/>
      <c r="AQ1424" s="114"/>
      <c r="AR1424" s="114"/>
      <c r="AS1424" s="114"/>
      <c r="AT1424" s="114"/>
      <c r="AU1424" s="114"/>
      <c r="AV1424" s="114"/>
      <c r="AW1424" s="114"/>
      <c r="AX1424" s="114"/>
      <c r="AY1424" s="114"/>
      <c r="AZ1424" s="114"/>
    </row>
    <row r="1425" spans="1:52">
      <c r="A1425" s="111"/>
      <c r="B1425" s="111"/>
      <c r="C1425" s="112"/>
      <c r="D1425" s="101"/>
      <c r="E1425" s="101"/>
      <c r="F1425" s="101"/>
      <c r="G1425" s="111"/>
      <c r="H1425" s="101"/>
      <c r="I1425" s="101"/>
      <c r="J1425" s="101"/>
      <c r="K1425" s="101"/>
      <c r="L1425" s="101"/>
      <c r="M1425" s="101"/>
      <c r="N1425" s="101"/>
      <c r="O1425" s="101"/>
      <c r="P1425" s="101"/>
      <c r="Q1425" s="101"/>
      <c r="R1425" s="101"/>
      <c r="S1425" s="101"/>
      <c r="T1425" s="101"/>
      <c r="U1425" s="101"/>
      <c r="V1425" s="101"/>
      <c r="W1425" s="101"/>
      <c r="X1425" s="101"/>
      <c r="Y1425" s="114"/>
      <c r="Z1425" s="114"/>
      <c r="AA1425" s="114"/>
      <c r="AB1425" s="114"/>
      <c r="AC1425" s="114"/>
      <c r="AD1425" s="114"/>
      <c r="AE1425" s="114"/>
      <c r="AF1425" s="114"/>
      <c r="AG1425" s="114"/>
      <c r="AH1425" s="114"/>
      <c r="AI1425" s="114"/>
      <c r="AJ1425" s="114"/>
      <c r="AK1425" s="114"/>
      <c r="AL1425" s="114"/>
      <c r="AM1425" s="114"/>
      <c r="AN1425" s="114"/>
      <c r="AO1425" s="114"/>
      <c r="AP1425" s="114"/>
      <c r="AQ1425" s="114"/>
      <c r="AR1425" s="114"/>
      <c r="AS1425" s="114"/>
      <c r="AT1425" s="114"/>
      <c r="AU1425" s="114"/>
      <c r="AV1425" s="114"/>
      <c r="AW1425" s="114"/>
      <c r="AX1425" s="114"/>
      <c r="AY1425" s="114"/>
      <c r="AZ1425" s="114"/>
    </row>
    <row r="1426" spans="1:52">
      <c r="A1426" s="111"/>
      <c r="B1426" s="111"/>
      <c r="C1426" s="112"/>
      <c r="D1426" s="101"/>
      <c r="E1426" s="101"/>
      <c r="F1426" s="101"/>
      <c r="G1426" s="111"/>
      <c r="H1426" s="101"/>
      <c r="I1426" s="101"/>
      <c r="J1426" s="101"/>
      <c r="K1426" s="101"/>
      <c r="L1426" s="101"/>
      <c r="M1426" s="101"/>
      <c r="N1426" s="101"/>
      <c r="O1426" s="101"/>
      <c r="P1426" s="101"/>
      <c r="Q1426" s="101"/>
      <c r="R1426" s="101"/>
      <c r="S1426" s="101"/>
      <c r="T1426" s="101"/>
      <c r="U1426" s="101"/>
      <c r="V1426" s="101"/>
      <c r="W1426" s="101"/>
      <c r="X1426" s="101"/>
      <c r="Y1426" s="114"/>
      <c r="Z1426" s="114"/>
      <c r="AA1426" s="114"/>
      <c r="AB1426" s="114"/>
      <c r="AC1426" s="114"/>
      <c r="AD1426" s="114"/>
      <c r="AE1426" s="114"/>
      <c r="AF1426" s="114"/>
      <c r="AG1426" s="114"/>
      <c r="AH1426" s="114"/>
      <c r="AI1426" s="114"/>
      <c r="AJ1426" s="114"/>
      <c r="AK1426" s="114"/>
      <c r="AL1426" s="114"/>
      <c r="AM1426" s="114"/>
      <c r="AN1426" s="114"/>
      <c r="AO1426" s="114"/>
      <c r="AP1426" s="114"/>
      <c r="AQ1426" s="114"/>
      <c r="AR1426" s="114"/>
      <c r="AS1426" s="114"/>
      <c r="AT1426" s="114"/>
      <c r="AU1426" s="114"/>
      <c r="AV1426" s="114"/>
      <c r="AW1426" s="114"/>
      <c r="AX1426" s="114"/>
      <c r="AY1426" s="114"/>
      <c r="AZ1426" s="114"/>
    </row>
    <row r="1427" spans="1:52">
      <c r="A1427" s="111"/>
      <c r="B1427" s="111"/>
      <c r="C1427" s="112"/>
      <c r="D1427" s="101"/>
      <c r="E1427" s="101"/>
      <c r="F1427" s="101"/>
      <c r="G1427" s="111"/>
      <c r="H1427" s="101"/>
      <c r="I1427" s="101"/>
      <c r="J1427" s="101"/>
      <c r="K1427" s="101"/>
      <c r="L1427" s="101"/>
      <c r="M1427" s="101"/>
      <c r="N1427" s="101"/>
      <c r="O1427" s="101"/>
      <c r="P1427" s="101"/>
      <c r="Q1427" s="101"/>
      <c r="R1427" s="101"/>
      <c r="S1427" s="101"/>
      <c r="T1427" s="101"/>
      <c r="U1427" s="101"/>
      <c r="V1427" s="101"/>
      <c r="W1427" s="101"/>
      <c r="X1427" s="101"/>
      <c r="Y1427" s="114"/>
      <c r="Z1427" s="114"/>
      <c r="AA1427" s="114"/>
      <c r="AB1427" s="114"/>
      <c r="AC1427" s="114"/>
      <c r="AD1427" s="114"/>
      <c r="AE1427" s="114"/>
      <c r="AF1427" s="114"/>
      <c r="AG1427" s="114"/>
      <c r="AH1427" s="114"/>
      <c r="AI1427" s="114"/>
      <c r="AJ1427" s="114"/>
      <c r="AK1427" s="114"/>
      <c r="AL1427" s="114"/>
      <c r="AM1427" s="114"/>
      <c r="AN1427" s="114"/>
      <c r="AO1427" s="114"/>
      <c r="AP1427" s="114"/>
      <c r="AQ1427" s="114"/>
      <c r="AR1427" s="114"/>
      <c r="AS1427" s="114"/>
      <c r="AT1427" s="114"/>
      <c r="AU1427" s="114"/>
      <c r="AV1427" s="114"/>
      <c r="AW1427" s="114"/>
      <c r="AX1427" s="114"/>
      <c r="AY1427" s="114"/>
      <c r="AZ1427" s="114"/>
    </row>
    <row r="1428" spans="1:52">
      <c r="A1428" s="111"/>
      <c r="B1428" s="111"/>
      <c r="C1428" s="112"/>
      <c r="D1428" s="101"/>
      <c r="E1428" s="101"/>
      <c r="F1428" s="101"/>
      <c r="G1428" s="111"/>
      <c r="H1428" s="101"/>
      <c r="I1428" s="101"/>
      <c r="J1428" s="101"/>
      <c r="K1428" s="101"/>
      <c r="L1428" s="101"/>
      <c r="M1428" s="101"/>
      <c r="N1428" s="101"/>
      <c r="O1428" s="101"/>
      <c r="P1428" s="101"/>
      <c r="Q1428" s="101"/>
      <c r="R1428" s="101"/>
      <c r="S1428" s="101"/>
      <c r="T1428" s="101"/>
      <c r="U1428" s="101"/>
      <c r="V1428" s="101"/>
      <c r="W1428" s="101"/>
      <c r="X1428" s="101"/>
      <c r="Y1428" s="114"/>
      <c r="Z1428" s="114"/>
      <c r="AA1428" s="114"/>
      <c r="AB1428" s="114"/>
      <c r="AC1428" s="114"/>
      <c r="AD1428" s="114"/>
      <c r="AE1428" s="114"/>
      <c r="AF1428" s="114"/>
      <c r="AG1428" s="114"/>
      <c r="AH1428" s="114"/>
      <c r="AI1428" s="114"/>
      <c r="AJ1428" s="114"/>
      <c r="AK1428" s="114"/>
      <c r="AL1428" s="114"/>
      <c r="AM1428" s="114"/>
      <c r="AN1428" s="114"/>
      <c r="AO1428" s="114"/>
      <c r="AP1428" s="114"/>
      <c r="AQ1428" s="114"/>
      <c r="AR1428" s="114"/>
      <c r="AS1428" s="114"/>
      <c r="AT1428" s="114"/>
      <c r="AU1428" s="114"/>
      <c r="AV1428" s="114"/>
      <c r="AW1428" s="114"/>
      <c r="AX1428" s="114"/>
      <c r="AY1428" s="114"/>
      <c r="AZ1428" s="114"/>
    </row>
    <row r="1429" spans="1:52">
      <c r="A1429" s="111"/>
      <c r="B1429" s="111"/>
      <c r="C1429" s="112"/>
      <c r="D1429" s="101"/>
      <c r="E1429" s="101"/>
      <c r="F1429" s="101"/>
      <c r="G1429" s="111"/>
      <c r="H1429" s="101"/>
      <c r="I1429" s="101"/>
      <c r="J1429" s="101"/>
      <c r="K1429" s="101"/>
      <c r="L1429" s="101"/>
      <c r="M1429" s="101"/>
      <c r="N1429" s="101"/>
      <c r="O1429" s="101"/>
      <c r="P1429" s="101"/>
      <c r="Q1429" s="101"/>
      <c r="R1429" s="101"/>
      <c r="S1429" s="101"/>
      <c r="T1429" s="101"/>
      <c r="U1429" s="101"/>
      <c r="V1429" s="101"/>
      <c r="W1429" s="101"/>
      <c r="X1429" s="101"/>
      <c r="Y1429" s="114"/>
      <c r="Z1429" s="114"/>
      <c r="AA1429" s="114"/>
      <c r="AB1429" s="114"/>
      <c r="AC1429" s="114"/>
      <c r="AD1429" s="114"/>
      <c r="AE1429" s="114"/>
      <c r="AF1429" s="114"/>
      <c r="AG1429" s="114"/>
      <c r="AH1429" s="114"/>
      <c r="AI1429" s="114"/>
      <c r="AJ1429" s="114"/>
      <c r="AK1429" s="114"/>
      <c r="AL1429" s="114"/>
      <c r="AM1429" s="114"/>
      <c r="AN1429" s="114"/>
      <c r="AO1429" s="114"/>
      <c r="AP1429" s="114"/>
      <c r="AQ1429" s="114"/>
      <c r="AR1429" s="114"/>
      <c r="AS1429" s="114"/>
      <c r="AT1429" s="114"/>
      <c r="AU1429" s="114"/>
      <c r="AV1429" s="114"/>
      <c r="AW1429" s="114"/>
      <c r="AX1429" s="114"/>
      <c r="AY1429" s="114"/>
      <c r="AZ1429" s="114"/>
    </row>
    <row r="1430" spans="1:52">
      <c r="A1430" s="111"/>
      <c r="B1430" s="111"/>
      <c r="C1430" s="112"/>
      <c r="D1430" s="101"/>
      <c r="E1430" s="101"/>
      <c r="F1430" s="101"/>
      <c r="G1430" s="111"/>
      <c r="H1430" s="101"/>
      <c r="I1430" s="101"/>
      <c r="J1430" s="101"/>
      <c r="K1430" s="101"/>
      <c r="L1430" s="101"/>
      <c r="M1430" s="101"/>
      <c r="N1430" s="101"/>
      <c r="O1430" s="101"/>
      <c r="P1430" s="101"/>
      <c r="Q1430" s="101"/>
      <c r="R1430" s="101"/>
      <c r="S1430" s="101"/>
      <c r="T1430" s="101"/>
      <c r="U1430" s="101"/>
      <c r="V1430" s="101"/>
      <c r="W1430" s="101"/>
      <c r="X1430" s="101"/>
      <c r="Y1430" s="114"/>
      <c r="Z1430" s="114"/>
      <c r="AA1430" s="114"/>
      <c r="AB1430" s="114"/>
      <c r="AC1430" s="114"/>
      <c r="AD1430" s="114"/>
      <c r="AE1430" s="114"/>
      <c r="AF1430" s="114"/>
      <c r="AG1430" s="114"/>
      <c r="AH1430" s="114"/>
      <c r="AI1430" s="114"/>
      <c r="AJ1430" s="114"/>
      <c r="AK1430" s="114"/>
      <c r="AL1430" s="114"/>
      <c r="AM1430" s="114"/>
      <c r="AN1430" s="114"/>
      <c r="AO1430" s="114"/>
      <c r="AP1430" s="114"/>
      <c r="AQ1430" s="114"/>
      <c r="AR1430" s="114"/>
      <c r="AS1430" s="114"/>
      <c r="AT1430" s="114"/>
      <c r="AU1430" s="114"/>
      <c r="AV1430" s="114"/>
      <c r="AW1430" s="114"/>
      <c r="AX1430" s="114"/>
      <c r="AY1430" s="114"/>
      <c r="AZ1430" s="114"/>
    </row>
    <row r="1431" spans="1:52">
      <c r="A1431" s="111"/>
      <c r="B1431" s="111"/>
      <c r="C1431" s="112"/>
      <c r="D1431" s="101"/>
      <c r="E1431" s="101"/>
      <c r="F1431" s="101"/>
      <c r="G1431" s="111"/>
      <c r="H1431" s="101"/>
      <c r="I1431" s="101"/>
      <c r="J1431" s="101"/>
      <c r="K1431" s="101"/>
      <c r="L1431" s="101"/>
      <c r="M1431" s="101"/>
      <c r="N1431" s="101"/>
      <c r="O1431" s="101"/>
      <c r="P1431" s="101"/>
      <c r="Q1431" s="101"/>
      <c r="R1431" s="101"/>
      <c r="S1431" s="101"/>
      <c r="T1431" s="101"/>
      <c r="U1431" s="101"/>
      <c r="V1431" s="101"/>
      <c r="W1431" s="101"/>
      <c r="X1431" s="101"/>
      <c r="Y1431" s="114"/>
      <c r="Z1431" s="114"/>
      <c r="AA1431" s="114"/>
      <c r="AB1431" s="114"/>
      <c r="AC1431" s="114"/>
      <c r="AD1431" s="114"/>
      <c r="AE1431" s="114"/>
      <c r="AF1431" s="114"/>
      <c r="AG1431" s="114"/>
      <c r="AH1431" s="114"/>
      <c r="AI1431" s="114"/>
      <c r="AJ1431" s="114"/>
      <c r="AK1431" s="114"/>
      <c r="AL1431" s="114"/>
      <c r="AM1431" s="114"/>
      <c r="AN1431" s="114"/>
      <c r="AO1431" s="114"/>
      <c r="AP1431" s="114"/>
      <c r="AQ1431" s="114"/>
      <c r="AR1431" s="114"/>
      <c r="AS1431" s="114"/>
      <c r="AT1431" s="114"/>
      <c r="AU1431" s="114"/>
      <c r="AV1431" s="114"/>
      <c r="AW1431" s="114"/>
      <c r="AX1431" s="114"/>
      <c r="AY1431" s="114"/>
      <c r="AZ1431" s="114"/>
    </row>
    <row r="1432" spans="1:52">
      <c r="A1432" s="111"/>
      <c r="B1432" s="111"/>
      <c r="C1432" s="112"/>
      <c r="D1432" s="101"/>
      <c r="E1432" s="101"/>
      <c r="F1432" s="101"/>
      <c r="G1432" s="111"/>
      <c r="H1432" s="101"/>
      <c r="I1432" s="101"/>
      <c r="J1432" s="101"/>
      <c r="K1432" s="101"/>
      <c r="L1432" s="101"/>
      <c r="M1432" s="101"/>
      <c r="N1432" s="101"/>
      <c r="O1432" s="101"/>
      <c r="P1432" s="101"/>
      <c r="Q1432" s="101"/>
      <c r="R1432" s="101"/>
      <c r="S1432" s="101"/>
      <c r="T1432" s="101"/>
      <c r="U1432" s="101"/>
      <c r="V1432" s="101"/>
      <c r="W1432" s="101"/>
      <c r="X1432" s="101"/>
      <c r="Y1432" s="114"/>
      <c r="Z1432" s="114"/>
      <c r="AA1432" s="114"/>
      <c r="AB1432" s="114"/>
      <c r="AC1432" s="114"/>
      <c r="AD1432" s="114"/>
      <c r="AE1432" s="114"/>
      <c r="AF1432" s="114"/>
      <c r="AG1432" s="114"/>
      <c r="AH1432" s="114"/>
      <c r="AI1432" s="114"/>
      <c r="AJ1432" s="114"/>
      <c r="AK1432" s="114"/>
      <c r="AL1432" s="114"/>
      <c r="AM1432" s="114"/>
      <c r="AN1432" s="114"/>
      <c r="AO1432" s="114"/>
      <c r="AP1432" s="114"/>
      <c r="AQ1432" s="114"/>
      <c r="AR1432" s="114"/>
      <c r="AS1432" s="114"/>
      <c r="AT1432" s="114"/>
      <c r="AU1432" s="114"/>
      <c r="AV1432" s="114"/>
      <c r="AW1432" s="114"/>
      <c r="AX1432" s="114"/>
      <c r="AY1432" s="114"/>
      <c r="AZ1432" s="114"/>
    </row>
    <row r="1433" spans="1:52">
      <c r="A1433" s="111"/>
      <c r="B1433" s="111"/>
      <c r="C1433" s="112"/>
      <c r="D1433" s="101"/>
      <c r="E1433" s="101"/>
      <c r="F1433" s="101"/>
      <c r="G1433" s="111"/>
      <c r="H1433" s="101"/>
      <c r="I1433" s="101"/>
      <c r="J1433" s="101"/>
      <c r="K1433" s="101"/>
      <c r="L1433" s="101"/>
      <c r="M1433" s="101"/>
      <c r="N1433" s="101"/>
      <c r="O1433" s="101"/>
      <c r="P1433" s="101"/>
      <c r="Q1433" s="101"/>
      <c r="R1433" s="101"/>
      <c r="S1433" s="101"/>
      <c r="T1433" s="101"/>
      <c r="U1433" s="101"/>
      <c r="V1433" s="101"/>
      <c r="W1433" s="101"/>
      <c r="X1433" s="101"/>
      <c r="Y1433" s="114"/>
      <c r="Z1433" s="114"/>
      <c r="AA1433" s="114"/>
      <c r="AB1433" s="114"/>
      <c r="AC1433" s="114"/>
      <c r="AD1433" s="114"/>
      <c r="AE1433" s="114"/>
      <c r="AF1433" s="114"/>
      <c r="AG1433" s="114"/>
      <c r="AH1433" s="114"/>
      <c r="AI1433" s="114"/>
      <c r="AJ1433" s="114"/>
      <c r="AK1433" s="114"/>
      <c r="AL1433" s="114"/>
      <c r="AM1433" s="114"/>
      <c r="AN1433" s="114"/>
      <c r="AO1433" s="114"/>
      <c r="AP1433" s="114"/>
      <c r="AQ1433" s="114"/>
      <c r="AR1433" s="114"/>
      <c r="AS1433" s="114"/>
      <c r="AT1433" s="114"/>
      <c r="AU1433" s="114"/>
      <c r="AV1433" s="114"/>
      <c r="AW1433" s="114"/>
      <c r="AX1433" s="114"/>
      <c r="AY1433" s="114"/>
      <c r="AZ1433" s="114"/>
    </row>
    <row r="1434" spans="1:52">
      <c r="A1434" s="111"/>
      <c r="B1434" s="111"/>
      <c r="C1434" s="112"/>
      <c r="D1434" s="101"/>
      <c r="E1434" s="101"/>
      <c r="F1434" s="101"/>
      <c r="G1434" s="111"/>
      <c r="H1434" s="101"/>
      <c r="I1434" s="101"/>
      <c r="J1434" s="101"/>
      <c r="K1434" s="101"/>
      <c r="L1434" s="101"/>
      <c r="M1434" s="101"/>
      <c r="N1434" s="101"/>
      <c r="O1434" s="101"/>
      <c r="P1434" s="101"/>
      <c r="Q1434" s="101"/>
      <c r="R1434" s="101"/>
      <c r="S1434" s="101"/>
      <c r="T1434" s="101"/>
      <c r="U1434" s="101"/>
      <c r="V1434" s="101"/>
      <c r="W1434" s="101"/>
      <c r="X1434" s="101"/>
      <c r="Y1434" s="114"/>
      <c r="Z1434" s="114"/>
      <c r="AA1434" s="114"/>
      <c r="AB1434" s="114"/>
      <c r="AC1434" s="114"/>
      <c r="AD1434" s="114"/>
      <c r="AE1434" s="114"/>
      <c r="AF1434" s="114"/>
      <c r="AG1434" s="114"/>
      <c r="AH1434" s="114"/>
      <c r="AI1434" s="114"/>
      <c r="AJ1434" s="114"/>
      <c r="AK1434" s="114"/>
      <c r="AL1434" s="114"/>
      <c r="AM1434" s="114"/>
      <c r="AN1434" s="114"/>
      <c r="AO1434" s="114"/>
      <c r="AP1434" s="114"/>
      <c r="AQ1434" s="114"/>
      <c r="AR1434" s="114"/>
      <c r="AS1434" s="114"/>
      <c r="AT1434" s="114"/>
      <c r="AU1434" s="114"/>
      <c r="AV1434" s="114"/>
      <c r="AW1434" s="114"/>
      <c r="AX1434" s="114"/>
      <c r="AY1434" s="114"/>
      <c r="AZ1434" s="114"/>
    </row>
    <row r="1435" spans="1:52">
      <c r="A1435" s="111"/>
      <c r="B1435" s="111"/>
      <c r="C1435" s="112"/>
      <c r="D1435" s="101"/>
      <c r="E1435" s="101"/>
      <c r="F1435" s="101"/>
      <c r="G1435" s="111"/>
      <c r="H1435" s="101"/>
      <c r="I1435" s="101"/>
      <c r="J1435" s="101"/>
      <c r="K1435" s="101"/>
      <c r="L1435" s="101"/>
      <c r="M1435" s="101"/>
      <c r="N1435" s="101"/>
      <c r="O1435" s="101"/>
      <c r="P1435" s="101"/>
      <c r="Q1435" s="101"/>
      <c r="R1435" s="101"/>
      <c r="S1435" s="101"/>
      <c r="T1435" s="101"/>
      <c r="U1435" s="101"/>
      <c r="V1435" s="101"/>
      <c r="W1435" s="101"/>
      <c r="X1435" s="101"/>
      <c r="Y1435" s="114"/>
      <c r="Z1435" s="114"/>
      <c r="AA1435" s="114"/>
      <c r="AB1435" s="114"/>
      <c r="AC1435" s="114"/>
      <c r="AD1435" s="114"/>
      <c r="AE1435" s="114"/>
      <c r="AF1435" s="114"/>
      <c r="AG1435" s="114"/>
      <c r="AH1435" s="114"/>
      <c r="AI1435" s="114"/>
      <c r="AJ1435" s="114"/>
      <c r="AK1435" s="114"/>
      <c r="AL1435" s="114"/>
      <c r="AM1435" s="114"/>
      <c r="AN1435" s="114"/>
      <c r="AO1435" s="114"/>
      <c r="AP1435" s="114"/>
      <c r="AQ1435" s="114"/>
      <c r="AR1435" s="114"/>
      <c r="AS1435" s="114"/>
      <c r="AT1435" s="114"/>
      <c r="AU1435" s="114"/>
      <c r="AV1435" s="114"/>
      <c r="AW1435" s="114"/>
      <c r="AX1435" s="114"/>
      <c r="AY1435" s="114"/>
      <c r="AZ1435" s="114"/>
    </row>
    <row r="1436" spans="1:52">
      <c r="A1436" s="111"/>
      <c r="B1436" s="111"/>
      <c r="C1436" s="112"/>
      <c r="D1436" s="101"/>
      <c r="E1436" s="101"/>
      <c r="F1436" s="101"/>
      <c r="G1436" s="111"/>
      <c r="H1436" s="101"/>
      <c r="I1436" s="101"/>
      <c r="J1436" s="101"/>
      <c r="K1436" s="101"/>
      <c r="L1436" s="101"/>
      <c r="M1436" s="101"/>
      <c r="N1436" s="101"/>
      <c r="O1436" s="101"/>
      <c r="P1436" s="101"/>
      <c r="Q1436" s="101"/>
      <c r="R1436" s="101"/>
      <c r="S1436" s="101"/>
      <c r="T1436" s="101"/>
      <c r="U1436" s="101"/>
      <c r="V1436" s="101"/>
      <c r="W1436" s="101"/>
      <c r="X1436" s="101"/>
      <c r="Y1436" s="114"/>
      <c r="Z1436" s="114"/>
      <c r="AA1436" s="114"/>
      <c r="AB1436" s="114"/>
      <c r="AC1436" s="114"/>
      <c r="AD1436" s="114"/>
      <c r="AE1436" s="114"/>
      <c r="AF1436" s="114"/>
      <c r="AG1436" s="114"/>
      <c r="AH1436" s="114"/>
      <c r="AI1436" s="114"/>
      <c r="AJ1436" s="114"/>
      <c r="AK1436" s="114"/>
      <c r="AL1436" s="114"/>
      <c r="AM1436" s="114"/>
      <c r="AN1436" s="114"/>
      <c r="AO1436" s="114"/>
      <c r="AP1436" s="114"/>
      <c r="AQ1436" s="114"/>
      <c r="AR1436" s="114"/>
      <c r="AS1436" s="114"/>
      <c r="AT1436" s="114"/>
      <c r="AU1436" s="114"/>
      <c r="AV1436" s="114"/>
      <c r="AW1436" s="114"/>
      <c r="AX1436" s="114"/>
      <c r="AY1436" s="114"/>
      <c r="AZ1436" s="114"/>
    </row>
    <row r="1437" spans="1:52">
      <c r="A1437" s="111"/>
      <c r="B1437" s="111"/>
      <c r="C1437" s="112"/>
      <c r="D1437" s="101"/>
      <c r="E1437" s="101"/>
      <c r="F1437" s="101"/>
      <c r="G1437" s="111"/>
      <c r="H1437" s="101"/>
      <c r="I1437" s="101"/>
      <c r="J1437" s="101"/>
      <c r="K1437" s="101"/>
      <c r="L1437" s="101"/>
      <c r="M1437" s="101"/>
      <c r="N1437" s="101"/>
      <c r="O1437" s="101"/>
      <c r="P1437" s="101"/>
      <c r="Q1437" s="101"/>
      <c r="R1437" s="101"/>
      <c r="S1437" s="101"/>
      <c r="T1437" s="101"/>
      <c r="U1437" s="101"/>
      <c r="V1437" s="101"/>
      <c r="W1437" s="101"/>
      <c r="X1437" s="101"/>
      <c r="Y1437" s="114"/>
      <c r="Z1437" s="114"/>
      <c r="AA1437" s="114"/>
      <c r="AB1437" s="114"/>
      <c r="AC1437" s="114"/>
      <c r="AD1437" s="114"/>
      <c r="AE1437" s="114"/>
      <c r="AF1437" s="114"/>
      <c r="AG1437" s="114"/>
      <c r="AH1437" s="114"/>
      <c r="AI1437" s="114"/>
      <c r="AJ1437" s="114"/>
      <c r="AK1437" s="114"/>
      <c r="AL1437" s="114"/>
      <c r="AM1437" s="114"/>
      <c r="AN1437" s="114"/>
      <c r="AO1437" s="114"/>
      <c r="AP1437" s="114"/>
      <c r="AQ1437" s="114"/>
      <c r="AR1437" s="114"/>
      <c r="AS1437" s="114"/>
      <c r="AT1437" s="114"/>
      <c r="AU1437" s="114"/>
      <c r="AV1437" s="114"/>
      <c r="AW1437" s="114"/>
      <c r="AX1437" s="114"/>
      <c r="AY1437" s="114"/>
      <c r="AZ1437" s="114"/>
    </row>
    <row r="1438" spans="1:52">
      <c r="A1438" s="111"/>
      <c r="B1438" s="111"/>
      <c r="C1438" s="112"/>
      <c r="D1438" s="101"/>
      <c r="E1438" s="101"/>
      <c r="F1438" s="101"/>
      <c r="G1438" s="111"/>
      <c r="H1438" s="101"/>
      <c r="I1438" s="101"/>
      <c r="J1438" s="101"/>
      <c r="K1438" s="101"/>
      <c r="L1438" s="101"/>
      <c r="M1438" s="101"/>
      <c r="N1438" s="101"/>
      <c r="O1438" s="101"/>
      <c r="P1438" s="101"/>
      <c r="Q1438" s="101"/>
      <c r="R1438" s="101"/>
      <c r="S1438" s="101"/>
      <c r="T1438" s="101"/>
      <c r="U1438" s="101"/>
      <c r="V1438" s="101"/>
      <c r="W1438" s="101"/>
      <c r="X1438" s="101"/>
      <c r="Y1438" s="114"/>
      <c r="Z1438" s="114"/>
      <c r="AA1438" s="114"/>
      <c r="AB1438" s="114"/>
      <c r="AC1438" s="114"/>
      <c r="AD1438" s="114"/>
      <c r="AE1438" s="114"/>
      <c r="AF1438" s="114"/>
      <c r="AG1438" s="114"/>
      <c r="AH1438" s="114"/>
      <c r="AI1438" s="114"/>
      <c r="AJ1438" s="114"/>
      <c r="AK1438" s="114"/>
      <c r="AL1438" s="114"/>
      <c r="AM1438" s="114"/>
      <c r="AN1438" s="114"/>
      <c r="AO1438" s="114"/>
      <c r="AP1438" s="114"/>
      <c r="AQ1438" s="114"/>
      <c r="AR1438" s="114"/>
      <c r="AS1438" s="114"/>
      <c r="AT1438" s="114"/>
      <c r="AU1438" s="114"/>
      <c r="AV1438" s="114"/>
      <c r="AW1438" s="114"/>
      <c r="AX1438" s="114"/>
      <c r="AY1438" s="114"/>
      <c r="AZ1438" s="114"/>
    </row>
    <row r="1439" spans="1:52">
      <c r="A1439" s="111"/>
      <c r="B1439" s="111"/>
      <c r="C1439" s="112"/>
      <c r="D1439" s="101"/>
      <c r="E1439" s="101"/>
      <c r="F1439" s="101"/>
      <c r="G1439" s="111"/>
      <c r="H1439" s="101"/>
      <c r="I1439" s="101"/>
      <c r="J1439" s="101"/>
      <c r="K1439" s="101"/>
      <c r="L1439" s="101"/>
      <c r="M1439" s="101"/>
      <c r="N1439" s="101"/>
      <c r="O1439" s="101"/>
      <c r="P1439" s="101"/>
      <c r="Q1439" s="101"/>
      <c r="R1439" s="101"/>
      <c r="S1439" s="101"/>
      <c r="T1439" s="101"/>
      <c r="U1439" s="101"/>
      <c r="V1439" s="101"/>
      <c r="W1439" s="101"/>
      <c r="X1439" s="101"/>
      <c r="Y1439" s="114"/>
      <c r="Z1439" s="114"/>
      <c r="AA1439" s="114"/>
      <c r="AB1439" s="114"/>
      <c r="AC1439" s="114"/>
      <c r="AD1439" s="114"/>
      <c r="AE1439" s="114"/>
      <c r="AF1439" s="114"/>
      <c r="AG1439" s="114"/>
      <c r="AH1439" s="114"/>
      <c r="AI1439" s="114"/>
      <c r="AJ1439" s="114"/>
      <c r="AK1439" s="114"/>
      <c r="AL1439" s="114"/>
      <c r="AM1439" s="114"/>
      <c r="AN1439" s="114"/>
      <c r="AO1439" s="114"/>
      <c r="AP1439" s="114"/>
      <c r="AQ1439" s="114"/>
      <c r="AR1439" s="114"/>
      <c r="AS1439" s="114"/>
      <c r="AT1439" s="114"/>
      <c r="AU1439" s="114"/>
      <c r="AV1439" s="114"/>
      <c r="AW1439" s="114"/>
      <c r="AX1439" s="114"/>
      <c r="AY1439" s="114"/>
      <c r="AZ1439" s="114"/>
    </row>
    <row r="1440" spans="1:52">
      <c r="A1440" s="111"/>
      <c r="B1440" s="111"/>
      <c r="C1440" s="112"/>
      <c r="D1440" s="101"/>
      <c r="E1440" s="101"/>
      <c r="F1440" s="101"/>
      <c r="G1440" s="111"/>
      <c r="H1440" s="101"/>
      <c r="I1440" s="101"/>
      <c r="J1440" s="101"/>
      <c r="K1440" s="101"/>
      <c r="L1440" s="101"/>
      <c r="M1440" s="101"/>
      <c r="N1440" s="101"/>
      <c r="O1440" s="101"/>
      <c r="P1440" s="101"/>
      <c r="Q1440" s="101"/>
      <c r="R1440" s="101"/>
      <c r="S1440" s="101"/>
      <c r="T1440" s="101"/>
      <c r="U1440" s="101"/>
      <c r="V1440" s="101"/>
      <c r="W1440" s="101"/>
      <c r="X1440" s="101"/>
      <c r="Y1440" s="114"/>
      <c r="Z1440" s="114"/>
      <c r="AA1440" s="114"/>
      <c r="AB1440" s="114"/>
      <c r="AC1440" s="114"/>
      <c r="AD1440" s="114"/>
      <c r="AE1440" s="114"/>
      <c r="AF1440" s="114"/>
      <c r="AG1440" s="114"/>
      <c r="AH1440" s="114"/>
      <c r="AI1440" s="114"/>
      <c r="AJ1440" s="114"/>
      <c r="AK1440" s="114"/>
      <c r="AL1440" s="114"/>
      <c r="AM1440" s="114"/>
      <c r="AN1440" s="114"/>
      <c r="AO1440" s="114"/>
      <c r="AP1440" s="114"/>
      <c r="AQ1440" s="114"/>
      <c r="AR1440" s="114"/>
      <c r="AS1440" s="114"/>
      <c r="AT1440" s="114"/>
      <c r="AU1440" s="114"/>
      <c r="AV1440" s="114"/>
      <c r="AW1440" s="114"/>
      <c r="AX1440" s="114"/>
      <c r="AY1440" s="114"/>
      <c r="AZ1440" s="114"/>
    </row>
    <row r="1441" spans="1:52">
      <c r="A1441" s="111"/>
      <c r="B1441" s="111"/>
      <c r="C1441" s="112"/>
      <c r="D1441" s="101"/>
      <c r="E1441" s="101"/>
      <c r="F1441" s="101"/>
      <c r="G1441" s="111"/>
      <c r="H1441" s="101"/>
      <c r="I1441" s="101"/>
      <c r="J1441" s="101"/>
      <c r="K1441" s="101"/>
      <c r="L1441" s="101"/>
      <c r="M1441" s="101"/>
      <c r="N1441" s="101"/>
      <c r="O1441" s="101"/>
      <c r="P1441" s="101"/>
      <c r="Q1441" s="101"/>
      <c r="R1441" s="101"/>
      <c r="S1441" s="101"/>
      <c r="T1441" s="101"/>
      <c r="U1441" s="101"/>
      <c r="V1441" s="101"/>
      <c r="W1441" s="101"/>
      <c r="X1441" s="101"/>
      <c r="Y1441" s="114"/>
      <c r="Z1441" s="114"/>
      <c r="AA1441" s="114"/>
      <c r="AB1441" s="114"/>
      <c r="AC1441" s="114"/>
      <c r="AD1441" s="114"/>
      <c r="AE1441" s="114"/>
      <c r="AF1441" s="114"/>
      <c r="AG1441" s="114"/>
      <c r="AH1441" s="114"/>
      <c r="AI1441" s="114"/>
      <c r="AJ1441" s="114"/>
      <c r="AK1441" s="114"/>
      <c r="AL1441" s="114"/>
      <c r="AM1441" s="114"/>
      <c r="AN1441" s="114"/>
      <c r="AO1441" s="114"/>
      <c r="AP1441" s="114"/>
      <c r="AQ1441" s="114"/>
      <c r="AR1441" s="114"/>
      <c r="AS1441" s="114"/>
      <c r="AT1441" s="114"/>
      <c r="AU1441" s="114"/>
      <c r="AV1441" s="114"/>
      <c r="AW1441" s="114"/>
      <c r="AX1441" s="114"/>
      <c r="AY1441" s="114"/>
      <c r="AZ1441" s="114"/>
    </row>
    <row r="1442" spans="1:52">
      <c r="A1442" s="111"/>
      <c r="B1442" s="111"/>
      <c r="C1442" s="112"/>
      <c r="D1442" s="101"/>
      <c r="E1442" s="101"/>
      <c r="F1442" s="101"/>
      <c r="G1442" s="111"/>
      <c r="H1442" s="101"/>
      <c r="I1442" s="101"/>
      <c r="J1442" s="101"/>
      <c r="K1442" s="101"/>
      <c r="L1442" s="101"/>
      <c r="M1442" s="101"/>
      <c r="N1442" s="101"/>
      <c r="O1442" s="101"/>
      <c r="P1442" s="101"/>
      <c r="Q1442" s="101"/>
      <c r="R1442" s="101"/>
      <c r="S1442" s="101"/>
      <c r="T1442" s="101"/>
      <c r="U1442" s="101"/>
      <c r="V1442" s="101"/>
      <c r="W1442" s="101"/>
      <c r="X1442" s="101"/>
      <c r="Y1442" s="114"/>
      <c r="Z1442" s="114"/>
      <c r="AA1442" s="114"/>
      <c r="AB1442" s="114"/>
      <c r="AC1442" s="114"/>
      <c r="AD1442" s="114"/>
      <c r="AE1442" s="114"/>
      <c r="AF1442" s="114"/>
      <c r="AG1442" s="114"/>
      <c r="AH1442" s="114"/>
      <c r="AI1442" s="114"/>
      <c r="AJ1442" s="114"/>
      <c r="AK1442" s="114"/>
      <c r="AL1442" s="114"/>
      <c r="AM1442" s="114"/>
      <c r="AN1442" s="114"/>
      <c r="AO1442" s="114"/>
      <c r="AP1442" s="114"/>
      <c r="AQ1442" s="114"/>
      <c r="AR1442" s="114"/>
      <c r="AS1442" s="114"/>
      <c r="AT1442" s="114"/>
      <c r="AU1442" s="114"/>
      <c r="AV1442" s="114"/>
      <c r="AW1442" s="114"/>
      <c r="AX1442" s="114"/>
      <c r="AY1442" s="114"/>
      <c r="AZ1442" s="114"/>
    </row>
    <row r="1443" spans="1:52">
      <c r="A1443" s="111"/>
      <c r="B1443" s="111"/>
      <c r="C1443" s="112"/>
      <c r="D1443" s="101"/>
      <c r="E1443" s="101"/>
      <c r="F1443" s="101"/>
      <c r="G1443" s="111"/>
      <c r="H1443" s="101"/>
      <c r="I1443" s="101"/>
      <c r="J1443" s="101"/>
      <c r="K1443" s="101"/>
      <c r="L1443" s="101"/>
      <c r="M1443" s="101"/>
      <c r="N1443" s="101"/>
      <c r="O1443" s="101"/>
      <c r="P1443" s="101"/>
      <c r="Q1443" s="101"/>
      <c r="R1443" s="101"/>
      <c r="S1443" s="101"/>
      <c r="T1443" s="101"/>
      <c r="U1443" s="101"/>
      <c r="V1443" s="101"/>
      <c r="W1443" s="101"/>
      <c r="X1443" s="101"/>
      <c r="Y1443" s="114"/>
      <c r="Z1443" s="114"/>
      <c r="AA1443" s="114"/>
      <c r="AB1443" s="114"/>
      <c r="AC1443" s="114"/>
      <c r="AD1443" s="114"/>
      <c r="AE1443" s="114"/>
      <c r="AF1443" s="114"/>
      <c r="AG1443" s="114"/>
      <c r="AH1443" s="114"/>
      <c r="AI1443" s="114"/>
      <c r="AJ1443" s="114"/>
      <c r="AK1443" s="114"/>
      <c r="AL1443" s="114"/>
      <c r="AM1443" s="114"/>
      <c r="AN1443" s="114"/>
      <c r="AO1443" s="114"/>
      <c r="AP1443" s="114"/>
      <c r="AQ1443" s="114"/>
      <c r="AR1443" s="114"/>
      <c r="AS1443" s="114"/>
      <c r="AT1443" s="114"/>
      <c r="AU1443" s="114"/>
      <c r="AV1443" s="114"/>
      <c r="AW1443" s="114"/>
      <c r="AX1443" s="114"/>
      <c r="AY1443" s="114"/>
      <c r="AZ1443" s="114"/>
    </row>
    <row r="1444" spans="1:52">
      <c r="A1444" s="111"/>
      <c r="B1444" s="111"/>
      <c r="C1444" s="112"/>
      <c r="D1444" s="101"/>
      <c r="E1444" s="101"/>
      <c r="F1444" s="101"/>
      <c r="G1444" s="111"/>
      <c r="H1444" s="101"/>
      <c r="I1444" s="101"/>
      <c r="J1444" s="101"/>
      <c r="K1444" s="101"/>
      <c r="L1444" s="101"/>
      <c r="M1444" s="101"/>
      <c r="N1444" s="101"/>
      <c r="O1444" s="101"/>
      <c r="P1444" s="101"/>
      <c r="Q1444" s="101"/>
      <c r="R1444" s="101"/>
      <c r="S1444" s="101"/>
      <c r="T1444" s="101"/>
      <c r="U1444" s="101"/>
      <c r="V1444" s="101"/>
      <c r="W1444" s="101"/>
      <c r="X1444" s="101"/>
      <c r="Y1444" s="114"/>
      <c r="Z1444" s="114"/>
      <c r="AA1444" s="114"/>
      <c r="AB1444" s="114"/>
      <c r="AC1444" s="114"/>
      <c r="AD1444" s="114"/>
      <c r="AE1444" s="114"/>
      <c r="AF1444" s="114"/>
      <c r="AG1444" s="114"/>
      <c r="AH1444" s="114"/>
      <c r="AI1444" s="114"/>
      <c r="AJ1444" s="114"/>
      <c r="AK1444" s="114"/>
      <c r="AL1444" s="114"/>
      <c r="AM1444" s="114"/>
      <c r="AN1444" s="114"/>
      <c r="AO1444" s="114"/>
      <c r="AP1444" s="114"/>
      <c r="AQ1444" s="114"/>
      <c r="AR1444" s="114"/>
      <c r="AS1444" s="114"/>
      <c r="AT1444" s="114"/>
      <c r="AU1444" s="114"/>
      <c r="AV1444" s="114"/>
      <c r="AW1444" s="114"/>
      <c r="AX1444" s="114"/>
      <c r="AY1444" s="114"/>
      <c r="AZ1444" s="114"/>
    </row>
    <row r="1445" spans="1:52">
      <c r="A1445" s="111"/>
      <c r="B1445" s="111"/>
      <c r="C1445" s="112"/>
      <c r="D1445" s="101"/>
      <c r="E1445" s="101"/>
      <c r="F1445" s="101"/>
      <c r="G1445" s="111"/>
      <c r="H1445" s="101"/>
      <c r="I1445" s="101"/>
      <c r="J1445" s="101"/>
      <c r="K1445" s="101"/>
      <c r="L1445" s="101"/>
      <c r="M1445" s="101"/>
      <c r="N1445" s="101"/>
      <c r="O1445" s="101"/>
      <c r="P1445" s="101"/>
      <c r="Q1445" s="101"/>
      <c r="R1445" s="101"/>
      <c r="S1445" s="101"/>
      <c r="T1445" s="101"/>
      <c r="U1445" s="101"/>
      <c r="V1445" s="101"/>
      <c r="W1445" s="101"/>
      <c r="X1445" s="101"/>
      <c r="Y1445" s="114"/>
      <c r="Z1445" s="114"/>
      <c r="AA1445" s="114"/>
      <c r="AB1445" s="114"/>
      <c r="AC1445" s="114"/>
      <c r="AD1445" s="114"/>
      <c r="AE1445" s="114"/>
      <c r="AF1445" s="114"/>
      <c r="AG1445" s="114"/>
      <c r="AH1445" s="114"/>
      <c r="AI1445" s="114"/>
      <c r="AJ1445" s="114"/>
      <c r="AK1445" s="114"/>
      <c r="AL1445" s="114"/>
      <c r="AM1445" s="114"/>
      <c r="AN1445" s="114"/>
      <c r="AO1445" s="114"/>
      <c r="AP1445" s="114"/>
      <c r="AQ1445" s="114"/>
      <c r="AR1445" s="114"/>
      <c r="AS1445" s="114"/>
      <c r="AT1445" s="114"/>
      <c r="AU1445" s="114"/>
      <c r="AV1445" s="114"/>
      <c r="AW1445" s="114"/>
      <c r="AX1445" s="114"/>
      <c r="AY1445" s="114"/>
      <c r="AZ1445" s="114"/>
    </row>
    <row r="1446" spans="1:52">
      <c r="A1446" s="111"/>
      <c r="B1446" s="111"/>
      <c r="C1446" s="112"/>
      <c r="D1446" s="101"/>
      <c r="E1446" s="101"/>
      <c r="F1446" s="101"/>
      <c r="G1446" s="111"/>
      <c r="H1446" s="101"/>
      <c r="I1446" s="101"/>
      <c r="J1446" s="101"/>
      <c r="K1446" s="101"/>
      <c r="L1446" s="101"/>
      <c r="M1446" s="101"/>
      <c r="N1446" s="101"/>
      <c r="O1446" s="101"/>
      <c r="P1446" s="101"/>
      <c r="Q1446" s="101"/>
      <c r="R1446" s="101"/>
      <c r="S1446" s="101"/>
      <c r="T1446" s="101"/>
      <c r="U1446" s="101"/>
      <c r="V1446" s="101"/>
      <c r="W1446" s="101"/>
      <c r="X1446" s="101"/>
      <c r="Y1446" s="114"/>
      <c r="Z1446" s="114"/>
      <c r="AA1446" s="114"/>
      <c r="AB1446" s="114"/>
      <c r="AC1446" s="114"/>
      <c r="AD1446" s="114"/>
      <c r="AE1446" s="114"/>
      <c r="AF1446" s="114"/>
      <c r="AG1446" s="114"/>
      <c r="AH1446" s="114"/>
      <c r="AI1446" s="114"/>
      <c r="AJ1446" s="114"/>
      <c r="AK1446" s="114"/>
      <c r="AL1446" s="114"/>
      <c r="AM1446" s="114"/>
      <c r="AN1446" s="114"/>
      <c r="AO1446" s="114"/>
      <c r="AP1446" s="114"/>
      <c r="AQ1446" s="114"/>
      <c r="AR1446" s="114"/>
      <c r="AS1446" s="114"/>
      <c r="AT1446" s="114"/>
      <c r="AU1446" s="114"/>
      <c r="AV1446" s="114"/>
      <c r="AW1446" s="114"/>
      <c r="AX1446" s="114"/>
      <c r="AY1446" s="114"/>
      <c r="AZ1446" s="114"/>
    </row>
    <row r="1447" spans="1:52">
      <c r="A1447" s="111"/>
      <c r="B1447" s="111"/>
      <c r="C1447" s="112"/>
      <c r="D1447" s="101"/>
      <c r="E1447" s="101"/>
      <c r="F1447" s="101"/>
      <c r="G1447" s="111"/>
      <c r="H1447" s="101"/>
      <c r="I1447" s="101"/>
      <c r="J1447" s="101"/>
      <c r="K1447" s="101"/>
      <c r="L1447" s="101"/>
      <c r="M1447" s="101"/>
      <c r="N1447" s="101"/>
      <c r="O1447" s="101"/>
      <c r="P1447" s="101"/>
      <c r="Q1447" s="101"/>
      <c r="R1447" s="101"/>
      <c r="S1447" s="101"/>
      <c r="T1447" s="101"/>
      <c r="U1447" s="101"/>
      <c r="V1447" s="101"/>
      <c r="W1447" s="101"/>
      <c r="X1447" s="101"/>
      <c r="Y1447" s="114"/>
      <c r="Z1447" s="114"/>
      <c r="AA1447" s="114"/>
      <c r="AB1447" s="114"/>
      <c r="AC1447" s="114"/>
      <c r="AD1447" s="114"/>
      <c r="AE1447" s="114"/>
      <c r="AF1447" s="114"/>
      <c r="AG1447" s="114"/>
      <c r="AH1447" s="114"/>
      <c r="AI1447" s="114"/>
      <c r="AJ1447" s="114"/>
      <c r="AK1447" s="114"/>
      <c r="AL1447" s="114"/>
      <c r="AM1447" s="114"/>
      <c r="AN1447" s="114"/>
      <c r="AO1447" s="114"/>
      <c r="AP1447" s="114"/>
      <c r="AQ1447" s="114"/>
      <c r="AR1447" s="114"/>
      <c r="AS1447" s="114"/>
      <c r="AT1447" s="114"/>
      <c r="AU1447" s="114"/>
      <c r="AV1447" s="114"/>
      <c r="AW1447" s="114"/>
      <c r="AX1447" s="114"/>
      <c r="AY1447" s="114"/>
      <c r="AZ1447" s="114"/>
    </row>
    <row r="1448" spans="1:52">
      <c r="A1448" s="111"/>
      <c r="B1448" s="111"/>
      <c r="C1448" s="112"/>
      <c r="D1448" s="101"/>
      <c r="E1448" s="101"/>
      <c r="F1448" s="101"/>
      <c r="G1448" s="111"/>
      <c r="H1448" s="101"/>
      <c r="I1448" s="101"/>
      <c r="J1448" s="101"/>
      <c r="K1448" s="101"/>
      <c r="L1448" s="101"/>
      <c r="M1448" s="101"/>
      <c r="N1448" s="101"/>
      <c r="O1448" s="101"/>
      <c r="P1448" s="101"/>
      <c r="Q1448" s="101"/>
      <c r="R1448" s="101"/>
      <c r="S1448" s="101"/>
      <c r="T1448" s="101"/>
      <c r="U1448" s="101"/>
      <c r="V1448" s="101"/>
      <c r="W1448" s="101"/>
      <c r="X1448" s="101"/>
      <c r="Y1448" s="114"/>
      <c r="Z1448" s="114"/>
      <c r="AA1448" s="114"/>
      <c r="AB1448" s="114"/>
      <c r="AC1448" s="114"/>
      <c r="AD1448" s="114"/>
      <c r="AE1448" s="114"/>
      <c r="AF1448" s="114"/>
      <c r="AG1448" s="114"/>
      <c r="AH1448" s="114"/>
      <c r="AI1448" s="114"/>
      <c r="AJ1448" s="114"/>
      <c r="AK1448" s="114"/>
      <c r="AL1448" s="114"/>
      <c r="AM1448" s="114"/>
      <c r="AN1448" s="114"/>
      <c r="AO1448" s="114"/>
      <c r="AP1448" s="114"/>
      <c r="AQ1448" s="114"/>
      <c r="AR1448" s="114"/>
      <c r="AS1448" s="114"/>
      <c r="AT1448" s="114"/>
      <c r="AU1448" s="114"/>
      <c r="AV1448" s="114"/>
      <c r="AW1448" s="114"/>
      <c r="AX1448" s="114"/>
      <c r="AY1448" s="114"/>
      <c r="AZ1448" s="114"/>
    </row>
    <row r="1449" spans="1:52">
      <c r="A1449" s="111"/>
      <c r="B1449" s="111"/>
      <c r="C1449" s="112"/>
      <c r="D1449" s="101"/>
      <c r="E1449" s="101"/>
      <c r="F1449" s="101"/>
      <c r="G1449" s="111"/>
      <c r="H1449" s="101"/>
      <c r="I1449" s="101"/>
      <c r="J1449" s="101"/>
      <c r="K1449" s="101"/>
      <c r="L1449" s="101"/>
      <c r="M1449" s="101"/>
      <c r="N1449" s="101"/>
      <c r="O1449" s="101"/>
      <c r="P1449" s="101"/>
      <c r="Q1449" s="101"/>
      <c r="R1449" s="101"/>
      <c r="S1449" s="101"/>
      <c r="T1449" s="101"/>
      <c r="U1449" s="101"/>
      <c r="V1449" s="101"/>
      <c r="W1449" s="101"/>
      <c r="X1449" s="101"/>
      <c r="Y1449" s="114"/>
      <c r="Z1449" s="114"/>
      <c r="AA1449" s="114"/>
      <c r="AB1449" s="114"/>
      <c r="AC1449" s="114"/>
      <c r="AD1449" s="114"/>
      <c r="AE1449" s="114"/>
      <c r="AF1449" s="114"/>
      <c r="AG1449" s="114"/>
      <c r="AH1449" s="114"/>
      <c r="AI1449" s="114"/>
      <c r="AJ1449" s="114"/>
      <c r="AK1449" s="114"/>
      <c r="AL1449" s="114"/>
      <c r="AM1449" s="114"/>
      <c r="AN1449" s="114"/>
      <c r="AO1449" s="114"/>
      <c r="AP1449" s="114"/>
      <c r="AQ1449" s="114"/>
      <c r="AR1449" s="114"/>
      <c r="AS1449" s="114"/>
      <c r="AT1449" s="114"/>
      <c r="AU1449" s="114"/>
      <c r="AV1449" s="114"/>
      <c r="AW1449" s="114"/>
      <c r="AX1449" s="114"/>
      <c r="AY1449" s="114"/>
      <c r="AZ1449" s="114"/>
    </row>
    <row r="1450" spans="1:52">
      <c r="A1450" s="111"/>
      <c r="B1450" s="111"/>
      <c r="C1450" s="112"/>
      <c r="D1450" s="101"/>
      <c r="E1450" s="101"/>
      <c r="F1450" s="101"/>
      <c r="G1450" s="111"/>
      <c r="H1450" s="101"/>
      <c r="I1450" s="101"/>
      <c r="J1450" s="101"/>
      <c r="K1450" s="101"/>
      <c r="L1450" s="101"/>
      <c r="M1450" s="101"/>
      <c r="N1450" s="101"/>
      <c r="O1450" s="101"/>
      <c r="P1450" s="101"/>
      <c r="Q1450" s="101"/>
      <c r="R1450" s="101"/>
      <c r="S1450" s="101"/>
      <c r="T1450" s="101"/>
      <c r="U1450" s="101"/>
      <c r="V1450" s="101"/>
      <c r="W1450" s="101"/>
      <c r="X1450" s="101"/>
      <c r="Y1450" s="114"/>
      <c r="Z1450" s="114"/>
      <c r="AA1450" s="114"/>
      <c r="AB1450" s="114"/>
      <c r="AC1450" s="114"/>
      <c r="AD1450" s="114"/>
      <c r="AE1450" s="114"/>
      <c r="AF1450" s="114"/>
      <c r="AG1450" s="114"/>
      <c r="AH1450" s="114"/>
      <c r="AI1450" s="114"/>
      <c r="AJ1450" s="114"/>
      <c r="AK1450" s="114"/>
      <c r="AL1450" s="114"/>
      <c r="AM1450" s="114"/>
      <c r="AN1450" s="114"/>
      <c r="AO1450" s="114"/>
      <c r="AP1450" s="114"/>
      <c r="AQ1450" s="114"/>
      <c r="AR1450" s="114"/>
      <c r="AS1450" s="114"/>
      <c r="AT1450" s="114"/>
      <c r="AU1450" s="114"/>
      <c r="AV1450" s="114"/>
      <c r="AW1450" s="114"/>
      <c r="AX1450" s="114"/>
      <c r="AY1450" s="114"/>
      <c r="AZ1450" s="114"/>
    </row>
    <row r="1451" spans="1:52">
      <c r="A1451" s="111"/>
      <c r="B1451" s="111"/>
      <c r="C1451" s="112"/>
      <c r="D1451" s="101"/>
      <c r="E1451" s="101"/>
      <c r="F1451" s="101"/>
      <c r="G1451" s="111"/>
      <c r="H1451" s="101"/>
      <c r="I1451" s="101"/>
      <c r="J1451" s="101"/>
      <c r="K1451" s="101"/>
      <c r="L1451" s="101"/>
      <c r="M1451" s="101"/>
      <c r="N1451" s="101"/>
      <c r="O1451" s="101"/>
      <c r="P1451" s="101"/>
      <c r="Q1451" s="101"/>
      <c r="R1451" s="101"/>
      <c r="S1451" s="101"/>
      <c r="T1451" s="101"/>
      <c r="U1451" s="101"/>
      <c r="V1451" s="101"/>
      <c r="W1451" s="101"/>
      <c r="X1451" s="101"/>
      <c r="Y1451" s="114"/>
      <c r="Z1451" s="114"/>
      <c r="AA1451" s="114"/>
      <c r="AB1451" s="114"/>
      <c r="AC1451" s="114"/>
      <c r="AD1451" s="114"/>
      <c r="AE1451" s="114"/>
      <c r="AF1451" s="114"/>
      <c r="AG1451" s="114"/>
      <c r="AH1451" s="114"/>
      <c r="AI1451" s="114"/>
      <c r="AJ1451" s="114"/>
      <c r="AK1451" s="114"/>
      <c r="AL1451" s="114"/>
      <c r="AM1451" s="114"/>
      <c r="AN1451" s="114"/>
      <c r="AO1451" s="114"/>
      <c r="AP1451" s="114"/>
      <c r="AQ1451" s="114"/>
      <c r="AR1451" s="114"/>
      <c r="AS1451" s="114"/>
      <c r="AT1451" s="114"/>
      <c r="AU1451" s="114"/>
      <c r="AV1451" s="114"/>
      <c r="AW1451" s="114"/>
      <c r="AX1451" s="114"/>
      <c r="AY1451" s="114"/>
      <c r="AZ1451" s="114"/>
    </row>
    <row r="1452" spans="1:52">
      <c r="A1452" s="111"/>
      <c r="B1452" s="111"/>
      <c r="C1452" s="112"/>
      <c r="D1452" s="101"/>
      <c r="E1452" s="101"/>
      <c r="F1452" s="101"/>
      <c r="G1452" s="111"/>
      <c r="H1452" s="101"/>
      <c r="I1452" s="101"/>
      <c r="J1452" s="101"/>
      <c r="K1452" s="101"/>
      <c r="L1452" s="101"/>
      <c r="M1452" s="101"/>
      <c r="N1452" s="101"/>
      <c r="O1452" s="101"/>
      <c r="P1452" s="101"/>
      <c r="Q1452" s="101"/>
      <c r="R1452" s="101"/>
      <c r="S1452" s="101"/>
      <c r="T1452" s="101"/>
      <c r="U1452" s="101"/>
      <c r="V1452" s="101"/>
      <c r="W1452" s="101"/>
      <c r="X1452" s="101"/>
      <c r="Y1452" s="114"/>
      <c r="Z1452" s="114"/>
      <c r="AA1452" s="114"/>
      <c r="AB1452" s="114"/>
      <c r="AC1452" s="114"/>
      <c r="AD1452" s="114"/>
      <c r="AE1452" s="114"/>
      <c r="AF1452" s="114"/>
      <c r="AG1452" s="114"/>
      <c r="AH1452" s="114"/>
      <c r="AI1452" s="114"/>
      <c r="AJ1452" s="114"/>
      <c r="AK1452" s="114"/>
      <c r="AL1452" s="114"/>
      <c r="AM1452" s="114"/>
      <c r="AN1452" s="114"/>
      <c r="AO1452" s="114"/>
      <c r="AP1452" s="114"/>
      <c r="AQ1452" s="114"/>
      <c r="AR1452" s="114"/>
      <c r="AS1452" s="114"/>
      <c r="AT1452" s="114"/>
      <c r="AU1452" s="114"/>
      <c r="AV1452" s="114"/>
      <c r="AW1452" s="114"/>
      <c r="AX1452" s="114"/>
      <c r="AY1452" s="114"/>
      <c r="AZ1452" s="114"/>
    </row>
    <row r="1453" spans="1:52">
      <c r="A1453" s="111"/>
      <c r="B1453" s="111"/>
      <c r="C1453" s="112"/>
      <c r="D1453" s="101"/>
      <c r="E1453" s="101"/>
      <c r="F1453" s="101"/>
      <c r="G1453" s="111"/>
      <c r="H1453" s="101"/>
      <c r="I1453" s="101"/>
      <c r="J1453" s="101"/>
      <c r="K1453" s="101"/>
      <c r="L1453" s="101"/>
      <c r="M1453" s="101"/>
      <c r="N1453" s="101"/>
      <c r="O1453" s="101"/>
      <c r="P1453" s="101"/>
      <c r="Q1453" s="101"/>
      <c r="R1453" s="101"/>
      <c r="S1453" s="101"/>
      <c r="T1453" s="101"/>
      <c r="U1453" s="101"/>
      <c r="V1453" s="101"/>
      <c r="W1453" s="101"/>
      <c r="X1453" s="101"/>
      <c r="Y1453" s="114"/>
      <c r="Z1453" s="114"/>
      <c r="AA1453" s="114"/>
      <c r="AB1453" s="114"/>
      <c r="AC1453" s="114"/>
      <c r="AD1453" s="114"/>
      <c r="AE1453" s="114"/>
      <c r="AF1453" s="114"/>
      <c r="AG1453" s="114"/>
      <c r="AH1453" s="114"/>
      <c r="AI1453" s="114"/>
      <c r="AJ1453" s="114"/>
      <c r="AK1453" s="114"/>
      <c r="AL1453" s="114"/>
      <c r="AM1453" s="114"/>
      <c r="AN1453" s="114"/>
      <c r="AO1453" s="114"/>
      <c r="AP1453" s="114"/>
      <c r="AQ1453" s="114"/>
      <c r="AR1453" s="114"/>
      <c r="AS1453" s="114"/>
      <c r="AT1453" s="114"/>
      <c r="AU1453" s="114"/>
      <c r="AV1453" s="114"/>
      <c r="AW1453" s="114"/>
      <c r="AX1453" s="114"/>
      <c r="AY1453" s="114"/>
      <c r="AZ1453" s="114"/>
    </row>
    <row r="1454" spans="1:52">
      <c r="A1454" s="111"/>
      <c r="B1454" s="111"/>
      <c r="C1454" s="112"/>
      <c r="D1454" s="101"/>
      <c r="E1454" s="101"/>
      <c r="F1454" s="101"/>
      <c r="G1454" s="111"/>
      <c r="H1454" s="101"/>
      <c r="I1454" s="101"/>
      <c r="J1454" s="101"/>
      <c r="K1454" s="101"/>
      <c r="L1454" s="101"/>
      <c r="M1454" s="101"/>
      <c r="N1454" s="101"/>
      <c r="O1454" s="101"/>
      <c r="P1454" s="101"/>
      <c r="Q1454" s="101"/>
      <c r="R1454" s="101"/>
      <c r="S1454" s="101"/>
      <c r="T1454" s="101"/>
      <c r="U1454" s="101"/>
      <c r="V1454" s="101"/>
      <c r="W1454" s="101"/>
      <c r="X1454" s="101"/>
      <c r="Y1454" s="114"/>
      <c r="Z1454" s="114"/>
      <c r="AA1454" s="114"/>
      <c r="AB1454" s="114"/>
      <c r="AC1454" s="114"/>
      <c r="AD1454" s="114"/>
      <c r="AE1454" s="114"/>
      <c r="AF1454" s="114"/>
      <c r="AG1454" s="114"/>
      <c r="AH1454" s="114"/>
      <c r="AI1454" s="114"/>
      <c r="AJ1454" s="114"/>
      <c r="AK1454" s="114"/>
      <c r="AL1454" s="114"/>
      <c r="AM1454" s="114"/>
      <c r="AN1454" s="114"/>
      <c r="AO1454" s="114"/>
      <c r="AP1454" s="114"/>
      <c r="AQ1454" s="114"/>
      <c r="AR1454" s="114"/>
      <c r="AS1454" s="114"/>
      <c r="AT1454" s="114"/>
      <c r="AU1454" s="114"/>
      <c r="AV1454" s="114"/>
      <c r="AW1454" s="114"/>
      <c r="AX1454" s="114"/>
      <c r="AY1454" s="114"/>
      <c r="AZ1454" s="114"/>
    </row>
    <row r="1455" spans="1:52">
      <c r="A1455" s="111"/>
      <c r="B1455" s="111"/>
      <c r="C1455" s="112"/>
      <c r="D1455" s="101"/>
      <c r="E1455" s="101"/>
      <c r="F1455" s="101"/>
      <c r="G1455" s="111"/>
      <c r="H1455" s="101"/>
      <c r="I1455" s="101"/>
      <c r="J1455" s="101"/>
      <c r="K1455" s="101"/>
      <c r="L1455" s="101"/>
      <c r="M1455" s="101"/>
      <c r="N1455" s="101"/>
      <c r="O1455" s="101"/>
      <c r="P1455" s="101"/>
      <c r="Q1455" s="101"/>
      <c r="R1455" s="101"/>
      <c r="S1455" s="101"/>
      <c r="T1455" s="101"/>
      <c r="U1455" s="101"/>
      <c r="V1455" s="101"/>
      <c r="W1455" s="101"/>
      <c r="X1455" s="101"/>
      <c r="Y1455" s="114"/>
      <c r="Z1455" s="114"/>
      <c r="AA1455" s="114"/>
      <c r="AB1455" s="114"/>
      <c r="AC1455" s="114"/>
      <c r="AD1455" s="114"/>
      <c r="AE1455" s="114"/>
      <c r="AF1455" s="114"/>
      <c r="AG1455" s="114"/>
      <c r="AH1455" s="114"/>
      <c r="AI1455" s="114"/>
      <c r="AJ1455" s="114"/>
      <c r="AK1455" s="114"/>
      <c r="AL1455" s="114"/>
      <c r="AM1455" s="114"/>
      <c r="AN1455" s="114"/>
      <c r="AO1455" s="114"/>
      <c r="AP1455" s="114"/>
      <c r="AQ1455" s="114"/>
      <c r="AR1455" s="114"/>
      <c r="AS1455" s="114"/>
      <c r="AT1455" s="114"/>
      <c r="AU1455" s="114"/>
      <c r="AV1455" s="114"/>
      <c r="AW1455" s="114"/>
      <c r="AX1455" s="114"/>
      <c r="AY1455" s="114"/>
      <c r="AZ1455" s="114"/>
    </row>
    <row r="1456" spans="1:52">
      <c r="A1456" s="111"/>
      <c r="B1456" s="111"/>
      <c r="C1456" s="112"/>
      <c r="D1456" s="101"/>
      <c r="E1456" s="101"/>
      <c r="F1456" s="101"/>
      <c r="G1456" s="111"/>
      <c r="H1456" s="101"/>
      <c r="I1456" s="101"/>
      <c r="J1456" s="101"/>
      <c r="K1456" s="101"/>
      <c r="L1456" s="101"/>
      <c r="M1456" s="101"/>
      <c r="N1456" s="101"/>
      <c r="O1456" s="101"/>
      <c r="P1456" s="101"/>
      <c r="Q1456" s="101"/>
      <c r="R1456" s="101"/>
      <c r="S1456" s="101"/>
      <c r="T1456" s="101"/>
      <c r="U1456" s="101"/>
      <c r="V1456" s="101"/>
      <c r="W1456" s="101"/>
      <c r="X1456" s="101"/>
      <c r="Y1456" s="114"/>
      <c r="Z1456" s="114"/>
      <c r="AA1456" s="114"/>
      <c r="AB1456" s="114"/>
      <c r="AC1456" s="114"/>
      <c r="AD1456" s="114"/>
      <c r="AE1456" s="114"/>
      <c r="AF1456" s="114"/>
      <c r="AG1456" s="114"/>
      <c r="AH1456" s="114"/>
      <c r="AI1456" s="114"/>
      <c r="AJ1456" s="114"/>
      <c r="AK1456" s="114"/>
      <c r="AL1456" s="114"/>
      <c r="AM1456" s="114"/>
      <c r="AN1456" s="114"/>
      <c r="AO1456" s="114"/>
      <c r="AP1456" s="114"/>
      <c r="AQ1456" s="114"/>
      <c r="AR1456" s="114"/>
      <c r="AS1456" s="114"/>
      <c r="AT1456" s="114"/>
      <c r="AU1456" s="114"/>
      <c r="AV1456" s="114"/>
      <c r="AW1456" s="114"/>
      <c r="AX1456" s="114"/>
      <c r="AY1456" s="114"/>
      <c r="AZ1456" s="114"/>
    </row>
    <row r="1457" spans="1:52">
      <c r="A1457" s="111"/>
      <c r="B1457" s="111"/>
      <c r="C1457" s="112"/>
      <c r="D1457" s="101"/>
      <c r="E1457" s="101"/>
      <c r="F1457" s="101"/>
      <c r="G1457" s="111"/>
      <c r="H1457" s="101"/>
      <c r="I1457" s="101"/>
      <c r="J1457" s="101"/>
      <c r="K1457" s="101"/>
      <c r="L1457" s="101"/>
      <c r="M1457" s="101"/>
      <c r="N1457" s="101"/>
      <c r="O1457" s="101"/>
      <c r="P1457" s="101"/>
      <c r="Q1457" s="101"/>
      <c r="R1457" s="101"/>
      <c r="S1457" s="101"/>
      <c r="T1457" s="101"/>
      <c r="U1457" s="101"/>
      <c r="V1457" s="101"/>
      <c r="W1457" s="101"/>
      <c r="X1457" s="101"/>
      <c r="Y1457" s="114"/>
      <c r="Z1457" s="114"/>
      <c r="AA1457" s="114"/>
      <c r="AB1457" s="114"/>
      <c r="AC1457" s="114"/>
      <c r="AD1457" s="114"/>
      <c r="AE1457" s="114"/>
      <c r="AF1457" s="114"/>
      <c r="AG1457" s="114"/>
      <c r="AH1457" s="114"/>
      <c r="AI1457" s="114"/>
      <c r="AJ1457" s="114"/>
      <c r="AK1457" s="114"/>
      <c r="AL1457" s="114"/>
      <c r="AM1457" s="114"/>
      <c r="AN1457" s="114"/>
      <c r="AO1457" s="114"/>
      <c r="AP1457" s="114"/>
      <c r="AQ1457" s="114"/>
      <c r="AR1457" s="114"/>
      <c r="AS1457" s="114"/>
      <c r="AT1457" s="114"/>
      <c r="AU1457" s="114"/>
      <c r="AV1457" s="114"/>
      <c r="AW1457" s="114"/>
      <c r="AX1457" s="114"/>
      <c r="AY1457" s="114"/>
      <c r="AZ1457" s="114"/>
    </row>
    <row r="1458" spans="1:52">
      <c r="A1458" s="111"/>
      <c r="B1458" s="111"/>
      <c r="C1458" s="112"/>
      <c r="D1458" s="101"/>
      <c r="E1458" s="101"/>
      <c r="F1458" s="101"/>
      <c r="G1458" s="111"/>
      <c r="H1458" s="101"/>
      <c r="I1458" s="101"/>
      <c r="J1458" s="101"/>
      <c r="K1458" s="101"/>
      <c r="L1458" s="101"/>
      <c r="M1458" s="101"/>
      <c r="N1458" s="101"/>
      <c r="O1458" s="101"/>
      <c r="P1458" s="101"/>
      <c r="Q1458" s="101"/>
      <c r="R1458" s="101"/>
      <c r="S1458" s="101"/>
      <c r="T1458" s="101"/>
      <c r="U1458" s="101"/>
      <c r="V1458" s="101"/>
      <c r="W1458" s="101"/>
      <c r="X1458" s="101"/>
      <c r="Y1458" s="114"/>
      <c r="Z1458" s="114"/>
      <c r="AA1458" s="114"/>
      <c r="AB1458" s="114"/>
      <c r="AC1458" s="114"/>
      <c r="AD1458" s="114"/>
      <c r="AE1458" s="114"/>
      <c r="AF1458" s="114"/>
      <c r="AG1458" s="114"/>
      <c r="AH1458" s="114"/>
      <c r="AI1458" s="114"/>
      <c r="AJ1458" s="114"/>
      <c r="AK1458" s="114"/>
      <c r="AL1458" s="114"/>
      <c r="AM1458" s="114"/>
      <c r="AN1458" s="114"/>
      <c r="AO1458" s="114"/>
      <c r="AP1458" s="114"/>
      <c r="AQ1458" s="114"/>
      <c r="AR1458" s="114"/>
      <c r="AS1458" s="114"/>
      <c r="AT1458" s="114"/>
      <c r="AU1458" s="114"/>
      <c r="AV1458" s="114"/>
      <c r="AW1458" s="114"/>
      <c r="AX1458" s="114"/>
      <c r="AY1458" s="114"/>
      <c r="AZ1458" s="114"/>
    </row>
    <row r="1459" spans="1:52">
      <c r="A1459" s="111"/>
      <c r="B1459" s="111"/>
      <c r="C1459" s="112"/>
      <c r="D1459" s="101"/>
      <c r="E1459" s="101"/>
      <c r="F1459" s="101"/>
      <c r="G1459" s="111"/>
      <c r="H1459" s="101"/>
      <c r="I1459" s="101"/>
      <c r="J1459" s="101"/>
      <c r="K1459" s="101"/>
      <c r="L1459" s="101"/>
      <c r="M1459" s="101"/>
      <c r="N1459" s="101"/>
      <c r="O1459" s="101"/>
      <c r="P1459" s="101"/>
      <c r="Q1459" s="101"/>
      <c r="R1459" s="101"/>
      <c r="S1459" s="101"/>
      <c r="T1459" s="101"/>
      <c r="U1459" s="101"/>
      <c r="V1459" s="101"/>
      <c r="W1459" s="101"/>
      <c r="X1459" s="101"/>
      <c r="Y1459" s="114"/>
      <c r="Z1459" s="114"/>
      <c r="AA1459" s="114"/>
      <c r="AB1459" s="114"/>
      <c r="AC1459" s="114"/>
      <c r="AD1459" s="114"/>
      <c r="AE1459" s="114"/>
      <c r="AF1459" s="114"/>
      <c r="AG1459" s="114"/>
      <c r="AH1459" s="114"/>
      <c r="AI1459" s="114"/>
      <c r="AJ1459" s="114"/>
      <c r="AK1459" s="114"/>
      <c r="AL1459" s="114"/>
      <c r="AM1459" s="114"/>
      <c r="AN1459" s="114"/>
      <c r="AO1459" s="114"/>
      <c r="AP1459" s="114"/>
      <c r="AQ1459" s="114"/>
      <c r="AR1459" s="114"/>
      <c r="AS1459" s="114"/>
      <c r="AT1459" s="114"/>
      <c r="AU1459" s="114"/>
      <c r="AV1459" s="114"/>
      <c r="AW1459" s="114"/>
      <c r="AX1459" s="114"/>
      <c r="AY1459" s="114"/>
      <c r="AZ1459" s="114"/>
    </row>
    <row r="1460" spans="1:52">
      <c r="A1460" s="111"/>
      <c r="B1460" s="111"/>
      <c r="C1460" s="112"/>
      <c r="D1460" s="101"/>
      <c r="E1460" s="101"/>
      <c r="F1460" s="101"/>
      <c r="G1460" s="111"/>
      <c r="H1460" s="101"/>
      <c r="I1460" s="101"/>
      <c r="J1460" s="101"/>
      <c r="K1460" s="101"/>
      <c r="L1460" s="101"/>
      <c r="M1460" s="101"/>
      <c r="N1460" s="101"/>
      <c r="O1460" s="101"/>
      <c r="P1460" s="101"/>
      <c r="Q1460" s="101"/>
      <c r="R1460" s="101"/>
      <c r="S1460" s="101"/>
      <c r="T1460" s="101"/>
      <c r="U1460" s="101"/>
      <c r="V1460" s="101"/>
      <c r="W1460" s="101"/>
      <c r="X1460" s="101"/>
      <c r="Y1460" s="114"/>
      <c r="Z1460" s="114"/>
      <c r="AA1460" s="114"/>
      <c r="AB1460" s="114"/>
      <c r="AC1460" s="114"/>
      <c r="AD1460" s="114"/>
      <c r="AE1460" s="114"/>
      <c r="AF1460" s="114"/>
      <c r="AG1460" s="114"/>
      <c r="AH1460" s="114"/>
      <c r="AI1460" s="114"/>
      <c r="AJ1460" s="114"/>
      <c r="AK1460" s="114"/>
      <c r="AL1460" s="114"/>
      <c r="AM1460" s="114"/>
      <c r="AN1460" s="114"/>
      <c r="AO1460" s="114"/>
      <c r="AP1460" s="114"/>
      <c r="AQ1460" s="114"/>
      <c r="AR1460" s="114"/>
      <c r="AS1460" s="114"/>
      <c r="AT1460" s="114"/>
      <c r="AU1460" s="114"/>
      <c r="AV1460" s="114"/>
      <c r="AW1460" s="114"/>
      <c r="AX1460" s="114"/>
      <c r="AY1460" s="114"/>
      <c r="AZ1460" s="114"/>
    </row>
    <row r="1461" spans="1:52">
      <c r="A1461" s="111"/>
      <c r="B1461" s="111"/>
      <c r="C1461" s="112"/>
      <c r="D1461" s="101"/>
      <c r="E1461" s="101"/>
      <c r="F1461" s="101"/>
      <c r="G1461" s="111"/>
      <c r="H1461" s="101"/>
      <c r="I1461" s="101"/>
      <c r="J1461" s="101"/>
      <c r="K1461" s="101"/>
      <c r="L1461" s="101"/>
      <c r="M1461" s="101"/>
      <c r="N1461" s="101"/>
      <c r="O1461" s="101"/>
      <c r="P1461" s="101"/>
      <c r="Q1461" s="101"/>
      <c r="R1461" s="101"/>
      <c r="S1461" s="101"/>
      <c r="T1461" s="101"/>
      <c r="U1461" s="101"/>
      <c r="V1461" s="101"/>
      <c r="W1461" s="101"/>
      <c r="X1461" s="101"/>
      <c r="Y1461" s="114"/>
      <c r="Z1461" s="114"/>
      <c r="AA1461" s="114"/>
      <c r="AB1461" s="114"/>
      <c r="AC1461" s="114"/>
      <c r="AD1461" s="114"/>
      <c r="AE1461" s="114"/>
      <c r="AF1461" s="114"/>
      <c r="AG1461" s="114"/>
      <c r="AH1461" s="114"/>
      <c r="AI1461" s="114"/>
      <c r="AJ1461" s="114"/>
      <c r="AK1461" s="114"/>
      <c r="AL1461" s="114"/>
      <c r="AM1461" s="114"/>
      <c r="AN1461" s="114"/>
      <c r="AO1461" s="114"/>
      <c r="AP1461" s="114"/>
      <c r="AQ1461" s="114"/>
      <c r="AR1461" s="114"/>
      <c r="AS1461" s="114"/>
      <c r="AT1461" s="114"/>
      <c r="AU1461" s="114"/>
      <c r="AV1461" s="114"/>
      <c r="AW1461" s="114"/>
      <c r="AX1461" s="114"/>
      <c r="AY1461" s="114"/>
      <c r="AZ1461" s="114"/>
    </row>
    <row r="1462" spans="1:52">
      <c r="A1462" s="111"/>
      <c r="B1462" s="111"/>
      <c r="C1462" s="112"/>
      <c r="D1462" s="101"/>
      <c r="E1462" s="101"/>
      <c r="F1462" s="101"/>
      <c r="G1462" s="111"/>
      <c r="H1462" s="101"/>
      <c r="I1462" s="101"/>
      <c r="J1462" s="101"/>
      <c r="K1462" s="101"/>
      <c r="L1462" s="101"/>
      <c r="M1462" s="101"/>
      <c r="N1462" s="101"/>
      <c r="O1462" s="101"/>
      <c r="P1462" s="101"/>
      <c r="Q1462" s="101"/>
      <c r="R1462" s="101"/>
      <c r="S1462" s="101"/>
      <c r="T1462" s="101"/>
      <c r="U1462" s="101"/>
      <c r="V1462" s="101"/>
      <c r="W1462" s="101"/>
      <c r="X1462" s="101"/>
      <c r="Y1462" s="114"/>
      <c r="Z1462" s="114"/>
      <c r="AA1462" s="114"/>
      <c r="AB1462" s="114"/>
      <c r="AC1462" s="114"/>
      <c r="AD1462" s="114"/>
      <c r="AE1462" s="114"/>
      <c r="AF1462" s="114"/>
      <c r="AG1462" s="114"/>
      <c r="AH1462" s="114"/>
      <c r="AI1462" s="114"/>
      <c r="AJ1462" s="114"/>
      <c r="AK1462" s="114"/>
      <c r="AL1462" s="114"/>
      <c r="AM1462" s="114"/>
      <c r="AN1462" s="114"/>
      <c r="AO1462" s="114"/>
      <c r="AP1462" s="114"/>
      <c r="AQ1462" s="114"/>
      <c r="AR1462" s="114"/>
      <c r="AS1462" s="114"/>
      <c r="AT1462" s="114"/>
      <c r="AU1462" s="114"/>
      <c r="AV1462" s="114"/>
      <c r="AW1462" s="114"/>
      <c r="AX1462" s="114"/>
      <c r="AY1462" s="114"/>
      <c r="AZ1462" s="114"/>
    </row>
    <row r="1463" spans="1:52">
      <c r="A1463" s="111"/>
      <c r="B1463" s="111"/>
      <c r="C1463" s="112"/>
      <c r="D1463" s="101"/>
      <c r="E1463" s="101"/>
      <c r="F1463" s="101"/>
      <c r="G1463" s="111"/>
      <c r="H1463" s="101"/>
      <c r="I1463" s="101"/>
      <c r="J1463" s="101"/>
      <c r="K1463" s="101"/>
      <c r="L1463" s="101"/>
      <c r="M1463" s="101"/>
      <c r="N1463" s="101"/>
      <c r="O1463" s="101"/>
      <c r="P1463" s="101"/>
      <c r="Q1463" s="101"/>
      <c r="R1463" s="101"/>
      <c r="S1463" s="101"/>
      <c r="T1463" s="101"/>
      <c r="U1463" s="101"/>
      <c r="V1463" s="101"/>
      <c r="W1463" s="101"/>
      <c r="X1463" s="101"/>
      <c r="Y1463" s="114"/>
      <c r="Z1463" s="114"/>
      <c r="AA1463" s="114"/>
      <c r="AB1463" s="114"/>
      <c r="AC1463" s="114"/>
      <c r="AD1463" s="114"/>
      <c r="AE1463" s="114"/>
      <c r="AF1463" s="114"/>
      <c r="AG1463" s="114"/>
      <c r="AH1463" s="114"/>
      <c r="AI1463" s="114"/>
      <c r="AJ1463" s="114"/>
      <c r="AK1463" s="114"/>
      <c r="AL1463" s="114"/>
      <c r="AM1463" s="114"/>
      <c r="AN1463" s="114"/>
      <c r="AO1463" s="114"/>
      <c r="AP1463" s="114"/>
      <c r="AQ1463" s="114"/>
      <c r="AR1463" s="114"/>
      <c r="AS1463" s="114"/>
      <c r="AT1463" s="114"/>
      <c r="AU1463" s="114"/>
      <c r="AV1463" s="114"/>
      <c r="AW1463" s="114"/>
      <c r="AX1463" s="114"/>
      <c r="AY1463" s="114"/>
      <c r="AZ1463" s="114"/>
    </row>
    <row r="1464" spans="1:52">
      <c r="A1464" s="111"/>
      <c r="B1464" s="111"/>
      <c r="C1464" s="112"/>
      <c r="D1464" s="101"/>
      <c r="E1464" s="101"/>
      <c r="F1464" s="101"/>
      <c r="G1464" s="111"/>
      <c r="H1464" s="101"/>
      <c r="I1464" s="101"/>
      <c r="J1464" s="101"/>
      <c r="K1464" s="101"/>
      <c r="L1464" s="101"/>
      <c r="M1464" s="101"/>
      <c r="N1464" s="101"/>
      <c r="O1464" s="101"/>
      <c r="P1464" s="101"/>
      <c r="Q1464" s="101"/>
      <c r="R1464" s="101"/>
      <c r="S1464" s="101"/>
      <c r="T1464" s="101"/>
      <c r="U1464" s="101"/>
      <c r="V1464" s="101"/>
      <c r="W1464" s="101"/>
      <c r="X1464" s="101"/>
      <c r="Y1464" s="114"/>
      <c r="Z1464" s="114"/>
      <c r="AA1464" s="114"/>
      <c r="AB1464" s="114"/>
      <c r="AC1464" s="114"/>
      <c r="AD1464" s="114"/>
      <c r="AE1464" s="114"/>
      <c r="AF1464" s="114"/>
      <c r="AG1464" s="114"/>
      <c r="AH1464" s="114"/>
      <c r="AI1464" s="114"/>
      <c r="AJ1464" s="114"/>
      <c r="AK1464" s="114"/>
      <c r="AL1464" s="114"/>
      <c r="AM1464" s="114"/>
      <c r="AN1464" s="114"/>
      <c r="AO1464" s="114"/>
      <c r="AP1464" s="114"/>
      <c r="AQ1464" s="114"/>
      <c r="AR1464" s="114"/>
      <c r="AS1464" s="114"/>
      <c r="AT1464" s="114"/>
      <c r="AU1464" s="114"/>
      <c r="AV1464" s="114"/>
      <c r="AW1464" s="114"/>
      <c r="AX1464" s="114"/>
      <c r="AY1464" s="114"/>
      <c r="AZ1464" s="114"/>
    </row>
    <row r="1465" spans="1:52">
      <c r="A1465" s="111"/>
      <c r="B1465" s="111"/>
      <c r="C1465" s="112"/>
      <c r="D1465" s="101"/>
      <c r="E1465" s="101"/>
      <c r="F1465" s="101"/>
      <c r="G1465" s="111"/>
      <c r="H1465" s="101"/>
      <c r="I1465" s="101"/>
      <c r="J1465" s="101"/>
      <c r="K1465" s="101"/>
      <c r="L1465" s="101"/>
      <c r="M1465" s="101"/>
      <c r="N1465" s="101"/>
      <c r="O1465" s="101"/>
      <c r="P1465" s="101"/>
      <c r="Q1465" s="101"/>
      <c r="R1465" s="101"/>
      <c r="S1465" s="101"/>
      <c r="T1465" s="101"/>
      <c r="U1465" s="101"/>
      <c r="V1465" s="101"/>
      <c r="W1465" s="101"/>
      <c r="X1465" s="101"/>
      <c r="Y1465" s="114"/>
      <c r="Z1465" s="114"/>
      <c r="AA1465" s="114"/>
      <c r="AB1465" s="114"/>
      <c r="AC1465" s="114"/>
      <c r="AD1465" s="114"/>
      <c r="AE1465" s="114"/>
      <c r="AF1465" s="114"/>
      <c r="AG1465" s="114"/>
      <c r="AH1465" s="114"/>
      <c r="AI1465" s="114"/>
      <c r="AJ1465" s="114"/>
      <c r="AK1465" s="114"/>
      <c r="AL1465" s="114"/>
      <c r="AM1465" s="114"/>
      <c r="AN1465" s="114"/>
      <c r="AO1465" s="114"/>
      <c r="AP1465" s="114"/>
      <c r="AQ1465" s="114"/>
      <c r="AR1465" s="114"/>
      <c r="AS1465" s="114"/>
      <c r="AT1465" s="114"/>
      <c r="AU1465" s="114"/>
      <c r="AV1465" s="114"/>
      <c r="AW1465" s="114"/>
      <c r="AX1465" s="114"/>
      <c r="AY1465" s="114"/>
      <c r="AZ1465" s="114"/>
    </row>
    <row r="1466" spans="1:52">
      <c r="A1466" s="111"/>
      <c r="B1466" s="111"/>
      <c r="C1466" s="112"/>
      <c r="D1466" s="101"/>
      <c r="E1466" s="101"/>
      <c r="F1466" s="101"/>
      <c r="G1466" s="111"/>
      <c r="H1466" s="101"/>
      <c r="I1466" s="101"/>
      <c r="J1466" s="101"/>
      <c r="K1466" s="101"/>
      <c r="L1466" s="101"/>
      <c r="M1466" s="101"/>
      <c r="N1466" s="101"/>
      <c r="O1466" s="101"/>
      <c r="P1466" s="101"/>
      <c r="Q1466" s="101"/>
      <c r="R1466" s="101"/>
      <c r="S1466" s="101"/>
      <c r="T1466" s="101"/>
      <c r="U1466" s="101"/>
      <c r="V1466" s="101"/>
      <c r="W1466" s="101"/>
      <c r="X1466" s="101"/>
      <c r="Y1466" s="114"/>
      <c r="Z1466" s="114"/>
      <c r="AA1466" s="114"/>
      <c r="AB1466" s="114"/>
      <c r="AC1466" s="114"/>
      <c r="AD1466" s="114"/>
      <c r="AE1466" s="114"/>
      <c r="AF1466" s="114"/>
      <c r="AG1466" s="114"/>
      <c r="AH1466" s="114"/>
      <c r="AI1466" s="114"/>
      <c r="AJ1466" s="114"/>
      <c r="AK1466" s="114"/>
      <c r="AL1466" s="114"/>
      <c r="AM1466" s="114"/>
      <c r="AN1466" s="114"/>
      <c r="AO1466" s="114"/>
      <c r="AP1466" s="114"/>
      <c r="AQ1466" s="114"/>
      <c r="AR1466" s="114"/>
      <c r="AS1466" s="114"/>
      <c r="AT1466" s="114"/>
      <c r="AU1466" s="114"/>
      <c r="AV1466" s="114"/>
      <c r="AW1466" s="114"/>
      <c r="AX1466" s="114"/>
      <c r="AY1466" s="114"/>
      <c r="AZ1466" s="114"/>
    </row>
    <row r="1467" spans="1:52">
      <c r="A1467" s="111"/>
      <c r="B1467" s="111"/>
      <c r="C1467" s="112"/>
      <c r="D1467" s="101"/>
      <c r="E1467" s="101"/>
      <c r="F1467" s="101"/>
      <c r="G1467" s="111"/>
      <c r="H1467" s="101"/>
      <c r="I1467" s="101"/>
      <c r="J1467" s="101"/>
      <c r="K1467" s="101"/>
      <c r="L1467" s="101"/>
      <c r="M1467" s="101"/>
      <c r="N1467" s="101"/>
      <c r="O1467" s="101"/>
      <c r="P1467" s="101"/>
      <c r="Q1467" s="101"/>
      <c r="R1467" s="101"/>
      <c r="S1467" s="101"/>
      <c r="T1467" s="101"/>
      <c r="U1467" s="101"/>
      <c r="V1467" s="101"/>
      <c r="W1467" s="101"/>
      <c r="X1467" s="101"/>
      <c r="Y1467" s="114"/>
      <c r="Z1467" s="114"/>
      <c r="AA1467" s="114"/>
      <c r="AB1467" s="114"/>
      <c r="AC1467" s="114"/>
      <c r="AD1467" s="114"/>
      <c r="AE1467" s="114"/>
      <c r="AF1467" s="114"/>
      <c r="AG1467" s="114"/>
      <c r="AH1467" s="114"/>
      <c r="AI1467" s="114"/>
      <c r="AJ1467" s="114"/>
      <c r="AK1467" s="114"/>
      <c r="AL1467" s="114"/>
      <c r="AM1467" s="114"/>
      <c r="AN1467" s="114"/>
      <c r="AO1467" s="114"/>
      <c r="AP1467" s="114"/>
      <c r="AQ1467" s="114"/>
      <c r="AR1467" s="114"/>
      <c r="AS1467" s="114"/>
      <c r="AT1467" s="114"/>
      <c r="AU1467" s="114"/>
      <c r="AV1467" s="114"/>
      <c r="AW1467" s="114"/>
      <c r="AX1467" s="114"/>
      <c r="AY1467" s="114"/>
      <c r="AZ1467" s="114"/>
    </row>
    <row r="1468" spans="1:52">
      <c r="A1468" s="111"/>
      <c r="B1468" s="111"/>
      <c r="C1468" s="112"/>
      <c r="D1468" s="101"/>
      <c r="E1468" s="101"/>
      <c r="F1468" s="101"/>
      <c r="G1468" s="111"/>
      <c r="H1468" s="101"/>
      <c r="I1468" s="101"/>
      <c r="J1468" s="101"/>
      <c r="K1468" s="101"/>
      <c r="L1468" s="101"/>
      <c r="M1468" s="101"/>
      <c r="N1468" s="101"/>
      <c r="O1468" s="101"/>
      <c r="P1468" s="101"/>
      <c r="Q1468" s="101"/>
      <c r="R1468" s="101"/>
      <c r="S1468" s="101"/>
      <c r="T1468" s="101"/>
      <c r="U1468" s="101"/>
      <c r="V1468" s="101"/>
      <c r="W1468" s="101"/>
      <c r="X1468" s="101"/>
      <c r="Y1468" s="114"/>
      <c r="Z1468" s="114"/>
      <c r="AA1468" s="114"/>
      <c r="AB1468" s="114"/>
      <c r="AC1468" s="114"/>
      <c r="AD1468" s="114"/>
      <c r="AE1468" s="114"/>
      <c r="AF1468" s="114"/>
      <c r="AG1468" s="114"/>
      <c r="AH1468" s="114"/>
      <c r="AI1468" s="114"/>
      <c r="AJ1468" s="114"/>
      <c r="AK1468" s="114"/>
      <c r="AL1468" s="114"/>
      <c r="AM1468" s="114"/>
      <c r="AN1468" s="114"/>
      <c r="AO1468" s="114"/>
      <c r="AP1468" s="114"/>
      <c r="AQ1468" s="114"/>
      <c r="AR1468" s="114"/>
      <c r="AS1468" s="114"/>
      <c r="AT1468" s="114"/>
      <c r="AU1468" s="114"/>
      <c r="AV1468" s="114"/>
      <c r="AW1468" s="114"/>
      <c r="AX1468" s="114"/>
      <c r="AY1468" s="114"/>
      <c r="AZ1468" s="114"/>
    </row>
    <row r="1469" spans="1:52">
      <c r="A1469" s="111"/>
      <c r="B1469" s="111"/>
      <c r="C1469" s="112"/>
      <c r="D1469" s="101"/>
      <c r="E1469" s="101"/>
      <c r="F1469" s="101"/>
      <c r="G1469" s="111"/>
      <c r="H1469" s="101"/>
      <c r="I1469" s="101"/>
      <c r="J1469" s="101"/>
      <c r="K1469" s="101"/>
      <c r="L1469" s="101"/>
      <c r="M1469" s="101"/>
      <c r="N1469" s="101"/>
      <c r="O1469" s="101"/>
      <c r="P1469" s="101"/>
      <c r="Q1469" s="101"/>
      <c r="R1469" s="101"/>
      <c r="S1469" s="101"/>
      <c r="T1469" s="101"/>
      <c r="U1469" s="101"/>
      <c r="V1469" s="101"/>
      <c r="W1469" s="101"/>
      <c r="X1469" s="101"/>
      <c r="Y1469" s="114"/>
      <c r="Z1469" s="114"/>
      <c r="AA1469" s="114"/>
      <c r="AB1469" s="114"/>
      <c r="AC1469" s="114"/>
      <c r="AD1469" s="114"/>
      <c r="AE1469" s="114"/>
      <c r="AF1469" s="114"/>
      <c r="AG1469" s="114"/>
      <c r="AH1469" s="114"/>
      <c r="AI1469" s="114"/>
      <c r="AJ1469" s="114"/>
      <c r="AK1469" s="114"/>
      <c r="AL1469" s="114"/>
      <c r="AM1469" s="114"/>
      <c r="AN1469" s="114"/>
      <c r="AO1469" s="114"/>
      <c r="AP1469" s="114"/>
      <c r="AQ1469" s="114"/>
      <c r="AR1469" s="114"/>
      <c r="AS1469" s="114"/>
      <c r="AT1469" s="114"/>
      <c r="AU1469" s="114"/>
      <c r="AV1469" s="114"/>
      <c r="AW1469" s="114"/>
      <c r="AX1469" s="114"/>
      <c r="AY1469" s="114"/>
      <c r="AZ1469" s="114"/>
    </row>
    <row r="1470" spans="1:52">
      <c r="A1470" s="111"/>
      <c r="B1470" s="111"/>
      <c r="C1470" s="112"/>
      <c r="D1470" s="101"/>
      <c r="E1470" s="101"/>
      <c r="F1470" s="101"/>
      <c r="G1470" s="111"/>
      <c r="H1470" s="101"/>
      <c r="I1470" s="101"/>
      <c r="J1470" s="101"/>
      <c r="K1470" s="101"/>
      <c r="L1470" s="101"/>
      <c r="M1470" s="101"/>
      <c r="N1470" s="101"/>
      <c r="O1470" s="101"/>
      <c r="P1470" s="101"/>
      <c r="Q1470" s="101"/>
      <c r="R1470" s="101"/>
      <c r="S1470" s="101"/>
      <c r="T1470" s="101"/>
      <c r="U1470" s="101"/>
      <c r="V1470" s="101"/>
      <c r="W1470" s="101"/>
      <c r="X1470" s="101"/>
      <c r="Y1470" s="114"/>
      <c r="Z1470" s="114"/>
      <c r="AA1470" s="114"/>
      <c r="AB1470" s="114"/>
      <c r="AC1470" s="114"/>
      <c r="AD1470" s="114"/>
      <c r="AE1470" s="114"/>
      <c r="AF1470" s="114"/>
      <c r="AG1470" s="114"/>
      <c r="AH1470" s="114"/>
      <c r="AI1470" s="114"/>
      <c r="AJ1470" s="114"/>
      <c r="AK1470" s="114"/>
      <c r="AL1470" s="114"/>
      <c r="AM1470" s="114"/>
      <c r="AN1470" s="114"/>
      <c r="AO1470" s="114"/>
      <c r="AP1470" s="114"/>
      <c r="AQ1470" s="114"/>
      <c r="AR1470" s="114"/>
      <c r="AS1470" s="114"/>
      <c r="AT1470" s="114"/>
      <c r="AU1470" s="114"/>
      <c r="AV1470" s="114"/>
      <c r="AW1470" s="114"/>
      <c r="AX1470" s="114"/>
      <c r="AY1470" s="114"/>
      <c r="AZ1470" s="114"/>
    </row>
    <row r="1471" spans="1:52">
      <c r="A1471" s="111"/>
      <c r="B1471" s="111"/>
      <c r="C1471" s="112"/>
      <c r="D1471" s="101"/>
      <c r="E1471" s="101"/>
      <c r="F1471" s="101"/>
      <c r="G1471" s="111"/>
      <c r="H1471" s="101"/>
      <c r="I1471" s="101"/>
      <c r="J1471" s="101"/>
      <c r="K1471" s="101"/>
      <c r="L1471" s="101"/>
      <c r="M1471" s="101"/>
      <c r="N1471" s="101"/>
      <c r="O1471" s="101"/>
      <c r="P1471" s="101"/>
      <c r="Q1471" s="101"/>
      <c r="R1471" s="101"/>
      <c r="S1471" s="101"/>
      <c r="T1471" s="101"/>
      <c r="U1471" s="101"/>
      <c r="V1471" s="101"/>
      <c r="W1471" s="101"/>
      <c r="X1471" s="101"/>
      <c r="Y1471" s="114"/>
      <c r="Z1471" s="114"/>
      <c r="AA1471" s="114"/>
      <c r="AB1471" s="114"/>
      <c r="AC1471" s="114"/>
      <c r="AD1471" s="114"/>
      <c r="AE1471" s="114"/>
      <c r="AF1471" s="114"/>
      <c r="AG1471" s="114"/>
      <c r="AH1471" s="114"/>
      <c r="AI1471" s="114"/>
      <c r="AJ1471" s="114"/>
      <c r="AK1471" s="114"/>
      <c r="AL1471" s="114"/>
      <c r="AM1471" s="114"/>
      <c r="AN1471" s="114"/>
      <c r="AO1471" s="114"/>
      <c r="AP1471" s="114"/>
      <c r="AQ1471" s="114"/>
      <c r="AR1471" s="114"/>
      <c r="AS1471" s="114"/>
      <c r="AT1471" s="114"/>
      <c r="AU1471" s="114"/>
      <c r="AV1471" s="114"/>
      <c r="AW1471" s="114"/>
      <c r="AX1471" s="114"/>
      <c r="AY1471" s="114"/>
      <c r="AZ1471" s="114"/>
    </row>
    <row r="1472" spans="1:52">
      <c r="A1472" s="111"/>
      <c r="B1472" s="111"/>
      <c r="C1472" s="112"/>
      <c r="D1472" s="101"/>
      <c r="E1472" s="101"/>
      <c r="F1472" s="101"/>
      <c r="G1472" s="111"/>
      <c r="H1472" s="101"/>
      <c r="I1472" s="101"/>
      <c r="J1472" s="101"/>
      <c r="K1472" s="101"/>
      <c r="L1472" s="101"/>
      <c r="M1472" s="101"/>
      <c r="N1472" s="101"/>
      <c r="O1472" s="101"/>
      <c r="P1472" s="101"/>
      <c r="Q1472" s="101"/>
      <c r="R1472" s="101"/>
      <c r="S1472" s="101"/>
      <c r="T1472" s="101"/>
      <c r="U1472" s="101"/>
      <c r="V1472" s="101"/>
      <c r="W1472" s="101"/>
      <c r="X1472" s="101"/>
      <c r="Y1472" s="114"/>
      <c r="Z1472" s="114"/>
      <c r="AA1472" s="114"/>
      <c r="AB1472" s="114"/>
      <c r="AC1472" s="114"/>
      <c r="AD1472" s="114"/>
      <c r="AE1472" s="114"/>
      <c r="AF1472" s="114"/>
      <c r="AG1472" s="114"/>
      <c r="AH1472" s="114"/>
      <c r="AI1472" s="114"/>
      <c r="AJ1472" s="114"/>
      <c r="AK1472" s="114"/>
      <c r="AL1472" s="114"/>
      <c r="AM1472" s="114"/>
      <c r="AN1472" s="114"/>
      <c r="AO1472" s="114"/>
      <c r="AP1472" s="114"/>
      <c r="AQ1472" s="114"/>
      <c r="AR1472" s="114"/>
      <c r="AS1472" s="114"/>
      <c r="AT1472" s="114"/>
      <c r="AU1472" s="114"/>
      <c r="AV1472" s="114"/>
      <c r="AW1472" s="114"/>
      <c r="AX1472" s="114"/>
      <c r="AY1472" s="114"/>
      <c r="AZ1472" s="114"/>
    </row>
    <row r="1473" spans="1:52">
      <c r="A1473" s="111"/>
      <c r="B1473" s="111"/>
      <c r="C1473" s="112"/>
      <c r="D1473" s="101"/>
      <c r="E1473" s="101"/>
      <c r="F1473" s="101"/>
      <c r="G1473" s="111"/>
      <c r="H1473" s="101"/>
      <c r="I1473" s="101"/>
      <c r="J1473" s="101"/>
      <c r="K1473" s="101"/>
      <c r="L1473" s="101"/>
      <c r="M1473" s="101"/>
      <c r="N1473" s="101"/>
      <c r="O1473" s="101"/>
      <c r="P1473" s="101"/>
      <c r="Q1473" s="101"/>
      <c r="R1473" s="101"/>
      <c r="S1473" s="101"/>
      <c r="T1473" s="101"/>
      <c r="U1473" s="101"/>
      <c r="V1473" s="101"/>
      <c r="W1473" s="101"/>
      <c r="X1473" s="101"/>
      <c r="Y1473" s="114"/>
      <c r="Z1473" s="114"/>
      <c r="AA1473" s="114"/>
      <c r="AB1473" s="114"/>
      <c r="AC1473" s="114"/>
      <c r="AD1473" s="114"/>
      <c r="AE1473" s="114"/>
      <c r="AF1473" s="114"/>
      <c r="AG1473" s="114"/>
      <c r="AH1473" s="114"/>
      <c r="AI1473" s="114"/>
      <c r="AJ1473" s="114"/>
      <c r="AK1473" s="114"/>
      <c r="AL1473" s="114"/>
      <c r="AM1473" s="114"/>
      <c r="AN1473" s="114"/>
      <c r="AO1473" s="114"/>
      <c r="AP1473" s="114"/>
      <c r="AQ1473" s="114"/>
      <c r="AR1473" s="114"/>
      <c r="AS1473" s="114"/>
      <c r="AT1473" s="114"/>
      <c r="AU1473" s="114"/>
      <c r="AV1473" s="114"/>
      <c r="AW1473" s="114"/>
      <c r="AX1473" s="114"/>
      <c r="AY1473" s="114"/>
      <c r="AZ1473" s="114"/>
    </row>
    <row r="1474" spans="1:52">
      <c r="A1474" s="111"/>
      <c r="B1474" s="111"/>
      <c r="C1474" s="112"/>
      <c r="D1474" s="101"/>
      <c r="E1474" s="101"/>
      <c r="F1474" s="101"/>
      <c r="G1474" s="111"/>
      <c r="H1474" s="101"/>
      <c r="I1474" s="101"/>
      <c r="J1474" s="101"/>
      <c r="K1474" s="101"/>
      <c r="L1474" s="101"/>
      <c r="M1474" s="101"/>
      <c r="N1474" s="101"/>
      <c r="O1474" s="101"/>
      <c r="P1474" s="101"/>
      <c r="Q1474" s="101"/>
      <c r="R1474" s="101"/>
      <c r="S1474" s="101"/>
      <c r="T1474" s="101"/>
      <c r="U1474" s="101"/>
      <c r="V1474" s="101"/>
      <c r="W1474" s="101"/>
      <c r="X1474" s="101"/>
      <c r="Y1474" s="114"/>
      <c r="Z1474" s="114"/>
      <c r="AA1474" s="114"/>
      <c r="AB1474" s="114"/>
      <c r="AC1474" s="114"/>
      <c r="AD1474" s="114"/>
      <c r="AE1474" s="114"/>
      <c r="AF1474" s="114"/>
      <c r="AG1474" s="114"/>
      <c r="AH1474" s="114"/>
      <c r="AI1474" s="114"/>
      <c r="AJ1474" s="114"/>
      <c r="AK1474" s="114"/>
      <c r="AL1474" s="114"/>
      <c r="AM1474" s="114"/>
      <c r="AN1474" s="114"/>
      <c r="AO1474" s="114"/>
      <c r="AP1474" s="114"/>
      <c r="AQ1474" s="114"/>
      <c r="AR1474" s="114"/>
      <c r="AS1474" s="114"/>
      <c r="AT1474" s="114"/>
      <c r="AU1474" s="114"/>
      <c r="AV1474" s="114"/>
      <c r="AW1474" s="114"/>
      <c r="AX1474" s="114"/>
      <c r="AY1474" s="114"/>
      <c r="AZ1474" s="114"/>
    </row>
    <row r="1475" spans="1:52">
      <c r="A1475" s="111"/>
      <c r="B1475" s="111"/>
      <c r="C1475" s="112"/>
      <c r="D1475" s="101"/>
      <c r="E1475" s="101"/>
      <c r="F1475" s="101"/>
      <c r="G1475" s="111"/>
      <c r="H1475" s="101"/>
      <c r="I1475" s="101"/>
      <c r="J1475" s="101"/>
      <c r="K1475" s="101"/>
      <c r="L1475" s="101"/>
      <c r="M1475" s="101"/>
      <c r="N1475" s="101"/>
      <c r="O1475" s="101"/>
      <c r="P1475" s="101"/>
      <c r="Q1475" s="101"/>
      <c r="R1475" s="101"/>
      <c r="S1475" s="101"/>
      <c r="T1475" s="101"/>
      <c r="U1475" s="101"/>
      <c r="V1475" s="101"/>
      <c r="W1475" s="101"/>
      <c r="X1475" s="101"/>
      <c r="Y1475" s="114"/>
      <c r="Z1475" s="114"/>
      <c r="AA1475" s="114"/>
      <c r="AB1475" s="114"/>
      <c r="AC1475" s="114"/>
      <c r="AD1475" s="114"/>
      <c r="AE1475" s="114"/>
      <c r="AF1475" s="114"/>
      <c r="AG1475" s="114"/>
      <c r="AH1475" s="114"/>
      <c r="AI1475" s="114"/>
      <c r="AJ1475" s="114"/>
      <c r="AK1475" s="114"/>
      <c r="AL1475" s="114"/>
      <c r="AM1475" s="114"/>
      <c r="AN1475" s="114"/>
      <c r="AO1475" s="114"/>
      <c r="AP1475" s="114"/>
      <c r="AQ1475" s="114"/>
      <c r="AR1475" s="114"/>
      <c r="AS1475" s="114"/>
      <c r="AT1475" s="114"/>
      <c r="AU1475" s="114"/>
      <c r="AV1475" s="114"/>
      <c r="AW1475" s="114"/>
      <c r="AX1475" s="114"/>
      <c r="AY1475" s="114"/>
      <c r="AZ1475" s="114"/>
    </row>
    <row r="1476" spans="1:52">
      <c r="A1476" s="111"/>
      <c r="B1476" s="111"/>
      <c r="C1476" s="112"/>
      <c r="D1476" s="101"/>
      <c r="E1476" s="101"/>
      <c r="F1476" s="101"/>
      <c r="G1476" s="111"/>
      <c r="H1476" s="101"/>
      <c r="I1476" s="101"/>
      <c r="J1476" s="101"/>
      <c r="K1476" s="101"/>
      <c r="L1476" s="101"/>
      <c r="M1476" s="101"/>
      <c r="N1476" s="101"/>
      <c r="O1476" s="101"/>
      <c r="P1476" s="101"/>
      <c r="Q1476" s="101"/>
      <c r="R1476" s="101"/>
      <c r="S1476" s="101"/>
      <c r="T1476" s="101"/>
      <c r="U1476" s="101"/>
      <c r="V1476" s="101"/>
      <c r="W1476" s="101"/>
      <c r="X1476" s="101"/>
      <c r="Y1476" s="114"/>
      <c r="Z1476" s="114"/>
      <c r="AA1476" s="114"/>
      <c r="AB1476" s="114"/>
      <c r="AC1476" s="114"/>
      <c r="AD1476" s="114"/>
      <c r="AE1476" s="114"/>
      <c r="AF1476" s="114"/>
      <c r="AG1476" s="114"/>
      <c r="AH1476" s="114"/>
      <c r="AI1476" s="114"/>
      <c r="AJ1476" s="114"/>
      <c r="AK1476" s="114"/>
      <c r="AL1476" s="114"/>
      <c r="AM1476" s="114"/>
      <c r="AN1476" s="114"/>
      <c r="AO1476" s="114"/>
      <c r="AP1476" s="114"/>
      <c r="AQ1476" s="114"/>
      <c r="AR1476" s="114"/>
      <c r="AS1476" s="114"/>
      <c r="AT1476" s="114"/>
      <c r="AU1476" s="114"/>
      <c r="AV1476" s="114"/>
      <c r="AW1476" s="114"/>
      <c r="AX1476" s="114"/>
      <c r="AY1476" s="114"/>
      <c r="AZ1476" s="114"/>
    </row>
    <row r="1477" spans="1:52">
      <c r="A1477" s="111"/>
      <c r="B1477" s="111"/>
      <c r="C1477" s="112"/>
      <c r="D1477" s="101"/>
      <c r="E1477" s="101"/>
      <c r="F1477" s="101"/>
      <c r="G1477" s="111"/>
      <c r="H1477" s="101"/>
      <c r="I1477" s="101"/>
      <c r="J1477" s="101"/>
      <c r="K1477" s="101"/>
      <c r="L1477" s="101"/>
      <c r="M1477" s="101"/>
      <c r="N1477" s="101"/>
      <c r="O1477" s="101"/>
      <c r="P1477" s="101"/>
      <c r="Q1477" s="101"/>
      <c r="R1477" s="101"/>
      <c r="S1477" s="101"/>
      <c r="T1477" s="101"/>
      <c r="U1477" s="101"/>
      <c r="V1477" s="101"/>
      <c r="W1477" s="101"/>
      <c r="X1477" s="101"/>
      <c r="Y1477" s="114"/>
      <c r="Z1477" s="114"/>
      <c r="AA1477" s="114"/>
      <c r="AB1477" s="114"/>
      <c r="AC1477" s="114"/>
      <c r="AD1477" s="114"/>
      <c r="AE1477" s="114"/>
      <c r="AF1477" s="114"/>
      <c r="AG1477" s="114"/>
      <c r="AH1477" s="114"/>
      <c r="AI1477" s="114"/>
      <c r="AJ1477" s="114"/>
      <c r="AK1477" s="114"/>
      <c r="AL1477" s="114"/>
      <c r="AM1477" s="114"/>
      <c r="AN1477" s="114"/>
      <c r="AO1477" s="114"/>
      <c r="AP1477" s="114"/>
      <c r="AQ1477" s="114"/>
      <c r="AR1477" s="114"/>
      <c r="AS1477" s="114"/>
      <c r="AT1477" s="114"/>
      <c r="AU1477" s="114"/>
      <c r="AV1477" s="114"/>
      <c r="AW1477" s="114"/>
      <c r="AX1477" s="114"/>
      <c r="AY1477" s="114"/>
      <c r="AZ1477" s="114"/>
    </row>
    <row r="1478" spans="1:52">
      <c r="A1478" s="111"/>
      <c r="B1478" s="111"/>
      <c r="C1478" s="112"/>
      <c r="D1478" s="101"/>
      <c r="E1478" s="101"/>
      <c r="F1478" s="101"/>
      <c r="G1478" s="111"/>
      <c r="H1478" s="101"/>
      <c r="I1478" s="101"/>
      <c r="J1478" s="101"/>
      <c r="K1478" s="101"/>
      <c r="L1478" s="101"/>
      <c r="M1478" s="101"/>
      <c r="N1478" s="101"/>
      <c r="O1478" s="101"/>
      <c r="P1478" s="101"/>
      <c r="Q1478" s="101"/>
      <c r="R1478" s="101"/>
      <c r="S1478" s="101"/>
      <c r="T1478" s="101"/>
      <c r="U1478" s="101"/>
      <c r="V1478" s="101"/>
      <c r="W1478" s="101"/>
      <c r="X1478" s="101"/>
      <c r="Y1478" s="114"/>
      <c r="Z1478" s="114"/>
      <c r="AA1478" s="114"/>
      <c r="AB1478" s="114"/>
      <c r="AC1478" s="114"/>
      <c r="AD1478" s="114"/>
      <c r="AE1478" s="114"/>
      <c r="AF1478" s="114"/>
      <c r="AG1478" s="114"/>
      <c r="AH1478" s="114"/>
      <c r="AI1478" s="114"/>
      <c r="AJ1478" s="114"/>
      <c r="AK1478" s="114"/>
      <c r="AL1478" s="114"/>
      <c r="AM1478" s="114"/>
      <c r="AN1478" s="114"/>
      <c r="AO1478" s="114"/>
      <c r="AP1478" s="114"/>
      <c r="AQ1478" s="114"/>
      <c r="AR1478" s="114"/>
      <c r="AS1478" s="114"/>
      <c r="AT1478" s="114"/>
      <c r="AU1478" s="114"/>
      <c r="AV1478" s="114"/>
      <c r="AW1478" s="114"/>
      <c r="AX1478" s="114"/>
      <c r="AY1478" s="114"/>
      <c r="AZ1478" s="114"/>
    </row>
    <row r="1479" spans="1:52">
      <c r="A1479" s="111"/>
      <c r="B1479" s="111"/>
      <c r="C1479" s="112"/>
      <c r="D1479" s="101"/>
      <c r="E1479" s="101"/>
      <c r="F1479" s="101"/>
      <c r="G1479" s="111"/>
      <c r="H1479" s="101"/>
      <c r="I1479" s="101"/>
      <c r="J1479" s="101"/>
      <c r="K1479" s="101"/>
      <c r="L1479" s="101"/>
      <c r="M1479" s="101"/>
      <c r="N1479" s="101"/>
      <c r="O1479" s="101"/>
      <c r="P1479" s="101"/>
      <c r="Q1479" s="101"/>
      <c r="R1479" s="101"/>
      <c r="S1479" s="101"/>
      <c r="T1479" s="101"/>
      <c r="U1479" s="101"/>
      <c r="V1479" s="101"/>
      <c r="W1479" s="101"/>
      <c r="X1479" s="101"/>
      <c r="Y1479" s="114"/>
      <c r="Z1479" s="114"/>
      <c r="AA1479" s="114"/>
      <c r="AB1479" s="114"/>
      <c r="AC1479" s="114"/>
      <c r="AD1479" s="114"/>
      <c r="AE1479" s="114"/>
      <c r="AF1479" s="114"/>
      <c r="AG1479" s="114"/>
      <c r="AH1479" s="114"/>
      <c r="AI1479" s="114"/>
      <c r="AJ1479" s="114"/>
      <c r="AK1479" s="114"/>
      <c r="AL1479" s="114"/>
      <c r="AM1479" s="114"/>
      <c r="AN1479" s="114"/>
      <c r="AO1479" s="114"/>
      <c r="AP1479" s="114"/>
      <c r="AQ1479" s="114"/>
      <c r="AR1479" s="114"/>
      <c r="AS1479" s="114"/>
      <c r="AT1479" s="114"/>
      <c r="AU1479" s="114"/>
      <c r="AV1479" s="114"/>
      <c r="AW1479" s="114"/>
      <c r="AX1479" s="114"/>
      <c r="AY1479" s="114"/>
      <c r="AZ1479" s="114"/>
    </row>
    <row r="1480" spans="1:52">
      <c r="A1480" s="111"/>
      <c r="B1480" s="111"/>
      <c r="C1480" s="112"/>
      <c r="D1480" s="101"/>
      <c r="E1480" s="101"/>
      <c r="F1480" s="101"/>
      <c r="G1480" s="111"/>
      <c r="H1480" s="101"/>
      <c r="I1480" s="101"/>
      <c r="J1480" s="101"/>
      <c r="K1480" s="101"/>
      <c r="L1480" s="101"/>
      <c r="M1480" s="101"/>
      <c r="N1480" s="101"/>
      <c r="O1480" s="101"/>
      <c r="P1480" s="101"/>
      <c r="Q1480" s="101"/>
      <c r="R1480" s="101"/>
      <c r="S1480" s="101"/>
      <c r="T1480" s="101"/>
      <c r="U1480" s="101"/>
      <c r="V1480" s="101"/>
      <c r="W1480" s="101"/>
      <c r="X1480" s="101"/>
      <c r="Y1480" s="114"/>
      <c r="Z1480" s="114"/>
      <c r="AA1480" s="114"/>
      <c r="AB1480" s="114"/>
      <c r="AC1480" s="114"/>
      <c r="AD1480" s="114"/>
      <c r="AE1480" s="114"/>
      <c r="AF1480" s="114"/>
      <c r="AG1480" s="114"/>
      <c r="AH1480" s="114"/>
      <c r="AI1480" s="114"/>
      <c r="AJ1480" s="114"/>
      <c r="AK1480" s="114"/>
      <c r="AL1480" s="114"/>
      <c r="AM1480" s="114"/>
      <c r="AN1480" s="114"/>
      <c r="AO1480" s="114"/>
      <c r="AP1480" s="114"/>
      <c r="AQ1480" s="114"/>
      <c r="AR1480" s="114"/>
      <c r="AS1480" s="114"/>
      <c r="AT1480" s="114"/>
      <c r="AU1480" s="114"/>
      <c r="AV1480" s="114"/>
      <c r="AW1480" s="114"/>
      <c r="AX1480" s="114"/>
      <c r="AY1480" s="114"/>
      <c r="AZ1480" s="114"/>
    </row>
    <row r="1481" spans="1:52">
      <c r="A1481" s="111"/>
      <c r="B1481" s="111"/>
      <c r="C1481" s="112"/>
      <c r="D1481" s="101"/>
      <c r="E1481" s="101"/>
      <c r="F1481" s="101"/>
      <c r="G1481" s="111"/>
      <c r="H1481" s="101"/>
      <c r="I1481" s="101"/>
      <c r="J1481" s="101"/>
      <c r="K1481" s="101"/>
      <c r="L1481" s="101"/>
      <c r="M1481" s="101"/>
      <c r="N1481" s="101"/>
      <c r="O1481" s="101"/>
      <c r="P1481" s="101"/>
      <c r="Q1481" s="101"/>
      <c r="R1481" s="101"/>
      <c r="S1481" s="101"/>
      <c r="T1481" s="101"/>
      <c r="U1481" s="101"/>
      <c r="V1481" s="101"/>
      <c r="W1481" s="101"/>
      <c r="X1481" s="101"/>
      <c r="Y1481" s="114"/>
      <c r="Z1481" s="114"/>
      <c r="AA1481" s="114"/>
      <c r="AB1481" s="114"/>
      <c r="AC1481" s="114"/>
      <c r="AD1481" s="114"/>
      <c r="AE1481" s="114"/>
      <c r="AF1481" s="114"/>
      <c r="AG1481" s="114"/>
      <c r="AH1481" s="114"/>
      <c r="AI1481" s="114"/>
      <c r="AJ1481" s="114"/>
      <c r="AK1481" s="114"/>
      <c r="AL1481" s="114"/>
      <c r="AM1481" s="114"/>
      <c r="AN1481" s="114"/>
      <c r="AO1481" s="114"/>
      <c r="AP1481" s="114"/>
      <c r="AQ1481" s="114"/>
      <c r="AR1481" s="114"/>
      <c r="AS1481" s="114"/>
      <c r="AT1481" s="114"/>
      <c r="AU1481" s="114"/>
      <c r="AV1481" s="114"/>
      <c r="AW1481" s="114"/>
      <c r="AX1481" s="114"/>
      <c r="AY1481" s="114"/>
      <c r="AZ1481" s="114"/>
    </row>
    <row r="1482" spans="1:52">
      <c r="A1482" s="111"/>
      <c r="B1482" s="111"/>
      <c r="C1482" s="112"/>
      <c r="D1482" s="101"/>
      <c r="E1482" s="101"/>
      <c r="F1482" s="101"/>
      <c r="G1482" s="111"/>
      <c r="H1482" s="101"/>
      <c r="I1482" s="101"/>
      <c r="J1482" s="101"/>
      <c r="K1482" s="101"/>
      <c r="L1482" s="101"/>
      <c r="M1482" s="101"/>
      <c r="N1482" s="101"/>
      <c r="O1482" s="101"/>
      <c r="P1482" s="101"/>
      <c r="Q1482" s="101"/>
      <c r="R1482" s="101"/>
      <c r="S1482" s="101"/>
      <c r="T1482" s="101"/>
      <c r="U1482" s="101"/>
      <c r="V1482" s="101"/>
      <c r="W1482" s="101"/>
      <c r="X1482" s="101"/>
      <c r="Y1482" s="114"/>
      <c r="Z1482" s="114"/>
      <c r="AA1482" s="114"/>
      <c r="AB1482" s="114"/>
      <c r="AC1482" s="114"/>
      <c r="AD1482" s="114"/>
      <c r="AE1482" s="114"/>
      <c r="AF1482" s="114"/>
      <c r="AG1482" s="114"/>
      <c r="AH1482" s="114"/>
      <c r="AI1482" s="114"/>
      <c r="AJ1482" s="114"/>
      <c r="AK1482" s="114"/>
      <c r="AL1482" s="114"/>
      <c r="AM1482" s="114"/>
      <c r="AN1482" s="114"/>
      <c r="AO1482" s="114"/>
      <c r="AP1482" s="114"/>
      <c r="AQ1482" s="114"/>
      <c r="AR1482" s="114"/>
      <c r="AS1482" s="114"/>
      <c r="AT1482" s="114"/>
      <c r="AU1482" s="114"/>
      <c r="AV1482" s="114"/>
      <c r="AW1482" s="114"/>
      <c r="AX1482" s="114"/>
      <c r="AY1482" s="114"/>
      <c r="AZ1482" s="114"/>
    </row>
    <row r="1483" spans="1:52">
      <c r="A1483" s="111"/>
      <c r="B1483" s="111"/>
      <c r="C1483" s="112"/>
      <c r="D1483" s="101"/>
      <c r="E1483" s="101"/>
      <c r="F1483" s="101"/>
      <c r="G1483" s="111"/>
      <c r="H1483" s="101"/>
      <c r="I1483" s="101"/>
      <c r="J1483" s="101"/>
      <c r="K1483" s="101"/>
      <c r="L1483" s="101"/>
      <c r="M1483" s="101"/>
      <c r="N1483" s="101"/>
      <c r="O1483" s="101"/>
      <c r="P1483" s="101"/>
      <c r="Q1483" s="101"/>
      <c r="R1483" s="101"/>
      <c r="S1483" s="101"/>
      <c r="T1483" s="101"/>
      <c r="U1483" s="101"/>
      <c r="V1483" s="101"/>
      <c r="W1483" s="101"/>
      <c r="X1483" s="101"/>
      <c r="Y1483" s="114"/>
      <c r="Z1483" s="114"/>
      <c r="AA1483" s="114"/>
      <c r="AB1483" s="114"/>
      <c r="AC1483" s="114"/>
      <c r="AD1483" s="114"/>
      <c r="AE1483" s="114"/>
      <c r="AF1483" s="114"/>
      <c r="AG1483" s="114"/>
      <c r="AH1483" s="114"/>
      <c r="AI1483" s="114"/>
      <c r="AJ1483" s="114"/>
      <c r="AK1483" s="114"/>
      <c r="AL1483" s="114"/>
      <c r="AM1483" s="114"/>
      <c r="AN1483" s="114"/>
      <c r="AO1483" s="114"/>
      <c r="AP1483" s="114"/>
      <c r="AQ1483" s="114"/>
      <c r="AR1483" s="114"/>
      <c r="AS1483" s="114"/>
      <c r="AT1483" s="114"/>
      <c r="AU1483" s="114"/>
      <c r="AV1483" s="114"/>
      <c r="AW1483" s="114"/>
      <c r="AX1483" s="114"/>
      <c r="AY1483" s="114"/>
      <c r="AZ1483" s="114"/>
    </row>
    <row r="1484" spans="1:52">
      <c r="A1484" s="111"/>
      <c r="B1484" s="111"/>
      <c r="C1484" s="112"/>
      <c r="D1484" s="101"/>
      <c r="E1484" s="101"/>
      <c r="F1484" s="101"/>
      <c r="G1484" s="111"/>
      <c r="H1484" s="101"/>
      <c r="I1484" s="101"/>
      <c r="J1484" s="101"/>
      <c r="K1484" s="101"/>
      <c r="L1484" s="101"/>
      <c r="M1484" s="101"/>
      <c r="N1484" s="101"/>
      <c r="O1484" s="101"/>
      <c r="P1484" s="101"/>
      <c r="Q1484" s="101"/>
      <c r="R1484" s="101"/>
      <c r="S1484" s="101"/>
      <c r="T1484" s="101"/>
      <c r="U1484" s="101"/>
      <c r="V1484" s="101"/>
      <c r="W1484" s="101"/>
      <c r="X1484" s="101"/>
      <c r="Y1484" s="114"/>
      <c r="Z1484" s="114"/>
      <c r="AA1484" s="114"/>
      <c r="AB1484" s="114"/>
      <c r="AC1484" s="114"/>
      <c r="AD1484" s="114"/>
      <c r="AE1484" s="114"/>
      <c r="AF1484" s="114"/>
      <c r="AG1484" s="114"/>
      <c r="AH1484" s="114"/>
      <c r="AI1484" s="114"/>
      <c r="AJ1484" s="114"/>
      <c r="AK1484" s="114"/>
      <c r="AL1484" s="114"/>
      <c r="AM1484" s="114"/>
      <c r="AN1484" s="114"/>
      <c r="AO1484" s="114"/>
      <c r="AP1484" s="114"/>
      <c r="AQ1484" s="114"/>
      <c r="AR1484" s="114"/>
      <c r="AS1484" s="114"/>
      <c r="AT1484" s="114"/>
      <c r="AU1484" s="114"/>
      <c r="AV1484" s="114"/>
      <c r="AW1484" s="114"/>
      <c r="AX1484" s="114"/>
      <c r="AY1484" s="114"/>
      <c r="AZ1484" s="114"/>
    </row>
    <row r="1485" spans="1:52">
      <c r="A1485" s="111"/>
      <c r="B1485" s="111"/>
      <c r="C1485" s="112"/>
      <c r="D1485" s="101"/>
      <c r="E1485" s="101"/>
      <c r="F1485" s="101"/>
      <c r="G1485" s="111"/>
      <c r="H1485" s="101"/>
      <c r="I1485" s="101"/>
      <c r="J1485" s="101"/>
      <c r="K1485" s="101"/>
      <c r="L1485" s="101"/>
      <c r="M1485" s="101"/>
      <c r="N1485" s="101"/>
      <c r="O1485" s="101"/>
      <c r="P1485" s="101"/>
      <c r="Q1485" s="101"/>
      <c r="R1485" s="101"/>
      <c r="S1485" s="101"/>
      <c r="T1485" s="101"/>
      <c r="U1485" s="101"/>
      <c r="V1485" s="101"/>
      <c r="W1485" s="101"/>
      <c r="X1485" s="101"/>
      <c r="Y1485" s="114"/>
      <c r="Z1485" s="114"/>
      <c r="AA1485" s="114"/>
      <c r="AB1485" s="114"/>
      <c r="AC1485" s="114"/>
      <c r="AD1485" s="114"/>
      <c r="AE1485" s="114"/>
      <c r="AF1485" s="114"/>
      <c r="AG1485" s="114"/>
      <c r="AH1485" s="114"/>
      <c r="AI1485" s="114"/>
      <c r="AJ1485" s="114"/>
      <c r="AK1485" s="114"/>
      <c r="AL1485" s="114"/>
      <c r="AM1485" s="114"/>
      <c r="AN1485" s="114"/>
      <c r="AO1485" s="114"/>
      <c r="AP1485" s="114"/>
      <c r="AQ1485" s="114"/>
      <c r="AR1485" s="114"/>
      <c r="AS1485" s="114"/>
      <c r="AT1485" s="114"/>
      <c r="AU1485" s="114"/>
      <c r="AV1485" s="114"/>
      <c r="AW1485" s="114"/>
      <c r="AX1485" s="114"/>
      <c r="AY1485" s="114"/>
      <c r="AZ1485" s="114"/>
    </row>
    <row r="1486" spans="1:52">
      <c r="A1486" s="111"/>
      <c r="B1486" s="111"/>
      <c r="C1486" s="112"/>
      <c r="D1486" s="101"/>
      <c r="E1486" s="101"/>
      <c r="F1486" s="101"/>
      <c r="G1486" s="111"/>
      <c r="H1486" s="101"/>
      <c r="I1486" s="101"/>
      <c r="J1486" s="101"/>
      <c r="K1486" s="101"/>
      <c r="L1486" s="101"/>
      <c r="M1486" s="101"/>
      <c r="N1486" s="101"/>
      <c r="O1486" s="101"/>
      <c r="P1486" s="101"/>
      <c r="Q1486" s="101"/>
      <c r="R1486" s="101"/>
      <c r="S1486" s="101"/>
      <c r="T1486" s="101"/>
      <c r="U1486" s="101"/>
      <c r="V1486" s="101"/>
      <c r="W1486" s="101"/>
      <c r="X1486" s="101"/>
      <c r="Y1486" s="114"/>
      <c r="Z1486" s="114"/>
      <c r="AA1486" s="114"/>
      <c r="AB1486" s="114"/>
      <c r="AC1486" s="114"/>
      <c r="AD1486" s="114"/>
      <c r="AE1486" s="114"/>
      <c r="AF1486" s="114"/>
      <c r="AG1486" s="114"/>
      <c r="AH1486" s="114"/>
      <c r="AI1486" s="114"/>
      <c r="AJ1486" s="114"/>
      <c r="AK1486" s="114"/>
      <c r="AL1486" s="114"/>
      <c r="AM1486" s="114"/>
      <c r="AN1486" s="114"/>
      <c r="AO1486" s="114"/>
      <c r="AP1486" s="114"/>
      <c r="AQ1486" s="114"/>
      <c r="AR1486" s="114"/>
      <c r="AS1486" s="114"/>
      <c r="AT1486" s="114"/>
      <c r="AU1486" s="114"/>
      <c r="AV1486" s="114"/>
      <c r="AW1486" s="114"/>
      <c r="AX1486" s="114"/>
      <c r="AY1486" s="114"/>
      <c r="AZ1486" s="114"/>
    </row>
    <row r="1487" spans="1:52">
      <c r="A1487" s="111"/>
      <c r="B1487" s="111"/>
      <c r="C1487" s="112"/>
      <c r="D1487" s="101"/>
      <c r="E1487" s="101"/>
      <c r="F1487" s="101"/>
      <c r="G1487" s="111"/>
      <c r="H1487" s="101"/>
      <c r="I1487" s="101"/>
      <c r="J1487" s="101"/>
      <c r="K1487" s="101"/>
      <c r="L1487" s="101"/>
      <c r="M1487" s="101"/>
      <c r="N1487" s="101"/>
      <c r="O1487" s="101"/>
      <c r="P1487" s="101"/>
      <c r="Q1487" s="101"/>
      <c r="R1487" s="101"/>
      <c r="S1487" s="101"/>
      <c r="T1487" s="101"/>
      <c r="U1487" s="101"/>
      <c r="V1487" s="101"/>
      <c r="W1487" s="101"/>
      <c r="X1487" s="101"/>
      <c r="Y1487" s="114"/>
      <c r="Z1487" s="114"/>
      <c r="AA1487" s="114"/>
      <c r="AB1487" s="114"/>
      <c r="AC1487" s="114"/>
      <c r="AD1487" s="114"/>
      <c r="AE1487" s="114"/>
      <c r="AF1487" s="114"/>
      <c r="AG1487" s="114"/>
      <c r="AH1487" s="114"/>
      <c r="AI1487" s="114"/>
      <c r="AJ1487" s="114"/>
      <c r="AK1487" s="114"/>
      <c r="AL1487" s="114"/>
      <c r="AM1487" s="114"/>
      <c r="AN1487" s="114"/>
      <c r="AO1487" s="114"/>
      <c r="AP1487" s="114"/>
      <c r="AQ1487" s="114"/>
      <c r="AR1487" s="114"/>
      <c r="AS1487" s="114"/>
      <c r="AT1487" s="114"/>
      <c r="AU1487" s="114"/>
      <c r="AV1487" s="114"/>
      <c r="AW1487" s="114"/>
      <c r="AX1487" s="114"/>
      <c r="AY1487" s="114"/>
      <c r="AZ1487" s="114"/>
    </row>
    <row r="1488" spans="1:52">
      <c r="A1488" s="111"/>
      <c r="B1488" s="111"/>
      <c r="C1488" s="112"/>
      <c r="D1488" s="101"/>
      <c r="E1488" s="101"/>
      <c r="F1488" s="101"/>
      <c r="G1488" s="111"/>
      <c r="H1488" s="101"/>
      <c r="I1488" s="101"/>
      <c r="J1488" s="101"/>
      <c r="K1488" s="101"/>
      <c r="L1488" s="101"/>
      <c r="M1488" s="101"/>
      <c r="N1488" s="101"/>
      <c r="O1488" s="101"/>
      <c r="P1488" s="101"/>
      <c r="Q1488" s="101"/>
      <c r="R1488" s="101"/>
      <c r="S1488" s="101"/>
      <c r="T1488" s="101"/>
      <c r="U1488" s="101"/>
      <c r="V1488" s="101"/>
      <c r="W1488" s="101"/>
      <c r="X1488" s="101"/>
      <c r="Y1488" s="114"/>
      <c r="Z1488" s="114"/>
      <c r="AA1488" s="114"/>
      <c r="AB1488" s="114"/>
      <c r="AC1488" s="114"/>
      <c r="AD1488" s="114"/>
      <c r="AE1488" s="114"/>
      <c r="AF1488" s="114"/>
      <c r="AG1488" s="114"/>
      <c r="AH1488" s="114"/>
      <c r="AI1488" s="114"/>
      <c r="AJ1488" s="114"/>
      <c r="AK1488" s="114"/>
      <c r="AL1488" s="114"/>
      <c r="AM1488" s="114"/>
      <c r="AN1488" s="114"/>
      <c r="AO1488" s="114"/>
      <c r="AP1488" s="114"/>
      <c r="AQ1488" s="114"/>
      <c r="AR1488" s="114"/>
      <c r="AS1488" s="114"/>
      <c r="AT1488" s="114"/>
      <c r="AU1488" s="114"/>
      <c r="AV1488" s="114"/>
      <c r="AW1488" s="114"/>
      <c r="AX1488" s="114"/>
      <c r="AY1488" s="114"/>
      <c r="AZ1488" s="114"/>
    </row>
    <row r="1489" spans="1:52">
      <c r="A1489" s="111"/>
      <c r="B1489" s="111"/>
      <c r="C1489" s="112"/>
      <c r="D1489" s="101"/>
      <c r="E1489" s="101"/>
      <c r="F1489" s="101"/>
      <c r="G1489" s="111"/>
      <c r="H1489" s="101"/>
      <c r="I1489" s="101"/>
      <c r="J1489" s="101"/>
      <c r="K1489" s="101"/>
      <c r="L1489" s="101"/>
      <c r="M1489" s="101"/>
      <c r="N1489" s="101"/>
      <c r="O1489" s="101"/>
      <c r="P1489" s="101"/>
      <c r="Q1489" s="101"/>
      <c r="R1489" s="101"/>
      <c r="S1489" s="101"/>
      <c r="T1489" s="101"/>
      <c r="U1489" s="101"/>
      <c r="V1489" s="101"/>
      <c r="W1489" s="101"/>
      <c r="X1489" s="101"/>
      <c r="Y1489" s="114"/>
      <c r="Z1489" s="114"/>
      <c r="AA1489" s="114"/>
      <c r="AB1489" s="114"/>
      <c r="AC1489" s="114"/>
      <c r="AD1489" s="114"/>
      <c r="AE1489" s="114"/>
      <c r="AF1489" s="114"/>
      <c r="AG1489" s="114"/>
      <c r="AH1489" s="114"/>
      <c r="AI1489" s="114"/>
      <c r="AJ1489" s="114"/>
      <c r="AK1489" s="114"/>
      <c r="AL1489" s="114"/>
      <c r="AM1489" s="114"/>
      <c r="AN1489" s="114"/>
      <c r="AO1489" s="114"/>
      <c r="AP1489" s="114"/>
      <c r="AQ1489" s="114"/>
      <c r="AR1489" s="114"/>
      <c r="AS1489" s="114"/>
      <c r="AT1489" s="114"/>
      <c r="AU1489" s="114"/>
      <c r="AV1489" s="114"/>
      <c r="AW1489" s="114"/>
      <c r="AX1489" s="114"/>
      <c r="AY1489" s="114"/>
      <c r="AZ1489" s="114"/>
    </row>
    <row r="1490" spans="1:52">
      <c r="A1490" s="111"/>
      <c r="B1490" s="111"/>
      <c r="C1490" s="112"/>
      <c r="D1490" s="101"/>
      <c r="E1490" s="101"/>
      <c r="F1490" s="101"/>
      <c r="G1490" s="111"/>
      <c r="H1490" s="101"/>
      <c r="I1490" s="101"/>
      <c r="J1490" s="101"/>
      <c r="K1490" s="101"/>
      <c r="L1490" s="101"/>
      <c r="M1490" s="101"/>
      <c r="N1490" s="101"/>
      <c r="O1490" s="101"/>
      <c r="P1490" s="101"/>
      <c r="Q1490" s="101"/>
      <c r="R1490" s="101"/>
      <c r="S1490" s="101"/>
      <c r="T1490" s="101"/>
      <c r="U1490" s="101"/>
      <c r="V1490" s="101"/>
      <c r="W1490" s="101"/>
      <c r="X1490" s="101"/>
      <c r="Y1490" s="114"/>
      <c r="Z1490" s="114"/>
      <c r="AA1490" s="114"/>
      <c r="AB1490" s="114"/>
      <c r="AC1490" s="114"/>
      <c r="AD1490" s="114"/>
      <c r="AE1490" s="114"/>
      <c r="AF1490" s="114"/>
      <c r="AG1490" s="114"/>
      <c r="AH1490" s="114"/>
      <c r="AI1490" s="114"/>
      <c r="AJ1490" s="114"/>
      <c r="AK1490" s="114"/>
      <c r="AL1490" s="114"/>
      <c r="AM1490" s="114"/>
      <c r="AN1490" s="114"/>
      <c r="AO1490" s="114"/>
      <c r="AP1490" s="114"/>
      <c r="AQ1490" s="114"/>
      <c r="AR1490" s="114"/>
      <c r="AS1490" s="114"/>
      <c r="AT1490" s="114"/>
      <c r="AU1490" s="114"/>
      <c r="AV1490" s="114"/>
      <c r="AW1490" s="114"/>
      <c r="AX1490" s="114"/>
      <c r="AY1490" s="114"/>
      <c r="AZ1490" s="114"/>
    </row>
    <row r="1491" spans="1:52">
      <c r="A1491" s="111"/>
      <c r="B1491" s="111"/>
      <c r="C1491" s="112"/>
      <c r="D1491" s="101"/>
      <c r="E1491" s="101"/>
      <c r="F1491" s="101"/>
      <c r="G1491" s="111"/>
      <c r="H1491" s="101"/>
      <c r="I1491" s="101"/>
      <c r="J1491" s="101"/>
      <c r="K1491" s="101"/>
      <c r="L1491" s="101"/>
      <c r="M1491" s="101"/>
      <c r="N1491" s="101"/>
      <c r="O1491" s="101"/>
      <c r="P1491" s="101"/>
      <c r="Q1491" s="101"/>
      <c r="R1491" s="101"/>
      <c r="S1491" s="101"/>
      <c r="T1491" s="101"/>
      <c r="U1491" s="101"/>
      <c r="V1491" s="101"/>
      <c r="W1491" s="101"/>
      <c r="X1491" s="101"/>
      <c r="Y1491" s="114"/>
      <c r="Z1491" s="114"/>
      <c r="AA1491" s="114"/>
      <c r="AB1491" s="114"/>
      <c r="AC1491" s="114"/>
      <c r="AD1491" s="114"/>
      <c r="AE1491" s="114"/>
      <c r="AF1491" s="114"/>
      <c r="AG1491" s="114"/>
      <c r="AH1491" s="114"/>
      <c r="AI1491" s="114"/>
      <c r="AJ1491" s="114"/>
      <c r="AK1491" s="114"/>
      <c r="AL1491" s="114"/>
      <c r="AM1491" s="114"/>
      <c r="AN1491" s="114"/>
      <c r="AO1491" s="114"/>
      <c r="AP1491" s="114"/>
      <c r="AQ1491" s="114"/>
      <c r="AR1491" s="114"/>
      <c r="AS1491" s="114"/>
      <c r="AT1491" s="114"/>
      <c r="AU1491" s="114"/>
      <c r="AV1491" s="114"/>
      <c r="AW1491" s="114"/>
      <c r="AX1491" s="114"/>
      <c r="AY1491" s="114"/>
      <c r="AZ1491" s="114"/>
    </row>
    <row r="1492" spans="1:52">
      <c r="A1492" s="111"/>
      <c r="B1492" s="111"/>
      <c r="C1492" s="112"/>
      <c r="D1492" s="101"/>
      <c r="E1492" s="101"/>
      <c r="F1492" s="101"/>
      <c r="G1492" s="111"/>
      <c r="H1492" s="101"/>
      <c r="I1492" s="101"/>
      <c r="J1492" s="101"/>
      <c r="K1492" s="101"/>
      <c r="L1492" s="101"/>
      <c r="M1492" s="101"/>
      <c r="N1492" s="101"/>
      <c r="O1492" s="101"/>
      <c r="P1492" s="101"/>
      <c r="Q1492" s="101"/>
      <c r="R1492" s="101"/>
      <c r="S1492" s="101"/>
      <c r="T1492" s="101"/>
      <c r="U1492" s="101"/>
      <c r="V1492" s="101"/>
      <c r="W1492" s="101"/>
      <c r="X1492" s="101"/>
      <c r="Y1492" s="114"/>
      <c r="Z1492" s="114"/>
      <c r="AA1492" s="114"/>
      <c r="AB1492" s="114"/>
      <c r="AC1492" s="114"/>
      <c r="AD1492" s="114"/>
      <c r="AE1492" s="114"/>
      <c r="AF1492" s="114"/>
      <c r="AG1492" s="114"/>
      <c r="AH1492" s="114"/>
      <c r="AI1492" s="114"/>
      <c r="AJ1492" s="114"/>
      <c r="AK1492" s="114"/>
      <c r="AL1492" s="114"/>
      <c r="AM1492" s="114"/>
      <c r="AN1492" s="114"/>
      <c r="AO1492" s="114"/>
      <c r="AP1492" s="114"/>
      <c r="AQ1492" s="114"/>
      <c r="AR1492" s="114"/>
      <c r="AS1492" s="114"/>
      <c r="AT1492" s="114"/>
      <c r="AU1492" s="114"/>
      <c r="AV1492" s="114"/>
      <c r="AW1492" s="114"/>
      <c r="AX1492" s="114"/>
      <c r="AY1492" s="114"/>
      <c r="AZ1492" s="114"/>
    </row>
    <row r="1493" spans="1:52">
      <c r="A1493" s="111"/>
      <c r="B1493" s="111"/>
      <c r="C1493" s="112"/>
      <c r="D1493" s="101"/>
      <c r="E1493" s="101"/>
      <c r="F1493" s="101"/>
      <c r="G1493" s="111"/>
      <c r="H1493" s="101"/>
      <c r="I1493" s="101"/>
      <c r="J1493" s="101"/>
      <c r="K1493" s="101"/>
      <c r="L1493" s="101"/>
      <c r="M1493" s="101"/>
      <c r="N1493" s="101"/>
      <c r="O1493" s="101"/>
      <c r="P1493" s="101"/>
      <c r="Q1493" s="101"/>
      <c r="R1493" s="101"/>
      <c r="S1493" s="101"/>
      <c r="T1493" s="101"/>
      <c r="U1493" s="101"/>
      <c r="V1493" s="101"/>
      <c r="W1493" s="101"/>
      <c r="X1493" s="101"/>
      <c r="Y1493" s="114"/>
      <c r="Z1493" s="114"/>
      <c r="AA1493" s="114"/>
      <c r="AB1493" s="114"/>
      <c r="AC1493" s="114"/>
      <c r="AD1493" s="114"/>
      <c r="AE1493" s="114"/>
      <c r="AF1493" s="114"/>
      <c r="AG1493" s="114"/>
      <c r="AH1493" s="114"/>
      <c r="AI1493" s="114"/>
      <c r="AJ1493" s="114"/>
      <c r="AK1493" s="114"/>
      <c r="AL1493" s="114"/>
      <c r="AM1493" s="114"/>
      <c r="AN1493" s="114"/>
      <c r="AO1493" s="114"/>
      <c r="AP1493" s="114"/>
      <c r="AQ1493" s="114"/>
      <c r="AR1493" s="114"/>
      <c r="AS1493" s="114"/>
      <c r="AT1493" s="114"/>
      <c r="AU1493" s="114"/>
      <c r="AV1493" s="114"/>
      <c r="AW1493" s="114"/>
      <c r="AX1493" s="114"/>
      <c r="AY1493" s="114"/>
      <c r="AZ1493" s="114"/>
    </row>
    <row r="1494" spans="1:52">
      <c r="A1494" s="111"/>
      <c r="B1494" s="111"/>
      <c r="C1494" s="112"/>
      <c r="D1494" s="101"/>
      <c r="E1494" s="101"/>
      <c r="F1494" s="101"/>
      <c r="G1494" s="111"/>
      <c r="H1494" s="101"/>
      <c r="I1494" s="101"/>
      <c r="J1494" s="101"/>
      <c r="K1494" s="101"/>
      <c r="L1494" s="101"/>
      <c r="M1494" s="101"/>
      <c r="N1494" s="101"/>
      <c r="O1494" s="101"/>
      <c r="P1494" s="101"/>
      <c r="Q1494" s="101"/>
      <c r="R1494" s="101"/>
      <c r="S1494" s="101"/>
      <c r="T1494" s="101"/>
      <c r="U1494" s="101"/>
      <c r="V1494" s="101"/>
      <c r="W1494" s="101"/>
      <c r="X1494" s="101"/>
      <c r="Y1494" s="114"/>
      <c r="Z1494" s="114"/>
      <c r="AA1494" s="114"/>
      <c r="AB1494" s="114"/>
      <c r="AC1494" s="114"/>
      <c r="AD1494" s="114"/>
      <c r="AE1494" s="114"/>
      <c r="AF1494" s="114"/>
      <c r="AG1494" s="114"/>
      <c r="AH1494" s="114"/>
      <c r="AI1494" s="114"/>
      <c r="AJ1494" s="114"/>
      <c r="AK1494" s="114"/>
      <c r="AL1494" s="114"/>
      <c r="AM1494" s="114"/>
      <c r="AN1494" s="114"/>
      <c r="AO1494" s="114"/>
      <c r="AP1494" s="114"/>
      <c r="AQ1494" s="114"/>
      <c r="AR1494" s="114"/>
      <c r="AS1494" s="114"/>
      <c r="AT1494" s="114"/>
      <c r="AU1494" s="114"/>
      <c r="AV1494" s="114"/>
      <c r="AW1494" s="114"/>
      <c r="AX1494" s="114"/>
      <c r="AY1494" s="114"/>
      <c r="AZ1494" s="114"/>
    </row>
    <row r="1495" spans="1:52">
      <c r="A1495" s="111"/>
      <c r="B1495" s="111"/>
      <c r="C1495" s="112"/>
      <c r="D1495" s="101"/>
      <c r="E1495" s="101"/>
      <c r="F1495" s="101"/>
      <c r="G1495" s="111"/>
      <c r="H1495" s="101"/>
      <c r="I1495" s="101"/>
      <c r="J1495" s="101"/>
      <c r="K1495" s="101"/>
      <c r="L1495" s="101"/>
      <c r="M1495" s="101"/>
      <c r="N1495" s="101"/>
      <c r="O1495" s="101"/>
      <c r="P1495" s="101"/>
      <c r="Q1495" s="101"/>
      <c r="R1495" s="101"/>
      <c r="S1495" s="101"/>
      <c r="T1495" s="101"/>
      <c r="U1495" s="101"/>
      <c r="V1495" s="101"/>
      <c r="W1495" s="101"/>
      <c r="X1495" s="101"/>
      <c r="Y1495" s="114"/>
      <c r="Z1495" s="114"/>
      <c r="AA1495" s="114"/>
      <c r="AB1495" s="114"/>
      <c r="AC1495" s="114"/>
      <c r="AD1495" s="114"/>
      <c r="AE1495" s="114"/>
      <c r="AF1495" s="114"/>
      <c r="AG1495" s="114"/>
      <c r="AH1495" s="114"/>
      <c r="AI1495" s="114"/>
      <c r="AJ1495" s="114"/>
      <c r="AK1495" s="114"/>
      <c r="AL1495" s="114"/>
      <c r="AM1495" s="114"/>
      <c r="AN1495" s="114"/>
      <c r="AO1495" s="114"/>
      <c r="AP1495" s="114"/>
      <c r="AQ1495" s="114"/>
      <c r="AR1495" s="114"/>
      <c r="AS1495" s="114"/>
      <c r="AT1495" s="114"/>
      <c r="AU1495" s="114"/>
      <c r="AV1495" s="114"/>
      <c r="AW1495" s="114"/>
      <c r="AX1495" s="114"/>
      <c r="AY1495" s="114"/>
      <c r="AZ1495" s="114"/>
    </row>
    <row r="1496" spans="1:52">
      <c r="A1496" s="111"/>
      <c r="B1496" s="111"/>
      <c r="C1496" s="112"/>
      <c r="D1496" s="101"/>
      <c r="E1496" s="101"/>
      <c r="F1496" s="101"/>
      <c r="G1496" s="111"/>
      <c r="H1496" s="101"/>
      <c r="I1496" s="101"/>
      <c r="J1496" s="101"/>
      <c r="K1496" s="101"/>
      <c r="L1496" s="101"/>
      <c r="M1496" s="101"/>
      <c r="N1496" s="101"/>
      <c r="O1496" s="101"/>
      <c r="P1496" s="101"/>
      <c r="Q1496" s="101"/>
      <c r="R1496" s="101"/>
      <c r="S1496" s="101"/>
      <c r="T1496" s="101"/>
      <c r="U1496" s="101"/>
      <c r="V1496" s="101"/>
      <c r="W1496" s="101"/>
      <c r="X1496" s="101"/>
      <c r="Y1496" s="114"/>
      <c r="Z1496" s="114"/>
      <c r="AA1496" s="114"/>
      <c r="AB1496" s="114"/>
      <c r="AC1496" s="114"/>
      <c r="AD1496" s="114"/>
      <c r="AE1496" s="114"/>
      <c r="AF1496" s="114"/>
      <c r="AG1496" s="114"/>
      <c r="AH1496" s="114"/>
      <c r="AI1496" s="114"/>
      <c r="AJ1496" s="114"/>
      <c r="AK1496" s="114"/>
      <c r="AL1496" s="114"/>
      <c r="AM1496" s="114"/>
      <c r="AN1496" s="114"/>
      <c r="AO1496" s="114"/>
      <c r="AP1496" s="114"/>
      <c r="AQ1496" s="114"/>
      <c r="AR1496" s="114"/>
      <c r="AS1496" s="114"/>
      <c r="AT1496" s="114"/>
      <c r="AU1496" s="114"/>
      <c r="AV1496" s="114"/>
      <c r="AW1496" s="114"/>
      <c r="AX1496" s="114"/>
      <c r="AY1496" s="114"/>
      <c r="AZ1496" s="114"/>
    </row>
    <row r="1497" spans="1:52">
      <c r="A1497" s="111"/>
      <c r="B1497" s="111"/>
      <c r="C1497" s="112"/>
      <c r="D1497" s="101"/>
      <c r="E1497" s="101"/>
      <c r="F1497" s="101"/>
      <c r="G1497" s="111"/>
      <c r="H1497" s="101"/>
      <c r="I1497" s="101"/>
      <c r="J1497" s="101"/>
      <c r="K1497" s="101"/>
      <c r="L1497" s="101"/>
      <c r="M1497" s="101"/>
      <c r="N1497" s="101"/>
      <c r="O1497" s="101"/>
      <c r="P1497" s="101"/>
      <c r="Q1497" s="101"/>
      <c r="R1497" s="101"/>
      <c r="S1497" s="101"/>
      <c r="T1497" s="101"/>
      <c r="U1497" s="101"/>
      <c r="V1497" s="101"/>
      <c r="W1497" s="101"/>
      <c r="X1497" s="101"/>
      <c r="Y1497" s="114"/>
      <c r="Z1497" s="114"/>
      <c r="AA1497" s="114"/>
      <c r="AB1497" s="114"/>
      <c r="AC1497" s="114"/>
      <c r="AD1497" s="114"/>
      <c r="AE1497" s="114"/>
      <c r="AF1497" s="114"/>
      <c r="AG1497" s="114"/>
      <c r="AH1497" s="114"/>
      <c r="AI1497" s="114"/>
      <c r="AJ1497" s="114"/>
      <c r="AK1497" s="114"/>
      <c r="AL1497" s="114"/>
      <c r="AM1497" s="114"/>
      <c r="AN1497" s="114"/>
      <c r="AO1497" s="114"/>
      <c r="AP1497" s="114"/>
      <c r="AQ1497" s="114"/>
      <c r="AR1497" s="114"/>
      <c r="AS1497" s="114"/>
      <c r="AT1497" s="114"/>
      <c r="AU1497" s="114"/>
      <c r="AV1497" s="114"/>
      <c r="AW1497" s="114"/>
      <c r="AX1497" s="114"/>
      <c r="AY1497" s="114"/>
      <c r="AZ1497" s="114"/>
    </row>
    <row r="1498" spans="1:52">
      <c r="A1498" s="111"/>
      <c r="B1498" s="111"/>
      <c r="C1498" s="112"/>
      <c r="D1498" s="101"/>
      <c r="E1498" s="101"/>
      <c r="F1498" s="101"/>
      <c r="G1498" s="111"/>
      <c r="H1498" s="101"/>
      <c r="I1498" s="101"/>
      <c r="J1498" s="101"/>
      <c r="K1498" s="101"/>
      <c r="L1498" s="101"/>
      <c r="M1498" s="101"/>
      <c r="N1498" s="101"/>
      <c r="O1498" s="101"/>
      <c r="P1498" s="101"/>
      <c r="Q1498" s="101"/>
      <c r="R1498" s="101"/>
      <c r="S1498" s="101"/>
      <c r="T1498" s="101"/>
      <c r="U1498" s="101"/>
      <c r="V1498" s="101"/>
      <c r="W1498" s="101"/>
      <c r="X1498" s="101"/>
      <c r="Y1498" s="114"/>
      <c r="Z1498" s="114"/>
      <c r="AA1498" s="114"/>
      <c r="AB1498" s="114"/>
      <c r="AC1498" s="114"/>
      <c r="AD1498" s="114"/>
      <c r="AE1498" s="114"/>
      <c r="AF1498" s="114"/>
      <c r="AG1498" s="114"/>
      <c r="AH1498" s="114"/>
      <c r="AI1498" s="114"/>
      <c r="AJ1498" s="114"/>
      <c r="AK1498" s="114"/>
      <c r="AL1498" s="114"/>
      <c r="AM1498" s="114"/>
      <c r="AN1498" s="114"/>
      <c r="AO1498" s="114"/>
      <c r="AP1498" s="114"/>
      <c r="AQ1498" s="114"/>
      <c r="AR1498" s="114"/>
      <c r="AS1498" s="114"/>
      <c r="AT1498" s="114"/>
      <c r="AU1498" s="114"/>
      <c r="AV1498" s="114"/>
      <c r="AW1498" s="114"/>
      <c r="AX1498" s="114"/>
      <c r="AY1498" s="114"/>
      <c r="AZ1498" s="114"/>
    </row>
    <row r="1499" spans="1:52">
      <c r="A1499" s="111"/>
      <c r="B1499" s="111"/>
      <c r="C1499" s="112"/>
      <c r="D1499" s="101"/>
      <c r="E1499" s="101"/>
      <c r="F1499" s="101"/>
      <c r="G1499" s="111"/>
      <c r="H1499" s="101"/>
      <c r="I1499" s="101"/>
      <c r="J1499" s="101"/>
      <c r="K1499" s="101"/>
      <c r="L1499" s="101"/>
      <c r="M1499" s="101"/>
      <c r="N1499" s="101"/>
      <c r="O1499" s="101"/>
      <c r="P1499" s="101"/>
      <c r="Q1499" s="101"/>
      <c r="R1499" s="101"/>
      <c r="S1499" s="101"/>
      <c r="T1499" s="101"/>
      <c r="U1499" s="101"/>
      <c r="V1499" s="101"/>
      <c r="W1499" s="101"/>
      <c r="X1499" s="101"/>
      <c r="Y1499" s="114"/>
      <c r="Z1499" s="114"/>
      <c r="AA1499" s="114"/>
      <c r="AB1499" s="114"/>
      <c r="AC1499" s="114"/>
      <c r="AD1499" s="114"/>
      <c r="AE1499" s="114"/>
      <c r="AF1499" s="114"/>
      <c r="AG1499" s="114"/>
      <c r="AH1499" s="114"/>
      <c r="AI1499" s="114"/>
      <c r="AJ1499" s="114"/>
      <c r="AK1499" s="114"/>
      <c r="AL1499" s="114"/>
      <c r="AM1499" s="114"/>
      <c r="AN1499" s="114"/>
      <c r="AO1499" s="114"/>
      <c r="AP1499" s="114"/>
      <c r="AQ1499" s="114"/>
      <c r="AR1499" s="114"/>
      <c r="AS1499" s="114"/>
      <c r="AT1499" s="114"/>
      <c r="AU1499" s="114"/>
      <c r="AV1499" s="114"/>
      <c r="AW1499" s="114"/>
      <c r="AX1499" s="114"/>
      <c r="AY1499" s="114"/>
      <c r="AZ1499" s="114"/>
    </row>
    <row r="1500" spans="1:52">
      <c r="A1500" s="111"/>
      <c r="B1500" s="111"/>
      <c r="C1500" s="112"/>
      <c r="D1500" s="101"/>
      <c r="E1500" s="101"/>
      <c r="F1500" s="101"/>
      <c r="G1500" s="111"/>
      <c r="H1500" s="101"/>
      <c r="I1500" s="101"/>
      <c r="J1500" s="101"/>
      <c r="K1500" s="101"/>
      <c r="L1500" s="101"/>
      <c r="M1500" s="101"/>
      <c r="N1500" s="101"/>
      <c r="O1500" s="101"/>
      <c r="P1500" s="101"/>
      <c r="Q1500" s="101"/>
      <c r="R1500" s="101"/>
      <c r="S1500" s="101"/>
      <c r="T1500" s="101"/>
      <c r="U1500" s="101"/>
      <c r="V1500" s="101"/>
      <c r="W1500" s="101"/>
      <c r="X1500" s="101"/>
      <c r="Y1500" s="114"/>
      <c r="Z1500" s="114"/>
      <c r="AA1500" s="114"/>
      <c r="AB1500" s="114"/>
      <c r="AC1500" s="114"/>
      <c r="AD1500" s="114"/>
      <c r="AE1500" s="114"/>
      <c r="AF1500" s="114"/>
      <c r="AG1500" s="114"/>
      <c r="AH1500" s="114"/>
      <c r="AI1500" s="114"/>
      <c r="AJ1500" s="114"/>
      <c r="AK1500" s="114"/>
      <c r="AL1500" s="114"/>
      <c r="AM1500" s="114"/>
      <c r="AN1500" s="114"/>
      <c r="AO1500" s="114"/>
      <c r="AP1500" s="114"/>
      <c r="AQ1500" s="114"/>
      <c r="AR1500" s="114"/>
      <c r="AS1500" s="114"/>
      <c r="AT1500" s="114"/>
      <c r="AU1500" s="114"/>
      <c r="AV1500" s="114"/>
      <c r="AW1500" s="114"/>
      <c r="AX1500" s="114"/>
      <c r="AY1500" s="114"/>
      <c r="AZ1500" s="114"/>
    </row>
    <row r="1501" spans="1:52">
      <c r="A1501" s="111"/>
      <c r="B1501" s="111"/>
      <c r="C1501" s="112"/>
      <c r="D1501" s="101"/>
      <c r="E1501" s="101"/>
      <c r="F1501" s="101"/>
      <c r="G1501" s="111"/>
      <c r="H1501" s="101"/>
      <c r="I1501" s="101"/>
      <c r="J1501" s="101"/>
      <c r="K1501" s="101"/>
      <c r="L1501" s="101"/>
      <c r="M1501" s="101"/>
      <c r="N1501" s="101"/>
      <c r="O1501" s="101"/>
      <c r="P1501" s="101"/>
      <c r="Q1501" s="101"/>
      <c r="R1501" s="101"/>
      <c r="S1501" s="101"/>
      <c r="T1501" s="101"/>
      <c r="U1501" s="101"/>
      <c r="V1501" s="101"/>
      <c r="W1501" s="101"/>
      <c r="X1501" s="101"/>
      <c r="Y1501" s="114"/>
      <c r="Z1501" s="114"/>
      <c r="AA1501" s="114"/>
      <c r="AB1501" s="114"/>
      <c r="AC1501" s="114"/>
      <c r="AD1501" s="114"/>
      <c r="AE1501" s="114"/>
      <c r="AF1501" s="114"/>
      <c r="AG1501" s="114"/>
      <c r="AH1501" s="114"/>
      <c r="AI1501" s="114"/>
      <c r="AJ1501" s="114"/>
      <c r="AK1501" s="114"/>
      <c r="AL1501" s="114"/>
      <c r="AM1501" s="114"/>
      <c r="AN1501" s="114"/>
      <c r="AO1501" s="114"/>
      <c r="AP1501" s="114"/>
      <c r="AQ1501" s="114"/>
      <c r="AR1501" s="114"/>
      <c r="AS1501" s="114"/>
      <c r="AT1501" s="114"/>
      <c r="AU1501" s="114"/>
      <c r="AV1501" s="114"/>
      <c r="AW1501" s="114"/>
      <c r="AX1501" s="114"/>
      <c r="AY1501" s="114"/>
      <c r="AZ1501" s="114"/>
    </row>
    <row r="1502" spans="1:52">
      <c r="A1502" s="111"/>
      <c r="B1502" s="111"/>
      <c r="C1502" s="112"/>
      <c r="D1502" s="101"/>
      <c r="E1502" s="101"/>
      <c r="F1502" s="101"/>
      <c r="G1502" s="111"/>
      <c r="H1502" s="101"/>
      <c r="I1502" s="101"/>
      <c r="J1502" s="101"/>
      <c r="K1502" s="101"/>
      <c r="L1502" s="101"/>
      <c r="M1502" s="101"/>
      <c r="N1502" s="101"/>
      <c r="O1502" s="101"/>
      <c r="P1502" s="101"/>
      <c r="Q1502" s="101"/>
      <c r="R1502" s="101"/>
      <c r="S1502" s="101"/>
      <c r="T1502" s="101"/>
      <c r="U1502" s="101"/>
      <c r="V1502" s="101"/>
      <c r="W1502" s="101"/>
      <c r="X1502" s="101"/>
      <c r="Y1502" s="114"/>
      <c r="Z1502" s="114"/>
      <c r="AA1502" s="114"/>
      <c r="AB1502" s="114"/>
      <c r="AC1502" s="114"/>
      <c r="AD1502" s="114"/>
      <c r="AE1502" s="114"/>
      <c r="AF1502" s="114"/>
      <c r="AG1502" s="114"/>
      <c r="AH1502" s="114"/>
      <c r="AI1502" s="114"/>
      <c r="AJ1502" s="114"/>
      <c r="AK1502" s="114"/>
      <c r="AL1502" s="114"/>
      <c r="AM1502" s="114"/>
      <c r="AN1502" s="114"/>
      <c r="AO1502" s="114"/>
      <c r="AP1502" s="114"/>
      <c r="AQ1502" s="114"/>
      <c r="AR1502" s="114"/>
      <c r="AS1502" s="114"/>
      <c r="AT1502" s="114"/>
      <c r="AU1502" s="114"/>
      <c r="AV1502" s="114"/>
      <c r="AW1502" s="114"/>
      <c r="AX1502" s="114"/>
      <c r="AY1502" s="114"/>
      <c r="AZ1502" s="114"/>
    </row>
    <row r="1503" spans="1:52">
      <c r="A1503" s="111"/>
      <c r="B1503" s="111"/>
      <c r="C1503" s="112"/>
      <c r="D1503" s="101"/>
      <c r="E1503" s="101"/>
      <c r="F1503" s="101"/>
      <c r="G1503" s="111"/>
      <c r="H1503" s="101"/>
      <c r="I1503" s="101"/>
      <c r="J1503" s="101"/>
      <c r="K1503" s="101"/>
      <c r="L1503" s="101"/>
      <c r="M1503" s="101"/>
      <c r="N1503" s="101"/>
      <c r="O1503" s="101"/>
      <c r="P1503" s="101"/>
      <c r="Q1503" s="101"/>
      <c r="R1503" s="101"/>
      <c r="S1503" s="101"/>
      <c r="T1503" s="101"/>
      <c r="U1503" s="101"/>
      <c r="V1503" s="101"/>
      <c r="W1503" s="101"/>
      <c r="X1503" s="101"/>
      <c r="Y1503" s="114"/>
      <c r="Z1503" s="114"/>
      <c r="AA1503" s="114"/>
      <c r="AB1503" s="114"/>
      <c r="AC1503" s="114"/>
      <c r="AD1503" s="114"/>
      <c r="AE1503" s="114"/>
      <c r="AF1503" s="114"/>
      <c r="AG1503" s="114"/>
      <c r="AH1503" s="114"/>
      <c r="AI1503" s="114"/>
      <c r="AJ1503" s="114"/>
      <c r="AK1503" s="114"/>
      <c r="AL1503" s="114"/>
      <c r="AM1503" s="114"/>
      <c r="AN1503" s="114"/>
      <c r="AO1503" s="114"/>
      <c r="AP1503" s="114"/>
      <c r="AQ1503" s="114"/>
      <c r="AR1503" s="114"/>
      <c r="AS1503" s="114"/>
      <c r="AT1503" s="114"/>
      <c r="AU1503" s="114"/>
      <c r="AV1503" s="114"/>
      <c r="AW1503" s="114"/>
      <c r="AX1503" s="114"/>
      <c r="AY1503" s="114"/>
      <c r="AZ1503" s="114"/>
    </row>
    <row r="1504" spans="1:52">
      <c r="A1504" s="111"/>
      <c r="B1504" s="111"/>
      <c r="C1504" s="112"/>
      <c r="D1504" s="101"/>
      <c r="E1504" s="101"/>
      <c r="F1504" s="101"/>
      <c r="G1504" s="111"/>
      <c r="H1504" s="101"/>
      <c r="I1504" s="101"/>
      <c r="J1504" s="101"/>
      <c r="K1504" s="101"/>
      <c r="L1504" s="101"/>
      <c r="M1504" s="101"/>
      <c r="N1504" s="101"/>
      <c r="O1504" s="101"/>
      <c r="P1504" s="101"/>
      <c r="Q1504" s="101"/>
      <c r="R1504" s="101"/>
      <c r="S1504" s="101"/>
      <c r="T1504" s="101"/>
      <c r="U1504" s="101"/>
      <c r="V1504" s="101"/>
      <c r="W1504" s="101"/>
      <c r="X1504" s="101"/>
      <c r="Y1504" s="114"/>
      <c r="Z1504" s="114"/>
      <c r="AA1504" s="114"/>
      <c r="AB1504" s="114"/>
      <c r="AC1504" s="114"/>
      <c r="AD1504" s="114"/>
      <c r="AE1504" s="114"/>
      <c r="AF1504" s="114"/>
      <c r="AG1504" s="114"/>
      <c r="AH1504" s="114"/>
      <c r="AI1504" s="114"/>
      <c r="AJ1504" s="114"/>
      <c r="AK1504" s="114"/>
      <c r="AL1504" s="114"/>
      <c r="AM1504" s="114"/>
      <c r="AN1504" s="114"/>
      <c r="AO1504" s="114"/>
      <c r="AP1504" s="114"/>
      <c r="AQ1504" s="114"/>
      <c r="AR1504" s="114"/>
      <c r="AS1504" s="114"/>
      <c r="AT1504" s="114"/>
      <c r="AU1504" s="114"/>
      <c r="AV1504" s="114"/>
      <c r="AW1504" s="114"/>
      <c r="AX1504" s="114"/>
      <c r="AY1504" s="114"/>
      <c r="AZ1504" s="114"/>
    </row>
    <row r="1505" spans="1:52">
      <c r="A1505" s="111"/>
      <c r="B1505" s="111"/>
      <c r="C1505" s="112"/>
      <c r="D1505" s="101"/>
      <c r="E1505" s="101"/>
      <c r="F1505" s="101"/>
      <c r="G1505" s="111"/>
      <c r="H1505" s="101"/>
      <c r="I1505" s="101"/>
      <c r="J1505" s="101"/>
      <c r="K1505" s="101"/>
      <c r="L1505" s="101"/>
      <c r="M1505" s="101"/>
      <c r="N1505" s="101"/>
      <c r="O1505" s="101"/>
      <c r="P1505" s="101"/>
      <c r="Q1505" s="101"/>
      <c r="R1505" s="101"/>
      <c r="S1505" s="101"/>
      <c r="T1505" s="101"/>
      <c r="U1505" s="101"/>
      <c r="V1505" s="101"/>
      <c r="W1505" s="101"/>
      <c r="X1505" s="101"/>
      <c r="Y1505" s="114"/>
      <c r="Z1505" s="114"/>
      <c r="AA1505" s="114"/>
      <c r="AB1505" s="114"/>
      <c r="AC1505" s="114"/>
      <c r="AD1505" s="114"/>
      <c r="AE1505" s="114"/>
      <c r="AF1505" s="114"/>
      <c r="AG1505" s="114"/>
      <c r="AH1505" s="114"/>
      <c r="AI1505" s="114"/>
      <c r="AJ1505" s="114"/>
      <c r="AK1505" s="114"/>
      <c r="AL1505" s="114"/>
      <c r="AM1505" s="114"/>
      <c r="AN1505" s="114"/>
      <c r="AO1505" s="114"/>
      <c r="AP1505" s="114"/>
      <c r="AQ1505" s="114"/>
      <c r="AR1505" s="114"/>
      <c r="AS1505" s="114"/>
      <c r="AT1505" s="114"/>
      <c r="AU1505" s="114"/>
      <c r="AV1505" s="114"/>
      <c r="AW1505" s="114"/>
      <c r="AX1505" s="114"/>
      <c r="AY1505" s="114"/>
      <c r="AZ1505" s="114"/>
    </row>
    <row r="1506" spans="1:52">
      <c r="A1506" s="111"/>
      <c r="B1506" s="111"/>
      <c r="C1506" s="112"/>
      <c r="D1506" s="101"/>
      <c r="E1506" s="101"/>
      <c r="F1506" s="101"/>
      <c r="G1506" s="111"/>
      <c r="H1506" s="101"/>
      <c r="I1506" s="101"/>
      <c r="J1506" s="101"/>
      <c r="K1506" s="101"/>
      <c r="L1506" s="101"/>
      <c r="M1506" s="101"/>
      <c r="N1506" s="101"/>
      <c r="O1506" s="101"/>
      <c r="P1506" s="101"/>
      <c r="Q1506" s="101"/>
      <c r="R1506" s="101"/>
      <c r="S1506" s="101"/>
      <c r="T1506" s="101"/>
      <c r="U1506" s="101"/>
      <c r="V1506" s="101"/>
      <c r="W1506" s="101"/>
      <c r="X1506" s="101"/>
      <c r="Y1506" s="114"/>
      <c r="Z1506" s="114"/>
      <c r="AA1506" s="114"/>
      <c r="AB1506" s="114"/>
      <c r="AC1506" s="114"/>
      <c r="AD1506" s="114"/>
      <c r="AE1506" s="114"/>
      <c r="AF1506" s="114"/>
      <c r="AG1506" s="114"/>
      <c r="AH1506" s="114"/>
      <c r="AI1506" s="114"/>
      <c r="AJ1506" s="114"/>
      <c r="AK1506" s="114"/>
      <c r="AL1506" s="114"/>
      <c r="AM1506" s="114"/>
      <c r="AN1506" s="114"/>
      <c r="AO1506" s="114"/>
      <c r="AP1506" s="114"/>
      <c r="AQ1506" s="114"/>
      <c r="AR1506" s="114"/>
      <c r="AS1506" s="114"/>
      <c r="AT1506" s="114"/>
      <c r="AU1506" s="114"/>
      <c r="AV1506" s="114"/>
      <c r="AW1506" s="114"/>
      <c r="AX1506" s="114"/>
      <c r="AY1506" s="114"/>
      <c r="AZ1506" s="114"/>
    </row>
    <row r="1507" spans="1:52">
      <c r="A1507" s="111"/>
      <c r="B1507" s="111"/>
      <c r="C1507" s="112"/>
      <c r="D1507" s="101"/>
      <c r="E1507" s="101"/>
      <c r="F1507" s="101"/>
      <c r="G1507" s="111"/>
      <c r="H1507" s="101"/>
      <c r="I1507" s="101"/>
      <c r="J1507" s="101"/>
      <c r="K1507" s="101"/>
      <c r="L1507" s="101"/>
      <c r="M1507" s="101"/>
      <c r="N1507" s="101"/>
      <c r="O1507" s="101"/>
      <c r="P1507" s="101"/>
      <c r="Q1507" s="101"/>
      <c r="R1507" s="101"/>
      <c r="S1507" s="101"/>
      <c r="T1507" s="101"/>
      <c r="U1507" s="101"/>
      <c r="V1507" s="101"/>
      <c r="W1507" s="101"/>
      <c r="X1507" s="101"/>
      <c r="Y1507" s="114"/>
      <c r="Z1507" s="114"/>
      <c r="AA1507" s="114"/>
      <c r="AB1507" s="114"/>
      <c r="AC1507" s="114"/>
      <c r="AD1507" s="114"/>
      <c r="AE1507" s="114"/>
      <c r="AF1507" s="114"/>
      <c r="AG1507" s="114"/>
      <c r="AH1507" s="114"/>
      <c r="AI1507" s="114"/>
      <c r="AJ1507" s="114"/>
      <c r="AK1507" s="114"/>
      <c r="AL1507" s="114"/>
      <c r="AM1507" s="114"/>
      <c r="AN1507" s="114"/>
      <c r="AO1507" s="114"/>
      <c r="AP1507" s="114"/>
      <c r="AQ1507" s="114"/>
      <c r="AR1507" s="114"/>
      <c r="AS1507" s="114"/>
      <c r="AT1507" s="114"/>
      <c r="AU1507" s="114"/>
      <c r="AV1507" s="114"/>
      <c r="AW1507" s="114"/>
      <c r="AX1507" s="114"/>
      <c r="AY1507" s="114"/>
      <c r="AZ1507" s="114"/>
    </row>
    <row r="1508" spans="1:52">
      <c r="A1508" s="111"/>
      <c r="B1508" s="111"/>
      <c r="C1508" s="112"/>
      <c r="D1508" s="101"/>
      <c r="E1508" s="101"/>
      <c r="F1508" s="101"/>
      <c r="G1508" s="111"/>
      <c r="H1508" s="101"/>
      <c r="I1508" s="101"/>
      <c r="J1508" s="101"/>
      <c r="K1508" s="101"/>
      <c r="L1508" s="101"/>
      <c r="M1508" s="101"/>
      <c r="N1508" s="101"/>
      <c r="O1508" s="101"/>
      <c r="P1508" s="101"/>
      <c r="Q1508" s="101"/>
      <c r="R1508" s="101"/>
      <c r="S1508" s="101"/>
      <c r="T1508" s="101"/>
      <c r="U1508" s="101"/>
      <c r="V1508" s="101"/>
      <c r="W1508" s="101"/>
      <c r="X1508" s="101"/>
      <c r="Y1508" s="114"/>
      <c r="Z1508" s="114"/>
      <c r="AA1508" s="114"/>
      <c r="AB1508" s="114"/>
      <c r="AC1508" s="114"/>
      <c r="AD1508" s="114"/>
      <c r="AE1508" s="114"/>
      <c r="AF1508" s="114"/>
      <c r="AG1508" s="114"/>
      <c r="AH1508" s="114"/>
      <c r="AI1508" s="114"/>
      <c r="AJ1508" s="114"/>
      <c r="AK1508" s="114"/>
      <c r="AL1508" s="114"/>
      <c r="AM1508" s="114"/>
      <c r="AN1508" s="114"/>
      <c r="AO1508" s="114"/>
      <c r="AP1508" s="114"/>
      <c r="AQ1508" s="114"/>
      <c r="AR1508" s="114"/>
      <c r="AS1508" s="114"/>
      <c r="AT1508" s="114"/>
      <c r="AU1508" s="114"/>
      <c r="AV1508" s="114"/>
      <c r="AW1508" s="114"/>
      <c r="AX1508" s="114"/>
      <c r="AY1508" s="114"/>
      <c r="AZ1508" s="114"/>
    </row>
    <row r="1509" spans="1:52">
      <c r="A1509" s="111"/>
      <c r="B1509" s="111"/>
      <c r="C1509" s="112"/>
      <c r="D1509" s="101"/>
      <c r="E1509" s="101"/>
      <c r="F1509" s="101"/>
      <c r="G1509" s="111"/>
      <c r="H1509" s="101"/>
      <c r="I1509" s="101"/>
      <c r="J1509" s="101"/>
      <c r="K1509" s="101"/>
      <c r="L1509" s="101"/>
      <c r="M1509" s="101"/>
      <c r="N1509" s="101"/>
      <c r="O1509" s="101"/>
      <c r="P1509" s="101"/>
      <c r="Q1509" s="101"/>
      <c r="R1509" s="101"/>
      <c r="S1509" s="101"/>
      <c r="T1509" s="101"/>
      <c r="U1509" s="101"/>
      <c r="V1509" s="101"/>
      <c r="W1509" s="101"/>
      <c r="X1509" s="101"/>
      <c r="Y1509" s="114"/>
      <c r="Z1509" s="114"/>
      <c r="AA1509" s="114"/>
      <c r="AB1509" s="114"/>
      <c r="AC1509" s="114"/>
      <c r="AD1509" s="114"/>
      <c r="AE1509" s="114"/>
      <c r="AF1509" s="114"/>
      <c r="AG1509" s="114"/>
      <c r="AH1509" s="114"/>
      <c r="AI1509" s="114"/>
      <c r="AJ1509" s="114"/>
      <c r="AK1509" s="114"/>
      <c r="AL1509" s="114"/>
      <c r="AM1509" s="114"/>
      <c r="AN1509" s="114"/>
      <c r="AO1509" s="114"/>
      <c r="AP1509" s="114"/>
      <c r="AQ1509" s="114"/>
      <c r="AR1509" s="114"/>
      <c r="AS1509" s="114"/>
      <c r="AT1509" s="114"/>
      <c r="AU1509" s="114"/>
      <c r="AV1509" s="114"/>
      <c r="AW1509" s="114"/>
      <c r="AX1509" s="114"/>
      <c r="AY1509" s="114"/>
      <c r="AZ1509" s="114"/>
    </row>
    <row r="1510" spans="1:52">
      <c r="A1510" s="111"/>
      <c r="B1510" s="111"/>
      <c r="C1510" s="112"/>
      <c r="D1510" s="101"/>
      <c r="E1510" s="101"/>
      <c r="F1510" s="101"/>
      <c r="G1510" s="111"/>
      <c r="H1510" s="101"/>
      <c r="I1510" s="101"/>
      <c r="J1510" s="101"/>
      <c r="K1510" s="101"/>
      <c r="L1510" s="101"/>
      <c r="M1510" s="101"/>
      <c r="N1510" s="101"/>
      <c r="O1510" s="101"/>
      <c r="P1510" s="101"/>
      <c r="Q1510" s="101"/>
      <c r="R1510" s="101"/>
      <c r="S1510" s="101"/>
      <c r="T1510" s="101"/>
      <c r="U1510" s="101"/>
      <c r="V1510" s="101"/>
      <c r="W1510" s="101"/>
      <c r="X1510" s="101"/>
      <c r="Y1510" s="114"/>
      <c r="Z1510" s="114"/>
      <c r="AA1510" s="114"/>
      <c r="AB1510" s="114"/>
      <c r="AC1510" s="114"/>
      <c r="AD1510" s="114"/>
      <c r="AE1510" s="114"/>
      <c r="AF1510" s="114"/>
      <c r="AG1510" s="114"/>
      <c r="AH1510" s="114"/>
      <c r="AI1510" s="114"/>
      <c r="AJ1510" s="114"/>
      <c r="AK1510" s="114"/>
      <c r="AL1510" s="114"/>
      <c r="AM1510" s="114"/>
      <c r="AN1510" s="114"/>
      <c r="AO1510" s="114"/>
      <c r="AP1510" s="114"/>
      <c r="AQ1510" s="114"/>
      <c r="AR1510" s="114"/>
      <c r="AS1510" s="114"/>
      <c r="AT1510" s="114"/>
      <c r="AU1510" s="114"/>
      <c r="AV1510" s="114"/>
      <c r="AW1510" s="114"/>
      <c r="AX1510" s="114"/>
      <c r="AY1510" s="114"/>
      <c r="AZ1510" s="114"/>
    </row>
    <row r="1511" spans="1:52">
      <c r="A1511" s="111"/>
      <c r="B1511" s="111"/>
      <c r="C1511" s="112"/>
      <c r="D1511" s="101"/>
      <c r="E1511" s="101"/>
      <c r="F1511" s="101"/>
      <c r="G1511" s="111"/>
      <c r="H1511" s="101"/>
      <c r="I1511" s="101"/>
      <c r="J1511" s="101"/>
      <c r="K1511" s="101"/>
      <c r="L1511" s="101"/>
      <c r="M1511" s="101"/>
      <c r="N1511" s="101"/>
      <c r="O1511" s="101"/>
      <c r="P1511" s="101"/>
      <c r="Q1511" s="101"/>
      <c r="R1511" s="101"/>
      <c r="S1511" s="101"/>
      <c r="T1511" s="101"/>
      <c r="U1511" s="101"/>
      <c r="V1511" s="101"/>
      <c r="W1511" s="101"/>
      <c r="X1511" s="101"/>
      <c r="Y1511" s="114"/>
      <c r="Z1511" s="114"/>
      <c r="AA1511" s="114"/>
      <c r="AB1511" s="114"/>
      <c r="AC1511" s="114"/>
      <c r="AD1511" s="114"/>
      <c r="AE1511" s="114"/>
      <c r="AF1511" s="114"/>
      <c r="AG1511" s="114"/>
      <c r="AH1511" s="114"/>
      <c r="AI1511" s="114"/>
      <c r="AJ1511" s="114"/>
      <c r="AK1511" s="114"/>
      <c r="AL1511" s="114"/>
      <c r="AM1511" s="114"/>
      <c r="AN1511" s="114"/>
      <c r="AO1511" s="114"/>
      <c r="AP1511" s="114"/>
      <c r="AQ1511" s="114"/>
      <c r="AR1511" s="114"/>
      <c r="AS1511" s="114"/>
      <c r="AT1511" s="114"/>
      <c r="AU1511" s="114"/>
      <c r="AV1511" s="114"/>
      <c r="AW1511" s="114"/>
      <c r="AX1511" s="114"/>
      <c r="AY1511" s="114"/>
      <c r="AZ1511" s="114"/>
    </row>
    <row r="1512" spans="1:52">
      <c r="A1512" s="111"/>
      <c r="B1512" s="111"/>
      <c r="C1512" s="112"/>
      <c r="D1512" s="101"/>
      <c r="E1512" s="101"/>
      <c r="F1512" s="101"/>
      <c r="G1512" s="111"/>
      <c r="H1512" s="101"/>
      <c r="I1512" s="101"/>
      <c r="J1512" s="101"/>
      <c r="K1512" s="101"/>
      <c r="L1512" s="101"/>
      <c r="M1512" s="101"/>
      <c r="N1512" s="101"/>
      <c r="O1512" s="101"/>
      <c r="P1512" s="101"/>
      <c r="Q1512" s="101"/>
      <c r="R1512" s="101"/>
      <c r="S1512" s="101"/>
      <c r="T1512" s="101"/>
      <c r="U1512" s="101"/>
      <c r="V1512" s="101"/>
      <c r="W1512" s="101"/>
      <c r="X1512" s="101"/>
      <c r="Y1512" s="114"/>
      <c r="Z1512" s="114"/>
      <c r="AA1512" s="114"/>
      <c r="AB1512" s="114"/>
      <c r="AC1512" s="114"/>
      <c r="AD1512" s="114"/>
      <c r="AE1512" s="114"/>
      <c r="AF1512" s="114"/>
      <c r="AG1512" s="114"/>
      <c r="AH1512" s="114"/>
      <c r="AI1512" s="114"/>
      <c r="AJ1512" s="114"/>
      <c r="AK1512" s="114"/>
      <c r="AL1512" s="114"/>
      <c r="AM1512" s="114"/>
      <c r="AN1512" s="114"/>
      <c r="AO1512" s="114"/>
      <c r="AP1512" s="114"/>
      <c r="AQ1512" s="114"/>
      <c r="AR1512" s="114"/>
      <c r="AS1512" s="114"/>
      <c r="AT1512" s="114"/>
      <c r="AU1512" s="114"/>
      <c r="AV1512" s="114"/>
      <c r="AW1512" s="114"/>
      <c r="AX1512" s="114"/>
      <c r="AY1512" s="114"/>
      <c r="AZ1512" s="114"/>
    </row>
    <row r="1513" spans="1:52">
      <c r="A1513" s="111"/>
      <c r="B1513" s="111"/>
      <c r="C1513" s="112"/>
      <c r="D1513" s="101"/>
      <c r="E1513" s="101"/>
      <c r="F1513" s="101"/>
      <c r="G1513" s="111"/>
      <c r="H1513" s="101"/>
      <c r="I1513" s="101"/>
      <c r="J1513" s="101"/>
      <c r="K1513" s="101"/>
      <c r="L1513" s="101"/>
      <c r="M1513" s="101"/>
      <c r="N1513" s="101"/>
      <c r="O1513" s="101"/>
      <c r="P1513" s="101"/>
      <c r="Q1513" s="101"/>
      <c r="R1513" s="101"/>
      <c r="S1513" s="101"/>
      <c r="T1513" s="101"/>
      <c r="U1513" s="101"/>
      <c r="V1513" s="101"/>
      <c r="W1513" s="101"/>
      <c r="X1513" s="101"/>
      <c r="Y1513" s="114"/>
      <c r="Z1513" s="114"/>
      <c r="AA1513" s="114"/>
      <c r="AB1513" s="114"/>
      <c r="AC1513" s="114"/>
      <c r="AD1513" s="114"/>
      <c r="AE1513" s="114"/>
      <c r="AF1513" s="114"/>
      <c r="AG1513" s="114"/>
      <c r="AH1513" s="114"/>
      <c r="AI1513" s="114"/>
      <c r="AJ1513" s="114"/>
      <c r="AK1513" s="114"/>
      <c r="AL1513" s="114"/>
      <c r="AM1513" s="114"/>
      <c r="AN1513" s="114"/>
      <c r="AO1513" s="114"/>
      <c r="AP1513" s="114"/>
      <c r="AQ1513" s="114"/>
      <c r="AR1513" s="114"/>
      <c r="AS1513" s="114"/>
      <c r="AT1513" s="114"/>
      <c r="AU1513" s="114"/>
      <c r="AV1513" s="114"/>
      <c r="AW1513" s="114"/>
      <c r="AX1513" s="114"/>
      <c r="AY1513" s="114"/>
      <c r="AZ1513" s="114"/>
    </row>
    <row r="1514" spans="1:52">
      <c r="A1514" s="111"/>
      <c r="B1514" s="111"/>
      <c r="C1514" s="112"/>
      <c r="D1514" s="101"/>
      <c r="E1514" s="101"/>
      <c r="F1514" s="101"/>
      <c r="G1514" s="111"/>
      <c r="H1514" s="101"/>
      <c r="I1514" s="101"/>
      <c r="J1514" s="101"/>
      <c r="K1514" s="101"/>
      <c r="L1514" s="101"/>
      <c r="M1514" s="101"/>
      <c r="N1514" s="101"/>
      <c r="O1514" s="101"/>
      <c r="P1514" s="101"/>
      <c r="Q1514" s="101"/>
      <c r="R1514" s="101"/>
      <c r="S1514" s="101"/>
      <c r="T1514" s="101"/>
      <c r="U1514" s="101"/>
      <c r="V1514" s="101"/>
      <c r="W1514" s="101"/>
      <c r="X1514" s="101"/>
      <c r="Y1514" s="114"/>
      <c r="Z1514" s="114"/>
      <c r="AA1514" s="114"/>
      <c r="AB1514" s="114"/>
      <c r="AC1514" s="114"/>
      <c r="AD1514" s="114"/>
      <c r="AE1514" s="114"/>
      <c r="AF1514" s="114"/>
      <c r="AG1514" s="114"/>
      <c r="AH1514" s="114"/>
      <c r="AI1514" s="114"/>
      <c r="AJ1514" s="114"/>
      <c r="AK1514" s="114"/>
      <c r="AL1514" s="114"/>
      <c r="AM1514" s="114"/>
      <c r="AN1514" s="114"/>
      <c r="AO1514" s="114"/>
      <c r="AP1514" s="114"/>
      <c r="AQ1514" s="114"/>
      <c r="AR1514" s="114"/>
      <c r="AS1514" s="114"/>
      <c r="AT1514" s="114"/>
      <c r="AU1514" s="114"/>
      <c r="AV1514" s="114"/>
      <c r="AW1514" s="114"/>
      <c r="AX1514" s="114"/>
      <c r="AY1514" s="114"/>
      <c r="AZ1514" s="114"/>
    </row>
    <row r="1515" spans="1:52">
      <c r="A1515" s="111"/>
      <c r="B1515" s="111"/>
      <c r="C1515" s="112"/>
      <c r="D1515" s="101"/>
      <c r="E1515" s="101"/>
      <c r="F1515" s="101"/>
      <c r="G1515" s="111"/>
      <c r="H1515" s="101"/>
      <c r="I1515" s="101"/>
      <c r="J1515" s="101"/>
      <c r="K1515" s="101"/>
      <c r="L1515" s="101"/>
      <c r="M1515" s="101"/>
      <c r="N1515" s="101"/>
      <c r="O1515" s="101"/>
      <c r="P1515" s="101"/>
      <c r="Q1515" s="101"/>
      <c r="R1515" s="101"/>
      <c r="S1515" s="101"/>
      <c r="T1515" s="101"/>
      <c r="U1515" s="101"/>
      <c r="V1515" s="101"/>
      <c r="W1515" s="101"/>
      <c r="X1515" s="101"/>
      <c r="Y1515" s="114"/>
      <c r="Z1515" s="114"/>
      <c r="AA1515" s="114"/>
      <c r="AB1515" s="114"/>
      <c r="AC1515" s="114"/>
      <c r="AD1515" s="114"/>
      <c r="AE1515" s="114"/>
      <c r="AF1515" s="114"/>
      <c r="AG1515" s="114"/>
      <c r="AH1515" s="114"/>
      <c r="AI1515" s="114"/>
      <c r="AJ1515" s="114"/>
      <c r="AK1515" s="114"/>
      <c r="AL1515" s="114"/>
      <c r="AM1515" s="114"/>
      <c r="AN1515" s="114"/>
      <c r="AO1515" s="114"/>
      <c r="AP1515" s="114"/>
      <c r="AQ1515" s="114"/>
      <c r="AR1515" s="114"/>
      <c r="AS1515" s="114"/>
      <c r="AT1515" s="114"/>
      <c r="AU1515" s="114"/>
      <c r="AV1515" s="114"/>
      <c r="AW1515" s="114"/>
      <c r="AX1515" s="114"/>
      <c r="AY1515" s="114"/>
      <c r="AZ1515" s="114"/>
    </row>
    <row r="1516" spans="1:52">
      <c r="A1516" s="111"/>
      <c r="B1516" s="111"/>
      <c r="C1516" s="112"/>
      <c r="D1516" s="101"/>
      <c r="E1516" s="101"/>
      <c r="F1516" s="101"/>
      <c r="G1516" s="111"/>
      <c r="H1516" s="101"/>
      <c r="I1516" s="101"/>
      <c r="J1516" s="101"/>
      <c r="K1516" s="101"/>
      <c r="L1516" s="101"/>
      <c r="M1516" s="101"/>
      <c r="N1516" s="101"/>
      <c r="O1516" s="101"/>
      <c r="P1516" s="101"/>
      <c r="Q1516" s="101"/>
      <c r="R1516" s="101"/>
      <c r="S1516" s="101"/>
      <c r="T1516" s="101"/>
      <c r="U1516" s="101"/>
      <c r="V1516" s="101"/>
      <c r="W1516" s="101"/>
      <c r="X1516" s="101"/>
      <c r="Y1516" s="114"/>
      <c r="Z1516" s="114"/>
      <c r="AA1516" s="114"/>
      <c r="AB1516" s="114"/>
      <c r="AC1516" s="114"/>
      <c r="AD1516" s="114"/>
      <c r="AE1516" s="114"/>
      <c r="AF1516" s="114"/>
      <c r="AG1516" s="114"/>
      <c r="AH1516" s="114"/>
      <c r="AI1516" s="114"/>
      <c r="AJ1516" s="114"/>
      <c r="AK1516" s="114"/>
      <c r="AL1516" s="114"/>
      <c r="AM1516" s="114"/>
      <c r="AN1516" s="114"/>
      <c r="AO1516" s="114"/>
      <c r="AP1516" s="114"/>
      <c r="AQ1516" s="114"/>
      <c r="AR1516" s="114"/>
      <c r="AS1516" s="114"/>
      <c r="AT1516" s="114"/>
      <c r="AU1516" s="114"/>
      <c r="AV1516" s="114"/>
      <c r="AW1516" s="114"/>
      <c r="AX1516" s="114"/>
      <c r="AY1516" s="114"/>
      <c r="AZ1516" s="114"/>
    </row>
    <row r="1517" spans="1:52">
      <c r="A1517" s="111"/>
      <c r="B1517" s="111"/>
      <c r="C1517" s="112"/>
      <c r="D1517" s="101"/>
      <c r="E1517" s="101"/>
      <c r="F1517" s="101"/>
      <c r="G1517" s="111"/>
      <c r="H1517" s="101"/>
      <c r="I1517" s="101"/>
      <c r="J1517" s="101"/>
      <c r="K1517" s="101"/>
      <c r="L1517" s="101"/>
      <c r="M1517" s="101"/>
      <c r="N1517" s="101"/>
      <c r="O1517" s="101"/>
      <c r="P1517" s="101"/>
      <c r="Q1517" s="101"/>
      <c r="R1517" s="101"/>
      <c r="S1517" s="101"/>
      <c r="T1517" s="101"/>
      <c r="U1517" s="101"/>
      <c r="V1517" s="101"/>
      <c r="W1517" s="101"/>
      <c r="X1517" s="101"/>
      <c r="Y1517" s="114"/>
      <c r="Z1517" s="114"/>
      <c r="AA1517" s="114"/>
      <c r="AB1517" s="114"/>
      <c r="AC1517" s="114"/>
      <c r="AD1517" s="114"/>
      <c r="AE1517" s="114"/>
      <c r="AF1517" s="114"/>
      <c r="AG1517" s="114"/>
      <c r="AH1517" s="114"/>
      <c r="AI1517" s="114"/>
      <c r="AJ1517" s="114"/>
      <c r="AK1517" s="114"/>
      <c r="AL1517" s="114"/>
      <c r="AM1517" s="114"/>
      <c r="AN1517" s="114"/>
      <c r="AO1517" s="114"/>
      <c r="AP1517" s="114"/>
      <c r="AQ1517" s="114"/>
      <c r="AR1517" s="114"/>
      <c r="AS1517" s="114"/>
      <c r="AT1517" s="114"/>
      <c r="AU1517" s="114"/>
      <c r="AV1517" s="114"/>
      <c r="AW1517" s="114"/>
      <c r="AX1517" s="114"/>
      <c r="AY1517" s="114"/>
      <c r="AZ1517" s="114"/>
    </row>
    <row r="1518" spans="1:52">
      <c r="A1518" s="111"/>
      <c r="B1518" s="111"/>
      <c r="C1518" s="112"/>
      <c r="D1518" s="101"/>
      <c r="E1518" s="101"/>
      <c r="F1518" s="101"/>
      <c r="G1518" s="111"/>
      <c r="H1518" s="101"/>
      <c r="I1518" s="101"/>
      <c r="J1518" s="101"/>
      <c r="K1518" s="101"/>
      <c r="L1518" s="101"/>
      <c r="M1518" s="101"/>
      <c r="N1518" s="101"/>
      <c r="O1518" s="101"/>
      <c r="P1518" s="101"/>
      <c r="Q1518" s="101"/>
      <c r="R1518" s="101"/>
      <c r="S1518" s="101"/>
      <c r="T1518" s="101"/>
      <c r="U1518" s="101"/>
      <c r="V1518" s="101"/>
      <c r="W1518" s="101"/>
      <c r="X1518" s="101"/>
      <c r="Y1518" s="114"/>
      <c r="Z1518" s="114"/>
      <c r="AA1518" s="114"/>
      <c r="AB1518" s="114"/>
      <c r="AC1518" s="114"/>
      <c r="AD1518" s="114"/>
      <c r="AE1518" s="114"/>
      <c r="AF1518" s="114"/>
      <c r="AG1518" s="114"/>
      <c r="AH1518" s="114"/>
      <c r="AI1518" s="114"/>
      <c r="AJ1518" s="114"/>
      <c r="AK1518" s="114"/>
      <c r="AL1518" s="114"/>
      <c r="AM1518" s="114"/>
      <c r="AN1518" s="114"/>
      <c r="AO1518" s="114"/>
      <c r="AP1518" s="114"/>
      <c r="AQ1518" s="114"/>
      <c r="AR1518" s="114"/>
      <c r="AS1518" s="114"/>
      <c r="AT1518" s="114"/>
      <c r="AU1518" s="114"/>
      <c r="AV1518" s="114"/>
      <c r="AW1518" s="114"/>
      <c r="AX1518" s="114"/>
      <c r="AY1518" s="114"/>
      <c r="AZ1518" s="114"/>
    </row>
    <row r="1519" spans="1:52">
      <c r="A1519" s="111"/>
      <c r="B1519" s="111"/>
      <c r="C1519" s="112"/>
      <c r="D1519" s="101"/>
      <c r="E1519" s="101"/>
      <c r="F1519" s="101"/>
      <c r="G1519" s="111"/>
      <c r="H1519" s="101"/>
      <c r="I1519" s="101"/>
      <c r="J1519" s="101"/>
      <c r="K1519" s="101"/>
      <c r="L1519" s="101"/>
      <c r="M1519" s="101"/>
      <c r="N1519" s="101"/>
      <c r="O1519" s="101"/>
      <c r="P1519" s="101"/>
      <c r="Q1519" s="101"/>
      <c r="R1519" s="101"/>
      <c r="S1519" s="101"/>
      <c r="T1519" s="101"/>
      <c r="U1519" s="101"/>
      <c r="V1519" s="101"/>
      <c r="W1519" s="101"/>
      <c r="X1519" s="101"/>
      <c r="Y1519" s="114"/>
      <c r="Z1519" s="114"/>
      <c r="AA1519" s="114"/>
      <c r="AB1519" s="114"/>
      <c r="AC1519" s="114"/>
      <c r="AD1519" s="114"/>
      <c r="AE1519" s="114"/>
      <c r="AF1519" s="114"/>
      <c r="AG1519" s="114"/>
      <c r="AH1519" s="114"/>
      <c r="AI1519" s="114"/>
      <c r="AJ1519" s="114"/>
      <c r="AK1519" s="114"/>
      <c r="AL1519" s="114"/>
      <c r="AM1519" s="114"/>
      <c r="AN1519" s="114"/>
      <c r="AO1519" s="114"/>
      <c r="AP1519" s="114"/>
      <c r="AQ1519" s="114"/>
      <c r="AR1519" s="114"/>
      <c r="AS1519" s="114"/>
      <c r="AT1519" s="114"/>
      <c r="AU1519" s="114"/>
      <c r="AV1519" s="114"/>
      <c r="AW1519" s="114"/>
      <c r="AX1519" s="114"/>
      <c r="AY1519" s="114"/>
      <c r="AZ1519" s="114"/>
    </row>
    <row r="1520" spans="1:52">
      <c r="A1520" s="111"/>
      <c r="B1520" s="111"/>
      <c r="C1520" s="112"/>
      <c r="D1520" s="101"/>
      <c r="E1520" s="101"/>
      <c r="F1520" s="101"/>
      <c r="G1520" s="111"/>
      <c r="H1520" s="101"/>
      <c r="I1520" s="101"/>
      <c r="J1520" s="101"/>
      <c r="K1520" s="101"/>
      <c r="L1520" s="101"/>
      <c r="M1520" s="101"/>
      <c r="N1520" s="101"/>
      <c r="O1520" s="101"/>
      <c r="P1520" s="101"/>
      <c r="Q1520" s="101"/>
      <c r="R1520" s="101"/>
      <c r="S1520" s="101"/>
      <c r="T1520" s="101"/>
      <c r="U1520" s="101"/>
      <c r="V1520" s="101"/>
      <c r="W1520" s="101"/>
      <c r="X1520" s="101"/>
      <c r="Y1520" s="114"/>
      <c r="Z1520" s="114"/>
      <c r="AA1520" s="114"/>
      <c r="AB1520" s="114"/>
      <c r="AC1520" s="114"/>
      <c r="AD1520" s="114"/>
      <c r="AE1520" s="114"/>
      <c r="AF1520" s="114"/>
      <c r="AG1520" s="114"/>
      <c r="AH1520" s="114"/>
      <c r="AI1520" s="114"/>
      <c r="AJ1520" s="114"/>
      <c r="AK1520" s="114"/>
      <c r="AL1520" s="114"/>
      <c r="AM1520" s="114"/>
      <c r="AN1520" s="114"/>
      <c r="AO1520" s="114"/>
      <c r="AP1520" s="114"/>
      <c r="AQ1520" s="114"/>
      <c r="AR1520" s="114"/>
      <c r="AS1520" s="114"/>
      <c r="AT1520" s="114"/>
      <c r="AU1520" s="114"/>
      <c r="AV1520" s="114"/>
      <c r="AW1520" s="114"/>
      <c r="AX1520" s="114"/>
      <c r="AY1520" s="114"/>
      <c r="AZ1520" s="114"/>
    </row>
    <row r="1521" spans="1:52">
      <c r="A1521" s="111"/>
      <c r="B1521" s="111"/>
      <c r="C1521" s="112"/>
      <c r="D1521" s="101"/>
      <c r="E1521" s="101"/>
      <c r="F1521" s="101"/>
      <c r="G1521" s="111"/>
      <c r="H1521" s="101"/>
      <c r="I1521" s="101"/>
      <c r="J1521" s="101"/>
      <c r="K1521" s="101"/>
      <c r="L1521" s="101"/>
      <c r="M1521" s="101"/>
      <c r="N1521" s="101"/>
      <c r="O1521" s="101"/>
      <c r="P1521" s="101"/>
      <c r="Q1521" s="101"/>
      <c r="R1521" s="101"/>
      <c r="S1521" s="101"/>
      <c r="T1521" s="101"/>
      <c r="U1521" s="101"/>
      <c r="V1521" s="101"/>
      <c r="W1521" s="101"/>
      <c r="X1521" s="101"/>
      <c r="Y1521" s="114"/>
      <c r="Z1521" s="114"/>
      <c r="AA1521" s="114"/>
      <c r="AB1521" s="114"/>
      <c r="AC1521" s="114"/>
      <c r="AD1521" s="114"/>
      <c r="AE1521" s="114"/>
      <c r="AF1521" s="114"/>
      <c r="AG1521" s="114"/>
      <c r="AH1521" s="114"/>
      <c r="AI1521" s="114"/>
      <c r="AJ1521" s="114"/>
      <c r="AK1521" s="114"/>
      <c r="AL1521" s="114"/>
      <c r="AM1521" s="114"/>
      <c r="AN1521" s="114"/>
      <c r="AO1521" s="114"/>
      <c r="AP1521" s="114"/>
      <c r="AQ1521" s="114"/>
      <c r="AR1521" s="114"/>
      <c r="AS1521" s="114"/>
      <c r="AT1521" s="114"/>
      <c r="AU1521" s="114"/>
      <c r="AV1521" s="114"/>
      <c r="AW1521" s="114"/>
      <c r="AX1521" s="114"/>
      <c r="AY1521" s="114"/>
      <c r="AZ1521" s="114"/>
    </row>
    <row r="1522" spans="1:52">
      <c r="A1522" s="111"/>
      <c r="B1522" s="111"/>
      <c r="C1522" s="112"/>
      <c r="D1522" s="101"/>
      <c r="E1522" s="101"/>
      <c r="F1522" s="101"/>
      <c r="G1522" s="111"/>
      <c r="H1522" s="101"/>
      <c r="I1522" s="101"/>
      <c r="J1522" s="101"/>
      <c r="K1522" s="101"/>
      <c r="L1522" s="101"/>
      <c r="M1522" s="101"/>
      <c r="N1522" s="101"/>
      <c r="O1522" s="101"/>
      <c r="P1522" s="101"/>
      <c r="Q1522" s="101"/>
      <c r="R1522" s="101"/>
      <c r="S1522" s="101"/>
      <c r="T1522" s="101"/>
      <c r="U1522" s="101"/>
      <c r="V1522" s="101"/>
      <c r="W1522" s="101"/>
      <c r="X1522" s="101"/>
      <c r="Y1522" s="114"/>
      <c r="Z1522" s="114"/>
      <c r="AA1522" s="114"/>
      <c r="AB1522" s="114"/>
      <c r="AC1522" s="114"/>
      <c r="AD1522" s="114"/>
      <c r="AE1522" s="114"/>
      <c r="AF1522" s="114"/>
      <c r="AG1522" s="114"/>
      <c r="AH1522" s="114"/>
      <c r="AI1522" s="114"/>
      <c r="AJ1522" s="114"/>
      <c r="AK1522" s="114"/>
      <c r="AL1522" s="114"/>
      <c r="AM1522" s="114"/>
      <c r="AN1522" s="114"/>
      <c r="AO1522" s="114"/>
      <c r="AP1522" s="114"/>
      <c r="AQ1522" s="114"/>
      <c r="AR1522" s="114"/>
      <c r="AS1522" s="114"/>
      <c r="AT1522" s="114"/>
      <c r="AU1522" s="114"/>
      <c r="AV1522" s="114"/>
      <c r="AW1522" s="114"/>
      <c r="AX1522" s="114"/>
      <c r="AY1522" s="114"/>
      <c r="AZ1522" s="114"/>
    </row>
    <row r="1523" spans="1:52">
      <c r="A1523" s="111"/>
      <c r="B1523" s="111"/>
      <c r="C1523" s="112"/>
      <c r="D1523" s="101"/>
      <c r="E1523" s="101"/>
      <c r="F1523" s="101"/>
      <c r="G1523" s="111"/>
      <c r="H1523" s="101"/>
      <c r="I1523" s="101"/>
      <c r="J1523" s="101"/>
      <c r="K1523" s="101"/>
      <c r="L1523" s="101"/>
      <c r="M1523" s="101"/>
      <c r="N1523" s="101"/>
      <c r="O1523" s="101"/>
      <c r="P1523" s="101"/>
      <c r="Q1523" s="101"/>
      <c r="R1523" s="101"/>
      <c r="S1523" s="101"/>
      <c r="T1523" s="101"/>
      <c r="U1523" s="101"/>
      <c r="V1523" s="101"/>
      <c r="W1523" s="101"/>
      <c r="X1523" s="101"/>
      <c r="Y1523" s="114"/>
      <c r="Z1523" s="114"/>
      <c r="AA1523" s="114"/>
      <c r="AB1523" s="114"/>
      <c r="AC1523" s="114"/>
      <c r="AD1523" s="114"/>
      <c r="AE1523" s="114"/>
      <c r="AF1523" s="114"/>
      <c r="AG1523" s="114"/>
      <c r="AH1523" s="114"/>
      <c r="AI1523" s="114"/>
      <c r="AJ1523" s="114"/>
      <c r="AK1523" s="114"/>
      <c r="AL1523" s="114"/>
      <c r="AM1523" s="114"/>
      <c r="AN1523" s="114"/>
      <c r="AO1523" s="114"/>
      <c r="AP1523" s="114"/>
      <c r="AQ1523" s="114"/>
      <c r="AR1523" s="114"/>
      <c r="AS1523" s="114"/>
      <c r="AT1523" s="114"/>
      <c r="AU1523" s="114"/>
      <c r="AV1523" s="114"/>
      <c r="AW1523" s="114"/>
      <c r="AX1523" s="114"/>
      <c r="AY1523" s="114"/>
      <c r="AZ1523" s="114"/>
    </row>
    <row r="1524" spans="1:52">
      <c r="A1524" s="111"/>
      <c r="B1524" s="111"/>
      <c r="C1524" s="112"/>
      <c r="D1524" s="101"/>
      <c r="E1524" s="101"/>
      <c r="F1524" s="101"/>
      <c r="G1524" s="111"/>
      <c r="H1524" s="101"/>
      <c r="I1524" s="101"/>
      <c r="J1524" s="101"/>
      <c r="K1524" s="101"/>
      <c r="L1524" s="101"/>
      <c r="M1524" s="101"/>
      <c r="N1524" s="101"/>
      <c r="O1524" s="101"/>
      <c r="P1524" s="101"/>
      <c r="Q1524" s="101"/>
      <c r="R1524" s="101"/>
      <c r="S1524" s="101"/>
      <c r="T1524" s="101"/>
      <c r="U1524" s="101"/>
      <c r="V1524" s="101"/>
      <c r="W1524" s="101"/>
      <c r="X1524" s="101"/>
      <c r="Y1524" s="114"/>
      <c r="Z1524" s="114"/>
      <c r="AA1524" s="114"/>
      <c r="AB1524" s="114"/>
      <c r="AC1524" s="114"/>
      <c r="AD1524" s="114"/>
      <c r="AE1524" s="114"/>
      <c r="AF1524" s="114"/>
      <c r="AG1524" s="114"/>
      <c r="AH1524" s="114"/>
      <c r="AI1524" s="114"/>
      <c r="AJ1524" s="114"/>
      <c r="AK1524" s="114"/>
      <c r="AL1524" s="114"/>
      <c r="AM1524" s="114"/>
      <c r="AN1524" s="114"/>
      <c r="AO1524" s="114"/>
      <c r="AP1524" s="114"/>
      <c r="AQ1524" s="114"/>
      <c r="AR1524" s="114"/>
      <c r="AS1524" s="114"/>
      <c r="AT1524" s="114"/>
      <c r="AU1524" s="114"/>
      <c r="AV1524" s="114"/>
      <c r="AW1524" s="114"/>
      <c r="AX1524" s="114"/>
      <c r="AY1524" s="114"/>
      <c r="AZ1524" s="114"/>
    </row>
    <row r="1525" spans="1:52">
      <c r="A1525" s="111"/>
      <c r="B1525" s="111"/>
      <c r="C1525" s="112"/>
      <c r="D1525" s="101"/>
      <c r="E1525" s="101"/>
      <c r="F1525" s="101"/>
      <c r="G1525" s="111"/>
      <c r="H1525" s="101"/>
      <c r="I1525" s="101"/>
      <c r="J1525" s="101"/>
      <c r="K1525" s="101"/>
      <c r="L1525" s="101"/>
      <c r="M1525" s="101"/>
      <c r="N1525" s="101"/>
      <c r="O1525" s="101"/>
      <c r="P1525" s="101"/>
      <c r="Q1525" s="101"/>
      <c r="R1525" s="101"/>
      <c r="S1525" s="101"/>
      <c r="T1525" s="101"/>
      <c r="U1525" s="101"/>
      <c r="V1525" s="101"/>
      <c r="W1525" s="101"/>
      <c r="X1525" s="101"/>
      <c r="Y1525" s="114"/>
      <c r="Z1525" s="114"/>
      <c r="AA1525" s="114"/>
      <c r="AB1525" s="114"/>
      <c r="AC1525" s="114"/>
      <c r="AD1525" s="114"/>
      <c r="AE1525" s="114"/>
      <c r="AF1525" s="114"/>
      <c r="AG1525" s="114"/>
      <c r="AH1525" s="114"/>
      <c r="AI1525" s="114"/>
      <c r="AJ1525" s="114"/>
      <c r="AK1525" s="114"/>
      <c r="AL1525" s="114"/>
      <c r="AM1525" s="114"/>
      <c r="AN1525" s="114"/>
      <c r="AO1525" s="114"/>
      <c r="AP1525" s="114"/>
      <c r="AQ1525" s="114"/>
      <c r="AR1525" s="114"/>
      <c r="AS1525" s="114"/>
      <c r="AT1525" s="114"/>
      <c r="AU1525" s="114"/>
      <c r="AV1525" s="114"/>
      <c r="AW1525" s="114"/>
      <c r="AX1525" s="114"/>
      <c r="AY1525" s="114"/>
      <c r="AZ1525" s="114"/>
    </row>
    <row r="1526" spans="1:52">
      <c r="A1526" s="111"/>
      <c r="B1526" s="111"/>
      <c r="C1526" s="112"/>
      <c r="D1526" s="101"/>
      <c r="E1526" s="101"/>
      <c r="F1526" s="101"/>
      <c r="G1526" s="111"/>
      <c r="H1526" s="101"/>
      <c r="I1526" s="101"/>
      <c r="J1526" s="101"/>
      <c r="K1526" s="101"/>
      <c r="L1526" s="101"/>
      <c r="M1526" s="101"/>
      <c r="N1526" s="101"/>
      <c r="O1526" s="101"/>
      <c r="P1526" s="101"/>
      <c r="Q1526" s="101"/>
      <c r="R1526" s="101"/>
      <c r="S1526" s="101"/>
      <c r="T1526" s="101"/>
      <c r="U1526" s="101"/>
      <c r="V1526" s="101"/>
      <c r="W1526" s="101"/>
      <c r="X1526" s="101"/>
      <c r="Y1526" s="114"/>
      <c r="Z1526" s="114"/>
      <c r="AA1526" s="114"/>
      <c r="AB1526" s="114"/>
      <c r="AC1526" s="114"/>
      <c r="AD1526" s="114"/>
      <c r="AE1526" s="114"/>
      <c r="AF1526" s="114"/>
      <c r="AG1526" s="114"/>
      <c r="AH1526" s="114"/>
      <c r="AI1526" s="114"/>
      <c r="AJ1526" s="114"/>
      <c r="AK1526" s="114"/>
      <c r="AL1526" s="114"/>
      <c r="AM1526" s="114"/>
      <c r="AN1526" s="114"/>
      <c r="AO1526" s="114"/>
      <c r="AP1526" s="114"/>
      <c r="AQ1526" s="114"/>
      <c r="AR1526" s="114"/>
      <c r="AS1526" s="114"/>
      <c r="AT1526" s="114"/>
      <c r="AU1526" s="114"/>
      <c r="AV1526" s="114"/>
      <c r="AW1526" s="114"/>
      <c r="AX1526" s="114"/>
      <c r="AY1526" s="114"/>
      <c r="AZ1526" s="114"/>
    </row>
    <row r="1527" spans="1:52">
      <c r="A1527" s="111"/>
      <c r="B1527" s="111"/>
      <c r="C1527" s="112"/>
      <c r="D1527" s="101"/>
      <c r="E1527" s="101"/>
      <c r="F1527" s="101"/>
      <c r="G1527" s="111"/>
      <c r="H1527" s="101"/>
      <c r="I1527" s="101"/>
      <c r="J1527" s="101"/>
      <c r="K1527" s="101"/>
      <c r="L1527" s="101"/>
      <c r="M1527" s="101"/>
      <c r="N1527" s="101"/>
      <c r="O1527" s="101"/>
      <c r="P1527" s="101"/>
      <c r="Q1527" s="101"/>
      <c r="R1527" s="101"/>
      <c r="S1527" s="101"/>
      <c r="T1527" s="101"/>
      <c r="U1527" s="101"/>
      <c r="V1527" s="101"/>
      <c r="W1527" s="101"/>
      <c r="X1527" s="101"/>
      <c r="Y1527" s="114"/>
      <c r="Z1527" s="114"/>
      <c r="AA1527" s="114"/>
      <c r="AB1527" s="114"/>
      <c r="AC1527" s="114"/>
      <c r="AD1527" s="114"/>
      <c r="AE1527" s="114"/>
      <c r="AF1527" s="114"/>
      <c r="AG1527" s="114"/>
      <c r="AH1527" s="114"/>
      <c r="AI1527" s="114"/>
      <c r="AJ1527" s="114"/>
      <c r="AK1527" s="114"/>
      <c r="AL1527" s="114"/>
      <c r="AM1527" s="114"/>
      <c r="AN1527" s="114"/>
      <c r="AO1527" s="114"/>
      <c r="AP1527" s="114"/>
      <c r="AQ1527" s="114"/>
      <c r="AR1527" s="114"/>
      <c r="AS1527" s="114"/>
      <c r="AT1527" s="114"/>
      <c r="AU1527" s="114"/>
      <c r="AV1527" s="114"/>
      <c r="AW1527" s="114"/>
      <c r="AX1527" s="114"/>
      <c r="AY1527" s="114"/>
      <c r="AZ1527" s="114"/>
    </row>
    <row r="1528" spans="1:52">
      <c r="A1528" s="111"/>
      <c r="B1528" s="111"/>
      <c r="C1528" s="112"/>
      <c r="D1528" s="101"/>
      <c r="E1528" s="101"/>
      <c r="F1528" s="101"/>
      <c r="G1528" s="111"/>
      <c r="H1528" s="101"/>
      <c r="I1528" s="101"/>
      <c r="J1528" s="101"/>
      <c r="K1528" s="101"/>
      <c r="L1528" s="101"/>
      <c r="M1528" s="101"/>
      <c r="N1528" s="101"/>
      <c r="O1528" s="101"/>
      <c r="P1528" s="101"/>
      <c r="Q1528" s="101"/>
      <c r="R1528" s="101"/>
      <c r="S1528" s="101"/>
      <c r="T1528" s="101"/>
      <c r="U1528" s="101"/>
      <c r="V1528" s="101"/>
      <c r="W1528" s="101"/>
      <c r="X1528" s="101"/>
      <c r="Y1528" s="114"/>
      <c r="Z1528" s="114"/>
      <c r="AA1528" s="114"/>
      <c r="AB1528" s="114"/>
      <c r="AC1528" s="114"/>
      <c r="AD1528" s="114"/>
      <c r="AE1528" s="114"/>
      <c r="AF1528" s="114"/>
      <c r="AG1528" s="114"/>
      <c r="AH1528" s="114"/>
      <c r="AI1528" s="114"/>
      <c r="AJ1528" s="114"/>
      <c r="AK1528" s="114"/>
      <c r="AL1528" s="114"/>
      <c r="AM1528" s="114"/>
      <c r="AN1528" s="114"/>
      <c r="AO1528" s="114"/>
      <c r="AP1528" s="114"/>
      <c r="AQ1528" s="114"/>
      <c r="AR1528" s="114"/>
      <c r="AS1528" s="114"/>
      <c r="AT1528" s="114"/>
      <c r="AU1528" s="114"/>
      <c r="AV1528" s="114"/>
      <c r="AW1528" s="114"/>
      <c r="AX1528" s="114"/>
      <c r="AY1528" s="114"/>
      <c r="AZ1528" s="114"/>
    </row>
    <row r="1529" spans="1:52">
      <c r="A1529" s="111"/>
      <c r="B1529" s="111"/>
      <c r="C1529" s="112"/>
      <c r="D1529" s="101"/>
      <c r="E1529" s="101"/>
      <c r="F1529" s="101"/>
      <c r="G1529" s="111"/>
      <c r="H1529" s="101"/>
      <c r="I1529" s="101"/>
      <c r="J1529" s="101"/>
      <c r="K1529" s="101"/>
      <c r="L1529" s="101"/>
      <c r="M1529" s="101"/>
      <c r="N1529" s="101"/>
      <c r="O1529" s="101"/>
      <c r="P1529" s="101"/>
      <c r="Q1529" s="101"/>
      <c r="R1529" s="101"/>
      <c r="S1529" s="101"/>
      <c r="T1529" s="101"/>
      <c r="U1529" s="101"/>
      <c r="V1529" s="101"/>
      <c r="W1529" s="101"/>
      <c r="X1529" s="101"/>
      <c r="Y1529" s="114"/>
      <c r="Z1529" s="114"/>
      <c r="AA1529" s="114"/>
      <c r="AB1529" s="114"/>
      <c r="AC1529" s="114"/>
      <c r="AD1529" s="114"/>
      <c r="AE1529" s="114"/>
      <c r="AF1529" s="114"/>
      <c r="AG1529" s="114"/>
      <c r="AH1529" s="114"/>
      <c r="AI1529" s="114"/>
      <c r="AJ1529" s="114"/>
      <c r="AK1529" s="114"/>
      <c r="AL1529" s="114"/>
      <c r="AM1529" s="114"/>
      <c r="AN1529" s="114"/>
      <c r="AO1529" s="114"/>
      <c r="AP1529" s="114"/>
      <c r="AQ1529" s="114"/>
      <c r="AR1529" s="114"/>
      <c r="AS1529" s="114"/>
      <c r="AT1529" s="114"/>
      <c r="AU1529" s="114"/>
      <c r="AV1529" s="114"/>
      <c r="AW1529" s="114"/>
      <c r="AX1529" s="114"/>
      <c r="AY1529" s="114"/>
      <c r="AZ1529" s="114"/>
    </row>
    <row r="1530" spans="1:52">
      <c r="A1530" s="111"/>
      <c r="B1530" s="111"/>
      <c r="C1530" s="112"/>
      <c r="D1530" s="101"/>
      <c r="E1530" s="101"/>
      <c r="F1530" s="101"/>
      <c r="G1530" s="111"/>
      <c r="H1530" s="101"/>
      <c r="I1530" s="101"/>
      <c r="J1530" s="101"/>
      <c r="K1530" s="101"/>
      <c r="L1530" s="101"/>
      <c r="M1530" s="101"/>
      <c r="N1530" s="101"/>
      <c r="O1530" s="101"/>
      <c r="P1530" s="101"/>
      <c r="Q1530" s="101"/>
      <c r="R1530" s="101"/>
      <c r="S1530" s="101"/>
      <c r="T1530" s="101"/>
      <c r="U1530" s="101"/>
      <c r="V1530" s="101"/>
      <c r="W1530" s="101"/>
      <c r="X1530" s="101"/>
      <c r="Y1530" s="114"/>
      <c r="Z1530" s="114"/>
      <c r="AA1530" s="114"/>
      <c r="AB1530" s="114"/>
      <c r="AC1530" s="114"/>
      <c r="AD1530" s="114"/>
      <c r="AE1530" s="114"/>
      <c r="AF1530" s="114"/>
      <c r="AG1530" s="114"/>
      <c r="AH1530" s="114"/>
      <c r="AI1530" s="114"/>
      <c r="AJ1530" s="114"/>
      <c r="AK1530" s="114"/>
      <c r="AL1530" s="114"/>
      <c r="AM1530" s="114"/>
      <c r="AN1530" s="114"/>
      <c r="AO1530" s="114"/>
      <c r="AP1530" s="114"/>
      <c r="AQ1530" s="114"/>
      <c r="AR1530" s="114"/>
      <c r="AS1530" s="114"/>
      <c r="AT1530" s="114"/>
      <c r="AU1530" s="114"/>
      <c r="AV1530" s="114"/>
      <c r="AW1530" s="114"/>
      <c r="AX1530" s="114"/>
      <c r="AY1530" s="114"/>
      <c r="AZ1530" s="114"/>
    </row>
    <row r="1531" spans="1:52">
      <c r="A1531" s="111"/>
      <c r="B1531" s="111"/>
      <c r="C1531" s="112"/>
      <c r="D1531" s="101"/>
      <c r="E1531" s="101"/>
      <c r="F1531" s="101"/>
      <c r="G1531" s="111"/>
      <c r="H1531" s="101"/>
      <c r="I1531" s="101"/>
      <c r="J1531" s="101"/>
      <c r="K1531" s="101"/>
      <c r="L1531" s="101"/>
      <c r="M1531" s="101"/>
      <c r="N1531" s="101"/>
      <c r="O1531" s="101"/>
      <c r="P1531" s="101"/>
      <c r="Q1531" s="101"/>
      <c r="R1531" s="101"/>
      <c r="S1531" s="101"/>
      <c r="T1531" s="101"/>
      <c r="U1531" s="101"/>
      <c r="V1531" s="101"/>
      <c r="W1531" s="101"/>
      <c r="X1531" s="101"/>
      <c r="Y1531" s="114"/>
      <c r="Z1531" s="114"/>
      <c r="AA1531" s="114"/>
      <c r="AB1531" s="114"/>
      <c r="AC1531" s="114"/>
      <c r="AD1531" s="114"/>
      <c r="AE1531" s="114"/>
      <c r="AF1531" s="114"/>
      <c r="AG1531" s="114"/>
      <c r="AH1531" s="114"/>
      <c r="AI1531" s="114"/>
      <c r="AJ1531" s="114"/>
      <c r="AK1531" s="114"/>
      <c r="AL1531" s="114"/>
      <c r="AM1531" s="114"/>
      <c r="AN1531" s="114"/>
      <c r="AO1531" s="114"/>
      <c r="AP1531" s="114"/>
      <c r="AQ1531" s="114"/>
      <c r="AR1531" s="114"/>
      <c r="AS1531" s="114"/>
      <c r="AT1531" s="114"/>
      <c r="AU1531" s="114"/>
      <c r="AV1531" s="114"/>
      <c r="AW1531" s="114"/>
      <c r="AX1531" s="114"/>
      <c r="AY1531" s="114"/>
      <c r="AZ1531" s="114"/>
    </row>
    <row r="1532" spans="1:52">
      <c r="A1532" s="111"/>
      <c r="B1532" s="111"/>
      <c r="C1532" s="112"/>
      <c r="D1532" s="101"/>
      <c r="E1532" s="101"/>
      <c r="F1532" s="101"/>
      <c r="G1532" s="111"/>
      <c r="H1532" s="101"/>
      <c r="I1532" s="101"/>
      <c r="J1532" s="101"/>
      <c r="K1532" s="101"/>
      <c r="L1532" s="101"/>
      <c r="M1532" s="101"/>
      <c r="N1532" s="101"/>
      <c r="O1532" s="101"/>
      <c r="P1532" s="101"/>
      <c r="Q1532" s="101"/>
      <c r="R1532" s="101"/>
      <c r="S1532" s="101"/>
      <c r="T1532" s="101"/>
      <c r="U1532" s="101"/>
      <c r="V1532" s="101"/>
      <c r="W1532" s="101"/>
      <c r="X1532" s="101"/>
      <c r="Y1532" s="114"/>
      <c r="Z1532" s="114"/>
      <c r="AA1532" s="114"/>
      <c r="AB1532" s="114"/>
      <c r="AC1532" s="114"/>
      <c r="AD1532" s="114"/>
      <c r="AE1532" s="114"/>
      <c r="AF1532" s="114"/>
      <c r="AG1532" s="114"/>
      <c r="AH1532" s="114"/>
      <c r="AI1532" s="114"/>
      <c r="AJ1532" s="114"/>
      <c r="AK1532" s="114"/>
      <c r="AL1532" s="114"/>
      <c r="AM1532" s="114"/>
      <c r="AN1532" s="114"/>
      <c r="AO1532" s="114"/>
      <c r="AP1532" s="114"/>
      <c r="AQ1532" s="114"/>
      <c r="AR1532" s="114"/>
      <c r="AS1532" s="114"/>
      <c r="AT1532" s="114"/>
      <c r="AU1532" s="114"/>
      <c r="AV1532" s="114"/>
      <c r="AW1532" s="114"/>
      <c r="AX1532" s="114"/>
      <c r="AY1532" s="114"/>
      <c r="AZ1532" s="114"/>
    </row>
    <row r="1533" spans="1:52">
      <c r="A1533" s="111"/>
      <c r="B1533" s="111"/>
      <c r="C1533" s="112"/>
      <c r="D1533" s="101"/>
      <c r="E1533" s="101"/>
      <c r="F1533" s="101"/>
      <c r="G1533" s="111"/>
      <c r="H1533" s="101"/>
      <c r="I1533" s="101"/>
      <c r="J1533" s="101"/>
      <c r="K1533" s="101"/>
      <c r="L1533" s="101"/>
      <c r="M1533" s="101"/>
      <c r="N1533" s="101"/>
      <c r="O1533" s="101"/>
      <c r="P1533" s="101"/>
      <c r="Q1533" s="101"/>
      <c r="R1533" s="101"/>
      <c r="S1533" s="101"/>
      <c r="T1533" s="101"/>
      <c r="U1533" s="101"/>
      <c r="V1533" s="101"/>
      <c r="W1533" s="101"/>
      <c r="X1533" s="101"/>
      <c r="Y1533" s="114"/>
      <c r="Z1533" s="114"/>
      <c r="AA1533" s="114"/>
      <c r="AB1533" s="114"/>
      <c r="AC1533" s="114"/>
      <c r="AD1533" s="114"/>
      <c r="AE1533" s="114"/>
      <c r="AF1533" s="114"/>
      <c r="AG1533" s="114"/>
      <c r="AH1533" s="114"/>
      <c r="AI1533" s="114"/>
      <c r="AJ1533" s="114"/>
      <c r="AK1533" s="114"/>
      <c r="AL1533" s="114"/>
      <c r="AM1533" s="114"/>
      <c r="AN1533" s="114"/>
      <c r="AO1533" s="114"/>
      <c r="AP1533" s="114"/>
      <c r="AQ1533" s="114"/>
      <c r="AR1533" s="114"/>
      <c r="AS1533" s="114"/>
      <c r="AT1533" s="114"/>
      <c r="AU1533" s="114"/>
      <c r="AV1533" s="114"/>
      <c r="AW1533" s="114"/>
      <c r="AX1533" s="114"/>
      <c r="AY1533" s="114"/>
      <c r="AZ1533" s="114"/>
    </row>
    <row r="1534" spans="1:52">
      <c r="A1534" s="111"/>
      <c r="B1534" s="111"/>
      <c r="C1534" s="112"/>
      <c r="D1534" s="101"/>
      <c r="E1534" s="101"/>
      <c r="F1534" s="101"/>
      <c r="G1534" s="111"/>
      <c r="H1534" s="101"/>
      <c r="I1534" s="101"/>
      <c r="J1534" s="101"/>
      <c r="K1534" s="101"/>
      <c r="L1534" s="101"/>
      <c r="M1534" s="101"/>
      <c r="N1534" s="101"/>
      <c r="O1534" s="101"/>
      <c r="P1534" s="101"/>
      <c r="Q1534" s="101"/>
      <c r="R1534" s="101"/>
      <c r="S1534" s="101"/>
      <c r="T1534" s="101"/>
      <c r="U1534" s="101"/>
      <c r="V1534" s="101"/>
      <c r="W1534" s="101"/>
      <c r="X1534" s="101"/>
      <c r="Y1534" s="114"/>
      <c r="Z1534" s="114"/>
      <c r="AA1534" s="114"/>
      <c r="AB1534" s="114"/>
      <c r="AC1534" s="114"/>
      <c r="AD1534" s="114"/>
      <c r="AE1534" s="114"/>
      <c r="AF1534" s="114"/>
      <c r="AG1534" s="114"/>
      <c r="AH1534" s="114"/>
      <c r="AI1534" s="114"/>
      <c r="AJ1534" s="114"/>
      <c r="AK1534" s="114"/>
      <c r="AL1534" s="114"/>
      <c r="AM1534" s="114"/>
      <c r="AN1534" s="114"/>
      <c r="AO1534" s="114"/>
      <c r="AP1534" s="114"/>
      <c r="AQ1534" s="114"/>
      <c r="AR1534" s="114"/>
      <c r="AS1534" s="114"/>
      <c r="AT1534" s="114"/>
      <c r="AU1534" s="114"/>
      <c r="AV1534" s="114"/>
      <c r="AW1534" s="114"/>
      <c r="AX1534" s="114"/>
      <c r="AY1534" s="114"/>
      <c r="AZ1534" s="114"/>
    </row>
    <row r="1535" spans="1:52">
      <c r="A1535" s="111"/>
      <c r="B1535" s="111"/>
      <c r="C1535" s="112"/>
      <c r="D1535" s="101"/>
      <c r="E1535" s="101"/>
      <c r="F1535" s="101"/>
      <c r="G1535" s="111"/>
      <c r="H1535" s="101"/>
      <c r="I1535" s="101"/>
      <c r="J1535" s="101"/>
      <c r="K1535" s="101"/>
      <c r="L1535" s="101"/>
      <c r="M1535" s="101"/>
      <c r="N1535" s="101"/>
      <c r="O1535" s="101"/>
      <c r="P1535" s="101"/>
      <c r="Q1535" s="101"/>
      <c r="R1535" s="101"/>
      <c r="S1535" s="101"/>
      <c r="T1535" s="101"/>
      <c r="U1535" s="101"/>
      <c r="V1535" s="101"/>
      <c r="W1535" s="101"/>
      <c r="X1535" s="101"/>
      <c r="Y1535" s="114"/>
      <c r="Z1535" s="114"/>
      <c r="AA1535" s="114"/>
      <c r="AB1535" s="114"/>
      <c r="AC1535" s="114"/>
      <c r="AD1535" s="114"/>
      <c r="AE1535" s="114"/>
      <c r="AF1535" s="114"/>
      <c r="AG1535" s="114"/>
      <c r="AH1535" s="114"/>
      <c r="AI1535" s="114"/>
      <c r="AJ1535" s="114"/>
      <c r="AK1535" s="114"/>
      <c r="AL1535" s="114"/>
      <c r="AM1535" s="114"/>
      <c r="AN1535" s="114"/>
      <c r="AO1535" s="114"/>
      <c r="AP1535" s="114"/>
      <c r="AQ1535" s="114"/>
      <c r="AR1535" s="114"/>
      <c r="AS1535" s="114"/>
      <c r="AT1535" s="114"/>
      <c r="AU1535" s="114"/>
      <c r="AV1535" s="114"/>
      <c r="AW1535" s="114"/>
      <c r="AX1535" s="114"/>
      <c r="AY1535" s="114"/>
      <c r="AZ1535" s="114"/>
    </row>
    <row r="1536" spans="1:52">
      <c r="A1536" s="111"/>
      <c r="B1536" s="111"/>
      <c r="C1536" s="112"/>
      <c r="D1536" s="101"/>
      <c r="E1536" s="101"/>
      <c r="F1536" s="101"/>
      <c r="G1536" s="111"/>
      <c r="H1536" s="101"/>
      <c r="I1536" s="101"/>
      <c r="J1536" s="101"/>
      <c r="K1536" s="101"/>
      <c r="L1536" s="101"/>
      <c r="M1536" s="101"/>
      <c r="N1536" s="101"/>
      <c r="O1536" s="101"/>
      <c r="P1536" s="101"/>
      <c r="Q1536" s="101"/>
      <c r="R1536" s="101"/>
      <c r="S1536" s="101"/>
      <c r="T1536" s="101"/>
      <c r="U1536" s="101"/>
      <c r="V1536" s="101"/>
      <c r="W1536" s="101"/>
      <c r="X1536" s="101"/>
      <c r="Y1536" s="114"/>
      <c r="Z1536" s="114"/>
      <c r="AA1536" s="114"/>
      <c r="AB1536" s="114"/>
      <c r="AC1536" s="114"/>
      <c r="AD1536" s="114"/>
      <c r="AE1536" s="114"/>
      <c r="AF1536" s="114"/>
      <c r="AG1536" s="114"/>
      <c r="AH1536" s="114"/>
      <c r="AI1536" s="114"/>
      <c r="AJ1536" s="114"/>
      <c r="AK1536" s="114"/>
      <c r="AL1536" s="114"/>
      <c r="AM1536" s="114"/>
      <c r="AN1536" s="114"/>
      <c r="AO1536" s="114"/>
      <c r="AP1536" s="114"/>
      <c r="AQ1536" s="114"/>
      <c r="AR1536" s="114"/>
      <c r="AS1536" s="114"/>
      <c r="AT1536" s="114"/>
      <c r="AU1536" s="114"/>
      <c r="AV1536" s="114"/>
      <c r="AW1536" s="114"/>
      <c r="AX1536" s="114"/>
      <c r="AY1536" s="114"/>
      <c r="AZ1536" s="114"/>
    </row>
    <row r="1537" spans="1:52">
      <c r="A1537" s="111"/>
      <c r="B1537" s="111"/>
      <c r="C1537" s="112"/>
      <c r="D1537" s="101"/>
      <c r="E1537" s="101"/>
      <c r="F1537" s="101"/>
      <c r="G1537" s="111"/>
      <c r="H1537" s="101"/>
      <c r="I1537" s="101"/>
      <c r="J1537" s="101"/>
      <c r="K1537" s="101"/>
      <c r="L1537" s="101"/>
      <c r="M1537" s="101"/>
      <c r="N1537" s="101"/>
      <c r="O1537" s="101"/>
      <c r="P1537" s="101"/>
      <c r="Q1537" s="101"/>
      <c r="R1537" s="101"/>
      <c r="S1537" s="101"/>
      <c r="T1537" s="101"/>
      <c r="U1537" s="101"/>
      <c r="V1537" s="101"/>
      <c r="W1537" s="101"/>
      <c r="X1537" s="101"/>
      <c r="Y1537" s="114"/>
      <c r="Z1537" s="114"/>
      <c r="AA1537" s="114"/>
      <c r="AB1537" s="114"/>
      <c r="AC1537" s="114"/>
      <c r="AD1537" s="114"/>
      <c r="AE1537" s="114"/>
      <c r="AF1537" s="114"/>
      <c r="AG1537" s="114"/>
      <c r="AH1537" s="114"/>
      <c r="AI1537" s="114"/>
      <c r="AJ1537" s="114"/>
      <c r="AK1537" s="114"/>
      <c r="AL1537" s="114"/>
      <c r="AM1537" s="114"/>
      <c r="AN1537" s="114"/>
      <c r="AO1537" s="114"/>
      <c r="AP1537" s="114"/>
      <c r="AQ1537" s="114"/>
      <c r="AR1537" s="114"/>
      <c r="AS1537" s="114"/>
      <c r="AT1537" s="114"/>
      <c r="AU1537" s="114"/>
      <c r="AV1537" s="114"/>
      <c r="AW1537" s="114"/>
      <c r="AX1537" s="114"/>
      <c r="AY1537" s="114"/>
      <c r="AZ1537" s="114"/>
    </row>
    <row r="1538" spans="1:52">
      <c r="A1538" s="111"/>
      <c r="B1538" s="111"/>
      <c r="C1538" s="112"/>
      <c r="D1538" s="101"/>
      <c r="E1538" s="101"/>
      <c r="F1538" s="101"/>
      <c r="G1538" s="111"/>
      <c r="H1538" s="101"/>
      <c r="I1538" s="101"/>
      <c r="J1538" s="101"/>
      <c r="K1538" s="101"/>
      <c r="L1538" s="101"/>
      <c r="M1538" s="101"/>
      <c r="N1538" s="101"/>
      <c r="O1538" s="101"/>
      <c r="P1538" s="101"/>
      <c r="Q1538" s="101"/>
      <c r="R1538" s="101"/>
      <c r="S1538" s="101"/>
      <c r="T1538" s="101"/>
      <c r="U1538" s="101"/>
      <c r="V1538" s="101"/>
      <c r="W1538" s="101"/>
      <c r="X1538" s="101"/>
      <c r="Y1538" s="114"/>
      <c r="Z1538" s="114"/>
      <c r="AA1538" s="114"/>
      <c r="AB1538" s="114"/>
      <c r="AC1538" s="114"/>
      <c r="AD1538" s="114"/>
      <c r="AE1538" s="114"/>
      <c r="AF1538" s="114"/>
      <c r="AG1538" s="114"/>
      <c r="AH1538" s="114"/>
      <c r="AI1538" s="114"/>
      <c r="AJ1538" s="114"/>
      <c r="AK1538" s="114"/>
      <c r="AL1538" s="114"/>
      <c r="AM1538" s="114"/>
      <c r="AN1538" s="114"/>
      <c r="AO1538" s="114"/>
      <c r="AP1538" s="114"/>
      <c r="AQ1538" s="114"/>
      <c r="AR1538" s="114"/>
      <c r="AS1538" s="114"/>
      <c r="AT1538" s="114"/>
      <c r="AU1538" s="114"/>
      <c r="AV1538" s="114"/>
      <c r="AW1538" s="114"/>
      <c r="AX1538" s="114"/>
      <c r="AY1538" s="114"/>
      <c r="AZ1538" s="114"/>
    </row>
    <row r="1539" spans="1:52">
      <c r="A1539" s="111"/>
      <c r="B1539" s="111"/>
      <c r="C1539" s="112"/>
      <c r="D1539" s="101"/>
      <c r="E1539" s="101"/>
      <c r="F1539" s="101"/>
      <c r="G1539" s="111"/>
      <c r="H1539" s="101"/>
      <c r="I1539" s="101"/>
      <c r="J1539" s="101"/>
      <c r="K1539" s="101"/>
      <c r="L1539" s="101"/>
      <c r="M1539" s="101"/>
      <c r="N1539" s="101"/>
      <c r="O1539" s="101"/>
      <c r="P1539" s="101"/>
      <c r="Q1539" s="101"/>
      <c r="R1539" s="101"/>
      <c r="S1539" s="101"/>
      <c r="T1539" s="101"/>
      <c r="U1539" s="101"/>
      <c r="V1539" s="101"/>
      <c r="W1539" s="101"/>
      <c r="X1539" s="101"/>
      <c r="Y1539" s="114"/>
      <c r="Z1539" s="114"/>
      <c r="AA1539" s="114"/>
      <c r="AB1539" s="114"/>
      <c r="AC1539" s="114"/>
      <c r="AD1539" s="114"/>
      <c r="AE1539" s="114"/>
      <c r="AF1539" s="114"/>
      <c r="AG1539" s="114"/>
      <c r="AH1539" s="114"/>
      <c r="AI1539" s="114"/>
      <c r="AJ1539" s="114"/>
      <c r="AK1539" s="114"/>
      <c r="AL1539" s="114"/>
      <c r="AM1539" s="114"/>
      <c r="AN1539" s="114"/>
      <c r="AO1539" s="114"/>
      <c r="AP1539" s="114"/>
      <c r="AQ1539" s="114"/>
      <c r="AR1539" s="114"/>
      <c r="AS1539" s="114"/>
      <c r="AT1539" s="114"/>
      <c r="AU1539" s="114"/>
      <c r="AV1539" s="114"/>
      <c r="AW1539" s="114"/>
      <c r="AX1539" s="114"/>
      <c r="AY1539" s="114"/>
      <c r="AZ1539" s="114"/>
    </row>
    <row r="1540" spans="1:52">
      <c r="A1540" s="111"/>
      <c r="B1540" s="111"/>
      <c r="C1540" s="112"/>
      <c r="D1540" s="101"/>
      <c r="E1540" s="101"/>
      <c r="F1540" s="101"/>
      <c r="G1540" s="111"/>
      <c r="H1540" s="101"/>
      <c r="I1540" s="101"/>
      <c r="J1540" s="101"/>
      <c r="K1540" s="101"/>
      <c r="L1540" s="101"/>
      <c r="M1540" s="101"/>
      <c r="N1540" s="101"/>
      <c r="O1540" s="101"/>
      <c r="P1540" s="101"/>
      <c r="Q1540" s="101"/>
      <c r="R1540" s="101"/>
      <c r="S1540" s="101"/>
      <c r="T1540" s="101"/>
      <c r="U1540" s="101"/>
      <c r="V1540" s="101"/>
      <c r="W1540" s="101"/>
      <c r="X1540" s="101"/>
      <c r="Y1540" s="114"/>
      <c r="Z1540" s="114"/>
      <c r="AA1540" s="114"/>
      <c r="AB1540" s="114"/>
      <c r="AC1540" s="114"/>
      <c r="AD1540" s="114"/>
      <c r="AE1540" s="114"/>
      <c r="AF1540" s="114"/>
      <c r="AG1540" s="114"/>
      <c r="AH1540" s="114"/>
      <c r="AI1540" s="114"/>
      <c r="AJ1540" s="114"/>
      <c r="AK1540" s="114"/>
      <c r="AL1540" s="114"/>
      <c r="AM1540" s="114"/>
      <c r="AN1540" s="114"/>
      <c r="AO1540" s="114"/>
      <c r="AP1540" s="114"/>
      <c r="AQ1540" s="114"/>
      <c r="AR1540" s="114"/>
      <c r="AS1540" s="114"/>
      <c r="AT1540" s="114"/>
      <c r="AU1540" s="114"/>
      <c r="AV1540" s="114"/>
      <c r="AW1540" s="114"/>
      <c r="AX1540" s="114"/>
      <c r="AY1540" s="114"/>
      <c r="AZ1540" s="114"/>
    </row>
    <row r="1541" spans="1:52">
      <c r="A1541" s="111"/>
      <c r="B1541" s="111"/>
      <c r="C1541" s="112"/>
      <c r="D1541" s="101"/>
      <c r="E1541" s="101"/>
      <c r="F1541" s="101"/>
      <c r="G1541" s="111"/>
      <c r="H1541" s="101"/>
      <c r="I1541" s="101"/>
      <c r="J1541" s="101"/>
      <c r="K1541" s="101"/>
      <c r="L1541" s="101"/>
      <c r="M1541" s="101"/>
      <c r="N1541" s="101"/>
      <c r="O1541" s="101"/>
      <c r="P1541" s="101"/>
      <c r="Q1541" s="101"/>
      <c r="R1541" s="101"/>
      <c r="S1541" s="101"/>
      <c r="T1541" s="101"/>
      <c r="U1541" s="101"/>
      <c r="V1541" s="101"/>
      <c r="W1541" s="101"/>
      <c r="X1541" s="101"/>
      <c r="Y1541" s="114"/>
      <c r="Z1541" s="114"/>
      <c r="AA1541" s="114"/>
      <c r="AB1541" s="114"/>
      <c r="AC1541" s="114"/>
      <c r="AD1541" s="114"/>
      <c r="AE1541" s="114"/>
      <c r="AF1541" s="114"/>
      <c r="AG1541" s="114"/>
      <c r="AH1541" s="114"/>
      <c r="AI1541" s="114"/>
      <c r="AJ1541" s="114"/>
      <c r="AK1541" s="114"/>
      <c r="AL1541" s="114"/>
      <c r="AM1541" s="114"/>
      <c r="AN1541" s="114"/>
      <c r="AO1541" s="114"/>
      <c r="AP1541" s="114"/>
      <c r="AQ1541" s="114"/>
      <c r="AR1541" s="114"/>
      <c r="AS1541" s="114"/>
      <c r="AT1541" s="114"/>
      <c r="AU1541" s="114"/>
      <c r="AV1541" s="114"/>
      <c r="AW1541" s="114"/>
      <c r="AX1541" s="114"/>
      <c r="AY1541" s="114"/>
      <c r="AZ1541" s="114"/>
    </row>
    <row r="1542" spans="1:52">
      <c r="A1542" s="111"/>
      <c r="B1542" s="111"/>
      <c r="C1542" s="112"/>
      <c r="D1542" s="101"/>
      <c r="E1542" s="101"/>
      <c r="F1542" s="101"/>
      <c r="G1542" s="111"/>
      <c r="H1542" s="101"/>
      <c r="I1542" s="101"/>
      <c r="J1542" s="101"/>
      <c r="K1542" s="101"/>
      <c r="L1542" s="101"/>
      <c r="M1542" s="101"/>
      <c r="N1542" s="101"/>
      <c r="O1542" s="101"/>
      <c r="P1542" s="101"/>
      <c r="Q1542" s="101"/>
      <c r="R1542" s="101"/>
      <c r="S1542" s="101"/>
      <c r="T1542" s="101"/>
      <c r="U1542" s="101"/>
      <c r="V1542" s="101"/>
      <c r="W1542" s="101"/>
      <c r="X1542" s="101"/>
      <c r="Y1542" s="114"/>
      <c r="Z1542" s="114"/>
      <c r="AA1542" s="114"/>
      <c r="AB1542" s="114"/>
      <c r="AC1542" s="114"/>
      <c r="AD1542" s="114"/>
      <c r="AE1542" s="114"/>
      <c r="AF1542" s="114"/>
      <c r="AG1542" s="114"/>
      <c r="AH1542" s="114"/>
      <c r="AI1542" s="114"/>
      <c r="AJ1542" s="114"/>
      <c r="AK1542" s="114"/>
      <c r="AL1542" s="114"/>
      <c r="AM1542" s="114"/>
      <c r="AN1542" s="114"/>
      <c r="AO1542" s="114"/>
      <c r="AP1542" s="114"/>
      <c r="AQ1542" s="114"/>
      <c r="AR1542" s="114"/>
      <c r="AS1542" s="114"/>
      <c r="AT1542" s="114"/>
      <c r="AU1542" s="114"/>
      <c r="AV1542" s="114"/>
      <c r="AW1542" s="114"/>
      <c r="AX1542" s="114"/>
      <c r="AY1542" s="114"/>
      <c r="AZ1542" s="114"/>
    </row>
    <row r="1543" spans="1:52">
      <c r="A1543" s="111"/>
      <c r="B1543" s="111"/>
      <c r="C1543" s="112"/>
      <c r="D1543" s="101"/>
      <c r="E1543" s="101"/>
      <c r="F1543" s="101"/>
      <c r="G1543" s="111"/>
      <c r="H1543" s="101"/>
      <c r="I1543" s="101"/>
      <c r="J1543" s="101"/>
      <c r="K1543" s="101"/>
      <c r="L1543" s="101"/>
      <c r="M1543" s="101"/>
      <c r="N1543" s="101"/>
      <c r="O1543" s="101"/>
      <c r="P1543" s="101"/>
      <c r="Q1543" s="101"/>
      <c r="R1543" s="101"/>
      <c r="S1543" s="101"/>
      <c r="T1543" s="101"/>
      <c r="U1543" s="101"/>
      <c r="V1543" s="101"/>
      <c r="W1543" s="101"/>
      <c r="X1543" s="101"/>
      <c r="Y1543" s="114"/>
      <c r="Z1543" s="114"/>
      <c r="AA1543" s="114"/>
      <c r="AB1543" s="114"/>
      <c r="AC1543" s="114"/>
      <c r="AD1543" s="114"/>
      <c r="AE1543" s="114"/>
      <c r="AF1543" s="114"/>
      <c r="AG1543" s="114"/>
      <c r="AH1543" s="114"/>
      <c r="AI1543" s="114"/>
      <c r="AJ1543" s="114"/>
      <c r="AK1543" s="114"/>
      <c r="AL1543" s="114"/>
      <c r="AM1543" s="114"/>
      <c r="AN1543" s="114"/>
      <c r="AO1543" s="114"/>
      <c r="AP1543" s="114"/>
      <c r="AQ1543" s="114"/>
      <c r="AR1543" s="114"/>
      <c r="AS1543" s="114"/>
      <c r="AT1543" s="114"/>
      <c r="AU1543" s="114"/>
      <c r="AV1543" s="114"/>
      <c r="AW1543" s="114"/>
      <c r="AX1543" s="114"/>
      <c r="AY1543" s="114"/>
      <c r="AZ1543" s="114"/>
    </row>
    <row r="1544" spans="1:52">
      <c r="A1544" s="111"/>
      <c r="B1544" s="111"/>
      <c r="C1544" s="112"/>
      <c r="D1544" s="101"/>
      <c r="E1544" s="101"/>
      <c r="F1544" s="101"/>
      <c r="G1544" s="111"/>
      <c r="H1544" s="101"/>
      <c r="I1544" s="101"/>
      <c r="J1544" s="101"/>
      <c r="K1544" s="101"/>
      <c r="L1544" s="101"/>
      <c r="M1544" s="101"/>
      <c r="N1544" s="101"/>
      <c r="O1544" s="101"/>
      <c r="P1544" s="101"/>
      <c r="Q1544" s="101"/>
      <c r="R1544" s="101"/>
      <c r="S1544" s="101"/>
      <c r="T1544" s="101"/>
      <c r="U1544" s="101"/>
      <c r="V1544" s="101"/>
      <c r="W1544" s="101"/>
      <c r="X1544" s="101"/>
      <c r="Y1544" s="114"/>
      <c r="Z1544" s="114"/>
      <c r="AA1544" s="114"/>
      <c r="AB1544" s="114"/>
      <c r="AC1544" s="114"/>
      <c r="AD1544" s="114"/>
      <c r="AE1544" s="114"/>
      <c r="AF1544" s="114"/>
      <c r="AG1544" s="114"/>
      <c r="AH1544" s="114"/>
      <c r="AI1544" s="114"/>
      <c r="AJ1544" s="114"/>
      <c r="AK1544" s="114"/>
      <c r="AL1544" s="114"/>
      <c r="AM1544" s="114"/>
      <c r="AN1544" s="114"/>
      <c r="AO1544" s="114"/>
      <c r="AP1544" s="114"/>
      <c r="AQ1544" s="114"/>
      <c r="AR1544" s="114"/>
      <c r="AS1544" s="114"/>
      <c r="AT1544" s="114"/>
      <c r="AU1544" s="114"/>
      <c r="AV1544" s="114"/>
      <c r="AW1544" s="114"/>
      <c r="AX1544" s="114"/>
      <c r="AY1544" s="114"/>
      <c r="AZ1544" s="114"/>
    </row>
    <row r="1545" spans="1:52">
      <c r="A1545" s="111"/>
      <c r="B1545" s="111"/>
      <c r="C1545" s="112"/>
      <c r="D1545" s="101"/>
      <c r="E1545" s="101"/>
      <c r="F1545" s="101"/>
      <c r="G1545" s="111"/>
      <c r="H1545" s="101"/>
      <c r="I1545" s="101"/>
      <c r="J1545" s="101"/>
      <c r="K1545" s="101"/>
      <c r="L1545" s="101"/>
      <c r="M1545" s="101"/>
      <c r="N1545" s="101"/>
      <c r="O1545" s="101"/>
      <c r="P1545" s="101"/>
      <c r="Q1545" s="101"/>
      <c r="R1545" s="101"/>
      <c r="S1545" s="101"/>
      <c r="T1545" s="101"/>
      <c r="U1545" s="101"/>
      <c r="V1545" s="101"/>
      <c r="W1545" s="101"/>
      <c r="X1545" s="101"/>
      <c r="Y1545" s="114"/>
      <c r="Z1545" s="114"/>
      <c r="AA1545" s="114"/>
      <c r="AB1545" s="114"/>
      <c r="AC1545" s="114"/>
      <c r="AD1545" s="114"/>
      <c r="AE1545" s="114"/>
      <c r="AF1545" s="114"/>
      <c r="AG1545" s="114"/>
      <c r="AH1545" s="114"/>
      <c r="AI1545" s="114"/>
      <c r="AJ1545" s="114"/>
      <c r="AK1545" s="114"/>
      <c r="AL1545" s="114"/>
      <c r="AM1545" s="114"/>
      <c r="AN1545" s="114"/>
      <c r="AO1545" s="114"/>
      <c r="AP1545" s="114"/>
      <c r="AQ1545" s="114"/>
      <c r="AR1545" s="114"/>
      <c r="AS1545" s="114"/>
      <c r="AT1545" s="114"/>
      <c r="AU1545" s="114"/>
      <c r="AV1545" s="114"/>
      <c r="AW1545" s="114"/>
      <c r="AX1545" s="114"/>
      <c r="AY1545" s="114"/>
      <c r="AZ1545" s="114"/>
    </row>
    <row r="1546" spans="1:52">
      <c r="A1546" s="111"/>
      <c r="B1546" s="111"/>
      <c r="C1546" s="112"/>
      <c r="D1546" s="101"/>
      <c r="E1546" s="101"/>
      <c r="F1546" s="101"/>
      <c r="G1546" s="111"/>
      <c r="H1546" s="101"/>
      <c r="I1546" s="101"/>
      <c r="J1546" s="101"/>
      <c r="K1546" s="101"/>
      <c r="L1546" s="101"/>
      <c r="M1546" s="101"/>
      <c r="N1546" s="101"/>
      <c r="O1546" s="101"/>
      <c r="P1546" s="101"/>
      <c r="Q1546" s="101"/>
      <c r="R1546" s="101"/>
      <c r="S1546" s="101"/>
      <c r="T1546" s="101"/>
      <c r="U1546" s="101"/>
      <c r="V1546" s="101"/>
      <c r="W1546" s="101"/>
      <c r="X1546" s="101"/>
      <c r="Y1546" s="114"/>
      <c r="Z1546" s="114"/>
      <c r="AA1546" s="114"/>
      <c r="AB1546" s="114"/>
      <c r="AC1546" s="114"/>
      <c r="AD1546" s="114"/>
      <c r="AE1546" s="114"/>
      <c r="AF1546" s="114"/>
      <c r="AG1546" s="114"/>
      <c r="AH1546" s="114"/>
      <c r="AI1546" s="114"/>
      <c r="AJ1546" s="114"/>
      <c r="AK1546" s="114"/>
      <c r="AL1546" s="114"/>
      <c r="AM1546" s="114"/>
      <c r="AN1546" s="114"/>
      <c r="AO1546" s="114"/>
      <c r="AP1546" s="114"/>
      <c r="AQ1546" s="114"/>
      <c r="AR1546" s="114"/>
      <c r="AS1546" s="114"/>
      <c r="AT1546" s="114"/>
      <c r="AU1546" s="114"/>
      <c r="AV1546" s="114"/>
      <c r="AW1546" s="114"/>
      <c r="AX1546" s="114"/>
      <c r="AY1546" s="114"/>
      <c r="AZ1546" s="114"/>
    </row>
    <row r="1547" spans="1:52">
      <c r="A1547" s="111"/>
      <c r="B1547" s="111"/>
      <c r="C1547" s="112"/>
      <c r="D1547" s="101"/>
      <c r="E1547" s="101"/>
      <c r="F1547" s="101"/>
      <c r="G1547" s="111"/>
      <c r="H1547" s="101"/>
      <c r="I1547" s="101"/>
      <c r="J1547" s="101"/>
      <c r="K1547" s="101"/>
      <c r="L1547" s="101"/>
      <c r="M1547" s="101"/>
      <c r="N1547" s="101"/>
      <c r="O1547" s="101"/>
      <c r="P1547" s="101"/>
      <c r="Q1547" s="101"/>
      <c r="R1547" s="101"/>
      <c r="S1547" s="101"/>
      <c r="T1547" s="101"/>
      <c r="U1547" s="101"/>
      <c r="V1547" s="101"/>
      <c r="W1547" s="101"/>
      <c r="X1547" s="101"/>
      <c r="Y1547" s="114"/>
      <c r="Z1547" s="114"/>
      <c r="AA1547" s="114"/>
      <c r="AB1547" s="114"/>
      <c r="AC1547" s="114"/>
      <c r="AD1547" s="114"/>
      <c r="AE1547" s="114"/>
      <c r="AF1547" s="114"/>
      <c r="AG1547" s="114"/>
      <c r="AH1547" s="114"/>
      <c r="AI1547" s="114"/>
      <c r="AJ1547" s="114"/>
      <c r="AK1547" s="114"/>
      <c r="AL1547" s="114"/>
      <c r="AM1547" s="114"/>
      <c r="AN1547" s="114"/>
      <c r="AO1547" s="114"/>
      <c r="AP1547" s="114"/>
      <c r="AQ1547" s="114"/>
      <c r="AR1547" s="114"/>
      <c r="AS1547" s="114"/>
      <c r="AT1547" s="114"/>
      <c r="AU1547" s="114"/>
      <c r="AV1547" s="114"/>
      <c r="AW1547" s="114"/>
      <c r="AX1547" s="114"/>
      <c r="AY1547" s="114"/>
      <c r="AZ1547" s="114"/>
    </row>
    <row r="1548" spans="1:52">
      <c r="A1548" s="111"/>
      <c r="B1548" s="111"/>
      <c r="C1548" s="112"/>
      <c r="D1548" s="101"/>
      <c r="E1548" s="101"/>
      <c r="F1548" s="101"/>
      <c r="G1548" s="111"/>
      <c r="H1548" s="101"/>
      <c r="I1548" s="101"/>
      <c r="J1548" s="101"/>
      <c r="K1548" s="101"/>
      <c r="L1548" s="101"/>
      <c r="M1548" s="101"/>
      <c r="N1548" s="101"/>
      <c r="O1548" s="101"/>
      <c r="P1548" s="101"/>
      <c r="Q1548" s="101"/>
      <c r="R1548" s="101"/>
      <c r="S1548" s="101"/>
      <c r="T1548" s="101"/>
      <c r="U1548" s="101"/>
      <c r="V1548" s="101"/>
      <c r="W1548" s="101"/>
      <c r="X1548" s="101"/>
      <c r="Y1548" s="114"/>
      <c r="Z1548" s="114"/>
      <c r="AA1548" s="114"/>
      <c r="AB1548" s="114"/>
      <c r="AC1548" s="114"/>
      <c r="AD1548" s="114"/>
      <c r="AE1548" s="114"/>
      <c r="AF1548" s="114"/>
      <c r="AG1548" s="114"/>
      <c r="AH1548" s="114"/>
      <c r="AI1548" s="114"/>
      <c r="AJ1548" s="114"/>
      <c r="AK1548" s="114"/>
      <c r="AL1548" s="114"/>
      <c r="AM1548" s="114"/>
      <c r="AN1548" s="114"/>
      <c r="AO1548" s="114"/>
      <c r="AP1548" s="114"/>
      <c r="AQ1548" s="114"/>
      <c r="AR1548" s="114"/>
      <c r="AS1548" s="114"/>
      <c r="AT1548" s="114"/>
      <c r="AU1548" s="114"/>
      <c r="AV1548" s="114"/>
      <c r="AW1548" s="114"/>
      <c r="AX1548" s="114"/>
      <c r="AY1548" s="114"/>
      <c r="AZ1548" s="114"/>
    </row>
    <row r="1549" spans="1:52">
      <c r="A1549" s="111"/>
      <c r="B1549" s="111"/>
      <c r="C1549" s="112"/>
      <c r="D1549" s="101"/>
      <c r="E1549" s="101"/>
      <c r="F1549" s="101"/>
      <c r="G1549" s="111"/>
      <c r="H1549" s="101"/>
      <c r="I1549" s="101"/>
      <c r="J1549" s="101"/>
      <c r="K1549" s="101"/>
      <c r="L1549" s="101"/>
      <c r="M1549" s="101"/>
      <c r="N1549" s="101"/>
      <c r="O1549" s="101"/>
      <c r="P1549" s="101"/>
      <c r="Q1549" s="101"/>
      <c r="R1549" s="101"/>
      <c r="S1549" s="101"/>
      <c r="T1549" s="101"/>
      <c r="U1549" s="101"/>
      <c r="V1549" s="101"/>
      <c r="W1549" s="101"/>
      <c r="X1549" s="101"/>
      <c r="Y1549" s="114"/>
      <c r="Z1549" s="114"/>
      <c r="AA1549" s="114"/>
      <c r="AB1549" s="114"/>
      <c r="AC1549" s="114"/>
      <c r="AD1549" s="114"/>
      <c r="AE1549" s="114"/>
      <c r="AF1549" s="114"/>
      <c r="AG1549" s="114"/>
      <c r="AH1549" s="114"/>
      <c r="AI1549" s="114"/>
      <c r="AJ1549" s="114"/>
      <c r="AK1549" s="114"/>
      <c r="AL1549" s="114"/>
      <c r="AM1549" s="114"/>
      <c r="AN1549" s="114"/>
      <c r="AO1549" s="114"/>
      <c r="AP1549" s="114"/>
      <c r="AQ1549" s="114"/>
      <c r="AR1549" s="114"/>
      <c r="AS1549" s="114"/>
      <c r="AT1549" s="114"/>
      <c r="AU1549" s="114"/>
      <c r="AV1549" s="114"/>
      <c r="AW1549" s="114"/>
      <c r="AX1549" s="114"/>
      <c r="AY1549" s="114"/>
      <c r="AZ1549" s="114"/>
    </row>
    <row r="1550" spans="1:52">
      <c r="A1550" s="111"/>
      <c r="B1550" s="111"/>
      <c r="C1550" s="112"/>
      <c r="D1550" s="101"/>
      <c r="E1550" s="101"/>
      <c r="F1550" s="101"/>
      <c r="G1550" s="111"/>
      <c r="H1550" s="101"/>
      <c r="I1550" s="101"/>
      <c r="J1550" s="101"/>
      <c r="K1550" s="101"/>
      <c r="L1550" s="101"/>
      <c r="M1550" s="101"/>
      <c r="N1550" s="101"/>
      <c r="O1550" s="101"/>
      <c r="P1550" s="101"/>
      <c r="Q1550" s="101"/>
      <c r="R1550" s="101"/>
      <c r="S1550" s="101"/>
      <c r="T1550" s="101"/>
      <c r="U1550" s="101"/>
      <c r="V1550" s="101"/>
      <c r="W1550" s="101"/>
      <c r="X1550" s="101"/>
      <c r="Y1550" s="114"/>
      <c r="Z1550" s="114"/>
      <c r="AA1550" s="114"/>
      <c r="AB1550" s="114"/>
      <c r="AC1550" s="114"/>
      <c r="AD1550" s="114"/>
      <c r="AE1550" s="114"/>
      <c r="AF1550" s="114"/>
      <c r="AG1550" s="114"/>
      <c r="AH1550" s="114"/>
      <c r="AI1550" s="114"/>
      <c r="AJ1550" s="114"/>
      <c r="AK1550" s="114"/>
      <c r="AL1550" s="114"/>
      <c r="AM1550" s="114"/>
      <c r="AN1550" s="114"/>
      <c r="AO1550" s="114"/>
      <c r="AP1550" s="114"/>
      <c r="AQ1550" s="114"/>
      <c r="AR1550" s="114"/>
      <c r="AS1550" s="114"/>
      <c r="AT1550" s="114"/>
      <c r="AU1550" s="114"/>
      <c r="AV1550" s="114"/>
      <c r="AW1550" s="114"/>
      <c r="AX1550" s="114"/>
      <c r="AY1550" s="114"/>
      <c r="AZ1550" s="114"/>
    </row>
    <row r="1551" spans="1:52">
      <c r="A1551" s="111"/>
      <c r="B1551" s="111"/>
      <c r="C1551" s="112"/>
      <c r="D1551" s="101"/>
      <c r="E1551" s="101"/>
      <c r="F1551" s="101"/>
      <c r="G1551" s="111"/>
      <c r="H1551" s="101"/>
      <c r="I1551" s="101"/>
      <c r="J1551" s="101"/>
      <c r="K1551" s="101"/>
      <c r="L1551" s="101"/>
      <c r="M1551" s="101"/>
      <c r="N1551" s="101"/>
      <c r="O1551" s="101"/>
      <c r="P1551" s="101"/>
      <c r="Q1551" s="101"/>
      <c r="R1551" s="101"/>
      <c r="S1551" s="101"/>
      <c r="T1551" s="101"/>
      <c r="U1551" s="101"/>
      <c r="V1551" s="101"/>
      <c r="W1551" s="101"/>
      <c r="X1551" s="101"/>
      <c r="Y1551" s="114"/>
      <c r="Z1551" s="114"/>
      <c r="AA1551" s="114"/>
      <c r="AB1551" s="114"/>
      <c r="AC1551" s="114"/>
      <c r="AD1551" s="114"/>
      <c r="AE1551" s="114"/>
      <c r="AF1551" s="114"/>
      <c r="AG1551" s="114"/>
      <c r="AH1551" s="114"/>
      <c r="AI1551" s="114"/>
      <c r="AJ1551" s="114"/>
      <c r="AK1551" s="114"/>
      <c r="AL1551" s="114"/>
      <c r="AM1551" s="114"/>
      <c r="AN1551" s="114"/>
      <c r="AO1551" s="114"/>
      <c r="AP1551" s="114"/>
      <c r="AQ1551" s="114"/>
      <c r="AR1551" s="114"/>
      <c r="AS1551" s="114"/>
      <c r="AT1551" s="114"/>
      <c r="AU1551" s="114"/>
      <c r="AV1551" s="114"/>
      <c r="AW1551" s="114"/>
      <c r="AX1551" s="114"/>
      <c r="AY1551" s="114"/>
      <c r="AZ1551" s="114"/>
    </row>
    <row r="1552" spans="1:52">
      <c r="A1552" s="111"/>
      <c r="B1552" s="111"/>
      <c r="C1552" s="112"/>
      <c r="D1552" s="101"/>
      <c r="E1552" s="101"/>
      <c r="F1552" s="101"/>
      <c r="G1552" s="111"/>
      <c r="H1552" s="101"/>
      <c r="I1552" s="101"/>
      <c r="J1552" s="101"/>
      <c r="K1552" s="101"/>
      <c r="L1552" s="101"/>
      <c r="M1552" s="101"/>
      <c r="N1552" s="101"/>
      <c r="O1552" s="101"/>
      <c r="P1552" s="101"/>
      <c r="Q1552" s="101"/>
      <c r="R1552" s="101"/>
      <c r="S1552" s="101"/>
      <c r="T1552" s="101"/>
      <c r="U1552" s="101"/>
      <c r="V1552" s="101"/>
      <c r="W1552" s="101"/>
      <c r="X1552" s="101"/>
      <c r="Y1552" s="114"/>
      <c r="Z1552" s="114"/>
      <c r="AA1552" s="114"/>
      <c r="AB1552" s="114"/>
      <c r="AC1552" s="114"/>
      <c r="AD1552" s="114"/>
      <c r="AE1552" s="114"/>
      <c r="AF1552" s="114"/>
      <c r="AG1552" s="114"/>
      <c r="AH1552" s="114"/>
      <c r="AI1552" s="114"/>
      <c r="AJ1552" s="114"/>
      <c r="AK1552" s="114"/>
      <c r="AL1552" s="114"/>
      <c r="AM1552" s="114"/>
      <c r="AN1552" s="114"/>
      <c r="AO1552" s="114"/>
      <c r="AP1552" s="114"/>
      <c r="AQ1552" s="114"/>
      <c r="AR1552" s="114"/>
      <c r="AS1552" s="114"/>
      <c r="AT1552" s="114"/>
      <c r="AU1552" s="114"/>
      <c r="AV1552" s="114"/>
      <c r="AW1552" s="114"/>
      <c r="AX1552" s="114"/>
      <c r="AY1552" s="114"/>
      <c r="AZ1552" s="114"/>
    </row>
    <row r="1553" spans="1:52">
      <c r="A1553" s="111"/>
      <c r="B1553" s="111"/>
      <c r="C1553" s="112"/>
      <c r="D1553" s="101"/>
      <c r="E1553" s="101"/>
      <c r="F1553" s="101"/>
      <c r="G1553" s="111"/>
      <c r="H1553" s="101"/>
      <c r="I1553" s="101"/>
      <c r="J1553" s="101"/>
      <c r="K1553" s="101"/>
      <c r="L1553" s="101"/>
      <c r="M1553" s="101"/>
      <c r="N1553" s="101"/>
      <c r="O1553" s="101"/>
      <c r="P1553" s="101"/>
      <c r="Q1553" s="101"/>
      <c r="R1553" s="101"/>
      <c r="S1553" s="101"/>
      <c r="T1553" s="101"/>
      <c r="U1553" s="101"/>
      <c r="V1553" s="101"/>
      <c r="W1553" s="101"/>
      <c r="X1553" s="101"/>
      <c r="Y1553" s="114"/>
      <c r="Z1553" s="114"/>
      <c r="AA1553" s="114"/>
      <c r="AB1553" s="114"/>
      <c r="AC1553" s="114"/>
      <c r="AD1553" s="114"/>
      <c r="AE1553" s="114"/>
      <c r="AF1553" s="114"/>
      <c r="AG1553" s="114"/>
      <c r="AH1553" s="114"/>
      <c r="AI1553" s="114"/>
      <c r="AJ1553" s="114"/>
      <c r="AK1553" s="114"/>
      <c r="AL1553" s="114"/>
      <c r="AM1553" s="114"/>
      <c r="AN1553" s="114"/>
      <c r="AO1553" s="114"/>
      <c r="AP1553" s="114"/>
      <c r="AQ1553" s="114"/>
      <c r="AR1553" s="114"/>
      <c r="AS1553" s="114"/>
      <c r="AT1553" s="114"/>
      <c r="AU1553" s="114"/>
      <c r="AV1553" s="114"/>
      <c r="AW1553" s="114"/>
      <c r="AX1553" s="114"/>
      <c r="AY1553" s="114"/>
      <c r="AZ1553" s="114"/>
    </row>
    <row r="1554" spans="1:52">
      <c r="A1554" s="111"/>
      <c r="B1554" s="111"/>
      <c r="C1554" s="112"/>
      <c r="D1554" s="101"/>
      <c r="E1554" s="101"/>
      <c r="F1554" s="101"/>
      <c r="G1554" s="111"/>
      <c r="H1554" s="101"/>
      <c r="I1554" s="101"/>
      <c r="J1554" s="101"/>
      <c r="K1554" s="101"/>
      <c r="L1554" s="101"/>
      <c r="M1554" s="101"/>
      <c r="N1554" s="101"/>
      <c r="O1554" s="101"/>
      <c r="P1554" s="101"/>
      <c r="Q1554" s="101"/>
      <c r="R1554" s="101"/>
      <c r="S1554" s="101"/>
      <c r="T1554" s="101"/>
      <c r="U1554" s="101"/>
      <c r="V1554" s="101"/>
      <c r="W1554" s="101"/>
      <c r="X1554" s="101"/>
      <c r="Y1554" s="114"/>
      <c r="Z1554" s="114"/>
      <c r="AA1554" s="114"/>
      <c r="AB1554" s="114"/>
      <c r="AC1554" s="114"/>
      <c r="AD1554" s="114"/>
      <c r="AE1554" s="114"/>
      <c r="AF1554" s="114"/>
      <c r="AG1554" s="114"/>
      <c r="AH1554" s="114"/>
      <c r="AI1554" s="114"/>
      <c r="AJ1554" s="114"/>
      <c r="AK1554" s="114"/>
      <c r="AL1554" s="114"/>
      <c r="AM1554" s="114"/>
      <c r="AN1554" s="114"/>
      <c r="AO1554" s="114"/>
      <c r="AP1554" s="114"/>
      <c r="AQ1554" s="114"/>
      <c r="AR1554" s="114"/>
      <c r="AS1554" s="114"/>
      <c r="AT1554" s="114"/>
      <c r="AU1554" s="114"/>
      <c r="AV1554" s="114"/>
      <c r="AW1554" s="114"/>
      <c r="AX1554" s="114"/>
      <c r="AY1554" s="114"/>
      <c r="AZ1554" s="114"/>
    </row>
    <row r="1555" spans="1:52">
      <c r="A1555" s="111"/>
      <c r="B1555" s="111"/>
      <c r="C1555" s="112"/>
      <c r="D1555" s="101"/>
      <c r="E1555" s="101"/>
      <c r="F1555" s="101"/>
      <c r="G1555" s="111"/>
      <c r="H1555" s="101"/>
      <c r="I1555" s="101"/>
      <c r="J1555" s="101"/>
      <c r="K1555" s="101"/>
      <c r="L1555" s="101"/>
      <c r="M1555" s="101"/>
      <c r="N1555" s="101"/>
      <c r="O1555" s="101"/>
      <c r="P1555" s="101"/>
      <c r="Q1555" s="101"/>
      <c r="R1555" s="101"/>
      <c r="S1555" s="101"/>
      <c r="T1555" s="101"/>
      <c r="U1555" s="101"/>
      <c r="V1555" s="101"/>
      <c r="W1555" s="101"/>
      <c r="X1555" s="101"/>
      <c r="Y1555" s="114"/>
      <c r="Z1555" s="114"/>
      <c r="AA1555" s="114"/>
      <c r="AB1555" s="114"/>
      <c r="AC1555" s="114"/>
      <c r="AD1555" s="114"/>
      <c r="AE1555" s="114"/>
      <c r="AF1555" s="114"/>
      <c r="AG1555" s="114"/>
      <c r="AH1555" s="114"/>
      <c r="AI1555" s="114"/>
      <c r="AJ1555" s="114"/>
      <c r="AK1555" s="114"/>
      <c r="AL1555" s="114"/>
      <c r="AM1555" s="114"/>
      <c r="AN1555" s="114"/>
      <c r="AO1555" s="114"/>
      <c r="AP1555" s="114"/>
      <c r="AQ1555" s="114"/>
      <c r="AR1555" s="114"/>
      <c r="AS1555" s="114"/>
      <c r="AT1555" s="114"/>
      <c r="AU1555" s="114"/>
      <c r="AV1555" s="114"/>
      <c r="AW1555" s="114"/>
      <c r="AX1555" s="114"/>
      <c r="AY1555" s="114"/>
      <c r="AZ1555" s="114"/>
    </row>
    <row r="1556" spans="1:52">
      <c r="A1556" s="111"/>
      <c r="B1556" s="111"/>
      <c r="C1556" s="112"/>
      <c r="D1556" s="101"/>
      <c r="E1556" s="101"/>
      <c r="F1556" s="101"/>
      <c r="G1556" s="111"/>
      <c r="H1556" s="101"/>
      <c r="I1556" s="101"/>
      <c r="J1556" s="101"/>
      <c r="K1556" s="101"/>
      <c r="L1556" s="101"/>
      <c r="M1556" s="101"/>
      <c r="N1556" s="101"/>
      <c r="O1556" s="101"/>
      <c r="P1556" s="101"/>
      <c r="Q1556" s="101"/>
      <c r="R1556" s="101"/>
      <c r="S1556" s="101"/>
      <c r="T1556" s="101"/>
      <c r="U1556" s="101"/>
      <c r="V1556" s="101"/>
      <c r="W1556" s="101"/>
      <c r="X1556" s="101"/>
      <c r="Y1556" s="114"/>
      <c r="Z1556" s="114"/>
      <c r="AA1556" s="114"/>
      <c r="AB1556" s="114"/>
      <c r="AC1556" s="114"/>
      <c r="AD1556" s="114"/>
      <c r="AE1556" s="114"/>
      <c r="AF1556" s="114"/>
      <c r="AG1556" s="114"/>
      <c r="AH1556" s="114"/>
      <c r="AI1556" s="114"/>
      <c r="AJ1556" s="114"/>
      <c r="AK1556" s="114"/>
      <c r="AL1556" s="114"/>
      <c r="AM1556" s="114"/>
      <c r="AN1556" s="114"/>
      <c r="AO1556" s="114"/>
      <c r="AP1556" s="114"/>
      <c r="AQ1556" s="114"/>
      <c r="AR1556" s="114"/>
      <c r="AS1556" s="114"/>
      <c r="AT1556" s="114"/>
      <c r="AU1556" s="114"/>
      <c r="AV1556" s="114"/>
      <c r="AW1556" s="114"/>
      <c r="AX1556" s="114"/>
      <c r="AY1556" s="114"/>
      <c r="AZ1556" s="114"/>
    </row>
    <row r="1557" spans="1:52">
      <c r="A1557" s="111"/>
      <c r="B1557" s="111"/>
      <c r="C1557" s="112"/>
      <c r="D1557" s="101"/>
      <c r="E1557" s="101"/>
      <c r="F1557" s="101"/>
      <c r="G1557" s="111"/>
      <c r="H1557" s="101"/>
      <c r="I1557" s="101"/>
      <c r="J1557" s="101"/>
      <c r="K1557" s="101"/>
      <c r="L1557" s="101"/>
      <c r="M1557" s="101"/>
      <c r="N1557" s="101"/>
      <c r="O1557" s="101"/>
      <c r="P1557" s="101"/>
      <c r="Q1557" s="101"/>
      <c r="R1557" s="101"/>
      <c r="S1557" s="101"/>
      <c r="T1557" s="101"/>
      <c r="U1557" s="101"/>
      <c r="V1557" s="101"/>
      <c r="W1557" s="101"/>
      <c r="X1557" s="101"/>
      <c r="Y1557" s="114"/>
      <c r="Z1557" s="114"/>
      <c r="AA1557" s="114"/>
      <c r="AB1557" s="114"/>
      <c r="AC1557" s="114"/>
      <c r="AD1557" s="114"/>
      <c r="AE1557" s="114"/>
      <c r="AF1557" s="114"/>
      <c r="AG1557" s="114"/>
      <c r="AH1557" s="114"/>
      <c r="AI1557" s="114"/>
      <c r="AJ1557" s="114"/>
      <c r="AK1557" s="114"/>
      <c r="AL1557" s="114"/>
      <c r="AM1557" s="114"/>
      <c r="AN1557" s="114"/>
      <c r="AO1557" s="114"/>
      <c r="AP1557" s="114"/>
      <c r="AQ1557" s="114"/>
      <c r="AR1557" s="114"/>
      <c r="AS1557" s="114"/>
      <c r="AT1557" s="114"/>
      <c r="AU1557" s="114"/>
      <c r="AV1557" s="114"/>
      <c r="AW1557" s="114"/>
      <c r="AX1557" s="114"/>
      <c r="AY1557" s="114"/>
      <c r="AZ1557" s="114"/>
    </row>
    <row r="1558" spans="1:52">
      <c r="A1558" s="111"/>
      <c r="B1558" s="111"/>
      <c r="C1558" s="112"/>
      <c r="D1558" s="101"/>
      <c r="E1558" s="101"/>
      <c r="F1558" s="101"/>
      <c r="G1558" s="111"/>
      <c r="H1558" s="101"/>
      <c r="I1558" s="101"/>
      <c r="J1558" s="101"/>
      <c r="K1558" s="101"/>
      <c r="L1558" s="101"/>
      <c r="M1558" s="101"/>
      <c r="N1558" s="101"/>
      <c r="O1558" s="101"/>
      <c r="P1558" s="101"/>
      <c r="Q1558" s="101"/>
      <c r="R1558" s="101"/>
      <c r="S1558" s="101"/>
      <c r="T1558" s="101"/>
      <c r="U1558" s="101"/>
      <c r="V1558" s="101"/>
      <c r="W1558" s="101"/>
      <c r="X1558" s="101"/>
      <c r="Y1558" s="114"/>
      <c r="Z1558" s="114"/>
      <c r="AA1558" s="114"/>
      <c r="AB1558" s="114"/>
      <c r="AC1558" s="114"/>
      <c r="AD1558" s="114"/>
      <c r="AE1558" s="114"/>
      <c r="AF1558" s="114"/>
      <c r="AG1558" s="114"/>
      <c r="AH1558" s="114"/>
      <c r="AI1558" s="114"/>
      <c r="AJ1558" s="114"/>
      <c r="AK1558" s="114"/>
      <c r="AL1558" s="114"/>
      <c r="AM1558" s="114"/>
      <c r="AN1558" s="114"/>
      <c r="AO1558" s="114"/>
      <c r="AP1558" s="114"/>
      <c r="AQ1558" s="114"/>
      <c r="AR1558" s="114"/>
      <c r="AS1558" s="114"/>
      <c r="AT1558" s="114"/>
      <c r="AU1558" s="114"/>
      <c r="AV1558" s="114"/>
      <c r="AW1558" s="114"/>
      <c r="AX1558" s="114"/>
      <c r="AY1558" s="114"/>
      <c r="AZ1558" s="114"/>
    </row>
    <row r="1559" spans="1:52">
      <c r="A1559" s="111"/>
      <c r="B1559" s="111"/>
      <c r="C1559" s="112"/>
      <c r="D1559" s="101"/>
      <c r="E1559" s="101"/>
      <c r="F1559" s="101"/>
      <c r="G1559" s="111"/>
      <c r="H1559" s="101"/>
      <c r="I1559" s="101"/>
      <c r="J1559" s="101"/>
      <c r="K1559" s="101"/>
      <c r="L1559" s="101"/>
      <c r="M1559" s="101"/>
      <c r="N1559" s="101"/>
      <c r="O1559" s="101"/>
      <c r="P1559" s="101"/>
      <c r="Q1559" s="101"/>
      <c r="R1559" s="101"/>
      <c r="S1559" s="101"/>
      <c r="T1559" s="101"/>
      <c r="U1559" s="101"/>
      <c r="V1559" s="101"/>
      <c r="W1559" s="101"/>
      <c r="X1559" s="101"/>
      <c r="Y1559" s="114"/>
      <c r="Z1559" s="114"/>
      <c r="AA1559" s="114"/>
      <c r="AB1559" s="114"/>
      <c r="AC1559" s="114"/>
      <c r="AD1559" s="114"/>
      <c r="AE1559" s="114"/>
      <c r="AF1559" s="114"/>
      <c r="AG1559" s="114"/>
      <c r="AH1559" s="114"/>
      <c r="AI1559" s="114"/>
      <c r="AJ1559" s="114"/>
      <c r="AK1559" s="114"/>
      <c r="AL1559" s="114"/>
      <c r="AM1559" s="114"/>
      <c r="AN1559" s="114"/>
      <c r="AO1559" s="114"/>
      <c r="AP1559" s="114"/>
      <c r="AQ1559" s="114"/>
      <c r="AR1559" s="114"/>
      <c r="AS1559" s="114"/>
      <c r="AT1559" s="114"/>
      <c r="AU1559" s="114"/>
      <c r="AV1559" s="114"/>
      <c r="AW1559" s="114"/>
      <c r="AX1559" s="114"/>
      <c r="AY1559" s="114"/>
      <c r="AZ1559" s="114"/>
    </row>
    <row r="1560" spans="1:52">
      <c r="A1560" s="111"/>
      <c r="B1560" s="111"/>
      <c r="C1560" s="112"/>
      <c r="D1560" s="101"/>
      <c r="E1560" s="101"/>
      <c r="F1560" s="101"/>
      <c r="G1560" s="111"/>
      <c r="H1560" s="101"/>
      <c r="I1560" s="101"/>
      <c r="J1560" s="101"/>
      <c r="K1560" s="101"/>
      <c r="L1560" s="101"/>
      <c r="M1560" s="101"/>
      <c r="N1560" s="101"/>
      <c r="O1560" s="101"/>
      <c r="P1560" s="101"/>
      <c r="Q1560" s="101"/>
      <c r="R1560" s="101"/>
      <c r="S1560" s="101"/>
      <c r="T1560" s="101"/>
      <c r="U1560" s="101"/>
      <c r="V1560" s="101"/>
      <c r="W1560" s="101"/>
      <c r="X1560" s="101"/>
      <c r="Y1560" s="114"/>
      <c r="Z1560" s="114"/>
      <c r="AA1560" s="114"/>
      <c r="AB1560" s="114"/>
      <c r="AC1560" s="114"/>
      <c r="AD1560" s="114"/>
      <c r="AE1560" s="114"/>
      <c r="AF1560" s="114"/>
      <c r="AG1560" s="114"/>
      <c r="AH1560" s="114"/>
      <c r="AI1560" s="114"/>
      <c r="AJ1560" s="114"/>
      <c r="AK1560" s="114"/>
      <c r="AL1560" s="114"/>
      <c r="AM1560" s="114"/>
      <c r="AN1560" s="114"/>
      <c r="AO1560" s="114"/>
      <c r="AP1560" s="114"/>
      <c r="AQ1560" s="114"/>
      <c r="AR1560" s="114"/>
      <c r="AS1560" s="114"/>
      <c r="AT1560" s="114"/>
      <c r="AU1560" s="114"/>
      <c r="AV1560" s="114"/>
      <c r="AW1560" s="114"/>
      <c r="AX1560" s="114"/>
      <c r="AY1560" s="114"/>
      <c r="AZ1560" s="114"/>
    </row>
    <row r="1561" spans="1:52">
      <c r="A1561" s="111"/>
      <c r="B1561" s="111"/>
      <c r="C1561" s="112"/>
      <c r="D1561" s="101"/>
      <c r="E1561" s="101"/>
      <c r="F1561" s="101"/>
      <c r="G1561" s="111"/>
      <c r="H1561" s="101"/>
      <c r="I1561" s="101"/>
      <c r="J1561" s="101"/>
      <c r="K1561" s="101"/>
      <c r="L1561" s="101"/>
      <c r="M1561" s="101"/>
      <c r="N1561" s="101"/>
      <c r="O1561" s="101"/>
      <c r="P1561" s="101"/>
      <c r="Q1561" s="101"/>
      <c r="R1561" s="101"/>
      <c r="S1561" s="101"/>
      <c r="T1561" s="101"/>
      <c r="U1561" s="101"/>
      <c r="V1561" s="101"/>
      <c r="W1561" s="101"/>
      <c r="X1561" s="101"/>
      <c r="Y1561" s="114"/>
      <c r="Z1561" s="114"/>
      <c r="AA1561" s="114"/>
      <c r="AB1561" s="114"/>
      <c r="AC1561" s="114"/>
      <c r="AD1561" s="114"/>
      <c r="AE1561" s="114"/>
      <c r="AF1561" s="114"/>
      <c r="AG1561" s="114"/>
      <c r="AH1561" s="114"/>
      <c r="AI1561" s="114"/>
      <c r="AJ1561" s="114"/>
      <c r="AK1561" s="114"/>
      <c r="AL1561" s="114"/>
      <c r="AM1561" s="114"/>
      <c r="AN1561" s="114"/>
      <c r="AO1561" s="114"/>
      <c r="AP1561" s="114"/>
      <c r="AQ1561" s="114"/>
      <c r="AR1561" s="114"/>
      <c r="AS1561" s="114"/>
      <c r="AT1561" s="114"/>
      <c r="AU1561" s="114"/>
      <c r="AV1561" s="114"/>
      <c r="AW1561" s="114"/>
      <c r="AX1561" s="114"/>
      <c r="AY1561" s="114"/>
      <c r="AZ1561" s="114"/>
    </row>
    <row r="1562" spans="1:52">
      <c r="A1562" s="111"/>
      <c r="B1562" s="111"/>
      <c r="C1562" s="112"/>
      <c r="D1562" s="101"/>
      <c r="E1562" s="101"/>
      <c r="F1562" s="101"/>
      <c r="G1562" s="111"/>
      <c r="H1562" s="101"/>
      <c r="I1562" s="101"/>
      <c r="J1562" s="101"/>
      <c r="K1562" s="101"/>
      <c r="L1562" s="101"/>
      <c r="M1562" s="101"/>
      <c r="N1562" s="101"/>
      <c r="O1562" s="101"/>
      <c r="P1562" s="101"/>
      <c r="Q1562" s="101"/>
      <c r="R1562" s="101"/>
      <c r="S1562" s="101"/>
      <c r="T1562" s="101"/>
      <c r="U1562" s="101"/>
      <c r="V1562" s="101"/>
      <c r="W1562" s="101"/>
      <c r="X1562" s="101"/>
      <c r="Y1562" s="114"/>
      <c r="Z1562" s="114"/>
      <c r="AA1562" s="114"/>
      <c r="AB1562" s="114"/>
      <c r="AC1562" s="114"/>
      <c r="AD1562" s="114"/>
      <c r="AE1562" s="114"/>
      <c r="AF1562" s="114"/>
      <c r="AG1562" s="114"/>
      <c r="AH1562" s="114"/>
      <c r="AI1562" s="114"/>
      <c r="AJ1562" s="114"/>
      <c r="AK1562" s="114"/>
      <c r="AL1562" s="114"/>
      <c r="AM1562" s="114"/>
      <c r="AN1562" s="114"/>
      <c r="AO1562" s="114"/>
      <c r="AP1562" s="114"/>
      <c r="AQ1562" s="114"/>
      <c r="AR1562" s="114"/>
      <c r="AS1562" s="114"/>
      <c r="AT1562" s="114"/>
      <c r="AU1562" s="114"/>
      <c r="AV1562" s="114"/>
      <c r="AW1562" s="114"/>
      <c r="AX1562" s="114"/>
      <c r="AY1562" s="114"/>
      <c r="AZ1562" s="114"/>
    </row>
    <row r="1563" spans="1:52">
      <c r="A1563" s="111"/>
      <c r="B1563" s="111"/>
      <c r="C1563" s="112"/>
      <c r="D1563" s="101"/>
      <c r="E1563" s="101"/>
      <c r="F1563" s="101"/>
      <c r="G1563" s="111"/>
      <c r="H1563" s="101"/>
      <c r="I1563" s="101"/>
      <c r="J1563" s="101"/>
      <c r="K1563" s="101"/>
      <c r="L1563" s="101"/>
      <c r="M1563" s="101"/>
      <c r="N1563" s="101"/>
      <c r="O1563" s="101"/>
      <c r="P1563" s="101"/>
      <c r="Q1563" s="101"/>
      <c r="R1563" s="101"/>
      <c r="S1563" s="101"/>
      <c r="T1563" s="101"/>
      <c r="U1563" s="101"/>
      <c r="V1563" s="101"/>
      <c r="W1563" s="101"/>
      <c r="X1563" s="101"/>
      <c r="Y1563" s="114"/>
      <c r="Z1563" s="114"/>
      <c r="AA1563" s="114"/>
      <c r="AB1563" s="114"/>
      <c r="AC1563" s="114"/>
      <c r="AD1563" s="114"/>
      <c r="AE1563" s="114"/>
      <c r="AF1563" s="114"/>
      <c r="AG1563" s="114"/>
      <c r="AH1563" s="114"/>
      <c r="AI1563" s="114"/>
      <c r="AJ1563" s="114"/>
      <c r="AK1563" s="114"/>
      <c r="AL1563" s="114"/>
      <c r="AM1563" s="114"/>
      <c r="AN1563" s="114"/>
      <c r="AO1563" s="114"/>
      <c r="AP1563" s="114"/>
      <c r="AQ1563" s="114"/>
      <c r="AR1563" s="114"/>
      <c r="AS1563" s="114"/>
      <c r="AT1563" s="114"/>
      <c r="AU1563" s="114"/>
      <c r="AV1563" s="114"/>
      <c r="AW1563" s="114"/>
      <c r="AX1563" s="114"/>
      <c r="AY1563" s="114"/>
      <c r="AZ1563" s="114"/>
    </row>
    <row r="1564" spans="1:52">
      <c r="A1564" s="111"/>
      <c r="B1564" s="111"/>
      <c r="C1564" s="112"/>
      <c r="D1564" s="101"/>
      <c r="E1564" s="101"/>
      <c r="F1564" s="101"/>
      <c r="G1564" s="111"/>
      <c r="H1564" s="101"/>
      <c r="I1564" s="101"/>
      <c r="J1564" s="101"/>
      <c r="K1564" s="101"/>
      <c r="L1564" s="101"/>
      <c r="M1564" s="101"/>
      <c r="N1564" s="101"/>
      <c r="O1564" s="101"/>
      <c r="P1564" s="101"/>
      <c r="Q1564" s="101"/>
      <c r="R1564" s="101"/>
      <c r="S1564" s="101"/>
      <c r="T1564" s="101"/>
      <c r="U1564" s="101"/>
      <c r="V1564" s="101"/>
      <c r="W1564" s="101"/>
      <c r="X1564" s="101"/>
      <c r="Y1564" s="114"/>
      <c r="Z1564" s="114"/>
      <c r="AA1564" s="114"/>
      <c r="AB1564" s="114"/>
      <c r="AC1564" s="114"/>
      <c r="AD1564" s="114"/>
      <c r="AE1564" s="114"/>
      <c r="AF1564" s="114"/>
      <c r="AG1564" s="114"/>
      <c r="AH1564" s="114"/>
      <c r="AI1564" s="114"/>
      <c r="AJ1564" s="114"/>
      <c r="AK1564" s="114"/>
      <c r="AL1564" s="114"/>
      <c r="AM1564" s="114"/>
      <c r="AN1564" s="114"/>
      <c r="AO1564" s="114"/>
      <c r="AP1564" s="114"/>
      <c r="AQ1564" s="114"/>
      <c r="AR1564" s="114"/>
      <c r="AS1564" s="114"/>
      <c r="AT1564" s="114"/>
      <c r="AU1564" s="114"/>
      <c r="AV1564" s="114"/>
      <c r="AW1564" s="114"/>
      <c r="AX1564" s="114"/>
      <c r="AY1564" s="114"/>
      <c r="AZ1564" s="114"/>
    </row>
    <row r="1565" spans="1:52">
      <c r="A1565" s="111"/>
      <c r="B1565" s="111"/>
      <c r="C1565" s="112"/>
      <c r="D1565" s="101"/>
      <c r="E1565" s="101"/>
      <c r="F1565" s="101"/>
      <c r="G1565" s="111"/>
      <c r="H1565" s="101"/>
      <c r="I1565" s="101"/>
      <c r="J1565" s="101"/>
      <c r="K1565" s="101"/>
      <c r="L1565" s="101"/>
      <c r="M1565" s="101"/>
      <c r="N1565" s="101"/>
      <c r="O1565" s="101"/>
      <c r="P1565" s="101"/>
      <c r="Q1565" s="101"/>
      <c r="R1565" s="101"/>
      <c r="S1565" s="101"/>
      <c r="T1565" s="101"/>
      <c r="U1565" s="101"/>
      <c r="V1565" s="101"/>
      <c r="W1565" s="101"/>
      <c r="X1565" s="101"/>
      <c r="Y1565" s="114"/>
      <c r="Z1565" s="114"/>
      <c r="AA1565" s="114"/>
      <c r="AB1565" s="114"/>
      <c r="AC1565" s="114"/>
      <c r="AD1565" s="114"/>
      <c r="AE1565" s="114"/>
      <c r="AF1565" s="114"/>
      <c r="AG1565" s="114"/>
      <c r="AH1565" s="114"/>
      <c r="AI1565" s="114"/>
      <c r="AJ1565" s="114"/>
      <c r="AK1565" s="114"/>
      <c r="AL1565" s="114"/>
      <c r="AM1565" s="114"/>
      <c r="AN1565" s="114"/>
      <c r="AO1565" s="114"/>
      <c r="AP1565" s="114"/>
      <c r="AQ1565" s="114"/>
      <c r="AR1565" s="114"/>
      <c r="AS1565" s="114"/>
      <c r="AT1565" s="114"/>
      <c r="AU1565" s="114"/>
      <c r="AV1565" s="114"/>
      <c r="AW1565" s="114"/>
      <c r="AX1565" s="114"/>
      <c r="AY1565" s="114"/>
      <c r="AZ1565" s="114"/>
    </row>
    <row r="1566" spans="1:52">
      <c r="A1566" s="111"/>
      <c r="B1566" s="111"/>
      <c r="C1566" s="112"/>
      <c r="D1566" s="101"/>
      <c r="E1566" s="101"/>
      <c r="F1566" s="101"/>
      <c r="G1566" s="111"/>
      <c r="H1566" s="101"/>
      <c r="I1566" s="101"/>
      <c r="J1566" s="101"/>
      <c r="K1566" s="101"/>
      <c r="L1566" s="101"/>
      <c r="M1566" s="101"/>
      <c r="N1566" s="101"/>
      <c r="O1566" s="101"/>
      <c r="P1566" s="101"/>
      <c r="Q1566" s="101"/>
      <c r="R1566" s="101"/>
      <c r="S1566" s="101"/>
      <c r="T1566" s="101"/>
      <c r="U1566" s="101"/>
      <c r="V1566" s="101"/>
      <c r="W1566" s="101"/>
      <c r="X1566" s="101"/>
      <c r="Y1566" s="114"/>
      <c r="Z1566" s="114"/>
      <c r="AA1566" s="114"/>
      <c r="AB1566" s="114"/>
      <c r="AC1566" s="114"/>
      <c r="AD1566" s="114"/>
      <c r="AE1566" s="114"/>
      <c r="AF1566" s="114"/>
      <c r="AG1566" s="114"/>
      <c r="AH1566" s="114"/>
      <c r="AI1566" s="114"/>
      <c r="AJ1566" s="114"/>
      <c r="AK1566" s="114"/>
      <c r="AL1566" s="114"/>
      <c r="AM1566" s="114"/>
      <c r="AN1566" s="114"/>
      <c r="AO1566" s="114"/>
      <c r="AP1566" s="114"/>
      <c r="AQ1566" s="114"/>
      <c r="AR1566" s="114"/>
      <c r="AS1566" s="114"/>
      <c r="AT1566" s="114"/>
      <c r="AU1566" s="114"/>
      <c r="AV1566" s="114"/>
      <c r="AW1566" s="114"/>
      <c r="AX1566" s="114"/>
      <c r="AY1566" s="114"/>
      <c r="AZ1566" s="114"/>
    </row>
    <row r="1567" spans="1:52">
      <c r="A1567" s="111"/>
      <c r="B1567" s="111"/>
      <c r="C1567" s="112"/>
      <c r="D1567" s="101"/>
      <c r="E1567" s="101"/>
      <c r="F1567" s="101"/>
      <c r="G1567" s="111"/>
      <c r="H1567" s="101"/>
      <c r="I1567" s="101"/>
      <c r="J1567" s="101"/>
      <c r="K1567" s="101"/>
      <c r="L1567" s="101"/>
      <c r="M1567" s="101"/>
      <c r="N1567" s="101"/>
      <c r="O1567" s="101"/>
      <c r="P1567" s="101"/>
      <c r="Q1567" s="101"/>
      <c r="R1567" s="101"/>
      <c r="S1567" s="101"/>
      <c r="T1567" s="101"/>
      <c r="U1567" s="101"/>
      <c r="V1567" s="101"/>
      <c r="W1567" s="101"/>
      <c r="X1567" s="101"/>
      <c r="Y1567" s="114"/>
      <c r="Z1567" s="114"/>
      <c r="AA1567" s="114"/>
      <c r="AB1567" s="114"/>
      <c r="AC1567" s="114"/>
      <c r="AD1567" s="114"/>
      <c r="AE1567" s="114"/>
      <c r="AF1567" s="114"/>
      <c r="AG1567" s="114"/>
      <c r="AH1567" s="114"/>
      <c r="AI1567" s="114"/>
      <c r="AJ1567" s="114"/>
      <c r="AK1567" s="114"/>
      <c r="AL1567" s="114"/>
      <c r="AM1567" s="114"/>
      <c r="AN1567" s="114"/>
      <c r="AO1567" s="114"/>
      <c r="AP1567" s="114"/>
      <c r="AQ1567" s="114"/>
      <c r="AR1567" s="114"/>
      <c r="AS1567" s="114"/>
      <c r="AT1567" s="114"/>
      <c r="AU1567" s="114"/>
      <c r="AV1567" s="114"/>
      <c r="AW1567" s="114"/>
      <c r="AX1567" s="114"/>
      <c r="AY1567" s="114"/>
      <c r="AZ1567" s="114"/>
    </row>
    <row r="1568" spans="1:52">
      <c r="A1568" s="111"/>
      <c r="B1568" s="111"/>
      <c r="C1568" s="112"/>
      <c r="D1568" s="101"/>
      <c r="E1568" s="101"/>
      <c r="F1568" s="101"/>
      <c r="G1568" s="111"/>
      <c r="H1568" s="101"/>
      <c r="I1568" s="101"/>
      <c r="J1568" s="101"/>
      <c r="K1568" s="101"/>
      <c r="L1568" s="101"/>
      <c r="M1568" s="101"/>
      <c r="N1568" s="101"/>
      <c r="O1568" s="101"/>
      <c r="P1568" s="101"/>
      <c r="Q1568" s="101"/>
      <c r="R1568" s="101"/>
      <c r="S1568" s="101"/>
      <c r="T1568" s="101"/>
      <c r="U1568" s="101"/>
      <c r="V1568" s="101"/>
      <c r="W1568" s="101"/>
      <c r="X1568" s="101"/>
      <c r="Y1568" s="114"/>
      <c r="Z1568" s="114"/>
      <c r="AA1568" s="114"/>
      <c r="AB1568" s="114"/>
      <c r="AC1568" s="114"/>
      <c r="AD1568" s="114"/>
      <c r="AE1568" s="114"/>
      <c r="AF1568" s="114"/>
      <c r="AG1568" s="114"/>
      <c r="AH1568" s="114"/>
      <c r="AI1568" s="114"/>
      <c r="AJ1568" s="114"/>
      <c r="AK1568" s="114"/>
      <c r="AL1568" s="114"/>
      <c r="AM1568" s="114"/>
      <c r="AN1568" s="114"/>
      <c r="AO1568" s="114"/>
      <c r="AP1568" s="114"/>
      <c r="AQ1568" s="114"/>
      <c r="AR1568" s="114"/>
      <c r="AS1568" s="114"/>
      <c r="AT1568" s="114"/>
      <c r="AU1568" s="114"/>
      <c r="AV1568" s="114"/>
      <c r="AW1568" s="114"/>
      <c r="AX1568" s="114"/>
      <c r="AY1568" s="114"/>
      <c r="AZ1568" s="114"/>
    </row>
    <row r="1569" spans="1:52">
      <c r="A1569" s="111"/>
      <c r="B1569" s="111"/>
      <c r="C1569" s="112"/>
      <c r="D1569" s="101"/>
      <c r="E1569" s="101"/>
      <c r="F1569" s="101"/>
      <c r="G1569" s="111"/>
      <c r="H1569" s="101"/>
      <c r="I1569" s="101"/>
      <c r="J1569" s="101"/>
      <c r="K1569" s="101"/>
      <c r="L1569" s="101"/>
      <c r="M1569" s="101"/>
      <c r="N1569" s="101"/>
      <c r="O1569" s="101"/>
      <c r="P1569" s="101"/>
      <c r="Q1569" s="101"/>
      <c r="R1569" s="101"/>
      <c r="S1569" s="101"/>
      <c r="T1569" s="101"/>
      <c r="U1569" s="101"/>
      <c r="V1569" s="101"/>
      <c r="W1569" s="101"/>
      <c r="X1569" s="101"/>
      <c r="Y1569" s="114"/>
      <c r="Z1569" s="114"/>
      <c r="AA1569" s="114"/>
      <c r="AB1569" s="114"/>
      <c r="AC1569" s="114"/>
      <c r="AD1569" s="114"/>
      <c r="AE1569" s="114"/>
      <c r="AF1569" s="114"/>
      <c r="AG1569" s="114"/>
      <c r="AH1569" s="114"/>
      <c r="AI1569" s="114"/>
      <c r="AJ1569" s="114"/>
      <c r="AK1569" s="114"/>
      <c r="AL1569" s="114"/>
      <c r="AM1569" s="114"/>
      <c r="AN1569" s="114"/>
      <c r="AO1569" s="114"/>
      <c r="AP1569" s="114"/>
      <c r="AQ1569" s="114"/>
      <c r="AR1569" s="114"/>
      <c r="AS1569" s="114"/>
      <c r="AT1569" s="114"/>
      <c r="AU1569" s="114"/>
      <c r="AV1569" s="114"/>
      <c r="AW1569" s="114"/>
      <c r="AX1569" s="114"/>
      <c r="AY1569" s="114"/>
      <c r="AZ1569" s="114"/>
    </row>
    <row r="1570" spans="1:52">
      <c r="A1570" s="111"/>
      <c r="B1570" s="111"/>
      <c r="C1570" s="112"/>
      <c r="D1570" s="101"/>
      <c r="E1570" s="101"/>
      <c r="F1570" s="101"/>
      <c r="G1570" s="111"/>
      <c r="H1570" s="101"/>
      <c r="I1570" s="101"/>
      <c r="J1570" s="101"/>
      <c r="K1570" s="101"/>
      <c r="L1570" s="101"/>
      <c r="M1570" s="101"/>
      <c r="N1570" s="101"/>
      <c r="O1570" s="101"/>
      <c r="P1570" s="101"/>
      <c r="Q1570" s="101"/>
      <c r="R1570" s="101"/>
      <c r="S1570" s="101"/>
      <c r="T1570" s="101"/>
      <c r="U1570" s="101"/>
      <c r="V1570" s="101"/>
      <c r="W1570" s="101"/>
      <c r="X1570" s="101"/>
      <c r="Y1570" s="114"/>
      <c r="Z1570" s="114"/>
      <c r="AA1570" s="114"/>
      <c r="AB1570" s="114"/>
      <c r="AC1570" s="114"/>
      <c r="AD1570" s="114"/>
      <c r="AE1570" s="114"/>
      <c r="AF1570" s="114"/>
      <c r="AG1570" s="114"/>
      <c r="AH1570" s="114"/>
      <c r="AI1570" s="114"/>
      <c r="AJ1570" s="114"/>
      <c r="AK1570" s="114"/>
      <c r="AL1570" s="114"/>
      <c r="AM1570" s="114"/>
      <c r="AN1570" s="114"/>
      <c r="AO1570" s="114"/>
      <c r="AP1570" s="114"/>
      <c r="AQ1570" s="114"/>
      <c r="AR1570" s="114"/>
      <c r="AS1570" s="114"/>
      <c r="AT1570" s="114"/>
      <c r="AU1570" s="114"/>
      <c r="AV1570" s="114"/>
      <c r="AW1570" s="114"/>
      <c r="AX1570" s="114"/>
      <c r="AY1570" s="114"/>
      <c r="AZ1570" s="114"/>
    </row>
    <row r="1571" spans="1:52">
      <c r="A1571" s="111"/>
      <c r="B1571" s="111"/>
      <c r="C1571" s="112"/>
      <c r="D1571" s="101"/>
      <c r="E1571" s="101"/>
      <c r="F1571" s="101"/>
      <c r="G1571" s="111"/>
      <c r="H1571" s="101"/>
      <c r="I1571" s="101"/>
      <c r="J1571" s="101"/>
      <c r="K1571" s="101"/>
      <c r="L1571" s="101"/>
      <c r="M1571" s="101"/>
      <c r="N1571" s="101"/>
      <c r="O1571" s="101"/>
      <c r="P1571" s="101"/>
      <c r="Q1571" s="101"/>
      <c r="R1571" s="101"/>
      <c r="S1571" s="101"/>
      <c r="T1571" s="101"/>
      <c r="U1571" s="101"/>
      <c r="V1571" s="101"/>
      <c r="W1571" s="101"/>
      <c r="X1571" s="101"/>
      <c r="Y1571" s="114"/>
      <c r="Z1571" s="114"/>
      <c r="AA1571" s="114"/>
      <c r="AB1571" s="114"/>
      <c r="AC1571" s="114"/>
      <c r="AD1571" s="114"/>
      <c r="AE1571" s="114"/>
      <c r="AF1571" s="114"/>
      <c r="AG1571" s="114"/>
      <c r="AH1571" s="114"/>
      <c r="AI1571" s="114"/>
      <c r="AJ1571" s="114"/>
      <c r="AK1571" s="114"/>
      <c r="AL1571" s="114"/>
      <c r="AM1571" s="114"/>
      <c r="AN1571" s="114"/>
      <c r="AO1571" s="114"/>
      <c r="AP1571" s="114"/>
      <c r="AQ1571" s="114"/>
      <c r="AR1571" s="114"/>
      <c r="AS1571" s="114"/>
      <c r="AT1571" s="114"/>
      <c r="AU1571" s="114"/>
      <c r="AV1571" s="114"/>
      <c r="AW1571" s="114"/>
      <c r="AX1571" s="114"/>
      <c r="AY1571" s="114"/>
      <c r="AZ1571" s="114"/>
    </row>
    <row r="1572" spans="1:52">
      <c r="A1572" s="111"/>
      <c r="B1572" s="111"/>
      <c r="C1572" s="112"/>
      <c r="D1572" s="101"/>
      <c r="E1572" s="101"/>
      <c r="F1572" s="101"/>
      <c r="G1572" s="111"/>
      <c r="H1572" s="101"/>
      <c r="I1572" s="101"/>
      <c r="J1572" s="101"/>
      <c r="K1572" s="101"/>
      <c r="L1572" s="101"/>
      <c r="M1572" s="101"/>
      <c r="N1572" s="101"/>
      <c r="O1572" s="101"/>
      <c r="P1572" s="101"/>
      <c r="Q1572" s="101"/>
      <c r="R1572" s="101"/>
      <c r="S1572" s="101"/>
      <c r="T1572" s="101"/>
      <c r="U1572" s="101"/>
      <c r="V1572" s="101"/>
      <c r="W1572" s="101"/>
      <c r="X1572" s="101"/>
      <c r="Y1572" s="114"/>
      <c r="Z1572" s="114"/>
      <c r="AA1572" s="114"/>
      <c r="AB1572" s="114"/>
      <c r="AC1572" s="114"/>
      <c r="AD1572" s="114"/>
      <c r="AE1572" s="114"/>
      <c r="AF1572" s="114"/>
      <c r="AG1572" s="114"/>
      <c r="AH1572" s="114"/>
      <c r="AI1572" s="114"/>
      <c r="AJ1572" s="114"/>
      <c r="AK1572" s="114"/>
      <c r="AL1572" s="114"/>
      <c r="AM1572" s="114"/>
      <c r="AN1572" s="114"/>
      <c r="AO1572" s="114"/>
      <c r="AP1572" s="114"/>
      <c r="AQ1572" s="114"/>
      <c r="AR1572" s="114"/>
      <c r="AS1572" s="114"/>
      <c r="AT1572" s="114"/>
      <c r="AU1572" s="114"/>
      <c r="AV1572" s="114"/>
      <c r="AW1572" s="114"/>
      <c r="AX1572" s="114"/>
      <c r="AY1572" s="114"/>
      <c r="AZ1572" s="114"/>
    </row>
    <row r="1573" spans="1:52">
      <c r="A1573" s="111"/>
      <c r="B1573" s="111"/>
      <c r="C1573" s="112"/>
      <c r="D1573" s="101"/>
      <c r="E1573" s="101"/>
      <c r="F1573" s="101"/>
      <c r="G1573" s="111"/>
      <c r="H1573" s="101"/>
      <c r="I1573" s="101"/>
      <c r="J1573" s="101"/>
      <c r="K1573" s="101"/>
      <c r="L1573" s="101"/>
      <c r="M1573" s="101"/>
      <c r="N1573" s="101"/>
      <c r="O1573" s="101"/>
      <c r="P1573" s="101"/>
      <c r="Q1573" s="101"/>
      <c r="R1573" s="101"/>
      <c r="S1573" s="101"/>
      <c r="T1573" s="101"/>
      <c r="U1573" s="101"/>
      <c r="V1573" s="101"/>
      <c r="W1573" s="101"/>
      <c r="X1573" s="101"/>
      <c r="Y1573" s="114"/>
      <c r="Z1573" s="114"/>
      <c r="AA1573" s="114"/>
      <c r="AB1573" s="114"/>
      <c r="AC1573" s="114"/>
      <c r="AD1573" s="114"/>
      <c r="AE1573" s="114"/>
      <c r="AF1573" s="114"/>
      <c r="AG1573" s="114"/>
      <c r="AH1573" s="114"/>
      <c r="AI1573" s="114"/>
      <c r="AJ1573" s="114"/>
      <c r="AK1573" s="114"/>
      <c r="AL1573" s="114"/>
      <c r="AM1573" s="114"/>
      <c r="AN1573" s="114"/>
      <c r="AO1573" s="114"/>
      <c r="AP1573" s="114"/>
      <c r="AQ1573" s="114"/>
      <c r="AR1573" s="114"/>
      <c r="AS1573" s="114"/>
      <c r="AT1573" s="114"/>
      <c r="AU1573" s="114"/>
      <c r="AV1573" s="114"/>
      <c r="AW1573" s="114"/>
      <c r="AX1573" s="114"/>
      <c r="AY1573" s="114"/>
      <c r="AZ1573" s="114"/>
    </row>
    <row r="1574" spans="1:52">
      <c r="A1574" s="111"/>
      <c r="B1574" s="111"/>
      <c r="C1574" s="112"/>
      <c r="D1574" s="101"/>
      <c r="E1574" s="101"/>
      <c r="F1574" s="101"/>
      <c r="G1574" s="111"/>
      <c r="H1574" s="101"/>
      <c r="I1574" s="101"/>
      <c r="J1574" s="101"/>
      <c r="K1574" s="101"/>
      <c r="L1574" s="101"/>
      <c r="M1574" s="101"/>
      <c r="N1574" s="101"/>
      <c r="O1574" s="101"/>
      <c r="P1574" s="101"/>
      <c r="Q1574" s="101"/>
      <c r="R1574" s="101"/>
      <c r="S1574" s="101"/>
      <c r="T1574" s="101"/>
      <c r="U1574" s="101"/>
      <c r="V1574" s="101"/>
      <c r="W1574" s="101"/>
      <c r="X1574" s="101"/>
      <c r="Y1574" s="114"/>
      <c r="Z1574" s="114"/>
      <c r="AA1574" s="114"/>
      <c r="AB1574" s="114"/>
      <c r="AC1574" s="114"/>
      <c r="AD1574" s="114"/>
      <c r="AE1574" s="114"/>
      <c r="AF1574" s="114"/>
      <c r="AG1574" s="114"/>
      <c r="AH1574" s="114"/>
      <c r="AI1574" s="114"/>
      <c r="AJ1574" s="114"/>
      <c r="AK1574" s="114"/>
      <c r="AL1574" s="114"/>
      <c r="AM1574" s="114"/>
      <c r="AN1574" s="114"/>
      <c r="AO1574" s="114"/>
      <c r="AP1574" s="114"/>
      <c r="AQ1574" s="114"/>
      <c r="AR1574" s="114"/>
      <c r="AS1574" s="114"/>
      <c r="AT1574" s="114"/>
      <c r="AU1574" s="114"/>
      <c r="AV1574" s="114"/>
      <c r="AW1574" s="114"/>
      <c r="AX1574" s="114"/>
      <c r="AY1574" s="114"/>
      <c r="AZ1574" s="114"/>
    </row>
    <row r="1575" spans="1:52">
      <c r="A1575" s="111"/>
      <c r="B1575" s="111"/>
      <c r="C1575" s="112"/>
      <c r="D1575" s="101"/>
      <c r="E1575" s="101"/>
      <c r="F1575" s="101"/>
      <c r="G1575" s="111"/>
      <c r="H1575" s="101"/>
      <c r="I1575" s="101"/>
      <c r="J1575" s="101"/>
      <c r="K1575" s="101"/>
      <c r="L1575" s="101"/>
      <c r="M1575" s="101"/>
      <c r="N1575" s="101"/>
      <c r="O1575" s="101"/>
      <c r="P1575" s="101"/>
      <c r="Q1575" s="101"/>
      <c r="R1575" s="101"/>
      <c r="S1575" s="101"/>
      <c r="T1575" s="101"/>
      <c r="U1575" s="101"/>
      <c r="V1575" s="101"/>
      <c r="W1575" s="101"/>
      <c r="X1575" s="101"/>
      <c r="Y1575" s="114"/>
      <c r="Z1575" s="114"/>
      <c r="AA1575" s="114"/>
      <c r="AB1575" s="114"/>
      <c r="AC1575" s="114"/>
      <c r="AD1575" s="114"/>
      <c r="AE1575" s="114"/>
      <c r="AF1575" s="114"/>
      <c r="AG1575" s="114"/>
      <c r="AH1575" s="114"/>
      <c r="AI1575" s="114"/>
      <c r="AJ1575" s="114"/>
      <c r="AK1575" s="114"/>
      <c r="AL1575" s="114"/>
      <c r="AM1575" s="114"/>
      <c r="AN1575" s="114"/>
      <c r="AO1575" s="114"/>
      <c r="AP1575" s="114"/>
      <c r="AQ1575" s="114"/>
      <c r="AR1575" s="114"/>
      <c r="AS1575" s="114"/>
      <c r="AT1575" s="114"/>
      <c r="AU1575" s="114"/>
      <c r="AV1575" s="114"/>
      <c r="AW1575" s="114"/>
      <c r="AX1575" s="114"/>
      <c r="AY1575" s="114"/>
      <c r="AZ1575" s="114"/>
    </row>
    <row r="1576" spans="1:52">
      <c r="A1576" s="111"/>
      <c r="B1576" s="111"/>
      <c r="C1576" s="112"/>
      <c r="D1576" s="101"/>
      <c r="E1576" s="101"/>
      <c r="F1576" s="101"/>
      <c r="G1576" s="111"/>
      <c r="H1576" s="101"/>
      <c r="I1576" s="101"/>
      <c r="J1576" s="101"/>
      <c r="K1576" s="101"/>
      <c r="L1576" s="101"/>
      <c r="M1576" s="101"/>
      <c r="N1576" s="101"/>
      <c r="O1576" s="101"/>
      <c r="P1576" s="101"/>
      <c r="Q1576" s="101"/>
      <c r="R1576" s="101"/>
      <c r="S1576" s="101"/>
      <c r="T1576" s="101"/>
      <c r="U1576" s="101"/>
      <c r="V1576" s="101"/>
      <c r="W1576" s="101"/>
      <c r="X1576" s="101"/>
      <c r="Y1576" s="114"/>
      <c r="Z1576" s="114"/>
      <c r="AA1576" s="114"/>
      <c r="AB1576" s="114"/>
      <c r="AC1576" s="114"/>
      <c r="AD1576" s="114"/>
      <c r="AE1576" s="114"/>
      <c r="AF1576" s="114"/>
      <c r="AG1576" s="114"/>
      <c r="AH1576" s="114"/>
      <c r="AI1576" s="114"/>
      <c r="AJ1576" s="114"/>
      <c r="AK1576" s="114"/>
      <c r="AL1576" s="114"/>
      <c r="AM1576" s="114"/>
      <c r="AN1576" s="114"/>
      <c r="AO1576" s="114"/>
      <c r="AP1576" s="114"/>
      <c r="AQ1576" s="114"/>
      <c r="AR1576" s="114"/>
      <c r="AS1576" s="114"/>
      <c r="AT1576" s="114"/>
      <c r="AU1576" s="114"/>
      <c r="AV1576" s="114"/>
      <c r="AW1576" s="114"/>
      <c r="AX1576" s="114"/>
      <c r="AY1576" s="114"/>
      <c r="AZ1576" s="114"/>
    </row>
    <row r="1577" spans="1:52">
      <c r="A1577" s="111"/>
      <c r="B1577" s="111"/>
      <c r="C1577" s="112"/>
      <c r="D1577" s="101"/>
      <c r="E1577" s="101"/>
      <c r="F1577" s="101"/>
      <c r="G1577" s="111"/>
      <c r="H1577" s="101"/>
      <c r="I1577" s="101"/>
      <c r="J1577" s="101"/>
      <c r="K1577" s="101"/>
      <c r="L1577" s="101"/>
      <c r="M1577" s="101"/>
      <c r="N1577" s="101"/>
      <c r="O1577" s="101"/>
      <c r="P1577" s="101"/>
      <c r="Q1577" s="101"/>
      <c r="R1577" s="101"/>
      <c r="S1577" s="101"/>
      <c r="T1577" s="101"/>
      <c r="U1577" s="101"/>
      <c r="V1577" s="101"/>
      <c r="W1577" s="101"/>
      <c r="X1577" s="101"/>
      <c r="Y1577" s="114"/>
      <c r="Z1577" s="114"/>
      <c r="AA1577" s="114"/>
      <c r="AB1577" s="114"/>
      <c r="AC1577" s="114"/>
      <c r="AD1577" s="114"/>
      <c r="AE1577" s="114"/>
      <c r="AF1577" s="114"/>
      <c r="AG1577" s="114"/>
      <c r="AH1577" s="114"/>
      <c r="AI1577" s="114"/>
      <c r="AJ1577" s="114"/>
      <c r="AK1577" s="114"/>
      <c r="AL1577" s="114"/>
      <c r="AM1577" s="114"/>
      <c r="AN1577" s="114"/>
      <c r="AO1577" s="114"/>
      <c r="AP1577" s="114"/>
      <c r="AQ1577" s="114"/>
      <c r="AR1577" s="114"/>
      <c r="AS1577" s="114"/>
      <c r="AT1577" s="114"/>
      <c r="AU1577" s="114"/>
      <c r="AV1577" s="114"/>
      <c r="AW1577" s="114"/>
      <c r="AX1577" s="114"/>
      <c r="AY1577" s="114"/>
      <c r="AZ1577" s="114"/>
    </row>
    <row r="1578" spans="1:52">
      <c r="A1578" s="111"/>
      <c r="B1578" s="111"/>
      <c r="C1578" s="112"/>
      <c r="D1578" s="101"/>
      <c r="E1578" s="101"/>
      <c r="F1578" s="101"/>
      <c r="G1578" s="111"/>
      <c r="H1578" s="101"/>
      <c r="I1578" s="101"/>
      <c r="J1578" s="101"/>
      <c r="K1578" s="101"/>
      <c r="L1578" s="101"/>
      <c r="M1578" s="101"/>
      <c r="N1578" s="101"/>
      <c r="O1578" s="101"/>
      <c r="P1578" s="101"/>
      <c r="Q1578" s="101"/>
      <c r="R1578" s="101"/>
      <c r="S1578" s="101"/>
      <c r="T1578" s="101"/>
      <c r="U1578" s="101"/>
      <c r="V1578" s="101"/>
      <c r="W1578" s="101"/>
      <c r="X1578" s="101"/>
      <c r="Y1578" s="114"/>
      <c r="Z1578" s="114"/>
      <c r="AA1578" s="114"/>
      <c r="AB1578" s="114"/>
      <c r="AC1578" s="114"/>
      <c r="AD1578" s="114"/>
      <c r="AE1578" s="114"/>
      <c r="AF1578" s="114"/>
      <c r="AG1578" s="114"/>
      <c r="AH1578" s="114"/>
      <c r="AI1578" s="114"/>
      <c r="AJ1578" s="114"/>
      <c r="AK1578" s="114"/>
      <c r="AL1578" s="114"/>
      <c r="AM1578" s="114"/>
      <c r="AN1578" s="114"/>
      <c r="AO1578" s="114"/>
      <c r="AP1578" s="114"/>
      <c r="AQ1578" s="114"/>
      <c r="AR1578" s="114"/>
      <c r="AS1578" s="114"/>
      <c r="AT1578" s="114"/>
      <c r="AU1578" s="114"/>
      <c r="AV1578" s="114"/>
      <c r="AW1578" s="114"/>
      <c r="AX1578" s="114"/>
      <c r="AY1578" s="114"/>
      <c r="AZ1578" s="114"/>
    </row>
    <row r="1579" spans="1:52">
      <c r="A1579" s="111"/>
      <c r="B1579" s="111"/>
      <c r="C1579" s="112"/>
      <c r="D1579" s="101"/>
      <c r="E1579" s="101"/>
      <c r="F1579" s="101"/>
      <c r="G1579" s="111"/>
      <c r="H1579" s="101"/>
      <c r="I1579" s="101"/>
      <c r="J1579" s="101"/>
      <c r="K1579" s="101"/>
      <c r="L1579" s="101"/>
      <c r="M1579" s="101"/>
      <c r="N1579" s="101"/>
      <c r="O1579" s="101"/>
      <c r="P1579" s="101"/>
      <c r="Q1579" s="101"/>
      <c r="R1579" s="101"/>
      <c r="S1579" s="101"/>
      <c r="T1579" s="101"/>
      <c r="U1579" s="101"/>
      <c r="V1579" s="101"/>
      <c r="W1579" s="101"/>
      <c r="X1579" s="101"/>
      <c r="Y1579" s="114"/>
      <c r="Z1579" s="114"/>
      <c r="AA1579" s="114"/>
      <c r="AB1579" s="114"/>
      <c r="AC1579" s="114"/>
      <c r="AD1579" s="114"/>
      <c r="AE1579" s="114"/>
      <c r="AF1579" s="114"/>
      <c r="AG1579" s="114"/>
      <c r="AH1579" s="114"/>
      <c r="AI1579" s="114"/>
      <c r="AJ1579" s="114"/>
      <c r="AK1579" s="114"/>
      <c r="AL1579" s="114"/>
      <c r="AM1579" s="114"/>
      <c r="AN1579" s="114"/>
      <c r="AO1579" s="114"/>
      <c r="AP1579" s="114"/>
      <c r="AQ1579" s="114"/>
      <c r="AR1579" s="114"/>
      <c r="AS1579" s="114"/>
      <c r="AT1579" s="114"/>
      <c r="AU1579" s="114"/>
      <c r="AV1579" s="114"/>
      <c r="AW1579" s="114"/>
      <c r="AX1579" s="114"/>
      <c r="AY1579" s="114"/>
      <c r="AZ1579" s="114"/>
    </row>
    <row r="1580" spans="1:52">
      <c r="A1580" s="111"/>
      <c r="B1580" s="111"/>
      <c r="C1580" s="112"/>
      <c r="D1580" s="101"/>
      <c r="E1580" s="101"/>
      <c r="F1580" s="101"/>
      <c r="G1580" s="111"/>
      <c r="H1580" s="101"/>
      <c r="I1580" s="101"/>
      <c r="J1580" s="101"/>
      <c r="K1580" s="101"/>
      <c r="L1580" s="101"/>
      <c r="M1580" s="101"/>
      <c r="N1580" s="101"/>
      <c r="O1580" s="101"/>
      <c r="P1580" s="101"/>
      <c r="Q1580" s="101"/>
      <c r="R1580" s="101"/>
      <c r="S1580" s="101"/>
      <c r="T1580" s="101"/>
      <c r="U1580" s="101"/>
      <c r="V1580" s="101"/>
      <c r="W1580" s="101"/>
      <c r="X1580" s="101"/>
      <c r="Y1580" s="114"/>
      <c r="Z1580" s="114"/>
      <c r="AA1580" s="114"/>
      <c r="AB1580" s="114"/>
      <c r="AC1580" s="114"/>
      <c r="AD1580" s="114"/>
      <c r="AE1580" s="114"/>
      <c r="AF1580" s="114"/>
      <c r="AG1580" s="114"/>
      <c r="AH1580" s="114"/>
      <c r="AI1580" s="114"/>
      <c r="AJ1580" s="114"/>
      <c r="AK1580" s="114"/>
      <c r="AL1580" s="114"/>
      <c r="AM1580" s="114"/>
      <c r="AN1580" s="114"/>
      <c r="AO1580" s="114"/>
      <c r="AP1580" s="114"/>
      <c r="AQ1580" s="114"/>
      <c r="AR1580" s="114"/>
      <c r="AS1580" s="114"/>
      <c r="AT1580" s="114"/>
      <c r="AU1580" s="114"/>
      <c r="AV1580" s="114"/>
      <c r="AW1580" s="114"/>
      <c r="AX1580" s="114"/>
      <c r="AY1580" s="114"/>
      <c r="AZ1580" s="114"/>
    </row>
    <row r="1581" spans="1:52">
      <c r="A1581" s="111"/>
      <c r="B1581" s="111"/>
      <c r="C1581" s="112"/>
      <c r="D1581" s="101"/>
      <c r="E1581" s="101"/>
      <c r="F1581" s="101"/>
      <c r="G1581" s="111"/>
      <c r="H1581" s="101"/>
      <c r="I1581" s="101"/>
      <c r="J1581" s="101"/>
      <c r="K1581" s="101"/>
      <c r="L1581" s="101"/>
      <c r="M1581" s="101"/>
      <c r="N1581" s="101"/>
      <c r="O1581" s="101"/>
      <c r="P1581" s="101"/>
      <c r="Q1581" s="101"/>
      <c r="R1581" s="101"/>
      <c r="S1581" s="101"/>
      <c r="T1581" s="101"/>
      <c r="U1581" s="101"/>
      <c r="V1581" s="101"/>
      <c r="W1581" s="101"/>
      <c r="X1581" s="101"/>
      <c r="Y1581" s="114"/>
      <c r="Z1581" s="114"/>
      <c r="AA1581" s="114"/>
      <c r="AB1581" s="114"/>
      <c r="AC1581" s="114"/>
      <c r="AD1581" s="114"/>
      <c r="AE1581" s="114"/>
      <c r="AF1581" s="114"/>
      <c r="AG1581" s="114"/>
      <c r="AH1581" s="114"/>
      <c r="AI1581" s="114"/>
      <c r="AJ1581" s="114"/>
      <c r="AK1581" s="114"/>
      <c r="AL1581" s="114"/>
      <c r="AM1581" s="114"/>
      <c r="AN1581" s="114"/>
      <c r="AO1581" s="114"/>
      <c r="AP1581" s="114"/>
      <c r="AQ1581" s="114"/>
      <c r="AR1581" s="114"/>
      <c r="AS1581" s="114"/>
      <c r="AT1581" s="114"/>
      <c r="AU1581" s="114"/>
      <c r="AV1581" s="114"/>
      <c r="AW1581" s="114"/>
      <c r="AX1581" s="114"/>
      <c r="AY1581" s="114"/>
      <c r="AZ1581" s="114"/>
    </row>
    <row r="1582" spans="1:52">
      <c r="A1582" s="111"/>
      <c r="B1582" s="111"/>
      <c r="C1582" s="112"/>
      <c r="D1582" s="101"/>
      <c r="E1582" s="101"/>
      <c r="F1582" s="101"/>
      <c r="G1582" s="111"/>
      <c r="H1582" s="101"/>
      <c r="I1582" s="101"/>
      <c r="J1582" s="101"/>
      <c r="K1582" s="101"/>
      <c r="L1582" s="101"/>
      <c r="M1582" s="101"/>
      <c r="N1582" s="101"/>
      <c r="O1582" s="101"/>
      <c r="P1582" s="101"/>
      <c r="Q1582" s="101"/>
      <c r="R1582" s="101"/>
      <c r="S1582" s="101"/>
      <c r="T1582" s="101"/>
      <c r="U1582" s="101"/>
      <c r="V1582" s="101"/>
      <c r="W1582" s="101"/>
      <c r="X1582" s="101"/>
      <c r="Y1582" s="114"/>
      <c r="Z1582" s="114"/>
      <c r="AA1582" s="114"/>
      <c r="AB1582" s="114"/>
      <c r="AC1582" s="114"/>
      <c r="AD1582" s="114"/>
      <c r="AE1582" s="114"/>
      <c r="AF1582" s="114"/>
      <c r="AG1582" s="114"/>
      <c r="AH1582" s="114"/>
      <c r="AI1582" s="114"/>
      <c r="AJ1582" s="114"/>
      <c r="AK1582" s="114"/>
      <c r="AL1582" s="114"/>
      <c r="AM1582" s="114"/>
      <c r="AN1582" s="114"/>
      <c r="AO1582" s="114"/>
      <c r="AP1582" s="114"/>
      <c r="AQ1582" s="114"/>
      <c r="AR1582" s="114"/>
      <c r="AS1582" s="114"/>
      <c r="AT1582" s="114"/>
      <c r="AU1582" s="114"/>
      <c r="AV1582" s="114"/>
      <c r="AW1582" s="114"/>
      <c r="AX1582" s="114"/>
      <c r="AY1582" s="114"/>
      <c r="AZ1582" s="114"/>
    </row>
    <row r="1583" spans="1:52">
      <c r="A1583" s="111"/>
      <c r="B1583" s="111"/>
      <c r="C1583" s="112"/>
      <c r="D1583" s="101"/>
      <c r="E1583" s="101"/>
      <c r="F1583" s="101"/>
      <c r="G1583" s="111"/>
      <c r="H1583" s="101"/>
      <c r="I1583" s="101"/>
      <c r="J1583" s="101"/>
      <c r="K1583" s="101"/>
      <c r="L1583" s="101"/>
      <c r="M1583" s="101"/>
      <c r="N1583" s="101"/>
      <c r="O1583" s="101"/>
      <c r="P1583" s="101"/>
      <c r="Q1583" s="101"/>
      <c r="R1583" s="101"/>
      <c r="S1583" s="101"/>
      <c r="T1583" s="101"/>
      <c r="U1583" s="101"/>
      <c r="V1583" s="101"/>
      <c r="W1583" s="101"/>
      <c r="X1583" s="101"/>
      <c r="Y1583" s="114"/>
      <c r="Z1583" s="114"/>
      <c r="AA1583" s="114"/>
      <c r="AB1583" s="114"/>
      <c r="AC1583" s="114"/>
      <c r="AD1583" s="114"/>
      <c r="AE1583" s="114"/>
      <c r="AF1583" s="114"/>
      <c r="AG1583" s="114"/>
      <c r="AH1583" s="114"/>
      <c r="AI1583" s="114"/>
      <c r="AJ1583" s="114"/>
      <c r="AK1583" s="114"/>
      <c r="AL1583" s="114"/>
      <c r="AM1583" s="114"/>
      <c r="AN1583" s="114"/>
      <c r="AO1583" s="114"/>
      <c r="AP1583" s="114"/>
      <c r="AQ1583" s="114"/>
      <c r="AR1583" s="114"/>
      <c r="AS1583" s="114"/>
      <c r="AT1583" s="114"/>
      <c r="AU1583" s="114"/>
      <c r="AV1583" s="114"/>
      <c r="AW1583" s="114"/>
      <c r="AX1583" s="114"/>
      <c r="AY1583" s="114"/>
      <c r="AZ1583" s="114"/>
    </row>
    <row r="1584" spans="1:52">
      <c r="A1584" s="111"/>
      <c r="B1584" s="111"/>
      <c r="C1584" s="112"/>
      <c r="D1584" s="101"/>
      <c r="E1584" s="101"/>
      <c r="F1584" s="101"/>
      <c r="G1584" s="111"/>
      <c r="H1584" s="101"/>
      <c r="I1584" s="101"/>
      <c r="J1584" s="101"/>
      <c r="K1584" s="101"/>
      <c r="L1584" s="101"/>
      <c r="M1584" s="101"/>
      <c r="N1584" s="101"/>
      <c r="O1584" s="101"/>
      <c r="P1584" s="101"/>
      <c r="Q1584" s="101"/>
      <c r="R1584" s="101"/>
      <c r="S1584" s="101"/>
      <c r="T1584" s="101"/>
      <c r="U1584" s="101"/>
      <c r="V1584" s="101"/>
      <c r="W1584" s="101"/>
      <c r="X1584" s="101"/>
      <c r="Y1584" s="114"/>
      <c r="Z1584" s="114"/>
      <c r="AA1584" s="114"/>
      <c r="AB1584" s="114"/>
      <c r="AC1584" s="114"/>
      <c r="AD1584" s="114"/>
      <c r="AE1584" s="114"/>
      <c r="AF1584" s="114"/>
      <c r="AG1584" s="114"/>
      <c r="AH1584" s="114"/>
      <c r="AI1584" s="114"/>
      <c r="AJ1584" s="114"/>
      <c r="AK1584" s="114"/>
      <c r="AL1584" s="114"/>
      <c r="AM1584" s="114"/>
      <c r="AN1584" s="114"/>
      <c r="AO1584" s="114"/>
      <c r="AP1584" s="114"/>
      <c r="AQ1584" s="114"/>
      <c r="AR1584" s="114"/>
      <c r="AS1584" s="114"/>
      <c r="AT1584" s="114"/>
      <c r="AU1584" s="114"/>
      <c r="AV1584" s="114"/>
      <c r="AW1584" s="114"/>
      <c r="AX1584" s="114"/>
      <c r="AY1584" s="114"/>
      <c r="AZ1584" s="114"/>
    </row>
    <row r="1585" spans="1:52">
      <c r="A1585" s="111"/>
      <c r="B1585" s="111"/>
      <c r="C1585" s="112"/>
      <c r="D1585" s="101"/>
      <c r="E1585" s="101"/>
      <c r="F1585" s="101"/>
      <c r="G1585" s="111"/>
      <c r="H1585" s="101"/>
      <c r="I1585" s="101"/>
      <c r="J1585" s="101"/>
      <c r="K1585" s="101"/>
      <c r="L1585" s="101"/>
      <c r="M1585" s="101"/>
      <c r="N1585" s="101"/>
      <c r="O1585" s="101"/>
      <c r="P1585" s="101"/>
      <c r="Q1585" s="101"/>
      <c r="R1585" s="101"/>
      <c r="S1585" s="101"/>
      <c r="T1585" s="101"/>
      <c r="U1585" s="101"/>
      <c r="V1585" s="101"/>
      <c r="W1585" s="101"/>
      <c r="X1585" s="101"/>
      <c r="Y1585" s="114"/>
      <c r="Z1585" s="114"/>
      <c r="AA1585" s="114"/>
      <c r="AB1585" s="114"/>
      <c r="AC1585" s="114"/>
      <c r="AD1585" s="114"/>
      <c r="AE1585" s="114"/>
      <c r="AF1585" s="114"/>
      <c r="AG1585" s="114"/>
      <c r="AH1585" s="114"/>
      <c r="AI1585" s="114"/>
      <c r="AJ1585" s="114"/>
      <c r="AK1585" s="114"/>
      <c r="AL1585" s="114"/>
      <c r="AM1585" s="114"/>
      <c r="AN1585" s="114"/>
      <c r="AO1585" s="114"/>
      <c r="AP1585" s="114"/>
      <c r="AQ1585" s="114"/>
      <c r="AR1585" s="114"/>
      <c r="AS1585" s="114"/>
      <c r="AT1585" s="114"/>
      <c r="AU1585" s="114"/>
      <c r="AV1585" s="114"/>
      <c r="AW1585" s="114"/>
      <c r="AX1585" s="114"/>
      <c r="AY1585" s="114"/>
      <c r="AZ1585" s="114"/>
    </row>
    <row r="1586" spans="1:52">
      <c r="A1586" s="111"/>
      <c r="B1586" s="111"/>
      <c r="C1586" s="112"/>
      <c r="D1586" s="101"/>
      <c r="E1586" s="101"/>
      <c r="F1586" s="101"/>
      <c r="G1586" s="111"/>
      <c r="H1586" s="101"/>
      <c r="I1586" s="101"/>
      <c r="J1586" s="101"/>
      <c r="K1586" s="101"/>
      <c r="L1586" s="101"/>
      <c r="M1586" s="101"/>
      <c r="N1586" s="101"/>
      <c r="O1586" s="101"/>
      <c r="P1586" s="101"/>
      <c r="Q1586" s="101"/>
      <c r="R1586" s="101"/>
      <c r="S1586" s="101"/>
      <c r="T1586" s="101"/>
      <c r="U1586" s="101"/>
      <c r="V1586" s="101"/>
      <c r="W1586" s="101"/>
      <c r="X1586" s="101"/>
      <c r="Y1586" s="114"/>
      <c r="Z1586" s="114"/>
      <c r="AA1586" s="114"/>
      <c r="AB1586" s="114"/>
      <c r="AC1586" s="114"/>
      <c r="AD1586" s="114"/>
      <c r="AE1586" s="114"/>
      <c r="AF1586" s="114"/>
      <c r="AG1586" s="114"/>
      <c r="AH1586" s="114"/>
      <c r="AI1586" s="114"/>
      <c r="AJ1586" s="114"/>
      <c r="AK1586" s="114"/>
      <c r="AL1586" s="114"/>
      <c r="AM1586" s="114"/>
      <c r="AN1586" s="114"/>
      <c r="AO1586" s="114"/>
      <c r="AP1586" s="114"/>
      <c r="AQ1586" s="114"/>
      <c r="AR1586" s="114"/>
      <c r="AS1586" s="114"/>
      <c r="AT1586" s="114"/>
      <c r="AU1586" s="114"/>
      <c r="AV1586" s="114"/>
      <c r="AW1586" s="114"/>
      <c r="AX1586" s="114"/>
      <c r="AY1586" s="114"/>
      <c r="AZ1586" s="114"/>
    </row>
    <row r="1587" spans="1:52">
      <c r="A1587" s="111"/>
      <c r="B1587" s="111"/>
      <c r="C1587" s="112"/>
      <c r="D1587" s="101"/>
      <c r="E1587" s="101"/>
      <c r="F1587" s="101"/>
      <c r="G1587" s="111"/>
      <c r="H1587" s="101"/>
      <c r="I1587" s="101"/>
      <c r="J1587" s="101"/>
      <c r="K1587" s="101"/>
      <c r="L1587" s="101"/>
      <c r="M1587" s="101"/>
      <c r="N1587" s="101"/>
      <c r="O1587" s="101"/>
      <c r="P1587" s="101"/>
      <c r="Q1587" s="101"/>
      <c r="R1587" s="101"/>
      <c r="S1587" s="101"/>
      <c r="T1587" s="101"/>
      <c r="U1587" s="101"/>
      <c r="V1587" s="101"/>
      <c r="W1587" s="101"/>
      <c r="X1587" s="101"/>
      <c r="Y1587" s="114"/>
      <c r="Z1587" s="114"/>
      <c r="AA1587" s="114"/>
      <c r="AB1587" s="114"/>
      <c r="AC1587" s="114"/>
      <c r="AD1587" s="114"/>
      <c r="AE1587" s="114"/>
      <c r="AF1587" s="114"/>
      <c r="AG1587" s="114"/>
      <c r="AH1587" s="114"/>
      <c r="AI1587" s="114"/>
      <c r="AJ1587" s="114"/>
      <c r="AK1587" s="114"/>
      <c r="AL1587" s="114"/>
      <c r="AM1587" s="114"/>
      <c r="AN1587" s="114"/>
      <c r="AO1587" s="114"/>
      <c r="AP1587" s="114"/>
      <c r="AQ1587" s="114"/>
      <c r="AR1587" s="114"/>
      <c r="AS1587" s="114"/>
      <c r="AT1587" s="114"/>
      <c r="AU1587" s="114"/>
      <c r="AV1587" s="114"/>
      <c r="AW1587" s="114"/>
      <c r="AX1587" s="114"/>
      <c r="AY1587" s="114"/>
      <c r="AZ1587" s="114"/>
    </row>
    <row r="1588" spans="1:52">
      <c r="A1588" s="111"/>
      <c r="B1588" s="111"/>
      <c r="C1588" s="112"/>
      <c r="D1588" s="101"/>
      <c r="E1588" s="101"/>
      <c r="F1588" s="101"/>
      <c r="G1588" s="111"/>
      <c r="H1588" s="101"/>
      <c r="I1588" s="101"/>
      <c r="J1588" s="101"/>
      <c r="K1588" s="101"/>
      <c r="L1588" s="101"/>
      <c r="M1588" s="101"/>
      <c r="N1588" s="101"/>
      <c r="O1588" s="101"/>
      <c r="P1588" s="101"/>
      <c r="Q1588" s="101"/>
      <c r="R1588" s="101"/>
      <c r="S1588" s="101"/>
      <c r="T1588" s="101"/>
      <c r="U1588" s="101"/>
      <c r="V1588" s="101"/>
      <c r="W1588" s="101"/>
      <c r="X1588" s="101"/>
      <c r="Y1588" s="114"/>
      <c r="Z1588" s="114"/>
      <c r="AA1588" s="114"/>
      <c r="AB1588" s="114"/>
      <c r="AC1588" s="114"/>
      <c r="AD1588" s="114"/>
      <c r="AE1588" s="114"/>
      <c r="AF1588" s="114"/>
      <c r="AG1588" s="114"/>
      <c r="AH1588" s="114"/>
      <c r="AI1588" s="114"/>
      <c r="AJ1588" s="114"/>
      <c r="AK1588" s="114"/>
      <c r="AL1588" s="114"/>
      <c r="AM1588" s="114"/>
      <c r="AN1588" s="114"/>
      <c r="AO1588" s="114"/>
      <c r="AP1588" s="114"/>
      <c r="AQ1588" s="114"/>
      <c r="AR1588" s="114"/>
      <c r="AS1588" s="114"/>
      <c r="AT1588" s="114"/>
      <c r="AU1588" s="114"/>
      <c r="AV1588" s="114"/>
      <c r="AW1588" s="114"/>
      <c r="AX1588" s="114"/>
      <c r="AY1588" s="114"/>
      <c r="AZ1588" s="114"/>
    </row>
    <row r="1589" spans="1:52">
      <c r="A1589" s="111"/>
      <c r="B1589" s="111"/>
      <c r="C1589" s="112"/>
      <c r="D1589" s="101"/>
      <c r="E1589" s="101"/>
      <c r="F1589" s="101"/>
      <c r="G1589" s="111"/>
      <c r="H1589" s="101"/>
      <c r="I1589" s="101"/>
      <c r="J1589" s="101"/>
      <c r="K1589" s="101"/>
      <c r="L1589" s="101"/>
      <c r="M1589" s="101"/>
      <c r="N1589" s="101"/>
      <c r="O1589" s="101"/>
      <c r="P1589" s="101"/>
      <c r="Q1589" s="101"/>
      <c r="R1589" s="101"/>
      <c r="S1589" s="101"/>
      <c r="T1589" s="101"/>
      <c r="U1589" s="101"/>
      <c r="V1589" s="101"/>
      <c r="W1589" s="101"/>
      <c r="X1589" s="101"/>
      <c r="Y1589" s="114"/>
      <c r="Z1589" s="114"/>
      <c r="AA1589" s="114"/>
      <c r="AB1589" s="114"/>
      <c r="AC1589" s="114"/>
      <c r="AD1589" s="114"/>
      <c r="AE1589" s="114"/>
      <c r="AF1589" s="114"/>
      <c r="AG1589" s="114"/>
      <c r="AH1589" s="114"/>
      <c r="AI1589" s="114"/>
      <c r="AJ1589" s="114"/>
      <c r="AK1589" s="114"/>
      <c r="AL1589" s="114"/>
      <c r="AM1589" s="114"/>
      <c r="AN1589" s="114"/>
      <c r="AO1589" s="114"/>
      <c r="AP1589" s="114"/>
      <c r="AQ1589" s="114"/>
      <c r="AR1589" s="114"/>
      <c r="AS1589" s="114"/>
      <c r="AT1589" s="114"/>
      <c r="AU1589" s="114"/>
      <c r="AV1589" s="114"/>
      <c r="AW1589" s="114"/>
      <c r="AX1589" s="114"/>
      <c r="AY1589" s="114"/>
      <c r="AZ1589" s="114"/>
    </row>
    <row r="1590" spans="1:52">
      <c r="A1590" s="111"/>
      <c r="B1590" s="111"/>
      <c r="C1590" s="112"/>
      <c r="D1590" s="101"/>
      <c r="E1590" s="101"/>
      <c r="F1590" s="101"/>
      <c r="G1590" s="111"/>
      <c r="H1590" s="101"/>
      <c r="I1590" s="101"/>
      <c r="J1590" s="101"/>
      <c r="K1590" s="101"/>
      <c r="L1590" s="101"/>
      <c r="M1590" s="101"/>
      <c r="N1590" s="101"/>
      <c r="O1590" s="101"/>
      <c r="P1590" s="101"/>
      <c r="Q1590" s="101"/>
      <c r="R1590" s="101"/>
      <c r="S1590" s="101"/>
      <c r="T1590" s="101"/>
      <c r="U1590" s="101"/>
      <c r="V1590" s="101"/>
      <c r="W1590" s="101"/>
      <c r="X1590" s="101"/>
      <c r="Y1590" s="114"/>
      <c r="Z1590" s="114"/>
      <c r="AA1590" s="114"/>
      <c r="AB1590" s="114"/>
      <c r="AC1590" s="114"/>
      <c r="AD1590" s="114"/>
      <c r="AE1590" s="114"/>
      <c r="AF1590" s="114"/>
      <c r="AG1590" s="114"/>
      <c r="AH1590" s="114"/>
      <c r="AI1590" s="114"/>
      <c r="AJ1590" s="114"/>
      <c r="AK1590" s="114"/>
      <c r="AL1590" s="114"/>
      <c r="AM1590" s="114"/>
      <c r="AN1590" s="114"/>
      <c r="AO1590" s="114"/>
      <c r="AP1590" s="114"/>
      <c r="AQ1590" s="114"/>
      <c r="AR1590" s="114"/>
      <c r="AS1590" s="114"/>
      <c r="AT1590" s="114"/>
      <c r="AU1590" s="114"/>
      <c r="AV1590" s="114"/>
      <c r="AW1590" s="114"/>
      <c r="AX1590" s="114"/>
      <c r="AY1590" s="114"/>
      <c r="AZ1590" s="114"/>
    </row>
    <row r="1591" spans="1:52">
      <c r="A1591" s="111"/>
      <c r="B1591" s="111"/>
      <c r="C1591" s="112"/>
      <c r="D1591" s="101"/>
      <c r="E1591" s="101"/>
      <c r="F1591" s="101"/>
      <c r="G1591" s="111"/>
      <c r="H1591" s="101"/>
      <c r="I1591" s="101"/>
      <c r="J1591" s="101"/>
      <c r="K1591" s="101"/>
      <c r="L1591" s="101"/>
      <c r="M1591" s="101"/>
      <c r="N1591" s="101"/>
      <c r="O1591" s="101"/>
      <c r="P1591" s="101"/>
      <c r="Q1591" s="101"/>
      <c r="R1591" s="101"/>
      <c r="S1591" s="101"/>
      <c r="T1591" s="101"/>
      <c r="U1591" s="101"/>
      <c r="V1591" s="101"/>
      <c r="W1591" s="101"/>
      <c r="X1591" s="101"/>
      <c r="Y1591" s="114"/>
      <c r="Z1591" s="114"/>
      <c r="AA1591" s="114"/>
      <c r="AB1591" s="114"/>
      <c r="AC1591" s="114"/>
      <c r="AD1591" s="114"/>
      <c r="AE1591" s="114"/>
      <c r="AF1591" s="114"/>
      <c r="AG1591" s="114"/>
      <c r="AH1591" s="114"/>
      <c r="AI1591" s="114"/>
      <c r="AJ1591" s="114"/>
      <c r="AK1591" s="114"/>
      <c r="AL1591" s="114"/>
      <c r="AM1591" s="114"/>
      <c r="AN1591" s="114"/>
      <c r="AO1591" s="114"/>
      <c r="AP1591" s="114"/>
      <c r="AQ1591" s="114"/>
      <c r="AR1591" s="114"/>
      <c r="AS1591" s="114"/>
      <c r="AT1591" s="114"/>
      <c r="AU1591" s="114"/>
      <c r="AV1591" s="114"/>
      <c r="AW1591" s="114"/>
      <c r="AX1591" s="114"/>
      <c r="AY1591" s="114"/>
      <c r="AZ1591" s="114"/>
    </row>
    <row r="1592" spans="1:52">
      <c r="A1592" s="111"/>
      <c r="B1592" s="111"/>
      <c r="C1592" s="112"/>
      <c r="D1592" s="101"/>
      <c r="E1592" s="101"/>
      <c r="F1592" s="101"/>
      <c r="G1592" s="111"/>
      <c r="H1592" s="101"/>
      <c r="I1592" s="101"/>
      <c r="J1592" s="101"/>
      <c r="K1592" s="101"/>
      <c r="L1592" s="101"/>
      <c r="M1592" s="101"/>
      <c r="N1592" s="101"/>
      <c r="O1592" s="101"/>
      <c r="P1592" s="101"/>
      <c r="Q1592" s="101"/>
      <c r="R1592" s="101"/>
      <c r="S1592" s="101"/>
      <c r="T1592" s="101"/>
      <c r="U1592" s="101"/>
      <c r="V1592" s="101"/>
      <c r="W1592" s="101"/>
      <c r="X1592" s="101"/>
      <c r="Y1592" s="114"/>
      <c r="Z1592" s="114"/>
      <c r="AA1592" s="114"/>
      <c r="AB1592" s="114"/>
      <c r="AC1592" s="114"/>
      <c r="AD1592" s="114"/>
      <c r="AE1592" s="114"/>
      <c r="AF1592" s="114"/>
      <c r="AG1592" s="114"/>
      <c r="AH1592" s="114"/>
      <c r="AI1592" s="114"/>
      <c r="AJ1592" s="114"/>
      <c r="AK1592" s="114"/>
      <c r="AL1592" s="114"/>
      <c r="AM1592" s="114"/>
      <c r="AN1592" s="114"/>
      <c r="AO1592" s="114"/>
      <c r="AP1592" s="114"/>
      <c r="AQ1592" s="114"/>
      <c r="AR1592" s="114"/>
      <c r="AS1592" s="114"/>
      <c r="AT1592" s="114"/>
      <c r="AU1592" s="114"/>
      <c r="AV1592" s="114"/>
      <c r="AW1592" s="114"/>
      <c r="AX1592" s="114"/>
      <c r="AY1592" s="114"/>
      <c r="AZ1592" s="114"/>
    </row>
    <row r="1593" spans="1:52">
      <c r="A1593" s="111"/>
      <c r="B1593" s="111"/>
      <c r="C1593" s="112"/>
      <c r="D1593" s="101"/>
      <c r="E1593" s="101"/>
      <c r="F1593" s="101"/>
      <c r="G1593" s="111"/>
      <c r="H1593" s="101"/>
      <c r="I1593" s="101"/>
      <c r="J1593" s="101"/>
      <c r="K1593" s="101"/>
      <c r="L1593" s="101"/>
      <c r="M1593" s="101"/>
      <c r="N1593" s="101"/>
      <c r="O1593" s="101"/>
      <c r="P1593" s="101"/>
      <c r="Q1593" s="101"/>
      <c r="R1593" s="101"/>
      <c r="S1593" s="101"/>
      <c r="T1593" s="101"/>
      <c r="U1593" s="101"/>
      <c r="V1593" s="101"/>
      <c r="W1593" s="101"/>
      <c r="X1593" s="101"/>
      <c r="Y1593" s="114"/>
      <c r="Z1593" s="114"/>
      <c r="AA1593" s="114"/>
      <c r="AB1593" s="114"/>
      <c r="AC1593" s="114"/>
      <c r="AD1593" s="114"/>
      <c r="AE1593" s="114"/>
      <c r="AF1593" s="114"/>
      <c r="AG1593" s="114"/>
      <c r="AH1593" s="114"/>
      <c r="AI1593" s="114"/>
      <c r="AJ1593" s="114"/>
      <c r="AK1593" s="114"/>
      <c r="AL1593" s="114"/>
      <c r="AM1593" s="114"/>
      <c r="AN1593" s="114"/>
      <c r="AO1593" s="114"/>
      <c r="AP1593" s="114"/>
      <c r="AQ1593" s="114"/>
      <c r="AR1593" s="114"/>
      <c r="AS1593" s="114"/>
      <c r="AT1593" s="114"/>
      <c r="AU1593" s="114"/>
      <c r="AV1593" s="114"/>
      <c r="AW1593" s="114"/>
      <c r="AX1593" s="114"/>
      <c r="AY1593" s="114"/>
      <c r="AZ1593" s="114"/>
    </row>
    <row r="1594" spans="1:52">
      <c r="A1594" s="111"/>
      <c r="B1594" s="111"/>
      <c r="C1594" s="112"/>
      <c r="D1594" s="101"/>
      <c r="E1594" s="101"/>
      <c r="F1594" s="101"/>
      <c r="G1594" s="111"/>
      <c r="H1594" s="101"/>
      <c r="I1594" s="101"/>
      <c r="J1594" s="101"/>
      <c r="K1594" s="101"/>
      <c r="L1594" s="101"/>
      <c r="M1594" s="101"/>
      <c r="N1594" s="101"/>
      <c r="O1594" s="101"/>
      <c r="P1594" s="101"/>
      <c r="Q1594" s="101"/>
      <c r="R1594" s="101"/>
      <c r="S1594" s="101"/>
      <c r="T1594" s="101"/>
      <c r="U1594" s="101"/>
      <c r="V1594" s="101"/>
      <c r="W1594" s="101"/>
      <c r="X1594" s="101"/>
      <c r="Y1594" s="114"/>
      <c r="Z1594" s="114"/>
      <c r="AA1594" s="114"/>
      <c r="AB1594" s="114"/>
      <c r="AC1594" s="114"/>
      <c r="AD1594" s="114"/>
      <c r="AE1594" s="114"/>
      <c r="AF1594" s="114"/>
      <c r="AG1594" s="114"/>
      <c r="AH1594" s="114"/>
      <c r="AI1594" s="114"/>
      <c r="AJ1594" s="114"/>
      <c r="AK1594" s="114"/>
      <c r="AL1594" s="114"/>
      <c r="AM1594" s="114"/>
      <c r="AN1594" s="114"/>
      <c r="AO1594" s="114"/>
      <c r="AP1594" s="114"/>
      <c r="AQ1594" s="114"/>
      <c r="AR1594" s="114"/>
      <c r="AS1594" s="114"/>
      <c r="AT1594" s="114"/>
      <c r="AU1594" s="114"/>
      <c r="AV1594" s="114"/>
      <c r="AW1594" s="114"/>
      <c r="AX1594" s="114"/>
      <c r="AY1594" s="114"/>
      <c r="AZ1594" s="114"/>
    </row>
    <row r="1595" spans="1:52">
      <c r="A1595" s="111"/>
      <c r="B1595" s="111"/>
      <c r="C1595" s="112"/>
      <c r="D1595" s="101"/>
      <c r="E1595" s="101"/>
      <c r="F1595" s="101"/>
      <c r="G1595" s="111"/>
      <c r="H1595" s="101"/>
      <c r="I1595" s="101"/>
      <c r="J1595" s="101"/>
      <c r="K1595" s="101"/>
      <c r="L1595" s="101"/>
      <c r="M1595" s="101"/>
      <c r="N1595" s="101"/>
      <c r="O1595" s="101"/>
      <c r="P1595" s="101"/>
      <c r="Q1595" s="101"/>
      <c r="R1595" s="101"/>
      <c r="S1595" s="101"/>
      <c r="T1595" s="101"/>
      <c r="U1595" s="101"/>
      <c r="V1595" s="101"/>
      <c r="W1595" s="101"/>
      <c r="X1595" s="101"/>
      <c r="Y1595" s="114"/>
      <c r="Z1595" s="114"/>
      <c r="AA1595" s="114"/>
      <c r="AB1595" s="114"/>
      <c r="AC1595" s="114"/>
      <c r="AD1595" s="114"/>
      <c r="AE1595" s="114"/>
      <c r="AF1595" s="114"/>
      <c r="AG1595" s="114"/>
      <c r="AH1595" s="114"/>
      <c r="AI1595" s="114"/>
      <c r="AJ1595" s="114"/>
      <c r="AK1595" s="114"/>
      <c r="AL1595" s="114"/>
      <c r="AM1595" s="114"/>
      <c r="AN1595" s="114"/>
      <c r="AO1595" s="114"/>
      <c r="AP1595" s="114"/>
      <c r="AQ1595" s="114"/>
      <c r="AR1595" s="114"/>
      <c r="AS1595" s="114"/>
      <c r="AT1595" s="114"/>
      <c r="AU1595" s="114"/>
      <c r="AV1595" s="114"/>
      <c r="AW1595" s="114"/>
      <c r="AX1595" s="114"/>
      <c r="AY1595" s="114"/>
      <c r="AZ1595" s="114"/>
    </row>
    <row r="1596" spans="1:52">
      <c r="A1596" s="111"/>
      <c r="B1596" s="111"/>
      <c r="C1596" s="112"/>
      <c r="D1596" s="101"/>
      <c r="E1596" s="101"/>
      <c r="F1596" s="101"/>
      <c r="G1596" s="111"/>
      <c r="H1596" s="101"/>
      <c r="I1596" s="101"/>
      <c r="J1596" s="101"/>
      <c r="K1596" s="101"/>
      <c r="L1596" s="101"/>
      <c r="M1596" s="101"/>
      <c r="N1596" s="101"/>
      <c r="O1596" s="101"/>
      <c r="P1596" s="101"/>
      <c r="Q1596" s="101"/>
      <c r="R1596" s="101"/>
      <c r="S1596" s="101"/>
      <c r="T1596" s="101"/>
      <c r="U1596" s="101"/>
      <c r="V1596" s="101"/>
      <c r="W1596" s="101"/>
      <c r="X1596" s="101"/>
      <c r="Y1596" s="114"/>
      <c r="Z1596" s="114"/>
      <c r="AA1596" s="114"/>
      <c r="AB1596" s="114"/>
      <c r="AC1596" s="114"/>
      <c r="AD1596" s="114"/>
      <c r="AE1596" s="114"/>
      <c r="AF1596" s="114"/>
      <c r="AG1596" s="114"/>
      <c r="AH1596" s="114"/>
      <c r="AI1596" s="114"/>
      <c r="AJ1596" s="114"/>
      <c r="AK1596" s="114"/>
      <c r="AL1596" s="114"/>
      <c r="AM1596" s="114"/>
      <c r="AN1596" s="114"/>
      <c r="AO1596" s="114"/>
      <c r="AP1596" s="114"/>
      <c r="AQ1596" s="114"/>
      <c r="AR1596" s="114"/>
      <c r="AS1596" s="114"/>
      <c r="AT1596" s="114"/>
      <c r="AU1596" s="114"/>
      <c r="AV1596" s="114"/>
      <c r="AW1596" s="114"/>
      <c r="AX1596" s="114"/>
      <c r="AY1596" s="114"/>
      <c r="AZ1596" s="114"/>
    </row>
    <row r="1597" spans="1:52">
      <c r="A1597" s="111"/>
      <c r="B1597" s="111"/>
      <c r="C1597" s="112"/>
      <c r="D1597" s="101"/>
      <c r="E1597" s="101"/>
      <c r="F1597" s="101"/>
      <c r="G1597" s="111"/>
      <c r="H1597" s="101"/>
      <c r="I1597" s="101"/>
      <c r="J1597" s="101"/>
      <c r="K1597" s="101"/>
      <c r="L1597" s="101"/>
      <c r="M1597" s="101"/>
      <c r="N1597" s="101"/>
      <c r="O1597" s="101"/>
      <c r="P1597" s="101"/>
      <c r="Q1597" s="101"/>
      <c r="R1597" s="101"/>
      <c r="S1597" s="101"/>
      <c r="T1597" s="101"/>
      <c r="U1597" s="101"/>
      <c r="V1597" s="101"/>
      <c r="W1597" s="101"/>
      <c r="X1597" s="101"/>
      <c r="Y1597" s="114"/>
      <c r="Z1597" s="114"/>
      <c r="AA1597" s="114"/>
      <c r="AB1597" s="114"/>
      <c r="AC1597" s="114"/>
      <c r="AD1597" s="114"/>
      <c r="AE1597" s="114"/>
      <c r="AF1597" s="114"/>
      <c r="AG1597" s="114"/>
      <c r="AH1597" s="114"/>
      <c r="AI1597" s="114"/>
      <c r="AJ1597" s="114"/>
      <c r="AK1597" s="114"/>
      <c r="AL1597" s="114"/>
      <c r="AM1597" s="114"/>
      <c r="AN1597" s="114"/>
      <c r="AO1597" s="114"/>
      <c r="AP1597" s="114"/>
      <c r="AQ1597" s="114"/>
      <c r="AR1597" s="114"/>
      <c r="AS1597" s="114"/>
      <c r="AT1597" s="114"/>
      <c r="AU1597" s="114"/>
      <c r="AV1597" s="114"/>
      <c r="AW1597" s="114"/>
      <c r="AX1597" s="114"/>
      <c r="AY1597" s="114"/>
      <c r="AZ1597" s="114"/>
    </row>
    <row r="1598" spans="1:52">
      <c r="A1598" s="111"/>
      <c r="B1598" s="111"/>
      <c r="C1598" s="112"/>
      <c r="D1598" s="101"/>
      <c r="E1598" s="101"/>
      <c r="F1598" s="101"/>
      <c r="G1598" s="111"/>
      <c r="H1598" s="101"/>
      <c r="I1598" s="101"/>
      <c r="J1598" s="101"/>
      <c r="K1598" s="101"/>
      <c r="L1598" s="101"/>
      <c r="M1598" s="101"/>
      <c r="N1598" s="101"/>
      <c r="O1598" s="101"/>
      <c r="P1598" s="101"/>
      <c r="Q1598" s="101"/>
      <c r="R1598" s="101"/>
      <c r="S1598" s="101"/>
      <c r="T1598" s="101"/>
      <c r="U1598" s="101"/>
      <c r="V1598" s="101"/>
      <c r="W1598" s="101"/>
      <c r="X1598" s="101"/>
      <c r="Y1598" s="114"/>
      <c r="Z1598" s="114"/>
      <c r="AA1598" s="114"/>
      <c r="AB1598" s="114"/>
      <c r="AC1598" s="114"/>
      <c r="AD1598" s="114"/>
      <c r="AE1598" s="114"/>
      <c r="AF1598" s="114"/>
      <c r="AG1598" s="114"/>
      <c r="AH1598" s="114"/>
      <c r="AI1598" s="114"/>
      <c r="AJ1598" s="114"/>
      <c r="AK1598" s="114"/>
      <c r="AL1598" s="114"/>
      <c r="AM1598" s="114"/>
      <c r="AN1598" s="114"/>
      <c r="AO1598" s="114"/>
      <c r="AP1598" s="114"/>
      <c r="AQ1598" s="114"/>
      <c r="AR1598" s="114"/>
      <c r="AS1598" s="114"/>
      <c r="AT1598" s="114"/>
      <c r="AU1598" s="114"/>
      <c r="AV1598" s="114"/>
      <c r="AW1598" s="114"/>
      <c r="AX1598" s="114"/>
      <c r="AY1598" s="114"/>
      <c r="AZ1598" s="114"/>
    </row>
    <row r="1599" spans="1:52">
      <c r="A1599" s="111"/>
      <c r="B1599" s="111"/>
      <c r="C1599" s="112"/>
      <c r="D1599" s="101"/>
      <c r="E1599" s="101"/>
      <c r="F1599" s="101"/>
      <c r="G1599" s="111"/>
      <c r="H1599" s="101"/>
      <c r="I1599" s="101"/>
      <c r="J1599" s="101"/>
      <c r="K1599" s="101"/>
      <c r="L1599" s="101"/>
      <c r="M1599" s="101"/>
      <c r="N1599" s="101"/>
      <c r="O1599" s="101"/>
      <c r="P1599" s="101"/>
      <c r="Q1599" s="101"/>
      <c r="R1599" s="101"/>
      <c r="S1599" s="101"/>
      <c r="T1599" s="101"/>
      <c r="U1599" s="101"/>
      <c r="V1599" s="101"/>
      <c r="W1599" s="101"/>
      <c r="X1599" s="101"/>
      <c r="Y1599" s="114"/>
      <c r="Z1599" s="114"/>
      <c r="AA1599" s="114"/>
      <c r="AB1599" s="114"/>
      <c r="AC1599" s="114"/>
      <c r="AD1599" s="114"/>
      <c r="AE1599" s="114"/>
      <c r="AF1599" s="114"/>
      <c r="AG1599" s="114"/>
      <c r="AH1599" s="114"/>
      <c r="AI1599" s="114"/>
      <c r="AJ1599" s="114"/>
      <c r="AK1599" s="114"/>
      <c r="AL1599" s="114"/>
      <c r="AM1599" s="114"/>
      <c r="AN1599" s="114"/>
      <c r="AO1599" s="114"/>
      <c r="AP1599" s="114"/>
      <c r="AQ1599" s="114"/>
      <c r="AR1599" s="114"/>
      <c r="AS1599" s="114"/>
      <c r="AT1599" s="114"/>
      <c r="AU1599" s="114"/>
      <c r="AV1599" s="114"/>
      <c r="AW1599" s="114"/>
      <c r="AX1599" s="114"/>
      <c r="AY1599" s="114"/>
      <c r="AZ1599" s="114"/>
    </row>
    <row r="1600" spans="1:52">
      <c r="A1600" s="111"/>
      <c r="B1600" s="111"/>
      <c r="C1600" s="112"/>
      <c r="D1600" s="101"/>
      <c r="E1600" s="101"/>
      <c r="F1600" s="101"/>
      <c r="G1600" s="111"/>
      <c r="H1600" s="101"/>
      <c r="I1600" s="101"/>
      <c r="J1600" s="101"/>
      <c r="K1600" s="101"/>
      <c r="L1600" s="101"/>
      <c r="M1600" s="101"/>
      <c r="N1600" s="101"/>
      <c r="O1600" s="101"/>
      <c r="P1600" s="101"/>
      <c r="Q1600" s="101"/>
      <c r="R1600" s="101"/>
      <c r="S1600" s="101"/>
      <c r="T1600" s="101"/>
      <c r="U1600" s="101"/>
      <c r="V1600" s="101"/>
      <c r="W1600" s="101"/>
      <c r="X1600" s="101"/>
      <c r="Y1600" s="114"/>
      <c r="Z1600" s="114"/>
      <c r="AA1600" s="114"/>
      <c r="AB1600" s="114"/>
      <c r="AC1600" s="114"/>
      <c r="AD1600" s="114"/>
      <c r="AE1600" s="114"/>
      <c r="AF1600" s="114"/>
      <c r="AG1600" s="114"/>
      <c r="AH1600" s="114"/>
      <c r="AI1600" s="114"/>
      <c r="AJ1600" s="114"/>
      <c r="AK1600" s="114"/>
      <c r="AL1600" s="114"/>
      <c r="AM1600" s="114"/>
      <c r="AN1600" s="114"/>
      <c r="AO1600" s="114"/>
      <c r="AP1600" s="114"/>
      <c r="AQ1600" s="114"/>
      <c r="AR1600" s="114"/>
      <c r="AS1600" s="114"/>
      <c r="AT1600" s="114"/>
      <c r="AU1600" s="114"/>
      <c r="AV1600" s="114"/>
      <c r="AW1600" s="114"/>
      <c r="AX1600" s="114"/>
      <c r="AY1600" s="114"/>
      <c r="AZ1600" s="114"/>
    </row>
    <row r="1601" spans="1:52">
      <c r="A1601" s="111"/>
      <c r="B1601" s="111"/>
      <c r="C1601" s="112"/>
      <c r="D1601" s="101"/>
      <c r="E1601" s="101"/>
      <c r="F1601" s="101"/>
      <c r="G1601" s="111"/>
      <c r="H1601" s="101"/>
      <c r="I1601" s="101"/>
      <c r="J1601" s="101"/>
      <c r="K1601" s="101"/>
      <c r="L1601" s="101"/>
      <c r="M1601" s="101"/>
      <c r="N1601" s="101"/>
      <c r="O1601" s="101"/>
      <c r="P1601" s="101"/>
      <c r="Q1601" s="101"/>
      <c r="R1601" s="101"/>
      <c r="S1601" s="101"/>
      <c r="T1601" s="101"/>
      <c r="U1601" s="101"/>
      <c r="V1601" s="101"/>
      <c r="W1601" s="101"/>
      <c r="X1601" s="101"/>
      <c r="Y1601" s="114"/>
      <c r="Z1601" s="114"/>
      <c r="AA1601" s="114"/>
      <c r="AB1601" s="114"/>
      <c r="AC1601" s="114"/>
      <c r="AD1601" s="114"/>
      <c r="AE1601" s="114"/>
      <c r="AF1601" s="114"/>
      <c r="AG1601" s="114"/>
      <c r="AH1601" s="114"/>
      <c r="AI1601" s="114"/>
      <c r="AJ1601" s="114"/>
      <c r="AK1601" s="114"/>
      <c r="AL1601" s="114"/>
      <c r="AM1601" s="114"/>
      <c r="AN1601" s="114"/>
      <c r="AO1601" s="114"/>
      <c r="AP1601" s="114"/>
      <c r="AQ1601" s="114"/>
      <c r="AR1601" s="114"/>
      <c r="AS1601" s="114"/>
      <c r="AT1601" s="114"/>
      <c r="AU1601" s="114"/>
      <c r="AV1601" s="114"/>
      <c r="AW1601" s="114"/>
      <c r="AX1601" s="114"/>
      <c r="AY1601" s="114"/>
      <c r="AZ1601" s="114"/>
    </row>
    <row r="1602" spans="1:52">
      <c r="A1602" s="111"/>
      <c r="B1602" s="111"/>
      <c r="C1602" s="112"/>
      <c r="D1602" s="101"/>
      <c r="E1602" s="101"/>
      <c r="F1602" s="101"/>
      <c r="G1602" s="111"/>
      <c r="H1602" s="101"/>
      <c r="I1602" s="101"/>
      <c r="J1602" s="101"/>
      <c r="K1602" s="101"/>
      <c r="L1602" s="101"/>
      <c r="M1602" s="101"/>
      <c r="N1602" s="101"/>
      <c r="O1602" s="101"/>
      <c r="P1602" s="101"/>
      <c r="Q1602" s="101"/>
      <c r="R1602" s="101"/>
      <c r="S1602" s="101"/>
      <c r="T1602" s="101"/>
      <c r="U1602" s="101"/>
      <c r="V1602" s="101"/>
      <c r="W1602" s="101"/>
      <c r="X1602" s="101"/>
      <c r="Y1602" s="114"/>
      <c r="Z1602" s="114"/>
      <c r="AA1602" s="114"/>
      <c r="AB1602" s="114"/>
      <c r="AC1602" s="114"/>
      <c r="AD1602" s="114"/>
      <c r="AE1602" s="114"/>
      <c r="AF1602" s="114"/>
      <c r="AG1602" s="114"/>
      <c r="AH1602" s="114"/>
      <c r="AI1602" s="114"/>
      <c r="AJ1602" s="114"/>
      <c r="AK1602" s="114"/>
      <c r="AL1602" s="114"/>
      <c r="AM1602" s="114"/>
      <c r="AN1602" s="114"/>
      <c r="AO1602" s="114"/>
      <c r="AP1602" s="114"/>
      <c r="AQ1602" s="114"/>
      <c r="AR1602" s="114"/>
      <c r="AS1602" s="114"/>
      <c r="AT1602" s="114"/>
      <c r="AU1602" s="114"/>
      <c r="AV1602" s="114"/>
      <c r="AW1602" s="114"/>
      <c r="AX1602" s="114"/>
      <c r="AY1602" s="114"/>
      <c r="AZ1602" s="114"/>
    </row>
    <row r="1603" spans="1:52">
      <c r="A1603" s="111"/>
      <c r="B1603" s="111"/>
      <c r="C1603" s="112"/>
      <c r="D1603" s="101"/>
      <c r="E1603" s="101"/>
      <c r="F1603" s="101"/>
      <c r="G1603" s="111"/>
      <c r="H1603" s="101"/>
      <c r="I1603" s="101"/>
      <c r="J1603" s="101"/>
      <c r="K1603" s="101"/>
      <c r="L1603" s="101"/>
      <c r="M1603" s="101"/>
      <c r="N1603" s="101"/>
      <c r="O1603" s="101"/>
      <c r="P1603" s="101"/>
      <c r="Q1603" s="101"/>
      <c r="R1603" s="101"/>
      <c r="S1603" s="101"/>
      <c r="T1603" s="101"/>
      <c r="U1603" s="101"/>
      <c r="V1603" s="101"/>
      <c r="W1603" s="101"/>
      <c r="X1603" s="101"/>
      <c r="Y1603" s="114"/>
      <c r="Z1603" s="114"/>
      <c r="AA1603" s="114"/>
      <c r="AB1603" s="114"/>
      <c r="AC1603" s="114"/>
      <c r="AD1603" s="114"/>
      <c r="AE1603" s="114"/>
      <c r="AF1603" s="114"/>
      <c r="AG1603" s="114"/>
      <c r="AH1603" s="114"/>
      <c r="AI1603" s="114"/>
      <c r="AJ1603" s="114"/>
      <c r="AK1603" s="114"/>
      <c r="AL1603" s="114"/>
      <c r="AM1603" s="114"/>
      <c r="AN1603" s="114"/>
      <c r="AO1603" s="114"/>
      <c r="AP1603" s="114"/>
      <c r="AQ1603" s="114"/>
      <c r="AR1603" s="114"/>
      <c r="AS1603" s="114"/>
      <c r="AT1603" s="114"/>
      <c r="AU1603" s="114"/>
      <c r="AV1603" s="114"/>
      <c r="AW1603" s="114"/>
      <c r="AX1603" s="114"/>
      <c r="AY1603" s="114"/>
      <c r="AZ1603" s="114"/>
    </row>
    <row r="1604" spans="1:52">
      <c r="A1604" s="111"/>
      <c r="B1604" s="111"/>
      <c r="C1604" s="112"/>
      <c r="D1604" s="101"/>
      <c r="E1604" s="101"/>
      <c r="F1604" s="101"/>
      <c r="G1604" s="111"/>
      <c r="H1604" s="101"/>
      <c r="I1604" s="101"/>
      <c r="J1604" s="101"/>
      <c r="K1604" s="101"/>
      <c r="L1604" s="101"/>
      <c r="M1604" s="101"/>
      <c r="N1604" s="101"/>
      <c r="O1604" s="101"/>
      <c r="P1604" s="101"/>
      <c r="Q1604" s="101"/>
      <c r="R1604" s="101"/>
      <c r="S1604" s="101"/>
      <c r="T1604" s="101"/>
      <c r="U1604" s="101"/>
      <c r="V1604" s="101"/>
      <c r="W1604" s="101"/>
      <c r="X1604" s="101"/>
      <c r="Y1604" s="114"/>
      <c r="Z1604" s="114"/>
      <c r="AA1604" s="114"/>
      <c r="AB1604" s="114"/>
      <c r="AC1604" s="114"/>
      <c r="AD1604" s="114"/>
      <c r="AE1604" s="114"/>
      <c r="AF1604" s="114"/>
      <c r="AG1604" s="114"/>
      <c r="AH1604" s="114"/>
      <c r="AI1604" s="114"/>
      <c r="AJ1604" s="114"/>
      <c r="AK1604" s="114"/>
      <c r="AL1604" s="114"/>
      <c r="AM1604" s="114"/>
      <c r="AN1604" s="114"/>
      <c r="AO1604" s="114"/>
      <c r="AP1604" s="114"/>
      <c r="AQ1604" s="114"/>
      <c r="AR1604" s="114"/>
      <c r="AS1604" s="114"/>
      <c r="AT1604" s="114"/>
      <c r="AU1604" s="114"/>
      <c r="AV1604" s="114"/>
      <c r="AW1604" s="114"/>
      <c r="AX1604" s="114"/>
      <c r="AY1604" s="114"/>
      <c r="AZ1604" s="114"/>
    </row>
    <row r="1605" spans="1:52">
      <c r="A1605" s="111"/>
      <c r="B1605" s="111"/>
      <c r="C1605" s="112"/>
      <c r="D1605" s="101"/>
      <c r="E1605" s="101"/>
      <c r="F1605" s="101"/>
      <c r="G1605" s="111"/>
      <c r="H1605" s="101"/>
      <c r="I1605" s="101"/>
      <c r="J1605" s="101"/>
      <c r="K1605" s="101"/>
      <c r="L1605" s="101"/>
      <c r="M1605" s="101"/>
      <c r="N1605" s="101"/>
      <c r="O1605" s="101"/>
      <c r="P1605" s="101"/>
      <c r="Q1605" s="101"/>
      <c r="R1605" s="101"/>
      <c r="S1605" s="101"/>
      <c r="T1605" s="101"/>
      <c r="U1605" s="101"/>
      <c r="V1605" s="101"/>
      <c r="W1605" s="101"/>
      <c r="X1605" s="101"/>
      <c r="Y1605" s="114"/>
      <c r="Z1605" s="114"/>
      <c r="AA1605" s="114"/>
      <c r="AB1605" s="114"/>
      <c r="AC1605" s="114"/>
      <c r="AD1605" s="114"/>
      <c r="AE1605" s="114"/>
      <c r="AF1605" s="114"/>
      <c r="AG1605" s="114"/>
      <c r="AH1605" s="114"/>
      <c r="AI1605" s="114"/>
      <c r="AJ1605" s="114"/>
      <c r="AK1605" s="114"/>
      <c r="AL1605" s="114"/>
      <c r="AM1605" s="114"/>
      <c r="AN1605" s="114"/>
      <c r="AO1605" s="114"/>
      <c r="AP1605" s="114"/>
      <c r="AQ1605" s="114"/>
      <c r="AR1605" s="114"/>
      <c r="AS1605" s="114"/>
      <c r="AT1605" s="114"/>
      <c r="AU1605" s="114"/>
      <c r="AV1605" s="114"/>
      <c r="AW1605" s="114"/>
      <c r="AX1605" s="114"/>
      <c r="AY1605" s="114"/>
      <c r="AZ1605" s="114"/>
    </row>
    <row r="1606" spans="1:52">
      <c r="A1606" s="111"/>
      <c r="B1606" s="111"/>
      <c r="C1606" s="112"/>
      <c r="D1606" s="101"/>
      <c r="E1606" s="101"/>
      <c r="F1606" s="101"/>
      <c r="G1606" s="111"/>
      <c r="H1606" s="101"/>
      <c r="I1606" s="101"/>
      <c r="J1606" s="101"/>
      <c r="K1606" s="101"/>
      <c r="L1606" s="101"/>
      <c r="M1606" s="101"/>
      <c r="N1606" s="101"/>
      <c r="O1606" s="101"/>
      <c r="P1606" s="101"/>
      <c r="Q1606" s="101"/>
      <c r="R1606" s="101"/>
      <c r="S1606" s="101"/>
      <c r="T1606" s="101"/>
      <c r="U1606" s="101"/>
      <c r="V1606" s="101"/>
      <c r="W1606" s="101"/>
      <c r="X1606" s="101"/>
      <c r="Y1606" s="114"/>
      <c r="Z1606" s="114"/>
      <c r="AA1606" s="114"/>
      <c r="AB1606" s="114"/>
      <c r="AC1606" s="114"/>
      <c r="AD1606" s="114"/>
      <c r="AE1606" s="114"/>
      <c r="AF1606" s="114"/>
      <c r="AG1606" s="114"/>
      <c r="AH1606" s="114"/>
      <c r="AI1606" s="114"/>
      <c r="AJ1606" s="114"/>
      <c r="AK1606" s="114"/>
      <c r="AL1606" s="114"/>
      <c r="AM1606" s="114"/>
      <c r="AN1606" s="114"/>
      <c r="AO1606" s="114"/>
      <c r="AP1606" s="114"/>
      <c r="AQ1606" s="114"/>
      <c r="AR1606" s="114"/>
      <c r="AS1606" s="114"/>
      <c r="AT1606" s="114"/>
      <c r="AU1606" s="114"/>
      <c r="AV1606" s="114"/>
      <c r="AW1606" s="114"/>
      <c r="AX1606" s="114"/>
      <c r="AY1606" s="114"/>
      <c r="AZ1606" s="114"/>
    </row>
    <row r="1607" spans="1:52">
      <c r="A1607" s="111"/>
      <c r="B1607" s="111"/>
      <c r="C1607" s="112"/>
      <c r="D1607" s="101"/>
      <c r="E1607" s="101"/>
      <c r="F1607" s="101"/>
      <c r="G1607" s="111"/>
      <c r="H1607" s="101"/>
      <c r="I1607" s="101"/>
      <c r="J1607" s="101"/>
      <c r="K1607" s="101"/>
      <c r="L1607" s="101"/>
      <c r="M1607" s="101"/>
      <c r="N1607" s="101"/>
      <c r="O1607" s="101"/>
      <c r="P1607" s="101"/>
      <c r="Q1607" s="101"/>
      <c r="R1607" s="101"/>
      <c r="S1607" s="101"/>
      <c r="T1607" s="101"/>
      <c r="U1607" s="101"/>
      <c r="V1607" s="101"/>
      <c r="W1607" s="101"/>
      <c r="X1607" s="101"/>
      <c r="Y1607" s="114"/>
      <c r="Z1607" s="114"/>
      <c r="AA1607" s="114"/>
      <c r="AB1607" s="114"/>
      <c r="AC1607" s="114"/>
      <c r="AD1607" s="114"/>
      <c r="AE1607" s="114"/>
      <c r="AF1607" s="114"/>
      <c r="AG1607" s="114"/>
      <c r="AH1607" s="114"/>
      <c r="AI1607" s="114"/>
      <c r="AJ1607" s="114"/>
      <c r="AK1607" s="114"/>
      <c r="AL1607" s="114"/>
      <c r="AM1607" s="114"/>
      <c r="AN1607" s="114"/>
      <c r="AO1607" s="114"/>
      <c r="AP1607" s="114"/>
      <c r="AQ1607" s="114"/>
      <c r="AR1607" s="114"/>
      <c r="AS1607" s="114"/>
      <c r="AT1607" s="114"/>
      <c r="AU1607" s="114"/>
      <c r="AV1607" s="114"/>
      <c r="AW1607" s="114"/>
      <c r="AX1607" s="114"/>
      <c r="AY1607" s="114"/>
      <c r="AZ1607" s="114"/>
    </row>
    <row r="1608" spans="1:52">
      <c r="A1608" s="111"/>
      <c r="B1608" s="111"/>
      <c r="C1608" s="112"/>
      <c r="D1608" s="101"/>
      <c r="E1608" s="101"/>
      <c r="F1608" s="101"/>
      <c r="G1608" s="111"/>
      <c r="H1608" s="101"/>
      <c r="I1608" s="101"/>
      <c r="J1608" s="101"/>
      <c r="K1608" s="101"/>
      <c r="L1608" s="101"/>
      <c r="M1608" s="101"/>
      <c r="N1608" s="101"/>
      <c r="O1608" s="101"/>
      <c r="P1608" s="101"/>
      <c r="Q1608" s="101"/>
      <c r="R1608" s="101"/>
      <c r="S1608" s="101"/>
      <c r="T1608" s="101"/>
      <c r="U1608" s="101"/>
      <c r="V1608" s="101"/>
      <c r="W1608" s="101"/>
      <c r="X1608" s="101"/>
      <c r="Y1608" s="114"/>
      <c r="Z1608" s="114"/>
      <c r="AA1608" s="114"/>
      <c r="AB1608" s="114"/>
      <c r="AC1608" s="114"/>
      <c r="AD1608" s="114"/>
      <c r="AE1608" s="114"/>
      <c r="AF1608" s="114"/>
      <c r="AG1608" s="114"/>
      <c r="AH1608" s="114"/>
      <c r="AI1608" s="114"/>
      <c r="AJ1608" s="114"/>
      <c r="AK1608" s="114"/>
      <c r="AL1608" s="114"/>
      <c r="AM1608" s="114"/>
      <c r="AN1608" s="114"/>
      <c r="AO1608" s="114"/>
      <c r="AP1608" s="114"/>
      <c r="AQ1608" s="114"/>
      <c r="AR1608" s="114"/>
      <c r="AS1608" s="114"/>
      <c r="AT1608" s="114"/>
      <c r="AU1608" s="114"/>
      <c r="AV1608" s="114"/>
      <c r="AW1608" s="114"/>
      <c r="AX1608" s="114"/>
      <c r="AY1608" s="114"/>
      <c r="AZ1608" s="114"/>
    </row>
    <row r="1609" spans="1:52">
      <c r="A1609" s="111"/>
      <c r="B1609" s="111"/>
      <c r="C1609" s="112"/>
      <c r="D1609" s="101"/>
      <c r="E1609" s="101"/>
      <c r="F1609" s="101"/>
      <c r="G1609" s="111"/>
      <c r="H1609" s="101"/>
      <c r="I1609" s="101"/>
      <c r="J1609" s="101"/>
      <c r="K1609" s="101"/>
      <c r="L1609" s="101"/>
      <c r="M1609" s="101"/>
      <c r="N1609" s="101"/>
      <c r="O1609" s="101"/>
      <c r="P1609" s="101"/>
      <c r="Q1609" s="101"/>
      <c r="R1609" s="101"/>
      <c r="S1609" s="101"/>
      <c r="T1609" s="101"/>
      <c r="U1609" s="101"/>
      <c r="V1609" s="101"/>
      <c r="W1609" s="101"/>
      <c r="X1609" s="101"/>
      <c r="Y1609" s="114"/>
      <c r="Z1609" s="114"/>
      <c r="AA1609" s="114"/>
      <c r="AB1609" s="114"/>
      <c r="AC1609" s="114"/>
      <c r="AD1609" s="114"/>
      <c r="AE1609" s="114"/>
      <c r="AF1609" s="114"/>
      <c r="AG1609" s="114"/>
      <c r="AH1609" s="114"/>
      <c r="AI1609" s="114"/>
      <c r="AJ1609" s="114"/>
      <c r="AK1609" s="114"/>
      <c r="AL1609" s="114"/>
      <c r="AM1609" s="114"/>
      <c r="AN1609" s="114"/>
      <c r="AO1609" s="114"/>
      <c r="AP1609" s="114"/>
      <c r="AQ1609" s="114"/>
      <c r="AR1609" s="114"/>
      <c r="AS1609" s="114"/>
      <c r="AT1609" s="114"/>
      <c r="AU1609" s="114"/>
      <c r="AV1609" s="114"/>
      <c r="AW1609" s="114"/>
      <c r="AX1609" s="114"/>
      <c r="AY1609" s="114"/>
      <c r="AZ1609" s="114"/>
    </row>
    <row r="1610" spans="1:52">
      <c r="A1610" s="111"/>
      <c r="B1610" s="111"/>
      <c r="C1610" s="112"/>
      <c r="D1610" s="101"/>
      <c r="E1610" s="101"/>
      <c r="F1610" s="101"/>
      <c r="G1610" s="111"/>
      <c r="H1610" s="101"/>
      <c r="I1610" s="101"/>
      <c r="J1610" s="101"/>
      <c r="K1610" s="101"/>
      <c r="L1610" s="101"/>
      <c r="M1610" s="101"/>
      <c r="N1610" s="101"/>
      <c r="O1610" s="101"/>
      <c r="P1610" s="101"/>
      <c r="Q1610" s="101"/>
      <c r="R1610" s="101"/>
      <c r="S1610" s="101"/>
      <c r="T1610" s="101"/>
      <c r="U1610" s="101"/>
      <c r="V1610" s="101"/>
      <c r="W1610" s="101"/>
      <c r="X1610" s="101"/>
      <c r="Y1610" s="114"/>
      <c r="Z1610" s="114"/>
      <c r="AA1610" s="114"/>
      <c r="AB1610" s="114"/>
      <c r="AC1610" s="114"/>
      <c r="AD1610" s="114"/>
      <c r="AE1610" s="114"/>
      <c r="AF1610" s="114"/>
      <c r="AG1610" s="114"/>
      <c r="AH1610" s="114"/>
      <c r="AI1610" s="114"/>
      <c r="AJ1610" s="114"/>
      <c r="AK1610" s="114"/>
      <c r="AL1610" s="114"/>
      <c r="AM1610" s="114"/>
      <c r="AN1610" s="114"/>
      <c r="AO1610" s="114"/>
      <c r="AP1610" s="114"/>
      <c r="AQ1610" s="114"/>
      <c r="AR1610" s="114"/>
      <c r="AS1610" s="114"/>
      <c r="AT1610" s="114"/>
      <c r="AU1610" s="114"/>
      <c r="AV1610" s="114"/>
      <c r="AW1610" s="114"/>
      <c r="AX1610" s="114"/>
      <c r="AY1610" s="114"/>
      <c r="AZ1610" s="114"/>
    </row>
    <row r="1611" spans="1:52">
      <c r="A1611" s="111"/>
      <c r="B1611" s="111"/>
      <c r="C1611" s="112"/>
      <c r="D1611" s="101"/>
      <c r="E1611" s="101"/>
      <c r="F1611" s="101"/>
      <c r="G1611" s="111"/>
      <c r="H1611" s="101"/>
      <c r="I1611" s="101"/>
      <c r="J1611" s="101"/>
      <c r="K1611" s="101"/>
      <c r="L1611" s="101"/>
      <c r="M1611" s="101"/>
      <c r="N1611" s="101"/>
      <c r="O1611" s="101"/>
      <c r="P1611" s="101"/>
      <c r="Q1611" s="101"/>
      <c r="R1611" s="101"/>
      <c r="S1611" s="101"/>
      <c r="T1611" s="101"/>
      <c r="U1611" s="101"/>
      <c r="V1611" s="101"/>
      <c r="W1611" s="101"/>
      <c r="X1611" s="101"/>
      <c r="Y1611" s="114"/>
      <c r="Z1611" s="114"/>
      <c r="AA1611" s="114"/>
      <c r="AB1611" s="114"/>
      <c r="AC1611" s="114"/>
      <c r="AD1611" s="114"/>
      <c r="AE1611" s="114"/>
      <c r="AF1611" s="114"/>
      <c r="AG1611" s="114"/>
      <c r="AH1611" s="114"/>
      <c r="AI1611" s="114"/>
      <c r="AJ1611" s="114"/>
      <c r="AK1611" s="114"/>
      <c r="AL1611" s="114"/>
      <c r="AM1611" s="114"/>
      <c r="AN1611" s="114"/>
      <c r="AO1611" s="114"/>
      <c r="AP1611" s="114"/>
      <c r="AQ1611" s="114"/>
      <c r="AR1611" s="114"/>
      <c r="AS1611" s="114"/>
      <c r="AT1611" s="114"/>
      <c r="AU1611" s="114"/>
      <c r="AV1611" s="114"/>
      <c r="AW1611" s="114"/>
      <c r="AX1611" s="114"/>
      <c r="AY1611" s="114"/>
      <c r="AZ1611" s="114"/>
    </row>
    <row r="1612" spans="1:52">
      <c r="A1612" s="111"/>
      <c r="B1612" s="111"/>
      <c r="C1612" s="112"/>
      <c r="D1612" s="101"/>
      <c r="E1612" s="101"/>
      <c r="F1612" s="101"/>
      <c r="G1612" s="111"/>
      <c r="H1612" s="101"/>
      <c r="I1612" s="101"/>
      <c r="J1612" s="101"/>
      <c r="K1612" s="101"/>
      <c r="L1612" s="101"/>
      <c r="M1612" s="101"/>
      <c r="N1612" s="101"/>
      <c r="O1612" s="101"/>
      <c r="P1612" s="101"/>
      <c r="Q1612" s="101"/>
      <c r="R1612" s="101"/>
      <c r="S1612" s="101"/>
      <c r="T1612" s="101"/>
      <c r="U1612" s="101"/>
      <c r="V1612" s="101"/>
      <c r="W1612" s="101"/>
      <c r="X1612" s="101"/>
      <c r="Y1612" s="114"/>
      <c r="Z1612" s="114"/>
      <c r="AA1612" s="114"/>
      <c r="AB1612" s="114"/>
      <c r="AC1612" s="114"/>
      <c r="AD1612" s="114"/>
      <c r="AE1612" s="114"/>
      <c r="AF1612" s="114"/>
      <c r="AG1612" s="114"/>
      <c r="AH1612" s="114"/>
      <c r="AI1612" s="114"/>
      <c r="AJ1612" s="114"/>
      <c r="AK1612" s="114"/>
      <c r="AL1612" s="114"/>
      <c r="AM1612" s="114"/>
      <c r="AN1612" s="114"/>
      <c r="AO1612" s="114"/>
      <c r="AP1612" s="114"/>
      <c r="AQ1612" s="114"/>
      <c r="AR1612" s="114"/>
      <c r="AS1612" s="114"/>
      <c r="AT1612" s="114"/>
      <c r="AU1612" s="114"/>
      <c r="AV1612" s="114"/>
      <c r="AW1612" s="114"/>
      <c r="AX1612" s="114"/>
      <c r="AY1612" s="114"/>
      <c r="AZ1612" s="114"/>
    </row>
    <row r="1613" spans="1:52">
      <c r="A1613" s="111"/>
      <c r="B1613" s="111"/>
      <c r="C1613" s="112"/>
      <c r="D1613" s="101"/>
      <c r="E1613" s="101"/>
      <c r="F1613" s="101"/>
      <c r="G1613" s="111"/>
      <c r="H1613" s="101"/>
      <c r="I1613" s="101"/>
      <c r="J1613" s="101"/>
      <c r="K1613" s="101"/>
      <c r="L1613" s="101"/>
      <c r="M1613" s="101"/>
      <c r="N1613" s="101"/>
      <c r="O1613" s="101"/>
      <c r="P1613" s="101"/>
      <c r="Q1613" s="101"/>
      <c r="R1613" s="101"/>
      <c r="S1613" s="101"/>
      <c r="T1613" s="101"/>
      <c r="U1613" s="101"/>
      <c r="V1613" s="101"/>
      <c r="W1613" s="101"/>
      <c r="X1613" s="101"/>
      <c r="Y1613" s="114"/>
      <c r="Z1613" s="114"/>
      <c r="AA1613" s="114"/>
      <c r="AB1613" s="114"/>
      <c r="AC1613" s="114"/>
      <c r="AD1613" s="114"/>
      <c r="AE1613" s="114"/>
      <c r="AF1613" s="114"/>
      <c r="AG1613" s="114"/>
      <c r="AH1613" s="114"/>
      <c r="AI1613" s="114"/>
      <c r="AJ1613" s="114"/>
      <c r="AK1613" s="114"/>
      <c r="AL1613" s="114"/>
      <c r="AM1613" s="114"/>
      <c r="AN1613" s="114"/>
      <c r="AO1613" s="114"/>
      <c r="AP1613" s="114"/>
      <c r="AQ1613" s="114"/>
      <c r="AR1613" s="114"/>
      <c r="AS1613" s="114"/>
      <c r="AT1613" s="114"/>
      <c r="AU1613" s="114"/>
      <c r="AV1613" s="114"/>
      <c r="AW1613" s="114"/>
      <c r="AX1613" s="114"/>
      <c r="AY1613" s="114"/>
      <c r="AZ1613" s="114"/>
    </row>
    <row r="1614" spans="1:52">
      <c r="A1614" s="111"/>
      <c r="B1614" s="111"/>
      <c r="C1614" s="112"/>
      <c r="D1614" s="101"/>
      <c r="E1614" s="101"/>
      <c r="F1614" s="101"/>
      <c r="G1614" s="111"/>
      <c r="H1614" s="101"/>
      <c r="I1614" s="101"/>
      <c r="J1614" s="101"/>
      <c r="K1614" s="101"/>
      <c r="L1614" s="101"/>
      <c r="M1614" s="101"/>
      <c r="N1614" s="101"/>
      <c r="O1614" s="101"/>
      <c r="P1614" s="101"/>
      <c r="Q1614" s="101"/>
      <c r="R1614" s="101"/>
      <c r="S1614" s="101"/>
      <c r="T1614" s="101"/>
      <c r="U1614" s="101"/>
      <c r="V1614" s="101"/>
      <c r="W1614" s="101"/>
      <c r="X1614" s="101"/>
      <c r="Y1614" s="114"/>
      <c r="Z1614" s="114"/>
      <c r="AA1614" s="114"/>
      <c r="AB1614" s="114"/>
      <c r="AC1614" s="114"/>
      <c r="AD1614" s="114"/>
      <c r="AE1614" s="114"/>
      <c r="AF1614" s="114"/>
      <c r="AG1614" s="114"/>
      <c r="AH1614" s="114"/>
      <c r="AI1614" s="114"/>
      <c r="AJ1614" s="114"/>
      <c r="AK1614" s="114"/>
      <c r="AL1614" s="114"/>
      <c r="AM1614" s="114"/>
      <c r="AN1614" s="114"/>
      <c r="AO1614" s="114"/>
      <c r="AP1614" s="114"/>
      <c r="AQ1614" s="114"/>
      <c r="AR1614" s="114"/>
      <c r="AS1614" s="114"/>
      <c r="AT1614" s="114"/>
      <c r="AU1614" s="114"/>
      <c r="AV1614" s="114"/>
      <c r="AW1614" s="114"/>
      <c r="AX1614" s="114"/>
      <c r="AY1614" s="114"/>
      <c r="AZ1614" s="114"/>
    </row>
    <row r="1615" spans="1:52">
      <c r="A1615" s="111"/>
      <c r="B1615" s="111"/>
      <c r="C1615" s="112"/>
      <c r="D1615" s="101"/>
      <c r="E1615" s="101"/>
      <c r="F1615" s="101"/>
      <c r="G1615" s="111"/>
      <c r="H1615" s="101"/>
      <c r="I1615" s="101"/>
      <c r="J1615" s="101"/>
      <c r="K1615" s="101"/>
      <c r="L1615" s="101"/>
      <c r="M1615" s="101"/>
      <c r="N1615" s="101"/>
      <c r="O1615" s="101"/>
      <c r="P1615" s="101"/>
      <c r="Q1615" s="101"/>
      <c r="R1615" s="101"/>
      <c r="S1615" s="101"/>
      <c r="T1615" s="101"/>
      <c r="U1615" s="101"/>
      <c r="V1615" s="101"/>
      <c r="W1615" s="101"/>
      <c r="X1615" s="101"/>
      <c r="Y1615" s="114"/>
      <c r="Z1615" s="114"/>
      <c r="AA1615" s="114"/>
      <c r="AB1615" s="114"/>
      <c r="AC1615" s="114"/>
      <c r="AD1615" s="114"/>
      <c r="AE1615" s="114"/>
      <c r="AF1615" s="114"/>
      <c r="AG1615" s="114"/>
      <c r="AH1615" s="114"/>
      <c r="AI1615" s="114"/>
      <c r="AJ1615" s="114"/>
      <c r="AK1615" s="114"/>
      <c r="AL1615" s="114"/>
      <c r="AM1615" s="114"/>
      <c r="AN1615" s="114"/>
      <c r="AO1615" s="114"/>
      <c r="AP1615" s="114"/>
      <c r="AQ1615" s="114"/>
      <c r="AR1615" s="114"/>
      <c r="AS1615" s="114"/>
      <c r="AT1615" s="114"/>
      <c r="AU1615" s="114"/>
      <c r="AV1615" s="114"/>
      <c r="AW1615" s="114"/>
      <c r="AX1615" s="114"/>
      <c r="AY1615" s="114"/>
      <c r="AZ1615" s="114"/>
    </row>
    <row r="1616" spans="1:52">
      <c r="A1616" s="111"/>
      <c r="B1616" s="111"/>
      <c r="C1616" s="112"/>
      <c r="D1616" s="101"/>
      <c r="E1616" s="101"/>
      <c r="F1616" s="101"/>
      <c r="G1616" s="111"/>
      <c r="H1616" s="101"/>
      <c r="I1616" s="101"/>
      <c r="J1616" s="101"/>
      <c r="K1616" s="101"/>
      <c r="L1616" s="101"/>
      <c r="M1616" s="101"/>
      <c r="N1616" s="101"/>
      <c r="O1616" s="101"/>
      <c r="P1616" s="101"/>
      <c r="Q1616" s="101"/>
      <c r="R1616" s="101"/>
      <c r="S1616" s="101"/>
      <c r="T1616" s="101"/>
      <c r="U1616" s="101"/>
      <c r="V1616" s="101"/>
      <c r="W1616" s="101"/>
      <c r="X1616" s="101"/>
      <c r="Y1616" s="114"/>
      <c r="Z1616" s="114"/>
      <c r="AA1616" s="114"/>
      <c r="AB1616" s="114"/>
      <c r="AC1616" s="114"/>
      <c r="AD1616" s="114"/>
      <c r="AE1616" s="114"/>
      <c r="AF1616" s="114"/>
      <c r="AG1616" s="114"/>
      <c r="AH1616" s="114"/>
      <c r="AI1616" s="114"/>
      <c r="AJ1616" s="114"/>
      <c r="AK1616" s="114"/>
      <c r="AL1616" s="114"/>
      <c r="AM1616" s="114"/>
      <c r="AN1616" s="114"/>
      <c r="AO1616" s="114"/>
      <c r="AP1616" s="114"/>
      <c r="AQ1616" s="114"/>
      <c r="AR1616" s="114"/>
      <c r="AS1616" s="114"/>
      <c r="AT1616" s="114"/>
      <c r="AU1616" s="114"/>
      <c r="AV1616" s="114"/>
      <c r="AW1616" s="114"/>
      <c r="AX1616" s="114"/>
      <c r="AY1616" s="114"/>
      <c r="AZ1616" s="114"/>
    </row>
    <row r="1617" spans="1:52">
      <c r="A1617" s="111"/>
      <c r="B1617" s="111"/>
      <c r="C1617" s="112"/>
      <c r="D1617" s="101"/>
      <c r="E1617" s="101"/>
      <c r="F1617" s="101"/>
      <c r="G1617" s="111"/>
      <c r="H1617" s="101"/>
      <c r="I1617" s="101"/>
      <c r="J1617" s="101"/>
      <c r="K1617" s="101"/>
      <c r="L1617" s="101"/>
      <c r="M1617" s="101"/>
      <c r="N1617" s="101"/>
      <c r="O1617" s="101"/>
      <c r="P1617" s="101"/>
      <c r="Q1617" s="101"/>
      <c r="R1617" s="101"/>
      <c r="S1617" s="101"/>
      <c r="T1617" s="101"/>
      <c r="U1617" s="101"/>
      <c r="V1617" s="101"/>
      <c r="W1617" s="101"/>
      <c r="X1617" s="101"/>
      <c r="Y1617" s="114"/>
      <c r="Z1617" s="114"/>
      <c r="AA1617" s="114"/>
      <c r="AB1617" s="114"/>
      <c r="AC1617" s="114"/>
      <c r="AD1617" s="114"/>
      <c r="AE1617" s="114"/>
      <c r="AF1617" s="114"/>
      <c r="AG1617" s="114"/>
      <c r="AH1617" s="114"/>
      <c r="AI1617" s="114"/>
      <c r="AJ1617" s="114"/>
      <c r="AK1617" s="114"/>
      <c r="AL1617" s="114"/>
      <c r="AM1617" s="114"/>
      <c r="AN1617" s="114"/>
      <c r="AO1617" s="114"/>
      <c r="AP1617" s="114"/>
      <c r="AQ1617" s="114"/>
      <c r="AR1617" s="114"/>
      <c r="AS1617" s="114"/>
      <c r="AT1617" s="114"/>
      <c r="AU1617" s="114"/>
      <c r="AV1617" s="114"/>
      <c r="AW1617" s="114"/>
      <c r="AX1617" s="114"/>
      <c r="AY1617" s="114"/>
      <c r="AZ1617" s="114"/>
    </row>
    <row r="1618" spans="1:52">
      <c r="A1618" s="111"/>
      <c r="B1618" s="111"/>
      <c r="C1618" s="112"/>
      <c r="D1618" s="101"/>
      <c r="E1618" s="101"/>
      <c r="F1618" s="101"/>
      <c r="G1618" s="111"/>
      <c r="H1618" s="101"/>
      <c r="I1618" s="101"/>
      <c r="J1618" s="101"/>
      <c r="K1618" s="101"/>
      <c r="L1618" s="101"/>
      <c r="M1618" s="101"/>
      <c r="N1618" s="101"/>
      <c r="O1618" s="101"/>
      <c r="P1618" s="101"/>
      <c r="Q1618" s="101"/>
      <c r="R1618" s="101"/>
      <c r="S1618" s="101"/>
      <c r="T1618" s="101"/>
      <c r="U1618" s="101"/>
      <c r="V1618" s="101"/>
      <c r="W1618" s="101"/>
      <c r="X1618" s="101"/>
      <c r="Y1618" s="114"/>
      <c r="Z1618" s="114"/>
      <c r="AA1618" s="114"/>
      <c r="AB1618" s="114"/>
      <c r="AC1618" s="114"/>
      <c r="AD1618" s="114"/>
      <c r="AE1618" s="114"/>
      <c r="AF1618" s="114"/>
      <c r="AG1618" s="114"/>
      <c r="AH1618" s="114"/>
      <c r="AI1618" s="114"/>
      <c r="AJ1618" s="114"/>
      <c r="AK1618" s="114"/>
      <c r="AL1618" s="114"/>
      <c r="AM1618" s="114"/>
      <c r="AN1618" s="114"/>
      <c r="AO1618" s="114"/>
      <c r="AP1618" s="114"/>
      <c r="AQ1618" s="114"/>
      <c r="AR1618" s="114"/>
      <c r="AS1618" s="114"/>
      <c r="AT1618" s="114"/>
      <c r="AU1618" s="114"/>
      <c r="AV1618" s="114"/>
      <c r="AW1618" s="114"/>
      <c r="AX1618" s="114"/>
      <c r="AY1618" s="114"/>
      <c r="AZ1618" s="114"/>
    </row>
    <row r="1619" spans="1:52">
      <c r="A1619" s="111"/>
      <c r="B1619" s="111"/>
      <c r="C1619" s="112"/>
      <c r="D1619" s="101"/>
      <c r="E1619" s="101"/>
      <c r="F1619" s="101"/>
      <c r="G1619" s="111"/>
      <c r="H1619" s="101"/>
      <c r="I1619" s="101"/>
      <c r="J1619" s="101"/>
      <c r="K1619" s="101"/>
      <c r="L1619" s="101"/>
      <c r="M1619" s="101"/>
      <c r="N1619" s="101"/>
      <c r="O1619" s="101"/>
      <c r="P1619" s="101"/>
      <c r="Q1619" s="101"/>
      <c r="R1619" s="101"/>
      <c r="S1619" s="101"/>
      <c r="T1619" s="101"/>
      <c r="U1619" s="101"/>
      <c r="V1619" s="101"/>
      <c r="W1619" s="101"/>
      <c r="X1619" s="101"/>
      <c r="Y1619" s="114"/>
      <c r="Z1619" s="114"/>
      <c r="AA1619" s="114"/>
      <c r="AB1619" s="114"/>
      <c r="AC1619" s="114"/>
      <c r="AD1619" s="114"/>
      <c r="AE1619" s="114"/>
      <c r="AF1619" s="114"/>
      <c r="AG1619" s="114"/>
      <c r="AH1619" s="114"/>
      <c r="AI1619" s="114"/>
      <c r="AJ1619" s="114"/>
      <c r="AK1619" s="114"/>
      <c r="AL1619" s="114"/>
      <c r="AM1619" s="114"/>
      <c r="AN1619" s="114"/>
      <c r="AO1619" s="114"/>
      <c r="AP1619" s="114"/>
      <c r="AQ1619" s="114"/>
      <c r="AR1619" s="114"/>
      <c r="AS1619" s="114"/>
      <c r="AT1619" s="114"/>
      <c r="AU1619" s="114"/>
      <c r="AV1619" s="114"/>
      <c r="AW1619" s="114"/>
      <c r="AX1619" s="114"/>
      <c r="AY1619" s="114"/>
      <c r="AZ1619" s="114"/>
    </row>
    <row r="1620" spans="1:52">
      <c r="A1620" s="111"/>
      <c r="B1620" s="111"/>
      <c r="C1620" s="112"/>
      <c r="D1620" s="101"/>
      <c r="E1620" s="101"/>
      <c r="F1620" s="101"/>
      <c r="G1620" s="111"/>
      <c r="H1620" s="101"/>
      <c r="I1620" s="101"/>
      <c r="J1620" s="101"/>
      <c r="K1620" s="101"/>
      <c r="L1620" s="101"/>
      <c r="M1620" s="101"/>
      <c r="N1620" s="101"/>
      <c r="O1620" s="101"/>
      <c r="P1620" s="101"/>
      <c r="Q1620" s="101"/>
      <c r="R1620" s="101"/>
      <c r="S1620" s="101"/>
      <c r="T1620" s="101"/>
      <c r="U1620" s="101"/>
      <c r="V1620" s="101"/>
      <c r="W1620" s="101"/>
      <c r="X1620" s="101"/>
      <c r="Y1620" s="114"/>
      <c r="Z1620" s="114"/>
      <c r="AA1620" s="114"/>
      <c r="AB1620" s="114"/>
      <c r="AC1620" s="114"/>
      <c r="AD1620" s="114"/>
      <c r="AE1620" s="114"/>
      <c r="AF1620" s="114"/>
      <c r="AG1620" s="114"/>
      <c r="AH1620" s="114"/>
      <c r="AI1620" s="114"/>
      <c r="AJ1620" s="114"/>
      <c r="AK1620" s="114"/>
      <c r="AL1620" s="114"/>
      <c r="AM1620" s="114"/>
      <c r="AN1620" s="114"/>
      <c r="AO1620" s="114"/>
      <c r="AP1620" s="114"/>
      <c r="AQ1620" s="114"/>
      <c r="AR1620" s="114"/>
      <c r="AS1620" s="114"/>
      <c r="AT1620" s="114"/>
      <c r="AU1620" s="114"/>
      <c r="AV1620" s="114"/>
      <c r="AW1620" s="114"/>
      <c r="AX1620" s="114"/>
      <c r="AY1620" s="114"/>
      <c r="AZ1620" s="114"/>
    </row>
    <row r="1621" spans="1:52">
      <c r="A1621" s="111"/>
      <c r="B1621" s="111"/>
      <c r="C1621" s="112"/>
      <c r="D1621" s="101"/>
      <c r="E1621" s="101"/>
      <c r="F1621" s="101"/>
      <c r="G1621" s="111"/>
      <c r="H1621" s="101"/>
      <c r="I1621" s="101"/>
      <c r="J1621" s="101"/>
      <c r="K1621" s="101"/>
      <c r="L1621" s="101"/>
      <c r="M1621" s="101"/>
      <c r="N1621" s="101"/>
      <c r="O1621" s="101"/>
      <c r="P1621" s="101"/>
      <c r="Q1621" s="101"/>
      <c r="R1621" s="101"/>
      <c r="S1621" s="101"/>
      <c r="T1621" s="101"/>
      <c r="U1621" s="101"/>
      <c r="V1621" s="101"/>
      <c r="W1621" s="101"/>
      <c r="X1621" s="101"/>
      <c r="Y1621" s="114"/>
      <c r="Z1621" s="114"/>
      <c r="AA1621" s="114"/>
      <c r="AB1621" s="114"/>
      <c r="AC1621" s="114"/>
      <c r="AD1621" s="114"/>
      <c r="AE1621" s="114"/>
      <c r="AF1621" s="114"/>
      <c r="AG1621" s="114"/>
      <c r="AH1621" s="114"/>
      <c r="AI1621" s="114"/>
      <c r="AJ1621" s="114"/>
      <c r="AK1621" s="114"/>
      <c r="AL1621" s="114"/>
      <c r="AM1621" s="114"/>
      <c r="AN1621" s="114"/>
      <c r="AO1621" s="114"/>
      <c r="AP1621" s="114"/>
      <c r="AQ1621" s="114"/>
      <c r="AR1621" s="114"/>
      <c r="AS1621" s="114"/>
      <c r="AT1621" s="114"/>
      <c r="AU1621" s="114"/>
      <c r="AV1621" s="114"/>
      <c r="AW1621" s="114"/>
      <c r="AX1621" s="114"/>
      <c r="AY1621" s="114"/>
      <c r="AZ1621" s="114"/>
    </row>
    <row r="1622" spans="1:52">
      <c r="A1622" s="111"/>
      <c r="B1622" s="111"/>
      <c r="C1622" s="112"/>
      <c r="D1622" s="101"/>
      <c r="E1622" s="101"/>
      <c r="F1622" s="101"/>
      <c r="G1622" s="111"/>
      <c r="H1622" s="101"/>
      <c r="I1622" s="101"/>
      <c r="J1622" s="101"/>
      <c r="K1622" s="101"/>
      <c r="L1622" s="101"/>
      <c r="M1622" s="101"/>
      <c r="N1622" s="101"/>
      <c r="O1622" s="101"/>
      <c r="P1622" s="101"/>
      <c r="Q1622" s="101"/>
      <c r="R1622" s="101"/>
      <c r="S1622" s="101"/>
      <c r="T1622" s="101"/>
      <c r="U1622" s="101"/>
      <c r="V1622" s="101"/>
      <c r="W1622" s="101"/>
      <c r="X1622" s="101"/>
      <c r="Y1622" s="114"/>
      <c r="Z1622" s="114"/>
      <c r="AA1622" s="114"/>
      <c r="AB1622" s="114"/>
      <c r="AC1622" s="114"/>
      <c r="AD1622" s="114"/>
      <c r="AE1622" s="114"/>
      <c r="AF1622" s="114"/>
      <c r="AG1622" s="114"/>
      <c r="AH1622" s="114"/>
      <c r="AI1622" s="114"/>
      <c r="AJ1622" s="114"/>
      <c r="AK1622" s="114"/>
      <c r="AL1622" s="114"/>
      <c r="AM1622" s="114"/>
      <c r="AN1622" s="114"/>
      <c r="AO1622" s="114"/>
      <c r="AP1622" s="114"/>
      <c r="AQ1622" s="114"/>
      <c r="AR1622" s="114"/>
      <c r="AS1622" s="114"/>
      <c r="AT1622" s="114"/>
      <c r="AU1622" s="114"/>
      <c r="AV1622" s="114"/>
      <c r="AW1622" s="114"/>
      <c r="AX1622" s="114"/>
      <c r="AY1622" s="114"/>
      <c r="AZ1622" s="114"/>
    </row>
    <row r="1623" spans="1:52">
      <c r="A1623" s="111"/>
      <c r="B1623" s="111"/>
      <c r="C1623" s="112"/>
      <c r="D1623" s="101"/>
      <c r="E1623" s="101"/>
      <c r="F1623" s="101"/>
      <c r="G1623" s="111"/>
      <c r="H1623" s="101"/>
      <c r="I1623" s="101"/>
      <c r="J1623" s="101"/>
      <c r="K1623" s="101"/>
      <c r="L1623" s="101"/>
      <c r="M1623" s="101"/>
      <c r="N1623" s="101"/>
      <c r="O1623" s="101"/>
      <c r="P1623" s="101"/>
      <c r="Q1623" s="101"/>
      <c r="R1623" s="101"/>
      <c r="S1623" s="101"/>
      <c r="T1623" s="101"/>
      <c r="U1623" s="101"/>
      <c r="V1623" s="101"/>
      <c r="W1623" s="101"/>
      <c r="X1623" s="101"/>
      <c r="Y1623" s="114"/>
      <c r="Z1623" s="114"/>
      <c r="AA1623" s="114"/>
      <c r="AB1623" s="114"/>
      <c r="AC1623" s="114"/>
      <c r="AD1623" s="114"/>
      <c r="AE1623" s="114"/>
      <c r="AF1623" s="114"/>
      <c r="AG1623" s="114"/>
      <c r="AH1623" s="114"/>
      <c r="AI1623" s="114"/>
      <c r="AJ1623" s="114"/>
      <c r="AK1623" s="114"/>
      <c r="AL1623" s="114"/>
      <c r="AM1623" s="114"/>
      <c r="AN1623" s="114"/>
      <c r="AO1623" s="114"/>
      <c r="AP1623" s="114"/>
      <c r="AQ1623" s="114"/>
      <c r="AR1623" s="114"/>
      <c r="AS1623" s="114"/>
      <c r="AT1623" s="114"/>
      <c r="AU1623" s="114"/>
      <c r="AV1623" s="114"/>
      <c r="AW1623" s="114"/>
      <c r="AX1623" s="114"/>
      <c r="AY1623" s="114"/>
      <c r="AZ1623" s="114"/>
    </row>
    <row r="1624" spans="1:52">
      <c r="A1624" s="111"/>
      <c r="B1624" s="111"/>
      <c r="C1624" s="112"/>
      <c r="D1624" s="101"/>
      <c r="E1624" s="101"/>
      <c r="F1624" s="101"/>
      <c r="G1624" s="111"/>
      <c r="H1624" s="101"/>
      <c r="I1624" s="101"/>
      <c r="J1624" s="101"/>
      <c r="K1624" s="101"/>
      <c r="L1624" s="101"/>
      <c r="M1624" s="101"/>
      <c r="N1624" s="101"/>
      <c r="O1624" s="101"/>
      <c r="P1624" s="101"/>
      <c r="Q1624" s="101"/>
      <c r="R1624" s="101"/>
      <c r="S1624" s="101"/>
      <c r="T1624" s="101"/>
      <c r="U1624" s="101"/>
      <c r="V1624" s="101"/>
      <c r="W1624" s="101"/>
      <c r="X1624" s="101"/>
      <c r="Y1624" s="114"/>
      <c r="Z1624" s="114"/>
      <c r="AA1624" s="114"/>
      <c r="AB1624" s="114"/>
      <c r="AC1624" s="114"/>
      <c r="AD1624" s="114"/>
      <c r="AE1624" s="114"/>
      <c r="AF1624" s="114"/>
      <c r="AG1624" s="114"/>
      <c r="AH1624" s="114"/>
      <c r="AI1624" s="114"/>
      <c r="AJ1624" s="114"/>
      <c r="AK1624" s="114"/>
      <c r="AL1624" s="114"/>
      <c r="AM1624" s="114"/>
      <c r="AN1624" s="114"/>
      <c r="AO1624" s="114"/>
      <c r="AP1624" s="114"/>
      <c r="AQ1624" s="114"/>
      <c r="AR1624" s="114"/>
      <c r="AS1624" s="114"/>
      <c r="AT1624" s="114"/>
      <c r="AU1624" s="114"/>
      <c r="AV1624" s="114"/>
      <c r="AW1624" s="114"/>
      <c r="AX1624" s="114"/>
      <c r="AY1624" s="114"/>
      <c r="AZ1624" s="114"/>
    </row>
    <row r="1625" spans="1:52">
      <c r="A1625" s="111"/>
      <c r="B1625" s="111"/>
      <c r="C1625" s="112"/>
      <c r="D1625" s="101"/>
      <c r="E1625" s="101"/>
      <c r="F1625" s="101"/>
      <c r="G1625" s="111"/>
      <c r="H1625" s="101"/>
      <c r="I1625" s="101"/>
      <c r="J1625" s="101"/>
      <c r="K1625" s="101"/>
      <c r="L1625" s="101"/>
      <c r="M1625" s="101"/>
      <c r="N1625" s="101"/>
      <c r="O1625" s="101"/>
      <c r="P1625" s="101"/>
      <c r="Q1625" s="101"/>
      <c r="R1625" s="101"/>
      <c r="S1625" s="101"/>
      <c r="T1625" s="101"/>
      <c r="U1625" s="101"/>
      <c r="V1625" s="101"/>
      <c r="W1625" s="101"/>
      <c r="X1625" s="101"/>
      <c r="Y1625" s="114"/>
      <c r="Z1625" s="114"/>
      <c r="AA1625" s="114"/>
      <c r="AB1625" s="114"/>
      <c r="AC1625" s="114"/>
      <c r="AD1625" s="114"/>
      <c r="AE1625" s="114"/>
      <c r="AF1625" s="114"/>
      <c r="AG1625" s="114"/>
      <c r="AH1625" s="114"/>
      <c r="AI1625" s="114"/>
      <c r="AJ1625" s="114"/>
      <c r="AK1625" s="114"/>
      <c r="AL1625" s="114"/>
      <c r="AM1625" s="114"/>
      <c r="AN1625" s="114"/>
      <c r="AO1625" s="114"/>
      <c r="AP1625" s="114"/>
      <c r="AQ1625" s="114"/>
      <c r="AR1625" s="114"/>
      <c r="AS1625" s="114"/>
      <c r="AT1625" s="114"/>
      <c r="AU1625" s="114"/>
      <c r="AV1625" s="114"/>
      <c r="AW1625" s="114"/>
      <c r="AX1625" s="114"/>
      <c r="AY1625" s="114"/>
      <c r="AZ1625" s="114"/>
    </row>
    <row r="1626" spans="1:52">
      <c r="A1626" s="111"/>
      <c r="B1626" s="111"/>
      <c r="C1626" s="112"/>
      <c r="D1626" s="101"/>
      <c r="E1626" s="101"/>
      <c r="F1626" s="101"/>
      <c r="G1626" s="111"/>
      <c r="H1626" s="101"/>
      <c r="I1626" s="101"/>
      <c r="J1626" s="101"/>
      <c r="K1626" s="101"/>
      <c r="L1626" s="101"/>
      <c r="M1626" s="101"/>
      <c r="N1626" s="101"/>
      <c r="O1626" s="101"/>
      <c r="P1626" s="101"/>
      <c r="Q1626" s="101"/>
      <c r="R1626" s="101"/>
      <c r="S1626" s="101"/>
      <c r="T1626" s="101"/>
      <c r="U1626" s="101"/>
      <c r="V1626" s="101"/>
      <c r="W1626" s="101"/>
      <c r="X1626" s="101"/>
      <c r="Y1626" s="114"/>
      <c r="Z1626" s="114"/>
      <c r="AA1626" s="114"/>
      <c r="AB1626" s="114"/>
      <c r="AC1626" s="114"/>
      <c r="AD1626" s="114"/>
      <c r="AE1626" s="114"/>
      <c r="AF1626" s="114"/>
      <c r="AG1626" s="114"/>
      <c r="AH1626" s="114"/>
      <c r="AI1626" s="114"/>
      <c r="AJ1626" s="114"/>
      <c r="AK1626" s="114"/>
      <c r="AL1626" s="114"/>
      <c r="AM1626" s="114"/>
      <c r="AN1626" s="114"/>
      <c r="AO1626" s="114"/>
      <c r="AP1626" s="114"/>
      <c r="AQ1626" s="114"/>
      <c r="AR1626" s="114"/>
      <c r="AS1626" s="114"/>
      <c r="AT1626" s="114"/>
      <c r="AU1626" s="114"/>
      <c r="AV1626" s="114"/>
      <c r="AW1626" s="114"/>
      <c r="AX1626" s="114"/>
      <c r="AY1626" s="114"/>
      <c r="AZ1626" s="114"/>
    </row>
    <row r="1627" spans="1:52">
      <c r="A1627" s="111"/>
      <c r="B1627" s="111"/>
      <c r="C1627" s="112"/>
      <c r="D1627" s="101"/>
      <c r="E1627" s="101"/>
      <c r="F1627" s="101"/>
      <c r="G1627" s="111"/>
      <c r="H1627" s="101"/>
      <c r="I1627" s="101"/>
      <c r="J1627" s="101"/>
      <c r="K1627" s="101"/>
      <c r="L1627" s="101"/>
      <c r="M1627" s="101"/>
      <c r="N1627" s="101"/>
      <c r="O1627" s="101"/>
      <c r="P1627" s="101"/>
      <c r="Q1627" s="101"/>
      <c r="R1627" s="101"/>
      <c r="S1627" s="101"/>
      <c r="T1627" s="101"/>
      <c r="U1627" s="101"/>
      <c r="V1627" s="101"/>
      <c r="W1627" s="101"/>
      <c r="X1627" s="101"/>
      <c r="Y1627" s="114"/>
      <c r="Z1627" s="114"/>
      <c r="AA1627" s="114"/>
      <c r="AB1627" s="114"/>
      <c r="AC1627" s="114"/>
      <c r="AD1627" s="114"/>
      <c r="AE1627" s="114"/>
      <c r="AF1627" s="114"/>
      <c r="AG1627" s="114"/>
      <c r="AH1627" s="114"/>
      <c r="AI1627" s="114"/>
      <c r="AJ1627" s="114"/>
      <c r="AK1627" s="114"/>
      <c r="AL1627" s="114"/>
      <c r="AM1627" s="114"/>
      <c r="AN1627" s="114"/>
      <c r="AO1627" s="114"/>
      <c r="AP1627" s="114"/>
      <c r="AQ1627" s="114"/>
      <c r="AR1627" s="114"/>
      <c r="AS1627" s="114"/>
      <c r="AT1627" s="114"/>
      <c r="AU1627" s="114"/>
      <c r="AV1627" s="114"/>
      <c r="AW1627" s="114"/>
      <c r="AX1627" s="114"/>
      <c r="AY1627" s="114"/>
      <c r="AZ1627" s="114"/>
    </row>
    <row r="1628" spans="1:52">
      <c r="A1628" s="111"/>
      <c r="B1628" s="111"/>
      <c r="C1628" s="112"/>
      <c r="D1628" s="101"/>
      <c r="E1628" s="101"/>
      <c r="F1628" s="101"/>
      <c r="G1628" s="111"/>
      <c r="H1628" s="101"/>
      <c r="I1628" s="101"/>
      <c r="J1628" s="101"/>
      <c r="K1628" s="101"/>
      <c r="L1628" s="101"/>
      <c r="M1628" s="101"/>
      <c r="N1628" s="101"/>
      <c r="O1628" s="101"/>
      <c r="P1628" s="101"/>
      <c r="Q1628" s="101"/>
      <c r="R1628" s="101"/>
      <c r="S1628" s="101"/>
      <c r="T1628" s="101"/>
      <c r="U1628" s="101"/>
      <c r="V1628" s="101"/>
      <c r="W1628" s="101"/>
      <c r="X1628" s="101"/>
      <c r="Y1628" s="114"/>
      <c r="Z1628" s="114"/>
      <c r="AA1628" s="114"/>
      <c r="AB1628" s="114"/>
      <c r="AC1628" s="114"/>
      <c r="AD1628" s="114"/>
      <c r="AE1628" s="114"/>
      <c r="AF1628" s="114"/>
      <c r="AG1628" s="114"/>
      <c r="AH1628" s="114"/>
      <c r="AI1628" s="114"/>
      <c r="AJ1628" s="114"/>
      <c r="AK1628" s="114"/>
      <c r="AL1628" s="114"/>
      <c r="AM1628" s="114"/>
      <c r="AN1628" s="114"/>
      <c r="AO1628" s="114"/>
      <c r="AP1628" s="114"/>
      <c r="AQ1628" s="114"/>
      <c r="AR1628" s="114"/>
      <c r="AS1628" s="114"/>
      <c r="AT1628" s="114"/>
      <c r="AU1628" s="114"/>
      <c r="AV1628" s="114"/>
      <c r="AW1628" s="114"/>
      <c r="AX1628" s="114"/>
      <c r="AY1628" s="114"/>
      <c r="AZ1628" s="114"/>
    </row>
    <row r="1629" spans="1:52">
      <c r="A1629" s="111"/>
      <c r="B1629" s="111"/>
      <c r="C1629" s="112"/>
      <c r="D1629" s="101"/>
      <c r="E1629" s="101"/>
      <c r="F1629" s="101"/>
      <c r="G1629" s="111"/>
      <c r="H1629" s="101"/>
      <c r="I1629" s="101"/>
      <c r="J1629" s="101"/>
      <c r="K1629" s="101"/>
      <c r="L1629" s="101"/>
      <c r="M1629" s="101"/>
      <c r="N1629" s="101"/>
      <c r="O1629" s="101"/>
      <c r="P1629" s="101"/>
      <c r="Q1629" s="101"/>
      <c r="R1629" s="101"/>
      <c r="S1629" s="101"/>
      <c r="T1629" s="101"/>
      <c r="U1629" s="101"/>
      <c r="V1629" s="101"/>
      <c r="W1629" s="101"/>
      <c r="X1629" s="101"/>
      <c r="Y1629" s="114"/>
      <c r="Z1629" s="114"/>
      <c r="AA1629" s="114"/>
      <c r="AB1629" s="114"/>
      <c r="AC1629" s="114"/>
      <c r="AD1629" s="114"/>
      <c r="AE1629" s="114"/>
      <c r="AF1629" s="114"/>
      <c r="AG1629" s="114"/>
      <c r="AH1629" s="114"/>
      <c r="AI1629" s="114"/>
      <c r="AJ1629" s="114"/>
      <c r="AK1629" s="114"/>
      <c r="AL1629" s="114"/>
      <c r="AM1629" s="114"/>
      <c r="AN1629" s="114"/>
      <c r="AO1629" s="114"/>
      <c r="AP1629" s="114"/>
      <c r="AQ1629" s="114"/>
      <c r="AR1629" s="114"/>
      <c r="AS1629" s="114"/>
      <c r="AT1629" s="114"/>
      <c r="AU1629" s="114"/>
      <c r="AV1629" s="114"/>
      <c r="AW1629" s="114"/>
      <c r="AX1629" s="114"/>
      <c r="AY1629" s="114"/>
      <c r="AZ1629" s="114"/>
    </row>
    <row r="1630" spans="1:52">
      <c r="A1630" s="111"/>
      <c r="B1630" s="111"/>
      <c r="C1630" s="112"/>
      <c r="D1630" s="101"/>
      <c r="E1630" s="101"/>
      <c r="F1630" s="101"/>
      <c r="G1630" s="111"/>
      <c r="H1630" s="101"/>
      <c r="I1630" s="101"/>
      <c r="J1630" s="101"/>
      <c r="K1630" s="101"/>
      <c r="L1630" s="101"/>
      <c r="M1630" s="101"/>
      <c r="N1630" s="101"/>
      <c r="O1630" s="101"/>
      <c r="P1630" s="101"/>
      <c r="Q1630" s="101"/>
      <c r="R1630" s="101"/>
      <c r="S1630" s="101"/>
      <c r="T1630" s="101"/>
      <c r="U1630" s="101"/>
      <c r="V1630" s="101"/>
      <c r="W1630" s="101"/>
      <c r="X1630" s="101"/>
      <c r="Y1630" s="114"/>
      <c r="Z1630" s="114"/>
      <c r="AA1630" s="114"/>
      <c r="AB1630" s="114"/>
      <c r="AC1630" s="114"/>
      <c r="AD1630" s="114"/>
      <c r="AE1630" s="114"/>
      <c r="AF1630" s="114"/>
      <c r="AG1630" s="114"/>
      <c r="AH1630" s="114"/>
      <c r="AI1630" s="114"/>
      <c r="AJ1630" s="114"/>
      <c r="AK1630" s="114"/>
      <c r="AL1630" s="114"/>
      <c r="AM1630" s="114"/>
      <c r="AN1630" s="114"/>
      <c r="AO1630" s="114"/>
      <c r="AP1630" s="114"/>
      <c r="AQ1630" s="114"/>
      <c r="AR1630" s="114"/>
      <c r="AS1630" s="114"/>
      <c r="AT1630" s="114"/>
      <c r="AU1630" s="114"/>
      <c r="AV1630" s="114"/>
      <c r="AW1630" s="114"/>
      <c r="AX1630" s="114"/>
      <c r="AY1630" s="114"/>
      <c r="AZ1630" s="114"/>
    </row>
    <row r="1631" spans="1:52">
      <c r="A1631" s="111"/>
      <c r="B1631" s="111"/>
      <c r="C1631" s="112"/>
      <c r="D1631" s="101"/>
      <c r="E1631" s="101"/>
      <c r="F1631" s="101"/>
      <c r="G1631" s="111"/>
      <c r="H1631" s="101"/>
      <c r="I1631" s="101"/>
      <c r="J1631" s="101"/>
      <c r="K1631" s="101"/>
      <c r="L1631" s="101"/>
      <c r="M1631" s="101"/>
      <c r="N1631" s="101"/>
      <c r="O1631" s="101"/>
      <c r="P1631" s="101"/>
      <c r="Q1631" s="101"/>
      <c r="R1631" s="101"/>
      <c r="S1631" s="101"/>
      <c r="T1631" s="101"/>
      <c r="U1631" s="101"/>
      <c r="V1631" s="101"/>
      <c r="W1631" s="101"/>
      <c r="X1631" s="101"/>
      <c r="Y1631" s="114"/>
      <c r="Z1631" s="114"/>
      <c r="AA1631" s="114"/>
      <c r="AB1631" s="114"/>
      <c r="AC1631" s="114"/>
      <c r="AD1631" s="114"/>
      <c r="AE1631" s="114"/>
      <c r="AF1631" s="114"/>
      <c r="AG1631" s="114"/>
      <c r="AH1631" s="114"/>
      <c r="AI1631" s="114"/>
      <c r="AJ1631" s="114"/>
      <c r="AK1631" s="114"/>
      <c r="AL1631" s="114"/>
      <c r="AM1631" s="114"/>
      <c r="AN1631" s="114"/>
      <c r="AO1631" s="114"/>
      <c r="AP1631" s="114"/>
      <c r="AQ1631" s="114"/>
      <c r="AR1631" s="114"/>
      <c r="AS1631" s="114"/>
      <c r="AT1631" s="114"/>
      <c r="AU1631" s="114"/>
      <c r="AV1631" s="114"/>
      <c r="AW1631" s="114"/>
      <c r="AX1631" s="114"/>
      <c r="AY1631" s="114"/>
      <c r="AZ1631" s="114"/>
    </row>
    <row r="1632" spans="1:52">
      <c r="A1632" s="111"/>
      <c r="B1632" s="111"/>
      <c r="C1632" s="112"/>
      <c r="D1632" s="101"/>
      <c r="E1632" s="101"/>
      <c r="F1632" s="101"/>
      <c r="G1632" s="111"/>
      <c r="H1632" s="101"/>
      <c r="I1632" s="101"/>
      <c r="J1632" s="101"/>
      <c r="K1632" s="101"/>
      <c r="L1632" s="101"/>
      <c r="M1632" s="101"/>
      <c r="N1632" s="101"/>
      <c r="O1632" s="101"/>
      <c r="P1632" s="101"/>
      <c r="Q1632" s="101"/>
      <c r="R1632" s="101"/>
      <c r="S1632" s="101"/>
      <c r="T1632" s="101"/>
      <c r="U1632" s="101"/>
      <c r="V1632" s="101"/>
      <c r="W1632" s="101"/>
      <c r="X1632" s="101"/>
      <c r="Y1632" s="114"/>
      <c r="Z1632" s="114"/>
      <c r="AA1632" s="114"/>
      <c r="AB1632" s="114"/>
      <c r="AC1632" s="114"/>
      <c r="AD1632" s="114"/>
      <c r="AE1632" s="114"/>
      <c r="AF1632" s="114"/>
      <c r="AG1632" s="114"/>
      <c r="AH1632" s="114"/>
      <c r="AI1632" s="114"/>
      <c r="AJ1632" s="114"/>
      <c r="AK1632" s="114"/>
      <c r="AL1632" s="114"/>
      <c r="AM1632" s="114"/>
      <c r="AN1632" s="114"/>
      <c r="AO1632" s="114"/>
      <c r="AP1632" s="114"/>
      <c r="AQ1632" s="114"/>
      <c r="AR1632" s="114"/>
      <c r="AS1632" s="114"/>
      <c r="AT1632" s="114"/>
      <c r="AU1632" s="114"/>
      <c r="AV1632" s="114"/>
      <c r="AW1632" s="114"/>
      <c r="AX1632" s="114"/>
      <c r="AY1632" s="114"/>
      <c r="AZ1632" s="114"/>
    </row>
    <row r="1633" spans="1:52">
      <c r="A1633" s="111"/>
      <c r="B1633" s="111"/>
      <c r="C1633" s="112"/>
      <c r="D1633" s="101"/>
      <c r="E1633" s="101"/>
      <c r="F1633" s="101"/>
      <c r="G1633" s="111"/>
      <c r="H1633" s="101"/>
      <c r="I1633" s="101"/>
      <c r="J1633" s="101"/>
      <c r="K1633" s="101"/>
      <c r="L1633" s="101"/>
      <c r="M1633" s="101"/>
      <c r="N1633" s="101"/>
      <c r="O1633" s="101"/>
      <c r="P1633" s="101"/>
      <c r="Q1633" s="101"/>
      <c r="R1633" s="101"/>
      <c r="S1633" s="101"/>
      <c r="T1633" s="101"/>
      <c r="U1633" s="101"/>
      <c r="V1633" s="101"/>
      <c r="W1633" s="101"/>
      <c r="X1633" s="101"/>
      <c r="Y1633" s="114"/>
      <c r="Z1633" s="114"/>
      <c r="AA1633" s="114"/>
      <c r="AB1633" s="114"/>
      <c r="AC1633" s="114"/>
      <c r="AD1633" s="114"/>
      <c r="AE1633" s="114"/>
      <c r="AF1633" s="114"/>
      <c r="AG1633" s="114"/>
      <c r="AH1633" s="114"/>
      <c r="AI1633" s="114"/>
      <c r="AJ1633" s="114"/>
      <c r="AK1633" s="114"/>
      <c r="AL1633" s="114"/>
      <c r="AM1633" s="114"/>
      <c r="AN1633" s="114"/>
      <c r="AO1633" s="114"/>
      <c r="AP1633" s="114"/>
      <c r="AQ1633" s="114"/>
      <c r="AR1633" s="114"/>
      <c r="AS1633" s="114"/>
      <c r="AT1633" s="114"/>
      <c r="AU1633" s="114"/>
      <c r="AV1633" s="114"/>
      <c r="AW1633" s="114"/>
      <c r="AX1633" s="114"/>
      <c r="AY1633" s="114"/>
      <c r="AZ1633" s="114"/>
    </row>
    <row r="1634" spans="1:52">
      <c r="A1634" s="111"/>
      <c r="B1634" s="111"/>
      <c r="C1634" s="112"/>
      <c r="D1634" s="101"/>
      <c r="E1634" s="101"/>
      <c r="F1634" s="101"/>
      <c r="G1634" s="111"/>
      <c r="H1634" s="101"/>
      <c r="I1634" s="101"/>
      <c r="J1634" s="101"/>
      <c r="K1634" s="101"/>
      <c r="L1634" s="101"/>
      <c r="M1634" s="101"/>
      <c r="N1634" s="101"/>
      <c r="O1634" s="101"/>
      <c r="P1634" s="101"/>
      <c r="Q1634" s="101"/>
      <c r="R1634" s="101"/>
      <c r="S1634" s="101"/>
      <c r="T1634" s="101"/>
      <c r="U1634" s="101"/>
      <c r="V1634" s="101"/>
      <c r="W1634" s="101"/>
      <c r="X1634" s="101"/>
      <c r="Y1634" s="114"/>
      <c r="Z1634" s="114"/>
      <c r="AA1634" s="114"/>
      <c r="AB1634" s="114"/>
      <c r="AC1634" s="114"/>
      <c r="AD1634" s="114"/>
      <c r="AE1634" s="114"/>
      <c r="AF1634" s="114"/>
      <c r="AG1634" s="114"/>
      <c r="AH1634" s="114"/>
      <c r="AI1634" s="114"/>
      <c r="AJ1634" s="114"/>
      <c r="AK1634" s="114"/>
      <c r="AL1634" s="114"/>
      <c r="AM1634" s="114"/>
      <c r="AN1634" s="114"/>
      <c r="AO1634" s="114"/>
      <c r="AP1634" s="114"/>
      <c r="AQ1634" s="114"/>
      <c r="AR1634" s="114"/>
      <c r="AS1634" s="114"/>
      <c r="AT1634" s="114"/>
      <c r="AU1634" s="114"/>
      <c r="AV1634" s="114"/>
      <c r="AW1634" s="114"/>
      <c r="AX1634" s="114"/>
      <c r="AY1634" s="114"/>
      <c r="AZ1634" s="114"/>
    </row>
    <row r="1635" spans="1:52">
      <c r="A1635" s="111"/>
      <c r="B1635" s="111"/>
      <c r="C1635" s="112"/>
      <c r="D1635" s="101"/>
      <c r="E1635" s="101"/>
      <c r="F1635" s="101"/>
      <c r="G1635" s="111"/>
      <c r="H1635" s="101"/>
      <c r="I1635" s="101"/>
      <c r="J1635" s="101"/>
      <c r="K1635" s="101"/>
      <c r="L1635" s="101"/>
      <c r="M1635" s="101"/>
      <c r="N1635" s="101"/>
      <c r="O1635" s="101"/>
      <c r="P1635" s="101"/>
      <c r="Q1635" s="101"/>
      <c r="R1635" s="101"/>
      <c r="S1635" s="101"/>
      <c r="T1635" s="101"/>
      <c r="U1635" s="101"/>
      <c r="V1635" s="101"/>
      <c r="W1635" s="101"/>
      <c r="X1635" s="101"/>
      <c r="Y1635" s="114"/>
      <c r="Z1635" s="114"/>
      <c r="AA1635" s="114"/>
      <c r="AB1635" s="114"/>
      <c r="AC1635" s="114"/>
      <c r="AD1635" s="114"/>
      <c r="AE1635" s="114"/>
      <c r="AF1635" s="114"/>
      <c r="AG1635" s="114"/>
      <c r="AH1635" s="114"/>
      <c r="AI1635" s="114"/>
      <c r="AJ1635" s="114"/>
      <c r="AK1635" s="114"/>
      <c r="AL1635" s="114"/>
      <c r="AM1635" s="114"/>
      <c r="AN1635" s="114"/>
      <c r="AO1635" s="114"/>
      <c r="AP1635" s="114"/>
      <c r="AQ1635" s="114"/>
      <c r="AR1635" s="114"/>
      <c r="AS1635" s="114"/>
      <c r="AT1635" s="114"/>
      <c r="AU1635" s="114"/>
      <c r="AV1635" s="114"/>
      <c r="AW1635" s="114"/>
      <c r="AX1635" s="114"/>
      <c r="AY1635" s="114"/>
      <c r="AZ1635" s="114"/>
    </row>
    <row r="1636" spans="1:52">
      <c r="A1636" s="111"/>
      <c r="B1636" s="111"/>
      <c r="C1636" s="112"/>
      <c r="D1636" s="101"/>
      <c r="E1636" s="101"/>
      <c r="F1636" s="101"/>
      <c r="G1636" s="111"/>
      <c r="H1636" s="101"/>
      <c r="I1636" s="101"/>
      <c r="J1636" s="101"/>
      <c r="K1636" s="101"/>
      <c r="L1636" s="101"/>
      <c r="M1636" s="101"/>
      <c r="N1636" s="101"/>
      <c r="O1636" s="101"/>
      <c r="P1636" s="101"/>
      <c r="Q1636" s="101"/>
      <c r="R1636" s="101"/>
      <c r="S1636" s="101"/>
      <c r="T1636" s="101"/>
      <c r="U1636" s="101"/>
      <c r="V1636" s="101"/>
      <c r="W1636" s="101"/>
      <c r="X1636" s="101"/>
      <c r="Y1636" s="114"/>
      <c r="Z1636" s="114"/>
      <c r="AA1636" s="114"/>
      <c r="AB1636" s="114"/>
      <c r="AC1636" s="114"/>
      <c r="AD1636" s="114"/>
      <c r="AE1636" s="114"/>
      <c r="AF1636" s="114"/>
      <c r="AG1636" s="114"/>
      <c r="AH1636" s="114"/>
      <c r="AI1636" s="114"/>
      <c r="AJ1636" s="114"/>
      <c r="AK1636" s="114"/>
      <c r="AL1636" s="114"/>
      <c r="AM1636" s="114"/>
      <c r="AN1636" s="114"/>
      <c r="AO1636" s="114"/>
      <c r="AP1636" s="114"/>
      <c r="AQ1636" s="114"/>
      <c r="AR1636" s="114"/>
      <c r="AS1636" s="114"/>
      <c r="AT1636" s="114"/>
      <c r="AU1636" s="114"/>
      <c r="AV1636" s="114"/>
      <c r="AW1636" s="114"/>
      <c r="AX1636" s="114"/>
      <c r="AY1636" s="114"/>
      <c r="AZ1636" s="114"/>
    </row>
    <row r="1637" spans="1:52">
      <c r="A1637" s="111"/>
      <c r="B1637" s="111"/>
      <c r="C1637" s="112"/>
      <c r="D1637" s="101"/>
      <c r="E1637" s="101"/>
      <c r="F1637" s="101"/>
      <c r="G1637" s="111"/>
      <c r="H1637" s="101"/>
      <c r="I1637" s="101"/>
      <c r="J1637" s="101"/>
      <c r="K1637" s="101"/>
      <c r="L1637" s="101"/>
      <c r="M1637" s="101"/>
      <c r="N1637" s="101"/>
      <c r="O1637" s="101"/>
      <c r="P1637" s="101"/>
      <c r="Q1637" s="101"/>
      <c r="R1637" s="101"/>
      <c r="S1637" s="101"/>
      <c r="T1637" s="101"/>
      <c r="U1637" s="101"/>
      <c r="V1637" s="101"/>
      <c r="W1637" s="101"/>
      <c r="X1637" s="101"/>
      <c r="Y1637" s="114"/>
      <c r="Z1637" s="114"/>
      <c r="AA1637" s="114"/>
      <c r="AB1637" s="114"/>
      <c r="AC1637" s="114"/>
      <c r="AD1637" s="114"/>
      <c r="AE1637" s="114"/>
      <c r="AF1637" s="114"/>
      <c r="AG1637" s="114"/>
      <c r="AH1637" s="114"/>
      <c r="AI1637" s="114"/>
      <c r="AJ1637" s="114"/>
      <c r="AK1637" s="114"/>
      <c r="AL1637" s="114"/>
      <c r="AM1637" s="114"/>
      <c r="AN1637" s="114"/>
      <c r="AO1637" s="114"/>
      <c r="AP1637" s="114"/>
      <c r="AQ1637" s="114"/>
      <c r="AR1637" s="114"/>
      <c r="AS1637" s="114"/>
      <c r="AT1637" s="114"/>
      <c r="AU1637" s="114"/>
      <c r="AV1637" s="114"/>
      <c r="AW1637" s="114"/>
      <c r="AX1637" s="114"/>
      <c r="AY1637" s="114"/>
      <c r="AZ1637" s="114"/>
    </row>
    <row r="1638" spans="1:52">
      <c r="A1638" s="111"/>
      <c r="B1638" s="111"/>
      <c r="C1638" s="112"/>
      <c r="D1638" s="101"/>
      <c r="E1638" s="101"/>
      <c r="F1638" s="101"/>
      <c r="G1638" s="111"/>
      <c r="H1638" s="101"/>
      <c r="I1638" s="101"/>
      <c r="J1638" s="101"/>
      <c r="K1638" s="101"/>
      <c r="L1638" s="101"/>
      <c r="M1638" s="101"/>
      <c r="N1638" s="101"/>
      <c r="O1638" s="101"/>
      <c r="P1638" s="101"/>
      <c r="Q1638" s="101"/>
      <c r="R1638" s="101"/>
      <c r="S1638" s="101"/>
      <c r="T1638" s="101"/>
      <c r="U1638" s="101"/>
      <c r="V1638" s="101"/>
      <c r="W1638" s="101"/>
      <c r="X1638" s="101"/>
      <c r="Y1638" s="114"/>
      <c r="Z1638" s="114"/>
      <c r="AA1638" s="114"/>
      <c r="AB1638" s="114"/>
      <c r="AC1638" s="114"/>
      <c r="AD1638" s="114"/>
      <c r="AE1638" s="114"/>
      <c r="AF1638" s="114"/>
      <c r="AG1638" s="114"/>
      <c r="AH1638" s="114"/>
      <c r="AI1638" s="114"/>
      <c r="AJ1638" s="114"/>
      <c r="AK1638" s="114"/>
      <c r="AL1638" s="114"/>
      <c r="AM1638" s="114"/>
      <c r="AN1638" s="114"/>
      <c r="AO1638" s="114"/>
      <c r="AP1638" s="114"/>
      <c r="AQ1638" s="114"/>
      <c r="AR1638" s="114"/>
      <c r="AS1638" s="114"/>
      <c r="AT1638" s="114"/>
      <c r="AU1638" s="114"/>
      <c r="AV1638" s="114"/>
      <c r="AW1638" s="114"/>
      <c r="AX1638" s="114"/>
      <c r="AY1638" s="114"/>
      <c r="AZ1638" s="114"/>
    </row>
    <row r="1639" spans="1:52">
      <c r="A1639" s="111"/>
      <c r="B1639" s="111"/>
      <c r="C1639" s="112"/>
      <c r="D1639" s="101"/>
      <c r="E1639" s="101"/>
      <c r="F1639" s="101"/>
      <c r="G1639" s="111"/>
      <c r="H1639" s="101"/>
      <c r="I1639" s="101"/>
      <c r="J1639" s="101"/>
      <c r="K1639" s="101"/>
      <c r="L1639" s="101"/>
      <c r="M1639" s="101"/>
      <c r="N1639" s="101"/>
      <c r="O1639" s="101"/>
      <c r="P1639" s="101"/>
      <c r="Q1639" s="101"/>
      <c r="R1639" s="101"/>
      <c r="S1639" s="101"/>
      <c r="T1639" s="101"/>
      <c r="U1639" s="101"/>
      <c r="V1639" s="101"/>
      <c r="W1639" s="101"/>
      <c r="X1639" s="101"/>
      <c r="Y1639" s="114"/>
      <c r="Z1639" s="114"/>
      <c r="AA1639" s="114"/>
      <c r="AB1639" s="114"/>
      <c r="AC1639" s="114"/>
      <c r="AD1639" s="114"/>
      <c r="AE1639" s="114"/>
      <c r="AF1639" s="114"/>
      <c r="AG1639" s="114"/>
      <c r="AH1639" s="114"/>
      <c r="AI1639" s="114"/>
      <c r="AJ1639" s="114"/>
      <c r="AK1639" s="114"/>
      <c r="AL1639" s="114"/>
      <c r="AM1639" s="114"/>
      <c r="AN1639" s="114"/>
      <c r="AO1639" s="114"/>
      <c r="AP1639" s="114"/>
      <c r="AQ1639" s="114"/>
      <c r="AR1639" s="114"/>
      <c r="AS1639" s="114"/>
      <c r="AT1639" s="114"/>
      <c r="AU1639" s="114"/>
      <c r="AV1639" s="114"/>
      <c r="AW1639" s="114"/>
      <c r="AX1639" s="114"/>
      <c r="AY1639" s="114"/>
      <c r="AZ1639" s="114"/>
    </row>
    <row r="1640" spans="1:52">
      <c r="A1640" s="111"/>
      <c r="B1640" s="111"/>
      <c r="C1640" s="112"/>
      <c r="D1640" s="101"/>
      <c r="E1640" s="101"/>
      <c r="F1640" s="101"/>
      <c r="G1640" s="111"/>
      <c r="H1640" s="101"/>
      <c r="I1640" s="101"/>
      <c r="J1640" s="101"/>
      <c r="K1640" s="101"/>
      <c r="L1640" s="101"/>
      <c r="M1640" s="101"/>
      <c r="N1640" s="101"/>
      <c r="O1640" s="101"/>
      <c r="P1640" s="101"/>
      <c r="Q1640" s="101"/>
      <c r="R1640" s="101"/>
      <c r="S1640" s="101"/>
      <c r="T1640" s="101"/>
      <c r="U1640" s="101"/>
      <c r="V1640" s="101"/>
      <c r="W1640" s="101"/>
      <c r="X1640" s="101"/>
      <c r="Y1640" s="114"/>
      <c r="Z1640" s="114"/>
      <c r="AA1640" s="114"/>
      <c r="AB1640" s="114"/>
      <c r="AC1640" s="114"/>
      <c r="AD1640" s="114"/>
      <c r="AE1640" s="114"/>
      <c r="AF1640" s="114"/>
      <c r="AG1640" s="114"/>
      <c r="AH1640" s="114"/>
      <c r="AI1640" s="114"/>
      <c r="AJ1640" s="114"/>
      <c r="AK1640" s="114"/>
      <c r="AL1640" s="114"/>
      <c r="AM1640" s="114"/>
      <c r="AN1640" s="114"/>
      <c r="AO1640" s="114"/>
      <c r="AP1640" s="114"/>
      <c r="AQ1640" s="114"/>
      <c r="AR1640" s="114"/>
      <c r="AS1640" s="114"/>
      <c r="AT1640" s="114"/>
      <c r="AU1640" s="114"/>
      <c r="AV1640" s="114"/>
      <c r="AW1640" s="114"/>
      <c r="AX1640" s="114"/>
      <c r="AY1640" s="114"/>
      <c r="AZ1640" s="114"/>
    </row>
    <row r="1641" spans="1:52">
      <c r="A1641" s="111"/>
      <c r="B1641" s="111"/>
      <c r="C1641" s="112"/>
      <c r="D1641" s="101"/>
      <c r="E1641" s="101"/>
      <c r="F1641" s="101"/>
      <c r="G1641" s="111"/>
      <c r="H1641" s="101"/>
      <c r="I1641" s="101"/>
      <c r="J1641" s="101"/>
      <c r="K1641" s="101"/>
      <c r="L1641" s="101"/>
      <c r="M1641" s="101"/>
      <c r="N1641" s="101"/>
      <c r="O1641" s="101"/>
      <c r="P1641" s="101"/>
      <c r="Q1641" s="101"/>
      <c r="R1641" s="101"/>
      <c r="S1641" s="101"/>
      <c r="T1641" s="101"/>
      <c r="U1641" s="101"/>
      <c r="V1641" s="101"/>
      <c r="W1641" s="101"/>
      <c r="X1641" s="101"/>
      <c r="Y1641" s="114"/>
      <c r="Z1641" s="114"/>
      <c r="AA1641" s="114"/>
      <c r="AB1641" s="114"/>
      <c r="AC1641" s="114"/>
      <c r="AD1641" s="114"/>
      <c r="AE1641" s="114"/>
      <c r="AF1641" s="114"/>
      <c r="AG1641" s="114"/>
      <c r="AH1641" s="114"/>
      <c r="AI1641" s="114"/>
      <c r="AJ1641" s="114"/>
      <c r="AK1641" s="114"/>
      <c r="AL1641" s="114"/>
      <c r="AM1641" s="114"/>
      <c r="AN1641" s="114"/>
      <c r="AO1641" s="114"/>
      <c r="AP1641" s="114"/>
      <c r="AQ1641" s="114"/>
      <c r="AR1641" s="114"/>
      <c r="AS1641" s="114"/>
      <c r="AT1641" s="114"/>
      <c r="AU1641" s="114"/>
      <c r="AV1641" s="114"/>
      <c r="AW1641" s="114"/>
      <c r="AX1641" s="114"/>
      <c r="AY1641" s="114"/>
      <c r="AZ1641" s="114"/>
    </row>
    <row r="1642" spans="1:52">
      <c r="A1642" s="111"/>
      <c r="B1642" s="111"/>
      <c r="C1642" s="112"/>
      <c r="D1642" s="101"/>
      <c r="E1642" s="101"/>
      <c r="F1642" s="101"/>
      <c r="G1642" s="111"/>
      <c r="H1642" s="101"/>
      <c r="I1642" s="101"/>
      <c r="J1642" s="101"/>
      <c r="K1642" s="101"/>
      <c r="L1642" s="101"/>
      <c r="M1642" s="101"/>
      <c r="N1642" s="101"/>
      <c r="O1642" s="101"/>
      <c r="P1642" s="101"/>
      <c r="Q1642" s="101"/>
      <c r="R1642" s="101"/>
      <c r="S1642" s="101"/>
      <c r="T1642" s="101"/>
      <c r="U1642" s="101"/>
      <c r="V1642" s="101"/>
      <c r="W1642" s="101"/>
      <c r="X1642" s="101"/>
      <c r="Y1642" s="114"/>
      <c r="Z1642" s="114"/>
      <c r="AA1642" s="114"/>
      <c r="AB1642" s="114"/>
      <c r="AC1642" s="114"/>
      <c r="AD1642" s="114"/>
      <c r="AE1642" s="114"/>
      <c r="AF1642" s="114"/>
      <c r="AG1642" s="114"/>
      <c r="AH1642" s="114"/>
      <c r="AI1642" s="114"/>
      <c r="AJ1642" s="114"/>
      <c r="AK1642" s="114"/>
      <c r="AL1642" s="114"/>
      <c r="AM1642" s="114"/>
      <c r="AN1642" s="114"/>
      <c r="AO1642" s="114"/>
      <c r="AP1642" s="114"/>
      <c r="AQ1642" s="114"/>
      <c r="AR1642" s="114"/>
      <c r="AS1642" s="114"/>
      <c r="AT1642" s="114"/>
      <c r="AU1642" s="114"/>
      <c r="AV1642" s="114"/>
      <c r="AW1642" s="114"/>
      <c r="AX1642" s="114"/>
      <c r="AY1642" s="114"/>
      <c r="AZ1642" s="114"/>
    </row>
    <row r="1643" spans="1:52">
      <c r="A1643" s="111"/>
      <c r="B1643" s="111"/>
      <c r="C1643" s="112"/>
      <c r="D1643" s="101"/>
      <c r="E1643" s="101"/>
      <c r="F1643" s="101"/>
      <c r="G1643" s="111"/>
      <c r="H1643" s="101"/>
      <c r="I1643" s="101"/>
      <c r="J1643" s="101"/>
      <c r="K1643" s="101"/>
      <c r="L1643" s="101"/>
      <c r="M1643" s="101"/>
      <c r="N1643" s="101"/>
      <c r="O1643" s="101"/>
      <c r="P1643" s="101"/>
      <c r="Q1643" s="101"/>
      <c r="R1643" s="101"/>
      <c r="S1643" s="101"/>
      <c r="T1643" s="101"/>
      <c r="U1643" s="101"/>
      <c r="V1643" s="101"/>
      <c r="W1643" s="101"/>
      <c r="X1643" s="101"/>
      <c r="Y1643" s="114"/>
      <c r="Z1643" s="114"/>
      <c r="AA1643" s="114"/>
      <c r="AB1643" s="114"/>
      <c r="AC1643" s="114"/>
      <c r="AD1643" s="114"/>
      <c r="AE1643" s="114"/>
      <c r="AF1643" s="114"/>
      <c r="AG1643" s="114"/>
      <c r="AH1643" s="114"/>
      <c r="AI1643" s="114"/>
      <c r="AJ1643" s="114"/>
      <c r="AK1643" s="114"/>
      <c r="AL1643" s="114"/>
      <c r="AM1643" s="114"/>
      <c r="AN1643" s="114"/>
      <c r="AO1643" s="114"/>
      <c r="AP1643" s="114"/>
      <c r="AQ1643" s="114"/>
      <c r="AR1643" s="114"/>
      <c r="AS1643" s="114"/>
      <c r="AT1643" s="114"/>
      <c r="AU1643" s="114"/>
      <c r="AV1643" s="114"/>
      <c r="AW1643" s="114"/>
      <c r="AX1643" s="114"/>
      <c r="AY1643" s="114"/>
      <c r="AZ1643" s="114"/>
    </row>
    <row r="1644" spans="1:52">
      <c r="A1644" s="111"/>
      <c r="B1644" s="111"/>
      <c r="C1644" s="112"/>
      <c r="D1644" s="101"/>
      <c r="E1644" s="101"/>
      <c r="F1644" s="101"/>
      <c r="G1644" s="111"/>
      <c r="H1644" s="101"/>
      <c r="I1644" s="101"/>
      <c r="J1644" s="101"/>
      <c r="K1644" s="101"/>
      <c r="L1644" s="101"/>
      <c r="M1644" s="101"/>
      <c r="N1644" s="101"/>
      <c r="O1644" s="101"/>
      <c r="P1644" s="101"/>
      <c r="Q1644" s="101"/>
      <c r="R1644" s="101"/>
      <c r="S1644" s="101"/>
      <c r="T1644" s="101"/>
      <c r="U1644" s="101"/>
      <c r="V1644" s="101"/>
      <c r="W1644" s="101"/>
      <c r="X1644" s="101"/>
      <c r="Y1644" s="114"/>
      <c r="Z1644" s="114"/>
      <c r="AA1644" s="114"/>
      <c r="AB1644" s="114"/>
      <c r="AC1644" s="114"/>
      <c r="AD1644" s="114"/>
      <c r="AE1644" s="114"/>
      <c r="AF1644" s="114"/>
      <c r="AG1644" s="114"/>
      <c r="AH1644" s="114"/>
      <c r="AI1644" s="114"/>
      <c r="AJ1644" s="114"/>
      <c r="AK1644" s="114"/>
      <c r="AL1644" s="114"/>
      <c r="AM1644" s="114"/>
      <c r="AN1644" s="114"/>
      <c r="AO1644" s="114"/>
      <c r="AP1644" s="114"/>
      <c r="AQ1644" s="114"/>
      <c r="AR1644" s="114"/>
      <c r="AS1644" s="114"/>
      <c r="AT1644" s="114"/>
      <c r="AU1644" s="114"/>
      <c r="AV1644" s="114"/>
      <c r="AW1644" s="114"/>
      <c r="AX1644" s="114"/>
      <c r="AY1644" s="114"/>
      <c r="AZ1644" s="114"/>
    </row>
    <row r="1645" spans="1:52">
      <c r="A1645" s="111"/>
      <c r="B1645" s="111"/>
      <c r="C1645" s="112"/>
      <c r="D1645" s="101"/>
      <c r="E1645" s="101"/>
      <c r="F1645" s="101"/>
      <c r="G1645" s="111"/>
      <c r="H1645" s="101"/>
      <c r="I1645" s="101"/>
      <c r="J1645" s="101"/>
      <c r="K1645" s="101"/>
      <c r="L1645" s="101"/>
      <c r="M1645" s="101"/>
      <c r="N1645" s="101"/>
      <c r="O1645" s="101"/>
      <c r="P1645" s="101"/>
      <c r="Q1645" s="101"/>
      <c r="R1645" s="101"/>
      <c r="S1645" s="101"/>
      <c r="T1645" s="101"/>
      <c r="U1645" s="101"/>
      <c r="V1645" s="101"/>
      <c r="W1645" s="101"/>
      <c r="X1645" s="101"/>
      <c r="Y1645" s="114"/>
      <c r="Z1645" s="114"/>
      <c r="AA1645" s="114"/>
      <c r="AB1645" s="114"/>
      <c r="AC1645" s="114"/>
      <c r="AD1645" s="114"/>
      <c r="AE1645" s="114"/>
      <c r="AF1645" s="114"/>
      <c r="AG1645" s="114"/>
      <c r="AH1645" s="114"/>
      <c r="AI1645" s="114"/>
      <c r="AJ1645" s="114"/>
      <c r="AK1645" s="114"/>
      <c r="AL1645" s="114"/>
      <c r="AM1645" s="114"/>
      <c r="AN1645" s="114"/>
      <c r="AO1645" s="114"/>
      <c r="AP1645" s="114"/>
      <c r="AQ1645" s="114"/>
      <c r="AR1645" s="114"/>
      <c r="AS1645" s="114"/>
      <c r="AT1645" s="114"/>
      <c r="AU1645" s="114"/>
      <c r="AV1645" s="114"/>
      <c r="AW1645" s="114"/>
      <c r="AX1645" s="114"/>
      <c r="AY1645" s="114"/>
      <c r="AZ1645" s="114"/>
    </row>
    <row r="1646" spans="1:52">
      <c r="A1646" s="111"/>
      <c r="B1646" s="111"/>
      <c r="C1646" s="112"/>
      <c r="D1646" s="101"/>
      <c r="E1646" s="101"/>
      <c r="F1646" s="101"/>
      <c r="G1646" s="111"/>
      <c r="H1646" s="101"/>
      <c r="I1646" s="101"/>
      <c r="J1646" s="101"/>
      <c r="K1646" s="101"/>
      <c r="L1646" s="101"/>
      <c r="M1646" s="101"/>
      <c r="N1646" s="101"/>
      <c r="O1646" s="101"/>
      <c r="P1646" s="101"/>
      <c r="Q1646" s="101"/>
      <c r="R1646" s="101"/>
      <c r="S1646" s="101"/>
      <c r="T1646" s="101"/>
      <c r="U1646" s="101"/>
      <c r="V1646" s="101"/>
      <c r="W1646" s="101"/>
      <c r="X1646" s="101"/>
      <c r="Y1646" s="114"/>
      <c r="Z1646" s="114"/>
      <c r="AA1646" s="114"/>
      <c r="AB1646" s="114"/>
      <c r="AC1646" s="114"/>
      <c r="AD1646" s="114"/>
      <c r="AE1646" s="114"/>
      <c r="AF1646" s="114"/>
      <c r="AG1646" s="114"/>
      <c r="AH1646" s="114"/>
      <c r="AI1646" s="114"/>
      <c r="AJ1646" s="114"/>
      <c r="AK1646" s="114"/>
      <c r="AL1646" s="114"/>
      <c r="AM1646" s="114"/>
      <c r="AN1646" s="114"/>
      <c r="AO1646" s="114"/>
      <c r="AP1646" s="114"/>
      <c r="AQ1646" s="114"/>
      <c r="AR1646" s="114"/>
      <c r="AS1646" s="114"/>
      <c r="AT1646" s="114"/>
      <c r="AU1646" s="114"/>
      <c r="AV1646" s="114"/>
      <c r="AW1646" s="114"/>
      <c r="AX1646" s="114"/>
      <c r="AY1646" s="114"/>
      <c r="AZ1646" s="114"/>
    </row>
    <row r="1647" spans="1:52">
      <c r="A1647" s="111"/>
      <c r="B1647" s="111"/>
      <c r="C1647" s="112"/>
      <c r="D1647" s="101"/>
      <c r="E1647" s="101"/>
      <c r="F1647" s="101"/>
      <c r="G1647" s="111"/>
      <c r="H1647" s="101"/>
      <c r="I1647" s="101"/>
      <c r="J1647" s="101"/>
      <c r="K1647" s="101"/>
      <c r="L1647" s="101"/>
      <c r="M1647" s="101"/>
      <c r="N1647" s="101"/>
      <c r="O1647" s="101"/>
      <c r="P1647" s="101"/>
      <c r="Q1647" s="101"/>
      <c r="R1647" s="101"/>
      <c r="S1647" s="101"/>
      <c r="T1647" s="101"/>
      <c r="U1647" s="101"/>
      <c r="V1647" s="101"/>
      <c r="W1647" s="101"/>
      <c r="X1647" s="101"/>
      <c r="Y1647" s="114"/>
      <c r="Z1647" s="114"/>
      <c r="AA1647" s="114"/>
      <c r="AB1647" s="114"/>
      <c r="AC1647" s="114"/>
      <c r="AD1647" s="114"/>
      <c r="AE1647" s="114"/>
      <c r="AF1647" s="114"/>
      <c r="AG1647" s="114"/>
      <c r="AH1647" s="114"/>
      <c r="AI1647" s="114"/>
      <c r="AJ1647" s="114"/>
      <c r="AK1647" s="114"/>
      <c r="AL1647" s="114"/>
      <c r="AM1647" s="114"/>
      <c r="AN1647" s="114"/>
      <c r="AO1647" s="114"/>
      <c r="AP1647" s="114"/>
      <c r="AQ1647" s="114"/>
      <c r="AR1647" s="114"/>
      <c r="AS1647" s="114"/>
      <c r="AT1647" s="114"/>
      <c r="AU1647" s="114"/>
      <c r="AV1647" s="114"/>
      <c r="AW1647" s="114"/>
      <c r="AX1647" s="114"/>
      <c r="AY1647" s="114"/>
      <c r="AZ1647" s="114"/>
    </row>
    <row r="1648" spans="1:52">
      <c r="A1648" s="111"/>
      <c r="B1648" s="111"/>
      <c r="C1648" s="112"/>
      <c r="D1648" s="101"/>
      <c r="E1648" s="101"/>
      <c r="F1648" s="101"/>
      <c r="G1648" s="111"/>
      <c r="H1648" s="101"/>
      <c r="I1648" s="101"/>
      <c r="J1648" s="101"/>
      <c r="K1648" s="101"/>
      <c r="L1648" s="101"/>
      <c r="M1648" s="101"/>
      <c r="N1648" s="101"/>
      <c r="O1648" s="101"/>
      <c r="P1648" s="101"/>
      <c r="Q1648" s="101"/>
      <c r="R1648" s="101"/>
      <c r="S1648" s="101"/>
      <c r="T1648" s="101"/>
      <c r="U1648" s="101"/>
      <c r="V1648" s="101"/>
      <c r="W1648" s="101"/>
      <c r="X1648" s="101"/>
      <c r="Y1648" s="114"/>
      <c r="Z1648" s="114"/>
      <c r="AA1648" s="114"/>
      <c r="AB1648" s="114"/>
      <c r="AC1648" s="114"/>
      <c r="AD1648" s="114"/>
      <c r="AE1648" s="114"/>
      <c r="AF1648" s="114"/>
      <c r="AG1648" s="114"/>
      <c r="AH1648" s="114"/>
      <c r="AI1648" s="114"/>
      <c r="AJ1648" s="114"/>
      <c r="AK1648" s="114"/>
      <c r="AL1648" s="114"/>
      <c r="AM1648" s="114"/>
      <c r="AN1648" s="114"/>
      <c r="AO1648" s="114"/>
      <c r="AP1648" s="114"/>
      <c r="AQ1648" s="114"/>
      <c r="AR1648" s="114"/>
      <c r="AS1648" s="114"/>
      <c r="AT1648" s="114"/>
      <c r="AU1648" s="114"/>
      <c r="AV1648" s="114"/>
      <c r="AW1648" s="114"/>
      <c r="AX1648" s="114"/>
      <c r="AY1648" s="114"/>
      <c r="AZ1648" s="114"/>
    </row>
    <row r="1649" spans="1:52">
      <c r="A1649" s="111"/>
      <c r="B1649" s="111"/>
      <c r="C1649" s="112"/>
      <c r="D1649" s="101"/>
      <c r="E1649" s="101"/>
      <c r="F1649" s="101"/>
      <c r="G1649" s="111"/>
      <c r="H1649" s="101"/>
      <c r="I1649" s="101"/>
      <c r="J1649" s="101"/>
      <c r="K1649" s="101"/>
      <c r="L1649" s="101"/>
      <c r="M1649" s="101"/>
      <c r="N1649" s="101"/>
      <c r="O1649" s="101"/>
      <c r="P1649" s="101"/>
      <c r="Q1649" s="101"/>
      <c r="R1649" s="101"/>
      <c r="S1649" s="101"/>
      <c r="T1649" s="101"/>
      <c r="U1649" s="101"/>
      <c r="V1649" s="101"/>
      <c r="W1649" s="101"/>
      <c r="X1649" s="101"/>
      <c r="Y1649" s="114"/>
      <c r="Z1649" s="114"/>
      <c r="AA1649" s="114"/>
      <c r="AB1649" s="114"/>
      <c r="AC1649" s="114"/>
      <c r="AD1649" s="114"/>
      <c r="AE1649" s="114"/>
      <c r="AF1649" s="114"/>
      <c r="AG1649" s="114"/>
      <c r="AH1649" s="114"/>
      <c r="AI1649" s="114"/>
      <c r="AJ1649" s="114"/>
      <c r="AK1649" s="114"/>
      <c r="AL1649" s="114"/>
      <c r="AM1649" s="114"/>
      <c r="AN1649" s="114"/>
      <c r="AO1649" s="114"/>
      <c r="AP1649" s="114"/>
      <c r="AQ1649" s="114"/>
      <c r="AR1649" s="114"/>
      <c r="AS1649" s="114"/>
      <c r="AT1649" s="114"/>
      <c r="AU1649" s="114"/>
      <c r="AV1649" s="114"/>
      <c r="AW1649" s="114"/>
      <c r="AX1649" s="114"/>
      <c r="AY1649" s="114"/>
      <c r="AZ1649" s="114"/>
    </row>
    <row r="1650" spans="1:52">
      <c r="A1650" s="111"/>
      <c r="B1650" s="111"/>
      <c r="C1650" s="112"/>
      <c r="D1650" s="101"/>
      <c r="E1650" s="101"/>
      <c r="F1650" s="101"/>
      <c r="G1650" s="111"/>
      <c r="H1650" s="101"/>
      <c r="I1650" s="101"/>
      <c r="J1650" s="101"/>
      <c r="K1650" s="101"/>
      <c r="L1650" s="101"/>
      <c r="M1650" s="101"/>
      <c r="N1650" s="101"/>
      <c r="O1650" s="101"/>
      <c r="P1650" s="101"/>
      <c r="Q1650" s="101"/>
      <c r="R1650" s="101"/>
      <c r="S1650" s="101"/>
      <c r="T1650" s="101"/>
      <c r="U1650" s="101"/>
      <c r="V1650" s="101"/>
      <c r="W1650" s="101"/>
      <c r="X1650" s="101"/>
      <c r="Y1650" s="114"/>
      <c r="Z1650" s="114"/>
      <c r="AA1650" s="114"/>
      <c r="AB1650" s="114"/>
      <c r="AC1650" s="114"/>
      <c r="AD1650" s="114"/>
      <c r="AE1650" s="114"/>
      <c r="AF1650" s="114"/>
      <c r="AG1650" s="114"/>
      <c r="AH1650" s="114"/>
      <c r="AI1650" s="114"/>
      <c r="AJ1650" s="114"/>
      <c r="AK1650" s="114"/>
      <c r="AL1650" s="114"/>
      <c r="AM1650" s="114"/>
      <c r="AN1650" s="114"/>
      <c r="AO1650" s="114"/>
      <c r="AP1650" s="114"/>
      <c r="AQ1650" s="114"/>
      <c r="AR1650" s="114"/>
      <c r="AS1650" s="114"/>
      <c r="AT1650" s="114"/>
      <c r="AU1650" s="114"/>
      <c r="AV1650" s="114"/>
      <c r="AW1650" s="114"/>
      <c r="AX1650" s="114"/>
      <c r="AY1650" s="114"/>
      <c r="AZ1650" s="114"/>
    </row>
    <row r="1651" spans="1:52">
      <c r="A1651" s="111"/>
      <c r="B1651" s="111"/>
      <c r="C1651" s="112"/>
      <c r="D1651" s="101"/>
      <c r="E1651" s="101"/>
      <c r="F1651" s="101"/>
      <c r="G1651" s="111"/>
      <c r="H1651" s="101"/>
      <c r="I1651" s="101"/>
      <c r="J1651" s="101"/>
      <c r="K1651" s="101"/>
      <c r="L1651" s="101"/>
      <c r="M1651" s="101"/>
      <c r="N1651" s="101"/>
      <c r="O1651" s="101"/>
      <c r="P1651" s="101"/>
      <c r="Q1651" s="101"/>
      <c r="R1651" s="101"/>
      <c r="S1651" s="101"/>
      <c r="T1651" s="101"/>
      <c r="U1651" s="101"/>
      <c r="V1651" s="101"/>
      <c r="W1651" s="101"/>
      <c r="X1651" s="101"/>
      <c r="Y1651" s="114"/>
      <c r="Z1651" s="114"/>
      <c r="AA1651" s="114"/>
      <c r="AB1651" s="114"/>
      <c r="AC1651" s="114"/>
      <c r="AD1651" s="114"/>
      <c r="AE1651" s="114"/>
      <c r="AF1651" s="114"/>
      <c r="AG1651" s="114"/>
      <c r="AH1651" s="114"/>
      <c r="AI1651" s="114"/>
      <c r="AJ1651" s="114"/>
      <c r="AK1651" s="114"/>
      <c r="AL1651" s="114"/>
      <c r="AM1651" s="114"/>
      <c r="AN1651" s="114"/>
      <c r="AO1651" s="114"/>
      <c r="AP1651" s="114"/>
      <c r="AQ1651" s="114"/>
      <c r="AR1651" s="114"/>
      <c r="AS1651" s="114"/>
      <c r="AT1651" s="114"/>
      <c r="AU1651" s="114"/>
      <c r="AV1651" s="114"/>
      <c r="AW1651" s="114"/>
      <c r="AX1651" s="114"/>
      <c r="AY1651" s="114"/>
      <c r="AZ1651" s="114"/>
    </row>
    <row r="1652" spans="1:52">
      <c r="A1652" s="111"/>
      <c r="B1652" s="111"/>
      <c r="C1652" s="112"/>
      <c r="D1652" s="101"/>
      <c r="E1652" s="101"/>
      <c r="F1652" s="101"/>
      <c r="G1652" s="111"/>
      <c r="H1652" s="101"/>
      <c r="I1652" s="101"/>
      <c r="J1652" s="101"/>
      <c r="K1652" s="101"/>
      <c r="L1652" s="101"/>
      <c r="M1652" s="101"/>
      <c r="N1652" s="101"/>
      <c r="O1652" s="101"/>
      <c r="P1652" s="101"/>
      <c r="Q1652" s="101"/>
      <c r="R1652" s="101"/>
      <c r="S1652" s="101"/>
      <c r="T1652" s="101"/>
      <c r="U1652" s="101"/>
      <c r="V1652" s="101"/>
      <c r="W1652" s="101"/>
      <c r="X1652" s="101"/>
      <c r="Y1652" s="114"/>
      <c r="Z1652" s="114"/>
      <c r="AA1652" s="114"/>
      <c r="AB1652" s="114"/>
      <c r="AC1652" s="114"/>
      <c r="AD1652" s="114"/>
      <c r="AE1652" s="114"/>
      <c r="AF1652" s="114"/>
      <c r="AG1652" s="114"/>
      <c r="AH1652" s="114"/>
      <c r="AI1652" s="114"/>
      <c r="AJ1652" s="114"/>
      <c r="AK1652" s="114"/>
      <c r="AL1652" s="114"/>
      <c r="AM1652" s="114"/>
      <c r="AN1652" s="114"/>
      <c r="AO1652" s="114"/>
      <c r="AP1652" s="114"/>
      <c r="AQ1652" s="114"/>
      <c r="AR1652" s="114"/>
      <c r="AS1652" s="114"/>
      <c r="AT1652" s="114"/>
      <c r="AU1652" s="114"/>
      <c r="AV1652" s="114"/>
      <c r="AW1652" s="114"/>
      <c r="AX1652" s="114"/>
      <c r="AY1652" s="114"/>
      <c r="AZ1652" s="114"/>
    </row>
    <row r="1653" spans="1:52">
      <c r="A1653" s="111"/>
      <c r="B1653" s="111"/>
      <c r="C1653" s="112"/>
      <c r="D1653" s="101"/>
      <c r="E1653" s="101"/>
      <c r="F1653" s="101"/>
      <c r="G1653" s="111"/>
      <c r="H1653" s="101"/>
      <c r="I1653" s="101"/>
      <c r="J1653" s="101"/>
      <c r="K1653" s="101"/>
      <c r="L1653" s="101"/>
      <c r="M1653" s="101"/>
      <c r="N1653" s="101"/>
      <c r="O1653" s="101"/>
      <c r="P1653" s="101"/>
      <c r="Q1653" s="101"/>
      <c r="R1653" s="101"/>
      <c r="S1653" s="101"/>
      <c r="T1653" s="101"/>
      <c r="U1653" s="101"/>
      <c r="V1653" s="101"/>
      <c r="W1653" s="101"/>
      <c r="X1653" s="101"/>
      <c r="Y1653" s="114"/>
      <c r="Z1653" s="114"/>
      <c r="AA1653" s="114"/>
      <c r="AB1653" s="114"/>
      <c r="AC1653" s="114"/>
      <c r="AD1653" s="114"/>
      <c r="AE1653" s="114"/>
      <c r="AF1653" s="114"/>
      <c r="AG1653" s="114"/>
      <c r="AH1653" s="114"/>
      <c r="AI1653" s="114"/>
      <c r="AJ1653" s="114"/>
      <c r="AK1653" s="114"/>
      <c r="AL1653" s="114"/>
      <c r="AM1653" s="114"/>
      <c r="AN1653" s="114"/>
      <c r="AO1653" s="114"/>
      <c r="AP1653" s="114"/>
      <c r="AQ1653" s="114"/>
      <c r="AR1653" s="114"/>
      <c r="AS1653" s="114"/>
      <c r="AT1653" s="114"/>
      <c r="AU1653" s="114"/>
      <c r="AV1653" s="114"/>
      <c r="AW1653" s="114"/>
      <c r="AX1653" s="114"/>
      <c r="AY1653" s="114"/>
      <c r="AZ1653" s="114"/>
    </row>
    <row r="1654" spans="1:52">
      <c r="A1654" s="111"/>
      <c r="B1654" s="111"/>
      <c r="C1654" s="112"/>
      <c r="D1654" s="101"/>
      <c r="E1654" s="101"/>
      <c r="F1654" s="101"/>
      <c r="G1654" s="111"/>
      <c r="H1654" s="101"/>
      <c r="I1654" s="101"/>
      <c r="J1654" s="101"/>
      <c r="K1654" s="101"/>
      <c r="L1654" s="101"/>
      <c r="M1654" s="101"/>
      <c r="N1654" s="101"/>
      <c r="O1654" s="101"/>
      <c r="P1654" s="101"/>
      <c r="Q1654" s="101"/>
      <c r="R1654" s="101"/>
      <c r="S1654" s="101"/>
      <c r="T1654" s="101"/>
      <c r="U1654" s="101"/>
      <c r="V1654" s="101"/>
      <c r="W1654" s="101"/>
      <c r="X1654" s="101"/>
      <c r="Y1654" s="114"/>
      <c r="Z1654" s="114"/>
      <c r="AA1654" s="114"/>
      <c r="AB1654" s="114"/>
      <c r="AC1654" s="114"/>
      <c r="AD1654" s="114"/>
      <c r="AE1654" s="114"/>
      <c r="AF1654" s="114"/>
      <c r="AG1654" s="114"/>
      <c r="AH1654" s="114"/>
      <c r="AI1654" s="114"/>
      <c r="AJ1654" s="114"/>
      <c r="AK1654" s="114"/>
      <c r="AL1654" s="114"/>
      <c r="AM1654" s="114"/>
      <c r="AN1654" s="114"/>
      <c r="AO1654" s="114"/>
      <c r="AP1654" s="114"/>
      <c r="AQ1654" s="114"/>
      <c r="AR1654" s="114"/>
      <c r="AS1654" s="114"/>
      <c r="AT1654" s="114"/>
      <c r="AU1654" s="114"/>
      <c r="AV1654" s="114"/>
      <c r="AW1654" s="114"/>
      <c r="AX1654" s="114"/>
      <c r="AY1654" s="114"/>
      <c r="AZ1654" s="114"/>
    </row>
    <row r="1655" spans="1:52">
      <c r="A1655" s="111"/>
      <c r="B1655" s="111"/>
      <c r="C1655" s="112"/>
      <c r="D1655" s="101"/>
      <c r="E1655" s="101"/>
      <c r="F1655" s="101"/>
      <c r="G1655" s="111"/>
      <c r="H1655" s="101"/>
      <c r="I1655" s="101"/>
      <c r="J1655" s="101"/>
      <c r="K1655" s="101"/>
      <c r="L1655" s="101"/>
      <c r="M1655" s="101"/>
      <c r="N1655" s="101"/>
      <c r="O1655" s="101"/>
      <c r="P1655" s="101"/>
      <c r="Q1655" s="101"/>
      <c r="R1655" s="101"/>
      <c r="S1655" s="101"/>
      <c r="T1655" s="101"/>
      <c r="U1655" s="101"/>
      <c r="V1655" s="101"/>
      <c r="W1655" s="101"/>
      <c r="X1655" s="101"/>
      <c r="Y1655" s="114"/>
      <c r="Z1655" s="114"/>
      <c r="AA1655" s="114"/>
      <c r="AB1655" s="114"/>
      <c r="AC1655" s="114"/>
      <c r="AD1655" s="114"/>
      <c r="AE1655" s="114"/>
      <c r="AF1655" s="114"/>
      <c r="AG1655" s="114"/>
      <c r="AH1655" s="114"/>
      <c r="AI1655" s="114"/>
      <c r="AJ1655" s="114"/>
      <c r="AK1655" s="114"/>
      <c r="AL1655" s="114"/>
      <c r="AM1655" s="114"/>
      <c r="AN1655" s="114"/>
      <c r="AO1655" s="114"/>
      <c r="AP1655" s="114"/>
      <c r="AQ1655" s="114"/>
      <c r="AR1655" s="114"/>
      <c r="AS1655" s="114"/>
      <c r="AT1655" s="114"/>
      <c r="AU1655" s="114"/>
      <c r="AV1655" s="114"/>
      <c r="AW1655" s="114"/>
      <c r="AX1655" s="114"/>
      <c r="AY1655" s="114"/>
      <c r="AZ1655" s="114"/>
    </row>
    <row r="1656" spans="1:52">
      <c r="A1656" s="111"/>
      <c r="B1656" s="111"/>
      <c r="C1656" s="112"/>
      <c r="D1656" s="101"/>
      <c r="E1656" s="101"/>
      <c r="F1656" s="101"/>
      <c r="G1656" s="111"/>
      <c r="H1656" s="101"/>
      <c r="I1656" s="101"/>
      <c r="J1656" s="101"/>
      <c r="K1656" s="101"/>
      <c r="L1656" s="101"/>
      <c r="M1656" s="101"/>
      <c r="N1656" s="101"/>
      <c r="O1656" s="101"/>
      <c r="P1656" s="101"/>
      <c r="Q1656" s="101"/>
      <c r="R1656" s="101"/>
      <c r="S1656" s="101"/>
      <c r="T1656" s="101"/>
      <c r="U1656" s="101"/>
      <c r="V1656" s="101"/>
      <c r="W1656" s="101"/>
      <c r="X1656" s="101"/>
      <c r="Y1656" s="114"/>
      <c r="Z1656" s="114"/>
      <c r="AA1656" s="114"/>
      <c r="AB1656" s="114"/>
      <c r="AC1656" s="114"/>
      <c r="AD1656" s="114"/>
      <c r="AE1656" s="114"/>
      <c r="AF1656" s="114"/>
      <c r="AG1656" s="114"/>
      <c r="AH1656" s="114"/>
      <c r="AI1656" s="114"/>
      <c r="AJ1656" s="114"/>
      <c r="AK1656" s="114"/>
      <c r="AL1656" s="114"/>
      <c r="AM1656" s="114"/>
      <c r="AN1656" s="114"/>
      <c r="AO1656" s="114"/>
      <c r="AP1656" s="114"/>
      <c r="AQ1656" s="114"/>
      <c r="AR1656" s="114"/>
      <c r="AS1656" s="114"/>
      <c r="AT1656" s="114"/>
      <c r="AU1656" s="114"/>
      <c r="AV1656" s="114"/>
      <c r="AW1656" s="114"/>
      <c r="AX1656" s="114"/>
      <c r="AY1656" s="114"/>
      <c r="AZ1656" s="114"/>
    </row>
    <row r="1657" spans="1:52">
      <c r="A1657" s="111"/>
      <c r="B1657" s="111"/>
      <c r="C1657" s="112"/>
      <c r="D1657" s="101"/>
      <c r="E1657" s="101"/>
      <c r="F1657" s="101"/>
      <c r="G1657" s="111"/>
      <c r="H1657" s="101"/>
      <c r="I1657" s="101"/>
      <c r="J1657" s="101"/>
      <c r="K1657" s="101"/>
      <c r="L1657" s="101"/>
      <c r="M1657" s="101"/>
      <c r="N1657" s="101"/>
      <c r="O1657" s="101"/>
      <c r="P1657" s="101"/>
      <c r="Q1657" s="101"/>
      <c r="R1657" s="101"/>
      <c r="S1657" s="101"/>
      <c r="T1657" s="101"/>
      <c r="U1657" s="101"/>
      <c r="V1657" s="101"/>
      <c r="W1657" s="101"/>
      <c r="X1657" s="101"/>
      <c r="Y1657" s="114"/>
      <c r="Z1657" s="114"/>
      <c r="AA1657" s="114"/>
      <c r="AB1657" s="114"/>
      <c r="AC1657" s="114"/>
      <c r="AD1657" s="114"/>
      <c r="AE1657" s="114"/>
      <c r="AF1657" s="114"/>
      <c r="AG1657" s="114"/>
      <c r="AH1657" s="114"/>
      <c r="AI1657" s="114"/>
      <c r="AJ1657" s="114"/>
      <c r="AK1657" s="114"/>
      <c r="AL1657" s="114"/>
      <c r="AM1657" s="114"/>
      <c r="AN1657" s="114"/>
      <c r="AO1657" s="114"/>
      <c r="AP1657" s="114"/>
      <c r="AQ1657" s="114"/>
      <c r="AR1657" s="114"/>
      <c r="AS1657" s="114"/>
      <c r="AT1657" s="114"/>
      <c r="AU1657" s="114"/>
      <c r="AV1657" s="114"/>
      <c r="AW1657" s="114"/>
      <c r="AX1657" s="114"/>
      <c r="AY1657" s="114"/>
      <c r="AZ1657" s="114"/>
    </row>
    <row r="1658" spans="1:52">
      <c r="A1658" s="111"/>
      <c r="B1658" s="111"/>
      <c r="C1658" s="112"/>
      <c r="D1658" s="101"/>
      <c r="E1658" s="101"/>
      <c r="F1658" s="101"/>
      <c r="G1658" s="111"/>
      <c r="H1658" s="101"/>
      <c r="I1658" s="101"/>
      <c r="J1658" s="101"/>
      <c r="K1658" s="101"/>
      <c r="L1658" s="101"/>
      <c r="M1658" s="101"/>
      <c r="N1658" s="101"/>
      <c r="O1658" s="101"/>
      <c r="P1658" s="101"/>
      <c r="Q1658" s="101"/>
      <c r="R1658" s="101"/>
      <c r="S1658" s="101"/>
      <c r="T1658" s="101"/>
      <c r="U1658" s="101"/>
      <c r="V1658" s="101"/>
      <c r="W1658" s="101"/>
      <c r="X1658" s="101"/>
      <c r="Y1658" s="114"/>
      <c r="Z1658" s="114"/>
      <c r="AA1658" s="114"/>
      <c r="AB1658" s="114"/>
      <c r="AC1658" s="114"/>
      <c r="AD1658" s="114"/>
      <c r="AE1658" s="114"/>
      <c r="AF1658" s="114"/>
      <c r="AG1658" s="114"/>
      <c r="AH1658" s="114"/>
      <c r="AI1658" s="114"/>
      <c r="AJ1658" s="114"/>
      <c r="AK1658" s="114"/>
      <c r="AL1658" s="114"/>
      <c r="AM1658" s="114"/>
      <c r="AN1658" s="114"/>
      <c r="AO1658" s="114"/>
      <c r="AP1658" s="114"/>
      <c r="AQ1658" s="114"/>
      <c r="AR1658" s="114"/>
      <c r="AS1658" s="114"/>
      <c r="AT1658" s="114"/>
      <c r="AU1658" s="114"/>
      <c r="AV1658" s="114"/>
      <c r="AW1658" s="114"/>
      <c r="AX1658" s="114"/>
      <c r="AY1658" s="114"/>
      <c r="AZ1658" s="114"/>
    </row>
    <row r="1659" spans="1:52">
      <c r="A1659" s="111"/>
      <c r="B1659" s="111"/>
      <c r="C1659" s="112"/>
      <c r="D1659" s="101"/>
      <c r="E1659" s="101"/>
      <c r="F1659" s="101"/>
      <c r="G1659" s="111"/>
      <c r="H1659" s="101"/>
      <c r="I1659" s="101"/>
      <c r="J1659" s="101"/>
      <c r="K1659" s="101"/>
      <c r="L1659" s="101"/>
      <c r="M1659" s="101"/>
      <c r="N1659" s="101"/>
      <c r="O1659" s="101"/>
      <c r="P1659" s="101"/>
      <c r="Q1659" s="101"/>
      <c r="R1659" s="101"/>
      <c r="S1659" s="101"/>
      <c r="T1659" s="101"/>
      <c r="U1659" s="101"/>
      <c r="V1659" s="101"/>
      <c r="W1659" s="101"/>
      <c r="X1659" s="101"/>
      <c r="Y1659" s="114"/>
      <c r="Z1659" s="114"/>
      <c r="AA1659" s="114"/>
      <c r="AB1659" s="114"/>
      <c r="AC1659" s="114"/>
      <c r="AD1659" s="114"/>
      <c r="AE1659" s="114"/>
      <c r="AF1659" s="114"/>
      <c r="AG1659" s="114"/>
      <c r="AH1659" s="114"/>
      <c r="AI1659" s="114"/>
      <c r="AJ1659" s="114"/>
      <c r="AK1659" s="114"/>
      <c r="AL1659" s="114"/>
      <c r="AM1659" s="114"/>
      <c r="AN1659" s="114"/>
      <c r="AO1659" s="114"/>
      <c r="AP1659" s="114"/>
      <c r="AQ1659" s="114"/>
      <c r="AR1659" s="114"/>
      <c r="AS1659" s="114"/>
      <c r="AT1659" s="114"/>
      <c r="AU1659" s="114"/>
      <c r="AV1659" s="114"/>
      <c r="AW1659" s="114"/>
      <c r="AX1659" s="114"/>
      <c r="AY1659" s="114"/>
      <c r="AZ1659" s="114"/>
    </row>
    <row r="1660" spans="1:52">
      <c r="A1660" s="111"/>
      <c r="B1660" s="111"/>
      <c r="C1660" s="112"/>
      <c r="D1660" s="101"/>
      <c r="E1660" s="101"/>
      <c r="F1660" s="101"/>
      <c r="G1660" s="111"/>
      <c r="H1660" s="101"/>
      <c r="I1660" s="101"/>
      <c r="J1660" s="101"/>
      <c r="K1660" s="101"/>
      <c r="L1660" s="101"/>
      <c r="M1660" s="101"/>
      <c r="N1660" s="101"/>
      <c r="O1660" s="101"/>
      <c r="P1660" s="101"/>
      <c r="Q1660" s="101"/>
      <c r="R1660" s="101"/>
      <c r="S1660" s="101"/>
      <c r="T1660" s="101"/>
      <c r="U1660" s="101"/>
      <c r="V1660" s="101"/>
      <c r="W1660" s="101"/>
      <c r="X1660" s="101"/>
      <c r="Y1660" s="114"/>
      <c r="Z1660" s="114"/>
      <c r="AA1660" s="114"/>
      <c r="AB1660" s="114"/>
      <c r="AC1660" s="114"/>
      <c r="AD1660" s="114"/>
      <c r="AE1660" s="114"/>
      <c r="AF1660" s="114"/>
      <c r="AG1660" s="114"/>
      <c r="AH1660" s="114"/>
      <c r="AI1660" s="114"/>
      <c r="AJ1660" s="114"/>
      <c r="AK1660" s="114"/>
      <c r="AL1660" s="114"/>
      <c r="AM1660" s="114"/>
      <c r="AN1660" s="114"/>
      <c r="AO1660" s="114"/>
      <c r="AP1660" s="114"/>
      <c r="AQ1660" s="114"/>
      <c r="AR1660" s="114"/>
      <c r="AS1660" s="114"/>
      <c r="AT1660" s="114"/>
      <c r="AU1660" s="114"/>
      <c r="AV1660" s="114"/>
      <c r="AW1660" s="114"/>
      <c r="AX1660" s="114"/>
      <c r="AY1660" s="114"/>
      <c r="AZ1660" s="114"/>
    </row>
    <row r="1661" spans="1:52">
      <c r="A1661" s="111"/>
      <c r="B1661" s="111"/>
      <c r="C1661" s="112"/>
      <c r="D1661" s="101"/>
      <c r="E1661" s="101"/>
      <c r="F1661" s="101"/>
      <c r="G1661" s="111"/>
      <c r="H1661" s="101"/>
      <c r="I1661" s="101"/>
      <c r="J1661" s="101"/>
      <c r="K1661" s="101"/>
      <c r="L1661" s="101"/>
      <c r="M1661" s="101"/>
      <c r="N1661" s="101"/>
      <c r="O1661" s="101"/>
      <c r="P1661" s="101"/>
      <c r="Q1661" s="101"/>
      <c r="R1661" s="101"/>
      <c r="S1661" s="101"/>
      <c r="T1661" s="101"/>
      <c r="U1661" s="101"/>
      <c r="V1661" s="101"/>
      <c r="W1661" s="101"/>
      <c r="X1661" s="101"/>
      <c r="Y1661" s="114"/>
      <c r="Z1661" s="114"/>
      <c r="AA1661" s="114"/>
      <c r="AB1661" s="114"/>
      <c r="AC1661" s="114"/>
      <c r="AD1661" s="114"/>
      <c r="AE1661" s="114"/>
      <c r="AF1661" s="114"/>
      <c r="AG1661" s="114"/>
      <c r="AH1661" s="114"/>
      <c r="AI1661" s="114"/>
      <c r="AJ1661" s="114"/>
      <c r="AK1661" s="114"/>
      <c r="AL1661" s="114"/>
      <c r="AM1661" s="114"/>
      <c r="AN1661" s="114"/>
      <c r="AO1661" s="114"/>
      <c r="AP1661" s="114"/>
      <c r="AQ1661" s="114"/>
      <c r="AR1661" s="114"/>
      <c r="AS1661" s="114"/>
      <c r="AT1661" s="114"/>
      <c r="AU1661" s="114"/>
      <c r="AV1661" s="114"/>
      <c r="AW1661" s="114"/>
      <c r="AX1661" s="114"/>
      <c r="AY1661" s="114"/>
      <c r="AZ1661" s="114"/>
    </row>
    <row r="1662" spans="1:52">
      <c r="A1662" s="111"/>
      <c r="B1662" s="111"/>
      <c r="C1662" s="112"/>
      <c r="D1662" s="101"/>
      <c r="E1662" s="101"/>
      <c r="F1662" s="101"/>
      <c r="G1662" s="111"/>
      <c r="H1662" s="101"/>
      <c r="I1662" s="101"/>
      <c r="J1662" s="101"/>
      <c r="K1662" s="101"/>
      <c r="L1662" s="101"/>
      <c r="M1662" s="101"/>
      <c r="N1662" s="101"/>
      <c r="O1662" s="101"/>
      <c r="P1662" s="101"/>
      <c r="Q1662" s="101"/>
      <c r="R1662" s="101"/>
      <c r="S1662" s="101"/>
      <c r="T1662" s="101"/>
      <c r="U1662" s="101"/>
      <c r="V1662" s="101"/>
      <c r="W1662" s="101"/>
      <c r="X1662" s="101"/>
      <c r="Y1662" s="114"/>
      <c r="Z1662" s="114"/>
      <c r="AA1662" s="114"/>
      <c r="AB1662" s="114"/>
      <c r="AC1662" s="114"/>
      <c r="AD1662" s="114"/>
      <c r="AE1662" s="114"/>
      <c r="AF1662" s="114"/>
      <c r="AG1662" s="114"/>
      <c r="AH1662" s="114"/>
      <c r="AI1662" s="114"/>
      <c r="AJ1662" s="114"/>
      <c r="AK1662" s="114"/>
      <c r="AL1662" s="114"/>
      <c r="AM1662" s="114"/>
      <c r="AN1662" s="114"/>
      <c r="AO1662" s="114"/>
      <c r="AP1662" s="114"/>
      <c r="AQ1662" s="114"/>
      <c r="AR1662" s="114"/>
      <c r="AS1662" s="114"/>
      <c r="AT1662" s="114"/>
      <c r="AU1662" s="114"/>
      <c r="AV1662" s="114"/>
      <c r="AW1662" s="114"/>
      <c r="AX1662" s="114"/>
      <c r="AY1662" s="114"/>
      <c r="AZ1662" s="114"/>
    </row>
    <row r="1663" spans="1:52">
      <c r="A1663" s="111"/>
      <c r="B1663" s="111"/>
      <c r="C1663" s="112"/>
      <c r="D1663" s="101"/>
      <c r="E1663" s="101"/>
      <c r="F1663" s="101"/>
      <c r="G1663" s="111"/>
      <c r="H1663" s="101"/>
      <c r="I1663" s="101"/>
      <c r="J1663" s="101"/>
      <c r="K1663" s="101"/>
      <c r="L1663" s="101"/>
      <c r="M1663" s="101"/>
      <c r="N1663" s="101"/>
      <c r="O1663" s="101"/>
      <c r="P1663" s="101"/>
      <c r="Q1663" s="101"/>
      <c r="R1663" s="101"/>
      <c r="S1663" s="101"/>
      <c r="T1663" s="101"/>
      <c r="U1663" s="101"/>
      <c r="V1663" s="101"/>
      <c r="W1663" s="101"/>
      <c r="X1663" s="101"/>
      <c r="Y1663" s="114"/>
      <c r="Z1663" s="114"/>
      <c r="AA1663" s="114"/>
      <c r="AB1663" s="114"/>
      <c r="AC1663" s="114"/>
      <c r="AD1663" s="114"/>
      <c r="AE1663" s="114"/>
      <c r="AF1663" s="114"/>
      <c r="AG1663" s="114"/>
      <c r="AH1663" s="114"/>
      <c r="AI1663" s="114"/>
      <c r="AJ1663" s="114"/>
      <c r="AK1663" s="114"/>
      <c r="AL1663" s="114"/>
      <c r="AM1663" s="114"/>
      <c r="AN1663" s="114"/>
      <c r="AO1663" s="114"/>
      <c r="AP1663" s="114"/>
      <c r="AQ1663" s="114"/>
      <c r="AR1663" s="114"/>
      <c r="AS1663" s="114"/>
      <c r="AT1663" s="114"/>
      <c r="AU1663" s="114"/>
      <c r="AV1663" s="114"/>
      <c r="AW1663" s="114"/>
      <c r="AX1663" s="114"/>
      <c r="AY1663" s="114"/>
      <c r="AZ1663" s="114"/>
    </row>
    <row r="1664" spans="1:52">
      <c r="A1664" s="111"/>
      <c r="B1664" s="111"/>
      <c r="C1664" s="112"/>
      <c r="D1664" s="101"/>
      <c r="E1664" s="101"/>
      <c r="F1664" s="101"/>
      <c r="G1664" s="111"/>
      <c r="H1664" s="101"/>
      <c r="I1664" s="101"/>
      <c r="J1664" s="101"/>
      <c r="K1664" s="101"/>
      <c r="L1664" s="101"/>
      <c r="M1664" s="101"/>
      <c r="N1664" s="101"/>
      <c r="O1664" s="101"/>
      <c r="P1664" s="101"/>
      <c r="Q1664" s="101"/>
      <c r="R1664" s="101"/>
      <c r="S1664" s="101"/>
      <c r="T1664" s="101"/>
      <c r="U1664" s="101"/>
      <c r="V1664" s="101"/>
      <c r="W1664" s="101"/>
      <c r="X1664" s="101"/>
      <c r="Y1664" s="114"/>
      <c r="Z1664" s="114"/>
      <c r="AA1664" s="114"/>
      <c r="AB1664" s="114"/>
      <c r="AC1664" s="114"/>
      <c r="AD1664" s="114"/>
      <c r="AE1664" s="114"/>
      <c r="AF1664" s="114"/>
      <c r="AG1664" s="114"/>
      <c r="AH1664" s="114"/>
      <c r="AI1664" s="114"/>
      <c r="AJ1664" s="114"/>
      <c r="AK1664" s="114"/>
      <c r="AL1664" s="114"/>
      <c r="AM1664" s="114"/>
      <c r="AN1664" s="114"/>
      <c r="AO1664" s="114"/>
      <c r="AP1664" s="114"/>
      <c r="AQ1664" s="114"/>
      <c r="AR1664" s="114"/>
      <c r="AS1664" s="114"/>
      <c r="AT1664" s="114"/>
      <c r="AU1664" s="114"/>
      <c r="AV1664" s="114"/>
      <c r="AW1664" s="114"/>
      <c r="AX1664" s="114"/>
      <c r="AY1664" s="114"/>
      <c r="AZ1664" s="114"/>
    </row>
    <row r="1665" spans="1:52">
      <c r="A1665" s="111"/>
      <c r="B1665" s="111"/>
      <c r="C1665" s="112"/>
      <c r="D1665" s="101"/>
      <c r="E1665" s="101"/>
      <c r="F1665" s="101"/>
      <c r="G1665" s="111"/>
      <c r="H1665" s="101"/>
      <c r="I1665" s="101"/>
      <c r="J1665" s="101"/>
      <c r="K1665" s="101"/>
      <c r="L1665" s="101"/>
      <c r="M1665" s="101"/>
      <c r="N1665" s="101"/>
      <c r="O1665" s="101"/>
      <c r="P1665" s="101"/>
      <c r="Q1665" s="101"/>
      <c r="R1665" s="101"/>
      <c r="S1665" s="101"/>
      <c r="T1665" s="101"/>
      <c r="U1665" s="101"/>
      <c r="V1665" s="101"/>
      <c r="W1665" s="101"/>
      <c r="X1665" s="101"/>
      <c r="Y1665" s="114"/>
      <c r="Z1665" s="114"/>
      <c r="AA1665" s="114"/>
      <c r="AB1665" s="114"/>
      <c r="AC1665" s="114"/>
      <c r="AD1665" s="114"/>
      <c r="AE1665" s="114"/>
      <c r="AF1665" s="114"/>
      <c r="AG1665" s="114"/>
      <c r="AH1665" s="114"/>
      <c r="AI1665" s="114"/>
      <c r="AJ1665" s="114"/>
      <c r="AK1665" s="114"/>
      <c r="AL1665" s="114"/>
      <c r="AM1665" s="114"/>
      <c r="AN1665" s="114"/>
      <c r="AO1665" s="114"/>
      <c r="AP1665" s="114"/>
      <c r="AQ1665" s="114"/>
      <c r="AR1665" s="114"/>
      <c r="AS1665" s="114"/>
      <c r="AT1665" s="114"/>
      <c r="AU1665" s="114"/>
      <c r="AV1665" s="114"/>
      <c r="AW1665" s="114"/>
      <c r="AX1665" s="114"/>
      <c r="AY1665" s="114"/>
      <c r="AZ1665" s="114"/>
    </row>
    <row r="1666" spans="1:52">
      <c r="A1666" s="111"/>
      <c r="B1666" s="111"/>
      <c r="C1666" s="112"/>
      <c r="D1666" s="101"/>
      <c r="E1666" s="101"/>
      <c r="F1666" s="101"/>
      <c r="G1666" s="111"/>
      <c r="H1666" s="101"/>
      <c r="I1666" s="101"/>
      <c r="J1666" s="101"/>
      <c r="K1666" s="101"/>
      <c r="L1666" s="101"/>
      <c r="M1666" s="101"/>
      <c r="N1666" s="101"/>
      <c r="O1666" s="101"/>
      <c r="P1666" s="101"/>
      <c r="Q1666" s="101"/>
      <c r="R1666" s="101"/>
      <c r="S1666" s="101"/>
      <c r="T1666" s="101"/>
      <c r="U1666" s="101"/>
      <c r="V1666" s="101"/>
      <c r="W1666" s="101"/>
      <c r="X1666" s="101"/>
      <c r="Y1666" s="114"/>
      <c r="Z1666" s="114"/>
      <c r="AA1666" s="114"/>
      <c r="AB1666" s="114"/>
      <c r="AC1666" s="114"/>
      <c r="AD1666" s="114"/>
      <c r="AE1666" s="114"/>
      <c r="AF1666" s="114"/>
      <c r="AG1666" s="114"/>
      <c r="AH1666" s="114"/>
      <c r="AI1666" s="114"/>
      <c r="AJ1666" s="114"/>
      <c r="AK1666" s="114"/>
      <c r="AL1666" s="114"/>
      <c r="AM1666" s="114"/>
      <c r="AN1666" s="114"/>
      <c r="AO1666" s="114"/>
      <c r="AP1666" s="114"/>
      <c r="AQ1666" s="114"/>
      <c r="AR1666" s="114"/>
      <c r="AS1666" s="114"/>
      <c r="AT1666" s="114"/>
      <c r="AU1666" s="114"/>
      <c r="AV1666" s="114"/>
      <c r="AW1666" s="114"/>
      <c r="AX1666" s="114"/>
      <c r="AY1666" s="114"/>
      <c r="AZ1666" s="114"/>
    </row>
    <row r="1667" spans="1:52">
      <c r="A1667" s="111"/>
      <c r="B1667" s="111"/>
      <c r="C1667" s="112"/>
      <c r="D1667" s="101"/>
      <c r="E1667" s="101"/>
      <c r="F1667" s="101"/>
      <c r="G1667" s="111"/>
      <c r="H1667" s="101"/>
      <c r="I1667" s="101"/>
      <c r="J1667" s="101"/>
      <c r="K1667" s="101"/>
      <c r="L1667" s="101"/>
      <c r="M1667" s="101"/>
      <c r="N1667" s="101"/>
      <c r="O1667" s="101"/>
      <c r="P1667" s="101"/>
      <c r="Q1667" s="101"/>
      <c r="R1667" s="101"/>
      <c r="S1667" s="101"/>
      <c r="T1667" s="101"/>
      <c r="U1667" s="101"/>
      <c r="V1667" s="101"/>
      <c r="W1667" s="101"/>
      <c r="X1667" s="101"/>
      <c r="Y1667" s="114"/>
      <c r="Z1667" s="114"/>
      <c r="AA1667" s="114"/>
      <c r="AB1667" s="114"/>
      <c r="AC1667" s="114"/>
      <c r="AD1667" s="114"/>
      <c r="AE1667" s="114"/>
      <c r="AF1667" s="114"/>
      <c r="AG1667" s="114"/>
      <c r="AH1667" s="114"/>
      <c r="AI1667" s="114"/>
      <c r="AJ1667" s="114"/>
      <c r="AK1667" s="114"/>
      <c r="AL1667" s="114"/>
      <c r="AM1667" s="114"/>
      <c r="AN1667" s="114"/>
      <c r="AO1667" s="114"/>
      <c r="AP1667" s="114"/>
      <c r="AQ1667" s="114"/>
      <c r="AR1667" s="114"/>
      <c r="AS1667" s="114"/>
      <c r="AT1667" s="114"/>
      <c r="AU1667" s="114"/>
      <c r="AV1667" s="114"/>
      <c r="AW1667" s="114"/>
      <c r="AX1667" s="114"/>
      <c r="AY1667" s="114"/>
      <c r="AZ1667" s="114"/>
    </row>
    <row r="1668" spans="1:52">
      <c r="A1668" s="111"/>
      <c r="B1668" s="111"/>
      <c r="C1668" s="112"/>
      <c r="D1668" s="101"/>
      <c r="E1668" s="101"/>
      <c r="F1668" s="101"/>
      <c r="G1668" s="111"/>
      <c r="H1668" s="101"/>
      <c r="I1668" s="101"/>
      <c r="J1668" s="101"/>
      <c r="K1668" s="101"/>
      <c r="L1668" s="101"/>
      <c r="M1668" s="101"/>
      <c r="N1668" s="101"/>
      <c r="O1668" s="101"/>
      <c r="P1668" s="101"/>
      <c r="Q1668" s="101"/>
      <c r="R1668" s="101"/>
      <c r="S1668" s="101"/>
      <c r="T1668" s="101"/>
      <c r="U1668" s="101"/>
      <c r="V1668" s="101"/>
      <c r="W1668" s="101"/>
      <c r="X1668" s="101"/>
      <c r="Y1668" s="114"/>
      <c r="Z1668" s="114"/>
      <c r="AA1668" s="114"/>
      <c r="AB1668" s="114"/>
      <c r="AC1668" s="114"/>
      <c r="AD1668" s="114"/>
      <c r="AE1668" s="114"/>
      <c r="AF1668" s="114"/>
      <c r="AG1668" s="114"/>
      <c r="AH1668" s="114"/>
      <c r="AI1668" s="114"/>
      <c r="AJ1668" s="114"/>
      <c r="AK1668" s="114"/>
      <c r="AL1668" s="114"/>
      <c r="AM1668" s="114"/>
      <c r="AN1668" s="114"/>
      <c r="AO1668" s="114"/>
      <c r="AP1668" s="114"/>
      <c r="AQ1668" s="114"/>
      <c r="AR1668" s="114"/>
      <c r="AS1668" s="114"/>
      <c r="AT1668" s="114"/>
      <c r="AU1668" s="114"/>
      <c r="AV1668" s="114"/>
      <c r="AW1668" s="114"/>
      <c r="AX1668" s="114"/>
      <c r="AY1668" s="114"/>
      <c r="AZ1668" s="114"/>
    </row>
    <row r="1669" spans="1:52">
      <c r="A1669" s="111"/>
      <c r="B1669" s="111"/>
      <c r="C1669" s="112"/>
      <c r="D1669" s="101"/>
      <c r="E1669" s="101"/>
      <c r="F1669" s="101"/>
      <c r="G1669" s="111"/>
      <c r="H1669" s="101"/>
      <c r="I1669" s="101"/>
      <c r="J1669" s="101"/>
      <c r="K1669" s="101"/>
      <c r="L1669" s="101"/>
      <c r="M1669" s="101"/>
      <c r="N1669" s="101"/>
      <c r="O1669" s="101"/>
      <c r="P1669" s="101"/>
      <c r="Q1669" s="101"/>
      <c r="R1669" s="101"/>
      <c r="S1669" s="101"/>
      <c r="T1669" s="101"/>
      <c r="U1669" s="101"/>
      <c r="V1669" s="101"/>
      <c r="W1669" s="101"/>
      <c r="X1669" s="101"/>
      <c r="Y1669" s="114"/>
      <c r="Z1669" s="114"/>
      <c r="AA1669" s="114"/>
      <c r="AB1669" s="114"/>
      <c r="AC1669" s="114"/>
      <c r="AD1669" s="114"/>
      <c r="AE1669" s="114"/>
      <c r="AF1669" s="114"/>
      <c r="AG1669" s="114"/>
      <c r="AH1669" s="114"/>
      <c r="AI1669" s="114"/>
      <c r="AJ1669" s="114"/>
      <c r="AK1669" s="114"/>
      <c r="AL1669" s="114"/>
      <c r="AM1669" s="114"/>
      <c r="AN1669" s="114"/>
      <c r="AO1669" s="114"/>
      <c r="AP1669" s="114"/>
      <c r="AQ1669" s="114"/>
      <c r="AR1669" s="114"/>
      <c r="AS1669" s="114"/>
      <c r="AT1669" s="114"/>
      <c r="AU1669" s="114"/>
      <c r="AV1669" s="114"/>
      <c r="AW1669" s="114"/>
      <c r="AX1669" s="114"/>
      <c r="AY1669" s="114"/>
      <c r="AZ1669" s="114"/>
    </row>
    <row r="1670" spans="1:52">
      <c r="A1670" s="111"/>
      <c r="B1670" s="111"/>
      <c r="C1670" s="112"/>
      <c r="D1670" s="101"/>
      <c r="E1670" s="101"/>
      <c r="F1670" s="101"/>
      <c r="G1670" s="111"/>
      <c r="H1670" s="101"/>
      <c r="I1670" s="101"/>
      <c r="J1670" s="101"/>
      <c r="K1670" s="101"/>
      <c r="L1670" s="101"/>
      <c r="M1670" s="101"/>
      <c r="N1670" s="101"/>
      <c r="O1670" s="101"/>
      <c r="P1670" s="101"/>
      <c r="Q1670" s="101"/>
      <c r="R1670" s="101"/>
      <c r="S1670" s="101"/>
      <c r="T1670" s="101"/>
      <c r="U1670" s="101"/>
      <c r="V1670" s="101"/>
      <c r="W1670" s="101"/>
      <c r="X1670" s="101"/>
      <c r="Y1670" s="114"/>
      <c r="Z1670" s="114"/>
      <c r="AA1670" s="114"/>
      <c r="AB1670" s="114"/>
      <c r="AC1670" s="114"/>
      <c r="AD1670" s="114"/>
      <c r="AE1670" s="114"/>
      <c r="AF1670" s="114"/>
      <c r="AG1670" s="114"/>
      <c r="AH1670" s="114"/>
      <c r="AI1670" s="114"/>
      <c r="AJ1670" s="114"/>
      <c r="AK1670" s="114"/>
      <c r="AL1670" s="114"/>
      <c r="AM1670" s="114"/>
      <c r="AN1670" s="114"/>
      <c r="AO1670" s="114"/>
      <c r="AP1670" s="114"/>
      <c r="AQ1670" s="114"/>
      <c r="AR1670" s="114"/>
      <c r="AS1670" s="114"/>
      <c r="AT1670" s="114"/>
      <c r="AU1670" s="114"/>
      <c r="AV1670" s="114"/>
      <c r="AW1670" s="114"/>
      <c r="AX1670" s="114"/>
      <c r="AY1670" s="114"/>
      <c r="AZ1670" s="114"/>
    </row>
    <row r="1671" spans="1:52">
      <c r="A1671" s="111"/>
      <c r="B1671" s="111"/>
      <c r="C1671" s="112"/>
      <c r="D1671" s="101"/>
      <c r="E1671" s="101"/>
      <c r="F1671" s="101"/>
      <c r="G1671" s="111"/>
      <c r="H1671" s="101"/>
      <c r="I1671" s="101"/>
      <c r="J1671" s="101"/>
      <c r="K1671" s="101"/>
      <c r="L1671" s="101"/>
      <c r="M1671" s="101"/>
      <c r="N1671" s="101"/>
      <c r="O1671" s="101"/>
      <c r="P1671" s="101"/>
      <c r="Q1671" s="101"/>
      <c r="R1671" s="101"/>
      <c r="S1671" s="101"/>
      <c r="T1671" s="101"/>
      <c r="U1671" s="101"/>
      <c r="V1671" s="101"/>
      <c r="W1671" s="101"/>
      <c r="X1671" s="101"/>
      <c r="Y1671" s="114"/>
      <c r="Z1671" s="114"/>
      <c r="AA1671" s="114"/>
      <c r="AB1671" s="114"/>
      <c r="AC1671" s="114"/>
      <c r="AD1671" s="114"/>
      <c r="AE1671" s="114"/>
      <c r="AF1671" s="114"/>
      <c r="AG1671" s="114"/>
      <c r="AH1671" s="114"/>
      <c r="AI1671" s="114"/>
      <c r="AJ1671" s="114"/>
      <c r="AK1671" s="114"/>
      <c r="AL1671" s="114"/>
      <c r="AM1671" s="114"/>
      <c r="AN1671" s="114"/>
      <c r="AO1671" s="114"/>
      <c r="AP1671" s="114"/>
      <c r="AQ1671" s="114"/>
      <c r="AR1671" s="114"/>
      <c r="AS1671" s="114"/>
      <c r="AT1671" s="114"/>
      <c r="AU1671" s="114"/>
      <c r="AV1671" s="114"/>
      <c r="AW1671" s="114"/>
      <c r="AX1671" s="114"/>
      <c r="AY1671" s="114"/>
      <c r="AZ1671" s="114"/>
    </row>
    <row r="1672" spans="1:52">
      <c r="A1672" s="111"/>
      <c r="B1672" s="111"/>
      <c r="C1672" s="112"/>
      <c r="D1672" s="101"/>
      <c r="E1672" s="101"/>
      <c r="F1672" s="101"/>
      <c r="G1672" s="111"/>
      <c r="H1672" s="101"/>
      <c r="I1672" s="101"/>
      <c r="J1672" s="101"/>
      <c r="K1672" s="101"/>
      <c r="L1672" s="101"/>
      <c r="M1672" s="101"/>
      <c r="N1672" s="101"/>
      <c r="O1672" s="101"/>
      <c r="P1672" s="101"/>
      <c r="Q1672" s="101"/>
      <c r="R1672" s="101"/>
      <c r="S1672" s="101"/>
      <c r="T1672" s="101"/>
      <c r="U1672" s="101"/>
      <c r="V1672" s="101"/>
      <c r="W1672" s="101"/>
      <c r="X1672" s="101"/>
      <c r="Y1672" s="114"/>
      <c r="Z1672" s="114"/>
      <c r="AA1672" s="114"/>
      <c r="AB1672" s="114"/>
      <c r="AC1672" s="114"/>
      <c r="AD1672" s="114"/>
      <c r="AE1672" s="114"/>
      <c r="AF1672" s="114"/>
      <c r="AG1672" s="114"/>
      <c r="AH1672" s="114"/>
      <c r="AI1672" s="114"/>
      <c r="AJ1672" s="114"/>
      <c r="AK1672" s="114"/>
      <c r="AL1672" s="114"/>
      <c r="AM1672" s="114"/>
      <c r="AN1672" s="114"/>
      <c r="AO1672" s="114"/>
      <c r="AP1672" s="114"/>
      <c r="AQ1672" s="114"/>
      <c r="AR1672" s="114"/>
      <c r="AS1672" s="114"/>
      <c r="AT1672" s="114"/>
      <c r="AU1672" s="114"/>
      <c r="AV1672" s="114"/>
      <c r="AW1672" s="114"/>
      <c r="AX1672" s="114"/>
      <c r="AY1672" s="114"/>
      <c r="AZ1672" s="114"/>
    </row>
    <row r="1673" spans="1:52">
      <c r="A1673" s="111"/>
      <c r="B1673" s="111"/>
      <c r="C1673" s="112"/>
      <c r="D1673" s="101"/>
      <c r="E1673" s="101"/>
      <c r="F1673" s="101"/>
      <c r="G1673" s="111"/>
      <c r="H1673" s="101"/>
      <c r="I1673" s="101"/>
      <c r="J1673" s="101"/>
      <c r="K1673" s="101"/>
      <c r="L1673" s="101"/>
      <c r="M1673" s="101"/>
      <c r="N1673" s="101"/>
      <c r="O1673" s="101"/>
      <c r="P1673" s="101"/>
      <c r="Q1673" s="101"/>
      <c r="R1673" s="101"/>
      <c r="S1673" s="101"/>
      <c r="T1673" s="101"/>
      <c r="U1673" s="101"/>
      <c r="V1673" s="101"/>
      <c r="W1673" s="101"/>
      <c r="X1673" s="101"/>
      <c r="Y1673" s="114"/>
      <c r="Z1673" s="114"/>
      <c r="AA1673" s="114"/>
      <c r="AB1673" s="114"/>
      <c r="AC1673" s="114"/>
      <c r="AD1673" s="114"/>
      <c r="AE1673" s="114"/>
      <c r="AF1673" s="114"/>
      <c r="AG1673" s="114"/>
      <c r="AH1673" s="114"/>
      <c r="AI1673" s="114"/>
      <c r="AJ1673" s="114"/>
      <c r="AK1673" s="114"/>
      <c r="AL1673" s="114"/>
      <c r="AM1673" s="114"/>
      <c r="AN1673" s="114"/>
      <c r="AO1673" s="114"/>
      <c r="AP1673" s="114"/>
      <c r="AQ1673" s="114"/>
      <c r="AR1673" s="114"/>
      <c r="AS1673" s="114"/>
      <c r="AT1673" s="114"/>
      <c r="AU1673" s="114"/>
      <c r="AV1673" s="114"/>
      <c r="AW1673" s="114"/>
      <c r="AX1673" s="114"/>
      <c r="AY1673" s="114"/>
      <c r="AZ1673" s="114"/>
    </row>
    <row r="1674" spans="1:52">
      <c r="A1674" s="111"/>
      <c r="B1674" s="111"/>
      <c r="C1674" s="112"/>
      <c r="D1674" s="101"/>
      <c r="E1674" s="101"/>
      <c r="F1674" s="101"/>
      <c r="G1674" s="111"/>
      <c r="H1674" s="101"/>
      <c r="I1674" s="101"/>
      <c r="J1674" s="101"/>
      <c r="K1674" s="101"/>
      <c r="L1674" s="101"/>
      <c r="M1674" s="101"/>
      <c r="N1674" s="101"/>
      <c r="O1674" s="101"/>
      <c r="P1674" s="101"/>
      <c r="Q1674" s="101"/>
      <c r="R1674" s="101"/>
      <c r="S1674" s="101"/>
      <c r="T1674" s="101"/>
      <c r="U1674" s="101"/>
      <c r="V1674" s="101"/>
      <c r="W1674" s="101"/>
      <c r="X1674" s="101"/>
      <c r="Y1674" s="114"/>
      <c r="Z1674" s="114"/>
      <c r="AA1674" s="114"/>
      <c r="AB1674" s="114"/>
      <c r="AC1674" s="114"/>
      <c r="AD1674" s="114"/>
      <c r="AE1674" s="114"/>
      <c r="AF1674" s="114"/>
      <c r="AG1674" s="114"/>
      <c r="AH1674" s="114"/>
      <c r="AI1674" s="114"/>
      <c r="AJ1674" s="114"/>
      <c r="AK1674" s="114"/>
      <c r="AL1674" s="114"/>
      <c r="AM1674" s="114"/>
      <c r="AN1674" s="114"/>
      <c r="AO1674" s="114"/>
      <c r="AP1674" s="114"/>
      <c r="AQ1674" s="114"/>
      <c r="AR1674" s="114"/>
      <c r="AS1674" s="114"/>
      <c r="AT1674" s="114"/>
      <c r="AU1674" s="114"/>
      <c r="AV1674" s="114"/>
      <c r="AW1674" s="114"/>
      <c r="AX1674" s="114"/>
      <c r="AY1674" s="114"/>
      <c r="AZ1674" s="114"/>
    </row>
    <row r="1675" spans="1:52">
      <c r="A1675" s="111"/>
      <c r="B1675" s="111"/>
      <c r="C1675" s="112"/>
      <c r="D1675" s="101"/>
      <c r="E1675" s="101"/>
      <c r="F1675" s="101"/>
      <c r="G1675" s="111"/>
      <c r="H1675" s="101"/>
      <c r="I1675" s="101"/>
      <c r="J1675" s="101"/>
      <c r="K1675" s="101"/>
      <c r="L1675" s="101"/>
      <c r="M1675" s="101"/>
      <c r="N1675" s="101"/>
      <c r="O1675" s="101"/>
      <c r="P1675" s="101"/>
      <c r="Q1675" s="101"/>
      <c r="R1675" s="101"/>
      <c r="S1675" s="101"/>
      <c r="T1675" s="101"/>
      <c r="U1675" s="101"/>
      <c r="V1675" s="101"/>
      <c r="W1675" s="101"/>
      <c r="X1675" s="101"/>
      <c r="Y1675" s="114"/>
      <c r="Z1675" s="114"/>
      <c r="AA1675" s="114"/>
      <c r="AB1675" s="114"/>
      <c r="AC1675" s="114"/>
      <c r="AD1675" s="114"/>
      <c r="AE1675" s="114"/>
      <c r="AF1675" s="114"/>
      <c r="AG1675" s="114"/>
      <c r="AH1675" s="114"/>
      <c r="AI1675" s="114"/>
      <c r="AJ1675" s="114"/>
      <c r="AK1675" s="114"/>
      <c r="AL1675" s="114"/>
      <c r="AM1675" s="114"/>
      <c r="AN1675" s="114"/>
      <c r="AO1675" s="114"/>
      <c r="AP1675" s="114"/>
      <c r="AQ1675" s="114"/>
      <c r="AR1675" s="114"/>
      <c r="AS1675" s="114"/>
      <c r="AT1675" s="114"/>
      <c r="AU1675" s="114"/>
      <c r="AV1675" s="114"/>
      <c r="AW1675" s="114"/>
      <c r="AX1675" s="114"/>
      <c r="AY1675" s="114"/>
      <c r="AZ1675" s="114"/>
    </row>
    <row r="1676" spans="1:52">
      <c r="A1676" s="111"/>
      <c r="B1676" s="111"/>
      <c r="C1676" s="112"/>
      <c r="D1676" s="101"/>
      <c r="E1676" s="101"/>
      <c r="F1676" s="101"/>
      <c r="G1676" s="111"/>
      <c r="H1676" s="101"/>
      <c r="I1676" s="101"/>
      <c r="J1676" s="101"/>
      <c r="K1676" s="101"/>
      <c r="L1676" s="101"/>
      <c r="M1676" s="101"/>
      <c r="N1676" s="101"/>
      <c r="O1676" s="101"/>
      <c r="P1676" s="101"/>
      <c r="Q1676" s="101"/>
      <c r="R1676" s="101"/>
      <c r="S1676" s="101"/>
      <c r="T1676" s="101"/>
      <c r="U1676" s="101"/>
      <c r="V1676" s="101"/>
      <c r="W1676" s="101"/>
      <c r="X1676" s="101"/>
      <c r="Y1676" s="114"/>
      <c r="Z1676" s="114"/>
      <c r="AA1676" s="114"/>
      <c r="AB1676" s="114"/>
      <c r="AC1676" s="114"/>
      <c r="AD1676" s="114"/>
      <c r="AE1676" s="114"/>
      <c r="AF1676" s="114"/>
      <c r="AG1676" s="114"/>
      <c r="AH1676" s="114"/>
      <c r="AI1676" s="114"/>
      <c r="AJ1676" s="114"/>
      <c r="AK1676" s="114"/>
      <c r="AL1676" s="114"/>
      <c r="AM1676" s="114"/>
      <c r="AN1676" s="114"/>
      <c r="AO1676" s="114"/>
      <c r="AP1676" s="114"/>
      <c r="AQ1676" s="114"/>
      <c r="AR1676" s="114"/>
      <c r="AS1676" s="114"/>
      <c r="AT1676" s="114"/>
      <c r="AU1676" s="114"/>
      <c r="AV1676" s="114"/>
      <c r="AW1676" s="114"/>
      <c r="AX1676" s="114"/>
      <c r="AY1676" s="114"/>
      <c r="AZ1676" s="114"/>
    </row>
    <row r="1677" spans="1:52">
      <c r="A1677" s="111"/>
      <c r="B1677" s="111"/>
      <c r="C1677" s="112"/>
      <c r="D1677" s="101"/>
      <c r="E1677" s="101"/>
      <c r="F1677" s="101"/>
      <c r="G1677" s="111"/>
      <c r="H1677" s="101"/>
      <c r="I1677" s="101"/>
      <c r="J1677" s="101"/>
      <c r="K1677" s="101"/>
      <c r="L1677" s="101"/>
      <c r="M1677" s="101"/>
      <c r="N1677" s="101"/>
      <c r="O1677" s="101"/>
      <c r="P1677" s="101"/>
      <c r="Q1677" s="101"/>
      <c r="R1677" s="101"/>
      <c r="S1677" s="101"/>
      <c r="T1677" s="101"/>
      <c r="U1677" s="101"/>
      <c r="V1677" s="101"/>
      <c r="W1677" s="101"/>
      <c r="X1677" s="101"/>
      <c r="Y1677" s="114"/>
      <c r="Z1677" s="114"/>
      <c r="AA1677" s="114"/>
      <c r="AB1677" s="114"/>
      <c r="AC1677" s="114"/>
      <c r="AD1677" s="114"/>
      <c r="AE1677" s="114"/>
      <c r="AF1677" s="114"/>
      <c r="AG1677" s="114"/>
      <c r="AH1677" s="114"/>
      <c r="AI1677" s="114"/>
      <c r="AJ1677" s="114"/>
      <c r="AK1677" s="114"/>
      <c r="AL1677" s="114"/>
      <c r="AM1677" s="114"/>
      <c r="AN1677" s="114"/>
      <c r="AO1677" s="114"/>
      <c r="AP1677" s="114"/>
      <c r="AQ1677" s="114"/>
      <c r="AR1677" s="114"/>
      <c r="AS1677" s="114"/>
      <c r="AT1677" s="114"/>
      <c r="AU1677" s="114"/>
      <c r="AV1677" s="114"/>
      <c r="AW1677" s="114"/>
      <c r="AX1677" s="114"/>
      <c r="AY1677" s="114"/>
      <c r="AZ1677" s="114"/>
    </row>
    <row r="1678" spans="1:52">
      <c r="A1678" s="111"/>
      <c r="B1678" s="111"/>
      <c r="C1678" s="112"/>
      <c r="D1678" s="101"/>
      <c r="E1678" s="101"/>
      <c r="F1678" s="101"/>
      <c r="G1678" s="111"/>
      <c r="H1678" s="101"/>
      <c r="I1678" s="101"/>
      <c r="J1678" s="101"/>
      <c r="K1678" s="101"/>
      <c r="L1678" s="101"/>
      <c r="M1678" s="101"/>
      <c r="N1678" s="101"/>
      <c r="O1678" s="101"/>
      <c r="P1678" s="101"/>
      <c r="Q1678" s="101"/>
      <c r="R1678" s="101"/>
      <c r="S1678" s="101"/>
      <c r="T1678" s="101"/>
      <c r="U1678" s="101"/>
      <c r="V1678" s="101"/>
      <c r="W1678" s="101"/>
      <c r="X1678" s="101"/>
      <c r="Y1678" s="114"/>
      <c r="Z1678" s="114"/>
      <c r="AA1678" s="114"/>
      <c r="AB1678" s="114"/>
      <c r="AC1678" s="114"/>
      <c r="AD1678" s="114"/>
      <c r="AE1678" s="114"/>
      <c r="AF1678" s="114"/>
      <c r="AG1678" s="114"/>
      <c r="AH1678" s="114"/>
      <c r="AI1678" s="114"/>
      <c r="AJ1678" s="114"/>
      <c r="AK1678" s="114"/>
      <c r="AL1678" s="114"/>
      <c r="AM1678" s="114"/>
      <c r="AN1678" s="114"/>
      <c r="AO1678" s="114"/>
      <c r="AP1678" s="114"/>
      <c r="AQ1678" s="114"/>
      <c r="AR1678" s="114"/>
      <c r="AS1678" s="114"/>
      <c r="AT1678" s="114"/>
      <c r="AU1678" s="114"/>
      <c r="AV1678" s="114"/>
      <c r="AW1678" s="114"/>
      <c r="AX1678" s="114"/>
      <c r="AY1678" s="114"/>
      <c r="AZ1678" s="114"/>
    </row>
    <row r="1679" spans="1:52">
      <c r="A1679" s="111"/>
      <c r="B1679" s="111"/>
      <c r="C1679" s="112"/>
      <c r="D1679" s="101"/>
      <c r="E1679" s="101"/>
      <c r="F1679" s="101"/>
      <c r="G1679" s="111"/>
      <c r="H1679" s="101"/>
      <c r="I1679" s="101"/>
      <c r="J1679" s="101"/>
      <c r="K1679" s="101"/>
      <c r="L1679" s="101"/>
      <c r="M1679" s="101"/>
      <c r="N1679" s="101"/>
      <c r="O1679" s="101"/>
      <c r="P1679" s="101"/>
      <c r="Q1679" s="101"/>
      <c r="R1679" s="101"/>
      <c r="S1679" s="101"/>
      <c r="T1679" s="101"/>
      <c r="U1679" s="101"/>
      <c r="V1679" s="101"/>
      <c r="W1679" s="101"/>
      <c r="X1679" s="101"/>
      <c r="Y1679" s="114"/>
      <c r="Z1679" s="114"/>
      <c r="AA1679" s="114"/>
      <c r="AB1679" s="114"/>
      <c r="AC1679" s="114"/>
      <c r="AD1679" s="114"/>
      <c r="AE1679" s="114"/>
      <c r="AF1679" s="114"/>
      <c r="AG1679" s="114"/>
      <c r="AH1679" s="114"/>
      <c r="AI1679" s="114"/>
      <c r="AJ1679" s="114"/>
      <c r="AK1679" s="114"/>
      <c r="AL1679" s="114"/>
      <c r="AM1679" s="114"/>
      <c r="AN1679" s="114"/>
      <c r="AO1679" s="114"/>
      <c r="AP1679" s="114"/>
      <c r="AQ1679" s="114"/>
      <c r="AR1679" s="114"/>
      <c r="AS1679" s="114"/>
      <c r="AT1679" s="114"/>
      <c r="AU1679" s="114"/>
      <c r="AV1679" s="114"/>
      <c r="AW1679" s="114"/>
      <c r="AX1679" s="114"/>
      <c r="AY1679" s="114"/>
      <c r="AZ1679" s="114"/>
    </row>
    <row r="1680" spans="1:52">
      <c r="A1680" s="111"/>
      <c r="B1680" s="111"/>
      <c r="C1680" s="112"/>
      <c r="D1680" s="101"/>
      <c r="E1680" s="101"/>
      <c r="F1680" s="101"/>
      <c r="G1680" s="111"/>
      <c r="H1680" s="101"/>
      <c r="I1680" s="101"/>
      <c r="J1680" s="101"/>
      <c r="K1680" s="101"/>
      <c r="L1680" s="101"/>
      <c r="M1680" s="101"/>
      <c r="N1680" s="101"/>
      <c r="O1680" s="101"/>
      <c r="P1680" s="101"/>
      <c r="Q1680" s="101"/>
      <c r="R1680" s="101"/>
      <c r="S1680" s="101"/>
      <c r="T1680" s="101"/>
      <c r="U1680" s="101"/>
      <c r="V1680" s="101"/>
      <c r="W1680" s="101"/>
      <c r="X1680" s="101"/>
      <c r="Y1680" s="114"/>
      <c r="Z1680" s="114"/>
      <c r="AA1680" s="114"/>
      <c r="AB1680" s="114"/>
      <c r="AC1680" s="114"/>
      <c r="AD1680" s="114"/>
      <c r="AE1680" s="114"/>
      <c r="AF1680" s="114"/>
      <c r="AG1680" s="114"/>
      <c r="AH1680" s="114"/>
      <c r="AI1680" s="114"/>
      <c r="AJ1680" s="114"/>
      <c r="AK1680" s="114"/>
      <c r="AL1680" s="114"/>
      <c r="AM1680" s="114"/>
      <c r="AN1680" s="114"/>
      <c r="AO1680" s="114"/>
      <c r="AP1680" s="114"/>
      <c r="AQ1680" s="114"/>
      <c r="AR1680" s="114"/>
      <c r="AS1680" s="114"/>
      <c r="AT1680" s="114"/>
      <c r="AU1680" s="114"/>
      <c r="AV1680" s="114"/>
      <c r="AW1680" s="114"/>
      <c r="AX1680" s="114"/>
      <c r="AY1680" s="114"/>
      <c r="AZ1680" s="114"/>
    </row>
    <row r="1681" spans="1:52">
      <c r="A1681" s="111"/>
      <c r="B1681" s="111"/>
      <c r="C1681" s="112"/>
      <c r="D1681" s="101"/>
      <c r="E1681" s="101"/>
      <c r="F1681" s="101"/>
      <c r="G1681" s="111"/>
      <c r="H1681" s="101"/>
      <c r="I1681" s="101"/>
      <c r="J1681" s="101"/>
      <c r="K1681" s="101"/>
      <c r="L1681" s="101"/>
      <c r="M1681" s="101"/>
      <c r="N1681" s="101"/>
      <c r="O1681" s="101"/>
      <c r="P1681" s="101"/>
      <c r="Q1681" s="101"/>
      <c r="R1681" s="101"/>
      <c r="S1681" s="101"/>
      <c r="T1681" s="101"/>
      <c r="U1681" s="101"/>
      <c r="V1681" s="101"/>
      <c r="W1681" s="101"/>
      <c r="X1681" s="101"/>
      <c r="Y1681" s="114"/>
      <c r="Z1681" s="114"/>
      <c r="AA1681" s="114"/>
      <c r="AB1681" s="114"/>
      <c r="AC1681" s="114"/>
      <c r="AD1681" s="114"/>
      <c r="AE1681" s="114"/>
      <c r="AF1681" s="114"/>
      <c r="AG1681" s="114"/>
      <c r="AH1681" s="114"/>
      <c r="AI1681" s="114"/>
      <c r="AJ1681" s="114"/>
      <c r="AK1681" s="114"/>
      <c r="AL1681" s="114"/>
      <c r="AM1681" s="114"/>
      <c r="AN1681" s="114"/>
      <c r="AO1681" s="114"/>
      <c r="AP1681" s="114"/>
      <c r="AQ1681" s="114"/>
      <c r="AR1681" s="114"/>
      <c r="AS1681" s="114"/>
      <c r="AT1681" s="114"/>
      <c r="AU1681" s="114"/>
      <c r="AV1681" s="114"/>
      <c r="AW1681" s="114"/>
      <c r="AX1681" s="114"/>
      <c r="AY1681" s="114"/>
      <c r="AZ1681" s="114"/>
    </row>
    <row r="1682" spans="1:52">
      <c r="A1682" s="111"/>
      <c r="B1682" s="111"/>
      <c r="C1682" s="112"/>
      <c r="D1682" s="101"/>
      <c r="E1682" s="101"/>
      <c r="F1682" s="101"/>
      <c r="G1682" s="111"/>
      <c r="H1682" s="101"/>
      <c r="I1682" s="101"/>
      <c r="J1682" s="101"/>
      <c r="K1682" s="101"/>
      <c r="L1682" s="101"/>
      <c r="M1682" s="101"/>
      <c r="N1682" s="101"/>
      <c r="O1682" s="101"/>
      <c r="P1682" s="101"/>
      <c r="Q1682" s="101"/>
      <c r="R1682" s="101"/>
      <c r="S1682" s="101"/>
      <c r="T1682" s="101"/>
      <c r="U1682" s="101"/>
      <c r="V1682" s="101"/>
      <c r="W1682" s="101"/>
      <c r="X1682" s="101"/>
      <c r="Y1682" s="114"/>
      <c r="Z1682" s="114"/>
      <c r="AA1682" s="114"/>
      <c r="AB1682" s="114"/>
      <c r="AC1682" s="114"/>
      <c r="AD1682" s="114"/>
      <c r="AE1682" s="114"/>
      <c r="AF1682" s="114"/>
      <c r="AG1682" s="114"/>
      <c r="AH1682" s="114"/>
      <c r="AI1682" s="114"/>
      <c r="AJ1682" s="114"/>
      <c r="AK1682" s="114"/>
      <c r="AL1682" s="114"/>
      <c r="AM1682" s="114"/>
      <c r="AN1682" s="114"/>
      <c r="AO1682" s="114"/>
      <c r="AP1682" s="114"/>
      <c r="AQ1682" s="114"/>
      <c r="AR1682" s="114"/>
      <c r="AS1682" s="114"/>
      <c r="AT1682" s="114"/>
      <c r="AU1682" s="114"/>
      <c r="AV1682" s="114"/>
      <c r="AW1682" s="114"/>
      <c r="AX1682" s="114"/>
      <c r="AY1682" s="114"/>
      <c r="AZ1682" s="114"/>
    </row>
    <row r="1683" spans="1:52">
      <c r="A1683" s="111"/>
      <c r="B1683" s="111"/>
      <c r="C1683" s="112"/>
      <c r="D1683" s="101"/>
      <c r="E1683" s="101"/>
      <c r="F1683" s="101"/>
      <c r="G1683" s="111"/>
      <c r="H1683" s="101"/>
      <c r="I1683" s="101"/>
      <c r="J1683" s="101"/>
      <c r="K1683" s="101"/>
      <c r="L1683" s="101"/>
      <c r="M1683" s="101"/>
      <c r="N1683" s="101"/>
      <c r="O1683" s="101"/>
      <c r="P1683" s="101"/>
      <c r="Q1683" s="101"/>
      <c r="R1683" s="101"/>
      <c r="S1683" s="101"/>
      <c r="T1683" s="101"/>
      <c r="U1683" s="101"/>
      <c r="V1683" s="101"/>
      <c r="W1683" s="101"/>
      <c r="X1683" s="101"/>
      <c r="Y1683" s="114"/>
      <c r="Z1683" s="114"/>
      <c r="AA1683" s="114"/>
      <c r="AB1683" s="114"/>
      <c r="AC1683" s="114"/>
      <c r="AD1683" s="114"/>
      <c r="AE1683" s="114"/>
      <c r="AF1683" s="114"/>
      <c r="AG1683" s="114"/>
      <c r="AH1683" s="114"/>
      <c r="AI1683" s="114"/>
      <c r="AJ1683" s="114"/>
      <c r="AK1683" s="114"/>
      <c r="AL1683" s="114"/>
      <c r="AM1683" s="114"/>
      <c r="AN1683" s="114"/>
      <c r="AO1683" s="114"/>
      <c r="AP1683" s="114"/>
      <c r="AQ1683" s="114"/>
      <c r="AR1683" s="114"/>
      <c r="AS1683" s="114"/>
      <c r="AT1683" s="114"/>
      <c r="AU1683" s="114"/>
      <c r="AV1683" s="114"/>
      <c r="AW1683" s="114"/>
      <c r="AX1683" s="114"/>
      <c r="AY1683" s="114"/>
      <c r="AZ1683" s="114"/>
    </row>
    <row r="1684" spans="1:52">
      <c r="A1684" s="111"/>
      <c r="B1684" s="111"/>
      <c r="C1684" s="112"/>
      <c r="D1684" s="101"/>
      <c r="E1684" s="101"/>
      <c r="F1684" s="101"/>
      <c r="G1684" s="111"/>
      <c r="H1684" s="101"/>
      <c r="I1684" s="101"/>
      <c r="J1684" s="101"/>
      <c r="K1684" s="101"/>
      <c r="L1684" s="101"/>
      <c r="M1684" s="101"/>
      <c r="N1684" s="101"/>
      <c r="O1684" s="101"/>
      <c r="P1684" s="101"/>
      <c r="Q1684" s="101"/>
      <c r="R1684" s="101"/>
      <c r="S1684" s="101"/>
      <c r="T1684" s="101"/>
      <c r="U1684" s="101"/>
      <c r="V1684" s="101"/>
      <c r="W1684" s="101"/>
      <c r="X1684" s="101"/>
      <c r="Y1684" s="114"/>
      <c r="Z1684" s="114"/>
      <c r="AA1684" s="114"/>
      <c r="AB1684" s="114"/>
      <c r="AC1684" s="114"/>
      <c r="AD1684" s="114"/>
      <c r="AE1684" s="114"/>
      <c r="AF1684" s="114"/>
      <c r="AG1684" s="114"/>
      <c r="AH1684" s="114"/>
      <c r="AI1684" s="114"/>
      <c r="AJ1684" s="114"/>
      <c r="AK1684" s="114"/>
      <c r="AL1684" s="114"/>
      <c r="AM1684" s="114"/>
      <c r="AN1684" s="114"/>
      <c r="AO1684" s="114"/>
      <c r="AP1684" s="114"/>
      <c r="AQ1684" s="114"/>
      <c r="AR1684" s="114"/>
      <c r="AS1684" s="114"/>
      <c r="AT1684" s="114"/>
      <c r="AU1684" s="114"/>
      <c r="AV1684" s="114"/>
      <c r="AW1684" s="114"/>
      <c r="AX1684" s="114"/>
      <c r="AY1684" s="114"/>
      <c r="AZ1684" s="114"/>
    </row>
    <row r="1685" spans="1:52">
      <c r="A1685" s="111"/>
      <c r="B1685" s="111"/>
      <c r="C1685" s="112"/>
      <c r="D1685" s="101"/>
      <c r="E1685" s="101"/>
      <c r="F1685" s="101"/>
      <c r="G1685" s="111"/>
      <c r="H1685" s="101"/>
      <c r="I1685" s="101"/>
      <c r="J1685" s="101"/>
      <c r="K1685" s="101"/>
      <c r="L1685" s="101"/>
      <c r="M1685" s="101"/>
      <c r="N1685" s="101"/>
      <c r="O1685" s="101"/>
      <c r="P1685" s="101"/>
      <c r="Q1685" s="101"/>
      <c r="R1685" s="101"/>
      <c r="S1685" s="101"/>
      <c r="T1685" s="101"/>
      <c r="U1685" s="101"/>
      <c r="V1685" s="101"/>
      <c r="W1685" s="101"/>
      <c r="X1685" s="101"/>
      <c r="Y1685" s="114"/>
      <c r="Z1685" s="114"/>
      <c r="AA1685" s="114"/>
      <c r="AB1685" s="114"/>
      <c r="AC1685" s="114"/>
      <c r="AD1685" s="114"/>
      <c r="AE1685" s="114"/>
      <c r="AF1685" s="114"/>
      <c r="AG1685" s="114"/>
      <c r="AH1685" s="114"/>
      <c r="AI1685" s="114"/>
      <c r="AJ1685" s="114"/>
      <c r="AK1685" s="114"/>
      <c r="AL1685" s="114"/>
      <c r="AM1685" s="114"/>
      <c r="AN1685" s="114"/>
      <c r="AO1685" s="114"/>
      <c r="AP1685" s="114"/>
      <c r="AQ1685" s="114"/>
      <c r="AR1685" s="114"/>
      <c r="AS1685" s="114"/>
      <c r="AT1685" s="114"/>
      <c r="AU1685" s="114"/>
      <c r="AV1685" s="114"/>
      <c r="AW1685" s="114"/>
      <c r="AX1685" s="114"/>
      <c r="AY1685" s="114"/>
      <c r="AZ1685" s="114"/>
    </row>
    <row r="1686" spans="1:52">
      <c r="A1686" s="111"/>
      <c r="B1686" s="111"/>
      <c r="C1686" s="112"/>
      <c r="D1686" s="101"/>
      <c r="E1686" s="101"/>
      <c r="F1686" s="101"/>
      <c r="G1686" s="111"/>
      <c r="H1686" s="101"/>
      <c r="I1686" s="101"/>
      <c r="J1686" s="101"/>
      <c r="K1686" s="101"/>
      <c r="L1686" s="101"/>
      <c r="M1686" s="101"/>
      <c r="N1686" s="101"/>
      <c r="O1686" s="101"/>
      <c r="P1686" s="101"/>
      <c r="Q1686" s="101"/>
      <c r="R1686" s="101"/>
      <c r="S1686" s="101"/>
      <c r="T1686" s="101"/>
      <c r="U1686" s="101"/>
      <c r="V1686" s="101"/>
      <c r="W1686" s="101"/>
      <c r="X1686" s="101"/>
      <c r="Y1686" s="114"/>
      <c r="Z1686" s="114"/>
      <c r="AA1686" s="114"/>
      <c r="AB1686" s="114"/>
      <c r="AC1686" s="114"/>
      <c r="AD1686" s="114"/>
      <c r="AE1686" s="114"/>
      <c r="AF1686" s="114"/>
      <c r="AG1686" s="114"/>
      <c r="AH1686" s="114"/>
      <c r="AI1686" s="114"/>
      <c r="AJ1686" s="114"/>
      <c r="AK1686" s="114"/>
      <c r="AL1686" s="114"/>
      <c r="AM1686" s="114"/>
      <c r="AN1686" s="114"/>
      <c r="AO1686" s="114"/>
      <c r="AP1686" s="114"/>
      <c r="AQ1686" s="114"/>
      <c r="AR1686" s="114"/>
      <c r="AS1686" s="114"/>
      <c r="AT1686" s="114"/>
      <c r="AU1686" s="114"/>
      <c r="AV1686" s="114"/>
      <c r="AW1686" s="114"/>
      <c r="AX1686" s="114"/>
      <c r="AY1686" s="114"/>
      <c r="AZ1686" s="114"/>
    </row>
    <row r="1687" spans="1:52">
      <c r="A1687" s="111"/>
      <c r="B1687" s="111"/>
      <c r="C1687" s="112"/>
      <c r="D1687" s="101"/>
      <c r="E1687" s="101"/>
      <c r="F1687" s="101"/>
      <c r="G1687" s="111"/>
      <c r="H1687" s="101"/>
      <c r="I1687" s="101"/>
      <c r="J1687" s="101"/>
      <c r="K1687" s="101"/>
      <c r="L1687" s="101"/>
      <c r="M1687" s="101"/>
      <c r="N1687" s="101"/>
      <c r="O1687" s="101"/>
      <c r="P1687" s="101"/>
      <c r="Q1687" s="101"/>
      <c r="R1687" s="101"/>
      <c r="S1687" s="101"/>
      <c r="T1687" s="101"/>
      <c r="U1687" s="101"/>
      <c r="V1687" s="101"/>
      <c r="W1687" s="101"/>
      <c r="X1687" s="101"/>
      <c r="Y1687" s="114"/>
      <c r="Z1687" s="114"/>
      <c r="AA1687" s="114"/>
      <c r="AB1687" s="114"/>
      <c r="AC1687" s="114"/>
      <c r="AD1687" s="114"/>
      <c r="AE1687" s="114"/>
      <c r="AF1687" s="114"/>
      <c r="AG1687" s="114"/>
      <c r="AH1687" s="114"/>
      <c r="AI1687" s="114"/>
      <c r="AJ1687" s="114"/>
      <c r="AK1687" s="114"/>
      <c r="AL1687" s="114"/>
      <c r="AM1687" s="114"/>
      <c r="AN1687" s="114"/>
      <c r="AO1687" s="114"/>
      <c r="AP1687" s="114"/>
      <c r="AQ1687" s="114"/>
      <c r="AR1687" s="114"/>
      <c r="AS1687" s="114"/>
      <c r="AT1687" s="114"/>
      <c r="AU1687" s="114"/>
      <c r="AV1687" s="114"/>
      <c r="AW1687" s="114"/>
      <c r="AX1687" s="114"/>
      <c r="AY1687" s="114"/>
      <c r="AZ1687" s="114"/>
    </row>
    <row r="1688" spans="1:52">
      <c r="A1688" s="111"/>
      <c r="B1688" s="111"/>
      <c r="C1688" s="112"/>
      <c r="D1688" s="101"/>
      <c r="E1688" s="101"/>
      <c r="F1688" s="101"/>
      <c r="G1688" s="111"/>
      <c r="H1688" s="101"/>
      <c r="I1688" s="101"/>
      <c r="J1688" s="101"/>
      <c r="K1688" s="101"/>
      <c r="L1688" s="101"/>
      <c r="M1688" s="101"/>
      <c r="N1688" s="101"/>
      <c r="O1688" s="101"/>
      <c r="P1688" s="101"/>
      <c r="Q1688" s="101"/>
      <c r="R1688" s="101"/>
      <c r="S1688" s="101"/>
      <c r="T1688" s="101"/>
      <c r="U1688" s="101"/>
      <c r="V1688" s="101"/>
      <c r="W1688" s="101"/>
      <c r="X1688" s="101"/>
      <c r="Y1688" s="114"/>
      <c r="Z1688" s="114"/>
      <c r="AA1688" s="114"/>
      <c r="AB1688" s="114"/>
      <c r="AC1688" s="114"/>
      <c r="AD1688" s="114"/>
      <c r="AE1688" s="114"/>
      <c r="AF1688" s="114"/>
      <c r="AG1688" s="114"/>
      <c r="AH1688" s="114"/>
      <c r="AI1688" s="114"/>
      <c r="AJ1688" s="114"/>
      <c r="AK1688" s="114"/>
      <c r="AL1688" s="114"/>
      <c r="AM1688" s="114"/>
      <c r="AN1688" s="114"/>
      <c r="AO1688" s="114"/>
      <c r="AP1688" s="114"/>
      <c r="AQ1688" s="114"/>
      <c r="AR1688" s="114"/>
      <c r="AS1688" s="114"/>
      <c r="AT1688" s="114"/>
      <c r="AU1688" s="114"/>
      <c r="AV1688" s="114"/>
      <c r="AW1688" s="114"/>
      <c r="AX1688" s="114"/>
      <c r="AY1688" s="114"/>
      <c r="AZ1688" s="114"/>
    </row>
    <row r="1689" spans="1:52">
      <c r="A1689" s="111"/>
      <c r="B1689" s="111"/>
      <c r="C1689" s="112"/>
      <c r="D1689" s="101"/>
      <c r="E1689" s="101"/>
      <c r="F1689" s="101"/>
      <c r="G1689" s="111"/>
      <c r="H1689" s="101"/>
      <c r="I1689" s="101"/>
      <c r="J1689" s="101"/>
      <c r="K1689" s="101"/>
      <c r="L1689" s="101"/>
      <c r="M1689" s="101"/>
      <c r="N1689" s="101"/>
      <c r="O1689" s="101"/>
      <c r="P1689" s="101"/>
      <c r="Q1689" s="101"/>
      <c r="R1689" s="101"/>
      <c r="S1689" s="101"/>
      <c r="T1689" s="101"/>
      <c r="U1689" s="101"/>
      <c r="V1689" s="101"/>
      <c r="W1689" s="101"/>
      <c r="X1689" s="101"/>
      <c r="Y1689" s="114"/>
      <c r="Z1689" s="114"/>
      <c r="AA1689" s="114"/>
      <c r="AB1689" s="114"/>
      <c r="AC1689" s="114"/>
      <c r="AD1689" s="114"/>
      <c r="AE1689" s="114"/>
      <c r="AF1689" s="114"/>
      <c r="AG1689" s="114"/>
      <c r="AH1689" s="114"/>
      <c r="AI1689" s="114"/>
      <c r="AJ1689" s="114"/>
      <c r="AK1689" s="114"/>
      <c r="AL1689" s="114"/>
      <c r="AM1689" s="114"/>
      <c r="AN1689" s="114"/>
      <c r="AO1689" s="114"/>
      <c r="AP1689" s="114"/>
      <c r="AQ1689" s="114"/>
      <c r="AR1689" s="114"/>
      <c r="AS1689" s="114"/>
      <c r="AT1689" s="114"/>
      <c r="AU1689" s="114"/>
      <c r="AV1689" s="114"/>
      <c r="AW1689" s="114"/>
      <c r="AX1689" s="114"/>
      <c r="AY1689" s="114"/>
      <c r="AZ1689" s="114"/>
    </row>
    <row r="1690" spans="1:52">
      <c r="A1690" s="111"/>
      <c r="B1690" s="111"/>
      <c r="C1690" s="112"/>
      <c r="D1690" s="101"/>
      <c r="E1690" s="101"/>
      <c r="F1690" s="101"/>
      <c r="G1690" s="111"/>
      <c r="H1690" s="101"/>
      <c r="I1690" s="101"/>
      <c r="J1690" s="101"/>
      <c r="K1690" s="101"/>
      <c r="L1690" s="101"/>
      <c r="M1690" s="101"/>
      <c r="N1690" s="101"/>
      <c r="O1690" s="101"/>
      <c r="P1690" s="101"/>
      <c r="Q1690" s="101"/>
      <c r="R1690" s="101"/>
      <c r="S1690" s="101"/>
      <c r="T1690" s="101"/>
      <c r="U1690" s="101"/>
      <c r="V1690" s="101"/>
      <c r="W1690" s="101"/>
      <c r="X1690" s="101"/>
      <c r="Y1690" s="114"/>
      <c r="Z1690" s="114"/>
      <c r="AA1690" s="114"/>
      <c r="AB1690" s="114"/>
      <c r="AC1690" s="114"/>
      <c r="AD1690" s="114"/>
      <c r="AE1690" s="114"/>
      <c r="AF1690" s="114"/>
      <c r="AG1690" s="114"/>
      <c r="AH1690" s="114"/>
      <c r="AI1690" s="114"/>
      <c r="AJ1690" s="114"/>
      <c r="AK1690" s="114"/>
      <c r="AL1690" s="114"/>
      <c r="AM1690" s="114"/>
      <c r="AN1690" s="114"/>
      <c r="AO1690" s="114"/>
      <c r="AP1690" s="114"/>
      <c r="AQ1690" s="114"/>
      <c r="AR1690" s="114"/>
      <c r="AS1690" s="114"/>
      <c r="AT1690" s="114"/>
      <c r="AU1690" s="114"/>
      <c r="AV1690" s="114"/>
      <c r="AW1690" s="114"/>
      <c r="AX1690" s="114"/>
      <c r="AY1690" s="114"/>
      <c r="AZ1690" s="114"/>
    </row>
    <row r="1691" spans="1:52">
      <c r="A1691" s="111"/>
      <c r="B1691" s="111"/>
      <c r="C1691" s="112"/>
      <c r="D1691" s="101"/>
      <c r="E1691" s="101"/>
      <c r="F1691" s="101"/>
      <c r="G1691" s="111"/>
      <c r="H1691" s="101"/>
      <c r="I1691" s="101"/>
      <c r="J1691" s="101"/>
      <c r="K1691" s="101"/>
      <c r="L1691" s="101"/>
      <c r="M1691" s="101"/>
      <c r="N1691" s="101"/>
      <c r="O1691" s="101"/>
      <c r="P1691" s="101"/>
      <c r="Q1691" s="101"/>
      <c r="R1691" s="101"/>
      <c r="S1691" s="101"/>
      <c r="T1691" s="101"/>
      <c r="U1691" s="101"/>
      <c r="V1691" s="101"/>
      <c r="W1691" s="101"/>
      <c r="X1691" s="101"/>
      <c r="Y1691" s="114"/>
      <c r="Z1691" s="114"/>
      <c r="AA1691" s="114"/>
      <c r="AB1691" s="114"/>
      <c r="AC1691" s="114"/>
      <c r="AD1691" s="114"/>
      <c r="AE1691" s="114"/>
      <c r="AF1691" s="114"/>
      <c r="AG1691" s="114"/>
      <c r="AH1691" s="114"/>
      <c r="AI1691" s="114"/>
      <c r="AJ1691" s="114"/>
      <c r="AK1691" s="114"/>
      <c r="AL1691" s="114"/>
      <c r="AM1691" s="114"/>
      <c r="AN1691" s="114"/>
      <c r="AO1691" s="114"/>
      <c r="AP1691" s="114"/>
      <c r="AQ1691" s="114"/>
      <c r="AR1691" s="114"/>
      <c r="AS1691" s="114"/>
      <c r="AT1691" s="114"/>
      <c r="AU1691" s="114"/>
      <c r="AV1691" s="114"/>
      <c r="AW1691" s="114"/>
      <c r="AX1691" s="114"/>
      <c r="AY1691" s="114"/>
      <c r="AZ1691" s="114"/>
    </row>
    <row r="1692" spans="1:52">
      <c r="A1692" s="111"/>
      <c r="B1692" s="111"/>
      <c r="C1692" s="112"/>
      <c r="D1692" s="101"/>
      <c r="E1692" s="101"/>
      <c r="F1692" s="101"/>
      <c r="G1692" s="111"/>
      <c r="H1692" s="101"/>
      <c r="I1692" s="101"/>
      <c r="J1692" s="101"/>
      <c r="K1692" s="101"/>
      <c r="L1692" s="101"/>
      <c r="M1692" s="101"/>
      <c r="N1692" s="101"/>
      <c r="O1692" s="101"/>
      <c r="P1692" s="101"/>
      <c r="Q1692" s="101"/>
      <c r="R1692" s="101"/>
      <c r="S1692" s="101"/>
      <c r="T1692" s="101"/>
      <c r="U1692" s="101"/>
      <c r="V1692" s="101"/>
      <c r="W1692" s="101"/>
      <c r="X1692" s="101"/>
      <c r="Y1692" s="114"/>
      <c r="Z1692" s="114"/>
      <c r="AA1692" s="114"/>
      <c r="AB1692" s="114"/>
      <c r="AC1692" s="114"/>
      <c r="AD1692" s="114"/>
      <c r="AE1692" s="114"/>
      <c r="AF1692" s="114"/>
      <c r="AG1692" s="114"/>
      <c r="AH1692" s="114"/>
      <c r="AI1692" s="114"/>
      <c r="AJ1692" s="114"/>
      <c r="AK1692" s="114"/>
      <c r="AL1692" s="114"/>
      <c r="AM1692" s="114"/>
      <c r="AN1692" s="114"/>
      <c r="AO1692" s="114"/>
      <c r="AP1692" s="114"/>
      <c r="AQ1692" s="114"/>
      <c r="AR1692" s="114"/>
      <c r="AS1692" s="114"/>
      <c r="AT1692" s="114"/>
      <c r="AU1692" s="114"/>
      <c r="AV1692" s="114"/>
      <c r="AW1692" s="114"/>
      <c r="AX1692" s="114"/>
      <c r="AY1692" s="114"/>
      <c r="AZ1692" s="114"/>
    </row>
    <row r="1693" spans="1:52">
      <c r="A1693" s="111"/>
      <c r="B1693" s="111"/>
      <c r="C1693" s="112"/>
      <c r="D1693" s="101"/>
      <c r="E1693" s="101"/>
      <c r="F1693" s="101"/>
      <c r="G1693" s="111"/>
      <c r="H1693" s="101"/>
      <c r="I1693" s="101"/>
      <c r="J1693" s="101"/>
      <c r="K1693" s="101"/>
      <c r="L1693" s="101"/>
      <c r="M1693" s="101"/>
      <c r="N1693" s="101"/>
      <c r="O1693" s="101"/>
      <c r="P1693" s="101"/>
      <c r="Q1693" s="101"/>
      <c r="R1693" s="101"/>
      <c r="S1693" s="101"/>
      <c r="T1693" s="101"/>
      <c r="U1693" s="101"/>
      <c r="V1693" s="101"/>
      <c r="W1693" s="101"/>
      <c r="X1693" s="101"/>
      <c r="Y1693" s="114"/>
      <c r="Z1693" s="114"/>
      <c r="AA1693" s="114"/>
      <c r="AB1693" s="114"/>
      <c r="AC1693" s="114"/>
      <c r="AD1693" s="114"/>
      <c r="AE1693" s="114"/>
      <c r="AF1693" s="114"/>
      <c r="AG1693" s="114"/>
      <c r="AH1693" s="114"/>
      <c r="AI1693" s="114"/>
      <c r="AJ1693" s="114"/>
      <c r="AK1693" s="114"/>
      <c r="AL1693" s="114"/>
      <c r="AM1693" s="114"/>
      <c r="AN1693" s="114"/>
      <c r="AO1693" s="114"/>
      <c r="AP1693" s="114"/>
      <c r="AQ1693" s="114"/>
      <c r="AR1693" s="114"/>
      <c r="AS1693" s="114"/>
      <c r="AT1693" s="114"/>
      <c r="AU1693" s="114"/>
      <c r="AV1693" s="114"/>
      <c r="AW1693" s="114"/>
      <c r="AX1693" s="114"/>
      <c r="AY1693" s="114"/>
      <c r="AZ1693" s="114"/>
    </row>
    <row r="1694" spans="1:52">
      <c r="A1694" s="111"/>
      <c r="B1694" s="111"/>
      <c r="C1694" s="112"/>
      <c r="D1694" s="101"/>
      <c r="E1694" s="101"/>
      <c r="F1694" s="101"/>
      <c r="G1694" s="111"/>
      <c r="H1694" s="101"/>
      <c r="I1694" s="101"/>
      <c r="J1694" s="101"/>
      <c r="K1694" s="101"/>
      <c r="L1694" s="101"/>
      <c r="M1694" s="101"/>
      <c r="N1694" s="101"/>
      <c r="O1694" s="101"/>
      <c r="P1694" s="101"/>
      <c r="Q1694" s="101"/>
      <c r="R1694" s="101"/>
      <c r="S1694" s="101"/>
      <c r="T1694" s="101"/>
      <c r="U1694" s="101"/>
      <c r="V1694" s="101"/>
      <c r="W1694" s="101"/>
      <c r="X1694" s="101"/>
      <c r="Y1694" s="114"/>
      <c r="Z1694" s="114"/>
      <c r="AA1694" s="114"/>
      <c r="AB1694" s="114"/>
      <c r="AC1694" s="114"/>
      <c r="AD1694" s="114"/>
      <c r="AE1694" s="114"/>
      <c r="AF1694" s="114"/>
      <c r="AG1694" s="114"/>
      <c r="AH1694" s="114"/>
      <c r="AI1694" s="114"/>
      <c r="AJ1694" s="114"/>
      <c r="AK1694" s="114"/>
      <c r="AL1694" s="114"/>
      <c r="AM1694" s="114"/>
      <c r="AN1694" s="114"/>
      <c r="AO1694" s="114"/>
      <c r="AP1694" s="114"/>
      <c r="AQ1694" s="114"/>
      <c r="AR1694" s="114"/>
      <c r="AS1694" s="114"/>
      <c r="AT1694" s="114"/>
      <c r="AU1694" s="114"/>
      <c r="AV1694" s="114"/>
      <c r="AW1694" s="114"/>
      <c r="AX1694" s="114"/>
      <c r="AY1694" s="114"/>
      <c r="AZ1694" s="114"/>
    </row>
    <row r="1695" spans="1:52">
      <c r="A1695" s="111"/>
      <c r="B1695" s="111"/>
      <c r="C1695" s="112"/>
      <c r="D1695" s="101"/>
      <c r="E1695" s="101"/>
      <c r="F1695" s="101"/>
      <c r="G1695" s="111"/>
      <c r="H1695" s="101"/>
      <c r="I1695" s="101"/>
      <c r="J1695" s="101"/>
      <c r="K1695" s="101"/>
      <c r="L1695" s="101"/>
      <c r="M1695" s="101"/>
      <c r="N1695" s="101"/>
      <c r="O1695" s="101"/>
      <c r="P1695" s="101"/>
      <c r="Q1695" s="101"/>
      <c r="R1695" s="101"/>
      <c r="S1695" s="101"/>
      <c r="T1695" s="101"/>
      <c r="U1695" s="101"/>
      <c r="V1695" s="101"/>
      <c r="W1695" s="101"/>
      <c r="X1695" s="101"/>
      <c r="Y1695" s="114"/>
      <c r="Z1695" s="114"/>
      <c r="AA1695" s="114"/>
      <c r="AB1695" s="114"/>
      <c r="AC1695" s="114"/>
      <c r="AD1695" s="114"/>
      <c r="AE1695" s="114"/>
      <c r="AF1695" s="114"/>
      <c r="AG1695" s="114"/>
      <c r="AH1695" s="114"/>
      <c r="AI1695" s="114"/>
      <c r="AJ1695" s="114"/>
      <c r="AK1695" s="114"/>
      <c r="AL1695" s="114"/>
      <c r="AM1695" s="114"/>
      <c r="AN1695" s="114"/>
      <c r="AO1695" s="114"/>
      <c r="AP1695" s="114"/>
      <c r="AQ1695" s="114"/>
      <c r="AR1695" s="114"/>
      <c r="AS1695" s="114"/>
      <c r="AT1695" s="114"/>
      <c r="AU1695" s="114"/>
      <c r="AV1695" s="114"/>
      <c r="AW1695" s="114"/>
      <c r="AX1695" s="114"/>
      <c r="AY1695" s="114"/>
      <c r="AZ1695" s="114"/>
    </row>
    <row r="1696" spans="1:52">
      <c r="A1696" s="111"/>
      <c r="B1696" s="111"/>
      <c r="C1696" s="112"/>
      <c r="D1696" s="101"/>
      <c r="E1696" s="101"/>
      <c r="F1696" s="101"/>
      <c r="G1696" s="111"/>
      <c r="H1696" s="101"/>
      <c r="I1696" s="101"/>
      <c r="J1696" s="101"/>
      <c r="K1696" s="101"/>
      <c r="L1696" s="101"/>
      <c r="M1696" s="101"/>
      <c r="N1696" s="101"/>
      <c r="O1696" s="101"/>
      <c r="P1696" s="101"/>
      <c r="Q1696" s="101"/>
      <c r="R1696" s="101"/>
      <c r="S1696" s="101"/>
      <c r="T1696" s="101"/>
      <c r="U1696" s="101"/>
      <c r="V1696" s="101"/>
      <c r="W1696" s="101"/>
      <c r="X1696" s="101"/>
      <c r="Y1696" s="114"/>
      <c r="Z1696" s="114"/>
      <c r="AA1696" s="114"/>
      <c r="AB1696" s="114"/>
      <c r="AC1696" s="114"/>
      <c r="AD1696" s="114"/>
      <c r="AE1696" s="114"/>
      <c r="AF1696" s="114"/>
      <c r="AG1696" s="114"/>
      <c r="AH1696" s="114"/>
      <c r="AI1696" s="114"/>
      <c r="AJ1696" s="114"/>
      <c r="AK1696" s="114"/>
      <c r="AL1696" s="114"/>
      <c r="AM1696" s="114"/>
      <c r="AN1696" s="114"/>
      <c r="AO1696" s="114"/>
      <c r="AP1696" s="114"/>
      <c r="AQ1696" s="114"/>
      <c r="AR1696" s="114"/>
      <c r="AS1696" s="114"/>
      <c r="AT1696" s="114"/>
      <c r="AU1696" s="114"/>
      <c r="AV1696" s="114"/>
      <c r="AW1696" s="114"/>
      <c r="AX1696" s="114"/>
      <c r="AY1696" s="114"/>
      <c r="AZ1696" s="114"/>
    </row>
    <row r="1697" spans="1:52">
      <c r="A1697" s="111"/>
      <c r="B1697" s="111"/>
      <c r="C1697" s="112"/>
      <c r="D1697" s="101"/>
      <c r="E1697" s="101"/>
      <c r="F1697" s="101"/>
      <c r="G1697" s="111"/>
      <c r="H1697" s="101"/>
      <c r="I1697" s="101"/>
      <c r="J1697" s="101"/>
      <c r="K1697" s="101"/>
      <c r="L1697" s="101"/>
      <c r="M1697" s="101"/>
      <c r="N1697" s="101"/>
      <c r="O1697" s="101"/>
      <c r="P1697" s="101"/>
      <c r="Q1697" s="101"/>
      <c r="R1697" s="101"/>
      <c r="S1697" s="101"/>
      <c r="T1697" s="101"/>
      <c r="U1697" s="101"/>
      <c r="V1697" s="101"/>
      <c r="W1697" s="101"/>
      <c r="X1697" s="101"/>
      <c r="Y1697" s="114"/>
      <c r="Z1697" s="114"/>
      <c r="AA1697" s="114"/>
      <c r="AB1697" s="114"/>
      <c r="AC1697" s="114"/>
      <c r="AD1697" s="114"/>
      <c r="AE1697" s="114"/>
      <c r="AF1697" s="114"/>
      <c r="AG1697" s="114"/>
      <c r="AH1697" s="114"/>
      <c r="AI1697" s="114"/>
      <c r="AJ1697" s="114"/>
      <c r="AK1697" s="114"/>
      <c r="AL1697" s="114"/>
      <c r="AM1697" s="114"/>
      <c r="AN1697" s="114"/>
      <c r="AO1697" s="114"/>
      <c r="AP1697" s="114"/>
      <c r="AQ1697" s="114"/>
      <c r="AR1697" s="114"/>
      <c r="AS1697" s="114"/>
      <c r="AT1697" s="114"/>
      <c r="AU1697" s="114"/>
      <c r="AV1697" s="114"/>
      <c r="AW1697" s="114"/>
      <c r="AX1697" s="114"/>
      <c r="AY1697" s="114"/>
      <c r="AZ1697" s="114"/>
    </row>
    <row r="1698" spans="1:52">
      <c r="A1698" s="111"/>
      <c r="B1698" s="111"/>
      <c r="C1698" s="112"/>
      <c r="D1698" s="101"/>
      <c r="E1698" s="101"/>
      <c r="F1698" s="101"/>
      <c r="G1698" s="111"/>
      <c r="H1698" s="101"/>
      <c r="I1698" s="101"/>
      <c r="J1698" s="101"/>
      <c r="K1698" s="101"/>
      <c r="L1698" s="101"/>
      <c r="M1698" s="101"/>
      <c r="N1698" s="101"/>
      <c r="O1698" s="101"/>
      <c r="P1698" s="101"/>
      <c r="Q1698" s="101"/>
      <c r="R1698" s="101"/>
      <c r="S1698" s="101"/>
      <c r="T1698" s="101"/>
      <c r="U1698" s="101"/>
      <c r="V1698" s="101"/>
      <c r="W1698" s="101"/>
      <c r="X1698" s="101"/>
      <c r="Y1698" s="114"/>
      <c r="Z1698" s="114"/>
      <c r="AA1698" s="114"/>
      <c r="AB1698" s="114"/>
      <c r="AC1698" s="114"/>
      <c r="AD1698" s="114"/>
      <c r="AE1698" s="114"/>
      <c r="AF1698" s="114"/>
      <c r="AG1698" s="114"/>
      <c r="AH1698" s="114"/>
      <c r="AI1698" s="114"/>
      <c r="AJ1698" s="114"/>
      <c r="AK1698" s="114"/>
      <c r="AL1698" s="114"/>
      <c r="AM1698" s="114"/>
      <c r="AN1698" s="114"/>
      <c r="AO1698" s="114"/>
      <c r="AP1698" s="114"/>
      <c r="AQ1698" s="114"/>
      <c r="AR1698" s="114"/>
      <c r="AS1698" s="114"/>
      <c r="AT1698" s="114"/>
      <c r="AU1698" s="114"/>
      <c r="AV1698" s="114"/>
      <c r="AW1698" s="114"/>
      <c r="AX1698" s="114"/>
      <c r="AY1698" s="114"/>
      <c r="AZ1698" s="114"/>
    </row>
    <row r="1699" spans="1:52">
      <c r="A1699" s="111"/>
      <c r="B1699" s="111"/>
      <c r="C1699" s="112"/>
      <c r="D1699" s="101"/>
      <c r="E1699" s="101"/>
      <c r="F1699" s="101"/>
      <c r="G1699" s="111"/>
      <c r="H1699" s="101"/>
      <c r="I1699" s="101"/>
      <c r="J1699" s="101"/>
      <c r="K1699" s="101"/>
      <c r="L1699" s="101"/>
      <c r="M1699" s="101"/>
      <c r="N1699" s="101"/>
      <c r="O1699" s="101"/>
      <c r="P1699" s="101"/>
      <c r="Q1699" s="101"/>
      <c r="R1699" s="101"/>
      <c r="S1699" s="101"/>
      <c r="T1699" s="101"/>
      <c r="U1699" s="101"/>
      <c r="V1699" s="101"/>
      <c r="W1699" s="101"/>
      <c r="X1699" s="101"/>
      <c r="Y1699" s="114"/>
      <c r="Z1699" s="114"/>
      <c r="AA1699" s="114"/>
      <c r="AB1699" s="114"/>
      <c r="AC1699" s="114"/>
      <c r="AD1699" s="114"/>
      <c r="AE1699" s="114"/>
      <c r="AF1699" s="114"/>
      <c r="AG1699" s="114"/>
      <c r="AH1699" s="114"/>
      <c r="AI1699" s="114"/>
      <c r="AJ1699" s="114"/>
      <c r="AK1699" s="114"/>
      <c r="AL1699" s="114"/>
      <c r="AM1699" s="114"/>
      <c r="AN1699" s="114"/>
      <c r="AO1699" s="114"/>
      <c r="AP1699" s="114"/>
      <c r="AQ1699" s="114"/>
      <c r="AR1699" s="114"/>
      <c r="AS1699" s="114"/>
      <c r="AT1699" s="114"/>
      <c r="AU1699" s="114"/>
      <c r="AV1699" s="114"/>
      <c r="AW1699" s="114"/>
      <c r="AX1699" s="114"/>
      <c r="AY1699" s="114"/>
      <c r="AZ1699" s="114"/>
    </row>
    <row r="1700" spans="1:52">
      <c r="A1700" s="111"/>
      <c r="B1700" s="111"/>
      <c r="C1700" s="112"/>
      <c r="D1700" s="101"/>
      <c r="E1700" s="101"/>
      <c r="F1700" s="101"/>
      <c r="G1700" s="111"/>
      <c r="H1700" s="101"/>
      <c r="I1700" s="101"/>
      <c r="J1700" s="101"/>
      <c r="K1700" s="101"/>
      <c r="L1700" s="101"/>
      <c r="M1700" s="101"/>
      <c r="N1700" s="101"/>
      <c r="O1700" s="101"/>
      <c r="P1700" s="101"/>
      <c r="Q1700" s="101"/>
      <c r="R1700" s="101"/>
      <c r="S1700" s="101"/>
      <c r="T1700" s="101"/>
      <c r="U1700" s="101"/>
      <c r="V1700" s="101"/>
      <c r="W1700" s="101"/>
      <c r="X1700" s="101"/>
      <c r="Y1700" s="114"/>
      <c r="Z1700" s="114"/>
      <c r="AA1700" s="114"/>
      <c r="AB1700" s="114"/>
      <c r="AC1700" s="114"/>
      <c r="AD1700" s="114"/>
      <c r="AE1700" s="114"/>
      <c r="AF1700" s="114"/>
      <c r="AG1700" s="114"/>
      <c r="AH1700" s="114"/>
      <c r="AI1700" s="114"/>
      <c r="AJ1700" s="114"/>
      <c r="AK1700" s="114"/>
      <c r="AL1700" s="114"/>
      <c r="AM1700" s="114"/>
      <c r="AN1700" s="114"/>
      <c r="AO1700" s="114"/>
      <c r="AP1700" s="114"/>
      <c r="AQ1700" s="114"/>
      <c r="AR1700" s="114"/>
      <c r="AS1700" s="114"/>
      <c r="AT1700" s="114"/>
      <c r="AU1700" s="114"/>
      <c r="AV1700" s="114"/>
      <c r="AW1700" s="114"/>
      <c r="AX1700" s="114"/>
      <c r="AY1700" s="114"/>
      <c r="AZ1700" s="114"/>
    </row>
    <row r="1701" spans="1:52">
      <c r="A1701" s="111"/>
      <c r="B1701" s="111"/>
      <c r="C1701" s="112"/>
      <c r="D1701" s="101"/>
      <c r="E1701" s="101"/>
      <c r="F1701" s="101"/>
      <c r="G1701" s="111"/>
      <c r="H1701" s="101"/>
      <c r="I1701" s="101"/>
      <c r="J1701" s="101"/>
      <c r="K1701" s="101"/>
      <c r="L1701" s="101"/>
      <c r="M1701" s="101"/>
      <c r="N1701" s="101"/>
      <c r="O1701" s="101"/>
      <c r="P1701" s="101"/>
      <c r="Q1701" s="101"/>
      <c r="R1701" s="101"/>
      <c r="S1701" s="101"/>
      <c r="T1701" s="101"/>
      <c r="U1701" s="101"/>
      <c r="V1701" s="101"/>
      <c r="W1701" s="101"/>
      <c r="X1701" s="101"/>
      <c r="Y1701" s="114"/>
      <c r="Z1701" s="114"/>
      <c r="AA1701" s="114"/>
      <c r="AB1701" s="114"/>
      <c r="AC1701" s="114"/>
      <c r="AD1701" s="114"/>
      <c r="AE1701" s="114"/>
      <c r="AF1701" s="114"/>
      <c r="AG1701" s="114"/>
      <c r="AH1701" s="114"/>
      <c r="AI1701" s="114"/>
      <c r="AJ1701" s="114"/>
      <c r="AK1701" s="114"/>
      <c r="AL1701" s="114"/>
      <c r="AM1701" s="114"/>
      <c r="AN1701" s="114"/>
      <c r="AO1701" s="114"/>
      <c r="AP1701" s="114"/>
      <c r="AQ1701" s="114"/>
      <c r="AR1701" s="114"/>
      <c r="AS1701" s="114"/>
      <c r="AT1701" s="114"/>
      <c r="AU1701" s="114"/>
      <c r="AV1701" s="114"/>
      <c r="AW1701" s="114"/>
      <c r="AX1701" s="114"/>
      <c r="AY1701" s="114"/>
      <c r="AZ1701" s="114"/>
    </row>
    <row r="1702" spans="1:52">
      <c r="A1702" s="111"/>
      <c r="B1702" s="111"/>
      <c r="C1702" s="112"/>
      <c r="D1702" s="101"/>
      <c r="E1702" s="101"/>
      <c r="F1702" s="101"/>
      <c r="G1702" s="111"/>
      <c r="H1702" s="101"/>
      <c r="I1702" s="101"/>
      <c r="J1702" s="101"/>
      <c r="K1702" s="101"/>
      <c r="L1702" s="101"/>
      <c r="M1702" s="101"/>
      <c r="N1702" s="101"/>
      <c r="O1702" s="101"/>
      <c r="P1702" s="101"/>
      <c r="Q1702" s="101"/>
      <c r="R1702" s="101"/>
      <c r="S1702" s="101"/>
      <c r="T1702" s="101"/>
      <c r="U1702" s="101"/>
      <c r="V1702" s="101"/>
      <c r="W1702" s="101"/>
      <c r="X1702" s="101"/>
      <c r="Y1702" s="114"/>
      <c r="Z1702" s="114"/>
      <c r="AA1702" s="114"/>
      <c r="AB1702" s="114"/>
      <c r="AC1702" s="114"/>
      <c r="AD1702" s="114"/>
      <c r="AE1702" s="114"/>
      <c r="AF1702" s="114"/>
      <c r="AG1702" s="114"/>
      <c r="AH1702" s="114"/>
      <c r="AI1702" s="114"/>
      <c r="AJ1702" s="114"/>
      <c r="AK1702" s="114"/>
      <c r="AL1702" s="114"/>
      <c r="AM1702" s="114"/>
      <c r="AN1702" s="114"/>
      <c r="AO1702" s="114"/>
      <c r="AP1702" s="114"/>
      <c r="AQ1702" s="114"/>
      <c r="AR1702" s="114"/>
      <c r="AS1702" s="114"/>
      <c r="AT1702" s="114"/>
      <c r="AU1702" s="114"/>
      <c r="AV1702" s="114"/>
      <c r="AW1702" s="114"/>
      <c r="AX1702" s="114"/>
      <c r="AY1702" s="114"/>
      <c r="AZ1702" s="114"/>
    </row>
    <row r="1703" spans="1:52">
      <c r="A1703" s="111"/>
      <c r="B1703" s="111"/>
      <c r="C1703" s="112"/>
      <c r="D1703" s="101"/>
      <c r="E1703" s="101"/>
      <c r="F1703" s="101"/>
      <c r="G1703" s="111"/>
      <c r="H1703" s="101"/>
      <c r="I1703" s="101"/>
      <c r="J1703" s="101"/>
      <c r="K1703" s="101"/>
      <c r="L1703" s="101"/>
      <c r="M1703" s="101"/>
      <c r="N1703" s="101"/>
      <c r="O1703" s="101"/>
      <c r="P1703" s="101"/>
      <c r="Q1703" s="101"/>
      <c r="R1703" s="101"/>
      <c r="S1703" s="101"/>
      <c r="T1703" s="101"/>
      <c r="U1703" s="101"/>
      <c r="V1703" s="101"/>
      <c r="W1703" s="101"/>
      <c r="X1703" s="101"/>
      <c r="Y1703" s="114"/>
      <c r="Z1703" s="114"/>
      <c r="AA1703" s="114"/>
      <c r="AB1703" s="114"/>
      <c r="AC1703" s="114"/>
      <c r="AD1703" s="114"/>
      <c r="AE1703" s="114"/>
      <c r="AF1703" s="114"/>
      <c r="AG1703" s="114"/>
      <c r="AH1703" s="114"/>
      <c r="AI1703" s="114"/>
      <c r="AJ1703" s="114"/>
      <c r="AK1703" s="114"/>
      <c r="AL1703" s="114"/>
      <c r="AM1703" s="114"/>
      <c r="AN1703" s="114"/>
      <c r="AO1703" s="114"/>
      <c r="AP1703" s="114"/>
      <c r="AQ1703" s="114"/>
      <c r="AR1703" s="114"/>
      <c r="AS1703" s="114"/>
      <c r="AT1703" s="114"/>
      <c r="AU1703" s="114"/>
      <c r="AV1703" s="114"/>
      <c r="AW1703" s="114"/>
      <c r="AX1703" s="114"/>
      <c r="AY1703" s="114"/>
      <c r="AZ1703" s="114"/>
    </row>
    <row r="1704" spans="1:52">
      <c r="A1704" s="111"/>
      <c r="B1704" s="111"/>
      <c r="C1704" s="112"/>
      <c r="D1704" s="101"/>
      <c r="E1704" s="101"/>
      <c r="F1704" s="101"/>
      <c r="G1704" s="111"/>
      <c r="H1704" s="101"/>
      <c r="I1704" s="101"/>
      <c r="J1704" s="101"/>
      <c r="K1704" s="101"/>
      <c r="L1704" s="101"/>
      <c r="M1704" s="101"/>
      <c r="N1704" s="101"/>
      <c r="O1704" s="101"/>
      <c r="P1704" s="101"/>
      <c r="Q1704" s="101"/>
      <c r="R1704" s="101"/>
      <c r="S1704" s="101"/>
      <c r="T1704" s="101"/>
      <c r="U1704" s="101"/>
      <c r="V1704" s="101"/>
      <c r="W1704" s="101"/>
      <c r="X1704" s="101"/>
      <c r="Y1704" s="114"/>
      <c r="Z1704" s="114"/>
      <c r="AA1704" s="114"/>
      <c r="AB1704" s="114"/>
      <c r="AC1704" s="114"/>
      <c r="AD1704" s="114"/>
      <c r="AE1704" s="114"/>
      <c r="AF1704" s="114"/>
      <c r="AG1704" s="114"/>
      <c r="AH1704" s="114"/>
      <c r="AI1704" s="114"/>
      <c r="AJ1704" s="114"/>
      <c r="AK1704" s="114"/>
      <c r="AL1704" s="114"/>
      <c r="AM1704" s="114"/>
      <c r="AN1704" s="114"/>
      <c r="AO1704" s="114"/>
      <c r="AP1704" s="114"/>
      <c r="AQ1704" s="114"/>
      <c r="AR1704" s="114"/>
      <c r="AS1704" s="114"/>
      <c r="AT1704" s="114"/>
      <c r="AU1704" s="114"/>
      <c r="AV1704" s="114"/>
      <c r="AW1704" s="114"/>
      <c r="AX1704" s="114"/>
      <c r="AY1704" s="114"/>
      <c r="AZ1704" s="114"/>
    </row>
    <row r="1705" spans="1:52">
      <c r="A1705" s="111"/>
      <c r="B1705" s="111"/>
      <c r="C1705" s="112"/>
      <c r="D1705" s="101"/>
      <c r="E1705" s="101"/>
      <c r="F1705" s="101"/>
      <c r="G1705" s="111"/>
      <c r="H1705" s="101"/>
      <c r="I1705" s="101"/>
      <c r="J1705" s="101"/>
      <c r="K1705" s="101"/>
      <c r="L1705" s="101"/>
      <c r="M1705" s="101"/>
      <c r="N1705" s="101"/>
      <c r="O1705" s="101"/>
      <c r="P1705" s="101"/>
      <c r="Q1705" s="101"/>
      <c r="R1705" s="101"/>
      <c r="S1705" s="101"/>
      <c r="T1705" s="101"/>
      <c r="U1705" s="101"/>
      <c r="V1705" s="101"/>
      <c r="W1705" s="101"/>
      <c r="X1705" s="101"/>
      <c r="Y1705" s="114"/>
      <c r="Z1705" s="114"/>
      <c r="AA1705" s="114"/>
      <c r="AB1705" s="114"/>
      <c r="AC1705" s="114"/>
      <c r="AD1705" s="114"/>
      <c r="AE1705" s="114"/>
      <c r="AF1705" s="114"/>
      <c r="AG1705" s="114"/>
      <c r="AH1705" s="114"/>
      <c r="AI1705" s="114"/>
      <c r="AJ1705" s="114"/>
      <c r="AK1705" s="114"/>
      <c r="AL1705" s="114"/>
      <c r="AM1705" s="114"/>
      <c r="AN1705" s="114"/>
      <c r="AO1705" s="114"/>
      <c r="AP1705" s="114"/>
      <c r="AQ1705" s="114"/>
      <c r="AR1705" s="114"/>
      <c r="AS1705" s="114"/>
      <c r="AT1705" s="114"/>
      <c r="AU1705" s="114"/>
      <c r="AV1705" s="114"/>
      <c r="AW1705" s="114"/>
      <c r="AX1705" s="114"/>
      <c r="AY1705" s="114"/>
      <c r="AZ1705" s="114"/>
    </row>
    <row r="1706" spans="1:52">
      <c r="A1706" s="111"/>
      <c r="B1706" s="111"/>
      <c r="C1706" s="112"/>
      <c r="D1706" s="101"/>
      <c r="E1706" s="101"/>
      <c r="F1706" s="101"/>
      <c r="G1706" s="111"/>
      <c r="H1706" s="101"/>
      <c r="I1706" s="101"/>
      <c r="J1706" s="101"/>
      <c r="K1706" s="101"/>
      <c r="L1706" s="101"/>
      <c r="M1706" s="101"/>
      <c r="N1706" s="101"/>
      <c r="O1706" s="101"/>
      <c r="P1706" s="101"/>
      <c r="Q1706" s="101"/>
      <c r="R1706" s="101"/>
      <c r="S1706" s="101"/>
      <c r="T1706" s="101"/>
      <c r="U1706" s="101"/>
      <c r="V1706" s="101"/>
      <c r="W1706" s="101"/>
      <c r="X1706" s="101"/>
      <c r="Y1706" s="114"/>
      <c r="Z1706" s="114"/>
      <c r="AA1706" s="114"/>
      <c r="AB1706" s="114"/>
      <c r="AC1706" s="114"/>
      <c r="AD1706" s="114"/>
      <c r="AE1706" s="114"/>
      <c r="AF1706" s="114"/>
      <c r="AG1706" s="114"/>
      <c r="AH1706" s="114"/>
      <c r="AI1706" s="114"/>
      <c r="AJ1706" s="114"/>
      <c r="AK1706" s="114"/>
      <c r="AL1706" s="114"/>
      <c r="AM1706" s="114"/>
      <c r="AN1706" s="114"/>
      <c r="AO1706" s="114"/>
      <c r="AP1706" s="114"/>
      <c r="AQ1706" s="114"/>
      <c r="AR1706" s="114"/>
      <c r="AS1706" s="114"/>
      <c r="AT1706" s="114"/>
      <c r="AU1706" s="114"/>
      <c r="AV1706" s="114"/>
      <c r="AW1706" s="114"/>
      <c r="AX1706" s="114"/>
      <c r="AY1706" s="114"/>
      <c r="AZ1706" s="114"/>
    </row>
    <row r="1707" spans="1:52">
      <c r="A1707" s="111"/>
      <c r="B1707" s="111"/>
      <c r="C1707" s="112"/>
      <c r="D1707" s="101"/>
      <c r="E1707" s="101"/>
      <c r="F1707" s="101"/>
      <c r="G1707" s="111"/>
      <c r="H1707" s="101"/>
      <c r="I1707" s="101"/>
      <c r="J1707" s="101"/>
      <c r="K1707" s="101"/>
      <c r="L1707" s="101"/>
      <c r="M1707" s="101"/>
      <c r="N1707" s="101"/>
      <c r="O1707" s="101"/>
      <c r="P1707" s="101"/>
      <c r="Q1707" s="101"/>
      <c r="R1707" s="101"/>
      <c r="S1707" s="101"/>
      <c r="T1707" s="101"/>
      <c r="U1707" s="101"/>
      <c r="V1707" s="101"/>
      <c r="W1707" s="101"/>
      <c r="X1707" s="101"/>
      <c r="Y1707" s="114"/>
      <c r="Z1707" s="114"/>
      <c r="AA1707" s="114"/>
      <c r="AB1707" s="114"/>
      <c r="AC1707" s="114"/>
      <c r="AD1707" s="114"/>
      <c r="AE1707" s="114"/>
      <c r="AF1707" s="114"/>
      <c r="AG1707" s="114"/>
      <c r="AH1707" s="114"/>
      <c r="AI1707" s="114"/>
      <c r="AJ1707" s="114"/>
      <c r="AK1707" s="114"/>
      <c r="AL1707" s="114"/>
      <c r="AM1707" s="114"/>
      <c r="AN1707" s="114"/>
      <c r="AO1707" s="114"/>
      <c r="AP1707" s="114"/>
      <c r="AQ1707" s="114"/>
      <c r="AR1707" s="114"/>
      <c r="AS1707" s="114"/>
      <c r="AT1707" s="114"/>
      <c r="AU1707" s="114"/>
      <c r="AV1707" s="114"/>
      <c r="AW1707" s="114"/>
      <c r="AX1707" s="114"/>
      <c r="AY1707" s="114"/>
      <c r="AZ1707" s="114"/>
    </row>
    <row r="1708" spans="1:52">
      <c r="A1708" s="111"/>
      <c r="B1708" s="111"/>
      <c r="C1708" s="112"/>
      <c r="D1708" s="101"/>
      <c r="E1708" s="101"/>
      <c r="F1708" s="101"/>
      <c r="G1708" s="111"/>
      <c r="H1708" s="101"/>
      <c r="I1708" s="101"/>
      <c r="J1708" s="101"/>
      <c r="K1708" s="101"/>
      <c r="L1708" s="101"/>
      <c r="M1708" s="101"/>
      <c r="N1708" s="101"/>
      <c r="O1708" s="101"/>
      <c r="P1708" s="101"/>
      <c r="Q1708" s="101"/>
      <c r="R1708" s="101"/>
      <c r="S1708" s="101"/>
      <c r="T1708" s="101"/>
      <c r="U1708" s="101"/>
      <c r="V1708" s="101"/>
      <c r="W1708" s="101"/>
      <c r="X1708" s="101"/>
      <c r="Y1708" s="114"/>
      <c r="Z1708" s="114"/>
      <c r="AA1708" s="114"/>
      <c r="AB1708" s="114"/>
      <c r="AC1708" s="114"/>
      <c r="AD1708" s="114"/>
      <c r="AE1708" s="114"/>
      <c r="AF1708" s="114"/>
      <c r="AG1708" s="114"/>
      <c r="AH1708" s="114"/>
      <c r="AI1708" s="114"/>
      <c r="AJ1708" s="114"/>
      <c r="AK1708" s="114"/>
      <c r="AL1708" s="114"/>
      <c r="AM1708" s="114"/>
      <c r="AN1708" s="114"/>
      <c r="AO1708" s="114"/>
      <c r="AP1708" s="114"/>
      <c r="AQ1708" s="114"/>
      <c r="AR1708" s="114"/>
      <c r="AS1708" s="114"/>
      <c r="AT1708" s="114"/>
      <c r="AU1708" s="114"/>
      <c r="AV1708" s="114"/>
      <c r="AW1708" s="114"/>
      <c r="AX1708" s="114"/>
      <c r="AY1708" s="114"/>
      <c r="AZ1708" s="114"/>
    </row>
    <row r="1709" spans="1:52">
      <c r="A1709" s="111"/>
      <c r="B1709" s="111"/>
      <c r="C1709" s="112"/>
      <c r="D1709" s="101"/>
      <c r="E1709" s="101"/>
      <c r="F1709" s="101"/>
      <c r="G1709" s="111"/>
      <c r="H1709" s="101"/>
      <c r="I1709" s="101"/>
      <c r="J1709" s="101"/>
      <c r="K1709" s="101"/>
      <c r="L1709" s="101"/>
      <c r="M1709" s="101"/>
      <c r="N1709" s="101"/>
      <c r="O1709" s="101"/>
      <c r="P1709" s="101"/>
      <c r="Q1709" s="101"/>
      <c r="R1709" s="101"/>
      <c r="S1709" s="101"/>
      <c r="T1709" s="101"/>
      <c r="U1709" s="101"/>
      <c r="V1709" s="101"/>
      <c r="W1709" s="101"/>
      <c r="X1709" s="101"/>
      <c r="Y1709" s="114"/>
      <c r="Z1709" s="114"/>
      <c r="AA1709" s="114"/>
      <c r="AB1709" s="114"/>
      <c r="AC1709" s="114"/>
      <c r="AD1709" s="114"/>
      <c r="AE1709" s="114"/>
      <c r="AF1709" s="114"/>
      <c r="AG1709" s="114"/>
      <c r="AH1709" s="114"/>
      <c r="AI1709" s="114"/>
      <c r="AJ1709" s="114"/>
      <c r="AK1709" s="114"/>
      <c r="AL1709" s="114"/>
      <c r="AM1709" s="114"/>
      <c r="AN1709" s="114"/>
      <c r="AO1709" s="114"/>
      <c r="AP1709" s="114"/>
      <c r="AQ1709" s="114"/>
      <c r="AR1709" s="114"/>
      <c r="AS1709" s="114"/>
      <c r="AT1709" s="114"/>
      <c r="AU1709" s="114"/>
      <c r="AV1709" s="114"/>
      <c r="AW1709" s="114"/>
      <c r="AX1709" s="114"/>
      <c r="AY1709" s="114"/>
      <c r="AZ1709" s="114"/>
    </row>
    <row r="1710" spans="1:52">
      <c r="A1710" s="111"/>
      <c r="B1710" s="111"/>
      <c r="C1710" s="112"/>
      <c r="D1710" s="101"/>
      <c r="E1710" s="101"/>
      <c r="F1710" s="101"/>
      <c r="G1710" s="111"/>
      <c r="H1710" s="101"/>
      <c r="I1710" s="101"/>
      <c r="J1710" s="101"/>
      <c r="K1710" s="101"/>
      <c r="L1710" s="101"/>
      <c r="M1710" s="101"/>
      <c r="N1710" s="101"/>
      <c r="O1710" s="101"/>
      <c r="P1710" s="101"/>
      <c r="Q1710" s="101"/>
      <c r="R1710" s="101"/>
      <c r="S1710" s="101"/>
      <c r="T1710" s="101"/>
      <c r="U1710" s="101"/>
      <c r="V1710" s="101"/>
      <c r="W1710" s="101"/>
      <c r="X1710" s="101"/>
      <c r="Y1710" s="114"/>
      <c r="Z1710" s="114"/>
      <c r="AA1710" s="114"/>
      <c r="AB1710" s="114"/>
      <c r="AC1710" s="114"/>
      <c r="AD1710" s="114"/>
      <c r="AE1710" s="114"/>
      <c r="AF1710" s="114"/>
      <c r="AG1710" s="114"/>
      <c r="AH1710" s="114"/>
      <c r="AI1710" s="114"/>
      <c r="AJ1710" s="114"/>
      <c r="AK1710" s="114"/>
      <c r="AL1710" s="114"/>
      <c r="AM1710" s="114"/>
      <c r="AN1710" s="114"/>
      <c r="AO1710" s="114"/>
      <c r="AP1710" s="114"/>
      <c r="AQ1710" s="114"/>
      <c r="AR1710" s="114"/>
      <c r="AS1710" s="114"/>
      <c r="AT1710" s="114"/>
      <c r="AU1710" s="114"/>
      <c r="AV1710" s="114"/>
      <c r="AW1710" s="114"/>
      <c r="AX1710" s="114"/>
      <c r="AY1710" s="114"/>
      <c r="AZ1710" s="114"/>
    </row>
    <row r="1711" spans="1:52">
      <c r="A1711" s="111"/>
      <c r="B1711" s="111"/>
      <c r="C1711" s="112"/>
      <c r="D1711" s="101"/>
      <c r="E1711" s="101"/>
      <c r="F1711" s="101"/>
      <c r="G1711" s="111"/>
      <c r="H1711" s="101"/>
      <c r="I1711" s="101"/>
      <c r="J1711" s="101"/>
      <c r="K1711" s="101"/>
      <c r="L1711" s="101"/>
      <c r="M1711" s="101"/>
      <c r="N1711" s="101"/>
      <c r="O1711" s="101"/>
      <c r="P1711" s="101"/>
      <c r="Q1711" s="101"/>
      <c r="R1711" s="101"/>
      <c r="S1711" s="101"/>
      <c r="T1711" s="101"/>
      <c r="U1711" s="101"/>
      <c r="V1711" s="101"/>
      <c r="W1711" s="101"/>
      <c r="X1711" s="101"/>
      <c r="Y1711" s="114"/>
      <c r="Z1711" s="114"/>
      <c r="AA1711" s="114"/>
      <c r="AB1711" s="114"/>
      <c r="AC1711" s="114"/>
      <c r="AD1711" s="114"/>
      <c r="AE1711" s="114"/>
      <c r="AF1711" s="114"/>
      <c r="AG1711" s="114"/>
      <c r="AH1711" s="114"/>
      <c r="AI1711" s="114"/>
      <c r="AJ1711" s="114"/>
      <c r="AK1711" s="114"/>
      <c r="AL1711" s="114"/>
      <c r="AM1711" s="114"/>
      <c r="AN1711" s="114"/>
      <c r="AO1711" s="114"/>
      <c r="AP1711" s="114"/>
      <c r="AQ1711" s="114"/>
      <c r="AR1711" s="114"/>
      <c r="AS1711" s="114"/>
      <c r="AT1711" s="114"/>
      <c r="AU1711" s="114"/>
      <c r="AV1711" s="114"/>
      <c r="AW1711" s="114"/>
      <c r="AX1711" s="114"/>
      <c r="AY1711" s="114"/>
      <c r="AZ1711" s="114"/>
    </row>
    <row r="1712" spans="1:52">
      <c r="A1712" s="111"/>
      <c r="B1712" s="111"/>
      <c r="C1712" s="112"/>
      <c r="D1712" s="101"/>
      <c r="E1712" s="101"/>
      <c r="F1712" s="101"/>
      <c r="G1712" s="111"/>
      <c r="H1712" s="101"/>
      <c r="I1712" s="101"/>
      <c r="J1712" s="101"/>
      <c r="K1712" s="101"/>
      <c r="L1712" s="101"/>
      <c r="M1712" s="101"/>
      <c r="N1712" s="101"/>
      <c r="O1712" s="101"/>
      <c r="P1712" s="101"/>
      <c r="Q1712" s="101"/>
      <c r="R1712" s="101"/>
      <c r="S1712" s="101"/>
      <c r="T1712" s="101"/>
      <c r="U1712" s="101"/>
      <c r="V1712" s="101"/>
      <c r="W1712" s="101"/>
      <c r="X1712" s="101"/>
      <c r="Y1712" s="114"/>
      <c r="Z1712" s="114"/>
      <c r="AA1712" s="114"/>
      <c r="AB1712" s="114"/>
      <c r="AC1712" s="114"/>
      <c r="AD1712" s="114"/>
      <c r="AE1712" s="114"/>
      <c r="AF1712" s="114"/>
      <c r="AG1712" s="114"/>
      <c r="AH1712" s="114"/>
      <c r="AI1712" s="114"/>
      <c r="AJ1712" s="114"/>
      <c r="AK1712" s="114"/>
      <c r="AL1712" s="114"/>
      <c r="AM1712" s="114"/>
      <c r="AN1712" s="114"/>
      <c r="AO1712" s="114"/>
      <c r="AP1712" s="114"/>
      <c r="AQ1712" s="114"/>
      <c r="AR1712" s="114"/>
      <c r="AS1712" s="114"/>
      <c r="AT1712" s="114"/>
      <c r="AU1712" s="114"/>
      <c r="AV1712" s="114"/>
      <c r="AW1712" s="114"/>
      <c r="AX1712" s="114"/>
      <c r="AY1712" s="114"/>
      <c r="AZ1712" s="114"/>
    </row>
    <row r="1713" spans="1:52">
      <c r="A1713" s="111"/>
      <c r="B1713" s="111"/>
      <c r="C1713" s="112"/>
      <c r="D1713" s="101"/>
      <c r="E1713" s="101"/>
      <c r="F1713" s="101"/>
      <c r="G1713" s="111"/>
      <c r="H1713" s="101"/>
      <c r="I1713" s="101"/>
      <c r="J1713" s="101"/>
      <c r="K1713" s="101"/>
      <c r="L1713" s="101"/>
      <c r="M1713" s="101"/>
      <c r="N1713" s="101"/>
      <c r="O1713" s="101"/>
      <c r="P1713" s="101"/>
      <c r="Q1713" s="101"/>
      <c r="R1713" s="101"/>
      <c r="S1713" s="101"/>
      <c r="T1713" s="101"/>
      <c r="U1713" s="101"/>
      <c r="V1713" s="101"/>
      <c r="W1713" s="101"/>
      <c r="X1713" s="101"/>
      <c r="Y1713" s="114"/>
      <c r="Z1713" s="114"/>
      <c r="AA1713" s="114"/>
      <c r="AB1713" s="114"/>
      <c r="AC1713" s="114"/>
      <c r="AD1713" s="114"/>
      <c r="AE1713" s="114"/>
      <c r="AF1713" s="114"/>
      <c r="AG1713" s="114"/>
      <c r="AH1713" s="114"/>
      <c r="AI1713" s="114"/>
      <c r="AJ1713" s="114"/>
      <c r="AK1713" s="114"/>
      <c r="AL1713" s="114"/>
      <c r="AM1713" s="114"/>
      <c r="AN1713" s="114"/>
      <c r="AO1713" s="114"/>
      <c r="AP1713" s="114"/>
      <c r="AQ1713" s="114"/>
      <c r="AR1713" s="114"/>
      <c r="AS1713" s="114"/>
      <c r="AT1713" s="114"/>
      <c r="AU1713" s="114"/>
      <c r="AV1713" s="114"/>
      <c r="AW1713" s="114"/>
      <c r="AX1713" s="114"/>
      <c r="AY1713" s="114"/>
      <c r="AZ1713" s="114"/>
    </row>
    <row r="1714" spans="1:52">
      <c r="A1714" s="111"/>
      <c r="B1714" s="111"/>
      <c r="C1714" s="112"/>
      <c r="D1714" s="101"/>
      <c r="E1714" s="101"/>
      <c r="F1714" s="101"/>
      <c r="G1714" s="111"/>
      <c r="H1714" s="101"/>
      <c r="I1714" s="101"/>
      <c r="J1714" s="101"/>
      <c r="K1714" s="101"/>
      <c r="L1714" s="101"/>
      <c r="M1714" s="101"/>
      <c r="N1714" s="101"/>
      <c r="O1714" s="101"/>
      <c r="P1714" s="101"/>
      <c r="Q1714" s="101"/>
      <c r="R1714" s="101"/>
      <c r="S1714" s="101"/>
      <c r="T1714" s="101"/>
      <c r="U1714" s="101"/>
      <c r="V1714" s="101"/>
      <c r="W1714" s="101"/>
      <c r="X1714" s="101"/>
      <c r="Y1714" s="114"/>
      <c r="Z1714" s="114"/>
      <c r="AA1714" s="114"/>
      <c r="AB1714" s="114"/>
      <c r="AC1714" s="114"/>
      <c r="AD1714" s="114"/>
      <c r="AE1714" s="114"/>
      <c r="AF1714" s="114"/>
      <c r="AG1714" s="114"/>
      <c r="AH1714" s="114"/>
      <c r="AI1714" s="114"/>
      <c r="AJ1714" s="114"/>
      <c r="AK1714" s="114"/>
      <c r="AL1714" s="114"/>
      <c r="AM1714" s="114"/>
      <c r="AN1714" s="114"/>
      <c r="AO1714" s="114"/>
      <c r="AP1714" s="114"/>
      <c r="AQ1714" s="114"/>
      <c r="AR1714" s="114"/>
      <c r="AS1714" s="114"/>
      <c r="AT1714" s="114"/>
      <c r="AU1714" s="114"/>
      <c r="AV1714" s="114"/>
      <c r="AW1714" s="114"/>
      <c r="AX1714" s="114"/>
      <c r="AY1714" s="114"/>
      <c r="AZ1714" s="114"/>
    </row>
    <row r="1715" spans="1:52">
      <c r="A1715" s="111"/>
      <c r="B1715" s="111"/>
      <c r="C1715" s="112"/>
      <c r="D1715" s="101"/>
      <c r="E1715" s="101"/>
      <c r="F1715" s="101"/>
      <c r="G1715" s="111"/>
      <c r="H1715" s="101"/>
      <c r="I1715" s="101"/>
      <c r="J1715" s="101"/>
      <c r="K1715" s="101"/>
      <c r="L1715" s="101"/>
      <c r="M1715" s="101"/>
      <c r="N1715" s="101"/>
      <c r="O1715" s="101"/>
      <c r="P1715" s="101"/>
      <c r="Q1715" s="101"/>
      <c r="R1715" s="101"/>
      <c r="S1715" s="101"/>
      <c r="T1715" s="101"/>
      <c r="U1715" s="101"/>
      <c r="V1715" s="101"/>
      <c r="W1715" s="101"/>
      <c r="X1715" s="101"/>
      <c r="Y1715" s="114"/>
      <c r="Z1715" s="114"/>
      <c r="AA1715" s="114"/>
      <c r="AB1715" s="114"/>
      <c r="AC1715" s="114"/>
      <c r="AD1715" s="114"/>
      <c r="AE1715" s="114"/>
      <c r="AF1715" s="114"/>
      <c r="AG1715" s="114"/>
      <c r="AH1715" s="114"/>
      <c r="AI1715" s="114"/>
      <c r="AJ1715" s="114"/>
      <c r="AK1715" s="114"/>
      <c r="AL1715" s="114"/>
      <c r="AM1715" s="114"/>
      <c r="AN1715" s="114"/>
      <c r="AO1715" s="114"/>
      <c r="AP1715" s="114"/>
      <c r="AQ1715" s="114"/>
      <c r="AR1715" s="114"/>
      <c r="AS1715" s="114"/>
      <c r="AT1715" s="114"/>
      <c r="AU1715" s="114"/>
      <c r="AV1715" s="114"/>
      <c r="AW1715" s="114"/>
      <c r="AX1715" s="114"/>
      <c r="AY1715" s="114"/>
      <c r="AZ1715" s="114"/>
    </row>
    <row r="1716" spans="1:52">
      <c r="A1716" s="111"/>
      <c r="B1716" s="111"/>
      <c r="C1716" s="112"/>
      <c r="D1716" s="101"/>
      <c r="E1716" s="101"/>
      <c r="F1716" s="101"/>
      <c r="G1716" s="111"/>
      <c r="H1716" s="101"/>
      <c r="I1716" s="101"/>
      <c r="J1716" s="101"/>
      <c r="K1716" s="101"/>
      <c r="L1716" s="101"/>
      <c r="M1716" s="101"/>
      <c r="N1716" s="101"/>
      <c r="O1716" s="101"/>
      <c r="P1716" s="101"/>
      <c r="Q1716" s="101"/>
      <c r="R1716" s="101"/>
      <c r="S1716" s="101"/>
      <c r="T1716" s="101"/>
      <c r="U1716" s="101"/>
      <c r="V1716" s="101"/>
      <c r="W1716" s="101"/>
      <c r="X1716" s="101"/>
      <c r="Y1716" s="114"/>
      <c r="Z1716" s="114"/>
      <c r="AA1716" s="114"/>
      <c r="AB1716" s="114"/>
      <c r="AC1716" s="114"/>
      <c r="AD1716" s="114"/>
      <c r="AE1716" s="114"/>
      <c r="AF1716" s="114"/>
      <c r="AG1716" s="114"/>
      <c r="AH1716" s="114"/>
      <c r="AI1716" s="114"/>
      <c r="AJ1716" s="114"/>
      <c r="AK1716" s="114"/>
      <c r="AL1716" s="114"/>
      <c r="AM1716" s="114"/>
      <c r="AN1716" s="114"/>
      <c r="AO1716" s="114"/>
      <c r="AP1716" s="114"/>
      <c r="AQ1716" s="114"/>
      <c r="AR1716" s="114"/>
      <c r="AS1716" s="114"/>
      <c r="AT1716" s="114"/>
      <c r="AU1716" s="114"/>
      <c r="AV1716" s="114"/>
      <c r="AW1716" s="114"/>
      <c r="AX1716" s="114"/>
      <c r="AY1716" s="114"/>
      <c r="AZ1716" s="114"/>
    </row>
    <row r="1717" spans="1:52">
      <c r="A1717" s="111"/>
      <c r="B1717" s="111"/>
      <c r="C1717" s="112"/>
      <c r="D1717" s="101"/>
      <c r="E1717" s="101"/>
      <c r="F1717" s="101"/>
      <c r="G1717" s="111"/>
      <c r="H1717" s="101"/>
      <c r="I1717" s="101"/>
      <c r="J1717" s="101"/>
      <c r="K1717" s="101"/>
      <c r="L1717" s="101"/>
      <c r="M1717" s="101"/>
      <c r="N1717" s="101"/>
      <c r="O1717" s="101"/>
      <c r="P1717" s="101"/>
      <c r="Q1717" s="101"/>
      <c r="R1717" s="101"/>
      <c r="S1717" s="101"/>
      <c r="T1717" s="101"/>
      <c r="U1717" s="101"/>
      <c r="V1717" s="101"/>
      <c r="W1717" s="101"/>
      <c r="X1717" s="101"/>
      <c r="Y1717" s="114"/>
      <c r="Z1717" s="114"/>
      <c r="AA1717" s="114"/>
      <c r="AB1717" s="114"/>
      <c r="AC1717" s="114"/>
      <c r="AD1717" s="114"/>
      <c r="AE1717" s="114"/>
      <c r="AF1717" s="114"/>
      <c r="AG1717" s="114"/>
      <c r="AH1717" s="114"/>
      <c r="AI1717" s="114"/>
      <c r="AJ1717" s="114"/>
      <c r="AK1717" s="114"/>
      <c r="AL1717" s="114"/>
      <c r="AM1717" s="114"/>
      <c r="AN1717" s="114"/>
      <c r="AO1717" s="114"/>
      <c r="AP1717" s="114"/>
      <c r="AQ1717" s="114"/>
      <c r="AR1717" s="114"/>
      <c r="AS1717" s="114"/>
      <c r="AT1717" s="114"/>
      <c r="AU1717" s="114"/>
      <c r="AV1717" s="114"/>
      <c r="AW1717" s="114"/>
      <c r="AX1717" s="114"/>
      <c r="AY1717" s="114"/>
      <c r="AZ1717" s="114"/>
    </row>
    <row r="1718" spans="1:52">
      <c r="A1718" s="111"/>
      <c r="B1718" s="111"/>
      <c r="C1718" s="112"/>
      <c r="D1718" s="101"/>
      <c r="E1718" s="101"/>
      <c r="F1718" s="101"/>
      <c r="G1718" s="111"/>
      <c r="H1718" s="101"/>
      <c r="I1718" s="101"/>
      <c r="J1718" s="101"/>
      <c r="K1718" s="101"/>
      <c r="L1718" s="101"/>
      <c r="M1718" s="101"/>
      <c r="N1718" s="101"/>
      <c r="O1718" s="101"/>
      <c r="P1718" s="101"/>
      <c r="Q1718" s="101"/>
      <c r="R1718" s="101"/>
      <c r="S1718" s="101"/>
      <c r="T1718" s="101"/>
      <c r="U1718" s="101"/>
      <c r="V1718" s="101"/>
      <c r="W1718" s="101"/>
      <c r="X1718" s="101"/>
      <c r="Y1718" s="114"/>
      <c r="Z1718" s="114"/>
      <c r="AA1718" s="114"/>
      <c r="AB1718" s="114"/>
      <c r="AC1718" s="114"/>
      <c r="AD1718" s="114"/>
      <c r="AE1718" s="114"/>
      <c r="AF1718" s="114"/>
      <c r="AG1718" s="114"/>
      <c r="AH1718" s="114"/>
      <c r="AI1718" s="114"/>
      <c r="AJ1718" s="114"/>
      <c r="AK1718" s="114"/>
      <c r="AL1718" s="114"/>
      <c r="AM1718" s="114"/>
      <c r="AN1718" s="114"/>
      <c r="AO1718" s="114"/>
      <c r="AP1718" s="114"/>
      <c r="AQ1718" s="114"/>
      <c r="AR1718" s="114"/>
      <c r="AS1718" s="114"/>
      <c r="AT1718" s="114"/>
      <c r="AU1718" s="114"/>
      <c r="AV1718" s="114"/>
      <c r="AW1718" s="114"/>
      <c r="AX1718" s="114"/>
      <c r="AY1718" s="114"/>
      <c r="AZ1718" s="114"/>
    </row>
    <row r="1719" spans="1:52">
      <c r="A1719" s="111"/>
      <c r="B1719" s="111"/>
      <c r="C1719" s="112"/>
      <c r="D1719" s="101"/>
      <c r="E1719" s="101"/>
      <c r="F1719" s="101"/>
      <c r="G1719" s="111"/>
      <c r="H1719" s="101"/>
      <c r="I1719" s="101"/>
      <c r="J1719" s="101"/>
      <c r="K1719" s="101"/>
      <c r="L1719" s="101"/>
      <c r="M1719" s="101"/>
      <c r="N1719" s="101"/>
      <c r="O1719" s="101"/>
      <c r="P1719" s="101"/>
      <c r="Q1719" s="101"/>
      <c r="R1719" s="101"/>
      <c r="S1719" s="101"/>
      <c r="T1719" s="101"/>
      <c r="U1719" s="101"/>
      <c r="V1719" s="101"/>
      <c r="W1719" s="101"/>
      <c r="X1719" s="101"/>
      <c r="Y1719" s="114"/>
      <c r="Z1719" s="114"/>
      <c r="AA1719" s="114"/>
      <c r="AB1719" s="114"/>
      <c r="AC1719" s="114"/>
      <c r="AD1719" s="114"/>
      <c r="AE1719" s="114"/>
      <c r="AF1719" s="114"/>
      <c r="AG1719" s="114"/>
      <c r="AH1719" s="114"/>
      <c r="AI1719" s="114"/>
      <c r="AJ1719" s="114"/>
      <c r="AK1719" s="114"/>
      <c r="AL1719" s="114"/>
      <c r="AM1719" s="114"/>
      <c r="AN1719" s="114"/>
      <c r="AO1719" s="114"/>
      <c r="AP1719" s="114"/>
      <c r="AQ1719" s="114"/>
      <c r="AR1719" s="114"/>
      <c r="AS1719" s="114"/>
      <c r="AT1719" s="114"/>
      <c r="AU1719" s="114"/>
      <c r="AV1719" s="114"/>
      <c r="AW1719" s="114"/>
      <c r="AX1719" s="114"/>
      <c r="AY1719" s="114"/>
      <c r="AZ1719" s="114"/>
    </row>
    <row r="1720" spans="1:52">
      <c r="A1720" s="111"/>
      <c r="B1720" s="111"/>
      <c r="C1720" s="112"/>
      <c r="D1720" s="101"/>
      <c r="E1720" s="101"/>
      <c r="F1720" s="101"/>
      <c r="G1720" s="111"/>
      <c r="H1720" s="101"/>
      <c r="I1720" s="101"/>
      <c r="J1720" s="101"/>
      <c r="K1720" s="101"/>
      <c r="L1720" s="101"/>
      <c r="M1720" s="101"/>
      <c r="N1720" s="101"/>
      <c r="O1720" s="101"/>
      <c r="P1720" s="101"/>
      <c r="Q1720" s="101"/>
      <c r="R1720" s="101"/>
      <c r="S1720" s="101"/>
      <c r="T1720" s="101"/>
      <c r="U1720" s="101"/>
      <c r="V1720" s="101"/>
      <c r="W1720" s="101"/>
      <c r="X1720" s="101"/>
      <c r="Y1720" s="114"/>
      <c r="Z1720" s="114"/>
      <c r="AA1720" s="114"/>
      <c r="AB1720" s="114"/>
      <c r="AC1720" s="114"/>
      <c r="AD1720" s="114"/>
      <c r="AE1720" s="114"/>
      <c r="AF1720" s="114"/>
      <c r="AG1720" s="114"/>
      <c r="AH1720" s="114"/>
      <c r="AI1720" s="114"/>
      <c r="AJ1720" s="114"/>
      <c r="AK1720" s="114"/>
      <c r="AL1720" s="114"/>
      <c r="AM1720" s="114"/>
      <c r="AN1720" s="114"/>
      <c r="AO1720" s="114"/>
      <c r="AP1720" s="114"/>
      <c r="AQ1720" s="114"/>
      <c r="AR1720" s="114"/>
      <c r="AS1720" s="114"/>
      <c r="AT1720" s="114"/>
      <c r="AU1720" s="114"/>
      <c r="AV1720" s="114"/>
      <c r="AW1720" s="114"/>
      <c r="AX1720" s="114"/>
      <c r="AY1720" s="114"/>
      <c r="AZ1720" s="114"/>
    </row>
    <row r="1721" spans="1:52">
      <c r="A1721" s="111"/>
      <c r="B1721" s="111"/>
      <c r="C1721" s="112"/>
      <c r="D1721" s="101"/>
      <c r="E1721" s="101"/>
      <c r="F1721" s="101"/>
      <c r="G1721" s="111"/>
      <c r="H1721" s="101"/>
      <c r="I1721" s="101"/>
      <c r="J1721" s="101"/>
      <c r="K1721" s="101"/>
      <c r="L1721" s="101"/>
      <c r="M1721" s="101"/>
      <c r="N1721" s="101"/>
      <c r="O1721" s="101"/>
      <c r="P1721" s="101"/>
      <c r="Q1721" s="101"/>
      <c r="R1721" s="101"/>
      <c r="S1721" s="101"/>
      <c r="T1721" s="101"/>
      <c r="U1721" s="101"/>
      <c r="V1721" s="101"/>
      <c r="W1721" s="101"/>
      <c r="X1721" s="101"/>
      <c r="Y1721" s="114"/>
      <c r="Z1721" s="114"/>
      <c r="AA1721" s="114"/>
      <c r="AB1721" s="114"/>
      <c r="AC1721" s="114"/>
      <c r="AD1721" s="114"/>
      <c r="AE1721" s="114"/>
      <c r="AF1721" s="114"/>
      <c r="AG1721" s="114"/>
      <c r="AH1721" s="114"/>
      <c r="AI1721" s="114"/>
      <c r="AJ1721" s="114"/>
      <c r="AK1721" s="114"/>
      <c r="AL1721" s="114"/>
      <c r="AM1721" s="114"/>
      <c r="AN1721" s="114"/>
      <c r="AO1721" s="114"/>
      <c r="AP1721" s="114"/>
      <c r="AQ1721" s="114"/>
      <c r="AR1721" s="114"/>
      <c r="AS1721" s="114"/>
      <c r="AT1721" s="114"/>
      <c r="AU1721" s="114"/>
      <c r="AV1721" s="114"/>
      <c r="AW1721" s="114"/>
      <c r="AX1721" s="114"/>
      <c r="AY1721" s="114"/>
      <c r="AZ1721" s="114"/>
    </row>
    <row r="1722" spans="1:52">
      <c r="A1722" s="111"/>
      <c r="B1722" s="111"/>
      <c r="C1722" s="112"/>
      <c r="D1722" s="101"/>
      <c r="E1722" s="101"/>
      <c r="F1722" s="101"/>
      <c r="G1722" s="111"/>
      <c r="H1722" s="101"/>
      <c r="I1722" s="101"/>
      <c r="J1722" s="101"/>
      <c r="K1722" s="101"/>
      <c r="L1722" s="101"/>
      <c r="M1722" s="101"/>
      <c r="N1722" s="101"/>
      <c r="O1722" s="101"/>
      <c r="P1722" s="101"/>
      <c r="Q1722" s="101"/>
      <c r="R1722" s="101"/>
      <c r="S1722" s="101"/>
      <c r="T1722" s="101"/>
      <c r="U1722" s="101"/>
      <c r="V1722" s="101"/>
      <c r="W1722" s="101"/>
      <c r="X1722" s="101"/>
      <c r="Y1722" s="114"/>
      <c r="Z1722" s="114"/>
      <c r="AA1722" s="114"/>
      <c r="AB1722" s="114"/>
      <c r="AC1722" s="114"/>
      <c r="AD1722" s="114"/>
      <c r="AE1722" s="114"/>
      <c r="AF1722" s="114"/>
      <c r="AG1722" s="114"/>
      <c r="AH1722" s="114"/>
      <c r="AI1722" s="114"/>
      <c r="AJ1722" s="114"/>
      <c r="AK1722" s="114"/>
      <c r="AL1722" s="114"/>
      <c r="AM1722" s="114"/>
      <c r="AN1722" s="114"/>
      <c r="AO1722" s="114"/>
      <c r="AP1722" s="114"/>
      <c r="AQ1722" s="114"/>
      <c r="AR1722" s="114"/>
      <c r="AS1722" s="114"/>
      <c r="AT1722" s="114"/>
      <c r="AU1722" s="114"/>
      <c r="AV1722" s="114"/>
      <c r="AW1722" s="114"/>
      <c r="AX1722" s="114"/>
      <c r="AY1722" s="114"/>
      <c r="AZ1722" s="114"/>
    </row>
    <row r="1723" spans="1:52">
      <c r="A1723" s="111"/>
      <c r="B1723" s="111"/>
      <c r="C1723" s="112"/>
      <c r="D1723" s="101"/>
      <c r="E1723" s="101"/>
      <c r="F1723" s="101"/>
      <c r="G1723" s="111"/>
      <c r="H1723" s="101"/>
      <c r="I1723" s="101"/>
      <c r="J1723" s="101"/>
      <c r="K1723" s="101"/>
      <c r="L1723" s="101"/>
      <c r="M1723" s="101"/>
      <c r="N1723" s="101"/>
      <c r="O1723" s="101"/>
      <c r="P1723" s="101"/>
      <c r="Q1723" s="101"/>
      <c r="R1723" s="101"/>
      <c r="S1723" s="101"/>
      <c r="T1723" s="101"/>
      <c r="U1723" s="101"/>
      <c r="V1723" s="101"/>
      <c r="W1723" s="101"/>
      <c r="X1723" s="101"/>
      <c r="Y1723" s="114"/>
      <c r="Z1723" s="114"/>
      <c r="AA1723" s="114"/>
      <c r="AB1723" s="114"/>
      <c r="AC1723" s="114"/>
      <c r="AD1723" s="114"/>
      <c r="AE1723" s="114"/>
      <c r="AF1723" s="114"/>
      <c r="AG1723" s="114"/>
      <c r="AH1723" s="114"/>
      <c r="AI1723" s="114"/>
      <c r="AJ1723" s="114"/>
      <c r="AK1723" s="114"/>
      <c r="AL1723" s="114"/>
      <c r="AM1723" s="114"/>
      <c r="AN1723" s="114"/>
      <c r="AO1723" s="114"/>
      <c r="AP1723" s="114"/>
      <c r="AQ1723" s="114"/>
      <c r="AR1723" s="114"/>
      <c r="AS1723" s="114"/>
      <c r="AT1723" s="114"/>
      <c r="AU1723" s="114"/>
      <c r="AV1723" s="114"/>
      <c r="AW1723" s="114"/>
      <c r="AX1723" s="114"/>
      <c r="AY1723" s="114"/>
      <c r="AZ1723" s="114"/>
    </row>
    <row r="1724" spans="1:52">
      <c r="A1724" s="111"/>
      <c r="B1724" s="111"/>
      <c r="C1724" s="112"/>
      <c r="D1724" s="101"/>
      <c r="E1724" s="101"/>
      <c r="F1724" s="101"/>
      <c r="G1724" s="111"/>
      <c r="H1724" s="101"/>
      <c r="I1724" s="101"/>
      <c r="J1724" s="101"/>
      <c r="K1724" s="101"/>
      <c r="L1724" s="101"/>
      <c r="M1724" s="101"/>
      <c r="N1724" s="101"/>
      <c r="O1724" s="101"/>
      <c r="P1724" s="101"/>
      <c r="Q1724" s="101"/>
      <c r="R1724" s="101"/>
      <c r="S1724" s="101"/>
      <c r="T1724" s="101"/>
      <c r="U1724" s="101"/>
      <c r="V1724" s="101"/>
      <c r="W1724" s="101"/>
      <c r="X1724" s="101"/>
      <c r="Y1724" s="114"/>
      <c r="Z1724" s="114"/>
      <c r="AA1724" s="114"/>
      <c r="AB1724" s="114"/>
      <c r="AC1724" s="114"/>
      <c r="AD1724" s="114"/>
      <c r="AE1724" s="114"/>
      <c r="AF1724" s="114"/>
      <c r="AG1724" s="114"/>
      <c r="AH1724" s="114"/>
      <c r="AI1724" s="114"/>
      <c r="AJ1724" s="114"/>
      <c r="AK1724" s="114"/>
      <c r="AL1724" s="114"/>
      <c r="AM1724" s="114"/>
      <c r="AN1724" s="114"/>
      <c r="AO1724" s="114"/>
      <c r="AP1724" s="114"/>
      <c r="AQ1724" s="114"/>
      <c r="AR1724" s="114"/>
      <c r="AS1724" s="114"/>
      <c r="AT1724" s="114"/>
      <c r="AU1724" s="114"/>
      <c r="AV1724" s="114"/>
      <c r="AW1724" s="114"/>
      <c r="AX1724" s="114"/>
      <c r="AY1724" s="114"/>
      <c r="AZ1724" s="114"/>
    </row>
    <row r="1725" spans="1:52">
      <c r="A1725" s="111"/>
      <c r="B1725" s="111"/>
      <c r="C1725" s="112"/>
      <c r="D1725" s="101"/>
      <c r="E1725" s="101"/>
      <c r="F1725" s="101"/>
      <c r="G1725" s="111"/>
      <c r="H1725" s="101"/>
      <c r="I1725" s="101"/>
      <c r="J1725" s="101"/>
      <c r="K1725" s="101"/>
      <c r="L1725" s="101"/>
      <c r="M1725" s="101"/>
      <c r="N1725" s="101"/>
      <c r="O1725" s="101"/>
      <c r="P1725" s="101"/>
      <c r="Q1725" s="101"/>
      <c r="R1725" s="101"/>
      <c r="S1725" s="101"/>
      <c r="T1725" s="101"/>
      <c r="U1725" s="101"/>
      <c r="V1725" s="101"/>
      <c r="W1725" s="101"/>
      <c r="X1725" s="101"/>
      <c r="Y1725" s="114"/>
      <c r="Z1725" s="114"/>
      <c r="AA1725" s="114"/>
      <c r="AB1725" s="114"/>
      <c r="AC1725" s="114"/>
      <c r="AD1725" s="114"/>
      <c r="AE1725" s="114"/>
      <c r="AF1725" s="114"/>
      <c r="AG1725" s="114"/>
      <c r="AH1725" s="114"/>
      <c r="AI1725" s="114"/>
      <c r="AJ1725" s="114"/>
      <c r="AK1725" s="114"/>
      <c r="AL1725" s="114"/>
      <c r="AM1725" s="114"/>
      <c r="AN1725" s="114"/>
      <c r="AO1725" s="114"/>
      <c r="AP1725" s="114"/>
      <c r="AQ1725" s="114"/>
      <c r="AR1725" s="114"/>
      <c r="AS1725" s="114"/>
      <c r="AT1725" s="114"/>
      <c r="AU1725" s="114"/>
      <c r="AV1725" s="114"/>
      <c r="AW1725" s="114"/>
      <c r="AX1725" s="114"/>
      <c r="AY1725" s="114"/>
      <c r="AZ1725" s="114"/>
    </row>
    <row r="1726" spans="1:52">
      <c r="A1726" s="111"/>
      <c r="B1726" s="111"/>
      <c r="C1726" s="112"/>
      <c r="D1726" s="101"/>
      <c r="E1726" s="101"/>
      <c r="F1726" s="101"/>
      <c r="G1726" s="111"/>
      <c r="H1726" s="101"/>
      <c r="I1726" s="101"/>
      <c r="J1726" s="101"/>
      <c r="K1726" s="101"/>
      <c r="L1726" s="101"/>
      <c r="M1726" s="101"/>
      <c r="N1726" s="101"/>
      <c r="O1726" s="101"/>
      <c r="P1726" s="101"/>
      <c r="Q1726" s="101"/>
      <c r="R1726" s="101"/>
      <c r="S1726" s="101"/>
      <c r="T1726" s="101"/>
      <c r="U1726" s="101"/>
      <c r="V1726" s="101"/>
      <c r="W1726" s="101"/>
      <c r="X1726" s="101"/>
      <c r="Y1726" s="114"/>
      <c r="Z1726" s="114"/>
      <c r="AA1726" s="114"/>
      <c r="AB1726" s="114"/>
      <c r="AC1726" s="114"/>
      <c r="AD1726" s="114"/>
      <c r="AE1726" s="114"/>
      <c r="AF1726" s="114"/>
      <c r="AG1726" s="114"/>
      <c r="AH1726" s="114"/>
      <c r="AI1726" s="114"/>
      <c r="AJ1726" s="114"/>
      <c r="AK1726" s="114"/>
      <c r="AL1726" s="114"/>
      <c r="AM1726" s="114"/>
      <c r="AN1726" s="114"/>
      <c r="AO1726" s="114"/>
      <c r="AP1726" s="114"/>
      <c r="AQ1726" s="114"/>
      <c r="AR1726" s="114"/>
      <c r="AS1726" s="114"/>
      <c r="AT1726" s="114"/>
      <c r="AU1726" s="114"/>
      <c r="AV1726" s="114"/>
      <c r="AW1726" s="114"/>
      <c r="AX1726" s="114"/>
      <c r="AY1726" s="114"/>
      <c r="AZ1726" s="114"/>
    </row>
    <row r="1727" spans="1:52">
      <c r="A1727" s="111"/>
      <c r="B1727" s="111"/>
      <c r="C1727" s="112"/>
      <c r="D1727" s="101"/>
      <c r="E1727" s="101"/>
      <c r="F1727" s="101"/>
      <c r="G1727" s="111"/>
      <c r="H1727" s="101"/>
      <c r="I1727" s="101"/>
      <c r="J1727" s="101"/>
      <c r="K1727" s="101"/>
      <c r="L1727" s="101"/>
      <c r="M1727" s="101"/>
      <c r="N1727" s="101"/>
      <c r="O1727" s="101"/>
      <c r="P1727" s="101"/>
      <c r="Q1727" s="101"/>
      <c r="R1727" s="101"/>
      <c r="S1727" s="101"/>
      <c r="T1727" s="101"/>
      <c r="U1727" s="101"/>
      <c r="V1727" s="101"/>
      <c r="W1727" s="101"/>
      <c r="X1727" s="101"/>
      <c r="Y1727" s="114"/>
      <c r="Z1727" s="114"/>
      <c r="AA1727" s="114"/>
      <c r="AB1727" s="114"/>
      <c r="AC1727" s="114"/>
      <c r="AD1727" s="114"/>
      <c r="AE1727" s="114"/>
      <c r="AF1727" s="114"/>
      <c r="AG1727" s="114"/>
      <c r="AH1727" s="114"/>
      <c r="AI1727" s="114"/>
      <c r="AJ1727" s="114"/>
      <c r="AK1727" s="114"/>
      <c r="AL1727" s="114"/>
      <c r="AM1727" s="114"/>
      <c r="AN1727" s="114"/>
      <c r="AO1727" s="114"/>
      <c r="AP1727" s="114"/>
      <c r="AQ1727" s="114"/>
      <c r="AR1727" s="114"/>
      <c r="AS1727" s="114"/>
      <c r="AT1727" s="114"/>
      <c r="AU1727" s="114"/>
      <c r="AV1727" s="114"/>
      <c r="AW1727" s="114"/>
      <c r="AX1727" s="114"/>
      <c r="AY1727" s="114"/>
      <c r="AZ1727" s="114"/>
    </row>
    <row r="1728" spans="1:52">
      <c r="A1728" s="111"/>
      <c r="B1728" s="111"/>
      <c r="C1728" s="112"/>
      <c r="D1728" s="101"/>
      <c r="E1728" s="101"/>
      <c r="F1728" s="101"/>
      <c r="G1728" s="111"/>
      <c r="H1728" s="101"/>
      <c r="I1728" s="101"/>
      <c r="J1728" s="101"/>
      <c r="K1728" s="101"/>
      <c r="L1728" s="101"/>
      <c r="M1728" s="101"/>
      <c r="N1728" s="101"/>
      <c r="O1728" s="101"/>
      <c r="P1728" s="101"/>
      <c r="Q1728" s="101"/>
      <c r="R1728" s="101"/>
      <c r="S1728" s="101"/>
      <c r="T1728" s="101"/>
      <c r="U1728" s="101"/>
      <c r="V1728" s="101"/>
      <c r="W1728" s="101"/>
      <c r="X1728" s="101"/>
      <c r="Y1728" s="114"/>
      <c r="Z1728" s="114"/>
      <c r="AA1728" s="114"/>
      <c r="AB1728" s="114"/>
      <c r="AC1728" s="114"/>
      <c r="AD1728" s="114"/>
      <c r="AE1728" s="114"/>
      <c r="AF1728" s="114"/>
      <c r="AG1728" s="114"/>
      <c r="AH1728" s="114"/>
      <c r="AI1728" s="114"/>
      <c r="AJ1728" s="114"/>
      <c r="AK1728" s="114"/>
      <c r="AL1728" s="114"/>
      <c r="AM1728" s="114"/>
      <c r="AN1728" s="114"/>
      <c r="AO1728" s="114"/>
      <c r="AP1728" s="114"/>
      <c r="AQ1728" s="114"/>
      <c r="AR1728" s="114"/>
      <c r="AS1728" s="114"/>
      <c r="AT1728" s="114"/>
      <c r="AU1728" s="114"/>
      <c r="AV1728" s="114"/>
      <c r="AW1728" s="114"/>
      <c r="AX1728" s="114"/>
      <c r="AY1728" s="114"/>
      <c r="AZ1728" s="114"/>
    </row>
    <row r="1729" spans="1:52">
      <c r="A1729" s="111"/>
      <c r="B1729" s="111"/>
      <c r="C1729" s="112"/>
      <c r="D1729" s="101"/>
      <c r="E1729" s="101"/>
      <c r="F1729" s="101"/>
      <c r="G1729" s="111"/>
      <c r="H1729" s="101"/>
      <c r="I1729" s="101"/>
      <c r="J1729" s="101"/>
      <c r="K1729" s="101"/>
      <c r="L1729" s="101"/>
      <c r="M1729" s="101"/>
      <c r="N1729" s="101"/>
      <c r="O1729" s="101"/>
      <c r="P1729" s="101"/>
      <c r="Q1729" s="101"/>
      <c r="R1729" s="101"/>
      <c r="S1729" s="101"/>
      <c r="T1729" s="101"/>
      <c r="U1729" s="101"/>
      <c r="V1729" s="101"/>
      <c r="W1729" s="101"/>
      <c r="X1729" s="101"/>
      <c r="Y1729" s="114"/>
      <c r="Z1729" s="114"/>
      <c r="AA1729" s="114"/>
      <c r="AB1729" s="114"/>
      <c r="AC1729" s="114"/>
      <c r="AD1729" s="114"/>
      <c r="AE1729" s="114"/>
      <c r="AF1729" s="114"/>
      <c r="AG1729" s="114"/>
      <c r="AH1729" s="114"/>
      <c r="AI1729" s="114"/>
      <c r="AJ1729" s="114"/>
      <c r="AK1729" s="114"/>
      <c r="AL1729" s="114"/>
      <c r="AM1729" s="114"/>
      <c r="AN1729" s="114"/>
      <c r="AO1729" s="114"/>
      <c r="AP1729" s="114"/>
      <c r="AQ1729" s="114"/>
      <c r="AR1729" s="114"/>
      <c r="AS1729" s="114"/>
      <c r="AT1729" s="114"/>
      <c r="AU1729" s="114"/>
      <c r="AV1729" s="114"/>
      <c r="AW1729" s="114"/>
      <c r="AX1729" s="114"/>
      <c r="AY1729" s="114"/>
      <c r="AZ1729" s="114"/>
    </row>
    <row r="1730" spans="1:52">
      <c r="A1730" s="111"/>
      <c r="B1730" s="111"/>
      <c r="C1730" s="112"/>
      <c r="D1730" s="101"/>
      <c r="E1730" s="101"/>
      <c r="F1730" s="101"/>
      <c r="G1730" s="111"/>
      <c r="H1730" s="101"/>
      <c r="I1730" s="101"/>
      <c r="J1730" s="101"/>
      <c r="K1730" s="101"/>
      <c r="L1730" s="101"/>
      <c r="M1730" s="101"/>
      <c r="N1730" s="101"/>
      <c r="O1730" s="101"/>
      <c r="P1730" s="101"/>
      <c r="Q1730" s="101"/>
      <c r="R1730" s="101"/>
      <c r="S1730" s="101"/>
      <c r="T1730" s="101"/>
      <c r="U1730" s="101"/>
      <c r="V1730" s="101"/>
      <c r="W1730" s="101"/>
      <c r="X1730" s="101"/>
      <c r="Y1730" s="114"/>
      <c r="Z1730" s="114"/>
      <c r="AA1730" s="114"/>
      <c r="AB1730" s="114"/>
      <c r="AC1730" s="114"/>
      <c r="AD1730" s="114"/>
      <c r="AE1730" s="114"/>
      <c r="AF1730" s="114"/>
      <c r="AG1730" s="114"/>
      <c r="AH1730" s="114"/>
      <c r="AI1730" s="114"/>
      <c r="AJ1730" s="114"/>
      <c r="AK1730" s="114"/>
      <c r="AL1730" s="114"/>
      <c r="AM1730" s="114"/>
      <c r="AN1730" s="114"/>
      <c r="AO1730" s="114"/>
      <c r="AP1730" s="114"/>
      <c r="AQ1730" s="114"/>
      <c r="AR1730" s="114"/>
      <c r="AS1730" s="114"/>
      <c r="AT1730" s="114"/>
      <c r="AU1730" s="114"/>
      <c r="AV1730" s="114"/>
      <c r="AW1730" s="114"/>
      <c r="AX1730" s="114"/>
      <c r="AY1730" s="114"/>
      <c r="AZ1730" s="114"/>
    </row>
    <row r="1731" spans="1:52">
      <c r="A1731" s="111"/>
      <c r="B1731" s="111"/>
      <c r="C1731" s="112"/>
      <c r="D1731" s="101"/>
      <c r="E1731" s="101"/>
      <c r="F1731" s="101"/>
      <c r="G1731" s="111"/>
      <c r="H1731" s="101"/>
      <c r="I1731" s="101"/>
      <c r="J1731" s="101"/>
      <c r="K1731" s="101"/>
      <c r="L1731" s="101"/>
      <c r="M1731" s="101"/>
      <c r="N1731" s="101"/>
      <c r="O1731" s="101"/>
      <c r="P1731" s="101"/>
      <c r="Q1731" s="101"/>
      <c r="R1731" s="101"/>
      <c r="S1731" s="101"/>
      <c r="T1731" s="101"/>
      <c r="U1731" s="101"/>
      <c r="V1731" s="101"/>
      <c r="W1731" s="101"/>
      <c r="X1731" s="101"/>
      <c r="Y1731" s="114"/>
      <c r="Z1731" s="114"/>
      <c r="AA1731" s="114"/>
      <c r="AB1731" s="114"/>
      <c r="AC1731" s="114"/>
      <c r="AD1731" s="114"/>
      <c r="AE1731" s="114"/>
      <c r="AF1731" s="114"/>
      <c r="AG1731" s="114"/>
      <c r="AH1731" s="114"/>
      <c r="AI1731" s="114"/>
      <c r="AJ1731" s="114"/>
      <c r="AK1731" s="114"/>
      <c r="AL1731" s="114"/>
      <c r="AM1731" s="114"/>
      <c r="AN1731" s="114"/>
      <c r="AO1731" s="114"/>
      <c r="AP1731" s="114"/>
      <c r="AQ1731" s="114"/>
      <c r="AR1731" s="114"/>
      <c r="AS1731" s="114"/>
      <c r="AT1731" s="114"/>
      <c r="AU1731" s="114"/>
      <c r="AV1731" s="114"/>
      <c r="AW1731" s="114"/>
      <c r="AX1731" s="114"/>
      <c r="AY1731" s="114"/>
      <c r="AZ1731" s="114"/>
    </row>
    <row r="1732" spans="1:52">
      <c r="A1732" s="111"/>
      <c r="B1732" s="111"/>
      <c r="C1732" s="112"/>
      <c r="D1732" s="101"/>
      <c r="E1732" s="101"/>
      <c r="F1732" s="101"/>
      <c r="G1732" s="111"/>
      <c r="H1732" s="101"/>
      <c r="I1732" s="101"/>
      <c r="J1732" s="101"/>
      <c r="K1732" s="101"/>
      <c r="L1732" s="101"/>
      <c r="M1732" s="101"/>
      <c r="N1732" s="101"/>
      <c r="O1732" s="101"/>
      <c r="P1732" s="101"/>
      <c r="Q1732" s="101"/>
      <c r="R1732" s="101"/>
      <c r="S1732" s="101"/>
      <c r="T1732" s="101"/>
      <c r="U1732" s="101"/>
      <c r="V1732" s="101"/>
      <c r="W1732" s="101"/>
      <c r="X1732" s="101"/>
      <c r="Y1732" s="114"/>
      <c r="Z1732" s="114"/>
      <c r="AA1732" s="114"/>
      <c r="AB1732" s="114"/>
      <c r="AC1732" s="114"/>
      <c r="AD1732" s="114"/>
      <c r="AE1732" s="114"/>
      <c r="AF1732" s="114"/>
      <c r="AG1732" s="114"/>
      <c r="AH1732" s="114"/>
      <c r="AI1732" s="114"/>
      <c r="AJ1732" s="114"/>
      <c r="AK1732" s="114"/>
      <c r="AL1732" s="114"/>
      <c r="AM1732" s="114"/>
      <c r="AN1732" s="114"/>
      <c r="AO1732" s="114"/>
      <c r="AP1732" s="114"/>
      <c r="AQ1732" s="114"/>
      <c r="AR1732" s="114"/>
      <c r="AS1732" s="114"/>
      <c r="AT1732" s="114"/>
      <c r="AU1732" s="114"/>
      <c r="AV1732" s="114"/>
      <c r="AW1732" s="114"/>
      <c r="AX1732" s="114"/>
      <c r="AY1732" s="114"/>
      <c r="AZ1732" s="114"/>
    </row>
    <row r="1733" spans="1:52">
      <c r="A1733" s="111"/>
      <c r="B1733" s="111"/>
      <c r="C1733" s="112"/>
      <c r="D1733" s="101"/>
      <c r="E1733" s="101"/>
      <c r="F1733" s="101"/>
      <c r="G1733" s="111"/>
      <c r="H1733" s="101"/>
      <c r="I1733" s="101"/>
      <c r="J1733" s="101"/>
      <c r="K1733" s="101"/>
      <c r="L1733" s="101"/>
      <c r="M1733" s="101"/>
      <c r="N1733" s="101"/>
      <c r="O1733" s="101"/>
      <c r="P1733" s="101"/>
      <c r="Q1733" s="101"/>
      <c r="R1733" s="101"/>
      <c r="S1733" s="101"/>
      <c r="T1733" s="101"/>
      <c r="U1733" s="101"/>
      <c r="V1733" s="101"/>
      <c r="W1733" s="101"/>
      <c r="X1733" s="101"/>
      <c r="Y1733" s="114"/>
      <c r="Z1733" s="114"/>
      <c r="AA1733" s="114"/>
      <c r="AB1733" s="114"/>
      <c r="AC1733" s="114"/>
      <c r="AD1733" s="114"/>
      <c r="AE1733" s="114"/>
      <c r="AF1733" s="114"/>
      <c r="AG1733" s="114"/>
      <c r="AH1733" s="114"/>
      <c r="AI1733" s="114"/>
      <c r="AJ1733" s="114"/>
      <c r="AK1733" s="114"/>
      <c r="AL1733" s="114"/>
      <c r="AM1733" s="114"/>
      <c r="AN1733" s="114"/>
      <c r="AO1733" s="114"/>
      <c r="AP1733" s="114"/>
      <c r="AQ1733" s="114"/>
      <c r="AR1733" s="114"/>
      <c r="AS1733" s="114"/>
      <c r="AT1733" s="114"/>
      <c r="AU1733" s="114"/>
      <c r="AV1733" s="114"/>
      <c r="AW1733" s="114"/>
      <c r="AX1733" s="114"/>
      <c r="AY1733" s="114"/>
      <c r="AZ1733" s="114"/>
    </row>
    <row r="1734" spans="1:52">
      <c r="A1734" s="111"/>
      <c r="B1734" s="111"/>
      <c r="C1734" s="112"/>
      <c r="D1734" s="101"/>
      <c r="E1734" s="101"/>
      <c r="F1734" s="101"/>
      <c r="G1734" s="111"/>
      <c r="H1734" s="101"/>
      <c r="I1734" s="101"/>
      <c r="J1734" s="101"/>
      <c r="K1734" s="101"/>
      <c r="L1734" s="101"/>
      <c r="M1734" s="101"/>
      <c r="N1734" s="101"/>
      <c r="O1734" s="101"/>
      <c r="P1734" s="101"/>
      <c r="Q1734" s="101"/>
      <c r="R1734" s="101"/>
      <c r="S1734" s="101"/>
      <c r="T1734" s="101"/>
      <c r="U1734" s="101"/>
      <c r="V1734" s="101"/>
      <c r="W1734" s="101"/>
      <c r="X1734" s="101"/>
      <c r="Y1734" s="114"/>
      <c r="Z1734" s="114"/>
      <c r="AA1734" s="114"/>
      <c r="AB1734" s="114"/>
      <c r="AC1734" s="114"/>
      <c r="AD1734" s="114"/>
      <c r="AE1734" s="114"/>
      <c r="AF1734" s="114"/>
      <c r="AG1734" s="114"/>
      <c r="AH1734" s="114"/>
      <c r="AI1734" s="114"/>
      <c r="AJ1734" s="114"/>
      <c r="AK1734" s="114"/>
      <c r="AL1734" s="114"/>
      <c r="AM1734" s="114"/>
      <c r="AN1734" s="114"/>
      <c r="AO1734" s="114"/>
      <c r="AP1734" s="114"/>
      <c r="AQ1734" s="114"/>
      <c r="AR1734" s="114"/>
      <c r="AS1734" s="114"/>
      <c r="AT1734" s="114"/>
      <c r="AU1734" s="114"/>
      <c r="AV1734" s="114"/>
      <c r="AW1734" s="114"/>
      <c r="AX1734" s="114"/>
      <c r="AY1734" s="114"/>
      <c r="AZ1734" s="114"/>
    </row>
    <row r="1735" spans="1:52">
      <c r="A1735" s="111"/>
      <c r="B1735" s="111"/>
      <c r="C1735" s="112"/>
      <c r="D1735" s="101"/>
      <c r="E1735" s="101"/>
      <c r="F1735" s="101"/>
      <c r="G1735" s="111"/>
      <c r="H1735" s="101"/>
      <c r="I1735" s="101"/>
      <c r="J1735" s="101"/>
      <c r="K1735" s="101"/>
      <c r="L1735" s="101"/>
      <c r="M1735" s="101"/>
      <c r="N1735" s="101"/>
      <c r="O1735" s="101"/>
      <c r="P1735" s="101"/>
      <c r="Q1735" s="101"/>
      <c r="R1735" s="101"/>
      <c r="S1735" s="101"/>
      <c r="T1735" s="101"/>
      <c r="U1735" s="101"/>
      <c r="V1735" s="101"/>
      <c r="W1735" s="101"/>
      <c r="X1735" s="101"/>
      <c r="Y1735" s="114"/>
      <c r="Z1735" s="114"/>
      <c r="AA1735" s="114"/>
      <c r="AB1735" s="114"/>
      <c r="AC1735" s="114"/>
      <c r="AD1735" s="114"/>
      <c r="AE1735" s="114"/>
      <c r="AF1735" s="114"/>
      <c r="AG1735" s="114"/>
      <c r="AH1735" s="114"/>
      <c r="AI1735" s="114"/>
      <c r="AJ1735" s="114"/>
      <c r="AK1735" s="114"/>
      <c r="AL1735" s="114"/>
      <c r="AM1735" s="114"/>
      <c r="AN1735" s="114"/>
      <c r="AO1735" s="114"/>
      <c r="AP1735" s="114"/>
      <c r="AQ1735" s="114"/>
      <c r="AR1735" s="114"/>
      <c r="AS1735" s="114"/>
      <c r="AT1735" s="114"/>
      <c r="AU1735" s="114"/>
      <c r="AV1735" s="114"/>
      <c r="AW1735" s="114"/>
      <c r="AX1735" s="114"/>
      <c r="AY1735" s="114"/>
      <c r="AZ1735" s="114"/>
    </row>
    <row r="1736" spans="1:52">
      <c r="A1736" s="111"/>
      <c r="B1736" s="111"/>
      <c r="C1736" s="112"/>
      <c r="D1736" s="101"/>
      <c r="E1736" s="101"/>
      <c r="F1736" s="101"/>
      <c r="G1736" s="111"/>
      <c r="H1736" s="101"/>
      <c r="I1736" s="101"/>
      <c r="J1736" s="101"/>
      <c r="K1736" s="101"/>
      <c r="L1736" s="101"/>
      <c r="M1736" s="101"/>
      <c r="N1736" s="101"/>
      <c r="O1736" s="101"/>
      <c r="P1736" s="101"/>
      <c r="Q1736" s="101"/>
      <c r="R1736" s="101"/>
      <c r="S1736" s="101"/>
      <c r="T1736" s="101"/>
      <c r="U1736" s="101"/>
      <c r="V1736" s="101"/>
      <c r="W1736" s="101"/>
      <c r="X1736" s="101"/>
      <c r="Y1736" s="114"/>
      <c r="Z1736" s="114"/>
      <c r="AA1736" s="114"/>
      <c r="AB1736" s="114"/>
      <c r="AC1736" s="114"/>
      <c r="AD1736" s="114"/>
      <c r="AE1736" s="114"/>
      <c r="AF1736" s="114"/>
      <c r="AG1736" s="114"/>
      <c r="AH1736" s="114"/>
      <c r="AI1736" s="114"/>
      <c r="AJ1736" s="114"/>
      <c r="AK1736" s="114"/>
      <c r="AL1736" s="114"/>
      <c r="AM1736" s="114"/>
      <c r="AN1736" s="114"/>
      <c r="AO1736" s="114"/>
      <c r="AP1736" s="114"/>
      <c r="AQ1736" s="114"/>
      <c r="AR1736" s="114"/>
      <c r="AS1736" s="114"/>
      <c r="AT1736" s="114"/>
      <c r="AU1736" s="114"/>
      <c r="AV1736" s="114"/>
      <c r="AW1736" s="114"/>
      <c r="AX1736" s="114"/>
      <c r="AY1736" s="114"/>
      <c r="AZ1736" s="114"/>
    </row>
    <row r="1737" spans="1:52">
      <c r="A1737" s="111"/>
      <c r="B1737" s="111"/>
      <c r="C1737" s="112"/>
      <c r="D1737" s="101"/>
      <c r="E1737" s="101"/>
      <c r="F1737" s="101"/>
      <c r="G1737" s="111"/>
      <c r="H1737" s="101"/>
      <c r="I1737" s="101"/>
      <c r="J1737" s="101"/>
      <c r="K1737" s="101"/>
      <c r="L1737" s="101"/>
      <c r="M1737" s="101"/>
      <c r="N1737" s="101"/>
      <c r="O1737" s="101"/>
      <c r="P1737" s="101"/>
      <c r="Q1737" s="101"/>
      <c r="R1737" s="101"/>
      <c r="S1737" s="101"/>
      <c r="T1737" s="101"/>
      <c r="U1737" s="101"/>
      <c r="V1737" s="101"/>
      <c r="W1737" s="101"/>
      <c r="X1737" s="101"/>
      <c r="Y1737" s="114"/>
      <c r="Z1737" s="114"/>
      <c r="AA1737" s="114"/>
      <c r="AB1737" s="114"/>
      <c r="AC1737" s="114"/>
      <c r="AD1737" s="114"/>
      <c r="AE1737" s="114"/>
      <c r="AF1737" s="114"/>
      <c r="AG1737" s="114"/>
      <c r="AH1737" s="114"/>
      <c r="AI1737" s="114"/>
      <c r="AJ1737" s="114"/>
      <c r="AK1737" s="114"/>
      <c r="AL1737" s="114"/>
      <c r="AM1737" s="114"/>
      <c r="AN1737" s="114"/>
      <c r="AO1737" s="114"/>
      <c r="AP1737" s="114"/>
      <c r="AQ1737" s="114"/>
      <c r="AR1737" s="114"/>
      <c r="AS1737" s="114"/>
      <c r="AT1737" s="114"/>
      <c r="AU1737" s="114"/>
      <c r="AV1737" s="114"/>
      <c r="AW1737" s="114"/>
      <c r="AX1737" s="114"/>
      <c r="AY1737" s="114"/>
      <c r="AZ1737" s="114"/>
    </row>
    <row r="1738" spans="1:52">
      <c r="A1738" s="111"/>
      <c r="B1738" s="111"/>
      <c r="C1738" s="112"/>
      <c r="D1738" s="101"/>
      <c r="E1738" s="101"/>
      <c r="F1738" s="101"/>
      <c r="G1738" s="111"/>
      <c r="H1738" s="101"/>
      <c r="I1738" s="101"/>
      <c r="J1738" s="101"/>
      <c r="K1738" s="101"/>
      <c r="L1738" s="101"/>
      <c r="M1738" s="101"/>
      <c r="N1738" s="101"/>
      <c r="O1738" s="101"/>
      <c r="P1738" s="101"/>
      <c r="Q1738" s="101"/>
      <c r="R1738" s="101"/>
      <c r="S1738" s="101"/>
      <c r="T1738" s="101"/>
      <c r="U1738" s="101"/>
      <c r="V1738" s="101"/>
      <c r="W1738" s="101"/>
      <c r="X1738" s="101"/>
      <c r="Y1738" s="114"/>
      <c r="Z1738" s="114"/>
      <c r="AA1738" s="114"/>
      <c r="AB1738" s="114"/>
      <c r="AC1738" s="114"/>
      <c r="AD1738" s="114"/>
      <c r="AE1738" s="114"/>
      <c r="AF1738" s="114"/>
      <c r="AG1738" s="114"/>
      <c r="AH1738" s="114"/>
      <c r="AI1738" s="114"/>
      <c r="AJ1738" s="114"/>
      <c r="AK1738" s="114"/>
      <c r="AL1738" s="114"/>
      <c r="AM1738" s="114"/>
      <c r="AN1738" s="114"/>
      <c r="AO1738" s="114"/>
      <c r="AP1738" s="114"/>
      <c r="AQ1738" s="114"/>
      <c r="AR1738" s="114"/>
      <c r="AS1738" s="114"/>
      <c r="AT1738" s="114"/>
      <c r="AU1738" s="114"/>
      <c r="AV1738" s="114"/>
      <c r="AW1738" s="114"/>
      <c r="AX1738" s="114"/>
      <c r="AY1738" s="114"/>
      <c r="AZ1738" s="114"/>
    </row>
    <row r="1739" spans="1:52">
      <c r="A1739" s="111"/>
      <c r="B1739" s="111"/>
      <c r="C1739" s="112"/>
      <c r="D1739" s="101"/>
      <c r="E1739" s="101"/>
      <c r="F1739" s="101"/>
      <c r="G1739" s="111"/>
      <c r="H1739" s="101"/>
      <c r="I1739" s="101"/>
      <c r="J1739" s="101"/>
      <c r="K1739" s="101"/>
      <c r="L1739" s="101"/>
      <c r="M1739" s="101"/>
      <c r="N1739" s="101"/>
      <c r="O1739" s="101"/>
      <c r="P1739" s="101"/>
      <c r="Q1739" s="101"/>
      <c r="R1739" s="101"/>
      <c r="S1739" s="101"/>
      <c r="T1739" s="101"/>
      <c r="U1739" s="101"/>
      <c r="V1739" s="101"/>
      <c r="W1739" s="101"/>
      <c r="X1739" s="101"/>
      <c r="Y1739" s="114"/>
      <c r="Z1739" s="114"/>
      <c r="AA1739" s="114"/>
      <c r="AB1739" s="114"/>
      <c r="AC1739" s="114"/>
      <c r="AD1739" s="114"/>
      <c r="AE1739" s="114"/>
      <c r="AF1739" s="114"/>
      <c r="AG1739" s="114"/>
      <c r="AH1739" s="114"/>
      <c r="AI1739" s="114"/>
      <c r="AJ1739" s="114"/>
      <c r="AK1739" s="114"/>
      <c r="AL1739" s="114"/>
      <c r="AM1739" s="114"/>
      <c r="AN1739" s="114"/>
      <c r="AO1739" s="114"/>
      <c r="AP1739" s="114"/>
      <c r="AQ1739" s="114"/>
      <c r="AR1739" s="114"/>
      <c r="AS1739" s="114"/>
      <c r="AT1739" s="114"/>
      <c r="AU1739" s="114"/>
      <c r="AV1739" s="114"/>
      <c r="AW1739" s="114"/>
      <c r="AX1739" s="114"/>
      <c r="AY1739" s="114"/>
      <c r="AZ1739" s="114"/>
    </row>
    <row r="1740" spans="1:52">
      <c r="A1740" s="111"/>
      <c r="B1740" s="111"/>
      <c r="C1740" s="112"/>
      <c r="D1740" s="101"/>
      <c r="E1740" s="101"/>
      <c r="F1740" s="101"/>
      <c r="G1740" s="111"/>
      <c r="H1740" s="101"/>
      <c r="I1740" s="101"/>
      <c r="J1740" s="101"/>
      <c r="K1740" s="101"/>
      <c r="L1740" s="101"/>
      <c r="M1740" s="101"/>
      <c r="N1740" s="101"/>
      <c r="O1740" s="101"/>
      <c r="P1740" s="101"/>
      <c r="Q1740" s="101"/>
      <c r="R1740" s="101"/>
      <c r="S1740" s="101"/>
      <c r="T1740" s="101"/>
      <c r="U1740" s="101"/>
      <c r="V1740" s="101"/>
      <c r="W1740" s="101"/>
      <c r="X1740" s="101"/>
      <c r="Y1740" s="114"/>
      <c r="Z1740" s="114"/>
      <c r="AA1740" s="114"/>
      <c r="AB1740" s="114"/>
      <c r="AC1740" s="114"/>
      <c r="AD1740" s="114"/>
      <c r="AE1740" s="114"/>
      <c r="AF1740" s="114"/>
      <c r="AG1740" s="114"/>
      <c r="AH1740" s="114"/>
      <c r="AI1740" s="114"/>
      <c r="AJ1740" s="114"/>
      <c r="AK1740" s="114"/>
      <c r="AL1740" s="114"/>
      <c r="AM1740" s="114"/>
      <c r="AN1740" s="114"/>
      <c r="AO1740" s="114"/>
      <c r="AP1740" s="114"/>
      <c r="AQ1740" s="114"/>
      <c r="AR1740" s="114"/>
      <c r="AS1740" s="114"/>
      <c r="AT1740" s="114"/>
      <c r="AU1740" s="114"/>
      <c r="AV1740" s="114"/>
      <c r="AW1740" s="114"/>
      <c r="AX1740" s="114"/>
      <c r="AY1740" s="114"/>
      <c r="AZ1740" s="114"/>
    </row>
    <row r="1741" spans="1:52">
      <c r="A1741" s="111"/>
      <c r="B1741" s="111"/>
      <c r="C1741" s="112"/>
      <c r="D1741" s="101"/>
      <c r="E1741" s="101"/>
      <c r="F1741" s="101"/>
      <c r="G1741" s="111"/>
      <c r="H1741" s="101"/>
      <c r="I1741" s="101"/>
      <c r="J1741" s="101"/>
      <c r="K1741" s="101"/>
      <c r="L1741" s="101"/>
      <c r="M1741" s="101"/>
      <c r="N1741" s="101"/>
      <c r="O1741" s="101"/>
      <c r="P1741" s="101"/>
      <c r="Q1741" s="101"/>
      <c r="R1741" s="101"/>
      <c r="S1741" s="101"/>
      <c r="T1741" s="101"/>
      <c r="U1741" s="101"/>
      <c r="V1741" s="101"/>
      <c r="W1741" s="101"/>
      <c r="X1741" s="101"/>
      <c r="Y1741" s="114"/>
      <c r="Z1741" s="114"/>
      <c r="AA1741" s="114"/>
      <c r="AB1741" s="114"/>
      <c r="AC1741" s="114"/>
      <c r="AD1741" s="114"/>
      <c r="AE1741" s="114"/>
      <c r="AF1741" s="114"/>
      <c r="AG1741" s="114"/>
      <c r="AH1741" s="114"/>
      <c r="AI1741" s="114"/>
      <c r="AJ1741" s="114"/>
      <c r="AK1741" s="114"/>
      <c r="AL1741" s="114"/>
      <c r="AM1741" s="114"/>
      <c r="AN1741" s="114"/>
      <c r="AO1741" s="114"/>
      <c r="AP1741" s="114"/>
      <c r="AQ1741" s="114"/>
      <c r="AR1741" s="114"/>
      <c r="AS1741" s="114"/>
      <c r="AT1741" s="114"/>
      <c r="AU1741" s="114"/>
      <c r="AV1741" s="114"/>
      <c r="AW1741" s="114"/>
      <c r="AX1741" s="114"/>
      <c r="AY1741" s="114"/>
      <c r="AZ1741" s="114"/>
    </row>
    <row r="1742" spans="1:52">
      <c r="A1742" s="111"/>
      <c r="B1742" s="111"/>
      <c r="C1742" s="112"/>
      <c r="D1742" s="101"/>
      <c r="E1742" s="101"/>
      <c r="F1742" s="101"/>
      <c r="G1742" s="111"/>
      <c r="H1742" s="101"/>
      <c r="I1742" s="101"/>
      <c r="J1742" s="101"/>
      <c r="K1742" s="101"/>
      <c r="L1742" s="101"/>
      <c r="M1742" s="101"/>
      <c r="N1742" s="101"/>
      <c r="O1742" s="101"/>
      <c r="P1742" s="101"/>
      <c r="Q1742" s="101"/>
      <c r="R1742" s="101"/>
      <c r="S1742" s="101"/>
      <c r="T1742" s="101"/>
      <c r="U1742" s="101"/>
      <c r="V1742" s="101"/>
      <c r="W1742" s="101"/>
      <c r="X1742" s="101"/>
      <c r="Y1742" s="114"/>
      <c r="Z1742" s="114"/>
      <c r="AA1742" s="114"/>
      <c r="AB1742" s="114"/>
      <c r="AC1742" s="114"/>
      <c r="AD1742" s="114"/>
      <c r="AE1742" s="114"/>
      <c r="AF1742" s="114"/>
      <c r="AG1742" s="114"/>
      <c r="AH1742" s="114"/>
      <c r="AI1742" s="114"/>
      <c r="AJ1742" s="114"/>
      <c r="AK1742" s="114"/>
      <c r="AL1742" s="114"/>
      <c r="AM1742" s="114"/>
      <c r="AN1742" s="114"/>
      <c r="AO1742" s="114"/>
      <c r="AP1742" s="114"/>
      <c r="AQ1742" s="114"/>
      <c r="AR1742" s="114"/>
      <c r="AS1742" s="114"/>
      <c r="AT1742" s="114"/>
      <c r="AU1742" s="114"/>
      <c r="AV1742" s="114"/>
      <c r="AW1742" s="114"/>
      <c r="AX1742" s="114"/>
      <c r="AY1742" s="114"/>
      <c r="AZ1742" s="114"/>
    </row>
    <row r="1743" spans="1:52">
      <c r="A1743" s="111"/>
      <c r="B1743" s="111"/>
      <c r="C1743" s="112"/>
      <c r="D1743" s="101"/>
      <c r="E1743" s="101"/>
      <c r="F1743" s="101"/>
      <c r="G1743" s="111"/>
      <c r="H1743" s="101"/>
      <c r="I1743" s="101"/>
      <c r="J1743" s="101"/>
      <c r="K1743" s="101"/>
      <c r="L1743" s="101"/>
      <c r="M1743" s="101"/>
      <c r="N1743" s="101"/>
      <c r="O1743" s="101"/>
      <c r="P1743" s="101"/>
      <c r="Q1743" s="101"/>
      <c r="R1743" s="101"/>
      <c r="S1743" s="101"/>
      <c r="T1743" s="101"/>
      <c r="U1743" s="101"/>
      <c r="V1743" s="101"/>
      <c r="W1743" s="101"/>
      <c r="X1743" s="101"/>
      <c r="Y1743" s="114"/>
      <c r="Z1743" s="114"/>
      <c r="AA1743" s="114"/>
      <c r="AB1743" s="114"/>
      <c r="AC1743" s="114"/>
      <c r="AD1743" s="114"/>
      <c r="AE1743" s="114"/>
      <c r="AF1743" s="114"/>
      <c r="AG1743" s="114"/>
      <c r="AH1743" s="114"/>
      <c r="AI1743" s="114"/>
      <c r="AJ1743" s="114"/>
      <c r="AK1743" s="114"/>
      <c r="AL1743" s="114"/>
      <c r="AM1743" s="114"/>
      <c r="AN1743" s="114"/>
      <c r="AO1743" s="114"/>
      <c r="AP1743" s="114"/>
      <c r="AQ1743" s="114"/>
      <c r="AR1743" s="114"/>
      <c r="AS1743" s="114"/>
      <c r="AT1743" s="114"/>
      <c r="AU1743" s="114"/>
      <c r="AV1743" s="114"/>
      <c r="AW1743" s="114"/>
      <c r="AX1743" s="114"/>
      <c r="AY1743" s="114"/>
      <c r="AZ1743" s="114"/>
    </row>
    <row r="1744" spans="1:52">
      <c r="A1744" s="111"/>
      <c r="B1744" s="111"/>
      <c r="C1744" s="112"/>
      <c r="D1744" s="101"/>
      <c r="E1744" s="101"/>
      <c r="F1744" s="101"/>
      <c r="G1744" s="111"/>
      <c r="H1744" s="101"/>
      <c r="I1744" s="101"/>
      <c r="J1744" s="101"/>
      <c r="K1744" s="101"/>
      <c r="L1744" s="101"/>
      <c r="M1744" s="101"/>
      <c r="N1744" s="101"/>
      <c r="O1744" s="101"/>
      <c r="P1744" s="101"/>
      <c r="Q1744" s="101"/>
      <c r="R1744" s="101"/>
      <c r="S1744" s="101"/>
      <c r="T1744" s="101"/>
      <c r="U1744" s="101"/>
      <c r="V1744" s="101"/>
      <c r="W1744" s="101"/>
      <c r="X1744" s="101"/>
      <c r="Y1744" s="114"/>
      <c r="Z1744" s="114"/>
      <c r="AA1744" s="114"/>
      <c r="AB1744" s="114"/>
      <c r="AC1744" s="114"/>
      <c r="AD1744" s="114"/>
      <c r="AE1744" s="114"/>
      <c r="AF1744" s="114"/>
      <c r="AG1744" s="114"/>
      <c r="AH1744" s="114"/>
      <c r="AI1744" s="114"/>
      <c r="AJ1744" s="114"/>
      <c r="AK1744" s="114"/>
      <c r="AL1744" s="114"/>
      <c r="AM1744" s="114"/>
      <c r="AN1744" s="114"/>
      <c r="AO1744" s="114"/>
      <c r="AP1744" s="114"/>
      <c r="AQ1744" s="114"/>
      <c r="AR1744" s="114"/>
      <c r="AS1744" s="114"/>
      <c r="AT1744" s="114"/>
      <c r="AU1744" s="114"/>
      <c r="AV1744" s="114"/>
      <c r="AW1744" s="114"/>
      <c r="AX1744" s="114"/>
      <c r="AY1744" s="114"/>
      <c r="AZ1744" s="114"/>
    </row>
    <row r="1745" spans="1:52">
      <c r="A1745" s="111"/>
      <c r="B1745" s="111"/>
      <c r="C1745" s="112"/>
      <c r="D1745" s="101"/>
      <c r="E1745" s="101"/>
      <c r="F1745" s="101"/>
      <c r="G1745" s="111"/>
      <c r="H1745" s="101"/>
      <c r="I1745" s="101"/>
      <c r="J1745" s="101"/>
      <c r="K1745" s="101"/>
      <c r="L1745" s="101"/>
      <c r="M1745" s="101"/>
      <c r="N1745" s="101"/>
      <c r="O1745" s="101"/>
      <c r="P1745" s="101"/>
      <c r="Q1745" s="101"/>
      <c r="R1745" s="101"/>
      <c r="S1745" s="101"/>
      <c r="T1745" s="101"/>
      <c r="U1745" s="101"/>
      <c r="V1745" s="101"/>
      <c r="W1745" s="101"/>
      <c r="X1745" s="101"/>
      <c r="Y1745" s="114"/>
      <c r="Z1745" s="114"/>
      <c r="AA1745" s="114"/>
      <c r="AB1745" s="114"/>
      <c r="AC1745" s="114"/>
      <c r="AD1745" s="114"/>
      <c r="AE1745" s="114"/>
      <c r="AF1745" s="114"/>
      <c r="AG1745" s="114"/>
      <c r="AH1745" s="114"/>
      <c r="AI1745" s="114"/>
      <c r="AJ1745" s="114"/>
      <c r="AK1745" s="114"/>
      <c r="AL1745" s="114"/>
      <c r="AM1745" s="114"/>
      <c r="AN1745" s="114"/>
      <c r="AO1745" s="114"/>
      <c r="AP1745" s="114"/>
      <c r="AQ1745" s="114"/>
      <c r="AR1745" s="114"/>
      <c r="AS1745" s="114"/>
      <c r="AT1745" s="114"/>
      <c r="AU1745" s="114"/>
      <c r="AV1745" s="114"/>
      <c r="AW1745" s="114"/>
      <c r="AX1745" s="114"/>
      <c r="AY1745" s="114"/>
      <c r="AZ1745" s="114"/>
    </row>
    <row r="1746" spans="1:52">
      <c r="A1746" s="111"/>
      <c r="B1746" s="111"/>
      <c r="C1746" s="112"/>
      <c r="D1746" s="101"/>
      <c r="E1746" s="101"/>
      <c r="F1746" s="101"/>
      <c r="G1746" s="111"/>
      <c r="H1746" s="101"/>
      <c r="I1746" s="101"/>
      <c r="J1746" s="101"/>
      <c r="K1746" s="101"/>
      <c r="L1746" s="101"/>
      <c r="M1746" s="101"/>
      <c r="N1746" s="101"/>
      <c r="O1746" s="101"/>
      <c r="P1746" s="101"/>
      <c r="Q1746" s="101"/>
      <c r="R1746" s="101"/>
      <c r="S1746" s="101"/>
      <c r="T1746" s="101"/>
      <c r="U1746" s="101"/>
      <c r="V1746" s="101"/>
      <c r="W1746" s="101"/>
      <c r="X1746" s="101"/>
      <c r="Y1746" s="114"/>
      <c r="Z1746" s="114"/>
      <c r="AA1746" s="114"/>
      <c r="AB1746" s="114"/>
      <c r="AC1746" s="114"/>
      <c r="AD1746" s="114"/>
      <c r="AE1746" s="114"/>
      <c r="AF1746" s="114"/>
      <c r="AG1746" s="114"/>
      <c r="AH1746" s="114"/>
      <c r="AI1746" s="114"/>
      <c r="AJ1746" s="114"/>
      <c r="AK1746" s="114"/>
      <c r="AL1746" s="114"/>
      <c r="AM1746" s="114"/>
      <c r="AN1746" s="114"/>
      <c r="AO1746" s="114"/>
      <c r="AP1746" s="114"/>
      <c r="AQ1746" s="114"/>
      <c r="AR1746" s="114"/>
      <c r="AS1746" s="114"/>
      <c r="AT1746" s="114"/>
      <c r="AU1746" s="114"/>
      <c r="AV1746" s="114"/>
      <c r="AW1746" s="114"/>
      <c r="AX1746" s="114"/>
      <c r="AY1746" s="114"/>
      <c r="AZ1746" s="114"/>
    </row>
    <row r="1747" spans="1:52">
      <c r="A1747" s="111"/>
      <c r="B1747" s="111"/>
      <c r="C1747" s="112"/>
      <c r="D1747" s="101"/>
      <c r="E1747" s="101"/>
      <c r="F1747" s="101"/>
      <c r="G1747" s="111"/>
      <c r="H1747" s="101"/>
      <c r="I1747" s="101"/>
      <c r="J1747" s="101"/>
      <c r="K1747" s="101"/>
      <c r="L1747" s="101"/>
      <c r="M1747" s="101"/>
      <c r="N1747" s="101"/>
      <c r="O1747" s="101"/>
      <c r="P1747" s="101"/>
      <c r="Q1747" s="101"/>
      <c r="R1747" s="101"/>
      <c r="S1747" s="101"/>
      <c r="T1747" s="101"/>
      <c r="U1747" s="101"/>
      <c r="V1747" s="101"/>
      <c r="W1747" s="101"/>
      <c r="X1747" s="101"/>
      <c r="Y1747" s="114"/>
      <c r="Z1747" s="114"/>
      <c r="AA1747" s="114"/>
      <c r="AB1747" s="114"/>
      <c r="AC1747" s="114"/>
      <c r="AD1747" s="114"/>
      <c r="AE1747" s="114"/>
      <c r="AF1747" s="114"/>
      <c r="AG1747" s="114"/>
      <c r="AH1747" s="114"/>
      <c r="AI1747" s="114"/>
      <c r="AJ1747" s="114"/>
      <c r="AK1747" s="114"/>
      <c r="AL1747" s="114"/>
      <c r="AM1747" s="114"/>
      <c r="AN1747" s="114"/>
      <c r="AO1747" s="114"/>
      <c r="AP1747" s="114"/>
      <c r="AQ1747" s="114"/>
      <c r="AR1747" s="114"/>
      <c r="AS1747" s="114"/>
      <c r="AT1747" s="114"/>
      <c r="AU1747" s="114"/>
      <c r="AV1747" s="114"/>
      <c r="AW1747" s="114"/>
      <c r="AX1747" s="114"/>
      <c r="AY1747" s="114"/>
      <c r="AZ1747" s="114"/>
    </row>
    <row r="1748" spans="1:52">
      <c r="A1748" s="111"/>
      <c r="B1748" s="111"/>
      <c r="C1748" s="112"/>
      <c r="D1748" s="101"/>
      <c r="E1748" s="101"/>
      <c r="F1748" s="101"/>
      <c r="G1748" s="111"/>
      <c r="H1748" s="101"/>
      <c r="I1748" s="101"/>
      <c r="J1748" s="101"/>
      <c r="K1748" s="101"/>
      <c r="L1748" s="101"/>
      <c r="M1748" s="101"/>
      <c r="N1748" s="101"/>
      <c r="O1748" s="101"/>
      <c r="P1748" s="101"/>
      <c r="Q1748" s="101"/>
      <c r="R1748" s="101"/>
      <c r="S1748" s="101"/>
      <c r="T1748" s="101"/>
      <c r="U1748" s="101"/>
      <c r="V1748" s="101"/>
      <c r="W1748" s="101"/>
      <c r="X1748" s="101"/>
      <c r="Y1748" s="114"/>
      <c r="Z1748" s="114"/>
      <c r="AA1748" s="114"/>
      <c r="AB1748" s="114"/>
      <c r="AC1748" s="114"/>
      <c r="AD1748" s="114"/>
      <c r="AE1748" s="114"/>
      <c r="AF1748" s="114"/>
      <c r="AG1748" s="114"/>
      <c r="AH1748" s="114"/>
      <c r="AI1748" s="114"/>
      <c r="AJ1748" s="114"/>
      <c r="AK1748" s="114"/>
      <c r="AL1748" s="114"/>
      <c r="AM1748" s="114"/>
      <c r="AN1748" s="114"/>
      <c r="AO1748" s="114"/>
      <c r="AP1748" s="114"/>
      <c r="AQ1748" s="114"/>
      <c r="AR1748" s="114"/>
      <c r="AS1748" s="114"/>
      <c r="AT1748" s="114"/>
      <c r="AU1748" s="114"/>
      <c r="AV1748" s="114"/>
      <c r="AW1748" s="114"/>
      <c r="AX1748" s="114"/>
      <c r="AY1748" s="114"/>
      <c r="AZ1748" s="114"/>
    </row>
    <row r="1749" spans="1:52">
      <c r="A1749" s="111"/>
      <c r="B1749" s="111"/>
      <c r="C1749" s="112"/>
      <c r="D1749" s="101"/>
      <c r="E1749" s="101"/>
      <c r="F1749" s="101"/>
      <c r="G1749" s="111"/>
      <c r="H1749" s="101"/>
      <c r="I1749" s="101"/>
      <c r="J1749" s="101"/>
      <c r="K1749" s="101"/>
      <c r="L1749" s="101"/>
      <c r="M1749" s="101"/>
      <c r="N1749" s="101"/>
      <c r="O1749" s="101"/>
      <c r="P1749" s="101"/>
      <c r="Q1749" s="101"/>
      <c r="R1749" s="101"/>
      <c r="S1749" s="101"/>
      <c r="T1749" s="101"/>
      <c r="U1749" s="101"/>
      <c r="V1749" s="101"/>
      <c r="W1749" s="101"/>
      <c r="X1749" s="101"/>
      <c r="Y1749" s="114"/>
      <c r="Z1749" s="114"/>
      <c r="AA1749" s="114"/>
      <c r="AB1749" s="114"/>
      <c r="AC1749" s="114"/>
      <c r="AD1749" s="114"/>
      <c r="AE1749" s="114"/>
      <c r="AF1749" s="114"/>
      <c r="AG1749" s="114"/>
      <c r="AH1749" s="114"/>
      <c r="AI1749" s="114"/>
      <c r="AJ1749" s="114"/>
      <c r="AK1749" s="114"/>
      <c r="AL1749" s="114"/>
      <c r="AM1749" s="114"/>
      <c r="AN1749" s="114"/>
      <c r="AO1749" s="114"/>
      <c r="AP1749" s="114"/>
      <c r="AQ1749" s="114"/>
      <c r="AR1749" s="114"/>
      <c r="AS1749" s="114"/>
      <c r="AT1749" s="114"/>
      <c r="AU1749" s="114"/>
      <c r="AV1749" s="114"/>
      <c r="AW1749" s="114"/>
      <c r="AX1749" s="114"/>
      <c r="AY1749" s="114"/>
      <c r="AZ1749" s="114"/>
    </row>
    <row r="1750" spans="1:52">
      <c r="A1750" s="111"/>
      <c r="B1750" s="111"/>
      <c r="C1750" s="112"/>
      <c r="D1750" s="101"/>
      <c r="E1750" s="101"/>
      <c r="F1750" s="101"/>
      <c r="G1750" s="111"/>
      <c r="H1750" s="101"/>
      <c r="I1750" s="101"/>
      <c r="J1750" s="101"/>
      <c r="K1750" s="101"/>
      <c r="L1750" s="101"/>
      <c r="M1750" s="101"/>
      <c r="N1750" s="101"/>
      <c r="O1750" s="101"/>
      <c r="P1750" s="101"/>
      <c r="Q1750" s="101"/>
      <c r="R1750" s="101"/>
      <c r="S1750" s="101"/>
      <c r="T1750" s="101"/>
      <c r="U1750" s="101"/>
      <c r="V1750" s="101"/>
      <c r="W1750" s="101"/>
      <c r="X1750" s="101"/>
      <c r="Y1750" s="114"/>
      <c r="Z1750" s="114"/>
      <c r="AA1750" s="114"/>
      <c r="AB1750" s="114"/>
      <c r="AC1750" s="114"/>
      <c r="AD1750" s="114"/>
      <c r="AE1750" s="114"/>
      <c r="AF1750" s="114"/>
      <c r="AG1750" s="114"/>
      <c r="AH1750" s="114"/>
      <c r="AI1750" s="114"/>
      <c r="AJ1750" s="114"/>
      <c r="AK1750" s="114"/>
      <c r="AL1750" s="114"/>
      <c r="AM1750" s="114"/>
      <c r="AN1750" s="114"/>
      <c r="AO1750" s="114"/>
      <c r="AP1750" s="114"/>
      <c r="AQ1750" s="114"/>
      <c r="AR1750" s="114"/>
      <c r="AS1750" s="114"/>
      <c r="AT1750" s="114"/>
      <c r="AU1750" s="114"/>
      <c r="AV1750" s="114"/>
      <c r="AW1750" s="114"/>
      <c r="AX1750" s="114"/>
      <c r="AY1750" s="114"/>
      <c r="AZ1750" s="114"/>
    </row>
    <row r="1751" spans="1:52">
      <c r="A1751" s="111"/>
      <c r="B1751" s="111"/>
      <c r="C1751" s="112"/>
      <c r="D1751" s="101"/>
      <c r="E1751" s="101"/>
      <c r="F1751" s="101"/>
      <c r="G1751" s="111"/>
      <c r="H1751" s="101"/>
      <c r="I1751" s="101"/>
      <c r="J1751" s="101"/>
      <c r="K1751" s="101"/>
      <c r="L1751" s="101"/>
      <c r="M1751" s="101"/>
      <c r="N1751" s="101"/>
      <c r="O1751" s="101"/>
      <c r="P1751" s="101"/>
      <c r="Q1751" s="101"/>
      <c r="R1751" s="101"/>
      <c r="S1751" s="101"/>
      <c r="T1751" s="101"/>
      <c r="U1751" s="101"/>
      <c r="V1751" s="101"/>
      <c r="W1751" s="101"/>
      <c r="X1751" s="101"/>
      <c r="Y1751" s="114"/>
      <c r="Z1751" s="114"/>
      <c r="AA1751" s="114"/>
      <c r="AB1751" s="114"/>
      <c r="AC1751" s="114"/>
      <c r="AD1751" s="114"/>
      <c r="AE1751" s="114"/>
      <c r="AF1751" s="114"/>
      <c r="AG1751" s="114"/>
      <c r="AH1751" s="114"/>
      <c r="AI1751" s="114"/>
      <c r="AJ1751" s="114"/>
      <c r="AK1751" s="114"/>
      <c r="AL1751" s="114"/>
      <c r="AM1751" s="114"/>
      <c r="AN1751" s="114"/>
      <c r="AO1751" s="114"/>
      <c r="AP1751" s="114"/>
      <c r="AQ1751" s="114"/>
      <c r="AR1751" s="114"/>
      <c r="AS1751" s="114"/>
      <c r="AT1751" s="114"/>
      <c r="AU1751" s="114"/>
      <c r="AV1751" s="114"/>
      <c r="AW1751" s="114"/>
      <c r="AX1751" s="114"/>
      <c r="AY1751" s="114"/>
      <c r="AZ1751" s="114"/>
    </row>
    <row r="1752" spans="1:52">
      <c r="A1752" s="111"/>
      <c r="B1752" s="111"/>
      <c r="C1752" s="112"/>
      <c r="D1752" s="101"/>
      <c r="E1752" s="101"/>
      <c r="F1752" s="101"/>
      <c r="G1752" s="111"/>
      <c r="H1752" s="101"/>
      <c r="I1752" s="101"/>
      <c r="J1752" s="101"/>
      <c r="K1752" s="101"/>
      <c r="L1752" s="101"/>
      <c r="M1752" s="101"/>
      <c r="N1752" s="101"/>
      <c r="O1752" s="101"/>
      <c r="P1752" s="101"/>
      <c r="Q1752" s="101"/>
      <c r="R1752" s="101"/>
      <c r="S1752" s="101"/>
      <c r="T1752" s="101"/>
      <c r="U1752" s="101"/>
      <c r="V1752" s="101"/>
      <c r="W1752" s="101"/>
      <c r="X1752" s="101"/>
      <c r="Y1752" s="114"/>
      <c r="Z1752" s="114"/>
      <c r="AA1752" s="114"/>
      <c r="AB1752" s="114"/>
      <c r="AC1752" s="114"/>
      <c r="AD1752" s="114"/>
      <c r="AE1752" s="114"/>
      <c r="AF1752" s="114"/>
      <c r="AG1752" s="114"/>
      <c r="AH1752" s="114"/>
      <c r="AI1752" s="114"/>
      <c r="AJ1752" s="114"/>
      <c r="AK1752" s="114"/>
      <c r="AL1752" s="114"/>
      <c r="AM1752" s="114"/>
      <c r="AN1752" s="114"/>
      <c r="AO1752" s="114"/>
      <c r="AP1752" s="114"/>
      <c r="AQ1752" s="114"/>
      <c r="AR1752" s="114"/>
      <c r="AS1752" s="114"/>
      <c r="AT1752" s="114"/>
      <c r="AU1752" s="114"/>
      <c r="AV1752" s="114"/>
      <c r="AW1752" s="114"/>
      <c r="AX1752" s="114"/>
      <c r="AY1752" s="114"/>
      <c r="AZ1752" s="114"/>
    </row>
    <row r="1753" spans="1:52">
      <c r="A1753" s="111"/>
      <c r="B1753" s="111"/>
      <c r="C1753" s="112"/>
      <c r="D1753" s="101"/>
      <c r="E1753" s="101"/>
      <c r="F1753" s="101"/>
      <c r="G1753" s="111"/>
      <c r="H1753" s="101"/>
      <c r="I1753" s="101"/>
      <c r="J1753" s="101"/>
      <c r="K1753" s="101"/>
      <c r="L1753" s="101"/>
      <c r="M1753" s="101"/>
      <c r="N1753" s="101"/>
      <c r="O1753" s="101"/>
      <c r="P1753" s="101"/>
      <c r="Q1753" s="101"/>
      <c r="R1753" s="101"/>
      <c r="S1753" s="101"/>
      <c r="T1753" s="101"/>
      <c r="U1753" s="101"/>
      <c r="V1753" s="101"/>
      <c r="W1753" s="101"/>
      <c r="X1753" s="101"/>
      <c r="Y1753" s="114"/>
      <c r="Z1753" s="114"/>
      <c r="AA1753" s="114"/>
      <c r="AB1753" s="114"/>
      <c r="AC1753" s="114"/>
      <c r="AD1753" s="114"/>
      <c r="AE1753" s="114"/>
      <c r="AF1753" s="114"/>
      <c r="AG1753" s="114"/>
      <c r="AH1753" s="114"/>
      <c r="AI1753" s="114"/>
      <c r="AJ1753" s="114"/>
      <c r="AK1753" s="114"/>
      <c r="AL1753" s="114"/>
      <c r="AM1753" s="114"/>
      <c r="AN1753" s="114"/>
      <c r="AO1753" s="114"/>
      <c r="AP1753" s="114"/>
      <c r="AQ1753" s="114"/>
      <c r="AR1753" s="114"/>
      <c r="AS1753" s="114"/>
      <c r="AT1753" s="114"/>
      <c r="AU1753" s="114"/>
      <c r="AV1753" s="114"/>
      <c r="AW1753" s="114"/>
      <c r="AX1753" s="114"/>
      <c r="AY1753" s="114"/>
      <c r="AZ1753" s="114"/>
    </row>
    <row r="1754" spans="1:52">
      <c r="A1754" s="111"/>
      <c r="B1754" s="111"/>
      <c r="C1754" s="112"/>
      <c r="D1754" s="101"/>
      <c r="E1754" s="101"/>
      <c r="F1754" s="101"/>
      <c r="G1754" s="111"/>
      <c r="H1754" s="101"/>
      <c r="I1754" s="101"/>
      <c r="J1754" s="101"/>
      <c r="K1754" s="101"/>
      <c r="L1754" s="101"/>
      <c r="M1754" s="101"/>
      <c r="N1754" s="101"/>
      <c r="O1754" s="101"/>
      <c r="P1754" s="101"/>
      <c r="Q1754" s="101"/>
      <c r="R1754" s="101"/>
      <c r="S1754" s="101"/>
      <c r="T1754" s="101"/>
      <c r="U1754" s="101"/>
      <c r="V1754" s="101"/>
      <c r="W1754" s="101"/>
      <c r="X1754" s="101"/>
      <c r="Y1754" s="114"/>
      <c r="Z1754" s="114"/>
      <c r="AA1754" s="114"/>
      <c r="AB1754" s="114"/>
      <c r="AC1754" s="114"/>
      <c r="AD1754" s="114"/>
      <c r="AE1754" s="114"/>
      <c r="AF1754" s="114"/>
      <c r="AG1754" s="114"/>
      <c r="AH1754" s="114"/>
      <c r="AI1754" s="114"/>
      <c r="AJ1754" s="114"/>
      <c r="AK1754" s="114"/>
      <c r="AL1754" s="114"/>
      <c r="AM1754" s="114"/>
      <c r="AN1754" s="114"/>
      <c r="AO1754" s="114"/>
      <c r="AP1754" s="114"/>
      <c r="AQ1754" s="114"/>
      <c r="AR1754" s="114"/>
      <c r="AS1754" s="114"/>
      <c r="AT1754" s="114"/>
      <c r="AU1754" s="114"/>
      <c r="AV1754" s="114"/>
      <c r="AW1754" s="114"/>
      <c r="AX1754" s="114"/>
      <c r="AY1754" s="114"/>
      <c r="AZ1754" s="114"/>
    </row>
    <row r="1755" spans="1:52">
      <c r="A1755" s="111"/>
      <c r="B1755" s="111"/>
      <c r="C1755" s="112"/>
      <c r="D1755" s="101"/>
      <c r="E1755" s="101"/>
      <c r="F1755" s="101"/>
      <c r="G1755" s="111"/>
      <c r="H1755" s="101"/>
      <c r="I1755" s="101"/>
      <c r="J1755" s="101"/>
      <c r="K1755" s="101"/>
      <c r="L1755" s="101"/>
      <c r="M1755" s="101"/>
      <c r="N1755" s="101"/>
      <c r="O1755" s="101"/>
      <c r="P1755" s="101"/>
      <c r="Q1755" s="101"/>
      <c r="R1755" s="101"/>
      <c r="S1755" s="101"/>
      <c r="T1755" s="101"/>
      <c r="U1755" s="101"/>
      <c r="V1755" s="101"/>
      <c r="W1755" s="101"/>
      <c r="X1755" s="101"/>
      <c r="Y1755" s="114"/>
      <c r="Z1755" s="114"/>
      <c r="AA1755" s="114"/>
      <c r="AB1755" s="114"/>
      <c r="AC1755" s="114"/>
      <c r="AD1755" s="114"/>
      <c r="AE1755" s="114"/>
      <c r="AF1755" s="114"/>
      <c r="AG1755" s="114"/>
      <c r="AH1755" s="114"/>
      <c r="AI1755" s="114"/>
      <c r="AJ1755" s="114"/>
      <c r="AK1755" s="114"/>
      <c r="AL1755" s="114"/>
      <c r="AM1755" s="114"/>
      <c r="AN1755" s="114"/>
      <c r="AO1755" s="114"/>
      <c r="AP1755" s="114"/>
      <c r="AQ1755" s="114"/>
      <c r="AR1755" s="114"/>
      <c r="AS1755" s="114"/>
      <c r="AT1755" s="114"/>
      <c r="AU1755" s="114"/>
      <c r="AV1755" s="114"/>
      <c r="AW1755" s="114"/>
      <c r="AX1755" s="114"/>
      <c r="AY1755" s="114"/>
      <c r="AZ1755" s="114"/>
    </row>
    <row r="1756" spans="1:52">
      <c r="A1756" s="111"/>
      <c r="B1756" s="111"/>
      <c r="C1756" s="112"/>
      <c r="D1756" s="101"/>
      <c r="E1756" s="101"/>
      <c r="F1756" s="101"/>
      <c r="G1756" s="111"/>
      <c r="H1756" s="101"/>
      <c r="I1756" s="101"/>
      <c r="J1756" s="101"/>
      <c r="K1756" s="101"/>
      <c r="L1756" s="101"/>
      <c r="M1756" s="101"/>
      <c r="N1756" s="101"/>
      <c r="O1756" s="101"/>
      <c r="P1756" s="101"/>
      <c r="Q1756" s="101"/>
      <c r="R1756" s="101"/>
      <c r="S1756" s="101"/>
      <c r="T1756" s="101"/>
      <c r="U1756" s="101"/>
      <c r="V1756" s="101"/>
      <c r="W1756" s="101"/>
      <c r="X1756" s="101"/>
      <c r="Y1756" s="114"/>
      <c r="Z1756" s="114"/>
      <c r="AA1756" s="114"/>
      <c r="AB1756" s="114"/>
      <c r="AC1756" s="114"/>
      <c r="AD1756" s="114"/>
      <c r="AE1756" s="114"/>
      <c r="AF1756" s="114"/>
      <c r="AG1756" s="114"/>
      <c r="AH1756" s="114"/>
      <c r="AI1756" s="114"/>
      <c r="AJ1756" s="114"/>
      <c r="AK1756" s="114"/>
      <c r="AL1756" s="114"/>
      <c r="AM1756" s="114"/>
      <c r="AN1756" s="114"/>
      <c r="AO1756" s="114"/>
      <c r="AP1756" s="114"/>
      <c r="AQ1756" s="114"/>
      <c r="AR1756" s="114"/>
      <c r="AS1756" s="114"/>
      <c r="AT1756" s="114"/>
      <c r="AU1756" s="114"/>
      <c r="AV1756" s="114"/>
      <c r="AW1756" s="114"/>
      <c r="AX1756" s="114"/>
      <c r="AY1756" s="114"/>
      <c r="AZ1756" s="114"/>
    </row>
    <row r="1757" spans="1:52">
      <c r="A1757" s="111"/>
      <c r="B1757" s="111"/>
      <c r="C1757" s="112"/>
      <c r="D1757" s="101"/>
      <c r="E1757" s="101"/>
      <c r="F1757" s="101"/>
      <c r="G1757" s="111"/>
      <c r="H1757" s="101"/>
      <c r="I1757" s="101"/>
      <c r="J1757" s="101"/>
      <c r="K1757" s="101"/>
      <c r="L1757" s="101"/>
      <c r="M1757" s="101"/>
      <c r="N1757" s="101"/>
      <c r="O1757" s="101"/>
      <c r="P1757" s="101"/>
      <c r="Q1757" s="101"/>
      <c r="R1757" s="101"/>
      <c r="S1757" s="101"/>
      <c r="T1757" s="101"/>
      <c r="U1757" s="101"/>
      <c r="V1757" s="101"/>
      <c r="W1757" s="101"/>
      <c r="X1757" s="101"/>
      <c r="Y1757" s="114"/>
      <c r="Z1757" s="114"/>
      <c r="AA1757" s="114"/>
      <c r="AB1757" s="114"/>
      <c r="AC1757" s="114"/>
      <c r="AD1757" s="114"/>
      <c r="AE1757" s="114"/>
      <c r="AF1757" s="114"/>
      <c r="AG1757" s="114"/>
      <c r="AH1757" s="114"/>
      <c r="AI1757" s="114"/>
      <c r="AJ1757" s="114"/>
      <c r="AK1757" s="114"/>
      <c r="AL1757" s="114"/>
      <c r="AM1757" s="114"/>
      <c r="AN1757" s="114"/>
      <c r="AO1757" s="114"/>
      <c r="AP1757" s="114"/>
      <c r="AQ1757" s="114"/>
      <c r="AR1757" s="114"/>
      <c r="AS1757" s="114"/>
      <c r="AT1757" s="114"/>
      <c r="AU1757" s="114"/>
      <c r="AV1757" s="114"/>
      <c r="AW1757" s="114"/>
      <c r="AX1757" s="114"/>
      <c r="AY1757" s="114"/>
      <c r="AZ1757" s="114"/>
    </row>
    <row r="1758" spans="1:52">
      <c r="A1758" s="111"/>
      <c r="B1758" s="111"/>
      <c r="C1758" s="112"/>
      <c r="D1758" s="101"/>
      <c r="E1758" s="101"/>
      <c r="F1758" s="101"/>
      <c r="G1758" s="111"/>
      <c r="H1758" s="101"/>
      <c r="I1758" s="101"/>
      <c r="J1758" s="101"/>
      <c r="K1758" s="101"/>
      <c r="L1758" s="101"/>
      <c r="M1758" s="101"/>
      <c r="N1758" s="101"/>
      <c r="O1758" s="101"/>
      <c r="P1758" s="101"/>
      <c r="Q1758" s="101"/>
      <c r="R1758" s="101"/>
      <c r="S1758" s="101"/>
      <c r="T1758" s="101"/>
      <c r="U1758" s="101"/>
      <c r="V1758" s="101"/>
      <c r="W1758" s="101"/>
      <c r="X1758" s="101"/>
      <c r="Y1758" s="114"/>
      <c r="Z1758" s="114"/>
      <c r="AA1758" s="114"/>
      <c r="AB1758" s="114"/>
      <c r="AC1758" s="114"/>
      <c r="AD1758" s="114"/>
      <c r="AE1758" s="114"/>
      <c r="AF1758" s="114"/>
      <c r="AG1758" s="114"/>
      <c r="AH1758" s="114"/>
      <c r="AI1758" s="114"/>
      <c r="AJ1758" s="114"/>
      <c r="AK1758" s="114"/>
      <c r="AL1758" s="114"/>
      <c r="AM1758" s="114"/>
      <c r="AN1758" s="114"/>
      <c r="AO1758" s="114"/>
      <c r="AP1758" s="114"/>
      <c r="AQ1758" s="114"/>
      <c r="AR1758" s="114"/>
      <c r="AS1758" s="114"/>
      <c r="AT1758" s="114"/>
      <c r="AU1758" s="114"/>
      <c r="AV1758" s="114"/>
      <c r="AW1758" s="114"/>
      <c r="AX1758" s="114"/>
      <c r="AY1758" s="114"/>
      <c r="AZ1758" s="114"/>
    </row>
    <row r="1759" spans="1:52">
      <c r="A1759" s="111"/>
      <c r="B1759" s="111"/>
      <c r="C1759" s="112"/>
      <c r="D1759" s="101"/>
      <c r="E1759" s="101"/>
      <c r="F1759" s="101"/>
      <c r="G1759" s="111"/>
      <c r="H1759" s="101"/>
      <c r="I1759" s="101"/>
      <c r="J1759" s="101"/>
      <c r="K1759" s="101"/>
      <c r="L1759" s="101"/>
      <c r="M1759" s="101"/>
      <c r="N1759" s="101"/>
      <c r="O1759" s="101"/>
      <c r="P1759" s="101"/>
      <c r="Q1759" s="101"/>
      <c r="R1759" s="101"/>
      <c r="S1759" s="101"/>
      <c r="T1759" s="101"/>
      <c r="U1759" s="101"/>
      <c r="V1759" s="101"/>
      <c r="W1759" s="101"/>
      <c r="X1759" s="101"/>
      <c r="Y1759" s="114"/>
      <c r="Z1759" s="114"/>
      <c r="AA1759" s="114"/>
      <c r="AB1759" s="114"/>
      <c r="AC1759" s="114"/>
      <c r="AD1759" s="114"/>
      <c r="AE1759" s="114"/>
      <c r="AF1759" s="114"/>
      <c r="AG1759" s="114"/>
      <c r="AH1759" s="114"/>
      <c r="AI1759" s="114"/>
      <c r="AJ1759" s="114"/>
      <c r="AK1759" s="114"/>
      <c r="AL1759" s="114"/>
      <c r="AM1759" s="114"/>
      <c r="AN1759" s="114"/>
      <c r="AO1759" s="114"/>
      <c r="AP1759" s="114"/>
      <c r="AQ1759" s="114"/>
      <c r="AR1759" s="114"/>
      <c r="AS1759" s="114"/>
      <c r="AT1759" s="114"/>
      <c r="AU1759" s="114"/>
      <c r="AV1759" s="114"/>
      <c r="AW1759" s="114"/>
      <c r="AX1759" s="114"/>
      <c r="AY1759" s="114"/>
      <c r="AZ1759" s="114"/>
    </row>
    <row r="1760" spans="1:52">
      <c r="A1760" s="111"/>
      <c r="B1760" s="111"/>
      <c r="C1760" s="112"/>
      <c r="D1760" s="101"/>
      <c r="E1760" s="101"/>
      <c r="F1760" s="101"/>
      <c r="G1760" s="111"/>
      <c r="H1760" s="101"/>
      <c r="I1760" s="101"/>
      <c r="J1760" s="101"/>
      <c r="K1760" s="101"/>
      <c r="L1760" s="101"/>
      <c r="M1760" s="101"/>
      <c r="N1760" s="101"/>
      <c r="O1760" s="101"/>
      <c r="P1760" s="101"/>
      <c r="Q1760" s="101"/>
      <c r="R1760" s="101"/>
      <c r="S1760" s="101"/>
      <c r="T1760" s="101"/>
      <c r="U1760" s="101"/>
      <c r="V1760" s="101"/>
      <c r="W1760" s="101"/>
      <c r="X1760" s="101"/>
      <c r="Y1760" s="114"/>
      <c r="Z1760" s="114"/>
      <c r="AA1760" s="114"/>
      <c r="AB1760" s="114"/>
      <c r="AC1760" s="114"/>
      <c r="AD1760" s="114"/>
      <c r="AE1760" s="114"/>
      <c r="AF1760" s="114"/>
      <c r="AG1760" s="114"/>
      <c r="AH1760" s="114"/>
      <c r="AI1760" s="114"/>
      <c r="AJ1760" s="114"/>
      <c r="AK1760" s="114"/>
      <c r="AL1760" s="114"/>
      <c r="AM1760" s="114"/>
      <c r="AN1760" s="114"/>
      <c r="AO1760" s="114"/>
      <c r="AP1760" s="114"/>
      <c r="AQ1760" s="114"/>
      <c r="AR1760" s="114"/>
      <c r="AS1760" s="114"/>
      <c r="AT1760" s="114"/>
      <c r="AU1760" s="114"/>
      <c r="AV1760" s="114"/>
      <c r="AW1760" s="114"/>
      <c r="AX1760" s="114"/>
      <c r="AY1760" s="114"/>
      <c r="AZ1760" s="114"/>
    </row>
    <row r="1761" spans="1:52">
      <c r="A1761" s="111"/>
      <c r="B1761" s="111"/>
      <c r="C1761" s="112"/>
      <c r="D1761" s="101"/>
      <c r="E1761" s="101"/>
      <c r="F1761" s="101"/>
      <c r="G1761" s="111"/>
      <c r="H1761" s="101"/>
      <c r="I1761" s="101"/>
      <c r="J1761" s="101"/>
      <c r="K1761" s="101"/>
      <c r="L1761" s="101"/>
      <c r="M1761" s="101"/>
      <c r="N1761" s="101"/>
      <c r="O1761" s="101"/>
      <c r="P1761" s="101"/>
      <c r="Q1761" s="101"/>
      <c r="R1761" s="101"/>
      <c r="S1761" s="101"/>
      <c r="T1761" s="101"/>
      <c r="U1761" s="101"/>
      <c r="V1761" s="101"/>
      <c r="W1761" s="101"/>
      <c r="X1761" s="101"/>
      <c r="Y1761" s="114"/>
      <c r="Z1761" s="114"/>
      <c r="AA1761" s="114"/>
      <c r="AB1761" s="114"/>
      <c r="AC1761" s="114"/>
      <c r="AD1761" s="114"/>
      <c r="AE1761" s="114"/>
      <c r="AF1761" s="114"/>
      <c r="AG1761" s="114"/>
      <c r="AH1761" s="114"/>
      <c r="AI1761" s="114"/>
      <c r="AJ1761" s="114"/>
      <c r="AK1761" s="114"/>
      <c r="AL1761" s="114"/>
      <c r="AM1761" s="114"/>
      <c r="AN1761" s="114"/>
      <c r="AO1761" s="114"/>
      <c r="AP1761" s="114"/>
      <c r="AQ1761" s="114"/>
      <c r="AR1761" s="114"/>
      <c r="AS1761" s="114"/>
      <c r="AT1761" s="114"/>
      <c r="AU1761" s="114"/>
      <c r="AV1761" s="114"/>
      <c r="AW1761" s="114"/>
      <c r="AX1761" s="114"/>
      <c r="AY1761" s="114"/>
      <c r="AZ1761" s="114"/>
    </row>
    <row r="1762" spans="1:52">
      <c r="A1762" s="111"/>
      <c r="B1762" s="111"/>
      <c r="C1762" s="112"/>
      <c r="D1762" s="101"/>
      <c r="E1762" s="101"/>
      <c r="F1762" s="101"/>
      <c r="G1762" s="111"/>
      <c r="H1762" s="101"/>
      <c r="I1762" s="101"/>
      <c r="J1762" s="101"/>
      <c r="K1762" s="101"/>
      <c r="L1762" s="101"/>
      <c r="M1762" s="101"/>
      <c r="N1762" s="101"/>
      <c r="O1762" s="101"/>
      <c r="P1762" s="101"/>
      <c r="Q1762" s="101"/>
      <c r="R1762" s="101"/>
      <c r="S1762" s="101"/>
      <c r="T1762" s="101"/>
      <c r="U1762" s="101"/>
      <c r="V1762" s="101"/>
      <c r="W1762" s="101"/>
      <c r="X1762" s="101"/>
      <c r="Y1762" s="114"/>
      <c r="Z1762" s="114"/>
      <c r="AA1762" s="114"/>
      <c r="AB1762" s="114"/>
      <c r="AC1762" s="114"/>
      <c r="AD1762" s="114"/>
      <c r="AE1762" s="114"/>
      <c r="AF1762" s="114"/>
      <c r="AG1762" s="114"/>
      <c r="AH1762" s="114"/>
      <c r="AI1762" s="114"/>
      <c r="AJ1762" s="114"/>
      <c r="AK1762" s="114"/>
      <c r="AL1762" s="114"/>
      <c r="AM1762" s="114"/>
      <c r="AN1762" s="114"/>
      <c r="AO1762" s="114"/>
      <c r="AP1762" s="114"/>
      <c r="AQ1762" s="114"/>
      <c r="AR1762" s="114"/>
      <c r="AS1762" s="114"/>
      <c r="AT1762" s="114"/>
      <c r="AU1762" s="114"/>
      <c r="AV1762" s="114"/>
      <c r="AW1762" s="114"/>
      <c r="AX1762" s="114"/>
      <c r="AY1762" s="114"/>
      <c r="AZ1762" s="114"/>
    </row>
    <row r="1763" spans="1:52">
      <c r="A1763" s="111"/>
      <c r="B1763" s="111"/>
      <c r="C1763" s="112"/>
      <c r="D1763" s="101"/>
      <c r="E1763" s="101"/>
      <c r="F1763" s="101"/>
      <c r="G1763" s="111"/>
      <c r="H1763" s="101"/>
      <c r="I1763" s="101"/>
      <c r="J1763" s="101"/>
      <c r="K1763" s="101"/>
      <c r="L1763" s="101"/>
      <c r="M1763" s="101"/>
      <c r="N1763" s="101"/>
      <c r="O1763" s="101"/>
      <c r="P1763" s="101"/>
      <c r="Q1763" s="101"/>
      <c r="R1763" s="101"/>
      <c r="S1763" s="101"/>
      <c r="T1763" s="101"/>
      <c r="U1763" s="101"/>
      <c r="V1763" s="101"/>
      <c r="W1763" s="101"/>
      <c r="X1763" s="101"/>
      <c r="Y1763" s="114"/>
      <c r="Z1763" s="114"/>
      <c r="AA1763" s="114"/>
      <c r="AB1763" s="114"/>
      <c r="AC1763" s="114"/>
      <c r="AD1763" s="114"/>
      <c r="AE1763" s="114"/>
      <c r="AF1763" s="114"/>
      <c r="AG1763" s="114"/>
      <c r="AH1763" s="114"/>
      <c r="AI1763" s="114"/>
      <c r="AJ1763" s="114"/>
      <c r="AK1763" s="114"/>
      <c r="AL1763" s="114"/>
      <c r="AM1763" s="114"/>
      <c r="AN1763" s="114"/>
      <c r="AO1763" s="114"/>
      <c r="AP1763" s="114"/>
      <c r="AQ1763" s="114"/>
      <c r="AR1763" s="114"/>
      <c r="AS1763" s="114"/>
      <c r="AT1763" s="114"/>
      <c r="AU1763" s="114"/>
      <c r="AV1763" s="114"/>
      <c r="AW1763" s="114"/>
      <c r="AX1763" s="114"/>
      <c r="AY1763" s="114"/>
      <c r="AZ1763" s="114"/>
    </row>
    <row r="1764" spans="1:52">
      <c r="A1764" s="111"/>
      <c r="B1764" s="111"/>
      <c r="C1764" s="112"/>
      <c r="D1764" s="101"/>
      <c r="E1764" s="101"/>
      <c r="F1764" s="101"/>
      <c r="G1764" s="111"/>
      <c r="H1764" s="101"/>
      <c r="I1764" s="101"/>
      <c r="J1764" s="101"/>
      <c r="K1764" s="101"/>
      <c r="L1764" s="101"/>
      <c r="M1764" s="101"/>
      <c r="N1764" s="101"/>
      <c r="O1764" s="101"/>
      <c r="P1764" s="101"/>
      <c r="Q1764" s="101"/>
      <c r="R1764" s="101"/>
      <c r="S1764" s="101"/>
      <c r="T1764" s="101"/>
      <c r="U1764" s="101"/>
      <c r="V1764" s="101"/>
      <c r="W1764" s="101"/>
      <c r="X1764" s="101"/>
      <c r="Y1764" s="114"/>
      <c r="Z1764" s="114"/>
      <c r="AA1764" s="114"/>
      <c r="AB1764" s="114"/>
      <c r="AC1764" s="114"/>
      <c r="AD1764" s="114"/>
      <c r="AE1764" s="114"/>
      <c r="AF1764" s="114"/>
      <c r="AG1764" s="114"/>
      <c r="AH1764" s="114"/>
      <c r="AI1764" s="114"/>
      <c r="AJ1764" s="114"/>
      <c r="AK1764" s="114"/>
      <c r="AL1764" s="114"/>
      <c r="AM1764" s="114"/>
      <c r="AN1764" s="114"/>
      <c r="AO1764" s="114"/>
      <c r="AP1764" s="114"/>
      <c r="AQ1764" s="114"/>
      <c r="AR1764" s="114"/>
      <c r="AS1764" s="114"/>
      <c r="AT1764" s="114"/>
      <c r="AU1764" s="114"/>
      <c r="AV1764" s="114"/>
      <c r="AW1764" s="114"/>
      <c r="AX1764" s="114"/>
      <c r="AY1764" s="114"/>
      <c r="AZ1764" s="114"/>
    </row>
    <row r="1765" spans="1:52">
      <c r="A1765" s="111"/>
      <c r="B1765" s="111"/>
      <c r="C1765" s="112"/>
      <c r="D1765" s="101"/>
      <c r="E1765" s="101"/>
      <c r="F1765" s="101"/>
      <c r="G1765" s="111"/>
      <c r="H1765" s="101"/>
      <c r="I1765" s="101"/>
      <c r="J1765" s="101"/>
      <c r="K1765" s="101"/>
      <c r="L1765" s="101"/>
      <c r="M1765" s="101"/>
      <c r="N1765" s="101"/>
      <c r="O1765" s="101"/>
      <c r="P1765" s="101"/>
      <c r="Q1765" s="101"/>
      <c r="R1765" s="101"/>
      <c r="S1765" s="101"/>
      <c r="T1765" s="101"/>
      <c r="U1765" s="101"/>
      <c r="V1765" s="101"/>
      <c r="W1765" s="101"/>
      <c r="X1765" s="101"/>
      <c r="Y1765" s="114"/>
      <c r="Z1765" s="114"/>
      <c r="AA1765" s="114"/>
      <c r="AB1765" s="114"/>
      <c r="AC1765" s="114"/>
      <c r="AD1765" s="114"/>
      <c r="AE1765" s="114"/>
      <c r="AF1765" s="114"/>
      <c r="AG1765" s="114"/>
      <c r="AH1765" s="114"/>
      <c r="AI1765" s="114"/>
      <c r="AJ1765" s="114"/>
      <c r="AK1765" s="114"/>
      <c r="AL1765" s="114"/>
      <c r="AM1765" s="114"/>
      <c r="AN1765" s="114"/>
      <c r="AO1765" s="114"/>
      <c r="AP1765" s="114"/>
      <c r="AQ1765" s="114"/>
      <c r="AR1765" s="114"/>
      <c r="AS1765" s="114"/>
      <c r="AT1765" s="114"/>
      <c r="AU1765" s="114"/>
      <c r="AV1765" s="114"/>
      <c r="AW1765" s="114"/>
      <c r="AX1765" s="114"/>
      <c r="AY1765" s="114"/>
      <c r="AZ1765" s="114"/>
    </row>
    <row r="1766" spans="1:52">
      <c r="A1766" s="111"/>
      <c r="B1766" s="111"/>
      <c r="C1766" s="112"/>
      <c r="D1766" s="101"/>
      <c r="E1766" s="101"/>
      <c r="F1766" s="101"/>
      <c r="G1766" s="111"/>
      <c r="H1766" s="101"/>
      <c r="I1766" s="101"/>
      <c r="J1766" s="101"/>
      <c r="K1766" s="101"/>
      <c r="L1766" s="101"/>
      <c r="M1766" s="101"/>
      <c r="N1766" s="101"/>
      <c r="O1766" s="101"/>
      <c r="P1766" s="101"/>
      <c r="Q1766" s="101"/>
      <c r="R1766" s="101"/>
      <c r="S1766" s="101"/>
      <c r="T1766" s="101"/>
      <c r="U1766" s="101"/>
      <c r="V1766" s="101"/>
      <c r="W1766" s="101"/>
      <c r="X1766" s="101"/>
      <c r="Y1766" s="114"/>
      <c r="Z1766" s="114"/>
      <c r="AA1766" s="114"/>
      <c r="AB1766" s="114"/>
      <c r="AC1766" s="114"/>
      <c r="AD1766" s="114"/>
      <c r="AE1766" s="114"/>
      <c r="AF1766" s="114"/>
      <c r="AG1766" s="114"/>
      <c r="AH1766" s="114"/>
      <c r="AI1766" s="114"/>
      <c r="AJ1766" s="114"/>
      <c r="AK1766" s="114"/>
      <c r="AL1766" s="114"/>
      <c r="AM1766" s="114"/>
      <c r="AN1766" s="114"/>
      <c r="AO1766" s="114"/>
      <c r="AP1766" s="114"/>
      <c r="AQ1766" s="114"/>
      <c r="AR1766" s="114"/>
      <c r="AS1766" s="114"/>
      <c r="AT1766" s="114"/>
      <c r="AU1766" s="114"/>
      <c r="AV1766" s="114"/>
      <c r="AW1766" s="114"/>
      <c r="AX1766" s="114"/>
      <c r="AY1766" s="114"/>
      <c r="AZ1766" s="114"/>
    </row>
    <row r="1767" spans="1:52">
      <c r="A1767" s="111"/>
      <c r="B1767" s="111"/>
      <c r="C1767" s="112"/>
      <c r="D1767" s="101"/>
      <c r="E1767" s="101"/>
      <c r="F1767" s="101"/>
      <c r="G1767" s="111"/>
      <c r="H1767" s="101"/>
      <c r="I1767" s="101"/>
      <c r="J1767" s="101"/>
      <c r="K1767" s="101"/>
      <c r="L1767" s="101"/>
      <c r="M1767" s="101"/>
      <c r="N1767" s="101"/>
      <c r="O1767" s="101"/>
      <c r="P1767" s="101"/>
      <c r="Q1767" s="101"/>
      <c r="R1767" s="101"/>
      <c r="S1767" s="101"/>
      <c r="T1767" s="101"/>
      <c r="U1767" s="101"/>
      <c r="V1767" s="101"/>
      <c r="W1767" s="101"/>
      <c r="X1767" s="101"/>
      <c r="Y1767" s="114"/>
      <c r="Z1767" s="114"/>
      <c r="AA1767" s="114"/>
      <c r="AB1767" s="114"/>
      <c r="AC1767" s="114"/>
      <c r="AD1767" s="114"/>
      <c r="AE1767" s="114"/>
      <c r="AF1767" s="114"/>
      <c r="AG1767" s="114"/>
      <c r="AH1767" s="114"/>
      <c r="AI1767" s="114"/>
      <c r="AJ1767" s="114"/>
      <c r="AK1767" s="114"/>
      <c r="AL1767" s="114"/>
      <c r="AM1767" s="114"/>
      <c r="AN1767" s="114"/>
      <c r="AO1767" s="114"/>
      <c r="AP1767" s="114"/>
      <c r="AQ1767" s="114"/>
      <c r="AR1767" s="114"/>
      <c r="AS1767" s="114"/>
      <c r="AT1767" s="114"/>
      <c r="AU1767" s="114"/>
      <c r="AV1767" s="114"/>
      <c r="AW1767" s="114"/>
      <c r="AX1767" s="114"/>
      <c r="AY1767" s="114"/>
      <c r="AZ1767" s="114"/>
    </row>
    <row r="1768" spans="1:52">
      <c r="A1768" s="111"/>
      <c r="B1768" s="111"/>
      <c r="C1768" s="112"/>
      <c r="D1768" s="101"/>
      <c r="E1768" s="101"/>
      <c r="F1768" s="101"/>
      <c r="G1768" s="111"/>
      <c r="H1768" s="101"/>
      <c r="I1768" s="101"/>
      <c r="J1768" s="101"/>
      <c r="K1768" s="101"/>
      <c r="L1768" s="101"/>
      <c r="M1768" s="101"/>
      <c r="N1768" s="101"/>
      <c r="O1768" s="101"/>
      <c r="P1768" s="101"/>
      <c r="Q1768" s="101"/>
      <c r="R1768" s="101"/>
      <c r="S1768" s="101"/>
      <c r="T1768" s="101"/>
      <c r="U1768" s="101"/>
      <c r="V1768" s="101"/>
      <c r="W1768" s="101"/>
      <c r="X1768" s="101"/>
      <c r="Y1768" s="114"/>
      <c r="Z1768" s="114"/>
      <c r="AA1768" s="114"/>
      <c r="AB1768" s="114"/>
      <c r="AC1768" s="114"/>
      <c r="AD1768" s="114"/>
      <c r="AE1768" s="114"/>
      <c r="AF1768" s="114"/>
      <c r="AG1768" s="114"/>
      <c r="AH1768" s="114"/>
      <c r="AI1768" s="114"/>
      <c r="AJ1768" s="114"/>
      <c r="AK1768" s="114"/>
      <c r="AL1768" s="114"/>
      <c r="AM1768" s="114"/>
      <c r="AN1768" s="114"/>
      <c r="AO1768" s="114"/>
      <c r="AP1768" s="114"/>
      <c r="AQ1768" s="114"/>
      <c r="AR1768" s="114"/>
      <c r="AS1768" s="114"/>
      <c r="AT1768" s="114"/>
      <c r="AU1768" s="114"/>
      <c r="AV1768" s="114"/>
      <c r="AW1768" s="114"/>
      <c r="AX1768" s="114"/>
      <c r="AY1768" s="114"/>
      <c r="AZ1768" s="114"/>
    </row>
    <row r="1769" spans="1:52">
      <c r="A1769" s="111"/>
      <c r="B1769" s="111"/>
      <c r="C1769" s="112"/>
      <c r="D1769" s="101"/>
      <c r="E1769" s="101"/>
      <c r="F1769" s="101"/>
      <c r="G1769" s="111"/>
      <c r="H1769" s="101"/>
      <c r="I1769" s="101"/>
      <c r="J1769" s="101"/>
      <c r="K1769" s="101"/>
      <c r="L1769" s="101"/>
      <c r="M1769" s="101"/>
      <c r="N1769" s="101"/>
      <c r="O1769" s="101"/>
      <c r="P1769" s="101"/>
      <c r="Q1769" s="101"/>
      <c r="R1769" s="101"/>
      <c r="S1769" s="101"/>
      <c r="T1769" s="101"/>
      <c r="U1769" s="101"/>
      <c r="V1769" s="101"/>
      <c r="W1769" s="101"/>
      <c r="X1769" s="101"/>
      <c r="Y1769" s="114"/>
      <c r="Z1769" s="114"/>
      <c r="AA1769" s="114"/>
      <c r="AB1769" s="114"/>
      <c r="AC1769" s="114"/>
      <c r="AD1769" s="114"/>
      <c r="AE1769" s="114"/>
      <c r="AF1769" s="114"/>
      <c r="AG1769" s="114"/>
      <c r="AH1769" s="114"/>
      <c r="AI1769" s="114"/>
      <c r="AJ1769" s="114"/>
      <c r="AK1769" s="114"/>
      <c r="AL1769" s="114"/>
      <c r="AM1769" s="114"/>
      <c r="AN1769" s="114"/>
      <c r="AO1769" s="114"/>
      <c r="AP1769" s="114"/>
      <c r="AQ1769" s="114"/>
      <c r="AR1769" s="114"/>
      <c r="AS1769" s="114"/>
      <c r="AT1769" s="114"/>
      <c r="AU1769" s="114"/>
      <c r="AV1769" s="114"/>
      <c r="AW1769" s="114"/>
      <c r="AX1769" s="114"/>
      <c r="AY1769" s="114"/>
      <c r="AZ1769" s="114"/>
    </row>
    <row r="1770" spans="1:52">
      <c r="A1770" s="111"/>
      <c r="B1770" s="111"/>
      <c r="C1770" s="112"/>
      <c r="D1770" s="101"/>
      <c r="E1770" s="101"/>
      <c r="F1770" s="101"/>
      <c r="G1770" s="111"/>
      <c r="H1770" s="101"/>
      <c r="I1770" s="101"/>
      <c r="J1770" s="101"/>
      <c r="K1770" s="101"/>
      <c r="L1770" s="101"/>
      <c r="M1770" s="101"/>
      <c r="N1770" s="101"/>
      <c r="O1770" s="101"/>
      <c r="P1770" s="101"/>
      <c r="Q1770" s="101"/>
      <c r="R1770" s="101"/>
      <c r="S1770" s="101"/>
      <c r="T1770" s="101"/>
      <c r="U1770" s="101"/>
      <c r="V1770" s="101"/>
      <c r="W1770" s="101"/>
      <c r="X1770" s="101"/>
      <c r="Y1770" s="114"/>
      <c r="Z1770" s="114"/>
      <c r="AA1770" s="114"/>
      <c r="AB1770" s="114"/>
      <c r="AC1770" s="114"/>
      <c r="AD1770" s="114"/>
      <c r="AE1770" s="114"/>
      <c r="AF1770" s="114"/>
      <c r="AG1770" s="114"/>
      <c r="AH1770" s="114"/>
      <c r="AI1770" s="114"/>
      <c r="AJ1770" s="114"/>
      <c r="AK1770" s="114"/>
      <c r="AL1770" s="114"/>
      <c r="AM1770" s="114"/>
      <c r="AN1770" s="114"/>
      <c r="AO1770" s="114"/>
      <c r="AP1770" s="114"/>
      <c r="AQ1770" s="114"/>
      <c r="AR1770" s="114"/>
      <c r="AS1770" s="114"/>
      <c r="AT1770" s="114"/>
      <c r="AU1770" s="114"/>
      <c r="AV1770" s="114"/>
      <c r="AW1770" s="114"/>
      <c r="AX1770" s="114"/>
      <c r="AY1770" s="114"/>
      <c r="AZ1770" s="114"/>
    </row>
    <row r="1771" spans="1:52">
      <c r="A1771" s="111"/>
      <c r="B1771" s="111"/>
      <c r="C1771" s="112"/>
      <c r="D1771" s="101"/>
      <c r="E1771" s="101"/>
      <c r="F1771" s="101"/>
      <c r="G1771" s="111"/>
      <c r="H1771" s="101"/>
      <c r="I1771" s="101"/>
      <c r="J1771" s="101"/>
      <c r="K1771" s="101"/>
      <c r="L1771" s="101"/>
      <c r="M1771" s="101"/>
      <c r="N1771" s="101"/>
      <c r="O1771" s="101"/>
      <c r="P1771" s="101"/>
      <c r="Q1771" s="101"/>
      <c r="R1771" s="101"/>
      <c r="S1771" s="101"/>
      <c r="T1771" s="101"/>
      <c r="U1771" s="101"/>
      <c r="V1771" s="101"/>
      <c r="W1771" s="101"/>
      <c r="X1771" s="101"/>
      <c r="Y1771" s="114"/>
      <c r="Z1771" s="114"/>
      <c r="AA1771" s="114"/>
      <c r="AB1771" s="114"/>
      <c r="AC1771" s="114"/>
      <c r="AD1771" s="114"/>
      <c r="AE1771" s="114"/>
      <c r="AF1771" s="114"/>
      <c r="AG1771" s="114"/>
      <c r="AH1771" s="114"/>
      <c r="AI1771" s="114"/>
      <c r="AJ1771" s="114"/>
      <c r="AK1771" s="114"/>
      <c r="AL1771" s="114"/>
      <c r="AM1771" s="114"/>
      <c r="AN1771" s="114"/>
      <c r="AO1771" s="114"/>
      <c r="AP1771" s="114"/>
      <c r="AQ1771" s="114"/>
      <c r="AR1771" s="114"/>
      <c r="AS1771" s="114"/>
      <c r="AT1771" s="114"/>
      <c r="AU1771" s="114"/>
      <c r="AV1771" s="114"/>
      <c r="AW1771" s="114"/>
      <c r="AX1771" s="114"/>
      <c r="AY1771" s="114"/>
      <c r="AZ1771" s="114"/>
    </row>
    <row r="1772" spans="1:52">
      <c r="A1772" s="111"/>
      <c r="B1772" s="111"/>
      <c r="C1772" s="112"/>
      <c r="D1772" s="101"/>
      <c r="E1772" s="101"/>
      <c r="F1772" s="101"/>
      <c r="G1772" s="111"/>
      <c r="H1772" s="101"/>
      <c r="I1772" s="101"/>
      <c r="J1772" s="101"/>
      <c r="K1772" s="101"/>
      <c r="L1772" s="101"/>
      <c r="M1772" s="101"/>
      <c r="N1772" s="101"/>
      <c r="O1772" s="101"/>
      <c r="P1772" s="101"/>
      <c r="Q1772" s="101"/>
      <c r="R1772" s="101"/>
      <c r="S1772" s="101"/>
      <c r="T1772" s="101"/>
      <c r="U1772" s="101"/>
      <c r="V1772" s="101"/>
      <c r="W1772" s="101"/>
      <c r="X1772" s="101"/>
      <c r="Y1772" s="114"/>
      <c r="Z1772" s="114"/>
      <c r="AA1772" s="114"/>
      <c r="AB1772" s="114"/>
      <c r="AC1772" s="114"/>
      <c r="AD1772" s="114"/>
      <c r="AE1772" s="114"/>
      <c r="AF1772" s="114"/>
      <c r="AG1772" s="114"/>
      <c r="AH1772" s="114"/>
      <c r="AI1772" s="114"/>
      <c r="AJ1772" s="114"/>
      <c r="AK1772" s="114"/>
      <c r="AL1772" s="114"/>
      <c r="AM1772" s="114"/>
      <c r="AN1772" s="114"/>
      <c r="AO1772" s="114"/>
      <c r="AP1772" s="114"/>
      <c r="AQ1772" s="114"/>
      <c r="AR1772" s="114"/>
      <c r="AS1772" s="114"/>
      <c r="AT1772" s="114"/>
      <c r="AU1772" s="114"/>
      <c r="AV1772" s="114"/>
      <c r="AW1772" s="114"/>
      <c r="AX1772" s="114"/>
      <c r="AY1772" s="114"/>
      <c r="AZ1772" s="114"/>
    </row>
    <row r="1773" spans="1:52">
      <c r="A1773" s="111"/>
      <c r="B1773" s="111"/>
      <c r="C1773" s="112"/>
      <c r="D1773" s="101"/>
      <c r="E1773" s="101"/>
      <c r="F1773" s="101"/>
      <c r="G1773" s="111"/>
      <c r="H1773" s="101"/>
      <c r="I1773" s="101"/>
      <c r="J1773" s="101"/>
      <c r="K1773" s="101"/>
      <c r="L1773" s="101"/>
      <c r="M1773" s="101"/>
      <c r="N1773" s="101"/>
      <c r="O1773" s="101"/>
      <c r="P1773" s="101"/>
      <c r="Q1773" s="101"/>
      <c r="R1773" s="101"/>
      <c r="S1773" s="101"/>
      <c r="T1773" s="101"/>
      <c r="U1773" s="101"/>
      <c r="V1773" s="101"/>
      <c r="W1773" s="101"/>
      <c r="X1773" s="101"/>
      <c r="Y1773" s="114"/>
      <c r="Z1773" s="114"/>
      <c r="AA1773" s="114"/>
      <c r="AB1773" s="114"/>
      <c r="AC1773" s="114"/>
      <c r="AD1773" s="114"/>
      <c r="AE1773" s="114"/>
      <c r="AF1773" s="114"/>
      <c r="AG1773" s="114"/>
      <c r="AH1773" s="114"/>
      <c r="AI1773" s="114"/>
      <c r="AJ1773" s="114"/>
      <c r="AK1773" s="114"/>
      <c r="AL1773" s="114"/>
      <c r="AM1773" s="114"/>
      <c r="AN1773" s="114"/>
      <c r="AO1773" s="114"/>
      <c r="AP1773" s="114"/>
      <c r="AQ1773" s="114"/>
      <c r="AR1773" s="114"/>
      <c r="AS1773" s="114"/>
      <c r="AT1773" s="114"/>
      <c r="AU1773" s="114"/>
      <c r="AV1773" s="114"/>
      <c r="AW1773" s="114"/>
      <c r="AX1773" s="114"/>
      <c r="AY1773" s="114"/>
      <c r="AZ1773" s="114"/>
    </row>
    <row r="1774" spans="1:52">
      <c r="A1774" s="111"/>
      <c r="B1774" s="111"/>
      <c r="C1774" s="112"/>
      <c r="D1774" s="101"/>
      <c r="E1774" s="101"/>
      <c r="F1774" s="101"/>
      <c r="G1774" s="111"/>
      <c r="H1774" s="101"/>
      <c r="I1774" s="101"/>
      <c r="J1774" s="101"/>
      <c r="K1774" s="101"/>
      <c r="L1774" s="101"/>
      <c r="M1774" s="101"/>
      <c r="N1774" s="101"/>
      <c r="O1774" s="101"/>
      <c r="P1774" s="101"/>
      <c r="Q1774" s="101"/>
      <c r="R1774" s="101"/>
      <c r="S1774" s="101"/>
      <c r="T1774" s="101"/>
      <c r="U1774" s="101"/>
      <c r="V1774" s="101"/>
      <c r="W1774" s="101"/>
      <c r="X1774" s="101"/>
      <c r="Y1774" s="114"/>
      <c r="Z1774" s="114"/>
      <c r="AA1774" s="114"/>
      <c r="AB1774" s="114"/>
      <c r="AC1774" s="114"/>
      <c r="AD1774" s="114"/>
      <c r="AE1774" s="114"/>
      <c r="AF1774" s="114"/>
      <c r="AG1774" s="114"/>
      <c r="AH1774" s="114"/>
      <c r="AI1774" s="114"/>
      <c r="AJ1774" s="114"/>
      <c r="AK1774" s="114"/>
      <c r="AL1774" s="114"/>
      <c r="AM1774" s="114"/>
      <c r="AN1774" s="114"/>
      <c r="AO1774" s="114"/>
      <c r="AP1774" s="114"/>
      <c r="AQ1774" s="114"/>
      <c r="AR1774" s="114"/>
      <c r="AS1774" s="114"/>
      <c r="AT1774" s="114"/>
      <c r="AU1774" s="114"/>
      <c r="AV1774" s="114"/>
      <c r="AW1774" s="114"/>
      <c r="AX1774" s="114"/>
      <c r="AY1774" s="114"/>
      <c r="AZ1774" s="114"/>
    </row>
    <row r="1775" spans="1:52">
      <c r="A1775" s="111"/>
      <c r="B1775" s="111"/>
      <c r="C1775" s="112"/>
      <c r="D1775" s="101"/>
      <c r="E1775" s="101"/>
      <c r="F1775" s="101"/>
      <c r="G1775" s="111"/>
      <c r="H1775" s="101"/>
      <c r="I1775" s="101"/>
      <c r="J1775" s="101"/>
      <c r="K1775" s="101"/>
      <c r="L1775" s="101"/>
      <c r="M1775" s="101"/>
      <c r="N1775" s="101"/>
      <c r="O1775" s="101"/>
      <c r="P1775" s="101"/>
      <c r="Q1775" s="101"/>
      <c r="R1775" s="101"/>
      <c r="S1775" s="101"/>
      <c r="T1775" s="101"/>
      <c r="U1775" s="101"/>
      <c r="V1775" s="101"/>
      <c r="W1775" s="101"/>
      <c r="X1775" s="101"/>
      <c r="Y1775" s="114"/>
      <c r="Z1775" s="114"/>
      <c r="AA1775" s="114"/>
      <c r="AB1775" s="114"/>
      <c r="AC1775" s="114"/>
      <c r="AD1775" s="114"/>
      <c r="AE1775" s="114"/>
      <c r="AF1775" s="114"/>
      <c r="AG1775" s="114"/>
      <c r="AH1775" s="114"/>
      <c r="AI1775" s="114"/>
      <c r="AJ1775" s="114"/>
      <c r="AK1775" s="114"/>
      <c r="AL1775" s="114"/>
      <c r="AM1775" s="114"/>
      <c r="AN1775" s="114"/>
      <c r="AO1775" s="114"/>
      <c r="AP1775" s="114"/>
      <c r="AQ1775" s="114"/>
      <c r="AR1775" s="114"/>
      <c r="AS1775" s="114"/>
      <c r="AT1775" s="114"/>
      <c r="AU1775" s="114"/>
      <c r="AV1775" s="114"/>
      <c r="AW1775" s="114"/>
      <c r="AX1775" s="114"/>
      <c r="AY1775" s="114"/>
      <c r="AZ1775" s="114"/>
    </row>
    <row r="1776" spans="1:52">
      <c r="A1776" s="111"/>
      <c r="B1776" s="111"/>
      <c r="C1776" s="112"/>
      <c r="D1776" s="101"/>
      <c r="E1776" s="101"/>
      <c r="F1776" s="101"/>
      <c r="G1776" s="111"/>
      <c r="H1776" s="101"/>
      <c r="I1776" s="101"/>
      <c r="J1776" s="101"/>
      <c r="K1776" s="101"/>
      <c r="L1776" s="101"/>
      <c r="M1776" s="101"/>
      <c r="N1776" s="101"/>
      <c r="O1776" s="101"/>
      <c r="P1776" s="101"/>
      <c r="Q1776" s="101"/>
      <c r="R1776" s="101"/>
      <c r="S1776" s="101"/>
      <c r="T1776" s="101"/>
      <c r="U1776" s="101"/>
      <c r="V1776" s="101"/>
      <c r="W1776" s="101"/>
      <c r="X1776" s="101"/>
      <c r="Y1776" s="114"/>
      <c r="Z1776" s="114"/>
      <c r="AA1776" s="114"/>
      <c r="AB1776" s="114"/>
      <c r="AC1776" s="114"/>
      <c r="AD1776" s="114"/>
      <c r="AE1776" s="114"/>
      <c r="AF1776" s="114"/>
      <c r="AG1776" s="114"/>
      <c r="AH1776" s="114"/>
      <c r="AI1776" s="114"/>
      <c r="AJ1776" s="114"/>
      <c r="AK1776" s="114"/>
      <c r="AL1776" s="114"/>
      <c r="AM1776" s="114"/>
      <c r="AN1776" s="114"/>
      <c r="AO1776" s="114"/>
      <c r="AP1776" s="114"/>
      <c r="AQ1776" s="114"/>
      <c r="AR1776" s="114"/>
      <c r="AS1776" s="114"/>
      <c r="AT1776" s="114"/>
      <c r="AU1776" s="114"/>
      <c r="AV1776" s="114"/>
      <c r="AW1776" s="114"/>
      <c r="AX1776" s="114"/>
      <c r="AY1776" s="114"/>
      <c r="AZ1776" s="114"/>
    </row>
    <row r="1777" spans="1:52">
      <c r="A1777" s="111"/>
      <c r="B1777" s="111"/>
      <c r="C1777" s="112"/>
      <c r="D1777" s="101"/>
      <c r="E1777" s="101"/>
      <c r="F1777" s="101"/>
      <c r="G1777" s="111"/>
      <c r="H1777" s="101"/>
      <c r="I1777" s="101"/>
      <c r="J1777" s="101"/>
      <c r="K1777" s="101"/>
      <c r="L1777" s="101"/>
      <c r="M1777" s="101"/>
      <c r="N1777" s="101"/>
      <c r="O1777" s="101"/>
      <c r="P1777" s="101"/>
      <c r="Q1777" s="101"/>
      <c r="R1777" s="101"/>
      <c r="S1777" s="101"/>
      <c r="T1777" s="101"/>
      <c r="U1777" s="101"/>
      <c r="V1777" s="101"/>
      <c r="W1777" s="101"/>
      <c r="X1777" s="101"/>
      <c r="Y1777" s="114"/>
      <c r="Z1777" s="114"/>
      <c r="AA1777" s="114"/>
      <c r="AB1777" s="114"/>
      <c r="AC1777" s="114"/>
      <c r="AD1777" s="114"/>
      <c r="AE1777" s="114"/>
      <c r="AF1777" s="114"/>
      <c r="AG1777" s="114"/>
      <c r="AH1777" s="114"/>
      <c r="AI1777" s="114"/>
      <c r="AJ1777" s="114"/>
      <c r="AK1777" s="114"/>
      <c r="AL1777" s="114"/>
      <c r="AM1777" s="114"/>
      <c r="AN1777" s="114"/>
      <c r="AO1777" s="114"/>
      <c r="AP1777" s="114"/>
      <c r="AQ1777" s="114"/>
      <c r="AR1777" s="114"/>
      <c r="AS1777" s="114"/>
      <c r="AT1777" s="114"/>
      <c r="AU1777" s="114"/>
      <c r="AV1777" s="114"/>
      <c r="AW1777" s="114"/>
      <c r="AX1777" s="114"/>
      <c r="AY1777" s="114"/>
      <c r="AZ1777" s="114"/>
    </row>
    <row r="1778" spans="1:52">
      <c r="A1778" s="111"/>
      <c r="B1778" s="111"/>
      <c r="C1778" s="112"/>
      <c r="D1778" s="101"/>
      <c r="E1778" s="101"/>
      <c r="F1778" s="101"/>
      <c r="G1778" s="111"/>
      <c r="H1778" s="101"/>
      <c r="I1778" s="101"/>
      <c r="J1778" s="101"/>
      <c r="K1778" s="101"/>
      <c r="L1778" s="101"/>
      <c r="M1778" s="101"/>
      <c r="N1778" s="101"/>
      <c r="O1778" s="101"/>
      <c r="P1778" s="101"/>
      <c r="Q1778" s="101"/>
      <c r="R1778" s="101"/>
      <c r="S1778" s="101"/>
      <c r="T1778" s="101"/>
      <c r="U1778" s="101"/>
      <c r="V1778" s="101"/>
      <c r="W1778" s="101"/>
      <c r="X1778" s="101"/>
      <c r="Y1778" s="114"/>
      <c r="Z1778" s="114"/>
      <c r="AA1778" s="114"/>
      <c r="AB1778" s="114"/>
      <c r="AC1778" s="114"/>
      <c r="AD1778" s="114"/>
      <c r="AE1778" s="114"/>
      <c r="AF1778" s="114"/>
      <c r="AG1778" s="114"/>
      <c r="AH1778" s="114"/>
      <c r="AI1778" s="114"/>
      <c r="AJ1778" s="114"/>
      <c r="AK1778" s="114"/>
      <c r="AL1778" s="114"/>
      <c r="AM1778" s="114"/>
      <c r="AN1778" s="114"/>
      <c r="AO1778" s="114"/>
      <c r="AP1778" s="114"/>
      <c r="AQ1778" s="114"/>
      <c r="AR1778" s="114"/>
      <c r="AS1778" s="114"/>
      <c r="AT1778" s="114"/>
      <c r="AU1778" s="114"/>
      <c r="AV1778" s="114"/>
      <c r="AW1778" s="114"/>
      <c r="AX1778" s="114"/>
      <c r="AY1778" s="114"/>
      <c r="AZ1778" s="114"/>
    </row>
    <row r="1779" spans="1:52">
      <c r="A1779" s="111"/>
      <c r="B1779" s="111"/>
      <c r="C1779" s="112"/>
      <c r="D1779" s="101"/>
      <c r="E1779" s="101"/>
      <c r="F1779" s="101"/>
      <c r="G1779" s="111"/>
      <c r="H1779" s="101"/>
      <c r="I1779" s="101"/>
      <c r="J1779" s="101"/>
      <c r="K1779" s="101"/>
      <c r="L1779" s="101"/>
      <c r="M1779" s="101"/>
      <c r="N1779" s="101"/>
      <c r="O1779" s="101"/>
      <c r="P1779" s="101"/>
      <c r="Q1779" s="101"/>
      <c r="R1779" s="101"/>
      <c r="S1779" s="101"/>
      <c r="T1779" s="101"/>
      <c r="U1779" s="101"/>
      <c r="V1779" s="101"/>
      <c r="W1779" s="101"/>
      <c r="X1779" s="101"/>
      <c r="Y1779" s="114"/>
      <c r="Z1779" s="114"/>
      <c r="AA1779" s="114"/>
      <c r="AB1779" s="114"/>
      <c r="AC1779" s="114"/>
      <c r="AD1779" s="114"/>
      <c r="AE1779" s="114"/>
      <c r="AF1779" s="114"/>
      <c r="AG1779" s="114"/>
      <c r="AH1779" s="114"/>
      <c r="AI1779" s="114"/>
      <c r="AJ1779" s="114"/>
      <c r="AK1779" s="114"/>
      <c r="AL1779" s="114"/>
      <c r="AM1779" s="114"/>
      <c r="AN1779" s="114"/>
      <c r="AO1779" s="114"/>
      <c r="AP1779" s="114"/>
      <c r="AQ1779" s="114"/>
      <c r="AR1779" s="114"/>
      <c r="AS1779" s="114"/>
      <c r="AT1779" s="114"/>
      <c r="AU1779" s="114"/>
      <c r="AV1779" s="114"/>
      <c r="AW1779" s="114"/>
      <c r="AX1779" s="114"/>
      <c r="AY1779" s="114"/>
      <c r="AZ1779" s="114"/>
    </row>
    <row r="1780" spans="1:52">
      <c r="A1780" s="111"/>
      <c r="B1780" s="111"/>
      <c r="C1780" s="112"/>
      <c r="D1780" s="101"/>
      <c r="E1780" s="101"/>
      <c r="F1780" s="101"/>
      <c r="G1780" s="111"/>
      <c r="H1780" s="101"/>
      <c r="I1780" s="101"/>
      <c r="J1780" s="101"/>
      <c r="K1780" s="101"/>
      <c r="L1780" s="101"/>
      <c r="M1780" s="101"/>
      <c r="N1780" s="101"/>
      <c r="O1780" s="101"/>
      <c r="P1780" s="101"/>
      <c r="Q1780" s="101"/>
      <c r="R1780" s="101"/>
      <c r="S1780" s="101"/>
      <c r="T1780" s="101"/>
      <c r="U1780" s="101"/>
      <c r="V1780" s="101"/>
      <c r="W1780" s="101"/>
      <c r="X1780" s="101"/>
      <c r="Y1780" s="114"/>
      <c r="Z1780" s="114"/>
      <c r="AA1780" s="114"/>
      <c r="AB1780" s="114"/>
      <c r="AC1780" s="114"/>
      <c r="AD1780" s="114"/>
      <c r="AE1780" s="114"/>
      <c r="AF1780" s="114"/>
      <c r="AG1780" s="114"/>
      <c r="AH1780" s="114"/>
      <c r="AI1780" s="114"/>
      <c r="AJ1780" s="114"/>
      <c r="AK1780" s="114"/>
      <c r="AL1780" s="114"/>
      <c r="AM1780" s="114"/>
      <c r="AN1780" s="114"/>
      <c r="AO1780" s="114"/>
      <c r="AP1780" s="114"/>
      <c r="AQ1780" s="114"/>
      <c r="AR1780" s="114"/>
      <c r="AS1780" s="114"/>
      <c r="AT1780" s="114"/>
      <c r="AU1780" s="114"/>
      <c r="AV1780" s="114"/>
      <c r="AW1780" s="114"/>
      <c r="AX1780" s="114"/>
      <c r="AY1780" s="114"/>
      <c r="AZ1780" s="114"/>
    </row>
    <row r="1781" spans="1:52">
      <c r="A1781" s="111"/>
      <c r="B1781" s="111"/>
      <c r="C1781" s="112"/>
      <c r="D1781" s="101"/>
      <c r="E1781" s="101"/>
      <c r="F1781" s="101"/>
      <c r="G1781" s="111"/>
      <c r="H1781" s="101"/>
      <c r="I1781" s="101"/>
      <c r="J1781" s="101"/>
      <c r="K1781" s="101"/>
      <c r="L1781" s="101"/>
      <c r="M1781" s="101"/>
      <c r="N1781" s="101"/>
      <c r="O1781" s="101"/>
      <c r="P1781" s="101"/>
      <c r="Q1781" s="101"/>
      <c r="R1781" s="101"/>
      <c r="S1781" s="101"/>
      <c r="T1781" s="101"/>
      <c r="U1781" s="101"/>
      <c r="V1781" s="101"/>
      <c r="W1781" s="101"/>
      <c r="X1781" s="101"/>
      <c r="Y1781" s="114"/>
      <c r="Z1781" s="114"/>
      <c r="AA1781" s="114"/>
      <c r="AB1781" s="114"/>
      <c r="AC1781" s="114"/>
      <c r="AD1781" s="114"/>
      <c r="AE1781" s="114"/>
      <c r="AF1781" s="114"/>
      <c r="AG1781" s="114"/>
      <c r="AH1781" s="114"/>
      <c r="AI1781" s="114"/>
      <c r="AJ1781" s="114"/>
      <c r="AK1781" s="114"/>
      <c r="AL1781" s="114"/>
      <c r="AM1781" s="114"/>
      <c r="AN1781" s="114"/>
      <c r="AO1781" s="114"/>
      <c r="AP1781" s="114"/>
      <c r="AQ1781" s="114"/>
      <c r="AR1781" s="114"/>
      <c r="AS1781" s="114"/>
      <c r="AT1781" s="114"/>
      <c r="AU1781" s="114"/>
      <c r="AV1781" s="114"/>
      <c r="AW1781" s="114"/>
      <c r="AX1781" s="114"/>
      <c r="AY1781" s="114"/>
      <c r="AZ1781" s="114"/>
    </row>
    <row r="1782" spans="1:52">
      <c r="A1782" s="111"/>
      <c r="B1782" s="111"/>
      <c r="C1782" s="112"/>
      <c r="D1782" s="101"/>
      <c r="E1782" s="101"/>
      <c r="F1782" s="101"/>
      <c r="G1782" s="111"/>
      <c r="H1782" s="101"/>
      <c r="I1782" s="101"/>
      <c r="J1782" s="101"/>
      <c r="K1782" s="101"/>
      <c r="L1782" s="101"/>
      <c r="M1782" s="101"/>
      <c r="N1782" s="101"/>
      <c r="O1782" s="101"/>
      <c r="P1782" s="101"/>
      <c r="Q1782" s="101"/>
      <c r="R1782" s="101"/>
      <c r="S1782" s="101"/>
      <c r="T1782" s="101"/>
      <c r="U1782" s="101"/>
      <c r="V1782" s="101"/>
      <c r="W1782" s="101"/>
      <c r="X1782" s="101"/>
      <c r="Y1782" s="114"/>
      <c r="Z1782" s="114"/>
      <c r="AA1782" s="114"/>
      <c r="AB1782" s="114"/>
      <c r="AC1782" s="114"/>
      <c r="AD1782" s="114"/>
      <c r="AE1782" s="114"/>
      <c r="AF1782" s="114"/>
      <c r="AG1782" s="114"/>
      <c r="AH1782" s="114"/>
      <c r="AI1782" s="114"/>
      <c r="AJ1782" s="114"/>
      <c r="AK1782" s="114"/>
      <c r="AL1782" s="114"/>
      <c r="AM1782" s="114"/>
      <c r="AN1782" s="114"/>
      <c r="AO1782" s="114"/>
      <c r="AP1782" s="114"/>
      <c r="AQ1782" s="114"/>
      <c r="AR1782" s="114"/>
      <c r="AS1782" s="114"/>
      <c r="AT1782" s="114"/>
      <c r="AU1782" s="114"/>
      <c r="AV1782" s="114"/>
      <c r="AW1782" s="114"/>
      <c r="AX1782" s="114"/>
      <c r="AY1782" s="114"/>
      <c r="AZ1782" s="114"/>
    </row>
    <row r="1783" spans="1:52">
      <c r="A1783" s="111"/>
      <c r="B1783" s="111"/>
      <c r="C1783" s="112"/>
      <c r="D1783" s="101"/>
      <c r="E1783" s="101"/>
      <c r="F1783" s="101"/>
      <c r="G1783" s="111"/>
      <c r="H1783" s="101"/>
      <c r="I1783" s="101"/>
      <c r="J1783" s="101"/>
      <c r="K1783" s="101"/>
      <c r="L1783" s="101"/>
      <c r="M1783" s="101"/>
      <c r="N1783" s="101"/>
      <c r="O1783" s="101"/>
      <c r="P1783" s="101"/>
      <c r="Q1783" s="101"/>
      <c r="R1783" s="101"/>
      <c r="S1783" s="101"/>
      <c r="T1783" s="101"/>
      <c r="U1783" s="101"/>
      <c r="V1783" s="101"/>
      <c r="W1783" s="101"/>
      <c r="X1783" s="101"/>
      <c r="Y1783" s="114"/>
      <c r="Z1783" s="114"/>
      <c r="AA1783" s="114"/>
      <c r="AB1783" s="114"/>
      <c r="AC1783" s="114"/>
      <c r="AD1783" s="114"/>
      <c r="AE1783" s="114"/>
      <c r="AF1783" s="114"/>
      <c r="AG1783" s="114"/>
      <c r="AH1783" s="114"/>
      <c r="AI1783" s="114"/>
      <c r="AJ1783" s="114"/>
      <c r="AK1783" s="114"/>
      <c r="AL1783" s="114"/>
      <c r="AM1783" s="114"/>
      <c r="AN1783" s="114"/>
      <c r="AO1783" s="114"/>
      <c r="AP1783" s="114"/>
      <c r="AQ1783" s="114"/>
      <c r="AR1783" s="114"/>
      <c r="AS1783" s="114"/>
      <c r="AT1783" s="114"/>
      <c r="AU1783" s="114"/>
      <c r="AV1783" s="114"/>
      <c r="AW1783" s="114"/>
      <c r="AX1783" s="114"/>
      <c r="AY1783" s="114"/>
      <c r="AZ1783" s="114"/>
    </row>
    <row r="1784" spans="1:52">
      <c r="A1784" s="111"/>
      <c r="B1784" s="111"/>
      <c r="C1784" s="112"/>
      <c r="D1784" s="101"/>
      <c r="E1784" s="101"/>
      <c r="F1784" s="101"/>
      <c r="G1784" s="111"/>
      <c r="H1784" s="101"/>
      <c r="I1784" s="101"/>
      <c r="J1784" s="101"/>
      <c r="K1784" s="101"/>
      <c r="L1784" s="101"/>
      <c r="M1784" s="101"/>
      <c r="N1784" s="101"/>
      <c r="O1784" s="101"/>
      <c r="P1784" s="101"/>
      <c r="Q1784" s="101"/>
      <c r="R1784" s="101"/>
      <c r="S1784" s="101"/>
      <c r="T1784" s="101"/>
      <c r="U1784" s="101"/>
      <c r="V1784" s="101"/>
      <c r="W1784" s="101"/>
      <c r="X1784" s="101"/>
      <c r="Y1784" s="114"/>
      <c r="Z1784" s="114"/>
      <c r="AA1784" s="114"/>
      <c r="AB1784" s="114"/>
      <c r="AC1784" s="114"/>
      <c r="AD1784" s="114"/>
      <c r="AE1784" s="114"/>
      <c r="AF1784" s="114"/>
      <c r="AG1784" s="114"/>
      <c r="AH1784" s="114"/>
      <c r="AI1784" s="114"/>
      <c r="AJ1784" s="114"/>
      <c r="AK1784" s="114"/>
      <c r="AL1784" s="114"/>
      <c r="AM1784" s="114"/>
      <c r="AN1784" s="114"/>
      <c r="AO1784" s="114"/>
      <c r="AP1784" s="114"/>
      <c r="AQ1784" s="114"/>
      <c r="AR1784" s="114"/>
      <c r="AS1784" s="114"/>
      <c r="AT1784" s="114"/>
      <c r="AU1784" s="114"/>
      <c r="AV1784" s="114"/>
      <c r="AW1784" s="114"/>
      <c r="AX1784" s="114"/>
      <c r="AY1784" s="114"/>
      <c r="AZ1784" s="114"/>
    </row>
    <row r="1785" spans="1:52">
      <c r="A1785" s="111"/>
      <c r="B1785" s="111"/>
      <c r="C1785" s="112"/>
      <c r="D1785" s="101"/>
      <c r="E1785" s="101"/>
      <c r="F1785" s="101"/>
      <c r="G1785" s="111"/>
      <c r="H1785" s="101"/>
      <c r="I1785" s="101"/>
      <c r="J1785" s="101"/>
      <c r="K1785" s="101"/>
      <c r="L1785" s="101"/>
      <c r="M1785" s="101"/>
      <c r="N1785" s="101"/>
      <c r="O1785" s="101"/>
      <c r="P1785" s="101"/>
      <c r="Q1785" s="101"/>
      <c r="R1785" s="101"/>
      <c r="S1785" s="101"/>
      <c r="T1785" s="101"/>
      <c r="U1785" s="101"/>
      <c r="V1785" s="101"/>
      <c r="W1785" s="101"/>
      <c r="X1785" s="101"/>
      <c r="Y1785" s="114"/>
      <c r="Z1785" s="114"/>
      <c r="AA1785" s="114"/>
      <c r="AB1785" s="114"/>
      <c r="AC1785" s="114"/>
      <c r="AD1785" s="114"/>
      <c r="AE1785" s="114"/>
      <c r="AF1785" s="114"/>
      <c r="AG1785" s="114"/>
      <c r="AH1785" s="114"/>
      <c r="AI1785" s="114"/>
      <c r="AJ1785" s="114"/>
      <c r="AK1785" s="114"/>
      <c r="AL1785" s="114"/>
      <c r="AM1785" s="114"/>
      <c r="AN1785" s="114"/>
      <c r="AO1785" s="114"/>
      <c r="AP1785" s="114"/>
      <c r="AQ1785" s="114"/>
      <c r="AR1785" s="114"/>
      <c r="AS1785" s="114"/>
      <c r="AT1785" s="114"/>
      <c r="AU1785" s="114"/>
      <c r="AV1785" s="114"/>
      <c r="AW1785" s="114"/>
      <c r="AX1785" s="114"/>
      <c r="AY1785" s="114"/>
      <c r="AZ1785" s="114"/>
    </row>
    <row r="1786" spans="1:52">
      <c r="A1786" s="111"/>
      <c r="B1786" s="111"/>
      <c r="C1786" s="112"/>
      <c r="D1786" s="101"/>
      <c r="E1786" s="101"/>
      <c r="F1786" s="101"/>
      <c r="G1786" s="111"/>
      <c r="H1786" s="101"/>
      <c r="I1786" s="101"/>
      <c r="J1786" s="101"/>
      <c r="K1786" s="101"/>
      <c r="L1786" s="101"/>
      <c r="M1786" s="101"/>
      <c r="N1786" s="101"/>
      <c r="O1786" s="101"/>
      <c r="P1786" s="101"/>
      <c r="Q1786" s="101"/>
      <c r="R1786" s="101"/>
      <c r="S1786" s="101"/>
      <c r="T1786" s="101"/>
      <c r="U1786" s="101"/>
      <c r="V1786" s="101"/>
      <c r="W1786" s="101"/>
      <c r="X1786" s="101"/>
      <c r="Y1786" s="114"/>
      <c r="Z1786" s="114"/>
      <c r="AA1786" s="114"/>
      <c r="AB1786" s="114"/>
      <c r="AC1786" s="114"/>
      <c r="AD1786" s="114"/>
      <c r="AE1786" s="114"/>
      <c r="AF1786" s="114"/>
      <c r="AG1786" s="114"/>
      <c r="AH1786" s="114"/>
      <c r="AI1786" s="114"/>
      <c r="AJ1786" s="114"/>
      <c r="AK1786" s="114"/>
      <c r="AL1786" s="114"/>
      <c r="AM1786" s="114"/>
      <c r="AN1786" s="114"/>
      <c r="AO1786" s="114"/>
      <c r="AP1786" s="114"/>
      <c r="AQ1786" s="114"/>
      <c r="AR1786" s="114"/>
      <c r="AS1786" s="114"/>
      <c r="AT1786" s="114"/>
      <c r="AU1786" s="114"/>
      <c r="AV1786" s="114"/>
      <c r="AW1786" s="114"/>
      <c r="AX1786" s="114"/>
      <c r="AY1786" s="114"/>
      <c r="AZ1786" s="114"/>
    </row>
    <row r="1787" spans="1:52">
      <c r="A1787" s="111"/>
      <c r="B1787" s="111"/>
      <c r="C1787" s="112"/>
      <c r="D1787" s="101"/>
      <c r="E1787" s="101"/>
      <c r="F1787" s="101"/>
      <c r="G1787" s="111"/>
      <c r="H1787" s="101"/>
      <c r="I1787" s="101"/>
      <c r="J1787" s="101"/>
      <c r="K1787" s="101"/>
      <c r="L1787" s="101"/>
      <c r="M1787" s="101"/>
      <c r="N1787" s="101"/>
      <c r="O1787" s="101"/>
      <c r="P1787" s="101"/>
      <c r="Q1787" s="101"/>
      <c r="R1787" s="101"/>
      <c r="S1787" s="101"/>
      <c r="T1787" s="101"/>
      <c r="U1787" s="101"/>
      <c r="V1787" s="101"/>
      <c r="W1787" s="101"/>
      <c r="X1787" s="101"/>
      <c r="Y1787" s="114"/>
      <c r="Z1787" s="114"/>
      <c r="AA1787" s="114"/>
      <c r="AB1787" s="114"/>
      <c r="AC1787" s="114"/>
      <c r="AD1787" s="114"/>
      <c r="AE1787" s="114"/>
      <c r="AF1787" s="114"/>
      <c r="AG1787" s="114"/>
      <c r="AH1787" s="114"/>
      <c r="AI1787" s="114"/>
      <c r="AJ1787" s="114"/>
      <c r="AK1787" s="114"/>
      <c r="AL1787" s="114"/>
      <c r="AM1787" s="114"/>
      <c r="AN1787" s="114"/>
      <c r="AO1787" s="114"/>
      <c r="AP1787" s="114"/>
      <c r="AQ1787" s="114"/>
      <c r="AR1787" s="114"/>
      <c r="AS1787" s="114"/>
      <c r="AT1787" s="114"/>
      <c r="AU1787" s="114"/>
      <c r="AV1787" s="114"/>
      <c r="AW1787" s="114"/>
      <c r="AX1787" s="114"/>
      <c r="AY1787" s="114"/>
      <c r="AZ1787" s="114"/>
    </row>
    <row r="1788" spans="1:52">
      <c r="A1788" s="111"/>
      <c r="B1788" s="111"/>
      <c r="C1788" s="112"/>
      <c r="D1788" s="101"/>
      <c r="E1788" s="101"/>
      <c r="F1788" s="101"/>
      <c r="G1788" s="111"/>
      <c r="H1788" s="101"/>
      <c r="I1788" s="101"/>
      <c r="J1788" s="101"/>
      <c r="K1788" s="101"/>
      <c r="L1788" s="101"/>
      <c r="M1788" s="101"/>
      <c r="N1788" s="101"/>
      <c r="O1788" s="101"/>
      <c r="P1788" s="101"/>
      <c r="Q1788" s="101"/>
      <c r="R1788" s="101"/>
      <c r="S1788" s="101"/>
      <c r="T1788" s="101"/>
      <c r="U1788" s="101"/>
      <c r="V1788" s="101"/>
      <c r="W1788" s="101"/>
      <c r="X1788" s="101"/>
      <c r="Y1788" s="114"/>
      <c r="Z1788" s="114"/>
      <c r="AA1788" s="114"/>
      <c r="AB1788" s="114"/>
      <c r="AC1788" s="114"/>
      <c r="AD1788" s="114"/>
      <c r="AE1788" s="114"/>
      <c r="AF1788" s="114"/>
      <c r="AG1788" s="114"/>
      <c r="AH1788" s="114"/>
      <c r="AI1788" s="114"/>
      <c r="AJ1788" s="114"/>
      <c r="AK1788" s="114"/>
      <c r="AL1788" s="114"/>
      <c r="AM1788" s="114"/>
      <c r="AN1788" s="114"/>
      <c r="AO1788" s="114"/>
      <c r="AP1788" s="114"/>
      <c r="AQ1788" s="114"/>
      <c r="AR1788" s="114"/>
      <c r="AS1788" s="114"/>
      <c r="AT1788" s="114"/>
      <c r="AU1788" s="114"/>
      <c r="AV1788" s="114"/>
      <c r="AW1788" s="114"/>
      <c r="AX1788" s="114"/>
      <c r="AY1788" s="114"/>
      <c r="AZ1788" s="114"/>
    </row>
    <row r="1789" spans="1:52">
      <c r="A1789" s="111"/>
      <c r="B1789" s="111"/>
      <c r="C1789" s="112"/>
      <c r="D1789" s="101"/>
      <c r="E1789" s="101"/>
      <c r="F1789" s="101"/>
      <c r="G1789" s="111"/>
      <c r="H1789" s="101"/>
      <c r="I1789" s="101"/>
      <c r="J1789" s="101"/>
      <c r="K1789" s="101"/>
      <c r="L1789" s="101"/>
      <c r="M1789" s="101"/>
      <c r="N1789" s="101"/>
      <c r="O1789" s="101"/>
      <c r="P1789" s="101"/>
      <c r="Q1789" s="101"/>
      <c r="R1789" s="101"/>
      <c r="S1789" s="101"/>
      <c r="T1789" s="101"/>
      <c r="U1789" s="101"/>
      <c r="V1789" s="101"/>
      <c r="W1789" s="101"/>
      <c r="X1789" s="101"/>
      <c r="Y1789" s="114"/>
      <c r="Z1789" s="114"/>
      <c r="AA1789" s="114"/>
      <c r="AB1789" s="114"/>
      <c r="AC1789" s="114"/>
      <c r="AD1789" s="114"/>
      <c r="AE1789" s="114"/>
      <c r="AF1789" s="114"/>
      <c r="AG1789" s="114"/>
      <c r="AH1789" s="114"/>
      <c r="AI1789" s="114"/>
      <c r="AJ1789" s="114"/>
      <c r="AK1789" s="114"/>
      <c r="AL1789" s="114"/>
      <c r="AM1789" s="114"/>
      <c r="AN1789" s="114"/>
      <c r="AO1789" s="114"/>
      <c r="AP1789" s="114"/>
      <c r="AQ1789" s="114"/>
      <c r="AR1789" s="114"/>
      <c r="AS1789" s="114"/>
      <c r="AT1789" s="114"/>
      <c r="AU1789" s="114"/>
      <c r="AV1789" s="114"/>
      <c r="AW1789" s="114"/>
      <c r="AX1789" s="114"/>
      <c r="AY1789" s="114"/>
      <c r="AZ1789" s="114"/>
    </row>
    <row r="1790" spans="1:52">
      <c r="A1790" s="111"/>
      <c r="B1790" s="111"/>
      <c r="C1790" s="112"/>
      <c r="D1790" s="101"/>
      <c r="E1790" s="101"/>
      <c r="F1790" s="101"/>
      <c r="G1790" s="111"/>
      <c r="H1790" s="101"/>
      <c r="I1790" s="101"/>
      <c r="J1790" s="101"/>
      <c r="K1790" s="101"/>
      <c r="L1790" s="101"/>
      <c r="M1790" s="101"/>
      <c r="N1790" s="101"/>
      <c r="O1790" s="101"/>
      <c r="P1790" s="101"/>
      <c r="Q1790" s="101"/>
      <c r="R1790" s="101"/>
      <c r="S1790" s="101"/>
      <c r="T1790" s="101"/>
      <c r="U1790" s="101"/>
      <c r="V1790" s="101"/>
      <c r="W1790" s="101"/>
      <c r="X1790" s="101"/>
      <c r="Y1790" s="114"/>
      <c r="Z1790" s="114"/>
      <c r="AA1790" s="114"/>
      <c r="AB1790" s="114"/>
      <c r="AC1790" s="114"/>
      <c r="AD1790" s="114"/>
      <c r="AE1790" s="114"/>
      <c r="AF1790" s="114"/>
      <c r="AG1790" s="114"/>
      <c r="AH1790" s="114"/>
      <c r="AI1790" s="114"/>
      <c r="AJ1790" s="114"/>
      <c r="AK1790" s="114"/>
      <c r="AL1790" s="114"/>
      <c r="AM1790" s="114"/>
      <c r="AN1790" s="114"/>
      <c r="AO1790" s="114"/>
      <c r="AP1790" s="114"/>
      <c r="AQ1790" s="114"/>
      <c r="AR1790" s="114"/>
      <c r="AS1790" s="114"/>
      <c r="AT1790" s="114"/>
      <c r="AU1790" s="114"/>
      <c r="AV1790" s="114"/>
      <c r="AW1790" s="114"/>
      <c r="AX1790" s="114"/>
      <c r="AY1790" s="114"/>
      <c r="AZ1790" s="114"/>
    </row>
    <row r="1791" spans="1:52">
      <c r="A1791" s="111"/>
      <c r="B1791" s="111"/>
      <c r="C1791" s="112"/>
      <c r="D1791" s="101"/>
      <c r="E1791" s="101"/>
      <c r="F1791" s="101"/>
      <c r="G1791" s="111"/>
      <c r="H1791" s="101"/>
      <c r="I1791" s="101"/>
      <c r="J1791" s="101"/>
      <c r="K1791" s="101"/>
      <c r="L1791" s="101"/>
      <c r="M1791" s="101"/>
      <c r="N1791" s="101"/>
      <c r="O1791" s="101"/>
      <c r="P1791" s="101"/>
      <c r="Q1791" s="101"/>
      <c r="R1791" s="101"/>
      <c r="S1791" s="101"/>
      <c r="T1791" s="101"/>
      <c r="U1791" s="101"/>
      <c r="V1791" s="101"/>
      <c r="W1791" s="101"/>
      <c r="X1791" s="101"/>
      <c r="Y1791" s="114"/>
      <c r="Z1791" s="114"/>
      <c r="AA1791" s="114"/>
      <c r="AB1791" s="114"/>
      <c r="AC1791" s="114"/>
      <c r="AD1791" s="114"/>
      <c r="AE1791" s="114"/>
      <c r="AF1791" s="114"/>
      <c r="AG1791" s="114"/>
      <c r="AH1791" s="114"/>
      <c r="AI1791" s="114"/>
      <c r="AJ1791" s="114"/>
      <c r="AK1791" s="114"/>
      <c r="AL1791" s="114"/>
      <c r="AM1791" s="114"/>
      <c r="AN1791" s="114"/>
      <c r="AO1791" s="114"/>
      <c r="AP1791" s="114"/>
      <c r="AQ1791" s="114"/>
      <c r="AR1791" s="114"/>
      <c r="AS1791" s="114"/>
      <c r="AT1791" s="114"/>
      <c r="AU1791" s="114"/>
      <c r="AV1791" s="114"/>
      <c r="AW1791" s="114"/>
      <c r="AX1791" s="114"/>
      <c r="AY1791" s="114"/>
      <c r="AZ1791" s="114"/>
    </row>
    <row r="1792" spans="1:52">
      <c r="A1792" s="111"/>
      <c r="B1792" s="111"/>
      <c r="C1792" s="112"/>
      <c r="D1792" s="101"/>
      <c r="E1792" s="101"/>
      <c r="F1792" s="101"/>
      <c r="G1792" s="111"/>
      <c r="H1792" s="101"/>
      <c r="I1792" s="101"/>
      <c r="J1792" s="101"/>
      <c r="K1792" s="101"/>
      <c r="L1792" s="101"/>
      <c r="M1792" s="101"/>
      <c r="N1792" s="101"/>
      <c r="O1792" s="101"/>
      <c r="P1792" s="101"/>
      <c r="Q1792" s="101"/>
      <c r="R1792" s="101"/>
      <c r="S1792" s="101"/>
      <c r="T1792" s="101"/>
      <c r="U1792" s="101"/>
      <c r="V1792" s="101"/>
      <c r="W1792" s="101"/>
      <c r="X1792" s="101"/>
      <c r="Y1792" s="114"/>
      <c r="Z1792" s="114"/>
      <c r="AA1792" s="114"/>
      <c r="AB1792" s="114"/>
      <c r="AC1792" s="114"/>
      <c r="AD1792" s="114"/>
      <c r="AE1792" s="114"/>
      <c r="AF1792" s="114"/>
      <c r="AG1792" s="114"/>
      <c r="AH1792" s="114"/>
      <c r="AI1792" s="114"/>
      <c r="AJ1792" s="114"/>
      <c r="AK1792" s="114"/>
      <c r="AL1792" s="114"/>
      <c r="AM1792" s="114"/>
      <c r="AN1792" s="114"/>
      <c r="AO1792" s="114"/>
      <c r="AP1792" s="114"/>
      <c r="AQ1792" s="114"/>
      <c r="AR1792" s="114"/>
      <c r="AS1792" s="114"/>
      <c r="AT1792" s="114"/>
      <c r="AU1792" s="114"/>
      <c r="AV1792" s="114"/>
      <c r="AW1792" s="114"/>
      <c r="AX1792" s="114"/>
      <c r="AY1792" s="114"/>
      <c r="AZ1792" s="114"/>
    </row>
    <row r="1793" spans="1:52">
      <c r="A1793" s="111"/>
      <c r="B1793" s="111"/>
      <c r="C1793" s="112"/>
      <c r="D1793" s="101"/>
      <c r="E1793" s="101"/>
      <c r="F1793" s="101"/>
      <c r="G1793" s="111"/>
      <c r="H1793" s="101"/>
      <c r="I1793" s="101"/>
      <c r="J1793" s="101"/>
      <c r="K1793" s="101"/>
      <c r="L1793" s="101"/>
      <c r="M1793" s="101"/>
      <c r="N1793" s="101"/>
      <c r="O1793" s="101"/>
      <c r="P1793" s="101"/>
      <c r="Q1793" s="101"/>
      <c r="R1793" s="101"/>
      <c r="S1793" s="101"/>
      <c r="T1793" s="101"/>
      <c r="U1793" s="101"/>
      <c r="V1793" s="101"/>
      <c r="W1793" s="101"/>
      <c r="X1793" s="101"/>
      <c r="Y1793" s="114"/>
      <c r="Z1793" s="114"/>
      <c r="AA1793" s="114"/>
      <c r="AB1793" s="114"/>
      <c r="AC1793" s="114"/>
      <c r="AD1793" s="114"/>
      <c r="AE1793" s="114"/>
      <c r="AF1793" s="114"/>
      <c r="AG1793" s="114"/>
      <c r="AH1793" s="114"/>
      <c r="AI1793" s="114"/>
      <c r="AJ1793" s="114"/>
      <c r="AK1793" s="114"/>
      <c r="AL1793" s="114"/>
      <c r="AM1793" s="114"/>
      <c r="AN1793" s="114"/>
      <c r="AO1793" s="114"/>
      <c r="AP1793" s="114"/>
      <c r="AQ1793" s="114"/>
      <c r="AR1793" s="114"/>
      <c r="AS1793" s="114"/>
      <c r="AT1793" s="114"/>
      <c r="AU1793" s="114"/>
      <c r="AV1793" s="114"/>
      <c r="AW1793" s="114"/>
      <c r="AX1793" s="114"/>
      <c r="AY1793" s="114"/>
      <c r="AZ1793" s="114"/>
    </row>
    <row r="1794" spans="1:52">
      <c r="A1794" s="111"/>
      <c r="B1794" s="111"/>
      <c r="C1794" s="112"/>
      <c r="D1794" s="101"/>
      <c r="E1794" s="101"/>
      <c r="F1794" s="101"/>
      <c r="G1794" s="111"/>
      <c r="H1794" s="101"/>
      <c r="I1794" s="101"/>
      <c r="J1794" s="101"/>
      <c r="K1794" s="101"/>
      <c r="L1794" s="101"/>
      <c r="M1794" s="101"/>
      <c r="N1794" s="101"/>
      <c r="O1794" s="101"/>
      <c r="P1794" s="101"/>
      <c r="Q1794" s="101"/>
      <c r="R1794" s="101"/>
      <c r="S1794" s="101"/>
      <c r="T1794" s="101"/>
      <c r="U1794" s="101"/>
      <c r="V1794" s="101"/>
      <c r="W1794" s="101"/>
      <c r="X1794" s="101"/>
      <c r="Y1794" s="114"/>
      <c r="Z1794" s="114"/>
      <c r="AA1794" s="114"/>
      <c r="AB1794" s="114"/>
      <c r="AC1794" s="114"/>
      <c r="AD1794" s="114"/>
      <c r="AE1794" s="114"/>
      <c r="AF1794" s="114"/>
      <c r="AG1794" s="114"/>
      <c r="AH1794" s="114"/>
      <c r="AI1794" s="114"/>
      <c r="AJ1794" s="114"/>
      <c r="AK1794" s="114"/>
      <c r="AL1794" s="114"/>
      <c r="AM1794" s="114"/>
      <c r="AN1794" s="114"/>
      <c r="AO1794" s="114"/>
      <c r="AP1794" s="114"/>
      <c r="AQ1794" s="114"/>
      <c r="AR1794" s="114"/>
      <c r="AS1794" s="114"/>
      <c r="AT1794" s="114"/>
      <c r="AU1794" s="114"/>
      <c r="AV1794" s="114"/>
      <c r="AW1794" s="114"/>
      <c r="AX1794" s="114"/>
      <c r="AY1794" s="114"/>
      <c r="AZ1794" s="114"/>
    </row>
    <row r="1795" spans="1:52">
      <c r="A1795" s="111"/>
      <c r="B1795" s="111"/>
      <c r="C1795" s="112"/>
      <c r="D1795" s="101"/>
      <c r="E1795" s="101"/>
      <c r="F1795" s="101"/>
      <c r="G1795" s="111"/>
      <c r="H1795" s="101"/>
      <c r="I1795" s="101"/>
      <c r="J1795" s="101"/>
      <c r="K1795" s="101"/>
      <c r="L1795" s="101"/>
      <c r="M1795" s="101"/>
      <c r="N1795" s="101"/>
      <c r="O1795" s="101"/>
      <c r="P1795" s="101"/>
      <c r="Q1795" s="101"/>
      <c r="R1795" s="101"/>
      <c r="S1795" s="101"/>
      <c r="T1795" s="101"/>
      <c r="U1795" s="101"/>
      <c r="V1795" s="101"/>
      <c r="W1795" s="101"/>
      <c r="X1795" s="101"/>
      <c r="Y1795" s="114"/>
      <c r="Z1795" s="114"/>
      <c r="AA1795" s="114"/>
      <c r="AB1795" s="114"/>
      <c r="AC1795" s="114"/>
      <c r="AD1795" s="114"/>
      <c r="AE1795" s="114"/>
      <c r="AF1795" s="114"/>
      <c r="AG1795" s="114"/>
      <c r="AH1795" s="114"/>
      <c r="AI1795" s="114"/>
      <c r="AJ1795" s="114"/>
      <c r="AK1795" s="114"/>
      <c r="AL1795" s="114"/>
      <c r="AM1795" s="114"/>
      <c r="AN1795" s="114"/>
      <c r="AO1795" s="114"/>
      <c r="AP1795" s="114"/>
      <c r="AQ1795" s="114"/>
      <c r="AR1795" s="114"/>
      <c r="AS1795" s="114"/>
      <c r="AT1795" s="114"/>
      <c r="AU1795" s="114"/>
      <c r="AV1795" s="114"/>
      <c r="AW1795" s="114"/>
      <c r="AX1795" s="114"/>
      <c r="AY1795" s="114"/>
      <c r="AZ1795" s="114"/>
    </row>
    <row r="1796" spans="1:52">
      <c r="A1796" s="111"/>
      <c r="B1796" s="111"/>
      <c r="C1796" s="112"/>
      <c r="D1796" s="101"/>
      <c r="E1796" s="101"/>
      <c r="F1796" s="101"/>
      <c r="G1796" s="111"/>
      <c r="H1796" s="101"/>
      <c r="I1796" s="101"/>
      <c r="J1796" s="101"/>
      <c r="K1796" s="101"/>
      <c r="L1796" s="101"/>
      <c r="M1796" s="101"/>
      <c r="N1796" s="101"/>
      <c r="O1796" s="101"/>
      <c r="P1796" s="101"/>
      <c r="Q1796" s="101"/>
      <c r="R1796" s="101"/>
      <c r="S1796" s="101"/>
      <c r="T1796" s="101"/>
      <c r="U1796" s="101"/>
      <c r="V1796" s="101"/>
      <c r="W1796" s="101"/>
      <c r="X1796" s="101"/>
      <c r="Y1796" s="114"/>
      <c r="Z1796" s="114"/>
      <c r="AA1796" s="114"/>
      <c r="AB1796" s="114"/>
      <c r="AC1796" s="114"/>
      <c r="AD1796" s="114"/>
      <c r="AE1796" s="114"/>
      <c r="AF1796" s="114"/>
      <c r="AG1796" s="114"/>
      <c r="AH1796" s="114"/>
      <c r="AI1796" s="114"/>
      <c r="AJ1796" s="114"/>
      <c r="AK1796" s="114"/>
      <c r="AL1796" s="114"/>
      <c r="AM1796" s="114"/>
      <c r="AN1796" s="114"/>
      <c r="AO1796" s="114"/>
      <c r="AP1796" s="114"/>
      <c r="AQ1796" s="114"/>
      <c r="AR1796" s="114"/>
      <c r="AS1796" s="114"/>
      <c r="AT1796" s="114"/>
      <c r="AU1796" s="114"/>
      <c r="AV1796" s="114"/>
      <c r="AW1796" s="114"/>
      <c r="AX1796" s="114"/>
      <c r="AY1796" s="114"/>
      <c r="AZ1796" s="114"/>
    </row>
    <row r="1797" spans="1:52">
      <c r="A1797" s="111"/>
      <c r="B1797" s="111"/>
      <c r="C1797" s="112"/>
      <c r="D1797" s="101"/>
      <c r="E1797" s="101"/>
      <c r="F1797" s="101"/>
      <c r="G1797" s="111"/>
      <c r="H1797" s="101"/>
      <c r="I1797" s="101"/>
      <c r="J1797" s="101"/>
      <c r="K1797" s="101"/>
      <c r="L1797" s="101"/>
      <c r="M1797" s="101"/>
      <c r="N1797" s="101"/>
      <c r="O1797" s="101"/>
      <c r="P1797" s="101"/>
      <c r="Q1797" s="101"/>
      <c r="R1797" s="101"/>
      <c r="S1797" s="101"/>
      <c r="T1797" s="101"/>
      <c r="U1797" s="101"/>
      <c r="V1797" s="101"/>
      <c r="W1797" s="101"/>
      <c r="X1797" s="101"/>
      <c r="Y1797" s="114"/>
      <c r="Z1797" s="114"/>
      <c r="AA1797" s="114"/>
      <c r="AB1797" s="114"/>
      <c r="AC1797" s="114"/>
      <c r="AD1797" s="114"/>
      <c r="AE1797" s="114"/>
      <c r="AF1797" s="114"/>
      <c r="AG1797" s="114"/>
      <c r="AH1797" s="114"/>
      <c r="AI1797" s="114"/>
      <c r="AJ1797" s="114"/>
      <c r="AK1797" s="114"/>
      <c r="AL1797" s="114"/>
      <c r="AM1797" s="114"/>
      <c r="AN1797" s="114"/>
      <c r="AO1797" s="114"/>
      <c r="AP1797" s="114"/>
      <c r="AQ1797" s="114"/>
      <c r="AR1797" s="114"/>
      <c r="AS1797" s="114"/>
      <c r="AT1797" s="114"/>
      <c r="AU1797" s="114"/>
      <c r="AV1797" s="114"/>
      <c r="AW1797" s="114"/>
      <c r="AX1797" s="114"/>
      <c r="AY1797" s="114"/>
      <c r="AZ1797" s="114"/>
    </row>
    <row r="1798" spans="1:52">
      <c r="A1798" s="111"/>
      <c r="B1798" s="111"/>
      <c r="C1798" s="112"/>
      <c r="D1798" s="101"/>
      <c r="E1798" s="101"/>
      <c r="F1798" s="101"/>
      <c r="G1798" s="111"/>
      <c r="H1798" s="101"/>
      <c r="I1798" s="101"/>
      <c r="J1798" s="101"/>
      <c r="K1798" s="101"/>
      <c r="L1798" s="101"/>
      <c r="M1798" s="101"/>
      <c r="N1798" s="101"/>
      <c r="O1798" s="101"/>
      <c r="P1798" s="101"/>
      <c r="Q1798" s="101"/>
      <c r="R1798" s="101"/>
      <c r="S1798" s="101"/>
      <c r="T1798" s="101"/>
      <c r="U1798" s="101"/>
      <c r="V1798" s="101"/>
      <c r="W1798" s="101"/>
      <c r="X1798" s="101"/>
      <c r="Y1798" s="114"/>
      <c r="Z1798" s="114"/>
      <c r="AA1798" s="114"/>
      <c r="AB1798" s="114"/>
      <c r="AC1798" s="114"/>
      <c r="AD1798" s="114"/>
      <c r="AE1798" s="114"/>
      <c r="AF1798" s="114"/>
      <c r="AG1798" s="114"/>
      <c r="AH1798" s="114"/>
      <c r="AI1798" s="114"/>
      <c r="AJ1798" s="114"/>
      <c r="AK1798" s="114"/>
      <c r="AL1798" s="114"/>
      <c r="AM1798" s="114"/>
      <c r="AN1798" s="114"/>
      <c r="AO1798" s="114"/>
      <c r="AP1798" s="114"/>
      <c r="AQ1798" s="114"/>
      <c r="AR1798" s="114"/>
      <c r="AS1798" s="114"/>
      <c r="AT1798" s="114"/>
      <c r="AU1798" s="114"/>
      <c r="AV1798" s="114"/>
      <c r="AW1798" s="114"/>
      <c r="AX1798" s="114"/>
      <c r="AY1798" s="114"/>
      <c r="AZ1798" s="114"/>
    </row>
    <row r="1799" spans="1:52">
      <c r="A1799" s="111"/>
      <c r="B1799" s="111"/>
      <c r="C1799" s="112"/>
      <c r="D1799" s="101"/>
      <c r="E1799" s="101"/>
      <c r="F1799" s="101"/>
      <c r="G1799" s="111"/>
      <c r="H1799" s="101"/>
      <c r="I1799" s="101"/>
      <c r="J1799" s="101"/>
      <c r="K1799" s="101"/>
      <c r="L1799" s="101"/>
      <c r="M1799" s="101"/>
      <c r="N1799" s="101"/>
      <c r="O1799" s="101"/>
      <c r="P1799" s="101"/>
      <c r="Q1799" s="101"/>
      <c r="R1799" s="101"/>
      <c r="S1799" s="101"/>
      <c r="T1799" s="101"/>
      <c r="U1799" s="101"/>
      <c r="V1799" s="101"/>
      <c r="W1799" s="101"/>
      <c r="X1799" s="101"/>
      <c r="Y1799" s="114"/>
      <c r="Z1799" s="114"/>
      <c r="AA1799" s="114"/>
      <c r="AB1799" s="114"/>
      <c r="AC1799" s="114"/>
      <c r="AD1799" s="114"/>
      <c r="AE1799" s="114"/>
      <c r="AF1799" s="114"/>
      <c r="AG1799" s="114"/>
      <c r="AH1799" s="114"/>
      <c r="AI1799" s="114"/>
      <c r="AJ1799" s="114"/>
      <c r="AK1799" s="114"/>
      <c r="AL1799" s="114"/>
      <c r="AM1799" s="114"/>
      <c r="AN1799" s="114"/>
      <c r="AO1799" s="114"/>
      <c r="AP1799" s="114"/>
      <c r="AQ1799" s="114"/>
      <c r="AR1799" s="114"/>
      <c r="AS1799" s="114"/>
      <c r="AT1799" s="114"/>
      <c r="AU1799" s="114"/>
      <c r="AV1799" s="114"/>
      <c r="AW1799" s="114"/>
      <c r="AX1799" s="114"/>
      <c r="AY1799" s="114"/>
      <c r="AZ1799" s="114"/>
    </row>
    <row r="1800" spans="1:52">
      <c r="A1800" s="111"/>
      <c r="B1800" s="111"/>
      <c r="C1800" s="112"/>
      <c r="D1800" s="101"/>
      <c r="E1800" s="101"/>
      <c r="F1800" s="101"/>
      <c r="G1800" s="111"/>
      <c r="H1800" s="101"/>
      <c r="I1800" s="101"/>
      <c r="J1800" s="101"/>
      <c r="K1800" s="101"/>
      <c r="L1800" s="101"/>
      <c r="M1800" s="101"/>
      <c r="N1800" s="101"/>
      <c r="O1800" s="101"/>
      <c r="P1800" s="101"/>
      <c r="Q1800" s="101"/>
      <c r="R1800" s="101"/>
      <c r="S1800" s="101"/>
      <c r="T1800" s="101"/>
      <c r="U1800" s="101"/>
      <c r="V1800" s="101"/>
      <c r="W1800" s="101"/>
      <c r="X1800" s="101"/>
      <c r="Y1800" s="114"/>
      <c r="Z1800" s="114"/>
      <c r="AA1800" s="114"/>
      <c r="AB1800" s="114"/>
      <c r="AC1800" s="114"/>
      <c r="AD1800" s="114"/>
      <c r="AE1800" s="114"/>
      <c r="AF1800" s="114"/>
      <c r="AG1800" s="114"/>
      <c r="AH1800" s="114"/>
      <c r="AI1800" s="114"/>
      <c r="AJ1800" s="114"/>
      <c r="AK1800" s="114"/>
      <c r="AL1800" s="114"/>
      <c r="AM1800" s="114"/>
      <c r="AN1800" s="114"/>
      <c r="AO1800" s="114"/>
      <c r="AP1800" s="114"/>
      <c r="AQ1800" s="114"/>
      <c r="AR1800" s="114"/>
      <c r="AS1800" s="114"/>
      <c r="AT1800" s="114"/>
      <c r="AU1800" s="114"/>
      <c r="AV1800" s="114"/>
      <c r="AW1800" s="114"/>
      <c r="AX1800" s="114"/>
      <c r="AY1800" s="114"/>
      <c r="AZ1800" s="114"/>
    </row>
    <row r="1801" spans="1:52">
      <c r="A1801" s="111"/>
      <c r="B1801" s="111"/>
      <c r="C1801" s="112"/>
      <c r="D1801" s="101"/>
      <c r="E1801" s="101"/>
      <c r="F1801" s="101"/>
      <c r="G1801" s="111"/>
      <c r="H1801" s="101"/>
      <c r="I1801" s="101"/>
      <c r="J1801" s="101"/>
      <c r="K1801" s="101"/>
      <c r="L1801" s="101"/>
      <c r="M1801" s="101"/>
      <c r="N1801" s="101"/>
      <c r="O1801" s="101"/>
      <c r="P1801" s="101"/>
      <c r="Q1801" s="101"/>
      <c r="R1801" s="101"/>
      <c r="S1801" s="101"/>
      <c r="T1801" s="101"/>
      <c r="U1801" s="101"/>
      <c r="V1801" s="101"/>
      <c r="W1801" s="101"/>
      <c r="X1801" s="101"/>
      <c r="Y1801" s="114"/>
      <c r="Z1801" s="114"/>
      <c r="AA1801" s="114"/>
      <c r="AB1801" s="114"/>
      <c r="AC1801" s="114"/>
      <c r="AD1801" s="114"/>
      <c r="AE1801" s="114"/>
      <c r="AF1801" s="114"/>
      <c r="AG1801" s="114"/>
      <c r="AH1801" s="114"/>
      <c r="AI1801" s="114"/>
      <c r="AJ1801" s="114"/>
      <c r="AK1801" s="114"/>
      <c r="AL1801" s="114"/>
      <c r="AM1801" s="114"/>
      <c r="AN1801" s="114"/>
      <c r="AO1801" s="114"/>
      <c r="AP1801" s="114"/>
      <c r="AQ1801" s="114"/>
      <c r="AR1801" s="114"/>
      <c r="AS1801" s="114"/>
      <c r="AT1801" s="114"/>
      <c r="AU1801" s="114"/>
      <c r="AV1801" s="114"/>
      <c r="AW1801" s="114"/>
      <c r="AX1801" s="114"/>
      <c r="AY1801" s="114"/>
      <c r="AZ1801" s="114"/>
    </row>
    <row r="1802" spans="1:52">
      <c r="A1802" s="111"/>
      <c r="B1802" s="111"/>
      <c r="C1802" s="112"/>
      <c r="D1802" s="101"/>
      <c r="E1802" s="101"/>
      <c r="F1802" s="101"/>
      <c r="G1802" s="111"/>
      <c r="H1802" s="101"/>
      <c r="I1802" s="101"/>
      <c r="J1802" s="101"/>
      <c r="K1802" s="101"/>
      <c r="L1802" s="101"/>
      <c r="M1802" s="101"/>
      <c r="N1802" s="101"/>
      <c r="O1802" s="101"/>
      <c r="P1802" s="101"/>
      <c r="Q1802" s="101"/>
      <c r="R1802" s="101"/>
      <c r="S1802" s="101"/>
      <c r="T1802" s="101"/>
      <c r="U1802" s="101"/>
      <c r="V1802" s="101"/>
      <c r="W1802" s="101"/>
      <c r="X1802" s="101"/>
      <c r="Y1802" s="114"/>
      <c r="Z1802" s="114"/>
      <c r="AA1802" s="114"/>
      <c r="AB1802" s="114"/>
      <c r="AC1802" s="114"/>
      <c r="AD1802" s="114"/>
      <c r="AE1802" s="114"/>
      <c r="AF1802" s="114"/>
      <c r="AG1802" s="114"/>
      <c r="AH1802" s="114"/>
      <c r="AI1802" s="114"/>
      <c r="AJ1802" s="114"/>
      <c r="AK1802" s="114"/>
      <c r="AL1802" s="114"/>
      <c r="AM1802" s="114"/>
      <c r="AN1802" s="114"/>
      <c r="AO1802" s="114"/>
      <c r="AP1802" s="114"/>
      <c r="AQ1802" s="114"/>
      <c r="AR1802" s="114"/>
      <c r="AS1802" s="114"/>
      <c r="AT1802" s="114"/>
      <c r="AU1802" s="114"/>
      <c r="AV1802" s="114"/>
      <c r="AW1802" s="114"/>
      <c r="AX1802" s="114"/>
      <c r="AY1802" s="114"/>
      <c r="AZ1802" s="114"/>
    </row>
    <row r="1803" spans="1:52">
      <c r="A1803" s="111"/>
      <c r="B1803" s="111"/>
      <c r="C1803" s="112"/>
      <c r="D1803" s="101"/>
      <c r="E1803" s="101"/>
      <c r="F1803" s="101"/>
      <c r="G1803" s="111"/>
      <c r="H1803" s="101"/>
      <c r="I1803" s="101"/>
      <c r="J1803" s="101"/>
      <c r="K1803" s="101"/>
      <c r="L1803" s="101"/>
      <c r="M1803" s="101"/>
      <c r="N1803" s="101"/>
      <c r="O1803" s="101"/>
      <c r="P1803" s="101"/>
      <c r="Q1803" s="101"/>
      <c r="R1803" s="101"/>
      <c r="S1803" s="101"/>
      <c r="T1803" s="101"/>
      <c r="U1803" s="101"/>
      <c r="V1803" s="101"/>
      <c r="W1803" s="101"/>
      <c r="X1803" s="101"/>
      <c r="Y1803" s="114"/>
      <c r="Z1803" s="114"/>
      <c r="AA1803" s="114"/>
      <c r="AB1803" s="114"/>
      <c r="AC1803" s="114"/>
      <c r="AD1803" s="114"/>
      <c r="AE1803" s="114"/>
      <c r="AF1803" s="114"/>
      <c r="AG1803" s="114"/>
      <c r="AH1803" s="114"/>
      <c r="AI1803" s="114"/>
      <c r="AJ1803" s="114"/>
      <c r="AK1803" s="114"/>
      <c r="AL1803" s="114"/>
      <c r="AM1803" s="114"/>
      <c r="AN1803" s="114"/>
      <c r="AO1803" s="114"/>
      <c r="AP1803" s="114"/>
      <c r="AQ1803" s="114"/>
      <c r="AR1803" s="114"/>
      <c r="AS1803" s="114"/>
      <c r="AT1803" s="114"/>
      <c r="AU1803" s="114"/>
      <c r="AV1803" s="114"/>
      <c r="AW1803" s="114"/>
      <c r="AX1803" s="114"/>
      <c r="AY1803" s="114"/>
      <c r="AZ1803" s="114"/>
    </row>
    <row r="1804" spans="1:52">
      <c r="A1804" s="111"/>
      <c r="B1804" s="111"/>
      <c r="C1804" s="112"/>
      <c r="D1804" s="101"/>
      <c r="E1804" s="101"/>
      <c r="F1804" s="101"/>
      <c r="G1804" s="111"/>
      <c r="H1804" s="101"/>
      <c r="I1804" s="101"/>
      <c r="J1804" s="101"/>
      <c r="K1804" s="101"/>
      <c r="L1804" s="101"/>
      <c r="M1804" s="101"/>
      <c r="N1804" s="101"/>
      <c r="O1804" s="101"/>
      <c r="P1804" s="101"/>
      <c r="Q1804" s="101"/>
      <c r="R1804" s="101"/>
      <c r="S1804" s="101"/>
      <c r="T1804" s="101"/>
      <c r="U1804" s="101"/>
      <c r="V1804" s="101"/>
      <c r="W1804" s="101"/>
      <c r="X1804" s="101"/>
      <c r="Y1804" s="114"/>
      <c r="Z1804" s="114"/>
      <c r="AA1804" s="114"/>
      <c r="AB1804" s="114"/>
      <c r="AC1804" s="114"/>
      <c r="AD1804" s="114"/>
      <c r="AE1804" s="114"/>
      <c r="AF1804" s="114"/>
      <c r="AG1804" s="114"/>
      <c r="AH1804" s="114"/>
      <c r="AI1804" s="114"/>
      <c r="AJ1804" s="114"/>
      <c r="AK1804" s="114"/>
      <c r="AL1804" s="114"/>
      <c r="AM1804" s="114"/>
      <c r="AN1804" s="114"/>
      <c r="AO1804" s="114"/>
      <c r="AP1804" s="114"/>
      <c r="AQ1804" s="114"/>
      <c r="AR1804" s="114"/>
      <c r="AS1804" s="114"/>
      <c r="AT1804" s="114"/>
      <c r="AU1804" s="114"/>
      <c r="AV1804" s="114"/>
      <c r="AW1804" s="114"/>
      <c r="AX1804" s="114"/>
      <c r="AY1804" s="114"/>
      <c r="AZ1804" s="114"/>
    </row>
    <row r="1805" spans="1:52">
      <c r="A1805" s="111"/>
      <c r="B1805" s="111"/>
      <c r="C1805" s="112"/>
      <c r="D1805" s="101"/>
      <c r="E1805" s="101"/>
      <c r="F1805" s="101"/>
      <c r="G1805" s="111"/>
      <c r="H1805" s="101"/>
      <c r="I1805" s="101"/>
      <c r="J1805" s="101"/>
      <c r="K1805" s="101"/>
      <c r="L1805" s="101"/>
      <c r="M1805" s="101"/>
      <c r="N1805" s="101"/>
      <c r="O1805" s="101"/>
      <c r="P1805" s="101"/>
      <c r="Q1805" s="101"/>
      <c r="R1805" s="101"/>
      <c r="S1805" s="101"/>
      <c r="T1805" s="101"/>
      <c r="U1805" s="101"/>
      <c r="V1805" s="101"/>
      <c r="W1805" s="101"/>
      <c r="X1805" s="101"/>
      <c r="Y1805" s="114"/>
      <c r="Z1805" s="114"/>
      <c r="AA1805" s="114"/>
      <c r="AB1805" s="114"/>
      <c r="AC1805" s="114"/>
      <c r="AD1805" s="114"/>
      <c r="AE1805" s="114"/>
      <c r="AF1805" s="114"/>
      <c r="AG1805" s="114"/>
      <c r="AH1805" s="114"/>
      <c r="AI1805" s="114"/>
      <c r="AJ1805" s="114"/>
      <c r="AK1805" s="114"/>
      <c r="AL1805" s="114"/>
      <c r="AM1805" s="114"/>
      <c r="AN1805" s="114"/>
      <c r="AO1805" s="114"/>
      <c r="AP1805" s="114"/>
      <c r="AQ1805" s="114"/>
      <c r="AR1805" s="114"/>
      <c r="AS1805" s="114"/>
      <c r="AT1805" s="114"/>
      <c r="AU1805" s="114"/>
      <c r="AV1805" s="114"/>
      <c r="AW1805" s="114"/>
      <c r="AX1805" s="114"/>
      <c r="AY1805" s="114"/>
      <c r="AZ1805" s="114"/>
    </row>
    <row r="1806" spans="1:52">
      <c r="A1806" s="111"/>
      <c r="B1806" s="111"/>
      <c r="C1806" s="112"/>
      <c r="D1806" s="101"/>
      <c r="E1806" s="101"/>
      <c r="F1806" s="101"/>
      <c r="G1806" s="111"/>
      <c r="H1806" s="101"/>
      <c r="I1806" s="101"/>
      <c r="J1806" s="101"/>
      <c r="K1806" s="101"/>
      <c r="L1806" s="101"/>
      <c r="M1806" s="101"/>
      <c r="N1806" s="101"/>
      <c r="O1806" s="101"/>
      <c r="P1806" s="101"/>
      <c r="Q1806" s="101"/>
      <c r="R1806" s="101"/>
      <c r="S1806" s="101"/>
      <c r="T1806" s="101"/>
      <c r="U1806" s="101"/>
      <c r="V1806" s="101"/>
      <c r="W1806" s="101"/>
      <c r="X1806" s="101"/>
      <c r="Y1806" s="114"/>
      <c r="Z1806" s="114"/>
      <c r="AA1806" s="114"/>
      <c r="AB1806" s="114"/>
      <c r="AC1806" s="114"/>
      <c r="AD1806" s="114"/>
      <c r="AE1806" s="114"/>
      <c r="AF1806" s="114"/>
      <c r="AG1806" s="114"/>
      <c r="AH1806" s="114"/>
      <c r="AI1806" s="114"/>
      <c r="AJ1806" s="114"/>
      <c r="AK1806" s="114"/>
      <c r="AL1806" s="114"/>
      <c r="AM1806" s="114"/>
      <c r="AN1806" s="114"/>
      <c r="AO1806" s="114"/>
      <c r="AP1806" s="114"/>
      <c r="AQ1806" s="114"/>
      <c r="AR1806" s="114"/>
      <c r="AS1806" s="114"/>
      <c r="AT1806" s="114"/>
      <c r="AU1806" s="114"/>
      <c r="AV1806" s="114"/>
      <c r="AW1806" s="114"/>
      <c r="AX1806" s="114"/>
      <c r="AY1806" s="114"/>
      <c r="AZ1806" s="114"/>
    </row>
    <row r="1807" spans="1:52">
      <c r="A1807" s="111"/>
      <c r="B1807" s="111"/>
      <c r="C1807" s="112"/>
      <c r="D1807" s="101"/>
      <c r="E1807" s="101"/>
      <c r="F1807" s="101"/>
      <c r="G1807" s="111"/>
      <c r="H1807" s="101"/>
      <c r="I1807" s="101"/>
      <c r="J1807" s="101"/>
      <c r="K1807" s="101"/>
      <c r="L1807" s="101"/>
      <c r="M1807" s="101"/>
      <c r="N1807" s="101"/>
      <c r="O1807" s="101"/>
      <c r="P1807" s="101"/>
      <c r="Q1807" s="101"/>
      <c r="R1807" s="101"/>
      <c r="S1807" s="101"/>
      <c r="T1807" s="101"/>
      <c r="U1807" s="101"/>
      <c r="V1807" s="101"/>
      <c r="W1807" s="101"/>
      <c r="X1807" s="101"/>
      <c r="Y1807" s="114"/>
      <c r="Z1807" s="114"/>
      <c r="AA1807" s="114"/>
      <c r="AB1807" s="114"/>
      <c r="AC1807" s="114"/>
      <c r="AD1807" s="114"/>
      <c r="AE1807" s="114"/>
      <c r="AF1807" s="114"/>
      <c r="AG1807" s="114"/>
      <c r="AH1807" s="114"/>
      <c r="AI1807" s="114"/>
      <c r="AJ1807" s="114"/>
      <c r="AK1807" s="114"/>
      <c r="AL1807" s="114"/>
      <c r="AM1807" s="114"/>
      <c r="AN1807" s="114"/>
      <c r="AO1807" s="114"/>
      <c r="AP1807" s="114"/>
      <c r="AQ1807" s="114"/>
      <c r="AR1807" s="114"/>
      <c r="AS1807" s="114"/>
      <c r="AT1807" s="114"/>
      <c r="AU1807" s="114"/>
      <c r="AV1807" s="114"/>
      <c r="AW1807" s="114"/>
      <c r="AX1807" s="114"/>
      <c r="AY1807" s="114"/>
      <c r="AZ1807" s="114"/>
    </row>
    <row r="1808" spans="1:52">
      <c r="A1808" s="111"/>
      <c r="B1808" s="111"/>
      <c r="C1808" s="112"/>
      <c r="D1808" s="101"/>
      <c r="E1808" s="101"/>
      <c r="F1808" s="101"/>
      <c r="G1808" s="111"/>
      <c r="H1808" s="101"/>
      <c r="I1808" s="101"/>
      <c r="J1808" s="101"/>
      <c r="K1808" s="101"/>
      <c r="L1808" s="101"/>
      <c r="M1808" s="101"/>
      <c r="N1808" s="101"/>
      <c r="O1808" s="101"/>
      <c r="P1808" s="101"/>
      <c r="Q1808" s="101"/>
      <c r="R1808" s="101"/>
      <c r="S1808" s="101"/>
      <c r="T1808" s="101"/>
      <c r="U1808" s="101"/>
      <c r="V1808" s="101"/>
      <c r="W1808" s="101"/>
      <c r="X1808" s="101"/>
      <c r="Y1808" s="114"/>
      <c r="Z1808" s="114"/>
      <c r="AA1808" s="114"/>
      <c r="AB1808" s="114"/>
      <c r="AC1808" s="114"/>
      <c r="AD1808" s="114"/>
      <c r="AE1808" s="114"/>
      <c r="AF1808" s="114"/>
      <c r="AG1808" s="114"/>
      <c r="AH1808" s="114"/>
      <c r="AI1808" s="114"/>
      <c r="AJ1808" s="114"/>
      <c r="AK1808" s="114"/>
      <c r="AL1808" s="114"/>
      <c r="AM1808" s="114"/>
      <c r="AN1808" s="114"/>
      <c r="AO1808" s="114"/>
      <c r="AP1808" s="114"/>
      <c r="AQ1808" s="114"/>
      <c r="AR1808" s="114"/>
      <c r="AS1808" s="114"/>
      <c r="AT1808" s="114"/>
      <c r="AU1808" s="114"/>
      <c r="AV1808" s="114"/>
      <c r="AW1808" s="114"/>
      <c r="AX1808" s="114"/>
      <c r="AY1808" s="114"/>
      <c r="AZ1808" s="114"/>
    </row>
    <row r="1809" spans="1:52">
      <c r="A1809" s="111"/>
      <c r="B1809" s="111"/>
      <c r="C1809" s="112"/>
      <c r="D1809" s="101"/>
      <c r="E1809" s="101"/>
      <c r="F1809" s="101"/>
      <c r="G1809" s="111"/>
      <c r="H1809" s="101"/>
      <c r="I1809" s="101"/>
      <c r="J1809" s="101"/>
      <c r="K1809" s="101"/>
      <c r="L1809" s="101"/>
      <c r="M1809" s="101"/>
      <c r="N1809" s="101"/>
      <c r="O1809" s="101"/>
      <c r="P1809" s="101"/>
      <c r="Q1809" s="101"/>
      <c r="R1809" s="101"/>
      <c r="S1809" s="101"/>
      <c r="T1809" s="101"/>
      <c r="U1809" s="101"/>
      <c r="V1809" s="101"/>
      <c r="W1809" s="101"/>
      <c r="X1809" s="101"/>
      <c r="Y1809" s="114"/>
      <c r="Z1809" s="114"/>
      <c r="AA1809" s="114"/>
      <c r="AB1809" s="114"/>
      <c r="AC1809" s="114"/>
      <c r="AD1809" s="114"/>
      <c r="AE1809" s="114"/>
      <c r="AF1809" s="114"/>
      <c r="AG1809" s="114"/>
      <c r="AH1809" s="114"/>
      <c r="AI1809" s="114"/>
      <c r="AJ1809" s="114"/>
      <c r="AK1809" s="114"/>
      <c r="AL1809" s="114"/>
      <c r="AM1809" s="114"/>
      <c r="AN1809" s="114"/>
      <c r="AO1809" s="114"/>
      <c r="AP1809" s="114"/>
      <c r="AQ1809" s="114"/>
      <c r="AR1809" s="114"/>
      <c r="AS1809" s="114"/>
      <c r="AT1809" s="114"/>
      <c r="AU1809" s="114"/>
      <c r="AV1809" s="114"/>
      <c r="AW1809" s="114"/>
      <c r="AX1809" s="114"/>
      <c r="AY1809" s="114"/>
      <c r="AZ1809" s="114"/>
    </row>
    <row r="1810" spans="1:52">
      <c r="A1810" s="111"/>
      <c r="B1810" s="111"/>
      <c r="C1810" s="112"/>
      <c r="D1810" s="101"/>
      <c r="E1810" s="101"/>
      <c r="F1810" s="101"/>
      <c r="G1810" s="111"/>
      <c r="H1810" s="101"/>
      <c r="I1810" s="101"/>
      <c r="J1810" s="101"/>
      <c r="K1810" s="101"/>
      <c r="L1810" s="101"/>
      <c r="M1810" s="101"/>
      <c r="N1810" s="101"/>
      <c r="O1810" s="101"/>
      <c r="P1810" s="101"/>
      <c r="Q1810" s="101"/>
      <c r="R1810" s="101"/>
      <c r="S1810" s="101"/>
      <c r="T1810" s="101"/>
      <c r="U1810" s="101"/>
      <c r="V1810" s="101"/>
      <c r="W1810" s="101"/>
      <c r="X1810" s="101"/>
      <c r="Y1810" s="114"/>
      <c r="Z1810" s="114"/>
      <c r="AA1810" s="114"/>
      <c r="AB1810" s="114"/>
      <c r="AC1810" s="114"/>
      <c r="AD1810" s="114"/>
      <c r="AE1810" s="114"/>
      <c r="AF1810" s="114"/>
      <c r="AG1810" s="114"/>
      <c r="AH1810" s="114"/>
      <c r="AI1810" s="114"/>
      <c r="AJ1810" s="114"/>
      <c r="AK1810" s="114"/>
      <c r="AL1810" s="114"/>
      <c r="AM1810" s="114"/>
      <c r="AN1810" s="114"/>
      <c r="AO1810" s="114"/>
      <c r="AP1810" s="114"/>
      <c r="AQ1810" s="114"/>
      <c r="AR1810" s="114"/>
      <c r="AS1810" s="114"/>
      <c r="AT1810" s="114"/>
      <c r="AU1810" s="114"/>
      <c r="AV1810" s="114"/>
      <c r="AW1810" s="114"/>
      <c r="AX1810" s="114"/>
      <c r="AY1810" s="114"/>
      <c r="AZ1810" s="114"/>
    </row>
    <row r="1811" spans="1:52">
      <c r="A1811" s="111"/>
      <c r="B1811" s="111"/>
      <c r="C1811" s="112"/>
      <c r="D1811" s="101"/>
      <c r="E1811" s="101"/>
      <c r="F1811" s="101"/>
      <c r="G1811" s="111"/>
      <c r="H1811" s="101"/>
      <c r="I1811" s="101"/>
      <c r="J1811" s="101"/>
      <c r="K1811" s="101"/>
      <c r="L1811" s="101"/>
      <c r="M1811" s="101"/>
      <c r="N1811" s="101"/>
      <c r="O1811" s="101"/>
      <c r="P1811" s="101"/>
      <c r="Q1811" s="101"/>
      <c r="R1811" s="101"/>
      <c r="S1811" s="101"/>
      <c r="T1811" s="101"/>
      <c r="U1811" s="101"/>
      <c r="V1811" s="101"/>
      <c r="W1811" s="101"/>
      <c r="X1811" s="101"/>
      <c r="Y1811" s="114"/>
      <c r="Z1811" s="114"/>
      <c r="AA1811" s="114"/>
      <c r="AB1811" s="114"/>
      <c r="AC1811" s="114"/>
      <c r="AD1811" s="114"/>
      <c r="AE1811" s="114"/>
      <c r="AF1811" s="114"/>
      <c r="AG1811" s="114"/>
      <c r="AH1811" s="114"/>
      <c r="AI1811" s="114"/>
      <c r="AJ1811" s="114"/>
      <c r="AK1811" s="114"/>
      <c r="AL1811" s="114"/>
      <c r="AM1811" s="114"/>
      <c r="AN1811" s="114"/>
      <c r="AO1811" s="114"/>
      <c r="AP1811" s="114"/>
      <c r="AQ1811" s="114"/>
      <c r="AR1811" s="114"/>
      <c r="AS1811" s="114"/>
      <c r="AT1811" s="114"/>
      <c r="AU1811" s="114"/>
      <c r="AV1811" s="114"/>
      <c r="AW1811" s="114"/>
      <c r="AX1811" s="114"/>
      <c r="AY1811" s="114"/>
      <c r="AZ1811" s="114"/>
    </row>
    <row r="1812" spans="1:52">
      <c r="A1812" s="111"/>
      <c r="B1812" s="111"/>
      <c r="C1812" s="112"/>
      <c r="D1812" s="101"/>
      <c r="E1812" s="101"/>
      <c r="F1812" s="101"/>
      <c r="G1812" s="111"/>
      <c r="H1812" s="101"/>
      <c r="I1812" s="101"/>
      <c r="J1812" s="101"/>
      <c r="K1812" s="101"/>
      <c r="L1812" s="101"/>
      <c r="M1812" s="101"/>
      <c r="N1812" s="101"/>
      <c r="O1812" s="101"/>
      <c r="P1812" s="101"/>
      <c r="Q1812" s="101"/>
      <c r="R1812" s="101"/>
      <c r="S1812" s="101"/>
      <c r="T1812" s="101"/>
      <c r="U1812" s="101"/>
      <c r="V1812" s="101"/>
      <c r="W1812" s="101"/>
      <c r="X1812" s="101"/>
      <c r="Y1812" s="114"/>
      <c r="Z1812" s="114"/>
      <c r="AA1812" s="114"/>
      <c r="AB1812" s="114"/>
      <c r="AC1812" s="114"/>
      <c r="AD1812" s="114"/>
      <c r="AE1812" s="114"/>
      <c r="AF1812" s="114"/>
      <c r="AG1812" s="114"/>
      <c r="AH1812" s="114"/>
      <c r="AI1812" s="114"/>
      <c r="AJ1812" s="114"/>
      <c r="AK1812" s="114"/>
      <c r="AL1812" s="114"/>
      <c r="AM1812" s="114"/>
      <c r="AN1812" s="114"/>
      <c r="AO1812" s="114"/>
      <c r="AP1812" s="114"/>
      <c r="AQ1812" s="114"/>
      <c r="AR1812" s="114"/>
      <c r="AS1812" s="114"/>
      <c r="AT1812" s="114"/>
      <c r="AU1812" s="114"/>
      <c r="AV1812" s="114"/>
      <c r="AW1812" s="114"/>
      <c r="AX1812" s="114"/>
      <c r="AY1812" s="114"/>
      <c r="AZ1812" s="114"/>
    </row>
    <row r="1813" spans="1:52">
      <c r="A1813" s="111"/>
      <c r="B1813" s="111"/>
      <c r="C1813" s="112"/>
      <c r="D1813" s="101"/>
      <c r="E1813" s="101"/>
      <c r="F1813" s="101"/>
      <c r="G1813" s="111"/>
      <c r="H1813" s="101"/>
      <c r="I1813" s="101"/>
      <c r="J1813" s="101"/>
      <c r="K1813" s="101"/>
      <c r="L1813" s="101"/>
      <c r="M1813" s="101"/>
      <c r="N1813" s="101"/>
      <c r="O1813" s="101"/>
      <c r="P1813" s="101"/>
      <c r="Q1813" s="101"/>
      <c r="R1813" s="101"/>
      <c r="S1813" s="101"/>
      <c r="T1813" s="101"/>
      <c r="U1813" s="101"/>
      <c r="V1813" s="101"/>
      <c r="W1813" s="101"/>
      <c r="X1813" s="101"/>
      <c r="Y1813" s="114"/>
      <c r="Z1813" s="114"/>
      <c r="AA1813" s="114"/>
      <c r="AB1813" s="114"/>
      <c r="AC1813" s="114"/>
      <c r="AD1813" s="114"/>
      <c r="AE1813" s="114"/>
      <c r="AF1813" s="114"/>
      <c r="AG1813" s="114"/>
      <c r="AH1813" s="114"/>
      <c r="AI1813" s="114"/>
      <c r="AJ1813" s="114"/>
      <c r="AK1813" s="114"/>
      <c r="AL1813" s="114"/>
      <c r="AM1813" s="114"/>
      <c r="AN1813" s="114"/>
      <c r="AO1813" s="114"/>
      <c r="AP1813" s="114"/>
      <c r="AQ1813" s="114"/>
      <c r="AR1813" s="114"/>
      <c r="AS1813" s="114"/>
      <c r="AT1813" s="114"/>
      <c r="AU1813" s="114"/>
      <c r="AV1813" s="114"/>
      <c r="AW1813" s="114"/>
      <c r="AX1813" s="114"/>
      <c r="AY1813" s="114"/>
      <c r="AZ1813" s="114"/>
    </row>
    <row r="1814" spans="1:52">
      <c r="A1814" s="111"/>
      <c r="B1814" s="111"/>
      <c r="C1814" s="112"/>
      <c r="D1814" s="101"/>
      <c r="E1814" s="101"/>
      <c r="F1814" s="101"/>
      <c r="G1814" s="111"/>
      <c r="H1814" s="101"/>
      <c r="I1814" s="101"/>
      <c r="J1814" s="101"/>
      <c r="K1814" s="101"/>
      <c r="L1814" s="101"/>
      <c r="M1814" s="101"/>
      <c r="N1814" s="101"/>
      <c r="O1814" s="101"/>
      <c r="P1814" s="101"/>
      <c r="Q1814" s="101"/>
      <c r="R1814" s="101"/>
      <c r="S1814" s="101"/>
      <c r="T1814" s="101"/>
      <c r="U1814" s="101"/>
      <c r="V1814" s="101"/>
      <c r="W1814" s="101"/>
      <c r="X1814" s="101"/>
      <c r="Y1814" s="114"/>
      <c r="Z1814" s="114"/>
      <c r="AA1814" s="114"/>
      <c r="AB1814" s="114"/>
      <c r="AC1814" s="114"/>
      <c r="AD1814" s="114"/>
      <c r="AE1814" s="114"/>
      <c r="AF1814" s="114"/>
      <c r="AG1814" s="114"/>
      <c r="AH1814" s="114"/>
      <c r="AI1814" s="114"/>
      <c r="AJ1814" s="114"/>
      <c r="AK1814" s="114"/>
      <c r="AL1814" s="114"/>
      <c r="AM1814" s="114"/>
      <c r="AN1814" s="114"/>
      <c r="AO1814" s="114"/>
      <c r="AP1814" s="114"/>
      <c r="AQ1814" s="114"/>
      <c r="AR1814" s="114"/>
      <c r="AS1814" s="114"/>
      <c r="AT1814" s="114"/>
      <c r="AU1814" s="114"/>
      <c r="AV1814" s="114"/>
      <c r="AW1814" s="114"/>
      <c r="AX1814" s="114"/>
      <c r="AY1814" s="114"/>
      <c r="AZ1814" s="114"/>
    </row>
    <row r="1815" spans="1:52">
      <c r="A1815" s="111"/>
      <c r="B1815" s="111"/>
      <c r="C1815" s="112"/>
      <c r="D1815" s="101"/>
      <c r="E1815" s="101"/>
      <c r="F1815" s="101"/>
      <c r="G1815" s="111"/>
      <c r="H1815" s="101"/>
      <c r="I1815" s="101"/>
      <c r="J1815" s="101"/>
      <c r="K1815" s="101"/>
      <c r="L1815" s="101"/>
      <c r="M1815" s="101"/>
      <c r="N1815" s="101"/>
      <c r="O1815" s="101"/>
      <c r="P1815" s="101"/>
      <c r="Q1815" s="101"/>
      <c r="R1815" s="101"/>
      <c r="S1815" s="101"/>
      <c r="T1815" s="101"/>
      <c r="U1815" s="101"/>
      <c r="V1815" s="101"/>
      <c r="W1815" s="101"/>
      <c r="X1815" s="101"/>
      <c r="Y1815" s="114"/>
      <c r="Z1815" s="114"/>
      <c r="AA1815" s="114"/>
      <c r="AB1815" s="114"/>
      <c r="AC1815" s="114"/>
      <c r="AD1815" s="114"/>
      <c r="AE1815" s="114"/>
      <c r="AF1815" s="114"/>
      <c r="AG1815" s="114"/>
      <c r="AH1815" s="114"/>
      <c r="AI1815" s="114"/>
      <c r="AJ1815" s="114"/>
      <c r="AK1815" s="114"/>
      <c r="AL1815" s="114"/>
      <c r="AM1815" s="114"/>
      <c r="AN1815" s="114"/>
      <c r="AO1815" s="114"/>
      <c r="AP1815" s="114"/>
      <c r="AQ1815" s="114"/>
      <c r="AR1815" s="114"/>
      <c r="AS1815" s="114"/>
      <c r="AT1815" s="114"/>
      <c r="AU1815" s="114"/>
      <c r="AV1815" s="114"/>
      <c r="AW1815" s="114"/>
      <c r="AX1815" s="114"/>
      <c r="AY1815" s="114"/>
      <c r="AZ1815" s="114"/>
    </row>
    <row r="1816" spans="1:52">
      <c r="A1816" s="111"/>
      <c r="B1816" s="111"/>
      <c r="C1816" s="112"/>
      <c r="D1816" s="101"/>
      <c r="E1816" s="101"/>
      <c r="F1816" s="101"/>
      <c r="G1816" s="111"/>
      <c r="H1816" s="101"/>
      <c r="I1816" s="101"/>
      <c r="J1816" s="101"/>
      <c r="K1816" s="101"/>
      <c r="L1816" s="101"/>
      <c r="M1816" s="101"/>
      <c r="N1816" s="101"/>
      <c r="O1816" s="101"/>
      <c r="P1816" s="101"/>
      <c r="Q1816" s="101"/>
      <c r="R1816" s="101"/>
      <c r="S1816" s="101"/>
      <c r="T1816" s="101"/>
      <c r="U1816" s="101"/>
      <c r="V1816" s="101"/>
      <c r="W1816" s="101"/>
      <c r="X1816" s="101"/>
      <c r="Y1816" s="114"/>
      <c r="Z1816" s="114"/>
      <c r="AA1816" s="114"/>
      <c r="AB1816" s="114"/>
      <c r="AC1816" s="114"/>
      <c r="AD1816" s="114"/>
      <c r="AE1816" s="114"/>
      <c r="AF1816" s="114"/>
      <c r="AG1816" s="114"/>
      <c r="AH1816" s="114"/>
      <c r="AI1816" s="114"/>
      <c r="AJ1816" s="114"/>
      <c r="AK1816" s="114"/>
      <c r="AL1816" s="114"/>
      <c r="AM1816" s="114"/>
      <c r="AN1816" s="114"/>
      <c r="AO1816" s="114"/>
      <c r="AP1816" s="114"/>
      <c r="AQ1816" s="114"/>
      <c r="AR1816" s="114"/>
      <c r="AS1816" s="114"/>
      <c r="AT1816" s="114"/>
      <c r="AU1816" s="114"/>
      <c r="AV1816" s="114"/>
      <c r="AW1816" s="114"/>
      <c r="AX1816" s="114"/>
      <c r="AY1816" s="114"/>
      <c r="AZ1816" s="114"/>
    </row>
    <row r="1817" spans="1:52">
      <c r="A1817" s="111"/>
      <c r="B1817" s="111"/>
      <c r="C1817" s="112"/>
      <c r="D1817" s="101"/>
      <c r="E1817" s="101"/>
      <c r="F1817" s="101"/>
      <c r="G1817" s="111"/>
      <c r="H1817" s="101"/>
      <c r="I1817" s="101"/>
      <c r="J1817" s="101"/>
      <c r="K1817" s="101"/>
      <c r="L1817" s="101"/>
      <c r="M1817" s="101"/>
      <c r="N1817" s="101"/>
      <c r="O1817" s="101"/>
      <c r="P1817" s="101"/>
      <c r="Q1817" s="101"/>
      <c r="R1817" s="101"/>
      <c r="S1817" s="101"/>
      <c r="T1817" s="101"/>
      <c r="U1817" s="101"/>
      <c r="V1817" s="101"/>
      <c r="W1817" s="101"/>
      <c r="X1817" s="101"/>
      <c r="Y1817" s="114"/>
      <c r="Z1817" s="114"/>
      <c r="AA1817" s="114"/>
      <c r="AB1817" s="114"/>
      <c r="AC1817" s="114"/>
      <c r="AD1817" s="114"/>
      <c r="AE1817" s="114"/>
      <c r="AF1817" s="114"/>
      <c r="AG1817" s="114"/>
      <c r="AH1817" s="114"/>
      <c r="AI1817" s="114"/>
      <c r="AJ1817" s="114"/>
      <c r="AK1817" s="114"/>
      <c r="AL1817" s="114"/>
      <c r="AM1817" s="114"/>
      <c r="AN1817" s="114"/>
      <c r="AO1817" s="114"/>
      <c r="AP1817" s="114"/>
      <c r="AQ1817" s="114"/>
      <c r="AR1817" s="114"/>
      <c r="AS1817" s="114"/>
      <c r="AT1817" s="114"/>
      <c r="AU1817" s="114"/>
      <c r="AV1817" s="114"/>
      <c r="AW1817" s="114"/>
      <c r="AX1817" s="114"/>
      <c r="AY1817" s="114"/>
      <c r="AZ1817" s="114"/>
    </row>
    <row r="1818" spans="1:52">
      <c r="A1818" s="111"/>
      <c r="B1818" s="111"/>
      <c r="C1818" s="112"/>
      <c r="D1818" s="101"/>
      <c r="E1818" s="101"/>
      <c r="F1818" s="101"/>
      <c r="G1818" s="111"/>
      <c r="H1818" s="101"/>
      <c r="I1818" s="101"/>
      <c r="J1818" s="101"/>
      <c r="K1818" s="101"/>
      <c r="L1818" s="101"/>
      <c r="M1818" s="101"/>
      <c r="N1818" s="101"/>
      <c r="O1818" s="101"/>
      <c r="P1818" s="101"/>
      <c r="Q1818" s="101"/>
      <c r="R1818" s="101"/>
      <c r="S1818" s="101"/>
      <c r="T1818" s="101"/>
      <c r="U1818" s="101"/>
      <c r="V1818" s="101"/>
      <c r="W1818" s="101"/>
      <c r="X1818" s="101"/>
      <c r="Y1818" s="114"/>
      <c r="Z1818" s="114"/>
      <c r="AA1818" s="114"/>
      <c r="AB1818" s="114"/>
      <c r="AC1818" s="114"/>
      <c r="AD1818" s="114"/>
      <c r="AE1818" s="114"/>
      <c r="AF1818" s="114"/>
      <c r="AG1818" s="114"/>
      <c r="AH1818" s="114"/>
      <c r="AI1818" s="114"/>
      <c r="AJ1818" s="114"/>
      <c r="AK1818" s="114"/>
      <c r="AL1818" s="114"/>
      <c r="AM1818" s="114"/>
      <c r="AN1818" s="114"/>
      <c r="AO1818" s="114"/>
      <c r="AP1818" s="114"/>
      <c r="AQ1818" s="114"/>
      <c r="AR1818" s="114"/>
      <c r="AS1818" s="114"/>
      <c r="AT1818" s="114"/>
      <c r="AU1818" s="114"/>
      <c r="AV1818" s="114"/>
      <c r="AW1818" s="114"/>
      <c r="AX1818" s="114"/>
      <c r="AY1818" s="114"/>
      <c r="AZ1818" s="114"/>
    </row>
    <row r="1819" spans="1:52">
      <c r="A1819" s="111"/>
      <c r="B1819" s="111"/>
      <c r="C1819" s="112"/>
      <c r="D1819" s="101"/>
      <c r="E1819" s="101"/>
      <c r="F1819" s="101"/>
      <c r="G1819" s="111"/>
      <c r="H1819" s="101"/>
      <c r="I1819" s="101"/>
      <c r="J1819" s="101"/>
      <c r="K1819" s="101"/>
      <c r="L1819" s="101"/>
      <c r="M1819" s="101"/>
      <c r="N1819" s="101"/>
      <c r="O1819" s="101"/>
      <c r="P1819" s="101"/>
      <c r="Q1819" s="101"/>
      <c r="R1819" s="101"/>
      <c r="S1819" s="101"/>
      <c r="T1819" s="101"/>
      <c r="U1819" s="101"/>
      <c r="V1819" s="101"/>
      <c r="W1819" s="101"/>
      <c r="X1819" s="101"/>
      <c r="Y1819" s="114"/>
      <c r="Z1819" s="114"/>
      <c r="AA1819" s="114"/>
      <c r="AB1819" s="114"/>
      <c r="AC1819" s="114"/>
      <c r="AD1819" s="114"/>
      <c r="AE1819" s="114"/>
      <c r="AF1819" s="114"/>
      <c r="AG1819" s="114"/>
      <c r="AH1819" s="114"/>
      <c r="AI1819" s="114"/>
      <c r="AJ1819" s="114"/>
      <c r="AK1819" s="114"/>
      <c r="AL1819" s="114"/>
      <c r="AM1819" s="114"/>
      <c r="AN1819" s="114"/>
      <c r="AO1819" s="114"/>
      <c r="AP1819" s="114"/>
      <c r="AQ1819" s="114"/>
      <c r="AR1819" s="114"/>
      <c r="AS1819" s="114"/>
      <c r="AT1819" s="114"/>
      <c r="AU1819" s="114"/>
      <c r="AV1819" s="114"/>
      <c r="AW1819" s="114"/>
      <c r="AX1819" s="114"/>
      <c r="AY1819" s="114"/>
      <c r="AZ1819" s="114"/>
    </row>
    <row r="1820" spans="1:52">
      <c r="A1820" s="111"/>
      <c r="B1820" s="111"/>
      <c r="C1820" s="112"/>
      <c r="D1820" s="101"/>
      <c r="E1820" s="101"/>
      <c r="F1820" s="101"/>
      <c r="G1820" s="111"/>
      <c r="H1820" s="101"/>
      <c r="I1820" s="101"/>
      <c r="J1820" s="101"/>
      <c r="K1820" s="101"/>
      <c r="L1820" s="101"/>
      <c r="M1820" s="101"/>
      <c r="N1820" s="101"/>
      <c r="O1820" s="101"/>
      <c r="P1820" s="101"/>
      <c r="Q1820" s="101"/>
      <c r="R1820" s="101"/>
      <c r="S1820" s="101"/>
      <c r="T1820" s="101"/>
      <c r="U1820" s="101"/>
      <c r="V1820" s="101"/>
      <c r="W1820" s="101"/>
      <c r="X1820" s="101"/>
      <c r="Y1820" s="114"/>
      <c r="Z1820" s="114"/>
      <c r="AA1820" s="114"/>
      <c r="AB1820" s="114"/>
      <c r="AC1820" s="114"/>
      <c r="AD1820" s="114"/>
      <c r="AE1820" s="114"/>
      <c r="AF1820" s="114"/>
      <c r="AG1820" s="114"/>
      <c r="AH1820" s="114"/>
      <c r="AI1820" s="114"/>
      <c r="AJ1820" s="114"/>
      <c r="AK1820" s="114"/>
      <c r="AL1820" s="114"/>
      <c r="AM1820" s="114"/>
      <c r="AN1820" s="114"/>
      <c r="AO1820" s="114"/>
      <c r="AP1820" s="114"/>
      <c r="AQ1820" s="114"/>
      <c r="AR1820" s="114"/>
      <c r="AS1820" s="114"/>
      <c r="AT1820" s="114"/>
      <c r="AU1820" s="114"/>
      <c r="AV1820" s="114"/>
      <c r="AW1820" s="114"/>
      <c r="AX1820" s="114"/>
      <c r="AY1820" s="114"/>
      <c r="AZ1820" s="114"/>
    </row>
    <row r="1821" spans="1:52">
      <c r="A1821" s="111"/>
      <c r="B1821" s="111"/>
      <c r="C1821" s="112"/>
      <c r="D1821" s="101"/>
      <c r="E1821" s="101"/>
      <c r="F1821" s="101"/>
      <c r="G1821" s="111"/>
      <c r="H1821" s="101"/>
      <c r="I1821" s="101"/>
      <c r="J1821" s="101"/>
      <c r="K1821" s="101"/>
      <c r="L1821" s="101"/>
      <c r="M1821" s="101"/>
      <c r="N1821" s="101"/>
      <c r="O1821" s="101"/>
      <c r="P1821" s="101"/>
      <c r="Q1821" s="101"/>
      <c r="R1821" s="101"/>
      <c r="S1821" s="101"/>
      <c r="T1821" s="101"/>
      <c r="U1821" s="101"/>
      <c r="V1821" s="101"/>
      <c r="W1821" s="101"/>
      <c r="X1821" s="101"/>
      <c r="Y1821" s="114"/>
      <c r="Z1821" s="114"/>
      <c r="AA1821" s="114"/>
      <c r="AB1821" s="114"/>
      <c r="AC1821" s="114"/>
      <c r="AD1821" s="114"/>
      <c r="AE1821" s="114"/>
      <c r="AF1821" s="114"/>
      <c r="AG1821" s="114"/>
      <c r="AH1821" s="114"/>
      <c r="AI1821" s="114"/>
      <c r="AJ1821" s="114"/>
      <c r="AK1821" s="114"/>
      <c r="AL1821" s="114"/>
      <c r="AM1821" s="114"/>
      <c r="AN1821" s="114"/>
      <c r="AO1821" s="114"/>
      <c r="AP1821" s="114"/>
      <c r="AQ1821" s="114"/>
      <c r="AR1821" s="114"/>
      <c r="AS1821" s="114"/>
      <c r="AT1821" s="114"/>
      <c r="AU1821" s="114"/>
      <c r="AV1821" s="114"/>
      <c r="AW1821" s="114"/>
      <c r="AX1821" s="114"/>
      <c r="AY1821" s="114"/>
      <c r="AZ1821" s="114"/>
    </row>
    <row r="1822" spans="1:52">
      <c r="A1822" s="111"/>
      <c r="B1822" s="111"/>
      <c r="C1822" s="112"/>
      <c r="D1822" s="101"/>
      <c r="E1822" s="101"/>
      <c r="F1822" s="101"/>
      <c r="G1822" s="111"/>
      <c r="H1822" s="101"/>
      <c r="I1822" s="101"/>
      <c r="J1822" s="101"/>
      <c r="K1822" s="101"/>
      <c r="L1822" s="101"/>
      <c r="M1822" s="101"/>
      <c r="N1822" s="101"/>
      <c r="O1822" s="101"/>
      <c r="P1822" s="101"/>
      <c r="Q1822" s="101"/>
      <c r="R1822" s="101"/>
      <c r="S1822" s="101"/>
      <c r="T1822" s="101"/>
      <c r="U1822" s="101"/>
      <c r="V1822" s="101"/>
      <c r="W1822" s="101"/>
      <c r="X1822" s="101"/>
      <c r="Y1822" s="114"/>
      <c r="Z1822" s="114"/>
      <c r="AA1822" s="114"/>
      <c r="AB1822" s="114"/>
      <c r="AC1822" s="114"/>
      <c r="AD1822" s="114"/>
      <c r="AE1822" s="114"/>
      <c r="AF1822" s="114"/>
      <c r="AG1822" s="114"/>
      <c r="AH1822" s="114"/>
      <c r="AI1822" s="114"/>
      <c r="AJ1822" s="114"/>
      <c r="AK1822" s="114"/>
      <c r="AL1822" s="114"/>
      <c r="AM1822" s="114"/>
      <c r="AN1822" s="114"/>
      <c r="AO1822" s="114"/>
      <c r="AP1822" s="114"/>
      <c r="AQ1822" s="114"/>
      <c r="AR1822" s="114"/>
      <c r="AS1822" s="114"/>
      <c r="AT1822" s="114"/>
      <c r="AU1822" s="114"/>
      <c r="AV1822" s="114"/>
      <c r="AW1822" s="114"/>
      <c r="AX1822" s="114"/>
      <c r="AY1822" s="114"/>
      <c r="AZ1822" s="114"/>
    </row>
    <row r="1823" spans="1:52">
      <c r="A1823" s="111"/>
      <c r="B1823" s="111"/>
      <c r="C1823" s="112"/>
      <c r="D1823" s="101"/>
      <c r="E1823" s="101"/>
      <c r="F1823" s="101"/>
      <c r="G1823" s="111"/>
      <c r="H1823" s="101"/>
      <c r="I1823" s="101"/>
      <c r="J1823" s="101"/>
      <c r="K1823" s="101"/>
      <c r="L1823" s="101"/>
      <c r="M1823" s="101"/>
      <c r="N1823" s="101"/>
      <c r="O1823" s="101"/>
      <c r="P1823" s="101"/>
      <c r="Q1823" s="101"/>
      <c r="R1823" s="101"/>
      <c r="S1823" s="101"/>
      <c r="T1823" s="101"/>
      <c r="U1823" s="101"/>
      <c r="V1823" s="101"/>
      <c r="W1823" s="101"/>
      <c r="X1823" s="101"/>
      <c r="Y1823" s="114"/>
      <c r="Z1823" s="114"/>
      <c r="AA1823" s="114"/>
      <c r="AB1823" s="114"/>
      <c r="AC1823" s="114"/>
      <c r="AD1823" s="114"/>
      <c r="AE1823" s="114"/>
      <c r="AF1823" s="114"/>
      <c r="AG1823" s="114"/>
      <c r="AH1823" s="114"/>
      <c r="AI1823" s="114"/>
      <c r="AJ1823" s="114"/>
      <c r="AK1823" s="114"/>
      <c r="AL1823" s="114"/>
      <c r="AM1823" s="114"/>
      <c r="AN1823" s="114"/>
      <c r="AO1823" s="114"/>
      <c r="AP1823" s="114"/>
      <c r="AQ1823" s="114"/>
      <c r="AR1823" s="114"/>
      <c r="AS1823" s="114"/>
      <c r="AT1823" s="114"/>
      <c r="AU1823" s="114"/>
      <c r="AV1823" s="114"/>
      <c r="AW1823" s="114"/>
      <c r="AX1823" s="114"/>
      <c r="AY1823" s="114"/>
      <c r="AZ1823" s="114"/>
    </row>
    <row r="1824" spans="1:52">
      <c r="A1824" s="111"/>
      <c r="B1824" s="111"/>
      <c r="C1824" s="112"/>
      <c r="D1824" s="101"/>
      <c r="E1824" s="101"/>
      <c r="F1824" s="101"/>
      <c r="G1824" s="111"/>
      <c r="H1824" s="101"/>
      <c r="I1824" s="101"/>
      <c r="J1824" s="101"/>
      <c r="K1824" s="101"/>
      <c r="L1824" s="101"/>
      <c r="M1824" s="101"/>
      <c r="N1824" s="101"/>
      <c r="O1824" s="101"/>
      <c r="P1824" s="101"/>
      <c r="Q1824" s="101"/>
      <c r="R1824" s="101"/>
      <c r="S1824" s="101"/>
      <c r="T1824" s="101"/>
      <c r="U1824" s="101"/>
      <c r="V1824" s="101"/>
      <c r="W1824" s="101"/>
      <c r="X1824" s="101"/>
      <c r="Y1824" s="114"/>
      <c r="Z1824" s="114"/>
      <c r="AA1824" s="114"/>
      <c r="AB1824" s="114"/>
      <c r="AC1824" s="114"/>
      <c r="AD1824" s="114"/>
      <c r="AE1824" s="114"/>
      <c r="AF1824" s="114"/>
      <c r="AG1824" s="114"/>
      <c r="AH1824" s="114"/>
      <c r="AI1824" s="114"/>
      <c r="AJ1824" s="114"/>
      <c r="AK1824" s="114"/>
      <c r="AL1824" s="114"/>
      <c r="AM1824" s="114"/>
      <c r="AN1824" s="114"/>
      <c r="AO1824" s="114"/>
      <c r="AP1824" s="114"/>
      <c r="AQ1824" s="114"/>
      <c r="AR1824" s="114"/>
      <c r="AS1824" s="114"/>
      <c r="AT1824" s="114"/>
      <c r="AU1824" s="114"/>
      <c r="AV1824" s="114"/>
      <c r="AW1824" s="114"/>
      <c r="AX1824" s="114"/>
      <c r="AY1824" s="114"/>
      <c r="AZ1824" s="114"/>
    </row>
    <row r="1825" spans="1:52">
      <c r="A1825" s="111"/>
      <c r="B1825" s="111"/>
      <c r="C1825" s="112"/>
      <c r="D1825" s="101"/>
      <c r="E1825" s="101"/>
      <c r="F1825" s="101"/>
      <c r="G1825" s="111"/>
      <c r="H1825" s="101"/>
      <c r="I1825" s="101"/>
      <c r="J1825" s="101"/>
      <c r="K1825" s="101"/>
      <c r="L1825" s="101"/>
      <c r="M1825" s="101"/>
      <c r="N1825" s="101"/>
      <c r="O1825" s="101"/>
      <c r="P1825" s="101"/>
      <c r="Q1825" s="101"/>
      <c r="R1825" s="101"/>
      <c r="S1825" s="101"/>
      <c r="T1825" s="101"/>
      <c r="U1825" s="101"/>
      <c r="V1825" s="101"/>
      <c r="W1825" s="101"/>
      <c r="X1825" s="101"/>
      <c r="Y1825" s="114"/>
      <c r="Z1825" s="114"/>
      <c r="AA1825" s="114"/>
      <c r="AB1825" s="114"/>
      <c r="AC1825" s="114"/>
      <c r="AD1825" s="114"/>
      <c r="AE1825" s="114"/>
      <c r="AF1825" s="114"/>
      <c r="AG1825" s="114"/>
      <c r="AH1825" s="114"/>
      <c r="AI1825" s="114"/>
      <c r="AJ1825" s="114"/>
      <c r="AK1825" s="114"/>
      <c r="AL1825" s="114"/>
      <c r="AM1825" s="114"/>
      <c r="AN1825" s="114"/>
      <c r="AO1825" s="114"/>
      <c r="AP1825" s="114"/>
      <c r="AQ1825" s="114"/>
      <c r="AR1825" s="114"/>
      <c r="AS1825" s="114"/>
      <c r="AT1825" s="114"/>
      <c r="AU1825" s="114"/>
      <c r="AV1825" s="114"/>
      <c r="AW1825" s="114"/>
      <c r="AX1825" s="114"/>
      <c r="AY1825" s="114"/>
      <c r="AZ1825" s="114"/>
    </row>
    <row r="1826" spans="1:52">
      <c r="A1826" s="111"/>
      <c r="B1826" s="111"/>
      <c r="C1826" s="112"/>
      <c r="D1826" s="101"/>
      <c r="E1826" s="101"/>
      <c r="F1826" s="101"/>
      <c r="G1826" s="111"/>
      <c r="H1826" s="101"/>
      <c r="I1826" s="101"/>
      <c r="J1826" s="101"/>
      <c r="K1826" s="101"/>
      <c r="L1826" s="101"/>
      <c r="M1826" s="101"/>
      <c r="N1826" s="101"/>
      <c r="O1826" s="101"/>
      <c r="P1826" s="101"/>
      <c r="Q1826" s="101"/>
      <c r="R1826" s="101"/>
      <c r="S1826" s="101"/>
      <c r="T1826" s="101"/>
      <c r="U1826" s="101"/>
      <c r="V1826" s="101"/>
      <c r="W1826" s="101"/>
      <c r="X1826" s="101"/>
      <c r="Y1826" s="114"/>
      <c r="Z1826" s="114"/>
      <c r="AA1826" s="114"/>
      <c r="AB1826" s="114"/>
      <c r="AC1826" s="114"/>
      <c r="AD1826" s="114"/>
      <c r="AE1826" s="114"/>
      <c r="AF1826" s="114"/>
      <c r="AG1826" s="114"/>
      <c r="AH1826" s="114"/>
      <c r="AI1826" s="114"/>
      <c r="AJ1826" s="114"/>
      <c r="AK1826" s="114"/>
      <c r="AL1826" s="114"/>
      <c r="AM1826" s="114"/>
      <c r="AN1826" s="114"/>
      <c r="AO1826" s="114"/>
      <c r="AP1826" s="114"/>
      <c r="AQ1826" s="114"/>
      <c r="AR1826" s="114"/>
      <c r="AS1826" s="114"/>
      <c r="AT1826" s="114"/>
      <c r="AU1826" s="114"/>
      <c r="AV1826" s="114"/>
      <c r="AW1826" s="114"/>
      <c r="AX1826" s="114"/>
      <c r="AY1826" s="114"/>
      <c r="AZ1826" s="114"/>
    </row>
    <row r="1827" spans="1:52">
      <c r="A1827" s="111"/>
      <c r="B1827" s="111"/>
      <c r="C1827" s="112"/>
      <c r="D1827" s="101"/>
      <c r="E1827" s="101"/>
      <c r="F1827" s="101"/>
      <c r="G1827" s="111"/>
      <c r="H1827" s="101"/>
      <c r="I1827" s="101"/>
      <c r="J1827" s="101"/>
      <c r="K1827" s="101"/>
      <c r="L1827" s="101"/>
      <c r="M1827" s="101"/>
      <c r="N1827" s="101"/>
      <c r="O1827" s="101"/>
      <c r="P1827" s="101"/>
      <c r="Q1827" s="101"/>
      <c r="R1827" s="101"/>
      <c r="S1827" s="101"/>
      <c r="T1827" s="101"/>
      <c r="U1827" s="101"/>
      <c r="V1827" s="101"/>
      <c r="W1827" s="101"/>
      <c r="X1827" s="101"/>
      <c r="Y1827" s="114"/>
      <c r="Z1827" s="114"/>
      <c r="AA1827" s="114"/>
      <c r="AB1827" s="114"/>
      <c r="AC1827" s="114"/>
      <c r="AD1827" s="114"/>
      <c r="AE1827" s="114"/>
      <c r="AF1827" s="114"/>
      <c r="AG1827" s="114"/>
      <c r="AH1827" s="114"/>
      <c r="AI1827" s="114"/>
      <c r="AJ1827" s="114"/>
      <c r="AK1827" s="114"/>
      <c r="AL1827" s="114"/>
      <c r="AM1827" s="114"/>
      <c r="AN1827" s="114"/>
      <c r="AO1827" s="114"/>
      <c r="AP1827" s="114"/>
      <c r="AQ1827" s="114"/>
      <c r="AR1827" s="114"/>
      <c r="AS1827" s="114"/>
      <c r="AT1827" s="114"/>
      <c r="AU1827" s="114"/>
      <c r="AV1827" s="114"/>
      <c r="AW1827" s="114"/>
      <c r="AX1827" s="114"/>
      <c r="AY1827" s="114"/>
      <c r="AZ1827" s="114"/>
    </row>
    <row r="1828" spans="1:52">
      <c r="A1828" s="111"/>
      <c r="B1828" s="111"/>
      <c r="C1828" s="112"/>
      <c r="D1828" s="101"/>
      <c r="E1828" s="101"/>
      <c r="F1828" s="101"/>
      <c r="G1828" s="111"/>
      <c r="H1828" s="101"/>
      <c r="I1828" s="101"/>
      <c r="J1828" s="101"/>
      <c r="K1828" s="101"/>
      <c r="L1828" s="101"/>
      <c r="M1828" s="101"/>
      <c r="N1828" s="101"/>
      <c r="O1828" s="101"/>
      <c r="P1828" s="101"/>
      <c r="Q1828" s="101"/>
      <c r="R1828" s="101"/>
      <c r="S1828" s="101"/>
      <c r="T1828" s="101"/>
      <c r="U1828" s="101"/>
      <c r="V1828" s="101"/>
      <c r="W1828" s="101"/>
      <c r="X1828" s="101"/>
      <c r="Y1828" s="114"/>
      <c r="Z1828" s="114"/>
      <c r="AA1828" s="114"/>
      <c r="AB1828" s="114"/>
      <c r="AC1828" s="114"/>
      <c r="AD1828" s="114"/>
      <c r="AE1828" s="114"/>
      <c r="AF1828" s="114"/>
      <c r="AG1828" s="114"/>
      <c r="AH1828" s="114"/>
      <c r="AI1828" s="114"/>
      <c r="AJ1828" s="114"/>
      <c r="AK1828" s="114"/>
      <c r="AL1828" s="114"/>
      <c r="AM1828" s="114"/>
      <c r="AN1828" s="114"/>
      <c r="AO1828" s="114"/>
      <c r="AP1828" s="114"/>
      <c r="AQ1828" s="114"/>
      <c r="AR1828" s="114"/>
      <c r="AS1828" s="114"/>
      <c r="AT1828" s="114"/>
      <c r="AU1828" s="114"/>
      <c r="AV1828" s="114"/>
      <c r="AW1828" s="114"/>
      <c r="AX1828" s="114"/>
      <c r="AY1828" s="114"/>
      <c r="AZ1828" s="114"/>
    </row>
    <row r="1829" spans="1:52">
      <c r="A1829" s="111"/>
      <c r="B1829" s="111"/>
      <c r="C1829" s="112"/>
      <c r="D1829" s="101"/>
      <c r="E1829" s="101"/>
      <c r="F1829" s="101"/>
      <c r="G1829" s="111"/>
      <c r="H1829" s="101"/>
      <c r="I1829" s="101"/>
      <c r="J1829" s="101"/>
      <c r="K1829" s="101"/>
      <c r="L1829" s="101"/>
      <c r="M1829" s="101"/>
      <c r="N1829" s="101"/>
      <c r="O1829" s="101"/>
      <c r="P1829" s="101"/>
      <c r="Q1829" s="101"/>
      <c r="R1829" s="101"/>
      <c r="S1829" s="101"/>
      <c r="T1829" s="101"/>
      <c r="U1829" s="101"/>
      <c r="V1829" s="101"/>
      <c r="W1829" s="101"/>
      <c r="X1829" s="101"/>
      <c r="Y1829" s="114"/>
      <c r="Z1829" s="114"/>
      <c r="AA1829" s="114"/>
      <c r="AB1829" s="114"/>
      <c r="AC1829" s="114"/>
      <c r="AD1829" s="114"/>
      <c r="AE1829" s="114"/>
      <c r="AF1829" s="114"/>
      <c r="AG1829" s="114"/>
      <c r="AH1829" s="114"/>
      <c r="AI1829" s="114"/>
      <c r="AJ1829" s="114"/>
      <c r="AK1829" s="114"/>
      <c r="AL1829" s="114"/>
      <c r="AM1829" s="114"/>
      <c r="AN1829" s="114"/>
      <c r="AO1829" s="114"/>
      <c r="AP1829" s="114"/>
      <c r="AQ1829" s="114"/>
      <c r="AR1829" s="114"/>
      <c r="AS1829" s="114"/>
      <c r="AT1829" s="114"/>
      <c r="AU1829" s="114"/>
      <c r="AV1829" s="114"/>
      <c r="AW1829" s="114"/>
      <c r="AX1829" s="114"/>
      <c r="AY1829" s="114"/>
      <c r="AZ1829" s="114"/>
    </row>
    <row r="1830" spans="1:52">
      <c r="A1830" s="111"/>
      <c r="B1830" s="111"/>
      <c r="C1830" s="112"/>
      <c r="D1830" s="101"/>
      <c r="E1830" s="101"/>
      <c r="F1830" s="101"/>
      <c r="G1830" s="111"/>
      <c r="H1830" s="101"/>
      <c r="I1830" s="101"/>
      <c r="J1830" s="101"/>
      <c r="K1830" s="101"/>
      <c r="L1830" s="101"/>
      <c r="M1830" s="101"/>
      <c r="N1830" s="101"/>
      <c r="O1830" s="101"/>
      <c r="P1830" s="101"/>
      <c r="Q1830" s="101"/>
      <c r="R1830" s="101"/>
      <c r="S1830" s="101"/>
      <c r="T1830" s="101"/>
      <c r="U1830" s="101"/>
      <c r="V1830" s="101"/>
      <c r="W1830" s="101"/>
      <c r="X1830" s="101"/>
      <c r="Y1830" s="114"/>
      <c r="Z1830" s="114"/>
      <c r="AA1830" s="114"/>
      <c r="AB1830" s="114"/>
      <c r="AC1830" s="114"/>
      <c r="AD1830" s="114"/>
      <c r="AE1830" s="114"/>
      <c r="AF1830" s="114"/>
      <c r="AG1830" s="114"/>
      <c r="AH1830" s="114"/>
      <c r="AI1830" s="114"/>
      <c r="AJ1830" s="114"/>
      <c r="AK1830" s="114"/>
      <c r="AL1830" s="114"/>
      <c r="AM1830" s="114"/>
      <c r="AN1830" s="114"/>
      <c r="AO1830" s="114"/>
      <c r="AP1830" s="114"/>
      <c r="AQ1830" s="114"/>
      <c r="AR1830" s="114"/>
      <c r="AS1830" s="114"/>
      <c r="AT1830" s="114"/>
      <c r="AU1830" s="114"/>
      <c r="AV1830" s="114"/>
      <c r="AW1830" s="114"/>
      <c r="AX1830" s="114"/>
      <c r="AY1830" s="114"/>
      <c r="AZ1830" s="114"/>
    </row>
    <row r="1831" spans="1:52">
      <c r="A1831" s="111"/>
      <c r="B1831" s="111"/>
      <c r="C1831" s="112"/>
      <c r="D1831" s="101"/>
      <c r="E1831" s="101"/>
      <c r="F1831" s="101"/>
      <c r="G1831" s="111"/>
      <c r="H1831" s="101"/>
      <c r="I1831" s="101"/>
      <c r="J1831" s="101"/>
      <c r="K1831" s="101"/>
      <c r="L1831" s="101"/>
      <c r="M1831" s="101"/>
      <c r="N1831" s="101"/>
      <c r="O1831" s="101"/>
      <c r="P1831" s="101"/>
      <c r="Q1831" s="101"/>
      <c r="R1831" s="101"/>
      <c r="S1831" s="101"/>
      <c r="T1831" s="101"/>
      <c r="U1831" s="101"/>
      <c r="V1831" s="101"/>
      <c r="W1831" s="101"/>
      <c r="X1831" s="101"/>
      <c r="Y1831" s="114"/>
      <c r="Z1831" s="114"/>
      <c r="AA1831" s="114"/>
      <c r="AB1831" s="114"/>
      <c r="AC1831" s="114"/>
      <c r="AD1831" s="114"/>
      <c r="AE1831" s="114"/>
      <c r="AF1831" s="114"/>
      <c r="AG1831" s="114"/>
      <c r="AH1831" s="114"/>
      <c r="AI1831" s="114"/>
      <c r="AJ1831" s="114"/>
      <c r="AK1831" s="114"/>
      <c r="AL1831" s="114"/>
      <c r="AM1831" s="114"/>
      <c r="AN1831" s="114"/>
      <c r="AO1831" s="114"/>
      <c r="AP1831" s="114"/>
      <c r="AQ1831" s="114"/>
      <c r="AR1831" s="114"/>
      <c r="AS1831" s="114"/>
      <c r="AT1831" s="114"/>
      <c r="AU1831" s="114"/>
      <c r="AV1831" s="114"/>
      <c r="AW1831" s="114"/>
      <c r="AX1831" s="114"/>
      <c r="AY1831" s="114"/>
      <c r="AZ1831" s="114"/>
    </row>
    <row r="1832" spans="1:52">
      <c r="A1832" s="111"/>
      <c r="B1832" s="111"/>
      <c r="C1832" s="112"/>
      <c r="D1832" s="101"/>
      <c r="E1832" s="101"/>
      <c r="F1832" s="101"/>
      <c r="G1832" s="111"/>
      <c r="H1832" s="101"/>
      <c r="I1832" s="101"/>
      <c r="J1832" s="101"/>
      <c r="K1832" s="101"/>
      <c r="L1832" s="101"/>
      <c r="M1832" s="101"/>
      <c r="N1832" s="101"/>
      <c r="O1832" s="101"/>
      <c r="P1832" s="101"/>
      <c r="Q1832" s="101"/>
      <c r="R1832" s="101"/>
      <c r="S1832" s="101"/>
      <c r="T1832" s="101"/>
      <c r="U1832" s="101"/>
      <c r="V1832" s="101"/>
      <c r="W1832" s="101"/>
      <c r="X1832" s="101"/>
      <c r="Y1832" s="114"/>
      <c r="Z1832" s="114"/>
      <c r="AA1832" s="114"/>
      <c r="AB1832" s="114"/>
      <c r="AC1832" s="114"/>
      <c r="AD1832" s="114"/>
      <c r="AE1832" s="114"/>
      <c r="AF1832" s="114"/>
      <c r="AG1832" s="114"/>
      <c r="AH1832" s="114"/>
      <c r="AI1832" s="114"/>
      <c r="AJ1832" s="114"/>
      <c r="AK1832" s="114"/>
      <c r="AL1832" s="114"/>
      <c r="AM1832" s="114"/>
      <c r="AN1832" s="114"/>
      <c r="AO1832" s="114"/>
      <c r="AP1832" s="114"/>
      <c r="AQ1832" s="114"/>
      <c r="AR1832" s="114"/>
      <c r="AS1832" s="114"/>
      <c r="AT1832" s="114"/>
      <c r="AU1832" s="114"/>
      <c r="AV1832" s="114"/>
      <c r="AW1832" s="114"/>
      <c r="AX1832" s="114"/>
      <c r="AY1832" s="114"/>
      <c r="AZ1832" s="114"/>
    </row>
    <row r="1833" spans="1:52">
      <c r="A1833" s="111"/>
      <c r="B1833" s="111"/>
      <c r="C1833" s="112"/>
      <c r="D1833" s="101"/>
      <c r="E1833" s="101"/>
      <c r="F1833" s="101"/>
      <c r="G1833" s="111"/>
      <c r="H1833" s="101"/>
      <c r="I1833" s="101"/>
      <c r="J1833" s="101"/>
      <c r="K1833" s="101"/>
      <c r="L1833" s="101"/>
      <c r="M1833" s="101"/>
      <c r="N1833" s="101"/>
      <c r="O1833" s="101"/>
      <c r="P1833" s="101"/>
      <c r="Q1833" s="101"/>
      <c r="R1833" s="101"/>
      <c r="S1833" s="101"/>
      <c r="T1833" s="101"/>
      <c r="U1833" s="101"/>
      <c r="V1833" s="101"/>
      <c r="W1833" s="101"/>
      <c r="X1833" s="101"/>
      <c r="Y1833" s="114"/>
      <c r="Z1833" s="114"/>
      <c r="AA1833" s="114"/>
      <c r="AB1833" s="114"/>
      <c r="AC1833" s="114"/>
      <c r="AD1833" s="114"/>
      <c r="AE1833" s="114"/>
      <c r="AF1833" s="114"/>
      <c r="AG1833" s="114"/>
      <c r="AH1833" s="114"/>
      <c r="AI1833" s="114"/>
      <c r="AJ1833" s="114"/>
      <c r="AK1833" s="114"/>
      <c r="AL1833" s="114"/>
      <c r="AM1833" s="114"/>
      <c r="AN1833" s="114"/>
      <c r="AO1833" s="114"/>
      <c r="AP1833" s="114"/>
      <c r="AQ1833" s="114"/>
      <c r="AR1833" s="114"/>
      <c r="AS1833" s="114"/>
      <c r="AT1833" s="114"/>
      <c r="AU1833" s="114"/>
      <c r="AV1833" s="114"/>
      <c r="AW1833" s="114"/>
      <c r="AX1833" s="114"/>
      <c r="AY1833" s="114"/>
      <c r="AZ1833" s="114"/>
    </row>
    <row r="1834" spans="1:52">
      <c r="A1834" s="111"/>
      <c r="B1834" s="111"/>
      <c r="C1834" s="112"/>
      <c r="D1834" s="101"/>
      <c r="E1834" s="101"/>
      <c r="F1834" s="101"/>
      <c r="G1834" s="111"/>
      <c r="H1834" s="101"/>
      <c r="I1834" s="101"/>
      <c r="J1834" s="101"/>
      <c r="K1834" s="101"/>
      <c r="L1834" s="101"/>
      <c r="M1834" s="101"/>
      <c r="N1834" s="101"/>
      <c r="O1834" s="101"/>
      <c r="P1834" s="101"/>
      <c r="Q1834" s="101"/>
      <c r="R1834" s="101"/>
      <c r="S1834" s="101"/>
      <c r="T1834" s="101"/>
      <c r="U1834" s="101"/>
      <c r="V1834" s="101"/>
      <c r="W1834" s="101"/>
      <c r="X1834" s="101"/>
      <c r="Y1834" s="114"/>
      <c r="Z1834" s="114"/>
      <c r="AA1834" s="114"/>
      <c r="AB1834" s="114"/>
      <c r="AC1834" s="114"/>
      <c r="AD1834" s="114"/>
      <c r="AE1834" s="114"/>
      <c r="AF1834" s="114"/>
      <c r="AG1834" s="114"/>
      <c r="AH1834" s="114"/>
      <c r="AI1834" s="114"/>
      <c r="AJ1834" s="114"/>
      <c r="AK1834" s="114"/>
      <c r="AL1834" s="114"/>
      <c r="AM1834" s="114"/>
      <c r="AN1834" s="114"/>
      <c r="AO1834" s="114"/>
      <c r="AP1834" s="114"/>
      <c r="AQ1834" s="114"/>
      <c r="AR1834" s="114"/>
      <c r="AS1834" s="114"/>
      <c r="AT1834" s="114"/>
      <c r="AU1834" s="114"/>
      <c r="AV1834" s="114"/>
      <c r="AW1834" s="114"/>
      <c r="AX1834" s="114"/>
      <c r="AY1834" s="114"/>
      <c r="AZ1834" s="114"/>
    </row>
    <row r="1835" spans="1:52">
      <c r="A1835" s="111"/>
      <c r="B1835" s="111"/>
      <c r="C1835" s="112"/>
      <c r="D1835" s="101"/>
      <c r="E1835" s="101"/>
      <c r="F1835" s="101"/>
      <c r="G1835" s="111"/>
      <c r="H1835" s="101"/>
      <c r="I1835" s="101"/>
      <c r="J1835" s="101"/>
      <c r="K1835" s="101"/>
      <c r="L1835" s="101"/>
      <c r="M1835" s="101"/>
      <c r="N1835" s="101"/>
      <c r="O1835" s="101"/>
      <c r="P1835" s="101"/>
      <c r="Q1835" s="101"/>
      <c r="R1835" s="101"/>
      <c r="S1835" s="101"/>
      <c r="T1835" s="101"/>
      <c r="U1835" s="101"/>
      <c r="V1835" s="101"/>
      <c r="W1835" s="101"/>
      <c r="X1835" s="101"/>
      <c r="Y1835" s="114"/>
      <c r="Z1835" s="114"/>
      <c r="AA1835" s="114"/>
      <c r="AB1835" s="114"/>
      <c r="AC1835" s="114"/>
      <c r="AD1835" s="114"/>
      <c r="AE1835" s="114"/>
      <c r="AF1835" s="114"/>
      <c r="AG1835" s="114"/>
      <c r="AH1835" s="114"/>
      <c r="AI1835" s="114"/>
      <c r="AJ1835" s="114"/>
      <c r="AK1835" s="114"/>
      <c r="AL1835" s="114"/>
      <c r="AM1835" s="114"/>
      <c r="AN1835" s="114"/>
      <c r="AO1835" s="114"/>
      <c r="AP1835" s="114"/>
      <c r="AQ1835" s="114"/>
      <c r="AR1835" s="114"/>
      <c r="AS1835" s="114"/>
      <c r="AT1835" s="114"/>
      <c r="AU1835" s="114"/>
      <c r="AV1835" s="114"/>
      <c r="AW1835" s="114"/>
      <c r="AX1835" s="114"/>
      <c r="AY1835" s="114"/>
      <c r="AZ1835" s="114"/>
    </row>
    <row r="1836" spans="1:52">
      <c r="A1836" s="111"/>
      <c r="B1836" s="111"/>
      <c r="C1836" s="112"/>
      <c r="D1836" s="101"/>
      <c r="E1836" s="101"/>
      <c r="F1836" s="101"/>
      <c r="G1836" s="111"/>
      <c r="H1836" s="101"/>
      <c r="I1836" s="101"/>
      <c r="J1836" s="101"/>
      <c r="K1836" s="101"/>
      <c r="L1836" s="101"/>
      <c r="M1836" s="101"/>
      <c r="N1836" s="101"/>
      <c r="O1836" s="101"/>
      <c r="P1836" s="101"/>
      <c r="Q1836" s="101"/>
      <c r="R1836" s="101"/>
      <c r="S1836" s="101"/>
      <c r="T1836" s="101"/>
      <c r="U1836" s="101"/>
      <c r="V1836" s="101"/>
      <c r="W1836" s="101"/>
      <c r="X1836" s="101"/>
      <c r="Y1836" s="114"/>
      <c r="Z1836" s="114"/>
      <c r="AA1836" s="114"/>
      <c r="AB1836" s="114"/>
      <c r="AC1836" s="114"/>
      <c r="AD1836" s="114"/>
      <c r="AE1836" s="114"/>
      <c r="AF1836" s="114"/>
      <c r="AG1836" s="114"/>
      <c r="AH1836" s="114"/>
      <c r="AI1836" s="114"/>
      <c r="AJ1836" s="114"/>
      <c r="AK1836" s="114"/>
      <c r="AL1836" s="114"/>
      <c r="AM1836" s="114"/>
      <c r="AN1836" s="114"/>
      <c r="AO1836" s="114"/>
      <c r="AP1836" s="114"/>
      <c r="AQ1836" s="114"/>
      <c r="AR1836" s="114"/>
      <c r="AS1836" s="114"/>
      <c r="AT1836" s="114"/>
      <c r="AU1836" s="114"/>
      <c r="AV1836" s="114"/>
      <c r="AW1836" s="114"/>
      <c r="AX1836" s="114"/>
      <c r="AY1836" s="114"/>
      <c r="AZ1836" s="114"/>
    </row>
    <row r="1837" spans="1:52">
      <c r="A1837" s="111"/>
      <c r="B1837" s="111"/>
      <c r="C1837" s="112"/>
      <c r="D1837" s="101"/>
      <c r="E1837" s="101"/>
      <c r="F1837" s="101"/>
      <c r="G1837" s="111"/>
      <c r="H1837" s="101"/>
      <c r="I1837" s="101"/>
      <c r="J1837" s="101"/>
      <c r="K1837" s="101"/>
      <c r="L1837" s="101"/>
      <c r="M1837" s="101"/>
      <c r="N1837" s="101"/>
      <c r="O1837" s="101"/>
      <c r="P1837" s="101"/>
      <c r="Q1837" s="101"/>
      <c r="R1837" s="101"/>
      <c r="S1837" s="101"/>
      <c r="T1837" s="101"/>
      <c r="U1837" s="101"/>
      <c r="V1837" s="101"/>
      <c r="W1837" s="101"/>
      <c r="X1837" s="101"/>
      <c r="Y1837" s="114"/>
      <c r="Z1837" s="114"/>
      <c r="AA1837" s="114"/>
      <c r="AB1837" s="114"/>
      <c r="AC1837" s="114"/>
      <c r="AD1837" s="114"/>
      <c r="AE1837" s="114"/>
      <c r="AF1837" s="114"/>
      <c r="AG1837" s="114"/>
      <c r="AH1837" s="114"/>
      <c r="AI1837" s="114"/>
      <c r="AJ1837" s="114"/>
      <c r="AK1837" s="114"/>
      <c r="AL1837" s="114"/>
      <c r="AM1837" s="114"/>
      <c r="AN1837" s="114"/>
      <c r="AO1837" s="114"/>
      <c r="AP1837" s="114"/>
      <c r="AQ1837" s="114"/>
      <c r="AR1837" s="114"/>
      <c r="AS1837" s="114"/>
      <c r="AT1837" s="114"/>
      <c r="AU1837" s="114"/>
      <c r="AV1837" s="114"/>
      <c r="AW1837" s="114"/>
      <c r="AX1837" s="114"/>
      <c r="AY1837" s="114"/>
      <c r="AZ1837" s="114"/>
    </row>
    <row r="1838" spans="1:52">
      <c r="A1838" s="111"/>
      <c r="B1838" s="111"/>
      <c r="C1838" s="112"/>
      <c r="D1838" s="101"/>
      <c r="E1838" s="101"/>
      <c r="F1838" s="101"/>
      <c r="G1838" s="111"/>
      <c r="H1838" s="101"/>
      <c r="I1838" s="101"/>
      <c r="J1838" s="101"/>
      <c r="K1838" s="101"/>
      <c r="L1838" s="101"/>
      <c r="M1838" s="101"/>
      <c r="N1838" s="101"/>
      <c r="O1838" s="101"/>
      <c r="P1838" s="101"/>
      <c r="Q1838" s="101"/>
      <c r="R1838" s="101"/>
      <c r="S1838" s="101"/>
      <c r="T1838" s="101"/>
      <c r="U1838" s="101"/>
      <c r="V1838" s="101"/>
      <c r="W1838" s="101"/>
      <c r="X1838" s="101"/>
      <c r="Y1838" s="114"/>
      <c r="Z1838" s="114"/>
      <c r="AA1838" s="114"/>
      <c r="AB1838" s="114"/>
      <c r="AC1838" s="114"/>
      <c r="AD1838" s="114"/>
      <c r="AE1838" s="114"/>
      <c r="AF1838" s="114"/>
      <c r="AG1838" s="114"/>
      <c r="AH1838" s="114"/>
      <c r="AI1838" s="114"/>
      <c r="AJ1838" s="114"/>
      <c r="AK1838" s="114"/>
      <c r="AL1838" s="114"/>
      <c r="AM1838" s="114"/>
      <c r="AN1838" s="114"/>
      <c r="AO1838" s="114"/>
      <c r="AP1838" s="114"/>
      <c r="AQ1838" s="114"/>
      <c r="AR1838" s="114"/>
      <c r="AS1838" s="114"/>
      <c r="AT1838" s="114"/>
      <c r="AU1838" s="114"/>
      <c r="AV1838" s="114"/>
      <c r="AW1838" s="114"/>
      <c r="AX1838" s="114"/>
      <c r="AY1838" s="114"/>
      <c r="AZ1838" s="114"/>
    </row>
    <row r="1839" spans="1:52">
      <c r="A1839" s="111"/>
      <c r="B1839" s="111"/>
      <c r="C1839" s="112"/>
      <c r="D1839" s="101"/>
      <c r="E1839" s="101"/>
      <c r="F1839" s="101"/>
      <c r="G1839" s="111"/>
      <c r="H1839" s="101"/>
      <c r="I1839" s="101"/>
      <c r="J1839" s="101"/>
      <c r="K1839" s="101"/>
      <c r="L1839" s="101"/>
      <c r="M1839" s="101"/>
      <c r="N1839" s="101"/>
      <c r="O1839" s="101"/>
      <c r="P1839" s="101"/>
      <c r="Q1839" s="101"/>
      <c r="R1839" s="101"/>
      <c r="S1839" s="101"/>
      <c r="T1839" s="101"/>
      <c r="U1839" s="101"/>
      <c r="V1839" s="101"/>
      <c r="W1839" s="101"/>
      <c r="X1839" s="101"/>
      <c r="Y1839" s="114"/>
      <c r="Z1839" s="114"/>
      <c r="AA1839" s="114"/>
      <c r="AB1839" s="114"/>
      <c r="AC1839" s="114"/>
      <c r="AD1839" s="114"/>
      <c r="AE1839" s="114"/>
      <c r="AF1839" s="114"/>
      <c r="AG1839" s="114"/>
      <c r="AH1839" s="114"/>
      <c r="AI1839" s="114"/>
      <c r="AJ1839" s="114"/>
      <c r="AK1839" s="114"/>
      <c r="AL1839" s="114"/>
      <c r="AM1839" s="114"/>
      <c r="AN1839" s="114"/>
      <c r="AO1839" s="114"/>
      <c r="AP1839" s="114"/>
      <c r="AQ1839" s="114"/>
      <c r="AR1839" s="114"/>
      <c r="AS1839" s="114"/>
      <c r="AT1839" s="114"/>
      <c r="AU1839" s="114"/>
      <c r="AV1839" s="114"/>
      <c r="AW1839" s="114"/>
      <c r="AX1839" s="114"/>
      <c r="AY1839" s="114"/>
      <c r="AZ1839" s="114"/>
    </row>
    <row r="1840" spans="1:52">
      <c r="A1840" s="111"/>
      <c r="B1840" s="111"/>
      <c r="C1840" s="112"/>
      <c r="D1840" s="101"/>
      <c r="E1840" s="101"/>
      <c r="F1840" s="101"/>
      <c r="G1840" s="111"/>
      <c r="H1840" s="101"/>
      <c r="I1840" s="101"/>
      <c r="J1840" s="101"/>
      <c r="K1840" s="101"/>
      <c r="L1840" s="101"/>
      <c r="M1840" s="101"/>
      <c r="N1840" s="101"/>
      <c r="O1840" s="101"/>
      <c r="P1840" s="101"/>
      <c r="Q1840" s="101"/>
      <c r="R1840" s="101"/>
      <c r="S1840" s="101"/>
      <c r="T1840" s="101"/>
      <c r="U1840" s="101"/>
      <c r="V1840" s="101"/>
      <c r="W1840" s="101"/>
      <c r="X1840" s="101"/>
      <c r="Y1840" s="114"/>
      <c r="Z1840" s="114"/>
      <c r="AA1840" s="114"/>
      <c r="AB1840" s="114"/>
      <c r="AC1840" s="114"/>
      <c r="AD1840" s="114"/>
      <c r="AE1840" s="114"/>
      <c r="AF1840" s="114"/>
      <c r="AG1840" s="114"/>
      <c r="AH1840" s="114"/>
      <c r="AI1840" s="114"/>
      <c r="AJ1840" s="114"/>
      <c r="AK1840" s="114"/>
      <c r="AL1840" s="114"/>
      <c r="AM1840" s="114"/>
      <c r="AN1840" s="114"/>
      <c r="AO1840" s="114"/>
      <c r="AP1840" s="114"/>
      <c r="AQ1840" s="114"/>
      <c r="AR1840" s="114"/>
      <c r="AS1840" s="114"/>
      <c r="AT1840" s="114"/>
      <c r="AU1840" s="114"/>
      <c r="AV1840" s="114"/>
      <c r="AW1840" s="114"/>
      <c r="AX1840" s="114"/>
      <c r="AY1840" s="114"/>
      <c r="AZ1840" s="114"/>
    </row>
    <row r="1841" spans="1:52">
      <c r="A1841" s="111"/>
      <c r="B1841" s="111"/>
      <c r="C1841" s="112"/>
      <c r="D1841" s="101"/>
      <c r="E1841" s="101"/>
      <c r="F1841" s="101"/>
      <c r="G1841" s="111"/>
      <c r="H1841" s="101"/>
      <c r="I1841" s="101"/>
      <c r="J1841" s="101"/>
      <c r="K1841" s="101"/>
      <c r="L1841" s="101"/>
      <c r="M1841" s="101"/>
      <c r="N1841" s="101"/>
      <c r="O1841" s="101"/>
      <c r="P1841" s="101"/>
      <c r="Q1841" s="101"/>
      <c r="R1841" s="101"/>
      <c r="S1841" s="101"/>
      <c r="T1841" s="101"/>
      <c r="U1841" s="101"/>
      <c r="V1841" s="101"/>
      <c r="W1841" s="101"/>
      <c r="X1841" s="101"/>
      <c r="Y1841" s="114"/>
      <c r="Z1841" s="114"/>
      <c r="AA1841" s="114"/>
      <c r="AB1841" s="114"/>
      <c r="AC1841" s="114"/>
      <c r="AD1841" s="114"/>
      <c r="AE1841" s="114"/>
      <c r="AF1841" s="114"/>
      <c r="AG1841" s="114"/>
      <c r="AH1841" s="114"/>
      <c r="AI1841" s="114"/>
      <c r="AJ1841" s="114"/>
      <c r="AK1841" s="114"/>
      <c r="AL1841" s="114"/>
      <c r="AM1841" s="114"/>
      <c r="AN1841" s="114"/>
      <c r="AO1841" s="114"/>
      <c r="AP1841" s="114"/>
      <c r="AQ1841" s="114"/>
      <c r="AR1841" s="114"/>
      <c r="AS1841" s="114"/>
      <c r="AT1841" s="114"/>
      <c r="AU1841" s="114"/>
      <c r="AV1841" s="114"/>
      <c r="AW1841" s="114"/>
      <c r="AX1841" s="114"/>
      <c r="AY1841" s="114"/>
      <c r="AZ1841" s="114"/>
    </row>
    <row r="1842" spans="1:52">
      <c r="A1842" s="111"/>
      <c r="B1842" s="111"/>
      <c r="C1842" s="112"/>
      <c r="D1842" s="101"/>
      <c r="E1842" s="101"/>
      <c r="F1842" s="101"/>
      <c r="G1842" s="111"/>
      <c r="H1842" s="101"/>
      <c r="I1842" s="101"/>
      <c r="J1842" s="101"/>
      <c r="K1842" s="101"/>
      <c r="L1842" s="101"/>
      <c r="M1842" s="101"/>
      <c r="N1842" s="101"/>
      <c r="O1842" s="101"/>
      <c r="P1842" s="101"/>
      <c r="Q1842" s="101"/>
      <c r="R1842" s="101"/>
      <c r="S1842" s="101"/>
      <c r="T1842" s="101"/>
      <c r="U1842" s="101"/>
      <c r="V1842" s="101"/>
      <c r="W1842" s="101"/>
      <c r="X1842" s="101"/>
      <c r="Y1842" s="114"/>
      <c r="Z1842" s="114"/>
      <c r="AA1842" s="114"/>
      <c r="AB1842" s="114"/>
      <c r="AC1842" s="114"/>
      <c r="AD1842" s="114"/>
      <c r="AE1842" s="114"/>
      <c r="AF1842" s="114"/>
      <c r="AG1842" s="114"/>
      <c r="AH1842" s="114"/>
      <c r="AI1842" s="114"/>
      <c r="AJ1842" s="114"/>
      <c r="AK1842" s="114"/>
      <c r="AL1842" s="114"/>
      <c r="AM1842" s="114"/>
      <c r="AN1842" s="114"/>
      <c r="AO1842" s="114"/>
      <c r="AP1842" s="114"/>
      <c r="AQ1842" s="114"/>
      <c r="AR1842" s="114"/>
      <c r="AS1842" s="114"/>
      <c r="AT1842" s="114"/>
      <c r="AU1842" s="114"/>
      <c r="AV1842" s="114"/>
      <c r="AW1842" s="114"/>
      <c r="AX1842" s="114"/>
      <c r="AY1842" s="114"/>
      <c r="AZ1842" s="114"/>
    </row>
    <row r="1843" spans="1:52">
      <c r="A1843" s="111"/>
      <c r="B1843" s="111"/>
      <c r="C1843" s="112"/>
      <c r="D1843" s="101"/>
      <c r="E1843" s="101"/>
      <c r="F1843" s="101"/>
      <c r="G1843" s="111"/>
      <c r="H1843" s="101"/>
      <c r="I1843" s="101"/>
      <c r="J1843" s="101"/>
      <c r="K1843" s="101"/>
      <c r="L1843" s="101"/>
      <c r="M1843" s="101"/>
      <c r="N1843" s="101"/>
      <c r="O1843" s="101"/>
      <c r="P1843" s="101"/>
      <c r="Q1843" s="101"/>
      <c r="R1843" s="101"/>
      <c r="S1843" s="101"/>
      <c r="T1843" s="101"/>
      <c r="U1843" s="101"/>
      <c r="V1843" s="101"/>
      <c r="W1843" s="101"/>
      <c r="X1843" s="101"/>
      <c r="Y1843" s="114"/>
      <c r="Z1843" s="114"/>
      <c r="AA1843" s="114"/>
      <c r="AB1843" s="114"/>
      <c r="AC1843" s="114"/>
      <c r="AD1843" s="114"/>
      <c r="AE1843" s="114"/>
      <c r="AF1843" s="114"/>
      <c r="AG1843" s="114"/>
      <c r="AH1843" s="114"/>
      <c r="AI1843" s="114"/>
      <c r="AJ1843" s="114"/>
      <c r="AK1843" s="114"/>
      <c r="AL1843" s="114"/>
      <c r="AM1843" s="114"/>
      <c r="AN1843" s="114"/>
      <c r="AO1843" s="114"/>
      <c r="AP1843" s="114"/>
      <c r="AQ1843" s="114"/>
      <c r="AR1843" s="114"/>
      <c r="AS1843" s="114"/>
      <c r="AT1843" s="114"/>
      <c r="AU1843" s="114"/>
      <c r="AV1843" s="114"/>
      <c r="AW1843" s="114"/>
      <c r="AX1843" s="114"/>
      <c r="AY1843" s="114"/>
      <c r="AZ1843" s="114"/>
    </row>
    <row r="1844" spans="1:52">
      <c r="A1844" s="111"/>
      <c r="B1844" s="111"/>
      <c r="C1844" s="112"/>
      <c r="D1844" s="101"/>
      <c r="E1844" s="101"/>
      <c r="F1844" s="101"/>
      <c r="G1844" s="111"/>
      <c r="H1844" s="101"/>
      <c r="I1844" s="101"/>
      <c r="J1844" s="101"/>
      <c r="K1844" s="101"/>
      <c r="L1844" s="101"/>
      <c r="M1844" s="101"/>
      <c r="N1844" s="101"/>
      <c r="O1844" s="101"/>
      <c r="P1844" s="101"/>
      <c r="Q1844" s="101"/>
      <c r="R1844" s="101"/>
      <c r="S1844" s="101"/>
      <c r="T1844" s="101"/>
      <c r="U1844" s="101"/>
      <c r="V1844" s="101"/>
      <c r="W1844" s="101"/>
      <c r="X1844" s="101"/>
      <c r="Y1844" s="114"/>
      <c r="Z1844" s="114"/>
      <c r="AA1844" s="114"/>
      <c r="AB1844" s="114"/>
      <c r="AC1844" s="114"/>
      <c r="AD1844" s="114"/>
      <c r="AE1844" s="114"/>
      <c r="AF1844" s="114"/>
      <c r="AG1844" s="114"/>
      <c r="AH1844" s="114"/>
      <c r="AI1844" s="114"/>
      <c r="AJ1844" s="114"/>
      <c r="AK1844" s="114"/>
      <c r="AL1844" s="114"/>
      <c r="AM1844" s="114"/>
      <c r="AN1844" s="114"/>
      <c r="AO1844" s="114"/>
      <c r="AP1844" s="114"/>
      <c r="AQ1844" s="114"/>
      <c r="AR1844" s="114"/>
      <c r="AS1844" s="114"/>
      <c r="AT1844" s="114"/>
      <c r="AU1844" s="114"/>
      <c r="AV1844" s="114"/>
      <c r="AW1844" s="114"/>
      <c r="AX1844" s="114"/>
      <c r="AY1844" s="114"/>
      <c r="AZ1844" s="114"/>
    </row>
    <row r="1845" spans="1:52">
      <c r="A1845" s="111"/>
      <c r="B1845" s="111"/>
      <c r="C1845" s="112"/>
      <c r="D1845" s="101"/>
      <c r="E1845" s="101"/>
      <c r="F1845" s="101"/>
      <c r="G1845" s="111"/>
      <c r="H1845" s="101"/>
      <c r="I1845" s="101"/>
      <c r="J1845" s="101"/>
      <c r="K1845" s="101"/>
      <c r="L1845" s="101"/>
      <c r="M1845" s="101"/>
      <c r="N1845" s="101"/>
      <c r="O1845" s="101"/>
      <c r="P1845" s="101"/>
      <c r="Q1845" s="101"/>
      <c r="R1845" s="101"/>
      <c r="S1845" s="101"/>
      <c r="T1845" s="101"/>
      <c r="U1845" s="101"/>
      <c r="V1845" s="101"/>
      <c r="W1845" s="101"/>
      <c r="X1845" s="101"/>
      <c r="Y1845" s="114"/>
      <c r="Z1845" s="114"/>
      <c r="AA1845" s="114"/>
      <c r="AB1845" s="114"/>
      <c r="AC1845" s="114"/>
      <c r="AD1845" s="114"/>
      <c r="AE1845" s="114"/>
      <c r="AF1845" s="114"/>
      <c r="AG1845" s="114"/>
      <c r="AH1845" s="114"/>
      <c r="AI1845" s="114"/>
      <c r="AJ1845" s="114"/>
      <c r="AK1845" s="114"/>
      <c r="AL1845" s="114"/>
      <c r="AM1845" s="114"/>
      <c r="AN1845" s="114"/>
      <c r="AO1845" s="114"/>
      <c r="AP1845" s="114"/>
      <c r="AQ1845" s="114"/>
      <c r="AR1845" s="114"/>
      <c r="AS1845" s="114"/>
      <c r="AT1845" s="114"/>
      <c r="AU1845" s="114"/>
      <c r="AV1845" s="114"/>
      <c r="AW1845" s="114"/>
      <c r="AX1845" s="114"/>
      <c r="AY1845" s="114"/>
      <c r="AZ1845" s="114"/>
    </row>
    <row r="1846" spans="1:52">
      <c r="A1846" s="111"/>
      <c r="B1846" s="111"/>
      <c r="C1846" s="112"/>
      <c r="D1846" s="101"/>
      <c r="E1846" s="101"/>
      <c r="F1846" s="101"/>
      <c r="G1846" s="111"/>
      <c r="H1846" s="101"/>
      <c r="I1846" s="101"/>
      <c r="J1846" s="101"/>
      <c r="K1846" s="101"/>
      <c r="L1846" s="101"/>
      <c r="M1846" s="101"/>
      <c r="N1846" s="101"/>
      <c r="O1846" s="101"/>
      <c r="P1846" s="101"/>
      <c r="Q1846" s="101"/>
      <c r="R1846" s="101"/>
      <c r="S1846" s="101"/>
      <c r="T1846" s="101"/>
      <c r="U1846" s="101"/>
      <c r="V1846" s="101"/>
      <c r="W1846" s="101"/>
      <c r="X1846" s="101"/>
      <c r="Y1846" s="114"/>
      <c r="Z1846" s="114"/>
      <c r="AA1846" s="114"/>
      <c r="AB1846" s="114"/>
      <c r="AC1846" s="114"/>
      <c r="AD1846" s="114"/>
      <c r="AE1846" s="114"/>
      <c r="AF1846" s="114"/>
      <c r="AG1846" s="114"/>
      <c r="AH1846" s="114"/>
      <c r="AI1846" s="114"/>
      <c r="AJ1846" s="114"/>
      <c r="AK1846" s="114"/>
      <c r="AL1846" s="114"/>
      <c r="AM1846" s="114"/>
      <c r="AN1846" s="114"/>
      <c r="AO1846" s="114"/>
      <c r="AP1846" s="114"/>
      <c r="AQ1846" s="114"/>
      <c r="AR1846" s="114"/>
      <c r="AS1846" s="114"/>
      <c r="AT1846" s="114"/>
      <c r="AU1846" s="114"/>
      <c r="AV1846" s="114"/>
      <c r="AW1846" s="114"/>
      <c r="AX1846" s="114"/>
      <c r="AY1846" s="114"/>
      <c r="AZ1846" s="114"/>
    </row>
    <row r="1847" spans="1:52">
      <c r="A1847" s="111"/>
      <c r="B1847" s="111"/>
      <c r="C1847" s="112"/>
      <c r="D1847" s="101"/>
      <c r="E1847" s="101"/>
      <c r="F1847" s="101"/>
      <c r="G1847" s="111"/>
      <c r="H1847" s="101"/>
      <c r="I1847" s="101"/>
      <c r="J1847" s="101"/>
      <c r="K1847" s="101"/>
      <c r="L1847" s="101"/>
      <c r="M1847" s="101"/>
      <c r="N1847" s="101"/>
      <c r="O1847" s="101"/>
      <c r="P1847" s="101"/>
      <c r="Q1847" s="101"/>
      <c r="R1847" s="101"/>
      <c r="S1847" s="101"/>
      <c r="T1847" s="101"/>
      <c r="U1847" s="101"/>
      <c r="V1847" s="101"/>
      <c r="W1847" s="101"/>
      <c r="X1847" s="101"/>
      <c r="Y1847" s="114"/>
      <c r="Z1847" s="114"/>
      <c r="AA1847" s="114"/>
      <c r="AB1847" s="114"/>
      <c r="AC1847" s="114"/>
      <c r="AD1847" s="114"/>
      <c r="AE1847" s="114"/>
      <c r="AF1847" s="114"/>
      <c r="AG1847" s="114"/>
      <c r="AH1847" s="114"/>
      <c r="AI1847" s="114"/>
      <c r="AJ1847" s="114"/>
      <c r="AK1847" s="114"/>
      <c r="AL1847" s="114"/>
      <c r="AM1847" s="114"/>
      <c r="AN1847" s="114"/>
      <c r="AO1847" s="114"/>
      <c r="AP1847" s="114"/>
      <c r="AQ1847" s="114"/>
      <c r="AR1847" s="114"/>
      <c r="AS1847" s="114"/>
      <c r="AT1847" s="114"/>
      <c r="AU1847" s="114"/>
      <c r="AV1847" s="114"/>
      <c r="AW1847" s="114"/>
      <c r="AX1847" s="114"/>
      <c r="AY1847" s="114"/>
      <c r="AZ1847" s="114"/>
    </row>
    <row r="1848" spans="1:52">
      <c r="A1848" s="111"/>
      <c r="B1848" s="111"/>
      <c r="C1848" s="112"/>
      <c r="D1848" s="101"/>
      <c r="E1848" s="101"/>
      <c r="F1848" s="101"/>
      <c r="G1848" s="111"/>
      <c r="H1848" s="101"/>
      <c r="I1848" s="101"/>
      <c r="J1848" s="101"/>
      <c r="K1848" s="101"/>
      <c r="L1848" s="101"/>
      <c r="M1848" s="101"/>
      <c r="N1848" s="101"/>
      <c r="O1848" s="101"/>
      <c r="P1848" s="101"/>
      <c r="Q1848" s="101"/>
      <c r="R1848" s="101"/>
      <c r="S1848" s="101"/>
      <c r="T1848" s="101"/>
      <c r="U1848" s="101"/>
      <c r="V1848" s="101"/>
      <c r="W1848" s="101"/>
      <c r="X1848" s="101"/>
      <c r="Y1848" s="114"/>
      <c r="Z1848" s="114"/>
      <c r="AA1848" s="114"/>
      <c r="AB1848" s="114"/>
      <c r="AC1848" s="114"/>
      <c r="AD1848" s="114"/>
      <c r="AE1848" s="114"/>
      <c r="AF1848" s="114"/>
      <c r="AG1848" s="114"/>
      <c r="AH1848" s="114"/>
      <c r="AI1848" s="114"/>
      <c r="AJ1848" s="114"/>
      <c r="AK1848" s="114"/>
      <c r="AL1848" s="114"/>
      <c r="AM1848" s="114"/>
      <c r="AN1848" s="114"/>
      <c r="AO1848" s="114"/>
      <c r="AP1848" s="114"/>
      <c r="AQ1848" s="114"/>
      <c r="AR1848" s="114"/>
      <c r="AS1848" s="114"/>
      <c r="AT1848" s="114"/>
      <c r="AU1848" s="114"/>
      <c r="AV1848" s="114"/>
      <c r="AW1848" s="114"/>
      <c r="AX1848" s="114"/>
      <c r="AY1848" s="114"/>
      <c r="AZ1848" s="114"/>
    </row>
    <row r="1849" spans="1:52">
      <c r="A1849" s="111"/>
      <c r="B1849" s="111"/>
      <c r="C1849" s="112"/>
      <c r="D1849" s="101"/>
      <c r="E1849" s="101"/>
      <c r="F1849" s="101"/>
      <c r="G1849" s="111"/>
      <c r="H1849" s="101"/>
      <c r="I1849" s="101"/>
      <c r="J1849" s="101"/>
      <c r="K1849" s="101"/>
      <c r="L1849" s="101"/>
      <c r="M1849" s="101"/>
      <c r="N1849" s="101"/>
      <c r="O1849" s="101"/>
      <c r="P1849" s="101"/>
      <c r="Q1849" s="101"/>
      <c r="R1849" s="101"/>
      <c r="S1849" s="101"/>
      <c r="T1849" s="101"/>
      <c r="U1849" s="101"/>
      <c r="V1849" s="101"/>
      <c r="W1849" s="101"/>
      <c r="X1849" s="101"/>
      <c r="Y1849" s="114"/>
      <c r="Z1849" s="114"/>
      <c r="AA1849" s="114"/>
      <c r="AB1849" s="114"/>
      <c r="AC1849" s="114"/>
      <c r="AD1849" s="114"/>
      <c r="AE1849" s="114"/>
      <c r="AF1849" s="114"/>
      <c r="AG1849" s="114"/>
      <c r="AH1849" s="114"/>
      <c r="AI1849" s="114"/>
      <c r="AJ1849" s="114"/>
      <c r="AK1849" s="114"/>
      <c r="AL1849" s="114"/>
      <c r="AM1849" s="114"/>
      <c r="AN1849" s="114"/>
      <c r="AO1849" s="114"/>
      <c r="AP1849" s="114"/>
      <c r="AQ1849" s="114"/>
      <c r="AR1849" s="114"/>
      <c r="AS1849" s="114"/>
      <c r="AT1849" s="114"/>
      <c r="AU1849" s="114"/>
      <c r="AV1849" s="114"/>
      <c r="AW1849" s="114"/>
      <c r="AX1849" s="114"/>
      <c r="AY1849" s="114"/>
      <c r="AZ1849" s="114"/>
    </row>
    <row r="1850" spans="1:52">
      <c r="A1850" s="111"/>
      <c r="B1850" s="111"/>
      <c r="C1850" s="112"/>
      <c r="D1850" s="101"/>
      <c r="E1850" s="101"/>
      <c r="F1850" s="101"/>
      <c r="G1850" s="111"/>
      <c r="H1850" s="101"/>
      <c r="I1850" s="101"/>
      <c r="J1850" s="101"/>
      <c r="K1850" s="101"/>
      <c r="L1850" s="101"/>
      <c r="M1850" s="101"/>
      <c r="N1850" s="101"/>
      <c r="O1850" s="101"/>
      <c r="P1850" s="101"/>
      <c r="Q1850" s="101"/>
      <c r="R1850" s="101"/>
      <c r="S1850" s="101"/>
      <c r="T1850" s="101"/>
      <c r="U1850" s="101"/>
      <c r="V1850" s="101"/>
      <c r="W1850" s="101"/>
      <c r="X1850" s="101"/>
      <c r="Y1850" s="114"/>
      <c r="Z1850" s="114"/>
      <c r="AA1850" s="114"/>
      <c r="AB1850" s="114"/>
      <c r="AC1850" s="114"/>
      <c r="AD1850" s="114"/>
      <c r="AE1850" s="114"/>
      <c r="AF1850" s="114"/>
      <c r="AG1850" s="114"/>
      <c r="AH1850" s="114"/>
      <c r="AI1850" s="114"/>
      <c r="AJ1850" s="114"/>
      <c r="AK1850" s="114"/>
      <c r="AL1850" s="114"/>
      <c r="AM1850" s="114"/>
      <c r="AN1850" s="114"/>
      <c r="AO1850" s="114"/>
      <c r="AP1850" s="114"/>
      <c r="AQ1850" s="114"/>
      <c r="AR1850" s="114"/>
      <c r="AS1850" s="114"/>
      <c r="AT1850" s="114"/>
      <c r="AU1850" s="114"/>
      <c r="AV1850" s="114"/>
      <c r="AW1850" s="114"/>
      <c r="AX1850" s="114"/>
      <c r="AY1850" s="114"/>
      <c r="AZ1850" s="114"/>
    </row>
    <row r="1851" spans="1:52">
      <c r="A1851" s="111"/>
      <c r="B1851" s="111"/>
      <c r="C1851" s="112"/>
      <c r="D1851" s="101"/>
      <c r="E1851" s="101"/>
      <c r="F1851" s="101"/>
      <c r="G1851" s="111"/>
      <c r="H1851" s="101"/>
      <c r="I1851" s="101"/>
      <c r="J1851" s="101"/>
      <c r="K1851" s="101"/>
      <c r="L1851" s="101"/>
      <c r="M1851" s="101"/>
      <c r="N1851" s="101"/>
      <c r="O1851" s="101"/>
      <c r="P1851" s="101"/>
      <c r="Q1851" s="101"/>
      <c r="R1851" s="101"/>
      <c r="S1851" s="101"/>
      <c r="T1851" s="101"/>
      <c r="U1851" s="101"/>
      <c r="V1851" s="101"/>
      <c r="W1851" s="101"/>
      <c r="X1851" s="101"/>
      <c r="Y1851" s="114"/>
      <c r="Z1851" s="114"/>
      <c r="AA1851" s="114"/>
      <c r="AB1851" s="114"/>
      <c r="AC1851" s="114"/>
      <c r="AD1851" s="114"/>
      <c r="AE1851" s="114"/>
      <c r="AF1851" s="114"/>
      <c r="AG1851" s="114"/>
      <c r="AH1851" s="114"/>
      <c r="AI1851" s="114"/>
      <c r="AJ1851" s="114"/>
      <c r="AK1851" s="114"/>
      <c r="AL1851" s="114"/>
      <c r="AM1851" s="114"/>
      <c r="AN1851" s="114"/>
      <c r="AO1851" s="114"/>
      <c r="AP1851" s="114"/>
      <c r="AQ1851" s="114"/>
      <c r="AR1851" s="114"/>
      <c r="AS1851" s="114"/>
      <c r="AT1851" s="114"/>
      <c r="AU1851" s="114"/>
      <c r="AV1851" s="114"/>
      <c r="AW1851" s="114"/>
      <c r="AX1851" s="114"/>
      <c r="AY1851" s="114"/>
      <c r="AZ1851" s="114"/>
    </row>
    <row r="1852" spans="1:52">
      <c r="A1852" s="111"/>
      <c r="B1852" s="111"/>
      <c r="C1852" s="112"/>
      <c r="D1852" s="101"/>
      <c r="E1852" s="101"/>
      <c r="F1852" s="101"/>
      <c r="G1852" s="111"/>
      <c r="H1852" s="101"/>
      <c r="I1852" s="101"/>
      <c r="J1852" s="101"/>
      <c r="K1852" s="101"/>
      <c r="L1852" s="101"/>
      <c r="M1852" s="101"/>
      <c r="N1852" s="101"/>
      <c r="O1852" s="101"/>
      <c r="P1852" s="101"/>
      <c r="Q1852" s="101"/>
      <c r="R1852" s="101"/>
      <c r="S1852" s="101"/>
      <c r="T1852" s="101"/>
      <c r="U1852" s="101"/>
      <c r="V1852" s="101"/>
      <c r="W1852" s="101"/>
      <c r="X1852" s="101"/>
      <c r="Y1852" s="114"/>
      <c r="Z1852" s="114"/>
      <c r="AA1852" s="114"/>
      <c r="AB1852" s="114"/>
      <c r="AC1852" s="114"/>
      <c r="AD1852" s="114"/>
      <c r="AE1852" s="114"/>
      <c r="AF1852" s="114"/>
      <c r="AG1852" s="114"/>
      <c r="AH1852" s="114"/>
      <c r="AI1852" s="114"/>
      <c r="AJ1852" s="114"/>
      <c r="AK1852" s="114"/>
      <c r="AL1852" s="114"/>
      <c r="AM1852" s="114"/>
      <c r="AN1852" s="114"/>
      <c r="AO1852" s="114"/>
      <c r="AP1852" s="114"/>
      <c r="AQ1852" s="114"/>
      <c r="AR1852" s="114"/>
      <c r="AS1852" s="114"/>
      <c r="AT1852" s="114"/>
      <c r="AU1852" s="114"/>
      <c r="AV1852" s="114"/>
      <c r="AW1852" s="114"/>
      <c r="AX1852" s="114"/>
      <c r="AY1852" s="114"/>
      <c r="AZ1852" s="114"/>
    </row>
    <row r="1853" spans="1:52">
      <c r="A1853" s="111"/>
      <c r="B1853" s="111"/>
      <c r="C1853" s="112"/>
      <c r="D1853" s="101"/>
      <c r="E1853" s="101"/>
      <c r="F1853" s="101"/>
      <c r="G1853" s="111"/>
      <c r="H1853" s="101"/>
      <c r="I1853" s="101"/>
      <c r="J1853" s="101"/>
      <c r="K1853" s="101"/>
      <c r="L1853" s="101"/>
      <c r="M1853" s="101"/>
      <c r="N1853" s="101"/>
      <c r="O1853" s="101"/>
      <c r="P1853" s="101"/>
      <c r="Q1853" s="101"/>
      <c r="R1853" s="101"/>
      <c r="S1853" s="101"/>
      <c r="T1853" s="101"/>
      <c r="U1853" s="101"/>
      <c r="V1853" s="101"/>
      <c r="W1853" s="101"/>
      <c r="X1853" s="101"/>
      <c r="Y1853" s="114"/>
      <c r="Z1853" s="114"/>
      <c r="AA1853" s="114"/>
      <c r="AB1853" s="114"/>
      <c r="AC1853" s="114"/>
      <c r="AD1853" s="114"/>
      <c r="AE1853" s="114"/>
      <c r="AF1853" s="114"/>
      <c r="AG1853" s="114"/>
      <c r="AH1853" s="114"/>
      <c r="AI1853" s="114"/>
      <c r="AJ1853" s="114"/>
      <c r="AK1853" s="114"/>
      <c r="AL1853" s="114"/>
      <c r="AM1853" s="114"/>
      <c r="AN1853" s="114"/>
      <c r="AO1853" s="114"/>
      <c r="AP1853" s="114"/>
      <c r="AQ1853" s="114"/>
      <c r="AR1853" s="114"/>
      <c r="AS1853" s="114"/>
      <c r="AT1853" s="114"/>
      <c r="AU1853" s="114"/>
      <c r="AV1853" s="114"/>
      <c r="AW1853" s="114"/>
      <c r="AX1853" s="114"/>
      <c r="AY1853" s="114"/>
      <c r="AZ1853" s="114"/>
    </row>
    <row r="1854" spans="1:52">
      <c r="A1854" s="111"/>
      <c r="B1854" s="111"/>
      <c r="C1854" s="112"/>
      <c r="D1854" s="101"/>
      <c r="E1854" s="101"/>
      <c r="F1854" s="101"/>
      <c r="G1854" s="111"/>
      <c r="H1854" s="101"/>
      <c r="I1854" s="101"/>
      <c r="J1854" s="101"/>
      <c r="K1854" s="101"/>
      <c r="L1854" s="101"/>
      <c r="M1854" s="101"/>
      <c r="N1854" s="101"/>
      <c r="O1854" s="101"/>
      <c r="P1854" s="101"/>
      <c r="Q1854" s="101"/>
      <c r="R1854" s="101"/>
      <c r="S1854" s="101"/>
      <c r="T1854" s="101"/>
      <c r="U1854" s="101"/>
      <c r="V1854" s="101"/>
      <c r="W1854" s="101"/>
      <c r="X1854" s="101"/>
      <c r="Y1854" s="114"/>
      <c r="Z1854" s="114"/>
      <c r="AA1854" s="114"/>
      <c r="AB1854" s="114"/>
      <c r="AC1854" s="114"/>
      <c r="AD1854" s="114"/>
      <c r="AE1854" s="114"/>
      <c r="AF1854" s="114"/>
      <c r="AG1854" s="114"/>
      <c r="AH1854" s="114"/>
      <c r="AI1854" s="114"/>
      <c r="AJ1854" s="114"/>
      <c r="AK1854" s="114"/>
      <c r="AL1854" s="114"/>
      <c r="AM1854" s="114"/>
      <c r="AN1854" s="114"/>
      <c r="AO1854" s="114"/>
      <c r="AP1854" s="114"/>
      <c r="AQ1854" s="114"/>
      <c r="AR1854" s="114"/>
      <c r="AS1854" s="114"/>
      <c r="AT1854" s="114"/>
      <c r="AU1854" s="114"/>
      <c r="AV1854" s="114"/>
      <c r="AW1854" s="114"/>
      <c r="AX1854" s="114"/>
      <c r="AY1854" s="114"/>
      <c r="AZ1854" s="114"/>
    </row>
    <row r="1855" spans="1:52">
      <c r="A1855" s="111"/>
      <c r="B1855" s="111"/>
      <c r="C1855" s="112"/>
      <c r="D1855" s="101"/>
      <c r="E1855" s="101"/>
      <c r="F1855" s="101"/>
      <c r="G1855" s="111"/>
      <c r="H1855" s="101"/>
      <c r="I1855" s="101"/>
      <c r="J1855" s="101"/>
      <c r="K1855" s="101"/>
      <c r="L1855" s="101"/>
      <c r="M1855" s="101"/>
      <c r="N1855" s="101"/>
      <c r="O1855" s="101"/>
      <c r="P1855" s="101"/>
      <c r="Q1855" s="101"/>
      <c r="R1855" s="101"/>
      <c r="S1855" s="101"/>
      <c r="T1855" s="101"/>
      <c r="U1855" s="101"/>
      <c r="V1855" s="101"/>
      <c r="W1855" s="101"/>
      <c r="X1855" s="101"/>
      <c r="Y1855" s="114"/>
      <c r="Z1855" s="114"/>
      <c r="AA1855" s="114"/>
      <c r="AB1855" s="114"/>
      <c r="AC1855" s="114"/>
      <c r="AD1855" s="114"/>
      <c r="AE1855" s="114"/>
      <c r="AF1855" s="114"/>
      <c r="AG1855" s="114"/>
      <c r="AH1855" s="114"/>
      <c r="AI1855" s="114"/>
      <c r="AJ1855" s="114"/>
      <c r="AK1855" s="114"/>
      <c r="AL1855" s="114"/>
      <c r="AM1855" s="114"/>
      <c r="AN1855" s="114"/>
      <c r="AO1855" s="114"/>
      <c r="AP1855" s="114"/>
      <c r="AQ1855" s="114"/>
      <c r="AR1855" s="114"/>
      <c r="AS1855" s="114"/>
      <c r="AT1855" s="114"/>
      <c r="AU1855" s="114"/>
      <c r="AV1855" s="114"/>
      <c r="AW1855" s="114"/>
      <c r="AX1855" s="114"/>
      <c r="AY1855" s="114"/>
      <c r="AZ1855" s="114"/>
    </row>
    <row r="1856" spans="1:52">
      <c r="A1856" s="111"/>
      <c r="B1856" s="111"/>
      <c r="C1856" s="112"/>
      <c r="D1856" s="101"/>
      <c r="E1856" s="101"/>
      <c r="F1856" s="101"/>
      <c r="G1856" s="111"/>
      <c r="H1856" s="101"/>
      <c r="I1856" s="101"/>
      <c r="J1856" s="101"/>
      <c r="K1856" s="101"/>
      <c r="L1856" s="101"/>
      <c r="M1856" s="101"/>
      <c r="N1856" s="101"/>
      <c r="O1856" s="101"/>
      <c r="P1856" s="101"/>
      <c r="Q1856" s="101"/>
      <c r="R1856" s="101"/>
      <c r="S1856" s="101"/>
      <c r="T1856" s="101"/>
      <c r="U1856" s="101"/>
      <c r="V1856" s="101"/>
      <c r="W1856" s="101"/>
      <c r="X1856" s="101"/>
      <c r="Y1856" s="114"/>
      <c r="Z1856" s="114"/>
      <c r="AA1856" s="114"/>
      <c r="AB1856" s="114"/>
      <c r="AC1856" s="114"/>
      <c r="AD1856" s="114"/>
      <c r="AE1856" s="114"/>
      <c r="AF1856" s="114"/>
      <c r="AG1856" s="114"/>
      <c r="AH1856" s="114"/>
      <c r="AI1856" s="114"/>
      <c r="AJ1856" s="114"/>
      <c r="AK1856" s="114"/>
      <c r="AL1856" s="114"/>
      <c r="AM1856" s="114"/>
      <c r="AN1856" s="114"/>
      <c r="AO1856" s="114"/>
      <c r="AP1856" s="114"/>
      <c r="AQ1856" s="114"/>
      <c r="AR1856" s="114"/>
      <c r="AS1856" s="114"/>
      <c r="AT1856" s="114"/>
      <c r="AU1856" s="114"/>
      <c r="AV1856" s="114"/>
      <c r="AW1856" s="114"/>
      <c r="AX1856" s="114"/>
      <c r="AY1856" s="114"/>
      <c r="AZ1856" s="114"/>
    </row>
    <row r="1857" spans="1:52">
      <c r="A1857" s="111"/>
      <c r="B1857" s="111"/>
      <c r="C1857" s="112"/>
      <c r="D1857" s="101"/>
      <c r="E1857" s="101"/>
      <c r="F1857" s="101"/>
      <c r="G1857" s="111"/>
      <c r="H1857" s="101"/>
      <c r="I1857" s="101"/>
      <c r="J1857" s="101"/>
      <c r="K1857" s="101"/>
      <c r="L1857" s="101"/>
      <c r="M1857" s="101"/>
      <c r="N1857" s="101"/>
      <c r="O1857" s="101"/>
      <c r="P1857" s="101"/>
      <c r="Q1857" s="101"/>
      <c r="R1857" s="101"/>
      <c r="S1857" s="101"/>
      <c r="T1857" s="101"/>
      <c r="U1857" s="101"/>
      <c r="V1857" s="101"/>
      <c r="W1857" s="101"/>
      <c r="X1857" s="101"/>
      <c r="Y1857" s="114"/>
      <c r="Z1857" s="114"/>
      <c r="AA1857" s="114"/>
      <c r="AB1857" s="114"/>
      <c r="AC1857" s="114"/>
      <c r="AD1857" s="114"/>
      <c r="AE1857" s="114"/>
      <c r="AF1857" s="114"/>
      <c r="AG1857" s="114"/>
      <c r="AH1857" s="114"/>
      <c r="AI1857" s="114"/>
      <c r="AJ1857" s="114"/>
      <c r="AK1857" s="114"/>
      <c r="AL1857" s="114"/>
      <c r="AM1857" s="114"/>
      <c r="AN1857" s="114"/>
      <c r="AO1857" s="114"/>
      <c r="AP1857" s="114"/>
      <c r="AQ1857" s="114"/>
      <c r="AR1857" s="114"/>
      <c r="AS1857" s="114"/>
      <c r="AT1857" s="114"/>
      <c r="AU1857" s="114"/>
      <c r="AV1857" s="114"/>
      <c r="AW1857" s="114"/>
      <c r="AX1857" s="114"/>
      <c r="AY1857" s="114"/>
      <c r="AZ1857" s="114"/>
    </row>
    <row r="1858" spans="1:52">
      <c r="A1858" s="111"/>
      <c r="B1858" s="111"/>
      <c r="C1858" s="112"/>
      <c r="D1858" s="101"/>
      <c r="E1858" s="101"/>
      <c r="F1858" s="101"/>
      <c r="G1858" s="111"/>
      <c r="H1858" s="101"/>
      <c r="I1858" s="101"/>
      <c r="J1858" s="101"/>
      <c r="K1858" s="101"/>
      <c r="L1858" s="101"/>
      <c r="M1858" s="101"/>
      <c r="N1858" s="101"/>
      <c r="O1858" s="101"/>
      <c r="P1858" s="101"/>
      <c r="Q1858" s="101"/>
      <c r="R1858" s="101"/>
      <c r="S1858" s="101"/>
      <c r="T1858" s="101"/>
      <c r="U1858" s="101"/>
      <c r="V1858" s="101"/>
      <c r="W1858" s="101"/>
      <c r="X1858" s="101"/>
      <c r="Y1858" s="114"/>
      <c r="Z1858" s="114"/>
      <c r="AA1858" s="114"/>
      <c r="AB1858" s="114"/>
      <c r="AC1858" s="114"/>
      <c r="AD1858" s="114"/>
      <c r="AE1858" s="114"/>
      <c r="AF1858" s="114"/>
      <c r="AG1858" s="114"/>
      <c r="AH1858" s="114"/>
      <c r="AI1858" s="114"/>
      <c r="AJ1858" s="114"/>
      <c r="AK1858" s="114"/>
      <c r="AL1858" s="114"/>
      <c r="AM1858" s="114"/>
      <c r="AN1858" s="114"/>
      <c r="AO1858" s="114"/>
      <c r="AP1858" s="114"/>
      <c r="AQ1858" s="114"/>
      <c r="AR1858" s="114"/>
      <c r="AS1858" s="114"/>
      <c r="AT1858" s="114"/>
      <c r="AU1858" s="114"/>
      <c r="AV1858" s="114"/>
      <c r="AW1858" s="114"/>
      <c r="AX1858" s="114"/>
      <c r="AY1858" s="114"/>
      <c r="AZ1858" s="114"/>
    </row>
    <row r="1859" spans="1:52">
      <c r="A1859" s="111"/>
      <c r="B1859" s="111"/>
      <c r="C1859" s="112"/>
      <c r="D1859" s="101"/>
      <c r="E1859" s="101"/>
      <c r="F1859" s="101"/>
      <c r="G1859" s="111"/>
      <c r="H1859" s="101"/>
      <c r="I1859" s="101"/>
      <c r="J1859" s="101"/>
      <c r="K1859" s="101"/>
      <c r="L1859" s="101"/>
      <c r="M1859" s="101"/>
      <c r="N1859" s="101"/>
      <c r="O1859" s="101"/>
      <c r="P1859" s="101"/>
      <c r="Q1859" s="101"/>
      <c r="R1859" s="101"/>
      <c r="S1859" s="101"/>
      <c r="T1859" s="101"/>
      <c r="U1859" s="101"/>
      <c r="V1859" s="101"/>
      <c r="W1859" s="101"/>
      <c r="X1859" s="101"/>
      <c r="Y1859" s="114"/>
      <c r="Z1859" s="114"/>
      <c r="AA1859" s="114"/>
      <c r="AB1859" s="114"/>
      <c r="AC1859" s="114"/>
      <c r="AD1859" s="114"/>
      <c r="AE1859" s="114"/>
      <c r="AF1859" s="114"/>
      <c r="AG1859" s="114"/>
      <c r="AH1859" s="114"/>
      <c r="AI1859" s="114"/>
      <c r="AJ1859" s="114"/>
      <c r="AK1859" s="114"/>
      <c r="AL1859" s="114"/>
      <c r="AM1859" s="114"/>
      <c r="AN1859" s="114"/>
      <c r="AO1859" s="114"/>
      <c r="AP1859" s="114"/>
      <c r="AQ1859" s="114"/>
      <c r="AR1859" s="114"/>
      <c r="AS1859" s="114"/>
      <c r="AT1859" s="114"/>
      <c r="AU1859" s="114"/>
      <c r="AV1859" s="114"/>
      <c r="AW1859" s="114"/>
      <c r="AX1859" s="114"/>
      <c r="AY1859" s="114"/>
      <c r="AZ1859" s="114"/>
    </row>
    <row r="1860" spans="1:52">
      <c r="A1860" s="111"/>
      <c r="B1860" s="111"/>
      <c r="C1860" s="112"/>
      <c r="D1860" s="101"/>
      <c r="E1860" s="101"/>
      <c r="F1860" s="101"/>
      <c r="G1860" s="111"/>
      <c r="H1860" s="101"/>
      <c r="I1860" s="101"/>
      <c r="J1860" s="101"/>
      <c r="K1860" s="101"/>
      <c r="L1860" s="101"/>
      <c r="M1860" s="101"/>
      <c r="N1860" s="101"/>
      <c r="O1860" s="101"/>
      <c r="P1860" s="101"/>
      <c r="Q1860" s="101"/>
      <c r="R1860" s="101"/>
      <c r="S1860" s="101"/>
      <c r="T1860" s="101"/>
      <c r="U1860" s="101"/>
      <c r="V1860" s="101"/>
      <c r="W1860" s="101"/>
      <c r="X1860" s="101"/>
      <c r="Y1860" s="114"/>
      <c r="Z1860" s="114"/>
      <c r="AA1860" s="114"/>
      <c r="AB1860" s="114"/>
      <c r="AC1860" s="114"/>
      <c r="AD1860" s="114"/>
      <c r="AE1860" s="114"/>
      <c r="AF1860" s="114"/>
      <c r="AG1860" s="114"/>
      <c r="AH1860" s="114"/>
      <c r="AI1860" s="114"/>
      <c r="AJ1860" s="114"/>
      <c r="AK1860" s="114"/>
      <c r="AL1860" s="114"/>
      <c r="AM1860" s="114"/>
      <c r="AN1860" s="114"/>
      <c r="AO1860" s="114"/>
      <c r="AP1860" s="114"/>
      <c r="AQ1860" s="114"/>
      <c r="AR1860" s="114"/>
      <c r="AS1860" s="114"/>
      <c r="AT1860" s="114"/>
      <c r="AU1860" s="114"/>
      <c r="AV1860" s="114"/>
      <c r="AW1860" s="114"/>
      <c r="AX1860" s="114"/>
      <c r="AY1860" s="114"/>
      <c r="AZ1860" s="114"/>
    </row>
    <row r="1861" spans="1:52">
      <c r="A1861" s="111"/>
      <c r="B1861" s="111"/>
      <c r="C1861" s="112"/>
      <c r="D1861" s="101"/>
      <c r="E1861" s="101"/>
      <c r="F1861" s="101"/>
      <c r="G1861" s="111"/>
      <c r="H1861" s="101"/>
      <c r="I1861" s="101"/>
      <c r="J1861" s="101"/>
      <c r="K1861" s="101"/>
      <c r="L1861" s="101"/>
      <c r="M1861" s="101"/>
      <c r="N1861" s="101"/>
      <c r="O1861" s="101"/>
      <c r="P1861" s="101"/>
      <c r="Q1861" s="101"/>
      <c r="R1861" s="101"/>
      <c r="S1861" s="101"/>
      <c r="T1861" s="101"/>
      <c r="U1861" s="101"/>
      <c r="V1861" s="101"/>
      <c r="W1861" s="101"/>
      <c r="X1861" s="101"/>
      <c r="Y1861" s="114"/>
      <c r="Z1861" s="114"/>
      <c r="AA1861" s="114"/>
      <c r="AB1861" s="114"/>
      <c r="AC1861" s="114"/>
      <c r="AD1861" s="114"/>
      <c r="AE1861" s="114"/>
      <c r="AF1861" s="114"/>
      <c r="AG1861" s="114"/>
      <c r="AH1861" s="114"/>
      <c r="AI1861" s="114"/>
      <c r="AJ1861" s="114"/>
      <c r="AK1861" s="114"/>
      <c r="AL1861" s="114"/>
      <c r="AM1861" s="114"/>
      <c r="AN1861" s="114"/>
      <c r="AO1861" s="114"/>
      <c r="AP1861" s="114"/>
      <c r="AQ1861" s="114"/>
      <c r="AR1861" s="114"/>
      <c r="AS1861" s="114"/>
      <c r="AT1861" s="114"/>
      <c r="AU1861" s="114"/>
      <c r="AV1861" s="114"/>
      <c r="AW1861" s="114"/>
      <c r="AX1861" s="114"/>
      <c r="AY1861" s="114"/>
      <c r="AZ1861" s="114"/>
    </row>
    <row r="1862" spans="1:52">
      <c r="A1862" s="111"/>
      <c r="B1862" s="111"/>
      <c r="C1862" s="112"/>
      <c r="D1862" s="101"/>
      <c r="E1862" s="101"/>
      <c r="F1862" s="101"/>
      <c r="G1862" s="111"/>
      <c r="H1862" s="101"/>
      <c r="I1862" s="101"/>
      <c r="J1862" s="101"/>
      <c r="K1862" s="101"/>
      <c r="L1862" s="101"/>
      <c r="M1862" s="101"/>
      <c r="N1862" s="101"/>
      <c r="O1862" s="101"/>
      <c r="P1862" s="101"/>
      <c r="Q1862" s="101"/>
      <c r="R1862" s="101"/>
      <c r="S1862" s="101"/>
      <c r="T1862" s="101"/>
      <c r="U1862" s="101"/>
      <c r="V1862" s="101"/>
      <c r="W1862" s="101"/>
      <c r="X1862" s="101"/>
      <c r="Y1862" s="114"/>
      <c r="Z1862" s="114"/>
      <c r="AA1862" s="114"/>
      <c r="AB1862" s="114"/>
      <c r="AC1862" s="114"/>
      <c r="AD1862" s="114"/>
      <c r="AE1862" s="114"/>
      <c r="AF1862" s="114"/>
      <c r="AG1862" s="114"/>
      <c r="AH1862" s="114"/>
      <c r="AI1862" s="114"/>
      <c r="AJ1862" s="114"/>
      <c r="AK1862" s="114"/>
      <c r="AL1862" s="114"/>
      <c r="AM1862" s="114"/>
      <c r="AN1862" s="114"/>
      <c r="AO1862" s="114"/>
      <c r="AP1862" s="114"/>
      <c r="AQ1862" s="114"/>
      <c r="AR1862" s="114"/>
      <c r="AS1862" s="114"/>
      <c r="AT1862" s="114"/>
      <c r="AU1862" s="114"/>
      <c r="AV1862" s="114"/>
      <c r="AW1862" s="114"/>
      <c r="AX1862" s="114"/>
      <c r="AY1862" s="114"/>
      <c r="AZ1862" s="114"/>
    </row>
    <row r="1863" spans="1:52">
      <c r="A1863" s="111"/>
      <c r="B1863" s="111"/>
      <c r="C1863" s="112"/>
      <c r="D1863" s="101"/>
      <c r="E1863" s="101"/>
      <c r="F1863" s="101"/>
      <c r="G1863" s="111"/>
      <c r="H1863" s="101"/>
      <c r="I1863" s="101"/>
      <c r="J1863" s="101"/>
      <c r="K1863" s="101"/>
      <c r="L1863" s="101"/>
      <c r="M1863" s="101"/>
      <c r="N1863" s="101"/>
      <c r="O1863" s="101"/>
      <c r="P1863" s="101"/>
      <c r="Q1863" s="101"/>
      <c r="R1863" s="101"/>
      <c r="S1863" s="101"/>
      <c r="T1863" s="101"/>
      <c r="U1863" s="101"/>
      <c r="V1863" s="101"/>
      <c r="W1863" s="101"/>
      <c r="X1863" s="101"/>
      <c r="Y1863" s="114"/>
      <c r="Z1863" s="114"/>
      <c r="AA1863" s="114"/>
      <c r="AB1863" s="114"/>
      <c r="AC1863" s="114"/>
      <c r="AD1863" s="114"/>
      <c r="AE1863" s="114"/>
      <c r="AF1863" s="114"/>
      <c r="AG1863" s="114"/>
      <c r="AH1863" s="114"/>
      <c r="AI1863" s="114"/>
      <c r="AJ1863" s="114"/>
      <c r="AK1863" s="114"/>
      <c r="AL1863" s="114"/>
      <c r="AM1863" s="114"/>
      <c r="AN1863" s="114"/>
      <c r="AO1863" s="114"/>
      <c r="AP1863" s="114"/>
      <c r="AQ1863" s="114"/>
      <c r="AR1863" s="114"/>
      <c r="AS1863" s="114"/>
      <c r="AT1863" s="114"/>
      <c r="AU1863" s="114"/>
      <c r="AV1863" s="114"/>
      <c r="AW1863" s="114"/>
      <c r="AX1863" s="114"/>
      <c r="AY1863" s="114"/>
      <c r="AZ1863" s="114"/>
    </row>
    <row r="1864" spans="1:52">
      <c r="A1864" s="111"/>
      <c r="B1864" s="111"/>
      <c r="C1864" s="112"/>
      <c r="D1864" s="101"/>
      <c r="E1864" s="101"/>
      <c r="F1864" s="101"/>
      <c r="G1864" s="111"/>
      <c r="H1864" s="101"/>
      <c r="I1864" s="101"/>
      <c r="J1864" s="101"/>
      <c r="K1864" s="101"/>
      <c r="L1864" s="101"/>
      <c r="M1864" s="101"/>
      <c r="N1864" s="101"/>
      <c r="O1864" s="101"/>
      <c r="P1864" s="101"/>
      <c r="Q1864" s="101"/>
      <c r="R1864" s="101"/>
      <c r="S1864" s="101"/>
      <c r="T1864" s="101"/>
      <c r="U1864" s="101"/>
      <c r="V1864" s="101"/>
      <c r="W1864" s="101"/>
      <c r="X1864" s="101"/>
      <c r="Y1864" s="114"/>
      <c r="Z1864" s="114"/>
      <c r="AA1864" s="114"/>
      <c r="AB1864" s="114"/>
      <c r="AC1864" s="114"/>
      <c r="AD1864" s="114"/>
      <c r="AE1864" s="114"/>
      <c r="AF1864" s="114"/>
      <c r="AG1864" s="114"/>
      <c r="AH1864" s="114"/>
      <c r="AI1864" s="114"/>
      <c r="AJ1864" s="114"/>
      <c r="AK1864" s="114"/>
      <c r="AL1864" s="114"/>
      <c r="AM1864" s="114"/>
      <c r="AN1864" s="114"/>
      <c r="AO1864" s="114"/>
      <c r="AP1864" s="114"/>
      <c r="AQ1864" s="114"/>
      <c r="AR1864" s="114"/>
      <c r="AS1864" s="114"/>
      <c r="AT1864" s="114"/>
      <c r="AU1864" s="114"/>
      <c r="AV1864" s="114"/>
      <c r="AW1864" s="114"/>
      <c r="AX1864" s="114"/>
      <c r="AY1864" s="114"/>
      <c r="AZ1864" s="114"/>
    </row>
    <row r="1865" spans="1:52">
      <c r="A1865" s="111"/>
      <c r="B1865" s="111"/>
      <c r="C1865" s="112"/>
      <c r="D1865" s="101"/>
      <c r="E1865" s="101"/>
      <c r="F1865" s="101"/>
      <c r="G1865" s="111"/>
      <c r="H1865" s="101"/>
      <c r="I1865" s="101"/>
      <c r="J1865" s="101"/>
      <c r="K1865" s="101"/>
      <c r="L1865" s="101"/>
      <c r="M1865" s="101"/>
      <c r="N1865" s="101"/>
      <c r="O1865" s="101"/>
      <c r="P1865" s="101"/>
      <c r="Q1865" s="101"/>
      <c r="R1865" s="101"/>
      <c r="S1865" s="101"/>
      <c r="T1865" s="101"/>
      <c r="U1865" s="101"/>
      <c r="V1865" s="101"/>
      <c r="W1865" s="101"/>
      <c r="X1865" s="101"/>
      <c r="Y1865" s="114"/>
      <c r="Z1865" s="114"/>
      <c r="AA1865" s="114"/>
      <c r="AB1865" s="114"/>
      <c r="AC1865" s="114"/>
      <c r="AD1865" s="114"/>
      <c r="AE1865" s="114"/>
      <c r="AF1865" s="114"/>
      <c r="AG1865" s="114"/>
      <c r="AH1865" s="114"/>
      <c r="AI1865" s="114"/>
      <c r="AJ1865" s="114"/>
      <c r="AK1865" s="114"/>
      <c r="AL1865" s="114"/>
      <c r="AM1865" s="114"/>
      <c r="AN1865" s="114"/>
      <c r="AO1865" s="114"/>
      <c r="AP1865" s="114"/>
      <c r="AQ1865" s="114"/>
      <c r="AR1865" s="114"/>
      <c r="AS1865" s="114"/>
      <c r="AT1865" s="114"/>
      <c r="AU1865" s="114"/>
      <c r="AV1865" s="114"/>
      <c r="AW1865" s="114"/>
      <c r="AX1865" s="114"/>
      <c r="AY1865" s="114"/>
      <c r="AZ1865" s="114"/>
    </row>
    <row r="1866" spans="1:52">
      <c r="A1866" s="111"/>
      <c r="B1866" s="111"/>
      <c r="C1866" s="112"/>
      <c r="D1866" s="101"/>
      <c r="E1866" s="101"/>
      <c r="F1866" s="101"/>
      <c r="G1866" s="111"/>
      <c r="H1866" s="101"/>
      <c r="I1866" s="101"/>
      <c r="J1866" s="101"/>
      <c r="K1866" s="101"/>
      <c r="L1866" s="101"/>
      <c r="M1866" s="101"/>
      <c r="N1866" s="101"/>
      <c r="O1866" s="101"/>
      <c r="P1866" s="101"/>
      <c r="Q1866" s="101"/>
      <c r="R1866" s="101"/>
      <c r="S1866" s="101"/>
      <c r="T1866" s="101"/>
      <c r="U1866" s="101"/>
      <c r="V1866" s="101"/>
      <c r="W1866" s="101"/>
      <c r="X1866" s="101"/>
      <c r="Y1866" s="114"/>
      <c r="Z1866" s="114"/>
      <c r="AA1866" s="114"/>
      <c r="AB1866" s="114"/>
      <c r="AC1866" s="114"/>
      <c r="AD1866" s="114"/>
      <c r="AE1866" s="114"/>
      <c r="AF1866" s="114"/>
      <c r="AG1866" s="114"/>
      <c r="AH1866" s="114"/>
      <c r="AI1866" s="114"/>
      <c r="AJ1866" s="114"/>
      <c r="AK1866" s="114"/>
      <c r="AL1866" s="114"/>
      <c r="AM1866" s="114"/>
      <c r="AN1866" s="114"/>
      <c r="AO1866" s="114"/>
      <c r="AP1866" s="114"/>
      <c r="AQ1866" s="114"/>
      <c r="AR1866" s="114"/>
      <c r="AS1866" s="114"/>
      <c r="AT1866" s="114"/>
      <c r="AU1866" s="114"/>
      <c r="AV1866" s="114"/>
      <c r="AW1866" s="114"/>
      <c r="AX1866" s="114"/>
      <c r="AY1866" s="114"/>
      <c r="AZ1866" s="114"/>
    </row>
    <row r="1867" spans="1:52">
      <c r="A1867" s="111"/>
      <c r="B1867" s="111"/>
      <c r="C1867" s="112"/>
      <c r="D1867" s="101"/>
      <c r="E1867" s="101"/>
      <c r="F1867" s="101"/>
      <c r="G1867" s="111"/>
      <c r="H1867" s="101"/>
      <c r="I1867" s="101"/>
      <c r="J1867" s="101"/>
      <c r="K1867" s="101"/>
      <c r="L1867" s="101"/>
      <c r="M1867" s="101"/>
      <c r="N1867" s="101"/>
      <c r="O1867" s="101"/>
      <c r="P1867" s="101"/>
      <c r="Q1867" s="101"/>
      <c r="R1867" s="101"/>
      <c r="S1867" s="101"/>
      <c r="T1867" s="101"/>
      <c r="U1867" s="101"/>
      <c r="V1867" s="101"/>
      <c r="W1867" s="101"/>
      <c r="X1867" s="101"/>
      <c r="Y1867" s="114"/>
      <c r="Z1867" s="114"/>
      <c r="AA1867" s="114"/>
      <c r="AB1867" s="114"/>
      <c r="AC1867" s="114"/>
      <c r="AD1867" s="114"/>
      <c r="AE1867" s="114"/>
      <c r="AF1867" s="114"/>
      <c r="AG1867" s="114"/>
      <c r="AH1867" s="114"/>
      <c r="AI1867" s="114"/>
      <c r="AJ1867" s="114"/>
      <c r="AK1867" s="114"/>
      <c r="AL1867" s="114"/>
      <c r="AM1867" s="114"/>
      <c r="AN1867" s="114"/>
      <c r="AO1867" s="114"/>
      <c r="AP1867" s="114"/>
      <c r="AQ1867" s="114"/>
      <c r="AR1867" s="114"/>
      <c r="AS1867" s="114"/>
      <c r="AT1867" s="114"/>
      <c r="AU1867" s="114"/>
      <c r="AV1867" s="114"/>
      <c r="AW1867" s="114"/>
      <c r="AX1867" s="114"/>
      <c r="AY1867" s="114"/>
      <c r="AZ1867" s="114"/>
    </row>
    <row r="1868" spans="1:52">
      <c r="A1868" s="111"/>
      <c r="B1868" s="111"/>
      <c r="C1868" s="112"/>
      <c r="D1868" s="101"/>
      <c r="E1868" s="101"/>
      <c r="F1868" s="101"/>
      <c r="G1868" s="111"/>
      <c r="H1868" s="101"/>
      <c r="I1868" s="101"/>
      <c r="J1868" s="101"/>
      <c r="K1868" s="101"/>
      <c r="L1868" s="101"/>
      <c r="M1868" s="101"/>
      <c r="N1868" s="101"/>
      <c r="O1868" s="101"/>
      <c r="P1868" s="101"/>
      <c r="Q1868" s="101"/>
      <c r="R1868" s="101"/>
      <c r="S1868" s="101"/>
      <c r="T1868" s="101"/>
      <c r="U1868" s="101"/>
      <c r="V1868" s="101"/>
      <c r="W1868" s="101"/>
      <c r="X1868" s="101"/>
      <c r="Y1868" s="114"/>
      <c r="Z1868" s="114"/>
      <c r="AA1868" s="114"/>
      <c r="AB1868" s="114"/>
      <c r="AC1868" s="114"/>
      <c r="AD1868" s="114"/>
      <c r="AE1868" s="114"/>
      <c r="AF1868" s="114"/>
      <c r="AG1868" s="114"/>
      <c r="AH1868" s="114"/>
      <c r="AI1868" s="114"/>
      <c r="AJ1868" s="114"/>
      <c r="AK1868" s="114"/>
      <c r="AL1868" s="114"/>
      <c r="AM1868" s="114"/>
      <c r="AN1868" s="114"/>
      <c r="AO1868" s="114"/>
      <c r="AP1868" s="114"/>
      <c r="AQ1868" s="114"/>
      <c r="AR1868" s="114"/>
      <c r="AS1868" s="114"/>
      <c r="AT1868" s="114"/>
      <c r="AU1868" s="114"/>
      <c r="AV1868" s="114"/>
      <c r="AW1868" s="114"/>
      <c r="AX1868" s="114"/>
      <c r="AY1868" s="114"/>
      <c r="AZ1868" s="114"/>
    </row>
    <row r="1869" spans="1:52">
      <c r="A1869" s="111"/>
      <c r="B1869" s="111"/>
      <c r="C1869" s="112"/>
      <c r="D1869" s="101"/>
      <c r="E1869" s="101"/>
      <c r="F1869" s="101"/>
      <c r="G1869" s="111"/>
      <c r="H1869" s="101"/>
      <c r="I1869" s="101"/>
      <c r="J1869" s="101"/>
      <c r="K1869" s="101"/>
      <c r="L1869" s="101"/>
      <c r="M1869" s="101"/>
      <c r="N1869" s="101"/>
      <c r="O1869" s="101"/>
      <c r="P1869" s="101"/>
      <c r="Q1869" s="101"/>
      <c r="R1869" s="101"/>
      <c r="S1869" s="101"/>
      <c r="T1869" s="101"/>
      <c r="U1869" s="101"/>
      <c r="V1869" s="101"/>
      <c r="W1869" s="101"/>
      <c r="X1869" s="101"/>
      <c r="Y1869" s="114"/>
      <c r="Z1869" s="114"/>
      <c r="AA1869" s="114"/>
      <c r="AB1869" s="114"/>
      <c r="AC1869" s="114"/>
      <c r="AD1869" s="114"/>
      <c r="AE1869" s="114"/>
      <c r="AF1869" s="114"/>
      <c r="AG1869" s="114"/>
      <c r="AH1869" s="114"/>
      <c r="AI1869" s="114"/>
      <c r="AJ1869" s="114"/>
      <c r="AK1869" s="114"/>
      <c r="AL1869" s="114"/>
      <c r="AM1869" s="114"/>
      <c r="AN1869" s="114"/>
      <c r="AO1869" s="114"/>
      <c r="AP1869" s="114"/>
      <c r="AQ1869" s="114"/>
      <c r="AR1869" s="114"/>
      <c r="AS1869" s="114"/>
      <c r="AT1869" s="114"/>
      <c r="AU1869" s="114"/>
      <c r="AV1869" s="114"/>
      <c r="AW1869" s="114"/>
      <c r="AX1869" s="114"/>
      <c r="AY1869" s="114"/>
      <c r="AZ1869" s="114"/>
    </row>
    <row r="1870" spans="1:52">
      <c r="A1870" s="111"/>
      <c r="B1870" s="111"/>
      <c r="C1870" s="112"/>
      <c r="D1870" s="101"/>
      <c r="E1870" s="101"/>
      <c r="F1870" s="101"/>
      <c r="G1870" s="111"/>
      <c r="H1870" s="101"/>
      <c r="I1870" s="101"/>
      <c r="J1870" s="101"/>
      <c r="K1870" s="101"/>
      <c r="L1870" s="101"/>
      <c r="M1870" s="101"/>
      <c r="N1870" s="101"/>
      <c r="O1870" s="101"/>
      <c r="P1870" s="101"/>
      <c r="Q1870" s="101"/>
      <c r="R1870" s="101"/>
      <c r="S1870" s="101"/>
      <c r="T1870" s="101"/>
      <c r="U1870" s="101"/>
      <c r="V1870" s="101"/>
      <c r="W1870" s="101"/>
      <c r="X1870" s="101"/>
      <c r="Y1870" s="114"/>
      <c r="Z1870" s="114"/>
      <c r="AA1870" s="114"/>
      <c r="AB1870" s="114"/>
      <c r="AC1870" s="114"/>
      <c r="AD1870" s="114"/>
      <c r="AE1870" s="114"/>
      <c r="AF1870" s="114"/>
      <c r="AG1870" s="114"/>
      <c r="AH1870" s="114"/>
      <c r="AI1870" s="114"/>
      <c r="AJ1870" s="114"/>
      <c r="AK1870" s="114"/>
      <c r="AL1870" s="114"/>
      <c r="AM1870" s="114"/>
      <c r="AN1870" s="114"/>
      <c r="AO1870" s="114"/>
      <c r="AP1870" s="114"/>
      <c r="AQ1870" s="114"/>
      <c r="AR1870" s="114"/>
      <c r="AS1870" s="114"/>
      <c r="AT1870" s="114"/>
      <c r="AU1870" s="114"/>
      <c r="AV1870" s="114"/>
      <c r="AW1870" s="114"/>
      <c r="AX1870" s="114"/>
      <c r="AY1870" s="114"/>
      <c r="AZ1870" s="114"/>
    </row>
    <row r="1871" spans="1:52">
      <c r="A1871" s="111"/>
      <c r="B1871" s="111"/>
      <c r="C1871" s="112"/>
      <c r="D1871" s="101"/>
      <c r="E1871" s="101"/>
      <c r="F1871" s="101"/>
      <c r="G1871" s="111"/>
      <c r="H1871" s="101"/>
      <c r="I1871" s="101"/>
      <c r="J1871" s="101"/>
      <c r="K1871" s="101"/>
      <c r="L1871" s="101"/>
      <c r="M1871" s="101"/>
      <c r="N1871" s="101"/>
      <c r="O1871" s="101"/>
      <c r="P1871" s="101"/>
      <c r="Q1871" s="101"/>
      <c r="R1871" s="101"/>
      <c r="S1871" s="101"/>
      <c r="T1871" s="101"/>
      <c r="U1871" s="101"/>
      <c r="V1871" s="101"/>
      <c r="W1871" s="101"/>
      <c r="X1871" s="101"/>
      <c r="Y1871" s="114"/>
      <c r="Z1871" s="114"/>
      <c r="AA1871" s="114"/>
      <c r="AB1871" s="114"/>
      <c r="AC1871" s="114"/>
      <c r="AD1871" s="114"/>
      <c r="AE1871" s="114"/>
      <c r="AF1871" s="114"/>
      <c r="AG1871" s="114"/>
      <c r="AH1871" s="114"/>
      <c r="AI1871" s="114"/>
      <c r="AJ1871" s="114"/>
      <c r="AK1871" s="114"/>
      <c r="AL1871" s="114"/>
      <c r="AM1871" s="114"/>
      <c r="AN1871" s="114"/>
      <c r="AO1871" s="114"/>
      <c r="AP1871" s="114"/>
      <c r="AQ1871" s="114"/>
      <c r="AR1871" s="114"/>
      <c r="AS1871" s="114"/>
      <c r="AT1871" s="114"/>
      <c r="AU1871" s="114"/>
      <c r="AV1871" s="114"/>
      <c r="AW1871" s="114"/>
      <c r="AX1871" s="114"/>
      <c r="AY1871" s="114"/>
      <c r="AZ1871" s="114"/>
    </row>
    <row r="1872" spans="1:52">
      <c r="A1872" s="111"/>
      <c r="B1872" s="111"/>
      <c r="C1872" s="112"/>
      <c r="D1872" s="101"/>
      <c r="E1872" s="101"/>
      <c r="F1872" s="101"/>
      <c r="G1872" s="111"/>
      <c r="H1872" s="101"/>
      <c r="I1872" s="101"/>
      <c r="J1872" s="101"/>
      <c r="K1872" s="101"/>
      <c r="L1872" s="101"/>
      <c r="M1872" s="101"/>
      <c r="N1872" s="101"/>
      <c r="O1872" s="101"/>
      <c r="P1872" s="101"/>
      <c r="Q1872" s="101"/>
      <c r="R1872" s="101"/>
      <c r="S1872" s="101"/>
      <c r="T1872" s="101"/>
      <c r="U1872" s="101"/>
      <c r="V1872" s="101"/>
      <c r="W1872" s="101"/>
      <c r="X1872" s="101"/>
      <c r="Y1872" s="114"/>
      <c r="Z1872" s="114"/>
      <c r="AA1872" s="114"/>
      <c r="AB1872" s="114"/>
      <c r="AC1872" s="114"/>
      <c r="AD1872" s="114"/>
      <c r="AE1872" s="114"/>
      <c r="AF1872" s="114"/>
      <c r="AG1872" s="114"/>
      <c r="AH1872" s="114"/>
      <c r="AI1872" s="114"/>
      <c r="AJ1872" s="114"/>
      <c r="AK1872" s="114"/>
      <c r="AL1872" s="114"/>
      <c r="AM1872" s="114"/>
      <c r="AN1872" s="114"/>
      <c r="AO1872" s="114"/>
      <c r="AP1872" s="114"/>
      <c r="AQ1872" s="114"/>
      <c r="AR1872" s="114"/>
      <c r="AS1872" s="114"/>
      <c r="AT1872" s="114"/>
      <c r="AU1872" s="114"/>
      <c r="AV1872" s="114"/>
      <c r="AW1872" s="114"/>
      <c r="AX1872" s="114"/>
      <c r="AY1872" s="114"/>
      <c r="AZ1872" s="114"/>
    </row>
    <row r="1873" spans="1:52">
      <c r="A1873" s="111"/>
      <c r="B1873" s="111"/>
      <c r="C1873" s="112"/>
      <c r="D1873" s="101"/>
      <c r="E1873" s="101"/>
      <c r="F1873" s="101"/>
      <c r="G1873" s="111"/>
      <c r="H1873" s="101"/>
      <c r="I1873" s="101"/>
      <c r="J1873" s="101"/>
      <c r="K1873" s="101"/>
      <c r="L1873" s="101"/>
      <c r="M1873" s="101"/>
      <c r="N1873" s="101"/>
      <c r="O1873" s="101"/>
      <c r="P1873" s="101"/>
      <c r="Q1873" s="101"/>
      <c r="R1873" s="101"/>
      <c r="S1873" s="101"/>
      <c r="T1873" s="101"/>
      <c r="U1873" s="101"/>
      <c r="V1873" s="101"/>
      <c r="W1873" s="101"/>
      <c r="X1873" s="101"/>
      <c r="Y1873" s="114"/>
      <c r="Z1873" s="114"/>
      <c r="AA1873" s="114"/>
      <c r="AB1873" s="114"/>
      <c r="AC1873" s="114"/>
      <c r="AD1873" s="114"/>
      <c r="AE1873" s="114"/>
      <c r="AF1873" s="114"/>
      <c r="AG1873" s="114"/>
      <c r="AH1873" s="114"/>
      <c r="AI1873" s="114"/>
      <c r="AJ1873" s="114"/>
      <c r="AK1873" s="114"/>
      <c r="AL1873" s="114"/>
      <c r="AM1873" s="114"/>
      <c r="AN1873" s="114"/>
      <c r="AO1873" s="114"/>
      <c r="AP1873" s="114"/>
      <c r="AQ1873" s="114"/>
      <c r="AR1873" s="114"/>
      <c r="AS1873" s="114"/>
      <c r="AT1873" s="114"/>
      <c r="AU1873" s="114"/>
      <c r="AV1873" s="114"/>
      <c r="AW1873" s="114"/>
      <c r="AX1873" s="114"/>
      <c r="AY1873" s="114"/>
      <c r="AZ1873" s="114"/>
    </row>
    <row r="1874" spans="1:52">
      <c r="A1874" s="111"/>
      <c r="B1874" s="111"/>
      <c r="C1874" s="112"/>
      <c r="D1874" s="101"/>
      <c r="E1874" s="101"/>
      <c r="F1874" s="101"/>
      <c r="G1874" s="111"/>
      <c r="H1874" s="101"/>
      <c r="I1874" s="101"/>
      <c r="J1874" s="101"/>
      <c r="K1874" s="101"/>
      <c r="L1874" s="101"/>
      <c r="M1874" s="101"/>
      <c r="N1874" s="101"/>
      <c r="O1874" s="101"/>
      <c r="P1874" s="101"/>
      <c r="Q1874" s="101"/>
      <c r="R1874" s="101"/>
      <c r="S1874" s="101"/>
      <c r="T1874" s="101"/>
      <c r="U1874" s="101"/>
      <c r="V1874" s="101"/>
      <c r="W1874" s="101"/>
      <c r="X1874" s="101"/>
      <c r="Y1874" s="114"/>
      <c r="Z1874" s="114"/>
      <c r="AA1874" s="114"/>
      <c r="AB1874" s="114"/>
      <c r="AC1874" s="114"/>
      <c r="AD1874" s="114"/>
      <c r="AE1874" s="114"/>
      <c r="AF1874" s="114"/>
      <c r="AG1874" s="114"/>
      <c r="AH1874" s="114"/>
      <c r="AI1874" s="114"/>
      <c r="AJ1874" s="114"/>
      <c r="AK1874" s="114"/>
      <c r="AL1874" s="114"/>
      <c r="AM1874" s="114"/>
      <c r="AN1874" s="114"/>
      <c r="AO1874" s="114"/>
      <c r="AP1874" s="114"/>
      <c r="AQ1874" s="114"/>
      <c r="AR1874" s="114"/>
      <c r="AS1874" s="114"/>
      <c r="AT1874" s="114"/>
      <c r="AU1874" s="114"/>
      <c r="AV1874" s="114"/>
      <c r="AW1874" s="114"/>
      <c r="AX1874" s="114"/>
      <c r="AY1874" s="114"/>
      <c r="AZ1874" s="114"/>
    </row>
    <row r="1875" spans="1:52">
      <c r="A1875" s="111"/>
      <c r="B1875" s="111"/>
      <c r="C1875" s="112"/>
      <c r="D1875" s="101"/>
      <c r="E1875" s="101"/>
      <c r="F1875" s="101"/>
      <c r="G1875" s="111"/>
      <c r="H1875" s="101"/>
      <c r="I1875" s="101"/>
      <c r="J1875" s="101"/>
      <c r="K1875" s="101"/>
      <c r="L1875" s="101"/>
      <c r="M1875" s="101"/>
      <c r="N1875" s="101"/>
      <c r="O1875" s="101"/>
      <c r="P1875" s="101"/>
      <c r="Q1875" s="101"/>
      <c r="R1875" s="101"/>
      <c r="S1875" s="101"/>
      <c r="T1875" s="101"/>
      <c r="U1875" s="101"/>
      <c r="V1875" s="101"/>
      <c r="W1875" s="101"/>
      <c r="X1875" s="101"/>
      <c r="Y1875" s="114"/>
      <c r="Z1875" s="114"/>
      <c r="AA1875" s="114"/>
      <c r="AB1875" s="114"/>
      <c r="AC1875" s="114"/>
      <c r="AD1875" s="114"/>
      <c r="AE1875" s="114"/>
      <c r="AF1875" s="114"/>
      <c r="AG1875" s="114"/>
      <c r="AH1875" s="114"/>
      <c r="AI1875" s="114"/>
      <c r="AJ1875" s="114"/>
      <c r="AK1875" s="114"/>
      <c r="AL1875" s="114"/>
      <c r="AM1875" s="114"/>
      <c r="AN1875" s="114"/>
      <c r="AO1875" s="114"/>
      <c r="AP1875" s="114"/>
      <c r="AQ1875" s="114"/>
      <c r="AR1875" s="114"/>
      <c r="AS1875" s="114"/>
      <c r="AT1875" s="114"/>
      <c r="AU1875" s="114"/>
      <c r="AV1875" s="114"/>
      <c r="AW1875" s="114"/>
      <c r="AX1875" s="114"/>
      <c r="AY1875" s="114"/>
      <c r="AZ1875" s="114"/>
    </row>
    <row r="1876" spans="1:52">
      <c r="A1876" s="111"/>
      <c r="B1876" s="111"/>
      <c r="C1876" s="112"/>
      <c r="D1876" s="101"/>
      <c r="E1876" s="101"/>
      <c r="F1876" s="101"/>
      <c r="G1876" s="111"/>
      <c r="H1876" s="101"/>
      <c r="I1876" s="101"/>
      <c r="J1876" s="101"/>
      <c r="K1876" s="101"/>
      <c r="L1876" s="101"/>
      <c r="M1876" s="101"/>
      <c r="N1876" s="101"/>
      <c r="O1876" s="101"/>
      <c r="P1876" s="101"/>
      <c r="Q1876" s="101"/>
      <c r="R1876" s="101"/>
      <c r="S1876" s="101"/>
      <c r="T1876" s="101"/>
      <c r="U1876" s="101"/>
      <c r="V1876" s="101"/>
      <c r="W1876" s="101"/>
      <c r="X1876" s="101"/>
      <c r="Y1876" s="114"/>
      <c r="Z1876" s="114"/>
      <c r="AA1876" s="114"/>
      <c r="AB1876" s="114"/>
      <c r="AC1876" s="114"/>
      <c r="AD1876" s="114"/>
      <c r="AE1876" s="114"/>
      <c r="AF1876" s="114"/>
      <c r="AG1876" s="114"/>
      <c r="AH1876" s="114"/>
      <c r="AI1876" s="114"/>
      <c r="AJ1876" s="114"/>
      <c r="AK1876" s="114"/>
      <c r="AL1876" s="114"/>
      <c r="AM1876" s="114"/>
      <c r="AN1876" s="114"/>
      <c r="AO1876" s="114"/>
      <c r="AP1876" s="114"/>
      <c r="AQ1876" s="114"/>
      <c r="AR1876" s="114"/>
      <c r="AS1876" s="114"/>
      <c r="AT1876" s="114"/>
      <c r="AU1876" s="114"/>
      <c r="AV1876" s="114"/>
      <c r="AW1876" s="114"/>
      <c r="AX1876" s="114"/>
      <c r="AY1876" s="114"/>
      <c r="AZ1876" s="114"/>
    </row>
    <row r="1877" spans="1:52">
      <c r="A1877" s="111"/>
      <c r="B1877" s="111"/>
      <c r="C1877" s="112"/>
      <c r="D1877" s="101"/>
      <c r="E1877" s="101"/>
      <c r="F1877" s="101"/>
      <c r="G1877" s="111"/>
      <c r="H1877" s="101"/>
      <c r="I1877" s="101"/>
      <c r="J1877" s="101"/>
      <c r="K1877" s="101"/>
      <c r="L1877" s="101"/>
      <c r="M1877" s="101"/>
      <c r="N1877" s="101"/>
      <c r="O1877" s="101"/>
      <c r="P1877" s="101"/>
      <c r="Q1877" s="101"/>
      <c r="R1877" s="101"/>
      <c r="S1877" s="101"/>
      <c r="T1877" s="101"/>
      <c r="U1877" s="101"/>
      <c r="V1877" s="101"/>
      <c r="W1877" s="101"/>
      <c r="X1877" s="101"/>
      <c r="Y1877" s="114"/>
      <c r="Z1877" s="114"/>
      <c r="AA1877" s="114"/>
      <c r="AB1877" s="114"/>
      <c r="AC1877" s="114"/>
      <c r="AD1877" s="114"/>
      <c r="AE1877" s="114"/>
      <c r="AF1877" s="114"/>
      <c r="AG1877" s="114"/>
      <c r="AH1877" s="114"/>
      <c r="AI1877" s="114"/>
      <c r="AJ1877" s="114"/>
      <c r="AK1877" s="114"/>
      <c r="AL1877" s="114"/>
      <c r="AM1877" s="114"/>
      <c r="AN1877" s="114"/>
      <c r="AO1877" s="114"/>
      <c r="AP1877" s="114"/>
      <c r="AQ1877" s="114"/>
      <c r="AR1877" s="114"/>
      <c r="AS1877" s="114"/>
      <c r="AT1877" s="114"/>
      <c r="AU1877" s="114"/>
      <c r="AV1877" s="114"/>
      <c r="AW1877" s="114"/>
      <c r="AX1877" s="114"/>
      <c r="AY1877" s="114"/>
      <c r="AZ1877" s="114"/>
    </row>
    <row r="1878" spans="1:52">
      <c r="A1878" s="111"/>
      <c r="B1878" s="111"/>
      <c r="C1878" s="112"/>
      <c r="D1878" s="101"/>
      <c r="E1878" s="101"/>
      <c r="F1878" s="101"/>
      <c r="G1878" s="111"/>
      <c r="H1878" s="101"/>
      <c r="I1878" s="101"/>
      <c r="J1878" s="101"/>
      <c r="K1878" s="101"/>
      <c r="L1878" s="101"/>
      <c r="M1878" s="101"/>
      <c r="N1878" s="101"/>
      <c r="O1878" s="101"/>
      <c r="P1878" s="101"/>
      <c r="Q1878" s="101"/>
      <c r="R1878" s="101"/>
      <c r="S1878" s="101"/>
      <c r="T1878" s="101"/>
      <c r="U1878" s="101"/>
      <c r="V1878" s="101"/>
      <c r="W1878" s="101"/>
      <c r="X1878" s="101"/>
      <c r="Y1878" s="114"/>
      <c r="Z1878" s="114"/>
      <c r="AA1878" s="114"/>
      <c r="AB1878" s="114"/>
      <c r="AC1878" s="114"/>
      <c r="AD1878" s="114"/>
      <c r="AE1878" s="114"/>
      <c r="AF1878" s="114"/>
      <c r="AG1878" s="114"/>
      <c r="AH1878" s="114"/>
      <c r="AI1878" s="114"/>
      <c r="AJ1878" s="114"/>
      <c r="AK1878" s="114"/>
      <c r="AL1878" s="114"/>
      <c r="AM1878" s="114"/>
      <c r="AN1878" s="114"/>
      <c r="AO1878" s="114"/>
      <c r="AP1878" s="114"/>
      <c r="AQ1878" s="114"/>
      <c r="AR1878" s="114"/>
      <c r="AS1878" s="114"/>
      <c r="AT1878" s="114"/>
      <c r="AU1878" s="114"/>
      <c r="AV1878" s="114"/>
      <c r="AW1878" s="114"/>
      <c r="AX1878" s="114"/>
      <c r="AY1878" s="114"/>
      <c r="AZ1878" s="114"/>
    </row>
    <row r="1879" spans="1:52">
      <c r="A1879" s="111"/>
      <c r="B1879" s="111"/>
      <c r="C1879" s="112"/>
      <c r="D1879" s="101"/>
      <c r="E1879" s="101"/>
      <c r="F1879" s="101"/>
      <c r="G1879" s="111"/>
      <c r="H1879" s="101"/>
      <c r="I1879" s="101"/>
      <c r="J1879" s="101"/>
      <c r="K1879" s="101"/>
      <c r="L1879" s="101"/>
      <c r="M1879" s="101"/>
      <c r="N1879" s="101"/>
      <c r="O1879" s="101"/>
      <c r="P1879" s="101"/>
      <c r="Q1879" s="101"/>
      <c r="R1879" s="101"/>
      <c r="S1879" s="101"/>
      <c r="T1879" s="101"/>
      <c r="U1879" s="101"/>
      <c r="V1879" s="101"/>
      <c r="W1879" s="101"/>
      <c r="X1879" s="101"/>
      <c r="Y1879" s="114"/>
      <c r="Z1879" s="114"/>
      <c r="AA1879" s="114"/>
      <c r="AB1879" s="114"/>
      <c r="AC1879" s="114"/>
      <c r="AD1879" s="114"/>
      <c r="AE1879" s="114"/>
      <c r="AF1879" s="114"/>
      <c r="AG1879" s="114"/>
      <c r="AH1879" s="114"/>
      <c r="AI1879" s="114"/>
      <c r="AJ1879" s="114"/>
      <c r="AK1879" s="114"/>
      <c r="AL1879" s="114"/>
      <c r="AM1879" s="114"/>
      <c r="AN1879" s="114"/>
      <c r="AO1879" s="114"/>
      <c r="AP1879" s="114"/>
      <c r="AQ1879" s="114"/>
      <c r="AR1879" s="114"/>
      <c r="AS1879" s="114"/>
      <c r="AT1879" s="114"/>
      <c r="AU1879" s="114"/>
      <c r="AV1879" s="114"/>
      <c r="AW1879" s="114"/>
      <c r="AX1879" s="114"/>
      <c r="AY1879" s="114"/>
      <c r="AZ1879" s="114"/>
    </row>
    <row r="1880" spans="1:52">
      <c r="A1880" s="111"/>
      <c r="B1880" s="111"/>
      <c r="C1880" s="112"/>
      <c r="D1880" s="101"/>
      <c r="E1880" s="101"/>
      <c r="F1880" s="101"/>
      <c r="G1880" s="111"/>
      <c r="H1880" s="101"/>
      <c r="I1880" s="101"/>
      <c r="J1880" s="101"/>
      <c r="K1880" s="101"/>
      <c r="L1880" s="101"/>
      <c r="M1880" s="101"/>
      <c r="N1880" s="101"/>
      <c r="O1880" s="101"/>
      <c r="P1880" s="101"/>
      <c r="Q1880" s="101"/>
      <c r="R1880" s="101"/>
      <c r="S1880" s="101"/>
      <c r="T1880" s="101"/>
      <c r="U1880" s="101"/>
      <c r="V1880" s="101"/>
      <c r="W1880" s="101"/>
      <c r="X1880" s="101"/>
      <c r="Y1880" s="114"/>
      <c r="Z1880" s="114"/>
      <c r="AA1880" s="114"/>
      <c r="AB1880" s="114"/>
      <c r="AC1880" s="114"/>
      <c r="AD1880" s="114"/>
      <c r="AE1880" s="114"/>
      <c r="AF1880" s="114"/>
      <c r="AG1880" s="114"/>
      <c r="AH1880" s="114"/>
      <c r="AI1880" s="114"/>
      <c r="AJ1880" s="114"/>
      <c r="AK1880" s="114"/>
      <c r="AL1880" s="114"/>
      <c r="AM1880" s="114"/>
      <c r="AN1880" s="114"/>
      <c r="AO1880" s="114"/>
      <c r="AP1880" s="114"/>
      <c r="AQ1880" s="114"/>
      <c r="AR1880" s="114"/>
      <c r="AS1880" s="114"/>
      <c r="AT1880" s="114"/>
      <c r="AU1880" s="114"/>
      <c r="AV1880" s="114"/>
      <c r="AW1880" s="114"/>
      <c r="AX1880" s="114"/>
      <c r="AY1880" s="114"/>
      <c r="AZ1880" s="114"/>
    </row>
    <row r="1881" spans="1:52">
      <c r="A1881" s="111"/>
      <c r="B1881" s="111"/>
      <c r="C1881" s="112"/>
      <c r="D1881" s="101"/>
      <c r="E1881" s="101"/>
      <c r="F1881" s="101"/>
      <c r="G1881" s="111"/>
      <c r="H1881" s="101"/>
      <c r="I1881" s="101"/>
      <c r="J1881" s="101"/>
      <c r="K1881" s="101"/>
      <c r="L1881" s="101"/>
      <c r="M1881" s="101"/>
      <c r="N1881" s="101"/>
      <c r="O1881" s="101"/>
      <c r="P1881" s="101"/>
      <c r="Q1881" s="101"/>
      <c r="R1881" s="101"/>
      <c r="S1881" s="101"/>
      <c r="T1881" s="101"/>
      <c r="U1881" s="101"/>
      <c r="V1881" s="101"/>
      <c r="W1881" s="101"/>
      <c r="X1881" s="101"/>
      <c r="Y1881" s="114"/>
      <c r="Z1881" s="114"/>
      <c r="AA1881" s="114"/>
      <c r="AB1881" s="114"/>
      <c r="AC1881" s="114"/>
      <c r="AD1881" s="114"/>
      <c r="AE1881" s="114"/>
      <c r="AF1881" s="114"/>
      <c r="AG1881" s="114"/>
      <c r="AH1881" s="114"/>
      <c r="AI1881" s="114"/>
      <c r="AJ1881" s="114"/>
      <c r="AK1881" s="114"/>
      <c r="AL1881" s="114"/>
      <c r="AM1881" s="114"/>
      <c r="AN1881" s="114"/>
      <c r="AO1881" s="114"/>
      <c r="AP1881" s="114"/>
      <c r="AQ1881" s="114"/>
      <c r="AR1881" s="114"/>
      <c r="AS1881" s="114"/>
      <c r="AT1881" s="114"/>
      <c r="AU1881" s="114"/>
      <c r="AV1881" s="114"/>
      <c r="AW1881" s="114"/>
      <c r="AX1881" s="114"/>
      <c r="AY1881" s="114"/>
      <c r="AZ1881" s="114"/>
    </row>
    <row r="1882" spans="1:52">
      <c r="A1882" s="111"/>
      <c r="B1882" s="111"/>
      <c r="C1882" s="112"/>
      <c r="D1882" s="101"/>
      <c r="E1882" s="101"/>
      <c r="F1882" s="101"/>
      <c r="G1882" s="111"/>
      <c r="H1882" s="101"/>
      <c r="I1882" s="101"/>
      <c r="J1882" s="101"/>
      <c r="K1882" s="101"/>
      <c r="L1882" s="101"/>
      <c r="M1882" s="101"/>
      <c r="N1882" s="101"/>
      <c r="O1882" s="101"/>
      <c r="P1882" s="101"/>
      <c r="Q1882" s="101"/>
      <c r="R1882" s="101"/>
      <c r="S1882" s="101"/>
      <c r="T1882" s="101"/>
      <c r="U1882" s="101"/>
      <c r="V1882" s="101"/>
      <c r="W1882" s="101"/>
      <c r="X1882" s="101"/>
      <c r="Y1882" s="114"/>
      <c r="Z1882" s="114"/>
      <c r="AA1882" s="114"/>
      <c r="AB1882" s="114"/>
      <c r="AC1882" s="114"/>
      <c r="AD1882" s="114"/>
      <c r="AE1882" s="114"/>
      <c r="AF1882" s="114"/>
      <c r="AG1882" s="114"/>
      <c r="AH1882" s="114"/>
      <c r="AI1882" s="114"/>
      <c r="AJ1882" s="114"/>
      <c r="AK1882" s="114"/>
      <c r="AL1882" s="114"/>
      <c r="AM1882" s="114"/>
      <c r="AN1882" s="114"/>
      <c r="AO1882" s="114"/>
      <c r="AP1882" s="114"/>
      <c r="AQ1882" s="114"/>
      <c r="AR1882" s="114"/>
      <c r="AS1882" s="114"/>
      <c r="AT1882" s="114"/>
      <c r="AU1882" s="114"/>
      <c r="AV1882" s="114"/>
      <c r="AW1882" s="114"/>
      <c r="AX1882" s="114"/>
      <c r="AY1882" s="114"/>
      <c r="AZ1882" s="114"/>
    </row>
    <row r="1883" spans="1:52">
      <c r="A1883" s="111"/>
      <c r="B1883" s="111"/>
      <c r="C1883" s="112"/>
      <c r="D1883" s="101"/>
      <c r="E1883" s="101"/>
      <c r="F1883" s="101"/>
      <c r="G1883" s="111"/>
      <c r="H1883" s="101"/>
      <c r="I1883" s="101"/>
      <c r="J1883" s="101"/>
      <c r="K1883" s="101"/>
      <c r="L1883" s="101"/>
      <c r="M1883" s="101"/>
      <c r="N1883" s="101"/>
      <c r="O1883" s="101"/>
      <c r="P1883" s="101"/>
      <c r="Q1883" s="101"/>
      <c r="R1883" s="101"/>
      <c r="S1883" s="101"/>
      <c r="T1883" s="101"/>
      <c r="U1883" s="101"/>
      <c r="V1883" s="101"/>
      <c r="W1883" s="101"/>
      <c r="X1883" s="101"/>
      <c r="Y1883" s="114"/>
      <c r="Z1883" s="114"/>
      <c r="AA1883" s="114"/>
      <c r="AB1883" s="114"/>
      <c r="AC1883" s="114"/>
      <c r="AD1883" s="114"/>
      <c r="AE1883" s="114"/>
      <c r="AF1883" s="114"/>
      <c r="AG1883" s="114"/>
      <c r="AH1883" s="114"/>
      <c r="AI1883" s="114"/>
      <c r="AJ1883" s="114"/>
      <c r="AK1883" s="114"/>
      <c r="AL1883" s="114"/>
      <c r="AM1883" s="114"/>
      <c r="AN1883" s="114"/>
      <c r="AO1883" s="114"/>
      <c r="AP1883" s="114"/>
      <c r="AQ1883" s="114"/>
      <c r="AR1883" s="114"/>
      <c r="AS1883" s="114"/>
      <c r="AT1883" s="114"/>
      <c r="AU1883" s="114"/>
      <c r="AV1883" s="114"/>
      <c r="AW1883" s="114"/>
      <c r="AX1883" s="114"/>
      <c r="AY1883" s="114"/>
      <c r="AZ1883" s="114"/>
    </row>
    <row r="1884" spans="1:52">
      <c r="A1884" s="111"/>
      <c r="B1884" s="111"/>
      <c r="C1884" s="112"/>
      <c r="D1884" s="101"/>
      <c r="E1884" s="101"/>
      <c r="F1884" s="101"/>
      <c r="G1884" s="111"/>
      <c r="H1884" s="101"/>
      <c r="I1884" s="101"/>
      <c r="J1884" s="101"/>
      <c r="K1884" s="101"/>
      <c r="L1884" s="101"/>
      <c r="M1884" s="101"/>
      <c r="N1884" s="101"/>
      <c r="O1884" s="101"/>
      <c r="P1884" s="101"/>
      <c r="Q1884" s="101"/>
      <c r="R1884" s="101"/>
      <c r="S1884" s="101"/>
      <c r="T1884" s="101"/>
      <c r="U1884" s="101"/>
      <c r="V1884" s="101"/>
      <c r="W1884" s="101"/>
      <c r="X1884" s="101"/>
      <c r="Y1884" s="114"/>
      <c r="Z1884" s="114"/>
      <c r="AA1884" s="114"/>
      <c r="AB1884" s="114"/>
      <c r="AC1884" s="114"/>
      <c r="AD1884" s="114"/>
      <c r="AE1884" s="114"/>
      <c r="AF1884" s="114"/>
      <c r="AG1884" s="114"/>
      <c r="AH1884" s="114"/>
      <c r="AI1884" s="114"/>
      <c r="AJ1884" s="114"/>
      <c r="AK1884" s="114"/>
      <c r="AL1884" s="114"/>
      <c r="AM1884" s="114"/>
      <c r="AN1884" s="114"/>
      <c r="AO1884" s="114"/>
      <c r="AP1884" s="114"/>
      <c r="AQ1884" s="114"/>
      <c r="AR1884" s="114"/>
      <c r="AS1884" s="114"/>
      <c r="AT1884" s="114"/>
      <c r="AU1884" s="114"/>
      <c r="AV1884" s="114"/>
      <c r="AW1884" s="114"/>
      <c r="AX1884" s="114"/>
      <c r="AY1884" s="114"/>
      <c r="AZ1884" s="114"/>
    </row>
    <row r="1885" spans="1:52">
      <c r="A1885" s="111"/>
      <c r="B1885" s="111"/>
      <c r="C1885" s="112"/>
      <c r="D1885" s="101"/>
      <c r="E1885" s="101"/>
      <c r="F1885" s="101"/>
      <c r="G1885" s="111"/>
      <c r="H1885" s="101"/>
      <c r="I1885" s="101"/>
      <c r="J1885" s="101"/>
      <c r="K1885" s="101"/>
      <c r="L1885" s="101"/>
      <c r="M1885" s="101"/>
      <c r="N1885" s="101"/>
      <c r="O1885" s="101"/>
      <c r="P1885" s="101"/>
      <c r="Q1885" s="101"/>
      <c r="R1885" s="101"/>
      <c r="S1885" s="101"/>
      <c r="T1885" s="101"/>
      <c r="U1885" s="101"/>
      <c r="V1885" s="101"/>
      <c r="W1885" s="101"/>
      <c r="X1885" s="101"/>
      <c r="Y1885" s="114"/>
      <c r="Z1885" s="114"/>
      <c r="AA1885" s="114"/>
      <c r="AB1885" s="114"/>
      <c r="AC1885" s="114"/>
      <c r="AD1885" s="114"/>
      <c r="AE1885" s="114"/>
      <c r="AF1885" s="114"/>
      <c r="AG1885" s="114"/>
      <c r="AH1885" s="114"/>
      <c r="AI1885" s="114"/>
      <c r="AJ1885" s="114"/>
      <c r="AK1885" s="114"/>
      <c r="AL1885" s="114"/>
      <c r="AM1885" s="114"/>
      <c r="AN1885" s="114"/>
      <c r="AO1885" s="114"/>
      <c r="AP1885" s="114"/>
      <c r="AQ1885" s="114"/>
      <c r="AR1885" s="114"/>
      <c r="AS1885" s="114"/>
      <c r="AT1885" s="114"/>
      <c r="AU1885" s="114"/>
      <c r="AV1885" s="114"/>
      <c r="AW1885" s="114"/>
      <c r="AX1885" s="114"/>
      <c r="AY1885" s="114"/>
      <c r="AZ1885" s="114"/>
    </row>
    <row r="1886" spans="1:52">
      <c r="A1886" s="111"/>
      <c r="B1886" s="111"/>
      <c r="C1886" s="112"/>
      <c r="D1886" s="101"/>
      <c r="E1886" s="101"/>
      <c r="F1886" s="101"/>
      <c r="G1886" s="111"/>
      <c r="H1886" s="101"/>
      <c r="I1886" s="101"/>
      <c r="J1886" s="101"/>
      <c r="K1886" s="101"/>
      <c r="L1886" s="101"/>
      <c r="M1886" s="101"/>
      <c r="N1886" s="101"/>
      <c r="O1886" s="101"/>
      <c r="P1886" s="101"/>
      <c r="Q1886" s="101"/>
      <c r="R1886" s="101"/>
      <c r="S1886" s="101"/>
      <c r="T1886" s="101"/>
      <c r="U1886" s="101"/>
      <c r="V1886" s="101"/>
      <c r="W1886" s="101"/>
      <c r="X1886" s="101"/>
      <c r="Y1886" s="114"/>
      <c r="Z1886" s="114"/>
      <c r="AA1886" s="114"/>
      <c r="AB1886" s="114"/>
      <c r="AC1886" s="114"/>
      <c r="AD1886" s="114"/>
      <c r="AE1886" s="114"/>
      <c r="AF1886" s="114"/>
      <c r="AG1886" s="114"/>
      <c r="AH1886" s="114"/>
      <c r="AI1886" s="114"/>
      <c r="AJ1886" s="114"/>
      <c r="AK1886" s="114"/>
      <c r="AL1886" s="114"/>
      <c r="AM1886" s="114"/>
      <c r="AN1886" s="114"/>
      <c r="AO1886" s="114"/>
      <c r="AP1886" s="114"/>
      <c r="AQ1886" s="114"/>
      <c r="AR1886" s="114"/>
      <c r="AS1886" s="114"/>
      <c r="AT1886" s="114"/>
      <c r="AU1886" s="114"/>
      <c r="AV1886" s="114"/>
      <c r="AW1886" s="114"/>
      <c r="AX1886" s="114"/>
      <c r="AY1886" s="114"/>
      <c r="AZ1886" s="114"/>
    </row>
    <row r="1887" spans="1:52">
      <c r="A1887" s="111"/>
      <c r="B1887" s="111"/>
      <c r="C1887" s="112"/>
      <c r="D1887" s="101"/>
      <c r="E1887" s="101"/>
      <c r="F1887" s="101"/>
      <c r="G1887" s="111"/>
      <c r="H1887" s="101"/>
      <c r="I1887" s="101"/>
      <c r="J1887" s="101"/>
      <c r="K1887" s="101"/>
      <c r="L1887" s="101"/>
      <c r="M1887" s="101"/>
      <c r="N1887" s="101"/>
      <c r="O1887" s="101"/>
      <c r="P1887" s="101"/>
      <c r="Q1887" s="101"/>
      <c r="R1887" s="101"/>
      <c r="S1887" s="101"/>
      <c r="T1887" s="101"/>
      <c r="U1887" s="101"/>
      <c r="V1887" s="101"/>
      <c r="W1887" s="101"/>
      <c r="X1887" s="101"/>
      <c r="Y1887" s="114"/>
      <c r="Z1887" s="114"/>
      <c r="AA1887" s="114"/>
      <c r="AB1887" s="114"/>
      <c r="AC1887" s="114"/>
      <c r="AD1887" s="114"/>
      <c r="AE1887" s="114"/>
      <c r="AF1887" s="114"/>
      <c r="AG1887" s="114"/>
      <c r="AH1887" s="114"/>
      <c r="AI1887" s="114"/>
      <c r="AJ1887" s="114"/>
      <c r="AK1887" s="114"/>
      <c r="AL1887" s="114"/>
      <c r="AM1887" s="114"/>
      <c r="AN1887" s="114"/>
      <c r="AO1887" s="114"/>
      <c r="AP1887" s="114"/>
      <c r="AQ1887" s="114"/>
      <c r="AR1887" s="114"/>
      <c r="AS1887" s="114"/>
      <c r="AT1887" s="114"/>
      <c r="AU1887" s="114"/>
      <c r="AV1887" s="114"/>
      <c r="AW1887" s="114"/>
      <c r="AX1887" s="114"/>
      <c r="AY1887" s="114"/>
      <c r="AZ1887" s="114"/>
    </row>
    <row r="1888" spans="1:52">
      <c r="A1888" s="111"/>
      <c r="B1888" s="111"/>
      <c r="C1888" s="112"/>
      <c r="D1888" s="101"/>
      <c r="E1888" s="101"/>
      <c r="F1888" s="101"/>
      <c r="G1888" s="111"/>
      <c r="H1888" s="101"/>
      <c r="I1888" s="101"/>
      <c r="J1888" s="101"/>
      <c r="K1888" s="101"/>
      <c r="L1888" s="101"/>
      <c r="M1888" s="101"/>
      <c r="N1888" s="101"/>
      <c r="O1888" s="101"/>
      <c r="P1888" s="101"/>
      <c r="Q1888" s="101"/>
      <c r="R1888" s="101"/>
      <c r="S1888" s="101"/>
      <c r="T1888" s="101"/>
      <c r="U1888" s="101"/>
      <c r="V1888" s="101"/>
      <c r="W1888" s="101"/>
      <c r="X1888" s="101"/>
      <c r="Y1888" s="114"/>
      <c r="Z1888" s="114"/>
      <c r="AA1888" s="114"/>
      <c r="AB1888" s="114"/>
      <c r="AC1888" s="114"/>
      <c r="AD1888" s="114"/>
      <c r="AE1888" s="114"/>
      <c r="AF1888" s="114"/>
      <c r="AG1888" s="114"/>
      <c r="AH1888" s="114"/>
      <c r="AI1888" s="114"/>
      <c r="AJ1888" s="114"/>
      <c r="AK1888" s="114"/>
      <c r="AL1888" s="114"/>
      <c r="AM1888" s="114"/>
      <c r="AN1888" s="114"/>
      <c r="AO1888" s="114"/>
      <c r="AP1888" s="114"/>
      <c r="AQ1888" s="114"/>
      <c r="AR1888" s="114"/>
      <c r="AS1888" s="114"/>
      <c r="AT1888" s="114"/>
      <c r="AU1888" s="114"/>
      <c r="AV1888" s="114"/>
      <c r="AW1888" s="114"/>
      <c r="AX1888" s="114"/>
      <c r="AY1888" s="114"/>
      <c r="AZ1888" s="114"/>
    </row>
    <row r="1889" spans="1:52">
      <c r="A1889" s="111"/>
      <c r="B1889" s="111"/>
      <c r="C1889" s="112"/>
      <c r="D1889" s="101"/>
      <c r="E1889" s="101"/>
      <c r="F1889" s="101"/>
      <c r="G1889" s="111"/>
      <c r="H1889" s="101"/>
      <c r="I1889" s="101"/>
      <c r="J1889" s="101"/>
      <c r="K1889" s="101"/>
      <c r="L1889" s="101"/>
      <c r="M1889" s="101"/>
      <c r="N1889" s="101"/>
      <c r="O1889" s="101"/>
      <c r="P1889" s="101"/>
      <c r="Q1889" s="101"/>
      <c r="R1889" s="101"/>
      <c r="S1889" s="101"/>
      <c r="T1889" s="101"/>
      <c r="U1889" s="101"/>
      <c r="V1889" s="101"/>
      <c r="W1889" s="101"/>
      <c r="X1889" s="101"/>
      <c r="Y1889" s="114"/>
      <c r="Z1889" s="114"/>
      <c r="AA1889" s="114"/>
      <c r="AB1889" s="114"/>
      <c r="AC1889" s="114"/>
      <c r="AD1889" s="114"/>
      <c r="AE1889" s="114"/>
      <c r="AF1889" s="114"/>
      <c r="AG1889" s="114"/>
      <c r="AH1889" s="114"/>
      <c r="AI1889" s="114"/>
      <c r="AJ1889" s="114"/>
      <c r="AK1889" s="114"/>
      <c r="AL1889" s="114"/>
      <c r="AM1889" s="114"/>
      <c r="AN1889" s="114"/>
      <c r="AO1889" s="114"/>
      <c r="AP1889" s="114"/>
      <c r="AQ1889" s="114"/>
      <c r="AR1889" s="114"/>
      <c r="AS1889" s="114"/>
      <c r="AT1889" s="114"/>
      <c r="AU1889" s="114"/>
      <c r="AV1889" s="114"/>
      <c r="AW1889" s="114"/>
      <c r="AX1889" s="114"/>
      <c r="AY1889" s="114"/>
      <c r="AZ1889" s="114"/>
    </row>
    <row r="1890" spans="1:52">
      <c r="A1890" s="111"/>
      <c r="B1890" s="111"/>
      <c r="C1890" s="112"/>
      <c r="D1890" s="101"/>
      <c r="E1890" s="101"/>
      <c r="F1890" s="101"/>
      <c r="G1890" s="111"/>
      <c r="H1890" s="101"/>
      <c r="I1890" s="101"/>
      <c r="J1890" s="101"/>
      <c r="K1890" s="101"/>
      <c r="L1890" s="101"/>
      <c r="M1890" s="101"/>
      <c r="N1890" s="101"/>
      <c r="O1890" s="101"/>
      <c r="P1890" s="101"/>
      <c r="Q1890" s="101"/>
      <c r="R1890" s="101"/>
      <c r="S1890" s="101"/>
      <c r="T1890" s="101"/>
      <c r="U1890" s="101"/>
      <c r="V1890" s="101"/>
      <c r="W1890" s="101"/>
      <c r="X1890" s="101"/>
      <c r="Y1890" s="114"/>
      <c r="Z1890" s="114"/>
      <c r="AA1890" s="114"/>
      <c r="AB1890" s="114"/>
      <c r="AC1890" s="114"/>
      <c r="AD1890" s="114"/>
      <c r="AE1890" s="114"/>
      <c r="AF1890" s="114"/>
      <c r="AG1890" s="114"/>
      <c r="AH1890" s="114"/>
      <c r="AI1890" s="114"/>
      <c r="AJ1890" s="114"/>
      <c r="AK1890" s="114"/>
      <c r="AL1890" s="114"/>
      <c r="AM1890" s="114"/>
      <c r="AN1890" s="114"/>
      <c r="AO1890" s="114"/>
      <c r="AP1890" s="114"/>
      <c r="AQ1890" s="114"/>
      <c r="AR1890" s="114"/>
      <c r="AS1890" s="114"/>
      <c r="AT1890" s="114"/>
      <c r="AU1890" s="114"/>
      <c r="AV1890" s="114"/>
      <c r="AW1890" s="114"/>
      <c r="AX1890" s="114"/>
      <c r="AY1890" s="114"/>
      <c r="AZ1890" s="114"/>
    </row>
    <row r="1891" spans="1:52">
      <c r="A1891" s="111"/>
      <c r="B1891" s="111"/>
      <c r="C1891" s="112"/>
      <c r="D1891" s="101"/>
      <c r="E1891" s="101"/>
      <c r="F1891" s="101"/>
      <c r="G1891" s="111"/>
      <c r="H1891" s="101"/>
      <c r="I1891" s="101"/>
      <c r="J1891" s="101"/>
      <c r="K1891" s="101"/>
      <c r="L1891" s="101"/>
      <c r="M1891" s="101"/>
      <c r="N1891" s="101"/>
      <c r="O1891" s="101"/>
      <c r="P1891" s="101"/>
      <c r="Q1891" s="101"/>
      <c r="R1891" s="101"/>
      <c r="S1891" s="101"/>
      <c r="T1891" s="101"/>
      <c r="U1891" s="101"/>
      <c r="V1891" s="101"/>
      <c r="W1891" s="101"/>
      <c r="X1891" s="101"/>
      <c r="Y1891" s="114"/>
      <c r="Z1891" s="114"/>
      <c r="AA1891" s="114"/>
      <c r="AB1891" s="114"/>
      <c r="AC1891" s="114"/>
      <c r="AD1891" s="114"/>
      <c r="AE1891" s="114"/>
      <c r="AF1891" s="114"/>
      <c r="AG1891" s="114"/>
      <c r="AH1891" s="114"/>
      <c r="AI1891" s="114"/>
      <c r="AJ1891" s="114"/>
      <c r="AK1891" s="114"/>
      <c r="AL1891" s="114"/>
      <c r="AM1891" s="114"/>
      <c r="AN1891" s="114"/>
      <c r="AO1891" s="114"/>
      <c r="AP1891" s="114"/>
      <c r="AQ1891" s="114"/>
      <c r="AR1891" s="114"/>
      <c r="AS1891" s="114"/>
      <c r="AT1891" s="114"/>
      <c r="AU1891" s="114"/>
      <c r="AV1891" s="114"/>
      <c r="AW1891" s="114"/>
      <c r="AX1891" s="114"/>
      <c r="AY1891" s="114"/>
      <c r="AZ1891" s="114"/>
    </row>
    <row r="1892" spans="1:52">
      <c r="A1892" s="111"/>
      <c r="B1892" s="111"/>
      <c r="C1892" s="112"/>
      <c r="D1892" s="101"/>
      <c r="E1892" s="101"/>
      <c r="F1892" s="101"/>
      <c r="G1892" s="111"/>
      <c r="H1892" s="101"/>
      <c r="I1892" s="101"/>
      <c r="J1892" s="101"/>
      <c r="K1892" s="101"/>
      <c r="L1892" s="101"/>
      <c r="M1892" s="101"/>
      <c r="N1892" s="101"/>
      <c r="O1892" s="101"/>
      <c r="P1892" s="101"/>
      <c r="Q1892" s="101"/>
      <c r="R1892" s="101"/>
      <c r="S1892" s="101"/>
      <c r="T1892" s="101"/>
      <c r="U1892" s="101"/>
      <c r="V1892" s="101"/>
      <c r="W1892" s="101"/>
      <c r="X1892" s="101"/>
      <c r="Y1892" s="114"/>
      <c r="Z1892" s="114"/>
      <c r="AA1892" s="114"/>
      <c r="AB1892" s="114"/>
      <c r="AC1892" s="114"/>
      <c r="AD1892" s="114"/>
      <c r="AE1892" s="114"/>
      <c r="AF1892" s="114"/>
      <c r="AG1892" s="114"/>
      <c r="AH1892" s="114"/>
      <c r="AI1892" s="114"/>
      <c r="AJ1892" s="114"/>
      <c r="AK1892" s="114"/>
      <c r="AL1892" s="114"/>
      <c r="AM1892" s="114"/>
      <c r="AN1892" s="114"/>
      <c r="AO1892" s="114"/>
      <c r="AP1892" s="114"/>
      <c r="AQ1892" s="114"/>
      <c r="AR1892" s="114"/>
      <c r="AS1892" s="114"/>
      <c r="AT1892" s="114"/>
      <c r="AU1892" s="114"/>
      <c r="AV1892" s="114"/>
      <c r="AW1892" s="114"/>
      <c r="AX1892" s="114"/>
      <c r="AY1892" s="114"/>
      <c r="AZ1892" s="114"/>
    </row>
    <row r="1893" spans="1:52">
      <c r="A1893" s="111"/>
      <c r="B1893" s="111"/>
      <c r="C1893" s="112"/>
      <c r="D1893" s="101"/>
      <c r="E1893" s="101"/>
      <c r="F1893" s="101"/>
      <c r="G1893" s="111"/>
      <c r="H1893" s="101"/>
      <c r="I1893" s="101"/>
      <c r="J1893" s="101"/>
      <c r="K1893" s="101"/>
      <c r="L1893" s="101"/>
      <c r="M1893" s="101"/>
      <c r="N1893" s="101"/>
      <c r="O1893" s="101"/>
      <c r="P1893" s="101"/>
      <c r="Q1893" s="101"/>
      <c r="R1893" s="101"/>
      <c r="S1893" s="101"/>
      <c r="T1893" s="101"/>
      <c r="U1893" s="101"/>
      <c r="V1893" s="101"/>
      <c r="W1893" s="101"/>
      <c r="X1893" s="101"/>
      <c r="Y1893" s="114"/>
      <c r="Z1893" s="114"/>
      <c r="AA1893" s="114"/>
      <c r="AB1893" s="114"/>
      <c r="AC1893" s="114"/>
      <c r="AD1893" s="114"/>
      <c r="AE1893" s="114"/>
      <c r="AF1893" s="114"/>
      <c r="AG1893" s="114"/>
      <c r="AH1893" s="114"/>
      <c r="AI1893" s="114"/>
      <c r="AJ1893" s="114"/>
      <c r="AK1893" s="114"/>
      <c r="AL1893" s="114"/>
      <c r="AM1893" s="114"/>
      <c r="AN1893" s="114"/>
      <c r="AO1893" s="114"/>
      <c r="AP1893" s="114"/>
      <c r="AQ1893" s="114"/>
      <c r="AR1893" s="114"/>
      <c r="AS1893" s="114"/>
      <c r="AT1893" s="114"/>
      <c r="AU1893" s="114"/>
      <c r="AV1893" s="114"/>
      <c r="AW1893" s="114"/>
      <c r="AX1893" s="114"/>
      <c r="AY1893" s="114"/>
      <c r="AZ1893" s="114"/>
    </row>
    <row r="1894" spans="1:52">
      <c r="A1894" s="111"/>
      <c r="B1894" s="111"/>
      <c r="C1894" s="112"/>
      <c r="D1894" s="101"/>
      <c r="E1894" s="101"/>
      <c r="F1894" s="101"/>
      <c r="G1894" s="111"/>
      <c r="H1894" s="101"/>
      <c r="I1894" s="101"/>
      <c r="J1894" s="101"/>
      <c r="K1894" s="101"/>
      <c r="L1894" s="101"/>
      <c r="M1894" s="101"/>
      <c r="N1894" s="101"/>
      <c r="O1894" s="101"/>
      <c r="P1894" s="101"/>
      <c r="Q1894" s="101"/>
      <c r="R1894" s="101"/>
      <c r="S1894" s="101"/>
      <c r="T1894" s="101"/>
      <c r="U1894" s="101"/>
      <c r="V1894" s="101"/>
      <c r="W1894" s="101"/>
      <c r="X1894" s="101"/>
      <c r="Y1894" s="114"/>
      <c r="Z1894" s="114"/>
      <c r="AA1894" s="114"/>
      <c r="AB1894" s="114"/>
      <c r="AC1894" s="114"/>
      <c r="AD1894" s="114"/>
      <c r="AE1894" s="114"/>
      <c r="AF1894" s="114"/>
      <c r="AG1894" s="114"/>
      <c r="AH1894" s="114"/>
      <c r="AI1894" s="114"/>
      <c r="AJ1894" s="114"/>
      <c r="AK1894" s="114"/>
      <c r="AL1894" s="114"/>
      <c r="AM1894" s="114"/>
      <c r="AN1894" s="114"/>
      <c r="AO1894" s="114"/>
      <c r="AP1894" s="114"/>
      <c r="AQ1894" s="114"/>
      <c r="AR1894" s="114"/>
      <c r="AS1894" s="114"/>
      <c r="AT1894" s="114"/>
      <c r="AU1894" s="114"/>
      <c r="AV1894" s="114"/>
      <c r="AW1894" s="114"/>
      <c r="AX1894" s="114"/>
      <c r="AY1894" s="114"/>
      <c r="AZ1894" s="114"/>
    </row>
    <row r="1895" spans="1:52">
      <c r="A1895" s="111"/>
      <c r="B1895" s="111"/>
      <c r="C1895" s="112"/>
      <c r="D1895" s="101"/>
      <c r="E1895" s="101"/>
      <c r="F1895" s="101"/>
      <c r="G1895" s="111"/>
      <c r="H1895" s="101"/>
      <c r="I1895" s="101"/>
      <c r="J1895" s="101"/>
      <c r="K1895" s="101"/>
      <c r="L1895" s="101"/>
      <c r="M1895" s="101"/>
      <c r="N1895" s="101"/>
      <c r="O1895" s="101"/>
      <c r="P1895" s="101"/>
      <c r="Q1895" s="101"/>
      <c r="R1895" s="101"/>
      <c r="S1895" s="101"/>
      <c r="T1895" s="101"/>
      <c r="U1895" s="101"/>
      <c r="V1895" s="101"/>
      <c r="W1895" s="101"/>
      <c r="X1895" s="101"/>
      <c r="Y1895" s="114"/>
      <c r="Z1895" s="114"/>
      <c r="AA1895" s="114"/>
      <c r="AB1895" s="114"/>
      <c r="AC1895" s="114"/>
      <c r="AD1895" s="114"/>
      <c r="AE1895" s="114"/>
      <c r="AF1895" s="114"/>
      <c r="AG1895" s="114"/>
      <c r="AH1895" s="114"/>
      <c r="AI1895" s="114"/>
      <c r="AJ1895" s="114"/>
      <c r="AK1895" s="114"/>
      <c r="AL1895" s="114"/>
      <c r="AM1895" s="114"/>
      <c r="AN1895" s="114"/>
      <c r="AO1895" s="114"/>
      <c r="AP1895" s="114"/>
      <c r="AQ1895" s="114"/>
      <c r="AR1895" s="114"/>
      <c r="AS1895" s="114"/>
      <c r="AT1895" s="114"/>
      <c r="AU1895" s="114"/>
      <c r="AV1895" s="114"/>
      <c r="AW1895" s="114"/>
      <c r="AX1895" s="114"/>
      <c r="AY1895" s="114"/>
      <c r="AZ1895" s="114"/>
    </row>
    <row r="1896" spans="1:52">
      <c r="A1896" s="111"/>
      <c r="B1896" s="111"/>
      <c r="C1896" s="112"/>
      <c r="D1896" s="101"/>
      <c r="E1896" s="101"/>
      <c r="F1896" s="101"/>
      <c r="G1896" s="111"/>
      <c r="H1896" s="101"/>
      <c r="I1896" s="101"/>
      <c r="J1896" s="101"/>
      <c r="K1896" s="101"/>
      <c r="L1896" s="101"/>
      <c r="M1896" s="101"/>
      <c r="N1896" s="101"/>
      <c r="O1896" s="101"/>
      <c r="P1896" s="101"/>
      <c r="Q1896" s="101"/>
      <c r="R1896" s="101"/>
      <c r="S1896" s="101"/>
      <c r="T1896" s="101"/>
      <c r="U1896" s="101"/>
      <c r="V1896" s="101"/>
      <c r="W1896" s="101"/>
      <c r="X1896" s="101"/>
      <c r="Y1896" s="114"/>
      <c r="Z1896" s="114"/>
      <c r="AA1896" s="114"/>
      <c r="AB1896" s="114"/>
      <c r="AC1896" s="114"/>
      <c r="AD1896" s="114"/>
      <c r="AE1896" s="114"/>
      <c r="AF1896" s="114"/>
      <c r="AG1896" s="114"/>
      <c r="AH1896" s="114"/>
      <c r="AI1896" s="114"/>
      <c r="AJ1896" s="114"/>
      <c r="AK1896" s="114"/>
      <c r="AL1896" s="114"/>
      <c r="AM1896" s="114"/>
      <c r="AN1896" s="114"/>
      <c r="AO1896" s="114"/>
      <c r="AP1896" s="114"/>
      <c r="AQ1896" s="114"/>
      <c r="AR1896" s="114"/>
      <c r="AS1896" s="114"/>
      <c r="AT1896" s="114"/>
      <c r="AU1896" s="114"/>
      <c r="AV1896" s="114"/>
      <c r="AW1896" s="114"/>
      <c r="AX1896" s="114"/>
      <c r="AY1896" s="114"/>
      <c r="AZ1896" s="114"/>
    </row>
    <row r="1897" spans="1:52">
      <c r="A1897" s="111"/>
      <c r="B1897" s="111"/>
      <c r="C1897" s="112"/>
      <c r="D1897" s="101"/>
      <c r="E1897" s="101"/>
      <c r="F1897" s="101"/>
      <c r="G1897" s="111"/>
      <c r="H1897" s="101"/>
      <c r="I1897" s="101"/>
      <c r="J1897" s="101"/>
      <c r="K1897" s="101"/>
      <c r="L1897" s="101"/>
      <c r="M1897" s="101"/>
      <c r="N1897" s="101"/>
      <c r="O1897" s="101"/>
      <c r="P1897" s="101"/>
      <c r="Q1897" s="101"/>
      <c r="R1897" s="101"/>
      <c r="S1897" s="101"/>
      <c r="T1897" s="101"/>
      <c r="U1897" s="101"/>
      <c r="V1897" s="101"/>
      <c r="W1897" s="101"/>
      <c r="X1897" s="101"/>
      <c r="Y1897" s="114"/>
      <c r="Z1897" s="114"/>
      <c r="AA1897" s="114"/>
      <c r="AB1897" s="114"/>
      <c r="AC1897" s="114"/>
      <c r="AD1897" s="114"/>
      <c r="AE1897" s="114"/>
      <c r="AF1897" s="114"/>
      <c r="AG1897" s="114"/>
      <c r="AH1897" s="114"/>
      <c r="AI1897" s="114"/>
      <c r="AJ1897" s="114"/>
      <c r="AK1897" s="114"/>
      <c r="AL1897" s="114"/>
      <c r="AM1897" s="114"/>
      <c r="AN1897" s="114"/>
      <c r="AO1897" s="114"/>
      <c r="AP1897" s="114"/>
      <c r="AQ1897" s="114"/>
      <c r="AR1897" s="114"/>
      <c r="AS1897" s="114"/>
      <c r="AT1897" s="114"/>
      <c r="AU1897" s="114"/>
      <c r="AV1897" s="114"/>
      <c r="AW1897" s="114"/>
      <c r="AX1897" s="114"/>
      <c r="AY1897" s="114"/>
      <c r="AZ1897" s="114"/>
    </row>
    <row r="1898" spans="1:52">
      <c r="A1898" s="111"/>
      <c r="B1898" s="111"/>
      <c r="C1898" s="112"/>
      <c r="D1898" s="101"/>
      <c r="E1898" s="101"/>
      <c r="F1898" s="101"/>
      <c r="G1898" s="111"/>
      <c r="H1898" s="101"/>
      <c r="I1898" s="101"/>
      <c r="J1898" s="101"/>
      <c r="K1898" s="101"/>
      <c r="L1898" s="101"/>
      <c r="M1898" s="101"/>
      <c r="N1898" s="101"/>
      <c r="O1898" s="101"/>
      <c r="P1898" s="101"/>
      <c r="Q1898" s="101"/>
      <c r="R1898" s="101"/>
      <c r="S1898" s="101"/>
      <c r="T1898" s="101"/>
      <c r="U1898" s="101"/>
      <c r="V1898" s="101"/>
      <c r="W1898" s="101"/>
      <c r="X1898" s="101"/>
      <c r="Y1898" s="114"/>
      <c r="Z1898" s="114"/>
      <c r="AA1898" s="114"/>
      <c r="AB1898" s="114"/>
      <c r="AC1898" s="114"/>
      <c r="AD1898" s="114"/>
      <c r="AE1898" s="114"/>
      <c r="AF1898" s="114"/>
      <c r="AG1898" s="114"/>
      <c r="AH1898" s="114"/>
      <c r="AI1898" s="114"/>
      <c r="AJ1898" s="114"/>
      <c r="AK1898" s="114"/>
      <c r="AL1898" s="114"/>
      <c r="AM1898" s="114"/>
      <c r="AN1898" s="114"/>
      <c r="AO1898" s="114"/>
      <c r="AP1898" s="114"/>
      <c r="AQ1898" s="114"/>
      <c r="AR1898" s="114"/>
      <c r="AS1898" s="114"/>
      <c r="AT1898" s="114"/>
      <c r="AU1898" s="114"/>
      <c r="AV1898" s="114"/>
      <c r="AW1898" s="114"/>
      <c r="AX1898" s="114"/>
      <c r="AY1898" s="114"/>
      <c r="AZ1898" s="114"/>
    </row>
    <row r="1899" spans="1:52">
      <c r="A1899" s="111"/>
      <c r="B1899" s="111"/>
      <c r="C1899" s="112"/>
      <c r="D1899" s="101"/>
      <c r="E1899" s="101"/>
      <c r="F1899" s="101"/>
      <c r="G1899" s="111"/>
      <c r="H1899" s="101"/>
      <c r="I1899" s="101"/>
      <c r="J1899" s="101"/>
      <c r="K1899" s="101"/>
      <c r="L1899" s="101"/>
      <c r="M1899" s="101"/>
      <c r="N1899" s="101"/>
      <c r="O1899" s="101"/>
      <c r="P1899" s="101"/>
      <c r="Q1899" s="101"/>
      <c r="R1899" s="101"/>
      <c r="S1899" s="101"/>
      <c r="T1899" s="101"/>
      <c r="U1899" s="101"/>
      <c r="V1899" s="101"/>
      <c r="W1899" s="101"/>
      <c r="X1899" s="101"/>
      <c r="Y1899" s="114"/>
      <c r="Z1899" s="114"/>
      <c r="AA1899" s="114"/>
      <c r="AB1899" s="114"/>
      <c r="AC1899" s="114"/>
      <c r="AD1899" s="114"/>
      <c r="AE1899" s="114"/>
      <c r="AF1899" s="114"/>
      <c r="AG1899" s="114"/>
      <c r="AH1899" s="114"/>
      <c r="AI1899" s="114"/>
      <c r="AJ1899" s="114"/>
      <c r="AK1899" s="114"/>
      <c r="AL1899" s="114"/>
      <c r="AM1899" s="114"/>
      <c r="AN1899" s="114"/>
      <c r="AO1899" s="114"/>
      <c r="AP1899" s="114"/>
      <c r="AQ1899" s="114"/>
      <c r="AR1899" s="114"/>
      <c r="AS1899" s="114"/>
      <c r="AT1899" s="114"/>
      <c r="AU1899" s="114"/>
      <c r="AV1899" s="114"/>
      <c r="AW1899" s="114"/>
      <c r="AX1899" s="114"/>
      <c r="AY1899" s="114"/>
      <c r="AZ1899" s="114"/>
    </row>
    <row r="1900" spans="1:52">
      <c r="A1900" s="111"/>
      <c r="B1900" s="111"/>
      <c r="C1900" s="112"/>
      <c r="D1900" s="101"/>
      <c r="E1900" s="101"/>
      <c r="F1900" s="101"/>
      <c r="G1900" s="111"/>
      <c r="H1900" s="101"/>
      <c r="I1900" s="101"/>
      <c r="J1900" s="101"/>
      <c r="K1900" s="101"/>
      <c r="L1900" s="101"/>
      <c r="M1900" s="101"/>
      <c r="N1900" s="101"/>
      <c r="O1900" s="101"/>
      <c r="P1900" s="101"/>
      <c r="Q1900" s="101"/>
      <c r="R1900" s="101"/>
      <c r="S1900" s="101"/>
      <c r="T1900" s="101"/>
      <c r="U1900" s="101"/>
      <c r="V1900" s="101"/>
      <c r="W1900" s="101"/>
      <c r="X1900" s="101"/>
      <c r="Y1900" s="114"/>
      <c r="Z1900" s="114"/>
      <c r="AA1900" s="114"/>
      <c r="AB1900" s="114"/>
      <c r="AC1900" s="114"/>
      <c r="AD1900" s="114"/>
      <c r="AE1900" s="114"/>
      <c r="AF1900" s="114"/>
      <c r="AG1900" s="114"/>
      <c r="AH1900" s="114"/>
      <c r="AI1900" s="114"/>
      <c r="AJ1900" s="114"/>
      <c r="AK1900" s="114"/>
      <c r="AL1900" s="114"/>
      <c r="AM1900" s="114"/>
      <c r="AN1900" s="114"/>
      <c r="AO1900" s="114"/>
      <c r="AP1900" s="114"/>
      <c r="AQ1900" s="114"/>
      <c r="AR1900" s="114"/>
      <c r="AS1900" s="114"/>
      <c r="AT1900" s="114"/>
      <c r="AU1900" s="114"/>
      <c r="AV1900" s="114"/>
      <c r="AW1900" s="114"/>
      <c r="AX1900" s="114"/>
      <c r="AY1900" s="114"/>
      <c r="AZ1900" s="114"/>
    </row>
    <row r="1901" spans="1:52">
      <c r="A1901" s="111"/>
      <c r="B1901" s="111"/>
      <c r="C1901" s="112"/>
      <c r="D1901" s="101"/>
      <c r="E1901" s="101"/>
      <c r="F1901" s="101"/>
      <c r="G1901" s="111"/>
      <c r="H1901" s="101"/>
      <c r="I1901" s="101"/>
      <c r="J1901" s="101"/>
      <c r="K1901" s="101"/>
      <c r="L1901" s="101"/>
      <c r="M1901" s="101"/>
      <c r="N1901" s="101"/>
      <c r="O1901" s="101"/>
      <c r="P1901" s="101"/>
      <c r="Q1901" s="101"/>
      <c r="R1901" s="101"/>
      <c r="S1901" s="101"/>
      <c r="T1901" s="101"/>
      <c r="U1901" s="101"/>
      <c r="V1901" s="101"/>
      <c r="W1901" s="101"/>
      <c r="X1901" s="101"/>
      <c r="Y1901" s="114"/>
      <c r="Z1901" s="114"/>
      <c r="AA1901" s="114"/>
      <c r="AB1901" s="114"/>
      <c r="AC1901" s="114"/>
      <c r="AD1901" s="114"/>
      <c r="AE1901" s="114"/>
      <c r="AF1901" s="114"/>
      <c r="AG1901" s="114"/>
      <c r="AH1901" s="114"/>
      <c r="AI1901" s="114"/>
      <c r="AJ1901" s="114"/>
      <c r="AK1901" s="114"/>
      <c r="AL1901" s="114"/>
      <c r="AM1901" s="114"/>
      <c r="AN1901" s="114"/>
      <c r="AO1901" s="114"/>
      <c r="AP1901" s="114"/>
      <c r="AQ1901" s="114"/>
      <c r="AR1901" s="114"/>
      <c r="AS1901" s="114"/>
      <c r="AT1901" s="114"/>
      <c r="AU1901" s="114"/>
      <c r="AV1901" s="114"/>
      <c r="AW1901" s="114"/>
      <c r="AX1901" s="114"/>
      <c r="AY1901" s="114"/>
      <c r="AZ1901" s="114"/>
    </row>
    <row r="1902" spans="1:52">
      <c r="A1902" s="111"/>
      <c r="B1902" s="111"/>
      <c r="C1902" s="112"/>
      <c r="D1902" s="101"/>
      <c r="E1902" s="101"/>
      <c r="F1902" s="101"/>
      <c r="G1902" s="111"/>
      <c r="H1902" s="101"/>
      <c r="I1902" s="101"/>
      <c r="J1902" s="101"/>
      <c r="K1902" s="101"/>
      <c r="L1902" s="101"/>
      <c r="M1902" s="101"/>
      <c r="N1902" s="101"/>
      <c r="O1902" s="101"/>
      <c r="P1902" s="101"/>
      <c r="Q1902" s="101"/>
      <c r="R1902" s="101"/>
      <c r="S1902" s="101"/>
      <c r="T1902" s="101"/>
      <c r="U1902" s="101"/>
      <c r="V1902" s="101"/>
      <c r="W1902" s="101"/>
      <c r="X1902" s="101"/>
      <c r="Y1902" s="114"/>
      <c r="Z1902" s="114"/>
      <c r="AA1902" s="114"/>
      <c r="AB1902" s="114"/>
      <c r="AC1902" s="114"/>
      <c r="AD1902" s="114"/>
      <c r="AE1902" s="114"/>
      <c r="AF1902" s="114"/>
      <c r="AG1902" s="114"/>
      <c r="AH1902" s="114"/>
      <c r="AI1902" s="114"/>
      <c r="AJ1902" s="114"/>
      <c r="AK1902" s="114"/>
      <c r="AL1902" s="114"/>
      <c r="AM1902" s="114"/>
      <c r="AN1902" s="114"/>
      <c r="AO1902" s="114"/>
      <c r="AP1902" s="114"/>
      <c r="AQ1902" s="114"/>
      <c r="AR1902" s="114"/>
      <c r="AS1902" s="114"/>
      <c r="AT1902" s="114"/>
      <c r="AU1902" s="114"/>
      <c r="AV1902" s="114"/>
      <c r="AW1902" s="114"/>
      <c r="AX1902" s="114"/>
      <c r="AY1902" s="114"/>
      <c r="AZ1902" s="114"/>
    </row>
    <row r="1903" spans="1:52">
      <c r="A1903" s="111"/>
      <c r="B1903" s="111"/>
      <c r="C1903" s="112"/>
      <c r="D1903" s="101"/>
      <c r="E1903" s="101"/>
      <c r="F1903" s="101"/>
      <c r="G1903" s="111"/>
      <c r="H1903" s="101"/>
      <c r="I1903" s="101"/>
      <c r="J1903" s="101"/>
      <c r="K1903" s="101"/>
      <c r="L1903" s="101"/>
      <c r="M1903" s="101"/>
      <c r="N1903" s="101"/>
      <c r="O1903" s="101"/>
      <c r="P1903" s="101"/>
      <c r="Q1903" s="101"/>
      <c r="R1903" s="101"/>
      <c r="S1903" s="101"/>
      <c r="T1903" s="101"/>
      <c r="U1903" s="101"/>
      <c r="V1903" s="101"/>
      <c r="W1903" s="101"/>
      <c r="X1903" s="101"/>
      <c r="Y1903" s="114"/>
      <c r="Z1903" s="114"/>
      <c r="AA1903" s="114"/>
      <c r="AB1903" s="114"/>
      <c r="AC1903" s="114"/>
      <c r="AD1903" s="114"/>
      <c r="AE1903" s="114"/>
      <c r="AF1903" s="114"/>
      <c r="AG1903" s="114"/>
      <c r="AH1903" s="114"/>
      <c r="AI1903" s="114"/>
      <c r="AJ1903" s="114"/>
      <c r="AK1903" s="114"/>
      <c r="AL1903" s="114"/>
      <c r="AM1903" s="114"/>
      <c r="AN1903" s="114"/>
      <c r="AO1903" s="114"/>
      <c r="AP1903" s="114"/>
      <c r="AQ1903" s="114"/>
      <c r="AR1903" s="114"/>
      <c r="AS1903" s="114"/>
      <c r="AT1903" s="114"/>
      <c r="AU1903" s="114"/>
      <c r="AV1903" s="114"/>
      <c r="AW1903" s="114"/>
      <c r="AX1903" s="114"/>
      <c r="AY1903" s="114"/>
      <c r="AZ1903" s="114"/>
    </row>
    <row r="1904" spans="1:52">
      <c r="A1904" s="111"/>
      <c r="B1904" s="111"/>
      <c r="C1904" s="112"/>
      <c r="D1904" s="101"/>
      <c r="E1904" s="101"/>
      <c r="F1904" s="101"/>
      <c r="G1904" s="111"/>
      <c r="H1904" s="101"/>
      <c r="I1904" s="101"/>
      <c r="J1904" s="101"/>
      <c r="K1904" s="101"/>
      <c r="L1904" s="101"/>
      <c r="M1904" s="101"/>
      <c r="N1904" s="101"/>
      <c r="O1904" s="101"/>
      <c r="P1904" s="101"/>
      <c r="Q1904" s="101"/>
      <c r="R1904" s="101"/>
      <c r="S1904" s="101"/>
      <c r="T1904" s="101"/>
      <c r="U1904" s="101"/>
      <c r="V1904" s="101"/>
      <c r="W1904" s="101"/>
      <c r="X1904" s="101"/>
      <c r="Y1904" s="114"/>
      <c r="Z1904" s="114"/>
      <c r="AA1904" s="114"/>
      <c r="AB1904" s="114"/>
      <c r="AC1904" s="114"/>
      <c r="AD1904" s="114"/>
      <c r="AE1904" s="114"/>
      <c r="AF1904" s="114"/>
      <c r="AG1904" s="114"/>
      <c r="AH1904" s="114"/>
      <c r="AI1904" s="114"/>
      <c r="AJ1904" s="114"/>
      <c r="AK1904" s="114"/>
      <c r="AL1904" s="114"/>
      <c r="AM1904" s="114"/>
      <c r="AN1904" s="114"/>
      <c r="AO1904" s="114"/>
      <c r="AP1904" s="114"/>
      <c r="AQ1904" s="114"/>
      <c r="AR1904" s="114"/>
      <c r="AS1904" s="114"/>
      <c r="AT1904" s="114"/>
      <c r="AU1904" s="114"/>
      <c r="AV1904" s="114"/>
      <c r="AW1904" s="114"/>
      <c r="AX1904" s="114"/>
      <c r="AY1904" s="114"/>
      <c r="AZ1904" s="114"/>
    </row>
    <row r="1905" spans="1:52">
      <c r="A1905" s="111"/>
      <c r="B1905" s="111"/>
      <c r="C1905" s="112"/>
      <c r="D1905" s="101"/>
      <c r="E1905" s="101"/>
      <c r="F1905" s="101"/>
      <c r="G1905" s="111"/>
      <c r="H1905" s="101"/>
      <c r="I1905" s="101"/>
      <c r="J1905" s="101"/>
      <c r="K1905" s="101"/>
      <c r="L1905" s="101"/>
      <c r="M1905" s="101"/>
      <c r="N1905" s="101"/>
      <c r="O1905" s="101"/>
      <c r="P1905" s="101"/>
      <c r="Q1905" s="101"/>
      <c r="R1905" s="101"/>
      <c r="S1905" s="101"/>
      <c r="T1905" s="101"/>
      <c r="U1905" s="101"/>
      <c r="V1905" s="101"/>
      <c r="W1905" s="101"/>
      <c r="X1905" s="101"/>
      <c r="Y1905" s="114"/>
      <c r="Z1905" s="114"/>
      <c r="AA1905" s="114"/>
      <c r="AB1905" s="114"/>
      <c r="AC1905" s="114"/>
      <c r="AD1905" s="114"/>
      <c r="AE1905" s="114"/>
      <c r="AF1905" s="114"/>
      <c r="AG1905" s="114"/>
      <c r="AH1905" s="114"/>
      <c r="AI1905" s="114"/>
      <c r="AJ1905" s="114"/>
      <c r="AK1905" s="114"/>
      <c r="AL1905" s="114"/>
      <c r="AM1905" s="114"/>
      <c r="AN1905" s="114"/>
      <c r="AO1905" s="114"/>
      <c r="AP1905" s="114"/>
      <c r="AQ1905" s="114"/>
      <c r="AR1905" s="114"/>
      <c r="AS1905" s="114"/>
      <c r="AT1905" s="114"/>
      <c r="AU1905" s="114"/>
      <c r="AV1905" s="114"/>
      <c r="AW1905" s="114"/>
      <c r="AX1905" s="114"/>
      <c r="AY1905" s="114"/>
      <c r="AZ1905" s="114"/>
    </row>
    <row r="1906" spans="1:52">
      <c r="A1906" s="111"/>
      <c r="B1906" s="111"/>
      <c r="C1906" s="112"/>
      <c r="D1906" s="101"/>
      <c r="E1906" s="101"/>
      <c r="F1906" s="101"/>
      <c r="G1906" s="111"/>
      <c r="H1906" s="101"/>
      <c r="I1906" s="101"/>
      <c r="J1906" s="101"/>
      <c r="K1906" s="101"/>
      <c r="L1906" s="101"/>
      <c r="M1906" s="101"/>
      <c r="N1906" s="101"/>
      <c r="O1906" s="101"/>
      <c r="P1906" s="101"/>
      <c r="Q1906" s="101"/>
      <c r="R1906" s="101"/>
      <c r="S1906" s="101"/>
      <c r="T1906" s="101"/>
      <c r="U1906" s="101"/>
      <c r="V1906" s="101"/>
      <c r="W1906" s="101"/>
      <c r="X1906" s="101"/>
      <c r="Y1906" s="114"/>
      <c r="Z1906" s="114"/>
      <c r="AA1906" s="114"/>
      <c r="AB1906" s="114"/>
      <c r="AC1906" s="114"/>
      <c r="AD1906" s="114"/>
      <c r="AE1906" s="114"/>
      <c r="AF1906" s="114"/>
      <c r="AG1906" s="114"/>
      <c r="AH1906" s="114"/>
      <c r="AI1906" s="114"/>
      <c r="AJ1906" s="114"/>
      <c r="AK1906" s="114"/>
      <c r="AL1906" s="114"/>
      <c r="AM1906" s="114"/>
      <c r="AN1906" s="114"/>
      <c r="AO1906" s="114"/>
      <c r="AP1906" s="114"/>
      <c r="AQ1906" s="114"/>
      <c r="AR1906" s="114"/>
      <c r="AS1906" s="114"/>
      <c r="AT1906" s="114"/>
      <c r="AU1906" s="114"/>
      <c r="AV1906" s="114"/>
      <c r="AW1906" s="114"/>
      <c r="AX1906" s="114"/>
      <c r="AY1906" s="114"/>
      <c r="AZ1906" s="114"/>
    </row>
    <row r="1907" spans="1:52">
      <c r="A1907" s="111"/>
      <c r="B1907" s="111"/>
      <c r="C1907" s="112"/>
      <c r="D1907" s="101"/>
      <c r="E1907" s="101"/>
      <c r="F1907" s="101"/>
      <c r="G1907" s="111"/>
      <c r="H1907" s="101"/>
      <c r="I1907" s="101"/>
      <c r="J1907" s="101"/>
      <c r="K1907" s="101"/>
      <c r="L1907" s="101"/>
      <c r="M1907" s="101"/>
      <c r="N1907" s="101"/>
      <c r="O1907" s="101"/>
      <c r="P1907" s="101"/>
      <c r="Q1907" s="101"/>
      <c r="R1907" s="101"/>
      <c r="S1907" s="101"/>
      <c r="T1907" s="101"/>
      <c r="U1907" s="101"/>
      <c r="V1907" s="101"/>
      <c r="W1907" s="101"/>
      <c r="X1907" s="101"/>
      <c r="Y1907" s="114"/>
      <c r="Z1907" s="114"/>
      <c r="AA1907" s="114"/>
      <c r="AB1907" s="114"/>
      <c r="AC1907" s="114"/>
      <c r="AD1907" s="114"/>
      <c r="AE1907" s="114"/>
      <c r="AF1907" s="114"/>
      <c r="AG1907" s="114"/>
      <c r="AH1907" s="114"/>
      <c r="AI1907" s="114"/>
      <c r="AJ1907" s="114"/>
      <c r="AK1907" s="114"/>
      <c r="AL1907" s="114"/>
      <c r="AM1907" s="114"/>
      <c r="AN1907" s="114"/>
      <c r="AO1907" s="114"/>
      <c r="AP1907" s="114"/>
      <c r="AQ1907" s="114"/>
      <c r="AR1907" s="114"/>
      <c r="AS1907" s="114"/>
      <c r="AT1907" s="114"/>
      <c r="AU1907" s="114"/>
      <c r="AV1907" s="114"/>
      <c r="AW1907" s="114"/>
      <c r="AX1907" s="114"/>
      <c r="AY1907" s="114"/>
      <c r="AZ1907" s="114"/>
    </row>
    <row r="1908" spans="1:52">
      <c r="A1908" s="111"/>
      <c r="B1908" s="111"/>
      <c r="C1908" s="112"/>
      <c r="D1908" s="101"/>
      <c r="E1908" s="101"/>
      <c r="F1908" s="101"/>
      <c r="G1908" s="111"/>
      <c r="H1908" s="101"/>
      <c r="I1908" s="101"/>
      <c r="J1908" s="101"/>
      <c r="K1908" s="101"/>
      <c r="L1908" s="101"/>
      <c r="M1908" s="101"/>
      <c r="N1908" s="101"/>
      <c r="O1908" s="101"/>
      <c r="P1908" s="101"/>
      <c r="Q1908" s="101"/>
      <c r="R1908" s="101"/>
      <c r="S1908" s="101"/>
      <c r="T1908" s="101"/>
      <c r="U1908" s="101"/>
      <c r="V1908" s="101"/>
      <c r="W1908" s="101"/>
      <c r="X1908" s="101"/>
      <c r="Y1908" s="114"/>
      <c r="Z1908" s="114"/>
      <c r="AA1908" s="114"/>
      <c r="AB1908" s="114"/>
      <c r="AC1908" s="114"/>
      <c r="AD1908" s="114"/>
      <c r="AE1908" s="114"/>
      <c r="AF1908" s="114"/>
      <c r="AG1908" s="114"/>
      <c r="AH1908" s="114"/>
      <c r="AI1908" s="114"/>
      <c r="AJ1908" s="114"/>
      <c r="AK1908" s="114"/>
      <c r="AL1908" s="114"/>
      <c r="AM1908" s="114"/>
      <c r="AN1908" s="114"/>
      <c r="AO1908" s="114"/>
      <c r="AP1908" s="114"/>
      <c r="AQ1908" s="114"/>
      <c r="AR1908" s="114"/>
      <c r="AS1908" s="114"/>
      <c r="AT1908" s="114"/>
      <c r="AU1908" s="114"/>
      <c r="AV1908" s="114"/>
      <c r="AW1908" s="114"/>
      <c r="AX1908" s="114"/>
      <c r="AY1908" s="114"/>
      <c r="AZ1908" s="114"/>
    </row>
    <row r="1909" spans="1:52">
      <c r="A1909" s="111"/>
      <c r="B1909" s="111"/>
      <c r="C1909" s="112"/>
      <c r="D1909" s="101"/>
      <c r="E1909" s="101"/>
      <c r="F1909" s="101"/>
      <c r="G1909" s="111"/>
      <c r="H1909" s="101"/>
      <c r="I1909" s="101"/>
      <c r="J1909" s="101"/>
      <c r="K1909" s="101"/>
      <c r="L1909" s="101"/>
      <c r="M1909" s="101"/>
      <c r="N1909" s="101"/>
      <c r="O1909" s="101"/>
      <c r="P1909" s="101"/>
      <c r="Q1909" s="101"/>
      <c r="R1909" s="101"/>
      <c r="S1909" s="101"/>
      <c r="T1909" s="101"/>
      <c r="U1909" s="101"/>
      <c r="V1909" s="101"/>
      <c r="W1909" s="101"/>
      <c r="X1909" s="101"/>
      <c r="Y1909" s="114"/>
      <c r="Z1909" s="114"/>
      <c r="AA1909" s="114"/>
      <c r="AB1909" s="114"/>
      <c r="AC1909" s="114"/>
      <c r="AD1909" s="114"/>
      <c r="AE1909" s="114"/>
      <c r="AF1909" s="114"/>
      <c r="AG1909" s="114"/>
      <c r="AH1909" s="114"/>
      <c r="AI1909" s="114"/>
      <c r="AJ1909" s="114"/>
      <c r="AK1909" s="114"/>
      <c r="AL1909" s="114"/>
      <c r="AM1909" s="114"/>
      <c r="AN1909" s="114"/>
      <c r="AO1909" s="114"/>
      <c r="AP1909" s="114"/>
      <c r="AQ1909" s="114"/>
      <c r="AR1909" s="114"/>
      <c r="AS1909" s="114"/>
      <c r="AT1909" s="114"/>
      <c r="AU1909" s="114"/>
      <c r="AV1909" s="114"/>
      <c r="AW1909" s="114"/>
      <c r="AX1909" s="114"/>
      <c r="AY1909" s="114"/>
      <c r="AZ1909" s="114"/>
    </row>
    <row r="1910" spans="1:52">
      <c r="A1910" s="111"/>
      <c r="B1910" s="111"/>
      <c r="C1910" s="112"/>
      <c r="D1910" s="101"/>
      <c r="E1910" s="101"/>
      <c r="F1910" s="101"/>
      <c r="G1910" s="111"/>
      <c r="H1910" s="101"/>
      <c r="I1910" s="101"/>
      <c r="J1910" s="101"/>
      <c r="K1910" s="101"/>
      <c r="L1910" s="101"/>
      <c r="M1910" s="101"/>
      <c r="N1910" s="101"/>
      <c r="O1910" s="101"/>
      <c r="P1910" s="101"/>
      <c r="Q1910" s="101"/>
      <c r="R1910" s="101"/>
      <c r="S1910" s="101"/>
      <c r="T1910" s="101"/>
      <c r="U1910" s="101"/>
      <c r="V1910" s="101"/>
      <c r="W1910" s="101"/>
      <c r="X1910" s="101"/>
      <c r="Y1910" s="114"/>
      <c r="Z1910" s="114"/>
      <c r="AA1910" s="114"/>
      <c r="AB1910" s="114"/>
      <c r="AC1910" s="114"/>
      <c r="AD1910" s="114"/>
      <c r="AE1910" s="114"/>
      <c r="AF1910" s="114"/>
      <c r="AG1910" s="114"/>
      <c r="AH1910" s="114"/>
      <c r="AI1910" s="114"/>
      <c r="AJ1910" s="114"/>
      <c r="AK1910" s="114"/>
      <c r="AL1910" s="114"/>
      <c r="AM1910" s="114"/>
      <c r="AN1910" s="114"/>
      <c r="AO1910" s="114"/>
      <c r="AP1910" s="114"/>
      <c r="AQ1910" s="114"/>
      <c r="AR1910" s="114"/>
      <c r="AS1910" s="114"/>
      <c r="AT1910" s="114"/>
      <c r="AU1910" s="114"/>
      <c r="AV1910" s="114"/>
      <c r="AW1910" s="114"/>
      <c r="AX1910" s="114"/>
      <c r="AY1910" s="114"/>
      <c r="AZ1910" s="114"/>
    </row>
    <row r="1911" spans="1:52">
      <c r="A1911" s="111"/>
      <c r="B1911" s="111"/>
      <c r="C1911" s="112"/>
      <c r="D1911" s="101"/>
      <c r="E1911" s="101"/>
      <c r="F1911" s="101"/>
      <c r="G1911" s="111"/>
      <c r="H1911" s="101"/>
      <c r="I1911" s="101"/>
      <c r="J1911" s="101"/>
      <c r="K1911" s="101"/>
      <c r="L1911" s="101"/>
      <c r="M1911" s="101"/>
      <c r="N1911" s="101"/>
      <c r="O1911" s="101"/>
      <c r="P1911" s="101"/>
      <c r="Q1911" s="101"/>
      <c r="R1911" s="101"/>
      <c r="S1911" s="101"/>
      <c r="T1911" s="101"/>
      <c r="U1911" s="101"/>
      <c r="V1911" s="101"/>
      <c r="W1911" s="101"/>
      <c r="X1911" s="101"/>
      <c r="Y1911" s="114"/>
      <c r="Z1911" s="114"/>
      <c r="AA1911" s="114"/>
      <c r="AB1911" s="114"/>
      <c r="AC1911" s="114"/>
      <c r="AD1911" s="114"/>
      <c r="AE1911" s="114"/>
      <c r="AF1911" s="114"/>
      <c r="AG1911" s="114"/>
      <c r="AH1911" s="114"/>
      <c r="AI1911" s="114"/>
      <c r="AJ1911" s="114"/>
      <c r="AK1911" s="114"/>
      <c r="AL1911" s="114"/>
      <c r="AM1911" s="114"/>
      <c r="AN1911" s="114"/>
      <c r="AO1911" s="114"/>
      <c r="AP1911" s="114"/>
      <c r="AQ1911" s="114"/>
      <c r="AR1911" s="114"/>
      <c r="AS1911" s="114"/>
      <c r="AT1911" s="114"/>
      <c r="AU1911" s="114"/>
      <c r="AV1911" s="114"/>
      <c r="AW1911" s="114"/>
      <c r="AX1911" s="114"/>
      <c r="AY1911" s="114"/>
      <c r="AZ1911" s="114"/>
    </row>
    <row r="1912" spans="1:52">
      <c r="A1912" s="111"/>
      <c r="B1912" s="111"/>
      <c r="C1912" s="112"/>
      <c r="D1912" s="101"/>
      <c r="E1912" s="101"/>
      <c r="F1912" s="101"/>
      <c r="G1912" s="111"/>
      <c r="H1912" s="101"/>
      <c r="I1912" s="101"/>
      <c r="J1912" s="101"/>
      <c r="K1912" s="101"/>
      <c r="L1912" s="101"/>
      <c r="M1912" s="101"/>
      <c r="N1912" s="101"/>
      <c r="O1912" s="101"/>
      <c r="P1912" s="101"/>
      <c r="Q1912" s="101"/>
      <c r="R1912" s="101"/>
      <c r="S1912" s="101"/>
      <c r="T1912" s="101"/>
      <c r="U1912" s="101"/>
      <c r="V1912" s="101"/>
      <c r="W1912" s="101"/>
      <c r="X1912" s="101"/>
      <c r="Y1912" s="114"/>
      <c r="Z1912" s="114"/>
      <c r="AA1912" s="114"/>
      <c r="AB1912" s="114"/>
      <c r="AC1912" s="114"/>
      <c r="AD1912" s="114"/>
      <c r="AE1912" s="114"/>
      <c r="AF1912" s="114"/>
      <c r="AG1912" s="114"/>
      <c r="AH1912" s="114"/>
      <c r="AI1912" s="114"/>
      <c r="AJ1912" s="114"/>
      <c r="AK1912" s="114"/>
      <c r="AL1912" s="114"/>
      <c r="AM1912" s="114"/>
      <c r="AN1912" s="114"/>
      <c r="AO1912" s="114"/>
      <c r="AP1912" s="114"/>
      <c r="AQ1912" s="114"/>
      <c r="AR1912" s="114"/>
      <c r="AS1912" s="114"/>
      <c r="AT1912" s="114"/>
      <c r="AU1912" s="114"/>
      <c r="AV1912" s="114"/>
      <c r="AW1912" s="114"/>
      <c r="AX1912" s="114"/>
      <c r="AY1912" s="114"/>
      <c r="AZ1912" s="114"/>
    </row>
    <row r="1913" spans="1:52">
      <c r="A1913" s="111"/>
      <c r="B1913" s="111"/>
      <c r="C1913" s="112"/>
      <c r="D1913" s="101"/>
      <c r="E1913" s="101"/>
      <c r="F1913" s="101"/>
      <c r="G1913" s="111"/>
      <c r="H1913" s="101"/>
      <c r="I1913" s="101"/>
      <c r="J1913" s="101"/>
      <c r="K1913" s="101"/>
      <c r="L1913" s="101"/>
      <c r="M1913" s="101"/>
      <c r="N1913" s="101"/>
      <c r="O1913" s="101"/>
      <c r="P1913" s="101"/>
      <c r="Q1913" s="101"/>
      <c r="R1913" s="101"/>
      <c r="S1913" s="101"/>
      <c r="T1913" s="101"/>
      <c r="U1913" s="101"/>
      <c r="V1913" s="101"/>
      <c r="W1913" s="101"/>
      <c r="X1913" s="101"/>
      <c r="Y1913" s="114"/>
      <c r="Z1913" s="114"/>
      <c r="AA1913" s="114"/>
      <c r="AB1913" s="114"/>
      <c r="AC1913" s="114"/>
      <c r="AD1913" s="114"/>
      <c r="AE1913" s="114"/>
      <c r="AF1913" s="114"/>
      <c r="AG1913" s="114"/>
      <c r="AH1913" s="114"/>
      <c r="AI1913" s="114"/>
      <c r="AJ1913" s="114"/>
      <c r="AK1913" s="114"/>
      <c r="AL1913" s="114"/>
      <c r="AM1913" s="114"/>
      <c r="AN1913" s="114"/>
      <c r="AO1913" s="114"/>
      <c r="AP1913" s="114"/>
      <c r="AQ1913" s="114"/>
      <c r="AR1913" s="114"/>
      <c r="AS1913" s="114"/>
      <c r="AT1913" s="114"/>
      <c r="AU1913" s="114"/>
      <c r="AV1913" s="114"/>
      <c r="AW1913" s="114"/>
      <c r="AX1913" s="114"/>
      <c r="AY1913" s="114"/>
      <c r="AZ1913" s="114"/>
    </row>
    <row r="1914" spans="1:52">
      <c r="A1914" s="111"/>
      <c r="B1914" s="111"/>
      <c r="C1914" s="112"/>
      <c r="D1914" s="101"/>
      <c r="E1914" s="101"/>
      <c r="F1914" s="101"/>
      <c r="G1914" s="111"/>
      <c r="H1914" s="101"/>
      <c r="I1914" s="101"/>
      <c r="J1914" s="101"/>
      <c r="K1914" s="101"/>
      <c r="L1914" s="101"/>
      <c r="M1914" s="101"/>
      <c r="N1914" s="101"/>
      <c r="O1914" s="101"/>
      <c r="P1914" s="101"/>
      <c r="Q1914" s="101"/>
      <c r="R1914" s="101"/>
      <c r="S1914" s="101"/>
      <c r="T1914" s="101"/>
      <c r="U1914" s="101"/>
      <c r="V1914" s="101"/>
      <c r="W1914" s="101"/>
      <c r="X1914" s="101"/>
      <c r="Y1914" s="114"/>
      <c r="Z1914" s="114"/>
      <c r="AA1914" s="114"/>
      <c r="AB1914" s="114"/>
      <c r="AC1914" s="114"/>
      <c r="AD1914" s="114"/>
      <c r="AE1914" s="114"/>
      <c r="AF1914" s="114"/>
      <c r="AG1914" s="114"/>
      <c r="AH1914" s="114"/>
      <c r="AI1914" s="114"/>
      <c r="AJ1914" s="114"/>
      <c r="AK1914" s="114"/>
      <c r="AL1914" s="114"/>
      <c r="AM1914" s="114"/>
      <c r="AN1914" s="114"/>
      <c r="AO1914" s="114"/>
      <c r="AP1914" s="114"/>
      <c r="AQ1914" s="114"/>
      <c r="AR1914" s="114"/>
      <c r="AS1914" s="114"/>
      <c r="AT1914" s="114"/>
      <c r="AU1914" s="114"/>
      <c r="AV1914" s="114"/>
      <c r="AW1914" s="114"/>
      <c r="AX1914" s="114"/>
      <c r="AY1914" s="114"/>
      <c r="AZ1914" s="114"/>
    </row>
    <row r="1915" spans="1:52">
      <c r="A1915" s="111"/>
      <c r="B1915" s="111"/>
      <c r="C1915" s="112"/>
      <c r="D1915" s="101"/>
      <c r="E1915" s="101"/>
      <c r="F1915" s="101"/>
      <c r="G1915" s="111"/>
      <c r="H1915" s="101"/>
      <c r="I1915" s="101"/>
      <c r="J1915" s="101"/>
      <c r="K1915" s="101"/>
      <c r="L1915" s="101"/>
      <c r="M1915" s="101"/>
      <c r="N1915" s="101"/>
      <c r="O1915" s="101"/>
      <c r="P1915" s="101"/>
      <c r="Q1915" s="101"/>
      <c r="R1915" s="101"/>
      <c r="S1915" s="101"/>
      <c r="T1915" s="101"/>
      <c r="U1915" s="101"/>
      <c r="V1915" s="101"/>
      <c r="W1915" s="101"/>
      <c r="X1915" s="101"/>
      <c r="Y1915" s="114"/>
      <c r="Z1915" s="114"/>
      <c r="AA1915" s="114"/>
      <c r="AB1915" s="114"/>
      <c r="AC1915" s="114"/>
      <c r="AD1915" s="114"/>
      <c r="AE1915" s="114"/>
      <c r="AF1915" s="114"/>
      <c r="AG1915" s="114"/>
      <c r="AH1915" s="114"/>
      <c r="AI1915" s="114"/>
      <c r="AJ1915" s="114"/>
      <c r="AK1915" s="114"/>
      <c r="AL1915" s="114"/>
      <c r="AM1915" s="114"/>
      <c r="AN1915" s="114"/>
      <c r="AO1915" s="114"/>
      <c r="AP1915" s="114"/>
      <c r="AQ1915" s="114"/>
      <c r="AR1915" s="114"/>
      <c r="AS1915" s="114"/>
      <c r="AT1915" s="114"/>
      <c r="AU1915" s="114"/>
      <c r="AV1915" s="114"/>
      <c r="AW1915" s="114"/>
      <c r="AX1915" s="114"/>
      <c r="AY1915" s="114"/>
      <c r="AZ1915" s="114"/>
    </row>
    <row r="1916" spans="1:52">
      <c r="A1916" s="111"/>
      <c r="B1916" s="111"/>
      <c r="C1916" s="112"/>
      <c r="D1916" s="101"/>
      <c r="E1916" s="101"/>
      <c r="F1916" s="101"/>
      <c r="G1916" s="111"/>
      <c r="H1916" s="101"/>
      <c r="I1916" s="101"/>
      <c r="J1916" s="101"/>
      <c r="K1916" s="101"/>
      <c r="L1916" s="101"/>
      <c r="M1916" s="101"/>
      <c r="N1916" s="101"/>
      <c r="O1916" s="101"/>
      <c r="P1916" s="101"/>
      <c r="Q1916" s="101"/>
      <c r="R1916" s="101"/>
      <c r="S1916" s="101"/>
      <c r="T1916" s="101"/>
      <c r="U1916" s="101"/>
      <c r="V1916" s="101"/>
      <c r="W1916" s="101"/>
      <c r="X1916" s="101"/>
      <c r="Y1916" s="114"/>
      <c r="Z1916" s="114"/>
      <c r="AA1916" s="114"/>
      <c r="AB1916" s="114"/>
      <c r="AC1916" s="114"/>
      <c r="AD1916" s="114"/>
      <c r="AE1916" s="114"/>
      <c r="AF1916" s="114"/>
      <c r="AG1916" s="114"/>
      <c r="AH1916" s="114"/>
      <c r="AI1916" s="114"/>
      <c r="AJ1916" s="114"/>
      <c r="AK1916" s="114"/>
      <c r="AL1916" s="114"/>
      <c r="AM1916" s="114"/>
      <c r="AN1916" s="114"/>
      <c r="AO1916" s="114"/>
      <c r="AP1916" s="114"/>
      <c r="AQ1916" s="114"/>
      <c r="AR1916" s="114"/>
      <c r="AS1916" s="114"/>
      <c r="AT1916" s="114"/>
      <c r="AU1916" s="114"/>
      <c r="AV1916" s="114"/>
      <c r="AW1916" s="114"/>
      <c r="AX1916" s="114"/>
      <c r="AY1916" s="114"/>
      <c r="AZ1916" s="114"/>
    </row>
    <row r="1917" spans="1:52">
      <c r="A1917" s="111"/>
      <c r="B1917" s="111"/>
      <c r="C1917" s="112"/>
      <c r="D1917" s="101"/>
      <c r="E1917" s="101"/>
      <c r="F1917" s="101"/>
      <c r="G1917" s="111"/>
      <c r="H1917" s="101"/>
      <c r="I1917" s="101"/>
      <c r="J1917" s="101"/>
      <c r="K1917" s="101"/>
      <c r="L1917" s="101"/>
      <c r="M1917" s="101"/>
      <c r="N1917" s="101"/>
      <c r="O1917" s="101"/>
      <c r="P1917" s="101"/>
      <c r="Q1917" s="101"/>
      <c r="R1917" s="101"/>
      <c r="S1917" s="101"/>
      <c r="T1917" s="101"/>
      <c r="U1917" s="101"/>
      <c r="V1917" s="101"/>
      <c r="W1917" s="101"/>
      <c r="X1917" s="101"/>
      <c r="Y1917" s="114"/>
      <c r="Z1917" s="114"/>
      <c r="AA1917" s="114"/>
      <c r="AB1917" s="114"/>
      <c r="AC1917" s="114"/>
      <c r="AD1917" s="114"/>
      <c r="AE1917" s="114"/>
      <c r="AF1917" s="114"/>
      <c r="AG1917" s="114"/>
      <c r="AH1917" s="114"/>
      <c r="AI1917" s="114"/>
      <c r="AJ1917" s="114"/>
      <c r="AK1917" s="114"/>
      <c r="AL1917" s="114"/>
      <c r="AM1917" s="114"/>
      <c r="AN1917" s="114"/>
      <c r="AO1917" s="114"/>
      <c r="AP1917" s="114"/>
      <c r="AQ1917" s="114"/>
      <c r="AR1917" s="114"/>
      <c r="AS1917" s="114"/>
      <c r="AT1917" s="114"/>
      <c r="AU1917" s="114"/>
      <c r="AV1917" s="114"/>
      <c r="AW1917" s="114"/>
      <c r="AX1917" s="114"/>
      <c r="AY1917" s="114"/>
      <c r="AZ1917" s="114"/>
    </row>
    <row r="1918" spans="1:52">
      <c r="A1918" s="111"/>
      <c r="B1918" s="111"/>
      <c r="C1918" s="112"/>
      <c r="D1918" s="101"/>
      <c r="E1918" s="101"/>
      <c r="F1918" s="101"/>
      <c r="G1918" s="111"/>
      <c r="H1918" s="101"/>
      <c r="I1918" s="101"/>
      <c r="J1918" s="101"/>
      <c r="K1918" s="101"/>
      <c r="L1918" s="101"/>
      <c r="M1918" s="101"/>
      <c r="N1918" s="101"/>
      <c r="O1918" s="101"/>
      <c r="P1918" s="101"/>
      <c r="Q1918" s="101"/>
      <c r="R1918" s="101"/>
      <c r="S1918" s="101"/>
      <c r="T1918" s="101"/>
      <c r="U1918" s="101"/>
      <c r="V1918" s="101"/>
      <c r="W1918" s="101"/>
      <c r="X1918" s="101"/>
      <c r="Y1918" s="114"/>
      <c r="Z1918" s="114"/>
      <c r="AA1918" s="114"/>
      <c r="AB1918" s="114"/>
      <c r="AC1918" s="114"/>
      <c r="AD1918" s="114"/>
      <c r="AE1918" s="114"/>
      <c r="AF1918" s="114"/>
      <c r="AG1918" s="114"/>
      <c r="AH1918" s="114"/>
      <c r="AI1918" s="114"/>
      <c r="AJ1918" s="114"/>
      <c r="AK1918" s="114"/>
      <c r="AL1918" s="114"/>
      <c r="AM1918" s="114"/>
      <c r="AN1918" s="114"/>
      <c r="AO1918" s="114"/>
      <c r="AP1918" s="114"/>
      <c r="AQ1918" s="114"/>
      <c r="AR1918" s="114"/>
      <c r="AS1918" s="114"/>
      <c r="AT1918" s="114"/>
      <c r="AU1918" s="114"/>
      <c r="AV1918" s="114"/>
      <c r="AW1918" s="114"/>
      <c r="AX1918" s="114"/>
      <c r="AY1918" s="114"/>
      <c r="AZ1918" s="114"/>
    </row>
    <row r="1919" spans="1:52">
      <c r="A1919" s="111"/>
      <c r="B1919" s="111"/>
      <c r="C1919" s="112"/>
      <c r="D1919" s="101"/>
      <c r="E1919" s="101"/>
      <c r="F1919" s="101"/>
      <c r="G1919" s="111"/>
      <c r="H1919" s="101"/>
      <c r="I1919" s="101"/>
      <c r="J1919" s="101"/>
      <c r="K1919" s="101"/>
      <c r="L1919" s="101"/>
      <c r="M1919" s="101"/>
      <c r="N1919" s="101"/>
      <c r="O1919" s="101"/>
      <c r="P1919" s="101"/>
      <c r="Q1919" s="101"/>
      <c r="R1919" s="101"/>
      <c r="S1919" s="101"/>
      <c r="T1919" s="101"/>
      <c r="U1919" s="101"/>
      <c r="V1919" s="101"/>
      <c r="W1919" s="101"/>
      <c r="X1919" s="101"/>
      <c r="Y1919" s="114"/>
      <c r="Z1919" s="114"/>
      <c r="AA1919" s="114"/>
      <c r="AB1919" s="114"/>
      <c r="AC1919" s="114"/>
      <c r="AD1919" s="114"/>
      <c r="AE1919" s="114"/>
      <c r="AF1919" s="114"/>
      <c r="AG1919" s="114"/>
      <c r="AH1919" s="114"/>
      <c r="AI1919" s="114"/>
      <c r="AJ1919" s="114"/>
      <c r="AK1919" s="114"/>
      <c r="AL1919" s="114"/>
      <c r="AM1919" s="114"/>
      <c r="AN1919" s="114"/>
      <c r="AO1919" s="114"/>
      <c r="AP1919" s="114"/>
      <c r="AQ1919" s="114"/>
      <c r="AR1919" s="114"/>
      <c r="AS1919" s="114"/>
      <c r="AT1919" s="114"/>
      <c r="AU1919" s="114"/>
      <c r="AV1919" s="114"/>
      <c r="AW1919" s="114"/>
      <c r="AX1919" s="114"/>
      <c r="AY1919" s="114"/>
      <c r="AZ1919" s="114"/>
    </row>
    <row r="1920" spans="1:52">
      <c r="A1920" s="111"/>
      <c r="B1920" s="111"/>
      <c r="C1920" s="112"/>
      <c r="D1920" s="101"/>
      <c r="E1920" s="101"/>
      <c r="F1920" s="101"/>
      <c r="G1920" s="111"/>
      <c r="H1920" s="101"/>
      <c r="I1920" s="101"/>
      <c r="J1920" s="101"/>
      <c r="K1920" s="101"/>
      <c r="L1920" s="101"/>
      <c r="M1920" s="101"/>
      <c r="N1920" s="101"/>
      <c r="O1920" s="101"/>
      <c r="P1920" s="101"/>
      <c r="Q1920" s="101"/>
      <c r="R1920" s="101"/>
      <c r="S1920" s="101"/>
      <c r="T1920" s="101"/>
      <c r="U1920" s="101"/>
      <c r="V1920" s="101"/>
      <c r="W1920" s="101"/>
      <c r="X1920" s="101"/>
      <c r="Y1920" s="114"/>
      <c r="Z1920" s="114"/>
      <c r="AA1920" s="114"/>
      <c r="AB1920" s="114"/>
      <c r="AC1920" s="114"/>
      <c r="AD1920" s="114"/>
      <c r="AE1920" s="114"/>
      <c r="AF1920" s="114"/>
      <c r="AG1920" s="114"/>
      <c r="AH1920" s="114"/>
      <c r="AI1920" s="114"/>
      <c r="AJ1920" s="114"/>
      <c r="AK1920" s="114"/>
      <c r="AL1920" s="114"/>
      <c r="AM1920" s="114"/>
      <c r="AN1920" s="114"/>
      <c r="AO1920" s="114"/>
      <c r="AP1920" s="114"/>
      <c r="AQ1920" s="114"/>
      <c r="AR1920" s="114"/>
      <c r="AS1920" s="114"/>
      <c r="AT1920" s="114"/>
      <c r="AU1920" s="114"/>
      <c r="AV1920" s="114"/>
      <c r="AW1920" s="114"/>
      <c r="AX1920" s="114"/>
      <c r="AY1920" s="114"/>
      <c r="AZ1920" s="114"/>
    </row>
    <row r="1921" spans="1:52">
      <c r="A1921" s="111"/>
      <c r="B1921" s="111"/>
      <c r="C1921" s="112"/>
      <c r="D1921" s="101"/>
      <c r="E1921" s="101"/>
      <c r="F1921" s="101"/>
      <c r="G1921" s="111"/>
      <c r="H1921" s="101"/>
      <c r="I1921" s="101"/>
      <c r="J1921" s="101"/>
      <c r="K1921" s="101"/>
      <c r="L1921" s="101"/>
      <c r="M1921" s="101"/>
      <c r="N1921" s="101"/>
      <c r="O1921" s="101"/>
      <c r="P1921" s="101"/>
      <c r="Q1921" s="101"/>
      <c r="R1921" s="101"/>
      <c r="S1921" s="101"/>
      <c r="T1921" s="101"/>
      <c r="U1921" s="101"/>
      <c r="V1921" s="101"/>
      <c r="W1921" s="101"/>
      <c r="X1921" s="101"/>
      <c r="Y1921" s="114"/>
      <c r="Z1921" s="114"/>
      <c r="AA1921" s="114"/>
      <c r="AB1921" s="114"/>
      <c r="AC1921" s="114"/>
      <c r="AD1921" s="114"/>
      <c r="AE1921" s="114"/>
      <c r="AF1921" s="114"/>
      <c r="AG1921" s="114"/>
      <c r="AH1921" s="114"/>
      <c r="AI1921" s="114"/>
      <c r="AJ1921" s="114"/>
      <c r="AK1921" s="114"/>
      <c r="AL1921" s="114"/>
      <c r="AM1921" s="114"/>
      <c r="AN1921" s="114"/>
      <c r="AO1921" s="114"/>
      <c r="AP1921" s="114"/>
      <c r="AQ1921" s="114"/>
      <c r="AR1921" s="114"/>
      <c r="AS1921" s="114"/>
      <c r="AT1921" s="114"/>
      <c r="AU1921" s="114"/>
      <c r="AV1921" s="114"/>
      <c r="AW1921" s="114"/>
      <c r="AX1921" s="114"/>
      <c r="AY1921" s="114"/>
      <c r="AZ1921" s="114"/>
    </row>
    <row r="1922" spans="1:52">
      <c r="A1922" s="111"/>
      <c r="B1922" s="111"/>
      <c r="C1922" s="112"/>
      <c r="D1922" s="101"/>
      <c r="E1922" s="101"/>
      <c r="F1922" s="101"/>
      <c r="G1922" s="111"/>
      <c r="H1922" s="101"/>
      <c r="I1922" s="101"/>
      <c r="J1922" s="101"/>
      <c r="K1922" s="101"/>
      <c r="L1922" s="101"/>
      <c r="M1922" s="101"/>
      <c r="N1922" s="101"/>
      <c r="O1922" s="101"/>
      <c r="P1922" s="101"/>
      <c r="Q1922" s="101"/>
      <c r="R1922" s="101"/>
      <c r="S1922" s="101"/>
      <c r="T1922" s="101"/>
      <c r="U1922" s="101"/>
      <c r="V1922" s="101"/>
      <c r="W1922" s="101"/>
      <c r="X1922" s="101"/>
      <c r="Y1922" s="114"/>
      <c r="Z1922" s="114"/>
      <c r="AA1922" s="114"/>
      <c r="AB1922" s="114"/>
      <c r="AC1922" s="114"/>
      <c r="AD1922" s="114"/>
      <c r="AE1922" s="114"/>
      <c r="AF1922" s="114"/>
      <c r="AG1922" s="114"/>
      <c r="AH1922" s="114"/>
      <c r="AI1922" s="114"/>
      <c r="AJ1922" s="114"/>
      <c r="AK1922" s="114"/>
      <c r="AL1922" s="114"/>
      <c r="AM1922" s="114"/>
      <c r="AN1922" s="114"/>
      <c r="AO1922" s="114"/>
      <c r="AP1922" s="114"/>
      <c r="AQ1922" s="114"/>
      <c r="AR1922" s="114"/>
      <c r="AS1922" s="114"/>
      <c r="AT1922" s="114"/>
      <c r="AU1922" s="114"/>
      <c r="AV1922" s="114"/>
      <c r="AW1922" s="114"/>
      <c r="AX1922" s="114"/>
      <c r="AY1922" s="114"/>
      <c r="AZ1922" s="114"/>
    </row>
    <row r="1923" spans="1:52">
      <c r="A1923" s="111"/>
      <c r="B1923" s="111"/>
      <c r="C1923" s="112"/>
      <c r="D1923" s="101"/>
      <c r="E1923" s="101"/>
      <c r="F1923" s="101"/>
      <c r="G1923" s="111"/>
      <c r="H1923" s="101"/>
      <c r="I1923" s="101"/>
      <c r="J1923" s="101"/>
      <c r="K1923" s="101"/>
      <c r="L1923" s="101"/>
      <c r="M1923" s="101"/>
      <c r="N1923" s="101"/>
      <c r="O1923" s="101"/>
      <c r="P1923" s="101"/>
      <c r="Q1923" s="101"/>
      <c r="R1923" s="101"/>
      <c r="S1923" s="101"/>
      <c r="T1923" s="101"/>
      <c r="U1923" s="101"/>
      <c r="V1923" s="101"/>
      <c r="W1923" s="101"/>
      <c r="X1923" s="101"/>
      <c r="Y1923" s="114"/>
      <c r="Z1923" s="114"/>
      <c r="AA1923" s="114"/>
      <c r="AB1923" s="114"/>
      <c r="AC1923" s="114"/>
      <c r="AD1923" s="114"/>
      <c r="AE1923" s="114"/>
      <c r="AF1923" s="114"/>
      <c r="AG1923" s="114"/>
      <c r="AH1923" s="114"/>
      <c r="AI1923" s="114"/>
      <c r="AJ1923" s="114"/>
      <c r="AK1923" s="114"/>
      <c r="AL1923" s="114"/>
      <c r="AM1923" s="114"/>
      <c r="AN1923" s="114"/>
      <c r="AO1923" s="114"/>
      <c r="AP1923" s="114"/>
      <c r="AQ1923" s="114"/>
      <c r="AR1923" s="114"/>
      <c r="AS1923" s="114"/>
      <c r="AT1923" s="114"/>
      <c r="AU1923" s="114"/>
      <c r="AV1923" s="114"/>
      <c r="AW1923" s="114"/>
      <c r="AX1923" s="114"/>
      <c r="AY1923" s="114"/>
      <c r="AZ1923" s="114"/>
    </row>
    <row r="1924" spans="1:52">
      <c r="A1924" s="111"/>
      <c r="B1924" s="111"/>
      <c r="C1924" s="112"/>
      <c r="D1924" s="101"/>
      <c r="E1924" s="101"/>
      <c r="F1924" s="101"/>
      <c r="G1924" s="111"/>
      <c r="H1924" s="101"/>
      <c r="I1924" s="101"/>
      <c r="J1924" s="101"/>
      <c r="K1924" s="101"/>
      <c r="L1924" s="101"/>
      <c r="M1924" s="101"/>
      <c r="N1924" s="101"/>
      <c r="O1924" s="101"/>
      <c r="P1924" s="101"/>
      <c r="Q1924" s="101"/>
      <c r="R1924" s="101"/>
      <c r="S1924" s="101"/>
      <c r="T1924" s="101"/>
      <c r="U1924" s="101"/>
      <c r="V1924" s="101"/>
      <c r="W1924" s="101"/>
      <c r="X1924" s="101"/>
      <c r="Y1924" s="114"/>
      <c r="Z1924" s="114"/>
      <c r="AA1924" s="114"/>
      <c r="AB1924" s="114"/>
      <c r="AC1924" s="114"/>
      <c r="AD1924" s="114"/>
      <c r="AE1924" s="114"/>
      <c r="AF1924" s="114"/>
      <c r="AG1924" s="114"/>
      <c r="AH1924" s="114"/>
      <c r="AI1924" s="114"/>
      <c r="AJ1924" s="114"/>
      <c r="AK1924" s="114"/>
      <c r="AL1924" s="114"/>
      <c r="AM1924" s="114"/>
      <c r="AN1924" s="114"/>
      <c r="AO1924" s="114"/>
      <c r="AP1924" s="114"/>
      <c r="AQ1924" s="114"/>
      <c r="AR1924" s="114"/>
      <c r="AS1924" s="114"/>
      <c r="AT1924" s="114"/>
      <c r="AU1924" s="114"/>
      <c r="AV1924" s="114"/>
      <c r="AW1924" s="114"/>
      <c r="AX1924" s="114"/>
      <c r="AY1924" s="114"/>
      <c r="AZ1924" s="114"/>
    </row>
    <row r="1925" spans="1:52">
      <c r="A1925" s="111"/>
      <c r="B1925" s="111"/>
      <c r="C1925" s="112"/>
      <c r="D1925" s="101"/>
      <c r="E1925" s="101"/>
      <c r="F1925" s="101"/>
      <c r="G1925" s="111"/>
      <c r="H1925" s="101"/>
      <c r="I1925" s="101"/>
      <c r="J1925" s="101"/>
      <c r="K1925" s="101"/>
      <c r="L1925" s="101"/>
      <c r="M1925" s="101"/>
      <c r="N1925" s="101"/>
      <c r="O1925" s="101"/>
      <c r="P1925" s="101"/>
      <c r="Q1925" s="101"/>
      <c r="R1925" s="101"/>
      <c r="S1925" s="101"/>
      <c r="T1925" s="101"/>
      <c r="U1925" s="101"/>
      <c r="V1925" s="101"/>
      <c r="W1925" s="101"/>
      <c r="X1925" s="101"/>
      <c r="Y1925" s="114"/>
      <c r="Z1925" s="114"/>
      <c r="AA1925" s="114"/>
      <c r="AB1925" s="114"/>
      <c r="AC1925" s="114"/>
      <c r="AD1925" s="114"/>
      <c r="AE1925" s="114"/>
      <c r="AF1925" s="114"/>
      <c r="AG1925" s="114"/>
      <c r="AH1925" s="114"/>
      <c r="AI1925" s="114"/>
      <c r="AJ1925" s="114"/>
      <c r="AK1925" s="114"/>
      <c r="AL1925" s="114"/>
      <c r="AM1925" s="114"/>
      <c r="AN1925" s="114"/>
      <c r="AO1925" s="114"/>
      <c r="AP1925" s="114"/>
      <c r="AQ1925" s="114"/>
      <c r="AR1925" s="114"/>
      <c r="AS1925" s="114"/>
      <c r="AT1925" s="114"/>
      <c r="AU1925" s="114"/>
      <c r="AV1925" s="114"/>
      <c r="AW1925" s="114"/>
      <c r="AX1925" s="114"/>
      <c r="AY1925" s="114"/>
      <c r="AZ1925" s="114"/>
    </row>
    <row r="1926" spans="1:52">
      <c r="A1926" s="111"/>
      <c r="B1926" s="111"/>
      <c r="C1926" s="112"/>
      <c r="D1926" s="101"/>
      <c r="E1926" s="101"/>
      <c r="F1926" s="101"/>
      <c r="G1926" s="111"/>
      <c r="H1926" s="101"/>
      <c r="I1926" s="101"/>
      <c r="J1926" s="101"/>
      <c r="K1926" s="101"/>
      <c r="L1926" s="101"/>
      <c r="M1926" s="101"/>
      <c r="N1926" s="101"/>
      <c r="O1926" s="101"/>
      <c r="P1926" s="101"/>
      <c r="Q1926" s="101"/>
      <c r="R1926" s="101"/>
      <c r="S1926" s="101"/>
      <c r="T1926" s="101"/>
      <c r="U1926" s="101"/>
      <c r="V1926" s="101"/>
      <c r="W1926" s="101"/>
      <c r="X1926" s="101"/>
      <c r="Y1926" s="114"/>
      <c r="Z1926" s="114"/>
      <c r="AA1926" s="114"/>
      <c r="AB1926" s="114"/>
      <c r="AC1926" s="114"/>
      <c r="AD1926" s="114"/>
      <c r="AE1926" s="114"/>
      <c r="AF1926" s="114"/>
      <c r="AG1926" s="114"/>
      <c r="AH1926" s="114"/>
      <c r="AI1926" s="114"/>
      <c r="AJ1926" s="114"/>
      <c r="AK1926" s="114"/>
      <c r="AL1926" s="114"/>
      <c r="AM1926" s="114"/>
      <c r="AN1926" s="114"/>
      <c r="AO1926" s="114"/>
      <c r="AP1926" s="114"/>
      <c r="AQ1926" s="114"/>
      <c r="AR1926" s="114"/>
      <c r="AS1926" s="114"/>
      <c r="AT1926" s="114"/>
      <c r="AU1926" s="114"/>
      <c r="AV1926" s="114"/>
      <c r="AW1926" s="114"/>
      <c r="AX1926" s="114"/>
      <c r="AY1926" s="114"/>
      <c r="AZ1926" s="114"/>
    </row>
    <row r="1927" spans="1:52">
      <c r="A1927" s="111"/>
      <c r="B1927" s="111"/>
      <c r="C1927" s="112"/>
      <c r="D1927" s="101"/>
      <c r="E1927" s="101"/>
      <c r="F1927" s="101"/>
      <c r="G1927" s="111"/>
      <c r="H1927" s="101"/>
      <c r="I1927" s="101"/>
      <c r="J1927" s="101"/>
      <c r="K1927" s="101"/>
      <c r="L1927" s="101"/>
      <c r="M1927" s="101"/>
      <c r="N1927" s="101"/>
      <c r="O1927" s="101"/>
      <c r="P1927" s="101"/>
      <c r="Q1927" s="101"/>
      <c r="R1927" s="101"/>
      <c r="S1927" s="101"/>
      <c r="T1927" s="101"/>
      <c r="U1927" s="101"/>
      <c r="V1927" s="101"/>
      <c r="W1927" s="101"/>
      <c r="X1927" s="101"/>
      <c r="Y1927" s="114"/>
      <c r="Z1927" s="114"/>
      <c r="AA1927" s="114"/>
      <c r="AB1927" s="114"/>
      <c r="AC1927" s="114"/>
      <c r="AD1927" s="114"/>
      <c r="AE1927" s="114"/>
      <c r="AF1927" s="114"/>
      <c r="AG1927" s="114"/>
      <c r="AH1927" s="114"/>
      <c r="AI1927" s="114"/>
      <c r="AJ1927" s="114"/>
      <c r="AK1927" s="114"/>
      <c r="AL1927" s="114"/>
      <c r="AM1927" s="114"/>
      <c r="AN1927" s="114"/>
      <c r="AO1927" s="114"/>
      <c r="AP1927" s="114"/>
      <c r="AQ1927" s="114"/>
      <c r="AR1927" s="114"/>
      <c r="AS1927" s="114"/>
      <c r="AT1927" s="114"/>
      <c r="AU1927" s="114"/>
      <c r="AV1927" s="114"/>
      <c r="AW1927" s="114"/>
      <c r="AX1927" s="114"/>
      <c r="AY1927" s="114"/>
      <c r="AZ1927" s="114"/>
    </row>
    <row r="1928" spans="1:52">
      <c r="A1928" s="111"/>
      <c r="B1928" s="111"/>
      <c r="C1928" s="112"/>
      <c r="D1928" s="101"/>
      <c r="E1928" s="101"/>
      <c r="F1928" s="101"/>
      <c r="G1928" s="111"/>
      <c r="H1928" s="101"/>
      <c r="I1928" s="101"/>
      <c r="J1928" s="101"/>
      <c r="K1928" s="101"/>
      <c r="L1928" s="101"/>
      <c r="M1928" s="101"/>
      <c r="N1928" s="101"/>
      <c r="O1928" s="101"/>
      <c r="P1928" s="101"/>
      <c r="Q1928" s="101"/>
      <c r="R1928" s="101"/>
      <c r="S1928" s="101"/>
      <c r="T1928" s="101"/>
      <c r="U1928" s="101"/>
      <c r="V1928" s="101"/>
      <c r="W1928" s="101"/>
      <c r="X1928" s="101"/>
      <c r="Y1928" s="114"/>
      <c r="Z1928" s="114"/>
      <c r="AA1928" s="114"/>
      <c r="AB1928" s="114"/>
      <c r="AC1928" s="114"/>
      <c r="AD1928" s="114"/>
      <c r="AE1928" s="114"/>
      <c r="AF1928" s="114"/>
      <c r="AG1928" s="114"/>
      <c r="AH1928" s="114"/>
      <c r="AI1928" s="114"/>
      <c r="AJ1928" s="114"/>
      <c r="AK1928" s="114"/>
      <c r="AL1928" s="114"/>
      <c r="AM1928" s="114"/>
      <c r="AN1928" s="114"/>
      <c r="AO1928" s="114"/>
      <c r="AP1928" s="114"/>
      <c r="AQ1928" s="114"/>
      <c r="AR1928" s="114"/>
      <c r="AS1928" s="114"/>
      <c r="AT1928" s="114"/>
      <c r="AU1928" s="114"/>
      <c r="AV1928" s="114"/>
      <c r="AW1928" s="114"/>
      <c r="AX1928" s="114"/>
      <c r="AY1928" s="114"/>
      <c r="AZ1928" s="114"/>
    </row>
    <row r="1929" spans="1:52">
      <c r="A1929" s="111"/>
      <c r="B1929" s="111"/>
      <c r="C1929" s="112"/>
      <c r="D1929" s="101"/>
      <c r="E1929" s="101"/>
      <c r="F1929" s="101"/>
      <c r="G1929" s="111"/>
      <c r="H1929" s="101"/>
      <c r="I1929" s="101"/>
      <c r="J1929" s="101"/>
      <c r="K1929" s="101"/>
      <c r="L1929" s="101"/>
      <c r="M1929" s="101"/>
      <c r="N1929" s="101"/>
      <c r="O1929" s="101"/>
      <c r="P1929" s="101"/>
      <c r="Q1929" s="101"/>
      <c r="R1929" s="101"/>
      <c r="S1929" s="101"/>
      <c r="T1929" s="101"/>
      <c r="U1929" s="101"/>
      <c r="V1929" s="101"/>
      <c r="W1929" s="101"/>
      <c r="X1929" s="101"/>
      <c r="Y1929" s="114"/>
      <c r="Z1929" s="114"/>
      <c r="AA1929" s="114"/>
      <c r="AB1929" s="114"/>
      <c r="AC1929" s="114"/>
      <c r="AD1929" s="114"/>
      <c r="AE1929" s="114"/>
      <c r="AF1929" s="114"/>
      <c r="AG1929" s="114"/>
      <c r="AH1929" s="114"/>
      <c r="AI1929" s="114"/>
      <c r="AJ1929" s="114"/>
      <c r="AK1929" s="114"/>
      <c r="AL1929" s="114"/>
      <c r="AM1929" s="114"/>
      <c r="AN1929" s="114"/>
      <c r="AO1929" s="114"/>
      <c r="AP1929" s="114"/>
      <c r="AQ1929" s="114"/>
      <c r="AR1929" s="114"/>
      <c r="AS1929" s="114"/>
      <c r="AT1929" s="114"/>
      <c r="AU1929" s="114"/>
      <c r="AV1929" s="114"/>
      <c r="AW1929" s="114"/>
      <c r="AX1929" s="114"/>
      <c r="AY1929" s="114"/>
      <c r="AZ1929" s="114"/>
    </row>
    <row r="1930" spans="1:52">
      <c r="A1930" s="111"/>
      <c r="B1930" s="111"/>
      <c r="C1930" s="112"/>
      <c r="D1930" s="101"/>
      <c r="E1930" s="101"/>
      <c r="F1930" s="101"/>
      <c r="G1930" s="111"/>
      <c r="H1930" s="101"/>
      <c r="I1930" s="101"/>
      <c r="J1930" s="101"/>
      <c r="K1930" s="101"/>
      <c r="L1930" s="101"/>
      <c r="M1930" s="101"/>
      <c r="N1930" s="101"/>
      <c r="O1930" s="101"/>
      <c r="P1930" s="101"/>
      <c r="Q1930" s="101"/>
      <c r="R1930" s="101"/>
      <c r="S1930" s="101"/>
      <c r="T1930" s="101"/>
      <c r="U1930" s="101"/>
      <c r="V1930" s="101"/>
      <c r="W1930" s="101"/>
      <c r="X1930" s="101"/>
      <c r="Y1930" s="114"/>
      <c r="Z1930" s="114"/>
      <c r="AA1930" s="114"/>
      <c r="AB1930" s="114"/>
      <c r="AC1930" s="114"/>
      <c r="AD1930" s="114"/>
      <c r="AE1930" s="114"/>
      <c r="AF1930" s="114"/>
      <c r="AG1930" s="114"/>
      <c r="AH1930" s="114"/>
      <c r="AI1930" s="114"/>
      <c r="AJ1930" s="114"/>
      <c r="AK1930" s="114"/>
      <c r="AL1930" s="114"/>
      <c r="AM1930" s="114"/>
      <c r="AN1930" s="114"/>
      <c r="AO1930" s="114"/>
      <c r="AP1930" s="114"/>
      <c r="AQ1930" s="114"/>
      <c r="AR1930" s="114"/>
      <c r="AS1930" s="114"/>
      <c r="AT1930" s="114"/>
      <c r="AU1930" s="114"/>
      <c r="AV1930" s="114"/>
      <c r="AW1930" s="114"/>
      <c r="AX1930" s="114"/>
      <c r="AY1930" s="114"/>
      <c r="AZ1930" s="114"/>
    </row>
    <row r="1931" spans="1:52">
      <c r="A1931" s="111"/>
      <c r="B1931" s="111"/>
      <c r="C1931" s="112"/>
      <c r="D1931" s="101"/>
      <c r="E1931" s="101"/>
      <c r="F1931" s="101"/>
      <c r="G1931" s="111"/>
      <c r="H1931" s="101"/>
      <c r="I1931" s="101"/>
      <c r="J1931" s="101"/>
      <c r="K1931" s="101"/>
      <c r="L1931" s="101"/>
      <c r="M1931" s="101"/>
      <c r="N1931" s="101"/>
      <c r="O1931" s="101"/>
      <c r="P1931" s="101"/>
      <c r="Q1931" s="101"/>
      <c r="R1931" s="101"/>
      <c r="S1931" s="101"/>
      <c r="T1931" s="101"/>
      <c r="U1931" s="101"/>
      <c r="V1931" s="101"/>
      <c r="W1931" s="101"/>
      <c r="X1931" s="101"/>
      <c r="Y1931" s="114"/>
      <c r="Z1931" s="114"/>
      <c r="AA1931" s="114"/>
      <c r="AB1931" s="114"/>
      <c r="AC1931" s="114"/>
      <c r="AD1931" s="114"/>
      <c r="AE1931" s="114"/>
      <c r="AF1931" s="114"/>
      <c r="AG1931" s="114"/>
      <c r="AH1931" s="114"/>
      <c r="AI1931" s="114"/>
      <c r="AJ1931" s="114"/>
      <c r="AK1931" s="114"/>
      <c r="AL1931" s="114"/>
      <c r="AM1931" s="114"/>
      <c r="AN1931" s="114"/>
      <c r="AO1931" s="114"/>
      <c r="AP1931" s="114"/>
      <c r="AQ1931" s="114"/>
      <c r="AR1931" s="114"/>
      <c r="AS1931" s="114"/>
      <c r="AT1931" s="114"/>
      <c r="AU1931" s="114"/>
      <c r="AV1931" s="114"/>
      <c r="AW1931" s="114"/>
      <c r="AX1931" s="114"/>
      <c r="AY1931" s="114"/>
      <c r="AZ1931" s="114"/>
    </row>
    <row r="1932" spans="1:52">
      <c r="A1932" s="111"/>
      <c r="B1932" s="111"/>
      <c r="C1932" s="112"/>
      <c r="D1932" s="101"/>
      <c r="E1932" s="101"/>
      <c r="F1932" s="101"/>
      <c r="G1932" s="111"/>
      <c r="H1932" s="101"/>
      <c r="I1932" s="101"/>
      <c r="J1932" s="101"/>
      <c r="K1932" s="101"/>
      <c r="L1932" s="101"/>
      <c r="M1932" s="101"/>
      <c r="N1932" s="101"/>
      <c r="O1932" s="101"/>
      <c r="P1932" s="101"/>
      <c r="Q1932" s="101"/>
      <c r="R1932" s="101"/>
      <c r="S1932" s="101"/>
      <c r="T1932" s="101"/>
      <c r="U1932" s="101"/>
      <c r="V1932" s="101"/>
      <c r="W1932" s="101"/>
      <c r="X1932" s="101"/>
      <c r="Y1932" s="114"/>
      <c r="Z1932" s="114"/>
      <c r="AA1932" s="114"/>
      <c r="AB1932" s="114"/>
      <c r="AC1932" s="114"/>
      <c r="AD1932" s="114"/>
      <c r="AE1932" s="114"/>
      <c r="AF1932" s="114"/>
      <c r="AG1932" s="114"/>
      <c r="AH1932" s="114"/>
      <c r="AI1932" s="114"/>
      <c r="AJ1932" s="114"/>
      <c r="AK1932" s="114"/>
      <c r="AL1932" s="114"/>
      <c r="AM1932" s="114"/>
      <c r="AN1932" s="114"/>
      <c r="AO1932" s="114"/>
      <c r="AP1932" s="114"/>
      <c r="AQ1932" s="114"/>
      <c r="AR1932" s="114"/>
      <c r="AS1932" s="114"/>
      <c r="AT1932" s="114"/>
      <c r="AU1932" s="114"/>
      <c r="AV1932" s="114"/>
      <c r="AW1932" s="114"/>
      <c r="AX1932" s="114"/>
      <c r="AY1932" s="114"/>
      <c r="AZ1932" s="114"/>
    </row>
    <row r="1933" spans="1:52">
      <c r="A1933" s="111"/>
      <c r="B1933" s="111"/>
      <c r="C1933" s="112"/>
      <c r="D1933" s="101"/>
      <c r="E1933" s="101"/>
      <c r="F1933" s="101"/>
      <c r="G1933" s="111"/>
      <c r="H1933" s="101"/>
      <c r="I1933" s="101"/>
      <c r="J1933" s="101"/>
      <c r="K1933" s="101"/>
      <c r="L1933" s="101"/>
      <c r="M1933" s="101"/>
      <c r="N1933" s="101"/>
      <c r="O1933" s="101"/>
      <c r="P1933" s="101"/>
      <c r="Q1933" s="101"/>
      <c r="R1933" s="101"/>
      <c r="S1933" s="101"/>
      <c r="T1933" s="101"/>
      <c r="U1933" s="101"/>
      <c r="V1933" s="101"/>
      <c r="W1933" s="101"/>
      <c r="X1933" s="101"/>
      <c r="Y1933" s="114"/>
      <c r="Z1933" s="114"/>
      <c r="AA1933" s="114"/>
      <c r="AB1933" s="114"/>
      <c r="AC1933" s="114"/>
      <c r="AD1933" s="114"/>
      <c r="AE1933" s="114"/>
      <c r="AF1933" s="114"/>
      <c r="AG1933" s="114"/>
      <c r="AH1933" s="114"/>
      <c r="AI1933" s="114"/>
      <c r="AJ1933" s="114"/>
      <c r="AK1933" s="114"/>
      <c r="AL1933" s="114"/>
      <c r="AM1933" s="114"/>
      <c r="AN1933" s="114"/>
      <c r="AO1933" s="114"/>
      <c r="AP1933" s="114"/>
      <c r="AQ1933" s="114"/>
      <c r="AR1933" s="114"/>
      <c r="AS1933" s="114"/>
      <c r="AT1933" s="114"/>
      <c r="AU1933" s="114"/>
      <c r="AV1933" s="114"/>
      <c r="AW1933" s="114"/>
      <c r="AX1933" s="114"/>
      <c r="AY1933" s="114"/>
      <c r="AZ1933" s="114"/>
    </row>
    <row r="1934" spans="1:52">
      <c r="A1934" s="111"/>
      <c r="B1934" s="111"/>
      <c r="C1934" s="112"/>
      <c r="D1934" s="101"/>
      <c r="E1934" s="101"/>
      <c r="F1934" s="101"/>
      <c r="G1934" s="111"/>
      <c r="H1934" s="101"/>
      <c r="I1934" s="101"/>
      <c r="J1934" s="101"/>
      <c r="K1934" s="101"/>
      <c r="L1934" s="101"/>
      <c r="M1934" s="101"/>
      <c r="N1934" s="101"/>
      <c r="O1934" s="101"/>
      <c r="P1934" s="101"/>
      <c r="Q1934" s="101"/>
      <c r="R1934" s="101"/>
      <c r="S1934" s="101"/>
      <c r="T1934" s="101"/>
      <c r="U1934" s="101"/>
      <c r="V1934" s="101"/>
      <c r="W1934" s="101"/>
      <c r="X1934" s="101"/>
      <c r="Y1934" s="114"/>
      <c r="Z1934" s="114"/>
      <c r="AA1934" s="114"/>
      <c r="AB1934" s="114"/>
      <c r="AC1934" s="114"/>
      <c r="AD1934" s="114"/>
      <c r="AE1934" s="114"/>
      <c r="AF1934" s="114"/>
      <c r="AG1934" s="114"/>
      <c r="AH1934" s="114"/>
      <c r="AI1934" s="114"/>
      <c r="AJ1934" s="114"/>
      <c r="AK1934" s="114"/>
      <c r="AL1934" s="114"/>
      <c r="AM1934" s="114"/>
      <c r="AN1934" s="114"/>
      <c r="AO1934" s="114"/>
      <c r="AP1934" s="114"/>
      <c r="AQ1934" s="114"/>
      <c r="AR1934" s="114"/>
      <c r="AS1934" s="114"/>
      <c r="AT1934" s="114"/>
      <c r="AU1934" s="114"/>
      <c r="AV1934" s="114"/>
      <c r="AW1934" s="114"/>
      <c r="AX1934" s="114"/>
      <c r="AY1934" s="114"/>
      <c r="AZ1934" s="114"/>
    </row>
    <row r="1935" spans="1:52">
      <c r="A1935" s="111"/>
      <c r="B1935" s="111"/>
      <c r="C1935" s="112"/>
      <c r="D1935" s="101"/>
      <c r="E1935" s="101"/>
      <c r="F1935" s="101"/>
      <c r="G1935" s="111"/>
      <c r="H1935" s="101"/>
      <c r="I1935" s="101"/>
      <c r="J1935" s="101"/>
      <c r="K1935" s="101"/>
      <c r="L1935" s="101"/>
      <c r="M1935" s="101"/>
      <c r="N1935" s="101"/>
      <c r="O1935" s="101"/>
      <c r="P1935" s="101"/>
      <c r="Q1935" s="101"/>
      <c r="R1935" s="101"/>
      <c r="S1935" s="101"/>
      <c r="T1935" s="101"/>
      <c r="U1935" s="101"/>
      <c r="V1935" s="101"/>
      <c r="W1935" s="101"/>
      <c r="X1935" s="101"/>
      <c r="Y1935" s="114"/>
      <c r="Z1935" s="114"/>
      <c r="AA1935" s="114"/>
      <c r="AB1935" s="114"/>
      <c r="AC1935" s="114"/>
      <c r="AD1935" s="114"/>
      <c r="AE1935" s="114"/>
      <c r="AF1935" s="114"/>
      <c r="AG1935" s="114"/>
      <c r="AH1935" s="114"/>
      <c r="AI1935" s="114"/>
      <c r="AJ1935" s="114"/>
      <c r="AK1935" s="114"/>
      <c r="AL1935" s="114"/>
      <c r="AM1935" s="114"/>
      <c r="AN1935" s="114"/>
      <c r="AO1935" s="114"/>
      <c r="AP1935" s="114"/>
      <c r="AQ1935" s="114"/>
      <c r="AR1935" s="114"/>
      <c r="AS1935" s="114"/>
      <c r="AT1935" s="114"/>
      <c r="AU1935" s="114"/>
      <c r="AV1935" s="114"/>
      <c r="AW1935" s="114"/>
      <c r="AX1935" s="114"/>
      <c r="AY1935" s="114"/>
      <c r="AZ1935" s="114"/>
    </row>
    <row r="1936" spans="1:52">
      <c r="A1936" s="111"/>
      <c r="B1936" s="111"/>
      <c r="C1936" s="112"/>
      <c r="D1936" s="101"/>
      <c r="E1936" s="101"/>
      <c r="F1936" s="101"/>
      <c r="G1936" s="111"/>
      <c r="H1936" s="101"/>
      <c r="I1936" s="101"/>
      <c r="J1936" s="101"/>
      <c r="K1936" s="101"/>
      <c r="L1936" s="101"/>
      <c r="M1936" s="101"/>
      <c r="N1936" s="101"/>
      <c r="O1936" s="101"/>
      <c r="P1936" s="101"/>
      <c r="Q1936" s="101"/>
      <c r="R1936" s="101"/>
      <c r="S1936" s="101"/>
      <c r="T1936" s="101"/>
      <c r="U1936" s="101"/>
      <c r="V1936" s="101"/>
      <c r="W1936" s="101"/>
      <c r="X1936" s="101"/>
      <c r="Y1936" s="114"/>
      <c r="Z1936" s="114"/>
      <c r="AA1936" s="114"/>
      <c r="AB1936" s="114"/>
      <c r="AC1936" s="114"/>
      <c r="AD1936" s="114"/>
      <c r="AE1936" s="114"/>
      <c r="AF1936" s="114"/>
      <c r="AG1936" s="114"/>
      <c r="AH1936" s="114"/>
      <c r="AI1936" s="114"/>
      <c r="AJ1936" s="114"/>
      <c r="AK1936" s="114"/>
      <c r="AL1936" s="114"/>
      <c r="AM1936" s="114"/>
      <c r="AN1936" s="114"/>
      <c r="AO1936" s="114"/>
      <c r="AP1936" s="114"/>
      <c r="AQ1936" s="114"/>
      <c r="AR1936" s="114"/>
      <c r="AS1936" s="114"/>
      <c r="AT1936" s="114"/>
      <c r="AU1936" s="114"/>
      <c r="AV1936" s="114"/>
      <c r="AW1936" s="114"/>
      <c r="AX1936" s="114"/>
      <c r="AY1936" s="114"/>
      <c r="AZ1936" s="114"/>
    </row>
    <row r="1937" spans="1:52">
      <c r="A1937" s="111"/>
      <c r="B1937" s="111"/>
      <c r="C1937" s="112"/>
      <c r="D1937" s="101"/>
      <c r="E1937" s="101"/>
      <c r="F1937" s="101"/>
      <c r="G1937" s="111"/>
      <c r="H1937" s="101"/>
      <c r="I1937" s="101"/>
      <c r="J1937" s="101"/>
      <c r="K1937" s="101"/>
      <c r="L1937" s="101"/>
      <c r="M1937" s="101"/>
      <c r="N1937" s="101"/>
      <c r="O1937" s="101"/>
      <c r="P1937" s="101"/>
      <c r="Q1937" s="101"/>
      <c r="R1937" s="101"/>
      <c r="S1937" s="101"/>
      <c r="T1937" s="101"/>
      <c r="U1937" s="101"/>
      <c r="V1937" s="101"/>
      <c r="W1937" s="101"/>
      <c r="X1937" s="101"/>
      <c r="Y1937" s="114"/>
      <c r="Z1937" s="114"/>
      <c r="AA1937" s="114"/>
      <c r="AB1937" s="114"/>
      <c r="AC1937" s="114"/>
      <c r="AD1937" s="114"/>
      <c r="AE1937" s="114"/>
      <c r="AF1937" s="114"/>
      <c r="AG1937" s="114"/>
      <c r="AH1937" s="114"/>
      <c r="AI1937" s="114"/>
      <c r="AJ1937" s="114"/>
      <c r="AK1937" s="114"/>
      <c r="AL1937" s="114"/>
      <c r="AM1937" s="114"/>
      <c r="AN1937" s="114"/>
      <c r="AO1937" s="114"/>
      <c r="AP1937" s="114"/>
      <c r="AQ1937" s="114"/>
      <c r="AR1937" s="114"/>
      <c r="AS1937" s="114"/>
      <c r="AT1937" s="114"/>
      <c r="AU1937" s="114"/>
      <c r="AV1937" s="114"/>
      <c r="AW1937" s="114"/>
      <c r="AX1937" s="114"/>
      <c r="AY1937" s="114"/>
      <c r="AZ1937" s="114"/>
    </row>
    <row r="1938" spans="1:52">
      <c r="A1938" s="111"/>
      <c r="B1938" s="111"/>
      <c r="C1938" s="112"/>
      <c r="D1938" s="101"/>
      <c r="E1938" s="101"/>
      <c r="F1938" s="101"/>
      <c r="G1938" s="111"/>
      <c r="H1938" s="101"/>
      <c r="I1938" s="101"/>
      <c r="J1938" s="101"/>
      <c r="K1938" s="101"/>
      <c r="L1938" s="101"/>
      <c r="M1938" s="101"/>
      <c r="N1938" s="101"/>
      <c r="O1938" s="101"/>
      <c r="P1938" s="101"/>
      <c r="Q1938" s="101"/>
      <c r="R1938" s="101"/>
      <c r="S1938" s="101"/>
      <c r="T1938" s="101"/>
      <c r="U1938" s="101"/>
      <c r="V1938" s="101"/>
      <c r="W1938" s="101"/>
      <c r="X1938" s="101"/>
      <c r="Y1938" s="114"/>
      <c r="Z1938" s="114"/>
      <c r="AA1938" s="114"/>
      <c r="AB1938" s="114"/>
      <c r="AC1938" s="114"/>
      <c r="AD1938" s="114"/>
      <c r="AE1938" s="114"/>
      <c r="AF1938" s="114"/>
      <c r="AG1938" s="114"/>
      <c r="AH1938" s="114"/>
      <c r="AI1938" s="114"/>
      <c r="AJ1938" s="114"/>
      <c r="AK1938" s="114"/>
      <c r="AL1938" s="114"/>
      <c r="AM1938" s="114"/>
      <c r="AN1938" s="114"/>
      <c r="AO1938" s="114"/>
      <c r="AP1938" s="114"/>
      <c r="AQ1938" s="114"/>
      <c r="AR1938" s="114"/>
      <c r="AS1938" s="114"/>
      <c r="AT1938" s="114"/>
      <c r="AU1938" s="114"/>
      <c r="AV1938" s="114"/>
      <c r="AW1938" s="114"/>
      <c r="AX1938" s="114"/>
      <c r="AY1938" s="114"/>
      <c r="AZ1938" s="114"/>
    </row>
    <row r="1939" spans="1:52">
      <c r="A1939" s="111"/>
      <c r="B1939" s="111"/>
      <c r="C1939" s="112"/>
      <c r="D1939" s="101"/>
      <c r="E1939" s="101"/>
      <c r="F1939" s="101"/>
      <c r="G1939" s="111"/>
      <c r="H1939" s="101"/>
      <c r="I1939" s="101"/>
      <c r="J1939" s="101"/>
      <c r="K1939" s="101"/>
      <c r="L1939" s="101"/>
      <c r="M1939" s="101"/>
      <c r="N1939" s="101"/>
      <c r="O1939" s="101"/>
      <c r="P1939" s="101"/>
      <c r="Q1939" s="101"/>
      <c r="R1939" s="101"/>
      <c r="S1939" s="101"/>
      <c r="T1939" s="101"/>
      <c r="U1939" s="101"/>
      <c r="V1939" s="101"/>
      <c r="W1939" s="101"/>
      <c r="X1939" s="101"/>
      <c r="Y1939" s="114"/>
      <c r="Z1939" s="114"/>
      <c r="AA1939" s="114"/>
      <c r="AB1939" s="114"/>
      <c r="AC1939" s="114"/>
      <c r="AD1939" s="114"/>
      <c r="AE1939" s="114"/>
      <c r="AF1939" s="114"/>
      <c r="AG1939" s="114"/>
      <c r="AH1939" s="114"/>
      <c r="AI1939" s="114"/>
      <c r="AJ1939" s="114"/>
      <c r="AK1939" s="114"/>
      <c r="AL1939" s="114"/>
      <c r="AM1939" s="114"/>
      <c r="AN1939" s="114"/>
      <c r="AO1939" s="114"/>
      <c r="AP1939" s="114"/>
      <c r="AQ1939" s="114"/>
      <c r="AR1939" s="114"/>
      <c r="AS1939" s="114"/>
      <c r="AT1939" s="114"/>
      <c r="AU1939" s="114"/>
      <c r="AV1939" s="114"/>
      <c r="AW1939" s="114"/>
      <c r="AX1939" s="114"/>
      <c r="AY1939" s="114"/>
      <c r="AZ1939" s="114"/>
    </row>
    <row r="1940" spans="1:52">
      <c r="A1940" s="111"/>
      <c r="B1940" s="111"/>
      <c r="C1940" s="112"/>
      <c r="D1940" s="101"/>
      <c r="E1940" s="101"/>
      <c r="F1940" s="101"/>
      <c r="G1940" s="111"/>
      <c r="H1940" s="101"/>
      <c r="I1940" s="101"/>
      <c r="J1940" s="101"/>
      <c r="K1940" s="101"/>
      <c r="L1940" s="101"/>
      <c r="M1940" s="101"/>
      <c r="N1940" s="101"/>
      <c r="O1940" s="101"/>
      <c r="P1940" s="101"/>
      <c r="Q1940" s="101"/>
      <c r="R1940" s="101"/>
      <c r="S1940" s="101"/>
      <c r="T1940" s="101"/>
      <c r="U1940" s="101"/>
      <c r="V1940" s="101"/>
      <c r="W1940" s="101"/>
      <c r="X1940" s="101"/>
      <c r="Y1940" s="114"/>
      <c r="Z1940" s="114"/>
      <c r="AA1940" s="114"/>
      <c r="AB1940" s="114"/>
      <c r="AC1940" s="114"/>
      <c r="AD1940" s="114"/>
      <c r="AE1940" s="114"/>
      <c r="AF1940" s="114"/>
      <c r="AG1940" s="114"/>
      <c r="AH1940" s="114"/>
      <c r="AI1940" s="114"/>
      <c r="AJ1940" s="114"/>
      <c r="AK1940" s="114"/>
      <c r="AL1940" s="114"/>
      <c r="AM1940" s="114"/>
      <c r="AN1940" s="114"/>
      <c r="AO1940" s="114"/>
      <c r="AP1940" s="114"/>
      <c r="AQ1940" s="114"/>
      <c r="AR1940" s="114"/>
      <c r="AS1940" s="114"/>
      <c r="AT1940" s="114"/>
      <c r="AU1940" s="114"/>
      <c r="AV1940" s="114"/>
      <c r="AW1940" s="114"/>
      <c r="AX1940" s="114"/>
      <c r="AY1940" s="114"/>
      <c r="AZ1940" s="114"/>
    </row>
    <row r="1941" spans="1:52">
      <c r="A1941" s="111"/>
      <c r="B1941" s="111"/>
      <c r="C1941" s="112"/>
      <c r="D1941" s="101"/>
      <c r="E1941" s="101"/>
      <c r="F1941" s="101"/>
      <c r="G1941" s="111"/>
      <c r="H1941" s="101"/>
      <c r="I1941" s="101"/>
      <c r="J1941" s="101"/>
      <c r="K1941" s="101"/>
      <c r="L1941" s="101"/>
      <c r="M1941" s="101"/>
      <c r="N1941" s="101"/>
      <c r="O1941" s="101"/>
      <c r="P1941" s="101"/>
      <c r="Q1941" s="101"/>
      <c r="R1941" s="101"/>
      <c r="S1941" s="101"/>
      <c r="T1941" s="101"/>
      <c r="U1941" s="101"/>
      <c r="V1941" s="101"/>
      <c r="W1941" s="101"/>
      <c r="X1941" s="101"/>
      <c r="Y1941" s="114"/>
      <c r="Z1941" s="114"/>
      <c r="AA1941" s="114"/>
      <c r="AB1941" s="114"/>
      <c r="AC1941" s="114"/>
      <c r="AD1941" s="114"/>
      <c r="AE1941" s="114"/>
      <c r="AF1941" s="114"/>
      <c r="AG1941" s="114"/>
      <c r="AH1941" s="114"/>
      <c r="AI1941" s="114"/>
      <c r="AJ1941" s="114"/>
      <c r="AK1941" s="114"/>
      <c r="AL1941" s="114"/>
      <c r="AM1941" s="114"/>
      <c r="AN1941" s="114"/>
      <c r="AO1941" s="114"/>
      <c r="AP1941" s="114"/>
      <c r="AQ1941" s="114"/>
      <c r="AR1941" s="114"/>
      <c r="AS1941" s="114"/>
      <c r="AT1941" s="114"/>
      <c r="AU1941" s="114"/>
      <c r="AV1941" s="114"/>
      <c r="AW1941" s="114"/>
      <c r="AX1941" s="114"/>
      <c r="AY1941" s="114"/>
      <c r="AZ1941" s="114"/>
    </row>
    <row r="1942" spans="1:52">
      <c r="A1942" s="111"/>
      <c r="B1942" s="111"/>
      <c r="C1942" s="112"/>
      <c r="D1942" s="101"/>
      <c r="E1942" s="101"/>
      <c r="F1942" s="101"/>
      <c r="G1942" s="111"/>
      <c r="H1942" s="101"/>
      <c r="I1942" s="101"/>
      <c r="J1942" s="101"/>
      <c r="K1942" s="101"/>
      <c r="L1942" s="101"/>
      <c r="M1942" s="101"/>
      <c r="N1942" s="101"/>
      <c r="O1942" s="101"/>
      <c r="P1942" s="101"/>
      <c r="Q1942" s="101"/>
      <c r="R1942" s="101"/>
      <c r="S1942" s="101"/>
      <c r="T1942" s="101"/>
      <c r="U1942" s="101"/>
      <c r="V1942" s="101"/>
      <c r="W1942" s="101"/>
      <c r="X1942" s="101"/>
      <c r="Y1942" s="114"/>
      <c r="Z1942" s="114"/>
      <c r="AA1942" s="114"/>
      <c r="AB1942" s="114"/>
      <c r="AC1942" s="114"/>
      <c r="AD1942" s="114"/>
      <c r="AE1942" s="114"/>
      <c r="AF1942" s="114"/>
      <c r="AG1942" s="114"/>
      <c r="AH1942" s="114"/>
      <c r="AI1942" s="114"/>
      <c r="AJ1942" s="114"/>
      <c r="AK1942" s="114"/>
      <c r="AL1942" s="114"/>
      <c r="AM1942" s="114"/>
      <c r="AN1942" s="114"/>
      <c r="AO1942" s="114"/>
      <c r="AP1942" s="114"/>
      <c r="AQ1942" s="114"/>
      <c r="AR1942" s="114"/>
      <c r="AS1942" s="114"/>
      <c r="AT1942" s="114"/>
      <c r="AU1942" s="114"/>
      <c r="AV1942" s="114"/>
      <c r="AW1942" s="114"/>
      <c r="AX1942" s="114"/>
      <c r="AY1942" s="114"/>
      <c r="AZ1942" s="114"/>
    </row>
    <row r="1943" spans="1:52">
      <c r="A1943" s="111"/>
      <c r="B1943" s="111"/>
      <c r="C1943" s="112"/>
      <c r="D1943" s="101"/>
      <c r="E1943" s="101"/>
      <c r="F1943" s="101"/>
      <c r="G1943" s="111"/>
      <c r="H1943" s="101"/>
      <c r="I1943" s="101"/>
      <c r="J1943" s="101"/>
      <c r="K1943" s="101"/>
      <c r="L1943" s="101"/>
      <c r="M1943" s="101"/>
      <c r="N1943" s="101"/>
      <c r="O1943" s="101"/>
      <c r="P1943" s="101"/>
      <c r="Q1943" s="101"/>
      <c r="R1943" s="101"/>
      <c r="S1943" s="101"/>
      <c r="T1943" s="101"/>
      <c r="U1943" s="101"/>
      <c r="V1943" s="101"/>
      <c r="W1943" s="101"/>
      <c r="X1943" s="101"/>
      <c r="Y1943" s="114"/>
      <c r="Z1943" s="114"/>
      <c r="AA1943" s="114"/>
      <c r="AB1943" s="114"/>
      <c r="AC1943" s="114"/>
      <c r="AD1943" s="114"/>
      <c r="AE1943" s="114"/>
      <c r="AF1943" s="114"/>
      <c r="AG1943" s="114"/>
      <c r="AH1943" s="114"/>
      <c r="AI1943" s="114"/>
      <c r="AJ1943" s="114"/>
      <c r="AK1943" s="114"/>
      <c r="AL1943" s="114"/>
      <c r="AM1943" s="114"/>
      <c r="AN1943" s="114"/>
      <c r="AO1943" s="114"/>
      <c r="AP1943" s="114"/>
      <c r="AQ1943" s="114"/>
      <c r="AR1943" s="114"/>
      <c r="AS1943" s="114"/>
      <c r="AT1943" s="114"/>
      <c r="AU1943" s="114"/>
      <c r="AV1943" s="114"/>
      <c r="AW1943" s="114"/>
      <c r="AX1943" s="114"/>
      <c r="AY1943" s="114"/>
      <c r="AZ1943" s="114"/>
    </row>
    <row r="1944" spans="1:52">
      <c r="A1944" s="111"/>
      <c r="B1944" s="111"/>
      <c r="C1944" s="112"/>
      <c r="D1944" s="101"/>
      <c r="E1944" s="101"/>
      <c r="F1944" s="101"/>
      <c r="G1944" s="111"/>
      <c r="H1944" s="101"/>
      <c r="I1944" s="101"/>
      <c r="J1944" s="101"/>
      <c r="K1944" s="101"/>
      <c r="L1944" s="101"/>
      <c r="M1944" s="101"/>
      <c r="N1944" s="101"/>
      <c r="O1944" s="101"/>
      <c r="P1944" s="101"/>
      <c r="Q1944" s="101"/>
      <c r="R1944" s="101"/>
      <c r="S1944" s="101"/>
      <c r="T1944" s="101"/>
      <c r="U1944" s="101"/>
      <c r="V1944" s="101"/>
      <c r="W1944" s="101"/>
      <c r="X1944" s="101"/>
      <c r="Y1944" s="114"/>
      <c r="Z1944" s="114"/>
      <c r="AA1944" s="114"/>
      <c r="AB1944" s="114"/>
      <c r="AC1944" s="114"/>
      <c r="AD1944" s="114"/>
      <c r="AE1944" s="114"/>
      <c r="AF1944" s="114"/>
      <c r="AG1944" s="114"/>
      <c r="AH1944" s="114"/>
      <c r="AI1944" s="114"/>
      <c r="AJ1944" s="114"/>
      <c r="AK1944" s="114"/>
      <c r="AL1944" s="114"/>
      <c r="AM1944" s="114"/>
      <c r="AN1944" s="114"/>
      <c r="AO1944" s="114"/>
      <c r="AP1944" s="114"/>
      <c r="AQ1944" s="114"/>
      <c r="AR1944" s="114"/>
      <c r="AS1944" s="114"/>
      <c r="AT1944" s="114"/>
      <c r="AU1944" s="114"/>
      <c r="AV1944" s="114"/>
      <c r="AW1944" s="114"/>
      <c r="AX1944" s="114"/>
      <c r="AY1944" s="114"/>
      <c r="AZ1944" s="114"/>
    </row>
    <row r="1945" spans="1:52">
      <c r="A1945" s="111"/>
      <c r="B1945" s="111"/>
      <c r="C1945" s="112"/>
      <c r="D1945" s="101"/>
      <c r="E1945" s="101"/>
      <c r="F1945" s="101"/>
      <c r="G1945" s="111"/>
      <c r="H1945" s="101"/>
      <c r="I1945" s="101"/>
      <c r="J1945" s="101"/>
      <c r="K1945" s="101"/>
      <c r="L1945" s="101"/>
      <c r="M1945" s="101"/>
      <c r="N1945" s="101"/>
      <c r="O1945" s="101"/>
      <c r="P1945" s="101"/>
      <c r="Q1945" s="101"/>
      <c r="R1945" s="101"/>
      <c r="S1945" s="101"/>
      <c r="T1945" s="101"/>
      <c r="U1945" s="101"/>
      <c r="V1945" s="101"/>
      <c r="W1945" s="101"/>
      <c r="X1945" s="101"/>
      <c r="Y1945" s="114"/>
      <c r="Z1945" s="114"/>
      <c r="AA1945" s="114"/>
      <c r="AB1945" s="114"/>
      <c r="AC1945" s="114"/>
      <c r="AD1945" s="114"/>
      <c r="AE1945" s="114"/>
      <c r="AF1945" s="114"/>
      <c r="AG1945" s="114"/>
      <c r="AH1945" s="114"/>
      <c r="AI1945" s="114"/>
      <c r="AJ1945" s="114"/>
      <c r="AK1945" s="114"/>
      <c r="AL1945" s="114"/>
      <c r="AM1945" s="114"/>
      <c r="AN1945" s="114"/>
      <c r="AO1945" s="114"/>
      <c r="AP1945" s="114"/>
      <c r="AQ1945" s="114"/>
      <c r="AR1945" s="114"/>
      <c r="AS1945" s="114"/>
      <c r="AT1945" s="114"/>
      <c r="AU1945" s="114"/>
      <c r="AV1945" s="114"/>
      <c r="AW1945" s="114"/>
      <c r="AX1945" s="114"/>
      <c r="AY1945" s="114"/>
      <c r="AZ1945" s="114"/>
    </row>
    <row r="1946" spans="1:52">
      <c r="A1946" s="111"/>
      <c r="B1946" s="111"/>
      <c r="C1946" s="112"/>
      <c r="D1946" s="101"/>
      <c r="E1946" s="101"/>
      <c r="F1946" s="101"/>
      <c r="G1946" s="111"/>
      <c r="H1946" s="101"/>
      <c r="I1946" s="101"/>
      <c r="J1946" s="101"/>
      <c r="K1946" s="101"/>
      <c r="L1946" s="101"/>
      <c r="M1946" s="101"/>
      <c r="N1946" s="101"/>
      <c r="O1946" s="101"/>
      <c r="P1946" s="101"/>
      <c r="Q1946" s="101"/>
      <c r="R1946" s="101"/>
      <c r="S1946" s="101"/>
      <c r="T1946" s="101"/>
      <c r="U1946" s="101"/>
      <c r="V1946" s="101"/>
      <c r="W1946" s="101"/>
      <c r="X1946" s="101"/>
      <c r="Y1946" s="114"/>
      <c r="Z1946" s="114"/>
      <c r="AA1946" s="114"/>
      <c r="AB1946" s="114"/>
      <c r="AC1946" s="114"/>
      <c r="AD1946" s="114"/>
      <c r="AE1946" s="114"/>
      <c r="AF1946" s="114"/>
      <c r="AG1946" s="114"/>
      <c r="AH1946" s="114"/>
      <c r="AI1946" s="114"/>
      <c r="AJ1946" s="114"/>
      <c r="AK1946" s="114"/>
      <c r="AL1946" s="114"/>
      <c r="AM1946" s="114"/>
      <c r="AN1946" s="114"/>
      <c r="AO1946" s="114"/>
      <c r="AP1946" s="114"/>
      <c r="AQ1946" s="114"/>
      <c r="AR1946" s="114"/>
      <c r="AS1946" s="114"/>
      <c r="AT1946" s="114"/>
      <c r="AU1946" s="114"/>
      <c r="AV1946" s="114"/>
      <c r="AW1946" s="114"/>
      <c r="AX1946" s="114"/>
      <c r="AY1946" s="114"/>
      <c r="AZ1946" s="114"/>
    </row>
    <row r="1947" spans="1:52">
      <c r="A1947" s="111"/>
      <c r="B1947" s="111"/>
      <c r="C1947" s="112"/>
      <c r="D1947" s="101"/>
      <c r="E1947" s="101"/>
      <c r="F1947" s="101"/>
      <c r="G1947" s="111"/>
      <c r="H1947" s="101"/>
      <c r="I1947" s="101"/>
      <c r="J1947" s="101"/>
      <c r="K1947" s="101"/>
      <c r="L1947" s="101"/>
      <c r="M1947" s="101"/>
      <c r="N1947" s="101"/>
      <c r="O1947" s="101"/>
      <c r="P1947" s="101"/>
      <c r="Q1947" s="101"/>
      <c r="R1947" s="101"/>
      <c r="S1947" s="101"/>
      <c r="T1947" s="101"/>
      <c r="U1947" s="101"/>
      <c r="V1947" s="101"/>
      <c r="W1947" s="101"/>
      <c r="X1947" s="101"/>
      <c r="Y1947" s="114"/>
      <c r="Z1947" s="114"/>
      <c r="AA1947" s="114"/>
      <c r="AB1947" s="114"/>
      <c r="AC1947" s="114"/>
      <c r="AD1947" s="114"/>
      <c r="AE1947" s="114"/>
      <c r="AF1947" s="114"/>
      <c r="AG1947" s="114"/>
      <c r="AH1947" s="114"/>
      <c r="AI1947" s="114"/>
      <c r="AJ1947" s="114"/>
      <c r="AK1947" s="114"/>
      <c r="AL1947" s="114"/>
      <c r="AM1947" s="114"/>
      <c r="AN1947" s="114"/>
      <c r="AO1947" s="114"/>
      <c r="AP1947" s="114"/>
      <c r="AQ1947" s="114"/>
      <c r="AR1947" s="114"/>
      <c r="AS1947" s="114"/>
      <c r="AT1947" s="114"/>
      <c r="AU1947" s="114"/>
      <c r="AV1947" s="114"/>
      <c r="AW1947" s="114"/>
      <c r="AX1947" s="114"/>
      <c r="AY1947" s="114"/>
      <c r="AZ1947" s="114"/>
    </row>
    <row r="1948" spans="1:52">
      <c r="A1948" s="111"/>
      <c r="B1948" s="111"/>
      <c r="C1948" s="112"/>
      <c r="D1948" s="101"/>
      <c r="E1948" s="101"/>
      <c r="F1948" s="101"/>
      <c r="G1948" s="111"/>
      <c r="H1948" s="101"/>
      <c r="I1948" s="101"/>
      <c r="J1948" s="101"/>
      <c r="K1948" s="101"/>
      <c r="L1948" s="101"/>
      <c r="M1948" s="101"/>
      <c r="N1948" s="101"/>
      <c r="O1948" s="101"/>
      <c r="P1948" s="101"/>
      <c r="Q1948" s="101"/>
      <c r="R1948" s="101"/>
      <c r="S1948" s="101"/>
      <c r="T1948" s="101"/>
      <c r="U1948" s="101"/>
      <c r="V1948" s="101"/>
      <c r="W1948" s="101"/>
      <c r="X1948" s="101"/>
      <c r="Y1948" s="114"/>
      <c r="Z1948" s="114"/>
      <c r="AA1948" s="114"/>
      <c r="AB1948" s="114"/>
      <c r="AC1948" s="114"/>
      <c r="AD1948" s="114"/>
      <c r="AE1948" s="114"/>
      <c r="AF1948" s="114"/>
      <c r="AG1948" s="114"/>
      <c r="AH1948" s="114"/>
      <c r="AI1948" s="114"/>
      <c r="AJ1948" s="114"/>
      <c r="AK1948" s="114"/>
      <c r="AL1948" s="114"/>
      <c r="AM1948" s="114"/>
      <c r="AN1948" s="114"/>
      <c r="AO1948" s="114"/>
      <c r="AP1948" s="114"/>
      <c r="AQ1948" s="114"/>
      <c r="AR1948" s="114"/>
      <c r="AS1948" s="114"/>
      <c r="AT1948" s="114"/>
      <c r="AU1948" s="114"/>
      <c r="AV1948" s="114"/>
      <c r="AW1948" s="114"/>
      <c r="AX1948" s="114"/>
      <c r="AY1948" s="114"/>
      <c r="AZ1948" s="114"/>
    </row>
    <row r="1949" spans="1:52">
      <c r="A1949" s="111"/>
      <c r="B1949" s="111"/>
      <c r="C1949" s="112"/>
      <c r="D1949" s="101"/>
      <c r="E1949" s="101"/>
      <c r="F1949" s="101"/>
      <c r="G1949" s="111"/>
      <c r="H1949" s="101"/>
      <c r="I1949" s="101"/>
      <c r="J1949" s="101"/>
      <c r="K1949" s="101"/>
      <c r="L1949" s="101"/>
      <c r="M1949" s="101"/>
      <c r="N1949" s="101"/>
      <c r="O1949" s="101"/>
      <c r="P1949" s="101"/>
      <c r="Q1949" s="101"/>
      <c r="R1949" s="101"/>
      <c r="S1949" s="101"/>
      <c r="T1949" s="101"/>
      <c r="U1949" s="101"/>
      <c r="V1949" s="101"/>
      <c r="W1949" s="101"/>
      <c r="X1949" s="101"/>
      <c r="Y1949" s="114"/>
      <c r="Z1949" s="114"/>
      <c r="AA1949" s="114"/>
      <c r="AB1949" s="114"/>
      <c r="AC1949" s="114"/>
      <c r="AD1949" s="114"/>
      <c r="AE1949" s="114"/>
      <c r="AF1949" s="114"/>
      <c r="AG1949" s="114"/>
      <c r="AH1949" s="114"/>
      <c r="AI1949" s="114"/>
      <c r="AJ1949" s="114"/>
      <c r="AK1949" s="114"/>
      <c r="AL1949" s="114"/>
      <c r="AM1949" s="114"/>
      <c r="AN1949" s="114"/>
      <c r="AO1949" s="114"/>
      <c r="AP1949" s="114"/>
      <c r="AQ1949" s="114"/>
      <c r="AR1949" s="114"/>
      <c r="AS1949" s="114"/>
      <c r="AT1949" s="114"/>
      <c r="AU1949" s="114"/>
      <c r="AV1949" s="114"/>
      <c r="AW1949" s="114"/>
      <c r="AX1949" s="114"/>
      <c r="AY1949" s="114"/>
      <c r="AZ1949" s="114"/>
    </row>
    <row r="1950" spans="1:52">
      <c r="A1950" s="111"/>
      <c r="B1950" s="111"/>
      <c r="C1950" s="112"/>
      <c r="D1950" s="101"/>
      <c r="E1950" s="101"/>
      <c r="F1950" s="101"/>
      <c r="G1950" s="111"/>
      <c r="H1950" s="101"/>
      <c r="I1950" s="101"/>
      <c r="J1950" s="101"/>
      <c r="K1950" s="101"/>
      <c r="L1950" s="101"/>
      <c r="M1950" s="101"/>
      <c r="N1950" s="101"/>
      <c r="O1950" s="101"/>
      <c r="P1950" s="101"/>
      <c r="Q1950" s="101"/>
      <c r="R1950" s="101"/>
      <c r="S1950" s="101"/>
      <c r="T1950" s="101"/>
      <c r="U1950" s="101"/>
      <c r="V1950" s="101"/>
      <c r="W1950" s="101"/>
      <c r="X1950" s="101"/>
      <c r="Y1950" s="114"/>
      <c r="Z1950" s="114"/>
      <c r="AA1950" s="114"/>
      <c r="AB1950" s="114"/>
      <c r="AC1950" s="114"/>
      <c r="AD1950" s="114"/>
      <c r="AE1950" s="114"/>
      <c r="AF1950" s="114"/>
      <c r="AG1950" s="114"/>
      <c r="AH1950" s="114"/>
      <c r="AI1950" s="114"/>
      <c r="AJ1950" s="114"/>
      <c r="AK1950" s="114"/>
      <c r="AL1950" s="114"/>
      <c r="AM1950" s="114"/>
      <c r="AN1950" s="114"/>
      <c r="AO1950" s="114"/>
      <c r="AP1950" s="114"/>
      <c r="AQ1950" s="114"/>
      <c r="AR1950" s="114"/>
      <c r="AS1950" s="114"/>
      <c r="AT1950" s="114"/>
      <c r="AU1950" s="114"/>
      <c r="AV1950" s="114"/>
      <c r="AW1950" s="114"/>
      <c r="AX1950" s="114"/>
      <c r="AY1950" s="114"/>
      <c r="AZ1950" s="114"/>
    </row>
    <row r="1951" spans="1:52">
      <c r="A1951" s="111"/>
      <c r="B1951" s="111"/>
      <c r="C1951" s="112"/>
      <c r="D1951" s="101"/>
      <c r="E1951" s="101"/>
      <c r="F1951" s="101"/>
      <c r="G1951" s="111"/>
      <c r="H1951" s="101"/>
      <c r="I1951" s="101"/>
      <c r="J1951" s="101"/>
      <c r="K1951" s="101"/>
      <c r="L1951" s="101"/>
      <c r="M1951" s="101"/>
      <c r="N1951" s="101"/>
      <c r="O1951" s="101"/>
      <c r="P1951" s="101"/>
      <c r="Q1951" s="101"/>
      <c r="R1951" s="101"/>
      <c r="S1951" s="101"/>
      <c r="T1951" s="101"/>
      <c r="U1951" s="101"/>
      <c r="V1951" s="101"/>
      <c r="W1951" s="101"/>
      <c r="X1951" s="101"/>
      <c r="Y1951" s="114"/>
      <c r="Z1951" s="114"/>
      <c r="AA1951" s="114"/>
      <c r="AB1951" s="114"/>
      <c r="AC1951" s="114"/>
      <c r="AD1951" s="114"/>
      <c r="AE1951" s="114"/>
      <c r="AF1951" s="114"/>
      <c r="AG1951" s="114"/>
      <c r="AH1951" s="114"/>
      <c r="AI1951" s="114"/>
      <c r="AJ1951" s="114"/>
      <c r="AK1951" s="114"/>
      <c r="AL1951" s="114"/>
      <c r="AM1951" s="114"/>
      <c r="AN1951" s="114"/>
      <c r="AO1951" s="114"/>
      <c r="AP1951" s="114"/>
      <c r="AQ1951" s="114"/>
      <c r="AR1951" s="114"/>
      <c r="AS1951" s="114"/>
      <c r="AT1951" s="114"/>
      <c r="AU1951" s="114"/>
      <c r="AV1951" s="114"/>
      <c r="AW1951" s="114"/>
      <c r="AX1951" s="114"/>
      <c r="AY1951" s="114"/>
      <c r="AZ1951" s="114"/>
    </row>
    <row r="1952" spans="1:52">
      <c r="A1952" s="111"/>
      <c r="B1952" s="111"/>
      <c r="C1952" s="112"/>
      <c r="D1952" s="101"/>
      <c r="E1952" s="101"/>
      <c r="F1952" s="101"/>
      <c r="G1952" s="111"/>
      <c r="H1952" s="101"/>
      <c r="I1952" s="101"/>
      <c r="J1952" s="101"/>
      <c r="K1952" s="101"/>
      <c r="L1952" s="101"/>
      <c r="M1952" s="101"/>
      <c r="N1952" s="101"/>
      <c r="O1952" s="101"/>
      <c r="P1952" s="101"/>
      <c r="Q1952" s="101"/>
      <c r="R1952" s="101"/>
      <c r="S1952" s="101"/>
      <c r="T1952" s="101"/>
      <c r="U1952" s="101"/>
      <c r="V1952" s="101"/>
      <c r="W1952" s="101"/>
      <c r="X1952" s="101"/>
      <c r="Y1952" s="114"/>
      <c r="Z1952" s="114"/>
      <c r="AA1952" s="114"/>
      <c r="AB1952" s="114"/>
      <c r="AC1952" s="114"/>
      <c r="AD1952" s="114"/>
      <c r="AE1952" s="114"/>
      <c r="AF1952" s="114"/>
      <c r="AG1952" s="114"/>
      <c r="AH1952" s="114"/>
      <c r="AI1952" s="114"/>
      <c r="AJ1952" s="114"/>
      <c r="AK1952" s="114"/>
      <c r="AL1952" s="114"/>
      <c r="AM1952" s="114"/>
      <c r="AN1952" s="114"/>
      <c r="AO1952" s="114"/>
      <c r="AP1952" s="114"/>
      <c r="AQ1952" s="114"/>
      <c r="AR1952" s="114"/>
      <c r="AS1952" s="114"/>
      <c r="AT1952" s="114"/>
      <c r="AU1952" s="114"/>
      <c r="AV1952" s="114"/>
      <c r="AW1952" s="114"/>
      <c r="AX1952" s="114"/>
      <c r="AY1952" s="114"/>
      <c r="AZ1952" s="114"/>
    </row>
    <row r="1953" spans="1:52">
      <c r="A1953" s="111"/>
      <c r="B1953" s="111"/>
      <c r="C1953" s="112"/>
      <c r="D1953" s="101"/>
      <c r="E1953" s="101"/>
      <c r="F1953" s="101"/>
      <c r="G1953" s="111"/>
      <c r="H1953" s="101"/>
      <c r="I1953" s="101"/>
      <c r="J1953" s="101"/>
      <c r="K1953" s="101"/>
      <c r="L1953" s="101"/>
      <c r="M1953" s="101"/>
      <c r="N1953" s="101"/>
      <c r="O1953" s="101"/>
      <c r="P1953" s="101"/>
      <c r="Q1953" s="101"/>
      <c r="R1953" s="101"/>
      <c r="S1953" s="101"/>
      <c r="T1953" s="101"/>
      <c r="U1953" s="101"/>
      <c r="V1953" s="101"/>
      <c r="W1953" s="101"/>
      <c r="X1953" s="101"/>
      <c r="Y1953" s="114"/>
      <c r="Z1953" s="114"/>
      <c r="AA1953" s="114"/>
      <c r="AB1953" s="114"/>
      <c r="AC1953" s="114"/>
      <c r="AD1953" s="114"/>
      <c r="AE1953" s="114"/>
      <c r="AF1953" s="114"/>
      <c r="AG1953" s="114"/>
      <c r="AH1953" s="114"/>
      <c r="AI1953" s="114"/>
      <c r="AJ1953" s="114"/>
      <c r="AK1953" s="114"/>
      <c r="AL1953" s="114"/>
      <c r="AM1953" s="114"/>
      <c r="AN1953" s="114"/>
      <c r="AO1953" s="114"/>
      <c r="AP1953" s="114"/>
      <c r="AQ1953" s="114"/>
      <c r="AR1953" s="114"/>
      <c r="AS1953" s="114"/>
      <c r="AT1953" s="114"/>
      <c r="AU1953" s="114"/>
      <c r="AV1953" s="114"/>
      <c r="AW1953" s="114"/>
      <c r="AX1953" s="114"/>
      <c r="AY1953" s="114"/>
      <c r="AZ1953" s="114"/>
    </row>
    <row r="1954" spans="1:52">
      <c r="A1954" s="111"/>
      <c r="B1954" s="111"/>
      <c r="C1954" s="112"/>
      <c r="D1954" s="101"/>
      <c r="E1954" s="101"/>
      <c r="F1954" s="101"/>
      <c r="G1954" s="111"/>
      <c r="H1954" s="101"/>
      <c r="I1954" s="101"/>
      <c r="J1954" s="101"/>
      <c r="K1954" s="101"/>
      <c r="L1954" s="101"/>
      <c r="M1954" s="101"/>
      <c r="N1954" s="101"/>
      <c r="O1954" s="101"/>
      <c r="P1954" s="101"/>
      <c r="Q1954" s="101"/>
      <c r="R1954" s="101"/>
      <c r="S1954" s="101"/>
      <c r="T1954" s="101"/>
      <c r="U1954" s="101"/>
      <c r="V1954" s="101"/>
      <c r="W1954" s="101"/>
      <c r="X1954" s="101"/>
      <c r="Y1954" s="114"/>
      <c r="Z1954" s="114"/>
      <c r="AA1954" s="114"/>
      <c r="AB1954" s="114"/>
      <c r="AC1954" s="114"/>
      <c r="AD1954" s="114"/>
      <c r="AE1954" s="114"/>
      <c r="AF1954" s="114"/>
      <c r="AG1954" s="114"/>
      <c r="AH1954" s="114"/>
      <c r="AI1954" s="114"/>
      <c r="AJ1954" s="114"/>
      <c r="AK1954" s="114"/>
      <c r="AL1954" s="114"/>
      <c r="AM1954" s="114"/>
      <c r="AN1954" s="114"/>
      <c r="AO1954" s="114"/>
      <c r="AP1954" s="114"/>
      <c r="AQ1954" s="114"/>
      <c r="AR1954" s="114"/>
      <c r="AS1954" s="114"/>
      <c r="AT1954" s="114"/>
      <c r="AU1954" s="114"/>
      <c r="AV1954" s="114"/>
      <c r="AW1954" s="114"/>
      <c r="AX1954" s="114"/>
      <c r="AY1954" s="114"/>
      <c r="AZ1954" s="114"/>
    </row>
    <row r="1955" spans="1:52">
      <c r="A1955" s="111"/>
      <c r="B1955" s="111"/>
      <c r="C1955" s="112"/>
      <c r="D1955" s="101"/>
      <c r="E1955" s="101"/>
      <c r="F1955" s="101"/>
      <c r="G1955" s="111"/>
      <c r="H1955" s="101"/>
      <c r="I1955" s="101"/>
      <c r="J1955" s="101"/>
      <c r="K1955" s="101"/>
      <c r="L1955" s="101"/>
      <c r="M1955" s="101"/>
      <c r="N1955" s="101"/>
      <c r="O1955" s="101"/>
      <c r="P1955" s="101"/>
      <c r="Q1955" s="101"/>
      <c r="R1955" s="101"/>
      <c r="S1955" s="101"/>
      <c r="T1955" s="101"/>
      <c r="U1955" s="101"/>
      <c r="V1955" s="101"/>
      <c r="W1955" s="101"/>
      <c r="X1955" s="101"/>
      <c r="Y1955" s="114"/>
      <c r="Z1955" s="114"/>
      <c r="AA1955" s="114"/>
      <c r="AB1955" s="114"/>
      <c r="AC1955" s="114"/>
      <c r="AD1955" s="114"/>
      <c r="AE1955" s="114"/>
      <c r="AF1955" s="114"/>
      <c r="AG1955" s="114"/>
      <c r="AH1955" s="114"/>
      <c r="AI1955" s="114"/>
      <c r="AJ1955" s="114"/>
      <c r="AK1955" s="114"/>
      <c r="AL1955" s="114"/>
      <c r="AM1955" s="114"/>
      <c r="AN1955" s="114"/>
      <c r="AO1955" s="114"/>
      <c r="AP1955" s="114"/>
      <c r="AQ1955" s="114"/>
      <c r="AR1955" s="114"/>
      <c r="AS1955" s="114"/>
      <c r="AT1955" s="114"/>
      <c r="AU1955" s="114"/>
      <c r="AV1955" s="114"/>
      <c r="AW1955" s="114"/>
      <c r="AX1955" s="114"/>
      <c r="AY1955" s="114"/>
      <c r="AZ1955" s="114"/>
    </row>
    <row r="1956" spans="1:52">
      <c r="A1956" s="111"/>
      <c r="B1956" s="111"/>
      <c r="C1956" s="112"/>
      <c r="D1956" s="101"/>
      <c r="E1956" s="101"/>
      <c r="F1956" s="101"/>
      <c r="G1956" s="111"/>
      <c r="H1956" s="101"/>
      <c r="I1956" s="101"/>
      <c r="J1956" s="101"/>
      <c r="K1956" s="101"/>
      <c r="L1956" s="101"/>
      <c r="M1956" s="101"/>
      <c r="N1956" s="101"/>
      <c r="O1956" s="101"/>
      <c r="P1956" s="101"/>
      <c r="Q1956" s="101"/>
      <c r="R1956" s="101"/>
      <c r="S1956" s="101"/>
      <c r="T1956" s="101"/>
      <c r="U1956" s="101"/>
      <c r="V1956" s="101"/>
      <c r="W1956" s="101"/>
      <c r="X1956" s="101"/>
      <c r="Y1956" s="114"/>
      <c r="Z1956" s="114"/>
      <c r="AA1956" s="114"/>
      <c r="AB1956" s="114"/>
      <c r="AC1956" s="114"/>
      <c r="AD1956" s="114"/>
      <c r="AE1956" s="114"/>
      <c r="AF1956" s="114"/>
      <c r="AG1956" s="114"/>
      <c r="AH1956" s="114"/>
      <c r="AI1956" s="114"/>
      <c r="AJ1956" s="114"/>
      <c r="AK1956" s="114"/>
      <c r="AL1956" s="114"/>
      <c r="AM1956" s="114"/>
      <c r="AN1956" s="114"/>
      <c r="AO1956" s="114"/>
      <c r="AP1956" s="114"/>
      <c r="AQ1956" s="114"/>
      <c r="AR1956" s="114"/>
      <c r="AS1956" s="114"/>
      <c r="AT1956" s="114"/>
      <c r="AU1956" s="114"/>
      <c r="AV1956" s="114"/>
      <c r="AW1956" s="114"/>
      <c r="AX1956" s="114"/>
      <c r="AY1956" s="114"/>
      <c r="AZ1956" s="114"/>
    </row>
    <row r="1957" spans="1:52">
      <c r="A1957" s="111"/>
      <c r="B1957" s="111"/>
      <c r="C1957" s="112"/>
      <c r="D1957" s="101"/>
      <c r="E1957" s="101"/>
      <c r="F1957" s="101"/>
      <c r="G1957" s="111"/>
      <c r="H1957" s="101"/>
      <c r="I1957" s="101"/>
      <c r="J1957" s="101"/>
      <c r="K1957" s="101"/>
      <c r="L1957" s="101"/>
      <c r="M1957" s="101"/>
      <c r="N1957" s="101"/>
      <c r="O1957" s="101"/>
      <c r="P1957" s="101"/>
      <c r="Q1957" s="101"/>
      <c r="R1957" s="101"/>
      <c r="S1957" s="101"/>
      <c r="T1957" s="101"/>
      <c r="U1957" s="101"/>
      <c r="V1957" s="101"/>
      <c r="W1957" s="101"/>
      <c r="X1957" s="101"/>
      <c r="Y1957" s="114"/>
      <c r="Z1957" s="114"/>
      <c r="AA1957" s="114"/>
      <c r="AB1957" s="114"/>
      <c r="AC1957" s="114"/>
      <c r="AD1957" s="114"/>
      <c r="AE1957" s="114"/>
      <c r="AF1957" s="114"/>
      <c r="AG1957" s="114"/>
      <c r="AH1957" s="114"/>
      <c r="AI1957" s="114"/>
      <c r="AJ1957" s="114"/>
      <c r="AK1957" s="114"/>
      <c r="AL1957" s="114"/>
      <c r="AM1957" s="114"/>
      <c r="AN1957" s="114"/>
      <c r="AO1957" s="114"/>
      <c r="AP1957" s="114"/>
      <c r="AQ1957" s="114"/>
      <c r="AR1957" s="114"/>
      <c r="AS1957" s="114"/>
      <c r="AT1957" s="114"/>
      <c r="AU1957" s="114"/>
      <c r="AV1957" s="114"/>
      <c r="AW1957" s="114"/>
      <c r="AX1957" s="114"/>
      <c r="AY1957" s="114"/>
      <c r="AZ1957" s="114"/>
    </row>
    <row r="1958" spans="1:52">
      <c r="A1958" s="111"/>
      <c r="B1958" s="111"/>
      <c r="C1958" s="112"/>
      <c r="D1958" s="101"/>
      <c r="E1958" s="101"/>
      <c r="F1958" s="101"/>
      <c r="G1958" s="111"/>
      <c r="H1958" s="101"/>
      <c r="I1958" s="101"/>
      <c r="J1958" s="101"/>
      <c r="K1958" s="101"/>
      <c r="L1958" s="101"/>
      <c r="M1958" s="101"/>
      <c r="N1958" s="101"/>
      <c r="O1958" s="101"/>
      <c r="P1958" s="101"/>
      <c r="Q1958" s="101"/>
      <c r="R1958" s="101"/>
      <c r="S1958" s="101"/>
      <c r="T1958" s="101"/>
      <c r="U1958" s="101"/>
      <c r="V1958" s="101"/>
      <c r="W1958" s="101"/>
      <c r="X1958" s="101"/>
      <c r="Y1958" s="114"/>
      <c r="Z1958" s="114"/>
      <c r="AA1958" s="114"/>
      <c r="AB1958" s="114"/>
      <c r="AC1958" s="114"/>
      <c r="AD1958" s="114"/>
      <c r="AE1958" s="114"/>
      <c r="AF1958" s="114"/>
      <c r="AG1958" s="114"/>
      <c r="AH1958" s="114"/>
      <c r="AI1958" s="114"/>
      <c r="AJ1958" s="114"/>
      <c r="AK1958" s="114"/>
      <c r="AL1958" s="114"/>
      <c r="AM1958" s="114"/>
      <c r="AN1958" s="114"/>
      <c r="AO1958" s="114"/>
      <c r="AP1958" s="114"/>
      <c r="AQ1958" s="114"/>
      <c r="AR1958" s="114"/>
      <c r="AS1958" s="114"/>
      <c r="AT1958" s="114"/>
      <c r="AU1958" s="114"/>
      <c r="AV1958" s="114"/>
      <c r="AW1958" s="114"/>
      <c r="AX1958" s="114"/>
      <c r="AY1958" s="114"/>
      <c r="AZ1958" s="114"/>
    </row>
    <row r="1959" spans="1:52">
      <c r="A1959" s="111"/>
      <c r="B1959" s="111"/>
      <c r="C1959" s="112"/>
      <c r="D1959" s="101"/>
      <c r="E1959" s="101"/>
      <c r="F1959" s="101"/>
      <c r="G1959" s="111"/>
      <c r="H1959" s="101"/>
      <c r="I1959" s="101"/>
      <c r="J1959" s="101"/>
      <c r="K1959" s="101"/>
      <c r="L1959" s="101"/>
      <c r="M1959" s="101"/>
      <c r="N1959" s="101"/>
      <c r="O1959" s="101"/>
      <c r="P1959" s="101"/>
      <c r="Q1959" s="101"/>
      <c r="R1959" s="101"/>
      <c r="S1959" s="101"/>
      <c r="T1959" s="101"/>
      <c r="U1959" s="101"/>
      <c r="V1959" s="101"/>
      <c r="W1959" s="101"/>
      <c r="X1959" s="101"/>
      <c r="Y1959" s="114"/>
      <c r="Z1959" s="114"/>
      <c r="AA1959" s="114"/>
      <c r="AB1959" s="114"/>
      <c r="AC1959" s="114"/>
      <c r="AD1959" s="114"/>
      <c r="AE1959" s="114"/>
      <c r="AF1959" s="114"/>
      <c r="AG1959" s="114"/>
      <c r="AH1959" s="114"/>
      <c r="AI1959" s="114"/>
      <c r="AJ1959" s="114"/>
      <c r="AK1959" s="114"/>
      <c r="AL1959" s="114"/>
      <c r="AM1959" s="114"/>
      <c r="AN1959" s="114"/>
      <c r="AO1959" s="114"/>
      <c r="AP1959" s="114"/>
      <c r="AQ1959" s="114"/>
      <c r="AR1959" s="114"/>
      <c r="AS1959" s="114"/>
      <c r="AT1959" s="114"/>
      <c r="AU1959" s="114"/>
      <c r="AV1959" s="114"/>
      <c r="AW1959" s="114"/>
      <c r="AX1959" s="114"/>
      <c r="AY1959" s="114"/>
      <c r="AZ1959" s="114"/>
    </row>
    <row r="1960" spans="1:52">
      <c r="A1960" s="111"/>
      <c r="B1960" s="111"/>
      <c r="C1960" s="112"/>
      <c r="D1960" s="101"/>
      <c r="E1960" s="101"/>
      <c r="F1960" s="101"/>
      <c r="G1960" s="111"/>
      <c r="H1960" s="101"/>
      <c r="I1960" s="101"/>
      <c r="J1960" s="101"/>
      <c r="K1960" s="101"/>
      <c r="L1960" s="101"/>
      <c r="M1960" s="101"/>
      <c r="N1960" s="101"/>
      <c r="O1960" s="101"/>
      <c r="P1960" s="101"/>
      <c r="Q1960" s="101"/>
      <c r="R1960" s="101"/>
      <c r="S1960" s="101"/>
      <c r="T1960" s="101"/>
      <c r="U1960" s="101"/>
      <c r="V1960" s="101"/>
      <c r="W1960" s="101"/>
      <c r="X1960" s="101"/>
      <c r="Y1960" s="114"/>
      <c r="Z1960" s="114"/>
      <c r="AA1960" s="114"/>
      <c r="AB1960" s="114"/>
      <c r="AC1960" s="114"/>
      <c r="AD1960" s="114"/>
      <c r="AE1960" s="114"/>
      <c r="AF1960" s="114"/>
      <c r="AG1960" s="114"/>
      <c r="AH1960" s="114"/>
      <c r="AI1960" s="114"/>
      <c r="AJ1960" s="114"/>
      <c r="AK1960" s="114"/>
      <c r="AL1960" s="114"/>
      <c r="AM1960" s="114"/>
      <c r="AN1960" s="114"/>
      <c r="AO1960" s="114"/>
      <c r="AP1960" s="114"/>
      <c r="AQ1960" s="114"/>
      <c r="AR1960" s="114"/>
      <c r="AS1960" s="114"/>
      <c r="AT1960" s="114"/>
      <c r="AU1960" s="114"/>
      <c r="AV1960" s="114"/>
      <c r="AW1960" s="114"/>
      <c r="AX1960" s="114"/>
      <c r="AY1960" s="114"/>
      <c r="AZ1960" s="114"/>
    </row>
    <row r="1961" spans="1:52">
      <c r="A1961" s="111"/>
      <c r="B1961" s="111"/>
      <c r="C1961" s="112"/>
      <c r="D1961" s="101"/>
      <c r="E1961" s="101"/>
      <c r="F1961" s="101"/>
      <c r="G1961" s="111"/>
      <c r="H1961" s="101"/>
      <c r="I1961" s="101"/>
      <c r="J1961" s="101"/>
      <c r="K1961" s="101"/>
      <c r="L1961" s="101"/>
      <c r="M1961" s="101"/>
      <c r="N1961" s="101"/>
      <c r="O1961" s="101"/>
      <c r="P1961" s="101"/>
      <c r="Q1961" s="101"/>
      <c r="R1961" s="101"/>
      <c r="S1961" s="101"/>
      <c r="T1961" s="101"/>
      <c r="U1961" s="101"/>
      <c r="V1961" s="101"/>
      <c r="W1961" s="101"/>
      <c r="X1961" s="101"/>
      <c r="Y1961" s="114"/>
      <c r="Z1961" s="114"/>
      <c r="AA1961" s="114"/>
      <c r="AB1961" s="114"/>
      <c r="AC1961" s="114"/>
      <c r="AD1961" s="114"/>
      <c r="AE1961" s="114"/>
      <c r="AF1961" s="114"/>
      <c r="AG1961" s="114"/>
      <c r="AH1961" s="114"/>
      <c r="AI1961" s="114"/>
      <c r="AJ1961" s="114"/>
      <c r="AK1961" s="114"/>
      <c r="AL1961" s="114"/>
      <c r="AM1961" s="114"/>
      <c r="AN1961" s="114"/>
      <c r="AO1961" s="114"/>
      <c r="AP1961" s="114"/>
      <c r="AQ1961" s="114"/>
      <c r="AR1961" s="114"/>
      <c r="AS1961" s="114"/>
      <c r="AT1961" s="114"/>
      <c r="AU1961" s="114"/>
      <c r="AV1961" s="114"/>
      <c r="AW1961" s="114"/>
      <c r="AX1961" s="114"/>
      <c r="AY1961" s="114"/>
      <c r="AZ1961" s="114"/>
    </row>
    <row r="1962" spans="1:52">
      <c r="A1962" s="111"/>
      <c r="B1962" s="111"/>
      <c r="C1962" s="112"/>
      <c r="D1962" s="101"/>
      <c r="E1962" s="101"/>
      <c r="F1962" s="101"/>
      <c r="G1962" s="111"/>
      <c r="H1962" s="101"/>
      <c r="I1962" s="101"/>
      <c r="J1962" s="101"/>
      <c r="K1962" s="101"/>
      <c r="L1962" s="101"/>
      <c r="M1962" s="101"/>
      <c r="N1962" s="101"/>
      <c r="O1962" s="101"/>
      <c r="P1962" s="101"/>
      <c r="Q1962" s="101"/>
      <c r="R1962" s="101"/>
      <c r="S1962" s="101"/>
      <c r="T1962" s="101"/>
      <c r="U1962" s="101"/>
      <c r="V1962" s="101"/>
      <c r="W1962" s="101"/>
      <c r="X1962" s="101"/>
      <c r="Y1962" s="114"/>
      <c r="Z1962" s="114"/>
      <c r="AA1962" s="114"/>
      <c r="AB1962" s="114"/>
      <c r="AC1962" s="114"/>
      <c r="AD1962" s="114"/>
      <c r="AE1962" s="114"/>
      <c r="AF1962" s="114"/>
      <c r="AG1962" s="114"/>
      <c r="AH1962" s="114"/>
      <c r="AI1962" s="114"/>
      <c r="AJ1962" s="114"/>
      <c r="AK1962" s="114"/>
      <c r="AL1962" s="114"/>
      <c r="AM1962" s="114"/>
      <c r="AN1962" s="114"/>
      <c r="AO1962" s="114"/>
      <c r="AP1962" s="114"/>
      <c r="AQ1962" s="114"/>
      <c r="AR1962" s="114"/>
      <c r="AS1962" s="114"/>
      <c r="AT1962" s="114"/>
      <c r="AU1962" s="114"/>
      <c r="AV1962" s="114"/>
      <c r="AW1962" s="114"/>
      <c r="AX1962" s="114"/>
      <c r="AY1962" s="114"/>
      <c r="AZ1962" s="114"/>
    </row>
    <row r="1963" spans="1:52">
      <c r="A1963" s="111"/>
      <c r="B1963" s="111"/>
      <c r="C1963" s="112"/>
      <c r="D1963" s="101"/>
      <c r="E1963" s="101"/>
      <c r="F1963" s="101"/>
      <c r="G1963" s="111"/>
      <c r="H1963" s="101"/>
      <c r="I1963" s="101"/>
      <c r="J1963" s="101"/>
      <c r="K1963" s="101"/>
      <c r="L1963" s="101"/>
      <c r="M1963" s="101"/>
      <c r="N1963" s="101"/>
      <c r="O1963" s="101"/>
      <c r="P1963" s="101"/>
      <c r="Q1963" s="101"/>
      <c r="R1963" s="101"/>
      <c r="S1963" s="101"/>
      <c r="T1963" s="101"/>
      <c r="U1963" s="101"/>
      <c r="V1963" s="101"/>
      <c r="W1963" s="101"/>
      <c r="X1963" s="101"/>
      <c r="Y1963" s="114"/>
      <c r="Z1963" s="114"/>
      <c r="AA1963" s="114"/>
      <c r="AB1963" s="114"/>
      <c r="AC1963" s="114"/>
      <c r="AD1963" s="114"/>
      <c r="AE1963" s="114"/>
      <c r="AF1963" s="114"/>
      <c r="AG1963" s="114"/>
      <c r="AH1963" s="114"/>
      <c r="AI1963" s="114"/>
      <c r="AJ1963" s="114"/>
      <c r="AK1963" s="114"/>
      <c r="AL1963" s="114"/>
      <c r="AM1963" s="114"/>
      <c r="AN1963" s="114"/>
      <c r="AO1963" s="114"/>
      <c r="AP1963" s="114"/>
      <c r="AQ1963" s="114"/>
      <c r="AR1963" s="114"/>
      <c r="AS1963" s="114"/>
      <c r="AT1963" s="114"/>
      <c r="AU1963" s="114"/>
      <c r="AV1963" s="114"/>
      <c r="AW1963" s="114"/>
      <c r="AX1963" s="114"/>
      <c r="AY1963" s="114"/>
      <c r="AZ1963" s="114"/>
    </row>
    <row r="1964" spans="1:52">
      <c r="A1964" s="111"/>
      <c r="B1964" s="111"/>
      <c r="C1964" s="112"/>
      <c r="D1964" s="101"/>
      <c r="E1964" s="101"/>
      <c r="F1964" s="101"/>
      <c r="G1964" s="111"/>
      <c r="H1964" s="101"/>
      <c r="I1964" s="101"/>
      <c r="J1964" s="101"/>
      <c r="K1964" s="101"/>
      <c r="L1964" s="101"/>
      <c r="M1964" s="101"/>
      <c r="N1964" s="101"/>
      <c r="O1964" s="101"/>
      <c r="P1964" s="101"/>
      <c r="Q1964" s="101"/>
      <c r="R1964" s="101"/>
      <c r="S1964" s="101"/>
      <c r="T1964" s="101"/>
      <c r="U1964" s="101"/>
      <c r="V1964" s="101"/>
      <c r="W1964" s="101"/>
      <c r="X1964" s="101"/>
      <c r="Y1964" s="114"/>
      <c r="Z1964" s="114"/>
      <c r="AA1964" s="114"/>
      <c r="AB1964" s="114"/>
      <c r="AC1964" s="114"/>
      <c r="AD1964" s="114"/>
      <c r="AE1964" s="114"/>
      <c r="AF1964" s="114"/>
      <c r="AG1964" s="114"/>
      <c r="AH1964" s="114"/>
      <c r="AI1964" s="114"/>
      <c r="AJ1964" s="114"/>
      <c r="AK1964" s="114"/>
      <c r="AL1964" s="114"/>
      <c r="AM1964" s="114"/>
      <c r="AN1964" s="114"/>
      <c r="AO1964" s="114"/>
      <c r="AP1964" s="114"/>
      <c r="AQ1964" s="114"/>
      <c r="AR1964" s="114"/>
      <c r="AS1964" s="114"/>
      <c r="AT1964" s="114"/>
      <c r="AU1964" s="114"/>
      <c r="AV1964" s="114"/>
      <c r="AW1964" s="114"/>
      <c r="AX1964" s="114"/>
      <c r="AY1964" s="114"/>
      <c r="AZ1964" s="114"/>
    </row>
    <row r="1965" spans="1:52">
      <c r="A1965" s="111"/>
      <c r="B1965" s="111"/>
      <c r="C1965" s="112"/>
      <c r="D1965" s="101"/>
      <c r="E1965" s="101"/>
      <c r="F1965" s="101"/>
      <c r="G1965" s="111"/>
      <c r="H1965" s="101"/>
      <c r="I1965" s="101"/>
      <c r="J1965" s="101"/>
      <c r="K1965" s="101"/>
      <c r="L1965" s="101"/>
      <c r="M1965" s="101"/>
      <c r="N1965" s="101"/>
      <c r="O1965" s="101"/>
      <c r="P1965" s="101"/>
      <c r="Q1965" s="101"/>
      <c r="R1965" s="101"/>
      <c r="S1965" s="101"/>
      <c r="T1965" s="101"/>
      <c r="U1965" s="101"/>
      <c r="V1965" s="101"/>
      <c r="W1965" s="101"/>
      <c r="X1965" s="101"/>
      <c r="Y1965" s="114"/>
      <c r="Z1965" s="114"/>
      <c r="AA1965" s="114"/>
      <c r="AB1965" s="114"/>
      <c r="AC1965" s="114"/>
      <c r="AD1965" s="114"/>
      <c r="AE1965" s="114"/>
      <c r="AF1965" s="114"/>
      <c r="AG1965" s="114"/>
      <c r="AH1965" s="114"/>
      <c r="AI1965" s="114"/>
      <c r="AJ1965" s="114"/>
      <c r="AK1965" s="114"/>
      <c r="AL1965" s="114"/>
      <c r="AM1965" s="114"/>
      <c r="AN1965" s="114"/>
      <c r="AO1965" s="114"/>
      <c r="AP1965" s="114"/>
      <c r="AQ1965" s="114"/>
      <c r="AR1965" s="114"/>
      <c r="AS1965" s="114"/>
      <c r="AT1965" s="114"/>
      <c r="AU1965" s="114"/>
      <c r="AV1965" s="114"/>
      <c r="AW1965" s="114"/>
      <c r="AX1965" s="114"/>
      <c r="AY1965" s="114"/>
      <c r="AZ1965" s="114"/>
    </row>
    <row r="1966" spans="1:52">
      <c r="A1966" s="111"/>
      <c r="B1966" s="111"/>
      <c r="C1966" s="112"/>
      <c r="D1966" s="101"/>
      <c r="E1966" s="101"/>
      <c r="F1966" s="101"/>
      <c r="G1966" s="111"/>
      <c r="H1966" s="101"/>
      <c r="I1966" s="101"/>
      <c r="J1966" s="101"/>
      <c r="K1966" s="101"/>
      <c r="L1966" s="101"/>
      <c r="M1966" s="101"/>
      <c r="N1966" s="101"/>
      <c r="O1966" s="101"/>
      <c r="P1966" s="101"/>
      <c r="Q1966" s="101"/>
      <c r="R1966" s="101"/>
      <c r="S1966" s="101"/>
      <c r="T1966" s="101"/>
      <c r="U1966" s="101"/>
      <c r="V1966" s="101"/>
      <c r="W1966" s="101"/>
      <c r="X1966" s="101"/>
      <c r="Y1966" s="114"/>
      <c r="Z1966" s="114"/>
      <c r="AA1966" s="114"/>
      <c r="AB1966" s="114"/>
      <c r="AC1966" s="114"/>
      <c r="AD1966" s="114"/>
      <c r="AE1966" s="114"/>
      <c r="AF1966" s="114"/>
      <c r="AG1966" s="114"/>
      <c r="AH1966" s="114"/>
      <c r="AI1966" s="114"/>
      <c r="AJ1966" s="114"/>
      <c r="AK1966" s="114"/>
      <c r="AL1966" s="114"/>
      <c r="AM1966" s="114"/>
      <c r="AN1966" s="114"/>
      <c r="AO1966" s="114"/>
      <c r="AP1966" s="114"/>
      <c r="AQ1966" s="114"/>
      <c r="AR1966" s="114"/>
      <c r="AS1966" s="114"/>
      <c r="AT1966" s="114"/>
      <c r="AU1966" s="114"/>
      <c r="AV1966" s="114"/>
      <c r="AW1966" s="114"/>
      <c r="AX1966" s="114"/>
      <c r="AY1966" s="114"/>
      <c r="AZ1966" s="114"/>
    </row>
    <row r="1967" spans="1:52">
      <c r="A1967" s="111"/>
      <c r="B1967" s="111"/>
      <c r="C1967" s="112"/>
      <c r="D1967" s="101"/>
      <c r="E1967" s="101"/>
      <c r="F1967" s="101"/>
      <c r="G1967" s="111"/>
      <c r="H1967" s="101"/>
      <c r="I1967" s="101"/>
      <c r="J1967" s="101"/>
      <c r="K1967" s="101"/>
      <c r="L1967" s="101"/>
      <c r="M1967" s="101"/>
      <c r="N1967" s="101"/>
      <c r="O1967" s="101"/>
      <c r="P1967" s="101"/>
      <c r="Q1967" s="101"/>
      <c r="R1967" s="101"/>
      <c r="S1967" s="101"/>
      <c r="T1967" s="101"/>
      <c r="U1967" s="101"/>
      <c r="V1967" s="101"/>
      <c r="W1967" s="101"/>
      <c r="X1967" s="101"/>
      <c r="Y1967" s="114"/>
      <c r="Z1967" s="114"/>
      <c r="AA1967" s="114"/>
      <c r="AB1967" s="114"/>
      <c r="AC1967" s="114"/>
      <c r="AD1967" s="114"/>
      <c r="AE1967" s="114"/>
      <c r="AF1967" s="114"/>
      <c r="AG1967" s="114"/>
      <c r="AH1967" s="114"/>
      <c r="AI1967" s="114"/>
      <c r="AJ1967" s="114"/>
      <c r="AK1967" s="114"/>
      <c r="AL1967" s="114"/>
      <c r="AM1967" s="114"/>
      <c r="AN1967" s="114"/>
      <c r="AO1967" s="114"/>
      <c r="AP1967" s="114"/>
      <c r="AQ1967" s="114"/>
      <c r="AR1967" s="114"/>
      <c r="AS1967" s="114"/>
      <c r="AT1967" s="114"/>
      <c r="AU1967" s="114"/>
      <c r="AV1967" s="114"/>
      <c r="AW1967" s="114"/>
      <c r="AX1967" s="114"/>
      <c r="AY1967" s="114"/>
      <c r="AZ1967" s="114"/>
    </row>
    <row r="1968" spans="1:52">
      <c r="A1968" s="111"/>
      <c r="B1968" s="111"/>
      <c r="C1968" s="112"/>
      <c r="D1968" s="101"/>
      <c r="E1968" s="101"/>
      <c r="F1968" s="101"/>
      <c r="G1968" s="111"/>
      <c r="H1968" s="101"/>
      <c r="I1968" s="101"/>
      <c r="J1968" s="101"/>
      <c r="K1968" s="101"/>
      <c r="L1968" s="101"/>
      <c r="M1968" s="101"/>
      <c r="N1968" s="101"/>
      <c r="O1968" s="101"/>
      <c r="P1968" s="101"/>
      <c r="Q1968" s="101"/>
      <c r="R1968" s="101"/>
      <c r="S1968" s="101"/>
      <c r="T1968" s="101"/>
      <c r="U1968" s="101"/>
      <c r="V1968" s="101"/>
      <c r="W1968" s="101"/>
      <c r="X1968" s="101"/>
      <c r="Y1968" s="114"/>
      <c r="Z1968" s="114"/>
      <c r="AA1968" s="114"/>
      <c r="AB1968" s="114"/>
      <c r="AC1968" s="114"/>
      <c r="AD1968" s="114"/>
      <c r="AE1968" s="114"/>
      <c r="AF1968" s="114"/>
      <c r="AG1968" s="114"/>
      <c r="AH1968" s="114"/>
      <c r="AI1968" s="114"/>
      <c r="AJ1968" s="114"/>
      <c r="AK1968" s="114"/>
      <c r="AL1968" s="114"/>
      <c r="AM1968" s="114"/>
      <c r="AN1968" s="114"/>
      <c r="AO1968" s="114"/>
      <c r="AP1968" s="114"/>
      <c r="AQ1968" s="114"/>
      <c r="AR1968" s="114"/>
      <c r="AS1968" s="114"/>
      <c r="AT1968" s="114"/>
      <c r="AU1968" s="114"/>
      <c r="AV1968" s="114"/>
      <c r="AW1968" s="114"/>
      <c r="AX1968" s="114"/>
      <c r="AY1968" s="114"/>
      <c r="AZ1968" s="114"/>
    </row>
    <row r="1969" spans="1:52">
      <c r="A1969" s="111"/>
      <c r="B1969" s="111"/>
      <c r="C1969" s="112"/>
      <c r="D1969" s="101"/>
      <c r="E1969" s="101"/>
      <c r="F1969" s="101"/>
      <c r="G1969" s="111"/>
      <c r="H1969" s="101"/>
      <c r="I1969" s="101"/>
      <c r="J1969" s="101"/>
      <c r="K1969" s="101"/>
      <c r="L1969" s="101"/>
      <c r="M1969" s="101"/>
      <c r="N1969" s="101"/>
      <c r="O1969" s="101"/>
      <c r="P1969" s="101"/>
      <c r="Q1969" s="101"/>
      <c r="R1969" s="101"/>
      <c r="S1969" s="101"/>
      <c r="T1969" s="101"/>
      <c r="U1969" s="101"/>
      <c r="V1969" s="101"/>
      <c r="W1969" s="101"/>
      <c r="X1969" s="101"/>
      <c r="Y1969" s="114"/>
      <c r="Z1969" s="114"/>
      <c r="AA1969" s="114"/>
      <c r="AB1969" s="114"/>
      <c r="AC1969" s="114"/>
      <c r="AD1969" s="114"/>
      <c r="AE1969" s="114"/>
      <c r="AF1969" s="114"/>
      <c r="AG1969" s="114"/>
      <c r="AH1969" s="114"/>
      <c r="AI1969" s="114"/>
      <c r="AJ1969" s="114"/>
      <c r="AK1969" s="114"/>
      <c r="AL1969" s="114"/>
      <c r="AM1969" s="114"/>
      <c r="AN1969" s="114"/>
      <c r="AO1969" s="114"/>
      <c r="AP1969" s="114"/>
      <c r="AQ1969" s="114"/>
      <c r="AR1969" s="114"/>
      <c r="AS1969" s="114"/>
      <c r="AT1969" s="114"/>
      <c r="AU1969" s="114"/>
      <c r="AV1969" s="114"/>
      <c r="AW1969" s="114"/>
      <c r="AX1969" s="114"/>
      <c r="AY1969" s="114"/>
      <c r="AZ1969" s="114"/>
    </row>
    <row r="1970" spans="1:52">
      <c r="A1970" s="111"/>
      <c r="B1970" s="111"/>
      <c r="C1970" s="112"/>
      <c r="D1970" s="101"/>
      <c r="E1970" s="101"/>
      <c r="F1970" s="101"/>
      <c r="G1970" s="111"/>
      <c r="H1970" s="101"/>
      <c r="I1970" s="101"/>
      <c r="J1970" s="101"/>
      <c r="K1970" s="101"/>
      <c r="L1970" s="101"/>
      <c r="M1970" s="101"/>
      <c r="N1970" s="101"/>
      <c r="O1970" s="101"/>
      <c r="P1970" s="101"/>
      <c r="Q1970" s="101"/>
      <c r="R1970" s="101"/>
      <c r="S1970" s="101"/>
      <c r="T1970" s="101"/>
      <c r="U1970" s="101"/>
      <c r="V1970" s="101"/>
      <c r="W1970" s="101"/>
      <c r="X1970" s="101"/>
      <c r="Y1970" s="114"/>
      <c r="Z1970" s="114"/>
      <c r="AA1970" s="114"/>
      <c r="AB1970" s="114"/>
      <c r="AC1970" s="114"/>
      <c r="AD1970" s="114"/>
      <c r="AE1970" s="114"/>
      <c r="AF1970" s="114"/>
      <c r="AG1970" s="114"/>
      <c r="AH1970" s="114"/>
      <c r="AI1970" s="114"/>
      <c r="AJ1970" s="114"/>
      <c r="AK1970" s="114"/>
      <c r="AL1970" s="114"/>
      <c r="AM1970" s="114"/>
      <c r="AN1970" s="114"/>
      <c r="AO1970" s="114"/>
      <c r="AP1970" s="114"/>
      <c r="AQ1970" s="114"/>
      <c r="AR1970" s="114"/>
      <c r="AS1970" s="114"/>
      <c r="AT1970" s="114"/>
      <c r="AU1970" s="114"/>
      <c r="AV1970" s="114"/>
      <c r="AW1970" s="114"/>
      <c r="AX1970" s="114"/>
      <c r="AY1970" s="114"/>
      <c r="AZ1970" s="114"/>
    </row>
    <row r="1971" spans="1:52">
      <c r="A1971" s="111"/>
      <c r="B1971" s="111"/>
      <c r="C1971" s="112"/>
      <c r="D1971" s="101"/>
      <c r="E1971" s="101"/>
      <c r="F1971" s="101"/>
      <c r="G1971" s="111"/>
      <c r="H1971" s="101"/>
      <c r="I1971" s="101"/>
      <c r="J1971" s="101"/>
      <c r="K1971" s="101"/>
      <c r="L1971" s="101"/>
      <c r="M1971" s="101"/>
      <c r="N1971" s="101"/>
      <c r="O1971" s="101"/>
      <c r="P1971" s="101"/>
      <c r="Q1971" s="101"/>
      <c r="R1971" s="101"/>
      <c r="S1971" s="101"/>
      <c r="T1971" s="101"/>
      <c r="U1971" s="101"/>
      <c r="V1971" s="101"/>
      <c r="W1971" s="101"/>
      <c r="X1971" s="101"/>
      <c r="Y1971" s="114"/>
      <c r="Z1971" s="114"/>
      <c r="AA1971" s="114"/>
      <c r="AB1971" s="114"/>
      <c r="AC1971" s="114"/>
      <c r="AD1971" s="114"/>
      <c r="AE1971" s="114"/>
      <c r="AF1971" s="114"/>
      <c r="AG1971" s="114"/>
      <c r="AH1971" s="114"/>
      <c r="AI1971" s="114"/>
      <c r="AJ1971" s="114"/>
      <c r="AK1971" s="114"/>
      <c r="AL1971" s="114"/>
      <c r="AM1971" s="114"/>
      <c r="AN1971" s="114"/>
      <c r="AO1971" s="114"/>
      <c r="AP1971" s="114"/>
      <c r="AQ1971" s="114"/>
      <c r="AR1971" s="114"/>
      <c r="AS1971" s="114"/>
      <c r="AT1971" s="114"/>
      <c r="AU1971" s="114"/>
      <c r="AV1971" s="114"/>
      <c r="AW1971" s="114"/>
      <c r="AX1971" s="114"/>
      <c r="AY1971" s="114"/>
      <c r="AZ1971" s="114"/>
    </row>
    <row r="1972" spans="1:52">
      <c r="A1972" s="111"/>
      <c r="B1972" s="111"/>
      <c r="C1972" s="112"/>
      <c r="D1972" s="101"/>
      <c r="E1972" s="101"/>
      <c r="F1972" s="101"/>
      <c r="G1972" s="111"/>
      <c r="H1972" s="101"/>
      <c r="I1972" s="101"/>
      <c r="J1972" s="101"/>
      <c r="K1972" s="101"/>
      <c r="L1972" s="101"/>
      <c r="M1972" s="101"/>
      <c r="N1972" s="101"/>
      <c r="O1972" s="101"/>
      <c r="P1972" s="101"/>
      <c r="Q1972" s="101"/>
      <c r="R1972" s="101"/>
      <c r="S1972" s="101"/>
      <c r="T1972" s="101"/>
      <c r="U1972" s="101"/>
      <c r="V1972" s="101"/>
      <c r="W1972" s="101"/>
      <c r="X1972" s="101"/>
      <c r="Y1972" s="114"/>
      <c r="Z1972" s="114"/>
      <c r="AA1972" s="114"/>
      <c r="AB1972" s="114"/>
      <c r="AC1972" s="114"/>
      <c r="AD1972" s="114"/>
      <c r="AE1972" s="114"/>
      <c r="AF1972" s="114"/>
      <c r="AG1972" s="114"/>
      <c r="AH1972" s="114"/>
      <c r="AI1972" s="114"/>
      <c r="AJ1972" s="114"/>
      <c r="AK1972" s="114"/>
      <c r="AL1972" s="114"/>
      <c r="AM1972" s="114"/>
      <c r="AN1972" s="114"/>
      <c r="AO1972" s="114"/>
      <c r="AP1972" s="114"/>
      <c r="AQ1972" s="114"/>
      <c r="AR1972" s="114"/>
      <c r="AS1972" s="114"/>
      <c r="AT1972" s="114"/>
      <c r="AU1972" s="114"/>
      <c r="AV1972" s="114"/>
      <c r="AW1972" s="114"/>
      <c r="AX1972" s="114"/>
      <c r="AY1972" s="114"/>
      <c r="AZ1972" s="114"/>
    </row>
    <row r="1973" spans="1:52">
      <c r="A1973" s="111"/>
      <c r="B1973" s="111"/>
      <c r="C1973" s="112"/>
      <c r="D1973" s="101"/>
      <c r="E1973" s="101"/>
      <c r="F1973" s="101"/>
      <c r="G1973" s="111"/>
      <c r="H1973" s="101"/>
      <c r="I1973" s="101"/>
      <c r="J1973" s="101"/>
      <c r="K1973" s="101"/>
      <c r="L1973" s="101"/>
      <c r="M1973" s="101"/>
      <c r="N1973" s="101"/>
      <c r="O1973" s="101"/>
      <c r="P1973" s="101"/>
      <c r="Q1973" s="101"/>
      <c r="R1973" s="101"/>
      <c r="S1973" s="101"/>
      <c r="T1973" s="101"/>
      <c r="U1973" s="101"/>
      <c r="V1973" s="101"/>
      <c r="W1973" s="101"/>
      <c r="X1973" s="101"/>
      <c r="Y1973" s="114"/>
      <c r="Z1973" s="114"/>
      <c r="AA1973" s="114"/>
      <c r="AB1973" s="114"/>
      <c r="AC1973" s="114"/>
      <c r="AD1973" s="114"/>
      <c r="AE1973" s="114"/>
      <c r="AF1973" s="114"/>
      <c r="AG1973" s="114"/>
      <c r="AH1973" s="114"/>
      <c r="AI1973" s="114"/>
      <c r="AJ1973" s="114"/>
      <c r="AK1973" s="114"/>
      <c r="AL1973" s="114"/>
      <c r="AM1973" s="114"/>
      <c r="AN1973" s="114"/>
      <c r="AO1973" s="114"/>
      <c r="AP1973" s="114"/>
      <c r="AQ1973" s="114"/>
      <c r="AR1973" s="114"/>
      <c r="AS1973" s="114"/>
      <c r="AT1973" s="114"/>
      <c r="AU1973" s="114"/>
      <c r="AV1973" s="114"/>
      <c r="AW1973" s="114"/>
      <c r="AX1973" s="114"/>
      <c r="AY1973" s="114"/>
      <c r="AZ1973" s="114"/>
    </row>
    <row r="1974" spans="1:52">
      <c r="A1974" s="111"/>
      <c r="B1974" s="111"/>
      <c r="C1974" s="112"/>
      <c r="D1974" s="101"/>
      <c r="E1974" s="101"/>
      <c r="F1974" s="101"/>
      <c r="G1974" s="111"/>
      <c r="H1974" s="101"/>
      <c r="I1974" s="101"/>
      <c r="J1974" s="101"/>
      <c r="K1974" s="101"/>
      <c r="L1974" s="101"/>
      <c r="M1974" s="101"/>
      <c r="N1974" s="101"/>
      <c r="O1974" s="101"/>
      <c r="P1974" s="101"/>
      <c r="Q1974" s="101"/>
      <c r="R1974" s="101"/>
      <c r="S1974" s="101"/>
      <c r="T1974" s="101"/>
      <c r="U1974" s="101"/>
      <c r="V1974" s="101"/>
      <c r="W1974" s="101"/>
      <c r="X1974" s="101"/>
      <c r="Y1974" s="114"/>
      <c r="Z1974" s="114"/>
      <c r="AA1974" s="114"/>
      <c r="AB1974" s="114"/>
      <c r="AC1974" s="114"/>
      <c r="AD1974" s="114"/>
      <c r="AE1974" s="114"/>
      <c r="AF1974" s="114"/>
      <c r="AG1974" s="114"/>
      <c r="AH1974" s="114"/>
      <c r="AI1974" s="114"/>
      <c r="AJ1974" s="114"/>
      <c r="AK1974" s="114"/>
      <c r="AL1974" s="114"/>
      <c r="AM1974" s="114"/>
      <c r="AN1974" s="114"/>
      <c r="AO1974" s="114"/>
      <c r="AP1974" s="114"/>
      <c r="AQ1974" s="114"/>
      <c r="AR1974" s="114"/>
      <c r="AS1974" s="114"/>
      <c r="AT1974" s="114"/>
      <c r="AU1974" s="114"/>
      <c r="AV1974" s="114"/>
      <c r="AW1974" s="114"/>
      <c r="AX1974" s="114"/>
      <c r="AY1974" s="114"/>
      <c r="AZ1974" s="114"/>
    </row>
    <row r="1975" spans="1:52">
      <c r="A1975" s="111"/>
      <c r="B1975" s="111"/>
      <c r="C1975" s="112"/>
      <c r="D1975" s="101"/>
      <c r="E1975" s="101"/>
      <c r="F1975" s="101"/>
      <c r="G1975" s="111"/>
      <c r="H1975" s="101"/>
      <c r="I1975" s="101"/>
      <c r="J1975" s="101"/>
      <c r="K1975" s="101"/>
      <c r="L1975" s="101"/>
      <c r="M1975" s="101"/>
      <c r="N1975" s="101"/>
      <c r="O1975" s="101"/>
      <c r="P1975" s="101"/>
      <c r="Q1975" s="101"/>
      <c r="R1975" s="101"/>
      <c r="S1975" s="101"/>
      <c r="T1975" s="101"/>
      <c r="U1975" s="101"/>
      <c r="V1975" s="101"/>
      <c r="W1975" s="101"/>
      <c r="X1975" s="101"/>
      <c r="Y1975" s="114"/>
      <c r="Z1975" s="114"/>
      <c r="AA1975" s="114"/>
      <c r="AB1975" s="114"/>
      <c r="AC1975" s="114"/>
      <c r="AD1975" s="114"/>
      <c r="AE1975" s="114"/>
      <c r="AF1975" s="114"/>
      <c r="AG1975" s="114"/>
      <c r="AH1975" s="114"/>
      <c r="AI1975" s="114"/>
      <c r="AJ1975" s="114"/>
      <c r="AK1975" s="114"/>
      <c r="AL1975" s="114"/>
      <c r="AM1975" s="114"/>
      <c r="AN1975" s="114"/>
      <c r="AO1975" s="114"/>
      <c r="AP1975" s="114"/>
      <c r="AQ1975" s="114"/>
      <c r="AR1975" s="114"/>
      <c r="AS1975" s="114"/>
      <c r="AT1975" s="114"/>
      <c r="AU1975" s="114"/>
      <c r="AV1975" s="114"/>
      <c r="AW1975" s="114"/>
      <c r="AX1975" s="114"/>
      <c r="AY1975" s="114"/>
      <c r="AZ1975" s="114"/>
    </row>
    <row r="1976" spans="1:52">
      <c r="A1976" s="111"/>
      <c r="B1976" s="111"/>
      <c r="C1976" s="112"/>
      <c r="D1976" s="101"/>
      <c r="E1976" s="101"/>
      <c r="F1976" s="101"/>
      <c r="G1976" s="111"/>
      <c r="H1976" s="101"/>
      <c r="I1976" s="101"/>
      <c r="J1976" s="101"/>
      <c r="K1976" s="101"/>
      <c r="L1976" s="101"/>
      <c r="M1976" s="101"/>
      <c r="N1976" s="101"/>
      <c r="O1976" s="101"/>
      <c r="P1976" s="101"/>
      <c r="Q1976" s="101"/>
      <c r="R1976" s="101"/>
      <c r="S1976" s="101"/>
      <c r="T1976" s="101"/>
      <c r="U1976" s="101"/>
      <c r="V1976" s="101"/>
      <c r="W1976" s="101"/>
      <c r="X1976" s="101"/>
      <c r="Y1976" s="114"/>
      <c r="Z1976" s="114"/>
      <c r="AA1976" s="114"/>
      <c r="AB1976" s="114"/>
      <c r="AC1976" s="114"/>
      <c r="AD1976" s="114"/>
      <c r="AE1976" s="114"/>
      <c r="AF1976" s="114"/>
      <c r="AG1976" s="114"/>
      <c r="AH1976" s="114"/>
      <c r="AI1976" s="114"/>
      <c r="AJ1976" s="114"/>
      <c r="AK1976" s="114"/>
      <c r="AL1976" s="114"/>
      <c r="AM1976" s="114"/>
      <c r="AN1976" s="114"/>
      <c r="AO1976" s="114"/>
      <c r="AP1976" s="114"/>
      <c r="AQ1976" s="114"/>
      <c r="AR1976" s="114"/>
      <c r="AS1976" s="114"/>
      <c r="AT1976" s="114"/>
      <c r="AU1976" s="114"/>
      <c r="AV1976" s="114"/>
      <c r="AW1976" s="114"/>
      <c r="AX1976" s="114"/>
      <c r="AY1976" s="114"/>
      <c r="AZ1976" s="114"/>
    </row>
    <row r="1977" spans="1:52">
      <c r="A1977" s="111"/>
      <c r="B1977" s="111"/>
      <c r="C1977" s="112"/>
      <c r="D1977" s="101"/>
      <c r="E1977" s="101"/>
      <c r="F1977" s="101"/>
      <c r="G1977" s="111"/>
      <c r="H1977" s="101"/>
      <c r="I1977" s="101"/>
      <c r="J1977" s="101"/>
      <c r="K1977" s="101"/>
      <c r="L1977" s="101"/>
      <c r="M1977" s="101"/>
      <c r="N1977" s="101"/>
      <c r="O1977" s="101"/>
      <c r="P1977" s="101"/>
      <c r="Q1977" s="101"/>
      <c r="R1977" s="101"/>
      <c r="S1977" s="101"/>
      <c r="T1977" s="101"/>
      <c r="U1977" s="101"/>
      <c r="V1977" s="101"/>
      <c r="W1977" s="101"/>
      <c r="X1977" s="101"/>
      <c r="Y1977" s="114"/>
      <c r="Z1977" s="114"/>
      <c r="AA1977" s="114"/>
      <c r="AB1977" s="114"/>
      <c r="AC1977" s="114"/>
      <c r="AD1977" s="114"/>
      <c r="AE1977" s="114"/>
      <c r="AF1977" s="114"/>
      <c r="AG1977" s="114"/>
      <c r="AH1977" s="114"/>
      <c r="AI1977" s="114"/>
      <c r="AJ1977" s="114"/>
      <c r="AK1977" s="114"/>
      <c r="AL1977" s="114"/>
      <c r="AM1977" s="114"/>
      <c r="AN1977" s="114"/>
      <c r="AO1977" s="114"/>
      <c r="AP1977" s="114"/>
      <c r="AQ1977" s="114"/>
      <c r="AR1977" s="114"/>
      <c r="AS1977" s="114"/>
      <c r="AT1977" s="114"/>
      <c r="AU1977" s="114"/>
      <c r="AV1977" s="114"/>
      <c r="AW1977" s="114"/>
      <c r="AX1977" s="114"/>
      <c r="AY1977" s="114"/>
      <c r="AZ1977" s="114"/>
    </row>
    <row r="1978" spans="1:52">
      <c r="A1978" s="111"/>
      <c r="B1978" s="111"/>
      <c r="C1978" s="112"/>
      <c r="D1978" s="101"/>
      <c r="E1978" s="101"/>
      <c r="F1978" s="101"/>
      <c r="G1978" s="111"/>
      <c r="H1978" s="101"/>
      <c r="I1978" s="101"/>
      <c r="J1978" s="101"/>
      <c r="K1978" s="101"/>
      <c r="L1978" s="101"/>
      <c r="M1978" s="101"/>
      <c r="N1978" s="101"/>
      <c r="O1978" s="101"/>
      <c r="P1978" s="101"/>
      <c r="Q1978" s="101"/>
      <c r="R1978" s="101"/>
      <c r="S1978" s="101"/>
      <c r="T1978" s="101"/>
      <c r="U1978" s="101"/>
      <c r="V1978" s="101"/>
      <c r="W1978" s="101"/>
      <c r="X1978" s="101"/>
      <c r="Y1978" s="114"/>
      <c r="Z1978" s="114"/>
      <c r="AA1978" s="114"/>
      <c r="AB1978" s="114"/>
      <c r="AC1978" s="114"/>
      <c r="AD1978" s="114"/>
      <c r="AE1978" s="114"/>
      <c r="AF1978" s="114"/>
      <c r="AG1978" s="114"/>
      <c r="AH1978" s="114"/>
      <c r="AI1978" s="114"/>
      <c r="AJ1978" s="114"/>
      <c r="AK1978" s="114"/>
      <c r="AL1978" s="114"/>
      <c r="AM1978" s="114"/>
      <c r="AN1978" s="114"/>
      <c r="AO1978" s="114"/>
      <c r="AP1978" s="114"/>
      <c r="AQ1978" s="114"/>
      <c r="AR1978" s="114"/>
      <c r="AS1978" s="114"/>
      <c r="AT1978" s="114"/>
      <c r="AU1978" s="114"/>
      <c r="AV1978" s="114"/>
      <c r="AW1978" s="114"/>
      <c r="AX1978" s="114"/>
      <c r="AY1978" s="114"/>
      <c r="AZ1978" s="114"/>
    </row>
    <row r="1979" spans="1:52">
      <c r="A1979" s="111"/>
      <c r="B1979" s="111"/>
      <c r="C1979" s="112"/>
      <c r="D1979" s="101"/>
      <c r="E1979" s="101"/>
      <c r="F1979" s="101"/>
      <c r="G1979" s="111"/>
      <c r="H1979" s="101"/>
      <c r="I1979" s="101"/>
      <c r="J1979" s="101"/>
      <c r="K1979" s="101"/>
      <c r="L1979" s="101"/>
      <c r="M1979" s="101"/>
      <c r="N1979" s="101"/>
      <c r="O1979" s="101"/>
      <c r="P1979" s="101"/>
      <c r="Q1979" s="101"/>
      <c r="R1979" s="101"/>
      <c r="S1979" s="101"/>
      <c r="T1979" s="101"/>
      <c r="U1979" s="101"/>
      <c r="V1979" s="101"/>
      <c r="W1979" s="101"/>
      <c r="X1979" s="101"/>
      <c r="Y1979" s="114"/>
      <c r="Z1979" s="114"/>
      <c r="AA1979" s="114"/>
      <c r="AB1979" s="114"/>
      <c r="AC1979" s="114"/>
      <c r="AD1979" s="114"/>
      <c r="AE1979" s="114"/>
      <c r="AF1979" s="114"/>
      <c r="AG1979" s="114"/>
      <c r="AH1979" s="114"/>
      <c r="AI1979" s="114"/>
      <c r="AJ1979" s="114"/>
      <c r="AK1979" s="114"/>
      <c r="AL1979" s="114"/>
      <c r="AM1979" s="114"/>
      <c r="AN1979" s="114"/>
      <c r="AO1979" s="114"/>
      <c r="AP1979" s="114"/>
      <c r="AQ1979" s="114"/>
      <c r="AR1979" s="114"/>
      <c r="AS1979" s="114"/>
      <c r="AT1979" s="114"/>
      <c r="AU1979" s="114"/>
      <c r="AV1979" s="114"/>
      <c r="AW1979" s="114"/>
      <c r="AX1979" s="114"/>
      <c r="AY1979" s="114"/>
      <c r="AZ1979" s="114"/>
    </row>
    <row r="1980" spans="1:52">
      <c r="A1980" s="111"/>
      <c r="B1980" s="111"/>
      <c r="C1980" s="112"/>
      <c r="D1980" s="101"/>
      <c r="E1980" s="101"/>
      <c r="F1980" s="101"/>
      <c r="G1980" s="111"/>
      <c r="H1980" s="101"/>
      <c r="I1980" s="101"/>
      <c r="J1980" s="101"/>
      <c r="K1980" s="101"/>
      <c r="L1980" s="101"/>
      <c r="M1980" s="101"/>
      <c r="N1980" s="101"/>
      <c r="O1980" s="101"/>
      <c r="P1980" s="101"/>
      <c r="Q1980" s="101"/>
      <c r="R1980" s="101"/>
      <c r="S1980" s="101"/>
      <c r="T1980" s="101"/>
      <c r="U1980" s="101"/>
      <c r="V1980" s="101"/>
      <c r="W1980" s="101"/>
      <c r="X1980" s="101"/>
      <c r="Y1980" s="114"/>
      <c r="Z1980" s="114"/>
      <c r="AA1980" s="114"/>
      <c r="AB1980" s="114"/>
      <c r="AC1980" s="114"/>
      <c r="AD1980" s="114"/>
      <c r="AE1980" s="114"/>
      <c r="AF1980" s="114"/>
      <c r="AG1980" s="114"/>
      <c r="AH1980" s="114"/>
      <c r="AI1980" s="114"/>
      <c r="AJ1980" s="114"/>
      <c r="AK1980" s="114"/>
      <c r="AL1980" s="114"/>
      <c r="AM1980" s="114"/>
      <c r="AN1980" s="114"/>
      <c r="AO1980" s="114"/>
      <c r="AP1980" s="114"/>
      <c r="AQ1980" s="114"/>
      <c r="AR1980" s="114"/>
      <c r="AS1980" s="114"/>
      <c r="AT1980" s="114"/>
      <c r="AU1980" s="114"/>
      <c r="AV1980" s="114"/>
      <c r="AW1980" s="114"/>
      <c r="AX1980" s="114"/>
      <c r="AY1980" s="114"/>
      <c r="AZ1980" s="114"/>
    </row>
    <row r="1981" spans="1:52">
      <c r="A1981" s="111"/>
      <c r="B1981" s="111"/>
      <c r="C1981" s="112"/>
      <c r="D1981" s="101"/>
      <c r="E1981" s="101"/>
      <c r="F1981" s="101"/>
      <c r="G1981" s="111"/>
      <c r="H1981" s="101"/>
      <c r="I1981" s="101"/>
      <c r="J1981" s="101"/>
      <c r="K1981" s="101"/>
      <c r="L1981" s="101"/>
      <c r="M1981" s="101"/>
      <c r="N1981" s="101"/>
      <c r="O1981" s="101"/>
      <c r="P1981" s="101"/>
      <c r="Q1981" s="101"/>
      <c r="R1981" s="101"/>
      <c r="S1981" s="101"/>
      <c r="T1981" s="101"/>
      <c r="U1981" s="101"/>
      <c r="V1981" s="101"/>
      <c r="W1981" s="101"/>
      <c r="X1981" s="101"/>
      <c r="Y1981" s="114"/>
      <c r="Z1981" s="114"/>
      <c r="AA1981" s="114"/>
      <c r="AB1981" s="114"/>
      <c r="AC1981" s="114"/>
      <c r="AD1981" s="114"/>
      <c r="AE1981" s="114"/>
      <c r="AF1981" s="114"/>
      <c r="AG1981" s="114"/>
      <c r="AH1981" s="114"/>
      <c r="AI1981" s="114"/>
      <c r="AJ1981" s="114"/>
      <c r="AK1981" s="114"/>
      <c r="AL1981" s="114"/>
      <c r="AM1981" s="114"/>
      <c r="AN1981" s="114"/>
      <c r="AO1981" s="114"/>
      <c r="AP1981" s="114"/>
      <c r="AQ1981" s="114"/>
      <c r="AR1981" s="114"/>
      <c r="AS1981" s="114"/>
      <c r="AT1981" s="114"/>
      <c r="AU1981" s="114"/>
      <c r="AV1981" s="114"/>
      <c r="AW1981" s="114"/>
      <c r="AX1981" s="114"/>
      <c r="AY1981" s="114"/>
      <c r="AZ1981" s="114"/>
    </row>
    <row r="1982" spans="1:52">
      <c r="A1982" s="111"/>
      <c r="B1982" s="111"/>
      <c r="C1982" s="112"/>
      <c r="D1982" s="101"/>
      <c r="E1982" s="101"/>
      <c r="F1982" s="101"/>
      <c r="G1982" s="111"/>
      <c r="H1982" s="101"/>
      <c r="I1982" s="101"/>
      <c r="J1982" s="101"/>
      <c r="K1982" s="101"/>
      <c r="L1982" s="101"/>
      <c r="M1982" s="101"/>
      <c r="N1982" s="101"/>
      <c r="O1982" s="101"/>
      <c r="P1982" s="101"/>
      <c r="Q1982" s="101"/>
      <c r="R1982" s="101"/>
      <c r="S1982" s="101"/>
      <c r="T1982" s="101"/>
      <c r="U1982" s="101"/>
      <c r="V1982" s="101"/>
      <c r="W1982" s="101"/>
      <c r="X1982" s="101"/>
      <c r="Y1982" s="114"/>
      <c r="Z1982" s="114"/>
      <c r="AA1982" s="114"/>
      <c r="AB1982" s="114"/>
      <c r="AC1982" s="114"/>
      <c r="AD1982" s="114"/>
      <c r="AE1982" s="114"/>
      <c r="AF1982" s="114"/>
      <c r="AG1982" s="114"/>
      <c r="AH1982" s="114"/>
      <c r="AI1982" s="114"/>
      <c r="AJ1982" s="114"/>
      <c r="AK1982" s="114"/>
      <c r="AL1982" s="114"/>
      <c r="AM1982" s="114"/>
      <c r="AN1982" s="114"/>
      <c r="AO1982" s="114"/>
      <c r="AP1982" s="114"/>
      <c r="AQ1982" s="114"/>
      <c r="AR1982" s="114"/>
      <c r="AS1982" s="114"/>
      <c r="AT1982" s="114"/>
      <c r="AU1982" s="114"/>
      <c r="AV1982" s="114"/>
      <c r="AW1982" s="114"/>
      <c r="AX1982" s="114"/>
      <c r="AY1982" s="114"/>
      <c r="AZ1982" s="114"/>
    </row>
    <row r="1983" spans="1:52">
      <c r="A1983" s="111"/>
      <c r="B1983" s="111"/>
      <c r="C1983" s="112"/>
      <c r="D1983" s="101"/>
      <c r="E1983" s="101"/>
      <c r="F1983" s="101"/>
      <c r="G1983" s="111"/>
      <c r="H1983" s="101"/>
      <c r="I1983" s="101"/>
      <c r="J1983" s="101"/>
      <c r="K1983" s="101"/>
      <c r="L1983" s="101"/>
      <c r="M1983" s="101"/>
      <c r="N1983" s="101"/>
      <c r="O1983" s="101"/>
      <c r="P1983" s="101"/>
      <c r="Q1983" s="101"/>
      <c r="R1983" s="101"/>
      <c r="S1983" s="101"/>
      <c r="T1983" s="101"/>
      <c r="U1983" s="101"/>
      <c r="V1983" s="101"/>
      <c r="W1983" s="101"/>
      <c r="X1983" s="101"/>
      <c r="Y1983" s="114"/>
      <c r="Z1983" s="114"/>
      <c r="AA1983" s="114"/>
      <c r="AB1983" s="114"/>
      <c r="AC1983" s="114"/>
      <c r="AD1983" s="114"/>
      <c r="AE1983" s="114"/>
      <c r="AF1983" s="114"/>
      <c r="AG1983" s="114"/>
      <c r="AH1983" s="114"/>
      <c r="AI1983" s="114"/>
      <c r="AJ1983" s="114"/>
      <c r="AK1983" s="114"/>
      <c r="AL1983" s="114"/>
      <c r="AM1983" s="114"/>
      <c r="AN1983" s="114"/>
      <c r="AO1983" s="114"/>
      <c r="AP1983" s="114"/>
      <c r="AQ1983" s="114"/>
      <c r="AR1983" s="114"/>
      <c r="AS1983" s="114"/>
      <c r="AT1983" s="114"/>
      <c r="AU1983" s="114"/>
      <c r="AV1983" s="114"/>
      <c r="AW1983" s="114"/>
      <c r="AX1983" s="114"/>
      <c r="AY1983" s="114"/>
      <c r="AZ1983" s="114"/>
    </row>
    <row r="1984" spans="1:52">
      <c r="A1984" s="111"/>
      <c r="B1984" s="111"/>
      <c r="C1984" s="112"/>
      <c r="D1984" s="101"/>
      <c r="E1984" s="101"/>
      <c r="F1984" s="101"/>
      <c r="G1984" s="111"/>
      <c r="H1984" s="101"/>
      <c r="I1984" s="101"/>
      <c r="J1984" s="101"/>
      <c r="K1984" s="101"/>
      <c r="L1984" s="101"/>
      <c r="M1984" s="101"/>
      <c r="N1984" s="101"/>
      <c r="O1984" s="101"/>
      <c r="P1984" s="101"/>
      <c r="Q1984" s="101"/>
      <c r="R1984" s="101"/>
      <c r="S1984" s="101"/>
      <c r="T1984" s="101"/>
      <c r="U1984" s="101"/>
      <c r="V1984" s="101"/>
      <c r="W1984" s="101"/>
      <c r="X1984" s="101"/>
      <c r="Y1984" s="114"/>
      <c r="Z1984" s="114"/>
      <c r="AA1984" s="114"/>
      <c r="AB1984" s="114"/>
      <c r="AC1984" s="114"/>
      <c r="AD1984" s="114"/>
      <c r="AE1984" s="114"/>
      <c r="AF1984" s="114"/>
      <c r="AG1984" s="114"/>
      <c r="AH1984" s="114"/>
      <c r="AI1984" s="114"/>
      <c r="AJ1984" s="114"/>
      <c r="AK1984" s="114"/>
      <c r="AL1984" s="114"/>
      <c r="AM1984" s="114"/>
      <c r="AN1984" s="114"/>
      <c r="AO1984" s="114"/>
      <c r="AP1984" s="114"/>
      <c r="AQ1984" s="114"/>
      <c r="AR1984" s="114"/>
      <c r="AS1984" s="114"/>
      <c r="AT1984" s="114"/>
      <c r="AU1984" s="114"/>
      <c r="AV1984" s="114"/>
      <c r="AW1984" s="114"/>
      <c r="AX1984" s="114"/>
      <c r="AY1984" s="114"/>
      <c r="AZ1984" s="114"/>
    </row>
    <row r="1985" spans="1:52">
      <c r="A1985" s="111"/>
      <c r="B1985" s="111"/>
      <c r="C1985" s="112"/>
      <c r="D1985" s="101"/>
      <c r="E1985" s="101"/>
      <c r="F1985" s="101"/>
      <c r="G1985" s="111"/>
      <c r="H1985" s="101"/>
      <c r="I1985" s="101"/>
      <c r="J1985" s="101"/>
      <c r="K1985" s="101"/>
      <c r="L1985" s="101"/>
      <c r="M1985" s="101"/>
      <c r="N1985" s="101"/>
      <c r="O1985" s="101"/>
      <c r="P1985" s="101"/>
      <c r="Q1985" s="101"/>
      <c r="R1985" s="101"/>
      <c r="S1985" s="101"/>
      <c r="T1985" s="101"/>
      <c r="U1985" s="101"/>
      <c r="V1985" s="101"/>
      <c r="W1985" s="101"/>
      <c r="X1985" s="101"/>
      <c r="Y1985" s="114"/>
      <c r="Z1985" s="114"/>
      <c r="AA1985" s="114"/>
      <c r="AB1985" s="114"/>
      <c r="AC1985" s="114"/>
      <c r="AD1985" s="114"/>
      <c r="AE1985" s="114"/>
      <c r="AF1985" s="114"/>
      <c r="AG1985" s="114"/>
      <c r="AH1985" s="114"/>
      <c r="AI1985" s="114"/>
      <c r="AJ1985" s="114"/>
      <c r="AK1985" s="114"/>
      <c r="AL1985" s="114"/>
      <c r="AM1985" s="114"/>
      <c r="AN1985" s="114"/>
      <c r="AO1985" s="114"/>
      <c r="AP1985" s="114"/>
      <c r="AQ1985" s="114"/>
      <c r="AR1985" s="114"/>
      <c r="AS1985" s="114"/>
      <c r="AT1985" s="114"/>
      <c r="AU1985" s="114"/>
      <c r="AV1985" s="114"/>
      <c r="AW1985" s="114"/>
      <c r="AX1985" s="114"/>
      <c r="AY1985" s="114"/>
      <c r="AZ1985" s="114"/>
    </row>
    <row r="1986" spans="1:52">
      <c r="A1986" s="111"/>
      <c r="B1986" s="111"/>
      <c r="C1986" s="112"/>
      <c r="D1986" s="101"/>
      <c r="E1986" s="101"/>
      <c r="F1986" s="101"/>
      <c r="G1986" s="111"/>
      <c r="H1986" s="101"/>
      <c r="I1986" s="101"/>
      <c r="J1986" s="101"/>
      <c r="K1986" s="101"/>
      <c r="L1986" s="101"/>
      <c r="M1986" s="101"/>
      <c r="N1986" s="101"/>
      <c r="O1986" s="101"/>
      <c r="P1986" s="101"/>
      <c r="Q1986" s="101"/>
      <c r="R1986" s="101"/>
      <c r="S1986" s="101"/>
      <c r="T1986" s="101"/>
      <c r="U1986" s="101"/>
      <c r="V1986" s="101"/>
      <c r="W1986" s="101"/>
      <c r="X1986" s="101"/>
      <c r="Y1986" s="114"/>
      <c r="Z1986" s="114"/>
      <c r="AA1986" s="114"/>
      <c r="AB1986" s="114"/>
      <c r="AC1986" s="114"/>
      <c r="AD1986" s="114"/>
      <c r="AE1986" s="114"/>
      <c r="AF1986" s="114"/>
      <c r="AG1986" s="114"/>
      <c r="AH1986" s="114"/>
      <c r="AI1986" s="114"/>
      <c r="AJ1986" s="114"/>
      <c r="AK1986" s="114"/>
      <c r="AL1986" s="114"/>
      <c r="AM1986" s="114"/>
      <c r="AN1986" s="114"/>
      <c r="AO1986" s="114"/>
      <c r="AP1986" s="114"/>
      <c r="AQ1986" s="114"/>
      <c r="AR1986" s="114"/>
      <c r="AS1986" s="114"/>
      <c r="AT1986" s="114"/>
      <c r="AU1986" s="114"/>
      <c r="AV1986" s="114"/>
      <c r="AW1986" s="114"/>
      <c r="AX1986" s="114"/>
      <c r="AY1986" s="114"/>
      <c r="AZ1986" s="114"/>
    </row>
    <row r="1987" spans="1:52">
      <c r="A1987" s="111"/>
      <c r="B1987" s="111"/>
      <c r="C1987" s="112"/>
      <c r="D1987" s="101"/>
      <c r="E1987" s="101"/>
      <c r="F1987" s="101"/>
      <c r="G1987" s="111"/>
      <c r="H1987" s="101"/>
      <c r="I1987" s="101"/>
      <c r="J1987" s="101"/>
      <c r="K1987" s="101"/>
      <c r="L1987" s="101"/>
      <c r="M1987" s="101"/>
      <c r="N1987" s="101"/>
      <c r="O1987" s="101"/>
      <c r="P1987" s="101"/>
      <c r="Q1987" s="101"/>
      <c r="R1987" s="101"/>
      <c r="S1987" s="101"/>
      <c r="T1987" s="101"/>
      <c r="U1987" s="101"/>
      <c r="V1987" s="101"/>
      <c r="W1987" s="101"/>
      <c r="X1987" s="101"/>
      <c r="Y1987" s="114"/>
      <c r="Z1987" s="114"/>
      <c r="AA1987" s="114"/>
      <c r="AB1987" s="114"/>
      <c r="AC1987" s="114"/>
      <c r="AD1987" s="114"/>
      <c r="AE1987" s="114"/>
      <c r="AF1987" s="114"/>
      <c r="AG1987" s="114"/>
      <c r="AH1987" s="114"/>
      <c r="AI1987" s="114"/>
      <c r="AJ1987" s="114"/>
      <c r="AK1987" s="114"/>
      <c r="AL1987" s="114"/>
      <c r="AM1987" s="114"/>
      <c r="AN1987" s="114"/>
      <c r="AO1987" s="114"/>
      <c r="AP1987" s="114"/>
      <c r="AQ1987" s="114"/>
      <c r="AR1987" s="114"/>
      <c r="AS1987" s="114"/>
      <c r="AT1987" s="114"/>
      <c r="AU1987" s="114"/>
      <c r="AV1987" s="114"/>
      <c r="AW1987" s="114"/>
      <c r="AX1987" s="114"/>
      <c r="AY1987" s="114"/>
      <c r="AZ1987" s="114"/>
    </row>
    <row r="1988" spans="1:52">
      <c r="A1988" s="111"/>
      <c r="B1988" s="111"/>
      <c r="C1988" s="112"/>
      <c r="D1988" s="101"/>
      <c r="E1988" s="101"/>
      <c r="F1988" s="101"/>
      <c r="G1988" s="111"/>
      <c r="H1988" s="101"/>
      <c r="I1988" s="101"/>
      <c r="J1988" s="101"/>
      <c r="K1988" s="101"/>
      <c r="L1988" s="101"/>
      <c r="M1988" s="101"/>
      <c r="N1988" s="101"/>
      <c r="O1988" s="101"/>
      <c r="P1988" s="101"/>
      <c r="Q1988" s="101"/>
      <c r="R1988" s="101"/>
      <c r="S1988" s="101"/>
      <c r="T1988" s="101"/>
      <c r="U1988" s="101"/>
      <c r="V1988" s="101"/>
      <c r="W1988" s="101"/>
      <c r="X1988" s="101"/>
      <c r="Y1988" s="114"/>
      <c r="Z1988" s="114"/>
      <c r="AA1988" s="114"/>
      <c r="AB1988" s="114"/>
      <c r="AC1988" s="114"/>
      <c r="AD1988" s="114"/>
      <c r="AE1988" s="114"/>
      <c r="AF1988" s="114"/>
      <c r="AG1988" s="114"/>
      <c r="AH1988" s="114"/>
      <c r="AI1988" s="114"/>
      <c r="AJ1988" s="114"/>
      <c r="AK1988" s="114"/>
      <c r="AL1988" s="114"/>
      <c r="AM1988" s="114"/>
      <c r="AN1988" s="114"/>
      <c r="AO1988" s="114"/>
      <c r="AP1988" s="114"/>
      <c r="AQ1988" s="114"/>
      <c r="AR1988" s="114"/>
      <c r="AS1988" s="114"/>
      <c r="AT1988" s="114"/>
      <c r="AU1988" s="114"/>
      <c r="AV1988" s="114"/>
      <c r="AW1988" s="114"/>
      <c r="AX1988" s="114"/>
      <c r="AY1988" s="114"/>
      <c r="AZ1988" s="114"/>
    </row>
    <row r="1989" spans="1:52">
      <c r="A1989" s="111"/>
      <c r="B1989" s="111"/>
      <c r="C1989" s="112"/>
      <c r="D1989" s="101"/>
      <c r="E1989" s="101"/>
      <c r="F1989" s="101"/>
      <c r="G1989" s="111"/>
      <c r="H1989" s="101"/>
      <c r="I1989" s="101"/>
      <c r="J1989" s="101"/>
      <c r="K1989" s="101"/>
      <c r="L1989" s="101"/>
      <c r="M1989" s="101"/>
      <c r="N1989" s="101"/>
      <c r="O1989" s="101"/>
      <c r="P1989" s="101"/>
      <c r="Q1989" s="101"/>
      <c r="R1989" s="101"/>
      <c r="S1989" s="101"/>
      <c r="T1989" s="101"/>
      <c r="U1989" s="101"/>
      <c r="V1989" s="101"/>
      <c r="W1989" s="101"/>
      <c r="X1989" s="101"/>
      <c r="Y1989" s="114"/>
      <c r="Z1989" s="114"/>
      <c r="AA1989" s="114"/>
      <c r="AB1989" s="114"/>
      <c r="AC1989" s="114"/>
      <c r="AD1989" s="114"/>
      <c r="AE1989" s="114"/>
      <c r="AF1989" s="114"/>
      <c r="AG1989" s="114"/>
      <c r="AH1989" s="114"/>
      <c r="AI1989" s="114"/>
      <c r="AJ1989" s="114"/>
      <c r="AK1989" s="114"/>
      <c r="AL1989" s="114"/>
      <c r="AM1989" s="114"/>
      <c r="AN1989" s="114"/>
      <c r="AO1989" s="114"/>
      <c r="AP1989" s="114"/>
      <c r="AQ1989" s="114"/>
      <c r="AR1989" s="114"/>
      <c r="AS1989" s="114"/>
      <c r="AT1989" s="114"/>
      <c r="AU1989" s="114"/>
      <c r="AV1989" s="114"/>
      <c r="AW1989" s="114"/>
      <c r="AX1989" s="114"/>
      <c r="AY1989" s="114"/>
      <c r="AZ1989" s="114"/>
    </row>
    <row r="1990" spans="1:52">
      <c r="A1990" s="111"/>
      <c r="B1990" s="111"/>
      <c r="C1990" s="112"/>
      <c r="D1990" s="101"/>
      <c r="E1990" s="101"/>
      <c r="F1990" s="101"/>
      <c r="G1990" s="111"/>
      <c r="H1990" s="101"/>
      <c r="I1990" s="101"/>
      <c r="J1990" s="101"/>
      <c r="K1990" s="101"/>
      <c r="L1990" s="101"/>
      <c r="M1990" s="101"/>
      <c r="N1990" s="101"/>
      <c r="O1990" s="101"/>
      <c r="P1990" s="101"/>
      <c r="Q1990" s="101"/>
      <c r="R1990" s="101"/>
      <c r="S1990" s="101"/>
      <c r="T1990" s="101"/>
      <c r="U1990" s="101"/>
      <c r="V1990" s="101"/>
      <c r="W1990" s="101"/>
      <c r="X1990" s="101"/>
      <c r="Y1990" s="114"/>
      <c r="Z1990" s="114"/>
      <c r="AA1990" s="114"/>
      <c r="AB1990" s="114"/>
      <c r="AC1990" s="114"/>
      <c r="AD1990" s="114"/>
      <c r="AE1990" s="114"/>
      <c r="AF1990" s="114"/>
      <c r="AG1990" s="114"/>
      <c r="AH1990" s="114"/>
      <c r="AI1990" s="114"/>
      <c r="AJ1990" s="114"/>
      <c r="AK1990" s="114"/>
      <c r="AL1990" s="114"/>
      <c r="AM1990" s="114"/>
      <c r="AN1990" s="114"/>
      <c r="AO1990" s="114"/>
      <c r="AP1990" s="114"/>
      <c r="AQ1990" s="114"/>
      <c r="AR1990" s="114"/>
      <c r="AS1990" s="114"/>
      <c r="AT1990" s="114"/>
      <c r="AU1990" s="114"/>
      <c r="AV1990" s="114"/>
      <c r="AW1990" s="114"/>
      <c r="AX1990" s="114"/>
      <c r="AY1990" s="114"/>
      <c r="AZ1990" s="114"/>
    </row>
    <row r="1991" spans="1:52">
      <c r="A1991" s="111"/>
      <c r="B1991" s="111"/>
      <c r="C1991" s="112"/>
      <c r="D1991" s="101"/>
      <c r="E1991" s="101"/>
      <c r="F1991" s="101"/>
      <c r="G1991" s="111"/>
      <c r="H1991" s="101"/>
      <c r="I1991" s="101"/>
      <c r="J1991" s="101"/>
      <c r="K1991" s="101"/>
      <c r="L1991" s="101"/>
      <c r="M1991" s="101"/>
      <c r="N1991" s="101"/>
      <c r="O1991" s="101"/>
      <c r="P1991" s="101"/>
      <c r="Q1991" s="101"/>
      <c r="R1991" s="101"/>
      <c r="S1991" s="101"/>
      <c r="T1991" s="101"/>
      <c r="U1991" s="101"/>
      <c r="V1991" s="101"/>
      <c r="W1991" s="101"/>
      <c r="X1991" s="101"/>
      <c r="Y1991" s="114"/>
      <c r="Z1991" s="114"/>
      <c r="AA1991" s="114"/>
      <c r="AB1991" s="114"/>
      <c r="AC1991" s="114"/>
      <c r="AD1991" s="114"/>
      <c r="AE1991" s="114"/>
      <c r="AF1991" s="114"/>
      <c r="AG1991" s="114"/>
      <c r="AH1991" s="114"/>
      <c r="AI1991" s="114"/>
      <c r="AJ1991" s="114"/>
      <c r="AK1991" s="114"/>
      <c r="AL1991" s="114"/>
      <c r="AM1991" s="114"/>
      <c r="AN1991" s="114"/>
      <c r="AO1991" s="114"/>
      <c r="AP1991" s="114"/>
      <c r="AQ1991" s="114"/>
      <c r="AR1991" s="114"/>
      <c r="AS1991" s="114"/>
      <c r="AT1991" s="114"/>
      <c r="AU1991" s="114"/>
      <c r="AV1991" s="114"/>
      <c r="AW1991" s="114"/>
      <c r="AX1991" s="114"/>
      <c r="AY1991" s="114"/>
      <c r="AZ1991" s="114"/>
    </row>
    <row r="1992" spans="1:52">
      <c r="A1992" s="111"/>
      <c r="B1992" s="111"/>
      <c r="C1992" s="112"/>
      <c r="D1992" s="101"/>
      <c r="E1992" s="101"/>
      <c r="F1992" s="101"/>
      <c r="G1992" s="111"/>
      <c r="H1992" s="101"/>
      <c r="I1992" s="101"/>
      <c r="J1992" s="101"/>
      <c r="K1992" s="101"/>
      <c r="L1992" s="101"/>
      <c r="M1992" s="101"/>
      <c r="N1992" s="101"/>
      <c r="O1992" s="101"/>
      <c r="P1992" s="101"/>
      <c r="Q1992" s="101"/>
      <c r="R1992" s="101"/>
      <c r="S1992" s="101"/>
      <c r="T1992" s="101"/>
      <c r="U1992" s="101"/>
      <c r="V1992" s="101"/>
      <c r="W1992" s="101"/>
      <c r="X1992" s="101"/>
      <c r="Y1992" s="114"/>
      <c r="Z1992" s="114"/>
      <c r="AA1992" s="114"/>
      <c r="AB1992" s="114"/>
      <c r="AC1992" s="114"/>
      <c r="AD1992" s="114"/>
      <c r="AE1992" s="114"/>
      <c r="AF1992" s="114"/>
      <c r="AG1992" s="114"/>
      <c r="AH1992" s="114"/>
      <c r="AI1992" s="114"/>
      <c r="AJ1992" s="114"/>
      <c r="AK1992" s="114"/>
      <c r="AL1992" s="114"/>
      <c r="AM1992" s="114"/>
      <c r="AN1992" s="114"/>
      <c r="AO1992" s="114"/>
      <c r="AP1992" s="114"/>
      <c r="AQ1992" s="114"/>
      <c r="AR1992" s="114"/>
      <c r="AS1992" s="114"/>
      <c r="AT1992" s="114"/>
      <c r="AU1992" s="114"/>
      <c r="AV1992" s="114"/>
      <c r="AW1992" s="114"/>
      <c r="AX1992" s="114"/>
      <c r="AY1992" s="114"/>
      <c r="AZ1992" s="114"/>
    </row>
    <row r="1993" spans="1:52">
      <c r="A1993" s="111"/>
      <c r="B1993" s="111"/>
      <c r="C1993" s="112"/>
      <c r="D1993" s="101"/>
      <c r="E1993" s="101"/>
      <c r="F1993" s="101"/>
      <c r="G1993" s="111"/>
      <c r="H1993" s="101"/>
      <c r="I1993" s="101"/>
      <c r="J1993" s="101"/>
      <c r="K1993" s="101"/>
      <c r="L1993" s="101"/>
      <c r="M1993" s="101"/>
      <c r="N1993" s="101"/>
      <c r="O1993" s="101"/>
      <c r="P1993" s="101"/>
      <c r="Q1993" s="101"/>
      <c r="R1993" s="101"/>
      <c r="S1993" s="101"/>
      <c r="T1993" s="101"/>
      <c r="U1993" s="101"/>
      <c r="V1993" s="101"/>
      <c r="W1993" s="101"/>
      <c r="X1993" s="101"/>
      <c r="Y1993" s="114"/>
      <c r="Z1993" s="114"/>
      <c r="AA1993" s="114"/>
      <c r="AB1993" s="114"/>
      <c r="AC1993" s="114"/>
      <c r="AD1993" s="114"/>
      <c r="AE1993" s="114"/>
      <c r="AF1993" s="114"/>
      <c r="AG1993" s="114"/>
      <c r="AH1993" s="114"/>
      <c r="AI1993" s="114"/>
      <c r="AJ1993" s="114"/>
      <c r="AK1993" s="114"/>
      <c r="AL1993" s="114"/>
      <c r="AM1993" s="114"/>
      <c r="AN1993" s="114"/>
      <c r="AO1993" s="114"/>
      <c r="AP1993" s="114"/>
      <c r="AQ1993" s="114"/>
      <c r="AR1993" s="114"/>
      <c r="AS1993" s="114"/>
      <c r="AT1993" s="114"/>
      <c r="AU1993" s="114"/>
      <c r="AV1993" s="114"/>
      <c r="AW1993" s="114"/>
      <c r="AX1993" s="114"/>
      <c r="AY1993" s="114"/>
      <c r="AZ1993" s="114"/>
    </row>
    <row r="1994" spans="1:52">
      <c r="A1994" s="111"/>
      <c r="B1994" s="111"/>
      <c r="C1994" s="112"/>
      <c r="D1994" s="101"/>
      <c r="E1994" s="101"/>
      <c r="F1994" s="101"/>
      <c r="G1994" s="111"/>
      <c r="H1994" s="101"/>
      <c r="I1994" s="101"/>
      <c r="J1994" s="101"/>
      <c r="K1994" s="101"/>
      <c r="L1994" s="101"/>
      <c r="M1994" s="101"/>
      <c r="N1994" s="101"/>
      <c r="O1994" s="101"/>
      <c r="P1994" s="101"/>
      <c r="Q1994" s="101"/>
      <c r="R1994" s="101"/>
      <c r="S1994" s="101"/>
      <c r="T1994" s="101"/>
      <c r="U1994" s="101"/>
      <c r="V1994" s="101"/>
      <c r="W1994" s="101"/>
      <c r="X1994" s="101"/>
      <c r="Y1994" s="114"/>
      <c r="Z1994" s="114"/>
      <c r="AA1994" s="114"/>
      <c r="AB1994" s="114"/>
      <c r="AC1994" s="114"/>
      <c r="AD1994" s="114"/>
      <c r="AE1994" s="114"/>
      <c r="AF1994" s="114"/>
      <c r="AG1994" s="114"/>
      <c r="AH1994" s="114"/>
      <c r="AI1994" s="114"/>
      <c r="AJ1994" s="114"/>
      <c r="AK1994" s="114"/>
      <c r="AL1994" s="114"/>
      <c r="AM1994" s="114"/>
      <c r="AN1994" s="114"/>
      <c r="AO1994" s="114"/>
      <c r="AP1994" s="114"/>
      <c r="AQ1994" s="114"/>
      <c r="AR1994" s="114"/>
      <c r="AS1994" s="114"/>
      <c r="AT1994" s="114"/>
      <c r="AU1994" s="114"/>
      <c r="AV1994" s="114"/>
      <c r="AW1994" s="114"/>
      <c r="AX1994" s="114"/>
      <c r="AY1994" s="114"/>
      <c r="AZ1994" s="114"/>
    </row>
    <row r="1995" spans="1:52">
      <c r="A1995" s="111"/>
      <c r="B1995" s="111"/>
      <c r="C1995" s="112"/>
      <c r="D1995" s="101"/>
      <c r="E1995" s="101"/>
      <c r="F1995" s="101"/>
      <c r="G1995" s="111"/>
      <c r="H1995" s="101"/>
      <c r="I1995" s="101"/>
      <c r="J1995" s="101"/>
      <c r="K1995" s="101"/>
      <c r="L1995" s="101"/>
      <c r="M1995" s="101"/>
      <c r="N1995" s="101"/>
      <c r="O1995" s="101"/>
      <c r="P1995" s="101"/>
      <c r="Q1995" s="101"/>
      <c r="R1995" s="101"/>
      <c r="S1995" s="101"/>
      <c r="T1995" s="101"/>
      <c r="U1995" s="101"/>
      <c r="V1995" s="101"/>
      <c r="W1995" s="101"/>
      <c r="X1995" s="101"/>
      <c r="Y1995" s="114"/>
      <c r="Z1995" s="114"/>
      <c r="AA1995" s="114"/>
      <c r="AB1995" s="114"/>
      <c r="AC1995" s="114"/>
      <c r="AD1995" s="114"/>
      <c r="AE1995" s="114"/>
      <c r="AF1995" s="114"/>
      <c r="AG1995" s="114"/>
      <c r="AH1995" s="114"/>
      <c r="AI1995" s="114"/>
      <c r="AJ1995" s="114"/>
      <c r="AK1995" s="114"/>
      <c r="AL1995" s="114"/>
      <c r="AM1995" s="114"/>
      <c r="AN1995" s="114"/>
      <c r="AO1995" s="114"/>
      <c r="AP1995" s="114"/>
      <c r="AQ1995" s="114"/>
      <c r="AR1995" s="114"/>
      <c r="AS1995" s="114"/>
      <c r="AT1995" s="114"/>
      <c r="AU1995" s="114"/>
      <c r="AV1995" s="114"/>
      <c r="AW1995" s="114"/>
      <c r="AX1995" s="114"/>
      <c r="AY1995" s="114"/>
      <c r="AZ1995" s="114"/>
    </row>
    <row r="1996" spans="1:52">
      <c r="A1996" s="111"/>
      <c r="B1996" s="111"/>
      <c r="C1996" s="112"/>
      <c r="D1996" s="101"/>
      <c r="E1996" s="101"/>
      <c r="F1996" s="101"/>
      <c r="G1996" s="111"/>
      <c r="H1996" s="101"/>
      <c r="I1996" s="101"/>
      <c r="J1996" s="101"/>
      <c r="K1996" s="101"/>
      <c r="L1996" s="101"/>
      <c r="M1996" s="101"/>
      <c r="N1996" s="101"/>
      <c r="O1996" s="101"/>
      <c r="P1996" s="101"/>
      <c r="Q1996" s="101"/>
      <c r="R1996" s="101"/>
      <c r="S1996" s="101"/>
      <c r="T1996" s="101"/>
      <c r="U1996" s="101"/>
      <c r="V1996" s="101"/>
      <c r="W1996" s="101"/>
      <c r="X1996" s="101"/>
      <c r="Y1996" s="114"/>
      <c r="Z1996" s="114"/>
      <c r="AA1996" s="114"/>
      <c r="AB1996" s="114"/>
      <c r="AC1996" s="114"/>
      <c r="AD1996" s="114"/>
      <c r="AE1996" s="114"/>
      <c r="AF1996" s="114"/>
      <c r="AG1996" s="114"/>
      <c r="AH1996" s="114"/>
      <c r="AI1996" s="114"/>
      <c r="AJ1996" s="114"/>
      <c r="AK1996" s="114"/>
      <c r="AL1996" s="114"/>
      <c r="AM1996" s="114"/>
      <c r="AN1996" s="114"/>
      <c r="AO1996" s="114"/>
      <c r="AP1996" s="114"/>
      <c r="AQ1996" s="114"/>
      <c r="AR1996" s="114"/>
      <c r="AS1996" s="114"/>
      <c r="AT1996" s="114"/>
      <c r="AU1996" s="114"/>
      <c r="AV1996" s="114"/>
      <c r="AW1996" s="114"/>
      <c r="AX1996" s="114"/>
      <c r="AY1996" s="114"/>
      <c r="AZ1996" s="114"/>
    </row>
    <row r="1997" spans="1:52">
      <c r="A1997" s="111"/>
      <c r="B1997" s="111"/>
      <c r="C1997" s="112"/>
      <c r="D1997" s="101"/>
      <c r="E1997" s="101"/>
      <c r="F1997" s="101"/>
      <c r="G1997" s="111"/>
      <c r="H1997" s="101"/>
      <c r="I1997" s="101"/>
      <c r="J1997" s="101"/>
      <c r="K1997" s="101"/>
      <c r="L1997" s="101"/>
      <c r="M1997" s="101"/>
      <c r="N1997" s="101"/>
      <c r="O1997" s="101"/>
      <c r="P1997" s="101"/>
      <c r="Q1997" s="101"/>
      <c r="R1997" s="101"/>
      <c r="S1997" s="101"/>
      <c r="T1997" s="101"/>
      <c r="U1997" s="101"/>
      <c r="V1997" s="101"/>
      <c r="W1997" s="101"/>
      <c r="X1997" s="101"/>
      <c r="Y1997" s="114"/>
      <c r="Z1997" s="114"/>
      <c r="AA1997" s="114"/>
      <c r="AB1997" s="114"/>
      <c r="AC1997" s="114"/>
      <c r="AD1997" s="114"/>
      <c r="AE1997" s="114"/>
      <c r="AF1997" s="114"/>
      <c r="AG1997" s="114"/>
      <c r="AH1997" s="114"/>
      <c r="AI1997" s="114"/>
      <c r="AJ1997" s="114"/>
      <c r="AK1997" s="114"/>
      <c r="AL1997" s="114"/>
      <c r="AM1997" s="114"/>
      <c r="AN1997" s="114"/>
      <c r="AO1997" s="114"/>
      <c r="AP1997" s="114"/>
      <c r="AQ1997" s="114"/>
      <c r="AR1997" s="114"/>
      <c r="AS1997" s="114"/>
      <c r="AT1997" s="114"/>
      <c r="AU1997" s="114"/>
      <c r="AV1997" s="114"/>
      <c r="AW1997" s="114"/>
      <c r="AX1997" s="114"/>
      <c r="AY1997" s="114"/>
      <c r="AZ1997" s="114"/>
    </row>
    <row r="1998" spans="1:52">
      <c r="A1998" s="111"/>
      <c r="B1998" s="111"/>
      <c r="C1998" s="112"/>
      <c r="D1998" s="101"/>
      <c r="E1998" s="101"/>
      <c r="F1998" s="101"/>
      <c r="G1998" s="111"/>
      <c r="H1998" s="101"/>
      <c r="I1998" s="101"/>
      <c r="J1998" s="101"/>
      <c r="K1998" s="101"/>
      <c r="L1998" s="101"/>
      <c r="M1998" s="101"/>
      <c r="N1998" s="101"/>
      <c r="O1998" s="101"/>
      <c r="P1998" s="101"/>
      <c r="Q1998" s="101"/>
      <c r="R1998" s="101"/>
      <c r="S1998" s="101"/>
      <c r="T1998" s="101"/>
      <c r="U1998" s="101"/>
      <c r="V1998" s="101"/>
      <c r="W1998" s="101"/>
      <c r="X1998" s="101"/>
      <c r="Y1998" s="114"/>
      <c r="Z1998" s="114"/>
      <c r="AA1998" s="114"/>
      <c r="AB1998" s="114"/>
      <c r="AC1998" s="114"/>
      <c r="AD1998" s="114"/>
      <c r="AE1998" s="114"/>
      <c r="AF1998" s="114"/>
      <c r="AG1998" s="114"/>
      <c r="AH1998" s="114"/>
      <c r="AI1998" s="114"/>
      <c r="AJ1998" s="114"/>
      <c r="AK1998" s="114"/>
      <c r="AL1998" s="114"/>
      <c r="AM1998" s="114"/>
      <c r="AN1998" s="114"/>
      <c r="AO1998" s="114"/>
      <c r="AP1998" s="114"/>
      <c r="AQ1998" s="114"/>
      <c r="AR1998" s="114"/>
      <c r="AS1998" s="114"/>
      <c r="AT1998" s="114"/>
      <c r="AU1998" s="114"/>
      <c r="AV1998" s="114"/>
      <c r="AW1998" s="114"/>
      <c r="AX1998" s="114"/>
      <c r="AY1998" s="114"/>
      <c r="AZ1998" s="114"/>
    </row>
    <row r="1999" spans="1:52">
      <c r="A1999" s="111"/>
      <c r="B1999" s="111"/>
      <c r="C1999" s="112"/>
      <c r="D1999" s="101"/>
      <c r="E1999" s="101"/>
      <c r="F1999" s="101"/>
      <c r="G1999" s="111"/>
      <c r="H1999" s="101"/>
      <c r="I1999" s="101"/>
      <c r="J1999" s="101"/>
      <c r="K1999" s="101"/>
      <c r="L1999" s="101"/>
      <c r="M1999" s="101"/>
      <c r="N1999" s="101"/>
      <c r="O1999" s="101"/>
      <c r="P1999" s="101"/>
      <c r="Q1999" s="101"/>
      <c r="R1999" s="101"/>
      <c r="S1999" s="101"/>
      <c r="T1999" s="101"/>
      <c r="U1999" s="101"/>
      <c r="V1999" s="101"/>
      <c r="W1999" s="101"/>
      <c r="X1999" s="101"/>
      <c r="Y1999" s="114"/>
      <c r="Z1999" s="114"/>
      <c r="AA1999" s="114"/>
      <c r="AB1999" s="114"/>
      <c r="AC1999" s="114"/>
      <c r="AD1999" s="114"/>
      <c r="AE1999" s="114"/>
      <c r="AF1999" s="114"/>
      <c r="AG1999" s="114"/>
      <c r="AH1999" s="114"/>
      <c r="AI1999" s="114"/>
      <c r="AJ1999" s="114"/>
      <c r="AK1999" s="114"/>
      <c r="AL1999" s="114"/>
      <c r="AM1999" s="114"/>
      <c r="AN1999" s="114"/>
      <c r="AO1999" s="114"/>
      <c r="AP1999" s="114"/>
      <c r="AQ1999" s="114"/>
      <c r="AR1999" s="114"/>
      <c r="AS1999" s="114"/>
      <c r="AT1999" s="114"/>
      <c r="AU1999" s="114"/>
      <c r="AV1999" s="114"/>
      <c r="AW1999" s="114"/>
      <c r="AX1999" s="114"/>
      <c r="AY1999" s="114"/>
      <c r="AZ1999" s="114"/>
    </row>
    <row r="2000" spans="1:52">
      <c r="A2000" s="111"/>
      <c r="B2000" s="111"/>
      <c r="C2000" s="112"/>
      <c r="D2000" s="101"/>
      <c r="E2000" s="101"/>
      <c r="F2000" s="101"/>
      <c r="G2000" s="111"/>
      <c r="H2000" s="101"/>
      <c r="I2000" s="101"/>
      <c r="J2000" s="101"/>
      <c r="K2000" s="101"/>
      <c r="L2000" s="101"/>
      <c r="M2000" s="101"/>
      <c r="N2000" s="101"/>
      <c r="O2000" s="101"/>
      <c r="P2000" s="101"/>
      <c r="Q2000" s="101"/>
      <c r="R2000" s="101"/>
      <c r="S2000" s="101"/>
      <c r="T2000" s="101"/>
      <c r="U2000" s="101"/>
      <c r="V2000" s="101"/>
      <c r="W2000" s="101"/>
      <c r="X2000" s="101"/>
      <c r="Y2000" s="114"/>
      <c r="Z2000" s="114"/>
      <c r="AA2000" s="114"/>
      <c r="AB2000" s="114"/>
      <c r="AC2000" s="114"/>
      <c r="AD2000" s="114"/>
      <c r="AE2000" s="114"/>
      <c r="AF2000" s="114"/>
      <c r="AG2000" s="114"/>
      <c r="AH2000" s="114"/>
      <c r="AI2000" s="114"/>
      <c r="AJ2000" s="114"/>
      <c r="AK2000" s="114"/>
      <c r="AL2000" s="114"/>
      <c r="AM2000" s="114"/>
      <c r="AN2000" s="114"/>
      <c r="AO2000" s="114"/>
      <c r="AP2000" s="114"/>
      <c r="AQ2000" s="114"/>
      <c r="AR2000" s="114"/>
      <c r="AS2000" s="114"/>
      <c r="AT2000" s="114"/>
      <c r="AU2000" s="114"/>
      <c r="AV2000" s="114"/>
      <c r="AW2000" s="114"/>
      <c r="AX2000" s="114"/>
      <c r="AY2000" s="114"/>
      <c r="AZ2000" s="114"/>
    </row>
    <row r="2001" spans="1:52">
      <c r="A2001" s="111"/>
      <c r="B2001" s="111"/>
      <c r="C2001" s="112"/>
      <c r="D2001" s="101"/>
      <c r="E2001" s="101"/>
      <c r="F2001" s="101"/>
      <c r="G2001" s="111"/>
      <c r="H2001" s="101"/>
      <c r="I2001" s="101"/>
      <c r="J2001" s="101"/>
      <c r="K2001" s="101"/>
      <c r="L2001" s="101"/>
      <c r="M2001" s="101"/>
      <c r="N2001" s="101"/>
      <c r="O2001" s="101"/>
      <c r="P2001" s="101"/>
      <c r="Q2001" s="101"/>
      <c r="R2001" s="101"/>
      <c r="S2001" s="101"/>
      <c r="T2001" s="101"/>
      <c r="U2001" s="101"/>
      <c r="V2001" s="101"/>
      <c r="W2001" s="101"/>
      <c r="X2001" s="101"/>
      <c r="Y2001" s="114"/>
      <c r="Z2001" s="114"/>
      <c r="AA2001" s="114"/>
      <c r="AB2001" s="114"/>
      <c r="AC2001" s="114"/>
      <c r="AD2001" s="114"/>
      <c r="AE2001" s="114"/>
      <c r="AF2001" s="114"/>
      <c r="AG2001" s="114"/>
      <c r="AH2001" s="114"/>
      <c r="AI2001" s="114"/>
      <c r="AJ2001" s="114"/>
      <c r="AK2001" s="114"/>
      <c r="AL2001" s="114"/>
      <c r="AM2001" s="114"/>
      <c r="AN2001" s="114"/>
      <c r="AO2001" s="114"/>
      <c r="AP2001" s="114"/>
      <c r="AQ2001" s="114"/>
      <c r="AR2001" s="114"/>
      <c r="AS2001" s="114"/>
      <c r="AT2001" s="114"/>
      <c r="AU2001" s="114"/>
      <c r="AV2001" s="114"/>
      <c r="AW2001" s="114"/>
      <c r="AX2001" s="114"/>
      <c r="AY2001" s="114"/>
      <c r="AZ2001" s="114"/>
    </row>
    <row r="2002" spans="1:52">
      <c r="A2002" s="111"/>
      <c r="B2002" s="111"/>
      <c r="C2002" s="112"/>
      <c r="D2002" s="101"/>
      <c r="E2002" s="101"/>
      <c r="F2002" s="101"/>
      <c r="G2002" s="111"/>
      <c r="H2002" s="101"/>
      <c r="I2002" s="101"/>
      <c r="J2002" s="101"/>
      <c r="K2002" s="101"/>
      <c r="L2002" s="101"/>
      <c r="M2002" s="101"/>
      <c r="N2002" s="101"/>
      <c r="O2002" s="101"/>
      <c r="P2002" s="101"/>
      <c r="Q2002" s="101"/>
      <c r="R2002" s="101"/>
      <c r="S2002" s="101"/>
      <c r="T2002" s="101"/>
      <c r="U2002" s="101"/>
      <c r="V2002" s="101"/>
      <c r="W2002" s="101"/>
      <c r="X2002" s="101"/>
      <c r="Y2002" s="114"/>
      <c r="Z2002" s="114"/>
      <c r="AA2002" s="114"/>
      <c r="AB2002" s="114"/>
      <c r="AC2002" s="114"/>
      <c r="AD2002" s="114"/>
      <c r="AE2002" s="114"/>
      <c r="AF2002" s="114"/>
      <c r="AG2002" s="114"/>
      <c r="AH2002" s="114"/>
      <c r="AI2002" s="114"/>
      <c r="AJ2002" s="114"/>
      <c r="AK2002" s="114"/>
      <c r="AL2002" s="114"/>
      <c r="AM2002" s="114"/>
      <c r="AN2002" s="114"/>
      <c r="AO2002" s="114"/>
      <c r="AP2002" s="114"/>
      <c r="AQ2002" s="114"/>
      <c r="AR2002" s="114"/>
      <c r="AS2002" s="114"/>
      <c r="AT2002" s="114"/>
      <c r="AU2002" s="114"/>
      <c r="AV2002" s="114"/>
      <c r="AW2002" s="114"/>
      <c r="AX2002" s="114"/>
      <c r="AY2002" s="114"/>
      <c r="AZ2002" s="114"/>
    </row>
    <row r="2003" spans="1:52">
      <c r="A2003" s="111"/>
      <c r="B2003" s="111"/>
      <c r="C2003" s="112"/>
      <c r="D2003" s="101"/>
      <c r="E2003" s="101"/>
      <c r="F2003" s="101"/>
      <c r="G2003" s="111"/>
      <c r="H2003" s="101"/>
      <c r="I2003" s="101"/>
      <c r="J2003" s="101"/>
      <c r="K2003" s="101"/>
      <c r="L2003" s="101"/>
      <c r="M2003" s="101"/>
      <c r="N2003" s="101"/>
      <c r="O2003" s="101"/>
      <c r="P2003" s="101"/>
      <c r="Q2003" s="101"/>
      <c r="R2003" s="101"/>
      <c r="S2003" s="101"/>
      <c r="T2003" s="101"/>
      <c r="U2003" s="101"/>
      <c r="V2003" s="101"/>
      <c r="W2003" s="101"/>
      <c r="X2003" s="101"/>
      <c r="Y2003" s="114"/>
      <c r="Z2003" s="114"/>
      <c r="AA2003" s="114"/>
      <c r="AB2003" s="114"/>
      <c r="AC2003" s="114"/>
      <c r="AD2003" s="114"/>
      <c r="AE2003" s="114"/>
      <c r="AF2003" s="114"/>
      <c r="AG2003" s="114"/>
      <c r="AH2003" s="114"/>
      <c r="AI2003" s="114"/>
      <c r="AJ2003" s="114"/>
      <c r="AK2003" s="114"/>
      <c r="AL2003" s="114"/>
      <c r="AM2003" s="114"/>
      <c r="AN2003" s="114"/>
      <c r="AO2003" s="114"/>
      <c r="AP2003" s="114"/>
      <c r="AQ2003" s="114"/>
      <c r="AR2003" s="114"/>
      <c r="AS2003" s="114"/>
      <c r="AT2003" s="114"/>
      <c r="AU2003" s="114"/>
      <c r="AV2003" s="114"/>
      <c r="AW2003" s="114"/>
      <c r="AX2003" s="114"/>
      <c r="AY2003" s="114"/>
      <c r="AZ2003" s="114"/>
    </row>
    <row r="2004" spans="1:52">
      <c r="A2004" s="111"/>
      <c r="B2004" s="111"/>
      <c r="C2004" s="112"/>
      <c r="D2004" s="101"/>
      <c r="E2004" s="101"/>
      <c r="F2004" s="101"/>
      <c r="G2004" s="111"/>
      <c r="H2004" s="101"/>
      <c r="I2004" s="101"/>
      <c r="J2004" s="101"/>
      <c r="K2004" s="101"/>
      <c r="L2004" s="101"/>
      <c r="M2004" s="101"/>
      <c r="N2004" s="101"/>
      <c r="O2004" s="101"/>
      <c r="P2004" s="101"/>
      <c r="Q2004" s="101"/>
      <c r="R2004" s="101"/>
      <c r="S2004" s="101"/>
      <c r="T2004" s="101"/>
      <c r="U2004" s="101"/>
      <c r="V2004" s="101"/>
      <c r="W2004" s="101"/>
      <c r="X2004" s="101"/>
      <c r="Y2004" s="114"/>
      <c r="Z2004" s="114"/>
      <c r="AA2004" s="114"/>
      <c r="AB2004" s="114"/>
      <c r="AC2004" s="114"/>
      <c r="AD2004" s="114"/>
      <c r="AE2004" s="114"/>
      <c r="AF2004" s="114"/>
      <c r="AG2004" s="114"/>
      <c r="AH2004" s="114"/>
      <c r="AI2004" s="114"/>
      <c r="AJ2004" s="114"/>
      <c r="AK2004" s="114"/>
      <c r="AL2004" s="114"/>
      <c r="AM2004" s="114"/>
      <c r="AN2004" s="114"/>
      <c r="AO2004" s="114"/>
      <c r="AP2004" s="114"/>
      <c r="AQ2004" s="114"/>
      <c r="AR2004" s="114"/>
      <c r="AS2004" s="114"/>
      <c r="AT2004" s="114"/>
      <c r="AU2004" s="114"/>
      <c r="AV2004" s="114"/>
      <c r="AW2004" s="114"/>
      <c r="AX2004" s="114"/>
      <c r="AY2004" s="114"/>
      <c r="AZ2004" s="114"/>
    </row>
    <row r="2005" spans="1:52">
      <c r="A2005" s="111"/>
      <c r="B2005" s="111"/>
      <c r="C2005" s="112"/>
      <c r="D2005" s="101"/>
      <c r="E2005" s="101"/>
      <c r="F2005" s="101"/>
      <c r="G2005" s="111"/>
      <c r="H2005" s="101"/>
      <c r="I2005" s="101"/>
      <c r="J2005" s="101"/>
      <c r="K2005" s="101"/>
      <c r="L2005" s="101"/>
      <c r="M2005" s="101"/>
      <c r="N2005" s="101"/>
      <c r="O2005" s="101"/>
      <c r="P2005" s="101"/>
      <c r="Q2005" s="101"/>
      <c r="R2005" s="101"/>
      <c r="S2005" s="101"/>
      <c r="T2005" s="101"/>
      <c r="U2005" s="101"/>
      <c r="V2005" s="101"/>
      <c r="W2005" s="101"/>
      <c r="X2005" s="101"/>
      <c r="Y2005" s="114"/>
      <c r="Z2005" s="114"/>
      <c r="AA2005" s="114"/>
      <c r="AB2005" s="114"/>
      <c r="AC2005" s="114"/>
      <c r="AD2005" s="114"/>
      <c r="AE2005" s="114"/>
      <c r="AF2005" s="114"/>
      <c r="AG2005" s="114"/>
      <c r="AH2005" s="114"/>
      <c r="AI2005" s="114"/>
      <c r="AJ2005" s="114"/>
      <c r="AK2005" s="114"/>
      <c r="AL2005" s="114"/>
      <c r="AM2005" s="114"/>
      <c r="AN2005" s="114"/>
      <c r="AO2005" s="114"/>
      <c r="AP2005" s="114"/>
      <c r="AQ2005" s="114"/>
      <c r="AR2005" s="114"/>
      <c r="AS2005" s="114"/>
      <c r="AT2005" s="114"/>
      <c r="AU2005" s="114"/>
      <c r="AV2005" s="114"/>
      <c r="AW2005" s="114"/>
      <c r="AX2005" s="114"/>
      <c r="AY2005" s="114"/>
      <c r="AZ2005" s="114"/>
    </row>
    <row r="2006" spans="1:52">
      <c r="A2006" s="111"/>
      <c r="B2006" s="111"/>
      <c r="C2006" s="112"/>
      <c r="D2006" s="101"/>
      <c r="E2006" s="101"/>
      <c r="F2006" s="101"/>
      <c r="G2006" s="111"/>
      <c r="H2006" s="101"/>
      <c r="I2006" s="101"/>
      <c r="J2006" s="101"/>
      <c r="K2006" s="101"/>
      <c r="L2006" s="101"/>
      <c r="M2006" s="101"/>
      <c r="N2006" s="101"/>
      <c r="O2006" s="101"/>
      <c r="P2006" s="101"/>
      <c r="Q2006" s="101"/>
      <c r="R2006" s="101"/>
      <c r="S2006" s="101"/>
      <c r="T2006" s="101"/>
      <c r="U2006" s="101"/>
      <c r="V2006" s="101"/>
      <c r="W2006" s="101"/>
      <c r="X2006" s="101"/>
      <c r="Y2006" s="114"/>
      <c r="Z2006" s="114"/>
      <c r="AA2006" s="114"/>
      <c r="AB2006" s="114"/>
      <c r="AC2006" s="114"/>
      <c r="AD2006" s="114"/>
      <c r="AE2006" s="114"/>
      <c r="AF2006" s="114"/>
      <c r="AG2006" s="114"/>
      <c r="AH2006" s="114"/>
      <c r="AI2006" s="114"/>
      <c r="AJ2006" s="114"/>
      <c r="AK2006" s="114"/>
      <c r="AL2006" s="114"/>
      <c r="AM2006" s="114"/>
      <c r="AN2006" s="114"/>
      <c r="AO2006" s="114"/>
      <c r="AP2006" s="114"/>
      <c r="AQ2006" s="114"/>
      <c r="AR2006" s="114"/>
      <c r="AS2006" s="114"/>
      <c r="AT2006" s="114"/>
      <c r="AU2006" s="114"/>
      <c r="AV2006" s="114"/>
      <c r="AW2006" s="114"/>
      <c r="AX2006" s="114"/>
      <c r="AY2006" s="114"/>
      <c r="AZ2006" s="114"/>
    </row>
    <row r="2007" spans="1:52">
      <c r="A2007" s="111"/>
      <c r="B2007" s="111"/>
      <c r="C2007" s="112"/>
      <c r="D2007" s="101"/>
      <c r="E2007" s="101"/>
      <c r="F2007" s="101"/>
      <c r="G2007" s="111"/>
      <c r="H2007" s="101"/>
      <c r="I2007" s="101"/>
      <c r="J2007" s="101"/>
      <c r="K2007" s="101"/>
      <c r="L2007" s="101"/>
      <c r="M2007" s="101"/>
      <c r="N2007" s="101"/>
      <c r="O2007" s="101"/>
      <c r="P2007" s="101"/>
      <c r="Q2007" s="101"/>
      <c r="R2007" s="101"/>
      <c r="S2007" s="101"/>
      <c r="T2007" s="101"/>
      <c r="U2007" s="101"/>
      <c r="V2007" s="101"/>
      <c r="W2007" s="101"/>
      <c r="X2007" s="101"/>
      <c r="Y2007" s="114"/>
      <c r="Z2007" s="114"/>
      <c r="AA2007" s="114"/>
      <c r="AB2007" s="114"/>
      <c r="AC2007" s="114"/>
      <c r="AD2007" s="114"/>
      <c r="AE2007" s="114"/>
      <c r="AF2007" s="114"/>
      <c r="AG2007" s="114"/>
      <c r="AH2007" s="114"/>
      <c r="AI2007" s="114"/>
      <c r="AJ2007" s="114"/>
      <c r="AK2007" s="114"/>
      <c r="AL2007" s="114"/>
      <c r="AM2007" s="114"/>
      <c r="AN2007" s="114"/>
      <c r="AO2007" s="114"/>
      <c r="AP2007" s="114"/>
      <c r="AQ2007" s="114"/>
      <c r="AR2007" s="114"/>
      <c r="AS2007" s="114"/>
      <c r="AT2007" s="114"/>
      <c r="AU2007" s="114"/>
      <c r="AV2007" s="114"/>
      <c r="AW2007" s="114"/>
      <c r="AX2007" s="114"/>
      <c r="AY2007" s="114"/>
      <c r="AZ2007" s="114"/>
    </row>
    <row r="2008" spans="1:52">
      <c r="A2008" s="111"/>
      <c r="B2008" s="111"/>
      <c r="C2008" s="112"/>
      <c r="D2008" s="101"/>
      <c r="E2008" s="101"/>
      <c r="F2008" s="101"/>
      <c r="G2008" s="111"/>
      <c r="H2008" s="101"/>
      <c r="I2008" s="101"/>
      <c r="J2008" s="101"/>
      <c r="K2008" s="101"/>
      <c r="L2008" s="101"/>
      <c r="M2008" s="101"/>
      <c r="N2008" s="101"/>
      <c r="O2008" s="101"/>
      <c r="P2008" s="101"/>
      <c r="Q2008" s="101"/>
      <c r="R2008" s="101"/>
      <c r="S2008" s="101"/>
      <c r="T2008" s="101"/>
      <c r="U2008" s="101"/>
      <c r="V2008" s="101"/>
      <c r="W2008" s="101"/>
      <c r="X2008" s="101"/>
      <c r="Y2008" s="114"/>
      <c r="Z2008" s="114"/>
      <c r="AA2008" s="114"/>
      <c r="AB2008" s="114"/>
      <c r="AC2008" s="114"/>
      <c r="AD2008" s="114"/>
      <c r="AE2008" s="114"/>
      <c r="AF2008" s="114"/>
      <c r="AG2008" s="114"/>
      <c r="AH2008" s="114"/>
      <c r="AI2008" s="114"/>
      <c r="AJ2008" s="114"/>
      <c r="AK2008" s="114"/>
      <c r="AL2008" s="114"/>
      <c r="AM2008" s="114"/>
      <c r="AN2008" s="114"/>
      <c r="AO2008" s="114"/>
      <c r="AP2008" s="114"/>
      <c r="AQ2008" s="114"/>
      <c r="AR2008" s="114"/>
      <c r="AS2008" s="114"/>
      <c r="AT2008" s="114"/>
      <c r="AU2008" s="114"/>
      <c r="AV2008" s="114"/>
      <c r="AW2008" s="114"/>
      <c r="AX2008" s="114"/>
      <c r="AY2008" s="114"/>
      <c r="AZ2008" s="114"/>
    </row>
    <row r="2009" spans="1:52">
      <c r="A2009" s="111"/>
      <c r="B2009" s="111"/>
      <c r="C2009" s="112"/>
      <c r="D2009" s="101"/>
      <c r="E2009" s="101"/>
      <c r="F2009" s="101"/>
      <c r="G2009" s="111"/>
      <c r="H2009" s="101"/>
      <c r="I2009" s="101"/>
      <c r="J2009" s="101"/>
      <c r="K2009" s="101"/>
      <c r="L2009" s="101"/>
      <c r="M2009" s="101"/>
      <c r="N2009" s="101"/>
      <c r="O2009" s="101"/>
      <c r="P2009" s="101"/>
      <c r="Q2009" s="101"/>
      <c r="R2009" s="101"/>
      <c r="S2009" s="101"/>
      <c r="T2009" s="101"/>
      <c r="U2009" s="101"/>
      <c r="V2009" s="101"/>
      <c r="W2009" s="101"/>
      <c r="X2009" s="101"/>
      <c r="Y2009" s="114"/>
      <c r="Z2009" s="114"/>
      <c r="AA2009" s="114"/>
      <c r="AB2009" s="114"/>
      <c r="AC2009" s="114"/>
      <c r="AD2009" s="114"/>
      <c r="AE2009" s="114"/>
      <c r="AF2009" s="114"/>
      <c r="AG2009" s="114"/>
      <c r="AH2009" s="114"/>
      <c r="AI2009" s="114"/>
      <c r="AJ2009" s="114"/>
      <c r="AK2009" s="114"/>
      <c r="AL2009" s="114"/>
      <c r="AM2009" s="114"/>
      <c r="AN2009" s="114"/>
      <c r="AO2009" s="114"/>
      <c r="AP2009" s="114"/>
      <c r="AQ2009" s="114"/>
      <c r="AR2009" s="114"/>
      <c r="AS2009" s="114"/>
      <c r="AT2009" s="114"/>
      <c r="AU2009" s="114"/>
      <c r="AV2009" s="114"/>
      <c r="AW2009" s="114"/>
      <c r="AX2009" s="114"/>
      <c r="AY2009" s="114"/>
      <c r="AZ2009" s="114"/>
    </row>
    <row r="2010" spans="1:52">
      <c r="A2010" s="111"/>
      <c r="B2010" s="111"/>
      <c r="C2010" s="112"/>
      <c r="D2010" s="101"/>
      <c r="E2010" s="101"/>
      <c r="F2010" s="101"/>
      <c r="G2010" s="111"/>
      <c r="H2010" s="101"/>
      <c r="I2010" s="101"/>
      <c r="J2010" s="101"/>
      <c r="K2010" s="101"/>
      <c r="L2010" s="101"/>
      <c r="M2010" s="101"/>
      <c r="N2010" s="101"/>
      <c r="O2010" s="101"/>
      <c r="P2010" s="101"/>
      <c r="Q2010" s="101"/>
      <c r="R2010" s="101"/>
      <c r="S2010" s="101"/>
      <c r="T2010" s="101"/>
      <c r="U2010" s="101"/>
      <c r="V2010" s="101"/>
      <c r="W2010" s="101"/>
      <c r="X2010" s="101"/>
      <c r="Y2010" s="114"/>
      <c r="Z2010" s="114"/>
      <c r="AA2010" s="114"/>
      <c r="AB2010" s="114"/>
      <c r="AC2010" s="114"/>
      <c r="AD2010" s="114"/>
      <c r="AE2010" s="114"/>
      <c r="AF2010" s="114"/>
      <c r="AG2010" s="114"/>
      <c r="AH2010" s="114"/>
      <c r="AI2010" s="114"/>
      <c r="AJ2010" s="114"/>
      <c r="AK2010" s="114"/>
      <c r="AL2010" s="114"/>
      <c r="AM2010" s="114"/>
      <c r="AN2010" s="114"/>
      <c r="AO2010" s="114"/>
      <c r="AP2010" s="114"/>
      <c r="AQ2010" s="114"/>
      <c r="AR2010" s="114"/>
      <c r="AS2010" s="114"/>
      <c r="AT2010" s="114"/>
      <c r="AU2010" s="114"/>
      <c r="AV2010" s="114"/>
      <c r="AW2010" s="114"/>
      <c r="AX2010" s="114"/>
      <c r="AY2010" s="114"/>
      <c r="AZ2010" s="114"/>
    </row>
    <row r="2011" spans="1:52">
      <c r="A2011" s="111"/>
      <c r="B2011" s="111"/>
      <c r="C2011" s="112"/>
      <c r="D2011" s="101"/>
      <c r="E2011" s="101"/>
      <c r="F2011" s="101"/>
      <c r="G2011" s="111"/>
      <c r="H2011" s="101"/>
      <c r="I2011" s="101"/>
      <c r="J2011" s="101"/>
      <c r="K2011" s="101"/>
      <c r="L2011" s="101"/>
      <c r="M2011" s="101"/>
      <c r="N2011" s="101"/>
      <c r="O2011" s="101"/>
      <c r="P2011" s="101"/>
      <c r="Q2011" s="101"/>
      <c r="R2011" s="101"/>
      <c r="S2011" s="101"/>
      <c r="T2011" s="101"/>
      <c r="U2011" s="101"/>
      <c r="V2011" s="101"/>
      <c r="W2011" s="101"/>
      <c r="X2011" s="101"/>
      <c r="Y2011" s="114"/>
      <c r="Z2011" s="114"/>
      <c r="AA2011" s="114"/>
      <c r="AB2011" s="114"/>
      <c r="AC2011" s="114"/>
      <c r="AD2011" s="114"/>
      <c r="AE2011" s="114"/>
      <c r="AF2011" s="114"/>
      <c r="AG2011" s="114"/>
      <c r="AH2011" s="114"/>
      <c r="AI2011" s="114"/>
      <c r="AJ2011" s="114"/>
      <c r="AK2011" s="114"/>
      <c r="AL2011" s="114"/>
      <c r="AM2011" s="114"/>
      <c r="AN2011" s="114"/>
      <c r="AO2011" s="114"/>
      <c r="AP2011" s="114"/>
      <c r="AQ2011" s="114"/>
      <c r="AR2011" s="114"/>
      <c r="AS2011" s="114"/>
      <c r="AT2011" s="114"/>
      <c r="AU2011" s="114"/>
      <c r="AV2011" s="114"/>
      <c r="AW2011" s="114"/>
      <c r="AX2011" s="114"/>
      <c r="AY2011" s="114"/>
      <c r="AZ2011" s="114"/>
    </row>
    <row r="2012" spans="1:52">
      <c r="A2012" s="111"/>
      <c r="B2012" s="111"/>
      <c r="C2012" s="112"/>
      <c r="D2012" s="101"/>
      <c r="E2012" s="101"/>
      <c r="F2012" s="101"/>
      <c r="G2012" s="111"/>
      <c r="H2012" s="101"/>
      <c r="I2012" s="101"/>
      <c r="J2012" s="101"/>
      <c r="K2012" s="101"/>
      <c r="L2012" s="101"/>
      <c r="M2012" s="101"/>
      <c r="N2012" s="101"/>
      <c r="O2012" s="101"/>
      <c r="P2012" s="101"/>
      <c r="Q2012" s="101"/>
      <c r="R2012" s="101"/>
      <c r="S2012" s="101"/>
      <c r="T2012" s="101"/>
      <c r="U2012" s="101"/>
      <c r="V2012" s="101"/>
      <c r="W2012" s="101"/>
      <c r="X2012" s="101"/>
      <c r="Y2012" s="114"/>
      <c r="Z2012" s="114"/>
      <c r="AA2012" s="114"/>
      <c r="AB2012" s="114"/>
      <c r="AC2012" s="114"/>
      <c r="AD2012" s="114"/>
      <c r="AE2012" s="114"/>
      <c r="AF2012" s="114"/>
      <c r="AG2012" s="114"/>
      <c r="AH2012" s="114"/>
      <c r="AI2012" s="114"/>
      <c r="AJ2012" s="114"/>
      <c r="AK2012" s="114"/>
      <c r="AL2012" s="114"/>
      <c r="AM2012" s="114"/>
      <c r="AN2012" s="114"/>
      <c r="AO2012" s="114"/>
      <c r="AP2012" s="114"/>
      <c r="AQ2012" s="114"/>
      <c r="AR2012" s="114"/>
      <c r="AS2012" s="114"/>
      <c r="AT2012" s="114"/>
      <c r="AU2012" s="114"/>
      <c r="AV2012" s="114"/>
      <c r="AW2012" s="114"/>
      <c r="AX2012" s="114"/>
      <c r="AY2012" s="114"/>
      <c r="AZ2012" s="114"/>
    </row>
    <row r="2013" spans="1:52">
      <c r="A2013" s="111"/>
      <c r="B2013" s="111"/>
      <c r="C2013" s="112"/>
      <c r="D2013" s="101"/>
      <c r="E2013" s="101"/>
      <c r="F2013" s="101"/>
      <c r="G2013" s="111"/>
      <c r="H2013" s="101"/>
      <c r="I2013" s="101"/>
      <c r="J2013" s="101"/>
      <c r="K2013" s="101"/>
      <c r="L2013" s="101"/>
      <c r="M2013" s="101"/>
      <c r="N2013" s="101"/>
      <c r="O2013" s="101"/>
      <c r="P2013" s="101"/>
      <c r="Q2013" s="101"/>
      <c r="R2013" s="101"/>
      <c r="S2013" s="101"/>
      <c r="T2013" s="101"/>
      <c r="U2013" s="101"/>
      <c r="V2013" s="101"/>
      <c r="W2013" s="101"/>
      <c r="X2013" s="101"/>
      <c r="Y2013" s="114"/>
      <c r="Z2013" s="114"/>
      <c r="AA2013" s="114"/>
      <c r="AB2013" s="114"/>
      <c r="AC2013" s="114"/>
      <c r="AD2013" s="114"/>
      <c r="AE2013" s="114"/>
      <c r="AF2013" s="114"/>
      <c r="AG2013" s="114"/>
      <c r="AH2013" s="114"/>
      <c r="AI2013" s="114"/>
      <c r="AJ2013" s="114"/>
      <c r="AK2013" s="114"/>
      <c r="AL2013" s="114"/>
      <c r="AM2013" s="114"/>
      <c r="AN2013" s="114"/>
      <c r="AO2013" s="114"/>
      <c r="AP2013" s="114"/>
      <c r="AQ2013" s="114"/>
      <c r="AR2013" s="114"/>
      <c r="AS2013" s="114"/>
      <c r="AT2013" s="114"/>
      <c r="AU2013" s="114"/>
      <c r="AV2013" s="114"/>
      <c r="AW2013" s="114"/>
      <c r="AX2013" s="114"/>
      <c r="AY2013" s="114"/>
      <c r="AZ2013" s="114"/>
    </row>
    <row r="2014" spans="1:52">
      <c r="A2014" s="111"/>
      <c r="B2014" s="111"/>
      <c r="C2014" s="112"/>
      <c r="D2014" s="101"/>
      <c r="E2014" s="101"/>
      <c r="F2014" s="101"/>
      <c r="G2014" s="111"/>
      <c r="H2014" s="101"/>
      <c r="I2014" s="101"/>
      <c r="J2014" s="101"/>
      <c r="K2014" s="101"/>
      <c r="L2014" s="101"/>
      <c r="M2014" s="101"/>
      <c r="N2014" s="101"/>
      <c r="O2014" s="101"/>
      <c r="P2014" s="101"/>
      <c r="Q2014" s="101"/>
      <c r="R2014" s="101"/>
      <c r="S2014" s="101"/>
      <c r="T2014" s="101"/>
      <c r="U2014" s="101"/>
      <c r="V2014" s="101"/>
      <c r="W2014" s="101"/>
      <c r="X2014" s="101"/>
      <c r="Y2014" s="114"/>
      <c r="Z2014" s="114"/>
      <c r="AA2014" s="114"/>
      <c r="AB2014" s="114"/>
      <c r="AC2014" s="114"/>
      <c r="AD2014" s="114"/>
      <c r="AE2014" s="114"/>
      <c r="AF2014" s="114"/>
      <c r="AG2014" s="114"/>
      <c r="AH2014" s="114"/>
      <c r="AI2014" s="114"/>
      <c r="AJ2014" s="114"/>
      <c r="AK2014" s="114"/>
      <c r="AL2014" s="114"/>
      <c r="AM2014" s="114"/>
      <c r="AN2014" s="114"/>
      <c r="AO2014" s="114"/>
      <c r="AP2014" s="114"/>
      <c r="AQ2014" s="114"/>
      <c r="AR2014" s="114"/>
      <c r="AS2014" s="114"/>
      <c r="AT2014" s="114"/>
      <c r="AU2014" s="114"/>
      <c r="AV2014" s="114"/>
      <c r="AW2014" s="114"/>
      <c r="AX2014" s="114"/>
      <c r="AY2014" s="114"/>
      <c r="AZ2014" s="114"/>
    </row>
    <row r="2015" spans="1:52">
      <c r="A2015" s="111"/>
      <c r="B2015" s="111"/>
      <c r="C2015" s="112"/>
      <c r="D2015" s="101"/>
      <c r="E2015" s="101"/>
      <c r="F2015" s="101"/>
      <c r="G2015" s="111"/>
      <c r="H2015" s="101"/>
      <c r="I2015" s="101"/>
      <c r="J2015" s="101"/>
      <c r="K2015" s="101"/>
      <c r="L2015" s="101"/>
      <c r="M2015" s="101"/>
      <c r="N2015" s="101"/>
      <c r="O2015" s="101"/>
      <c r="P2015" s="101"/>
      <c r="Q2015" s="101"/>
      <c r="R2015" s="101"/>
      <c r="S2015" s="101"/>
      <c r="T2015" s="101"/>
      <c r="U2015" s="101"/>
      <c r="V2015" s="101"/>
      <c r="W2015" s="101"/>
      <c r="X2015" s="101"/>
      <c r="Y2015" s="114"/>
      <c r="Z2015" s="114"/>
      <c r="AA2015" s="114"/>
      <c r="AB2015" s="114"/>
      <c r="AC2015" s="114"/>
      <c r="AD2015" s="114"/>
      <c r="AE2015" s="114"/>
      <c r="AF2015" s="114"/>
      <c r="AG2015" s="114"/>
      <c r="AH2015" s="114"/>
      <c r="AI2015" s="114"/>
      <c r="AJ2015" s="114"/>
      <c r="AK2015" s="114"/>
      <c r="AL2015" s="114"/>
      <c r="AM2015" s="114"/>
      <c r="AN2015" s="114"/>
      <c r="AO2015" s="114"/>
      <c r="AP2015" s="114"/>
      <c r="AQ2015" s="114"/>
      <c r="AR2015" s="114"/>
      <c r="AS2015" s="114"/>
      <c r="AT2015" s="114"/>
      <c r="AU2015" s="114"/>
      <c r="AV2015" s="114"/>
      <c r="AW2015" s="114"/>
      <c r="AX2015" s="114"/>
      <c r="AY2015" s="114"/>
      <c r="AZ2015" s="114"/>
    </row>
    <row r="2016" spans="1:52">
      <c r="A2016" s="111"/>
      <c r="B2016" s="111"/>
      <c r="C2016" s="112"/>
      <c r="D2016" s="101"/>
      <c r="E2016" s="101"/>
      <c r="F2016" s="101"/>
      <c r="G2016" s="111"/>
      <c r="H2016" s="101"/>
      <c r="I2016" s="101"/>
      <c r="J2016" s="101"/>
      <c r="K2016" s="101"/>
      <c r="L2016" s="101"/>
      <c r="M2016" s="101"/>
      <c r="N2016" s="101"/>
      <c r="O2016" s="101"/>
      <c r="P2016" s="101"/>
      <c r="Q2016" s="101"/>
      <c r="R2016" s="101"/>
      <c r="S2016" s="101"/>
      <c r="T2016" s="101"/>
      <c r="U2016" s="101"/>
      <c r="V2016" s="101"/>
      <c r="W2016" s="101"/>
      <c r="X2016" s="101"/>
      <c r="Y2016" s="114"/>
      <c r="Z2016" s="114"/>
      <c r="AA2016" s="114"/>
      <c r="AB2016" s="114"/>
      <c r="AC2016" s="114"/>
      <c r="AD2016" s="114"/>
      <c r="AE2016" s="114"/>
      <c r="AF2016" s="114"/>
      <c r="AG2016" s="114"/>
      <c r="AH2016" s="114"/>
      <c r="AI2016" s="114"/>
      <c r="AJ2016" s="114"/>
      <c r="AK2016" s="114"/>
      <c r="AL2016" s="114"/>
      <c r="AM2016" s="114"/>
      <c r="AN2016" s="114"/>
      <c r="AO2016" s="114"/>
      <c r="AP2016" s="114"/>
      <c r="AQ2016" s="114"/>
      <c r="AR2016" s="114"/>
      <c r="AS2016" s="114"/>
      <c r="AT2016" s="114"/>
      <c r="AU2016" s="114"/>
      <c r="AV2016" s="114"/>
      <c r="AW2016" s="114"/>
      <c r="AX2016" s="114"/>
      <c r="AY2016" s="114"/>
      <c r="AZ2016" s="114"/>
    </row>
    <row r="2017" spans="1:52">
      <c r="A2017" s="111"/>
      <c r="B2017" s="111"/>
      <c r="C2017" s="112"/>
      <c r="D2017" s="101"/>
      <c r="E2017" s="101"/>
      <c r="F2017" s="101"/>
      <c r="G2017" s="111"/>
      <c r="H2017" s="101"/>
      <c r="I2017" s="101"/>
      <c r="J2017" s="101"/>
      <c r="K2017" s="101"/>
      <c r="L2017" s="101"/>
      <c r="M2017" s="101"/>
      <c r="N2017" s="101"/>
      <c r="O2017" s="101"/>
      <c r="P2017" s="101"/>
      <c r="Q2017" s="101"/>
      <c r="R2017" s="101"/>
      <c r="S2017" s="101"/>
      <c r="T2017" s="101"/>
      <c r="U2017" s="101"/>
      <c r="V2017" s="101"/>
      <c r="W2017" s="101"/>
      <c r="X2017" s="101"/>
      <c r="Y2017" s="114"/>
      <c r="Z2017" s="114"/>
      <c r="AA2017" s="114"/>
      <c r="AB2017" s="114"/>
      <c r="AC2017" s="114"/>
      <c r="AD2017" s="114"/>
      <c r="AE2017" s="114"/>
      <c r="AF2017" s="114"/>
      <c r="AG2017" s="114"/>
      <c r="AH2017" s="114"/>
      <c r="AI2017" s="114"/>
      <c r="AJ2017" s="114"/>
      <c r="AK2017" s="114"/>
      <c r="AL2017" s="114"/>
      <c r="AM2017" s="114"/>
      <c r="AN2017" s="114"/>
      <c r="AO2017" s="114"/>
      <c r="AP2017" s="114"/>
      <c r="AQ2017" s="114"/>
      <c r="AR2017" s="114"/>
      <c r="AS2017" s="114"/>
      <c r="AT2017" s="114"/>
      <c r="AU2017" s="114"/>
      <c r="AV2017" s="114"/>
      <c r="AW2017" s="114"/>
      <c r="AX2017" s="114"/>
      <c r="AY2017" s="114"/>
      <c r="AZ2017" s="114"/>
    </row>
  </sheetData>
  <autoFilter ref="G1:G2017" xr:uid="{00000000-0009-0000-0000-000007000000}"/>
  <mergeCells count="36">
    <mergeCell ref="N63:P63"/>
    <mergeCell ref="N65:P65"/>
    <mergeCell ref="O67:Q67"/>
    <mergeCell ref="P132:R132"/>
    <mergeCell ref="P50:S50"/>
    <mergeCell ref="N51:O51"/>
    <mergeCell ref="P54:R54"/>
    <mergeCell ref="N55:P55"/>
    <mergeCell ref="N56:P56"/>
    <mergeCell ref="N57:P57"/>
    <mergeCell ref="N58:P58"/>
    <mergeCell ref="P49:Q49"/>
    <mergeCell ref="N59:P59"/>
    <mergeCell ref="O60:Q60"/>
    <mergeCell ref="N61:P61"/>
    <mergeCell ref="N62:P62"/>
    <mergeCell ref="O44:Q44"/>
    <mergeCell ref="N45:P45"/>
    <mergeCell ref="U46:W46"/>
    <mergeCell ref="N47:P47"/>
    <mergeCell ref="P48:R48"/>
    <mergeCell ref="P39:R39"/>
    <mergeCell ref="N40:O40"/>
    <mergeCell ref="O41:Q41"/>
    <mergeCell ref="N42:O42"/>
    <mergeCell ref="N43:P43"/>
    <mergeCell ref="N34:O34"/>
    <mergeCell ref="P35:R35"/>
    <mergeCell ref="O36:Q36"/>
    <mergeCell ref="O37:Q37"/>
    <mergeCell ref="P38:Q38"/>
    <mergeCell ref="O28:Q28"/>
    <mergeCell ref="T29:U29"/>
    <mergeCell ref="N30:P30"/>
    <mergeCell ref="N31:P31"/>
    <mergeCell ref="O32:P32"/>
  </mergeCells>
  <conditionalFormatting sqref="N117:N118 N123:O123">
    <cfRule type="cellIs" dxfId="2" priority="1" operator="less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AA1749"/>
  <sheetViews>
    <sheetView workbookViewId="0"/>
  </sheetViews>
  <sheetFormatPr baseColWidth="10" defaultColWidth="12.6640625" defaultRowHeight="15" customHeight="1"/>
  <cols>
    <col min="1" max="2" width="9.83203125" customWidth="1"/>
    <col min="5" max="5" width="17.1640625" customWidth="1"/>
    <col min="6" max="6" width="14.6640625" customWidth="1"/>
    <col min="7" max="7" width="15.5" customWidth="1"/>
    <col min="8" max="8" width="12" customWidth="1"/>
    <col min="9" max="9" width="11.83203125" customWidth="1"/>
    <col min="10" max="10" width="31" customWidth="1"/>
    <col min="14" max="14" width="14.6640625" customWidth="1"/>
    <col min="15" max="15" width="40.1640625" customWidth="1"/>
    <col min="16" max="16" width="45.6640625" customWidth="1"/>
  </cols>
  <sheetData>
    <row r="1" spans="1:27" ht="48">
      <c r="A1" s="68" t="s">
        <v>2822</v>
      </c>
      <c r="B1" s="69" t="str">
        <f ca="1">IFERROR(__xludf.DUMMYFUNCTION("QUERY(IMPORTRANGE(""1JVhBhJNYW9EZQKIY5cDV_NRhVR_dUv-ZxXOeeG4E9sI/edit?gid=1391406655#gid=1391406655"",""Datventas2025!A:AT""),""SELECT Col7, Col8, Col45, Col4, Col6, Col10, Col1, Col11,  Col13, Col14, Col19, Col31, Col32, Col33, Col34 WHERE Col33&lt;&gt;''"",1)"),"AÑO")</f>
        <v>AÑO</v>
      </c>
      <c r="C1" s="70" t="str">
        <f ca="1">IFERROR(__xludf.DUMMYFUNCTION("""COMPUTED_VALUE"""),"MES")</f>
        <v>MES</v>
      </c>
      <c r="D1" s="70" t="str">
        <f ca="1">IFERROR(__xludf.DUMMYFUNCTION("""COMPUTED_VALUE"""),"RECOMPRA")</f>
        <v>RECOMPRA</v>
      </c>
      <c r="E1" s="70" t="str">
        <f ca="1">IFERROR(__xludf.DUMMYFUNCTION("""COMPUTED_VALUE"""),"SUCURSAL")</f>
        <v>SUCURSAL</v>
      </c>
      <c r="F1" s="70" t="str">
        <f ca="1">IFERROR(__xludf.DUMMYFUNCTION("""COMPUTED_VALUE"""),"FECHA DE VENTA")</f>
        <v>FECHA DE VENTA</v>
      </c>
      <c r="G1" s="70" t="str">
        <f ca="1">IFERROR(__xludf.DUMMYFUNCTION("""COMPUTED_VALUE"""),"FECHA DE ALTA DE CLIENTE")</f>
        <v>FECHA DE ALTA DE CLIENTE</v>
      </c>
      <c r="H1" s="70" t="str">
        <f ca="1">IFERROR(__xludf.DUMMYFUNCTION("""COMPUTED_VALUE"""),"Clínica")</f>
        <v>Clínica</v>
      </c>
      <c r="I1" s="70" t="str">
        <f ca="1">IFERROR(__xludf.DUMMYFUNCTION("""COMPUTED_VALUE"""),"CÓDIGO DE CLIENTE")</f>
        <v>CÓDIGO DE CLIENTE</v>
      </c>
      <c r="J1" s="70" t="str">
        <f ca="1">IFERROR(__xludf.DUMMYFUNCTION("""COMPUTED_VALUE"""),"CLIENTE")</f>
        <v>CLIENTE</v>
      </c>
      <c r="K1" s="70" t="str">
        <f ca="1">IFERROR(__xludf.DUMMYFUNCTION("""COMPUTED_VALUE"""),"NUM AUDIFONOS")</f>
        <v>NUM AUDIFONOS</v>
      </c>
      <c r="L1" s="70" t="str">
        <f ca="1">IFERROR(__xludf.DUMMYFUNCTION("""COMPUTED_VALUE"""),"TOTAL AUDIFONOS SIN IVA")</f>
        <v>TOTAL AUDIFONOS SIN IVA</v>
      </c>
      <c r="M1" s="70" t="str">
        <f ca="1">IFERROR(__xludf.DUMMYFUNCTION("""COMPUTED_VALUE"""),"CANAL")</f>
        <v>CANAL</v>
      </c>
      <c r="N1" s="70" t="str">
        <f ca="1">IFERROR(__xludf.DUMMYFUNCTION("""COMPUTED_VALUE"""),"SUBCANAL")</f>
        <v>SUBCANAL</v>
      </c>
      <c r="O1" s="71" t="str">
        <f ca="1">IFERROR(__xludf.DUMMYFUNCTION("""COMPUTED_VALUE"""),"NOMBRE ORL/CAMPAÑA")</f>
        <v>NOMBRE ORL/CAMPAÑA</v>
      </c>
      <c r="P1" s="70" t="str">
        <f ca="1">IFERROR(__xludf.DUMMYFUNCTION("""COMPUTED_VALUE"""),"NOMBRE VISITADOR")</f>
        <v>NOMBRE VISITADOR</v>
      </c>
      <c r="Q1" s="72" t="s">
        <v>3952</v>
      </c>
      <c r="R1" s="72" t="s">
        <v>3952</v>
      </c>
      <c r="S1" s="72" t="s">
        <v>3952</v>
      </c>
      <c r="T1" s="72" t="s">
        <v>3952</v>
      </c>
      <c r="U1" s="72" t="s">
        <v>3952</v>
      </c>
      <c r="V1" s="72" t="s">
        <v>3952</v>
      </c>
      <c r="W1" s="72" t="s">
        <v>3952</v>
      </c>
      <c r="X1" s="72" t="s">
        <v>3952</v>
      </c>
      <c r="Y1" s="72" t="s">
        <v>3952</v>
      </c>
      <c r="Z1" s="72" t="s">
        <v>3952</v>
      </c>
      <c r="AA1" s="72" t="s">
        <v>3952</v>
      </c>
    </row>
    <row r="2" spans="1:27">
      <c r="A2" s="73">
        <v>46024</v>
      </c>
      <c r="B2" s="33">
        <f ca="1">IFERROR(__xludf.DUMMYFUNCTION("""COMPUTED_VALUE"""),2025)</f>
        <v>2025</v>
      </c>
      <c r="C2" s="33">
        <f ca="1">IFERROR(__xludf.DUMMYFUNCTION("""COMPUTED_VALUE"""),1)</f>
        <v>1</v>
      </c>
      <c r="D2" s="33" t="str">
        <f ca="1">IFERROR(__xludf.DUMMYFUNCTION("""COMPUTED_VALUE"""),"NO")</f>
        <v>NO</v>
      </c>
      <c r="E2" s="33" t="str">
        <f ca="1">IFERROR(__xludf.DUMMYFUNCTION("""COMPUTED_VALUE"""),"Getafe")</f>
        <v>Getafe</v>
      </c>
      <c r="F2" s="57">
        <f ca="1">IFERROR(__xludf.DUMMYFUNCTION("""COMPUTED_VALUE"""),45687)</f>
        <v>45687</v>
      </c>
      <c r="G2" s="57">
        <f ca="1">IFERROR(__xludf.DUMMYFUNCTION("""COMPUTED_VALUE"""),45538)</f>
        <v>45538</v>
      </c>
      <c r="H2" s="33" t="str">
        <f ca="1">IFERROR(__xludf.DUMMYFUNCTION("""COMPUTED_VALUE"""),"Getafe")</f>
        <v>Getafe</v>
      </c>
      <c r="I2" s="33" t="str">
        <f ca="1">IFERROR(__xludf.DUMMYFUNCTION("""COMPUTED_VALUE"""),"C2024911171942450")</f>
        <v>C2024911171942450</v>
      </c>
      <c r="J2" s="33" t="str">
        <f ca="1">IFERROR(__xludf.DUMMYFUNCTION("""COMPUTED_VALUE"""),"MARIA CARRASCAL GARROTE")</f>
        <v>MARIA CARRASCAL GARROTE</v>
      </c>
      <c r="K2" s="33">
        <f ca="1">IFERROR(__xludf.DUMMYFUNCTION("""COMPUTED_VALUE"""),2)</f>
        <v>2</v>
      </c>
      <c r="L2" s="203">
        <f ca="1">IFERROR(__xludf.DUMMYFUNCTION("""COMPUTED_VALUE"""),0)</f>
        <v>0</v>
      </c>
      <c r="M2" s="33" t="str">
        <f ca="1">IFERROR(__xludf.DUMMYFUNCTION("""COMPUTED_VALUE"""),"03 ORL")</f>
        <v>03 ORL</v>
      </c>
      <c r="N2" s="33" t="str">
        <f ca="1">IFERROR(__xludf.DUMMYFUNCTION("""COMPUTED_VALUE"""),"06 ORL")</f>
        <v>06 ORL</v>
      </c>
      <c r="O2" s="33" t="str">
        <f ca="1">IFERROR(__xludf.DUMMYFUNCTION("""COMPUTED_VALUE"""),"Dra, María Garrote Garrote")</f>
        <v>Dra, María Garrote Garrote</v>
      </c>
      <c r="P2" s="33" t="str">
        <f ca="1">IFERROR(__xludf.DUMMYFUNCTION("""COMPUTED_VALUE"""),"Maika Blázquez (Madrid)")</f>
        <v>Maika Blázquez (Madrid)</v>
      </c>
    </row>
    <row r="3" spans="1:27">
      <c r="B3" s="33">
        <f ca="1">IFERROR(__xludf.DUMMYFUNCTION("""COMPUTED_VALUE"""),2025)</f>
        <v>2025</v>
      </c>
      <c r="C3" s="33">
        <f ca="1">IFERROR(__xludf.DUMMYFUNCTION("""COMPUTED_VALUE"""),1)</f>
        <v>1</v>
      </c>
      <c r="D3" s="33" t="str">
        <f ca="1">IFERROR(__xludf.DUMMYFUNCTION("""COMPUTED_VALUE"""),"NO")</f>
        <v>NO</v>
      </c>
      <c r="E3" s="33" t="str">
        <f ca="1">IFERROR(__xludf.DUMMYFUNCTION("""COMPUTED_VALUE"""),"Albacete")</f>
        <v>Albacete</v>
      </c>
      <c r="F3" s="57">
        <f ca="1">IFERROR(__xludf.DUMMYFUNCTION("""COMPUTED_VALUE"""),45681)</f>
        <v>45681</v>
      </c>
      <c r="G3" s="57">
        <f ca="1">IFERROR(__xludf.DUMMYFUNCTION("""COMPUTED_VALUE"""),45489)</f>
        <v>45489</v>
      </c>
      <c r="H3" s="33" t="str">
        <f ca="1">IFERROR(__xludf.DUMMYFUNCTION("""COMPUTED_VALUE"""),"Albacete")</f>
        <v>Albacete</v>
      </c>
      <c r="I3" s="33" t="str">
        <f ca="1">IFERROR(__xludf.DUMMYFUNCTION("""COMPUTED_VALUE"""),"ALB-914")</f>
        <v>ALB-914</v>
      </c>
      <c r="J3" s="33" t="str">
        <f ca="1">IFERROR(__xludf.DUMMYFUNCTION("""COMPUTED_VALUE"""),"FRANCISCA ROSA RODENAS")</f>
        <v>FRANCISCA ROSA RODENAS</v>
      </c>
      <c r="K3" s="33">
        <f ca="1">IFERROR(__xludf.DUMMYFUNCTION("""COMPUTED_VALUE"""),1)</f>
        <v>1</v>
      </c>
      <c r="L3" s="203">
        <f ca="1">IFERROR(__xludf.DUMMYFUNCTION("""COMPUTED_VALUE"""),2400)</f>
        <v>2400</v>
      </c>
      <c r="M3" s="33" t="str">
        <f ca="1">IFERROR(__xludf.DUMMYFUNCTION("""COMPUTED_VALUE"""),"03 ORL")</f>
        <v>03 ORL</v>
      </c>
      <c r="N3" s="33" t="str">
        <f ca="1">IFERROR(__xludf.DUMMYFUNCTION("""COMPUTED_VALUE"""),"06 ORL")</f>
        <v>06 ORL</v>
      </c>
      <c r="O3" s="33" t="str">
        <f ca="1">IFERROR(__xludf.DUMMYFUNCTION("""COMPUTED_VALUE"""),"Dr, Máximo Rafael García Rodríguez")</f>
        <v>Dr, Máximo Rafael García Rodríguez</v>
      </c>
      <c r="P3" s="33" t="str">
        <f ca="1">IFERROR(__xludf.DUMMYFUNCTION("""COMPUTED_VALUE"""),"Iván Sánchez (Levante Y Albacete)")</f>
        <v>Iván Sánchez (Levante Y Albacete)</v>
      </c>
    </row>
    <row r="4" spans="1:27">
      <c r="B4" s="33">
        <f ca="1">IFERROR(__xludf.DUMMYFUNCTION("""COMPUTED_VALUE"""),2025)</f>
        <v>2025</v>
      </c>
      <c r="C4" s="33">
        <f ca="1">IFERROR(__xludf.DUMMYFUNCTION("""COMPUTED_VALUE"""),1)</f>
        <v>1</v>
      </c>
      <c r="D4" s="33" t="str">
        <f ca="1">IFERROR(__xludf.DUMMYFUNCTION("""COMPUTED_VALUE"""),"NO")</f>
        <v>NO</v>
      </c>
      <c r="E4" s="33" t="str">
        <f ca="1">IFERROR(__xludf.DUMMYFUNCTION("""COMPUTED_VALUE"""),"Albacete")</f>
        <v>Albacete</v>
      </c>
      <c r="F4" s="57">
        <f ca="1">IFERROR(__xludf.DUMMYFUNCTION("""COMPUTED_VALUE"""),45685)</f>
        <v>45685</v>
      </c>
      <c r="G4" s="57">
        <f ca="1">IFERROR(__xludf.DUMMYFUNCTION("""COMPUTED_VALUE"""),45652)</f>
        <v>45652</v>
      </c>
      <c r="H4" s="33" t="str">
        <f ca="1">IFERROR(__xludf.DUMMYFUNCTION("""COMPUTED_VALUE"""),"Albacete")</f>
        <v>Albacete</v>
      </c>
      <c r="I4" s="33" t="str">
        <f ca="1">IFERROR(__xludf.DUMMYFUNCTION("""COMPUTED_VALUE"""),"C20241226115634963")</f>
        <v>C20241226115634963</v>
      </c>
      <c r="J4" s="33" t="str">
        <f ca="1">IFERROR(__xludf.DUMMYFUNCTION("""COMPUTED_VALUE"""),"NATIVIDAD CABALLERO PEREZ")</f>
        <v>NATIVIDAD CABALLERO PEREZ</v>
      </c>
      <c r="K4" s="33">
        <f ca="1">IFERROR(__xludf.DUMMYFUNCTION("""COMPUTED_VALUE"""),2)</f>
        <v>2</v>
      </c>
      <c r="L4" s="203">
        <f ca="1">IFERROR(__xludf.DUMMYFUNCTION("""COMPUTED_VALUE"""),4000)</f>
        <v>4000</v>
      </c>
      <c r="M4" s="33" t="str">
        <f ca="1">IFERROR(__xludf.DUMMYFUNCTION("""COMPUTED_VALUE"""),"03 ORL")</f>
        <v>03 ORL</v>
      </c>
      <c r="N4" s="33" t="str">
        <f ca="1">IFERROR(__xludf.DUMMYFUNCTION("""COMPUTED_VALUE"""),"06 ORL")</f>
        <v>06 ORL</v>
      </c>
      <c r="O4" s="33" t="str">
        <f ca="1">IFERROR(__xludf.DUMMYFUNCTION("""COMPUTED_VALUE"""),"Dr, Javier García-Dueñas González")</f>
        <v>Dr, Javier García-Dueñas González</v>
      </c>
      <c r="P4" s="33" t="str">
        <f ca="1">IFERROR(__xludf.DUMMYFUNCTION("""COMPUTED_VALUE"""),"Iván Sánchez (Levante Y Albacete)")</f>
        <v>Iván Sánchez (Levante Y Albacete)</v>
      </c>
    </row>
    <row r="5" spans="1:27">
      <c r="B5" s="33">
        <f ca="1">IFERROR(__xludf.DUMMYFUNCTION("""COMPUTED_VALUE"""),2025)</f>
        <v>2025</v>
      </c>
      <c r="C5" s="33">
        <f ca="1">IFERROR(__xludf.DUMMYFUNCTION("""COMPUTED_VALUE"""),1)</f>
        <v>1</v>
      </c>
      <c r="D5" s="33" t="str">
        <f ca="1">IFERROR(__xludf.DUMMYFUNCTION("""COMPUTED_VALUE"""),"NO")</f>
        <v>NO</v>
      </c>
      <c r="E5" s="33" t="str">
        <f ca="1">IFERROR(__xludf.DUMMYFUNCTION("""COMPUTED_VALUE"""),"Albacete")</f>
        <v>Albacete</v>
      </c>
      <c r="F5" s="57">
        <f ca="1">IFERROR(__xludf.DUMMYFUNCTION("""COMPUTED_VALUE"""),45688)</f>
        <v>45688</v>
      </c>
      <c r="G5" s="57">
        <f ca="1">IFERROR(__xludf.DUMMYFUNCTION("""COMPUTED_VALUE"""),45665)</f>
        <v>45665</v>
      </c>
      <c r="H5" s="33" t="str">
        <f ca="1">IFERROR(__xludf.DUMMYFUNCTION("""COMPUTED_VALUE"""),"Albacete")</f>
        <v>Albacete</v>
      </c>
      <c r="I5" s="33" t="str">
        <f ca="1">IFERROR(__xludf.DUMMYFUNCTION("""COMPUTED_VALUE"""),"C202511593537440")</f>
        <v>C202511593537440</v>
      </c>
      <c r="J5" s="33" t="str">
        <f ca="1">IFERROR(__xludf.DUMMYFUNCTION("""COMPUTED_VALUE"""),"RAFAEL  REQUENA BURGOS")</f>
        <v>RAFAEL  REQUENA BURGOS</v>
      </c>
      <c r="K5" s="33">
        <f ca="1">IFERROR(__xludf.DUMMYFUNCTION("""COMPUTED_VALUE"""),2)</f>
        <v>2</v>
      </c>
      <c r="L5" s="203">
        <f ca="1">IFERROR(__xludf.DUMMYFUNCTION("""COMPUTED_VALUE"""),4000)</f>
        <v>4000</v>
      </c>
      <c r="M5" s="33" t="str">
        <f ca="1">IFERROR(__xludf.DUMMYFUNCTION("""COMPUTED_VALUE"""),"03 ORL")</f>
        <v>03 ORL</v>
      </c>
      <c r="N5" s="33" t="str">
        <f ca="1">IFERROR(__xludf.DUMMYFUNCTION("""COMPUTED_VALUE"""),"06 ORL")</f>
        <v>06 ORL</v>
      </c>
      <c r="O5" s="33" t="str">
        <f ca="1">IFERROR(__xludf.DUMMYFUNCTION("""COMPUTED_VALUE"""),"Dr, Javier García-Dueñas González")</f>
        <v>Dr, Javier García-Dueñas González</v>
      </c>
      <c r="P5" s="33" t="str">
        <f ca="1">IFERROR(__xludf.DUMMYFUNCTION("""COMPUTED_VALUE"""),"Iván Sánchez (Levante Y Albacete)")</f>
        <v>Iván Sánchez (Levante Y Albacete)</v>
      </c>
    </row>
    <row r="6" spans="1:27">
      <c r="B6" s="33">
        <f ca="1">IFERROR(__xludf.DUMMYFUNCTION("""COMPUTED_VALUE"""),2025)</f>
        <v>2025</v>
      </c>
      <c r="C6" s="33">
        <f ca="1">IFERROR(__xludf.DUMMYFUNCTION("""COMPUTED_VALUE"""),1)</f>
        <v>1</v>
      </c>
      <c r="D6" s="33" t="str">
        <f ca="1">IFERROR(__xludf.DUMMYFUNCTION("""COMPUTED_VALUE"""),"NO")</f>
        <v>NO</v>
      </c>
      <c r="E6" s="33" t="str">
        <f ca="1">IFERROR(__xludf.DUMMYFUNCTION("""COMPUTED_VALUE"""),"Alcorcón")</f>
        <v>Alcorcón</v>
      </c>
      <c r="F6" s="57">
        <f ca="1">IFERROR(__xludf.DUMMYFUNCTION("""COMPUTED_VALUE"""),45686)</f>
        <v>45686</v>
      </c>
      <c r="G6" s="57">
        <f ca="1">IFERROR(__xludf.DUMMYFUNCTION("""COMPUTED_VALUE"""),45639)</f>
        <v>45639</v>
      </c>
      <c r="H6" s="33" t="str">
        <f ca="1">IFERROR(__xludf.DUMMYFUNCTION("""COMPUTED_VALUE"""),"Alcorcón")</f>
        <v>Alcorcón</v>
      </c>
      <c r="I6" s="33" t="str">
        <f ca="1">IFERROR(__xludf.DUMMYFUNCTION("""COMPUTED_VALUE"""),"C20241223113035124")</f>
        <v>C20241223113035124</v>
      </c>
      <c r="J6" s="33" t="str">
        <f ca="1">IFERROR(__xludf.DUMMYFUNCTION("""COMPUTED_VALUE"""),"AMADOR  VALENCIA ARIAS")</f>
        <v>AMADOR  VALENCIA ARIAS</v>
      </c>
      <c r="K6" s="33">
        <f ca="1">IFERROR(__xludf.DUMMYFUNCTION("""COMPUTED_VALUE"""),2)</f>
        <v>2</v>
      </c>
      <c r="L6" s="203">
        <f ca="1">IFERROR(__xludf.DUMMYFUNCTION("""COMPUTED_VALUE"""),4000)</f>
        <v>4000</v>
      </c>
      <c r="M6" s="33" t="str">
        <f ca="1">IFERROR(__xludf.DUMMYFUNCTION("""COMPUTED_VALUE"""),"03 ORL")</f>
        <v>03 ORL</v>
      </c>
      <c r="N6" s="33" t="str">
        <f ca="1">IFERROR(__xludf.DUMMYFUNCTION("""COMPUTED_VALUE"""),"06 ORL")</f>
        <v>06 ORL</v>
      </c>
      <c r="O6" s="33" t="str">
        <f ca="1">IFERROR(__xludf.DUMMYFUNCTION("""COMPUTED_VALUE"""),"Dr, Álvaro Sánchez Álvarez")</f>
        <v>Dr, Álvaro Sánchez Álvarez</v>
      </c>
      <c r="P6" s="33" t="str">
        <f ca="1">IFERROR(__xludf.DUMMYFUNCTION("""COMPUTED_VALUE"""),"Lisandro Russian (Madrid, Cáceres, Toledo, Talavera Y Logroño)")</f>
        <v>Lisandro Russian (Madrid, Cáceres, Toledo, Talavera Y Logroño)</v>
      </c>
    </row>
    <row r="7" spans="1:27">
      <c r="B7" s="33">
        <f ca="1">IFERROR(__xludf.DUMMYFUNCTION("""COMPUTED_VALUE"""),2025)</f>
        <v>2025</v>
      </c>
      <c r="C7" s="33">
        <f ca="1">IFERROR(__xludf.DUMMYFUNCTION("""COMPUTED_VALUE"""),1)</f>
        <v>1</v>
      </c>
      <c r="D7" s="33" t="str">
        <f ca="1">IFERROR(__xludf.DUMMYFUNCTION("""COMPUTED_VALUE"""),"NO")</f>
        <v>NO</v>
      </c>
      <c r="E7" s="33" t="str">
        <f ca="1">IFERROR(__xludf.DUMMYFUNCTION("""COMPUTED_VALUE"""),"El Albir (Benidorm)")</f>
        <v>El Albir (Benidorm)</v>
      </c>
      <c r="F7" s="57">
        <f ca="1">IFERROR(__xludf.DUMMYFUNCTION("""COMPUTED_VALUE"""),45685)</f>
        <v>45685</v>
      </c>
      <c r="G7" s="57">
        <f ca="1">IFERROR(__xludf.DUMMYFUNCTION("""COMPUTED_VALUE"""),45638)</f>
        <v>45638</v>
      </c>
      <c r="H7" s="33" t="str">
        <f ca="1">IFERROR(__xludf.DUMMYFUNCTION("""COMPUTED_VALUE"""),"El Albir (Benidorm)")</f>
        <v>El Albir (Benidorm)</v>
      </c>
      <c r="I7" s="33" t="str">
        <f ca="1">IFERROR(__xludf.DUMMYFUNCTION("""COMPUTED_VALUE"""),"C20241212162435193")</f>
        <v>C20241212162435193</v>
      </c>
      <c r="J7" s="33" t="str">
        <f ca="1">IFERROR(__xludf.DUMMYFUNCTION("""COMPUTED_VALUE"""),"ANTONIO JOSE RODRIGUEZ MANZANO")</f>
        <v>ANTONIO JOSE RODRIGUEZ MANZANO</v>
      </c>
      <c r="K7" s="33">
        <f ca="1">IFERROR(__xludf.DUMMYFUNCTION("""COMPUTED_VALUE"""),2)</f>
        <v>2</v>
      </c>
      <c r="L7" s="203">
        <f ca="1">IFERROR(__xludf.DUMMYFUNCTION("""COMPUTED_VALUE"""),2888.18)</f>
        <v>2888.18</v>
      </c>
      <c r="M7" s="33" t="str">
        <f ca="1">IFERROR(__xludf.DUMMYFUNCTION("""COMPUTED_VALUE"""),"02 MARKETING OFF LINE")</f>
        <v>02 MARKETING OFF LINE</v>
      </c>
      <c r="N7" s="33" t="str">
        <f ca="1">IFERROR(__xludf.DUMMYFUNCTION("""COMPUTED_VALUE"""),"18 ESCAPARATE")</f>
        <v>18 ESCAPARATE</v>
      </c>
      <c r="O7" s="33" t="str">
        <f ca="1">IFERROR(__xludf.DUMMYFUNCTION("""COMPUTED_VALUE"""),"Dr, Javier García-Dueñas González")</f>
        <v>Dr, Javier García-Dueñas González</v>
      </c>
      <c r="P7" s="33" t="str">
        <f ca="1">IFERROR(__xludf.DUMMYFUNCTION("""COMPUTED_VALUE"""),"Iván Sánchez (Levante Y Albacete)")</f>
        <v>Iván Sánchez (Levante Y Albacete)</v>
      </c>
    </row>
    <row r="8" spans="1:27">
      <c r="B8" s="1">
        <f ca="1">IFERROR(__xludf.DUMMYFUNCTION("""COMPUTED_VALUE"""),2025)</f>
        <v>2025</v>
      </c>
      <c r="C8" s="33">
        <f ca="1">IFERROR(__xludf.DUMMYFUNCTION("""COMPUTED_VALUE"""),1)</f>
        <v>1</v>
      </c>
      <c r="D8" s="33" t="str">
        <f ca="1">IFERROR(__xludf.DUMMYFUNCTION("""COMPUTED_VALUE"""),"NO")</f>
        <v>NO</v>
      </c>
      <c r="E8" s="33" t="str">
        <f ca="1">IFERROR(__xludf.DUMMYFUNCTION("""COMPUTED_VALUE"""),"El Albir (Benidorm)")</f>
        <v>El Albir (Benidorm)</v>
      </c>
      <c r="F8" s="57">
        <f ca="1">IFERROR(__xludf.DUMMYFUNCTION("""COMPUTED_VALUE"""),45672)</f>
        <v>45672</v>
      </c>
      <c r="G8" s="57">
        <f ca="1">IFERROR(__xludf.DUMMYFUNCTION("""COMPUTED_VALUE"""),45649)</f>
        <v>45649</v>
      </c>
      <c r="H8" s="33" t="str">
        <f ca="1">IFERROR(__xludf.DUMMYFUNCTION("""COMPUTED_VALUE"""),"El Albir (Benidorm)")</f>
        <v>El Albir (Benidorm)</v>
      </c>
      <c r="I8" s="33" t="str">
        <f ca="1">IFERROR(__xludf.DUMMYFUNCTION("""COMPUTED_VALUE"""),"C20241224102857904")</f>
        <v>C20241224102857904</v>
      </c>
      <c r="J8" s="33" t="str">
        <f ca="1">IFERROR(__xludf.DUMMYFUNCTION("""COMPUTED_VALUE"""),"DOMINGO  GALLEGO GARCIA")</f>
        <v>DOMINGO  GALLEGO GARCIA</v>
      </c>
      <c r="K8" s="33">
        <f ca="1">IFERROR(__xludf.DUMMYFUNCTION("""COMPUTED_VALUE"""),2)</f>
        <v>2</v>
      </c>
      <c r="L8" s="203">
        <f ca="1">IFERROR(__xludf.DUMMYFUNCTION("""COMPUTED_VALUE"""),4000)</f>
        <v>4000</v>
      </c>
      <c r="M8" s="33" t="str">
        <f ca="1">IFERROR(__xludf.DUMMYFUNCTION("""COMPUTED_VALUE"""),"03 ORL")</f>
        <v>03 ORL</v>
      </c>
      <c r="N8" s="33" t="str">
        <f ca="1">IFERROR(__xludf.DUMMYFUNCTION("""COMPUTED_VALUE"""),"06 ORL")</f>
        <v>06 ORL</v>
      </c>
      <c r="O8" s="33" t="str">
        <f ca="1">IFERROR(__xludf.DUMMYFUNCTION("""COMPUTED_VALUE"""),"Dra, Isabel Polo Tomás")</f>
        <v>Dra, Isabel Polo Tomás</v>
      </c>
      <c r="P8" s="33" t="str">
        <f ca="1">IFERROR(__xludf.DUMMYFUNCTION("""COMPUTED_VALUE"""),"Ramon Ferrando(Valencia)")</f>
        <v>Ramon Ferrando(Valencia)</v>
      </c>
    </row>
    <row r="9" spans="1:27">
      <c r="B9" s="33">
        <f ca="1">IFERROR(__xludf.DUMMYFUNCTION("""COMPUTED_VALUE"""),2025)</f>
        <v>2025</v>
      </c>
      <c r="C9" s="33">
        <f ca="1">IFERROR(__xludf.DUMMYFUNCTION("""COMPUTED_VALUE"""),1)</f>
        <v>1</v>
      </c>
      <c r="D9" s="33" t="str">
        <f ca="1">IFERROR(__xludf.DUMMYFUNCTION("""COMPUTED_VALUE"""),"NO")</f>
        <v>NO</v>
      </c>
      <c r="E9" s="33" t="str">
        <f ca="1">IFERROR(__xludf.DUMMYFUNCTION("""COMPUTED_VALUE"""),"El Albir (Benidorm)")</f>
        <v>El Albir (Benidorm)</v>
      </c>
      <c r="F9" s="57">
        <f ca="1">IFERROR(__xludf.DUMMYFUNCTION("""COMPUTED_VALUE"""),45687)</f>
        <v>45687</v>
      </c>
      <c r="G9" s="57">
        <f ca="1">IFERROR(__xludf.DUMMYFUNCTION("""COMPUTED_VALUE"""),45350)</f>
        <v>45350</v>
      </c>
      <c r="H9" s="33" t="str">
        <f ca="1">IFERROR(__xludf.DUMMYFUNCTION("""COMPUTED_VALUE"""),"El Albir (Benidorm)")</f>
        <v>El Albir (Benidorm)</v>
      </c>
      <c r="I9" s="33" t="str">
        <f ca="1">IFERROR(__xludf.DUMMYFUNCTION("""COMPUTED_VALUE"""),"BNI-149")</f>
        <v>BNI-149</v>
      </c>
      <c r="J9" s="33" t="str">
        <f ca="1">IFERROR(__xludf.DUMMYFUNCTION("""COMPUTED_VALUE"""),"PEDRO LLORET LLORET")</f>
        <v>PEDRO LLORET LLORET</v>
      </c>
      <c r="K9" s="33">
        <f ca="1">IFERROR(__xludf.DUMMYFUNCTION("""COMPUTED_VALUE"""),1)</f>
        <v>1</v>
      </c>
      <c r="L9" s="203">
        <f ca="1">IFERROR(__xludf.DUMMYFUNCTION("""COMPUTED_VALUE"""),1636.36)</f>
        <v>1636.36</v>
      </c>
      <c r="M9" s="33" t="str">
        <f ca="1">IFERROR(__xludf.DUMMYFUNCTION("""COMPUTED_VALUE"""),"03 ORL")</f>
        <v>03 ORL</v>
      </c>
      <c r="N9" s="33" t="str">
        <f ca="1">IFERROR(__xludf.DUMMYFUNCTION("""COMPUTED_VALUE"""),"06 ORL")</f>
        <v>06 ORL</v>
      </c>
      <c r="O9" s="33" t="str">
        <f ca="1">IFERROR(__xludf.DUMMYFUNCTION("""COMPUTED_VALUE"""),"Dra, Isabel Polo Tomás")</f>
        <v>Dra, Isabel Polo Tomás</v>
      </c>
      <c r="P9" s="33" t="str">
        <f ca="1">IFERROR(__xludf.DUMMYFUNCTION("""COMPUTED_VALUE"""),"Ramon Ferrando(Valencia)")</f>
        <v>Ramon Ferrando(Valencia)</v>
      </c>
    </row>
    <row r="10" spans="1:27">
      <c r="B10" s="33">
        <f ca="1">IFERROR(__xludf.DUMMYFUNCTION("""COMPUTED_VALUE"""),2025)</f>
        <v>2025</v>
      </c>
      <c r="C10" s="33">
        <f ca="1">IFERROR(__xludf.DUMMYFUNCTION("""COMPUTED_VALUE"""),1)</f>
        <v>1</v>
      </c>
      <c r="D10" s="33" t="str">
        <f ca="1">IFERROR(__xludf.DUMMYFUNCTION("""COMPUTED_VALUE"""),"NO")</f>
        <v>NO</v>
      </c>
      <c r="E10" s="33" t="str">
        <f ca="1">IFERROR(__xludf.DUMMYFUNCTION("""COMPUTED_VALUE"""),"El Albir (Benidorm)")</f>
        <v>El Albir (Benidorm)</v>
      </c>
      <c r="F10" s="57">
        <f ca="1">IFERROR(__xludf.DUMMYFUNCTION("""COMPUTED_VALUE"""),45677)</f>
        <v>45677</v>
      </c>
      <c r="G10" s="57">
        <f ca="1">IFERROR(__xludf.DUMMYFUNCTION("""COMPUTED_VALUE"""),45638)</f>
        <v>45638</v>
      </c>
      <c r="H10" s="33" t="str">
        <f ca="1">IFERROR(__xludf.DUMMYFUNCTION("""COMPUTED_VALUE"""),"El Albir (Benidorm)")</f>
        <v>El Albir (Benidorm)</v>
      </c>
      <c r="I10" s="33" t="str">
        <f ca="1">IFERROR(__xludf.DUMMYFUNCTION("""COMPUTED_VALUE"""),"C202412171800505")</f>
        <v>C202412171800505</v>
      </c>
      <c r="J10" s="33" t="str">
        <f ca="1">IFERROR(__xludf.DUMMYFUNCTION("""COMPUTED_VALUE"""),"PURIFICACION BOTELLA RONDA")</f>
        <v>PURIFICACION BOTELLA RONDA</v>
      </c>
      <c r="K10" s="33">
        <f ca="1">IFERROR(__xludf.DUMMYFUNCTION("""COMPUTED_VALUE"""),1)</f>
        <v>1</v>
      </c>
      <c r="L10" s="203">
        <f ca="1">IFERROR(__xludf.DUMMYFUNCTION("""COMPUTED_VALUE"""),2216.36)</f>
        <v>2216.36</v>
      </c>
      <c r="M10" s="33" t="str">
        <f ca="1">IFERROR(__xludf.DUMMYFUNCTION("""COMPUTED_VALUE"""),"03 ORL")</f>
        <v>03 ORL</v>
      </c>
      <c r="N10" s="33" t="str">
        <f ca="1">IFERROR(__xludf.DUMMYFUNCTION("""COMPUTED_VALUE"""),"06 ORL")</f>
        <v>06 ORL</v>
      </c>
      <c r="O10" s="33" t="str">
        <f ca="1">IFERROR(__xludf.DUMMYFUNCTION("""COMPUTED_VALUE"""),"Dr, Javier García-Dueñas González")</f>
        <v>Dr, Javier García-Dueñas González</v>
      </c>
      <c r="P10" s="33" t="str">
        <f ca="1">IFERROR(__xludf.DUMMYFUNCTION("""COMPUTED_VALUE"""),"Iván Sánchez (Levante Y Albacete)")</f>
        <v>Iván Sánchez (Levante Y Albacete)</v>
      </c>
    </row>
    <row r="11" spans="1:27">
      <c r="B11" s="33">
        <f ca="1">IFERROR(__xludf.DUMMYFUNCTION("""COMPUTED_VALUE"""),2025)</f>
        <v>2025</v>
      </c>
      <c r="C11" s="33">
        <f ca="1">IFERROR(__xludf.DUMMYFUNCTION("""COMPUTED_VALUE"""),1)</f>
        <v>1</v>
      </c>
      <c r="D11" s="33" t="str">
        <f ca="1">IFERROR(__xludf.DUMMYFUNCTION("""COMPUTED_VALUE"""),"NO")</f>
        <v>NO</v>
      </c>
      <c r="E11" s="33" t="str">
        <f ca="1">IFERROR(__xludf.DUMMYFUNCTION("""COMPUTED_VALUE"""),"Alicante")</f>
        <v>Alicante</v>
      </c>
      <c r="F11" s="57">
        <f ca="1">IFERROR(__xludf.DUMMYFUNCTION("""COMPUTED_VALUE"""),45684)</f>
        <v>45684</v>
      </c>
      <c r="G11" s="57">
        <f ca="1">IFERROR(__xludf.DUMMYFUNCTION("""COMPUTED_VALUE"""),45636)</f>
        <v>45636</v>
      </c>
      <c r="H11" s="33" t="str">
        <f ca="1">IFERROR(__xludf.DUMMYFUNCTION("""COMPUTED_VALUE"""),"Alicante")</f>
        <v>Alicante</v>
      </c>
      <c r="I11" s="33" t="str">
        <f ca="1">IFERROR(__xludf.DUMMYFUNCTION("""COMPUTED_VALUE"""),"C2024122392712129")</f>
        <v>C2024122392712129</v>
      </c>
      <c r="J11" s="33" t="str">
        <f ca="1">IFERROR(__xludf.DUMMYFUNCTION("""COMPUTED_VALUE"""),"BEATRIZ  RODRIGUEZ JARABO")</f>
        <v>BEATRIZ  RODRIGUEZ JARABO</v>
      </c>
      <c r="K11" s="33">
        <f ca="1">IFERROR(__xludf.DUMMYFUNCTION("""COMPUTED_VALUE"""),2)</f>
        <v>2</v>
      </c>
      <c r="L11" s="203">
        <f ca="1">IFERROR(__xludf.DUMMYFUNCTION("""COMPUTED_VALUE"""),3710)</f>
        <v>3710</v>
      </c>
      <c r="M11" s="33" t="str">
        <f ca="1">IFERROR(__xludf.DUMMYFUNCTION("""COMPUTED_VALUE"""),"04 TIENDA")</f>
        <v>04 TIENDA</v>
      </c>
      <c r="N11" s="33" t="str">
        <f ca="1">IFERROR(__xludf.DUMMYFUNCTION("""COMPUTED_VALUE"""),"07 BOCA/BOCA")</f>
        <v>07 BOCA/BOCA</v>
      </c>
      <c r="O11" s="33" t="str">
        <f ca="1">IFERROR(__xludf.DUMMYFUNCTION("""COMPUTED_VALUE"""),"Dr, Javier García-Dueñas González")</f>
        <v>Dr, Javier García-Dueñas González</v>
      </c>
      <c r="P11" s="33" t="str">
        <f ca="1">IFERROR(__xludf.DUMMYFUNCTION("""COMPUTED_VALUE"""),"Iván Sánchez (Levante Y Albacete)")</f>
        <v>Iván Sánchez (Levante Y Albacete)</v>
      </c>
    </row>
    <row r="12" spans="1:27">
      <c r="B12" s="33">
        <f ca="1">IFERROR(__xludf.DUMMYFUNCTION("""COMPUTED_VALUE"""),2025)</f>
        <v>2025</v>
      </c>
      <c r="C12" s="1">
        <f ca="1">IFERROR(__xludf.DUMMYFUNCTION("""COMPUTED_VALUE"""),1)</f>
        <v>1</v>
      </c>
      <c r="D12" s="1" t="str">
        <f ca="1">IFERROR(__xludf.DUMMYFUNCTION("""COMPUTED_VALUE"""),"NO")</f>
        <v>NO</v>
      </c>
      <c r="E12" s="33" t="str">
        <f ca="1">IFERROR(__xludf.DUMMYFUNCTION("""COMPUTED_VALUE"""),"Alicante")</f>
        <v>Alicante</v>
      </c>
      <c r="F12" s="57">
        <f ca="1">IFERROR(__xludf.DUMMYFUNCTION("""COMPUTED_VALUE"""),45684)</f>
        <v>45684</v>
      </c>
      <c r="G12" s="57">
        <f ca="1">IFERROR(__xludf.DUMMYFUNCTION("""COMPUTED_VALUE"""),45660)</f>
        <v>45660</v>
      </c>
      <c r="H12" s="33" t="str">
        <f ca="1">IFERROR(__xludf.DUMMYFUNCTION("""COMPUTED_VALUE"""),"Alicante")</f>
        <v>Alicante</v>
      </c>
      <c r="I12" s="33" t="str">
        <f ca="1">IFERROR(__xludf.DUMMYFUNCTION("""COMPUTED_VALUE"""),"C20251911456805")</f>
        <v>C20251911456805</v>
      </c>
      <c r="J12" s="33" t="str">
        <f ca="1">IFERROR(__xludf.DUMMYFUNCTION("""COMPUTED_VALUE"""),"EDUARDO PASTOR PLANELLES")</f>
        <v>EDUARDO PASTOR PLANELLES</v>
      </c>
      <c r="K12" s="33">
        <f ca="1">IFERROR(__xludf.DUMMYFUNCTION("""COMPUTED_VALUE"""),2)</f>
        <v>2</v>
      </c>
      <c r="L12" s="203">
        <f ca="1">IFERROR(__xludf.DUMMYFUNCTION("""COMPUTED_VALUE"""),4180)</f>
        <v>4180</v>
      </c>
      <c r="M12" s="33" t="str">
        <f ca="1">IFERROR(__xludf.DUMMYFUNCTION("""COMPUTED_VALUE"""),"01 MARKETING ON LINE")</f>
        <v>01 MARKETING ON LINE</v>
      </c>
      <c r="N12" s="33" t="str">
        <f ca="1">IFERROR(__xludf.DUMMYFUNCTION("""COMPUTED_VALUE"""),"01 WEB AUDICOST")</f>
        <v>01 WEB AUDICOST</v>
      </c>
      <c r="O12" s="33" t="str">
        <f ca="1">IFERROR(__xludf.DUMMYFUNCTION("""COMPUTED_VALUE"""),"Dr, Javier García-Dueñas González")</f>
        <v>Dr, Javier García-Dueñas González</v>
      </c>
      <c r="P12" s="33" t="str">
        <f ca="1">IFERROR(__xludf.DUMMYFUNCTION("""COMPUTED_VALUE"""),"Iván Sánchez (Levante Y Albacete)")</f>
        <v>Iván Sánchez (Levante Y Albacete)</v>
      </c>
    </row>
    <row r="13" spans="1:27">
      <c r="B13" s="33">
        <f ca="1">IFERROR(__xludf.DUMMYFUNCTION("""COMPUTED_VALUE"""),2025)</f>
        <v>2025</v>
      </c>
      <c r="C13" s="33">
        <f ca="1">IFERROR(__xludf.DUMMYFUNCTION("""COMPUTED_VALUE"""),1)</f>
        <v>1</v>
      </c>
      <c r="D13" s="33" t="str">
        <f ca="1">IFERROR(__xludf.DUMMYFUNCTION("""COMPUTED_VALUE"""),"NO")</f>
        <v>NO</v>
      </c>
      <c r="E13" s="33" t="str">
        <f ca="1">IFERROR(__xludf.DUMMYFUNCTION("""COMPUTED_VALUE"""),"Alicante")</f>
        <v>Alicante</v>
      </c>
      <c r="F13" s="57">
        <f ca="1">IFERROR(__xludf.DUMMYFUNCTION("""COMPUTED_VALUE"""),45660)</f>
        <v>45660</v>
      </c>
      <c r="G13" s="57">
        <f ca="1">IFERROR(__xludf.DUMMYFUNCTION("""COMPUTED_VALUE"""),45623)</f>
        <v>45623</v>
      </c>
      <c r="H13" s="33" t="str">
        <f ca="1">IFERROR(__xludf.DUMMYFUNCTION("""COMPUTED_VALUE"""),"Alicante")</f>
        <v>Alicante</v>
      </c>
      <c r="I13" s="33" t="str">
        <f ca="1">IFERROR(__xludf.DUMMYFUNCTION("""COMPUTED_VALUE"""),"C20241129151443198")</f>
        <v>C20241129151443198</v>
      </c>
      <c r="J13" s="33" t="str">
        <f ca="1">IFERROR(__xludf.DUMMYFUNCTION("""COMPUTED_VALUE"""),"ELIZABETH GAFFNEY")</f>
        <v>ELIZABETH GAFFNEY</v>
      </c>
      <c r="K13" s="33">
        <f ca="1">IFERROR(__xludf.DUMMYFUNCTION("""COMPUTED_VALUE"""),2)</f>
        <v>2</v>
      </c>
      <c r="L13" s="203">
        <f ca="1">IFERROR(__xludf.DUMMYFUNCTION("""COMPUTED_VALUE"""),3710)</f>
        <v>3710</v>
      </c>
      <c r="M13" s="33" t="str">
        <f ca="1">IFERROR(__xludf.DUMMYFUNCTION("""COMPUTED_VALUE"""),"03 ORL")</f>
        <v>03 ORL</v>
      </c>
      <c r="N13" s="33" t="str">
        <f ca="1">IFERROR(__xludf.DUMMYFUNCTION("""COMPUTED_VALUE"""),"06 ORL")</f>
        <v>06 ORL</v>
      </c>
      <c r="O13" s="33" t="str">
        <f ca="1">IFERROR(__xludf.DUMMYFUNCTION("""COMPUTED_VALUE"""),"Dr, Javier García-Dueñas González")</f>
        <v>Dr, Javier García-Dueñas González</v>
      </c>
      <c r="P13" s="33" t="str">
        <f ca="1">IFERROR(__xludf.DUMMYFUNCTION("""COMPUTED_VALUE"""),"Iván Sánchez (Levante Y Albacete)")</f>
        <v>Iván Sánchez (Levante Y Albacete)</v>
      </c>
    </row>
    <row r="14" spans="1:27">
      <c r="B14" s="33">
        <f ca="1">IFERROR(__xludf.DUMMYFUNCTION("""COMPUTED_VALUE"""),2025)</f>
        <v>2025</v>
      </c>
      <c r="C14" s="33">
        <f ca="1">IFERROR(__xludf.DUMMYFUNCTION("""COMPUTED_VALUE"""),1)</f>
        <v>1</v>
      </c>
      <c r="D14" s="33" t="str">
        <f ca="1">IFERROR(__xludf.DUMMYFUNCTION("""COMPUTED_VALUE"""),"NO")</f>
        <v>NO</v>
      </c>
      <c r="E14" s="33" t="str">
        <f ca="1">IFERROR(__xludf.DUMMYFUNCTION("""COMPUTED_VALUE"""),"Alicante")</f>
        <v>Alicante</v>
      </c>
      <c r="F14" s="57">
        <f ca="1">IFERROR(__xludf.DUMMYFUNCTION("""COMPUTED_VALUE"""),45684)</f>
        <v>45684</v>
      </c>
      <c r="G14" s="57">
        <f ca="1">IFERROR(__xludf.DUMMYFUNCTION("""COMPUTED_VALUE"""),45517)</f>
        <v>45517</v>
      </c>
      <c r="H14" s="33" t="str">
        <f ca="1">IFERROR(__xludf.DUMMYFUNCTION("""COMPUTED_VALUE"""),"Alicante")</f>
        <v>Alicante</v>
      </c>
      <c r="I14" s="33" t="str">
        <f ca="1">IFERROR(__xludf.DUMMYFUNCTION("""COMPUTED_VALUE"""),"C20251918555876")</f>
        <v>C20251918555876</v>
      </c>
      <c r="J14" s="33" t="str">
        <f ca="1">IFERROR(__xludf.DUMMYFUNCTION("""COMPUTED_VALUE"""),"JOSE FRANCISCO RICO PERTUSA")</f>
        <v>JOSE FRANCISCO RICO PERTUSA</v>
      </c>
      <c r="K14" s="33">
        <f ca="1">IFERROR(__xludf.DUMMYFUNCTION("""COMPUTED_VALUE"""),2)</f>
        <v>2</v>
      </c>
      <c r="L14" s="203">
        <f ca="1">IFERROR(__xludf.DUMMYFUNCTION("""COMPUTED_VALUE"""),2888.18)</f>
        <v>2888.18</v>
      </c>
      <c r="M14" s="33" t="str">
        <f ca="1">IFERROR(__xludf.DUMMYFUNCTION("""COMPUTED_VALUE"""),"01 MARKETING ON LINE")</f>
        <v>01 MARKETING ON LINE</v>
      </c>
      <c r="N14" s="33" t="str">
        <f ca="1">IFERROR(__xludf.DUMMYFUNCTION("""COMPUTED_VALUE"""),"04 AUDIFONO,ES")</f>
        <v>04 AUDIFONO,ES</v>
      </c>
      <c r="O14" s="33" t="str">
        <f ca="1">IFERROR(__xludf.DUMMYFUNCTION("""COMPUTED_VALUE"""),"Dr, Javier García-Dueñas González")</f>
        <v>Dr, Javier García-Dueñas González</v>
      </c>
      <c r="P14" s="33" t="str">
        <f ca="1">IFERROR(__xludf.DUMMYFUNCTION("""COMPUTED_VALUE"""),"Iván Sánchez (Levante Y Albacete)")</f>
        <v>Iván Sánchez (Levante Y Albacete)</v>
      </c>
    </row>
    <row r="15" spans="1:27">
      <c r="B15" s="33">
        <f ca="1">IFERROR(__xludf.DUMMYFUNCTION("""COMPUTED_VALUE"""),2025)</f>
        <v>2025</v>
      </c>
      <c r="C15" s="33">
        <f ca="1">IFERROR(__xludf.DUMMYFUNCTION("""COMPUTED_VALUE"""),1)</f>
        <v>1</v>
      </c>
      <c r="D15" s="1" t="str">
        <f ca="1">IFERROR(__xludf.DUMMYFUNCTION("""COMPUTED_VALUE"""),"NO")</f>
        <v>NO</v>
      </c>
      <c r="E15" s="33" t="str">
        <f ca="1">IFERROR(__xludf.DUMMYFUNCTION("""COMPUTED_VALUE"""),"Alicante")</f>
        <v>Alicante</v>
      </c>
      <c r="F15" s="57">
        <f ca="1">IFERROR(__xludf.DUMMYFUNCTION("""COMPUTED_VALUE"""),45685)</f>
        <v>45685</v>
      </c>
      <c r="G15" s="57">
        <f ca="1">IFERROR(__xludf.DUMMYFUNCTION("""COMPUTED_VALUE"""),45672)</f>
        <v>45672</v>
      </c>
      <c r="H15" s="33" t="str">
        <f ca="1">IFERROR(__xludf.DUMMYFUNCTION("""COMPUTED_VALUE"""),"Alicante")</f>
        <v>Alicante</v>
      </c>
      <c r="I15" s="33" t="str">
        <f ca="1">IFERROR(__xludf.DUMMYFUNCTION("""COMPUTED_VALUE"""),"C202511618016871")</f>
        <v>C202511618016871</v>
      </c>
      <c r="J15" s="33" t="str">
        <f ca="1">IFERROR(__xludf.DUMMYFUNCTION("""COMPUTED_VALUE"""),"LUIS GONZÁLEZ GÓMEZ")</f>
        <v>LUIS GONZÁLEZ GÓMEZ</v>
      </c>
      <c r="K15" s="33">
        <f ca="1">IFERROR(__xludf.DUMMYFUNCTION("""COMPUTED_VALUE"""),2)</f>
        <v>2</v>
      </c>
      <c r="L15" s="203">
        <f ca="1">IFERROR(__xludf.DUMMYFUNCTION("""COMPUTED_VALUE"""),4000)</f>
        <v>4000</v>
      </c>
      <c r="M15" s="33" t="str">
        <f ca="1">IFERROR(__xludf.DUMMYFUNCTION("""COMPUTED_VALUE"""),"03 ORL")</f>
        <v>03 ORL</v>
      </c>
      <c r="N15" s="33" t="str">
        <f ca="1">IFERROR(__xludf.DUMMYFUNCTION("""COMPUTED_VALUE"""),"06 ORL")</f>
        <v>06 ORL</v>
      </c>
      <c r="O15" s="33" t="str">
        <f ca="1">IFERROR(__xludf.DUMMYFUNCTION("""COMPUTED_VALUE"""),"Dra, Maria Rosario Ferrandiz García")</f>
        <v>Dra, Maria Rosario Ferrandiz García</v>
      </c>
      <c r="P15" s="33" t="str">
        <f ca="1">IFERROR(__xludf.DUMMYFUNCTION("""COMPUTED_VALUE"""),"Iván Sánchez (Levante Y Albacete)")</f>
        <v>Iván Sánchez (Levante Y Albacete)</v>
      </c>
    </row>
    <row r="16" spans="1:27">
      <c r="B16" s="33">
        <f ca="1">IFERROR(__xludf.DUMMYFUNCTION("""COMPUTED_VALUE"""),2025)</f>
        <v>2025</v>
      </c>
      <c r="C16" s="33">
        <f ca="1">IFERROR(__xludf.DUMMYFUNCTION("""COMPUTED_VALUE"""),1)</f>
        <v>1</v>
      </c>
      <c r="D16" s="33" t="str">
        <f ca="1">IFERROR(__xludf.DUMMYFUNCTION("""COMPUTED_VALUE"""),"NO")</f>
        <v>NO</v>
      </c>
      <c r="E16" s="33" t="str">
        <f ca="1">IFERROR(__xludf.DUMMYFUNCTION("""COMPUTED_VALUE"""),"Alicante")</f>
        <v>Alicante</v>
      </c>
      <c r="F16" s="57">
        <f ca="1">IFERROR(__xludf.DUMMYFUNCTION("""COMPUTED_VALUE"""),45686)</f>
        <v>45686</v>
      </c>
      <c r="G16" s="57">
        <f ca="1">IFERROR(__xludf.DUMMYFUNCTION("""COMPUTED_VALUE"""),45644)</f>
        <v>45644</v>
      </c>
      <c r="H16" s="33" t="str">
        <f ca="1">IFERROR(__xludf.DUMMYFUNCTION("""COMPUTED_VALUE"""),"Alicante")</f>
        <v>Alicante</v>
      </c>
      <c r="I16" s="33" t="str">
        <f ca="1">IFERROR(__xludf.DUMMYFUNCTION("""COMPUTED_VALUE"""),"C202517113610311")</f>
        <v>C202517113610311</v>
      </c>
      <c r="J16" s="33" t="str">
        <f ca="1">IFERROR(__xludf.DUMMYFUNCTION("""COMPUTED_VALUE"""),"MARIA MARTINEZ VACA")</f>
        <v>MARIA MARTINEZ VACA</v>
      </c>
      <c r="K16" s="33">
        <f ca="1">IFERROR(__xludf.DUMMYFUNCTION("""COMPUTED_VALUE"""),2)</f>
        <v>2</v>
      </c>
      <c r="L16" s="203">
        <f ca="1">IFERROR(__xludf.DUMMYFUNCTION("""COMPUTED_VALUE"""),3095.45)</f>
        <v>3095.45</v>
      </c>
      <c r="M16" s="33" t="str">
        <f ca="1">IFERROR(__xludf.DUMMYFUNCTION("""COMPUTED_VALUE"""),"03 ORL")</f>
        <v>03 ORL</v>
      </c>
      <c r="N16" s="33" t="str">
        <f ca="1">IFERROR(__xludf.DUMMYFUNCTION("""COMPUTED_VALUE"""),"06 ORL")</f>
        <v>06 ORL</v>
      </c>
      <c r="O16" s="33" t="str">
        <f ca="1">IFERROR(__xludf.DUMMYFUNCTION("""COMPUTED_VALUE"""),"Dra, Irene Monjas Canovas")</f>
        <v>Dra, Irene Monjas Canovas</v>
      </c>
      <c r="P16" s="33" t="str">
        <f ca="1">IFERROR(__xludf.DUMMYFUNCTION("""COMPUTED_VALUE"""),"Iván Sánchez (Levante Y Albacete)")</f>
        <v>Iván Sánchez (Levante Y Albacete)</v>
      </c>
    </row>
    <row r="17" spans="2:16">
      <c r="B17" s="33">
        <f ca="1">IFERROR(__xludf.DUMMYFUNCTION("""COMPUTED_VALUE"""),2025)</f>
        <v>2025</v>
      </c>
      <c r="C17" s="33">
        <f ca="1">IFERROR(__xludf.DUMMYFUNCTION("""COMPUTED_VALUE"""),1)</f>
        <v>1</v>
      </c>
      <c r="D17" s="33" t="str">
        <f ca="1">IFERROR(__xludf.DUMMYFUNCTION("""COMPUTED_VALUE"""),"NO")</f>
        <v>NO</v>
      </c>
      <c r="E17" s="33" t="str">
        <f ca="1">IFERROR(__xludf.DUMMYFUNCTION("""COMPUTED_VALUE"""),"Barcelona- Fabra i Puig")</f>
        <v>Barcelona- Fabra i Puig</v>
      </c>
      <c r="F17" s="57">
        <f ca="1">IFERROR(__xludf.DUMMYFUNCTION("""COMPUTED_VALUE"""),45664)</f>
        <v>45664</v>
      </c>
      <c r="G17" s="57">
        <f ca="1">IFERROR(__xludf.DUMMYFUNCTION("""COMPUTED_VALUE"""),45572)</f>
        <v>45572</v>
      </c>
      <c r="H17" s="33" t="str">
        <f ca="1">IFERROR(__xludf.DUMMYFUNCTION("""COMPUTED_VALUE"""),"Fabra")</f>
        <v>Fabra</v>
      </c>
      <c r="I17" s="33" t="str">
        <f ca="1">IFERROR(__xludf.DUMMYFUNCTION("""COMPUTED_VALUE"""),"C2024101618522907")</f>
        <v>C2024101618522907</v>
      </c>
      <c r="J17" s="33" t="str">
        <f ca="1">IFERROR(__xludf.DUMMYFUNCTION("""COMPUTED_VALUE"""),"CARMEN LOPEZ MARTINEZ")</f>
        <v>CARMEN LOPEZ MARTINEZ</v>
      </c>
      <c r="K17" s="33">
        <f ca="1">IFERROR(__xludf.DUMMYFUNCTION("""COMPUTED_VALUE"""),1)</f>
        <v>1</v>
      </c>
      <c r="L17" s="203">
        <f ca="1">IFERROR(__xludf.DUMMYFUNCTION("""COMPUTED_VALUE"""),2280)</f>
        <v>2280</v>
      </c>
      <c r="M17" s="33" t="str">
        <f ca="1">IFERROR(__xludf.DUMMYFUNCTION("""COMPUTED_VALUE"""),"03 ORL")</f>
        <v>03 ORL</v>
      </c>
      <c r="N17" s="33" t="str">
        <f ca="1">IFERROR(__xludf.DUMMYFUNCTION("""COMPUTED_VALUE"""),"06 ORL")</f>
        <v>06 ORL</v>
      </c>
      <c r="O17" s="33" t="str">
        <f ca="1">IFERROR(__xludf.DUMMYFUNCTION("""COMPUTED_VALUE"""),"Dr, Evians Gómez De La Rosa")</f>
        <v>Dr, Evians Gómez De La Rosa</v>
      </c>
      <c r="P17" s="33" t="str">
        <f ca="1">IFERROR(__xludf.DUMMYFUNCTION("""COMPUTED_VALUE"""),"Mercè Cabrera (Cataluña Y Baleares)")</f>
        <v>Mercè Cabrera (Cataluña Y Baleares)</v>
      </c>
    </row>
    <row r="18" spans="2:16">
      <c r="B18" s="33">
        <f ca="1">IFERROR(__xludf.DUMMYFUNCTION("""COMPUTED_VALUE"""),2025)</f>
        <v>2025</v>
      </c>
      <c r="C18" s="33">
        <f ca="1">IFERROR(__xludf.DUMMYFUNCTION("""COMPUTED_VALUE"""),1)</f>
        <v>1</v>
      </c>
      <c r="D18" s="33" t="str">
        <f ca="1">IFERROR(__xludf.DUMMYFUNCTION("""COMPUTED_VALUE"""),"NO")</f>
        <v>NO</v>
      </c>
      <c r="E18" s="33" t="str">
        <f ca="1">IFERROR(__xludf.DUMMYFUNCTION("""COMPUTED_VALUE"""),"Fuenlabrada")</f>
        <v>Fuenlabrada</v>
      </c>
      <c r="F18" s="57">
        <f ca="1">IFERROR(__xludf.DUMMYFUNCTION("""COMPUTED_VALUE"""),45685)</f>
        <v>45685</v>
      </c>
      <c r="G18" s="57">
        <f ca="1">IFERROR(__xludf.DUMMYFUNCTION("""COMPUTED_VALUE"""),45604)</f>
        <v>45604</v>
      </c>
      <c r="H18" s="33" t="str">
        <f ca="1">IFERROR(__xludf.DUMMYFUNCTION("""COMPUTED_VALUE"""),"Fuenlabrada")</f>
        <v>Fuenlabrada</v>
      </c>
      <c r="I18" s="33" t="str">
        <f ca="1">IFERROR(__xludf.DUMMYFUNCTION("""COMPUTED_VALUE"""),"C20241111114353920")</f>
        <v>C20241111114353920</v>
      </c>
      <c r="J18" s="33" t="str">
        <f ca="1">IFERROR(__xludf.DUMMYFUNCTION("""COMPUTED_VALUE"""),"BERNARDINO MACHUCA GARRIDO")</f>
        <v>BERNARDINO MACHUCA GARRIDO</v>
      </c>
      <c r="K18" s="33">
        <f ca="1">IFERROR(__xludf.DUMMYFUNCTION("""COMPUTED_VALUE"""),1)</f>
        <v>1</v>
      </c>
      <c r="L18" s="203">
        <f ca="1">IFERROR(__xludf.DUMMYFUNCTION("""COMPUTED_VALUE"""),2640)</f>
        <v>2640</v>
      </c>
      <c r="M18" s="33" t="str">
        <f ca="1">IFERROR(__xludf.DUMMYFUNCTION("""COMPUTED_VALUE"""),"03 ORL")</f>
        <v>03 ORL</v>
      </c>
      <c r="N18" s="33" t="str">
        <f ca="1">IFERROR(__xludf.DUMMYFUNCTION("""COMPUTED_VALUE"""),"22 AUDIOMETRIA CLINICA")</f>
        <v>22 AUDIOMETRIA CLINICA</v>
      </c>
      <c r="O18" s="33" t="str">
        <f ca="1">IFERROR(__xludf.DUMMYFUNCTION("""COMPUTED_VALUE"""),"Dr, Adolfo Toledano Muñoz")</f>
        <v>Dr, Adolfo Toledano Muñoz</v>
      </c>
      <c r="P18" s="33" t="str">
        <f ca="1">IFERROR(__xludf.DUMMYFUNCTION("""COMPUTED_VALUE"""),"Maika Blázquez (Madrid)")</f>
        <v>Maika Blázquez (Madrid)</v>
      </c>
    </row>
    <row r="19" spans="2:16">
      <c r="B19" s="33">
        <f ca="1">IFERROR(__xludf.DUMMYFUNCTION("""COMPUTED_VALUE"""),2025)</f>
        <v>2025</v>
      </c>
      <c r="C19" s="33">
        <f ca="1">IFERROR(__xludf.DUMMYFUNCTION("""COMPUTED_VALUE"""),1)</f>
        <v>1</v>
      </c>
      <c r="D19" s="33" t="str">
        <f ca="1">IFERROR(__xludf.DUMMYFUNCTION("""COMPUTED_VALUE"""),"NO")</f>
        <v>NO</v>
      </c>
      <c r="E19" s="33" t="str">
        <f ca="1">IFERROR(__xludf.DUMMYFUNCTION("""COMPUTED_VALUE"""),"Fuenlabrada")</f>
        <v>Fuenlabrada</v>
      </c>
      <c r="F19" s="57">
        <f ca="1">IFERROR(__xludf.DUMMYFUNCTION("""COMPUTED_VALUE"""),45684)</f>
        <v>45684</v>
      </c>
      <c r="G19" s="57">
        <f ca="1">IFERROR(__xludf.DUMMYFUNCTION("""COMPUTED_VALUE"""),45308)</f>
        <v>45308</v>
      </c>
      <c r="H19" s="33" t="str">
        <f ca="1">IFERROR(__xludf.DUMMYFUNCTION("""COMPUTED_VALUE"""),"Fuenlabrada")</f>
        <v>Fuenlabrada</v>
      </c>
      <c r="I19" s="33" t="str">
        <f ca="1">IFERROR(__xludf.DUMMYFUNCTION("""COMPUTED_VALUE"""),"FNL-3341")</f>
        <v>FNL-3341</v>
      </c>
      <c r="J19" s="33" t="str">
        <f ca="1">IFERROR(__xludf.DUMMYFUNCTION("""COMPUTED_VALUE"""),"CARLA MANZANARES GALLEGO")</f>
        <v>CARLA MANZANARES GALLEGO</v>
      </c>
      <c r="K19" s="33">
        <f ca="1">IFERROR(__xludf.DUMMYFUNCTION("""COMPUTED_VALUE"""),1)</f>
        <v>1</v>
      </c>
      <c r="L19" s="203">
        <f ca="1">IFERROR(__xludf.DUMMYFUNCTION("""COMPUTED_VALUE"""),2400)</f>
        <v>2400</v>
      </c>
      <c r="M19" s="33" t="str">
        <f ca="1">IFERROR(__xludf.DUMMYFUNCTION("""COMPUTED_VALUE"""),"03 ORL")</f>
        <v>03 ORL</v>
      </c>
      <c r="N19" s="33" t="str">
        <f ca="1">IFERROR(__xludf.DUMMYFUNCTION("""COMPUTED_VALUE"""),"06 ORL")</f>
        <v>06 ORL</v>
      </c>
      <c r="O19" s="33" t="str">
        <f ca="1">IFERROR(__xludf.DUMMYFUNCTION("""COMPUTED_VALUE"""),"Dra, Victoria García Peces")</f>
        <v>Dra, Victoria García Peces</v>
      </c>
      <c r="P19" s="33" t="str">
        <f ca="1">IFERROR(__xludf.DUMMYFUNCTION("""COMPUTED_VALUE"""),"Maika Blázquez (Madrid)")</f>
        <v>Maika Blázquez (Madrid)</v>
      </c>
    </row>
    <row r="20" spans="2:16">
      <c r="B20" s="33">
        <f ca="1">IFERROR(__xludf.DUMMYFUNCTION("""COMPUTED_VALUE"""),2025)</f>
        <v>2025</v>
      </c>
      <c r="C20" s="33">
        <f ca="1">IFERROR(__xludf.DUMMYFUNCTION("""COMPUTED_VALUE"""),1)</f>
        <v>1</v>
      </c>
      <c r="D20" s="33" t="str">
        <f ca="1">IFERROR(__xludf.DUMMYFUNCTION("""COMPUTED_VALUE"""),"NO")</f>
        <v>NO</v>
      </c>
      <c r="E20" s="33" t="str">
        <f ca="1">IFERROR(__xludf.DUMMYFUNCTION("""COMPUTED_VALUE"""),"Fuenlabrada")</f>
        <v>Fuenlabrada</v>
      </c>
      <c r="F20" s="57">
        <f ca="1">IFERROR(__xludf.DUMMYFUNCTION("""COMPUTED_VALUE"""),45679)</f>
        <v>45679</v>
      </c>
      <c r="G20" s="57">
        <f ca="1">IFERROR(__xludf.DUMMYFUNCTION("""COMPUTED_VALUE"""),45653)</f>
        <v>45653</v>
      </c>
      <c r="H20" s="33" t="str">
        <f ca="1">IFERROR(__xludf.DUMMYFUNCTION("""COMPUTED_VALUE"""),"Fuenlabrada")</f>
        <v>Fuenlabrada</v>
      </c>
      <c r="I20" s="33" t="str">
        <f ca="1">IFERROR(__xludf.DUMMYFUNCTION("""COMPUTED_VALUE"""),"C202517103416305")</f>
        <v>C202517103416305</v>
      </c>
      <c r="J20" s="33" t="str">
        <f ca="1">IFERROR(__xludf.DUMMYFUNCTION("""COMPUTED_VALUE"""),"CONSOLACION  TORRONTERAS SANJULIAN")</f>
        <v>CONSOLACION  TORRONTERAS SANJULIAN</v>
      </c>
      <c r="K20" s="33">
        <f ca="1">IFERROR(__xludf.DUMMYFUNCTION("""COMPUTED_VALUE"""),2)</f>
        <v>2</v>
      </c>
      <c r="L20" s="203">
        <f ca="1">IFERROR(__xludf.DUMMYFUNCTION("""COMPUTED_VALUE"""),3710)</f>
        <v>3710</v>
      </c>
      <c r="M20" s="33" t="str">
        <f ca="1">IFERROR(__xludf.DUMMYFUNCTION("""COMPUTED_VALUE"""),"03 ORL")</f>
        <v>03 ORL</v>
      </c>
      <c r="N20" s="33" t="str">
        <f ca="1">IFERROR(__xludf.DUMMYFUNCTION("""COMPUTED_VALUE"""),"06 ORL")</f>
        <v>06 ORL</v>
      </c>
      <c r="O20" s="33" t="str">
        <f ca="1">IFERROR(__xludf.DUMMYFUNCTION("""COMPUTED_VALUE"""),"Dra, Estefania Miranda Sánchez")</f>
        <v>Dra, Estefania Miranda Sánchez</v>
      </c>
      <c r="P20" s="33" t="str">
        <f ca="1">IFERROR(__xludf.DUMMYFUNCTION("""COMPUTED_VALUE"""),"Maika Blázquez (Madrid)")</f>
        <v>Maika Blázquez (Madrid)</v>
      </c>
    </row>
    <row r="21" spans="2:16">
      <c r="B21" s="33">
        <f ca="1">IFERROR(__xludf.DUMMYFUNCTION("""COMPUTED_VALUE"""),2025)</f>
        <v>2025</v>
      </c>
      <c r="C21" s="33">
        <f ca="1">IFERROR(__xludf.DUMMYFUNCTION("""COMPUTED_VALUE"""),1)</f>
        <v>1</v>
      </c>
      <c r="D21" s="33" t="str">
        <f ca="1">IFERROR(__xludf.DUMMYFUNCTION("""COMPUTED_VALUE"""),"NO")</f>
        <v>NO</v>
      </c>
      <c r="E21" s="33" t="str">
        <f ca="1">IFERROR(__xludf.DUMMYFUNCTION("""COMPUTED_VALUE"""),"Fuenlabrada")</f>
        <v>Fuenlabrada</v>
      </c>
      <c r="F21" s="57">
        <f ca="1">IFERROR(__xludf.DUMMYFUNCTION("""COMPUTED_VALUE"""),45671)</f>
        <v>45671</v>
      </c>
      <c r="G21" s="57">
        <f ca="1">IFERROR(__xludf.DUMMYFUNCTION("""COMPUTED_VALUE"""),45112)</f>
        <v>45112</v>
      </c>
      <c r="H21" s="33" t="str">
        <f ca="1">IFERROR(__xludf.DUMMYFUNCTION("""COMPUTED_VALUE"""),"Fuenlabrada")</f>
        <v>Fuenlabrada</v>
      </c>
      <c r="I21" s="33" t="str">
        <f ca="1">IFERROR(__xludf.DUMMYFUNCTION("""COMPUTED_VALUE"""),"FNL-3178")</f>
        <v>FNL-3178</v>
      </c>
      <c r="J21" s="33" t="str">
        <f ca="1">IFERROR(__xludf.DUMMYFUNCTION("""COMPUTED_VALUE"""),"ESTHER GONZALEZ SANCHEZ")</f>
        <v>ESTHER GONZALEZ SANCHEZ</v>
      </c>
      <c r="K21" s="33">
        <f ca="1">IFERROR(__xludf.DUMMYFUNCTION("""COMPUTED_VALUE"""),2)</f>
        <v>2</v>
      </c>
      <c r="L21" s="203">
        <f ca="1">IFERROR(__xludf.DUMMYFUNCTION("""COMPUTED_VALUE"""),4000)</f>
        <v>4000</v>
      </c>
      <c r="M21" s="33" t="str">
        <f ca="1">IFERROR(__xludf.DUMMYFUNCTION("""COMPUTED_VALUE"""),"03 ORL")</f>
        <v>03 ORL</v>
      </c>
      <c r="N21" s="33" t="str">
        <f ca="1">IFERROR(__xludf.DUMMYFUNCTION("""COMPUTED_VALUE"""),"06 ORL")</f>
        <v>06 ORL</v>
      </c>
      <c r="O21" s="33" t="str">
        <f ca="1">IFERROR(__xludf.DUMMYFUNCTION("""COMPUTED_VALUE"""),"Dra, Laura Del Toro Gil")</f>
        <v>Dra, Laura Del Toro Gil</v>
      </c>
      <c r="P21" s="33" t="str">
        <f ca="1">IFERROR(__xludf.DUMMYFUNCTION("""COMPUTED_VALUE"""),"Maika Blázquez (Madrid)")</f>
        <v>Maika Blázquez (Madrid)</v>
      </c>
    </row>
    <row r="22" spans="2:16">
      <c r="B22" s="33">
        <f ca="1">IFERROR(__xludf.DUMMYFUNCTION("""COMPUTED_VALUE"""),2025)</f>
        <v>2025</v>
      </c>
      <c r="C22" s="33">
        <f ca="1">IFERROR(__xludf.DUMMYFUNCTION("""COMPUTED_VALUE"""),1)</f>
        <v>1</v>
      </c>
      <c r="D22" s="33" t="str">
        <f ca="1">IFERROR(__xludf.DUMMYFUNCTION("""COMPUTED_VALUE"""),"NO")</f>
        <v>NO</v>
      </c>
      <c r="E22" s="33" t="str">
        <f ca="1">IFERROR(__xludf.DUMMYFUNCTION("""COMPUTED_VALUE"""),"Fuenlabrada")</f>
        <v>Fuenlabrada</v>
      </c>
      <c r="F22" s="57">
        <f ca="1">IFERROR(__xludf.DUMMYFUNCTION("""COMPUTED_VALUE"""),45672)</f>
        <v>45672</v>
      </c>
      <c r="G22" s="57">
        <f ca="1">IFERROR(__xludf.DUMMYFUNCTION("""COMPUTED_VALUE"""),45636)</f>
        <v>45636</v>
      </c>
      <c r="H22" s="33" t="str">
        <f ca="1">IFERROR(__xludf.DUMMYFUNCTION("""COMPUTED_VALUE"""),"Fuenlabrada")</f>
        <v>Fuenlabrada</v>
      </c>
      <c r="I22" s="33" t="str">
        <f ca="1">IFERROR(__xludf.DUMMYFUNCTION("""COMPUTED_VALUE"""),"C20241213923058")</f>
        <v>C20241213923058</v>
      </c>
      <c r="J22" s="33" t="str">
        <f ca="1">IFERROR(__xludf.DUMMYFUNCTION("""COMPUTED_VALUE"""),"Mª ANTONIA  MOLINERO MORENO")</f>
        <v>Mª ANTONIA  MOLINERO MORENO</v>
      </c>
      <c r="K22" s="33">
        <f ca="1">IFERROR(__xludf.DUMMYFUNCTION("""COMPUTED_VALUE"""),1)</f>
        <v>1</v>
      </c>
      <c r="L22" s="203">
        <f ca="1">IFERROR(__xludf.DUMMYFUNCTION("""COMPUTED_VALUE"""),2400)</f>
        <v>2400</v>
      </c>
      <c r="M22" s="33" t="str">
        <f ca="1">IFERROR(__xludf.DUMMYFUNCTION("""COMPUTED_VALUE"""),"03 ORL")</f>
        <v>03 ORL</v>
      </c>
      <c r="N22" s="33" t="str">
        <f ca="1">IFERROR(__xludf.DUMMYFUNCTION("""COMPUTED_VALUE"""),"06 ORL")</f>
        <v>06 ORL</v>
      </c>
      <c r="O22" s="33" t="str">
        <f ca="1">IFERROR(__xludf.DUMMYFUNCTION("""COMPUTED_VALUE"""),"Dra, María Teresa Herrera Mera")</f>
        <v>Dra, María Teresa Herrera Mera</v>
      </c>
      <c r="P22" s="33" t="str">
        <f ca="1">IFERROR(__xludf.DUMMYFUNCTION("""COMPUTED_VALUE"""),"Maika Blázquez (Madrid)")</f>
        <v>Maika Blázquez (Madrid)</v>
      </c>
    </row>
    <row r="23" spans="2:16">
      <c r="B23" s="33">
        <f ca="1">IFERROR(__xludf.DUMMYFUNCTION("""COMPUTED_VALUE"""),2025)</f>
        <v>2025</v>
      </c>
      <c r="C23" s="33">
        <f ca="1">IFERROR(__xludf.DUMMYFUNCTION("""COMPUTED_VALUE"""),1)</f>
        <v>1</v>
      </c>
      <c r="D23" s="33" t="str">
        <f ca="1">IFERROR(__xludf.DUMMYFUNCTION("""COMPUTED_VALUE"""),"NO")</f>
        <v>NO</v>
      </c>
      <c r="E23" s="33" t="str">
        <f ca="1">IFERROR(__xludf.DUMMYFUNCTION("""COMPUTED_VALUE"""),"Fuenlabrada")</f>
        <v>Fuenlabrada</v>
      </c>
      <c r="F23" s="57">
        <f ca="1">IFERROR(__xludf.DUMMYFUNCTION("""COMPUTED_VALUE"""),45679)</f>
        <v>45679</v>
      </c>
      <c r="G23" s="57">
        <f ca="1">IFERROR(__xludf.DUMMYFUNCTION("""COMPUTED_VALUE"""),45646)</f>
        <v>45646</v>
      </c>
      <c r="H23" s="33" t="str">
        <f ca="1">IFERROR(__xludf.DUMMYFUNCTION("""COMPUTED_VALUE"""),"Fuenlabrada")</f>
        <v>Fuenlabrada</v>
      </c>
      <c r="I23" s="33" t="str">
        <f ca="1">IFERROR(__xludf.DUMMYFUNCTION("""COMPUTED_VALUE"""),"C202517121059405")</f>
        <v>C202517121059405</v>
      </c>
      <c r="J23" s="33" t="str">
        <f ca="1">IFERROR(__xludf.DUMMYFUNCTION("""COMPUTED_VALUE"""),"MARIA DEL PILAR ANGULO SALAZAR")</f>
        <v>MARIA DEL PILAR ANGULO SALAZAR</v>
      </c>
      <c r="K23" s="33">
        <f ca="1">IFERROR(__xludf.DUMMYFUNCTION("""COMPUTED_VALUE"""),2)</f>
        <v>2</v>
      </c>
      <c r="L23" s="203">
        <f ca="1">IFERROR(__xludf.DUMMYFUNCTION("""COMPUTED_VALUE"""),2888.18)</f>
        <v>2888.18</v>
      </c>
      <c r="M23" s="33" t="str">
        <f ca="1">IFERROR(__xludf.DUMMYFUNCTION("""COMPUTED_VALUE"""),"03 ORL")</f>
        <v>03 ORL</v>
      </c>
      <c r="N23" s="33" t="str">
        <f ca="1">IFERROR(__xludf.DUMMYFUNCTION("""COMPUTED_VALUE"""),"22 AUDIOMETRIA CLINICA")</f>
        <v>22 AUDIOMETRIA CLINICA</v>
      </c>
      <c r="O23" s="33" t="str">
        <f ca="1">IFERROR(__xludf.DUMMYFUNCTION("""COMPUTED_VALUE"""),"Dr, Adolfo Toledano Muñoz")</f>
        <v>Dr, Adolfo Toledano Muñoz</v>
      </c>
      <c r="P23" s="33" t="str">
        <f ca="1">IFERROR(__xludf.DUMMYFUNCTION("""COMPUTED_VALUE"""),"Maika Blázquez (Madrid)")</f>
        <v>Maika Blázquez (Madrid)</v>
      </c>
    </row>
    <row r="24" spans="2:16">
      <c r="B24" s="33">
        <f ca="1">IFERROR(__xludf.DUMMYFUNCTION("""COMPUTED_VALUE"""),2025)</f>
        <v>2025</v>
      </c>
      <c r="C24" s="33">
        <f ca="1">IFERROR(__xludf.DUMMYFUNCTION("""COMPUTED_VALUE"""),1)</f>
        <v>1</v>
      </c>
      <c r="D24" s="33" t="str">
        <f ca="1">IFERROR(__xludf.DUMMYFUNCTION("""COMPUTED_VALUE"""),"NO")</f>
        <v>NO</v>
      </c>
      <c r="E24" s="33" t="str">
        <f ca="1">IFERROR(__xludf.DUMMYFUNCTION("""COMPUTED_VALUE"""),"Fuenlabrada")</f>
        <v>Fuenlabrada</v>
      </c>
      <c r="F24" s="57">
        <f ca="1">IFERROR(__xludf.DUMMYFUNCTION("""COMPUTED_VALUE"""),45684)</f>
        <v>45684</v>
      </c>
      <c r="G24" s="57">
        <f ca="1">IFERROR(__xludf.DUMMYFUNCTION("""COMPUTED_VALUE"""),45666)</f>
        <v>45666</v>
      </c>
      <c r="H24" s="33" t="str">
        <f ca="1">IFERROR(__xludf.DUMMYFUNCTION("""COMPUTED_VALUE"""),"Fuenlabrada")</f>
        <v>Fuenlabrada</v>
      </c>
      <c r="I24" s="33" t="str">
        <f ca="1">IFERROR(__xludf.DUMMYFUNCTION("""COMPUTED_VALUE"""),"C202511014591530")</f>
        <v>C202511014591530</v>
      </c>
      <c r="J24" s="33" t="str">
        <f ca="1">IFERROR(__xludf.DUMMYFUNCTION("""COMPUTED_VALUE"""),"MAURINO SEVERIANO GUERRA")</f>
        <v>MAURINO SEVERIANO GUERRA</v>
      </c>
      <c r="K24" s="33">
        <f ca="1">IFERROR(__xludf.DUMMYFUNCTION("""COMPUTED_VALUE"""),2)</f>
        <v>2</v>
      </c>
      <c r="L24" s="203">
        <f ca="1">IFERROR(__xludf.DUMMYFUNCTION("""COMPUTED_VALUE"""),4000)</f>
        <v>4000</v>
      </c>
      <c r="M24" s="33" t="str">
        <f ca="1">IFERROR(__xludf.DUMMYFUNCTION("""COMPUTED_VALUE"""),"03 ORL")</f>
        <v>03 ORL</v>
      </c>
      <c r="N24" s="33" t="str">
        <f ca="1">IFERROR(__xludf.DUMMYFUNCTION("""COMPUTED_VALUE"""),"06 ORL")</f>
        <v>06 ORL</v>
      </c>
      <c r="O24" s="33" t="str">
        <f ca="1">IFERROR(__xludf.DUMMYFUNCTION("""COMPUTED_VALUE"""),"Dr, Raimundo Andres Navarro Mediano")</f>
        <v>Dr, Raimundo Andres Navarro Mediano</v>
      </c>
      <c r="P24" s="33" t="str">
        <f ca="1">IFERROR(__xludf.DUMMYFUNCTION("""COMPUTED_VALUE"""),"Maika Blázquez (Madrid)")</f>
        <v>Maika Blázquez (Madrid)</v>
      </c>
    </row>
    <row r="25" spans="2:16">
      <c r="B25" s="33">
        <f ca="1">IFERROR(__xludf.DUMMYFUNCTION("""COMPUTED_VALUE"""),2025)</f>
        <v>2025</v>
      </c>
      <c r="C25" s="33">
        <f ca="1">IFERROR(__xludf.DUMMYFUNCTION("""COMPUTED_VALUE"""),1)</f>
        <v>1</v>
      </c>
      <c r="D25" s="33" t="str">
        <f ca="1">IFERROR(__xludf.DUMMYFUNCTION("""COMPUTED_VALUE"""),"NO")</f>
        <v>NO</v>
      </c>
      <c r="E25" s="33" t="str">
        <f ca="1">IFERROR(__xludf.DUMMYFUNCTION("""COMPUTED_VALUE"""),"Fuenlabrada")</f>
        <v>Fuenlabrada</v>
      </c>
      <c r="F25" s="57">
        <f ca="1">IFERROR(__xludf.DUMMYFUNCTION("""COMPUTED_VALUE"""),45674)</f>
        <v>45674</v>
      </c>
      <c r="G25" s="57">
        <f ca="1">IFERROR(__xludf.DUMMYFUNCTION("""COMPUTED_VALUE"""),45637)</f>
        <v>45637</v>
      </c>
      <c r="H25" s="33" t="str">
        <f ca="1">IFERROR(__xludf.DUMMYFUNCTION("""COMPUTED_VALUE"""),"Fuenlabrada")</f>
        <v>Fuenlabrada</v>
      </c>
      <c r="I25" s="33" t="str">
        <f ca="1">IFERROR(__xludf.DUMMYFUNCTION("""COMPUTED_VALUE"""),"C2024121811513950")</f>
        <v>C2024121811513950</v>
      </c>
      <c r="J25" s="33" t="str">
        <f ca="1">IFERROR(__xludf.DUMMYFUNCTION("""COMPUTED_VALUE"""),"PETRA QUINTANA SANZ")</f>
        <v>PETRA QUINTANA SANZ</v>
      </c>
      <c r="K25" s="33">
        <f ca="1">IFERROR(__xludf.DUMMYFUNCTION("""COMPUTED_VALUE"""),2)</f>
        <v>2</v>
      </c>
      <c r="L25" s="203">
        <f ca="1">IFERROR(__xludf.DUMMYFUNCTION("""COMPUTED_VALUE"""),2888.18)</f>
        <v>2888.18</v>
      </c>
      <c r="M25" s="33" t="str">
        <f ca="1">IFERROR(__xludf.DUMMYFUNCTION("""COMPUTED_VALUE"""),"03 ORL")</f>
        <v>03 ORL</v>
      </c>
      <c r="N25" s="33" t="str">
        <f ca="1">IFERROR(__xludf.DUMMYFUNCTION("""COMPUTED_VALUE"""),"06 ORL")</f>
        <v>06 ORL</v>
      </c>
      <c r="O25" s="33" t="str">
        <f ca="1">IFERROR(__xludf.DUMMYFUNCTION("""COMPUTED_VALUE"""),"Dra, María Teresa Herrera Mera")</f>
        <v>Dra, María Teresa Herrera Mera</v>
      </c>
      <c r="P25" s="33" t="str">
        <f ca="1">IFERROR(__xludf.DUMMYFUNCTION("""COMPUTED_VALUE"""),"Maika Blázquez (Madrid)")</f>
        <v>Maika Blázquez (Madrid)</v>
      </c>
    </row>
    <row r="26" spans="2:16">
      <c r="B26" s="33">
        <f ca="1">IFERROR(__xludf.DUMMYFUNCTION("""COMPUTED_VALUE"""),2025)</f>
        <v>2025</v>
      </c>
      <c r="C26" s="33">
        <f ca="1">IFERROR(__xludf.DUMMYFUNCTION("""COMPUTED_VALUE"""),1)</f>
        <v>1</v>
      </c>
      <c r="D26" s="33" t="str">
        <f ca="1">IFERROR(__xludf.DUMMYFUNCTION("""COMPUTED_VALUE"""),"SI")</f>
        <v>SI</v>
      </c>
      <c r="E26" s="33" t="str">
        <f ca="1">IFERROR(__xludf.DUMMYFUNCTION("""COMPUTED_VALUE"""),"Fuenlabrada")</f>
        <v>Fuenlabrada</v>
      </c>
      <c r="F26" s="57">
        <f ca="1">IFERROR(__xludf.DUMMYFUNCTION("""COMPUTED_VALUE"""),45686)</f>
        <v>45686</v>
      </c>
      <c r="G26" s="57">
        <f ca="1">IFERROR(__xludf.DUMMYFUNCTION("""COMPUTED_VALUE"""),43062)</f>
        <v>43062</v>
      </c>
      <c r="H26" s="33" t="str">
        <f ca="1">IFERROR(__xludf.DUMMYFUNCTION("""COMPUTED_VALUE"""),"Fuenlabrada")</f>
        <v>Fuenlabrada</v>
      </c>
      <c r="I26" s="33" t="str">
        <f ca="1">IFERROR(__xludf.DUMMYFUNCTION("""COMPUTED_VALUE"""),"FNL-1336")</f>
        <v>FNL-1336</v>
      </c>
      <c r="J26" s="33" t="str">
        <f ca="1">IFERROR(__xludf.DUMMYFUNCTION("""COMPUTED_VALUE"""),"REGINO RECUERO CANALEJAS")</f>
        <v>REGINO RECUERO CANALEJAS</v>
      </c>
      <c r="K26" s="33">
        <f ca="1">IFERROR(__xludf.DUMMYFUNCTION("""COMPUTED_VALUE"""),2)</f>
        <v>2</v>
      </c>
      <c r="L26" s="203">
        <f ca="1">IFERROR(__xludf.DUMMYFUNCTION("""COMPUTED_VALUE"""),2967.27)</f>
        <v>2967.27</v>
      </c>
      <c r="M26" s="33" t="str">
        <f ca="1">IFERROR(__xludf.DUMMYFUNCTION("""COMPUTED_VALUE"""),"03 ORL")</f>
        <v>03 ORL</v>
      </c>
      <c r="N26" s="33" t="str">
        <f ca="1">IFERROR(__xludf.DUMMYFUNCTION("""COMPUTED_VALUE"""),"06 ORL")</f>
        <v>06 ORL</v>
      </c>
      <c r="O26" s="33" t="str">
        <f ca="1">IFERROR(__xludf.DUMMYFUNCTION("""COMPUTED_VALUE"""),"Dr, José Montojo Woodeson")</f>
        <v>Dr, José Montojo Woodeson</v>
      </c>
      <c r="P26" s="33" t="str">
        <f ca="1">IFERROR(__xludf.DUMMYFUNCTION("""COMPUTED_VALUE"""),"Maika Blázquez (Madrid)")</f>
        <v>Maika Blázquez (Madrid)</v>
      </c>
    </row>
    <row r="27" spans="2:16">
      <c r="B27" s="33">
        <f ca="1">IFERROR(__xludf.DUMMYFUNCTION("""COMPUTED_VALUE"""),2025)</f>
        <v>2025</v>
      </c>
      <c r="C27" s="33">
        <f ca="1">IFERROR(__xludf.DUMMYFUNCTION("""COMPUTED_VALUE"""),1)</f>
        <v>1</v>
      </c>
      <c r="D27" s="33" t="str">
        <f ca="1">IFERROR(__xludf.DUMMYFUNCTION("""COMPUTED_VALUE"""),"NO")</f>
        <v>NO</v>
      </c>
      <c r="E27" s="33" t="str">
        <f ca="1">IFERROR(__xludf.DUMMYFUNCTION("""COMPUTED_VALUE"""),"Getafe")</f>
        <v>Getafe</v>
      </c>
      <c r="F27" s="57">
        <f ca="1">IFERROR(__xludf.DUMMYFUNCTION("""COMPUTED_VALUE"""),45685)</f>
        <v>45685</v>
      </c>
      <c r="G27" s="57">
        <f ca="1">IFERROR(__xludf.DUMMYFUNCTION("""COMPUTED_VALUE"""),45670)</f>
        <v>45670</v>
      </c>
      <c r="H27" s="33" t="str">
        <f ca="1">IFERROR(__xludf.DUMMYFUNCTION("""COMPUTED_VALUE"""),"Getafe")</f>
        <v>Getafe</v>
      </c>
      <c r="I27" s="33" t="str">
        <f ca="1">IFERROR(__xludf.DUMMYFUNCTION("""COMPUTED_VALUE"""),"C2025115169110")</f>
        <v>C2025115169110</v>
      </c>
      <c r="J27" s="33" t="str">
        <f ca="1">IFERROR(__xludf.DUMMYFUNCTION("""COMPUTED_VALUE"""),"MARGARITA HIGUERAS AZORIT")</f>
        <v>MARGARITA HIGUERAS AZORIT</v>
      </c>
      <c r="K27" s="33">
        <f ca="1">IFERROR(__xludf.DUMMYFUNCTION("""COMPUTED_VALUE"""),2)</f>
        <v>2</v>
      </c>
      <c r="L27" s="203">
        <f ca="1">IFERROR(__xludf.DUMMYFUNCTION("""COMPUTED_VALUE"""),4400)</f>
        <v>4400</v>
      </c>
      <c r="M27" s="33" t="str">
        <f ca="1">IFERROR(__xludf.DUMMYFUNCTION("""COMPUTED_VALUE"""),"03 ORL")</f>
        <v>03 ORL</v>
      </c>
      <c r="N27" s="33" t="str">
        <f ca="1">IFERROR(__xludf.DUMMYFUNCTION("""COMPUTED_VALUE"""),"06 ORL")</f>
        <v>06 ORL</v>
      </c>
      <c r="O27" s="33" t="str">
        <f ca="1">IFERROR(__xludf.DUMMYFUNCTION("""COMPUTED_VALUE"""),"Dra, Cristina Vaduva")</f>
        <v>Dra, Cristina Vaduva</v>
      </c>
      <c r="P27" s="33" t="str">
        <f ca="1">IFERROR(__xludf.DUMMYFUNCTION("""COMPUTED_VALUE"""),"Maika Blázquez (Madrid)")</f>
        <v>Maika Blázquez (Madrid)</v>
      </c>
    </row>
    <row r="28" spans="2:16">
      <c r="B28" s="33">
        <f ca="1">IFERROR(__xludf.DUMMYFUNCTION("""COMPUTED_VALUE"""),2025)</f>
        <v>2025</v>
      </c>
      <c r="C28" s="33">
        <f ca="1">IFERROR(__xludf.DUMMYFUNCTION("""COMPUTED_VALUE"""),1)</f>
        <v>1</v>
      </c>
      <c r="D28" s="33" t="str">
        <f ca="1">IFERROR(__xludf.DUMMYFUNCTION("""COMPUTED_VALUE"""),"NO")</f>
        <v>NO</v>
      </c>
      <c r="E28" s="33" t="str">
        <f ca="1">IFERROR(__xludf.DUMMYFUNCTION("""COMPUTED_VALUE"""),"Girona")</f>
        <v>Girona</v>
      </c>
      <c r="F28" s="57">
        <f ca="1">IFERROR(__xludf.DUMMYFUNCTION("""COMPUTED_VALUE"""),45666)</f>
        <v>45666</v>
      </c>
      <c r="G28" s="57">
        <f ca="1">IFERROR(__xludf.DUMMYFUNCTION("""COMPUTED_VALUE"""),45393)</f>
        <v>45393</v>
      </c>
      <c r="H28" s="33" t="str">
        <f ca="1">IFERROR(__xludf.DUMMYFUNCTION("""COMPUTED_VALUE"""),"Girona")</f>
        <v>Girona</v>
      </c>
      <c r="I28" s="33" t="str">
        <f ca="1">IFERROR(__xludf.DUMMYFUNCTION("""COMPUTED_VALUE"""),"GER-92")</f>
        <v>GER-92</v>
      </c>
      <c r="J28" s="33" t="str">
        <f ca="1">IFERROR(__xludf.DUMMYFUNCTION("""COMPUTED_VALUE"""),"IBRAHIMA BALEDEH")</f>
        <v>IBRAHIMA BALEDEH</v>
      </c>
      <c r="K28" s="33">
        <f ca="1">IFERROR(__xludf.DUMMYFUNCTION("""COMPUTED_VALUE"""),2)</f>
        <v>2</v>
      </c>
      <c r="L28" s="203">
        <f ca="1">IFERROR(__xludf.DUMMYFUNCTION("""COMPUTED_VALUE"""),2576.92)</f>
        <v>2576.92</v>
      </c>
      <c r="M28" s="33" t="str">
        <f ca="1">IFERROR(__xludf.DUMMYFUNCTION("""COMPUTED_VALUE"""),"03 ORL")</f>
        <v>03 ORL</v>
      </c>
      <c r="N28" s="33" t="str">
        <f ca="1">IFERROR(__xludf.DUMMYFUNCTION("""COMPUTED_VALUE"""),"06 ORL")</f>
        <v>06 ORL</v>
      </c>
      <c r="O28" s="33" t="str">
        <f ca="1">IFERROR(__xludf.DUMMYFUNCTION("""COMPUTED_VALUE"""),"Dr, Enric Ferran Benstrom")</f>
        <v>Dr, Enric Ferran Benstrom</v>
      </c>
      <c r="P28" s="33" t="str">
        <f ca="1">IFERROR(__xludf.DUMMYFUNCTION("""COMPUTED_VALUE"""),"Mercè Cabrera (Cataluña Y Baleares)")</f>
        <v>Mercè Cabrera (Cataluña Y Baleares)</v>
      </c>
    </row>
    <row r="29" spans="2:16">
      <c r="B29" s="33">
        <f ca="1">IFERROR(__xludf.DUMMYFUNCTION("""COMPUTED_VALUE"""),2025)</f>
        <v>2025</v>
      </c>
      <c r="C29" s="33">
        <f ca="1">IFERROR(__xludf.DUMMYFUNCTION("""COMPUTED_VALUE"""),1)</f>
        <v>1</v>
      </c>
      <c r="D29" s="33" t="str">
        <f ca="1">IFERROR(__xludf.DUMMYFUNCTION("""COMPUTED_VALUE"""),"NO")</f>
        <v>NO</v>
      </c>
      <c r="E29" s="33" t="str">
        <f ca="1">IFERROR(__xludf.DUMMYFUNCTION("""COMPUTED_VALUE"""),"Hospitalet de Llobregat")</f>
        <v>Hospitalet de Llobregat</v>
      </c>
      <c r="F29" s="57">
        <f ca="1">IFERROR(__xludf.DUMMYFUNCTION("""COMPUTED_VALUE"""),45673)</f>
        <v>45673</v>
      </c>
      <c r="G29" s="57">
        <f ca="1">IFERROR(__xludf.DUMMYFUNCTION("""COMPUTED_VALUE"""),45439)</f>
        <v>45439</v>
      </c>
      <c r="H29" s="33" t="str">
        <f ca="1">IFERROR(__xludf.DUMMYFUNCTION("""COMPUTED_VALUE"""),"Hospitalet")</f>
        <v>Hospitalet</v>
      </c>
      <c r="I29" s="33" t="str">
        <f ca="1">IFERROR(__xludf.DUMMYFUNCTION("""COMPUTED_VALUE"""),"HSP-215")</f>
        <v>HSP-215</v>
      </c>
      <c r="J29" s="33" t="str">
        <f ca="1">IFERROR(__xludf.DUMMYFUNCTION("""COMPUTED_VALUE"""),"NIEVES ALVES VEGA")</f>
        <v>NIEVES ALVES VEGA</v>
      </c>
      <c r="K29" s="33">
        <f ca="1">IFERROR(__xludf.DUMMYFUNCTION("""COMPUTED_VALUE"""),2)</f>
        <v>2</v>
      </c>
      <c r="L29" s="203">
        <f ca="1">IFERROR(__xludf.DUMMYFUNCTION("""COMPUTED_VALUE"""),2888.18)</f>
        <v>2888.18</v>
      </c>
      <c r="M29" s="33" t="str">
        <f ca="1">IFERROR(__xludf.DUMMYFUNCTION("""COMPUTED_VALUE"""),"03 ORL")</f>
        <v>03 ORL</v>
      </c>
      <c r="N29" s="33" t="str">
        <f ca="1">IFERROR(__xludf.DUMMYFUNCTION("""COMPUTED_VALUE"""),"06 ORL")</f>
        <v>06 ORL</v>
      </c>
      <c r="O29" s="33" t="str">
        <f ca="1">IFERROR(__xludf.DUMMYFUNCTION("""COMPUTED_VALUE"""),"Dr, Jesus-Maria Grasa Pérez")</f>
        <v>Dr, Jesus-Maria Grasa Pérez</v>
      </c>
      <c r="P29" s="1" t="str">
        <f ca="1">IFERROR(__xludf.DUMMYFUNCTION("""COMPUTED_VALUE"""),"Mercè Cabrera (Cataluña Y Baleares)")</f>
        <v>Mercè Cabrera (Cataluña Y Baleares)</v>
      </c>
    </row>
    <row r="30" spans="2:16">
      <c r="B30" s="33">
        <f ca="1">IFERROR(__xludf.DUMMYFUNCTION("""COMPUTED_VALUE"""),2025)</f>
        <v>2025</v>
      </c>
      <c r="C30" s="33">
        <f ca="1">IFERROR(__xludf.DUMMYFUNCTION("""COMPUTED_VALUE"""),1)</f>
        <v>1</v>
      </c>
      <c r="D30" s="33" t="str">
        <f ca="1">IFERROR(__xludf.DUMMYFUNCTION("""COMPUTED_VALUE"""),"NO")</f>
        <v>NO</v>
      </c>
      <c r="E30" s="33" t="str">
        <f ca="1">IFERROR(__xludf.DUMMYFUNCTION("""COMPUTED_VALUE"""),"Leganés")</f>
        <v>Leganés</v>
      </c>
      <c r="F30" s="57">
        <f ca="1">IFERROR(__xludf.DUMMYFUNCTION("""COMPUTED_VALUE"""),45684)</f>
        <v>45684</v>
      </c>
      <c r="G30" s="57">
        <f ca="1">IFERROR(__xludf.DUMMYFUNCTION("""COMPUTED_VALUE"""),45664)</f>
        <v>45664</v>
      </c>
      <c r="H30" s="33" t="str">
        <f ca="1">IFERROR(__xludf.DUMMYFUNCTION("""COMPUTED_VALUE"""),"Leganés")</f>
        <v>Leganés</v>
      </c>
      <c r="I30" s="33" t="str">
        <f ca="1">IFERROR(__xludf.DUMMYFUNCTION("""COMPUTED_VALUE"""),"C2025114155854748")</f>
        <v>C2025114155854748</v>
      </c>
      <c r="J30" s="33" t="str">
        <f ca="1">IFERROR(__xludf.DUMMYFUNCTION("""COMPUTED_VALUE"""),"ANTONIA DIAZ-PARREÑO QUINTANAR")</f>
        <v>ANTONIA DIAZ-PARREÑO QUINTANAR</v>
      </c>
      <c r="K30" s="33">
        <f ca="1">IFERROR(__xludf.DUMMYFUNCTION("""COMPUTED_VALUE"""),2)</f>
        <v>2</v>
      </c>
      <c r="L30" s="203">
        <f ca="1">IFERROR(__xludf.DUMMYFUNCTION("""COMPUTED_VALUE"""),2722.73)</f>
        <v>2722.73</v>
      </c>
      <c r="M30" s="33" t="str">
        <f ca="1">IFERROR(__xludf.DUMMYFUNCTION("""COMPUTED_VALUE"""),"03 ORL")</f>
        <v>03 ORL</v>
      </c>
      <c r="N30" s="33" t="str">
        <f ca="1">IFERROR(__xludf.DUMMYFUNCTION("""COMPUTED_VALUE"""),"06 ORL")</f>
        <v>06 ORL</v>
      </c>
      <c r="O30" s="33" t="str">
        <f ca="1">IFERROR(__xludf.DUMMYFUNCTION("""COMPUTED_VALUE"""),"Dra, Carmen Juan Ivars")</f>
        <v>Dra, Carmen Juan Ivars</v>
      </c>
      <c r="P30" s="33" t="str">
        <f ca="1">IFERROR(__xludf.DUMMYFUNCTION("""COMPUTED_VALUE"""),"Maika Blázquez (Madrid)")</f>
        <v>Maika Blázquez (Madrid)</v>
      </c>
    </row>
    <row r="31" spans="2:16">
      <c r="B31" s="33">
        <f ca="1">IFERROR(__xludf.DUMMYFUNCTION("""COMPUTED_VALUE"""),2025)</f>
        <v>2025</v>
      </c>
      <c r="C31" s="33">
        <f ca="1">IFERROR(__xludf.DUMMYFUNCTION("""COMPUTED_VALUE"""),1)</f>
        <v>1</v>
      </c>
      <c r="D31" s="33" t="str">
        <f ca="1">IFERROR(__xludf.DUMMYFUNCTION("""COMPUTED_VALUE"""),"NO")</f>
        <v>NO</v>
      </c>
      <c r="E31" s="33" t="str">
        <f ca="1">IFERROR(__xludf.DUMMYFUNCTION("""COMPUTED_VALUE"""),"Leganés")</f>
        <v>Leganés</v>
      </c>
      <c r="F31" s="57">
        <f ca="1">IFERROR(__xludf.DUMMYFUNCTION("""COMPUTED_VALUE"""),45687)</f>
        <v>45687</v>
      </c>
      <c r="G31" s="57">
        <f ca="1">IFERROR(__xludf.DUMMYFUNCTION("""COMPUTED_VALUE"""),45644)</f>
        <v>45644</v>
      </c>
      <c r="H31" s="33" t="str">
        <f ca="1">IFERROR(__xludf.DUMMYFUNCTION("""COMPUTED_VALUE"""),"Leganés")</f>
        <v>Leganés</v>
      </c>
      <c r="I31" s="33" t="str">
        <f ca="1">IFERROR(__xludf.DUMMYFUNCTION("""COMPUTED_VALUE"""),"C2024122011507991")</f>
        <v>C2024122011507991</v>
      </c>
      <c r="J31" s="33" t="str">
        <f ca="1">IFERROR(__xludf.DUMMYFUNCTION("""COMPUTED_VALUE"""),"APARICIO CASTELLANO ORTIZ-VILLAJO")</f>
        <v>APARICIO CASTELLANO ORTIZ-VILLAJO</v>
      </c>
      <c r="K31" s="33">
        <f ca="1">IFERROR(__xludf.DUMMYFUNCTION("""COMPUTED_VALUE"""),2)</f>
        <v>2</v>
      </c>
      <c r="L31" s="203">
        <f ca="1">IFERROR(__xludf.DUMMYFUNCTION("""COMPUTED_VALUE"""),4000)</f>
        <v>4000</v>
      </c>
      <c r="M31" s="33" t="str">
        <f ca="1">IFERROR(__xludf.DUMMYFUNCTION("""COMPUTED_VALUE"""),"03 ORL")</f>
        <v>03 ORL</v>
      </c>
      <c r="N31" s="33" t="str">
        <f ca="1">IFERROR(__xludf.DUMMYFUNCTION("""COMPUTED_VALUE"""),"06 ORL")</f>
        <v>06 ORL</v>
      </c>
      <c r="O31" s="33" t="str">
        <f ca="1">IFERROR(__xludf.DUMMYFUNCTION("""COMPUTED_VALUE"""),"Dr, Julio López Moya")</f>
        <v>Dr, Julio López Moya</v>
      </c>
      <c r="P31" s="33" t="str">
        <f ca="1">IFERROR(__xludf.DUMMYFUNCTION("""COMPUTED_VALUE"""),"Maika Blázquez (Madrid)")</f>
        <v>Maika Blázquez (Madrid)</v>
      </c>
    </row>
    <row r="32" spans="2:16">
      <c r="B32" s="33">
        <f ca="1">IFERROR(__xludf.DUMMYFUNCTION("""COMPUTED_VALUE"""),2025)</f>
        <v>2025</v>
      </c>
      <c r="C32" s="33">
        <f ca="1">IFERROR(__xludf.DUMMYFUNCTION("""COMPUTED_VALUE"""),1)</f>
        <v>1</v>
      </c>
      <c r="D32" s="33" t="str">
        <f ca="1">IFERROR(__xludf.DUMMYFUNCTION("""COMPUTED_VALUE"""),"NO")</f>
        <v>NO</v>
      </c>
      <c r="E32" s="33" t="str">
        <f ca="1">IFERROR(__xludf.DUMMYFUNCTION("""COMPUTED_VALUE"""),"Leganés")</f>
        <v>Leganés</v>
      </c>
      <c r="F32" s="57">
        <f ca="1">IFERROR(__xludf.DUMMYFUNCTION("""COMPUTED_VALUE"""),45670)</f>
        <v>45670</v>
      </c>
      <c r="G32" s="57">
        <f ca="1">IFERROR(__xludf.DUMMYFUNCTION("""COMPUTED_VALUE"""),45635)</f>
        <v>45635</v>
      </c>
      <c r="H32" s="33" t="str">
        <f ca="1">IFERROR(__xludf.DUMMYFUNCTION("""COMPUTED_VALUE"""),"Leganés")</f>
        <v>Leganés</v>
      </c>
      <c r="I32" s="33" t="str">
        <f ca="1">IFERROR(__xludf.DUMMYFUNCTION("""COMPUTED_VALUE"""),"C2024121217139306")</f>
        <v>C2024121217139306</v>
      </c>
      <c r="J32" s="33" t="str">
        <f ca="1">IFERROR(__xludf.DUMMYFUNCTION("""COMPUTED_VALUE"""),"MARIA ALONSO CASTRO")</f>
        <v>MARIA ALONSO CASTRO</v>
      </c>
      <c r="K32" s="33">
        <f ca="1">IFERROR(__xludf.DUMMYFUNCTION("""COMPUTED_VALUE"""),2)</f>
        <v>2</v>
      </c>
      <c r="L32" s="203">
        <f ca="1">IFERROR(__xludf.DUMMYFUNCTION("""COMPUTED_VALUE"""),4000)</f>
        <v>4000</v>
      </c>
      <c r="M32" s="33" t="str">
        <f ca="1">IFERROR(__xludf.DUMMYFUNCTION("""COMPUTED_VALUE"""),"03 ORL")</f>
        <v>03 ORL</v>
      </c>
      <c r="N32" s="33" t="str">
        <f ca="1">IFERROR(__xludf.DUMMYFUNCTION("""COMPUTED_VALUE"""),"06 ORL")</f>
        <v>06 ORL</v>
      </c>
      <c r="O32" s="33" t="str">
        <f ca="1">IFERROR(__xludf.DUMMYFUNCTION("""COMPUTED_VALUE"""),"Dra, Paula Aviles Mañoso")</f>
        <v>Dra, Paula Aviles Mañoso</v>
      </c>
      <c r="P32" s="33" t="str">
        <f ca="1">IFERROR(__xludf.DUMMYFUNCTION("""COMPUTED_VALUE"""),"Maika Blázquez (Madrid)")</f>
        <v>Maika Blázquez (Madrid)</v>
      </c>
    </row>
    <row r="33" spans="2:16">
      <c r="B33" s="33">
        <f ca="1">IFERROR(__xludf.DUMMYFUNCTION("""COMPUTED_VALUE"""),2025)</f>
        <v>2025</v>
      </c>
      <c r="C33" s="33">
        <f ca="1">IFERROR(__xludf.DUMMYFUNCTION("""COMPUTED_VALUE"""),1)</f>
        <v>1</v>
      </c>
      <c r="D33" s="33" t="str">
        <f ca="1">IFERROR(__xludf.DUMMYFUNCTION("""COMPUTED_VALUE"""),"NO")</f>
        <v>NO</v>
      </c>
      <c r="E33" s="33" t="str">
        <f ca="1">IFERROR(__xludf.DUMMYFUNCTION("""COMPUTED_VALUE"""),"Leganés")</f>
        <v>Leganés</v>
      </c>
      <c r="F33" s="57">
        <f ca="1">IFERROR(__xludf.DUMMYFUNCTION("""COMPUTED_VALUE"""),45680)</f>
        <v>45680</v>
      </c>
      <c r="G33" s="57">
        <f ca="1">IFERROR(__xludf.DUMMYFUNCTION("""COMPUTED_VALUE"""),45608)</f>
        <v>45608</v>
      </c>
      <c r="H33" s="33" t="str">
        <f ca="1">IFERROR(__xludf.DUMMYFUNCTION("""COMPUTED_VALUE"""),"Leganés")</f>
        <v>Leganés</v>
      </c>
      <c r="I33" s="33" t="str">
        <f ca="1">IFERROR(__xludf.DUMMYFUNCTION("""COMPUTED_VALUE"""),"C20241120181420308")</f>
        <v>C20241120181420308</v>
      </c>
      <c r="J33" s="33" t="str">
        <f ca="1">IFERROR(__xludf.DUMMYFUNCTION("""COMPUTED_VALUE"""),"MARIA GUADALUPE BLANCO RENTERO")</f>
        <v>MARIA GUADALUPE BLANCO RENTERO</v>
      </c>
      <c r="K33" s="33">
        <f ca="1">IFERROR(__xludf.DUMMYFUNCTION("""COMPUTED_VALUE"""),2)</f>
        <v>2</v>
      </c>
      <c r="L33" s="203">
        <f ca="1">IFERROR(__xludf.DUMMYFUNCTION("""COMPUTED_VALUE"""),3954.55)</f>
        <v>3954.55</v>
      </c>
      <c r="M33" s="33" t="str">
        <f ca="1">IFERROR(__xludf.DUMMYFUNCTION("""COMPUTED_VALUE"""),"03 ORL")</f>
        <v>03 ORL</v>
      </c>
      <c r="N33" s="33" t="str">
        <f ca="1">IFERROR(__xludf.DUMMYFUNCTION("""COMPUTED_VALUE"""),"06 ORL")</f>
        <v>06 ORL</v>
      </c>
      <c r="O33" s="33" t="str">
        <f ca="1">IFERROR(__xludf.DUMMYFUNCTION("""COMPUTED_VALUE"""),"Dr, Jesús Ramos Fernández")</f>
        <v>Dr, Jesús Ramos Fernández</v>
      </c>
      <c r="P33" s="33" t="str">
        <f ca="1">IFERROR(__xludf.DUMMYFUNCTION("""COMPUTED_VALUE"""),"Maika Blázquez (Madrid)")</f>
        <v>Maika Blázquez (Madrid)</v>
      </c>
    </row>
    <row r="34" spans="2:16">
      <c r="B34" s="33">
        <f ca="1">IFERROR(__xludf.DUMMYFUNCTION("""COMPUTED_VALUE"""),2025)</f>
        <v>2025</v>
      </c>
      <c r="C34" s="33">
        <f ca="1">IFERROR(__xludf.DUMMYFUNCTION("""COMPUTED_VALUE"""),1)</f>
        <v>1</v>
      </c>
      <c r="D34" s="33" t="str">
        <f ca="1">IFERROR(__xludf.DUMMYFUNCTION("""COMPUTED_VALUE"""),"NO")</f>
        <v>NO</v>
      </c>
      <c r="E34" s="33" t="str">
        <f ca="1">IFERROR(__xludf.DUMMYFUNCTION("""COMPUTED_VALUE"""),"Logroño")</f>
        <v>Logroño</v>
      </c>
      <c r="F34" s="57">
        <f ca="1">IFERROR(__xludf.DUMMYFUNCTION("""COMPUTED_VALUE"""),45677)</f>
        <v>45677</v>
      </c>
      <c r="G34" s="57">
        <f ca="1">IFERROR(__xludf.DUMMYFUNCTION("""COMPUTED_VALUE"""),45614)</f>
        <v>45614</v>
      </c>
      <c r="H34" s="33" t="str">
        <f ca="1">IFERROR(__xludf.DUMMYFUNCTION("""COMPUTED_VALUE"""),"Logroño")</f>
        <v>Logroño</v>
      </c>
      <c r="I34" s="33" t="str">
        <f ca="1">IFERROR(__xludf.DUMMYFUNCTION("""COMPUTED_VALUE"""),"LOG-1439")</f>
        <v>LOG-1439</v>
      </c>
      <c r="J34" s="33" t="str">
        <f ca="1">IFERROR(__xludf.DUMMYFUNCTION("""COMPUTED_VALUE"""),"ANGELINES BURUAGA MEDEL")</f>
        <v>ANGELINES BURUAGA MEDEL</v>
      </c>
      <c r="K34" s="33">
        <f ca="1">IFERROR(__xludf.DUMMYFUNCTION("""COMPUTED_VALUE"""),2)</f>
        <v>2</v>
      </c>
      <c r="L34" s="203">
        <f ca="1">IFERROR(__xludf.DUMMYFUNCTION("""COMPUTED_VALUE"""),3454.55)</f>
        <v>3454.55</v>
      </c>
      <c r="M34" s="33" t="str">
        <f ca="1">IFERROR(__xludf.DUMMYFUNCTION("""COMPUTED_VALUE"""),"03 ORL")</f>
        <v>03 ORL</v>
      </c>
      <c r="N34" s="33" t="str">
        <f ca="1">IFERROR(__xludf.DUMMYFUNCTION("""COMPUTED_VALUE"""),"06 ORL")</f>
        <v>06 ORL</v>
      </c>
      <c r="O34" s="33" t="str">
        <f ca="1">IFERROR(__xludf.DUMMYFUNCTION("""COMPUTED_VALUE"""),"Dr, Fernando Salazar Barcelona")</f>
        <v>Dr, Fernando Salazar Barcelona</v>
      </c>
      <c r="P34" s="33" t="str">
        <f ca="1">IFERROR(__xludf.DUMMYFUNCTION("""COMPUTED_VALUE"""),"Lisandro Russian (Madrid, Cáceres, Toledo, Talavera Y Logroño)")</f>
        <v>Lisandro Russian (Madrid, Cáceres, Toledo, Talavera Y Logroño)</v>
      </c>
    </row>
    <row r="35" spans="2:16">
      <c r="B35" s="33">
        <f ca="1">IFERROR(__xludf.DUMMYFUNCTION("""COMPUTED_VALUE"""),2025)</f>
        <v>2025</v>
      </c>
      <c r="C35" s="33">
        <f ca="1">IFERROR(__xludf.DUMMYFUNCTION("""COMPUTED_VALUE"""),1)</f>
        <v>1</v>
      </c>
      <c r="D35" s="33" t="str">
        <f ca="1">IFERROR(__xludf.DUMMYFUNCTION("""COMPUTED_VALUE"""),"NO")</f>
        <v>NO</v>
      </c>
      <c r="E35" s="33" t="str">
        <f ca="1">IFERROR(__xludf.DUMMYFUNCTION("""COMPUTED_VALUE"""),"Logroño")</f>
        <v>Logroño</v>
      </c>
      <c r="F35" s="57">
        <f ca="1">IFERROR(__xludf.DUMMYFUNCTION("""COMPUTED_VALUE"""),45664)</f>
        <v>45664</v>
      </c>
      <c r="G35" s="57">
        <f ca="1">IFERROR(__xludf.DUMMYFUNCTION("""COMPUTED_VALUE"""),45617)</f>
        <v>45617</v>
      </c>
      <c r="H35" s="33" t="str">
        <f ca="1">IFERROR(__xludf.DUMMYFUNCTION("""COMPUTED_VALUE"""),"Logroño")</f>
        <v>Logroño</v>
      </c>
      <c r="I35" s="33" t="str">
        <f ca="1">IFERROR(__xludf.DUMMYFUNCTION("""COMPUTED_VALUE"""),"LOG-1442")</f>
        <v>LOG-1442</v>
      </c>
      <c r="J35" s="33" t="str">
        <f ca="1">IFERROR(__xludf.DUMMYFUNCTION("""COMPUTED_VALUE"""),"GLORIA CLAVIJO ÍÑIGUEZ")</f>
        <v>GLORIA CLAVIJO ÍÑIGUEZ</v>
      </c>
      <c r="K35" s="33">
        <f ca="1">IFERROR(__xludf.DUMMYFUNCTION("""COMPUTED_VALUE"""),2)</f>
        <v>2</v>
      </c>
      <c r="L35" s="203">
        <f ca="1">IFERROR(__xludf.DUMMYFUNCTION("""COMPUTED_VALUE"""),3454.55)</f>
        <v>3454.55</v>
      </c>
      <c r="M35" s="33" t="str">
        <f ca="1">IFERROR(__xludf.DUMMYFUNCTION("""COMPUTED_VALUE"""),"03 ORL")</f>
        <v>03 ORL</v>
      </c>
      <c r="N35" s="33" t="str">
        <f ca="1">IFERROR(__xludf.DUMMYFUNCTION("""COMPUTED_VALUE"""),"06 ORL")</f>
        <v>06 ORL</v>
      </c>
      <c r="O35" s="33" t="str">
        <f ca="1">IFERROR(__xludf.DUMMYFUNCTION("""COMPUTED_VALUE"""),"Dr, Fernando Salazar Barcelona")</f>
        <v>Dr, Fernando Salazar Barcelona</v>
      </c>
      <c r="P35" s="33" t="str">
        <f ca="1">IFERROR(__xludf.DUMMYFUNCTION("""COMPUTED_VALUE"""),"Lisandro Russian (Madrid, Cáceres, Toledo, Talavera Y Logroño)")</f>
        <v>Lisandro Russian (Madrid, Cáceres, Toledo, Talavera Y Logroño)</v>
      </c>
    </row>
    <row r="36" spans="2:16">
      <c r="B36" s="33">
        <f ca="1">IFERROR(__xludf.DUMMYFUNCTION("""COMPUTED_VALUE"""),2025)</f>
        <v>2025</v>
      </c>
      <c r="C36" s="33">
        <f ca="1">IFERROR(__xludf.DUMMYFUNCTION("""COMPUTED_VALUE"""),1)</f>
        <v>1</v>
      </c>
      <c r="D36" s="33" t="str">
        <f ca="1">IFERROR(__xludf.DUMMYFUNCTION("""COMPUTED_VALUE"""),"NO")</f>
        <v>NO</v>
      </c>
      <c r="E36" s="33" t="str">
        <f ca="1">IFERROR(__xludf.DUMMYFUNCTION("""COMPUTED_VALUE"""),"Logroño")</f>
        <v>Logroño</v>
      </c>
      <c r="F36" s="57">
        <f ca="1">IFERROR(__xludf.DUMMYFUNCTION("""COMPUTED_VALUE"""),45672)</f>
        <v>45672</v>
      </c>
      <c r="G36" s="57">
        <f ca="1">IFERROR(__xludf.DUMMYFUNCTION("""COMPUTED_VALUE"""),45606)</f>
        <v>45606</v>
      </c>
      <c r="H36" s="33" t="str">
        <f ca="1">IFERROR(__xludf.DUMMYFUNCTION("""COMPUTED_VALUE"""),"Logroño")</f>
        <v>Logroño</v>
      </c>
      <c r="I36" s="33" t="str">
        <f ca="1">IFERROR(__xludf.DUMMYFUNCTION("""COMPUTED_VALUE"""),"LOG-1432")</f>
        <v>LOG-1432</v>
      </c>
      <c r="J36" s="33" t="str">
        <f ca="1">IFERROR(__xludf.DUMMYFUNCTION("""COMPUTED_VALUE"""),"MARIA JESUS RANEDO PALACIOS")</f>
        <v>MARIA JESUS RANEDO PALACIOS</v>
      </c>
      <c r="K36" s="33">
        <f ca="1">IFERROR(__xludf.DUMMYFUNCTION("""COMPUTED_VALUE"""),2)</f>
        <v>2</v>
      </c>
      <c r="L36" s="203">
        <f ca="1">IFERROR(__xludf.DUMMYFUNCTION("""COMPUTED_VALUE"""),3454.55)</f>
        <v>3454.55</v>
      </c>
      <c r="M36" s="33" t="str">
        <f ca="1">IFERROR(__xludf.DUMMYFUNCTION("""COMPUTED_VALUE"""),"03 ORL")</f>
        <v>03 ORL</v>
      </c>
      <c r="N36" s="33" t="str">
        <f ca="1">IFERROR(__xludf.DUMMYFUNCTION("""COMPUTED_VALUE"""),"06 ORL")</f>
        <v>06 ORL</v>
      </c>
      <c r="O36" s="33" t="str">
        <f ca="1">IFERROR(__xludf.DUMMYFUNCTION("""COMPUTED_VALUE"""),"Dra, Cristina Ibañez Muñoz")</f>
        <v>Dra, Cristina Ibañez Muñoz</v>
      </c>
      <c r="P36" s="33" t="str">
        <f ca="1">IFERROR(__xludf.DUMMYFUNCTION("""COMPUTED_VALUE"""),"Lisandro Russian (Madrid, Cáceres, Toledo, Talavera Y Logroño)")</f>
        <v>Lisandro Russian (Madrid, Cáceres, Toledo, Talavera Y Logroño)</v>
      </c>
    </row>
    <row r="37" spans="2:16">
      <c r="B37" s="33">
        <f ca="1">IFERROR(__xludf.DUMMYFUNCTION("""COMPUTED_VALUE"""),2025)</f>
        <v>2025</v>
      </c>
      <c r="C37" s="33">
        <f ca="1">IFERROR(__xludf.DUMMYFUNCTION("""COMPUTED_VALUE"""),1)</f>
        <v>1</v>
      </c>
      <c r="D37" s="33" t="str">
        <f ca="1">IFERROR(__xludf.DUMMYFUNCTION("""COMPUTED_VALUE"""),"NO")</f>
        <v>NO</v>
      </c>
      <c r="E37" s="33" t="str">
        <f ca="1">IFERROR(__xludf.DUMMYFUNCTION("""COMPUTED_VALUE"""),"Logroño")</f>
        <v>Logroño</v>
      </c>
      <c r="F37" s="57">
        <f ca="1">IFERROR(__xludf.DUMMYFUNCTION("""COMPUTED_VALUE"""),45687)</f>
        <v>45687</v>
      </c>
      <c r="G37" s="57">
        <f ca="1">IFERROR(__xludf.DUMMYFUNCTION("""COMPUTED_VALUE"""),45667)</f>
        <v>45667</v>
      </c>
      <c r="H37" s="33" t="str">
        <f ca="1">IFERROR(__xludf.DUMMYFUNCTION("""COMPUTED_VALUE"""),"Logroño")</f>
        <v>Logroño</v>
      </c>
      <c r="I37" s="33" t="str">
        <f ca="1">IFERROR(__xludf.DUMMYFUNCTION("""COMPUTED_VALUE"""),"C202511410352396")</f>
        <v>C202511410352396</v>
      </c>
      <c r="J37" s="33" t="str">
        <f ca="1">IFERROR(__xludf.DUMMYFUNCTION("""COMPUTED_VALUE"""),"ROSA MARIA  RUÍZ FERNÁNDEZ")</f>
        <v>ROSA MARIA  RUÍZ FERNÁNDEZ</v>
      </c>
      <c r="K37" s="33">
        <f ca="1">IFERROR(__xludf.DUMMYFUNCTION("""COMPUTED_VALUE"""),2)</f>
        <v>2</v>
      </c>
      <c r="L37" s="203">
        <f ca="1">IFERROR(__xludf.DUMMYFUNCTION("""COMPUTED_VALUE"""),3710)</f>
        <v>3710</v>
      </c>
      <c r="M37" s="33" t="str">
        <f ca="1">IFERROR(__xludf.DUMMYFUNCTION("""COMPUTED_VALUE"""),"03 ORL")</f>
        <v>03 ORL</v>
      </c>
      <c r="N37" s="33" t="str">
        <f ca="1">IFERROR(__xludf.DUMMYFUNCTION("""COMPUTED_VALUE"""),"06 ORL")</f>
        <v>06 ORL</v>
      </c>
      <c r="O37" s="33" t="str">
        <f ca="1">IFERROR(__xludf.DUMMYFUNCTION("""COMPUTED_VALUE"""),"Dr, Fernando Salazar Barcelona")</f>
        <v>Dr, Fernando Salazar Barcelona</v>
      </c>
      <c r="P37" s="33" t="str">
        <f ca="1">IFERROR(__xludf.DUMMYFUNCTION("""COMPUTED_VALUE"""),"Lisandro Russian (Madrid, Cáceres, Toledo, Talavera Y Logroño)")</f>
        <v>Lisandro Russian (Madrid, Cáceres, Toledo, Talavera Y Logroño)</v>
      </c>
    </row>
    <row r="38" spans="2:16">
      <c r="B38" s="33">
        <f ca="1">IFERROR(__xludf.DUMMYFUNCTION("""COMPUTED_VALUE"""),2025)</f>
        <v>2025</v>
      </c>
      <c r="C38" s="33">
        <f ca="1">IFERROR(__xludf.DUMMYFUNCTION("""COMPUTED_VALUE"""),1)</f>
        <v>1</v>
      </c>
      <c r="D38" s="33" t="str">
        <f ca="1">IFERROR(__xludf.DUMMYFUNCTION("""COMPUTED_VALUE"""),"NO")</f>
        <v>NO</v>
      </c>
      <c r="E38" s="33" t="str">
        <f ca="1">IFERROR(__xludf.DUMMYFUNCTION("""COMPUTED_VALUE"""),"Lugo")</f>
        <v>Lugo</v>
      </c>
      <c r="F38" s="57">
        <f ca="1">IFERROR(__xludf.DUMMYFUNCTION("""COMPUTED_VALUE"""),45687)</f>
        <v>45687</v>
      </c>
      <c r="G38" s="57">
        <f ca="1">IFERROR(__xludf.DUMMYFUNCTION("""COMPUTED_VALUE"""),45659)</f>
        <v>45659</v>
      </c>
      <c r="H38" s="33" t="str">
        <f ca="1">IFERROR(__xludf.DUMMYFUNCTION("""COMPUTED_VALUE"""),"Lugo")</f>
        <v>Lugo</v>
      </c>
      <c r="I38" s="33" t="str">
        <f ca="1">IFERROR(__xludf.DUMMYFUNCTION("""COMPUTED_VALUE"""),"C202519112040208")</f>
        <v>C202519112040208</v>
      </c>
      <c r="J38" s="33" t="str">
        <f ca="1">IFERROR(__xludf.DUMMYFUNCTION("""COMPUTED_VALUE"""),"JOSE DANIEL LUGILDE RIVAS")</f>
        <v>JOSE DANIEL LUGILDE RIVAS</v>
      </c>
      <c r="K38" s="33">
        <f ca="1">IFERROR(__xludf.DUMMYFUNCTION("""COMPUTED_VALUE"""),2)</f>
        <v>2</v>
      </c>
      <c r="L38" s="203">
        <f ca="1">IFERROR(__xludf.DUMMYFUNCTION("""COMPUTED_VALUE"""),3800)</f>
        <v>3800</v>
      </c>
      <c r="M38" s="33" t="str">
        <f ca="1">IFERROR(__xludf.DUMMYFUNCTION("""COMPUTED_VALUE"""),"04 TIENDA")</f>
        <v>04 TIENDA</v>
      </c>
      <c r="N38" s="33" t="str">
        <f ca="1">IFERROR(__xludf.DUMMYFUNCTION("""COMPUTED_VALUE"""),"07 BOCA/BOCA")</f>
        <v>07 BOCA/BOCA</v>
      </c>
      <c r="O38" s="33" t="str">
        <f ca="1">IFERROR(__xludf.DUMMYFUNCTION("""COMPUTED_VALUE"""),"Dr, Pedro Juiz López")</f>
        <v>Dr, Pedro Juiz López</v>
      </c>
      <c r="P38" s="33" t="str">
        <f ca="1">IFERROR(__xludf.DUMMYFUNCTION("""COMPUTED_VALUE"""),"Roberto Pereira (Galicia)")</f>
        <v>Roberto Pereira (Galicia)</v>
      </c>
    </row>
    <row r="39" spans="2:16">
      <c r="B39" s="33">
        <f ca="1">IFERROR(__xludf.DUMMYFUNCTION("""COMPUTED_VALUE"""),2025)</f>
        <v>2025</v>
      </c>
      <c r="C39" s="33">
        <f ca="1">IFERROR(__xludf.DUMMYFUNCTION("""COMPUTED_VALUE"""),1)</f>
        <v>1</v>
      </c>
      <c r="D39" s="33" t="str">
        <f ca="1">IFERROR(__xludf.DUMMYFUNCTION("""COMPUTED_VALUE"""),"NO")</f>
        <v>NO</v>
      </c>
      <c r="E39" s="33" t="str">
        <f ca="1">IFERROR(__xludf.DUMMYFUNCTION("""COMPUTED_VALUE"""),"Madrid- Canillas")</f>
        <v>Madrid- Canillas</v>
      </c>
      <c r="F39" s="57">
        <f ca="1">IFERROR(__xludf.DUMMYFUNCTION("""COMPUTED_VALUE"""),45688)</f>
        <v>45688</v>
      </c>
      <c r="G39" s="57">
        <f ca="1">IFERROR(__xludf.DUMMYFUNCTION("""COMPUTED_VALUE"""),45666)</f>
        <v>45666</v>
      </c>
      <c r="H39" s="33" t="str">
        <f ca="1">IFERROR(__xludf.DUMMYFUNCTION("""COMPUTED_VALUE"""),"Canillas")</f>
        <v>Canillas</v>
      </c>
      <c r="I39" s="33" t="str">
        <f ca="1">IFERROR(__xludf.DUMMYFUNCTION("""COMPUTED_VALUE"""),"C202511410415761")</f>
        <v>C202511410415761</v>
      </c>
      <c r="J39" s="33" t="str">
        <f ca="1">IFERROR(__xludf.DUMMYFUNCTION("""COMPUTED_VALUE"""),"ÁNGELES RODRÍGUEZ CASTILLO")</f>
        <v>ÁNGELES RODRÍGUEZ CASTILLO</v>
      </c>
      <c r="K39" s="33">
        <f ca="1">IFERROR(__xludf.DUMMYFUNCTION("""COMPUTED_VALUE"""),2)</f>
        <v>2</v>
      </c>
      <c r="L39" s="203">
        <f ca="1">IFERROR(__xludf.DUMMYFUNCTION("""COMPUTED_VALUE"""),4000)</f>
        <v>4000</v>
      </c>
      <c r="M39" s="33" t="str">
        <f ca="1">IFERROR(__xludf.DUMMYFUNCTION("""COMPUTED_VALUE"""),"03 ORL")</f>
        <v>03 ORL</v>
      </c>
      <c r="N39" s="33" t="str">
        <f ca="1">IFERROR(__xludf.DUMMYFUNCTION("""COMPUTED_VALUE"""),"06 ORL")</f>
        <v>06 ORL</v>
      </c>
      <c r="O39" s="33" t="str">
        <f ca="1">IFERROR(__xludf.DUMMYFUNCTION("""COMPUTED_VALUE"""),"Dr, José Gustavo Barroso Braojos")</f>
        <v>Dr, José Gustavo Barroso Braojos</v>
      </c>
      <c r="P39" s="33" t="str">
        <f ca="1">IFERROR(__xludf.DUMMYFUNCTION("""COMPUTED_VALUE"""),"Maika Blázquez (Madrid)")</f>
        <v>Maika Blázquez (Madrid)</v>
      </c>
    </row>
    <row r="40" spans="2:16">
      <c r="B40" s="33">
        <f ca="1">IFERROR(__xludf.DUMMYFUNCTION("""COMPUTED_VALUE"""),2025)</f>
        <v>2025</v>
      </c>
      <c r="C40" s="33">
        <f ca="1">IFERROR(__xludf.DUMMYFUNCTION("""COMPUTED_VALUE"""),1)</f>
        <v>1</v>
      </c>
      <c r="D40" s="33" t="str">
        <f ca="1">IFERROR(__xludf.DUMMYFUNCTION("""COMPUTED_VALUE"""),"NO")</f>
        <v>NO</v>
      </c>
      <c r="E40" s="33" t="str">
        <f ca="1">IFERROR(__xludf.DUMMYFUNCTION("""COMPUTED_VALUE"""),"Madrid- Canillas")</f>
        <v>Madrid- Canillas</v>
      </c>
      <c r="F40" s="57">
        <f ca="1">IFERROR(__xludf.DUMMYFUNCTION("""COMPUTED_VALUE"""),45688)</f>
        <v>45688</v>
      </c>
      <c r="G40" s="57">
        <f ca="1">IFERROR(__xludf.DUMMYFUNCTION("""COMPUTED_VALUE"""),45637)</f>
        <v>45637</v>
      </c>
      <c r="H40" s="33" t="str">
        <f ca="1">IFERROR(__xludf.DUMMYFUNCTION("""COMPUTED_VALUE"""),"Canillas")</f>
        <v>Canillas</v>
      </c>
      <c r="I40" s="33" t="str">
        <f ca="1">IFERROR(__xludf.DUMMYFUNCTION("""COMPUTED_VALUE"""),"C202412201233494")</f>
        <v>C202412201233494</v>
      </c>
      <c r="J40" s="33" t="str">
        <f ca="1">IFERROR(__xludf.DUMMYFUNCTION("""COMPUTED_VALUE"""),"ARACELI BARRIOS MONTENEGRO")</f>
        <v>ARACELI BARRIOS MONTENEGRO</v>
      </c>
      <c r="K40" s="33">
        <f ca="1">IFERROR(__xludf.DUMMYFUNCTION("""COMPUTED_VALUE"""),2)</f>
        <v>2</v>
      </c>
      <c r="L40" s="203">
        <f ca="1">IFERROR(__xludf.DUMMYFUNCTION("""COMPUTED_VALUE"""),4000)</f>
        <v>4000</v>
      </c>
      <c r="M40" s="33" t="str">
        <f ca="1">IFERROR(__xludf.DUMMYFUNCTION("""COMPUTED_VALUE"""),"03 ORL")</f>
        <v>03 ORL</v>
      </c>
      <c r="N40" s="33" t="str">
        <f ca="1">IFERROR(__xludf.DUMMYFUNCTION("""COMPUTED_VALUE"""),"06 ORL")</f>
        <v>06 ORL</v>
      </c>
      <c r="O40" s="33" t="str">
        <f ca="1">IFERROR(__xludf.DUMMYFUNCTION("""COMPUTED_VALUE"""),"Dra, Helena Moreno Pardo")</f>
        <v>Dra, Helena Moreno Pardo</v>
      </c>
      <c r="P40" s="33" t="str">
        <f ca="1">IFERROR(__xludf.DUMMYFUNCTION("""COMPUTED_VALUE"""),"Maika Blázquez (Madrid)")</f>
        <v>Maika Blázquez (Madrid)</v>
      </c>
    </row>
    <row r="41" spans="2:16">
      <c r="B41" s="33">
        <f ca="1">IFERROR(__xludf.DUMMYFUNCTION("""COMPUTED_VALUE"""),2025)</f>
        <v>2025</v>
      </c>
      <c r="C41" s="33">
        <f ca="1">IFERROR(__xludf.DUMMYFUNCTION("""COMPUTED_VALUE"""),1)</f>
        <v>1</v>
      </c>
      <c r="D41" s="33" t="str">
        <f ca="1">IFERROR(__xludf.DUMMYFUNCTION("""COMPUTED_VALUE"""),"NO")</f>
        <v>NO</v>
      </c>
      <c r="E41" s="33" t="str">
        <f ca="1">IFERROR(__xludf.DUMMYFUNCTION("""COMPUTED_VALUE"""),"Madrid- Canillas")</f>
        <v>Madrid- Canillas</v>
      </c>
      <c r="F41" s="57">
        <f ca="1">IFERROR(__xludf.DUMMYFUNCTION("""COMPUTED_VALUE"""),45686)</f>
        <v>45686</v>
      </c>
      <c r="G41" s="57">
        <f ca="1">IFERROR(__xludf.DUMMYFUNCTION("""COMPUTED_VALUE"""),45618)</f>
        <v>45618</v>
      </c>
      <c r="H41" s="33" t="str">
        <f ca="1">IFERROR(__xludf.DUMMYFUNCTION("""COMPUTED_VALUE"""),"Canillas")</f>
        <v>Canillas</v>
      </c>
      <c r="I41" s="33" t="str">
        <f ca="1">IFERROR(__xludf.DUMMYFUNCTION("""COMPUTED_VALUE"""),"C2024112712183693")</f>
        <v>C2024112712183693</v>
      </c>
      <c r="J41" s="33" t="str">
        <f ca="1">IFERROR(__xludf.DUMMYFUNCTION("""COMPUTED_VALUE"""),"ENCARNACIÓN MARTOS GUALDA")</f>
        <v>ENCARNACIÓN MARTOS GUALDA</v>
      </c>
      <c r="K41" s="33">
        <f ca="1">IFERROR(__xludf.DUMMYFUNCTION("""COMPUTED_VALUE"""),2)</f>
        <v>2</v>
      </c>
      <c r="L41" s="203">
        <f ca="1">IFERROR(__xludf.DUMMYFUNCTION("""COMPUTED_VALUE"""),4000)</f>
        <v>4000</v>
      </c>
      <c r="M41" s="33" t="str">
        <f ca="1">IFERROR(__xludf.DUMMYFUNCTION("""COMPUTED_VALUE"""),"03 ORL")</f>
        <v>03 ORL</v>
      </c>
      <c r="N41" s="33" t="str">
        <f ca="1">IFERROR(__xludf.DUMMYFUNCTION("""COMPUTED_VALUE"""),"06 ORL")</f>
        <v>06 ORL</v>
      </c>
      <c r="O41" s="33" t="str">
        <f ca="1">IFERROR(__xludf.DUMMYFUNCTION("""COMPUTED_VALUE"""),"Dr, José Gustavo Barroso Braojos")</f>
        <v>Dr, José Gustavo Barroso Braojos</v>
      </c>
      <c r="P41" s="33" t="str">
        <f ca="1">IFERROR(__xludf.DUMMYFUNCTION("""COMPUTED_VALUE"""),"Maika Blázquez (Madrid)")</f>
        <v>Maika Blázquez (Madrid)</v>
      </c>
    </row>
    <row r="42" spans="2:16">
      <c r="B42" s="33">
        <f ca="1">IFERROR(__xludf.DUMMYFUNCTION("""COMPUTED_VALUE"""),2025)</f>
        <v>2025</v>
      </c>
      <c r="C42" s="33">
        <f ca="1">IFERROR(__xludf.DUMMYFUNCTION("""COMPUTED_VALUE"""),1)</f>
        <v>1</v>
      </c>
      <c r="D42" s="33" t="str">
        <f ca="1">IFERROR(__xludf.DUMMYFUNCTION("""COMPUTED_VALUE"""),"NO")</f>
        <v>NO</v>
      </c>
      <c r="E42" s="33" t="str">
        <f ca="1">IFERROR(__xludf.DUMMYFUNCTION("""COMPUTED_VALUE"""),"Madrid- Canillas")</f>
        <v>Madrid- Canillas</v>
      </c>
      <c r="F42" s="57">
        <f ca="1">IFERROR(__xludf.DUMMYFUNCTION("""COMPUTED_VALUE"""),45674)</f>
        <v>45674</v>
      </c>
      <c r="G42" s="57">
        <f ca="1">IFERROR(__xludf.DUMMYFUNCTION("""COMPUTED_VALUE"""),45636)</f>
        <v>45636</v>
      </c>
      <c r="H42" s="33" t="str">
        <f ca="1">IFERROR(__xludf.DUMMYFUNCTION("""COMPUTED_VALUE"""),"Canillas")</f>
        <v>Canillas</v>
      </c>
      <c r="I42" s="33" t="str">
        <f ca="1">IFERROR(__xludf.DUMMYFUNCTION("""COMPUTED_VALUE"""),"C20241218174838482")</f>
        <v>C20241218174838482</v>
      </c>
      <c r="J42" s="33" t="str">
        <f ca="1">IFERROR(__xludf.DUMMYFUNCTION("""COMPUTED_VALUE"""),"LUCAS CALZA FERNANDEZ")</f>
        <v>LUCAS CALZA FERNANDEZ</v>
      </c>
      <c r="K42" s="33">
        <f ca="1">IFERROR(__xludf.DUMMYFUNCTION("""COMPUTED_VALUE"""),2)</f>
        <v>2</v>
      </c>
      <c r="L42" s="203">
        <f ca="1">IFERROR(__xludf.DUMMYFUNCTION("""COMPUTED_VALUE"""),4000)</f>
        <v>4000</v>
      </c>
      <c r="M42" s="33" t="str">
        <f ca="1">IFERROR(__xludf.DUMMYFUNCTION("""COMPUTED_VALUE"""),"03 ORL")</f>
        <v>03 ORL</v>
      </c>
      <c r="N42" s="33" t="str">
        <f ca="1">IFERROR(__xludf.DUMMYFUNCTION("""COMPUTED_VALUE"""),"06 ORL")</f>
        <v>06 ORL</v>
      </c>
      <c r="O42" s="33" t="str">
        <f ca="1">IFERROR(__xludf.DUMMYFUNCTION("""COMPUTED_VALUE"""),"Dr, José Gustavo Barroso Braojos")</f>
        <v>Dr, José Gustavo Barroso Braojos</v>
      </c>
      <c r="P42" s="33" t="str">
        <f ca="1">IFERROR(__xludf.DUMMYFUNCTION("""COMPUTED_VALUE"""),"Maika Blázquez (Madrid)")</f>
        <v>Maika Blázquez (Madrid)</v>
      </c>
    </row>
    <row r="43" spans="2:16">
      <c r="B43" s="33">
        <f ca="1">IFERROR(__xludf.DUMMYFUNCTION("""COMPUTED_VALUE"""),2025)</f>
        <v>2025</v>
      </c>
      <c r="C43" s="33">
        <f ca="1">IFERROR(__xludf.DUMMYFUNCTION("""COMPUTED_VALUE"""),1)</f>
        <v>1</v>
      </c>
      <c r="D43" s="33" t="str">
        <f ca="1">IFERROR(__xludf.DUMMYFUNCTION("""COMPUTED_VALUE"""),"NO")</f>
        <v>NO</v>
      </c>
      <c r="E43" s="33" t="str">
        <f ca="1">IFERROR(__xludf.DUMMYFUNCTION("""COMPUTED_VALUE"""),"Madrid- Canillas")</f>
        <v>Madrid- Canillas</v>
      </c>
      <c r="F43" s="57">
        <f ca="1">IFERROR(__xludf.DUMMYFUNCTION("""COMPUTED_VALUE"""),45670)</f>
        <v>45670</v>
      </c>
      <c r="G43" s="57">
        <f ca="1">IFERROR(__xludf.DUMMYFUNCTION("""COMPUTED_VALUE"""),45645)</f>
        <v>45645</v>
      </c>
      <c r="H43" s="33" t="str">
        <f ca="1">IFERROR(__xludf.DUMMYFUNCTION("""COMPUTED_VALUE"""),"Canillas")</f>
        <v>Canillas</v>
      </c>
      <c r="I43" s="33" t="str">
        <f ca="1">IFERROR(__xludf.DUMMYFUNCTION("""COMPUTED_VALUE"""),"C202412311206101")</f>
        <v>C202412311206101</v>
      </c>
      <c r="J43" s="33" t="str">
        <f ca="1">IFERROR(__xludf.DUMMYFUNCTION("""COMPUTED_VALUE"""),"TOÑI LOMAS CULEBRAS")</f>
        <v>TOÑI LOMAS CULEBRAS</v>
      </c>
      <c r="K43" s="33">
        <f ca="1">IFERROR(__xludf.DUMMYFUNCTION("""COMPUTED_VALUE"""),1)</f>
        <v>1</v>
      </c>
      <c r="L43" s="203">
        <f ca="1">IFERROR(__xludf.DUMMYFUNCTION("""COMPUTED_VALUE"""),2129.09)</f>
        <v>2129.09</v>
      </c>
      <c r="M43" s="33" t="str">
        <f ca="1">IFERROR(__xludf.DUMMYFUNCTION("""COMPUTED_VALUE"""),"03 ORL")</f>
        <v>03 ORL</v>
      </c>
      <c r="N43" s="33" t="str">
        <f ca="1">IFERROR(__xludf.DUMMYFUNCTION("""COMPUTED_VALUE"""),"06 ORL")</f>
        <v>06 ORL</v>
      </c>
      <c r="O43" s="33" t="str">
        <f ca="1">IFERROR(__xludf.DUMMYFUNCTION("""COMPUTED_VALUE"""),"Dr, José Gustavo Barroso Braojos")</f>
        <v>Dr, José Gustavo Barroso Braojos</v>
      </c>
      <c r="P43" s="33" t="str">
        <f ca="1">IFERROR(__xludf.DUMMYFUNCTION("""COMPUTED_VALUE"""),"Maika Blázquez (Madrid)")</f>
        <v>Maika Blázquez (Madrid)</v>
      </c>
    </row>
    <row r="44" spans="2:16">
      <c r="B44" s="33">
        <f ca="1">IFERROR(__xludf.DUMMYFUNCTION("""COMPUTED_VALUE"""),2025)</f>
        <v>2025</v>
      </c>
      <c r="C44" s="33">
        <f ca="1">IFERROR(__xludf.DUMMYFUNCTION("""COMPUTED_VALUE"""),1)</f>
        <v>1</v>
      </c>
      <c r="D44" s="33" t="str">
        <f ca="1">IFERROR(__xludf.DUMMYFUNCTION("""COMPUTED_VALUE"""),"NO")</f>
        <v>NO</v>
      </c>
      <c r="E44" s="33" t="str">
        <f ca="1">IFERROR(__xludf.DUMMYFUNCTION("""COMPUTED_VALUE"""),"Madrid- Juan Bravo")</f>
        <v>Madrid- Juan Bravo</v>
      </c>
      <c r="F44" s="57">
        <f ca="1">IFERROR(__xludf.DUMMYFUNCTION("""COMPUTED_VALUE"""),45688)</f>
        <v>45688</v>
      </c>
      <c r="G44" s="57">
        <f ca="1">IFERROR(__xludf.DUMMYFUNCTION("""COMPUTED_VALUE"""),45657)</f>
        <v>45657</v>
      </c>
      <c r="H44" s="33" t="str">
        <f ca="1">IFERROR(__xludf.DUMMYFUNCTION("""COMPUTED_VALUE"""),"Juan Bravo")</f>
        <v>Juan Bravo</v>
      </c>
      <c r="I44" s="33" t="str">
        <f ca="1">IFERROR(__xludf.DUMMYFUNCTION("""COMPUTED_VALUE"""),"C20251151155656")</f>
        <v>C20251151155656</v>
      </c>
      <c r="J44" s="33" t="str">
        <f ca="1">IFERROR(__xludf.DUMMYFUNCTION("""COMPUTED_VALUE"""),"ANTONIO PALOMINO GUIJARRO")</f>
        <v>ANTONIO PALOMINO GUIJARRO</v>
      </c>
      <c r="K44" s="33">
        <f ca="1">IFERROR(__xludf.DUMMYFUNCTION("""COMPUTED_VALUE"""),1)</f>
        <v>1</v>
      </c>
      <c r="L44" s="203">
        <f ca="1">IFERROR(__xludf.DUMMYFUNCTION("""COMPUTED_VALUE"""),2400)</f>
        <v>2400</v>
      </c>
      <c r="M44" s="33" t="str">
        <f ca="1">IFERROR(__xludf.DUMMYFUNCTION("""COMPUTED_VALUE"""),"03 ORL")</f>
        <v>03 ORL</v>
      </c>
      <c r="N44" s="33" t="str">
        <f ca="1">IFERROR(__xludf.DUMMYFUNCTION("""COMPUTED_VALUE"""),"06 ORL")</f>
        <v>06 ORL</v>
      </c>
      <c r="O44" s="33" t="str">
        <f ca="1">IFERROR(__xludf.DUMMYFUNCTION("""COMPUTED_VALUE"""),"Dr, Javier García Domínguez")</f>
        <v>Dr, Javier García Domínguez</v>
      </c>
      <c r="P44" s="33" t="str">
        <f ca="1">IFERROR(__xludf.DUMMYFUNCTION("""COMPUTED_VALUE"""),"Maika Blázquez (Madrid)")</f>
        <v>Maika Blázquez (Madrid)</v>
      </c>
    </row>
    <row r="45" spans="2:16">
      <c r="B45" s="33">
        <f ca="1">IFERROR(__xludf.DUMMYFUNCTION("""COMPUTED_VALUE"""),2025)</f>
        <v>2025</v>
      </c>
      <c r="C45" s="33">
        <f ca="1">IFERROR(__xludf.DUMMYFUNCTION("""COMPUTED_VALUE"""),1)</f>
        <v>1</v>
      </c>
      <c r="D45" s="33" t="str">
        <f ca="1">IFERROR(__xludf.DUMMYFUNCTION("""COMPUTED_VALUE"""),"NO")</f>
        <v>NO</v>
      </c>
      <c r="E45" s="33" t="str">
        <f ca="1">IFERROR(__xludf.DUMMYFUNCTION("""COMPUTED_VALUE"""),"Madrid- Juan Bravo")</f>
        <v>Madrid- Juan Bravo</v>
      </c>
      <c r="F45" s="57">
        <f ca="1">IFERROR(__xludf.DUMMYFUNCTION("""COMPUTED_VALUE"""),45667)</f>
        <v>45667</v>
      </c>
      <c r="G45" s="57">
        <f ca="1">IFERROR(__xludf.DUMMYFUNCTION("""COMPUTED_VALUE"""),45607)</f>
        <v>45607</v>
      </c>
      <c r="H45" s="33" t="str">
        <f ca="1">IFERROR(__xludf.DUMMYFUNCTION("""COMPUTED_VALUE"""),"Juan Bravo")</f>
        <v>Juan Bravo</v>
      </c>
      <c r="I45" s="33" t="str">
        <f ca="1">IFERROR(__xludf.DUMMYFUNCTION("""COMPUTED_VALUE"""),"C2024111416514352")</f>
        <v>C2024111416514352</v>
      </c>
      <c r="J45" s="33" t="str">
        <f ca="1">IFERROR(__xludf.DUMMYFUNCTION("""COMPUTED_VALUE"""),"ELENA ESTHER MONZON TARDON")</f>
        <v>ELENA ESTHER MONZON TARDON</v>
      </c>
      <c r="K45" s="33">
        <f ca="1">IFERROR(__xludf.DUMMYFUNCTION("""COMPUTED_VALUE"""),2)</f>
        <v>2</v>
      </c>
      <c r="L45" s="203">
        <f ca="1">IFERROR(__xludf.DUMMYFUNCTION("""COMPUTED_VALUE"""),3929.55)</f>
        <v>3929.55</v>
      </c>
      <c r="M45" s="33" t="str">
        <f ca="1">IFERROR(__xludf.DUMMYFUNCTION("""COMPUTED_VALUE"""),"03 ORL")</f>
        <v>03 ORL</v>
      </c>
      <c r="N45" s="33" t="str">
        <f ca="1">IFERROR(__xludf.DUMMYFUNCTION("""COMPUTED_VALUE"""),"06 ORL")</f>
        <v>06 ORL</v>
      </c>
      <c r="O45" s="1" t="str">
        <f ca="1">IFERROR(__xludf.DUMMYFUNCTION("""COMPUTED_VALUE"""),"Dr, Esteban Scola Pliego")</f>
        <v>Dr, Esteban Scola Pliego</v>
      </c>
      <c r="P45" s="33" t="str">
        <f ca="1">IFERROR(__xludf.DUMMYFUNCTION("""COMPUTED_VALUE"""),"Maika Blázquez (Madrid)")</f>
        <v>Maika Blázquez (Madrid)</v>
      </c>
    </row>
    <row r="46" spans="2:16">
      <c r="B46" s="33">
        <f ca="1">IFERROR(__xludf.DUMMYFUNCTION("""COMPUTED_VALUE"""),2025)</f>
        <v>2025</v>
      </c>
      <c r="C46" s="33">
        <f ca="1">IFERROR(__xludf.DUMMYFUNCTION("""COMPUTED_VALUE"""),1)</f>
        <v>1</v>
      </c>
      <c r="D46" s="33" t="str">
        <f ca="1">IFERROR(__xludf.DUMMYFUNCTION("""COMPUTED_VALUE"""),"NO")</f>
        <v>NO</v>
      </c>
      <c r="E46" s="33" t="str">
        <f ca="1">IFERROR(__xludf.DUMMYFUNCTION("""COMPUTED_VALUE"""),"Madrid- Juan Bravo")</f>
        <v>Madrid- Juan Bravo</v>
      </c>
      <c r="F46" s="57">
        <f ca="1">IFERROR(__xludf.DUMMYFUNCTION("""COMPUTED_VALUE"""),45688)</f>
        <v>45688</v>
      </c>
      <c r="G46" s="57">
        <f ca="1">IFERROR(__xludf.DUMMYFUNCTION("""COMPUTED_VALUE"""),45673)</f>
        <v>45673</v>
      </c>
      <c r="H46" s="33" t="str">
        <f ca="1">IFERROR(__xludf.DUMMYFUNCTION("""COMPUTED_VALUE"""),"Juan Bravo")</f>
        <v>Juan Bravo</v>
      </c>
      <c r="I46" s="33" t="str">
        <f ca="1">IFERROR(__xludf.DUMMYFUNCTION("""COMPUTED_VALUE"""),"C2025121112454757")</f>
        <v>C2025121112454757</v>
      </c>
      <c r="J46" s="33" t="str">
        <f ca="1">IFERROR(__xludf.DUMMYFUNCTION("""COMPUTED_VALUE"""),"FRANCISCO JAVIER DE LA MORENA  DE VEGA")</f>
        <v>FRANCISCO JAVIER DE LA MORENA  DE VEGA</v>
      </c>
      <c r="K46" s="33">
        <f ca="1">IFERROR(__xludf.DUMMYFUNCTION("""COMPUTED_VALUE"""),2)</f>
        <v>2</v>
      </c>
      <c r="L46" s="203">
        <f ca="1">IFERROR(__xludf.DUMMYFUNCTION("""COMPUTED_VALUE"""),4400)</f>
        <v>4400</v>
      </c>
      <c r="M46" s="33" t="str">
        <f ca="1">IFERROR(__xludf.DUMMYFUNCTION("""COMPUTED_VALUE"""),"03 ORL")</f>
        <v>03 ORL</v>
      </c>
      <c r="N46" s="33" t="str">
        <f ca="1">IFERROR(__xludf.DUMMYFUNCTION("""COMPUTED_VALUE"""),"06 ORL")</f>
        <v>06 ORL</v>
      </c>
      <c r="O46" s="33" t="str">
        <f ca="1">IFERROR(__xludf.DUMMYFUNCTION("""COMPUTED_VALUE"""),"Dr, Francisco Javier Redondo Del Barco")</f>
        <v>Dr, Francisco Javier Redondo Del Barco</v>
      </c>
      <c r="P46" s="33" t="str">
        <f ca="1">IFERROR(__xludf.DUMMYFUNCTION("""COMPUTED_VALUE"""),"Lisandro Russian (Madrid, Cáceres, Toledo, Talavera Y Logroño)")</f>
        <v>Lisandro Russian (Madrid, Cáceres, Toledo, Talavera Y Logroño)</v>
      </c>
    </row>
    <row r="47" spans="2:16">
      <c r="B47" s="33">
        <f ca="1">IFERROR(__xludf.DUMMYFUNCTION("""COMPUTED_VALUE"""),2025)</f>
        <v>2025</v>
      </c>
      <c r="C47" s="33">
        <f ca="1">IFERROR(__xludf.DUMMYFUNCTION("""COMPUTED_VALUE"""),1)</f>
        <v>1</v>
      </c>
      <c r="D47" s="33" t="str">
        <f ca="1">IFERROR(__xludf.DUMMYFUNCTION("""COMPUTED_VALUE"""),"NO")</f>
        <v>NO</v>
      </c>
      <c r="E47" s="33" t="str">
        <f ca="1">IFERROR(__xludf.DUMMYFUNCTION("""COMPUTED_VALUE"""),"Madrid- Juan Bravo")</f>
        <v>Madrid- Juan Bravo</v>
      </c>
      <c r="F47" s="57">
        <f ca="1">IFERROR(__xludf.DUMMYFUNCTION("""COMPUTED_VALUE"""),45667)</f>
        <v>45667</v>
      </c>
      <c r="G47" s="57">
        <f ca="1">IFERROR(__xludf.DUMMYFUNCTION("""COMPUTED_VALUE"""),45618)</f>
        <v>45618</v>
      </c>
      <c r="H47" s="33" t="str">
        <f ca="1">IFERROR(__xludf.DUMMYFUNCTION("""COMPUTED_VALUE"""),"Juan Bravo")</f>
        <v>Juan Bravo</v>
      </c>
      <c r="I47" s="33" t="str">
        <f ca="1">IFERROR(__xludf.DUMMYFUNCTION("""COMPUTED_VALUE"""),"C20241129155616137")</f>
        <v>C20241129155616137</v>
      </c>
      <c r="J47" s="33" t="str">
        <f ca="1">IFERROR(__xludf.DUMMYFUNCTION("""COMPUTED_VALUE"""),"IMNACULADA CANET ALCAMI")</f>
        <v>IMNACULADA CANET ALCAMI</v>
      </c>
      <c r="K47" s="33">
        <f ca="1">IFERROR(__xludf.DUMMYFUNCTION("""COMPUTED_VALUE"""),2)</f>
        <v>2</v>
      </c>
      <c r="L47" s="203">
        <f ca="1">IFERROR(__xludf.DUMMYFUNCTION("""COMPUTED_VALUE"""),3654.05)</f>
        <v>3654.05</v>
      </c>
      <c r="M47" s="33" t="str">
        <f ca="1">IFERROR(__xludf.DUMMYFUNCTION("""COMPUTED_VALUE"""),"03 ORL")</f>
        <v>03 ORL</v>
      </c>
      <c r="N47" s="33" t="str">
        <f ca="1">IFERROR(__xludf.DUMMYFUNCTION("""COMPUTED_VALUE"""),"06 ORL")</f>
        <v>06 ORL</v>
      </c>
      <c r="O47" s="33" t="str">
        <f ca="1">IFERROR(__xludf.DUMMYFUNCTION("""COMPUTED_VALUE"""),"Dr, Javier García Domínguez")</f>
        <v>Dr, Javier García Domínguez</v>
      </c>
      <c r="P47" s="33" t="str">
        <f ca="1">IFERROR(__xludf.DUMMYFUNCTION("""COMPUTED_VALUE"""),"Maika Blázquez (Madrid)")</f>
        <v>Maika Blázquez (Madrid)</v>
      </c>
    </row>
    <row r="48" spans="2:16">
      <c r="B48" s="33">
        <f ca="1">IFERROR(__xludf.DUMMYFUNCTION("""COMPUTED_VALUE"""),2025)</f>
        <v>2025</v>
      </c>
      <c r="C48" s="33">
        <f ca="1">IFERROR(__xludf.DUMMYFUNCTION("""COMPUTED_VALUE"""),1)</f>
        <v>1</v>
      </c>
      <c r="D48" s="33" t="str">
        <f ca="1">IFERROR(__xludf.DUMMYFUNCTION("""COMPUTED_VALUE"""),"NO")</f>
        <v>NO</v>
      </c>
      <c r="E48" s="33" t="str">
        <f ca="1">IFERROR(__xludf.DUMMYFUNCTION("""COMPUTED_VALUE"""),"Madrid- Juan Bravo")</f>
        <v>Madrid- Juan Bravo</v>
      </c>
      <c r="F48" s="57">
        <f ca="1">IFERROR(__xludf.DUMMYFUNCTION("""COMPUTED_VALUE"""),45685)</f>
        <v>45685</v>
      </c>
      <c r="G48" s="57">
        <f ca="1">IFERROR(__xludf.DUMMYFUNCTION("""COMPUTED_VALUE"""),45659)</f>
        <v>45659</v>
      </c>
      <c r="H48" s="33" t="str">
        <f ca="1">IFERROR(__xludf.DUMMYFUNCTION("""COMPUTED_VALUE"""),"Juan Bravo")</f>
        <v>Juan Bravo</v>
      </c>
      <c r="I48" s="33" t="str">
        <f ca="1">IFERROR(__xludf.DUMMYFUNCTION("""COMPUTED_VALUE"""),"C20251817508449")</f>
        <v>C20251817508449</v>
      </c>
      <c r="J48" s="33" t="str">
        <f ca="1">IFERROR(__xludf.DUMMYFUNCTION("""COMPUTED_VALUE"""),"JESUS LLORENTE MARTINEZ")</f>
        <v>JESUS LLORENTE MARTINEZ</v>
      </c>
      <c r="K48" s="33">
        <f ca="1">IFERROR(__xludf.DUMMYFUNCTION("""COMPUTED_VALUE"""),2)</f>
        <v>2</v>
      </c>
      <c r="L48" s="203">
        <f ca="1">IFERROR(__xludf.DUMMYFUNCTION("""COMPUTED_VALUE"""),4400)</f>
        <v>4400</v>
      </c>
      <c r="M48" s="33" t="str">
        <f ca="1">IFERROR(__xludf.DUMMYFUNCTION("""COMPUTED_VALUE"""),"03 ORL")</f>
        <v>03 ORL</v>
      </c>
      <c r="N48" s="33" t="str">
        <f ca="1">IFERROR(__xludf.DUMMYFUNCTION("""COMPUTED_VALUE"""),"06 ORL")</f>
        <v>06 ORL</v>
      </c>
      <c r="O48" s="33" t="str">
        <f ca="1">IFERROR(__xludf.DUMMYFUNCTION("""COMPUTED_VALUE"""),"Dr, Javier García Domínguez")</f>
        <v>Dr, Javier García Domínguez</v>
      </c>
      <c r="P48" s="33" t="str">
        <f ca="1">IFERROR(__xludf.DUMMYFUNCTION("""COMPUTED_VALUE"""),"Maika Blázquez (Madrid)")</f>
        <v>Maika Blázquez (Madrid)</v>
      </c>
    </row>
    <row r="49" spans="2:16">
      <c r="B49" s="33">
        <f ca="1">IFERROR(__xludf.DUMMYFUNCTION("""COMPUTED_VALUE"""),2025)</f>
        <v>2025</v>
      </c>
      <c r="C49" s="33">
        <f ca="1">IFERROR(__xludf.DUMMYFUNCTION("""COMPUTED_VALUE"""),1)</f>
        <v>1</v>
      </c>
      <c r="D49" s="33" t="str">
        <f ca="1">IFERROR(__xludf.DUMMYFUNCTION("""COMPUTED_VALUE"""),"NO")</f>
        <v>NO</v>
      </c>
      <c r="E49" s="33" t="str">
        <f ca="1">IFERROR(__xludf.DUMMYFUNCTION("""COMPUTED_VALUE"""),"Madrid- Juan Bravo")</f>
        <v>Madrid- Juan Bravo</v>
      </c>
      <c r="F49" s="57">
        <f ca="1">IFERROR(__xludf.DUMMYFUNCTION("""COMPUTED_VALUE"""),45671)</f>
        <v>45671</v>
      </c>
      <c r="G49" s="57">
        <f ca="1">IFERROR(__xludf.DUMMYFUNCTION("""COMPUTED_VALUE"""),45609)</f>
        <v>45609</v>
      </c>
      <c r="H49" s="33" t="str">
        <f ca="1">IFERROR(__xludf.DUMMYFUNCTION("""COMPUTED_VALUE"""),"Juan Bravo")</f>
        <v>Juan Bravo</v>
      </c>
      <c r="I49" s="33" t="str">
        <f ca="1">IFERROR(__xludf.DUMMYFUNCTION("""COMPUTED_VALUE"""),"C2024111917659894")</f>
        <v>C2024111917659894</v>
      </c>
      <c r="J49" s="33" t="str">
        <f ca="1">IFERROR(__xludf.DUMMYFUNCTION("""COMPUTED_VALUE"""),"JUAN LEOVEL FALCON HURI")</f>
        <v>JUAN LEOVEL FALCON HURI</v>
      </c>
      <c r="K49" s="33">
        <f ca="1">IFERROR(__xludf.DUMMYFUNCTION("""COMPUTED_VALUE"""),2)</f>
        <v>2</v>
      </c>
      <c r="L49" s="203">
        <f ca="1">IFERROR(__xludf.DUMMYFUNCTION("""COMPUTED_VALUE"""),3306.36)</f>
        <v>3306.36</v>
      </c>
      <c r="M49" s="33" t="str">
        <f ca="1">IFERROR(__xludf.DUMMYFUNCTION("""COMPUTED_VALUE"""),"03 ORL")</f>
        <v>03 ORL</v>
      </c>
      <c r="N49" s="33" t="str">
        <f ca="1">IFERROR(__xludf.DUMMYFUNCTION("""COMPUTED_VALUE"""),"06 ORL")</f>
        <v>06 ORL</v>
      </c>
      <c r="O49" s="33" t="str">
        <f ca="1">IFERROR(__xludf.DUMMYFUNCTION("""COMPUTED_VALUE"""),"Dr, Carlos Barajas Del Rosal")</f>
        <v>Dr, Carlos Barajas Del Rosal</v>
      </c>
      <c r="P49" s="33" t="str">
        <f ca="1">IFERROR(__xludf.DUMMYFUNCTION("""COMPUTED_VALUE"""),"Lisandro Russian (Madrid, Cáceres, Toledo, Talavera Y Logroño)")</f>
        <v>Lisandro Russian (Madrid, Cáceres, Toledo, Talavera Y Logroño)</v>
      </c>
    </row>
    <row r="50" spans="2:16">
      <c r="B50" s="33">
        <f ca="1">IFERROR(__xludf.DUMMYFUNCTION("""COMPUTED_VALUE"""),2025)</f>
        <v>2025</v>
      </c>
      <c r="C50" s="33">
        <f ca="1">IFERROR(__xludf.DUMMYFUNCTION("""COMPUTED_VALUE"""),1)</f>
        <v>1</v>
      </c>
      <c r="D50" s="33" t="str">
        <f ca="1">IFERROR(__xludf.DUMMYFUNCTION("""COMPUTED_VALUE"""),"NO")</f>
        <v>NO</v>
      </c>
      <c r="E50" s="33" t="str">
        <f ca="1">IFERROR(__xludf.DUMMYFUNCTION("""COMPUTED_VALUE"""),"Madrid- Juan Bravo")</f>
        <v>Madrid- Juan Bravo</v>
      </c>
      <c r="F50" s="57">
        <f ca="1">IFERROR(__xludf.DUMMYFUNCTION("""COMPUTED_VALUE"""),45680)</f>
        <v>45680</v>
      </c>
      <c r="G50" s="57">
        <f ca="1">IFERROR(__xludf.DUMMYFUNCTION("""COMPUTED_VALUE"""),44951)</f>
        <v>44951</v>
      </c>
      <c r="H50" s="33" t="str">
        <f ca="1">IFERROR(__xludf.DUMMYFUNCTION("""COMPUTED_VALUE"""),"Juan Bravo")</f>
        <v>Juan Bravo</v>
      </c>
      <c r="I50" s="33" t="str">
        <f ca="1">IFERROR(__xludf.DUMMYFUNCTION("""COMPUTED_VALUE"""),"JBR-1709")</f>
        <v>JBR-1709</v>
      </c>
      <c r="J50" s="33" t="str">
        <f ca="1">IFERROR(__xludf.DUMMYFUNCTION("""COMPUTED_VALUE"""),"MARIA ASUNCION GARCIA DEL CAMPO FALCO")</f>
        <v>MARIA ASUNCION GARCIA DEL CAMPO FALCO</v>
      </c>
      <c r="K50" s="33">
        <f ca="1">IFERROR(__xludf.DUMMYFUNCTION("""COMPUTED_VALUE"""),1)</f>
        <v>1</v>
      </c>
      <c r="L50" s="203">
        <f ca="1">IFERROR(__xludf.DUMMYFUNCTION("""COMPUTED_VALUE"""),2280)</f>
        <v>2280</v>
      </c>
      <c r="M50" s="33" t="str">
        <f ca="1">IFERROR(__xludf.DUMMYFUNCTION("""COMPUTED_VALUE"""),"03 ORL")</f>
        <v>03 ORL</v>
      </c>
      <c r="N50" s="33" t="str">
        <f ca="1">IFERROR(__xludf.DUMMYFUNCTION("""COMPUTED_VALUE"""),"06 ORL")</f>
        <v>06 ORL</v>
      </c>
      <c r="O50" s="33" t="str">
        <f ca="1">IFERROR(__xludf.DUMMYFUNCTION("""COMPUTED_VALUE"""),"Dr, Antonio Bueno Ríos")</f>
        <v>Dr, Antonio Bueno Ríos</v>
      </c>
      <c r="P50" s="33" t="str">
        <f ca="1">IFERROR(__xludf.DUMMYFUNCTION("""COMPUTED_VALUE"""),"Lisandro Russian (Madrid, Cáceres, Toledo, Talavera Y Logroño)")</f>
        <v>Lisandro Russian (Madrid, Cáceres, Toledo, Talavera Y Logroño)</v>
      </c>
    </row>
    <row r="51" spans="2:16">
      <c r="B51" s="33">
        <f ca="1">IFERROR(__xludf.DUMMYFUNCTION("""COMPUTED_VALUE"""),2025)</f>
        <v>2025</v>
      </c>
      <c r="C51" s="33">
        <f ca="1">IFERROR(__xludf.DUMMYFUNCTION("""COMPUTED_VALUE"""),1)</f>
        <v>1</v>
      </c>
      <c r="D51" s="33" t="str">
        <f ca="1">IFERROR(__xludf.DUMMYFUNCTION("""COMPUTED_VALUE"""),"NO")</f>
        <v>NO</v>
      </c>
      <c r="E51" s="33" t="str">
        <f ca="1">IFERROR(__xludf.DUMMYFUNCTION("""COMPUTED_VALUE"""),"Madrid- La Oca")</f>
        <v>Madrid- La Oca</v>
      </c>
      <c r="F51" s="57">
        <f ca="1">IFERROR(__xludf.DUMMYFUNCTION("""COMPUTED_VALUE"""),45670)</f>
        <v>45670</v>
      </c>
      <c r="G51" s="57">
        <f ca="1">IFERROR(__xludf.DUMMYFUNCTION("""COMPUTED_VALUE"""),45636)</f>
        <v>45636</v>
      </c>
      <c r="H51" s="33" t="str">
        <f ca="1">IFERROR(__xludf.DUMMYFUNCTION("""COMPUTED_VALUE"""),"La Oca")</f>
        <v>La Oca</v>
      </c>
      <c r="I51" s="33" t="str">
        <f ca="1">IFERROR(__xludf.DUMMYFUNCTION("""COMPUTED_VALUE"""),"C20241217123741115")</f>
        <v>C20241217123741115</v>
      </c>
      <c r="J51" s="33" t="str">
        <f ca="1">IFERROR(__xludf.DUMMYFUNCTION("""COMPUTED_VALUE"""),"BASILIA LOPEZ DOMINGUEZ")</f>
        <v>BASILIA LOPEZ DOMINGUEZ</v>
      </c>
      <c r="K51" s="33">
        <f ca="1">IFERROR(__xludf.DUMMYFUNCTION("""COMPUTED_VALUE"""),2)</f>
        <v>2</v>
      </c>
      <c r="L51" s="203">
        <f ca="1">IFERROR(__xludf.DUMMYFUNCTION("""COMPUTED_VALUE"""),4000)</f>
        <v>4000</v>
      </c>
      <c r="M51" s="33" t="str">
        <f ca="1">IFERROR(__xludf.DUMMYFUNCTION("""COMPUTED_VALUE"""),"03 ORL")</f>
        <v>03 ORL</v>
      </c>
      <c r="N51" s="33" t="str">
        <f ca="1">IFERROR(__xludf.DUMMYFUNCTION("""COMPUTED_VALUE"""),"06 ORL")</f>
        <v>06 ORL</v>
      </c>
      <c r="O51" s="33" t="str">
        <f ca="1">IFERROR(__xludf.DUMMYFUNCTION("""COMPUTED_VALUE"""),"Dr, José Joaquín Gutiérrez Barquín")</f>
        <v>Dr, José Joaquín Gutiérrez Barquín</v>
      </c>
      <c r="P51" s="33" t="str">
        <f ca="1">IFERROR(__xludf.DUMMYFUNCTION("""COMPUTED_VALUE"""),"Maika Blázquez (Madrid)")</f>
        <v>Maika Blázquez (Madrid)</v>
      </c>
    </row>
    <row r="52" spans="2:16">
      <c r="B52" s="33">
        <f ca="1">IFERROR(__xludf.DUMMYFUNCTION("""COMPUTED_VALUE"""),2025)</f>
        <v>2025</v>
      </c>
      <c r="C52" s="33">
        <f ca="1">IFERROR(__xludf.DUMMYFUNCTION("""COMPUTED_VALUE"""),1)</f>
        <v>1</v>
      </c>
      <c r="D52" s="33" t="str">
        <f ca="1">IFERROR(__xludf.DUMMYFUNCTION("""COMPUTED_VALUE"""),"NO")</f>
        <v>NO</v>
      </c>
      <c r="E52" s="33" t="str">
        <f ca="1">IFERROR(__xludf.DUMMYFUNCTION("""COMPUTED_VALUE"""),"Madrid- La Oca")</f>
        <v>Madrid- La Oca</v>
      </c>
      <c r="F52" s="57">
        <f ca="1">IFERROR(__xludf.DUMMYFUNCTION("""COMPUTED_VALUE"""),45679)</f>
        <v>45679</v>
      </c>
      <c r="G52" s="57">
        <f ca="1">IFERROR(__xludf.DUMMYFUNCTION("""COMPUTED_VALUE"""),45646)</f>
        <v>45646</v>
      </c>
      <c r="H52" s="33" t="str">
        <f ca="1">IFERROR(__xludf.DUMMYFUNCTION("""COMPUTED_VALUE"""),"La Oca")</f>
        <v>La Oca</v>
      </c>
      <c r="I52" s="33" t="str">
        <f ca="1">IFERROR(__xludf.DUMMYFUNCTION("""COMPUTED_VALUE"""),"C20251911101907")</f>
        <v>C20251911101907</v>
      </c>
      <c r="J52" s="33" t="str">
        <f ca="1">IFERROR(__xludf.DUMMYFUNCTION("""COMPUTED_VALUE"""),"BENJAMINA MARGARITA PEREZ GIL")</f>
        <v>BENJAMINA MARGARITA PEREZ GIL</v>
      </c>
      <c r="K52" s="33">
        <f ca="1">IFERROR(__xludf.DUMMYFUNCTION("""COMPUTED_VALUE"""),2)</f>
        <v>2</v>
      </c>
      <c r="L52" s="203">
        <f ca="1">IFERROR(__xludf.DUMMYFUNCTION("""COMPUTED_VALUE"""),4000)</f>
        <v>4000</v>
      </c>
      <c r="M52" s="33" t="str">
        <f ca="1">IFERROR(__xludf.DUMMYFUNCTION("""COMPUTED_VALUE"""),"03 ORL")</f>
        <v>03 ORL</v>
      </c>
      <c r="N52" s="33" t="str">
        <f ca="1">IFERROR(__xludf.DUMMYFUNCTION("""COMPUTED_VALUE"""),"06 ORL")</f>
        <v>06 ORL</v>
      </c>
      <c r="O52" s="33" t="str">
        <f ca="1">IFERROR(__xludf.DUMMYFUNCTION("""COMPUTED_VALUE"""),"Dr, José Joaquín Gutiérrez Barquín")</f>
        <v>Dr, José Joaquín Gutiérrez Barquín</v>
      </c>
      <c r="P52" s="33" t="str">
        <f ca="1">IFERROR(__xludf.DUMMYFUNCTION("""COMPUTED_VALUE"""),"Maika Blázquez (Madrid)")</f>
        <v>Maika Blázquez (Madrid)</v>
      </c>
    </row>
    <row r="53" spans="2:16">
      <c r="B53" s="33">
        <f ca="1">IFERROR(__xludf.DUMMYFUNCTION("""COMPUTED_VALUE"""),2025)</f>
        <v>2025</v>
      </c>
      <c r="C53" s="33">
        <f ca="1">IFERROR(__xludf.DUMMYFUNCTION("""COMPUTED_VALUE"""),1)</f>
        <v>1</v>
      </c>
      <c r="D53" s="33" t="str">
        <f ca="1">IFERROR(__xludf.DUMMYFUNCTION("""COMPUTED_VALUE"""),"NO")</f>
        <v>NO</v>
      </c>
      <c r="E53" s="33" t="str">
        <f ca="1">IFERROR(__xludf.DUMMYFUNCTION("""COMPUTED_VALUE"""),"Madrid- La Oca")</f>
        <v>Madrid- La Oca</v>
      </c>
      <c r="F53" s="57">
        <f ca="1">IFERROR(__xludf.DUMMYFUNCTION("""COMPUTED_VALUE"""),45665)</f>
        <v>45665</v>
      </c>
      <c r="G53" s="57">
        <f ca="1">IFERROR(__xludf.DUMMYFUNCTION("""COMPUTED_VALUE"""),45637)</f>
        <v>45637</v>
      </c>
      <c r="H53" s="33" t="str">
        <f ca="1">IFERROR(__xludf.DUMMYFUNCTION("""COMPUTED_VALUE"""),"La Oca")</f>
        <v>La Oca</v>
      </c>
      <c r="I53" s="33" t="str">
        <f ca="1">IFERROR(__xludf.DUMMYFUNCTION("""COMPUTED_VALUE"""),"C20241216104748")</f>
        <v>C20241216104748</v>
      </c>
      <c r="J53" s="33" t="str">
        <f ca="1">IFERROR(__xludf.DUMMYFUNCTION("""COMPUTED_VALUE"""),"HORTENSIA TRUJILLO LUMBRERAS")</f>
        <v>HORTENSIA TRUJILLO LUMBRERAS</v>
      </c>
      <c r="K53" s="33">
        <f ca="1">IFERROR(__xludf.DUMMYFUNCTION("""COMPUTED_VALUE"""),2)</f>
        <v>2</v>
      </c>
      <c r="L53" s="203">
        <f ca="1">IFERROR(__xludf.DUMMYFUNCTION("""COMPUTED_VALUE"""),4000)</f>
        <v>4000</v>
      </c>
      <c r="M53" s="33" t="str">
        <f ca="1">IFERROR(__xludf.DUMMYFUNCTION("""COMPUTED_VALUE"""),"03 ORL")</f>
        <v>03 ORL</v>
      </c>
      <c r="N53" s="33" t="str">
        <f ca="1">IFERROR(__xludf.DUMMYFUNCTION("""COMPUTED_VALUE"""),"06 ORL")</f>
        <v>06 ORL</v>
      </c>
      <c r="O53" s="33" t="str">
        <f ca="1">IFERROR(__xludf.DUMMYFUNCTION("""COMPUTED_VALUE"""),"Dr, Andreas Schilling Borghesi")</f>
        <v>Dr, Andreas Schilling Borghesi</v>
      </c>
      <c r="P53" s="33" t="str">
        <f ca="1">IFERROR(__xludf.DUMMYFUNCTION("""COMPUTED_VALUE"""),"Maika Blázquez (Madrid)")</f>
        <v>Maika Blázquez (Madrid)</v>
      </c>
    </row>
    <row r="54" spans="2:16">
      <c r="B54" s="33">
        <f ca="1">IFERROR(__xludf.DUMMYFUNCTION("""COMPUTED_VALUE"""),2025)</f>
        <v>2025</v>
      </c>
      <c r="C54" s="33">
        <f ca="1">IFERROR(__xludf.DUMMYFUNCTION("""COMPUTED_VALUE"""),1)</f>
        <v>1</v>
      </c>
      <c r="D54" s="33" t="str">
        <f ca="1">IFERROR(__xludf.DUMMYFUNCTION("""COMPUTED_VALUE"""),"NO")</f>
        <v>NO</v>
      </c>
      <c r="E54" s="33" t="str">
        <f ca="1">IFERROR(__xludf.DUMMYFUNCTION("""COMPUTED_VALUE"""),"Madrid- La Oca")</f>
        <v>Madrid- La Oca</v>
      </c>
      <c r="F54" s="57">
        <f ca="1">IFERROR(__xludf.DUMMYFUNCTION("""COMPUTED_VALUE"""),45670)</f>
        <v>45670</v>
      </c>
      <c r="G54" s="57">
        <f ca="1">IFERROR(__xludf.DUMMYFUNCTION("""COMPUTED_VALUE"""),45628)</f>
        <v>45628</v>
      </c>
      <c r="H54" s="33" t="str">
        <f ca="1">IFERROR(__xludf.DUMMYFUNCTION("""COMPUTED_VALUE"""),"La Oca")</f>
        <v>La Oca</v>
      </c>
      <c r="I54" s="33" t="str">
        <f ca="1">IFERROR(__xludf.DUMMYFUNCTION("""COMPUTED_VALUE"""),"C20241212173616605")</f>
        <v>C20241212173616605</v>
      </c>
      <c r="J54" s="33" t="str">
        <f ca="1">IFERROR(__xludf.DUMMYFUNCTION("""COMPUTED_VALUE"""),"LEONCIO GARCIA SANTOS")</f>
        <v>LEONCIO GARCIA SANTOS</v>
      </c>
      <c r="K54" s="33">
        <f ca="1">IFERROR(__xludf.DUMMYFUNCTION("""COMPUTED_VALUE"""),2)</f>
        <v>2</v>
      </c>
      <c r="L54" s="203">
        <f ca="1">IFERROR(__xludf.DUMMYFUNCTION("""COMPUTED_VALUE"""),2888.18)</f>
        <v>2888.18</v>
      </c>
      <c r="M54" s="33" t="str">
        <f ca="1">IFERROR(__xludf.DUMMYFUNCTION("""COMPUTED_VALUE"""),"04 TIENDA")</f>
        <v>04 TIENDA</v>
      </c>
      <c r="N54" s="33" t="str">
        <f ca="1">IFERROR(__xludf.DUMMYFUNCTION("""COMPUTED_VALUE"""),"07 BOCA/BOCA")</f>
        <v>07 BOCA/BOCA</v>
      </c>
      <c r="O54" s="33" t="str">
        <f ca="1">IFERROR(__xludf.DUMMYFUNCTION("""COMPUTED_VALUE"""),"Dra, Bárbara Castillo Ávila")</f>
        <v>Dra, Bárbara Castillo Ávila</v>
      </c>
      <c r="P54" s="33" t="str">
        <f ca="1">IFERROR(__xludf.DUMMYFUNCTION("""COMPUTED_VALUE"""),"Maika Blázquez (Madrid)")</f>
        <v>Maika Blázquez (Madrid)</v>
      </c>
    </row>
    <row r="55" spans="2:16">
      <c r="B55" s="33">
        <f ca="1">IFERROR(__xludf.DUMMYFUNCTION("""COMPUTED_VALUE"""),2025)</f>
        <v>2025</v>
      </c>
      <c r="C55" s="33">
        <f ca="1">IFERROR(__xludf.DUMMYFUNCTION("""COMPUTED_VALUE"""),1)</f>
        <v>1</v>
      </c>
      <c r="D55" s="33" t="str">
        <f ca="1">IFERROR(__xludf.DUMMYFUNCTION("""COMPUTED_VALUE"""),"NO")</f>
        <v>NO</v>
      </c>
      <c r="E55" s="33" t="str">
        <f ca="1">IFERROR(__xludf.DUMMYFUNCTION("""COMPUTED_VALUE"""),"Madrid- La Oca")</f>
        <v>Madrid- La Oca</v>
      </c>
      <c r="F55" s="57">
        <f ca="1">IFERROR(__xludf.DUMMYFUNCTION("""COMPUTED_VALUE"""),45672)</f>
        <v>45672</v>
      </c>
      <c r="G55" s="57">
        <f ca="1">IFERROR(__xludf.DUMMYFUNCTION("""COMPUTED_VALUE"""),45639)</f>
        <v>45639</v>
      </c>
      <c r="H55" s="33" t="str">
        <f ca="1">IFERROR(__xludf.DUMMYFUNCTION("""COMPUTED_VALUE"""),"La Oca")</f>
        <v>La Oca</v>
      </c>
      <c r="I55" s="33" t="str">
        <f ca="1">IFERROR(__xludf.DUMMYFUNCTION("""COMPUTED_VALUE"""),"C2024122011142323")</f>
        <v>C2024122011142323</v>
      </c>
      <c r="J55" s="33" t="str">
        <f ca="1">IFERROR(__xludf.DUMMYFUNCTION("""COMPUTED_VALUE"""),"MANUEL RUIZ SOTO")</f>
        <v>MANUEL RUIZ SOTO</v>
      </c>
      <c r="K55" s="33">
        <f ca="1">IFERROR(__xludf.DUMMYFUNCTION("""COMPUTED_VALUE"""),2)</f>
        <v>2</v>
      </c>
      <c r="L55" s="203">
        <f ca="1">IFERROR(__xludf.DUMMYFUNCTION("""COMPUTED_VALUE"""),3454.55)</f>
        <v>3454.55</v>
      </c>
      <c r="M55" s="33" t="str">
        <f ca="1">IFERROR(__xludf.DUMMYFUNCTION("""COMPUTED_VALUE"""),"03 ORL")</f>
        <v>03 ORL</v>
      </c>
      <c r="N55" s="33" t="str">
        <f ca="1">IFERROR(__xludf.DUMMYFUNCTION("""COMPUTED_VALUE"""),"06 ORL")</f>
        <v>06 ORL</v>
      </c>
      <c r="O55" s="33" t="str">
        <f ca="1">IFERROR(__xludf.DUMMYFUNCTION("""COMPUTED_VALUE"""),"Dr, José Joaquín Gutiérrez Barquín")</f>
        <v>Dr, José Joaquín Gutiérrez Barquín</v>
      </c>
      <c r="P55" s="33" t="str">
        <f ca="1">IFERROR(__xludf.DUMMYFUNCTION("""COMPUTED_VALUE"""),"Maika Blázquez (Madrid)")</f>
        <v>Maika Blázquez (Madrid)</v>
      </c>
    </row>
    <row r="56" spans="2:16">
      <c r="B56" s="33">
        <f ca="1">IFERROR(__xludf.DUMMYFUNCTION("""COMPUTED_VALUE"""),2025)</f>
        <v>2025</v>
      </c>
      <c r="C56" s="33">
        <f ca="1">IFERROR(__xludf.DUMMYFUNCTION("""COMPUTED_VALUE"""),1)</f>
        <v>1</v>
      </c>
      <c r="D56" s="33" t="str">
        <f ca="1">IFERROR(__xludf.DUMMYFUNCTION("""COMPUTED_VALUE"""),"NO")</f>
        <v>NO</v>
      </c>
      <c r="E56" s="33" t="str">
        <f ca="1">IFERROR(__xludf.DUMMYFUNCTION("""COMPUTED_VALUE"""),"Madrid- La Oca")</f>
        <v>Madrid- La Oca</v>
      </c>
      <c r="F56" s="57">
        <f ca="1">IFERROR(__xludf.DUMMYFUNCTION("""COMPUTED_VALUE"""),45671)</f>
        <v>45671</v>
      </c>
      <c r="G56" s="57">
        <f ca="1">IFERROR(__xludf.DUMMYFUNCTION("""COMPUTED_VALUE"""),45611)</f>
        <v>45611</v>
      </c>
      <c r="H56" s="33" t="str">
        <f ca="1">IFERROR(__xludf.DUMMYFUNCTION("""COMPUTED_VALUE"""),"La Oca")</f>
        <v>La Oca</v>
      </c>
      <c r="I56" s="33" t="str">
        <f ca="1">IFERROR(__xludf.DUMMYFUNCTION("""COMPUTED_VALUE"""),"C2024121017551960")</f>
        <v>C2024121017551960</v>
      </c>
      <c r="J56" s="33" t="str">
        <f ca="1">IFERROR(__xludf.DUMMYFUNCTION("""COMPUTED_VALUE"""),"MARIA DEL CARMEN ORTEGA SUAREZ")</f>
        <v>MARIA DEL CARMEN ORTEGA SUAREZ</v>
      </c>
      <c r="K56" s="33">
        <f ca="1">IFERROR(__xludf.DUMMYFUNCTION("""COMPUTED_VALUE"""),1)</f>
        <v>1</v>
      </c>
      <c r="L56" s="203">
        <f ca="1">IFERROR(__xludf.DUMMYFUNCTION("""COMPUTED_VALUE"""),2226.36)</f>
        <v>2226.36</v>
      </c>
      <c r="M56" s="33" t="str">
        <f ca="1">IFERROR(__xludf.DUMMYFUNCTION("""COMPUTED_VALUE"""),"03 ORL")</f>
        <v>03 ORL</v>
      </c>
      <c r="N56" s="33" t="str">
        <f ca="1">IFERROR(__xludf.DUMMYFUNCTION("""COMPUTED_VALUE"""),"06 ORL")</f>
        <v>06 ORL</v>
      </c>
      <c r="O56" s="33" t="str">
        <f ca="1">IFERROR(__xludf.DUMMYFUNCTION("""COMPUTED_VALUE"""),"Dr, Joaquín Alacio Casero")</f>
        <v>Dr, Joaquín Alacio Casero</v>
      </c>
      <c r="P56" s="33" t="str">
        <f ca="1">IFERROR(__xludf.DUMMYFUNCTION("""COMPUTED_VALUE"""),"Maika Blázquez (Madrid)")</f>
        <v>Maika Blázquez (Madrid)</v>
      </c>
    </row>
    <row r="57" spans="2:16">
      <c r="B57" s="33">
        <f ca="1">IFERROR(__xludf.DUMMYFUNCTION("""COMPUTED_VALUE"""),2025)</f>
        <v>2025</v>
      </c>
      <c r="C57" s="33">
        <f ca="1">IFERROR(__xludf.DUMMYFUNCTION("""COMPUTED_VALUE"""),1)</f>
        <v>1</v>
      </c>
      <c r="D57" s="33" t="str">
        <f ca="1">IFERROR(__xludf.DUMMYFUNCTION("""COMPUTED_VALUE"""),"NO")</f>
        <v>NO</v>
      </c>
      <c r="E57" s="33" t="str">
        <f ca="1">IFERROR(__xludf.DUMMYFUNCTION("""COMPUTED_VALUE"""),"Madrid- La Oca")</f>
        <v>Madrid- La Oca</v>
      </c>
      <c r="F57" s="57">
        <f ca="1">IFERROR(__xludf.DUMMYFUNCTION("""COMPUTED_VALUE"""),45677)</f>
        <v>45677</v>
      </c>
      <c r="G57" s="57">
        <f ca="1">IFERROR(__xludf.DUMMYFUNCTION("""COMPUTED_VALUE"""),45573)</f>
        <v>45573</v>
      </c>
      <c r="H57" s="33" t="str">
        <f ca="1">IFERROR(__xludf.DUMMYFUNCTION("""COMPUTED_VALUE"""),"La Oca")</f>
        <v>La Oca</v>
      </c>
      <c r="I57" s="33" t="str">
        <f ca="1">IFERROR(__xludf.DUMMYFUNCTION("""COMPUTED_VALUE"""),"C20251816254155")</f>
        <v>C20251816254155</v>
      </c>
      <c r="J57" s="33" t="str">
        <f ca="1">IFERROR(__xludf.DUMMYFUNCTION("""COMPUTED_VALUE"""),"MIGUEL ANGEL CRESPO DENCHE")</f>
        <v>MIGUEL ANGEL CRESPO DENCHE</v>
      </c>
      <c r="K57" s="33">
        <f ca="1">IFERROR(__xludf.DUMMYFUNCTION("""COMPUTED_VALUE"""),2)</f>
        <v>2</v>
      </c>
      <c r="L57" s="203">
        <f ca="1">IFERROR(__xludf.DUMMYFUNCTION("""COMPUTED_VALUE"""),2884.62)</f>
        <v>2884.62</v>
      </c>
      <c r="M57" s="33" t="str">
        <f ca="1">IFERROR(__xludf.DUMMYFUNCTION("""COMPUTED_VALUE"""),"03 ORL")</f>
        <v>03 ORL</v>
      </c>
      <c r="N57" s="33" t="str">
        <f ca="1">IFERROR(__xludf.DUMMYFUNCTION("""COMPUTED_VALUE"""),"06 ORL")</f>
        <v>06 ORL</v>
      </c>
      <c r="O57" s="33" t="str">
        <f ca="1">IFERROR(__xludf.DUMMYFUNCTION("""COMPUTED_VALUE"""),"Dr, Adolfo Carlos Hinojar Gutierrez")</f>
        <v>Dr, Adolfo Carlos Hinojar Gutierrez</v>
      </c>
      <c r="P57" s="33" t="str">
        <f ca="1">IFERROR(__xludf.DUMMYFUNCTION("""COMPUTED_VALUE"""),"Lisandro Russian (Madrid, Cáceres, Toledo, Talavera Y Logroño)")</f>
        <v>Lisandro Russian (Madrid, Cáceres, Toledo, Talavera Y Logroño)</v>
      </c>
    </row>
    <row r="58" spans="2:16">
      <c r="B58" s="33">
        <f ca="1">IFERROR(__xludf.DUMMYFUNCTION("""COMPUTED_VALUE"""),2025)</f>
        <v>2025</v>
      </c>
      <c r="C58" s="33">
        <f ca="1">IFERROR(__xludf.DUMMYFUNCTION("""COMPUTED_VALUE"""),1)</f>
        <v>1</v>
      </c>
      <c r="D58" s="33" t="str">
        <f ca="1">IFERROR(__xludf.DUMMYFUNCTION("""COMPUTED_VALUE"""),"NO")</f>
        <v>NO</v>
      </c>
      <c r="E58" s="33" t="str">
        <f ca="1">IFERROR(__xludf.DUMMYFUNCTION("""COMPUTED_VALUE"""),"Madrid- La Oca")</f>
        <v>Madrid- La Oca</v>
      </c>
      <c r="F58" s="57">
        <f ca="1">IFERROR(__xludf.DUMMYFUNCTION("""COMPUTED_VALUE"""),45681)</f>
        <v>45681</v>
      </c>
      <c r="G58" s="57">
        <f ca="1">IFERROR(__xludf.DUMMYFUNCTION("""COMPUTED_VALUE"""),45625)</f>
        <v>45625</v>
      </c>
      <c r="H58" s="33" t="str">
        <f ca="1">IFERROR(__xludf.DUMMYFUNCTION("""COMPUTED_VALUE"""),"La Oca")</f>
        <v>La Oca</v>
      </c>
      <c r="I58" s="33" t="str">
        <f ca="1">IFERROR(__xludf.DUMMYFUNCTION("""COMPUTED_VALUE"""),"C20241211122841761")</f>
        <v>C20241211122841761</v>
      </c>
      <c r="J58" s="33" t="str">
        <f ca="1">IFERROR(__xludf.DUMMYFUNCTION("""COMPUTED_VALUE"""),"ROBERTO RODRIGUEZ MARTIN")</f>
        <v>ROBERTO RODRIGUEZ MARTIN</v>
      </c>
      <c r="K58" s="33">
        <f ca="1">IFERROR(__xludf.DUMMYFUNCTION("""COMPUTED_VALUE"""),2)</f>
        <v>2</v>
      </c>
      <c r="L58" s="203">
        <f ca="1">IFERROR(__xludf.DUMMYFUNCTION("""COMPUTED_VALUE"""),4000)</f>
        <v>4000</v>
      </c>
      <c r="M58" s="33" t="str">
        <f ca="1">IFERROR(__xludf.DUMMYFUNCTION("""COMPUTED_VALUE"""),"03 ORL")</f>
        <v>03 ORL</v>
      </c>
      <c r="N58" s="33" t="str">
        <f ca="1">IFERROR(__xludf.DUMMYFUNCTION("""COMPUTED_VALUE"""),"06 ORL")</f>
        <v>06 ORL</v>
      </c>
      <c r="O58" s="33" t="str">
        <f ca="1">IFERROR(__xludf.DUMMYFUNCTION("""COMPUTED_VALUE"""),"Dra, Alicia Suárez Calvo")</f>
        <v>Dra, Alicia Suárez Calvo</v>
      </c>
      <c r="P58" s="33" t="str">
        <f ca="1">IFERROR(__xludf.DUMMYFUNCTION("""COMPUTED_VALUE"""),"Lisandro Russian (Madrid, Cáceres, Toledo, Talavera Y Logroño)")</f>
        <v>Lisandro Russian (Madrid, Cáceres, Toledo, Talavera Y Logroño)</v>
      </c>
    </row>
    <row r="59" spans="2:16">
      <c r="B59" s="33">
        <f ca="1">IFERROR(__xludf.DUMMYFUNCTION("""COMPUTED_VALUE"""),2025)</f>
        <v>2025</v>
      </c>
      <c r="C59" s="33">
        <f ca="1">IFERROR(__xludf.DUMMYFUNCTION("""COMPUTED_VALUE"""),1)</f>
        <v>1</v>
      </c>
      <c r="D59" s="33" t="str">
        <f ca="1">IFERROR(__xludf.DUMMYFUNCTION("""COMPUTED_VALUE"""),"NO")</f>
        <v>NO</v>
      </c>
      <c r="E59" s="33" t="str">
        <f ca="1">IFERROR(__xludf.DUMMYFUNCTION("""COMPUTED_VALUE"""),"Madrid- La Oca")</f>
        <v>Madrid- La Oca</v>
      </c>
      <c r="F59" s="57">
        <f ca="1">IFERROR(__xludf.DUMMYFUNCTION("""COMPUTED_VALUE"""),45678)</f>
        <v>45678</v>
      </c>
      <c r="G59" s="57">
        <f ca="1">IFERROR(__xludf.DUMMYFUNCTION("""COMPUTED_VALUE"""),45610)</f>
        <v>45610</v>
      </c>
      <c r="H59" s="33" t="str">
        <f ca="1">IFERROR(__xludf.DUMMYFUNCTION("""COMPUTED_VALUE"""),"La Oca")</f>
        <v>La Oca</v>
      </c>
      <c r="I59" s="33" t="str">
        <f ca="1">IFERROR(__xludf.DUMMYFUNCTION("""COMPUTED_VALUE"""),"C2025110105021185")</f>
        <v>C2025110105021185</v>
      </c>
      <c r="J59" s="33" t="str">
        <f ca="1">IFERROR(__xludf.DUMMYFUNCTION("""COMPUTED_VALUE"""),"SOFIA BLANCO MENDEZ")</f>
        <v>SOFIA BLANCO MENDEZ</v>
      </c>
      <c r="K59" s="33">
        <f ca="1">IFERROR(__xludf.DUMMYFUNCTION("""COMPUTED_VALUE"""),2)</f>
        <v>2</v>
      </c>
      <c r="L59" s="203">
        <f ca="1">IFERROR(__xludf.DUMMYFUNCTION("""COMPUTED_VALUE"""),4000)</f>
        <v>4000</v>
      </c>
      <c r="M59" s="33" t="str">
        <f ca="1">IFERROR(__xludf.DUMMYFUNCTION("""COMPUTED_VALUE"""),"03 ORL")</f>
        <v>03 ORL</v>
      </c>
      <c r="N59" s="33" t="str">
        <f ca="1">IFERROR(__xludf.DUMMYFUNCTION("""COMPUTED_VALUE"""),"06 ORL")</f>
        <v>06 ORL</v>
      </c>
      <c r="O59" s="33" t="str">
        <f ca="1">IFERROR(__xludf.DUMMYFUNCTION("""COMPUTED_VALUE"""),"Dr, Joaquín Alacio Casero")</f>
        <v>Dr, Joaquín Alacio Casero</v>
      </c>
      <c r="P59" s="33" t="str">
        <f ca="1">IFERROR(__xludf.DUMMYFUNCTION("""COMPUTED_VALUE"""),"Maika Blázquez (Madrid)")</f>
        <v>Maika Blázquez (Madrid)</v>
      </c>
    </row>
    <row r="60" spans="2:16">
      <c r="B60" s="33">
        <f ca="1">IFERROR(__xludf.DUMMYFUNCTION("""COMPUTED_VALUE"""),2025)</f>
        <v>2025</v>
      </c>
      <c r="C60" s="33">
        <f ca="1">IFERROR(__xludf.DUMMYFUNCTION("""COMPUTED_VALUE"""),1)</f>
        <v>1</v>
      </c>
      <c r="D60" s="33" t="str">
        <f ca="1">IFERROR(__xludf.DUMMYFUNCTION("""COMPUTED_VALUE"""),"NO")</f>
        <v>NO</v>
      </c>
      <c r="E60" s="33" t="str">
        <f ca="1">IFERROR(__xludf.DUMMYFUNCTION("""COMPUTED_VALUE"""),"Madrid- Monforte de Lemos")</f>
        <v>Madrid- Monforte de Lemos</v>
      </c>
      <c r="F60" s="57">
        <f ca="1">IFERROR(__xludf.DUMMYFUNCTION("""COMPUTED_VALUE"""),45672)</f>
        <v>45672</v>
      </c>
      <c r="G60" s="57">
        <f ca="1">IFERROR(__xludf.DUMMYFUNCTION("""COMPUTED_VALUE"""),45579)</f>
        <v>45579</v>
      </c>
      <c r="H60" s="33" t="str">
        <f ca="1">IFERROR(__xludf.DUMMYFUNCTION("""COMPUTED_VALUE"""),"La Vaguada")</f>
        <v>La Vaguada</v>
      </c>
      <c r="I60" s="33" t="str">
        <f ca="1">IFERROR(__xludf.DUMMYFUNCTION("""COMPUTED_VALUE"""),"C20241023151912680")</f>
        <v>C20241023151912680</v>
      </c>
      <c r="J60" s="33" t="str">
        <f ca="1">IFERROR(__xludf.DUMMYFUNCTION("""COMPUTED_VALUE"""),"ENRIQUE ALMEIDA PUJADAS")</f>
        <v>ENRIQUE ALMEIDA PUJADAS</v>
      </c>
      <c r="K60" s="33">
        <f ca="1">IFERROR(__xludf.DUMMYFUNCTION("""COMPUTED_VALUE"""),2)</f>
        <v>2</v>
      </c>
      <c r="L60" s="203">
        <f ca="1">IFERROR(__xludf.DUMMYFUNCTION("""COMPUTED_VALUE"""),4136.36)</f>
        <v>4136.3599999999997</v>
      </c>
      <c r="M60" s="33" t="str">
        <f ca="1">IFERROR(__xludf.DUMMYFUNCTION("""COMPUTED_VALUE"""),"03 ORL")</f>
        <v>03 ORL</v>
      </c>
      <c r="N60" s="33" t="str">
        <f ca="1">IFERROR(__xludf.DUMMYFUNCTION("""COMPUTED_VALUE"""),"06 ORL")</f>
        <v>06 ORL</v>
      </c>
      <c r="O60" s="33" t="str">
        <f ca="1">IFERROR(__xludf.DUMMYFUNCTION("""COMPUTED_VALUE"""),"Dra, Alicia Suárez Calvo")</f>
        <v>Dra, Alicia Suárez Calvo</v>
      </c>
      <c r="P60" s="33" t="str">
        <f ca="1">IFERROR(__xludf.DUMMYFUNCTION("""COMPUTED_VALUE"""),"Lisandro Russian (Madrid, Cáceres, Toledo, Talavera Y Logroño)")</f>
        <v>Lisandro Russian (Madrid, Cáceres, Toledo, Talavera Y Logroño)</v>
      </c>
    </row>
    <row r="61" spans="2:16">
      <c r="B61" s="33">
        <f ca="1">IFERROR(__xludf.DUMMYFUNCTION("""COMPUTED_VALUE"""),2025)</f>
        <v>2025</v>
      </c>
      <c r="C61" s="33">
        <f ca="1">IFERROR(__xludf.DUMMYFUNCTION("""COMPUTED_VALUE"""),1)</f>
        <v>1</v>
      </c>
      <c r="D61" s="33" t="str">
        <f ca="1">IFERROR(__xludf.DUMMYFUNCTION("""COMPUTED_VALUE"""),"NO")</f>
        <v>NO</v>
      </c>
      <c r="E61" s="33" t="str">
        <f ca="1">IFERROR(__xludf.DUMMYFUNCTION("""COMPUTED_VALUE"""),"Madrid- Monforte de Lemos")</f>
        <v>Madrid- Monforte de Lemos</v>
      </c>
      <c r="F61" s="57">
        <f ca="1">IFERROR(__xludf.DUMMYFUNCTION("""COMPUTED_VALUE"""),45671)</f>
        <v>45671</v>
      </c>
      <c r="G61" s="57">
        <f ca="1">IFERROR(__xludf.DUMMYFUNCTION("""COMPUTED_VALUE"""),45638)</f>
        <v>45638</v>
      </c>
      <c r="H61" s="33" t="str">
        <f ca="1">IFERROR(__xludf.DUMMYFUNCTION("""COMPUTED_VALUE"""),"La Vaguada")</f>
        <v>La Vaguada</v>
      </c>
      <c r="I61" s="33" t="str">
        <f ca="1">IFERROR(__xludf.DUMMYFUNCTION("""COMPUTED_VALUE"""),"C20241218143319166")</f>
        <v>C20241218143319166</v>
      </c>
      <c r="J61" s="33" t="str">
        <f ca="1">IFERROR(__xludf.DUMMYFUNCTION("""COMPUTED_VALUE"""),"MARIA TERESA ORDOÑEZ DE CELIS")</f>
        <v>MARIA TERESA ORDOÑEZ DE CELIS</v>
      </c>
      <c r="K61" s="33">
        <f ca="1">IFERROR(__xludf.DUMMYFUNCTION("""COMPUTED_VALUE"""),2)</f>
        <v>2</v>
      </c>
      <c r="L61" s="203">
        <f ca="1">IFERROR(__xludf.DUMMYFUNCTION("""COMPUTED_VALUE"""),3846.36)</f>
        <v>3846.36</v>
      </c>
      <c r="M61" s="33" t="str">
        <f ca="1">IFERROR(__xludf.DUMMYFUNCTION("""COMPUTED_VALUE"""),"03 ORL")</f>
        <v>03 ORL</v>
      </c>
      <c r="N61" s="33" t="str">
        <f ca="1">IFERROR(__xludf.DUMMYFUNCTION("""COMPUTED_VALUE"""),"06 ORL")</f>
        <v>06 ORL</v>
      </c>
      <c r="O61" s="33" t="str">
        <f ca="1">IFERROR(__xludf.DUMMYFUNCTION("""COMPUTED_VALUE"""),"Dr, Alejandro Harguindey Antoli-Candela")</f>
        <v>Dr, Alejandro Harguindey Antoli-Candela</v>
      </c>
      <c r="P61" s="33" t="str">
        <f ca="1">IFERROR(__xludf.DUMMYFUNCTION("""COMPUTED_VALUE"""),"Maika Blázquez (Madrid)")</f>
        <v>Maika Blázquez (Madrid)</v>
      </c>
    </row>
    <row r="62" spans="2:16">
      <c r="B62" s="33">
        <f ca="1">IFERROR(__xludf.DUMMYFUNCTION("""COMPUTED_VALUE"""),2025)</f>
        <v>2025</v>
      </c>
      <c r="C62" s="33">
        <f ca="1">IFERROR(__xludf.DUMMYFUNCTION("""COMPUTED_VALUE"""),1)</f>
        <v>1</v>
      </c>
      <c r="D62" s="33" t="str">
        <f ca="1">IFERROR(__xludf.DUMMYFUNCTION("""COMPUTED_VALUE"""),"NO")</f>
        <v>NO</v>
      </c>
      <c r="E62" s="33" t="str">
        <f ca="1">IFERROR(__xludf.DUMMYFUNCTION("""COMPUTED_VALUE"""),"Madrid- Moratalaz")</f>
        <v>Madrid- Moratalaz</v>
      </c>
      <c r="F62" s="57">
        <f ca="1">IFERROR(__xludf.DUMMYFUNCTION("""COMPUTED_VALUE"""),45681)</f>
        <v>45681</v>
      </c>
      <c r="G62" s="57">
        <f ca="1">IFERROR(__xludf.DUMMYFUNCTION("""COMPUTED_VALUE"""),45637)</f>
        <v>45637</v>
      </c>
      <c r="H62" s="33" t="str">
        <f ca="1">IFERROR(__xludf.DUMMYFUNCTION("""COMPUTED_VALUE"""),"Moratalaz")</f>
        <v>Moratalaz</v>
      </c>
      <c r="I62" s="33" t="str">
        <f ca="1">IFERROR(__xludf.DUMMYFUNCTION("""COMPUTED_VALUE"""),"C2024121716742393")</f>
        <v>C2024121716742393</v>
      </c>
      <c r="J62" s="33" t="str">
        <f ca="1">IFERROR(__xludf.DUMMYFUNCTION("""COMPUTED_VALUE"""),"ADELA MARTIN MATA")</f>
        <v>ADELA MARTIN MATA</v>
      </c>
      <c r="K62" s="33">
        <f ca="1">IFERROR(__xludf.DUMMYFUNCTION("""COMPUTED_VALUE"""),2)</f>
        <v>2</v>
      </c>
      <c r="L62" s="203">
        <f ca="1">IFERROR(__xludf.DUMMYFUNCTION("""COMPUTED_VALUE"""),3710)</f>
        <v>3710</v>
      </c>
      <c r="M62" s="33" t="str">
        <f ca="1">IFERROR(__xludf.DUMMYFUNCTION("""COMPUTED_VALUE"""),"03 ORL")</f>
        <v>03 ORL</v>
      </c>
      <c r="N62" s="33" t="str">
        <f ca="1">IFERROR(__xludf.DUMMYFUNCTION("""COMPUTED_VALUE"""),"06 ORL")</f>
        <v>06 ORL</v>
      </c>
      <c r="O62" s="33" t="str">
        <f ca="1">IFERROR(__xludf.DUMMYFUNCTION("""COMPUTED_VALUE"""),"Dra, Sara Reda Del Barrio")</f>
        <v>Dra, Sara Reda Del Barrio</v>
      </c>
      <c r="P62" s="33" t="str">
        <f ca="1">IFERROR(__xludf.DUMMYFUNCTION("""COMPUTED_VALUE"""),"Maika Blázquez (Madrid)")</f>
        <v>Maika Blázquez (Madrid)</v>
      </c>
    </row>
    <row r="63" spans="2:16">
      <c r="B63" s="33">
        <f ca="1">IFERROR(__xludf.DUMMYFUNCTION("""COMPUTED_VALUE"""),2025)</f>
        <v>2025</v>
      </c>
      <c r="C63" s="33">
        <f ca="1">IFERROR(__xludf.DUMMYFUNCTION("""COMPUTED_VALUE"""),1)</f>
        <v>1</v>
      </c>
      <c r="D63" s="33" t="str">
        <f ca="1">IFERROR(__xludf.DUMMYFUNCTION("""COMPUTED_VALUE"""),"NO")</f>
        <v>NO</v>
      </c>
      <c r="E63" s="33" t="str">
        <f ca="1">IFERROR(__xludf.DUMMYFUNCTION("""COMPUTED_VALUE"""),"Madrid- Moratalaz")</f>
        <v>Madrid- Moratalaz</v>
      </c>
      <c r="F63" s="57">
        <f ca="1">IFERROR(__xludf.DUMMYFUNCTION("""COMPUTED_VALUE"""),45674)</f>
        <v>45674</v>
      </c>
      <c r="G63" s="57">
        <f ca="1">IFERROR(__xludf.DUMMYFUNCTION("""COMPUTED_VALUE"""),45623)</f>
        <v>45623</v>
      </c>
      <c r="H63" s="33" t="str">
        <f ca="1">IFERROR(__xludf.DUMMYFUNCTION("""COMPUTED_VALUE"""),"Moratalaz")</f>
        <v>Moratalaz</v>
      </c>
      <c r="I63" s="33" t="str">
        <f ca="1">IFERROR(__xludf.DUMMYFUNCTION("""COMPUTED_VALUE"""),"C202412212373942")</f>
        <v>C202412212373942</v>
      </c>
      <c r="J63" s="33" t="str">
        <f ca="1">IFERROR(__xludf.DUMMYFUNCTION("""COMPUTED_VALUE"""),"JOSE ANGEL CALVO RAMOS")</f>
        <v>JOSE ANGEL CALVO RAMOS</v>
      </c>
      <c r="K63" s="33">
        <f ca="1">IFERROR(__xludf.DUMMYFUNCTION("""COMPUTED_VALUE"""),2)</f>
        <v>2</v>
      </c>
      <c r="L63" s="203">
        <f ca="1">IFERROR(__xludf.DUMMYFUNCTION("""COMPUTED_VALUE"""),4000)</f>
        <v>4000</v>
      </c>
      <c r="M63" s="33" t="str">
        <f ca="1">IFERROR(__xludf.DUMMYFUNCTION("""COMPUTED_VALUE"""),"03 ORL")</f>
        <v>03 ORL</v>
      </c>
      <c r="N63" s="33" t="str">
        <f ca="1">IFERROR(__xludf.DUMMYFUNCTION("""COMPUTED_VALUE"""),"06 ORL")</f>
        <v>06 ORL</v>
      </c>
      <c r="O63" s="33" t="str">
        <f ca="1">IFERROR(__xludf.DUMMYFUNCTION("""COMPUTED_VALUE"""),"Dr, Esteban Scola Pliego")</f>
        <v>Dr, Esteban Scola Pliego</v>
      </c>
      <c r="P63" s="33" t="str">
        <f ca="1">IFERROR(__xludf.DUMMYFUNCTION("""COMPUTED_VALUE"""),"Maika Blázquez (Madrid)")</f>
        <v>Maika Blázquez (Madrid)</v>
      </c>
    </row>
    <row r="64" spans="2:16">
      <c r="B64" s="33">
        <f ca="1">IFERROR(__xludf.DUMMYFUNCTION("""COMPUTED_VALUE"""),2025)</f>
        <v>2025</v>
      </c>
      <c r="C64" s="33">
        <f ca="1">IFERROR(__xludf.DUMMYFUNCTION("""COMPUTED_VALUE"""),1)</f>
        <v>1</v>
      </c>
      <c r="D64" s="33" t="str">
        <f ca="1">IFERROR(__xludf.DUMMYFUNCTION("""COMPUTED_VALUE"""),"NO")</f>
        <v>NO</v>
      </c>
      <c r="E64" s="33" t="str">
        <f ca="1">IFERROR(__xludf.DUMMYFUNCTION("""COMPUTED_VALUE"""),"Madrid- Moratalaz")</f>
        <v>Madrid- Moratalaz</v>
      </c>
      <c r="F64" s="57">
        <f ca="1">IFERROR(__xludf.DUMMYFUNCTION("""COMPUTED_VALUE"""),45684)</f>
        <v>45684</v>
      </c>
      <c r="G64" s="57">
        <f ca="1">IFERROR(__xludf.DUMMYFUNCTION("""COMPUTED_VALUE"""),45652)</f>
        <v>45652</v>
      </c>
      <c r="H64" s="33" t="str">
        <f ca="1">IFERROR(__xludf.DUMMYFUNCTION("""COMPUTED_VALUE"""),"Moratalaz")</f>
        <v>Moratalaz</v>
      </c>
      <c r="I64" s="33" t="str">
        <f ca="1">IFERROR(__xludf.DUMMYFUNCTION("""COMPUTED_VALUE"""),"C20251218548546")</f>
        <v>C20251218548546</v>
      </c>
      <c r="J64" s="33" t="str">
        <f ca="1">IFERROR(__xludf.DUMMYFUNCTION("""COMPUTED_VALUE"""),"JULIO ANTON CABEZAS")</f>
        <v>JULIO ANTON CABEZAS</v>
      </c>
      <c r="K64" s="33">
        <f ca="1">IFERROR(__xludf.DUMMYFUNCTION("""COMPUTED_VALUE"""),2)</f>
        <v>2</v>
      </c>
      <c r="L64" s="203">
        <f ca="1">IFERROR(__xludf.DUMMYFUNCTION("""COMPUTED_VALUE"""),2888.18)</f>
        <v>2888.18</v>
      </c>
      <c r="M64" s="33" t="str">
        <f ca="1">IFERROR(__xludf.DUMMYFUNCTION("""COMPUTED_VALUE"""),"03 ORL")</f>
        <v>03 ORL</v>
      </c>
      <c r="N64" s="33" t="str">
        <f ca="1">IFERROR(__xludf.DUMMYFUNCTION("""COMPUTED_VALUE"""),"06 ORL")</f>
        <v>06 ORL</v>
      </c>
      <c r="O64" s="33" t="str">
        <f ca="1">IFERROR(__xludf.DUMMYFUNCTION("""COMPUTED_VALUE"""),"Dr, Julio López Moya")</f>
        <v>Dr, Julio López Moya</v>
      </c>
      <c r="P64" s="33" t="str">
        <f ca="1">IFERROR(__xludf.DUMMYFUNCTION("""COMPUTED_VALUE"""),"Maika Blázquez (Madrid)")</f>
        <v>Maika Blázquez (Madrid)</v>
      </c>
    </row>
    <row r="65" spans="2:16">
      <c r="B65" s="33">
        <f ca="1">IFERROR(__xludf.DUMMYFUNCTION("""COMPUTED_VALUE"""),2025)</f>
        <v>2025</v>
      </c>
      <c r="C65" s="33">
        <f ca="1">IFERROR(__xludf.DUMMYFUNCTION("""COMPUTED_VALUE"""),1)</f>
        <v>1</v>
      </c>
      <c r="D65" s="33" t="str">
        <f ca="1">IFERROR(__xludf.DUMMYFUNCTION("""COMPUTED_VALUE"""),"NO")</f>
        <v>NO</v>
      </c>
      <c r="E65" s="33" t="str">
        <f ca="1">IFERROR(__xludf.DUMMYFUNCTION("""COMPUTED_VALUE"""),"Móstoles")</f>
        <v>Móstoles</v>
      </c>
      <c r="F65" s="57">
        <f ca="1">IFERROR(__xludf.DUMMYFUNCTION("""COMPUTED_VALUE"""),45666)</f>
        <v>45666</v>
      </c>
      <c r="G65" s="57">
        <f ca="1">IFERROR(__xludf.DUMMYFUNCTION("""COMPUTED_VALUE"""),45630)</f>
        <v>45630</v>
      </c>
      <c r="H65" s="33" t="str">
        <f ca="1">IFERROR(__xludf.DUMMYFUNCTION("""COMPUTED_VALUE"""),"Móstoles")</f>
        <v>Móstoles</v>
      </c>
      <c r="I65" s="33" t="str">
        <f ca="1">IFERROR(__xludf.DUMMYFUNCTION("""COMPUTED_VALUE"""),"C20241210122640262")</f>
        <v>C20241210122640262</v>
      </c>
      <c r="J65" s="33" t="str">
        <f ca="1">IFERROR(__xludf.DUMMYFUNCTION("""COMPUTED_VALUE"""),"ESPERANZA  GOMEZ LIÑARES")</f>
        <v>ESPERANZA  GOMEZ LIÑARES</v>
      </c>
      <c r="K65" s="33">
        <f ca="1">IFERROR(__xludf.DUMMYFUNCTION("""COMPUTED_VALUE"""),1)</f>
        <v>1</v>
      </c>
      <c r="L65" s="203">
        <f ca="1">IFERROR(__xludf.DUMMYFUNCTION("""COMPUTED_VALUE"""),2400)</f>
        <v>2400</v>
      </c>
      <c r="M65" s="33" t="str">
        <f ca="1">IFERROR(__xludf.DUMMYFUNCTION("""COMPUTED_VALUE"""),"03 ORL")</f>
        <v>03 ORL</v>
      </c>
      <c r="N65" s="33" t="str">
        <f ca="1">IFERROR(__xludf.DUMMYFUNCTION("""COMPUTED_VALUE"""),"06 ORL")</f>
        <v>06 ORL</v>
      </c>
      <c r="O65" s="33" t="str">
        <f ca="1">IFERROR(__xludf.DUMMYFUNCTION("""COMPUTED_VALUE"""),"Dra, Laura Del Toro Gil")</f>
        <v>Dra, Laura Del Toro Gil</v>
      </c>
      <c r="P65" s="33" t="str">
        <f ca="1">IFERROR(__xludf.DUMMYFUNCTION("""COMPUTED_VALUE"""),"Maika Blázquez (Madrid)")</f>
        <v>Maika Blázquez (Madrid)</v>
      </c>
    </row>
    <row r="66" spans="2:16">
      <c r="B66" s="33">
        <f ca="1">IFERROR(__xludf.DUMMYFUNCTION("""COMPUTED_VALUE"""),2025)</f>
        <v>2025</v>
      </c>
      <c r="C66" s="33">
        <f ca="1">IFERROR(__xludf.DUMMYFUNCTION("""COMPUTED_VALUE"""),1)</f>
        <v>1</v>
      </c>
      <c r="D66" s="33" t="str">
        <f ca="1">IFERROR(__xludf.DUMMYFUNCTION("""COMPUTED_VALUE"""),"NO")</f>
        <v>NO</v>
      </c>
      <c r="E66" s="33" t="str">
        <f ca="1">IFERROR(__xludf.DUMMYFUNCTION("""COMPUTED_VALUE"""),"Móstoles")</f>
        <v>Móstoles</v>
      </c>
      <c r="F66" s="57">
        <f ca="1">IFERROR(__xludf.DUMMYFUNCTION("""COMPUTED_VALUE"""),45679)</f>
        <v>45679</v>
      </c>
      <c r="G66" s="57">
        <f ca="1">IFERROR(__xludf.DUMMYFUNCTION("""COMPUTED_VALUE"""),45644)</f>
        <v>45644</v>
      </c>
      <c r="H66" s="33" t="str">
        <f ca="1">IFERROR(__xludf.DUMMYFUNCTION("""COMPUTED_VALUE"""),"Móstoles")</f>
        <v>Móstoles</v>
      </c>
      <c r="I66" s="33" t="str">
        <f ca="1">IFERROR(__xludf.DUMMYFUNCTION("""COMPUTED_VALUE"""),"C2024122792916323")</f>
        <v>C2024122792916323</v>
      </c>
      <c r="J66" s="33" t="str">
        <f ca="1">IFERROR(__xludf.DUMMYFUNCTION("""COMPUTED_VALUE"""),"FRANCISCO REYERO RODRIGUEZ")</f>
        <v>FRANCISCO REYERO RODRIGUEZ</v>
      </c>
      <c r="K66" s="33">
        <f ca="1">IFERROR(__xludf.DUMMYFUNCTION("""COMPUTED_VALUE"""),2)</f>
        <v>2</v>
      </c>
      <c r="L66" s="203">
        <f ca="1">IFERROR(__xludf.DUMMYFUNCTION("""COMPUTED_VALUE"""),3800)</f>
        <v>3800</v>
      </c>
      <c r="M66" s="33" t="str">
        <f ca="1">IFERROR(__xludf.DUMMYFUNCTION("""COMPUTED_VALUE"""),"03 ORL")</f>
        <v>03 ORL</v>
      </c>
      <c r="N66" s="33" t="str">
        <f ca="1">IFERROR(__xludf.DUMMYFUNCTION("""COMPUTED_VALUE"""),"06 ORL")</f>
        <v>06 ORL</v>
      </c>
      <c r="O66" s="33" t="str">
        <f ca="1">IFERROR(__xludf.DUMMYFUNCTION("""COMPUTED_VALUE"""),"Dr, Víctor José González Arias")</f>
        <v>Dr, Víctor José González Arias</v>
      </c>
      <c r="P66" s="33" t="str">
        <f ca="1">IFERROR(__xludf.DUMMYFUNCTION("""COMPUTED_VALUE"""),"Maika Blázquez (Madrid)")</f>
        <v>Maika Blázquez (Madrid)</v>
      </c>
    </row>
    <row r="67" spans="2:16">
      <c r="B67" s="33">
        <f ca="1">IFERROR(__xludf.DUMMYFUNCTION("""COMPUTED_VALUE"""),2025)</f>
        <v>2025</v>
      </c>
      <c r="C67" s="33">
        <f ca="1">IFERROR(__xludf.DUMMYFUNCTION("""COMPUTED_VALUE"""),1)</f>
        <v>1</v>
      </c>
      <c r="D67" s="33" t="str">
        <f ca="1">IFERROR(__xludf.DUMMYFUNCTION("""COMPUTED_VALUE"""),"NO")</f>
        <v>NO</v>
      </c>
      <c r="E67" s="33" t="str">
        <f ca="1">IFERROR(__xludf.DUMMYFUNCTION("""COMPUTED_VALUE"""),"Móstoles")</f>
        <v>Móstoles</v>
      </c>
      <c r="F67" s="57">
        <f ca="1">IFERROR(__xludf.DUMMYFUNCTION("""COMPUTED_VALUE"""),45665)</f>
        <v>45665</v>
      </c>
      <c r="G67" s="57">
        <f ca="1">IFERROR(__xludf.DUMMYFUNCTION("""COMPUTED_VALUE"""),45628)</f>
        <v>45628</v>
      </c>
      <c r="H67" s="33" t="str">
        <f ca="1">IFERROR(__xludf.DUMMYFUNCTION("""COMPUTED_VALUE"""),"Móstoles")</f>
        <v>Móstoles</v>
      </c>
      <c r="I67" s="33" t="str">
        <f ca="1">IFERROR(__xludf.DUMMYFUNCTION("""COMPUTED_VALUE"""),"C2024123104533901")</f>
        <v>C2024123104533901</v>
      </c>
      <c r="J67" s="33" t="str">
        <f ca="1">IFERROR(__xludf.DUMMYFUNCTION("""COMPUTED_VALUE"""),"MARI LUZ TELLO AYLLON")</f>
        <v>MARI LUZ TELLO AYLLON</v>
      </c>
      <c r="K67" s="33">
        <f ca="1">IFERROR(__xludf.DUMMYFUNCTION("""COMPUTED_VALUE"""),2)</f>
        <v>2</v>
      </c>
      <c r="L67" s="203">
        <f ca="1">IFERROR(__xludf.DUMMYFUNCTION("""COMPUTED_VALUE"""),3222.24)</f>
        <v>3222.24</v>
      </c>
      <c r="M67" s="33" t="str">
        <f ca="1">IFERROR(__xludf.DUMMYFUNCTION("""COMPUTED_VALUE"""),"03 ORL")</f>
        <v>03 ORL</v>
      </c>
      <c r="N67" s="33" t="str">
        <f ca="1">IFERROR(__xludf.DUMMYFUNCTION("""COMPUTED_VALUE"""),"06 ORL")</f>
        <v>06 ORL</v>
      </c>
      <c r="O67" s="33" t="str">
        <f ca="1">IFERROR(__xludf.DUMMYFUNCTION("""COMPUTED_VALUE"""),"Dra, Laura Del Toro Gil")</f>
        <v>Dra, Laura Del Toro Gil</v>
      </c>
      <c r="P67" s="33" t="str">
        <f ca="1">IFERROR(__xludf.DUMMYFUNCTION("""COMPUTED_VALUE"""),"Maika Blázquez (Madrid)")</f>
        <v>Maika Blázquez (Madrid)</v>
      </c>
    </row>
    <row r="68" spans="2:16">
      <c r="B68" s="33">
        <f ca="1">IFERROR(__xludf.DUMMYFUNCTION("""COMPUTED_VALUE"""),2025)</f>
        <v>2025</v>
      </c>
      <c r="C68" s="33">
        <f ca="1">IFERROR(__xludf.DUMMYFUNCTION("""COMPUTED_VALUE"""),1)</f>
        <v>1</v>
      </c>
      <c r="D68" s="33" t="str">
        <f ca="1">IFERROR(__xludf.DUMMYFUNCTION("""COMPUTED_VALUE"""),"NO")</f>
        <v>NO</v>
      </c>
      <c r="E68" s="33" t="str">
        <f ca="1">IFERROR(__xludf.DUMMYFUNCTION("""COMPUTED_VALUE"""),"Móstoles")</f>
        <v>Móstoles</v>
      </c>
      <c r="F68" s="57">
        <f ca="1">IFERROR(__xludf.DUMMYFUNCTION("""COMPUTED_VALUE"""),45667)</f>
        <v>45667</v>
      </c>
      <c r="G68" s="57">
        <f ca="1">IFERROR(__xludf.DUMMYFUNCTION("""COMPUTED_VALUE"""),45622)</f>
        <v>45622</v>
      </c>
      <c r="H68" s="33" t="str">
        <f ca="1">IFERROR(__xludf.DUMMYFUNCTION("""COMPUTED_VALUE"""),"Móstoles")</f>
        <v>Móstoles</v>
      </c>
      <c r="I68" s="33" t="str">
        <f ca="1">IFERROR(__xludf.DUMMYFUNCTION("""COMPUTED_VALUE"""),"C202412214555630")</f>
        <v>C202412214555630</v>
      </c>
      <c r="J68" s="33" t="str">
        <f ca="1">IFERROR(__xludf.DUMMYFUNCTION("""COMPUTED_VALUE"""),"PILAR MARTIN PEDROSA")</f>
        <v>PILAR MARTIN PEDROSA</v>
      </c>
      <c r="K68" s="33">
        <f ca="1">IFERROR(__xludf.DUMMYFUNCTION("""COMPUTED_VALUE"""),2)</f>
        <v>2</v>
      </c>
      <c r="L68" s="203">
        <f ca="1">IFERROR(__xludf.DUMMYFUNCTION("""COMPUTED_VALUE"""),3524.51)</f>
        <v>3524.51</v>
      </c>
      <c r="M68" s="33" t="str">
        <f ca="1">IFERROR(__xludf.DUMMYFUNCTION("""COMPUTED_VALUE"""),"03 ORL")</f>
        <v>03 ORL</v>
      </c>
      <c r="N68" s="33" t="str">
        <f ca="1">IFERROR(__xludf.DUMMYFUNCTION("""COMPUTED_VALUE"""),"06 ORL")</f>
        <v>06 ORL</v>
      </c>
      <c r="O68" s="33" t="str">
        <f ca="1">IFERROR(__xludf.DUMMYFUNCTION("""COMPUTED_VALUE"""),"Dr, Gustavo Córdova Ramos")</f>
        <v>Dr, Gustavo Córdova Ramos</v>
      </c>
      <c r="P68" s="33" t="str">
        <f ca="1">IFERROR(__xludf.DUMMYFUNCTION("""COMPUTED_VALUE"""),"Maika Blázquez (Madrid)")</f>
        <v>Maika Blázquez (Madrid)</v>
      </c>
    </row>
    <row r="69" spans="2:16">
      <c r="B69" s="33">
        <f ca="1">IFERROR(__xludf.DUMMYFUNCTION("""COMPUTED_VALUE"""),2025)</f>
        <v>2025</v>
      </c>
      <c r="C69" s="33">
        <f ca="1">IFERROR(__xludf.DUMMYFUNCTION("""COMPUTED_VALUE"""),1)</f>
        <v>1</v>
      </c>
      <c r="D69" s="33" t="str">
        <f ca="1">IFERROR(__xludf.DUMMYFUNCTION("""COMPUTED_VALUE"""),"NO")</f>
        <v>NO</v>
      </c>
      <c r="E69" s="33" t="str">
        <f ca="1">IFERROR(__xludf.DUMMYFUNCTION("""COMPUTED_VALUE"""),"Murcia")</f>
        <v>Murcia</v>
      </c>
      <c r="F69" s="57">
        <f ca="1">IFERROR(__xludf.DUMMYFUNCTION("""COMPUTED_VALUE"""),45687)</f>
        <v>45687</v>
      </c>
      <c r="G69" s="57">
        <f ca="1">IFERROR(__xludf.DUMMYFUNCTION("""COMPUTED_VALUE"""),45670)</f>
        <v>45670</v>
      </c>
      <c r="H69" s="33" t="str">
        <f ca="1">IFERROR(__xludf.DUMMYFUNCTION("""COMPUTED_VALUE"""),"Murcia")</f>
        <v>Murcia</v>
      </c>
      <c r="I69" s="33" t="str">
        <f ca="1">IFERROR(__xludf.DUMMYFUNCTION("""COMPUTED_VALUE"""),"C2025114121343867")</f>
        <v>C2025114121343867</v>
      </c>
      <c r="J69" s="33" t="str">
        <f ca="1">IFERROR(__xludf.DUMMYFUNCTION("""COMPUTED_VALUE"""),"CONCEPCION MARIN SANCHEZ")</f>
        <v>CONCEPCION MARIN SANCHEZ</v>
      </c>
      <c r="K69" s="33">
        <f ca="1">IFERROR(__xludf.DUMMYFUNCTION("""COMPUTED_VALUE"""),1)</f>
        <v>1</v>
      </c>
      <c r="L69" s="203">
        <f ca="1">IFERROR(__xludf.DUMMYFUNCTION("""COMPUTED_VALUE"""),2640)</f>
        <v>2640</v>
      </c>
      <c r="M69" s="33" t="str">
        <f ca="1">IFERROR(__xludf.DUMMYFUNCTION("""COMPUTED_VALUE"""),"03 ORL")</f>
        <v>03 ORL</v>
      </c>
      <c r="N69" s="33" t="str">
        <f ca="1">IFERROR(__xludf.DUMMYFUNCTION("""COMPUTED_VALUE"""),"06 ORL")</f>
        <v>06 ORL</v>
      </c>
      <c r="O69" s="33" t="str">
        <f ca="1">IFERROR(__xludf.DUMMYFUNCTION("""COMPUTED_VALUE"""),"Dr, Ignacio Albaladejo Devis")</f>
        <v>Dr, Ignacio Albaladejo Devis</v>
      </c>
      <c r="P69" s="33" t="str">
        <f ca="1">IFERROR(__xludf.DUMMYFUNCTION("""COMPUTED_VALUE"""),"Iván Sánchez (Levante Y Albacete)")</f>
        <v>Iván Sánchez (Levante Y Albacete)</v>
      </c>
    </row>
    <row r="70" spans="2:16">
      <c r="B70" s="33">
        <f ca="1">IFERROR(__xludf.DUMMYFUNCTION("""COMPUTED_VALUE"""),2025)</f>
        <v>2025</v>
      </c>
      <c r="C70" s="33">
        <f ca="1">IFERROR(__xludf.DUMMYFUNCTION("""COMPUTED_VALUE"""),1)</f>
        <v>1</v>
      </c>
      <c r="D70" s="33" t="str">
        <f ca="1">IFERROR(__xludf.DUMMYFUNCTION("""COMPUTED_VALUE"""),"NO")</f>
        <v>NO</v>
      </c>
      <c r="E70" s="33" t="str">
        <f ca="1">IFERROR(__xludf.DUMMYFUNCTION("""COMPUTED_VALUE"""),"Murcia")</f>
        <v>Murcia</v>
      </c>
      <c r="F70" s="57">
        <f ca="1">IFERROR(__xludf.DUMMYFUNCTION("""COMPUTED_VALUE"""),45685)</f>
        <v>45685</v>
      </c>
      <c r="G70" s="57">
        <f ca="1">IFERROR(__xludf.DUMMYFUNCTION("""COMPUTED_VALUE"""),45653)</f>
        <v>45653</v>
      </c>
      <c r="H70" s="33" t="str">
        <f ca="1">IFERROR(__xludf.DUMMYFUNCTION("""COMPUTED_VALUE"""),"Murcia")</f>
        <v>Murcia</v>
      </c>
      <c r="I70" s="33" t="str">
        <f ca="1">IFERROR(__xludf.DUMMYFUNCTION("""COMPUTED_VALUE"""),"C202517101013906")</f>
        <v>C202517101013906</v>
      </c>
      <c r="J70" s="33" t="str">
        <f ca="1">IFERROR(__xludf.DUMMYFUNCTION("""COMPUTED_VALUE"""),"JOSE ANTONIO ANTOLINOS SALINAS")</f>
        <v>JOSE ANTONIO ANTOLINOS SALINAS</v>
      </c>
      <c r="K70" s="33">
        <f ca="1">IFERROR(__xludf.DUMMYFUNCTION("""COMPUTED_VALUE"""),2)</f>
        <v>2</v>
      </c>
      <c r="L70" s="203">
        <f ca="1">IFERROR(__xludf.DUMMYFUNCTION("""COMPUTED_VALUE"""),2743.64)</f>
        <v>2743.64</v>
      </c>
      <c r="M70" s="33" t="str">
        <f ca="1">IFERROR(__xludf.DUMMYFUNCTION("""COMPUTED_VALUE"""),"03 ORL")</f>
        <v>03 ORL</v>
      </c>
      <c r="N70" s="33" t="str">
        <f ca="1">IFERROR(__xludf.DUMMYFUNCTION("""COMPUTED_VALUE"""),"06 ORL")</f>
        <v>06 ORL</v>
      </c>
      <c r="O70" s="33" t="str">
        <f ca="1">IFERROR(__xludf.DUMMYFUNCTION("""COMPUTED_VALUE"""),"Dra, Cristina Esther Torregrosa Carrasquer")</f>
        <v>Dra, Cristina Esther Torregrosa Carrasquer</v>
      </c>
      <c r="P70" s="33" t="str">
        <f ca="1">IFERROR(__xludf.DUMMYFUNCTION("""COMPUTED_VALUE"""),"Iván Sánchez (Levante Y Albacete)")</f>
        <v>Iván Sánchez (Levante Y Albacete)</v>
      </c>
    </row>
    <row r="71" spans="2:16">
      <c r="B71" s="33">
        <f ca="1">IFERROR(__xludf.DUMMYFUNCTION("""COMPUTED_VALUE"""),2025)</f>
        <v>2025</v>
      </c>
      <c r="C71" s="33">
        <f ca="1">IFERROR(__xludf.DUMMYFUNCTION("""COMPUTED_VALUE"""),1)</f>
        <v>1</v>
      </c>
      <c r="D71" s="33" t="str">
        <f ca="1">IFERROR(__xludf.DUMMYFUNCTION("""COMPUTED_VALUE"""),"NO")</f>
        <v>NO</v>
      </c>
      <c r="E71" s="33" t="str">
        <f ca="1">IFERROR(__xludf.DUMMYFUNCTION("""COMPUTED_VALUE"""),"Murcia")</f>
        <v>Murcia</v>
      </c>
      <c r="F71" s="57">
        <f ca="1">IFERROR(__xludf.DUMMYFUNCTION("""COMPUTED_VALUE"""),45677)</f>
        <v>45677</v>
      </c>
      <c r="G71" s="57">
        <f ca="1">IFERROR(__xludf.DUMMYFUNCTION("""COMPUTED_VALUE"""),45638)</f>
        <v>45638</v>
      </c>
      <c r="H71" s="33" t="str">
        <f ca="1">IFERROR(__xludf.DUMMYFUNCTION("""COMPUTED_VALUE"""),"Murcia")</f>
        <v>Murcia</v>
      </c>
      <c r="I71" s="33" t="str">
        <f ca="1">IFERROR(__xludf.DUMMYFUNCTION("""COMPUTED_VALUE"""),"C20241217181149289")</f>
        <v>C20241217181149289</v>
      </c>
      <c r="J71" s="33" t="str">
        <f ca="1">IFERROR(__xludf.DUMMYFUNCTION("""COMPUTED_VALUE"""),"JOSE ANTONIO LOPEZ GARRE")</f>
        <v>JOSE ANTONIO LOPEZ GARRE</v>
      </c>
      <c r="K71" s="33">
        <f ca="1">IFERROR(__xludf.DUMMYFUNCTION("""COMPUTED_VALUE"""),2)</f>
        <v>2</v>
      </c>
      <c r="L71" s="203">
        <f ca="1">IFERROR(__xludf.DUMMYFUNCTION("""COMPUTED_VALUE"""),2579.09)</f>
        <v>2579.09</v>
      </c>
      <c r="M71" s="33" t="str">
        <f ca="1">IFERROR(__xludf.DUMMYFUNCTION("""COMPUTED_VALUE"""),"03 ORL")</f>
        <v>03 ORL</v>
      </c>
      <c r="N71" s="33" t="str">
        <f ca="1">IFERROR(__xludf.DUMMYFUNCTION("""COMPUTED_VALUE"""),"06 ORL")</f>
        <v>06 ORL</v>
      </c>
      <c r="O71" s="33" t="str">
        <f ca="1">IFERROR(__xludf.DUMMYFUNCTION("""COMPUTED_VALUE"""),"Dr, Jesús Miguel Iniesta Turpín")</f>
        <v>Dr, Jesús Miguel Iniesta Turpín</v>
      </c>
      <c r="P71" s="33" t="str">
        <f ca="1">IFERROR(__xludf.DUMMYFUNCTION("""COMPUTED_VALUE"""),"Iván Sánchez (Levante Y Albacete)")</f>
        <v>Iván Sánchez (Levante Y Albacete)</v>
      </c>
    </row>
    <row r="72" spans="2:16">
      <c r="B72" s="33">
        <f ca="1">IFERROR(__xludf.DUMMYFUNCTION("""COMPUTED_VALUE"""),2025)</f>
        <v>2025</v>
      </c>
      <c r="C72" s="33">
        <f ca="1">IFERROR(__xludf.DUMMYFUNCTION("""COMPUTED_VALUE"""),1)</f>
        <v>1</v>
      </c>
      <c r="D72" s="33" t="str">
        <f ca="1">IFERROR(__xludf.DUMMYFUNCTION("""COMPUTED_VALUE"""),"NO")</f>
        <v>NO</v>
      </c>
      <c r="E72" s="33" t="str">
        <f ca="1">IFERROR(__xludf.DUMMYFUNCTION("""COMPUTED_VALUE"""),"Murcia")</f>
        <v>Murcia</v>
      </c>
      <c r="F72" s="57">
        <f ca="1">IFERROR(__xludf.DUMMYFUNCTION("""COMPUTED_VALUE"""),45678)</f>
        <v>45678</v>
      </c>
      <c r="G72" s="57">
        <f ca="1">IFERROR(__xludf.DUMMYFUNCTION("""COMPUTED_VALUE"""),45631)</f>
        <v>45631</v>
      </c>
      <c r="H72" s="33" t="str">
        <f ca="1">IFERROR(__xludf.DUMMYFUNCTION("""COMPUTED_VALUE"""),"Murcia")</f>
        <v>Murcia</v>
      </c>
      <c r="I72" s="33" t="str">
        <f ca="1">IFERROR(__xludf.DUMMYFUNCTION("""COMPUTED_VALUE"""),"C2024121911307467")</f>
        <v>C2024121911307467</v>
      </c>
      <c r="J72" s="33" t="str">
        <f ca="1">IFERROR(__xludf.DUMMYFUNCTION("""COMPUTED_VALUE"""),"JUAN FERNANDEZ ANDREU")</f>
        <v>JUAN FERNANDEZ ANDREU</v>
      </c>
      <c r="K72" s="33">
        <f ca="1">IFERROR(__xludf.DUMMYFUNCTION("""COMPUTED_VALUE"""),1)</f>
        <v>1</v>
      </c>
      <c r="L72" s="203">
        <f ca="1">IFERROR(__xludf.DUMMYFUNCTION("""COMPUTED_VALUE"""),2280)</f>
        <v>2280</v>
      </c>
      <c r="M72" s="33" t="str">
        <f ca="1">IFERROR(__xludf.DUMMYFUNCTION("""COMPUTED_VALUE"""),"03 ORL")</f>
        <v>03 ORL</v>
      </c>
      <c r="N72" s="33" t="str">
        <f ca="1">IFERROR(__xludf.DUMMYFUNCTION("""COMPUTED_VALUE"""),"06 ORL")</f>
        <v>06 ORL</v>
      </c>
      <c r="O72" s="33" t="str">
        <f ca="1">IFERROR(__xludf.DUMMYFUNCTION("""COMPUTED_VALUE"""),"Dra, María Agustina Sevilla García")</f>
        <v>Dra, María Agustina Sevilla García</v>
      </c>
      <c r="P72" s="33" t="str">
        <f ca="1">IFERROR(__xludf.DUMMYFUNCTION("""COMPUTED_VALUE"""),"Iván Sánchez (Levante Y Albacete)")</f>
        <v>Iván Sánchez (Levante Y Albacete)</v>
      </c>
    </row>
    <row r="73" spans="2:16">
      <c r="B73" s="33">
        <f ca="1">IFERROR(__xludf.DUMMYFUNCTION("""COMPUTED_VALUE"""),2025)</f>
        <v>2025</v>
      </c>
      <c r="C73" s="33">
        <f ca="1">IFERROR(__xludf.DUMMYFUNCTION("""COMPUTED_VALUE"""),1)</f>
        <v>1</v>
      </c>
      <c r="D73" s="33" t="str">
        <f ca="1">IFERROR(__xludf.DUMMYFUNCTION("""COMPUTED_VALUE"""),"NO")</f>
        <v>NO</v>
      </c>
      <c r="E73" s="33" t="str">
        <f ca="1">IFERROR(__xludf.DUMMYFUNCTION("""COMPUTED_VALUE"""),"Murcia")</f>
        <v>Murcia</v>
      </c>
      <c r="F73" s="57">
        <f ca="1">IFERROR(__xludf.DUMMYFUNCTION("""COMPUTED_VALUE"""),45678)</f>
        <v>45678</v>
      </c>
      <c r="G73" s="57">
        <f ca="1">IFERROR(__xludf.DUMMYFUNCTION("""COMPUTED_VALUE"""),45643)</f>
        <v>45643</v>
      </c>
      <c r="H73" s="33" t="str">
        <f ca="1">IFERROR(__xludf.DUMMYFUNCTION("""COMPUTED_VALUE"""),"Murcia")</f>
        <v>Murcia</v>
      </c>
      <c r="I73" s="33" t="str">
        <f ca="1">IFERROR(__xludf.DUMMYFUNCTION("""COMPUTED_VALUE"""),"C2024121812922488")</f>
        <v>C2024121812922488</v>
      </c>
      <c r="J73" s="33" t="str">
        <f ca="1">IFERROR(__xludf.DUMMYFUNCTION("""COMPUTED_VALUE"""),"MANUEL VIDAL SANZ")</f>
        <v>MANUEL VIDAL SANZ</v>
      </c>
      <c r="K73" s="33">
        <f ca="1">IFERROR(__xludf.DUMMYFUNCTION("""COMPUTED_VALUE"""),2)</f>
        <v>2</v>
      </c>
      <c r="L73" s="203">
        <f ca="1">IFERROR(__xludf.DUMMYFUNCTION("""COMPUTED_VALUE"""),4000)</f>
        <v>4000</v>
      </c>
      <c r="M73" s="33" t="str">
        <f ca="1">IFERROR(__xludf.DUMMYFUNCTION("""COMPUTED_VALUE"""),"03 ORL")</f>
        <v>03 ORL</v>
      </c>
      <c r="N73" s="33" t="str">
        <f ca="1">IFERROR(__xludf.DUMMYFUNCTION("""COMPUTED_VALUE"""),"06 ORL")</f>
        <v>06 ORL</v>
      </c>
      <c r="O73" s="33" t="str">
        <f ca="1">IFERROR(__xludf.DUMMYFUNCTION("""COMPUTED_VALUE"""),"Dr, José Miguel Osete Albaladejo")</f>
        <v>Dr, José Miguel Osete Albaladejo</v>
      </c>
      <c r="P73" s="33" t="str">
        <f ca="1">IFERROR(__xludf.DUMMYFUNCTION("""COMPUTED_VALUE"""),"Iván Sánchez (Levante Y Albacete)")</f>
        <v>Iván Sánchez (Levante Y Albacete)</v>
      </c>
    </row>
    <row r="74" spans="2:16">
      <c r="B74" s="33">
        <f ca="1">IFERROR(__xludf.DUMMYFUNCTION("""COMPUTED_VALUE"""),2025)</f>
        <v>2025</v>
      </c>
      <c r="C74" s="33">
        <f ca="1">IFERROR(__xludf.DUMMYFUNCTION("""COMPUTED_VALUE"""),1)</f>
        <v>1</v>
      </c>
      <c r="D74" s="33" t="str">
        <f ca="1">IFERROR(__xludf.DUMMYFUNCTION("""COMPUTED_VALUE"""),"NO")</f>
        <v>NO</v>
      </c>
      <c r="E74" s="33" t="str">
        <f ca="1">IFERROR(__xludf.DUMMYFUNCTION("""COMPUTED_VALUE"""),"Murcia")</f>
        <v>Murcia</v>
      </c>
      <c r="F74" s="57">
        <f ca="1">IFERROR(__xludf.DUMMYFUNCTION("""COMPUTED_VALUE"""),45667)</f>
        <v>45667</v>
      </c>
      <c r="G74" s="57">
        <f ca="1">IFERROR(__xludf.DUMMYFUNCTION("""COMPUTED_VALUE"""),45624)</f>
        <v>45624</v>
      </c>
      <c r="H74" s="33" t="str">
        <f ca="1">IFERROR(__xludf.DUMMYFUNCTION("""COMPUTED_VALUE"""),"Murcia")</f>
        <v>Murcia</v>
      </c>
      <c r="I74" s="33" t="str">
        <f ca="1">IFERROR(__xludf.DUMMYFUNCTION("""COMPUTED_VALUE"""),"C202412210579993")</f>
        <v>C202412210579993</v>
      </c>
      <c r="J74" s="33" t="str">
        <f ca="1">IFERROR(__xludf.DUMMYFUNCTION("""COMPUTED_VALUE"""),"MARIA JESUS BARCELO CLEMARES")</f>
        <v>MARIA JESUS BARCELO CLEMARES</v>
      </c>
      <c r="K74" s="33">
        <f ca="1">IFERROR(__xludf.DUMMYFUNCTION("""COMPUTED_VALUE"""),2)</f>
        <v>2</v>
      </c>
      <c r="L74" s="203">
        <f ca="1">IFERROR(__xludf.DUMMYFUNCTION("""COMPUTED_VALUE"""),4000)</f>
        <v>4000</v>
      </c>
      <c r="M74" s="33" t="str">
        <f ca="1">IFERROR(__xludf.DUMMYFUNCTION("""COMPUTED_VALUE"""),"03 ORL")</f>
        <v>03 ORL</v>
      </c>
      <c r="N74" s="33" t="str">
        <f ca="1">IFERROR(__xludf.DUMMYFUNCTION("""COMPUTED_VALUE"""),"06 ORL")</f>
        <v>06 ORL</v>
      </c>
      <c r="O74" s="33" t="str">
        <f ca="1">IFERROR(__xludf.DUMMYFUNCTION("""COMPUTED_VALUE"""),"Dra, María Agustina Sevilla García")</f>
        <v>Dra, María Agustina Sevilla García</v>
      </c>
      <c r="P74" s="33" t="str">
        <f ca="1">IFERROR(__xludf.DUMMYFUNCTION("""COMPUTED_VALUE"""),"Iván Sánchez (Levante Y Albacete)")</f>
        <v>Iván Sánchez (Levante Y Albacete)</v>
      </c>
    </row>
    <row r="75" spans="2:16">
      <c r="B75" s="33">
        <f ca="1">IFERROR(__xludf.DUMMYFUNCTION("""COMPUTED_VALUE"""),2025)</f>
        <v>2025</v>
      </c>
      <c r="C75" s="33">
        <f ca="1">IFERROR(__xludf.DUMMYFUNCTION("""COMPUTED_VALUE"""),1)</f>
        <v>1</v>
      </c>
      <c r="D75" s="33" t="str">
        <f ca="1">IFERROR(__xludf.DUMMYFUNCTION("""COMPUTED_VALUE"""),"NO")</f>
        <v>NO</v>
      </c>
      <c r="E75" s="33" t="str">
        <f ca="1">IFERROR(__xludf.DUMMYFUNCTION("""COMPUTED_VALUE"""),"Murcia")</f>
        <v>Murcia</v>
      </c>
      <c r="F75" s="57">
        <f ca="1">IFERROR(__xludf.DUMMYFUNCTION("""COMPUTED_VALUE"""),45680)</f>
        <v>45680</v>
      </c>
      <c r="G75" s="57">
        <f ca="1">IFERROR(__xludf.DUMMYFUNCTION("""COMPUTED_VALUE"""),45642)</f>
        <v>45642</v>
      </c>
      <c r="H75" s="33" t="str">
        <f ca="1">IFERROR(__xludf.DUMMYFUNCTION("""COMPUTED_VALUE"""),"Murcia")</f>
        <v>Murcia</v>
      </c>
      <c r="I75" s="33" t="str">
        <f ca="1">IFERROR(__xludf.DUMMYFUNCTION("""COMPUTED_VALUE"""),"C2024121918401162")</f>
        <v>C2024121918401162</v>
      </c>
      <c r="J75" s="33" t="str">
        <f ca="1">IFERROR(__xludf.DUMMYFUNCTION("""COMPUTED_VALUE"""),"MIGUEL ANGEL ROMERA MARIN")</f>
        <v>MIGUEL ANGEL ROMERA MARIN</v>
      </c>
      <c r="K75" s="33">
        <f ca="1">IFERROR(__xludf.DUMMYFUNCTION("""COMPUTED_VALUE"""),2)</f>
        <v>2</v>
      </c>
      <c r="L75" s="203">
        <f ca="1">IFERROR(__xludf.DUMMYFUNCTION("""COMPUTED_VALUE"""),3800)</f>
        <v>3800</v>
      </c>
      <c r="M75" s="33" t="str">
        <f ca="1">IFERROR(__xludf.DUMMYFUNCTION("""COMPUTED_VALUE"""),"03 ORL")</f>
        <v>03 ORL</v>
      </c>
      <c r="N75" s="33" t="str">
        <f ca="1">IFERROR(__xludf.DUMMYFUNCTION("""COMPUTED_VALUE"""),"06 ORL")</f>
        <v>06 ORL</v>
      </c>
      <c r="O75" s="33" t="str">
        <f ca="1">IFERROR(__xludf.DUMMYFUNCTION("""COMPUTED_VALUE"""),"Dra, María Agustina Sevilla García")</f>
        <v>Dra, María Agustina Sevilla García</v>
      </c>
      <c r="P75" s="33" t="str">
        <f ca="1">IFERROR(__xludf.DUMMYFUNCTION("""COMPUTED_VALUE"""),"Iván Sánchez (Levante Y Albacete)")</f>
        <v>Iván Sánchez (Levante Y Albacete)</v>
      </c>
    </row>
    <row r="76" spans="2:16">
      <c r="B76" s="33">
        <f ca="1">IFERROR(__xludf.DUMMYFUNCTION("""COMPUTED_VALUE"""),2025)</f>
        <v>2025</v>
      </c>
      <c r="C76" s="33">
        <f ca="1">IFERROR(__xludf.DUMMYFUNCTION("""COMPUTED_VALUE"""),1)</f>
        <v>1</v>
      </c>
      <c r="D76" s="33" t="str">
        <f ca="1">IFERROR(__xludf.DUMMYFUNCTION("""COMPUTED_VALUE"""),"NO")</f>
        <v>NO</v>
      </c>
      <c r="E76" s="33" t="str">
        <f ca="1">IFERROR(__xludf.DUMMYFUNCTION("""COMPUTED_VALUE"""),"Murcia")</f>
        <v>Murcia</v>
      </c>
      <c r="F76" s="57">
        <f ca="1">IFERROR(__xludf.DUMMYFUNCTION("""COMPUTED_VALUE"""),45686)</f>
        <v>45686</v>
      </c>
      <c r="G76" s="57">
        <f ca="1">IFERROR(__xludf.DUMMYFUNCTION("""COMPUTED_VALUE"""),45670)</f>
        <v>45670</v>
      </c>
      <c r="H76" s="33" t="str">
        <f ca="1">IFERROR(__xludf.DUMMYFUNCTION("""COMPUTED_VALUE"""),"Murcia")</f>
        <v>Murcia</v>
      </c>
      <c r="I76" s="33" t="str">
        <f ca="1">IFERROR(__xludf.DUMMYFUNCTION("""COMPUTED_VALUE"""),"C2025115113929824")</f>
        <v>C2025115113929824</v>
      </c>
      <c r="J76" s="33" t="str">
        <f ca="1">IFERROR(__xludf.DUMMYFUNCTION("""COMPUTED_VALUE"""),"MONICA ALEXANDRA SALAZAR SANCHEZ")</f>
        <v>MONICA ALEXANDRA SALAZAR SANCHEZ</v>
      </c>
      <c r="K76" s="33">
        <f ca="1">IFERROR(__xludf.DUMMYFUNCTION("""COMPUTED_VALUE"""),1)</f>
        <v>1</v>
      </c>
      <c r="L76" s="203">
        <f ca="1">IFERROR(__xludf.DUMMYFUNCTION("""COMPUTED_VALUE"""),1732.73)</f>
        <v>1732.73</v>
      </c>
      <c r="M76" s="33" t="str">
        <f ca="1">IFERROR(__xludf.DUMMYFUNCTION("""COMPUTED_VALUE"""),"03 ORL")</f>
        <v>03 ORL</v>
      </c>
      <c r="N76" s="33" t="str">
        <f ca="1">IFERROR(__xludf.DUMMYFUNCTION("""COMPUTED_VALUE"""),"06 ORL")</f>
        <v>06 ORL</v>
      </c>
      <c r="O76" s="33" t="str">
        <f ca="1">IFERROR(__xludf.DUMMYFUNCTION("""COMPUTED_VALUE"""),"Dra, María Agustina Sevilla García")</f>
        <v>Dra, María Agustina Sevilla García</v>
      </c>
      <c r="P76" s="33" t="str">
        <f ca="1">IFERROR(__xludf.DUMMYFUNCTION("""COMPUTED_VALUE"""),"Iván Sánchez (Levante Y Albacete)")</f>
        <v>Iván Sánchez (Levante Y Albacete)</v>
      </c>
    </row>
    <row r="77" spans="2:16">
      <c r="B77" s="33">
        <f ca="1">IFERROR(__xludf.DUMMYFUNCTION("""COMPUTED_VALUE"""),2025)</f>
        <v>2025</v>
      </c>
      <c r="C77" s="33">
        <f ca="1">IFERROR(__xludf.DUMMYFUNCTION("""COMPUTED_VALUE"""),1)</f>
        <v>1</v>
      </c>
      <c r="D77" s="33" t="str">
        <f ca="1">IFERROR(__xludf.DUMMYFUNCTION("""COMPUTED_VALUE"""),"NO")</f>
        <v>NO</v>
      </c>
      <c r="E77" s="33" t="str">
        <f ca="1">IFERROR(__xludf.DUMMYFUNCTION("""COMPUTED_VALUE"""),"Murcia")</f>
        <v>Murcia</v>
      </c>
      <c r="F77" s="57">
        <f ca="1">IFERROR(__xludf.DUMMYFUNCTION("""COMPUTED_VALUE"""),45686)</f>
        <v>45686</v>
      </c>
      <c r="G77" s="57">
        <f ca="1">IFERROR(__xludf.DUMMYFUNCTION("""COMPUTED_VALUE"""),45666)</f>
        <v>45666</v>
      </c>
      <c r="H77" s="33" t="str">
        <f ca="1">IFERROR(__xludf.DUMMYFUNCTION("""COMPUTED_VALUE"""),"Murcia")</f>
        <v>Murcia</v>
      </c>
      <c r="I77" s="33" t="str">
        <f ca="1">IFERROR(__xludf.DUMMYFUNCTION("""COMPUTED_VALUE"""),"C202511010343731")</f>
        <v>C202511010343731</v>
      </c>
      <c r="J77" s="33" t="str">
        <f ca="1">IFERROR(__xludf.DUMMYFUNCTION("""COMPUTED_VALUE"""),"PEDRO MARTINEZ ROMERO")</f>
        <v>PEDRO MARTINEZ ROMERO</v>
      </c>
      <c r="K77" s="33">
        <f ca="1">IFERROR(__xludf.DUMMYFUNCTION("""COMPUTED_VALUE"""),2)</f>
        <v>2</v>
      </c>
      <c r="L77" s="203">
        <f ca="1">IFERROR(__xludf.DUMMYFUNCTION("""COMPUTED_VALUE"""),4400)</f>
        <v>4400</v>
      </c>
      <c r="M77" s="33" t="str">
        <f ca="1">IFERROR(__xludf.DUMMYFUNCTION("""COMPUTED_VALUE"""),"03 ORL")</f>
        <v>03 ORL</v>
      </c>
      <c r="N77" s="33" t="str">
        <f ca="1">IFERROR(__xludf.DUMMYFUNCTION("""COMPUTED_VALUE"""),"06 ORL")</f>
        <v>06 ORL</v>
      </c>
      <c r="O77" s="33" t="str">
        <f ca="1">IFERROR(__xludf.DUMMYFUNCTION("""COMPUTED_VALUE"""),"Dr, Juan Pablo Pelegrín Hernández")</f>
        <v>Dr, Juan Pablo Pelegrín Hernández</v>
      </c>
      <c r="P77" s="33" t="str">
        <f ca="1">IFERROR(__xludf.DUMMYFUNCTION("""COMPUTED_VALUE"""),"Iván Sánchez (Levante Y Albacete)")</f>
        <v>Iván Sánchez (Levante Y Albacete)</v>
      </c>
    </row>
    <row r="78" spans="2:16">
      <c r="B78" s="33">
        <f ca="1">IFERROR(__xludf.DUMMYFUNCTION("""COMPUTED_VALUE"""),2025)</f>
        <v>2025</v>
      </c>
      <c r="C78" s="33">
        <f ca="1">IFERROR(__xludf.DUMMYFUNCTION("""COMPUTED_VALUE"""),1)</f>
        <v>1</v>
      </c>
      <c r="D78" s="33" t="str">
        <f ca="1">IFERROR(__xludf.DUMMYFUNCTION("""COMPUTED_VALUE"""),"NO")</f>
        <v>NO</v>
      </c>
      <c r="E78" s="33" t="str">
        <f ca="1">IFERROR(__xludf.DUMMYFUNCTION("""COMPUTED_VALUE"""),"Murcia")</f>
        <v>Murcia</v>
      </c>
      <c r="F78" s="57">
        <f ca="1">IFERROR(__xludf.DUMMYFUNCTION("""COMPUTED_VALUE"""),45667)</f>
        <v>45667</v>
      </c>
      <c r="G78" s="57">
        <f ca="1">IFERROR(__xludf.DUMMYFUNCTION("""COMPUTED_VALUE"""),45630)</f>
        <v>45630</v>
      </c>
      <c r="H78" s="33" t="str">
        <f ca="1">IFERROR(__xludf.DUMMYFUNCTION("""COMPUTED_VALUE"""),"Murcia")</f>
        <v>Murcia</v>
      </c>
      <c r="I78" s="33" t="str">
        <f ca="1">IFERROR(__xludf.DUMMYFUNCTION("""COMPUTED_VALUE"""),"C2024121611423262")</f>
        <v>C2024121611423262</v>
      </c>
      <c r="J78" s="33" t="str">
        <f ca="1">IFERROR(__xludf.DUMMYFUNCTION("""COMPUTED_VALUE"""),"SALVADOR LOPEZ ESCAR")</f>
        <v>SALVADOR LOPEZ ESCAR</v>
      </c>
      <c r="K78" s="33">
        <f ca="1">IFERROR(__xludf.DUMMYFUNCTION("""COMPUTED_VALUE"""),2)</f>
        <v>2</v>
      </c>
      <c r="L78" s="203">
        <f ca="1">IFERROR(__xludf.DUMMYFUNCTION("""COMPUTED_VALUE"""),3800)</f>
        <v>3800</v>
      </c>
      <c r="M78" s="33" t="str">
        <f ca="1">IFERROR(__xludf.DUMMYFUNCTION("""COMPUTED_VALUE"""),"03 ORL")</f>
        <v>03 ORL</v>
      </c>
      <c r="N78" s="33" t="str">
        <f ca="1">IFERROR(__xludf.DUMMYFUNCTION("""COMPUTED_VALUE"""),"06 ORL")</f>
        <v>06 ORL</v>
      </c>
      <c r="O78" s="33" t="str">
        <f ca="1">IFERROR(__xludf.DUMMYFUNCTION("""COMPUTED_VALUE"""),"Dr, Jesús Miguel Iniesta Turpín")</f>
        <v>Dr, Jesús Miguel Iniesta Turpín</v>
      </c>
      <c r="P78" s="33" t="str">
        <f ca="1">IFERROR(__xludf.DUMMYFUNCTION("""COMPUTED_VALUE"""),"Iván Sánchez (Levante Y Albacete)")</f>
        <v>Iván Sánchez (Levante Y Albacete)</v>
      </c>
    </row>
    <row r="79" spans="2:16">
      <c r="B79" s="33">
        <f ca="1">IFERROR(__xludf.DUMMYFUNCTION("""COMPUTED_VALUE"""),2025)</f>
        <v>2025</v>
      </c>
      <c r="C79" s="33">
        <f ca="1">IFERROR(__xludf.DUMMYFUNCTION("""COMPUTED_VALUE"""),1)</f>
        <v>1</v>
      </c>
      <c r="D79" s="33" t="str">
        <f ca="1">IFERROR(__xludf.DUMMYFUNCTION("""COMPUTED_VALUE"""),"NO")</f>
        <v>NO</v>
      </c>
      <c r="E79" s="33" t="str">
        <f ca="1">IFERROR(__xludf.DUMMYFUNCTION("""COMPUTED_VALUE"""),"Orihuela")</f>
        <v>Orihuela</v>
      </c>
      <c r="F79" s="57">
        <f ca="1">IFERROR(__xludf.DUMMYFUNCTION("""COMPUTED_VALUE"""),45688)</f>
        <v>45688</v>
      </c>
      <c r="G79" s="57">
        <f ca="1">IFERROR(__xludf.DUMMYFUNCTION("""COMPUTED_VALUE"""),45645)</f>
        <v>45645</v>
      </c>
      <c r="H79" s="33" t="str">
        <f ca="1">IFERROR(__xludf.DUMMYFUNCTION("""COMPUTED_VALUE"""),"La Zenia")</f>
        <v>La Zenia</v>
      </c>
      <c r="I79" s="33" t="str">
        <f ca="1">IFERROR(__xludf.DUMMYFUNCTION("""COMPUTED_VALUE"""),"C20241230104550278")</f>
        <v>C20241230104550278</v>
      </c>
      <c r="J79" s="33" t="str">
        <f ca="1">IFERROR(__xludf.DUMMYFUNCTION("""COMPUTED_VALUE"""),"JACQUELINE MELVILLE")</f>
        <v>JACQUELINE MELVILLE</v>
      </c>
      <c r="K79" s="33">
        <f ca="1">IFERROR(__xludf.DUMMYFUNCTION("""COMPUTED_VALUE"""),2)</f>
        <v>2</v>
      </c>
      <c r="L79" s="203">
        <f ca="1">IFERROR(__xludf.DUMMYFUNCTION("""COMPUTED_VALUE"""),3710)</f>
        <v>3710</v>
      </c>
      <c r="M79" s="33" t="str">
        <f ca="1">IFERROR(__xludf.DUMMYFUNCTION("""COMPUTED_VALUE"""),"03 ORL")</f>
        <v>03 ORL</v>
      </c>
      <c r="N79" s="33" t="str">
        <f ca="1">IFERROR(__xludf.DUMMYFUNCTION("""COMPUTED_VALUE"""),"06 ORL")</f>
        <v>06 ORL</v>
      </c>
      <c r="O79" s="33" t="str">
        <f ca="1">IFERROR(__xludf.DUMMYFUNCTION("""COMPUTED_VALUE"""),"Dra, Oreana Carolina Camacaro González")</f>
        <v>Dra, Oreana Carolina Camacaro González</v>
      </c>
      <c r="P79" s="33" t="str">
        <f ca="1">IFERROR(__xludf.DUMMYFUNCTION("""COMPUTED_VALUE"""),"Iván Sánchez (Levante Y Albacete)")</f>
        <v>Iván Sánchez (Levante Y Albacete)</v>
      </c>
    </row>
    <row r="80" spans="2:16">
      <c r="B80" s="33">
        <f ca="1">IFERROR(__xludf.DUMMYFUNCTION("""COMPUTED_VALUE"""),2025)</f>
        <v>2025</v>
      </c>
      <c r="C80" s="33">
        <f ca="1">IFERROR(__xludf.DUMMYFUNCTION("""COMPUTED_VALUE"""),1)</f>
        <v>1</v>
      </c>
      <c r="D80" s="33" t="str">
        <f ca="1">IFERROR(__xludf.DUMMYFUNCTION("""COMPUTED_VALUE"""),"NO")</f>
        <v>NO</v>
      </c>
      <c r="E80" s="33" t="str">
        <f ca="1">IFERROR(__xludf.DUMMYFUNCTION("""COMPUTED_VALUE"""),"Orihuela")</f>
        <v>Orihuela</v>
      </c>
      <c r="F80" s="57">
        <f ca="1">IFERROR(__xludf.DUMMYFUNCTION("""COMPUTED_VALUE"""),45671)</f>
        <v>45671</v>
      </c>
      <c r="G80" s="57">
        <f ca="1">IFERROR(__xludf.DUMMYFUNCTION("""COMPUTED_VALUE"""),45644)</f>
        <v>45644</v>
      </c>
      <c r="H80" s="33" t="str">
        <f ca="1">IFERROR(__xludf.DUMMYFUNCTION("""COMPUTED_VALUE"""),"La Zenia")</f>
        <v>La Zenia</v>
      </c>
      <c r="I80" s="33" t="str">
        <f ca="1">IFERROR(__xludf.DUMMYFUNCTION("""COMPUTED_VALUE"""),"C20241223104210636")</f>
        <v>C20241223104210636</v>
      </c>
      <c r="J80" s="33" t="str">
        <f ca="1">IFERROR(__xludf.DUMMYFUNCTION("""COMPUTED_VALUE"""),"MIGUEL DIEZ ESTRADA")</f>
        <v>MIGUEL DIEZ ESTRADA</v>
      </c>
      <c r="K80" s="33">
        <f ca="1">IFERROR(__xludf.DUMMYFUNCTION("""COMPUTED_VALUE"""),2)</f>
        <v>2</v>
      </c>
      <c r="L80" s="203">
        <f ca="1">IFERROR(__xludf.DUMMYFUNCTION("""COMPUTED_VALUE"""),2888.18)</f>
        <v>2888.18</v>
      </c>
      <c r="M80" s="33" t="str">
        <f ca="1">IFERROR(__xludf.DUMMYFUNCTION("""COMPUTED_VALUE"""),"03 ORL")</f>
        <v>03 ORL</v>
      </c>
      <c r="N80" s="33" t="str">
        <f ca="1">IFERROR(__xludf.DUMMYFUNCTION("""COMPUTED_VALUE"""),"06 ORL")</f>
        <v>06 ORL</v>
      </c>
      <c r="O80" s="33" t="str">
        <f ca="1">IFERROR(__xludf.DUMMYFUNCTION("""COMPUTED_VALUE"""),"Dra, Marina Pérez Grau")</f>
        <v>Dra, Marina Pérez Grau</v>
      </c>
      <c r="P80" s="33" t="str">
        <f ca="1">IFERROR(__xludf.DUMMYFUNCTION("""COMPUTED_VALUE"""),"Iván Sánchez (Levante Y Albacete)")</f>
        <v>Iván Sánchez (Levante Y Albacete)</v>
      </c>
    </row>
    <row r="81" spans="2:16">
      <c r="B81" s="33">
        <f ca="1">IFERROR(__xludf.DUMMYFUNCTION("""COMPUTED_VALUE"""),2025)</f>
        <v>2025</v>
      </c>
      <c r="C81" s="33">
        <f ca="1">IFERROR(__xludf.DUMMYFUNCTION("""COMPUTED_VALUE"""),1)</f>
        <v>1</v>
      </c>
      <c r="D81" s="33" t="str">
        <f ca="1">IFERROR(__xludf.DUMMYFUNCTION("""COMPUTED_VALUE"""),"NO")</f>
        <v>NO</v>
      </c>
      <c r="E81" s="33" t="str">
        <f ca="1">IFERROR(__xludf.DUMMYFUNCTION("""COMPUTED_VALUE"""),"Orihuela")</f>
        <v>Orihuela</v>
      </c>
      <c r="F81" s="57">
        <f ca="1">IFERROR(__xludf.DUMMYFUNCTION("""COMPUTED_VALUE"""),45688)</f>
        <v>45688</v>
      </c>
      <c r="G81" s="57">
        <f ca="1">IFERROR(__xludf.DUMMYFUNCTION("""COMPUTED_VALUE"""),45673)</f>
        <v>45673</v>
      </c>
      <c r="H81" s="33" t="str">
        <f ca="1">IFERROR(__xludf.DUMMYFUNCTION("""COMPUTED_VALUE"""),"La Zenia")</f>
        <v>La Zenia</v>
      </c>
      <c r="I81" s="33" t="str">
        <f ca="1">IFERROR(__xludf.DUMMYFUNCTION("""COMPUTED_VALUE"""),"C202512014953350")</f>
        <v>C202512014953350</v>
      </c>
      <c r="J81" s="33" t="str">
        <f ca="1">IFERROR(__xludf.DUMMYFUNCTION("""COMPUTED_VALUE"""),"UNA MAGOURTY")</f>
        <v>UNA MAGOURTY</v>
      </c>
      <c r="K81" s="33">
        <f ca="1">IFERROR(__xludf.DUMMYFUNCTION("""COMPUTED_VALUE"""),2)</f>
        <v>2</v>
      </c>
      <c r="L81" s="203">
        <f ca="1">IFERROR(__xludf.DUMMYFUNCTION("""COMPUTED_VALUE"""),4000)</f>
        <v>4000</v>
      </c>
      <c r="M81" s="33" t="str">
        <f ca="1">IFERROR(__xludf.DUMMYFUNCTION("""COMPUTED_VALUE"""),"03 ORL")</f>
        <v>03 ORL</v>
      </c>
      <c r="N81" s="33" t="str">
        <f ca="1">IFERROR(__xludf.DUMMYFUNCTION("""COMPUTED_VALUE"""),"06 ORL")</f>
        <v>06 ORL</v>
      </c>
      <c r="O81" s="33" t="str">
        <f ca="1">IFERROR(__xludf.DUMMYFUNCTION("""COMPUTED_VALUE"""),"Dr, Santiago Moreno Paredes")</f>
        <v>Dr, Santiago Moreno Paredes</v>
      </c>
      <c r="P81" s="33" t="str">
        <f ca="1">IFERROR(__xludf.DUMMYFUNCTION("""COMPUTED_VALUE"""),"Iván Sánchez (Levante Y Albacete)")</f>
        <v>Iván Sánchez (Levante Y Albacete)</v>
      </c>
    </row>
    <row r="82" spans="2:16">
      <c r="B82" s="33">
        <f ca="1">IFERROR(__xludf.DUMMYFUNCTION("""COMPUTED_VALUE"""),2025)</f>
        <v>2025</v>
      </c>
      <c r="C82" s="33">
        <f ca="1">IFERROR(__xludf.DUMMYFUNCTION("""COMPUTED_VALUE"""),1)</f>
        <v>1</v>
      </c>
      <c r="D82" s="33" t="str">
        <f ca="1">IFERROR(__xludf.DUMMYFUNCTION("""COMPUTED_VALUE"""),"NO")</f>
        <v>NO</v>
      </c>
      <c r="E82" s="33" t="str">
        <f ca="1">IFERROR(__xludf.DUMMYFUNCTION("""COMPUTED_VALUE"""),"Ourense")</f>
        <v>Ourense</v>
      </c>
      <c r="F82" s="57">
        <f ca="1">IFERROR(__xludf.DUMMYFUNCTION("""COMPUTED_VALUE"""),45680)</f>
        <v>45680</v>
      </c>
      <c r="G82" s="57">
        <f ca="1">IFERROR(__xludf.DUMMYFUNCTION("""COMPUTED_VALUE"""),45601)</f>
        <v>45601</v>
      </c>
      <c r="H82" s="33" t="str">
        <f ca="1">IFERROR(__xludf.DUMMYFUNCTION("""COMPUTED_VALUE"""),"Orense")</f>
        <v>Orense</v>
      </c>
      <c r="I82" s="33" t="str">
        <f ca="1">IFERROR(__xludf.DUMMYFUNCTION("""COMPUTED_VALUE"""),"ORS-426")</f>
        <v>ORS-426</v>
      </c>
      <c r="J82" s="33" t="str">
        <f ca="1">IFERROR(__xludf.DUMMYFUNCTION("""COMPUTED_VALUE"""),"MARIA GONZALEZ GOMEZ")</f>
        <v>MARIA GONZALEZ GOMEZ</v>
      </c>
      <c r="K82" s="33">
        <f ca="1">IFERROR(__xludf.DUMMYFUNCTION("""COMPUTED_VALUE"""),1)</f>
        <v>1</v>
      </c>
      <c r="L82" s="203">
        <f ca="1">IFERROR(__xludf.DUMMYFUNCTION("""COMPUTED_VALUE"""),1982.73)</f>
        <v>1982.73</v>
      </c>
      <c r="M82" s="33" t="str">
        <f ca="1">IFERROR(__xludf.DUMMYFUNCTION("""COMPUTED_VALUE"""),"03 ORL")</f>
        <v>03 ORL</v>
      </c>
      <c r="N82" s="33" t="str">
        <f ca="1">IFERROR(__xludf.DUMMYFUNCTION("""COMPUTED_VALUE"""),"06 ORL")</f>
        <v>06 ORL</v>
      </c>
      <c r="O82" s="33" t="str">
        <f ca="1">IFERROR(__xludf.DUMMYFUNCTION("""COMPUTED_VALUE"""),"Dra, María Rey Marcos")</f>
        <v>Dra, María Rey Marcos</v>
      </c>
      <c r="P82" s="33" t="str">
        <f ca="1">IFERROR(__xludf.DUMMYFUNCTION("""COMPUTED_VALUE"""),"Roberto Pereira (Galicia)")</f>
        <v>Roberto Pereira (Galicia)</v>
      </c>
    </row>
    <row r="83" spans="2:16">
      <c r="B83" s="33">
        <f ca="1">IFERROR(__xludf.DUMMYFUNCTION("""COMPUTED_VALUE"""),2025)</f>
        <v>2025</v>
      </c>
      <c r="C83" s="33">
        <f ca="1">IFERROR(__xludf.DUMMYFUNCTION("""COMPUTED_VALUE"""),1)</f>
        <v>1</v>
      </c>
      <c r="D83" s="33" t="str">
        <f ca="1">IFERROR(__xludf.DUMMYFUNCTION("""COMPUTED_VALUE"""),"NO")</f>
        <v>NO</v>
      </c>
      <c r="E83" s="33" t="str">
        <f ca="1">IFERROR(__xludf.DUMMYFUNCTION("""COMPUTED_VALUE"""),"Ourense")</f>
        <v>Ourense</v>
      </c>
      <c r="F83" s="57">
        <f ca="1">IFERROR(__xludf.DUMMYFUNCTION("""COMPUTED_VALUE"""),45678)</f>
        <v>45678</v>
      </c>
      <c r="G83" s="57">
        <f ca="1">IFERROR(__xludf.DUMMYFUNCTION("""COMPUTED_VALUE"""),45643)</f>
        <v>45643</v>
      </c>
      <c r="H83" s="33" t="str">
        <f ca="1">IFERROR(__xludf.DUMMYFUNCTION("""COMPUTED_VALUE"""),"Orense")</f>
        <v>Orense</v>
      </c>
      <c r="I83" s="33" t="str">
        <f ca="1">IFERROR(__xludf.DUMMYFUNCTION("""COMPUTED_VALUE"""),"C2024121914382837")</f>
        <v>C2024121914382837</v>
      </c>
      <c r="J83" s="33" t="str">
        <f ca="1">IFERROR(__xludf.DUMMYFUNCTION("""COMPUTED_VALUE"""),"MARÍA LUISA MEIRA LABO")</f>
        <v>MARÍA LUISA MEIRA LABO</v>
      </c>
      <c r="K83" s="33">
        <f ca="1">IFERROR(__xludf.DUMMYFUNCTION("""COMPUTED_VALUE"""),2)</f>
        <v>2</v>
      </c>
      <c r="L83" s="203">
        <f ca="1">IFERROR(__xludf.DUMMYFUNCTION("""COMPUTED_VALUE"""),3710)</f>
        <v>3710</v>
      </c>
      <c r="M83" s="33" t="str">
        <f ca="1">IFERROR(__xludf.DUMMYFUNCTION("""COMPUTED_VALUE"""),"03 ORL")</f>
        <v>03 ORL</v>
      </c>
      <c r="N83" s="33" t="str">
        <f ca="1">IFERROR(__xludf.DUMMYFUNCTION("""COMPUTED_VALUE"""),"06 ORL")</f>
        <v>06 ORL</v>
      </c>
      <c r="O83" s="33" t="str">
        <f ca="1">IFERROR(__xludf.DUMMYFUNCTION("""COMPUTED_VALUE"""),"Dra, Ana Quintana Sanjuan")</f>
        <v>Dra, Ana Quintana Sanjuan</v>
      </c>
      <c r="P83" s="33" t="str">
        <f ca="1">IFERROR(__xludf.DUMMYFUNCTION("""COMPUTED_VALUE"""),"Roberto Pereira (Galicia)")</f>
        <v>Roberto Pereira (Galicia)</v>
      </c>
    </row>
    <row r="84" spans="2:16">
      <c r="B84" s="33">
        <f ca="1">IFERROR(__xludf.DUMMYFUNCTION("""COMPUTED_VALUE"""),2025)</f>
        <v>2025</v>
      </c>
      <c r="C84" s="33">
        <f ca="1">IFERROR(__xludf.DUMMYFUNCTION("""COMPUTED_VALUE"""),1)</f>
        <v>1</v>
      </c>
      <c r="D84" s="33" t="str">
        <f ca="1">IFERROR(__xludf.DUMMYFUNCTION("""COMPUTED_VALUE"""),"NO")</f>
        <v>NO</v>
      </c>
      <c r="E84" s="33" t="str">
        <f ca="1">IFERROR(__xludf.DUMMYFUNCTION("""COMPUTED_VALUE"""),"San Javier")</f>
        <v>San Javier</v>
      </c>
      <c r="F84" s="57">
        <f ca="1">IFERROR(__xludf.DUMMYFUNCTION("""COMPUTED_VALUE"""),45665)</f>
        <v>45665</v>
      </c>
      <c r="G84" s="57">
        <f ca="1">IFERROR(__xludf.DUMMYFUNCTION("""COMPUTED_VALUE"""),45635)</f>
        <v>45635</v>
      </c>
      <c r="H84" s="33" t="str">
        <f ca="1">IFERROR(__xludf.DUMMYFUNCTION("""COMPUTED_VALUE"""),"San Javier")</f>
        <v>San Javier</v>
      </c>
      <c r="I84" s="33" t="str">
        <f ca="1">IFERROR(__xludf.DUMMYFUNCTION("""COMPUTED_VALUE"""),"MSJ-496")</f>
        <v>MSJ-496</v>
      </c>
      <c r="J84" s="33" t="str">
        <f ca="1">IFERROR(__xludf.DUMMYFUNCTION("""COMPUTED_VALUE"""),"EUSEBIO CASTEJON ROS")</f>
        <v>EUSEBIO CASTEJON ROS</v>
      </c>
      <c r="K84" s="33">
        <f ca="1">IFERROR(__xludf.DUMMYFUNCTION("""COMPUTED_VALUE"""),2)</f>
        <v>2</v>
      </c>
      <c r="L84" s="203">
        <f ca="1">IFERROR(__xludf.DUMMYFUNCTION("""COMPUTED_VALUE"""),3710)</f>
        <v>3710</v>
      </c>
      <c r="M84" s="33" t="str">
        <f ca="1">IFERROR(__xludf.DUMMYFUNCTION("""COMPUTED_VALUE"""),"04 TIENDA")</f>
        <v>04 TIENDA</v>
      </c>
      <c r="N84" s="33" t="str">
        <f ca="1">IFERROR(__xludf.DUMMYFUNCTION("""COMPUTED_VALUE"""),"07 BOCA/BOCA")</f>
        <v>07 BOCA/BOCA</v>
      </c>
      <c r="O84" s="33" t="str">
        <f ca="1">IFERROR(__xludf.DUMMYFUNCTION("""COMPUTED_VALUE"""),"Dra, Ana Giribet Fernández-Pacheco")</f>
        <v>Dra, Ana Giribet Fernández-Pacheco</v>
      </c>
      <c r="P84" s="33" t="str">
        <f ca="1">IFERROR(__xludf.DUMMYFUNCTION("""COMPUTED_VALUE"""),"Iván Sánchez (Levante Y Albacete)")</f>
        <v>Iván Sánchez (Levante Y Albacete)</v>
      </c>
    </row>
    <row r="85" spans="2:16">
      <c r="B85" s="33">
        <f ca="1">IFERROR(__xludf.DUMMYFUNCTION("""COMPUTED_VALUE"""),2025)</f>
        <v>2025</v>
      </c>
      <c r="C85" s="33">
        <f ca="1">IFERROR(__xludf.DUMMYFUNCTION("""COMPUTED_VALUE"""),1)</f>
        <v>1</v>
      </c>
      <c r="D85" s="33" t="str">
        <f ca="1">IFERROR(__xludf.DUMMYFUNCTION("""COMPUTED_VALUE"""),"NO")</f>
        <v>NO</v>
      </c>
      <c r="E85" s="33" t="str">
        <f ca="1">IFERROR(__xludf.DUMMYFUNCTION("""COMPUTED_VALUE"""),"San Javier")</f>
        <v>San Javier</v>
      </c>
      <c r="F85" s="57">
        <f ca="1">IFERROR(__xludf.DUMMYFUNCTION("""COMPUTED_VALUE"""),45686)</f>
        <v>45686</v>
      </c>
      <c r="G85" s="57">
        <f ca="1">IFERROR(__xludf.DUMMYFUNCTION("""COMPUTED_VALUE"""),45656)</f>
        <v>45656</v>
      </c>
      <c r="H85" s="33" t="str">
        <f ca="1">IFERROR(__xludf.DUMMYFUNCTION("""COMPUTED_VALUE"""),"San Javier")</f>
        <v>San Javier</v>
      </c>
      <c r="I85" s="33" t="str">
        <f ca="1">IFERROR(__xludf.DUMMYFUNCTION("""COMPUTED_VALUE"""),"C202519173217948")</f>
        <v>C202519173217948</v>
      </c>
      <c r="J85" s="33" t="str">
        <f ca="1">IFERROR(__xludf.DUMMYFUNCTION("""COMPUTED_VALUE"""),"JOSE MARIA ROCA MARTINEZ")</f>
        <v>JOSE MARIA ROCA MARTINEZ</v>
      </c>
      <c r="K85" s="33">
        <f ca="1">IFERROR(__xludf.DUMMYFUNCTION("""COMPUTED_VALUE"""),2)</f>
        <v>2</v>
      </c>
      <c r="L85" s="203">
        <f ca="1">IFERROR(__xludf.DUMMYFUNCTION("""COMPUTED_VALUE"""),4000)</f>
        <v>4000</v>
      </c>
      <c r="M85" s="33" t="str">
        <f ca="1">IFERROR(__xludf.DUMMYFUNCTION("""COMPUTED_VALUE"""),"03 ORL")</f>
        <v>03 ORL</v>
      </c>
      <c r="N85" s="33" t="str">
        <f ca="1">IFERROR(__xludf.DUMMYFUNCTION("""COMPUTED_VALUE"""),"06 ORL")</f>
        <v>06 ORL</v>
      </c>
      <c r="O85" s="33" t="str">
        <f ca="1">IFERROR(__xludf.DUMMYFUNCTION("""COMPUTED_VALUE"""),"Dr, Dinis Antunes Silva")</f>
        <v>Dr, Dinis Antunes Silva</v>
      </c>
      <c r="P85" s="33" t="str">
        <f ca="1">IFERROR(__xludf.DUMMYFUNCTION("""COMPUTED_VALUE"""),"Iván Sánchez (Levante Y Albacete)")</f>
        <v>Iván Sánchez (Levante Y Albacete)</v>
      </c>
    </row>
    <row r="86" spans="2:16">
      <c r="B86" s="33">
        <f ca="1">IFERROR(__xludf.DUMMYFUNCTION("""COMPUTED_VALUE"""),2025)</f>
        <v>2025</v>
      </c>
      <c r="C86" s="33">
        <f ca="1">IFERROR(__xludf.DUMMYFUNCTION("""COMPUTED_VALUE"""),1)</f>
        <v>1</v>
      </c>
      <c r="D86" s="33" t="str">
        <f ca="1">IFERROR(__xludf.DUMMYFUNCTION("""COMPUTED_VALUE"""),"NO")</f>
        <v>NO</v>
      </c>
      <c r="E86" s="33" t="str">
        <f ca="1">IFERROR(__xludf.DUMMYFUNCTION("""COMPUTED_VALUE"""),"San Javier")</f>
        <v>San Javier</v>
      </c>
      <c r="F86" s="57">
        <f ca="1">IFERROR(__xludf.DUMMYFUNCTION("""COMPUTED_VALUE"""),45688)</f>
        <v>45688</v>
      </c>
      <c r="G86" s="57">
        <f ca="1">IFERROR(__xludf.DUMMYFUNCTION("""COMPUTED_VALUE"""),45608)</f>
        <v>45608</v>
      </c>
      <c r="H86" s="33" t="str">
        <f ca="1">IFERROR(__xludf.DUMMYFUNCTION("""COMPUTED_VALUE"""),"San Javier")</f>
        <v>San Javier</v>
      </c>
      <c r="I86" s="33" t="str">
        <f ca="1">IFERROR(__xludf.DUMMYFUNCTION("""COMPUTED_VALUE"""),"MSJ-488")</f>
        <v>MSJ-488</v>
      </c>
      <c r="J86" s="33" t="str">
        <f ca="1">IFERROR(__xludf.DUMMYFUNCTION("""COMPUTED_VALUE"""),"JUAN GARCIA GARCIA")</f>
        <v>JUAN GARCIA GARCIA</v>
      </c>
      <c r="K86" s="33">
        <f ca="1">IFERROR(__xludf.DUMMYFUNCTION("""COMPUTED_VALUE"""),1)</f>
        <v>1</v>
      </c>
      <c r="L86" s="203">
        <f ca="1">IFERROR(__xludf.DUMMYFUNCTION("""COMPUTED_VALUE"""),2640)</f>
        <v>2640</v>
      </c>
      <c r="M86" s="33" t="str">
        <f ca="1">IFERROR(__xludf.DUMMYFUNCTION("""COMPUTED_VALUE"""),"03 ORL")</f>
        <v>03 ORL</v>
      </c>
      <c r="N86" s="33" t="str">
        <f ca="1">IFERROR(__xludf.DUMMYFUNCTION("""COMPUTED_VALUE"""),"06 ORL")</f>
        <v>06 ORL</v>
      </c>
      <c r="O86" s="33" t="str">
        <f ca="1">IFERROR(__xludf.DUMMYFUNCTION("""COMPUTED_VALUE"""),"Dr, Alberto Raposo Jiménez")</f>
        <v>Dr, Alberto Raposo Jiménez</v>
      </c>
      <c r="P86" s="33" t="str">
        <f ca="1">IFERROR(__xludf.DUMMYFUNCTION("""COMPUTED_VALUE"""),"Iván Sánchez (Levante Y Albacete)")</f>
        <v>Iván Sánchez (Levante Y Albacete)</v>
      </c>
    </row>
    <row r="87" spans="2:16">
      <c r="B87" s="33">
        <f ca="1">IFERROR(__xludf.DUMMYFUNCTION("""COMPUTED_VALUE"""),2025)</f>
        <v>2025</v>
      </c>
      <c r="C87" s="33">
        <f ca="1">IFERROR(__xludf.DUMMYFUNCTION("""COMPUTED_VALUE"""),1)</f>
        <v>1</v>
      </c>
      <c r="D87" s="33" t="str">
        <f ca="1">IFERROR(__xludf.DUMMYFUNCTION("""COMPUTED_VALUE"""),"NO")</f>
        <v>NO</v>
      </c>
      <c r="E87" s="33" t="str">
        <f ca="1">IFERROR(__xludf.DUMMYFUNCTION("""COMPUTED_VALUE"""),"San Javier")</f>
        <v>San Javier</v>
      </c>
      <c r="F87" s="57">
        <f ca="1">IFERROR(__xludf.DUMMYFUNCTION("""COMPUTED_VALUE"""),45686)</f>
        <v>45686</v>
      </c>
      <c r="G87" s="57">
        <f ca="1">IFERROR(__xludf.DUMMYFUNCTION("""COMPUTED_VALUE"""),45644)</f>
        <v>45644</v>
      </c>
      <c r="H87" s="33" t="str">
        <f ca="1">IFERROR(__xludf.DUMMYFUNCTION("""COMPUTED_VALUE"""),"San Javier")</f>
        <v>San Javier</v>
      </c>
      <c r="I87" s="33" t="str">
        <f ca="1">IFERROR(__xludf.DUMMYFUNCTION("""COMPUTED_VALUE"""),"C2024122016012975")</f>
        <v>C2024122016012975</v>
      </c>
      <c r="J87" s="33" t="str">
        <f ca="1">IFERROR(__xludf.DUMMYFUNCTION("""COMPUTED_VALUE"""),"LUISA ANDREU MARTINEZ")</f>
        <v>LUISA ANDREU MARTINEZ</v>
      </c>
      <c r="K87" s="33">
        <f ca="1">IFERROR(__xludf.DUMMYFUNCTION("""COMPUTED_VALUE"""),2)</f>
        <v>2</v>
      </c>
      <c r="L87" s="203">
        <f ca="1">IFERROR(__xludf.DUMMYFUNCTION("""COMPUTED_VALUE"""),3710)</f>
        <v>3710</v>
      </c>
      <c r="M87" s="33" t="str">
        <f ca="1">IFERROR(__xludf.DUMMYFUNCTION("""COMPUTED_VALUE"""),"03 ORL")</f>
        <v>03 ORL</v>
      </c>
      <c r="N87" s="33" t="str">
        <f ca="1">IFERROR(__xludf.DUMMYFUNCTION("""COMPUTED_VALUE"""),"06 ORL")</f>
        <v>06 ORL</v>
      </c>
      <c r="O87" s="33" t="str">
        <f ca="1">IFERROR(__xludf.DUMMYFUNCTION("""COMPUTED_VALUE"""),"Dr, Francisco García Purriños")</f>
        <v>Dr, Francisco García Purriños</v>
      </c>
      <c r="P87" s="33" t="str">
        <f ca="1">IFERROR(__xludf.DUMMYFUNCTION("""COMPUTED_VALUE"""),"Iván Sánchez (Levante Y Albacete)")</f>
        <v>Iván Sánchez (Levante Y Albacete)</v>
      </c>
    </row>
    <row r="88" spans="2:16">
      <c r="B88" s="33">
        <f ca="1">IFERROR(__xludf.DUMMYFUNCTION("""COMPUTED_VALUE"""),2025)</f>
        <v>2025</v>
      </c>
      <c r="C88" s="33">
        <f ca="1">IFERROR(__xludf.DUMMYFUNCTION("""COMPUTED_VALUE"""),1)</f>
        <v>1</v>
      </c>
      <c r="D88" s="33" t="str">
        <f ca="1">IFERROR(__xludf.DUMMYFUNCTION("""COMPUTED_VALUE"""),"NO")</f>
        <v>NO</v>
      </c>
      <c r="E88" s="33" t="str">
        <f ca="1">IFERROR(__xludf.DUMMYFUNCTION("""COMPUTED_VALUE"""),"San Javier")</f>
        <v>San Javier</v>
      </c>
      <c r="F88" s="57">
        <f ca="1">IFERROR(__xludf.DUMMYFUNCTION("""COMPUTED_VALUE"""),45684)</f>
        <v>45684</v>
      </c>
      <c r="G88" s="57">
        <f ca="1">IFERROR(__xludf.DUMMYFUNCTION("""COMPUTED_VALUE"""),45595)</f>
        <v>45595</v>
      </c>
      <c r="H88" s="33" t="str">
        <f ca="1">IFERROR(__xludf.DUMMYFUNCTION("""COMPUTED_VALUE"""),"San Javier")</f>
        <v>San Javier</v>
      </c>
      <c r="I88" s="33" t="str">
        <f ca="1">IFERROR(__xludf.DUMMYFUNCTION("""COMPUTED_VALUE"""),"MSJ-473")</f>
        <v>MSJ-473</v>
      </c>
      <c r="J88" s="33" t="str">
        <f ca="1">IFERROR(__xludf.DUMMYFUNCTION("""COMPUTED_VALUE"""),"SUSAN ELISABETH RUTHERFORD")</f>
        <v>SUSAN ELISABETH RUTHERFORD</v>
      </c>
      <c r="K88" s="33">
        <f ca="1">IFERROR(__xludf.DUMMYFUNCTION("""COMPUTED_VALUE"""),2)</f>
        <v>2</v>
      </c>
      <c r="L88" s="203">
        <f ca="1">IFERROR(__xludf.DUMMYFUNCTION("""COMPUTED_VALUE"""),3710)</f>
        <v>3710</v>
      </c>
      <c r="M88" s="33" t="str">
        <f ca="1">IFERROR(__xludf.DUMMYFUNCTION("""COMPUTED_VALUE"""),"03 ORL")</f>
        <v>03 ORL</v>
      </c>
      <c r="N88" s="33" t="str">
        <f ca="1">IFERROR(__xludf.DUMMYFUNCTION("""COMPUTED_VALUE"""),"06 ORL")</f>
        <v>06 ORL</v>
      </c>
      <c r="O88" s="33" t="str">
        <f ca="1">IFERROR(__xludf.DUMMYFUNCTION("""COMPUTED_VALUE"""),"Dra, Nathalie Fages Cárceles")</f>
        <v>Dra, Nathalie Fages Cárceles</v>
      </c>
      <c r="P88" s="33" t="str">
        <f ca="1">IFERROR(__xludf.DUMMYFUNCTION("""COMPUTED_VALUE"""),"Iván Sánchez (Levante Y Albacete)")</f>
        <v>Iván Sánchez (Levante Y Albacete)</v>
      </c>
    </row>
    <row r="89" spans="2:16">
      <c r="B89" s="33">
        <f ca="1">IFERROR(__xludf.DUMMYFUNCTION("""COMPUTED_VALUE"""),2025)</f>
        <v>2025</v>
      </c>
      <c r="C89" s="33">
        <f ca="1">IFERROR(__xludf.DUMMYFUNCTION("""COMPUTED_VALUE"""),1)</f>
        <v>1</v>
      </c>
      <c r="D89" s="33" t="str">
        <f ca="1">IFERROR(__xludf.DUMMYFUNCTION("""COMPUTED_VALUE"""),"NO")</f>
        <v>NO</v>
      </c>
      <c r="E89" s="33" t="str">
        <f ca="1">IFERROR(__xludf.DUMMYFUNCTION("""COMPUTED_VALUE"""),"Santiago de Compostela")</f>
        <v>Santiago de Compostela</v>
      </c>
      <c r="F89" s="57">
        <f ca="1">IFERROR(__xludf.DUMMYFUNCTION("""COMPUTED_VALUE"""),45687)</f>
        <v>45687</v>
      </c>
      <c r="G89" s="57">
        <f ca="1">IFERROR(__xludf.DUMMYFUNCTION("""COMPUTED_VALUE"""),45642)</f>
        <v>45642</v>
      </c>
      <c r="H89" s="33" t="str">
        <f ca="1">IFERROR(__xludf.DUMMYFUNCTION("""COMPUTED_VALUE"""),"Santiago")</f>
        <v>Santiago</v>
      </c>
      <c r="I89" s="33" t="str">
        <f ca="1">IFERROR(__xludf.DUMMYFUNCTION("""COMPUTED_VALUE"""),"C20241218124537586")</f>
        <v>C20241218124537586</v>
      </c>
      <c r="J89" s="33" t="str">
        <f ca="1">IFERROR(__xludf.DUMMYFUNCTION("""COMPUTED_VALUE"""),"PILAR VAZQUEZ MEJUTO")</f>
        <v>PILAR VAZQUEZ MEJUTO</v>
      </c>
      <c r="K89" s="33">
        <f ca="1">IFERROR(__xludf.DUMMYFUNCTION("""COMPUTED_VALUE"""),1)</f>
        <v>1</v>
      </c>
      <c r="L89" s="203">
        <f ca="1">IFERROR(__xludf.DUMMYFUNCTION("""COMPUTED_VALUE"""),2400)</f>
        <v>2400</v>
      </c>
      <c r="M89" s="33" t="str">
        <f ca="1">IFERROR(__xludf.DUMMYFUNCTION("""COMPUTED_VALUE"""),"03 ORL")</f>
        <v>03 ORL</v>
      </c>
      <c r="N89" s="33" t="str">
        <f ca="1">IFERROR(__xludf.DUMMYFUNCTION("""COMPUTED_VALUE"""),"06 ORL")</f>
        <v>06 ORL</v>
      </c>
      <c r="O89" s="33" t="str">
        <f ca="1">IFERROR(__xludf.DUMMYFUNCTION("""COMPUTED_VALUE"""),"Dr, Carlos Vidal Redondo")</f>
        <v>Dr, Carlos Vidal Redondo</v>
      </c>
      <c r="P89" s="1" t="str">
        <f ca="1">IFERROR(__xludf.DUMMYFUNCTION("""COMPUTED_VALUE"""),"Roberto Pereira (Galicia)")</f>
        <v>Roberto Pereira (Galicia)</v>
      </c>
    </row>
    <row r="90" spans="2:16">
      <c r="B90" s="33">
        <f ca="1">IFERROR(__xludf.DUMMYFUNCTION("""COMPUTED_VALUE"""),2025)</f>
        <v>2025</v>
      </c>
      <c r="C90" s="33">
        <f ca="1">IFERROR(__xludf.DUMMYFUNCTION("""COMPUTED_VALUE"""),1)</f>
        <v>1</v>
      </c>
      <c r="D90" s="33" t="str">
        <f ca="1">IFERROR(__xludf.DUMMYFUNCTION("""COMPUTED_VALUE"""),"NO")</f>
        <v>NO</v>
      </c>
      <c r="E90" s="33" t="str">
        <f ca="1">IFERROR(__xludf.DUMMYFUNCTION("""COMPUTED_VALUE"""),"Sevilla- Montoto")</f>
        <v>Sevilla- Montoto</v>
      </c>
      <c r="F90" s="57">
        <f ca="1">IFERROR(__xludf.DUMMYFUNCTION("""COMPUTED_VALUE"""),45673)</f>
        <v>45673</v>
      </c>
      <c r="G90" s="57">
        <f ca="1">IFERROR(__xludf.DUMMYFUNCTION("""COMPUTED_VALUE"""),45616)</f>
        <v>45616</v>
      </c>
      <c r="H90" s="33" t="str">
        <f ca="1">IFERROR(__xludf.DUMMYFUNCTION("""COMPUTED_VALUE"""),"Montoto")</f>
        <v>Montoto</v>
      </c>
      <c r="I90" s="33" t="str">
        <f ca="1">IFERROR(__xludf.DUMMYFUNCTION("""COMPUTED_VALUE"""),"C2024112711446121")</f>
        <v>C2024112711446121</v>
      </c>
      <c r="J90" s="33" t="str">
        <f ca="1">IFERROR(__xludf.DUMMYFUNCTION("""COMPUTED_VALUE"""),"FRANCISCA MORA DEL PINO")</f>
        <v>FRANCISCA MORA DEL PINO</v>
      </c>
      <c r="K90" s="33">
        <f ca="1">IFERROR(__xludf.DUMMYFUNCTION("""COMPUTED_VALUE"""),2)</f>
        <v>2</v>
      </c>
      <c r="L90" s="203">
        <f ca="1">IFERROR(__xludf.DUMMYFUNCTION("""COMPUTED_VALUE"""),3800)</f>
        <v>3800</v>
      </c>
      <c r="M90" s="33" t="str">
        <f ca="1">IFERROR(__xludf.DUMMYFUNCTION("""COMPUTED_VALUE"""),"03 ORL")</f>
        <v>03 ORL</v>
      </c>
      <c r="N90" s="33" t="str">
        <f ca="1">IFERROR(__xludf.DUMMYFUNCTION("""COMPUTED_VALUE"""),"06 ORL")</f>
        <v>06 ORL</v>
      </c>
      <c r="O90" s="33" t="str">
        <f ca="1">IFERROR(__xludf.DUMMYFUNCTION("""COMPUTED_VALUE"""),"Dr, Antonio Gandúl Merchán")</f>
        <v>Dr, Antonio Gandúl Merchán</v>
      </c>
      <c r="P90" s="33" t="str">
        <f ca="1">IFERROR(__xludf.DUMMYFUNCTION("""COMPUTED_VALUE"""),"Luis Alberto Rodríguez (Andalucía Y Badajoz)")</f>
        <v>Luis Alberto Rodríguez (Andalucía Y Badajoz)</v>
      </c>
    </row>
    <row r="91" spans="2:16">
      <c r="B91" s="33">
        <f ca="1">IFERROR(__xludf.DUMMYFUNCTION("""COMPUTED_VALUE"""),2025)</f>
        <v>2025</v>
      </c>
      <c r="C91" s="33">
        <f ca="1">IFERROR(__xludf.DUMMYFUNCTION("""COMPUTED_VALUE"""),1)</f>
        <v>1</v>
      </c>
      <c r="D91" s="33" t="str">
        <f ca="1">IFERROR(__xludf.DUMMYFUNCTION("""COMPUTED_VALUE"""),"NO")</f>
        <v>NO</v>
      </c>
      <c r="E91" s="33" t="str">
        <f ca="1">IFERROR(__xludf.DUMMYFUNCTION("""COMPUTED_VALUE"""),"Sevilla- Montoto")</f>
        <v>Sevilla- Montoto</v>
      </c>
      <c r="F91" s="57">
        <f ca="1">IFERROR(__xludf.DUMMYFUNCTION("""COMPUTED_VALUE"""),45671)</f>
        <v>45671</v>
      </c>
      <c r="G91" s="57">
        <f ca="1">IFERROR(__xludf.DUMMYFUNCTION("""COMPUTED_VALUE"""),45623)</f>
        <v>45623</v>
      </c>
      <c r="H91" s="33" t="str">
        <f ca="1">IFERROR(__xludf.DUMMYFUNCTION("""COMPUTED_VALUE"""),"Montoto")</f>
        <v>Montoto</v>
      </c>
      <c r="I91" s="33" t="str">
        <f ca="1">IFERROR(__xludf.DUMMYFUNCTION("""COMPUTED_VALUE"""),"C2024124122940422")</f>
        <v>C2024124122940422</v>
      </c>
      <c r="J91" s="33" t="str">
        <f ca="1">IFERROR(__xludf.DUMMYFUNCTION("""COMPUTED_VALUE"""),"GUILLERMO POLO HERVÁS")</f>
        <v>GUILLERMO POLO HERVÁS</v>
      </c>
      <c r="K91" s="33">
        <f ca="1">IFERROR(__xludf.DUMMYFUNCTION("""COMPUTED_VALUE"""),2)</f>
        <v>2</v>
      </c>
      <c r="L91" s="203">
        <f ca="1">IFERROR(__xludf.DUMMYFUNCTION("""COMPUTED_VALUE"""),4180)</f>
        <v>4180</v>
      </c>
      <c r="M91" s="33" t="str">
        <f ca="1">IFERROR(__xludf.DUMMYFUNCTION("""COMPUTED_VALUE"""),"01 MARKETING ON LINE")</f>
        <v>01 MARKETING ON LINE</v>
      </c>
      <c r="N91" s="33" t="str">
        <f ca="1">IFERROR(__xludf.DUMMYFUNCTION("""COMPUTED_VALUE"""),"04 AUDIFONO,ES")</f>
        <v>04 AUDIFONO,ES</v>
      </c>
      <c r="O91" s="33" t="str">
        <f ca="1">IFERROR(__xludf.DUMMYFUNCTION("""COMPUTED_VALUE"""),"Dr, Jaime Alonso Ochoa Ríos")</f>
        <v>Dr, Jaime Alonso Ochoa Ríos</v>
      </c>
      <c r="P91" s="33" t="str">
        <f ca="1">IFERROR(__xludf.DUMMYFUNCTION("""COMPUTED_VALUE"""),"Luis Alberto Rodríguez (Andalucía Y Badajoz)")</f>
        <v>Luis Alberto Rodríguez (Andalucía Y Badajoz)</v>
      </c>
    </row>
    <row r="92" spans="2:16">
      <c r="B92" s="33">
        <f ca="1">IFERROR(__xludf.DUMMYFUNCTION("""COMPUTED_VALUE"""),2025)</f>
        <v>2025</v>
      </c>
      <c r="C92" s="33">
        <f ca="1">IFERROR(__xludf.DUMMYFUNCTION("""COMPUTED_VALUE"""),1)</f>
        <v>1</v>
      </c>
      <c r="D92" s="33" t="str">
        <f ca="1">IFERROR(__xludf.DUMMYFUNCTION("""COMPUTED_VALUE"""),"NO")</f>
        <v>NO</v>
      </c>
      <c r="E92" s="33" t="str">
        <f ca="1">IFERROR(__xludf.DUMMYFUNCTION("""COMPUTED_VALUE"""),"Sevilla- Montoto")</f>
        <v>Sevilla- Montoto</v>
      </c>
      <c r="F92" s="57">
        <f ca="1">IFERROR(__xludf.DUMMYFUNCTION("""COMPUTED_VALUE"""),45686)</f>
        <v>45686</v>
      </c>
      <c r="G92" s="57">
        <f ca="1">IFERROR(__xludf.DUMMYFUNCTION("""COMPUTED_VALUE"""),45448)</f>
        <v>45448</v>
      </c>
      <c r="H92" s="33" t="str">
        <f ca="1">IFERROR(__xludf.DUMMYFUNCTION("""COMPUTED_VALUE"""),"Montoto")</f>
        <v>Montoto</v>
      </c>
      <c r="I92" s="33" t="str">
        <f ca="1">IFERROR(__xludf.DUMMYFUNCTION("""COMPUTED_VALUE"""),"SMO-2372")</f>
        <v>SMO-2372</v>
      </c>
      <c r="J92" s="33" t="str">
        <f ca="1">IFERROR(__xludf.DUMMYFUNCTION("""COMPUTED_VALUE"""),"JUSBERLY SMERALDA MENDOZA TERAN")</f>
        <v>JUSBERLY SMERALDA MENDOZA TERAN</v>
      </c>
      <c r="K92" s="33">
        <f ca="1">IFERROR(__xludf.DUMMYFUNCTION("""COMPUTED_VALUE"""),2)</f>
        <v>2</v>
      </c>
      <c r="L92" s="203">
        <f ca="1">IFERROR(__xludf.DUMMYFUNCTION("""COMPUTED_VALUE"""),3281.09)</f>
        <v>3281.09</v>
      </c>
      <c r="M92" s="33" t="str">
        <f ca="1">IFERROR(__xludf.DUMMYFUNCTION("""COMPUTED_VALUE"""),"03 ORL")</f>
        <v>03 ORL</v>
      </c>
      <c r="N92" s="33" t="str">
        <f ca="1">IFERROR(__xludf.DUMMYFUNCTION("""COMPUTED_VALUE"""),"06 ORL")</f>
        <v>06 ORL</v>
      </c>
      <c r="O92" s="33" t="str">
        <f ca="1">IFERROR(__xludf.DUMMYFUNCTION("""COMPUTED_VALUE"""),"Dr, Jesús Crovato Rojas")</f>
        <v>Dr, Jesús Crovato Rojas</v>
      </c>
      <c r="P92" s="33" t="str">
        <f ca="1">IFERROR(__xludf.DUMMYFUNCTION("""COMPUTED_VALUE"""),"Luis Alberto Rodríguez (Andalucía Y Badajoz)")</f>
        <v>Luis Alberto Rodríguez (Andalucía Y Badajoz)</v>
      </c>
    </row>
    <row r="93" spans="2:16">
      <c r="B93" s="33">
        <f ca="1">IFERROR(__xludf.DUMMYFUNCTION("""COMPUTED_VALUE"""),2025)</f>
        <v>2025</v>
      </c>
      <c r="C93" s="33">
        <f ca="1">IFERROR(__xludf.DUMMYFUNCTION("""COMPUTED_VALUE"""),1)</f>
        <v>1</v>
      </c>
      <c r="D93" s="33" t="str">
        <f ca="1">IFERROR(__xludf.DUMMYFUNCTION("""COMPUTED_VALUE"""),"NO")</f>
        <v>NO</v>
      </c>
      <c r="E93" s="33" t="str">
        <f ca="1">IFERROR(__xludf.DUMMYFUNCTION("""COMPUTED_VALUE"""),"Talavera")</f>
        <v>Talavera</v>
      </c>
      <c r="F93" s="57">
        <f ca="1">IFERROR(__xludf.DUMMYFUNCTION("""COMPUTED_VALUE"""),45688)</f>
        <v>45688</v>
      </c>
      <c r="G93" s="57">
        <f ca="1">IFERROR(__xludf.DUMMYFUNCTION("""COMPUTED_VALUE"""),45672)</f>
        <v>45672</v>
      </c>
      <c r="H93" s="33" t="str">
        <f ca="1">IFERROR(__xludf.DUMMYFUNCTION("""COMPUTED_VALUE"""),"Talavera")</f>
        <v>Talavera</v>
      </c>
      <c r="I93" s="33" t="str">
        <f ca="1">IFERROR(__xludf.DUMMYFUNCTION("""COMPUTED_VALUE"""),"C2025115185051122")</f>
        <v>C2025115185051122</v>
      </c>
      <c r="J93" s="33" t="str">
        <f ca="1">IFERROR(__xludf.DUMMYFUNCTION("""COMPUTED_VALUE"""),"FELICITA GONZALEZ GUTIERREZ")</f>
        <v>FELICITA GONZALEZ GUTIERREZ</v>
      </c>
      <c r="K93" s="33">
        <f ca="1">IFERROR(__xludf.DUMMYFUNCTION("""COMPUTED_VALUE"""),2)</f>
        <v>2</v>
      </c>
      <c r="L93" s="203">
        <f ca="1">IFERROR(__xludf.DUMMYFUNCTION("""COMPUTED_VALUE"""),3524.49)</f>
        <v>3524.49</v>
      </c>
      <c r="M93" s="33" t="str">
        <f ca="1">IFERROR(__xludf.DUMMYFUNCTION("""COMPUTED_VALUE"""),"03 ORL")</f>
        <v>03 ORL</v>
      </c>
      <c r="N93" s="33" t="str">
        <f ca="1">IFERROR(__xludf.DUMMYFUNCTION("""COMPUTED_VALUE"""),"06 ORL")</f>
        <v>06 ORL</v>
      </c>
      <c r="O93" s="33" t="str">
        <f ca="1">IFERROR(__xludf.DUMMYFUNCTION("""COMPUTED_VALUE"""),"Dr, Carlos Félix Asensio Nieto")</f>
        <v>Dr, Carlos Félix Asensio Nieto</v>
      </c>
      <c r="P93" s="33" t="str">
        <f ca="1">IFERROR(__xludf.DUMMYFUNCTION("""COMPUTED_VALUE"""),"Lisandro Russian (Madrid, Cáceres, Toledo, Talavera Y Logroño)")</f>
        <v>Lisandro Russian (Madrid, Cáceres, Toledo, Talavera Y Logroño)</v>
      </c>
    </row>
    <row r="94" spans="2:16">
      <c r="B94" s="33">
        <f ca="1">IFERROR(__xludf.DUMMYFUNCTION("""COMPUTED_VALUE"""),2025)</f>
        <v>2025</v>
      </c>
      <c r="C94" s="33">
        <f ca="1">IFERROR(__xludf.DUMMYFUNCTION("""COMPUTED_VALUE"""),1)</f>
        <v>1</v>
      </c>
      <c r="D94" s="33" t="str">
        <f ca="1">IFERROR(__xludf.DUMMYFUNCTION("""COMPUTED_VALUE"""),"NO")</f>
        <v>NO</v>
      </c>
      <c r="E94" s="33" t="str">
        <f ca="1">IFERROR(__xludf.DUMMYFUNCTION("""COMPUTED_VALUE"""),"Torrejón de Ardoz")</f>
        <v>Torrejón de Ardoz</v>
      </c>
      <c r="F94" s="57">
        <f ca="1">IFERROR(__xludf.DUMMYFUNCTION("""COMPUTED_VALUE"""),45681)</f>
        <v>45681</v>
      </c>
      <c r="G94" s="57">
        <f ca="1">IFERROR(__xludf.DUMMYFUNCTION("""COMPUTED_VALUE"""),45644)</f>
        <v>45644</v>
      </c>
      <c r="H94" s="33" t="str">
        <f ca="1">IFERROR(__xludf.DUMMYFUNCTION("""COMPUTED_VALUE"""),"Torrejón")</f>
        <v>Torrejón</v>
      </c>
      <c r="I94" s="33" t="str">
        <f ca="1">IFERROR(__xludf.DUMMYFUNCTION("""COMPUTED_VALUE"""),"C2024122012461758")</f>
        <v>C2024122012461758</v>
      </c>
      <c r="J94" s="33" t="str">
        <f ca="1">IFERROR(__xludf.DUMMYFUNCTION("""COMPUTED_VALUE"""),"ANTONIO LOPEZ MORA")</f>
        <v>ANTONIO LOPEZ MORA</v>
      </c>
      <c r="K94" s="33">
        <f ca="1">IFERROR(__xludf.DUMMYFUNCTION("""COMPUTED_VALUE"""),2)</f>
        <v>2</v>
      </c>
      <c r="L94" s="203">
        <f ca="1">IFERROR(__xludf.DUMMYFUNCTION("""COMPUTED_VALUE"""),3800)</f>
        <v>3800</v>
      </c>
      <c r="M94" s="33" t="str">
        <f ca="1">IFERROR(__xludf.DUMMYFUNCTION("""COMPUTED_VALUE"""),"03 ORL")</f>
        <v>03 ORL</v>
      </c>
      <c r="N94" s="33" t="str">
        <f ca="1">IFERROR(__xludf.DUMMYFUNCTION("""COMPUTED_VALUE"""),"06 ORL")</f>
        <v>06 ORL</v>
      </c>
      <c r="O94" s="33" t="str">
        <f ca="1">IFERROR(__xludf.DUMMYFUNCTION("""COMPUTED_VALUE"""),"Dr, Jose Joaquín Lora Díaz")</f>
        <v>Dr, Jose Joaquín Lora Díaz</v>
      </c>
      <c r="P94" s="33" t="str">
        <f ca="1">IFERROR(__xludf.DUMMYFUNCTION("""COMPUTED_VALUE"""),"Maika Blázquez (Madrid)")</f>
        <v>Maika Blázquez (Madrid)</v>
      </c>
    </row>
    <row r="95" spans="2:16">
      <c r="B95" s="33">
        <f ca="1">IFERROR(__xludf.DUMMYFUNCTION("""COMPUTED_VALUE"""),2025)</f>
        <v>2025</v>
      </c>
      <c r="C95" s="33">
        <f ca="1">IFERROR(__xludf.DUMMYFUNCTION("""COMPUTED_VALUE"""),1)</f>
        <v>1</v>
      </c>
      <c r="D95" s="33" t="str">
        <f ca="1">IFERROR(__xludf.DUMMYFUNCTION("""COMPUTED_VALUE"""),"NO")</f>
        <v>NO</v>
      </c>
      <c r="E95" s="33" t="str">
        <f ca="1">IFERROR(__xludf.DUMMYFUNCTION("""COMPUTED_VALUE"""),"Torrejón de Ardoz")</f>
        <v>Torrejón de Ardoz</v>
      </c>
      <c r="F95" s="57">
        <f ca="1">IFERROR(__xludf.DUMMYFUNCTION("""COMPUTED_VALUE"""),45685)</f>
        <v>45685</v>
      </c>
      <c r="G95" s="57">
        <f ca="1">IFERROR(__xludf.DUMMYFUNCTION("""COMPUTED_VALUE"""),45677)</f>
        <v>45677</v>
      </c>
      <c r="H95" s="33" t="str">
        <f ca="1">IFERROR(__xludf.DUMMYFUNCTION("""COMPUTED_VALUE"""),"Torrejón")</f>
        <v>Torrejón</v>
      </c>
      <c r="I95" s="33" t="str">
        <f ca="1">IFERROR(__xludf.DUMMYFUNCTION("""COMPUTED_VALUE"""),"C2025120103913709")</f>
        <v>C2025120103913709</v>
      </c>
      <c r="J95" s="33" t="str">
        <f ca="1">IFERROR(__xludf.DUMMYFUNCTION("""COMPUTED_VALUE"""),"FERMINA ARRIBAS PARIS")</f>
        <v>FERMINA ARRIBAS PARIS</v>
      </c>
      <c r="K95" s="33">
        <f ca="1">IFERROR(__xludf.DUMMYFUNCTION("""COMPUTED_VALUE"""),2)</f>
        <v>2</v>
      </c>
      <c r="L95" s="203">
        <f ca="1">IFERROR(__xludf.DUMMYFUNCTION("""COMPUTED_VALUE"""),3523.64)</f>
        <v>3523.64</v>
      </c>
      <c r="M95" s="33" t="str">
        <f ca="1">IFERROR(__xludf.DUMMYFUNCTION("""COMPUTED_VALUE"""),"03 ORL")</f>
        <v>03 ORL</v>
      </c>
      <c r="N95" s="33" t="str">
        <f ca="1">IFERROR(__xludf.DUMMYFUNCTION("""COMPUTED_VALUE"""),"06 ORL")</f>
        <v>06 ORL</v>
      </c>
      <c r="O95" s="33" t="str">
        <f ca="1">IFERROR(__xludf.DUMMYFUNCTION("""COMPUTED_VALUE"""),"Dra, María Garrote Garrote")</f>
        <v>Dra, María Garrote Garrote</v>
      </c>
      <c r="P95" s="33" t="str">
        <f ca="1">IFERROR(__xludf.DUMMYFUNCTION("""COMPUTED_VALUE"""),"Maika Blázquez (Madrid)")</f>
        <v>Maika Blázquez (Madrid)</v>
      </c>
    </row>
    <row r="96" spans="2:16">
      <c r="B96" s="33">
        <f ca="1">IFERROR(__xludf.DUMMYFUNCTION("""COMPUTED_VALUE"""),2025)</f>
        <v>2025</v>
      </c>
      <c r="C96" s="33">
        <f ca="1">IFERROR(__xludf.DUMMYFUNCTION("""COMPUTED_VALUE"""),1)</f>
        <v>1</v>
      </c>
      <c r="D96" s="33" t="str">
        <f ca="1">IFERROR(__xludf.DUMMYFUNCTION("""COMPUTED_VALUE"""),"NO")</f>
        <v>NO</v>
      </c>
      <c r="E96" s="33" t="str">
        <f ca="1">IFERROR(__xludf.DUMMYFUNCTION("""COMPUTED_VALUE"""),"Torrejón de Ardoz")</f>
        <v>Torrejón de Ardoz</v>
      </c>
      <c r="F96" s="57">
        <f ca="1">IFERROR(__xludf.DUMMYFUNCTION("""COMPUTED_VALUE"""),45665)</f>
        <v>45665</v>
      </c>
      <c r="G96" s="57">
        <f ca="1">IFERROR(__xludf.DUMMYFUNCTION("""COMPUTED_VALUE"""),45642)</f>
        <v>45642</v>
      </c>
      <c r="H96" s="33" t="str">
        <f ca="1">IFERROR(__xludf.DUMMYFUNCTION("""COMPUTED_VALUE"""),"Torrejón")</f>
        <v>Torrejón</v>
      </c>
      <c r="I96" s="33" t="str">
        <f ca="1">IFERROR(__xludf.DUMMYFUNCTION("""COMPUTED_VALUE"""),"C2024122010741645")</f>
        <v>C2024122010741645</v>
      </c>
      <c r="J96" s="33" t="str">
        <f ca="1">IFERROR(__xludf.DUMMYFUNCTION("""COMPUTED_VALUE"""),"FRANCISCA  HERNANDEZ CARRALERO")</f>
        <v>FRANCISCA  HERNANDEZ CARRALERO</v>
      </c>
      <c r="K96" s="33">
        <f ca="1">IFERROR(__xludf.DUMMYFUNCTION("""COMPUTED_VALUE"""),2)</f>
        <v>2</v>
      </c>
      <c r="L96" s="203">
        <f ca="1">IFERROR(__xludf.DUMMYFUNCTION("""COMPUTED_VALUE"""),2888.18)</f>
        <v>2888.18</v>
      </c>
      <c r="M96" s="33" t="str">
        <f ca="1">IFERROR(__xludf.DUMMYFUNCTION("""COMPUTED_VALUE"""),"03 ORL")</f>
        <v>03 ORL</v>
      </c>
      <c r="N96" s="33" t="str">
        <f ca="1">IFERROR(__xludf.DUMMYFUNCTION("""COMPUTED_VALUE"""),"06 ORL")</f>
        <v>06 ORL</v>
      </c>
      <c r="O96" s="33" t="str">
        <f ca="1">IFERROR(__xludf.DUMMYFUNCTION("""COMPUTED_VALUE"""),"Dra, Stephany Rodríguez Mata")</f>
        <v>Dra, Stephany Rodríguez Mata</v>
      </c>
      <c r="P96" s="33" t="str">
        <f ca="1">IFERROR(__xludf.DUMMYFUNCTION("""COMPUTED_VALUE"""),"Maika Blázquez (Madrid)")</f>
        <v>Maika Blázquez (Madrid)</v>
      </c>
    </row>
    <row r="97" spans="2:16">
      <c r="B97" s="33">
        <f ca="1">IFERROR(__xludf.DUMMYFUNCTION("""COMPUTED_VALUE"""),2025)</f>
        <v>2025</v>
      </c>
      <c r="C97" s="33">
        <f ca="1">IFERROR(__xludf.DUMMYFUNCTION("""COMPUTED_VALUE"""),1)</f>
        <v>1</v>
      </c>
      <c r="D97" s="33" t="str">
        <f ca="1">IFERROR(__xludf.DUMMYFUNCTION("""COMPUTED_VALUE"""),"NO")</f>
        <v>NO</v>
      </c>
      <c r="E97" s="33" t="str">
        <f ca="1">IFERROR(__xludf.DUMMYFUNCTION("""COMPUTED_VALUE"""),"Torrejón de Ardoz")</f>
        <v>Torrejón de Ardoz</v>
      </c>
      <c r="F97" s="57">
        <f ca="1">IFERROR(__xludf.DUMMYFUNCTION("""COMPUTED_VALUE"""),45684)</f>
        <v>45684</v>
      </c>
      <c r="G97" s="57">
        <f ca="1">IFERROR(__xludf.DUMMYFUNCTION("""COMPUTED_VALUE"""),45677)</f>
        <v>45677</v>
      </c>
      <c r="H97" s="33" t="str">
        <f ca="1">IFERROR(__xludf.DUMMYFUNCTION("""COMPUTED_VALUE"""),"Torrejón")</f>
        <v>Torrejón</v>
      </c>
      <c r="I97" s="33" t="str">
        <f ca="1">IFERROR(__xludf.DUMMYFUNCTION("""COMPUTED_VALUE"""),"C2025121104927368")</f>
        <v>C2025121104927368</v>
      </c>
      <c r="J97" s="33" t="str">
        <f ca="1">IFERROR(__xludf.DUMMYFUNCTION("""COMPUTED_VALUE"""),"JOSE ANTONIO JIMENEZ ORTEGA")</f>
        <v>JOSE ANTONIO JIMENEZ ORTEGA</v>
      </c>
      <c r="K97" s="33">
        <f ca="1">IFERROR(__xludf.DUMMYFUNCTION("""COMPUTED_VALUE"""),2)</f>
        <v>2</v>
      </c>
      <c r="L97" s="203">
        <f ca="1">IFERROR(__xludf.DUMMYFUNCTION("""COMPUTED_VALUE"""),2888.18)</f>
        <v>2888.18</v>
      </c>
      <c r="M97" s="33" t="str">
        <f ca="1">IFERROR(__xludf.DUMMYFUNCTION("""COMPUTED_VALUE"""),"03 ORL")</f>
        <v>03 ORL</v>
      </c>
      <c r="N97" s="33" t="str">
        <f ca="1">IFERROR(__xludf.DUMMYFUNCTION("""COMPUTED_VALUE"""),"06 ORL")</f>
        <v>06 ORL</v>
      </c>
      <c r="O97" s="33" t="str">
        <f ca="1">IFERROR(__xludf.DUMMYFUNCTION("""COMPUTED_VALUE"""),"Dra, María Garrote Garrote")</f>
        <v>Dra, María Garrote Garrote</v>
      </c>
      <c r="P97" s="33" t="str">
        <f ca="1">IFERROR(__xludf.DUMMYFUNCTION("""COMPUTED_VALUE"""),"Maika Blázquez (Madrid)")</f>
        <v>Maika Blázquez (Madrid)</v>
      </c>
    </row>
    <row r="98" spans="2:16">
      <c r="B98" s="33">
        <f ca="1">IFERROR(__xludf.DUMMYFUNCTION("""COMPUTED_VALUE"""),2025)</f>
        <v>2025</v>
      </c>
      <c r="C98" s="33">
        <f ca="1">IFERROR(__xludf.DUMMYFUNCTION("""COMPUTED_VALUE"""),1)</f>
        <v>1</v>
      </c>
      <c r="D98" s="33" t="str">
        <f ca="1">IFERROR(__xludf.DUMMYFUNCTION("""COMPUTED_VALUE"""),"NO")</f>
        <v>NO</v>
      </c>
      <c r="E98" s="33" t="str">
        <f ca="1">IFERROR(__xludf.DUMMYFUNCTION("""COMPUTED_VALUE"""),"Torrejón de Ardoz")</f>
        <v>Torrejón de Ardoz</v>
      </c>
      <c r="F98" s="57">
        <f ca="1">IFERROR(__xludf.DUMMYFUNCTION("""COMPUTED_VALUE"""),45666)</f>
        <v>45666</v>
      </c>
      <c r="G98" s="57">
        <f ca="1">IFERROR(__xludf.DUMMYFUNCTION("""COMPUTED_VALUE"""),45645)</f>
        <v>45645</v>
      </c>
      <c r="H98" s="33" t="str">
        <f ca="1">IFERROR(__xludf.DUMMYFUNCTION("""COMPUTED_VALUE"""),"Torrejón")</f>
        <v>Torrejón</v>
      </c>
      <c r="I98" s="33" t="str">
        <f ca="1">IFERROR(__xludf.DUMMYFUNCTION("""COMPUTED_VALUE"""),"C2024121911391112")</f>
        <v>C2024121911391112</v>
      </c>
      <c r="J98" s="33" t="str">
        <f ca="1">IFERROR(__xludf.DUMMYFUNCTION("""COMPUTED_VALUE"""),"NATIVIDAD CAMARA NADADOR")</f>
        <v>NATIVIDAD CAMARA NADADOR</v>
      </c>
      <c r="K98" s="33">
        <f ca="1">IFERROR(__xludf.DUMMYFUNCTION("""COMPUTED_VALUE"""),2)</f>
        <v>2</v>
      </c>
      <c r="L98" s="203">
        <f ca="1">IFERROR(__xludf.DUMMYFUNCTION("""COMPUTED_VALUE"""),3710)</f>
        <v>3710</v>
      </c>
      <c r="M98" s="33" t="str">
        <f ca="1">IFERROR(__xludf.DUMMYFUNCTION("""COMPUTED_VALUE"""),"03 ORL")</f>
        <v>03 ORL</v>
      </c>
      <c r="N98" s="33" t="str">
        <f ca="1">IFERROR(__xludf.DUMMYFUNCTION("""COMPUTED_VALUE"""),"06 ORL")</f>
        <v>06 ORL</v>
      </c>
      <c r="O98" s="33" t="str">
        <f ca="1">IFERROR(__xludf.DUMMYFUNCTION("""COMPUTED_VALUE"""),"Dra, Lorena Sanz López")</f>
        <v>Dra, Lorena Sanz López</v>
      </c>
      <c r="P98" s="33" t="str">
        <f ca="1">IFERROR(__xludf.DUMMYFUNCTION("""COMPUTED_VALUE"""),"Maika Blázquez (Madrid)")</f>
        <v>Maika Blázquez (Madrid)</v>
      </c>
    </row>
    <row r="99" spans="2:16">
      <c r="B99" s="33">
        <f ca="1">IFERROR(__xludf.DUMMYFUNCTION("""COMPUTED_VALUE"""),2025)</f>
        <v>2025</v>
      </c>
      <c r="C99" s="33">
        <f ca="1">IFERROR(__xludf.DUMMYFUNCTION("""COMPUTED_VALUE"""),1)</f>
        <v>1</v>
      </c>
      <c r="D99" s="33" t="str">
        <f ca="1">IFERROR(__xludf.DUMMYFUNCTION("""COMPUTED_VALUE"""),"NO")</f>
        <v>NO</v>
      </c>
      <c r="E99" s="33" t="str">
        <f ca="1">IFERROR(__xludf.DUMMYFUNCTION("""COMPUTED_VALUE"""),"Valencia- Cádiz")</f>
        <v>Valencia- Cádiz</v>
      </c>
      <c r="F99" s="57">
        <f ca="1">IFERROR(__xludf.DUMMYFUNCTION("""COMPUTED_VALUE"""),45688)</f>
        <v>45688</v>
      </c>
      <c r="G99" s="57">
        <f ca="1">IFERROR(__xludf.DUMMYFUNCTION("""COMPUTED_VALUE"""),45644)</f>
        <v>45644</v>
      </c>
      <c r="H99" s="33" t="str">
        <f ca="1">IFERROR(__xludf.DUMMYFUNCTION("""COMPUTED_VALUE"""),"Valencia- Cádiz")</f>
        <v>Valencia- Cádiz</v>
      </c>
      <c r="I99" s="33" t="str">
        <f ca="1">IFERROR(__xludf.DUMMYFUNCTION("""COMPUTED_VALUE"""),"C20241220152450812")</f>
        <v>C20241220152450812</v>
      </c>
      <c r="J99" s="33" t="str">
        <f ca="1">IFERROR(__xludf.DUMMYFUNCTION("""COMPUTED_VALUE"""),"FRANCISCA FONTESTAD PLANES")</f>
        <v>FRANCISCA FONTESTAD PLANES</v>
      </c>
      <c r="K99" s="33">
        <f ca="1">IFERROR(__xludf.DUMMYFUNCTION("""COMPUTED_VALUE"""),1)</f>
        <v>1</v>
      </c>
      <c r="L99" s="203">
        <f ca="1">IFERROR(__xludf.DUMMYFUNCTION("""COMPUTED_VALUE"""),2226.36)</f>
        <v>2226.36</v>
      </c>
      <c r="M99" s="33" t="str">
        <f ca="1">IFERROR(__xludf.DUMMYFUNCTION("""COMPUTED_VALUE"""),"03 ORL")</f>
        <v>03 ORL</v>
      </c>
      <c r="N99" s="33" t="str">
        <f ca="1">IFERROR(__xludf.DUMMYFUNCTION("""COMPUTED_VALUE"""),"06 ORL")</f>
        <v>06 ORL</v>
      </c>
      <c r="O99" s="33" t="str">
        <f ca="1">IFERROR(__xludf.DUMMYFUNCTION("""COMPUTED_VALUE"""),"Dr, Agustín Campos Catalá")</f>
        <v>Dr, Agustín Campos Catalá</v>
      </c>
      <c r="P99" s="33" t="str">
        <f ca="1">IFERROR(__xludf.DUMMYFUNCTION("""COMPUTED_VALUE"""),"Ramon Ferrando(Valencia)")</f>
        <v>Ramon Ferrando(Valencia)</v>
      </c>
    </row>
    <row r="100" spans="2:16">
      <c r="B100" s="33">
        <f ca="1">IFERROR(__xludf.DUMMYFUNCTION("""COMPUTED_VALUE"""),2025)</f>
        <v>2025</v>
      </c>
      <c r="C100" s="33">
        <f ca="1">IFERROR(__xludf.DUMMYFUNCTION("""COMPUTED_VALUE"""),1)</f>
        <v>1</v>
      </c>
      <c r="D100" s="33" t="str">
        <f ca="1">IFERROR(__xludf.DUMMYFUNCTION("""COMPUTED_VALUE"""),"NO")</f>
        <v>NO</v>
      </c>
      <c r="E100" s="33" t="str">
        <f ca="1">IFERROR(__xludf.DUMMYFUNCTION("""COMPUTED_VALUE"""),"Valencia- Cádiz")</f>
        <v>Valencia- Cádiz</v>
      </c>
      <c r="F100" s="57">
        <f ca="1">IFERROR(__xludf.DUMMYFUNCTION("""COMPUTED_VALUE"""),45681)</f>
        <v>45681</v>
      </c>
      <c r="G100" s="57">
        <f ca="1">IFERROR(__xludf.DUMMYFUNCTION("""COMPUTED_VALUE"""),45623)</f>
        <v>45623</v>
      </c>
      <c r="H100" s="33" t="str">
        <f ca="1">IFERROR(__xludf.DUMMYFUNCTION("""COMPUTED_VALUE"""),"Valencia- Cádiz")</f>
        <v>Valencia- Cádiz</v>
      </c>
      <c r="I100" s="33" t="str">
        <f ca="1">IFERROR(__xludf.DUMMYFUNCTION("""COMPUTED_VALUE"""),"C20241241882975")</f>
        <v>C20241241882975</v>
      </c>
      <c r="J100" s="33" t="str">
        <f ca="1">IFERROR(__xludf.DUMMYFUNCTION("""COMPUTED_VALUE"""),"MARCOS MARTINEZ PEIRO")</f>
        <v>MARCOS MARTINEZ PEIRO</v>
      </c>
      <c r="K100" s="33">
        <f ca="1">IFERROR(__xludf.DUMMYFUNCTION("""COMPUTED_VALUE"""),2)</f>
        <v>2</v>
      </c>
      <c r="L100" s="203">
        <f ca="1">IFERROR(__xludf.DUMMYFUNCTION("""COMPUTED_VALUE"""),4000)</f>
        <v>4000</v>
      </c>
      <c r="M100" s="33" t="str">
        <f ca="1">IFERROR(__xludf.DUMMYFUNCTION("""COMPUTED_VALUE"""),"03 ORL")</f>
        <v>03 ORL</v>
      </c>
      <c r="N100" s="33" t="str">
        <f ca="1">IFERROR(__xludf.DUMMYFUNCTION("""COMPUTED_VALUE"""),"06 ORL")</f>
        <v>06 ORL</v>
      </c>
      <c r="O100" s="33" t="str">
        <f ca="1">IFERROR(__xludf.DUMMYFUNCTION("""COMPUTED_VALUE"""),"Dr, Jean Franco Intraprendente Martini")</f>
        <v>Dr, Jean Franco Intraprendente Martini</v>
      </c>
      <c r="P100" s="33" t="str">
        <f ca="1">IFERROR(__xludf.DUMMYFUNCTION("""COMPUTED_VALUE"""),"Ramon Ferrando(Valencia)")</f>
        <v>Ramon Ferrando(Valencia)</v>
      </c>
    </row>
    <row r="101" spans="2:16">
      <c r="B101" s="33">
        <f ca="1">IFERROR(__xludf.DUMMYFUNCTION("""COMPUTED_VALUE"""),2025)</f>
        <v>2025</v>
      </c>
      <c r="C101" s="33">
        <f ca="1">IFERROR(__xludf.DUMMYFUNCTION("""COMPUTED_VALUE"""),1)</f>
        <v>1</v>
      </c>
      <c r="D101" s="33" t="str">
        <f ca="1">IFERROR(__xludf.DUMMYFUNCTION("""COMPUTED_VALUE"""),"NO")</f>
        <v>NO</v>
      </c>
      <c r="E101" s="33" t="str">
        <f ca="1">IFERROR(__xludf.DUMMYFUNCTION("""COMPUTED_VALUE"""),"Valencia- Cádiz")</f>
        <v>Valencia- Cádiz</v>
      </c>
      <c r="F101" s="57">
        <f ca="1">IFERROR(__xludf.DUMMYFUNCTION("""COMPUTED_VALUE"""),45673)</f>
        <v>45673</v>
      </c>
      <c r="G101" s="57">
        <f ca="1">IFERROR(__xludf.DUMMYFUNCTION("""COMPUTED_VALUE"""),45629)</f>
        <v>45629</v>
      </c>
      <c r="H101" s="33" t="str">
        <f ca="1">IFERROR(__xludf.DUMMYFUNCTION("""COMPUTED_VALUE"""),"Valencia- Cádiz")</f>
        <v>Valencia- Cádiz</v>
      </c>
      <c r="I101" s="33" t="str">
        <f ca="1">IFERROR(__xludf.DUMMYFUNCTION("""COMPUTED_VALUE"""),"C2024121116506679")</f>
        <v>C2024121116506679</v>
      </c>
      <c r="J101" s="33" t="str">
        <f ca="1">IFERROR(__xludf.DUMMYFUNCTION("""COMPUTED_VALUE"""),"MARIA ISABEL PEÑALVER MOLLA")</f>
        <v>MARIA ISABEL PEÑALVER MOLLA</v>
      </c>
      <c r="K101" s="33">
        <f ca="1">IFERROR(__xludf.DUMMYFUNCTION("""COMPUTED_VALUE"""),2)</f>
        <v>2</v>
      </c>
      <c r="L101" s="203">
        <f ca="1">IFERROR(__xludf.DUMMYFUNCTION("""COMPUTED_VALUE"""),4400)</f>
        <v>4400</v>
      </c>
      <c r="M101" s="33" t="str">
        <f ca="1">IFERROR(__xludf.DUMMYFUNCTION("""COMPUTED_VALUE"""),"03 ORL")</f>
        <v>03 ORL</v>
      </c>
      <c r="N101" s="33" t="str">
        <f ca="1">IFERROR(__xludf.DUMMYFUNCTION("""COMPUTED_VALUE"""),"06 ORL")</f>
        <v>06 ORL</v>
      </c>
      <c r="O101" s="33" t="str">
        <f ca="1">IFERROR(__xludf.DUMMYFUNCTION("""COMPUTED_VALUE"""),"Dr, Luís Martínez Bernabeu")</f>
        <v>Dr, Luís Martínez Bernabeu</v>
      </c>
      <c r="P101" s="33" t="str">
        <f ca="1">IFERROR(__xludf.DUMMYFUNCTION("""COMPUTED_VALUE"""),"Ramon Ferrando(Valencia)")</f>
        <v>Ramon Ferrando(Valencia)</v>
      </c>
    </row>
    <row r="102" spans="2:16">
      <c r="B102" s="33">
        <f ca="1">IFERROR(__xludf.DUMMYFUNCTION("""COMPUTED_VALUE"""),2025)</f>
        <v>2025</v>
      </c>
      <c r="C102" s="33">
        <f ca="1">IFERROR(__xludf.DUMMYFUNCTION("""COMPUTED_VALUE"""),1)</f>
        <v>1</v>
      </c>
      <c r="D102" s="33" t="str">
        <f ca="1">IFERROR(__xludf.DUMMYFUNCTION("""COMPUTED_VALUE"""),"NO")</f>
        <v>NO</v>
      </c>
      <c r="E102" s="33" t="str">
        <f ca="1">IFERROR(__xludf.DUMMYFUNCTION("""COMPUTED_VALUE"""),"Valencia- Cádiz")</f>
        <v>Valencia- Cádiz</v>
      </c>
      <c r="F102" s="57">
        <f ca="1">IFERROR(__xludf.DUMMYFUNCTION("""COMPUTED_VALUE"""),45681)</f>
        <v>45681</v>
      </c>
      <c r="G102" s="57">
        <f ca="1">IFERROR(__xludf.DUMMYFUNCTION("""COMPUTED_VALUE"""),45642)</f>
        <v>45642</v>
      </c>
      <c r="H102" s="33" t="str">
        <f ca="1">IFERROR(__xludf.DUMMYFUNCTION("""COMPUTED_VALUE"""),"Valencia- Cádiz")</f>
        <v>Valencia- Cádiz</v>
      </c>
      <c r="I102" s="33" t="str">
        <f ca="1">IFERROR(__xludf.DUMMYFUNCTION("""COMPUTED_VALUE"""),"C20241220164048645")</f>
        <v>C20241220164048645</v>
      </c>
      <c r="J102" s="33" t="str">
        <f ca="1">IFERROR(__xludf.DUMMYFUNCTION("""COMPUTED_VALUE"""),"RAFAEL VIDAL BONAFE")</f>
        <v>RAFAEL VIDAL BONAFE</v>
      </c>
      <c r="K102" s="33">
        <f ca="1">IFERROR(__xludf.DUMMYFUNCTION("""COMPUTED_VALUE"""),2)</f>
        <v>2</v>
      </c>
      <c r="L102" s="203">
        <f ca="1">IFERROR(__xludf.DUMMYFUNCTION("""COMPUTED_VALUE"""),4000)</f>
        <v>4000</v>
      </c>
      <c r="M102" s="33" t="str">
        <f ca="1">IFERROR(__xludf.DUMMYFUNCTION("""COMPUTED_VALUE"""),"03 ORL")</f>
        <v>03 ORL</v>
      </c>
      <c r="N102" s="33" t="str">
        <f ca="1">IFERROR(__xludf.DUMMYFUNCTION("""COMPUTED_VALUE"""),"06 ORL")</f>
        <v>06 ORL</v>
      </c>
      <c r="O102" s="33" t="str">
        <f ca="1">IFERROR(__xludf.DUMMYFUNCTION("""COMPUTED_VALUE"""),"Dr, Agustín Campos Catalá")</f>
        <v>Dr, Agustín Campos Catalá</v>
      </c>
      <c r="P102" s="33" t="str">
        <f ca="1">IFERROR(__xludf.DUMMYFUNCTION("""COMPUTED_VALUE"""),"Ramon Ferrando(Valencia)")</f>
        <v>Ramon Ferrando(Valencia)</v>
      </c>
    </row>
    <row r="103" spans="2:16">
      <c r="B103" s="33">
        <f ca="1">IFERROR(__xludf.DUMMYFUNCTION("""COMPUTED_VALUE"""),2025)</f>
        <v>2025</v>
      </c>
      <c r="C103" s="33">
        <f ca="1">IFERROR(__xludf.DUMMYFUNCTION("""COMPUTED_VALUE"""),1)</f>
        <v>1</v>
      </c>
      <c r="D103" s="33" t="str">
        <f ca="1">IFERROR(__xludf.DUMMYFUNCTION("""COMPUTED_VALUE"""),"NO")</f>
        <v>NO</v>
      </c>
      <c r="E103" s="33" t="str">
        <f ca="1">IFERROR(__xludf.DUMMYFUNCTION("""COMPUTED_VALUE"""),"Valencia- Cádiz")</f>
        <v>Valencia- Cádiz</v>
      </c>
      <c r="F103" s="57">
        <f ca="1">IFERROR(__xludf.DUMMYFUNCTION("""COMPUTED_VALUE"""),45660)</f>
        <v>45660</v>
      </c>
      <c r="G103" s="57">
        <f ca="1">IFERROR(__xludf.DUMMYFUNCTION("""COMPUTED_VALUE"""),45636)</f>
        <v>45636</v>
      </c>
      <c r="H103" s="33" t="str">
        <f ca="1">IFERROR(__xludf.DUMMYFUNCTION("""COMPUTED_VALUE"""),"Valencia- Cádiz")</f>
        <v>Valencia- Cádiz</v>
      </c>
      <c r="I103" s="33" t="str">
        <f ca="1">IFERROR(__xludf.DUMMYFUNCTION("""COMPUTED_VALUE"""),"C20241213164517918")</f>
        <v>C20241213164517918</v>
      </c>
      <c r="J103" s="33" t="str">
        <f ca="1">IFERROR(__xludf.DUMMYFUNCTION("""COMPUTED_VALUE"""),"SALVADOR VILA ESTEVE")</f>
        <v>SALVADOR VILA ESTEVE</v>
      </c>
      <c r="K103" s="33">
        <f ca="1">IFERROR(__xludf.DUMMYFUNCTION("""COMPUTED_VALUE"""),2)</f>
        <v>2</v>
      </c>
      <c r="L103" s="203">
        <f ca="1">IFERROR(__xludf.DUMMYFUNCTION("""COMPUTED_VALUE"""),4400)</f>
        <v>4400</v>
      </c>
      <c r="M103" s="33" t="str">
        <f ca="1">IFERROR(__xludf.DUMMYFUNCTION("""COMPUTED_VALUE"""),"03 ORL")</f>
        <v>03 ORL</v>
      </c>
      <c r="N103" s="33" t="str">
        <f ca="1">IFERROR(__xludf.DUMMYFUNCTION("""COMPUTED_VALUE"""),"06 ORL")</f>
        <v>06 ORL</v>
      </c>
      <c r="O103" s="33" t="str">
        <f ca="1">IFERROR(__xludf.DUMMYFUNCTION("""COMPUTED_VALUE"""),"Dr, Manuel Mateos Fernández")</f>
        <v>Dr, Manuel Mateos Fernández</v>
      </c>
      <c r="P103" s="33" t="str">
        <f ca="1">IFERROR(__xludf.DUMMYFUNCTION("""COMPUTED_VALUE"""),"Ramon Ferrando(Valencia)")</f>
        <v>Ramon Ferrando(Valencia)</v>
      </c>
    </row>
    <row r="104" spans="2:16">
      <c r="B104" s="33">
        <f ca="1">IFERROR(__xludf.DUMMYFUNCTION("""COMPUTED_VALUE"""),2025)</f>
        <v>2025</v>
      </c>
      <c r="C104" s="33">
        <f ca="1">IFERROR(__xludf.DUMMYFUNCTION("""COMPUTED_VALUE"""),1)</f>
        <v>1</v>
      </c>
      <c r="D104" s="33" t="str">
        <f ca="1">IFERROR(__xludf.DUMMYFUNCTION("""COMPUTED_VALUE"""),"NO")</f>
        <v>NO</v>
      </c>
      <c r="E104" s="33" t="str">
        <f ca="1">IFERROR(__xludf.DUMMYFUNCTION("""COMPUTED_VALUE"""),"Valencia- Cádiz")</f>
        <v>Valencia- Cádiz</v>
      </c>
      <c r="F104" s="57">
        <f ca="1">IFERROR(__xludf.DUMMYFUNCTION("""COMPUTED_VALUE"""),45685)</f>
        <v>45685</v>
      </c>
      <c r="G104" s="57">
        <f ca="1">IFERROR(__xludf.DUMMYFUNCTION("""COMPUTED_VALUE"""),45636)</f>
        <v>45636</v>
      </c>
      <c r="H104" s="33" t="str">
        <f ca="1">IFERROR(__xludf.DUMMYFUNCTION("""COMPUTED_VALUE"""),"Valencia- Cádiz")</f>
        <v>Valencia- Cádiz</v>
      </c>
      <c r="I104" s="33" t="str">
        <f ca="1">IFERROR(__xludf.DUMMYFUNCTION("""COMPUTED_VALUE"""),"C2024121992818633")</f>
        <v>C2024121992818633</v>
      </c>
      <c r="J104" s="33" t="str">
        <f ca="1">IFERROR(__xludf.DUMMYFUNCTION("""COMPUTED_VALUE"""),"VICENTE HERRERO GARCIA")</f>
        <v>VICENTE HERRERO GARCIA</v>
      </c>
      <c r="K104" s="33">
        <f ca="1">IFERROR(__xludf.DUMMYFUNCTION("""COMPUTED_VALUE"""),1)</f>
        <v>1</v>
      </c>
      <c r="L104" s="203">
        <f ca="1">IFERROR(__xludf.DUMMYFUNCTION("""COMPUTED_VALUE"""),2067.27)</f>
        <v>2067.27</v>
      </c>
      <c r="M104" s="33" t="str">
        <f ca="1">IFERROR(__xludf.DUMMYFUNCTION("""COMPUTED_VALUE"""),"03 ORL")</f>
        <v>03 ORL</v>
      </c>
      <c r="N104" s="33" t="str">
        <f ca="1">IFERROR(__xludf.DUMMYFUNCTION("""COMPUTED_VALUE"""),"06 ORL")</f>
        <v>06 ORL</v>
      </c>
      <c r="O104" s="33" t="str">
        <f ca="1">IFERROR(__xludf.DUMMYFUNCTION("""COMPUTED_VALUE"""),"Dra, Paula Martínez-Ruiz De Apocada")</f>
        <v>Dra, Paula Martínez-Ruiz De Apocada</v>
      </c>
      <c r="P104" s="33" t="str">
        <f ca="1">IFERROR(__xludf.DUMMYFUNCTION("""COMPUTED_VALUE"""),"Ramon Ferrando(Valencia)")</f>
        <v>Ramon Ferrando(Valencia)</v>
      </c>
    </row>
    <row r="105" spans="2:16">
      <c r="B105" s="33">
        <f ca="1">IFERROR(__xludf.DUMMYFUNCTION("""COMPUTED_VALUE"""),2025)</f>
        <v>2025</v>
      </c>
      <c r="C105" s="33">
        <f ca="1">IFERROR(__xludf.DUMMYFUNCTION("""COMPUTED_VALUE"""),1)</f>
        <v>1</v>
      </c>
      <c r="D105" s="33" t="str">
        <f ca="1">IFERROR(__xludf.DUMMYFUNCTION("""COMPUTED_VALUE"""),"NO")</f>
        <v>NO</v>
      </c>
      <c r="E105" s="33" t="str">
        <f ca="1">IFERROR(__xludf.DUMMYFUNCTION("""COMPUTED_VALUE"""),"Valencia- Parra")</f>
        <v>Valencia- Parra</v>
      </c>
      <c r="F105" s="57">
        <f ca="1">IFERROR(__xludf.DUMMYFUNCTION("""COMPUTED_VALUE"""),45681)</f>
        <v>45681</v>
      </c>
      <c r="G105" s="57">
        <f ca="1">IFERROR(__xludf.DUMMYFUNCTION("""COMPUTED_VALUE"""),45630)</f>
        <v>45630</v>
      </c>
      <c r="H105" s="33" t="str">
        <f ca="1">IFERROR(__xludf.DUMMYFUNCTION("""COMPUTED_VALUE"""),"Valencia- Parra")</f>
        <v>Valencia- Parra</v>
      </c>
      <c r="I105" s="33" t="str">
        <f ca="1">IFERROR(__xludf.DUMMYFUNCTION("""COMPUTED_VALUE"""),"C20241218113521816")</f>
        <v>C20241218113521816</v>
      </c>
      <c r="J105" s="33" t="str">
        <f ca="1">IFERROR(__xludf.DUMMYFUNCTION("""COMPUTED_VALUE"""),"CARMEN VALERO POLO")</f>
        <v>CARMEN VALERO POLO</v>
      </c>
      <c r="K105" s="33">
        <f ca="1">IFERROR(__xludf.DUMMYFUNCTION("""COMPUTED_VALUE"""),1)</f>
        <v>1</v>
      </c>
      <c r="L105" s="203">
        <f ca="1">IFERROR(__xludf.DUMMYFUNCTION("""COMPUTED_VALUE"""),2400)</f>
        <v>2400</v>
      </c>
      <c r="M105" s="33" t="str">
        <f ca="1">IFERROR(__xludf.DUMMYFUNCTION("""COMPUTED_VALUE"""),"03 ORL")</f>
        <v>03 ORL</v>
      </c>
      <c r="N105" s="33" t="str">
        <f ca="1">IFERROR(__xludf.DUMMYFUNCTION("""COMPUTED_VALUE"""),"06 ORL")</f>
        <v>06 ORL</v>
      </c>
      <c r="O105" s="33" t="str">
        <f ca="1">IFERROR(__xludf.DUMMYFUNCTION("""COMPUTED_VALUE"""),"Dra, Vicky Galstyan Minasosa")</f>
        <v>Dra, Vicky Galstyan Minasosa</v>
      </c>
      <c r="P105" s="33" t="str">
        <f ca="1">IFERROR(__xludf.DUMMYFUNCTION("""COMPUTED_VALUE"""),"Ramon Ferrando(Valencia)")</f>
        <v>Ramon Ferrando(Valencia)</v>
      </c>
    </row>
    <row r="106" spans="2:16">
      <c r="B106" s="33">
        <f ca="1">IFERROR(__xludf.DUMMYFUNCTION("""COMPUTED_VALUE"""),2025)</f>
        <v>2025</v>
      </c>
      <c r="C106" s="33">
        <f ca="1">IFERROR(__xludf.DUMMYFUNCTION("""COMPUTED_VALUE"""),1)</f>
        <v>1</v>
      </c>
      <c r="D106" s="33" t="str">
        <f ca="1">IFERROR(__xludf.DUMMYFUNCTION("""COMPUTED_VALUE"""),"NO")</f>
        <v>NO</v>
      </c>
      <c r="E106" s="33" t="str">
        <f ca="1">IFERROR(__xludf.DUMMYFUNCTION("""COMPUTED_VALUE"""),"Valencia- Parra")</f>
        <v>Valencia- Parra</v>
      </c>
      <c r="F106" s="57">
        <f ca="1">IFERROR(__xludf.DUMMYFUNCTION("""COMPUTED_VALUE"""),45666)</f>
        <v>45666</v>
      </c>
      <c r="G106" s="57">
        <f ca="1">IFERROR(__xludf.DUMMYFUNCTION("""COMPUTED_VALUE"""),45616)</f>
        <v>45616</v>
      </c>
      <c r="H106" s="33" t="str">
        <f ca="1">IFERROR(__xludf.DUMMYFUNCTION("""COMPUTED_VALUE"""),"Valencia- Parra")</f>
        <v>Valencia- Parra</v>
      </c>
      <c r="I106" s="33" t="str">
        <f ca="1">IFERROR(__xludf.DUMMYFUNCTION("""COMPUTED_VALUE"""),"C2024112617208611")</f>
        <v>C2024112617208611</v>
      </c>
      <c r="J106" s="33" t="str">
        <f ca="1">IFERROR(__xludf.DUMMYFUNCTION("""COMPUTED_VALUE"""),"LEOPOLDO IBAÑEZ MONTORO")</f>
        <v>LEOPOLDO IBAÑEZ MONTORO</v>
      </c>
      <c r="K106" s="33">
        <f ca="1">IFERROR(__xludf.DUMMYFUNCTION("""COMPUTED_VALUE"""),2)</f>
        <v>2</v>
      </c>
      <c r="L106" s="203">
        <f ca="1">IFERROR(__xludf.DUMMYFUNCTION("""COMPUTED_VALUE"""),3710)</f>
        <v>3710</v>
      </c>
      <c r="M106" s="33" t="str">
        <f ca="1">IFERROR(__xludf.DUMMYFUNCTION("""COMPUTED_VALUE"""),"03 ORL")</f>
        <v>03 ORL</v>
      </c>
      <c r="N106" s="33" t="str">
        <f ca="1">IFERROR(__xludf.DUMMYFUNCTION("""COMPUTED_VALUE"""),"06 ORL")</f>
        <v>06 ORL</v>
      </c>
      <c r="O106" s="33" t="str">
        <f ca="1">IFERROR(__xludf.DUMMYFUNCTION("""COMPUTED_VALUE"""),"Dr, Manuel Mateos Fernández")</f>
        <v>Dr, Manuel Mateos Fernández</v>
      </c>
      <c r="P106" s="33" t="str">
        <f ca="1">IFERROR(__xludf.DUMMYFUNCTION("""COMPUTED_VALUE"""),"Ramon Ferrando(Valencia)")</f>
        <v>Ramon Ferrando(Valencia)</v>
      </c>
    </row>
    <row r="107" spans="2:16">
      <c r="B107" s="33">
        <f ca="1">IFERROR(__xludf.DUMMYFUNCTION("""COMPUTED_VALUE"""),2025)</f>
        <v>2025</v>
      </c>
      <c r="C107" s="33">
        <f ca="1">IFERROR(__xludf.DUMMYFUNCTION("""COMPUTED_VALUE"""),1)</f>
        <v>1</v>
      </c>
      <c r="D107" s="33" t="str">
        <f ca="1">IFERROR(__xludf.DUMMYFUNCTION("""COMPUTED_VALUE"""),"NO")</f>
        <v>NO</v>
      </c>
      <c r="E107" s="33" t="str">
        <f ca="1">IFERROR(__xludf.DUMMYFUNCTION("""COMPUTED_VALUE"""),"Valencia- Parra")</f>
        <v>Valencia- Parra</v>
      </c>
      <c r="F107" s="57">
        <f ca="1">IFERROR(__xludf.DUMMYFUNCTION("""COMPUTED_VALUE"""),45678)</f>
        <v>45678</v>
      </c>
      <c r="G107" s="57">
        <f ca="1">IFERROR(__xludf.DUMMYFUNCTION("""COMPUTED_VALUE"""),45623)</f>
        <v>45623</v>
      </c>
      <c r="H107" s="33" t="str">
        <f ca="1">IFERROR(__xludf.DUMMYFUNCTION("""COMPUTED_VALUE"""),"Valencia- Parra")</f>
        <v>Valencia- Parra</v>
      </c>
      <c r="I107" s="33" t="str">
        <f ca="1">IFERROR(__xludf.DUMMYFUNCTION("""COMPUTED_VALUE"""),"C2024121210529466")</f>
        <v>C2024121210529466</v>
      </c>
      <c r="J107" s="33" t="str">
        <f ca="1">IFERROR(__xludf.DUMMYFUNCTION("""COMPUTED_VALUE"""),"MARIA LUISA RAMOS GARCIA")</f>
        <v>MARIA LUISA RAMOS GARCIA</v>
      </c>
      <c r="K107" s="33">
        <f ca="1">IFERROR(__xludf.DUMMYFUNCTION("""COMPUTED_VALUE"""),2)</f>
        <v>2</v>
      </c>
      <c r="L107" s="203">
        <f ca="1">IFERROR(__xludf.DUMMYFUNCTION("""COMPUTED_VALUE"""),3710)</f>
        <v>3710</v>
      </c>
      <c r="M107" s="33" t="str">
        <f ca="1">IFERROR(__xludf.DUMMYFUNCTION("""COMPUTED_VALUE"""),"03 ORL")</f>
        <v>03 ORL</v>
      </c>
      <c r="N107" s="33" t="str">
        <f ca="1">IFERROR(__xludf.DUMMYFUNCTION("""COMPUTED_VALUE"""),"06 ORL")</f>
        <v>06 ORL</v>
      </c>
      <c r="O107" s="33" t="str">
        <f ca="1">IFERROR(__xludf.DUMMYFUNCTION("""COMPUTED_VALUE"""),"Dr, Manuel Mateos Fernández")</f>
        <v>Dr, Manuel Mateos Fernández</v>
      </c>
      <c r="P107" s="1" t="str">
        <f ca="1">IFERROR(__xludf.DUMMYFUNCTION("""COMPUTED_VALUE"""),"Ramon Ferrando(Valencia)")</f>
        <v>Ramon Ferrando(Valencia)</v>
      </c>
    </row>
    <row r="108" spans="2:16">
      <c r="B108" s="33">
        <f ca="1">IFERROR(__xludf.DUMMYFUNCTION("""COMPUTED_VALUE"""),2025)</f>
        <v>2025</v>
      </c>
      <c r="C108" s="33">
        <f ca="1">IFERROR(__xludf.DUMMYFUNCTION("""COMPUTED_VALUE"""),1)</f>
        <v>1</v>
      </c>
      <c r="D108" s="33" t="str">
        <f ca="1">IFERROR(__xludf.DUMMYFUNCTION("""COMPUTED_VALUE"""),"NO")</f>
        <v>NO</v>
      </c>
      <c r="E108" s="33" t="str">
        <f ca="1">IFERROR(__xludf.DUMMYFUNCTION("""COMPUTED_VALUE"""),"Valencia- Parra")</f>
        <v>Valencia- Parra</v>
      </c>
      <c r="F108" s="57">
        <f ca="1">IFERROR(__xludf.DUMMYFUNCTION("""COMPUTED_VALUE"""),45686)</f>
        <v>45686</v>
      </c>
      <c r="G108" s="57">
        <f ca="1">IFERROR(__xludf.DUMMYFUNCTION("""COMPUTED_VALUE"""),45590)</f>
        <v>45590</v>
      </c>
      <c r="H108" s="33" t="str">
        <f ca="1">IFERROR(__xludf.DUMMYFUNCTION("""COMPUTED_VALUE"""),"Valencia- Parra")</f>
        <v>Valencia- Parra</v>
      </c>
      <c r="I108" s="33" t="str">
        <f ca="1">IFERROR(__xludf.DUMMYFUNCTION("""COMPUTED_VALUE"""),"C20241112122050286")</f>
        <v>C20241112122050286</v>
      </c>
      <c r="J108" s="33" t="str">
        <f ca="1">IFERROR(__xludf.DUMMYFUNCTION("""COMPUTED_VALUE"""),"NARCIS DINARES PEÑALVER")</f>
        <v>NARCIS DINARES PEÑALVER</v>
      </c>
      <c r="K108" s="33">
        <f ca="1">IFERROR(__xludf.DUMMYFUNCTION("""COMPUTED_VALUE"""),2)</f>
        <v>2</v>
      </c>
      <c r="L108" s="203">
        <f ca="1">IFERROR(__xludf.DUMMYFUNCTION("""COMPUTED_VALUE"""),4000)</f>
        <v>4000</v>
      </c>
      <c r="M108" s="33" t="str">
        <f ca="1">IFERROR(__xludf.DUMMYFUNCTION("""COMPUTED_VALUE"""),"03 ORL")</f>
        <v>03 ORL</v>
      </c>
      <c r="N108" s="33" t="str">
        <f ca="1">IFERROR(__xludf.DUMMYFUNCTION("""COMPUTED_VALUE"""),"06 ORL")</f>
        <v>06 ORL</v>
      </c>
      <c r="O108" s="33" t="str">
        <f ca="1">IFERROR(__xludf.DUMMYFUNCTION("""COMPUTED_VALUE"""),"Dr, Ignacio Llopez Carratalá")</f>
        <v>Dr, Ignacio Llopez Carratalá</v>
      </c>
      <c r="P108" s="33" t="str">
        <f ca="1">IFERROR(__xludf.DUMMYFUNCTION("""COMPUTED_VALUE"""),"Ramon Ferrando(Valencia)")</f>
        <v>Ramon Ferrando(Valencia)</v>
      </c>
    </row>
    <row r="109" spans="2:16">
      <c r="B109" s="33">
        <f ca="1">IFERROR(__xludf.DUMMYFUNCTION("""COMPUTED_VALUE"""),2025)</f>
        <v>2025</v>
      </c>
      <c r="C109" s="33">
        <f ca="1">IFERROR(__xludf.DUMMYFUNCTION("""COMPUTED_VALUE"""),1)</f>
        <v>1</v>
      </c>
      <c r="D109" s="33" t="str">
        <f ca="1">IFERROR(__xludf.DUMMYFUNCTION("""COMPUTED_VALUE"""),"NO")</f>
        <v>NO</v>
      </c>
      <c r="E109" s="33" t="str">
        <f ca="1">IFERROR(__xludf.DUMMYFUNCTION("""COMPUTED_VALUE"""),"Vilanova")</f>
        <v>Vilanova</v>
      </c>
      <c r="F109" s="57">
        <f ca="1">IFERROR(__xludf.DUMMYFUNCTION("""COMPUTED_VALUE"""),45684)</f>
        <v>45684</v>
      </c>
      <c r="G109" s="57">
        <f ca="1">IFERROR(__xludf.DUMMYFUNCTION("""COMPUTED_VALUE"""),45217)</f>
        <v>45217</v>
      </c>
      <c r="H109" s="33" t="str">
        <f ca="1">IFERROR(__xludf.DUMMYFUNCTION("""COMPUTED_VALUE"""),"Vilanova")</f>
        <v>Vilanova</v>
      </c>
      <c r="I109" s="33" t="str">
        <f ca="1">IFERROR(__xludf.DUMMYFUNCTION("""COMPUTED_VALUE"""),"BVI-310")</f>
        <v>BVI-310</v>
      </c>
      <c r="J109" s="33" t="str">
        <f ca="1">IFERROR(__xludf.DUMMYFUNCTION("""COMPUTED_VALUE"""),"JOSEP MELLADO MAIQUEZ")</f>
        <v>JOSEP MELLADO MAIQUEZ</v>
      </c>
      <c r="K109" s="33">
        <f ca="1">IFERROR(__xludf.DUMMYFUNCTION("""COMPUTED_VALUE"""),2)</f>
        <v>2</v>
      </c>
      <c r="L109" s="203">
        <f ca="1">IFERROR(__xludf.DUMMYFUNCTION("""COMPUTED_VALUE"""),1809.09)</f>
        <v>1809.09</v>
      </c>
      <c r="M109" s="33" t="str">
        <f ca="1">IFERROR(__xludf.DUMMYFUNCTION("""COMPUTED_VALUE"""),"03 ORL")</f>
        <v>03 ORL</v>
      </c>
      <c r="N109" s="33" t="str">
        <f ca="1">IFERROR(__xludf.DUMMYFUNCTION("""COMPUTED_VALUE"""),"06 ORL")</f>
        <v>06 ORL</v>
      </c>
      <c r="O109" s="33" t="str">
        <f ca="1">IFERROR(__xludf.DUMMYFUNCTION("""COMPUTED_VALUE"""),"Dra, Cristina Molina Martínez")</f>
        <v>Dra, Cristina Molina Martínez</v>
      </c>
      <c r="P109" s="33" t="str">
        <f ca="1">IFERROR(__xludf.DUMMYFUNCTION("""COMPUTED_VALUE"""),"Mercè Cabrera (Cataluña Y Baleares)")</f>
        <v>Mercè Cabrera (Cataluña Y Baleares)</v>
      </c>
    </row>
    <row r="110" spans="2:16">
      <c r="B110" s="33">
        <f ca="1">IFERROR(__xludf.DUMMYFUNCTION("""COMPUTED_VALUE"""),2025)</f>
        <v>2025</v>
      </c>
      <c r="C110" s="33">
        <f ca="1">IFERROR(__xludf.DUMMYFUNCTION("""COMPUTED_VALUE"""),1)</f>
        <v>1</v>
      </c>
      <c r="D110" s="33" t="str">
        <f ca="1">IFERROR(__xludf.DUMMYFUNCTION("""COMPUTED_VALUE"""),"NO")</f>
        <v>NO</v>
      </c>
      <c r="E110" s="33" t="str">
        <f ca="1">IFERROR(__xludf.DUMMYFUNCTION("""COMPUTED_VALUE"""),"Ponferrada")</f>
        <v>Ponferrada</v>
      </c>
      <c r="F110" s="57">
        <f ca="1">IFERROR(__xludf.DUMMYFUNCTION("""COMPUTED_VALUE"""),45660)</f>
        <v>45660</v>
      </c>
      <c r="G110" s="57">
        <f ca="1">IFERROR(__xludf.DUMMYFUNCTION("""COMPUTED_VALUE"""),45587)</f>
        <v>45587</v>
      </c>
      <c r="H110" s="33" t="str">
        <f ca="1">IFERROR(__xludf.DUMMYFUNCTION("""COMPUTED_VALUE"""),"Ponferrada")</f>
        <v>Ponferrada</v>
      </c>
      <c r="I110" s="33" t="str">
        <f ca="1">IFERROR(__xludf.DUMMYFUNCTION("""COMPUTED_VALUE"""),"PON-813")</f>
        <v>PON-813</v>
      </c>
      <c r="J110" s="33" t="str">
        <f ca="1">IFERROR(__xludf.DUMMYFUNCTION("""COMPUTED_VALUE"""),"MARIA DEL CARMEN DIÑEIRO ESCUREDO")</f>
        <v>MARIA DEL CARMEN DIÑEIRO ESCUREDO</v>
      </c>
      <c r="K110" s="33">
        <f ca="1">IFERROR(__xludf.DUMMYFUNCTION("""COMPUTED_VALUE"""),1)</f>
        <v>1</v>
      </c>
      <c r="L110" s="203">
        <f ca="1">IFERROR(__xludf.DUMMYFUNCTION("""COMPUTED_VALUE"""),2090.91)</f>
        <v>2090.91</v>
      </c>
      <c r="M110" s="33" t="str">
        <f ca="1">IFERROR(__xludf.DUMMYFUNCTION("""COMPUTED_VALUE"""),"03 ORL")</f>
        <v>03 ORL</v>
      </c>
      <c r="N110" s="33" t="str">
        <f ca="1">IFERROR(__xludf.DUMMYFUNCTION("""COMPUTED_VALUE"""),"06 ORL")</f>
        <v>06 ORL</v>
      </c>
      <c r="O110" s="33" t="str">
        <f ca="1">IFERROR(__xludf.DUMMYFUNCTION("""COMPUTED_VALUE"""),"Dra, Mónica Granda Rosales")</f>
        <v>Dra, Mónica Granda Rosales</v>
      </c>
      <c r="P110" s="33" t="str">
        <f ca="1">IFERROR(__xludf.DUMMYFUNCTION("""COMPUTED_VALUE"""),"Patricia Solache (Castilla Y León)")</f>
        <v>Patricia Solache (Castilla Y León)</v>
      </c>
    </row>
    <row r="111" spans="2:16">
      <c r="B111" s="33">
        <f ca="1">IFERROR(__xludf.DUMMYFUNCTION("""COMPUTED_VALUE"""),2025)</f>
        <v>2025</v>
      </c>
      <c r="C111" s="33">
        <f ca="1">IFERROR(__xludf.DUMMYFUNCTION("""COMPUTED_VALUE"""),1)</f>
        <v>1</v>
      </c>
      <c r="D111" s="33" t="str">
        <f ca="1">IFERROR(__xludf.DUMMYFUNCTION("""COMPUTED_VALUE"""),"NO")</f>
        <v>NO</v>
      </c>
      <c r="E111" s="33" t="str">
        <f ca="1">IFERROR(__xludf.DUMMYFUNCTION("""COMPUTED_VALUE"""),"Cáceres")</f>
        <v>Cáceres</v>
      </c>
      <c r="F111" s="57">
        <f ca="1">IFERROR(__xludf.DUMMYFUNCTION("""COMPUTED_VALUE"""),45664)</f>
        <v>45664</v>
      </c>
      <c r="G111" s="57">
        <f ca="1">IFERROR(__xludf.DUMMYFUNCTION("""COMPUTED_VALUE"""),45650)</f>
        <v>45650</v>
      </c>
      <c r="H111" s="33" t="str">
        <f ca="1">IFERROR(__xludf.DUMMYFUNCTION("""COMPUTED_VALUE"""),"Cáceres")</f>
        <v>Cáceres</v>
      </c>
      <c r="I111" s="33" t="str">
        <f ca="1">IFERROR(__xludf.DUMMYFUNCTION("""COMPUTED_VALUE"""),"CAC-216")</f>
        <v>CAC-216</v>
      </c>
      <c r="J111" s="33" t="str">
        <f ca="1">IFERROR(__xludf.DUMMYFUNCTION("""COMPUTED_VALUE"""),"JORGE MACIAS CID")</f>
        <v>JORGE MACIAS CID</v>
      </c>
      <c r="K111" s="33">
        <f ca="1">IFERROR(__xludf.DUMMYFUNCTION("""COMPUTED_VALUE"""),2)</f>
        <v>2</v>
      </c>
      <c r="L111" s="203">
        <f ca="1">IFERROR(__xludf.DUMMYFUNCTION("""COMPUTED_VALUE"""),4000)</f>
        <v>4000</v>
      </c>
      <c r="M111" s="33" t="str">
        <f ca="1">IFERROR(__xludf.DUMMYFUNCTION("""COMPUTED_VALUE"""),"03 ORL")</f>
        <v>03 ORL</v>
      </c>
      <c r="N111" s="33" t="str">
        <f ca="1">IFERROR(__xludf.DUMMYFUNCTION("""COMPUTED_VALUE"""),"06 ORL")</f>
        <v>06 ORL</v>
      </c>
      <c r="O111" s="33" t="str">
        <f ca="1">IFERROR(__xludf.DUMMYFUNCTION("""COMPUTED_VALUE"""),"Dr, Andrés Paulino Herrera")</f>
        <v>Dr, Andrés Paulino Herrera</v>
      </c>
      <c r="P111" s="33" t="str">
        <f ca="1">IFERROR(__xludf.DUMMYFUNCTION("""COMPUTED_VALUE"""),"Lisandro Russian (Madrid, Cáceres, Toledo, Talavera Y Logroño)")</f>
        <v>Lisandro Russian (Madrid, Cáceres, Toledo, Talavera Y Logroño)</v>
      </c>
    </row>
    <row r="112" spans="2:16">
      <c r="B112" s="33">
        <f ca="1">IFERROR(__xludf.DUMMYFUNCTION("""COMPUTED_VALUE"""),2025)</f>
        <v>2025</v>
      </c>
      <c r="C112" s="33">
        <f ca="1">IFERROR(__xludf.DUMMYFUNCTION("""COMPUTED_VALUE"""),1)</f>
        <v>1</v>
      </c>
      <c r="D112" s="33" t="str">
        <f ca="1">IFERROR(__xludf.DUMMYFUNCTION("""COMPUTED_VALUE"""),"NO")</f>
        <v>NO</v>
      </c>
      <c r="E112" s="33" t="str">
        <f ca="1">IFERROR(__xludf.DUMMYFUNCTION("""COMPUTED_VALUE"""),"Ponferrada")</f>
        <v>Ponferrada</v>
      </c>
      <c r="F112" s="57">
        <f ca="1">IFERROR(__xludf.DUMMYFUNCTION("""COMPUTED_VALUE"""),45664)</f>
        <v>45664</v>
      </c>
      <c r="G112" s="57">
        <f ca="1">IFERROR(__xludf.DUMMYFUNCTION("""COMPUTED_VALUE"""),45586)</f>
        <v>45586</v>
      </c>
      <c r="H112" s="33" t="str">
        <f ca="1">IFERROR(__xludf.DUMMYFUNCTION("""COMPUTED_VALUE"""),"Ponferrada")</f>
        <v>Ponferrada</v>
      </c>
      <c r="I112" s="33" t="str">
        <f ca="1">IFERROR(__xludf.DUMMYFUNCTION("""COMPUTED_VALUE"""),"PON-811")</f>
        <v>PON-811</v>
      </c>
      <c r="J112" s="33" t="str">
        <f ca="1">IFERROR(__xludf.DUMMYFUNCTION("""COMPUTED_VALUE"""),"LORENZO TOMAS GARCIA FABA")</f>
        <v>LORENZO TOMAS GARCIA FABA</v>
      </c>
      <c r="K112" s="33">
        <f ca="1">IFERROR(__xludf.DUMMYFUNCTION("""COMPUTED_VALUE"""),2)</f>
        <v>2</v>
      </c>
      <c r="L112" s="203">
        <f ca="1">IFERROR(__xludf.DUMMYFUNCTION("""COMPUTED_VALUE"""),3545.45)</f>
        <v>3545.45</v>
      </c>
      <c r="M112" s="33" t="str">
        <f ca="1">IFERROR(__xludf.DUMMYFUNCTION("""COMPUTED_VALUE"""),"03 ORL")</f>
        <v>03 ORL</v>
      </c>
      <c r="N112" s="33" t="str">
        <f ca="1">IFERROR(__xludf.DUMMYFUNCTION("""COMPUTED_VALUE"""),"06 ORL")</f>
        <v>06 ORL</v>
      </c>
      <c r="O112" s="33" t="str">
        <f ca="1">IFERROR(__xludf.DUMMYFUNCTION("""COMPUTED_VALUE"""),"Dra, Mónica Granda Rosales")</f>
        <v>Dra, Mónica Granda Rosales</v>
      </c>
      <c r="P112" s="33" t="str">
        <f ca="1">IFERROR(__xludf.DUMMYFUNCTION("""COMPUTED_VALUE"""),"Patricia Solache (Castilla Y León)")</f>
        <v>Patricia Solache (Castilla Y León)</v>
      </c>
    </row>
    <row r="113" spans="2:16">
      <c r="B113" s="33">
        <f ca="1">IFERROR(__xludf.DUMMYFUNCTION("""COMPUTED_VALUE"""),2025)</f>
        <v>2025</v>
      </c>
      <c r="C113" s="33">
        <f ca="1">IFERROR(__xludf.DUMMYFUNCTION("""COMPUTED_VALUE"""),1)</f>
        <v>1</v>
      </c>
      <c r="D113" s="33" t="str">
        <f ca="1">IFERROR(__xludf.DUMMYFUNCTION("""COMPUTED_VALUE"""),"NO")</f>
        <v>NO</v>
      </c>
      <c r="E113" s="33" t="str">
        <f ca="1">IFERROR(__xludf.DUMMYFUNCTION("""COMPUTED_VALUE"""),"Salamanca")</f>
        <v>Salamanca</v>
      </c>
      <c r="F113" s="57">
        <f ca="1">IFERROR(__xludf.DUMMYFUNCTION("""COMPUTED_VALUE"""),45664)</f>
        <v>45664</v>
      </c>
      <c r="G113" s="57">
        <f ca="1">IFERROR(__xludf.DUMMYFUNCTION("""COMPUTED_VALUE"""),45609)</f>
        <v>45609</v>
      </c>
      <c r="H113" s="33" t="str">
        <f ca="1">IFERROR(__xludf.DUMMYFUNCTION("""COMPUTED_VALUE"""),"Salamanca")</f>
        <v>Salamanca</v>
      </c>
      <c r="I113" s="33" t="str">
        <f ca="1">IFERROR(__xludf.DUMMYFUNCTION("""COMPUTED_VALUE"""),"SLM-402")</f>
        <v>SLM-402</v>
      </c>
      <c r="J113" s="33" t="str">
        <f ca="1">IFERROR(__xludf.DUMMYFUNCTION("""COMPUTED_VALUE"""),"BENITA OLLOQUI MARCOS")</f>
        <v>BENITA OLLOQUI MARCOS</v>
      </c>
      <c r="K113" s="33">
        <f ca="1">IFERROR(__xludf.DUMMYFUNCTION("""COMPUTED_VALUE"""),2)</f>
        <v>2</v>
      </c>
      <c r="L113" s="203">
        <f ca="1">IFERROR(__xludf.DUMMYFUNCTION("""COMPUTED_VALUE"""),3604.55)</f>
        <v>3604.55</v>
      </c>
      <c r="M113" s="33" t="str">
        <f ca="1">IFERROR(__xludf.DUMMYFUNCTION("""COMPUTED_VALUE"""),"03 ORL")</f>
        <v>03 ORL</v>
      </c>
      <c r="N113" s="33" t="str">
        <f ca="1">IFERROR(__xludf.DUMMYFUNCTION("""COMPUTED_VALUE"""),"06 ORL")</f>
        <v>06 ORL</v>
      </c>
      <c r="O113" s="33" t="str">
        <f ca="1">IFERROR(__xludf.DUMMYFUNCTION("""COMPUTED_VALUE"""),"Dr, María Jesús Cornejo Domínguez")</f>
        <v>Dr, María Jesús Cornejo Domínguez</v>
      </c>
      <c r="P113" s="33" t="str">
        <f ca="1">IFERROR(__xludf.DUMMYFUNCTION("""COMPUTED_VALUE"""),"Patricia Solache (Castilla Y León)")</f>
        <v>Patricia Solache (Castilla Y León)</v>
      </c>
    </row>
    <row r="114" spans="2:16">
      <c r="B114" s="33">
        <f ca="1">IFERROR(__xludf.DUMMYFUNCTION("""COMPUTED_VALUE"""),2025)</f>
        <v>2025</v>
      </c>
      <c r="C114" s="33">
        <f ca="1">IFERROR(__xludf.DUMMYFUNCTION("""COMPUTED_VALUE"""),1)</f>
        <v>1</v>
      </c>
      <c r="D114" s="33" t="str">
        <f ca="1">IFERROR(__xludf.DUMMYFUNCTION("""COMPUTED_VALUE"""),"NO")</f>
        <v>NO</v>
      </c>
      <c r="E114" s="33" t="str">
        <f ca="1">IFERROR(__xludf.DUMMYFUNCTION("""COMPUTED_VALUE"""),"Vigo")</f>
        <v>Vigo</v>
      </c>
      <c r="F114" s="57">
        <f ca="1">IFERROR(__xludf.DUMMYFUNCTION("""COMPUTED_VALUE"""),45666)</f>
        <v>45666</v>
      </c>
      <c r="G114" s="57">
        <f ca="1">IFERROR(__xludf.DUMMYFUNCTION("""COMPUTED_VALUE"""),45457)</f>
        <v>45457</v>
      </c>
      <c r="H114" s="33" t="str">
        <f ca="1">IFERROR(__xludf.DUMMYFUNCTION("""COMPUTED_VALUE"""),"Vigo")</f>
        <v>Vigo</v>
      </c>
      <c r="I114" s="33" t="str">
        <f ca="1">IFERROR(__xludf.DUMMYFUNCTION("""COMPUTED_VALUE"""),"VIG-459")</f>
        <v>VIG-459</v>
      </c>
      <c r="J114" s="33" t="str">
        <f ca="1">IFERROR(__xludf.DUMMYFUNCTION("""COMPUTED_VALUE"""),"JAVIER FREIRIA PEREIRA")</f>
        <v>JAVIER FREIRIA PEREIRA</v>
      </c>
      <c r="K114" s="33">
        <f ca="1">IFERROR(__xludf.DUMMYFUNCTION("""COMPUTED_VALUE"""),1)</f>
        <v>1</v>
      </c>
      <c r="L114" s="203">
        <f ca="1">IFERROR(__xludf.DUMMYFUNCTION("""COMPUTED_VALUE"""),1772.73)</f>
        <v>1772.73</v>
      </c>
      <c r="M114" s="33" t="str">
        <f ca="1">IFERROR(__xludf.DUMMYFUNCTION("""COMPUTED_VALUE"""),"03 ORL")</f>
        <v>03 ORL</v>
      </c>
      <c r="N114" s="33" t="str">
        <f ca="1">IFERROR(__xludf.DUMMYFUNCTION("""COMPUTED_VALUE"""),"06 ORL")</f>
        <v>06 ORL</v>
      </c>
      <c r="O114" s="33" t="str">
        <f ca="1">IFERROR(__xludf.DUMMYFUNCTION("""COMPUTED_VALUE"""),"Dra, Pilar Castro Ruiz")</f>
        <v>Dra, Pilar Castro Ruiz</v>
      </c>
      <c r="P114" s="33" t="str">
        <f ca="1">IFERROR(__xludf.DUMMYFUNCTION("""COMPUTED_VALUE"""),"Roberto Pereira (Galicia)")</f>
        <v>Roberto Pereira (Galicia)</v>
      </c>
    </row>
    <row r="115" spans="2:16">
      <c r="B115" s="33">
        <f ca="1">IFERROR(__xludf.DUMMYFUNCTION("""COMPUTED_VALUE"""),2025)</f>
        <v>2025</v>
      </c>
      <c r="C115" s="33">
        <f ca="1">IFERROR(__xludf.DUMMYFUNCTION("""COMPUTED_VALUE"""),1)</f>
        <v>1</v>
      </c>
      <c r="D115" s="33" t="str">
        <f ca="1">IFERROR(__xludf.DUMMYFUNCTION("""COMPUTED_VALUE"""),"NO")</f>
        <v>NO</v>
      </c>
      <c r="E115" s="33" t="str">
        <f ca="1">IFERROR(__xludf.DUMMYFUNCTION("""COMPUTED_VALUE"""),"Salamanca")</f>
        <v>Salamanca</v>
      </c>
      <c r="F115" s="57">
        <f ca="1">IFERROR(__xludf.DUMMYFUNCTION("""COMPUTED_VALUE"""),45667)</f>
        <v>45667</v>
      </c>
      <c r="G115" s="57">
        <f ca="1">IFERROR(__xludf.DUMMYFUNCTION("""COMPUTED_VALUE"""),45630)</f>
        <v>45630</v>
      </c>
      <c r="H115" s="33" t="str">
        <f ca="1">IFERROR(__xludf.DUMMYFUNCTION("""COMPUTED_VALUE"""),"Salamanca")</f>
        <v>Salamanca</v>
      </c>
      <c r="I115" s="33" t="str">
        <f ca="1">IFERROR(__xludf.DUMMYFUNCTION("""COMPUTED_VALUE"""),"SLM-416")</f>
        <v>SLM-416</v>
      </c>
      <c r="J115" s="33" t="str">
        <f ca="1">IFERROR(__xludf.DUMMYFUNCTION("""COMPUTED_VALUE"""),"MELCHOR GARCIA SANCHEZ")</f>
        <v>MELCHOR GARCIA SANCHEZ</v>
      </c>
      <c r="K115" s="33">
        <f ca="1">IFERROR(__xludf.DUMMYFUNCTION("""COMPUTED_VALUE"""),2)</f>
        <v>2</v>
      </c>
      <c r="L115" s="203">
        <f ca="1">IFERROR(__xludf.DUMMYFUNCTION("""COMPUTED_VALUE"""),3604.55)</f>
        <v>3604.55</v>
      </c>
      <c r="M115" s="33" t="str">
        <f ca="1">IFERROR(__xludf.DUMMYFUNCTION("""COMPUTED_VALUE"""),"03 ORL")</f>
        <v>03 ORL</v>
      </c>
      <c r="N115" s="33" t="str">
        <f ca="1">IFERROR(__xludf.DUMMYFUNCTION("""COMPUTED_VALUE"""),"06 ORL")</f>
        <v>06 ORL</v>
      </c>
      <c r="O115" s="33" t="str">
        <f ca="1">IFERROR(__xludf.DUMMYFUNCTION("""COMPUTED_VALUE"""),"Dr, María Jesús Cornejo Domínguez")</f>
        <v>Dr, María Jesús Cornejo Domínguez</v>
      </c>
      <c r="P115" s="33" t="str">
        <f ca="1">IFERROR(__xludf.DUMMYFUNCTION("""COMPUTED_VALUE"""),"Patricia Solache (Castilla Y León)")</f>
        <v>Patricia Solache (Castilla Y León)</v>
      </c>
    </row>
    <row r="116" spans="2:16">
      <c r="B116" s="33">
        <f ca="1">IFERROR(__xludf.DUMMYFUNCTION("""COMPUTED_VALUE"""),2025)</f>
        <v>2025</v>
      </c>
      <c r="C116" s="33">
        <f ca="1">IFERROR(__xludf.DUMMYFUNCTION("""COMPUTED_VALUE"""),1)</f>
        <v>1</v>
      </c>
      <c r="D116" s="33" t="str">
        <f ca="1">IFERROR(__xludf.DUMMYFUNCTION("""COMPUTED_VALUE"""),"NO")</f>
        <v>NO</v>
      </c>
      <c r="E116" s="33" t="str">
        <f ca="1">IFERROR(__xludf.DUMMYFUNCTION("""COMPUTED_VALUE"""),"Valladolid")</f>
        <v>Valladolid</v>
      </c>
      <c r="F116" s="57">
        <f ca="1">IFERROR(__xludf.DUMMYFUNCTION("""COMPUTED_VALUE"""),45667)</f>
        <v>45667</v>
      </c>
      <c r="G116" s="57">
        <f ca="1">IFERROR(__xludf.DUMMYFUNCTION("""COMPUTED_VALUE"""),45614)</f>
        <v>45614</v>
      </c>
      <c r="H116" s="33" t="str">
        <f ca="1">IFERROR(__xludf.DUMMYFUNCTION("""COMPUTED_VALUE"""),"Valladolid")</f>
        <v>Valladolid</v>
      </c>
      <c r="I116" s="33" t="str">
        <f ca="1">IFERROR(__xludf.DUMMYFUNCTION("""COMPUTED_VALUE"""),"VLL-297")</f>
        <v>VLL-297</v>
      </c>
      <c r="J116" s="33" t="str">
        <f ca="1">IFERROR(__xludf.DUMMYFUNCTION("""COMPUTED_VALUE"""),"MARIA DEL CARMEN GONZALEZ GONZALEZ")</f>
        <v>MARIA DEL CARMEN GONZALEZ GONZALEZ</v>
      </c>
      <c r="K116" s="33">
        <f ca="1">IFERROR(__xludf.DUMMYFUNCTION("""COMPUTED_VALUE"""),2)</f>
        <v>2</v>
      </c>
      <c r="L116" s="203">
        <f ca="1">IFERROR(__xludf.DUMMYFUNCTION("""COMPUTED_VALUE"""),3977.27)</f>
        <v>3977.27</v>
      </c>
      <c r="M116" s="33" t="str">
        <f ca="1">IFERROR(__xludf.DUMMYFUNCTION("""COMPUTED_VALUE"""),"03 ORL")</f>
        <v>03 ORL</v>
      </c>
      <c r="N116" s="33" t="str">
        <f ca="1">IFERROR(__xludf.DUMMYFUNCTION("""COMPUTED_VALUE"""),"06 ORL")</f>
        <v>06 ORL</v>
      </c>
      <c r="O116" s="33" t="str">
        <f ca="1">IFERROR(__xludf.DUMMYFUNCTION("""COMPUTED_VALUE"""),"Dra, María Consolación Martín Pascual")</f>
        <v>Dra, María Consolación Martín Pascual</v>
      </c>
      <c r="P116" s="33" t="str">
        <f ca="1">IFERROR(__xludf.DUMMYFUNCTION("""COMPUTED_VALUE"""),"Patricia Solache (Castilla Y León)")</f>
        <v>Patricia Solache (Castilla Y León)</v>
      </c>
    </row>
    <row r="117" spans="2:16">
      <c r="B117" s="33">
        <f ca="1">IFERROR(__xludf.DUMMYFUNCTION("""COMPUTED_VALUE"""),2025)</f>
        <v>2025</v>
      </c>
      <c r="C117" s="33">
        <f ca="1">IFERROR(__xludf.DUMMYFUNCTION("""COMPUTED_VALUE"""),1)</f>
        <v>1</v>
      </c>
      <c r="D117" s="33" t="str">
        <f ca="1">IFERROR(__xludf.DUMMYFUNCTION("""COMPUTED_VALUE"""),"NO")</f>
        <v>NO</v>
      </c>
      <c r="E117" s="33" t="str">
        <f ca="1">IFERROR(__xludf.DUMMYFUNCTION("""COMPUTED_VALUE"""),"Vigo")</f>
        <v>Vigo</v>
      </c>
      <c r="F117" s="57">
        <f ca="1">IFERROR(__xludf.DUMMYFUNCTION("""COMPUTED_VALUE"""),45670)</f>
        <v>45670</v>
      </c>
      <c r="G117" s="57">
        <f ca="1">IFERROR(__xludf.DUMMYFUNCTION("""COMPUTED_VALUE"""),45483)</f>
        <v>45483</v>
      </c>
      <c r="H117" s="33" t="str">
        <f ca="1">IFERROR(__xludf.DUMMYFUNCTION("""COMPUTED_VALUE"""),"Vigo")</f>
        <v>Vigo</v>
      </c>
      <c r="I117" s="33" t="str">
        <f ca="1">IFERROR(__xludf.DUMMYFUNCTION("""COMPUTED_VALUE"""),"VIG-468")</f>
        <v>VIG-468</v>
      </c>
      <c r="J117" s="33" t="str">
        <f ca="1">IFERROR(__xludf.DUMMYFUNCTION("""COMPUTED_VALUE"""),"MARIA PILAR CASTILLO CUBO")</f>
        <v>MARIA PILAR CASTILLO CUBO</v>
      </c>
      <c r="K117" s="33">
        <f ca="1">IFERROR(__xludf.DUMMYFUNCTION("""COMPUTED_VALUE"""),2)</f>
        <v>2</v>
      </c>
      <c r="L117" s="203">
        <f ca="1">IFERROR(__xludf.DUMMYFUNCTION("""COMPUTED_VALUE"""),3545.45)</f>
        <v>3545.45</v>
      </c>
      <c r="M117" s="33" t="str">
        <f ca="1">IFERROR(__xludf.DUMMYFUNCTION("""COMPUTED_VALUE"""),"03 ORL")</f>
        <v>03 ORL</v>
      </c>
      <c r="N117" s="33" t="str">
        <f ca="1">IFERROR(__xludf.DUMMYFUNCTION("""COMPUTED_VALUE"""),"06 ORL")</f>
        <v>06 ORL</v>
      </c>
      <c r="O117" s="33" t="str">
        <f ca="1">IFERROR(__xludf.DUMMYFUNCTION("""COMPUTED_VALUE"""),"Dr, Anselmo Padín Seara")</f>
        <v>Dr, Anselmo Padín Seara</v>
      </c>
      <c r="P117" s="33" t="str">
        <f ca="1">IFERROR(__xludf.DUMMYFUNCTION("""COMPUTED_VALUE"""),"Roberto Pereira (Galicia)")</f>
        <v>Roberto Pereira (Galicia)</v>
      </c>
    </row>
    <row r="118" spans="2:16">
      <c r="B118" s="33">
        <f ca="1">IFERROR(__xludf.DUMMYFUNCTION("""COMPUTED_VALUE"""),2025)</f>
        <v>2025</v>
      </c>
      <c r="C118" s="33">
        <f ca="1">IFERROR(__xludf.DUMMYFUNCTION("""COMPUTED_VALUE"""),1)</f>
        <v>1</v>
      </c>
      <c r="D118" s="33" t="str">
        <f ca="1">IFERROR(__xludf.DUMMYFUNCTION("""COMPUTED_VALUE"""),"NO")</f>
        <v>NO</v>
      </c>
      <c r="E118" s="33" t="str">
        <f ca="1">IFERROR(__xludf.DUMMYFUNCTION("""COMPUTED_VALUE"""),"Cáceres")</f>
        <v>Cáceres</v>
      </c>
      <c r="F118" s="57">
        <f ca="1">IFERROR(__xludf.DUMMYFUNCTION("""COMPUTED_VALUE"""),45672)</f>
        <v>45672</v>
      </c>
      <c r="G118" s="57">
        <f ca="1">IFERROR(__xludf.DUMMYFUNCTION("""COMPUTED_VALUE"""),45610)</f>
        <v>45610</v>
      </c>
      <c r="H118" s="33" t="str">
        <f ca="1">IFERROR(__xludf.DUMMYFUNCTION("""COMPUTED_VALUE"""),"Cáceres")</f>
        <v>Cáceres</v>
      </c>
      <c r="I118" s="33" t="str">
        <f ca="1">IFERROR(__xludf.DUMMYFUNCTION("""COMPUTED_VALUE"""),"CAC-190")</f>
        <v>CAC-190</v>
      </c>
      <c r="J118" s="33" t="str">
        <f ca="1">IFERROR(__xludf.DUMMYFUNCTION("""COMPUTED_VALUE"""),"LUCIANA PUERTO MARTIN")</f>
        <v>LUCIANA PUERTO MARTIN</v>
      </c>
      <c r="K118" s="33">
        <f ca="1">IFERROR(__xludf.DUMMYFUNCTION("""COMPUTED_VALUE"""),2)</f>
        <v>2</v>
      </c>
      <c r="L118" s="203">
        <f ca="1">IFERROR(__xludf.DUMMYFUNCTION("""COMPUTED_VALUE"""),3334.55)</f>
        <v>3334.55</v>
      </c>
      <c r="M118" s="33" t="str">
        <f ca="1">IFERROR(__xludf.DUMMYFUNCTION("""COMPUTED_VALUE"""),"03 ORL")</f>
        <v>03 ORL</v>
      </c>
      <c r="N118" s="33" t="str">
        <f ca="1">IFERROR(__xludf.DUMMYFUNCTION("""COMPUTED_VALUE"""),"06 ORL")</f>
        <v>06 ORL</v>
      </c>
      <c r="O118" s="33" t="str">
        <f ca="1">IFERROR(__xludf.DUMMYFUNCTION("""COMPUTED_VALUE"""),"Dr, Raed Maqued El Maqued")</f>
        <v>Dr, Raed Maqued El Maqued</v>
      </c>
      <c r="P118" s="33" t="str">
        <f ca="1">IFERROR(__xludf.DUMMYFUNCTION("""COMPUTED_VALUE"""),"Lisandro Russian (Madrid, Cáceres, Toledo, Talavera Y Logroño)")</f>
        <v>Lisandro Russian (Madrid, Cáceres, Toledo, Talavera Y Logroño)</v>
      </c>
    </row>
    <row r="119" spans="2:16">
      <c r="B119" s="33">
        <f ca="1">IFERROR(__xludf.DUMMYFUNCTION("""COMPUTED_VALUE"""),2025)</f>
        <v>2025</v>
      </c>
      <c r="C119" s="33">
        <f ca="1">IFERROR(__xludf.DUMMYFUNCTION("""COMPUTED_VALUE"""),1)</f>
        <v>1</v>
      </c>
      <c r="D119" s="33" t="str">
        <f ca="1">IFERROR(__xludf.DUMMYFUNCTION("""COMPUTED_VALUE"""),"NO")</f>
        <v>NO</v>
      </c>
      <c r="E119" s="33" t="str">
        <f ca="1">IFERROR(__xludf.DUMMYFUNCTION("""COMPUTED_VALUE"""),"Salamanca")</f>
        <v>Salamanca</v>
      </c>
      <c r="F119" s="57">
        <f ca="1">IFERROR(__xludf.DUMMYFUNCTION("""COMPUTED_VALUE"""),45672)</f>
        <v>45672</v>
      </c>
      <c r="G119" s="57">
        <f ca="1">IFERROR(__xludf.DUMMYFUNCTION("""COMPUTED_VALUE"""),45600)</f>
        <v>45600</v>
      </c>
      <c r="H119" s="33" t="str">
        <f ca="1">IFERROR(__xludf.DUMMYFUNCTION("""COMPUTED_VALUE"""),"Salamanca")</f>
        <v>Salamanca</v>
      </c>
      <c r="I119" s="33" t="str">
        <f ca="1">IFERROR(__xludf.DUMMYFUNCTION("""COMPUTED_VALUE"""),"SLM-395")</f>
        <v>SLM-395</v>
      </c>
      <c r="J119" s="33" t="str">
        <f ca="1">IFERROR(__xludf.DUMMYFUNCTION("""COMPUTED_VALUE"""),"EUFEMIA SANCHEZ RAMOS")</f>
        <v>EUFEMIA SANCHEZ RAMOS</v>
      </c>
      <c r="K119" s="33">
        <f ca="1">IFERROR(__xludf.DUMMYFUNCTION("""COMPUTED_VALUE"""),2)</f>
        <v>2</v>
      </c>
      <c r="L119" s="203">
        <f ca="1">IFERROR(__xludf.DUMMYFUNCTION("""COMPUTED_VALUE"""),3604.55)</f>
        <v>3604.55</v>
      </c>
      <c r="M119" s="33" t="str">
        <f ca="1">IFERROR(__xludf.DUMMYFUNCTION("""COMPUTED_VALUE"""),"03 ORL")</f>
        <v>03 ORL</v>
      </c>
      <c r="N119" s="33" t="str">
        <f ca="1">IFERROR(__xludf.DUMMYFUNCTION("""COMPUTED_VALUE"""),"06 ORL")</f>
        <v>06 ORL</v>
      </c>
      <c r="O119" s="33" t="str">
        <f ca="1">IFERROR(__xludf.DUMMYFUNCTION("""COMPUTED_VALUE"""),"Dr, María Jesús Cornejo Domínguez")</f>
        <v>Dr, María Jesús Cornejo Domínguez</v>
      </c>
      <c r="P119" s="33" t="str">
        <f ca="1">IFERROR(__xludf.DUMMYFUNCTION("""COMPUTED_VALUE"""),"Patricia Solache (Castilla Y León)")</f>
        <v>Patricia Solache (Castilla Y León)</v>
      </c>
    </row>
    <row r="120" spans="2:16">
      <c r="B120" s="33">
        <f ca="1">IFERROR(__xludf.DUMMYFUNCTION("""COMPUTED_VALUE"""),2025)</f>
        <v>2025</v>
      </c>
      <c r="C120" s="33">
        <f ca="1">IFERROR(__xludf.DUMMYFUNCTION("""COMPUTED_VALUE"""),1)</f>
        <v>1</v>
      </c>
      <c r="D120" s="33" t="str">
        <f ca="1">IFERROR(__xludf.DUMMYFUNCTION("""COMPUTED_VALUE"""),"SI")</f>
        <v>SI</v>
      </c>
      <c r="E120" s="33" t="str">
        <f ca="1">IFERROR(__xludf.DUMMYFUNCTION("""COMPUTED_VALUE"""),"Zaragoza- León XIII")</f>
        <v>Zaragoza- León XIII</v>
      </c>
      <c r="F120" s="57">
        <f ca="1">IFERROR(__xludf.DUMMYFUNCTION("""COMPUTED_VALUE"""),45672)</f>
        <v>45672</v>
      </c>
      <c r="G120" s="57">
        <f ca="1">IFERROR(__xludf.DUMMYFUNCTION("""COMPUTED_VALUE"""),45063)</f>
        <v>45063</v>
      </c>
      <c r="H120" s="33" t="str">
        <f ca="1">IFERROR(__xludf.DUMMYFUNCTION("""COMPUTED_VALUE"""),"Zaragoza")</f>
        <v>Zaragoza</v>
      </c>
      <c r="I120" s="33" t="str">
        <f ca="1">IFERROR(__xludf.DUMMYFUNCTION("""COMPUTED_VALUE"""),"ZRG-79")</f>
        <v>ZRG-79</v>
      </c>
      <c r="J120" s="33" t="str">
        <f ca="1">IFERROR(__xludf.DUMMYFUNCTION("""COMPUTED_VALUE"""),"MONTSERRAT MORANCHO SAUMENCH")</f>
        <v>MONTSERRAT MORANCHO SAUMENCH</v>
      </c>
      <c r="K120" s="33">
        <f ca="1">IFERROR(__xludf.DUMMYFUNCTION("""COMPUTED_VALUE"""),1)</f>
        <v>1</v>
      </c>
      <c r="L120" s="203">
        <f ca="1">IFERROR(__xludf.DUMMYFUNCTION("""COMPUTED_VALUE"""),1818.18)</f>
        <v>1818.18</v>
      </c>
      <c r="M120" s="33" t="str">
        <f ca="1">IFERROR(__xludf.DUMMYFUNCTION("""COMPUTED_VALUE"""),"03 ORL")</f>
        <v>03 ORL</v>
      </c>
      <c r="N120" s="33" t="str">
        <f ca="1">IFERROR(__xludf.DUMMYFUNCTION("""COMPUTED_VALUE"""),"06 ORL")</f>
        <v>06 ORL</v>
      </c>
      <c r="O120" s="33" t="str">
        <f ca="1">IFERROR(__xludf.DUMMYFUNCTION("""COMPUTED_VALUE"""),"Dr, Héctor Vallés Varela")</f>
        <v>Dr, Héctor Vallés Varela</v>
      </c>
      <c r="P120" s="33" t="str">
        <f ca="1">IFERROR(__xludf.DUMMYFUNCTION("""COMPUTED_VALUE"""),"Lisandro Russian (Madrid, Cáceres, Toledo, Talavera Y Logroño)")</f>
        <v>Lisandro Russian (Madrid, Cáceres, Toledo, Talavera Y Logroño)</v>
      </c>
    </row>
    <row r="121" spans="2:16">
      <c r="B121" s="33">
        <f ca="1">IFERROR(__xludf.DUMMYFUNCTION("""COMPUTED_VALUE"""),2025)</f>
        <v>2025</v>
      </c>
      <c r="C121" s="33">
        <f ca="1">IFERROR(__xludf.DUMMYFUNCTION("""COMPUTED_VALUE"""),1)</f>
        <v>1</v>
      </c>
      <c r="D121" s="33" t="str">
        <f ca="1">IFERROR(__xludf.DUMMYFUNCTION("""COMPUTED_VALUE"""),"NO")</f>
        <v>NO</v>
      </c>
      <c r="E121" s="33" t="str">
        <f ca="1">IFERROR(__xludf.DUMMYFUNCTION("""COMPUTED_VALUE"""),"Zaragoza- León XIII")</f>
        <v>Zaragoza- León XIII</v>
      </c>
      <c r="F121" s="57">
        <f ca="1">IFERROR(__xludf.DUMMYFUNCTION("""COMPUTED_VALUE"""),45672)</f>
        <v>45672</v>
      </c>
      <c r="G121" s="57">
        <f ca="1">IFERROR(__xludf.DUMMYFUNCTION("""COMPUTED_VALUE"""),45607)</f>
        <v>45607</v>
      </c>
      <c r="H121" s="33" t="str">
        <f ca="1">IFERROR(__xludf.DUMMYFUNCTION("""COMPUTED_VALUE"""),"Zaragoza")</f>
        <v>Zaragoza</v>
      </c>
      <c r="I121" s="33" t="str">
        <f ca="1">IFERROR(__xludf.DUMMYFUNCTION("""COMPUTED_VALUE"""),"ZRG-504")</f>
        <v>ZRG-504</v>
      </c>
      <c r="J121" s="33" t="str">
        <f ca="1">IFERROR(__xludf.DUMMYFUNCTION("""COMPUTED_VALUE"""),"MOHAMAD HUSSEIN ZOHBI")</f>
        <v>MOHAMAD HUSSEIN ZOHBI</v>
      </c>
      <c r="K121" s="33">
        <f ca="1">IFERROR(__xludf.DUMMYFUNCTION("""COMPUTED_VALUE"""),1)</f>
        <v>1</v>
      </c>
      <c r="L121" s="203">
        <f ca="1">IFERROR(__xludf.DUMMYFUNCTION("""COMPUTED_VALUE"""),1646.36)</f>
        <v>1646.36</v>
      </c>
      <c r="M121" s="33" t="str">
        <f ca="1">IFERROR(__xludf.DUMMYFUNCTION("""COMPUTED_VALUE"""),"03 ORL")</f>
        <v>03 ORL</v>
      </c>
      <c r="N121" s="33" t="str">
        <f ca="1">IFERROR(__xludf.DUMMYFUNCTION("""COMPUTED_VALUE"""),"06 ORL")</f>
        <v>06 ORL</v>
      </c>
      <c r="O121" s="33" t="str">
        <f ca="1">IFERROR(__xludf.DUMMYFUNCTION("""COMPUTED_VALUE"""),"Dr, Pedro Gil Paraíso")</f>
        <v>Dr, Pedro Gil Paraíso</v>
      </c>
      <c r="P121" s="33" t="str">
        <f ca="1">IFERROR(__xludf.DUMMYFUNCTION("""COMPUTED_VALUE"""),"Lisandro Russian (Madrid, Cáceres, Toledo, Talavera Y Logroño)")</f>
        <v>Lisandro Russian (Madrid, Cáceres, Toledo, Talavera Y Logroño)</v>
      </c>
    </row>
    <row r="122" spans="2:16">
      <c r="B122" s="33">
        <f ca="1">IFERROR(__xludf.DUMMYFUNCTION("""COMPUTED_VALUE"""),2025)</f>
        <v>2025</v>
      </c>
      <c r="C122" s="33">
        <f ca="1">IFERROR(__xludf.DUMMYFUNCTION("""COMPUTED_VALUE"""),1)</f>
        <v>1</v>
      </c>
      <c r="D122" s="33" t="str">
        <f ca="1">IFERROR(__xludf.DUMMYFUNCTION("""COMPUTED_VALUE"""),"NO")</f>
        <v>NO</v>
      </c>
      <c r="E122" s="33" t="str">
        <f ca="1">IFERROR(__xludf.DUMMYFUNCTION("""COMPUTED_VALUE"""),"Cáceres")</f>
        <v>Cáceres</v>
      </c>
      <c r="F122" s="57">
        <f ca="1">IFERROR(__xludf.DUMMYFUNCTION("""COMPUTED_VALUE"""),45673)</f>
        <v>45673</v>
      </c>
      <c r="G122" s="57">
        <f ca="1">IFERROR(__xludf.DUMMYFUNCTION("""COMPUTED_VALUE"""),45637)</f>
        <v>45637</v>
      </c>
      <c r="H122" s="33" t="str">
        <f ca="1">IFERROR(__xludf.DUMMYFUNCTION("""COMPUTED_VALUE"""),"Cáceres")</f>
        <v>Cáceres</v>
      </c>
      <c r="I122" s="33" t="str">
        <f ca="1">IFERROR(__xludf.DUMMYFUNCTION("""COMPUTED_VALUE"""),"CAC-208")</f>
        <v>CAC-208</v>
      </c>
      <c r="J122" s="33" t="str">
        <f ca="1">IFERROR(__xludf.DUMMYFUNCTION("""COMPUTED_VALUE"""),"JUANA CORTES MEDINA")</f>
        <v>JUANA CORTES MEDINA</v>
      </c>
      <c r="K122" s="33">
        <f ca="1">IFERROR(__xludf.DUMMYFUNCTION("""COMPUTED_VALUE"""),2)</f>
        <v>2</v>
      </c>
      <c r="L122" s="203">
        <f ca="1">IFERROR(__xludf.DUMMYFUNCTION("""COMPUTED_VALUE"""),3861.82)</f>
        <v>3861.82</v>
      </c>
      <c r="M122" s="33" t="str">
        <f ca="1">IFERROR(__xludf.DUMMYFUNCTION("""COMPUTED_VALUE"""),"03 ORL")</f>
        <v>03 ORL</v>
      </c>
      <c r="N122" s="33" t="str">
        <f ca="1">IFERROR(__xludf.DUMMYFUNCTION("""COMPUTED_VALUE"""),"06 ORL")</f>
        <v>06 ORL</v>
      </c>
      <c r="O122" s="33" t="str">
        <f ca="1">IFERROR(__xludf.DUMMYFUNCTION("""COMPUTED_VALUE"""),"Dr, Manuel Cañete Domínguez")</f>
        <v>Dr, Manuel Cañete Domínguez</v>
      </c>
      <c r="P122" s="33" t="str">
        <f ca="1">IFERROR(__xludf.DUMMYFUNCTION("""COMPUTED_VALUE"""),"Lisandro Russian (Madrid, Cáceres, Toledo, Talavera Y Logroño)")</f>
        <v>Lisandro Russian (Madrid, Cáceres, Toledo, Talavera Y Logroño)</v>
      </c>
    </row>
    <row r="123" spans="2:16">
      <c r="B123" s="33">
        <f ca="1">IFERROR(__xludf.DUMMYFUNCTION("""COMPUTED_VALUE"""),2025)</f>
        <v>2025</v>
      </c>
      <c r="C123" s="33">
        <f ca="1">IFERROR(__xludf.DUMMYFUNCTION("""COMPUTED_VALUE"""),1)</f>
        <v>1</v>
      </c>
      <c r="D123" s="33" t="str">
        <f ca="1">IFERROR(__xludf.DUMMYFUNCTION("""COMPUTED_VALUE"""),"NO")</f>
        <v>NO</v>
      </c>
      <c r="E123" s="33" t="str">
        <f ca="1">IFERROR(__xludf.DUMMYFUNCTION("""COMPUTED_VALUE"""),"León")</f>
        <v>León</v>
      </c>
      <c r="F123" s="57">
        <f ca="1">IFERROR(__xludf.DUMMYFUNCTION("""COMPUTED_VALUE"""),45673)</f>
        <v>45673</v>
      </c>
      <c r="G123" s="57">
        <f ca="1">IFERROR(__xludf.DUMMYFUNCTION("""COMPUTED_VALUE"""),45617)</f>
        <v>45617</v>
      </c>
      <c r="H123" s="33" t="str">
        <f ca="1">IFERROR(__xludf.DUMMYFUNCTION("""COMPUTED_VALUE"""),"León")</f>
        <v>León</v>
      </c>
      <c r="I123" s="33" t="str">
        <f ca="1">IFERROR(__xludf.DUMMYFUNCTION("""COMPUTED_VALUE"""),"LEO-368")</f>
        <v>LEO-368</v>
      </c>
      <c r="J123" s="33" t="str">
        <f ca="1">IFERROR(__xludf.DUMMYFUNCTION("""COMPUTED_VALUE"""),"FRANCISCA GARCIA CUENLLAS")</f>
        <v>FRANCISCA GARCIA CUENLLAS</v>
      </c>
      <c r="K123" s="33">
        <f ca="1">IFERROR(__xludf.DUMMYFUNCTION("""COMPUTED_VALUE"""),2)</f>
        <v>2</v>
      </c>
      <c r="L123" s="203">
        <f ca="1">IFERROR(__xludf.DUMMYFUNCTION("""COMPUTED_VALUE"""),4090.91)</f>
        <v>4090.91</v>
      </c>
      <c r="M123" s="33" t="str">
        <f ca="1">IFERROR(__xludf.DUMMYFUNCTION("""COMPUTED_VALUE"""),"03 ORL")</f>
        <v>03 ORL</v>
      </c>
      <c r="N123" s="33" t="str">
        <f ca="1">IFERROR(__xludf.DUMMYFUNCTION("""COMPUTED_VALUE"""),"06 ORL")</f>
        <v>06 ORL</v>
      </c>
      <c r="O123" s="33" t="str">
        <f ca="1">IFERROR(__xludf.DUMMYFUNCTION("""COMPUTED_VALUE"""),"Dr, Rafael Pérez González")</f>
        <v>Dr, Rafael Pérez González</v>
      </c>
      <c r="P123" s="33" t="str">
        <f ca="1">IFERROR(__xludf.DUMMYFUNCTION("""COMPUTED_VALUE"""),"Patricia Solache (Castilla Y León)")</f>
        <v>Patricia Solache (Castilla Y León)</v>
      </c>
    </row>
    <row r="124" spans="2:16">
      <c r="B124" s="33">
        <f ca="1">IFERROR(__xludf.DUMMYFUNCTION("""COMPUTED_VALUE"""),2025)</f>
        <v>2025</v>
      </c>
      <c r="C124" s="33">
        <f ca="1">IFERROR(__xludf.DUMMYFUNCTION("""COMPUTED_VALUE"""),1)</f>
        <v>1</v>
      </c>
      <c r="D124" s="33" t="str">
        <f ca="1">IFERROR(__xludf.DUMMYFUNCTION("""COMPUTED_VALUE"""),"NO")</f>
        <v>NO</v>
      </c>
      <c r="E124" s="33" t="str">
        <f ca="1">IFERROR(__xludf.DUMMYFUNCTION("""COMPUTED_VALUE"""),"Salamanca")</f>
        <v>Salamanca</v>
      </c>
      <c r="F124" s="57">
        <f ca="1">IFERROR(__xludf.DUMMYFUNCTION("""COMPUTED_VALUE"""),45673)</f>
        <v>45673</v>
      </c>
      <c r="G124" s="57">
        <f ca="1">IFERROR(__xludf.DUMMYFUNCTION("""COMPUTED_VALUE"""),45621)</f>
        <v>45621</v>
      </c>
      <c r="H124" s="33" t="str">
        <f ca="1">IFERROR(__xludf.DUMMYFUNCTION("""COMPUTED_VALUE"""),"Salamanca")</f>
        <v>Salamanca</v>
      </c>
      <c r="I124" s="33" t="str">
        <f ca="1">IFERROR(__xludf.DUMMYFUNCTION("""COMPUTED_VALUE"""),"SLM-407")</f>
        <v>SLM-407</v>
      </c>
      <c r="J124" s="33" t="str">
        <f ca="1">IFERROR(__xludf.DUMMYFUNCTION("""COMPUTED_VALUE"""),"MARIA IGNACIA GARCIA LOPEZ")</f>
        <v>MARIA IGNACIA GARCIA LOPEZ</v>
      </c>
      <c r="K124" s="33">
        <f ca="1">IFERROR(__xludf.DUMMYFUNCTION("""COMPUTED_VALUE"""),2)</f>
        <v>2</v>
      </c>
      <c r="L124" s="203">
        <f ca="1">IFERROR(__xludf.DUMMYFUNCTION("""COMPUTED_VALUE"""),3604.55)</f>
        <v>3604.55</v>
      </c>
      <c r="M124" s="33" t="str">
        <f ca="1">IFERROR(__xludf.DUMMYFUNCTION("""COMPUTED_VALUE"""),"03 ORL")</f>
        <v>03 ORL</v>
      </c>
      <c r="N124" s="33" t="str">
        <f ca="1">IFERROR(__xludf.DUMMYFUNCTION("""COMPUTED_VALUE"""),"06 ORL")</f>
        <v>06 ORL</v>
      </c>
      <c r="O124" s="33" t="str">
        <f ca="1">IFERROR(__xludf.DUMMYFUNCTION("""COMPUTED_VALUE"""),"Dr, Ángel Muñoz Herrera")</f>
        <v>Dr, Ángel Muñoz Herrera</v>
      </c>
      <c r="P124" s="33" t="str">
        <f ca="1">IFERROR(__xludf.DUMMYFUNCTION("""COMPUTED_VALUE"""),"Patricia Solache (Castilla Y León)")</f>
        <v>Patricia Solache (Castilla Y León)</v>
      </c>
    </row>
    <row r="125" spans="2:16">
      <c r="B125" s="33">
        <f ca="1">IFERROR(__xludf.DUMMYFUNCTION("""COMPUTED_VALUE"""),2025)</f>
        <v>2025</v>
      </c>
      <c r="C125" s="33">
        <f ca="1">IFERROR(__xludf.DUMMYFUNCTION("""COMPUTED_VALUE"""),1)</f>
        <v>1</v>
      </c>
      <c r="D125" s="33" t="str">
        <f ca="1">IFERROR(__xludf.DUMMYFUNCTION("""COMPUTED_VALUE"""),"NO")</f>
        <v>NO</v>
      </c>
      <c r="E125" s="33" t="str">
        <f ca="1">IFERROR(__xludf.DUMMYFUNCTION("""COMPUTED_VALUE"""),"Vigo")</f>
        <v>Vigo</v>
      </c>
      <c r="F125" s="57">
        <f ca="1">IFERROR(__xludf.DUMMYFUNCTION("""COMPUTED_VALUE"""),45677)</f>
        <v>45677</v>
      </c>
      <c r="G125" s="57">
        <f ca="1">IFERROR(__xludf.DUMMYFUNCTION("""COMPUTED_VALUE"""),45656)</f>
        <v>45656</v>
      </c>
      <c r="H125" s="33" t="str">
        <f ca="1">IFERROR(__xludf.DUMMYFUNCTION("""COMPUTED_VALUE"""),"Vigo")</f>
        <v>Vigo</v>
      </c>
      <c r="I125" s="33" t="str">
        <f ca="1">IFERROR(__xludf.DUMMYFUNCTION("""COMPUTED_VALUE"""),"VIG-526")</f>
        <v>VIG-526</v>
      </c>
      <c r="J125" s="33" t="str">
        <f ca="1">IFERROR(__xludf.DUMMYFUNCTION("""COMPUTED_VALUE"""),"XOXE ANXO LORES LAGO")</f>
        <v>XOXE ANXO LORES LAGO</v>
      </c>
      <c r="K125" s="33">
        <f ca="1">IFERROR(__xludf.DUMMYFUNCTION("""COMPUTED_VALUE"""),1)</f>
        <v>1</v>
      </c>
      <c r="L125" s="203">
        <f ca="1">IFERROR(__xludf.DUMMYFUNCTION("""COMPUTED_VALUE"""),1818.18)</f>
        <v>1818.18</v>
      </c>
      <c r="M125" s="33" t="str">
        <f ca="1">IFERROR(__xludf.DUMMYFUNCTION("""COMPUTED_VALUE"""),"03 ORL")</f>
        <v>03 ORL</v>
      </c>
      <c r="N125" s="33" t="str">
        <f ca="1">IFERROR(__xludf.DUMMYFUNCTION("""COMPUTED_VALUE"""),"06 ORL")</f>
        <v>06 ORL</v>
      </c>
      <c r="O125" s="33" t="str">
        <f ca="1">IFERROR(__xludf.DUMMYFUNCTION("""COMPUTED_VALUE"""),"Dra, Adela Pérez-Caro Ríos")</f>
        <v>Dra, Adela Pérez-Caro Ríos</v>
      </c>
      <c r="P125" s="33" t="str">
        <f ca="1">IFERROR(__xludf.DUMMYFUNCTION("""COMPUTED_VALUE"""),"Roberto Pereira (Galicia)")</f>
        <v>Roberto Pereira (Galicia)</v>
      </c>
    </row>
    <row r="126" spans="2:16">
      <c r="B126" s="33">
        <f ca="1">IFERROR(__xludf.DUMMYFUNCTION("""COMPUTED_VALUE"""),2025)</f>
        <v>2025</v>
      </c>
      <c r="C126" s="33">
        <f ca="1">IFERROR(__xludf.DUMMYFUNCTION("""COMPUTED_VALUE"""),1)</f>
        <v>1</v>
      </c>
      <c r="D126" s="33" t="str">
        <f ca="1">IFERROR(__xludf.DUMMYFUNCTION("""COMPUTED_VALUE"""),"NO")</f>
        <v>NO</v>
      </c>
      <c r="E126" s="33" t="str">
        <f ca="1">IFERROR(__xludf.DUMMYFUNCTION("""COMPUTED_VALUE"""),"Cáceres")</f>
        <v>Cáceres</v>
      </c>
      <c r="F126" s="57">
        <f ca="1">IFERROR(__xludf.DUMMYFUNCTION("""COMPUTED_VALUE"""),45678)</f>
        <v>45678</v>
      </c>
      <c r="G126" s="57">
        <f ca="1">IFERROR(__xludf.DUMMYFUNCTION("""COMPUTED_VALUE"""),45643)</f>
        <v>45643</v>
      </c>
      <c r="H126" s="33" t="str">
        <f ca="1">IFERROR(__xludf.DUMMYFUNCTION("""COMPUTED_VALUE"""),"Cáceres")</f>
        <v>Cáceres</v>
      </c>
      <c r="I126" s="33" t="str">
        <f ca="1">IFERROR(__xludf.DUMMYFUNCTION("""COMPUTED_VALUE"""),"CAC-213")</f>
        <v>CAC-213</v>
      </c>
      <c r="J126" s="33" t="str">
        <f ca="1">IFERROR(__xludf.DUMMYFUNCTION("""COMPUTED_VALUE"""),"LORENZO GARRIDO GUTIERREZ")</f>
        <v>LORENZO GARRIDO GUTIERREZ</v>
      </c>
      <c r="K126" s="33">
        <f ca="1">IFERROR(__xludf.DUMMYFUNCTION("""COMPUTED_VALUE"""),2)</f>
        <v>2</v>
      </c>
      <c r="L126" s="203">
        <f ca="1">IFERROR(__xludf.DUMMYFUNCTION("""COMPUTED_VALUE"""),4090.91)</f>
        <v>4090.91</v>
      </c>
      <c r="M126" s="33" t="str">
        <f ca="1">IFERROR(__xludf.DUMMYFUNCTION("""COMPUTED_VALUE"""),"03 ORL")</f>
        <v>03 ORL</v>
      </c>
      <c r="N126" s="33" t="str">
        <f ca="1">IFERROR(__xludf.DUMMYFUNCTION("""COMPUTED_VALUE"""),"06 ORL")</f>
        <v>06 ORL</v>
      </c>
      <c r="O126" s="33" t="str">
        <f ca="1">IFERROR(__xludf.DUMMYFUNCTION("""COMPUTED_VALUE"""),"Dr, Javier García Gómez")</f>
        <v>Dr, Javier García Gómez</v>
      </c>
      <c r="P126" s="33" t="str">
        <f ca="1">IFERROR(__xludf.DUMMYFUNCTION("""COMPUTED_VALUE"""),"Lisandro Russian (Madrid, Cáceres, Toledo, Talavera Y Logroño)")</f>
        <v>Lisandro Russian (Madrid, Cáceres, Toledo, Talavera Y Logroño)</v>
      </c>
    </row>
    <row r="127" spans="2:16">
      <c r="B127" s="33">
        <f ca="1">IFERROR(__xludf.DUMMYFUNCTION("""COMPUTED_VALUE"""),2025)</f>
        <v>2025</v>
      </c>
      <c r="C127" s="33">
        <f ca="1">IFERROR(__xludf.DUMMYFUNCTION("""COMPUTED_VALUE"""),1)</f>
        <v>1</v>
      </c>
      <c r="D127" s="33" t="str">
        <f ca="1">IFERROR(__xludf.DUMMYFUNCTION("""COMPUTED_VALUE"""),"NO")</f>
        <v>NO</v>
      </c>
      <c r="E127" s="33" t="str">
        <f ca="1">IFERROR(__xludf.DUMMYFUNCTION("""COMPUTED_VALUE"""),"Zaragoza- León XIII")</f>
        <v>Zaragoza- León XIII</v>
      </c>
      <c r="F127" s="57">
        <f ca="1">IFERROR(__xludf.DUMMYFUNCTION("""COMPUTED_VALUE"""),45678)</f>
        <v>45678</v>
      </c>
      <c r="G127" s="57">
        <f ca="1">IFERROR(__xludf.DUMMYFUNCTION("""COMPUTED_VALUE"""),45630)</f>
        <v>45630</v>
      </c>
      <c r="H127" s="33" t="str">
        <f ca="1">IFERROR(__xludf.DUMMYFUNCTION("""COMPUTED_VALUE"""),"Zaragoza")</f>
        <v>Zaragoza</v>
      </c>
      <c r="I127" s="33" t="str">
        <f ca="1">IFERROR(__xludf.DUMMYFUNCTION("""COMPUTED_VALUE"""),"ZRG-532")</f>
        <v>ZRG-532</v>
      </c>
      <c r="J127" s="33" t="str">
        <f ca="1">IFERROR(__xludf.DUMMYFUNCTION("""COMPUTED_VALUE"""),"RAQUEL MARTINEZ RUIZ")</f>
        <v>RAQUEL MARTINEZ RUIZ</v>
      </c>
      <c r="K127" s="33">
        <f ca="1">IFERROR(__xludf.DUMMYFUNCTION("""COMPUTED_VALUE"""),2)</f>
        <v>2</v>
      </c>
      <c r="L127" s="203">
        <f ca="1">IFERROR(__xludf.DUMMYFUNCTION("""COMPUTED_VALUE"""),3424.55)</f>
        <v>3424.55</v>
      </c>
      <c r="M127" s="33" t="str">
        <f ca="1">IFERROR(__xludf.DUMMYFUNCTION("""COMPUTED_VALUE"""),"03 ORL")</f>
        <v>03 ORL</v>
      </c>
      <c r="N127" s="33" t="str">
        <f ca="1">IFERROR(__xludf.DUMMYFUNCTION("""COMPUTED_VALUE"""),"06 ORL")</f>
        <v>06 ORL</v>
      </c>
      <c r="O127" s="33" t="str">
        <f ca="1">IFERROR(__xludf.DUMMYFUNCTION("""COMPUTED_VALUE"""),"Dr, José Manuel García Solans-Esteras")</f>
        <v>Dr, José Manuel García Solans-Esteras</v>
      </c>
      <c r="P127" s="33" t="str">
        <f ca="1">IFERROR(__xludf.DUMMYFUNCTION("""COMPUTED_VALUE"""),"Lisandro Russian (Madrid, Cáceres, Toledo, Talavera Y Logroño)")</f>
        <v>Lisandro Russian (Madrid, Cáceres, Toledo, Talavera Y Logroño)</v>
      </c>
    </row>
    <row r="128" spans="2:16">
      <c r="B128" s="33">
        <f ca="1">IFERROR(__xludf.DUMMYFUNCTION("""COMPUTED_VALUE"""),2025)</f>
        <v>2025</v>
      </c>
      <c r="C128" s="33">
        <f ca="1">IFERROR(__xludf.DUMMYFUNCTION("""COMPUTED_VALUE"""),1)</f>
        <v>1</v>
      </c>
      <c r="D128" s="33" t="str">
        <f ca="1">IFERROR(__xludf.DUMMYFUNCTION("""COMPUTED_VALUE"""),"NO")</f>
        <v>NO</v>
      </c>
      <c r="E128" s="33" t="str">
        <f ca="1">IFERROR(__xludf.DUMMYFUNCTION("""COMPUTED_VALUE"""),"Vigo")</f>
        <v>Vigo</v>
      </c>
      <c r="F128" s="57">
        <f ca="1">IFERROR(__xludf.DUMMYFUNCTION("""COMPUTED_VALUE"""),45679)</f>
        <v>45679</v>
      </c>
      <c r="G128" s="57">
        <f ca="1">IFERROR(__xludf.DUMMYFUNCTION("""COMPUTED_VALUE"""),45637)</f>
        <v>45637</v>
      </c>
      <c r="H128" s="33" t="str">
        <f ca="1">IFERROR(__xludf.DUMMYFUNCTION("""COMPUTED_VALUE"""),"Vigo")</f>
        <v>Vigo</v>
      </c>
      <c r="I128" s="33" t="str">
        <f ca="1">IFERROR(__xludf.DUMMYFUNCTION("""COMPUTED_VALUE"""),"VIG-520")</f>
        <v>VIG-520</v>
      </c>
      <c r="J128" s="33" t="str">
        <f ca="1">IFERROR(__xludf.DUMMYFUNCTION("""COMPUTED_VALUE"""),"NURIA SANCHEZ EIJO")</f>
        <v>NURIA SANCHEZ EIJO</v>
      </c>
      <c r="K128" s="33">
        <f ca="1">IFERROR(__xludf.DUMMYFUNCTION("""COMPUTED_VALUE"""),2)</f>
        <v>2</v>
      </c>
      <c r="L128" s="203">
        <f ca="1">IFERROR(__xludf.DUMMYFUNCTION("""COMPUTED_VALUE"""),3454.55)</f>
        <v>3454.55</v>
      </c>
      <c r="M128" s="33" t="str">
        <f ca="1">IFERROR(__xludf.DUMMYFUNCTION("""COMPUTED_VALUE"""),"03 ORL")</f>
        <v>03 ORL</v>
      </c>
      <c r="N128" s="33" t="str">
        <f ca="1">IFERROR(__xludf.DUMMYFUNCTION("""COMPUTED_VALUE"""),"06 ORL")</f>
        <v>06 ORL</v>
      </c>
      <c r="O128" s="33" t="str">
        <f ca="1">IFERROR(__xludf.DUMMYFUNCTION("""COMPUTED_VALUE"""),"Dra, Isabel Miranda García")</f>
        <v>Dra, Isabel Miranda García</v>
      </c>
      <c r="P128" s="33" t="str">
        <f ca="1">IFERROR(__xludf.DUMMYFUNCTION("""COMPUTED_VALUE"""),"Roberto Pereira (Galicia)")</f>
        <v>Roberto Pereira (Galicia)</v>
      </c>
    </row>
    <row r="129" spans="2:16">
      <c r="B129" s="33">
        <f ca="1">IFERROR(__xludf.DUMMYFUNCTION("""COMPUTED_VALUE"""),2025)</f>
        <v>2025</v>
      </c>
      <c r="C129" s="33">
        <f ca="1">IFERROR(__xludf.DUMMYFUNCTION("""COMPUTED_VALUE"""),1)</f>
        <v>1</v>
      </c>
      <c r="D129" s="33" t="str">
        <f ca="1">IFERROR(__xludf.DUMMYFUNCTION("""COMPUTED_VALUE"""),"SI")</f>
        <v>SI</v>
      </c>
      <c r="E129" s="33" t="str">
        <f ca="1">IFERROR(__xludf.DUMMYFUNCTION("""COMPUTED_VALUE"""),"Cáceres")</f>
        <v>Cáceres</v>
      </c>
      <c r="F129" s="57">
        <f ca="1">IFERROR(__xludf.DUMMYFUNCTION("""COMPUTED_VALUE"""),45680)</f>
        <v>45680</v>
      </c>
      <c r="G129" s="57">
        <f ca="1">IFERROR(__xludf.DUMMYFUNCTION("""COMPUTED_VALUE"""),45607)</f>
        <v>45607</v>
      </c>
      <c r="H129" s="33" t="str">
        <f ca="1">IFERROR(__xludf.DUMMYFUNCTION("""COMPUTED_VALUE"""),"Cáceres")</f>
        <v>Cáceres</v>
      </c>
      <c r="I129" s="33" t="str">
        <f ca="1">IFERROR(__xludf.DUMMYFUNCTION("""COMPUTED_VALUE"""),"CAC-186")</f>
        <v>CAC-186</v>
      </c>
      <c r="J129" s="33" t="str">
        <f ca="1">IFERROR(__xludf.DUMMYFUNCTION("""COMPUTED_VALUE"""),"GUADALUPE RUBIO ROS")</f>
        <v>GUADALUPE RUBIO ROS</v>
      </c>
      <c r="K129" s="33">
        <f ca="1">IFERROR(__xludf.DUMMYFUNCTION("""COMPUTED_VALUE"""),1)</f>
        <v>1</v>
      </c>
      <c r="L129" s="203">
        <f ca="1">IFERROR(__xludf.DUMMYFUNCTION("""COMPUTED_VALUE"""),1186.36)</f>
        <v>1186.3599999999999</v>
      </c>
      <c r="M129" s="33" t="str">
        <f ca="1">IFERROR(__xludf.DUMMYFUNCTION("""COMPUTED_VALUE"""),"03 ORL")</f>
        <v>03 ORL</v>
      </c>
      <c r="N129" s="33" t="str">
        <f ca="1">IFERROR(__xludf.DUMMYFUNCTION("""COMPUTED_VALUE"""),"06 ORL")</f>
        <v>06 ORL</v>
      </c>
      <c r="O129" s="33" t="str">
        <f ca="1">IFERROR(__xludf.DUMMYFUNCTION("""COMPUTED_VALUE"""),"Dra, Daniela Carolina Laguado Bulgheroni")</f>
        <v>Dra, Daniela Carolina Laguado Bulgheroni</v>
      </c>
      <c r="P129" s="33" t="str">
        <f ca="1">IFERROR(__xludf.DUMMYFUNCTION("""COMPUTED_VALUE"""),"Lisandro Russian (Madrid, Cáceres, Toledo, Talavera Y Logroño)")</f>
        <v>Lisandro Russian (Madrid, Cáceres, Toledo, Talavera Y Logroño)</v>
      </c>
    </row>
    <row r="130" spans="2:16">
      <c r="B130" s="33">
        <f ca="1">IFERROR(__xludf.DUMMYFUNCTION("""COMPUTED_VALUE"""),2025)</f>
        <v>2025</v>
      </c>
      <c r="C130" s="33">
        <f ca="1">IFERROR(__xludf.DUMMYFUNCTION("""COMPUTED_VALUE"""),1)</f>
        <v>1</v>
      </c>
      <c r="D130" s="33" t="str">
        <f ca="1">IFERROR(__xludf.DUMMYFUNCTION("""COMPUTED_VALUE"""),"NO")</f>
        <v>NO</v>
      </c>
      <c r="E130" s="33" t="str">
        <f ca="1">IFERROR(__xludf.DUMMYFUNCTION("""COMPUTED_VALUE"""),"Salamanca")</f>
        <v>Salamanca</v>
      </c>
      <c r="F130" s="57">
        <f ca="1">IFERROR(__xludf.DUMMYFUNCTION("""COMPUTED_VALUE"""),45680)</f>
        <v>45680</v>
      </c>
      <c r="G130" s="57">
        <f ca="1">IFERROR(__xludf.DUMMYFUNCTION("""COMPUTED_VALUE"""),45629)</f>
        <v>45629</v>
      </c>
      <c r="H130" s="33" t="str">
        <f ca="1">IFERROR(__xludf.DUMMYFUNCTION("""COMPUTED_VALUE"""),"Salamanca")</f>
        <v>Salamanca</v>
      </c>
      <c r="I130" s="33" t="str">
        <f ca="1">IFERROR(__xludf.DUMMYFUNCTION("""COMPUTED_VALUE"""),"SLM-415")</f>
        <v>SLM-415</v>
      </c>
      <c r="J130" s="33" t="str">
        <f ca="1">IFERROR(__xludf.DUMMYFUNCTION("""COMPUTED_VALUE"""),"FERNANDO SANCHEZ SANCHEZ")</f>
        <v>FERNANDO SANCHEZ SANCHEZ</v>
      </c>
      <c r="K130" s="33">
        <f ca="1">IFERROR(__xludf.DUMMYFUNCTION("""COMPUTED_VALUE"""),2)</f>
        <v>2</v>
      </c>
      <c r="L130" s="203">
        <f ca="1">IFERROR(__xludf.DUMMYFUNCTION("""COMPUTED_VALUE"""),3604.55)</f>
        <v>3604.55</v>
      </c>
      <c r="M130" s="33" t="str">
        <f ca="1">IFERROR(__xludf.DUMMYFUNCTION("""COMPUTED_VALUE"""),"03 ORL")</f>
        <v>03 ORL</v>
      </c>
      <c r="N130" s="33" t="str">
        <f ca="1">IFERROR(__xludf.DUMMYFUNCTION("""COMPUTED_VALUE"""),"06 ORL")</f>
        <v>06 ORL</v>
      </c>
      <c r="O130" s="33" t="str">
        <f ca="1">IFERROR(__xludf.DUMMYFUNCTION("""COMPUTED_VALUE"""),"Dr, María Jesús Cornejo Domínguez")</f>
        <v>Dr, María Jesús Cornejo Domínguez</v>
      </c>
      <c r="P130" s="33" t="str">
        <f ca="1">IFERROR(__xludf.DUMMYFUNCTION("""COMPUTED_VALUE"""),"Patricia Solache (Castilla Y León)")</f>
        <v>Patricia Solache (Castilla Y León)</v>
      </c>
    </row>
    <row r="131" spans="2:16">
      <c r="B131" s="33">
        <f ca="1">IFERROR(__xludf.DUMMYFUNCTION("""COMPUTED_VALUE"""),2025)</f>
        <v>2025</v>
      </c>
      <c r="C131" s="33">
        <f ca="1">IFERROR(__xludf.DUMMYFUNCTION("""COMPUTED_VALUE"""),1)</f>
        <v>1</v>
      </c>
      <c r="D131" s="33" t="str">
        <f ca="1">IFERROR(__xludf.DUMMYFUNCTION("""COMPUTED_VALUE"""),"NO")</f>
        <v>NO</v>
      </c>
      <c r="E131" s="33" t="str">
        <f ca="1">IFERROR(__xludf.DUMMYFUNCTION("""COMPUTED_VALUE"""),"Salamanca")</f>
        <v>Salamanca</v>
      </c>
      <c r="F131" s="57">
        <f ca="1">IFERROR(__xludf.DUMMYFUNCTION("""COMPUTED_VALUE"""),45680)</f>
        <v>45680</v>
      </c>
      <c r="G131" s="57">
        <f ca="1">IFERROR(__xludf.DUMMYFUNCTION("""COMPUTED_VALUE"""),45631)</f>
        <v>45631</v>
      </c>
      <c r="H131" s="33" t="str">
        <f ca="1">IFERROR(__xludf.DUMMYFUNCTION("""COMPUTED_VALUE"""),"Salamanca")</f>
        <v>Salamanca</v>
      </c>
      <c r="I131" s="33" t="str">
        <f ca="1">IFERROR(__xludf.DUMMYFUNCTION("""COMPUTED_VALUE"""),"SLM-418")</f>
        <v>SLM-418</v>
      </c>
      <c r="J131" s="33" t="str">
        <f ca="1">IFERROR(__xludf.DUMMYFUNCTION("""COMPUTED_VALUE"""),"ELISA OLIVA MATEOS")</f>
        <v>ELISA OLIVA MATEOS</v>
      </c>
      <c r="K131" s="33">
        <f ca="1">IFERROR(__xludf.DUMMYFUNCTION("""COMPUTED_VALUE"""),1)</f>
        <v>1</v>
      </c>
      <c r="L131" s="203">
        <f ca="1">IFERROR(__xludf.DUMMYFUNCTION("""COMPUTED_VALUE"""),2162.73)</f>
        <v>2162.73</v>
      </c>
      <c r="M131" s="33" t="str">
        <f ca="1">IFERROR(__xludf.DUMMYFUNCTION("""COMPUTED_VALUE"""),"03 ORL")</f>
        <v>03 ORL</v>
      </c>
      <c r="N131" s="33" t="str">
        <f ca="1">IFERROR(__xludf.DUMMYFUNCTION("""COMPUTED_VALUE"""),"06 ORL")</f>
        <v>06 ORL</v>
      </c>
      <c r="O131" s="33" t="str">
        <f ca="1">IFERROR(__xludf.DUMMYFUNCTION("""COMPUTED_VALUE"""),"Dr, María Jesús Cornejo Domínguez")</f>
        <v>Dr, María Jesús Cornejo Domínguez</v>
      </c>
      <c r="P131" s="33" t="str">
        <f ca="1">IFERROR(__xludf.DUMMYFUNCTION("""COMPUTED_VALUE"""),"Patricia Solache (Castilla Y León)")</f>
        <v>Patricia Solache (Castilla Y León)</v>
      </c>
    </row>
    <row r="132" spans="2:16">
      <c r="B132" s="33">
        <f ca="1">IFERROR(__xludf.DUMMYFUNCTION("""COMPUTED_VALUE"""),2025)</f>
        <v>2025</v>
      </c>
      <c r="C132" s="33">
        <f ca="1">IFERROR(__xludf.DUMMYFUNCTION("""COMPUTED_VALUE"""),1)</f>
        <v>1</v>
      </c>
      <c r="D132" s="33" t="str">
        <f ca="1">IFERROR(__xludf.DUMMYFUNCTION("""COMPUTED_VALUE"""),"NO")</f>
        <v>NO</v>
      </c>
      <c r="E132" s="33" t="str">
        <f ca="1">IFERROR(__xludf.DUMMYFUNCTION("""COMPUTED_VALUE"""),"Salamanca")</f>
        <v>Salamanca</v>
      </c>
      <c r="F132" s="57">
        <f ca="1">IFERROR(__xludf.DUMMYFUNCTION("""COMPUTED_VALUE"""),45681)</f>
        <v>45681</v>
      </c>
      <c r="G132" s="57">
        <f ca="1">IFERROR(__xludf.DUMMYFUNCTION("""COMPUTED_VALUE"""),45315)</f>
        <v>45315</v>
      </c>
      <c r="H132" s="33" t="str">
        <f ca="1">IFERROR(__xludf.DUMMYFUNCTION("""COMPUTED_VALUE"""),"Salamanca")</f>
        <v>Salamanca</v>
      </c>
      <c r="I132" s="33" t="str">
        <f ca="1">IFERROR(__xludf.DUMMYFUNCTION("""COMPUTED_VALUE"""),"SLM-202")</f>
        <v>SLM-202</v>
      </c>
      <c r="J132" s="33" t="str">
        <f ca="1">IFERROR(__xludf.DUMMYFUNCTION("""COMPUTED_VALUE"""),"ESPERANZA GALVIS RODRIGUEZ")</f>
        <v>ESPERANZA GALVIS RODRIGUEZ</v>
      </c>
      <c r="K132" s="33">
        <f ca="1">IFERROR(__xludf.DUMMYFUNCTION("""COMPUTED_VALUE"""),2)</f>
        <v>2</v>
      </c>
      <c r="L132" s="203">
        <f ca="1">IFERROR(__xludf.DUMMYFUNCTION("""COMPUTED_VALUE"""),2545.45)</f>
        <v>2545.4499999999998</v>
      </c>
      <c r="M132" s="33" t="str">
        <f ca="1">IFERROR(__xludf.DUMMYFUNCTION("""COMPUTED_VALUE"""),"03 ORL")</f>
        <v>03 ORL</v>
      </c>
      <c r="N132" s="33" t="str">
        <f ca="1">IFERROR(__xludf.DUMMYFUNCTION("""COMPUTED_VALUE"""),"06 ORL")</f>
        <v>06 ORL</v>
      </c>
      <c r="O132" s="33" t="str">
        <f ca="1">IFERROR(__xludf.DUMMYFUNCTION("""COMPUTED_VALUE"""),"Dr, Jose Antonio Sancipriano Hernández")</f>
        <v>Dr, Jose Antonio Sancipriano Hernández</v>
      </c>
      <c r="P132" s="33" t="str">
        <f ca="1">IFERROR(__xludf.DUMMYFUNCTION("""COMPUTED_VALUE"""),"Patricia Solache (Castilla Y León)")</f>
        <v>Patricia Solache (Castilla Y León)</v>
      </c>
    </row>
    <row r="133" spans="2:16">
      <c r="B133" s="33">
        <f ca="1">IFERROR(__xludf.DUMMYFUNCTION("""COMPUTED_VALUE"""),2025)</f>
        <v>2025</v>
      </c>
      <c r="C133" s="33">
        <f ca="1">IFERROR(__xludf.DUMMYFUNCTION("""COMPUTED_VALUE"""),1)</f>
        <v>1</v>
      </c>
      <c r="D133" s="33" t="str">
        <f ca="1">IFERROR(__xludf.DUMMYFUNCTION("""COMPUTED_VALUE"""),"SI")</f>
        <v>SI</v>
      </c>
      <c r="E133" s="33" t="str">
        <f ca="1">IFERROR(__xludf.DUMMYFUNCTION("""COMPUTED_VALUE"""),"Cáceres")</f>
        <v>Cáceres</v>
      </c>
      <c r="F133" s="57">
        <f ca="1">IFERROR(__xludf.DUMMYFUNCTION("""COMPUTED_VALUE"""),45682)</f>
        <v>45682</v>
      </c>
      <c r="G133" s="57">
        <f ca="1">IFERROR(__xludf.DUMMYFUNCTION("""COMPUTED_VALUE"""),45279)</f>
        <v>45279</v>
      </c>
      <c r="H133" s="33" t="str">
        <f ca="1">IFERROR(__xludf.DUMMYFUNCTION("""COMPUTED_VALUE"""),"Cáceres")</f>
        <v>Cáceres</v>
      </c>
      <c r="I133" s="33" t="str">
        <f ca="1">IFERROR(__xludf.DUMMYFUNCTION("""COMPUTED_VALUE"""),"CAC-3")</f>
        <v>CAC-3</v>
      </c>
      <c r="J133" s="33" t="str">
        <f ca="1">IFERROR(__xludf.DUMMYFUNCTION("""COMPUTED_VALUE"""),"JOSE MARIA GALAN REBOLLO")</f>
        <v>JOSE MARIA GALAN REBOLLO</v>
      </c>
      <c r="K133" s="33">
        <f ca="1">IFERROR(__xludf.DUMMYFUNCTION("""COMPUTED_VALUE"""),1)</f>
        <v>1</v>
      </c>
      <c r="L133" s="203">
        <f ca="1">IFERROR(__xludf.DUMMYFUNCTION("""COMPUTED_VALUE"""),1359.55)</f>
        <v>1359.55</v>
      </c>
      <c r="M133" s="33" t="str">
        <f ca="1">IFERROR(__xludf.DUMMYFUNCTION("""COMPUTED_VALUE"""),"03 ORL")</f>
        <v>03 ORL</v>
      </c>
      <c r="N133" s="33" t="str">
        <f ca="1">IFERROR(__xludf.DUMMYFUNCTION("""COMPUTED_VALUE"""),"06 ORL")</f>
        <v>06 ORL</v>
      </c>
      <c r="O133" s="33" t="str">
        <f ca="1">IFERROR(__xludf.DUMMYFUNCTION("""COMPUTED_VALUE"""),"Dr, Manuel Cañete Domínguez")</f>
        <v>Dr, Manuel Cañete Domínguez</v>
      </c>
      <c r="P133" s="33" t="str">
        <f ca="1">IFERROR(__xludf.DUMMYFUNCTION("""COMPUTED_VALUE"""),"Lisandro Russian (Madrid, Cáceres, Toledo, Talavera Y Logroño)")</f>
        <v>Lisandro Russian (Madrid, Cáceres, Toledo, Talavera Y Logroño)</v>
      </c>
    </row>
    <row r="134" spans="2:16">
      <c r="B134" s="33">
        <f ca="1">IFERROR(__xludf.DUMMYFUNCTION("""COMPUTED_VALUE"""),2025)</f>
        <v>2025</v>
      </c>
      <c r="C134" s="33">
        <f ca="1">IFERROR(__xludf.DUMMYFUNCTION("""COMPUTED_VALUE"""),1)</f>
        <v>1</v>
      </c>
      <c r="D134" s="33" t="str">
        <f ca="1">IFERROR(__xludf.DUMMYFUNCTION("""COMPUTED_VALUE"""),"NO")</f>
        <v>NO</v>
      </c>
      <c r="E134" s="33" t="str">
        <f ca="1">IFERROR(__xludf.DUMMYFUNCTION("""COMPUTED_VALUE"""),"Badajoz")</f>
        <v>Badajoz</v>
      </c>
      <c r="F134" s="57">
        <f ca="1">IFERROR(__xludf.DUMMYFUNCTION("""COMPUTED_VALUE"""),45684)</f>
        <v>45684</v>
      </c>
      <c r="G134" s="57">
        <f ca="1">IFERROR(__xludf.DUMMYFUNCTION("""COMPUTED_VALUE"""),45637)</f>
        <v>45637</v>
      </c>
      <c r="H134" s="33" t="str">
        <f ca="1">IFERROR(__xludf.DUMMYFUNCTION("""COMPUTED_VALUE"""),"Badajoz")</f>
        <v>Badajoz</v>
      </c>
      <c r="I134" s="33" t="str">
        <f ca="1">IFERROR(__xludf.DUMMYFUNCTION("""COMPUTED_VALUE"""),"BJZE-2448")</f>
        <v>BJZE-2448</v>
      </c>
      <c r="J134" s="33" t="str">
        <f ca="1">IFERROR(__xludf.DUMMYFUNCTION("""COMPUTED_VALUE"""),"ANTONIO CORDON ESCUDERO")</f>
        <v>ANTONIO CORDON ESCUDERO</v>
      </c>
      <c r="K134" s="33">
        <f ca="1">IFERROR(__xludf.DUMMYFUNCTION("""COMPUTED_VALUE"""),2)</f>
        <v>2</v>
      </c>
      <c r="L134" s="203">
        <f ca="1">IFERROR(__xludf.DUMMYFUNCTION("""COMPUTED_VALUE"""),4400)</f>
        <v>4400</v>
      </c>
      <c r="M134" s="33" t="str">
        <f ca="1">IFERROR(__xludf.DUMMYFUNCTION("""COMPUTED_VALUE"""),"03 ORL")</f>
        <v>03 ORL</v>
      </c>
      <c r="N134" s="33" t="str">
        <f ca="1">IFERROR(__xludf.DUMMYFUNCTION("""COMPUTED_VALUE"""),"06 ORL")</f>
        <v>06 ORL</v>
      </c>
      <c r="O134" s="33" t="str">
        <f ca="1">IFERROR(__xludf.DUMMYFUNCTION("""COMPUTED_VALUE"""),"Dr, Tomas Mogollon Cano Cortes")</f>
        <v>Dr, Tomas Mogollon Cano Cortes</v>
      </c>
      <c r="P134" s="33" t="str">
        <f ca="1">IFERROR(__xludf.DUMMYFUNCTION("""COMPUTED_VALUE"""),"Luis Alberto Rodríguez (Andalucía Y Badajoz)")</f>
        <v>Luis Alberto Rodríguez (Andalucía Y Badajoz)</v>
      </c>
    </row>
    <row r="135" spans="2:16">
      <c r="B135" s="33">
        <f ca="1">IFERROR(__xludf.DUMMYFUNCTION("""COMPUTED_VALUE"""),2025)</f>
        <v>2025</v>
      </c>
      <c r="C135" s="33">
        <f ca="1">IFERROR(__xludf.DUMMYFUNCTION("""COMPUTED_VALUE"""),1)</f>
        <v>1</v>
      </c>
      <c r="D135" s="33" t="str">
        <f ca="1">IFERROR(__xludf.DUMMYFUNCTION("""COMPUTED_VALUE"""),"NO")</f>
        <v>NO</v>
      </c>
      <c r="E135" s="33" t="str">
        <f ca="1">IFERROR(__xludf.DUMMYFUNCTION("""COMPUTED_VALUE"""),"Boiro")</f>
        <v>Boiro</v>
      </c>
      <c r="F135" s="57">
        <f ca="1">IFERROR(__xludf.DUMMYFUNCTION("""COMPUTED_VALUE"""),45684)</f>
        <v>45684</v>
      </c>
      <c r="G135" s="57">
        <f ca="1">IFERROR(__xludf.DUMMYFUNCTION("""COMPUTED_VALUE"""),45671)</f>
        <v>45671</v>
      </c>
      <c r="H135" s="33" t="str">
        <f ca="1">IFERROR(__xludf.DUMMYFUNCTION("""COMPUTED_VALUE"""),"Boiro")</f>
        <v>Boiro</v>
      </c>
      <c r="I135" s="33" t="str">
        <f ca="1">IFERROR(__xludf.DUMMYFUNCTION("""COMPUTED_VALUE"""),"BOI-922")</f>
        <v>BOI-922</v>
      </c>
      <c r="J135" s="33" t="str">
        <f ca="1">IFERROR(__xludf.DUMMYFUNCTION("""COMPUTED_VALUE"""),"OLGA SIEIRA VILAR")</f>
        <v>OLGA SIEIRA VILAR</v>
      </c>
      <c r="K135" s="33">
        <f ca="1">IFERROR(__xludf.DUMMYFUNCTION("""COMPUTED_VALUE"""),1)</f>
        <v>1</v>
      </c>
      <c r="L135" s="203">
        <f ca="1">IFERROR(__xludf.DUMMYFUNCTION("""COMPUTED_VALUE"""),1627.27)</f>
        <v>1627.27</v>
      </c>
      <c r="M135" s="33" t="str">
        <f ca="1">IFERROR(__xludf.DUMMYFUNCTION("""COMPUTED_VALUE"""),"03 ORL")</f>
        <v>03 ORL</v>
      </c>
      <c r="N135" s="33" t="str">
        <f ca="1">IFERROR(__xludf.DUMMYFUNCTION("""COMPUTED_VALUE"""),"06 ORL")</f>
        <v>06 ORL</v>
      </c>
      <c r="O135" s="33" t="str">
        <f ca="1">IFERROR(__xludf.DUMMYFUNCTION("""COMPUTED_VALUE"""),"Dra, Isabel Pensado Banet")</f>
        <v>Dra, Isabel Pensado Banet</v>
      </c>
      <c r="P135" s="33" t="str">
        <f ca="1">IFERROR(__xludf.DUMMYFUNCTION("""COMPUTED_VALUE"""),"Roberto Pereira (Galicia)")</f>
        <v>Roberto Pereira (Galicia)</v>
      </c>
    </row>
    <row r="136" spans="2:16">
      <c r="B136" s="33">
        <f ca="1">IFERROR(__xludf.DUMMYFUNCTION("""COMPUTED_VALUE"""),2025)</f>
        <v>2025</v>
      </c>
      <c r="C136" s="33">
        <f ca="1">IFERROR(__xludf.DUMMYFUNCTION("""COMPUTED_VALUE"""),1)</f>
        <v>1</v>
      </c>
      <c r="D136" s="33" t="str">
        <f ca="1">IFERROR(__xludf.DUMMYFUNCTION("""COMPUTED_VALUE"""),"NO")</f>
        <v>NO</v>
      </c>
      <c r="E136" s="33" t="str">
        <f ca="1">IFERROR(__xludf.DUMMYFUNCTION("""COMPUTED_VALUE"""),"Sevilla- Ciencias")</f>
        <v>Sevilla- Ciencias</v>
      </c>
      <c r="F136" s="57">
        <f ca="1">IFERROR(__xludf.DUMMYFUNCTION("""COMPUTED_VALUE"""),45684)</f>
        <v>45684</v>
      </c>
      <c r="G136" s="57">
        <f ca="1">IFERROR(__xludf.DUMMYFUNCTION("""COMPUTED_VALUE"""),45624)</f>
        <v>45624</v>
      </c>
      <c r="H136" s="33" t="str">
        <f ca="1">IFERROR(__xludf.DUMMYFUNCTION("""COMPUTED_VALUE"""),"Sevilla Este")</f>
        <v>Sevilla Este</v>
      </c>
      <c r="I136" s="33" t="str">
        <f ca="1">IFERROR(__xludf.DUMMYFUNCTION("""COMPUTED_VALUE"""),"SEVE-328")</f>
        <v>SEVE-328</v>
      </c>
      <c r="J136" s="33" t="str">
        <f ca="1">IFERROR(__xludf.DUMMYFUNCTION("""COMPUTED_VALUE"""),"JOSEFA CAMPOS MELENCHON")</f>
        <v>JOSEFA CAMPOS MELENCHON</v>
      </c>
      <c r="K136" s="33">
        <f ca="1">IFERROR(__xludf.DUMMYFUNCTION("""COMPUTED_VALUE"""),2)</f>
        <v>2</v>
      </c>
      <c r="L136" s="203">
        <f ca="1">IFERROR(__xludf.DUMMYFUNCTION("""COMPUTED_VALUE"""),4000)</f>
        <v>4000</v>
      </c>
      <c r="M136" s="33" t="str">
        <f ca="1">IFERROR(__xludf.DUMMYFUNCTION("""COMPUTED_VALUE"""),"03 ORL")</f>
        <v>03 ORL</v>
      </c>
      <c r="N136" s="33" t="str">
        <f ca="1">IFERROR(__xludf.DUMMYFUNCTION("""COMPUTED_VALUE"""),"06 ORL")</f>
        <v>06 ORL</v>
      </c>
      <c r="O136" s="33" t="str">
        <f ca="1">IFERROR(__xludf.DUMMYFUNCTION("""COMPUTED_VALUE"""),"Dr, Enrique Gómez Aldaz")</f>
        <v>Dr, Enrique Gómez Aldaz</v>
      </c>
      <c r="P136" s="33" t="str">
        <f ca="1">IFERROR(__xludf.DUMMYFUNCTION("""COMPUTED_VALUE"""),"Luis Alberto Rodríguez (Andalucía Y Badajoz)")</f>
        <v>Luis Alberto Rodríguez (Andalucía Y Badajoz)</v>
      </c>
    </row>
    <row r="137" spans="2:16">
      <c r="B137" s="33">
        <f ca="1">IFERROR(__xludf.DUMMYFUNCTION("""COMPUTED_VALUE"""),2025)</f>
        <v>2025</v>
      </c>
      <c r="C137" s="33">
        <f ca="1">IFERROR(__xludf.DUMMYFUNCTION("""COMPUTED_VALUE"""),1)</f>
        <v>1</v>
      </c>
      <c r="D137" s="33" t="str">
        <f ca="1">IFERROR(__xludf.DUMMYFUNCTION("""COMPUTED_VALUE"""),"NO")</f>
        <v>NO</v>
      </c>
      <c r="E137" s="33" t="str">
        <f ca="1">IFERROR(__xludf.DUMMYFUNCTION("""COMPUTED_VALUE"""),"Sevilla- Ciencias")</f>
        <v>Sevilla- Ciencias</v>
      </c>
      <c r="F137" s="57">
        <f ca="1">IFERROR(__xludf.DUMMYFUNCTION("""COMPUTED_VALUE"""),45684)</f>
        <v>45684</v>
      </c>
      <c r="G137" s="57">
        <f ca="1">IFERROR(__xludf.DUMMYFUNCTION("""COMPUTED_VALUE"""),45644)</f>
        <v>45644</v>
      </c>
      <c r="H137" s="33" t="str">
        <f ca="1">IFERROR(__xludf.DUMMYFUNCTION("""COMPUTED_VALUE"""),"Sevilla Este")</f>
        <v>Sevilla Este</v>
      </c>
      <c r="I137" s="33" t="str">
        <f ca="1">IFERROR(__xludf.DUMMYFUNCTION("""COMPUTED_VALUE"""),"SEVE-340")</f>
        <v>SEVE-340</v>
      </c>
      <c r="J137" s="33" t="str">
        <f ca="1">IFERROR(__xludf.DUMMYFUNCTION("""COMPUTED_VALUE"""),"JUAN ALEJO MANSO CORREA")</f>
        <v>JUAN ALEJO MANSO CORREA</v>
      </c>
      <c r="K137" s="33">
        <f ca="1">IFERROR(__xludf.DUMMYFUNCTION("""COMPUTED_VALUE"""),2)</f>
        <v>2</v>
      </c>
      <c r="L137" s="203">
        <f ca="1">IFERROR(__xludf.DUMMYFUNCTION("""COMPUTED_VALUE"""),3809.55)</f>
        <v>3809.55</v>
      </c>
      <c r="M137" s="33" t="str">
        <f ca="1">IFERROR(__xludf.DUMMYFUNCTION("""COMPUTED_VALUE"""),"03 ORL")</f>
        <v>03 ORL</v>
      </c>
      <c r="N137" s="33" t="str">
        <f ca="1">IFERROR(__xludf.DUMMYFUNCTION("""COMPUTED_VALUE"""),"06 ORL")</f>
        <v>06 ORL</v>
      </c>
      <c r="O137" s="33" t="str">
        <f ca="1">IFERROR(__xludf.DUMMYFUNCTION("""COMPUTED_VALUE"""),"Dr, Francisco López Navas")</f>
        <v>Dr, Francisco López Navas</v>
      </c>
      <c r="P137" s="33" t="str">
        <f ca="1">IFERROR(__xludf.DUMMYFUNCTION("""COMPUTED_VALUE"""),"Luis Alberto Rodríguez (Andalucía Y Badajoz)")</f>
        <v>Luis Alberto Rodríguez (Andalucía Y Badajoz)</v>
      </c>
    </row>
    <row r="138" spans="2:16">
      <c r="B138" s="33">
        <f ca="1">IFERROR(__xludf.DUMMYFUNCTION("""COMPUTED_VALUE"""),2025)</f>
        <v>2025</v>
      </c>
      <c r="C138" s="33">
        <f ca="1">IFERROR(__xludf.DUMMYFUNCTION("""COMPUTED_VALUE"""),1)</f>
        <v>1</v>
      </c>
      <c r="D138" s="33" t="str">
        <f ca="1">IFERROR(__xludf.DUMMYFUNCTION("""COMPUTED_VALUE"""),"NO")</f>
        <v>NO</v>
      </c>
      <c r="E138" s="33" t="str">
        <f ca="1">IFERROR(__xludf.DUMMYFUNCTION("""COMPUTED_VALUE"""),"Valladolid")</f>
        <v>Valladolid</v>
      </c>
      <c r="F138" s="57">
        <f ca="1">IFERROR(__xludf.DUMMYFUNCTION("""COMPUTED_VALUE"""),45684)</f>
        <v>45684</v>
      </c>
      <c r="G138" s="57">
        <f ca="1">IFERROR(__xludf.DUMMYFUNCTION("""COMPUTED_VALUE"""),45628)</f>
        <v>45628</v>
      </c>
      <c r="H138" s="33" t="str">
        <f ca="1">IFERROR(__xludf.DUMMYFUNCTION("""COMPUTED_VALUE"""),"Valladolid")</f>
        <v>Valladolid</v>
      </c>
      <c r="I138" s="33" t="str">
        <f ca="1">IFERROR(__xludf.DUMMYFUNCTION("""COMPUTED_VALUE"""),"VLL-301")</f>
        <v>VLL-301</v>
      </c>
      <c r="J138" s="33" t="str">
        <f ca="1">IFERROR(__xludf.DUMMYFUNCTION("""COMPUTED_VALUE"""),"MARIA DEL CONSUELO MERINO GONZALEZ")</f>
        <v>MARIA DEL CONSUELO MERINO GONZALEZ</v>
      </c>
      <c r="K138" s="33">
        <f ca="1">IFERROR(__xludf.DUMMYFUNCTION("""COMPUTED_VALUE"""),1)</f>
        <v>1</v>
      </c>
      <c r="L138" s="203">
        <f ca="1">IFERROR(__xludf.DUMMYFUNCTION("""COMPUTED_VALUE"""),2080)</f>
        <v>2080</v>
      </c>
      <c r="M138" s="33" t="str">
        <f ca="1">IFERROR(__xludf.DUMMYFUNCTION("""COMPUTED_VALUE"""),"03 ORL")</f>
        <v>03 ORL</v>
      </c>
      <c r="N138" s="33" t="str">
        <f ca="1">IFERROR(__xludf.DUMMYFUNCTION("""COMPUTED_VALUE"""),"06 ORL")</f>
        <v>06 ORL</v>
      </c>
      <c r="O138" s="33" t="str">
        <f ca="1">IFERROR(__xludf.DUMMYFUNCTION("""COMPUTED_VALUE"""),"Dr, Manuel Acuña García")</f>
        <v>Dr, Manuel Acuña García</v>
      </c>
      <c r="P138" s="33" t="str">
        <f ca="1">IFERROR(__xludf.DUMMYFUNCTION("""COMPUTED_VALUE"""),"Patricia Solache (Castilla Y León)")</f>
        <v>Patricia Solache (Castilla Y León)</v>
      </c>
    </row>
    <row r="139" spans="2:16">
      <c r="B139" s="33">
        <f ca="1">IFERROR(__xludf.DUMMYFUNCTION("""COMPUTED_VALUE"""),2025)</f>
        <v>2025</v>
      </c>
      <c r="C139" s="33">
        <f ca="1">IFERROR(__xludf.DUMMYFUNCTION("""COMPUTED_VALUE"""),1)</f>
        <v>1</v>
      </c>
      <c r="D139" s="33" t="str">
        <f ca="1">IFERROR(__xludf.DUMMYFUNCTION("""COMPUTED_VALUE"""),"NO")</f>
        <v>NO</v>
      </c>
      <c r="E139" s="33" t="str">
        <f ca="1">IFERROR(__xludf.DUMMYFUNCTION("""COMPUTED_VALUE"""),"Zaragoza- León XIII")</f>
        <v>Zaragoza- León XIII</v>
      </c>
      <c r="F139" s="57">
        <f ca="1">IFERROR(__xludf.DUMMYFUNCTION("""COMPUTED_VALUE"""),45684)</f>
        <v>45684</v>
      </c>
      <c r="G139" s="57">
        <f ca="1">IFERROR(__xludf.DUMMYFUNCTION("""COMPUTED_VALUE"""),45664)</f>
        <v>45664</v>
      </c>
      <c r="H139" s="33" t="str">
        <f ca="1">IFERROR(__xludf.DUMMYFUNCTION("""COMPUTED_VALUE"""),"Zaragoza")</f>
        <v>Zaragoza</v>
      </c>
      <c r="I139" s="33" t="str">
        <f ca="1">IFERROR(__xludf.DUMMYFUNCTION("""COMPUTED_VALUE"""),"ZRG-549")</f>
        <v>ZRG-549</v>
      </c>
      <c r="J139" s="33" t="str">
        <f ca="1">IFERROR(__xludf.DUMMYFUNCTION("""COMPUTED_VALUE"""),"AUREA MINGUEZA MAQUEDA")</f>
        <v>AUREA MINGUEZA MAQUEDA</v>
      </c>
      <c r="K139" s="33">
        <f ca="1">IFERROR(__xludf.DUMMYFUNCTION("""COMPUTED_VALUE"""),2)</f>
        <v>2</v>
      </c>
      <c r="L139" s="203">
        <f ca="1">IFERROR(__xludf.DUMMYFUNCTION("""COMPUTED_VALUE"""),3704.55)</f>
        <v>3704.55</v>
      </c>
      <c r="M139" s="33" t="str">
        <f ca="1">IFERROR(__xludf.DUMMYFUNCTION("""COMPUTED_VALUE"""),"03 ORL")</f>
        <v>03 ORL</v>
      </c>
      <c r="N139" s="33" t="str">
        <f ca="1">IFERROR(__xludf.DUMMYFUNCTION("""COMPUTED_VALUE"""),"06 ORL")</f>
        <v>06 ORL</v>
      </c>
      <c r="O139" s="33" t="str">
        <f ca="1">IFERROR(__xludf.DUMMYFUNCTION("""COMPUTED_VALUE"""),"Dr, José Manuel García Solans-Esteras")</f>
        <v>Dr, José Manuel García Solans-Esteras</v>
      </c>
      <c r="P139" s="33" t="str">
        <f ca="1">IFERROR(__xludf.DUMMYFUNCTION("""COMPUTED_VALUE"""),"Lisandro Russian (Madrid, Cáceres, Toledo, Talavera Y Logroño)")</f>
        <v>Lisandro Russian (Madrid, Cáceres, Toledo, Talavera Y Logroño)</v>
      </c>
    </row>
    <row r="140" spans="2:16">
      <c r="B140" s="33">
        <f ca="1">IFERROR(__xludf.DUMMYFUNCTION("""COMPUTED_VALUE"""),2025)</f>
        <v>2025</v>
      </c>
      <c r="C140" s="33">
        <f ca="1">IFERROR(__xludf.DUMMYFUNCTION("""COMPUTED_VALUE"""),1)</f>
        <v>1</v>
      </c>
      <c r="D140" s="33" t="str">
        <f ca="1">IFERROR(__xludf.DUMMYFUNCTION("""COMPUTED_VALUE"""),"NO")</f>
        <v>NO</v>
      </c>
      <c r="E140" s="33" t="str">
        <f ca="1">IFERROR(__xludf.DUMMYFUNCTION("""COMPUTED_VALUE"""),"Ponferrada")</f>
        <v>Ponferrada</v>
      </c>
      <c r="F140" s="57">
        <f ca="1">IFERROR(__xludf.DUMMYFUNCTION("""COMPUTED_VALUE"""),45685)</f>
        <v>45685</v>
      </c>
      <c r="G140" s="57">
        <f ca="1">IFERROR(__xludf.DUMMYFUNCTION("""COMPUTED_VALUE"""),45618)</f>
        <v>45618</v>
      </c>
      <c r="H140" s="33" t="str">
        <f ca="1">IFERROR(__xludf.DUMMYFUNCTION("""COMPUTED_VALUE"""),"Ponferrada")</f>
        <v>Ponferrada</v>
      </c>
      <c r="I140" s="33" t="str">
        <f ca="1">IFERROR(__xludf.DUMMYFUNCTION("""COMPUTED_VALUE"""),"PON-830")</f>
        <v>PON-830</v>
      </c>
      <c r="J140" s="33" t="str">
        <f ca="1">IFERROR(__xludf.DUMMYFUNCTION("""COMPUTED_VALUE"""),"MANUEL DIOGO DOS SANTOS DOS SANTOS")</f>
        <v>MANUEL DIOGO DOS SANTOS DOS SANTOS</v>
      </c>
      <c r="K140" s="33">
        <f ca="1">IFERROR(__xludf.DUMMYFUNCTION("""COMPUTED_VALUE"""),1)</f>
        <v>1</v>
      </c>
      <c r="L140" s="203">
        <f ca="1">IFERROR(__xludf.DUMMYFUNCTION("""COMPUTED_VALUE"""),1954.55)</f>
        <v>1954.55</v>
      </c>
      <c r="M140" s="33" t="str">
        <f ca="1">IFERROR(__xludf.DUMMYFUNCTION("""COMPUTED_VALUE"""),"03 ORL")</f>
        <v>03 ORL</v>
      </c>
      <c r="N140" s="33" t="str">
        <f ca="1">IFERROR(__xludf.DUMMYFUNCTION("""COMPUTED_VALUE"""),"06 ORL")</f>
        <v>06 ORL</v>
      </c>
      <c r="O140" s="33" t="str">
        <f ca="1">IFERROR(__xludf.DUMMYFUNCTION("""COMPUTED_VALUE"""),"Dra, Xenia Mota Rojas")</f>
        <v>Dra, Xenia Mota Rojas</v>
      </c>
      <c r="P140" s="33" t="str">
        <f ca="1">IFERROR(__xludf.DUMMYFUNCTION("""COMPUTED_VALUE"""),"Patricia Solache (Castilla Y León)")</f>
        <v>Patricia Solache (Castilla Y León)</v>
      </c>
    </row>
    <row r="141" spans="2:16">
      <c r="B141" s="33">
        <f ca="1">IFERROR(__xludf.DUMMYFUNCTION("""COMPUTED_VALUE"""),2025)</f>
        <v>2025</v>
      </c>
      <c r="C141" s="33">
        <f ca="1">IFERROR(__xludf.DUMMYFUNCTION("""COMPUTED_VALUE"""),1)</f>
        <v>1</v>
      </c>
      <c r="D141" s="33" t="str">
        <f ca="1">IFERROR(__xludf.DUMMYFUNCTION("""COMPUTED_VALUE"""),"NO")</f>
        <v>NO</v>
      </c>
      <c r="E141" s="33" t="str">
        <f ca="1">IFERROR(__xludf.DUMMYFUNCTION("""COMPUTED_VALUE"""),"Valladolid")</f>
        <v>Valladolid</v>
      </c>
      <c r="F141" s="57">
        <f ca="1">IFERROR(__xludf.DUMMYFUNCTION("""COMPUTED_VALUE"""),45685)</f>
        <v>45685</v>
      </c>
      <c r="G141" s="57">
        <f ca="1">IFERROR(__xludf.DUMMYFUNCTION("""COMPUTED_VALUE"""),45604)</f>
        <v>45604</v>
      </c>
      <c r="H141" s="33" t="str">
        <f ca="1">IFERROR(__xludf.DUMMYFUNCTION("""COMPUTED_VALUE"""),"Valladolid")</f>
        <v>Valladolid</v>
      </c>
      <c r="I141" s="33" t="str">
        <f ca="1">IFERROR(__xludf.DUMMYFUNCTION("""COMPUTED_VALUE"""),"VLL-290")</f>
        <v>VLL-290</v>
      </c>
      <c r="J141" s="33" t="str">
        <f ca="1">IFERROR(__xludf.DUMMYFUNCTION("""COMPUTED_VALUE"""),"FERNANDO DE FRANCISCO VEGA")</f>
        <v>FERNANDO DE FRANCISCO VEGA</v>
      </c>
      <c r="K141" s="33">
        <f ca="1">IFERROR(__xludf.DUMMYFUNCTION("""COMPUTED_VALUE"""),2)</f>
        <v>2</v>
      </c>
      <c r="L141" s="203">
        <f ca="1">IFERROR(__xludf.DUMMYFUNCTION("""COMPUTED_VALUE"""),4191.35)</f>
        <v>4191.3500000000004</v>
      </c>
      <c r="M141" s="33" t="str">
        <f ca="1">IFERROR(__xludf.DUMMYFUNCTION("""COMPUTED_VALUE"""),"03 ORL")</f>
        <v>03 ORL</v>
      </c>
      <c r="N141" s="33" t="str">
        <f ca="1">IFERROR(__xludf.DUMMYFUNCTION("""COMPUTED_VALUE"""),"06 ORL")</f>
        <v>06 ORL</v>
      </c>
      <c r="O141" s="33" t="str">
        <f ca="1">IFERROR(__xludf.DUMMYFUNCTION("""COMPUTED_VALUE"""),"Dra, Ana Fernández Rodríguez")</f>
        <v>Dra, Ana Fernández Rodríguez</v>
      </c>
      <c r="P141" s="33" t="str">
        <f ca="1">IFERROR(__xludf.DUMMYFUNCTION("""COMPUTED_VALUE"""),"Patricia Solache (Castilla Y León)")</f>
        <v>Patricia Solache (Castilla Y León)</v>
      </c>
    </row>
    <row r="142" spans="2:16">
      <c r="B142" s="33">
        <f ca="1">IFERROR(__xludf.DUMMYFUNCTION("""COMPUTED_VALUE"""),2025)</f>
        <v>2025</v>
      </c>
      <c r="C142" s="33">
        <f ca="1">IFERROR(__xludf.DUMMYFUNCTION("""COMPUTED_VALUE"""),1)</f>
        <v>1</v>
      </c>
      <c r="D142" s="33" t="str">
        <f ca="1">IFERROR(__xludf.DUMMYFUNCTION("""COMPUTED_VALUE"""),"NO")</f>
        <v>NO</v>
      </c>
      <c r="E142" s="33" t="str">
        <f ca="1">IFERROR(__xludf.DUMMYFUNCTION("""COMPUTED_VALUE"""),"León")</f>
        <v>León</v>
      </c>
      <c r="F142" s="57">
        <f ca="1">IFERROR(__xludf.DUMMYFUNCTION("""COMPUTED_VALUE"""),45686)</f>
        <v>45686</v>
      </c>
      <c r="G142" s="57">
        <f ca="1">IFERROR(__xludf.DUMMYFUNCTION("""COMPUTED_VALUE"""),45670)</f>
        <v>45670</v>
      </c>
      <c r="H142" s="33" t="str">
        <f ca="1">IFERROR(__xludf.DUMMYFUNCTION("""COMPUTED_VALUE"""),"León")</f>
        <v>León</v>
      </c>
      <c r="I142" s="33" t="str">
        <f ca="1">IFERROR(__xludf.DUMMYFUNCTION("""COMPUTED_VALUE"""),"LEO-398")</f>
        <v>LEO-398</v>
      </c>
      <c r="J142" s="33" t="str">
        <f ca="1">IFERROR(__xludf.DUMMYFUNCTION("""COMPUTED_VALUE"""),"PABLO GARCIA DOMINGUEZ")</f>
        <v>PABLO GARCIA DOMINGUEZ</v>
      </c>
      <c r="K142" s="33">
        <f ca="1">IFERROR(__xludf.DUMMYFUNCTION("""COMPUTED_VALUE"""),1)</f>
        <v>1</v>
      </c>
      <c r="L142" s="203">
        <f ca="1">IFERROR(__xludf.DUMMYFUNCTION("""COMPUTED_VALUE"""),3245.35)</f>
        <v>3245.35</v>
      </c>
      <c r="M142" s="33" t="str">
        <f ca="1">IFERROR(__xludf.DUMMYFUNCTION("""COMPUTED_VALUE"""),"03 ORL")</f>
        <v>03 ORL</v>
      </c>
      <c r="N142" s="33" t="str">
        <f ca="1">IFERROR(__xludf.DUMMYFUNCTION("""COMPUTED_VALUE"""),"06 ORL")</f>
        <v>06 ORL</v>
      </c>
      <c r="O142" s="33" t="str">
        <f ca="1">IFERROR(__xludf.DUMMYFUNCTION("""COMPUTED_VALUE"""),"Dr, Rafael Pérez González")</f>
        <v>Dr, Rafael Pérez González</v>
      </c>
      <c r="P142" s="33" t="str">
        <f ca="1">IFERROR(__xludf.DUMMYFUNCTION("""COMPUTED_VALUE"""),"Patricia Solache (Castilla Y León)")</f>
        <v>Patricia Solache (Castilla Y León)</v>
      </c>
    </row>
    <row r="143" spans="2:16">
      <c r="B143" s="33">
        <f ca="1">IFERROR(__xludf.DUMMYFUNCTION("""COMPUTED_VALUE"""),2025)</f>
        <v>2025</v>
      </c>
      <c r="C143" s="33">
        <f ca="1">IFERROR(__xludf.DUMMYFUNCTION("""COMPUTED_VALUE"""),1)</f>
        <v>1</v>
      </c>
      <c r="D143" s="33" t="str">
        <f ca="1">IFERROR(__xludf.DUMMYFUNCTION("""COMPUTED_VALUE"""),"NO")</f>
        <v>NO</v>
      </c>
      <c r="E143" s="33" t="str">
        <f ca="1">IFERROR(__xludf.DUMMYFUNCTION("""COMPUTED_VALUE"""),"Salamanca")</f>
        <v>Salamanca</v>
      </c>
      <c r="F143" s="57">
        <f ca="1">IFERROR(__xludf.DUMMYFUNCTION("""COMPUTED_VALUE"""),45686)</f>
        <v>45686</v>
      </c>
      <c r="G143" s="57">
        <f ca="1">IFERROR(__xludf.DUMMYFUNCTION("""COMPUTED_VALUE"""),45534)</f>
        <v>45534</v>
      </c>
      <c r="H143" s="33" t="str">
        <f ca="1">IFERROR(__xludf.DUMMYFUNCTION("""COMPUTED_VALUE"""),"Salamanca")</f>
        <v>Salamanca</v>
      </c>
      <c r="I143" s="33" t="str">
        <f ca="1">IFERROR(__xludf.DUMMYFUNCTION("""COMPUTED_VALUE"""),"SLM-351")</f>
        <v>SLM-351</v>
      </c>
      <c r="J143" s="33" t="str">
        <f ca="1">IFERROR(__xludf.DUMMYFUNCTION("""COMPUTED_VALUE"""),"VICENTE VILAS MONTERO")</f>
        <v>VICENTE VILAS MONTERO</v>
      </c>
      <c r="K143" s="33">
        <f ca="1">IFERROR(__xludf.DUMMYFUNCTION("""COMPUTED_VALUE"""),2)</f>
        <v>2</v>
      </c>
      <c r="L143" s="203">
        <f ca="1">IFERROR(__xludf.DUMMYFUNCTION("""COMPUTED_VALUE"""),3604.55)</f>
        <v>3604.55</v>
      </c>
      <c r="M143" s="33" t="str">
        <f ca="1">IFERROR(__xludf.DUMMYFUNCTION("""COMPUTED_VALUE"""),"03 ORL")</f>
        <v>03 ORL</v>
      </c>
      <c r="N143" s="33" t="str">
        <f ca="1">IFERROR(__xludf.DUMMYFUNCTION("""COMPUTED_VALUE"""),"06 ORL")</f>
        <v>06 ORL</v>
      </c>
      <c r="O143" s="33" t="str">
        <f ca="1">IFERROR(__xludf.DUMMYFUNCTION("""COMPUTED_VALUE"""),"Dr, Luis Miguel Rincón Esteban")</f>
        <v>Dr, Luis Miguel Rincón Esteban</v>
      </c>
      <c r="P143" s="33" t="str">
        <f ca="1">IFERROR(__xludf.DUMMYFUNCTION("""COMPUTED_VALUE"""),"Patricia Solache (Castilla Y León)")</f>
        <v>Patricia Solache (Castilla Y León)</v>
      </c>
    </row>
    <row r="144" spans="2:16">
      <c r="B144" s="33">
        <f ca="1">IFERROR(__xludf.DUMMYFUNCTION("""COMPUTED_VALUE"""),2025)</f>
        <v>2025</v>
      </c>
      <c r="C144" s="33">
        <f ca="1">IFERROR(__xludf.DUMMYFUNCTION("""COMPUTED_VALUE"""),1)</f>
        <v>1</v>
      </c>
      <c r="D144" s="33" t="str">
        <f ca="1">IFERROR(__xludf.DUMMYFUNCTION("""COMPUTED_VALUE"""),"NO")</f>
        <v>NO</v>
      </c>
      <c r="E144" s="33" t="str">
        <f ca="1">IFERROR(__xludf.DUMMYFUNCTION("""COMPUTED_VALUE"""),"Lalín")</f>
        <v>Lalín</v>
      </c>
      <c r="F144" s="57">
        <f ca="1">IFERROR(__xludf.DUMMYFUNCTION("""COMPUTED_VALUE"""),45687)</f>
        <v>45687</v>
      </c>
      <c r="G144" s="57">
        <f ca="1">IFERROR(__xludf.DUMMYFUNCTION("""COMPUTED_VALUE"""),45626)</f>
        <v>45626</v>
      </c>
      <c r="H144" s="33" t="str">
        <f ca="1">IFERROR(__xludf.DUMMYFUNCTION("""COMPUTED_VALUE"""),"Lalín")</f>
        <v>Lalín</v>
      </c>
      <c r="I144" s="33" t="str">
        <f ca="1">IFERROR(__xludf.DUMMYFUNCTION("""COMPUTED_VALUE"""),"LAL-118")</f>
        <v>LAL-118</v>
      </c>
      <c r="J144" s="33" t="str">
        <f ca="1">IFERROR(__xludf.DUMMYFUNCTION("""COMPUTED_VALUE"""),"REMEDIOS GOMEZ GOMEZ")</f>
        <v>REMEDIOS GOMEZ GOMEZ</v>
      </c>
      <c r="K144" s="33">
        <f ca="1">IFERROR(__xludf.DUMMYFUNCTION("""COMPUTED_VALUE"""),2)</f>
        <v>2</v>
      </c>
      <c r="L144" s="203">
        <f ca="1">IFERROR(__xludf.DUMMYFUNCTION("""COMPUTED_VALUE"""),2627.27)</f>
        <v>2627.27</v>
      </c>
      <c r="M144" s="33" t="str">
        <f ca="1">IFERROR(__xludf.DUMMYFUNCTION("""COMPUTED_VALUE"""),"03 ORL")</f>
        <v>03 ORL</v>
      </c>
      <c r="N144" s="33" t="str">
        <f ca="1">IFERROR(__xludf.DUMMYFUNCTION("""COMPUTED_VALUE"""),"06 ORL")</f>
        <v>06 ORL</v>
      </c>
      <c r="O144" s="33" t="str">
        <f ca="1">IFERROR(__xludf.DUMMYFUNCTION("""COMPUTED_VALUE"""),"Dr, Gabriel Martínez Capoccini")</f>
        <v>Dr, Gabriel Martínez Capoccini</v>
      </c>
      <c r="P144" s="33" t="str">
        <f ca="1">IFERROR(__xludf.DUMMYFUNCTION("""COMPUTED_VALUE"""),"Roberto Pereira (Galicia)")</f>
        <v>Roberto Pereira (Galicia)</v>
      </c>
    </row>
    <row r="145" spans="2:16">
      <c r="B145" s="33">
        <f ca="1">IFERROR(__xludf.DUMMYFUNCTION("""COMPUTED_VALUE"""),2025)</f>
        <v>2025</v>
      </c>
      <c r="C145" s="33">
        <f ca="1">IFERROR(__xludf.DUMMYFUNCTION("""COMPUTED_VALUE"""),1)</f>
        <v>1</v>
      </c>
      <c r="D145" s="33" t="str">
        <f ca="1">IFERROR(__xludf.DUMMYFUNCTION("""COMPUTED_VALUE"""),"NO")</f>
        <v>NO</v>
      </c>
      <c r="E145" s="33" t="str">
        <f ca="1">IFERROR(__xludf.DUMMYFUNCTION("""COMPUTED_VALUE"""),"Salamanca")</f>
        <v>Salamanca</v>
      </c>
      <c r="F145" s="57">
        <f ca="1">IFERROR(__xludf.DUMMYFUNCTION("""COMPUTED_VALUE"""),45687)</f>
        <v>45687</v>
      </c>
      <c r="G145" s="57">
        <f ca="1">IFERROR(__xludf.DUMMYFUNCTION("""COMPUTED_VALUE"""),45643)</f>
        <v>45643</v>
      </c>
      <c r="H145" s="33" t="str">
        <f ca="1">IFERROR(__xludf.DUMMYFUNCTION("""COMPUTED_VALUE"""),"Salamanca")</f>
        <v>Salamanca</v>
      </c>
      <c r="I145" s="33" t="str">
        <f ca="1">IFERROR(__xludf.DUMMYFUNCTION("""COMPUTED_VALUE"""),"SLM-424")</f>
        <v>SLM-424</v>
      </c>
      <c r="J145" s="33" t="str">
        <f ca="1">IFERROR(__xludf.DUMMYFUNCTION("""COMPUTED_VALUE"""),"MARCELINA VELASCO GARCIA")</f>
        <v>MARCELINA VELASCO GARCIA</v>
      </c>
      <c r="K145" s="33">
        <f ca="1">IFERROR(__xludf.DUMMYFUNCTION("""COMPUTED_VALUE"""),2)</f>
        <v>2</v>
      </c>
      <c r="L145" s="203">
        <f ca="1">IFERROR(__xludf.DUMMYFUNCTION("""COMPUTED_VALUE"""),3604.55)</f>
        <v>3604.55</v>
      </c>
      <c r="M145" s="33" t="str">
        <f ca="1">IFERROR(__xludf.DUMMYFUNCTION("""COMPUTED_VALUE"""),"03 ORL")</f>
        <v>03 ORL</v>
      </c>
      <c r="N145" s="33" t="str">
        <f ca="1">IFERROR(__xludf.DUMMYFUNCTION("""COMPUTED_VALUE"""),"06 ORL")</f>
        <v>06 ORL</v>
      </c>
      <c r="O145" s="33" t="str">
        <f ca="1">IFERROR(__xludf.DUMMYFUNCTION("""COMPUTED_VALUE"""),"Dr, María Jesús Cornejo Domínguez")</f>
        <v>Dr, María Jesús Cornejo Domínguez</v>
      </c>
      <c r="P145" s="33" t="str">
        <f ca="1">IFERROR(__xludf.DUMMYFUNCTION("""COMPUTED_VALUE"""),"Patricia Solache (Castilla Y León)")</f>
        <v>Patricia Solache (Castilla Y León)</v>
      </c>
    </row>
    <row r="146" spans="2:16">
      <c r="B146" s="33">
        <f ca="1">IFERROR(__xludf.DUMMYFUNCTION("""COMPUTED_VALUE"""),2025)</f>
        <v>2025</v>
      </c>
      <c r="C146" s="33">
        <f ca="1">IFERROR(__xludf.DUMMYFUNCTION("""COMPUTED_VALUE"""),1)</f>
        <v>1</v>
      </c>
      <c r="D146" s="33" t="str">
        <f ca="1">IFERROR(__xludf.DUMMYFUNCTION("""COMPUTED_VALUE"""),"NO")</f>
        <v>NO</v>
      </c>
      <c r="E146" s="33" t="str">
        <f ca="1">IFERROR(__xludf.DUMMYFUNCTION("""COMPUTED_VALUE"""),"Zaragoza- León XIII")</f>
        <v>Zaragoza- León XIII</v>
      </c>
      <c r="F146" s="57">
        <f ca="1">IFERROR(__xludf.DUMMYFUNCTION("""COMPUTED_VALUE"""),45687)</f>
        <v>45687</v>
      </c>
      <c r="G146" s="57">
        <f ca="1">IFERROR(__xludf.DUMMYFUNCTION("""COMPUTED_VALUE"""),45665)</f>
        <v>45665</v>
      </c>
      <c r="H146" s="33" t="str">
        <f ca="1">IFERROR(__xludf.DUMMYFUNCTION("""COMPUTED_VALUE"""),"Zaragoza")</f>
        <v>Zaragoza</v>
      </c>
      <c r="I146" s="33" t="str">
        <f ca="1">IFERROR(__xludf.DUMMYFUNCTION("""COMPUTED_VALUE"""),"ZRG-551")</f>
        <v>ZRG-551</v>
      </c>
      <c r="J146" s="33" t="str">
        <f ca="1">IFERROR(__xludf.DUMMYFUNCTION("""COMPUTED_VALUE"""),"JAVIER LOSCOS MORATO")</f>
        <v>JAVIER LOSCOS MORATO</v>
      </c>
      <c r="K146" s="33">
        <f ca="1">IFERROR(__xludf.DUMMYFUNCTION("""COMPUTED_VALUE"""),2)</f>
        <v>2</v>
      </c>
      <c r="L146" s="203">
        <f ca="1">IFERROR(__xludf.DUMMYFUNCTION("""COMPUTED_VALUE"""),3627.27)</f>
        <v>3627.27</v>
      </c>
      <c r="M146" s="33" t="str">
        <f ca="1">IFERROR(__xludf.DUMMYFUNCTION("""COMPUTED_VALUE"""),"03 ORL")</f>
        <v>03 ORL</v>
      </c>
      <c r="N146" s="33" t="str">
        <f ca="1">IFERROR(__xludf.DUMMYFUNCTION("""COMPUTED_VALUE"""),"06 ORL")</f>
        <v>06 ORL</v>
      </c>
      <c r="O146" s="33" t="str">
        <f ca="1">IFERROR(__xludf.DUMMYFUNCTION("""COMPUTED_VALUE"""),"Dr, José Manuel García Solans-Esteras")</f>
        <v>Dr, José Manuel García Solans-Esteras</v>
      </c>
      <c r="P146" s="33" t="str">
        <f ca="1">IFERROR(__xludf.DUMMYFUNCTION("""COMPUTED_VALUE"""),"Lisandro Russian (Madrid, Cáceres, Toledo, Talavera Y Logroño)")</f>
        <v>Lisandro Russian (Madrid, Cáceres, Toledo, Talavera Y Logroño)</v>
      </c>
    </row>
    <row r="147" spans="2:16">
      <c r="B147" s="33">
        <f ca="1">IFERROR(__xludf.DUMMYFUNCTION("""COMPUTED_VALUE"""),2025)</f>
        <v>2025</v>
      </c>
      <c r="C147" s="33">
        <f ca="1">IFERROR(__xludf.DUMMYFUNCTION("""COMPUTED_VALUE"""),1)</f>
        <v>1</v>
      </c>
      <c r="D147" s="33" t="str">
        <f ca="1">IFERROR(__xludf.DUMMYFUNCTION("""COMPUTED_VALUE"""),"NO")</f>
        <v>NO</v>
      </c>
      <c r="E147" s="33" t="str">
        <f ca="1">IFERROR(__xludf.DUMMYFUNCTION("""COMPUTED_VALUE"""),"Valladolid")</f>
        <v>Valladolid</v>
      </c>
      <c r="F147" s="57">
        <f ca="1">IFERROR(__xludf.DUMMYFUNCTION("""COMPUTED_VALUE"""),45688)</f>
        <v>45688</v>
      </c>
      <c r="G147" s="57">
        <f ca="1">IFERROR(__xludf.DUMMYFUNCTION("""COMPUTED_VALUE"""),45630)</f>
        <v>45630</v>
      </c>
      <c r="H147" s="33" t="str">
        <f ca="1">IFERROR(__xludf.DUMMYFUNCTION("""COMPUTED_VALUE"""),"Valladolid")</f>
        <v>Valladolid</v>
      </c>
      <c r="I147" s="33" t="str">
        <f ca="1">IFERROR(__xludf.DUMMYFUNCTION("""COMPUTED_VALUE"""),"VLL-303")</f>
        <v>VLL-303</v>
      </c>
      <c r="J147" s="33" t="str">
        <f ca="1">IFERROR(__xludf.DUMMYFUNCTION("""COMPUTED_VALUE"""),"JESUS VALLES PRIETO")</f>
        <v>JESUS VALLES PRIETO</v>
      </c>
      <c r="K147" s="33">
        <f ca="1">IFERROR(__xludf.DUMMYFUNCTION("""COMPUTED_VALUE"""),2)</f>
        <v>2</v>
      </c>
      <c r="L147" s="203">
        <f ca="1">IFERROR(__xludf.DUMMYFUNCTION("""COMPUTED_VALUE"""),3522.73)</f>
        <v>3522.73</v>
      </c>
      <c r="M147" s="33" t="str">
        <f ca="1">IFERROR(__xludf.DUMMYFUNCTION("""COMPUTED_VALUE"""),"03 ORL")</f>
        <v>03 ORL</v>
      </c>
      <c r="N147" s="33" t="str">
        <f ca="1">IFERROR(__xludf.DUMMYFUNCTION("""COMPUTED_VALUE"""),"06 ORL")</f>
        <v>06 ORL</v>
      </c>
      <c r="O147" s="33" t="str">
        <f ca="1">IFERROR(__xludf.DUMMYFUNCTION("""COMPUTED_VALUE"""),"Dr, Manuel Acuña García")</f>
        <v>Dr, Manuel Acuña García</v>
      </c>
      <c r="P147" s="33" t="str">
        <f ca="1">IFERROR(__xludf.DUMMYFUNCTION("""COMPUTED_VALUE"""),"Patricia Solache (Castilla Y León)")</f>
        <v>Patricia Solache (Castilla Y León)</v>
      </c>
    </row>
    <row r="148" spans="2:16">
      <c r="B148" s="33">
        <f ca="1">IFERROR(__xludf.DUMMYFUNCTION("""COMPUTED_VALUE"""),2025)</f>
        <v>2025</v>
      </c>
      <c r="C148" s="33">
        <f ca="1">IFERROR(__xludf.DUMMYFUNCTION("""COMPUTED_VALUE"""),1)</f>
        <v>1</v>
      </c>
      <c r="D148" s="33" t="str">
        <f ca="1">IFERROR(__xludf.DUMMYFUNCTION("""COMPUTED_VALUE"""),"NO")</f>
        <v>NO</v>
      </c>
      <c r="E148" s="33" t="str">
        <f ca="1">IFERROR(__xludf.DUMMYFUNCTION("""COMPUTED_VALUE"""),"Sevilla- Ciencias")</f>
        <v>Sevilla- Ciencias</v>
      </c>
      <c r="F148" s="57">
        <f ca="1">IFERROR(__xludf.DUMMYFUNCTION("""COMPUTED_VALUE"""),45667)</f>
        <v>45667</v>
      </c>
      <c r="G148" s="57">
        <f ca="1">IFERROR(__xludf.DUMMYFUNCTION("""COMPUTED_VALUE"""),45608)</f>
        <v>45608</v>
      </c>
      <c r="H148" s="33" t="str">
        <f ca="1">IFERROR(__xludf.DUMMYFUNCTION("""COMPUTED_VALUE"""),"Sevilla Este")</f>
        <v>Sevilla Este</v>
      </c>
      <c r="I148" s="33" t="str">
        <f ca="1">IFERROR(__xludf.DUMMYFUNCTION("""COMPUTED_VALUE"""),"SEVE-326")</f>
        <v>SEVE-326</v>
      </c>
      <c r="J148" s="33" t="str">
        <f ca="1">IFERROR(__xludf.DUMMYFUNCTION("""COMPUTED_VALUE"""),"FELIPE HERNANDEZ GARCIA")</f>
        <v>FELIPE HERNANDEZ GARCIA</v>
      </c>
      <c r="K148" s="33">
        <f ca="1">IFERROR(__xludf.DUMMYFUNCTION("""COMPUTED_VALUE"""),2)</f>
        <v>2</v>
      </c>
      <c r="L148" s="203">
        <f ca="1">IFERROR(__xludf.DUMMYFUNCTION("""COMPUTED_VALUE"""),4000)</f>
        <v>4000</v>
      </c>
      <c r="M148" s="33" t="str">
        <f ca="1">IFERROR(__xludf.DUMMYFUNCTION("""COMPUTED_VALUE"""),"03 ORL")</f>
        <v>03 ORL</v>
      </c>
      <c r="N148" s="33" t="str">
        <f ca="1">IFERROR(__xludf.DUMMYFUNCTION("""COMPUTED_VALUE"""),"06 ORL")</f>
        <v>06 ORL</v>
      </c>
      <c r="O148" s="33" t="str">
        <f ca="1">IFERROR(__xludf.DUMMYFUNCTION("""COMPUTED_VALUE"""),"Dr, Enrique Ruiz Veguilla")</f>
        <v>Dr, Enrique Ruiz Veguilla</v>
      </c>
      <c r="P148" s="33" t="str">
        <f ca="1">IFERROR(__xludf.DUMMYFUNCTION("""COMPUTED_VALUE"""),"Luis Alberto Rodríguez (Andalucía Y Badajoz)")</f>
        <v>Luis Alberto Rodríguez (Andalucía Y Badajoz)</v>
      </c>
    </row>
    <row r="149" spans="2:16">
      <c r="B149" s="33">
        <f ca="1">IFERROR(__xludf.DUMMYFUNCTION("""COMPUTED_VALUE"""),2025)</f>
        <v>2025</v>
      </c>
      <c r="C149" s="33">
        <f ca="1">IFERROR(__xludf.DUMMYFUNCTION("""COMPUTED_VALUE"""),2)</f>
        <v>2</v>
      </c>
      <c r="D149" s="33" t="str">
        <f ca="1">IFERROR(__xludf.DUMMYFUNCTION("""COMPUTED_VALUE"""),"NO")</f>
        <v>NO</v>
      </c>
      <c r="E149" s="33" t="str">
        <f ca="1">IFERROR(__xludf.DUMMYFUNCTION("""COMPUTED_VALUE"""),"Getafe")</f>
        <v>Getafe</v>
      </c>
      <c r="F149" s="57">
        <f ca="1">IFERROR(__xludf.DUMMYFUNCTION("""COMPUTED_VALUE"""),45691)</f>
        <v>45691</v>
      </c>
      <c r="G149" s="57">
        <f ca="1">IFERROR(__xludf.DUMMYFUNCTION("""COMPUTED_VALUE"""),45672)</f>
        <v>45672</v>
      </c>
      <c r="H149" s="33" t="str">
        <f ca="1">IFERROR(__xludf.DUMMYFUNCTION("""COMPUTED_VALUE"""),"Getafe")</f>
        <v>Getafe</v>
      </c>
      <c r="I149" s="33" t="str">
        <f ca="1">IFERROR(__xludf.DUMMYFUNCTION("""COMPUTED_VALUE"""),"C2025120105631596")</f>
        <v>C2025120105631596</v>
      </c>
      <c r="J149" s="33" t="str">
        <f ca="1">IFERROR(__xludf.DUMMYFUNCTION("""COMPUTED_VALUE"""),"MARIA MERCEDES RUBIO GONZALEZ")</f>
        <v>MARIA MERCEDES RUBIO GONZALEZ</v>
      </c>
      <c r="K149" s="33">
        <f ca="1">IFERROR(__xludf.DUMMYFUNCTION("""COMPUTED_VALUE"""),2)</f>
        <v>2</v>
      </c>
      <c r="L149" s="203">
        <f ca="1">IFERROR(__xludf.DUMMYFUNCTION("""COMPUTED_VALUE"""),4000)</f>
        <v>4000</v>
      </c>
      <c r="M149" s="33" t="str">
        <f ca="1">IFERROR(__xludf.DUMMYFUNCTION("""COMPUTED_VALUE"""),"03 ORL")</f>
        <v>03 ORL</v>
      </c>
      <c r="N149" s="33" t="str">
        <f ca="1">IFERROR(__xludf.DUMMYFUNCTION("""COMPUTED_VALUE"""),"06 ORL")</f>
        <v>06 ORL</v>
      </c>
      <c r="O149" s="33" t="str">
        <f ca="1">IFERROR(__xludf.DUMMYFUNCTION("""COMPUTED_VALUE"""),"Dr, Jonathan Esteban Sánchez")</f>
        <v>Dr, Jonathan Esteban Sánchez</v>
      </c>
      <c r="P149" s="33" t="str">
        <f ca="1">IFERROR(__xludf.DUMMYFUNCTION("""COMPUTED_VALUE"""),"Maika Blázquez (Madrid)")</f>
        <v>Maika Blázquez (Madrid)</v>
      </c>
    </row>
    <row r="150" spans="2:16">
      <c r="B150" s="33">
        <f ca="1">IFERROR(__xludf.DUMMYFUNCTION("""COMPUTED_VALUE"""),2025)</f>
        <v>2025</v>
      </c>
      <c r="C150" s="33">
        <f ca="1">IFERROR(__xludf.DUMMYFUNCTION("""COMPUTED_VALUE"""),2)</f>
        <v>2</v>
      </c>
      <c r="D150" s="33" t="str">
        <f ca="1">IFERROR(__xludf.DUMMYFUNCTION("""COMPUTED_VALUE"""),"NO")</f>
        <v>NO</v>
      </c>
      <c r="E150" s="33" t="str">
        <f ca="1">IFERROR(__xludf.DUMMYFUNCTION("""COMPUTED_VALUE"""),"Alicante")</f>
        <v>Alicante</v>
      </c>
      <c r="F150" s="57">
        <f ca="1">IFERROR(__xludf.DUMMYFUNCTION("""COMPUTED_VALUE"""),45691)</f>
        <v>45691</v>
      </c>
      <c r="G150" s="57">
        <f ca="1">IFERROR(__xludf.DUMMYFUNCTION("""COMPUTED_VALUE"""),45672)</f>
        <v>45672</v>
      </c>
      <c r="H150" s="33" t="str">
        <f ca="1">IFERROR(__xludf.DUMMYFUNCTION("""COMPUTED_VALUE"""),"Alicante")</f>
        <v>Alicante</v>
      </c>
      <c r="I150" s="33" t="str">
        <f ca="1">IFERROR(__xludf.DUMMYFUNCTION("""COMPUTED_VALUE"""),"C2025120965649")</f>
        <v>C2025120965649</v>
      </c>
      <c r="J150" s="33" t="str">
        <f ca="1">IFERROR(__xludf.DUMMYFUNCTION("""COMPUTED_VALUE"""),"JAVIER PELLIN CATALA")</f>
        <v>JAVIER PELLIN CATALA</v>
      </c>
      <c r="K150" s="33">
        <f ca="1">IFERROR(__xludf.DUMMYFUNCTION("""COMPUTED_VALUE"""),1)</f>
        <v>1</v>
      </c>
      <c r="L150" s="203">
        <f ca="1">IFERROR(__xludf.DUMMYFUNCTION("""COMPUTED_VALUE"""),1732.73)</f>
        <v>1732.73</v>
      </c>
      <c r="M150" s="33" t="str">
        <f ca="1">IFERROR(__xludf.DUMMYFUNCTION("""COMPUTED_VALUE"""),"03 ORL")</f>
        <v>03 ORL</v>
      </c>
      <c r="N150" s="33" t="str">
        <f ca="1">IFERROR(__xludf.DUMMYFUNCTION("""COMPUTED_VALUE"""),"06 ORL")</f>
        <v>06 ORL</v>
      </c>
      <c r="O150" s="33" t="str">
        <f ca="1">IFERROR(__xludf.DUMMYFUNCTION("""COMPUTED_VALUE"""),"Dr, Francisco Javier Cerdán Baeza")</f>
        <v>Dr, Francisco Javier Cerdán Baeza</v>
      </c>
      <c r="P150" s="33" t="str">
        <f ca="1">IFERROR(__xludf.DUMMYFUNCTION("""COMPUTED_VALUE"""),"Iván Sánchez (Levante Y Albacete)")</f>
        <v>Iván Sánchez (Levante Y Albacete)</v>
      </c>
    </row>
    <row r="151" spans="2:16">
      <c r="B151" s="33">
        <f ca="1">IFERROR(__xludf.DUMMYFUNCTION("""COMPUTED_VALUE"""),2025)</f>
        <v>2025</v>
      </c>
      <c r="C151" s="33">
        <f ca="1">IFERROR(__xludf.DUMMYFUNCTION("""COMPUTED_VALUE"""),2)</f>
        <v>2</v>
      </c>
      <c r="D151" s="33" t="str">
        <f ca="1">IFERROR(__xludf.DUMMYFUNCTION("""COMPUTED_VALUE"""),"NO")</f>
        <v>NO</v>
      </c>
      <c r="E151" s="33" t="str">
        <f ca="1">IFERROR(__xludf.DUMMYFUNCTION("""COMPUTED_VALUE"""),"Madrid- La Oca")</f>
        <v>Madrid- La Oca</v>
      </c>
      <c r="F151" s="57">
        <f ca="1">IFERROR(__xludf.DUMMYFUNCTION("""COMPUTED_VALUE"""),45691)</f>
        <v>45691</v>
      </c>
      <c r="G151" s="57">
        <f ca="1">IFERROR(__xludf.DUMMYFUNCTION("""COMPUTED_VALUE"""),45659)</f>
        <v>45659</v>
      </c>
      <c r="H151" s="33" t="str">
        <f ca="1">IFERROR(__xludf.DUMMYFUNCTION("""COMPUTED_VALUE"""),"La Oca")</f>
        <v>La Oca</v>
      </c>
      <c r="I151" s="33" t="str">
        <f ca="1">IFERROR(__xludf.DUMMYFUNCTION("""COMPUTED_VALUE"""),"C202518112918935")</f>
        <v>C202518112918935</v>
      </c>
      <c r="J151" s="33" t="str">
        <f ca="1">IFERROR(__xludf.DUMMYFUNCTION("""COMPUTED_VALUE"""),"ELVIRA LOPEZ RODRIGUEZ")</f>
        <v>ELVIRA LOPEZ RODRIGUEZ</v>
      </c>
      <c r="K151" s="33">
        <f ca="1">IFERROR(__xludf.DUMMYFUNCTION("""COMPUTED_VALUE"""),1)</f>
        <v>1</v>
      </c>
      <c r="L151" s="203">
        <f ca="1">IFERROR(__xludf.DUMMYFUNCTION("""COMPUTED_VALUE"""),2400)</f>
        <v>2400</v>
      </c>
      <c r="M151" s="33" t="str">
        <f ca="1">IFERROR(__xludf.DUMMYFUNCTION("""COMPUTED_VALUE"""),"03 ORL")</f>
        <v>03 ORL</v>
      </c>
      <c r="N151" s="33" t="str">
        <f ca="1">IFERROR(__xludf.DUMMYFUNCTION("""COMPUTED_VALUE"""),"22 AUDIOMETRIA CLINICA")</f>
        <v>22 AUDIOMETRIA CLINICA</v>
      </c>
      <c r="O151" s="33" t="str">
        <f ca="1">IFERROR(__xludf.DUMMYFUNCTION("""COMPUTED_VALUE"""),"Dra, Bárbara Castillo Ávila")</f>
        <v>Dra, Bárbara Castillo Ávila</v>
      </c>
      <c r="P151" s="33" t="str">
        <f ca="1">IFERROR(__xludf.DUMMYFUNCTION("""COMPUTED_VALUE"""),"Maika Blázquez (Madrid)")</f>
        <v>Maika Blázquez (Madrid)</v>
      </c>
    </row>
    <row r="152" spans="2:16">
      <c r="B152" s="33">
        <f ca="1">IFERROR(__xludf.DUMMYFUNCTION("""COMPUTED_VALUE"""),2025)</f>
        <v>2025</v>
      </c>
      <c r="C152" s="33">
        <f ca="1">IFERROR(__xludf.DUMMYFUNCTION("""COMPUTED_VALUE"""),2)</f>
        <v>2</v>
      </c>
      <c r="D152" s="33" t="str">
        <f ca="1">IFERROR(__xludf.DUMMYFUNCTION("""COMPUTED_VALUE"""),"NO")</f>
        <v>NO</v>
      </c>
      <c r="E152" s="33" t="str">
        <f ca="1">IFERROR(__xludf.DUMMYFUNCTION("""COMPUTED_VALUE"""),"Madrid- La Oca")</f>
        <v>Madrid- La Oca</v>
      </c>
      <c r="F152" s="57">
        <f ca="1">IFERROR(__xludf.DUMMYFUNCTION("""COMPUTED_VALUE"""),45691)</f>
        <v>45691</v>
      </c>
      <c r="G152" s="57">
        <f ca="1">IFERROR(__xludf.DUMMYFUNCTION("""COMPUTED_VALUE"""),45582)</f>
        <v>45582</v>
      </c>
      <c r="H152" s="33" t="str">
        <f ca="1">IFERROR(__xludf.DUMMYFUNCTION("""COMPUTED_VALUE"""),"La Oca")</f>
        <v>La Oca</v>
      </c>
      <c r="I152" s="33" t="str">
        <f ca="1">IFERROR(__xludf.DUMMYFUNCTION("""COMPUTED_VALUE"""),"C20241213123222368")</f>
        <v>C20241213123222368</v>
      </c>
      <c r="J152" s="33" t="str">
        <f ca="1">IFERROR(__xludf.DUMMYFUNCTION("""COMPUTED_VALUE"""),"MARIA DEL PILAR PORRAS BAENA")</f>
        <v>MARIA DEL PILAR PORRAS BAENA</v>
      </c>
      <c r="K152" s="33">
        <f ca="1">IFERROR(__xludf.DUMMYFUNCTION("""COMPUTED_VALUE"""),1)</f>
        <v>1</v>
      </c>
      <c r="L152" s="203">
        <f ca="1">IFERROR(__xludf.DUMMYFUNCTION("""COMPUTED_VALUE"""),2226.36)</f>
        <v>2226.36</v>
      </c>
      <c r="M152" s="33" t="str">
        <f ca="1">IFERROR(__xludf.DUMMYFUNCTION("""COMPUTED_VALUE"""),"03 ORL")</f>
        <v>03 ORL</v>
      </c>
      <c r="N152" s="33" t="str">
        <f ca="1">IFERROR(__xludf.DUMMYFUNCTION("""COMPUTED_VALUE"""),"06 ORL")</f>
        <v>06 ORL</v>
      </c>
      <c r="O152" s="33" t="str">
        <f ca="1">IFERROR(__xludf.DUMMYFUNCTION("""COMPUTED_VALUE"""),"Dr, José Joaquín Gutiérrez Barquín")</f>
        <v>Dr, José Joaquín Gutiérrez Barquín</v>
      </c>
      <c r="P152" s="33" t="str">
        <f ca="1">IFERROR(__xludf.DUMMYFUNCTION("""COMPUTED_VALUE"""),"Maika Blázquez (Madrid)")</f>
        <v>Maika Blázquez (Madrid)</v>
      </c>
    </row>
    <row r="153" spans="2:16">
      <c r="B153" s="33">
        <f ca="1">IFERROR(__xludf.DUMMYFUNCTION("""COMPUTED_VALUE"""),2025)</f>
        <v>2025</v>
      </c>
      <c r="C153" s="33">
        <f ca="1">IFERROR(__xludf.DUMMYFUNCTION("""COMPUTED_VALUE"""),2)</f>
        <v>2</v>
      </c>
      <c r="D153" s="33" t="str">
        <f ca="1">IFERROR(__xludf.DUMMYFUNCTION("""COMPUTED_VALUE"""),"NO")</f>
        <v>NO</v>
      </c>
      <c r="E153" s="33" t="str">
        <f ca="1">IFERROR(__xludf.DUMMYFUNCTION("""COMPUTED_VALUE"""),"Madrid- Canillas")</f>
        <v>Madrid- Canillas</v>
      </c>
      <c r="F153" s="57">
        <f ca="1">IFERROR(__xludf.DUMMYFUNCTION("""COMPUTED_VALUE"""),45691)</f>
        <v>45691</v>
      </c>
      <c r="G153" s="57">
        <f ca="1">IFERROR(__xludf.DUMMYFUNCTION("""COMPUTED_VALUE"""),45435)</f>
        <v>45435</v>
      </c>
      <c r="H153" s="33" t="str">
        <f ca="1">IFERROR(__xludf.DUMMYFUNCTION("""COMPUTED_VALUE"""),"Canillas")</f>
        <v>Canillas</v>
      </c>
      <c r="I153" s="33" t="str">
        <f ca="1">IFERROR(__xludf.DUMMYFUNCTION("""COMPUTED_VALUE"""),"HOR-2220")</f>
        <v>HOR-2220</v>
      </c>
      <c r="J153" s="33" t="str">
        <f ca="1">IFERROR(__xludf.DUMMYFUNCTION("""COMPUTED_VALUE"""),"JANINE EMMANUELLE ANGE OMONT")</f>
        <v>JANINE EMMANUELLE ANGE OMONT</v>
      </c>
      <c r="K153" s="33">
        <f ca="1">IFERROR(__xludf.DUMMYFUNCTION("""COMPUTED_VALUE"""),2)</f>
        <v>2</v>
      </c>
      <c r="L153" s="203">
        <f ca="1">IFERROR(__xludf.DUMMYFUNCTION("""COMPUTED_VALUE"""),2888.18)</f>
        <v>2888.18</v>
      </c>
      <c r="M153" s="33" t="str">
        <f ca="1">IFERROR(__xludf.DUMMYFUNCTION("""COMPUTED_VALUE"""),"03 ORL")</f>
        <v>03 ORL</v>
      </c>
      <c r="N153" s="33" t="str">
        <f ca="1">IFERROR(__xludf.DUMMYFUNCTION("""COMPUTED_VALUE"""),"06 ORL")</f>
        <v>06 ORL</v>
      </c>
      <c r="O153" s="33" t="str">
        <f ca="1">IFERROR(__xludf.DUMMYFUNCTION("""COMPUTED_VALUE"""),"Dr, Jesús Tomás Onrubia Parra")</f>
        <v>Dr, Jesús Tomás Onrubia Parra</v>
      </c>
      <c r="P153" s="33" t="str">
        <f ca="1">IFERROR(__xludf.DUMMYFUNCTION("""COMPUTED_VALUE"""),"Maika Blázquez (Madrid)")</f>
        <v>Maika Blázquez (Madrid)</v>
      </c>
    </row>
    <row r="154" spans="2:16">
      <c r="B154" s="33">
        <f ca="1">IFERROR(__xludf.DUMMYFUNCTION("""COMPUTED_VALUE"""),2025)</f>
        <v>2025</v>
      </c>
      <c r="C154" s="33">
        <f ca="1">IFERROR(__xludf.DUMMYFUNCTION("""COMPUTED_VALUE"""),2)</f>
        <v>2</v>
      </c>
      <c r="D154" s="33" t="str">
        <f ca="1">IFERROR(__xludf.DUMMYFUNCTION("""COMPUTED_VALUE"""),"NO")</f>
        <v>NO</v>
      </c>
      <c r="E154" s="33" t="str">
        <f ca="1">IFERROR(__xludf.DUMMYFUNCTION("""COMPUTED_VALUE"""),"Alicante")</f>
        <v>Alicante</v>
      </c>
      <c r="F154" s="57">
        <f ca="1">IFERROR(__xludf.DUMMYFUNCTION("""COMPUTED_VALUE"""),45691)</f>
        <v>45691</v>
      </c>
      <c r="G154" s="57">
        <f ca="1">IFERROR(__xludf.DUMMYFUNCTION("""COMPUTED_VALUE"""),45313)</f>
        <v>45313</v>
      </c>
      <c r="H154" s="33" t="str">
        <f ca="1">IFERROR(__xludf.DUMMYFUNCTION("""COMPUTED_VALUE"""),"Alicante")</f>
        <v>Alicante</v>
      </c>
      <c r="I154" s="33" t="str">
        <f ca="1">IFERROR(__xludf.DUMMYFUNCTION("""COMPUTED_VALUE"""),"ALC-3764")</f>
        <v>ALC-3764</v>
      </c>
      <c r="J154" s="33" t="str">
        <f ca="1">IFERROR(__xludf.DUMMYFUNCTION("""COMPUTED_VALUE"""),"CESAR MARTIN RUBIO")</f>
        <v>CESAR MARTIN RUBIO</v>
      </c>
      <c r="K154" s="33">
        <f ca="1">IFERROR(__xludf.DUMMYFUNCTION("""COMPUTED_VALUE"""),2)</f>
        <v>2</v>
      </c>
      <c r="L154" s="203">
        <f ca="1">IFERROR(__xludf.DUMMYFUNCTION("""COMPUTED_VALUE"""),4000)</f>
        <v>4000</v>
      </c>
      <c r="M154" s="33" t="str">
        <f ca="1">IFERROR(__xludf.DUMMYFUNCTION("""COMPUTED_VALUE"""),"03 ORL")</f>
        <v>03 ORL</v>
      </c>
      <c r="N154" s="33" t="str">
        <f ca="1">IFERROR(__xludf.DUMMYFUNCTION("""COMPUTED_VALUE"""),"06 ORL")</f>
        <v>06 ORL</v>
      </c>
      <c r="O154" s="33" t="str">
        <f ca="1">IFERROR(__xludf.DUMMYFUNCTION("""COMPUTED_VALUE"""),"Dr, Francisco Pastor Beviá")</f>
        <v>Dr, Francisco Pastor Beviá</v>
      </c>
      <c r="P154" s="33" t="str">
        <f ca="1">IFERROR(__xludf.DUMMYFUNCTION("""COMPUTED_VALUE"""),"Iván Sánchez (Levante Y Albacete)")</f>
        <v>Iván Sánchez (Levante Y Albacete)</v>
      </c>
    </row>
    <row r="155" spans="2:16">
      <c r="B155" s="33">
        <f ca="1">IFERROR(__xludf.DUMMYFUNCTION("""COMPUTED_VALUE"""),2025)</f>
        <v>2025</v>
      </c>
      <c r="C155" s="33">
        <f ca="1">IFERROR(__xludf.DUMMYFUNCTION("""COMPUTED_VALUE"""),2)</f>
        <v>2</v>
      </c>
      <c r="D155" s="33" t="str">
        <f ca="1">IFERROR(__xludf.DUMMYFUNCTION("""COMPUTED_VALUE"""),"NO")</f>
        <v>NO</v>
      </c>
      <c r="E155" s="33" t="str">
        <f ca="1">IFERROR(__xludf.DUMMYFUNCTION("""COMPUTED_VALUE"""),"Madrid- La Oca")</f>
        <v>Madrid- La Oca</v>
      </c>
      <c r="F155" s="57">
        <f ca="1">IFERROR(__xludf.DUMMYFUNCTION("""COMPUTED_VALUE"""),45692)</f>
        <v>45692</v>
      </c>
      <c r="G155" s="57">
        <f ca="1">IFERROR(__xludf.DUMMYFUNCTION("""COMPUTED_VALUE"""),45664)</f>
        <v>45664</v>
      </c>
      <c r="H155" s="33" t="str">
        <f ca="1">IFERROR(__xludf.DUMMYFUNCTION("""COMPUTED_VALUE"""),"La Oca")</f>
        <v>La Oca</v>
      </c>
      <c r="I155" s="33" t="str">
        <f ca="1">IFERROR(__xludf.DUMMYFUNCTION("""COMPUTED_VALUE"""),"C2025114105110182")</f>
        <v>C2025114105110182</v>
      </c>
      <c r="J155" s="33" t="str">
        <f ca="1">IFERROR(__xludf.DUMMYFUNCTION("""COMPUTED_VALUE"""),"RAFAELA ALARCON SANCHEZ")</f>
        <v>RAFAELA ALARCON SANCHEZ</v>
      </c>
      <c r="K155" s="33">
        <f ca="1">IFERROR(__xludf.DUMMYFUNCTION("""COMPUTED_VALUE"""),2)</f>
        <v>2</v>
      </c>
      <c r="L155" s="203">
        <f ca="1">IFERROR(__xludf.DUMMYFUNCTION("""COMPUTED_VALUE"""),3524.55)</f>
        <v>3524.55</v>
      </c>
      <c r="M155" s="33" t="str">
        <f ca="1">IFERROR(__xludf.DUMMYFUNCTION("""COMPUTED_VALUE"""),"03 ORL")</f>
        <v>03 ORL</v>
      </c>
      <c r="N155" s="33" t="str">
        <f ca="1">IFERROR(__xludf.DUMMYFUNCTION("""COMPUTED_VALUE"""),"22 AUDIOMETRIA CLINICA")</f>
        <v>22 AUDIOMETRIA CLINICA</v>
      </c>
      <c r="O155" s="33" t="str">
        <f ca="1">IFERROR(__xludf.DUMMYFUNCTION("""COMPUTED_VALUE"""),"Dr, José Joaquín Gutiérrez Barquín")</f>
        <v>Dr, José Joaquín Gutiérrez Barquín</v>
      </c>
      <c r="P155" s="33" t="str">
        <f ca="1">IFERROR(__xludf.DUMMYFUNCTION("""COMPUTED_VALUE"""),"Maika Blázquez (Madrid)")</f>
        <v>Maika Blázquez (Madrid)</v>
      </c>
    </row>
    <row r="156" spans="2:16">
      <c r="B156" s="33">
        <f ca="1">IFERROR(__xludf.DUMMYFUNCTION("""COMPUTED_VALUE"""),2025)</f>
        <v>2025</v>
      </c>
      <c r="C156" s="33">
        <f ca="1">IFERROR(__xludf.DUMMYFUNCTION("""COMPUTED_VALUE"""),2)</f>
        <v>2</v>
      </c>
      <c r="D156" s="33" t="str">
        <f ca="1">IFERROR(__xludf.DUMMYFUNCTION("""COMPUTED_VALUE"""),"NO")</f>
        <v>NO</v>
      </c>
      <c r="E156" s="33" t="str">
        <f ca="1">IFERROR(__xludf.DUMMYFUNCTION("""COMPUTED_VALUE"""),"Logroño")</f>
        <v>Logroño</v>
      </c>
      <c r="F156" s="57">
        <f ca="1">IFERROR(__xludf.DUMMYFUNCTION("""COMPUTED_VALUE"""),45692)</f>
        <v>45692</v>
      </c>
      <c r="G156" s="57">
        <f ca="1">IFERROR(__xludf.DUMMYFUNCTION("""COMPUTED_VALUE"""),45649)</f>
        <v>45649</v>
      </c>
      <c r="H156" s="33" t="str">
        <f ca="1">IFERROR(__xludf.DUMMYFUNCTION("""COMPUTED_VALUE"""),"Logroño")</f>
        <v>Logroño</v>
      </c>
      <c r="I156" s="33" t="str">
        <f ca="1">IFERROR(__xludf.DUMMYFUNCTION("""COMPUTED_VALUE"""),"C2024122612488864")</f>
        <v>C2024122612488864</v>
      </c>
      <c r="J156" s="33" t="str">
        <f ca="1">IFERROR(__xludf.DUMMYFUNCTION("""COMPUTED_VALUE"""),"TRINIDAD CHICOTE FERNANDEZ")</f>
        <v>TRINIDAD CHICOTE FERNANDEZ</v>
      </c>
      <c r="K156" s="33">
        <f ca="1">IFERROR(__xludf.DUMMYFUNCTION("""COMPUTED_VALUE"""),2)</f>
        <v>2</v>
      </c>
      <c r="L156" s="203">
        <f ca="1">IFERROR(__xludf.DUMMYFUNCTION("""COMPUTED_VALUE"""),3454.55)</f>
        <v>3454.55</v>
      </c>
      <c r="M156" s="33" t="str">
        <f ca="1">IFERROR(__xludf.DUMMYFUNCTION("""COMPUTED_VALUE"""),"03 ORL")</f>
        <v>03 ORL</v>
      </c>
      <c r="N156" s="33" t="str">
        <f ca="1">IFERROR(__xludf.DUMMYFUNCTION("""COMPUTED_VALUE"""),"06 ORL")</f>
        <v>06 ORL</v>
      </c>
      <c r="O156" s="33" t="str">
        <f ca="1">IFERROR(__xludf.DUMMYFUNCTION("""COMPUTED_VALUE"""),"Dr, Fernando Salazar Barcelona")</f>
        <v>Dr, Fernando Salazar Barcelona</v>
      </c>
      <c r="P156" s="33" t="str">
        <f ca="1">IFERROR(__xludf.DUMMYFUNCTION("""COMPUTED_VALUE"""),"Lisandro Russian (Madrid, Cáceres, Toledo, Talavera Y Logroño)")</f>
        <v>Lisandro Russian (Madrid, Cáceres, Toledo, Talavera Y Logroño)</v>
      </c>
    </row>
    <row r="157" spans="2:16">
      <c r="B157" s="33">
        <f ca="1">IFERROR(__xludf.DUMMYFUNCTION("""COMPUTED_VALUE"""),2025)</f>
        <v>2025</v>
      </c>
      <c r="C157" s="33">
        <f ca="1">IFERROR(__xludf.DUMMYFUNCTION("""COMPUTED_VALUE"""),2)</f>
        <v>2</v>
      </c>
      <c r="D157" s="33" t="str">
        <f ca="1">IFERROR(__xludf.DUMMYFUNCTION("""COMPUTED_VALUE"""),"NO")</f>
        <v>NO</v>
      </c>
      <c r="E157" s="33" t="str">
        <f ca="1">IFERROR(__xludf.DUMMYFUNCTION("""COMPUTED_VALUE"""),"Albacete")</f>
        <v>Albacete</v>
      </c>
      <c r="F157" s="57">
        <f ca="1">IFERROR(__xludf.DUMMYFUNCTION("""COMPUTED_VALUE"""),45693)</f>
        <v>45693</v>
      </c>
      <c r="G157" s="57">
        <f ca="1">IFERROR(__xludf.DUMMYFUNCTION("""COMPUTED_VALUE"""),45671)</f>
        <v>45671</v>
      </c>
      <c r="H157" s="33" t="str">
        <f ca="1">IFERROR(__xludf.DUMMYFUNCTION("""COMPUTED_VALUE"""),"Albacete")</f>
        <v>Albacete</v>
      </c>
      <c r="I157" s="33" t="str">
        <f ca="1">IFERROR(__xludf.DUMMYFUNCTION("""COMPUTED_VALUE"""),"C2025114182939239")</f>
        <v>C2025114182939239</v>
      </c>
      <c r="J157" s="33" t="str">
        <f ca="1">IFERROR(__xludf.DUMMYFUNCTION("""COMPUTED_VALUE"""),"JUAN ANTONIO RODRIGUEZ GARCIA")</f>
        <v>JUAN ANTONIO RODRIGUEZ GARCIA</v>
      </c>
      <c r="K157" s="33">
        <f ca="1">IFERROR(__xludf.DUMMYFUNCTION("""COMPUTED_VALUE"""),1)</f>
        <v>1</v>
      </c>
      <c r="L157" s="203">
        <f ca="1">IFERROR(__xludf.DUMMYFUNCTION("""COMPUTED_VALUE"""),1732.73)</f>
        <v>1732.73</v>
      </c>
      <c r="M157" s="33" t="str">
        <f ca="1">IFERROR(__xludf.DUMMYFUNCTION("""COMPUTED_VALUE"""),"03 ORL")</f>
        <v>03 ORL</v>
      </c>
      <c r="N157" s="33" t="str">
        <f ca="1">IFERROR(__xludf.DUMMYFUNCTION("""COMPUTED_VALUE"""),"06 ORL")</f>
        <v>06 ORL</v>
      </c>
      <c r="O157" s="33" t="str">
        <f ca="1">IFERROR(__xludf.DUMMYFUNCTION("""COMPUTED_VALUE"""),"Dr, Pedro Seguí Moya")</f>
        <v>Dr, Pedro Seguí Moya</v>
      </c>
      <c r="P157" s="33" t="str">
        <f ca="1">IFERROR(__xludf.DUMMYFUNCTION("""COMPUTED_VALUE"""),"Iván Sánchez (Levante Y Albacete)")</f>
        <v>Iván Sánchez (Levante Y Albacete)</v>
      </c>
    </row>
    <row r="158" spans="2:16">
      <c r="B158" s="33">
        <f ca="1">IFERROR(__xludf.DUMMYFUNCTION("""COMPUTED_VALUE"""),2025)</f>
        <v>2025</v>
      </c>
      <c r="C158" s="33">
        <f ca="1">IFERROR(__xludf.DUMMYFUNCTION("""COMPUTED_VALUE"""),2)</f>
        <v>2</v>
      </c>
      <c r="D158" s="33" t="str">
        <f ca="1">IFERROR(__xludf.DUMMYFUNCTION("""COMPUTED_VALUE"""),"NO")</f>
        <v>NO</v>
      </c>
      <c r="E158" s="33" t="str">
        <f ca="1">IFERROR(__xludf.DUMMYFUNCTION("""COMPUTED_VALUE"""),"Madrid- Canillas")</f>
        <v>Madrid- Canillas</v>
      </c>
      <c r="F158" s="57">
        <f ca="1">IFERROR(__xludf.DUMMYFUNCTION("""COMPUTED_VALUE"""),45693)</f>
        <v>45693</v>
      </c>
      <c r="G158" s="57">
        <f ca="1">IFERROR(__xludf.DUMMYFUNCTION("""COMPUTED_VALUE"""),45540)</f>
        <v>45540</v>
      </c>
      <c r="H158" s="33" t="str">
        <f ca="1">IFERROR(__xludf.DUMMYFUNCTION("""COMPUTED_VALUE"""),"Canillas")</f>
        <v>Canillas</v>
      </c>
      <c r="I158" s="33" t="str">
        <f ca="1">IFERROR(__xludf.DUMMYFUNCTION("""COMPUTED_VALUE"""),"C202491212122424")</f>
        <v>C202491212122424</v>
      </c>
      <c r="J158" s="33" t="str">
        <f ca="1">IFERROR(__xludf.DUMMYFUNCTION("""COMPUTED_VALUE"""),"ENCARNACION GARCIA JIMENEZ")</f>
        <v>ENCARNACION GARCIA JIMENEZ</v>
      </c>
      <c r="K158" s="33">
        <f ca="1">IFERROR(__xludf.DUMMYFUNCTION("""COMPUTED_VALUE"""),-2)</f>
        <v>-2</v>
      </c>
      <c r="L158" s="203">
        <f ca="1">IFERROR(__xludf.DUMMYFUNCTION("""COMPUTED_VALUE"""),-3800)</f>
        <v>-3800</v>
      </c>
      <c r="M158" s="33" t="str">
        <f ca="1">IFERROR(__xludf.DUMMYFUNCTION("""COMPUTED_VALUE"""),"03 ORL")</f>
        <v>03 ORL</v>
      </c>
      <c r="N158" s="33" t="str">
        <f ca="1">IFERROR(__xludf.DUMMYFUNCTION("""COMPUTED_VALUE"""),"06 ORL")</f>
        <v>06 ORL</v>
      </c>
      <c r="O158" s="33" t="str">
        <f ca="1">IFERROR(__xludf.DUMMYFUNCTION("""COMPUTED_VALUE"""),"Dr, Alfonso Santamaría Gadea")</f>
        <v>Dr, Alfonso Santamaría Gadea</v>
      </c>
      <c r="P158" s="33" t="str">
        <f ca="1">IFERROR(__xludf.DUMMYFUNCTION("""COMPUTED_VALUE"""),"Maika Blázquez (Madrid)")</f>
        <v>Maika Blázquez (Madrid)</v>
      </c>
    </row>
    <row r="159" spans="2:16">
      <c r="B159" s="33">
        <f ca="1">IFERROR(__xludf.DUMMYFUNCTION("""COMPUTED_VALUE"""),2025)</f>
        <v>2025</v>
      </c>
      <c r="C159" s="33">
        <f ca="1">IFERROR(__xludf.DUMMYFUNCTION("""COMPUTED_VALUE"""),2)</f>
        <v>2</v>
      </c>
      <c r="D159" s="33" t="str">
        <f ca="1">IFERROR(__xludf.DUMMYFUNCTION("""COMPUTED_VALUE"""),"NO")</f>
        <v>NO</v>
      </c>
      <c r="E159" s="33" t="str">
        <f ca="1">IFERROR(__xludf.DUMMYFUNCTION("""COMPUTED_VALUE"""),"Sevilla- Montoto")</f>
        <v>Sevilla- Montoto</v>
      </c>
      <c r="F159" s="57">
        <f ca="1">IFERROR(__xludf.DUMMYFUNCTION("""COMPUTED_VALUE"""),45693)</f>
        <v>45693</v>
      </c>
      <c r="G159" s="57">
        <f ca="1">IFERROR(__xludf.DUMMYFUNCTION("""COMPUTED_VALUE"""),45621)</f>
        <v>45621</v>
      </c>
      <c r="H159" s="33" t="str">
        <f ca="1">IFERROR(__xludf.DUMMYFUNCTION("""COMPUTED_VALUE"""),"Montoto")</f>
        <v>Montoto</v>
      </c>
      <c r="I159" s="33" t="str">
        <f ca="1">IFERROR(__xludf.DUMMYFUNCTION("""COMPUTED_VALUE"""),"C20241127151146637")</f>
        <v>C20241127151146637</v>
      </c>
      <c r="J159" s="33" t="str">
        <f ca="1">IFERROR(__xludf.DUMMYFUNCTION("""COMPUTED_VALUE"""),"MANUEL JESUS PEREZ SANCHEZ")</f>
        <v>MANUEL JESUS PEREZ SANCHEZ</v>
      </c>
      <c r="K159" s="33">
        <f ca="1">IFERROR(__xludf.DUMMYFUNCTION("""COMPUTED_VALUE"""),1)</f>
        <v>1</v>
      </c>
      <c r="L159" s="203">
        <f ca="1">IFERROR(__xludf.DUMMYFUNCTION("""COMPUTED_VALUE"""),1170)</f>
        <v>1170</v>
      </c>
      <c r="M159" s="33" t="str">
        <f ca="1">IFERROR(__xludf.DUMMYFUNCTION("""COMPUTED_VALUE"""),"03 ORL")</f>
        <v>03 ORL</v>
      </c>
      <c r="N159" s="33" t="str">
        <f ca="1">IFERROR(__xludf.DUMMYFUNCTION("""COMPUTED_VALUE"""),"06 ORL")</f>
        <v>06 ORL</v>
      </c>
      <c r="O159" s="33" t="str">
        <f ca="1">IFERROR(__xludf.DUMMYFUNCTION("""COMPUTED_VALUE"""),"Dr, Francisco Ropero Romero")</f>
        <v>Dr, Francisco Ropero Romero</v>
      </c>
      <c r="P159" s="33" t="str">
        <f ca="1">IFERROR(__xludf.DUMMYFUNCTION("""COMPUTED_VALUE"""),"Luis Alberto Rodríguez (Andalucía Y Badajoz)")</f>
        <v>Luis Alberto Rodríguez (Andalucía Y Badajoz)</v>
      </c>
    </row>
    <row r="160" spans="2:16">
      <c r="B160" s="33">
        <f ca="1">IFERROR(__xludf.DUMMYFUNCTION("""COMPUTED_VALUE"""),2025)</f>
        <v>2025</v>
      </c>
      <c r="C160" s="33">
        <f ca="1">IFERROR(__xludf.DUMMYFUNCTION("""COMPUTED_VALUE"""),2)</f>
        <v>2</v>
      </c>
      <c r="D160" s="33" t="str">
        <f ca="1">IFERROR(__xludf.DUMMYFUNCTION("""COMPUTED_VALUE"""),"NO")</f>
        <v>NO</v>
      </c>
      <c r="E160" s="33" t="str">
        <f ca="1">IFERROR(__xludf.DUMMYFUNCTION("""COMPUTED_VALUE"""),"Ourense")</f>
        <v>Ourense</v>
      </c>
      <c r="F160" s="57">
        <f ca="1">IFERROR(__xludf.DUMMYFUNCTION("""COMPUTED_VALUE"""),45693)</f>
        <v>45693</v>
      </c>
      <c r="G160" s="57">
        <f ca="1">IFERROR(__xludf.DUMMYFUNCTION("""COMPUTED_VALUE"""),45652)</f>
        <v>45652</v>
      </c>
      <c r="H160" s="33" t="str">
        <f ca="1">IFERROR(__xludf.DUMMYFUNCTION("""COMPUTED_VALUE"""),"Orense")</f>
        <v>Orense</v>
      </c>
      <c r="I160" s="33" t="str">
        <f ca="1">IFERROR(__xludf.DUMMYFUNCTION("""COMPUTED_VALUE"""),"C202518163012145")</f>
        <v>C202518163012145</v>
      </c>
      <c r="J160" s="33" t="str">
        <f ca="1">IFERROR(__xludf.DUMMYFUNCTION("""COMPUTED_VALUE"""),"CONCEPCION GOMEZ FERNANDEZ")</f>
        <v>CONCEPCION GOMEZ FERNANDEZ</v>
      </c>
      <c r="K160" s="33">
        <f ca="1">IFERROR(__xludf.DUMMYFUNCTION("""COMPUTED_VALUE"""),2)</f>
        <v>2</v>
      </c>
      <c r="L160" s="203">
        <f ca="1">IFERROR(__xludf.DUMMYFUNCTION("""COMPUTED_VALUE"""),2888.18)</f>
        <v>2888.18</v>
      </c>
      <c r="M160" s="33" t="str">
        <f ca="1">IFERROR(__xludf.DUMMYFUNCTION("""COMPUTED_VALUE"""),"03 ORL")</f>
        <v>03 ORL</v>
      </c>
      <c r="N160" s="33" t="str">
        <f ca="1">IFERROR(__xludf.DUMMYFUNCTION("""COMPUTED_VALUE"""),"06 ORL")</f>
        <v>06 ORL</v>
      </c>
      <c r="O160" s="33" t="str">
        <f ca="1">IFERROR(__xludf.DUMMYFUNCTION("""COMPUTED_VALUE"""),"Dr, Mohamed Al Rifal Al Masti")</f>
        <v>Dr, Mohamed Al Rifal Al Masti</v>
      </c>
      <c r="P160" s="33" t="str">
        <f ca="1">IFERROR(__xludf.DUMMYFUNCTION("""COMPUTED_VALUE"""),"Roberto Pereira (Galicia)")</f>
        <v>Roberto Pereira (Galicia)</v>
      </c>
    </row>
    <row r="161" spans="2:16">
      <c r="B161" s="33">
        <f ca="1">IFERROR(__xludf.DUMMYFUNCTION("""COMPUTED_VALUE"""),2025)</f>
        <v>2025</v>
      </c>
      <c r="C161" s="33">
        <f ca="1">IFERROR(__xludf.DUMMYFUNCTION("""COMPUTED_VALUE"""),2)</f>
        <v>2</v>
      </c>
      <c r="D161" s="33" t="str">
        <f ca="1">IFERROR(__xludf.DUMMYFUNCTION("""COMPUTED_VALUE"""),"NO")</f>
        <v>NO</v>
      </c>
      <c r="E161" s="33" t="str">
        <f ca="1">IFERROR(__xludf.DUMMYFUNCTION("""COMPUTED_VALUE"""),"Murcia")</f>
        <v>Murcia</v>
      </c>
      <c r="F161" s="57">
        <f ca="1">IFERROR(__xludf.DUMMYFUNCTION("""COMPUTED_VALUE"""),45693)</f>
        <v>45693</v>
      </c>
      <c r="G161" s="57">
        <f ca="1">IFERROR(__xludf.DUMMYFUNCTION("""COMPUTED_VALUE"""),45671)</f>
        <v>45671</v>
      </c>
      <c r="H161" s="33" t="str">
        <f ca="1">IFERROR(__xludf.DUMMYFUNCTION("""COMPUTED_VALUE"""),"Murcia")</f>
        <v>Murcia</v>
      </c>
      <c r="I161" s="33" t="str">
        <f ca="1">IFERROR(__xludf.DUMMYFUNCTION("""COMPUTED_VALUE"""),"C2025116111817261")</f>
        <v>C2025116111817261</v>
      </c>
      <c r="J161" s="33" t="str">
        <f ca="1">IFERROR(__xludf.DUMMYFUNCTION("""COMPUTED_VALUE"""),"JOSEFA LOPEZ GARCIA")</f>
        <v>JOSEFA LOPEZ GARCIA</v>
      </c>
      <c r="K161" s="33">
        <f ca="1">IFERROR(__xludf.DUMMYFUNCTION("""COMPUTED_VALUE"""),1)</f>
        <v>1</v>
      </c>
      <c r="L161" s="203">
        <f ca="1">IFERROR(__xludf.DUMMYFUNCTION("""COMPUTED_VALUE"""),2226.36)</f>
        <v>2226.36</v>
      </c>
      <c r="M161" s="33" t="str">
        <f ca="1">IFERROR(__xludf.DUMMYFUNCTION("""COMPUTED_VALUE"""),"03 ORL")</f>
        <v>03 ORL</v>
      </c>
      <c r="N161" s="33" t="str">
        <f ca="1">IFERROR(__xludf.DUMMYFUNCTION("""COMPUTED_VALUE"""),"06 ORL")</f>
        <v>06 ORL</v>
      </c>
      <c r="O161" s="33" t="str">
        <f ca="1">IFERROR(__xludf.DUMMYFUNCTION("""COMPUTED_VALUE"""),"Dra, Aida Aviñoa Arias")</f>
        <v>Dra, Aida Aviñoa Arias</v>
      </c>
      <c r="P161" s="33" t="str">
        <f ca="1">IFERROR(__xludf.DUMMYFUNCTION("""COMPUTED_VALUE"""),"Iván Sánchez (Levante Y Albacete)")</f>
        <v>Iván Sánchez (Levante Y Albacete)</v>
      </c>
    </row>
    <row r="162" spans="2:16">
      <c r="B162" s="33">
        <f ca="1">IFERROR(__xludf.DUMMYFUNCTION("""COMPUTED_VALUE"""),2025)</f>
        <v>2025</v>
      </c>
      <c r="C162" s="33">
        <f ca="1">IFERROR(__xludf.DUMMYFUNCTION("""COMPUTED_VALUE"""),2)</f>
        <v>2</v>
      </c>
      <c r="D162" s="33" t="str">
        <f ca="1">IFERROR(__xludf.DUMMYFUNCTION("""COMPUTED_VALUE"""),"NO")</f>
        <v>NO</v>
      </c>
      <c r="E162" s="33" t="str">
        <f ca="1">IFERROR(__xludf.DUMMYFUNCTION("""COMPUTED_VALUE"""),"Oviedo")</f>
        <v>Oviedo</v>
      </c>
      <c r="F162" s="57">
        <f ca="1">IFERROR(__xludf.DUMMYFUNCTION("""COMPUTED_VALUE"""),45694)</f>
        <v>45694</v>
      </c>
      <c r="G162" s="57">
        <f ca="1">IFERROR(__xludf.DUMMYFUNCTION("""COMPUTED_VALUE"""),45609)</f>
        <v>45609</v>
      </c>
      <c r="H162" s="33" t="str">
        <f ca="1">IFERROR(__xludf.DUMMYFUNCTION("""COMPUTED_VALUE"""),"Oviedo")</f>
        <v>Oviedo</v>
      </c>
      <c r="I162" s="33" t="str">
        <f ca="1">IFERROR(__xludf.DUMMYFUNCTION("""COMPUTED_VALUE"""),"C20241114181152293")</f>
        <v>C20241114181152293</v>
      </c>
      <c r="J162" s="33" t="str">
        <f ca="1">IFERROR(__xludf.DUMMYFUNCTION("""COMPUTED_VALUE"""),"MARIA JESÚS CARDO GARCÍA")</f>
        <v>MARIA JESÚS CARDO GARCÍA</v>
      </c>
      <c r="K162" s="33">
        <f ca="1">IFERROR(__xludf.DUMMYFUNCTION("""COMPUTED_VALUE"""),2)</f>
        <v>2</v>
      </c>
      <c r="L162" s="203">
        <f ca="1">IFERROR(__xludf.DUMMYFUNCTION("""COMPUTED_VALUE"""),4000)</f>
        <v>4000</v>
      </c>
      <c r="M162" s="33" t="str">
        <f ca="1">IFERROR(__xludf.DUMMYFUNCTION("""COMPUTED_VALUE"""),"03 ORL")</f>
        <v>03 ORL</v>
      </c>
      <c r="N162" s="33" t="str">
        <f ca="1">IFERROR(__xludf.DUMMYFUNCTION("""COMPUTED_VALUE"""),"06 ORL")</f>
        <v>06 ORL</v>
      </c>
      <c r="O162" s="33" t="str">
        <f ca="1">IFERROR(__xludf.DUMMYFUNCTION("""COMPUTED_VALUE"""),"Dr, Pedro Barthe García")</f>
        <v>Dr, Pedro Barthe García</v>
      </c>
      <c r="P162" s="33" t="str">
        <f ca="1">IFERROR(__xludf.DUMMYFUNCTION("""COMPUTED_VALUE"""),"Alberto Moreno")</f>
        <v>Alberto Moreno</v>
      </c>
    </row>
    <row r="163" spans="2:16">
      <c r="B163" s="33">
        <f ca="1">IFERROR(__xludf.DUMMYFUNCTION("""COMPUTED_VALUE"""),2025)</f>
        <v>2025</v>
      </c>
      <c r="C163" s="33">
        <f ca="1">IFERROR(__xludf.DUMMYFUNCTION("""COMPUTED_VALUE"""),2)</f>
        <v>2</v>
      </c>
      <c r="D163" s="33" t="str">
        <f ca="1">IFERROR(__xludf.DUMMYFUNCTION("""COMPUTED_VALUE"""),"NO")</f>
        <v>NO</v>
      </c>
      <c r="E163" s="33" t="str">
        <f ca="1">IFERROR(__xludf.DUMMYFUNCTION("""COMPUTED_VALUE"""),"Madrid- Canillas")</f>
        <v>Madrid- Canillas</v>
      </c>
      <c r="F163" s="57">
        <f ca="1">IFERROR(__xludf.DUMMYFUNCTION("""COMPUTED_VALUE"""),45694)</f>
        <v>45694</v>
      </c>
      <c r="G163" s="57">
        <f ca="1">IFERROR(__xludf.DUMMYFUNCTION("""COMPUTED_VALUE"""),45667)</f>
        <v>45667</v>
      </c>
      <c r="H163" s="33" t="str">
        <f ca="1">IFERROR(__xludf.DUMMYFUNCTION("""COMPUTED_VALUE"""),"Canillas")</f>
        <v>Canillas</v>
      </c>
      <c r="I163" s="33" t="str">
        <f ca="1">IFERROR(__xludf.DUMMYFUNCTION("""COMPUTED_VALUE"""),"C2025121103340611")</f>
        <v>C2025121103340611</v>
      </c>
      <c r="J163" s="33" t="str">
        <f ca="1">IFERROR(__xludf.DUMMYFUNCTION("""COMPUTED_VALUE"""),"ÁNGEL SEGOVIA CORREAL")</f>
        <v>ÁNGEL SEGOVIA CORREAL</v>
      </c>
      <c r="K163" s="33">
        <f ca="1">IFERROR(__xludf.DUMMYFUNCTION("""COMPUTED_VALUE"""),2)</f>
        <v>2</v>
      </c>
      <c r="L163" s="203">
        <f ca="1">IFERROR(__xludf.DUMMYFUNCTION("""COMPUTED_VALUE"""),4000)</f>
        <v>4000</v>
      </c>
      <c r="M163" s="33" t="str">
        <f ca="1">IFERROR(__xludf.DUMMYFUNCTION("""COMPUTED_VALUE"""),"03 ORL")</f>
        <v>03 ORL</v>
      </c>
      <c r="N163" s="33" t="str">
        <f ca="1">IFERROR(__xludf.DUMMYFUNCTION("""COMPUTED_VALUE"""),"06 ORL")</f>
        <v>06 ORL</v>
      </c>
      <c r="O163" s="33" t="str">
        <f ca="1">IFERROR(__xludf.DUMMYFUNCTION("""COMPUTED_VALUE"""),"Dr, Alfonso Santamaría Gadea")</f>
        <v>Dr, Alfonso Santamaría Gadea</v>
      </c>
      <c r="P163" s="33" t="str">
        <f ca="1">IFERROR(__xludf.DUMMYFUNCTION("""COMPUTED_VALUE"""),"Maika Blázquez (Madrid)")</f>
        <v>Maika Blázquez (Madrid)</v>
      </c>
    </row>
    <row r="164" spans="2:16">
      <c r="B164" s="33">
        <f ca="1">IFERROR(__xludf.DUMMYFUNCTION("""COMPUTED_VALUE"""),2025)</f>
        <v>2025</v>
      </c>
      <c r="C164" s="33">
        <f ca="1">IFERROR(__xludf.DUMMYFUNCTION("""COMPUTED_VALUE"""),2)</f>
        <v>2</v>
      </c>
      <c r="D164" s="33" t="str">
        <f ca="1">IFERROR(__xludf.DUMMYFUNCTION("""COMPUTED_VALUE"""),"NO")</f>
        <v>NO</v>
      </c>
      <c r="E164" s="33" t="str">
        <f ca="1">IFERROR(__xludf.DUMMYFUNCTION("""COMPUTED_VALUE"""),"Sevilla- Montoto")</f>
        <v>Sevilla- Montoto</v>
      </c>
      <c r="F164" s="57">
        <f ca="1">IFERROR(__xludf.DUMMYFUNCTION("""COMPUTED_VALUE"""),45694)</f>
        <v>45694</v>
      </c>
      <c r="G164" s="57">
        <f ca="1">IFERROR(__xludf.DUMMYFUNCTION("""COMPUTED_VALUE"""),45670)</f>
        <v>45670</v>
      </c>
      <c r="H164" s="33" t="str">
        <f ca="1">IFERROR(__xludf.DUMMYFUNCTION("""COMPUTED_VALUE"""),"Montoto")</f>
        <v>Montoto</v>
      </c>
      <c r="I164" s="33" t="str">
        <f ca="1">IFERROR(__xludf.DUMMYFUNCTION("""COMPUTED_VALUE"""),"C202511510254443")</f>
        <v>C202511510254443</v>
      </c>
      <c r="J164" s="33" t="str">
        <f ca="1">IFERROR(__xludf.DUMMYFUNCTION("""COMPUTED_VALUE"""),"ROSARIO CARMONA LLANO")</f>
        <v>ROSARIO CARMONA LLANO</v>
      </c>
      <c r="K164" s="33">
        <f ca="1">IFERROR(__xludf.DUMMYFUNCTION("""COMPUTED_VALUE"""),1)</f>
        <v>1</v>
      </c>
      <c r="L164" s="203">
        <f ca="1">IFERROR(__xludf.DUMMYFUNCTION("""COMPUTED_VALUE"""),2509.09)</f>
        <v>2509.09</v>
      </c>
      <c r="M164" s="33" t="str">
        <f ca="1">IFERROR(__xludf.DUMMYFUNCTION("""COMPUTED_VALUE"""),"03 ORL")</f>
        <v>03 ORL</v>
      </c>
      <c r="N164" s="33" t="str">
        <f ca="1">IFERROR(__xludf.DUMMYFUNCTION("""COMPUTED_VALUE"""),"06 ORL")</f>
        <v>06 ORL</v>
      </c>
      <c r="O164" s="33" t="str">
        <f ca="1">IFERROR(__xludf.DUMMYFUNCTION("""COMPUTED_VALUE"""),"Dr, Antonio Gandúl Merchán")</f>
        <v>Dr, Antonio Gandúl Merchán</v>
      </c>
      <c r="P164" s="33" t="str">
        <f ca="1">IFERROR(__xludf.DUMMYFUNCTION("""COMPUTED_VALUE"""),"Luis Alberto Rodríguez (Andalucía Y Badajoz)")</f>
        <v>Luis Alberto Rodríguez (Andalucía Y Badajoz)</v>
      </c>
    </row>
    <row r="165" spans="2:16">
      <c r="B165" s="33">
        <f ca="1">IFERROR(__xludf.DUMMYFUNCTION("""COMPUTED_VALUE"""),2025)</f>
        <v>2025</v>
      </c>
      <c r="C165" s="33">
        <f ca="1">IFERROR(__xludf.DUMMYFUNCTION("""COMPUTED_VALUE"""),2)</f>
        <v>2</v>
      </c>
      <c r="D165" s="33" t="str">
        <f ca="1">IFERROR(__xludf.DUMMYFUNCTION("""COMPUTED_VALUE"""),"NO")</f>
        <v>NO</v>
      </c>
      <c r="E165" s="33" t="str">
        <f ca="1">IFERROR(__xludf.DUMMYFUNCTION("""COMPUTED_VALUE"""),"Madrid- Monforte de Lemos")</f>
        <v>Madrid- Monforte de Lemos</v>
      </c>
      <c r="F165" s="57">
        <f ca="1">IFERROR(__xludf.DUMMYFUNCTION("""COMPUTED_VALUE"""),45694)</f>
        <v>45694</v>
      </c>
      <c r="G165" s="57">
        <f ca="1">IFERROR(__xludf.DUMMYFUNCTION("""COMPUTED_VALUE"""),45670)</f>
        <v>45670</v>
      </c>
      <c r="H165" s="33" t="str">
        <f ca="1">IFERROR(__xludf.DUMMYFUNCTION("""COMPUTED_VALUE"""),"La Vaguada")</f>
        <v>La Vaguada</v>
      </c>
      <c r="I165" s="33" t="str">
        <f ca="1">IFERROR(__xludf.DUMMYFUNCTION("""COMPUTED_VALUE"""),"C2025116164241362")</f>
        <v>C2025116164241362</v>
      </c>
      <c r="J165" s="33" t="str">
        <f ca="1">IFERROR(__xludf.DUMMYFUNCTION("""COMPUTED_VALUE"""),"FELIPE GALAN GARCIA")</f>
        <v>FELIPE GALAN GARCIA</v>
      </c>
      <c r="K165" s="33">
        <f ca="1">IFERROR(__xludf.DUMMYFUNCTION("""COMPUTED_VALUE"""),2)</f>
        <v>2</v>
      </c>
      <c r="L165" s="203">
        <f ca="1">IFERROR(__xludf.DUMMYFUNCTION("""COMPUTED_VALUE"""),4000)</f>
        <v>4000</v>
      </c>
      <c r="M165" s="33" t="str">
        <f ca="1">IFERROR(__xludf.DUMMYFUNCTION("""COMPUTED_VALUE"""),"03 ORL")</f>
        <v>03 ORL</v>
      </c>
      <c r="N165" s="33" t="str">
        <f ca="1">IFERROR(__xludf.DUMMYFUNCTION("""COMPUTED_VALUE"""),"06 ORL")</f>
        <v>06 ORL</v>
      </c>
      <c r="O165" s="33" t="str">
        <f ca="1">IFERROR(__xludf.DUMMYFUNCTION("""COMPUTED_VALUE"""),"Dr, Joaquín Alacio Casero")</f>
        <v>Dr, Joaquín Alacio Casero</v>
      </c>
      <c r="P165" s="33" t="str">
        <f ca="1">IFERROR(__xludf.DUMMYFUNCTION("""COMPUTED_VALUE"""),"Maika Blázquez (Madrid)")</f>
        <v>Maika Blázquez (Madrid)</v>
      </c>
    </row>
    <row r="166" spans="2:16">
      <c r="B166" s="33">
        <f ca="1">IFERROR(__xludf.DUMMYFUNCTION("""COMPUTED_VALUE"""),2025)</f>
        <v>2025</v>
      </c>
      <c r="C166" s="33">
        <f ca="1">IFERROR(__xludf.DUMMYFUNCTION("""COMPUTED_VALUE"""),2)</f>
        <v>2</v>
      </c>
      <c r="D166" s="33" t="str">
        <f ca="1">IFERROR(__xludf.DUMMYFUNCTION("""COMPUTED_VALUE"""),"NO")</f>
        <v>NO</v>
      </c>
      <c r="E166" s="33" t="str">
        <f ca="1">IFERROR(__xludf.DUMMYFUNCTION("""COMPUTED_VALUE"""),"Madrid- Monforte de Lemos")</f>
        <v>Madrid- Monforte de Lemos</v>
      </c>
      <c r="F166" s="57">
        <f ca="1">IFERROR(__xludf.DUMMYFUNCTION("""COMPUTED_VALUE"""),45694)</f>
        <v>45694</v>
      </c>
      <c r="G166" s="57">
        <f ca="1">IFERROR(__xludf.DUMMYFUNCTION("""COMPUTED_VALUE"""),45672)</f>
        <v>45672</v>
      </c>
      <c r="H166" s="33" t="str">
        <f ca="1">IFERROR(__xludf.DUMMYFUNCTION("""COMPUTED_VALUE"""),"La Vaguada")</f>
        <v>La Vaguada</v>
      </c>
      <c r="I166" s="33" t="str">
        <f ca="1">IFERROR(__xludf.DUMMYFUNCTION("""COMPUTED_VALUE"""),"C2025116164835760")</f>
        <v>C2025116164835760</v>
      </c>
      <c r="J166" s="33" t="str">
        <f ca="1">IFERROR(__xludf.DUMMYFUNCTION("""COMPUTED_VALUE"""),"MARIA REMEDIOS PULIDO CORBACHO")</f>
        <v>MARIA REMEDIOS PULIDO CORBACHO</v>
      </c>
      <c r="K166" s="33">
        <f ca="1">IFERROR(__xludf.DUMMYFUNCTION("""COMPUTED_VALUE"""),2)</f>
        <v>2</v>
      </c>
      <c r="L166" s="203">
        <f ca="1">IFERROR(__xludf.DUMMYFUNCTION("""COMPUTED_VALUE"""),4000)</f>
        <v>4000</v>
      </c>
      <c r="M166" s="33" t="str">
        <f ca="1">IFERROR(__xludf.DUMMYFUNCTION("""COMPUTED_VALUE"""),"04 TIENDA")</f>
        <v>04 TIENDA</v>
      </c>
      <c r="N166" s="33" t="str">
        <f ca="1">IFERROR(__xludf.DUMMYFUNCTION("""COMPUTED_VALUE"""),"07 BOCA/BOCA")</f>
        <v>07 BOCA/BOCA</v>
      </c>
      <c r="O166" s="33" t="str">
        <f ca="1">IFERROR(__xludf.DUMMYFUNCTION("""COMPUTED_VALUE"""),"Dr, Joaquín Alacio Casero")</f>
        <v>Dr, Joaquín Alacio Casero</v>
      </c>
      <c r="P166" s="33" t="str">
        <f ca="1">IFERROR(__xludf.DUMMYFUNCTION("""COMPUTED_VALUE"""),"Maika Blázquez (Madrid)")</f>
        <v>Maika Blázquez (Madrid)</v>
      </c>
    </row>
    <row r="167" spans="2:16">
      <c r="B167" s="33">
        <f ca="1">IFERROR(__xludf.DUMMYFUNCTION("""COMPUTED_VALUE"""),2025)</f>
        <v>2025</v>
      </c>
      <c r="C167" s="33">
        <f ca="1">IFERROR(__xludf.DUMMYFUNCTION("""COMPUTED_VALUE"""),2)</f>
        <v>2</v>
      </c>
      <c r="D167" s="33" t="str">
        <f ca="1">IFERROR(__xludf.DUMMYFUNCTION("""COMPUTED_VALUE"""),"NO")</f>
        <v>NO</v>
      </c>
      <c r="E167" s="33" t="str">
        <f ca="1">IFERROR(__xludf.DUMMYFUNCTION("""COMPUTED_VALUE"""),"Albacete")</f>
        <v>Albacete</v>
      </c>
      <c r="F167" s="57">
        <f ca="1">IFERROR(__xludf.DUMMYFUNCTION("""COMPUTED_VALUE"""),45695)</f>
        <v>45695</v>
      </c>
      <c r="G167" s="57">
        <f ca="1">IFERROR(__xludf.DUMMYFUNCTION("""COMPUTED_VALUE"""),45644)</f>
        <v>45644</v>
      </c>
      <c r="H167" s="33" t="str">
        <f ca="1">IFERROR(__xludf.DUMMYFUNCTION("""COMPUTED_VALUE"""),"Albacete")</f>
        <v>Albacete</v>
      </c>
      <c r="I167" s="33" t="str">
        <f ca="1">IFERROR(__xludf.DUMMYFUNCTION("""COMPUTED_VALUE"""),"C20241218161921203")</f>
        <v>C20241218161921203</v>
      </c>
      <c r="J167" s="33" t="str">
        <f ca="1">IFERROR(__xludf.DUMMYFUNCTION("""COMPUTED_VALUE"""),"MARCA LORENZO DIAZ")</f>
        <v>MARCA LORENZO DIAZ</v>
      </c>
      <c r="K167" s="33">
        <f ca="1">IFERROR(__xludf.DUMMYFUNCTION("""COMPUTED_VALUE"""),1)</f>
        <v>1</v>
      </c>
      <c r="L167" s="203">
        <f ca="1">IFERROR(__xludf.DUMMYFUNCTION("""COMPUTED_VALUE"""),2400)</f>
        <v>2400</v>
      </c>
      <c r="M167" s="33" t="str">
        <f ca="1">IFERROR(__xludf.DUMMYFUNCTION("""COMPUTED_VALUE"""),"03 ORL")</f>
        <v>03 ORL</v>
      </c>
      <c r="N167" s="33" t="str">
        <f ca="1">IFERROR(__xludf.DUMMYFUNCTION("""COMPUTED_VALUE"""),"06 ORL")</f>
        <v>06 ORL</v>
      </c>
      <c r="O167" s="33" t="str">
        <f ca="1">IFERROR(__xludf.DUMMYFUNCTION("""COMPUTED_VALUE"""),"Dr, Javier García-Dueñas González")</f>
        <v>Dr, Javier García-Dueñas González</v>
      </c>
      <c r="P167" s="33" t="str">
        <f ca="1">IFERROR(__xludf.DUMMYFUNCTION("""COMPUTED_VALUE"""),"Iván Sánchez (Levante Y Albacete)")</f>
        <v>Iván Sánchez (Levante Y Albacete)</v>
      </c>
    </row>
    <row r="168" spans="2:16">
      <c r="B168" s="33">
        <f ca="1">IFERROR(__xludf.DUMMYFUNCTION("""COMPUTED_VALUE"""),2025)</f>
        <v>2025</v>
      </c>
      <c r="C168" s="33">
        <f ca="1">IFERROR(__xludf.DUMMYFUNCTION("""COMPUTED_VALUE"""),2)</f>
        <v>2</v>
      </c>
      <c r="D168" s="33" t="str">
        <f ca="1">IFERROR(__xludf.DUMMYFUNCTION("""COMPUTED_VALUE"""),"NO")</f>
        <v>NO</v>
      </c>
      <c r="E168" s="33" t="str">
        <f ca="1">IFERROR(__xludf.DUMMYFUNCTION("""COMPUTED_VALUE"""),"Alicante")</f>
        <v>Alicante</v>
      </c>
      <c r="F168" s="57">
        <f ca="1">IFERROR(__xludf.DUMMYFUNCTION("""COMPUTED_VALUE"""),45695)</f>
        <v>45695</v>
      </c>
      <c r="G168" s="57">
        <f ca="1">IFERROR(__xludf.DUMMYFUNCTION("""COMPUTED_VALUE"""),45672)</f>
        <v>45672</v>
      </c>
      <c r="H168" s="33" t="str">
        <f ca="1">IFERROR(__xludf.DUMMYFUNCTION("""COMPUTED_VALUE"""),"Alicante")</f>
        <v>Alicante</v>
      </c>
      <c r="I168" s="33" t="str">
        <f ca="1">IFERROR(__xludf.DUMMYFUNCTION("""COMPUTED_VALUE"""),"C202512311610793")</f>
        <v>C202512311610793</v>
      </c>
      <c r="J168" s="33" t="str">
        <f ca="1">IFERROR(__xludf.DUMMYFUNCTION("""COMPUTED_VALUE"""),"ALBA GARCÍA ALBARRACIN")</f>
        <v>ALBA GARCÍA ALBARRACIN</v>
      </c>
      <c r="K168" s="33">
        <f ca="1">IFERROR(__xludf.DUMMYFUNCTION("""COMPUTED_VALUE"""),2)</f>
        <v>2</v>
      </c>
      <c r="L168" s="203">
        <f ca="1">IFERROR(__xludf.DUMMYFUNCTION("""COMPUTED_VALUE"""),4400)</f>
        <v>4400</v>
      </c>
      <c r="M168" s="33" t="str">
        <f ca="1">IFERROR(__xludf.DUMMYFUNCTION("""COMPUTED_VALUE"""),"03 ORL")</f>
        <v>03 ORL</v>
      </c>
      <c r="N168" s="33" t="str">
        <f ca="1">IFERROR(__xludf.DUMMYFUNCTION("""COMPUTED_VALUE"""),"06 ORL")</f>
        <v>06 ORL</v>
      </c>
      <c r="O168" s="33" t="str">
        <f ca="1">IFERROR(__xludf.DUMMYFUNCTION("""COMPUTED_VALUE"""),"Dra, Isabel Menaches Guardiola")</f>
        <v>Dra, Isabel Menaches Guardiola</v>
      </c>
      <c r="P168" s="33" t="str">
        <f ca="1">IFERROR(__xludf.DUMMYFUNCTION("""COMPUTED_VALUE"""),"Iván Sánchez (Levante Y Albacete)")</f>
        <v>Iván Sánchez (Levante Y Albacete)</v>
      </c>
    </row>
    <row r="169" spans="2:16">
      <c r="B169" s="33">
        <f ca="1">IFERROR(__xludf.DUMMYFUNCTION("""COMPUTED_VALUE"""),2025)</f>
        <v>2025</v>
      </c>
      <c r="C169" s="33">
        <f ca="1">IFERROR(__xludf.DUMMYFUNCTION("""COMPUTED_VALUE"""),2)</f>
        <v>2</v>
      </c>
      <c r="D169" s="33" t="str">
        <f ca="1">IFERROR(__xludf.DUMMYFUNCTION("""COMPUTED_VALUE"""),"NO")</f>
        <v>NO</v>
      </c>
      <c r="E169" s="33" t="str">
        <f ca="1">IFERROR(__xludf.DUMMYFUNCTION("""COMPUTED_VALUE"""),"Madrid- Juan Bravo")</f>
        <v>Madrid- Juan Bravo</v>
      </c>
      <c r="F169" s="57">
        <f ca="1">IFERROR(__xludf.DUMMYFUNCTION("""COMPUTED_VALUE"""),45698)</f>
        <v>45698</v>
      </c>
      <c r="G169" s="57">
        <f ca="1">IFERROR(__xludf.DUMMYFUNCTION("""COMPUTED_VALUE"""),45615)</f>
        <v>45615</v>
      </c>
      <c r="H169" s="33" t="str">
        <f ca="1">IFERROR(__xludf.DUMMYFUNCTION("""COMPUTED_VALUE"""),"Juan Bravo")</f>
        <v>Juan Bravo</v>
      </c>
      <c r="I169" s="33" t="str">
        <f ca="1">IFERROR(__xludf.DUMMYFUNCTION("""COMPUTED_VALUE"""),"C2024112818223257")</f>
        <v>C2024112818223257</v>
      </c>
      <c r="J169" s="33" t="str">
        <f ca="1">IFERROR(__xludf.DUMMYFUNCTION("""COMPUTED_VALUE"""),"ROSA MARIA SANZ LOPEZ")</f>
        <v>ROSA MARIA SANZ LOPEZ</v>
      </c>
      <c r="K169" s="33">
        <f ca="1">IFERROR(__xludf.DUMMYFUNCTION("""COMPUTED_VALUE"""),2)</f>
        <v>2</v>
      </c>
      <c r="L169" s="203">
        <f ca="1">IFERROR(__xludf.DUMMYFUNCTION("""COMPUTED_VALUE"""),3710)</f>
        <v>3710</v>
      </c>
      <c r="M169" s="33" t="str">
        <f ca="1">IFERROR(__xludf.DUMMYFUNCTION("""COMPUTED_VALUE"""),"03 ORL")</f>
        <v>03 ORL</v>
      </c>
      <c r="N169" s="33" t="str">
        <f ca="1">IFERROR(__xludf.DUMMYFUNCTION("""COMPUTED_VALUE"""),"06 ORL")</f>
        <v>06 ORL</v>
      </c>
      <c r="O169" s="33" t="str">
        <f ca="1">IFERROR(__xludf.DUMMYFUNCTION("""COMPUTED_VALUE"""),"Dr, Francisco Javier Redondo Del Barco")</f>
        <v>Dr, Francisco Javier Redondo Del Barco</v>
      </c>
      <c r="P169" s="33" t="str">
        <f ca="1">IFERROR(__xludf.DUMMYFUNCTION("""COMPUTED_VALUE"""),"Lisandro Russian (Madrid, Cáceres, Toledo, Talavera Y Logroño)")</f>
        <v>Lisandro Russian (Madrid, Cáceres, Toledo, Talavera Y Logroño)</v>
      </c>
    </row>
    <row r="170" spans="2:16">
      <c r="B170" s="33">
        <f ca="1">IFERROR(__xludf.DUMMYFUNCTION("""COMPUTED_VALUE"""),2025)</f>
        <v>2025</v>
      </c>
      <c r="C170" s="33">
        <f ca="1">IFERROR(__xludf.DUMMYFUNCTION("""COMPUTED_VALUE"""),2)</f>
        <v>2</v>
      </c>
      <c r="D170" s="33" t="str">
        <f ca="1">IFERROR(__xludf.DUMMYFUNCTION("""COMPUTED_VALUE"""),"NO")</f>
        <v>NO</v>
      </c>
      <c r="E170" s="33" t="str">
        <f ca="1">IFERROR(__xludf.DUMMYFUNCTION("""COMPUTED_VALUE"""),"Madrid- Juan Bravo")</f>
        <v>Madrid- Juan Bravo</v>
      </c>
      <c r="F170" s="57">
        <f ca="1">IFERROR(__xludf.DUMMYFUNCTION("""COMPUTED_VALUE"""),45698)</f>
        <v>45698</v>
      </c>
      <c r="G170" s="57">
        <f ca="1">IFERROR(__xludf.DUMMYFUNCTION("""COMPUTED_VALUE"""),45639)</f>
        <v>45639</v>
      </c>
      <c r="H170" s="33" t="str">
        <f ca="1">IFERROR(__xludf.DUMMYFUNCTION("""COMPUTED_VALUE"""),"Juan Bravo")</f>
        <v>Juan Bravo</v>
      </c>
      <c r="I170" s="33" t="str">
        <f ca="1">IFERROR(__xludf.DUMMYFUNCTION("""COMPUTED_VALUE"""),"C20241220163520267")</f>
        <v>C20241220163520267</v>
      </c>
      <c r="J170" s="33" t="str">
        <f ca="1">IFERROR(__xludf.DUMMYFUNCTION("""COMPUTED_VALUE"""),"ANA MARIA ROMERO BOLIVAR")</f>
        <v>ANA MARIA ROMERO BOLIVAR</v>
      </c>
      <c r="K170" s="33">
        <f ca="1">IFERROR(__xludf.DUMMYFUNCTION("""COMPUTED_VALUE"""),1)</f>
        <v>1</v>
      </c>
      <c r="L170" s="203">
        <f ca="1">IFERROR(__xludf.DUMMYFUNCTION("""COMPUTED_VALUE"""),2508)</f>
        <v>2508</v>
      </c>
      <c r="M170" s="33" t="str">
        <f ca="1">IFERROR(__xludf.DUMMYFUNCTION("""COMPUTED_VALUE"""),"03 ORL")</f>
        <v>03 ORL</v>
      </c>
      <c r="N170" s="33" t="str">
        <f ca="1">IFERROR(__xludf.DUMMYFUNCTION("""COMPUTED_VALUE"""),"06 ORL")</f>
        <v>06 ORL</v>
      </c>
      <c r="O170" s="33" t="str">
        <f ca="1">IFERROR(__xludf.DUMMYFUNCTION("""COMPUTED_VALUE"""),"Dr, Francisco Javier Redondo Del Barco")</f>
        <v>Dr, Francisco Javier Redondo Del Barco</v>
      </c>
      <c r="P170" s="33" t="str">
        <f ca="1">IFERROR(__xludf.DUMMYFUNCTION("""COMPUTED_VALUE"""),"Lisandro Russian (Madrid, Cáceres, Toledo, Talavera Y Logroño)")</f>
        <v>Lisandro Russian (Madrid, Cáceres, Toledo, Talavera Y Logroño)</v>
      </c>
    </row>
    <row r="171" spans="2:16">
      <c r="B171" s="33">
        <f ca="1">IFERROR(__xludf.DUMMYFUNCTION("""COMPUTED_VALUE"""),2025)</f>
        <v>2025</v>
      </c>
      <c r="C171" s="33">
        <f ca="1">IFERROR(__xludf.DUMMYFUNCTION("""COMPUTED_VALUE"""),2)</f>
        <v>2</v>
      </c>
      <c r="D171" s="33" t="str">
        <f ca="1">IFERROR(__xludf.DUMMYFUNCTION("""COMPUTED_VALUE"""),"NO")</f>
        <v>NO</v>
      </c>
      <c r="E171" s="33" t="str">
        <f ca="1">IFERROR(__xludf.DUMMYFUNCTION("""COMPUTED_VALUE"""),"Madrid- La Oca")</f>
        <v>Madrid- La Oca</v>
      </c>
      <c r="F171" s="57">
        <f ca="1">IFERROR(__xludf.DUMMYFUNCTION("""COMPUTED_VALUE"""),45698)</f>
        <v>45698</v>
      </c>
      <c r="G171" s="57">
        <f ca="1">IFERROR(__xludf.DUMMYFUNCTION("""COMPUTED_VALUE"""),45679)</f>
        <v>45679</v>
      </c>
      <c r="H171" s="33" t="str">
        <f ca="1">IFERROR(__xludf.DUMMYFUNCTION("""COMPUTED_VALUE"""),"La Oca")</f>
        <v>La Oca</v>
      </c>
      <c r="I171" s="33" t="str">
        <f ca="1">IFERROR(__xludf.DUMMYFUNCTION("""COMPUTED_VALUE"""),"C202512712334642")</f>
        <v>C202512712334642</v>
      </c>
      <c r="J171" s="33" t="str">
        <f ca="1">IFERROR(__xludf.DUMMYFUNCTION("""COMPUTED_VALUE"""),"ANTONIA MARIA SANCHEZ GUISADO")</f>
        <v>ANTONIA MARIA SANCHEZ GUISADO</v>
      </c>
      <c r="K171" s="33">
        <f ca="1">IFERROR(__xludf.DUMMYFUNCTION("""COMPUTED_VALUE"""),2)</f>
        <v>2</v>
      </c>
      <c r="L171" s="203">
        <f ca="1">IFERROR(__xludf.DUMMYFUNCTION("""COMPUTED_VALUE"""),3710)</f>
        <v>3710</v>
      </c>
      <c r="M171" s="33" t="str">
        <f ca="1">IFERROR(__xludf.DUMMYFUNCTION("""COMPUTED_VALUE"""),"03 ORL")</f>
        <v>03 ORL</v>
      </c>
      <c r="N171" s="33" t="str">
        <f ca="1">IFERROR(__xludf.DUMMYFUNCTION("""COMPUTED_VALUE"""),"22 AUDIOMETRIA CLINICA")</f>
        <v>22 AUDIOMETRIA CLINICA</v>
      </c>
      <c r="O171" s="33" t="str">
        <f ca="1">IFERROR(__xludf.DUMMYFUNCTION("""COMPUTED_VALUE"""),"Dr, José Joaquín Gutiérrez Barquín")</f>
        <v>Dr, José Joaquín Gutiérrez Barquín</v>
      </c>
      <c r="P171" s="33" t="str">
        <f ca="1">IFERROR(__xludf.DUMMYFUNCTION("""COMPUTED_VALUE"""),"Maika Blázquez (Madrid)")</f>
        <v>Maika Blázquez (Madrid)</v>
      </c>
    </row>
    <row r="172" spans="2:16">
      <c r="B172" s="33">
        <f ca="1">IFERROR(__xludf.DUMMYFUNCTION("""COMPUTED_VALUE"""),2025)</f>
        <v>2025</v>
      </c>
      <c r="C172" s="33">
        <f ca="1">IFERROR(__xludf.DUMMYFUNCTION("""COMPUTED_VALUE"""),2)</f>
        <v>2</v>
      </c>
      <c r="D172" s="33" t="str">
        <f ca="1">IFERROR(__xludf.DUMMYFUNCTION("""COMPUTED_VALUE"""),"NO")</f>
        <v>NO</v>
      </c>
      <c r="E172" s="33" t="str">
        <f ca="1">IFERROR(__xludf.DUMMYFUNCTION("""COMPUTED_VALUE"""),"Almería")</f>
        <v>Almería</v>
      </c>
      <c r="F172" s="57">
        <f ca="1">IFERROR(__xludf.DUMMYFUNCTION("""COMPUTED_VALUE"""),45698)</f>
        <v>45698</v>
      </c>
      <c r="G172" s="57">
        <f ca="1">IFERROR(__xludf.DUMMYFUNCTION("""COMPUTED_VALUE"""),45681)</f>
        <v>45681</v>
      </c>
      <c r="H172" s="33" t="str">
        <f ca="1">IFERROR(__xludf.DUMMYFUNCTION("""COMPUTED_VALUE"""),"Almería")</f>
        <v>Almería</v>
      </c>
      <c r="I172" s="33" t="str">
        <f ca="1">IFERROR(__xludf.DUMMYFUNCTION("""COMPUTED_VALUE"""),"C2025129171628286")</f>
        <v>C2025129171628286</v>
      </c>
      <c r="J172" s="33" t="str">
        <f ca="1">IFERROR(__xludf.DUMMYFUNCTION("""COMPUTED_VALUE"""),"HERMINIA DEL CARMEN ZAPATA")</f>
        <v>HERMINIA DEL CARMEN ZAPATA</v>
      </c>
      <c r="K172" s="33">
        <f ca="1">IFERROR(__xludf.DUMMYFUNCTION("""COMPUTED_VALUE"""),2)</f>
        <v>2</v>
      </c>
      <c r="L172" s="203">
        <f ca="1">IFERROR(__xludf.DUMMYFUNCTION("""COMPUTED_VALUE"""),4400)</f>
        <v>4400</v>
      </c>
      <c r="M172" s="33" t="str">
        <f ca="1">IFERROR(__xludf.DUMMYFUNCTION("""COMPUTED_VALUE"""),"03 ORL")</f>
        <v>03 ORL</v>
      </c>
      <c r="N172" s="33" t="str">
        <f ca="1">IFERROR(__xludf.DUMMYFUNCTION("""COMPUTED_VALUE"""),"06 ORL")</f>
        <v>06 ORL</v>
      </c>
      <c r="O172" s="33" t="str">
        <f ca="1">IFERROR(__xludf.DUMMYFUNCTION("""COMPUTED_VALUE"""),"Dr, Antonio José Fernández Pérez")</f>
        <v>Dr, Antonio José Fernández Pérez</v>
      </c>
      <c r="P172" s="33" t="str">
        <f ca="1">IFERROR(__xludf.DUMMYFUNCTION("""COMPUTED_VALUE"""),"Ramon Ferrando(Valencia)")</f>
        <v>Ramon Ferrando(Valencia)</v>
      </c>
    </row>
    <row r="173" spans="2:16">
      <c r="B173" s="33">
        <f ca="1">IFERROR(__xludf.DUMMYFUNCTION("""COMPUTED_VALUE"""),2025)</f>
        <v>2025</v>
      </c>
      <c r="C173" s="33">
        <f ca="1">IFERROR(__xludf.DUMMYFUNCTION("""COMPUTED_VALUE"""),2)</f>
        <v>2</v>
      </c>
      <c r="D173" s="33" t="str">
        <f ca="1">IFERROR(__xludf.DUMMYFUNCTION("""COMPUTED_VALUE"""),"NO")</f>
        <v>NO</v>
      </c>
      <c r="E173" s="33" t="str">
        <f ca="1">IFERROR(__xludf.DUMMYFUNCTION("""COMPUTED_VALUE"""),"Valencia- Parra")</f>
        <v>Valencia- Parra</v>
      </c>
      <c r="F173" s="57">
        <f ca="1">IFERROR(__xludf.DUMMYFUNCTION("""COMPUTED_VALUE"""),45699)</f>
        <v>45699</v>
      </c>
      <c r="G173" s="57">
        <f ca="1">IFERROR(__xludf.DUMMYFUNCTION("""COMPUTED_VALUE"""),45666)</f>
        <v>45666</v>
      </c>
      <c r="H173" s="33" t="str">
        <f ca="1">IFERROR(__xludf.DUMMYFUNCTION("""COMPUTED_VALUE"""),"Valencia- Parra")</f>
        <v>Valencia- Parra</v>
      </c>
      <c r="I173" s="33" t="str">
        <f ca="1">IFERROR(__xludf.DUMMYFUNCTION("""COMPUTED_VALUE"""),"C2025114181113564")</f>
        <v>C2025114181113564</v>
      </c>
      <c r="J173" s="33" t="str">
        <f ca="1">IFERROR(__xludf.DUMMYFUNCTION("""COMPUTED_VALUE"""),"FRANCISCA JORDAN IBAÑEZ")</f>
        <v>FRANCISCA JORDAN IBAÑEZ</v>
      </c>
      <c r="K173" s="33">
        <f ca="1">IFERROR(__xludf.DUMMYFUNCTION("""COMPUTED_VALUE"""),2)</f>
        <v>2</v>
      </c>
      <c r="L173" s="203">
        <f ca="1">IFERROR(__xludf.DUMMYFUNCTION("""COMPUTED_VALUE"""),4000)</f>
        <v>4000</v>
      </c>
      <c r="M173" s="33" t="str">
        <f ca="1">IFERROR(__xludf.DUMMYFUNCTION("""COMPUTED_VALUE"""),"03 ORL")</f>
        <v>03 ORL</v>
      </c>
      <c r="N173" s="33" t="str">
        <f ca="1">IFERROR(__xludf.DUMMYFUNCTION("""COMPUTED_VALUE"""),"06 ORL")</f>
        <v>06 ORL</v>
      </c>
      <c r="O173" s="33" t="str">
        <f ca="1">IFERROR(__xludf.DUMMYFUNCTION("""COMPUTED_VALUE"""),"Dr, José Manuel Tamarit Conejeros")</f>
        <v>Dr, José Manuel Tamarit Conejeros</v>
      </c>
      <c r="P173" s="33" t="str">
        <f ca="1">IFERROR(__xludf.DUMMYFUNCTION("""COMPUTED_VALUE"""),"Ramon Ferrando(Valencia)")</f>
        <v>Ramon Ferrando(Valencia)</v>
      </c>
    </row>
    <row r="174" spans="2:16">
      <c r="B174" s="33">
        <f ca="1">IFERROR(__xludf.DUMMYFUNCTION("""COMPUTED_VALUE"""),2025)</f>
        <v>2025</v>
      </c>
      <c r="C174" s="33">
        <f ca="1">IFERROR(__xludf.DUMMYFUNCTION("""COMPUTED_VALUE"""),2)</f>
        <v>2</v>
      </c>
      <c r="D174" s="33" t="str">
        <f ca="1">IFERROR(__xludf.DUMMYFUNCTION("""COMPUTED_VALUE"""),"NO")</f>
        <v>NO</v>
      </c>
      <c r="E174" s="33" t="str">
        <f ca="1">IFERROR(__xludf.DUMMYFUNCTION("""COMPUTED_VALUE"""),"Madrid- Moratalaz")</f>
        <v>Madrid- Moratalaz</v>
      </c>
      <c r="F174" s="57">
        <f ca="1">IFERROR(__xludf.DUMMYFUNCTION("""COMPUTED_VALUE"""),45699)</f>
        <v>45699</v>
      </c>
      <c r="G174" s="57">
        <f ca="1">IFERROR(__xludf.DUMMYFUNCTION("""COMPUTED_VALUE"""),45671)</f>
        <v>45671</v>
      </c>
      <c r="H174" s="33" t="str">
        <f ca="1">IFERROR(__xludf.DUMMYFUNCTION("""COMPUTED_VALUE"""),"Moratalaz")</f>
        <v>Moratalaz</v>
      </c>
      <c r="I174" s="33" t="str">
        <f ca="1">IFERROR(__xludf.DUMMYFUNCTION("""COMPUTED_VALUE"""),"C202511418737208")</f>
        <v>C202511418737208</v>
      </c>
      <c r="J174" s="33" t="str">
        <f ca="1">IFERROR(__xludf.DUMMYFUNCTION("""COMPUTED_VALUE"""),"MANUEL GONZALEZ VINUESA")</f>
        <v>MANUEL GONZALEZ VINUESA</v>
      </c>
      <c r="K174" s="33">
        <f ca="1">IFERROR(__xludf.DUMMYFUNCTION("""COMPUTED_VALUE"""),2)</f>
        <v>2</v>
      </c>
      <c r="L174" s="203">
        <f ca="1">IFERROR(__xludf.DUMMYFUNCTION("""COMPUTED_VALUE"""),4000)</f>
        <v>4000</v>
      </c>
      <c r="M174" s="33" t="str">
        <f ca="1">IFERROR(__xludf.DUMMYFUNCTION("""COMPUTED_VALUE"""),"03 ORL")</f>
        <v>03 ORL</v>
      </c>
      <c r="N174" s="33" t="str">
        <f ca="1">IFERROR(__xludf.DUMMYFUNCTION("""COMPUTED_VALUE"""),"06 ORL")</f>
        <v>06 ORL</v>
      </c>
      <c r="O174" s="33" t="str">
        <f ca="1">IFERROR(__xludf.DUMMYFUNCTION("""COMPUTED_VALUE"""),"Dra, Bárbara Castillo Ávila")</f>
        <v>Dra, Bárbara Castillo Ávila</v>
      </c>
      <c r="P174" s="33" t="str">
        <f ca="1">IFERROR(__xludf.DUMMYFUNCTION("""COMPUTED_VALUE"""),"Maika Blázquez (Madrid)")</f>
        <v>Maika Blázquez (Madrid)</v>
      </c>
    </row>
    <row r="175" spans="2:16">
      <c r="B175" s="33">
        <f ca="1">IFERROR(__xludf.DUMMYFUNCTION("""COMPUTED_VALUE"""),2025)</f>
        <v>2025</v>
      </c>
      <c r="C175" s="33">
        <f ca="1">IFERROR(__xludf.DUMMYFUNCTION("""COMPUTED_VALUE"""),2)</f>
        <v>2</v>
      </c>
      <c r="D175" s="33" t="str">
        <f ca="1">IFERROR(__xludf.DUMMYFUNCTION("""COMPUTED_VALUE"""),"NO")</f>
        <v>NO</v>
      </c>
      <c r="E175" s="33" t="str">
        <f ca="1">IFERROR(__xludf.DUMMYFUNCTION("""COMPUTED_VALUE"""),"Sevilla- Montoto")</f>
        <v>Sevilla- Montoto</v>
      </c>
      <c r="F175" s="57">
        <f ca="1">IFERROR(__xludf.DUMMYFUNCTION("""COMPUTED_VALUE"""),45699)</f>
        <v>45699</v>
      </c>
      <c r="G175" s="57">
        <f ca="1">IFERROR(__xludf.DUMMYFUNCTION("""COMPUTED_VALUE"""),45677)</f>
        <v>45677</v>
      </c>
      <c r="H175" s="33" t="str">
        <f ca="1">IFERROR(__xludf.DUMMYFUNCTION("""COMPUTED_VALUE"""),"Montoto")</f>
        <v>Montoto</v>
      </c>
      <c r="I175" s="33" t="str">
        <f ca="1">IFERROR(__xludf.DUMMYFUNCTION("""COMPUTED_VALUE"""),"C2025123111345494")</f>
        <v>C2025123111345494</v>
      </c>
      <c r="J175" s="33" t="str">
        <f ca="1">IFERROR(__xludf.DUMMYFUNCTION("""COMPUTED_VALUE"""),"MARIA GRACIA CALDERON REYES")</f>
        <v>MARIA GRACIA CALDERON REYES</v>
      </c>
      <c r="K175" s="33">
        <f ca="1">IFERROR(__xludf.DUMMYFUNCTION("""COMPUTED_VALUE"""),1)</f>
        <v>1</v>
      </c>
      <c r="L175" s="203">
        <f ca="1">IFERROR(__xludf.DUMMYFUNCTION("""COMPUTED_VALUE"""),2400)</f>
        <v>2400</v>
      </c>
      <c r="M175" s="33" t="str">
        <f ca="1">IFERROR(__xludf.DUMMYFUNCTION("""COMPUTED_VALUE"""),"03 ORL")</f>
        <v>03 ORL</v>
      </c>
      <c r="N175" s="33" t="str">
        <f ca="1">IFERROR(__xludf.DUMMYFUNCTION("""COMPUTED_VALUE"""),"06 ORL")</f>
        <v>06 ORL</v>
      </c>
      <c r="O175" s="33" t="str">
        <f ca="1">IFERROR(__xludf.DUMMYFUNCTION("""COMPUTED_VALUE"""),"Dra, Estefanía Berrocal Postigo")</f>
        <v>Dra, Estefanía Berrocal Postigo</v>
      </c>
      <c r="P175" s="33" t="str">
        <f ca="1">IFERROR(__xludf.DUMMYFUNCTION("""COMPUTED_VALUE"""),"Luis Alberto Rodríguez (Andalucía Y Badajoz)")</f>
        <v>Luis Alberto Rodríguez (Andalucía Y Badajoz)</v>
      </c>
    </row>
    <row r="176" spans="2:16">
      <c r="B176" s="33">
        <f ca="1">IFERROR(__xludf.DUMMYFUNCTION("""COMPUTED_VALUE"""),2025)</f>
        <v>2025</v>
      </c>
      <c r="C176" s="33">
        <f ca="1">IFERROR(__xludf.DUMMYFUNCTION("""COMPUTED_VALUE"""),2)</f>
        <v>2</v>
      </c>
      <c r="D176" s="33" t="str">
        <f ca="1">IFERROR(__xludf.DUMMYFUNCTION("""COMPUTED_VALUE"""),"NO")</f>
        <v>NO</v>
      </c>
      <c r="E176" s="33" t="str">
        <f ca="1">IFERROR(__xludf.DUMMYFUNCTION("""COMPUTED_VALUE"""),"Valencia- Parra")</f>
        <v>Valencia- Parra</v>
      </c>
      <c r="F176" s="57">
        <f ca="1">IFERROR(__xludf.DUMMYFUNCTION("""COMPUTED_VALUE"""),45700)</f>
        <v>45700</v>
      </c>
      <c r="G176" s="57">
        <f ca="1">IFERROR(__xludf.DUMMYFUNCTION("""COMPUTED_VALUE"""),45667)</f>
        <v>45667</v>
      </c>
      <c r="H176" s="33" t="str">
        <f ca="1">IFERROR(__xludf.DUMMYFUNCTION("""COMPUTED_VALUE"""),"Valencia- Parra")</f>
        <v>Valencia- Parra</v>
      </c>
      <c r="I176" s="33" t="str">
        <f ca="1">IFERROR(__xludf.DUMMYFUNCTION("""COMPUTED_VALUE"""),"C2025114163838863")</f>
        <v>C2025114163838863</v>
      </c>
      <c r="J176" s="33" t="str">
        <f ca="1">IFERROR(__xludf.DUMMYFUNCTION("""COMPUTED_VALUE"""),"MIGUEL ALBARRACIN DOMINGUEZ")</f>
        <v>MIGUEL ALBARRACIN DOMINGUEZ</v>
      </c>
      <c r="K176" s="33">
        <f ca="1">IFERROR(__xludf.DUMMYFUNCTION("""COMPUTED_VALUE"""),2)</f>
        <v>2</v>
      </c>
      <c r="L176" s="203">
        <f ca="1">IFERROR(__xludf.DUMMYFUNCTION("""COMPUTED_VALUE"""),4000)</f>
        <v>4000</v>
      </c>
      <c r="M176" s="33" t="str">
        <f ca="1">IFERROR(__xludf.DUMMYFUNCTION("""COMPUTED_VALUE"""),"03 ORL")</f>
        <v>03 ORL</v>
      </c>
      <c r="N176" s="33" t="str">
        <f ca="1">IFERROR(__xludf.DUMMYFUNCTION("""COMPUTED_VALUE"""),"06 ORL")</f>
        <v>06 ORL</v>
      </c>
      <c r="O176" s="33" t="str">
        <f ca="1">IFERROR(__xludf.DUMMYFUNCTION("""COMPUTED_VALUE"""),"Dr, Manuel Mateos Fernández")</f>
        <v>Dr, Manuel Mateos Fernández</v>
      </c>
      <c r="P176" s="33" t="str">
        <f ca="1">IFERROR(__xludf.DUMMYFUNCTION("""COMPUTED_VALUE"""),"Ramon Ferrando(Valencia)")</f>
        <v>Ramon Ferrando(Valencia)</v>
      </c>
    </row>
    <row r="177" spans="2:16">
      <c r="B177" s="33">
        <f ca="1">IFERROR(__xludf.DUMMYFUNCTION("""COMPUTED_VALUE"""),2025)</f>
        <v>2025</v>
      </c>
      <c r="C177" s="33">
        <f ca="1">IFERROR(__xludf.DUMMYFUNCTION("""COMPUTED_VALUE"""),2)</f>
        <v>2</v>
      </c>
      <c r="D177" s="33" t="str">
        <f ca="1">IFERROR(__xludf.DUMMYFUNCTION("""COMPUTED_VALUE"""),"NO")</f>
        <v>NO</v>
      </c>
      <c r="E177" s="33" t="str">
        <f ca="1">IFERROR(__xludf.DUMMYFUNCTION("""COMPUTED_VALUE"""),"Lugo")</f>
        <v>Lugo</v>
      </c>
      <c r="F177" s="57">
        <f ca="1">IFERROR(__xludf.DUMMYFUNCTION("""COMPUTED_VALUE"""),45700)</f>
        <v>45700</v>
      </c>
      <c r="G177" s="57">
        <f ca="1">IFERROR(__xludf.DUMMYFUNCTION("""COMPUTED_VALUE"""),45677)</f>
        <v>45677</v>
      </c>
      <c r="H177" s="33" t="str">
        <f ca="1">IFERROR(__xludf.DUMMYFUNCTION("""COMPUTED_VALUE"""),"Lugo")</f>
        <v>Lugo</v>
      </c>
      <c r="I177" s="33" t="str">
        <f ca="1">IFERROR(__xludf.DUMMYFUNCTION("""COMPUTED_VALUE"""),"C202512416465378")</f>
        <v>C202512416465378</v>
      </c>
      <c r="J177" s="33" t="str">
        <f ca="1">IFERROR(__xludf.DUMMYFUNCTION("""COMPUTED_VALUE"""),"JESUS LUIS FREIRE ANIDO")</f>
        <v>JESUS LUIS FREIRE ANIDO</v>
      </c>
      <c r="K177" s="33">
        <f ca="1">IFERROR(__xludf.DUMMYFUNCTION("""COMPUTED_VALUE"""),2)</f>
        <v>2</v>
      </c>
      <c r="L177" s="203">
        <f ca="1">IFERROR(__xludf.DUMMYFUNCTION("""COMPUTED_VALUE"""),2888.18)</f>
        <v>2888.18</v>
      </c>
      <c r="M177" s="33" t="str">
        <f ca="1">IFERROR(__xludf.DUMMYFUNCTION("""COMPUTED_VALUE"""),"03 ORL")</f>
        <v>03 ORL</v>
      </c>
      <c r="N177" s="33" t="str">
        <f ca="1">IFERROR(__xludf.DUMMYFUNCTION("""COMPUTED_VALUE"""),"06 ORL")</f>
        <v>06 ORL</v>
      </c>
      <c r="O177" s="33" t="str">
        <f ca="1">IFERROR(__xludf.DUMMYFUNCTION("""COMPUTED_VALUE"""),"Dr, Pedro Juiz López")</f>
        <v>Dr, Pedro Juiz López</v>
      </c>
      <c r="P177" s="33" t="str">
        <f ca="1">IFERROR(__xludf.DUMMYFUNCTION("""COMPUTED_VALUE"""),"Roberto Pereira (Galicia)")</f>
        <v>Roberto Pereira (Galicia)</v>
      </c>
    </row>
    <row r="178" spans="2:16">
      <c r="B178" s="33">
        <f ca="1">IFERROR(__xludf.DUMMYFUNCTION("""COMPUTED_VALUE"""),2025)</f>
        <v>2025</v>
      </c>
      <c r="C178" s="33">
        <f ca="1">IFERROR(__xludf.DUMMYFUNCTION("""COMPUTED_VALUE"""),2)</f>
        <v>2</v>
      </c>
      <c r="D178" s="33" t="str">
        <f ca="1">IFERROR(__xludf.DUMMYFUNCTION("""COMPUTED_VALUE"""),"NO")</f>
        <v>NO</v>
      </c>
      <c r="E178" s="33" t="str">
        <f ca="1">IFERROR(__xludf.DUMMYFUNCTION("""COMPUTED_VALUE"""),"Madrid- Canillas")</f>
        <v>Madrid- Canillas</v>
      </c>
      <c r="F178" s="57">
        <f ca="1">IFERROR(__xludf.DUMMYFUNCTION("""COMPUTED_VALUE"""),45700)</f>
        <v>45700</v>
      </c>
      <c r="G178" s="57">
        <f ca="1">IFERROR(__xludf.DUMMYFUNCTION("""COMPUTED_VALUE"""),45674)</f>
        <v>45674</v>
      </c>
      <c r="H178" s="33" t="str">
        <f ca="1">IFERROR(__xludf.DUMMYFUNCTION("""COMPUTED_VALUE"""),"Canillas")</f>
        <v>Canillas</v>
      </c>
      <c r="I178" s="33" t="str">
        <f ca="1">IFERROR(__xludf.DUMMYFUNCTION("""COMPUTED_VALUE"""),"C2025124115141405")</f>
        <v>C2025124115141405</v>
      </c>
      <c r="J178" s="33" t="str">
        <f ca="1">IFERROR(__xludf.DUMMYFUNCTION("""COMPUTED_VALUE"""),"JOSE MARIA DEL RIO DEL RIO")</f>
        <v>JOSE MARIA DEL RIO DEL RIO</v>
      </c>
      <c r="K178" s="33">
        <f ca="1">IFERROR(__xludf.DUMMYFUNCTION("""COMPUTED_VALUE"""),2)</f>
        <v>2</v>
      </c>
      <c r="L178" s="203">
        <f ca="1">IFERROR(__xludf.DUMMYFUNCTION("""COMPUTED_VALUE"""),3800)</f>
        <v>3800</v>
      </c>
      <c r="M178" s="33" t="str">
        <f ca="1">IFERROR(__xludf.DUMMYFUNCTION("""COMPUTED_VALUE"""),"03 ORL")</f>
        <v>03 ORL</v>
      </c>
      <c r="N178" s="33" t="str">
        <f ca="1">IFERROR(__xludf.DUMMYFUNCTION("""COMPUTED_VALUE"""),"06 ORL")</f>
        <v>06 ORL</v>
      </c>
      <c r="O178" s="1" t="str">
        <f ca="1">IFERROR(__xludf.DUMMYFUNCTION("""COMPUTED_VALUE"""),"Dr, José Gustavo Barroso Braojos")</f>
        <v>Dr, José Gustavo Barroso Braojos</v>
      </c>
      <c r="P178" s="33" t="str">
        <f ca="1">IFERROR(__xludf.DUMMYFUNCTION("""COMPUTED_VALUE"""),"Maika Blázquez (Madrid)")</f>
        <v>Maika Blázquez (Madrid)</v>
      </c>
    </row>
    <row r="179" spans="2:16">
      <c r="B179" s="33">
        <f ca="1">IFERROR(__xludf.DUMMYFUNCTION("""COMPUTED_VALUE"""),2025)</f>
        <v>2025</v>
      </c>
      <c r="C179" s="33">
        <f ca="1">IFERROR(__xludf.DUMMYFUNCTION("""COMPUTED_VALUE"""),2)</f>
        <v>2</v>
      </c>
      <c r="D179" s="33" t="str">
        <f ca="1">IFERROR(__xludf.DUMMYFUNCTION("""COMPUTED_VALUE"""),"NO")</f>
        <v>NO</v>
      </c>
      <c r="E179" s="33" t="str">
        <f ca="1">IFERROR(__xludf.DUMMYFUNCTION("""COMPUTED_VALUE"""),"Alicante")</f>
        <v>Alicante</v>
      </c>
      <c r="F179" s="57">
        <f ca="1">IFERROR(__xludf.DUMMYFUNCTION("""COMPUTED_VALUE"""),45700)</f>
        <v>45700</v>
      </c>
      <c r="G179" s="57">
        <f ca="1">IFERROR(__xludf.DUMMYFUNCTION("""COMPUTED_VALUE"""),45678)</f>
        <v>45678</v>
      </c>
      <c r="H179" s="33" t="str">
        <f ca="1">IFERROR(__xludf.DUMMYFUNCTION("""COMPUTED_VALUE"""),"Alicante")</f>
        <v>Alicante</v>
      </c>
      <c r="I179" s="33" t="str">
        <f ca="1">IFERROR(__xludf.DUMMYFUNCTION("""COMPUTED_VALUE"""),"C2025127152347878")</f>
        <v>C2025127152347878</v>
      </c>
      <c r="J179" s="33" t="str">
        <f ca="1">IFERROR(__xludf.DUMMYFUNCTION("""COMPUTED_VALUE"""),"JUAN FRANCISCO FUENTES BORDAS")</f>
        <v>JUAN FRANCISCO FUENTES BORDAS</v>
      </c>
      <c r="K179" s="33">
        <f ca="1">IFERROR(__xludf.DUMMYFUNCTION("""COMPUTED_VALUE"""),2)</f>
        <v>2</v>
      </c>
      <c r="L179" s="203">
        <f ca="1">IFERROR(__xludf.DUMMYFUNCTION("""COMPUTED_VALUE"""),3710)</f>
        <v>3710</v>
      </c>
      <c r="M179" s="33" t="str">
        <f ca="1">IFERROR(__xludf.DUMMYFUNCTION("""COMPUTED_VALUE"""),"03 ORL")</f>
        <v>03 ORL</v>
      </c>
      <c r="N179" s="33" t="str">
        <f ca="1">IFERROR(__xludf.DUMMYFUNCTION("""COMPUTED_VALUE"""),"06 ORL")</f>
        <v>06 ORL</v>
      </c>
      <c r="O179" s="33" t="str">
        <f ca="1">IFERROR(__xludf.DUMMYFUNCTION("""COMPUTED_VALUE"""),"Dr, Francisco Pastor Beviá")</f>
        <v>Dr, Francisco Pastor Beviá</v>
      </c>
      <c r="P179" s="33" t="str">
        <f ca="1">IFERROR(__xludf.DUMMYFUNCTION("""COMPUTED_VALUE"""),"Iván Sánchez (Levante Y Albacete)")</f>
        <v>Iván Sánchez (Levante Y Albacete)</v>
      </c>
    </row>
    <row r="180" spans="2:16">
      <c r="B180" s="33">
        <f ca="1">IFERROR(__xludf.DUMMYFUNCTION("""COMPUTED_VALUE"""),2025)</f>
        <v>2025</v>
      </c>
      <c r="C180" s="33">
        <f ca="1">IFERROR(__xludf.DUMMYFUNCTION("""COMPUTED_VALUE"""),2)</f>
        <v>2</v>
      </c>
      <c r="D180" s="33" t="str">
        <f ca="1">IFERROR(__xludf.DUMMYFUNCTION("""COMPUTED_VALUE"""),"NO")</f>
        <v>NO</v>
      </c>
      <c r="E180" s="33" t="str">
        <f ca="1">IFERROR(__xludf.DUMMYFUNCTION("""COMPUTED_VALUE"""),"Alicante")</f>
        <v>Alicante</v>
      </c>
      <c r="F180" s="57">
        <f ca="1">IFERROR(__xludf.DUMMYFUNCTION("""COMPUTED_VALUE"""),45700)</f>
        <v>45700</v>
      </c>
      <c r="G180" s="57">
        <f ca="1">IFERROR(__xludf.DUMMYFUNCTION("""COMPUTED_VALUE"""),45677)</f>
        <v>45677</v>
      </c>
      <c r="H180" s="33" t="str">
        <f ca="1">IFERROR(__xludf.DUMMYFUNCTION("""COMPUTED_VALUE"""),"Alicante")</f>
        <v>Alicante</v>
      </c>
      <c r="I180" s="33" t="str">
        <f ca="1">IFERROR(__xludf.DUMMYFUNCTION("""COMPUTED_VALUE"""),"C20251291168434")</f>
        <v>C20251291168434</v>
      </c>
      <c r="J180" s="33" t="str">
        <f ca="1">IFERROR(__xludf.DUMMYFUNCTION("""COMPUTED_VALUE"""),"JUAN MANUEL MONTAHUD ESPI")</f>
        <v>JUAN MANUEL MONTAHUD ESPI</v>
      </c>
      <c r="K180" s="33">
        <f ca="1">IFERROR(__xludf.DUMMYFUNCTION("""COMPUTED_VALUE"""),2)</f>
        <v>2</v>
      </c>
      <c r="L180" s="203">
        <f ca="1">IFERROR(__xludf.DUMMYFUNCTION("""COMPUTED_VALUE"""),3710)</f>
        <v>3710</v>
      </c>
      <c r="M180" s="33" t="str">
        <f ca="1">IFERROR(__xludf.DUMMYFUNCTION("""COMPUTED_VALUE"""),"03 ORL")</f>
        <v>03 ORL</v>
      </c>
      <c r="N180" s="33" t="str">
        <f ca="1">IFERROR(__xludf.DUMMYFUNCTION("""COMPUTED_VALUE"""),"06 ORL")</f>
        <v>06 ORL</v>
      </c>
      <c r="O180" s="33" t="str">
        <f ca="1">IFERROR(__xludf.DUMMYFUNCTION("""COMPUTED_VALUE"""),"Dra, Mónica Rodríguez Valero")</f>
        <v>Dra, Mónica Rodríguez Valero</v>
      </c>
      <c r="P180" s="33" t="str">
        <f ca="1">IFERROR(__xludf.DUMMYFUNCTION("""COMPUTED_VALUE"""),"Iván Sánchez (Levante Y Albacete)")</f>
        <v>Iván Sánchez (Levante Y Albacete)</v>
      </c>
    </row>
    <row r="181" spans="2:16">
      <c r="B181" s="33">
        <f ca="1">IFERROR(__xludf.DUMMYFUNCTION("""COMPUTED_VALUE"""),2025)</f>
        <v>2025</v>
      </c>
      <c r="C181" s="33">
        <f ca="1">IFERROR(__xludf.DUMMYFUNCTION("""COMPUTED_VALUE"""),2)</f>
        <v>2</v>
      </c>
      <c r="D181" s="33" t="str">
        <f ca="1">IFERROR(__xludf.DUMMYFUNCTION("""COMPUTED_VALUE"""),"NO")</f>
        <v>NO</v>
      </c>
      <c r="E181" s="33" t="str">
        <f ca="1">IFERROR(__xludf.DUMMYFUNCTION("""COMPUTED_VALUE"""),"Leganés")</f>
        <v>Leganés</v>
      </c>
      <c r="F181" s="57">
        <f ca="1">IFERROR(__xludf.DUMMYFUNCTION("""COMPUTED_VALUE"""),45700)</f>
        <v>45700</v>
      </c>
      <c r="G181" s="57">
        <f ca="1">IFERROR(__xludf.DUMMYFUNCTION("""COMPUTED_VALUE"""),45644)</f>
        <v>45644</v>
      </c>
      <c r="H181" s="33" t="str">
        <f ca="1">IFERROR(__xludf.DUMMYFUNCTION("""COMPUTED_VALUE"""),"Leganés")</f>
        <v>Leganés</v>
      </c>
      <c r="I181" s="33" t="str">
        <f ca="1">IFERROR(__xludf.DUMMYFUNCTION("""COMPUTED_VALUE"""),"C20241218181811576")</f>
        <v>C20241218181811576</v>
      </c>
      <c r="J181" s="33" t="str">
        <f ca="1">IFERROR(__xludf.DUMMYFUNCTION("""COMPUTED_VALUE"""),"LOURDES GUTIERREZ RAMOS")</f>
        <v>LOURDES GUTIERREZ RAMOS</v>
      </c>
      <c r="K181" s="33">
        <f ca="1">IFERROR(__xludf.DUMMYFUNCTION("""COMPUTED_VALUE"""),2)</f>
        <v>2</v>
      </c>
      <c r="L181" s="203">
        <f ca="1">IFERROR(__xludf.DUMMYFUNCTION("""COMPUTED_VALUE"""),4000)</f>
        <v>4000</v>
      </c>
      <c r="M181" s="33" t="str">
        <f ca="1">IFERROR(__xludf.DUMMYFUNCTION("""COMPUTED_VALUE"""),"03 ORL")</f>
        <v>03 ORL</v>
      </c>
      <c r="N181" s="33" t="str">
        <f ca="1">IFERROR(__xludf.DUMMYFUNCTION("""COMPUTED_VALUE"""),"06 ORL")</f>
        <v>06 ORL</v>
      </c>
      <c r="O181" s="33" t="str">
        <f ca="1">IFERROR(__xludf.DUMMYFUNCTION("""COMPUTED_VALUE"""),"Dr, Ricardo González-Orus")</f>
        <v>Dr, Ricardo González-Orus</v>
      </c>
      <c r="P181" s="33" t="str">
        <f ca="1">IFERROR(__xludf.DUMMYFUNCTION("""COMPUTED_VALUE"""),"Maika Blázquez (Madrid)")</f>
        <v>Maika Blázquez (Madrid)</v>
      </c>
    </row>
    <row r="182" spans="2:16">
      <c r="B182" s="33">
        <f ca="1">IFERROR(__xludf.DUMMYFUNCTION("""COMPUTED_VALUE"""),2025)</f>
        <v>2025</v>
      </c>
      <c r="C182" s="33">
        <f ca="1">IFERROR(__xludf.DUMMYFUNCTION("""COMPUTED_VALUE"""),2)</f>
        <v>2</v>
      </c>
      <c r="D182" s="33" t="str">
        <f ca="1">IFERROR(__xludf.DUMMYFUNCTION("""COMPUTED_VALUE"""),"NO")</f>
        <v>NO</v>
      </c>
      <c r="E182" s="33" t="str">
        <f ca="1">IFERROR(__xludf.DUMMYFUNCTION("""COMPUTED_VALUE"""),"Talavera")</f>
        <v>Talavera</v>
      </c>
      <c r="F182" s="57">
        <f ca="1">IFERROR(__xludf.DUMMYFUNCTION("""COMPUTED_VALUE"""),45701)</f>
        <v>45701</v>
      </c>
      <c r="G182" s="57">
        <f ca="1">IFERROR(__xludf.DUMMYFUNCTION("""COMPUTED_VALUE"""),45670)</f>
        <v>45670</v>
      </c>
      <c r="H182" s="33" t="str">
        <f ca="1">IFERROR(__xludf.DUMMYFUNCTION("""COMPUTED_VALUE"""),"Talavera")</f>
        <v>Talavera</v>
      </c>
      <c r="I182" s="33" t="str">
        <f ca="1">IFERROR(__xludf.DUMMYFUNCTION("""COMPUTED_VALUE"""),"C2025117104426138")</f>
        <v>C2025117104426138</v>
      </c>
      <c r="J182" s="33" t="str">
        <f ca="1">IFERROR(__xludf.DUMMYFUNCTION("""COMPUTED_VALUE"""),"MARIA LUZ LAGARTERA GOMEZ")</f>
        <v>MARIA LUZ LAGARTERA GOMEZ</v>
      </c>
      <c r="K182" s="33">
        <f ca="1">IFERROR(__xludf.DUMMYFUNCTION("""COMPUTED_VALUE"""),1)</f>
        <v>1</v>
      </c>
      <c r="L182" s="203">
        <f ca="1">IFERROR(__xludf.DUMMYFUNCTION("""COMPUTED_VALUE"""),2400)</f>
        <v>2400</v>
      </c>
      <c r="M182" s="33" t="str">
        <f ca="1">IFERROR(__xludf.DUMMYFUNCTION("""COMPUTED_VALUE"""),"03 ORL")</f>
        <v>03 ORL</v>
      </c>
      <c r="N182" s="33" t="str">
        <f ca="1">IFERROR(__xludf.DUMMYFUNCTION("""COMPUTED_VALUE"""),"06 ORL")</f>
        <v>06 ORL</v>
      </c>
      <c r="O182" s="33" t="str">
        <f ca="1">IFERROR(__xludf.DUMMYFUNCTION("""COMPUTED_VALUE"""),"Dra, Natalia Gisseth Pulido Fonseca")</f>
        <v>Dra, Natalia Gisseth Pulido Fonseca</v>
      </c>
      <c r="P182" s="33" t="str">
        <f ca="1">IFERROR(__xludf.DUMMYFUNCTION("""COMPUTED_VALUE"""),"Lisandro Russian (Madrid, Cáceres, Toledo, Talavera Y Logroño)")</f>
        <v>Lisandro Russian (Madrid, Cáceres, Toledo, Talavera Y Logroño)</v>
      </c>
    </row>
    <row r="183" spans="2:16">
      <c r="B183" s="33">
        <f ca="1">IFERROR(__xludf.DUMMYFUNCTION("""COMPUTED_VALUE"""),2025)</f>
        <v>2025</v>
      </c>
      <c r="C183" s="33">
        <f ca="1">IFERROR(__xludf.DUMMYFUNCTION("""COMPUTED_VALUE"""),2)</f>
        <v>2</v>
      </c>
      <c r="D183" s="33" t="str">
        <f ca="1">IFERROR(__xludf.DUMMYFUNCTION("""COMPUTED_VALUE"""),"NO")</f>
        <v>NO</v>
      </c>
      <c r="E183" s="33" t="str">
        <f ca="1">IFERROR(__xludf.DUMMYFUNCTION("""COMPUTED_VALUE"""),"Móstoles")</f>
        <v>Móstoles</v>
      </c>
      <c r="F183" s="57">
        <f ca="1">IFERROR(__xludf.DUMMYFUNCTION("""COMPUTED_VALUE"""),45701)</f>
        <v>45701</v>
      </c>
      <c r="G183" s="57">
        <f ca="1">IFERROR(__xludf.DUMMYFUNCTION("""COMPUTED_VALUE"""),45699)</f>
        <v>45699</v>
      </c>
      <c r="H183" s="33" t="str">
        <f ca="1">IFERROR(__xludf.DUMMYFUNCTION("""COMPUTED_VALUE"""),"Móstoles")</f>
        <v>Móstoles</v>
      </c>
      <c r="I183" s="33" t="str">
        <f ca="1">IFERROR(__xludf.DUMMYFUNCTION("""COMPUTED_VALUE"""),"C202521113312813")</f>
        <v>C202521113312813</v>
      </c>
      <c r="J183" s="33" t="str">
        <f ca="1">IFERROR(__xludf.DUMMYFUNCTION("""COMPUTED_VALUE"""),"RAMON RODRIGUEZ SIMANCAS")</f>
        <v>RAMON RODRIGUEZ SIMANCAS</v>
      </c>
      <c r="K183" s="33">
        <f ca="1">IFERROR(__xludf.DUMMYFUNCTION("""COMPUTED_VALUE"""),2)</f>
        <v>2</v>
      </c>
      <c r="L183" s="203">
        <f ca="1">IFERROR(__xludf.DUMMYFUNCTION("""COMPUTED_VALUE"""),2888.18)</f>
        <v>2888.18</v>
      </c>
      <c r="M183" s="33" t="str">
        <f ca="1">IFERROR(__xludf.DUMMYFUNCTION("""COMPUTED_VALUE"""),"03 ORL")</f>
        <v>03 ORL</v>
      </c>
      <c r="N183" s="33" t="str">
        <f ca="1">IFERROR(__xludf.DUMMYFUNCTION("""COMPUTED_VALUE"""),"06 ORL")</f>
        <v>06 ORL</v>
      </c>
      <c r="O183" s="33" t="str">
        <f ca="1">IFERROR(__xludf.DUMMYFUNCTION("""COMPUTED_VALUE"""),"No Recuerda Orl")</f>
        <v>No Recuerda Orl</v>
      </c>
      <c r="P183" s="33" t="str">
        <f ca="1">IFERROR(__xludf.DUMMYFUNCTION("""COMPUTED_VALUE"""),"Maika Blázquez (Madrid)")</f>
        <v>Maika Blázquez (Madrid)</v>
      </c>
    </row>
    <row r="184" spans="2:16">
      <c r="B184" s="33">
        <f ca="1">IFERROR(__xludf.DUMMYFUNCTION("""COMPUTED_VALUE"""),2025)</f>
        <v>2025</v>
      </c>
      <c r="C184" s="33">
        <f ca="1">IFERROR(__xludf.DUMMYFUNCTION("""COMPUTED_VALUE"""),2)</f>
        <v>2</v>
      </c>
      <c r="D184" s="33" t="str">
        <f ca="1">IFERROR(__xludf.DUMMYFUNCTION("""COMPUTED_VALUE"""),"NO")</f>
        <v>NO</v>
      </c>
      <c r="E184" s="33" t="str">
        <f ca="1">IFERROR(__xludf.DUMMYFUNCTION("""COMPUTED_VALUE"""),"Madrid- La Oca")</f>
        <v>Madrid- La Oca</v>
      </c>
      <c r="F184" s="57">
        <f ca="1">IFERROR(__xludf.DUMMYFUNCTION("""COMPUTED_VALUE"""),45701)</f>
        <v>45701</v>
      </c>
      <c r="G184" s="57">
        <f ca="1">IFERROR(__xludf.DUMMYFUNCTION("""COMPUTED_VALUE"""),45664)</f>
        <v>45664</v>
      </c>
      <c r="H184" s="33" t="str">
        <f ca="1">IFERROR(__xludf.DUMMYFUNCTION("""COMPUTED_VALUE"""),"La Oca")</f>
        <v>La Oca</v>
      </c>
      <c r="I184" s="33" t="str">
        <f ca="1">IFERROR(__xludf.DUMMYFUNCTION("""COMPUTED_VALUE"""),"C2025113123026532")</f>
        <v>C2025113123026532</v>
      </c>
      <c r="J184" s="33" t="str">
        <f ca="1">IFERROR(__xludf.DUMMYFUNCTION("""COMPUTED_VALUE"""),"FRANCISCO CONTRERAS LORENZO")</f>
        <v>FRANCISCO CONTRERAS LORENZO</v>
      </c>
      <c r="K184" s="33">
        <f ca="1">IFERROR(__xludf.DUMMYFUNCTION("""COMPUTED_VALUE"""),1)</f>
        <v>1</v>
      </c>
      <c r="L184" s="203">
        <f ca="1">IFERROR(__xludf.DUMMYFUNCTION("""COMPUTED_VALUE"""),1732.73)</f>
        <v>1732.73</v>
      </c>
      <c r="M184" s="33" t="str">
        <f ca="1">IFERROR(__xludf.DUMMYFUNCTION("""COMPUTED_VALUE"""),"03 ORL")</f>
        <v>03 ORL</v>
      </c>
      <c r="N184" s="33" t="str">
        <f ca="1">IFERROR(__xludf.DUMMYFUNCTION("""COMPUTED_VALUE"""),"06 ORL")</f>
        <v>06 ORL</v>
      </c>
      <c r="O184" s="33" t="str">
        <f ca="1">IFERROR(__xludf.DUMMYFUNCTION("""COMPUTED_VALUE"""),"Dr, Ricardo González-Orus")</f>
        <v>Dr, Ricardo González-Orus</v>
      </c>
      <c r="P184" s="33" t="str">
        <f ca="1">IFERROR(__xludf.DUMMYFUNCTION("""COMPUTED_VALUE"""),"Maika Blázquez (Madrid)")</f>
        <v>Maika Blázquez (Madrid)</v>
      </c>
    </row>
    <row r="185" spans="2:16">
      <c r="B185" s="33">
        <f ca="1">IFERROR(__xludf.DUMMYFUNCTION("""COMPUTED_VALUE"""),2025)</f>
        <v>2025</v>
      </c>
      <c r="C185" s="33">
        <f ca="1">IFERROR(__xludf.DUMMYFUNCTION("""COMPUTED_VALUE"""),2)</f>
        <v>2</v>
      </c>
      <c r="D185" s="33" t="str">
        <f ca="1">IFERROR(__xludf.DUMMYFUNCTION("""COMPUTED_VALUE"""),"NO")</f>
        <v>NO</v>
      </c>
      <c r="E185" s="33" t="str">
        <f ca="1">IFERROR(__xludf.DUMMYFUNCTION("""COMPUTED_VALUE"""),"Barcelona- Córcega")</f>
        <v>Barcelona- Córcega</v>
      </c>
      <c r="F185" s="57">
        <f ca="1">IFERROR(__xludf.DUMMYFUNCTION("""COMPUTED_VALUE"""),45701)</f>
        <v>45701</v>
      </c>
      <c r="G185" s="57">
        <f ca="1">IFERROR(__xludf.DUMMYFUNCTION("""COMPUTED_VALUE"""),45681)</f>
        <v>45681</v>
      </c>
      <c r="H185" s="33" t="str">
        <f ca="1">IFERROR(__xludf.DUMMYFUNCTION("""COMPUTED_VALUE"""),"Córcega")</f>
        <v>Córcega</v>
      </c>
      <c r="I185" s="33" t="str">
        <f ca="1">IFERROR(__xludf.DUMMYFUNCTION("""COMPUTED_VALUE"""),"C2025129111635277")</f>
        <v>C2025129111635277</v>
      </c>
      <c r="J185" s="33" t="str">
        <f ca="1">IFERROR(__xludf.DUMMYFUNCTION("""COMPUTED_VALUE"""),"FRANCISCA JIMENEZ PEREZ")</f>
        <v>FRANCISCA JIMENEZ PEREZ</v>
      </c>
      <c r="K185" s="33">
        <f ca="1">IFERROR(__xludf.DUMMYFUNCTION("""COMPUTED_VALUE"""),2)</f>
        <v>2</v>
      </c>
      <c r="L185" s="203">
        <f ca="1">IFERROR(__xludf.DUMMYFUNCTION("""COMPUTED_VALUE"""),2722.73)</f>
        <v>2722.73</v>
      </c>
      <c r="M185" s="33" t="str">
        <f ca="1">IFERROR(__xludf.DUMMYFUNCTION("""COMPUTED_VALUE"""),"03 ORL")</f>
        <v>03 ORL</v>
      </c>
      <c r="N185" s="33" t="str">
        <f ca="1">IFERROR(__xludf.DUMMYFUNCTION("""COMPUTED_VALUE"""),"06 ORL")</f>
        <v>06 ORL</v>
      </c>
      <c r="O185" s="33" t="str">
        <f ca="1">IFERROR(__xludf.DUMMYFUNCTION("""COMPUTED_VALUE"""),"Dr, Jesus-Maria Grasa Pérez")</f>
        <v>Dr, Jesus-Maria Grasa Pérez</v>
      </c>
      <c r="P185" s="33" t="str">
        <f ca="1">IFERROR(__xludf.DUMMYFUNCTION("""COMPUTED_VALUE"""),"Mercè Cabrera (Cataluña Y Baleares)")</f>
        <v>Mercè Cabrera (Cataluña Y Baleares)</v>
      </c>
    </row>
    <row r="186" spans="2:16">
      <c r="B186" s="33">
        <f ca="1">IFERROR(__xludf.DUMMYFUNCTION("""COMPUTED_VALUE"""),2025)</f>
        <v>2025</v>
      </c>
      <c r="C186" s="33">
        <f ca="1">IFERROR(__xludf.DUMMYFUNCTION("""COMPUTED_VALUE"""),2)</f>
        <v>2</v>
      </c>
      <c r="D186" s="33" t="str">
        <f ca="1">IFERROR(__xludf.DUMMYFUNCTION("""COMPUTED_VALUE"""),"NO")</f>
        <v>NO</v>
      </c>
      <c r="E186" s="33" t="str">
        <f ca="1">IFERROR(__xludf.DUMMYFUNCTION("""COMPUTED_VALUE"""),"Logroño")</f>
        <v>Logroño</v>
      </c>
      <c r="F186" s="57">
        <f ca="1">IFERROR(__xludf.DUMMYFUNCTION("""COMPUTED_VALUE"""),45701)</f>
        <v>45701</v>
      </c>
      <c r="G186" s="57">
        <f ca="1">IFERROR(__xludf.DUMMYFUNCTION("""COMPUTED_VALUE"""),45674)</f>
        <v>45674</v>
      </c>
      <c r="H186" s="33" t="str">
        <f ca="1">IFERROR(__xludf.DUMMYFUNCTION("""COMPUTED_VALUE"""),"Logroño")</f>
        <v>Logroño</v>
      </c>
      <c r="I186" s="33" t="str">
        <f ca="1">IFERROR(__xludf.DUMMYFUNCTION("""COMPUTED_VALUE"""),"C202512117395583")</f>
        <v>C202512117395583</v>
      </c>
      <c r="J186" s="33" t="str">
        <f ca="1">IFERROR(__xludf.DUMMYFUNCTION("""COMPUTED_VALUE"""),"MARÍA VEGA GONZÁLEZ IZQUIERDO")</f>
        <v>MARÍA VEGA GONZÁLEZ IZQUIERDO</v>
      </c>
      <c r="K186" s="33">
        <f ca="1">IFERROR(__xludf.DUMMYFUNCTION("""COMPUTED_VALUE"""),2)</f>
        <v>2</v>
      </c>
      <c r="L186" s="203">
        <f ca="1">IFERROR(__xludf.DUMMYFUNCTION("""COMPUTED_VALUE"""),4000)</f>
        <v>4000</v>
      </c>
      <c r="M186" s="33" t="str">
        <f ca="1">IFERROR(__xludf.DUMMYFUNCTION("""COMPUTED_VALUE"""),"03 ORL")</f>
        <v>03 ORL</v>
      </c>
      <c r="N186" s="33" t="str">
        <f ca="1">IFERROR(__xludf.DUMMYFUNCTION("""COMPUTED_VALUE"""),"06 ORL")</f>
        <v>06 ORL</v>
      </c>
      <c r="O186" s="33" t="str">
        <f ca="1">IFERROR(__xludf.DUMMYFUNCTION("""COMPUTED_VALUE"""),"Dr, Fernando Salazar Barcelona")</f>
        <v>Dr, Fernando Salazar Barcelona</v>
      </c>
      <c r="P186" s="33" t="str">
        <f ca="1">IFERROR(__xludf.DUMMYFUNCTION("""COMPUTED_VALUE"""),"Lisandro Russian (Madrid, Cáceres, Toledo, Talavera Y Logroño)")</f>
        <v>Lisandro Russian (Madrid, Cáceres, Toledo, Talavera Y Logroño)</v>
      </c>
    </row>
    <row r="187" spans="2:16">
      <c r="B187" s="33">
        <f ca="1">IFERROR(__xludf.DUMMYFUNCTION("""COMPUTED_VALUE"""),2025)</f>
        <v>2025</v>
      </c>
      <c r="C187" s="33">
        <f ca="1">IFERROR(__xludf.DUMMYFUNCTION("""COMPUTED_VALUE"""),2)</f>
        <v>2</v>
      </c>
      <c r="D187" s="33" t="str">
        <f ca="1">IFERROR(__xludf.DUMMYFUNCTION("""COMPUTED_VALUE"""),"NO")</f>
        <v>NO</v>
      </c>
      <c r="E187" s="33" t="str">
        <f ca="1">IFERROR(__xludf.DUMMYFUNCTION("""COMPUTED_VALUE"""),"Madrid- Canillas")</f>
        <v>Madrid- Canillas</v>
      </c>
      <c r="F187" s="57">
        <f ca="1">IFERROR(__xludf.DUMMYFUNCTION("""COMPUTED_VALUE"""),45702)</f>
        <v>45702</v>
      </c>
      <c r="G187" s="57">
        <f ca="1">IFERROR(__xludf.DUMMYFUNCTION("""COMPUTED_VALUE"""),45687)</f>
        <v>45687</v>
      </c>
      <c r="H187" s="33" t="str">
        <f ca="1">IFERROR(__xludf.DUMMYFUNCTION("""COMPUTED_VALUE"""),"Canillas")</f>
        <v>Canillas</v>
      </c>
      <c r="I187" s="33" t="str">
        <f ca="1">IFERROR(__xludf.DUMMYFUNCTION("""COMPUTED_VALUE"""),"C20252711149997")</f>
        <v>C20252711149997</v>
      </c>
      <c r="J187" s="33" t="str">
        <f ca="1">IFERROR(__xludf.DUMMYFUNCTION("""COMPUTED_VALUE"""),"ALICIA EXPÓSITO NOGALES")</f>
        <v>ALICIA EXPÓSITO NOGALES</v>
      </c>
      <c r="K187" s="33">
        <f ca="1">IFERROR(__xludf.DUMMYFUNCTION("""COMPUTED_VALUE"""),2)</f>
        <v>2</v>
      </c>
      <c r="L187" s="203">
        <f ca="1">IFERROR(__xludf.DUMMYFUNCTION("""COMPUTED_VALUE"""),3710)</f>
        <v>3710</v>
      </c>
      <c r="M187" s="33" t="str">
        <f ca="1">IFERROR(__xludf.DUMMYFUNCTION("""COMPUTED_VALUE"""),"03 ORL")</f>
        <v>03 ORL</v>
      </c>
      <c r="N187" s="33" t="str">
        <f ca="1">IFERROR(__xludf.DUMMYFUNCTION("""COMPUTED_VALUE"""),"06 ORL")</f>
        <v>06 ORL</v>
      </c>
      <c r="O187" s="33" t="str">
        <f ca="1">IFERROR(__xludf.DUMMYFUNCTION("""COMPUTED_VALUE"""),"Dr, José Gustavo Barroso Braojos")</f>
        <v>Dr, José Gustavo Barroso Braojos</v>
      </c>
      <c r="P187" s="33" t="str">
        <f ca="1">IFERROR(__xludf.DUMMYFUNCTION("""COMPUTED_VALUE"""),"Maika Blázquez (Madrid)")</f>
        <v>Maika Blázquez (Madrid)</v>
      </c>
    </row>
    <row r="188" spans="2:16">
      <c r="B188" s="33">
        <f ca="1">IFERROR(__xludf.DUMMYFUNCTION("""COMPUTED_VALUE"""),2025)</f>
        <v>2025</v>
      </c>
      <c r="C188" s="33">
        <f ca="1">IFERROR(__xludf.DUMMYFUNCTION("""COMPUTED_VALUE"""),2)</f>
        <v>2</v>
      </c>
      <c r="D188" s="33" t="str">
        <f ca="1">IFERROR(__xludf.DUMMYFUNCTION("""COMPUTED_VALUE"""),"NO")</f>
        <v>NO</v>
      </c>
      <c r="E188" s="33" t="str">
        <f ca="1">IFERROR(__xludf.DUMMYFUNCTION("""COMPUTED_VALUE"""),"San Javier")</f>
        <v>San Javier</v>
      </c>
      <c r="F188" s="57">
        <f ca="1">IFERROR(__xludf.DUMMYFUNCTION("""COMPUTED_VALUE"""),45702)</f>
        <v>45702</v>
      </c>
      <c r="G188" s="57">
        <f ca="1">IFERROR(__xludf.DUMMYFUNCTION("""COMPUTED_VALUE"""),45684)</f>
        <v>45684</v>
      </c>
      <c r="H188" s="33" t="str">
        <f ca="1">IFERROR(__xludf.DUMMYFUNCTION("""COMPUTED_VALUE"""),"San Javier")</f>
        <v>San Javier</v>
      </c>
      <c r="I188" s="33" t="str">
        <f ca="1">IFERROR(__xludf.DUMMYFUNCTION("""COMPUTED_VALUE"""),"MSJ-00442")</f>
        <v>MSJ-00442</v>
      </c>
      <c r="J188" s="33" t="str">
        <f ca="1">IFERROR(__xludf.DUMMYFUNCTION("""COMPUTED_VALUE"""),"STEPHEN BEACH")</f>
        <v>STEPHEN BEACH</v>
      </c>
      <c r="K188" s="33">
        <f ca="1">IFERROR(__xludf.DUMMYFUNCTION("""COMPUTED_VALUE"""),2)</f>
        <v>2</v>
      </c>
      <c r="L188" s="203">
        <f ca="1">IFERROR(__xludf.DUMMYFUNCTION("""COMPUTED_VALUE"""),4000)</f>
        <v>4000</v>
      </c>
      <c r="M188" s="33" t="str">
        <f ca="1">IFERROR(__xludf.DUMMYFUNCTION("""COMPUTED_VALUE"""),"01 MARKETING ON LINE")</f>
        <v>01 MARKETING ON LINE</v>
      </c>
      <c r="N188" s="33" t="str">
        <f ca="1">IFERROR(__xludf.DUMMYFUNCTION("""COMPUTED_VALUE"""),"04 AUDIFONO,ES")</f>
        <v>04 AUDIFONO,ES</v>
      </c>
      <c r="O188" s="33" t="str">
        <f ca="1">IFERROR(__xludf.DUMMYFUNCTION("""COMPUTED_VALUE"""),"Dr, José Miguel Osete Albaladejo")</f>
        <v>Dr, José Miguel Osete Albaladejo</v>
      </c>
      <c r="P188" s="33" t="str">
        <f ca="1">IFERROR(__xludf.DUMMYFUNCTION("""COMPUTED_VALUE"""),"Iván Sánchez (Levante Y Albacete)")</f>
        <v>Iván Sánchez (Levante Y Albacete)</v>
      </c>
    </row>
    <row r="189" spans="2:16">
      <c r="B189" s="33">
        <f ca="1">IFERROR(__xludf.DUMMYFUNCTION("""COMPUTED_VALUE"""),2025)</f>
        <v>2025</v>
      </c>
      <c r="C189" s="33">
        <f ca="1">IFERROR(__xludf.DUMMYFUNCTION("""COMPUTED_VALUE"""),2)</f>
        <v>2</v>
      </c>
      <c r="D189" s="33" t="str">
        <f ca="1">IFERROR(__xludf.DUMMYFUNCTION("""COMPUTED_VALUE"""),"NO")</f>
        <v>NO</v>
      </c>
      <c r="E189" s="33" t="str">
        <f ca="1">IFERROR(__xludf.DUMMYFUNCTION("""COMPUTED_VALUE"""),"Murcia")</f>
        <v>Murcia</v>
      </c>
      <c r="F189" s="57">
        <f ca="1">IFERROR(__xludf.DUMMYFUNCTION("""COMPUTED_VALUE"""),45702)</f>
        <v>45702</v>
      </c>
      <c r="G189" s="57">
        <f ca="1">IFERROR(__xludf.DUMMYFUNCTION("""COMPUTED_VALUE"""),45631)</f>
        <v>45631</v>
      </c>
      <c r="H189" s="33" t="str">
        <f ca="1">IFERROR(__xludf.DUMMYFUNCTION("""COMPUTED_VALUE"""),"Murcia")</f>
        <v>Murcia</v>
      </c>
      <c r="I189" s="33" t="str">
        <f ca="1">IFERROR(__xludf.DUMMYFUNCTION("""COMPUTED_VALUE"""),"C202412261718823")</f>
        <v>C202412261718823</v>
      </c>
      <c r="J189" s="33" t="str">
        <f ca="1">IFERROR(__xludf.DUMMYFUNCTION("""COMPUTED_VALUE"""),"MARIA ANGELES SALINAS VELAZQUEZ")</f>
        <v>MARIA ANGELES SALINAS VELAZQUEZ</v>
      </c>
      <c r="K189" s="33">
        <f ca="1">IFERROR(__xludf.DUMMYFUNCTION("""COMPUTED_VALUE"""),2)</f>
        <v>2</v>
      </c>
      <c r="L189" s="203">
        <f ca="1">IFERROR(__xludf.DUMMYFUNCTION("""COMPUTED_VALUE"""),4000)</f>
        <v>4000</v>
      </c>
      <c r="M189" s="33" t="str">
        <f ca="1">IFERROR(__xludf.DUMMYFUNCTION("""COMPUTED_VALUE"""),"03 ORL")</f>
        <v>03 ORL</v>
      </c>
      <c r="N189" s="33" t="str">
        <f ca="1">IFERROR(__xludf.DUMMYFUNCTION("""COMPUTED_VALUE"""),"06 ORL")</f>
        <v>06 ORL</v>
      </c>
      <c r="O189" s="33" t="str">
        <f ca="1">IFERROR(__xludf.DUMMYFUNCTION("""COMPUTED_VALUE"""),"Dra, María Agustina Sevilla García")</f>
        <v>Dra, María Agustina Sevilla García</v>
      </c>
      <c r="P189" s="33" t="str">
        <f ca="1">IFERROR(__xludf.DUMMYFUNCTION("""COMPUTED_VALUE"""),"Iván Sánchez (Levante Y Albacete)")</f>
        <v>Iván Sánchez (Levante Y Albacete)</v>
      </c>
    </row>
    <row r="190" spans="2:16">
      <c r="B190" s="33">
        <f ca="1">IFERROR(__xludf.DUMMYFUNCTION("""COMPUTED_VALUE"""),2025)</f>
        <v>2025</v>
      </c>
      <c r="C190" s="33">
        <f ca="1">IFERROR(__xludf.DUMMYFUNCTION("""COMPUTED_VALUE"""),2)</f>
        <v>2</v>
      </c>
      <c r="D190" s="33" t="str">
        <f ca="1">IFERROR(__xludf.DUMMYFUNCTION("""COMPUTED_VALUE"""),"NO")</f>
        <v>NO</v>
      </c>
      <c r="E190" s="33" t="str">
        <f ca="1">IFERROR(__xludf.DUMMYFUNCTION("""COMPUTED_VALUE"""),"Sevilla- Montoto")</f>
        <v>Sevilla- Montoto</v>
      </c>
      <c r="F190" s="57">
        <f ca="1">IFERROR(__xludf.DUMMYFUNCTION("""COMPUTED_VALUE"""),45705)</f>
        <v>45705</v>
      </c>
      <c r="G190" s="57">
        <f ca="1">IFERROR(__xludf.DUMMYFUNCTION("""COMPUTED_VALUE"""),45678)</f>
        <v>45678</v>
      </c>
      <c r="H190" s="33" t="str">
        <f ca="1">IFERROR(__xludf.DUMMYFUNCTION("""COMPUTED_VALUE"""),"Montoto")</f>
        <v>Montoto</v>
      </c>
      <c r="I190" s="33" t="str">
        <f ca="1">IFERROR(__xludf.DUMMYFUNCTION("""COMPUTED_VALUE"""),"C2025128105048281")</f>
        <v>C2025128105048281</v>
      </c>
      <c r="J190" s="33" t="str">
        <f ca="1">IFERROR(__xludf.DUMMYFUNCTION("""COMPUTED_VALUE"""),"DOLORES CEBALLOS BALLESTEROS")</f>
        <v>DOLORES CEBALLOS BALLESTEROS</v>
      </c>
      <c r="K190" s="33">
        <f ca="1">IFERROR(__xludf.DUMMYFUNCTION("""COMPUTED_VALUE"""),2)</f>
        <v>2</v>
      </c>
      <c r="L190" s="203">
        <f ca="1">IFERROR(__xludf.DUMMYFUNCTION("""COMPUTED_VALUE"""),4000)</f>
        <v>4000</v>
      </c>
      <c r="M190" s="33" t="str">
        <f ca="1">IFERROR(__xludf.DUMMYFUNCTION("""COMPUTED_VALUE"""),"03 ORL")</f>
        <v>03 ORL</v>
      </c>
      <c r="N190" s="33" t="str">
        <f ca="1">IFERROR(__xludf.DUMMYFUNCTION("""COMPUTED_VALUE"""),"06 ORL")</f>
        <v>06 ORL</v>
      </c>
      <c r="O190" s="33" t="str">
        <f ca="1">IFERROR(__xludf.DUMMYFUNCTION("""COMPUTED_VALUE"""),"Dr, David Castro Gutiérrez De Agüero")</f>
        <v>Dr, David Castro Gutiérrez De Agüero</v>
      </c>
      <c r="P190" s="33" t="str">
        <f ca="1">IFERROR(__xludf.DUMMYFUNCTION("""COMPUTED_VALUE"""),"Luis Alberto Rodríguez (Andalucía Y Badajoz)")</f>
        <v>Luis Alberto Rodríguez (Andalucía Y Badajoz)</v>
      </c>
    </row>
    <row r="191" spans="2:16">
      <c r="B191" s="33">
        <f ca="1">IFERROR(__xludf.DUMMYFUNCTION("""COMPUTED_VALUE"""),2025)</f>
        <v>2025</v>
      </c>
      <c r="C191" s="33">
        <f ca="1">IFERROR(__xludf.DUMMYFUNCTION("""COMPUTED_VALUE"""),2)</f>
        <v>2</v>
      </c>
      <c r="D191" s="33" t="str">
        <f ca="1">IFERROR(__xludf.DUMMYFUNCTION("""COMPUTED_VALUE"""),"SI")</f>
        <v>SI</v>
      </c>
      <c r="E191" s="33" t="str">
        <f ca="1">IFERROR(__xludf.DUMMYFUNCTION("""COMPUTED_VALUE"""),"Madrid- Monforte de Lemos")</f>
        <v>Madrid- Monforte de Lemos</v>
      </c>
      <c r="F191" s="57">
        <f ca="1">IFERROR(__xludf.DUMMYFUNCTION("""COMPUTED_VALUE"""),45705)</f>
        <v>45705</v>
      </c>
      <c r="G191" s="57">
        <f ca="1">IFERROR(__xludf.DUMMYFUNCTION("""COMPUTED_VALUE"""),45362)</f>
        <v>45362</v>
      </c>
      <c r="H191" s="33" t="str">
        <f ca="1">IFERROR(__xludf.DUMMYFUNCTION("""COMPUTED_VALUE"""),"La Vaguada")</f>
        <v>La Vaguada</v>
      </c>
      <c r="I191" s="33" t="str">
        <f ca="1">IFERROR(__xludf.DUMMYFUNCTION("""COMPUTED_VALUE"""),"VAG-5301")</f>
        <v>VAG-5301</v>
      </c>
      <c r="J191" s="33" t="str">
        <f ca="1">IFERROR(__xludf.DUMMYFUNCTION("""COMPUTED_VALUE"""),"ANICETA GARCIA PEREZ")</f>
        <v>ANICETA GARCIA PEREZ</v>
      </c>
      <c r="K191" s="33">
        <f ca="1">IFERROR(__xludf.DUMMYFUNCTION("""COMPUTED_VALUE"""),1)</f>
        <v>1</v>
      </c>
      <c r="L191" s="203">
        <f ca="1">IFERROR(__xludf.DUMMYFUNCTION("""COMPUTED_VALUE"""),1444.55)</f>
        <v>1444.55</v>
      </c>
      <c r="M191" s="33" t="str">
        <f ca="1">IFERROR(__xludf.DUMMYFUNCTION("""COMPUTED_VALUE"""),"04 TIENDA")</f>
        <v>04 TIENDA</v>
      </c>
      <c r="N191" s="33" t="str">
        <f ca="1">IFERROR(__xludf.DUMMYFUNCTION("""COMPUTED_VALUE"""),"19 CLIENTE RECOMPRA ESPONTANEA")</f>
        <v>19 CLIENTE RECOMPRA ESPONTANEA</v>
      </c>
      <c r="O191" s="33" t="str">
        <f ca="1">IFERROR(__xludf.DUMMYFUNCTION("""COMPUTED_VALUE"""),"Dr, Miguel Vaca González")</f>
        <v>Dr, Miguel Vaca González</v>
      </c>
      <c r="P191" s="33" t="str">
        <f ca="1">IFERROR(__xludf.DUMMYFUNCTION("""COMPUTED_VALUE"""),"Maika Blázquez (Madrid)")</f>
        <v>Maika Blázquez (Madrid)</v>
      </c>
    </row>
    <row r="192" spans="2:16">
      <c r="B192" s="33">
        <f ca="1">IFERROR(__xludf.DUMMYFUNCTION("""COMPUTED_VALUE"""),2025)</f>
        <v>2025</v>
      </c>
      <c r="C192" s="33">
        <f ca="1">IFERROR(__xludf.DUMMYFUNCTION("""COMPUTED_VALUE"""),2)</f>
        <v>2</v>
      </c>
      <c r="D192" s="33" t="str">
        <f ca="1">IFERROR(__xludf.DUMMYFUNCTION("""COMPUTED_VALUE"""),"NO")</f>
        <v>NO</v>
      </c>
      <c r="E192" s="33" t="str">
        <f ca="1">IFERROR(__xludf.DUMMYFUNCTION("""COMPUTED_VALUE"""),"Madrid- Canillas")</f>
        <v>Madrid- Canillas</v>
      </c>
      <c r="F192" s="57">
        <f ca="1">IFERROR(__xludf.DUMMYFUNCTION("""COMPUTED_VALUE"""),45705)</f>
        <v>45705</v>
      </c>
      <c r="G192" s="57">
        <f ca="1">IFERROR(__xludf.DUMMYFUNCTION("""COMPUTED_VALUE"""),45670)</f>
        <v>45670</v>
      </c>
      <c r="H192" s="33" t="str">
        <f ca="1">IFERROR(__xludf.DUMMYFUNCTION("""COMPUTED_VALUE"""),"Canillas")</f>
        <v>Canillas</v>
      </c>
      <c r="I192" s="33" t="str">
        <f ca="1">IFERROR(__xludf.DUMMYFUNCTION("""COMPUTED_VALUE"""),"C2025124152314357")</f>
        <v>C2025124152314357</v>
      </c>
      <c r="J192" s="33" t="str">
        <f ca="1">IFERROR(__xludf.DUMMYFUNCTION("""COMPUTED_VALUE"""),"JOSE JUAN GORMAZ")</f>
        <v>JOSE JUAN GORMAZ</v>
      </c>
      <c r="K192" s="33">
        <f ca="1">IFERROR(__xludf.DUMMYFUNCTION("""COMPUTED_VALUE"""),2)</f>
        <v>2</v>
      </c>
      <c r="L192" s="203">
        <f ca="1">IFERROR(__xludf.DUMMYFUNCTION("""COMPUTED_VALUE"""),4000)</f>
        <v>4000</v>
      </c>
      <c r="M192" s="33" t="str">
        <f ca="1">IFERROR(__xludf.DUMMYFUNCTION("""COMPUTED_VALUE"""),"03 ORL")</f>
        <v>03 ORL</v>
      </c>
      <c r="N192" s="33" t="str">
        <f ca="1">IFERROR(__xludf.DUMMYFUNCTION("""COMPUTED_VALUE"""),"06 ORL")</f>
        <v>06 ORL</v>
      </c>
      <c r="O192" s="33" t="str">
        <f ca="1">IFERROR(__xludf.DUMMYFUNCTION("""COMPUTED_VALUE"""),"Dr, José Gustavo Barroso Braojos")</f>
        <v>Dr, José Gustavo Barroso Braojos</v>
      </c>
      <c r="P192" s="33" t="str">
        <f ca="1">IFERROR(__xludf.DUMMYFUNCTION("""COMPUTED_VALUE"""),"Maika Blázquez (Madrid)")</f>
        <v>Maika Blázquez (Madrid)</v>
      </c>
    </row>
    <row r="193" spans="2:16">
      <c r="B193" s="33">
        <f ca="1">IFERROR(__xludf.DUMMYFUNCTION("""COMPUTED_VALUE"""),2025)</f>
        <v>2025</v>
      </c>
      <c r="C193" s="33">
        <f ca="1">IFERROR(__xludf.DUMMYFUNCTION("""COMPUTED_VALUE"""),2)</f>
        <v>2</v>
      </c>
      <c r="D193" s="33" t="str">
        <f ca="1">IFERROR(__xludf.DUMMYFUNCTION("""COMPUTED_VALUE"""),"NO")</f>
        <v>NO</v>
      </c>
      <c r="E193" s="33" t="str">
        <f ca="1">IFERROR(__xludf.DUMMYFUNCTION("""COMPUTED_VALUE"""),"Madrid- Moratalaz")</f>
        <v>Madrid- Moratalaz</v>
      </c>
      <c r="F193" s="57">
        <f ca="1">IFERROR(__xludf.DUMMYFUNCTION("""COMPUTED_VALUE"""),45705)</f>
        <v>45705</v>
      </c>
      <c r="G193" s="57">
        <f ca="1">IFERROR(__xludf.DUMMYFUNCTION("""COMPUTED_VALUE"""),45680)</f>
        <v>45680</v>
      </c>
      <c r="H193" s="33" t="str">
        <f ca="1">IFERROR(__xludf.DUMMYFUNCTION("""COMPUTED_VALUE"""),"Moratalaz")</f>
        <v>Moratalaz</v>
      </c>
      <c r="I193" s="33" t="str">
        <f ca="1">IFERROR(__xludf.DUMMYFUNCTION("""COMPUTED_VALUE"""),"C2025130164650836")</f>
        <v>C2025130164650836</v>
      </c>
      <c r="J193" s="33" t="str">
        <f ca="1">IFERROR(__xludf.DUMMYFUNCTION("""COMPUTED_VALUE"""),"IGNACIA JIMENEZ CURIEL")</f>
        <v>IGNACIA JIMENEZ CURIEL</v>
      </c>
      <c r="K193" s="33">
        <f ca="1">IFERROR(__xludf.DUMMYFUNCTION("""COMPUTED_VALUE"""),1)</f>
        <v>1</v>
      </c>
      <c r="L193" s="203">
        <f ca="1">IFERROR(__xludf.DUMMYFUNCTION("""COMPUTED_VALUE"""),2400)</f>
        <v>2400</v>
      </c>
      <c r="M193" s="33" t="str">
        <f ca="1">IFERROR(__xludf.DUMMYFUNCTION("""COMPUTED_VALUE"""),"03 ORL")</f>
        <v>03 ORL</v>
      </c>
      <c r="N193" s="33" t="str">
        <f ca="1">IFERROR(__xludf.DUMMYFUNCTION("""COMPUTED_VALUE"""),"06 ORL")</f>
        <v>06 ORL</v>
      </c>
      <c r="O193" s="33" t="str">
        <f ca="1">IFERROR(__xludf.DUMMYFUNCTION("""COMPUTED_VALUE"""),"Dr, Esteban Scola Pliego")</f>
        <v>Dr, Esteban Scola Pliego</v>
      </c>
      <c r="P193" s="33" t="str">
        <f ca="1">IFERROR(__xludf.DUMMYFUNCTION("""COMPUTED_VALUE"""),"Maika Blázquez (Madrid)")</f>
        <v>Maika Blázquez (Madrid)</v>
      </c>
    </row>
    <row r="194" spans="2:16">
      <c r="B194" s="33">
        <f ca="1">IFERROR(__xludf.DUMMYFUNCTION("""COMPUTED_VALUE"""),2025)</f>
        <v>2025</v>
      </c>
      <c r="C194" s="33">
        <f ca="1">IFERROR(__xludf.DUMMYFUNCTION("""COMPUTED_VALUE"""),2)</f>
        <v>2</v>
      </c>
      <c r="D194" s="33" t="str">
        <f ca="1">IFERROR(__xludf.DUMMYFUNCTION("""COMPUTED_VALUE"""),"NO")</f>
        <v>NO</v>
      </c>
      <c r="E194" s="33" t="str">
        <f ca="1">IFERROR(__xludf.DUMMYFUNCTION("""COMPUTED_VALUE"""),"Madrid- Juan Bravo")</f>
        <v>Madrid- Juan Bravo</v>
      </c>
      <c r="F194" s="57">
        <f ca="1">IFERROR(__xludf.DUMMYFUNCTION("""COMPUTED_VALUE"""),45706)</f>
        <v>45706</v>
      </c>
      <c r="G194" s="57">
        <f ca="1">IFERROR(__xludf.DUMMYFUNCTION("""COMPUTED_VALUE"""),45674)</f>
        <v>45674</v>
      </c>
      <c r="H194" s="33" t="str">
        <f ca="1">IFERROR(__xludf.DUMMYFUNCTION("""COMPUTED_VALUE"""),"Juan Bravo")</f>
        <v>Juan Bravo</v>
      </c>
      <c r="I194" s="33" t="str">
        <f ca="1">IFERROR(__xludf.DUMMYFUNCTION("""COMPUTED_VALUE"""),"C2025122115441159")</f>
        <v>C2025122115441159</v>
      </c>
      <c r="J194" s="33" t="str">
        <f ca="1">IFERROR(__xludf.DUMMYFUNCTION("""COMPUTED_VALUE"""),"JACOB ABECASIS HACHUEL")</f>
        <v>JACOB ABECASIS HACHUEL</v>
      </c>
      <c r="K194" s="33">
        <f ca="1">IFERROR(__xludf.DUMMYFUNCTION("""COMPUTED_VALUE"""),1)</f>
        <v>1</v>
      </c>
      <c r="L194" s="203">
        <f ca="1">IFERROR(__xludf.DUMMYFUNCTION("""COMPUTED_VALUE"""),2081.82)</f>
        <v>2081.8200000000002</v>
      </c>
      <c r="M194" s="33" t="str">
        <f ca="1">IFERROR(__xludf.DUMMYFUNCTION("""COMPUTED_VALUE"""),"03 ORL")</f>
        <v>03 ORL</v>
      </c>
      <c r="N194" s="33" t="str">
        <f ca="1">IFERROR(__xludf.DUMMYFUNCTION("""COMPUTED_VALUE"""),"06 ORL")</f>
        <v>06 ORL</v>
      </c>
      <c r="O194" s="33" t="str">
        <f ca="1">IFERROR(__xludf.DUMMYFUNCTION("""COMPUTED_VALUE"""),"Dr, Carlos Barajas Del Rosal")</f>
        <v>Dr, Carlos Barajas Del Rosal</v>
      </c>
      <c r="P194" s="33" t="str">
        <f ca="1">IFERROR(__xludf.DUMMYFUNCTION("""COMPUTED_VALUE"""),"Lisandro Russian (Madrid, Cáceres, Toledo, Talavera Y Logroño)")</f>
        <v>Lisandro Russian (Madrid, Cáceres, Toledo, Talavera Y Logroño)</v>
      </c>
    </row>
    <row r="195" spans="2:16">
      <c r="B195" s="33">
        <f ca="1">IFERROR(__xludf.DUMMYFUNCTION("""COMPUTED_VALUE"""),2025)</f>
        <v>2025</v>
      </c>
      <c r="C195" s="33">
        <f ca="1">IFERROR(__xludf.DUMMYFUNCTION("""COMPUTED_VALUE"""),2)</f>
        <v>2</v>
      </c>
      <c r="D195" s="33" t="str">
        <f ca="1">IFERROR(__xludf.DUMMYFUNCTION("""COMPUTED_VALUE"""),"NO")</f>
        <v>NO</v>
      </c>
      <c r="E195" s="33" t="str">
        <f ca="1">IFERROR(__xludf.DUMMYFUNCTION("""COMPUTED_VALUE"""),"Valencia- Cádiz")</f>
        <v>Valencia- Cádiz</v>
      </c>
      <c r="F195" s="57">
        <f ca="1">IFERROR(__xludf.DUMMYFUNCTION("""COMPUTED_VALUE"""),45706)</f>
        <v>45706</v>
      </c>
      <c r="G195" s="57">
        <f ca="1">IFERROR(__xludf.DUMMYFUNCTION("""COMPUTED_VALUE"""),45673)</f>
        <v>45673</v>
      </c>
      <c r="H195" s="33" t="str">
        <f ca="1">IFERROR(__xludf.DUMMYFUNCTION("""COMPUTED_VALUE"""),"Valencia- Cádiz")</f>
        <v>Valencia- Cádiz</v>
      </c>
      <c r="I195" s="33" t="str">
        <f ca="1">IFERROR(__xludf.DUMMYFUNCTION("""COMPUTED_VALUE"""),"C2025121114025142")</f>
        <v>C2025121114025142</v>
      </c>
      <c r="J195" s="33" t="str">
        <f ca="1">IFERROR(__xludf.DUMMYFUNCTION("""COMPUTED_VALUE"""),"AMPARO LLORENS GORRIZ")</f>
        <v>AMPARO LLORENS GORRIZ</v>
      </c>
      <c r="K195" s="33">
        <f ca="1">IFERROR(__xludf.DUMMYFUNCTION("""COMPUTED_VALUE"""),1)</f>
        <v>1</v>
      </c>
      <c r="L195" s="203">
        <f ca="1">IFERROR(__xludf.DUMMYFUNCTION("""COMPUTED_VALUE"""),1732.73)</f>
        <v>1732.73</v>
      </c>
      <c r="M195" s="33" t="str">
        <f ca="1">IFERROR(__xludf.DUMMYFUNCTION("""COMPUTED_VALUE"""),"03 ORL")</f>
        <v>03 ORL</v>
      </c>
      <c r="N195" s="33" t="str">
        <f ca="1">IFERROR(__xludf.DUMMYFUNCTION("""COMPUTED_VALUE"""),"06 ORL")</f>
        <v>06 ORL</v>
      </c>
      <c r="O195" s="33" t="str">
        <f ca="1">IFERROR(__xludf.DUMMYFUNCTION("""COMPUTED_VALUE"""),"Dr, Álvaro Pérez Llinares")</f>
        <v>Dr, Álvaro Pérez Llinares</v>
      </c>
      <c r="P195" s="33" t="str">
        <f ca="1">IFERROR(__xludf.DUMMYFUNCTION("""COMPUTED_VALUE"""),"Ramon Ferrando(Valencia)")</f>
        <v>Ramon Ferrando(Valencia)</v>
      </c>
    </row>
    <row r="196" spans="2:16">
      <c r="B196" s="33">
        <f ca="1">IFERROR(__xludf.DUMMYFUNCTION("""COMPUTED_VALUE"""),2025)</f>
        <v>2025</v>
      </c>
      <c r="C196" s="33">
        <f ca="1">IFERROR(__xludf.DUMMYFUNCTION("""COMPUTED_VALUE"""),2)</f>
        <v>2</v>
      </c>
      <c r="D196" s="33" t="str">
        <f ca="1">IFERROR(__xludf.DUMMYFUNCTION("""COMPUTED_VALUE"""),"NO")</f>
        <v>NO</v>
      </c>
      <c r="E196" s="33" t="str">
        <f ca="1">IFERROR(__xludf.DUMMYFUNCTION("""COMPUTED_VALUE"""),"Madrid- La Oca")</f>
        <v>Madrid- La Oca</v>
      </c>
      <c r="F196" s="57">
        <f ca="1">IFERROR(__xludf.DUMMYFUNCTION("""COMPUTED_VALUE"""),45706)</f>
        <v>45706</v>
      </c>
      <c r="G196" s="57">
        <f ca="1">IFERROR(__xludf.DUMMYFUNCTION("""COMPUTED_VALUE"""),45664)</f>
        <v>45664</v>
      </c>
      <c r="H196" s="33" t="str">
        <f ca="1">IFERROR(__xludf.DUMMYFUNCTION("""COMPUTED_VALUE"""),"La Oca")</f>
        <v>La Oca</v>
      </c>
      <c r="I196" s="33" t="str">
        <f ca="1">IFERROR(__xludf.DUMMYFUNCTION("""COMPUTED_VALUE"""),"C2025116172116357")</f>
        <v>C2025116172116357</v>
      </c>
      <c r="J196" s="33" t="str">
        <f ca="1">IFERROR(__xludf.DUMMYFUNCTION("""COMPUTED_VALUE"""),"TEOFILO MARTINEZ ROMERA")</f>
        <v>TEOFILO MARTINEZ ROMERA</v>
      </c>
      <c r="K196" s="33">
        <f ca="1">IFERROR(__xludf.DUMMYFUNCTION("""COMPUTED_VALUE"""),2)</f>
        <v>2</v>
      </c>
      <c r="L196" s="203">
        <f ca="1">IFERROR(__xludf.DUMMYFUNCTION("""COMPUTED_VALUE"""),2888.18)</f>
        <v>2888.18</v>
      </c>
      <c r="M196" s="33" t="str">
        <f ca="1">IFERROR(__xludf.DUMMYFUNCTION("""COMPUTED_VALUE"""),"03 ORL")</f>
        <v>03 ORL</v>
      </c>
      <c r="N196" s="33" t="str">
        <f ca="1">IFERROR(__xludf.DUMMYFUNCTION("""COMPUTED_VALUE"""),"06 ORL")</f>
        <v>06 ORL</v>
      </c>
      <c r="O196" s="33" t="str">
        <f ca="1">IFERROR(__xludf.DUMMYFUNCTION("""COMPUTED_VALUE"""),"Dra, Bárbara Castillo Ávila")</f>
        <v>Dra, Bárbara Castillo Ávila</v>
      </c>
      <c r="P196" s="33" t="str">
        <f ca="1">IFERROR(__xludf.DUMMYFUNCTION("""COMPUTED_VALUE"""),"Maika Blázquez (Madrid)")</f>
        <v>Maika Blázquez (Madrid)</v>
      </c>
    </row>
    <row r="197" spans="2:16">
      <c r="B197" s="33">
        <f ca="1">IFERROR(__xludf.DUMMYFUNCTION("""COMPUTED_VALUE"""),2025)</f>
        <v>2025</v>
      </c>
      <c r="C197" s="33">
        <f ca="1">IFERROR(__xludf.DUMMYFUNCTION("""COMPUTED_VALUE"""),2)</f>
        <v>2</v>
      </c>
      <c r="D197" s="33" t="str">
        <f ca="1">IFERROR(__xludf.DUMMYFUNCTION("""COMPUTED_VALUE"""),"NO")</f>
        <v>NO</v>
      </c>
      <c r="E197" s="33" t="str">
        <f ca="1">IFERROR(__xludf.DUMMYFUNCTION("""COMPUTED_VALUE"""),"Madrid- Costa Rica")</f>
        <v>Madrid- Costa Rica</v>
      </c>
      <c r="F197" s="57">
        <f ca="1">IFERROR(__xludf.DUMMYFUNCTION("""COMPUTED_VALUE"""),45707)</f>
        <v>45707</v>
      </c>
      <c r="G197" s="57">
        <f ca="1">IFERROR(__xludf.DUMMYFUNCTION("""COMPUTED_VALUE"""),45666)</f>
        <v>45666</v>
      </c>
      <c r="H197" s="33" t="str">
        <f ca="1">IFERROR(__xludf.DUMMYFUNCTION("""COMPUTED_VALUE"""),"Costa Rica")</f>
        <v>Costa Rica</v>
      </c>
      <c r="I197" s="33" t="str">
        <f ca="1">IFERROR(__xludf.DUMMYFUNCTION("""COMPUTED_VALUE"""),"C202512795336841")</f>
        <v>C202512795336841</v>
      </c>
      <c r="J197" s="33" t="str">
        <f ca="1">IFERROR(__xludf.DUMMYFUNCTION("""COMPUTED_VALUE"""),"CARMEN GALAN MIGUEL")</f>
        <v>CARMEN GALAN MIGUEL</v>
      </c>
      <c r="K197" s="33">
        <f ca="1">IFERROR(__xludf.DUMMYFUNCTION("""COMPUTED_VALUE"""),2)</f>
        <v>2</v>
      </c>
      <c r="L197" s="203">
        <f ca="1">IFERROR(__xludf.DUMMYFUNCTION("""COMPUTED_VALUE"""),2450.13)</f>
        <v>2450.13</v>
      </c>
      <c r="M197" s="33" t="str">
        <f ca="1">IFERROR(__xludf.DUMMYFUNCTION("""COMPUTED_VALUE"""),"03 ORL")</f>
        <v>03 ORL</v>
      </c>
      <c r="N197" s="33" t="str">
        <f ca="1">IFERROR(__xludf.DUMMYFUNCTION("""COMPUTED_VALUE"""),"06 ORL")</f>
        <v>06 ORL</v>
      </c>
      <c r="O197" s="33" t="str">
        <f ca="1">IFERROR(__xludf.DUMMYFUNCTION("""COMPUTED_VALUE"""),"Dr, Alejandro Harguindey Antoli-Candela")</f>
        <v>Dr, Alejandro Harguindey Antoli-Candela</v>
      </c>
      <c r="P197" s="33" t="str">
        <f ca="1">IFERROR(__xludf.DUMMYFUNCTION("""COMPUTED_VALUE"""),"Maika Blázquez (Madrid)")</f>
        <v>Maika Blázquez (Madrid)</v>
      </c>
    </row>
    <row r="198" spans="2:16">
      <c r="B198" s="33">
        <f ca="1">IFERROR(__xludf.DUMMYFUNCTION("""COMPUTED_VALUE"""),2025)</f>
        <v>2025</v>
      </c>
      <c r="C198" s="33">
        <f ca="1">IFERROR(__xludf.DUMMYFUNCTION("""COMPUTED_VALUE"""),2)</f>
        <v>2</v>
      </c>
      <c r="D198" s="33" t="str">
        <f ca="1">IFERROR(__xludf.DUMMYFUNCTION("""COMPUTED_VALUE"""),"NO")</f>
        <v>NO</v>
      </c>
      <c r="E198" s="33" t="str">
        <f ca="1">IFERROR(__xludf.DUMMYFUNCTION("""COMPUTED_VALUE"""),"Fuenlabrada")</f>
        <v>Fuenlabrada</v>
      </c>
      <c r="F198" s="57">
        <f ca="1">IFERROR(__xludf.DUMMYFUNCTION("""COMPUTED_VALUE"""),45707)</f>
        <v>45707</v>
      </c>
      <c r="G198" s="57">
        <f ca="1">IFERROR(__xludf.DUMMYFUNCTION("""COMPUTED_VALUE"""),45687)</f>
        <v>45687</v>
      </c>
      <c r="H198" s="33" t="str">
        <f ca="1">IFERROR(__xludf.DUMMYFUNCTION("""COMPUTED_VALUE"""),"Fuenlabrada")</f>
        <v>Fuenlabrada</v>
      </c>
      <c r="I198" s="33" t="str">
        <f ca="1">IFERROR(__xludf.DUMMYFUNCTION("""COMPUTED_VALUE"""),"C20252412446666")</f>
        <v>C20252412446666</v>
      </c>
      <c r="J198" s="33" t="str">
        <f ca="1">IFERROR(__xludf.DUMMYFUNCTION("""COMPUTED_VALUE"""),"ELVIRA ENGUIDANOS PINO")</f>
        <v>ELVIRA ENGUIDANOS PINO</v>
      </c>
      <c r="K198" s="33">
        <f ca="1">IFERROR(__xludf.DUMMYFUNCTION("""COMPUTED_VALUE"""),2)</f>
        <v>2</v>
      </c>
      <c r="L198" s="203">
        <f ca="1">IFERROR(__xludf.DUMMYFUNCTION("""COMPUTED_VALUE"""),3710)</f>
        <v>3710</v>
      </c>
      <c r="M198" s="33" t="str">
        <f ca="1">IFERROR(__xludf.DUMMYFUNCTION("""COMPUTED_VALUE"""),"03 ORL")</f>
        <v>03 ORL</v>
      </c>
      <c r="N198" s="33" t="str">
        <f ca="1">IFERROR(__xludf.DUMMYFUNCTION("""COMPUTED_VALUE"""),"06 ORL")</f>
        <v>06 ORL</v>
      </c>
      <c r="O198" s="33" t="str">
        <f ca="1">IFERROR(__xludf.DUMMYFUNCTION("""COMPUTED_VALUE"""),"Dra, María Gabriela Bosco Morales")</f>
        <v>Dra, María Gabriela Bosco Morales</v>
      </c>
      <c r="P198" s="33" t="str">
        <f ca="1">IFERROR(__xludf.DUMMYFUNCTION("""COMPUTED_VALUE"""),"Maika Blázquez (Madrid)")</f>
        <v>Maika Blázquez (Madrid)</v>
      </c>
    </row>
    <row r="199" spans="2:16">
      <c r="B199" s="33">
        <f ca="1">IFERROR(__xludf.DUMMYFUNCTION("""COMPUTED_VALUE"""),2025)</f>
        <v>2025</v>
      </c>
      <c r="C199" s="33">
        <f ca="1">IFERROR(__xludf.DUMMYFUNCTION("""COMPUTED_VALUE"""),2)</f>
        <v>2</v>
      </c>
      <c r="D199" s="33" t="str">
        <f ca="1">IFERROR(__xludf.DUMMYFUNCTION("""COMPUTED_VALUE"""),"NO")</f>
        <v>NO</v>
      </c>
      <c r="E199" s="33" t="str">
        <f ca="1">IFERROR(__xludf.DUMMYFUNCTION("""COMPUTED_VALUE"""),"Torrejón de Ardoz")</f>
        <v>Torrejón de Ardoz</v>
      </c>
      <c r="F199" s="57">
        <f ca="1">IFERROR(__xludf.DUMMYFUNCTION("""COMPUTED_VALUE"""),45707)</f>
        <v>45707</v>
      </c>
      <c r="G199" s="57">
        <f ca="1">IFERROR(__xludf.DUMMYFUNCTION("""COMPUTED_VALUE"""),45692)</f>
        <v>45692</v>
      </c>
      <c r="H199" s="33" t="str">
        <f ca="1">IFERROR(__xludf.DUMMYFUNCTION("""COMPUTED_VALUE"""),"Torrejón")</f>
        <v>Torrejón</v>
      </c>
      <c r="I199" s="33" t="str">
        <f ca="1">IFERROR(__xludf.DUMMYFUNCTION("""COMPUTED_VALUE"""),"C202524192528978")</f>
        <v>C202524192528978</v>
      </c>
      <c r="J199" s="33" t="str">
        <f ca="1">IFERROR(__xludf.DUMMYFUNCTION("""COMPUTED_VALUE"""),"CESAR DEL ALAMO BARRAS")</f>
        <v>CESAR DEL ALAMO BARRAS</v>
      </c>
      <c r="K199" s="33">
        <f ca="1">IFERROR(__xludf.DUMMYFUNCTION("""COMPUTED_VALUE"""),2)</f>
        <v>2</v>
      </c>
      <c r="L199" s="203">
        <f ca="1">IFERROR(__xludf.DUMMYFUNCTION("""COMPUTED_VALUE"""),4000)</f>
        <v>4000</v>
      </c>
      <c r="M199" s="33" t="str">
        <f ca="1">IFERROR(__xludf.DUMMYFUNCTION("""COMPUTED_VALUE"""),"03 ORL")</f>
        <v>03 ORL</v>
      </c>
      <c r="N199" s="33" t="str">
        <f ca="1">IFERROR(__xludf.DUMMYFUNCTION("""COMPUTED_VALUE"""),"06 ORL")</f>
        <v>06 ORL</v>
      </c>
      <c r="O199" s="33" t="str">
        <f ca="1">IFERROR(__xludf.DUMMYFUNCTION("""COMPUTED_VALUE"""),"Dr, Abel Bogoya Castaño")</f>
        <v>Dr, Abel Bogoya Castaño</v>
      </c>
      <c r="P199" s="33" t="str">
        <f ca="1">IFERROR(__xludf.DUMMYFUNCTION("""COMPUTED_VALUE"""),"Maika Blázquez (Madrid)")</f>
        <v>Maika Blázquez (Madrid)</v>
      </c>
    </row>
    <row r="200" spans="2:16">
      <c r="B200" s="33">
        <f ca="1">IFERROR(__xludf.DUMMYFUNCTION("""COMPUTED_VALUE"""),2025)</f>
        <v>2025</v>
      </c>
      <c r="C200" s="33">
        <f ca="1">IFERROR(__xludf.DUMMYFUNCTION("""COMPUTED_VALUE"""),2)</f>
        <v>2</v>
      </c>
      <c r="D200" s="33" t="str">
        <f ca="1">IFERROR(__xludf.DUMMYFUNCTION("""COMPUTED_VALUE"""),"NO")</f>
        <v>NO</v>
      </c>
      <c r="E200" s="33" t="str">
        <f ca="1">IFERROR(__xludf.DUMMYFUNCTION("""COMPUTED_VALUE"""),"Ourense")</f>
        <v>Ourense</v>
      </c>
      <c r="F200" s="57">
        <f ca="1">IFERROR(__xludf.DUMMYFUNCTION("""COMPUTED_VALUE"""),45707)</f>
        <v>45707</v>
      </c>
      <c r="G200" s="57">
        <f ca="1">IFERROR(__xludf.DUMMYFUNCTION("""COMPUTED_VALUE"""),45624)</f>
        <v>45624</v>
      </c>
      <c r="H200" s="33" t="str">
        <f ca="1">IFERROR(__xludf.DUMMYFUNCTION("""COMPUTED_VALUE"""),"Orense")</f>
        <v>Orense</v>
      </c>
      <c r="I200" s="33" t="str">
        <f ca="1">IFERROR(__xludf.DUMMYFUNCTION("""COMPUTED_VALUE"""),"ORS-435")</f>
        <v>ORS-435</v>
      </c>
      <c r="J200" s="33" t="str">
        <f ca="1">IFERROR(__xludf.DUMMYFUNCTION("""COMPUTED_VALUE"""),"JUAN PEREZ FEIJOO")</f>
        <v>JUAN PEREZ FEIJOO</v>
      </c>
      <c r="K200" s="33">
        <f ca="1">IFERROR(__xludf.DUMMYFUNCTION("""COMPUTED_VALUE"""),2)</f>
        <v>2</v>
      </c>
      <c r="L200" s="203">
        <f ca="1">IFERROR(__xludf.DUMMYFUNCTION("""COMPUTED_VALUE"""),3998.18)</f>
        <v>3998.18</v>
      </c>
      <c r="M200" s="33" t="str">
        <f ca="1">IFERROR(__xludf.DUMMYFUNCTION("""COMPUTED_VALUE"""),"03 ORL")</f>
        <v>03 ORL</v>
      </c>
      <c r="N200" s="33" t="str">
        <f ca="1">IFERROR(__xludf.DUMMYFUNCTION("""COMPUTED_VALUE"""),"06 ORL")</f>
        <v>06 ORL</v>
      </c>
      <c r="O200" s="33" t="str">
        <f ca="1">IFERROR(__xludf.DUMMYFUNCTION("""COMPUTED_VALUE"""),"Dr, Gonzalo Dorado Gutiérrez")</f>
        <v>Dr, Gonzalo Dorado Gutiérrez</v>
      </c>
      <c r="P200" s="33" t="str">
        <f ca="1">IFERROR(__xludf.DUMMYFUNCTION("""COMPUTED_VALUE"""),"Roberto Pereira (Galicia)")</f>
        <v>Roberto Pereira (Galicia)</v>
      </c>
    </row>
    <row r="201" spans="2:16">
      <c r="B201" s="33">
        <f ca="1">IFERROR(__xludf.DUMMYFUNCTION("""COMPUTED_VALUE"""),2025)</f>
        <v>2025</v>
      </c>
      <c r="C201" s="33">
        <f ca="1">IFERROR(__xludf.DUMMYFUNCTION("""COMPUTED_VALUE"""),2)</f>
        <v>2</v>
      </c>
      <c r="D201" s="33" t="str">
        <f ca="1">IFERROR(__xludf.DUMMYFUNCTION("""COMPUTED_VALUE"""),"NO")</f>
        <v>NO</v>
      </c>
      <c r="E201" s="33" t="str">
        <f ca="1">IFERROR(__xludf.DUMMYFUNCTION("""COMPUTED_VALUE"""),"Valencia- Cádiz")</f>
        <v>Valencia- Cádiz</v>
      </c>
      <c r="F201" s="57">
        <f ca="1">IFERROR(__xludf.DUMMYFUNCTION("""COMPUTED_VALUE"""),45707)</f>
        <v>45707</v>
      </c>
      <c r="G201" s="57">
        <f ca="1">IFERROR(__xludf.DUMMYFUNCTION("""COMPUTED_VALUE"""),45610)</f>
        <v>45610</v>
      </c>
      <c r="H201" s="33" t="str">
        <f ca="1">IFERROR(__xludf.DUMMYFUNCTION("""COMPUTED_VALUE"""),"Valencia- Cádiz")</f>
        <v>Valencia- Cádiz</v>
      </c>
      <c r="I201" s="33" t="str">
        <f ca="1">IFERROR(__xludf.DUMMYFUNCTION("""COMPUTED_VALUE"""),"C2024112111716344")</f>
        <v>C2024112111716344</v>
      </c>
      <c r="J201" s="33" t="str">
        <f ca="1">IFERROR(__xludf.DUMMYFUNCTION("""COMPUTED_VALUE"""),"CONCHA LLACER PEREZ")</f>
        <v>CONCHA LLACER PEREZ</v>
      </c>
      <c r="K201" s="33">
        <f ca="1">IFERROR(__xludf.DUMMYFUNCTION("""COMPUTED_VALUE"""),1)</f>
        <v>1</v>
      </c>
      <c r="L201" s="203">
        <f ca="1">IFERROR(__xludf.DUMMYFUNCTION("""COMPUTED_VALUE"""),2400)</f>
        <v>2400</v>
      </c>
      <c r="M201" s="33" t="str">
        <f ca="1">IFERROR(__xludf.DUMMYFUNCTION("""COMPUTED_VALUE"""),"03 ORL")</f>
        <v>03 ORL</v>
      </c>
      <c r="N201" s="33" t="str">
        <f ca="1">IFERROR(__xludf.DUMMYFUNCTION("""COMPUTED_VALUE"""),"06 ORL")</f>
        <v>06 ORL</v>
      </c>
      <c r="O201" s="33" t="str">
        <f ca="1">IFERROR(__xludf.DUMMYFUNCTION("""COMPUTED_VALUE"""),"Dr, Manuel Mateos Fernández")</f>
        <v>Dr, Manuel Mateos Fernández</v>
      </c>
      <c r="P201" s="33" t="str">
        <f ca="1">IFERROR(__xludf.DUMMYFUNCTION("""COMPUTED_VALUE"""),"Ramon Ferrando(Valencia)")</f>
        <v>Ramon Ferrando(Valencia)</v>
      </c>
    </row>
    <row r="202" spans="2:16">
      <c r="B202" s="33">
        <f ca="1">IFERROR(__xludf.DUMMYFUNCTION("""COMPUTED_VALUE"""),2025)</f>
        <v>2025</v>
      </c>
      <c r="C202" s="33">
        <f ca="1">IFERROR(__xludf.DUMMYFUNCTION("""COMPUTED_VALUE"""),2)</f>
        <v>2</v>
      </c>
      <c r="D202" s="33" t="str">
        <f ca="1">IFERROR(__xludf.DUMMYFUNCTION("""COMPUTED_VALUE"""),"NO")</f>
        <v>NO</v>
      </c>
      <c r="E202" s="33" t="str">
        <f ca="1">IFERROR(__xludf.DUMMYFUNCTION("""COMPUTED_VALUE"""),"Talavera")</f>
        <v>Talavera</v>
      </c>
      <c r="F202" s="57">
        <f ca="1">IFERROR(__xludf.DUMMYFUNCTION("""COMPUTED_VALUE"""),45708)</f>
        <v>45708</v>
      </c>
      <c r="G202" s="57">
        <f ca="1">IFERROR(__xludf.DUMMYFUNCTION("""COMPUTED_VALUE"""),45670)</f>
        <v>45670</v>
      </c>
      <c r="H202" s="33" t="str">
        <f ca="1">IFERROR(__xludf.DUMMYFUNCTION("""COMPUTED_VALUE"""),"Talavera")</f>
        <v>Talavera</v>
      </c>
      <c r="I202" s="33" t="str">
        <f ca="1">IFERROR(__xludf.DUMMYFUNCTION("""COMPUTED_VALUE"""),"C2025115165722258")</f>
        <v>C2025115165722258</v>
      </c>
      <c r="J202" s="33" t="str">
        <f ca="1">IFERROR(__xludf.DUMMYFUNCTION("""COMPUTED_VALUE"""),"ANGELA CUESTA CUESTA")</f>
        <v>ANGELA CUESTA CUESTA</v>
      </c>
      <c r="K202" s="33">
        <f ca="1">IFERROR(__xludf.DUMMYFUNCTION("""COMPUTED_VALUE"""),2)</f>
        <v>2</v>
      </c>
      <c r="L202" s="203">
        <f ca="1">IFERROR(__xludf.DUMMYFUNCTION("""COMPUTED_VALUE"""),3710)</f>
        <v>3710</v>
      </c>
      <c r="M202" s="33" t="str">
        <f ca="1">IFERROR(__xludf.DUMMYFUNCTION("""COMPUTED_VALUE"""),"03 ORL")</f>
        <v>03 ORL</v>
      </c>
      <c r="N202" s="33" t="str">
        <f ca="1">IFERROR(__xludf.DUMMYFUNCTION("""COMPUTED_VALUE"""),"06 ORL")</f>
        <v>06 ORL</v>
      </c>
      <c r="O202" s="33" t="str">
        <f ca="1">IFERROR(__xludf.DUMMYFUNCTION("""COMPUTED_VALUE"""),"Dra, Cristina Povedano Fernández")</f>
        <v>Dra, Cristina Povedano Fernández</v>
      </c>
      <c r="P202" s="33" t="str">
        <f ca="1">IFERROR(__xludf.DUMMYFUNCTION("""COMPUTED_VALUE"""),"Maika Blázquez (Madrid)")</f>
        <v>Maika Blázquez (Madrid)</v>
      </c>
    </row>
    <row r="203" spans="2:16">
      <c r="B203" s="33">
        <f ca="1">IFERROR(__xludf.DUMMYFUNCTION("""COMPUTED_VALUE"""),2025)</f>
        <v>2025</v>
      </c>
      <c r="C203" s="33">
        <f ca="1">IFERROR(__xludf.DUMMYFUNCTION("""COMPUTED_VALUE"""),2)</f>
        <v>2</v>
      </c>
      <c r="D203" s="33" t="str">
        <f ca="1">IFERROR(__xludf.DUMMYFUNCTION("""COMPUTED_VALUE"""),"NO")</f>
        <v>NO</v>
      </c>
      <c r="E203" s="33" t="str">
        <f ca="1">IFERROR(__xludf.DUMMYFUNCTION("""COMPUTED_VALUE"""),"Murcia")</f>
        <v>Murcia</v>
      </c>
      <c r="F203" s="57">
        <f ca="1">IFERROR(__xludf.DUMMYFUNCTION("""COMPUTED_VALUE"""),45708)</f>
        <v>45708</v>
      </c>
      <c r="G203" s="57">
        <f ca="1">IFERROR(__xludf.DUMMYFUNCTION("""COMPUTED_VALUE"""),45321)</f>
        <v>45321</v>
      </c>
      <c r="H203" s="33" t="str">
        <f ca="1">IFERROR(__xludf.DUMMYFUNCTION("""COMPUTED_VALUE"""),"Murcia")</f>
        <v>Murcia</v>
      </c>
      <c r="I203" s="33" t="str">
        <f ca="1">IFERROR(__xludf.DUMMYFUNCTION("""COMPUTED_VALUE"""),"MUR-1837")</f>
        <v>MUR-1837</v>
      </c>
      <c r="J203" s="33" t="str">
        <f ca="1">IFERROR(__xludf.DUMMYFUNCTION("""COMPUTED_VALUE"""),"ANDREA VENTURA RUIZ")</f>
        <v>ANDREA VENTURA RUIZ</v>
      </c>
      <c r="K203" s="33">
        <f ca="1">IFERROR(__xludf.DUMMYFUNCTION("""COMPUTED_VALUE"""),2)</f>
        <v>2</v>
      </c>
      <c r="L203" s="203">
        <f ca="1">IFERROR(__xludf.DUMMYFUNCTION("""COMPUTED_VALUE"""),2780.91)</f>
        <v>2780.91</v>
      </c>
      <c r="M203" s="33" t="str">
        <f ca="1">IFERROR(__xludf.DUMMYFUNCTION("""COMPUTED_VALUE"""),"03 ORL")</f>
        <v>03 ORL</v>
      </c>
      <c r="N203" s="33" t="str">
        <f ca="1">IFERROR(__xludf.DUMMYFUNCTION("""COMPUTED_VALUE"""),"06 ORL")</f>
        <v>06 ORL</v>
      </c>
      <c r="O203" s="33" t="str">
        <f ca="1">IFERROR(__xludf.DUMMYFUNCTION("""COMPUTED_VALUE"""),"Dra, María Agustina Sevilla García")</f>
        <v>Dra, María Agustina Sevilla García</v>
      </c>
      <c r="P203" s="33" t="str">
        <f ca="1">IFERROR(__xludf.DUMMYFUNCTION("""COMPUTED_VALUE"""),"Iván Sánchez (Levante Y Albacete)")</f>
        <v>Iván Sánchez (Levante Y Albacete)</v>
      </c>
    </row>
    <row r="204" spans="2:16">
      <c r="B204" s="33">
        <f ca="1">IFERROR(__xludf.DUMMYFUNCTION("""COMPUTED_VALUE"""),2025)</f>
        <v>2025</v>
      </c>
      <c r="C204" s="33">
        <f ca="1">IFERROR(__xludf.DUMMYFUNCTION("""COMPUTED_VALUE"""),2)</f>
        <v>2</v>
      </c>
      <c r="D204" s="33" t="str">
        <f ca="1">IFERROR(__xludf.DUMMYFUNCTION("""COMPUTED_VALUE"""),"NO")</f>
        <v>NO</v>
      </c>
      <c r="E204" s="33" t="str">
        <f ca="1">IFERROR(__xludf.DUMMYFUNCTION("""COMPUTED_VALUE"""),"Santiago de Compostela")</f>
        <v>Santiago de Compostela</v>
      </c>
      <c r="F204" s="57">
        <f ca="1">IFERROR(__xludf.DUMMYFUNCTION("""COMPUTED_VALUE"""),45708)</f>
        <v>45708</v>
      </c>
      <c r="G204" s="57">
        <f ca="1">IFERROR(__xludf.DUMMYFUNCTION("""COMPUTED_VALUE"""),45678)</f>
        <v>45678</v>
      </c>
      <c r="H204" s="33" t="str">
        <f ca="1">IFERROR(__xludf.DUMMYFUNCTION("""COMPUTED_VALUE"""),"Santiago")</f>
        <v>Santiago</v>
      </c>
      <c r="I204" s="33" t="str">
        <f ca="1">IFERROR(__xludf.DUMMYFUNCTION("""COMPUTED_VALUE"""),"C202513010579392")</f>
        <v>C202513010579392</v>
      </c>
      <c r="J204" s="33" t="str">
        <f ca="1">IFERROR(__xludf.DUMMYFUNCTION("""COMPUTED_VALUE"""),"FELIPE SANTIAGO JOSE RIVERO DE AGUILAR SOBRINO")</f>
        <v>FELIPE SANTIAGO JOSE RIVERO DE AGUILAR SOBRINO</v>
      </c>
      <c r="K204" s="33">
        <f ca="1">IFERROR(__xludf.DUMMYFUNCTION("""COMPUTED_VALUE"""),2)</f>
        <v>2</v>
      </c>
      <c r="L204" s="203">
        <f ca="1">IFERROR(__xludf.DUMMYFUNCTION("""COMPUTED_VALUE"""),4000)</f>
        <v>4000</v>
      </c>
      <c r="M204" s="33" t="str">
        <f ca="1">IFERROR(__xludf.DUMMYFUNCTION("""COMPUTED_VALUE"""),"03 ORL")</f>
        <v>03 ORL</v>
      </c>
      <c r="N204" s="33" t="str">
        <f ca="1">IFERROR(__xludf.DUMMYFUNCTION("""COMPUTED_VALUE"""),"06 ORL")</f>
        <v>06 ORL</v>
      </c>
      <c r="O204" s="33" t="str">
        <f ca="1">IFERROR(__xludf.DUMMYFUNCTION("""COMPUTED_VALUE"""),"Dr, Joaquín Guerra Gómez")</f>
        <v>Dr, Joaquín Guerra Gómez</v>
      </c>
      <c r="P204" s="33" t="str">
        <f ca="1">IFERROR(__xludf.DUMMYFUNCTION("""COMPUTED_VALUE"""),"Roberto Pereira (Galicia)")</f>
        <v>Roberto Pereira (Galicia)</v>
      </c>
    </row>
    <row r="205" spans="2:16">
      <c r="B205" s="33">
        <f ca="1">IFERROR(__xludf.DUMMYFUNCTION("""COMPUTED_VALUE"""),2025)</f>
        <v>2025</v>
      </c>
      <c r="C205" s="33">
        <f ca="1">IFERROR(__xludf.DUMMYFUNCTION("""COMPUTED_VALUE"""),2)</f>
        <v>2</v>
      </c>
      <c r="D205" s="33" t="str">
        <f ca="1">IFERROR(__xludf.DUMMYFUNCTION("""COMPUTED_VALUE"""),"NO")</f>
        <v>NO</v>
      </c>
      <c r="E205" s="33" t="str">
        <f ca="1">IFERROR(__xludf.DUMMYFUNCTION("""COMPUTED_VALUE"""),"Albacete")</f>
        <v>Albacete</v>
      </c>
      <c r="F205" s="57">
        <f ca="1">IFERROR(__xludf.DUMMYFUNCTION("""COMPUTED_VALUE"""),45708)</f>
        <v>45708</v>
      </c>
      <c r="G205" s="57">
        <f ca="1">IFERROR(__xludf.DUMMYFUNCTION("""COMPUTED_VALUE"""),45706)</f>
        <v>45706</v>
      </c>
      <c r="H205" s="33" t="str">
        <f ca="1">IFERROR(__xludf.DUMMYFUNCTION("""COMPUTED_VALUE"""),"Albacete")</f>
        <v>Albacete</v>
      </c>
      <c r="I205" s="33" t="str">
        <f ca="1">IFERROR(__xludf.DUMMYFUNCTION("""COMPUTED_VALUE"""),"C2025220182814744")</f>
        <v>C2025220182814744</v>
      </c>
      <c r="J205" s="33" t="str">
        <f ca="1">IFERROR(__xludf.DUMMYFUNCTION("""COMPUTED_VALUE"""),"JUANA MOROTE ARANOS [RUBEN GONZALEZ MOROTE]")</f>
        <v>JUANA MOROTE ARANOS [RUBEN GONZALEZ MOROTE]</v>
      </c>
      <c r="K205" s="33">
        <f ca="1">IFERROR(__xludf.DUMMYFUNCTION("""COMPUTED_VALUE"""),1)</f>
        <v>1</v>
      </c>
      <c r="L205" s="203">
        <f ca="1">IFERROR(__xludf.DUMMYFUNCTION("""COMPUTED_VALUE"""),2400)</f>
        <v>2400</v>
      </c>
      <c r="M205" s="33" t="str">
        <f ca="1">IFERROR(__xludf.DUMMYFUNCTION("""COMPUTED_VALUE"""),"03 ORL")</f>
        <v>03 ORL</v>
      </c>
      <c r="N205" s="33" t="str">
        <f ca="1">IFERROR(__xludf.DUMMYFUNCTION("""COMPUTED_VALUE"""),"06 ORL")</f>
        <v>06 ORL</v>
      </c>
      <c r="O205" s="33" t="str">
        <f ca="1">IFERROR(__xludf.DUMMYFUNCTION("""COMPUTED_VALUE"""),"No Recuerda Orl")</f>
        <v>No Recuerda Orl</v>
      </c>
      <c r="P205" s="33" t="str">
        <f ca="1">IFERROR(__xludf.DUMMYFUNCTION("""COMPUTED_VALUE"""),"Iván Sánchez (Levante Y Albacete)")</f>
        <v>Iván Sánchez (Levante Y Albacete)</v>
      </c>
    </row>
    <row r="206" spans="2:16">
      <c r="B206" s="33">
        <f ca="1">IFERROR(__xludf.DUMMYFUNCTION("""COMPUTED_VALUE"""),2025)</f>
        <v>2025</v>
      </c>
      <c r="C206" s="33">
        <f ca="1">IFERROR(__xludf.DUMMYFUNCTION("""COMPUTED_VALUE"""),2)</f>
        <v>2</v>
      </c>
      <c r="D206" s="33" t="str">
        <f ca="1">IFERROR(__xludf.DUMMYFUNCTION("""COMPUTED_VALUE"""),"NO")</f>
        <v>NO</v>
      </c>
      <c r="E206" s="33" t="str">
        <f ca="1">IFERROR(__xludf.DUMMYFUNCTION("""COMPUTED_VALUE"""),"Hospitalet de Llobregat")</f>
        <v>Hospitalet de Llobregat</v>
      </c>
      <c r="F206" s="57">
        <f ca="1">IFERROR(__xludf.DUMMYFUNCTION("""COMPUTED_VALUE"""),45708)</f>
        <v>45708</v>
      </c>
      <c r="G206" s="57">
        <f ca="1">IFERROR(__xludf.DUMMYFUNCTION("""COMPUTED_VALUE"""),45681)</f>
        <v>45681</v>
      </c>
      <c r="H206" s="33" t="str">
        <f ca="1">IFERROR(__xludf.DUMMYFUNCTION("""COMPUTED_VALUE"""),"Hospitalet")</f>
        <v>Hospitalet</v>
      </c>
      <c r="I206" s="33" t="str">
        <f ca="1">IFERROR(__xludf.DUMMYFUNCTION("""COMPUTED_VALUE"""),"C202512910319767")</f>
        <v>C202512910319767</v>
      </c>
      <c r="J206" s="33" t="str">
        <f ca="1">IFERROR(__xludf.DUMMYFUNCTION("""COMPUTED_VALUE"""),"ANGELES BROTONS BEIVELL")</f>
        <v>ANGELES BROTONS BEIVELL</v>
      </c>
      <c r="K206" s="33">
        <f ca="1">IFERROR(__xludf.DUMMYFUNCTION("""COMPUTED_VALUE"""),2)</f>
        <v>2</v>
      </c>
      <c r="L206" s="203">
        <f ca="1">IFERROR(__xludf.DUMMYFUNCTION("""COMPUTED_VALUE"""),2722.73)</f>
        <v>2722.73</v>
      </c>
      <c r="M206" s="33" t="str">
        <f ca="1">IFERROR(__xludf.DUMMYFUNCTION("""COMPUTED_VALUE"""),"03 ORL")</f>
        <v>03 ORL</v>
      </c>
      <c r="N206" s="33" t="str">
        <f ca="1">IFERROR(__xludf.DUMMYFUNCTION("""COMPUTED_VALUE"""),"06 ORL")</f>
        <v>06 ORL</v>
      </c>
      <c r="O206" s="33" t="str">
        <f ca="1">IFERROR(__xludf.DUMMYFUNCTION("""COMPUTED_VALUE"""),"Dr, Jesus-Maria Grasa Pérez")</f>
        <v>Dr, Jesus-Maria Grasa Pérez</v>
      </c>
      <c r="P206" s="33" t="str">
        <f ca="1">IFERROR(__xludf.DUMMYFUNCTION("""COMPUTED_VALUE"""),"Mercè Cabrera (Cataluña Y Baleares)")</f>
        <v>Mercè Cabrera (Cataluña Y Baleares)</v>
      </c>
    </row>
    <row r="207" spans="2:16">
      <c r="B207" s="33">
        <f ca="1">IFERROR(__xludf.DUMMYFUNCTION("""COMPUTED_VALUE"""),2025)</f>
        <v>2025</v>
      </c>
      <c r="C207" s="33">
        <f ca="1">IFERROR(__xludf.DUMMYFUNCTION("""COMPUTED_VALUE"""),2)</f>
        <v>2</v>
      </c>
      <c r="D207" s="33" t="str">
        <f ca="1">IFERROR(__xludf.DUMMYFUNCTION("""COMPUTED_VALUE"""),"NO")</f>
        <v>NO</v>
      </c>
      <c r="E207" s="33" t="str">
        <f ca="1">IFERROR(__xludf.DUMMYFUNCTION("""COMPUTED_VALUE"""),"Torrejón de Ardoz")</f>
        <v>Torrejón de Ardoz</v>
      </c>
      <c r="F207" s="57">
        <f ca="1">IFERROR(__xludf.DUMMYFUNCTION("""COMPUTED_VALUE"""),45708)</f>
        <v>45708</v>
      </c>
      <c r="G207" s="57">
        <f ca="1">IFERROR(__xludf.DUMMYFUNCTION("""COMPUTED_VALUE"""),45695)</f>
        <v>45695</v>
      </c>
      <c r="H207" s="33" t="str">
        <f ca="1">IFERROR(__xludf.DUMMYFUNCTION("""COMPUTED_VALUE"""),"Torrejón")</f>
        <v>Torrejón</v>
      </c>
      <c r="I207" s="33" t="str">
        <f ca="1">IFERROR(__xludf.DUMMYFUNCTION("""COMPUTED_VALUE"""),"C20252711345593")</f>
        <v>C20252711345593</v>
      </c>
      <c r="J207" s="33" t="str">
        <f ca="1">IFERROR(__xludf.DUMMYFUNCTION("""COMPUTED_VALUE"""),"LUIS REFOLIO REFOLIO")</f>
        <v>LUIS REFOLIO REFOLIO</v>
      </c>
      <c r="K207" s="33">
        <f ca="1">IFERROR(__xludf.DUMMYFUNCTION("""COMPUTED_VALUE"""),2)</f>
        <v>2</v>
      </c>
      <c r="L207" s="203">
        <f ca="1">IFERROR(__xludf.DUMMYFUNCTION("""COMPUTED_VALUE"""),2888.18)</f>
        <v>2888.18</v>
      </c>
      <c r="M207" s="33" t="str">
        <f ca="1">IFERROR(__xludf.DUMMYFUNCTION("""COMPUTED_VALUE"""),"03 ORL")</f>
        <v>03 ORL</v>
      </c>
      <c r="N207" s="33" t="str">
        <f ca="1">IFERROR(__xludf.DUMMYFUNCTION("""COMPUTED_VALUE"""),"06 ORL")</f>
        <v>06 ORL</v>
      </c>
      <c r="O207" s="33" t="str">
        <f ca="1">IFERROR(__xludf.DUMMYFUNCTION("""COMPUTED_VALUE"""),"Dra, María Garrote Garrote")</f>
        <v>Dra, María Garrote Garrote</v>
      </c>
      <c r="P207" s="33" t="str">
        <f ca="1">IFERROR(__xludf.DUMMYFUNCTION("""COMPUTED_VALUE"""),"Maika Blázquez (Madrid)")</f>
        <v>Maika Blázquez (Madrid)</v>
      </c>
    </row>
    <row r="208" spans="2:16">
      <c r="B208" s="33">
        <f ca="1">IFERROR(__xludf.DUMMYFUNCTION("""COMPUTED_VALUE"""),2025)</f>
        <v>2025</v>
      </c>
      <c r="C208" s="33">
        <f ca="1">IFERROR(__xludf.DUMMYFUNCTION("""COMPUTED_VALUE"""),2)</f>
        <v>2</v>
      </c>
      <c r="D208" s="33" t="str">
        <f ca="1">IFERROR(__xludf.DUMMYFUNCTION("""COMPUTED_VALUE"""),"NO")</f>
        <v>NO</v>
      </c>
      <c r="E208" s="33" t="str">
        <f ca="1">IFERROR(__xludf.DUMMYFUNCTION("""COMPUTED_VALUE"""),"Madrid- La Oca")</f>
        <v>Madrid- La Oca</v>
      </c>
      <c r="F208" s="57">
        <f ca="1">IFERROR(__xludf.DUMMYFUNCTION("""COMPUTED_VALUE"""),45709)</f>
        <v>45709</v>
      </c>
      <c r="G208" s="57">
        <f ca="1">IFERROR(__xludf.DUMMYFUNCTION("""COMPUTED_VALUE"""),45616)</f>
        <v>45616</v>
      </c>
      <c r="H208" s="33" t="str">
        <f ca="1">IFERROR(__xludf.DUMMYFUNCTION("""COMPUTED_VALUE"""),"La Oca")</f>
        <v>La Oca</v>
      </c>
      <c r="I208" s="33" t="str">
        <f ca="1">IFERROR(__xludf.DUMMYFUNCTION("""COMPUTED_VALUE"""),"C202519125534361")</f>
        <v>C202519125534361</v>
      </c>
      <c r="J208" s="33" t="str">
        <f ca="1">IFERROR(__xludf.DUMMYFUNCTION("""COMPUTED_VALUE"""),"MARINA DOMINGUEZ GONZALEZ")</f>
        <v>MARINA DOMINGUEZ GONZALEZ</v>
      </c>
      <c r="K208" s="33">
        <f ca="1">IFERROR(__xludf.DUMMYFUNCTION("""COMPUTED_VALUE"""),1)</f>
        <v>1</v>
      </c>
      <c r="L208" s="203">
        <f ca="1">IFERROR(__xludf.DUMMYFUNCTION("""COMPUTED_VALUE"""),2226.36)</f>
        <v>2226.36</v>
      </c>
      <c r="M208" s="33" t="str">
        <f ca="1">IFERROR(__xludf.DUMMYFUNCTION("""COMPUTED_VALUE"""),"03 ORL")</f>
        <v>03 ORL</v>
      </c>
      <c r="N208" s="33" t="str">
        <f ca="1">IFERROR(__xludf.DUMMYFUNCTION("""COMPUTED_VALUE"""),"22 AUDIOMETRIA CLINICA")</f>
        <v>22 AUDIOMETRIA CLINICA</v>
      </c>
      <c r="O208" s="33" t="str">
        <f ca="1">IFERROR(__xludf.DUMMYFUNCTION("""COMPUTED_VALUE"""),"Dra, María Pérez Sepúlveda")</f>
        <v>Dra, María Pérez Sepúlveda</v>
      </c>
      <c r="P208" s="33" t="str">
        <f ca="1">IFERROR(__xludf.DUMMYFUNCTION("""COMPUTED_VALUE"""),"Maika Blázquez (Madrid)")</f>
        <v>Maika Blázquez (Madrid)</v>
      </c>
    </row>
    <row r="209" spans="2:16">
      <c r="B209" s="33">
        <f ca="1">IFERROR(__xludf.DUMMYFUNCTION("""COMPUTED_VALUE"""),2025)</f>
        <v>2025</v>
      </c>
      <c r="C209" s="33">
        <f ca="1">IFERROR(__xludf.DUMMYFUNCTION("""COMPUTED_VALUE"""),2)</f>
        <v>2</v>
      </c>
      <c r="D209" s="33" t="str">
        <f ca="1">IFERROR(__xludf.DUMMYFUNCTION("""COMPUTED_VALUE"""),"NO")</f>
        <v>NO</v>
      </c>
      <c r="E209" s="33" t="str">
        <f ca="1">IFERROR(__xludf.DUMMYFUNCTION("""COMPUTED_VALUE"""),"San Javier")</f>
        <v>San Javier</v>
      </c>
      <c r="F209" s="57">
        <f ca="1">IFERROR(__xludf.DUMMYFUNCTION("""COMPUTED_VALUE"""),45709)</f>
        <v>45709</v>
      </c>
      <c r="G209" s="57">
        <f ca="1">IFERROR(__xludf.DUMMYFUNCTION("""COMPUTED_VALUE"""),45649)</f>
        <v>45649</v>
      </c>
      <c r="H209" s="33" t="str">
        <f ca="1">IFERROR(__xludf.DUMMYFUNCTION("""COMPUTED_VALUE"""),"San Javier")</f>
        <v>San Javier</v>
      </c>
      <c r="I209" s="33" t="str">
        <f ca="1">IFERROR(__xludf.DUMMYFUNCTION("""COMPUTED_VALUE"""),"C20241230165138796")</f>
        <v>C20241230165138796</v>
      </c>
      <c r="J209" s="33" t="str">
        <f ca="1">IFERROR(__xludf.DUMMYFUNCTION("""COMPUTED_VALUE"""),"MOHAMMED BOURHAHA")</f>
        <v>MOHAMMED BOURHAHA</v>
      </c>
      <c r="K209" s="33">
        <f ca="1">IFERROR(__xludf.DUMMYFUNCTION("""COMPUTED_VALUE"""),2)</f>
        <v>2</v>
      </c>
      <c r="L209" s="203">
        <f ca="1">IFERROR(__xludf.DUMMYFUNCTION("""COMPUTED_VALUE"""),2579.09)</f>
        <v>2579.09</v>
      </c>
      <c r="M209" s="33" t="str">
        <f ca="1">IFERROR(__xludf.DUMMYFUNCTION("""COMPUTED_VALUE"""),"03 ORL")</f>
        <v>03 ORL</v>
      </c>
      <c r="N209" s="33" t="str">
        <f ca="1">IFERROR(__xludf.DUMMYFUNCTION("""COMPUTED_VALUE"""),"06 ORL")</f>
        <v>06 ORL</v>
      </c>
      <c r="O209" s="33" t="str">
        <f ca="1">IFERROR(__xludf.DUMMYFUNCTION("""COMPUTED_VALUE"""),"Dra, María Teresa Herrera Mera")</f>
        <v>Dra, María Teresa Herrera Mera</v>
      </c>
      <c r="P209" s="33" t="str">
        <f ca="1">IFERROR(__xludf.DUMMYFUNCTION("""COMPUTED_VALUE"""),"Iván Sánchez (Levante Y Albacete)")</f>
        <v>Iván Sánchez (Levante Y Albacete)</v>
      </c>
    </row>
    <row r="210" spans="2:16">
      <c r="B210" s="33">
        <f ca="1">IFERROR(__xludf.DUMMYFUNCTION("""COMPUTED_VALUE"""),2025)</f>
        <v>2025</v>
      </c>
      <c r="C210" s="33">
        <f ca="1">IFERROR(__xludf.DUMMYFUNCTION("""COMPUTED_VALUE"""),2)</f>
        <v>2</v>
      </c>
      <c r="D210" s="33" t="str">
        <f ca="1">IFERROR(__xludf.DUMMYFUNCTION("""COMPUTED_VALUE"""),"NO")</f>
        <v>NO</v>
      </c>
      <c r="E210" s="33" t="str">
        <f ca="1">IFERROR(__xludf.DUMMYFUNCTION("""COMPUTED_VALUE"""),"Logroño")</f>
        <v>Logroño</v>
      </c>
      <c r="F210" s="57">
        <f ca="1">IFERROR(__xludf.DUMMYFUNCTION("""COMPUTED_VALUE"""),45709)</f>
        <v>45709</v>
      </c>
      <c r="G210" s="57">
        <f ca="1">IFERROR(__xludf.DUMMYFUNCTION("""COMPUTED_VALUE"""),45670)</f>
        <v>45670</v>
      </c>
      <c r="H210" s="33" t="str">
        <f ca="1">IFERROR(__xludf.DUMMYFUNCTION("""COMPUTED_VALUE"""),"Logroño")</f>
        <v>Logroño</v>
      </c>
      <c r="I210" s="33" t="str">
        <f ca="1">IFERROR(__xludf.DUMMYFUNCTION("""COMPUTED_VALUE"""),"C202512111579152")</f>
        <v>C202512111579152</v>
      </c>
      <c r="J210" s="33" t="str">
        <f ca="1">IFERROR(__xludf.DUMMYFUNCTION("""COMPUTED_VALUE"""),"SIMÓN PÉREZ FERNÁNDEZ")</f>
        <v>SIMÓN PÉREZ FERNÁNDEZ</v>
      </c>
      <c r="K210" s="33">
        <f ca="1">IFERROR(__xludf.DUMMYFUNCTION("""COMPUTED_VALUE"""),2)</f>
        <v>2</v>
      </c>
      <c r="L210" s="203">
        <f ca="1">IFERROR(__xludf.DUMMYFUNCTION("""COMPUTED_VALUE"""),3909.09)</f>
        <v>3909.09</v>
      </c>
      <c r="M210" s="33" t="str">
        <f ca="1">IFERROR(__xludf.DUMMYFUNCTION("""COMPUTED_VALUE"""),"03 ORL")</f>
        <v>03 ORL</v>
      </c>
      <c r="N210" s="33" t="str">
        <f ca="1">IFERROR(__xludf.DUMMYFUNCTION("""COMPUTED_VALUE"""),"06 ORL")</f>
        <v>06 ORL</v>
      </c>
      <c r="O210" s="33" t="str">
        <f ca="1">IFERROR(__xludf.DUMMYFUNCTION("""COMPUTED_VALUE"""),"Dr, Garikoitz Calzada Uriondo")</f>
        <v>Dr, Garikoitz Calzada Uriondo</v>
      </c>
      <c r="P210" s="33" t="str">
        <f ca="1">IFERROR(__xludf.DUMMYFUNCTION("""COMPUTED_VALUE"""),"Lisandro Russian (Madrid, Cáceres, Toledo, Talavera Y Logroño)")</f>
        <v>Lisandro Russian (Madrid, Cáceres, Toledo, Talavera Y Logroño)</v>
      </c>
    </row>
    <row r="211" spans="2:16">
      <c r="B211" s="33">
        <f ca="1">IFERROR(__xludf.DUMMYFUNCTION("""COMPUTED_VALUE"""),2025)</f>
        <v>2025</v>
      </c>
      <c r="C211" s="33">
        <f ca="1">IFERROR(__xludf.DUMMYFUNCTION("""COMPUTED_VALUE"""),2)</f>
        <v>2</v>
      </c>
      <c r="D211" s="33" t="str">
        <f ca="1">IFERROR(__xludf.DUMMYFUNCTION("""COMPUTED_VALUE"""),"NO")</f>
        <v>NO</v>
      </c>
      <c r="E211" s="33" t="str">
        <f ca="1">IFERROR(__xludf.DUMMYFUNCTION("""COMPUTED_VALUE"""),"Fuenlabrada")</f>
        <v>Fuenlabrada</v>
      </c>
      <c r="F211" s="57">
        <f ca="1">IFERROR(__xludf.DUMMYFUNCTION("""COMPUTED_VALUE"""),45709)</f>
        <v>45709</v>
      </c>
      <c r="G211" s="57">
        <f ca="1">IFERROR(__xludf.DUMMYFUNCTION("""COMPUTED_VALUE"""),45474)</f>
        <v>45474</v>
      </c>
      <c r="H211" s="33" t="str">
        <f ca="1">IFERROR(__xludf.DUMMYFUNCTION("""COMPUTED_VALUE"""),"Fuenlabrada")</f>
        <v>Fuenlabrada</v>
      </c>
      <c r="I211" s="33" t="str">
        <f ca="1">IFERROR(__xludf.DUMMYFUNCTION("""COMPUTED_VALUE"""),"C202485103210192")</f>
        <v>C202485103210192</v>
      </c>
      <c r="J211" s="33" t="str">
        <f ca="1">IFERROR(__xludf.DUMMYFUNCTION("""COMPUTED_VALUE"""),"MARICARMEN CHINARRO BLAZQUEZ")</f>
        <v>MARICARMEN CHINARRO BLAZQUEZ</v>
      </c>
      <c r="K211" s="33">
        <f ca="1">IFERROR(__xludf.DUMMYFUNCTION("""COMPUTED_VALUE"""),2)</f>
        <v>2</v>
      </c>
      <c r="L211" s="203">
        <f ca="1">IFERROR(__xludf.DUMMYFUNCTION("""COMPUTED_VALUE"""),2888.18)</f>
        <v>2888.18</v>
      </c>
      <c r="M211" s="33" t="str">
        <f ca="1">IFERROR(__xludf.DUMMYFUNCTION("""COMPUTED_VALUE"""),"03 ORL")</f>
        <v>03 ORL</v>
      </c>
      <c r="N211" s="33" t="str">
        <f ca="1">IFERROR(__xludf.DUMMYFUNCTION("""COMPUTED_VALUE"""),"06 ORL")</f>
        <v>06 ORL</v>
      </c>
      <c r="O211" s="33" t="str">
        <f ca="1">IFERROR(__xludf.DUMMYFUNCTION("""COMPUTED_VALUE"""),"Dra, María Teresa Herrera Mera")</f>
        <v>Dra, María Teresa Herrera Mera</v>
      </c>
      <c r="P211" s="33" t="str">
        <f ca="1">IFERROR(__xludf.DUMMYFUNCTION("""COMPUTED_VALUE"""),"Maika Blázquez (Madrid)")</f>
        <v>Maika Blázquez (Madrid)</v>
      </c>
    </row>
    <row r="212" spans="2:16">
      <c r="B212" s="33">
        <f ca="1">IFERROR(__xludf.DUMMYFUNCTION("""COMPUTED_VALUE"""),2025)</f>
        <v>2025</v>
      </c>
      <c r="C212" s="33">
        <f ca="1">IFERROR(__xludf.DUMMYFUNCTION("""COMPUTED_VALUE"""),2)</f>
        <v>2</v>
      </c>
      <c r="D212" s="33" t="str">
        <f ca="1">IFERROR(__xludf.DUMMYFUNCTION("""COMPUTED_VALUE"""),"NO")</f>
        <v>NO</v>
      </c>
      <c r="E212" s="33" t="str">
        <f ca="1">IFERROR(__xludf.DUMMYFUNCTION("""COMPUTED_VALUE"""),"Logroño")</f>
        <v>Logroño</v>
      </c>
      <c r="F212" s="57">
        <f ca="1">IFERROR(__xludf.DUMMYFUNCTION("""COMPUTED_VALUE"""),45709)</f>
        <v>45709</v>
      </c>
      <c r="G212" s="57">
        <f ca="1">IFERROR(__xludf.DUMMYFUNCTION("""COMPUTED_VALUE"""),45671)</f>
        <v>45671</v>
      </c>
      <c r="H212" s="33" t="str">
        <f ca="1">IFERROR(__xludf.DUMMYFUNCTION("""COMPUTED_VALUE"""),"Logroño")</f>
        <v>Logroño</v>
      </c>
      <c r="I212" s="33" t="str">
        <f ca="1">IFERROR(__xludf.DUMMYFUNCTION("""COMPUTED_VALUE"""),"C2025114122147489")</f>
        <v>C2025114122147489</v>
      </c>
      <c r="J212" s="33" t="str">
        <f ca="1">IFERROR(__xludf.DUMMYFUNCTION("""COMPUTED_VALUE"""),"MIGUEL ANGEL RUIZ HARO")</f>
        <v>MIGUEL ANGEL RUIZ HARO</v>
      </c>
      <c r="K212" s="33">
        <f ca="1">IFERROR(__xludf.DUMMYFUNCTION("""COMPUTED_VALUE"""),2)</f>
        <v>2</v>
      </c>
      <c r="L212" s="203">
        <f ca="1">IFERROR(__xludf.DUMMYFUNCTION("""COMPUTED_VALUE"""),3710)</f>
        <v>3710</v>
      </c>
      <c r="M212" s="33" t="str">
        <f ca="1">IFERROR(__xludf.DUMMYFUNCTION("""COMPUTED_VALUE"""),"03 ORL")</f>
        <v>03 ORL</v>
      </c>
      <c r="N212" s="33" t="str">
        <f ca="1">IFERROR(__xludf.DUMMYFUNCTION("""COMPUTED_VALUE"""),"06 ORL")</f>
        <v>06 ORL</v>
      </c>
      <c r="O212" s="33" t="str">
        <f ca="1">IFERROR(__xludf.DUMMYFUNCTION("""COMPUTED_VALUE"""),"Dr, Fernando Salazar Barcelona")</f>
        <v>Dr, Fernando Salazar Barcelona</v>
      </c>
      <c r="P212" s="33" t="str">
        <f ca="1">IFERROR(__xludf.DUMMYFUNCTION("""COMPUTED_VALUE"""),"Lisandro Russian (Madrid, Cáceres, Toledo, Talavera Y Logroño)")</f>
        <v>Lisandro Russian (Madrid, Cáceres, Toledo, Talavera Y Logroño)</v>
      </c>
    </row>
    <row r="213" spans="2:16">
      <c r="B213" s="33">
        <f ca="1">IFERROR(__xludf.DUMMYFUNCTION("""COMPUTED_VALUE"""),2025)</f>
        <v>2025</v>
      </c>
      <c r="C213" s="33">
        <f ca="1">IFERROR(__xludf.DUMMYFUNCTION("""COMPUTED_VALUE"""),2)</f>
        <v>2</v>
      </c>
      <c r="D213" s="33" t="str">
        <f ca="1">IFERROR(__xludf.DUMMYFUNCTION("""COMPUTED_VALUE"""),"NO")</f>
        <v>NO</v>
      </c>
      <c r="E213" s="33" t="str">
        <f ca="1">IFERROR(__xludf.DUMMYFUNCTION("""COMPUTED_VALUE"""),"Leganés")</f>
        <v>Leganés</v>
      </c>
      <c r="F213" s="57">
        <f ca="1">IFERROR(__xludf.DUMMYFUNCTION("""COMPUTED_VALUE"""),45709)</f>
        <v>45709</v>
      </c>
      <c r="G213" s="57">
        <f ca="1">IFERROR(__xludf.DUMMYFUNCTION("""COMPUTED_VALUE"""),45650)</f>
        <v>45650</v>
      </c>
      <c r="H213" s="33" t="str">
        <f ca="1">IFERROR(__xludf.DUMMYFUNCTION("""COMPUTED_VALUE"""),"Leganés")</f>
        <v>Leganés</v>
      </c>
      <c r="I213" s="33" t="str">
        <f ca="1">IFERROR(__xludf.DUMMYFUNCTION("""COMPUTED_VALUE"""),"C2025121183522208")</f>
        <v>C2025121183522208</v>
      </c>
      <c r="J213" s="33" t="str">
        <f ca="1">IFERROR(__xludf.DUMMYFUNCTION("""COMPUTED_VALUE"""),"MARIA PAZ MUÑOZ SANCHEZ")</f>
        <v>MARIA PAZ MUÑOZ SANCHEZ</v>
      </c>
      <c r="K213" s="33">
        <f ca="1">IFERROR(__xludf.DUMMYFUNCTION("""COMPUTED_VALUE"""),2)</f>
        <v>2</v>
      </c>
      <c r="L213" s="203">
        <f ca="1">IFERROR(__xludf.DUMMYFUNCTION("""COMPUTED_VALUE"""),3604.55)</f>
        <v>3604.55</v>
      </c>
      <c r="M213" s="33" t="str">
        <f ca="1">IFERROR(__xludf.DUMMYFUNCTION("""COMPUTED_VALUE"""),"03 ORL")</f>
        <v>03 ORL</v>
      </c>
      <c r="N213" s="33" t="str">
        <f ca="1">IFERROR(__xludf.DUMMYFUNCTION("""COMPUTED_VALUE"""),"06 ORL")</f>
        <v>06 ORL</v>
      </c>
      <c r="O213" s="33" t="str">
        <f ca="1">IFERROR(__xludf.DUMMYFUNCTION("""COMPUTED_VALUE"""),"Dra, Sara Reda Del Barrio")</f>
        <v>Dra, Sara Reda Del Barrio</v>
      </c>
      <c r="P213" s="33" t="str">
        <f ca="1">IFERROR(__xludf.DUMMYFUNCTION("""COMPUTED_VALUE"""),"Maika Blázquez (Madrid)")</f>
        <v>Maika Blázquez (Madrid)</v>
      </c>
    </row>
    <row r="214" spans="2:16">
      <c r="B214" s="33">
        <f ca="1">IFERROR(__xludf.DUMMYFUNCTION("""COMPUTED_VALUE"""),2025)</f>
        <v>2025</v>
      </c>
      <c r="C214" s="33">
        <f ca="1">IFERROR(__xludf.DUMMYFUNCTION("""COMPUTED_VALUE"""),2)</f>
        <v>2</v>
      </c>
      <c r="D214" s="33" t="str">
        <f ca="1">IFERROR(__xludf.DUMMYFUNCTION("""COMPUTED_VALUE"""),"NO")</f>
        <v>NO</v>
      </c>
      <c r="E214" s="33" t="str">
        <f ca="1">IFERROR(__xludf.DUMMYFUNCTION("""COMPUTED_VALUE"""),"Madrid- Juan Bravo")</f>
        <v>Madrid- Juan Bravo</v>
      </c>
      <c r="F214" s="57">
        <f ca="1">IFERROR(__xludf.DUMMYFUNCTION("""COMPUTED_VALUE"""),45709)</f>
        <v>45709</v>
      </c>
      <c r="G214" s="57">
        <f ca="1">IFERROR(__xludf.DUMMYFUNCTION("""COMPUTED_VALUE"""),45692)</f>
        <v>45692</v>
      </c>
      <c r="H214" s="33" t="str">
        <f ca="1">IFERROR(__xludf.DUMMYFUNCTION("""COMPUTED_VALUE"""),"Juan Bravo")</f>
        <v>Juan Bravo</v>
      </c>
      <c r="I214" s="33" t="str">
        <f ca="1">IFERROR(__xludf.DUMMYFUNCTION("""COMPUTED_VALUE"""),"C202525105521192")</f>
        <v>C202525105521192</v>
      </c>
      <c r="J214" s="33" t="str">
        <f ca="1">IFERROR(__xludf.DUMMYFUNCTION("""COMPUTED_VALUE"""),"BERNARDO MORENO CARRILLO")</f>
        <v>BERNARDO MORENO CARRILLO</v>
      </c>
      <c r="K214" s="33">
        <f ca="1">IFERROR(__xludf.DUMMYFUNCTION("""COMPUTED_VALUE"""),2)</f>
        <v>2</v>
      </c>
      <c r="L214" s="203">
        <f ca="1">IFERROR(__xludf.DUMMYFUNCTION("""COMPUTED_VALUE"""),3710)</f>
        <v>3710</v>
      </c>
      <c r="M214" s="33" t="str">
        <f ca="1">IFERROR(__xludf.DUMMYFUNCTION("""COMPUTED_VALUE"""),"03 ORL")</f>
        <v>03 ORL</v>
      </c>
      <c r="N214" s="33" t="str">
        <f ca="1">IFERROR(__xludf.DUMMYFUNCTION("""COMPUTED_VALUE"""),"06 ORL")</f>
        <v>06 ORL</v>
      </c>
      <c r="O214" s="33" t="str">
        <f ca="1">IFERROR(__xludf.DUMMYFUNCTION("""COMPUTED_VALUE"""),"Dr, Javier Olarieta Soto")</f>
        <v>Dr, Javier Olarieta Soto</v>
      </c>
      <c r="P214" s="33" t="str">
        <f ca="1">IFERROR(__xludf.DUMMYFUNCTION("""COMPUTED_VALUE"""),"Maika Blázquez (Madrid)")</f>
        <v>Maika Blázquez (Madrid)</v>
      </c>
    </row>
    <row r="215" spans="2:16">
      <c r="B215" s="33">
        <f ca="1">IFERROR(__xludf.DUMMYFUNCTION("""COMPUTED_VALUE"""),2025)</f>
        <v>2025</v>
      </c>
      <c r="C215" s="33">
        <f ca="1">IFERROR(__xludf.DUMMYFUNCTION("""COMPUTED_VALUE"""),2)</f>
        <v>2</v>
      </c>
      <c r="D215" s="33" t="str">
        <f ca="1">IFERROR(__xludf.DUMMYFUNCTION("""COMPUTED_VALUE"""),"NO")</f>
        <v>NO</v>
      </c>
      <c r="E215" s="33" t="str">
        <f ca="1">IFERROR(__xludf.DUMMYFUNCTION("""COMPUTED_VALUE"""),"Móstoles")</f>
        <v>Móstoles</v>
      </c>
      <c r="F215" s="57">
        <f ca="1">IFERROR(__xludf.DUMMYFUNCTION("""COMPUTED_VALUE"""),45709)</f>
        <v>45709</v>
      </c>
      <c r="G215" s="57">
        <f ca="1">IFERROR(__xludf.DUMMYFUNCTION("""COMPUTED_VALUE"""),45677)</f>
        <v>45677</v>
      </c>
      <c r="H215" s="33" t="str">
        <f ca="1">IFERROR(__xludf.DUMMYFUNCTION("""COMPUTED_VALUE"""),"Móstoles")</f>
        <v>Móstoles</v>
      </c>
      <c r="I215" s="33" t="str">
        <f ca="1">IFERROR(__xludf.DUMMYFUNCTION("""COMPUTED_VALUE"""),"C202512415446234")</f>
        <v>C202512415446234</v>
      </c>
      <c r="J215" s="33" t="str">
        <f ca="1">IFERROR(__xludf.DUMMYFUNCTION("""COMPUTED_VALUE"""),"JESUS FERNANDEZ GONZALEZ")</f>
        <v>JESUS FERNANDEZ GONZALEZ</v>
      </c>
      <c r="K215" s="33">
        <f ca="1">IFERROR(__xludf.DUMMYFUNCTION("""COMPUTED_VALUE"""),2)</f>
        <v>2</v>
      </c>
      <c r="L215" s="203">
        <f ca="1">IFERROR(__xludf.DUMMYFUNCTION("""COMPUTED_VALUE"""),3710)</f>
        <v>3710</v>
      </c>
      <c r="M215" s="33" t="str">
        <f ca="1">IFERROR(__xludf.DUMMYFUNCTION("""COMPUTED_VALUE"""),"03 ORL")</f>
        <v>03 ORL</v>
      </c>
      <c r="N215" s="33" t="str">
        <f ca="1">IFERROR(__xludf.DUMMYFUNCTION("""COMPUTED_VALUE"""),"06 ORL")</f>
        <v>06 ORL</v>
      </c>
      <c r="O215" s="33" t="str">
        <f ca="1">IFERROR(__xludf.DUMMYFUNCTION("""COMPUTED_VALUE"""),"No Recuerda Orl")</f>
        <v>No Recuerda Orl</v>
      </c>
      <c r="P215" s="33" t="str">
        <f ca="1">IFERROR(__xludf.DUMMYFUNCTION("""COMPUTED_VALUE"""),"Maika Blázquez (Madrid)")</f>
        <v>Maika Blázquez (Madrid)</v>
      </c>
    </row>
    <row r="216" spans="2:16">
      <c r="B216" s="33">
        <f ca="1">IFERROR(__xludf.DUMMYFUNCTION("""COMPUTED_VALUE"""),2025)</f>
        <v>2025</v>
      </c>
      <c r="C216" s="33">
        <f ca="1">IFERROR(__xludf.DUMMYFUNCTION("""COMPUTED_VALUE"""),2)</f>
        <v>2</v>
      </c>
      <c r="D216" s="33" t="str">
        <f ca="1">IFERROR(__xludf.DUMMYFUNCTION("""COMPUTED_VALUE"""),"NO")</f>
        <v>NO</v>
      </c>
      <c r="E216" s="33" t="str">
        <f ca="1">IFERROR(__xludf.DUMMYFUNCTION("""COMPUTED_VALUE"""),"Torrejón de Ardoz")</f>
        <v>Torrejón de Ardoz</v>
      </c>
      <c r="F216" s="57">
        <f ca="1">IFERROR(__xludf.DUMMYFUNCTION("""COMPUTED_VALUE"""),45712)</f>
        <v>45712</v>
      </c>
      <c r="G216" s="57">
        <f ca="1">IFERROR(__xludf.DUMMYFUNCTION("""COMPUTED_VALUE"""),45684)</f>
        <v>45684</v>
      </c>
      <c r="H216" s="33" t="str">
        <f ca="1">IFERROR(__xludf.DUMMYFUNCTION("""COMPUTED_VALUE"""),"Torrejón")</f>
        <v>Torrejón</v>
      </c>
      <c r="I216" s="33" t="str">
        <f ca="1">IFERROR(__xludf.DUMMYFUNCTION("""COMPUTED_VALUE"""),"C2025130182728223")</f>
        <v>C2025130182728223</v>
      </c>
      <c r="J216" s="33" t="str">
        <f ca="1">IFERROR(__xludf.DUMMYFUNCTION("""COMPUTED_VALUE"""),"AMALIA DOMINGO PALACIOS")</f>
        <v>AMALIA DOMINGO PALACIOS</v>
      </c>
      <c r="K216" s="33">
        <f ca="1">IFERROR(__xludf.DUMMYFUNCTION("""COMPUTED_VALUE"""),2)</f>
        <v>2</v>
      </c>
      <c r="L216" s="203">
        <f ca="1">IFERROR(__xludf.DUMMYFUNCTION("""COMPUTED_VALUE"""),3454.55)</f>
        <v>3454.55</v>
      </c>
      <c r="M216" s="33" t="str">
        <f ca="1">IFERROR(__xludf.DUMMYFUNCTION("""COMPUTED_VALUE"""),"03 ORL")</f>
        <v>03 ORL</v>
      </c>
      <c r="N216" s="33" t="str">
        <f ca="1">IFERROR(__xludf.DUMMYFUNCTION("""COMPUTED_VALUE"""),"06 ORL")</f>
        <v>06 ORL</v>
      </c>
      <c r="O216" s="33" t="str">
        <f ca="1">IFERROR(__xludf.DUMMYFUNCTION("""COMPUTED_VALUE"""),"Dra, María Garrote Garrote")</f>
        <v>Dra, María Garrote Garrote</v>
      </c>
      <c r="P216" s="33" t="str">
        <f ca="1">IFERROR(__xludf.DUMMYFUNCTION("""COMPUTED_VALUE"""),"Maika Blázquez (Madrid)")</f>
        <v>Maika Blázquez (Madrid)</v>
      </c>
    </row>
    <row r="217" spans="2:16">
      <c r="B217" s="33">
        <f ca="1">IFERROR(__xludf.DUMMYFUNCTION("""COMPUTED_VALUE"""),2025)</f>
        <v>2025</v>
      </c>
      <c r="C217" s="33">
        <f ca="1">IFERROR(__xludf.DUMMYFUNCTION("""COMPUTED_VALUE"""),2)</f>
        <v>2</v>
      </c>
      <c r="D217" s="33" t="str">
        <f ca="1">IFERROR(__xludf.DUMMYFUNCTION("""COMPUTED_VALUE"""),"NO")</f>
        <v>NO</v>
      </c>
      <c r="E217" s="33" t="str">
        <f ca="1">IFERROR(__xludf.DUMMYFUNCTION("""COMPUTED_VALUE"""),"San Javier")</f>
        <v>San Javier</v>
      </c>
      <c r="F217" s="57">
        <f ca="1">IFERROR(__xludf.DUMMYFUNCTION("""COMPUTED_VALUE"""),45712)</f>
        <v>45712</v>
      </c>
      <c r="G217" s="57">
        <f ca="1">IFERROR(__xludf.DUMMYFUNCTION("""COMPUTED_VALUE"""),45692)</f>
        <v>45692</v>
      </c>
      <c r="H217" s="33" t="str">
        <f ca="1">IFERROR(__xludf.DUMMYFUNCTION("""COMPUTED_VALUE"""),"San Javier")</f>
        <v>San Javier</v>
      </c>
      <c r="I217" s="33" t="str">
        <f ca="1">IFERROR(__xludf.DUMMYFUNCTION("""COMPUTED_VALUE"""),"C202521016309103")</f>
        <v>C202521016309103</v>
      </c>
      <c r="J217" s="33" t="str">
        <f ca="1">IFERROR(__xludf.DUMMYFUNCTION("""COMPUTED_VALUE"""),"TRINIDAD RODRIGUEZ ALAMEDA")</f>
        <v>TRINIDAD RODRIGUEZ ALAMEDA</v>
      </c>
      <c r="K217" s="33">
        <f ca="1">IFERROR(__xludf.DUMMYFUNCTION("""COMPUTED_VALUE"""),2)</f>
        <v>2</v>
      </c>
      <c r="L217" s="203">
        <f ca="1">IFERROR(__xludf.DUMMYFUNCTION("""COMPUTED_VALUE"""),2888.19)</f>
        <v>2888.19</v>
      </c>
      <c r="M217" s="33" t="str">
        <f ca="1">IFERROR(__xludf.DUMMYFUNCTION("""COMPUTED_VALUE"""),"03 ORL")</f>
        <v>03 ORL</v>
      </c>
      <c r="N217" s="33" t="str">
        <f ca="1">IFERROR(__xludf.DUMMYFUNCTION("""COMPUTED_VALUE"""),"06 ORL")</f>
        <v>06 ORL</v>
      </c>
      <c r="O217" s="33" t="str">
        <f ca="1">IFERROR(__xludf.DUMMYFUNCTION("""COMPUTED_VALUE"""),"No Recuerda Orl")</f>
        <v>No Recuerda Orl</v>
      </c>
      <c r="P217" s="33" t="str">
        <f ca="1">IFERROR(__xludf.DUMMYFUNCTION("""COMPUTED_VALUE"""),"Iván Sánchez (Levante Y Albacete)")</f>
        <v>Iván Sánchez (Levante Y Albacete)</v>
      </c>
    </row>
    <row r="218" spans="2:16">
      <c r="B218" s="33">
        <f ca="1">IFERROR(__xludf.DUMMYFUNCTION("""COMPUTED_VALUE"""),2025)</f>
        <v>2025</v>
      </c>
      <c r="C218" s="33">
        <f ca="1">IFERROR(__xludf.DUMMYFUNCTION("""COMPUTED_VALUE"""),2)</f>
        <v>2</v>
      </c>
      <c r="D218" s="33" t="str">
        <f ca="1">IFERROR(__xludf.DUMMYFUNCTION("""COMPUTED_VALUE"""),"NO")</f>
        <v>NO</v>
      </c>
      <c r="E218" s="33" t="str">
        <f ca="1">IFERROR(__xludf.DUMMYFUNCTION("""COMPUTED_VALUE"""),"Fuenlabrada")</f>
        <v>Fuenlabrada</v>
      </c>
      <c r="F218" s="57">
        <f ca="1">IFERROR(__xludf.DUMMYFUNCTION("""COMPUTED_VALUE"""),45712)</f>
        <v>45712</v>
      </c>
      <c r="G218" s="57">
        <f ca="1">IFERROR(__xludf.DUMMYFUNCTION("""COMPUTED_VALUE"""),45673)</f>
        <v>45673</v>
      </c>
      <c r="H218" s="33" t="str">
        <f ca="1">IFERROR(__xludf.DUMMYFUNCTION("""COMPUTED_VALUE"""),"Fuenlabrada")</f>
        <v>Fuenlabrada</v>
      </c>
      <c r="I218" s="33" t="str">
        <f ca="1">IFERROR(__xludf.DUMMYFUNCTION("""COMPUTED_VALUE"""),"C2025120111229197")</f>
        <v>C2025120111229197</v>
      </c>
      <c r="J218" s="33" t="str">
        <f ca="1">IFERROR(__xludf.DUMMYFUNCTION("""COMPUTED_VALUE"""),"SANTIAGA ZAMORA CAÑADILLA")</f>
        <v>SANTIAGA ZAMORA CAÑADILLA</v>
      </c>
      <c r="K218" s="33">
        <f ca="1">IFERROR(__xludf.DUMMYFUNCTION("""COMPUTED_VALUE"""),1)</f>
        <v>1</v>
      </c>
      <c r="L218" s="203">
        <f ca="1">IFERROR(__xludf.DUMMYFUNCTION("""COMPUTED_VALUE"""),2640)</f>
        <v>2640</v>
      </c>
      <c r="M218" s="33" t="str">
        <f ca="1">IFERROR(__xludf.DUMMYFUNCTION("""COMPUTED_VALUE"""),"03 ORL")</f>
        <v>03 ORL</v>
      </c>
      <c r="N218" s="33" t="str">
        <f ca="1">IFERROR(__xludf.DUMMYFUNCTION("""COMPUTED_VALUE"""),"06 ORL")</f>
        <v>06 ORL</v>
      </c>
      <c r="O218" s="33" t="str">
        <f ca="1">IFERROR(__xludf.DUMMYFUNCTION("""COMPUTED_VALUE"""),"Dra, Cristina García García")</f>
        <v>Dra, Cristina García García</v>
      </c>
      <c r="P218" s="33" t="str">
        <f ca="1">IFERROR(__xludf.DUMMYFUNCTION("""COMPUTED_VALUE"""),"Maika Blázquez (Madrid)")</f>
        <v>Maika Blázquez (Madrid)</v>
      </c>
    </row>
    <row r="219" spans="2:16">
      <c r="B219" s="33">
        <f ca="1">IFERROR(__xludf.DUMMYFUNCTION("""COMPUTED_VALUE"""),2025)</f>
        <v>2025</v>
      </c>
      <c r="C219" s="33">
        <f ca="1">IFERROR(__xludf.DUMMYFUNCTION("""COMPUTED_VALUE"""),2)</f>
        <v>2</v>
      </c>
      <c r="D219" s="33" t="str">
        <f ca="1">IFERROR(__xludf.DUMMYFUNCTION("""COMPUTED_VALUE"""),"NO")</f>
        <v>NO</v>
      </c>
      <c r="E219" s="33" t="str">
        <f ca="1">IFERROR(__xludf.DUMMYFUNCTION("""COMPUTED_VALUE"""),"Madrid- Monforte de Lemos")</f>
        <v>Madrid- Monforte de Lemos</v>
      </c>
      <c r="F219" s="57">
        <f ca="1">IFERROR(__xludf.DUMMYFUNCTION("""COMPUTED_VALUE"""),45712)</f>
        <v>45712</v>
      </c>
      <c r="G219" s="57">
        <f ca="1">IFERROR(__xludf.DUMMYFUNCTION("""COMPUTED_VALUE"""),45621)</f>
        <v>45621</v>
      </c>
      <c r="H219" s="33" t="str">
        <f ca="1">IFERROR(__xludf.DUMMYFUNCTION("""COMPUTED_VALUE"""),"La Vaguada")</f>
        <v>La Vaguada</v>
      </c>
      <c r="I219" s="33" t="str">
        <f ca="1">IFERROR(__xludf.DUMMYFUNCTION("""COMPUTED_VALUE"""),"C2025115113626365")</f>
        <v>C2025115113626365</v>
      </c>
      <c r="J219" s="33" t="str">
        <f ca="1">IFERROR(__xludf.DUMMYFUNCTION("""COMPUTED_VALUE"""),"LUIS MARIA BENITO DE SANZ")</f>
        <v>LUIS MARIA BENITO DE SANZ</v>
      </c>
      <c r="K219" s="33">
        <f ca="1">IFERROR(__xludf.DUMMYFUNCTION("""COMPUTED_VALUE"""),2)</f>
        <v>2</v>
      </c>
      <c r="L219" s="203">
        <f ca="1">IFERROR(__xludf.DUMMYFUNCTION("""COMPUTED_VALUE"""),4400)</f>
        <v>4400</v>
      </c>
      <c r="M219" s="33" t="str">
        <f ca="1">IFERROR(__xludf.DUMMYFUNCTION("""COMPUTED_VALUE"""),"03 ORL")</f>
        <v>03 ORL</v>
      </c>
      <c r="N219" s="33" t="str">
        <f ca="1">IFERROR(__xludf.DUMMYFUNCTION("""COMPUTED_VALUE"""),"06 ORL")</f>
        <v>06 ORL</v>
      </c>
      <c r="O219" s="33" t="str">
        <f ca="1">IFERROR(__xludf.DUMMYFUNCTION("""COMPUTED_VALUE"""),"Dr, Alejandro Harguindey Antoli-Candela")</f>
        <v>Dr, Alejandro Harguindey Antoli-Candela</v>
      </c>
      <c r="P219" s="33" t="str">
        <f ca="1">IFERROR(__xludf.DUMMYFUNCTION("""COMPUTED_VALUE"""),"Maika Blázquez (Madrid)")</f>
        <v>Maika Blázquez (Madrid)</v>
      </c>
    </row>
    <row r="220" spans="2:16">
      <c r="B220" s="33">
        <f ca="1">IFERROR(__xludf.DUMMYFUNCTION("""COMPUTED_VALUE"""),2025)</f>
        <v>2025</v>
      </c>
      <c r="C220" s="33">
        <f ca="1">IFERROR(__xludf.DUMMYFUNCTION("""COMPUTED_VALUE"""),2)</f>
        <v>2</v>
      </c>
      <c r="D220" s="33" t="str">
        <f ca="1">IFERROR(__xludf.DUMMYFUNCTION("""COMPUTED_VALUE"""),"NO")</f>
        <v>NO</v>
      </c>
      <c r="E220" s="33" t="str">
        <f ca="1">IFERROR(__xludf.DUMMYFUNCTION("""COMPUTED_VALUE"""),"Madrid- Moratalaz")</f>
        <v>Madrid- Moratalaz</v>
      </c>
      <c r="F220" s="57">
        <f ca="1">IFERROR(__xludf.DUMMYFUNCTION("""COMPUTED_VALUE"""),45712)</f>
        <v>45712</v>
      </c>
      <c r="G220" s="57">
        <f ca="1">IFERROR(__xludf.DUMMYFUNCTION("""COMPUTED_VALUE"""),45706)</f>
        <v>45706</v>
      </c>
      <c r="H220" s="33" t="str">
        <f ca="1">IFERROR(__xludf.DUMMYFUNCTION("""COMPUTED_VALUE"""),"Moratalaz")</f>
        <v>Moratalaz</v>
      </c>
      <c r="I220" s="33" t="str">
        <f ca="1">IFERROR(__xludf.DUMMYFUNCTION("""COMPUTED_VALUE"""),"C202521817582713")</f>
        <v>C202521817582713</v>
      </c>
      <c r="J220" s="33" t="str">
        <f ca="1">IFERROR(__xludf.DUMMYFUNCTION("""COMPUTED_VALUE"""),"SANTIAGO REGIDOR GUERRERO")</f>
        <v>SANTIAGO REGIDOR GUERRERO</v>
      </c>
      <c r="K220" s="33">
        <f ca="1">IFERROR(__xludf.DUMMYFUNCTION("""COMPUTED_VALUE"""),2)</f>
        <v>2</v>
      </c>
      <c r="L220" s="203">
        <f ca="1">IFERROR(__xludf.DUMMYFUNCTION("""COMPUTED_VALUE"""),4000)</f>
        <v>4000</v>
      </c>
      <c r="M220" s="33" t="str">
        <f ca="1">IFERROR(__xludf.DUMMYFUNCTION("""COMPUTED_VALUE"""),"03 ORL")</f>
        <v>03 ORL</v>
      </c>
      <c r="N220" s="33" t="str">
        <f ca="1">IFERROR(__xludf.DUMMYFUNCTION("""COMPUTED_VALUE"""),"06 ORL")</f>
        <v>06 ORL</v>
      </c>
      <c r="O220" s="33" t="str">
        <f ca="1">IFERROR(__xludf.DUMMYFUNCTION("""COMPUTED_VALUE"""),"Dr, Esteban Scola Pliego")</f>
        <v>Dr, Esteban Scola Pliego</v>
      </c>
      <c r="P220" s="33" t="str">
        <f ca="1">IFERROR(__xludf.DUMMYFUNCTION("""COMPUTED_VALUE"""),"Maika Blázquez (Madrid)")</f>
        <v>Maika Blázquez (Madrid)</v>
      </c>
    </row>
    <row r="221" spans="2:16">
      <c r="B221" s="33">
        <f ca="1">IFERROR(__xludf.DUMMYFUNCTION("""COMPUTED_VALUE"""),2025)</f>
        <v>2025</v>
      </c>
      <c r="C221" s="33">
        <f ca="1">IFERROR(__xludf.DUMMYFUNCTION("""COMPUTED_VALUE"""),2)</f>
        <v>2</v>
      </c>
      <c r="D221" s="33" t="str">
        <f ca="1">IFERROR(__xludf.DUMMYFUNCTION("""COMPUTED_VALUE"""),"NO")</f>
        <v>NO</v>
      </c>
      <c r="E221" s="33" t="str">
        <f ca="1">IFERROR(__xludf.DUMMYFUNCTION("""COMPUTED_VALUE"""),"Alicante")</f>
        <v>Alicante</v>
      </c>
      <c r="F221" s="57">
        <f ca="1">IFERROR(__xludf.DUMMYFUNCTION("""COMPUTED_VALUE"""),45712)</f>
        <v>45712</v>
      </c>
      <c r="G221" s="57">
        <f ca="1">IFERROR(__xludf.DUMMYFUNCTION("""COMPUTED_VALUE"""),45680)</f>
        <v>45680</v>
      </c>
      <c r="H221" s="33" t="str">
        <f ca="1">IFERROR(__xludf.DUMMYFUNCTION("""COMPUTED_VALUE"""),"Alicante")</f>
        <v>Alicante</v>
      </c>
      <c r="I221" s="33" t="str">
        <f ca="1">IFERROR(__xludf.DUMMYFUNCTION("""COMPUTED_VALUE"""),"C202526112944128")</f>
        <v>C202526112944128</v>
      </c>
      <c r="J221" s="33" t="str">
        <f ca="1">IFERROR(__xludf.DUMMYFUNCTION("""COMPUTED_VALUE"""),"ISABEL GARCIA ABELLAN")</f>
        <v>ISABEL GARCIA ABELLAN</v>
      </c>
      <c r="K221" s="33">
        <f ca="1">IFERROR(__xludf.DUMMYFUNCTION("""COMPUTED_VALUE"""),2)</f>
        <v>2</v>
      </c>
      <c r="L221" s="203">
        <f ca="1">IFERROR(__xludf.DUMMYFUNCTION("""COMPUTED_VALUE"""),3710)</f>
        <v>3710</v>
      </c>
      <c r="M221" s="33" t="str">
        <f ca="1">IFERROR(__xludf.DUMMYFUNCTION("""COMPUTED_VALUE"""),"03 ORL")</f>
        <v>03 ORL</v>
      </c>
      <c r="N221" s="33" t="str">
        <f ca="1">IFERROR(__xludf.DUMMYFUNCTION("""COMPUTED_VALUE"""),"06 ORL")</f>
        <v>06 ORL</v>
      </c>
      <c r="O221" s="33" t="str">
        <f ca="1">IFERROR(__xludf.DUMMYFUNCTION("""COMPUTED_VALUE"""),"Dr, Guillermo Severá Ferrándiz")</f>
        <v>Dr, Guillermo Severá Ferrándiz</v>
      </c>
      <c r="P221" s="33" t="str">
        <f ca="1">IFERROR(__xludf.DUMMYFUNCTION("""COMPUTED_VALUE"""),"Iván Sánchez (Levante Y Albacete)")</f>
        <v>Iván Sánchez (Levante Y Albacete)</v>
      </c>
    </row>
    <row r="222" spans="2:16">
      <c r="B222" s="33">
        <f ca="1">IFERROR(__xludf.DUMMYFUNCTION("""COMPUTED_VALUE"""),2025)</f>
        <v>2025</v>
      </c>
      <c r="C222" s="33">
        <f ca="1">IFERROR(__xludf.DUMMYFUNCTION("""COMPUTED_VALUE"""),2)</f>
        <v>2</v>
      </c>
      <c r="D222" s="33" t="str">
        <f ca="1">IFERROR(__xludf.DUMMYFUNCTION("""COMPUTED_VALUE"""),"NO")</f>
        <v>NO</v>
      </c>
      <c r="E222" s="33" t="str">
        <f ca="1">IFERROR(__xludf.DUMMYFUNCTION("""COMPUTED_VALUE"""),"Alicante")</f>
        <v>Alicante</v>
      </c>
      <c r="F222" s="57">
        <f ca="1">IFERROR(__xludf.DUMMYFUNCTION("""COMPUTED_VALUE"""),45712)</f>
        <v>45712</v>
      </c>
      <c r="G222" s="57">
        <f ca="1">IFERROR(__xludf.DUMMYFUNCTION("""COMPUTED_VALUE"""),45665)</f>
        <v>45665</v>
      </c>
      <c r="H222" s="33" t="str">
        <f ca="1">IFERROR(__xludf.DUMMYFUNCTION("""COMPUTED_VALUE"""),"Alicante")</f>
        <v>Alicante</v>
      </c>
      <c r="I222" s="33" t="str">
        <f ca="1">IFERROR(__xludf.DUMMYFUNCTION("""COMPUTED_VALUE"""),"C2025122124357865")</f>
        <v>C2025122124357865</v>
      </c>
      <c r="J222" s="33" t="str">
        <f ca="1">IFERROR(__xludf.DUMMYFUNCTION("""COMPUTED_VALUE"""),"CESAR CUTILLAS DOMENECH")</f>
        <v>CESAR CUTILLAS DOMENECH</v>
      </c>
      <c r="K222" s="33">
        <f ca="1">IFERROR(__xludf.DUMMYFUNCTION("""COMPUTED_VALUE"""),1)</f>
        <v>1</v>
      </c>
      <c r="L222" s="203">
        <f ca="1">IFERROR(__xludf.DUMMYFUNCTION("""COMPUTED_VALUE"""),2400)</f>
        <v>2400</v>
      </c>
      <c r="M222" s="33" t="str">
        <f ca="1">IFERROR(__xludf.DUMMYFUNCTION("""COMPUTED_VALUE"""),"03 ORL")</f>
        <v>03 ORL</v>
      </c>
      <c r="N222" s="33" t="str">
        <f ca="1">IFERROR(__xludf.DUMMYFUNCTION("""COMPUTED_VALUE"""),"06 ORL")</f>
        <v>06 ORL</v>
      </c>
      <c r="O222" s="33" t="str">
        <f ca="1">IFERROR(__xludf.DUMMYFUNCTION("""COMPUTED_VALUE"""),"Dr, Félix Ruíz de la Cuesta Juste")</f>
        <v>Dr, Félix Ruíz de la Cuesta Juste</v>
      </c>
      <c r="P222" s="33" t="str">
        <f ca="1">IFERROR(__xludf.DUMMYFUNCTION("""COMPUTED_VALUE"""),"Iván Sánchez (Levante Y Albacete)")</f>
        <v>Iván Sánchez (Levante Y Albacete)</v>
      </c>
    </row>
    <row r="223" spans="2:16">
      <c r="B223" s="33">
        <f ca="1">IFERROR(__xludf.DUMMYFUNCTION("""COMPUTED_VALUE"""),2025)</f>
        <v>2025</v>
      </c>
      <c r="C223" s="33">
        <f ca="1">IFERROR(__xludf.DUMMYFUNCTION("""COMPUTED_VALUE"""),2)</f>
        <v>2</v>
      </c>
      <c r="D223" s="33" t="str">
        <f ca="1">IFERROR(__xludf.DUMMYFUNCTION("""COMPUTED_VALUE"""),"NO")</f>
        <v>NO</v>
      </c>
      <c r="E223" s="33" t="str">
        <f ca="1">IFERROR(__xludf.DUMMYFUNCTION("""COMPUTED_VALUE"""),"Fuenlabrada")</f>
        <v>Fuenlabrada</v>
      </c>
      <c r="F223" s="57">
        <f ca="1">IFERROR(__xludf.DUMMYFUNCTION("""COMPUTED_VALUE"""),45712)</f>
        <v>45712</v>
      </c>
      <c r="G223" s="57">
        <f ca="1">IFERROR(__xludf.DUMMYFUNCTION("""COMPUTED_VALUE"""),45686)</f>
        <v>45686</v>
      </c>
      <c r="H223" s="33" t="str">
        <f ca="1">IFERROR(__xludf.DUMMYFUNCTION("""COMPUTED_VALUE"""),"Fuenlabrada")</f>
        <v>Fuenlabrada</v>
      </c>
      <c r="I223" s="33" t="str">
        <f ca="1">IFERROR(__xludf.DUMMYFUNCTION("""COMPUTED_VALUE"""),"C202513111448686")</f>
        <v>C202513111448686</v>
      </c>
      <c r="J223" s="33" t="str">
        <f ca="1">IFERROR(__xludf.DUMMYFUNCTION("""COMPUTED_VALUE"""),"ISMAEL RICARDO LOPEZ OLLERO")</f>
        <v>ISMAEL RICARDO LOPEZ OLLERO</v>
      </c>
      <c r="K223" s="33">
        <f ca="1">IFERROR(__xludf.DUMMYFUNCTION("""COMPUTED_VALUE"""),2)</f>
        <v>2</v>
      </c>
      <c r="L223" s="203">
        <f ca="1">IFERROR(__xludf.DUMMYFUNCTION("""COMPUTED_VALUE"""),4000)</f>
        <v>4000</v>
      </c>
      <c r="M223" s="33" t="str">
        <f ca="1">IFERROR(__xludf.DUMMYFUNCTION("""COMPUTED_VALUE"""),"03 ORL")</f>
        <v>03 ORL</v>
      </c>
      <c r="N223" s="33" t="str">
        <f ca="1">IFERROR(__xludf.DUMMYFUNCTION("""COMPUTED_VALUE"""),"06 ORL")</f>
        <v>06 ORL</v>
      </c>
      <c r="O223" s="33" t="str">
        <f ca="1">IFERROR(__xludf.DUMMYFUNCTION("""COMPUTED_VALUE"""),"Dra, Elisabeth Amarillo Espitia")</f>
        <v>Dra, Elisabeth Amarillo Espitia</v>
      </c>
      <c r="P223" s="33" t="str">
        <f ca="1">IFERROR(__xludf.DUMMYFUNCTION("""COMPUTED_VALUE"""),"Maika Blázquez (Madrid)")</f>
        <v>Maika Blázquez (Madrid)</v>
      </c>
    </row>
    <row r="224" spans="2:16">
      <c r="B224" s="33">
        <f ca="1">IFERROR(__xludf.DUMMYFUNCTION("""COMPUTED_VALUE"""),2025)</f>
        <v>2025</v>
      </c>
      <c r="C224" s="33">
        <f ca="1">IFERROR(__xludf.DUMMYFUNCTION("""COMPUTED_VALUE"""),2)</f>
        <v>2</v>
      </c>
      <c r="D224" s="33" t="str">
        <f ca="1">IFERROR(__xludf.DUMMYFUNCTION("""COMPUTED_VALUE"""),"NO")</f>
        <v>NO</v>
      </c>
      <c r="E224" s="33" t="str">
        <f ca="1">IFERROR(__xludf.DUMMYFUNCTION("""COMPUTED_VALUE"""),"Fuenlabrada")</f>
        <v>Fuenlabrada</v>
      </c>
      <c r="F224" s="57">
        <f ca="1">IFERROR(__xludf.DUMMYFUNCTION("""COMPUTED_VALUE"""),45712)</f>
        <v>45712</v>
      </c>
      <c r="G224" s="57">
        <f ca="1">IFERROR(__xludf.DUMMYFUNCTION("""COMPUTED_VALUE"""),45691)</f>
        <v>45691</v>
      </c>
      <c r="H224" s="33" t="str">
        <f ca="1">IFERROR(__xludf.DUMMYFUNCTION("""COMPUTED_VALUE"""),"Fuenlabrada")</f>
        <v>Fuenlabrada</v>
      </c>
      <c r="I224" s="33" t="str">
        <f ca="1">IFERROR(__xludf.DUMMYFUNCTION("""COMPUTED_VALUE"""),"C20252617251623")</f>
        <v>C20252617251623</v>
      </c>
      <c r="J224" s="33" t="str">
        <f ca="1">IFERROR(__xludf.DUMMYFUNCTION("""COMPUTED_VALUE"""),"ANTONIO MUÑOZ TAMARAL")</f>
        <v>ANTONIO MUÑOZ TAMARAL</v>
      </c>
      <c r="K224" s="33">
        <f ca="1">IFERROR(__xludf.DUMMYFUNCTION("""COMPUTED_VALUE"""),2)</f>
        <v>2</v>
      </c>
      <c r="L224" s="203">
        <f ca="1">IFERROR(__xludf.DUMMYFUNCTION("""COMPUTED_VALUE"""),3710)</f>
        <v>3710</v>
      </c>
      <c r="M224" s="33" t="str">
        <f ca="1">IFERROR(__xludf.DUMMYFUNCTION("""COMPUTED_VALUE"""),"03 ORL")</f>
        <v>03 ORL</v>
      </c>
      <c r="N224" s="33" t="str">
        <f ca="1">IFERROR(__xludf.DUMMYFUNCTION("""COMPUTED_VALUE"""),"06 ORL")</f>
        <v>06 ORL</v>
      </c>
      <c r="O224" s="33" t="str">
        <f ca="1">IFERROR(__xludf.DUMMYFUNCTION("""COMPUTED_VALUE"""),"Dra, Victoria García Peces")</f>
        <v>Dra, Victoria García Peces</v>
      </c>
      <c r="P224" s="33" t="str">
        <f ca="1">IFERROR(__xludf.DUMMYFUNCTION("""COMPUTED_VALUE"""),"Maika Blázquez (Madrid)")</f>
        <v>Maika Blázquez (Madrid)</v>
      </c>
    </row>
    <row r="225" spans="2:16">
      <c r="B225" s="33">
        <f ca="1">IFERROR(__xludf.DUMMYFUNCTION("""COMPUTED_VALUE"""),2025)</f>
        <v>2025</v>
      </c>
      <c r="C225" s="33">
        <f ca="1">IFERROR(__xludf.DUMMYFUNCTION("""COMPUTED_VALUE"""),2)</f>
        <v>2</v>
      </c>
      <c r="D225" s="33" t="str">
        <f ca="1">IFERROR(__xludf.DUMMYFUNCTION("""COMPUTED_VALUE"""),"NO")</f>
        <v>NO</v>
      </c>
      <c r="E225" s="33" t="str">
        <f ca="1">IFERROR(__xludf.DUMMYFUNCTION("""COMPUTED_VALUE"""),"Valencia- Cádiz")</f>
        <v>Valencia- Cádiz</v>
      </c>
      <c r="F225" s="57">
        <f ca="1">IFERROR(__xludf.DUMMYFUNCTION("""COMPUTED_VALUE"""),45712)</f>
        <v>45712</v>
      </c>
      <c r="G225" s="57">
        <f ca="1">IFERROR(__xludf.DUMMYFUNCTION("""COMPUTED_VALUE"""),45674)</f>
        <v>45674</v>
      </c>
      <c r="H225" s="33" t="str">
        <f ca="1">IFERROR(__xludf.DUMMYFUNCTION("""COMPUTED_VALUE"""),"Valencia- Cádiz")</f>
        <v>Valencia- Cádiz</v>
      </c>
      <c r="I225" s="33" t="str">
        <f ca="1">IFERROR(__xludf.DUMMYFUNCTION("""COMPUTED_VALUE"""),"C20251241223661")</f>
        <v>C20251241223661</v>
      </c>
      <c r="J225" s="33" t="str">
        <f ca="1">IFERROR(__xludf.DUMMYFUNCTION("""COMPUTED_VALUE"""),"JESUS VILLAR ALVAREZ")</f>
        <v>JESUS VILLAR ALVAREZ</v>
      </c>
      <c r="K225" s="33">
        <f ca="1">IFERROR(__xludf.DUMMYFUNCTION("""COMPUTED_VALUE"""),2)</f>
        <v>2</v>
      </c>
      <c r="L225" s="203">
        <f ca="1">IFERROR(__xludf.DUMMYFUNCTION("""COMPUTED_VALUE"""),2888.18)</f>
        <v>2888.18</v>
      </c>
      <c r="M225" s="33" t="str">
        <f ca="1">IFERROR(__xludf.DUMMYFUNCTION("""COMPUTED_VALUE"""),"03 ORL")</f>
        <v>03 ORL</v>
      </c>
      <c r="N225" s="33" t="str">
        <f ca="1">IFERROR(__xludf.DUMMYFUNCTION("""COMPUTED_VALUE"""),"06 ORL")</f>
        <v>06 ORL</v>
      </c>
      <c r="O225" s="33" t="str">
        <f ca="1">IFERROR(__xludf.DUMMYFUNCTION("""COMPUTED_VALUE"""),"Dr, Jean Franco Intraprendente Martini")</f>
        <v>Dr, Jean Franco Intraprendente Martini</v>
      </c>
      <c r="P225" s="33" t="str">
        <f ca="1">IFERROR(__xludf.DUMMYFUNCTION("""COMPUTED_VALUE"""),"Ramon Ferrando(Valencia)")</f>
        <v>Ramon Ferrando(Valencia)</v>
      </c>
    </row>
    <row r="226" spans="2:16">
      <c r="B226" s="33">
        <f ca="1">IFERROR(__xludf.DUMMYFUNCTION("""COMPUTED_VALUE"""),2025)</f>
        <v>2025</v>
      </c>
      <c r="C226" s="33">
        <f ca="1">IFERROR(__xludf.DUMMYFUNCTION("""COMPUTED_VALUE"""),2)</f>
        <v>2</v>
      </c>
      <c r="D226" s="33" t="str">
        <f ca="1">IFERROR(__xludf.DUMMYFUNCTION("""COMPUTED_VALUE"""),"NO")</f>
        <v>NO</v>
      </c>
      <c r="E226" s="33" t="str">
        <f ca="1">IFERROR(__xludf.DUMMYFUNCTION("""COMPUTED_VALUE"""),"Hospitalet de Llobregat")</f>
        <v>Hospitalet de Llobregat</v>
      </c>
      <c r="F226" s="57">
        <f ca="1">IFERROR(__xludf.DUMMYFUNCTION("""COMPUTED_VALUE"""),45712)</f>
        <v>45712</v>
      </c>
      <c r="G226" s="57">
        <f ca="1">IFERROR(__xludf.DUMMYFUNCTION("""COMPUTED_VALUE"""),45687)</f>
        <v>45687</v>
      </c>
      <c r="H226" s="33" t="str">
        <f ca="1">IFERROR(__xludf.DUMMYFUNCTION("""COMPUTED_VALUE"""),"Hospitalet")</f>
        <v>Hospitalet</v>
      </c>
      <c r="I226" s="33" t="str">
        <f ca="1">IFERROR(__xludf.DUMMYFUNCTION("""COMPUTED_VALUE"""),"C20252616125252")</f>
        <v>C20252616125252</v>
      </c>
      <c r="J226" s="33" t="str">
        <f ca="1">IFERROR(__xludf.DUMMYFUNCTION("""COMPUTED_VALUE"""),"MARIA JARNE GAN")</f>
        <v>MARIA JARNE GAN</v>
      </c>
      <c r="K226" s="33">
        <f ca="1">IFERROR(__xludf.DUMMYFUNCTION("""COMPUTED_VALUE"""),2)</f>
        <v>2</v>
      </c>
      <c r="L226" s="203">
        <f ca="1">IFERROR(__xludf.DUMMYFUNCTION("""COMPUTED_VALUE"""),3356.36)</f>
        <v>3356.36</v>
      </c>
      <c r="M226" s="33" t="str">
        <f ca="1">IFERROR(__xludf.DUMMYFUNCTION("""COMPUTED_VALUE"""),"03 ORL")</f>
        <v>03 ORL</v>
      </c>
      <c r="N226" s="33" t="str">
        <f ca="1">IFERROR(__xludf.DUMMYFUNCTION("""COMPUTED_VALUE"""),"06 ORL")</f>
        <v>06 ORL</v>
      </c>
      <c r="O226" s="33" t="str">
        <f ca="1">IFERROR(__xludf.DUMMYFUNCTION("""COMPUTED_VALUE"""),"Dr, Jesus-Maria Grasa Pérez")</f>
        <v>Dr, Jesus-Maria Grasa Pérez</v>
      </c>
      <c r="P226" s="33" t="str">
        <f ca="1">IFERROR(__xludf.DUMMYFUNCTION("""COMPUTED_VALUE"""),"Mercè Cabrera (Cataluña Y Baleares)")</f>
        <v>Mercè Cabrera (Cataluña Y Baleares)</v>
      </c>
    </row>
    <row r="227" spans="2:16">
      <c r="B227" s="33">
        <f ca="1">IFERROR(__xludf.DUMMYFUNCTION("""COMPUTED_VALUE"""),2025)</f>
        <v>2025</v>
      </c>
      <c r="C227" s="33">
        <f ca="1">IFERROR(__xludf.DUMMYFUNCTION("""COMPUTED_VALUE"""),2)</f>
        <v>2</v>
      </c>
      <c r="D227" s="33" t="str">
        <f ca="1">IFERROR(__xludf.DUMMYFUNCTION("""COMPUTED_VALUE"""),"SI")</f>
        <v>SI</v>
      </c>
      <c r="E227" s="33" t="str">
        <f ca="1">IFERROR(__xludf.DUMMYFUNCTION("""COMPUTED_VALUE"""),"Móstoles")</f>
        <v>Móstoles</v>
      </c>
      <c r="F227" s="57">
        <f ca="1">IFERROR(__xludf.DUMMYFUNCTION("""COMPUTED_VALUE"""),45713)</f>
        <v>45713</v>
      </c>
      <c r="G227" s="57">
        <f ca="1">IFERROR(__xludf.DUMMYFUNCTION("""COMPUTED_VALUE"""),45644)</f>
        <v>45644</v>
      </c>
      <c r="H227" s="33" t="str">
        <f ca="1">IFERROR(__xludf.DUMMYFUNCTION("""COMPUTED_VALUE"""),"Móstoles")</f>
        <v>Móstoles</v>
      </c>
      <c r="I227" s="33" t="str">
        <f ca="1">IFERROR(__xludf.DUMMYFUNCTION("""COMPUTED_VALUE"""),"C2024122792916323")</f>
        <v>C2024122792916323</v>
      </c>
      <c r="J227" s="33" t="str">
        <f ca="1">IFERROR(__xludf.DUMMYFUNCTION("""COMPUTED_VALUE"""),"FRANCISCO REYERO RODRIGUEZ")</f>
        <v>FRANCISCO REYERO RODRIGUEZ</v>
      </c>
      <c r="K227" s="33">
        <f ca="1">IFERROR(__xludf.DUMMYFUNCTION("""COMPUTED_VALUE"""),1)</f>
        <v>1</v>
      </c>
      <c r="L227" s="203">
        <f ca="1">IFERROR(__xludf.DUMMYFUNCTION("""COMPUTED_VALUE"""),1113.18)</f>
        <v>1113.18</v>
      </c>
      <c r="M227" s="33" t="str">
        <f ca="1">IFERROR(__xludf.DUMMYFUNCTION("""COMPUTED_VALUE"""),"04 TIENDA")</f>
        <v>04 TIENDA</v>
      </c>
      <c r="N227" s="33" t="str">
        <f ca="1">IFERROR(__xludf.DUMMYFUNCTION("""COMPUTED_VALUE"""),"19 CLIENTE RECOMPRA ESPONTANEA")</f>
        <v>19 CLIENTE RECOMPRA ESPONTANEA</v>
      </c>
      <c r="O227" s="33" t="str">
        <f ca="1">IFERROR(__xludf.DUMMYFUNCTION("""COMPUTED_VALUE"""),"Dr, Víctor José González Arias")</f>
        <v>Dr, Víctor José González Arias</v>
      </c>
      <c r="P227" s="33" t="str">
        <f ca="1">IFERROR(__xludf.DUMMYFUNCTION("""COMPUTED_VALUE"""),"Maika Blázquez (Madrid)")</f>
        <v>Maika Blázquez (Madrid)</v>
      </c>
    </row>
    <row r="228" spans="2:16">
      <c r="B228" s="33">
        <f ca="1">IFERROR(__xludf.DUMMYFUNCTION("""COMPUTED_VALUE"""),2025)</f>
        <v>2025</v>
      </c>
      <c r="C228" s="33">
        <f ca="1">IFERROR(__xludf.DUMMYFUNCTION("""COMPUTED_VALUE"""),2)</f>
        <v>2</v>
      </c>
      <c r="D228" s="33" t="str">
        <f ca="1">IFERROR(__xludf.DUMMYFUNCTION("""COMPUTED_VALUE"""),"NO")</f>
        <v>NO</v>
      </c>
      <c r="E228" s="33" t="str">
        <f ca="1">IFERROR(__xludf.DUMMYFUNCTION("""COMPUTED_VALUE"""),"Logroño")</f>
        <v>Logroño</v>
      </c>
      <c r="F228" s="57">
        <f ca="1">IFERROR(__xludf.DUMMYFUNCTION("""COMPUTED_VALUE"""),45713)</f>
        <v>45713</v>
      </c>
      <c r="G228" s="57">
        <f ca="1">IFERROR(__xludf.DUMMYFUNCTION("""COMPUTED_VALUE"""),45677)</f>
        <v>45677</v>
      </c>
      <c r="H228" s="33" t="str">
        <f ca="1">IFERROR(__xludf.DUMMYFUNCTION("""COMPUTED_VALUE"""),"Logroño")</f>
        <v>Logroño</v>
      </c>
      <c r="I228" s="33" t="str">
        <f ca="1">IFERROR(__xludf.DUMMYFUNCTION("""COMPUTED_VALUE"""),"C202512710843940")</f>
        <v>C202512710843940</v>
      </c>
      <c r="J228" s="33" t="str">
        <f ca="1">IFERROR(__xludf.DUMMYFUNCTION("""COMPUTED_VALUE"""),"GUSTAVO OLARIAGA RODRÍGUEZ")</f>
        <v>GUSTAVO OLARIAGA RODRÍGUEZ</v>
      </c>
      <c r="K228" s="33">
        <f ca="1">IFERROR(__xludf.DUMMYFUNCTION("""COMPUTED_VALUE"""),2)</f>
        <v>2</v>
      </c>
      <c r="L228" s="203">
        <f ca="1">IFERROR(__xludf.DUMMYFUNCTION("""COMPUTED_VALUE"""),3710)</f>
        <v>3710</v>
      </c>
      <c r="M228" s="33" t="str">
        <f ca="1">IFERROR(__xludf.DUMMYFUNCTION("""COMPUTED_VALUE"""),"03 ORL")</f>
        <v>03 ORL</v>
      </c>
      <c r="N228" s="33" t="str">
        <f ca="1">IFERROR(__xludf.DUMMYFUNCTION("""COMPUTED_VALUE"""),"06 ORL")</f>
        <v>06 ORL</v>
      </c>
      <c r="O228" s="33" t="str">
        <f ca="1">IFERROR(__xludf.DUMMYFUNCTION("""COMPUTED_VALUE"""),"Dr, Fernando Salazar Barcelona")</f>
        <v>Dr, Fernando Salazar Barcelona</v>
      </c>
      <c r="P228" s="33" t="str">
        <f ca="1">IFERROR(__xludf.DUMMYFUNCTION("""COMPUTED_VALUE"""),"Lisandro Russian (Madrid, Cáceres, Toledo, Talavera Y Logroño)")</f>
        <v>Lisandro Russian (Madrid, Cáceres, Toledo, Talavera Y Logroño)</v>
      </c>
    </row>
    <row r="229" spans="2:16">
      <c r="B229" s="33">
        <f ca="1">IFERROR(__xludf.DUMMYFUNCTION("""COMPUTED_VALUE"""),2025)</f>
        <v>2025</v>
      </c>
      <c r="C229" s="33">
        <f ca="1">IFERROR(__xludf.DUMMYFUNCTION("""COMPUTED_VALUE"""),2)</f>
        <v>2</v>
      </c>
      <c r="D229" s="33" t="str">
        <f ca="1">IFERROR(__xludf.DUMMYFUNCTION("""COMPUTED_VALUE"""),"NO")</f>
        <v>NO</v>
      </c>
      <c r="E229" s="33" t="str">
        <f ca="1">IFERROR(__xludf.DUMMYFUNCTION("""COMPUTED_VALUE"""),"Alicante")</f>
        <v>Alicante</v>
      </c>
      <c r="F229" s="57">
        <f ca="1">IFERROR(__xludf.DUMMYFUNCTION("""COMPUTED_VALUE"""),45713)</f>
        <v>45713</v>
      </c>
      <c r="G229" s="57">
        <f ca="1">IFERROR(__xludf.DUMMYFUNCTION("""COMPUTED_VALUE"""),45686)</f>
        <v>45686</v>
      </c>
      <c r="H229" s="33" t="str">
        <f ca="1">IFERROR(__xludf.DUMMYFUNCTION("""COMPUTED_VALUE"""),"Alicante")</f>
        <v>Alicante</v>
      </c>
      <c r="I229" s="33" t="str">
        <f ca="1">IFERROR(__xludf.DUMMYFUNCTION("""COMPUTED_VALUE"""),"C20252312397959")</f>
        <v>C20252312397959</v>
      </c>
      <c r="J229" s="33" t="str">
        <f ca="1">IFERROR(__xludf.DUMMYFUNCTION("""COMPUTED_VALUE"""),"VICTORIA GRAU PEREZ")</f>
        <v>VICTORIA GRAU PEREZ</v>
      </c>
      <c r="K229" s="33">
        <f ca="1">IFERROR(__xludf.DUMMYFUNCTION("""COMPUTED_VALUE"""),1)</f>
        <v>1</v>
      </c>
      <c r="L229" s="203">
        <f ca="1">IFERROR(__xludf.DUMMYFUNCTION("""COMPUTED_VALUE"""),2400)</f>
        <v>2400</v>
      </c>
      <c r="M229" s="33" t="str">
        <f ca="1">IFERROR(__xludf.DUMMYFUNCTION("""COMPUTED_VALUE"""),"03 ORL")</f>
        <v>03 ORL</v>
      </c>
      <c r="N229" s="33" t="str">
        <f ca="1">IFERROR(__xludf.DUMMYFUNCTION("""COMPUTED_VALUE"""),"06 ORL")</f>
        <v>06 ORL</v>
      </c>
      <c r="O229" s="33" t="str">
        <f ca="1">IFERROR(__xludf.DUMMYFUNCTION("""COMPUTED_VALUE"""),"Dra, Ana Gabriela Jover Espla")</f>
        <v>Dra, Ana Gabriela Jover Espla</v>
      </c>
      <c r="P229" s="33" t="str">
        <f ca="1">IFERROR(__xludf.DUMMYFUNCTION("""COMPUTED_VALUE"""),"Iván Sánchez (Levante Y Albacete)")</f>
        <v>Iván Sánchez (Levante Y Albacete)</v>
      </c>
    </row>
    <row r="230" spans="2:16">
      <c r="B230" s="33">
        <f ca="1">IFERROR(__xludf.DUMMYFUNCTION("""COMPUTED_VALUE"""),2025)</f>
        <v>2025</v>
      </c>
      <c r="C230" s="33">
        <f ca="1">IFERROR(__xludf.DUMMYFUNCTION("""COMPUTED_VALUE"""),2)</f>
        <v>2</v>
      </c>
      <c r="D230" s="33" t="str">
        <f ca="1">IFERROR(__xludf.DUMMYFUNCTION("""COMPUTED_VALUE"""),"NO")</f>
        <v>NO</v>
      </c>
      <c r="E230" s="33" t="str">
        <f ca="1">IFERROR(__xludf.DUMMYFUNCTION("""COMPUTED_VALUE"""),"Getafe")</f>
        <v>Getafe</v>
      </c>
      <c r="F230" s="57">
        <f ca="1">IFERROR(__xludf.DUMMYFUNCTION("""COMPUTED_VALUE"""),45713)</f>
        <v>45713</v>
      </c>
      <c r="G230" s="57">
        <f ca="1">IFERROR(__xludf.DUMMYFUNCTION("""COMPUTED_VALUE"""),45685)</f>
        <v>45685</v>
      </c>
      <c r="H230" s="33" t="str">
        <f ca="1">IFERROR(__xludf.DUMMYFUNCTION("""COMPUTED_VALUE"""),"Getafe")</f>
        <v>Getafe</v>
      </c>
      <c r="I230" s="33" t="str">
        <f ca="1">IFERROR(__xludf.DUMMYFUNCTION("""COMPUTED_VALUE"""),"C20252316216614")</f>
        <v>C20252316216614</v>
      </c>
      <c r="J230" s="33" t="str">
        <f ca="1">IFERROR(__xludf.DUMMYFUNCTION("""COMPUTED_VALUE"""),"FELICISIMA GARCIA PINTO")</f>
        <v>FELICISIMA GARCIA PINTO</v>
      </c>
      <c r="K230" s="33">
        <f ca="1">IFERROR(__xludf.DUMMYFUNCTION("""COMPUTED_VALUE"""),2)</f>
        <v>2</v>
      </c>
      <c r="L230" s="203">
        <f ca="1">IFERROR(__xludf.DUMMYFUNCTION("""COMPUTED_VALUE"""),4180)</f>
        <v>4180</v>
      </c>
      <c r="M230" s="33" t="str">
        <f ca="1">IFERROR(__xludf.DUMMYFUNCTION("""COMPUTED_VALUE"""),"03 ORL")</f>
        <v>03 ORL</v>
      </c>
      <c r="N230" s="33" t="str">
        <f ca="1">IFERROR(__xludf.DUMMYFUNCTION("""COMPUTED_VALUE"""),"06 ORL")</f>
        <v>06 ORL</v>
      </c>
      <c r="O230" s="33" t="str">
        <f ca="1">IFERROR(__xludf.DUMMYFUNCTION("""COMPUTED_VALUE"""),"Dra, María Garrote Garrote")</f>
        <v>Dra, María Garrote Garrote</v>
      </c>
      <c r="P230" s="33" t="str">
        <f ca="1">IFERROR(__xludf.DUMMYFUNCTION("""COMPUTED_VALUE"""),"Maika Blázquez (Madrid)")</f>
        <v>Maika Blázquez (Madrid)</v>
      </c>
    </row>
    <row r="231" spans="2:16">
      <c r="B231" s="33">
        <f ca="1">IFERROR(__xludf.DUMMYFUNCTION("""COMPUTED_VALUE"""),2025)</f>
        <v>2025</v>
      </c>
      <c r="C231" s="33">
        <f ca="1">IFERROR(__xludf.DUMMYFUNCTION("""COMPUTED_VALUE"""),2)</f>
        <v>2</v>
      </c>
      <c r="D231" s="33" t="str">
        <f ca="1">IFERROR(__xludf.DUMMYFUNCTION("""COMPUTED_VALUE"""),"NO")</f>
        <v>NO</v>
      </c>
      <c r="E231" s="33" t="str">
        <f ca="1">IFERROR(__xludf.DUMMYFUNCTION("""COMPUTED_VALUE"""),"Orihuela")</f>
        <v>Orihuela</v>
      </c>
      <c r="F231" s="57">
        <f ca="1">IFERROR(__xludf.DUMMYFUNCTION("""COMPUTED_VALUE"""),45713)</f>
        <v>45713</v>
      </c>
      <c r="G231" s="57">
        <f ca="1">IFERROR(__xludf.DUMMYFUNCTION("""COMPUTED_VALUE"""),45678)</f>
        <v>45678</v>
      </c>
      <c r="H231" s="33" t="str">
        <f ca="1">IFERROR(__xludf.DUMMYFUNCTION("""COMPUTED_VALUE"""),"La Zenia")</f>
        <v>La Zenia</v>
      </c>
      <c r="I231" s="33" t="str">
        <f ca="1">IFERROR(__xludf.DUMMYFUNCTION("""COMPUTED_VALUE"""),"C20252311520480")</f>
        <v>C20252311520480</v>
      </c>
      <c r="J231" s="33" t="str">
        <f ca="1">IFERROR(__xludf.DUMMYFUNCTION("""COMPUTED_VALUE"""),"JOHN ROLAND LAWRENCE BATHE")</f>
        <v>JOHN ROLAND LAWRENCE BATHE</v>
      </c>
      <c r="K231" s="33">
        <f ca="1">IFERROR(__xludf.DUMMYFUNCTION("""COMPUTED_VALUE"""),2)</f>
        <v>2</v>
      </c>
      <c r="L231" s="203">
        <f ca="1">IFERROR(__xludf.DUMMYFUNCTION("""COMPUTED_VALUE"""),4000)</f>
        <v>4000</v>
      </c>
      <c r="M231" s="33" t="str">
        <f ca="1">IFERROR(__xludf.DUMMYFUNCTION("""COMPUTED_VALUE"""),"03 ORL")</f>
        <v>03 ORL</v>
      </c>
      <c r="N231" s="33" t="str">
        <f ca="1">IFERROR(__xludf.DUMMYFUNCTION("""COMPUTED_VALUE"""),"06 ORL")</f>
        <v>06 ORL</v>
      </c>
      <c r="O231" s="33" t="str">
        <f ca="1">IFERROR(__xludf.DUMMYFUNCTION("""COMPUTED_VALUE"""),"Dr, Santiago Moreno Paredes")</f>
        <v>Dr, Santiago Moreno Paredes</v>
      </c>
      <c r="P231" s="33" t="str">
        <f ca="1">IFERROR(__xludf.DUMMYFUNCTION("""COMPUTED_VALUE"""),"Iván Sánchez (Levante Y Albacete)")</f>
        <v>Iván Sánchez (Levante Y Albacete)</v>
      </c>
    </row>
    <row r="232" spans="2:16">
      <c r="B232" s="33">
        <f ca="1">IFERROR(__xludf.DUMMYFUNCTION("""COMPUTED_VALUE"""),2025)</f>
        <v>2025</v>
      </c>
      <c r="C232" s="33">
        <f ca="1">IFERROR(__xludf.DUMMYFUNCTION("""COMPUTED_VALUE"""),2)</f>
        <v>2</v>
      </c>
      <c r="D232" s="33" t="str">
        <f ca="1">IFERROR(__xludf.DUMMYFUNCTION("""COMPUTED_VALUE"""),"NO")</f>
        <v>NO</v>
      </c>
      <c r="E232" s="33" t="str">
        <f ca="1">IFERROR(__xludf.DUMMYFUNCTION("""COMPUTED_VALUE"""),"Orihuela")</f>
        <v>Orihuela</v>
      </c>
      <c r="F232" s="57">
        <f ca="1">IFERROR(__xludf.DUMMYFUNCTION("""COMPUTED_VALUE"""),45713)</f>
        <v>45713</v>
      </c>
      <c r="G232" s="57">
        <f ca="1">IFERROR(__xludf.DUMMYFUNCTION("""COMPUTED_VALUE"""),45664)</f>
        <v>45664</v>
      </c>
      <c r="H232" s="33" t="str">
        <f ca="1">IFERROR(__xludf.DUMMYFUNCTION("""COMPUTED_VALUE"""),"La Zenia")</f>
        <v>La Zenia</v>
      </c>
      <c r="I232" s="33" t="str">
        <f ca="1">IFERROR(__xludf.DUMMYFUNCTION("""COMPUTED_VALUE"""),"C202511617243631")</f>
        <v>C202511617243631</v>
      </c>
      <c r="J232" s="33" t="str">
        <f ca="1">IFERROR(__xludf.DUMMYFUNCTION("""COMPUTED_VALUE"""),"MARGIT PANCZEL")</f>
        <v>MARGIT PANCZEL</v>
      </c>
      <c r="K232" s="33">
        <f ca="1">IFERROR(__xludf.DUMMYFUNCTION("""COMPUTED_VALUE"""),1)</f>
        <v>1</v>
      </c>
      <c r="L232" s="203">
        <f ca="1">IFERROR(__xludf.DUMMYFUNCTION("""COMPUTED_VALUE"""),2400)</f>
        <v>2400</v>
      </c>
      <c r="M232" s="33" t="str">
        <f ca="1">IFERROR(__xludf.DUMMYFUNCTION("""COMPUTED_VALUE"""),"03 ORL")</f>
        <v>03 ORL</v>
      </c>
      <c r="N232" s="33" t="str">
        <f ca="1">IFERROR(__xludf.DUMMYFUNCTION("""COMPUTED_VALUE"""),"06 ORL")</f>
        <v>06 ORL</v>
      </c>
      <c r="O232" s="33" t="str">
        <f ca="1">IFERROR(__xludf.DUMMYFUNCTION("""COMPUTED_VALUE"""),"Dr, Fiorella Marcino Moreira")</f>
        <v>Dr, Fiorella Marcino Moreira</v>
      </c>
      <c r="P232" s="33" t="str">
        <f ca="1">IFERROR(__xludf.DUMMYFUNCTION("""COMPUTED_VALUE"""),"Iván Sánchez (Levante Y Albacete)")</f>
        <v>Iván Sánchez (Levante Y Albacete)</v>
      </c>
    </row>
    <row r="233" spans="2:16">
      <c r="B233" s="33">
        <f ca="1">IFERROR(__xludf.DUMMYFUNCTION("""COMPUTED_VALUE"""),2025)</f>
        <v>2025</v>
      </c>
      <c r="C233" s="33">
        <f ca="1">IFERROR(__xludf.DUMMYFUNCTION("""COMPUTED_VALUE"""),2)</f>
        <v>2</v>
      </c>
      <c r="D233" s="33" t="str">
        <f ca="1">IFERROR(__xludf.DUMMYFUNCTION("""COMPUTED_VALUE"""),"NO")</f>
        <v>NO</v>
      </c>
      <c r="E233" s="33" t="str">
        <f ca="1">IFERROR(__xludf.DUMMYFUNCTION("""COMPUTED_VALUE"""),"Talavera")</f>
        <v>Talavera</v>
      </c>
      <c r="F233" s="57">
        <f ca="1">IFERROR(__xludf.DUMMYFUNCTION("""COMPUTED_VALUE"""),45713)</f>
        <v>45713</v>
      </c>
      <c r="G233" s="57">
        <f ca="1">IFERROR(__xludf.DUMMYFUNCTION("""COMPUTED_VALUE"""),45686)</f>
        <v>45686</v>
      </c>
      <c r="H233" s="33" t="str">
        <f ca="1">IFERROR(__xludf.DUMMYFUNCTION("""COMPUTED_VALUE"""),"Talavera")</f>
        <v>Talavera</v>
      </c>
      <c r="I233" s="33" t="str">
        <f ca="1">IFERROR(__xludf.DUMMYFUNCTION("""COMPUTED_VALUE"""),"C2025241653871")</f>
        <v>C2025241653871</v>
      </c>
      <c r="J233" s="33" t="str">
        <f ca="1">IFERROR(__xludf.DUMMYFUNCTION("""COMPUTED_VALUE"""),"JOSE RINCON MORENO")</f>
        <v>JOSE RINCON MORENO</v>
      </c>
      <c r="K233" s="33">
        <f ca="1">IFERROR(__xludf.DUMMYFUNCTION("""COMPUTED_VALUE"""),1)</f>
        <v>1</v>
      </c>
      <c r="L233" s="203">
        <f ca="1">IFERROR(__xludf.DUMMYFUNCTION("""COMPUTED_VALUE"""),2640)</f>
        <v>2640</v>
      </c>
      <c r="M233" s="33" t="str">
        <f ca="1">IFERROR(__xludf.DUMMYFUNCTION("""COMPUTED_VALUE"""),"03 ORL")</f>
        <v>03 ORL</v>
      </c>
      <c r="N233" s="33" t="str">
        <f ca="1">IFERROR(__xludf.DUMMYFUNCTION("""COMPUTED_VALUE"""),"06 ORL")</f>
        <v>06 ORL</v>
      </c>
      <c r="O233" s="33" t="str">
        <f ca="1">IFERROR(__xludf.DUMMYFUNCTION("""COMPUTED_VALUE"""),"Dr, Carlos Félix Asensio Nieto")</f>
        <v>Dr, Carlos Félix Asensio Nieto</v>
      </c>
      <c r="P233" s="33" t="str">
        <f ca="1">IFERROR(__xludf.DUMMYFUNCTION("""COMPUTED_VALUE"""),"Lisandro Russian (Madrid, Cáceres, Toledo, Talavera Y Logroño)")</f>
        <v>Lisandro Russian (Madrid, Cáceres, Toledo, Talavera Y Logroño)</v>
      </c>
    </row>
    <row r="234" spans="2:16">
      <c r="B234" s="33">
        <f ca="1">IFERROR(__xludf.DUMMYFUNCTION("""COMPUTED_VALUE"""),2025)</f>
        <v>2025</v>
      </c>
      <c r="C234" s="33">
        <f ca="1">IFERROR(__xludf.DUMMYFUNCTION("""COMPUTED_VALUE"""),2)</f>
        <v>2</v>
      </c>
      <c r="D234" s="33" t="str">
        <f ca="1">IFERROR(__xludf.DUMMYFUNCTION("""COMPUTED_VALUE"""),"NO")</f>
        <v>NO</v>
      </c>
      <c r="E234" s="33" t="str">
        <f ca="1">IFERROR(__xludf.DUMMYFUNCTION("""COMPUTED_VALUE"""),"Madrid- Juan Bravo")</f>
        <v>Madrid- Juan Bravo</v>
      </c>
      <c r="F234" s="57">
        <f ca="1">IFERROR(__xludf.DUMMYFUNCTION("""COMPUTED_VALUE"""),45713)</f>
        <v>45713</v>
      </c>
      <c r="G234" s="57">
        <f ca="1">IFERROR(__xludf.DUMMYFUNCTION("""COMPUTED_VALUE"""),45694)</f>
        <v>45694</v>
      </c>
      <c r="H234" s="33" t="str">
        <f ca="1">IFERROR(__xludf.DUMMYFUNCTION("""COMPUTED_VALUE"""),"Juan Bravo")</f>
        <v>Juan Bravo</v>
      </c>
      <c r="I234" s="33" t="str">
        <f ca="1">IFERROR(__xludf.DUMMYFUNCTION("""COMPUTED_VALUE"""),"C202526184934908")</f>
        <v>C202526184934908</v>
      </c>
      <c r="J234" s="33" t="str">
        <f ca="1">IFERROR(__xludf.DUMMYFUNCTION("""COMPUTED_VALUE"""),"MARIA ISABEL GUILLEN GARRIDO")</f>
        <v>MARIA ISABEL GUILLEN GARRIDO</v>
      </c>
      <c r="K234" s="33">
        <f ca="1">IFERROR(__xludf.DUMMYFUNCTION("""COMPUTED_VALUE"""),1)</f>
        <v>1</v>
      </c>
      <c r="L234" s="203">
        <f ca="1">IFERROR(__xludf.DUMMYFUNCTION("""COMPUTED_VALUE"""),2280)</f>
        <v>2280</v>
      </c>
      <c r="M234" s="33" t="str">
        <f ca="1">IFERROR(__xludf.DUMMYFUNCTION("""COMPUTED_VALUE"""),"03 ORL")</f>
        <v>03 ORL</v>
      </c>
      <c r="N234" s="33" t="str">
        <f ca="1">IFERROR(__xludf.DUMMYFUNCTION("""COMPUTED_VALUE"""),"06 ORL")</f>
        <v>06 ORL</v>
      </c>
      <c r="O234" s="33" t="str">
        <f ca="1">IFERROR(__xludf.DUMMYFUNCTION("""COMPUTED_VALUE"""),"Dr, Joaquín Alacio Casero")</f>
        <v>Dr, Joaquín Alacio Casero</v>
      </c>
      <c r="P234" s="33" t="str">
        <f ca="1">IFERROR(__xludf.DUMMYFUNCTION("""COMPUTED_VALUE"""),"Maika Blázquez (Madrid)")</f>
        <v>Maika Blázquez (Madrid)</v>
      </c>
    </row>
    <row r="235" spans="2:16">
      <c r="B235" s="33">
        <f ca="1">IFERROR(__xludf.DUMMYFUNCTION("""COMPUTED_VALUE"""),2025)</f>
        <v>2025</v>
      </c>
      <c r="C235" s="33">
        <f ca="1">IFERROR(__xludf.DUMMYFUNCTION("""COMPUTED_VALUE"""),2)</f>
        <v>2</v>
      </c>
      <c r="D235" s="33" t="str">
        <f ca="1">IFERROR(__xludf.DUMMYFUNCTION("""COMPUTED_VALUE"""),"NO")</f>
        <v>NO</v>
      </c>
      <c r="E235" s="33" t="str">
        <f ca="1">IFERROR(__xludf.DUMMYFUNCTION("""COMPUTED_VALUE"""),"Madrid- Galileo")</f>
        <v>Madrid- Galileo</v>
      </c>
      <c r="F235" s="57">
        <f ca="1">IFERROR(__xludf.DUMMYFUNCTION("""COMPUTED_VALUE"""),45713)</f>
        <v>45713</v>
      </c>
      <c r="G235" s="57">
        <f ca="1">IFERROR(__xludf.DUMMYFUNCTION("""COMPUTED_VALUE"""),45691)</f>
        <v>45691</v>
      </c>
      <c r="H235" s="33" t="str">
        <f ca="1">IFERROR(__xludf.DUMMYFUNCTION("""COMPUTED_VALUE"""),"Moncloa")</f>
        <v>Moncloa</v>
      </c>
      <c r="I235" s="33" t="str">
        <f ca="1">IFERROR(__xludf.DUMMYFUNCTION("""COMPUTED_VALUE"""),"C2025212162612372")</f>
        <v>C2025212162612372</v>
      </c>
      <c r="J235" s="33" t="str">
        <f ca="1">IFERROR(__xludf.DUMMYFUNCTION("""COMPUTED_VALUE"""),"ISABEL SANCHEZ FERNANDEZ")</f>
        <v>ISABEL SANCHEZ FERNANDEZ</v>
      </c>
      <c r="K235" s="33">
        <f ca="1">IFERROR(__xludf.DUMMYFUNCTION("""COMPUTED_VALUE"""),2)</f>
        <v>2</v>
      </c>
      <c r="L235" s="203">
        <f ca="1">IFERROR(__xludf.DUMMYFUNCTION("""COMPUTED_VALUE"""),3710)</f>
        <v>3710</v>
      </c>
      <c r="M235" s="33" t="str">
        <f ca="1">IFERROR(__xludf.DUMMYFUNCTION("""COMPUTED_VALUE"""),"03 ORL")</f>
        <v>03 ORL</v>
      </c>
      <c r="N235" s="33" t="str">
        <f ca="1">IFERROR(__xludf.DUMMYFUNCTION("""COMPUTED_VALUE"""),"06 ORL")</f>
        <v>06 ORL</v>
      </c>
      <c r="O235" s="33" t="str">
        <f ca="1">IFERROR(__xludf.DUMMYFUNCTION("""COMPUTED_VALUE"""),"Dr, Ramón González Herranz")</f>
        <v>Dr, Ramón González Herranz</v>
      </c>
      <c r="P235" s="33" t="str">
        <f ca="1">IFERROR(__xludf.DUMMYFUNCTION("""COMPUTED_VALUE"""),"Maika Blázquez (Madrid)")</f>
        <v>Maika Blázquez (Madrid)</v>
      </c>
    </row>
    <row r="236" spans="2:16">
      <c r="B236" s="33">
        <f ca="1">IFERROR(__xludf.DUMMYFUNCTION("""COMPUTED_VALUE"""),2025)</f>
        <v>2025</v>
      </c>
      <c r="C236" s="33">
        <f ca="1">IFERROR(__xludf.DUMMYFUNCTION("""COMPUTED_VALUE"""),2)</f>
        <v>2</v>
      </c>
      <c r="D236" s="33" t="str">
        <f ca="1">IFERROR(__xludf.DUMMYFUNCTION("""COMPUTED_VALUE"""),"NO")</f>
        <v>NO</v>
      </c>
      <c r="E236" s="33" t="str">
        <f ca="1">IFERROR(__xludf.DUMMYFUNCTION("""COMPUTED_VALUE"""),"Almería")</f>
        <v>Almería</v>
      </c>
      <c r="F236" s="57">
        <f ca="1">IFERROR(__xludf.DUMMYFUNCTION("""COMPUTED_VALUE"""),45713)</f>
        <v>45713</v>
      </c>
      <c r="G236" s="57">
        <f ca="1">IFERROR(__xludf.DUMMYFUNCTION("""COMPUTED_VALUE"""),45691)</f>
        <v>45691</v>
      </c>
      <c r="H236" s="33" t="str">
        <f ca="1">IFERROR(__xludf.DUMMYFUNCTION("""COMPUTED_VALUE"""),"Almería")</f>
        <v>Almería</v>
      </c>
      <c r="I236" s="33" t="str">
        <f ca="1">IFERROR(__xludf.DUMMYFUNCTION("""COMPUTED_VALUE"""),"C20252616128199")</f>
        <v>C20252616128199</v>
      </c>
      <c r="J236" s="33" t="str">
        <f ca="1">IFERROR(__xludf.DUMMYFUNCTION("""COMPUTED_VALUE"""),"ANA DE LOS ANGELES HERNANDEZ CARRILLO")</f>
        <v>ANA DE LOS ANGELES HERNANDEZ CARRILLO</v>
      </c>
      <c r="K236" s="33">
        <f ca="1">IFERROR(__xludf.DUMMYFUNCTION("""COMPUTED_VALUE"""),2)</f>
        <v>2</v>
      </c>
      <c r="L236" s="203">
        <f ca="1">IFERROR(__xludf.DUMMYFUNCTION("""COMPUTED_VALUE"""),4000)</f>
        <v>4000</v>
      </c>
      <c r="M236" s="33" t="str">
        <f ca="1">IFERROR(__xludf.DUMMYFUNCTION("""COMPUTED_VALUE"""),"01 MARKETING ON LINE")</f>
        <v>01 MARKETING ON LINE</v>
      </c>
      <c r="N236" s="33" t="str">
        <f ca="1">IFERROR(__xludf.DUMMYFUNCTION("""COMPUTED_VALUE"""),"04 AUDIFONO,ES")</f>
        <v>04 AUDIFONO,ES</v>
      </c>
      <c r="O236" s="33" t="str">
        <f ca="1">IFERROR(__xludf.DUMMYFUNCTION("""COMPUTED_VALUE"""),"Dr, Antonio José Fernández Pérez")</f>
        <v>Dr, Antonio José Fernández Pérez</v>
      </c>
      <c r="P236" s="33" t="str">
        <f ca="1">IFERROR(__xludf.DUMMYFUNCTION("""COMPUTED_VALUE"""),"Ramon Ferrando(Valencia)")</f>
        <v>Ramon Ferrando(Valencia)</v>
      </c>
    </row>
    <row r="237" spans="2:16">
      <c r="B237" s="33">
        <f ca="1">IFERROR(__xludf.DUMMYFUNCTION("""COMPUTED_VALUE"""),2025)</f>
        <v>2025</v>
      </c>
      <c r="C237" s="33">
        <f ca="1">IFERROR(__xludf.DUMMYFUNCTION("""COMPUTED_VALUE"""),2)</f>
        <v>2</v>
      </c>
      <c r="D237" s="33" t="str">
        <f ca="1">IFERROR(__xludf.DUMMYFUNCTION("""COMPUTED_VALUE"""),"NO")</f>
        <v>NO</v>
      </c>
      <c r="E237" s="33" t="str">
        <f ca="1">IFERROR(__xludf.DUMMYFUNCTION("""COMPUTED_VALUE"""),"Alcorcón")</f>
        <v>Alcorcón</v>
      </c>
      <c r="F237" s="57">
        <f ca="1">IFERROR(__xludf.DUMMYFUNCTION("""COMPUTED_VALUE"""),45714)</f>
        <v>45714</v>
      </c>
      <c r="G237" s="57">
        <f ca="1">IFERROR(__xludf.DUMMYFUNCTION("""COMPUTED_VALUE"""),45685)</f>
        <v>45685</v>
      </c>
      <c r="H237" s="33" t="str">
        <f ca="1">IFERROR(__xludf.DUMMYFUNCTION("""COMPUTED_VALUE"""),"Alcorcón")</f>
        <v>Alcorcón</v>
      </c>
      <c r="I237" s="33" t="str">
        <f ca="1">IFERROR(__xludf.DUMMYFUNCTION("""COMPUTED_VALUE"""),"C2025130185486")</f>
        <v>C2025130185486</v>
      </c>
      <c r="J237" s="33" t="str">
        <f ca="1">IFERROR(__xludf.DUMMYFUNCTION("""COMPUTED_VALUE"""),"JUANA GRANIZO HENCHE")</f>
        <v>JUANA GRANIZO HENCHE</v>
      </c>
      <c r="K237" s="33">
        <f ca="1">IFERROR(__xludf.DUMMYFUNCTION("""COMPUTED_VALUE"""),1)</f>
        <v>1</v>
      </c>
      <c r="L237" s="203">
        <f ca="1">IFERROR(__xludf.DUMMYFUNCTION("""COMPUTED_VALUE"""),2400)</f>
        <v>2400</v>
      </c>
      <c r="M237" s="33" t="str">
        <f ca="1">IFERROR(__xludf.DUMMYFUNCTION("""COMPUTED_VALUE"""),"03 ORL")</f>
        <v>03 ORL</v>
      </c>
      <c r="N237" s="33" t="str">
        <f ca="1">IFERROR(__xludf.DUMMYFUNCTION("""COMPUTED_VALUE"""),"06 ORL")</f>
        <v>06 ORL</v>
      </c>
      <c r="O237" s="33" t="str">
        <f ca="1">IFERROR(__xludf.DUMMYFUNCTION("""COMPUTED_VALUE"""),"Dr, Álvaro Sánchez Álvarez")</f>
        <v>Dr, Álvaro Sánchez Álvarez</v>
      </c>
      <c r="P237" s="33" t="str">
        <f ca="1">IFERROR(__xludf.DUMMYFUNCTION("""COMPUTED_VALUE"""),"Lisandro Russian (Madrid, Cáceres, Toledo, Talavera Y Logroño)")</f>
        <v>Lisandro Russian (Madrid, Cáceres, Toledo, Talavera Y Logroño)</v>
      </c>
    </row>
    <row r="238" spans="2:16">
      <c r="B238" s="33">
        <f ca="1">IFERROR(__xludf.DUMMYFUNCTION("""COMPUTED_VALUE"""),2025)</f>
        <v>2025</v>
      </c>
      <c r="C238" s="33">
        <f ca="1">IFERROR(__xludf.DUMMYFUNCTION("""COMPUTED_VALUE"""),2)</f>
        <v>2</v>
      </c>
      <c r="D238" s="33" t="str">
        <f ca="1">IFERROR(__xludf.DUMMYFUNCTION("""COMPUTED_VALUE"""),"SI")</f>
        <v>SI</v>
      </c>
      <c r="E238" s="33" t="str">
        <f ca="1">IFERROR(__xludf.DUMMYFUNCTION("""COMPUTED_VALUE"""),"Logroño")</f>
        <v>Logroño</v>
      </c>
      <c r="F238" s="57">
        <f ca="1">IFERROR(__xludf.DUMMYFUNCTION("""COMPUTED_VALUE"""),45714)</f>
        <v>45714</v>
      </c>
      <c r="G238" s="57">
        <f ca="1">IFERROR(__xludf.DUMMYFUNCTION("""COMPUTED_VALUE"""),44980)</f>
        <v>44980</v>
      </c>
      <c r="H238" s="33" t="str">
        <f ca="1">IFERROR(__xludf.DUMMYFUNCTION("""COMPUTED_VALUE"""),"Logroño")</f>
        <v>Logroño</v>
      </c>
      <c r="I238" s="33" t="str">
        <f ca="1">IFERROR(__xludf.DUMMYFUNCTION("""COMPUTED_VALUE"""),"LOG-1059")</f>
        <v>LOG-1059</v>
      </c>
      <c r="J238" s="33" t="str">
        <f ca="1">IFERROR(__xludf.DUMMYFUNCTION("""COMPUTED_VALUE"""),"JULIO PASCUAL FERNÁNDEZ")</f>
        <v>JULIO PASCUAL FERNÁNDEZ</v>
      </c>
      <c r="K238" s="33">
        <f ca="1">IFERROR(__xludf.DUMMYFUNCTION("""COMPUTED_VALUE"""),1)</f>
        <v>1</v>
      </c>
      <c r="L238" s="203">
        <f ca="1">IFERROR(__xludf.DUMMYFUNCTION("""COMPUTED_VALUE"""),2563.64)</f>
        <v>2563.64</v>
      </c>
      <c r="M238" s="33" t="str">
        <f ca="1">IFERROR(__xludf.DUMMYFUNCTION("""COMPUTED_VALUE"""),"03 ORL")</f>
        <v>03 ORL</v>
      </c>
      <c r="N238" s="33" t="str">
        <f ca="1">IFERROR(__xludf.DUMMYFUNCTION("""COMPUTED_VALUE"""),"06 ORL")</f>
        <v>06 ORL</v>
      </c>
      <c r="O238" s="33" t="str">
        <f ca="1">IFERROR(__xludf.DUMMYFUNCTION("""COMPUTED_VALUE"""),"Dra, Rebeca Barrios Gonzalo")</f>
        <v>Dra, Rebeca Barrios Gonzalo</v>
      </c>
      <c r="P238" s="33" t="str">
        <f ca="1">IFERROR(__xludf.DUMMYFUNCTION("""COMPUTED_VALUE"""),"Lisandro Russian (Madrid, Cáceres, Toledo, Talavera Y Logroño)")</f>
        <v>Lisandro Russian (Madrid, Cáceres, Toledo, Talavera Y Logroño)</v>
      </c>
    </row>
    <row r="239" spans="2:16">
      <c r="B239" s="33">
        <f ca="1">IFERROR(__xludf.DUMMYFUNCTION("""COMPUTED_VALUE"""),2025)</f>
        <v>2025</v>
      </c>
      <c r="C239" s="33">
        <f ca="1">IFERROR(__xludf.DUMMYFUNCTION("""COMPUTED_VALUE"""),2)</f>
        <v>2</v>
      </c>
      <c r="D239" s="33" t="str">
        <f ca="1">IFERROR(__xludf.DUMMYFUNCTION("""COMPUTED_VALUE"""),"NO")</f>
        <v>NO</v>
      </c>
      <c r="E239" s="33" t="str">
        <f ca="1">IFERROR(__xludf.DUMMYFUNCTION("""COMPUTED_VALUE"""),"Móstoles")</f>
        <v>Móstoles</v>
      </c>
      <c r="F239" s="57">
        <f ca="1">IFERROR(__xludf.DUMMYFUNCTION("""COMPUTED_VALUE"""),45714)</f>
        <v>45714</v>
      </c>
      <c r="G239" s="57">
        <f ca="1">IFERROR(__xludf.DUMMYFUNCTION("""COMPUTED_VALUE"""),45631)</f>
        <v>45631</v>
      </c>
      <c r="H239" s="33" t="str">
        <f ca="1">IFERROR(__xludf.DUMMYFUNCTION("""COMPUTED_VALUE"""),"Móstoles")</f>
        <v>Móstoles</v>
      </c>
      <c r="I239" s="33" t="str">
        <f ca="1">IFERROR(__xludf.DUMMYFUNCTION("""COMPUTED_VALUE"""),"C2024121211315995")</f>
        <v>C2024121211315995</v>
      </c>
      <c r="J239" s="33" t="str">
        <f ca="1">IFERROR(__xludf.DUMMYFUNCTION("""COMPUTED_VALUE"""),"MIGUEL PIZARRO LORO")</f>
        <v>MIGUEL PIZARRO LORO</v>
      </c>
      <c r="K239" s="33">
        <f ca="1">IFERROR(__xludf.DUMMYFUNCTION("""COMPUTED_VALUE"""),1)</f>
        <v>1</v>
      </c>
      <c r="L239" s="203">
        <f ca="1">IFERROR(__xludf.DUMMYFUNCTION("""COMPUTED_VALUE"""),1732.73)</f>
        <v>1732.73</v>
      </c>
      <c r="M239" s="33" t="str">
        <f ca="1">IFERROR(__xludf.DUMMYFUNCTION("""COMPUTED_VALUE"""),"03 ORL")</f>
        <v>03 ORL</v>
      </c>
      <c r="N239" s="33" t="str">
        <f ca="1">IFERROR(__xludf.DUMMYFUNCTION("""COMPUTED_VALUE"""),"06 ORL")</f>
        <v>06 ORL</v>
      </c>
      <c r="O239" s="33" t="str">
        <f ca="1">IFERROR(__xludf.DUMMYFUNCTION("""COMPUTED_VALUE"""),"Dr, Àlex Ramírez Rosa")</f>
        <v>Dr, Àlex Ramírez Rosa</v>
      </c>
      <c r="P239" s="33" t="str">
        <f ca="1">IFERROR(__xludf.DUMMYFUNCTION("""COMPUTED_VALUE"""),"Maika Blázquez (Madrid)")</f>
        <v>Maika Blázquez (Madrid)</v>
      </c>
    </row>
    <row r="240" spans="2:16">
      <c r="B240" s="33">
        <f ca="1">IFERROR(__xludf.DUMMYFUNCTION("""COMPUTED_VALUE"""),2025)</f>
        <v>2025</v>
      </c>
      <c r="C240" s="33">
        <f ca="1">IFERROR(__xludf.DUMMYFUNCTION("""COMPUTED_VALUE"""),2)</f>
        <v>2</v>
      </c>
      <c r="D240" s="33" t="str">
        <f ca="1">IFERROR(__xludf.DUMMYFUNCTION("""COMPUTED_VALUE"""),"NO")</f>
        <v>NO</v>
      </c>
      <c r="E240" s="33" t="str">
        <f ca="1">IFERROR(__xludf.DUMMYFUNCTION("""COMPUTED_VALUE"""),"Madrid- Monforte de Lemos")</f>
        <v>Madrid- Monforte de Lemos</v>
      </c>
      <c r="F240" s="57">
        <f ca="1">IFERROR(__xludf.DUMMYFUNCTION("""COMPUTED_VALUE"""),45714)</f>
        <v>45714</v>
      </c>
      <c r="G240" s="57">
        <f ca="1">IFERROR(__xludf.DUMMYFUNCTION("""COMPUTED_VALUE"""),45678)</f>
        <v>45678</v>
      </c>
      <c r="H240" s="33" t="str">
        <f ca="1">IFERROR(__xludf.DUMMYFUNCTION("""COMPUTED_VALUE"""),"La Vaguada")</f>
        <v>La Vaguada</v>
      </c>
      <c r="I240" s="33" t="str">
        <f ca="1">IFERROR(__xludf.DUMMYFUNCTION("""COMPUTED_VALUE"""),"C202525103535787")</f>
        <v>C202525103535787</v>
      </c>
      <c r="J240" s="33" t="str">
        <f ca="1">IFERROR(__xludf.DUMMYFUNCTION("""COMPUTED_VALUE"""),"MARIA ASUNCION BERNAT FERNANDEZ")</f>
        <v>MARIA ASUNCION BERNAT FERNANDEZ</v>
      </c>
      <c r="K240" s="33">
        <f ca="1">IFERROR(__xludf.DUMMYFUNCTION("""COMPUTED_VALUE"""),2)</f>
        <v>2</v>
      </c>
      <c r="L240" s="203">
        <f ca="1">IFERROR(__xludf.DUMMYFUNCTION("""COMPUTED_VALUE"""),4000)</f>
        <v>4000</v>
      </c>
      <c r="M240" s="33" t="str">
        <f ca="1">IFERROR(__xludf.DUMMYFUNCTION("""COMPUTED_VALUE"""),"01 MARKETING ON LINE")</f>
        <v>01 MARKETING ON LINE</v>
      </c>
      <c r="N240" s="33" t="str">
        <f ca="1">IFERROR(__xludf.DUMMYFUNCTION("""COMPUTED_VALUE"""),"02 GOOGLE")</f>
        <v>02 GOOGLE</v>
      </c>
      <c r="O240" s="33" t="str">
        <f ca="1">IFERROR(__xludf.DUMMYFUNCTION("""COMPUTED_VALUE"""),"Dra, Itziar Álvarez Palacios")</f>
        <v>Dra, Itziar Álvarez Palacios</v>
      </c>
      <c r="P240" s="33" t="str">
        <f ca="1">IFERROR(__xludf.DUMMYFUNCTION("""COMPUTED_VALUE"""),"Maika Blázquez (Madrid)")</f>
        <v>Maika Blázquez (Madrid)</v>
      </c>
    </row>
    <row r="241" spans="2:16">
      <c r="B241" s="33">
        <f ca="1">IFERROR(__xludf.DUMMYFUNCTION("""COMPUTED_VALUE"""),2025)</f>
        <v>2025</v>
      </c>
      <c r="C241" s="33">
        <f ca="1">IFERROR(__xludf.DUMMYFUNCTION("""COMPUTED_VALUE"""),2)</f>
        <v>2</v>
      </c>
      <c r="D241" s="33" t="str">
        <f ca="1">IFERROR(__xludf.DUMMYFUNCTION("""COMPUTED_VALUE"""),"NO")</f>
        <v>NO</v>
      </c>
      <c r="E241" s="33" t="str">
        <f ca="1">IFERROR(__xludf.DUMMYFUNCTION("""COMPUTED_VALUE"""),"Lugo")</f>
        <v>Lugo</v>
      </c>
      <c r="F241" s="57">
        <f ca="1">IFERROR(__xludf.DUMMYFUNCTION("""COMPUTED_VALUE"""),45714)</f>
        <v>45714</v>
      </c>
      <c r="G241" s="57">
        <f ca="1">IFERROR(__xludf.DUMMYFUNCTION("""COMPUTED_VALUE"""),45671)</f>
        <v>45671</v>
      </c>
      <c r="H241" s="33" t="str">
        <f ca="1">IFERROR(__xludf.DUMMYFUNCTION("""COMPUTED_VALUE"""),"Lugo")</f>
        <v>Lugo</v>
      </c>
      <c r="I241" s="33" t="str">
        <f ca="1">IFERROR(__xludf.DUMMYFUNCTION("""COMPUTED_VALUE"""),"C20251141735539")</f>
        <v>C20251141735539</v>
      </c>
      <c r="J241" s="33" t="str">
        <f ca="1">IFERROR(__xludf.DUMMYFUNCTION("""COMPUTED_VALUE"""),"FERNANDO CABADO ROCA")</f>
        <v>FERNANDO CABADO ROCA</v>
      </c>
      <c r="K241" s="33">
        <f ca="1">IFERROR(__xludf.DUMMYFUNCTION("""COMPUTED_VALUE"""),2)</f>
        <v>2</v>
      </c>
      <c r="L241" s="203">
        <f ca="1">IFERROR(__xludf.DUMMYFUNCTION("""COMPUTED_VALUE"""),4000)</f>
        <v>4000</v>
      </c>
      <c r="M241" s="33" t="str">
        <f ca="1">IFERROR(__xludf.DUMMYFUNCTION("""COMPUTED_VALUE"""),"03 ORL")</f>
        <v>03 ORL</v>
      </c>
      <c r="N241" s="33" t="str">
        <f ca="1">IFERROR(__xludf.DUMMYFUNCTION("""COMPUTED_VALUE"""),"06 ORL")</f>
        <v>06 ORL</v>
      </c>
      <c r="O241" s="33" t="str">
        <f ca="1">IFERROR(__xludf.DUMMYFUNCTION("""COMPUTED_VALUE"""),"Dr, Pedro Juiz López")</f>
        <v>Dr, Pedro Juiz López</v>
      </c>
      <c r="P241" s="33" t="str">
        <f ca="1">IFERROR(__xludf.DUMMYFUNCTION("""COMPUTED_VALUE"""),"Roberto Pereira (Galicia)")</f>
        <v>Roberto Pereira (Galicia)</v>
      </c>
    </row>
    <row r="242" spans="2:16">
      <c r="B242" s="33">
        <f ca="1">IFERROR(__xludf.DUMMYFUNCTION("""COMPUTED_VALUE"""),2025)</f>
        <v>2025</v>
      </c>
      <c r="C242" s="33">
        <f ca="1">IFERROR(__xludf.DUMMYFUNCTION("""COMPUTED_VALUE"""),2)</f>
        <v>2</v>
      </c>
      <c r="D242" s="33" t="str">
        <f ca="1">IFERROR(__xludf.DUMMYFUNCTION("""COMPUTED_VALUE"""),"NO")</f>
        <v>NO</v>
      </c>
      <c r="E242" s="33" t="str">
        <f ca="1">IFERROR(__xludf.DUMMYFUNCTION("""COMPUTED_VALUE"""),"Alicante")</f>
        <v>Alicante</v>
      </c>
      <c r="F242" s="57">
        <f ca="1">IFERROR(__xludf.DUMMYFUNCTION("""COMPUTED_VALUE"""),45714)</f>
        <v>45714</v>
      </c>
      <c r="G242" s="57">
        <f ca="1">IFERROR(__xludf.DUMMYFUNCTION("""COMPUTED_VALUE"""),45588)</f>
        <v>45588</v>
      </c>
      <c r="H242" s="33" t="str">
        <f ca="1">IFERROR(__xludf.DUMMYFUNCTION("""COMPUTED_VALUE"""),"Alicante")</f>
        <v>Alicante</v>
      </c>
      <c r="I242" s="33" t="str">
        <f ca="1">IFERROR(__xludf.DUMMYFUNCTION("""COMPUTED_VALUE"""),"C20241028105133742")</f>
        <v>C20241028105133742</v>
      </c>
      <c r="J242" s="33" t="str">
        <f ca="1">IFERROR(__xludf.DUMMYFUNCTION("""COMPUTED_VALUE"""),"JOSEFA GOMEZ RUBIO")</f>
        <v>JOSEFA GOMEZ RUBIO</v>
      </c>
      <c r="K242" s="33">
        <f ca="1">IFERROR(__xludf.DUMMYFUNCTION("""COMPUTED_VALUE"""),2)</f>
        <v>2</v>
      </c>
      <c r="L242" s="203">
        <f ca="1">IFERROR(__xludf.DUMMYFUNCTION("""COMPUTED_VALUE"""),3710)</f>
        <v>3710</v>
      </c>
      <c r="M242" s="33" t="str">
        <f ca="1">IFERROR(__xludf.DUMMYFUNCTION("""COMPUTED_VALUE"""),"04 TIENDA")</f>
        <v>04 TIENDA</v>
      </c>
      <c r="N242" s="33" t="str">
        <f ca="1">IFERROR(__xludf.DUMMYFUNCTION("""COMPUTED_VALUE"""),"07 BOCA/BOCA")</f>
        <v>07 BOCA/BOCA</v>
      </c>
      <c r="O242" s="33" t="str">
        <f ca="1">IFERROR(__xludf.DUMMYFUNCTION("""COMPUTED_VALUE"""),"Dra, Isabel Menaches Guardiola")</f>
        <v>Dra, Isabel Menaches Guardiola</v>
      </c>
      <c r="P242" s="33" t="str">
        <f ca="1">IFERROR(__xludf.DUMMYFUNCTION("""COMPUTED_VALUE"""),"Iván Sánchez (Levante Y Albacete)")</f>
        <v>Iván Sánchez (Levante Y Albacete)</v>
      </c>
    </row>
    <row r="243" spans="2:16">
      <c r="B243" s="33">
        <f ca="1">IFERROR(__xludf.DUMMYFUNCTION("""COMPUTED_VALUE"""),2025)</f>
        <v>2025</v>
      </c>
      <c r="C243" s="33">
        <f ca="1">IFERROR(__xludf.DUMMYFUNCTION("""COMPUTED_VALUE"""),2)</f>
        <v>2</v>
      </c>
      <c r="D243" s="33" t="str">
        <f ca="1">IFERROR(__xludf.DUMMYFUNCTION("""COMPUTED_VALUE"""),"NO")</f>
        <v>NO</v>
      </c>
      <c r="E243" s="33" t="str">
        <f ca="1">IFERROR(__xludf.DUMMYFUNCTION("""COMPUTED_VALUE"""),"Madrid- Monforte de Lemos")</f>
        <v>Madrid- Monforte de Lemos</v>
      </c>
      <c r="F243" s="57">
        <f ca="1">IFERROR(__xludf.DUMMYFUNCTION("""COMPUTED_VALUE"""),45714)</f>
        <v>45714</v>
      </c>
      <c r="G243" s="57">
        <f ca="1">IFERROR(__xludf.DUMMYFUNCTION("""COMPUTED_VALUE"""),45547)</f>
        <v>45547</v>
      </c>
      <c r="H243" s="33" t="str">
        <f ca="1">IFERROR(__xludf.DUMMYFUNCTION("""COMPUTED_VALUE"""),"La Vaguada")</f>
        <v>La Vaguada</v>
      </c>
      <c r="I243" s="33" t="str">
        <f ca="1">IFERROR(__xludf.DUMMYFUNCTION("""COMPUTED_VALUE"""),"C2024924182958416")</f>
        <v>C2024924182958416</v>
      </c>
      <c r="J243" s="33" t="str">
        <f ca="1">IFERROR(__xludf.DUMMYFUNCTION("""COMPUTED_VALUE"""),"NIEVES LLORENTE PEREZ")</f>
        <v>NIEVES LLORENTE PEREZ</v>
      </c>
      <c r="K243" s="33">
        <f ca="1">IFERROR(__xludf.DUMMYFUNCTION("""COMPUTED_VALUE"""),2)</f>
        <v>2</v>
      </c>
      <c r="L243" s="203">
        <f ca="1">IFERROR(__xludf.DUMMYFUNCTION("""COMPUTED_VALUE"""),4000)</f>
        <v>4000</v>
      </c>
      <c r="M243" s="33" t="str">
        <f ca="1">IFERROR(__xludf.DUMMYFUNCTION("""COMPUTED_VALUE"""),"03 ORL")</f>
        <v>03 ORL</v>
      </c>
      <c r="N243" s="33" t="str">
        <f ca="1">IFERROR(__xludf.DUMMYFUNCTION("""COMPUTED_VALUE"""),"06 ORL")</f>
        <v>06 ORL</v>
      </c>
      <c r="O243" s="33" t="str">
        <f ca="1">IFERROR(__xludf.DUMMYFUNCTION("""COMPUTED_VALUE"""),"Dra, Beatriz Arana Fernández")</f>
        <v>Dra, Beatriz Arana Fernández</v>
      </c>
      <c r="P243" s="33" t="str">
        <f ca="1">IFERROR(__xludf.DUMMYFUNCTION("""COMPUTED_VALUE"""),"Maika Blázquez (Madrid)")</f>
        <v>Maika Blázquez (Madrid)</v>
      </c>
    </row>
    <row r="244" spans="2:16">
      <c r="B244" s="33">
        <f ca="1">IFERROR(__xludf.DUMMYFUNCTION("""COMPUTED_VALUE"""),2025)</f>
        <v>2025</v>
      </c>
      <c r="C244" s="33">
        <f ca="1">IFERROR(__xludf.DUMMYFUNCTION("""COMPUTED_VALUE"""),2)</f>
        <v>2</v>
      </c>
      <c r="D244" s="33" t="str">
        <f ca="1">IFERROR(__xludf.DUMMYFUNCTION("""COMPUTED_VALUE"""),"NO")</f>
        <v>NO</v>
      </c>
      <c r="E244" s="33" t="str">
        <f ca="1">IFERROR(__xludf.DUMMYFUNCTION("""COMPUTED_VALUE"""),"Alicante")</f>
        <v>Alicante</v>
      </c>
      <c r="F244" s="57">
        <f ca="1">IFERROR(__xludf.DUMMYFUNCTION("""COMPUTED_VALUE"""),45714)</f>
        <v>45714</v>
      </c>
      <c r="G244" s="57">
        <f ca="1">IFERROR(__xludf.DUMMYFUNCTION("""COMPUTED_VALUE"""),45667)</f>
        <v>45667</v>
      </c>
      <c r="H244" s="33" t="str">
        <f ca="1">IFERROR(__xludf.DUMMYFUNCTION("""COMPUTED_VALUE"""),"Alicante")</f>
        <v>Alicante</v>
      </c>
      <c r="I244" s="33" t="str">
        <f ca="1">IFERROR(__xludf.DUMMYFUNCTION("""COMPUTED_VALUE"""),"C202511715156935")</f>
        <v>C202511715156935</v>
      </c>
      <c r="J244" s="33" t="str">
        <f ca="1">IFERROR(__xludf.DUMMYFUNCTION("""COMPUTED_VALUE"""),"ESPERANZA CUBAS PINTADO")</f>
        <v>ESPERANZA CUBAS PINTADO</v>
      </c>
      <c r="K244" s="33">
        <f ca="1">IFERROR(__xludf.DUMMYFUNCTION("""COMPUTED_VALUE"""),2)</f>
        <v>2</v>
      </c>
      <c r="L244" s="203">
        <f ca="1">IFERROR(__xludf.DUMMYFUNCTION("""COMPUTED_VALUE"""),3800)</f>
        <v>3800</v>
      </c>
      <c r="M244" s="33" t="str">
        <f ca="1">IFERROR(__xludf.DUMMYFUNCTION("""COMPUTED_VALUE"""),"03 ORL")</f>
        <v>03 ORL</v>
      </c>
      <c r="N244" s="33" t="str">
        <f ca="1">IFERROR(__xludf.DUMMYFUNCTION("""COMPUTED_VALUE"""),"06 ORL")</f>
        <v>06 ORL</v>
      </c>
      <c r="O244" s="33" t="str">
        <f ca="1">IFERROR(__xludf.DUMMYFUNCTION("""COMPUTED_VALUE"""),"Dra, Alicia Mateo Espinosa")</f>
        <v>Dra, Alicia Mateo Espinosa</v>
      </c>
      <c r="P244" s="33" t="str">
        <f ca="1">IFERROR(__xludf.DUMMYFUNCTION("""COMPUTED_VALUE"""),"Iván Sánchez (Levante Y Albacete)")</f>
        <v>Iván Sánchez (Levante Y Albacete)</v>
      </c>
    </row>
    <row r="245" spans="2:16">
      <c r="B245" s="33">
        <f ca="1">IFERROR(__xludf.DUMMYFUNCTION("""COMPUTED_VALUE"""),2025)</f>
        <v>2025</v>
      </c>
      <c r="C245" s="33">
        <f ca="1">IFERROR(__xludf.DUMMYFUNCTION("""COMPUTED_VALUE"""),2)</f>
        <v>2</v>
      </c>
      <c r="D245" s="33" t="str">
        <f ca="1">IFERROR(__xludf.DUMMYFUNCTION("""COMPUTED_VALUE"""),"NO")</f>
        <v>NO</v>
      </c>
      <c r="E245" s="33" t="str">
        <f ca="1">IFERROR(__xludf.DUMMYFUNCTION("""COMPUTED_VALUE"""),"Sevilla- Montoto")</f>
        <v>Sevilla- Montoto</v>
      </c>
      <c r="F245" s="57">
        <f ca="1">IFERROR(__xludf.DUMMYFUNCTION("""COMPUTED_VALUE"""),45714)</f>
        <v>45714</v>
      </c>
      <c r="G245" s="57">
        <f ca="1">IFERROR(__xludf.DUMMYFUNCTION("""COMPUTED_VALUE"""),45684)</f>
        <v>45684</v>
      </c>
      <c r="H245" s="33" t="str">
        <f ca="1">IFERROR(__xludf.DUMMYFUNCTION("""COMPUTED_VALUE"""),"Montoto")</f>
        <v>Montoto</v>
      </c>
      <c r="I245" s="33" t="str">
        <f ca="1">IFERROR(__xludf.DUMMYFUNCTION("""COMPUTED_VALUE"""),"C202526164926367")</f>
        <v>C202526164926367</v>
      </c>
      <c r="J245" s="33" t="str">
        <f ca="1">IFERROR(__xludf.DUMMYFUNCTION("""COMPUTED_VALUE"""),"MANUEL GOMEZ VERA")</f>
        <v>MANUEL GOMEZ VERA</v>
      </c>
      <c r="K245" s="33">
        <f ca="1">IFERROR(__xludf.DUMMYFUNCTION("""COMPUTED_VALUE"""),2)</f>
        <v>2</v>
      </c>
      <c r="L245" s="203">
        <f ca="1">IFERROR(__xludf.DUMMYFUNCTION("""COMPUTED_VALUE"""),3710)</f>
        <v>3710</v>
      </c>
      <c r="M245" s="33" t="str">
        <f ca="1">IFERROR(__xludf.DUMMYFUNCTION("""COMPUTED_VALUE"""),"03 ORL")</f>
        <v>03 ORL</v>
      </c>
      <c r="N245" s="33" t="str">
        <f ca="1">IFERROR(__xludf.DUMMYFUNCTION("""COMPUTED_VALUE"""),"06 ORL")</f>
        <v>06 ORL</v>
      </c>
      <c r="O245" s="33" t="str">
        <f ca="1">IFERROR(__xludf.DUMMYFUNCTION("""COMPUTED_VALUE"""),"Dr, Antonio Gandúl Merchán")</f>
        <v>Dr, Antonio Gandúl Merchán</v>
      </c>
      <c r="P245" s="33" t="str">
        <f ca="1">IFERROR(__xludf.DUMMYFUNCTION("""COMPUTED_VALUE"""),"Luis Alberto Rodríguez (Andalucía Y Badajoz)")</f>
        <v>Luis Alberto Rodríguez (Andalucía Y Badajoz)</v>
      </c>
    </row>
    <row r="246" spans="2:16">
      <c r="B246" s="33">
        <f ca="1">IFERROR(__xludf.DUMMYFUNCTION("""COMPUTED_VALUE"""),2025)</f>
        <v>2025</v>
      </c>
      <c r="C246" s="33">
        <f ca="1">IFERROR(__xludf.DUMMYFUNCTION("""COMPUTED_VALUE"""),2)</f>
        <v>2</v>
      </c>
      <c r="D246" s="33" t="str">
        <f ca="1">IFERROR(__xludf.DUMMYFUNCTION("""COMPUTED_VALUE"""),"NO")</f>
        <v>NO</v>
      </c>
      <c r="E246" s="33" t="str">
        <f ca="1">IFERROR(__xludf.DUMMYFUNCTION("""COMPUTED_VALUE"""),"San Javier")</f>
        <v>San Javier</v>
      </c>
      <c r="F246" s="57">
        <f ca="1">IFERROR(__xludf.DUMMYFUNCTION("""COMPUTED_VALUE"""),45715)</f>
        <v>45715</v>
      </c>
      <c r="G246" s="57">
        <f ca="1">IFERROR(__xludf.DUMMYFUNCTION("""COMPUTED_VALUE"""),45680)</f>
        <v>45680</v>
      </c>
      <c r="H246" s="33" t="str">
        <f ca="1">IFERROR(__xludf.DUMMYFUNCTION("""COMPUTED_VALUE"""),"San Javier")</f>
        <v>San Javier</v>
      </c>
      <c r="I246" s="33" t="str">
        <f ca="1">IFERROR(__xludf.DUMMYFUNCTION("""COMPUTED_VALUE"""),"C2025128104957395")</f>
        <v>C2025128104957395</v>
      </c>
      <c r="J246" s="33" t="str">
        <f ca="1">IFERROR(__xludf.DUMMYFUNCTION("""COMPUTED_VALUE"""),"ANABEL GUILLEN MARTINEZ")</f>
        <v>ANABEL GUILLEN MARTINEZ</v>
      </c>
      <c r="K246" s="33">
        <f ca="1">IFERROR(__xludf.DUMMYFUNCTION("""COMPUTED_VALUE"""),2)</f>
        <v>2</v>
      </c>
      <c r="L246" s="203">
        <f ca="1">IFERROR(__xludf.DUMMYFUNCTION("""COMPUTED_VALUE"""),3710)</f>
        <v>3710</v>
      </c>
      <c r="M246" s="33" t="str">
        <f ca="1">IFERROR(__xludf.DUMMYFUNCTION("""COMPUTED_VALUE"""),"03 ORL")</f>
        <v>03 ORL</v>
      </c>
      <c r="N246" s="33" t="str">
        <f ca="1">IFERROR(__xludf.DUMMYFUNCTION("""COMPUTED_VALUE"""),"06 ORL")</f>
        <v>06 ORL</v>
      </c>
      <c r="O246" s="33" t="str">
        <f ca="1">IFERROR(__xludf.DUMMYFUNCTION("""COMPUTED_VALUE"""),"Dr, Francisco García Purriños")</f>
        <v>Dr, Francisco García Purriños</v>
      </c>
      <c r="P246" s="33" t="str">
        <f ca="1">IFERROR(__xludf.DUMMYFUNCTION("""COMPUTED_VALUE"""),"Iván Sánchez (Levante Y Albacete)")</f>
        <v>Iván Sánchez (Levante Y Albacete)</v>
      </c>
    </row>
    <row r="247" spans="2:16">
      <c r="B247" s="33">
        <f ca="1">IFERROR(__xludf.DUMMYFUNCTION("""COMPUTED_VALUE"""),2025)</f>
        <v>2025</v>
      </c>
      <c r="C247" s="33">
        <f ca="1">IFERROR(__xludf.DUMMYFUNCTION("""COMPUTED_VALUE"""),2)</f>
        <v>2</v>
      </c>
      <c r="D247" s="33" t="str">
        <f ca="1">IFERROR(__xludf.DUMMYFUNCTION("""COMPUTED_VALUE"""),"NO")</f>
        <v>NO</v>
      </c>
      <c r="E247" s="33" t="str">
        <f ca="1">IFERROR(__xludf.DUMMYFUNCTION("""COMPUTED_VALUE"""),"Ourense")</f>
        <v>Ourense</v>
      </c>
      <c r="F247" s="57">
        <f ca="1">IFERROR(__xludf.DUMMYFUNCTION("""COMPUTED_VALUE"""),45715)</f>
        <v>45715</v>
      </c>
      <c r="G247" s="57">
        <f ca="1">IFERROR(__xludf.DUMMYFUNCTION("""COMPUTED_VALUE"""),45672)</f>
        <v>45672</v>
      </c>
      <c r="H247" s="33" t="str">
        <f ca="1">IFERROR(__xludf.DUMMYFUNCTION("""COMPUTED_VALUE"""),"Orense")</f>
        <v>Orense</v>
      </c>
      <c r="I247" s="33" t="str">
        <f ca="1">IFERROR(__xludf.DUMMYFUNCTION("""COMPUTED_VALUE"""),"C2025123155834439")</f>
        <v>C2025123155834439</v>
      </c>
      <c r="J247" s="33" t="str">
        <f ca="1">IFERROR(__xludf.DUMMYFUNCTION("""COMPUTED_VALUE"""),"SARA CID BELMONTE")</f>
        <v>SARA CID BELMONTE</v>
      </c>
      <c r="K247" s="33">
        <f ca="1">IFERROR(__xludf.DUMMYFUNCTION("""COMPUTED_VALUE"""),2)</f>
        <v>2</v>
      </c>
      <c r="L247" s="203">
        <f ca="1">IFERROR(__xludf.DUMMYFUNCTION("""COMPUTED_VALUE"""),4400)</f>
        <v>4400</v>
      </c>
      <c r="M247" s="33" t="str">
        <f ca="1">IFERROR(__xludf.DUMMYFUNCTION("""COMPUTED_VALUE"""),"03 ORL")</f>
        <v>03 ORL</v>
      </c>
      <c r="N247" s="33" t="str">
        <f ca="1">IFERROR(__xludf.DUMMYFUNCTION("""COMPUTED_VALUE"""),"06 ORL")</f>
        <v>06 ORL</v>
      </c>
      <c r="O247" s="33" t="str">
        <f ca="1">IFERROR(__xludf.DUMMYFUNCTION("""COMPUTED_VALUE"""),"Dra, María Rey Marcos")</f>
        <v>Dra, María Rey Marcos</v>
      </c>
      <c r="P247" s="33" t="str">
        <f ca="1">IFERROR(__xludf.DUMMYFUNCTION("""COMPUTED_VALUE"""),"Roberto Pereira (Galicia)")</f>
        <v>Roberto Pereira (Galicia)</v>
      </c>
    </row>
    <row r="248" spans="2:16">
      <c r="B248" s="33">
        <f ca="1">IFERROR(__xludf.DUMMYFUNCTION("""COMPUTED_VALUE"""),2025)</f>
        <v>2025</v>
      </c>
      <c r="C248" s="33">
        <f ca="1">IFERROR(__xludf.DUMMYFUNCTION("""COMPUTED_VALUE"""),2)</f>
        <v>2</v>
      </c>
      <c r="D248" s="33" t="str">
        <f ca="1">IFERROR(__xludf.DUMMYFUNCTION("""COMPUTED_VALUE"""),"NO")</f>
        <v>NO</v>
      </c>
      <c r="E248" s="33" t="str">
        <f ca="1">IFERROR(__xludf.DUMMYFUNCTION("""COMPUTED_VALUE"""),"El Albir (Benidorm)")</f>
        <v>El Albir (Benidorm)</v>
      </c>
      <c r="F248" s="57">
        <f ca="1">IFERROR(__xludf.DUMMYFUNCTION("""COMPUTED_VALUE"""),45715)</f>
        <v>45715</v>
      </c>
      <c r="G248" s="57">
        <f ca="1">IFERROR(__xludf.DUMMYFUNCTION("""COMPUTED_VALUE"""),45692)</f>
        <v>45692</v>
      </c>
      <c r="H248" s="33" t="str">
        <f ca="1">IFERROR(__xludf.DUMMYFUNCTION("""COMPUTED_VALUE"""),"El Albir (Benidorm)")</f>
        <v>El Albir (Benidorm)</v>
      </c>
      <c r="I248" s="33" t="str">
        <f ca="1">IFERROR(__xludf.DUMMYFUNCTION("""COMPUTED_VALUE"""),"C20252616452209")</f>
        <v>C20252616452209</v>
      </c>
      <c r="J248" s="33" t="str">
        <f ca="1">IFERROR(__xludf.DUMMYFUNCTION("""COMPUTED_VALUE"""),"JUAN FRANCISCO SEQUERO RAMIREZ")</f>
        <v>JUAN FRANCISCO SEQUERO RAMIREZ</v>
      </c>
      <c r="K248" s="33">
        <f ca="1">IFERROR(__xludf.DUMMYFUNCTION("""COMPUTED_VALUE"""),1)</f>
        <v>1</v>
      </c>
      <c r="L248" s="203">
        <f ca="1">IFERROR(__xludf.DUMMYFUNCTION("""COMPUTED_VALUE"""),1732.73)</f>
        <v>1732.73</v>
      </c>
      <c r="M248" s="33" t="str">
        <f ca="1">IFERROR(__xludf.DUMMYFUNCTION("""COMPUTED_VALUE"""),"03 ORL")</f>
        <v>03 ORL</v>
      </c>
      <c r="N248" s="33" t="str">
        <f ca="1">IFERROR(__xludf.DUMMYFUNCTION("""COMPUTED_VALUE"""),"06 ORL")</f>
        <v>06 ORL</v>
      </c>
      <c r="O248" s="33" t="str">
        <f ca="1">IFERROR(__xludf.DUMMYFUNCTION("""COMPUTED_VALUE"""),"Dra, Isabel Polo Tomás")</f>
        <v>Dra, Isabel Polo Tomás</v>
      </c>
      <c r="P248" s="33" t="str">
        <f ca="1">IFERROR(__xludf.DUMMYFUNCTION("""COMPUTED_VALUE"""),"Ramon Ferrando(Valencia)")</f>
        <v>Ramon Ferrando(Valencia)</v>
      </c>
    </row>
    <row r="249" spans="2:16">
      <c r="B249" s="33">
        <f ca="1">IFERROR(__xludf.DUMMYFUNCTION("""COMPUTED_VALUE"""),2025)</f>
        <v>2025</v>
      </c>
      <c r="C249" s="33">
        <f ca="1">IFERROR(__xludf.DUMMYFUNCTION("""COMPUTED_VALUE"""),2)</f>
        <v>2</v>
      </c>
      <c r="D249" s="33" t="str">
        <f ca="1">IFERROR(__xludf.DUMMYFUNCTION("""COMPUTED_VALUE"""),"NO")</f>
        <v>NO</v>
      </c>
      <c r="E249" s="33" t="str">
        <f ca="1">IFERROR(__xludf.DUMMYFUNCTION("""COMPUTED_VALUE"""),"Leganés")</f>
        <v>Leganés</v>
      </c>
      <c r="F249" s="57">
        <f ca="1">IFERROR(__xludf.DUMMYFUNCTION("""COMPUTED_VALUE"""),45715)</f>
        <v>45715</v>
      </c>
      <c r="G249" s="57">
        <f ca="1">IFERROR(__xludf.DUMMYFUNCTION("""COMPUTED_VALUE"""),45628)</f>
        <v>45628</v>
      </c>
      <c r="H249" s="33" t="str">
        <f ca="1">IFERROR(__xludf.DUMMYFUNCTION("""COMPUTED_VALUE"""),"Leganés")</f>
        <v>Leganés</v>
      </c>
      <c r="I249" s="33" t="str">
        <f ca="1">IFERROR(__xludf.DUMMYFUNCTION("""COMPUTED_VALUE"""),"C202511711515664")</f>
        <v>C202511711515664</v>
      </c>
      <c r="J249" s="33" t="str">
        <f ca="1">IFERROR(__xludf.DUMMYFUNCTION("""COMPUTED_VALUE"""),"JOSEFA ORTEGA RABAL")</f>
        <v>JOSEFA ORTEGA RABAL</v>
      </c>
      <c r="K249" s="33">
        <f ca="1">IFERROR(__xludf.DUMMYFUNCTION("""COMPUTED_VALUE"""),2)</f>
        <v>2</v>
      </c>
      <c r="L249" s="203">
        <f ca="1">IFERROR(__xludf.DUMMYFUNCTION("""COMPUTED_VALUE"""),2677.27)</f>
        <v>2677.27</v>
      </c>
      <c r="M249" s="33" t="str">
        <f ca="1">IFERROR(__xludf.DUMMYFUNCTION("""COMPUTED_VALUE"""),"03 ORL")</f>
        <v>03 ORL</v>
      </c>
      <c r="N249" s="33" t="str">
        <f ca="1">IFERROR(__xludf.DUMMYFUNCTION("""COMPUTED_VALUE"""),"06 ORL")</f>
        <v>06 ORL</v>
      </c>
      <c r="O249" s="33" t="str">
        <f ca="1">IFERROR(__xludf.DUMMYFUNCTION("""COMPUTED_VALUE"""),"Dr, Julio López Moya")</f>
        <v>Dr, Julio López Moya</v>
      </c>
      <c r="P249" s="33" t="str">
        <f ca="1">IFERROR(__xludf.DUMMYFUNCTION("""COMPUTED_VALUE"""),"Maika Blázquez (Madrid)")</f>
        <v>Maika Blázquez (Madrid)</v>
      </c>
    </row>
    <row r="250" spans="2:16">
      <c r="B250" s="33">
        <f ca="1">IFERROR(__xludf.DUMMYFUNCTION("""COMPUTED_VALUE"""),2025)</f>
        <v>2025</v>
      </c>
      <c r="C250" s="33">
        <f ca="1">IFERROR(__xludf.DUMMYFUNCTION("""COMPUTED_VALUE"""),2)</f>
        <v>2</v>
      </c>
      <c r="D250" s="33" t="str">
        <f ca="1">IFERROR(__xludf.DUMMYFUNCTION("""COMPUTED_VALUE"""),"NO")</f>
        <v>NO</v>
      </c>
      <c r="E250" s="33" t="str">
        <f ca="1">IFERROR(__xludf.DUMMYFUNCTION("""COMPUTED_VALUE"""),"Leganés")</f>
        <v>Leganés</v>
      </c>
      <c r="F250" s="57">
        <f ca="1">IFERROR(__xludf.DUMMYFUNCTION("""COMPUTED_VALUE"""),45715)</f>
        <v>45715</v>
      </c>
      <c r="G250" s="57">
        <f ca="1">IFERROR(__xludf.DUMMYFUNCTION("""COMPUTED_VALUE"""),45672)</f>
        <v>45672</v>
      </c>
      <c r="H250" s="33" t="str">
        <f ca="1">IFERROR(__xludf.DUMMYFUNCTION("""COMPUTED_VALUE"""),"Leganés")</f>
        <v>Leganés</v>
      </c>
      <c r="I250" s="33" t="str">
        <f ca="1">IFERROR(__xludf.DUMMYFUNCTION("""COMPUTED_VALUE"""),"C2025121162217384")</f>
        <v>C2025121162217384</v>
      </c>
      <c r="J250" s="33" t="str">
        <f ca="1">IFERROR(__xludf.DUMMYFUNCTION("""COMPUTED_VALUE"""),"MERCEDES RODRIGUEZ REGO")</f>
        <v>MERCEDES RODRIGUEZ REGO</v>
      </c>
      <c r="K250" s="33">
        <f ca="1">IFERROR(__xludf.DUMMYFUNCTION("""COMPUTED_VALUE"""),2)</f>
        <v>2</v>
      </c>
      <c r="L250" s="203">
        <f ca="1">IFERROR(__xludf.DUMMYFUNCTION("""COMPUTED_VALUE"""),4400)</f>
        <v>4400</v>
      </c>
      <c r="M250" s="33" t="str">
        <f ca="1">IFERROR(__xludf.DUMMYFUNCTION("""COMPUTED_VALUE"""),"03 ORL")</f>
        <v>03 ORL</v>
      </c>
      <c r="N250" s="33" t="str">
        <f ca="1">IFERROR(__xludf.DUMMYFUNCTION("""COMPUTED_VALUE"""),"06 ORL")</f>
        <v>06 ORL</v>
      </c>
      <c r="O250" s="33" t="str">
        <f ca="1">IFERROR(__xludf.DUMMYFUNCTION("""COMPUTED_VALUE"""),"Dra, Ana Ruiz Fornells Noreña")</f>
        <v>Dra, Ana Ruiz Fornells Noreña</v>
      </c>
      <c r="P250" s="33" t="str">
        <f ca="1">IFERROR(__xludf.DUMMYFUNCTION("""COMPUTED_VALUE"""),"Maika Blázquez (Madrid)")</f>
        <v>Maika Blázquez (Madrid)</v>
      </c>
    </row>
    <row r="251" spans="2:16">
      <c r="B251" s="33">
        <f ca="1">IFERROR(__xludf.DUMMYFUNCTION("""COMPUTED_VALUE"""),2025)</f>
        <v>2025</v>
      </c>
      <c r="C251" s="33">
        <f ca="1">IFERROR(__xludf.DUMMYFUNCTION("""COMPUTED_VALUE"""),2)</f>
        <v>2</v>
      </c>
      <c r="D251" s="33" t="str">
        <f ca="1">IFERROR(__xludf.DUMMYFUNCTION("""COMPUTED_VALUE"""),"NO")</f>
        <v>NO</v>
      </c>
      <c r="E251" s="33" t="str">
        <f ca="1">IFERROR(__xludf.DUMMYFUNCTION("""COMPUTED_VALUE"""),"Sevilla- Montoto")</f>
        <v>Sevilla- Montoto</v>
      </c>
      <c r="F251" s="57">
        <f ca="1">IFERROR(__xludf.DUMMYFUNCTION("""COMPUTED_VALUE"""),45715)</f>
        <v>45715</v>
      </c>
      <c r="G251" s="57">
        <f ca="1">IFERROR(__xludf.DUMMYFUNCTION("""COMPUTED_VALUE"""),45706)</f>
        <v>45706</v>
      </c>
      <c r="H251" s="33" t="str">
        <f ca="1">IFERROR(__xludf.DUMMYFUNCTION("""COMPUTED_VALUE"""),"Montoto")</f>
        <v>Montoto</v>
      </c>
      <c r="I251" s="33" t="str">
        <f ca="1">IFERROR(__xludf.DUMMYFUNCTION("""COMPUTED_VALUE"""),"C202522016543251")</f>
        <v>C202522016543251</v>
      </c>
      <c r="J251" s="33" t="str">
        <f ca="1">IFERROR(__xludf.DUMMYFUNCTION("""COMPUTED_VALUE"""),"MARIANO GALAN LUENGO")</f>
        <v>MARIANO GALAN LUENGO</v>
      </c>
      <c r="K251" s="33">
        <f ca="1">IFERROR(__xludf.DUMMYFUNCTION("""COMPUTED_VALUE"""),2)</f>
        <v>2</v>
      </c>
      <c r="L251" s="203">
        <f ca="1">IFERROR(__xludf.DUMMYFUNCTION("""COMPUTED_VALUE"""),3524.5)</f>
        <v>3524.5</v>
      </c>
      <c r="M251" s="33" t="str">
        <f ca="1">IFERROR(__xludf.DUMMYFUNCTION("""COMPUTED_VALUE"""),"03 ORL")</f>
        <v>03 ORL</v>
      </c>
      <c r="N251" s="33" t="str">
        <f ca="1">IFERROR(__xludf.DUMMYFUNCTION("""COMPUTED_VALUE"""),"06 ORL")</f>
        <v>06 ORL</v>
      </c>
      <c r="O251" s="33" t="str">
        <f ca="1">IFERROR(__xludf.DUMMYFUNCTION("""COMPUTED_VALUE"""),"Dr, Enrique Gómez Aldaz")</f>
        <v>Dr, Enrique Gómez Aldaz</v>
      </c>
      <c r="P251" s="33" t="str">
        <f ca="1">IFERROR(__xludf.DUMMYFUNCTION("""COMPUTED_VALUE"""),"Luis Alberto Rodríguez (Andalucía Y Badajoz)")</f>
        <v>Luis Alberto Rodríguez (Andalucía Y Badajoz)</v>
      </c>
    </row>
    <row r="252" spans="2:16">
      <c r="B252" s="33">
        <f ca="1">IFERROR(__xludf.DUMMYFUNCTION("""COMPUTED_VALUE"""),2025)</f>
        <v>2025</v>
      </c>
      <c r="C252" s="33">
        <f ca="1">IFERROR(__xludf.DUMMYFUNCTION("""COMPUTED_VALUE"""),2)</f>
        <v>2</v>
      </c>
      <c r="D252" s="33" t="str">
        <f ca="1">IFERROR(__xludf.DUMMYFUNCTION("""COMPUTED_VALUE"""),"NO")</f>
        <v>NO</v>
      </c>
      <c r="E252" s="33" t="str">
        <f ca="1">IFERROR(__xludf.DUMMYFUNCTION("""COMPUTED_VALUE"""),"Getafe")</f>
        <v>Getafe</v>
      </c>
      <c r="F252" s="57">
        <f ca="1">IFERROR(__xludf.DUMMYFUNCTION("""COMPUTED_VALUE"""),45715)</f>
        <v>45715</v>
      </c>
      <c r="G252" s="57">
        <f ca="1">IFERROR(__xludf.DUMMYFUNCTION("""COMPUTED_VALUE"""),45688)</f>
        <v>45688</v>
      </c>
      <c r="H252" s="33" t="str">
        <f ca="1">IFERROR(__xludf.DUMMYFUNCTION("""COMPUTED_VALUE"""),"Getafe")</f>
        <v>Getafe</v>
      </c>
      <c r="I252" s="33" t="str">
        <f ca="1">IFERROR(__xludf.DUMMYFUNCTION("""COMPUTED_VALUE"""),"C2025211182037420")</f>
        <v>C2025211182037420</v>
      </c>
      <c r="J252" s="33" t="str">
        <f ca="1">IFERROR(__xludf.DUMMYFUNCTION("""COMPUTED_VALUE"""),"MARIA JOSE VALENZUELA MARTINEZ")</f>
        <v>MARIA JOSE VALENZUELA MARTINEZ</v>
      </c>
      <c r="K252" s="33">
        <f ca="1">IFERROR(__xludf.DUMMYFUNCTION("""COMPUTED_VALUE"""),2)</f>
        <v>2</v>
      </c>
      <c r="L252" s="203">
        <f ca="1">IFERROR(__xludf.DUMMYFUNCTION("""COMPUTED_VALUE"""),4000)</f>
        <v>4000</v>
      </c>
      <c r="M252" s="33" t="str">
        <f ca="1">IFERROR(__xludf.DUMMYFUNCTION("""COMPUTED_VALUE"""),"03 ORL")</f>
        <v>03 ORL</v>
      </c>
      <c r="N252" s="33" t="str">
        <f ca="1">IFERROR(__xludf.DUMMYFUNCTION("""COMPUTED_VALUE"""),"06 ORL")</f>
        <v>06 ORL</v>
      </c>
      <c r="O252" s="33" t="str">
        <f ca="1">IFERROR(__xludf.DUMMYFUNCTION("""COMPUTED_VALUE"""),"Dra, Beatriz Santos Duque")</f>
        <v>Dra, Beatriz Santos Duque</v>
      </c>
      <c r="P252" s="33" t="str">
        <f ca="1">IFERROR(__xludf.DUMMYFUNCTION("""COMPUTED_VALUE"""),"Maika Blázquez (Madrid)")</f>
        <v>Maika Blázquez (Madrid)</v>
      </c>
    </row>
    <row r="253" spans="2:16">
      <c r="B253" s="33">
        <f ca="1">IFERROR(__xludf.DUMMYFUNCTION("""COMPUTED_VALUE"""),2025)</f>
        <v>2025</v>
      </c>
      <c r="C253" s="33">
        <f ca="1">IFERROR(__xludf.DUMMYFUNCTION("""COMPUTED_VALUE"""),2)</f>
        <v>2</v>
      </c>
      <c r="D253" s="33" t="str">
        <f ca="1">IFERROR(__xludf.DUMMYFUNCTION("""COMPUTED_VALUE"""),"NO")</f>
        <v>NO</v>
      </c>
      <c r="E253" s="33" t="str">
        <f ca="1">IFERROR(__xludf.DUMMYFUNCTION("""COMPUTED_VALUE"""),"Torrejón de Ardoz")</f>
        <v>Torrejón de Ardoz</v>
      </c>
      <c r="F253" s="57">
        <f ca="1">IFERROR(__xludf.DUMMYFUNCTION("""COMPUTED_VALUE"""),45715)</f>
        <v>45715</v>
      </c>
      <c r="G253" s="57">
        <f ca="1">IFERROR(__xludf.DUMMYFUNCTION("""COMPUTED_VALUE"""),45693)</f>
        <v>45693</v>
      </c>
      <c r="H253" s="33" t="str">
        <f ca="1">IFERROR(__xludf.DUMMYFUNCTION("""COMPUTED_VALUE"""),"Torrejón")</f>
        <v>Torrejón</v>
      </c>
      <c r="I253" s="33" t="str">
        <f ca="1">IFERROR(__xludf.DUMMYFUNCTION("""COMPUTED_VALUE"""),"C202526183311473")</f>
        <v>C202526183311473</v>
      </c>
      <c r="J253" s="33" t="str">
        <f ca="1">IFERROR(__xludf.DUMMYFUNCTION("""COMPUTED_VALUE"""),"ANDREA NAVARRO GARRIDO")</f>
        <v>ANDREA NAVARRO GARRIDO</v>
      </c>
      <c r="K253" s="33">
        <f ca="1">IFERROR(__xludf.DUMMYFUNCTION("""COMPUTED_VALUE"""),2)</f>
        <v>2</v>
      </c>
      <c r="L253" s="203">
        <f ca="1">IFERROR(__xludf.DUMMYFUNCTION("""COMPUTED_VALUE"""),4000)</f>
        <v>4000</v>
      </c>
      <c r="M253" s="33" t="str">
        <f ca="1">IFERROR(__xludf.DUMMYFUNCTION("""COMPUTED_VALUE"""),"03 ORL")</f>
        <v>03 ORL</v>
      </c>
      <c r="N253" s="33" t="str">
        <f ca="1">IFERROR(__xludf.DUMMYFUNCTION("""COMPUTED_VALUE"""),"06 ORL")</f>
        <v>06 ORL</v>
      </c>
      <c r="O253" s="33" t="str">
        <f ca="1">IFERROR(__xludf.DUMMYFUNCTION("""COMPUTED_VALUE"""),"Dra, María Garrote Garrote")</f>
        <v>Dra, María Garrote Garrote</v>
      </c>
      <c r="P253" s="33" t="str">
        <f ca="1">IFERROR(__xludf.DUMMYFUNCTION("""COMPUTED_VALUE"""),"Maika Blázquez (Madrid)")</f>
        <v>Maika Blázquez (Madrid)</v>
      </c>
    </row>
    <row r="254" spans="2:16">
      <c r="B254" s="33">
        <f ca="1">IFERROR(__xludf.DUMMYFUNCTION("""COMPUTED_VALUE"""),2025)</f>
        <v>2025</v>
      </c>
      <c r="C254" s="33">
        <f ca="1">IFERROR(__xludf.DUMMYFUNCTION("""COMPUTED_VALUE"""),2)</f>
        <v>2</v>
      </c>
      <c r="D254" s="33" t="str">
        <f ca="1">IFERROR(__xludf.DUMMYFUNCTION("""COMPUTED_VALUE"""),"NO")</f>
        <v>NO</v>
      </c>
      <c r="E254" s="33" t="str">
        <f ca="1">IFERROR(__xludf.DUMMYFUNCTION("""COMPUTED_VALUE"""),"Madrid- Monforte de Lemos")</f>
        <v>Madrid- Monforte de Lemos</v>
      </c>
      <c r="F254" s="57">
        <f ca="1">IFERROR(__xludf.DUMMYFUNCTION("""COMPUTED_VALUE"""),45715)</f>
        <v>45715</v>
      </c>
      <c r="G254" s="57">
        <f ca="1">IFERROR(__xludf.DUMMYFUNCTION("""COMPUTED_VALUE"""),45635)</f>
        <v>45635</v>
      </c>
      <c r="H254" s="33" t="str">
        <f ca="1">IFERROR(__xludf.DUMMYFUNCTION("""COMPUTED_VALUE"""),"La Vaguada")</f>
        <v>La Vaguada</v>
      </c>
      <c r="I254" s="33" t="str">
        <f ca="1">IFERROR(__xludf.DUMMYFUNCTION("""COMPUTED_VALUE"""),"C20241217182425568")</f>
        <v>C20241217182425568</v>
      </c>
      <c r="J254" s="33" t="str">
        <f ca="1">IFERROR(__xludf.DUMMYFUNCTION("""COMPUTED_VALUE"""),"ISIDORO JIMENEZ BLAZQUEZ")</f>
        <v>ISIDORO JIMENEZ BLAZQUEZ</v>
      </c>
      <c r="K254" s="33">
        <f ca="1">IFERROR(__xludf.DUMMYFUNCTION("""COMPUTED_VALUE"""),2)</f>
        <v>2</v>
      </c>
      <c r="L254" s="203">
        <f ca="1">IFERROR(__xludf.DUMMYFUNCTION("""COMPUTED_VALUE"""),3846.36)</f>
        <v>3846.36</v>
      </c>
      <c r="M254" s="33" t="str">
        <f ca="1">IFERROR(__xludf.DUMMYFUNCTION("""COMPUTED_VALUE"""),"03 ORL")</f>
        <v>03 ORL</v>
      </c>
      <c r="N254" s="33" t="str">
        <f ca="1">IFERROR(__xludf.DUMMYFUNCTION("""COMPUTED_VALUE"""),"06 ORL")</f>
        <v>06 ORL</v>
      </c>
      <c r="O254" s="33" t="str">
        <f ca="1">IFERROR(__xludf.DUMMYFUNCTION("""COMPUTED_VALUE"""),"Dra, Laura Garrido García")</f>
        <v>Dra, Laura Garrido García</v>
      </c>
      <c r="P254" s="33" t="str">
        <f ca="1">IFERROR(__xludf.DUMMYFUNCTION("""COMPUTED_VALUE"""),"Maika Blázquez (Madrid)")</f>
        <v>Maika Blázquez (Madrid)</v>
      </c>
    </row>
    <row r="255" spans="2:16">
      <c r="B255" s="33">
        <f ca="1">IFERROR(__xludf.DUMMYFUNCTION("""COMPUTED_VALUE"""),2025)</f>
        <v>2025</v>
      </c>
      <c r="C255" s="33">
        <f ca="1">IFERROR(__xludf.DUMMYFUNCTION("""COMPUTED_VALUE"""),2)</f>
        <v>2</v>
      </c>
      <c r="D255" s="33" t="str">
        <f ca="1">IFERROR(__xludf.DUMMYFUNCTION("""COMPUTED_VALUE"""),"NO")</f>
        <v>NO</v>
      </c>
      <c r="E255" s="33" t="str">
        <f ca="1">IFERROR(__xludf.DUMMYFUNCTION("""COMPUTED_VALUE"""),"Madrid- Juan Bravo")</f>
        <v>Madrid- Juan Bravo</v>
      </c>
      <c r="F255" s="57">
        <f ca="1">IFERROR(__xludf.DUMMYFUNCTION("""COMPUTED_VALUE"""),45715)</f>
        <v>45715</v>
      </c>
      <c r="G255" s="57">
        <f ca="1">IFERROR(__xludf.DUMMYFUNCTION("""COMPUTED_VALUE"""),45715)</f>
        <v>45715</v>
      </c>
      <c r="H255" s="33" t="str">
        <f ca="1">IFERROR(__xludf.DUMMYFUNCTION("""COMPUTED_VALUE"""),"Juan Bravo")</f>
        <v>Juan Bravo</v>
      </c>
      <c r="I255" s="33" t="str">
        <f ca="1">IFERROR(__xludf.DUMMYFUNCTION("""COMPUTED_VALUE"""),"C202522719141244")</f>
        <v>C202522719141244</v>
      </c>
      <c r="J255" s="33" t="str">
        <f ca="1">IFERROR(__xludf.DUMMYFUNCTION("""COMPUTED_VALUE"""),"FAMORCA TRES S,L [JOSE MARIA VARA IZQUIERDO]")</f>
        <v>FAMORCA TRES S,L [JOSE MARIA VARA IZQUIERDO]</v>
      </c>
      <c r="K255" s="33">
        <f ca="1">IFERROR(__xludf.DUMMYFUNCTION("""COMPUTED_VALUE"""),2)</f>
        <v>2</v>
      </c>
      <c r="L255" s="203">
        <f ca="1">IFERROR(__xludf.DUMMYFUNCTION("""COMPUTED_VALUE"""),4400)</f>
        <v>4400</v>
      </c>
      <c r="M255" s="33" t="str">
        <f ca="1">IFERROR(__xludf.DUMMYFUNCTION("""COMPUTED_VALUE"""),"03 ORL")</f>
        <v>03 ORL</v>
      </c>
      <c r="N255" s="33" t="str">
        <f ca="1">IFERROR(__xludf.DUMMYFUNCTION("""COMPUTED_VALUE"""),"06 ORL")</f>
        <v>06 ORL</v>
      </c>
      <c r="O255" s="33" t="str">
        <f ca="1">IFERROR(__xludf.DUMMYFUNCTION("""COMPUTED_VALUE"""),"Dr, Julio López Moya")</f>
        <v>Dr, Julio López Moya</v>
      </c>
      <c r="P255" s="33" t="str">
        <f ca="1">IFERROR(__xludf.DUMMYFUNCTION("""COMPUTED_VALUE"""),"Maika Blázquez (Madrid)")</f>
        <v>Maika Blázquez (Madrid)</v>
      </c>
    </row>
    <row r="256" spans="2:16">
      <c r="B256" s="33">
        <f ca="1">IFERROR(__xludf.DUMMYFUNCTION("""COMPUTED_VALUE"""),2025)</f>
        <v>2025</v>
      </c>
      <c r="C256" s="33">
        <f ca="1">IFERROR(__xludf.DUMMYFUNCTION("""COMPUTED_VALUE"""),2)</f>
        <v>2</v>
      </c>
      <c r="D256" s="33" t="str">
        <f ca="1">IFERROR(__xludf.DUMMYFUNCTION("""COMPUTED_VALUE"""),"NO")</f>
        <v>NO</v>
      </c>
      <c r="E256" s="33" t="str">
        <f ca="1">IFERROR(__xludf.DUMMYFUNCTION("""COMPUTED_VALUE"""),"Ourense")</f>
        <v>Ourense</v>
      </c>
      <c r="F256" s="57">
        <f ca="1">IFERROR(__xludf.DUMMYFUNCTION("""COMPUTED_VALUE"""),45716)</f>
        <v>45716</v>
      </c>
      <c r="G256" s="57">
        <f ca="1">IFERROR(__xludf.DUMMYFUNCTION("""COMPUTED_VALUE"""),45678)</f>
        <v>45678</v>
      </c>
      <c r="H256" s="33" t="str">
        <f ca="1">IFERROR(__xludf.DUMMYFUNCTION("""COMPUTED_VALUE"""),"Orense")</f>
        <v>Orense</v>
      </c>
      <c r="I256" s="33" t="str">
        <f ca="1">IFERROR(__xludf.DUMMYFUNCTION("""COMPUTED_VALUE"""),"C202512716334143")</f>
        <v>C202512716334143</v>
      </c>
      <c r="J256" s="33" t="str">
        <f ca="1">IFERROR(__xludf.DUMMYFUNCTION("""COMPUTED_VALUE"""),"MANUEL PROL GARRIDO")</f>
        <v>MANUEL PROL GARRIDO</v>
      </c>
      <c r="K256" s="33">
        <f ca="1">IFERROR(__xludf.DUMMYFUNCTION("""COMPUTED_VALUE"""),1)</f>
        <v>1</v>
      </c>
      <c r="L256" s="203">
        <f ca="1">IFERROR(__xludf.DUMMYFUNCTION("""COMPUTED_VALUE"""),1645.45)</f>
        <v>1645.45</v>
      </c>
      <c r="M256" s="33" t="str">
        <f ca="1">IFERROR(__xludf.DUMMYFUNCTION("""COMPUTED_VALUE"""),"03 ORL")</f>
        <v>03 ORL</v>
      </c>
      <c r="N256" s="33" t="str">
        <f ca="1">IFERROR(__xludf.DUMMYFUNCTION("""COMPUTED_VALUE"""),"06 ORL")</f>
        <v>06 ORL</v>
      </c>
      <c r="O256" s="33" t="str">
        <f ca="1">IFERROR(__xludf.DUMMYFUNCTION("""COMPUTED_VALUE"""),"No Recuerda Orl")</f>
        <v>No Recuerda Orl</v>
      </c>
      <c r="P256" s="33" t="str">
        <f ca="1">IFERROR(__xludf.DUMMYFUNCTION("""COMPUTED_VALUE"""),"Roberto Pereira (Galicia)")</f>
        <v>Roberto Pereira (Galicia)</v>
      </c>
    </row>
    <row r="257" spans="2:16">
      <c r="B257" s="33">
        <f ca="1">IFERROR(__xludf.DUMMYFUNCTION("""COMPUTED_VALUE"""),2025)</f>
        <v>2025</v>
      </c>
      <c r="C257" s="33">
        <f ca="1">IFERROR(__xludf.DUMMYFUNCTION("""COMPUTED_VALUE"""),2)</f>
        <v>2</v>
      </c>
      <c r="D257" s="33" t="str">
        <f ca="1">IFERROR(__xludf.DUMMYFUNCTION("""COMPUTED_VALUE"""),"NO")</f>
        <v>NO</v>
      </c>
      <c r="E257" s="33" t="str">
        <f ca="1">IFERROR(__xludf.DUMMYFUNCTION("""COMPUTED_VALUE"""),"Madrid- Galileo")</f>
        <v>Madrid- Galileo</v>
      </c>
      <c r="F257" s="57">
        <f ca="1">IFERROR(__xludf.DUMMYFUNCTION("""COMPUTED_VALUE"""),45716)</f>
        <v>45716</v>
      </c>
      <c r="G257" s="57">
        <f ca="1">IFERROR(__xludf.DUMMYFUNCTION("""COMPUTED_VALUE"""),45677)</f>
        <v>45677</v>
      </c>
      <c r="H257" s="33" t="str">
        <f ca="1">IFERROR(__xludf.DUMMYFUNCTION("""COMPUTED_VALUE"""),"Moncloa")</f>
        <v>Moncloa</v>
      </c>
      <c r="I257" s="33" t="str">
        <f ca="1">IFERROR(__xludf.DUMMYFUNCTION("""COMPUTED_VALUE"""),"C2025123103424739")</f>
        <v>C2025123103424739</v>
      </c>
      <c r="J257" s="33" t="str">
        <f ca="1">IFERROR(__xludf.DUMMYFUNCTION("""COMPUTED_VALUE"""),"AGUSTIN PINO BARRIGA")</f>
        <v>AGUSTIN PINO BARRIGA</v>
      </c>
      <c r="K257" s="33">
        <f ca="1">IFERROR(__xludf.DUMMYFUNCTION("""COMPUTED_VALUE"""),1)</f>
        <v>1</v>
      </c>
      <c r="L257" s="203">
        <f ca="1">IFERROR(__xludf.DUMMYFUNCTION("""COMPUTED_VALUE"""),2400)</f>
        <v>2400</v>
      </c>
      <c r="M257" s="33" t="str">
        <f ca="1">IFERROR(__xludf.DUMMYFUNCTION("""COMPUTED_VALUE"""),"03 ORL")</f>
        <v>03 ORL</v>
      </c>
      <c r="N257" s="33" t="str">
        <f ca="1">IFERROR(__xludf.DUMMYFUNCTION("""COMPUTED_VALUE"""),"06 ORL")</f>
        <v>06 ORL</v>
      </c>
      <c r="O257" s="33" t="str">
        <f ca="1">IFERROR(__xludf.DUMMYFUNCTION("""COMPUTED_VALUE"""),"Dra, María Teresa Herrera Mera")</f>
        <v>Dra, María Teresa Herrera Mera</v>
      </c>
      <c r="P257" s="33" t="str">
        <f ca="1">IFERROR(__xludf.DUMMYFUNCTION("""COMPUTED_VALUE"""),"Maika Blázquez (Madrid)")</f>
        <v>Maika Blázquez (Madrid)</v>
      </c>
    </row>
    <row r="258" spans="2:16">
      <c r="B258" s="33">
        <f ca="1">IFERROR(__xludf.DUMMYFUNCTION("""COMPUTED_VALUE"""),2025)</f>
        <v>2025</v>
      </c>
      <c r="C258" s="33">
        <f ca="1">IFERROR(__xludf.DUMMYFUNCTION("""COMPUTED_VALUE"""),2)</f>
        <v>2</v>
      </c>
      <c r="D258" s="33" t="str">
        <f ca="1">IFERROR(__xludf.DUMMYFUNCTION("""COMPUTED_VALUE"""),"NO")</f>
        <v>NO</v>
      </c>
      <c r="E258" s="33" t="str">
        <f ca="1">IFERROR(__xludf.DUMMYFUNCTION("""COMPUTED_VALUE"""),"Leganés")</f>
        <v>Leganés</v>
      </c>
      <c r="F258" s="57">
        <f ca="1">IFERROR(__xludf.DUMMYFUNCTION("""COMPUTED_VALUE"""),45716)</f>
        <v>45716</v>
      </c>
      <c r="G258" s="57">
        <f ca="1">IFERROR(__xludf.DUMMYFUNCTION("""COMPUTED_VALUE"""),45660)</f>
        <v>45660</v>
      </c>
      <c r="H258" s="33" t="str">
        <f ca="1">IFERROR(__xludf.DUMMYFUNCTION("""COMPUTED_VALUE"""),"Leganés")</f>
        <v>Leganés</v>
      </c>
      <c r="I258" s="33" t="str">
        <f ca="1">IFERROR(__xludf.DUMMYFUNCTION("""COMPUTED_VALUE"""),"C202511517950582")</f>
        <v>C202511517950582</v>
      </c>
      <c r="J258" s="33" t="str">
        <f ca="1">IFERROR(__xludf.DUMMYFUNCTION("""COMPUTED_VALUE"""),"SUSANA ESTEBAN ARRIAZÚ")</f>
        <v>SUSANA ESTEBAN ARRIAZÚ</v>
      </c>
      <c r="K258" s="33">
        <f ca="1">IFERROR(__xludf.DUMMYFUNCTION("""COMPUTED_VALUE"""),1)</f>
        <v>1</v>
      </c>
      <c r="L258" s="203">
        <f ca="1">IFERROR(__xludf.DUMMYFUNCTION("""COMPUTED_VALUE"""),1500)</f>
        <v>1500</v>
      </c>
      <c r="M258" s="33" t="str">
        <f ca="1">IFERROR(__xludf.DUMMYFUNCTION("""COMPUTED_VALUE"""),"03 ORL")</f>
        <v>03 ORL</v>
      </c>
      <c r="N258" s="33" t="str">
        <f ca="1">IFERROR(__xludf.DUMMYFUNCTION("""COMPUTED_VALUE"""),"06 ORL")</f>
        <v>06 ORL</v>
      </c>
      <c r="O258" s="33" t="str">
        <f ca="1">IFERROR(__xludf.DUMMYFUNCTION("""COMPUTED_VALUE"""),"Dr, Jesús Atalaya Díaz")</f>
        <v>Dr, Jesús Atalaya Díaz</v>
      </c>
      <c r="P258" s="33" t="str">
        <f ca="1">IFERROR(__xludf.DUMMYFUNCTION("""COMPUTED_VALUE"""),"Maika Blázquez (Madrid)")</f>
        <v>Maika Blázquez (Madrid)</v>
      </c>
    </row>
    <row r="259" spans="2:16">
      <c r="B259" s="33">
        <f ca="1">IFERROR(__xludf.DUMMYFUNCTION("""COMPUTED_VALUE"""),2025)</f>
        <v>2025</v>
      </c>
      <c r="C259" s="33">
        <f ca="1">IFERROR(__xludf.DUMMYFUNCTION("""COMPUTED_VALUE"""),2)</f>
        <v>2</v>
      </c>
      <c r="D259" s="33" t="str">
        <f ca="1">IFERROR(__xludf.DUMMYFUNCTION("""COMPUTED_VALUE"""),"NO")</f>
        <v>NO</v>
      </c>
      <c r="E259" s="33" t="str">
        <f ca="1">IFERROR(__xludf.DUMMYFUNCTION("""COMPUTED_VALUE"""),"Leganés")</f>
        <v>Leganés</v>
      </c>
      <c r="F259" s="57">
        <f ca="1">IFERROR(__xludf.DUMMYFUNCTION("""COMPUTED_VALUE"""),45716)</f>
        <v>45716</v>
      </c>
      <c r="G259" s="57">
        <f ca="1">IFERROR(__xludf.DUMMYFUNCTION("""COMPUTED_VALUE"""),45667)</f>
        <v>45667</v>
      </c>
      <c r="H259" s="33" t="str">
        <f ca="1">IFERROR(__xludf.DUMMYFUNCTION("""COMPUTED_VALUE"""),"Leganés")</f>
        <v>Leganés</v>
      </c>
      <c r="I259" s="33" t="str">
        <f ca="1">IFERROR(__xludf.DUMMYFUNCTION("""COMPUTED_VALUE"""),"C2025128115357750")</f>
        <v>C2025128115357750</v>
      </c>
      <c r="J259" s="33" t="str">
        <f ca="1">IFERROR(__xludf.DUMMYFUNCTION("""COMPUTED_VALUE"""),"MARIA ANGELES PEREZ GOMEZ")</f>
        <v>MARIA ANGELES PEREZ GOMEZ</v>
      </c>
      <c r="K259" s="33">
        <f ca="1">IFERROR(__xludf.DUMMYFUNCTION("""COMPUTED_VALUE"""),1)</f>
        <v>1</v>
      </c>
      <c r="L259" s="203">
        <f ca="1">IFERROR(__xludf.DUMMYFUNCTION("""COMPUTED_VALUE"""),1634.62)</f>
        <v>1634.62</v>
      </c>
      <c r="M259" s="33" t="str">
        <f ca="1">IFERROR(__xludf.DUMMYFUNCTION("""COMPUTED_VALUE"""),"03 ORL")</f>
        <v>03 ORL</v>
      </c>
      <c r="N259" s="33" t="str">
        <f ca="1">IFERROR(__xludf.DUMMYFUNCTION("""COMPUTED_VALUE"""),"06 ORL")</f>
        <v>06 ORL</v>
      </c>
      <c r="O259" s="33" t="str">
        <f ca="1">IFERROR(__xludf.DUMMYFUNCTION("""COMPUTED_VALUE"""),"Dra, Ana Ruiz Fornells Noreña")</f>
        <v>Dra, Ana Ruiz Fornells Noreña</v>
      </c>
      <c r="P259" s="33" t="str">
        <f ca="1">IFERROR(__xludf.DUMMYFUNCTION("""COMPUTED_VALUE"""),"Maika Blázquez (Madrid)")</f>
        <v>Maika Blázquez (Madrid)</v>
      </c>
    </row>
    <row r="260" spans="2:16">
      <c r="B260" s="33">
        <f ca="1">IFERROR(__xludf.DUMMYFUNCTION("""COMPUTED_VALUE"""),2025)</f>
        <v>2025</v>
      </c>
      <c r="C260" s="33">
        <f ca="1">IFERROR(__xludf.DUMMYFUNCTION("""COMPUTED_VALUE"""),2)</f>
        <v>2</v>
      </c>
      <c r="D260" s="33" t="str">
        <f ca="1">IFERROR(__xludf.DUMMYFUNCTION("""COMPUTED_VALUE"""),"NO")</f>
        <v>NO</v>
      </c>
      <c r="E260" s="33" t="str">
        <f ca="1">IFERROR(__xludf.DUMMYFUNCTION("""COMPUTED_VALUE"""),"Ourense")</f>
        <v>Ourense</v>
      </c>
      <c r="F260" s="57">
        <f ca="1">IFERROR(__xludf.DUMMYFUNCTION("""COMPUTED_VALUE"""),45716)</f>
        <v>45716</v>
      </c>
      <c r="G260" s="57">
        <f ca="1">IFERROR(__xludf.DUMMYFUNCTION("""COMPUTED_VALUE"""),45646)</f>
        <v>45646</v>
      </c>
      <c r="H260" s="33" t="str">
        <f ca="1">IFERROR(__xludf.DUMMYFUNCTION("""COMPUTED_VALUE"""),"Orense")</f>
        <v>Orense</v>
      </c>
      <c r="I260" s="33" t="str">
        <f ca="1">IFERROR(__xludf.DUMMYFUNCTION("""COMPUTED_VALUE"""),"C20241227105840801")</f>
        <v>C20241227105840801</v>
      </c>
      <c r="J260" s="33" t="str">
        <f ca="1">IFERROR(__xludf.DUMMYFUNCTION("""COMPUTED_VALUE"""),"MARIA SOLEDAD LUDGERO PINTO")</f>
        <v>MARIA SOLEDAD LUDGERO PINTO</v>
      </c>
      <c r="K260" s="33">
        <f ca="1">IFERROR(__xludf.DUMMYFUNCTION("""COMPUTED_VALUE"""),2)</f>
        <v>2</v>
      </c>
      <c r="L260" s="203">
        <f ca="1">IFERROR(__xludf.DUMMYFUNCTION("""COMPUTED_VALUE"""),3391.82)</f>
        <v>3391.82</v>
      </c>
      <c r="M260" s="33" t="str">
        <f ca="1">IFERROR(__xludf.DUMMYFUNCTION("""COMPUTED_VALUE"""),"03 ORL")</f>
        <v>03 ORL</v>
      </c>
      <c r="N260" s="33" t="str">
        <f ca="1">IFERROR(__xludf.DUMMYFUNCTION("""COMPUTED_VALUE"""),"06 ORL")</f>
        <v>06 ORL</v>
      </c>
      <c r="O260" s="33" t="str">
        <f ca="1">IFERROR(__xludf.DUMMYFUNCTION("""COMPUTED_VALUE"""),"Dra, María Rey Marcos")</f>
        <v>Dra, María Rey Marcos</v>
      </c>
      <c r="P260" s="33" t="str">
        <f ca="1">IFERROR(__xludf.DUMMYFUNCTION("""COMPUTED_VALUE"""),"Roberto Pereira (Galicia)")</f>
        <v>Roberto Pereira (Galicia)</v>
      </c>
    </row>
    <row r="261" spans="2:16">
      <c r="B261" s="33">
        <f ca="1">IFERROR(__xludf.DUMMYFUNCTION("""COMPUTED_VALUE"""),2025)</f>
        <v>2025</v>
      </c>
      <c r="C261" s="33">
        <f ca="1">IFERROR(__xludf.DUMMYFUNCTION("""COMPUTED_VALUE"""),2)</f>
        <v>2</v>
      </c>
      <c r="D261" s="33" t="str">
        <f ca="1">IFERROR(__xludf.DUMMYFUNCTION("""COMPUTED_VALUE"""),"NO")</f>
        <v>NO</v>
      </c>
      <c r="E261" s="33" t="str">
        <f ca="1">IFERROR(__xludf.DUMMYFUNCTION("""COMPUTED_VALUE"""),"Madrid- Galileo")</f>
        <v>Madrid- Galileo</v>
      </c>
      <c r="F261" s="57">
        <f ca="1">IFERROR(__xludf.DUMMYFUNCTION("""COMPUTED_VALUE"""),45716)</f>
        <v>45716</v>
      </c>
      <c r="G261" s="57">
        <f ca="1">IFERROR(__xludf.DUMMYFUNCTION("""COMPUTED_VALUE"""),45701)</f>
        <v>45701</v>
      </c>
      <c r="H261" s="33" t="str">
        <f ca="1">IFERROR(__xludf.DUMMYFUNCTION("""COMPUTED_VALUE"""),"Moncloa")</f>
        <v>Moncloa</v>
      </c>
      <c r="I261" s="33" t="str">
        <f ca="1">IFERROR(__xludf.DUMMYFUNCTION("""COMPUTED_VALUE"""),"C202521412254134")</f>
        <v>C202521412254134</v>
      </c>
      <c r="J261" s="33" t="str">
        <f ca="1">IFERROR(__xludf.DUMMYFUNCTION("""COMPUTED_VALUE"""),"FELICIANO GARCIA ARNANZ")</f>
        <v>FELICIANO GARCIA ARNANZ</v>
      </c>
      <c r="K261" s="33">
        <f ca="1">IFERROR(__xludf.DUMMYFUNCTION("""COMPUTED_VALUE"""),2)</f>
        <v>2</v>
      </c>
      <c r="L261" s="203">
        <f ca="1">IFERROR(__xludf.DUMMYFUNCTION("""COMPUTED_VALUE"""),3800)</f>
        <v>3800</v>
      </c>
      <c r="M261" s="33" t="str">
        <f ca="1">IFERROR(__xludf.DUMMYFUNCTION("""COMPUTED_VALUE"""),"03 ORL")</f>
        <v>03 ORL</v>
      </c>
      <c r="N261" s="33" t="str">
        <f ca="1">IFERROR(__xludf.DUMMYFUNCTION("""COMPUTED_VALUE"""),"06 ORL")</f>
        <v>06 ORL</v>
      </c>
      <c r="O261" s="33" t="str">
        <f ca="1">IFERROR(__xludf.DUMMYFUNCTION("""COMPUTED_VALUE"""),"Dr, Esteban Scola Pliego")</f>
        <v>Dr, Esteban Scola Pliego</v>
      </c>
      <c r="P261" s="33" t="str">
        <f ca="1">IFERROR(__xludf.DUMMYFUNCTION("""COMPUTED_VALUE"""),"Maika Blázquez (Madrid)")</f>
        <v>Maika Blázquez (Madrid)</v>
      </c>
    </row>
    <row r="262" spans="2:16">
      <c r="B262" s="33">
        <f ca="1">IFERROR(__xludf.DUMMYFUNCTION("""COMPUTED_VALUE"""),2025)</f>
        <v>2025</v>
      </c>
      <c r="C262" s="33">
        <f ca="1">IFERROR(__xludf.DUMMYFUNCTION("""COMPUTED_VALUE"""),2)</f>
        <v>2</v>
      </c>
      <c r="D262" s="33" t="str">
        <f ca="1">IFERROR(__xludf.DUMMYFUNCTION("""COMPUTED_VALUE"""),"NO")</f>
        <v>NO</v>
      </c>
      <c r="E262" s="33" t="str">
        <f ca="1">IFERROR(__xludf.DUMMYFUNCTION("""COMPUTED_VALUE"""),"Valencia- Cádiz")</f>
        <v>Valencia- Cádiz</v>
      </c>
      <c r="F262" s="57">
        <f ca="1">IFERROR(__xludf.DUMMYFUNCTION("""COMPUTED_VALUE"""),45716)</f>
        <v>45716</v>
      </c>
      <c r="G262" s="57">
        <f ca="1">IFERROR(__xludf.DUMMYFUNCTION("""COMPUTED_VALUE"""),45659)</f>
        <v>45659</v>
      </c>
      <c r="H262" s="33" t="str">
        <f ca="1">IFERROR(__xludf.DUMMYFUNCTION("""COMPUTED_VALUE"""),"Valencia- Cádiz")</f>
        <v>Valencia- Cádiz</v>
      </c>
      <c r="I262" s="33" t="str">
        <f ca="1">IFERROR(__xludf.DUMMYFUNCTION("""COMPUTED_VALUE"""),"C2025116173758738")</f>
        <v>C2025116173758738</v>
      </c>
      <c r="J262" s="33" t="str">
        <f ca="1">IFERROR(__xludf.DUMMYFUNCTION("""COMPUTED_VALUE"""),"JOSE FUSTER BURGOS")</f>
        <v>JOSE FUSTER BURGOS</v>
      </c>
      <c r="K262" s="33">
        <f ca="1">IFERROR(__xludf.DUMMYFUNCTION("""COMPUTED_VALUE"""),2)</f>
        <v>2</v>
      </c>
      <c r="L262" s="203">
        <f ca="1">IFERROR(__xludf.DUMMYFUNCTION("""COMPUTED_VALUE"""),4000)</f>
        <v>4000</v>
      </c>
      <c r="M262" s="33" t="str">
        <f ca="1">IFERROR(__xludf.DUMMYFUNCTION("""COMPUTED_VALUE"""),"03 ORL")</f>
        <v>03 ORL</v>
      </c>
      <c r="N262" s="33" t="str">
        <f ca="1">IFERROR(__xludf.DUMMYFUNCTION("""COMPUTED_VALUE"""),"06 ORL")</f>
        <v>06 ORL</v>
      </c>
      <c r="O262" s="33" t="str">
        <f ca="1">IFERROR(__xludf.DUMMYFUNCTION("""COMPUTED_VALUE"""),"Dr, Jean Franco Intraprendente Martini")</f>
        <v>Dr, Jean Franco Intraprendente Martini</v>
      </c>
      <c r="P262" s="33" t="str">
        <f ca="1">IFERROR(__xludf.DUMMYFUNCTION("""COMPUTED_VALUE"""),"Ramon Ferrando(Valencia)")</f>
        <v>Ramon Ferrando(Valencia)</v>
      </c>
    </row>
    <row r="263" spans="2:16">
      <c r="B263" s="33">
        <f ca="1">IFERROR(__xludf.DUMMYFUNCTION("""COMPUTED_VALUE"""),2025)</f>
        <v>2025</v>
      </c>
      <c r="C263" s="33">
        <f ca="1">IFERROR(__xludf.DUMMYFUNCTION("""COMPUTED_VALUE"""),2)</f>
        <v>2</v>
      </c>
      <c r="D263" s="33" t="str">
        <f ca="1">IFERROR(__xludf.DUMMYFUNCTION("""COMPUTED_VALUE"""),"NO")</f>
        <v>NO</v>
      </c>
      <c r="E263" s="33" t="str">
        <f ca="1">IFERROR(__xludf.DUMMYFUNCTION("""COMPUTED_VALUE"""),"Oviedo")</f>
        <v>Oviedo</v>
      </c>
      <c r="F263" s="57">
        <f ca="1">IFERROR(__xludf.DUMMYFUNCTION("""COMPUTED_VALUE"""),45716)</f>
        <v>45716</v>
      </c>
      <c r="G263" s="57">
        <f ca="1">IFERROR(__xludf.DUMMYFUNCTION("""COMPUTED_VALUE"""),45677)</f>
        <v>45677</v>
      </c>
      <c r="H263" s="33" t="str">
        <f ca="1">IFERROR(__xludf.DUMMYFUNCTION("""COMPUTED_VALUE"""),"Oviedo")</f>
        <v>Oviedo</v>
      </c>
      <c r="I263" s="33" t="str">
        <f ca="1">IFERROR(__xludf.DUMMYFUNCTION("""COMPUTED_VALUE"""),"C2025120122611220")</f>
        <v>C2025120122611220</v>
      </c>
      <c r="J263" s="33" t="str">
        <f ca="1">IFERROR(__xludf.DUMMYFUNCTION("""COMPUTED_VALUE"""),"ROSA MARÍA CAMPORRO FERNÁNDEZ")</f>
        <v>ROSA MARÍA CAMPORRO FERNÁNDEZ</v>
      </c>
      <c r="K263" s="33">
        <f ca="1">IFERROR(__xludf.DUMMYFUNCTION("""COMPUTED_VALUE"""),2)</f>
        <v>2</v>
      </c>
      <c r="L263" s="203">
        <f ca="1">IFERROR(__xludf.DUMMYFUNCTION("""COMPUTED_VALUE"""),4000)</f>
        <v>4000</v>
      </c>
      <c r="M263" s="33" t="str">
        <f ca="1">IFERROR(__xludf.DUMMYFUNCTION("""COMPUTED_VALUE"""),"03 ORL")</f>
        <v>03 ORL</v>
      </c>
      <c r="N263" s="33" t="str">
        <f ca="1">IFERROR(__xludf.DUMMYFUNCTION("""COMPUTED_VALUE"""),"06 ORL")</f>
        <v>06 ORL</v>
      </c>
      <c r="O263" s="33" t="str">
        <f ca="1">IFERROR(__xludf.DUMMYFUNCTION("""COMPUTED_VALUE"""),"No Recuerda Orl")</f>
        <v>No Recuerda Orl</v>
      </c>
      <c r="P263" s="33" t="str">
        <f ca="1">IFERROR(__xludf.DUMMYFUNCTION("""COMPUTED_VALUE"""),"Alberto Moreno")</f>
        <v>Alberto Moreno</v>
      </c>
    </row>
    <row r="264" spans="2:16">
      <c r="B264" s="33">
        <f ca="1">IFERROR(__xludf.DUMMYFUNCTION("""COMPUTED_VALUE"""),2025)</f>
        <v>2025</v>
      </c>
      <c r="C264" s="33">
        <f ca="1">IFERROR(__xludf.DUMMYFUNCTION("""COMPUTED_VALUE"""),2)</f>
        <v>2</v>
      </c>
      <c r="D264" s="33" t="str">
        <f ca="1">IFERROR(__xludf.DUMMYFUNCTION("""COMPUTED_VALUE"""),"NO")</f>
        <v>NO</v>
      </c>
      <c r="E264" s="33" t="str">
        <f ca="1">IFERROR(__xludf.DUMMYFUNCTION("""COMPUTED_VALUE"""),"Cáceres")</f>
        <v>Cáceres</v>
      </c>
      <c r="F264" s="57">
        <f ca="1">IFERROR(__xludf.DUMMYFUNCTION("""COMPUTED_VALUE"""),45692)</f>
        <v>45692</v>
      </c>
      <c r="G264" s="57">
        <f ca="1">IFERROR(__xludf.DUMMYFUNCTION("""COMPUTED_VALUE"""),45652)</f>
        <v>45652</v>
      </c>
      <c r="H264" s="33" t="str">
        <f ca="1">IFERROR(__xludf.DUMMYFUNCTION("""COMPUTED_VALUE"""),"Cáceres")</f>
        <v>Cáceres</v>
      </c>
      <c r="I264" s="33" t="str">
        <f ca="1">IFERROR(__xludf.DUMMYFUNCTION("""COMPUTED_VALUE"""),"CAC-218")</f>
        <v>CAC-218</v>
      </c>
      <c r="J264" s="33" t="str">
        <f ca="1">IFERROR(__xludf.DUMMYFUNCTION("""COMPUTED_VALUE"""),"FRANCISCO ROSA VIDARTE")</f>
        <v>FRANCISCO ROSA VIDARTE</v>
      </c>
      <c r="K264" s="33">
        <f ca="1">IFERROR(__xludf.DUMMYFUNCTION("""COMPUTED_VALUE"""),2)</f>
        <v>2</v>
      </c>
      <c r="L264" s="203">
        <f ca="1">IFERROR(__xludf.DUMMYFUNCTION("""COMPUTED_VALUE"""),2953.64)</f>
        <v>2953.64</v>
      </c>
      <c r="M264" s="33" t="str">
        <f ca="1">IFERROR(__xludf.DUMMYFUNCTION("""COMPUTED_VALUE"""),"03 ORL")</f>
        <v>03 ORL</v>
      </c>
      <c r="N264" s="33" t="str">
        <f ca="1">IFERROR(__xludf.DUMMYFUNCTION("""COMPUTED_VALUE"""),"06 ORL")</f>
        <v>06 ORL</v>
      </c>
      <c r="O264" s="33" t="str">
        <f ca="1">IFERROR(__xludf.DUMMYFUNCTION("""COMPUTED_VALUE"""),"Dr, Javier García Gómez")</f>
        <v>Dr, Javier García Gómez</v>
      </c>
      <c r="P264" s="33" t="str">
        <f ca="1">IFERROR(__xludf.DUMMYFUNCTION("""COMPUTED_VALUE"""),"Lisandro Russian (Madrid, Cáceres, Toledo, Talavera Y Logroño)")</f>
        <v>Lisandro Russian (Madrid, Cáceres, Toledo, Talavera Y Logroño)</v>
      </c>
    </row>
    <row r="265" spans="2:16">
      <c r="B265" s="33">
        <f ca="1">IFERROR(__xludf.DUMMYFUNCTION("""COMPUTED_VALUE"""),2025)</f>
        <v>2025</v>
      </c>
      <c r="C265" s="33">
        <f ca="1">IFERROR(__xludf.DUMMYFUNCTION("""COMPUTED_VALUE"""),2)</f>
        <v>2</v>
      </c>
      <c r="D265" s="33" t="str">
        <f ca="1">IFERROR(__xludf.DUMMYFUNCTION("""COMPUTED_VALUE"""),"NO")</f>
        <v>NO</v>
      </c>
      <c r="E265" s="33" t="str">
        <f ca="1">IFERROR(__xludf.DUMMYFUNCTION("""COMPUTED_VALUE"""),"Culleredo")</f>
        <v>Culleredo</v>
      </c>
      <c r="F265" s="57">
        <f ca="1">IFERROR(__xludf.DUMMYFUNCTION("""COMPUTED_VALUE"""),45692)</f>
        <v>45692</v>
      </c>
      <c r="G265" s="57">
        <f ca="1">IFERROR(__xludf.DUMMYFUNCTION("""COMPUTED_VALUE"""),45665)</f>
        <v>45665</v>
      </c>
      <c r="H265" s="33" t="str">
        <f ca="1">IFERROR(__xludf.DUMMYFUNCTION("""COMPUTED_VALUE"""),"Culleredo")</f>
        <v>Culleredo</v>
      </c>
      <c r="I265" s="33" t="str">
        <f ca="1">IFERROR(__xludf.DUMMYFUNCTION("""COMPUTED_VALUE"""),"CULL-150")</f>
        <v>CULL-150</v>
      </c>
      <c r="J265" s="33" t="str">
        <f ca="1">IFERROR(__xludf.DUMMYFUNCTION("""COMPUTED_VALUE"""),"PAZ VAZQUEZ CORTON")</f>
        <v>PAZ VAZQUEZ CORTON</v>
      </c>
      <c r="K265" s="33">
        <f ca="1">IFERROR(__xludf.DUMMYFUNCTION("""COMPUTED_VALUE"""),2)</f>
        <v>2</v>
      </c>
      <c r="L265" s="203">
        <f ca="1">IFERROR(__xludf.DUMMYFUNCTION("""COMPUTED_VALUE"""),3618.18)</f>
        <v>3618.18</v>
      </c>
      <c r="M265" s="33" t="str">
        <f ca="1">IFERROR(__xludf.DUMMYFUNCTION("""COMPUTED_VALUE"""),"03 ORL")</f>
        <v>03 ORL</v>
      </c>
      <c r="N265" s="33" t="str">
        <f ca="1">IFERROR(__xludf.DUMMYFUNCTION("""COMPUTED_VALUE"""),"06 ORL")</f>
        <v>06 ORL</v>
      </c>
      <c r="O265" s="33" t="str">
        <f ca="1">IFERROR(__xludf.DUMMYFUNCTION("""COMPUTED_VALUE"""),"Dr, Miguel Mayo Yáñez")</f>
        <v>Dr, Miguel Mayo Yáñez</v>
      </c>
      <c r="P265" s="33" t="str">
        <f ca="1">IFERROR(__xludf.DUMMYFUNCTION("""COMPUTED_VALUE"""),"Roberto Pereira (Galicia)")</f>
        <v>Roberto Pereira (Galicia)</v>
      </c>
    </row>
    <row r="266" spans="2:16">
      <c r="B266" s="33">
        <f ca="1">IFERROR(__xludf.DUMMYFUNCTION("""COMPUTED_VALUE"""),2025)</f>
        <v>2025</v>
      </c>
      <c r="C266" s="33">
        <f ca="1">IFERROR(__xludf.DUMMYFUNCTION("""COMPUTED_VALUE"""),2)</f>
        <v>2</v>
      </c>
      <c r="D266" s="33" t="str">
        <f ca="1">IFERROR(__xludf.DUMMYFUNCTION("""COMPUTED_VALUE"""),"NO")</f>
        <v>NO</v>
      </c>
      <c r="E266" s="33" t="str">
        <f ca="1">IFERROR(__xludf.DUMMYFUNCTION("""COMPUTED_VALUE"""),"Cáceres")</f>
        <v>Cáceres</v>
      </c>
      <c r="F266" s="57">
        <f ca="1">IFERROR(__xludf.DUMMYFUNCTION("""COMPUTED_VALUE"""),45693)</f>
        <v>45693</v>
      </c>
      <c r="G266" s="57">
        <f ca="1">IFERROR(__xludf.DUMMYFUNCTION("""COMPUTED_VALUE"""),45664)</f>
        <v>45664</v>
      </c>
      <c r="H266" s="33" t="str">
        <f ca="1">IFERROR(__xludf.DUMMYFUNCTION("""COMPUTED_VALUE"""),"Cáceres")</f>
        <v>Cáceres</v>
      </c>
      <c r="I266" s="33" t="str">
        <f ca="1">IFERROR(__xludf.DUMMYFUNCTION("""COMPUTED_VALUE"""),"CAC-222")</f>
        <v>CAC-222</v>
      </c>
      <c r="J266" s="33" t="str">
        <f ca="1">IFERROR(__xludf.DUMMYFUNCTION("""COMPUTED_VALUE"""),"FELISA ROMERO REY")</f>
        <v>FELISA ROMERO REY</v>
      </c>
      <c r="K266" s="33">
        <f ca="1">IFERROR(__xludf.DUMMYFUNCTION("""COMPUTED_VALUE"""),2)</f>
        <v>2</v>
      </c>
      <c r="L266" s="203">
        <f ca="1">IFERROR(__xludf.DUMMYFUNCTION("""COMPUTED_VALUE"""),3454.55)</f>
        <v>3454.55</v>
      </c>
      <c r="M266" s="33" t="str">
        <f ca="1">IFERROR(__xludf.DUMMYFUNCTION("""COMPUTED_VALUE"""),"03 ORL")</f>
        <v>03 ORL</v>
      </c>
      <c r="N266" s="33" t="str">
        <f ca="1">IFERROR(__xludf.DUMMYFUNCTION("""COMPUTED_VALUE"""),"06 ORL")</f>
        <v>06 ORL</v>
      </c>
      <c r="O266" s="33" t="str">
        <f ca="1">IFERROR(__xludf.DUMMYFUNCTION("""COMPUTED_VALUE"""),"Dra, Daniela Carolina Laguado Bulgheroni")</f>
        <v>Dra, Daniela Carolina Laguado Bulgheroni</v>
      </c>
      <c r="P266" s="33" t="str">
        <f ca="1">IFERROR(__xludf.DUMMYFUNCTION("""COMPUTED_VALUE"""),"Lisandro Russian (Madrid, Cáceres, Toledo, Talavera Y Logroño)")</f>
        <v>Lisandro Russian (Madrid, Cáceres, Toledo, Talavera Y Logroño)</v>
      </c>
    </row>
    <row r="267" spans="2:16">
      <c r="B267" s="33">
        <f ca="1">IFERROR(__xludf.DUMMYFUNCTION("""COMPUTED_VALUE"""),2025)</f>
        <v>2025</v>
      </c>
      <c r="C267" s="33">
        <f ca="1">IFERROR(__xludf.DUMMYFUNCTION("""COMPUTED_VALUE"""),2)</f>
        <v>2</v>
      </c>
      <c r="D267" s="33" t="str">
        <f ca="1">IFERROR(__xludf.DUMMYFUNCTION("""COMPUTED_VALUE"""),"NO")</f>
        <v>NO</v>
      </c>
      <c r="E267" s="33" t="str">
        <f ca="1">IFERROR(__xludf.DUMMYFUNCTION("""COMPUTED_VALUE"""),"Salamanca")</f>
        <v>Salamanca</v>
      </c>
      <c r="F267" s="57">
        <f ca="1">IFERROR(__xludf.DUMMYFUNCTION("""COMPUTED_VALUE"""),45694)</f>
        <v>45694</v>
      </c>
      <c r="G267" s="57">
        <f ca="1">IFERROR(__xludf.DUMMYFUNCTION("""COMPUTED_VALUE"""),45645)</f>
        <v>45645</v>
      </c>
      <c r="H267" s="33" t="str">
        <f ca="1">IFERROR(__xludf.DUMMYFUNCTION("""COMPUTED_VALUE"""),"Salamanca")</f>
        <v>Salamanca</v>
      </c>
      <c r="I267" s="33" t="str">
        <f ca="1">IFERROR(__xludf.DUMMYFUNCTION("""COMPUTED_VALUE"""),"SLM-426")</f>
        <v>SLM-426</v>
      </c>
      <c r="J267" s="33" t="str">
        <f ca="1">IFERROR(__xludf.DUMMYFUNCTION("""COMPUTED_VALUE"""),"MARIA DE LAS MERCEDES CASTAÑO SANCHEZ")</f>
        <v>MARIA DE LAS MERCEDES CASTAÑO SANCHEZ</v>
      </c>
      <c r="K267" s="33">
        <f ca="1">IFERROR(__xludf.DUMMYFUNCTION("""COMPUTED_VALUE"""),2)</f>
        <v>2</v>
      </c>
      <c r="L267" s="203">
        <f ca="1">IFERROR(__xludf.DUMMYFUNCTION("""COMPUTED_VALUE"""),3809.09)</f>
        <v>3809.09</v>
      </c>
      <c r="M267" s="33" t="str">
        <f ca="1">IFERROR(__xludf.DUMMYFUNCTION("""COMPUTED_VALUE"""),"01 MARKETING ON LINE")</f>
        <v>01 MARKETING ON LINE</v>
      </c>
      <c r="N267" s="33" t="str">
        <f ca="1">IFERROR(__xludf.DUMMYFUNCTION("""COMPUTED_VALUE"""),"04 AUDIFONO,ES")</f>
        <v>04 AUDIFONO,ES</v>
      </c>
      <c r="O267" s="33" t="str">
        <f ca="1">IFERROR(__xludf.DUMMYFUNCTION("""COMPUTED_VALUE"""),"Dr, Ángel Muñoz Herrera")</f>
        <v>Dr, Ángel Muñoz Herrera</v>
      </c>
      <c r="P267" s="33" t="str">
        <f ca="1">IFERROR(__xludf.DUMMYFUNCTION("""COMPUTED_VALUE"""),"Patricia Solache (Castilla Y León)")</f>
        <v>Patricia Solache (Castilla Y León)</v>
      </c>
    </row>
    <row r="268" spans="2:16">
      <c r="B268" s="33">
        <f ca="1">IFERROR(__xludf.DUMMYFUNCTION("""COMPUTED_VALUE"""),2025)</f>
        <v>2025</v>
      </c>
      <c r="C268" s="33">
        <f ca="1">IFERROR(__xludf.DUMMYFUNCTION("""COMPUTED_VALUE"""),2)</f>
        <v>2</v>
      </c>
      <c r="D268" s="33" t="str">
        <f ca="1">IFERROR(__xludf.DUMMYFUNCTION("""COMPUTED_VALUE"""),"NO")</f>
        <v>NO</v>
      </c>
      <c r="E268" s="33" t="str">
        <f ca="1">IFERROR(__xludf.DUMMYFUNCTION("""COMPUTED_VALUE"""),"Ponferrada")</f>
        <v>Ponferrada</v>
      </c>
      <c r="F268" s="57">
        <f ca="1">IFERROR(__xludf.DUMMYFUNCTION("""COMPUTED_VALUE"""),45695)</f>
        <v>45695</v>
      </c>
      <c r="G268" s="57">
        <f ca="1">IFERROR(__xludf.DUMMYFUNCTION("""COMPUTED_VALUE"""),45496)</f>
        <v>45496</v>
      </c>
      <c r="H268" s="33" t="str">
        <f ca="1">IFERROR(__xludf.DUMMYFUNCTION("""COMPUTED_VALUE"""),"Ponferrada")</f>
        <v>Ponferrada</v>
      </c>
      <c r="I268" s="33" t="str">
        <f ca="1">IFERROR(__xludf.DUMMYFUNCTION("""COMPUTED_VALUE"""),"PON-735")</f>
        <v>PON-735</v>
      </c>
      <c r="J268" s="33" t="str">
        <f ca="1">IFERROR(__xludf.DUMMYFUNCTION("""COMPUTED_VALUE"""),"ANGELINA DEL CANO SALAN")</f>
        <v>ANGELINA DEL CANO SALAN</v>
      </c>
      <c r="K268" s="33">
        <f ca="1">IFERROR(__xludf.DUMMYFUNCTION("""COMPUTED_VALUE"""),2)</f>
        <v>2</v>
      </c>
      <c r="L268" s="203">
        <f ca="1">IFERROR(__xludf.DUMMYFUNCTION("""COMPUTED_VALUE"""),3909.09)</f>
        <v>3909.09</v>
      </c>
      <c r="M268" s="33" t="str">
        <f ca="1">IFERROR(__xludf.DUMMYFUNCTION("""COMPUTED_VALUE"""),"03 ORL")</f>
        <v>03 ORL</v>
      </c>
      <c r="N268" s="33" t="str">
        <f ca="1">IFERROR(__xludf.DUMMYFUNCTION("""COMPUTED_VALUE"""),"06 ORL")</f>
        <v>06 ORL</v>
      </c>
      <c r="O268" s="33" t="str">
        <f ca="1">IFERROR(__xludf.DUMMYFUNCTION("""COMPUTED_VALUE"""),"Dra, Xenia Mota Rojas")</f>
        <v>Dra, Xenia Mota Rojas</v>
      </c>
      <c r="P268" s="33" t="str">
        <f ca="1">IFERROR(__xludf.DUMMYFUNCTION("""COMPUTED_VALUE"""),"Patricia Solache (Castilla Y León)")</f>
        <v>Patricia Solache (Castilla Y León)</v>
      </c>
    </row>
    <row r="269" spans="2:16">
      <c r="B269" s="33">
        <f ca="1">IFERROR(__xludf.DUMMYFUNCTION("""COMPUTED_VALUE"""),2025)</f>
        <v>2025</v>
      </c>
      <c r="C269" s="33">
        <f ca="1">IFERROR(__xludf.DUMMYFUNCTION("""COMPUTED_VALUE"""),2)</f>
        <v>2</v>
      </c>
      <c r="D269" s="33" t="str">
        <f ca="1">IFERROR(__xludf.DUMMYFUNCTION("""COMPUTED_VALUE"""),"NO")</f>
        <v>NO</v>
      </c>
      <c r="E269" s="33" t="str">
        <f ca="1">IFERROR(__xludf.DUMMYFUNCTION("""COMPUTED_VALUE"""),"Salamanca")</f>
        <v>Salamanca</v>
      </c>
      <c r="F269" s="57">
        <f ca="1">IFERROR(__xludf.DUMMYFUNCTION("""COMPUTED_VALUE"""),45698)</f>
        <v>45698</v>
      </c>
      <c r="G269" s="57">
        <f ca="1">IFERROR(__xludf.DUMMYFUNCTION("""COMPUTED_VALUE"""),45534)</f>
        <v>45534</v>
      </c>
      <c r="H269" s="33" t="str">
        <f ca="1">IFERROR(__xludf.DUMMYFUNCTION("""COMPUTED_VALUE"""),"Salamanca")</f>
        <v>Salamanca</v>
      </c>
      <c r="I269" s="33" t="str">
        <f ca="1">IFERROR(__xludf.DUMMYFUNCTION("""COMPUTED_VALUE"""),"SLM-352")</f>
        <v>SLM-352</v>
      </c>
      <c r="J269" s="33" t="str">
        <f ca="1">IFERROR(__xludf.DUMMYFUNCTION("""COMPUTED_VALUE"""),"CESAR RUBIO PRIETO")</f>
        <v>CESAR RUBIO PRIETO</v>
      </c>
      <c r="K269" s="33">
        <f ca="1">IFERROR(__xludf.DUMMYFUNCTION("""COMPUTED_VALUE"""),2)</f>
        <v>2</v>
      </c>
      <c r="L269" s="203">
        <f ca="1">IFERROR(__xludf.DUMMYFUNCTION("""COMPUTED_VALUE"""),2780.91)</f>
        <v>2780.91</v>
      </c>
      <c r="M269" s="33" t="str">
        <f ca="1">IFERROR(__xludf.DUMMYFUNCTION("""COMPUTED_VALUE"""),"03 ORL")</f>
        <v>03 ORL</v>
      </c>
      <c r="N269" s="33" t="str">
        <f ca="1">IFERROR(__xludf.DUMMYFUNCTION("""COMPUTED_VALUE"""),"06 ORL")</f>
        <v>06 ORL</v>
      </c>
      <c r="O269" s="33" t="str">
        <f ca="1">IFERROR(__xludf.DUMMYFUNCTION("""COMPUTED_VALUE"""),"No Recuerda Orl")</f>
        <v>No Recuerda Orl</v>
      </c>
      <c r="P269" s="33" t="str">
        <f ca="1">IFERROR(__xludf.DUMMYFUNCTION("""COMPUTED_VALUE"""),"Patricia Solache (Castilla Y León)")</f>
        <v>Patricia Solache (Castilla Y León)</v>
      </c>
    </row>
    <row r="270" spans="2:16">
      <c r="B270" s="33">
        <f ca="1">IFERROR(__xludf.DUMMYFUNCTION("""COMPUTED_VALUE"""),2025)</f>
        <v>2025</v>
      </c>
      <c r="C270" s="33">
        <f ca="1">IFERROR(__xludf.DUMMYFUNCTION("""COMPUTED_VALUE"""),2)</f>
        <v>2</v>
      </c>
      <c r="D270" s="33" t="str">
        <f ca="1">IFERROR(__xludf.DUMMYFUNCTION("""COMPUTED_VALUE"""),"NO")</f>
        <v>NO</v>
      </c>
      <c r="E270" s="33" t="str">
        <f ca="1">IFERROR(__xludf.DUMMYFUNCTION("""COMPUTED_VALUE"""),"Vigo")</f>
        <v>Vigo</v>
      </c>
      <c r="F270" s="57">
        <f ca="1">IFERROR(__xludf.DUMMYFUNCTION("""COMPUTED_VALUE"""),45698)</f>
        <v>45698</v>
      </c>
      <c r="G270" s="57">
        <f ca="1">IFERROR(__xludf.DUMMYFUNCTION("""COMPUTED_VALUE"""),45650)</f>
        <v>45650</v>
      </c>
      <c r="H270" s="33" t="str">
        <f ca="1">IFERROR(__xludf.DUMMYFUNCTION("""COMPUTED_VALUE"""),"Vigo")</f>
        <v>Vigo</v>
      </c>
      <c r="I270" s="33" t="str">
        <f ca="1">IFERROR(__xludf.DUMMYFUNCTION("""COMPUTED_VALUE"""),"VIG-523")</f>
        <v>VIG-523</v>
      </c>
      <c r="J270" s="33" t="str">
        <f ca="1">IFERROR(__xludf.DUMMYFUNCTION("""COMPUTED_VALUE"""),"FLORENCIO GONALEZ GONZALEZ")</f>
        <v>FLORENCIO GONALEZ GONZALEZ</v>
      </c>
      <c r="K270" s="33">
        <f ca="1">IFERROR(__xludf.DUMMYFUNCTION("""COMPUTED_VALUE"""),2)</f>
        <v>2</v>
      </c>
      <c r="L270" s="203">
        <f ca="1">IFERROR(__xludf.DUMMYFUNCTION("""COMPUTED_VALUE"""),3454.55)</f>
        <v>3454.55</v>
      </c>
      <c r="M270" s="33" t="str">
        <f ca="1">IFERROR(__xludf.DUMMYFUNCTION("""COMPUTED_VALUE"""),"03 ORL")</f>
        <v>03 ORL</v>
      </c>
      <c r="N270" s="33" t="str">
        <f ca="1">IFERROR(__xludf.DUMMYFUNCTION("""COMPUTED_VALUE"""),"06 ORL")</f>
        <v>06 ORL</v>
      </c>
      <c r="O270" s="33" t="str">
        <f ca="1">IFERROR(__xludf.DUMMYFUNCTION("""COMPUTED_VALUE"""),"Dra, Adela Pérez-Caro Ríos")</f>
        <v>Dra, Adela Pérez-Caro Ríos</v>
      </c>
      <c r="P270" s="33" t="str">
        <f ca="1">IFERROR(__xludf.DUMMYFUNCTION("""COMPUTED_VALUE"""),"Roberto Pereira (Galicia)")</f>
        <v>Roberto Pereira (Galicia)</v>
      </c>
    </row>
    <row r="271" spans="2:16">
      <c r="B271" s="33">
        <f ca="1">IFERROR(__xludf.DUMMYFUNCTION("""COMPUTED_VALUE"""),2025)</f>
        <v>2025</v>
      </c>
      <c r="C271" s="33">
        <f ca="1">IFERROR(__xludf.DUMMYFUNCTION("""COMPUTED_VALUE"""),2)</f>
        <v>2</v>
      </c>
      <c r="D271" s="33" t="str">
        <f ca="1">IFERROR(__xludf.DUMMYFUNCTION("""COMPUTED_VALUE"""),"NO")</f>
        <v>NO</v>
      </c>
      <c r="E271" s="33" t="str">
        <f ca="1">IFERROR(__xludf.DUMMYFUNCTION("""COMPUTED_VALUE"""),"Valladolid")</f>
        <v>Valladolid</v>
      </c>
      <c r="F271" s="57">
        <f ca="1">IFERROR(__xludf.DUMMYFUNCTION("""COMPUTED_VALUE"""),45698)</f>
        <v>45698</v>
      </c>
      <c r="G271" s="57">
        <f ca="1">IFERROR(__xludf.DUMMYFUNCTION("""COMPUTED_VALUE"""),45652)</f>
        <v>45652</v>
      </c>
      <c r="H271" s="33" t="str">
        <f ca="1">IFERROR(__xludf.DUMMYFUNCTION("""COMPUTED_VALUE"""),"Valladolid")</f>
        <v>Valladolid</v>
      </c>
      <c r="I271" s="33" t="str">
        <f ca="1">IFERROR(__xludf.DUMMYFUNCTION("""COMPUTED_VALUE"""),"VLL-310")</f>
        <v>VLL-310</v>
      </c>
      <c r="J271" s="33" t="str">
        <f ca="1">IFERROR(__xludf.DUMMYFUNCTION("""COMPUTED_VALUE"""),"ISIDRO HERNANZ LOZOYA")</f>
        <v>ISIDRO HERNANZ LOZOYA</v>
      </c>
      <c r="K271" s="33">
        <f ca="1">IFERROR(__xludf.DUMMYFUNCTION("""COMPUTED_VALUE"""),2)</f>
        <v>2</v>
      </c>
      <c r="L271" s="203">
        <f ca="1">IFERROR(__xludf.DUMMYFUNCTION("""COMPUTED_VALUE"""),3881.31)</f>
        <v>3881.31</v>
      </c>
      <c r="M271" s="33" t="str">
        <f ca="1">IFERROR(__xludf.DUMMYFUNCTION("""COMPUTED_VALUE"""),"03 ORL")</f>
        <v>03 ORL</v>
      </c>
      <c r="N271" s="33" t="str">
        <f ca="1">IFERROR(__xludf.DUMMYFUNCTION("""COMPUTED_VALUE"""),"06 ORL")</f>
        <v>06 ORL</v>
      </c>
      <c r="O271" s="33" t="str">
        <f ca="1">IFERROR(__xludf.DUMMYFUNCTION("""COMPUTED_VALUE"""),"Dr, Jesús Eduardo Ramírez Salas")</f>
        <v>Dr, Jesús Eduardo Ramírez Salas</v>
      </c>
      <c r="P271" s="33" t="str">
        <f ca="1">IFERROR(__xludf.DUMMYFUNCTION("""COMPUTED_VALUE"""),"Patricia Solache (Castilla Y León)")</f>
        <v>Patricia Solache (Castilla Y León)</v>
      </c>
    </row>
    <row r="272" spans="2:16">
      <c r="B272" s="33">
        <f ca="1">IFERROR(__xludf.DUMMYFUNCTION("""COMPUTED_VALUE"""),2025)</f>
        <v>2025</v>
      </c>
      <c r="C272" s="33">
        <f ca="1">IFERROR(__xludf.DUMMYFUNCTION("""COMPUTED_VALUE"""),2)</f>
        <v>2</v>
      </c>
      <c r="D272" s="33" t="str">
        <f ca="1">IFERROR(__xludf.DUMMYFUNCTION("""COMPUTED_VALUE"""),"NO")</f>
        <v>NO</v>
      </c>
      <c r="E272" s="33" t="str">
        <f ca="1">IFERROR(__xludf.DUMMYFUNCTION("""COMPUTED_VALUE"""),"Salamanca")</f>
        <v>Salamanca</v>
      </c>
      <c r="F272" s="57">
        <f ca="1">IFERROR(__xludf.DUMMYFUNCTION("""COMPUTED_VALUE"""),45699)</f>
        <v>45699</v>
      </c>
      <c r="G272" s="57">
        <f ca="1">IFERROR(__xludf.DUMMYFUNCTION("""COMPUTED_VALUE"""),45615)</f>
        <v>45615</v>
      </c>
      <c r="H272" s="33" t="str">
        <f ca="1">IFERROR(__xludf.DUMMYFUNCTION("""COMPUTED_VALUE"""),"Salamanca")</f>
        <v>Salamanca</v>
      </c>
      <c r="I272" s="33" t="str">
        <f ca="1">IFERROR(__xludf.DUMMYFUNCTION("""COMPUTED_VALUE"""),"SLM-406")</f>
        <v>SLM-406</v>
      </c>
      <c r="J272" s="33" t="str">
        <f ca="1">IFERROR(__xludf.DUMMYFUNCTION("""COMPUTED_VALUE"""),"PILAR GOMEZ-MALAGA SANCHEZ")</f>
        <v>PILAR GOMEZ-MALAGA SANCHEZ</v>
      </c>
      <c r="K272" s="33">
        <f ca="1">IFERROR(__xludf.DUMMYFUNCTION("""COMPUTED_VALUE"""),2)</f>
        <v>2</v>
      </c>
      <c r="L272" s="203">
        <f ca="1">IFERROR(__xludf.DUMMYFUNCTION("""COMPUTED_VALUE"""),3604.55)</f>
        <v>3604.55</v>
      </c>
      <c r="M272" s="33" t="str">
        <f ca="1">IFERROR(__xludf.DUMMYFUNCTION("""COMPUTED_VALUE"""),"03 ORL")</f>
        <v>03 ORL</v>
      </c>
      <c r="N272" s="33" t="str">
        <f ca="1">IFERROR(__xludf.DUMMYFUNCTION("""COMPUTED_VALUE"""),"06 ORL")</f>
        <v>06 ORL</v>
      </c>
      <c r="O272" s="33" t="str">
        <f ca="1">IFERROR(__xludf.DUMMYFUNCTION("""COMPUTED_VALUE"""),"Dr, Ángel Muñoz Herrera")</f>
        <v>Dr, Ángel Muñoz Herrera</v>
      </c>
      <c r="P272" s="33" t="str">
        <f ca="1">IFERROR(__xludf.DUMMYFUNCTION("""COMPUTED_VALUE"""),"Patricia Solache (Castilla Y León)")</f>
        <v>Patricia Solache (Castilla Y León)</v>
      </c>
    </row>
    <row r="273" spans="2:16">
      <c r="B273" s="33">
        <f ca="1">IFERROR(__xludf.DUMMYFUNCTION("""COMPUTED_VALUE"""),2025)</f>
        <v>2025</v>
      </c>
      <c r="C273" s="33">
        <f ca="1">IFERROR(__xludf.DUMMYFUNCTION("""COMPUTED_VALUE"""),2)</f>
        <v>2</v>
      </c>
      <c r="D273" s="33" t="str">
        <f ca="1">IFERROR(__xludf.DUMMYFUNCTION("""COMPUTED_VALUE"""),"NO")</f>
        <v>NO</v>
      </c>
      <c r="E273" s="33" t="str">
        <f ca="1">IFERROR(__xludf.DUMMYFUNCTION("""COMPUTED_VALUE"""),"Valladolid")</f>
        <v>Valladolid</v>
      </c>
      <c r="F273" s="57">
        <f ca="1">IFERROR(__xludf.DUMMYFUNCTION("""COMPUTED_VALUE"""),45699)</f>
        <v>45699</v>
      </c>
      <c r="G273" s="57">
        <f ca="1">IFERROR(__xludf.DUMMYFUNCTION("""COMPUTED_VALUE"""),45624)</f>
        <v>45624</v>
      </c>
      <c r="H273" s="33" t="str">
        <f ca="1">IFERROR(__xludf.DUMMYFUNCTION("""COMPUTED_VALUE"""),"Valladolid")</f>
        <v>Valladolid</v>
      </c>
      <c r="I273" s="33" t="str">
        <f ca="1">IFERROR(__xludf.DUMMYFUNCTION("""COMPUTED_VALUE"""),"VLL-300")</f>
        <v>VLL-300</v>
      </c>
      <c r="J273" s="33" t="str">
        <f ca="1">IFERROR(__xludf.DUMMYFUNCTION("""COMPUTED_VALUE"""),"JULIA ARROYO GONZALEZ")</f>
        <v>JULIA ARROYO GONZALEZ</v>
      </c>
      <c r="K273" s="33">
        <f ca="1">IFERROR(__xludf.DUMMYFUNCTION("""COMPUTED_VALUE"""),1)</f>
        <v>1</v>
      </c>
      <c r="L273" s="203">
        <f ca="1">IFERROR(__xludf.DUMMYFUNCTION("""COMPUTED_VALUE"""),1988.64)</f>
        <v>1988.64</v>
      </c>
      <c r="M273" s="33" t="str">
        <f ca="1">IFERROR(__xludf.DUMMYFUNCTION("""COMPUTED_VALUE"""),"03 ORL")</f>
        <v>03 ORL</v>
      </c>
      <c r="N273" s="33" t="str">
        <f ca="1">IFERROR(__xludf.DUMMYFUNCTION("""COMPUTED_VALUE"""),"06 ORL")</f>
        <v>06 ORL</v>
      </c>
      <c r="O273" s="33" t="str">
        <f ca="1">IFERROR(__xludf.DUMMYFUNCTION("""COMPUTED_VALUE"""),"Dra, Marina Madrigal Revuelta")</f>
        <v>Dra, Marina Madrigal Revuelta</v>
      </c>
      <c r="P273" s="33" t="str">
        <f ca="1">IFERROR(__xludf.DUMMYFUNCTION("""COMPUTED_VALUE"""),"Patricia Solache (Castilla Y León)")</f>
        <v>Patricia Solache (Castilla Y León)</v>
      </c>
    </row>
    <row r="274" spans="2:16">
      <c r="B274" s="33">
        <f ca="1">IFERROR(__xludf.DUMMYFUNCTION("""COMPUTED_VALUE"""),2025)</f>
        <v>2025</v>
      </c>
      <c r="C274" s="33">
        <f ca="1">IFERROR(__xludf.DUMMYFUNCTION("""COMPUTED_VALUE"""),2)</f>
        <v>2</v>
      </c>
      <c r="D274" s="33" t="str">
        <f ca="1">IFERROR(__xludf.DUMMYFUNCTION("""COMPUTED_VALUE"""),"NO")</f>
        <v>NO</v>
      </c>
      <c r="E274" s="33" t="str">
        <f ca="1">IFERROR(__xludf.DUMMYFUNCTION("""COMPUTED_VALUE"""),"O Barco")</f>
        <v>O Barco</v>
      </c>
      <c r="F274" s="57">
        <f ca="1">IFERROR(__xludf.DUMMYFUNCTION("""COMPUTED_VALUE"""),45700)</f>
        <v>45700</v>
      </c>
      <c r="G274" s="57">
        <f ca="1">IFERROR(__xludf.DUMMYFUNCTION("""COMPUTED_VALUE"""),45636)</f>
        <v>45636</v>
      </c>
      <c r="H274" s="33" t="str">
        <f ca="1">IFERROR(__xludf.DUMMYFUNCTION("""COMPUTED_VALUE"""),"O Barco")</f>
        <v>O Barco</v>
      </c>
      <c r="I274" s="33" t="str">
        <f ca="1">IFERROR(__xludf.DUMMYFUNCTION("""COMPUTED_VALUE"""),"OBR-43")</f>
        <v>OBR-43</v>
      </c>
      <c r="J274" s="33" t="str">
        <f ca="1">IFERROR(__xludf.DUMMYFUNCTION("""COMPUTED_VALUE"""),"DOMINGA FERREIRO FERREIRO")</f>
        <v>DOMINGA FERREIRO FERREIRO</v>
      </c>
      <c r="K274" s="33">
        <f ca="1">IFERROR(__xludf.DUMMYFUNCTION("""COMPUTED_VALUE"""),2)</f>
        <v>2</v>
      </c>
      <c r="L274" s="203">
        <f ca="1">IFERROR(__xludf.DUMMYFUNCTION("""COMPUTED_VALUE"""),3909.09)</f>
        <v>3909.09</v>
      </c>
      <c r="M274" s="33" t="str">
        <f ca="1">IFERROR(__xludf.DUMMYFUNCTION("""COMPUTED_VALUE"""),"03 ORL")</f>
        <v>03 ORL</v>
      </c>
      <c r="N274" s="33" t="str">
        <f ca="1">IFERROR(__xludf.DUMMYFUNCTION("""COMPUTED_VALUE"""),"06 ORL")</f>
        <v>06 ORL</v>
      </c>
      <c r="O274" s="33" t="str">
        <f ca="1">IFERROR(__xludf.DUMMYFUNCTION("""COMPUTED_VALUE"""),"Dra, Diana Lysbeth Lourido Piedrahita")</f>
        <v>Dra, Diana Lysbeth Lourido Piedrahita</v>
      </c>
      <c r="P274" s="33" t="str">
        <f ca="1">IFERROR(__xludf.DUMMYFUNCTION("""COMPUTED_VALUE"""),"Patricia Solache (Castilla Y León)")</f>
        <v>Patricia Solache (Castilla Y León)</v>
      </c>
    </row>
    <row r="275" spans="2:16">
      <c r="B275" s="33">
        <f ca="1">IFERROR(__xludf.DUMMYFUNCTION("""COMPUTED_VALUE"""),2025)</f>
        <v>2025</v>
      </c>
      <c r="C275" s="33">
        <f ca="1">IFERROR(__xludf.DUMMYFUNCTION("""COMPUTED_VALUE"""),2)</f>
        <v>2</v>
      </c>
      <c r="D275" s="33" t="str">
        <f ca="1">IFERROR(__xludf.DUMMYFUNCTION("""COMPUTED_VALUE"""),"NO")</f>
        <v>NO</v>
      </c>
      <c r="E275" s="33" t="str">
        <f ca="1">IFERROR(__xludf.DUMMYFUNCTION("""COMPUTED_VALUE"""),"Salamanca")</f>
        <v>Salamanca</v>
      </c>
      <c r="F275" s="57">
        <f ca="1">IFERROR(__xludf.DUMMYFUNCTION("""COMPUTED_VALUE"""),45700)</f>
        <v>45700</v>
      </c>
      <c r="G275" s="57">
        <f ca="1">IFERROR(__xludf.DUMMYFUNCTION("""COMPUTED_VALUE"""),45637)</f>
        <v>45637</v>
      </c>
      <c r="H275" s="33" t="str">
        <f ca="1">IFERROR(__xludf.DUMMYFUNCTION("""COMPUTED_VALUE"""),"Salamanca")</f>
        <v>Salamanca</v>
      </c>
      <c r="I275" s="33" t="str">
        <f ca="1">IFERROR(__xludf.DUMMYFUNCTION("""COMPUTED_VALUE"""),"SLM-421")</f>
        <v>SLM-421</v>
      </c>
      <c r="J275" s="33" t="str">
        <f ca="1">IFERROR(__xludf.DUMMYFUNCTION("""COMPUTED_VALUE"""),"SERAFINA BENITO PUENTES")</f>
        <v>SERAFINA BENITO PUENTES</v>
      </c>
      <c r="K275" s="33">
        <f ca="1">IFERROR(__xludf.DUMMYFUNCTION("""COMPUTED_VALUE"""),2)</f>
        <v>2</v>
      </c>
      <c r="L275" s="203">
        <f ca="1">IFERROR(__xludf.DUMMYFUNCTION("""COMPUTED_VALUE"""),3604.55)</f>
        <v>3604.55</v>
      </c>
      <c r="M275" s="33" t="str">
        <f ca="1">IFERROR(__xludf.DUMMYFUNCTION("""COMPUTED_VALUE"""),"03 ORL")</f>
        <v>03 ORL</v>
      </c>
      <c r="N275" s="33" t="str">
        <f ca="1">IFERROR(__xludf.DUMMYFUNCTION("""COMPUTED_VALUE"""),"06 ORL")</f>
        <v>06 ORL</v>
      </c>
      <c r="O275" s="33" t="str">
        <f ca="1">IFERROR(__xludf.DUMMYFUNCTION("""COMPUTED_VALUE"""),"Dr, María Jesús Cornejo Domínguez")</f>
        <v>Dr, María Jesús Cornejo Domínguez</v>
      </c>
      <c r="P275" s="33" t="str">
        <f ca="1">IFERROR(__xludf.DUMMYFUNCTION("""COMPUTED_VALUE"""),"Patricia Solache (Castilla Y León)")</f>
        <v>Patricia Solache (Castilla Y León)</v>
      </c>
    </row>
    <row r="276" spans="2:16">
      <c r="B276" s="33">
        <f ca="1">IFERROR(__xludf.DUMMYFUNCTION("""COMPUTED_VALUE"""),2025)</f>
        <v>2025</v>
      </c>
      <c r="C276" s="33">
        <f ca="1">IFERROR(__xludf.DUMMYFUNCTION("""COMPUTED_VALUE"""),2)</f>
        <v>2</v>
      </c>
      <c r="D276" s="33" t="str">
        <f ca="1">IFERROR(__xludf.DUMMYFUNCTION("""COMPUTED_VALUE"""),"NO")</f>
        <v>NO</v>
      </c>
      <c r="E276" s="33" t="str">
        <f ca="1">IFERROR(__xludf.DUMMYFUNCTION("""COMPUTED_VALUE"""),"Cáceres")</f>
        <v>Cáceres</v>
      </c>
      <c r="F276" s="57">
        <f ca="1">IFERROR(__xludf.DUMMYFUNCTION("""COMPUTED_VALUE"""),45700)</f>
        <v>45700</v>
      </c>
      <c r="G276" s="57">
        <f ca="1">IFERROR(__xludf.DUMMYFUNCTION("""COMPUTED_VALUE"""),45643)</f>
        <v>45643</v>
      </c>
      <c r="H276" s="33" t="str">
        <f ca="1">IFERROR(__xludf.DUMMYFUNCTION("""COMPUTED_VALUE"""),"Cáceres")</f>
        <v>Cáceres</v>
      </c>
      <c r="I276" s="33" t="str">
        <f ca="1">IFERROR(__xludf.DUMMYFUNCTION("""COMPUTED_VALUE"""),"CAC-211")</f>
        <v>CAC-211</v>
      </c>
      <c r="J276" s="33" t="str">
        <f ca="1">IFERROR(__xludf.DUMMYFUNCTION("""COMPUTED_VALUE"""),"VICENTE CORCHADO FLORIANO")</f>
        <v>VICENTE CORCHADO FLORIANO</v>
      </c>
      <c r="K276" s="33">
        <f ca="1">IFERROR(__xludf.DUMMYFUNCTION("""COMPUTED_VALUE"""),2)</f>
        <v>2</v>
      </c>
      <c r="L276" s="203">
        <f ca="1">IFERROR(__xludf.DUMMYFUNCTION("""COMPUTED_VALUE"""),3970.91)</f>
        <v>3970.91</v>
      </c>
      <c r="M276" s="33" t="str">
        <f ca="1">IFERROR(__xludf.DUMMYFUNCTION("""COMPUTED_VALUE"""),"03 ORL")</f>
        <v>03 ORL</v>
      </c>
      <c r="N276" s="33" t="str">
        <f ca="1">IFERROR(__xludf.DUMMYFUNCTION("""COMPUTED_VALUE"""),"06 ORL")</f>
        <v>06 ORL</v>
      </c>
      <c r="O276" s="33" t="str">
        <f ca="1">IFERROR(__xludf.DUMMYFUNCTION("""COMPUTED_VALUE"""),"Dra, Daniela Carolina Laguado Bulgheroni")</f>
        <v>Dra, Daniela Carolina Laguado Bulgheroni</v>
      </c>
      <c r="P276" s="33" t="str">
        <f ca="1">IFERROR(__xludf.DUMMYFUNCTION("""COMPUTED_VALUE"""),"Lisandro Russian (Madrid, Cáceres, Toledo, Talavera Y Logroño)")</f>
        <v>Lisandro Russian (Madrid, Cáceres, Toledo, Talavera Y Logroño)</v>
      </c>
    </row>
    <row r="277" spans="2:16">
      <c r="B277" s="33">
        <f ca="1">IFERROR(__xludf.DUMMYFUNCTION("""COMPUTED_VALUE"""),2025)</f>
        <v>2025</v>
      </c>
      <c r="C277" s="33">
        <f ca="1">IFERROR(__xludf.DUMMYFUNCTION("""COMPUTED_VALUE"""),2)</f>
        <v>2</v>
      </c>
      <c r="D277" s="33" t="str">
        <f ca="1">IFERROR(__xludf.DUMMYFUNCTION("""COMPUTED_VALUE"""),"NO")</f>
        <v>NO</v>
      </c>
      <c r="E277" s="33" t="str">
        <f ca="1">IFERROR(__xludf.DUMMYFUNCTION("""COMPUTED_VALUE"""),"Cáceres")</f>
        <v>Cáceres</v>
      </c>
      <c r="F277" s="57">
        <f ca="1">IFERROR(__xludf.DUMMYFUNCTION("""COMPUTED_VALUE"""),45700)</f>
        <v>45700</v>
      </c>
      <c r="G277" s="57">
        <f ca="1">IFERROR(__xludf.DUMMYFUNCTION("""COMPUTED_VALUE"""),45657)</f>
        <v>45657</v>
      </c>
      <c r="H277" s="33" t="str">
        <f ca="1">IFERROR(__xludf.DUMMYFUNCTION("""COMPUTED_VALUE"""),"Cáceres")</f>
        <v>Cáceres</v>
      </c>
      <c r="I277" s="33" t="str">
        <f ca="1">IFERROR(__xludf.DUMMYFUNCTION("""COMPUTED_VALUE"""),"CAC-220")</f>
        <v>CAC-220</v>
      </c>
      <c r="J277" s="33" t="str">
        <f ca="1">IFERROR(__xludf.DUMMYFUNCTION("""COMPUTED_VALUE"""),"MARTIN ARROYO MOLANO")</f>
        <v>MARTIN ARROYO MOLANO</v>
      </c>
      <c r="K277" s="33">
        <f ca="1">IFERROR(__xludf.DUMMYFUNCTION("""COMPUTED_VALUE"""),2)</f>
        <v>2</v>
      </c>
      <c r="L277" s="203">
        <f ca="1">IFERROR(__xludf.DUMMYFUNCTION("""COMPUTED_VALUE"""),3090.91)</f>
        <v>3090.91</v>
      </c>
      <c r="M277" s="33" t="str">
        <f ca="1">IFERROR(__xludf.DUMMYFUNCTION("""COMPUTED_VALUE"""),"03 ORL")</f>
        <v>03 ORL</v>
      </c>
      <c r="N277" s="33" t="str">
        <f ca="1">IFERROR(__xludf.DUMMYFUNCTION("""COMPUTED_VALUE"""),"06 ORL")</f>
        <v>06 ORL</v>
      </c>
      <c r="O277" s="33" t="str">
        <f ca="1">IFERROR(__xludf.DUMMYFUNCTION("""COMPUTED_VALUE"""),"Dr, Manuel Cañete Domínguez")</f>
        <v>Dr, Manuel Cañete Domínguez</v>
      </c>
      <c r="P277" s="33" t="str">
        <f ca="1">IFERROR(__xludf.DUMMYFUNCTION("""COMPUTED_VALUE"""),"Lisandro Russian (Madrid, Cáceres, Toledo, Talavera Y Logroño)")</f>
        <v>Lisandro Russian (Madrid, Cáceres, Toledo, Talavera Y Logroño)</v>
      </c>
    </row>
    <row r="278" spans="2:16">
      <c r="B278" s="33">
        <f ca="1">IFERROR(__xludf.DUMMYFUNCTION("""COMPUTED_VALUE"""),2025)</f>
        <v>2025</v>
      </c>
      <c r="C278" s="33">
        <f ca="1">IFERROR(__xludf.DUMMYFUNCTION("""COMPUTED_VALUE"""),2)</f>
        <v>2</v>
      </c>
      <c r="D278" s="33" t="str">
        <f ca="1">IFERROR(__xludf.DUMMYFUNCTION("""COMPUTED_VALUE"""),"NO")</f>
        <v>NO</v>
      </c>
      <c r="E278" s="33" t="str">
        <f ca="1">IFERROR(__xludf.DUMMYFUNCTION("""COMPUTED_VALUE"""),"Boiro")</f>
        <v>Boiro</v>
      </c>
      <c r="F278" s="57">
        <f ca="1">IFERROR(__xludf.DUMMYFUNCTION("""COMPUTED_VALUE"""),45700)</f>
        <v>45700</v>
      </c>
      <c r="G278" s="57">
        <f ca="1">IFERROR(__xludf.DUMMYFUNCTION("""COMPUTED_VALUE"""),45685)</f>
        <v>45685</v>
      </c>
      <c r="H278" s="33" t="str">
        <f ca="1">IFERROR(__xludf.DUMMYFUNCTION("""COMPUTED_VALUE"""),"Boiro")</f>
        <v>Boiro</v>
      </c>
      <c r="I278" s="33" t="str">
        <f ca="1">IFERROR(__xludf.DUMMYFUNCTION("""COMPUTED_VALUE"""),"BOI-929")</f>
        <v>BOI-929</v>
      </c>
      <c r="J278" s="33" t="str">
        <f ca="1">IFERROR(__xludf.DUMMYFUNCTION("""COMPUTED_VALUE"""),"ROSA MARIA REGO HERMO")</f>
        <v>ROSA MARIA REGO HERMO</v>
      </c>
      <c r="K278" s="33">
        <f ca="1">IFERROR(__xludf.DUMMYFUNCTION("""COMPUTED_VALUE"""),2)</f>
        <v>2</v>
      </c>
      <c r="L278" s="203">
        <f ca="1">IFERROR(__xludf.DUMMYFUNCTION("""COMPUTED_VALUE"""),2909.09)</f>
        <v>2909.09</v>
      </c>
      <c r="M278" s="33" t="str">
        <f ca="1">IFERROR(__xludf.DUMMYFUNCTION("""COMPUTED_VALUE"""),"03 ORL")</f>
        <v>03 ORL</v>
      </c>
      <c r="N278" s="33" t="str">
        <f ca="1">IFERROR(__xludf.DUMMYFUNCTION("""COMPUTED_VALUE"""),"06 ORL")</f>
        <v>06 ORL</v>
      </c>
      <c r="O278" s="33" t="str">
        <f ca="1">IFERROR(__xludf.DUMMYFUNCTION("""COMPUTED_VALUE"""),"Dr, Ernesto Varela Martínez")</f>
        <v>Dr, Ernesto Varela Martínez</v>
      </c>
      <c r="P278" s="33" t="str">
        <f ca="1">IFERROR(__xludf.DUMMYFUNCTION("""COMPUTED_VALUE"""),"Roberto Pereira (Galicia)")</f>
        <v>Roberto Pereira (Galicia)</v>
      </c>
    </row>
    <row r="279" spans="2:16">
      <c r="B279" s="33">
        <f ca="1">IFERROR(__xludf.DUMMYFUNCTION("""COMPUTED_VALUE"""),2025)</f>
        <v>2025</v>
      </c>
      <c r="C279" s="33">
        <f ca="1">IFERROR(__xludf.DUMMYFUNCTION("""COMPUTED_VALUE"""),2)</f>
        <v>2</v>
      </c>
      <c r="D279" s="33" t="str">
        <f ca="1">IFERROR(__xludf.DUMMYFUNCTION("""COMPUTED_VALUE"""),"NO")</f>
        <v>NO</v>
      </c>
      <c r="E279" s="33" t="str">
        <f ca="1">IFERROR(__xludf.DUMMYFUNCTION("""COMPUTED_VALUE"""),"Boiro")</f>
        <v>Boiro</v>
      </c>
      <c r="F279" s="57">
        <f ca="1">IFERROR(__xludf.DUMMYFUNCTION("""COMPUTED_VALUE"""),45700)</f>
        <v>45700</v>
      </c>
      <c r="G279" s="57">
        <f ca="1">IFERROR(__xludf.DUMMYFUNCTION("""COMPUTED_VALUE"""),45688)</f>
        <v>45688</v>
      </c>
      <c r="H279" s="33" t="str">
        <f ca="1">IFERROR(__xludf.DUMMYFUNCTION("""COMPUTED_VALUE"""),"Boiro")</f>
        <v>Boiro</v>
      </c>
      <c r="I279" s="33" t="str">
        <f ca="1">IFERROR(__xludf.DUMMYFUNCTION("""COMPUTED_VALUE"""),"BOI-932")</f>
        <v>BOI-932</v>
      </c>
      <c r="J279" s="33" t="str">
        <f ca="1">IFERROR(__xludf.DUMMYFUNCTION("""COMPUTED_VALUE"""),"MANUELA MANEIRO RODRIGUEZ")</f>
        <v>MANUELA MANEIRO RODRIGUEZ</v>
      </c>
      <c r="K279" s="33">
        <f ca="1">IFERROR(__xludf.DUMMYFUNCTION("""COMPUTED_VALUE"""),1)</f>
        <v>1</v>
      </c>
      <c r="L279" s="203">
        <f ca="1">IFERROR(__xludf.DUMMYFUNCTION("""COMPUTED_VALUE"""),1627.27)</f>
        <v>1627.27</v>
      </c>
      <c r="M279" s="33" t="str">
        <f ca="1">IFERROR(__xludf.DUMMYFUNCTION("""COMPUTED_VALUE"""),"03 ORL")</f>
        <v>03 ORL</v>
      </c>
      <c r="N279" s="33" t="str">
        <f ca="1">IFERROR(__xludf.DUMMYFUNCTION("""COMPUTED_VALUE"""),"06 ORL")</f>
        <v>06 ORL</v>
      </c>
      <c r="O279" s="33" t="str">
        <f ca="1">IFERROR(__xludf.DUMMYFUNCTION("""COMPUTED_VALUE"""),"Dr, Ernesto Varela Martínez")</f>
        <v>Dr, Ernesto Varela Martínez</v>
      </c>
      <c r="P279" s="33" t="str">
        <f ca="1">IFERROR(__xludf.DUMMYFUNCTION("""COMPUTED_VALUE"""),"Roberto Pereira (Galicia)")</f>
        <v>Roberto Pereira (Galicia)</v>
      </c>
    </row>
    <row r="280" spans="2:16">
      <c r="B280" s="33">
        <f ca="1">IFERROR(__xludf.DUMMYFUNCTION("""COMPUTED_VALUE"""),2025)</f>
        <v>2025</v>
      </c>
      <c r="C280" s="33">
        <f ca="1">IFERROR(__xludf.DUMMYFUNCTION("""COMPUTED_VALUE"""),2)</f>
        <v>2</v>
      </c>
      <c r="D280" s="33" t="str">
        <f ca="1">IFERROR(__xludf.DUMMYFUNCTION("""COMPUTED_VALUE"""),"NO")</f>
        <v>NO</v>
      </c>
      <c r="E280" s="33" t="str">
        <f ca="1">IFERROR(__xludf.DUMMYFUNCTION("""COMPUTED_VALUE"""),"Salamanca")</f>
        <v>Salamanca</v>
      </c>
      <c r="F280" s="57">
        <f ca="1">IFERROR(__xludf.DUMMYFUNCTION("""COMPUTED_VALUE"""),45705)</f>
        <v>45705</v>
      </c>
      <c r="G280" s="57">
        <f ca="1">IFERROR(__xludf.DUMMYFUNCTION("""COMPUTED_VALUE"""),45665)</f>
        <v>45665</v>
      </c>
      <c r="H280" s="33" t="str">
        <f ca="1">IFERROR(__xludf.DUMMYFUNCTION("""COMPUTED_VALUE"""),"Salamanca")</f>
        <v>Salamanca</v>
      </c>
      <c r="I280" s="33" t="str">
        <f ca="1">IFERROR(__xludf.DUMMYFUNCTION("""COMPUTED_VALUE"""),"SLM-433")</f>
        <v>SLM-433</v>
      </c>
      <c r="J280" s="33" t="str">
        <f ca="1">IFERROR(__xludf.DUMMYFUNCTION("""COMPUTED_VALUE"""),"ANTONIO CORRAL VALLE")</f>
        <v>ANTONIO CORRAL VALLE</v>
      </c>
      <c r="K280" s="33">
        <f ca="1">IFERROR(__xludf.DUMMYFUNCTION("""COMPUTED_VALUE"""),1)</f>
        <v>1</v>
      </c>
      <c r="L280" s="203">
        <f ca="1">IFERROR(__xludf.DUMMYFUNCTION("""COMPUTED_VALUE"""),904.55)</f>
        <v>904.55</v>
      </c>
      <c r="M280" s="33" t="str">
        <f ca="1">IFERROR(__xludf.DUMMYFUNCTION("""COMPUTED_VALUE"""),"03 ORL")</f>
        <v>03 ORL</v>
      </c>
      <c r="N280" s="33" t="str">
        <f ca="1">IFERROR(__xludf.DUMMYFUNCTION("""COMPUTED_VALUE"""),"06 ORL")</f>
        <v>06 ORL</v>
      </c>
      <c r="O280" s="33" t="str">
        <f ca="1">IFERROR(__xludf.DUMMYFUNCTION("""COMPUTED_VALUE"""),"Dr, Pedro Blanco Pérez,")</f>
        <v>Dr, Pedro Blanco Pérez,</v>
      </c>
      <c r="P280" s="33" t="str">
        <f ca="1">IFERROR(__xludf.DUMMYFUNCTION("""COMPUTED_VALUE"""),"Patricia Solache (Castilla Y León)")</f>
        <v>Patricia Solache (Castilla Y León)</v>
      </c>
    </row>
    <row r="281" spans="2:16">
      <c r="B281" s="33">
        <f ca="1">IFERROR(__xludf.DUMMYFUNCTION("""COMPUTED_VALUE"""),2025)</f>
        <v>2025</v>
      </c>
      <c r="C281" s="33">
        <f ca="1">IFERROR(__xludf.DUMMYFUNCTION("""COMPUTED_VALUE"""),2)</f>
        <v>2</v>
      </c>
      <c r="D281" s="33" t="str">
        <f ca="1">IFERROR(__xludf.DUMMYFUNCTION("""COMPUTED_VALUE"""),"NO")</f>
        <v>NO</v>
      </c>
      <c r="E281" s="33" t="str">
        <f ca="1">IFERROR(__xludf.DUMMYFUNCTION("""COMPUTED_VALUE"""),"Valladolid")</f>
        <v>Valladolid</v>
      </c>
      <c r="F281" s="57">
        <f ca="1">IFERROR(__xludf.DUMMYFUNCTION("""COMPUTED_VALUE"""),45706)</f>
        <v>45706</v>
      </c>
      <c r="G281" s="57">
        <f ca="1">IFERROR(__xludf.DUMMYFUNCTION("""COMPUTED_VALUE"""),45610)</f>
        <v>45610</v>
      </c>
      <c r="H281" s="33" t="str">
        <f ca="1">IFERROR(__xludf.DUMMYFUNCTION("""COMPUTED_VALUE"""),"Valladolid")</f>
        <v>Valladolid</v>
      </c>
      <c r="I281" s="33" t="str">
        <f ca="1">IFERROR(__xludf.DUMMYFUNCTION("""COMPUTED_VALUE"""),"VLL-294")</f>
        <v>VLL-294</v>
      </c>
      <c r="J281" s="33" t="str">
        <f ca="1">IFERROR(__xludf.DUMMYFUNCTION("""COMPUTED_VALUE"""),"AURORA ARCONADA GARCIA")</f>
        <v>AURORA ARCONADA GARCIA</v>
      </c>
      <c r="K281" s="33">
        <f ca="1">IFERROR(__xludf.DUMMYFUNCTION("""COMPUTED_VALUE"""),1)</f>
        <v>1</v>
      </c>
      <c r="L281" s="203">
        <f ca="1">IFERROR(__xludf.DUMMYFUNCTION("""COMPUTED_VALUE"""),2080)</f>
        <v>2080</v>
      </c>
      <c r="M281" s="33" t="str">
        <f ca="1">IFERROR(__xludf.DUMMYFUNCTION("""COMPUTED_VALUE"""),"03 ORL")</f>
        <v>03 ORL</v>
      </c>
      <c r="N281" s="33" t="str">
        <f ca="1">IFERROR(__xludf.DUMMYFUNCTION("""COMPUTED_VALUE"""),"06 ORL")</f>
        <v>06 ORL</v>
      </c>
      <c r="O281" s="33" t="str">
        <f ca="1">IFERROR(__xludf.DUMMYFUNCTION("""COMPUTED_VALUE"""),"Dra, Nuria Mesuro Domínguez")</f>
        <v>Dra, Nuria Mesuro Domínguez</v>
      </c>
      <c r="P281" s="33" t="str">
        <f ca="1">IFERROR(__xludf.DUMMYFUNCTION("""COMPUTED_VALUE"""),"Patricia Solache (Castilla Y León)")</f>
        <v>Patricia Solache (Castilla Y León)</v>
      </c>
    </row>
    <row r="282" spans="2:16">
      <c r="B282" s="33">
        <f ca="1">IFERROR(__xludf.DUMMYFUNCTION("""COMPUTED_VALUE"""),2025)</f>
        <v>2025</v>
      </c>
      <c r="C282" s="33">
        <f ca="1">IFERROR(__xludf.DUMMYFUNCTION("""COMPUTED_VALUE"""),2)</f>
        <v>2</v>
      </c>
      <c r="D282" s="33" t="str">
        <f ca="1">IFERROR(__xludf.DUMMYFUNCTION("""COMPUTED_VALUE"""),"NO")</f>
        <v>NO</v>
      </c>
      <c r="E282" s="33" t="str">
        <f ca="1">IFERROR(__xludf.DUMMYFUNCTION("""COMPUTED_VALUE"""),"Vigo")</f>
        <v>Vigo</v>
      </c>
      <c r="F282" s="57">
        <f ca="1">IFERROR(__xludf.DUMMYFUNCTION("""COMPUTED_VALUE"""),45708)</f>
        <v>45708</v>
      </c>
      <c r="G282" s="57">
        <f ca="1">IFERROR(__xludf.DUMMYFUNCTION("""COMPUTED_VALUE"""),45666)</f>
        <v>45666</v>
      </c>
      <c r="H282" s="33" t="str">
        <f ca="1">IFERROR(__xludf.DUMMYFUNCTION("""COMPUTED_VALUE"""),"Vigo")</f>
        <v>Vigo</v>
      </c>
      <c r="I282" s="33" t="str">
        <f ca="1">IFERROR(__xludf.DUMMYFUNCTION("""COMPUTED_VALUE"""),"VIG-529")</f>
        <v>VIG-529</v>
      </c>
      <c r="J282" s="33" t="str">
        <f ca="1">IFERROR(__xludf.DUMMYFUNCTION("""COMPUTED_VALUE"""),"APOLINARIA MARTINEZ MARQUEZ")</f>
        <v>APOLINARIA MARTINEZ MARQUEZ</v>
      </c>
      <c r="K282" s="33">
        <f ca="1">IFERROR(__xludf.DUMMYFUNCTION("""COMPUTED_VALUE"""),2)</f>
        <v>2</v>
      </c>
      <c r="L282" s="203">
        <f ca="1">IFERROR(__xludf.DUMMYFUNCTION("""COMPUTED_VALUE"""),3000)</f>
        <v>3000</v>
      </c>
      <c r="M282" s="33" t="str">
        <f ca="1">IFERROR(__xludf.DUMMYFUNCTION("""COMPUTED_VALUE"""),"03 ORL")</f>
        <v>03 ORL</v>
      </c>
      <c r="N282" s="33" t="str">
        <f ca="1">IFERROR(__xludf.DUMMYFUNCTION("""COMPUTED_VALUE"""),"06 ORL")</f>
        <v>06 ORL</v>
      </c>
      <c r="O282" s="33" t="str">
        <f ca="1">IFERROR(__xludf.DUMMYFUNCTION("""COMPUTED_VALUE"""),"Dra, María Jesús González Cortes")</f>
        <v>Dra, María Jesús González Cortes</v>
      </c>
      <c r="P282" s="33" t="str">
        <f ca="1">IFERROR(__xludf.DUMMYFUNCTION("""COMPUTED_VALUE"""),"Roberto Pereira (Galicia)")</f>
        <v>Roberto Pereira (Galicia)</v>
      </c>
    </row>
    <row r="283" spans="2:16">
      <c r="B283" s="33">
        <f ca="1">IFERROR(__xludf.DUMMYFUNCTION("""COMPUTED_VALUE"""),2025)</f>
        <v>2025</v>
      </c>
      <c r="C283" s="33">
        <f ca="1">IFERROR(__xludf.DUMMYFUNCTION("""COMPUTED_VALUE"""),2)</f>
        <v>2</v>
      </c>
      <c r="D283" s="33" t="str">
        <f ca="1">IFERROR(__xludf.DUMMYFUNCTION("""COMPUTED_VALUE"""),"NO")</f>
        <v>NO</v>
      </c>
      <c r="E283" s="33" t="str">
        <f ca="1">IFERROR(__xludf.DUMMYFUNCTION("""COMPUTED_VALUE"""),"Sevilla- Ciencias")</f>
        <v>Sevilla- Ciencias</v>
      </c>
      <c r="F283" s="57">
        <f ca="1">IFERROR(__xludf.DUMMYFUNCTION("""COMPUTED_VALUE"""),45709)</f>
        <v>45709</v>
      </c>
      <c r="G283" s="57">
        <f ca="1">IFERROR(__xludf.DUMMYFUNCTION("""COMPUTED_VALUE"""),45678)</f>
        <v>45678</v>
      </c>
      <c r="H283" s="33" t="str">
        <f ca="1">IFERROR(__xludf.DUMMYFUNCTION("""COMPUTED_VALUE"""),"Sevilla Este")</f>
        <v>Sevilla Este</v>
      </c>
      <c r="I283" s="33" t="str">
        <f ca="1">IFERROR(__xludf.DUMMYFUNCTION("""COMPUTED_VALUE"""),"SEVE-354")</f>
        <v>SEVE-354</v>
      </c>
      <c r="J283" s="33" t="str">
        <f ca="1">IFERROR(__xludf.DUMMYFUNCTION("""COMPUTED_VALUE"""),"INMACULADA GARCIA PALOMO")</f>
        <v>INMACULADA GARCIA PALOMO</v>
      </c>
      <c r="K283" s="33">
        <f ca="1">IFERROR(__xludf.DUMMYFUNCTION("""COMPUTED_VALUE"""),2)</f>
        <v>2</v>
      </c>
      <c r="L283" s="203">
        <f ca="1">IFERROR(__xludf.DUMMYFUNCTION("""COMPUTED_VALUE"""),3709.09)</f>
        <v>3709.09</v>
      </c>
      <c r="M283" s="33" t="str">
        <f ca="1">IFERROR(__xludf.DUMMYFUNCTION("""COMPUTED_VALUE"""),"03 ORL")</f>
        <v>03 ORL</v>
      </c>
      <c r="N283" s="33" t="str">
        <f ca="1">IFERROR(__xludf.DUMMYFUNCTION("""COMPUTED_VALUE"""),"06 ORL")</f>
        <v>06 ORL</v>
      </c>
      <c r="O283" s="33" t="str">
        <f ca="1">IFERROR(__xludf.DUMMYFUNCTION("""COMPUTED_VALUE"""),"Dra, Mercedes Ceballos Cauto")</f>
        <v>Dra, Mercedes Ceballos Cauto</v>
      </c>
      <c r="P283" s="33" t="str">
        <f ca="1">IFERROR(__xludf.DUMMYFUNCTION("""COMPUTED_VALUE"""),"Luis Alberto Rodríguez (Andalucía Y Badajoz)")</f>
        <v>Luis Alberto Rodríguez (Andalucía Y Badajoz)</v>
      </c>
    </row>
    <row r="284" spans="2:16">
      <c r="B284" s="33">
        <f ca="1">IFERROR(__xludf.DUMMYFUNCTION("""COMPUTED_VALUE"""),2025)</f>
        <v>2025</v>
      </c>
      <c r="C284" s="33">
        <f ca="1">IFERROR(__xludf.DUMMYFUNCTION("""COMPUTED_VALUE"""),2)</f>
        <v>2</v>
      </c>
      <c r="D284" s="33" t="str">
        <f ca="1">IFERROR(__xludf.DUMMYFUNCTION("""COMPUTED_VALUE"""),"NO")</f>
        <v>NO</v>
      </c>
      <c r="E284" s="33" t="str">
        <f ca="1">IFERROR(__xludf.DUMMYFUNCTION("""COMPUTED_VALUE"""),"Zaragoza- Santander")</f>
        <v>Zaragoza- Santander</v>
      </c>
      <c r="F284" s="57">
        <f ca="1">IFERROR(__xludf.DUMMYFUNCTION("""COMPUTED_VALUE"""),45709)</f>
        <v>45709</v>
      </c>
      <c r="G284" s="57">
        <f ca="1">IFERROR(__xludf.DUMMYFUNCTION("""COMPUTED_VALUE"""),45684)</f>
        <v>45684</v>
      </c>
      <c r="H284" s="33" t="str">
        <f ca="1">IFERROR(__xludf.DUMMYFUNCTION("""COMPUTED_VALUE"""),"Zaragoza- Santander")</f>
        <v>Zaragoza- Santander</v>
      </c>
      <c r="I284" s="33" t="str">
        <f ca="1">IFERROR(__xludf.DUMMYFUNCTION("""COMPUTED_VALUE"""),"ZRZS-94")</f>
        <v>ZRZS-94</v>
      </c>
      <c r="J284" s="33" t="str">
        <f ca="1">IFERROR(__xludf.DUMMYFUNCTION("""COMPUTED_VALUE"""),"EMMA CANALS LIZANO")</f>
        <v>EMMA CANALS LIZANO</v>
      </c>
      <c r="K284" s="33">
        <f ca="1">IFERROR(__xludf.DUMMYFUNCTION("""COMPUTED_VALUE"""),2)</f>
        <v>2</v>
      </c>
      <c r="L284" s="203">
        <f ca="1">IFERROR(__xludf.DUMMYFUNCTION("""COMPUTED_VALUE"""),3090.91)</f>
        <v>3090.91</v>
      </c>
      <c r="M284" s="33" t="str">
        <f ca="1">IFERROR(__xludf.DUMMYFUNCTION("""COMPUTED_VALUE"""),"03 ORL")</f>
        <v>03 ORL</v>
      </c>
      <c r="N284" s="33" t="str">
        <f ca="1">IFERROR(__xludf.DUMMYFUNCTION("""COMPUTED_VALUE"""),"06 ORL")</f>
        <v>06 ORL</v>
      </c>
      <c r="O284" s="33" t="str">
        <f ca="1">IFERROR(__xludf.DUMMYFUNCTION("""COMPUTED_VALUE"""),"Dr, Jorge Damborenea Tajada")</f>
        <v>Dr, Jorge Damborenea Tajada</v>
      </c>
      <c r="P284" s="33" t="str">
        <f ca="1">IFERROR(__xludf.DUMMYFUNCTION("""COMPUTED_VALUE"""),"Lisandro Russian (Madrid, Cáceres, Toledo, Talavera Y Logroño)")</f>
        <v>Lisandro Russian (Madrid, Cáceres, Toledo, Talavera Y Logroño)</v>
      </c>
    </row>
    <row r="285" spans="2:16">
      <c r="B285" s="33">
        <f ca="1">IFERROR(__xludf.DUMMYFUNCTION("""COMPUTED_VALUE"""),2025)</f>
        <v>2025</v>
      </c>
      <c r="C285" s="33">
        <f ca="1">IFERROR(__xludf.DUMMYFUNCTION("""COMPUTED_VALUE"""),2)</f>
        <v>2</v>
      </c>
      <c r="D285" s="33" t="str">
        <f ca="1">IFERROR(__xludf.DUMMYFUNCTION("""COMPUTED_VALUE"""),"NO")</f>
        <v>NO</v>
      </c>
      <c r="E285" s="33" t="str">
        <f ca="1">IFERROR(__xludf.DUMMYFUNCTION("""COMPUTED_VALUE"""),"Zaragoza- Santander")</f>
        <v>Zaragoza- Santander</v>
      </c>
      <c r="F285" s="57">
        <f ca="1">IFERROR(__xludf.DUMMYFUNCTION("""COMPUTED_VALUE"""),45713)</f>
        <v>45713</v>
      </c>
      <c r="G285" s="57">
        <f ca="1">IFERROR(__xludf.DUMMYFUNCTION("""COMPUTED_VALUE"""),45688)</f>
        <v>45688</v>
      </c>
      <c r="H285" s="33" t="str">
        <f ca="1">IFERROR(__xludf.DUMMYFUNCTION("""COMPUTED_VALUE"""),"Zaragoza- Santander")</f>
        <v>Zaragoza- Santander</v>
      </c>
      <c r="I285" s="33" t="str">
        <f ca="1">IFERROR(__xludf.DUMMYFUNCTION("""COMPUTED_VALUE"""),"ZRZS-97")</f>
        <v>ZRZS-97</v>
      </c>
      <c r="J285" s="33" t="str">
        <f ca="1">IFERROR(__xludf.DUMMYFUNCTION("""COMPUTED_VALUE"""),"DANIEL LOPEZ DE ARMENTIA JIMENEZ")</f>
        <v>DANIEL LOPEZ DE ARMENTIA JIMENEZ</v>
      </c>
      <c r="K285" s="33">
        <f ca="1">IFERROR(__xludf.DUMMYFUNCTION("""COMPUTED_VALUE"""),2)</f>
        <v>2</v>
      </c>
      <c r="L285" s="203">
        <f ca="1">IFERROR(__xludf.DUMMYFUNCTION("""COMPUTED_VALUE"""),3604.55)</f>
        <v>3604.55</v>
      </c>
      <c r="M285" s="33" t="str">
        <f ca="1">IFERROR(__xludf.DUMMYFUNCTION("""COMPUTED_VALUE"""),"03 ORL")</f>
        <v>03 ORL</v>
      </c>
      <c r="N285" s="33" t="str">
        <f ca="1">IFERROR(__xludf.DUMMYFUNCTION("""COMPUTED_VALUE"""),"06 ORL")</f>
        <v>06 ORL</v>
      </c>
      <c r="O285" s="33" t="str">
        <f ca="1">IFERROR(__xludf.DUMMYFUNCTION("""COMPUTED_VALUE"""),"Dra, Noelia García García")</f>
        <v>Dra, Noelia García García</v>
      </c>
      <c r="P285" s="33" t="str">
        <f ca="1">IFERROR(__xludf.DUMMYFUNCTION("""COMPUTED_VALUE"""),"Luis Alberto Rodríguez (Andalucía Y Badajoz)")</f>
        <v>Luis Alberto Rodríguez (Andalucía Y Badajoz)</v>
      </c>
    </row>
    <row r="286" spans="2:16">
      <c r="B286" s="33">
        <f ca="1">IFERROR(__xludf.DUMMYFUNCTION("""COMPUTED_VALUE"""),2025)</f>
        <v>2025</v>
      </c>
      <c r="C286" s="33">
        <f ca="1">IFERROR(__xludf.DUMMYFUNCTION("""COMPUTED_VALUE"""),2)</f>
        <v>2</v>
      </c>
      <c r="D286" s="33" t="str">
        <f ca="1">IFERROR(__xludf.DUMMYFUNCTION("""COMPUTED_VALUE"""),"NO")</f>
        <v>NO</v>
      </c>
      <c r="E286" s="33" t="str">
        <f ca="1">IFERROR(__xludf.DUMMYFUNCTION("""COMPUTED_VALUE"""),"Zaragoza- León XIII")</f>
        <v>Zaragoza- León XIII</v>
      </c>
      <c r="F286" s="57">
        <f ca="1">IFERROR(__xludf.DUMMYFUNCTION("""COMPUTED_VALUE"""),45713)</f>
        <v>45713</v>
      </c>
      <c r="G286" s="57">
        <f ca="1">IFERROR(__xludf.DUMMYFUNCTION("""COMPUTED_VALUE"""),45692)</f>
        <v>45692</v>
      </c>
      <c r="H286" s="33" t="str">
        <f ca="1">IFERROR(__xludf.DUMMYFUNCTION("""COMPUTED_VALUE"""),"Zaragoza")</f>
        <v>Zaragoza</v>
      </c>
      <c r="I286" s="33" t="str">
        <f ca="1">IFERROR(__xludf.DUMMYFUNCTION("""COMPUTED_VALUE"""),"ZRG-573")</f>
        <v>ZRG-573</v>
      </c>
      <c r="J286" s="33" t="str">
        <f ca="1">IFERROR(__xludf.DUMMYFUNCTION("""COMPUTED_VALUE"""),"NATIVIDAD HUGUET SERRANO")</f>
        <v>NATIVIDAD HUGUET SERRANO</v>
      </c>
      <c r="K286" s="33">
        <f ca="1">IFERROR(__xludf.DUMMYFUNCTION("""COMPUTED_VALUE"""),2)</f>
        <v>2</v>
      </c>
      <c r="L286" s="203">
        <f ca="1">IFERROR(__xludf.DUMMYFUNCTION("""COMPUTED_VALUE"""),3627.27)</f>
        <v>3627.27</v>
      </c>
      <c r="M286" s="33" t="str">
        <f ca="1">IFERROR(__xludf.DUMMYFUNCTION("""COMPUTED_VALUE"""),"03 ORL")</f>
        <v>03 ORL</v>
      </c>
      <c r="N286" s="33" t="str">
        <f ca="1">IFERROR(__xludf.DUMMYFUNCTION("""COMPUTED_VALUE"""),"06 ORL")</f>
        <v>06 ORL</v>
      </c>
      <c r="O286" s="33" t="str">
        <f ca="1">IFERROR(__xludf.DUMMYFUNCTION("""COMPUTED_VALUE"""),"Dr, Jorge Damborenea Tajada")</f>
        <v>Dr, Jorge Damborenea Tajada</v>
      </c>
      <c r="P286" s="33" t="str">
        <f ca="1">IFERROR(__xludf.DUMMYFUNCTION("""COMPUTED_VALUE"""),"Lisandro Russian (Madrid, Cáceres, Toledo, Talavera Y Logroño)")</f>
        <v>Lisandro Russian (Madrid, Cáceres, Toledo, Talavera Y Logroño)</v>
      </c>
    </row>
    <row r="287" spans="2:16">
      <c r="B287" s="33">
        <f ca="1">IFERROR(__xludf.DUMMYFUNCTION("""COMPUTED_VALUE"""),2025)</f>
        <v>2025</v>
      </c>
      <c r="C287" s="33">
        <f ca="1">IFERROR(__xludf.DUMMYFUNCTION("""COMPUTED_VALUE"""),2)</f>
        <v>2</v>
      </c>
      <c r="D287" s="33" t="str">
        <f ca="1">IFERROR(__xludf.DUMMYFUNCTION("""COMPUTED_VALUE"""),"NO")</f>
        <v>NO</v>
      </c>
      <c r="E287" s="33" t="str">
        <f ca="1">IFERROR(__xludf.DUMMYFUNCTION("""COMPUTED_VALUE"""),"Badajoz")</f>
        <v>Badajoz</v>
      </c>
      <c r="F287" s="57">
        <f ca="1">IFERROR(__xludf.DUMMYFUNCTION("""COMPUTED_VALUE"""),45714)</f>
        <v>45714</v>
      </c>
      <c r="G287" s="57">
        <f ca="1">IFERROR(__xludf.DUMMYFUNCTION("""COMPUTED_VALUE"""),45674)</f>
        <v>45674</v>
      </c>
      <c r="H287" s="33" t="str">
        <f ca="1">IFERROR(__xludf.DUMMYFUNCTION("""COMPUTED_VALUE"""),"Badajoz")</f>
        <v>Badajoz</v>
      </c>
      <c r="I287" s="33" t="str">
        <f ca="1">IFERROR(__xludf.DUMMYFUNCTION("""COMPUTED_VALUE"""),"BJZE-2455")</f>
        <v>BJZE-2455</v>
      </c>
      <c r="J287" s="33" t="str">
        <f ca="1">IFERROR(__xludf.DUMMYFUNCTION("""COMPUTED_VALUE"""),"EUGENIO CADENAS GUERRERO")</f>
        <v>EUGENIO CADENAS GUERRERO</v>
      </c>
      <c r="K287" s="33">
        <f ca="1">IFERROR(__xludf.DUMMYFUNCTION("""COMPUTED_VALUE"""),2)</f>
        <v>2</v>
      </c>
      <c r="L287" s="203">
        <f ca="1">IFERROR(__xludf.DUMMYFUNCTION("""COMPUTED_VALUE"""),3636.36)</f>
        <v>3636.36</v>
      </c>
      <c r="M287" s="33" t="str">
        <f ca="1">IFERROR(__xludf.DUMMYFUNCTION("""COMPUTED_VALUE"""),"03 ORL")</f>
        <v>03 ORL</v>
      </c>
      <c r="N287" s="33" t="str">
        <f ca="1">IFERROR(__xludf.DUMMYFUNCTION("""COMPUTED_VALUE"""),"06 ORL")</f>
        <v>06 ORL</v>
      </c>
      <c r="O287" s="33" t="str">
        <f ca="1">IFERROR(__xludf.DUMMYFUNCTION("""COMPUTED_VALUE"""),"Dr, Isidoro Rubio Correa")</f>
        <v>Dr, Isidoro Rubio Correa</v>
      </c>
      <c r="P287" s="33" t="str">
        <f ca="1">IFERROR(__xludf.DUMMYFUNCTION("""COMPUTED_VALUE"""),"Luis Alberto Rodríguez (Andalucía Y Badajoz)")</f>
        <v>Luis Alberto Rodríguez (Andalucía Y Badajoz)</v>
      </c>
    </row>
    <row r="288" spans="2:16">
      <c r="B288" s="33">
        <f ca="1">IFERROR(__xludf.DUMMYFUNCTION("""COMPUTED_VALUE"""),2025)</f>
        <v>2025</v>
      </c>
      <c r="C288" s="33">
        <f ca="1">IFERROR(__xludf.DUMMYFUNCTION("""COMPUTED_VALUE"""),2)</f>
        <v>2</v>
      </c>
      <c r="D288" s="33" t="str">
        <f ca="1">IFERROR(__xludf.DUMMYFUNCTION("""COMPUTED_VALUE"""),"NO")</f>
        <v>NO</v>
      </c>
      <c r="E288" s="33" t="str">
        <f ca="1">IFERROR(__xludf.DUMMYFUNCTION("""COMPUTED_VALUE"""),"Cáceres")</f>
        <v>Cáceres</v>
      </c>
      <c r="F288" s="57">
        <f ca="1">IFERROR(__xludf.DUMMYFUNCTION("""COMPUTED_VALUE"""),45714)</f>
        <v>45714</v>
      </c>
      <c r="G288" s="57">
        <f ca="1">IFERROR(__xludf.DUMMYFUNCTION("""COMPUTED_VALUE"""),45685)</f>
        <v>45685</v>
      </c>
      <c r="H288" s="33" t="str">
        <f ca="1">IFERROR(__xludf.DUMMYFUNCTION("""COMPUTED_VALUE"""),"Cáceres")</f>
        <v>Cáceres</v>
      </c>
      <c r="I288" s="33" t="str">
        <f ca="1">IFERROR(__xludf.DUMMYFUNCTION("""COMPUTED_VALUE"""),"CAC-228")</f>
        <v>CAC-228</v>
      </c>
      <c r="J288" s="33" t="str">
        <f ca="1">IFERROR(__xludf.DUMMYFUNCTION("""COMPUTED_VALUE"""),"MERCEDES SIMON SUSAÑO")</f>
        <v>MERCEDES SIMON SUSAÑO</v>
      </c>
      <c r="K288" s="33">
        <f ca="1">IFERROR(__xludf.DUMMYFUNCTION("""COMPUTED_VALUE"""),2)</f>
        <v>2</v>
      </c>
      <c r="L288" s="203">
        <f ca="1">IFERROR(__xludf.DUMMYFUNCTION("""COMPUTED_VALUE"""),4000)</f>
        <v>4000</v>
      </c>
      <c r="M288" s="33" t="str">
        <f ca="1">IFERROR(__xludf.DUMMYFUNCTION("""COMPUTED_VALUE"""),"03 ORL")</f>
        <v>03 ORL</v>
      </c>
      <c r="N288" s="33" t="str">
        <f ca="1">IFERROR(__xludf.DUMMYFUNCTION("""COMPUTED_VALUE"""),"06 ORL")</f>
        <v>06 ORL</v>
      </c>
      <c r="O288" s="33" t="str">
        <f ca="1">IFERROR(__xludf.DUMMYFUNCTION("""COMPUTED_VALUE"""),"Dr, Manuel Cañete Domínguez")</f>
        <v>Dr, Manuel Cañete Domínguez</v>
      </c>
      <c r="P288" s="33" t="str">
        <f ca="1">IFERROR(__xludf.DUMMYFUNCTION("""COMPUTED_VALUE"""),"Lisandro Russian (Madrid, Cáceres, Toledo, Talavera Y Logroño)")</f>
        <v>Lisandro Russian (Madrid, Cáceres, Toledo, Talavera Y Logroño)</v>
      </c>
    </row>
    <row r="289" spans="2:16">
      <c r="B289" s="33">
        <f ca="1">IFERROR(__xludf.DUMMYFUNCTION("""COMPUTED_VALUE"""),2025)</f>
        <v>2025</v>
      </c>
      <c r="C289" s="33">
        <f ca="1">IFERROR(__xludf.DUMMYFUNCTION("""COMPUTED_VALUE"""),2)</f>
        <v>2</v>
      </c>
      <c r="D289" s="33" t="str">
        <f ca="1">IFERROR(__xludf.DUMMYFUNCTION("""COMPUTED_VALUE"""),"NO")</f>
        <v>NO</v>
      </c>
      <c r="E289" s="33" t="str">
        <f ca="1">IFERROR(__xludf.DUMMYFUNCTION("""COMPUTED_VALUE"""),"Culleredo")</f>
        <v>Culleredo</v>
      </c>
      <c r="F289" s="57">
        <f ca="1">IFERROR(__xludf.DUMMYFUNCTION("""COMPUTED_VALUE"""),45714)</f>
        <v>45714</v>
      </c>
      <c r="G289" s="57">
        <f ca="1">IFERROR(__xludf.DUMMYFUNCTION("""COMPUTED_VALUE"""),45698)</f>
        <v>45698</v>
      </c>
      <c r="H289" s="33" t="str">
        <f ca="1">IFERROR(__xludf.DUMMYFUNCTION("""COMPUTED_VALUE"""),"Culleredo")</f>
        <v>Culleredo</v>
      </c>
      <c r="I289" s="33" t="str">
        <f ca="1">IFERROR(__xludf.DUMMYFUNCTION("""COMPUTED_VALUE"""),"CULL-163")</f>
        <v>CULL-163</v>
      </c>
      <c r="J289" s="33" t="str">
        <f ca="1">IFERROR(__xludf.DUMMYFUNCTION("""COMPUTED_VALUE"""),"MARIA SANCHEZ IGLESIAS")</f>
        <v>MARIA SANCHEZ IGLESIAS</v>
      </c>
      <c r="K289" s="33">
        <f ca="1">IFERROR(__xludf.DUMMYFUNCTION("""COMPUTED_VALUE"""),1)</f>
        <v>1</v>
      </c>
      <c r="L289" s="203">
        <f ca="1">IFERROR(__xludf.DUMMYFUNCTION("""COMPUTED_VALUE"""),1390.91)</f>
        <v>1390.91</v>
      </c>
      <c r="M289" s="33" t="str">
        <f ca="1">IFERROR(__xludf.DUMMYFUNCTION("""COMPUTED_VALUE"""),"03 ORL")</f>
        <v>03 ORL</v>
      </c>
      <c r="N289" s="33" t="str">
        <f ca="1">IFERROR(__xludf.DUMMYFUNCTION("""COMPUTED_VALUE"""),"06 ORL")</f>
        <v>06 ORL</v>
      </c>
      <c r="O289" s="33" t="str">
        <f ca="1">IFERROR(__xludf.DUMMYFUNCTION("""COMPUTED_VALUE"""),"Dra, Mercedes Álvarez-Buylla Blanco")</f>
        <v>Dra, Mercedes Álvarez-Buylla Blanco</v>
      </c>
      <c r="P289" s="33" t="str">
        <f ca="1">IFERROR(__xludf.DUMMYFUNCTION("""COMPUTED_VALUE"""),"Roberto Pereira (Galicia)")</f>
        <v>Roberto Pereira (Galicia)</v>
      </c>
    </row>
    <row r="290" spans="2:16">
      <c r="B290" s="33">
        <f ca="1">IFERROR(__xludf.DUMMYFUNCTION("""COMPUTED_VALUE"""),2025)</f>
        <v>2025</v>
      </c>
      <c r="C290" s="33">
        <f ca="1">IFERROR(__xludf.DUMMYFUNCTION("""COMPUTED_VALUE"""),2)</f>
        <v>2</v>
      </c>
      <c r="D290" s="33" t="str">
        <f ca="1">IFERROR(__xludf.DUMMYFUNCTION("""COMPUTED_VALUE"""),"NO")</f>
        <v>NO</v>
      </c>
      <c r="E290" s="33" t="str">
        <f ca="1">IFERROR(__xludf.DUMMYFUNCTION("""COMPUTED_VALUE"""),"Sevilla- Ciencias")</f>
        <v>Sevilla- Ciencias</v>
      </c>
      <c r="F290" s="57">
        <f ca="1">IFERROR(__xludf.DUMMYFUNCTION("""COMPUTED_VALUE"""),45715)</f>
        <v>45715</v>
      </c>
      <c r="G290" s="57">
        <f ca="1">IFERROR(__xludf.DUMMYFUNCTION("""COMPUTED_VALUE"""),45636)</f>
        <v>45636</v>
      </c>
      <c r="H290" s="33" t="str">
        <f ca="1">IFERROR(__xludf.DUMMYFUNCTION("""COMPUTED_VALUE"""),"Sevilla Este")</f>
        <v>Sevilla Este</v>
      </c>
      <c r="I290" s="33" t="str">
        <f ca="1">IFERROR(__xludf.DUMMYFUNCTION("""COMPUTED_VALUE"""),"SEVE-337")</f>
        <v>SEVE-337</v>
      </c>
      <c r="J290" s="33" t="str">
        <f ca="1">IFERROR(__xludf.DUMMYFUNCTION("""COMPUTED_VALUE"""),"JUANA PEREJON MOLIN")</f>
        <v>JUANA PEREJON MOLIN</v>
      </c>
      <c r="K290" s="33">
        <f ca="1">IFERROR(__xludf.DUMMYFUNCTION("""COMPUTED_VALUE"""),2)</f>
        <v>2</v>
      </c>
      <c r="L290" s="203">
        <f ca="1">IFERROR(__xludf.DUMMYFUNCTION("""COMPUTED_VALUE"""),4000.13)</f>
        <v>4000.13</v>
      </c>
      <c r="M290" s="33" t="str">
        <f ca="1">IFERROR(__xludf.DUMMYFUNCTION("""COMPUTED_VALUE"""),"03 ORL")</f>
        <v>03 ORL</v>
      </c>
      <c r="N290" s="33" t="str">
        <f ca="1">IFERROR(__xludf.DUMMYFUNCTION("""COMPUTED_VALUE"""),"06 ORL")</f>
        <v>06 ORL</v>
      </c>
      <c r="O290" s="33" t="str">
        <f ca="1">IFERROR(__xludf.DUMMYFUNCTION("""COMPUTED_VALUE"""),"Dra, Estefanía Berrocal Postigo")</f>
        <v>Dra, Estefanía Berrocal Postigo</v>
      </c>
      <c r="P290" s="33" t="str">
        <f ca="1">IFERROR(__xludf.DUMMYFUNCTION("""COMPUTED_VALUE"""),"Luis Alberto Rodríguez (Andalucía Y Badajoz)")</f>
        <v>Luis Alberto Rodríguez (Andalucía Y Badajoz)</v>
      </c>
    </row>
    <row r="291" spans="2:16">
      <c r="B291" s="33">
        <f ca="1">IFERROR(__xludf.DUMMYFUNCTION("""COMPUTED_VALUE"""),2025)</f>
        <v>2025</v>
      </c>
      <c r="C291" s="33">
        <f ca="1">IFERROR(__xludf.DUMMYFUNCTION("""COMPUTED_VALUE"""),2)</f>
        <v>2</v>
      </c>
      <c r="D291" s="33" t="str">
        <f ca="1">IFERROR(__xludf.DUMMYFUNCTION("""COMPUTED_VALUE"""),"NO")</f>
        <v>NO</v>
      </c>
      <c r="E291" s="33" t="str">
        <f ca="1">IFERROR(__xludf.DUMMYFUNCTION("""COMPUTED_VALUE"""),"Cáceres")</f>
        <v>Cáceres</v>
      </c>
      <c r="F291" s="57">
        <f ca="1">IFERROR(__xludf.DUMMYFUNCTION("""COMPUTED_VALUE"""),45715)</f>
        <v>45715</v>
      </c>
      <c r="G291" s="57">
        <f ca="1">IFERROR(__xludf.DUMMYFUNCTION("""COMPUTED_VALUE"""),45643)</f>
        <v>45643</v>
      </c>
      <c r="H291" s="33" t="str">
        <f ca="1">IFERROR(__xludf.DUMMYFUNCTION("""COMPUTED_VALUE"""),"Cáceres")</f>
        <v>Cáceres</v>
      </c>
      <c r="I291" s="33" t="str">
        <f ca="1">IFERROR(__xludf.DUMMYFUNCTION("""COMPUTED_VALUE"""),"CAC-214")</f>
        <v>CAC-214</v>
      </c>
      <c r="J291" s="33" t="str">
        <f ca="1">IFERROR(__xludf.DUMMYFUNCTION("""COMPUTED_VALUE"""),"ANGELITA SANTOS CORCHADO")</f>
        <v>ANGELITA SANTOS CORCHADO</v>
      </c>
      <c r="K291" s="33">
        <f ca="1">IFERROR(__xludf.DUMMYFUNCTION("""COMPUTED_VALUE"""),2)</f>
        <v>2</v>
      </c>
      <c r="L291" s="203">
        <f ca="1">IFERROR(__xludf.DUMMYFUNCTION("""COMPUTED_VALUE"""),4400)</f>
        <v>4400</v>
      </c>
      <c r="M291" s="33" t="str">
        <f ca="1">IFERROR(__xludf.DUMMYFUNCTION("""COMPUTED_VALUE"""),"03 ORL")</f>
        <v>03 ORL</v>
      </c>
      <c r="N291" s="33" t="str">
        <f ca="1">IFERROR(__xludf.DUMMYFUNCTION("""COMPUTED_VALUE"""),"06 ORL")</f>
        <v>06 ORL</v>
      </c>
      <c r="O291" s="33" t="str">
        <f ca="1">IFERROR(__xludf.DUMMYFUNCTION("""COMPUTED_VALUE"""),"Dr, Raed Maqued El Maqued")</f>
        <v>Dr, Raed Maqued El Maqued</v>
      </c>
      <c r="P291" s="33" t="str">
        <f ca="1">IFERROR(__xludf.DUMMYFUNCTION("""COMPUTED_VALUE"""),"Lisandro Russian (Madrid, Cáceres, Toledo, Talavera Y Logroño)")</f>
        <v>Lisandro Russian (Madrid, Cáceres, Toledo, Talavera Y Logroño)</v>
      </c>
    </row>
    <row r="292" spans="2:16">
      <c r="B292" s="33">
        <f ca="1">IFERROR(__xludf.DUMMYFUNCTION("""COMPUTED_VALUE"""),2025)</f>
        <v>2025</v>
      </c>
      <c r="C292" s="33">
        <f ca="1">IFERROR(__xludf.DUMMYFUNCTION("""COMPUTED_VALUE"""),2)</f>
        <v>2</v>
      </c>
      <c r="D292" s="33" t="str">
        <f ca="1">IFERROR(__xludf.DUMMYFUNCTION("""COMPUTED_VALUE"""),"NO")</f>
        <v>NO</v>
      </c>
      <c r="E292" s="33" t="str">
        <f ca="1">IFERROR(__xludf.DUMMYFUNCTION("""COMPUTED_VALUE"""),"Salamanca")</f>
        <v>Salamanca</v>
      </c>
      <c r="F292" s="57">
        <f ca="1">IFERROR(__xludf.DUMMYFUNCTION("""COMPUTED_VALUE"""),45715)</f>
        <v>45715</v>
      </c>
      <c r="G292" s="57">
        <f ca="1">IFERROR(__xludf.DUMMYFUNCTION("""COMPUTED_VALUE"""),45667)</f>
        <v>45667</v>
      </c>
      <c r="H292" s="33" t="str">
        <f ca="1">IFERROR(__xludf.DUMMYFUNCTION("""COMPUTED_VALUE"""),"Salamanca")</f>
        <v>Salamanca</v>
      </c>
      <c r="I292" s="33" t="str">
        <f ca="1">IFERROR(__xludf.DUMMYFUNCTION("""COMPUTED_VALUE"""),"SLM-437")</f>
        <v>SLM-437</v>
      </c>
      <c r="J292" s="33" t="str">
        <f ca="1">IFERROR(__xludf.DUMMYFUNCTION("""COMPUTED_VALUE"""),"MARIA ALSIRA RODRIGUEZ GARCIA")</f>
        <v>MARIA ALSIRA RODRIGUEZ GARCIA</v>
      </c>
      <c r="K292" s="33">
        <f ca="1">IFERROR(__xludf.DUMMYFUNCTION("""COMPUTED_VALUE"""),2)</f>
        <v>2</v>
      </c>
      <c r="L292" s="203">
        <f ca="1">IFERROR(__xludf.DUMMYFUNCTION("""COMPUTED_VALUE"""),3604.55)</f>
        <v>3604.55</v>
      </c>
      <c r="M292" s="33" t="str">
        <f ca="1">IFERROR(__xludf.DUMMYFUNCTION("""COMPUTED_VALUE"""),"03 ORL")</f>
        <v>03 ORL</v>
      </c>
      <c r="N292" s="33" t="str">
        <f ca="1">IFERROR(__xludf.DUMMYFUNCTION("""COMPUTED_VALUE"""),"06 ORL")</f>
        <v>06 ORL</v>
      </c>
      <c r="O292" s="33" t="str">
        <f ca="1">IFERROR(__xludf.DUMMYFUNCTION("""COMPUTED_VALUE"""),"Dr, María Jesús Cornejo Domínguez")</f>
        <v>Dr, María Jesús Cornejo Domínguez</v>
      </c>
      <c r="P292" s="33" t="str">
        <f ca="1">IFERROR(__xludf.DUMMYFUNCTION("""COMPUTED_VALUE"""),"Patricia Solache (Castilla Y León)")</f>
        <v>Patricia Solache (Castilla Y León)</v>
      </c>
    </row>
    <row r="293" spans="2:16">
      <c r="B293" s="33">
        <f ca="1">IFERROR(__xludf.DUMMYFUNCTION("""COMPUTED_VALUE"""),2025)</f>
        <v>2025</v>
      </c>
      <c r="C293" s="33">
        <f ca="1">IFERROR(__xludf.DUMMYFUNCTION("""COMPUTED_VALUE"""),2)</f>
        <v>2</v>
      </c>
      <c r="D293" s="33" t="str">
        <f ca="1">IFERROR(__xludf.DUMMYFUNCTION("""COMPUTED_VALUE"""),"NO")</f>
        <v>NO</v>
      </c>
      <c r="E293" s="33" t="str">
        <f ca="1">IFERROR(__xludf.DUMMYFUNCTION("""COMPUTED_VALUE"""),"Badajoz")</f>
        <v>Badajoz</v>
      </c>
      <c r="F293" s="57">
        <f ca="1">IFERROR(__xludf.DUMMYFUNCTION("""COMPUTED_VALUE"""),45716)</f>
        <v>45716</v>
      </c>
      <c r="G293" s="57">
        <f ca="1">IFERROR(__xludf.DUMMYFUNCTION("""COMPUTED_VALUE"""),45645)</f>
        <v>45645</v>
      </c>
      <c r="H293" s="33" t="str">
        <f ca="1">IFERROR(__xludf.DUMMYFUNCTION("""COMPUTED_VALUE"""),"Badajoz")</f>
        <v>Badajoz</v>
      </c>
      <c r="I293" s="33" t="str">
        <f ca="1">IFERROR(__xludf.DUMMYFUNCTION("""COMPUTED_VALUE"""),"BJZE-2450")</f>
        <v>BJZE-2450</v>
      </c>
      <c r="J293" s="33" t="str">
        <f ca="1">IFERROR(__xludf.DUMMYFUNCTION("""COMPUTED_VALUE"""),"GUSTAVO ARROYO IZARRA")</f>
        <v>GUSTAVO ARROYO IZARRA</v>
      </c>
      <c r="K293" s="33">
        <f ca="1">IFERROR(__xludf.DUMMYFUNCTION("""COMPUTED_VALUE"""),2)</f>
        <v>2</v>
      </c>
      <c r="L293" s="203">
        <f ca="1">IFERROR(__xludf.DUMMYFUNCTION("""COMPUTED_VALUE"""),3181.82)</f>
        <v>3181.82</v>
      </c>
      <c r="M293" s="33" t="str">
        <f ca="1">IFERROR(__xludf.DUMMYFUNCTION("""COMPUTED_VALUE"""),"03 ORL")</f>
        <v>03 ORL</v>
      </c>
      <c r="N293" s="33" t="str">
        <f ca="1">IFERROR(__xludf.DUMMYFUNCTION("""COMPUTED_VALUE"""),"06 ORL")</f>
        <v>06 ORL</v>
      </c>
      <c r="O293" s="33" t="str">
        <f ca="1">IFERROR(__xludf.DUMMYFUNCTION("""COMPUTED_VALUE"""),"Dr, Isidoro Rubio Correa")</f>
        <v>Dr, Isidoro Rubio Correa</v>
      </c>
      <c r="P293" s="33" t="str">
        <f ca="1">IFERROR(__xludf.DUMMYFUNCTION("""COMPUTED_VALUE"""),"Luis Alberto Rodríguez (Andalucía Y Badajoz)")</f>
        <v>Luis Alberto Rodríguez (Andalucía Y Badajoz)</v>
      </c>
    </row>
    <row r="294" spans="2:16">
      <c r="B294" s="33">
        <f ca="1">IFERROR(__xludf.DUMMYFUNCTION("""COMPUTED_VALUE"""),2025)</f>
        <v>2025</v>
      </c>
      <c r="C294" s="33">
        <f ca="1">IFERROR(__xludf.DUMMYFUNCTION("""COMPUTED_VALUE"""),2)</f>
        <v>2</v>
      </c>
      <c r="D294" s="33" t="str">
        <f ca="1">IFERROR(__xludf.DUMMYFUNCTION("""COMPUTED_VALUE"""),"NO")</f>
        <v>NO</v>
      </c>
      <c r="E294" s="33" t="str">
        <f ca="1">IFERROR(__xludf.DUMMYFUNCTION("""COMPUTED_VALUE"""),"Culleredo")</f>
        <v>Culleredo</v>
      </c>
      <c r="F294" s="57">
        <f ca="1">IFERROR(__xludf.DUMMYFUNCTION("""COMPUTED_VALUE"""),45716)</f>
        <v>45716</v>
      </c>
      <c r="G294" s="57">
        <f ca="1">IFERROR(__xludf.DUMMYFUNCTION("""COMPUTED_VALUE"""),45652)</f>
        <v>45652</v>
      </c>
      <c r="H294" s="33" t="str">
        <f ca="1">IFERROR(__xludf.DUMMYFUNCTION("""COMPUTED_VALUE"""),"Culleredo")</f>
        <v>Culleredo</v>
      </c>
      <c r="I294" s="33" t="str">
        <f ca="1">IFERROR(__xludf.DUMMYFUNCTION("""COMPUTED_VALUE"""),"CULL-141")</f>
        <v>CULL-141</v>
      </c>
      <c r="J294" s="33" t="str">
        <f ca="1">IFERROR(__xludf.DUMMYFUNCTION("""COMPUTED_VALUE"""),"VERONICA SUAREZ HERNANDEZ")</f>
        <v>VERONICA SUAREZ HERNANDEZ</v>
      </c>
      <c r="K294" s="33">
        <f ca="1">IFERROR(__xludf.DUMMYFUNCTION("""COMPUTED_VALUE"""),2)</f>
        <v>2</v>
      </c>
      <c r="L294" s="203">
        <f ca="1">IFERROR(__xludf.DUMMYFUNCTION("""COMPUTED_VALUE"""),1818.18)</f>
        <v>1818.18</v>
      </c>
      <c r="M294" s="33" t="str">
        <f ca="1">IFERROR(__xludf.DUMMYFUNCTION("""COMPUTED_VALUE"""),"03 ORL")</f>
        <v>03 ORL</v>
      </c>
      <c r="N294" s="33" t="str">
        <f ca="1">IFERROR(__xludf.DUMMYFUNCTION("""COMPUTED_VALUE"""),"06 ORL")</f>
        <v>06 ORL</v>
      </c>
      <c r="O294" s="33" t="str">
        <f ca="1">IFERROR(__xludf.DUMMYFUNCTION("""COMPUTED_VALUE"""),"Dr, José Eugenio Estrada Gromaz")</f>
        <v>Dr, José Eugenio Estrada Gromaz</v>
      </c>
      <c r="P294" s="33" t="str">
        <f ca="1">IFERROR(__xludf.DUMMYFUNCTION("""COMPUTED_VALUE"""),"Roberto Pereira (Galicia)")</f>
        <v>Roberto Pereira (Galicia)</v>
      </c>
    </row>
    <row r="295" spans="2:16">
      <c r="B295" s="33">
        <f ca="1">IFERROR(__xludf.DUMMYFUNCTION("""COMPUTED_VALUE"""),2025)</f>
        <v>2025</v>
      </c>
      <c r="C295" s="33">
        <f ca="1">IFERROR(__xludf.DUMMYFUNCTION("""COMPUTED_VALUE"""),3)</f>
        <v>3</v>
      </c>
      <c r="D295" s="33" t="str">
        <f ca="1">IFERROR(__xludf.DUMMYFUNCTION("""COMPUTED_VALUE"""),"NO")</f>
        <v>NO</v>
      </c>
      <c r="E295" s="33" t="str">
        <f ca="1">IFERROR(__xludf.DUMMYFUNCTION("""COMPUTED_VALUE"""),"Murcia")</f>
        <v>Murcia</v>
      </c>
      <c r="F295" s="57">
        <f ca="1">IFERROR(__xludf.DUMMYFUNCTION("""COMPUTED_VALUE"""),45719)</f>
        <v>45719</v>
      </c>
      <c r="G295" s="57">
        <f ca="1">IFERROR(__xludf.DUMMYFUNCTION("""COMPUTED_VALUE"""),45693)</f>
        <v>45693</v>
      </c>
      <c r="H295" s="33" t="str">
        <f ca="1">IFERROR(__xludf.DUMMYFUNCTION("""COMPUTED_VALUE"""),"Murcia")</f>
        <v>Murcia</v>
      </c>
      <c r="I295" s="33" t="str">
        <f ca="1">IFERROR(__xludf.DUMMYFUNCTION("""COMPUTED_VALUE"""),"C202525165642897")</f>
        <v>C202525165642897</v>
      </c>
      <c r="J295" s="33" t="str">
        <f ca="1">IFERROR(__xludf.DUMMYFUNCTION("""COMPUTED_VALUE"""),"MERCEDES LLANES PANALES")</f>
        <v>MERCEDES LLANES PANALES</v>
      </c>
      <c r="K295" s="33">
        <f ca="1">IFERROR(__xludf.DUMMYFUNCTION("""COMPUTED_VALUE"""),2)</f>
        <v>2</v>
      </c>
      <c r="L295" s="203">
        <f ca="1">IFERROR(__xludf.DUMMYFUNCTION("""COMPUTED_VALUE"""),4400)</f>
        <v>4400</v>
      </c>
      <c r="M295" s="33" t="str">
        <f ca="1">IFERROR(__xludf.DUMMYFUNCTION("""COMPUTED_VALUE"""),"01 MARKETING ON LINE")</f>
        <v>01 MARKETING ON LINE</v>
      </c>
      <c r="N295" s="33" t="str">
        <f ca="1">IFERROR(__xludf.DUMMYFUNCTION("""COMPUTED_VALUE"""),"04 AUDIFONO,ES")</f>
        <v>04 AUDIFONO,ES</v>
      </c>
      <c r="O295" s="33" t="str">
        <f ca="1">IFERROR(__xludf.DUMMYFUNCTION("""COMPUTED_VALUE"""),"Dr, Jesús Miguel Iniesta Turpín")</f>
        <v>Dr, Jesús Miguel Iniesta Turpín</v>
      </c>
      <c r="P295" s="33" t="str">
        <f ca="1">IFERROR(__xludf.DUMMYFUNCTION("""COMPUTED_VALUE"""),"Iván Sánchez (Levante Y Albacete)")</f>
        <v>Iván Sánchez (Levante Y Albacete)</v>
      </c>
    </row>
    <row r="296" spans="2:16">
      <c r="B296" s="33">
        <f ca="1">IFERROR(__xludf.DUMMYFUNCTION("""COMPUTED_VALUE"""),2025)</f>
        <v>2025</v>
      </c>
      <c r="C296" s="33">
        <f ca="1">IFERROR(__xludf.DUMMYFUNCTION("""COMPUTED_VALUE"""),3)</f>
        <v>3</v>
      </c>
      <c r="D296" s="33" t="str">
        <f ca="1">IFERROR(__xludf.DUMMYFUNCTION("""COMPUTED_VALUE"""),"NO")</f>
        <v>NO</v>
      </c>
      <c r="E296" s="33" t="str">
        <f ca="1">IFERROR(__xludf.DUMMYFUNCTION("""COMPUTED_VALUE"""),"Valencia- Cádiz")</f>
        <v>Valencia- Cádiz</v>
      </c>
      <c r="F296" s="57">
        <f ca="1">IFERROR(__xludf.DUMMYFUNCTION("""COMPUTED_VALUE"""),45719)</f>
        <v>45719</v>
      </c>
      <c r="G296" s="57">
        <f ca="1">IFERROR(__xludf.DUMMYFUNCTION("""COMPUTED_VALUE"""),45698)</f>
        <v>45698</v>
      </c>
      <c r="H296" s="33" t="str">
        <f ca="1">IFERROR(__xludf.DUMMYFUNCTION("""COMPUTED_VALUE"""),"Valencia- Cádiz")</f>
        <v>Valencia- Cádiz</v>
      </c>
      <c r="I296" s="33" t="str">
        <f ca="1">IFERROR(__xludf.DUMMYFUNCTION("""COMPUTED_VALUE"""),"C202521310132286")</f>
        <v>C202521310132286</v>
      </c>
      <c r="J296" s="33" t="str">
        <f ca="1">IFERROR(__xludf.DUMMYFUNCTION("""COMPUTED_VALUE"""),"MIGUEL GOMEZ CLARAMUNT")</f>
        <v>MIGUEL GOMEZ CLARAMUNT</v>
      </c>
      <c r="K296" s="33">
        <f ca="1">IFERROR(__xludf.DUMMYFUNCTION("""COMPUTED_VALUE"""),1)</f>
        <v>1</v>
      </c>
      <c r="L296" s="203">
        <f ca="1">IFERROR(__xludf.DUMMYFUNCTION("""COMPUTED_VALUE"""),2226.36)</f>
        <v>2226.36</v>
      </c>
      <c r="M296" s="33" t="str">
        <f ca="1">IFERROR(__xludf.DUMMYFUNCTION("""COMPUTED_VALUE"""),"03 ORL")</f>
        <v>03 ORL</v>
      </c>
      <c r="N296" s="33" t="str">
        <f ca="1">IFERROR(__xludf.DUMMYFUNCTION("""COMPUTED_VALUE"""),"06 ORL")</f>
        <v>06 ORL</v>
      </c>
      <c r="O296" s="33" t="str">
        <f ca="1">IFERROR(__xludf.DUMMYFUNCTION("""COMPUTED_VALUE"""),"Dr, Agustín Campos Catalá")</f>
        <v>Dr, Agustín Campos Catalá</v>
      </c>
      <c r="P296" s="33" t="str">
        <f ca="1">IFERROR(__xludf.DUMMYFUNCTION("""COMPUTED_VALUE"""),"Ramon Ferrando(Valencia)")</f>
        <v>Ramon Ferrando(Valencia)</v>
      </c>
    </row>
    <row r="297" spans="2:16">
      <c r="B297" s="33">
        <f ca="1">IFERROR(__xludf.DUMMYFUNCTION("""COMPUTED_VALUE"""),2025)</f>
        <v>2025</v>
      </c>
      <c r="C297" s="33">
        <f ca="1">IFERROR(__xludf.DUMMYFUNCTION("""COMPUTED_VALUE"""),3)</f>
        <v>3</v>
      </c>
      <c r="D297" s="33" t="str">
        <f ca="1">IFERROR(__xludf.DUMMYFUNCTION("""COMPUTED_VALUE"""),"NO")</f>
        <v>NO</v>
      </c>
      <c r="E297" s="33" t="str">
        <f ca="1">IFERROR(__xludf.DUMMYFUNCTION("""COMPUTED_VALUE"""),"Alicante")</f>
        <v>Alicante</v>
      </c>
      <c r="F297" s="57">
        <f ca="1">IFERROR(__xludf.DUMMYFUNCTION("""COMPUTED_VALUE"""),45720)</f>
        <v>45720</v>
      </c>
      <c r="G297" s="57">
        <f ca="1">IFERROR(__xludf.DUMMYFUNCTION("""COMPUTED_VALUE"""),45693)</f>
        <v>45693</v>
      </c>
      <c r="H297" s="33" t="str">
        <f ca="1">IFERROR(__xludf.DUMMYFUNCTION("""COMPUTED_VALUE"""),"Alicante")</f>
        <v>Alicante</v>
      </c>
      <c r="I297" s="33" t="str">
        <f ca="1">IFERROR(__xludf.DUMMYFUNCTION("""COMPUTED_VALUE"""),"C20252712266751")</f>
        <v>C20252712266751</v>
      </c>
      <c r="J297" s="33" t="str">
        <f ca="1">IFERROR(__xludf.DUMMYFUNCTION("""COMPUTED_VALUE"""),"JOSEFINA GARCIA CANDELA")</f>
        <v>JOSEFINA GARCIA CANDELA</v>
      </c>
      <c r="K297" s="33">
        <f ca="1">IFERROR(__xludf.DUMMYFUNCTION("""COMPUTED_VALUE"""),2)</f>
        <v>2</v>
      </c>
      <c r="L297" s="203">
        <f ca="1">IFERROR(__xludf.DUMMYFUNCTION("""COMPUTED_VALUE"""),4000)</f>
        <v>4000</v>
      </c>
      <c r="M297" s="33" t="str">
        <f ca="1">IFERROR(__xludf.DUMMYFUNCTION("""COMPUTED_VALUE"""),"03 ORL")</f>
        <v>03 ORL</v>
      </c>
      <c r="N297" s="33" t="str">
        <f ca="1">IFERROR(__xludf.DUMMYFUNCTION("""COMPUTED_VALUE"""),"06 ORL")</f>
        <v>06 ORL</v>
      </c>
      <c r="O297" s="33" t="str">
        <f ca="1">IFERROR(__xludf.DUMMYFUNCTION("""COMPUTED_VALUE"""),"Dra, Isabel Menaches Guardiola")</f>
        <v>Dra, Isabel Menaches Guardiola</v>
      </c>
      <c r="P297" s="33" t="str">
        <f ca="1">IFERROR(__xludf.DUMMYFUNCTION("""COMPUTED_VALUE"""),"Iván Sánchez (Levante Y Albacete)")</f>
        <v>Iván Sánchez (Levante Y Albacete)</v>
      </c>
    </row>
    <row r="298" spans="2:16">
      <c r="B298" s="33">
        <f ca="1">IFERROR(__xludf.DUMMYFUNCTION("""COMPUTED_VALUE"""),2025)</f>
        <v>2025</v>
      </c>
      <c r="C298" s="33">
        <f ca="1">IFERROR(__xludf.DUMMYFUNCTION("""COMPUTED_VALUE"""),3)</f>
        <v>3</v>
      </c>
      <c r="D298" s="33" t="str">
        <f ca="1">IFERROR(__xludf.DUMMYFUNCTION("""COMPUTED_VALUE"""),"NO")</f>
        <v>NO</v>
      </c>
      <c r="E298" s="33" t="str">
        <f ca="1">IFERROR(__xludf.DUMMYFUNCTION("""COMPUTED_VALUE"""),"Madrid- La Oca")</f>
        <v>Madrid- La Oca</v>
      </c>
      <c r="F298" s="57">
        <f ca="1">IFERROR(__xludf.DUMMYFUNCTION("""COMPUTED_VALUE"""),45720)</f>
        <v>45720</v>
      </c>
      <c r="G298" s="57">
        <f ca="1">IFERROR(__xludf.DUMMYFUNCTION("""COMPUTED_VALUE"""),45670)</f>
        <v>45670</v>
      </c>
      <c r="H298" s="33" t="str">
        <f ca="1">IFERROR(__xludf.DUMMYFUNCTION("""COMPUTED_VALUE"""),"La Oca")</f>
        <v>La Oca</v>
      </c>
      <c r="I298" s="33" t="str">
        <f ca="1">IFERROR(__xludf.DUMMYFUNCTION("""COMPUTED_VALUE"""),"C2025121112454270")</f>
        <v>C2025121112454270</v>
      </c>
      <c r="J298" s="33" t="str">
        <f ca="1">IFERROR(__xludf.DUMMYFUNCTION("""COMPUTED_VALUE"""),"TERESA GARCIA GONZALEZ")</f>
        <v>TERESA GARCIA GONZALEZ</v>
      </c>
      <c r="K298" s="33">
        <f ca="1">IFERROR(__xludf.DUMMYFUNCTION("""COMPUTED_VALUE"""),2)</f>
        <v>2</v>
      </c>
      <c r="L298" s="203">
        <f ca="1">IFERROR(__xludf.DUMMYFUNCTION("""COMPUTED_VALUE"""),2888.18)</f>
        <v>2888.18</v>
      </c>
      <c r="M298" s="33" t="str">
        <f ca="1">IFERROR(__xludf.DUMMYFUNCTION("""COMPUTED_VALUE"""),"03 ORL")</f>
        <v>03 ORL</v>
      </c>
      <c r="N298" s="33" t="str">
        <f ca="1">IFERROR(__xludf.DUMMYFUNCTION("""COMPUTED_VALUE"""),"06 ORL")</f>
        <v>06 ORL</v>
      </c>
      <c r="O298" s="33" t="str">
        <f ca="1">IFERROR(__xludf.DUMMYFUNCTION("""COMPUTED_VALUE"""),"Dr, José Joaquín Gutiérrez Barquín")</f>
        <v>Dr, José Joaquín Gutiérrez Barquín</v>
      </c>
      <c r="P298" s="33" t="str">
        <f ca="1">IFERROR(__xludf.DUMMYFUNCTION("""COMPUTED_VALUE"""),"Maika Blázquez (Madrid)")</f>
        <v>Maika Blázquez (Madrid)</v>
      </c>
    </row>
    <row r="299" spans="2:16">
      <c r="B299" s="33">
        <f ca="1">IFERROR(__xludf.DUMMYFUNCTION("""COMPUTED_VALUE"""),2025)</f>
        <v>2025</v>
      </c>
      <c r="C299" s="33">
        <f ca="1">IFERROR(__xludf.DUMMYFUNCTION("""COMPUTED_VALUE"""),3)</f>
        <v>3</v>
      </c>
      <c r="D299" s="33" t="str">
        <f ca="1">IFERROR(__xludf.DUMMYFUNCTION("""COMPUTED_VALUE"""),"NO")</f>
        <v>NO</v>
      </c>
      <c r="E299" s="33" t="str">
        <f ca="1">IFERROR(__xludf.DUMMYFUNCTION("""COMPUTED_VALUE"""),"Madrid- La Oca")</f>
        <v>Madrid- La Oca</v>
      </c>
      <c r="F299" s="57">
        <f ca="1">IFERROR(__xludf.DUMMYFUNCTION("""COMPUTED_VALUE"""),45720)</f>
        <v>45720</v>
      </c>
      <c r="G299" s="57">
        <f ca="1">IFERROR(__xludf.DUMMYFUNCTION("""COMPUTED_VALUE"""),45705)</f>
        <v>45705</v>
      </c>
      <c r="H299" s="33" t="str">
        <f ca="1">IFERROR(__xludf.DUMMYFUNCTION("""COMPUTED_VALUE"""),"La Oca")</f>
        <v>La Oca</v>
      </c>
      <c r="I299" s="33" t="str">
        <f ca="1">IFERROR(__xludf.DUMMYFUNCTION("""COMPUTED_VALUE"""),"C2025217175323860")</f>
        <v>C2025217175323860</v>
      </c>
      <c r="J299" s="33" t="str">
        <f ca="1">IFERROR(__xludf.DUMMYFUNCTION("""COMPUTED_VALUE"""),"CONSUELO GARCIA PANADERO")</f>
        <v>CONSUELO GARCIA PANADERO</v>
      </c>
      <c r="K299" s="33">
        <f ca="1">IFERROR(__xludf.DUMMYFUNCTION("""COMPUTED_VALUE"""),2)</f>
        <v>2</v>
      </c>
      <c r="L299" s="203">
        <f ca="1">IFERROR(__xludf.DUMMYFUNCTION("""COMPUTED_VALUE"""),3710)</f>
        <v>3710</v>
      </c>
      <c r="M299" s="33" t="str">
        <f ca="1">IFERROR(__xludf.DUMMYFUNCTION("""COMPUTED_VALUE"""),"03 ORL")</f>
        <v>03 ORL</v>
      </c>
      <c r="N299" s="33" t="str">
        <f ca="1">IFERROR(__xludf.DUMMYFUNCTION("""COMPUTED_VALUE"""),"06 ORL")</f>
        <v>06 ORL</v>
      </c>
      <c r="O299" s="33" t="str">
        <f ca="1">IFERROR(__xludf.DUMMYFUNCTION("""COMPUTED_VALUE"""),"Dr, José Joaquín Gutiérrez Barquín")</f>
        <v>Dr, José Joaquín Gutiérrez Barquín</v>
      </c>
      <c r="P299" s="33" t="str">
        <f ca="1">IFERROR(__xludf.DUMMYFUNCTION("""COMPUTED_VALUE"""),"Maika Blázquez (Madrid)")</f>
        <v>Maika Blázquez (Madrid)</v>
      </c>
    </row>
    <row r="300" spans="2:16">
      <c r="B300" s="33">
        <f ca="1">IFERROR(__xludf.DUMMYFUNCTION("""COMPUTED_VALUE"""),2025)</f>
        <v>2025</v>
      </c>
      <c r="C300" s="33">
        <f ca="1">IFERROR(__xludf.DUMMYFUNCTION("""COMPUTED_VALUE"""),3)</f>
        <v>3</v>
      </c>
      <c r="D300" s="33" t="str">
        <f ca="1">IFERROR(__xludf.DUMMYFUNCTION("""COMPUTED_VALUE"""),"NO")</f>
        <v>NO</v>
      </c>
      <c r="E300" s="33" t="str">
        <f ca="1">IFERROR(__xludf.DUMMYFUNCTION("""COMPUTED_VALUE"""),"Logroño")</f>
        <v>Logroño</v>
      </c>
      <c r="F300" s="57">
        <f ca="1">IFERROR(__xludf.DUMMYFUNCTION("""COMPUTED_VALUE"""),45720)</f>
        <v>45720</v>
      </c>
      <c r="G300" s="57">
        <f ca="1">IFERROR(__xludf.DUMMYFUNCTION("""COMPUTED_VALUE"""),45692)</f>
        <v>45692</v>
      </c>
      <c r="H300" s="33" t="str">
        <f ca="1">IFERROR(__xludf.DUMMYFUNCTION("""COMPUTED_VALUE"""),"Logroño")</f>
        <v>Logroño</v>
      </c>
      <c r="I300" s="33" t="str">
        <f ca="1">IFERROR(__xludf.DUMMYFUNCTION("""COMPUTED_VALUE"""),"C202524105039184")</f>
        <v>C202524105039184</v>
      </c>
      <c r="J300" s="33" t="str">
        <f ca="1">IFERROR(__xludf.DUMMYFUNCTION("""COMPUTED_VALUE"""),"JOSE MANUEL MONTOYA SUBERVIOLA")</f>
        <v>JOSE MANUEL MONTOYA SUBERVIOLA</v>
      </c>
      <c r="K300" s="33">
        <f ca="1">IFERROR(__xludf.DUMMYFUNCTION("""COMPUTED_VALUE"""),2)</f>
        <v>2</v>
      </c>
      <c r="L300" s="203">
        <f ca="1">IFERROR(__xludf.DUMMYFUNCTION("""COMPUTED_VALUE"""),4000)</f>
        <v>4000</v>
      </c>
      <c r="M300" s="33" t="str">
        <f ca="1">IFERROR(__xludf.DUMMYFUNCTION("""COMPUTED_VALUE"""),"03 ORL")</f>
        <v>03 ORL</v>
      </c>
      <c r="N300" s="33" t="str">
        <f ca="1">IFERROR(__xludf.DUMMYFUNCTION("""COMPUTED_VALUE"""),"06 ORL")</f>
        <v>06 ORL</v>
      </c>
      <c r="O300" s="33" t="str">
        <f ca="1">IFERROR(__xludf.DUMMYFUNCTION("""COMPUTED_VALUE"""),"Dr, Fernando Salazar Barcelona")</f>
        <v>Dr, Fernando Salazar Barcelona</v>
      </c>
      <c r="P300" s="33" t="str">
        <f ca="1">IFERROR(__xludf.DUMMYFUNCTION("""COMPUTED_VALUE"""),"Lisandro Russian (Madrid, Cáceres, Toledo, Talavera Y Logroño)")</f>
        <v>Lisandro Russian (Madrid, Cáceres, Toledo, Talavera Y Logroño)</v>
      </c>
    </row>
    <row r="301" spans="2:16">
      <c r="B301" s="33">
        <f ca="1">IFERROR(__xludf.DUMMYFUNCTION("""COMPUTED_VALUE"""),2025)</f>
        <v>2025</v>
      </c>
      <c r="C301" s="33">
        <f ca="1">IFERROR(__xludf.DUMMYFUNCTION("""COMPUTED_VALUE"""),3)</f>
        <v>3</v>
      </c>
      <c r="D301" s="33" t="str">
        <f ca="1">IFERROR(__xludf.DUMMYFUNCTION("""COMPUTED_VALUE"""),"NO")</f>
        <v>NO</v>
      </c>
      <c r="E301" s="33" t="str">
        <f ca="1">IFERROR(__xludf.DUMMYFUNCTION("""COMPUTED_VALUE"""),"Albacete")</f>
        <v>Albacete</v>
      </c>
      <c r="F301" s="57">
        <f ca="1">IFERROR(__xludf.DUMMYFUNCTION("""COMPUTED_VALUE"""),45721)</f>
        <v>45721</v>
      </c>
      <c r="G301" s="57">
        <f ca="1">IFERROR(__xludf.DUMMYFUNCTION("""COMPUTED_VALUE"""),45680)</f>
        <v>45680</v>
      </c>
      <c r="H301" s="33" t="str">
        <f ca="1">IFERROR(__xludf.DUMMYFUNCTION("""COMPUTED_VALUE"""),"Albacete")</f>
        <v>Albacete</v>
      </c>
      <c r="I301" s="33" t="str">
        <f ca="1">IFERROR(__xludf.DUMMYFUNCTION("""COMPUTED_VALUE"""),"C2025128111112737")</f>
        <v>C2025128111112737</v>
      </c>
      <c r="J301" s="33" t="str">
        <f ca="1">IFERROR(__xludf.DUMMYFUNCTION("""COMPUTED_VALUE"""),"ELISA BLAZQUEZ LOZANO")</f>
        <v>ELISA BLAZQUEZ LOZANO</v>
      </c>
      <c r="K301" s="33">
        <f ca="1">IFERROR(__xludf.DUMMYFUNCTION("""COMPUTED_VALUE"""),2)</f>
        <v>2</v>
      </c>
      <c r="L301" s="203">
        <f ca="1">IFERROR(__xludf.DUMMYFUNCTION("""COMPUTED_VALUE"""),2430.27)</f>
        <v>2430.27</v>
      </c>
      <c r="M301" s="33" t="str">
        <f ca="1">IFERROR(__xludf.DUMMYFUNCTION("""COMPUTED_VALUE"""),"03 ORL")</f>
        <v>03 ORL</v>
      </c>
      <c r="N301" s="33" t="str">
        <f ca="1">IFERROR(__xludf.DUMMYFUNCTION("""COMPUTED_VALUE"""),"06 ORL")</f>
        <v>06 ORL</v>
      </c>
      <c r="O301" s="33" t="str">
        <f ca="1">IFERROR(__xludf.DUMMYFUNCTION("""COMPUTED_VALUE"""),"Dr, Javier García-Dueñas González")</f>
        <v>Dr, Javier García-Dueñas González</v>
      </c>
      <c r="P301" s="33" t="str">
        <f ca="1">IFERROR(__xludf.DUMMYFUNCTION("""COMPUTED_VALUE"""),"Iván Sánchez (Levante Y Albacete)")</f>
        <v>Iván Sánchez (Levante Y Albacete)</v>
      </c>
    </row>
    <row r="302" spans="2:16">
      <c r="B302" s="33">
        <f ca="1">IFERROR(__xludf.DUMMYFUNCTION("""COMPUTED_VALUE"""),2025)</f>
        <v>2025</v>
      </c>
      <c r="C302" s="33">
        <f ca="1">IFERROR(__xludf.DUMMYFUNCTION("""COMPUTED_VALUE"""),3)</f>
        <v>3</v>
      </c>
      <c r="D302" s="33" t="str">
        <f ca="1">IFERROR(__xludf.DUMMYFUNCTION("""COMPUTED_VALUE"""),"NO")</f>
        <v>NO</v>
      </c>
      <c r="E302" s="33" t="str">
        <f ca="1">IFERROR(__xludf.DUMMYFUNCTION("""COMPUTED_VALUE"""),"Madrid- Costa Rica")</f>
        <v>Madrid- Costa Rica</v>
      </c>
      <c r="F302" s="57">
        <f ca="1">IFERROR(__xludf.DUMMYFUNCTION("""COMPUTED_VALUE"""),45722)</f>
        <v>45722</v>
      </c>
      <c r="G302" s="57">
        <f ca="1">IFERROR(__xludf.DUMMYFUNCTION("""COMPUTED_VALUE"""),45687)</f>
        <v>45687</v>
      </c>
      <c r="H302" s="33" t="str">
        <f ca="1">IFERROR(__xludf.DUMMYFUNCTION("""COMPUTED_VALUE"""),"Costa Rica")</f>
        <v>Costa Rica</v>
      </c>
      <c r="I302" s="33" t="str">
        <f ca="1">IFERROR(__xludf.DUMMYFUNCTION("""COMPUTED_VALUE"""),"C20252411952720")</f>
        <v>C20252411952720</v>
      </c>
      <c r="J302" s="33" t="str">
        <f ca="1">IFERROR(__xludf.DUMMYFUNCTION("""COMPUTED_VALUE"""),"RAMIRO PESCADOR LAGUNILLA")</f>
        <v>RAMIRO PESCADOR LAGUNILLA</v>
      </c>
      <c r="K302" s="33">
        <f ca="1">IFERROR(__xludf.DUMMYFUNCTION("""COMPUTED_VALUE"""),2)</f>
        <v>2</v>
      </c>
      <c r="L302" s="203">
        <f ca="1">IFERROR(__xludf.DUMMYFUNCTION("""COMPUTED_VALUE"""),3710)</f>
        <v>3710</v>
      </c>
      <c r="M302" s="33" t="str">
        <f ca="1">IFERROR(__xludf.DUMMYFUNCTION("""COMPUTED_VALUE"""),"03 ORL")</f>
        <v>03 ORL</v>
      </c>
      <c r="N302" s="33" t="str">
        <f ca="1">IFERROR(__xludf.DUMMYFUNCTION("""COMPUTED_VALUE"""),"06 ORL")</f>
        <v>06 ORL</v>
      </c>
      <c r="O302" s="33" t="str">
        <f ca="1">IFERROR(__xludf.DUMMYFUNCTION("""COMPUTED_VALUE"""),"Dr, Guillermo San Juan De La Moreta")</f>
        <v>Dr, Guillermo San Juan De La Moreta</v>
      </c>
      <c r="P302" s="33" t="str">
        <f ca="1">IFERROR(__xludf.DUMMYFUNCTION("""COMPUTED_VALUE"""),"Maika Blázquez (Madrid)")</f>
        <v>Maika Blázquez (Madrid)</v>
      </c>
    </row>
    <row r="303" spans="2:16">
      <c r="B303" s="33">
        <f ca="1">IFERROR(__xludf.DUMMYFUNCTION("""COMPUTED_VALUE"""),2025)</f>
        <v>2025</v>
      </c>
      <c r="C303" s="33">
        <f ca="1">IFERROR(__xludf.DUMMYFUNCTION("""COMPUTED_VALUE"""),3)</f>
        <v>3</v>
      </c>
      <c r="D303" s="33" t="str">
        <f ca="1">IFERROR(__xludf.DUMMYFUNCTION("""COMPUTED_VALUE"""),"NO")</f>
        <v>NO</v>
      </c>
      <c r="E303" s="33" t="str">
        <f ca="1">IFERROR(__xludf.DUMMYFUNCTION("""COMPUTED_VALUE"""),"Albacete")</f>
        <v>Albacete</v>
      </c>
      <c r="F303" s="57">
        <f ca="1">IFERROR(__xludf.DUMMYFUNCTION("""COMPUTED_VALUE"""),45723)</f>
        <v>45723</v>
      </c>
      <c r="G303" s="57">
        <f ca="1">IFERROR(__xludf.DUMMYFUNCTION("""COMPUTED_VALUE"""),45688)</f>
        <v>45688</v>
      </c>
      <c r="H303" s="33" t="str">
        <f ca="1">IFERROR(__xludf.DUMMYFUNCTION("""COMPUTED_VALUE"""),"Albacete")</f>
        <v>Albacete</v>
      </c>
      <c r="I303" s="33" t="str">
        <f ca="1">IFERROR(__xludf.DUMMYFUNCTION("""COMPUTED_VALUE"""),"C20252693337518")</f>
        <v>C20252693337518</v>
      </c>
      <c r="J303" s="33" t="str">
        <f ca="1">IFERROR(__xludf.DUMMYFUNCTION("""COMPUTED_VALUE"""),"DAVID IGUAL LUIS")</f>
        <v>DAVID IGUAL LUIS</v>
      </c>
      <c r="K303" s="33">
        <f ca="1">IFERROR(__xludf.DUMMYFUNCTION("""COMPUTED_VALUE"""),2)</f>
        <v>2</v>
      </c>
      <c r="L303" s="203">
        <f ca="1">IFERROR(__xludf.DUMMYFUNCTION("""COMPUTED_VALUE"""),4000)</f>
        <v>4000</v>
      </c>
      <c r="M303" s="33" t="str">
        <f ca="1">IFERROR(__xludf.DUMMYFUNCTION("""COMPUTED_VALUE"""),"03 ORL")</f>
        <v>03 ORL</v>
      </c>
      <c r="N303" s="33" t="str">
        <f ca="1">IFERROR(__xludf.DUMMYFUNCTION("""COMPUTED_VALUE"""),"06 ORL")</f>
        <v>06 ORL</v>
      </c>
      <c r="O303" s="33" t="str">
        <f ca="1">IFERROR(__xludf.DUMMYFUNCTION("""COMPUTED_VALUE"""),"Dr, Javier García-Dueñas González")</f>
        <v>Dr, Javier García-Dueñas González</v>
      </c>
      <c r="P303" s="33" t="str">
        <f ca="1">IFERROR(__xludf.DUMMYFUNCTION("""COMPUTED_VALUE"""),"Iván Sánchez (Levante Y Albacete)")</f>
        <v>Iván Sánchez (Levante Y Albacete)</v>
      </c>
    </row>
    <row r="304" spans="2:16">
      <c r="B304" s="33">
        <f ca="1">IFERROR(__xludf.DUMMYFUNCTION("""COMPUTED_VALUE"""),2025)</f>
        <v>2025</v>
      </c>
      <c r="C304" s="33">
        <f ca="1">IFERROR(__xludf.DUMMYFUNCTION("""COMPUTED_VALUE"""),3)</f>
        <v>3</v>
      </c>
      <c r="D304" s="33" t="str">
        <f ca="1">IFERROR(__xludf.DUMMYFUNCTION("""COMPUTED_VALUE"""),"NO")</f>
        <v>NO</v>
      </c>
      <c r="E304" s="33" t="str">
        <f ca="1">IFERROR(__xludf.DUMMYFUNCTION("""COMPUTED_VALUE"""),"Madrid- Canillas")</f>
        <v>Madrid- Canillas</v>
      </c>
      <c r="F304" s="57">
        <f ca="1">IFERROR(__xludf.DUMMYFUNCTION("""COMPUTED_VALUE"""),45723)</f>
        <v>45723</v>
      </c>
      <c r="G304" s="57">
        <f ca="1">IFERROR(__xludf.DUMMYFUNCTION("""COMPUTED_VALUE"""),45692)</f>
        <v>45692</v>
      </c>
      <c r="H304" s="33" t="str">
        <f ca="1">IFERROR(__xludf.DUMMYFUNCTION("""COMPUTED_VALUE"""),"Canillas")</f>
        <v>Canillas</v>
      </c>
      <c r="I304" s="33" t="str">
        <f ca="1">IFERROR(__xludf.DUMMYFUNCTION("""COMPUTED_VALUE"""),"C2025212163045986")</f>
        <v>C2025212163045986</v>
      </c>
      <c r="J304" s="33" t="str">
        <f ca="1">IFERROR(__xludf.DUMMYFUNCTION("""COMPUTED_VALUE"""),"MARIA DEL CARMEN  GARCIA FERNANDEZ")</f>
        <v>MARIA DEL CARMEN  GARCIA FERNANDEZ</v>
      </c>
      <c r="K304" s="33">
        <f ca="1">IFERROR(__xludf.DUMMYFUNCTION("""COMPUTED_VALUE"""),2)</f>
        <v>2</v>
      </c>
      <c r="L304" s="203">
        <f ca="1">IFERROR(__xludf.DUMMYFUNCTION("""COMPUTED_VALUE"""),4000)</f>
        <v>4000</v>
      </c>
      <c r="M304" s="33" t="str">
        <f ca="1">IFERROR(__xludf.DUMMYFUNCTION("""COMPUTED_VALUE"""),"03 ORL")</f>
        <v>03 ORL</v>
      </c>
      <c r="N304" s="33" t="str">
        <f ca="1">IFERROR(__xludf.DUMMYFUNCTION("""COMPUTED_VALUE"""),"06 ORL")</f>
        <v>06 ORL</v>
      </c>
      <c r="O304" s="33" t="str">
        <f ca="1">IFERROR(__xludf.DUMMYFUNCTION("""COMPUTED_VALUE"""),"Dr, José Gustavo Barroso Braojos")</f>
        <v>Dr, José Gustavo Barroso Braojos</v>
      </c>
      <c r="P304" s="33" t="str">
        <f ca="1">IFERROR(__xludf.DUMMYFUNCTION("""COMPUTED_VALUE"""),"Maika Blázquez (Madrid)")</f>
        <v>Maika Blázquez (Madrid)</v>
      </c>
    </row>
    <row r="305" spans="2:16">
      <c r="B305" s="33">
        <f ca="1">IFERROR(__xludf.DUMMYFUNCTION("""COMPUTED_VALUE"""),2025)</f>
        <v>2025</v>
      </c>
      <c r="C305" s="33">
        <f ca="1">IFERROR(__xludf.DUMMYFUNCTION("""COMPUTED_VALUE"""),3)</f>
        <v>3</v>
      </c>
      <c r="D305" s="33" t="str">
        <f ca="1">IFERROR(__xludf.DUMMYFUNCTION("""COMPUTED_VALUE"""),"NO")</f>
        <v>NO</v>
      </c>
      <c r="E305" s="33" t="str">
        <f ca="1">IFERROR(__xludf.DUMMYFUNCTION("""COMPUTED_VALUE"""),"Logroño")</f>
        <v>Logroño</v>
      </c>
      <c r="F305" s="57">
        <f ca="1">IFERROR(__xludf.DUMMYFUNCTION("""COMPUTED_VALUE"""),45726)</f>
        <v>45726</v>
      </c>
      <c r="G305" s="57">
        <f ca="1">IFERROR(__xludf.DUMMYFUNCTION("""COMPUTED_VALUE"""),45678)</f>
        <v>45678</v>
      </c>
      <c r="H305" s="33" t="str">
        <f ca="1">IFERROR(__xludf.DUMMYFUNCTION("""COMPUTED_VALUE"""),"Logroño")</f>
        <v>Logroño</v>
      </c>
      <c r="I305" s="33" t="str">
        <f ca="1">IFERROR(__xludf.DUMMYFUNCTION("""COMPUTED_VALUE"""),"C2025127121545790")</f>
        <v>C2025127121545790</v>
      </c>
      <c r="J305" s="33" t="str">
        <f ca="1">IFERROR(__xludf.DUMMYFUNCTION("""COMPUTED_VALUE"""),"VICTORIA  MARTINEZ CASADO")</f>
        <v>VICTORIA  MARTINEZ CASADO</v>
      </c>
      <c r="K305" s="33">
        <f ca="1">IFERROR(__xludf.DUMMYFUNCTION("""COMPUTED_VALUE"""),2)</f>
        <v>2</v>
      </c>
      <c r="L305" s="203">
        <f ca="1">IFERROR(__xludf.DUMMYFUNCTION("""COMPUTED_VALUE"""),4400)</f>
        <v>4400</v>
      </c>
      <c r="M305" s="33" t="str">
        <f ca="1">IFERROR(__xludf.DUMMYFUNCTION("""COMPUTED_VALUE"""),"03 ORL")</f>
        <v>03 ORL</v>
      </c>
      <c r="N305" s="33" t="str">
        <f ca="1">IFERROR(__xludf.DUMMYFUNCTION("""COMPUTED_VALUE"""),"06 ORL")</f>
        <v>06 ORL</v>
      </c>
      <c r="O305" s="33" t="str">
        <f ca="1">IFERROR(__xludf.DUMMYFUNCTION("""COMPUTED_VALUE"""),"Dr, Fernando Salazar Barcelona")</f>
        <v>Dr, Fernando Salazar Barcelona</v>
      </c>
      <c r="P305" s="33" t="str">
        <f ca="1">IFERROR(__xludf.DUMMYFUNCTION("""COMPUTED_VALUE"""),"Lisandro Russian (Madrid, Cáceres, Toledo, Talavera Y Logroño)")</f>
        <v>Lisandro Russian (Madrid, Cáceres, Toledo, Talavera Y Logroño)</v>
      </c>
    </row>
    <row r="306" spans="2:16">
      <c r="B306" s="33">
        <f ca="1">IFERROR(__xludf.DUMMYFUNCTION("""COMPUTED_VALUE"""),2025)</f>
        <v>2025</v>
      </c>
      <c r="C306" s="33">
        <f ca="1">IFERROR(__xludf.DUMMYFUNCTION("""COMPUTED_VALUE"""),3)</f>
        <v>3</v>
      </c>
      <c r="D306" s="33" t="str">
        <f ca="1">IFERROR(__xludf.DUMMYFUNCTION("""COMPUTED_VALUE"""),"NO")</f>
        <v>NO</v>
      </c>
      <c r="E306" s="33" t="str">
        <f ca="1">IFERROR(__xludf.DUMMYFUNCTION("""COMPUTED_VALUE"""),"Madrid- La Oca")</f>
        <v>Madrid- La Oca</v>
      </c>
      <c r="F306" s="57">
        <f ca="1">IFERROR(__xludf.DUMMYFUNCTION("""COMPUTED_VALUE"""),45726)</f>
        <v>45726</v>
      </c>
      <c r="G306" s="57">
        <f ca="1">IFERROR(__xludf.DUMMYFUNCTION("""COMPUTED_VALUE"""),45685)</f>
        <v>45685</v>
      </c>
      <c r="H306" s="33" t="str">
        <f ca="1">IFERROR(__xludf.DUMMYFUNCTION("""COMPUTED_VALUE"""),"La Oca")</f>
        <v>La Oca</v>
      </c>
      <c r="I306" s="33" t="str">
        <f ca="1">IFERROR(__xludf.DUMMYFUNCTION("""COMPUTED_VALUE"""),"C202526162851990")</f>
        <v>C202526162851990</v>
      </c>
      <c r="J306" s="33" t="str">
        <f ca="1">IFERROR(__xludf.DUMMYFUNCTION("""COMPUTED_VALUE"""),"ANA BELEN ESCUDERO ALONSO")</f>
        <v>ANA BELEN ESCUDERO ALONSO</v>
      </c>
      <c r="K306" s="33">
        <f ca="1">IFERROR(__xludf.DUMMYFUNCTION("""COMPUTED_VALUE"""),1)</f>
        <v>1</v>
      </c>
      <c r="L306" s="203">
        <f ca="1">IFERROR(__xludf.DUMMYFUNCTION("""COMPUTED_VALUE"""),2115.05)</f>
        <v>2115.0500000000002</v>
      </c>
      <c r="M306" s="33" t="str">
        <f ca="1">IFERROR(__xludf.DUMMYFUNCTION("""COMPUTED_VALUE"""),"03 ORL")</f>
        <v>03 ORL</v>
      </c>
      <c r="N306" s="33" t="str">
        <f ca="1">IFERROR(__xludf.DUMMYFUNCTION("""COMPUTED_VALUE"""),"06 ORL")</f>
        <v>06 ORL</v>
      </c>
      <c r="O306" s="33" t="str">
        <f ca="1">IFERROR(__xludf.DUMMYFUNCTION("""COMPUTED_VALUE"""),"Dr, Jaime Martín Carranza")</f>
        <v>Dr, Jaime Martín Carranza</v>
      </c>
      <c r="P306" s="33" t="str">
        <f ca="1">IFERROR(__xludf.DUMMYFUNCTION("""COMPUTED_VALUE"""),"Maika Blázquez (Madrid)")</f>
        <v>Maika Blázquez (Madrid)</v>
      </c>
    </row>
    <row r="307" spans="2:16">
      <c r="B307" s="33">
        <f ca="1">IFERROR(__xludf.DUMMYFUNCTION("""COMPUTED_VALUE"""),2025)</f>
        <v>2025</v>
      </c>
      <c r="C307" s="33">
        <f ca="1">IFERROR(__xludf.DUMMYFUNCTION("""COMPUTED_VALUE"""),3)</f>
        <v>3</v>
      </c>
      <c r="D307" s="33" t="str">
        <f ca="1">IFERROR(__xludf.DUMMYFUNCTION("""COMPUTED_VALUE"""),"NO")</f>
        <v>NO</v>
      </c>
      <c r="E307" s="33" t="str">
        <f ca="1">IFERROR(__xludf.DUMMYFUNCTION("""COMPUTED_VALUE"""),"Orihuela")</f>
        <v>Orihuela</v>
      </c>
      <c r="F307" s="57">
        <f ca="1">IFERROR(__xludf.DUMMYFUNCTION("""COMPUTED_VALUE"""),45726)</f>
        <v>45726</v>
      </c>
      <c r="G307" s="57">
        <f ca="1">IFERROR(__xludf.DUMMYFUNCTION("""COMPUTED_VALUE"""),45705)</f>
        <v>45705</v>
      </c>
      <c r="H307" s="33" t="str">
        <f ca="1">IFERROR(__xludf.DUMMYFUNCTION("""COMPUTED_VALUE"""),"La Zenia")</f>
        <v>La Zenia</v>
      </c>
      <c r="I307" s="33" t="str">
        <f ca="1">IFERROR(__xludf.DUMMYFUNCTION("""COMPUTED_VALUE"""),"C202522016428508")</f>
        <v>C202522016428508</v>
      </c>
      <c r="J307" s="33" t="str">
        <f ca="1">IFERROR(__xludf.DUMMYFUNCTION("""COMPUTED_VALUE"""),"MARGARET LUCY CLACHER")</f>
        <v>MARGARET LUCY CLACHER</v>
      </c>
      <c r="K307" s="33">
        <f ca="1">IFERROR(__xludf.DUMMYFUNCTION("""COMPUTED_VALUE"""),2)</f>
        <v>2</v>
      </c>
      <c r="L307" s="203">
        <f ca="1">IFERROR(__xludf.DUMMYFUNCTION("""COMPUTED_VALUE"""),4400)</f>
        <v>4400</v>
      </c>
      <c r="M307" s="33" t="str">
        <f ca="1">IFERROR(__xludf.DUMMYFUNCTION("""COMPUTED_VALUE"""),"03 ORL")</f>
        <v>03 ORL</v>
      </c>
      <c r="N307" s="33" t="str">
        <f ca="1">IFERROR(__xludf.DUMMYFUNCTION("""COMPUTED_VALUE"""),"06 ORL")</f>
        <v>06 ORL</v>
      </c>
      <c r="O307" s="33" t="str">
        <f ca="1">IFERROR(__xludf.DUMMYFUNCTION("""COMPUTED_VALUE"""),"Dr, Carlos Velásquez Fermín")</f>
        <v>Dr, Carlos Velásquez Fermín</v>
      </c>
      <c r="P307" s="33" t="str">
        <f ca="1">IFERROR(__xludf.DUMMYFUNCTION("""COMPUTED_VALUE"""),"Iván Sánchez (Levante Y Albacete)")</f>
        <v>Iván Sánchez (Levante Y Albacete)</v>
      </c>
    </row>
    <row r="308" spans="2:16">
      <c r="B308" s="33">
        <f ca="1">IFERROR(__xludf.DUMMYFUNCTION("""COMPUTED_VALUE"""),2025)</f>
        <v>2025</v>
      </c>
      <c r="C308" s="33">
        <f ca="1">IFERROR(__xludf.DUMMYFUNCTION("""COMPUTED_VALUE"""),3)</f>
        <v>3</v>
      </c>
      <c r="D308" s="33" t="str">
        <f ca="1">IFERROR(__xludf.DUMMYFUNCTION("""COMPUTED_VALUE"""),"NO")</f>
        <v>NO</v>
      </c>
      <c r="E308" s="33" t="str">
        <f ca="1">IFERROR(__xludf.DUMMYFUNCTION("""COMPUTED_VALUE"""),"Madrid- Canillas")</f>
        <v>Madrid- Canillas</v>
      </c>
      <c r="F308" s="57">
        <f ca="1">IFERROR(__xludf.DUMMYFUNCTION("""COMPUTED_VALUE"""),45726)</f>
        <v>45726</v>
      </c>
      <c r="G308" s="57">
        <f ca="1">IFERROR(__xludf.DUMMYFUNCTION("""COMPUTED_VALUE"""),45706)</f>
        <v>45706</v>
      </c>
      <c r="H308" s="33" t="str">
        <f ca="1">IFERROR(__xludf.DUMMYFUNCTION("""COMPUTED_VALUE"""),"Canillas")</f>
        <v>Canillas</v>
      </c>
      <c r="I308" s="33" t="str">
        <f ca="1">IFERROR(__xludf.DUMMYFUNCTION("""COMPUTED_VALUE"""),"C20253515576860")</f>
        <v>C20253515576860</v>
      </c>
      <c r="J308" s="33" t="str">
        <f ca="1">IFERROR(__xludf.DUMMYFUNCTION("""COMPUTED_VALUE"""),"LUIS DEL AMO RIAZOR")</f>
        <v>LUIS DEL AMO RIAZOR</v>
      </c>
      <c r="K308" s="33">
        <f ca="1">IFERROR(__xludf.DUMMYFUNCTION("""COMPUTED_VALUE"""),2)</f>
        <v>2</v>
      </c>
      <c r="L308" s="203">
        <f ca="1">IFERROR(__xludf.DUMMYFUNCTION("""COMPUTED_VALUE"""),2888.18)</f>
        <v>2888.18</v>
      </c>
      <c r="M308" s="33" t="str">
        <f ca="1">IFERROR(__xludf.DUMMYFUNCTION("""COMPUTED_VALUE"""),"03 ORL")</f>
        <v>03 ORL</v>
      </c>
      <c r="N308" s="33" t="str">
        <f ca="1">IFERROR(__xludf.DUMMYFUNCTION("""COMPUTED_VALUE"""),"06 ORL")</f>
        <v>06 ORL</v>
      </c>
      <c r="O308" s="33" t="str">
        <f ca="1">IFERROR(__xludf.DUMMYFUNCTION("""COMPUTED_VALUE"""),"Dr, José Gustavo Barroso Braojos")</f>
        <v>Dr, José Gustavo Barroso Braojos</v>
      </c>
      <c r="P308" s="33" t="str">
        <f ca="1">IFERROR(__xludf.DUMMYFUNCTION("""COMPUTED_VALUE"""),"Maika Blázquez (Madrid)")</f>
        <v>Maika Blázquez (Madrid)</v>
      </c>
    </row>
    <row r="309" spans="2:16">
      <c r="B309" s="33">
        <f ca="1">IFERROR(__xludf.DUMMYFUNCTION("""COMPUTED_VALUE"""),2025)</f>
        <v>2025</v>
      </c>
      <c r="C309" s="33">
        <f ca="1">IFERROR(__xludf.DUMMYFUNCTION("""COMPUTED_VALUE"""),3)</f>
        <v>3</v>
      </c>
      <c r="D309" s="33" t="str">
        <f ca="1">IFERROR(__xludf.DUMMYFUNCTION("""COMPUTED_VALUE"""),"NO")</f>
        <v>NO</v>
      </c>
      <c r="E309" s="33" t="str">
        <f ca="1">IFERROR(__xludf.DUMMYFUNCTION("""COMPUTED_VALUE"""),"Madrid- Galileo")</f>
        <v>Madrid- Galileo</v>
      </c>
      <c r="F309" s="57">
        <f ca="1">IFERROR(__xludf.DUMMYFUNCTION("""COMPUTED_VALUE"""),45727)</f>
        <v>45727</v>
      </c>
      <c r="G309" s="57">
        <f ca="1">IFERROR(__xludf.DUMMYFUNCTION("""COMPUTED_VALUE"""),45706)</f>
        <v>45706</v>
      </c>
      <c r="H309" s="33" t="str">
        <f ca="1">IFERROR(__xludf.DUMMYFUNCTION("""COMPUTED_VALUE"""),"Moncloa")</f>
        <v>Moncloa</v>
      </c>
      <c r="I309" s="33" t="str">
        <f ca="1">IFERROR(__xludf.DUMMYFUNCTION("""COMPUTED_VALUE"""),"C20252211280151")</f>
        <v>C20252211280151</v>
      </c>
      <c r="J309" s="33" t="str">
        <f ca="1">IFERROR(__xludf.DUMMYFUNCTION("""COMPUTED_VALUE"""),"ANDRES FERREIRO CARREÑO")</f>
        <v>ANDRES FERREIRO CARREÑO</v>
      </c>
      <c r="K309" s="33">
        <f ca="1">IFERROR(__xludf.DUMMYFUNCTION("""COMPUTED_VALUE"""),2)</f>
        <v>2</v>
      </c>
      <c r="L309" s="203">
        <f ca="1">IFERROR(__xludf.DUMMYFUNCTION("""COMPUTED_VALUE"""),4000)</f>
        <v>4000</v>
      </c>
      <c r="M309" s="33" t="str">
        <f ca="1">IFERROR(__xludf.DUMMYFUNCTION("""COMPUTED_VALUE"""),"01 MARKETING ON LINE")</f>
        <v>01 MARKETING ON LINE</v>
      </c>
      <c r="N309" s="33" t="str">
        <f ca="1">IFERROR(__xludf.DUMMYFUNCTION("""COMPUTED_VALUE"""),"01 WEB AUDICOST")</f>
        <v>01 WEB AUDICOST</v>
      </c>
      <c r="O309" s="33" t="str">
        <f ca="1">IFERROR(__xludf.DUMMYFUNCTION("""COMPUTED_VALUE"""),"Dr, Esteban Scola Pliego")</f>
        <v>Dr, Esteban Scola Pliego</v>
      </c>
      <c r="P309" s="33" t="str">
        <f ca="1">IFERROR(__xludf.DUMMYFUNCTION("""COMPUTED_VALUE"""),"Maika Blázquez (Madrid)")</f>
        <v>Maika Blázquez (Madrid)</v>
      </c>
    </row>
    <row r="310" spans="2:16">
      <c r="B310" s="33">
        <f ca="1">IFERROR(__xludf.DUMMYFUNCTION("""COMPUTED_VALUE"""),2025)</f>
        <v>2025</v>
      </c>
      <c r="C310" s="33">
        <f ca="1">IFERROR(__xludf.DUMMYFUNCTION("""COMPUTED_VALUE"""),3)</f>
        <v>3</v>
      </c>
      <c r="D310" s="33" t="str">
        <f ca="1">IFERROR(__xludf.DUMMYFUNCTION("""COMPUTED_VALUE"""),"NO")</f>
        <v>NO</v>
      </c>
      <c r="E310" s="33" t="str">
        <f ca="1">IFERROR(__xludf.DUMMYFUNCTION("""COMPUTED_VALUE"""),"Orihuela")</f>
        <v>Orihuela</v>
      </c>
      <c r="F310" s="57">
        <f ca="1">IFERROR(__xludf.DUMMYFUNCTION("""COMPUTED_VALUE"""),45727)</f>
        <v>45727</v>
      </c>
      <c r="G310" s="57">
        <f ca="1">IFERROR(__xludf.DUMMYFUNCTION("""COMPUTED_VALUE"""),45677)</f>
        <v>45677</v>
      </c>
      <c r="H310" s="33" t="str">
        <f ca="1">IFERROR(__xludf.DUMMYFUNCTION("""COMPUTED_VALUE"""),"La Zenia")</f>
        <v>La Zenia</v>
      </c>
      <c r="I310" s="33" t="str">
        <f ca="1">IFERROR(__xludf.DUMMYFUNCTION("""COMPUTED_VALUE"""),"C2025217145632196")</f>
        <v>C2025217145632196</v>
      </c>
      <c r="J310" s="33" t="str">
        <f ca="1">IFERROR(__xludf.DUMMYFUNCTION("""COMPUTED_VALUE"""),"AMANDA JANE CARTER")</f>
        <v>AMANDA JANE CARTER</v>
      </c>
      <c r="K310" s="33">
        <f ca="1">IFERROR(__xludf.DUMMYFUNCTION("""COMPUTED_VALUE"""),1)</f>
        <v>1</v>
      </c>
      <c r="L310" s="203">
        <f ca="1">IFERROR(__xludf.DUMMYFUNCTION("""COMPUTED_VALUE"""),2640)</f>
        <v>2640</v>
      </c>
      <c r="M310" s="33" t="str">
        <f ca="1">IFERROR(__xludf.DUMMYFUNCTION("""COMPUTED_VALUE"""),"03 ORL")</f>
        <v>03 ORL</v>
      </c>
      <c r="N310" s="33" t="str">
        <f ca="1">IFERROR(__xludf.DUMMYFUNCTION("""COMPUTED_VALUE"""),"06 ORL")</f>
        <v>06 ORL</v>
      </c>
      <c r="O310" s="33" t="str">
        <f ca="1">IFERROR(__xludf.DUMMYFUNCTION("""COMPUTED_VALUE"""),"Dr, Rubén Moreno Arrones")</f>
        <v>Dr, Rubén Moreno Arrones</v>
      </c>
      <c r="P310" s="33" t="str">
        <f ca="1">IFERROR(__xludf.DUMMYFUNCTION("""COMPUTED_VALUE"""),"Iván Sánchez (Levante Y Albacete)")</f>
        <v>Iván Sánchez (Levante Y Albacete)</v>
      </c>
    </row>
    <row r="311" spans="2:16">
      <c r="B311" s="33">
        <f ca="1">IFERROR(__xludf.DUMMYFUNCTION("""COMPUTED_VALUE"""),2025)</f>
        <v>2025</v>
      </c>
      <c r="C311" s="33">
        <f ca="1">IFERROR(__xludf.DUMMYFUNCTION("""COMPUTED_VALUE"""),3)</f>
        <v>3</v>
      </c>
      <c r="D311" s="33" t="str">
        <f ca="1">IFERROR(__xludf.DUMMYFUNCTION("""COMPUTED_VALUE"""),"NO")</f>
        <v>NO</v>
      </c>
      <c r="E311" s="33" t="str">
        <f ca="1">IFERROR(__xludf.DUMMYFUNCTION("""COMPUTED_VALUE"""),"Alcorcón")</f>
        <v>Alcorcón</v>
      </c>
      <c r="F311" s="57">
        <f ca="1">IFERROR(__xludf.DUMMYFUNCTION("""COMPUTED_VALUE"""),45727)</f>
        <v>45727</v>
      </c>
      <c r="G311" s="57">
        <f ca="1">IFERROR(__xludf.DUMMYFUNCTION("""COMPUTED_VALUE"""),45702)</f>
        <v>45702</v>
      </c>
      <c r="H311" s="33" t="str">
        <f ca="1">IFERROR(__xludf.DUMMYFUNCTION("""COMPUTED_VALUE"""),"Alcorcón")</f>
        <v>Alcorcón</v>
      </c>
      <c r="I311" s="33" t="str">
        <f ca="1">IFERROR(__xludf.DUMMYFUNCTION("""COMPUTED_VALUE"""),"C2025217111439791")</f>
        <v>C2025217111439791</v>
      </c>
      <c r="J311" s="33" t="str">
        <f ca="1">IFERROR(__xludf.DUMMYFUNCTION("""COMPUTED_VALUE"""),"MARIA DEL CARMEN  SIERRA GOMEZ")</f>
        <v>MARIA DEL CARMEN  SIERRA GOMEZ</v>
      </c>
      <c r="K311" s="33">
        <f ca="1">IFERROR(__xludf.DUMMYFUNCTION("""COMPUTED_VALUE"""),2)</f>
        <v>2</v>
      </c>
      <c r="L311" s="203">
        <f ca="1">IFERROR(__xludf.DUMMYFUNCTION("""COMPUTED_VALUE"""),3710)</f>
        <v>3710</v>
      </c>
      <c r="M311" s="33" t="str">
        <f ca="1">IFERROR(__xludf.DUMMYFUNCTION("""COMPUTED_VALUE"""),"03 ORL")</f>
        <v>03 ORL</v>
      </c>
      <c r="N311" s="33" t="str">
        <f ca="1">IFERROR(__xludf.DUMMYFUNCTION("""COMPUTED_VALUE"""),"06 ORL")</f>
        <v>06 ORL</v>
      </c>
      <c r="O311" s="33" t="str">
        <f ca="1">IFERROR(__xludf.DUMMYFUNCTION("""COMPUTED_VALUE"""),"Dra, María Magdalena Pérez Ortín ")</f>
        <v>Dra, María Magdalena Pérez Ortín </v>
      </c>
      <c r="P311" s="33" t="str">
        <f ca="1">IFERROR(__xludf.DUMMYFUNCTION("""COMPUTED_VALUE"""),"Lisandro Russian (Madrid, Cáceres, Toledo, Talavera Y Logroño)")</f>
        <v>Lisandro Russian (Madrid, Cáceres, Toledo, Talavera Y Logroño)</v>
      </c>
    </row>
    <row r="312" spans="2:16">
      <c r="B312" s="33">
        <f ca="1">IFERROR(__xludf.DUMMYFUNCTION("""COMPUTED_VALUE"""),2025)</f>
        <v>2025</v>
      </c>
      <c r="C312" s="33">
        <f ca="1">IFERROR(__xludf.DUMMYFUNCTION("""COMPUTED_VALUE"""),3)</f>
        <v>3</v>
      </c>
      <c r="D312" s="33" t="str">
        <f ca="1">IFERROR(__xludf.DUMMYFUNCTION("""COMPUTED_VALUE"""),"NO")</f>
        <v>NO</v>
      </c>
      <c r="E312" s="33" t="str">
        <f ca="1">IFERROR(__xludf.DUMMYFUNCTION("""COMPUTED_VALUE"""),"Madrid- Moratalaz")</f>
        <v>Madrid- Moratalaz</v>
      </c>
      <c r="F312" s="57">
        <f ca="1">IFERROR(__xludf.DUMMYFUNCTION("""COMPUTED_VALUE"""),45727)</f>
        <v>45727</v>
      </c>
      <c r="G312" s="57">
        <f ca="1">IFERROR(__xludf.DUMMYFUNCTION("""COMPUTED_VALUE"""),45692)</f>
        <v>45692</v>
      </c>
      <c r="H312" s="33" t="str">
        <f ca="1">IFERROR(__xludf.DUMMYFUNCTION("""COMPUTED_VALUE"""),"Moratalaz")</f>
        <v>Moratalaz</v>
      </c>
      <c r="I312" s="33" t="str">
        <f ca="1">IFERROR(__xludf.DUMMYFUNCTION("""COMPUTED_VALUE"""),"C2025211162321299")</f>
        <v>C2025211162321299</v>
      </c>
      <c r="J312" s="33" t="str">
        <f ca="1">IFERROR(__xludf.DUMMYFUNCTION("""COMPUTED_VALUE"""),"MARIA ROSARIO  CHUECA AGUADO")</f>
        <v>MARIA ROSARIO  CHUECA AGUADO</v>
      </c>
      <c r="K312" s="33">
        <f ca="1">IFERROR(__xludf.DUMMYFUNCTION("""COMPUTED_VALUE"""),2)</f>
        <v>2</v>
      </c>
      <c r="L312" s="203">
        <f ca="1">IFERROR(__xludf.DUMMYFUNCTION("""COMPUTED_VALUE"""),4000)</f>
        <v>4000</v>
      </c>
      <c r="M312" s="33" t="str">
        <f ca="1">IFERROR(__xludf.DUMMYFUNCTION("""COMPUTED_VALUE"""),"03 ORL")</f>
        <v>03 ORL</v>
      </c>
      <c r="N312" s="33" t="str">
        <f ca="1">IFERROR(__xludf.DUMMYFUNCTION("""COMPUTED_VALUE"""),"06 ORL")</f>
        <v>06 ORL</v>
      </c>
      <c r="O312" s="33" t="str">
        <f ca="1">IFERROR(__xludf.DUMMYFUNCTION("""COMPUTED_VALUE"""),"Dr, Esteban Scola Pliego")</f>
        <v>Dr, Esteban Scola Pliego</v>
      </c>
      <c r="P312" s="33" t="str">
        <f ca="1">IFERROR(__xludf.DUMMYFUNCTION("""COMPUTED_VALUE"""),"Maika Blázquez (Madrid)")</f>
        <v>Maika Blázquez (Madrid)</v>
      </c>
    </row>
    <row r="313" spans="2:16">
      <c r="B313" s="33">
        <f ca="1">IFERROR(__xludf.DUMMYFUNCTION("""COMPUTED_VALUE"""),2025)</f>
        <v>2025</v>
      </c>
      <c r="C313" s="33">
        <f ca="1">IFERROR(__xludf.DUMMYFUNCTION("""COMPUTED_VALUE"""),3)</f>
        <v>3</v>
      </c>
      <c r="D313" s="33" t="str">
        <f ca="1">IFERROR(__xludf.DUMMYFUNCTION("""COMPUTED_VALUE"""),"NO")</f>
        <v>NO</v>
      </c>
      <c r="E313" s="33" t="str">
        <f ca="1">IFERROR(__xludf.DUMMYFUNCTION("""COMPUTED_VALUE"""),"Getafe")</f>
        <v>Getafe</v>
      </c>
      <c r="F313" s="57">
        <f ca="1">IFERROR(__xludf.DUMMYFUNCTION("""COMPUTED_VALUE"""),45728)</f>
        <v>45728</v>
      </c>
      <c r="G313" s="57">
        <f ca="1">IFERROR(__xludf.DUMMYFUNCTION("""COMPUTED_VALUE"""),45629)</f>
        <v>45629</v>
      </c>
      <c r="H313" s="33" t="str">
        <f ca="1">IFERROR(__xludf.DUMMYFUNCTION("""COMPUTED_VALUE"""),"Getafe")</f>
        <v>Getafe</v>
      </c>
      <c r="I313" s="33" t="str">
        <f ca="1">IFERROR(__xludf.DUMMYFUNCTION("""COMPUTED_VALUE"""),"C202511316058815")</f>
        <v>C202511316058815</v>
      </c>
      <c r="J313" s="33" t="str">
        <f ca="1">IFERROR(__xludf.DUMMYFUNCTION("""COMPUTED_VALUE"""),"MARIA PIEDAD AYUELA LOBATO")</f>
        <v>MARIA PIEDAD AYUELA LOBATO</v>
      </c>
      <c r="K313" s="33">
        <f ca="1">IFERROR(__xludf.DUMMYFUNCTION("""COMPUTED_VALUE"""),2)</f>
        <v>2</v>
      </c>
      <c r="L313" s="203">
        <f ca="1">IFERROR(__xludf.DUMMYFUNCTION("""COMPUTED_VALUE"""),3800)</f>
        <v>3800</v>
      </c>
      <c r="M313" s="33" t="str">
        <f ca="1">IFERROR(__xludf.DUMMYFUNCTION("""COMPUTED_VALUE"""),"03 ORL")</f>
        <v>03 ORL</v>
      </c>
      <c r="N313" s="33" t="str">
        <f ca="1">IFERROR(__xludf.DUMMYFUNCTION("""COMPUTED_VALUE"""),"06 ORL")</f>
        <v>06 ORL</v>
      </c>
      <c r="O313" s="33" t="str">
        <f ca="1">IFERROR(__xludf.DUMMYFUNCTION("""COMPUTED_VALUE"""),"Dra, María Garrote Garrote")</f>
        <v>Dra, María Garrote Garrote</v>
      </c>
      <c r="P313" s="33" t="str">
        <f ca="1">IFERROR(__xludf.DUMMYFUNCTION("""COMPUTED_VALUE"""),"Maika Blázquez (Madrid)")</f>
        <v>Maika Blázquez (Madrid)</v>
      </c>
    </row>
    <row r="314" spans="2:16">
      <c r="B314" s="33">
        <f ca="1">IFERROR(__xludf.DUMMYFUNCTION("""COMPUTED_VALUE"""),2025)</f>
        <v>2025</v>
      </c>
      <c r="C314" s="33">
        <f ca="1">IFERROR(__xludf.DUMMYFUNCTION("""COMPUTED_VALUE"""),3)</f>
        <v>3</v>
      </c>
      <c r="D314" s="33" t="str">
        <f ca="1">IFERROR(__xludf.DUMMYFUNCTION("""COMPUTED_VALUE"""),"NO")</f>
        <v>NO</v>
      </c>
      <c r="E314" s="33" t="str">
        <f ca="1">IFERROR(__xludf.DUMMYFUNCTION("""COMPUTED_VALUE"""),"Madrid- Juan Bravo")</f>
        <v>Madrid- Juan Bravo</v>
      </c>
      <c r="F314" s="57">
        <f ca="1">IFERROR(__xludf.DUMMYFUNCTION("""COMPUTED_VALUE"""),45729)</f>
        <v>45729</v>
      </c>
      <c r="G314" s="57">
        <f ca="1">IFERROR(__xludf.DUMMYFUNCTION("""COMPUTED_VALUE"""),45709)</f>
        <v>45709</v>
      </c>
      <c r="H314" s="33" t="str">
        <f ca="1">IFERROR(__xludf.DUMMYFUNCTION("""COMPUTED_VALUE"""),"Juan Bravo")</f>
        <v>Juan Bravo</v>
      </c>
      <c r="I314" s="33" t="str">
        <f ca="1">IFERROR(__xludf.DUMMYFUNCTION("""COMPUTED_VALUE"""),"C202522415322175")</f>
        <v>C202522415322175</v>
      </c>
      <c r="J314" s="33" t="str">
        <f ca="1">IFERROR(__xludf.DUMMYFUNCTION("""COMPUTED_VALUE"""),"FRANCISCO CANO HUELVES")</f>
        <v>FRANCISCO CANO HUELVES</v>
      </c>
      <c r="K314" s="33">
        <f ca="1">IFERROR(__xludf.DUMMYFUNCTION("""COMPUTED_VALUE"""),1)</f>
        <v>1</v>
      </c>
      <c r="L314" s="203">
        <f ca="1">IFERROR(__xludf.DUMMYFUNCTION("""COMPUTED_VALUE"""),2640)</f>
        <v>2640</v>
      </c>
      <c r="M314" s="33" t="str">
        <f ca="1">IFERROR(__xludf.DUMMYFUNCTION("""COMPUTED_VALUE"""),"03 ORL")</f>
        <v>03 ORL</v>
      </c>
      <c r="N314" s="33" t="str">
        <f ca="1">IFERROR(__xludf.DUMMYFUNCTION("""COMPUTED_VALUE"""),"06 ORL")</f>
        <v>06 ORL</v>
      </c>
      <c r="O314" s="33" t="str">
        <f ca="1">IFERROR(__xludf.DUMMYFUNCTION("""COMPUTED_VALUE"""),"Dr, Alejandro Harguindey Antoli-Candela")</f>
        <v>Dr, Alejandro Harguindey Antoli-Candela</v>
      </c>
      <c r="P314" s="33" t="str">
        <f ca="1">IFERROR(__xludf.DUMMYFUNCTION("""COMPUTED_VALUE"""),"Maika Blázquez (Madrid)")</f>
        <v>Maika Blázquez (Madrid)</v>
      </c>
    </row>
    <row r="315" spans="2:16">
      <c r="B315" s="33">
        <f ca="1">IFERROR(__xludf.DUMMYFUNCTION("""COMPUTED_VALUE"""),2025)</f>
        <v>2025</v>
      </c>
      <c r="C315" s="33">
        <f ca="1">IFERROR(__xludf.DUMMYFUNCTION("""COMPUTED_VALUE"""),3)</f>
        <v>3</v>
      </c>
      <c r="D315" s="33" t="str">
        <f ca="1">IFERROR(__xludf.DUMMYFUNCTION("""COMPUTED_VALUE"""),"NO")</f>
        <v>NO</v>
      </c>
      <c r="E315" s="33" t="str">
        <f ca="1">IFERROR(__xludf.DUMMYFUNCTION("""COMPUTED_VALUE"""),"Ourense")</f>
        <v>Ourense</v>
      </c>
      <c r="F315" s="57">
        <f ca="1">IFERROR(__xludf.DUMMYFUNCTION("""COMPUTED_VALUE"""),45729)</f>
        <v>45729</v>
      </c>
      <c r="G315" s="57">
        <f ca="1">IFERROR(__xludf.DUMMYFUNCTION("""COMPUTED_VALUE"""),45677)</f>
        <v>45677</v>
      </c>
      <c r="H315" s="33" t="str">
        <f ca="1">IFERROR(__xludf.DUMMYFUNCTION("""COMPUTED_VALUE"""),"Orense")</f>
        <v>Orense</v>
      </c>
      <c r="I315" s="33" t="str">
        <f ca="1">IFERROR(__xludf.DUMMYFUNCTION("""COMPUTED_VALUE"""),"C202512212136169")</f>
        <v>C202512212136169</v>
      </c>
      <c r="J315" s="33" t="str">
        <f ca="1">IFERROR(__xludf.DUMMYFUNCTION("""COMPUTED_VALUE"""),"VICENTE FAILDE FERNANDEZ")</f>
        <v>VICENTE FAILDE FERNANDEZ</v>
      </c>
      <c r="K315" s="33">
        <f ca="1">IFERROR(__xludf.DUMMYFUNCTION("""COMPUTED_VALUE"""),1)</f>
        <v>1</v>
      </c>
      <c r="L315" s="203">
        <f ca="1">IFERROR(__xludf.DUMMYFUNCTION("""COMPUTED_VALUE"""),2225.96)</f>
        <v>2225.96</v>
      </c>
      <c r="M315" s="33" t="str">
        <f ca="1">IFERROR(__xludf.DUMMYFUNCTION("""COMPUTED_VALUE"""),"03 ORL")</f>
        <v>03 ORL</v>
      </c>
      <c r="N315" s="33" t="str">
        <f ca="1">IFERROR(__xludf.DUMMYFUNCTION("""COMPUTED_VALUE"""),"06 ORL")</f>
        <v>06 ORL</v>
      </c>
      <c r="O315" s="33" t="str">
        <f ca="1">IFERROR(__xludf.DUMMYFUNCTION("""COMPUTED_VALUE"""),"Dra, María Rey Marcos")</f>
        <v>Dra, María Rey Marcos</v>
      </c>
      <c r="P315" s="33" t="str">
        <f ca="1">IFERROR(__xludf.DUMMYFUNCTION("""COMPUTED_VALUE"""),"Roberto Pereira (Galicia)")</f>
        <v>Roberto Pereira (Galicia)</v>
      </c>
    </row>
    <row r="316" spans="2:16">
      <c r="B316" s="33">
        <f ca="1">IFERROR(__xludf.DUMMYFUNCTION("""COMPUTED_VALUE"""),2025)</f>
        <v>2025</v>
      </c>
      <c r="C316" s="33">
        <f ca="1">IFERROR(__xludf.DUMMYFUNCTION("""COMPUTED_VALUE"""),3)</f>
        <v>3</v>
      </c>
      <c r="D316" s="33" t="str">
        <f ca="1">IFERROR(__xludf.DUMMYFUNCTION("""COMPUTED_VALUE"""),"NO")</f>
        <v>NO</v>
      </c>
      <c r="E316" s="33" t="str">
        <f ca="1">IFERROR(__xludf.DUMMYFUNCTION("""COMPUTED_VALUE"""),"Madrid- Juan Bravo")</f>
        <v>Madrid- Juan Bravo</v>
      </c>
      <c r="F316" s="57">
        <f ca="1">IFERROR(__xludf.DUMMYFUNCTION("""COMPUTED_VALUE"""),45729)</f>
        <v>45729</v>
      </c>
      <c r="G316" s="57">
        <f ca="1">IFERROR(__xludf.DUMMYFUNCTION("""COMPUTED_VALUE"""),45701)</f>
        <v>45701</v>
      </c>
      <c r="H316" s="33" t="str">
        <f ca="1">IFERROR(__xludf.DUMMYFUNCTION("""COMPUTED_VALUE"""),"Juan Bravo")</f>
        <v>Juan Bravo</v>
      </c>
      <c r="I316" s="33" t="str">
        <f ca="1">IFERROR(__xludf.DUMMYFUNCTION("""COMPUTED_VALUE"""),"C2025218103231649")</f>
        <v>C2025218103231649</v>
      </c>
      <c r="J316" s="33" t="str">
        <f ca="1">IFERROR(__xludf.DUMMYFUNCTION("""COMPUTED_VALUE"""),"JOSE  GORDILLO DURAN")</f>
        <v>JOSE  GORDILLO DURAN</v>
      </c>
      <c r="K316" s="33">
        <f ca="1">IFERROR(__xludf.DUMMYFUNCTION("""COMPUTED_VALUE"""),2)</f>
        <v>2</v>
      </c>
      <c r="L316" s="203">
        <f ca="1">IFERROR(__xludf.DUMMYFUNCTION("""COMPUTED_VALUE"""),3710)</f>
        <v>3710</v>
      </c>
      <c r="M316" s="33" t="str">
        <f ca="1">IFERROR(__xludf.DUMMYFUNCTION("""COMPUTED_VALUE"""),"03 ORL")</f>
        <v>03 ORL</v>
      </c>
      <c r="N316" s="33" t="str">
        <f ca="1">IFERROR(__xludf.DUMMYFUNCTION("""COMPUTED_VALUE"""),"06 ORL")</f>
        <v>06 ORL</v>
      </c>
      <c r="O316" s="33" t="str">
        <f ca="1">IFERROR(__xludf.DUMMYFUNCTION("""COMPUTED_VALUE"""),"Dr, Javier García Domínguez")</f>
        <v>Dr, Javier García Domínguez</v>
      </c>
      <c r="P316" s="33" t="str">
        <f ca="1">IFERROR(__xludf.DUMMYFUNCTION("""COMPUTED_VALUE"""),"Maika Blázquez (Madrid)")</f>
        <v>Maika Blázquez (Madrid)</v>
      </c>
    </row>
    <row r="317" spans="2:16">
      <c r="B317" s="33">
        <f ca="1">IFERROR(__xludf.DUMMYFUNCTION("""COMPUTED_VALUE"""),2025)</f>
        <v>2025</v>
      </c>
      <c r="C317" s="33">
        <f ca="1">IFERROR(__xludf.DUMMYFUNCTION("""COMPUTED_VALUE"""),3)</f>
        <v>3</v>
      </c>
      <c r="D317" s="33" t="str">
        <f ca="1">IFERROR(__xludf.DUMMYFUNCTION("""COMPUTED_VALUE"""),"NO")</f>
        <v>NO</v>
      </c>
      <c r="E317" s="33" t="str">
        <f ca="1">IFERROR(__xludf.DUMMYFUNCTION("""COMPUTED_VALUE"""),"Murcia")</f>
        <v>Murcia</v>
      </c>
      <c r="F317" s="57">
        <f ca="1">IFERROR(__xludf.DUMMYFUNCTION("""COMPUTED_VALUE"""),45729)</f>
        <v>45729</v>
      </c>
      <c r="G317" s="57">
        <f ca="1">IFERROR(__xludf.DUMMYFUNCTION("""COMPUTED_VALUE"""),45713)</f>
        <v>45713</v>
      </c>
      <c r="H317" s="33" t="str">
        <f ca="1">IFERROR(__xludf.DUMMYFUNCTION("""COMPUTED_VALUE"""),"Murcia")</f>
        <v>Murcia</v>
      </c>
      <c r="I317" s="33" t="str">
        <f ca="1">IFERROR(__xludf.DUMMYFUNCTION("""COMPUTED_VALUE"""),"C202522511335430")</f>
        <v>C202522511335430</v>
      </c>
      <c r="J317" s="33" t="str">
        <f ca="1">IFERROR(__xludf.DUMMYFUNCTION("""COMPUTED_VALUE"""),"JOAQUIN HERNANDEZ MANZANERA")</f>
        <v>JOAQUIN HERNANDEZ MANZANERA</v>
      </c>
      <c r="K317" s="33">
        <f ca="1">IFERROR(__xludf.DUMMYFUNCTION("""COMPUTED_VALUE"""),2)</f>
        <v>2</v>
      </c>
      <c r="L317" s="203">
        <f ca="1">IFERROR(__xludf.DUMMYFUNCTION("""COMPUTED_VALUE"""),3710)</f>
        <v>3710</v>
      </c>
      <c r="M317" s="33" t="str">
        <f ca="1">IFERROR(__xludf.DUMMYFUNCTION("""COMPUTED_VALUE"""),"03 ORL")</f>
        <v>03 ORL</v>
      </c>
      <c r="N317" s="33" t="str">
        <f ca="1">IFERROR(__xludf.DUMMYFUNCTION("""COMPUTED_VALUE"""),"06 ORL")</f>
        <v>06 ORL</v>
      </c>
      <c r="O317" s="33" t="str">
        <f ca="1">IFERROR(__xludf.DUMMYFUNCTION("""COMPUTED_VALUE"""),"Dr, Enrique López Meseguer")</f>
        <v>Dr, Enrique López Meseguer</v>
      </c>
      <c r="P317" s="33" t="str">
        <f ca="1">IFERROR(__xludf.DUMMYFUNCTION("""COMPUTED_VALUE"""),"Iván Sánchez (Levante Y Albacete)")</f>
        <v>Iván Sánchez (Levante Y Albacete)</v>
      </c>
    </row>
    <row r="318" spans="2:16">
      <c r="B318" s="33">
        <f ca="1">IFERROR(__xludf.DUMMYFUNCTION("""COMPUTED_VALUE"""),2025)</f>
        <v>2025</v>
      </c>
      <c r="C318" s="33">
        <f ca="1">IFERROR(__xludf.DUMMYFUNCTION("""COMPUTED_VALUE"""),3)</f>
        <v>3</v>
      </c>
      <c r="D318" s="33" t="str">
        <f ca="1">IFERROR(__xludf.DUMMYFUNCTION("""COMPUTED_VALUE"""),"NO")</f>
        <v>NO</v>
      </c>
      <c r="E318" s="33" t="str">
        <f ca="1">IFERROR(__xludf.DUMMYFUNCTION("""COMPUTED_VALUE"""),"Sevilla- Montoto")</f>
        <v>Sevilla- Montoto</v>
      </c>
      <c r="F318" s="57">
        <f ca="1">IFERROR(__xludf.DUMMYFUNCTION("""COMPUTED_VALUE"""),45729)</f>
        <v>45729</v>
      </c>
      <c r="G318" s="57">
        <f ca="1">IFERROR(__xludf.DUMMYFUNCTION("""COMPUTED_VALUE"""),45653)</f>
        <v>45653</v>
      </c>
      <c r="H318" s="33" t="str">
        <f ca="1">IFERROR(__xludf.DUMMYFUNCTION("""COMPUTED_VALUE"""),"Montoto")</f>
        <v>Montoto</v>
      </c>
      <c r="I318" s="33" t="str">
        <f ca="1">IFERROR(__xludf.DUMMYFUNCTION("""COMPUTED_VALUE"""),"C202521718922830")</f>
        <v>C202521718922830</v>
      </c>
      <c r="J318" s="33" t="str">
        <f ca="1">IFERROR(__xludf.DUMMYFUNCTION("""COMPUTED_VALUE"""),"DOLORES BECERRA GONZALEZ")</f>
        <v>DOLORES BECERRA GONZALEZ</v>
      </c>
      <c r="K318" s="33">
        <f ca="1">IFERROR(__xludf.DUMMYFUNCTION("""COMPUTED_VALUE"""),2)</f>
        <v>2</v>
      </c>
      <c r="L318" s="203">
        <f ca="1">IFERROR(__xludf.DUMMYFUNCTION("""COMPUTED_VALUE"""),2888.18)</f>
        <v>2888.18</v>
      </c>
      <c r="M318" s="33" t="str">
        <f ca="1">IFERROR(__xludf.DUMMYFUNCTION("""COMPUTED_VALUE"""),"03 ORL")</f>
        <v>03 ORL</v>
      </c>
      <c r="N318" s="33" t="str">
        <f ca="1">IFERROR(__xludf.DUMMYFUNCTION("""COMPUTED_VALUE"""),"06 ORL")</f>
        <v>06 ORL</v>
      </c>
      <c r="O318" s="33" t="str">
        <f ca="1">IFERROR(__xludf.DUMMYFUNCTION("""COMPUTED_VALUE"""),"Dra, Estefanía Berrocal Postigo")</f>
        <v>Dra, Estefanía Berrocal Postigo</v>
      </c>
      <c r="P318" s="33" t="str">
        <f ca="1">IFERROR(__xludf.DUMMYFUNCTION("""COMPUTED_VALUE"""),"Luis Alberto Rodríguez (Andalucía Y Badajoz)")</f>
        <v>Luis Alberto Rodríguez (Andalucía Y Badajoz)</v>
      </c>
    </row>
    <row r="319" spans="2:16">
      <c r="B319" s="33">
        <f ca="1">IFERROR(__xludf.DUMMYFUNCTION("""COMPUTED_VALUE"""),2025)</f>
        <v>2025</v>
      </c>
      <c r="C319" s="33">
        <f ca="1">IFERROR(__xludf.DUMMYFUNCTION("""COMPUTED_VALUE"""),3)</f>
        <v>3</v>
      </c>
      <c r="D319" s="33" t="str">
        <f ca="1">IFERROR(__xludf.DUMMYFUNCTION("""COMPUTED_VALUE"""),"NO")</f>
        <v>NO</v>
      </c>
      <c r="E319" s="33" t="str">
        <f ca="1">IFERROR(__xludf.DUMMYFUNCTION("""COMPUTED_VALUE"""),"Madrid- Juan Bravo")</f>
        <v>Madrid- Juan Bravo</v>
      </c>
      <c r="F319" s="57">
        <f ca="1">IFERROR(__xludf.DUMMYFUNCTION("""COMPUTED_VALUE"""),45729)</f>
        <v>45729</v>
      </c>
      <c r="G319" s="57">
        <f ca="1">IFERROR(__xludf.DUMMYFUNCTION("""COMPUTED_VALUE"""),45701)</f>
        <v>45701</v>
      </c>
      <c r="H319" s="33" t="str">
        <f ca="1">IFERROR(__xludf.DUMMYFUNCTION("""COMPUTED_VALUE"""),"Juan Bravo")</f>
        <v>Juan Bravo</v>
      </c>
      <c r="I319" s="33" t="str">
        <f ca="1">IFERROR(__xludf.DUMMYFUNCTION("""COMPUTED_VALUE"""),"C202521911535298")</f>
        <v>C202521911535298</v>
      </c>
      <c r="J319" s="33" t="str">
        <f ca="1">IFERROR(__xludf.DUMMYFUNCTION("""COMPUTED_VALUE"""),"JOAQUIN GUIRAO ULLASTRES")</f>
        <v>JOAQUIN GUIRAO ULLASTRES</v>
      </c>
      <c r="K319" s="33">
        <f ca="1">IFERROR(__xludf.DUMMYFUNCTION("""COMPUTED_VALUE"""),2)</f>
        <v>2</v>
      </c>
      <c r="L319" s="203">
        <f ca="1">IFERROR(__xludf.DUMMYFUNCTION("""COMPUTED_VALUE"""),4000)</f>
        <v>4000</v>
      </c>
      <c r="M319" s="33" t="str">
        <f ca="1">IFERROR(__xludf.DUMMYFUNCTION("""COMPUTED_VALUE"""),"03 ORL")</f>
        <v>03 ORL</v>
      </c>
      <c r="N319" s="33" t="str">
        <f ca="1">IFERROR(__xludf.DUMMYFUNCTION("""COMPUTED_VALUE"""),"06 ORL")</f>
        <v>06 ORL</v>
      </c>
      <c r="O319" s="33" t="str">
        <f ca="1">IFERROR(__xludf.DUMMYFUNCTION("""COMPUTED_VALUE"""),"Dr, Guillermo San Juan De La Moreta")</f>
        <v>Dr, Guillermo San Juan De La Moreta</v>
      </c>
      <c r="P319" s="33" t="str">
        <f ca="1">IFERROR(__xludf.DUMMYFUNCTION("""COMPUTED_VALUE"""),"Maika Blázquez (Madrid)")</f>
        <v>Maika Blázquez (Madrid)</v>
      </c>
    </row>
    <row r="320" spans="2:16">
      <c r="B320" s="33">
        <f ca="1">IFERROR(__xludf.DUMMYFUNCTION("""COMPUTED_VALUE"""),2025)</f>
        <v>2025</v>
      </c>
      <c r="C320" s="33">
        <f ca="1">IFERROR(__xludf.DUMMYFUNCTION("""COMPUTED_VALUE"""),3)</f>
        <v>3</v>
      </c>
      <c r="D320" s="33" t="str">
        <f ca="1">IFERROR(__xludf.DUMMYFUNCTION("""COMPUTED_VALUE"""),"NO")</f>
        <v>NO</v>
      </c>
      <c r="E320" s="33" t="str">
        <f ca="1">IFERROR(__xludf.DUMMYFUNCTION("""COMPUTED_VALUE"""),"Madrid- Moratalaz")</f>
        <v>Madrid- Moratalaz</v>
      </c>
      <c r="F320" s="57">
        <f ca="1">IFERROR(__xludf.DUMMYFUNCTION("""COMPUTED_VALUE"""),45729)</f>
        <v>45729</v>
      </c>
      <c r="G320" s="57">
        <f ca="1">IFERROR(__xludf.DUMMYFUNCTION("""COMPUTED_VALUE"""),45692)</f>
        <v>45692</v>
      </c>
      <c r="H320" s="33" t="str">
        <f ca="1">IFERROR(__xludf.DUMMYFUNCTION("""COMPUTED_VALUE"""),"Moratalaz")</f>
        <v>Moratalaz</v>
      </c>
      <c r="I320" s="33" t="str">
        <f ca="1">IFERROR(__xludf.DUMMYFUNCTION("""COMPUTED_VALUE"""),"C2025213175435372")</f>
        <v>C2025213175435372</v>
      </c>
      <c r="J320" s="33" t="str">
        <f ca="1">IFERROR(__xludf.DUMMYFUNCTION("""COMPUTED_VALUE"""),"CARLOS  ALONSO ALONSO")</f>
        <v>CARLOS  ALONSO ALONSO</v>
      </c>
      <c r="K320" s="33">
        <f ca="1">IFERROR(__xludf.DUMMYFUNCTION("""COMPUTED_VALUE"""),1)</f>
        <v>1</v>
      </c>
      <c r="L320" s="203">
        <f ca="1">IFERROR(__xludf.DUMMYFUNCTION("""COMPUTED_VALUE"""),2400)</f>
        <v>2400</v>
      </c>
      <c r="M320" s="33" t="str">
        <f ca="1">IFERROR(__xludf.DUMMYFUNCTION("""COMPUTED_VALUE"""),"03 ORL")</f>
        <v>03 ORL</v>
      </c>
      <c r="N320" s="33" t="str">
        <f ca="1">IFERROR(__xludf.DUMMYFUNCTION("""COMPUTED_VALUE"""),"06 ORL")</f>
        <v>06 ORL</v>
      </c>
      <c r="O320" s="33" t="str">
        <f ca="1">IFERROR(__xludf.DUMMYFUNCTION("""COMPUTED_VALUE"""),"Dr, Manuel Gutiérrez Triguero")</f>
        <v>Dr, Manuel Gutiérrez Triguero</v>
      </c>
      <c r="P320" s="33" t="str">
        <f ca="1">IFERROR(__xludf.DUMMYFUNCTION("""COMPUTED_VALUE"""),"Maika Blázquez (Madrid)")</f>
        <v>Maika Blázquez (Madrid)</v>
      </c>
    </row>
    <row r="321" spans="2:16">
      <c r="B321" s="33">
        <f ca="1">IFERROR(__xludf.DUMMYFUNCTION("""COMPUTED_VALUE"""),2025)</f>
        <v>2025</v>
      </c>
      <c r="C321" s="33">
        <f ca="1">IFERROR(__xludf.DUMMYFUNCTION("""COMPUTED_VALUE"""),3)</f>
        <v>3</v>
      </c>
      <c r="D321" s="33" t="str">
        <f ca="1">IFERROR(__xludf.DUMMYFUNCTION("""COMPUTED_VALUE"""),"NO")</f>
        <v>NO</v>
      </c>
      <c r="E321" s="33" t="str">
        <f ca="1">IFERROR(__xludf.DUMMYFUNCTION("""COMPUTED_VALUE"""),"Sevilla- Montoto")</f>
        <v>Sevilla- Montoto</v>
      </c>
      <c r="F321" s="57">
        <f ca="1">IFERROR(__xludf.DUMMYFUNCTION("""COMPUTED_VALUE"""),45730)</f>
        <v>45730</v>
      </c>
      <c r="G321" s="57">
        <f ca="1">IFERROR(__xludf.DUMMYFUNCTION("""COMPUTED_VALUE"""),45685)</f>
        <v>45685</v>
      </c>
      <c r="H321" s="33" t="str">
        <f ca="1">IFERROR(__xludf.DUMMYFUNCTION("""COMPUTED_VALUE"""),"Montoto")</f>
        <v>Montoto</v>
      </c>
      <c r="I321" s="33" t="str">
        <f ca="1">IFERROR(__xludf.DUMMYFUNCTION("""COMPUTED_VALUE"""),"C20252618244944")</f>
        <v>C20252618244944</v>
      </c>
      <c r="J321" s="33" t="str">
        <f ca="1">IFERROR(__xludf.DUMMYFUNCTION("""COMPUTED_VALUE"""),"PILAR CARRANZA GÜELL")</f>
        <v>PILAR CARRANZA GÜELL</v>
      </c>
      <c r="K321" s="33">
        <f ca="1">IFERROR(__xludf.DUMMYFUNCTION("""COMPUTED_VALUE"""),2)</f>
        <v>2</v>
      </c>
      <c r="L321" s="203">
        <f ca="1">IFERROR(__xludf.DUMMYFUNCTION("""COMPUTED_VALUE"""),3800)</f>
        <v>3800</v>
      </c>
      <c r="M321" s="33" t="str">
        <f ca="1">IFERROR(__xludf.DUMMYFUNCTION("""COMPUTED_VALUE"""),"03 ORL")</f>
        <v>03 ORL</v>
      </c>
      <c r="N321" s="33" t="str">
        <f ca="1">IFERROR(__xludf.DUMMYFUNCTION("""COMPUTED_VALUE"""),"06 ORL")</f>
        <v>06 ORL</v>
      </c>
      <c r="O321" s="33" t="str">
        <f ca="1">IFERROR(__xludf.DUMMYFUNCTION("""COMPUTED_VALUE"""),"Dr, Miguel Antonio Shepherd González")</f>
        <v>Dr, Miguel Antonio Shepherd González</v>
      </c>
      <c r="P321" s="33" t="str">
        <f ca="1">IFERROR(__xludf.DUMMYFUNCTION("""COMPUTED_VALUE"""),"Luis Alberto Rodríguez (Andalucía Y Badajoz)")</f>
        <v>Luis Alberto Rodríguez (Andalucía Y Badajoz)</v>
      </c>
    </row>
    <row r="322" spans="2:16">
      <c r="B322" s="33">
        <f ca="1">IFERROR(__xludf.DUMMYFUNCTION("""COMPUTED_VALUE"""),2025)</f>
        <v>2025</v>
      </c>
      <c r="C322" s="33">
        <f ca="1">IFERROR(__xludf.DUMMYFUNCTION("""COMPUTED_VALUE"""),3)</f>
        <v>3</v>
      </c>
      <c r="D322" s="33" t="str">
        <f ca="1">IFERROR(__xludf.DUMMYFUNCTION("""COMPUTED_VALUE"""),"NO")</f>
        <v>NO</v>
      </c>
      <c r="E322" s="33" t="str">
        <f ca="1">IFERROR(__xludf.DUMMYFUNCTION("""COMPUTED_VALUE"""),"Valencia- Cádiz")</f>
        <v>Valencia- Cádiz</v>
      </c>
      <c r="F322" s="57">
        <f ca="1">IFERROR(__xludf.DUMMYFUNCTION("""COMPUTED_VALUE"""),45730)</f>
        <v>45730</v>
      </c>
      <c r="G322" s="57">
        <f ca="1">IFERROR(__xludf.DUMMYFUNCTION("""COMPUTED_VALUE"""),45615)</f>
        <v>45615</v>
      </c>
      <c r="H322" s="33" t="str">
        <f ca="1">IFERROR(__xludf.DUMMYFUNCTION("""COMPUTED_VALUE"""),"Valencia- Cádiz")</f>
        <v>Valencia- Cádiz</v>
      </c>
      <c r="I322" s="33" t="str">
        <f ca="1">IFERROR(__xludf.DUMMYFUNCTION("""COMPUTED_VALUE"""),"C2024112118247319")</f>
        <v>C2024112118247319</v>
      </c>
      <c r="J322" s="33" t="str">
        <f ca="1">IFERROR(__xludf.DUMMYFUNCTION("""COMPUTED_VALUE"""),"SALVADOR BAUTISTA ZORNOZA")</f>
        <v>SALVADOR BAUTISTA ZORNOZA</v>
      </c>
      <c r="K322" s="33">
        <f ca="1">IFERROR(__xludf.DUMMYFUNCTION("""COMPUTED_VALUE"""),1)</f>
        <v>1</v>
      </c>
      <c r="L322" s="203">
        <f ca="1">IFERROR(__xludf.DUMMYFUNCTION("""COMPUTED_VALUE"""),2400)</f>
        <v>2400</v>
      </c>
      <c r="M322" s="33" t="str">
        <f ca="1">IFERROR(__xludf.DUMMYFUNCTION("""COMPUTED_VALUE"""),"03 ORL")</f>
        <v>03 ORL</v>
      </c>
      <c r="N322" s="33" t="str">
        <f ca="1">IFERROR(__xludf.DUMMYFUNCTION("""COMPUTED_VALUE"""),"06 ORL")</f>
        <v>06 ORL</v>
      </c>
      <c r="O322" s="33" t="str">
        <f ca="1">IFERROR(__xludf.DUMMYFUNCTION("""COMPUTED_VALUE"""),"Dr, Manuel Mateos Fernández")</f>
        <v>Dr, Manuel Mateos Fernández</v>
      </c>
      <c r="P322" s="33" t="str">
        <f ca="1">IFERROR(__xludf.DUMMYFUNCTION("""COMPUTED_VALUE"""),"Ramon Ferrando(Valencia)")</f>
        <v>Ramon Ferrando(Valencia)</v>
      </c>
    </row>
    <row r="323" spans="2:16">
      <c r="B323" s="33">
        <f ca="1">IFERROR(__xludf.DUMMYFUNCTION("""COMPUTED_VALUE"""),2025)</f>
        <v>2025</v>
      </c>
      <c r="C323" s="33">
        <f ca="1">IFERROR(__xludf.DUMMYFUNCTION("""COMPUTED_VALUE"""),3)</f>
        <v>3</v>
      </c>
      <c r="D323" s="33" t="str">
        <f ca="1">IFERROR(__xludf.DUMMYFUNCTION("""COMPUTED_VALUE"""),"NO")</f>
        <v>NO</v>
      </c>
      <c r="E323" s="33" t="str">
        <f ca="1">IFERROR(__xludf.DUMMYFUNCTION("""COMPUTED_VALUE"""),"Madrid- Canillas")</f>
        <v>Madrid- Canillas</v>
      </c>
      <c r="F323" s="57">
        <f ca="1">IFERROR(__xludf.DUMMYFUNCTION("""COMPUTED_VALUE"""),45730)</f>
        <v>45730</v>
      </c>
      <c r="G323" s="57">
        <f ca="1">IFERROR(__xludf.DUMMYFUNCTION("""COMPUTED_VALUE"""),45702)</f>
        <v>45702</v>
      </c>
      <c r="H323" s="33" t="str">
        <f ca="1">IFERROR(__xludf.DUMMYFUNCTION("""COMPUTED_VALUE"""),"Canillas")</f>
        <v>Canillas</v>
      </c>
      <c r="I323" s="33" t="str">
        <f ca="1">IFERROR(__xludf.DUMMYFUNCTION("""COMPUTED_VALUE"""),"C2025214104450298")</f>
        <v>C2025214104450298</v>
      </c>
      <c r="J323" s="33" t="str">
        <f ca="1">IFERROR(__xludf.DUMMYFUNCTION("""COMPUTED_VALUE"""),"DIONISIO VILLABA CORRAL")</f>
        <v>DIONISIO VILLABA CORRAL</v>
      </c>
      <c r="K323" s="33">
        <f ca="1">IFERROR(__xludf.DUMMYFUNCTION("""COMPUTED_VALUE"""),1)</f>
        <v>1</v>
      </c>
      <c r="L323" s="203">
        <f ca="1">IFERROR(__xludf.DUMMYFUNCTION("""COMPUTED_VALUE"""),2400)</f>
        <v>2400</v>
      </c>
      <c r="M323" s="33" t="str">
        <f ca="1">IFERROR(__xludf.DUMMYFUNCTION("""COMPUTED_VALUE"""),"03 ORL")</f>
        <v>03 ORL</v>
      </c>
      <c r="N323" s="33" t="str">
        <f ca="1">IFERROR(__xludf.DUMMYFUNCTION("""COMPUTED_VALUE"""),"06 ORL")</f>
        <v>06 ORL</v>
      </c>
      <c r="O323" s="33" t="str">
        <f ca="1">IFERROR(__xludf.DUMMYFUNCTION("""COMPUTED_VALUE"""),"Dr, Raimundo Andres Navarro Mediano")</f>
        <v>Dr, Raimundo Andres Navarro Mediano</v>
      </c>
      <c r="P323" s="33" t="str">
        <f ca="1">IFERROR(__xludf.DUMMYFUNCTION("""COMPUTED_VALUE"""),"Maika Blázquez (Madrid)")</f>
        <v>Maika Blázquez (Madrid)</v>
      </c>
    </row>
    <row r="324" spans="2:16">
      <c r="B324" s="33">
        <f ca="1">IFERROR(__xludf.DUMMYFUNCTION("""COMPUTED_VALUE"""),2025)</f>
        <v>2025</v>
      </c>
      <c r="C324" s="33">
        <f ca="1">IFERROR(__xludf.DUMMYFUNCTION("""COMPUTED_VALUE"""),3)</f>
        <v>3</v>
      </c>
      <c r="D324" s="33" t="str">
        <f ca="1">IFERROR(__xludf.DUMMYFUNCTION("""COMPUTED_VALUE"""),"NO")</f>
        <v>NO</v>
      </c>
      <c r="E324" s="33" t="str">
        <f ca="1">IFERROR(__xludf.DUMMYFUNCTION("""COMPUTED_VALUE"""),"Madrid- Costa Rica")</f>
        <v>Madrid- Costa Rica</v>
      </c>
      <c r="F324" s="57">
        <f ca="1">IFERROR(__xludf.DUMMYFUNCTION("""COMPUTED_VALUE"""),45733)</f>
        <v>45733</v>
      </c>
      <c r="G324" s="57">
        <f ca="1">IFERROR(__xludf.DUMMYFUNCTION("""COMPUTED_VALUE"""),45715)</f>
        <v>45715</v>
      </c>
      <c r="H324" s="33" t="str">
        <f ca="1">IFERROR(__xludf.DUMMYFUNCTION("""COMPUTED_VALUE"""),"Costa Rica")</f>
        <v>Costa Rica</v>
      </c>
      <c r="I324" s="33" t="str">
        <f ca="1">IFERROR(__xludf.DUMMYFUNCTION("""COMPUTED_VALUE"""),"C2025228155857266")</f>
        <v>C2025228155857266</v>
      </c>
      <c r="J324" s="33" t="str">
        <f ca="1">IFERROR(__xludf.DUMMYFUNCTION("""COMPUTED_VALUE"""),"PILAR REGIDOR DOÑORO")</f>
        <v>PILAR REGIDOR DOÑORO</v>
      </c>
      <c r="K324" s="33">
        <f ca="1">IFERROR(__xludf.DUMMYFUNCTION("""COMPUTED_VALUE"""),2)</f>
        <v>2</v>
      </c>
      <c r="L324" s="203">
        <f ca="1">IFERROR(__xludf.DUMMYFUNCTION("""COMPUTED_VALUE"""),4000)</f>
        <v>4000</v>
      </c>
      <c r="M324" s="33" t="str">
        <f ca="1">IFERROR(__xludf.DUMMYFUNCTION("""COMPUTED_VALUE"""),"03 ORL")</f>
        <v>03 ORL</v>
      </c>
      <c r="N324" s="33" t="str">
        <f ca="1">IFERROR(__xludf.DUMMYFUNCTION("""COMPUTED_VALUE"""),"06 ORL")</f>
        <v>06 ORL</v>
      </c>
      <c r="O324" s="33" t="str">
        <f ca="1">IFERROR(__xludf.DUMMYFUNCTION("""COMPUTED_VALUE"""),"Dr, Guillermo San Juan De La Moreta")</f>
        <v>Dr, Guillermo San Juan De La Moreta</v>
      </c>
      <c r="P324" s="33" t="str">
        <f ca="1">IFERROR(__xludf.DUMMYFUNCTION("""COMPUTED_VALUE"""),"Maika Blázquez (Madrid)")</f>
        <v>Maika Blázquez (Madrid)</v>
      </c>
    </row>
    <row r="325" spans="2:16">
      <c r="B325" s="33">
        <f ca="1">IFERROR(__xludf.DUMMYFUNCTION("""COMPUTED_VALUE"""),2025)</f>
        <v>2025</v>
      </c>
      <c r="C325" s="33">
        <f ca="1">IFERROR(__xludf.DUMMYFUNCTION("""COMPUTED_VALUE"""),3)</f>
        <v>3</v>
      </c>
      <c r="D325" s="33" t="str">
        <f ca="1">IFERROR(__xludf.DUMMYFUNCTION("""COMPUTED_VALUE"""),"NO")</f>
        <v>NO</v>
      </c>
      <c r="E325" s="33" t="str">
        <f ca="1">IFERROR(__xludf.DUMMYFUNCTION("""COMPUTED_VALUE"""),"Fuenlabrada")</f>
        <v>Fuenlabrada</v>
      </c>
      <c r="F325" s="57">
        <f ca="1">IFERROR(__xludf.DUMMYFUNCTION("""COMPUTED_VALUE"""),45733)</f>
        <v>45733</v>
      </c>
      <c r="G325" s="57">
        <f ca="1">IFERROR(__xludf.DUMMYFUNCTION("""COMPUTED_VALUE"""),45650)</f>
        <v>45650</v>
      </c>
      <c r="H325" s="33" t="str">
        <f ca="1">IFERROR(__xludf.DUMMYFUNCTION("""COMPUTED_VALUE"""),"Fuenlabrada")</f>
        <v>Fuenlabrada</v>
      </c>
      <c r="I325" s="33" t="str">
        <f ca="1">IFERROR(__xludf.DUMMYFUNCTION("""COMPUTED_VALUE"""),"C20251139655355")</f>
        <v>C20251139655355</v>
      </c>
      <c r="J325" s="33" t="str">
        <f ca="1">IFERROR(__xludf.DUMMYFUNCTION("""COMPUTED_VALUE"""),"Sasho Ivanov")</f>
        <v>Sasho Ivanov</v>
      </c>
      <c r="K325" s="33">
        <f ca="1">IFERROR(__xludf.DUMMYFUNCTION("""COMPUTED_VALUE"""),1)</f>
        <v>1</v>
      </c>
      <c r="L325" s="203">
        <f ca="1">IFERROR(__xludf.DUMMYFUNCTION("""COMPUTED_VALUE"""),2226.36)</f>
        <v>2226.36</v>
      </c>
      <c r="M325" s="33" t="str">
        <f ca="1">IFERROR(__xludf.DUMMYFUNCTION("""COMPUTED_VALUE"""),"03 ORL")</f>
        <v>03 ORL</v>
      </c>
      <c r="N325" s="33" t="str">
        <f ca="1">IFERROR(__xludf.DUMMYFUNCTION("""COMPUTED_VALUE"""),"06 ORL")</f>
        <v>06 ORL</v>
      </c>
      <c r="O325" s="33" t="str">
        <f ca="1">IFERROR(__xludf.DUMMYFUNCTION("""COMPUTED_VALUE"""),"Dra, Itziar Álvarez Palacios")</f>
        <v>Dra, Itziar Álvarez Palacios</v>
      </c>
      <c r="P325" s="33" t="str">
        <f ca="1">IFERROR(__xludf.DUMMYFUNCTION("""COMPUTED_VALUE"""),"Maika Blázquez (Madrid)")</f>
        <v>Maika Blázquez (Madrid)</v>
      </c>
    </row>
    <row r="326" spans="2:16">
      <c r="B326" s="33">
        <f ca="1">IFERROR(__xludf.DUMMYFUNCTION("""COMPUTED_VALUE"""),2025)</f>
        <v>2025</v>
      </c>
      <c r="C326" s="33">
        <f ca="1">IFERROR(__xludf.DUMMYFUNCTION("""COMPUTED_VALUE"""),3)</f>
        <v>3</v>
      </c>
      <c r="D326" s="33" t="str">
        <f ca="1">IFERROR(__xludf.DUMMYFUNCTION("""COMPUTED_VALUE"""),"NO")</f>
        <v>NO</v>
      </c>
      <c r="E326" s="33" t="str">
        <f ca="1">IFERROR(__xludf.DUMMYFUNCTION("""COMPUTED_VALUE"""),"El Albir (Benidorm)")</f>
        <v>El Albir (Benidorm)</v>
      </c>
      <c r="F326" s="57">
        <f ca="1">IFERROR(__xludf.DUMMYFUNCTION("""COMPUTED_VALUE"""),45733)</f>
        <v>45733</v>
      </c>
      <c r="G326" s="57">
        <f ca="1">IFERROR(__xludf.DUMMYFUNCTION("""COMPUTED_VALUE"""),45705)</f>
        <v>45705</v>
      </c>
      <c r="H326" s="33" t="str">
        <f ca="1">IFERROR(__xludf.DUMMYFUNCTION("""COMPUTED_VALUE"""),"El Albir (Benidorm)")</f>
        <v>El Albir (Benidorm)</v>
      </c>
      <c r="I326" s="33" t="str">
        <f ca="1">IFERROR(__xludf.DUMMYFUNCTION("""COMPUTED_VALUE"""),"C2025221102758226")</f>
        <v>C2025221102758226</v>
      </c>
      <c r="J326" s="33" t="str">
        <f ca="1">IFERROR(__xludf.DUMMYFUNCTION("""COMPUTED_VALUE"""),"LUIS  PEREZ COELLO")</f>
        <v>LUIS  PEREZ COELLO</v>
      </c>
      <c r="K326" s="33">
        <f ca="1">IFERROR(__xludf.DUMMYFUNCTION("""COMPUTED_VALUE"""),2)</f>
        <v>2</v>
      </c>
      <c r="L326" s="203">
        <f ca="1">IFERROR(__xludf.DUMMYFUNCTION("""COMPUTED_VALUE"""),3710)</f>
        <v>3710</v>
      </c>
      <c r="M326" s="33" t="str">
        <f ca="1">IFERROR(__xludf.DUMMYFUNCTION("""COMPUTED_VALUE"""),"03 ORL")</f>
        <v>03 ORL</v>
      </c>
      <c r="N326" s="33" t="str">
        <f ca="1">IFERROR(__xludf.DUMMYFUNCTION("""COMPUTED_VALUE"""),"06 ORL")</f>
        <v>06 ORL</v>
      </c>
      <c r="O326" s="33" t="str">
        <f ca="1">IFERROR(__xludf.DUMMYFUNCTION("""COMPUTED_VALUE"""),"Dra, María Emilia García Ruiz")</f>
        <v>Dra, María Emilia García Ruiz</v>
      </c>
      <c r="P326" s="33" t="str">
        <f ca="1">IFERROR(__xludf.DUMMYFUNCTION("""COMPUTED_VALUE"""),"Ramon Ferrando(Valencia)")</f>
        <v>Ramon Ferrando(Valencia)</v>
      </c>
    </row>
    <row r="327" spans="2:16">
      <c r="B327" s="33">
        <f ca="1">IFERROR(__xludf.DUMMYFUNCTION("""COMPUTED_VALUE"""),2025)</f>
        <v>2025</v>
      </c>
      <c r="C327" s="33">
        <f ca="1">IFERROR(__xludf.DUMMYFUNCTION("""COMPUTED_VALUE"""),3)</f>
        <v>3</v>
      </c>
      <c r="D327" s="33" t="str">
        <f ca="1">IFERROR(__xludf.DUMMYFUNCTION("""COMPUTED_VALUE"""),"NO")</f>
        <v>NO</v>
      </c>
      <c r="E327" s="33" t="str">
        <f ca="1">IFERROR(__xludf.DUMMYFUNCTION("""COMPUTED_VALUE"""),"Murcia")</f>
        <v>Murcia</v>
      </c>
      <c r="F327" s="57">
        <f ca="1">IFERROR(__xludf.DUMMYFUNCTION("""COMPUTED_VALUE"""),45733)</f>
        <v>45733</v>
      </c>
      <c r="G327" s="57">
        <f ca="1">IFERROR(__xludf.DUMMYFUNCTION("""COMPUTED_VALUE"""),45706)</f>
        <v>45706</v>
      </c>
      <c r="H327" s="33" t="str">
        <f ca="1">IFERROR(__xludf.DUMMYFUNCTION("""COMPUTED_VALUE"""),"Murcia")</f>
        <v>Murcia</v>
      </c>
      <c r="I327" s="33" t="str">
        <f ca="1">IFERROR(__xludf.DUMMYFUNCTION("""COMPUTED_VALUE"""),"C2025224163428453")</f>
        <v>C2025224163428453</v>
      </c>
      <c r="J327" s="33" t="str">
        <f ca="1">IFERROR(__xludf.DUMMYFUNCTION("""COMPUTED_VALUE"""),"ANTONIO CARRILLO ALCALA")</f>
        <v>ANTONIO CARRILLO ALCALA</v>
      </c>
      <c r="K327" s="33">
        <f ca="1">IFERROR(__xludf.DUMMYFUNCTION("""COMPUTED_VALUE"""),2)</f>
        <v>2</v>
      </c>
      <c r="L327" s="203">
        <f ca="1">IFERROR(__xludf.DUMMYFUNCTION("""COMPUTED_VALUE"""),3710)</f>
        <v>3710</v>
      </c>
      <c r="M327" s="33" t="str">
        <f ca="1">IFERROR(__xludf.DUMMYFUNCTION("""COMPUTED_VALUE"""),"03 ORL")</f>
        <v>03 ORL</v>
      </c>
      <c r="N327" s="33" t="str">
        <f ca="1">IFERROR(__xludf.DUMMYFUNCTION("""COMPUTED_VALUE"""),"06 ORL")</f>
        <v>06 ORL</v>
      </c>
      <c r="O327" s="33" t="str">
        <f ca="1">IFERROR(__xludf.DUMMYFUNCTION("""COMPUTED_VALUE"""),"Dra, Araceli González Delgado")</f>
        <v>Dra, Araceli González Delgado</v>
      </c>
      <c r="P327" s="33" t="str">
        <f ca="1">IFERROR(__xludf.DUMMYFUNCTION("""COMPUTED_VALUE"""),"Iván Sánchez (Levante Y Albacete)")</f>
        <v>Iván Sánchez (Levante Y Albacete)</v>
      </c>
    </row>
    <row r="328" spans="2:16">
      <c r="B328" s="33">
        <f ca="1">IFERROR(__xludf.DUMMYFUNCTION("""COMPUTED_VALUE"""),2025)</f>
        <v>2025</v>
      </c>
      <c r="C328" s="33">
        <f ca="1">IFERROR(__xludf.DUMMYFUNCTION("""COMPUTED_VALUE"""),3)</f>
        <v>3</v>
      </c>
      <c r="D328" s="33" t="str">
        <f ca="1">IFERROR(__xludf.DUMMYFUNCTION("""COMPUTED_VALUE"""),"NO")</f>
        <v>NO</v>
      </c>
      <c r="E328" s="33" t="str">
        <f ca="1">IFERROR(__xludf.DUMMYFUNCTION("""COMPUTED_VALUE"""),"Albacete")</f>
        <v>Albacete</v>
      </c>
      <c r="F328" s="57">
        <f ca="1">IFERROR(__xludf.DUMMYFUNCTION("""COMPUTED_VALUE"""),45733)</f>
        <v>45733</v>
      </c>
      <c r="G328" s="57">
        <f ca="1">IFERROR(__xludf.DUMMYFUNCTION("""COMPUTED_VALUE"""),45434)</f>
        <v>45434</v>
      </c>
      <c r="H328" s="33" t="str">
        <f ca="1">IFERROR(__xludf.DUMMYFUNCTION("""COMPUTED_VALUE"""),"Albacete")</f>
        <v>Albacete</v>
      </c>
      <c r="I328" s="33" t="str">
        <f ca="1">IFERROR(__xludf.DUMMYFUNCTION("""COMPUTED_VALUE"""),"ALB-870")</f>
        <v>ALB-870</v>
      </c>
      <c r="J328" s="33" t="str">
        <f ca="1">IFERROR(__xludf.DUMMYFUNCTION("""COMPUTED_VALUE"""),"SEGUNDO BELMONTE ROMERO")</f>
        <v>SEGUNDO BELMONTE ROMERO</v>
      </c>
      <c r="K328" s="33">
        <f ca="1">IFERROR(__xludf.DUMMYFUNCTION("""COMPUTED_VALUE"""),1)</f>
        <v>1</v>
      </c>
      <c r="L328" s="203">
        <f ca="1">IFERROR(__xludf.DUMMYFUNCTION("""COMPUTED_VALUE"""),2226.36)</f>
        <v>2226.36</v>
      </c>
      <c r="M328" s="33" t="str">
        <f ca="1">IFERROR(__xludf.DUMMYFUNCTION("""COMPUTED_VALUE"""),"03 ORL")</f>
        <v>03 ORL</v>
      </c>
      <c r="N328" s="33" t="str">
        <f ca="1">IFERROR(__xludf.DUMMYFUNCTION("""COMPUTED_VALUE"""),"06 ORL")</f>
        <v>06 ORL</v>
      </c>
      <c r="O328" s="33" t="str">
        <f ca="1">IFERROR(__xludf.DUMMYFUNCTION("""COMPUTED_VALUE"""),"Dr, Manuel Acebal Lucía")</f>
        <v>Dr, Manuel Acebal Lucía</v>
      </c>
      <c r="P328" s="33" t="str">
        <f ca="1">IFERROR(__xludf.DUMMYFUNCTION("""COMPUTED_VALUE"""),"Iván Sánchez (Levante Y Albacete)")</f>
        <v>Iván Sánchez (Levante Y Albacete)</v>
      </c>
    </row>
    <row r="329" spans="2:16">
      <c r="B329" s="33">
        <f ca="1">IFERROR(__xludf.DUMMYFUNCTION("""COMPUTED_VALUE"""),2025)</f>
        <v>2025</v>
      </c>
      <c r="C329" s="33">
        <f ca="1">IFERROR(__xludf.DUMMYFUNCTION("""COMPUTED_VALUE"""),3)</f>
        <v>3</v>
      </c>
      <c r="D329" s="33" t="str">
        <f ca="1">IFERROR(__xludf.DUMMYFUNCTION("""COMPUTED_VALUE"""),"NO")</f>
        <v>NO</v>
      </c>
      <c r="E329" s="33" t="str">
        <f ca="1">IFERROR(__xludf.DUMMYFUNCTION("""COMPUTED_VALUE"""),"Orihuela")</f>
        <v>Orihuela</v>
      </c>
      <c r="F329" s="57">
        <f ca="1">IFERROR(__xludf.DUMMYFUNCTION("""COMPUTED_VALUE"""),45733)</f>
        <v>45733</v>
      </c>
      <c r="G329" s="57">
        <f ca="1">IFERROR(__xludf.DUMMYFUNCTION("""COMPUTED_VALUE"""),45673)</f>
        <v>45673</v>
      </c>
      <c r="H329" s="33" t="str">
        <f ca="1">IFERROR(__xludf.DUMMYFUNCTION("""COMPUTED_VALUE"""),"La Zenia")</f>
        <v>La Zenia</v>
      </c>
      <c r="I329" s="33" t="str">
        <f ca="1">IFERROR(__xludf.DUMMYFUNCTION("""COMPUTED_VALUE"""),"C2025130115338482")</f>
        <v>C2025130115338482</v>
      </c>
      <c r="J329" s="33" t="str">
        <f ca="1">IFERROR(__xludf.DUMMYFUNCTION("""COMPUTED_VALUE"""),"DERRICK JAMES COOPER")</f>
        <v>DERRICK JAMES COOPER</v>
      </c>
      <c r="K329" s="33">
        <f ca="1">IFERROR(__xludf.DUMMYFUNCTION("""COMPUTED_VALUE"""),2)</f>
        <v>2</v>
      </c>
      <c r="L329" s="203">
        <f ca="1">IFERROR(__xludf.DUMMYFUNCTION("""COMPUTED_VALUE"""),3710)</f>
        <v>3710</v>
      </c>
      <c r="M329" s="33" t="str">
        <f ca="1">IFERROR(__xludf.DUMMYFUNCTION("""COMPUTED_VALUE"""),"03 ORL")</f>
        <v>03 ORL</v>
      </c>
      <c r="N329" s="33" t="str">
        <f ca="1">IFERROR(__xludf.DUMMYFUNCTION("""COMPUTED_VALUE"""),"06 ORL")</f>
        <v>06 ORL</v>
      </c>
      <c r="O329" s="33" t="str">
        <f ca="1">IFERROR(__xludf.DUMMYFUNCTION("""COMPUTED_VALUE"""),"Dr, Juan Javier Álvarez López")</f>
        <v>Dr, Juan Javier Álvarez López</v>
      </c>
      <c r="P329" s="33" t="str">
        <f ca="1">IFERROR(__xludf.DUMMYFUNCTION("""COMPUTED_VALUE"""),"Iván Sánchez (Levante Y Albacete)")</f>
        <v>Iván Sánchez (Levante Y Albacete)</v>
      </c>
    </row>
    <row r="330" spans="2:16">
      <c r="B330" s="33">
        <f ca="1">IFERROR(__xludf.DUMMYFUNCTION("""COMPUTED_VALUE"""),2025)</f>
        <v>2025</v>
      </c>
      <c r="C330" s="33">
        <f ca="1">IFERROR(__xludf.DUMMYFUNCTION("""COMPUTED_VALUE"""),3)</f>
        <v>3</v>
      </c>
      <c r="D330" s="33" t="str">
        <f ca="1">IFERROR(__xludf.DUMMYFUNCTION("""COMPUTED_VALUE"""),"NO")</f>
        <v>NO</v>
      </c>
      <c r="E330" s="33" t="str">
        <f ca="1">IFERROR(__xludf.DUMMYFUNCTION("""COMPUTED_VALUE"""),"Alicante")</f>
        <v>Alicante</v>
      </c>
      <c r="F330" s="57">
        <f ca="1">IFERROR(__xludf.DUMMYFUNCTION("""COMPUTED_VALUE"""),45733)</f>
        <v>45733</v>
      </c>
      <c r="G330" s="57">
        <f ca="1">IFERROR(__xludf.DUMMYFUNCTION("""COMPUTED_VALUE"""),45705)</f>
        <v>45705</v>
      </c>
      <c r="H330" s="33" t="str">
        <f ca="1">IFERROR(__xludf.DUMMYFUNCTION("""COMPUTED_VALUE"""),"Alicante")</f>
        <v>Alicante</v>
      </c>
      <c r="I330" s="33" t="str">
        <f ca="1">IFERROR(__xludf.DUMMYFUNCTION("""COMPUTED_VALUE"""),"C2025221122545747")</f>
        <v>C2025221122545747</v>
      </c>
      <c r="J330" s="33" t="str">
        <f ca="1">IFERROR(__xludf.DUMMYFUNCTION("""COMPUTED_VALUE"""),"FELICIDAD MERCHAN SANTOS")</f>
        <v>FELICIDAD MERCHAN SANTOS</v>
      </c>
      <c r="K330" s="33">
        <f ca="1">IFERROR(__xludf.DUMMYFUNCTION("""COMPUTED_VALUE"""),2)</f>
        <v>2</v>
      </c>
      <c r="L330" s="203">
        <f ca="1">IFERROR(__xludf.DUMMYFUNCTION("""COMPUTED_VALUE"""),4000)</f>
        <v>4000</v>
      </c>
      <c r="M330" s="33" t="str">
        <f ca="1">IFERROR(__xludf.DUMMYFUNCTION("""COMPUTED_VALUE"""),"03 ORL")</f>
        <v>03 ORL</v>
      </c>
      <c r="N330" s="33" t="str">
        <f ca="1">IFERROR(__xludf.DUMMYFUNCTION("""COMPUTED_VALUE"""),"06 ORL")</f>
        <v>06 ORL</v>
      </c>
      <c r="O330" s="33" t="str">
        <f ca="1">IFERROR(__xludf.DUMMYFUNCTION("""COMPUTED_VALUE"""),"Dr, Francisco Pastor Beviá")</f>
        <v>Dr, Francisco Pastor Beviá</v>
      </c>
      <c r="P330" s="33" t="str">
        <f ca="1">IFERROR(__xludf.DUMMYFUNCTION("""COMPUTED_VALUE"""),"Iván Sánchez (Levante Y Albacete)")</f>
        <v>Iván Sánchez (Levante Y Albacete)</v>
      </c>
    </row>
    <row r="331" spans="2:16">
      <c r="B331" s="33">
        <f ca="1">IFERROR(__xludf.DUMMYFUNCTION("""COMPUTED_VALUE"""),2025)</f>
        <v>2025</v>
      </c>
      <c r="C331" s="33">
        <f ca="1">IFERROR(__xludf.DUMMYFUNCTION("""COMPUTED_VALUE"""),3)</f>
        <v>3</v>
      </c>
      <c r="D331" s="33" t="str">
        <f ca="1">IFERROR(__xludf.DUMMYFUNCTION("""COMPUTED_VALUE"""),"NO")</f>
        <v>NO</v>
      </c>
      <c r="E331" s="33" t="str">
        <f ca="1">IFERROR(__xludf.DUMMYFUNCTION("""COMPUTED_VALUE"""),"Madrid- Canillas")</f>
        <v>Madrid- Canillas</v>
      </c>
      <c r="F331" s="57">
        <f ca="1">IFERROR(__xludf.DUMMYFUNCTION("""COMPUTED_VALUE"""),45734)</f>
        <v>45734</v>
      </c>
      <c r="G331" s="57">
        <f ca="1">IFERROR(__xludf.DUMMYFUNCTION("""COMPUTED_VALUE"""),45726)</f>
        <v>45726</v>
      </c>
      <c r="H331" s="33" t="str">
        <f ca="1">IFERROR(__xludf.DUMMYFUNCTION("""COMPUTED_VALUE"""),"Canillas")</f>
        <v>Canillas</v>
      </c>
      <c r="I331" s="33" t="str">
        <f ca="1">IFERROR(__xludf.DUMMYFUNCTION("""COMPUTED_VALUE"""),"C2025313115240241")</f>
        <v>C2025313115240241</v>
      </c>
      <c r="J331" s="33" t="str">
        <f ca="1">IFERROR(__xludf.DUMMYFUNCTION("""COMPUTED_VALUE"""),"SATURNINO GARCÍA ARNANZ")</f>
        <v>SATURNINO GARCÍA ARNANZ</v>
      </c>
      <c r="K331" s="33">
        <f ca="1">IFERROR(__xludf.DUMMYFUNCTION("""COMPUTED_VALUE"""),2)</f>
        <v>2</v>
      </c>
      <c r="L331" s="203">
        <f ca="1">IFERROR(__xludf.DUMMYFUNCTION("""COMPUTED_VALUE"""),3800)</f>
        <v>3800</v>
      </c>
      <c r="M331" s="33" t="str">
        <f ca="1">IFERROR(__xludf.DUMMYFUNCTION("""COMPUTED_VALUE"""),"03 ORL")</f>
        <v>03 ORL</v>
      </c>
      <c r="N331" s="33" t="str">
        <f ca="1">IFERROR(__xludf.DUMMYFUNCTION("""COMPUTED_VALUE"""),"06 ORL")</f>
        <v>06 ORL</v>
      </c>
      <c r="O331" s="33" t="str">
        <f ca="1">IFERROR(__xludf.DUMMYFUNCTION("""COMPUTED_VALUE"""),"Dr, Esteban Scola Pliego")</f>
        <v>Dr, Esteban Scola Pliego</v>
      </c>
      <c r="P331" s="33" t="str">
        <f ca="1">IFERROR(__xludf.DUMMYFUNCTION("""COMPUTED_VALUE"""),"Maika Blázquez (Madrid)")</f>
        <v>Maika Blázquez (Madrid)</v>
      </c>
    </row>
    <row r="332" spans="2:16">
      <c r="B332" s="33">
        <f ca="1">IFERROR(__xludf.DUMMYFUNCTION("""COMPUTED_VALUE"""),2025)</f>
        <v>2025</v>
      </c>
      <c r="C332" s="33">
        <f ca="1">IFERROR(__xludf.DUMMYFUNCTION("""COMPUTED_VALUE"""),3)</f>
        <v>3</v>
      </c>
      <c r="D332" s="33" t="str">
        <f ca="1">IFERROR(__xludf.DUMMYFUNCTION("""COMPUTED_VALUE"""),"NO")</f>
        <v>NO</v>
      </c>
      <c r="E332" s="33" t="str">
        <f ca="1">IFERROR(__xludf.DUMMYFUNCTION("""COMPUTED_VALUE"""),"San Javier")</f>
        <v>San Javier</v>
      </c>
      <c r="F332" s="57">
        <f ca="1">IFERROR(__xludf.DUMMYFUNCTION("""COMPUTED_VALUE"""),45734)</f>
        <v>45734</v>
      </c>
      <c r="G332" s="57">
        <f ca="1">IFERROR(__xludf.DUMMYFUNCTION("""COMPUTED_VALUE"""),45698)</f>
        <v>45698</v>
      </c>
      <c r="H332" s="33" t="str">
        <f ca="1">IFERROR(__xludf.DUMMYFUNCTION("""COMPUTED_VALUE"""),"San Javier")</f>
        <v>San Javier</v>
      </c>
      <c r="I332" s="33" t="str">
        <f ca="1">IFERROR(__xludf.DUMMYFUNCTION("""COMPUTED_VALUE"""),"C202521912025538")</f>
        <v>C202521912025538</v>
      </c>
      <c r="J332" s="33" t="str">
        <f ca="1">IFERROR(__xludf.DUMMYFUNCTION("""COMPUTED_VALUE"""),"FRANCISCO ANTONIO GARCIA RODRIGUEZ")</f>
        <v>FRANCISCO ANTONIO GARCIA RODRIGUEZ</v>
      </c>
      <c r="K332" s="33">
        <f ca="1">IFERROR(__xludf.DUMMYFUNCTION("""COMPUTED_VALUE"""),1)</f>
        <v>1</v>
      </c>
      <c r="L332" s="203">
        <f ca="1">IFERROR(__xludf.DUMMYFUNCTION("""COMPUTED_VALUE"""),2400)</f>
        <v>2400</v>
      </c>
      <c r="M332" s="33" t="str">
        <f ca="1">IFERROR(__xludf.DUMMYFUNCTION("""COMPUTED_VALUE"""),"03 ORL")</f>
        <v>03 ORL</v>
      </c>
      <c r="N332" s="33" t="str">
        <f ca="1">IFERROR(__xludf.DUMMYFUNCTION("""COMPUTED_VALUE"""),"06 ORL")</f>
        <v>06 ORL</v>
      </c>
      <c r="O332" s="33" t="str">
        <f ca="1">IFERROR(__xludf.DUMMYFUNCTION("""COMPUTED_VALUE"""),"Dra, María Teresa Almela Rojo")</f>
        <v>Dra, María Teresa Almela Rojo</v>
      </c>
      <c r="P332" s="33" t="str">
        <f ca="1">IFERROR(__xludf.DUMMYFUNCTION("""COMPUTED_VALUE"""),"Iván Sánchez (Levante Y Albacete)")</f>
        <v>Iván Sánchez (Levante Y Albacete)</v>
      </c>
    </row>
    <row r="333" spans="2:16">
      <c r="B333" s="33">
        <f ca="1">IFERROR(__xludf.DUMMYFUNCTION("""COMPUTED_VALUE"""),2025)</f>
        <v>2025</v>
      </c>
      <c r="C333" s="33">
        <f ca="1">IFERROR(__xludf.DUMMYFUNCTION("""COMPUTED_VALUE"""),3)</f>
        <v>3</v>
      </c>
      <c r="D333" s="33" t="str">
        <f ca="1">IFERROR(__xludf.DUMMYFUNCTION("""COMPUTED_VALUE"""),"NO")</f>
        <v>NO</v>
      </c>
      <c r="E333" s="33" t="str">
        <f ca="1">IFERROR(__xludf.DUMMYFUNCTION("""COMPUTED_VALUE"""),"San Javier")</f>
        <v>San Javier</v>
      </c>
      <c r="F333" s="57">
        <f ca="1">IFERROR(__xludf.DUMMYFUNCTION("""COMPUTED_VALUE"""),45734)</f>
        <v>45734</v>
      </c>
      <c r="G333" s="57">
        <f ca="1">IFERROR(__xludf.DUMMYFUNCTION("""COMPUTED_VALUE"""),45706)</f>
        <v>45706</v>
      </c>
      <c r="H333" s="33" t="str">
        <f ca="1">IFERROR(__xludf.DUMMYFUNCTION("""COMPUTED_VALUE"""),"San Javier")</f>
        <v>San Javier</v>
      </c>
      <c r="I333" s="33" t="str">
        <f ca="1">IFERROR(__xludf.DUMMYFUNCTION("""COMPUTED_VALUE"""),"C202522416111119")</f>
        <v>C202522416111119</v>
      </c>
      <c r="J333" s="33" t="str">
        <f ca="1">IFERROR(__xludf.DUMMYFUNCTION("""COMPUTED_VALUE"""),"FRANCISCA MEROÑO SANCHEZ")</f>
        <v>FRANCISCA MEROÑO SANCHEZ</v>
      </c>
      <c r="K333" s="33">
        <f ca="1">IFERROR(__xludf.DUMMYFUNCTION("""COMPUTED_VALUE"""),1)</f>
        <v>1</v>
      </c>
      <c r="L333" s="203">
        <f ca="1">IFERROR(__xludf.DUMMYFUNCTION("""COMPUTED_VALUE"""),2640)</f>
        <v>2640</v>
      </c>
      <c r="M333" s="33" t="str">
        <f ca="1">IFERROR(__xludf.DUMMYFUNCTION("""COMPUTED_VALUE"""),"04 TIENDA")</f>
        <v>04 TIENDA</v>
      </c>
      <c r="N333" s="33" t="str">
        <f ca="1">IFERROR(__xludf.DUMMYFUNCTION("""COMPUTED_VALUE"""),"07 BOCA/BOCA")</f>
        <v>07 BOCA/BOCA</v>
      </c>
      <c r="O333" s="33" t="str">
        <f ca="1">IFERROR(__xludf.DUMMYFUNCTION("""COMPUTED_VALUE"""),"Dr, Francisco García Purriños")</f>
        <v>Dr, Francisco García Purriños</v>
      </c>
      <c r="P333" s="33" t="str">
        <f ca="1">IFERROR(__xludf.DUMMYFUNCTION("""COMPUTED_VALUE"""),"Iván Sánchez (Levante Y Albacete)")</f>
        <v>Iván Sánchez (Levante Y Albacete)</v>
      </c>
    </row>
    <row r="334" spans="2:16">
      <c r="B334" s="33">
        <f ca="1">IFERROR(__xludf.DUMMYFUNCTION("""COMPUTED_VALUE"""),2025)</f>
        <v>2025</v>
      </c>
      <c r="C334" s="33">
        <f ca="1">IFERROR(__xludf.DUMMYFUNCTION("""COMPUTED_VALUE"""),3)</f>
        <v>3</v>
      </c>
      <c r="D334" s="33" t="str">
        <f ca="1">IFERROR(__xludf.DUMMYFUNCTION("""COMPUTED_VALUE"""),"NO")</f>
        <v>NO</v>
      </c>
      <c r="E334" s="33" t="str">
        <f ca="1">IFERROR(__xludf.DUMMYFUNCTION("""COMPUTED_VALUE"""),"Leganés")</f>
        <v>Leganés</v>
      </c>
      <c r="F334" s="57">
        <f ca="1">IFERROR(__xludf.DUMMYFUNCTION("""COMPUTED_VALUE"""),45734)</f>
        <v>45734</v>
      </c>
      <c r="G334" s="57">
        <f ca="1">IFERROR(__xludf.DUMMYFUNCTION("""COMPUTED_VALUE"""),45688)</f>
        <v>45688</v>
      </c>
      <c r="H334" s="33" t="str">
        <f ca="1">IFERROR(__xludf.DUMMYFUNCTION("""COMPUTED_VALUE"""),"Leganés")</f>
        <v>Leganés</v>
      </c>
      <c r="I334" s="33" t="str">
        <f ca="1">IFERROR(__xludf.DUMMYFUNCTION("""COMPUTED_VALUE"""),"C2025225113329150")</f>
        <v>C2025225113329150</v>
      </c>
      <c r="J334" s="33" t="str">
        <f ca="1">IFERROR(__xludf.DUMMYFUNCTION("""COMPUTED_VALUE"""),"MARCELINO GARCIA SALINERO")</f>
        <v>MARCELINO GARCIA SALINERO</v>
      </c>
      <c r="K334" s="33">
        <f ca="1">IFERROR(__xludf.DUMMYFUNCTION("""COMPUTED_VALUE"""),2)</f>
        <v>2</v>
      </c>
      <c r="L334" s="203">
        <f ca="1">IFERROR(__xludf.DUMMYFUNCTION("""COMPUTED_VALUE"""),3604.55)</f>
        <v>3604.55</v>
      </c>
      <c r="M334" s="33" t="str">
        <f ca="1">IFERROR(__xludf.DUMMYFUNCTION("""COMPUTED_VALUE"""),"03 ORL")</f>
        <v>03 ORL</v>
      </c>
      <c r="N334" s="33" t="str">
        <f ca="1">IFERROR(__xludf.DUMMYFUNCTION("""COMPUTED_VALUE"""),"06 ORL")</f>
        <v>06 ORL</v>
      </c>
      <c r="O334" s="33" t="str">
        <f ca="1">IFERROR(__xludf.DUMMYFUNCTION("""COMPUTED_VALUE"""),"Dra, Mar Lasso De La Vega Zamora")</f>
        <v>Dra, Mar Lasso De La Vega Zamora</v>
      </c>
      <c r="P334" s="33" t="str">
        <f ca="1">IFERROR(__xludf.DUMMYFUNCTION("""COMPUTED_VALUE"""),"Maika Blázquez (Madrid)")</f>
        <v>Maika Blázquez (Madrid)</v>
      </c>
    </row>
    <row r="335" spans="2:16">
      <c r="B335" s="33">
        <f ca="1">IFERROR(__xludf.DUMMYFUNCTION("""COMPUTED_VALUE"""),2025)</f>
        <v>2025</v>
      </c>
      <c r="C335" s="33">
        <f ca="1">IFERROR(__xludf.DUMMYFUNCTION("""COMPUTED_VALUE"""),3)</f>
        <v>3</v>
      </c>
      <c r="D335" s="33" t="str">
        <f ca="1">IFERROR(__xludf.DUMMYFUNCTION("""COMPUTED_VALUE"""),"NO")</f>
        <v>NO</v>
      </c>
      <c r="E335" s="33" t="str">
        <f ca="1">IFERROR(__xludf.DUMMYFUNCTION("""COMPUTED_VALUE"""),"Sevilla- Montoto")</f>
        <v>Sevilla- Montoto</v>
      </c>
      <c r="F335" s="57">
        <f ca="1">IFERROR(__xludf.DUMMYFUNCTION("""COMPUTED_VALUE"""),45734)</f>
        <v>45734</v>
      </c>
      <c r="G335" s="57">
        <f ca="1">IFERROR(__xludf.DUMMYFUNCTION("""COMPUTED_VALUE"""),45708)</f>
        <v>45708</v>
      </c>
      <c r="H335" s="33" t="str">
        <f ca="1">IFERROR(__xludf.DUMMYFUNCTION("""COMPUTED_VALUE"""),"Montoto")</f>
        <v>Montoto</v>
      </c>
      <c r="I335" s="33" t="str">
        <f ca="1">IFERROR(__xludf.DUMMYFUNCTION("""COMPUTED_VALUE"""),"C2025226122555530")</f>
        <v>C2025226122555530</v>
      </c>
      <c r="J335" s="33" t="str">
        <f ca="1">IFERROR(__xludf.DUMMYFUNCTION("""COMPUTED_VALUE"""),"ISABEL NIETO ALEGRE")</f>
        <v>ISABEL NIETO ALEGRE</v>
      </c>
      <c r="K335" s="33">
        <f ca="1">IFERROR(__xludf.DUMMYFUNCTION("""COMPUTED_VALUE"""),2)</f>
        <v>2</v>
      </c>
      <c r="L335" s="203">
        <f ca="1">IFERROR(__xludf.DUMMYFUNCTION("""COMPUTED_VALUE"""),2743.77)</f>
        <v>2743.77</v>
      </c>
      <c r="M335" s="33" t="str">
        <f ca="1">IFERROR(__xludf.DUMMYFUNCTION("""COMPUTED_VALUE"""),"03 ORL")</f>
        <v>03 ORL</v>
      </c>
      <c r="N335" s="33" t="str">
        <f ca="1">IFERROR(__xludf.DUMMYFUNCTION("""COMPUTED_VALUE"""),"06 ORL")</f>
        <v>06 ORL</v>
      </c>
      <c r="O335" s="33" t="str">
        <f ca="1">IFERROR(__xludf.DUMMYFUNCTION("""COMPUTED_VALUE"""),"Dr, Juan Maza Solano")</f>
        <v>Dr, Juan Maza Solano</v>
      </c>
      <c r="P335" s="33" t="str">
        <f ca="1">IFERROR(__xludf.DUMMYFUNCTION("""COMPUTED_VALUE"""),"Luis Alberto Rodríguez (Andalucía Y Badajoz)")</f>
        <v>Luis Alberto Rodríguez (Andalucía Y Badajoz)</v>
      </c>
    </row>
    <row r="336" spans="2:16">
      <c r="B336" s="33">
        <f ca="1">IFERROR(__xludf.DUMMYFUNCTION("""COMPUTED_VALUE"""),2025)</f>
        <v>2025</v>
      </c>
      <c r="C336" s="33">
        <f ca="1">IFERROR(__xludf.DUMMYFUNCTION("""COMPUTED_VALUE"""),3)</f>
        <v>3</v>
      </c>
      <c r="D336" s="33" t="str">
        <f ca="1">IFERROR(__xludf.DUMMYFUNCTION("""COMPUTED_VALUE"""),"NO")</f>
        <v>NO</v>
      </c>
      <c r="E336" s="33" t="str">
        <f ca="1">IFERROR(__xludf.DUMMYFUNCTION("""COMPUTED_VALUE"""),"Leganés")</f>
        <v>Leganés</v>
      </c>
      <c r="F336" s="57">
        <f ca="1">IFERROR(__xludf.DUMMYFUNCTION("""COMPUTED_VALUE"""),45734)</f>
        <v>45734</v>
      </c>
      <c r="G336" s="57">
        <f ca="1">IFERROR(__xludf.DUMMYFUNCTION("""COMPUTED_VALUE"""),45715)</f>
        <v>45715</v>
      </c>
      <c r="H336" s="33" t="str">
        <f ca="1">IFERROR(__xludf.DUMMYFUNCTION("""COMPUTED_VALUE"""),"Leganés")</f>
        <v>Leganés</v>
      </c>
      <c r="I336" s="33" t="str">
        <f ca="1">IFERROR(__xludf.DUMMYFUNCTION("""COMPUTED_VALUE"""),"C20253518810305")</f>
        <v>C20253518810305</v>
      </c>
      <c r="J336" s="33" t="str">
        <f ca="1">IFERROR(__xludf.DUMMYFUNCTION("""COMPUTED_VALUE"""),"MARIA TERESA IGLESIAS LARRIBA")</f>
        <v>MARIA TERESA IGLESIAS LARRIBA</v>
      </c>
      <c r="K336" s="33">
        <f ca="1">IFERROR(__xludf.DUMMYFUNCTION("""COMPUTED_VALUE"""),2)</f>
        <v>2</v>
      </c>
      <c r="L336" s="203">
        <f ca="1">IFERROR(__xludf.DUMMYFUNCTION("""COMPUTED_VALUE"""),2540.91)</f>
        <v>2540.91</v>
      </c>
      <c r="M336" s="33" t="str">
        <f ca="1">IFERROR(__xludf.DUMMYFUNCTION("""COMPUTED_VALUE"""),"03 ORL")</f>
        <v>03 ORL</v>
      </c>
      <c r="N336" s="33" t="str">
        <f ca="1">IFERROR(__xludf.DUMMYFUNCTION("""COMPUTED_VALUE"""),"06 ORL")</f>
        <v>06 ORL</v>
      </c>
      <c r="O336" s="33" t="str">
        <f ca="1">IFERROR(__xludf.DUMMYFUNCTION("""COMPUTED_VALUE"""),"Dr, Jesús Ramos Fernández")</f>
        <v>Dr, Jesús Ramos Fernández</v>
      </c>
      <c r="P336" s="33" t="str">
        <f ca="1">IFERROR(__xludf.DUMMYFUNCTION("""COMPUTED_VALUE"""),"Maika Blázquez (Madrid)")</f>
        <v>Maika Blázquez (Madrid)</v>
      </c>
    </row>
    <row r="337" spans="2:16">
      <c r="B337" s="33">
        <f ca="1">IFERROR(__xludf.DUMMYFUNCTION("""COMPUTED_VALUE"""),2025)</f>
        <v>2025</v>
      </c>
      <c r="C337" s="33">
        <f ca="1">IFERROR(__xludf.DUMMYFUNCTION("""COMPUTED_VALUE"""),3)</f>
        <v>3</v>
      </c>
      <c r="D337" s="33" t="str">
        <f ca="1">IFERROR(__xludf.DUMMYFUNCTION("""COMPUTED_VALUE"""),"NO")</f>
        <v>NO</v>
      </c>
      <c r="E337" s="33" t="str">
        <f ca="1">IFERROR(__xludf.DUMMYFUNCTION("""COMPUTED_VALUE"""),"Madrid- Canillas")</f>
        <v>Madrid- Canillas</v>
      </c>
      <c r="F337" s="57">
        <f ca="1">IFERROR(__xludf.DUMMYFUNCTION("""COMPUTED_VALUE"""),45734)</f>
        <v>45734</v>
      </c>
      <c r="G337" s="57">
        <f ca="1">IFERROR(__xludf.DUMMYFUNCTION("""COMPUTED_VALUE"""),45702)</f>
        <v>45702</v>
      </c>
      <c r="H337" s="33" t="str">
        <f ca="1">IFERROR(__xludf.DUMMYFUNCTION("""COMPUTED_VALUE"""),"Canillas")</f>
        <v>Canillas</v>
      </c>
      <c r="I337" s="33" t="str">
        <f ca="1">IFERROR(__xludf.DUMMYFUNCTION("""COMPUTED_VALUE"""),"C2025220113413712")</f>
        <v>C2025220113413712</v>
      </c>
      <c r="J337" s="33" t="str">
        <f ca="1">IFERROR(__xludf.DUMMYFUNCTION("""COMPUTED_VALUE"""),"ENCARNACIÓN MUÑOZ RAMÍREZ")</f>
        <v>ENCARNACIÓN MUÑOZ RAMÍREZ</v>
      </c>
      <c r="K337" s="33">
        <f ca="1">IFERROR(__xludf.DUMMYFUNCTION("""COMPUTED_VALUE"""),2)</f>
        <v>2</v>
      </c>
      <c r="L337" s="203">
        <f ca="1">IFERROR(__xludf.DUMMYFUNCTION("""COMPUTED_VALUE"""),4000)</f>
        <v>4000</v>
      </c>
      <c r="M337" s="33" t="str">
        <f ca="1">IFERROR(__xludf.DUMMYFUNCTION("""COMPUTED_VALUE"""),"03 ORL")</f>
        <v>03 ORL</v>
      </c>
      <c r="N337" s="33" t="str">
        <f ca="1">IFERROR(__xludf.DUMMYFUNCTION("""COMPUTED_VALUE"""),"06 ORL")</f>
        <v>06 ORL</v>
      </c>
      <c r="O337" s="33" t="str">
        <f ca="1">IFERROR(__xludf.DUMMYFUNCTION("""COMPUTED_VALUE"""),"Dra, María Del Mar Medina González")</f>
        <v>Dra, María Del Mar Medina González</v>
      </c>
      <c r="P337" s="33" t="str">
        <f ca="1">IFERROR(__xludf.DUMMYFUNCTION("""COMPUTED_VALUE"""),"Maika Blázquez (Madrid)")</f>
        <v>Maika Blázquez (Madrid)</v>
      </c>
    </row>
    <row r="338" spans="2:16">
      <c r="B338" s="33">
        <f ca="1">IFERROR(__xludf.DUMMYFUNCTION("""COMPUTED_VALUE"""),2025)</f>
        <v>2025</v>
      </c>
      <c r="C338" s="33">
        <f ca="1">IFERROR(__xludf.DUMMYFUNCTION("""COMPUTED_VALUE"""),3)</f>
        <v>3</v>
      </c>
      <c r="D338" s="33" t="str">
        <f ca="1">IFERROR(__xludf.DUMMYFUNCTION("""COMPUTED_VALUE"""),"NO")</f>
        <v>NO</v>
      </c>
      <c r="E338" s="33" t="str">
        <f ca="1">IFERROR(__xludf.DUMMYFUNCTION("""COMPUTED_VALUE"""),"Getafe")</f>
        <v>Getafe</v>
      </c>
      <c r="F338" s="57">
        <f ca="1">IFERROR(__xludf.DUMMYFUNCTION("""COMPUTED_VALUE"""),45734)</f>
        <v>45734</v>
      </c>
      <c r="G338" s="57">
        <f ca="1">IFERROR(__xludf.DUMMYFUNCTION("""COMPUTED_VALUE"""),45699)</f>
        <v>45699</v>
      </c>
      <c r="H338" s="33" t="str">
        <f ca="1">IFERROR(__xludf.DUMMYFUNCTION("""COMPUTED_VALUE"""),"Getafe")</f>
        <v>Getafe</v>
      </c>
      <c r="I338" s="33" t="str">
        <f ca="1">IFERROR(__xludf.DUMMYFUNCTION("""COMPUTED_VALUE"""),"C20252201623955")</f>
        <v>C20252201623955</v>
      </c>
      <c r="J338" s="33" t="str">
        <f ca="1">IFERROR(__xludf.DUMMYFUNCTION("""COMPUTED_VALUE"""),"JOSEFINA GONZALEZ SANTANA")</f>
        <v>JOSEFINA GONZALEZ SANTANA</v>
      </c>
      <c r="K338" s="33">
        <f ca="1">IFERROR(__xludf.DUMMYFUNCTION("""COMPUTED_VALUE"""),2)</f>
        <v>2</v>
      </c>
      <c r="L338" s="203">
        <f ca="1">IFERROR(__xludf.DUMMYFUNCTION("""COMPUTED_VALUE"""),3710)</f>
        <v>3710</v>
      </c>
      <c r="M338" s="33" t="str">
        <f ca="1">IFERROR(__xludf.DUMMYFUNCTION("""COMPUTED_VALUE"""),"03 ORL")</f>
        <v>03 ORL</v>
      </c>
      <c r="N338" s="33" t="str">
        <f ca="1">IFERROR(__xludf.DUMMYFUNCTION("""COMPUTED_VALUE"""),"06 ORL")</f>
        <v>06 ORL</v>
      </c>
      <c r="O338" s="33" t="str">
        <f ca="1">IFERROR(__xludf.DUMMYFUNCTION("""COMPUTED_VALUE"""),"Dra, María Garrote Garrote")</f>
        <v>Dra, María Garrote Garrote</v>
      </c>
      <c r="P338" s="33" t="str">
        <f ca="1">IFERROR(__xludf.DUMMYFUNCTION("""COMPUTED_VALUE"""),"Maika Blázquez (Madrid)")</f>
        <v>Maika Blázquez (Madrid)</v>
      </c>
    </row>
    <row r="339" spans="2:16">
      <c r="B339" s="33">
        <f ca="1">IFERROR(__xludf.DUMMYFUNCTION("""COMPUTED_VALUE"""),2025)</f>
        <v>2025</v>
      </c>
      <c r="C339" s="33">
        <f ca="1">IFERROR(__xludf.DUMMYFUNCTION("""COMPUTED_VALUE"""),3)</f>
        <v>3</v>
      </c>
      <c r="D339" s="33" t="str">
        <f ca="1">IFERROR(__xludf.DUMMYFUNCTION("""COMPUTED_VALUE"""),"NO")</f>
        <v>NO</v>
      </c>
      <c r="E339" s="33" t="str">
        <f ca="1">IFERROR(__xludf.DUMMYFUNCTION("""COMPUTED_VALUE"""),"Fuenlabrada")</f>
        <v>Fuenlabrada</v>
      </c>
      <c r="F339" s="57">
        <f ca="1">IFERROR(__xludf.DUMMYFUNCTION("""COMPUTED_VALUE"""),45735)</f>
        <v>45735</v>
      </c>
      <c r="G339" s="57">
        <f ca="1">IFERROR(__xludf.DUMMYFUNCTION("""COMPUTED_VALUE"""),45714)</f>
        <v>45714</v>
      </c>
      <c r="H339" s="33" t="str">
        <f ca="1">IFERROR(__xludf.DUMMYFUNCTION("""COMPUTED_VALUE"""),"Fuenlabrada")</f>
        <v>Fuenlabrada</v>
      </c>
      <c r="I339" s="33" t="str">
        <f ca="1">IFERROR(__xludf.DUMMYFUNCTION("""COMPUTED_VALUE"""),"C202522885927652")</f>
        <v>C202522885927652</v>
      </c>
      <c r="J339" s="33" t="str">
        <f ca="1">IFERROR(__xludf.DUMMYFUNCTION("""COMPUTED_VALUE"""),"MARIA DEL CARMEN  FRANCO SUAREZ")</f>
        <v>MARIA DEL CARMEN  FRANCO SUAREZ</v>
      </c>
      <c r="K339" s="33">
        <f ca="1">IFERROR(__xludf.DUMMYFUNCTION("""COMPUTED_VALUE"""),2)</f>
        <v>2</v>
      </c>
      <c r="L339" s="203">
        <f ca="1">IFERROR(__xludf.DUMMYFUNCTION("""COMPUTED_VALUE"""),4000)</f>
        <v>4000</v>
      </c>
      <c r="M339" s="33" t="str">
        <f ca="1">IFERROR(__xludf.DUMMYFUNCTION("""COMPUTED_VALUE"""),"03 ORL")</f>
        <v>03 ORL</v>
      </c>
      <c r="N339" s="33" t="str">
        <f ca="1">IFERROR(__xludf.DUMMYFUNCTION("""COMPUTED_VALUE"""),"06 ORL")</f>
        <v>06 ORL</v>
      </c>
      <c r="O339" s="33" t="str">
        <f ca="1">IFERROR(__xludf.DUMMYFUNCTION("""COMPUTED_VALUE"""),"Dr, Óscar Alfonso Arenas Britez")</f>
        <v>Dr, Óscar Alfonso Arenas Britez</v>
      </c>
      <c r="P339" s="33" t="str">
        <f ca="1">IFERROR(__xludf.DUMMYFUNCTION("""COMPUTED_VALUE"""),"Maika Blázquez (Madrid)")</f>
        <v>Maika Blázquez (Madrid)</v>
      </c>
    </row>
    <row r="340" spans="2:16">
      <c r="B340" s="33">
        <f ca="1">IFERROR(__xludf.DUMMYFUNCTION("""COMPUTED_VALUE"""),2025)</f>
        <v>2025</v>
      </c>
      <c r="C340" s="33">
        <f ca="1">IFERROR(__xludf.DUMMYFUNCTION("""COMPUTED_VALUE"""),3)</f>
        <v>3</v>
      </c>
      <c r="D340" s="33" t="str">
        <f ca="1">IFERROR(__xludf.DUMMYFUNCTION("""COMPUTED_VALUE"""),"NO")</f>
        <v>NO</v>
      </c>
      <c r="E340" s="33" t="str">
        <f ca="1">IFERROR(__xludf.DUMMYFUNCTION("""COMPUTED_VALUE"""),"Santiago de Compostela")</f>
        <v>Santiago de Compostela</v>
      </c>
      <c r="F340" s="57">
        <f ca="1">IFERROR(__xludf.DUMMYFUNCTION("""COMPUTED_VALUE"""),45736)</f>
        <v>45736</v>
      </c>
      <c r="G340" s="57">
        <f ca="1">IFERROR(__xludf.DUMMYFUNCTION("""COMPUTED_VALUE"""),45707)</f>
        <v>45707</v>
      </c>
      <c r="H340" s="33" t="str">
        <f ca="1">IFERROR(__xludf.DUMMYFUNCTION("""COMPUTED_VALUE"""),"Santiago")</f>
        <v>Santiago</v>
      </c>
      <c r="I340" s="33" t="str">
        <f ca="1">IFERROR(__xludf.DUMMYFUNCTION("""COMPUTED_VALUE"""),"C202522811145130")</f>
        <v>C202522811145130</v>
      </c>
      <c r="J340" s="33" t="str">
        <f ca="1">IFERROR(__xludf.DUMMYFUNCTION("""COMPUTED_VALUE"""),"ANA MARIA REINO MARTINEZ")</f>
        <v>ANA MARIA REINO MARTINEZ</v>
      </c>
      <c r="K340" s="33">
        <f ca="1">IFERROR(__xludf.DUMMYFUNCTION("""COMPUTED_VALUE"""),2)</f>
        <v>2</v>
      </c>
      <c r="L340" s="203">
        <f ca="1">IFERROR(__xludf.DUMMYFUNCTION("""COMPUTED_VALUE"""),2888.18)</f>
        <v>2888.18</v>
      </c>
      <c r="M340" s="33" t="str">
        <f ca="1">IFERROR(__xludf.DUMMYFUNCTION("""COMPUTED_VALUE"""),"03 ORL")</f>
        <v>03 ORL</v>
      </c>
      <c r="N340" s="33" t="str">
        <f ca="1">IFERROR(__xludf.DUMMYFUNCTION("""COMPUTED_VALUE"""),"06 ORL")</f>
        <v>06 ORL</v>
      </c>
      <c r="O340" s="33" t="str">
        <f ca="1">IFERROR(__xludf.DUMMYFUNCTION("""COMPUTED_VALUE"""),"Dra, Marta Paulos Novoa")</f>
        <v>Dra, Marta Paulos Novoa</v>
      </c>
      <c r="P340" s="33" t="str">
        <f ca="1">IFERROR(__xludf.DUMMYFUNCTION("""COMPUTED_VALUE"""),"Roberto Pereira (Galicia)")</f>
        <v>Roberto Pereira (Galicia)</v>
      </c>
    </row>
    <row r="341" spans="2:16">
      <c r="B341" s="33">
        <f ca="1">IFERROR(__xludf.DUMMYFUNCTION("""COMPUTED_VALUE"""),2025)</f>
        <v>2025</v>
      </c>
      <c r="C341" s="33">
        <f ca="1">IFERROR(__xludf.DUMMYFUNCTION("""COMPUTED_VALUE"""),3)</f>
        <v>3</v>
      </c>
      <c r="D341" s="33" t="str">
        <f ca="1">IFERROR(__xludf.DUMMYFUNCTION("""COMPUTED_VALUE"""),"NO")</f>
        <v>NO</v>
      </c>
      <c r="E341" s="33" t="str">
        <f ca="1">IFERROR(__xludf.DUMMYFUNCTION("""COMPUTED_VALUE"""),"Madrid- La Oca")</f>
        <v>Madrid- La Oca</v>
      </c>
      <c r="F341" s="57">
        <f ca="1">IFERROR(__xludf.DUMMYFUNCTION("""COMPUTED_VALUE"""),45736)</f>
        <v>45736</v>
      </c>
      <c r="G341" s="57">
        <f ca="1">IFERROR(__xludf.DUMMYFUNCTION("""COMPUTED_VALUE"""),45706)</f>
        <v>45706</v>
      </c>
      <c r="H341" s="33" t="str">
        <f ca="1">IFERROR(__xludf.DUMMYFUNCTION("""COMPUTED_VALUE"""),"La Oca")</f>
        <v>La Oca</v>
      </c>
      <c r="I341" s="33" t="str">
        <f ca="1">IFERROR(__xludf.DUMMYFUNCTION("""COMPUTED_VALUE"""),"C2025224162622294")</f>
        <v>C2025224162622294</v>
      </c>
      <c r="J341" s="33" t="str">
        <f ca="1">IFERROR(__xludf.DUMMYFUNCTION("""COMPUTED_VALUE"""),"PURIFICACION CARBALLEDO GOMEZ")</f>
        <v>PURIFICACION CARBALLEDO GOMEZ</v>
      </c>
      <c r="K341" s="33">
        <f ca="1">IFERROR(__xludf.DUMMYFUNCTION("""COMPUTED_VALUE"""),2)</f>
        <v>2</v>
      </c>
      <c r="L341" s="203">
        <f ca="1">IFERROR(__xludf.DUMMYFUNCTION("""COMPUTED_VALUE"""),2888.18)</f>
        <v>2888.18</v>
      </c>
      <c r="M341" s="33" t="str">
        <f ca="1">IFERROR(__xludf.DUMMYFUNCTION("""COMPUTED_VALUE"""),"03 ORL")</f>
        <v>03 ORL</v>
      </c>
      <c r="N341" s="33" t="str">
        <f ca="1">IFERROR(__xludf.DUMMYFUNCTION("""COMPUTED_VALUE"""),"06 ORL")</f>
        <v>06 ORL</v>
      </c>
      <c r="O341" s="33" t="str">
        <f ca="1">IFERROR(__xludf.DUMMYFUNCTION("""COMPUTED_VALUE"""),"Dr, José Joaquín Gutiérrez Barquín")</f>
        <v>Dr, José Joaquín Gutiérrez Barquín</v>
      </c>
      <c r="P341" s="33" t="str">
        <f ca="1">IFERROR(__xludf.DUMMYFUNCTION("""COMPUTED_VALUE"""),"Maika Blázquez (Madrid)")</f>
        <v>Maika Blázquez (Madrid)</v>
      </c>
    </row>
    <row r="342" spans="2:16">
      <c r="B342" s="33">
        <f ca="1">IFERROR(__xludf.DUMMYFUNCTION("""COMPUTED_VALUE"""),2025)</f>
        <v>2025</v>
      </c>
      <c r="C342" s="33">
        <f ca="1">IFERROR(__xludf.DUMMYFUNCTION("""COMPUTED_VALUE"""),3)</f>
        <v>3</v>
      </c>
      <c r="D342" s="33" t="str">
        <f ca="1">IFERROR(__xludf.DUMMYFUNCTION("""COMPUTED_VALUE"""),"NO")</f>
        <v>NO</v>
      </c>
      <c r="E342" s="33" t="str">
        <f ca="1">IFERROR(__xludf.DUMMYFUNCTION("""COMPUTED_VALUE"""),"Torrejón de Ardoz")</f>
        <v>Torrejón de Ardoz</v>
      </c>
      <c r="F342" s="57">
        <f ca="1">IFERROR(__xludf.DUMMYFUNCTION("""COMPUTED_VALUE"""),45736)</f>
        <v>45736</v>
      </c>
      <c r="G342" s="57">
        <f ca="1">IFERROR(__xludf.DUMMYFUNCTION("""COMPUTED_VALUE"""),45713)</f>
        <v>45713</v>
      </c>
      <c r="H342" s="33" t="str">
        <f ca="1">IFERROR(__xludf.DUMMYFUNCTION("""COMPUTED_VALUE"""),"Torrejón")</f>
        <v>Torrejón</v>
      </c>
      <c r="I342" s="33" t="str">
        <f ca="1">IFERROR(__xludf.DUMMYFUNCTION("""COMPUTED_VALUE"""),"C2025225195051364")</f>
        <v>C2025225195051364</v>
      </c>
      <c r="J342" s="33" t="str">
        <f ca="1">IFERROR(__xludf.DUMMYFUNCTION("""COMPUTED_VALUE"""),"MANUELA NAVARRO RODAS")</f>
        <v>MANUELA NAVARRO RODAS</v>
      </c>
      <c r="K342" s="33">
        <f ca="1">IFERROR(__xludf.DUMMYFUNCTION("""COMPUTED_VALUE"""),1)</f>
        <v>1</v>
      </c>
      <c r="L342" s="203">
        <f ca="1">IFERROR(__xludf.DUMMYFUNCTION("""COMPUTED_VALUE"""),2400)</f>
        <v>2400</v>
      </c>
      <c r="M342" s="33" t="str">
        <f ca="1">IFERROR(__xludf.DUMMYFUNCTION("""COMPUTED_VALUE"""),"03 ORL")</f>
        <v>03 ORL</v>
      </c>
      <c r="N342" s="33" t="str">
        <f ca="1">IFERROR(__xludf.DUMMYFUNCTION("""COMPUTED_VALUE"""),"06 ORL")</f>
        <v>06 ORL</v>
      </c>
      <c r="O342" s="33" t="str">
        <f ca="1">IFERROR(__xludf.DUMMYFUNCTION("""COMPUTED_VALUE"""),"Dr, Jose Joaquín Lora Díaz")</f>
        <v>Dr, Jose Joaquín Lora Díaz</v>
      </c>
      <c r="P342" s="33" t="str">
        <f ca="1">IFERROR(__xludf.DUMMYFUNCTION("""COMPUTED_VALUE"""),"Maika Blázquez (Madrid)")</f>
        <v>Maika Blázquez (Madrid)</v>
      </c>
    </row>
    <row r="343" spans="2:16">
      <c r="B343" s="33">
        <f ca="1">IFERROR(__xludf.DUMMYFUNCTION("""COMPUTED_VALUE"""),2025)</f>
        <v>2025</v>
      </c>
      <c r="C343" s="33">
        <f ca="1">IFERROR(__xludf.DUMMYFUNCTION("""COMPUTED_VALUE"""),3)</f>
        <v>3</v>
      </c>
      <c r="D343" s="33" t="str">
        <f ca="1">IFERROR(__xludf.DUMMYFUNCTION("""COMPUTED_VALUE"""),"NO")</f>
        <v>NO</v>
      </c>
      <c r="E343" s="33" t="str">
        <f ca="1">IFERROR(__xludf.DUMMYFUNCTION("""COMPUTED_VALUE"""),"Madrid- La Oca")</f>
        <v>Madrid- La Oca</v>
      </c>
      <c r="F343" s="57">
        <f ca="1">IFERROR(__xludf.DUMMYFUNCTION("""COMPUTED_VALUE"""),45736)</f>
        <v>45736</v>
      </c>
      <c r="G343" s="57">
        <f ca="1">IFERROR(__xludf.DUMMYFUNCTION("""COMPUTED_VALUE"""),45701)</f>
        <v>45701</v>
      </c>
      <c r="H343" s="33" t="str">
        <f ca="1">IFERROR(__xludf.DUMMYFUNCTION("""COMPUTED_VALUE"""),"La Oca")</f>
        <v>La Oca</v>
      </c>
      <c r="I343" s="33" t="str">
        <f ca="1">IFERROR(__xludf.DUMMYFUNCTION("""COMPUTED_VALUE"""),"C2025217102813410")</f>
        <v>C2025217102813410</v>
      </c>
      <c r="J343" s="33" t="str">
        <f ca="1">IFERROR(__xludf.DUMMYFUNCTION("""COMPUTED_VALUE"""),"MARIA JESUS SANCHEZ PONGA")</f>
        <v>MARIA JESUS SANCHEZ PONGA</v>
      </c>
      <c r="K343" s="33">
        <f ca="1">IFERROR(__xludf.DUMMYFUNCTION("""COMPUTED_VALUE"""),1)</f>
        <v>1</v>
      </c>
      <c r="L343" s="203">
        <f ca="1">IFERROR(__xludf.DUMMYFUNCTION("""COMPUTED_VALUE"""),2226.36)</f>
        <v>2226.36</v>
      </c>
      <c r="M343" s="33" t="str">
        <f ca="1">IFERROR(__xludf.DUMMYFUNCTION("""COMPUTED_VALUE"""),"03 ORL")</f>
        <v>03 ORL</v>
      </c>
      <c r="N343" s="33" t="str">
        <f ca="1">IFERROR(__xludf.DUMMYFUNCTION("""COMPUTED_VALUE"""),"06 ORL")</f>
        <v>06 ORL</v>
      </c>
      <c r="O343" s="33" t="str">
        <f ca="1">IFERROR(__xludf.DUMMYFUNCTION("""COMPUTED_VALUE"""),"Dr, José Joaquín Gutiérrez Barquín")</f>
        <v>Dr, José Joaquín Gutiérrez Barquín</v>
      </c>
      <c r="P343" s="33" t="str">
        <f ca="1">IFERROR(__xludf.DUMMYFUNCTION("""COMPUTED_VALUE"""),"Maika Blázquez (Madrid)")</f>
        <v>Maika Blázquez (Madrid)</v>
      </c>
    </row>
    <row r="344" spans="2:16">
      <c r="B344" s="33">
        <f ca="1">IFERROR(__xludf.DUMMYFUNCTION("""COMPUTED_VALUE"""),2025)</f>
        <v>2025</v>
      </c>
      <c r="C344" s="33">
        <f ca="1">IFERROR(__xludf.DUMMYFUNCTION("""COMPUTED_VALUE"""),3)</f>
        <v>3</v>
      </c>
      <c r="D344" s="33" t="str">
        <f ca="1">IFERROR(__xludf.DUMMYFUNCTION("""COMPUTED_VALUE"""),"NO")</f>
        <v>NO</v>
      </c>
      <c r="E344" s="33" t="str">
        <f ca="1">IFERROR(__xludf.DUMMYFUNCTION("""COMPUTED_VALUE"""),"Madrid- Juan Bravo")</f>
        <v>Madrid- Juan Bravo</v>
      </c>
      <c r="F344" s="57">
        <f ca="1">IFERROR(__xludf.DUMMYFUNCTION("""COMPUTED_VALUE"""),45736)</f>
        <v>45736</v>
      </c>
      <c r="G344" s="57">
        <f ca="1">IFERROR(__xludf.DUMMYFUNCTION("""COMPUTED_VALUE"""),45673)</f>
        <v>45673</v>
      </c>
      <c r="H344" s="33" t="str">
        <f ca="1">IFERROR(__xludf.DUMMYFUNCTION("""COMPUTED_VALUE"""),"Juan Bravo")</f>
        <v>Juan Bravo</v>
      </c>
      <c r="I344" s="33" t="str">
        <f ca="1">IFERROR(__xludf.DUMMYFUNCTION("""COMPUTED_VALUE"""),"C2025218171613886")</f>
        <v>C2025218171613886</v>
      </c>
      <c r="J344" s="33" t="str">
        <f ca="1">IFERROR(__xludf.DUMMYFUNCTION("""COMPUTED_VALUE"""),"MARIA LUISA MUÑOZ GARCIA")</f>
        <v>MARIA LUISA MUÑOZ GARCIA</v>
      </c>
      <c r="K344" s="33">
        <f ca="1">IFERROR(__xludf.DUMMYFUNCTION("""COMPUTED_VALUE"""),1)</f>
        <v>1</v>
      </c>
      <c r="L344" s="203">
        <f ca="1">IFERROR(__xludf.DUMMYFUNCTION("""COMPUTED_VALUE"""),2400)</f>
        <v>2400</v>
      </c>
      <c r="M344" s="33" t="str">
        <f ca="1">IFERROR(__xludf.DUMMYFUNCTION("""COMPUTED_VALUE"""),"03 ORL")</f>
        <v>03 ORL</v>
      </c>
      <c r="N344" s="33" t="str">
        <f ca="1">IFERROR(__xludf.DUMMYFUNCTION("""COMPUTED_VALUE"""),"06 ORL")</f>
        <v>06 ORL</v>
      </c>
      <c r="O344" s="33" t="str">
        <f ca="1">IFERROR(__xludf.DUMMYFUNCTION("""COMPUTED_VALUE"""),"Dra, María Antonia Rodríguez Castejón")</f>
        <v>Dra, María Antonia Rodríguez Castejón</v>
      </c>
      <c r="P344" s="33" t="str">
        <f ca="1">IFERROR(__xludf.DUMMYFUNCTION("""COMPUTED_VALUE"""),"Maika Blázquez (Madrid)")</f>
        <v>Maika Blázquez (Madrid)</v>
      </c>
    </row>
    <row r="345" spans="2:16">
      <c r="B345" s="33">
        <f ca="1">IFERROR(__xludf.DUMMYFUNCTION("""COMPUTED_VALUE"""),2025)</f>
        <v>2025</v>
      </c>
      <c r="C345" s="33">
        <f ca="1">IFERROR(__xludf.DUMMYFUNCTION("""COMPUTED_VALUE"""),3)</f>
        <v>3</v>
      </c>
      <c r="D345" s="33" t="str">
        <f ca="1">IFERROR(__xludf.DUMMYFUNCTION("""COMPUTED_VALUE"""),"NO")</f>
        <v>NO</v>
      </c>
      <c r="E345" s="33" t="str">
        <f ca="1">IFERROR(__xludf.DUMMYFUNCTION("""COMPUTED_VALUE"""),"Leganés")</f>
        <v>Leganés</v>
      </c>
      <c r="F345" s="57">
        <f ca="1">IFERROR(__xludf.DUMMYFUNCTION("""COMPUTED_VALUE"""),45736)</f>
        <v>45736</v>
      </c>
      <c r="G345" s="57">
        <f ca="1">IFERROR(__xludf.DUMMYFUNCTION("""COMPUTED_VALUE"""),45707)</f>
        <v>45707</v>
      </c>
      <c r="H345" s="33" t="str">
        <f ca="1">IFERROR(__xludf.DUMMYFUNCTION("""COMPUTED_VALUE"""),"Leganés")</f>
        <v>Leganés</v>
      </c>
      <c r="I345" s="33" t="str">
        <f ca="1">IFERROR(__xludf.DUMMYFUNCTION("""COMPUTED_VALUE"""),"C2025227164725763")</f>
        <v>C2025227164725763</v>
      </c>
      <c r="J345" s="33" t="str">
        <f ca="1">IFERROR(__xludf.DUMMYFUNCTION("""COMPUTED_VALUE"""),"MOISES  MARTIN ANAYA")</f>
        <v>MOISES  MARTIN ANAYA</v>
      </c>
      <c r="K345" s="33">
        <f ca="1">IFERROR(__xludf.DUMMYFUNCTION("""COMPUTED_VALUE"""),2)</f>
        <v>2</v>
      </c>
      <c r="L345" s="203">
        <f ca="1">IFERROR(__xludf.DUMMYFUNCTION("""COMPUTED_VALUE"""),3945.45)</f>
        <v>3945.45</v>
      </c>
      <c r="M345" s="33" t="str">
        <f ca="1">IFERROR(__xludf.DUMMYFUNCTION("""COMPUTED_VALUE"""),"03 ORL")</f>
        <v>03 ORL</v>
      </c>
      <c r="N345" s="33" t="str">
        <f ca="1">IFERROR(__xludf.DUMMYFUNCTION("""COMPUTED_VALUE"""),"06 ORL")</f>
        <v>06 ORL</v>
      </c>
      <c r="O345" s="33" t="str">
        <f ca="1">IFERROR(__xludf.DUMMYFUNCTION("""COMPUTED_VALUE"""),"Dr, Jesús Atalaya Díaz")</f>
        <v>Dr, Jesús Atalaya Díaz</v>
      </c>
      <c r="P345" s="33" t="str">
        <f ca="1">IFERROR(__xludf.DUMMYFUNCTION("""COMPUTED_VALUE"""),"Maika Blázquez (Madrid)")</f>
        <v>Maika Blázquez (Madrid)</v>
      </c>
    </row>
    <row r="346" spans="2:16">
      <c r="B346" s="33">
        <f ca="1">IFERROR(__xludf.DUMMYFUNCTION("""COMPUTED_VALUE"""),2025)</f>
        <v>2025</v>
      </c>
      <c r="C346" s="33">
        <f ca="1">IFERROR(__xludf.DUMMYFUNCTION("""COMPUTED_VALUE"""),3)</f>
        <v>3</v>
      </c>
      <c r="D346" s="33" t="str">
        <f ca="1">IFERROR(__xludf.DUMMYFUNCTION("""COMPUTED_VALUE"""),"NO")</f>
        <v>NO</v>
      </c>
      <c r="E346" s="33" t="str">
        <f ca="1">IFERROR(__xludf.DUMMYFUNCTION("""COMPUTED_VALUE"""),"San Javier")</f>
        <v>San Javier</v>
      </c>
      <c r="F346" s="57">
        <f ca="1">IFERROR(__xludf.DUMMYFUNCTION("""COMPUTED_VALUE"""),45737)</f>
        <v>45737</v>
      </c>
      <c r="G346" s="57">
        <f ca="1">IFERROR(__xludf.DUMMYFUNCTION("""COMPUTED_VALUE"""),45671)</f>
        <v>45671</v>
      </c>
      <c r="H346" s="33" t="str">
        <f ca="1">IFERROR(__xludf.DUMMYFUNCTION("""COMPUTED_VALUE"""),"San Javier")</f>
        <v>San Javier</v>
      </c>
      <c r="I346" s="33" t="str">
        <f ca="1">IFERROR(__xludf.DUMMYFUNCTION("""COMPUTED_VALUE"""),"C2025121115954697")</f>
        <v>C2025121115954697</v>
      </c>
      <c r="J346" s="33" t="str">
        <f ca="1">IFERROR(__xludf.DUMMYFUNCTION("""COMPUTED_VALUE"""),"MARIA DEL CARMEN CARRICAJO GARRIDO")</f>
        <v>MARIA DEL CARMEN CARRICAJO GARRIDO</v>
      </c>
      <c r="K346" s="33">
        <f ca="1">IFERROR(__xludf.DUMMYFUNCTION("""COMPUTED_VALUE"""),2)</f>
        <v>2</v>
      </c>
      <c r="L346" s="203">
        <f ca="1">IFERROR(__xludf.DUMMYFUNCTION("""COMPUTED_VALUE"""),3710)</f>
        <v>3710</v>
      </c>
      <c r="M346" s="33" t="str">
        <f ca="1">IFERROR(__xludf.DUMMYFUNCTION("""COMPUTED_VALUE"""),"03 ORL")</f>
        <v>03 ORL</v>
      </c>
      <c r="N346" s="33" t="str">
        <f ca="1">IFERROR(__xludf.DUMMYFUNCTION("""COMPUTED_VALUE"""),"06 ORL")</f>
        <v>06 ORL</v>
      </c>
      <c r="O346" s="33" t="str">
        <f ca="1">IFERROR(__xludf.DUMMYFUNCTION("""COMPUTED_VALUE"""),"Dr, Dinis Antunes Silva")</f>
        <v>Dr, Dinis Antunes Silva</v>
      </c>
      <c r="P346" s="33" t="str">
        <f ca="1">IFERROR(__xludf.DUMMYFUNCTION("""COMPUTED_VALUE"""),"Iván Sánchez (Levante Y Albacete)")</f>
        <v>Iván Sánchez (Levante Y Albacete)</v>
      </c>
    </row>
    <row r="347" spans="2:16">
      <c r="B347" s="33">
        <f ca="1">IFERROR(__xludf.DUMMYFUNCTION("""COMPUTED_VALUE"""),2025)</f>
        <v>2025</v>
      </c>
      <c r="C347" s="33">
        <f ca="1">IFERROR(__xludf.DUMMYFUNCTION("""COMPUTED_VALUE"""),3)</f>
        <v>3</v>
      </c>
      <c r="D347" s="33" t="str">
        <f ca="1">IFERROR(__xludf.DUMMYFUNCTION("""COMPUTED_VALUE"""),"NO")</f>
        <v>NO</v>
      </c>
      <c r="E347" s="33" t="str">
        <f ca="1">IFERROR(__xludf.DUMMYFUNCTION("""COMPUTED_VALUE"""),"Alcorcón")</f>
        <v>Alcorcón</v>
      </c>
      <c r="F347" s="57">
        <f ca="1">IFERROR(__xludf.DUMMYFUNCTION("""COMPUTED_VALUE"""),45737)</f>
        <v>45737</v>
      </c>
      <c r="G347" s="57">
        <f ca="1">IFERROR(__xludf.DUMMYFUNCTION("""COMPUTED_VALUE"""),45705)</f>
        <v>45705</v>
      </c>
      <c r="H347" s="33" t="str">
        <f ca="1">IFERROR(__xludf.DUMMYFUNCTION("""COMPUTED_VALUE"""),"Alcorcón")</f>
        <v>Alcorcón</v>
      </c>
      <c r="I347" s="33" t="str">
        <f ca="1">IFERROR(__xludf.DUMMYFUNCTION("""COMPUTED_VALUE"""),"C2025218102641492")</f>
        <v>C2025218102641492</v>
      </c>
      <c r="J347" s="33" t="str">
        <f ca="1">IFERROR(__xludf.DUMMYFUNCTION("""COMPUTED_VALUE"""),"VICENTE SANZ SANZ")</f>
        <v>VICENTE SANZ SANZ</v>
      </c>
      <c r="K347" s="33">
        <f ca="1">IFERROR(__xludf.DUMMYFUNCTION("""COMPUTED_VALUE"""),2)</f>
        <v>2</v>
      </c>
      <c r="L347" s="203">
        <f ca="1">IFERROR(__xludf.DUMMYFUNCTION("""COMPUTED_VALUE"""),3173.18)</f>
        <v>3173.18</v>
      </c>
      <c r="M347" s="33" t="str">
        <f ca="1">IFERROR(__xludf.DUMMYFUNCTION("""COMPUTED_VALUE"""),"03 ORL")</f>
        <v>03 ORL</v>
      </c>
      <c r="N347" s="33" t="str">
        <f ca="1">IFERROR(__xludf.DUMMYFUNCTION("""COMPUTED_VALUE"""),"06 ORL")</f>
        <v>06 ORL</v>
      </c>
      <c r="O347" s="33" t="str">
        <f ca="1">IFERROR(__xludf.DUMMYFUNCTION("""COMPUTED_VALUE"""),"Dr, Oscar A, Sánchez Valenzuela")</f>
        <v>Dr, Oscar A, Sánchez Valenzuela</v>
      </c>
      <c r="P347" s="33" t="str">
        <f ca="1">IFERROR(__xludf.DUMMYFUNCTION("""COMPUTED_VALUE"""),"Maika Blázquez (Madrid)")</f>
        <v>Maika Blázquez (Madrid)</v>
      </c>
    </row>
    <row r="348" spans="2:16">
      <c r="B348" s="33">
        <f ca="1">IFERROR(__xludf.DUMMYFUNCTION("""COMPUTED_VALUE"""),2025)</f>
        <v>2025</v>
      </c>
      <c r="C348" s="33">
        <f ca="1">IFERROR(__xludf.DUMMYFUNCTION("""COMPUTED_VALUE"""),3)</f>
        <v>3</v>
      </c>
      <c r="D348" s="33" t="str">
        <f ca="1">IFERROR(__xludf.DUMMYFUNCTION("""COMPUTED_VALUE"""),"NO")</f>
        <v>NO</v>
      </c>
      <c r="E348" s="33" t="str">
        <f ca="1">IFERROR(__xludf.DUMMYFUNCTION("""COMPUTED_VALUE"""),"Leganés")</f>
        <v>Leganés</v>
      </c>
      <c r="F348" s="57">
        <f ca="1">IFERROR(__xludf.DUMMYFUNCTION("""COMPUTED_VALUE"""),45737)</f>
        <v>45737</v>
      </c>
      <c r="G348" s="57">
        <f ca="1">IFERROR(__xludf.DUMMYFUNCTION("""COMPUTED_VALUE"""),45693)</f>
        <v>45693</v>
      </c>
      <c r="H348" s="33" t="str">
        <f ca="1">IFERROR(__xludf.DUMMYFUNCTION("""COMPUTED_VALUE"""),"Leganés")</f>
        <v>Leganés</v>
      </c>
      <c r="I348" s="33" t="str">
        <f ca="1">IFERROR(__xludf.DUMMYFUNCTION("""COMPUTED_VALUE"""),"C2025212182754332")</f>
        <v>C2025212182754332</v>
      </c>
      <c r="J348" s="33" t="str">
        <f ca="1">IFERROR(__xludf.DUMMYFUNCTION("""COMPUTED_VALUE"""),"ISABEL GARCIA MARTIN")</f>
        <v>ISABEL GARCIA MARTIN</v>
      </c>
      <c r="K348" s="33">
        <f ca="1">IFERROR(__xludf.DUMMYFUNCTION("""COMPUTED_VALUE"""),2)</f>
        <v>2</v>
      </c>
      <c r="L348" s="203">
        <f ca="1">IFERROR(__xludf.DUMMYFUNCTION("""COMPUTED_VALUE"""),3604.55)</f>
        <v>3604.55</v>
      </c>
      <c r="M348" s="33" t="str">
        <f ca="1">IFERROR(__xludf.DUMMYFUNCTION("""COMPUTED_VALUE"""),"03 ORL")</f>
        <v>03 ORL</v>
      </c>
      <c r="N348" s="33" t="str">
        <f ca="1">IFERROR(__xludf.DUMMYFUNCTION("""COMPUTED_VALUE"""),"06 ORL")</f>
        <v>06 ORL</v>
      </c>
      <c r="O348" s="33" t="str">
        <f ca="1">IFERROR(__xludf.DUMMYFUNCTION("""COMPUTED_VALUE"""),"Dra, Carmen Juan Ivars")</f>
        <v>Dra, Carmen Juan Ivars</v>
      </c>
      <c r="P348" s="33" t="str">
        <f ca="1">IFERROR(__xludf.DUMMYFUNCTION("""COMPUTED_VALUE"""),"Maika Blázquez (Madrid)")</f>
        <v>Maika Blázquez (Madrid)</v>
      </c>
    </row>
    <row r="349" spans="2:16">
      <c r="B349" s="33">
        <f ca="1">IFERROR(__xludf.DUMMYFUNCTION("""COMPUTED_VALUE"""),2025)</f>
        <v>2025</v>
      </c>
      <c r="C349" s="33">
        <f ca="1">IFERROR(__xludf.DUMMYFUNCTION("""COMPUTED_VALUE"""),3)</f>
        <v>3</v>
      </c>
      <c r="D349" s="33" t="str">
        <f ca="1">IFERROR(__xludf.DUMMYFUNCTION("""COMPUTED_VALUE"""),"SI")</f>
        <v>SI</v>
      </c>
      <c r="E349" s="33" t="str">
        <f ca="1">IFERROR(__xludf.DUMMYFUNCTION("""COMPUTED_VALUE"""),"Leganés")</f>
        <v>Leganés</v>
      </c>
      <c r="F349" s="57">
        <f ca="1">IFERROR(__xludf.DUMMYFUNCTION("""COMPUTED_VALUE"""),45737)</f>
        <v>45737</v>
      </c>
      <c r="G349" s="57">
        <f ca="1">IFERROR(__xludf.DUMMYFUNCTION("""COMPUTED_VALUE"""),45713)</f>
        <v>45713</v>
      </c>
      <c r="H349" s="33" t="str">
        <f ca="1">IFERROR(__xludf.DUMMYFUNCTION("""COMPUTED_VALUE"""),"Leganés")</f>
        <v>Leganés</v>
      </c>
      <c r="I349" s="33" t="str">
        <f ca="1">IFERROR(__xludf.DUMMYFUNCTION("""COMPUTED_VALUE"""),"C20252261623451")</f>
        <v>C20252261623451</v>
      </c>
      <c r="J349" s="33" t="str">
        <f ca="1">IFERROR(__xludf.DUMMYFUNCTION("""COMPUTED_VALUE"""),"MARIA DEL CARMEN GIL MESA")</f>
        <v>MARIA DEL CARMEN GIL MESA</v>
      </c>
      <c r="K349" s="33">
        <f ca="1">IFERROR(__xludf.DUMMYFUNCTION("""COMPUTED_VALUE"""),2)</f>
        <v>2</v>
      </c>
      <c r="L349" s="203">
        <f ca="1">IFERROR(__xludf.DUMMYFUNCTION("""COMPUTED_VALUE"""),3603.85)</f>
        <v>3603.85</v>
      </c>
      <c r="M349" s="33" t="str">
        <f ca="1">IFERROR(__xludf.DUMMYFUNCTION("""COMPUTED_VALUE"""),"03 ORL")</f>
        <v>03 ORL</v>
      </c>
      <c r="N349" s="33" t="str">
        <f ca="1">IFERROR(__xludf.DUMMYFUNCTION("""COMPUTED_VALUE"""),"06 ORL")</f>
        <v>06 ORL</v>
      </c>
      <c r="O349" s="33" t="str">
        <f ca="1">IFERROR(__xludf.DUMMYFUNCTION("""COMPUTED_VALUE"""),"Dra, Elena Martín Bejerano")</f>
        <v>Dra, Elena Martín Bejerano</v>
      </c>
      <c r="P349" s="33" t="str">
        <f ca="1">IFERROR(__xludf.DUMMYFUNCTION("""COMPUTED_VALUE"""),"Maika Blázquez (Madrid)")</f>
        <v>Maika Blázquez (Madrid)</v>
      </c>
    </row>
    <row r="350" spans="2:16">
      <c r="B350" s="33">
        <f ca="1">IFERROR(__xludf.DUMMYFUNCTION("""COMPUTED_VALUE"""),2025)</f>
        <v>2025</v>
      </c>
      <c r="C350" s="33">
        <f ca="1">IFERROR(__xludf.DUMMYFUNCTION("""COMPUTED_VALUE"""),3)</f>
        <v>3</v>
      </c>
      <c r="D350" s="33" t="str">
        <f ca="1">IFERROR(__xludf.DUMMYFUNCTION("""COMPUTED_VALUE"""),"NO")</f>
        <v>NO</v>
      </c>
      <c r="E350" s="33" t="str">
        <f ca="1">IFERROR(__xludf.DUMMYFUNCTION("""COMPUTED_VALUE"""),"Murcia")</f>
        <v>Murcia</v>
      </c>
      <c r="F350" s="57">
        <f ca="1">IFERROR(__xludf.DUMMYFUNCTION("""COMPUTED_VALUE"""),45737)</f>
        <v>45737</v>
      </c>
      <c r="G350" s="57">
        <f ca="1">IFERROR(__xludf.DUMMYFUNCTION("""COMPUTED_VALUE"""),45720)</f>
        <v>45720</v>
      </c>
      <c r="H350" s="33" t="str">
        <f ca="1">IFERROR(__xludf.DUMMYFUNCTION("""COMPUTED_VALUE"""),"Murcia")</f>
        <v>Murcia</v>
      </c>
      <c r="I350" s="33" t="str">
        <f ca="1">IFERROR(__xludf.DUMMYFUNCTION("""COMPUTED_VALUE"""),"C202534121423378")</f>
        <v>C202534121423378</v>
      </c>
      <c r="J350" s="33" t="str">
        <f ca="1">IFERROR(__xludf.DUMMYFUNCTION("""COMPUTED_VALUE"""),"MARIA ISABEL PARRA ORTEGA")</f>
        <v>MARIA ISABEL PARRA ORTEGA</v>
      </c>
      <c r="K350" s="33">
        <f ca="1">IFERROR(__xludf.DUMMYFUNCTION("""COMPUTED_VALUE"""),2)</f>
        <v>2</v>
      </c>
      <c r="L350" s="203">
        <f ca="1">IFERROR(__xludf.DUMMYFUNCTION("""COMPUTED_VALUE"""),3710)</f>
        <v>3710</v>
      </c>
      <c r="M350" s="33" t="str">
        <f ca="1">IFERROR(__xludf.DUMMYFUNCTION("""COMPUTED_VALUE"""),"03 ORL")</f>
        <v>03 ORL</v>
      </c>
      <c r="N350" s="33" t="str">
        <f ca="1">IFERROR(__xludf.DUMMYFUNCTION("""COMPUTED_VALUE"""),"06 ORL")</f>
        <v>06 ORL</v>
      </c>
      <c r="O350" s="33" t="str">
        <f ca="1">IFERROR(__xludf.DUMMYFUNCTION("""COMPUTED_VALUE"""),"Dr, Enrique López Meseguer")</f>
        <v>Dr, Enrique López Meseguer</v>
      </c>
      <c r="P350" s="33" t="str">
        <f ca="1">IFERROR(__xludf.DUMMYFUNCTION("""COMPUTED_VALUE"""),"Iván Sánchez (Levante Y Albacete)")</f>
        <v>Iván Sánchez (Levante Y Albacete)</v>
      </c>
    </row>
    <row r="351" spans="2:16">
      <c r="B351" s="33">
        <f ca="1">IFERROR(__xludf.DUMMYFUNCTION("""COMPUTED_VALUE"""),2025)</f>
        <v>2025</v>
      </c>
      <c r="C351" s="33">
        <f ca="1">IFERROR(__xludf.DUMMYFUNCTION("""COMPUTED_VALUE"""),3)</f>
        <v>3</v>
      </c>
      <c r="D351" s="33" t="str">
        <f ca="1">IFERROR(__xludf.DUMMYFUNCTION("""COMPUTED_VALUE"""),"NO")</f>
        <v>NO</v>
      </c>
      <c r="E351" s="33" t="str">
        <f ca="1">IFERROR(__xludf.DUMMYFUNCTION("""COMPUTED_VALUE"""),"Murcia")</f>
        <v>Murcia</v>
      </c>
      <c r="F351" s="57">
        <f ca="1">IFERROR(__xludf.DUMMYFUNCTION("""COMPUTED_VALUE"""),45737)</f>
        <v>45737</v>
      </c>
      <c r="G351" s="57">
        <f ca="1">IFERROR(__xludf.DUMMYFUNCTION("""COMPUTED_VALUE"""),45372)</f>
        <v>45372</v>
      </c>
      <c r="H351" s="33" t="str">
        <f ca="1">IFERROR(__xludf.DUMMYFUNCTION("""COMPUTED_VALUE"""),"Murcia")</f>
        <v>Murcia</v>
      </c>
      <c r="I351" s="33" t="str">
        <f ca="1">IFERROR(__xludf.DUMMYFUNCTION("""COMPUTED_VALUE"""),"MUR-1937")</f>
        <v>MUR-1937</v>
      </c>
      <c r="J351" s="33" t="str">
        <f ca="1">IFERROR(__xludf.DUMMYFUNCTION("""COMPUTED_VALUE"""),"ANTONIO HERNANDEZ GOMEZ")</f>
        <v>ANTONIO HERNANDEZ GOMEZ</v>
      </c>
      <c r="K351" s="33">
        <f ca="1">IFERROR(__xludf.DUMMYFUNCTION("""COMPUTED_VALUE"""),2)</f>
        <v>2</v>
      </c>
      <c r="L351" s="203">
        <f ca="1">IFERROR(__xludf.DUMMYFUNCTION("""COMPUTED_VALUE"""),3710)</f>
        <v>3710</v>
      </c>
      <c r="M351" s="33" t="str">
        <f ca="1">IFERROR(__xludf.DUMMYFUNCTION("""COMPUTED_VALUE"""),"03 ORL")</f>
        <v>03 ORL</v>
      </c>
      <c r="N351" s="33" t="str">
        <f ca="1">IFERROR(__xludf.DUMMYFUNCTION("""COMPUTED_VALUE"""),"06 ORL")</f>
        <v>06 ORL</v>
      </c>
      <c r="O351" s="33" t="str">
        <f ca="1">IFERROR(__xludf.DUMMYFUNCTION("""COMPUTED_VALUE"""),"Dra, Vania Novoa Juiz")</f>
        <v>Dra, Vania Novoa Juiz</v>
      </c>
      <c r="P351" s="33" t="str">
        <f ca="1">IFERROR(__xludf.DUMMYFUNCTION("""COMPUTED_VALUE"""),"Iván Sánchez (Levante Y Albacete)")</f>
        <v>Iván Sánchez (Levante Y Albacete)</v>
      </c>
    </row>
    <row r="352" spans="2:16">
      <c r="B352" s="33">
        <f ca="1">IFERROR(__xludf.DUMMYFUNCTION("""COMPUTED_VALUE"""),2025)</f>
        <v>2025</v>
      </c>
      <c r="C352" s="33">
        <f ca="1">IFERROR(__xludf.DUMMYFUNCTION("""COMPUTED_VALUE"""),3)</f>
        <v>3</v>
      </c>
      <c r="D352" s="33" t="str">
        <f ca="1">IFERROR(__xludf.DUMMYFUNCTION("""COMPUTED_VALUE"""),"NO")</f>
        <v>NO</v>
      </c>
      <c r="E352" s="33" t="str">
        <f ca="1">IFERROR(__xludf.DUMMYFUNCTION("""COMPUTED_VALUE"""),"Fuenlabrada")</f>
        <v>Fuenlabrada</v>
      </c>
      <c r="F352" s="57">
        <f ca="1">IFERROR(__xludf.DUMMYFUNCTION("""COMPUTED_VALUE"""),45737)</f>
        <v>45737</v>
      </c>
      <c r="G352" s="57">
        <f ca="1">IFERROR(__xludf.DUMMYFUNCTION("""COMPUTED_VALUE"""),45706)</f>
        <v>45706</v>
      </c>
      <c r="H352" s="33" t="str">
        <f ca="1">IFERROR(__xludf.DUMMYFUNCTION("""COMPUTED_VALUE"""),"Fuenlabrada")</f>
        <v>Fuenlabrada</v>
      </c>
      <c r="I352" s="33" t="str">
        <f ca="1">IFERROR(__xludf.DUMMYFUNCTION("""COMPUTED_VALUE"""),"C2025226172134755")</f>
        <v>C2025226172134755</v>
      </c>
      <c r="J352" s="33" t="str">
        <f ca="1">IFERROR(__xludf.DUMMYFUNCTION("""COMPUTED_VALUE"""),"DAMASO GARCIA CLEMENTE")</f>
        <v>DAMASO GARCIA CLEMENTE</v>
      </c>
      <c r="K352" s="33">
        <f ca="1">IFERROR(__xludf.DUMMYFUNCTION("""COMPUTED_VALUE"""),2)</f>
        <v>2</v>
      </c>
      <c r="L352" s="203">
        <f ca="1">IFERROR(__xludf.DUMMYFUNCTION("""COMPUTED_VALUE"""),3710)</f>
        <v>3710</v>
      </c>
      <c r="M352" s="33" t="str">
        <f ca="1">IFERROR(__xludf.DUMMYFUNCTION("""COMPUTED_VALUE"""),"03 ORL")</f>
        <v>03 ORL</v>
      </c>
      <c r="N352" s="33" t="str">
        <f ca="1">IFERROR(__xludf.DUMMYFUNCTION("""COMPUTED_VALUE"""),"06 ORL")</f>
        <v>06 ORL</v>
      </c>
      <c r="O352" s="33" t="str">
        <f ca="1">IFERROR(__xludf.DUMMYFUNCTION("""COMPUTED_VALUE"""),"Dra, Concepcion Rodríguez Izquierdo")</f>
        <v>Dra, Concepcion Rodríguez Izquierdo</v>
      </c>
      <c r="P352" s="33" t="str">
        <f ca="1">IFERROR(__xludf.DUMMYFUNCTION("""COMPUTED_VALUE"""),"Maika Blázquez (Madrid)")</f>
        <v>Maika Blázquez (Madrid)</v>
      </c>
    </row>
    <row r="353" spans="2:16">
      <c r="B353" s="33">
        <f ca="1">IFERROR(__xludf.DUMMYFUNCTION("""COMPUTED_VALUE"""),2025)</f>
        <v>2025</v>
      </c>
      <c r="C353" s="33">
        <f ca="1">IFERROR(__xludf.DUMMYFUNCTION("""COMPUTED_VALUE"""),3)</f>
        <v>3</v>
      </c>
      <c r="D353" s="33" t="str">
        <f ca="1">IFERROR(__xludf.DUMMYFUNCTION("""COMPUTED_VALUE"""),"NO")</f>
        <v>NO</v>
      </c>
      <c r="E353" s="33" t="str">
        <f ca="1">IFERROR(__xludf.DUMMYFUNCTION("""COMPUTED_VALUE"""),"Getafe")</f>
        <v>Getafe</v>
      </c>
      <c r="F353" s="57">
        <f ca="1">IFERROR(__xludf.DUMMYFUNCTION("""COMPUTED_VALUE"""),45740)</f>
        <v>45740</v>
      </c>
      <c r="G353" s="57">
        <f ca="1">IFERROR(__xludf.DUMMYFUNCTION("""COMPUTED_VALUE"""),45714)</f>
        <v>45714</v>
      </c>
      <c r="H353" s="33" t="str">
        <f ca="1">IFERROR(__xludf.DUMMYFUNCTION("""COMPUTED_VALUE"""),"Getafe")</f>
        <v>Getafe</v>
      </c>
      <c r="I353" s="33" t="str">
        <f ca="1">IFERROR(__xludf.DUMMYFUNCTION("""COMPUTED_VALUE"""),"C20253793728445")</f>
        <v>C20253793728445</v>
      </c>
      <c r="J353" s="33" t="str">
        <f ca="1">IFERROR(__xludf.DUMMYFUNCTION("""COMPUTED_VALUE"""),"EVARISTO BLAZQUEZ RAMIRO")</f>
        <v>EVARISTO BLAZQUEZ RAMIRO</v>
      </c>
      <c r="K353" s="33">
        <f ca="1">IFERROR(__xludf.DUMMYFUNCTION("""COMPUTED_VALUE"""),2)</f>
        <v>2</v>
      </c>
      <c r="L353" s="203">
        <f ca="1">IFERROR(__xludf.DUMMYFUNCTION("""COMPUTED_VALUE"""),4400)</f>
        <v>4400</v>
      </c>
      <c r="M353" s="33" t="str">
        <f ca="1">IFERROR(__xludf.DUMMYFUNCTION("""COMPUTED_VALUE"""),"03 ORL")</f>
        <v>03 ORL</v>
      </c>
      <c r="N353" s="33" t="str">
        <f ca="1">IFERROR(__xludf.DUMMYFUNCTION("""COMPUTED_VALUE"""),"06 ORL")</f>
        <v>06 ORL</v>
      </c>
      <c r="O353" s="33" t="str">
        <f ca="1">IFERROR(__xludf.DUMMYFUNCTION("""COMPUTED_VALUE"""),"Dra, María Garrote Garrote")</f>
        <v>Dra, María Garrote Garrote</v>
      </c>
      <c r="P353" s="33" t="str">
        <f ca="1">IFERROR(__xludf.DUMMYFUNCTION("""COMPUTED_VALUE"""),"Maika Blázquez (Madrid)")</f>
        <v>Maika Blázquez (Madrid)</v>
      </c>
    </row>
    <row r="354" spans="2:16">
      <c r="B354" s="33">
        <f ca="1">IFERROR(__xludf.DUMMYFUNCTION("""COMPUTED_VALUE"""),2025)</f>
        <v>2025</v>
      </c>
      <c r="C354" s="33">
        <f ca="1">IFERROR(__xludf.DUMMYFUNCTION("""COMPUTED_VALUE"""),3)</f>
        <v>3</v>
      </c>
      <c r="D354" s="33" t="str">
        <f ca="1">IFERROR(__xludf.DUMMYFUNCTION("""COMPUTED_VALUE"""),"NO")</f>
        <v>NO</v>
      </c>
      <c r="E354" s="33" t="str">
        <f ca="1">IFERROR(__xludf.DUMMYFUNCTION("""COMPUTED_VALUE"""),"Albacete")</f>
        <v>Albacete</v>
      </c>
      <c r="F354" s="57">
        <f ca="1">IFERROR(__xludf.DUMMYFUNCTION("""COMPUTED_VALUE"""),45740)</f>
        <v>45740</v>
      </c>
      <c r="G354" s="57">
        <f ca="1">IFERROR(__xludf.DUMMYFUNCTION("""COMPUTED_VALUE"""),45691)</f>
        <v>45691</v>
      </c>
      <c r="H354" s="33" t="str">
        <f ca="1">IFERROR(__xludf.DUMMYFUNCTION("""COMPUTED_VALUE"""),"Albacete")</f>
        <v>Albacete</v>
      </c>
      <c r="I354" s="33" t="str">
        <f ca="1">IFERROR(__xludf.DUMMYFUNCTION("""COMPUTED_VALUE"""),"C20252392436772")</f>
        <v>C20252392436772</v>
      </c>
      <c r="J354" s="33" t="str">
        <f ca="1">IFERROR(__xludf.DUMMYFUNCTION("""COMPUTED_VALUE"""),"TERESA PASTOR PLAZA")</f>
        <v>TERESA PASTOR PLAZA</v>
      </c>
      <c r="K354" s="33">
        <f ca="1">IFERROR(__xludf.DUMMYFUNCTION("""COMPUTED_VALUE"""),1)</f>
        <v>1</v>
      </c>
      <c r="L354" s="203">
        <f ca="1">IFERROR(__xludf.DUMMYFUNCTION("""COMPUTED_VALUE"""),2400)</f>
        <v>2400</v>
      </c>
      <c r="M354" s="33" t="str">
        <f ca="1">IFERROR(__xludf.DUMMYFUNCTION("""COMPUTED_VALUE"""),"03 ORL")</f>
        <v>03 ORL</v>
      </c>
      <c r="N354" s="33" t="str">
        <f ca="1">IFERROR(__xludf.DUMMYFUNCTION("""COMPUTED_VALUE"""),"06 ORL")</f>
        <v>06 ORL</v>
      </c>
      <c r="O354" s="33" t="str">
        <f ca="1">IFERROR(__xludf.DUMMYFUNCTION("""COMPUTED_VALUE"""),"Dra, Blanca Maria Martinez Duro")</f>
        <v>Dra, Blanca Maria Martinez Duro</v>
      </c>
      <c r="P354" s="33" t="str">
        <f ca="1">IFERROR(__xludf.DUMMYFUNCTION("""COMPUTED_VALUE"""),"Iván Sánchez (Levante Y Albacete)")</f>
        <v>Iván Sánchez (Levante Y Albacete)</v>
      </c>
    </row>
    <row r="355" spans="2:16">
      <c r="B355" s="33">
        <f ca="1">IFERROR(__xludf.DUMMYFUNCTION("""COMPUTED_VALUE"""),2025)</f>
        <v>2025</v>
      </c>
      <c r="C355" s="33">
        <f ca="1">IFERROR(__xludf.DUMMYFUNCTION("""COMPUTED_VALUE"""),3)</f>
        <v>3</v>
      </c>
      <c r="D355" s="33" t="str">
        <f ca="1">IFERROR(__xludf.DUMMYFUNCTION("""COMPUTED_VALUE"""),"NO")</f>
        <v>NO</v>
      </c>
      <c r="E355" s="33" t="str">
        <f ca="1">IFERROR(__xludf.DUMMYFUNCTION("""COMPUTED_VALUE"""),"Madrid- Moratalaz")</f>
        <v>Madrid- Moratalaz</v>
      </c>
      <c r="F355" s="57">
        <f ca="1">IFERROR(__xludf.DUMMYFUNCTION("""COMPUTED_VALUE"""),45740)</f>
        <v>45740</v>
      </c>
      <c r="G355" s="57">
        <f ca="1">IFERROR(__xludf.DUMMYFUNCTION("""COMPUTED_VALUE"""),45706)</f>
        <v>45706</v>
      </c>
      <c r="H355" s="33" t="str">
        <f ca="1">IFERROR(__xludf.DUMMYFUNCTION("""COMPUTED_VALUE"""),"Moratalaz")</f>
        <v>Moratalaz</v>
      </c>
      <c r="I355" s="33" t="str">
        <f ca="1">IFERROR(__xludf.DUMMYFUNCTION("""COMPUTED_VALUE"""),"C202522518651761")</f>
        <v>C202522518651761</v>
      </c>
      <c r="J355" s="33" t="str">
        <f ca="1">IFERROR(__xludf.DUMMYFUNCTION("""COMPUTED_VALUE"""),"VICENTE MORANT SUSPEDRA")</f>
        <v>VICENTE MORANT SUSPEDRA</v>
      </c>
      <c r="K355" s="33">
        <f ca="1">IFERROR(__xludf.DUMMYFUNCTION("""COMPUTED_VALUE"""),2)</f>
        <v>2</v>
      </c>
      <c r="L355" s="203">
        <f ca="1">IFERROR(__xludf.DUMMYFUNCTION("""COMPUTED_VALUE"""),3710)</f>
        <v>3710</v>
      </c>
      <c r="M355" s="33" t="str">
        <f ca="1">IFERROR(__xludf.DUMMYFUNCTION("""COMPUTED_VALUE"""),"03 ORL")</f>
        <v>03 ORL</v>
      </c>
      <c r="N355" s="33" t="str">
        <f ca="1">IFERROR(__xludf.DUMMYFUNCTION("""COMPUTED_VALUE"""),"06 ORL")</f>
        <v>06 ORL</v>
      </c>
      <c r="O355" s="33" t="str">
        <f ca="1">IFERROR(__xludf.DUMMYFUNCTION("""COMPUTED_VALUE"""),"Dr, Manuel Gutiérrez Triguero")</f>
        <v>Dr, Manuel Gutiérrez Triguero</v>
      </c>
      <c r="P355" s="33" t="str">
        <f ca="1">IFERROR(__xludf.DUMMYFUNCTION("""COMPUTED_VALUE"""),"Maika Blázquez (Madrid)")</f>
        <v>Maika Blázquez (Madrid)</v>
      </c>
    </row>
    <row r="356" spans="2:16">
      <c r="B356" s="33">
        <f ca="1">IFERROR(__xludf.DUMMYFUNCTION("""COMPUTED_VALUE"""),2025)</f>
        <v>2025</v>
      </c>
      <c r="C356" s="33">
        <f ca="1">IFERROR(__xludf.DUMMYFUNCTION("""COMPUTED_VALUE"""),3)</f>
        <v>3</v>
      </c>
      <c r="D356" s="33" t="str">
        <f ca="1">IFERROR(__xludf.DUMMYFUNCTION("""COMPUTED_VALUE"""),"NO")</f>
        <v>NO</v>
      </c>
      <c r="E356" s="33" t="str">
        <f ca="1">IFERROR(__xludf.DUMMYFUNCTION("""COMPUTED_VALUE"""),"Alicante")</f>
        <v>Alicante</v>
      </c>
      <c r="F356" s="57">
        <f ca="1">IFERROR(__xludf.DUMMYFUNCTION("""COMPUTED_VALUE"""),45740)</f>
        <v>45740</v>
      </c>
      <c r="G356" s="57">
        <f ca="1">IFERROR(__xludf.DUMMYFUNCTION("""COMPUTED_VALUE"""),45705)</f>
        <v>45705</v>
      </c>
      <c r="H356" s="33" t="str">
        <f ca="1">IFERROR(__xludf.DUMMYFUNCTION("""COMPUTED_VALUE"""),"Alicante")</f>
        <v>Alicante</v>
      </c>
      <c r="I356" s="33" t="str">
        <f ca="1">IFERROR(__xludf.DUMMYFUNCTION("""COMPUTED_VALUE"""),"C202522016332736")</f>
        <v>C202522016332736</v>
      </c>
      <c r="J356" s="33" t="str">
        <f ca="1">IFERROR(__xludf.DUMMYFUNCTION("""COMPUTED_VALUE"""),"LIOUDMILA MAMMERI")</f>
        <v>LIOUDMILA MAMMERI</v>
      </c>
      <c r="K356" s="33">
        <f ca="1">IFERROR(__xludf.DUMMYFUNCTION("""COMPUTED_VALUE"""),2)</f>
        <v>2</v>
      </c>
      <c r="L356" s="203">
        <f ca="1">IFERROR(__xludf.DUMMYFUNCTION("""COMPUTED_VALUE"""),2743.77)</f>
        <v>2743.77</v>
      </c>
      <c r="M356" s="33" t="str">
        <f ca="1">IFERROR(__xludf.DUMMYFUNCTION("""COMPUTED_VALUE"""),"03 ORL")</f>
        <v>03 ORL</v>
      </c>
      <c r="N356" s="33" t="str">
        <f ca="1">IFERROR(__xludf.DUMMYFUNCTION("""COMPUTED_VALUE"""),"06 ORL")</f>
        <v>06 ORL</v>
      </c>
      <c r="O356" s="33" t="str">
        <f ca="1">IFERROR(__xludf.DUMMYFUNCTION("""COMPUTED_VALUE"""),"Dra, Irene Monjas Canovas")</f>
        <v>Dra, Irene Monjas Canovas</v>
      </c>
      <c r="P356" s="33" t="str">
        <f ca="1">IFERROR(__xludf.DUMMYFUNCTION("""COMPUTED_VALUE"""),"Iván Sánchez (Levante Y Albacete)")</f>
        <v>Iván Sánchez (Levante Y Albacete)</v>
      </c>
    </row>
    <row r="357" spans="2:16">
      <c r="B357" s="33">
        <f ca="1">IFERROR(__xludf.DUMMYFUNCTION("""COMPUTED_VALUE"""),2025)</f>
        <v>2025</v>
      </c>
      <c r="C357" s="33">
        <f ca="1">IFERROR(__xludf.DUMMYFUNCTION("""COMPUTED_VALUE"""),3)</f>
        <v>3</v>
      </c>
      <c r="D357" s="33" t="str">
        <f ca="1">IFERROR(__xludf.DUMMYFUNCTION("""COMPUTED_VALUE"""),"NO")</f>
        <v>NO</v>
      </c>
      <c r="E357" s="33" t="str">
        <f ca="1">IFERROR(__xludf.DUMMYFUNCTION("""COMPUTED_VALUE"""),"Sevilla- Montoto")</f>
        <v>Sevilla- Montoto</v>
      </c>
      <c r="F357" s="57">
        <f ca="1">IFERROR(__xludf.DUMMYFUNCTION("""COMPUTED_VALUE"""),45740)</f>
        <v>45740</v>
      </c>
      <c r="G357" s="57">
        <f ca="1">IFERROR(__xludf.DUMMYFUNCTION("""COMPUTED_VALUE"""),45705)</f>
        <v>45705</v>
      </c>
      <c r="H357" s="33" t="str">
        <f ca="1">IFERROR(__xludf.DUMMYFUNCTION("""COMPUTED_VALUE"""),"Montoto")</f>
        <v>Montoto</v>
      </c>
      <c r="I357" s="33" t="str">
        <f ca="1">IFERROR(__xludf.DUMMYFUNCTION("""COMPUTED_VALUE"""),"C202522494917766")</f>
        <v>C202522494917766</v>
      </c>
      <c r="J357" s="33" t="str">
        <f ca="1">IFERROR(__xludf.DUMMYFUNCTION("""COMPUTED_VALUE"""),"MARGARITA WIC COLLADO")</f>
        <v>MARGARITA WIC COLLADO</v>
      </c>
      <c r="K357" s="33">
        <f ca="1">IFERROR(__xludf.DUMMYFUNCTION("""COMPUTED_VALUE"""),1)</f>
        <v>1</v>
      </c>
      <c r="L357" s="203">
        <f ca="1">IFERROR(__xludf.DUMMYFUNCTION("""COMPUTED_VALUE"""),2400)</f>
        <v>2400</v>
      </c>
      <c r="M357" s="33" t="str">
        <f ca="1">IFERROR(__xludf.DUMMYFUNCTION("""COMPUTED_VALUE"""),"03 ORL")</f>
        <v>03 ORL</v>
      </c>
      <c r="N357" s="33" t="str">
        <f ca="1">IFERROR(__xludf.DUMMYFUNCTION("""COMPUTED_VALUE"""),"06 ORL")</f>
        <v>06 ORL</v>
      </c>
      <c r="O357" s="33" t="str">
        <f ca="1">IFERROR(__xludf.DUMMYFUNCTION("""COMPUTED_VALUE"""),"Dr, Francisco Ropero Romero")</f>
        <v>Dr, Francisco Ropero Romero</v>
      </c>
      <c r="P357" s="33" t="str">
        <f ca="1">IFERROR(__xludf.DUMMYFUNCTION("""COMPUTED_VALUE"""),"Luis Alberto Rodríguez (Andalucía Y Badajoz)")</f>
        <v>Luis Alberto Rodríguez (Andalucía Y Badajoz)</v>
      </c>
    </row>
    <row r="358" spans="2:16">
      <c r="B358" s="33">
        <f ca="1">IFERROR(__xludf.DUMMYFUNCTION("""COMPUTED_VALUE"""),2025)</f>
        <v>2025</v>
      </c>
      <c r="C358" s="33">
        <f ca="1">IFERROR(__xludf.DUMMYFUNCTION("""COMPUTED_VALUE"""),3)</f>
        <v>3</v>
      </c>
      <c r="D358" s="33" t="str">
        <f ca="1">IFERROR(__xludf.DUMMYFUNCTION("""COMPUTED_VALUE"""),"NO")</f>
        <v>NO</v>
      </c>
      <c r="E358" s="33" t="str">
        <f ca="1">IFERROR(__xludf.DUMMYFUNCTION("""COMPUTED_VALUE"""),"Madrid- Moratalaz")</f>
        <v>Madrid- Moratalaz</v>
      </c>
      <c r="F358" s="57">
        <f ca="1">IFERROR(__xludf.DUMMYFUNCTION("""COMPUTED_VALUE"""),45740)</f>
        <v>45740</v>
      </c>
      <c r="G358" s="57">
        <f ca="1">IFERROR(__xludf.DUMMYFUNCTION("""COMPUTED_VALUE"""),45713)</f>
        <v>45713</v>
      </c>
      <c r="H358" s="33" t="str">
        <f ca="1">IFERROR(__xludf.DUMMYFUNCTION("""COMPUTED_VALUE"""),"Moratalaz")</f>
        <v>Moratalaz</v>
      </c>
      <c r="I358" s="33" t="str">
        <f ca="1">IFERROR(__xludf.DUMMYFUNCTION("""COMPUTED_VALUE"""),"C202536174857586")</f>
        <v>C202536174857586</v>
      </c>
      <c r="J358" s="33" t="str">
        <f ca="1">IFERROR(__xludf.DUMMYFUNCTION("""COMPUTED_VALUE"""),"CARLOS BAJO REVENGA")</f>
        <v>CARLOS BAJO REVENGA</v>
      </c>
      <c r="K358" s="33">
        <f ca="1">IFERROR(__xludf.DUMMYFUNCTION("""COMPUTED_VALUE"""),2)</f>
        <v>2</v>
      </c>
      <c r="L358" s="203">
        <f ca="1">IFERROR(__xludf.DUMMYFUNCTION("""COMPUTED_VALUE"""),4000)</f>
        <v>4000</v>
      </c>
      <c r="M358" s="33" t="str">
        <f ca="1">IFERROR(__xludf.DUMMYFUNCTION("""COMPUTED_VALUE"""),"03 ORL")</f>
        <v>03 ORL</v>
      </c>
      <c r="N358" s="33" t="str">
        <f ca="1">IFERROR(__xludf.DUMMYFUNCTION("""COMPUTED_VALUE"""),"06 ORL")</f>
        <v>06 ORL</v>
      </c>
      <c r="O358" s="33" t="str">
        <f ca="1">IFERROR(__xludf.DUMMYFUNCTION("""COMPUTED_VALUE"""),"No Recuerda Orl")</f>
        <v>No Recuerda Orl</v>
      </c>
      <c r="P358" s="33" t="str">
        <f ca="1">IFERROR(__xludf.DUMMYFUNCTION("""COMPUTED_VALUE"""),"Maika Blázquez (Madrid)")</f>
        <v>Maika Blázquez (Madrid)</v>
      </c>
    </row>
    <row r="359" spans="2:16">
      <c r="B359" s="33">
        <f ca="1">IFERROR(__xludf.DUMMYFUNCTION("""COMPUTED_VALUE"""),2025)</f>
        <v>2025</v>
      </c>
      <c r="C359" s="33">
        <f ca="1">IFERROR(__xludf.DUMMYFUNCTION("""COMPUTED_VALUE"""),3)</f>
        <v>3</v>
      </c>
      <c r="D359" s="33" t="str">
        <f ca="1">IFERROR(__xludf.DUMMYFUNCTION("""COMPUTED_VALUE"""),"NO")</f>
        <v>NO</v>
      </c>
      <c r="E359" s="33" t="str">
        <f ca="1">IFERROR(__xludf.DUMMYFUNCTION("""COMPUTED_VALUE"""),"Madrid- Juan Bravo")</f>
        <v>Madrid- Juan Bravo</v>
      </c>
      <c r="F359" s="57">
        <f ca="1">IFERROR(__xludf.DUMMYFUNCTION("""COMPUTED_VALUE"""),45740)</f>
        <v>45740</v>
      </c>
      <c r="G359" s="57">
        <f ca="1">IFERROR(__xludf.DUMMYFUNCTION("""COMPUTED_VALUE"""),45708)</f>
        <v>45708</v>
      </c>
      <c r="H359" s="33" t="str">
        <f ca="1">IFERROR(__xludf.DUMMYFUNCTION("""COMPUTED_VALUE"""),"Juan Bravo")</f>
        <v>Juan Bravo</v>
      </c>
      <c r="I359" s="33" t="str">
        <f ca="1">IFERROR(__xludf.DUMMYFUNCTION("""COMPUTED_VALUE"""),"C202522618133462")</f>
        <v>C202522618133462</v>
      </c>
      <c r="J359" s="33" t="str">
        <f ca="1">IFERROR(__xludf.DUMMYFUNCTION("""COMPUTED_VALUE"""),"MARIA LUISA ALVAREZ ABEILHE")</f>
        <v>MARIA LUISA ALVAREZ ABEILHE</v>
      </c>
      <c r="K359" s="33">
        <f ca="1">IFERROR(__xludf.DUMMYFUNCTION("""COMPUTED_VALUE"""),2)</f>
        <v>2</v>
      </c>
      <c r="L359" s="203">
        <f ca="1">IFERROR(__xludf.DUMMYFUNCTION("""COMPUTED_VALUE"""),4000)</f>
        <v>4000</v>
      </c>
      <c r="M359" s="33" t="str">
        <f ca="1">IFERROR(__xludf.DUMMYFUNCTION("""COMPUTED_VALUE"""),"03 ORL")</f>
        <v>03 ORL</v>
      </c>
      <c r="N359" s="33" t="str">
        <f ca="1">IFERROR(__xludf.DUMMYFUNCTION("""COMPUTED_VALUE"""),"06 ORL")</f>
        <v>06 ORL</v>
      </c>
      <c r="O359" s="33" t="str">
        <f ca="1">IFERROR(__xludf.DUMMYFUNCTION("""COMPUTED_VALUE"""),"Dr, Javier García Domínguez")</f>
        <v>Dr, Javier García Domínguez</v>
      </c>
      <c r="P359" s="33" t="str">
        <f ca="1">IFERROR(__xludf.DUMMYFUNCTION("""COMPUTED_VALUE"""),"Maika Blázquez (Madrid)")</f>
        <v>Maika Blázquez (Madrid)</v>
      </c>
    </row>
    <row r="360" spans="2:16">
      <c r="B360" s="33">
        <f ca="1">IFERROR(__xludf.DUMMYFUNCTION("""COMPUTED_VALUE"""),2025)</f>
        <v>2025</v>
      </c>
      <c r="C360" s="33">
        <f ca="1">IFERROR(__xludf.DUMMYFUNCTION("""COMPUTED_VALUE"""),3)</f>
        <v>3</v>
      </c>
      <c r="D360" s="33" t="str">
        <f ca="1">IFERROR(__xludf.DUMMYFUNCTION("""COMPUTED_VALUE"""),"NO")</f>
        <v>NO</v>
      </c>
      <c r="E360" s="33" t="str">
        <f ca="1">IFERROR(__xludf.DUMMYFUNCTION("""COMPUTED_VALUE"""),"Almería")</f>
        <v>Almería</v>
      </c>
      <c r="F360" s="57">
        <f ca="1">IFERROR(__xludf.DUMMYFUNCTION("""COMPUTED_VALUE"""),45740)</f>
        <v>45740</v>
      </c>
      <c r="G360" s="57">
        <f ca="1">IFERROR(__xludf.DUMMYFUNCTION("""COMPUTED_VALUE"""),45699)</f>
        <v>45699</v>
      </c>
      <c r="H360" s="33" t="str">
        <f ca="1">IFERROR(__xludf.DUMMYFUNCTION("""COMPUTED_VALUE"""),"Almería")</f>
        <v>Almería</v>
      </c>
      <c r="I360" s="33" t="str">
        <f ca="1">IFERROR(__xludf.DUMMYFUNCTION("""COMPUTED_VALUE"""),"C20252181745889")</f>
        <v>C20252181745889</v>
      </c>
      <c r="J360" s="33" t="str">
        <f ca="1">IFERROR(__xludf.DUMMYFUNCTION("""COMPUTED_VALUE"""),"ANTONIO LUQUE CARRIQUE")</f>
        <v>ANTONIO LUQUE CARRIQUE</v>
      </c>
      <c r="K360" s="33">
        <f ca="1">IFERROR(__xludf.DUMMYFUNCTION("""COMPUTED_VALUE"""),2)</f>
        <v>2</v>
      </c>
      <c r="L360" s="203">
        <f ca="1">IFERROR(__xludf.DUMMYFUNCTION("""COMPUTED_VALUE"""),3604.55)</f>
        <v>3604.55</v>
      </c>
      <c r="M360" s="33" t="str">
        <f ca="1">IFERROR(__xludf.DUMMYFUNCTION("""COMPUTED_VALUE"""),"04 TIENDA")</f>
        <v>04 TIENDA</v>
      </c>
      <c r="N360" s="33" t="str">
        <f ca="1">IFERROR(__xludf.DUMMYFUNCTION("""COMPUTED_VALUE"""),"07 BOCA/BOCA")</f>
        <v>07 BOCA/BOCA</v>
      </c>
      <c r="O360" s="33" t="str">
        <f ca="1">IFERROR(__xludf.DUMMYFUNCTION("""COMPUTED_VALUE"""),"Dr, Javier Padilla Cabello")</f>
        <v>Dr, Javier Padilla Cabello</v>
      </c>
      <c r="P360" s="33" t="str">
        <f ca="1">IFERROR(__xludf.DUMMYFUNCTION("""COMPUTED_VALUE"""),"Ramon Ferrando(Valencia)")</f>
        <v>Ramon Ferrando(Valencia)</v>
      </c>
    </row>
    <row r="361" spans="2:16">
      <c r="B361" s="33">
        <f ca="1">IFERROR(__xludf.DUMMYFUNCTION("""COMPUTED_VALUE"""),2025)</f>
        <v>2025</v>
      </c>
      <c r="C361" s="33">
        <f ca="1">IFERROR(__xludf.DUMMYFUNCTION("""COMPUTED_VALUE"""),3)</f>
        <v>3</v>
      </c>
      <c r="D361" s="33" t="str">
        <f ca="1">IFERROR(__xludf.DUMMYFUNCTION("""COMPUTED_VALUE"""),"NO")</f>
        <v>NO</v>
      </c>
      <c r="E361" s="33" t="str">
        <f ca="1">IFERROR(__xludf.DUMMYFUNCTION("""COMPUTED_VALUE"""),"Madrid- La Oca")</f>
        <v>Madrid- La Oca</v>
      </c>
      <c r="F361" s="57">
        <f ca="1">IFERROR(__xludf.DUMMYFUNCTION("""COMPUTED_VALUE"""),45740)</f>
        <v>45740</v>
      </c>
      <c r="G361" s="57">
        <f ca="1">IFERROR(__xludf.DUMMYFUNCTION("""COMPUTED_VALUE"""),45706)</f>
        <v>45706</v>
      </c>
      <c r="H361" s="33" t="str">
        <f ca="1">IFERROR(__xludf.DUMMYFUNCTION("""COMPUTED_VALUE"""),"La Oca")</f>
        <v>La Oca</v>
      </c>
      <c r="I361" s="33" t="str">
        <f ca="1">IFERROR(__xludf.DUMMYFUNCTION("""COMPUTED_VALUE"""),"C202521911313963")</f>
        <v>C202521911313963</v>
      </c>
      <c r="J361" s="33" t="str">
        <f ca="1">IFERROR(__xludf.DUMMYFUNCTION("""COMPUTED_VALUE"""),"JESUS MARTINEZ BENAVIDES")</f>
        <v>JESUS MARTINEZ BENAVIDES</v>
      </c>
      <c r="K361" s="33">
        <f ca="1">IFERROR(__xludf.DUMMYFUNCTION("""COMPUTED_VALUE"""),2)</f>
        <v>2</v>
      </c>
      <c r="L361" s="203">
        <f ca="1">IFERROR(__xludf.DUMMYFUNCTION("""COMPUTED_VALUE"""),3800)</f>
        <v>3800</v>
      </c>
      <c r="M361" s="33" t="str">
        <f ca="1">IFERROR(__xludf.DUMMYFUNCTION("""COMPUTED_VALUE"""),"03 ORL")</f>
        <v>03 ORL</v>
      </c>
      <c r="N361" s="33" t="str">
        <f ca="1">IFERROR(__xludf.DUMMYFUNCTION("""COMPUTED_VALUE"""),"06 ORL")</f>
        <v>06 ORL</v>
      </c>
      <c r="O361" s="33" t="str">
        <f ca="1">IFERROR(__xludf.DUMMYFUNCTION("""COMPUTED_VALUE"""),"Dr, César Charles Martínez")</f>
        <v>Dr, César Charles Martínez</v>
      </c>
      <c r="P361" s="33" t="str">
        <f ca="1">IFERROR(__xludf.DUMMYFUNCTION("""COMPUTED_VALUE"""),"Maika Blázquez (Madrid)")</f>
        <v>Maika Blázquez (Madrid)</v>
      </c>
    </row>
    <row r="362" spans="2:16">
      <c r="B362" s="33">
        <f ca="1">IFERROR(__xludf.DUMMYFUNCTION("""COMPUTED_VALUE"""),2025)</f>
        <v>2025</v>
      </c>
      <c r="C362" s="33">
        <f ca="1">IFERROR(__xludf.DUMMYFUNCTION("""COMPUTED_VALUE"""),3)</f>
        <v>3</v>
      </c>
      <c r="D362" s="33" t="str">
        <f ca="1">IFERROR(__xludf.DUMMYFUNCTION("""COMPUTED_VALUE"""),"NO")</f>
        <v>NO</v>
      </c>
      <c r="E362" s="33" t="str">
        <f ca="1">IFERROR(__xludf.DUMMYFUNCTION("""COMPUTED_VALUE"""),"Alicante")</f>
        <v>Alicante</v>
      </c>
      <c r="F362" s="57">
        <f ca="1">IFERROR(__xludf.DUMMYFUNCTION("""COMPUTED_VALUE"""),45740)</f>
        <v>45740</v>
      </c>
      <c r="G362" s="57">
        <f ca="1">IFERROR(__xludf.DUMMYFUNCTION("""COMPUTED_VALUE"""),45681)</f>
        <v>45681</v>
      </c>
      <c r="H362" s="33" t="str">
        <f ca="1">IFERROR(__xludf.DUMMYFUNCTION("""COMPUTED_VALUE"""),"Alicante")</f>
        <v>Alicante</v>
      </c>
      <c r="I362" s="33" t="str">
        <f ca="1">IFERROR(__xludf.DUMMYFUNCTION("""COMPUTED_VALUE"""),"C2025217114422441")</f>
        <v>C2025217114422441</v>
      </c>
      <c r="J362" s="33" t="str">
        <f ca="1">IFERROR(__xludf.DUMMYFUNCTION("""COMPUTED_VALUE"""),"MARIA TERESA RICO NAVARRO")</f>
        <v>MARIA TERESA RICO NAVARRO</v>
      </c>
      <c r="K362" s="33">
        <f ca="1">IFERROR(__xludf.DUMMYFUNCTION("""COMPUTED_VALUE"""),2)</f>
        <v>2</v>
      </c>
      <c r="L362" s="203">
        <f ca="1">IFERROR(__xludf.DUMMYFUNCTION("""COMPUTED_VALUE"""),4000)</f>
        <v>4000</v>
      </c>
      <c r="M362" s="33" t="str">
        <f ca="1">IFERROR(__xludf.DUMMYFUNCTION("""COMPUTED_VALUE"""),"03 ORL")</f>
        <v>03 ORL</v>
      </c>
      <c r="N362" s="33" t="str">
        <f ca="1">IFERROR(__xludf.DUMMYFUNCTION("""COMPUTED_VALUE"""),"06 ORL")</f>
        <v>06 ORL</v>
      </c>
      <c r="O362" s="33" t="str">
        <f ca="1">IFERROR(__xludf.DUMMYFUNCTION("""COMPUTED_VALUE"""),"Dr, Guillermo Severá Ferrándiz")</f>
        <v>Dr, Guillermo Severá Ferrándiz</v>
      </c>
      <c r="P362" s="33" t="str">
        <f ca="1">IFERROR(__xludf.DUMMYFUNCTION("""COMPUTED_VALUE"""),"Iván Sánchez (Levante Y Albacete)")</f>
        <v>Iván Sánchez (Levante Y Albacete)</v>
      </c>
    </row>
    <row r="363" spans="2:16">
      <c r="B363" s="33">
        <f ca="1">IFERROR(__xludf.DUMMYFUNCTION("""COMPUTED_VALUE"""),2025)</f>
        <v>2025</v>
      </c>
      <c r="C363" s="33">
        <f ca="1">IFERROR(__xludf.DUMMYFUNCTION("""COMPUTED_VALUE"""),3)</f>
        <v>3</v>
      </c>
      <c r="D363" s="33" t="str">
        <f ca="1">IFERROR(__xludf.DUMMYFUNCTION("""COMPUTED_VALUE"""),"NO")</f>
        <v>NO</v>
      </c>
      <c r="E363" s="33" t="str">
        <f ca="1">IFERROR(__xludf.DUMMYFUNCTION("""COMPUTED_VALUE"""),"Valencia- Cádiz")</f>
        <v>Valencia- Cádiz</v>
      </c>
      <c r="F363" s="57">
        <f ca="1">IFERROR(__xludf.DUMMYFUNCTION("""COMPUTED_VALUE"""),45740)</f>
        <v>45740</v>
      </c>
      <c r="G363" s="57">
        <f ca="1">IFERROR(__xludf.DUMMYFUNCTION("""COMPUTED_VALUE"""),45644)</f>
        <v>45644</v>
      </c>
      <c r="H363" s="33" t="str">
        <f ca="1">IFERROR(__xludf.DUMMYFUNCTION("""COMPUTED_VALUE"""),"Valencia- Cádiz")</f>
        <v>Valencia- Cádiz</v>
      </c>
      <c r="I363" s="33" t="str">
        <f ca="1">IFERROR(__xludf.DUMMYFUNCTION("""COMPUTED_VALUE"""),"C2024122411582318")</f>
        <v>C2024122411582318</v>
      </c>
      <c r="J363" s="33" t="str">
        <f ca="1">IFERROR(__xludf.DUMMYFUNCTION("""COMPUTED_VALUE"""),"JIANQING WANG")</f>
        <v>JIANQING WANG</v>
      </c>
      <c r="K363" s="33">
        <f ca="1">IFERROR(__xludf.DUMMYFUNCTION("""COMPUTED_VALUE"""),1)</f>
        <v>1</v>
      </c>
      <c r="L363" s="203">
        <f ca="1">IFERROR(__xludf.DUMMYFUNCTION("""COMPUTED_VALUE"""),2067.27)</f>
        <v>2067.27</v>
      </c>
      <c r="M363" s="33" t="str">
        <f ca="1">IFERROR(__xludf.DUMMYFUNCTION("""COMPUTED_VALUE"""),"03 ORL")</f>
        <v>03 ORL</v>
      </c>
      <c r="N363" s="33" t="str">
        <f ca="1">IFERROR(__xludf.DUMMYFUNCTION("""COMPUTED_VALUE"""),"06 ORL")</f>
        <v>06 ORL</v>
      </c>
      <c r="O363" s="33" t="str">
        <f ca="1">IFERROR(__xludf.DUMMYFUNCTION("""COMPUTED_VALUE"""),"Dr, Jean Franco Intraprendente Martini")</f>
        <v>Dr, Jean Franco Intraprendente Martini</v>
      </c>
      <c r="P363" s="33" t="str">
        <f ca="1">IFERROR(__xludf.DUMMYFUNCTION("""COMPUTED_VALUE"""),"Ramon Ferrando(Valencia)")</f>
        <v>Ramon Ferrando(Valencia)</v>
      </c>
    </row>
    <row r="364" spans="2:16">
      <c r="B364" s="33">
        <f ca="1">IFERROR(__xludf.DUMMYFUNCTION("""COMPUTED_VALUE"""),2025)</f>
        <v>2025</v>
      </c>
      <c r="C364" s="33">
        <f ca="1">IFERROR(__xludf.DUMMYFUNCTION("""COMPUTED_VALUE"""),3)</f>
        <v>3</v>
      </c>
      <c r="D364" s="33" t="str">
        <f ca="1">IFERROR(__xludf.DUMMYFUNCTION("""COMPUTED_VALUE"""),"NO")</f>
        <v>NO</v>
      </c>
      <c r="E364" s="33" t="str">
        <f ca="1">IFERROR(__xludf.DUMMYFUNCTION("""COMPUTED_VALUE"""),"Getafe")</f>
        <v>Getafe</v>
      </c>
      <c r="F364" s="57">
        <f ca="1">IFERROR(__xludf.DUMMYFUNCTION("""COMPUTED_VALUE"""),45740)</f>
        <v>45740</v>
      </c>
      <c r="G364" s="57">
        <f ca="1">IFERROR(__xludf.DUMMYFUNCTION("""COMPUTED_VALUE"""),45709)</f>
        <v>45709</v>
      </c>
      <c r="H364" s="33" t="str">
        <f ca="1">IFERROR(__xludf.DUMMYFUNCTION("""COMPUTED_VALUE"""),"Getafe")</f>
        <v>Getafe</v>
      </c>
      <c r="I364" s="33" t="str">
        <f ca="1">IFERROR(__xludf.DUMMYFUNCTION("""COMPUTED_VALUE"""),"C202535104847967")</f>
        <v>C202535104847967</v>
      </c>
      <c r="J364" s="33" t="str">
        <f ca="1">IFERROR(__xludf.DUMMYFUNCTION("""COMPUTED_VALUE"""),"MARIA DEL CARMEN LOPEZ NOGALES")</f>
        <v>MARIA DEL CARMEN LOPEZ NOGALES</v>
      </c>
      <c r="K364" s="33">
        <f ca="1">IFERROR(__xludf.DUMMYFUNCTION("""COMPUTED_VALUE"""),2)</f>
        <v>2</v>
      </c>
      <c r="L364" s="203">
        <f ca="1">IFERROR(__xludf.DUMMYFUNCTION("""COMPUTED_VALUE"""),2888.18)</f>
        <v>2888.18</v>
      </c>
      <c r="M364" s="33" t="str">
        <f ca="1">IFERROR(__xludf.DUMMYFUNCTION("""COMPUTED_VALUE"""),"03 ORL")</f>
        <v>03 ORL</v>
      </c>
      <c r="N364" s="33" t="str">
        <f ca="1">IFERROR(__xludf.DUMMYFUNCTION("""COMPUTED_VALUE"""),"06 ORL")</f>
        <v>06 ORL</v>
      </c>
      <c r="O364" s="33" t="str">
        <f ca="1">IFERROR(__xludf.DUMMYFUNCTION("""COMPUTED_VALUE"""),"Dra, María Garrote Garrote")</f>
        <v>Dra, María Garrote Garrote</v>
      </c>
      <c r="P364" s="33" t="str">
        <f ca="1">IFERROR(__xludf.DUMMYFUNCTION("""COMPUTED_VALUE"""),"Maika Blázquez (Madrid)")</f>
        <v>Maika Blázquez (Madrid)</v>
      </c>
    </row>
    <row r="365" spans="2:16">
      <c r="B365" s="33">
        <f ca="1">IFERROR(__xludf.DUMMYFUNCTION("""COMPUTED_VALUE"""),2025)</f>
        <v>2025</v>
      </c>
      <c r="C365" s="33">
        <f ca="1">IFERROR(__xludf.DUMMYFUNCTION("""COMPUTED_VALUE"""),3)</f>
        <v>3</v>
      </c>
      <c r="D365" s="33" t="str">
        <f ca="1">IFERROR(__xludf.DUMMYFUNCTION("""COMPUTED_VALUE"""),"NO")</f>
        <v>NO</v>
      </c>
      <c r="E365" s="33" t="str">
        <f ca="1">IFERROR(__xludf.DUMMYFUNCTION("""COMPUTED_VALUE"""),"Almería")</f>
        <v>Almería</v>
      </c>
      <c r="F365" s="57">
        <f ca="1">IFERROR(__xludf.DUMMYFUNCTION("""COMPUTED_VALUE"""),45740)</f>
        <v>45740</v>
      </c>
      <c r="G365" s="57">
        <f ca="1">IFERROR(__xludf.DUMMYFUNCTION("""COMPUTED_VALUE"""),45679)</f>
        <v>45679</v>
      </c>
      <c r="H365" s="33" t="str">
        <f ca="1">IFERROR(__xludf.DUMMYFUNCTION("""COMPUTED_VALUE"""),"Almería")</f>
        <v>Almería</v>
      </c>
      <c r="I365" s="33" t="str">
        <f ca="1">IFERROR(__xludf.DUMMYFUNCTION("""COMPUTED_VALUE"""),"C2025127155414181")</f>
        <v>C2025127155414181</v>
      </c>
      <c r="J365" s="33" t="str">
        <f ca="1">IFERROR(__xludf.DUMMYFUNCTION("""COMPUTED_VALUE"""),"MARIA CARMEN GALERA UROZ")</f>
        <v>MARIA CARMEN GALERA UROZ</v>
      </c>
      <c r="K365" s="33">
        <f ca="1">IFERROR(__xludf.DUMMYFUNCTION("""COMPUTED_VALUE"""),2)</f>
        <v>2</v>
      </c>
      <c r="L365" s="203">
        <f ca="1">IFERROR(__xludf.DUMMYFUNCTION("""COMPUTED_VALUE"""),4000)</f>
        <v>4000</v>
      </c>
      <c r="M365" s="33" t="str">
        <f ca="1">IFERROR(__xludf.DUMMYFUNCTION("""COMPUTED_VALUE"""),"03 ORL")</f>
        <v>03 ORL</v>
      </c>
      <c r="N365" s="33" t="str">
        <f ca="1">IFERROR(__xludf.DUMMYFUNCTION("""COMPUTED_VALUE"""),"06 ORL")</f>
        <v>06 ORL</v>
      </c>
      <c r="O365" s="33" t="str">
        <f ca="1">IFERROR(__xludf.DUMMYFUNCTION("""COMPUTED_VALUE"""),"Dr, Javier Padilla Cabello")</f>
        <v>Dr, Javier Padilla Cabello</v>
      </c>
      <c r="P365" s="33" t="str">
        <f ca="1">IFERROR(__xludf.DUMMYFUNCTION("""COMPUTED_VALUE"""),"Ramon Ferrando(Valencia)")</f>
        <v>Ramon Ferrando(Valencia)</v>
      </c>
    </row>
    <row r="366" spans="2:16">
      <c r="B366" s="33">
        <f ca="1">IFERROR(__xludf.DUMMYFUNCTION("""COMPUTED_VALUE"""),2025)</f>
        <v>2025</v>
      </c>
      <c r="C366" s="33">
        <f ca="1">IFERROR(__xludf.DUMMYFUNCTION("""COMPUTED_VALUE"""),3)</f>
        <v>3</v>
      </c>
      <c r="D366" s="33" t="str">
        <f ca="1">IFERROR(__xludf.DUMMYFUNCTION("""COMPUTED_VALUE"""),"NO")</f>
        <v>NO</v>
      </c>
      <c r="E366" s="33" t="str">
        <f ca="1">IFERROR(__xludf.DUMMYFUNCTION("""COMPUTED_VALUE"""),"Getafe")</f>
        <v>Getafe</v>
      </c>
      <c r="F366" s="57">
        <f ca="1">IFERROR(__xludf.DUMMYFUNCTION("""COMPUTED_VALUE"""),45740)</f>
        <v>45740</v>
      </c>
      <c r="G366" s="57">
        <f ca="1">IFERROR(__xludf.DUMMYFUNCTION("""COMPUTED_VALUE"""),45700)</f>
        <v>45700</v>
      </c>
      <c r="H366" s="33" t="str">
        <f ca="1">IFERROR(__xludf.DUMMYFUNCTION("""COMPUTED_VALUE"""),"Getafe")</f>
        <v>Getafe</v>
      </c>
      <c r="I366" s="33" t="str">
        <f ca="1">IFERROR(__xludf.DUMMYFUNCTION("""COMPUTED_VALUE"""),"C20252201150617")</f>
        <v>C20252201150617</v>
      </c>
      <c r="J366" s="33" t="str">
        <f ca="1">IFERROR(__xludf.DUMMYFUNCTION("""COMPUTED_VALUE"""),"TERESA VERA ARCONADA")</f>
        <v>TERESA VERA ARCONADA</v>
      </c>
      <c r="K366" s="33">
        <f ca="1">IFERROR(__xludf.DUMMYFUNCTION("""COMPUTED_VALUE"""),1)</f>
        <v>1</v>
      </c>
      <c r="L366" s="203">
        <f ca="1">IFERROR(__xludf.DUMMYFUNCTION("""COMPUTED_VALUE"""),2400)</f>
        <v>2400</v>
      </c>
      <c r="M366" s="33" t="str">
        <f ca="1">IFERROR(__xludf.DUMMYFUNCTION("""COMPUTED_VALUE"""),"03 ORL")</f>
        <v>03 ORL</v>
      </c>
      <c r="N366" s="33" t="str">
        <f ca="1">IFERROR(__xludf.DUMMYFUNCTION("""COMPUTED_VALUE"""),"06 ORL")</f>
        <v>06 ORL</v>
      </c>
      <c r="O366" s="33" t="str">
        <f ca="1">IFERROR(__xludf.DUMMYFUNCTION("""COMPUTED_VALUE"""),"Dra, Irene Mármol Szmobathy")</f>
        <v>Dra, Irene Mármol Szmobathy</v>
      </c>
      <c r="P366" s="33" t="str">
        <f ca="1">IFERROR(__xludf.DUMMYFUNCTION("""COMPUTED_VALUE"""),"Maika Blázquez (Madrid)")</f>
        <v>Maika Blázquez (Madrid)</v>
      </c>
    </row>
    <row r="367" spans="2:16">
      <c r="B367" s="33">
        <f ca="1">IFERROR(__xludf.DUMMYFUNCTION("""COMPUTED_VALUE"""),2025)</f>
        <v>2025</v>
      </c>
      <c r="C367" s="33">
        <f ca="1">IFERROR(__xludf.DUMMYFUNCTION("""COMPUTED_VALUE"""),3)</f>
        <v>3</v>
      </c>
      <c r="D367" s="33" t="str">
        <f ca="1">IFERROR(__xludf.DUMMYFUNCTION("""COMPUTED_VALUE"""),"NO")</f>
        <v>NO</v>
      </c>
      <c r="E367" s="33" t="str">
        <f ca="1">IFERROR(__xludf.DUMMYFUNCTION("""COMPUTED_VALUE"""),"Leganés")</f>
        <v>Leganés</v>
      </c>
      <c r="F367" s="57">
        <f ca="1">IFERROR(__xludf.DUMMYFUNCTION("""COMPUTED_VALUE"""),45741)</f>
        <v>45741</v>
      </c>
      <c r="G367" s="57">
        <f ca="1">IFERROR(__xludf.DUMMYFUNCTION("""COMPUTED_VALUE"""),45686)</f>
        <v>45686</v>
      </c>
      <c r="H367" s="33" t="str">
        <f ca="1">IFERROR(__xludf.DUMMYFUNCTION("""COMPUTED_VALUE"""),"Leganés")</f>
        <v>Leganés</v>
      </c>
      <c r="I367" s="33" t="str">
        <f ca="1">IFERROR(__xludf.DUMMYFUNCTION("""COMPUTED_VALUE"""),"C202525165212977")</f>
        <v>C202525165212977</v>
      </c>
      <c r="J367" s="33" t="str">
        <f ca="1">IFERROR(__xludf.DUMMYFUNCTION("""COMPUTED_VALUE"""),"MARIA CARMEN MOLINERO RUPEREZ")</f>
        <v>MARIA CARMEN MOLINERO RUPEREZ</v>
      </c>
      <c r="K367" s="33">
        <f ca="1">IFERROR(__xludf.DUMMYFUNCTION("""COMPUTED_VALUE"""),2)</f>
        <v>2</v>
      </c>
      <c r="L367" s="203">
        <f ca="1">IFERROR(__xludf.DUMMYFUNCTION("""COMPUTED_VALUE"""),3604.55)</f>
        <v>3604.55</v>
      </c>
      <c r="M367" s="33" t="str">
        <f ca="1">IFERROR(__xludf.DUMMYFUNCTION("""COMPUTED_VALUE"""),"03 ORL")</f>
        <v>03 ORL</v>
      </c>
      <c r="N367" s="33" t="str">
        <f ca="1">IFERROR(__xludf.DUMMYFUNCTION("""COMPUTED_VALUE"""),"06 ORL")</f>
        <v>06 ORL</v>
      </c>
      <c r="O367" s="33" t="str">
        <f ca="1">IFERROR(__xludf.DUMMYFUNCTION("""COMPUTED_VALUE"""),"No Recuerda Orl")</f>
        <v>No Recuerda Orl</v>
      </c>
      <c r="P367" s="33" t="str">
        <f ca="1">IFERROR(__xludf.DUMMYFUNCTION("""COMPUTED_VALUE"""),"Maika Blázquez (Madrid)")</f>
        <v>Maika Blázquez (Madrid)</v>
      </c>
    </row>
    <row r="368" spans="2:16">
      <c r="B368" s="33">
        <f ca="1">IFERROR(__xludf.DUMMYFUNCTION("""COMPUTED_VALUE"""),2025)</f>
        <v>2025</v>
      </c>
      <c r="C368" s="33">
        <f ca="1">IFERROR(__xludf.DUMMYFUNCTION("""COMPUTED_VALUE"""),3)</f>
        <v>3</v>
      </c>
      <c r="D368" s="33" t="str">
        <f ca="1">IFERROR(__xludf.DUMMYFUNCTION("""COMPUTED_VALUE"""),"NO")</f>
        <v>NO</v>
      </c>
      <c r="E368" s="33" t="str">
        <f ca="1">IFERROR(__xludf.DUMMYFUNCTION("""COMPUTED_VALUE"""),"Logroño")</f>
        <v>Logroño</v>
      </c>
      <c r="F368" s="57">
        <f ca="1">IFERROR(__xludf.DUMMYFUNCTION("""COMPUTED_VALUE"""),45741)</f>
        <v>45741</v>
      </c>
      <c r="G368" s="57">
        <f ca="1">IFERROR(__xludf.DUMMYFUNCTION("""COMPUTED_VALUE"""),45699)</f>
        <v>45699</v>
      </c>
      <c r="H368" s="33" t="str">
        <f ca="1">IFERROR(__xludf.DUMMYFUNCTION("""COMPUTED_VALUE"""),"Logroño")</f>
        <v>Logroño</v>
      </c>
      <c r="I368" s="33" t="str">
        <f ca="1">IFERROR(__xludf.DUMMYFUNCTION("""COMPUTED_VALUE"""),"C20252141128208")</f>
        <v>C20252141128208</v>
      </c>
      <c r="J368" s="33" t="str">
        <f ca="1">IFERROR(__xludf.DUMMYFUNCTION("""COMPUTED_VALUE"""),"MARIA VICTORIA PAOLA REMIRO")</f>
        <v>MARIA VICTORIA PAOLA REMIRO</v>
      </c>
      <c r="K368" s="33">
        <f ca="1">IFERROR(__xludf.DUMMYFUNCTION("""COMPUTED_VALUE"""),2)</f>
        <v>2</v>
      </c>
      <c r="L368" s="203">
        <f ca="1">IFERROR(__xludf.DUMMYFUNCTION("""COMPUTED_VALUE"""),3909.09)</f>
        <v>3909.09</v>
      </c>
      <c r="M368" s="33" t="str">
        <f ca="1">IFERROR(__xludf.DUMMYFUNCTION("""COMPUTED_VALUE"""),"03 ORL")</f>
        <v>03 ORL</v>
      </c>
      <c r="N368" s="33" t="str">
        <f ca="1">IFERROR(__xludf.DUMMYFUNCTION("""COMPUTED_VALUE"""),"06 ORL")</f>
        <v>06 ORL</v>
      </c>
      <c r="O368" s="33" t="str">
        <f ca="1">IFERROR(__xludf.DUMMYFUNCTION("""COMPUTED_VALUE"""),"Dra, Cristina Ibañez Muñoz")</f>
        <v>Dra, Cristina Ibañez Muñoz</v>
      </c>
      <c r="P368" s="33" t="str">
        <f ca="1">IFERROR(__xludf.DUMMYFUNCTION("""COMPUTED_VALUE"""),"Lisandro Russian (Madrid, Cáceres, Toledo, Talavera Y Logroño)")</f>
        <v>Lisandro Russian (Madrid, Cáceres, Toledo, Talavera Y Logroño)</v>
      </c>
    </row>
    <row r="369" spans="2:16">
      <c r="B369" s="33">
        <f ca="1">IFERROR(__xludf.DUMMYFUNCTION("""COMPUTED_VALUE"""),2025)</f>
        <v>2025</v>
      </c>
      <c r="C369" s="33">
        <f ca="1">IFERROR(__xludf.DUMMYFUNCTION("""COMPUTED_VALUE"""),3)</f>
        <v>3</v>
      </c>
      <c r="D369" s="33" t="str">
        <f ca="1">IFERROR(__xludf.DUMMYFUNCTION("""COMPUTED_VALUE"""),"NO")</f>
        <v>NO</v>
      </c>
      <c r="E369" s="33" t="str">
        <f ca="1">IFERROR(__xludf.DUMMYFUNCTION("""COMPUTED_VALUE"""),"Sevilla- Montoto")</f>
        <v>Sevilla- Montoto</v>
      </c>
      <c r="F369" s="57">
        <f ca="1">IFERROR(__xludf.DUMMYFUNCTION("""COMPUTED_VALUE"""),45741)</f>
        <v>45741</v>
      </c>
      <c r="G369" s="57">
        <f ca="1">IFERROR(__xludf.DUMMYFUNCTION("""COMPUTED_VALUE"""),45700)</f>
        <v>45700</v>
      </c>
      <c r="H369" s="33" t="str">
        <f ca="1">IFERROR(__xludf.DUMMYFUNCTION("""COMPUTED_VALUE"""),"Montoto")</f>
        <v>Montoto</v>
      </c>
      <c r="I369" s="33" t="str">
        <f ca="1">IFERROR(__xludf.DUMMYFUNCTION("""COMPUTED_VALUE"""),"C202521418433328")</f>
        <v>C202521418433328</v>
      </c>
      <c r="J369" s="33" t="str">
        <f ca="1">IFERROR(__xludf.DUMMYFUNCTION("""COMPUTED_VALUE"""),"MANUEL GONZALEZ GRANADOS")</f>
        <v>MANUEL GONZALEZ GRANADOS</v>
      </c>
      <c r="K369" s="33">
        <f ca="1">IFERROR(__xludf.DUMMYFUNCTION("""COMPUTED_VALUE"""),2)</f>
        <v>2</v>
      </c>
      <c r="L369" s="203">
        <f ca="1">IFERROR(__xludf.DUMMYFUNCTION("""COMPUTED_VALUE"""),2888.18)</f>
        <v>2888.18</v>
      </c>
      <c r="M369" s="33" t="str">
        <f ca="1">IFERROR(__xludf.DUMMYFUNCTION("""COMPUTED_VALUE"""),"03 ORL")</f>
        <v>03 ORL</v>
      </c>
      <c r="N369" s="33" t="str">
        <f ca="1">IFERROR(__xludf.DUMMYFUNCTION("""COMPUTED_VALUE"""),"06 ORL")</f>
        <v>06 ORL</v>
      </c>
      <c r="O369" s="33" t="str">
        <f ca="1">IFERROR(__xludf.DUMMYFUNCTION("""COMPUTED_VALUE"""),"No Recuerda Orl")</f>
        <v>No Recuerda Orl</v>
      </c>
      <c r="P369" s="33" t="str">
        <f ca="1">IFERROR(__xludf.DUMMYFUNCTION("""COMPUTED_VALUE"""),"Luis Alberto Rodríguez (Andalucía Y Badajoz)")</f>
        <v>Luis Alberto Rodríguez (Andalucía Y Badajoz)</v>
      </c>
    </row>
    <row r="370" spans="2:16">
      <c r="B370" s="33">
        <f ca="1">IFERROR(__xludf.DUMMYFUNCTION("""COMPUTED_VALUE"""),2025)</f>
        <v>2025</v>
      </c>
      <c r="C370" s="33">
        <f ca="1">IFERROR(__xludf.DUMMYFUNCTION("""COMPUTED_VALUE"""),3)</f>
        <v>3</v>
      </c>
      <c r="D370" s="33" t="str">
        <f ca="1">IFERROR(__xludf.DUMMYFUNCTION("""COMPUTED_VALUE"""),"NO")</f>
        <v>NO</v>
      </c>
      <c r="E370" s="33" t="str">
        <f ca="1">IFERROR(__xludf.DUMMYFUNCTION("""COMPUTED_VALUE"""),"Valencia- Parra")</f>
        <v>Valencia- Parra</v>
      </c>
      <c r="F370" s="57">
        <f ca="1">IFERROR(__xludf.DUMMYFUNCTION("""COMPUTED_VALUE"""),45741)</f>
        <v>45741</v>
      </c>
      <c r="G370" s="57">
        <f ca="1">IFERROR(__xludf.DUMMYFUNCTION("""COMPUTED_VALUE"""),45693)</f>
        <v>45693</v>
      </c>
      <c r="H370" s="33" t="str">
        <f ca="1">IFERROR(__xludf.DUMMYFUNCTION("""COMPUTED_VALUE"""),"Valencia- Parra")</f>
        <v>Valencia- Parra</v>
      </c>
      <c r="I370" s="33" t="str">
        <f ca="1">IFERROR(__xludf.DUMMYFUNCTION("""COMPUTED_VALUE"""),"C2025212103511394")</f>
        <v>C2025212103511394</v>
      </c>
      <c r="J370" s="33" t="str">
        <f ca="1">IFERROR(__xludf.DUMMYFUNCTION("""COMPUTED_VALUE"""),"EMILIA MARTI ESTRICH")</f>
        <v>EMILIA MARTI ESTRICH</v>
      </c>
      <c r="K370" s="33">
        <f ca="1">IFERROR(__xludf.DUMMYFUNCTION("""COMPUTED_VALUE"""),2)</f>
        <v>2</v>
      </c>
      <c r="L370" s="203">
        <f ca="1">IFERROR(__xludf.DUMMYFUNCTION("""COMPUTED_VALUE"""),4000)</f>
        <v>4000</v>
      </c>
      <c r="M370" s="33" t="str">
        <f ca="1">IFERROR(__xludf.DUMMYFUNCTION("""COMPUTED_VALUE"""),"03 ORL")</f>
        <v>03 ORL</v>
      </c>
      <c r="N370" s="33" t="str">
        <f ca="1">IFERROR(__xludf.DUMMYFUNCTION("""COMPUTED_VALUE"""),"06 ORL")</f>
        <v>06 ORL</v>
      </c>
      <c r="O370" s="33" t="str">
        <f ca="1">IFERROR(__xludf.DUMMYFUNCTION("""COMPUTED_VALUE"""),"Dr, Carlos De Paula Vernetta")</f>
        <v>Dr, Carlos De Paula Vernetta</v>
      </c>
      <c r="P370" s="33" t="str">
        <f ca="1">IFERROR(__xludf.DUMMYFUNCTION("""COMPUTED_VALUE"""),"Ramon Ferrando(Valencia)")</f>
        <v>Ramon Ferrando(Valencia)</v>
      </c>
    </row>
    <row r="371" spans="2:16">
      <c r="B371" s="33">
        <f ca="1">IFERROR(__xludf.DUMMYFUNCTION("""COMPUTED_VALUE"""),2025)</f>
        <v>2025</v>
      </c>
      <c r="C371" s="33">
        <f ca="1">IFERROR(__xludf.DUMMYFUNCTION("""COMPUTED_VALUE"""),3)</f>
        <v>3</v>
      </c>
      <c r="D371" s="33" t="str">
        <f ca="1">IFERROR(__xludf.DUMMYFUNCTION("""COMPUTED_VALUE"""),"NO")</f>
        <v>NO</v>
      </c>
      <c r="E371" s="33" t="str">
        <f ca="1">IFERROR(__xludf.DUMMYFUNCTION("""COMPUTED_VALUE"""),"Torrejón de Ardoz")</f>
        <v>Torrejón de Ardoz</v>
      </c>
      <c r="F371" s="57">
        <f ca="1">IFERROR(__xludf.DUMMYFUNCTION("""COMPUTED_VALUE"""),45741)</f>
        <v>45741</v>
      </c>
      <c r="G371" s="57">
        <f ca="1">IFERROR(__xludf.DUMMYFUNCTION("""COMPUTED_VALUE"""),45615)</f>
        <v>45615</v>
      </c>
      <c r="H371" s="33" t="str">
        <f ca="1">IFERROR(__xludf.DUMMYFUNCTION("""COMPUTED_VALUE"""),"Torrejón")</f>
        <v>Torrejón</v>
      </c>
      <c r="I371" s="33" t="str">
        <f ca="1">IFERROR(__xludf.DUMMYFUNCTION("""COMPUTED_VALUE"""),"C2024112710520472")</f>
        <v>C2024112710520472</v>
      </c>
      <c r="J371" s="33" t="str">
        <f ca="1">IFERROR(__xludf.DUMMYFUNCTION("""COMPUTED_VALUE"""),"JOSE RAFAEL LABRADOR RECIO")</f>
        <v>JOSE RAFAEL LABRADOR RECIO</v>
      </c>
      <c r="K371" s="33">
        <f ca="1">IFERROR(__xludf.DUMMYFUNCTION("""COMPUTED_VALUE"""),2)</f>
        <v>2</v>
      </c>
      <c r="L371" s="203">
        <f ca="1">IFERROR(__xludf.DUMMYFUNCTION("""COMPUTED_VALUE"""),4400)</f>
        <v>4400</v>
      </c>
      <c r="M371" s="33" t="str">
        <f ca="1">IFERROR(__xludf.DUMMYFUNCTION("""COMPUTED_VALUE"""),"01 MARKETING ON LINE")</f>
        <v>01 MARKETING ON LINE</v>
      </c>
      <c r="N371" s="33" t="str">
        <f ca="1">IFERROR(__xludf.DUMMYFUNCTION("""COMPUTED_VALUE"""),"04 AUDIFONO,ES")</f>
        <v>04 AUDIFONO,ES</v>
      </c>
      <c r="O371" s="33" t="str">
        <f ca="1">IFERROR(__xludf.DUMMYFUNCTION("""COMPUTED_VALUE"""),"Dr, Abel Bogoya Castaño")</f>
        <v>Dr, Abel Bogoya Castaño</v>
      </c>
      <c r="P371" s="33" t="str">
        <f ca="1">IFERROR(__xludf.DUMMYFUNCTION("""COMPUTED_VALUE"""),"Maika Blázquez (Madrid)")</f>
        <v>Maika Blázquez (Madrid)</v>
      </c>
    </row>
    <row r="372" spans="2:16">
      <c r="B372" s="33">
        <f ca="1">IFERROR(__xludf.DUMMYFUNCTION("""COMPUTED_VALUE"""),2025)</f>
        <v>2025</v>
      </c>
      <c r="C372" s="33">
        <f ca="1">IFERROR(__xludf.DUMMYFUNCTION("""COMPUTED_VALUE"""),3)</f>
        <v>3</v>
      </c>
      <c r="D372" s="33" t="str">
        <f ca="1">IFERROR(__xludf.DUMMYFUNCTION("""COMPUTED_VALUE"""),"NO")</f>
        <v>NO</v>
      </c>
      <c r="E372" s="33" t="str">
        <f ca="1">IFERROR(__xludf.DUMMYFUNCTION("""COMPUTED_VALUE"""),"Alicante")</f>
        <v>Alicante</v>
      </c>
      <c r="F372" s="57">
        <f ca="1">IFERROR(__xludf.DUMMYFUNCTION("""COMPUTED_VALUE"""),45741)</f>
        <v>45741</v>
      </c>
      <c r="G372" s="57">
        <f ca="1">IFERROR(__xludf.DUMMYFUNCTION("""COMPUTED_VALUE"""),45707)</f>
        <v>45707</v>
      </c>
      <c r="H372" s="33" t="str">
        <f ca="1">IFERROR(__xludf.DUMMYFUNCTION("""COMPUTED_VALUE"""),"Alicante")</f>
        <v>Alicante</v>
      </c>
      <c r="I372" s="33" t="str">
        <f ca="1">IFERROR(__xludf.DUMMYFUNCTION("""COMPUTED_VALUE"""),"C2025226163257801")</f>
        <v>C2025226163257801</v>
      </c>
      <c r="J372" s="33" t="str">
        <f ca="1">IFERROR(__xludf.DUMMYFUNCTION("""COMPUTED_VALUE"""),"MARIA ANGELES COZAR GARCIA")</f>
        <v>MARIA ANGELES COZAR GARCIA</v>
      </c>
      <c r="K372" s="33">
        <f ca="1">IFERROR(__xludf.DUMMYFUNCTION("""COMPUTED_VALUE"""),2)</f>
        <v>2</v>
      </c>
      <c r="L372" s="203">
        <f ca="1">IFERROR(__xludf.DUMMYFUNCTION("""COMPUTED_VALUE"""),2888.18)</f>
        <v>2888.18</v>
      </c>
      <c r="M372" s="33" t="str">
        <f ca="1">IFERROR(__xludf.DUMMYFUNCTION("""COMPUTED_VALUE"""),"03 ORL")</f>
        <v>03 ORL</v>
      </c>
      <c r="N372" s="33" t="str">
        <f ca="1">IFERROR(__xludf.DUMMYFUNCTION("""COMPUTED_VALUE"""),"06 ORL")</f>
        <v>06 ORL</v>
      </c>
      <c r="O372" s="33" t="str">
        <f ca="1">IFERROR(__xludf.DUMMYFUNCTION("""COMPUTED_VALUE"""),"Dra, Alicia Mateo Espinosa")</f>
        <v>Dra, Alicia Mateo Espinosa</v>
      </c>
      <c r="P372" s="33" t="str">
        <f ca="1">IFERROR(__xludf.DUMMYFUNCTION("""COMPUTED_VALUE"""),"Iván Sánchez (Levante Y Albacete)")</f>
        <v>Iván Sánchez (Levante Y Albacete)</v>
      </c>
    </row>
    <row r="373" spans="2:16">
      <c r="B373" s="33">
        <f ca="1">IFERROR(__xludf.DUMMYFUNCTION("""COMPUTED_VALUE"""),2025)</f>
        <v>2025</v>
      </c>
      <c r="C373" s="33">
        <f ca="1">IFERROR(__xludf.DUMMYFUNCTION("""COMPUTED_VALUE"""),3)</f>
        <v>3</v>
      </c>
      <c r="D373" s="33" t="str">
        <f ca="1">IFERROR(__xludf.DUMMYFUNCTION("""COMPUTED_VALUE"""),"NO")</f>
        <v>NO</v>
      </c>
      <c r="E373" s="33" t="str">
        <f ca="1">IFERROR(__xludf.DUMMYFUNCTION("""COMPUTED_VALUE"""),"El Albir (Benidorm)")</f>
        <v>El Albir (Benidorm)</v>
      </c>
      <c r="F373" s="57">
        <f ca="1">IFERROR(__xludf.DUMMYFUNCTION("""COMPUTED_VALUE"""),45741)</f>
        <v>45741</v>
      </c>
      <c r="G373" s="57">
        <f ca="1">IFERROR(__xludf.DUMMYFUNCTION("""COMPUTED_VALUE"""),45714)</f>
        <v>45714</v>
      </c>
      <c r="H373" s="33" t="str">
        <f ca="1">IFERROR(__xludf.DUMMYFUNCTION("""COMPUTED_VALUE"""),"El Albir (Benidorm)")</f>
        <v>El Albir (Benidorm)</v>
      </c>
      <c r="I373" s="33" t="str">
        <f ca="1">IFERROR(__xludf.DUMMYFUNCTION("""COMPUTED_VALUE"""),"C202533161053724")</f>
        <v>C202533161053724</v>
      </c>
      <c r="J373" s="33" t="str">
        <f ca="1">IFERROR(__xludf.DUMMYFUNCTION("""COMPUTED_VALUE"""),"SABRINA ORTS MESTRE")</f>
        <v>SABRINA ORTS MESTRE</v>
      </c>
      <c r="K373" s="33">
        <f ca="1">IFERROR(__xludf.DUMMYFUNCTION("""COMPUTED_VALUE"""),1)</f>
        <v>1</v>
      </c>
      <c r="L373" s="203">
        <f ca="1">IFERROR(__xludf.DUMMYFUNCTION("""COMPUTED_VALUE"""),2400)</f>
        <v>2400</v>
      </c>
      <c r="M373" s="33" t="str">
        <f ca="1">IFERROR(__xludf.DUMMYFUNCTION("""COMPUTED_VALUE"""),"03 ORL")</f>
        <v>03 ORL</v>
      </c>
      <c r="N373" s="33" t="str">
        <f ca="1">IFERROR(__xludf.DUMMYFUNCTION("""COMPUTED_VALUE"""),"06 ORL")</f>
        <v>06 ORL</v>
      </c>
      <c r="O373" s="33" t="str">
        <f ca="1">IFERROR(__xludf.DUMMYFUNCTION("""COMPUTED_VALUE"""),"Dra, Isabel Polo Tomás")</f>
        <v>Dra, Isabel Polo Tomás</v>
      </c>
      <c r="P373" s="33" t="str">
        <f ca="1">IFERROR(__xludf.DUMMYFUNCTION("""COMPUTED_VALUE"""),"Ramon Ferrando(Valencia)")</f>
        <v>Ramon Ferrando(Valencia)</v>
      </c>
    </row>
    <row r="374" spans="2:16">
      <c r="B374" s="33">
        <f ca="1">IFERROR(__xludf.DUMMYFUNCTION("""COMPUTED_VALUE"""),2025)</f>
        <v>2025</v>
      </c>
      <c r="C374" s="33">
        <f ca="1">IFERROR(__xludf.DUMMYFUNCTION("""COMPUTED_VALUE"""),3)</f>
        <v>3</v>
      </c>
      <c r="D374" s="33" t="str">
        <f ca="1">IFERROR(__xludf.DUMMYFUNCTION("""COMPUTED_VALUE"""),"NO")</f>
        <v>NO</v>
      </c>
      <c r="E374" s="33" t="str">
        <f ca="1">IFERROR(__xludf.DUMMYFUNCTION("""COMPUTED_VALUE"""),"Murcia")</f>
        <v>Murcia</v>
      </c>
      <c r="F374" s="57">
        <f ca="1">IFERROR(__xludf.DUMMYFUNCTION("""COMPUTED_VALUE"""),45741)</f>
        <v>45741</v>
      </c>
      <c r="G374" s="57">
        <f ca="1">IFERROR(__xludf.DUMMYFUNCTION("""COMPUTED_VALUE"""),45714)</f>
        <v>45714</v>
      </c>
      <c r="H374" s="33" t="str">
        <f ca="1">IFERROR(__xludf.DUMMYFUNCTION("""COMPUTED_VALUE"""),"Murcia")</f>
        <v>Murcia</v>
      </c>
      <c r="I374" s="33" t="str">
        <f ca="1">IFERROR(__xludf.DUMMYFUNCTION("""COMPUTED_VALUE"""),"C202522716558316")</f>
        <v>C202522716558316</v>
      </c>
      <c r="J374" s="33" t="str">
        <f ca="1">IFERROR(__xludf.DUMMYFUNCTION("""COMPUTED_VALUE"""),"DOLORES CARRILLO RUBIO")</f>
        <v>DOLORES CARRILLO RUBIO</v>
      </c>
      <c r="K374" s="33">
        <f ca="1">IFERROR(__xludf.DUMMYFUNCTION("""COMPUTED_VALUE"""),2)</f>
        <v>2</v>
      </c>
      <c r="L374" s="203">
        <f ca="1">IFERROR(__xludf.DUMMYFUNCTION("""COMPUTED_VALUE"""),3523.64)</f>
        <v>3523.64</v>
      </c>
      <c r="M374" s="33" t="str">
        <f ca="1">IFERROR(__xludf.DUMMYFUNCTION("""COMPUTED_VALUE"""),"03 ORL")</f>
        <v>03 ORL</v>
      </c>
      <c r="N374" s="33" t="str">
        <f ca="1">IFERROR(__xludf.DUMMYFUNCTION("""COMPUTED_VALUE"""),"06 ORL")</f>
        <v>06 ORL</v>
      </c>
      <c r="O374" s="33" t="str">
        <f ca="1">IFERROR(__xludf.DUMMYFUNCTION("""COMPUTED_VALUE"""),"Dr, Enrique Viviente Rodríguez")</f>
        <v>Dr, Enrique Viviente Rodríguez</v>
      </c>
      <c r="P374" s="33" t="str">
        <f ca="1">IFERROR(__xludf.DUMMYFUNCTION("""COMPUTED_VALUE"""),"Iván Sánchez (Levante Y Albacete)")</f>
        <v>Iván Sánchez (Levante Y Albacete)</v>
      </c>
    </row>
    <row r="375" spans="2:16">
      <c r="B375" s="33">
        <f ca="1">IFERROR(__xludf.DUMMYFUNCTION("""COMPUTED_VALUE"""),2025)</f>
        <v>2025</v>
      </c>
      <c r="C375" s="33">
        <f ca="1">IFERROR(__xludf.DUMMYFUNCTION("""COMPUTED_VALUE"""),3)</f>
        <v>3</v>
      </c>
      <c r="D375" s="33" t="str">
        <f ca="1">IFERROR(__xludf.DUMMYFUNCTION("""COMPUTED_VALUE"""),"NO")</f>
        <v>NO</v>
      </c>
      <c r="E375" s="33" t="str">
        <f ca="1">IFERROR(__xludf.DUMMYFUNCTION("""COMPUTED_VALUE"""),"San Javier")</f>
        <v>San Javier</v>
      </c>
      <c r="F375" s="57">
        <f ca="1">IFERROR(__xludf.DUMMYFUNCTION("""COMPUTED_VALUE"""),45742)</f>
        <v>45742</v>
      </c>
      <c r="G375" s="57">
        <f ca="1">IFERROR(__xludf.DUMMYFUNCTION("""COMPUTED_VALUE"""),45693)</f>
        <v>45693</v>
      </c>
      <c r="H375" s="33" t="str">
        <f ca="1">IFERROR(__xludf.DUMMYFUNCTION("""COMPUTED_VALUE"""),"San Javier")</f>
        <v>San Javier</v>
      </c>
      <c r="I375" s="33" t="str">
        <f ca="1">IFERROR(__xludf.DUMMYFUNCTION("""COMPUTED_VALUE"""),"C2025211105222263")</f>
        <v>C2025211105222263</v>
      </c>
      <c r="J375" s="33" t="str">
        <f ca="1">IFERROR(__xludf.DUMMYFUNCTION("""COMPUTED_VALUE"""),"MANUEL BAÑOS SAURA")</f>
        <v>MANUEL BAÑOS SAURA</v>
      </c>
      <c r="K375" s="33">
        <f ca="1">IFERROR(__xludf.DUMMYFUNCTION("""COMPUTED_VALUE"""),1)</f>
        <v>1</v>
      </c>
      <c r="L375" s="203">
        <f ca="1">IFERROR(__xludf.DUMMYFUNCTION("""COMPUTED_VALUE"""),2640)</f>
        <v>2640</v>
      </c>
      <c r="M375" s="33" t="str">
        <f ca="1">IFERROR(__xludf.DUMMYFUNCTION("""COMPUTED_VALUE"""),"03 ORL")</f>
        <v>03 ORL</v>
      </c>
      <c r="N375" s="33" t="str">
        <f ca="1">IFERROR(__xludf.DUMMYFUNCTION("""COMPUTED_VALUE"""),"06 ORL")</f>
        <v>06 ORL</v>
      </c>
      <c r="O375" s="33" t="str">
        <f ca="1">IFERROR(__xludf.DUMMYFUNCTION("""COMPUTED_VALUE"""),"Dr, Alberto Raposo Jiménez")</f>
        <v>Dr, Alberto Raposo Jiménez</v>
      </c>
      <c r="P375" s="33" t="str">
        <f ca="1">IFERROR(__xludf.DUMMYFUNCTION("""COMPUTED_VALUE"""),"Iván Sánchez (Levante Y Albacete)")</f>
        <v>Iván Sánchez (Levante Y Albacete)</v>
      </c>
    </row>
    <row r="376" spans="2:16">
      <c r="B376" s="33">
        <f ca="1">IFERROR(__xludf.DUMMYFUNCTION("""COMPUTED_VALUE"""),2025)</f>
        <v>2025</v>
      </c>
      <c r="C376" s="33">
        <f ca="1">IFERROR(__xludf.DUMMYFUNCTION("""COMPUTED_VALUE"""),3)</f>
        <v>3</v>
      </c>
      <c r="D376" s="33" t="str">
        <f ca="1">IFERROR(__xludf.DUMMYFUNCTION("""COMPUTED_VALUE"""),"NO")</f>
        <v>NO</v>
      </c>
      <c r="E376" s="33" t="str">
        <f ca="1">IFERROR(__xludf.DUMMYFUNCTION("""COMPUTED_VALUE"""),"Getafe")</f>
        <v>Getafe</v>
      </c>
      <c r="F376" s="57">
        <f ca="1">IFERROR(__xludf.DUMMYFUNCTION("""COMPUTED_VALUE"""),45742)</f>
        <v>45742</v>
      </c>
      <c r="G376" s="57">
        <f ca="1">IFERROR(__xludf.DUMMYFUNCTION("""COMPUTED_VALUE"""),45727)</f>
        <v>45727</v>
      </c>
      <c r="H376" s="33" t="str">
        <f ca="1">IFERROR(__xludf.DUMMYFUNCTION("""COMPUTED_VALUE"""),"Getafe")</f>
        <v>Getafe</v>
      </c>
      <c r="I376" s="33" t="str">
        <f ca="1">IFERROR(__xludf.DUMMYFUNCTION("""COMPUTED_VALUE"""),"C20253141102068")</f>
        <v>C20253141102068</v>
      </c>
      <c r="J376" s="33" t="str">
        <f ca="1">IFERROR(__xludf.DUMMYFUNCTION("""COMPUTED_VALUE"""),"SABINO MUÑOZ PULIDO")</f>
        <v>SABINO MUÑOZ PULIDO</v>
      </c>
      <c r="K376" s="33">
        <f ca="1">IFERROR(__xludf.DUMMYFUNCTION("""COMPUTED_VALUE"""),2)</f>
        <v>2</v>
      </c>
      <c r="L376" s="203">
        <f ca="1">IFERROR(__xludf.DUMMYFUNCTION("""COMPUTED_VALUE"""),3524.5)</f>
        <v>3524.5</v>
      </c>
      <c r="M376" s="33" t="str">
        <f ca="1">IFERROR(__xludf.DUMMYFUNCTION("""COMPUTED_VALUE"""),"03 ORL")</f>
        <v>03 ORL</v>
      </c>
      <c r="N376" s="33" t="str">
        <f ca="1">IFERROR(__xludf.DUMMYFUNCTION("""COMPUTED_VALUE"""),"06 ORL")</f>
        <v>06 ORL</v>
      </c>
      <c r="O376" s="33" t="str">
        <f ca="1">IFERROR(__xludf.DUMMYFUNCTION("""COMPUTED_VALUE"""),"Dr, Antonio Rodríguez Rivero")</f>
        <v>Dr, Antonio Rodríguez Rivero</v>
      </c>
      <c r="P376" s="33" t="str">
        <f ca="1">IFERROR(__xludf.DUMMYFUNCTION("""COMPUTED_VALUE"""),"Maika Blázquez (Madrid)")</f>
        <v>Maika Blázquez (Madrid)</v>
      </c>
    </row>
    <row r="377" spans="2:16">
      <c r="B377" s="33">
        <f ca="1">IFERROR(__xludf.DUMMYFUNCTION("""COMPUTED_VALUE"""),2025)</f>
        <v>2025</v>
      </c>
      <c r="C377" s="33">
        <f ca="1">IFERROR(__xludf.DUMMYFUNCTION("""COMPUTED_VALUE"""),3)</f>
        <v>3</v>
      </c>
      <c r="D377" s="33" t="str">
        <f ca="1">IFERROR(__xludf.DUMMYFUNCTION("""COMPUTED_VALUE"""),"NO")</f>
        <v>NO</v>
      </c>
      <c r="E377" s="33" t="str">
        <f ca="1">IFERROR(__xludf.DUMMYFUNCTION("""COMPUTED_VALUE"""),"Logroño")</f>
        <v>Logroño</v>
      </c>
      <c r="F377" s="57">
        <f ca="1">IFERROR(__xludf.DUMMYFUNCTION("""COMPUTED_VALUE"""),45742)</f>
        <v>45742</v>
      </c>
      <c r="G377" s="57">
        <f ca="1">IFERROR(__xludf.DUMMYFUNCTION("""COMPUTED_VALUE"""),45680)</f>
        <v>45680</v>
      </c>
      <c r="H377" s="33" t="str">
        <f ca="1">IFERROR(__xludf.DUMMYFUNCTION("""COMPUTED_VALUE"""),"Logroño")</f>
        <v>Logroño</v>
      </c>
      <c r="I377" s="33" t="str">
        <f ca="1">IFERROR(__xludf.DUMMYFUNCTION("""COMPUTED_VALUE"""),"C2025127184635572")</f>
        <v>C2025127184635572</v>
      </c>
      <c r="J377" s="33" t="str">
        <f ca="1">IFERROR(__xludf.DUMMYFUNCTION("""COMPUTED_VALUE"""),"ESTEBAN LUIS  BERMEJO BLAS")</f>
        <v>ESTEBAN LUIS  BERMEJO BLAS</v>
      </c>
      <c r="K377" s="33">
        <f ca="1">IFERROR(__xludf.DUMMYFUNCTION("""COMPUTED_VALUE"""),2)</f>
        <v>2</v>
      </c>
      <c r="L377" s="203">
        <f ca="1">IFERROR(__xludf.DUMMYFUNCTION("""COMPUTED_VALUE"""),4000)</f>
        <v>4000</v>
      </c>
      <c r="M377" s="33" t="str">
        <f ca="1">IFERROR(__xludf.DUMMYFUNCTION("""COMPUTED_VALUE"""),"03 ORL")</f>
        <v>03 ORL</v>
      </c>
      <c r="N377" s="33" t="str">
        <f ca="1">IFERROR(__xludf.DUMMYFUNCTION("""COMPUTED_VALUE"""),"06 ORL")</f>
        <v>06 ORL</v>
      </c>
      <c r="O377" s="33" t="str">
        <f ca="1">IFERROR(__xludf.DUMMYFUNCTION("""COMPUTED_VALUE"""),"No Recuerda Orl")</f>
        <v>No Recuerda Orl</v>
      </c>
      <c r="P377" s="33" t="str">
        <f ca="1">IFERROR(__xludf.DUMMYFUNCTION("""COMPUTED_VALUE"""),"Lisandro Russian (Madrid, Cáceres, Toledo, Talavera Y Logroño)")</f>
        <v>Lisandro Russian (Madrid, Cáceres, Toledo, Talavera Y Logroño)</v>
      </c>
    </row>
    <row r="378" spans="2:16">
      <c r="B378" s="33">
        <f ca="1">IFERROR(__xludf.DUMMYFUNCTION("""COMPUTED_VALUE"""),2025)</f>
        <v>2025</v>
      </c>
      <c r="C378" s="33">
        <f ca="1">IFERROR(__xludf.DUMMYFUNCTION("""COMPUTED_VALUE"""),3)</f>
        <v>3</v>
      </c>
      <c r="D378" s="33" t="str">
        <f ca="1">IFERROR(__xludf.DUMMYFUNCTION("""COMPUTED_VALUE"""),"NO")</f>
        <v>NO</v>
      </c>
      <c r="E378" s="33" t="str">
        <f ca="1">IFERROR(__xludf.DUMMYFUNCTION("""COMPUTED_VALUE"""),"Leganés")</f>
        <v>Leganés</v>
      </c>
      <c r="F378" s="57">
        <f ca="1">IFERROR(__xludf.DUMMYFUNCTION("""COMPUTED_VALUE"""),45742)</f>
        <v>45742</v>
      </c>
      <c r="G378" s="57">
        <f ca="1">IFERROR(__xludf.DUMMYFUNCTION("""COMPUTED_VALUE"""),45707)</f>
        <v>45707</v>
      </c>
      <c r="H378" s="33" t="str">
        <f ca="1">IFERROR(__xludf.DUMMYFUNCTION("""COMPUTED_VALUE"""),"Leganés")</f>
        <v>Leganés</v>
      </c>
      <c r="I378" s="33" t="str">
        <f ca="1">IFERROR(__xludf.DUMMYFUNCTION("""COMPUTED_VALUE"""),"C202522618133163")</f>
        <v>C202522618133163</v>
      </c>
      <c r="J378" s="33" t="str">
        <f ca="1">IFERROR(__xludf.DUMMYFUNCTION("""COMPUTED_VALUE"""),"FRANCISCA SEGURA LOZANO")</f>
        <v>FRANCISCA SEGURA LOZANO</v>
      </c>
      <c r="K378" s="33">
        <f ca="1">IFERROR(__xludf.DUMMYFUNCTION("""COMPUTED_VALUE"""),2)</f>
        <v>2</v>
      </c>
      <c r="L378" s="203">
        <f ca="1">IFERROR(__xludf.DUMMYFUNCTION("""COMPUTED_VALUE"""),2722.73)</f>
        <v>2722.73</v>
      </c>
      <c r="M378" s="33" t="str">
        <f ca="1">IFERROR(__xludf.DUMMYFUNCTION("""COMPUTED_VALUE"""),"03 ORL")</f>
        <v>03 ORL</v>
      </c>
      <c r="N378" s="33" t="str">
        <f ca="1">IFERROR(__xludf.DUMMYFUNCTION("""COMPUTED_VALUE"""),"06 ORL")</f>
        <v>06 ORL</v>
      </c>
      <c r="O378" s="33" t="str">
        <f ca="1">IFERROR(__xludf.DUMMYFUNCTION("""COMPUTED_VALUE"""),"Dra, Ana Ruiz Fornells Noreña")</f>
        <v>Dra, Ana Ruiz Fornells Noreña</v>
      </c>
      <c r="P378" s="33" t="str">
        <f ca="1">IFERROR(__xludf.DUMMYFUNCTION("""COMPUTED_VALUE"""),"Maika Blázquez (Madrid)")</f>
        <v>Maika Blázquez (Madrid)</v>
      </c>
    </row>
    <row r="379" spans="2:16">
      <c r="B379" s="33">
        <f ca="1">IFERROR(__xludf.DUMMYFUNCTION("""COMPUTED_VALUE"""),2025)</f>
        <v>2025</v>
      </c>
      <c r="C379" s="33">
        <f ca="1">IFERROR(__xludf.DUMMYFUNCTION("""COMPUTED_VALUE"""),3)</f>
        <v>3</v>
      </c>
      <c r="D379" s="33" t="str">
        <f ca="1">IFERROR(__xludf.DUMMYFUNCTION("""COMPUTED_VALUE"""),"NO")</f>
        <v>NO</v>
      </c>
      <c r="E379" s="33" t="str">
        <f ca="1">IFERROR(__xludf.DUMMYFUNCTION("""COMPUTED_VALUE"""),"Fuenlabrada")</f>
        <v>Fuenlabrada</v>
      </c>
      <c r="F379" s="57">
        <f ca="1">IFERROR(__xludf.DUMMYFUNCTION("""COMPUTED_VALUE"""),45742)</f>
        <v>45742</v>
      </c>
      <c r="G379" s="57">
        <f ca="1">IFERROR(__xludf.DUMMYFUNCTION("""COMPUTED_VALUE"""),45707)</f>
        <v>45707</v>
      </c>
      <c r="H379" s="33" t="str">
        <f ca="1">IFERROR(__xludf.DUMMYFUNCTION("""COMPUTED_VALUE"""),"Fuenlabrada")</f>
        <v>Fuenlabrada</v>
      </c>
      <c r="I379" s="33" t="str">
        <f ca="1">IFERROR(__xludf.DUMMYFUNCTION("""COMPUTED_VALUE"""),"C2025224111314619")</f>
        <v>C2025224111314619</v>
      </c>
      <c r="J379" s="33" t="str">
        <f ca="1">IFERROR(__xludf.DUMMYFUNCTION("""COMPUTED_VALUE"""),"TERESA OVEJERO SANCHEZ")</f>
        <v>TERESA OVEJERO SANCHEZ</v>
      </c>
      <c r="K379" s="33">
        <f ca="1">IFERROR(__xludf.DUMMYFUNCTION("""COMPUTED_VALUE"""),2)</f>
        <v>2</v>
      </c>
      <c r="L379" s="203">
        <f ca="1">IFERROR(__xludf.DUMMYFUNCTION("""COMPUTED_VALUE"""),4000)</f>
        <v>4000</v>
      </c>
      <c r="M379" s="33" t="str">
        <f ca="1">IFERROR(__xludf.DUMMYFUNCTION("""COMPUTED_VALUE"""),"01 MARKETING ON LINE")</f>
        <v>01 MARKETING ON LINE</v>
      </c>
      <c r="N379" s="33" t="str">
        <f ca="1">IFERROR(__xludf.DUMMYFUNCTION("""COMPUTED_VALUE"""),"04 AUDIFONO,ES")</f>
        <v>04 AUDIFONO,ES</v>
      </c>
      <c r="O379" s="33" t="str">
        <f ca="1">IFERROR(__xludf.DUMMYFUNCTION("""COMPUTED_VALUE"""),"Dra, Victoria García Peces")</f>
        <v>Dra, Victoria García Peces</v>
      </c>
      <c r="P379" s="33" t="str">
        <f ca="1">IFERROR(__xludf.DUMMYFUNCTION("""COMPUTED_VALUE"""),"Maika Blázquez (Madrid)")</f>
        <v>Maika Blázquez (Madrid)</v>
      </c>
    </row>
    <row r="380" spans="2:16">
      <c r="B380" s="33">
        <f ca="1">IFERROR(__xludf.DUMMYFUNCTION("""COMPUTED_VALUE"""),2025)</f>
        <v>2025</v>
      </c>
      <c r="C380" s="33">
        <f ca="1">IFERROR(__xludf.DUMMYFUNCTION("""COMPUTED_VALUE"""),3)</f>
        <v>3</v>
      </c>
      <c r="D380" s="33" t="str">
        <f ca="1">IFERROR(__xludf.DUMMYFUNCTION("""COMPUTED_VALUE"""),"NO")</f>
        <v>NO</v>
      </c>
      <c r="E380" s="33" t="str">
        <f ca="1">IFERROR(__xludf.DUMMYFUNCTION("""COMPUTED_VALUE"""),"Fuenlabrada")</f>
        <v>Fuenlabrada</v>
      </c>
      <c r="F380" s="57">
        <f ca="1">IFERROR(__xludf.DUMMYFUNCTION("""COMPUTED_VALUE"""),45742)</f>
        <v>45742</v>
      </c>
      <c r="G380" s="57">
        <f ca="1">IFERROR(__xludf.DUMMYFUNCTION("""COMPUTED_VALUE"""),45708)</f>
        <v>45708</v>
      </c>
      <c r="H380" s="33" t="str">
        <f ca="1">IFERROR(__xludf.DUMMYFUNCTION("""COMPUTED_VALUE"""),"Fuenlabrada")</f>
        <v>Fuenlabrada</v>
      </c>
      <c r="I380" s="33" t="str">
        <f ca="1">IFERROR(__xludf.DUMMYFUNCTION("""COMPUTED_VALUE"""),"C20252251610741")</f>
        <v>C20252251610741</v>
      </c>
      <c r="J380" s="33" t="str">
        <f ca="1">IFERROR(__xludf.DUMMYFUNCTION("""COMPUTED_VALUE"""),"MIGUEL GARCIA VAZ-ROMERO")</f>
        <v>MIGUEL GARCIA VAZ-ROMERO</v>
      </c>
      <c r="K380" s="33">
        <f ca="1">IFERROR(__xludf.DUMMYFUNCTION("""COMPUTED_VALUE"""),2)</f>
        <v>2</v>
      </c>
      <c r="L380" s="203">
        <f ca="1">IFERROR(__xludf.DUMMYFUNCTION("""COMPUTED_VALUE"""),3710)</f>
        <v>3710</v>
      </c>
      <c r="M380" s="33" t="str">
        <f ca="1">IFERROR(__xludf.DUMMYFUNCTION("""COMPUTED_VALUE"""),"03 ORL")</f>
        <v>03 ORL</v>
      </c>
      <c r="N380" s="33" t="str">
        <f ca="1">IFERROR(__xludf.DUMMYFUNCTION("""COMPUTED_VALUE"""),"06 ORL")</f>
        <v>06 ORL</v>
      </c>
      <c r="O380" s="33" t="str">
        <f ca="1">IFERROR(__xludf.DUMMYFUNCTION("""COMPUTED_VALUE"""),"Dr, Raimundo Andres Navarro Mediano")</f>
        <v>Dr, Raimundo Andres Navarro Mediano</v>
      </c>
      <c r="P380" s="33" t="str">
        <f ca="1">IFERROR(__xludf.DUMMYFUNCTION("""COMPUTED_VALUE"""),"Maika Blázquez (Madrid)")</f>
        <v>Maika Blázquez (Madrid)</v>
      </c>
    </row>
    <row r="381" spans="2:16">
      <c r="B381" s="33">
        <f ca="1">IFERROR(__xludf.DUMMYFUNCTION("""COMPUTED_VALUE"""),2025)</f>
        <v>2025</v>
      </c>
      <c r="C381" s="33">
        <f ca="1">IFERROR(__xludf.DUMMYFUNCTION("""COMPUTED_VALUE"""),3)</f>
        <v>3</v>
      </c>
      <c r="D381" s="33" t="str">
        <f ca="1">IFERROR(__xludf.DUMMYFUNCTION("""COMPUTED_VALUE"""),"NO")</f>
        <v>NO</v>
      </c>
      <c r="E381" s="33" t="str">
        <f ca="1">IFERROR(__xludf.DUMMYFUNCTION("""COMPUTED_VALUE"""),"Torrejón de Ardoz")</f>
        <v>Torrejón de Ardoz</v>
      </c>
      <c r="F381" s="57">
        <f ca="1">IFERROR(__xludf.DUMMYFUNCTION("""COMPUTED_VALUE"""),45742)</f>
        <v>45742</v>
      </c>
      <c r="G381" s="57">
        <f ca="1">IFERROR(__xludf.DUMMYFUNCTION("""COMPUTED_VALUE"""),45672)</f>
        <v>45672</v>
      </c>
      <c r="H381" s="33" t="str">
        <f ca="1">IFERROR(__xludf.DUMMYFUNCTION("""COMPUTED_VALUE"""),"Torrejón")</f>
        <v>Torrejón</v>
      </c>
      <c r="I381" s="33" t="str">
        <f ca="1">IFERROR(__xludf.DUMMYFUNCTION("""COMPUTED_VALUE"""),"C202511618324793")</f>
        <v>C202511618324793</v>
      </c>
      <c r="J381" s="33" t="str">
        <f ca="1">IFERROR(__xludf.DUMMYFUNCTION("""COMPUTED_VALUE"""),"ELVIRA FERRO FUENTES")</f>
        <v>ELVIRA FERRO FUENTES</v>
      </c>
      <c r="K381" s="33">
        <f ca="1">IFERROR(__xludf.DUMMYFUNCTION("""COMPUTED_VALUE"""),1)</f>
        <v>1</v>
      </c>
      <c r="L381" s="203">
        <f ca="1">IFERROR(__xludf.DUMMYFUNCTION("""COMPUTED_VALUE"""),1983.64)</f>
        <v>1983.64</v>
      </c>
      <c r="M381" s="33" t="str">
        <f ca="1">IFERROR(__xludf.DUMMYFUNCTION("""COMPUTED_VALUE"""),"03 ORL")</f>
        <v>03 ORL</v>
      </c>
      <c r="N381" s="33" t="str">
        <f ca="1">IFERROR(__xludf.DUMMYFUNCTION("""COMPUTED_VALUE"""),"06 ORL")</f>
        <v>06 ORL</v>
      </c>
      <c r="O381" s="33" t="str">
        <f ca="1">IFERROR(__xludf.DUMMYFUNCTION("""COMPUTED_VALUE"""),"Dr, Juan De Dios De La Calzada")</f>
        <v>Dr, Juan De Dios De La Calzada</v>
      </c>
      <c r="P381" s="33" t="str">
        <f ca="1">IFERROR(__xludf.DUMMYFUNCTION("""COMPUTED_VALUE"""),"Maika Blázquez (Madrid)")</f>
        <v>Maika Blázquez (Madrid)</v>
      </c>
    </row>
    <row r="382" spans="2:16">
      <c r="B382" s="33">
        <f ca="1">IFERROR(__xludf.DUMMYFUNCTION("""COMPUTED_VALUE"""),2025)</f>
        <v>2025</v>
      </c>
      <c r="C382" s="33">
        <f ca="1">IFERROR(__xludf.DUMMYFUNCTION("""COMPUTED_VALUE"""),3)</f>
        <v>3</v>
      </c>
      <c r="D382" s="33" t="str">
        <f ca="1">IFERROR(__xludf.DUMMYFUNCTION("""COMPUTED_VALUE"""),"NO")</f>
        <v>NO</v>
      </c>
      <c r="E382" s="33" t="str">
        <f ca="1">IFERROR(__xludf.DUMMYFUNCTION("""COMPUTED_VALUE"""),"Alcorcón")</f>
        <v>Alcorcón</v>
      </c>
      <c r="F382" s="57">
        <f ca="1">IFERROR(__xludf.DUMMYFUNCTION("""COMPUTED_VALUE"""),45742)</f>
        <v>45742</v>
      </c>
      <c r="G382" s="57">
        <f ca="1">IFERROR(__xludf.DUMMYFUNCTION("""COMPUTED_VALUE"""),45729)</f>
        <v>45729</v>
      </c>
      <c r="H382" s="33" t="str">
        <f ca="1">IFERROR(__xludf.DUMMYFUNCTION("""COMPUTED_VALUE"""),"Alcorcón")</f>
        <v>Alcorcón</v>
      </c>
      <c r="I382" s="33" t="str">
        <f ca="1">IFERROR(__xludf.DUMMYFUNCTION("""COMPUTED_VALUE"""),"C202531810231047")</f>
        <v>C202531810231047</v>
      </c>
      <c r="J382" s="33" t="str">
        <f ca="1">IFERROR(__xludf.DUMMYFUNCTION("""COMPUTED_VALUE"""),"LORENZO CORRAL BENITEZ")</f>
        <v>LORENZO CORRAL BENITEZ</v>
      </c>
      <c r="K382" s="33">
        <f ca="1">IFERROR(__xludf.DUMMYFUNCTION("""COMPUTED_VALUE"""),2)</f>
        <v>2</v>
      </c>
      <c r="L382" s="203">
        <f ca="1">IFERROR(__xludf.DUMMYFUNCTION("""COMPUTED_VALUE"""),2888.18)</f>
        <v>2888.18</v>
      </c>
      <c r="M382" s="33" t="str">
        <f ca="1">IFERROR(__xludf.DUMMYFUNCTION("""COMPUTED_VALUE"""),"03 ORL")</f>
        <v>03 ORL</v>
      </c>
      <c r="N382" s="33" t="str">
        <f ca="1">IFERROR(__xludf.DUMMYFUNCTION("""COMPUTED_VALUE"""),"06 ORL")</f>
        <v>06 ORL</v>
      </c>
      <c r="O382" s="33" t="str">
        <f ca="1">IFERROR(__xludf.DUMMYFUNCTION("""COMPUTED_VALUE"""),"Dra, María Del Mar Martínez Ruiz-Coello")</f>
        <v>Dra, María Del Mar Martínez Ruiz-Coello</v>
      </c>
      <c r="P382" s="33" t="str">
        <f ca="1">IFERROR(__xludf.DUMMYFUNCTION("""COMPUTED_VALUE"""),"Maika Blázquez (Madrid)")</f>
        <v>Maika Blázquez (Madrid)</v>
      </c>
    </row>
    <row r="383" spans="2:16">
      <c r="B383" s="33">
        <f ca="1">IFERROR(__xludf.DUMMYFUNCTION("""COMPUTED_VALUE"""),2025)</f>
        <v>2025</v>
      </c>
      <c r="C383" s="33">
        <f ca="1">IFERROR(__xludf.DUMMYFUNCTION("""COMPUTED_VALUE"""),3)</f>
        <v>3</v>
      </c>
      <c r="D383" s="33" t="str">
        <f ca="1">IFERROR(__xludf.DUMMYFUNCTION("""COMPUTED_VALUE"""),"NO")</f>
        <v>NO</v>
      </c>
      <c r="E383" s="33" t="str">
        <f ca="1">IFERROR(__xludf.DUMMYFUNCTION("""COMPUTED_VALUE"""),"Torrejón de Ardoz")</f>
        <v>Torrejón de Ardoz</v>
      </c>
      <c r="F383" s="57">
        <f ca="1">IFERROR(__xludf.DUMMYFUNCTION("""COMPUTED_VALUE"""),45743)</f>
        <v>45743</v>
      </c>
      <c r="G383" s="57">
        <f ca="1">IFERROR(__xludf.DUMMYFUNCTION("""COMPUTED_VALUE"""),45729)</f>
        <v>45729</v>
      </c>
      <c r="H383" s="33" t="str">
        <f ca="1">IFERROR(__xludf.DUMMYFUNCTION("""COMPUTED_VALUE"""),"Torrejón")</f>
        <v>Torrejón</v>
      </c>
      <c r="I383" s="33" t="str">
        <f ca="1">IFERROR(__xludf.DUMMYFUNCTION("""COMPUTED_VALUE"""),"C2025313181155435")</f>
        <v>C2025313181155435</v>
      </c>
      <c r="J383" s="33" t="str">
        <f ca="1">IFERROR(__xludf.DUMMYFUNCTION("""COMPUTED_VALUE"""),"JESUS ORTEGA NIETO")</f>
        <v>JESUS ORTEGA NIETO</v>
      </c>
      <c r="K383" s="33">
        <f ca="1">IFERROR(__xludf.DUMMYFUNCTION("""COMPUTED_VALUE"""),2)</f>
        <v>2</v>
      </c>
      <c r="L383" s="203">
        <f ca="1">IFERROR(__xludf.DUMMYFUNCTION("""COMPUTED_VALUE"""),3800)</f>
        <v>3800</v>
      </c>
      <c r="M383" s="33" t="str">
        <f ca="1">IFERROR(__xludf.DUMMYFUNCTION("""COMPUTED_VALUE"""),"03 ORL")</f>
        <v>03 ORL</v>
      </c>
      <c r="N383" s="33" t="str">
        <f ca="1">IFERROR(__xludf.DUMMYFUNCTION("""COMPUTED_VALUE"""),"06 ORL")</f>
        <v>06 ORL</v>
      </c>
      <c r="O383" s="33" t="str">
        <f ca="1">IFERROR(__xludf.DUMMYFUNCTION("""COMPUTED_VALUE"""),"Dra, Marta Abad Pascual")</f>
        <v>Dra, Marta Abad Pascual</v>
      </c>
      <c r="P383" s="33" t="str">
        <f ca="1">IFERROR(__xludf.DUMMYFUNCTION("""COMPUTED_VALUE"""),"Maika Blázquez (Madrid)")</f>
        <v>Maika Blázquez (Madrid)</v>
      </c>
    </row>
    <row r="384" spans="2:16">
      <c r="B384" s="33">
        <f ca="1">IFERROR(__xludf.DUMMYFUNCTION("""COMPUTED_VALUE"""),2025)</f>
        <v>2025</v>
      </c>
      <c r="C384" s="33">
        <f ca="1">IFERROR(__xludf.DUMMYFUNCTION("""COMPUTED_VALUE"""),3)</f>
        <v>3</v>
      </c>
      <c r="D384" s="33" t="str">
        <f ca="1">IFERROR(__xludf.DUMMYFUNCTION("""COMPUTED_VALUE"""),"NO")</f>
        <v>NO</v>
      </c>
      <c r="E384" s="33" t="str">
        <f ca="1">IFERROR(__xludf.DUMMYFUNCTION("""COMPUTED_VALUE"""),"Madrid- Juan Bravo")</f>
        <v>Madrid- Juan Bravo</v>
      </c>
      <c r="F384" s="57">
        <f ca="1">IFERROR(__xludf.DUMMYFUNCTION("""COMPUTED_VALUE"""),45743)</f>
        <v>45743</v>
      </c>
      <c r="G384" s="57">
        <f ca="1">IFERROR(__xludf.DUMMYFUNCTION("""COMPUTED_VALUE"""),45714)</f>
        <v>45714</v>
      </c>
      <c r="H384" s="33" t="str">
        <f ca="1">IFERROR(__xludf.DUMMYFUNCTION("""COMPUTED_VALUE"""),"Juan Bravo")</f>
        <v>Juan Bravo</v>
      </c>
      <c r="I384" s="33" t="str">
        <f ca="1">IFERROR(__xludf.DUMMYFUNCTION("""COMPUTED_VALUE"""),"C202533114656766")</f>
        <v>C202533114656766</v>
      </c>
      <c r="J384" s="33" t="str">
        <f ca="1">IFERROR(__xludf.DUMMYFUNCTION("""COMPUTED_VALUE"""),"ANTONIO MONTERO LAGUNA")</f>
        <v>ANTONIO MONTERO LAGUNA</v>
      </c>
      <c r="K384" s="33">
        <f ca="1">IFERROR(__xludf.DUMMYFUNCTION("""COMPUTED_VALUE"""),2)</f>
        <v>2</v>
      </c>
      <c r="L384" s="203">
        <f ca="1">IFERROR(__xludf.DUMMYFUNCTION("""COMPUTED_VALUE"""),4400)</f>
        <v>4400</v>
      </c>
      <c r="M384" s="33" t="str">
        <f ca="1">IFERROR(__xludf.DUMMYFUNCTION("""COMPUTED_VALUE"""),"03 ORL")</f>
        <v>03 ORL</v>
      </c>
      <c r="N384" s="33" t="str">
        <f ca="1">IFERROR(__xludf.DUMMYFUNCTION("""COMPUTED_VALUE"""),"06 ORL")</f>
        <v>06 ORL</v>
      </c>
      <c r="O384" s="33" t="str">
        <f ca="1">IFERROR(__xludf.DUMMYFUNCTION("""COMPUTED_VALUE"""),"Dra, Victoria García Peces")</f>
        <v>Dra, Victoria García Peces</v>
      </c>
      <c r="P384" s="33" t="str">
        <f ca="1">IFERROR(__xludf.DUMMYFUNCTION("""COMPUTED_VALUE"""),"Maika Blázquez (Madrid)")</f>
        <v>Maika Blázquez (Madrid)</v>
      </c>
    </row>
    <row r="385" spans="2:16">
      <c r="B385" s="33">
        <f ca="1">IFERROR(__xludf.DUMMYFUNCTION("""COMPUTED_VALUE"""),2025)</f>
        <v>2025</v>
      </c>
      <c r="C385" s="33">
        <f ca="1">IFERROR(__xludf.DUMMYFUNCTION("""COMPUTED_VALUE"""),3)</f>
        <v>3</v>
      </c>
      <c r="D385" s="33" t="str">
        <f ca="1">IFERROR(__xludf.DUMMYFUNCTION("""COMPUTED_VALUE"""),"NO")</f>
        <v>NO</v>
      </c>
      <c r="E385" s="33" t="str">
        <f ca="1">IFERROR(__xludf.DUMMYFUNCTION("""COMPUTED_VALUE"""),"Valencia- Cádiz")</f>
        <v>Valencia- Cádiz</v>
      </c>
      <c r="F385" s="57">
        <f ca="1">IFERROR(__xludf.DUMMYFUNCTION("""COMPUTED_VALUE"""),45743)</f>
        <v>45743</v>
      </c>
      <c r="G385" s="57">
        <f ca="1">IFERROR(__xludf.DUMMYFUNCTION("""COMPUTED_VALUE"""),45622)</f>
        <v>45622</v>
      </c>
      <c r="H385" s="33" t="str">
        <f ca="1">IFERROR(__xludf.DUMMYFUNCTION("""COMPUTED_VALUE"""),"Valencia- Cádiz")</f>
        <v>Valencia- Cádiz</v>
      </c>
      <c r="I385" s="33" t="str">
        <f ca="1">IFERROR(__xludf.DUMMYFUNCTION("""COMPUTED_VALUE"""),"C202412912145720")</f>
        <v>C202412912145720</v>
      </c>
      <c r="J385" s="33" t="str">
        <f ca="1">IFERROR(__xludf.DUMMYFUNCTION("""COMPUTED_VALUE"""),"MARIA PEREZ SANCHEZ")</f>
        <v>MARIA PEREZ SANCHEZ</v>
      </c>
      <c r="K385" s="33">
        <f ca="1">IFERROR(__xludf.DUMMYFUNCTION("""COMPUTED_VALUE"""),2)</f>
        <v>2</v>
      </c>
      <c r="L385" s="203">
        <f ca="1">IFERROR(__xludf.DUMMYFUNCTION("""COMPUTED_VALUE"""),2743.77)</f>
        <v>2743.77</v>
      </c>
      <c r="M385" s="33" t="str">
        <f ca="1">IFERROR(__xludf.DUMMYFUNCTION("""COMPUTED_VALUE"""),"03 ORL")</f>
        <v>03 ORL</v>
      </c>
      <c r="N385" s="33" t="str">
        <f ca="1">IFERROR(__xludf.DUMMYFUNCTION("""COMPUTED_VALUE"""),"06 ORL")</f>
        <v>06 ORL</v>
      </c>
      <c r="O385" s="33" t="str">
        <f ca="1">IFERROR(__xludf.DUMMYFUNCTION("""COMPUTED_VALUE"""),"Dr, Jean Franco Intraprendente Martini")</f>
        <v>Dr, Jean Franco Intraprendente Martini</v>
      </c>
      <c r="P385" s="33" t="str">
        <f ca="1">IFERROR(__xludf.DUMMYFUNCTION("""COMPUTED_VALUE"""),"Ramon Ferrando(Valencia)")</f>
        <v>Ramon Ferrando(Valencia)</v>
      </c>
    </row>
    <row r="386" spans="2:16">
      <c r="B386" s="33">
        <f ca="1">IFERROR(__xludf.DUMMYFUNCTION("""COMPUTED_VALUE"""),2025)</f>
        <v>2025</v>
      </c>
      <c r="C386" s="33">
        <f ca="1">IFERROR(__xludf.DUMMYFUNCTION("""COMPUTED_VALUE"""),3)</f>
        <v>3</v>
      </c>
      <c r="D386" s="33" t="str">
        <f ca="1">IFERROR(__xludf.DUMMYFUNCTION("""COMPUTED_VALUE"""),"NO")</f>
        <v>NO</v>
      </c>
      <c r="E386" s="33" t="str">
        <f ca="1">IFERROR(__xludf.DUMMYFUNCTION("""COMPUTED_VALUE"""),"Madrid- Juan Bravo")</f>
        <v>Madrid- Juan Bravo</v>
      </c>
      <c r="F386" s="57">
        <f ca="1">IFERROR(__xludf.DUMMYFUNCTION("""COMPUTED_VALUE"""),45743)</f>
        <v>45743</v>
      </c>
      <c r="G386" s="57">
        <f ca="1">IFERROR(__xludf.DUMMYFUNCTION("""COMPUTED_VALUE"""),45699)</f>
        <v>45699</v>
      </c>
      <c r="H386" s="33" t="str">
        <f ca="1">IFERROR(__xludf.DUMMYFUNCTION("""COMPUTED_VALUE"""),"Juan Bravo")</f>
        <v>Juan Bravo</v>
      </c>
      <c r="I386" s="33" t="str">
        <f ca="1">IFERROR(__xludf.DUMMYFUNCTION("""COMPUTED_VALUE"""),"C202522810454255")</f>
        <v>C202522810454255</v>
      </c>
      <c r="J386" s="33" t="str">
        <f ca="1">IFERROR(__xludf.DUMMYFUNCTION("""COMPUTED_VALUE"""),"ROSA MARIA MARTINEZ MARTINEZ-AEDO")</f>
        <v>ROSA MARIA MARTINEZ MARTINEZ-AEDO</v>
      </c>
      <c r="K386" s="33">
        <f ca="1">IFERROR(__xludf.DUMMYFUNCTION("""COMPUTED_VALUE"""),2)</f>
        <v>2</v>
      </c>
      <c r="L386" s="203">
        <f ca="1">IFERROR(__xludf.DUMMYFUNCTION("""COMPUTED_VALUE"""),4180)</f>
        <v>4180</v>
      </c>
      <c r="M386" s="33" t="str">
        <f ca="1">IFERROR(__xludf.DUMMYFUNCTION("""COMPUTED_VALUE"""),"03 ORL")</f>
        <v>03 ORL</v>
      </c>
      <c r="N386" s="33" t="str">
        <f ca="1">IFERROR(__xludf.DUMMYFUNCTION("""COMPUTED_VALUE"""),"06 ORL")</f>
        <v>06 ORL</v>
      </c>
      <c r="O386" s="33" t="str">
        <f ca="1">IFERROR(__xludf.DUMMYFUNCTION("""COMPUTED_VALUE"""),"Dr, Joaquín Alacio Casero")</f>
        <v>Dr, Joaquín Alacio Casero</v>
      </c>
      <c r="P386" s="33" t="str">
        <f ca="1">IFERROR(__xludf.DUMMYFUNCTION("""COMPUTED_VALUE"""),"Maika Blázquez (Madrid)")</f>
        <v>Maika Blázquez (Madrid)</v>
      </c>
    </row>
    <row r="387" spans="2:16">
      <c r="B387" s="33">
        <f ca="1">IFERROR(__xludf.DUMMYFUNCTION("""COMPUTED_VALUE"""),2025)</f>
        <v>2025</v>
      </c>
      <c r="C387" s="33">
        <f ca="1">IFERROR(__xludf.DUMMYFUNCTION("""COMPUTED_VALUE"""),3)</f>
        <v>3</v>
      </c>
      <c r="D387" s="33" t="str">
        <f ca="1">IFERROR(__xludf.DUMMYFUNCTION("""COMPUTED_VALUE"""),"NO")</f>
        <v>NO</v>
      </c>
      <c r="E387" s="33" t="str">
        <f ca="1">IFERROR(__xludf.DUMMYFUNCTION("""COMPUTED_VALUE"""),"Almería")</f>
        <v>Almería</v>
      </c>
      <c r="F387" s="57">
        <f ca="1">IFERROR(__xludf.DUMMYFUNCTION("""COMPUTED_VALUE"""),45743)</f>
        <v>45743</v>
      </c>
      <c r="G387" s="57">
        <f ca="1">IFERROR(__xludf.DUMMYFUNCTION("""COMPUTED_VALUE"""),45719)</f>
        <v>45719</v>
      </c>
      <c r="H387" s="33" t="str">
        <f ca="1">IFERROR(__xludf.DUMMYFUNCTION("""COMPUTED_VALUE"""),"Almería")</f>
        <v>Almería</v>
      </c>
      <c r="I387" s="33" t="str">
        <f ca="1">IFERROR(__xludf.DUMMYFUNCTION("""COMPUTED_VALUE"""),"C20253595632106")</f>
        <v>C20253595632106</v>
      </c>
      <c r="J387" s="33" t="str">
        <f ca="1">IFERROR(__xludf.DUMMYFUNCTION("""COMPUTED_VALUE"""),"JOSE DANIEL GARZON GARZON")</f>
        <v>JOSE DANIEL GARZON GARZON</v>
      </c>
      <c r="K387" s="33">
        <f ca="1">IFERROR(__xludf.DUMMYFUNCTION("""COMPUTED_VALUE"""),2)</f>
        <v>2</v>
      </c>
      <c r="L387" s="203">
        <f ca="1">IFERROR(__xludf.DUMMYFUNCTION("""COMPUTED_VALUE"""),4000)</f>
        <v>4000</v>
      </c>
      <c r="M387" s="33" t="str">
        <f ca="1">IFERROR(__xludf.DUMMYFUNCTION("""COMPUTED_VALUE"""),"03 ORL")</f>
        <v>03 ORL</v>
      </c>
      <c r="N387" s="33" t="str">
        <f ca="1">IFERROR(__xludf.DUMMYFUNCTION("""COMPUTED_VALUE"""),"06 ORL")</f>
        <v>06 ORL</v>
      </c>
      <c r="O387" s="33" t="str">
        <f ca="1">IFERROR(__xludf.DUMMYFUNCTION("""COMPUTED_VALUE"""),"Dr, Joaquín Pérez Rull")</f>
        <v>Dr, Joaquín Pérez Rull</v>
      </c>
      <c r="P387" s="33" t="str">
        <f ca="1">IFERROR(__xludf.DUMMYFUNCTION("""COMPUTED_VALUE"""),"Ramon Ferrando(Valencia)")</f>
        <v>Ramon Ferrando(Valencia)</v>
      </c>
    </row>
    <row r="388" spans="2:16">
      <c r="B388" s="33">
        <f ca="1">IFERROR(__xludf.DUMMYFUNCTION("""COMPUTED_VALUE"""),2025)</f>
        <v>2025</v>
      </c>
      <c r="C388" s="33">
        <f ca="1">IFERROR(__xludf.DUMMYFUNCTION("""COMPUTED_VALUE"""),3)</f>
        <v>3</v>
      </c>
      <c r="D388" s="33" t="str">
        <f ca="1">IFERROR(__xludf.DUMMYFUNCTION("""COMPUTED_VALUE"""),"NO")</f>
        <v>NO</v>
      </c>
      <c r="E388" s="33" t="str">
        <f ca="1">IFERROR(__xludf.DUMMYFUNCTION("""COMPUTED_VALUE"""),"Valencia- Parra")</f>
        <v>Valencia- Parra</v>
      </c>
      <c r="F388" s="57">
        <f ca="1">IFERROR(__xludf.DUMMYFUNCTION("""COMPUTED_VALUE"""),45743)</f>
        <v>45743</v>
      </c>
      <c r="G388" s="57">
        <f ca="1">IFERROR(__xludf.DUMMYFUNCTION("""COMPUTED_VALUE"""),45712)</f>
        <v>45712</v>
      </c>
      <c r="H388" s="33" t="str">
        <f ca="1">IFERROR(__xludf.DUMMYFUNCTION("""COMPUTED_VALUE"""),"Valencia- Parra")</f>
        <v>Valencia- Parra</v>
      </c>
      <c r="I388" s="33" t="str">
        <f ca="1">IFERROR(__xludf.DUMMYFUNCTION("""COMPUTED_VALUE"""),"C202522592424829")</f>
        <v>C202522592424829</v>
      </c>
      <c r="J388" s="33" t="str">
        <f ca="1">IFERROR(__xludf.DUMMYFUNCTION("""COMPUTED_VALUE"""),"MARIA DEL CARMEN SALAMANCA DE LA FUENTE")</f>
        <v>MARIA DEL CARMEN SALAMANCA DE LA FUENTE</v>
      </c>
      <c r="K388" s="33">
        <f ca="1">IFERROR(__xludf.DUMMYFUNCTION("""COMPUTED_VALUE"""),2)</f>
        <v>2</v>
      </c>
      <c r="L388" s="203">
        <f ca="1">IFERROR(__xludf.DUMMYFUNCTION("""COMPUTED_VALUE"""),4000)</f>
        <v>4000</v>
      </c>
      <c r="M388" s="33" t="str">
        <f ca="1">IFERROR(__xludf.DUMMYFUNCTION("""COMPUTED_VALUE"""),"03 ORL")</f>
        <v>03 ORL</v>
      </c>
      <c r="N388" s="33" t="str">
        <f ca="1">IFERROR(__xludf.DUMMYFUNCTION("""COMPUTED_VALUE"""),"06 ORL")</f>
        <v>06 ORL</v>
      </c>
      <c r="O388" s="33" t="str">
        <f ca="1">IFERROR(__xludf.DUMMYFUNCTION("""COMPUTED_VALUE"""),"Dr, Carlos De Paula Vernetta")</f>
        <v>Dr, Carlos De Paula Vernetta</v>
      </c>
      <c r="P388" s="33" t="str">
        <f ca="1">IFERROR(__xludf.DUMMYFUNCTION("""COMPUTED_VALUE"""),"Ramon Ferrando(Valencia)")</f>
        <v>Ramon Ferrando(Valencia)</v>
      </c>
    </row>
    <row r="389" spans="2:16">
      <c r="B389" s="33">
        <f ca="1">IFERROR(__xludf.DUMMYFUNCTION("""COMPUTED_VALUE"""),2025)</f>
        <v>2025</v>
      </c>
      <c r="C389" s="33">
        <f ca="1">IFERROR(__xludf.DUMMYFUNCTION("""COMPUTED_VALUE"""),3)</f>
        <v>3</v>
      </c>
      <c r="D389" s="33" t="str">
        <f ca="1">IFERROR(__xludf.DUMMYFUNCTION("""COMPUTED_VALUE"""),"NO")</f>
        <v>NO</v>
      </c>
      <c r="E389" s="33" t="str">
        <f ca="1">IFERROR(__xludf.DUMMYFUNCTION("""COMPUTED_VALUE"""),"Talavera")</f>
        <v>Talavera</v>
      </c>
      <c r="F389" s="57">
        <f ca="1">IFERROR(__xludf.DUMMYFUNCTION("""COMPUTED_VALUE"""),45743)</f>
        <v>45743</v>
      </c>
      <c r="G389" s="57">
        <f ca="1">IFERROR(__xludf.DUMMYFUNCTION("""COMPUTED_VALUE"""),45721)</f>
        <v>45721</v>
      </c>
      <c r="H389" s="33" t="str">
        <f ca="1">IFERROR(__xludf.DUMMYFUNCTION("""COMPUTED_VALUE"""),"Talavera")</f>
        <v>Talavera</v>
      </c>
      <c r="I389" s="33" t="str">
        <f ca="1">IFERROR(__xludf.DUMMYFUNCTION("""COMPUTED_VALUE"""),"C2025318103013118")</f>
        <v>C2025318103013118</v>
      </c>
      <c r="J389" s="33" t="str">
        <f ca="1">IFERROR(__xludf.DUMMYFUNCTION("""COMPUTED_VALUE"""),"MARIA DEL CARMEN  ARROYO CASTRO")</f>
        <v>MARIA DEL CARMEN  ARROYO CASTRO</v>
      </c>
      <c r="K389" s="33">
        <f ca="1">IFERROR(__xludf.DUMMYFUNCTION("""COMPUTED_VALUE"""),2)</f>
        <v>2</v>
      </c>
      <c r="L389" s="203">
        <f ca="1">IFERROR(__xludf.DUMMYFUNCTION("""COMPUTED_VALUE"""),4000)</f>
        <v>4000</v>
      </c>
      <c r="M389" s="33" t="str">
        <f ca="1">IFERROR(__xludf.DUMMYFUNCTION("""COMPUTED_VALUE"""),"03 ORL")</f>
        <v>03 ORL</v>
      </c>
      <c r="N389" s="33" t="str">
        <f ca="1">IFERROR(__xludf.DUMMYFUNCTION("""COMPUTED_VALUE"""),"06 ORL")</f>
        <v>06 ORL</v>
      </c>
      <c r="O389" s="33" t="str">
        <f ca="1">IFERROR(__xludf.DUMMYFUNCTION("""COMPUTED_VALUE"""),"Dr, Carlos Félix Asensio Nieto")</f>
        <v>Dr, Carlos Félix Asensio Nieto</v>
      </c>
      <c r="P389" s="33" t="str">
        <f ca="1">IFERROR(__xludf.DUMMYFUNCTION("""COMPUTED_VALUE"""),"Lisandro Russian (Madrid, Cáceres, Toledo, Talavera Y Logroño)")</f>
        <v>Lisandro Russian (Madrid, Cáceres, Toledo, Talavera Y Logroño)</v>
      </c>
    </row>
    <row r="390" spans="2:16">
      <c r="B390" s="33">
        <f ca="1">IFERROR(__xludf.DUMMYFUNCTION("""COMPUTED_VALUE"""),2025)</f>
        <v>2025</v>
      </c>
      <c r="C390" s="33">
        <f ca="1">IFERROR(__xludf.DUMMYFUNCTION("""COMPUTED_VALUE"""),3)</f>
        <v>3</v>
      </c>
      <c r="D390" s="33" t="str">
        <f ca="1">IFERROR(__xludf.DUMMYFUNCTION("""COMPUTED_VALUE"""),"NO")</f>
        <v>NO</v>
      </c>
      <c r="E390" s="33" t="str">
        <f ca="1">IFERROR(__xludf.DUMMYFUNCTION("""COMPUTED_VALUE"""),"Getafe")</f>
        <v>Getafe</v>
      </c>
      <c r="F390" s="57">
        <f ca="1">IFERROR(__xludf.DUMMYFUNCTION("""COMPUTED_VALUE"""),45743)</f>
        <v>45743</v>
      </c>
      <c r="G390" s="57">
        <f ca="1">IFERROR(__xludf.DUMMYFUNCTION("""COMPUTED_VALUE"""),45728)</f>
        <v>45728</v>
      </c>
      <c r="H390" s="33" t="str">
        <f ca="1">IFERROR(__xludf.DUMMYFUNCTION("""COMPUTED_VALUE"""),"Getafe")</f>
        <v>Getafe</v>
      </c>
      <c r="I390" s="33" t="str">
        <f ca="1">IFERROR(__xludf.DUMMYFUNCTION("""COMPUTED_VALUE"""),"C2025314153258297")</f>
        <v>C2025314153258297</v>
      </c>
      <c r="J390" s="33" t="str">
        <f ca="1">IFERROR(__xludf.DUMMYFUNCTION("""COMPUTED_VALUE"""),"PABLO MARIN ALCALDE")</f>
        <v>PABLO MARIN ALCALDE</v>
      </c>
      <c r="K390" s="33">
        <f ca="1">IFERROR(__xludf.DUMMYFUNCTION("""COMPUTED_VALUE"""),2)</f>
        <v>2</v>
      </c>
      <c r="L390" s="203">
        <f ca="1">IFERROR(__xludf.DUMMYFUNCTION("""COMPUTED_VALUE"""),3800)</f>
        <v>3800</v>
      </c>
      <c r="M390" s="33" t="str">
        <f ca="1">IFERROR(__xludf.DUMMYFUNCTION("""COMPUTED_VALUE"""),"03 ORL")</f>
        <v>03 ORL</v>
      </c>
      <c r="N390" s="33" t="str">
        <f ca="1">IFERROR(__xludf.DUMMYFUNCTION("""COMPUTED_VALUE"""),"06 ORL")</f>
        <v>06 ORL</v>
      </c>
      <c r="O390" s="33" t="str">
        <f ca="1">IFERROR(__xludf.DUMMYFUNCTION("""COMPUTED_VALUE"""),"Dra, María Garrote Garrote")</f>
        <v>Dra, María Garrote Garrote</v>
      </c>
      <c r="P390" s="33" t="str">
        <f ca="1">IFERROR(__xludf.DUMMYFUNCTION("""COMPUTED_VALUE"""),"Maika Blázquez (Madrid)")</f>
        <v>Maika Blázquez (Madrid)</v>
      </c>
    </row>
    <row r="391" spans="2:16">
      <c r="B391" s="33">
        <f ca="1">IFERROR(__xludf.DUMMYFUNCTION("""COMPUTED_VALUE"""),2025)</f>
        <v>2025</v>
      </c>
      <c r="C391" s="33">
        <f ca="1">IFERROR(__xludf.DUMMYFUNCTION("""COMPUTED_VALUE"""),3)</f>
        <v>3</v>
      </c>
      <c r="D391" s="33" t="str">
        <f ca="1">IFERROR(__xludf.DUMMYFUNCTION("""COMPUTED_VALUE"""),"NO")</f>
        <v>NO</v>
      </c>
      <c r="E391" s="33" t="str">
        <f ca="1">IFERROR(__xludf.DUMMYFUNCTION("""COMPUTED_VALUE"""),"Getafe")</f>
        <v>Getafe</v>
      </c>
      <c r="F391" s="57">
        <f ca="1">IFERROR(__xludf.DUMMYFUNCTION("""COMPUTED_VALUE"""),45743)</f>
        <v>45743</v>
      </c>
      <c r="G391" s="57">
        <f ca="1">IFERROR(__xludf.DUMMYFUNCTION("""COMPUTED_VALUE"""),45712)</f>
        <v>45712</v>
      </c>
      <c r="H391" s="33" t="str">
        <f ca="1">IFERROR(__xludf.DUMMYFUNCTION("""COMPUTED_VALUE"""),"Getafe")</f>
        <v>Getafe</v>
      </c>
      <c r="I391" s="33" t="str">
        <f ca="1">IFERROR(__xludf.DUMMYFUNCTION("""COMPUTED_VALUE"""),"C202534165840170")</f>
        <v>C202534165840170</v>
      </c>
      <c r="J391" s="33" t="str">
        <f ca="1">IFERROR(__xludf.DUMMYFUNCTION("""COMPUTED_VALUE"""),"EUGENIO GARCIA DE LA FUENTE")</f>
        <v>EUGENIO GARCIA DE LA FUENTE</v>
      </c>
      <c r="K391" s="33">
        <f ca="1">IFERROR(__xludf.DUMMYFUNCTION("""COMPUTED_VALUE"""),2)</f>
        <v>2</v>
      </c>
      <c r="L391" s="203">
        <f ca="1">IFERROR(__xludf.DUMMYFUNCTION("""COMPUTED_VALUE"""),4000)</f>
        <v>4000</v>
      </c>
      <c r="M391" s="33" t="str">
        <f ca="1">IFERROR(__xludf.DUMMYFUNCTION("""COMPUTED_VALUE"""),"03 ORL")</f>
        <v>03 ORL</v>
      </c>
      <c r="N391" s="33" t="str">
        <f ca="1">IFERROR(__xludf.DUMMYFUNCTION("""COMPUTED_VALUE"""),"06 ORL")</f>
        <v>06 ORL</v>
      </c>
      <c r="O391" s="33" t="str">
        <f ca="1">IFERROR(__xludf.DUMMYFUNCTION("""COMPUTED_VALUE"""),"Dra, Cristina Vaduva")</f>
        <v>Dra, Cristina Vaduva</v>
      </c>
      <c r="P391" s="33" t="str">
        <f ca="1">IFERROR(__xludf.DUMMYFUNCTION("""COMPUTED_VALUE"""),"Maika Blázquez (Madrid)")</f>
        <v>Maika Blázquez (Madrid)</v>
      </c>
    </row>
    <row r="392" spans="2:16">
      <c r="B392" s="33">
        <f ca="1">IFERROR(__xludf.DUMMYFUNCTION("""COMPUTED_VALUE"""),2025)</f>
        <v>2025</v>
      </c>
      <c r="C392" s="33">
        <f ca="1">IFERROR(__xludf.DUMMYFUNCTION("""COMPUTED_VALUE"""),3)</f>
        <v>3</v>
      </c>
      <c r="D392" s="33" t="str">
        <f ca="1">IFERROR(__xludf.DUMMYFUNCTION("""COMPUTED_VALUE"""),"NO")</f>
        <v>NO</v>
      </c>
      <c r="E392" s="33" t="str">
        <f ca="1">IFERROR(__xludf.DUMMYFUNCTION("""COMPUTED_VALUE"""),"Getafe")</f>
        <v>Getafe</v>
      </c>
      <c r="F392" s="57">
        <f ca="1">IFERROR(__xludf.DUMMYFUNCTION("""COMPUTED_VALUE"""),45743)</f>
        <v>45743</v>
      </c>
      <c r="G392" s="57">
        <f ca="1">IFERROR(__xludf.DUMMYFUNCTION("""COMPUTED_VALUE"""),45700)</f>
        <v>45700</v>
      </c>
      <c r="H392" s="33" t="str">
        <f ca="1">IFERROR(__xludf.DUMMYFUNCTION("""COMPUTED_VALUE"""),"Getafe")</f>
        <v>Getafe</v>
      </c>
      <c r="I392" s="33" t="str">
        <f ca="1">IFERROR(__xludf.DUMMYFUNCTION("""COMPUTED_VALUE"""),"C2025219184955413")</f>
        <v>C2025219184955413</v>
      </c>
      <c r="J392" s="33" t="str">
        <f ca="1">IFERROR(__xludf.DUMMYFUNCTION("""COMPUTED_VALUE"""),"ANTONIO MARIA SERRANO SANCHEZ VILLACAÑAS")</f>
        <v>ANTONIO MARIA SERRANO SANCHEZ VILLACAÑAS</v>
      </c>
      <c r="K392" s="33">
        <f ca="1">IFERROR(__xludf.DUMMYFUNCTION("""COMPUTED_VALUE"""),2)</f>
        <v>2</v>
      </c>
      <c r="L392" s="203">
        <f ca="1">IFERROR(__xludf.DUMMYFUNCTION("""COMPUTED_VALUE"""),2888.18)</f>
        <v>2888.18</v>
      </c>
      <c r="M392" s="33" t="str">
        <f ca="1">IFERROR(__xludf.DUMMYFUNCTION("""COMPUTED_VALUE"""),"03 ORL")</f>
        <v>03 ORL</v>
      </c>
      <c r="N392" s="33" t="str">
        <f ca="1">IFERROR(__xludf.DUMMYFUNCTION("""COMPUTED_VALUE"""),"06 ORL")</f>
        <v>06 ORL</v>
      </c>
      <c r="O392" s="33" t="str">
        <f ca="1">IFERROR(__xludf.DUMMYFUNCTION("""COMPUTED_VALUE"""),"No Recuerda Orl")</f>
        <v>No Recuerda Orl</v>
      </c>
      <c r="P392" s="33" t="str">
        <f ca="1">IFERROR(__xludf.DUMMYFUNCTION("""COMPUTED_VALUE"""),"Maika Blázquez (Madrid)")</f>
        <v>Maika Blázquez (Madrid)</v>
      </c>
    </row>
    <row r="393" spans="2:16">
      <c r="B393" s="33">
        <f ca="1">IFERROR(__xludf.DUMMYFUNCTION("""COMPUTED_VALUE"""),2025)</f>
        <v>2025</v>
      </c>
      <c r="C393" s="33">
        <f ca="1">IFERROR(__xludf.DUMMYFUNCTION("""COMPUTED_VALUE"""),3)</f>
        <v>3</v>
      </c>
      <c r="D393" s="33" t="str">
        <f ca="1">IFERROR(__xludf.DUMMYFUNCTION("""COMPUTED_VALUE"""),"NO")</f>
        <v>NO</v>
      </c>
      <c r="E393" s="33" t="str">
        <f ca="1">IFERROR(__xludf.DUMMYFUNCTION("""COMPUTED_VALUE"""),"Sevilla- Montoto")</f>
        <v>Sevilla- Montoto</v>
      </c>
      <c r="F393" s="57">
        <f ca="1">IFERROR(__xludf.DUMMYFUNCTION("""COMPUTED_VALUE"""),45743)</f>
        <v>45743</v>
      </c>
      <c r="G393" s="57">
        <f ca="1">IFERROR(__xludf.DUMMYFUNCTION("""COMPUTED_VALUE"""),45699)</f>
        <v>45699</v>
      </c>
      <c r="H393" s="33" t="str">
        <f ca="1">IFERROR(__xludf.DUMMYFUNCTION("""COMPUTED_VALUE"""),"Montoto")</f>
        <v>Montoto</v>
      </c>
      <c r="I393" s="33" t="str">
        <f ca="1">IFERROR(__xludf.DUMMYFUNCTION("""COMPUTED_VALUE"""),"C202521411357772")</f>
        <v>C202521411357772</v>
      </c>
      <c r="J393" s="33" t="str">
        <f ca="1">IFERROR(__xludf.DUMMYFUNCTION("""COMPUTED_VALUE"""),"ANA CANCELO LARIOS")</f>
        <v>ANA CANCELO LARIOS</v>
      </c>
      <c r="K393" s="33">
        <f ca="1">IFERROR(__xludf.DUMMYFUNCTION("""COMPUTED_VALUE"""),1)</f>
        <v>1</v>
      </c>
      <c r="L393" s="203">
        <f ca="1">IFERROR(__xludf.DUMMYFUNCTION("""COMPUTED_VALUE"""),2400)</f>
        <v>2400</v>
      </c>
      <c r="M393" s="33" t="str">
        <f ca="1">IFERROR(__xludf.DUMMYFUNCTION("""COMPUTED_VALUE"""),"03 ORL")</f>
        <v>03 ORL</v>
      </c>
      <c r="N393" s="33" t="str">
        <f ca="1">IFERROR(__xludf.DUMMYFUNCTION("""COMPUTED_VALUE"""),"06 ORL")</f>
        <v>06 ORL</v>
      </c>
      <c r="O393" s="33" t="str">
        <f ca="1">IFERROR(__xludf.DUMMYFUNCTION("""COMPUTED_VALUE"""),"Dr, Jesús Crovato Rojas")</f>
        <v>Dr, Jesús Crovato Rojas</v>
      </c>
      <c r="P393" s="33" t="str">
        <f ca="1">IFERROR(__xludf.DUMMYFUNCTION("""COMPUTED_VALUE"""),"Luis Alberto Rodríguez (Andalucía Y Badajoz)")</f>
        <v>Luis Alberto Rodríguez (Andalucía Y Badajoz)</v>
      </c>
    </row>
    <row r="394" spans="2:16">
      <c r="B394" s="33">
        <f ca="1">IFERROR(__xludf.DUMMYFUNCTION("""COMPUTED_VALUE"""),2025)</f>
        <v>2025</v>
      </c>
      <c r="C394" s="33">
        <f ca="1">IFERROR(__xludf.DUMMYFUNCTION("""COMPUTED_VALUE"""),3)</f>
        <v>3</v>
      </c>
      <c r="D394" s="33" t="str">
        <f ca="1">IFERROR(__xludf.DUMMYFUNCTION("""COMPUTED_VALUE"""),"NO")</f>
        <v>NO</v>
      </c>
      <c r="E394" s="33" t="str">
        <f ca="1">IFERROR(__xludf.DUMMYFUNCTION("""COMPUTED_VALUE"""),"Madrid- Moratalaz")</f>
        <v>Madrid- Moratalaz</v>
      </c>
      <c r="F394" s="57">
        <f ca="1">IFERROR(__xludf.DUMMYFUNCTION("""COMPUTED_VALUE"""),45743)</f>
        <v>45743</v>
      </c>
      <c r="G394" s="57">
        <f ca="1">IFERROR(__xludf.DUMMYFUNCTION("""COMPUTED_VALUE"""),45727)</f>
        <v>45727</v>
      </c>
      <c r="H394" s="33" t="str">
        <f ca="1">IFERROR(__xludf.DUMMYFUNCTION("""COMPUTED_VALUE"""),"Moratalaz")</f>
        <v>Moratalaz</v>
      </c>
      <c r="I394" s="33" t="str">
        <f ca="1">IFERROR(__xludf.DUMMYFUNCTION("""COMPUTED_VALUE"""),"C2025311162945511")</f>
        <v>C2025311162945511</v>
      </c>
      <c r="J394" s="33" t="str">
        <f ca="1">IFERROR(__xludf.DUMMYFUNCTION("""COMPUTED_VALUE"""),"ANTONIO MORAL VILA")</f>
        <v>ANTONIO MORAL VILA</v>
      </c>
      <c r="K394" s="33">
        <f ca="1">IFERROR(__xludf.DUMMYFUNCTION("""COMPUTED_VALUE"""),2)</f>
        <v>2</v>
      </c>
      <c r="L394" s="203">
        <f ca="1">IFERROR(__xludf.DUMMYFUNCTION("""COMPUTED_VALUE"""),4000)</f>
        <v>4000</v>
      </c>
      <c r="M394" s="33" t="str">
        <f ca="1">IFERROR(__xludf.DUMMYFUNCTION("""COMPUTED_VALUE"""),"03 ORL")</f>
        <v>03 ORL</v>
      </c>
      <c r="N394" s="33" t="str">
        <f ca="1">IFERROR(__xludf.DUMMYFUNCTION("""COMPUTED_VALUE"""),"06 ORL")</f>
        <v>06 ORL</v>
      </c>
      <c r="O394" s="33" t="str">
        <f ca="1">IFERROR(__xludf.DUMMYFUNCTION("""COMPUTED_VALUE"""),"Dr, Guillermo San Juan De La Moreta")</f>
        <v>Dr, Guillermo San Juan De La Moreta</v>
      </c>
      <c r="P394" s="33" t="str">
        <f ca="1">IFERROR(__xludf.DUMMYFUNCTION("""COMPUTED_VALUE"""),"Maika Blázquez (Madrid)")</f>
        <v>Maika Blázquez (Madrid)</v>
      </c>
    </row>
    <row r="395" spans="2:16">
      <c r="B395" s="33">
        <f ca="1">IFERROR(__xludf.DUMMYFUNCTION("""COMPUTED_VALUE"""),2025)</f>
        <v>2025</v>
      </c>
      <c r="C395" s="33">
        <f ca="1">IFERROR(__xludf.DUMMYFUNCTION("""COMPUTED_VALUE"""),3)</f>
        <v>3</v>
      </c>
      <c r="D395" s="33" t="str">
        <f ca="1">IFERROR(__xludf.DUMMYFUNCTION("""COMPUTED_VALUE"""),"NO")</f>
        <v>NO</v>
      </c>
      <c r="E395" s="33" t="str">
        <f ca="1">IFERROR(__xludf.DUMMYFUNCTION("""COMPUTED_VALUE"""),"Getafe")</f>
        <v>Getafe</v>
      </c>
      <c r="F395" s="57">
        <f ca="1">IFERROR(__xludf.DUMMYFUNCTION("""COMPUTED_VALUE"""),45743)</f>
        <v>45743</v>
      </c>
      <c r="G395" s="57">
        <f ca="1">IFERROR(__xludf.DUMMYFUNCTION("""COMPUTED_VALUE"""),45686)</f>
        <v>45686</v>
      </c>
      <c r="H395" s="33" t="str">
        <f ca="1">IFERROR(__xludf.DUMMYFUNCTION("""COMPUTED_VALUE"""),"Getafe")</f>
        <v>Getafe</v>
      </c>
      <c r="I395" s="33" t="str">
        <f ca="1">IFERROR(__xludf.DUMMYFUNCTION("""COMPUTED_VALUE"""),"C202521910501796")</f>
        <v>C202521910501796</v>
      </c>
      <c r="J395" s="33" t="str">
        <f ca="1">IFERROR(__xludf.DUMMYFUNCTION("""COMPUTED_VALUE"""),"SEGUNDO IGLESIAS MACIAS")</f>
        <v>SEGUNDO IGLESIAS MACIAS</v>
      </c>
      <c r="K395" s="33">
        <f ca="1">IFERROR(__xludf.DUMMYFUNCTION("""COMPUTED_VALUE"""),2)</f>
        <v>2</v>
      </c>
      <c r="L395" s="203">
        <f ca="1">IFERROR(__xludf.DUMMYFUNCTION("""COMPUTED_VALUE"""),2888.18)</f>
        <v>2888.18</v>
      </c>
      <c r="M395" s="33" t="str">
        <f ca="1">IFERROR(__xludf.DUMMYFUNCTION("""COMPUTED_VALUE"""),"03 ORL")</f>
        <v>03 ORL</v>
      </c>
      <c r="N395" s="33" t="str">
        <f ca="1">IFERROR(__xludf.DUMMYFUNCTION("""COMPUTED_VALUE"""),"06 ORL")</f>
        <v>06 ORL</v>
      </c>
      <c r="O395" s="33" t="str">
        <f ca="1">IFERROR(__xludf.DUMMYFUNCTION("""COMPUTED_VALUE"""),"Dra, Cristina Vaduva")</f>
        <v>Dra, Cristina Vaduva</v>
      </c>
      <c r="P395" s="33" t="str">
        <f ca="1">IFERROR(__xludf.DUMMYFUNCTION("""COMPUTED_VALUE"""),"Maika Blázquez (Madrid)")</f>
        <v>Maika Blázquez (Madrid)</v>
      </c>
    </row>
    <row r="396" spans="2:16">
      <c r="B396" s="33">
        <f ca="1">IFERROR(__xludf.DUMMYFUNCTION("""COMPUTED_VALUE"""),2025)</f>
        <v>2025</v>
      </c>
      <c r="C396" s="33">
        <f ca="1">IFERROR(__xludf.DUMMYFUNCTION("""COMPUTED_VALUE"""),3)</f>
        <v>3</v>
      </c>
      <c r="D396" s="33" t="str">
        <f ca="1">IFERROR(__xludf.DUMMYFUNCTION("""COMPUTED_VALUE"""),"NO")</f>
        <v>NO</v>
      </c>
      <c r="E396" s="33" t="str">
        <f ca="1">IFERROR(__xludf.DUMMYFUNCTION("""COMPUTED_VALUE"""),"Madrid- Juan Bravo")</f>
        <v>Madrid- Juan Bravo</v>
      </c>
      <c r="F396" s="57">
        <f ca="1">IFERROR(__xludf.DUMMYFUNCTION("""COMPUTED_VALUE"""),45744)</f>
        <v>45744</v>
      </c>
      <c r="G396" s="57">
        <f ca="1">IFERROR(__xludf.DUMMYFUNCTION("""COMPUTED_VALUE"""),45387)</f>
        <v>45387</v>
      </c>
      <c r="H396" s="33" t="str">
        <f ca="1">IFERROR(__xludf.DUMMYFUNCTION("""COMPUTED_VALUE"""),"Juan Bravo")</f>
        <v>Juan Bravo</v>
      </c>
      <c r="I396" s="33" t="str">
        <f ca="1">IFERROR(__xludf.DUMMYFUNCTION("""COMPUTED_VALUE"""),"JBR-2059")</f>
        <v>JBR-2059</v>
      </c>
      <c r="J396" s="33" t="str">
        <f ca="1">IFERROR(__xludf.DUMMYFUNCTION("""COMPUTED_VALUE"""),"JUAN SUEIRO BAL")</f>
        <v>JUAN SUEIRO BAL</v>
      </c>
      <c r="K396" s="33">
        <f ca="1">IFERROR(__xludf.DUMMYFUNCTION("""COMPUTED_VALUE"""),2)</f>
        <v>2</v>
      </c>
      <c r="L396" s="203">
        <f ca="1">IFERROR(__xludf.DUMMYFUNCTION("""COMPUTED_VALUE"""),4000)</f>
        <v>4000</v>
      </c>
      <c r="M396" s="33" t="str">
        <f ca="1">IFERROR(__xludf.DUMMYFUNCTION("""COMPUTED_VALUE"""),"03 ORL")</f>
        <v>03 ORL</v>
      </c>
      <c r="N396" s="33" t="str">
        <f ca="1">IFERROR(__xludf.DUMMYFUNCTION("""COMPUTED_VALUE"""),"06 ORL")</f>
        <v>06 ORL</v>
      </c>
      <c r="O396" s="33" t="str">
        <f ca="1">IFERROR(__xludf.DUMMYFUNCTION("""COMPUTED_VALUE"""),"Dr, Javier García Domínguez")</f>
        <v>Dr, Javier García Domínguez</v>
      </c>
      <c r="P396" s="33" t="str">
        <f ca="1">IFERROR(__xludf.DUMMYFUNCTION("""COMPUTED_VALUE"""),"Maika Blázquez (Madrid)")</f>
        <v>Maika Blázquez (Madrid)</v>
      </c>
    </row>
    <row r="397" spans="2:16">
      <c r="B397" s="33">
        <f ca="1">IFERROR(__xludf.DUMMYFUNCTION("""COMPUTED_VALUE"""),2025)</f>
        <v>2025</v>
      </c>
      <c r="C397" s="33">
        <f ca="1">IFERROR(__xludf.DUMMYFUNCTION("""COMPUTED_VALUE"""),3)</f>
        <v>3</v>
      </c>
      <c r="D397" s="33" t="str">
        <f ca="1">IFERROR(__xludf.DUMMYFUNCTION("""COMPUTED_VALUE"""),"NO")</f>
        <v>NO</v>
      </c>
      <c r="E397" s="33" t="str">
        <f ca="1">IFERROR(__xludf.DUMMYFUNCTION("""COMPUTED_VALUE"""),"Madrid- Juan Bravo")</f>
        <v>Madrid- Juan Bravo</v>
      </c>
      <c r="F397" s="57">
        <f ca="1">IFERROR(__xludf.DUMMYFUNCTION("""COMPUTED_VALUE"""),45744)</f>
        <v>45744</v>
      </c>
      <c r="G397" s="57">
        <f ca="1">IFERROR(__xludf.DUMMYFUNCTION("""COMPUTED_VALUE"""),45681)</f>
        <v>45681</v>
      </c>
      <c r="H397" s="33" t="str">
        <f ca="1">IFERROR(__xludf.DUMMYFUNCTION("""COMPUTED_VALUE"""),"Juan Bravo")</f>
        <v>Juan Bravo</v>
      </c>
      <c r="I397" s="33" t="str">
        <f ca="1">IFERROR(__xludf.DUMMYFUNCTION("""COMPUTED_VALUE"""),"C202512916392534")</f>
        <v>C202512916392534</v>
      </c>
      <c r="J397" s="33" t="str">
        <f ca="1">IFERROR(__xludf.DUMMYFUNCTION("""COMPUTED_VALUE"""),"JOSE MATUD BONEL")</f>
        <v>JOSE MATUD BONEL</v>
      </c>
      <c r="K397" s="33">
        <f ca="1">IFERROR(__xludf.DUMMYFUNCTION("""COMPUTED_VALUE"""),1)</f>
        <v>1</v>
      </c>
      <c r="L397" s="203">
        <f ca="1">IFERROR(__xludf.DUMMYFUNCTION("""COMPUTED_VALUE"""),1983.64)</f>
        <v>1983.64</v>
      </c>
      <c r="M397" s="33" t="str">
        <f ca="1">IFERROR(__xludf.DUMMYFUNCTION("""COMPUTED_VALUE"""),"03 ORL")</f>
        <v>03 ORL</v>
      </c>
      <c r="N397" s="33" t="str">
        <f ca="1">IFERROR(__xludf.DUMMYFUNCTION("""COMPUTED_VALUE"""),"06 ORL")</f>
        <v>06 ORL</v>
      </c>
      <c r="O397" s="33" t="str">
        <f ca="1">IFERROR(__xludf.DUMMYFUNCTION("""COMPUTED_VALUE"""),"Dr, Javier García Domínguez")</f>
        <v>Dr, Javier García Domínguez</v>
      </c>
      <c r="P397" s="33" t="str">
        <f ca="1">IFERROR(__xludf.DUMMYFUNCTION("""COMPUTED_VALUE"""),"Maika Blázquez (Madrid)")</f>
        <v>Maika Blázquez (Madrid)</v>
      </c>
    </row>
    <row r="398" spans="2:16">
      <c r="B398" s="33">
        <f ca="1">IFERROR(__xludf.DUMMYFUNCTION("""COMPUTED_VALUE"""),2025)</f>
        <v>2025</v>
      </c>
      <c r="C398" s="33">
        <f ca="1">IFERROR(__xludf.DUMMYFUNCTION("""COMPUTED_VALUE"""),3)</f>
        <v>3</v>
      </c>
      <c r="D398" s="33" t="str">
        <f ca="1">IFERROR(__xludf.DUMMYFUNCTION("""COMPUTED_VALUE"""),"NO")</f>
        <v>NO</v>
      </c>
      <c r="E398" s="33" t="str">
        <f ca="1">IFERROR(__xludf.DUMMYFUNCTION("""COMPUTED_VALUE"""),"San Javier")</f>
        <v>San Javier</v>
      </c>
      <c r="F398" s="57">
        <f ca="1">IFERROR(__xludf.DUMMYFUNCTION("""COMPUTED_VALUE"""),45744)</f>
        <v>45744</v>
      </c>
      <c r="G398" s="57">
        <f ca="1">IFERROR(__xludf.DUMMYFUNCTION("""COMPUTED_VALUE"""),45706)</f>
        <v>45706</v>
      </c>
      <c r="H398" s="33" t="str">
        <f ca="1">IFERROR(__xludf.DUMMYFUNCTION("""COMPUTED_VALUE"""),"San Javier")</f>
        <v>San Javier</v>
      </c>
      <c r="I398" s="33" t="str">
        <f ca="1">IFERROR(__xludf.DUMMYFUNCTION("""COMPUTED_VALUE"""),"C202522710501423")</f>
        <v>C202522710501423</v>
      </c>
      <c r="J398" s="33" t="str">
        <f ca="1">IFERROR(__xludf.DUMMYFUNCTION("""COMPUTED_VALUE"""),"ANA MARIA GOMEZ CARRION")</f>
        <v>ANA MARIA GOMEZ CARRION</v>
      </c>
      <c r="K398" s="33">
        <f ca="1">IFERROR(__xludf.DUMMYFUNCTION("""COMPUTED_VALUE"""),1)</f>
        <v>1</v>
      </c>
      <c r="L398" s="203">
        <f ca="1">IFERROR(__xludf.DUMMYFUNCTION("""COMPUTED_VALUE"""),2226.36)</f>
        <v>2226.36</v>
      </c>
      <c r="M398" s="33" t="str">
        <f ca="1">IFERROR(__xludf.DUMMYFUNCTION("""COMPUTED_VALUE"""),"03 ORL")</f>
        <v>03 ORL</v>
      </c>
      <c r="N398" s="33" t="str">
        <f ca="1">IFERROR(__xludf.DUMMYFUNCTION("""COMPUTED_VALUE"""),"06 ORL")</f>
        <v>06 ORL</v>
      </c>
      <c r="O398" s="33" t="str">
        <f ca="1">IFERROR(__xludf.DUMMYFUNCTION("""COMPUTED_VALUE"""),"Dra, María Teresa Almela Rojo")</f>
        <v>Dra, María Teresa Almela Rojo</v>
      </c>
      <c r="P398" s="33" t="str">
        <f ca="1">IFERROR(__xludf.DUMMYFUNCTION("""COMPUTED_VALUE"""),"Iván Sánchez (Levante Y Albacete)")</f>
        <v>Iván Sánchez (Levante Y Albacete)</v>
      </c>
    </row>
    <row r="399" spans="2:16">
      <c r="B399" s="33">
        <f ca="1">IFERROR(__xludf.DUMMYFUNCTION("""COMPUTED_VALUE"""),2025)</f>
        <v>2025</v>
      </c>
      <c r="C399" s="33">
        <f ca="1">IFERROR(__xludf.DUMMYFUNCTION("""COMPUTED_VALUE"""),3)</f>
        <v>3</v>
      </c>
      <c r="D399" s="33" t="str">
        <f ca="1">IFERROR(__xludf.DUMMYFUNCTION("""COMPUTED_VALUE"""),"NO")</f>
        <v>NO</v>
      </c>
      <c r="E399" s="33" t="str">
        <f ca="1">IFERROR(__xludf.DUMMYFUNCTION("""COMPUTED_VALUE"""),"San Javier")</f>
        <v>San Javier</v>
      </c>
      <c r="F399" s="57">
        <f ca="1">IFERROR(__xludf.DUMMYFUNCTION("""COMPUTED_VALUE"""),45744)</f>
        <v>45744</v>
      </c>
      <c r="G399" s="57">
        <f ca="1">IFERROR(__xludf.DUMMYFUNCTION("""COMPUTED_VALUE"""),45720)</f>
        <v>45720</v>
      </c>
      <c r="H399" s="33" t="str">
        <f ca="1">IFERROR(__xludf.DUMMYFUNCTION("""COMPUTED_VALUE"""),"San Javier")</f>
        <v>San Javier</v>
      </c>
      <c r="I399" s="33" t="str">
        <f ca="1">IFERROR(__xludf.DUMMYFUNCTION("""COMPUTED_VALUE"""),"C202531011838233")</f>
        <v>C202531011838233</v>
      </c>
      <c r="J399" s="33" t="str">
        <f ca="1">IFERROR(__xludf.DUMMYFUNCTION("""COMPUTED_VALUE"""),"MARIA DE LOS ANGELES PEREZ GARRIDO")</f>
        <v>MARIA DE LOS ANGELES PEREZ GARRIDO</v>
      </c>
      <c r="K399" s="33">
        <f ca="1">IFERROR(__xludf.DUMMYFUNCTION("""COMPUTED_VALUE"""),2)</f>
        <v>2</v>
      </c>
      <c r="L399" s="203">
        <f ca="1">IFERROR(__xludf.DUMMYFUNCTION("""COMPUTED_VALUE"""),2888.18)</f>
        <v>2888.18</v>
      </c>
      <c r="M399" s="33" t="str">
        <f ca="1">IFERROR(__xludf.DUMMYFUNCTION("""COMPUTED_VALUE"""),"03 ORL")</f>
        <v>03 ORL</v>
      </c>
      <c r="N399" s="33" t="str">
        <f ca="1">IFERROR(__xludf.DUMMYFUNCTION("""COMPUTED_VALUE"""),"06 ORL")</f>
        <v>06 ORL</v>
      </c>
      <c r="O399" s="33" t="str">
        <f ca="1">IFERROR(__xludf.DUMMYFUNCTION("""COMPUTED_VALUE"""),"Dr, Andrés Barrios Recio")</f>
        <v>Dr, Andrés Barrios Recio</v>
      </c>
      <c r="P399" s="33" t="str">
        <f ca="1">IFERROR(__xludf.DUMMYFUNCTION("""COMPUTED_VALUE"""),"Iván Sánchez (Levante Y Albacete)")</f>
        <v>Iván Sánchez (Levante Y Albacete)</v>
      </c>
    </row>
    <row r="400" spans="2:16">
      <c r="B400" s="33">
        <f ca="1">IFERROR(__xludf.DUMMYFUNCTION("""COMPUTED_VALUE"""),2025)</f>
        <v>2025</v>
      </c>
      <c r="C400" s="33">
        <f ca="1">IFERROR(__xludf.DUMMYFUNCTION("""COMPUTED_VALUE"""),3)</f>
        <v>3</v>
      </c>
      <c r="D400" s="33" t="str">
        <f ca="1">IFERROR(__xludf.DUMMYFUNCTION("""COMPUTED_VALUE"""),"NO")</f>
        <v>NO</v>
      </c>
      <c r="E400" s="33" t="str">
        <f ca="1">IFERROR(__xludf.DUMMYFUNCTION("""COMPUTED_VALUE"""),"Ourense")</f>
        <v>Ourense</v>
      </c>
      <c r="F400" s="57">
        <f ca="1">IFERROR(__xludf.DUMMYFUNCTION("""COMPUTED_VALUE"""),45744)</f>
        <v>45744</v>
      </c>
      <c r="G400" s="57">
        <f ca="1">IFERROR(__xludf.DUMMYFUNCTION("""COMPUTED_VALUE"""),45721)</f>
        <v>45721</v>
      </c>
      <c r="H400" s="33" t="str">
        <f ca="1">IFERROR(__xludf.DUMMYFUNCTION("""COMPUTED_VALUE"""),"Orense")</f>
        <v>Orense</v>
      </c>
      <c r="I400" s="33" t="str">
        <f ca="1">IFERROR(__xludf.DUMMYFUNCTION("""COMPUTED_VALUE"""),"C2025312125925707")</f>
        <v>C2025312125925707</v>
      </c>
      <c r="J400" s="33" t="str">
        <f ca="1">IFERROR(__xludf.DUMMYFUNCTION("""COMPUTED_VALUE"""),"MILAGROS ESTEVEZ ALVAREZ")</f>
        <v>MILAGROS ESTEVEZ ALVAREZ</v>
      </c>
      <c r="K400" s="33">
        <f ca="1">IFERROR(__xludf.DUMMYFUNCTION("""COMPUTED_VALUE"""),2)</f>
        <v>2</v>
      </c>
      <c r="L400" s="203">
        <f ca="1">IFERROR(__xludf.DUMMYFUNCTION("""COMPUTED_VALUE"""),4000)</f>
        <v>4000</v>
      </c>
      <c r="M400" s="33" t="str">
        <f ca="1">IFERROR(__xludf.DUMMYFUNCTION("""COMPUTED_VALUE"""),"03 ORL")</f>
        <v>03 ORL</v>
      </c>
      <c r="N400" s="33" t="str">
        <f ca="1">IFERROR(__xludf.DUMMYFUNCTION("""COMPUTED_VALUE"""),"06 ORL")</f>
        <v>06 ORL</v>
      </c>
      <c r="O400" s="33" t="str">
        <f ca="1">IFERROR(__xludf.DUMMYFUNCTION("""COMPUTED_VALUE"""),"Dr, Jose Antonio Torre Eiriz")</f>
        <v>Dr, Jose Antonio Torre Eiriz</v>
      </c>
      <c r="P400" s="33" t="str">
        <f ca="1">IFERROR(__xludf.DUMMYFUNCTION("""COMPUTED_VALUE"""),"Roberto Pereira (Galicia)")</f>
        <v>Roberto Pereira (Galicia)</v>
      </c>
    </row>
    <row r="401" spans="2:16">
      <c r="B401" s="33">
        <f ca="1">IFERROR(__xludf.DUMMYFUNCTION("""COMPUTED_VALUE"""),2025)</f>
        <v>2025</v>
      </c>
      <c r="C401" s="33">
        <f ca="1">IFERROR(__xludf.DUMMYFUNCTION("""COMPUTED_VALUE"""),3)</f>
        <v>3</v>
      </c>
      <c r="D401" s="33" t="str">
        <f ca="1">IFERROR(__xludf.DUMMYFUNCTION("""COMPUTED_VALUE"""),"NO")</f>
        <v>NO</v>
      </c>
      <c r="E401" s="33" t="str">
        <f ca="1">IFERROR(__xludf.DUMMYFUNCTION("""COMPUTED_VALUE"""),"El Albir (Benidorm)")</f>
        <v>El Albir (Benidorm)</v>
      </c>
      <c r="F401" s="57">
        <f ca="1">IFERROR(__xludf.DUMMYFUNCTION("""COMPUTED_VALUE"""),45744)</f>
        <v>45744</v>
      </c>
      <c r="G401" s="57">
        <f ca="1">IFERROR(__xludf.DUMMYFUNCTION("""COMPUTED_VALUE"""),45709)</f>
        <v>45709</v>
      </c>
      <c r="H401" s="33" t="str">
        <f ca="1">IFERROR(__xludf.DUMMYFUNCTION("""COMPUTED_VALUE"""),"El Albir (Benidorm)")</f>
        <v>El Albir (Benidorm)</v>
      </c>
      <c r="I401" s="33" t="str">
        <f ca="1">IFERROR(__xludf.DUMMYFUNCTION("""COMPUTED_VALUE"""),"C20252261641078")</f>
        <v>C20252261641078</v>
      </c>
      <c r="J401" s="33" t="str">
        <f ca="1">IFERROR(__xludf.DUMMYFUNCTION("""COMPUTED_VALUE"""),"VICENTE ANTONIO LLORET LLINARES")</f>
        <v>VICENTE ANTONIO LLORET LLINARES</v>
      </c>
      <c r="K401" s="33">
        <f ca="1">IFERROR(__xludf.DUMMYFUNCTION("""COMPUTED_VALUE"""),2)</f>
        <v>2</v>
      </c>
      <c r="L401" s="203">
        <f ca="1">IFERROR(__xludf.DUMMYFUNCTION("""COMPUTED_VALUE"""),4400)</f>
        <v>4400</v>
      </c>
      <c r="M401" s="33" t="str">
        <f ca="1">IFERROR(__xludf.DUMMYFUNCTION("""COMPUTED_VALUE"""),"03 ORL")</f>
        <v>03 ORL</v>
      </c>
      <c r="N401" s="33" t="str">
        <f ca="1">IFERROR(__xludf.DUMMYFUNCTION("""COMPUTED_VALUE"""),"06 ORL")</f>
        <v>06 ORL</v>
      </c>
      <c r="O401" s="33" t="str">
        <f ca="1">IFERROR(__xludf.DUMMYFUNCTION("""COMPUTED_VALUE"""),"Dra, Isabel Polo Tomás")</f>
        <v>Dra, Isabel Polo Tomás</v>
      </c>
      <c r="P401" s="33" t="str">
        <f ca="1">IFERROR(__xludf.DUMMYFUNCTION("""COMPUTED_VALUE"""),"Ramon Ferrando(Valencia)")</f>
        <v>Ramon Ferrando(Valencia)</v>
      </c>
    </row>
    <row r="402" spans="2:16">
      <c r="B402" s="33">
        <f ca="1">IFERROR(__xludf.DUMMYFUNCTION("""COMPUTED_VALUE"""),2025)</f>
        <v>2025</v>
      </c>
      <c r="C402" s="33">
        <f ca="1">IFERROR(__xludf.DUMMYFUNCTION("""COMPUTED_VALUE"""),3)</f>
        <v>3</v>
      </c>
      <c r="D402" s="33" t="str">
        <f ca="1">IFERROR(__xludf.DUMMYFUNCTION("""COMPUTED_VALUE"""),"NO")</f>
        <v>NO</v>
      </c>
      <c r="E402" s="33" t="str">
        <f ca="1">IFERROR(__xludf.DUMMYFUNCTION("""COMPUTED_VALUE"""),"Fuenlabrada")</f>
        <v>Fuenlabrada</v>
      </c>
      <c r="F402" s="57">
        <f ca="1">IFERROR(__xludf.DUMMYFUNCTION("""COMPUTED_VALUE"""),45744)</f>
        <v>45744</v>
      </c>
      <c r="G402" s="57">
        <f ca="1">IFERROR(__xludf.DUMMYFUNCTION("""COMPUTED_VALUE"""),45722)</f>
        <v>45722</v>
      </c>
      <c r="H402" s="33" t="str">
        <f ca="1">IFERROR(__xludf.DUMMYFUNCTION("""COMPUTED_VALUE"""),"Fuenlabrada")</f>
        <v>Fuenlabrada</v>
      </c>
      <c r="I402" s="33" t="str">
        <f ca="1">IFERROR(__xludf.DUMMYFUNCTION("""COMPUTED_VALUE"""),"C2025310124538784")</f>
        <v>C2025310124538784</v>
      </c>
      <c r="J402" s="33" t="str">
        <f ca="1">IFERROR(__xludf.DUMMYFUNCTION("""COMPUTED_VALUE"""),"MARI PAZ FERNANDEZ ZAFRA")</f>
        <v>MARI PAZ FERNANDEZ ZAFRA</v>
      </c>
      <c r="K402" s="33">
        <f ca="1">IFERROR(__xludf.DUMMYFUNCTION("""COMPUTED_VALUE"""),2)</f>
        <v>2</v>
      </c>
      <c r="L402" s="203">
        <f ca="1">IFERROR(__xludf.DUMMYFUNCTION("""COMPUTED_VALUE"""),4000)</f>
        <v>4000</v>
      </c>
      <c r="M402" s="33" t="str">
        <f ca="1">IFERROR(__xludf.DUMMYFUNCTION("""COMPUTED_VALUE"""),"03 ORL")</f>
        <v>03 ORL</v>
      </c>
      <c r="N402" s="33" t="str">
        <f ca="1">IFERROR(__xludf.DUMMYFUNCTION("""COMPUTED_VALUE"""),"06 ORL")</f>
        <v>06 ORL</v>
      </c>
      <c r="O402" s="33" t="str">
        <f ca="1">IFERROR(__xludf.DUMMYFUNCTION("""COMPUTED_VALUE"""),"Dra, María Teresa Herrera Mera")</f>
        <v>Dra, María Teresa Herrera Mera</v>
      </c>
      <c r="P402" s="33" t="str">
        <f ca="1">IFERROR(__xludf.DUMMYFUNCTION("""COMPUTED_VALUE"""),"Maika Blázquez (Madrid)")</f>
        <v>Maika Blázquez (Madrid)</v>
      </c>
    </row>
    <row r="403" spans="2:16">
      <c r="B403" s="33">
        <f ca="1">IFERROR(__xludf.DUMMYFUNCTION("""COMPUTED_VALUE"""),2025)</f>
        <v>2025</v>
      </c>
      <c r="C403" s="33">
        <f ca="1">IFERROR(__xludf.DUMMYFUNCTION("""COMPUTED_VALUE"""),3)</f>
        <v>3</v>
      </c>
      <c r="D403" s="33" t="str">
        <f ca="1">IFERROR(__xludf.DUMMYFUNCTION("""COMPUTED_VALUE"""),"NO")</f>
        <v>NO</v>
      </c>
      <c r="E403" s="33" t="str">
        <f ca="1">IFERROR(__xludf.DUMMYFUNCTION("""COMPUTED_VALUE"""),"Valencia- Cádiz")</f>
        <v>Valencia- Cádiz</v>
      </c>
      <c r="F403" s="57">
        <f ca="1">IFERROR(__xludf.DUMMYFUNCTION("""COMPUTED_VALUE"""),45744)</f>
        <v>45744</v>
      </c>
      <c r="G403" s="57">
        <f ca="1">IFERROR(__xludf.DUMMYFUNCTION("""COMPUTED_VALUE"""),45699)</f>
        <v>45699</v>
      </c>
      <c r="H403" s="33" t="str">
        <f ca="1">IFERROR(__xludf.DUMMYFUNCTION("""COMPUTED_VALUE"""),"Valencia- Cádiz")</f>
        <v>Valencia- Cádiz</v>
      </c>
      <c r="I403" s="33" t="str">
        <f ca="1">IFERROR(__xludf.DUMMYFUNCTION("""COMPUTED_VALUE"""),"C202521816271541")</f>
        <v>C202521816271541</v>
      </c>
      <c r="J403" s="33" t="str">
        <f ca="1">IFERROR(__xludf.DUMMYFUNCTION("""COMPUTED_VALUE"""),"JESSICA GARCIA LOPEZ")</f>
        <v>JESSICA GARCIA LOPEZ</v>
      </c>
      <c r="K403" s="33">
        <f ca="1">IFERROR(__xludf.DUMMYFUNCTION("""COMPUTED_VALUE"""),2)</f>
        <v>2</v>
      </c>
      <c r="L403" s="203">
        <f ca="1">IFERROR(__xludf.DUMMYFUNCTION("""COMPUTED_VALUE"""),4400)</f>
        <v>4400</v>
      </c>
      <c r="M403" s="33" t="str">
        <f ca="1">IFERROR(__xludf.DUMMYFUNCTION("""COMPUTED_VALUE"""),"03 ORL")</f>
        <v>03 ORL</v>
      </c>
      <c r="N403" s="33" t="str">
        <f ca="1">IFERROR(__xludf.DUMMYFUNCTION("""COMPUTED_VALUE"""),"06 ORL")</f>
        <v>06 ORL</v>
      </c>
      <c r="O403" s="33" t="str">
        <f ca="1">IFERROR(__xludf.DUMMYFUNCTION("""COMPUTED_VALUE"""),"Dr, Jaime Marco Algarra")</f>
        <v>Dr, Jaime Marco Algarra</v>
      </c>
      <c r="P403" s="33" t="str">
        <f ca="1">IFERROR(__xludf.DUMMYFUNCTION("""COMPUTED_VALUE"""),"Ramon Ferrando(Valencia)")</f>
        <v>Ramon Ferrando(Valencia)</v>
      </c>
    </row>
    <row r="404" spans="2:16">
      <c r="B404" s="33">
        <f ca="1">IFERROR(__xludf.DUMMYFUNCTION("""COMPUTED_VALUE"""),2025)</f>
        <v>2025</v>
      </c>
      <c r="C404" s="33">
        <f ca="1">IFERROR(__xludf.DUMMYFUNCTION("""COMPUTED_VALUE"""),3)</f>
        <v>3</v>
      </c>
      <c r="D404" s="33" t="str">
        <f ca="1">IFERROR(__xludf.DUMMYFUNCTION("""COMPUTED_VALUE"""),"NO")</f>
        <v>NO</v>
      </c>
      <c r="E404" s="33" t="str">
        <f ca="1">IFERROR(__xludf.DUMMYFUNCTION("""COMPUTED_VALUE"""),"Talavera")</f>
        <v>Talavera</v>
      </c>
      <c r="F404" s="57">
        <f ca="1">IFERROR(__xludf.DUMMYFUNCTION("""COMPUTED_VALUE"""),45744)</f>
        <v>45744</v>
      </c>
      <c r="G404" s="57">
        <f ca="1">IFERROR(__xludf.DUMMYFUNCTION("""COMPUTED_VALUE"""),45715)</f>
        <v>45715</v>
      </c>
      <c r="H404" s="33" t="str">
        <f ca="1">IFERROR(__xludf.DUMMYFUNCTION("""COMPUTED_VALUE"""),"Talavera")</f>
        <v>Talavera</v>
      </c>
      <c r="I404" s="33" t="str">
        <f ca="1">IFERROR(__xludf.DUMMYFUNCTION("""COMPUTED_VALUE"""),"C2025227107125")</f>
        <v>C2025227107125</v>
      </c>
      <c r="J404" s="33" t="str">
        <f ca="1">IFERROR(__xludf.DUMMYFUNCTION("""COMPUTED_VALUE"""),"MARIA DEL PRADO  GARCIA MUÑOZ")</f>
        <v>MARIA DEL PRADO  GARCIA MUÑOZ</v>
      </c>
      <c r="K404" s="33">
        <f ca="1">IFERROR(__xludf.DUMMYFUNCTION("""COMPUTED_VALUE"""),1)</f>
        <v>1</v>
      </c>
      <c r="L404" s="203">
        <f ca="1">IFERROR(__xludf.DUMMYFUNCTION("""COMPUTED_VALUE"""),2226.36)</f>
        <v>2226.36</v>
      </c>
      <c r="M404" s="33" t="str">
        <f ca="1">IFERROR(__xludf.DUMMYFUNCTION("""COMPUTED_VALUE"""),"03 ORL")</f>
        <v>03 ORL</v>
      </c>
      <c r="N404" s="33" t="str">
        <f ca="1">IFERROR(__xludf.DUMMYFUNCTION("""COMPUTED_VALUE"""),"06 ORL")</f>
        <v>06 ORL</v>
      </c>
      <c r="O404" s="33" t="str">
        <f ca="1">IFERROR(__xludf.DUMMYFUNCTION("""COMPUTED_VALUE"""),"Dr, Carlos Félix Asensio Nieto")</f>
        <v>Dr, Carlos Félix Asensio Nieto</v>
      </c>
      <c r="P404" s="33" t="str">
        <f ca="1">IFERROR(__xludf.DUMMYFUNCTION("""COMPUTED_VALUE"""),"Lisandro Russian (Madrid, Cáceres, Toledo, Talavera Y Logroño)")</f>
        <v>Lisandro Russian (Madrid, Cáceres, Toledo, Talavera Y Logroño)</v>
      </c>
    </row>
    <row r="405" spans="2:16">
      <c r="B405" s="33">
        <f ca="1">IFERROR(__xludf.DUMMYFUNCTION("""COMPUTED_VALUE"""),2025)</f>
        <v>2025</v>
      </c>
      <c r="C405" s="33">
        <f ca="1">IFERROR(__xludf.DUMMYFUNCTION("""COMPUTED_VALUE"""),3)</f>
        <v>3</v>
      </c>
      <c r="D405" s="33" t="str">
        <f ca="1">IFERROR(__xludf.DUMMYFUNCTION("""COMPUTED_VALUE"""),"NO")</f>
        <v>NO</v>
      </c>
      <c r="E405" s="33" t="str">
        <f ca="1">IFERROR(__xludf.DUMMYFUNCTION("""COMPUTED_VALUE"""),"Barcelona- Córcega")</f>
        <v>Barcelona- Córcega</v>
      </c>
      <c r="F405" s="57">
        <f ca="1">IFERROR(__xludf.DUMMYFUNCTION("""COMPUTED_VALUE"""),45747)</f>
        <v>45747</v>
      </c>
      <c r="G405" s="57">
        <f ca="1">IFERROR(__xludf.DUMMYFUNCTION("""COMPUTED_VALUE"""),45713)</f>
        <v>45713</v>
      </c>
      <c r="H405" s="33" t="str">
        <f ca="1">IFERROR(__xludf.DUMMYFUNCTION("""COMPUTED_VALUE"""),"Córcega")</f>
        <v>Córcega</v>
      </c>
      <c r="I405" s="33" t="str">
        <f ca="1">IFERROR(__xludf.DUMMYFUNCTION("""COMPUTED_VALUE"""),"C2025339451710")</f>
        <v>C2025339451710</v>
      </c>
      <c r="J405" s="33" t="str">
        <f ca="1">IFERROR(__xludf.DUMMYFUNCTION("""COMPUTED_VALUE"""),"ROSA MARIA MONTERO CAMPOS")</f>
        <v>ROSA MARIA MONTERO CAMPOS</v>
      </c>
      <c r="K405" s="33">
        <f ca="1">IFERROR(__xludf.DUMMYFUNCTION("""COMPUTED_VALUE"""),1)</f>
        <v>1</v>
      </c>
      <c r="L405" s="203">
        <f ca="1">IFERROR(__xludf.DUMMYFUNCTION("""COMPUTED_VALUE"""),2400)</f>
        <v>2400</v>
      </c>
      <c r="M405" s="33" t="str">
        <f ca="1">IFERROR(__xludf.DUMMYFUNCTION("""COMPUTED_VALUE"""),"03 ORL")</f>
        <v>03 ORL</v>
      </c>
      <c r="N405" s="33" t="str">
        <f ca="1">IFERROR(__xludf.DUMMYFUNCTION("""COMPUTED_VALUE"""),"06 ORL")</f>
        <v>06 ORL</v>
      </c>
      <c r="O405" s="33" t="str">
        <f ca="1">IFERROR(__xludf.DUMMYFUNCTION("""COMPUTED_VALUE"""),"Dr, Jesus-Maria Grasa Pérez")</f>
        <v>Dr, Jesus-Maria Grasa Pérez</v>
      </c>
      <c r="P405" s="33" t="str">
        <f ca="1">IFERROR(__xludf.DUMMYFUNCTION("""COMPUTED_VALUE"""),"Mercè Cabrera (Cataluña Y Baleares)")</f>
        <v>Mercè Cabrera (Cataluña Y Baleares)</v>
      </c>
    </row>
    <row r="406" spans="2:16">
      <c r="B406" s="33">
        <f ca="1">IFERROR(__xludf.DUMMYFUNCTION("""COMPUTED_VALUE"""),2025)</f>
        <v>2025</v>
      </c>
      <c r="C406" s="33">
        <f ca="1">IFERROR(__xludf.DUMMYFUNCTION("""COMPUTED_VALUE"""),3)</f>
        <v>3</v>
      </c>
      <c r="D406" s="33" t="str">
        <f ca="1">IFERROR(__xludf.DUMMYFUNCTION("""COMPUTED_VALUE"""),"NO")</f>
        <v>NO</v>
      </c>
      <c r="E406" s="33" t="str">
        <f ca="1">IFERROR(__xludf.DUMMYFUNCTION("""COMPUTED_VALUE"""),"Ourense")</f>
        <v>Ourense</v>
      </c>
      <c r="F406" s="57">
        <f ca="1">IFERROR(__xludf.DUMMYFUNCTION("""COMPUTED_VALUE"""),45747)</f>
        <v>45747</v>
      </c>
      <c r="G406" s="57">
        <f ca="1">IFERROR(__xludf.DUMMYFUNCTION("""COMPUTED_VALUE"""),45721)</f>
        <v>45721</v>
      </c>
      <c r="H406" s="33" t="str">
        <f ca="1">IFERROR(__xludf.DUMMYFUNCTION("""COMPUTED_VALUE"""),"Orense")</f>
        <v>Orense</v>
      </c>
      <c r="I406" s="33" t="str">
        <f ca="1">IFERROR(__xludf.DUMMYFUNCTION("""COMPUTED_VALUE"""),"C202531116110349")</f>
        <v>C202531116110349</v>
      </c>
      <c r="J406" s="33" t="str">
        <f ca="1">IFERROR(__xludf.DUMMYFUNCTION("""COMPUTED_VALUE"""),"MANUEL SALGUEIROS ALVAREZ")</f>
        <v>MANUEL SALGUEIROS ALVAREZ</v>
      </c>
      <c r="K406" s="33">
        <f ca="1">IFERROR(__xludf.DUMMYFUNCTION("""COMPUTED_VALUE"""),1)</f>
        <v>1</v>
      </c>
      <c r="L406" s="203">
        <f ca="1">IFERROR(__xludf.DUMMYFUNCTION("""COMPUTED_VALUE"""),1732.73)</f>
        <v>1732.73</v>
      </c>
      <c r="M406" s="33" t="str">
        <f ca="1">IFERROR(__xludf.DUMMYFUNCTION("""COMPUTED_VALUE"""),"03 ORL")</f>
        <v>03 ORL</v>
      </c>
      <c r="N406" s="33" t="str">
        <f ca="1">IFERROR(__xludf.DUMMYFUNCTION("""COMPUTED_VALUE"""),"06 ORL")</f>
        <v>06 ORL</v>
      </c>
      <c r="O406" s="33" t="str">
        <f ca="1">IFERROR(__xludf.DUMMYFUNCTION("""COMPUTED_VALUE"""),"Dra, María Rey Marcos")</f>
        <v>Dra, María Rey Marcos</v>
      </c>
      <c r="P406" s="33" t="str">
        <f ca="1">IFERROR(__xludf.DUMMYFUNCTION("""COMPUTED_VALUE"""),"Roberto Pereira (Galicia)")</f>
        <v>Roberto Pereira (Galicia)</v>
      </c>
    </row>
    <row r="407" spans="2:16">
      <c r="B407" s="33">
        <f ca="1">IFERROR(__xludf.DUMMYFUNCTION("""COMPUTED_VALUE"""),2025)</f>
        <v>2025</v>
      </c>
      <c r="C407" s="33">
        <f ca="1">IFERROR(__xludf.DUMMYFUNCTION("""COMPUTED_VALUE"""),3)</f>
        <v>3</v>
      </c>
      <c r="D407" s="33" t="str">
        <f ca="1">IFERROR(__xludf.DUMMYFUNCTION("""COMPUTED_VALUE"""),"NO")</f>
        <v>NO</v>
      </c>
      <c r="E407" s="33" t="str">
        <f ca="1">IFERROR(__xludf.DUMMYFUNCTION("""COMPUTED_VALUE"""),"Toledo")</f>
        <v>Toledo</v>
      </c>
      <c r="F407" s="57">
        <f ca="1">IFERROR(__xludf.DUMMYFUNCTION("""COMPUTED_VALUE"""),45747)</f>
        <v>45747</v>
      </c>
      <c r="G407" s="57">
        <f ca="1">IFERROR(__xludf.DUMMYFUNCTION("""COMPUTED_VALUE"""),45705)</f>
        <v>45705</v>
      </c>
      <c r="H407" s="33" t="str">
        <f ca="1">IFERROR(__xludf.DUMMYFUNCTION("""COMPUTED_VALUE"""),"Toledo")</f>
        <v>Toledo</v>
      </c>
      <c r="I407" s="33" t="str">
        <f ca="1">IFERROR(__xludf.DUMMYFUNCTION("""COMPUTED_VALUE"""),"C2025217182721340")</f>
        <v>C2025217182721340</v>
      </c>
      <c r="J407" s="33" t="str">
        <f ca="1">IFERROR(__xludf.DUMMYFUNCTION("""COMPUTED_VALUE"""),"JESUS NOMBELA PEREZ")</f>
        <v>JESUS NOMBELA PEREZ</v>
      </c>
      <c r="K407" s="33">
        <f ca="1">IFERROR(__xludf.DUMMYFUNCTION("""COMPUTED_VALUE"""),2)</f>
        <v>2</v>
      </c>
      <c r="L407" s="203">
        <f ca="1">IFERROR(__xludf.DUMMYFUNCTION("""COMPUTED_VALUE"""),3710)</f>
        <v>3710</v>
      </c>
      <c r="M407" s="33" t="str">
        <f ca="1">IFERROR(__xludf.DUMMYFUNCTION("""COMPUTED_VALUE"""),"03 ORL")</f>
        <v>03 ORL</v>
      </c>
      <c r="N407" s="33" t="str">
        <f ca="1">IFERROR(__xludf.DUMMYFUNCTION("""COMPUTED_VALUE"""),"06 ORL")</f>
        <v>06 ORL</v>
      </c>
      <c r="O407" s="33" t="str">
        <f ca="1">IFERROR(__xludf.DUMMYFUNCTION("""COMPUTED_VALUE"""),"Dra, María Garrote Garrote")</f>
        <v>Dra, María Garrote Garrote</v>
      </c>
      <c r="P407" s="33" t="str">
        <f ca="1">IFERROR(__xludf.DUMMYFUNCTION("""COMPUTED_VALUE"""),"Maika Blázquez (Madrid)")</f>
        <v>Maika Blázquez (Madrid)</v>
      </c>
    </row>
    <row r="408" spans="2:16">
      <c r="B408" s="33">
        <f ca="1">IFERROR(__xludf.DUMMYFUNCTION("""COMPUTED_VALUE"""),2025)</f>
        <v>2025</v>
      </c>
      <c r="C408" s="33">
        <f ca="1">IFERROR(__xludf.DUMMYFUNCTION("""COMPUTED_VALUE"""),3)</f>
        <v>3</v>
      </c>
      <c r="D408" s="33" t="str">
        <f ca="1">IFERROR(__xludf.DUMMYFUNCTION("""COMPUTED_VALUE"""),"NO")</f>
        <v>NO</v>
      </c>
      <c r="E408" s="33" t="str">
        <f ca="1">IFERROR(__xludf.DUMMYFUNCTION("""COMPUTED_VALUE"""),"Toledo")</f>
        <v>Toledo</v>
      </c>
      <c r="F408" s="57">
        <f ca="1">IFERROR(__xludf.DUMMYFUNCTION("""COMPUTED_VALUE"""),45747)</f>
        <v>45747</v>
      </c>
      <c r="G408" s="57">
        <f ca="1">IFERROR(__xludf.DUMMYFUNCTION("""COMPUTED_VALUE"""),45687)</f>
        <v>45687</v>
      </c>
      <c r="H408" s="33" t="str">
        <f ca="1">IFERROR(__xludf.DUMMYFUNCTION("""COMPUTED_VALUE"""),"Toledo")</f>
        <v>Toledo</v>
      </c>
      <c r="I408" s="33" t="str">
        <f ca="1">IFERROR(__xludf.DUMMYFUNCTION("""COMPUTED_VALUE"""),"C202513012919180")</f>
        <v>C202513012919180</v>
      </c>
      <c r="J408" s="33" t="str">
        <f ca="1">IFERROR(__xludf.DUMMYFUNCTION("""COMPUTED_VALUE"""),"JULIAN PINEL MORON")</f>
        <v>JULIAN PINEL MORON</v>
      </c>
      <c r="K408" s="33">
        <f ca="1">IFERROR(__xludf.DUMMYFUNCTION("""COMPUTED_VALUE"""),1)</f>
        <v>1</v>
      </c>
      <c r="L408" s="203">
        <f ca="1">IFERROR(__xludf.DUMMYFUNCTION("""COMPUTED_VALUE"""),1732.73)</f>
        <v>1732.73</v>
      </c>
      <c r="M408" s="33" t="str">
        <f ca="1">IFERROR(__xludf.DUMMYFUNCTION("""COMPUTED_VALUE"""),"03 ORL")</f>
        <v>03 ORL</v>
      </c>
      <c r="N408" s="33" t="str">
        <f ca="1">IFERROR(__xludf.DUMMYFUNCTION("""COMPUTED_VALUE"""),"06 ORL")</f>
        <v>06 ORL</v>
      </c>
      <c r="O408" s="33" t="str">
        <f ca="1">IFERROR(__xludf.DUMMYFUNCTION("""COMPUTED_VALUE"""),"Dra, María Garrote Garrote")</f>
        <v>Dra, María Garrote Garrote</v>
      </c>
      <c r="P408" s="33" t="str">
        <f ca="1">IFERROR(__xludf.DUMMYFUNCTION("""COMPUTED_VALUE"""),"Maika Blázquez (Madrid)")</f>
        <v>Maika Blázquez (Madrid)</v>
      </c>
    </row>
    <row r="409" spans="2:16">
      <c r="B409" s="33">
        <f ca="1">IFERROR(__xludf.DUMMYFUNCTION("""COMPUTED_VALUE"""),2025)</f>
        <v>2025</v>
      </c>
      <c r="C409" s="33">
        <f ca="1">IFERROR(__xludf.DUMMYFUNCTION("""COMPUTED_VALUE"""),3)</f>
        <v>3</v>
      </c>
      <c r="D409" s="33" t="str">
        <f ca="1">IFERROR(__xludf.DUMMYFUNCTION("""COMPUTED_VALUE"""),"NO")</f>
        <v>NO</v>
      </c>
      <c r="E409" s="33" t="str">
        <f ca="1">IFERROR(__xludf.DUMMYFUNCTION("""COMPUTED_VALUE"""),"Madrid- Canillas")</f>
        <v>Madrid- Canillas</v>
      </c>
      <c r="F409" s="57">
        <f ca="1">IFERROR(__xludf.DUMMYFUNCTION("""COMPUTED_VALUE"""),45747)</f>
        <v>45747</v>
      </c>
      <c r="G409" s="57">
        <f ca="1">IFERROR(__xludf.DUMMYFUNCTION("""COMPUTED_VALUE"""),45730)</f>
        <v>45730</v>
      </c>
      <c r="H409" s="33" t="str">
        <f ca="1">IFERROR(__xludf.DUMMYFUNCTION("""COMPUTED_VALUE"""),"Canillas")</f>
        <v>Canillas</v>
      </c>
      <c r="I409" s="33" t="str">
        <f ca="1">IFERROR(__xludf.DUMMYFUNCTION("""COMPUTED_VALUE"""),"C202532110322517")</f>
        <v>C202532110322517</v>
      </c>
      <c r="J409" s="33" t="str">
        <f ca="1">IFERROR(__xludf.DUMMYFUNCTION("""COMPUTED_VALUE"""),"ROSARIO  SANCHEZ-CAMBRONERO GONZÁLEZ-CARRATO")</f>
        <v>ROSARIO  SANCHEZ-CAMBRONERO GONZÁLEZ-CARRATO</v>
      </c>
      <c r="K409" s="33">
        <f ca="1">IFERROR(__xludf.DUMMYFUNCTION("""COMPUTED_VALUE"""),2)</f>
        <v>2</v>
      </c>
      <c r="L409" s="203">
        <f ca="1">IFERROR(__xludf.DUMMYFUNCTION("""COMPUTED_VALUE"""),2579.09)</f>
        <v>2579.09</v>
      </c>
      <c r="M409" s="33" t="str">
        <f ca="1">IFERROR(__xludf.DUMMYFUNCTION("""COMPUTED_VALUE"""),"03 ORL")</f>
        <v>03 ORL</v>
      </c>
      <c r="N409" s="33" t="str">
        <f ca="1">IFERROR(__xludf.DUMMYFUNCTION("""COMPUTED_VALUE"""),"06 ORL")</f>
        <v>06 ORL</v>
      </c>
      <c r="O409" s="33" t="str">
        <f ca="1">IFERROR(__xludf.DUMMYFUNCTION("""COMPUTED_VALUE"""),"Dr, José Gustavo Barroso Braojos")</f>
        <v>Dr, José Gustavo Barroso Braojos</v>
      </c>
      <c r="P409" s="33" t="str">
        <f ca="1">IFERROR(__xludf.DUMMYFUNCTION("""COMPUTED_VALUE"""),"Maika Blázquez (Madrid)")</f>
        <v>Maika Blázquez (Madrid)</v>
      </c>
    </row>
    <row r="410" spans="2:16">
      <c r="B410" s="33">
        <f ca="1">IFERROR(__xludf.DUMMYFUNCTION("""COMPUTED_VALUE"""),2025)</f>
        <v>2025</v>
      </c>
      <c r="C410" s="33">
        <f ca="1">IFERROR(__xludf.DUMMYFUNCTION("""COMPUTED_VALUE"""),3)</f>
        <v>3</v>
      </c>
      <c r="D410" s="33" t="str">
        <f ca="1">IFERROR(__xludf.DUMMYFUNCTION("""COMPUTED_VALUE"""),"NO")</f>
        <v>NO</v>
      </c>
      <c r="E410" s="33" t="str">
        <f ca="1">IFERROR(__xludf.DUMMYFUNCTION("""COMPUTED_VALUE"""),"Sevilla- Montoto")</f>
        <v>Sevilla- Montoto</v>
      </c>
      <c r="F410" s="57">
        <f ca="1">IFERROR(__xludf.DUMMYFUNCTION("""COMPUTED_VALUE"""),45747)</f>
        <v>45747</v>
      </c>
      <c r="G410" s="57">
        <f ca="1">IFERROR(__xludf.DUMMYFUNCTION("""COMPUTED_VALUE"""),45719)</f>
        <v>45719</v>
      </c>
      <c r="H410" s="33" t="str">
        <f ca="1">IFERROR(__xludf.DUMMYFUNCTION("""COMPUTED_VALUE"""),"Montoto")</f>
        <v>Montoto</v>
      </c>
      <c r="I410" s="33" t="str">
        <f ca="1">IFERROR(__xludf.DUMMYFUNCTION("""COMPUTED_VALUE"""),"C202537113048231")</f>
        <v>C202537113048231</v>
      </c>
      <c r="J410" s="33" t="str">
        <f ca="1">IFERROR(__xludf.DUMMYFUNCTION("""COMPUTED_VALUE"""),"ISABEL MIRANDA CANO")</f>
        <v>ISABEL MIRANDA CANO</v>
      </c>
      <c r="K410" s="33">
        <f ca="1">IFERROR(__xludf.DUMMYFUNCTION("""COMPUTED_VALUE"""),2)</f>
        <v>2</v>
      </c>
      <c r="L410" s="203">
        <f ca="1">IFERROR(__xludf.DUMMYFUNCTION("""COMPUTED_VALUE"""),2888.18)</f>
        <v>2888.18</v>
      </c>
      <c r="M410" s="33" t="str">
        <f ca="1">IFERROR(__xludf.DUMMYFUNCTION("""COMPUTED_VALUE"""),"03 ORL")</f>
        <v>03 ORL</v>
      </c>
      <c r="N410" s="33" t="str">
        <f ca="1">IFERROR(__xludf.DUMMYFUNCTION("""COMPUTED_VALUE"""),"06 ORL")</f>
        <v>06 ORL</v>
      </c>
      <c r="O410" s="33" t="str">
        <f ca="1">IFERROR(__xludf.DUMMYFUNCTION("""COMPUTED_VALUE"""),"Dr, Juan Maza Solano")</f>
        <v>Dr, Juan Maza Solano</v>
      </c>
      <c r="P410" s="33" t="str">
        <f ca="1">IFERROR(__xludf.DUMMYFUNCTION("""COMPUTED_VALUE"""),"Luis Alberto Rodríguez (Andalucía Y Badajoz)")</f>
        <v>Luis Alberto Rodríguez (Andalucía Y Badajoz)</v>
      </c>
    </row>
    <row r="411" spans="2:16">
      <c r="B411" s="33">
        <f ca="1">IFERROR(__xludf.DUMMYFUNCTION("""COMPUTED_VALUE"""),2025)</f>
        <v>2025</v>
      </c>
      <c r="C411" s="33">
        <f ca="1">IFERROR(__xludf.DUMMYFUNCTION("""COMPUTED_VALUE"""),3)</f>
        <v>3</v>
      </c>
      <c r="D411" s="33" t="str">
        <f ca="1">IFERROR(__xludf.DUMMYFUNCTION("""COMPUTED_VALUE"""),"NO")</f>
        <v>NO</v>
      </c>
      <c r="E411" s="33" t="str">
        <f ca="1">IFERROR(__xludf.DUMMYFUNCTION("""COMPUTED_VALUE"""),"Madrid- Moratalaz")</f>
        <v>Madrid- Moratalaz</v>
      </c>
      <c r="F411" s="57">
        <f ca="1">IFERROR(__xludf.DUMMYFUNCTION("""COMPUTED_VALUE"""),45747)</f>
        <v>45747</v>
      </c>
      <c r="G411" s="57">
        <f ca="1">IFERROR(__xludf.DUMMYFUNCTION("""COMPUTED_VALUE"""),45726)</f>
        <v>45726</v>
      </c>
      <c r="H411" s="33" t="str">
        <f ca="1">IFERROR(__xludf.DUMMYFUNCTION("""COMPUTED_VALUE"""),"Moratalaz")</f>
        <v>Moratalaz</v>
      </c>
      <c r="I411" s="33" t="str">
        <f ca="1">IFERROR(__xludf.DUMMYFUNCTION("""COMPUTED_VALUE"""),"C2025317105344353")</f>
        <v>C2025317105344353</v>
      </c>
      <c r="J411" s="33" t="str">
        <f ca="1">IFERROR(__xludf.DUMMYFUNCTION("""COMPUTED_VALUE"""),"ENRIQUE VEGA PASCUAL")</f>
        <v>ENRIQUE VEGA PASCUAL</v>
      </c>
      <c r="K411" s="33">
        <f ca="1">IFERROR(__xludf.DUMMYFUNCTION("""COMPUTED_VALUE"""),2)</f>
        <v>2</v>
      </c>
      <c r="L411" s="203">
        <f ca="1">IFERROR(__xludf.DUMMYFUNCTION("""COMPUTED_VALUE"""),4000)</f>
        <v>4000</v>
      </c>
      <c r="M411" s="33" t="str">
        <f ca="1">IFERROR(__xludf.DUMMYFUNCTION("""COMPUTED_VALUE"""),"03 ORL")</f>
        <v>03 ORL</v>
      </c>
      <c r="N411" s="33" t="str">
        <f ca="1">IFERROR(__xludf.DUMMYFUNCTION("""COMPUTED_VALUE"""),"06 ORL")</f>
        <v>06 ORL</v>
      </c>
      <c r="O411" s="33" t="str">
        <f ca="1">IFERROR(__xludf.DUMMYFUNCTION("""COMPUTED_VALUE"""),"Dra, Laura Yeguas Ramírez")</f>
        <v>Dra, Laura Yeguas Ramírez</v>
      </c>
      <c r="P411" s="33" t="str">
        <f ca="1">IFERROR(__xludf.DUMMYFUNCTION("""COMPUTED_VALUE"""),"Maika Blázquez (Madrid)")</f>
        <v>Maika Blázquez (Madrid)</v>
      </c>
    </row>
    <row r="412" spans="2:16">
      <c r="B412" s="33">
        <f ca="1">IFERROR(__xludf.DUMMYFUNCTION("""COMPUTED_VALUE"""),2025)</f>
        <v>2025</v>
      </c>
      <c r="C412" s="33">
        <f ca="1">IFERROR(__xludf.DUMMYFUNCTION("""COMPUTED_VALUE"""),3)</f>
        <v>3</v>
      </c>
      <c r="D412" s="33" t="str">
        <f ca="1">IFERROR(__xludf.DUMMYFUNCTION("""COMPUTED_VALUE"""),"NO")</f>
        <v>NO</v>
      </c>
      <c r="E412" s="33" t="str">
        <f ca="1">IFERROR(__xludf.DUMMYFUNCTION("""COMPUTED_VALUE"""),"Albacete")</f>
        <v>Albacete</v>
      </c>
      <c r="F412" s="57">
        <f ca="1">IFERROR(__xludf.DUMMYFUNCTION("""COMPUTED_VALUE"""),45747)</f>
        <v>45747</v>
      </c>
      <c r="G412" s="57">
        <f ca="1">IFERROR(__xludf.DUMMYFUNCTION("""COMPUTED_VALUE"""),45728)</f>
        <v>45728</v>
      </c>
      <c r="H412" s="33" t="str">
        <f ca="1">IFERROR(__xludf.DUMMYFUNCTION("""COMPUTED_VALUE"""),"Albacete")</f>
        <v>Albacete</v>
      </c>
      <c r="I412" s="33" t="str">
        <f ca="1">IFERROR(__xludf.DUMMYFUNCTION("""COMPUTED_VALUE"""),"C202531216280481")</f>
        <v>C202531216280481</v>
      </c>
      <c r="J412" s="33" t="str">
        <f ca="1">IFERROR(__xludf.DUMMYFUNCTION("""COMPUTED_VALUE"""),"JOSÉ AGUSTIN CLEMENTE MARTÍNEZ")</f>
        <v>JOSÉ AGUSTIN CLEMENTE MARTÍNEZ</v>
      </c>
      <c r="K412" s="33">
        <f ca="1">IFERROR(__xludf.DUMMYFUNCTION("""COMPUTED_VALUE"""),1)</f>
        <v>1</v>
      </c>
      <c r="L412" s="203">
        <f ca="1">IFERROR(__xludf.DUMMYFUNCTION("""COMPUTED_VALUE"""),2400)</f>
        <v>2400</v>
      </c>
      <c r="M412" s="33" t="str">
        <f ca="1">IFERROR(__xludf.DUMMYFUNCTION("""COMPUTED_VALUE"""),"03 ORL")</f>
        <v>03 ORL</v>
      </c>
      <c r="N412" s="33" t="str">
        <f ca="1">IFERROR(__xludf.DUMMYFUNCTION("""COMPUTED_VALUE"""),"22 AUDIOMETRIA CLINICA")</f>
        <v>22 AUDIOMETRIA CLINICA</v>
      </c>
      <c r="O412" s="33" t="str">
        <f ca="1">IFERROR(__xludf.DUMMYFUNCTION("""COMPUTED_VALUE"""),"Dra, Alejandra Jara Maquilón")</f>
        <v>Dra, Alejandra Jara Maquilón</v>
      </c>
      <c r="P412" s="33" t="str">
        <f ca="1">IFERROR(__xludf.DUMMYFUNCTION("""COMPUTED_VALUE"""),"Iván Sánchez (Levante Y Albacete)")</f>
        <v>Iván Sánchez (Levante Y Albacete)</v>
      </c>
    </row>
    <row r="413" spans="2:16">
      <c r="B413" s="33">
        <f ca="1">IFERROR(__xludf.DUMMYFUNCTION("""COMPUTED_VALUE"""),2025)</f>
        <v>2025</v>
      </c>
      <c r="C413" s="33">
        <f ca="1">IFERROR(__xludf.DUMMYFUNCTION("""COMPUTED_VALUE"""),3)</f>
        <v>3</v>
      </c>
      <c r="D413" s="33" t="str">
        <f ca="1">IFERROR(__xludf.DUMMYFUNCTION("""COMPUTED_VALUE"""),"NO")</f>
        <v>NO</v>
      </c>
      <c r="E413" s="33" t="str">
        <f ca="1">IFERROR(__xludf.DUMMYFUNCTION("""COMPUTED_VALUE"""),"Alicante")</f>
        <v>Alicante</v>
      </c>
      <c r="F413" s="57">
        <f ca="1">IFERROR(__xludf.DUMMYFUNCTION("""COMPUTED_VALUE"""),45747)</f>
        <v>45747</v>
      </c>
      <c r="G413" s="57">
        <f ca="1">IFERROR(__xludf.DUMMYFUNCTION("""COMPUTED_VALUE"""),45687)</f>
        <v>45687</v>
      </c>
      <c r="H413" s="33" t="str">
        <f ca="1">IFERROR(__xludf.DUMMYFUNCTION("""COMPUTED_VALUE"""),"Alicante")</f>
        <v>Alicante</v>
      </c>
      <c r="I413" s="33" t="str">
        <f ca="1">IFERROR(__xludf.DUMMYFUNCTION("""COMPUTED_VALUE"""),"C202521910040865")</f>
        <v>C202521910040865</v>
      </c>
      <c r="J413" s="33" t="str">
        <f ca="1">IFERROR(__xludf.DUMMYFUNCTION("""COMPUTED_VALUE"""),"MARIA FUENTES ZAMORA")</f>
        <v>MARIA FUENTES ZAMORA</v>
      </c>
      <c r="K413" s="33">
        <f ca="1">IFERROR(__xludf.DUMMYFUNCTION("""COMPUTED_VALUE"""),2)</f>
        <v>2</v>
      </c>
      <c r="L413" s="203">
        <f ca="1">IFERROR(__xludf.DUMMYFUNCTION("""COMPUTED_VALUE"""),2743.77)</f>
        <v>2743.77</v>
      </c>
      <c r="M413" s="33" t="str">
        <f ca="1">IFERROR(__xludf.DUMMYFUNCTION("""COMPUTED_VALUE"""),"03 ORL")</f>
        <v>03 ORL</v>
      </c>
      <c r="N413" s="33" t="str">
        <f ca="1">IFERROR(__xludf.DUMMYFUNCTION("""COMPUTED_VALUE"""),"06 ORL")</f>
        <v>06 ORL</v>
      </c>
      <c r="O413" s="33" t="str">
        <f ca="1">IFERROR(__xludf.DUMMYFUNCTION("""COMPUTED_VALUE"""),"Dr, Guillermo Severá Ferrándiz")</f>
        <v>Dr, Guillermo Severá Ferrándiz</v>
      </c>
      <c r="P413" s="33" t="str">
        <f ca="1">IFERROR(__xludf.DUMMYFUNCTION("""COMPUTED_VALUE"""),"Iván Sánchez (Levante Y Albacete)")</f>
        <v>Iván Sánchez (Levante Y Albacete)</v>
      </c>
    </row>
    <row r="414" spans="2:16">
      <c r="B414" s="33">
        <f ca="1">IFERROR(__xludf.DUMMYFUNCTION("""COMPUTED_VALUE"""),2025)</f>
        <v>2025</v>
      </c>
      <c r="C414" s="33">
        <f ca="1">IFERROR(__xludf.DUMMYFUNCTION("""COMPUTED_VALUE"""),3)</f>
        <v>3</v>
      </c>
      <c r="D414" s="33" t="str">
        <f ca="1">IFERROR(__xludf.DUMMYFUNCTION("""COMPUTED_VALUE"""),"SI")</f>
        <v>SI</v>
      </c>
      <c r="E414" s="33" t="str">
        <f ca="1">IFERROR(__xludf.DUMMYFUNCTION("""COMPUTED_VALUE"""),"Madrid- Canillas")</f>
        <v>Madrid- Canillas</v>
      </c>
      <c r="F414" s="57">
        <f ca="1">IFERROR(__xludf.DUMMYFUNCTION("""COMPUTED_VALUE"""),45747)</f>
        <v>45747</v>
      </c>
      <c r="G414" s="57">
        <f ca="1">IFERROR(__xludf.DUMMYFUNCTION("""COMPUTED_VALUE"""),45043)</f>
        <v>45043</v>
      </c>
      <c r="H414" s="33" t="str">
        <f ca="1">IFERROR(__xludf.DUMMYFUNCTION("""COMPUTED_VALUE"""),"Canillas")</f>
        <v>Canillas</v>
      </c>
      <c r="I414" s="33" t="str">
        <f ca="1">IFERROR(__xludf.DUMMYFUNCTION("""COMPUTED_VALUE"""),"HOR-825")</f>
        <v>HOR-825</v>
      </c>
      <c r="J414" s="33" t="str">
        <f ca="1">IFERROR(__xludf.DUMMYFUNCTION("""COMPUTED_VALUE"""),"CATALINA CASTILLO RUBIO")</f>
        <v>CATALINA CASTILLO RUBIO</v>
      </c>
      <c r="K414" s="33">
        <f ca="1">IFERROR(__xludf.DUMMYFUNCTION("""COMPUTED_VALUE"""),1)</f>
        <v>1</v>
      </c>
      <c r="L414" s="203">
        <f ca="1">IFERROR(__xludf.DUMMYFUNCTION("""COMPUTED_VALUE"""),1732.73)</f>
        <v>1732.73</v>
      </c>
      <c r="M414" s="33" t="str">
        <f ca="1">IFERROR(__xludf.DUMMYFUNCTION("""COMPUTED_VALUE"""),"03 ORL")</f>
        <v>03 ORL</v>
      </c>
      <c r="N414" s="33" t="str">
        <f ca="1">IFERROR(__xludf.DUMMYFUNCTION("""COMPUTED_VALUE"""),"06 ORL")</f>
        <v>06 ORL</v>
      </c>
      <c r="O414" s="33" t="str">
        <f ca="1">IFERROR(__xludf.DUMMYFUNCTION("""COMPUTED_VALUE"""),"Dr, Raúl Del Castillo López")</f>
        <v>Dr, Raúl Del Castillo López</v>
      </c>
      <c r="P414" s="33" t="str">
        <f ca="1">IFERROR(__xludf.DUMMYFUNCTION("""COMPUTED_VALUE"""),"Maika Blázquez (Madrid)")</f>
        <v>Maika Blázquez (Madrid)</v>
      </c>
    </row>
    <row r="415" spans="2:16">
      <c r="B415" s="33">
        <f ca="1">IFERROR(__xludf.DUMMYFUNCTION("""COMPUTED_VALUE"""),2025)</f>
        <v>2025</v>
      </c>
      <c r="C415" s="33">
        <f ca="1">IFERROR(__xludf.DUMMYFUNCTION("""COMPUTED_VALUE"""),3)</f>
        <v>3</v>
      </c>
      <c r="D415" s="33" t="str">
        <f ca="1">IFERROR(__xludf.DUMMYFUNCTION("""COMPUTED_VALUE"""),"NO")</f>
        <v>NO</v>
      </c>
      <c r="E415" s="33" t="str">
        <f ca="1">IFERROR(__xludf.DUMMYFUNCTION("""COMPUTED_VALUE"""),"Santiago de Compostela")</f>
        <v>Santiago de Compostela</v>
      </c>
      <c r="F415" s="57">
        <f ca="1">IFERROR(__xludf.DUMMYFUNCTION("""COMPUTED_VALUE"""),45747)</f>
        <v>45747</v>
      </c>
      <c r="G415" s="57">
        <f ca="1">IFERROR(__xludf.DUMMYFUNCTION("""COMPUTED_VALUE"""),45707)</f>
        <v>45707</v>
      </c>
      <c r="H415" s="33" t="str">
        <f ca="1">IFERROR(__xludf.DUMMYFUNCTION("""COMPUTED_VALUE"""),"Santiago")</f>
        <v>Santiago</v>
      </c>
      <c r="I415" s="33" t="str">
        <f ca="1">IFERROR(__xludf.DUMMYFUNCTION("""COMPUTED_VALUE"""),"C202522892553921")</f>
        <v>C202522892553921</v>
      </c>
      <c r="J415" s="33" t="str">
        <f ca="1">IFERROR(__xludf.DUMMYFUNCTION("""COMPUTED_VALUE"""),"JUAN LUIS RAMIL MORENO")</f>
        <v>JUAN LUIS RAMIL MORENO</v>
      </c>
      <c r="K415" s="33">
        <f ca="1">IFERROR(__xludf.DUMMYFUNCTION("""COMPUTED_VALUE"""),2)</f>
        <v>2</v>
      </c>
      <c r="L415" s="203">
        <f ca="1">IFERROR(__xludf.DUMMYFUNCTION("""COMPUTED_VALUE"""),3681.82)</f>
        <v>3681.82</v>
      </c>
      <c r="M415" s="33" t="str">
        <f ca="1">IFERROR(__xludf.DUMMYFUNCTION("""COMPUTED_VALUE"""),"03 ORL")</f>
        <v>03 ORL</v>
      </c>
      <c r="N415" s="33" t="str">
        <f ca="1">IFERROR(__xludf.DUMMYFUNCTION("""COMPUTED_VALUE"""),"06 ORL")</f>
        <v>06 ORL</v>
      </c>
      <c r="O415" s="33" t="str">
        <f ca="1">IFERROR(__xludf.DUMMYFUNCTION("""COMPUTED_VALUE"""),"Dr, Joaquín Guerra Gómez")</f>
        <v>Dr, Joaquín Guerra Gómez</v>
      </c>
      <c r="P415" s="33" t="str">
        <f ca="1">IFERROR(__xludf.DUMMYFUNCTION("""COMPUTED_VALUE"""),"Roberto Pereira (Galicia)")</f>
        <v>Roberto Pereira (Galicia)</v>
      </c>
    </row>
    <row r="416" spans="2:16">
      <c r="B416" s="33">
        <f ca="1">IFERROR(__xludf.DUMMYFUNCTION("""COMPUTED_VALUE"""),2025)</f>
        <v>2025</v>
      </c>
      <c r="C416" s="33">
        <f ca="1">IFERROR(__xludf.DUMMYFUNCTION("""COMPUTED_VALUE"""),3)</f>
        <v>3</v>
      </c>
      <c r="D416" s="33" t="str">
        <f ca="1">IFERROR(__xludf.DUMMYFUNCTION("""COMPUTED_VALUE"""),"NO")</f>
        <v>NO</v>
      </c>
      <c r="E416" s="33" t="str">
        <f ca="1">IFERROR(__xludf.DUMMYFUNCTION("""COMPUTED_VALUE"""),"Madrid- Canillas")</f>
        <v>Madrid- Canillas</v>
      </c>
      <c r="F416" s="57">
        <f ca="1">IFERROR(__xludf.DUMMYFUNCTION("""COMPUTED_VALUE"""),45747)</f>
        <v>45747</v>
      </c>
      <c r="G416" s="57">
        <f ca="1">IFERROR(__xludf.DUMMYFUNCTION("""COMPUTED_VALUE"""),45723)</f>
        <v>45723</v>
      </c>
      <c r="H416" s="33" t="str">
        <f ca="1">IFERROR(__xludf.DUMMYFUNCTION("""COMPUTED_VALUE"""),"Canillas")</f>
        <v>Canillas</v>
      </c>
      <c r="I416" s="33" t="str">
        <f ca="1">IFERROR(__xludf.DUMMYFUNCTION("""COMPUTED_VALUE"""),"C202531416348319")</f>
        <v>C202531416348319</v>
      </c>
      <c r="J416" s="33" t="str">
        <f ca="1">IFERROR(__xludf.DUMMYFUNCTION("""COMPUTED_VALUE"""),"MARGARITA MARTIN FERNANDEZ")</f>
        <v>MARGARITA MARTIN FERNANDEZ</v>
      </c>
      <c r="K416" s="33">
        <f ca="1">IFERROR(__xludf.DUMMYFUNCTION("""COMPUTED_VALUE"""),2)</f>
        <v>2</v>
      </c>
      <c r="L416" s="203">
        <f ca="1">IFERROR(__xludf.DUMMYFUNCTION("""COMPUTED_VALUE"""),4000)</f>
        <v>4000</v>
      </c>
      <c r="M416" s="33" t="str">
        <f ca="1">IFERROR(__xludf.DUMMYFUNCTION("""COMPUTED_VALUE"""),"03 ORL")</f>
        <v>03 ORL</v>
      </c>
      <c r="N416" s="33" t="str">
        <f ca="1">IFERROR(__xludf.DUMMYFUNCTION("""COMPUTED_VALUE"""),"06 ORL")</f>
        <v>06 ORL</v>
      </c>
      <c r="O416" s="33" t="str">
        <f ca="1">IFERROR(__xludf.DUMMYFUNCTION("""COMPUTED_VALUE"""),"Dr, José Gustavo Barroso Braojos")</f>
        <v>Dr, José Gustavo Barroso Braojos</v>
      </c>
      <c r="P416" s="33" t="str">
        <f ca="1">IFERROR(__xludf.DUMMYFUNCTION("""COMPUTED_VALUE"""),"Maika Blázquez (Madrid)")</f>
        <v>Maika Blázquez (Madrid)</v>
      </c>
    </row>
    <row r="417" spans="2:16">
      <c r="B417" s="33">
        <f ca="1">IFERROR(__xludf.DUMMYFUNCTION("""COMPUTED_VALUE"""),2025)</f>
        <v>2025</v>
      </c>
      <c r="C417" s="33">
        <f ca="1">IFERROR(__xludf.DUMMYFUNCTION("""COMPUTED_VALUE"""),3)</f>
        <v>3</v>
      </c>
      <c r="D417" s="33" t="str">
        <f ca="1">IFERROR(__xludf.DUMMYFUNCTION("""COMPUTED_VALUE"""),"NO")</f>
        <v>NO</v>
      </c>
      <c r="E417" s="33" t="str">
        <f ca="1">IFERROR(__xludf.DUMMYFUNCTION("""COMPUTED_VALUE"""),"Madrid- Canillas")</f>
        <v>Madrid- Canillas</v>
      </c>
      <c r="F417" s="57">
        <f ca="1">IFERROR(__xludf.DUMMYFUNCTION("""COMPUTED_VALUE"""),45747)</f>
        <v>45747</v>
      </c>
      <c r="G417" s="57">
        <f ca="1">IFERROR(__xludf.DUMMYFUNCTION("""COMPUTED_VALUE"""),45714)</f>
        <v>45714</v>
      </c>
      <c r="H417" s="33" t="str">
        <f ca="1">IFERROR(__xludf.DUMMYFUNCTION("""COMPUTED_VALUE"""),"Canillas")</f>
        <v>Canillas</v>
      </c>
      <c r="I417" s="33" t="str">
        <f ca="1">IFERROR(__xludf.DUMMYFUNCTION("""COMPUTED_VALUE"""),"C20253111124487")</f>
        <v>C20253111124487</v>
      </c>
      <c r="J417" s="33" t="str">
        <f ca="1">IFERROR(__xludf.DUMMYFUNCTION("""COMPUTED_VALUE"""),"JUAN CARLOS MARTÍN BARRENO")</f>
        <v>JUAN CARLOS MARTÍN BARRENO</v>
      </c>
      <c r="K417" s="33">
        <f ca="1">IFERROR(__xludf.DUMMYFUNCTION("""COMPUTED_VALUE"""),2)</f>
        <v>2</v>
      </c>
      <c r="L417" s="203">
        <f ca="1">IFERROR(__xludf.DUMMYFUNCTION("""COMPUTED_VALUE"""),4000)</f>
        <v>4000</v>
      </c>
      <c r="M417" s="33" t="str">
        <f ca="1">IFERROR(__xludf.DUMMYFUNCTION("""COMPUTED_VALUE"""),"03 ORL")</f>
        <v>03 ORL</v>
      </c>
      <c r="N417" s="33" t="str">
        <f ca="1">IFERROR(__xludf.DUMMYFUNCTION("""COMPUTED_VALUE"""),"06 ORL")</f>
        <v>06 ORL</v>
      </c>
      <c r="O417" s="33" t="str">
        <f ca="1">IFERROR(__xludf.DUMMYFUNCTION("""COMPUTED_VALUE"""),"Dr, José Gustavo Barroso Braojos")</f>
        <v>Dr, José Gustavo Barroso Braojos</v>
      </c>
      <c r="P417" s="33" t="str">
        <f ca="1">IFERROR(__xludf.DUMMYFUNCTION("""COMPUTED_VALUE"""),"Maika Blázquez (Madrid)")</f>
        <v>Maika Blázquez (Madrid)</v>
      </c>
    </row>
    <row r="418" spans="2:16">
      <c r="B418" s="33">
        <f ca="1">IFERROR(__xludf.DUMMYFUNCTION("""COMPUTED_VALUE"""),2025)</f>
        <v>2025</v>
      </c>
      <c r="C418" s="33">
        <f ca="1">IFERROR(__xludf.DUMMYFUNCTION("""COMPUTED_VALUE"""),3)</f>
        <v>3</v>
      </c>
      <c r="D418" s="33" t="str">
        <f ca="1">IFERROR(__xludf.DUMMYFUNCTION("""COMPUTED_VALUE"""),"NO")</f>
        <v>NO</v>
      </c>
      <c r="E418" s="33" t="str">
        <f ca="1">IFERROR(__xludf.DUMMYFUNCTION("""COMPUTED_VALUE"""),"Alcorcón")</f>
        <v>Alcorcón</v>
      </c>
      <c r="F418" s="57">
        <f ca="1">IFERROR(__xludf.DUMMYFUNCTION("""COMPUTED_VALUE"""),45747)</f>
        <v>45747</v>
      </c>
      <c r="G418" s="57">
        <f ca="1">IFERROR(__xludf.DUMMYFUNCTION("""COMPUTED_VALUE"""),45730)</f>
        <v>45730</v>
      </c>
      <c r="H418" s="33" t="str">
        <f ca="1">IFERROR(__xludf.DUMMYFUNCTION("""COMPUTED_VALUE"""),"Alcorcón")</f>
        <v>Alcorcón</v>
      </c>
      <c r="I418" s="33" t="str">
        <f ca="1">IFERROR(__xludf.DUMMYFUNCTION("""COMPUTED_VALUE"""),"C2025319111757105")</f>
        <v>C2025319111757105</v>
      </c>
      <c r="J418" s="33" t="str">
        <f ca="1">IFERROR(__xludf.DUMMYFUNCTION("""COMPUTED_VALUE"""),"MARIA LUISA RAMIREZ GARCÍA")</f>
        <v>MARIA LUISA RAMIREZ GARCÍA</v>
      </c>
      <c r="K418" s="33">
        <f ca="1">IFERROR(__xludf.DUMMYFUNCTION("""COMPUTED_VALUE"""),2)</f>
        <v>2</v>
      </c>
      <c r="L418" s="203">
        <f ca="1">IFERROR(__xludf.DUMMYFUNCTION("""COMPUTED_VALUE"""),2888.18)</f>
        <v>2888.18</v>
      </c>
      <c r="M418" s="33" t="str">
        <f ca="1">IFERROR(__xludf.DUMMYFUNCTION("""COMPUTED_VALUE"""),"03 ORL")</f>
        <v>03 ORL</v>
      </c>
      <c r="N418" s="33" t="str">
        <f ca="1">IFERROR(__xludf.DUMMYFUNCTION("""COMPUTED_VALUE"""),"06 ORL")</f>
        <v>06 ORL</v>
      </c>
      <c r="O418" s="33" t="str">
        <f ca="1">IFERROR(__xludf.DUMMYFUNCTION("""COMPUTED_VALUE"""),"Dr, Raimundo Gómez-Blasi")</f>
        <v>Dr, Raimundo Gómez-Blasi</v>
      </c>
      <c r="P418" s="33" t="str">
        <f ca="1">IFERROR(__xludf.DUMMYFUNCTION("""COMPUTED_VALUE"""),"Maika Blázquez (Madrid)")</f>
        <v>Maika Blázquez (Madrid)</v>
      </c>
    </row>
    <row r="419" spans="2:16">
      <c r="B419" s="33">
        <f ca="1">IFERROR(__xludf.DUMMYFUNCTION("""COMPUTED_VALUE"""),2025)</f>
        <v>2025</v>
      </c>
      <c r="C419" s="33">
        <f ca="1">IFERROR(__xludf.DUMMYFUNCTION("""COMPUTED_VALUE"""),3)</f>
        <v>3</v>
      </c>
      <c r="D419" s="33" t="str">
        <f ca="1">IFERROR(__xludf.DUMMYFUNCTION("""COMPUTED_VALUE"""),"NO")</f>
        <v>NO</v>
      </c>
      <c r="E419" s="33" t="str">
        <f ca="1">IFERROR(__xludf.DUMMYFUNCTION("""COMPUTED_VALUE"""),"Orihuela")</f>
        <v>Orihuela</v>
      </c>
      <c r="F419" s="57">
        <f ca="1">IFERROR(__xludf.DUMMYFUNCTION("""COMPUTED_VALUE"""),45747)</f>
        <v>45747</v>
      </c>
      <c r="G419" s="57">
        <f ca="1">IFERROR(__xludf.DUMMYFUNCTION("""COMPUTED_VALUE"""),45734)</f>
        <v>45734</v>
      </c>
      <c r="H419" s="33" t="str">
        <f ca="1">IFERROR(__xludf.DUMMYFUNCTION("""COMPUTED_VALUE"""),"La Zenia")</f>
        <v>La Zenia</v>
      </c>
      <c r="I419" s="33" t="str">
        <f ca="1">IFERROR(__xludf.DUMMYFUNCTION("""COMPUTED_VALUE"""),"C2025320161148605")</f>
        <v>C2025320161148605</v>
      </c>
      <c r="J419" s="33" t="str">
        <f ca="1">IFERROR(__xludf.DUMMYFUNCTION("""COMPUTED_VALUE"""),"LILIANA ADRIANA LA ROSA CASTRO")</f>
        <v>LILIANA ADRIANA LA ROSA CASTRO</v>
      </c>
      <c r="K419" s="33">
        <f ca="1">IFERROR(__xludf.DUMMYFUNCTION("""COMPUTED_VALUE"""),2)</f>
        <v>2</v>
      </c>
      <c r="L419" s="203">
        <f ca="1">IFERROR(__xludf.DUMMYFUNCTION("""COMPUTED_VALUE"""),3710)</f>
        <v>3710</v>
      </c>
      <c r="M419" s="33" t="str">
        <f ca="1">IFERROR(__xludf.DUMMYFUNCTION("""COMPUTED_VALUE"""),"03 ORL")</f>
        <v>03 ORL</v>
      </c>
      <c r="N419" s="33" t="str">
        <f ca="1">IFERROR(__xludf.DUMMYFUNCTION("""COMPUTED_VALUE"""),"06 ORL")</f>
        <v>06 ORL</v>
      </c>
      <c r="O419" s="33" t="str">
        <f ca="1">IFERROR(__xludf.DUMMYFUNCTION("""COMPUTED_VALUE"""),"Dr, Juan Javier Álvarez López")</f>
        <v>Dr, Juan Javier Álvarez López</v>
      </c>
      <c r="P419" s="33" t="str">
        <f ca="1">IFERROR(__xludf.DUMMYFUNCTION("""COMPUTED_VALUE"""),"Iván Sánchez (Levante Y Albacete)")</f>
        <v>Iván Sánchez (Levante Y Albacete)</v>
      </c>
    </row>
    <row r="420" spans="2:16">
      <c r="B420" s="33">
        <f ca="1">IFERROR(__xludf.DUMMYFUNCTION("""COMPUTED_VALUE"""),2025)</f>
        <v>2025</v>
      </c>
      <c r="C420" s="33">
        <f ca="1">IFERROR(__xludf.DUMMYFUNCTION("""COMPUTED_VALUE"""),3)</f>
        <v>3</v>
      </c>
      <c r="D420" s="33" t="str">
        <f ca="1">IFERROR(__xludf.DUMMYFUNCTION("""COMPUTED_VALUE"""),"NO")</f>
        <v>NO</v>
      </c>
      <c r="E420" s="33" t="str">
        <f ca="1">IFERROR(__xludf.DUMMYFUNCTION("""COMPUTED_VALUE"""),"Cáceres")</f>
        <v>Cáceres</v>
      </c>
      <c r="F420" s="57">
        <f ca="1">IFERROR(__xludf.DUMMYFUNCTION("""COMPUTED_VALUE"""),45719)</f>
        <v>45719</v>
      </c>
      <c r="G420" s="57">
        <f ca="1">IFERROR(__xludf.DUMMYFUNCTION("""COMPUTED_VALUE"""),45699)</f>
        <v>45699</v>
      </c>
      <c r="H420" s="33" t="str">
        <f ca="1">IFERROR(__xludf.DUMMYFUNCTION("""COMPUTED_VALUE"""),"Cáceres")</f>
        <v>Cáceres</v>
      </c>
      <c r="I420" s="33" t="str">
        <f ca="1">IFERROR(__xludf.DUMMYFUNCTION("""COMPUTED_VALUE"""),"CAC-233")</f>
        <v>CAC-233</v>
      </c>
      <c r="J420" s="33" t="str">
        <f ca="1">IFERROR(__xludf.DUMMYFUNCTION("""COMPUTED_VALUE"""),"ISABEL BLAS BERROCAL")</f>
        <v>ISABEL BLAS BERROCAL</v>
      </c>
      <c r="K420" s="33">
        <f ca="1">IFERROR(__xludf.DUMMYFUNCTION("""COMPUTED_VALUE"""),1)</f>
        <v>1</v>
      </c>
      <c r="L420" s="203">
        <f ca="1">IFERROR(__xludf.DUMMYFUNCTION("""COMPUTED_VALUE"""),2372.73)</f>
        <v>2372.73</v>
      </c>
      <c r="M420" s="33" t="str">
        <f ca="1">IFERROR(__xludf.DUMMYFUNCTION("""COMPUTED_VALUE"""),"03 ORL")</f>
        <v>03 ORL</v>
      </c>
      <c r="N420" s="33" t="str">
        <f ca="1">IFERROR(__xludf.DUMMYFUNCTION("""COMPUTED_VALUE"""),"06 ORL")</f>
        <v>06 ORL</v>
      </c>
      <c r="O420" s="33" t="str">
        <f ca="1">IFERROR(__xludf.DUMMYFUNCTION("""COMPUTED_VALUE"""),"Dra, Esther De La O Corrochano")</f>
        <v>Dra, Esther De La O Corrochano</v>
      </c>
      <c r="P420" s="33" t="str">
        <f ca="1">IFERROR(__xludf.DUMMYFUNCTION("""COMPUTED_VALUE"""),"Lisandro Russian (Madrid, Cáceres, Toledo, Talavera Y Logroño)")</f>
        <v>Lisandro Russian (Madrid, Cáceres, Toledo, Talavera Y Logroño)</v>
      </c>
    </row>
    <row r="421" spans="2:16">
      <c r="B421" s="33">
        <f ca="1">IFERROR(__xludf.DUMMYFUNCTION("""COMPUTED_VALUE"""),2025)</f>
        <v>2025</v>
      </c>
      <c r="C421" s="33">
        <f ca="1">IFERROR(__xludf.DUMMYFUNCTION("""COMPUTED_VALUE"""),3)</f>
        <v>3</v>
      </c>
      <c r="D421" s="33" t="str">
        <f ca="1">IFERROR(__xludf.DUMMYFUNCTION("""COMPUTED_VALUE"""),"NO")</f>
        <v>NO</v>
      </c>
      <c r="E421" s="33" t="str">
        <f ca="1">IFERROR(__xludf.DUMMYFUNCTION("""COMPUTED_VALUE"""),"Salamanca")</f>
        <v>Salamanca</v>
      </c>
      <c r="F421" s="57">
        <f ca="1">IFERROR(__xludf.DUMMYFUNCTION("""COMPUTED_VALUE"""),45719)</f>
        <v>45719</v>
      </c>
      <c r="G421" s="57">
        <f ca="1">IFERROR(__xludf.DUMMYFUNCTION("""COMPUTED_VALUE"""),45667)</f>
        <v>45667</v>
      </c>
      <c r="H421" s="33" t="str">
        <f ca="1">IFERROR(__xludf.DUMMYFUNCTION("""COMPUTED_VALUE"""),"Salamanca")</f>
        <v>Salamanca</v>
      </c>
      <c r="I421" s="33" t="str">
        <f ca="1">IFERROR(__xludf.DUMMYFUNCTION("""COMPUTED_VALUE"""),"SLM-436")</f>
        <v>SLM-436</v>
      </c>
      <c r="J421" s="33" t="str">
        <f ca="1">IFERROR(__xludf.DUMMYFUNCTION("""COMPUTED_VALUE"""),"AMABLE FRAILE MARCOS")</f>
        <v>AMABLE FRAILE MARCOS</v>
      </c>
      <c r="K421" s="33">
        <f ca="1">IFERROR(__xludf.DUMMYFUNCTION("""COMPUTED_VALUE"""),2)</f>
        <v>2</v>
      </c>
      <c r="L421" s="203">
        <f ca="1">IFERROR(__xludf.DUMMYFUNCTION("""COMPUTED_VALUE"""),3604.55)</f>
        <v>3604.55</v>
      </c>
      <c r="M421" s="33" t="str">
        <f ca="1">IFERROR(__xludf.DUMMYFUNCTION("""COMPUTED_VALUE"""),"03 ORL")</f>
        <v>03 ORL</v>
      </c>
      <c r="N421" s="33" t="str">
        <f ca="1">IFERROR(__xludf.DUMMYFUNCTION("""COMPUTED_VALUE"""),"06 ORL")</f>
        <v>06 ORL</v>
      </c>
      <c r="O421" s="33" t="str">
        <f ca="1">IFERROR(__xludf.DUMMYFUNCTION("""COMPUTED_VALUE"""),"Dr, María Jesús Cornejo Domínguez")</f>
        <v>Dr, María Jesús Cornejo Domínguez</v>
      </c>
      <c r="P421" s="33" t="str">
        <f ca="1">IFERROR(__xludf.DUMMYFUNCTION("""COMPUTED_VALUE"""),"Patricia Solache (Castilla Y León)")</f>
        <v>Patricia Solache (Castilla Y León)</v>
      </c>
    </row>
    <row r="422" spans="2:16">
      <c r="B422" s="33">
        <f ca="1">IFERROR(__xludf.DUMMYFUNCTION("""COMPUTED_VALUE"""),2025)</f>
        <v>2025</v>
      </c>
      <c r="C422" s="33">
        <f ca="1">IFERROR(__xludf.DUMMYFUNCTION("""COMPUTED_VALUE"""),3)</f>
        <v>3</v>
      </c>
      <c r="D422" s="33" t="str">
        <f ca="1">IFERROR(__xludf.DUMMYFUNCTION("""COMPUTED_VALUE"""),"NO")</f>
        <v>NO</v>
      </c>
      <c r="E422" s="33" t="str">
        <f ca="1">IFERROR(__xludf.DUMMYFUNCTION("""COMPUTED_VALUE"""),"Vigo")</f>
        <v>Vigo</v>
      </c>
      <c r="F422" s="57">
        <f ca="1">IFERROR(__xludf.DUMMYFUNCTION("""COMPUTED_VALUE"""),45721)</f>
        <v>45721</v>
      </c>
      <c r="G422" s="57">
        <f ca="1">IFERROR(__xludf.DUMMYFUNCTION("""COMPUTED_VALUE"""),45643)</f>
        <v>45643</v>
      </c>
      <c r="H422" s="33" t="str">
        <f ca="1">IFERROR(__xludf.DUMMYFUNCTION("""COMPUTED_VALUE"""),"Vigo")</f>
        <v>Vigo</v>
      </c>
      <c r="I422" s="33" t="str">
        <f ca="1">IFERROR(__xludf.DUMMYFUNCTION("""COMPUTED_VALUE"""),"VIG-521")</f>
        <v>VIG-521</v>
      </c>
      <c r="J422" s="33" t="str">
        <f ca="1">IFERROR(__xludf.DUMMYFUNCTION("""COMPUTED_VALUE"""),"CELIA PARADA BARREIRO")</f>
        <v>CELIA PARADA BARREIRO</v>
      </c>
      <c r="K422" s="33">
        <f ca="1">IFERROR(__xludf.DUMMYFUNCTION("""COMPUTED_VALUE"""),2)</f>
        <v>2</v>
      </c>
      <c r="L422" s="203">
        <f ca="1">IFERROR(__xludf.DUMMYFUNCTION("""COMPUTED_VALUE"""),1727.27)</f>
        <v>1727.27</v>
      </c>
      <c r="M422" s="33" t="str">
        <f ca="1">IFERROR(__xludf.DUMMYFUNCTION("""COMPUTED_VALUE"""),"03 ORL")</f>
        <v>03 ORL</v>
      </c>
      <c r="N422" s="33" t="str">
        <f ca="1">IFERROR(__xludf.DUMMYFUNCTION("""COMPUTED_VALUE"""),"06 ORL")</f>
        <v>06 ORL</v>
      </c>
      <c r="O422" s="33" t="str">
        <f ca="1">IFERROR(__xludf.DUMMYFUNCTION("""COMPUTED_VALUE"""),"Dra, Adela Pérez-Caro Ríos")</f>
        <v>Dra, Adela Pérez-Caro Ríos</v>
      </c>
      <c r="P422" s="33" t="str">
        <f ca="1">IFERROR(__xludf.DUMMYFUNCTION("""COMPUTED_VALUE"""),"Roberto Pereira (Galicia)")</f>
        <v>Roberto Pereira (Galicia)</v>
      </c>
    </row>
    <row r="423" spans="2:16">
      <c r="B423" s="33">
        <f ca="1">IFERROR(__xludf.DUMMYFUNCTION("""COMPUTED_VALUE"""),2025)</f>
        <v>2025</v>
      </c>
      <c r="C423" s="33">
        <f ca="1">IFERROR(__xludf.DUMMYFUNCTION("""COMPUTED_VALUE"""),3)</f>
        <v>3</v>
      </c>
      <c r="D423" s="33" t="str">
        <f ca="1">IFERROR(__xludf.DUMMYFUNCTION("""COMPUTED_VALUE"""),"NO")</f>
        <v>NO</v>
      </c>
      <c r="E423" s="33" t="str">
        <f ca="1">IFERROR(__xludf.DUMMYFUNCTION("""COMPUTED_VALUE"""),"Carballo")</f>
        <v>Carballo</v>
      </c>
      <c r="F423" s="57">
        <f ca="1">IFERROR(__xludf.DUMMYFUNCTION("""COMPUTED_VALUE"""),45723)</f>
        <v>45723</v>
      </c>
      <c r="G423" s="57">
        <f ca="1">IFERROR(__xludf.DUMMYFUNCTION("""COMPUTED_VALUE"""),45518)</f>
        <v>45518</v>
      </c>
      <c r="H423" s="33" t="str">
        <f ca="1">IFERROR(__xludf.DUMMYFUNCTION("""COMPUTED_VALUE"""),"Carballo")</f>
        <v>Carballo</v>
      </c>
      <c r="I423" s="33" t="str">
        <f ca="1">IFERROR(__xludf.DUMMYFUNCTION("""COMPUTED_VALUE"""),"CRB-93")</f>
        <v>CRB-93</v>
      </c>
      <c r="J423" s="33" t="str">
        <f ca="1">IFERROR(__xludf.DUMMYFUNCTION("""COMPUTED_VALUE"""),"JAVIER RIO RODRIGUEZ")</f>
        <v>JAVIER RIO RODRIGUEZ</v>
      </c>
      <c r="K423" s="33">
        <f ca="1">IFERROR(__xludf.DUMMYFUNCTION("""COMPUTED_VALUE"""),1)</f>
        <v>1</v>
      </c>
      <c r="L423" s="203">
        <f ca="1">IFERROR(__xludf.DUMMYFUNCTION("""COMPUTED_VALUE"""),2226.36)</f>
        <v>2226.36</v>
      </c>
      <c r="M423" s="33" t="str">
        <f ca="1">IFERROR(__xludf.DUMMYFUNCTION("""COMPUTED_VALUE"""),"03 ORL")</f>
        <v>03 ORL</v>
      </c>
      <c r="N423" s="33" t="str">
        <f ca="1">IFERROR(__xludf.DUMMYFUNCTION("""COMPUTED_VALUE"""),"06 ORL")</f>
        <v>06 ORL</v>
      </c>
      <c r="O423" s="33" t="str">
        <f ca="1">IFERROR(__xludf.DUMMYFUNCTION("""COMPUTED_VALUE"""),"Dr, Joaquín Guerra Gómez")</f>
        <v>Dr, Joaquín Guerra Gómez</v>
      </c>
      <c r="P423" s="33" t="str">
        <f ca="1">IFERROR(__xludf.DUMMYFUNCTION("""COMPUTED_VALUE"""),"Roberto Pereira (Galicia)")</f>
        <v>Roberto Pereira (Galicia)</v>
      </c>
    </row>
    <row r="424" spans="2:16">
      <c r="B424" s="33">
        <f ca="1">IFERROR(__xludf.DUMMYFUNCTION("""COMPUTED_VALUE"""),2025)</f>
        <v>2025</v>
      </c>
      <c r="C424" s="33">
        <f ca="1">IFERROR(__xludf.DUMMYFUNCTION("""COMPUTED_VALUE"""),3)</f>
        <v>3</v>
      </c>
      <c r="D424" s="33" t="str">
        <f ca="1">IFERROR(__xludf.DUMMYFUNCTION("""COMPUTED_VALUE"""),"NO")</f>
        <v>NO</v>
      </c>
      <c r="E424" s="33" t="str">
        <f ca="1">IFERROR(__xludf.DUMMYFUNCTION("""COMPUTED_VALUE"""),"Cáceres")</f>
        <v>Cáceres</v>
      </c>
      <c r="F424" s="57">
        <f ca="1">IFERROR(__xludf.DUMMYFUNCTION("""COMPUTED_VALUE"""),45723)</f>
        <v>45723</v>
      </c>
      <c r="G424" s="57">
        <f ca="1">IFERROR(__xludf.DUMMYFUNCTION("""COMPUTED_VALUE"""),45674)</f>
        <v>45674</v>
      </c>
      <c r="H424" s="33" t="str">
        <f ca="1">IFERROR(__xludf.DUMMYFUNCTION("""COMPUTED_VALUE"""),"Cáceres")</f>
        <v>Cáceres</v>
      </c>
      <c r="I424" s="33" t="str">
        <f ca="1">IFERROR(__xludf.DUMMYFUNCTION("""COMPUTED_VALUE"""),"CAC-225")</f>
        <v>CAC-225</v>
      </c>
      <c r="J424" s="33" t="str">
        <f ca="1">IFERROR(__xludf.DUMMYFUNCTION("""COMPUTED_VALUE"""),"MARIA ISABEL OLLERO VIVAS")</f>
        <v>MARIA ISABEL OLLERO VIVAS</v>
      </c>
      <c r="K424" s="33">
        <f ca="1">IFERROR(__xludf.DUMMYFUNCTION("""COMPUTED_VALUE"""),2)</f>
        <v>2</v>
      </c>
      <c r="L424" s="203">
        <f ca="1">IFERROR(__xludf.DUMMYFUNCTION("""COMPUTED_VALUE"""),3185.45)</f>
        <v>3185.45</v>
      </c>
      <c r="M424" s="33" t="str">
        <f ca="1">IFERROR(__xludf.DUMMYFUNCTION("""COMPUTED_VALUE"""),"01 MARKETING ON LINE")</f>
        <v>01 MARKETING ON LINE</v>
      </c>
      <c r="N424" s="33" t="str">
        <f ca="1">IFERROR(__xludf.DUMMYFUNCTION("""COMPUTED_VALUE"""),"04 AUDIFONO,ES")</f>
        <v>04 AUDIFONO,ES</v>
      </c>
      <c r="O424" s="33" t="str">
        <f ca="1">IFERROR(__xludf.DUMMYFUNCTION("""COMPUTED_VALUE"""),"Dra, Daniela Carolina Laguado Bulgheroni")</f>
        <v>Dra, Daniela Carolina Laguado Bulgheroni</v>
      </c>
      <c r="P424" s="33" t="str">
        <f ca="1">IFERROR(__xludf.DUMMYFUNCTION("""COMPUTED_VALUE"""),"Lisandro Russian (Madrid, Cáceres, Toledo, Talavera Y Logroño)")</f>
        <v>Lisandro Russian (Madrid, Cáceres, Toledo, Talavera Y Logroño)</v>
      </c>
    </row>
    <row r="425" spans="2:16">
      <c r="B425" s="33">
        <f ca="1">IFERROR(__xludf.DUMMYFUNCTION("""COMPUTED_VALUE"""),2025)</f>
        <v>2025</v>
      </c>
      <c r="C425" s="33">
        <f ca="1">IFERROR(__xludf.DUMMYFUNCTION("""COMPUTED_VALUE"""),3)</f>
        <v>3</v>
      </c>
      <c r="D425" s="33" t="str">
        <f ca="1">IFERROR(__xludf.DUMMYFUNCTION("""COMPUTED_VALUE"""),"NO")</f>
        <v>NO</v>
      </c>
      <c r="E425" s="33" t="str">
        <f ca="1">IFERROR(__xludf.DUMMYFUNCTION("""COMPUTED_VALUE"""),"Salamanca")</f>
        <v>Salamanca</v>
      </c>
      <c r="F425" s="57">
        <f ca="1">IFERROR(__xludf.DUMMYFUNCTION("""COMPUTED_VALUE"""),45723)</f>
        <v>45723</v>
      </c>
      <c r="G425" s="57">
        <f ca="1">IFERROR(__xludf.DUMMYFUNCTION("""COMPUTED_VALUE"""),45677)</f>
        <v>45677</v>
      </c>
      <c r="H425" s="33" t="str">
        <f ca="1">IFERROR(__xludf.DUMMYFUNCTION("""COMPUTED_VALUE"""),"Salamanca")</f>
        <v>Salamanca</v>
      </c>
      <c r="I425" s="33" t="str">
        <f ca="1">IFERROR(__xludf.DUMMYFUNCTION("""COMPUTED_VALUE"""),"SLM-442")</f>
        <v>SLM-442</v>
      </c>
      <c r="J425" s="33" t="str">
        <f ca="1">IFERROR(__xludf.DUMMYFUNCTION("""COMPUTED_VALUE"""),"JOSE AMBROSIO RUANO MULAS")</f>
        <v>JOSE AMBROSIO RUANO MULAS</v>
      </c>
      <c r="K425" s="33">
        <f ca="1">IFERROR(__xludf.DUMMYFUNCTION("""COMPUTED_VALUE"""),2)</f>
        <v>2</v>
      </c>
      <c r="L425" s="203">
        <f ca="1">IFERROR(__xludf.DUMMYFUNCTION("""COMPUTED_VALUE"""),3604.55)</f>
        <v>3604.55</v>
      </c>
      <c r="M425" s="33" t="str">
        <f ca="1">IFERROR(__xludf.DUMMYFUNCTION("""COMPUTED_VALUE"""),"03 ORL")</f>
        <v>03 ORL</v>
      </c>
      <c r="N425" s="33" t="str">
        <f ca="1">IFERROR(__xludf.DUMMYFUNCTION("""COMPUTED_VALUE"""),"06 ORL")</f>
        <v>06 ORL</v>
      </c>
      <c r="O425" s="33" t="str">
        <f ca="1">IFERROR(__xludf.DUMMYFUNCTION("""COMPUTED_VALUE"""),"No Recuerda Orl")</f>
        <v>No Recuerda Orl</v>
      </c>
      <c r="P425" s="33" t="str">
        <f ca="1">IFERROR(__xludf.DUMMYFUNCTION("""COMPUTED_VALUE"""),"Patricia Solache (Castilla Y León)")</f>
        <v>Patricia Solache (Castilla Y León)</v>
      </c>
    </row>
    <row r="426" spans="2:16">
      <c r="B426" s="33">
        <f ca="1">IFERROR(__xludf.DUMMYFUNCTION("""COMPUTED_VALUE"""),2025)</f>
        <v>2025</v>
      </c>
      <c r="C426" s="33">
        <f ca="1">IFERROR(__xludf.DUMMYFUNCTION("""COMPUTED_VALUE"""),3)</f>
        <v>3</v>
      </c>
      <c r="D426" s="33" t="str">
        <f ca="1">IFERROR(__xludf.DUMMYFUNCTION("""COMPUTED_VALUE"""),"NO")</f>
        <v>NO</v>
      </c>
      <c r="E426" s="33" t="str">
        <f ca="1">IFERROR(__xludf.DUMMYFUNCTION("""COMPUTED_VALUE"""),"Salamanca")</f>
        <v>Salamanca</v>
      </c>
      <c r="F426" s="57">
        <f ca="1">IFERROR(__xludf.DUMMYFUNCTION("""COMPUTED_VALUE"""),45723)</f>
        <v>45723</v>
      </c>
      <c r="G426" s="57">
        <f ca="1">IFERROR(__xludf.DUMMYFUNCTION("""COMPUTED_VALUE"""),45679)</f>
        <v>45679</v>
      </c>
      <c r="H426" s="33" t="str">
        <f ca="1">IFERROR(__xludf.DUMMYFUNCTION("""COMPUTED_VALUE"""),"Salamanca")</f>
        <v>Salamanca</v>
      </c>
      <c r="I426" s="33" t="str">
        <f ca="1">IFERROR(__xludf.DUMMYFUNCTION("""COMPUTED_VALUE"""),"SLM-446")</f>
        <v>SLM-446</v>
      </c>
      <c r="J426" s="33" t="str">
        <f ca="1">IFERROR(__xludf.DUMMYFUNCTION("""COMPUTED_VALUE"""),"ANGEL MOSQUERA MAYOR")</f>
        <v>ANGEL MOSQUERA MAYOR</v>
      </c>
      <c r="K426" s="33">
        <f ca="1">IFERROR(__xludf.DUMMYFUNCTION("""COMPUTED_VALUE"""),2)</f>
        <v>2</v>
      </c>
      <c r="L426" s="203">
        <f ca="1">IFERROR(__xludf.DUMMYFUNCTION("""COMPUTED_VALUE"""),2780.91)</f>
        <v>2780.91</v>
      </c>
      <c r="M426" s="33" t="str">
        <f ca="1">IFERROR(__xludf.DUMMYFUNCTION("""COMPUTED_VALUE"""),"03 ORL")</f>
        <v>03 ORL</v>
      </c>
      <c r="N426" s="33" t="str">
        <f ca="1">IFERROR(__xludf.DUMMYFUNCTION("""COMPUTED_VALUE"""),"06 ORL")</f>
        <v>06 ORL</v>
      </c>
      <c r="O426" s="33" t="str">
        <f ca="1">IFERROR(__xludf.DUMMYFUNCTION("""COMPUTED_VALUE"""),"Dr, María Jesús Cornejo Domínguez")</f>
        <v>Dr, María Jesús Cornejo Domínguez</v>
      </c>
      <c r="P426" s="33" t="str">
        <f ca="1">IFERROR(__xludf.DUMMYFUNCTION("""COMPUTED_VALUE"""),"Patricia Solache (Castilla Y León)")</f>
        <v>Patricia Solache (Castilla Y León)</v>
      </c>
    </row>
    <row r="427" spans="2:16">
      <c r="B427" s="33">
        <f ca="1">IFERROR(__xludf.DUMMYFUNCTION("""COMPUTED_VALUE"""),2025)</f>
        <v>2025</v>
      </c>
      <c r="C427" s="33">
        <f ca="1">IFERROR(__xludf.DUMMYFUNCTION("""COMPUTED_VALUE"""),3)</f>
        <v>3</v>
      </c>
      <c r="D427" s="33" t="str">
        <f ca="1">IFERROR(__xludf.DUMMYFUNCTION("""COMPUTED_VALUE"""),"NO")</f>
        <v>NO</v>
      </c>
      <c r="E427" s="33" t="str">
        <f ca="1">IFERROR(__xludf.DUMMYFUNCTION("""COMPUTED_VALUE"""),"Salamanca")</f>
        <v>Salamanca</v>
      </c>
      <c r="F427" s="57">
        <f ca="1">IFERROR(__xludf.DUMMYFUNCTION("""COMPUTED_VALUE"""),45723)</f>
        <v>45723</v>
      </c>
      <c r="G427" s="57">
        <f ca="1">IFERROR(__xludf.DUMMYFUNCTION("""COMPUTED_VALUE"""),45685)</f>
        <v>45685</v>
      </c>
      <c r="H427" s="33" t="str">
        <f ca="1">IFERROR(__xludf.DUMMYFUNCTION("""COMPUTED_VALUE"""),"Salamanca")</f>
        <v>Salamanca</v>
      </c>
      <c r="I427" s="33" t="str">
        <f ca="1">IFERROR(__xludf.DUMMYFUNCTION("""COMPUTED_VALUE"""),"SLM-451")</f>
        <v>SLM-451</v>
      </c>
      <c r="J427" s="33" t="str">
        <f ca="1">IFERROR(__xludf.DUMMYFUNCTION("""COMPUTED_VALUE"""),"MARIA JOAQUINA BORREGO LASO")</f>
        <v>MARIA JOAQUINA BORREGO LASO</v>
      </c>
      <c r="K427" s="33">
        <f ca="1">IFERROR(__xludf.DUMMYFUNCTION("""COMPUTED_VALUE"""),2)</f>
        <v>2</v>
      </c>
      <c r="L427" s="203">
        <f ca="1">IFERROR(__xludf.DUMMYFUNCTION("""COMPUTED_VALUE"""),3604.46)</f>
        <v>3604.46</v>
      </c>
      <c r="M427" s="33" t="str">
        <f ca="1">IFERROR(__xludf.DUMMYFUNCTION("""COMPUTED_VALUE"""),"03 ORL")</f>
        <v>03 ORL</v>
      </c>
      <c r="N427" s="33" t="str">
        <f ca="1">IFERROR(__xludf.DUMMYFUNCTION("""COMPUTED_VALUE"""),"06 ORL")</f>
        <v>06 ORL</v>
      </c>
      <c r="O427" s="33" t="str">
        <f ca="1">IFERROR(__xludf.DUMMYFUNCTION("""COMPUTED_VALUE"""),"Dr, Pedro Blanco Pérez,")</f>
        <v>Dr, Pedro Blanco Pérez,</v>
      </c>
      <c r="P427" s="33" t="str">
        <f ca="1">IFERROR(__xludf.DUMMYFUNCTION("""COMPUTED_VALUE"""),"Patricia Solache (Castilla Y León)")</f>
        <v>Patricia Solache (Castilla Y León)</v>
      </c>
    </row>
    <row r="428" spans="2:16">
      <c r="B428" s="33">
        <f ca="1">IFERROR(__xludf.DUMMYFUNCTION("""COMPUTED_VALUE"""),2025)</f>
        <v>2025</v>
      </c>
      <c r="C428" s="33">
        <f ca="1">IFERROR(__xludf.DUMMYFUNCTION("""COMPUTED_VALUE"""),3)</f>
        <v>3</v>
      </c>
      <c r="D428" s="33" t="str">
        <f ca="1">IFERROR(__xludf.DUMMYFUNCTION("""COMPUTED_VALUE"""),"NO")</f>
        <v>NO</v>
      </c>
      <c r="E428" s="33" t="str">
        <f ca="1">IFERROR(__xludf.DUMMYFUNCTION("""COMPUTED_VALUE"""),"Sevilla- Ciencias")</f>
        <v>Sevilla- Ciencias</v>
      </c>
      <c r="F428" s="57">
        <f ca="1">IFERROR(__xludf.DUMMYFUNCTION("""COMPUTED_VALUE"""),45723)</f>
        <v>45723</v>
      </c>
      <c r="G428" s="57">
        <f ca="1">IFERROR(__xludf.DUMMYFUNCTION("""COMPUTED_VALUE"""),45631)</f>
        <v>45631</v>
      </c>
      <c r="H428" s="33" t="str">
        <f ca="1">IFERROR(__xludf.DUMMYFUNCTION("""COMPUTED_VALUE"""),"Sevilla Este")</f>
        <v>Sevilla Este</v>
      </c>
      <c r="I428" s="33" t="str">
        <f ca="1">IFERROR(__xludf.DUMMYFUNCTION("""COMPUTED_VALUE"""),"SEVE-335")</f>
        <v>SEVE-335</v>
      </c>
      <c r="J428" s="33" t="str">
        <f ca="1">IFERROR(__xludf.DUMMYFUNCTION("""COMPUTED_VALUE"""),"VICTORIA GARCIA BLANCO")</f>
        <v>VICTORIA GARCIA BLANCO</v>
      </c>
      <c r="K428" s="33">
        <f ca="1">IFERROR(__xludf.DUMMYFUNCTION("""COMPUTED_VALUE"""),2)</f>
        <v>2</v>
      </c>
      <c r="L428" s="203">
        <f ca="1">IFERROR(__xludf.DUMMYFUNCTION("""COMPUTED_VALUE"""),4000)</f>
        <v>4000</v>
      </c>
      <c r="M428" s="33" t="str">
        <f ca="1">IFERROR(__xludf.DUMMYFUNCTION("""COMPUTED_VALUE"""),"03 ORL")</f>
        <v>03 ORL</v>
      </c>
      <c r="N428" s="33" t="str">
        <f ca="1">IFERROR(__xludf.DUMMYFUNCTION("""COMPUTED_VALUE"""),"06 ORL")</f>
        <v>06 ORL</v>
      </c>
      <c r="O428" s="33" t="str">
        <f ca="1">IFERROR(__xludf.DUMMYFUNCTION("""COMPUTED_VALUE"""),"Dr, Ulises Bidón Gómez")</f>
        <v>Dr, Ulises Bidón Gómez</v>
      </c>
      <c r="P428" s="33" t="str">
        <f ca="1">IFERROR(__xludf.DUMMYFUNCTION("""COMPUTED_VALUE"""),"Luis Alberto Rodríguez (Andalucía Y Badajoz)")</f>
        <v>Luis Alberto Rodríguez (Andalucía Y Badajoz)</v>
      </c>
    </row>
    <row r="429" spans="2:16">
      <c r="B429" s="33">
        <f ca="1">IFERROR(__xludf.DUMMYFUNCTION("""COMPUTED_VALUE"""),2025)</f>
        <v>2025</v>
      </c>
      <c r="C429" s="33">
        <f ca="1">IFERROR(__xludf.DUMMYFUNCTION("""COMPUTED_VALUE"""),3)</f>
        <v>3</v>
      </c>
      <c r="D429" s="33" t="str">
        <f ca="1">IFERROR(__xludf.DUMMYFUNCTION("""COMPUTED_VALUE"""),"NO")</f>
        <v>NO</v>
      </c>
      <c r="E429" s="33" t="str">
        <f ca="1">IFERROR(__xludf.DUMMYFUNCTION("""COMPUTED_VALUE"""),"Zaragoza- León XIII")</f>
        <v>Zaragoza- León XIII</v>
      </c>
      <c r="F429" s="57">
        <f ca="1">IFERROR(__xludf.DUMMYFUNCTION("""COMPUTED_VALUE"""),45727)</f>
        <v>45727</v>
      </c>
      <c r="G429" s="57">
        <f ca="1">IFERROR(__xludf.DUMMYFUNCTION("""COMPUTED_VALUE"""),45720)</f>
        <v>45720</v>
      </c>
      <c r="H429" s="33" t="str">
        <f ca="1">IFERROR(__xludf.DUMMYFUNCTION("""COMPUTED_VALUE"""),"Zaragoza")</f>
        <v>Zaragoza</v>
      </c>
      <c r="I429" s="33" t="str">
        <f ca="1">IFERROR(__xludf.DUMMYFUNCTION("""COMPUTED_VALUE"""),"ZRG-593")</f>
        <v>ZRG-593</v>
      </c>
      <c r="J429" s="33" t="str">
        <f ca="1">IFERROR(__xludf.DUMMYFUNCTION("""COMPUTED_VALUE"""),"MERCEDES ARRIBAS VAL")</f>
        <v>MERCEDES ARRIBAS VAL</v>
      </c>
      <c r="K429" s="33">
        <f ca="1">IFERROR(__xludf.DUMMYFUNCTION("""COMPUTED_VALUE"""),2)</f>
        <v>2</v>
      </c>
      <c r="L429" s="203">
        <f ca="1">IFERROR(__xludf.DUMMYFUNCTION("""COMPUTED_VALUE"""),3802.88)</f>
        <v>3802.88</v>
      </c>
      <c r="M429" s="33" t="str">
        <f ca="1">IFERROR(__xludf.DUMMYFUNCTION("""COMPUTED_VALUE"""),"03 ORL")</f>
        <v>03 ORL</v>
      </c>
      <c r="N429" s="33" t="str">
        <f ca="1">IFERROR(__xludf.DUMMYFUNCTION("""COMPUTED_VALUE"""),"06 ORL")</f>
        <v>06 ORL</v>
      </c>
      <c r="O429" s="33" t="str">
        <f ca="1">IFERROR(__xludf.DUMMYFUNCTION("""COMPUTED_VALUE"""),"Dr, Julio Knaster Del Olmo")</f>
        <v>Dr, Julio Knaster Del Olmo</v>
      </c>
      <c r="P429" s="33" t="str">
        <f ca="1">IFERROR(__xludf.DUMMYFUNCTION("""COMPUTED_VALUE"""),"Lisandro Russian (Madrid, Cáceres, Toledo, Talavera Y Logroño)")</f>
        <v>Lisandro Russian (Madrid, Cáceres, Toledo, Talavera Y Logroño)</v>
      </c>
    </row>
    <row r="430" spans="2:16">
      <c r="B430" s="33">
        <f ca="1">IFERROR(__xludf.DUMMYFUNCTION("""COMPUTED_VALUE"""),2025)</f>
        <v>2025</v>
      </c>
      <c r="C430" s="33">
        <f ca="1">IFERROR(__xludf.DUMMYFUNCTION("""COMPUTED_VALUE"""),3)</f>
        <v>3</v>
      </c>
      <c r="D430" s="33" t="str">
        <f ca="1">IFERROR(__xludf.DUMMYFUNCTION("""COMPUTED_VALUE"""),"NO")</f>
        <v>NO</v>
      </c>
      <c r="E430" s="33" t="str">
        <f ca="1">IFERROR(__xludf.DUMMYFUNCTION("""COMPUTED_VALUE"""),"Cáceres")</f>
        <v>Cáceres</v>
      </c>
      <c r="F430" s="57">
        <f ca="1">IFERROR(__xludf.DUMMYFUNCTION("""COMPUTED_VALUE"""),45728)</f>
        <v>45728</v>
      </c>
      <c r="G430" s="57">
        <f ca="1">IFERROR(__xludf.DUMMYFUNCTION("""COMPUTED_VALUE"""),45705)</f>
        <v>45705</v>
      </c>
      <c r="H430" s="33" t="str">
        <f ca="1">IFERROR(__xludf.DUMMYFUNCTION("""COMPUTED_VALUE"""),"Cáceres")</f>
        <v>Cáceres</v>
      </c>
      <c r="I430" s="33" t="str">
        <f ca="1">IFERROR(__xludf.DUMMYFUNCTION("""COMPUTED_VALUE"""),"CAC-236")</f>
        <v>CAC-236</v>
      </c>
      <c r="J430" s="33" t="str">
        <f ca="1">IFERROR(__xludf.DUMMYFUNCTION("""COMPUTED_VALUE"""),"CASEMIRO CAMBERO MUÑOZ")</f>
        <v>CASEMIRO CAMBERO MUÑOZ</v>
      </c>
      <c r="K430" s="33">
        <f ca="1">IFERROR(__xludf.DUMMYFUNCTION("""COMPUTED_VALUE"""),2)</f>
        <v>2</v>
      </c>
      <c r="L430" s="203">
        <f ca="1">IFERROR(__xludf.DUMMYFUNCTION("""COMPUTED_VALUE"""),3185.45)</f>
        <v>3185.45</v>
      </c>
      <c r="M430" s="33" t="str">
        <f ca="1">IFERROR(__xludf.DUMMYFUNCTION("""COMPUTED_VALUE"""),"03 ORL")</f>
        <v>03 ORL</v>
      </c>
      <c r="N430" s="33" t="str">
        <f ca="1">IFERROR(__xludf.DUMMYFUNCTION("""COMPUTED_VALUE"""),"06 ORL")</f>
        <v>06 ORL</v>
      </c>
      <c r="O430" s="33" t="str">
        <f ca="1">IFERROR(__xludf.DUMMYFUNCTION("""COMPUTED_VALUE"""),"Dr, Rafael Sanz Trenado")</f>
        <v>Dr, Rafael Sanz Trenado</v>
      </c>
      <c r="P430" s="33" t="str">
        <f ca="1">IFERROR(__xludf.DUMMYFUNCTION("""COMPUTED_VALUE"""),"Lisandro Russian (Madrid, Cáceres, Toledo, Talavera Y Logroño)")</f>
        <v>Lisandro Russian (Madrid, Cáceres, Toledo, Talavera Y Logroño)</v>
      </c>
    </row>
    <row r="431" spans="2:16">
      <c r="B431" s="33">
        <f ca="1">IFERROR(__xludf.DUMMYFUNCTION("""COMPUTED_VALUE"""),2025)</f>
        <v>2025</v>
      </c>
      <c r="C431" s="33">
        <f ca="1">IFERROR(__xludf.DUMMYFUNCTION("""COMPUTED_VALUE"""),3)</f>
        <v>3</v>
      </c>
      <c r="D431" s="33" t="str">
        <f ca="1">IFERROR(__xludf.DUMMYFUNCTION("""COMPUTED_VALUE"""),"NO")</f>
        <v>NO</v>
      </c>
      <c r="E431" s="33" t="str">
        <f ca="1">IFERROR(__xludf.DUMMYFUNCTION("""COMPUTED_VALUE"""),"Valladolid")</f>
        <v>Valladolid</v>
      </c>
      <c r="F431" s="57">
        <f ca="1">IFERROR(__xludf.DUMMYFUNCTION("""COMPUTED_VALUE"""),45728)</f>
        <v>45728</v>
      </c>
      <c r="G431" s="57">
        <f ca="1">IFERROR(__xludf.DUMMYFUNCTION("""COMPUTED_VALUE"""),45685)</f>
        <v>45685</v>
      </c>
      <c r="H431" s="33" t="str">
        <f ca="1">IFERROR(__xludf.DUMMYFUNCTION("""COMPUTED_VALUE"""),"Valladolid")</f>
        <v>Valladolid</v>
      </c>
      <c r="I431" s="33" t="str">
        <f ca="1">IFERROR(__xludf.DUMMYFUNCTION("""COMPUTED_VALUE"""),"VLL-329")</f>
        <v>VLL-329</v>
      </c>
      <c r="J431" s="33" t="str">
        <f ca="1">IFERROR(__xludf.DUMMYFUNCTION("""COMPUTED_VALUE"""),"MARIA PILAR GUTIERREZ PELAEZ")</f>
        <v>MARIA PILAR GUTIERREZ PELAEZ</v>
      </c>
      <c r="K431" s="33">
        <f ca="1">IFERROR(__xludf.DUMMYFUNCTION("""COMPUTED_VALUE"""),2)</f>
        <v>2</v>
      </c>
      <c r="L431" s="203">
        <f ca="1">IFERROR(__xludf.DUMMYFUNCTION("""COMPUTED_VALUE"""),3886.36)</f>
        <v>3886.36</v>
      </c>
      <c r="M431" s="33" t="str">
        <f ca="1">IFERROR(__xludf.DUMMYFUNCTION("""COMPUTED_VALUE"""),"03 ORL")</f>
        <v>03 ORL</v>
      </c>
      <c r="N431" s="33" t="str">
        <f ca="1">IFERROR(__xludf.DUMMYFUNCTION("""COMPUTED_VALUE"""),"06 ORL")</f>
        <v>06 ORL</v>
      </c>
      <c r="O431" s="33" t="str">
        <f ca="1">IFERROR(__xludf.DUMMYFUNCTION("""COMPUTED_VALUE"""),"Dra, Angela Enterría González")</f>
        <v>Dra, Angela Enterría González</v>
      </c>
      <c r="P431" s="33" t="str">
        <f ca="1">IFERROR(__xludf.DUMMYFUNCTION("""COMPUTED_VALUE"""),"Patricia Solache (Castilla Y León)")</f>
        <v>Patricia Solache (Castilla Y León)</v>
      </c>
    </row>
    <row r="432" spans="2:16">
      <c r="B432" s="33">
        <f ca="1">IFERROR(__xludf.DUMMYFUNCTION("""COMPUTED_VALUE"""),2025)</f>
        <v>2025</v>
      </c>
      <c r="C432" s="33">
        <f ca="1">IFERROR(__xludf.DUMMYFUNCTION("""COMPUTED_VALUE"""),3)</f>
        <v>3</v>
      </c>
      <c r="D432" s="33" t="str">
        <f ca="1">IFERROR(__xludf.DUMMYFUNCTION("""COMPUTED_VALUE"""),"NO")</f>
        <v>NO</v>
      </c>
      <c r="E432" s="33" t="str">
        <f ca="1">IFERROR(__xludf.DUMMYFUNCTION("""COMPUTED_VALUE"""),"Valladolid")</f>
        <v>Valladolid</v>
      </c>
      <c r="F432" s="57">
        <f ca="1">IFERROR(__xludf.DUMMYFUNCTION("""COMPUTED_VALUE"""),45728)</f>
        <v>45728</v>
      </c>
      <c r="G432" s="57">
        <f ca="1">IFERROR(__xludf.DUMMYFUNCTION("""COMPUTED_VALUE"""),45688)</f>
        <v>45688</v>
      </c>
      <c r="H432" s="33" t="str">
        <f ca="1">IFERROR(__xludf.DUMMYFUNCTION("""COMPUTED_VALUE"""),"Valladolid")</f>
        <v>Valladolid</v>
      </c>
      <c r="I432" s="33" t="str">
        <f ca="1">IFERROR(__xludf.DUMMYFUNCTION("""COMPUTED_VALUE"""),"VLL-333")</f>
        <v>VLL-333</v>
      </c>
      <c r="J432" s="33" t="str">
        <f ca="1">IFERROR(__xludf.DUMMYFUNCTION("""COMPUTED_VALUE"""),"MARIA DEL CARMEN ASENSIO FERRERO")</f>
        <v>MARIA DEL CARMEN ASENSIO FERRERO</v>
      </c>
      <c r="K432" s="33">
        <f ca="1">IFERROR(__xludf.DUMMYFUNCTION("""COMPUTED_VALUE"""),1)</f>
        <v>1</v>
      </c>
      <c r="L432" s="203">
        <f ca="1">IFERROR(__xludf.DUMMYFUNCTION("""COMPUTED_VALUE"""),2307.27)</f>
        <v>2307.27</v>
      </c>
      <c r="M432" s="33" t="str">
        <f ca="1">IFERROR(__xludf.DUMMYFUNCTION("""COMPUTED_VALUE"""),"03 ORL")</f>
        <v>03 ORL</v>
      </c>
      <c r="N432" s="33" t="str">
        <f ca="1">IFERROR(__xludf.DUMMYFUNCTION("""COMPUTED_VALUE"""),"06 ORL")</f>
        <v>06 ORL</v>
      </c>
      <c r="O432" s="33" t="str">
        <f ca="1">IFERROR(__xludf.DUMMYFUNCTION("""COMPUTED_VALUE"""),"Dra, Antonia Carranza Calleja")</f>
        <v>Dra, Antonia Carranza Calleja</v>
      </c>
      <c r="P432" s="33" t="str">
        <f ca="1">IFERROR(__xludf.DUMMYFUNCTION("""COMPUTED_VALUE"""),"Patricia Solache (Castilla Y León)")</f>
        <v>Patricia Solache (Castilla Y León)</v>
      </c>
    </row>
    <row r="433" spans="2:16">
      <c r="B433" s="33">
        <f ca="1">IFERROR(__xludf.DUMMYFUNCTION("""COMPUTED_VALUE"""),2025)</f>
        <v>2025</v>
      </c>
      <c r="C433" s="33">
        <f ca="1">IFERROR(__xludf.DUMMYFUNCTION("""COMPUTED_VALUE"""),3)</f>
        <v>3</v>
      </c>
      <c r="D433" s="33" t="str">
        <f ca="1">IFERROR(__xludf.DUMMYFUNCTION("""COMPUTED_VALUE"""),"SI")</f>
        <v>SI</v>
      </c>
      <c r="E433" s="33" t="str">
        <f ca="1">IFERROR(__xludf.DUMMYFUNCTION("""COMPUTED_VALUE"""),"Ponferrada")</f>
        <v>Ponferrada</v>
      </c>
      <c r="F433" s="57">
        <f ca="1">IFERROR(__xludf.DUMMYFUNCTION("""COMPUTED_VALUE"""),45729)</f>
        <v>45729</v>
      </c>
      <c r="G433" s="57">
        <f ca="1">IFERROR(__xludf.DUMMYFUNCTION("""COMPUTED_VALUE"""),45097)</f>
        <v>45097</v>
      </c>
      <c r="H433" s="33" t="str">
        <f ca="1">IFERROR(__xludf.DUMMYFUNCTION("""COMPUTED_VALUE"""),"Ponferrada")</f>
        <v>Ponferrada</v>
      </c>
      <c r="I433" s="33" t="str">
        <f ca="1">IFERROR(__xludf.DUMMYFUNCTION("""COMPUTED_VALUE"""),"PON-510")</f>
        <v>PON-510</v>
      </c>
      <c r="J433" s="33" t="str">
        <f ca="1">IFERROR(__xludf.DUMMYFUNCTION("""COMPUTED_VALUE"""),"ELIDIA MANCEÑIDO LOPEZ")</f>
        <v>ELIDIA MANCEÑIDO LOPEZ</v>
      </c>
      <c r="K433" s="33">
        <f ca="1">IFERROR(__xludf.DUMMYFUNCTION("""COMPUTED_VALUE"""),2)</f>
        <v>2</v>
      </c>
      <c r="L433" s="203">
        <f ca="1">IFERROR(__xludf.DUMMYFUNCTION("""COMPUTED_VALUE"""),2545.45)</f>
        <v>2545.4499999999998</v>
      </c>
      <c r="M433" s="33" t="str">
        <f ca="1">IFERROR(__xludf.DUMMYFUNCTION("""COMPUTED_VALUE"""),"03 ORL")</f>
        <v>03 ORL</v>
      </c>
      <c r="N433" s="33" t="str">
        <f ca="1">IFERROR(__xludf.DUMMYFUNCTION("""COMPUTED_VALUE"""),"06 ORL")</f>
        <v>06 ORL</v>
      </c>
      <c r="O433" s="33" t="str">
        <f ca="1">IFERROR(__xludf.DUMMYFUNCTION("""COMPUTED_VALUE"""),"Dra, Mónica Granda Rosales")</f>
        <v>Dra, Mónica Granda Rosales</v>
      </c>
      <c r="P433" s="33" t="str">
        <f ca="1">IFERROR(__xludf.DUMMYFUNCTION("""COMPUTED_VALUE"""),"Patricia Solache (Castilla Y León)")</f>
        <v>Patricia Solache (Castilla Y León)</v>
      </c>
    </row>
    <row r="434" spans="2:16">
      <c r="B434" s="33">
        <f ca="1">IFERROR(__xludf.DUMMYFUNCTION("""COMPUTED_VALUE"""),2025)</f>
        <v>2025</v>
      </c>
      <c r="C434" s="33">
        <f ca="1">IFERROR(__xludf.DUMMYFUNCTION("""COMPUTED_VALUE"""),3)</f>
        <v>3</v>
      </c>
      <c r="D434" s="33" t="str">
        <f ca="1">IFERROR(__xludf.DUMMYFUNCTION("""COMPUTED_VALUE"""),"NO")</f>
        <v>NO</v>
      </c>
      <c r="E434" s="33" t="str">
        <f ca="1">IFERROR(__xludf.DUMMYFUNCTION("""COMPUTED_VALUE"""),"Vilagacía De Arousa")</f>
        <v>Vilagacía De Arousa</v>
      </c>
      <c r="F434" s="57">
        <f ca="1">IFERROR(__xludf.DUMMYFUNCTION("""COMPUTED_VALUE"""),45729)</f>
        <v>45729</v>
      </c>
      <c r="G434" s="57">
        <f ca="1">IFERROR(__xludf.DUMMYFUNCTION("""COMPUTED_VALUE"""),45706)</f>
        <v>45706</v>
      </c>
      <c r="H434" s="33" t="str">
        <f ca="1">IFERROR(__xludf.DUMMYFUNCTION("""COMPUTED_VALUE"""),"Vilagarcía")</f>
        <v>Vilagarcía</v>
      </c>
      <c r="I434" s="33" t="str">
        <f ca="1">IFERROR(__xludf.DUMMYFUNCTION("""COMPUTED_VALUE"""),"VLG-103")</f>
        <v>VLG-103</v>
      </c>
      <c r="J434" s="33" t="str">
        <f ca="1">IFERROR(__xludf.DUMMYFUNCTION("""COMPUTED_VALUE"""),"MERCEDES PEREZ FERNANDEZ")</f>
        <v>MERCEDES PEREZ FERNANDEZ</v>
      </c>
      <c r="K434" s="33">
        <f ca="1">IFERROR(__xludf.DUMMYFUNCTION("""COMPUTED_VALUE"""),2)</f>
        <v>2</v>
      </c>
      <c r="L434" s="203">
        <f ca="1">IFERROR(__xludf.DUMMYFUNCTION("""COMPUTED_VALUE"""),2727.27)</f>
        <v>2727.27</v>
      </c>
      <c r="M434" s="33" t="str">
        <f ca="1">IFERROR(__xludf.DUMMYFUNCTION("""COMPUTED_VALUE"""),"03 ORL")</f>
        <v>03 ORL</v>
      </c>
      <c r="N434" s="33" t="str">
        <f ca="1">IFERROR(__xludf.DUMMYFUNCTION("""COMPUTED_VALUE"""),"06 ORL")</f>
        <v>06 ORL</v>
      </c>
      <c r="O434" s="33" t="str">
        <f ca="1">IFERROR(__xludf.DUMMYFUNCTION("""COMPUTED_VALUE"""),"Dr, Joaquín Pérez Villar")</f>
        <v>Dr, Joaquín Pérez Villar</v>
      </c>
      <c r="P434" s="33" t="str">
        <f ca="1">IFERROR(__xludf.DUMMYFUNCTION("""COMPUTED_VALUE"""),"Roberto Pereira (Galicia)")</f>
        <v>Roberto Pereira (Galicia)</v>
      </c>
    </row>
    <row r="435" spans="2:16">
      <c r="B435" s="33">
        <f ca="1">IFERROR(__xludf.DUMMYFUNCTION("""COMPUTED_VALUE"""),2025)</f>
        <v>2025</v>
      </c>
      <c r="C435" s="33">
        <f ca="1">IFERROR(__xludf.DUMMYFUNCTION("""COMPUTED_VALUE"""),3)</f>
        <v>3</v>
      </c>
      <c r="D435" s="33" t="str">
        <f ca="1">IFERROR(__xludf.DUMMYFUNCTION("""COMPUTED_VALUE"""),"NO")</f>
        <v>NO</v>
      </c>
      <c r="E435" s="33" t="str">
        <f ca="1">IFERROR(__xludf.DUMMYFUNCTION("""COMPUTED_VALUE"""),"Valladolid")</f>
        <v>Valladolid</v>
      </c>
      <c r="F435" s="57">
        <f ca="1">IFERROR(__xludf.DUMMYFUNCTION("""COMPUTED_VALUE"""),45733)</f>
        <v>45733</v>
      </c>
      <c r="G435" s="57">
        <f ca="1">IFERROR(__xludf.DUMMYFUNCTION("""COMPUTED_VALUE"""),45687)</f>
        <v>45687</v>
      </c>
      <c r="H435" s="33" t="str">
        <f ca="1">IFERROR(__xludf.DUMMYFUNCTION("""COMPUTED_VALUE"""),"Valladolid")</f>
        <v>Valladolid</v>
      </c>
      <c r="I435" s="33" t="str">
        <f ca="1">IFERROR(__xludf.DUMMYFUNCTION("""COMPUTED_VALUE"""),"VLL-330")</f>
        <v>VLL-330</v>
      </c>
      <c r="J435" s="33" t="str">
        <f ca="1">IFERROR(__xludf.DUMMYFUNCTION("""COMPUTED_VALUE"""),"SHEILA FERNANDEZ HERRERO")</f>
        <v>SHEILA FERNANDEZ HERRERO</v>
      </c>
      <c r="K435" s="33">
        <f ca="1">IFERROR(__xludf.DUMMYFUNCTION("""COMPUTED_VALUE"""),2)</f>
        <v>2</v>
      </c>
      <c r="L435" s="203">
        <f ca="1">IFERROR(__xludf.DUMMYFUNCTION("""COMPUTED_VALUE"""),4431.82)</f>
        <v>4431.82</v>
      </c>
      <c r="M435" s="33" t="str">
        <f ca="1">IFERROR(__xludf.DUMMYFUNCTION("""COMPUTED_VALUE"""),"03 ORL")</f>
        <v>03 ORL</v>
      </c>
      <c r="N435" s="33" t="str">
        <f ca="1">IFERROR(__xludf.DUMMYFUNCTION("""COMPUTED_VALUE"""),"06 ORL")</f>
        <v>06 ORL</v>
      </c>
      <c r="O435" s="33" t="str">
        <f ca="1">IFERROR(__xludf.DUMMYFUNCTION("""COMPUTED_VALUE"""),"Dra, Ana Fernández Rodríguez")</f>
        <v>Dra, Ana Fernández Rodríguez</v>
      </c>
      <c r="P435" s="33" t="str">
        <f ca="1">IFERROR(__xludf.DUMMYFUNCTION("""COMPUTED_VALUE"""),"Patricia Solache (Castilla Y León)")</f>
        <v>Patricia Solache (Castilla Y León)</v>
      </c>
    </row>
    <row r="436" spans="2:16">
      <c r="B436" s="33">
        <f ca="1">IFERROR(__xludf.DUMMYFUNCTION("""COMPUTED_VALUE"""),2025)</f>
        <v>2025</v>
      </c>
      <c r="C436" s="33">
        <f ca="1">IFERROR(__xludf.DUMMYFUNCTION("""COMPUTED_VALUE"""),3)</f>
        <v>3</v>
      </c>
      <c r="D436" s="33" t="str">
        <f ca="1">IFERROR(__xludf.DUMMYFUNCTION("""COMPUTED_VALUE"""),"NO")</f>
        <v>NO</v>
      </c>
      <c r="E436" s="33" t="str">
        <f ca="1">IFERROR(__xludf.DUMMYFUNCTION("""COMPUTED_VALUE"""),"Ponferrada")</f>
        <v>Ponferrada</v>
      </c>
      <c r="F436" s="57">
        <f ca="1">IFERROR(__xludf.DUMMYFUNCTION("""COMPUTED_VALUE"""),45734)</f>
        <v>45734</v>
      </c>
      <c r="G436" s="57">
        <f ca="1">IFERROR(__xludf.DUMMYFUNCTION("""COMPUTED_VALUE"""),45621)</f>
        <v>45621</v>
      </c>
      <c r="H436" s="33" t="str">
        <f ca="1">IFERROR(__xludf.DUMMYFUNCTION("""COMPUTED_VALUE"""),"Ponferrada")</f>
        <v>Ponferrada</v>
      </c>
      <c r="I436" s="33" t="str">
        <f ca="1">IFERROR(__xludf.DUMMYFUNCTION("""COMPUTED_VALUE"""),"PON-832")</f>
        <v>PON-832</v>
      </c>
      <c r="J436" s="33" t="str">
        <f ca="1">IFERROR(__xludf.DUMMYFUNCTION("""COMPUTED_VALUE"""),"EMILIO ALVAREZ RAMON")</f>
        <v>EMILIO ALVAREZ RAMON</v>
      </c>
      <c r="K436" s="33">
        <f ca="1">IFERROR(__xludf.DUMMYFUNCTION("""COMPUTED_VALUE"""),2)</f>
        <v>2</v>
      </c>
      <c r="L436" s="203">
        <f ca="1">IFERROR(__xludf.DUMMYFUNCTION("""COMPUTED_VALUE"""),3647.73)</f>
        <v>3647.73</v>
      </c>
      <c r="M436" s="33" t="str">
        <f ca="1">IFERROR(__xludf.DUMMYFUNCTION("""COMPUTED_VALUE"""),"03 ORL")</f>
        <v>03 ORL</v>
      </c>
      <c r="N436" s="33" t="str">
        <f ca="1">IFERROR(__xludf.DUMMYFUNCTION("""COMPUTED_VALUE"""),"06 ORL")</f>
        <v>06 ORL</v>
      </c>
      <c r="O436" s="33" t="str">
        <f ca="1">IFERROR(__xludf.DUMMYFUNCTION("""COMPUTED_VALUE"""),"Dr, José Miguel Tejada Bautista")</f>
        <v>Dr, José Miguel Tejada Bautista</v>
      </c>
      <c r="P436" s="33" t="str">
        <f ca="1">IFERROR(__xludf.DUMMYFUNCTION("""COMPUTED_VALUE"""),"Patricia Solache (Castilla Y León)")</f>
        <v>Patricia Solache (Castilla Y León)</v>
      </c>
    </row>
    <row r="437" spans="2:16">
      <c r="B437" s="33">
        <f ca="1">IFERROR(__xludf.DUMMYFUNCTION("""COMPUTED_VALUE"""),2025)</f>
        <v>2025</v>
      </c>
      <c r="C437" s="33">
        <f ca="1">IFERROR(__xludf.DUMMYFUNCTION("""COMPUTED_VALUE"""),3)</f>
        <v>3</v>
      </c>
      <c r="D437" s="33" t="str">
        <f ca="1">IFERROR(__xludf.DUMMYFUNCTION("""COMPUTED_VALUE"""),"NO")</f>
        <v>NO</v>
      </c>
      <c r="E437" s="33" t="str">
        <f ca="1">IFERROR(__xludf.DUMMYFUNCTION("""COMPUTED_VALUE"""),"Cáceres")</f>
        <v>Cáceres</v>
      </c>
      <c r="F437" s="57">
        <f ca="1">IFERROR(__xludf.DUMMYFUNCTION("""COMPUTED_VALUE"""),45735)</f>
        <v>45735</v>
      </c>
      <c r="G437" s="57">
        <f ca="1">IFERROR(__xludf.DUMMYFUNCTION("""COMPUTED_VALUE"""),45701)</f>
        <v>45701</v>
      </c>
      <c r="H437" s="33" t="str">
        <f ca="1">IFERROR(__xludf.DUMMYFUNCTION("""COMPUTED_VALUE"""),"Cáceres")</f>
        <v>Cáceres</v>
      </c>
      <c r="I437" s="33" t="str">
        <f ca="1">IFERROR(__xludf.DUMMYFUNCTION("""COMPUTED_VALUE"""),"CAC-235")</f>
        <v>CAC-235</v>
      </c>
      <c r="J437" s="33" t="str">
        <f ca="1">IFERROR(__xludf.DUMMYFUNCTION("""COMPUTED_VALUE"""),"MARIA CARMEN CASERO ARIAS")</f>
        <v>MARIA CARMEN CASERO ARIAS</v>
      </c>
      <c r="K437" s="33">
        <f ca="1">IFERROR(__xludf.DUMMYFUNCTION("""COMPUTED_VALUE"""),2)</f>
        <v>2</v>
      </c>
      <c r="L437" s="203">
        <f ca="1">IFERROR(__xludf.DUMMYFUNCTION("""COMPUTED_VALUE"""),3429.09)</f>
        <v>3429.09</v>
      </c>
      <c r="M437" s="33" t="str">
        <f ca="1">IFERROR(__xludf.DUMMYFUNCTION("""COMPUTED_VALUE"""),"03 ORL")</f>
        <v>03 ORL</v>
      </c>
      <c r="N437" s="33" t="str">
        <f ca="1">IFERROR(__xludf.DUMMYFUNCTION("""COMPUTED_VALUE"""),"06 ORL")</f>
        <v>06 ORL</v>
      </c>
      <c r="O437" s="33" t="str">
        <f ca="1">IFERROR(__xludf.DUMMYFUNCTION("""COMPUTED_VALUE"""),"Dr, Javier García Gómez")</f>
        <v>Dr, Javier García Gómez</v>
      </c>
      <c r="P437" s="33" t="str">
        <f ca="1">IFERROR(__xludf.DUMMYFUNCTION("""COMPUTED_VALUE"""),"Lisandro Russian (Madrid, Cáceres, Toledo, Talavera Y Logroño)")</f>
        <v>Lisandro Russian (Madrid, Cáceres, Toledo, Talavera Y Logroño)</v>
      </c>
    </row>
    <row r="438" spans="2:16">
      <c r="B438" s="33">
        <f ca="1">IFERROR(__xludf.DUMMYFUNCTION("""COMPUTED_VALUE"""),2025)</f>
        <v>2025</v>
      </c>
      <c r="C438" s="33">
        <f ca="1">IFERROR(__xludf.DUMMYFUNCTION("""COMPUTED_VALUE"""),3)</f>
        <v>3</v>
      </c>
      <c r="D438" s="33" t="str">
        <f ca="1">IFERROR(__xludf.DUMMYFUNCTION("""COMPUTED_VALUE"""),"NO")</f>
        <v>NO</v>
      </c>
      <c r="E438" s="33" t="str">
        <f ca="1">IFERROR(__xludf.DUMMYFUNCTION("""COMPUTED_VALUE"""),"Valladolid")</f>
        <v>Valladolid</v>
      </c>
      <c r="F438" s="57">
        <f ca="1">IFERROR(__xludf.DUMMYFUNCTION("""COMPUTED_VALUE"""),45735)</f>
        <v>45735</v>
      </c>
      <c r="G438" s="57">
        <f ca="1">IFERROR(__xludf.DUMMYFUNCTION("""COMPUTED_VALUE"""),45691)</f>
        <v>45691</v>
      </c>
      <c r="H438" s="33" t="str">
        <f ca="1">IFERROR(__xludf.DUMMYFUNCTION("""COMPUTED_VALUE"""),"Valladolid")</f>
        <v>Valladolid</v>
      </c>
      <c r="I438" s="33" t="str">
        <f ca="1">IFERROR(__xludf.DUMMYFUNCTION("""COMPUTED_VALUE"""),"VLL-120")</f>
        <v>VLL-120</v>
      </c>
      <c r="J438" s="33" t="str">
        <f ca="1">IFERROR(__xludf.DUMMYFUNCTION("""COMPUTED_VALUE"""),"MIGUEL ANGEL GARCIA HERRERO")</f>
        <v>MIGUEL ANGEL GARCIA HERRERO</v>
      </c>
      <c r="K438" s="33">
        <f ca="1">IFERROR(__xludf.DUMMYFUNCTION("""COMPUTED_VALUE"""),2)</f>
        <v>2</v>
      </c>
      <c r="L438" s="203">
        <f ca="1">IFERROR(__xludf.DUMMYFUNCTION("""COMPUTED_VALUE"""),3886.36)</f>
        <v>3886.36</v>
      </c>
      <c r="M438" s="33" t="str">
        <f ca="1">IFERROR(__xludf.DUMMYFUNCTION("""COMPUTED_VALUE"""),"03 ORL")</f>
        <v>03 ORL</v>
      </c>
      <c r="N438" s="33" t="str">
        <f ca="1">IFERROR(__xludf.DUMMYFUNCTION("""COMPUTED_VALUE"""),"06 ORL")</f>
        <v>06 ORL</v>
      </c>
      <c r="O438" s="33" t="str">
        <f ca="1">IFERROR(__xludf.DUMMYFUNCTION("""COMPUTED_VALUE"""),"Dra, Patricia Viveros Diez")</f>
        <v>Dra, Patricia Viveros Diez</v>
      </c>
      <c r="P438" s="33" t="str">
        <f ca="1">IFERROR(__xludf.DUMMYFUNCTION("""COMPUTED_VALUE"""),"Patricia Solache (Castilla Y León)")</f>
        <v>Patricia Solache (Castilla Y León)</v>
      </c>
    </row>
    <row r="439" spans="2:16">
      <c r="B439" s="33">
        <f ca="1">IFERROR(__xludf.DUMMYFUNCTION("""COMPUTED_VALUE"""),2025)</f>
        <v>2025</v>
      </c>
      <c r="C439" s="33">
        <f ca="1">IFERROR(__xludf.DUMMYFUNCTION("""COMPUTED_VALUE"""),3)</f>
        <v>3</v>
      </c>
      <c r="D439" s="33" t="str">
        <f ca="1">IFERROR(__xludf.DUMMYFUNCTION("""COMPUTED_VALUE"""),"NO")</f>
        <v>NO</v>
      </c>
      <c r="E439" s="33" t="str">
        <f ca="1">IFERROR(__xludf.DUMMYFUNCTION("""COMPUTED_VALUE"""),"Boiro")</f>
        <v>Boiro</v>
      </c>
      <c r="F439" s="57">
        <f ca="1">IFERROR(__xludf.DUMMYFUNCTION("""COMPUTED_VALUE"""),45737)</f>
        <v>45737</v>
      </c>
      <c r="G439" s="57">
        <f ca="1">IFERROR(__xludf.DUMMYFUNCTION("""COMPUTED_VALUE"""),45450)</f>
        <v>45450</v>
      </c>
      <c r="H439" s="33" t="str">
        <f ca="1">IFERROR(__xludf.DUMMYFUNCTION("""COMPUTED_VALUE"""),"Boiro")</f>
        <v>Boiro</v>
      </c>
      <c r="I439" s="33" t="str">
        <f ca="1">IFERROR(__xludf.DUMMYFUNCTION("""COMPUTED_VALUE"""),"BOI-845")</f>
        <v>BOI-845</v>
      </c>
      <c r="J439" s="33" t="str">
        <f ca="1">IFERROR(__xludf.DUMMYFUNCTION("""COMPUTED_VALUE"""),"MARIA JOSEFA BLANCO BLANCO")</f>
        <v>MARIA JOSEFA BLANCO BLANCO</v>
      </c>
      <c r="K439" s="33">
        <f ca="1">IFERROR(__xludf.DUMMYFUNCTION("""COMPUTED_VALUE"""),1)</f>
        <v>1</v>
      </c>
      <c r="L439" s="203">
        <f ca="1">IFERROR(__xludf.DUMMYFUNCTION("""COMPUTED_VALUE"""),409.09)</f>
        <v>409.09</v>
      </c>
      <c r="M439" s="33" t="str">
        <f ca="1">IFERROR(__xludf.DUMMYFUNCTION("""COMPUTED_VALUE"""),"03 ORL")</f>
        <v>03 ORL</v>
      </c>
      <c r="N439" s="33" t="str">
        <f ca="1">IFERROR(__xludf.DUMMYFUNCTION("""COMPUTED_VALUE"""),"06 ORL")</f>
        <v>06 ORL</v>
      </c>
      <c r="O439" s="33" t="str">
        <f ca="1">IFERROR(__xludf.DUMMYFUNCTION("""COMPUTED_VALUE"""),"Dr, Ernesto Varela Martínez")</f>
        <v>Dr, Ernesto Varela Martínez</v>
      </c>
      <c r="P439" s="33" t="str">
        <f ca="1">IFERROR(__xludf.DUMMYFUNCTION("""COMPUTED_VALUE"""),"Roberto Pereira (Galicia)")</f>
        <v>Roberto Pereira (Galicia)</v>
      </c>
    </row>
    <row r="440" spans="2:16">
      <c r="B440" s="33">
        <f ca="1">IFERROR(__xludf.DUMMYFUNCTION("""COMPUTED_VALUE"""),2025)</f>
        <v>2025</v>
      </c>
      <c r="C440" s="33">
        <f ca="1">IFERROR(__xludf.DUMMYFUNCTION("""COMPUTED_VALUE"""),3)</f>
        <v>3</v>
      </c>
      <c r="D440" s="33" t="str">
        <f ca="1">IFERROR(__xludf.DUMMYFUNCTION("""COMPUTED_VALUE"""),"NO")</f>
        <v>NO</v>
      </c>
      <c r="E440" s="33" t="str">
        <f ca="1">IFERROR(__xludf.DUMMYFUNCTION("""COMPUTED_VALUE"""),"Culleredo")</f>
        <v>Culleredo</v>
      </c>
      <c r="F440" s="57">
        <f ca="1">IFERROR(__xludf.DUMMYFUNCTION("""COMPUTED_VALUE"""),45737)</f>
        <v>45737</v>
      </c>
      <c r="G440" s="57">
        <f ca="1">IFERROR(__xludf.DUMMYFUNCTION("""COMPUTED_VALUE"""),45686)</f>
        <v>45686</v>
      </c>
      <c r="H440" s="33" t="str">
        <f ca="1">IFERROR(__xludf.DUMMYFUNCTION("""COMPUTED_VALUE"""),"Culleredo")</f>
        <v>Culleredo</v>
      </c>
      <c r="I440" s="33" t="str">
        <f ca="1">IFERROR(__xludf.DUMMYFUNCTION("""COMPUTED_VALUE"""),"CULL-159")</f>
        <v>CULL-159</v>
      </c>
      <c r="J440" s="33" t="str">
        <f ca="1">IFERROR(__xludf.DUMMYFUNCTION("""COMPUTED_VALUE"""),"MARIA FILOMENA SUAREZ GARCIA")</f>
        <v>MARIA FILOMENA SUAREZ GARCIA</v>
      </c>
      <c r="K440" s="33">
        <f ca="1">IFERROR(__xludf.DUMMYFUNCTION("""COMPUTED_VALUE"""),2)</f>
        <v>2</v>
      </c>
      <c r="L440" s="203">
        <f ca="1">IFERROR(__xludf.DUMMYFUNCTION("""COMPUTED_VALUE"""),3818.18)</f>
        <v>3818.18</v>
      </c>
      <c r="M440" s="33" t="str">
        <f ca="1">IFERROR(__xludf.DUMMYFUNCTION("""COMPUTED_VALUE"""),"03 ORL")</f>
        <v>03 ORL</v>
      </c>
      <c r="N440" s="33" t="str">
        <f ca="1">IFERROR(__xludf.DUMMYFUNCTION("""COMPUTED_VALUE"""),"06 ORL")</f>
        <v>06 ORL</v>
      </c>
      <c r="O440" s="33" t="str">
        <f ca="1">IFERROR(__xludf.DUMMYFUNCTION("""COMPUTED_VALUE"""),"Dr, Joaquín Guerra Gómez")</f>
        <v>Dr, Joaquín Guerra Gómez</v>
      </c>
      <c r="P440" s="33" t="str">
        <f ca="1">IFERROR(__xludf.DUMMYFUNCTION("""COMPUTED_VALUE"""),"Roberto Pereira (Galicia)")</f>
        <v>Roberto Pereira (Galicia)</v>
      </c>
    </row>
    <row r="441" spans="2:16">
      <c r="B441" s="33">
        <f ca="1">IFERROR(__xludf.DUMMYFUNCTION("""COMPUTED_VALUE"""),2025)</f>
        <v>2025</v>
      </c>
      <c r="C441" s="33">
        <f ca="1">IFERROR(__xludf.DUMMYFUNCTION("""COMPUTED_VALUE"""),3)</f>
        <v>3</v>
      </c>
      <c r="D441" s="33" t="str">
        <f ca="1">IFERROR(__xludf.DUMMYFUNCTION("""COMPUTED_VALUE"""),"NO")</f>
        <v>NO</v>
      </c>
      <c r="E441" s="33" t="str">
        <f ca="1">IFERROR(__xludf.DUMMYFUNCTION("""COMPUTED_VALUE"""),"Vigo")</f>
        <v>Vigo</v>
      </c>
      <c r="F441" s="57">
        <f ca="1">IFERROR(__xludf.DUMMYFUNCTION("""COMPUTED_VALUE"""),45737)</f>
        <v>45737</v>
      </c>
      <c r="G441" s="57">
        <f ca="1">IFERROR(__xludf.DUMMYFUNCTION("""COMPUTED_VALUE"""),45693)</f>
        <v>45693</v>
      </c>
      <c r="H441" s="33" t="str">
        <f ca="1">IFERROR(__xludf.DUMMYFUNCTION("""COMPUTED_VALUE"""),"Vigo")</f>
        <v>Vigo</v>
      </c>
      <c r="I441" s="33" t="str">
        <f ca="1">IFERROR(__xludf.DUMMYFUNCTION("""COMPUTED_VALUE"""),"VIG-537")</f>
        <v>VIG-537</v>
      </c>
      <c r="J441" s="33" t="str">
        <f ca="1">IFERROR(__xludf.DUMMYFUNCTION("""COMPUTED_VALUE"""),"FERNANDEZ MARTINEZ CARMEN")</f>
        <v>FERNANDEZ MARTINEZ CARMEN</v>
      </c>
      <c r="K441" s="33">
        <f ca="1">IFERROR(__xludf.DUMMYFUNCTION("""COMPUTED_VALUE"""),2)</f>
        <v>2</v>
      </c>
      <c r="L441" s="203">
        <f ca="1">IFERROR(__xludf.DUMMYFUNCTION("""COMPUTED_VALUE"""),3454.55)</f>
        <v>3454.55</v>
      </c>
      <c r="M441" s="33" t="str">
        <f ca="1">IFERROR(__xludf.DUMMYFUNCTION("""COMPUTED_VALUE"""),"03 ORL")</f>
        <v>03 ORL</v>
      </c>
      <c r="N441" s="33" t="str">
        <f ca="1">IFERROR(__xludf.DUMMYFUNCTION("""COMPUTED_VALUE"""),"06 ORL")</f>
        <v>06 ORL</v>
      </c>
      <c r="O441" s="33" t="str">
        <f ca="1">IFERROR(__xludf.DUMMYFUNCTION("""COMPUTED_VALUE"""),"Dr, Manuel Estevez García")</f>
        <v>Dr, Manuel Estevez García</v>
      </c>
      <c r="P441" s="33" t="str">
        <f ca="1">IFERROR(__xludf.DUMMYFUNCTION("""COMPUTED_VALUE"""),"Roberto Pereira (Galicia)")</f>
        <v>Roberto Pereira (Galicia)</v>
      </c>
    </row>
    <row r="442" spans="2:16">
      <c r="B442" s="33">
        <f ca="1">IFERROR(__xludf.DUMMYFUNCTION("""COMPUTED_VALUE"""),2025)</f>
        <v>2025</v>
      </c>
      <c r="C442" s="33">
        <f ca="1">IFERROR(__xludf.DUMMYFUNCTION("""COMPUTED_VALUE"""),3)</f>
        <v>3</v>
      </c>
      <c r="D442" s="33" t="str">
        <f ca="1">IFERROR(__xludf.DUMMYFUNCTION("""COMPUTED_VALUE"""),"NO")</f>
        <v>NO</v>
      </c>
      <c r="E442" s="33" t="str">
        <f ca="1">IFERROR(__xludf.DUMMYFUNCTION("""COMPUTED_VALUE"""),"Terrassa")</f>
        <v>Terrassa</v>
      </c>
      <c r="F442" s="57">
        <f ca="1">IFERROR(__xludf.DUMMYFUNCTION("""COMPUTED_VALUE"""),45738)</f>
        <v>45738</v>
      </c>
      <c r="G442" s="57">
        <f ca="1">IFERROR(__xludf.DUMMYFUNCTION("""COMPUTED_VALUE"""),45674)</f>
        <v>45674</v>
      </c>
      <c r="H442" s="33" t="str">
        <f ca="1">IFERROR(__xludf.DUMMYFUNCTION("""COMPUTED_VALUE"""),"Terrassa")</f>
        <v>Terrassa</v>
      </c>
      <c r="I442" s="33" t="str">
        <f ca="1">IFERROR(__xludf.DUMMYFUNCTION("""COMPUTED_VALUE"""),"TRR-343")</f>
        <v>TRR-343</v>
      </c>
      <c r="J442" s="33" t="str">
        <f ca="1">IFERROR(__xludf.DUMMYFUNCTION("""COMPUTED_VALUE"""),"NATALIA CEREZO SOLA")</f>
        <v>NATALIA CEREZO SOLA</v>
      </c>
      <c r="K442" s="33">
        <f ca="1">IFERROR(__xludf.DUMMYFUNCTION("""COMPUTED_VALUE"""),2)</f>
        <v>2</v>
      </c>
      <c r="L442" s="203">
        <f ca="1">IFERROR(__xludf.DUMMYFUNCTION("""COMPUTED_VALUE"""),3515.91)</f>
        <v>3515.91</v>
      </c>
      <c r="M442" s="33" t="str">
        <f ca="1">IFERROR(__xludf.DUMMYFUNCTION("""COMPUTED_VALUE"""),"03 ORL")</f>
        <v>03 ORL</v>
      </c>
      <c r="N442" s="33" t="str">
        <f ca="1">IFERROR(__xludf.DUMMYFUNCTION("""COMPUTED_VALUE"""),"06 ORL")</f>
        <v>06 ORL</v>
      </c>
      <c r="O442" s="33" t="str">
        <f ca="1">IFERROR(__xludf.DUMMYFUNCTION("""COMPUTED_VALUE"""),"Dr, Joaquim Broto Sumalla")</f>
        <v>Dr, Joaquim Broto Sumalla</v>
      </c>
      <c r="P442" s="33" t="str">
        <f ca="1">IFERROR(__xludf.DUMMYFUNCTION("""COMPUTED_VALUE"""),"Mercè Cabrera (Cataluña Y Baleares)")</f>
        <v>Mercè Cabrera (Cataluña Y Baleares)</v>
      </c>
    </row>
    <row r="443" spans="2:16">
      <c r="B443" s="33">
        <f ca="1">IFERROR(__xludf.DUMMYFUNCTION("""COMPUTED_VALUE"""),2025)</f>
        <v>2025</v>
      </c>
      <c r="C443" s="33">
        <f ca="1">IFERROR(__xludf.DUMMYFUNCTION("""COMPUTED_VALUE"""),3)</f>
        <v>3</v>
      </c>
      <c r="D443" s="33" t="str">
        <f ca="1">IFERROR(__xludf.DUMMYFUNCTION("""COMPUTED_VALUE"""),"NO")</f>
        <v>NO</v>
      </c>
      <c r="E443" s="33" t="str">
        <f ca="1">IFERROR(__xludf.DUMMYFUNCTION("""COMPUTED_VALUE"""),"Ponferrada")</f>
        <v>Ponferrada</v>
      </c>
      <c r="F443" s="57">
        <f ca="1">IFERROR(__xludf.DUMMYFUNCTION("""COMPUTED_VALUE"""),45738)</f>
        <v>45738</v>
      </c>
      <c r="G443" s="57">
        <f ca="1">IFERROR(__xludf.DUMMYFUNCTION("""COMPUTED_VALUE"""),45653)</f>
        <v>45653</v>
      </c>
      <c r="H443" s="33" t="str">
        <f ca="1">IFERROR(__xludf.DUMMYFUNCTION("""COMPUTED_VALUE"""),"Ponferrada")</f>
        <v>Ponferrada</v>
      </c>
      <c r="I443" s="33" t="str">
        <f ca="1">IFERROR(__xludf.DUMMYFUNCTION("""COMPUTED_VALUE"""),"PON-850")</f>
        <v>PON-850</v>
      </c>
      <c r="J443" s="33" t="str">
        <f ca="1">IFERROR(__xludf.DUMMYFUNCTION("""COMPUTED_VALUE"""),"ANICETO ARIAS GONZALEZ")</f>
        <v>ANICETO ARIAS GONZALEZ</v>
      </c>
      <c r="K443" s="33">
        <f ca="1">IFERROR(__xludf.DUMMYFUNCTION("""COMPUTED_VALUE"""),2)</f>
        <v>2</v>
      </c>
      <c r="L443" s="203">
        <f ca="1">IFERROR(__xludf.DUMMYFUNCTION("""COMPUTED_VALUE"""),3909.09)</f>
        <v>3909.09</v>
      </c>
      <c r="M443" s="33" t="str">
        <f ca="1">IFERROR(__xludf.DUMMYFUNCTION("""COMPUTED_VALUE"""),"03 ORL")</f>
        <v>03 ORL</v>
      </c>
      <c r="N443" s="33" t="str">
        <f ca="1">IFERROR(__xludf.DUMMYFUNCTION("""COMPUTED_VALUE"""),"06 ORL")</f>
        <v>06 ORL</v>
      </c>
      <c r="O443" s="33" t="str">
        <f ca="1">IFERROR(__xludf.DUMMYFUNCTION("""COMPUTED_VALUE"""),"Dra, Mónica Granda Rosales")</f>
        <v>Dra, Mónica Granda Rosales</v>
      </c>
      <c r="P443" s="33" t="str">
        <f ca="1">IFERROR(__xludf.DUMMYFUNCTION("""COMPUTED_VALUE"""),"Patricia Solache (Castilla Y León)")</f>
        <v>Patricia Solache (Castilla Y León)</v>
      </c>
    </row>
    <row r="444" spans="2:16">
      <c r="B444" s="33">
        <f ca="1">IFERROR(__xludf.DUMMYFUNCTION("""COMPUTED_VALUE"""),2025)</f>
        <v>2025</v>
      </c>
      <c r="C444" s="33">
        <f ca="1">IFERROR(__xludf.DUMMYFUNCTION("""COMPUTED_VALUE"""),3)</f>
        <v>3</v>
      </c>
      <c r="D444" s="33" t="str">
        <f ca="1">IFERROR(__xludf.DUMMYFUNCTION("""COMPUTED_VALUE"""),"NO")</f>
        <v>NO</v>
      </c>
      <c r="E444" s="33" t="str">
        <f ca="1">IFERROR(__xludf.DUMMYFUNCTION("""COMPUTED_VALUE"""),"Valladolid")</f>
        <v>Valladolid</v>
      </c>
      <c r="F444" s="57">
        <f ca="1">IFERROR(__xludf.DUMMYFUNCTION("""COMPUTED_VALUE"""),45740)</f>
        <v>45740</v>
      </c>
      <c r="G444" s="57">
        <f ca="1">IFERROR(__xludf.DUMMYFUNCTION("""COMPUTED_VALUE"""),45695)</f>
        <v>45695</v>
      </c>
      <c r="H444" s="33" t="str">
        <f ca="1">IFERROR(__xludf.DUMMYFUNCTION("""COMPUTED_VALUE"""),"Valladolid")</f>
        <v>Valladolid</v>
      </c>
      <c r="I444" s="33" t="str">
        <f ca="1">IFERROR(__xludf.DUMMYFUNCTION("""COMPUTED_VALUE"""),"VLL-342")</f>
        <v>VLL-342</v>
      </c>
      <c r="J444" s="33" t="str">
        <f ca="1">IFERROR(__xludf.DUMMYFUNCTION("""COMPUTED_VALUE"""),"ROSARIO ZAMORANO CABO")</f>
        <v>ROSARIO ZAMORANO CABO</v>
      </c>
      <c r="K444" s="33">
        <f ca="1">IFERROR(__xludf.DUMMYFUNCTION("""COMPUTED_VALUE"""),2)</f>
        <v>2</v>
      </c>
      <c r="L444" s="203">
        <f ca="1">IFERROR(__xludf.DUMMYFUNCTION("""COMPUTED_VALUE"""),3977.27)</f>
        <v>3977.27</v>
      </c>
      <c r="M444" s="33" t="str">
        <f ca="1">IFERROR(__xludf.DUMMYFUNCTION("""COMPUTED_VALUE"""),"03 ORL")</f>
        <v>03 ORL</v>
      </c>
      <c r="N444" s="33" t="str">
        <f ca="1">IFERROR(__xludf.DUMMYFUNCTION("""COMPUTED_VALUE"""),"06 ORL")</f>
        <v>06 ORL</v>
      </c>
      <c r="O444" s="33" t="str">
        <f ca="1">IFERROR(__xludf.DUMMYFUNCTION("""COMPUTED_VALUE"""),"Dr, Carlos Miguel Salvador Martínez")</f>
        <v>Dr, Carlos Miguel Salvador Martínez</v>
      </c>
      <c r="P444" s="33" t="str">
        <f ca="1">IFERROR(__xludf.DUMMYFUNCTION("""COMPUTED_VALUE"""),"Patricia Solache (Castilla Y León)")</f>
        <v>Patricia Solache (Castilla Y León)</v>
      </c>
    </row>
    <row r="445" spans="2:16">
      <c r="B445" s="33">
        <f ca="1">IFERROR(__xludf.DUMMYFUNCTION("""COMPUTED_VALUE"""),2025)</f>
        <v>2025</v>
      </c>
      <c r="C445" s="33">
        <f ca="1">IFERROR(__xludf.DUMMYFUNCTION("""COMPUTED_VALUE"""),3)</f>
        <v>3</v>
      </c>
      <c r="D445" s="33" t="str">
        <f ca="1">IFERROR(__xludf.DUMMYFUNCTION("""COMPUTED_VALUE"""),"NO")</f>
        <v>NO</v>
      </c>
      <c r="E445" s="33" t="str">
        <f ca="1">IFERROR(__xludf.DUMMYFUNCTION("""COMPUTED_VALUE"""),"Cáceres")</f>
        <v>Cáceres</v>
      </c>
      <c r="F445" s="57">
        <f ca="1">IFERROR(__xludf.DUMMYFUNCTION("""COMPUTED_VALUE"""),45741)</f>
        <v>45741</v>
      </c>
      <c r="G445" s="57">
        <f ca="1">IFERROR(__xludf.DUMMYFUNCTION("""COMPUTED_VALUE"""),45621)</f>
        <v>45621</v>
      </c>
      <c r="H445" s="33" t="str">
        <f ca="1">IFERROR(__xludf.DUMMYFUNCTION("""COMPUTED_VALUE"""),"Cáceres")</f>
        <v>Cáceres</v>
      </c>
      <c r="I445" s="33" t="str">
        <f ca="1">IFERROR(__xludf.DUMMYFUNCTION("""COMPUTED_VALUE"""),"CAC-198")</f>
        <v>CAC-198</v>
      </c>
      <c r="J445" s="33" t="str">
        <f ca="1">IFERROR(__xludf.DUMMYFUNCTION("""COMPUTED_VALUE"""),"JOSE ANTONIO DE TORRES GRADO")</f>
        <v>JOSE ANTONIO DE TORRES GRADO</v>
      </c>
      <c r="K445" s="33">
        <f ca="1">IFERROR(__xludf.DUMMYFUNCTION("""COMPUTED_VALUE"""),2)</f>
        <v>2</v>
      </c>
      <c r="L445" s="203">
        <f ca="1">IFERROR(__xludf.DUMMYFUNCTION("""COMPUTED_VALUE"""),2986.36)</f>
        <v>2986.36</v>
      </c>
      <c r="M445" s="33" t="str">
        <f ca="1">IFERROR(__xludf.DUMMYFUNCTION("""COMPUTED_VALUE"""),"03 ORL")</f>
        <v>03 ORL</v>
      </c>
      <c r="N445" s="33" t="str">
        <f ca="1">IFERROR(__xludf.DUMMYFUNCTION("""COMPUTED_VALUE"""),"06 ORL")</f>
        <v>06 ORL</v>
      </c>
      <c r="O445" s="33" t="str">
        <f ca="1">IFERROR(__xludf.DUMMYFUNCTION("""COMPUTED_VALUE"""),"Dr, Raed Maqued El Maqued")</f>
        <v>Dr, Raed Maqued El Maqued</v>
      </c>
      <c r="P445" s="33" t="str">
        <f ca="1">IFERROR(__xludf.DUMMYFUNCTION("""COMPUTED_VALUE"""),"Lisandro Russian (Madrid, Cáceres, Toledo, Talavera Y Logroño)")</f>
        <v>Lisandro Russian (Madrid, Cáceres, Toledo, Talavera Y Logroño)</v>
      </c>
    </row>
    <row r="446" spans="2:16">
      <c r="B446" s="33">
        <f ca="1">IFERROR(__xludf.DUMMYFUNCTION("""COMPUTED_VALUE"""),2025)</f>
        <v>2025</v>
      </c>
      <c r="C446" s="33">
        <f ca="1">IFERROR(__xludf.DUMMYFUNCTION("""COMPUTED_VALUE"""),3)</f>
        <v>3</v>
      </c>
      <c r="D446" s="33" t="str">
        <f ca="1">IFERROR(__xludf.DUMMYFUNCTION("""COMPUTED_VALUE"""),"NO")</f>
        <v>NO</v>
      </c>
      <c r="E446" s="33" t="str">
        <f ca="1">IFERROR(__xludf.DUMMYFUNCTION("""COMPUTED_VALUE"""),"Salamanca")</f>
        <v>Salamanca</v>
      </c>
      <c r="F446" s="57">
        <f ca="1">IFERROR(__xludf.DUMMYFUNCTION("""COMPUTED_VALUE"""),45741)</f>
        <v>45741</v>
      </c>
      <c r="G446" s="57">
        <f ca="1">IFERROR(__xludf.DUMMYFUNCTION("""COMPUTED_VALUE"""),45693)</f>
        <v>45693</v>
      </c>
      <c r="H446" s="33" t="str">
        <f ca="1">IFERROR(__xludf.DUMMYFUNCTION("""COMPUTED_VALUE"""),"Salamanca")</f>
        <v>Salamanca</v>
      </c>
      <c r="I446" s="33" t="str">
        <f ca="1">IFERROR(__xludf.DUMMYFUNCTION("""COMPUTED_VALUE"""),"SLM-461")</f>
        <v>SLM-461</v>
      </c>
      <c r="J446" s="33" t="str">
        <f ca="1">IFERROR(__xludf.DUMMYFUNCTION("""COMPUTED_VALUE"""),"HORTENSIA SANCHEZ MORETA")</f>
        <v>HORTENSIA SANCHEZ MORETA</v>
      </c>
      <c r="K446" s="33">
        <f ca="1">IFERROR(__xludf.DUMMYFUNCTION("""COMPUTED_VALUE"""),2)</f>
        <v>2</v>
      </c>
      <c r="L446" s="203">
        <f ca="1">IFERROR(__xludf.DUMMYFUNCTION("""COMPUTED_VALUE"""),2780.91)</f>
        <v>2780.91</v>
      </c>
      <c r="M446" s="33" t="str">
        <f ca="1">IFERROR(__xludf.DUMMYFUNCTION("""COMPUTED_VALUE"""),"03 ORL")</f>
        <v>03 ORL</v>
      </c>
      <c r="N446" s="33" t="str">
        <f ca="1">IFERROR(__xludf.DUMMYFUNCTION("""COMPUTED_VALUE"""),"06 ORL")</f>
        <v>06 ORL</v>
      </c>
      <c r="O446" s="33" t="str">
        <f ca="1">IFERROR(__xludf.DUMMYFUNCTION("""COMPUTED_VALUE"""),"No Recuerda Orl")</f>
        <v>No Recuerda Orl</v>
      </c>
      <c r="P446" s="33" t="str">
        <f ca="1">IFERROR(__xludf.DUMMYFUNCTION("""COMPUTED_VALUE"""),"Patricia Solache (Castilla Y León)")</f>
        <v>Patricia Solache (Castilla Y León)</v>
      </c>
    </row>
    <row r="447" spans="2:16">
      <c r="B447" s="33">
        <f ca="1">IFERROR(__xludf.DUMMYFUNCTION("""COMPUTED_VALUE"""),2025)</f>
        <v>2025</v>
      </c>
      <c r="C447" s="33">
        <f ca="1">IFERROR(__xludf.DUMMYFUNCTION("""COMPUTED_VALUE"""),3)</f>
        <v>3</v>
      </c>
      <c r="D447" s="33" t="str">
        <f ca="1">IFERROR(__xludf.DUMMYFUNCTION("""COMPUTED_VALUE"""),"NO")</f>
        <v>NO</v>
      </c>
      <c r="E447" s="33" t="str">
        <f ca="1">IFERROR(__xludf.DUMMYFUNCTION("""COMPUTED_VALUE"""),"Valladolid")</f>
        <v>Valladolid</v>
      </c>
      <c r="F447" s="57">
        <f ca="1">IFERROR(__xludf.DUMMYFUNCTION("""COMPUTED_VALUE"""),45741)</f>
        <v>45741</v>
      </c>
      <c r="G447" s="57">
        <f ca="1">IFERROR(__xludf.DUMMYFUNCTION("""COMPUTED_VALUE"""),45700)</f>
        <v>45700</v>
      </c>
      <c r="H447" s="33" t="str">
        <f ca="1">IFERROR(__xludf.DUMMYFUNCTION("""COMPUTED_VALUE"""),"Valladolid")</f>
        <v>Valladolid</v>
      </c>
      <c r="I447" s="33" t="str">
        <f ca="1">IFERROR(__xludf.DUMMYFUNCTION("""COMPUTED_VALUE"""),"VLL-345")</f>
        <v>VLL-345</v>
      </c>
      <c r="J447" s="33" t="str">
        <f ca="1">IFERROR(__xludf.DUMMYFUNCTION("""COMPUTED_VALUE"""),"MARIA JESUS ARRIBAS ABRIL")</f>
        <v>MARIA JESUS ARRIBAS ABRIL</v>
      </c>
      <c r="K447" s="33">
        <f ca="1">IFERROR(__xludf.DUMMYFUNCTION("""COMPUTED_VALUE"""),1)</f>
        <v>1</v>
      </c>
      <c r="L447" s="203">
        <f ca="1">IFERROR(__xludf.DUMMYFUNCTION("""COMPUTED_VALUE"""),2080)</f>
        <v>2080</v>
      </c>
      <c r="M447" s="33" t="str">
        <f ca="1">IFERROR(__xludf.DUMMYFUNCTION("""COMPUTED_VALUE"""),"03 ORL")</f>
        <v>03 ORL</v>
      </c>
      <c r="N447" s="33" t="str">
        <f ca="1">IFERROR(__xludf.DUMMYFUNCTION("""COMPUTED_VALUE"""),"06 ORL")</f>
        <v>06 ORL</v>
      </c>
      <c r="O447" s="33" t="str">
        <f ca="1">IFERROR(__xludf.DUMMYFUNCTION("""COMPUTED_VALUE"""),"Dra, Marina Madrigal Revuelta")</f>
        <v>Dra, Marina Madrigal Revuelta</v>
      </c>
      <c r="P447" s="33" t="str">
        <f ca="1">IFERROR(__xludf.DUMMYFUNCTION("""COMPUTED_VALUE"""),"Patricia Solache (Castilla Y León)")</f>
        <v>Patricia Solache (Castilla Y León)</v>
      </c>
    </row>
    <row r="448" spans="2:16">
      <c r="B448" s="33">
        <f ca="1">IFERROR(__xludf.DUMMYFUNCTION("""COMPUTED_VALUE"""),2025)</f>
        <v>2025</v>
      </c>
      <c r="C448" s="33">
        <f ca="1">IFERROR(__xludf.DUMMYFUNCTION("""COMPUTED_VALUE"""),3)</f>
        <v>3</v>
      </c>
      <c r="D448" s="33" t="str">
        <f ca="1">IFERROR(__xludf.DUMMYFUNCTION("""COMPUTED_VALUE"""),"NO")</f>
        <v>NO</v>
      </c>
      <c r="E448" s="33" t="str">
        <f ca="1">IFERROR(__xludf.DUMMYFUNCTION("""COMPUTED_VALUE"""),"Valladolid")</f>
        <v>Valladolid</v>
      </c>
      <c r="F448" s="57">
        <f ca="1">IFERROR(__xludf.DUMMYFUNCTION("""COMPUTED_VALUE"""),45742)</f>
        <v>45742</v>
      </c>
      <c r="G448" s="57">
        <f ca="1">IFERROR(__xludf.DUMMYFUNCTION("""COMPUTED_VALUE"""),45684)</f>
        <v>45684</v>
      </c>
      <c r="H448" s="33" t="str">
        <f ca="1">IFERROR(__xludf.DUMMYFUNCTION("""COMPUTED_VALUE"""),"Valladolid")</f>
        <v>Valladolid</v>
      </c>
      <c r="I448" s="33" t="str">
        <f ca="1">IFERROR(__xludf.DUMMYFUNCTION("""COMPUTED_VALUE"""),"VLL-327")</f>
        <v>VLL-327</v>
      </c>
      <c r="J448" s="33" t="str">
        <f ca="1">IFERROR(__xludf.DUMMYFUNCTION("""COMPUTED_VALUE"""),"MARIA GARCIA SINDE")</f>
        <v>MARIA GARCIA SINDE</v>
      </c>
      <c r="K448" s="33">
        <f ca="1">IFERROR(__xludf.DUMMYFUNCTION("""COMPUTED_VALUE"""),1)</f>
        <v>1</v>
      </c>
      <c r="L448" s="203">
        <f ca="1">IFERROR(__xludf.DUMMYFUNCTION("""COMPUTED_VALUE"""),2080)</f>
        <v>2080</v>
      </c>
      <c r="M448" s="33" t="str">
        <f ca="1">IFERROR(__xludf.DUMMYFUNCTION("""COMPUTED_VALUE"""),"03 ORL")</f>
        <v>03 ORL</v>
      </c>
      <c r="N448" s="33" t="str">
        <f ca="1">IFERROR(__xludf.DUMMYFUNCTION("""COMPUTED_VALUE"""),"06 ORL")</f>
        <v>06 ORL</v>
      </c>
      <c r="O448" s="33" t="str">
        <f ca="1">IFERROR(__xludf.DUMMYFUNCTION("""COMPUTED_VALUE"""),"Dr, Carlos Miguel Salvador Martínez")</f>
        <v>Dr, Carlos Miguel Salvador Martínez</v>
      </c>
      <c r="P448" s="33" t="str">
        <f ca="1">IFERROR(__xludf.DUMMYFUNCTION("""COMPUTED_VALUE"""),"Patricia Solache (Castilla Y León)")</f>
        <v>Patricia Solache (Castilla Y León)</v>
      </c>
    </row>
    <row r="449" spans="2:16">
      <c r="B449" s="33">
        <f ca="1">IFERROR(__xludf.DUMMYFUNCTION("""COMPUTED_VALUE"""),2025)</f>
        <v>2025</v>
      </c>
      <c r="C449" s="33">
        <f ca="1">IFERROR(__xludf.DUMMYFUNCTION("""COMPUTED_VALUE"""),3)</f>
        <v>3</v>
      </c>
      <c r="D449" s="33" t="str">
        <f ca="1">IFERROR(__xludf.DUMMYFUNCTION("""COMPUTED_VALUE"""),"NO")</f>
        <v>NO</v>
      </c>
      <c r="E449" s="33" t="str">
        <f ca="1">IFERROR(__xludf.DUMMYFUNCTION("""COMPUTED_VALUE"""),"Badajoz")</f>
        <v>Badajoz</v>
      </c>
      <c r="F449" s="57">
        <f ca="1">IFERROR(__xludf.DUMMYFUNCTION("""COMPUTED_VALUE"""),45742)</f>
        <v>45742</v>
      </c>
      <c r="G449" s="57">
        <f ca="1">IFERROR(__xludf.DUMMYFUNCTION("""COMPUTED_VALUE"""),45694)</f>
        <v>45694</v>
      </c>
      <c r="H449" s="33" t="str">
        <f ca="1">IFERROR(__xludf.DUMMYFUNCTION("""COMPUTED_VALUE"""),"Badajoz")</f>
        <v>Badajoz</v>
      </c>
      <c r="I449" s="33" t="str">
        <f ca="1">IFERROR(__xludf.DUMMYFUNCTION("""COMPUTED_VALUE"""),"BJZE-2462")</f>
        <v>BJZE-2462</v>
      </c>
      <c r="J449" s="33" t="str">
        <f ca="1">IFERROR(__xludf.DUMMYFUNCTION("""COMPUTED_VALUE"""),"JUANA MARIA ESTEBAN FLECHA")</f>
        <v>JUANA MARIA ESTEBAN FLECHA</v>
      </c>
      <c r="K449" s="33">
        <f ca="1">IFERROR(__xludf.DUMMYFUNCTION("""COMPUTED_VALUE"""),1)</f>
        <v>1</v>
      </c>
      <c r="L449" s="203">
        <f ca="1">IFERROR(__xludf.DUMMYFUNCTION("""COMPUTED_VALUE"""),2640)</f>
        <v>2640</v>
      </c>
      <c r="M449" s="33" t="str">
        <f ca="1">IFERROR(__xludf.DUMMYFUNCTION("""COMPUTED_VALUE"""),"03 ORL")</f>
        <v>03 ORL</v>
      </c>
      <c r="N449" s="33" t="str">
        <f ca="1">IFERROR(__xludf.DUMMYFUNCTION("""COMPUTED_VALUE"""),"06 ORL")</f>
        <v>06 ORL</v>
      </c>
      <c r="O449" s="33" t="str">
        <f ca="1">IFERROR(__xludf.DUMMYFUNCTION("""COMPUTED_VALUE"""),"Dr, Isidoro Rubio Correa")</f>
        <v>Dr, Isidoro Rubio Correa</v>
      </c>
      <c r="P449" s="33" t="str">
        <f ca="1">IFERROR(__xludf.DUMMYFUNCTION("""COMPUTED_VALUE"""),"Luis Alberto Rodríguez (Andalucía Y Badajoz)")</f>
        <v>Luis Alberto Rodríguez (Andalucía Y Badajoz)</v>
      </c>
    </row>
    <row r="450" spans="2:16">
      <c r="B450" s="33">
        <f ca="1">IFERROR(__xludf.DUMMYFUNCTION("""COMPUTED_VALUE"""),2025)</f>
        <v>2025</v>
      </c>
      <c r="C450" s="33">
        <f ca="1">IFERROR(__xludf.DUMMYFUNCTION("""COMPUTED_VALUE"""),3)</f>
        <v>3</v>
      </c>
      <c r="D450" s="33" t="str">
        <f ca="1">IFERROR(__xludf.DUMMYFUNCTION("""COMPUTED_VALUE"""),"NO")</f>
        <v>NO</v>
      </c>
      <c r="E450" s="33" t="str">
        <f ca="1">IFERROR(__xludf.DUMMYFUNCTION("""COMPUTED_VALUE"""),"Salamanca")</f>
        <v>Salamanca</v>
      </c>
      <c r="F450" s="57">
        <f ca="1">IFERROR(__xludf.DUMMYFUNCTION("""COMPUTED_VALUE"""),45742)</f>
        <v>45742</v>
      </c>
      <c r="G450" s="57">
        <f ca="1">IFERROR(__xludf.DUMMYFUNCTION("""COMPUTED_VALUE"""),45705)</f>
        <v>45705</v>
      </c>
      <c r="H450" s="33" t="str">
        <f ca="1">IFERROR(__xludf.DUMMYFUNCTION("""COMPUTED_VALUE"""),"Salamanca")</f>
        <v>Salamanca</v>
      </c>
      <c r="I450" s="33" t="str">
        <f ca="1">IFERROR(__xludf.DUMMYFUNCTION("""COMPUTED_VALUE"""),"SLM-478")</f>
        <v>SLM-478</v>
      </c>
      <c r="J450" s="33" t="str">
        <f ca="1">IFERROR(__xludf.DUMMYFUNCTION("""COMPUTED_VALUE"""),"CARMEN DEL ROSARIO MORENO GARCIA")</f>
        <v>CARMEN DEL ROSARIO MORENO GARCIA</v>
      </c>
      <c r="K450" s="33">
        <f ca="1">IFERROR(__xludf.DUMMYFUNCTION("""COMPUTED_VALUE"""),1)</f>
        <v>1</v>
      </c>
      <c r="L450" s="203">
        <f ca="1">IFERROR(__xludf.DUMMYFUNCTION("""COMPUTED_VALUE"""),2162.73)</f>
        <v>2162.73</v>
      </c>
      <c r="M450" s="33" t="str">
        <f ca="1">IFERROR(__xludf.DUMMYFUNCTION("""COMPUTED_VALUE"""),"03 ORL")</f>
        <v>03 ORL</v>
      </c>
      <c r="N450" s="33" t="str">
        <f ca="1">IFERROR(__xludf.DUMMYFUNCTION("""COMPUTED_VALUE"""),"06 ORL")</f>
        <v>06 ORL</v>
      </c>
      <c r="O450" s="33" t="str">
        <f ca="1">IFERROR(__xludf.DUMMYFUNCTION("""COMPUTED_VALUE"""),"Dr, Ángel Muñoz Herrera")</f>
        <v>Dr, Ángel Muñoz Herrera</v>
      </c>
      <c r="P450" s="33" t="str">
        <f ca="1">IFERROR(__xludf.DUMMYFUNCTION("""COMPUTED_VALUE"""),"Patricia Solache (Castilla Y León)")</f>
        <v>Patricia Solache (Castilla Y León)</v>
      </c>
    </row>
    <row r="451" spans="2:16">
      <c r="B451" s="33">
        <f ca="1">IFERROR(__xludf.DUMMYFUNCTION("""COMPUTED_VALUE"""),2025)</f>
        <v>2025</v>
      </c>
      <c r="C451" s="33">
        <f ca="1">IFERROR(__xludf.DUMMYFUNCTION("""COMPUTED_VALUE"""),3)</f>
        <v>3</v>
      </c>
      <c r="D451" s="33" t="str">
        <f ca="1">IFERROR(__xludf.DUMMYFUNCTION("""COMPUTED_VALUE"""),"NO")</f>
        <v>NO</v>
      </c>
      <c r="E451" s="33" t="str">
        <f ca="1">IFERROR(__xludf.DUMMYFUNCTION("""COMPUTED_VALUE"""),"Cáceres")</f>
        <v>Cáceres</v>
      </c>
      <c r="F451" s="57">
        <f ca="1">IFERROR(__xludf.DUMMYFUNCTION("""COMPUTED_VALUE"""),45742)</f>
        <v>45742</v>
      </c>
      <c r="G451" s="57">
        <f ca="1">IFERROR(__xludf.DUMMYFUNCTION("""COMPUTED_VALUE"""),45714)</f>
        <v>45714</v>
      </c>
      <c r="H451" s="33" t="str">
        <f ca="1">IFERROR(__xludf.DUMMYFUNCTION("""COMPUTED_VALUE"""),"Cáceres")</f>
        <v>Cáceres</v>
      </c>
      <c r="I451" s="33" t="str">
        <f ca="1">IFERROR(__xludf.DUMMYFUNCTION("""COMPUTED_VALUE"""),"CAC-242")</f>
        <v>CAC-242</v>
      </c>
      <c r="J451" s="33" t="str">
        <f ca="1">IFERROR(__xludf.DUMMYFUNCTION("""COMPUTED_VALUE"""),"DIEGO FELIX CAMPOS")</f>
        <v>DIEGO FELIX CAMPOS</v>
      </c>
      <c r="K451" s="33">
        <f ca="1">IFERROR(__xludf.DUMMYFUNCTION("""COMPUTED_VALUE"""),2)</f>
        <v>2</v>
      </c>
      <c r="L451" s="203">
        <f ca="1">IFERROR(__xludf.DUMMYFUNCTION("""COMPUTED_VALUE"""),3818.18)</f>
        <v>3818.18</v>
      </c>
      <c r="M451" s="33" t="str">
        <f ca="1">IFERROR(__xludf.DUMMYFUNCTION("""COMPUTED_VALUE"""),"03 ORL")</f>
        <v>03 ORL</v>
      </c>
      <c r="N451" s="33" t="str">
        <f ca="1">IFERROR(__xludf.DUMMYFUNCTION("""COMPUTED_VALUE"""),"06 ORL")</f>
        <v>06 ORL</v>
      </c>
      <c r="O451" s="33" t="str">
        <f ca="1">IFERROR(__xludf.DUMMYFUNCTION("""COMPUTED_VALUE"""),"Dra, María Ángeles Herreros Sánchez")</f>
        <v>Dra, María Ángeles Herreros Sánchez</v>
      </c>
      <c r="P451" s="33" t="str">
        <f ca="1">IFERROR(__xludf.DUMMYFUNCTION("""COMPUTED_VALUE"""),"Lisandro Russian (Madrid, Cáceres, Toledo, Talavera Y Logroño)")</f>
        <v>Lisandro Russian (Madrid, Cáceres, Toledo, Talavera Y Logroño)</v>
      </c>
    </row>
    <row r="452" spans="2:16">
      <c r="B452" s="33">
        <f ca="1">IFERROR(__xludf.DUMMYFUNCTION("""COMPUTED_VALUE"""),2025)</f>
        <v>2025</v>
      </c>
      <c r="C452" s="33">
        <f ca="1">IFERROR(__xludf.DUMMYFUNCTION("""COMPUTED_VALUE"""),3)</f>
        <v>3</v>
      </c>
      <c r="D452" s="33" t="str">
        <f ca="1">IFERROR(__xludf.DUMMYFUNCTION("""COMPUTED_VALUE"""),"NO")</f>
        <v>NO</v>
      </c>
      <c r="E452" s="33" t="str">
        <f ca="1">IFERROR(__xludf.DUMMYFUNCTION("""COMPUTED_VALUE"""),"Vigo")</f>
        <v>Vigo</v>
      </c>
      <c r="F452" s="57">
        <f ca="1">IFERROR(__xludf.DUMMYFUNCTION("""COMPUTED_VALUE"""),45742)</f>
        <v>45742</v>
      </c>
      <c r="G452" s="57">
        <f ca="1">IFERROR(__xludf.DUMMYFUNCTION("""COMPUTED_VALUE"""),45716)</f>
        <v>45716</v>
      </c>
      <c r="H452" s="33" t="str">
        <f ca="1">IFERROR(__xludf.DUMMYFUNCTION("""COMPUTED_VALUE"""),"Vigo")</f>
        <v>Vigo</v>
      </c>
      <c r="I452" s="33" t="str">
        <f ca="1">IFERROR(__xludf.DUMMYFUNCTION("""COMPUTED_VALUE"""),"VIG-543")</f>
        <v>VIG-543</v>
      </c>
      <c r="J452" s="33" t="str">
        <f ca="1">IFERROR(__xludf.DUMMYFUNCTION("""COMPUTED_VALUE"""),"EVA MARIA HERNANDEZ RODRIGUEZ")</f>
        <v>EVA MARIA HERNANDEZ RODRIGUEZ</v>
      </c>
      <c r="K452" s="33">
        <f ca="1">IFERROR(__xludf.DUMMYFUNCTION("""COMPUTED_VALUE"""),1)</f>
        <v>1</v>
      </c>
      <c r="L452" s="203">
        <f ca="1">IFERROR(__xludf.DUMMYFUNCTION("""COMPUTED_VALUE"""),1727.27)</f>
        <v>1727.27</v>
      </c>
      <c r="M452" s="33" t="str">
        <f ca="1">IFERROR(__xludf.DUMMYFUNCTION("""COMPUTED_VALUE"""),"03 ORL")</f>
        <v>03 ORL</v>
      </c>
      <c r="N452" s="33" t="str">
        <f ca="1">IFERROR(__xludf.DUMMYFUNCTION("""COMPUTED_VALUE"""),"06 ORL")</f>
        <v>06 ORL</v>
      </c>
      <c r="O452" s="33" t="str">
        <f ca="1">IFERROR(__xludf.DUMMYFUNCTION("""COMPUTED_VALUE"""),"Dra, Isabel Miranda García")</f>
        <v>Dra, Isabel Miranda García</v>
      </c>
      <c r="P452" s="33" t="str">
        <f ca="1">IFERROR(__xludf.DUMMYFUNCTION("""COMPUTED_VALUE"""),"Roberto Pereira (Galicia)")</f>
        <v>Roberto Pereira (Galicia)</v>
      </c>
    </row>
    <row r="453" spans="2:16">
      <c r="B453" s="33">
        <f ca="1">IFERROR(__xludf.DUMMYFUNCTION("""COMPUTED_VALUE"""),2025)</f>
        <v>2025</v>
      </c>
      <c r="C453" s="33">
        <f ca="1">IFERROR(__xludf.DUMMYFUNCTION("""COMPUTED_VALUE"""),3)</f>
        <v>3</v>
      </c>
      <c r="D453" s="33" t="str">
        <f ca="1">IFERROR(__xludf.DUMMYFUNCTION("""COMPUTED_VALUE"""),"NO")</f>
        <v>NO</v>
      </c>
      <c r="E453" s="33" t="str">
        <f ca="1">IFERROR(__xludf.DUMMYFUNCTION("""COMPUTED_VALUE"""),"Valladolid")</f>
        <v>Valladolid</v>
      </c>
      <c r="F453" s="57">
        <f ca="1">IFERROR(__xludf.DUMMYFUNCTION("""COMPUTED_VALUE"""),45743)</f>
        <v>45743</v>
      </c>
      <c r="G453" s="57">
        <f ca="1">IFERROR(__xludf.DUMMYFUNCTION("""COMPUTED_VALUE"""),45678)</f>
        <v>45678</v>
      </c>
      <c r="H453" s="33" t="str">
        <f ca="1">IFERROR(__xludf.DUMMYFUNCTION("""COMPUTED_VALUE"""),"Valladolid")</f>
        <v>Valladolid</v>
      </c>
      <c r="I453" s="33" t="str">
        <f ca="1">IFERROR(__xludf.DUMMYFUNCTION("""COMPUTED_VALUE"""),"VLL-324")</f>
        <v>VLL-324</v>
      </c>
      <c r="J453" s="33" t="str">
        <f ca="1">IFERROR(__xludf.DUMMYFUNCTION("""COMPUTED_VALUE"""),"MARIA VICTORIA GIRALDA PEREZ")</f>
        <v>MARIA VICTORIA GIRALDA PEREZ</v>
      </c>
      <c r="K453" s="33">
        <f ca="1">IFERROR(__xludf.DUMMYFUNCTION("""COMPUTED_VALUE"""),2)</f>
        <v>2</v>
      </c>
      <c r="L453" s="203">
        <f ca="1">IFERROR(__xludf.DUMMYFUNCTION("""COMPUTED_VALUE"""),3977.27)</f>
        <v>3977.27</v>
      </c>
      <c r="M453" s="33" t="str">
        <f ca="1">IFERROR(__xludf.DUMMYFUNCTION("""COMPUTED_VALUE"""),"03 ORL")</f>
        <v>03 ORL</v>
      </c>
      <c r="N453" s="33" t="str">
        <f ca="1">IFERROR(__xludf.DUMMYFUNCTION("""COMPUTED_VALUE"""),"06 ORL")</f>
        <v>06 ORL</v>
      </c>
      <c r="O453" s="33" t="str">
        <f ca="1">IFERROR(__xludf.DUMMYFUNCTION("""COMPUTED_VALUE"""),"Dr, Manuel Acuña García")</f>
        <v>Dr, Manuel Acuña García</v>
      </c>
      <c r="P453" s="33" t="str">
        <f ca="1">IFERROR(__xludf.DUMMYFUNCTION("""COMPUTED_VALUE"""),"Patricia Solache (Castilla Y León)")</f>
        <v>Patricia Solache (Castilla Y León)</v>
      </c>
    </row>
    <row r="454" spans="2:16">
      <c r="B454" s="33">
        <f ca="1">IFERROR(__xludf.DUMMYFUNCTION("""COMPUTED_VALUE"""),2025)</f>
        <v>2025</v>
      </c>
      <c r="C454" s="33">
        <f ca="1">IFERROR(__xludf.DUMMYFUNCTION("""COMPUTED_VALUE"""),3)</f>
        <v>3</v>
      </c>
      <c r="D454" s="33" t="str">
        <f ca="1">IFERROR(__xludf.DUMMYFUNCTION("""COMPUTED_VALUE"""),"NO")</f>
        <v>NO</v>
      </c>
      <c r="E454" s="33" t="str">
        <f ca="1">IFERROR(__xludf.DUMMYFUNCTION("""COMPUTED_VALUE"""),"Boiro")</f>
        <v>Boiro</v>
      </c>
      <c r="F454" s="57">
        <f ca="1">IFERROR(__xludf.DUMMYFUNCTION("""COMPUTED_VALUE"""),45743)</f>
        <v>45743</v>
      </c>
      <c r="G454" s="57">
        <f ca="1">IFERROR(__xludf.DUMMYFUNCTION("""COMPUTED_VALUE"""),45698)</f>
        <v>45698</v>
      </c>
      <c r="H454" s="33" t="str">
        <f ca="1">IFERROR(__xludf.DUMMYFUNCTION("""COMPUTED_VALUE"""),"Boiro")</f>
        <v>Boiro</v>
      </c>
      <c r="I454" s="33" t="str">
        <f ca="1">IFERROR(__xludf.DUMMYFUNCTION("""COMPUTED_VALUE"""),"BOI-937")</f>
        <v>BOI-937</v>
      </c>
      <c r="J454" s="33" t="str">
        <f ca="1">IFERROR(__xludf.DUMMYFUNCTION("""COMPUTED_VALUE"""),"MANUEL OTERO REY")</f>
        <v>MANUEL OTERO REY</v>
      </c>
      <c r="K454" s="33">
        <f ca="1">IFERROR(__xludf.DUMMYFUNCTION("""COMPUTED_VALUE"""),2)</f>
        <v>2</v>
      </c>
      <c r="L454" s="203">
        <f ca="1">IFERROR(__xludf.DUMMYFUNCTION("""COMPUTED_VALUE"""),2818.18)</f>
        <v>2818.18</v>
      </c>
      <c r="M454" s="33" t="str">
        <f ca="1">IFERROR(__xludf.DUMMYFUNCTION("""COMPUTED_VALUE"""),"03 ORL")</f>
        <v>03 ORL</v>
      </c>
      <c r="N454" s="33" t="str">
        <f ca="1">IFERROR(__xludf.DUMMYFUNCTION("""COMPUTED_VALUE"""),"06 ORL")</f>
        <v>06 ORL</v>
      </c>
      <c r="O454" s="33" t="str">
        <f ca="1">IFERROR(__xludf.DUMMYFUNCTION("""COMPUTED_VALUE"""),"Dra, Isabel Pensado Banet")</f>
        <v>Dra, Isabel Pensado Banet</v>
      </c>
      <c r="P454" s="33" t="str">
        <f ca="1">IFERROR(__xludf.DUMMYFUNCTION("""COMPUTED_VALUE"""),"Roberto Pereira (Galicia)")</f>
        <v>Roberto Pereira (Galicia)</v>
      </c>
    </row>
    <row r="455" spans="2:16">
      <c r="B455" s="33">
        <f ca="1">IFERROR(__xludf.DUMMYFUNCTION("""COMPUTED_VALUE"""),2025)</f>
        <v>2025</v>
      </c>
      <c r="C455" s="33">
        <f ca="1">IFERROR(__xludf.DUMMYFUNCTION("""COMPUTED_VALUE"""),3)</f>
        <v>3</v>
      </c>
      <c r="D455" s="33" t="str">
        <f ca="1">IFERROR(__xludf.DUMMYFUNCTION("""COMPUTED_VALUE"""),"NO")</f>
        <v>NO</v>
      </c>
      <c r="E455" s="33" t="str">
        <f ca="1">IFERROR(__xludf.DUMMYFUNCTION("""COMPUTED_VALUE"""),"Sevilla- Ciencias")</f>
        <v>Sevilla- Ciencias</v>
      </c>
      <c r="F455" s="57">
        <f ca="1">IFERROR(__xludf.DUMMYFUNCTION("""COMPUTED_VALUE"""),45743)</f>
        <v>45743</v>
      </c>
      <c r="G455" s="57">
        <f ca="1">IFERROR(__xludf.DUMMYFUNCTION("""COMPUTED_VALUE"""),45707)</f>
        <v>45707</v>
      </c>
      <c r="H455" s="33" t="str">
        <f ca="1">IFERROR(__xludf.DUMMYFUNCTION("""COMPUTED_VALUE"""),"Sevilla Este")</f>
        <v>Sevilla Este</v>
      </c>
      <c r="I455" s="33" t="str">
        <f ca="1">IFERROR(__xludf.DUMMYFUNCTION("""COMPUTED_VALUE"""),"SEVE-368")</f>
        <v>SEVE-368</v>
      </c>
      <c r="J455" s="33" t="str">
        <f ca="1">IFERROR(__xludf.DUMMYFUNCTION("""COMPUTED_VALUE"""),"JUAN MARIA ANTEQUERA SABORIDO")</f>
        <v>JUAN MARIA ANTEQUERA SABORIDO</v>
      </c>
      <c r="K455" s="33">
        <f ca="1">IFERROR(__xludf.DUMMYFUNCTION("""COMPUTED_VALUE"""),1)</f>
        <v>1</v>
      </c>
      <c r="L455" s="203">
        <f ca="1">IFERROR(__xludf.DUMMYFUNCTION("""COMPUTED_VALUE"""),1732.73)</f>
        <v>1732.73</v>
      </c>
      <c r="M455" s="33" t="str">
        <f ca="1">IFERROR(__xludf.DUMMYFUNCTION("""COMPUTED_VALUE"""),"03 ORL")</f>
        <v>03 ORL</v>
      </c>
      <c r="N455" s="33" t="str">
        <f ca="1">IFERROR(__xludf.DUMMYFUNCTION("""COMPUTED_VALUE"""),"06 ORL")</f>
        <v>06 ORL</v>
      </c>
      <c r="O455" s="33" t="str">
        <f ca="1">IFERROR(__xludf.DUMMYFUNCTION("""COMPUTED_VALUE"""),"Dra, Cayetana López Ladrón García De La Borbolla")</f>
        <v>Dra, Cayetana López Ladrón García De La Borbolla</v>
      </c>
      <c r="P455" s="33" t="str">
        <f ca="1">IFERROR(__xludf.DUMMYFUNCTION("""COMPUTED_VALUE"""),"Luis Alberto Rodríguez (Andalucía Y Badajoz)")</f>
        <v>Luis Alberto Rodríguez (Andalucía Y Badajoz)</v>
      </c>
    </row>
    <row r="456" spans="2:16">
      <c r="B456" s="33">
        <f ca="1">IFERROR(__xludf.DUMMYFUNCTION("""COMPUTED_VALUE"""),2025)</f>
        <v>2025</v>
      </c>
      <c r="C456" s="33">
        <f ca="1">IFERROR(__xludf.DUMMYFUNCTION("""COMPUTED_VALUE"""),3)</f>
        <v>3</v>
      </c>
      <c r="D456" s="33" t="str">
        <f ca="1">IFERROR(__xludf.DUMMYFUNCTION("""COMPUTED_VALUE"""),"NO")</f>
        <v>NO</v>
      </c>
      <c r="E456" s="33" t="str">
        <f ca="1">IFERROR(__xludf.DUMMYFUNCTION("""COMPUTED_VALUE"""),"Valladolid")</f>
        <v>Valladolid</v>
      </c>
      <c r="F456" s="57">
        <f ca="1">IFERROR(__xludf.DUMMYFUNCTION("""COMPUTED_VALUE"""),45744)</f>
        <v>45744</v>
      </c>
      <c r="G456" s="57">
        <f ca="1">IFERROR(__xludf.DUMMYFUNCTION("""COMPUTED_VALUE"""),45694)</f>
        <v>45694</v>
      </c>
      <c r="H456" s="33" t="str">
        <f ca="1">IFERROR(__xludf.DUMMYFUNCTION("""COMPUTED_VALUE"""),"Valladolid")</f>
        <v>Valladolid</v>
      </c>
      <c r="I456" s="33" t="str">
        <f ca="1">IFERROR(__xludf.DUMMYFUNCTION("""COMPUTED_VALUE"""),"VLL-341")</f>
        <v>VLL-341</v>
      </c>
      <c r="J456" s="33" t="str">
        <f ca="1">IFERROR(__xludf.DUMMYFUNCTION("""COMPUTED_VALUE"""),"PEDRO SANZ GARCIA")</f>
        <v>PEDRO SANZ GARCIA</v>
      </c>
      <c r="K456" s="33">
        <f ca="1">IFERROR(__xludf.DUMMYFUNCTION("""COMPUTED_VALUE"""),2)</f>
        <v>2</v>
      </c>
      <c r="L456" s="203">
        <f ca="1">IFERROR(__xludf.DUMMYFUNCTION("""COMPUTED_VALUE"""),4068.18)</f>
        <v>4068.18</v>
      </c>
      <c r="M456" s="33" t="str">
        <f ca="1">IFERROR(__xludf.DUMMYFUNCTION("""COMPUTED_VALUE"""),"03 ORL")</f>
        <v>03 ORL</v>
      </c>
      <c r="N456" s="33" t="str">
        <f ca="1">IFERROR(__xludf.DUMMYFUNCTION("""COMPUTED_VALUE"""),"06 ORL")</f>
        <v>06 ORL</v>
      </c>
      <c r="O456" s="33" t="str">
        <f ca="1">IFERROR(__xludf.DUMMYFUNCTION("""COMPUTED_VALUE"""),"Dra, Patricia Viveros Diez")</f>
        <v>Dra, Patricia Viveros Diez</v>
      </c>
      <c r="P456" s="33" t="str">
        <f ca="1">IFERROR(__xludf.DUMMYFUNCTION("""COMPUTED_VALUE"""),"Patricia Solache (Castilla Y León)")</f>
        <v>Patricia Solache (Castilla Y León)</v>
      </c>
    </row>
    <row r="457" spans="2:16">
      <c r="B457" s="33">
        <f ca="1">IFERROR(__xludf.DUMMYFUNCTION("""COMPUTED_VALUE"""),2025)</f>
        <v>2025</v>
      </c>
      <c r="C457" s="33">
        <f ca="1">IFERROR(__xludf.DUMMYFUNCTION("""COMPUTED_VALUE"""),3)</f>
        <v>3</v>
      </c>
      <c r="D457" s="33" t="str">
        <f ca="1">IFERROR(__xludf.DUMMYFUNCTION("""COMPUTED_VALUE"""),"NO")</f>
        <v>NO</v>
      </c>
      <c r="E457" s="33" t="str">
        <f ca="1">IFERROR(__xludf.DUMMYFUNCTION("""COMPUTED_VALUE"""),"Boiro")</f>
        <v>Boiro</v>
      </c>
      <c r="F457" s="57">
        <f ca="1">IFERROR(__xludf.DUMMYFUNCTION("""COMPUTED_VALUE"""),45744)</f>
        <v>45744</v>
      </c>
      <c r="G457" s="57">
        <f ca="1">IFERROR(__xludf.DUMMYFUNCTION("""COMPUTED_VALUE"""),45706)</f>
        <v>45706</v>
      </c>
      <c r="H457" s="33" t="str">
        <f ca="1">IFERROR(__xludf.DUMMYFUNCTION("""COMPUTED_VALUE"""),"Boiro")</f>
        <v>Boiro</v>
      </c>
      <c r="I457" s="33" t="str">
        <f ca="1">IFERROR(__xludf.DUMMYFUNCTION("""COMPUTED_VALUE"""),"BOI-928")</f>
        <v>BOI-928</v>
      </c>
      <c r="J457" s="33" t="str">
        <f ca="1">IFERROR(__xludf.DUMMYFUNCTION("""COMPUTED_VALUE"""),"MANUEL VIDAL RODRIGUEZ")</f>
        <v>MANUEL VIDAL RODRIGUEZ</v>
      </c>
      <c r="K457" s="33">
        <f ca="1">IFERROR(__xludf.DUMMYFUNCTION("""COMPUTED_VALUE"""),2)</f>
        <v>2</v>
      </c>
      <c r="L457" s="203">
        <f ca="1">IFERROR(__xludf.DUMMYFUNCTION("""COMPUTED_VALUE"""),3090.91)</f>
        <v>3090.91</v>
      </c>
      <c r="M457" s="33" t="str">
        <f ca="1">IFERROR(__xludf.DUMMYFUNCTION("""COMPUTED_VALUE"""),"03 ORL")</f>
        <v>03 ORL</v>
      </c>
      <c r="N457" s="33" t="str">
        <f ca="1">IFERROR(__xludf.DUMMYFUNCTION("""COMPUTED_VALUE"""),"06 ORL")</f>
        <v>06 ORL</v>
      </c>
      <c r="O457" s="33" t="str">
        <f ca="1">IFERROR(__xludf.DUMMYFUNCTION("""COMPUTED_VALUE"""),"Dr, Carlos Vidal Redondo")</f>
        <v>Dr, Carlos Vidal Redondo</v>
      </c>
      <c r="P457" s="33" t="str">
        <f ca="1">IFERROR(__xludf.DUMMYFUNCTION("""COMPUTED_VALUE"""),"Roberto Pereira (Galicia)")</f>
        <v>Roberto Pereira (Galicia)</v>
      </c>
    </row>
    <row r="458" spans="2:16">
      <c r="B458" s="33">
        <f ca="1">IFERROR(__xludf.DUMMYFUNCTION("""COMPUTED_VALUE"""),2025)</f>
        <v>2025</v>
      </c>
      <c r="C458" s="33">
        <f ca="1">IFERROR(__xludf.DUMMYFUNCTION("""COMPUTED_VALUE"""),3)</f>
        <v>3</v>
      </c>
      <c r="D458" s="33" t="str">
        <f ca="1">IFERROR(__xludf.DUMMYFUNCTION("""COMPUTED_VALUE"""),"NO")</f>
        <v>NO</v>
      </c>
      <c r="E458" s="33" t="str">
        <f ca="1">IFERROR(__xludf.DUMMYFUNCTION("""COMPUTED_VALUE"""),"Lalín")</f>
        <v>Lalín</v>
      </c>
      <c r="F458" s="57">
        <f ca="1">IFERROR(__xludf.DUMMYFUNCTION("""COMPUTED_VALUE"""),45747)</f>
        <v>45747</v>
      </c>
      <c r="G458" s="57">
        <f ca="1">IFERROR(__xludf.DUMMYFUNCTION("""COMPUTED_VALUE"""),45707)</f>
        <v>45707</v>
      </c>
      <c r="H458" s="33" t="str">
        <f ca="1">IFERROR(__xludf.DUMMYFUNCTION("""COMPUTED_VALUE"""),"Lalín")</f>
        <v>Lalín</v>
      </c>
      <c r="I458" s="33" t="str">
        <f ca="1">IFERROR(__xludf.DUMMYFUNCTION("""COMPUTED_VALUE"""),"LAL-132")</f>
        <v>LAL-132</v>
      </c>
      <c r="J458" s="33" t="str">
        <f ca="1">IFERROR(__xludf.DUMMYFUNCTION("""COMPUTED_VALUE"""),"MARIA DIVINA CLARO PAZOS")</f>
        <v>MARIA DIVINA CLARO PAZOS</v>
      </c>
      <c r="K458" s="33">
        <f ca="1">IFERROR(__xludf.DUMMYFUNCTION("""COMPUTED_VALUE"""),2)</f>
        <v>2</v>
      </c>
      <c r="L458" s="203">
        <f ca="1">IFERROR(__xludf.DUMMYFUNCTION("""COMPUTED_VALUE"""),2900)</f>
        <v>2900</v>
      </c>
      <c r="M458" s="33" t="str">
        <f ca="1">IFERROR(__xludf.DUMMYFUNCTION("""COMPUTED_VALUE"""),"03 ORL")</f>
        <v>03 ORL</v>
      </c>
      <c r="N458" s="33" t="str">
        <f ca="1">IFERROR(__xludf.DUMMYFUNCTION("""COMPUTED_VALUE"""),"06 ORL")</f>
        <v>06 ORL</v>
      </c>
      <c r="O458" s="33" t="str">
        <f ca="1">IFERROR(__xludf.DUMMYFUNCTION("""COMPUTED_VALUE"""),"Dr, Carlos Vidal Redondo")</f>
        <v>Dr, Carlos Vidal Redondo</v>
      </c>
      <c r="P458" s="33" t="str">
        <f ca="1">IFERROR(__xludf.DUMMYFUNCTION("""COMPUTED_VALUE"""),"Roberto Pereira (Galicia)")</f>
        <v>Roberto Pereira (Galicia)</v>
      </c>
    </row>
    <row r="459" spans="2:16">
      <c r="B459" s="33">
        <f ca="1">IFERROR(__xludf.DUMMYFUNCTION("""COMPUTED_VALUE"""),2025)</f>
        <v>2025</v>
      </c>
      <c r="C459" s="33">
        <f ca="1">IFERROR(__xludf.DUMMYFUNCTION("""COMPUTED_VALUE"""),3)</f>
        <v>3</v>
      </c>
      <c r="D459" s="33" t="str">
        <f ca="1">IFERROR(__xludf.DUMMYFUNCTION("""COMPUTED_VALUE"""),"NO")</f>
        <v>NO</v>
      </c>
      <c r="E459" s="33" t="str">
        <f ca="1">IFERROR(__xludf.DUMMYFUNCTION("""COMPUTED_VALUE"""),"Vigo")</f>
        <v>Vigo</v>
      </c>
      <c r="F459" s="57">
        <f ca="1">IFERROR(__xludf.DUMMYFUNCTION("""COMPUTED_VALUE"""),45747)</f>
        <v>45747</v>
      </c>
      <c r="G459" s="57">
        <f ca="1">IFERROR(__xludf.DUMMYFUNCTION("""COMPUTED_VALUE"""),45714)</f>
        <v>45714</v>
      </c>
      <c r="H459" s="33" t="str">
        <f ca="1">IFERROR(__xludf.DUMMYFUNCTION("""COMPUTED_VALUE"""),"Vigo")</f>
        <v>Vigo</v>
      </c>
      <c r="I459" s="33" t="str">
        <f ca="1">IFERROR(__xludf.DUMMYFUNCTION("""COMPUTED_VALUE"""),"VIG-540")</f>
        <v>VIG-540</v>
      </c>
      <c r="J459" s="33" t="str">
        <f ca="1">IFERROR(__xludf.DUMMYFUNCTION("""COMPUTED_VALUE"""),"MIGUEL ANGEL LOPEZ MAURICIO")</f>
        <v>MIGUEL ANGEL LOPEZ MAURICIO</v>
      </c>
      <c r="K459" s="33">
        <f ca="1">IFERROR(__xludf.DUMMYFUNCTION("""COMPUTED_VALUE"""),2)</f>
        <v>2</v>
      </c>
      <c r="L459" s="203">
        <f ca="1">IFERROR(__xludf.DUMMYFUNCTION("""COMPUTED_VALUE"""),3545.45)</f>
        <v>3545.45</v>
      </c>
      <c r="M459" s="33" t="str">
        <f ca="1">IFERROR(__xludf.DUMMYFUNCTION("""COMPUTED_VALUE"""),"03 ORL")</f>
        <v>03 ORL</v>
      </c>
      <c r="N459" s="33" t="str">
        <f ca="1">IFERROR(__xludf.DUMMYFUNCTION("""COMPUTED_VALUE"""),"06 ORL")</f>
        <v>06 ORL</v>
      </c>
      <c r="O459" s="33" t="str">
        <f ca="1">IFERROR(__xludf.DUMMYFUNCTION("""COMPUTED_VALUE"""),"Dr, Rafael Alfonso Hurtado Ruzza")</f>
        <v>Dr, Rafael Alfonso Hurtado Ruzza</v>
      </c>
      <c r="P459" s="33" t="str">
        <f ca="1">IFERROR(__xludf.DUMMYFUNCTION("""COMPUTED_VALUE"""),"Roberto Pereira (Galicia)")</f>
        <v>Roberto Pereira (Galicia)</v>
      </c>
    </row>
    <row r="460" spans="2:16">
      <c r="B460" s="33">
        <f ca="1">IFERROR(__xludf.DUMMYFUNCTION("""COMPUTED_VALUE"""),2025)</f>
        <v>2025</v>
      </c>
      <c r="C460" s="33">
        <f ca="1">IFERROR(__xludf.DUMMYFUNCTION("""COMPUTED_VALUE"""),4)</f>
        <v>4</v>
      </c>
      <c r="D460" s="33" t="str">
        <f ca="1">IFERROR(__xludf.DUMMYFUNCTION("""COMPUTED_VALUE"""),"NO")</f>
        <v>NO</v>
      </c>
      <c r="E460" s="33" t="str">
        <f ca="1">IFERROR(__xludf.DUMMYFUNCTION("""COMPUTED_VALUE"""),"Leganés")</f>
        <v>Leganés</v>
      </c>
      <c r="F460" s="57">
        <f ca="1">IFERROR(__xludf.DUMMYFUNCTION("""COMPUTED_VALUE"""),45748)</f>
        <v>45748</v>
      </c>
      <c r="G460" s="57">
        <f ca="1">IFERROR(__xludf.DUMMYFUNCTION("""COMPUTED_VALUE"""),45723)</f>
        <v>45723</v>
      </c>
      <c r="H460" s="33" t="str">
        <f ca="1">IFERROR(__xludf.DUMMYFUNCTION("""COMPUTED_VALUE"""),"Leganés")</f>
        <v>Leganés</v>
      </c>
      <c r="I460" s="33" t="str">
        <f ca="1">IFERROR(__xludf.DUMMYFUNCTION("""COMPUTED_VALUE"""),"C2025311165935809")</f>
        <v>C2025311165935809</v>
      </c>
      <c r="J460" s="33" t="str">
        <f ca="1">IFERROR(__xludf.DUMMYFUNCTION("""COMPUTED_VALUE"""),"EUSEBIO SANTAMERA GUIJARRO")</f>
        <v>EUSEBIO SANTAMERA GUIJARRO</v>
      </c>
      <c r="K460" s="33">
        <f ca="1">IFERROR(__xludf.DUMMYFUNCTION("""COMPUTED_VALUE"""),2)</f>
        <v>2</v>
      </c>
      <c r="L460" s="203">
        <f ca="1">IFERROR(__xludf.DUMMYFUNCTION("""COMPUTED_VALUE"""),2587.27)</f>
        <v>2587.27</v>
      </c>
      <c r="M460" s="33" t="str">
        <f ca="1">IFERROR(__xludf.DUMMYFUNCTION("""COMPUTED_VALUE"""),"03 ORL")</f>
        <v>03 ORL</v>
      </c>
      <c r="N460" s="33" t="str">
        <f ca="1">IFERROR(__xludf.DUMMYFUNCTION("""COMPUTED_VALUE"""),"06 ORL")</f>
        <v>06 ORL</v>
      </c>
      <c r="O460" s="33" t="str">
        <f ca="1">IFERROR(__xludf.DUMMYFUNCTION("""COMPUTED_VALUE"""),"Dra, Ana Ruiz Fornells Noreña")</f>
        <v>Dra, Ana Ruiz Fornells Noreña</v>
      </c>
      <c r="P460" s="33" t="str">
        <f ca="1">IFERROR(__xludf.DUMMYFUNCTION("""COMPUTED_VALUE"""),"Maika Blázquez (Madrid)")</f>
        <v>Maika Blázquez (Madrid)</v>
      </c>
    </row>
    <row r="461" spans="2:16">
      <c r="B461" s="33">
        <f ca="1">IFERROR(__xludf.DUMMYFUNCTION("""COMPUTED_VALUE"""),2025)</f>
        <v>2025</v>
      </c>
      <c r="C461" s="33">
        <f ca="1">IFERROR(__xludf.DUMMYFUNCTION("""COMPUTED_VALUE"""),4)</f>
        <v>4</v>
      </c>
      <c r="D461" s="33" t="str">
        <f ca="1">IFERROR(__xludf.DUMMYFUNCTION("""COMPUTED_VALUE"""),"NO")</f>
        <v>NO</v>
      </c>
      <c r="E461" s="33" t="str">
        <f ca="1">IFERROR(__xludf.DUMMYFUNCTION("""COMPUTED_VALUE"""),"Lugo")</f>
        <v>Lugo</v>
      </c>
      <c r="F461" s="57">
        <f ca="1">IFERROR(__xludf.DUMMYFUNCTION("""COMPUTED_VALUE"""),45748)</f>
        <v>45748</v>
      </c>
      <c r="G461" s="57">
        <f ca="1">IFERROR(__xludf.DUMMYFUNCTION("""COMPUTED_VALUE"""),45679)</f>
        <v>45679</v>
      </c>
      <c r="H461" s="33" t="str">
        <f ca="1">IFERROR(__xludf.DUMMYFUNCTION("""COMPUTED_VALUE"""),"Lugo")</f>
        <v>Lugo</v>
      </c>
      <c r="I461" s="33" t="str">
        <f ca="1">IFERROR(__xludf.DUMMYFUNCTION("""COMPUTED_VALUE"""),"C20252612428274")</f>
        <v>C20252612428274</v>
      </c>
      <c r="J461" s="33" t="str">
        <f ca="1">IFERROR(__xludf.DUMMYFUNCTION("""COMPUTED_VALUE"""),"FRANCISCO DIAZ SANCHEZ")</f>
        <v>FRANCISCO DIAZ SANCHEZ</v>
      </c>
      <c r="K461" s="33">
        <f ca="1">IFERROR(__xludf.DUMMYFUNCTION("""COMPUTED_VALUE"""),1)</f>
        <v>1</v>
      </c>
      <c r="L461" s="203">
        <f ca="1">IFERROR(__xludf.DUMMYFUNCTION("""COMPUTED_VALUE"""),2640)</f>
        <v>2640</v>
      </c>
      <c r="M461" s="33" t="str">
        <f ca="1">IFERROR(__xludf.DUMMYFUNCTION("""COMPUTED_VALUE"""),"03 ORL")</f>
        <v>03 ORL</v>
      </c>
      <c r="N461" s="33" t="str">
        <f ca="1">IFERROR(__xludf.DUMMYFUNCTION("""COMPUTED_VALUE"""),"06 ORL")</f>
        <v>06 ORL</v>
      </c>
      <c r="O461" s="33" t="str">
        <f ca="1">IFERROR(__xludf.DUMMYFUNCTION("""COMPUTED_VALUE"""),"Dr, Pedro Juiz López")</f>
        <v>Dr, Pedro Juiz López</v>
      </c>
      <c r="P461" s="33" t="str">
        <f ca="1">IFERROR(__xludf.DUMMYFUNCTION("""COMPUTED_VALUE"""),"Roberto Pereira (Galicia)")</f>
        <v>Roberto Pereira (Galicia)</v>
      </c>
    </row>
    <row r="462" spans="2:16">
      <c r="B462" s="33">
        <f ca="1">IFERROR(__xludf.DUMMYFUNCTION("""COMPUTED_VALUE"""),2025)</f>
        <v>2025</v>
      </c>
      <c r="C462" s="33">
        <f ca="1">IFERROR(__xludf.DUMMYFUNCTION("""COMPUTED_VALUE"""),4)</f>
        <v>4</v>
      </c>
      <c r="D462" s="33" t="str">
        <f ca="1">IFERROR(__xludf.DUMMYFUNCTION("""COMPUTED_VALUE"""),"NO")</f>
        <v>NO</v>
      </c>
      <c r="E462" s="33" t="str">
        <f ca="1">IFERROR(__xludf.DUMMYFUNCTION("""COMPUTED_VALUE"""),"Madrid- Juan Bravo")</f>
        <v>Madrid- Juan Bravo</v>
      </c>
      <c r="F462" s="57">
        <f ca="1">IFERROR(__xludf.DUMMYFUNCTION("""COMPUTED_VALUE"""),45748)</f>
        <v>45748</v>
      </c>
      <c r="G462" s="57">
        <f ca="1">IFERROR(__xludf.DUMMYFUNCTION("""COMPUTED_VALUE"""),45677)</f>
        <v>45677</v>
      </c>
      <c r="H462" s="33" t="str">
        <f ca="1">IFERROR(__xludf.DUMMYFUNCTION("""COMPUTED_VALUE"""),"Juan Bravo")</f>
        <v>Juan Bravo</v>
      </c>
      <c r="I462" s="33" t="str">
        <f ca="1">IFERROR(__xludf.DUMMYFUNCTION("""COMPUTED_VALUE"""),"C2025128171141767")</f>
        <v>C2025128171141767</v>
      </c>
      <c r="J462" s="33" t="str">
        <f ca="1">IFERROR(__xludf.DUMMYFUNCTION("""COMPUTED_VALUE"""),"IRENE CALVO SANCHEZ")</f>
        <v>IRENE CALVO SANCHEZ</v>
      </c>
      <c r="K462" s="33">
        <f ca="1">IFERROR(__xludf.DUMMYFUNCTION("""COMPUTED_VALUE"""),1)</f>
        <v>1</v>
      </c>
      <c r="L462" s="203">
        <f ca="1">IFERROR(__xludf.DUMMYFUNCTION("""COMPUTED_VALUE"""),2226.36)</f>
        <v>2226.36</v>
      </c>
      <c r="M462" s="33" t="str">
        <f ca="1">IFERROR(__xludf.DUMMYFUNCTION("""COMPUTED_VALUE"""),"03 ORL")</f>
        <v>03 ORL</v>
      </c>
      <c r="N462" s="33" t="str">
        <f ca="1">IFERROR(__xludf.DUMMYFUNCTION("""COMPUTED_VALUE"""),"06 ORL")</f>
        <v>06 ORL</v>
      </c>
      <c r="O462" s="33" t="str">
        <f ca="1">IFERROR(__xludf.DUMMYFUNCTION("""COMPUTED_VALUE"""),"Dr, Carlos Barajas Del Rosal")</f>
        <v>Dr, Carlos Barajas Del Rosal</v>
      </c>
      <c r="P462" s="33" t="str">
        <f ca="1">IFERROR(__xludf.DUMMYFUNCTION("""COMPUTED_VALUE"""),"Lisandro Russian (Madrid, Cáceres, Toledo, Talavera Y Logroño)")</f>
        <v>Lisandro Russian (Madrid, Cáceres, Toledo, Talavera Y Logroño)</v>
      </c>
    </row>
    <row r="463" spans="2:16">
      <c r="B463" s="33">
        <f ca="1">IFERROR(__xludf.DUMMYFUNCTION("""COMPUTED_VALUE"""),2025)</f>
        <v>2025</v>
      </c>
      <c r="C463" s="33">
        <f ca="1">IFERROR(__xludf.DUMMYFUNCTION("""COMPUTED_VALUE"""),4)</f>
        <v>4</v>
      </c>
      <c r="D463" s="33" t="str">
        <f ca="1">IFERROR(__xludf.DUMMYFUNCTION("""COMPUTED_VALUE"""),"NO")</f>
        <v>NO</v>
      </c>
      <c r="E463" s="33" t="str">
        <f ca="1">IFERROR(__xludf.DUMMYFUNCTION("""COMPUTED_VALUE"""),"Madrid- Monforte de Lemos")</f>
        <v>Madrid- Monforte de Lemos</v>
      </c>
      <c r="F463" s="57">
        <f ca="1">IFERROR(__xludf.DUMMYFUNCTION("""COMPUTED_VALUE"""),45748)</f>
        <v>45748</v>
      </c>
      <c r="G463" s="57">
        <f ca="1">IFERROR(__xludf.DUMMYFUNCTION("""COMPUTED_VALUE"""),45680)</f>
        <v>45680</v>
      </c>
      <c r="H463" s="33" t="str">
        <f ca="1">IFERROR(__xludf.DUMMYFUNCTION("""COMPUTED_VALUE"""),"La Vaguada")</f>
        <v>La Vaguada</v>
      </c>
      <c r="I463" s="33" t="str">
        <f ca="1">IFERROR(__xludf.DUMMYFUNCTION("""COMPUTED_VALUE"""),"C202523152357478")</f>
        <v>C202523152357478</v>
      </c>
      <c r="J463" s="33" t="str">
        <f ca="1">IFERROR(__xludf.DUMMYFUNCTION("""COMPUTED_VALUE"""),"MARIA ANGELES SANCHEZ SEGOVIA")</f>
        <v>MARIA ANGELES SANCHEZ SEGOVIA</v>
      </c>
      <c r="K463" s="33">
        <f ca="1">IFERROR(__xludf.DUMMYFUNCTION("""COMPUTED_VALUE"""),2)</f>
        <v>2</v>
      </c>
      <c r="L463" s="203">
        <f ca="1">IFERROR(__xludf.DUMMYFUNCTION("""COMPUTED_VALUE"""),4000)</f>
        <v>4000</v>
      </c>
      <c r="M463" s="33" t="str">
        <f ca="1">IFERROR(__xludf.DUMMYFUNCTION("""COMPUTED_VALUE"""),"03 ORL")</f>
        <v>03 ORL</v>
      </c>
      <c r="N463" s="33" t="str">
        <f ca="1">IFERROR(__xludf.DUMMYFUNCTION("""COMPUTED_VALUE"""),"06 ORL")</f>
        <v>06 ORL</v>
      </c>
      <c r="O463" s="33" t="str">
        <f ca="1">IFERROR(__xludf.DUMMYFUNCTION("""COMPUTED_VALUE"""),"Dr, Alejandro Harguindey Antoli-Candela")</f>
        <v>Dr, Alejandro Harguindey Antoli-Candela</v>
      </c>
      <c r="P463" s="33" t="str">
        <f ca="1">IFERROR(__xludf.DUMMYFUNCTION("""COMPUTED_VALUE"""),"Maika Blázquez (Madrid)")</f>
        <v>Maika Blázquez (Madrid)</v>
      </c>
    </row>
    <row r="464" spans="2:16">
      <c r="B464" s="33">
        <f ca="1">IFERROR(__xludf.DUMMYFUNCTION("""COMPUTED_VALUE"""),2025)</f>
        <v>2025</v>
      </c>
      <c r="C464" s="33">
        <f ca="1">IFERROR(__xludf.DUMMYFUNCTION("""COMPUTED_VALUE"""),4)</f>
        <v>4</v>
      </c>
      <c r="D464" s="33" t="str">
        <f ca="1">IFERROR(__xludf.DUMMYFUNCTION("""COMPUTED_VALUE"""),"NO")</f>
        <v>NO</v>
      </c>
      <c r="E464" s="33" t="str">
        <f ca="1">IFERROR(__xludf.DUMMYFUNCTION("""COMPUTED_VALUE"""),"Sevilla- Montoto")</f>
        <v>Sevilla- Montoto</v>
      </c>
      <c r="F464" s="57">
        <f ca="1">IFERROR(__xludf.DUMMYFUNCTION("""COMPUTED_VALUE"""),45748)</f>
        <v>45748</v>
      </c>
      <c r="G464" s="57">
        <f ca="1">IFERROR(__xludf.DUMMYFUNCTION("""COMPUTED_VALUE"""),45705)</f>
        <v>45705</v>
      </c>
      <c r="H464" s="33" t="str">
        <f ca="1">IFERROR(__xludf.DUMMYFUNCTION("""COMPUTED_VALUE"""),"Montoto")</f>
        <v>Montoto</v>
      </c>
      <c r="I464" s="33" t="str">
        <f ca="1">IFERROR(__xludf.DUMMYFUNCTION("""COMPUTED_VALUE"""),"C2025219153340484")</f>
        <v>C2025219153340484</v>
      </c>
      <c r="J464" s="33" t="str">
        <f ca="1">IFERROR(__xludf.DUMMYFUNCTION("""COMPUTED_VALUE"""),"TATIANA RIBERO MENDOZA")</f>
        <v>TATIANA RIBERO MENDOZA</v>
      </c>
      <c r="K464" s="33">
        <f ca="1">IFERROR(__xludf.DUMMYFUNCTION("""COMPUTED_VALUE"""),2)</f>
        <v>2</v>
      </c>
      <c r="L464" s="203">
        <f ca="1">IFERROR(__xludf.DUMMYFUNCTION("""COMPUTED_VALUE"""),4000)</f>
        <v>4000</v>
      </c>
      <c r="M464" s="33" t="str">
        <f ca="1">IFERROR(__xludf.DUMMYFUNCTION("""COMPUTED_VALUE"""),"03 ORL")</f>
        <v>03 ORL</v>
      </c>
      <c r="N464" s="33" t="str">
        <f ca="1">IFERROR(__xludf.DUMMYFUNCTION("""COMPUTED_VALUE"""),"06 ORL")</f>
        <v>06 ORL</v>
      </c>
      <c r="O464" s="33" t="str">
        <f ca="1">IFERROR(__xludf.DUMMYFUNCTION("""COMPUTED_VALUE"""),"Dr, Francisco Ropero Romero")</f>
        <v>Dr, Francisco Ropero Romero</v>
      </c>
      <c r="P464" s="33" t="str">
        <f ca="1">IFERROR(__xludf.DUMMYFUNCTION("""COMPUTED_VALUE"""),"Luis Alberto Rodríguez (Andalucía Y Badajoz)")</f>
        <v>Luis Alberto Rodríguez (Andalucía Y Badajoz)</v>
      </c>
    </row>
    <row r="465" spans="2:16">
      <c r="B465" s="33">
        <f ca="1">IFERROR(__xludf.DUMMYFUNCTION("""COMPUTED_VALUE"""),2025)</f>
        <v>2025</v>
      </c>
      <c r="C465" s="33">
        <f ca="1">IFERROR(__xludf.DUMMYFUNCTION("""COMPUTED_VALUE"""),4)</f>
        <v>4</v>
      </c>
      <c r="D465" s="33" t="str">
        <f ca="1">IFERROR(__xludf.DUMMYFUNCTION("""COMPUTED_VALUE"""),"NO")</f>
        <v>NO</v>
      </c>
      <c r="E465" s="33" t="str">
        <f ca="1">IFERROR(__xludf.DUMMYFUNCTION("""COMPUTED_VALUE"""),"Ourense")</f>
        <v>Ourense</v>
      </c>
      <c r="F465" s="57">
        <f ca="1">IFERROR(__xludf.DUMMYFUNCTION("""COMPUTED_VALUE"""),45749)</f>
        <v>45749</v>
      </c>
      <c r="G465" s="57">
        <f ca="1">IFERROR(__xludf.DUMMYFUNCTION("""COMPUTED_VALUE"""),45716)</f>
        <v>45716</v>
      </c>
      <c r="H465" s="33" t="str">
        <f ca="1">IFERROR(__xludf.DUMMYFUNCTION("""COMPUTED_VALUE"""),"Orense")</f>
        <v>Orense</v>
      </c>
      <c r="I465" s="33" t="str">
        <f ca="1">IFERROR(__xludf.DUMMYFUNCTION("""COMPUTED_VALUE"""),"C2025310131050525")</f>
        <v>C2025310131050525</v>
      </c>
      <c r="J465" s="33" t="str">
        <f ca="1">IFERROR(__xludf.DUMMYFUNCTION("""COMPUTED_VALUE"""),"JOSEFA REINOSO CANGADO")</f>
        <v>JOSEFA REINOSO CANGADO</v>
      </c>
      <c r="K465" s="33">
        <f ca="1">IFERROR(__xludf.DUMMYFUNCTION("""COMPUTED_VALUE"""),2)</f>
        <v>2</v>
      </c>
      <c r="L465" s="203">
        <f ca="1">IFERROR(__xludf.DUMMYFUNCTION("""COMPUTED_VALUE"""),4000)</f>
        <v>4000</v>
      </c>
      <c r="M465" s="33" t="str">
        <f ca="1">IFERROR(__xludf.DUMMYFUNCTION("""COMPUTED_VALUE"""),"03 ORL")</f>
        <v>03 ORL</v>
      </c>
      <c r="N465" s="33" t="str">
        <f ca="1">IFERROR(__xludf.DUMMYFUNCTION("""COMPUTED_VALUE"""),"06 ORL")</f>
        <v>06 ORL</v>
      </c>
      <c r="O465" s="33" t="str">
        <f ca="1">IFERROR(__xludf.DUMMYFUNCTION("""COMPUTED_VALUE"""),"Dra, María Rey Marcos")</f>
        <v>Dra, María Rey Marcos</v>
      </c>
      <c r="P465" s="33" t="str">
        <f ca="1">IFERROR(__xludf.DUMMYFUNCTION("""COMPUTED_VALUE"""),"Roberto Pereira (Galicia)")</f>
        <v>Roberto Pereira (Galicia)</v>
      </c>
    </row>
    <row r="466" spans="2:16">
      <c r="B466" s="33">
        <f ca="1">IFERROR(__xludf.DUMMYFUNCTION("""COMPUTED_VALUE"""),2025)</f>
        <v>2025</v>
      </c>
      <c r="C466" s="33">
        <f ca="1">IFERROR(__xludf.DUMMYFUNCTION("""COMPUTED_VALUE"""),4)</f>
        <v>4</v>
      </c>
      <c r="D466" s="33" t="str">
        <f ca="1">IFERROR(__xludf.DUMMYFUNCTION("""COMPUTED_VALUE"""),"NO")</f>
        <v>NO</v>
      </c>
      <c r="E466" s="33" t="str">
        <f ca="1">IFERROR(__xludf.DUMMYFUNCTION("""COMPUTED_VALUE"""),"Fuenlabrada")</f>
        <v>Fuenlabrada</v>
      </c>
      <c r="F466" s="57">
        <f ca="1">IFERROR(__xludf.DUMMYFUNCTION("""COMPUTED_VALUE"""),45750)</f>
        <v>45750</v>
      </c>
      <c r="G466" s="57">
        <f ca="1">IFERROR(__xludf.DUMMYFUNCTION("""COMPUTED_VALUE"""),45714)</f>
        <v>45714</v>
      </c>
      <c r="H466" s="33" t="str">
        <f ca="1">IFERROR(__xludf.DUMMYFUNCTION("""COMPUTED_VALUE"""),"Fuenlabrada")</f>
        <v>Fuenlabrada</v>
      </c>
      <c r="I466" s="33" t="str">
        <f ca="1">IFERROR(__xludf.DUMMYFUNCTION("""COMPUTED_VALUE"""),"C202536171039178")</f>
        <v>C202536171039178</v>
      </c>
      <c r="J466" s="33" t="str">
        <f ca="1">IFERROR(__xludf.DUMMYFUNCTION("""COMPUTED_VALUE"""),"JULIA ACEITUNO ACEITUNO")</f>
        <v>JULIA ACEITUNO ACEITUNO</v>
      </c>
      <c r="K466" s="33">
        <f ca="1">IFERROR(__xludf.DUMMYFUNCTION("""COMPUTED_VALUE"""),2)</f>
        <v>2</v>
      </c>
      <c r="L466" s="203">
        <f ca="1">IFERROR(__xludf.DUMMYFUNCTION("""COMPUTED_VALUE"""),3710)</f>
        <v>3710</v>
      </c>
      <c r="M466" s="33" t="str">
        <f ca="1">IFERROR(__xludf.DUMMYFUNCTION("""COMPUTED_VALUE"""),"03 ORL")</f>
        <v>03 ORL</v>
      </c>
      <c r="N466" s="33" t="str">
        <f ca="1">IFERROR(__xludf.DUMMYFUNCTION("""COMPUTED_VALUE"""),"06 ORL")</f>
        <v>06 ORL</v>
      </c>
      <c r="O466" s="33" t="str">
        <f ca="1">IFERROR(__xludf.DUMMYFUNCTION("""COMPUTED_VALUE"""),"Dr, Ramón González Herranz")</f>
        <v>Dr, Ramón González Herranz</v>
      </c>
      <c r="P466" s="33" t="str">
        <f ca="1">IFERROR(__xludf.DUMMYFUNCTION("""COMPUTED_VALUE"""),"Maika Blázquez (Madrid)")</f>
        <v>Maika Blázquez (Madrid)</v>
      </c>
    </row>
    <row r="467" spans="2:16">
      <c r="B467" s="33">
        <f ca="1">IFERROR(__xludf.DUMMYFUNCTION("""COMPUTED_VALUE"""),2025)</f>
        <v>2025</v>
      </c>
      <c r="C467" s="33">
        <f ca="1">IFERROR(__xludf.DUMMYFUNCTION("""COMPUTED_VALUE"""),4)</f>
        <v>4</v>
      </c>
      <c r="D467" s="33" t="str">
        <f ca="1">IFERROR(__xludf.DUMMYFUNCTION("""COMPUTED_VALUE"""),"NO")</f>
        <v>NO</v>
      </c>
      <c r="E467" s="33" t="str">
        <f ca="1">IFERROR(__xludf.DUMMYFUNCTION("""COMPUTED_VALUE"""),"Logroño")</f>
        <v>Logroño</v>
      </c>
      <c r="F467" s="57">
        <f ca="1">IFERROR(__xludf.DUMMYFUNCTION("""COMPUTED_VALUE"""),45750)</f>
        <v>45750</v>
      </c>
      <c r="G467" s="57">
        <f ca="1">IFERROR(__xludf.DUMMYFUNCTION("""COMPUTED_VALUE"""),45686)</f>
        <v>45686</v>
      </c>
      <c r="H467" s="33" t="str">
        <f ca="1">IFERROR(__xludf.DUMMYFUNCTION("""COMPUTED_VALUE"""),"Logroño")</f>
        <v>Logroño</v>
      </c>
      <c r="I467" s="33" t="str">
        <f ca="1">IFERROR(__xludf.DUMMYFUNCTION("""COMPUTED_VALUE"""),"C2025212171955657")</f>
        <v>C2025212171955657</v>
      </c>
      <c r="J467" s="33" t="str">
        <f ca="1">IFERROR(__xludf.DUMMYFUNCTION("""COMPUTED_VALUE"""),"MARÍA DOLORES GARCÍA TUDELILLA")</f>
        <v>MARÍA DOLORES GARCÍA TUDELILLA</v>
      </c>
      <c r="K467" s="33">
        <f ca="1">IFERROR(__xludf.DUMMYFUNCTION("""COMPUTED_VALUE"""),1)</f>
        <v>1</v>
      </c>
      <c r="L467" s="203">
        <f ca="1">IFERROR(__xludf.DUMMYFUNCTION("""COMPUTED_VALUE"""),2226.36)</f>
        <v>2226.36</v>
      </c>
      <c r="M467" s="33" t="str">
        <f ca="1">IFERROR(__xludf.DUMMYFUNCTION("""COMPUTED_VALUE"""),"03 ORL")</f>
        <v>03 ORL</v>
      </c>
      <c r="N467" s="33" t="str">
        <f ca="1">IFERROR(__xludf.DUMMYFUNCTION("""COMPUTED_VALUE"""),"06 ORL")</f>
        <v>06 ORL</v>
      </c>
      <c r="O467" s="33" t="str">
        <f ca="1">IFERROR(__xludf.DUMMYFUNCTION("""COMPUTED_VALUE"""),"Dra, Cristina Ibañez Muñoz")</f>
        <v>Dra, Cristina Ibañez Muñoz</v>
      </c>
      <c r="P467" s="33" t="str">
        <f ca="1">IFERROR(__xludf.DUMMYFUNCTION("""COMPUTED_VALUE"""),"Lisandro Russian (Madrid, Cáceres, Toledo, Talavera Y Logroño)")</f>
        <v>Lisandro Russian (Madrid, Cáceres, Toledo, Talavera Y Logroño)</v>
      </c>
    </row>
    <row r="468" spans="2:16">
      <c r="B468" s="33">
        <f ca="1">IFERROR(__xludf.DUMMYFUNCTION("""COMPUTED_VALUE"""),2025)</f>
        <v>2025</v>
      </c>
      <c r="C468" s="33">
        <f ca="1">IFERROR(__xludf.DUMMYFUNCTION("""COMPUTED_VALUE"""),4)</f>
        <v>4</v>
      </c>
      <c r="D468" s="33" t="str">
        <f ca="1">IFERROR(__xludf.DUMMYFUNCTION("""COMPUTED_VALUE"""),"NO")</f>
        <v>NO</v>
      </c>
      <c r="E468" s="33" t="str">
        <f ca="1">IFERROR(__xludf.DUMMYFUNCTION("""COMPUTED_VALUE"""),"Madrid- La Oca")</f>
        <v>Madrid- La Oca</v>
      </c>
      <c r="F468" s="57">
        <f ca="1">IFERROR(__xludf.DUMMYFUNCTION("""COMPUTED_VALUE"""),45750)</f>
        <v>45750</v>
      </c>
      <c r="G468" s="57">
        <f ca="1">IFERROR(__xludf.DUMMYFUNCTION("""COMPUTED_VALUE"""),45700)</f>
        <v>45700</v>
      </c>
      <c r="H468" s="33" t="str">
        <f ca="1">IFERROR(__xludf.DUMMYFUNCTION("""COMPUTED_VALUE"""),"La Oca")</f>
        <v>La Oca</v>
      </c>
      <c r="I468" s="33" t="str">
        <f ca="1">IFERROR(__xludf.DUMMYFUNCTION("""COMPUTED_VALUE"""),"C202522018321748")</f>
        <v>C202522018321748</v>
      </c>
      <c r="J468" s="33" t="str">
        <f ca="1">IFERROR(__xludf.DUMMYFUNCTION("""COMPUTED_VALUE"""),"JOSE PRIETO CUESTA")</f>
        <v>JOSE PRIETO CUESTA</v>
      </c>
      <c r="K468" s="33">
        <f ca="1">IFERROR(__xludf.DUMMYFUNCTION("""COMPUTED_VALUE"""),1)</f>
        <v>1</v>
      </c>
      <c r="L468" s="203">
        <f ca="1">IFERROR(__xludf.DUMMYFUNCTION("""COMPUTED_VALUE"""),2115.09)</f>
        <v>2115.09</v>
      </c>
      <c r="M468" s="33" t="str">
        <f ca="1">IFERROR(__xludf.DUMMYFUNCTION("""COMPUTED_VALUE"""),"03 ORL")</f>
        <v>03 ORL</v>
      </c>
      <c r="N468" s="33" t="str">
        <f ca="1">IFERROR(__xludf.DUMMYFUNCTION("""COMPUTED_VALUE"""),"06 ORL")</f>
        <v>06 ORL</v>
      </c>
      <c r="O468" s="33" t="str">
        <f ca="1">IFERROR(__xludf.DUMMYFUNCTION("""COMPUTED_VALUE"""),"Dr, Félix Rodríguez Paz")</f>
        <v>Dr, Félix Rodríguez Paz</v>
      </c>
      <c r="P468" s="33" t="str">
        <f ca="1">IFERROR(__xludf.DUMMYFUNCTION("""COMPUTED_VALUE"""),"Maika Blázquez (Madrid)")</f>
        <v>Maika Blázquez (Madrid)</v>
      </c>
    </row>
    <row r="469" spans="2:16">
      <c r="B469" s="33">
        <f ca="1">IFERROR(__xludf.DUMMYFUNCTION("""COMPUTED_VALUE"""),2025)</f>
        <v>2025</v>
      </c>
      <c r="C469" s="33">
        <f ca="1">IFERROR(__xludf.DUMMYFUNCTION("""COMPUTED_VALUE"""),4)</f>
        <v>4</v>
      </c>
      <c r="D469" s="33" t="str">
        <f ca="1">IFERROR(__xludf.DUMMYFUNCTION("""COMPUTED_VALUE"""),"NO")</f>
        <v>NO</v>
      </c>
      <c r="E469" s="33" t="str">
        <f ca="1">IFERROR(__xludf.DUMMYFUNCTION("""COMPUTED_VALUE"""),"Madrid- La Oca")</f>
        <v>Madrid- La Oca</v>
      </c>
      <c r="F469" s="57">
        <f ca="1">IFERROR(__xludf.DUMMYFUNCTION("""COMPUTED_VALUE"""),45750)</f>
        <v>45750</v>
      </c>
      <c r="G469" s="57">
        <f ca="1">IFERROR(__xludf.DUMMYFUNCTION("""COMPUTED_VALUE"""),45715)</f>
        <v>45715</v>
      </c>
      <c r="H469" s="33" t="str">
        <f ca="1">IFERROR(__xludf.DUMMYFUNCTION("""COMPUTED_VALUE"""),"La Oca")</f>
        <v>La Oca</v>
      </c>
      <c r="I469" s="33" t="str">
        <f ca="1">IFERROR(__xludf.DUMMYFUNCTION("""COMPUTED_VALUE"""),"C202535104543545")</f>
        <v>C202535104543545</v>
      </c>
      <c r="J469" s="33" t="str">
        <f ca="1">IFERROR(__xludf.DUMMYFUNCTION("""COMPUTED_VALUE"""),"JUAN ABANADES BENITO")</f>
        <v>JUAN ABANADES BENITO</v>
      </c>
      <c r="K469" s="33">
        <f ca="1">IFERROR(__xludf.DUMMYFUNCTION("""COMPUTED_VALUE"""),1)</f>
        <v>1</v>
      </c>
      <c r="L469" s="203">
        <f ca="1">IFERROR(__xludf.DUMMYFUNCTION("""COMPUTED_VALUE"""),2226.36)</f>
        <v>2226.36</v>
      </c>
      <c r="M469" s="33" t="str">
        <f ca="1">IFERROR(__xludf.DUMMYFUNCTION("""COMPUTED_VALUE"""),"03 ORL")</f>
        <v>03 ORL</v>
      </c>
      <c r="N469" s="33" t="str">
        <f ca="1">IFERROR(__xludf.DUMMYFUNCTION("""COMPUTED_VALUE"""),"06 ORL")</f>
        <v>06 ORL</v>
      </c>
      <c r="O469" s="33" t="str">
        <f ca="1">IFERROR(__xludf.DUMMYFUNCTION("""COMPUTED_VALUE"""),"Dr, Eviatar Friedlander")</f>
        <v>Dr, Eviatar Friedlander</v>
      </c>
      <c r="P469" s="33" t="str">
        <f ca="1">IFERROR(__xludf.DUMMYFUNCTION("""COMPUTED_VALUE"""),"Maika Blázquez (Madrid)")</f>
        <v>Maika Blázquez (Madrid)</v>
      </c>
    </row>
    <row r="470" spans="2:16">
      <c r="B470" s="33">
        <f ca="1">IFERROR(__xludf.DUMMYFUNCTION("""COMPUTED_VALUE"""),2025)</f>
        <v>2025</v>
      </c>
      <c r="C470" s="33">
        <f ca="1">IFERROR(__xludf.DUMMYFUNCTION("""COMPUTED_VALUE"""),4)</f>
        <v>4</v>
      </c>
      <c r="D470" s="33" t="str">
        <f ca="1">IFERROR(__xludf.DUMMYFUNCTION("""COMPUTED_VALUE"""),"NO")</f>
        <v>NO</v>
      </c>
      <c r="E470" s="33" t="str">
        <f ca="1">IFERROR(__xludf.DUMMYFUNCTION("""COMPUTED_VALUE"""),"Ourense")</f>
        <v>Ourense</v>
      </c>
      <c r="F470" s="57">
        <f ca="1">IFERROR(__xludf.DUMMYFUNCTION("""COMPUTED_VALUE"""),45751)</f>
        <v>45751</v>
      </c>
      <c r="G470" s="57">
        <f ca="1">IFERROR(__xludf.DUMMYFUNCTION("""COMPUTED_VALUE"""),45733)</f>
        <v>45733</v>
      </c>
      <c r="H470" s="33" t="str">
        <f ca="1">IFERROR(__xludf.DUMMYFUNCTION("""COMPUTED_VALUE"""),"Orense")</f>
        <v>Orense</v>
      </c>
      <c r="I470" s="33" t="str">
        <f ca="1">IFERROR(__xludf.DUMMYFUNCTION("""COMPUTED_VALUE"""),"C202532111406504")</f>
        <v>C202532111406504</v>
      </c>
      <c r="J470" s="33" t="str">
        <f ca="1">IFERROR(__xludf.DUMMYFUNCTION("""COMPUTED_VALUE"""),"DIGNA GOMEZ GRANDE")</f>
        <v>DIGNA GOMEZ GRANDE</v>
      </c>
      <c r="K470" s="33">
        <f ca="1">IFERROR(__xludf.DUMMYFUNCTION("""COMPUTED_VALUE"""),2)</f>
        <v>2</v>
      </c>
      <c r="L470" s="203">
        <f ca="1">IFERROR(__xludf.DUMMYFUNCTION("""COMPUTED_VALUE"""),4000)</f>
        <v>4000</v>
      </c>
      <c r="M470" s="33" t="str">
        <f ca="1">IFERROR(__xludf.DUMMYFUNCTION("""COMPUTED_VALUE"""),"03 ORL")</f>
        <v>03 ORL</v>
      </c>
      <c r="N470" s="33" t="str">
        <f ca="1">IFERROR(__xludf.DUMMYFUNCTION("""COMPUTED_VALUE"""),"06 ORL")</f>
        <v>06 ORL</v>
      </c>
      <c r="O470" s="33" t="str">
        <f ca="1">IFERROR(__xludf.DUMMYFUNCTION("""COMPUTED_VALUE"""),"Dra, María Rey Marcos")</f>
        <v>Dra, María Rey Marcos</v>
      </c>
      <c r="P470" s="33" t="str">
        <f ca="1">IFERROR(__xludf.DUMMYFUNCTION("""COMPUTED_VALUE"""),"Roberto Pereira (Galicia)")</f>
        <v>Roberto Pereira (Galicia)</v>
      </c>
    </row>
    <row r="471" spans="2:16">
      <c r="B471" s="33">
        <f ca="1">IFERROR(__xludf.DUMMYFUNCTION("""COMPUTED_VALUE"""),2025)</f>
        <v>2025</v>
      </c>
      <c r="C471" s="33">
        <f ca="1">IFERROR(__xludf.DUMMYFUNCTION("""COMPUTED_VALUE"""),4)</f>
        <v>4</v>
      </c>
      <c r="D471" s="33" t="str">
        <f ca="1">IFERROR(__xludf.DUMMYFUNCTION("""COMPUTED_VALUE"""),"NO")</f>
        <v>NO</v>
      </c>
      <c r="E471" s="33" t="str">
        <f ca="1">IFERROR(__xludf.DUMMYFUNCTION("""COMPUTED_VALUE"""),"Ourense")</f>
        <v>Ourense</v>
      </c>
      <c r="F471" s="57">
        <f ca="1">IFERROR(__xludf.DUMMYFUNCTION("""COMPUTED_VALUE"""),45751)</f>
        <v>45751</v>
      </c>
      <c r="G471" s="57">
        <f ca="1">IFERROR(__xludf.DUMMYFUNCTION("""COMPUTED_VALUE"""),45701)</f>
        <v>45701</v>
      </c>
      <c r="H471" s="33" t="str">
        <f ca="1">IFERROR(__xludf.DUMMYFUNCTION("""COMPUTED_VALUE"""),"Orense")</f>
        <v>Orense</v>
      </c>
      <c r="I471" s="33" t="str">
        <f ca="1">IFERROR(__xludf.DUMMYFUNCTION("""COMPUTED_VALUE"""),"C202537125118614")</f>
        <v>C202537125118614</v>
      </c>
      <c r="J471" s="33" t="str">
        <f ca="1">IFERROR(__xludf.DUMMYFUNCTION("""COMPUTED_VALUE"""),"JOSEFA BRETAÑA PROL")</f>
        <v>JOSEFA BRETAÑA PROL</v>
      </c>
      <c r="K471" s="33">
        <f ca="1">IFERROR(__xludf.DUMMYFUNCTION("""COMPUTED_VALUE"""),1)</f>
        <v>1</v>
      </c>
      <c r="L471" s="203">
        <f ca="1">IFERROR(__xludf.DUMMYFUNCTION("""COMPUTED_VALUE"""),1732.73)</f>
        <v>1732.73</v>
      </c>
      <c r="M471" s="33" t="str">
        <f ca="1">IFERROR(__xludf.DUMMYFUNCTION("""COMPUTED_VALUE"""),"03 ORL")</f>
        <v>03 ORL</v>
      </c>
      <c r="N471" s="33" t="str">
        <f ca="1">IFERROR(__xludf.DUMMYFUNCTION("""COMPUTED_VALUE"""),"06 ORL")</f>
        <v>06 ORL</v>
      </c>
      <c r="O471" s="33" t="str">
        <f ca="1">IFERROR(__xludf.DUMMYFUNCTION("""COMPUTED_VALUE"""),"Dra, María Rey Marcos")</f>
        <v>Dra, María Rey Marcos</v>
      </c>
      <c r="P471" s="33" t="str">
        <f ca="1">IFERROR(__xludf.DUMMYFUNCTION("""COMPUTED_VALUE"""),"Roberto Pereira (Galicia)")</f>
        <v>Roberto Pereira (Galicia)</v>
      </c>
    </row>
    <row r="472" spans="2:16">
      <c r="B472" s="33">
        <f ca="1">IFERROR(__xludf.DUMMYFUNCTION("""COMPUTED_VALUE"""),2025)</f>
        <v>2025</v>
      </c>
      <c r="C472" s="33">
        <f ca="1">IFERROR(__xludf.DUMMYFUNCTION("""COMPUTED_VALUE"""),4)</f>
        <v>4</v>
      </c>
      <c r="D472" s="33" t="str">
        <f ca="1">IFERROR(__xludf.DUMMYFUNCTION("""COMPUTED_VALUE"""),"NO")</f>
        <v>NO</v>
      </c>
      <c r="E472" s="33" t="str">
        <f ca="1">IFERROR(__xludf.DUMMYFUNCTION("""COMPUTED_VALUE"""),"Orihuela")</f>
        <v>Orihuela</v>
      </c>
      <c r="F472" s="57">
        <f ca="1">IFERROR(__xludf.DUMMYFUNCTION("""COMPUTED_VALUE"""),45754)</f>
        <v>45754</v>
      </c>
      <c r="G472" s="57">
        <f ca="1">IFERROR(__xludf.DUMMYFUNCTION("""COMPUTED_VALUE"""),45716)</f>
        <v>45716</v>
      </c>
      <c r="H472" s="33" t="str">
        <f ca="1">IFERROR(__xludf.DUMMYFUNCTION("""COMPUTED_VALUE"""),"La Zenia")</f>
        <v>La Zenia</v>
      </c>
      <c r="I472" s="33" t="str">
        <f ca="1">IFERROR(__xludf.DUMMYFUNCTION("""COMPUTED_VALUE"""),"C20253716456828")</f>
        <v>C20253716456828</v>
      </c>
      <c r="J472" s="33" t="str">
        <f ca="1">IFERROR(__xludf.DUMMYFUNCTION("""COMPUTED_VALUE"""),"DAVID ROS MELLADO")</f>
        <v>DAVID ROS MELLADO</v>
      </c>
      <c r="K472" s="33">
        <f ca="1">IFERROR(__xludf.DUMMYFUNCTION("""COMPUTED_VALUE"""),1)</f>
        <v>1</v>
      </c>
      <c r="L472" s="203">
        <f ca="1">IFERROR(__xludf.DUMMYFUNCTION("""COMPUTED_VALUE"""),2400)</f>
        <v>2400</v>
      </c>
      <c r="M472" s="33" t="str">
        <f ca="1">IFERROR(__xludf.DUMMYFUNCTION("""COMPUTED_VALUE"""),"01 MARKETING ON LINE")</f>
        <v>01 MARKETING ON LINE</v>
      </c>
      <c r="N472" s="33" t="str">
        <f ca="1">IFERROR(__xludf.DUMMYFUNCTION("""COMPUTED_VALUE"""),"04 AUDIFONO,ES")</f>
        <v>04 AUDIFONO,ES</v>
      </c>
      <c r="O472" s="33" t="str">
        <f ca="1">IFERROR(__xludf.DUMMYFUNCTION("""COMPUTED_VALUE"""),"Dr, Juan Javier Álvarez López")</f>
        <v>Dr, Juan Javier Álvarez López</v>
      </c>
      <c r="P472" s="33" t="str">
        <f ca="1">IFERROR(__xludf.DUMMYFUNCTION("""COMPUTED_VALUE"""),"Iván Sánchez (Levante Y Albacete)")</f>
        <v>Iván Sánchez (Levante Y Albacete)</v>
      </c>
    </row>
    <row r="473" spans="2:16">
      <c r="B473" s="33">
        <f ca="1">IFERROR(__xludf.DUMMYFUNCTION("""COMPUTED_VALUE"""),2025)</f>
        <v>2025</v>
      </c>
      <c r="C473" s="33">
        <f ca="1">IFERROR(__xludf.DUMMYFUNCTION("""COMPUTED_VALUE"""),4)</f>
        <v>4</v>
      </c>
      <c r="D473" s="33" t="str">
        <f ca="1">IFERROR(__xludf.DUMMYFUNCTION("""COMPUTED_VALUE"""),"NO")</f>
        <v>NO</v>
      </c>
      <c r="E473" s="33" t="str">
        <f ca="1">IFERROR(__xludf.DUMMYFUNCTION("""COMPUTED_VALUE"""),"San Javier")</f>
        <v>San Javier</v>
      </c>
      <c r="F473" s="57">
        <f ca="1">IFERROR(__xludf.DUMMYFUNCTION("""COMPUTED_VALUE"""),45754)</f>
        <v>45754</v>
      </c>
      <c r="G473" s="57">
        <f ca="1">IFERROR(__xludf.DUMMYFUNCTION("""COMPUTED_VALUE"""),45694)</f>
        <v>45694</v>
      </c>
      <c r="H473" s="33" t="str">
        <f ca="1">IFERROR(__xludf.DUMMYFUNCTION("""COMPUTED_VALUE"""),"San Javier")</f>
        <v>San Javier</v>
      </c>
      <c r="I473" s="33" t="str">
        <f ca="1">IFERROR(__xludf.DUMMYFUNCTION("""COMPUTED_VALUE"""),"C2025219164347732")</f>
        <v>C2025219164347732</v>
      </c>
      <c r="J473" s="33" t="str">
        <f ca="1">IFERROR(__xludf.DUMMYFUNCTION("""COMPUTED_VALUE"""),"JUAN CARLOS SEVILLA VICEDO")</f>
        <v>JUAN CARLOS SEVILLA VICEDO</v>
      </c>
      <c r="K473" s="33">
        <f ca="1">IFERROR(__xludf.DUMMYFUNCTION("""COMPUTED_VALUE"""),2)</f>
        <v>2</v>
      </c>
      <c r="L473" s="203">
        <f ca="1">IFERROR(__xludf.DUMMYFUNCTION("""COMPUTED_VALUE"""),3763.64)</f>
        <v>3763.64</v>
      </c>
      <c r="M473" s="33" t="str">
        <f ca="1">IFERROR(__xludf.DUMMYFUNCTION("""COMPUTED_VALUE"""),"03 ORL")</f>
        <v>03 ORL</v>
      </c>
      <c r="N473" s="33" t="str">
        <f ca="1">IFERROR(__xludf.DUMMYFUNCTION("""COMPUTED_VALUE"""),"06 ORL")</f>
        <v>06 ORL</v>
      </c>
      <c r="O473" s="33" t="str">
        <f ca="1">IFERROR(__xludf.DUMMYFUNCTION("""COMPUTED_VALUE"""),"Dra, Elena Sevilla Heras")</f>
        <v>Dra, Elena Sevilla Heras</v>
      </c>
      <c r="P473" s="33" t="str">
        <f ca="1">IFERROR(__xludf.DUMMYFUNCTION("""COMPUTED_VALUE"""),"Iván Sánchez (Levante Y Albacete)")</f>
        <v>Iván Sánchez (Levante Y Albacete)</v>
      </c>
    </row>
    <row r="474" spans="2:16">
      <c r="B474" s="33">
        <f ca="1">IFERROR(__xludf.DUMMYFUNCTION("""COMPUTED_VALUE"""),2025)</f>
        <v>2025</v>
      </c>
      <c r="C474" s="33">
        <f ca="1">IFERROR(__xludf.DUMMYFUNCTION("""COMPUTED_VALUE"""),4)</f>
        <v>4</v>
      </c>
      <c r="D474" s="33" t="str">
        <f ca="1">IFERROR(__xludf.DUMMYFUNCTION("""COMPUTED_VALUE"""),"NO")</f>
        <v>NO</v>
      </c>
      <c r="E474" s="33" t="str">
        <f ca="1">IFERROR(__xludf.DUMMYFUNCTION("""COMPUTED_VALUE"""),"Salamanca")</f>
        <v>Salamanca</v>
      </c>
      <c r="F474" s="57">
        <f ca="1">IFERROR(__xludf.DUMMYFUNCTION("""COMPUTED_VALUE"""),45754)</f>
        <v>45754</v>
      </c>
      <c r="G474" s="57">
        <f ca="1">IFERROR(__xludf.DUMMYFUNCTION("""COMPUTED_VALUE"""),45427)</f>
        <v>45427</v>
      </c>
      <c r="H474" s="33" t="str">
        <f ca="1">IFERROR(__xludf.DUMMYFUNCTION("""COMPUTED_VALUE"""),"Salamanca")</f>
        <v>Salamanca</v>
      </c>
      <c r="I474" s="33" t="str">
        <f ca="1">IFERROR(__xludf.DUMMYFUNCTION("""COMPUTED_VALUE"""),"SLM-276")</f>
        <v>SLM-276</v>
      </c>
      <c r="J474" s="33" t="str">
        <f ca="1">IFERROR(__xludf.DUMMYFUNCTION("""COMPUTED_VALUE"""),"MARIA DEL CARMEN GARCIA NIETO")</f>
        <v>MARIA DEL CARMEN GARCIA NIETO</v>
      </c>
      <c r="K474" s="33">
        <f ca="1">IFERROR(__xludf.DUMMYFUNCTION("""COMPUTED_VALUE"""),2)</f>
        <v>2</v>
      </c>
      <c r="L474" s="203">
        <f ca="1">IFERROR(__xludf.DUMMYFUNCTION("""COMPUTED_VALUE"""),3604.46)</f>
        <v>3604.46</v>
      </c>
      <c r="M474" s="33" t="str">
        <f ca="1">IFERROR(__xludf.DUMMYFUNCTION("""COMPUTED_VALUE"""),"03 ORL")</f>
        <v>03 ORL</v>
      </c>
      <c r="N474" s="33" t="str">
        <f ca="1">IFERROR(__xludf.DUMMYFUNCTION("""COMPUTED_VALUE"""),"06 ORL")</f>
        <v>06 ORL</v>
      </c>
      <c r="O474" s="33" t="str">
        <f ca="1">IFERROR(__xludf.DUMMYFUNCTION("""COMPUTED_VALUE"""),"Dr, María Jesús Cornejo Domínguez")</f>
        <v>Dr, María Jesús Cornejo Domínguez</v>
      </c>
      <c r="P474" s="33" t="str">
        <f ca="1">IFERROR(__xludf.DUMMYFUNCTION("""COMPUTED_VALUE"""),"Patricia Solache (Castilla Y León)")</f>
        <v>Patricia Solache (Castilla Y León)</v>
      </c>
    </row>
    <row r="475" spans="2:16">
      <c r="B475" s="33">
        <f ca="1">IFERROR(__xludf.DUMMYFUNCTION("""COMPUTED_VALUE"""),2025)</f>
        <v>2025</v>
      </c>
      <c r="C475" s="33">
        <f ca="1">IFERROR(__xludf.DUMMYFUNCTION("""COMPUTED_VALUE"""),4)</f>
        <v>4</v>
      </c>
      <c r="D475" s="33" t="str">
        <f ca="1">IFERROR(__xludf.DUMMYFUNCTION("""COMPUTED_VALUE"""),"NO")</f>
        <v>NO</v>
      </c>
      <c r="E475" s="33" t="str">
        <f ca="1">IFERROR(__xludf.DUMMYFUNCTION("""COMPUTED_VALUE"""),"Ponferrada")</f>
        <v>Ponferrada</v>
      </c>
      <c r="F475" s="57">
        <f ca="1">IFERROR(__xludf.DUMMYFUNCTION("""COMPUTED_VALUE"""),45754)</f>
        <v>45754</v>
      </c>
      <c r="G475" s="57">
        <f ca="1">IFERROR(__xludf.DUMMYFUNCTION("""COMPUTED_VALUE"""),45586)</f>
        <v>45586</v>
      </c>
      <c r="H475" s="33" t="str">
        <f ca="1">IFERROR(__xludf.DUMMYFUNCTION("""COMPUTED_VALUE"""),"Ponferrada")</f>
        <v>Ponferrada</v>
      </c>
      <c r="I475" s="33" t="str">
        <f ca="1">IFERROR(__xludf.DUMMYFUNCTION("""COMPUTED_VALUE"""),"PON-810")</f>
        <v>PON-810</v>
      </c>
      <c r="J475" s="33" t="str">
        <f ca="1">IFERROR(__xludf.DUMMYFUNCTION("""COMPUTED_VALUE"""),"PALMIRA DE LA FUENTE ALONSO")</f>
        <v>PALMIRA DE LA FUENTE ALONSO</v>
      </c>
      <c r="K475" s="33">
        <f ca="1">IFERROR(__xludf.DUMMYFUNCTION("""COMPUTED_VALUE"""),2)</f>
        <v>2</v>
      </c>
      <c r="L475" s="203">
        <f ca="1">IFERROR(__xludf.DUMMYFUNCTION("""COMPUTED_VALUE"""),3181.82)</f>
        <v>3181.82</v>
      </c>
      <c r="M475" s="33" t="str">
        <f ca="1">IFERROR(__xludf.DUMMYFUNCTION("""COMPUTED_VALUE"""),"03 ORL")</f>
        <v>03 ORL</v>
      </c>
      <c r="N475" s="33" t="str">
        <f ca="1">IFERROR(__xludf.DUMMYFUNCTION("""COMPUTED_VALUE"""),"06 ORL")</f>
        <v>06 ORL</v>
      </c>
      <c r="O475" s="33" t="str">
        <f ca="1">IFERROR(__xludf.DUMMYFUNCTION("""COMPUTED_VALUE"""),"Dra, Diana Lysbeth Lourido Piedrahita")</f>
        <v>Dra, Diana Lysbeth Lourido Piedrahita</v>
      </c>
      <c r="P475" s="33" t="str">
        <f ca="1">IFERROR(__xludf.DUMMYFUNCTION("""COMPUTED_VALUE"""),"Patricia Solache (Castilla Y León)")</f>
        <v>Patricia Solache (Castilla Y León)</v>
      </c>
    </row>
    <row r="476" spans="2:16">
      <c r="B476" s="33">
        <f ca="1">IFERROR(__xludf.DUMMYFUNCTION("""COMPUTED_VALUE"""),2025)</f>
        <v>2025</v>
      </c>
      <c r="C476" s="33">
        <f ca="1">IFERROR(__xludf.DUMMYFUNCTION("""COMPUTED_VALUE"""),4)</f>
        <v>4</v>
      </c>
      <c r="D476" s="33" t="str">
        <f ca="1">IFERROR(__xludf.DUMMYFUNCTION("""COMPUTED_VALUE"""),"NO")</f>
        <v>NO</v>
      </c>
      <c r="E476" s="33" t="str">
        <f ca="1">IFERROR(__xludf.DUMMYFUNCTION("""COMPUTED_VALUE"""),"Zaragoza- León XIII")</f>
        <v>Zaragoza- León XIII</v>
      </c>
      <c r="F476" s="57">
        <f ca="1">IFERROR(__xludf.DUMMYFUNCTION("""COMPUTED_VALUE"""),45754)</f>
        <v>45754</v>
      </c>
      <c r="G476" s="57">
        <f ca="1">IFERROR(__xludf.DUMMYFUNCTION("""COMPUTED_VALUE"""),45740)</f>
        <v>45740</v>
      </c>
      <c r="H476" s="33" t="str">
        <f ca="1">IFERROR(__xludf.DUMMYFUNCTION("""COMPUTED_VALUE"""),"Zaragoza")</f>
        <v>Zaragoza</v>
      </c>
      <c r="I476" s="33" t="str">
        <f ca="1">IFERROR(__xludf.DUMMYFUNCTION("""COMPUTED_VALUE"""),"ZRG-604")</f>
        <v>ZRG-604</v>
      </c>
      <c r="J476" s="33" t="str">
        <f ca="1">IFERROR(__xludf.DUMMYFUNCTION("""COMPUTED_VALUE"""),"JOSE FROILAN SOLANS SERRANO")</f>
        <v>JOSE FROILAN SOLANS SERRANO</v>
      </c>
      <c r="K476" s="33">
        <f ca="1">IFERROR(__xludf.DUMMYFUNCTION("""COMPUTED_VALUE"""),2)</f>
        <v>2</v>
      </c>
      <c r="L476" s="203">
        <f ca="1">IFERROR(__xludf.DUMMYFUNCTION("""COMPUTED_VALUE"""),3627.27)</f>
        <v>3627.27</v>
      </c>
      <c r="M476" s="33" t="str">
        <f ca="1">IFERROR(__xludf.DUMMYFUNCTION("""COMPUTED_VALUE"""),"03 ORL")</f>
        <v>03 ORL</v>
      </c>
      <c r="N476" s="33" t="str">
        <f ca="1">IFERROR(__xludf.DUMMYFUNCTION("""COMPUTED_VALUE"""),"06 ORL")</f>
        <v>06 ORL</v>
      </c>
      <c r="O476" s="33" t="str">
        <f ca="1">IFERROR(__xludf.DUMMYFUNCTION("""COMPUTED_VALUE"""),"Dr, José Manuel García Solans-Esteras")</f>
        <v>Dr, José Manuel García Solans-Esteras</v>
      </c>
      <c r="P476" s="33" t="str">
        <f ca="1">IFERROR(__xludf.DUMMYFUNCTION("""COMPUTED_VALUE"""),"Lisandro Russian (Madrid, Cáceres, Toledo, Talavera Y Logroño)")</f>
        <v>Lisandro Russian (Madrid, Cáceres, Toledo, Talavera Y Logroño)</v>
      </c>
    </row>
    <row r="477" spans="2:16">
      <c r="B477" s="33">
        <f ca="1">IFERROR(__xludf.DUMMYFUNCTION("""COMPUTED_VALUE"""),2025)</f>
        <v>2025</v>
      </c>
      <c r="C477" s="33">
        <f ca="1">IFERROR(__xludf.DUMMYFUNCTION("""COMPUTED_VALUE"""),4)</f>
        <v>4</v>
      </c>
      <c r="D477" s="33" t="str">
        <f ca="1">IFERROR(__xludf.DUMMYFUNCTION("""COMPUTED_VALUE"""),"NO")</f>
        <v>NO</v>
      </c>
      <c r="E477" s="33" t="str">
        <f ca="1">IFERROR(__xludf.DUMMYFUNCTION("""COMPUTED_VALUE"""),"Hospitalet de Llobregat")</f>
        <v>Hospitalet de Llobregat</v>
      </c>
      <c r="F477" s="57">
        <f ca="1">IFERROR(__xludf.DUMMYFUNCTION("""COMPUTED_VALUE"""),45755)</f>
        <v>45755</v>
      </c>
      <c r="G477" s="57">
        <f ca="1">IFERROR(__xludf.DUMMYFUNCTION("""COMPUTED_VALUE"""),45705)</f>
        <v>45705</v>
      </c>
      <c r="H477" s="33" t="str">
        <f ca="1">IFERROR(__xludf.DUMMYFUNCTION("""COMPUTED_VALUE"""),"Hospitalet")</f>
        <v>Hospitalet</v>
      </c>
      <c r="I477" s="33" t="str">
        <f ca="1">IFERROR(__xludf.DUMMYFUNCTION("""COMPUTED_VALUE"""),"C20252189810642")</f>
        <v>C20252189810642</v>
      </c>
      <c r="J477" s="33" t="str">
        <f ca="1">IFERROR(__xludf.DUMMYFUNCTION("""COMPUTED_VALUE"""),"MIGUEL FUERTES ESCRICHE")</f>
        <v>MIGUEL FUERTES ESCRICHE</v>
      </c>
      <c r="K477" s="33">
        <f ca="1">IFERROR(__xludf.DUMMYFUNCTION("""COMPUTED_VALUE"""),2)</f>
        <v>2</v>
      </c>
      <c r="L477" s="203">
        <f ca="1">IFERROR(__xludf.DUMMYFUNCTION("""COMPUTED_VALUE"""),3604.55)</f>
        <v>3604.55</v>
      </c>
      <c r="M477" s="33" t="str">
        <f ca="1">IFERROR(__xludf.DUMMYFUNCTION("""COMPUTED_VALUE"""),"03 ORL")</f>
        <v>03 ORL</v>
      </c>
      <c r="N477" s="33" t="str">
        <f ca="1">IFERROR(__xludf.DUMMYFUNCTION("""COMPUTED_VALUE"""),"06 ORL")</f>
        <v>06 ORL</v>
      </c>
      <c r="O477" s="33" t="str">
        <f ca="1">IFERROR(__xludf.DUMMYFUNCTION("""COMPUTED_VALUE"""),"Dr, Enric Cisa Lluis")</f>
        <v>Dr, Enric Cisa Lluis</v>
      </c>
      <c r="P477" s="33" t="str">
        <f ca="1">IFERROR(__xludf.DUMMYFUNCTION("""COMPUTED_VALUE"""),"Mercè Cabrera (Cataluña Y Baleares)")</f>
        <v>Mercè Cabrera (Cataluña Y Baleares)</v>
      </c>
    </row>
    <row r="478" spans="2:16">
      <c r="B478" s="33">
        <f ca="1">IFERROR(__xludf.DUMMYFUNCTION("""COMPUTED_VALUE"""),2025)</f>
        <v>2025</v>
      </c>
      <c r="C478" s="33">
        <f ca="1">IFERROR(__xludf.DUMMYFUNCTION("""COMPUTED_VALUE"""),4)</f>
        <v>4</v>
      </c>
      <c r="D478" s="33" t="str">
        <f ca="1">IFERROR(__xludf.DUMMYFUNCTION("""COMPUTED_VALUE"""),"NO")</f>
        <v>NO</v>
      </c>
      <c r="E478" s="33" t="str">
        <f ca="1">IFERROR(__xludf.DUMMYFUNCTION("""COMPUTED_VALUE"""),"Madrid- Juan Bravo")</f>
        <v>Madrid- Juan Bravo</v>
      </c>
      <c r="F478" s="57">
        <f ca="1">IFERROR(__xludf.DUMMYFUNCTION("""COMPUTED_VALUE"""),45755)</f>
        <v>45755</v>
      </c>
      <c r="G478" s="57">
        <f ca="1">IFERROR(__xludf.DUMMYFUNCTION("""COMPUTED_VALUE"""),45706)</f>
        <v>45706</v>
      </c>
      <c r="H478" s="33" t="str">
        <f ca="1">IFERROR(__xludf.DUMMYFUNCTION("""COMPUTED_VALUE"""),"Juan Bravo")</f>
        <v>Juan Bravo</v>
      </c>
      <c r="I478" s="33" t="str">
        <f ca="1">IFERROR(__xludf.DUMMYFUNCTION("""COMPUTED_VALUE"""),"C202521995942417")</f>
        <v>C202521995942417</v>
      </c>
      <c r="J478" s="33" t="str">
        <f ca="1">IFERROR(__xludf.DUMMYFUNCTION("""COMPUTED_VALUE"""),"JOSE HERNANDEZ QUERO")</f>
        <v>JOSE HERNANDEZ QUERO</v>
      </c>
      <c r="K478" s="33">
        <f ca="1">IFERROR(__xludf.DUMMYFUNCTION("""COMPUTED_VALUE"""),1)</f>
        <v>1</v>
      </c>
      <c r="L478" s="203">
        <f ca="1">IFERROR(__xludf.DUMMYFUNCTION("""COMPUTED_VALUE"""),2640)</f>
        <v>2640</v>
      </c>
      <c r="M478" s="33" t="str">
        <f ca="1">IFERROR(__xludf.DUMMYFUNCTION("""COMPUTED_VALUE"""),"03 ORL")</f>
        <v>03 ORL</v>
      </c>
      <c r="N478" s="33" t="str">
        <f ca="1">IFERROR(__xludf.DUMMYFUNCTION("""COMPUTED_VALUE"""),"06 ORL")</f>
        <v>06 ORL</v>
      </c>
      <c r="O478" s="33" t="str">
        <f ca="1">IFERROR(__xludf.DUMMYFUNCTION("""COMPUTED_VALUE"""),"Dr, Javier García Domínguez")</f>
        <v>Dr, Javier García Domínguez</v>
      </c>
      <c r="P478" s="33" t="str">
        <f ca="1">IFERROR(__xludf.DUMMYFUNCTION("""COMPUTED_VALUE"""),"Maika Blázquez (Madrid)")</f>
        <v>Maika Blázquez (Madrid)</v>
      </c>
    </row>
    <row r="479" spans="2:16">
      <c r="B479" s="33">
        <f ca="1">IFERROR(__xludf.DUMMYFUNCTION("""COMPUTED_VALUE"""),2025)</f>
        <v>2025</v>
      </c>
      <c r="C479" s="33">
        <f ca="1">IFERROR(__xludf.DUMMYFUNCTION("""COMPUTED_VALUE"""),4)</f>
        <v>4</v>
      </c>
      <c r="D479" s="33" t="str">
        <f ca="1">IFERROR(__xludf.DUMMYFUNCTION("""COMPUTED_VALUE"""),"NO")</f>
        <v>NO</v>
      </c>
      <c r="E479" s="33" t="str">
        <f ca="1">IFERROR(__xludf.DUMMYFUNCTION("""COMPUTED_VALUE"""),"Madrid- Moratalaz")</f>
        <v>Madrid- Moratalaz</v>
      </c>
      <c r="F479" s="57">
        <f ca="1">IFERROR(__xludf.DUMMYFUNCTION("""COMPUTED_VALUE"""),45755)</f>
        <v>45755</v>
      </c>
      <c r="G479" s="57">
        <f ca="1">IFERROR(__xludf.DUMMYFUNCTION("""COMPUTED_VALUE"""),45742)</f>
        <v>45742</v>
      </c>
      <c r="H479" s="33" t="str">
        <f ca="1">IFERROR(__xludf.DUMMYFUNCTION("""COMPUTED_VALUE"""),"Moratalaz")</f>
        <v>Moratalaz</v>
      </c>
      <c r="I479" s="33" t="str">
        <f ca="1">IFERROR(__xludf.DUMMYFUNCTION("""COMPUTED_VALUE"""),"C202543181230397")</f>
        <v>C202543181230397</v>
      </c>
      <c r="J479" s="33" t="str">
        <f ca="1">IFERROR(__xludf.DUMMYFUNCTION("""COMPUTED_VALUE"""),"CONCEPCIÓN DIAZ TORRES")</f>
        <v>CONCEPCIÓN DIAZ TORRES</v>
      </c>
      <c r="K479" s="33">
        <f ca="1">IFERROR(__xludf.DUMMYFUNCTION("""COMPUTED_VALUE"""),2)</f>
        <v>2</v>
      </c>
      <c r="L479" s="203">
        <f ca="1">IFERROR(__xludf.DUMMYFUNCTION("""COMPUTED_VALUE"""),4000)</f>
        <v>4000</v>
      </c>
      <c r="M479" s="33" t="str">
        <f ca="1">IFERROR(__xludf.DUMMYFUNCTION("""COMPUTED_VALUE"""),"03 ORL")</f>
        <v>03 ORL</v>
      </c>
      <c r="N479" s="33" t="str">
        <f ca="1">IFERROR(__xludf.DUMMYFUNCTION("""COMPUTED_VALUE"""),"06 ORL")</f>
        <v>06 ORL</v>
      </c>
      <c r="O479" s="33" t="str">
        <f ca="1">IFERROR(__xludf.DUMMYFUNCTION("""COMPUTED_VALUE"""),"Dr, Esteban Scola Pliego")</f>
        <v>Dr, Esteban Scola Pliego</v>
      </c>
      <c r="P479" s="33" t="str">
        <f ca="1">IFERROR(__xludf.DUMMYFUNCTION("""COMPUTED_VALUE"""),"Maika Blázquez (Madrid)")</f>
        <v>Maika Blázquez (Madrid)</v>
      </c>
    </row>
    <row r="480" spans="2:16">
      <c r="B480" s="33">
        <f ca="1">IFERROR(__xludf.DUMMYFUNCTION("""COMPUTED_VALUE"""),2025)</f>
        <v>2025</v>
      </c>
      <c r="C480" s="33">
        <f ca="1">IFERROR(__xludf.DUMMYFUNCTION("""COMPUTED_VALUE"""),4)</f>
        <v>4</v>
      </c>
      <c r="D480" s="33" t="str">
        <f ca="1">IFERROR(__xludf.DUMMYFUNCTION("""COMPUTED_VALUE"""),"NO")</f>
        <v>NO</v>
      </c>
      <c r="E480" s="33" t="str">
        <f ca="1">IFERROR(__xludf.DUMMYFUNCTION("""COMPUTED_VALUE"""),"Orihuela")</f>
        <v>Orihuela</v>
      </c>
      <c r="F480" s="57">
        <f ca="1">IFERROR(__xludf.DUMMYFUNCTION("""COMPUTED_VALUE"""),45755)</f>
        <v>45755</v>
      </c>
      <c r="G480" s="57">
        <f ca="1">IFERROR(__xludf.DUMMYFUNCTION("""COMPUTED_VALUE"""),45730)</f>
        <v>45730</v>
      </c>
      <c r="H480" s="33" t="str">
        <f ca="1">IFERROR(__xludf.DUMMYFUNCTION("""COMPUTED_VALUE"""),"La Zenia")</f>
        <v>La Zenia</v>
      </c>
      <c r="I480" s="33" t="str">
        <f ca="1">IFERROR(__xludf.DUMMYFUNCTION("""COMPUTED_VALUE"""),"C2025321112440758")</f>
        <v>C2025321112440758</v>
      </c>
      <c r="J480" s="33" t="str">
        <f ca="1">IFERROR(__xludf.DUMMYFUNCTION("""COMPUTED_VALUE"""),"BORIS BURMAKIN")</f>
        <v>BORIS BURMAKIN</v>
      </c>
      <c r="K480" s="33">
        <f ca="1">IFERROR(__xludf.DUMMYFUNCTION("""COMPUTED_VALUE"""),2)</f>
        <v>2</v>
      </c>
      <c r="L480" s="203">
        <f ca="1">IFERROR(__xludf.DUMMYFUNCTION("""COMPUTED_VALUE"""),4000)</f>
        <v>4000</v>
      </c>
      <c r="M480" s="33" t="str">
        <f ca="1">IFERROR(__xludf.DUMMYFUNCTION("""COMPUTED_VALUE"""),"03 ORL")</f>
        <v>03 ORL</v>
      </c>
      <c r="N480" s="33" t="str">
        <f ca="1">IFERROR(__xludf.DUMMYFUNCTION("""COMPUTED_VALUE"""),"06 ORL")</f>
        <v>06 ORL</v>
      </c>
      <c r="O480" s="33" t="str">
        <f ca="1">IFERROR(__xludf.DUMMYFUNCTION("""COMPUTED_VALUE"""),"Dr, Juan Javier Álvarez López")</f>
        <v>Dr, Juan Javier Álvarez López</v>
      </c>
      <c r="P480" s="33" t="str">
        <f ca="1">IFERROR(__xludf.DUMMYFUNCTION("""COMPUTED_VALUE"""),"Iván Sánchez (Levante Y Albacete)")</f>
        <v>Iván Sánchez (Levante Y Albacete)</v>
      </c>
    </row>
    <row r="481" spans="2:16">
      <c r="B481" s="33">
        <f ca="1">IFERROR(__xludf.DUMMYFUNCTION("""COMPUTED_VALUE"""),2025)</f>
        <v>2025</v>
      </c>
      <c r="C481" s="33">
        <f ca="1">IFERROR(__xludf.DUMMYFUNCTION("""COMPUTED_VALUE"""),4)</f>
        <v>4</v>
      </c>
      <c r="D481" s="33" t="str">
        <f ca="1">IFERROR(__xludf.DUMMYFUNCTION("""COMPUTED_VALUE"""),"NO")</f>
        <v>NO</v>
      </c>
      <c r="E481" s="33" t="str">
        <f ca="1">IFERROR(__xludf.DUMMYFUNCTION("""COMPUTED_VALUE"""),"Valladolid")</f>
        <v>Valladolid</v>
      </c>
      <c r="F481" s="57">
        <f ca="1">IFERROR(__xludf.DUMMYFUNCTION("""COMPUTED_VALUE"""),45755)</f>
        <v>45755</v>
      </c>
      <c r="G481" s="57">
        <f ca="1">IFERROR(__xludf.DUMMYFUNCTION("""COMPUTED_VALUE"""),45688)</f>
        <v>45688</v>
      </c>
      <c r="H481" s="33" t="str">
        <f ca="1">IFERROR(__xludf.DUMMYFUNCTION("""COMPUTED_VALUE"""),"Valladolid")</f>
        <v>Valladolid</v>
      </c>
      <c r="I481" s="33" t="str">
        <f ca="1">IFERROR(__xludf.DUMMYFUNCTION("""COMPUTED_VALUE"""),"VLL-335")</f>
        <v>VLL-335</v>
      </c>
      <c r="J481" s="33" t="str">
        <f ca="1">IFERROR(__xludf.DUMMYFUNCTION("""COMPUTED_VALUE"""),"MARIA ROSARIO ORDAX MENDEZ")</f>
        <v>MARIA ROSARIO ORDAX MENDEZ</v>
      </c>
      <c r="K481" s="33">
        <f ca="1">IFERROR(__xludf.DUMMYFUNCTION("""COMPUTED_VALUE"""),2)</f>
        <v>2</v>
      </c>
      <c r="L481" s="203">
        <f ca="1">IFERROR(__xludf.DUMMYFUNCTION("""COMPUTED_VALUE"""),3977.27)</f>
        <v>3977.27</v>
      </c>
      <c r="M481" s="33" t="str">
        <f ca="1">IFERROR(__xludf.DUMMYFUNCTION("""COMPUTED_VALUE"""),"03 ORL")</f>
        <v>03 ORL</v>
      </c>
      <c r="N481" s="33" t="str">
        <f ca="1">IFERROR(__xludf.DUMMYFUNCTION("""COMPUTED_VALUE"""),"06 ORL")</f>
        <v>06 ORL</v>
      </c>
      <c r="O481" s="33" t="str">
        <f ca="1">IFERROR(__xludf.DUMMYFUNCTION("""COMPUTED_VALUE"""),"Dr, Javier Herrero Agustín")</f>
        <v>Dr, Javier Herrero Agustín</v>
      </c>
      <c r="P481" s="33" t="str">
        <f ca="1">IFERROR(__xludf.DUMMYFUNCTION("""COMPUTED_VALUE"""),"Patricia Solache (Castilla Y León)")</f>
        <v>Patricia Solache (Castilla Y León)</v>
      </c>
    </row>
    <row r="482" spans="2:16">
      <c r="B482" s="33">
        <f ca="1">IFERROR(__xludf.DUMMYFUNCTION("""COMPUTED_VALUE"""),2025)</f>
        <v>2025</v>
      </c>
      <c r="C482" s="33">
        <f ca="1">IFERROR(__xludf.DUMMYFUNCTION("""COMPUTED_VALUE"""),4)</f>
        <v>4</v>
      </c>
      <c r="D482" s="33" t="str">
        <f ca="1">IFERROR(__xludf.DUMMYFUNCTION("""COMPUTED_VALUE"""),"NO")</f>
        <v>NO</v>
      </c>
      <c r="E482" s="33" t="str">
        <f ca="1">IFERROR(__xludf.DUMMYFUNCTION("""COMPUTED_VALUE"""),"Sevilla- Ciencias")</f>
        <v>Sevilla- Ciencias</v>
      </c>
      <c r="F482" s="57">
        <f ca="1">IFERROR(__xludf.DUMMYFUNCTION("""COMPUTED_VALUE"""),45755)</f>
        <v>45755</v>
      </c>
      <c r="G482" s="57">
        <f ca="1">IFERROR(__xludf.DUMMYFUNCTION("""COMPUTED_VALUE"""),45702)</f>
        <v>45702</v>
      </c>
      <c r="H482" s="33" t="str">
        <f ca="1">IFERROR(__xludf.DUMMYFUNCTION("""COMPUTED_VALUE"""),"Sevilla Este")</f>
        <v>Sevilla Este</v>
      </c>
      <c r="I482" s="33" t="str">
        <f ca="1">IFERROR(__xludf.DUMMYFUNCTION("""COMPUTED_VALUE"""),"SEVE-366")</f>
        <v>SEVE-366</v>
      </c>
      <c r="J482" s="33" t="str">
        <f ca="1">IFERROR(__xludf.DUMMYFUNCTION("""COMPUTED_VALUE"""),"LUIS PASTOR SUAREZ")</f>
        <v>LUIS PASTOR SUAREZ</v>
      </c>
      <c r="K482" s="33">
        <f ca="1">IFERROR(__xludf.DUMMYFUNCTION("""COMPUTED_VALUE"""),2)</f>
        <v>2</v>
      </c>
      <c r="L482" s="203">
        <f ca="1">IFERROR(__xludf.DUMMYFUNCTION("""COMPUTED_VALUE"""),3710)</f>
        <v>3710</v>
      </c>
      <c r="M482" s="33" t="str">
        <f ca="1">IFERROR(__xludf.DUMMYFUNCTION("""COMPUTED_VALUE"""),"01 MARKETING ON LINE")</f>
        <v>01 MARKETING ON LINE</v>
      </c>
      <c r="N482" s="33" t="str">
        <f ca="1">IFERROR(__xludf.DUMMYFUNCTION("""COMPUTED_VALUE"""),"04 AUDIFONO,ES")</f>
        <v>04 AUDIFONO,ES</v>
      </c>
      <c r="O482" s="33" t="str">
        <f ca="1">IFERROR(__xludf.DUMMYFUNCTION("""COMPUTED_VALUE"""),"Dr, Miguel Rodriguez Pérez")</f>
        <v>Dr, Miguel Rodriguez Pérez</v>
      </c>
      <c r="P482" s="33" t="str">
        <f ca="1">IFERROR(__xludf.DUMMYFUNCTION("""COMPUTED_VALUE"""),"Luis Alberto Rodríguez (Andalucía Y Badajoz)")</f>
        <v>Luis Alberto Rodríguez (Andalucía Y Badajoz)</v>
      </c>
    </row>
    <row r="483" spans="2:16">
      <c r="B483" s="33">
        <f ca="1">IFERROR(__xludf.DUMMYFUNCTION("""COMPUTED_VALUE"""),2025)</f>
        <v>2025</v>
      </c>
      <c r="C483" s="33">
        <f ca="1">IFERROR(__xludf.DUMMYFUNCTION("""COMPUTED_VALUE"""),4)</f>
        <v>4</v>
      </c>
      <c r="D483" s="33" t="str">
        <f ca="1">IFERROR(__xludf.DUMMYFUNCTION("""COMPUTED_VALUE"""),"NO")</f>
        <v>NO</v>
      </c>
      <c r="E483" s="33" t="str">
        <f ca="1">IFERROR(__xludf.DUMMYFUNCTION("""COMPUTED_VALUE"""),"Jerez de la Frontera")</f>
        <v>Jerez de la Frontera</v>
      </c>
      <c r="F483" s="57">
        <f ca="1">IFERROR(__xludf.DUMMYFUNCTION("""COMPUTED_VALUE"""),45756)</f>
        <v>45756</v>
      </c>
      <c r="G483" s="57">
        <f ca="1">IFERROR(__xludf.DUMMYFUNCTION("""COMPUTED_VALUE"""),45722)</f>
        <v>45722</v>
      </c>
      <c r="H483" s="33" t="str">
        <f ca="1">IFERROR(__xludf.DUMMYFUNCTION("""COMPUTED_VALUE"""),"Jerez")</f>
        <v>Jerez</v>
      </c>
      <c r="I483" s="33" t="str">
        <f ca="1">IFERROR(__xludf.DUMMYFUNCTION("""COMPUTED_VALUE"""),"C202536181632710")</f>
        <v>C202536181632710</v>
      </c>
      <c r="J483" s="33" t="str">
        <f ca="1">IFERROR(__xludf.DUMMYFUNCTION("""COMPUTED_VALUE"""),"JOSE MARIA PALOMINO GOMEZ")</f>
        <v>JOSE MARIA PALOMINO GOMEZ</v>
      </c>
      <c r="K483" s="33">
        <f ca="1">IFERROR(__xludf.DUMMYFUNCTION("""COMPUTED_VALUE"""),1)</f>
        <v>1</v>
      </c>
      <c r="L483" s="203">
        <f ca="1">IFERROR(__xludf.DUMMYFUNCTION("""COMPUTED_VALUE"""),2640)</f>
        <v>2640</v>
      </c>
      <c r="M483" s="33" t="str">
        <f ca="1">IFERROR(__xludf.DUMMYFUNCTION("""COMPUTED_VALUE"""),"03 ORL")</f>
        <v>03 ORL</v>
      </c>
      <c r="N483" s="33" t="str">
        <f ca="1">IFERROR(__xludf.DUMMYFUNCTION("""COMPUTED_VALUE"""),"06 ORL")</f>
        <v>06 ORL</v>
      </c>
      <c r="O483" s="33" t="str">
        <f ca="1">IFERROR(__xludf.DUMMYFUNCTION("""COMPUTED_VALUE"""),"Dra, Estefanía Berrocal Postigo")</f>
        <v>Dra, Estefanía Berrocal Postigo</v>
      </c>
      <c r="P483" s="33" t="str">
        <f ca="1">IFERROR(__xludf.DUMMYFUNCTION("""COMPUTED_VALUE"""),"Luis Alberto Rodríguez (Andalucía Y Badajoz)")</f>
        <v>Luis Alberto Rodríguez (Andalucía Y Badajoz)</v>
      </c>
    </row>
    <row r="484" spans="2:16">
      <c r="B484" s="33">
        <f ca="1">IFERROR(__xludf.DUMMYFUNCTION("""COMPUTED_VALUE"""),2025)</f>
        <v>2025</v>
      </c>
      <c r="C484" s="33">
        <f ca="1">IFERROR(__xludf.DUMMYFUNCTION("""COMPUTED_VALUE"""),4)</f>
        <v>4</v>
      </c>
      <c r="D484" s="33" t="str">
        <f ca="1">IFERROR(__xludf.DUMMYFUNCTION("""COMPUTED_VALUE"""),"NO")</f>
        <v>NO</v>
      </c>
      <c r="E484" s="33" t="str">
        <f ca="1">IFERROR(__xludf.DUMMYFUNCTION("""COMPUTED_VALUE"""),"Logroño")</f>
        <v>Logroño</v>
      </c>
      <c r="F484" s="57">
        <f ca="1">IFERROR(__xludf.DUMMYFUNCTION("""COMPUTED_VALUE"""),45756)</f>
        <v>45756</v>
      </c>
      <c r="G484" s="57">
        <f ca="1">IFERROR(__xludf.DUMMYFUNCTION("""COMPUTED_VALUE"""),45714)</f>
        <v>45714</v>
      </c>
      <c r="H484" s="33" t="str">
        <f ca="1">IFERROR(__xludf.DUMMYFUNCTION("""COMPUTED_VALUE"""),"Logroño")</f>
        <v>Logroño</v>
      </c>
      <c r="I484" s="33" t="str">
        <f ca="1">IFERROR(__xludf.DUMMYFUNCTION("""COMPUTED_VALUE"""),"C2025341832191")</f>
        <v>C2025341832191</v>
      </c>
      <c r="J484" s="33" t="str">
        <f ca="1">IFERROR(__xludf.DUMMYFUNCTION("""COMPUTED_VALUE"""),"VICENTE NOVOA MARTINEZ")</f>
        <v>VICENTE NOVOA MARTINEZ</v>
      </c>
      <c r="K484" s="33">
        <f ca="1">IFERROR(__xludf.DUMMYFUNCTION("""COMPUTED_VALUE"""),2)</f>
        <v>2</v>
      </c>
      <c r="L484" s="203">
        <f ca="1">IFERROR(__xludf.DUMMYFUNCTION("""COMPUTED_VALUE"""),4000)</f>
        <v>4000</v>
      </c>
      <c r="M484" s="33" t="str">
        <f ca="1">IFERROR(__xludf.DUMMYFUNCTION("""COMPUTED_VALUE"""),"03 ORL")</f>
        <v>03 ORL</v>
      </c>
      <c r="N484" s="33" t="str">
        <f ca="1">IFERROR(__xludf.DUMMYFUNCTION("""COMPUTED_VALUE"""),"06 ORL")</f>
        <v>06 ORL</v>
      </c>
      <c r="O484" s="33" t="str">
        <f ca="1">IFERROR(__xludf.DUMMYFUNCTION("""COMPUTED_VALUE"""),"Dra, Cristina Ibañez Muñoz")</f>
        <v>Dra, Cristina Ibañez Muñoz</v>
      </c>
      <c r="P484" s="33" t="str">
        <f ca="1">IFERROR(__xludf.DUMMYFUNCTION("""COMPUTED_VALUE"""),"Lisandro Russian (Madrid, Cáceres, Toledo, Talavera Y Logroño)")</f>
        <v>Lisandro Russian (Madrid, Cáceres, Toledo, Talavera Y Logroño)</v>
      </c>
    </row>
    <row r="485" spans="2:16">
      <c r="B485" s="33">
        <f ca="1">IFERROR(__xludf.DUMMYFUNCTION("""COMPUTED_VALUE"""),2025)</f>
        <v>2025</v>
      </c>
      <c r="C485" s="33">
        <f ca="1">IFERROR(__xludf.DUMMYFUNCTION("""COMPUTED_VALUE"""),4)</f>
        <v>4</v>
      </c>
      <c r="D485" s="33" t="str">
        <f ca="1">IFERROR(__xludf.DUMMYFUNCTION("""COMPUTED_VALUE"""),"NO")</f>
        <v>NO</v>
      </c>
      <c r="E485" s="33" t="str">
        <f ca="1">IFERROR(__xludf.DUMMYFUNCTION("""COMPUTED_VALUE"""),"Madrid- La Oca")</f>
        <v>Madrid- La Oca</v>
      </c>
      <c r="F485" s="57">
        <f ca="1">IFERROR(__xludf.DUMMYFUNCTION("""COMPUTED_VALUE"""),45756)</f>
        <v>45756</v>
      </c>
      <c r="G485" s="57">
        <f ca="1">IFERROR(__xludf.DUMMYFUNCTION("""COMPUTED_VALUE"""),45716)</f>
        <v>45716</v>
      </c>
      <c r="H485" s="33" t="str">
        <f ca="1">IFERROR(__xludf.DUMMYFUNCTION("""COMPUTED_VALUE"""),"La Oca")</f>
        <v>La Oca</v>
      </c>
      <c r="I485" s="33" t="str">
        <f ca="1">IFERROR(__xludf.DUMMYFUNCTION("""COMPUTED_VALUE"""),"C20253181161291")</f>
        <v>C20253181161291</v>
      </c>
      <c r="J485" s="33" t="str">
        <f ca="1">IFERROR(__xludf.DUMMYFUNCTION("""COMPUTED_VALUE"""),"MARIA ISABEL GIL GAMERO")</f>
        <v>MARIA ISABEL GIL GAMERO</v>
      </c>
      <c r="K485" s="33">
        <f ca="1">IFERROR(__xludf.DUMMYFUNCTION("""COMPUTED_VALUE"""),1)</f>
        <v>1</v>
      </c>
      <c r="L485" s="203">
        <f ca="1">IFERROR(__xludf.DUMMYFUNCTION("""COMPUTED_VALUE"""),2226.36)</f>
        <v>2226.36</v>
      </c>
      <c r="M485" s="33" t="str">
        <f ca="1">IFERROR(__xludf.DUMMYFUNCTION("""COMPUTED_VALUE"""),"03 ORL")</f>
        <v>03 ORL</v>
      </c>
      <c r="N485" s="33" t="str">
        <f ca="1">IFERROR(__xludf.DUMMYFUNCTION("""COMPUTED_VALUE"""),"22 AUDIOMETRIA CLINICA")</f>
        <v>22 AUDIOMETRIA CLINICA</v>
      </c>
      <c r="O485" s="33" t="str">
        <f ca="1">IFERROR(__xludf.DUMMYFUNCTION("""COMPUTED_VALUE"""),"Dr, Oscar A, Sánchez Valenzuela")</f>
        <v>Dr, Oscar A, Sánchez Valenzuela</v>
      </c>
      <c r="P485" s="33" t="str">
        <f ca="1">IFERROR(__xludf.DUMMYFUNCTION("""COMPUTED_VALUE"""),"Maika Blázquez (Madrid)")</f>
        <v>Maika Blázquez (Madrid)</v>
      </c>
    </row>
    <row r="486" spans="2:16">
      <c r="B486" s="33">
        <f ca="1">IFERROR(__xludf.DUMMYFUNCTION("""COMPUTED_VALUE"""),2025)</f>
        <v>2025</v>
      </c>
      <c r="C486" s="33">
        <f ca="1">IFERROR(__xludf.DUMMYFUNCTION("""COMPUTED_VALUE"""),4)</f>
        <v>4</v>
      </c>
      <c r="D486" s="33" t="str">
        <f ca="1">IFERROR(__xludf.DUMMYFUNCTION("""COMPUTED_VALUE"""),"NO")</f>
        <v>NO</v>
      </c>
      <c r="E486" s="33" t="str">
        <f ca="1">IFERROR(__xludf.DUMMYFUNCTION("""COMPUTED_VALUE"""),"Valencia- Cádiz")</f>
        <v>Valencia- Cádiz</v>
      </c>
      <c r="F486" s="57">
        <f ca="1">IFERROR(__xludf.DUMMYFUNCTION("""COMPUTED_VALUE"""),45756)</f>
        <v>45756</v>
      </c>
      <c r="G486" s="57">
        <f ca="1">IFERROR(__xludf.DUMMYFUNCTION("""COMPUTED_VALUE"""),45722)</f>
        <v>45722</v>
      </c>
      <c r="H486" s="33" t="str">
        <f ca="1">IFERROR(__xludf.DUMMYFUNCTION("""COMPUTED_VALUE"""),"Valencia- Cádiz")</f>
        <v>Valencia- Cádiz</v>
      </c>
      <c r="I486" s="33" t="str">
        <f ca="1">IFERROR(__xludf.DUMMYFUNCTION("""COMPUTED_VALUE"""),"C2025320162550143")</f>
        <v>C2025320162550143</v>
      </c>
      <c r="J486" s="33" t="str">
        <f ca="1">IFERROR(__xludf.DUMMYFUNCTION("""COMPUTED_VALUE"""),"ROSARIO SALCEDO ORTEGA")</f>
        <v>ROSARIO SALCEDO ORTEGA</v>
      </c>
      <c r="K486" s="33">
        <f ca="1">IFERROR(__xludf.DUMMYFUNCTION("""COMPUTED_VALUE"""),1)</f>
        <v>1</v>
      </c>
      <c r="L486" s="203">
        <f ca="1">IFERROR(__xludf.DUMMYFUNCTION("""COMPUTED_VALUE"""),1732.73)</f>
        <v>1732.73</v>
      </c>
      <c r="M486" s="33" t="str">
        <f ca="1">IFERROR(__xludf.DUMMYFUNCTION("""COMPUTED_VALUE"""),"03 ORL")</f>
        <v>03 ORL</v>
      </c>
      <c r="N486" s="33" t="str">
        <f ca="1">IFERROR(__xludf.DUMMYFUNCTION("""COMPUTED_VALUE"""),"06 ORL")</f>
        <v>06 ORL</v>
      </c>
      <c r="O486" s="33" t="str">
        <f ca="1">IFERROR(__xludf.DUMMYFUNCTION("""COMPUTED_VALUE"""),"Dra, Paula Martínez-Ruiz De Apocada")</f>
        <v>Dra, Paula Martínez-Ruiz De Apocada</v>
      </c>
      <c r="P486" s="33" t="str">
        <f ca="1">IFERROR(__xludf.DUMMYFUNCTION("""COMPUTED_VALUE"""),"Ramon Ferrando(Valencia)")</f>
        <v>Ramon Ferrando(Valencia)</v>
      </c>
    </row>
    <row r="487" spans="2:16">
      <c r="B487" s="33">
        <f ca="1">IFERROR(__xludf.DUMMYFUNCTION("""COMPUTED_VALUE"""),2025)</f>
        <v>2025</v>
      </c>
      <c r="C487" s="33">
        <f ca="1">IFERROR(__xludf.DUMMYFUNCTION("""COMPUTED_VALUE"""),4)</f>
        <v>4</v>
      </c>
      <c r="D487" s="33" t="str">
        <f ca="1">IFERROR(__xludf.DUMMYFUNCTION("""COMPUTED_VALUE"""),"NO")</f>
        <v>NO</v>
      </c>
      <c r="E487" s="33" t="str">
        <f ca="1">IFERROR(__xludf.DUMMYFUNCTION("""COMPUTED_VALUE"""),"Zaragoza- León XIII")</f>
        <v>Zaragoza- León XIII</v>
      </c>
      <c r="F487" s="57">
        <f ca="1">IFERROR(__xludf.DUMMYFUNCTION("""COMPUTED_VALUE"""),45756)</f>
        <v>45756</v>
      </c>
      <c r="G487" s="57">
        <f ca="1">IFERROR(__xludf.DUMMYFUNCTION("""COMPUTED_VALUE"""),45713)</f>
        <v>45713</v>
      </c>
      <c r="H487" s="33" t="str">
        <f ca="1">IFERROR(__xludf.DUMMYFUNCTION("""COMPUTED_VALUE"""),"Zaragoza")</f>
        <v>Zaragoza</v>
      </c>
      <c r="I487" s="33" t="str">
        <f ca="1">IFERROR(__xludf.DUMMYFUNCTION("""COMPUTED_VALUE"""),"ZRG-586")</f>
        <v>ZRG-586</v>
      </c>
      <c r="J487" s="33" t="str">
        <f ca="1">IFERROR(__xludf.DUMMYFUNCTION("""COMPUTED_VALUE"""),"Mª ISABEL ANDRES CUADRADO")</f>
        <v>Mª ISABEL ANDRES CUADRADO</v>
      </c>
      <c r="K487" s="33">
        <f ca="1">IFERROR(__xludf.DUMMYFUNCTION("""COMPUTED_VALUE"""),2)</f>
        <v>2</v>
      </c>
      <c r="L487" s="203">
        <f ca="1">IFERROR(__xludf.DUMMYFUNCTION("""COMPUTED_VALUE"""),2936.36)</f>
        <v>2936.36</v>
      </c>
      <c r="M487" s="33" t="str">
        <f ca="1">IFERROR(__xludf.DUMMYFUNCTION("""COMPUTED_VALUE"""),"03 ORL")</f>
        <v>03 ORL</v>
      </c>
      <c r="N487" s="33" t="str">
        <f ca="1">IFERROR(__xludf.DUMMYFUNCTION("""COMPUTED_VALUE"""),"06 ORL")</f>
        <v>06 ORL</v>
      </c>
      <c r="O487" s="33" t="str">
        <f ca="1">IFERROR(__xludf.DUMMYFUNCTION("""COMPUTED_VALUE"""),"Dr, José Víctor Tisner Nieto")</f>
        <v>Dr, José Víctor Tisner Nieto</v>
      </c>
      <c r="P487" s="33" t="str">
        <f ca="1">IFERROR(__xludf.DUMMYFUNCTION("""COMPUTED_VALUE"""),"Lisandro Russian (Madrid, Cáceres, Toledo, Talavera Y Logroño)")</f>
        <v>Lisandro Russian (Madrid, Cáceres, Toledo, Talavera Y Logroño)</v>
      </c>
    </row>
    <row r="488" spans="2:16">
      <c r="B488" s="33">
        <f ca="1">IFERROR(__xludf.DUMMYFUNCTION("""COMPUTED_VALUE"""),2025)</f>
        <v>2025</v>
      </c>
      <c r="C488" s="33">
        <f ca="1">IFERROR(__xludf.DUMMYFUNCTION("""COMPUTED_VALUE"""),4)</f>
        <v>4</v>
      </c>
      <c r="D488" s="33" t="str">
        <f ca="1">IFERROR(__xludf.DUMMYFUNCTION("""COMPUTED_VALUE"""),"NO")</f>
        <v>NO</v>
      </c>
      <c r="E488" s="33" t="str">
        <f ca="1">IFERROR(__xludf.DUMMYFUNCTION("""COMPUTED_VALUE"""),"Alcorcón")</f>
        <v>Alcorcón</v>
      </c>
      <c r="F488" s="57">
        <f ca="1">IFERROR(__xludf.DUMMYFUNCTION("""COMPUTED_VALUE"""),45757)</f>
        <v>45757</v>
      </c>
      <c r="G488" s="57">
        <f ca="1">IFERROR(__xludf.DUMMYFUNCTION("""COMPUTED_VALUE"""),45727)</f>
        <v>45727</v>
      </c>
      <c r="H488" s="33" t="str">
        <f ca="1">IFERROR(__xludf.DUMMYFUNCTION("""COMPUTED_VALUE"""),"Alcorcón")</f>
        <v>Alcorcón</v>
      </c>
      <c r="I488" s="33" t="str">
        <f ca="1">IFERROR(__xludf.DUMMYFUNCTION("""COMPUTED_VALUE"""),"C2025317155945276")</f>
        <v>C2025317155945276</v>
      </c>
      <c r="J488" s="33" t="str">
        <f ca="1">IFERROR(__xludf.DUMMYFUNCTION("""COMPUTED_VALUE"""),"SANTIAGO GARCIA HERRANZ")</f>
        <v>SANTIAGO GARCIA HERRANZ</v>
      </c>
      <c r="K488" s="33">
        <f ca="1">IFERROR(__xludf.DUMMYFUNCTION("""COMPUTED_VALUE"""),2)</f>
        <v>2</v>
      </c>
      <c r="L488" s="203">
        <f ca="1">IFERROR(__xludf.DUMMYFUNCTION("""COMPUTED_VALUE"""),3710)</f>
        <v>3710</v>
      </c>
      <c r="M488" s="33" t="str">
        <f ca="1">IFERROR(__xludf.DUMMYFUNCTION("""COMPUTED_VALUE"""),"03 ORL")</f>
        <v>03 ORL</v>
      </c>
      <c r="N488" s="33" t="str">
        <f ca="1">IFERROR(__xludf.DUMMYFUNCTION("""COMPUTED_VALUE"""),"06 ORL")</f>
        <v>06 ORL</v>
      </c>
      <c r="O488" s="33" t="str">
        <f ca="1">IFERROR(__xludf.DUMMYFUNCTION("""COMPUTED_VALUE"""),"Dra, Maria Ángeles Mate Bayon")</f>
        <v>Dra, Maria Ángeles Mate Bayon</v>
      </c>
      <c r="P488" s="33" t="str">
        <f ca="1">IFERROR(__xludf.DUMMYFUNCTION("""COMPUTED_VALUE"""),"Lisandro Russian (Madrid, Cáceres, Toledo, Talavera Y Logroño)")</f>
        <v>Lisandro Russian (Madrid, Cáceres, Toledo, Talavera Y Logroño)</v>
      </c>
    </row>
    <row r="489" spans="2:16">
      <c r="B489" s="33">
        <f ca="1">IFERROR(__xludf.DUMMYFUNCTION("""COMPUTED_VALUE"""),2025)</f>
        <v>2025</v>
      </c>
      <c r="C489" s="33">
        <f ca="1">IFERROR(__xludf.DUMMYFUNCTION("""COMPUTED_VALUE"""),4)</f>
        <v>4</v>
      </c>
      <c r="D489" s="33" t="str">
        <f ca="1">IFERROR(__xludf.DUMMYFUNCTION("""COMPUTED_VALUE"""),"NO")</f>
        <v>NO</v>
      </c>
      <c r="E489" s="33" t="str">
        <f ca="1">IFERROR(__xludf.DUMMYFUNCTION("""COMPUTED_VALUE"""),"Getafe")</f>
        <v>Getafe</v>
      </c>
      <c r="F489" s="57">
        <f ca="1">IFERROR(__xludf.DUMMYFUNCTION("""COMPUTED_VALUE"""),45757)</f>
        <v>45757</v>
      </c>
      <c r="G489" s="57">
        <f ca="1">IFERROR(__xludf.DUMMYFUNCTION("""COMPUTED_VALUE"""),45721)</f>
        <v>45721</v>
      </c>
      <c r="H489" s="33" t="str">
        <f ca="1">IFERROR(__xludf.DUMMYFUNCTION("""COMPUTED_VALUE"""),"Getafe")</f>
        <v>Getafe</v>
      </c>
      <c r="I489" s="33" t="str">
        <f ca="1">IFERROR(__xludf.DUMMYFUNCTION("""COMPUTED_VALUE"""),"C2025312121831214")</f>
        <v>C2025312121831214</v>
      </c>
      <c r="J489" s="33" t="str">
        <f ca="1">IFERROR(__xludf.DUMMYFUNCTION("""COMPUTED_VALUE"""),"LONGINA MORENO GARZON")</f>
        <v>LONGINA MORENO GARZON</v>
      </c>
      <c r="K489" s="33">
        <f ca="1">IFERROR(__xludf.DUMMYFUNCTION("""COMPUTED_VALUE"""),2)</f>
        <v>2</v>
      </c>
      <c r="L489" s="203">
        <f ca="1">IFERROR(__xludf.DUMMYFUNCTION("""COMPUTED_VALUE"""),2888.18)</f>
        <v>2888.18</v>
      </c>
      <c r="M489" s="33" t="str">
        <f ca="1">IFERROR(__xludf.DUMMYFUNCTION("""COMPUTED_VALUE"""),"03 ORL")</f>
        <v>03 ORL</v>
      </c>
      <c r="N489" s="33" t="str">
        <f ca="1">IFERROR(__xludf.DUMMYFUNCTION("""COMPUTED_VALUE"""),"06 ORL")</f>
        <v>06 ORL</v>
      </c>
      <c r="O489" s="33" t="str">
        <f ca="1">IFERROR(__xludf.DUMMYFUNCTION("""COMPUTED_VALUE"""),"Dra, Esther García López")</f>
        <v>Dra, Esther García López</v>
      </c>
      <c r="P489" s="33" t="str">
        <f ca="1">IFERROR(__xludf.DUMMYFUNCTION("""COMPUTED_VALUE"""),"Maika Blázquez (Madrid)")</f>
        <v>Maika Blázquez (Madrid)</v>
      </c>
    </row>
    <row r="490" spans="2:16">
      <c r="B490" s="33">
        <f ca="1">IFERROR(__xludf.DUMMYFUNCTION("""COMPUTED_VALUE"""),2025)</f>
        <v>2025</v>
      </c>
      <c r="C490" s="33">
        <f ca="1">IFERROR(__xludf.DUMMYFUNCTION("""COMPUTED_VALUE"""),4)</f>
        <v>4</v>
      </c>
      <c r="D490" s="33" t="str">
        <f ca="1">IFERROR(__xludf.DUMMYFUNCTION("""COMPUTED_VALUE"""),"NO")</f>
        <v>NO</v>
      </c>
      <c r="E490" s="33" t="str">
        <f ca="1">IFERROR(__xludf.DUMMYFUNCTION("""COMPUTED_VALUE"""),"Leganés")</f>
        <v>Leganés</v>
      </c>
      <c r="F490" s="57">
        <f ca="1">IFERROR(__xludf.DUMMYFUNCTION("""COMPUTED_VALUE"""),45757)</f>
        <v>45757</v>
      </c>
      <c r="G490" s="57">
        <f ca="1">IFERROR(__xludf.DUMMYFUNCTION("""COMPUTED_VALUE"""),45743)</f>
        <v>45743</v>
      </c>
      <c r="H490" s="33" t="str">
        <f ca="1">IFERROR(__xludf.DUMMYFUNCTION("""COMPUTED_VALUE"""),"Leganés")</f>
        <v>Leganés</v>
      </c>
      <c r="I490" s="33" t="str">
        <f ca="1">IFERROR(__xludf.DUMMYFUNCTION("""COMPUTED_VALUE"""),"C2025331105510737")</f>
        <v>C2025331105510737</v>
      </c>
      <c r="J490" s="33" t="str">
        <f ca="1">IFERROR(__xludf.DUMMYFUNCTION("""COMPUTED_VALUE"""),"JACINTO MATEOS MATEOS")</f>
        <v>JACINTO MATEOS MATEOS</v>
      </c>
      <c r="K490" s="33">
        <f ca="1">IFERROR(__xludf.DUMMYFUNCTION("""COMPUTED_VALUE"""),2)</f>
        <v>2</v>
      </c>
      <c r="L490" s="203">
        <f ca="1">IFERROR(__xludf.DUMMYFUNCTION("""COMPUTED_VALUE"""),2586.36)</f>
        <v>2586.36</v>
      </c>
      <c r="M490" s="33" t="str">
        <f ca="1">IFERROR(__xludf.DUMMYFUNCTION("""COMPUTED_VALUE"""),"03 ORL")</f>
        <v>03 ORL</v>
      </c>
      <c r="N490" s="33" t="str">
        <f ca="1">IFERROR(__xludf.DUMMYFUNCTION("""COMPUTED_VALUE"""),"06 ORL")</f>
        <v>06 ORL</v>
      </c>
      <c r="O490" s="33" t="str">
        <f ca="1">IFERROR(__xludf.DUMMYFUNCTION("""COMPUTED_VALUE"""),"Dr, Julio López Moya")</f>
        <v>Dr, Julio López Moya</v>
      </c>
      <c r="P490" s="33" t="str">
        <f ca="1">IFERROR(__xludf.DUMMYFUNCTION("""COMPUTED_VALUE"""),"Maika Blázquez (Madrid)")</f>
        <v>Maika Blázquez (Madrid)</v>
      </c>
    </row>
    <row r="491" spans="2:16">
      <c r="B491" s="33">
        <f ca="1">IFERROR(__xludf.DUMMYFUNCTION("""COMPUTED_VALUE"""),2025)</f>
        <v>2025</v>
      </c>
      <c r="C491" s="33">
        <f ca="1">IFERROR(__xludf.DUMMYFUNCTION("""COMPUTED_VALUE"""),4)</f>
        <v>4</v>
      </c>
      <c r="D491" s="33" t="str">
        <f ca="1">IFERROR(__xludf.DUMMYFUNCTION("""COMPUTED_VALUE"""),"NO")</f>
        <v>NO</v>
      </c>
      <c r="E491" s="33" t="str">
        <f ca="1">IFERROR(__xludf.DUMMYFUNCTION("""COMPUTED_VALUE"""),"Leganés")</f>
        <v>Leganés</v>
      </c>
      <c r="F491" s="57">
        <f ca="1">IFERROR(__xludf.DUMMYFUNCTION("""COMPUTED_VALUE"""),45757)</f>
        <v>45757</v>
      </c>
      <c r="G491" s="57">
        <f ca="1">IFERROR(__xludf.DUMMYFUNCTION("""COMPUTED_VALUE"""),45712)</f>
        <v>45712</v>
      </c>
      <c r="H491" s="33" t="str">
        <f ca="1">IFERROR(__xludf.DUMMYFUNCTION("""COMPUTED_VALUE"""),"Leganés")</f>
        <v>Leganés</v>
      </c>
      <c r="I491" s="33" t="str">
        <f ca="1">IFERROR(__xludf.DUMMYFUNCTION("""COMPUTED_VALUE"""),"C2025228123828977")</f>
        <v>C2025228123828977</v>
      </c>
      <c r="J491" s="33" t="str">
        <f ca="1">IFERROR(__xludf.DUMMYFUNCTION("""COMPUTED_VALUE"""),"MARÍA LUZ JUNCO DAVILA")</f>
        <v>MARÍA LUZ JUNCO DAVILA</v>
      </c>
      <c r="K491" s="33">
        <f ca="1">IFERROR(__xludf.DUMMYFUNCTION("""COMPUTED_VALUE"""),2)</f>
        <v>2</v>
      </c>
      <c r="L491" s="203">
        <f ca="1">IFERROR(__xludf.DUMMYFUNCTION("""COMPUTED_VALUE"""),2722.73)</f>
        <v>2722.73</v>
      </c>
      <c r="M491" s="33" t="str">
        <f ca="1">IFERROR(__xludf.DUMMYFUNCTION("""COMPUTED_VALUE"""),"03 ORL")</f>
        <v>03 ORL</v>
      </c>
      <c r="N491" s="33" t="str">
        <f ca="1">IFERROR(__xludf.DUMMYFUNCTION("""COMPUTED_VALUE"""),"06 ORL")</f>
        <v>06 ORL</v>
      </c>
      <c r="O491" s="33" t="str">
        <f ca="1">IFERROR(__xludf.DUMMYFUNCTION("""COMPUTED_VALUE"""),"No recuerda ORL")</f>
        <v>No recuerda ORL</v>
      </c>
      <c r="P491" s="33" t="str">
        <f ca="1">IFERROR(__xludf.DUMMYFUNCTION("""COMPUTED_VALUE"""),"Maika Blázquez (Madrid)")</f>
        <v>Maika Blázquez (Madrid)</v>
      </c>
    </row>
    <row r="492" spans="2:16">
      <c r="B492" s="33">
        <f ca="1">IFERROR(__xludf.DUMMYFUNCTION("""COMPUTED_VALUE"""),2025)</f>
        <v>2025</v>
      </c>
      <c r="C492" s="33">
        <f ca="1">IFERROR(__xludf.DUMMYFUNCTION("""COMPUTED_VALUE"""),4)</f>
        <v>4</v>
      </c>
      <c r="D492" s="33" t="str">
        <f ca="1">IFERROR(__xludf.DUMMYFUNCTION("""COMPUTED_VALUE"""),"NO")</f>
        <v>NO</v>
      </c>
      <c r="E492" s="33" t="str">
        <f ca="1">IFERROR(__xludf.DUMMYFUNCTION("""COMPUTED_VALUE"""),"Leganés")</f>
        <v>Leganés</v>
      </c>
      <c r="F492" s="57">
        <f ca="1">IFERROR(__xludf.DUMMYFUNCTION("""COMPUTED_VALUE"""),45757)</f>
        <v>45757</v>
      </c>
      <c r="G492" s="57">
        <f ca="1">IFERROR(__xludf.DUMMYFUNCTION("""COMPUTED_VALUE"""),45720)</f>
        <v>45720</v>
      </c>
      <c r="H492" s="33" t="str">
        <f ca="1">IFERROR(__xludf.DUMMYFUNCTION("""COMPUTED_VALUE"""),"Leganés")</f>
        <v>Leganés</v>
      </c>
      <c r="I492" s="33" t="str">
        <f ca="1">IFERROR(__xludf.DUMMYFUNCTION("""COMPUTED_VALUE"""),"C202537151032392")</f>
        <v>C202537151032392</v>
      </c>
      <c r="J492" s="33" t="str">
        <f ca="1">IFERROR(__xludf.DUMMYFUNCTION("""COMPUTED_VALUE"""),"MARIANO GARCÍA GRANADO")</f>
        <v>MARIANO GARCÍA GRANADO</v>
      </c>
      <c r="K492" s="33">
        <f ca="1">IFERROR(__xludf.DUMMYFUNCTION("""COMPUTED_VALUE"""),2)</f>
        <v>2</v>
      </c>
      <c r="L492" s="203">
        <f ca="1">IFERROR(__xludf.DUMMYFUNCTION("""COMPUTED_VALUE"""),2586.36)</f>
        <v>2586.36</v>
      </c>
      <c r="M492" s="33" t="str">
        <f ca="1">IFERROR(__xludf.DUMMYFUNCTION("""COMPUTED_VALUE"""),"03 ORL")</f>
        <v>03 ORL</v>
      </c>
      <c r="N492" s="33" t="str">
        <f ca="1">IFERROR(__xludf.DUMMYFUNCTION("""COMPUTED_VALUE"""),"06 ORL")</f>
        <v>06 ORL</v>
      </c>
      <c r="O492" s="33" t="str">
        <f ca="1">IFERROR(__xludf.DUMMYFUNCTION("""COMPUTED_VALUE"""),"Dra, Ana Ruiz Fornells Noreña")</f>
        <v>Dra, Ana Ruiz Fornells Noreña</v>
      </c>
      <c r="P492" s="33" t="str">
        <f ca="1">IFERROR(__xludf.DUMMYFUNCTION("""COMPUTED_VALUE"""),"Maika Blázquez (Madrid)")</f>
        <v>Maika Blázquez (Madrid)</v>
      </c>
    </row>
    <row r="493" spans="2:16">
      <c r="B493" s="33">
        <f ca="1">IFERROR(__xludf.DUMMYFUNCTION("""COMPUTED_VALUE"""),2025)</f>
        <v>2025</v>
      </c>
      <c r="C493" s="33">
        <f ca="1">IFERROR(__xludf.DUMMYFUNCTION("""COMPUTED_VALUE"""),4)</f>
        <v>4</v>
      </c>
      <c r="D493" s="33" t="str">
        <f ca="1">IFERROR(__xludf.DUMMYFUNCTION("""COMPUTED_VALUE"""),"SI")</f>
        <v>SI</v>
      </c>
      <c r="E493" s="33" t="str">
        <f ca="1">IFERROR(__xludf.DUMMYFUNCTION("""COMPUTED_VALUE"""),"Sevilla- Montoto")</f>
        <v>Sevilla- Montoto</v>
      </c>
      <c r="F493" s="57">
        <f ca="1">IFERROR(__xludf.DUMMYFUNCTION("""COMPUTED_VALUE"""),45757)</f>
        <v>45757</v>
      </c>
      <c r="G493" s="57">
        <f ca="1">IFERROR(__xludf.DUMMYFUNCTION("""COMPUTED_VALUE"""),44168)</f>
        <v>44168</v>
      </c>
      <c r="H493" s="33" t="str">
        <f ca="1">IFERROR(__xludf.DUMMYFUNCTION("""COMPUTED_VALUE"""),"Montoto")</f>
        <v>Montoto</v>
      </c>
      <c r="I493" s="33" t="str">
        <f ca="1">IFERROR(__xludf.DUMMYFUNCTION("""COMPUTED_VALUE"""),"SMO-903")</f>
        <v>SMO-903</v>
      </c>
      <c r="J493" s="33" t="str">
        <f ca="1">IFERROR(__xludf.DUMMYFUNCTION("""COMPUTED_VALUE"""),"FERNANDO GAYOSO RODRIGUEZ")</f>
        <v>FERNANDO GAYOSO RODRIGUEZ</v>
      </c>
      <c r="K493" s="33">
        <f ca="1">IFERROR(__xludf.DUMMYFUNCTION("""COMPUTED_VALUE"""),2)</f>
        <v>2</v>
      </c>
      <c r="L493" s="203">
        <f ca="1">IFERROR(__xludf.DUMMYFUNCTION("""COMPUTED_VALUE"""),3129.55)</f>
        <v>3129.55</v>
      </c>
      <c r="M493" s="33" t="str">
        <f ca="1">IFERROR(__xludf.DUMMYFUNCTION("""COMPUTED_VALUE"""),"03 ORL")</f>
        <v>03 ORL</v>
      </c>
      <c r="N493" s="33" t="str">
        <f ca="1">IFERROR(__xludf.DUMMYFUNCTION("""COMPUTED_VALUE"""),"06 ORL")</f>
        <v>06 ORL</v>
      </c>
      <c r="O493" s="33" t="str">
        <f ca="1">IFERROR(__xludf.DUMMYFUNCTION("""COMPUTED_VALUE"""),"Dr, Ulises Bidón Gómez")</f>
        <v>Dr, Ulises Bidón Gómez</v>
      </c>
      <c r="P493" s="33" t="str">
        <f ca="1">IFERROR(__xludf.DUMMYFUNCTION("""COMPUTED_VALUE"""),"Luis Alberto Rodríguez (Andalucía Y Badajoz)")</f>
        <v>Luis Alberto Rodríguez (Andalucía Y Badajoz)</v>
      </c>
    </row>
    <row r="494" spans="2:16">
      <c r="B494" s="33">
        <f ca="1">IFERROR(__xludf.DUMMYFUNCTION("""COMPUTED_VALUE"""),2025)</f>
        <v>2025</v>
      </c>
      <c r="C494" s="33">
        <f ca="1">IFERROR(__xludf.DUMMYFUNCTION("""COMPUTED_VALUE"""),4)</f>
        <v>4</v>
      </c>
      <c r="D494" s="33" t="str">
        <f ca="1">IFERROR(__xludf.DUMMYFUNCTION("""COMPUTED_VALUE"""),"NO")</f>
        <v>NO</v>
      </c>
      <c r="E494" s="33" t="str">
        <f ca="1">IFERROR(__xludf.DUMMYFUNCTION("""COMPUTED_VALUE"""),"Sevilla- Montoto")</f>
        <v>Sevilla- Montoto</v>
      </c>
      <c r="F494" s="57">
        <f ca="1">IFERROR(__xludf.DUMMYFUNCTION("""COMPUTED_VALUE"""),45757)</f>
        <v>45757</v>
      </c>
      <c r="G494" s="57">
        <f ca="1">IFERROR(__xludf.DUMMYFUNCTION("""COMPUTED_VALUE"""),45729)</f>
        <v>45729</v>
      </c>
      <c r="H494" s="33" t="str">
        <f ca="1">IFERROR(__xludf.DUMMYFUNCTION("""COMPUTED_VALUE"""),"Montoto")</f>
        <v>Montoto</v>
      </c>
      <c r="I494" s="33" t="str">
        <f ca="1">IFERROR(__xludf.DUMMYFUNCTION("""COMPUTED_VALUE"""),"C2025319162537642")</f>
        <v>C2025319162537642</v>
      </c>
      <c r="J494" s="33" t="str">
        <f ca="1">IFERROR(__xludf.DUMMYFUNCTION("""COMPUTED_VALUE"""),"ROMEO ISIDRO ALARIN")</f>
        <v>ROMEO ISIDRO ALARIN</v>
      </c>
      <c r="K494" s="33">
        <f ca="1">IFERROR(__xludf.DUMMYFUNCTION("""COMPUTED_VALUE"""),2)</f>
        <v>2</v>
      </c>
      <c r="L494" s="203">
        <f ca="1">IFERROR(__xludf.DUMMYFUNCTION("""COMPUTED_VALUE"""),2888.18)</f>
        <v>2888.18</v>
      </c>
      <c r="M494" s="33" t="str">
        <f ca="1">IFERROR(__xludf.DUMMYFUNCTION("""COMPUTED_VALUE"""),"03 ORL")</f>
        <v>03 ORL</v>
      </c>
      <c r="N494" s="33" t="str">
        <f ca="1">IFERROR(__xludf.DUMMYFUNCTION("""COMPUTED_VALUE"""),"06 ORL")</f>
        <v>06 ORL</v>
      </c>
      <c r="O494" s="33" t="str">
        <f ca="1">IFERROR(__xludf.DUMMYFUNCTION("""COMPUTED_VALUE"""),"Dra, Estefanía Berrocal Postigo")</f>
        <v>Dra, Estefanía Berrocal Postigo</v>
      </c>
      <c r="P494" s="33" t="str">
        <f ca="1">IFERROR(__xludf.DUMMYFUNCTION("""COMPUTED_VALUE"""),"Luis Alberto Rodríguez (Andalucía Y Badajoz)")</f>
        <v>Luis Alberto Rodríguez (Andalucía Y Badajoz)</v>
      </c>
    </row>
    <row r="495" spans="2:16">
      <c r="B495" s="33">
        <f ca="1">IFERROR(__xludf.DUMMYFUNCTION("""COMPUTED_VALUE"""),2025)</f>
        <v>2025</v>
      </c>
      <c r="C495" s="33">
        <f ca="1">IFERROR(__xludf.DUMMYFUNCTION("""COMPUTED_VALUE"""),4)</f>
        <v>4</v>
      </c>
      <c r="D495" s="33" t="str">
        <f ca="1">IFERROR(__xludf.DUMMYFUNCTION("""COMPUTED_VALUE"""),"NO")</f>
        <v>NO</v>
      </c>
      <c r="E495" s="33" t="str">
        <f ca="1">IFERROR(__xludf.DUMMYFUNCTION("""COMPUTED_VALUE"""),"Cáceres")</f>
        <v>Cáceres</v>
      </c>
      <c r="F495" s="57">
        <f ca="1">IFERROR(__xludf.DUMMYFUNCTION("""COMPUTED_VALUE"""),45757)</f>
        <v>45757</v>
      </c>
      <c r="G495" s="57">
        <f ca="1">IFERROR(__xludf.DUMMYFUNCTION("""COMPUTED_VALUE"""),45720)</f>
        <v>45720</v>
      </c>
      <c r="H495" s="33" t="str">
        <f ca="1">IFERROR(__xludf.DUMMYFUNCTION("""COMPUTED_VALUE"""),"Cáceres")</f>
        <v>Cáceres</v>
      </c>
      <c r="I495" s="33" t="str">
        <f ca="1">IFERROR(__xludf.DUMMYFUNCTION("""COMPUTED_VALUE"""),"CAC-246")</f>
        <v>CAC-246</v>
      </c>
      <c r="J495" s="33" t="str">
        <f ca="1">IFERROR(__xludf.DUMMYFUNCTION("""COMPUTED_VALUE"""),"EMILIA CASTELLANOS SERRANO")</f>
        <v>EMILIA CASTELLANOS SERRANO</v>
      </c>
      <c r="K495" s="33">
        <f ca="1">IFERROR(__xludf.DUMMYFUNCTION("""COMPUTED_VALUE"""),2)</f>
        <v>2</v>
      </c>
      <c r="L495" s="203">
        <f ca="1">IFERROR(__xludf.DUMMYFUNCTION("""COMPUTED_VALUE"""),4118.18)</f>
        <v>4118.18</v>
      </c>
      <c r="M495" s="33" t="str">
        <f ca="1">IFERROR(__xludf.DUMMYFUNCTION("""COMPUTED_VALUE"""),"03 ORL")</f>
        <v>03 ORL</v>
      </c>
      <c r="N495" s="33" t="str">
        <f ca="1">IFERROR(__xludf.DUMMYFUNCTION("""COMPUTED_VALUE"""),"06 ORL")</f>
        <v>06 ORL</v>
      </c>
      <c r="O495" s="33" t="str">
        <f ca="1">IFERROR(__xludf.DUMMYFUNCTION("""COMPUTED_VALUE"""),"Dr, Manuel Cañete Domínguez")</f>
        <v>Dr, Manuel Cañete Domínguez</v>
      </c>
      <c r="P495" s="33" t="str">
        <f ca="1">IFERROR(__xludf.DUMMYFUNCTION("""COMPUTED_VALUE"""),"Lisandro Russian (Madrid, Cáceres, Toledo, Talavera Y Logroño)")</f>
        <v>Lisandro Russian (Madrid, Cáceres, Toledo, Talavera Y Logroño)</v>
      </c>
    </row>
    <row r="496" spans="2:16">
      <c r="B496" s="33">
        <f ca="1">IFERROR(__xludf.DUMMYFUNCTION("""COMPUTED_VALUE"""),2025)</f>
        <v>2025</v>
      </c>
      <c r="C496" s="33">
        <f ca="1">IFERROR(__xludf.DUMMYFUNCTION("""COMPUTED_VALUE"""),4)</f>
        <v>4</v>
      </c>
      <c r="D496" s="33" t="str">
        <f ca="1">IFERROR(__xludf.DUMMYFUNCTION("""COMPUTED_VALUE"""),"NO")</f>
        <v>NO</v>
      </c>
      <c r="E496" s="33" t="str">
        <f ca="1">IFERROR(__xludf.DUMMYFUNCTION("""COMPUTED_VALUE"""),"Vigo")</f>
        <v>Vigo</v>
      </c>
      <c r="F496" s="57">
        <f ca="1">IFERROR(__xludf.DUMMYFUNCTION("""COMPUTED_VALUE"""),45757)</f>
        <v>45757</v>
      </c>
      <c r="G496" s="57">
        <f ca="1">IFERROR(__xludf.DUMMYFUNCTION("""COMPUTED_VALUE"""),45726)</f>
        <v>45726</v>
      </c>
      <c r="H496" s="33" t="str">
        <f ca="1">IFERROR(__xludf.DUMMYFUNCTION("""COMPUTED_VALUE"""),"Vigo")</f>
        <v>Vigo</v>
      </c>
      <c r="I496" s="33" t="str">
        <f ca="1">IFERROR(__xludf.DUMMYFUNCTION("""COMPUTED_VALUE"""),"VIG-547")</f>
        <v>VIG-547</v>
      </c>
      <c r="J496" s="33" t="str">
        <f ca="1">IFERROR(__xludf.DUMMYFUNCTION("""COMPUTED_VALUE"""),"ENRIQUE VILARIÑO OURO")</f>
        <v>ENRIQUE VILARIÑO OURO</v>
      </c>
      <c r="K496" s="33">
        <f ca="1">IFERROR(__xludf.DUMMYFUNCTION("""COMPUTED_VALUE"""),2)</f>
        <v>2</v>
      </c>
      <c r="L496" s="203">
        <f ca="1">IFERROR(__xludf.DUMMYFUNCTION("""COMPUTED_VALUE"""),3454.69)</f>
        <v>3454.69</v>
      </c>
      <c r="M496" s="33" t="str">
        <f ca="1">IFERROR(__xludf.DUMMYFUNCTION("""COMPUTED_VALUE"""),"03 ORL")</f>
        <v>03 ORL</v>
      </c>
      <c r="N496" s="33" t="str">
        <f ca="1">IFERROR(__xludf.DUMMYFUNCTION("""COMPUTED_VALUE"""),"06 ORL")</f>
        <v>06 ORL</v>
      </c>
      <c r="O496" s="33" t="str">
        <f ca="1">IFERROR(__xludf.DUMMYFUNCTION("""COMPUTED_VALUE"""),"Dra, Estrella Pallas Pallas")</f>
        <v>Dra, Estrella Pallas Pallas</v>
      </c>
      <c r="P496" s="33" t="str">
        <f ca="1">IFERROR(__xludf.DUMMYFUNCTION("""COMPUTED_VALUE"""),"Roberto Pereira (Galicia)")</f>
        <v>Roberto Pereira (Galicia)</v>
      </c>
    </row>
    <row r="497" spans="2:16">
      <c r="B497" s="33">
        <f ca="1">IFERROR(__xludf.DUMMYFUNCTION("""COMPUTED_VALUE"""),2025)</f>
        <v>2025</v>
      </c>
      <c r="C497" s="33">
        <f ca="1">IFERROR(__xludf.DUMMYFUNCTION("""COMPUTED_VALUE"""),4)</f>
        <v>4</v>
      </c>
      <c r="D497" s="33" t="str">
        <f ca="1">IFERROR(__xludf.DUMMYFUNCTION("""COMPUTED_VALUE"""),"NO")</f>
        <v>NO</v>
      </c>
      <c r="E497" s="33" t="str">
        <f ca="1">IFERROR(__xludf.DUMMYFUNCTION("""COMPUTED_VALUE"""),"Cáceres")</f>
        <v>Cáceres</v>
      </c>
      <c r="F497" s="57">
        <f ca="1">IFERROR(__xludf.DUMMYFUNCTION("""COMPUTED_VALUE"""),45757)</f>
        <v>45757</v>
      </c>
      <c r="G497" s="57">
        <f ca="1">IFERROR(__xludf.DUMMYFUNCTION("""COMPUTED_VALUE"""),45726)</f>
        <v>45726</v>
      </c>
      <c r="H497" s="33" t="str">
        <f ca="1">IFERROR(__xludf.DUMMYFUNCTION("""COMPUTED_VALUE"""),"Cáceres")</f>
        <v>Cáceres</v>
      </c>
      <c r="I497" s="33" t="str">
        <f ca="1">IFERROR(__xludf.DUMMYFUNCTION("""COMPUTED_VALUE"""),"CAC-244")</f>
        <v>CAC-244</v>
      </c>
      <c r="J497" s="33" t="str">
        <f ca="1">IFERROR(__xludf.DUMMYFUNCTION("""COMPUTED_VALUE"""),"JOAQUINA SANCHEZ CHAPARRO")</f>
        <v>JOAQUINA SANCHEZ CHAPARRO</v>
      </c>
      <c r="K497" s="33">
        <f ca="1">IFERROR(__xludf.DUMMYFUNCTION("""COMPUTED_VALUE"""),2)</f>
        <v>2</v>
      </c>
      <c r="L497" s="203">
        <f ca="1">IFERROR(__xludf.DUMMYFUNCTION("""COMPUTED_VALUE"""),4118.18)</f>
        <v>4118.18</v>
      </c>
      <c r="M497" s="33" t="str">
        <f ca="1">IFERROR(__xludf.DUMMYFUNCTION("""COMPUTED_VALUE"""),"03 ORL")</f>
        <v>03 ORL</v>
      </c>
      <c r="N497" s="33" t="str">
        <f ca="1">IFERROR(__xludf.DUMMYFUNCTION("""COMPUTED_VALUE"""),"06 ORL")</f>
        <v>06 ORL</v>
      </c>
      <c r="O497" s="33" t="str">
        <f ca="1">IFERROR(__xludf.DUMMYFUNCTION("""COMPUTED_VALUE"""),"Dr, Andrés Paulino Herrera")</f>
        <v>Dr, Andrés Paulino Herrera</v>
      </c>
      <c r="P497" s="33" t="str">
        <f ca="1">IFERROR(__xludf.DUMMYFUNCTION("""COMPUTED_VALUE"""),"Lisandro Russian (Madrid, Cáceres, Toledo, Talavera Y Logroño)")</f>
        <v>Lisandro Russian (Madrid, Cáceres, Toledo, Talavera Y Logroño)</v>
      </c>
    </row>
    <row r="498" spans="2:16">
      <c r="B498" s="33">
        <f ca="1">IFERROR(__xludf.DUMMYFUNCTION("""COMPUTED_VALUE"""),2025)</f>
        <v>2025</v>
      </c>
      <c r="C498" s="33">
        <f ca="1">IFERROR(__xludf.DUMMYFUNCTION("""COMPUTED_VALUE"""),4)</f>
        <v>4</v>
      </c>
      <c r="D498" s="33" t="str">
        <f ca="1">IFERROR(__xludf.DUMMYFUNCTION("""COMPUTED_VALUE"""),"NO")</f>
        <v>NO</v>
      </c>
      <c r="E498" s="33" t="str">
        <f ca="1">IFERROR(__xludf.DUMMYFUNCTION("""COMPUTED_VALUE"""),"Alcorcón")</f>
        <v>Alcorcón</v>
      </c>
      <c r="F498" s="57">
        <f ca="1">IFERROR(__xludf.DUMMYFUNCTION("""COMPUTED_VALUE"""),45758)</f>
        <v>45758</v>
      </c>
      <c r="G498" s="57">
        <f ca="1">IFERROR(__xludf.DUMMYFUNCTION("""COMPUTED_VALUE"""),45727)</f>
        <v>45727</v>
      </c>
      <c r="H498" s="33" t="str">
        <f ca="1">IFERROR(__xludf.DUMMYFUNCTION("""COMPUTED_VALUE"""),"Alcorcón")</f>
        <v>Alcorcón</v>
      </c>
      <c r="I498" s="33" t="str">
        <f ca="1">IFERROR(__xludf.DUMMYFUNCTION("""COMPUTED_VALUE"""),"C202531310345895")</f>
        <v>C202531310345895</v>
      </c>
      <c r="J498" s="33" t="str">
        <f ca="1">IFERROR(__xludf.DUMMYFUNCTION("""COMPUTED_VALUE"""),"JOSEFA TENA VALDIVIA")</f>
        <v>JOSEFA TENA VALDIVIA</v>
      </c>
      <c r="K498" s="33">
        <f ca="1">IFERROR(__xludf.DUMMYFUNCTION("""COMPUTED_VALUE"""),2)</f>
        <v>2</v>
      </c>
      <c r="L498" s="203">
        <f ca="1">IFERROR(__xludf.DUMMYFUNCTION("""COMPUTED_VALUE"""),4000)</f>
        <v>4000</v>
      </c>
      <c r="M498" s="33" t="str">
        <f ca="1">IFERROR(__xludf.DUMMYFUNCTION("""COMPUTED_VALUE"""),"03 ORL")</f>
        <v>03 ORL</v>
      </c>
      <c r="N498" s="33" t="str">
        <f ca="1">IFERROR(__xludf.DUMMYFUNCTION("""COMPUTED_VALUE"""),"06 ORL")</f>
        <v>06 ORL</v>
      </c>
      <c r="O498" s="33" t="str">
        <f ca="1">IFERROR(__xludf.DUMMYFUNCTION("""COMPUTED_VALUE"""),"Dr, Raimundo Gómez-Blasi")</f>
        <v>Dr, Raimundo Gómez-Blasi</v>
      </c>
      <c r="P498" s="33" t="str">
        <f ca="1">IFERROR(__xludf.DUMMYFUNCTION("""COMPUTED_VALUE"""),"Maika Blázquez (Madrid)")</f>
        <v>Maika Blázquez (Madrid)</v>
      </c>
    </row>
    <row r="499" spans="2:16">
      <c r="B499" s="33">
        <f ca="1">IFERROR(__xludf.DUMMYFUNCTION("""COMPUTED_VALUE"""),2025)</f>
        <v>2025</v>
      </c>
      <c r="C499" s="33">
        <f ca="1">IFERROR(__xludf.DUMMYFUNCTION("""COMPUTED_VALUE"""),4)</f>
        <v>4</v>
      </c>
      <c r="D499" s="33" t="str">
        <f ca="1">IFERROR(__xludf.DUMMYFUNCTION("""COMPUTED_VALUE"""),"NO")</f>
        <v>NO</v>
      </c>
      <c r="E499" s="33" t="str">
        <f ca="1">IFERROR(__xludf.DUMMYFUNCTION("""COMPUTED_VALUE"""),"Leganés")</f>
        <v>Leganés</v>
      </c>
      <c r="F499" s="57">
        <f ca="1">IFERROR(__xludf.DUMMYFUNCTION("""COMPUTED_VALUE"""),45758)</f>
        <v>45758</v>
      </c>
      <c r="G499" s="57">
        <f ca="1">IFERROR(__xludf.DUMMYFUNCTION("""COMPUTED_VALUE"""),45726)</f>
        <v>45726</v>
      </c>
      <c r="H499" s="33" t="str">
        <f ca="1">IFERROR(__xludf.DUMMYFUNCTION("""COMPUTED_VALUE"""),"Leganés")</f>
        <v>Leganés</v>
      </c>
      <c r="I499" s="33" t="str">
        <f ca="1">IFERROR(__xludf.DUMMYFUNCTION("""COMPUTED_VALUE"""),"C202531417392770")</f>
        <v>C202531417392770</v>
      </c>
      <c r="J499" s="33" t="str">
        <f ca="1">IFERROR(__xludf.DUMMYFUNCTION("""COMPUTED_VALUE"""),"GLORIA TRIGO BRICIOS")</f>
        <v>GLORIA TRIGO BRICIOS</v>
      </c>
      <c r="K499" s="33">
        <f ca="1">IFERROR(__xludf.DUMMYFUNCTION("""COMPUTED_VALUE"""),2)</f>
        <v>2</v>
      </c>
      <c r="L499" s="203">
        <f ca="1">IFERROR(__xludf.DUMMYFUNCTION("""COMPUTED_VALUE"""),2722.73)</f>
        <v>2722.73</v>
      </c>
      <c r="M499" s="33" t="str">
        <f ca="1">IFERROR(__xludf.DUMMYFUNCTION("""COMPUTED_VALUE"""),"03 ORL")</f>
        <v>03 ORL</v>
      </c>
      <c r="N499" s="33" t="str">
        <f ca="1">IFERROR(__xludf.DUMMYFUNCTION("""COMPUTED_VALUE"""),"06 ORL")</f>
        <v>06 ORL</v>
      </c>
      <c r="O499" s="33" t="str">
        <f ca="1">IFERROR(__xludf.DUMMYFUNCTION("""COMPUTED_VALUE"""),"Dr, Carles Heredia Llinás")</f>
        <v>Dr, Carles Heredia Llinás</v>
      </c>
      <c r="P499" s="33" t="str">
        <f ca="1">IFERROR(__xludf.DUMMYFUNCTION("""COMPUTED_VALUE"""),"Maika Blázquez (Madrid)")</f>
        <v>Maika Blázquez (Madrid)</v>
      </c>
    </row>
    <row r="500" spans="2:16">
      <c r="B500" s="33">
        <f ca="1">IFERROR(__xludf.DUMMYFUNCTION("""COMPUTED_VALUE"""),2025)</f>
        <v>2025</v>
      </c>
      <c r="C500" s="33">
        <f ca="1">IFERROR(__xludf.DUMMYFUNCTION("""COMPUTED_VALUE"""),4)</f>
        <v>4</v>
      </c>
      <c r="D500" s="33" t="str">
        <f ca="1">IFERROR(__xludf.DUMMYFUNCTION("""COMPUTED_VALUE"""),"NO")</f>
        <v>NO</v>
      </c>
      <c r="E500" s="33" t="str">
        <f ca="1">IFERROR(__xludf.DUMMYFUNCTION("""COMPUTED_VALUE"""),"Madrid- Moratalaz")</f>
        <v>Madrid- Moratalaz</v>
      </c>
      <c r="F500" s="57">
        <f ca="1">IFERROR(__xludf.DUMMYFUNCTION("""COMPUTED_VALUE"""),45758)</f>
        <v>45758</v>
      </c>
      <c r="G500" s="57">
        <f ca="1">IFERROR(__xludf.DUMMYFUNCTION("""COMPUTED_VALUE"""),45734)</f>
        <v>45734</v>
      </c>
      <c r="H500" s="33" t="str">
        <f ca="1">IFERROR(__xludf.DUMMYFUNCTION("""COMPUTED_VALUE"""),"Moratalaz")</f>
        <v>Moratalaz</v>
      </c>
      <c r="I500" s="33" t="str">
        <f ca="1">IFERROR(__xludf.DUMMYFUNCTION("""COMPUTED_VALUE"""),"C202532412205490")</f>
        <v>C202532412205490</v>
      </c>
      <c r="J500" s="33" t="str">
        <f ca="1">IFERROR(__xludf.DUMMYFUNCTION("""COMPUTED_VALUE"""),"ESPERANZA BAUTISTA FRANCO")</f>
        <v>ESPERANZA BAUTISTA FRANCO</v>
      </c>
      <c r="K500" s="33">
        <f ca="1">IFERROR(__xludf.DUMMYFUNCTION("""COMPUTED_VALUE"""),1)</f>
        <v>1</v>
      </c>
      <c r="L500" s="203">
        <f ca="1">IFERROR(__xludf.DUMMYFUNCTION("""COMPUTED_VALUE"""),2226.36)</f>
        <v>2226.36</v>
      </c>
      <c r="M500" s="33" t="str">
        <f ca="1">IFERROR(__xludf.DUMMYFUNCTION("""COMPUTED_VALUE"""),"03 ORL")</f>
        <v>03 ORL</v>
      </c>
      <c r="N500" s="33" t="str">
        <f ca="1">IFERROR(__xludf.DUMMYFUNCTION("""COMPUTED_VALUE"""),"06 ORL")</f>
        <v>06 ORL</v>
      </c>
      <c r="O500" s="33" t="str">
        <f ca="1">IFERROR(__xludf.DUMMYFUNCTION("""COMPUTED_VALUE"""),"No recuerda ORL")</f>
        <v>No recuerda ORL</v>
      </c>
      <c r="P500" s="33" t="str">
        <f ca="1">IFERROR(__xludf.DUMMYFUNCTION("""COMPUTED_VALUE"""),"Maika Blázquez (Madrid)")</f>
        <v>Maika Blázquez (Madrid)</v>
      </c>
    </row>
    <row r="501" spans="2:16">
      <c r="B501" s="33">
        <f ca="1">IFERROR(__xludf.DUMMYFUNCTION("""COMPUTED_VALUE"""),2025)</f>
        <v>2025</v>
      </c>
      <c r="C501" s="33">
        <f ca="1">IFERROR(__xludf.DUMMYFUNCTION("""COMPUTED_VALUE"""),4)</f>
        <v>4</v>
      </c>
      <c r="D501" s="33" t="str">
        <f ca="1">IFERROR(__xludf.DUMMYFUNCTION("""COMPUTED_VALUE"""),"NO")</f>
        <v>NO</v>
      </c>
      <c r="E501" s="33" t="str">
        <f ca="1">IFERROR(__xludf.DUMMYFUNCTION("""COMPUTED_VALUE"""),"San Javier")</f>
        <v>San Javier</v>
      </c>
      <c r="F501" s="57">
        <f ca="1">IFERROR(__xludf.DUMMYFUNCTION("""COMPUTED_VALUE"""),45758)</f>
        <v>45758</v>
      </c>
      <c r="G501" s="57">
        <f ca="1">IFERROR(__xludf.DUMMYFUNCTION("""COMPUTED_VALUE"""),45742)</f>
        <v>45742</v>
      </c>
      <c r="H501" s="33" t="str">
        <f ca="1">IFERROR(__xludf.DUMMYFUNCTION("""COMPUTED_VALUE"""),"San Javier")</f>
        <v>San Javier</v>
      </c>
      <c r="I501" s="33" t="str">
        <f ca="1">IFERROR(__xludf.DUMMYFUNCTION("""COMPUTED_VALUE"""),"C2025328111754408")</f>
        <v>C2025328111754408</v>
      </c>
      <c r="J501" s="33" t="str">
        <f ca="1">IFERROR(__xludf.DUMMYFUNCTION("""COMPUTED_VALUE"""),"ROSWITHA ZOCH")</f>
        <v>ROSWITHA ZOCH</v>
      </c>
      <c r="K501" s="33">
        <f ca="1">IFERROR(__xludf.DUMMYFUNCTION("""COMPUTED_VALUE"""),2)</f>
        <v>2</v>
      </c>
      <c r="L501" s="203">
        <f ca="1">IFERROR(__xludf.DUMMYFUNCTION("""COMPUTED_VALUE"""),2888.18)</f>
        <v>2888.18</v>
      </c>
      <c r="M501" s="33" t="str">
        <f ca="1">IFERROR(__xludf.DUMMYFUNCTION("""COMPUTED_VALUE"""),"03 ORL")</f>
        <v>03 ORL</v>
      </c>
      <c r="N501" s="33" t="str">
        <f ca="1">IFERROR(__xludf.DUMMYFUNCTION("""COMPUTED_VALUE"""),"06 ORL")</f>
        <v>06 ORL</v>
      </c>
      <c r="O501" s="33" t="str">
        <f ca="1">IFERROR(__xludf.DUMMYFUNCTION("""COMPUTED_VALUE"""),"Dr, Dinis Antunes Silva")</f>
        <v>Dr, Dinis Antunes Silva</v>
      </c>
      <c r="P501" s="33" t="str">
        <f ca="1">IFERROR(__xludf.DUMMYFUNCTION("""COMPUTED_VALUE"""),"Iván Sánchez (Levante Y Albacete)")</f>
        <v>Iván Sánchez (Levante Y Albacete)</v>
      </c>
    </row>
    <row r="502" spans="2:16">
      <c r="B502" s="33">
        <f ca="1">IFERROR(__xludf.DUMMYFUNCTION("""COMPUTED_VALUE"""),2025)</f>
        <v>2025</v>
      </c>
      <c r="C502" s="33">
        <f ca="1">IFERROR(__xludf.DUMMYFUNCTION("""COMPUTED_VALUE"""),4)</f>
        <v>4</v>
      </c>
      <c r="D502" s="33" t="str">
        <f ca="1">IFERROR(__xludf.DUMMYFUNCTION("""COMPUTED_VALUE"""),"NO")</f>
        <v>NO</v>
      </c>
      <c r="E502" s="33" t="str">
        <f ca="1">IFERROR(__xludf.DUMMYFUNCTION("""COMPUTED_VALUE"""),"Sevilla- Montoto")</f>
        <v>Sevilla- Montoto</v>
      </c>
      <c r="F502" s="57">
        <f ca="1">IFERROR(__xludf.DUMMYFUNCTION("""COMPUTED_VALUE"""),45758)</f>
        <v>45758</v>
      </c>
      <c r="G502" s="57">
        <f ca="1">IFERROR(__xludf.DUMMYFUNCTION("""COMPUTED_VALUE"""),45741)</f>
        <v>45741</v>
      </c>
      <c r="H502" s="33" t="str">
        <f ca="1">IFERROR(__xludf.DUMMYFUNCTION("""COMPUTED_VALUE"""),"Montoto")</f>
        <v>Montoto</v>
      </c>
      <c r="I502" s="33" t="str">
        <f ca="1">IFERROR(__xludf.DUMMYFUNCTION("""COMPUTED_VALUE"""),"C202533111411655")</f>
        <v>C202533111411655</v>
      </c>
      <c r="J502" s="33" t="str">
        <f ca="1">IFERROR(__xludf.DUMMYFUNCTION("""COMPUTED_VALUE"""),"CARMEN RICO CABEZUELO")</f>
        <v>CARMEN RICO CABEZUELO</v>
      </c>
      <c r="K502" s="33">
        <f ca="1">IFERROR(__xludf.DUMMYFUNCTION("""COMPUTED_VALUE"""),2)</f>
        <v>2</v>
      </c>
      <c r="L502" s="203">
        <f ca="1">IFERROR(__xludf.DUMMYFUNCTION("""COMPUTED_VALUE"""),3524.5)</f>
        <v>3524.5</v>
      </c>
      <c r="M502" s="33" t="str">
        <f ca="1">IFERROR(__xludf.DUMMYFUNCTION("""COMPUTED_VALUE"""),"03 ORL")</f>
        <v>03 ORL</v>
      </c>
      <c r="N502" s="33" t="str">
        <f ca="1">IFERROR(__xludf.DUMMYFUNCTION("""COMPUTED_VALUE"""),"06 ORL")</f>
        <v>06 ORL</v>
      </c>
      <c r="O502" s="33" t="str">
        <f ca="1">IFERROR(__xludf.DUMMYFUNCTION("""COMPUTED_VALUE"""),"Dr, Miguel Alberto Rodríguez Pérez")</f>
        <v>Dr, Miguel Alberto Rodríguez Pérez</v>
      </c>
      <c r="P502" s="33" t="str">
        <f ca="1">IFERROR(__xludf.DUMMYFUNCTION("""COMPUTED_VALUE"""),"Luis Alberto Rodríguez (Andalucía Y Badajoz)")</f>
        <v>Luis Alberto Rodríguez (Andalucía Y Badajoz)</v>
      </c>
    </row>
    <row r="503" spans="2:16">
      <c r="B503" s="33">
        <f ca="1">IFERROR(__xludf.DUMMYFUNCTION("""COMPUTED_VALUE"""),2025)</f>
        <v>2025</v>
      </c>
      <c r="C503" s="33">
        <f ca="1">IFERROR(__xludf.DUMMYFUNCTION("""COMPUTED_VALUE"""),4)</f>
        <v>4</v>
      </c>
      <c r="D503" s="33" t="str">
        <f ca="1">IFERROR(__xludf.DUMMYFUNCTION("""COMPUTED_VALUE"""),"SI")</f>
        <v>SI</v>
      </c>
      <c r="E503" s="33" t="str">
        <f ca="1">IFERROR(__xludf.DUMMYFUNCTION("""COMPUTED_VALUE"""),"Sevilla- Montoto")</f>
        <v>Sevilla- Montoto</v>
      </c>
      <c r="F503" s="57">
        <f ca="1">IFERROR(__xludf.DUMMYFUNCTION("""COMPUTED_VALUE"""),45758)</f>
        <v>45758</v>
      </c>
      <c r="G503" s="57">
        <f ca="1">IFERROR(__xludf.DUMMYFUNCTION("""COMPUTED_VALUE"""),45429)</f>
        <v>45429</v>
      </c>
      <c r="H503" s="33" t="str">
        <f ca="1">IFERROR(__xludf.DUMMYFUNCTION("""COMPUTED_VALUE"""),"Montoto")</f>
        <v>Montoto</v>
      </c>
      <c r="I503" s="33" t="str">
        <f ca="1">IFERROR(__xludf.DUMMYFUNCTION("""COMPUTED_VALUE"""),"SMO-2353")</f>
        <v>SMO-2353</v>
      </c>
      <c r="J503" s="33" t="str">
        <f ca="1">IFERROR(__xludf.DUMMYFUNCTION("""COMPUTED_VALUE"""),"MARIA DEL CARMEN LEON COBOS")</f>
        <v>MARIA DEL CARMEN LEON COBOS</v>
      </c>
      <c r="K503" s="33">
        <f ca="1">IFERROR(__xludf.DUMMYFUNCTION("""COMPUTED_VALUE"""),1)</f>
        <v>1</v>
      </c>
      <c r="L503" s="203">
        <f ca="1">IFERROR(__xludf.DUMMYFUNCTION("""COMPUTED_VALUE"""),1727.27)</f>
        <v>1727.27</v>
      </c>
      <c r="M503" s="33" t="str">
        <f ca="1">IFERROR(__xludf.DUMMYFUNCTION("""COMPUTED_VALUE"""),"03 ORL")</f>
        <v>03 ORL</v>
      </c>
      <c r="N503" s="33" t="str">
        <f ca="1">IFERROR(__xludf.DUMMYFUNCTION("""COMPUTED_VALUE"""),"06 ORL")</f>
        <v>06 ORL</v>
      </c>
      <c r="O503" s="33" t="str">
        <f ca="1">IFERROR(__xludf.DUMMYFUNCTION("""COMPUTED_VALUE"""),"Dra, Lucia Prieto Sánchez De La Puerta")</f>
        <v>Dra, Lucia Prieto Sánchez De La Puerta</v>
      </c>
      <c r="P503" s="33" t="str">
        <f ca="1">IFERROR(__xludf.DUMMYFUNCTION("""COMPUTED_VALUE"""),"Luis Alberto Rodríguez (Andalucía Y Badajoz)")</f>
        <v>Luis Alberto Rodríguez (Andalucía Y Badajoz)</v>
      </c>
    </row>
    <row r="504" spans="2:16">
      <c r="B504" s="33">
        <f ca="1">IFERROR(__xludf.DUMMYFUNCTION("""COMPUTED_VALUE"""),2025)</f>
        <v>2025</v>
      </c>
      <c r="C504" s="33">
        <f ca="1">IFERROR(__xludf.DUMMYFUNCTION("""COMPUTED_VALUE"""),4)</f>
        <v>4</v>
      </c>
      <c r="D504" s="33" t="str">
        <f ca="1">IFERROR(__xludf.DUMMYFUNCTION("""COMPUTED_VALUE"""),"NO")</f>
        <v>NO</v>
      </c>
      <c r="E504" s="33" t="str">
        <f ca="1">IFERROR(__xludf.DUMMYFUNCTION("""COMPUTED_VALUE"""),"Torrejón de Ardoz")</f>
        <v>Torrejón de Ardoz</v>
      </c>
      <c r="F504" s="57">
        <f ca="1">IFERROR(__xludf.DUMMYFUNCTION("""COMPUTED_VALUE"""),45758)</f>
        <v>45758</v>
      </c>
      <c r="G504" s="57">
        <f ca="1">IFERROR(__xludf.DUMMYFUNCTION("""COMPUTED_VALUE"""),45737)</f>
        <v>45737</v>
      </c>
      <c r="H504" s="33" t="str">
        <f ca="1">IFERROR(__xludf.DUMMYFUNCTION("""COMPUTED_VALUE"""),"Torrejón")</f>
        <v>Torrejón</v>
      </c>
      <c r="I504" s="33" t="str">
        <f ca="1">IFERROR(__xludf.DUMMYFUNCTION("""COMPUTED_VALUE"""),"C2025321102846529")</f>
        <v>C2025321102846529</v>
      </c>
      <c r="J504" s="33" t="str">
        <f ca="1">IFERROR(__xludf.DUMMYFUNCTION("""COMPUTED_VALUE"""),"ANDRES PEREZ SOLIER")</f>
        <v>ANDRES PEREZ SOLIER</v>
      </c>
      <c r="K504" s="33">
        <f ca="1">IFERROR(__xludf.DUMMYFUNCTION("""COMPUTED_VALUE"""),2)</f>
        <v>2</v>
      </c>
      <c r="L504" s="203">
        <f ca="1">IFERROR(__xludf.DUMMYFUNCTION("""COMPUTED_VALUE"""),2727.27)</f>
        <v>2727.27</v>
      </c>
      <c r="M504" s="33" t="str">
        <f ca="1">IFERROR(__xludf.DUMMYFUNCTION("""COMPUTED_VALUE"""),"03 ORL")</f>
        <v>03 ORL</v>
      </c>
      <c r="N504" s="33" t="str">
        <f ca="1">IFERROR(__xludf.DUMMYFUNCTION("""COMPUTED_VALUE"""),"06 ORL")</f>
        <v>06 ORL</v>
      </c>
      <c r="O504" s="33" t="str">
        <f ca="1">IFERROR(__xludf.DUMMYFUNCTION("""COMPUTED_VALUE"""),"Dra, María Garrote Garrote")</f>
        <v>Dra, María Garrote Garrote</v>
      </c>
      <c r="P504" s="33" t="str">
        <f ca="1">IFERROR(__xludf.DUMMYFUNCTION("""COMPUTED_VALUE"""),"Maika Blázquez (Madrid)")</f>
        <v>Maika Blázquez (Madrid)</v>
      </c>
    </row>
    <row r="505" spans="2:16">
      <c r="B505" s="33">
        <f ca="1">IFERROR(__xludf.DUMMYFUNCTION("""COMPUTED_VALUE"""),2025)</f>
        <v>2025</v>
      </c>
      <c r="C505" s="33">
        <f ca="1">IFERROR(__xludf.DUMMYFUNCTION("""COMPUTED_VALUE"""),4)</f>
        <v>4</v>
      </c>
      <c r="D505" s="33" t="str">
        <f ca="1">IFERROR(__xludf.DUMMYFUNCTION("""COMPUTED_VALUE"""),"NO")</f>
        <v>NO</v>
      </c>
      <c r="E505" s="33" t="str">
        <f ca="1">IFERROR(__xludf.DUMMYFUNCTION("""COMPUTED_VALUE"""),"Torrejón de Ardoz")</f>
        <v>Torrejón de Ardoz</v>
      </c>
      <c r="F505" s="57">
        <f ca="1">IFERROR(__xludf.DUMMYFUNCTION("""COMPUTED_VALUE"""),45758)</f>
        <v>45758</v>
      </c>
      <c r="G505" s="57">
        <f ca="1">IFERROR(__xludf.DUMMYFUNCTION("""COMPUTED_VALUE"""),45736)</f>
        <v>45736</v>
      </c>
      <c r="H505" s="33" t="str">
        <f ca="1">IFERROR(__xludf.DUMMYFUNCTION("""COMPUTED_VALUE"""),"Torrejón")</f>
        <v>Torrejón</v>
      </c>
      <c r="I505" s="33" t="str">
        <f ca="1">IFERROR(__xludf.DUMMYFUNCTION("""COMPUTED_VALUE"""),"C2025320195845983")</f>
        <v>C2025320195845983</v>
      </c>
      <c r="J505" s="33" t="str">
        <f ca="1">IFERROR(__xludf.DUMMYFUNCTION("""COMPUTED_VALUE"""),"RAQUEL TABUENCA IZQUIERDO")</f>
        <v>RAQUEL TABUENCA IZQUIERDO</v>
      </c>
      <c r="K505" s="33">
        <f ca="1">IFERROR(__xludf.DUMMYFUNCTION("""COMPUTED_VALUE"""),2)</f>
        <v>2</v>
      </c>
      <c r="L505" s="203">
        <f ca="1">IFERROR(__xludf.DUMMYFUNCTION("""COMPUTED_VALUE"""),4000)</f>
        <v>4000</v>
      </c>
      <c r="M505" s="33" t="str">
        <f ca="1">IFERROR(__xludf.DUMMYFUNCTION("""COMPUTED_VALUE"""),"03 ORL")</f>
        <v>03 ORL</v>
      </c>
      <c r="N505" s="33" t="str">
        <f ca="1">IFERROR(__xludf.DUMMYFUNCTION("""COMPUTED_VALUE"""),"06 ORL")</f>
        <v>06 ORL</v>
      </c>
      <c r="O505" s="33" t="str">
        <f ca="1">IFERROR(__xludf.DUMMYFUNCTION("""COMPUTED_VALUE"""),"Dra, María Garrote Garrote")</f>
        <v>Dra, María Garrote Garrote</v>
      </c>
      <c r="P505" s="33" t="str">
        <f ca="1">IFERROR(__xludf.DUMMYFUNCTION("""COMPUTED_VALUE"""),"Maika Blázquez (Madrid)")</f>
        <v>Maika Blázquez (Madrid)</v>
      </c>
    </row>
    <row r="506" spans="2:16">
      <c r="B506" s="33">
        <f ca="1">IFERROR(__xludf.DUMMYFUNCTION("""COMPUTED_VALUE"""),2025)</f>
        <v>2025</v>
      </c>
      <c r="C506" s="33">
        <f ca="1">IFERROR(__xludf.DUMMYFUNCTION("""COMPUTED_VALUE"""),4)</f>
        <v>4</v>
      </c>
      <c r="D506" s="33" t="str">
        <f ca="1">IFERROR(__xludf.DUMMYFUNCTION("""COMPUTED_VALUE"""),"NO")</f>
        <v>NO</v>
      </c>
      <c r="E506" s="33" t="str">
        <f ca="1">IFERROR(__xludf.DUMMYFUNCTION("""COMPUTED_VALUE"""),"Alicante")</f>
        <v>Alicante</v>
      </c>
      <c r="F506" s="57">
        <f ca="1">IFERROR(__xludf.DUMMYFUNCTION("""COMPUTED_VALUE"""),45761)</f>
        <v>45761</v>
      </c>
      <c r="G506" s="57">
        <f ca="1">IFERROR(__xludf.DUMMYFUNCTION("""COMPUTED_VALUE"""),45729)</f>
        <v>45729</v>
      </c>
      <c r="H506" s="33" t="str">
        <f ca="1">IFERROR(__xludf.DUMMYFUNCTION("""COMPUTED_VALUE"""),"Alicante")</f>
        <v>Alicante</v>
      </c>
      <c r="I506" s="33" t="str">
        <f ca="1">IFERROR(__xludf.DUMMYFUNCTION("""COMPUTED_VALUE"""),"C202532415443267")</f>
        <v>C202532415443267</v>
      </c>
      <c r="J506" s="33" t="str">
        <f ca="1">IFERROR(__xludf.DUMMYFUNCTION("""COMPUTED_VALUE"""),"JOSEFINA APARICI PUCHE")</f>
        <v>JOSEFINA APARICI PUCHE</v>
      </c>
      <c r="K506" s="33">
        <f ca="1">IFERROR(__xludf.DUMMYFUNCTION("""COMPUTED_VALUE"""),2)</f>
        <v>2</v>
      </c>
      <c r="L506" s="203">
        <f ca="1">IFERROR(__xludf.DUMMYFUNCTION("""COMPUTED_VALUE"""),4000)</f>
        <v>4000</v>
      </c>
      <c r="M506" s="33" t="str">
        <f ca="1">IFERROR(__xludf.DUMMYFUNCTION("""COMPUTED_VALUE"""),"03 ORL")</f>
        <v>03 ORL</v>
      </c>
      <c r="N506" s="33" t="str">
        <f ca="1">IFERROR(__xludf.DUMMYFUNCTION("""COMPUTED_VALUE"""),"06 ORL")</f>
        <v>06 ORL</v>
      </c>
      <c r="O506" s="33" t="str">
        <f ca="1">IFERROR(__xludf.DUMMYFUNCTION("""COMPUTED_VALUE"""),"Dra, Isabel Menaches Guardiola")</f>
        <v>Dra, Isabel Menaches Guardiola</v>
      </c>
      <c r="P506" s="33" t="str">
        <f ca="1">IFERROR(__xludf.DUMMYFUNCTION("""COMPUTED_VALUE"""),"Iván Sánchez (Levante Y Albacete)")</f>
        <v>Iván Sánchez (Levante Y Albacete)</v>
      </c>
    </row>
    <row r="507" spans="2:16">
      <c r="B507" s="33">
        <f ca="1">IFERROR(__xludf.DUMMYFUNCTION("""COMPUTED_VALUE"""),2025)</f>
        <v>2025</v>
      </c>
      <c r="C507" s="33">
        <f ca="1">IFERROR(__xludf.DUMMYFUNCTION("""COMPUTED_VALUE"""),4)</f>
        <v>4</v>
      </c>
      <c r="D507" s="33" t="str">
        <f ca="1">IFERROR(__xludf.DUMMYFUNCTION("""COMPUTED_VALUE"""),"NO")</f>
        <v>NO</v>
      </c>
      <c r="E507" s="33" t="str">
        <f ca="1">IFERROR(__xludf.DUMMYFUNCTION("""COMPUTED_VALUE"""),"Lugo")</f>
        <v>Lugo</v>
      </c>
      <c r="F507" s="57">
        <f ca="1">IFERROR(__xludf.DUMMYFUNCTION("""COMPUTED_VALUE"""),45761)</f>
        <v>45761</v>
      </c>
      <c r="G507" s="57">
        <f ca="1">IFERROR(__xludf.DUMMYFUNCTION("""COMPUTED_VALUE"""),45740)</f>
        <v>45740</v>
      </c>
      <c r="H507" s="33" t="str">
        <f ca="1">IFERROR(__xludf.DUMMYFUNCTION("""COMPUTED_VALUE"""),"Lugo")</f>
        <v>Lugo</v>
      </c>
      <c r="I507" s="33" t="str">
        <f ca="1">IFERROR(__xludf.DUMMYFUNCTION("""COMPUTED_VALUE"""),"C2025324114745357")</f>
        <v>C2025324114745357</v>
      </c>
      <c r="J507" s="33" t="str">
        <f ca="1">IFERROR(__xludf.DUMMYFUNCTION("""COMPUTED_VALUE"""),"CARMEN CASTELO CEIDE")</f>
        <v>CARMEN CASTELO CEIDE</v>
      </c>
      <c r="K507" s="33">
        <f ca="1">IFERROR(__xludf.DUMMYFUNCTION("""COMPUTED_VALUE"""),2)</f>
        <v>2</v>
      </c>
      <c r="L507" s="203">
        <f ca="1">IFERROR(__xludf.DUMMYFUNCTION("""COMPUTED_VALUE"""),2743.77)</f>
        <v>2743.77</v>
      </c>
      <c r="M507" s="33" t="str">
        <f ca="1">IFERROR(__xludf.DUMMYFUNCTION("""COMPUTED_VALUE"""),"03 ORL")</f>
        <v>03 ORL</v>
      </c>
      <c r="N507" s="33" t="str">
        <f ca="1">IFERROR(__xludf.DUMMYFUNCTION("""COMPUTED_VALUE"""),"06 ORL")</f>
        <v>06 ORL</v>
      </c>
      <c r="O507" s="33" t="str">
        <f ca="1">IFERROR(__xludf.DUMMYFUNCTION("""COMPUTED_VALUE"""),"Dra, Julia María Rouco Pérez")</f>
        <v>Dra, Julia María Rouco Pérez</v>
      </c>
      <c r="P507" s="33" t="str">
        <f ca="1">IFERROR(__xludf.DUMMYFUNCTION("""COMPUTED_VALUE"""),"Roberto Pereira (Galicia)")</f>
        <v>Roberto Pereira (Galicia)</v>
      </c>
    </row>
    <row r="508" spans="2:16">
      <c r="B508" s="33">
        <f ca="1">IFERROR(__xludf.DUMMYFUNCTION("""COMPUTED_VALUE"""),2025)</f>
        <v>2025</v>
      </c>
      <c r="C508" s="33">
        <f ca="1">IFERROR(__xludf.DUMMYFUNCTION("""COMPUTED_VALUE"""),4)</f>
        <v>4</v>
      </c>
      <c r="D508" s="33" t="str">
        <f ca="1">IFERROR(__xludf.DUMMYFUNCTION("""COMPUTED_VALUE"""),"NO")</f>
        <v>NO</v>
      </c>
      <c r="E508" s="33" t="str">
        <f ca="1">IFERROR(__xludf.DUMMYFUNCTION("""COMPUTED_VALUE"""),"Madrid- Monforte de Lemos")</f>
        <v>Madrid- Monforte de Lemos</v>
      </c>
      <c r="F508" s="57">
        <f ca="1">IFERROR(__xludf.DUMMYFUNCTION("""COMPUTED_VALUE"""),45761)</f>
        <v>45761</v>
      </c>
      <c r="G508" s="57">
        <f ca="1">IFERROR(__xludf.DUMMYFUNCTION("""COMPUTED_VALUE"""),45719)</f>
        <v>45719</v>
      </c>
      <c r="H508" s="33" t="str">
        <f ca="1">IFERROR(__xludf.DUMMYFUNCTION("""COMPUTED_VALUE"""),"La Vaguada")</f>
        <v>La Vaguada</v>
      </c>
      <c r="I508" s="33" t="str">
        <f ca="1">IFERROR(__xludf.DUMMYFUNCTION("""COMPUTED_VALUE"""),"C202531410236625")</f>
        <v>C202531410236625</v>
      </c>
      <c r="J508" s="33" t="str">
        <f ca="1">IFERROR(__xludf.DUMMYFUNCTION("""COMPUTED_VALUE"""),"MARIA ANGELES COLLANTE PORTILLO")</f>
        <v>MARIA ANGELES COLLANTE PORTILLO</v>
      </c>
      <c r="K508" s="33">
        <f ca="1">IFERROR(__xludf.DUMMYFUNCTION("""COMPUTED_VALUE"""),2)</f>
        <v>2</v>
      </c>
      <c r="L508" s="203">
        <f ca="1">IFERROR(__xludf.DUMMYFUNCTION("""COMPUTED_VALUE"""),4000)</f>
        <v>4000</v>
      </c>
      <c r="M508" s="33" t="str">
        <f ca="1">IFERROR(__xludf.DUMMYFUNCTION("""COMPUTED_VALUE"""),"03 ORL")</f>
        <v>03 ORL</v>
      </c>
      <c r="N508" s="33" t="str">
        <f ca="1">IFERROR(__xludf.DUMMYFUNCTION("""COMPUTED_VALUE"""),"06 ORL")</f>
        <v>06 ORL</v>
      </c>
      <c r="O508" s="33" t="str">
        <f ca="1">IFERROR(__xludf.DUMMYFUNCTION("""COMPUTED_VALUE"""),"Dra, Beatriz Arana Fernández")</f>
        <v>Dra, Beatriz Arana Fernández</v>
      </c>
      <c r="P508" s="33" t="str">
        <f ca="1">IFERROR(__xludf.DUMMYFUNCTION("""COMPUTED_VALUE"""),"Maika Blázquez (Madrid)")</f>
        <v>Maika Blázquez (Madrid)</v>
      </c>
    </row>
    <row r="509" spans="2:16">
      <c r="B509" s="33">
        <f ca="1">IFERROR(__xludf.DUMMYFUNCTION("""COMPUTED_VALUE"""),2025)</f>
        <v>2025</v>
      </c>
      <c r="C509" s="33">
        <f ca="1">IFERROR(__xludf.DUMMYFUNCTION("""COMPUTED_VALUE"""),4)</f>
        <v>4</v>
      </c>
      <c r="D509" s="33" t="str">
        <f ca="1">IFERROR(__xludf.DUMMYFUNCTION("""COMPUTED_VALUE"""),"NO")</f>
        <v>NO</v>
      </c>
      <c r="E509" s="33" t="str">
        <f ca="1">IFERROR(__xludf.DUMMYFUNCTION("""COMPUTED_VALUE"""),"Madrid- Moratalaz")</f>
        <v>Madrid- Moratalaz</v>
      </c>
      <c r="F509" s="57">
        <f ca="1">IFERROR(__xludf.DUMMYFUNCTION("""COMPUTED_VALUE"""),45761)</f>
        <v>45761</v>
      </c>
      <c r="G509" s="57">
        <f ca="1">IFERROR(__xludf.DUMMYFUNCTION("""COMPUTED_VALUE"""),45723)</f>
        <v>45723</v>
      </c>
      <c r="H509" s="33" t="str">
        <f ca="1">IFERROR(__xludf.DUMMYFUNCTION("""COMPUTED_VALUE"""),"Moratalaz")</f>
        <v>Moratalaz</v>
      </c>
      <c r="I509" s="33" t="str">
        <f ca="1">IFERROR(__xludf.DUMMYFUNCTION("""COMPUTED_VALUE"""),"C202532610552632")</f>
        <v>C202532610552632</v>
      </c>
      <c r="J509" s="33" t="str">
        <f ca="1">IFERROR(__xludf.DUMMYFUNCTION("""COMPUTED_VALUE"""),"SAGRARIO DIAZ MARTIN")</f>
        <v>SAGRARIO DIAZ MARTIN</v>
      </c>
      <c r="K509" s="33">
        <f ca="1">IFERROR(__xludf.DUMMYFUNCTION("""COMPUTED_VALUE"""),2)</f>
        <v>2</v>
      </c>
      <c r="L509" s="203">
        <f ca="1">IFERROR(__xludf.DUMMYFUNCTION("""COMPUTED_VALUE"""),4000)</f>
        <v>4000</v>
      </c>
      <c r="M509" s="33" t="str">
        <f ca="1">IFERROR(__xludf.DUMMYFUNCTION("""COMPUTED_VALUE"""),"03 ORL")</f>
        <v>03 ORL</v>
      </c>
      <c r="N509" s="33" t="str">
        <f ca="1">IFERROR(__xludf.DUMMYFUNCTION("""COMPUTED_VALUE"""),"06 ORL")</f>
        <v>06 ORL</v>
      </c>
      <c r="O509" s="33" t="str">
        <f ca="1">IFERROR(__xludf.DUMMYFUNCTION("""COMPUTED_VALUE"""),"No recuerda ORL")</f>
        <v>No recuerda ORL</v>
      </c>
      <c r="P509" s="33" t="str">
        <f ca="1">IFERROR(__xludf.DUMMYFUNCTION("""COMPUTED_VALUE"""),"Maika Blázquez (Madrid)")</f>
        <v>Maika Blázquez (Madrid)</v>
      </c>
    </row>
    <row r="510" spans="2:16">
      <c r="B510" s="33">
        <f ca="1">IFERROR(__xludf.DUMMYFUNCTION("""COMPUTED_VALUE"""),2025)</f>
        <v>2025</v>
      </c>
      <c r="C510" s="33">
        <f ca="1">IFERROR(__xludf.DUMMYFUNCTION("""COMPUTED_VALUE"""),4)</f>
        <v>4</v>
      </c>
      <c r="D510" s="33" t="str">
        <f ca="1">IFERROR(__xludf.DUMMYFUNCTION("""COMPUTED_VALUE"""),"NO")</f>
        <v>NO</v>
      </c>
      <c r="E510" s="33" t="str">
        <f ca="1">IFERROR(__xludf.DUMMYFUNCTION("""COMPUTED_VALUE"""),"San Javier")</f>
        <v>San Javier</v>
      </c>
      <c r="F510" s="57">
        <f ca="1">IFERROR(__xludf.DUMMYFUNCTION("""COMPUTED_VALUE"""),45761)</f>
        <v>45761</v>
      </c>
      <c r="G510" s="57">
        <f ca="1">IFERROR(__xludf.DUMMYFUNCTION("""COMPUTED_VALUE"""),45736)</f>
        <v>45736</v>
      </c>
      <c r="H510" s="33" t="str">
        <f ca="1">IFERROR(__xludf.DUMMYFUNCTION("""COMPUTED_VALUE"""),"San Javier")</f>
        <v>San Javier</v>
      </c>
      <c r="I510" s="33" t="str">
        <f ca="1">IFERROR(__xludf.DUMMYFUNCTION("""COMPUTED_VALUE"""),"C2025324103528236")</f>
        <v>C2025324103528236</v>
      </c>
      <c r="J510" s="33" t="str">
        <f ca="1">IFERROR(__xludf.DUMMYFUNCTION("""COMPUTED_VALUE"""),"MANUEL BERISO GARCIA")</f>
        <v>MANUEL BERISO GARCIA</v>
      </c>
      <c r="K510" s="33">
        <f ca="1">IFERROR(__xludf.DUMMYFUNCTION("""COMPUTED_VALUE"""),2)</f>
        <v>2</v>
      </c>
      <c r="L510" s="203">
        <f ca="1">IFERROR(__xludf.DUMMYFUNCTION("""COMPUTED_VALUE"""),4000)</f>
        <v>4000</v>
      </c>
      <c r="M510" s="33" t="str">
        <f ca="1">IFERROR(__xludf.DUMMYFUNCTION("""COMPUTED_VALUE"""),"03 ORL")</f>
        <v>03 ORL</v>
      </c>
      <c r="N510" s="33" t="str">
        <f ca="1">IFERROR(__xludf.DUMMYFUNCTION("""COMPUTED_VALUE"""),"06 ORL")</f>
        <v>06 ORL</v>
      </c>
      <c r="O510" s="33" t="str">
        <f ca="1">IFERROR(__xludf.DUMMYFUNCTION("""COMPUTED_VALUE"""),"Dr, Dinis Antunes Silva")</f>
        <v>Dr, Dinis Antunes Silva</v>
      </c>
      <c r="P510" s="33" t="str">
        <f ca="1">IFERROR(__xludf.DUMMYFUNCTION("""COMPUTED_VALUE"""),"Iván Sánchez (Levante Y Albacete)")</f>
        <v>Iván Sánchez (Levante Y Albacete)</v>
      </c>
    </row>
    <row r="511" spans="2:16">
      <c r="B511" s="33">
        <f ca="1">IFERROR(__xludf.DUMMYFUNCTION("""COMPUTED_VALUE"""),2025)</f>
        <v>2025</v>
      </c>
      <c r="C511" s="33">
        <f ca="1">IFERROR(__xludf.DUMMYFUNCTION("""COMPUTED_VALUE"""),4)</f>
        <v>4</v>
      </c>
      <c r="D511" s="33" t="str">
        <f ca="1">IFERROR(__xludf.DUMMYFUNCTION("""COMPUTED_VALUE"""),"NO")</f>
        <v>NO</v>
      </c>
      <c r="E511" s="33" t="str">
        <f ca="1">IFERROR(__xludf.DUMMYFUNCTION("""COMPUTED_VALUE"""),"Sevilla- Montoto")</f>
        <v>Sevilla- Montoto</v>
      </c>
      <c r="F511" s="57">
        <f ca="1">IFERROR(__xludf.DUMMYFUNCTION("""COMPUTED_VALUE"""),45761)</f>
        <v>45761</v>
      </c>
      <c r="G511" s="57">
        <f ca="1">IFERROR(__xludf.DUMMYFUNCTION("""COMPUTED_VALUE"""),45719)</f>
        <v>45719</v>
      </c>
      <c r="H511" s="33" t="str">
        <f ca="1">IFERROR(__xludf.DUMMYFUNCTION("""COMPUTED_VALUE"""),"Montoto")</f>
        <v>Montoto</v>
      </c>
      <c r="I511" s="33" t="str">
        <f ca="1">IFERROR(__xludf.DUMMYFUNCTION("""COMPUTED_VALUE"""),"C2025311175822328")</f>
        <v>C2025311175822328</v>
      </c>
      <c r="J511" s="33" t="str">
        <f ca="1">IFERROR(__xludf.DUMMYFUNCTION("""COMPUTED_VALUE"""),"TRINIDAD RUFINO CHARLO")</f>
        <v>TRINIDAD RUFINO CHARLO</v>
      </c>
      <c r="K511" s="33">
        <f ca="1">IFERROR(__xludf.DUMMYFUNCTION("""COMPUTED_VALUE"""),2)</f>
        <v>2</v>
      </c>
      <c r="L511" s="203">
        <f ca="1">IFERROR(__xludf.DUMMYFUNCTION("""COMPUTED_VALUE"""),3800)</f>
        <v>3800</v>
      </c>
      <c r="M511" s="33" t="str">
        <f ca="1">IFERROR(__xludf.DUMMYFUNCTION("""COMPUTED_VALUE"""),"03 ORL")</f>
        <v>03 ORL</v>
      </c>
      <c r="N511" s="33" t="str">
        <f ca="1">IFERROR(__xludf.DUMMYFUNCTION("""COMPUTED_VALUE"""),"06 ORL")</f>
        <v>06 ORL</v>
      </c>
      <c r="O511" s="33" t="str">
        <f ca="1">IFERROR(__xludf.DUMMYFUNCTION("""COMPUTED_VALUE"""),"Dr, Francisco Javier Aguilar Vera")</f>
        <v>Dr, Francisco Javier Aguilar Vera</v>
      </c>
      <c r="P511" s="33" t="str">
        <f ca="1">IFERROR(__xludf.DUMMYFUNCTION("""COMPUTED_VALUE"""),"Luis Alberto Rodríguez (Andalucía Y Badajoz)")</f>
        <v>Luis Alberto Rodríguez (Andalucía Y Badajoz)</v>
      </c>
    </row>
    <row r="512" spans="2:16">
      <c r="B512" s="33">
        <f ca="1">IFERROR(__xludf.DUMMYFUNCTION("""COMPUTED_VALUE"""),2025)</f>
        <v>2025</v>
      </c>
      <c r="C512" s="33">
        <f ca="1">IFERROR(__xludf.DUMMYFUNCTION("""COMPUTED_VALUE"""),4)</f>
        <v>4</v>
      </c>
      <c r="D512" s="33" t="str">
        <f ca="1">IFERROR(__xludf.DUMMYFUNCTION("""COMPUTED_VALUE"""),"NO")</f>
        <v>NO</v>
      </c>
      <c r="E512" s="33" t="str">
        <f ca="1">IFERROR(__xludf.DUMMYFUNCTION("""COMPUTED_VALUE"""),"Torrejón de Ardoz")</f>
        <v>Torrejón de Ardoz</v>
      </c>
      <c r="F512" s="57">
        <f ca="1">IFERROR(__xludf.DUMMYFUNCTION("""COMPUTED_VALUE"""),45761)</f>
        <v>45761</v>
      </c>
      <c r="G512" s="57">
        <f ca="1">IFERROR(__xludf.DUMMYFUNCTION("""COMPUTED_VALUE"""),45744)</f>
        <v>45744</v>
      </c>
      <c r="H512" s="33" t="str">
        <f ca="1">IFERROR(__xludf.DUMMYFUNCTION("""COMPUTED_VALUE"""),"Torrejón")</f>
        <v>Torrejón</v>
      </c>
      <c r="I512" s="33" t="str">
        <f ca="1">IFERROR(__xludf.DUMMYFUNCTION("""COMPUTED_VALUE"""),"C202543123057516")</f>
        <v>C202543123057516</v>
      </c>
      <c r="J512" s="33" t="str">
        <f ca="1">IFERROR(__xludf.DUMMYFUNCTION("""COMPUTED_VALUE"""),"ENCARNA MUÑOZ BAREA")</f>
        <v>ENCARNA MUÑOZ BAREA</v>
      </c>
      <c r="K512" s="33">
        <f ca="1">IFERROR(__xludf.DUMMYFUNCTION("""COMPUTED_VALUE"""),2)</f>
        <v>2</v>
      </c>
      <c r="L512" s="203">
        <f ca="1">IFERROR(__xludf.DUMMYFUNCTION("""COMPUTED_VALUE"""),2888.18)</f>
        <v>2888.18</v>
      </c>
      <c r="M512" s="33" t="str">
        <f ca="1">IFERROR(__xludf.DUMMYFUNCTION("""COMPUTED_VALUE"""),"03 ORL")</f>
        <v>03 ORL</v>
      </c>
      <c r="N512" s="33" t="str">
        <f ca="1">IFERROR(__xludf.DUMMYFUNCTION("""COMPUTED_VALUE"""),"06 ORL")</f>
        <v>06 ORL</v>
      </c>
      <c r="O512" s="33" t="str">
        <f ca="1">IFERROR(__xludf.DUMMYFUNCTION("""COMPUTED_VALUE"""),"Dra, María Garrote Garrote")</f>
        <v>Dra, María Garrote Garrote</v>
      </c>
      <c r="P512" s="33" t="str">
        <f ca="1">IFERROR(__xludf.DUMMYFUNCTION("""COMPUTED_VALUE"""),"Maika Blázquez (Madrid)")</f>
        <v>Maika Blázquez (Madrid)</v>
      </c>
    </row>
    <row r="513" spans="2:16">
      <c r="B513" s="33">
        <f ca="1">IFERROR(__xludf.DUMMYFUNCTION("""COMPUTED_VALUE"""),2025)</f>
        <v>2025</v>
      </c>
      <c r="C513" s="33">
        <f ca="1">IFERROR(__xludf.DUMMYFUNCTION("""COMPUTED_VALUE"""),4)</f>
        <v>4</v>
      </c>
      <c r="D513" s="33" t="str">
        <f ca="1">IFERROR(__xludf.DUMMYFUNCTION("""COMPUTED_VALUE"""),"NO")</f>
        <v>NO</v>
      </c>
      <c r="E513" s="33" t="str">
        <f ca="1">IFERROR(__xludf.DUMMYFUNCTION("""COMPUTED_VALUE"""),"Torrejón de Ardoz")</f>
        <v>Torrejón de Ardoz</v>
      </c>
      <c r="F513" s="57">
        <f ca="1">IFERROR(__xludf.DUMMYFUNCTION("""COMPUTED_VALUE"""),45761)</f>
        <v>45761</v>
      </c>
      <c r="G513" s="57">
        <f ca="1">IFERROR(__xludf.DUMMYFUNCTION("""COMPUTED_VALUE"""),45749)</f>
        <v>45749</v>
      </c>
      <c r="H513" s="33" t="str">
        <f ca="1">IFERROR(__xludf.DUMMYFUNCTION("""COMPUTED_VALUE"""),"Torrejón")</f>
        <v>Torrejón</v>
      </c>
      <c r="I513" s="33" t="str">
        <f ca="1">IFERROR(__xludf.DUMMYFUNCTION("""COMPUTED_VALUE"""),"C202544112950303")</f>
        <v>C202544112950303</v>
      </c>
      <c r="J513" s="33" t="str">
        <f ca="1">IFERROR(__xludf.DUMMYFUNCTION("""COMPUTED_VALUE"""),"VICENTE VILLA ROMERO")</f>
        <v>VICENTE VILLA ROMERO</v>
      </c>
      <c r="K513" s="33">
        <f ca="1">IFERROR(__xludf.DUMMYFUNCTION("""COMPUTED_VALUE"""),2)</f>
        <v>2</v>
      </c>
      <c r="L513" s="203">
        <f ca="1">IFERROR(__xludf.DUMMYFUNCTION("""COMPUTED_VALUE"""),4000)</f>
        <v>4000</v>
      </c>
      <c r="M513" s="33" t="str">
        <f ca="1">IFERROR(__xludf.DUMMYFUNCTION("""COMPUTED_VALUE"""),"03 ORL")</f>
        <v>03 ORL</v>
      </c>
      <c r="N513" s="33" t="str">
        <f ca="1">IFERROR(__xludf.DUMMYFUNCTION("""COMPUTED_VALUE"""),"06 ORL")</f>
        <v>06 ORL</v>
      </c>
      <c r="O513" s="33" t="str">
        <f ca="1">IFERROR(__xludf.DUMMYFUNCTION("""COMPUTED_VALUE"""),"Dr, Pablo García González")</f>
        <v>Dr, Pablo García González</v>
      </c>
      <c r="P513" s="33" t="str">
        <f ca="1">IFERROR(__xludf.DUMMYFUNCTION("""COMPUTED_VALUE"""),"Maika Blázquez (Madrid)")</f>
        <v>Maika Blázquez (Madrid)</v>
      </c>
    </row>
    <row r="514" spans="2:16">
      <c r="B514" s="33">
        <f ca="1">IFERROR(__xludf.DUMMYFUNCTION("""COMPUTED_VALUE"""),2025)</f>
        <v>2025</v>
      </c>
      <c r="C514" s="33">
        <f ca="1">IFERROR(__xludf.DUMMYFUNCTION("""COMPUTED_VALUE"""),4)</f>
        <v>4</v>
      </c>
      <c r="D514" s="33" t="str">
        <f ca="1">IFERROR(__xludf.DUMMYFUNCTION("""COMPUTED_VALUE"""),"NO")</f>
        <v>NO</v>
      </c>
      <c r="E514" s="33" t="str">
        <f ca="1">IFERROR(__xludf.DUMMYFUNCTION("""COMPUTED_VALUE"""),"Cáceres")</f>
        <v>Cáceres</v>
      </c>
      <c r="F514" s="57">
        <f ca="1">IFERROR(__xludf.DUMMYFUNCTION("""COMPUTED_VALUE"""),45761)</f>
        <v>45761</v>
      </c>
      <c r="G514" s="57">
        <f ca="1">IFERROR(__xludf.DUMMYFUNCTION("""COMPUTED_VALUE"""),45723)</f>
        <v>45723</v>
      </c>
      <c r="H514" s="33" t="str">
        <f ca="1">IFERROR(__xludf.DUMMYFUNCTION("""COMPUTED_VALUE"""),"Cáceres")</f>
        <v>Cáceres</v>
      </c>
      <c r="I514" s="33" t="str">
        <f ca="1">IFERROR(__xludf.DUMMYFUNCTION("""COMPUTED_VALUE"""),"CAC-248")</f>
        <v>CAC-248</v>
      </c>
      <c r="J514" s="33" t="str">
        <f ca="1">IFERROR(__xludf.DUMMYFUNCTION("""COMPUTED_VALUE"""),"INES MUÑOZ BORRELLA")</f>
        <v>INES MUÑOZ BORRELLA</v>
      </c>
      <c r="K514" s="33">
        <f ca="1">IFERROR(__xludf.DUMMYFUNCTION("""COMPUTED_VALUE"""),2)</f>
        <v>2</v>
      </c>
      <c r="L514" s="203">
        <f ca="1">IFERROR(__xludf.DUMMYFUNCTION("""COMPUTED_VALUE"""),4400)</f>
        <v>4400</v>
      </c>
      <c r="M514" s="33" t="str">
        <f ca="1">IFERROR(__xludf.DUMMYFUNCTION("""COMPUTED_VALUE"""),"03 ORL")</f>
        <v>03 ORL</v>
      </c>
      <c r="N514" s="33" t="str">
        <f ca="1">IFERROR(__xludf.DUMMYFUNCTION("""COMPUTED_VALUE"""),"06 ORL")</f>
        <v>06 ORL</v>
      </c>
      <c r="O514" s="33" t="str">
        <f ca="1">IFERROR(__xludf.DUMMYFUNCTION("""COMPUTED_VALUE"""),"Dr, Javier García Gómez")</f>
        <v>Dr, Javier García Gómez</v>
      </c>
      <c r="P514" s="33" t="str">
        <f ca="1">IFERROR(__xludf.DUMMYFUNCTION("""COMPUTED_VALUE"""),"Lisandro Russian (Madrid, Cáceres, Toledo, Talavera Y Logroño)")</f>
        <v>Lisandro Russian (Madrid, Cáceres, Toledo, Talavera Y Logroño)</v>
      </c>
    </row>
    <row r="515" spans="2:16">
      <c r="B515" s="33">
        <f ca="1">IFERROR(__xludf.DUMMYFUNCTION("""COMPUTED_VALUE"""),2025)</f>
        <v>2025</v>
      </c>
      <c r="C515" s="33">
        <f ca="1">IFERROR(__xludf.DUMMYFUNCTION("""COMPUTED_VALUE"""),4)</f>
        <v>4</v>
      </c>
      <c r="D515" s="33" t="str">
        <f ca="1">IFERROR(__xludf.DUMMYFUNCTION("""COMPUTED_VALUE"""),"NO")</f>
        <v>NO</v>
      </c>
      <c r="E515" s="33" t="str">
        <f ca="1">IFERROR(__xludf.DUMMYFUNCTION("""COMPUTED_VALUE"""),"Badajoz")</f>
        <v>Badajoz</v>
      </c>
      <c r="F515" s="57">
        <f ca="1">IFERROR(__xludf.DUMMYFUNCTION("""COMPUTED_VALUE"""),45761)</f>
        <v>45761</v>
      </c>
      <c r="G515" s="57">
        <f ca="1">IFERROR(__xludf.DUMMYFUNCTION("""COMPUTED_VALUE"""),45726)</f>
        <v>45726</v>
      </c>
      <c r="H515" s="33" t="str">
        <f ca="1">IFERROR(__xludf.DUMMYFUNCTION("""COMPUTED_VALUE"""),"Badajoz")</f>
        <v>Badajoz</v>
      </c>
      <c r="I515" s="33" t="str">
        <f ca="1">IFERROR(__xludf.DUMMYFUNCTION("""COMPUTED_VALUE"""),"BJZE-2474")</f>
        <v>BJZE-2474</v>
      </c>
      <c r="J515" s="33" t="str">
        <f ca="1">IFERROR(__xludf.DUMMYFUNCTION("""COMPUTED_VALUE"""),"MARI SOL MORGADO GONZALEZ")</f>
        <v>MARI SOL MORGADO GONZALEZ</v>
      </c>
      <c r="K515" s="33">
        <f ca="1">IFERROR(__xludf.DUMMYFUNCTION("""COMPUTED_VALUE"""),2)</f>
        <v>2</v>
      </c>
      <c r="L515" s="203">
        <f ca="1">IFERROR(__xludf.DUMMYFUNCTION("""COMPUTED_VALUE"""),3045.45)</f>
        <v>3045.45</v>
      </c>
      <c r="M515" s="33" t="str">
        <f ca="1">IFERROR(__xludf.DUMMYFUNCTION("""COMPUTED_VALUE"""),"03 ORL")</f>
        <v>03 ORL</v>
      </c>
      <c r="N515" s="33" t="str">
        <f ca="1">IFERROR(__xludf.DUMMYFUNCTION("""COMPUTED_VALUE"""),"06 ORL")</f>
        <v>06 ORL</v>
      </c>
      <c r="O515" s="33" t="str">
        <f ca="1">IFERROR(__xludf.DUMMYFUNCTION("""COMPUTED_VALUE"""),"Dr, Pedro Francisco Martínez Guisado")</f>
        <v>Dr, Pedro Francisco Martínez Guisado</v>
      </c>
      <c r="P515" s="33" t="str">
        <f ca="1">IFERROR(__xludf.DUMMYFUNCTION("""COMPUTED_VALUE"""),"Luis Alberto Rodríguez (Andalucía Y Badajoz)")</f>
        <v>Luis Alberto Rodríguez (Andalucía Y Badajoz)</v>
      </c>
    </row>
    <row r="516" spans="2:16">
      <c r="B516" s="33">
        <f ca="1">IFERROR(__xludf.DUMMYFUNCTION("""COMPUTED_VALUE"""),2025)</f>
        <v>2025</v>
      </c>
      <c r="C516" s="33">
        <f ca="1">IFERROR(__xludf.DUMMYFUNCTION("""COMPUTED_VALUE"""),4)</f>
        <v>4</v>
      </c>
      <c r="D516" s="33" t="str">
        <f ca="1">IFERROR(__xludf.DUMMYFUNCTION("""COMPUTED_VALUE"""),"NO")</f>
        <v>NO</v>
      </c>
      <c r="E516" s="33" t="str">
        <f ca="1">IFERROR(__xludf.DUMMYFUNCTION("""COMPUTED_VALUE"""),"Sevilla- Ciencias")</f>
        <v>Sevilla- Ciencias</v>
      </c>
      <c r="F516" s="57">
        <f ca="1">IFERROR(__xludf.DUMMYFUNCTION("""COMPUTED_VALUE"""),45761)</f>
        <v>45761</v>
      </c>
      <c r="G516" s="57">
        <f ca="1">IFERROR(__xludf.DUMMYFUNCTION("""COMPUTED_VALUE"""),45736)</f>
        <v>45736</v>
      </c>
      <c r="H516" s="33" t="str">
        <f ca="1">IFERROR(__xludf.DUMMYFUNCTION("""COMPUTED_VALUE"""),"Sevilla Este")</f>
        <v>Sevilla Este</v>
      </c>
      <c r="I516" s="33" t="str">
        <f ca="1">IFERROR(__xludf.DUMMYFUNCTION("""COMPUTED_VALUE"""),"SEVE-385")</f>
        <v>SEVE-385</v>
      </c>
      <c r="J516" s="33" t="str">
        <f ca="1">IFERROR(__xludf.DUMMYFUNCTION("""COMPUTED_VALUE"""),"JOSE MARIA AGUADO MARTINEZ")</f>
        <v>JOSE MARIA AGUADO MARTINEZ</v>
      </c>
      <c r="K516" s="33">
        <f ca="1">IFERROR(__xludf.DUMMYFUNCTION("""COMPUTED_VALUE"""),2)</f>
        <v>2</v>
      </c>
      <c r="L516" s="203">
        <f ca="1">IFERROR(__xludf.DUMMYFUNCTION("""COMPUTED_VALUE"""),4000)</f>
        <v>4000</v>
      </c>
      <c r="M516" s="33" t="str">
        <f ca="1">IFERROR(__xludf.DUMMYFUNCTION("""COMPUTED_VALUE"""),"03 ORL")</f>
        <v>03 ORL</v>
      </c>
      <c r="N516" s="33" t="str">
        <f ca="1">IFERROR(__xludf.DUMMYFUNCTION("""COMPUTED_VALUE"""),"06 ORL")</f>
        <v>06 ORL</v>
      </c>
      <c r="O516" s="33" t="str">
        <f ca="1">IFERROR(__xludf.DUMMYFUNCTION("""COMPUTED_VALUE"""),"Dr, Enrique Gómez Aldaz")</f>
        <v>Dr, Enrique Gómez Aldaz</v>
      </c>
      <c r="P516" s="33" t="str">
        <f ca="1">IFERROR(__xludf.DUMMYFUNCTION("""COMPUTED_VALUE"""),"Luis Alberto Rodríguez (Andalucía Y Badajoz)")</f>
        <v>Luis Alberto Rodríguez (Andalucía Y Badajoz)</v>
      </c>
    </row>
    <row r="517" spans="2:16">
      <c r="B517" s="33">
        <f ca="1">IFERROR(__xludf.DUMMYFUNCTION("""COMPUTED_VALUE"""),2025)</f>
        <v>2025</v>
      </c>
      <c r="C517" s="33">
        <f ca="1">IFERROR(__xludf.DUMMYFUNCTION("""COMPUTED_VALUE"""),4)</f>
        <v>4</v>
      </c>
      <c r="D517" s="33" t="str">
        <f ca="1">IFERROR(__xludf.DUMMYFUNCTION("""COMPUTED_VALUE"""),"NO")</f>
        <v>NO</v>
      </c>
      <c r="E517" s="33" t="str">
        <f ca="1">IFERROR(__xludf.DUMMYFUNCTION("""COMPUTED_VALUE"""),"Barcelona- Fabra i Puig")</f>
        <v>Barcelona- Fabra i Puig</v>
      </c>
      <c r="F517" s="57">
        <f ca="1">IFERROR(__xludf.DUMMYFUNCTION("""COMPUTED_VALUE"""),45762)</f>
        <v>45762</v>
      </c>
      <c r="G517" s="57">
        <f ca="1">IFERROR(__xludf.DUMMYFUNCTION("""COMPUTED_VALUE"""),45728)</f>
        <v>45728</v>
      </c>
      <c r="H517" s="33" t="str">
        <f ca="1">IFERROR(__xludf.DUMMYFUNCTION("""COMPUTED_VALUE"""),"Fabra")</f>
        <v>Fabra</v>
      </c>
      <c r="I517" s="33" t="str">
        <f ca="1">IFERROR(__xludf.DUMMYFUNCTION("""COMPUTED_VALUE"""),"C2025324102811501")</f>
        <v>C2025324102811501</v>
      </c>
      <c r="J517" s="33" t="str">
        <f ca="1">IFERROR(__xludf.DUMMYFUNCTION("""COMPUTED_VALUE"""),"ANGELES LOBO SANCHA")</f>
        <v>ANGELES LOBO SANCHA</v>
      </c>
      <c r="K517" s="33">
        <f ca="1">IFERROR(__xludf.DUMMYFUNCTION("""COMPUTED_VALUE"""),1)</f>
        <v>1</v>
      </c>
      <c r="L517" s="203">
        <f ca="1">IFERROR(__xludf.DUMMYFUNCTION("""COMPUTED_VALUE"""),2400)</f>
        <v>2400</v>
      </c>
      <c r="M517" s="33" t="str">
        <f ca="1">IFERROR(__xludf.DUMMYFUNCTION("""COMPUTED_VALUE"""),"03 ORL")</f>
        <v>03 ORL</v>
      </c>
      <c r="N517" s="33" t="str">
        <f ca="1">IFERROR(__xludf.DUMMYFUNCTION("""COMPUTED_VALUE"""),"06 ORL")</f>
        <v>06 ORL</v>
      </c>
      <c r="O517" s="33" t="str">
        <f ca="1">IFERROR(__xludf.DUMMYFUNCTION("""COMPUTED_VALUE"""),"Dra, Anna Mateo Montfort")</f>
        <v>Dra, Anna Mateo Montfort</v>
      </c>
      <c r="P517" s="33" t="str">
        <f ca="1">IFERROR(__xludf.DUMMYFUNCTION("""COMPUTED_VALUE"""),"Mercè Cabrera (Cataluña Y Baleares)")</f>
        <v>Mercè Cabrera (Cataluña Y Baleares)</v>
      </c>
    </row>
    <row r="518" spans="2:16">
      <c r="B518" s="33">
        <f ca="1">IFERROR(__xludf.DUMMYFUNCTION("""COMPUTED_VALUE"""),2025)</f>
        <v>2025</v>
      </c>
      <c r="C518" s="33">
        <f ca="1">IFERROR(__xludf.DUMMYFUNCTION("""COMPUTED_VALUE"""),4)</f>
        <v>4</v>
      </c>
      <c r="D518" s="33" t="str">
        <f ca="1">IFERROR(__xludf.DUMMYFUNCTION("""COMPUTED_VALUE"""),"NO")</f>
        <v>NO</v>
      </c>
      <c r="E518" s="33" t="str">
        <f ca="1">IFERROR(__xludf.DUMMYFUNCTION("""COMPUTED_VALUE"""),"Madrid- Costa Rica")</f>
        <v>Madrid- Costa Rica</v>
      </c>
      <c r="F518" s="57">
        <f ca="1">IFERROR(__xludf.DUMMYFUNCTION("""COMPUTED_VALUE"""),45762)</f>
        <v>45762</v>
      </c>
      <c r="G518" s="57">
        <f ca="1">IFERROR(__xludf.DUMMYFUNCTION("""COMPUTED_VALUE"""),45727)</f>
        <v>45727</v>
      </c>
      <c r="H518" s="33" t="str">
        <f ca="1">IFERROR(__xludf.DUMMYFUNCTION("""COMPUTED_VALUE"""),"Costa Rica")</f>
        <v>Costa Rica</v>
      </c>
      <c r="I518" s="33" t="str">
        <f ca="1">IFERROR(__xludf.DUMMYFUNCTION("""COMPUTED_VALUE"""),"C2025312124649839")</f>
        <v>C2025312124649839</v>
      </c>
      <c r="J518" s="33" t="str">
        <f ca="1">IFERROR(__xludf.DUMMYFUNCTION("""COMPUTED_VALUE"""),"ALICE PATRICIA SPILLARS")</f>
        <v>ALICE PATRICIA SPILLARS</v>
      </c>
      <c r="K518" s="33">
        <f ca="1">IFERROR(__xludf.DUMMYFUNCTION("""COMPUTED_VALUE"""),2)</f>
        <v>2</v>
      </c>
      <c r="L518" s="203">
        <f ca="1">IFERROR(__xludf.DUMMYFUNCTION("""COMPUTED_VALUE"""),2888.18)</f>
        <v>2888.18</v>
      </c>
      <c r="M518" s="33" t="str">
        <f ca="1">IFERROR(__xludf.DUMMYFUNCTION("""COMPUTED_VALUE"""),"03 ORL")</f>
        <v>03 ORL</v>
      </c>
      <c r="N518" s="33" t="str">
        <f ca="1">IFERROR(__xludf.DUMMYFUNCTION("""COMPUTED_VALUE"""),"22 AUDIOMETRIA CLINICA")</f>
        <v>22 AUDIOMETRIA CLINICA</v>
      </c>
      <c r="O518" s="33" t="str">
        <f ca="1">IFERROR(__xludf.DUMMYFUNCTION("""COMPUTED_VALUE"""),"Dr, Luis Jiménez Ferreres")</f>
        <v>Dr, Luis Jiménez Ferreres</v>
      </c>
      <c r="P518" s="33" t="str">
        <f ca="1">IFERROR(__xludf.DUMMYFUNCTION("""COMPUTED_VALUE"""),"Lisandro Russian (Madrid, Cáceres, Toledo, Talavera Y Logroño)")</f>
        <v>Lisandro Russian (Madrid, Cáceres, Toledo, Talavera Y Logroño)</v>
      </c>
    </row>
    <row r="519" spans="2:16">
      <c r="B519" s="33">
        <f ca="1">IFERROR(__xludf.DUMMYFUNCTION("""COMPUTED_VALUE"""),2025)</f>
        <v>2025</v>
      </c>
      <c r="C519" s="33">
        <f ca="1">IFERROR(__xludf.DUMMYFUNCTION("""COMPUTED_VALUE"""),4)</f>
        <v>4</v>
      </c>
      <c r="D519" s="33" t="str">
        <f ca="1">IFERROR(__xludf.DUMMYFUNCTION("""COMPUTED_VALUE"""),"NO")</f>
        <v>NO</v>
      </c>
      <c r="E519" s="33" t="str">
        <f ca="1">IFERROR(__xludf.DUMMYFUNCTION("""COMPUTED_VALUE"""),"Sevilla- Ciencias")</f>
        <v>Sevilla- Ciencias</v>
      </c>
      <c r="F519" s="57">
        <f ca="1">IFERROR(__xludf.DUMMYFUNCTION("""COMPUTED_VALUE"""),45762)</f>
        <v>45762</v>
      </c>
      <c r="G519" s="57">
        <f ca="1">IFERROR(__xludf.DUMMYFUNCTION("""COMPUTED_VALUE"""),45712)</f>
        <v>45712</v>
      </c>
      <c r="H519" s="33" t="str">
        <f ca="1">IFERROR(__xludf.DUMMYFUNCTION("""COMPUTED_VALUE"""),"Sevilla Este")</f>
        <v>Sevilla Este</v>
      </c>
      <c r="I519" s="33" t="str">
        <f ca="1">IFERROR(__xludf.DUMMYFUNCTION("""COMPUTED_VALUE"""),"SEVE-372")</f>
        <v>SEVE-372</v>
      </c>
      <c r="J519" s="33" t="str">
        <f ca="1">IFERROR(__xludf.DUMMYFUNCTION("""COMPUTED_VALUE"""),"MIGUEL ESPINOSA HIDALGO")</f>
        <v>MIGUEL ESPINOSA HIDALGO</v>
      </c>
      <c r="K519" s="33">
        <f ca="1">IFERROR(__xludf.DUMMYFUNCTION("""COMPUTED_VALUE"""),2)</f>
        <v>2</v>
      </c>
      <c r="L519" s="203">
        <f ca="1">IFERROR(__xludf.DUMMYFUNCTION("""COMPUTED_VALUE"""),4400)</f>
        <v>4400</v>
      </c>
      <c r="M519" s="33" t="str">
        <f ca="1">IFERROR(__xludf.DUMMYFUNCTION("""COMPUTED_VALUE"""),"01 MARKETING ON LINE")</f>
        <v>01 MARKETING ON LINE</v>
      </c>
      <c r="N519" s="33" t="str">
        <f ca="1">IFERROR(__xludf.DUMMYFUNCTION("""COMPUTED_VALUE"""),"04 AUDIFONO,ES")</f>
        <v>04 AUDIFONO,ES</v>
      </c>
      <c r="O519" s="33" t="str">
        <f ca="1">IFERROR(__xludf.DUMMYFUNCTION("""COMPUTED_VALUE"""),"Dra, Carmen Hernández Torres")</f>
        <v>Dra, Carmen Hernández Torres</v>
      </c>
      <c r="P519" s="33" t="str">
        <f ca="1">IFERROR(__xludf.DUMMYFUNCTION("""COMPUTED_VALUE"""),"Luis Alberto Rodríguez (Andalucía Y Badajoz)")</f>
        <v>Luis Alberto Rodríguez (Andalucía Y Badajoz)</v>
      </c>
    </row>
    <row r="520" spans="2:16">
      <c r="B520" s="33">
        <f ca="1">IFERROR(__xludf.DUMMYFUNCTION("""COMPUTED_VALUE"""),2025)</f>
        <v>2025</v>
      </c>
      <c r="C520" s="33">
        <f ca="1">IFERROR(__xludf.DUMMYFUNCTION("""COMPUTED_VALUE"""),4)</f>
        <v>4</v>
      </c>
      <c r="D520" s="33" t="str">
        <f ca="1">IFERROR(__xludf.DUMMYFUNCTION("""COMPUTED_VALUE"""),"NO")</f>
        <v>NO</v>
      </c>
      <c r="E520" s="33" t="str">
        <f ca="1">IFERROR(__xludf.DUMMYFUNCTION("""COMPUTED_VALUE"""),"Fuenlabrada")</f>
        <v>Fuenlabrada</v>
      </c>
      <c r="F520" s="57">
        <f ca="1">IFERROR(__xludf.DUMMYFUNCTION("""COMPUTED_VALUE"""),45763)</f>
        <v>45763</v>
      </c>
      <c r="G520" s="57">
        <f ca="1">IFERROR(__xludf.DUMMYFUNCTION("""COMPUTED_VALUE"""),45734)</f>
        <v>45734</v>
      </c>
      <c r="H520" s="33" t="str">
        <f ca="1">IFERROR(__xludf.DUMMYFUNCTION("""COMPUTED_VALUE"""),"Fuenlabrada")</f>
        <v>Fuenlabrada</v>
      </c>
      <c r="I520" s="33" t="str">
        <f ca="1">IFERROR(__xludf.DUMMYFUNCTION("""COMPUTED_VALUE"""),"C202532116296904")</f>
        <v>C202532116296904</v>
      </c>
      <c r="J520" s="33" t="str">
        <f ca="1">IFERROR(__xludf.DUMMYFUNCTION("""COMPUTED_VALUE"""),"RAFAEL CUBERO DIAZ")</f>
        <v>RAFAEL CUBERO DIAZ</v>
      </c>
      <c r="K520" s="33">
        <f ca="1">IFERROR(__xludf.DUMMYFUNCTION("""COMPUTED_VALUE"""),2)</f>
        <v>2</v>
      </c>
      <c r="L520" s="203">
        <f ca="1">IFERROR(__xludf.DUMMYFUNCTION("""COMPUTED_VALUE"""),3710)</f>
        <v>3710</v>
      </c>
      <c r="M520" s="33" t="str">
        <f ca="1">IFERROR(__xludf.DUMMYFUNCTION("""COMPUTED_VALUE"""),"03 ORL")</f>
        <v>03 ORL</v>
      </c>
      <c r="N520" s="33" t="str">
        <f ca="1">IFERROR(__xludf.DUMMYFUNCTION("""COMPUTED_VALUE"""),"06 ORL")</f>
        <v>06 ORL</v>
      </c>
      <c r="O520" s="33" t="str">
        <f ca="1">IFERROR(__xludf.DUMMYFUNCTION("""COMPUTED_VALUE"""),"Dra, Victoria García Peces")</f>
        <v>Dra, Victoria García Peces</v>
      </c>
      <c r="P520" s="33" t="str">
        <f ca="1">IFERROR(__xludf.DUMMYFUNCTION("""COMPUTED_VALUE"""),"Maika Blázquez (Madrid)")</f>
        <v>Maika Blázquez (Madrid)</v>
      </c>
    </row>
    <row r="521" spans="2:16">
      <c r="B521" s="33">
        <f ca="1">IFERROR(__xludf.DUMMYFUNCTION("""COMPUTED_VALUE"""),2025)</f>
        <v>2025</v>
      </c>
      <c r="C521" s="33">
        <f ca="1">IFERROR(__xludf.DUMMYFUNCTION("""COMPUTED_VALUE"""),4)</f>
        <v>4</v>
      </c>
      <c r="D521" s="33" t="str">
        <f ca="1">IFERROR(__xludf.DUMMYFUNCTION("""COMPUTED_VALUE"""),"NO")</f>
        <v>NO</v>
      </c>
      <c r="E521" s="33" t="str">
        <f ca="1">IFERROR(__xludf.DUMMYFUNCTION("""COMPUTED_VALUE"""),"Madrid- Juan Bravo")</f>
        <v>Madrid- Juan Bravo</v>
      </c>
      <c r="F521" s="57">
        <f ca="1">IFERROR(__xludf.DUMMYFUNCTION("""COMPUTED_VALUE"""),45763)</f>
        <v>45763</v>
      </c>
      <c r="G521" s="57">
        <f ca="1">IFERROR(__xludf.DUMMYFUNCTION("""COMPUTED_VALUE"""),45692)</f>
        <v>45692</v>
      </c>
      <c r="H521" s="33" t="str">
        <f ca="1">IFERROR(__xludf.DUMMYFUNCTION("""COMPUTED_VALUE"""),"Juan Bravo")</f>
        <v>Juan Bravo</v>
      </c>
      <c r="I521" s="33" t="str">
        <f ca="1">IFERROR(__xludf.DUMMYFUNCTION("""COMPUTED_VALUE"""),"C20252710341649")</f>
        <v>C20252710341649</v>
      </c>
      <c r="J521" s="33" t="str">
        <f ca="1">IFERROR(__xludf.DUMMYFUNCTION("""COMPUTED_VALUE"""),"MARIA CRISTINA SENOSIAIN JIMENO")</f>
        <v>MARIA CRISTINA SENOSIAIN JIMENO</v>
      </c>
      <c r="K521" s="33">
        <f ca="1">IFERROR(__xludf.DUMMYFUNCTION("""COMPUTED_VALUE"""),1)</f>
        <v>1</v>
      </c>
      <c r="L521" s="203">
        <f ca="1">IFERROR(__xludf.DUMMYFUNCTION("""COMPUTED_VALUE"""),2400)</f>
        <v>2400</v>
      </c>
      <c r="M521" s="33" t="str">
        <f ca="1">IFERROR(__xludf.DUMMYFUNCTION("""COMPUTED_VALUE"""),"03 ORL")</f>
        <v>03 ORL</v>
      </c>
      <c r="N521" s="33" t="str">
        <f ca="1">IFERROR(__xludf.DUMMYFUNCTION("""COMPUTED_VALUE"""),"06 ORL")</f>
        <v>06 ORL</v>
      </c>
      <c r="O521" s="33" t="str">
        <f ca="1">IFERROR(__xludf.DUMMYFUNCTION("""COMPUTED_VALUE"""),"Dr, Carlos Barajas Del Rosal")</f>
        <v>Dr, Carlos Barajas Del Rosal</v>
      </c>
      <c r="P521" s="33" t="str">
        <f ca="1">IFERROR(__xludf.DUMMYFUNCTION("""COMPUTED_VALUE"""),"Lisandro Russian (Madrid, Cáceres, Toledo, Talavera Y Logroño)")</f>
        <v>Lisandro Russian (Madrid, Cáceres, Toledo, Talavera Y Logroño)</v>
      </c>
    </row>
    <row r="522" spans="2:16">
      <c r="B522" s="33">
        <f ca="1">IFERROR(__xludf.DUMMYFUNCTION("""COMPUTED_VALUE"""),2025)</f>
        <v>2025</v>
      </c>
      <c r="C522" s="33">
        <f ca="1">IFERROR(__xludf.DUMMYFUNCTION("""COMPUTED_VALUE"""),4)</f>
        <v>4</v>
      </c>
      <c r="D522" s="33" t="str">
        <f ca="1">IFERROR(__xludf.DUMMYFUNCTION("""COMPUTED_VALUE"""),"NO")</f>
        <v>NO</v>
      </c>
      <c r="E522" s="33" t="str">
        <f ca="1">IFERROR(__xludf.DUMMYFUNCTION("""COMPUTED_VALUE"""),"Madrid- La Oca")</f>
        <v>Madrid- La Oca</v>
      </c>
      <c r="F522" s="57">
        <f ca="1">IFERROR(__xludf.DUMMYFUNCTION("""COMPUTED_VALUE"""),45763)</f>
        <v>45763</v>
      </c>
      <c r="G522" s="57">
        <f ca="1">IFERROR(__xludf.DUMMYFUNCTION("""COMPUTED_VALUE"""),45726)</f>
        <v>45726</v>
      </c>
      <c r="H522" s="33" t="str">
        <f ca="1">IFERROR(__xludf.DUMMYFUNCTION("""COMPUTED_VALUE"""),"La Oca")</f>
        <v>La Oca</v>
      </c>
      <c r="I522" s="33" t="str">
        <f ca="1">IFERROR(__xludf.DUMMYFUNCTION("""COMPUTED_VALUE"""),"C202531918054191")</f>
        <v>C202531918054191</v>
      </c>
      <c r="J522" s="33" t="str">
        <f ca="1">IFERROR(__xludf.DUMMYFUNCTION("""COMPUTED_VALUE"""),"AURORA GARCIA PIÑERA")</f>
        <v>AURORA GARCIA PIÑERA</v>
      </c>
      <c r="K522" s="33">
        <f ca="1">IFERROR(__xludf.DUMMYFUNCTION("""COMPUTED_VALUE"""),2)</f>
        <v>2</v>
      </c>
      <c r="L522" s="203">
        <f ca="1">IFERROR(__xludf.DUMMYFUNCTION("""COMPUTED_VALUE"""),3710)</f>
        <v>3710</v>
      </c>
      <c r="M522" s="33" t="str">
        <f ca="1">IFERROR(__xludf.DUMMYFUNCTION("""COMPUTED_VALUE"""),"03 ORL")</f>
        <v>03 ORL</v>
      </c>
      <c r="N522" s="33" t="str">
        <f ca="1">IFERROR(__xludf.DUMMYFUNCTION("""COMPUTED_VALUE"""),"06 ORL")</f>
        <v>06 ORL</v>
      </c>
      <c r="O522" s="33" t="str">
        <f ca="1">IFERROR(__xludf.DUMMYFUNCTION("""COMPUTED_VALUE"""),"Dr, Oscar A, Sánchez Valenzuela")</f>
        <v>Dr, Oscar A, Sánchez Valenzuela</v>
      </c>
      <c r="P522" s="33" t="str">
        <f ca="1">IFERROR(__xludf.DUMMYFUNCTION("""COMPUTED_VALUE"""),"Maika Blázquez (Madrid)")</f>
        <v>Maika Blázquez (Madrid)</v>
      </c>
    </row>
    <row r="523" spans="2:16">
      <c r="B523" s="33">
        <f ca="1">IFERROR(__xludf.DUMMYFUNCTION("""COMPUTED_VALUE"""),2025)</f>
        <v>2025</v>
      </c>
      <c r="C523" s="33">
        <f ca="1">IFERROR(__xludf.DUMMYFUNCTION("""COMPUTED_VALUE"""),4)</f>
        <v>4</v>
      </c>
      <c r="D523" s="33" t="str">
        <f ca="1">IFERROR(__xludf.DUMMYFUNCTION("""COMPUTED_VALUE"""),"NO")</f>
        <v>NO</v>
      </c>
      <c r="E523" s="33" t="str">
        <f ca="1">IFERROR(__xludf.DUMMYFUNCTION("""COMPUTED_VALUE"""),"San Javier")</f>
        <v>San Javier</v>
      </c>
      <c r="F523" s="57">
        <f ca="1">IFERROR(__xludf.DUMMYFUNCTION("""COMPUTED_VALUE"""),45763)</f>
        <v>45763</v>
      </c>
      <c r="G523" s="57">
        <f ca="1">IFERROR(__xludf.DUMMYFUNCTION("""COMPUTED_VALUE"""),45691)</f>
        <v>45691</v>
      </c>
      <c r="H523" s="33" t="str">
        <f ca="1">IFERROR(__xludf.DUMMYFUNCTION("""COMPUTED_VALUE"""),"San Javier")</f>
        <v>San Javier</v>
      </c>
      <c r="I523" s="33" t="str">
        <f ca="1">IFERROR(__xludf.DUMMYFUNCTION("""COMPUTED_VALUE"""),"C202527163711862")</f>
        <v>C202527163711862</v>
      </c>
      <c r="J523" s="33" t="str">
        <f ca="1">IFERROR(__xludf.DUMMYFUNCTION("""COMPUTED_VALUE"""),"JUANA MARIA OLMOS HENAREJOS")</f>
        <v>JUANA MARIA OLMOS HENAREJOS</v>
      </c>
      <c r="K523" s="33">
        <f ca="1">IFERROR(__xludf.DUMMYFUNCTION("""COMPUTED_VALUE"""),2)</f>
        <v>2</v>
      </c>
      <c r="L523" s="203">
        <f ca="1">IFERROR(__xludf.DUMMYFUNCTION("""COMPUTED_VALUE"""),2888.18)</f>
        <v>2888.18</v>
      </c>
      <c r="M523" s="33" t="str">
        <f ca="1">IFERROR(__xludf.DUMMYFUNCTION("""COMPUTED_VALUE"""),"03 ORL")</f>
        <v>03 ORL</v>
      </c>
      <c r="N523" s="33" t="str">
        <f ca="1">IFERROR(__xludf.DUMMYFUNCTION("""COMPUTED_VALUE"""),"06 ORL")</f>
        <v>06 ORL</v>
      </c>
      <c r="O523" s="33" t="str">
        <f ca="1">IFERROR(__xludf.DUMMYFUNCTION("""COMPUTED_VALUE"""),"Dr, Francisco García Purriños")</f>
        <v>Dr, Francisco García Purriños</v>
      </c>
      <c r="P523" s="33" t="str">
        <f ca="1">IFERROR(__xludf.DUMMYFUNCTION("""COMPUTED_VALUE"""),"Iván Sánchez (Levante Y Albacete)")</f>
        <v>Iván Sánchez (Levante Y Albacete)</v>
      </c>
    </row>
    <row r="524" spans="2:16">
      <c r="B524" s="33">
        <f ca="1">IFERROR(__xludf.DUMMYFUNCTION("""COMPUTED_VALUE"""),2025)</f>
        <v>2025</v>
      </c>
      <c r="C524" s="33">
        <f ca="1">IFERROR(__xludf.DUMMYFUNCTION("""COMPUTED_VALUE"""),4)</f>
        <v>4</v>
      </c>
      <c r="D524" s="33" t="str">
        <f ca="1">IFERROR(__xludf.DUMMYFUNCTION("""COMPUTED_VALUE"""),"NO")</f>
        <v>NO</v>
      </c>
      <c r="E524" s="33" t="str">
        <f ca="1">IFERROR(__xludf.DUMMYFUNCTION("""COMPUTED_VALUE"""),"Valencia- Cádiz")</f>
        <v>Valencia- Cádiz</v>
      </c>
      <c r="F524" s="57">
        <f ca="1">IFERROR(__xludf.DUMMYFUNCTION("""COMPUTED_VALUE"""),45763)</f>
        <v>45763</v>
      </c>
      <c r="G524" s="57">
        <f ca="1">IFERROR(__xludf.DUMMYFUNCTION("""COMPUTED_VALUE"""),45727)</f>
        <v>45727</v>
      </c>
      <c r="H524" s="33" t="str">
        <f ca="1">IFERROR(__xludf.DUMMYFUNCTION("""COMPUTED_VALUE"""),"Valencia- Cádiz")</f>
        <v>Valencia- Cádiz</v>
      </c>
      <c r="I524" s="33" t="str">
        <f ca="1">IFERROR(__xludf.DUMMYFUNCTION("""COMPUTED_VALUE"""),"C202531712235115")</f>
        <v>C202531712235115</v>
      </c>
      <c r="J524" s="33" t="str">
        <f ca="1">IFERROR(__xludf.DUMMYFUNCTION("""COMPUTED_VALUE"""),"EMILIA BENEYTO MELIA")</f>
        <v>EMILIA BENEYTO MELIA</v>
      </c>
      <c r="K524" s="33">
        <f ca="1">IFERROR(__xludf.DUMMYFUNCTION("""COMPUTED_VALUE"""),1)</f>
        <v>1</v>
      </c>
      <c r="L524" s="203">
        <f ca="1">IFERROR(__xludf.DUMMYFUNCTION("""COMPUTED_VALUE"""),2400)</f>
        <v>2400</v>
      </c>
      <c r="M524" s="33" t="str">
        <f ca="1">IFERROR(__xludf.DUMMYFUNCTION("""COMPUTED_VALUE"""),"03 ORL")</f>
        <v>03 ORL</v>
      </c>
      <c r="N524" s="33" t="str">
        <f ca="1">IFERROR(__xludf.DUMMYFUNCTION("""COMPUTED_VALUE"""),"06 ORL")</f>
        <v>06 ORL</v>
      </c>
      <c r="O524" s="33" t="str">
        <f ca="1">IFERROR(__xludf.DUMMYFUNCTION("""COMPUTED_VALUE"""),"Dr, Jean Franco Intraprendente Martini")</f>
        <v>Dr, Jean Franco Intraprendente Martini</v>
      </c>
      <c r="P524" s="33" t="str">
        <f ca="1">IFERROR(__xludf.DUMMYFUNCTION("""COMPUTED_VALUE"""),"Ramon Ferrando(Valencia)")</f>
        <v>Ramon Ferrando(Valencia)</v>
      </c>
    </row>
    <row r="525" spans="2:16">
      <c r="B525" s="33">
        <f ca="1">IFERROR(__xludf.DUMMYFUNCTION("""COMPUTED_VALUE"""),2025)</f>
        <v>2025</v>
      </c>
      <c r="C525" s="33">
        <f ca="1">IFERROR(__xludf.DUMMYFUNCTION("""COMPUTED_VALUE"""),4)</f>
        <v>4</v>
      </c>
      <c r="D525" s="33" t="str">
        <f ca="1">IFERROR(__xludf.DUMMYFUNCTION("""COMPUTED_VALUE"""),"NO")</f>
        <v>NO</v>
      </c>
      <c r="E525" s="33" t="str">
        <f ca="1">IFERROR(__xludf.DUMMYFUNCTION("""COMPUTED_VALUE"""),"Cáceres")</f>
        <v>Cáceres</v>
      </c>
      <c r="F525" s="57">
        <f ca="1">IFERROR(__xludf.DUMMYFUNCTION("""COMPUTED_VALUE"""),45763)</f>
        <v>45763</v>
      </c>
      <c r="G525" s="57">
        <f ca="1">IFERROR(__xludf.DUMMYFUNCTION("""COMPUTED_VALUE"""),45737)</f>
        <v>45737</v>
      </c>
      <c r="H525" s="33" t="str">
        <f ca="1">IFERROR(__xludf.DUMMYFUNCTION("""COMPUTED_VALUE"""),"Cáceres")</f>
        <v>Cáceres</v>
      </c>
      <c r="I525" s="33" t="str">
        <f ca="1">IFERROR(__xludf.DUMMYFUNCTION("""COMPUTED_VALUE"""),"CAC-253")</f>
        <v>CAC-253</v>
      </c>
      <c r="J525" s="33" t="str">
        <f ca="1">IFERROR(__xludf.DUMMYFUNCTION("""COMPUTED_VALUE"""),"SAMUEL OLIVERA BARRUECO")</f>
        <v>SAMUEL OLIVERA BARRUECO</v>
      </c>
      <c r="K525" s="33">
        <f ca="1">IFERROR(__xludf.DUMMYFUNCTION("""COMPUTED_VALUE"""),2)</f>
        <v>2</v>
      </c>
      <c r="L525" s="203">
        <f ca="1">IFERROR(__xludf.DUMMYFUNCTION("""COMPUTED_VALUE"""),4295.45)</f>
        <v>4295.45</v>
      </c>
      <c r="M525" s="33" t="str">
        <f ca="1">IFERROR(__xludf.DUMMYFUNCTION("""COMPUTED_VALUE"""),"03 ORL")</f>
        <v>03 ORL</v>
      </c>
      <c r="N525" s="33" t="str">
        <f ca="1">IFERROR(__xludf.DUMMYFUNCTION("""COMPUTED_VALUE"""),"06 ORL")</f>
        <v>06 ORL</v>
      </c>
      <c r="O525" s="33" t="str">
        <f ca="1">IFERROR(__xludf.DUMMYFUNCTION("""COMPUTED_VALUE"""),"Dr, Manuel Cañete Domínguez")</f>
        <v>Dr, Manuel Cañete Domínguez</v>
      </c>
      <c r="P525" s="33" t="str">
        <f ca="1">IFERROR(__xludf.DUMMYFUNCTION("""COMPUTED_VALUE"""),"Lisandro Russian (Madrid, Cáceres, Toledo, Talavera Y Logroño)")</f>
        <v>Lisandro Russian (Madrid, Cáceres, Toledo, Talavera Y Logroño)</v>
      </c>
    </row>
    <row r="526" spans="2:16">
      <c r="B526" s="33">
        <f ca="1">IFERROR(__xludf.DUMMYFUNCTION("""COMPUTED_VALUE"""),2025)</f>
        <v>2025</v>
      </c>
      <c r="C526" s="33">
        <f ca="1">IFERROR(__xludf.DUMMYFUNCTION("""COMPUTED_VALUE"""),4)</f>
        <v>4</v>
      </c>
      <c r="D526" s="33" t="str">
        <f ca="1">IFERROR(__xludf.DUMMYFUNCTION("""COMPUTED_VALUE"""),"NO")</f>
        <v>NO</v>
      </c>
      <c r="E526" s="33" t="str">
        <f ca="1">IFERROR(__xludf.DUMMYFUNCTION("""COMPUTED_VALUE"""),"Zaragoza- León XIII")</f>
        <v>Zaragoza- León XIII</v>
      </c>
      <c r="F526" s="57">
        <f ca="1">IFERROR(__xludf.DUMMYFUNCTION("""COMPUTED_VALUE"""),45764)</f>
        <v>45764</v>
      </c>
      <c r="G526" s="57">
        <f ca="1">IFERROR(__xludf.DUMMYFUNCTION("""COMPUTED_VALUE"""),45734)</f>
        <v>45734</v>
      </c>
      <c r="H526" s="33" t="str">
        <f ca="1">IFERROR(__xludf.DUMMYFUNCTION("""COMPUTED_VALUE"""),"Zaragoza")</f>
        <v>Zaragoza</v>
      </c>
      <c r="I526" s="33" t="str">
        <f ca="1">IFERROR(__xludf.DUMMYFUNCTION("""COMPUTED_VALUE"""),"ZRG-603")</f>
        <v>ZRG-603</v>
      </c>
      <c r="J526" s="33" t="str">
        <f ca="1">IFERROR(__xludf.DUMMYFUNCTION("""COMPUTED_VALUE"""),"Mª ANGELES MORENO MEDINA")</f>
        <v>Mª ANGELES MORENO MEDINA</v>
      </c>
      <c r="K526" s="33">
        <f ca="1">IFERROR(__xludf.DUMMYFUNCTION("""COMPUTED_VALUE"""),2)</f>
        <v>2</v>
      </c>
      <c r="L526" s="203">
        <f ca="1">IFERROR(__xludf.DUMMYFUNCTION("""COMPUTED_VALUE"""),3424.55)</f>
        <v>3424.55</v>
      </c>
      <c r="M526" s="33" t="str">
        <f ca="1">IFERROR(__xludf.DUMMYFUNCTION("""COMPUTED_VALUE"""),"03 ORL")</f>
        <v>03 ORL</v>
      </c>
      <c r="N526" s="33" t="str">
        <f ca="1">IFERROR(__xludf.DUMMYFUNCTION("""COMPUTED_VALUE"""),"06 ORL")</f>
        <v>06 ORL</v>
      </c>
      <c r="O526" s="33" t="str">
        <f ca="1">IFERROR(__xludf.DUMMYFUNCTION("""COMPUTED_VALUE"""),"Dra, María José Naya Gálvez")</f>
        <v>Dra, María José Naya Gálvez</v>
      </c>
      <c r="P526" s="33" t="str">
        <f ca="1">IFERROR(__xludf.DUMMYFUNCTION("""COMPUTED_VALUE"""),"Lisandro Russian (Madrid, Cáceres, Toledo, Talavera Y Logroño)")</f>
        <v>Lisandro Russian (Madrid, Cáceres, Toledo, Talavera Y Logroño)</v>
      </c>
    </row>
    <row r="527" spans="2:16">
      <c r="B527" s="33">
        <f ca="1">IFERROR(__xludf.DUMMYFUNCTION("""COMPUTED_VALUE"""),2025)</f>
        <v>2025</v>
      </c>
      <c r="C527" s="33">
        <f ca="1">IFERROR(__xludf.DUMMYFUNCTION("""COMPUTED_VALUE"""),4)</f>
        <v>4</v>
      </c>
      <c r="D527" s="33" t="str">
        <f ca="1">IFERROR(__xludf.DUMMYFUNCTION("""COMPUTED_VALUE"""),"NO")</f>
        <v>NO</v>
      </c>
      <c r="E527" s="33" t="str">
        <f ca="1">IFERROR(__xludf.DUMMYFUNCTION("""COMPUTED_VALUE"""),"Getafe")</f>
        <v>Getafe</v>
      </c>
      <c r="F527" s="57">
        <f ca="1">IFERROR(__xludf.DUMMYFUNCTION("""COMPUTED_VALUE"""),45768)</f>
        <v>45768</v>
      </c>
      <c r="G527" s="57">
        <f ca="1">IFERROR(__xludf.DUMMYFUNCTION("""COMPUTED_VALUE"""),45734)</f>
        <v>45734</v>
      </c>
      <c r="H527" s="33" t="str">
        <f ca="1">IFERROR(__xludf.DUMMYFUNCTION("""COMPUTED_VALUE"""),"Getafe")</f>
        <v>Getafe</v>
      </c>
      <c r="I527" s="33" t="str">
        <f ca="1">IFERROR(__xludf.DUMMYFUNCTION("""COMPUTED_VALUE"""),"C202532511356291")</f>
        <v>C202532511356291</v>
      </c>
      <c r="J527" s="33" t="str">
        <f ca="1">IFERROR(__xludf.DUMMYFUNCTION("""COMPUTED_VALUE"""),"MARIA CONCEPCION CABRERA AGUDO")</f>
        <v>MARIA CONCEPCION CABRERA AGUDO</v>
      </c>
      <c r="K527" s="33">
        <f ca="1">IFERROR(__xludf.DUMMYFUNCTION("""COMPUTED_VALUE"""),2)</f>
        <v>2</v>
      </c>
      <c r="L527" s="203">
        <f ca="1">IFERROR(__xludf.DUMMYFUNCTION("""COMPUTED_VALUE"""),3524.5)</f>
        <v>3524.5</v>
      </c>
      <c r="M527" s="33" t="str">
        <f ca="1">IFERROR(__xludf.DUMMYFUNCTION("""COMPUTED_VALUE"""),"03 ORL")</f>
        <v>03 ORL</v>
      </c>
      <c r="N527" s="33" t="str">
        <f ca="1">IFERROR(__xludf.DUMMYFUNCTION("""COMPUTED_VALUE"""),"06 ORL")</f>
        <v>06 ORL</v>
      </c>
      <c r="O527" s="33" t="str">
        <f ca="1">IFERROR(__xludf.DUMMYFUNCTION("""COMPUTED_VALUE"""),"Dr, Antonio Rodríguez Rivero")</f>
        <v>Dr, Antonio Rodríguez Rivero</v>
      </c>
      <c r="P527" s="33" t="str">
        <f ca="1">IFERROR(__xludf.DUMMYFUNCTION("""COMPUTED_VALUE"""),"Maika Blázquez (Madrid)")</f>
        <v>Maika Blázquez (Madrid)</v>
      </c>
    </row>
    <row r="528" spans="2:16">
      <c r="B528" s="33">
        <f ca="1">IFERROR(__xludf.DUMMYFUNCTION("""COMPUTED_VALUE"""),2025)</f>
        <v>2025</v>
      </c>
      <c r="C528" s="33">
        <f ca="1">IFERROR(__xludf.DUMMYFUNCTION("""COMPUTED_VALUE"""),4)</f>
        <v>4</v>
      </c>
      <c r="D528" s="33" t="str">
        <f ca="1">IFERROR(__xludf.DUMMYFUNCTION("""COMPUTED_VALUE"""),"NO")</f>
        <v>NO</v>
      </c>
      <c r="E528" s="33" t="str">
        <f ca="1">IFERROR(__xludf.DUMMYFUNCTION("""COMPUTED_VALUE"""),"Jerez de la Frontera")</f>
        <v>Jerez de la Frontera</v>
      </c>
      <c r="F528" s="57">
        <f ca="1">IFERROR(__xludf.DUMMYFUNCTION("""COMPUTED_VALUE"""),45768)</f>
        <v>45768</v>
      </c>
      <c r="G528" s="57">
        <f ca="1">IFERROR(__xludf.DUMMYFUNCTION("""COMPUTED_VALUE"""),45743)</f>
        <v>45743</v>
      </c>
      <c r="H528" s="33" t="str">
        <f ca="1">IFERROR(__xludf.DUMMYFUNCTION("""COMPUTED_VALUE"""),"Jerez")</f>
        <v>Jerez</v>
      </c>
      <c r="I528" s="33" t="str">
        <f ca="1">IFERROR(__xludf.DUMMYFUNCTION("""COMPUTED_VALUE"""),"C2025327161344767")</f>
        <v>C2025327161344767</v>
      </c>
      <c r="J528" s="33" t="str">
        <f ca="1">IFERROR(__xludf.DUMMYFUNCTION("""COMPUTED_VALUE"""),"MARIA DEL CARMEN ANTON RODRIGUEZ")</f>
        <v>MARIA DEL CARMEN ANTON RODRIGUEZ</v>
      </c>
      <c r="K528" s="33">
        <f ca="1">IFERROR(__xludf.DUMMYFUNCTION("""COMPUTED_VALUE"""),1)</f>
        <v>1</v>
      </c>
      <c r="L528" s="203">
        <f ca="1">IFERROR(__xludf.DUMMYFUNCTION("""COMPUTED_VALUE"""),2226.36)</f>
        <v>2226.36</v>
      </c>
      <c r="M528" s="33" t="str">
        <f ca="1">IFERROR(__xludf.DUMMYFUNCTION("""COMPUTED_VALUE"""),"03 ORL")</f>
        <v>03 ORL</v>
      </c>
      <c r="N528" s="33" t="str">
        <f ca="1">IFERROR(__xludf.DUMMYFUNCTION("""COMPUTED_VALUE"""),"06 ORL")</f>
        <v>06 ORL</v>
      </c>
      <c r="O528" s="33" t="str">
        <f ca="1">IFERROR(__xludf.DUMMYFUNCTION("""COMPUTED_VALUE"""),"Dr, Guillermo Sierra Galera")</f>
        <v>Dr, Guillermo Sierra Galera</v>
      </c>
      <c r="P528" s="33" t="str">
        <f ca="1">IFERROR(__xludf.DUMMYFUNCTION("""COMPUTED_VALUE"""),"Luis Alberto Rodríguez (Andalucía Y Badajoz)")</f>
        <v>Luis Alberto Rodríguez (Andalucía Y Badajoz)</v>
      </c>
    </row>
    <row r="529" spans="2:16">
      <c r="B529" s="33">
        <f ca="1">IFERROR(__xludf.DUMMYFUNCTION("""COMPUTED_VALUE"""),2025)</f>
        <v>2025</v>
      </c>
      <c r="C529" s="33">
        <f ca="1">IFERROR(__xludf.DUMMYFUNCTION("""COMPUTED_VALUE"""),4)</f>
        <v>4</v>
      </c>
      <c r="D529" s="33" t="str">
        <f ca="1">IFERROR(__xludf.DUMMYFUNCTION("""COMPUTED_VALUE"""),"NO")</f>
        <v>NO</v>
      </c>
      <c r="E529" s="33" t="str">
        <f ca="1">IFERROR(__xludf.DUMMYFUNCTION("""COMPUTED_VALUE"""),"Madrid- Canillas")</f>
        <v>Madrid- Canillas</v>
      </c>
      <c r="F529" s="57">
        <f ca="1">IFERROR(__xludf.DUMMYFUNCTION("""COMPUTED_VALUE"""),45768)</f>
        <v>45768</v>
      </c>
      <c r="G529" s="57">
        <f ca="1">IFERROR(__xludf.DUMMYFUNCTION("""COMPUTED_VALUE"""),45747)</f>
        <v>45747</v>
      </c>
      <c r="H529" s="33" t="str">
        <f ca="1">IFERROR(__xludf.DUMMYFUNCTION("""COMPUTED_VALUE"""),"Canillas")</f>
        <v>Canillas</v>
      </c>
      <c r="I529" s="33" t="str">
        <f ca="1">IFERROR(__xludf.DUMMYFUNCTION("""COMPUTED_VALUE"""),"C202543105545980")</f>
        <v>C202543105545980</v>
      </c>
      <c r="J529" s="33" t="str">
        <f ca="1">IFERROR(__xludf.DUMMYFUNCTION("""COMPUTED_VALUE"""),"ESTEBAN GUTIERREZ DIAZ")</f>
        <v>ESTEBAN GUTIERREZ DIAZ</v>
      </c>
      <c r="K529" s="33">
        <f ca="1">IFERROR(__xludf.DUMMYFUNCTION("""COMPUTED_VALUE"""),2)</f>
        <v>2</v>
      </c>
      <c r="L529" s="203">
        <f ca="1">IFERROR(__xludf.DUMMYFUNCTION("""COMPUTED_VALUE"""),4000)</f>
        <v>4000</v>
      </c>
      <c r="M529" s="33" t="str">
        <f ca="1">IFERROR(__xludf.DUMMYFUNCTION("""COMPUTED_VALUE"""),"03 ORL")</f>
        <v>03 ORL</v>
      </c>
      <c r="N529" s="33" t="str">
        <f ca="1">IFERROR(__xludf.DUMMYFUNCTION("""COMPUTED_VALUE"""),"06 ORL")</f>
        <v>06 ORL</v>
      </c>
      <c r="O529" s="33" t="str">
        <f ca="1">IFERROR(__xludf.DUMMYFUNCTION("""COMPUTED_VALUE"""),"Dr, José Gustavo Barroso Braojos")</f>
        <v>Dr, José Gustavo Barroso Braojos</v>
      </c>
      <c r="P529" s="33" t="str">
        <f ca="1">IFERROR(__xludf.DUMMYFUNCTION("""COMPUTED_VALUE"""),"Maika Blázquez (Madrid)")</f>
        <v>Maika Blázquez (Madrid)</v>
      </c>
    </row>
    <row r="530" spans="2:16">
      <c r="B530" s="33">
        <f ca="1">IFERROR(__xludf.DUMMYFUNCTION("""COMPUTED_VALUE"""),2025)</f>
        <v>2025</v>
      </c>
      <c r="C530" s="33">
        <f ca="1">IFERROR(__xludf.DUMMYFUNCTION("""COMPUTED_VALUE"""),4)</f>
        <v>4</v>
      </c>
      <c r="D530" s="33" t="str">
        <f ca="1">IFERROR(__xludf.DUMMYFUNCTION("""COMPUTED_VALUE"""),"NO")</f>
        <v>NO</v>
      </c>
      <c r="E530" s="33" t="str">
        <f ca="1">IFERROR(__xludf.DUMMYFUNCTION("""COMPUTED_VALUE"""),"Talavera")</f>
        <v>Talavera</v>
      </c>
      <c r="F530" s="57">
        <f ca="1">IFERROR(__xludf.DUMMYFUNCTION("""COMPUTED_VALUE"""),45768)</f>
        <v>45768</v>
      </c>
      <c r="G530" s="57">
        <f ca="1">IFERROR(__xludf.DUMMYFUNCTION("""COMPUTED_VALUE"""),45747)</f>
        <v>45747</v>
      </c>
      <c r="H530" s="33" t="str">
        <f ca="1">IFERROR(__xludf.DUMMYFUNCTION("""COMPUTED_VALUE"""),"Talavera")</f>
        <v>Talavera</v>
      </c>
      <c r="I530" s="33" t="str">
        <f ca="1">IFERROR(__xludf.DUMMYFUNCTION("""COMPUTED_VALUE"""),"C20254785434864")</f>
        <v>C20254785434864</v>
      </c>
      <c r="J530" s="33" t="str">
        <f ca="1">IFERROR(__xludf.DUMMYFUNCTION("""COMPUTED_VALUE"""),"SALVADOR AGUILAR GARCIA DE LAS HIJAS")</f>
        <v>SALVADOR AGUILAR GARCIA DE LAS HIJAS</v>
      </c>
      <c r="K530" s="33">
        <f ca="1">IFERROR(__xludf.DUMMYFUNCTION("""COMPUTED_VALUE"""),2)</f>
        <v>2</v>
      </c>
      <c r="L530" s="203">
        <f ca="1">IFERROR(__xludf.DUMMYFUNCTION("""COMPUTED_VALUE"""),3710)</f>
        <v>3710</v>
      </c>
      <c r="M530" s="33" t="str">
        <f ca="1">IFERROR(__xludf.DUMMYFUNCTION("""COMPUTED_VALUE"""),"03 ORL")</f>
        <v>03 ORL</v>
      </c>
      <c r="N530" s="33" t="str">
        <f ca="1">IFERROR(__xludf.DUMMYFUNCTION("""COMPUTED_VALUE"""),"06 ORL")</f>
        <v>06 ORL</v>
      </c>
      <c r="O530" s="33" t="str">
        <f ca="1">IFERROR(__xludf.DUMMYFUNCTION("""COMPUTED_VALUE"""),"Dra, Natalia Gisseth Pulido Fonseca")</f>
        <v>Dra, Natalia Gisseth Pulido Fonseca</v>
      </c>
      <c r="P530" s="33" t="str">
        <f ca="1">IFERROR(__xludf.DUMMYFUNCTION("""COMPUTED_VALUE"""),"Lisandro Russian (Madrid, Cáceres, Toledo, Talavera Y Logroño)")</f>
        <v>Lisandro Russian (Madrid, Cáceres, Toledo, Talavera Y Logroño)</v>
      </c>
    </row>
    <row r="531" spans="2:16">
      <c r="B531" s="33">
        <f ca="1">IFERROR(__xludf.DUMMYFUNCTION("""COMPUTED_VALUE"""),2025)</f>
        <v>2025</v>
      </c>
      <c r="C531" s="33">
        <f ca="1">IFERROR(__xludf.DUMMYFUNCTION("""COMPUTED_VALUE"""),4)</f>
        <v>4</v>
      </c>
      <c r="D531" s="33" t="str">
        <f ca="1">IFERROR(__xludf.DUMMYFUNCTION("""COMPUTED_VALUE"""),"NO")</f>
        <v>NO</v>
      </c>
      <c r="E531" s="33" t="str">
        <f ca="1">IFERROR(__xludf.DUMMYFUNCTION("""COMPUTED_VALUE"""),"Salamanca")</f>
        <v>Salamanca</v>
      </c>
      <c r="F531" s="57">
        <f ca="1">IFERROR(__xludf.DUMMYFUNCTION("""COMPUTED_VALUE"""),45768)</f>
        <v>45768</v>
      </c>
      <c r="G531" s="57">
        <f ca="1">IFERROR(__xludf.DUMMYFUNCTION("""COMPUTED_VALUE"""),45720)</f>
        <v>45720</v>
      </c>
      <c r="H531" s="33" t="str">
        <f ca="1">IFERROR(__xludf.DUMMYFUNCTION("""COMPUTED_VALUE"""),"Salamanca")</f>
        <v>Salamanca</v>
      </c>
      <c r="I531" s="33" t="str">
        <f ca="1">IFERROR(__xludf.DUMMYFUNCTION("""COMPUTED_VALUE"""),"SLM-495")</f>
        <v>SLM-495</v>
      </c>
      <c r="J531" s="33" t="str">
        <f ca="1">IFERROR(__xludf.DUMMYFUNCTION("""COMPUTED_VALUE"""),"ELENA GONZALEZ PRIETO")</f>
        <v>ELENA GONZALEZ PRIETO</v>
      </c>
      <c r="K531" s="33">
        <f ca="1">IFERROR(__xludf.DUMMYFUNCTION("""COMPUTED_VALUE"""),2)</f>
        <v>2</v>
      </c>
      <c r="L531" s="203">
        <f ca="1">IFERROR(__xludf.DUMMYFUNCTION("""COMPUTED_VALUE"""),3604.55)</f>
        <v>3604.55</v>
      </c>
      <c r="M531" s="33" t="str">
        <f ca="1">IFERROR(__xludf.DUMMYFUNCTION("""COMPUTED_VALUE"""),"03 ORL")</f>
        <v>03 ORL</v>
      </c>
      <c r="N531" s="33" t="str">
        <f ca="1">IFERROR(__xludf.DUMMYFUNCTION("""COMPUTED_VALUE"""),"06 ORL")</f>
        <v>06 ORL</v>
      </c>
      <c r="O531" s="33" t="str">
        <f ca="1">IFERROR(__xludf.DUMMYFUNCTION("""COMPUTED_VALUE"""),"Dr, María Jesús Cornejo Domínguez")</f>
        <v>Dr, María Jesús Cornejo Domínguez</v>
      </c>
      <c r="P531" s="33" t="str">
        <f ca="1">IFERROR(__xludf.DUMMYFUNCTION("""COMPUTED_VALUE"""),"Patricia Solache (Castilla Y León)")</f>
        <v>Patricia Solache (Castilla Y León)</v>
      </c>
    </row>
    <row r="532" spans="2:16">
      <c r="B532" s="33">
        <f ca="1">IFERROR(__xludf.DUMMYFUNCTION("""COMPUTED_VALUE"""),2025)</f>
        <v>2025</v>
      </c>
      <c r="C532" s="33">
        <f ca="1">IFERROR(__xludf.DUMMYFUNCTION("""COMPUTED_VALUE"""),4)</f>
        <v>4</v>
      </c>
      <c r="D532" s="33" t="str">
        <f ca="1">IFERROR(__xludf.DUMMYFUNCTION("""COMPUTED_VALUE"""),"NO")</f>
        <v>NO</v>
      </c>
      <c r="E532" s="33" t="str">
        <f ca="1">IFERROR(__xludf.DUMMYFUNCTION("""COMPUTED_VALUE"""),"Badajoz")</f>
        <v>Badajoz</v>
      </c>
      <c r="F532" s="57">
        <f ca="1">IFERROR(__xludf.DUMMYFUNCTION("""COMPUTED_VALUE"""),45768)</f>
        <v>45768</v>
      </c>
      <c r="G532" s="57">
        <f ca="1">IFERROR(__xludf.DUMMYFUNCTION("""COMPUTED_VALUE"""),45723)</f>
        <v>45723</v>
      </c>
      <c r="H532" s="33" t="str">
        <f ca="1">IFERROR(__xludf.DUMMYFUNCTION("""COMPUTED_VALUE"""),"Badajoz")</f>
        <v>Badajoz</v>
      </c>
      <c r="I532" s="33" t="str">
        <f ca="1">IFERROR(__xludf.DUMMYFUNCTION("""COMPUTED_VALUE"""),"BJZE-2472")</f>
        <v>BJZE-2472</v>
      </c>
      <c r="J532" s="33" t="str">
        <f ca="1">IFERROR(__xludf.DUMMYFUNCTION("""COMPUTED_VALUE"""),"JUANA VAZQUEZ SALGUERO")</f>
        <v>JUANA VAZQUEZ SALGUERO</v>
      </c>
      <c r="K532" s="33">
        <f ca="1">IFERROR(__xludf.DUMMYFUNCTION("""COMPUTED_VALUE"""),2)</f>
        <v>2</v>
      </c>
      <c r="L532" s="203">
        <f ca="1">IFERROR(__xludf.DUMMYFUNCTION("""COMPUTED_VALUE"""),2181.82)</f>
        <v>2181.8200000000002</v>
      </c>
      <c r="M532" s="33" t="str">
        <f ca="1">IFERROR(__xludf.DUMMYFUNCTION("""COMPUTED_VALUE"""),"03 ORL")</f>
        <v>03 ORL</v>
      </c>
      <c r="N532" s="33" t="str">
        <f ca="1">IFERROR(__xludf.DUMMYFUNCTION("""COMPUTED_VALUE"""),"06 ORL")</f>
        <v>06 ORL</v>
      </c>
      <c r="O532" s="33" t="str">
        <f ca="1">IFERROR(__xludf.DUMMYFUNCTION("""COMPUTED_VALUE"""),"Dr, Isidoro Rubio Correa")</f>
        <v>Dr, Isidoro Rubio Correa</v>
      </c>
      <c r="P532" s="33" t="str">
        <f ca="1">IFERROR(__xludf.DUMMYFUNCTION("""COMPUTED_VALUE"""),"Luis Alberto Rodríguez (Andalucía Y Badajoz)")</f>
        <v>Luis Alberto Rodríguez (Andalucía Y Badajoz)</v>
      </c>
    </row>
    <row r="533" spans="2:16">
      <c r="B533" s="33">
        <f ca="1">IFERROR(__xludf.DUMMYFUNCTION("""COMPUTED_VALUE"""),2025)</f>
        <v>2025</v>
      </c>
      <c r="C533" s="33">
        <f ca="1">IFERROR(__xludf.DUMMYFUNCTION("""COMPUTED_VALUE"""),4)</f>
        <v>4</v>
      </c>
      <c r="D533" s="33" t="str">
        <f ca="1">IFERROR(__xludf.DUMMYFUNCTION("""COMPUTED_VALUE"""),"NO")</f>
        <v>NO</v>
      </c>
      <c r="E533" s="33" t="str">
        <f ca="1">IFERROR(__xludf.DUMMYFUNCTION("""COMPUTED_VALUE"""),"Culleredo")</f>
        <v>Culleredo</v>
      </c>
      <c r="F533" s="57">
        <f ca="1">IFERROR(__xludf.DUMMYFUNCTION("""COMPUTED_VALUE"""),45768)</f>
        <v>45768</v>
      </c>
      <c r="G533" s="57">
        <f ca="1">IFERROR(__xludf.DUMMYFUNCTION("""COMPUTED_VALUE"""),45726)</f>
        <v>45726</v>
      </c>
      <c r="H533" s="33" t="str">
        <f ca="1">IFERROR(__xludf.DUMMYFUNCTION("""COMPUTED_VALUE"""),"Culleredo")</f>
        <v>Culleredo</v>
      </c>
      <c r="I533" s="33" t="str">
        <f ca="1">IFERROR(__xludf.DUMMYFUNCTION("""COMPUTED_VALUE"""),"CULL-179")</f>
        <v>CULL-179</v>
      </c>
      <c r="J533" s="33" t="str">
        <f ca="1">IFERROR(__xludf.DUMMYFUNCTION("""COMPUTED_VALUE"""),"MANUEL AMADO VAZQUEZ")</f>
        <v>MANUEL AMADO VAZQUEZ</v>
      </c>
      <c r="K533" s="33">
        <f ca="1">IFERROR(__xludf.DUMMYFUNCTION("""COMPUTED_VALUE"""),1)</f>
        <v>1</v>
      </c>
      <c r="L533" s="203">
        <f ca="1">IFERROR(__xludf.DUMMYFUNCTION("""COMPUTED_VALUE"""),1927.27)</f>
        <v>1927.27</v>
      </c>
      <c r="M533" s="33" t="str">
        <f ca="1">IFERROR(__xludf.DUMMYFUNCTION("""COMPUTED_VALUE"""),"03 ORL")</f>
        <v>03 ORL</v>
      </c>
      <c r="N533" s="33" t="str">
        <f ca="1">IFERROR(__xludf.DUMMYFUNCTION("""COMPUTED_VALUE"""),"06 ORL")</f>
        <v>06 ORL</v>
      </c>
      <c r="O533" s="33" t="str">
        <f ca="1">IFERROR(__xludf.DUMMYFUNCTION("""COMPUTED_VALUE"""),"Dr, Miguel Mayo Yáñez")</f>
        <v>Dr, Miguel Mayo Yáñez</v>
      </c>
      <c r="P533" s="33" t="str">
        <f ca="1">IFERROR(__xludf.DUMMYFUNCTION("""COMPUTED_VALUE"""),"Roberto Pereira (Galicia)")</f>
        <v>Roberto Pereira (Galicia)</v>
      </c>
    </row>
    <row r="534" spans="2:16">
      <c r="B534" s="33">
        <f ca="1">IFERROR(__xludf.DUMMYFUNCTION("""COMPUTED_VALUE"""),2025)</f>
        <v>2025</v>
      </c>
      <c r="C534" s="33">
        <f ca="1">IFERROR(__xludf.DUMMYFUNCTION("""COMPUTED_VALUE"""),4)</f>
        <v>4</v>
      </c>
      <c r="D534" s="33" t="str">
        <f ca="1">IFERROR(__xludf.DUMMYFUNCTION("""COMPUTED_VALUE"""),"NO")</f>
        <v>NO</v>
      </c>
      <c r="E534" s="33" t="str">
        <f ca="1">IFERROR(__xludf.DUMMYFUNCTION("""COMPUTED_VALUE"""),"Boiro")</f>
        <v>Boiro</v>
      </c>
      <c r="F534" s="57">
        <f ca="1">IFERROR(__xludf.DUMMYFUNCTION("""COMPUTED_VALUE"""),45768)</f>
        <v>45768</v>
      </c>
      <c r="G534" s="57">
        <f ca="1">IFERROR(__xludf.DUMMYFUNCTION("""COMPUTED_VALUE"""),45747)</f>
        <v>45747</v>
      </c>
      <c r="H534" s="33" t="str">
        <f ca="1">IFERROR(__xludf.DUMMYFUNCTION("""COMPUTED_VALUE"""),"Boiro")</f>
        <v>Boiro</v>
      </c>
      <c r="I534" s="33" t="str">
        <f ca="1">IFERROR(__xludf.DUMMYFUNCTION("""COMPUTED_VALUE"""),"BOI-951")</f>
        <v>BOI-951</v>
      </c>
      <c r="J534" s="33" t="str">
        <f ca="1">IFERROR(__xludf.DUMMYFUNCTION("""COMPUTED_VALUE"""),"RAMONA ALCALDE BLANCO")</f>
        <v>RAMONA ALCALDE BLANCO</v>
      </c>
      <c r="K534" s="33">
        <f ca="1">IFERROR(__xludf.DUMMYFUNCTION("""COMPUTED_VALUE"""),2)</f>
        <v>2</v>
      </c>
      <c r="L534" s="203">
        <f ca="1">IFERROR(__xludf.DUMMYFUNCTION("""COMPUTED_VALUE"""),2627.27)</f>
        <v>2627.27</v>
      </c>
      <c r="M534" s="33" t="str">
        <f ca="1">IFERROR(__xludf.DUMMYFUNCTION("""COMPUTED_VALUE"""),"03 ORL")</f>
        <v>03 ORL</v>
      </c>
      <c r="N534" s="33" t="str">
        <f ca="1">IFERROR(__xludf.DUMMYFUNCTION("""COMPUTED_VALUE"""),"06 ORL")</f>
        <v>06 ORL</v>
      </c>
      <c r="O534" s="33" t="str">
        <f ca="1">IFERROR(__xludf.DUMMYFUNCTION("""COMPUTED_VALUE"""),"Dra, Isabel Pensado Banet")</f>
        <v>Dra, Isabel Pensado Banet</v>
      </c>
      <c r="P534" s="33" t="str">
        <f ca="1">IFERROR(__xludf.DUMMYFUNCTION("""COMPUTED_VALUE"""),"Roberto Pereira (Galicia)")</f>
        <v>Roberto Pereira (Galicia)</v>
      </c>
    </row>
    <row r="535" spans="2:16">
      <c r="B535" s="33">
        <f ca="1">IFERROR(__xludf.DUMMYFUNCTION("""COMPUTED_VALUE"""),2025)</f>
        <v>2025</v>
      </c>
      <c r="C535" s="33">
        <f ca="1">IFERROR(__xludf.DUMMYFUNCTION("""COMPUTED_VALUE"""),4)</f>
        <v>4</v>
      </c>
      <c r="D535" s="33" t="str">
        <f ca="1">IFERROR(__xludf.DUMMYFUNCTION("""COMPUTED_VALUE"""),"NO")</f>
        <v>NO</v>
      </c>
      <c r="E535" s="33" t="str">
        <f ca="1">IFERROR(__xludf.DUMMYFUNCTION("""COMPUTED_VALUE"""),"Leganés")</f>
        <v>Leganés</v>
      </c>
      <c r="F535" s="57">
        <f ca="1">IFERROR(__xludf.DUMMYFUNCTION("""COMPUTED_VALUE"""),45769)</f>
        <v>45769</v>
      </c>
      <c r="G535" s="57">
        <f ca="1">IFERROR(__xludf.DUMMYFUNCTION("""COMPUTED_VALUE"""),45734)</f>
        <v>45734</v>
      </c>
      <c r="H535" s="33" t="str">
        <f ca="1">IFERROR(__xludf.DUMMYFUNCTION("""COMPUTED_VALUE"""),"Leganés")</f>
        <v>Leganés</v>
      </c>
      <c r="I535" s="33" t="str">
        <f ca="1">IFERROR(__xludf.DUMMYFUNCTION("""COMPUTED_VALUE"""),"C202532510337339")</f>
        <v>C202532510337339</v>
      </c>
      <c r="J535" s="33" t="str">
        <f ca="1">IFERROR(__xludf.DUMMYFUNCTION("""COMPUTED_VALUE"""),"ISABEL MARTINEZ GRANIZO")</f>
        <v>ISABEL MARTINEZ GRANIZO</v>
      </c>
      <c r="K535" s="33">
        <f ca="1">IFERROR(__xludf.DUMMYFUNCTION("""COMPUTED_VALUE"""),1)</f>
        <v>1</v>
      </c>
      <c r="L535" s="203">
        <f ca="1">IFERROR(__xludf.DUMMYFUNCTION("""COMPUTED_VALUE"""),2400)</f>
        <v>2400</v>
      </c>
      <c r="M535" s="33" t="str">
        <f ca="1">IFERROR(__xludf.DUMMYFUNCTION("""COMPUTED_VALUE"""),"03 ORL")</f>
        <v>03 ORL</v>
      </c>
      <c r="N535" s="33" t="str">
        <f ca="1">IFERROR(__xludf.DUMMYFUNCTION("""COMPUTED_VALUE"""),"06 ORL")</f>
        <v>06 ORL</v>
      </c>
      <c r="O535" s="33" t="str">
        <f ca="1">IFERROR(__xludf.DUMMYFUNCTION("""COMPUTED_VALUE"""),"Dra, Ana Ruiz Fornells Noreña")</f>
        <v>Dra, Ana Ruiz Fornells Noreña</v>
      </c>
      <c r="P535" s="33" t="str">
        <f ca="1">IFERROR(__xludf.DUMMYFUNCTION("""COMPUTED_VALUE"""),"Maika Blázquez (Madrid)")</f>
        <v>Maika Blázquez (Madrid)</v>
      </c>
    </row>
    <row r="536" spans="2:16">
      <c r="B536" s="33">
        <f ca="1">IFERROR(__xludf.DUMMYFUNCTION("""COMPUTED_VALUE"""),2025)</f>
        <v>2025</v>
      </c>
      <c r="C536" s="33">
        <f ca="1">IFERROR(__xludf.DUMMYFUNCTION("""COMPUTED_VALUE"""),4)</f>
        <v>4</v>
      </c>
      <c r="D536" s="33" t="str">
        <f ca="1">IFERROR(__xludf.DUMMYFUNCTION("""COMPUTED_VALUE"""),"NO")</f>
        <v>NO</v>
      </c>
      <c r="E536" s="33" t="str">
        <f ca="1">IFERROR(__xludf.DUMMYFUNCTION("""COMPUTED_VALUE"""),"Madrid- Juan Bravo")</f>
        <v>Madrid- Juan Bravo</v>
      </c>
      <c r="F536" s="57">
        <f ca="1">IFERROR(__xludf.DUMMYFUNCTION("""COMPUTED_VALUE"""),45769)</f>
        <v>45769</v>
      </c>
      <c r="G536" s="57">
        <f ca="1">IFERROR(__xludf.DUMMYFUNCTION("""COMPUTED_VALUE"""),45734)</f>
        <v>45734</v>
      </c>
      <c r="H536" s="33" t="str">
        <f ca="1">IFERROR(__xludf.DUMMYFUNCTION("""COMPUTED_VALUE"""),"Juan Bravo")</f>
        <v>Juan Bravo</v>
      </c>
      <c r="I536" s="33" t="str">
        <f ca="1">IFERROR(__xludf.DUMMYFUNCTION("""COMPUTED_VALUE"""),"C2025325174736492")</f>
        <v>C2025325174736492</v>
      </c>
      <c r="J536" s="33" t="str">
        <f ca="1">IFERROR(__xludf.DUMMYFUNCTION("""COMPUTED_VALUE"""),"MERCEDES MORENO LEAL")</f>
        <v>MERCEDES MORENO LEAL</v>
      </c>
      <c r="K536" s="33">
        <f ca="1">IFERROR(__xludf.DUMMYFUNCTION("""COMPUTED_VALUE"""),1)</f>
        <v>1</v>
      </c>
      <c r="L536" s="203">
        <f ca="1">IFERROR(__xludf.DUMMYFUNCTION("""COMPUTED_VALUE"""),2400)</f>
        <v>2400</v>
      </c>
      <c r="M536" s="33" t="str">
        <f ca="1">IFERROR(__xludf.DUMMYFUNCTION("""COMPUTED_VALUE"""),"03 ORL")</f>
        <v>03 ORL</v>
      </c>
      <c r="N536" s="33" t="str">
        <f ca="1">IFERROR(__xludf.DUMMYFUNCTION("""COMPUTED_VALUE"""),"06 ORL")</f>
        <v>06 ORL</v>
      </c>
      <c r="O536" s="33" t="str">
        <f ca="1">IFERROR(__xludf.DUMMYFUNCTION("""COMPUTED_VALUE"""),"Dr, Javier García Domínguez")</f>
        <v>Dr, Javier García Domínguez</v>
      </c>
      <c r="P536" s="33" t="str">
        <f ca="1">IFERROR(__xludf.DUMMYFUNCTION("""COMPUTED_VALUE"""),"Maika Blázquez (Madrid)")</f>
        <v>Maika Blázquez (Madrid)</v>
      </c>
    </row>
    <row r="537" spans="2:16">
      <c r="B537" s="33">
        <f ca="1">IFERROR(__xludf.DUMMYFUNCTION("""COMPUTED_VALUE"""),2025)</f>
        <v>2025</v>
      </c>
      <c r="C537" s="33">
        <f ca="1">IFERROR(__xludf.DUMMYFUNCTION("""COMPUTED_VALUE"""),4)</f>
        <v>4</v>
      </c>
      <c r="D537" s="33" t="str">
        <f ca="1">IFERROR(__xludf.DUMMYFUNCTION("""COMPUTED_VALUE"""),"NO")</f>
        <v>NO</v>
      </c>
      <c r="E537" s="33" t="str">
        <f ca="1">IFERROR(__xludf.DUMMYFUNCTION("""COMPUTED_VALUE"""),"Madrid- La Oca")</f>
        <v>Madrid- La Oca</v>
      </c>
      <c r="F537" s="57">
        <f ca="1">IFERROR(__xludf.DUMMYFUNCTION("""COMPUTED_VALUE"""),45769)</f>
        <v>45769</v>
      </c>
      <c r="G537" s="57">
        <f ca="1">IFERROR(__xludf.DUMMYFUNCTION("""COMPUTED_VALUE"""),45740)</f>
        <v>45740</v>
      </c>
      <c r="H537" s="33" t="str">
        <f ca="1">IFERROR(__xludf.DUMMYFUNCTION("""COMPUTED_VALUE"""),"La Oca")</f>
        <v>La Oca</v>
      </c>
      <c r="I537" s="33" t="str">
        <f ca="1">IFERROR(__xludf.DUMMYFUNCTION("""COMPUTED_VALUE"""),"C20254117159459")</f>
        <v>C20254117159459</v>
      </c>
      <c r="J537" s="33" t="str">
        <f ca="1">IFERROR(__xludf.DUMMYFUNCTION("""COMPUTED_VALUE"""),"EMILIA GIRONDO ESPIN")</f>
        <v>EMILIA GIRONDO ESPIN</v>
      </c>
      <c r="K537" s="33">
        <f ca="1">IFERROR(__xludf.DUMMYFUNCTION("""COMPUTED_VALUE"""),2)</f>
        <v>2</v>
      </c>
      <c r="L537" s="203">
        <f ca="1">IFERROR(__xludf.DUMMYFUNCTION("""COMPUTED_VALUE"""),3524.55)</f>
        <v>3524.55</v>
      </c>
      <c r="M537" s="33" t="str">
        <f ca="1">IFERROR(__xludf.DUMMYFUNCTION("""COMPUTED_VALUE"""),"03 ORL")</f>
        <v>03 ORL</v>
      </c>
      <c r="N537" s="33" t="str">
        <f ca="1">IFERROR(__xludf.DUMMYFUNCTION("""COMPUTED_VALUE"""),"06 ORL")</f>
        <v>06 ORL</v>
      </c>
      <c r="O537" s="33" t="str">
        <f ca="1">IFERROR(__xludf.DUMMYFUNCTION("""COMPUTED_VALUE"""),"Dr, Pablo Sarrió Solera")</f>
        <v>Dr, Pablo Sarrió Solera</v>
      </c>
      <c r="P537" s="33" t="str">
        <f ca="1">IFERROR(__xludf.DUMMYFUNCTION("""COMPUTED_VALUE"""),"Lisandro Russian (Madrid, Cáceres, Toledo, Talavera Y Logroño)")</f>
        <v>Lisandro Russian (Madrid, Cáceres, Toledo, Talavera Y Logroño)</v>
      </c>
    </row>
    <row r="538" spans="2:16">
      <c r="B538" s="33">
        <f ca="1">IFERROR(__xludf.DUMMYFUNCTION("""COMPUTED_VALUE"""),2025)</f>
        <v>2025</v>
      </c>
      <c r="C538" s="33">
        <f ca="1">IFERROR(__xludf.DUMMYFUNCTION("""COMPUTED_VALUE"""),4)</f>
        <v>4</v>
      </c>
      <c r="D538" s="33" t="str">
        <f ca="1">IFERROR(__xludf.DUMMYFUNCTION("""COMPUTED_VALUE"""),"NO")</f>
        <v>NO</v>
      </c>
      <c r="E538" s="33" t="str">
        <f ca="1">IFERROR(__xludf.DUMMYFUNCTION("""COMPUTED_VALUE"""),"Ourense")</f>
        <v>Ourense</v>
      </c>
      <c r="F538" s="57">
        <f ca="1">IFERROR(__xludf.DUMMYFUNCTION("""COMPUTED_VALUE"""),45769)</f>
        <v>45769</v>
      </c>
      <c r="G538" s="57">
        <f ca="1">IFERROR(__xludf.DUMMYFUNCTION("""COMPUTED_VALUE"""),45743)</f>
        <v>45743</v>
      </c>
      <c r="H538" s="33" t="str">
        <f ca="1">IFERROR(__xludf.DUMMYFUNCTION("""COMPUTED_VALUE"""),"Orense")</f>
        <v>Orense</v>
      </c>
      <c r="I538" s="33" t="str">
        <f ca="1">IFERROR(__xludf.DUMMYFUNCTION("""COMPUTED_VALUE"""),"C202541101629813")</f>
        <v>C202541101629813</v>
      </c>
      <c r="J538" s="33" t="str">
        <f ca="1">IFERROR(__xludf.DUMMYFUNCTION("""COMPUTED_VALUE"""),"CARMEN PEREZ TOUBES")</f>
        <v>CARMEN PEREZ TOUBES</v>
      </c>
      <c r="K538" s="33">
        <f ca="1">IFERROR(__xludf.DUMMYFUNCTION("""COMPUTED_VALUE"""),2)</f>
        <v>2</v>
      </c>
      <c r="L538" s="203">
        <f ca="1">IFERROR(__xludf.DUMMYFUNCTION("""COMPUTED_VALUE"""),3710)</f>
        <v>3710</v>
      </c>
      <c r="M538" s="33" t="str">
        <f ca="1">IFERROR(__xludf.DUMMYFUNCTION("""COMPUTED_VALUE"""),"03 ORL")</f>
        <v>03 ORL</v>
      </c>
      <c r="N538" s="33" t="str">
        <f ca="1">IFERROR(__xludf.DUMMYFUNCTION("""COMPUTED_VALUE"""),"06 ORL")</f>
        <v>06 ORL</v>
      </c>
      <c r="O538" s="33" t="str">
        <f ca="1">IFERROR(__xludf.DUMMYFUNCTION("""COMPUTED_VALUE"""),"Dra, María Rey Marcos")</f>
        <v>Dra, María Rey Marcos</v>
      </c>
      <c r="P538" s="33" t="str">
        <f ca="1">IFERROR(__xludf.DUMMYFUNCTION("""COMPUTED_VALUE"""),"Roberto Pereira (Galicia)")</f>
        <v>Roberto Pereira (Galicia)</v>
      </c>
    </row>
    <row r="539" spans="2:16">
      <c r="B539" s="33">
        <f ca="1">IFERROR(__xludf.DUMMYFUNCTION("""COMPUTED_VALUE"""),2025)</f>
        <v>2025</v>
      </c>
      <c r="C539" s="33">
        <f ca="1">IFERROR(__xludf.DUMMYFUNCTION("""COMPUTED_VALUE"""),4)</f>
        <v>4</v>
      </c>
      <c r="D539" s="33" t="str">
        <f ca="1">IFERROR(__xludf.DUMMYFUNCTION("""COMPUTED_VALUE"""),"NO")</f>
        <v>NO</v>
      </c>
      <c r="E539" s="33" t="str">
        <f ca="1">IFERROR(__xludf.DUMMYFUNCTION("""COMPUTED_VALUE"""),"Torrejón de Ardoz")</f>
        <v>Torrejón de Ardoz</v>
      </c>
      <c r="F539" s="57">
        <f ca="1">IFERROR(__xludf.DUMMYFUNCTION("""COMPUTED_VALUE"""),45769)</f>
        <v>45769</v>
      </c>
      <c r="G539" s="57">
        <f ca="1">IFERROR(__xludf.DUMMYFUNCTION("""COMPUTED_VALUE"""),45742)</f>
        <v>45742</v>
      </c>
      <c r="H539" s="33" t="str">
        <f ca="1">IFERROR(__xludf.DUMMYFUNCTION("""COMPUTED_VALUE"""),"Torrejón")</f>
        <v>Torrejón</v>
      </c>
      <c r="I539" s="33" t="str">
        <f ca="1">IFERROR(__xludf.DUMMYFUNCTION("""COMPUTED_VALUE"""),"C20253261902442")</f>
        <v>C20253261902442</v>
      </c>
      <c r="J539" s="33" t="str">
        <f ca="1">IFERROR(__xludf.DUMMYFUNCTION("""COMPUTED_VALUE"""),"MARIA JOSEFA ROMERO MARTIN")</f>
        <v>MARIA JOSEFA ROMERO MARTIN</v>
      </c>
      <c r="K539" s="33">
        <f ca="1">IFERROR(__xludf.DUMMYFUNCTION("""COMPUTED_VALUE"""),2)</f>
        <v>2</v>
      </c>
      <c r="L539" s="203">
        <f ca="1">IFERROR(__xludf.DUMMYFUNCTION("""COMPUTED_VALUE"""),2888.18)</f>
        <v>2888.18</v>
      </c>
      <c r="M539" s="33" t="str">
        <f ca="1">IFERROR(__xludf.DUMMYFUNCTION("""COMPUTED_VALUE"""),"03 ORL")</f>
        <v>03 ORL</v>
      </c>
      <c r="N539" s="33" t="str">
        <f ca="1">IFERROR(__xludf.DUMMYFUNCTION("""COMPUTED_VALUE"""),"06 ORL")</f>
        <v>06 ORL</v>
      </c>
      <c r="O539" s="33" t="str">
        <f ca="1">IFERROR(__xludf.DUMMYFUNCTION("""COMPUTED_VALUE"""),"Dr, Jose Joaquín Lora Díaz")</f>
        <v>Dr, Jose Joaquín Lora Díaz</v>
      </c>
      <c r="P539" s="33" t="str">
        <f ca="1">IFERROR(__xludf.DUMMYFUNCTION("""COMPUTED_VALUE"""),"Maika Blázquez (Madrid)")</f>
        <v>Maika Blázquez (Madrid)</v>
      </c>
    </row>
    <row r="540" spans="2:16">
      <c r="B540" s="33">
        <f ca="1">IFERROR(__xludf.DUMMYFUNCTION("""COMPUTED_VALUE"""),2025)</f>
        <v>2025</v>
      </c>
      <c r="C540" s="33">
        <f ca="1">IFERROR(__xludf.DUMMYFUNCTION("""COMPUTED_VALUE"""),4)</f>
        <v>4</v>
      </c>
      <c r="D540" s="33" t="str">
        <f ca="1">IFERROR(__xludf.DUMMYFUNCTION("""COMPUTED_VALUE"""),"NO")</f>
        <v>NO</v>
      </c>
      <c r="E540" s="33" t="str">
        <f ca="1">IFERROR(__xludf.DUMMYFUNCTION("""COMPUTED_VALUE"""),"Vigo")</f>
        <v>Vigo</v>
      </c>
      <c r="F540" s="57">
        <f ca="1">IFERROR(__xludf.DUMMYFUNCTION("""COMPUTED_VALUE"""),45769)</f>
        <v>45769</v>
      </c>
      <c r="G540" s="57">
        <f ca="1">IFERROR(__xludf.DUMMYFUNCTION("""COMPUTED_VALUE"""),45687)</f>
        <v>45687</v>
      </c>
      <c r="H540" s="33" t="str">
        <f ca="1">IFERROR(__xludf.DUMMYFUNCTION("""COMPUTED_VALUE"""),"Vigo")</f>
        <v>Vigo</v>
      </c>
      <c r="I540" s="33" t="str">
        <f ca="1">IFERROR(__xludf.DUMMYFUNCTION("""COMPUTED_VALUE"""),"VIG-535")</f>
        <v>VIG-535</v>
      </c>
      <c r="J540" s="33" t="str">
        <f ca="1">IFERROR(__xludf.DUMMYFUNCTION("""COMPUTED_VALUE"""),"ROGELIO MOLARES LAGO")</f>
        <v>ROGELIO MOLARES LAGO</v>
      </c>
      <c r="K540" s="33">
        <f ca="1">IFERROR(__xludf.DUMMYFUNCTION("""COMPUTED_VALUE"""),2)</f>
        <v>2</v>
      </c>
      <c r="L540" s="203">
        <f ca="1">IFERROR(__xludf.DUMMYFUNCTION("""COMPUTED_VALUE"""),3545.46)</f>
        <v>3545.46</v>
      </c>
      <c r="M540" s="33" t="str">
        <f ca="1">IFERROR(__xludf.DUMMYFUNCTION("""COMPUTED_VALUE"""),"03 ORL")</f>
        <v>03 ORL</v>
      </c>
      <c r="N540" s="33" t="str">
        <f ca="1">IFERROR(__xludf.DUMMYFUNCTION("""COMPUTED_VALUE"""),"06 ORL")</f>
        <v>06 ORL</v>
      </c>
      <c r="O540" s="33" t="str">
        <f ca="1">IFERROR(__xludf.DUMMYFUNCTION("""COMPUTED_VALUE"""),"Dr, Manuel Estevez García")</f>
        <v>Dr, Manuel Estevez García</v>
      </c>
      <c r="P540" s="33" t="str">
        <f ca="1">IFERROR(__xludf.DUMMYFUNCTION("""COMPUTED_VALUE"""),"Roberto Pereira (Galicia)")</f>
        <v>Roberto Pereira (Galicia)</v>
      </c>
    </row>
    <row r="541" spans="2:16">
      <c r="B541" s="33">
        <f ca="1">IFERROR(__xludf.DUMMYFUNCTION("""COMPUTED_VALUE"""),2025)</f>
        <v>2025</v>
      </c>
      <c r="C541" s="33">
        <f ca="1">IFERROR(__xludf.DUMMYFUNCTION("""COMPUTED_VALUE"""),4)</f>
        <v>4</v>
      </c>
      <c r="D541" s="33" t="str">
        <f ca="1">IFERROR(__xludf.DUMMYFUNCTION("""COMPUTED_VALUE"""),"NO")</f>
        <v>NO</v>
      </c>
      <c r="E541" s="33" t="str">
        <f ca="1">IFERROR(__xludf.DUMMYFUNCTION("""COMPUTED_VALUE"""),"Almería")</f>
        <v>Almería</v>
      </c>
      <c r="F541" s="57">
        <f ca="1">IFERROR(__xludf.DUMMYFUNCTION("""COMPUTED_VALUE"""),45770)</f>
        <v>45770</v>
      </c>
      <c r="G541" s="57">
        <f ca="1">IFERROR(__xludf.DUMMYFUNCTION("""COMPUTED_VALUE"""),45742)</f>
        <v>45742</v>
      </c>
      <c r="H541" s="33" t="str">
        <f ca="1">IFERROR(__xludf.DUMMYFUNCTION("""COMPUTED_VALUE"""),"Almería")</f>
        <v>Almería</v>
      </c>
      <c r="I541" s="33" t="str">
        <f ca="1">IFERROR(__xludf.DUMMYFUNCTION("""COMPUTED_VALUE"""),"C20254117216134")</f>
        <v>C20254117216134</v>
      </c>
      <c r="J541" s="33" t="str">
        <f ca="1">IFERROR(__xludf.DUMMYFUNCTION("""COMPUTED_VALUE"""),"FRANCISCA BAYARRI GRESA")</f>
        <v>FRANCISCA BAYARRI GRESA</v>
      </c>
      <c r="K541" s="33">
        <f ca="1">IFERROR(__xludf.DUMMYFUNCTION("""COMPUTED_VALUE"""),2)</f>
        <v>2</v>
      </c>
      <c r="L541" s="203">
        <f ca="1">IFERROR(__xludf.DUMMYFUNCTION("""COMPUTED_VALUE"""),2722.73)</f>
        <v>2722.73</v>
      </c>
      <c r="M541" s="33" t="str">
        <f ca="1">IFERROR(__xludf.DUMMYFUNCTION("""COMPUTED_VALUE"""),"03 ORL")</f>
        <v>03 ORL</v>
      </c>
      <c r="N541" s="33" t="str">
        <f ca="1">IFERROR(__xludf.DUMMYFUNCTION("""COMPUTED_VALUE"""),"06 ORL")</f>
        <v>06 ORL</v>
      </c>
      <c r="O541" s="33" t="str">
        <f ca="1">IFERROR(__xludf.DUMMYFUNCTION("""COMPUTED_VALUE"""),"Dra, María José Gámiz Maroto")</f>
        <v>Dra, María José Gámiz Maroto</v>
      </c>
      <c r="P541" s="33" t="str">
        <f ca="1">IFERROR(__xludf.DUMMYFUNCTION("""COMPUTED_VALUE"""),"Ramon Ferrando(Valencia)")</f>
        <v>Ramon Ferrando(Valencia)</v>
      </c>
    </row>
    <row r="542" spans="2:16">
      <c r="B542" s="33">
        <f ca="1">IFERROR(__xludf.DUMMYFUNCTION("""COMPUTED_VALUE"""),2025)</f>
        <v>2025</v>
      </c>
      <c r="C542" s="33">
        <f ca="1">IFERROR(__xludf.DUMMYFUNCTION("""COMPUTED_VALUE"""),4)</f>
        <v>4</v>
      </c>
      <c r="D542" s="33" t="str">
        <f ca="1">IFERROR(__xludf.DUMMYFUNCTION("""COMPUTED_VALUE"""),"NO")</f>
        <v>NO</v>
      </c>
      <c r="E542" s="33" t="str">
        <f ca="1">IFERROR(__xludf.DUMMYFUNCTION("""COMPUTED_VALUE"""),"Almería")</f>
        <v>Almería</v>
      </c>
      <c r="F542" s="57">
        <f ca="1">IFERROR(__xludf.DUMMYFUNCTION("""COMPUTED_VALUE"""),45770)</f>
        <v>45770</v>
      </c>
      <c r="G542" s="57">
        <f ca="1">IFERROR(__xludf.DUMMYFUNCTION("""COMPUTED_VALUE"""),45737)</f>
        <v>45737</v>
      </c>
      <c r="H542" s="33" t="str">
        <f ca="1">IFERROR(__xludf.DUMMYFUNCTION("""COMPUTED_VALUE"""),"Almería")</f>
        <v>Almería</v>
      </c>
      <c r="I542" s="33" t="str">
        <f ca="1">IFERROR(__xludf.DUMMYFUNCTION("""COMPUTED_VALUE"""),"C202532618344868")</f>
        <v>C202532618344868</v>
      </c>
      <c r="J542" s="33" t="str">
        <f ca="1">IFERROR(__xludf.DUMMYFUNCTION("""COMPUTED_VALUE"""),"VINCENT PAUL REID")</f>
        <v>VINCENT PAUL REID</v>
      </c>
      <c r="K542" s="33">
        <f ca="1">IFERROR(__xludf.DUMMYFUNCTION("""COMPUTED_VALUE"""),2)</f>
        <v>2</v>
      </c>
      <c r="L542" s="203">
        <f ca="1">IFERROR(__xludf.DUMMYFUNCTION("""COMPUTED_VALUE"""),4400)</f>
        <v>4400</v>
      </c>
      <c r="M542" s="33" t="str">
        <f ca="1">IFERROR(__xludf.DUMMYFUNCTION("""COMPUTED_VALUE"""),"04 TIENDA")</f>
        <v>04 TIENDA</v>
      </c>
      <c r="N542" s="33" t="str">
        <f ca="1">IFERROR(__xludf.DUMMYFUNCTION("""COMPUTED_VALUE"""),"07 BOCA/BOCA")</f>
        <v>07 BOCA/BOCA</v>
      </c>
      <c r="O542" s="33" t="str">
        <f ca="1">IFERROR(__xludf.DUMMYFUNCTION("""COMPUTED_VALUE"""),"Dr, Javier Padilla Cabello")</f>
        <v>Dr, Javier Padilla Cabello</v>
      </c>
      <c r="P542" s="33" t="str">
        <f ca="1">IFERROR(__xludf.DUMMYFUNCTION("""COMPUTED_VALUE"""),"Ramon Ferrando(Valencia)")</f>
        <v>Ramon Ferrando(Valencia)</v>
      </c>
    </row>
    <row r="543" spans="2:16">
      <c r="B543" s="33">
        <f ca="1">IFERROR(__xludf.DUMMYFUNCTION("""COMPUTED_VALUE"""),2025)</f>
        <v>2025</v>
      </c>
      <c r="C543" s="33">
        <f ca="1">IFERROR(__xludf.DUMMYFUNCTION("""COMPUTED_VALUE"""),4)</f>
        <v>4</v>
      </c>
      <c r="D543" s="33" t="str">
        <f ca="1">IFERROR(__xludf.DUMMYFUNCTION("""COMPUTED_VALUE"""),"NO")</f>
        <v>NO</v>
      </c>
      <c r="E543" s="33" t="str">
        <f ca="1">IFERROR(__xludf.DUMMYFUNCTION("""COMPUTED_VALUE"""),"Logroño")</f>
        <v>Logroño</v>
      </c>
      <c r="F543" s="57">
        <f ca="1">IFERROR(__xludf.DUMMYFUNCTION("""COMPUTED_VALUE"""),45770)</f>
        <v>45770</v>
      </c>
      <c r="G543" s="57">
        <f ca="1">IFERROR(__xludf.DUMMYFUNCTION("""COMPUTED_VALUE"""),45707)</f>
        <v>45707</v>
      </c>
      <c r="H543" s="33" t="str">
        <f ca="1">IFERROR(__xludf.DUMMYFUNCTION("""COMPUTED_VALUE"""),"Logroño")</f>
        <v>Logroño</v>
      </c>
      <c r="I543" s="33" t="str">
        <f ca="1">IFERROR(__xludf.DUMMYFUNCTION("""COMPUTED_VALUE"""),"C202522517525934")</f>
        <v>C202522517525934</v>
      </c>
      <c r="J543" s="33" t="str">
        <f ca="1">IFERROR(__xludf.DUMMYFUNCTION("""COMPUTED_VALUE"""),"JUAN ANTONIO FERNANDEZ SANCHEZ")</f>
        <v>JUAN ANTONIO FERNANDEZ SANCHEZ</v>
      </c>
      <c r="K543" s="33">
        <f ca="1">IFERROR(__xludf.DUMMYFUNCTION("""COMPUTED_VALUE"""),2)</f>
        <v>2</v>
      </c>
      <c r="L543" s="203">
        <f ca="1">IFERROR(__xludf.DUMMYFUNCTION("""COMPUTED_VALUE"""),3390.91)</f>
        <v>3390.91</v>
      </c>
      <c r="M543" s="33" t="str">
        <f ca="1">IFERROR(__xludf.DUMMYFUNCTION("""COMPUTED_VALUE"""),"03 ORL")</f>
        <v>03 ORL</v>
      </c>
      <c r="N543" s="33" t="str">
        <f ca="1">IFERROR(__xludf.DUMMYFUNCTION("""COMPUTED_VALUE"""),"06 ORL")</f>
        <v>06 ORL</v>
      </c>
      <c r="O543" s="33" t="str">
        <f ca="1">IFERROR(__xludf.DUMMYFUNCTION("""COMPUTED_VALUE"""),"Dr, Daniel Briones Crespo")</f>
        <v>Dr, Daniel Briones Crespo</v>
      </c>
      <c r="P543" s="33" t="str">
        <f ca="1">IFERROR(__xludf.DUMMYFUNCTION("""COMPUTED_VALUE"""),"Lisandro Russian (Madrid, Cáceres, Toledo, Talavera Y Logroño)")</f>
        <v>Lisandro Russian (Madrid, Cáceres, Toledo, Talavera Y Logroño)</v>
      </c>
    </row>
    <row r="544" spans="2:16">
      <c r="B544" s="33">
        <f ca="1">IFERROR(__xludf.DUMMYFUNCTION("""COMPUTED_VALUE"""),2025)</f>
        <v>2025</v>
      </c>
      <c r="C544" s="33">
        <f ca="1">IFERROR(__xludf.DUMMYFUNCTION("""COMPUTED_VALUE"""),4)</f>
        <v>4</v>
      </c>
      <c r="D544" s="33" t="str">
        <f ca="1">IFERROR(__xludf.DUMMYFUNCTION("""COMPUTED_VALUE"""),"NO")</f>
        <v>NO</v>
      </c>
      <c r="E544" s="33" t="str">
        <f ca="1">IFERROR(__xludf.DUMMYFUNCTION("""COMPUTED_VALUE"""),"Madrid- Costa Rica")</f>
        <v>Madrid- Costa Rica</v>
      </c>
      <c r="F544" s="57">
        <f ca="1">IFERROR(__xludf.DUMMYFUNCTION("""COMPUTED_VALUE"""),45770)</f>
        <v>45770</v>
      </c>
      <c r="G544" s="57">
        <f ca="1">IFERROR(__xludf.DUMMYFUNCTION("""COMPUTED_VALUE"""),45713)</f>
        <v>45713</v>
      </c>
      <c r="H544" s="33" t="str">
        <f ca="1">IFERROR(__xludf.DUMMYFUNCTION("""COMPUTED_VALUE"""),"Costa Rica")</f>
        <v>Costa Rica</v>
      </c>
      <c r="I544" s="33" t="str">
        <f ca="1">IFERROR(__xludf.DUMMYFUNCTION("""COMPUTED_VALUE"""),"C2025421121012490")</f>
        <v>C2025421121012490</v>
      </c>
      <c r="J544" s="33" t="str">
        <f ca="1">IFERROR(__xludf.DUMMYFUNCTION("""COMPUTED_VALUE"""),"ANGELA DE LA CRUZ")</f>
        <v>ANGELA DE LA CRUZ</v>
      </c>
      <c r="K544" s="33">
        <f ca="1">IFERROR(__xludf.DUMMYFUNCTION("""COMPUTED_VALUE"""),2)</f>
        <v>2</v>
      </c>
      <c r="L544" s="203">
        <f ca="1">IFERROR(__xludf.DUMMYFUNCTION("""COMPUTED_VALUE"""),2888.18)</f>
        <v>2888.18</v>
      </c>
      <c r="M544" s="33" t="str">
        <f ca="1">IFERROR(__xludf.DUMMYFUNCTION("""COMPUTED_VALUE"""),"03 ORL")</f>
        <v>03 ORL</v>
      </c>
      <c r="N544" s="33" t="str">
        <f ca="1">IFERROR(__xludf.DUMMYFUNCTION("""COMPUTED_VALUE"""),"06 ORL")</f>
        <v>06 ORL</v>
      </c>
      <c r="O544" s="33" t="str">
        <f ca="1">IFERROR(__xludf.DUMMYFUNCTION("""COMPUTED_VALUE"""),"Dr, Guillermo San Juan De La Moreta")</f>
        <v>Dr, Guillermo San Juan De La Moreta</v>
      </c>
      <c r="P544" s="33" t="str">
        <f ca="1">IFERROR(__xludf.DUMMYFUNCTION("""COMPUTED_VALUE"""),"Maika Blázquez (Madrid)")</f>
        <v>Maika Blázquez (Madrid)</v>
      </c>
    </row>
    <row r="545" spans="2:16">
      <c r="B545" s="33">
        <f ca="1">IFERROR(__xludf.DUMMYFUNCTION("""COMPUTED_VALUE"""),2025)</f>
        <v>2025</v>
      </c>
      <c r="C545" s="33">
        <f ca="1">IFERROR(__xludf.DUMMYFUNCTION("""COMPUTED_VALUE"""),4)</f>
        <v>4</v>
      </c>
      <c r="D545" s="33" t="str">
        <f ca="1">IFERROR(__xludf.DUMMYFUNCTION("""COMPUTED_VALUE"""),"NO")</f>
        <v>NO</v>
      </c>
      <c r="E545" s="33" t="str">
        <f ca="1">IFERROR(__xludf.DUMMYFUNCTION("""COMPUTED_VALUE"""),"Madrid- Galileo")</f>
        <v>Madrid- Galileo</v>
      </c>
      <c r="F545" s="57">
        <f ca="1">IFERROR(__xludf.DUMMYFUNCTION("""COMPUTED_VALUE"""),45770)</f>
        <v>45770</v>
      </c>
      <c r="G545" s="57">
        <f ca="1">IFERROR(__xludf.DUMMYFUNCTION("""COMPUTED_VALUE"""),45734)</f>
        <v>45734</v>
      </c>
      <c r="H545" s="33" t="str">
        <f ca="1">IFERROR(__xludf.DUMMYFUNCTION("""COMPUTED_VALUE"""),"Moncloa")</f>
        <v>Moncloa</v>
      </c>
      <c r="I545" s="33" t="str">
        <f ca="1">IFERROR(__xludf.DUMMYFUNCTION("""COMPUTED_VALUE"""),"C202542175457452")</f>
        <v>C202542175457452</v>
      </c>
      <c r="J545" s="33" t="str">
        <f ca="1">IFERROR(__xludf.DUMMYFUNCTION("""COMPUTED_VALUE"""),"PILAR LAZARO PRIETO")</f>
        <v>PILAR LAZARO PRIETO</v>
      </c>
      <c r="K545" s="33">
        <f ca="1">IFERROR(__xludf.DUMMYFUNCTION("""COMPUTED_VALUE"""),1)</f>
        <v>1</v>
      </c>
      <c r="L545" s="203">
        <f ca="1">IFERROR(__xludf.DUMMYFUNCTION("""COMPUTED_VALUE"""),2400)</f>
        <v>2400</v>
      </c>
      <c r="M545" s="33" t="str">
        <f ca="1">IFERROR(__xludf.DUMMYFUNCTION("""COMPUTED_VALUE"""),"03 ORL")</f>
        <v>03 ORL</v>
      </c>
      <c r="N545" s="33" t="str">
        <f ca="1">IFERROR(__xludf.DUMMYFUNCTION("""COMPUTED_VALUE"""),"06 ORL")</f>
        <v>06 ORL</v>
      </c>
      <c r="O545" s="33" t="str">
        <f ca="1">IFERROR(__xludf.DUMMYFUNCTION("""COMPUTED_VALUE"""),"Dr, Iván Muerte Moreno")</f>
        <v>Dr, Iván Muerte Moreno</v>
      </c>
      <c r="P545" s="33" t="str">
        <f ca="1">IFERROR(__xludf.DUMMYFUNCTION("""COMPUTED_VALUE"""),"Lisandro Russian (Madrid, Cáceres, Toledo, Talavera Y Logroño)")</f>
        <v>Lisandro Russian (Madrid, Cáceres, Toledo, Talavera Y Logroño)</v>
      </c>
    </row>
    <row r="546" spans="2:16">
      <c r="B546" s="33">
        <f ca="1">IFERROR(__xludf.DUMMYFUNCTION("""COMPUTED_VALUE"""),2025)</f>
        <v>2025</v>
      </c>
      <c r="C546" s="33">
        <f ca="1">IFERROR(__xludf.DUMMYFUNCTION("""COMPUTED_VALUE"""),4)</f>
        <v>4</v>
      </c>
      <c r="D546" s="33" t="str">
        <f ca="1">IFERROR(__xludf.DUMMYFUNCTION("""COMPUTED_VALUE"""),"NO")</f>
        <v>NO</v>
      </c>
      <c r="E546" s="33" t="str">
        <f ca="1">IFERROR(__xludf.DUMMYFUNCTION("""COMPUTED_VALUE"""),"Madrid- Juan Bravo")</f>
        <v>Madrid- Juan Bravo</v>
      </c>
      <c r="F546" s="57">
        <f ca="1">IFERROR(__xludf.DUMMYFUNCTION("""COMPUTED_VALUE"""),45770)</f>
        <v>45770</v>
      </c>
      <c r="G546" s="57">
        <f ca="1">IFERROR(__xludf.DUMMYFUNCTION("""COMPUTED_VALUE"""),45742)</f>
        <v>45742</v>
      </c>
      <c r="H546" s="33" t="str">
        <f ca="1">IFERROR(__xludf.DUMMYFUNCTION("""COMPUTED_VALUE"""),"Juan Bravo")</f>
        <v>Juan Bravo</v>
      </c>
      <c r="I546" s="33" t="str">
        <f ca="1">IFERROR(__xludf.DUMMYFUNCTION("""COMPUTED_VALUE"""),"C20253281052260")</f>
        <v>C20253281052260</v>
      </c>
      <c r="J546" s="33" t="str">
        <f ca="1">IFERROR(__xludf.DUMMYFUNCTION("""COMPUTED_VALUE"""),"CONSUELO ZARATE GALLEGO")</f>
        <v>CONSUELO ZARATE GALLEGO</v>
      </c>
      <c r="K546" s="33">
        <f ca="1">IFERROR(__xludf.DUMMYFUNCTION("""COMPUTED_VALUE"""),2)</f>
        <v>2</v>
      </c>
      <c r="L546" s="203">
        <f ca="1">IFERROR(__xludf.DUMMYFUNCTION("""COMPUTED_VALUE"""),4400)</f>
        <v>4400</v>
      </c>
      <c r="M546" s="33" t="str">
        <f ca="1">IFERROR(__xludf.DUMMYFUNCTION("""COMPUTED_VALUE"""),"03 ORL")</f>
        <v>03 ORL</v>
      </c>
      <c r="N546" s="33" t="str">
        <f ca="1">IFERROR(__xludf.DUMMYFUNCTION("""COMPUTED_VALUE"""),"06 ORL")</f>
        <v>06 ORL</v>
      </c>
      <c r="O546" s="33" t="str">
        <f ca="1">IFERROR(__xludf.DUMMYFUNCTION("""COMPUTED_VALUE"""),"Dr, Alejandro Harguindey Antoli-Candela")</f>
        <v>Dr, Alejandro Harguindey Antoli-Candela</v>
      </c>
      <c r="P546" s="33" t="str">
        <f ca="1">IFERROR(__xludf.DUMMYFUNCTION("""COMPUTED_VALUE"""),"Maika Blázquez (Madrid)")</f>
        <v>Maika Blázquez (Madrid)</v>
      </c>
    </row>
    <row r="547" spans="2:16">
      <c r="B547" s="33">
        <f ca="1">IFERROR(__xludf.DUMMYFUNCTION("""COMPUTED_VALUE"""),2025)</f>
        <v>2025</v>
      </c>
      <c r="C547" s="33">
        <f ca="1">IFERROR(__xludf.DUMMYFUNCTION("""COMPUTED_VALUE"""),4)</f>
        <v>4</v>
      </c>
      <c r="D547" s="33" t="str">
        <f ca="1">IFERROR(__xludf.DUMMYFUNCTION("""COMPUTED_VALUE"""),"NO")</f>
        <v>NO</v>
      </c>
      <c r="E547" s="33" t="str">
        <f ca="1">IFERROR(__xludf.DUMMYFUNCTION("""COMPUTED_VALUE"""),"Ourense")</f>
        <v>Ourense</v>
      </c>
      <c r="F547" s="57">
        <f ca="1">IFERROR(__xludf.DUMMYFUNCTION("""COMPUTED_VALUE"""),45770)</f>
        <v>45770</v>
      </c>
      <c r="G547" s="57">
        <f ca="1">IFERROR(__xludf.DUMMYFUNCTION("""COMPUTED_VALUE"""),45740)</f>
        <v>45740</v>
      </c>
      <c r="H547" s="33" t="str">
        <f ca="1">IFERROR(__xludf.DUMMYFUNCTION("""COMPUTED_VALUE"""),"Orense")</f>
        <v>Orense</v>
      </c>
      <c r="I547" s="33" t="str">
        <f ca="1">IFERROR(__xludf.DUMMYFUNCTION("""COMPUTED_VALUE"""),"C202532616048587")</f>
        <v>C202532616048587</v>
      </c>
      <c r="J547" s="33" t="str">
        <f ca="1">IFERROR(__xludf.DUMMYFUNCTION("""COMPUTED_VALUE"""),"EMILIO NUÑEZ MARTINEZ")</f>
        <v>EMILIO NUÑEZ MARTINEZ</v>
      </c>
      <c r="K547" s="33">
        <f ca="1">IFERROR(__xludf.DUMMYFUNCTION("""COMPUTED_VALUE"""),2)</f>
        <v>2</v>
      </c>
      <c r="L547" s="203">
        <f ca="1">IFERROR(__xludf.DUMMYFUNCTION("""COMPUTED_VALUE"""),3710)</f>
        <v>3710</v>
      </c>
      <c r="M547" s="33" t="str">
        <f ca="1">IFERROR(__xludf.DUMMYFUNCTION("""COMPUTED_VALUE"""),"03 ORL")</f>
        <v>03 ORL</v>
      </c>
      <c r="N547" s="33" t="str">
        <f ca="1">IFERROR(__xludf.DUMMYFUNCTION("""COMPUTED_VALUE"""),"06 ORL")</f>
        <v>06 ORL</v>
      </c>
      <c r="O547" s="33" t="str">
        <f ca="1">IFERROR(__xludf.DUMMYFUNCTION("""COMPUTED_VALUE"""),"Dra, María Rey Marcos")</f>
        <v>Dra, María Rey Marcos</v>
      </c>
      <c r="P547" s="33" t="str">
        <f ca="1">IFERROR(__xludf.DUMMYFUNCTION("""COMPUTED_VALUE"""),"Roberto Pereira (Galicia)")</f>
        <v>Roberto Pereira (Galicia)</v>
      </c>
    </row>
    <row r="548" spans="2:16">
      <c r="B548" s="33">
        <f ca="1">IFERROR(__xludf.DUMMYFUNCTION("""COMPUTED_VALUE"""),2025)</f>
        <v>2025</v>
      </c>
      <c r="C548" s="33">
        <f ca="1">IFERROR(__xludf.DUMMYFUNCTION("""COMPUTED_VALUE"""),4)</f>
        <v>4</v>
      </c>
      <c r="D548" s="33" t="str">
        <f ca="1">IFERROR(__xludf.DUMMYFUNCTION("""COMPUTED_VALUE"""),"NO")</f>
        <v>NO</v>
      </c>
      <c r="E548" s="33" t="str">
        <f ca="1">IFERROR(__xludf.DUMMYFUNCTION("""COMPUTED_VALUE"""),"Sevilla- Montoto")</f>
        <v>Sevilla- Montoto</v>
      </c>
      <c r="F548" s="57">
        <f ca="1">IFERROR(__xludf.DUMMYFUNCTION("""COMPUTED_VALUE"""),45770)</f>
        <v>45770</v>
      </c>
      <c r="G548" s="57">
        <f ca="1">IFERROR(__xludf.DUMMYFUNCTION("""COMPUTED_VALUE"""),45698)</f>
        <v>45698</v>
      </c>
      <c r="H548" s="33" t="str">
        <f ca="1">IFERROR(__xludf.DUMMYFUNCTION("""COMPUTED_VALUE"""),"Montoto")</f>
        <v>Montoto</v>
      </c>
      <c r="I548" s="33" t="str">
        <f ca="1">IFERROR(__xludf.DUMMYFUNCTION("""COMPUTED_VALUE"""),"C2025210123414403")</f>
        <v>C2025210123414403</v>
      </c>
      <c r="J548" s="33" t="str">
        <f ca="1">IFERROR(__xludf.DUMMYFUNCTION("""COMPUTED_VALUE"""),"ELENA CUEVAS GOMEZ")</f>
        <v>ELENA CUEVAS GOMEZ</v>
      </c>
      <c r="K548" s="33">
        <f ca="1">IFERROR(__xludf.DUMMYFUNCTION("""COMPUTED_VALUE"""),2)</f>
        <v>2</v>
      </c>
      <c r="L548" s="203">
        <f ca="1">IFERROR(__xludf.DUMMYFUNCTION("""COMPUTED_VALUE"""),3710)</f>
        <v>3710</v>
      </c>
      <c r="M548" s="33" t="str">
        <f ca="1">IFERROR(__xludf.DUMMYFUNCTION("""COMPUTED_VALUE"""),"03 ORL")</f>
        <v>03 ORL</v>
      </c>
      <c r="N548" s="33" t="str">
        <f ca="1">IFERROR(__xludf.DUMMYFUNCTION("""COMPUTED_VALUE"""),"06 ORL")</f>
        <v>06 ORL</v>
      </c>
      <c r="O548" s="33" t="str">
        <f ca="1">IFERROR(__xludf.DUMMYFUNCTION("""COMPUTED_VALUE"""),"Dr, Cristina Alonso González")</f>
        <v>Dr, Cristina Alonso González</v>
      </c>
      <c r="P548" s="33" t="str">
        <f ca="1">IFERROR(__xludf.DUMMYFUNCTION("""COMPUTED_VALUE"""),"Luis Alberto Rodríguez (Andalucía Y Badajoz)")</f>
        <v>Luis Alberto Rodríguez (Andalucía Y Badajoz)</v>
      </c>
    </row>
    <row r="549" spans="2:16">
      <c r="B549" s="33">
        <f ca="1">IFERROR(__xludf.DUMMYFUNCTION("""COMPUTED_VALUE"""),2025)</f>
        <v>2025</v>
      </c>
      <c r="C549" s="33">
        <f ca="1">IFERROR(__xludf.DUMMYFUNCTION("""COMPUTED_VALUE"""),4)</f>
        <v>4</v>
      </c>
      <c r="D549" s="33" t="str">
        <f ca="1">IFERROR(__xludf.DUMMYFUNCTION("""COMPUTED_VALUE"""),"NO")</f>
        <v>NO</v>
      </c>
      <c r="E549" s="33" t="str">
        <f ca="1">IFERROR(__xludf.DUMMYFUNCTION("""COMPUTED_VALUE"""),"Torrejón de Ardoz")</f>
        <v>Torrejón de Ardoz</v>
      </c>
      <c r="F549" s="57">
        <f ca="1">IFERROR(__xludf.DUMMYFUNCTION("""COMPUTED_VALUE"""),45770)</f>
        <v>45770</v>
      </c>
      <c r="G549" s="57">
        <f ca="1">IFERROR(__xludf.DUMMYFUNCTION("""COMPUTED_VALUE"""),45712)</f>
        <v>45712</v>
      </c>
      <c r="H549" s="33" t="str">
        <f ca="1">IFERROR(__xludf.DUMMYFUNCTION("""COMPUTED_VALUE"""),"Torrejón")</f>
        <v>Torrejón</v>
      </c>
      <c r="I549" s="33" t="str">
        <f ca="1">IFERROR(__xludf.DUMMYFUNCTION("""COMPUTED_VALUE"""),"C202531918228189")</f>
        <v>C202531918228189</v>
      </c>
      <c r="J549" s="33" t="str">
        <f ca="1">IFERROR(__xludf.DUMMYFUNCTION("""COMPUTED_VALUE"""),"MARIA DOLORES GIL SANCHEZ")</f>
        <v>MARIA DOLORES GIL SANCHEZ</v>
      </c>
      <c r="K549" s="33">
        <f ca="1">IFERROR(__xludf.DUMMYFUNCTION("""COMPUTED_VALUE"""),1)</f>
        <v>1</v>
      </c>
      <c r="L549" s="203">
        <f ca="1">IFERROR(__xludf.DUMMYFUNCTION("""COMPUTED_VALUE"""),2400)</f>
        <v>2400</v>
      </c>
      <c r="M549" s="33" t="str">
        <f ca="1">IFERROR(__xludf.DUMMYFUNCTION("""COMPUTED_VALUE"""),"03 ORL")</f>
        <v>03 ORL</v>
      </c>
      <c r="N549" s="33" t="str">
        <f ca="1">IFERROR(__xludf.DUMMYFUNCTION("""COMPUTED_VALUE"""),"06 ORL")</f>
        <v>06 ORL</v>
      </c>
      <c r="O549" s="33" t="str">
        <f ca="1">IFERROR(__xludf.DUMMYFUNCTION("""COMPUTED_VALUE"""),"Dr, Juan De Dios De La Calzada")</f>
        <v>Dr, Juan De Dios De La Calzada</v>
      </c>
      <c r="P549" s="33" t="str">
        <f ca="1">IFERROR(__xludf.DUMMYFUNCTION("""COMPUTED_VALUE"""),"Maika Blázquez (Madrid)")</f>
        <v>Maika Blázquez (Madrid)</v>
      </c>
    </row>
    <row r="550" spans="2:16">
      <c r="B550" s="33">
        <f ca="1">IFERROR(__xludf.DUMMYFUNCTION("""COMPUTED_VALUE"""),2025)</f>
        <v>2025</v>
      </c>
      <c r="C550" s="33">
        <f ca="1">IFERROR(__xludf.DUMMYFUNCTION("""COMPUTED_VALUE"""),4)</f>
        <v>4</v>
      </c>
      <c r="D550" s="33" t="str">
        <f ca="1">IFERROR(__xludf.DUMMYFUNCTION("""COMPUTED_VALUE"""),"NO")</f>
        <v>NO</v>
      </c>
      <c r="E550" s="33" t="str">
        <f ca="1">IFERROR(__xludf.DUMMYFUNCTION("""COMPUTED_VALUE"""),"Torrejón de Ardoz")</f>
        <v>Torrejón de Ardoz</v>
      </c>
      <c r="F550" s="57">
        <f ca="1">IFERROR(__xludf.DUMMYFUNCTION("""COMPUTED_VALUE"""),45770)</f>
        <v>45770</v>
      </c>
      <c r="G550" s="57">
        <f ca="1">IFERROR(__xludf.DUMMYFUNCTION("""COMPUTED_VALUE"""),45751)</f>
        <v>45751</v>
      </c>
      <c r="H550" s="33" t="str">
        <f ca="1">IFERROR(__xludf.DUMMYFUNCTION("""COMPUTED_VALUE"""),"Torrejón")</f>
        <v>Torrejón</v>
      </c>
      <c r="I550" s="33" t="str">
        <f ca="1">IFERROR(__xludf.DUMMYFUNCTION("""COMPUTED_VALUE"""),"C202549185238238")</f>
        <v>C202549185238238</v>
      </c>
      <c r="J550" s="33" t="str">
        <f ca="1">IFERROR(__xludf.DUMMYFUNCTION("""COMPUTED_VALUE"""),"PRISCILIANO DE LUCAS SAN FELIPE")</f>
        <v>PRISCILIANO DE LUCAS SAN FELIPE</v>
      </c>
      <c r="K550" s="33">
        <f ca="1">IFERROR(__xludf.DUMMYFUNCTION("""COMPUTED_VALUE"""),2)</f>
        <v>2</v>
      </c>
      <c r="L550" s="203">
        <f ca="1">IFERROR(__xludf.DUMMYFUNCTION("""COMPUTED_VALUE"""),3523.64)</f>
        <v>3523.64</v>
      </c>
      <c r="M550" s="33" t="str">
        <f ca="1">IFERROR(__xludf.DUMMYFUNCTION("""COMPUTED_VALUE"""),"03 ORL")</f>
        <v>03 ORL</v>
      </c>
      <c r="N550" s="33" t="str">
        <f ca="1">IFERROR(__xludf.DUMMYFUNCTION("""COMPUTED_VALUE"""),"06 ORL")</f>
        <v>06 ORL</v>
      </c>
      <c r="O550" s="33" t="str">
        <f ca="1">IFERROR(__xludf.DUMMYFUNCTION("""COMPUTED_VALUE"""),"Dra, Stephany Rodríguez Mata")</f>
        <v>Dra, Stephany Rodríguez Mata</v>
      </c>
      <c r="P550" s="33" t="str">
        <f ca="1">IFERROR(__xludf.DUMMYFUNCTION("""COMPUTED_VALUE"""),"Maika Blázquez (Madrid)")</f>
        <v>Maika Blázquez (Madrid)</v>
      </c>
    </row>
    <row r="551" spans="2:16">
      <c r="B551" s="33">
        <f ca="1">IFERROR(__xludf.DUMMYFUNCTION("""COMPUTED_VALUE"""),2025)</f>
        <v>2025</v>
      </c>
      <c r="C551" s="33">
        <f ca="1">IFERROR(__xludf.DUMMYFUNCTION("""COMPUTED_VALUE"""),4)</f>
        <v>4</v>
      </c>
      <c r="D551" s="33" t="str">
        <f ca="1">IFERROR(__xludf.DUMMYFUNCTION("""COMPUTED_VALUE"""),"NO")</f>
        <v>NO</v>
      </c>
      <c r="E551" s="33" t="str">
        <f ca="1">IFERROR(__xludf.DUMMYFUNCTION("""COMPUTED_VALUE"""),"Valencia- Parra")</f>
        <v>Valencia- Parra</v>
      </c>
      <c r="F551" s="57">
        <f ca="1">IFERROR(__xludf.DUMMYFUNCTION("""COMPUTED_VALUE"""),45770)</f>
        <v>45770</v>
      </c>
      <c r="G551" s="57">
        <f ca="1">IFERROR(__xludf.DUMMYFUNCTION("""COMPUTED_VALUE"""),45707)</f>
        <v>45707</v>
      </c>
      <c r="H551" s="33" t="str">
        <f ca="1">IFERROR(__xludf.DUMMYFUNCTION("""COMPUTED_VALUE"""),"Valencia- Parra")</f>
        <v>Valencia- Parra</v>
      </c>
      <c r="I551" s="33" t="str">
        <f ca="1">IFERROR(__xludf.DUMMYFUNCTION("""COMPUTED_VALUE"""),"C2025220122158238")</f>
        <v>C2025220122158238</v>
      </c>
      <c r="J551" s="33" t="str">
        <f ca="1">IFERROR(__xludf.DUMMYFUNCTION("""COMPUTED_VALUE"""),"ELISA FAZ MARTINEZ")</f>
        <v>ELISA FAZ MARTINEZ</v>
      </c>
      <c r="K551" s="33">
        <f ca="1">IFERROR(__xludf.DUMMYFUNCTION("""COMPUTED_VALUE"""),2)</f>
        <v>2</v>
      </c>
      <c r="L551" s="203">
        <f ca="1">IFERROR(__xludf.DUMMYFUNCTION("""COMPUTED_VALUE"""),3710)</f>
        <v>3710</v>
      </c>
      <c r="M551" s="33" t="str">
        <f ca="1">IFERROR(__xludf.DUMMYFUNCTION("""COMPUTED_VALUE"""),"03 ORL")</f>
        <v>03 ORL</v>
      </c>
      <c r="N551" s="33" t="str">
        <f ca="1">IFERROR(__xludf.DUMMYFUNCTION("""COMPUTED_VALUE"""),"06 ORL")</f>
        <v>06 ORL</v>
      </c>
      <c r="O551" s="33" t="str">
        <f ca="1">IFERROR(__xludf.DUMMYFUNCTION("""COMPUTED_VALUE"""),"Dr, Carlos De Paula Vernetta")</f>
        <v>Dr, Carlos De Paula Vernetta</v>
      </c>
      <c r="P551" s="33" t="str">
        <f ca="1">IFERROR(__xludf.DUMMYFUNCTION("""COMPUTED_VALUE"""),"Ramon Ferrando(Valencia)")</f>
        <v>Ramon Ferrando(Valencia)</v>
      </c>
    </row>
    <row r="552" spans="2:16">
      <c r="B552" s="33">
        <f ca="1">IFERROR(__xludf.DUMMYFUNCTION("""COMPUTED_VALUE"""),2025)</f>
        <v>2025</v>
      </c>
      <c r="C552" s="33">
        <f ca="1">IFERROR(__xludf.DUMMYFUNCTION("""COMPUTED_VALUE"""),4)</f>
        <v>4</v>
      </c>
      <c r="D552" s="33" t="str">
        <f ca="1">IFERROR(__xludf.DUMMYFUNCTION("""COMPUTED_VALUE"""),"NO")</f>
        <v>NO</v>
      </c>
      <c r="E552" s="33" t="str">
        <f ca="1">IFERROR(__xludf.DUMMYFUNCTION("""COMPUTED_VALUE"""),"Boiro")</f>
        <v>Boiro</v>
      </c>
      <c r="F552" s="57">
        <f ca="1">IFERROR(__xludf.DUMMYFUNCTION("""COMPUTED_VALUE"""),45770)</f>
        <v>45770</v>
      </c>
      <c r="G552" s="57">
        <f ca="1">IFERROR(__xludf.DUMMYFUNCTION("""COMPUTED_VALUE"""),45748)</f>
        <v>45748</v>
      </c>
      <c r="H552" s="33" t="str">
        <f ca="1">IFERROR(__xludf.DUMMYFUNCTION("""COMPUTED_VALUE"""),"Boiro")</f>
        <v>Boiro</v>
      </c>
      <c r="I552" s="33" t="str">
        <f ca="1">IFERROR(__xludf.DUMMYFUNCTION("""COMPUTED_VALUE"""),"BOI-953")</f>
        <v>BOI-953</v>
      </c>
      <c r="J552" s="33" t="str">
        <f ca="1">IFERROR(__xludf.DUMMYFUNCTION("""COMPUTED_VALUE"""),"MANUEL ALLO QUINTANS")</f>
        <v>MANUEL ALLO QUINTANS</v>
      </c>
      <c r="K552" s="33">
        <f ca="1">IFERROR(__xludf.DUMMYFUNCTION("""COMPUTED_VALUE"""),2)</f>
        <v>2</v>
      </c>
      <c r="L552" s="203">
        <f ca="1">IFERROR(__xludf.DUMMYFUNCTION("""COMPUTED_VALUE"""),2627.27)</f>
        <v>2627.27</v>
      </c>
      <c r="M552" s="33" t="str">
        <f ca="1">IFERROR(__xludf.DUMMYFUNCTION("""COMPUTED_VALUE"""),"03 ORL")</f>
        <v>03 ORL</v>
      </c>
      <c r="N552" s="33" t="str">
        <f ca="1">IFERROR(__xludf.DUMMYFUNCTION("""COMPUTED_VALUE"""),"06 ORL")</f>
        <v>06 ORL</v>
      </c>
      <c r="O552" s="33" t="str">
        <f ca="1">IFERROR(__xludf.DUMMYFUNCTION("""COMPUTED_VALUE"""),"Dr, Ernesto Varela Martínez")</f>
        <v>Dr, Ernesto Varela Martínez</v>
      </c>
      <c r="P552" s="33" t="str">
        <f ca="1">IFERROR(__xludf.DUMMYFUNCTION("""COMPUTED_VALUE"""),"Roberto Pereira (Galicia)")</f>
        <v>Roberto Pereira (Galicia)</v>
      </c>
    </row>
    <row r="553" spans="2:16">
      <c r="B553" s="33">
        <f ca="1">IFERROR(__xludf.DUMMYFUNCTION("""COMPUTED_VALUE"""),2025)</f>
        <v>2025</v>
      </c>
      <c r="C553" s="33">
        <f ca="1">IFERROR(__xludf.DUMMYFUNCTION("""COMPUTED_VALUE"""),4)</f>
        <v>4</v>
      </c>
      <c r="D553" s="33" t="str">
        <f ca="1">IFERROR(__xludf.DUMMYFUNCTION("""COMPUTED_VALUE"""),"NO")</f>
        <v>NO</v>
      </c>
      <c r="E553" s="33" t="str">
        <f ca="1">IFERROR(__xludf.DUMMYFUNCTION("""COMPUTED_VALUE"""),"Alicante")</f>
        <v>Alicante</v>
      </c>
      <c r="F553" s="57">
        <f ca="1">IFERROR(__xludf.DUMMYFUNCTION("""COMPUTED_VALUE"""),45771)</f>
        <v>45771</v>
      </c>
      <c r="G553" s="57">
        <f ca="1">IFERROR(__xludf.DUMMYFUNCTION("""COMPUTED_VALUE"""),45741)</f>
        <v>45741</v>
      </c>
      <c r="H553" s="33" t="str">
        <f ca="1">IFERROR(__xludf.DUMMYFUNCTION("""COMPUTED_VALUE"""),"Alicante")</f>
        <v>Alicante</v>
      </c>
      <c r="I553" s="33" t="str">
        <f ca="1">IFERROR(__xludf.DUMMYFUNCTION("""COMPUTED_VALUE"""),"C20254295315630")</f>
        <v>C20254295315630</v>
      </c>
      <c r="J553" s="33" t="str">
        <f ca="1">IFERROR(__xludf.DUMMYFUNCTION("""COMPUTED_VALUE"""),"JUAN MIGUEL SARGANELLA CASTELLO")</f>
        <v>JUAN MIGUEL SARGANELLA CASTELLO</v>
      </c>
      <c r="K553" s="33">
        <f ca="1">IFERROR(__xludf.DUMMYFUNCTION("""COMPUTED_VALUE"""),1)</f>
        <v>1</v>
      </c>
      <c r="L553" s="203">
        <f ca="1">IFERROR(__xludf.DUMMYFUNCTION("""COMPUTED_VALUE"""),2400)</f>
        <v>2400</v>
      </c>
      <c r="M553" s="33" t="str">
        <f ca="1">IFERROR(__xludf.DUMMYFUNCTION("""COMPUTED_VALUE"""),"03 ORL")</f>
        <v>03 ORL</v>
      </c>
      <c r="N553" s="33" t="str">
        <f ca="1">IFERROR(__xludf.DUMMYFUNCTION("""COMPUTED_VALUE"""),"06 ORL")</f>
        <v>06 ORL</v>
      </c>
      <c r="O553" s="33" t="str">
        <f ca="1">IFERROR(__xludf.DUMMYFUNCTION("""COMPUTED_VALUE"""),"Dr, Francisco Pastor Beviá")</f>
        <v>Dr, Francisco Pastor Beviá</v>
      </c>
      <c r="P553" s="33" t="str">
        <f ca="1">IFERROR(__xludf.DUMMYFUNCTION("""COMPUTED_VALUE"""),"Iván Sánchez (Levante Y Albacete)")</f>
        <v>Iván Sánchez (Levante Y Albacete)</v>
      </c>
    </row>
    <row r="554" spans="2:16">
      <c r="B554" s="33">
        <f ca="1">IFERROR(__xludf.DUMMYFUNCTION("""COMPUTED_VALUE"""),2025)</f>
        <v>2025</v>
      </c>
      <c r="C554" s="33">
        <f ca="1">IFERROR(__xludf.DUMMYFUNCTION("""COMPUTED_VALUE"""),4)</f>
        <v>4</v>
      </c>
      <c r="D554" s="33" t="str">
        <f ca="1">IFERROR(__xludf.DUMMYFUNCTION("""COMPUTED_VALUE"""),"NO")</f>
        <v>NO</v>
      </c>
      <c r="E554" s="33" t="str">
        <f ca="1">IFERROR(__xludf.DUMMYFUNCTION("""COMPUTED_VALUE"""),"Alicante")</f>
        <v>Alicante</v>
      </c>
      <c r="F554" s="57">
        <f ca="1">IFERROR(__xludf.DUMMYFUNCTION("""COMPUTED_VALUE"""),45771)</f>
        <v>45771</v>
      </c>
      <c r="G554" s="57">
        <f ca="1">IFERROR(__xludf.DUMMYFUNCTION("""COMPUTED_VALUE"""),45727)</f>
        <v>45727</v>
      </c>
      <c r="H554" s="33" t="str">
        <f ca="1">IFERROR(__xludf.DUMMYFUNCTION("""COMPUTED_VALUE"""),"Alicante")</f>
        <v>Alicante</v>
      </c>
      <c r="I554" s="33" t="str">
        <f ca="1">IFERROR(__xludf.DUMMYFUNCTION("""COMPUTED_VALUE"""),"C2025324113459116")</f>
        <v>C2025324113459116</v>
      </c>
      <c r="J554" s="33" t="str">
        <f ca="1">IFERROR(__xludf.DUMMYFUNCTION("""COMPUTED_VALUE"""),"MANUEL ADOLFO FERNANDEZ FERNANDEZ")</f>
        <v>MANUEL ADOLFO FERNANDEZ FERNANDEZ</v>
      </c>
      <c r="K554" s="33">
        <f ca="1">IFERROR(__xludf.DUMMYFUNCTION("""COMPUTED_VALUE"""),2)</f>
        <v>2</v>
      </c>
      <c r="L554" s="203">
        <f ca="1">IFERROR(__xludf.DUMMYFUNCTION("""COMPUTED_VALUE"""),4000)</f>
        <v>4000</v>
      </c>
      <c r="M554" s="33" t="str">
        <f ca="1">IFERROR(__xludf.DUMMYFUNCTION("""COMPUTED_VALUE"""),"03 ORL")</f>
        <v>03 ORL</v>
      </c>
      <c r="N554" s="33" t="str">
        <f ca="1">IFERROR(__xludf.DUMMYFUNCTION("""COMPUTED_VALUE"""),"06 ORL")</f>
        <v>06 ORL</v>
      </c>
      <c r="O554" s="33" t="str">
        <f ca="1">IFERROR(__xludf.DUMMYFUNCTION("""COMPUTED_VALUE"""),"Dra, Cristina Muñoz Pinto")</f>
        <v>Dra, Cristina Muñoz Pinto</v>
      </c>
      <c r="P554" s="33" t="str">
        <f ca="1">IFERROR(__xludf.DUMMYFUNCTION("""COMPUTED_VALUE"""),"Iván Sánchez (Levante Y Albacete)")</f>
        <v>Iván Sánchez (Levante Y Albacete)</v>
      </c>
    </row>
    <row r="555" spans="2:16">
      <c r="B555" s="33">
        <f ca="1">IFERROR(__xludf.DUMMYFUNCTION("""COMPUTED_VALUE"""),2025)</f>
        <v>2025</v>
      </c>
      <c r="C555" s="33">
        <f ca="1">IFERROR(__xludf.DUMMYFUNCTION("""COMPUTED_VALUE"""),4)</f>
        <v>4</v>
      </c>
      <c r="D555" s="33" t="str">
        <f ca="1">IFERROR(__xludf.DUMMYFUNCTION("""COMPUTED_VALUE"""),"NO")</f>
        <v>NO</v>
      </c>
      <c r="E555" s="33" t="str">
        <f ca="1">IFERROR(__xludf.DUMMYFUNCTION("""COMPUTED_VALUE"""),"Alicante")</f>
        <v>Alicante</v>
      </c>
      <c r="F555" s="57">
        <f ca="1">IFERROR(__xludf.DUMMYFUNCTION("""COMPUTED_VALUE"""),45771)</f>
        <v>45771</v>
      </c>
      <c r="G555" s="57">
        <f ca="1">IFERROR(__xludf.DUMMYFUNCTION("""COMPUTED_VALUE"""),45699)</f>
        <v>45699</v>
      </c>
      <c r="H555" s="33" t="str">
        <f ca="1">IFERROR(__xludf.DUMMYFUNCTION("""COMPUTED_VALUE"""),"Alicante")</f>
        <v>Alicante</v>
      </c>
      <c r="I555" s="33" t="str">
        <f ca="1">IFERROR(__xludf.DUMMYFUNCTION("""COMPUTED_VALUE"""),"C202521716105838")</f>
        <v>C202521716105838</v>
      </c>
      <c r="J555" s="33" t="str">
        <f ca="1">IFERROR(__xludf.DUMMYFUNCTION("""COMPUTED_VALUE"""),"SORIA MEHANNEK")</f>
        <v>SORIA MEHANNEK</v>
      </c>
      <c r="K555" s="33">
        <f ca="1">IFERROR(__xludf.DUMMYFUNCTION("""COMPUTED_VALUE"""),1)</f>
        <v>1</v>
      </c>
      <c r="L555" s="203">
        <f ca="1">IFERROR(__xludf.DUMMYFUNCTION("""COMPUTED_VALUE"""),2640)</f>
        <v>2640</v>
      </c>
      <c r="M555" s="33" t="str">
        <f ca="1">IFERROR(__xludf.DUMMYFUNCTION("""COMPUTED_VALUE"""),"03 ORL")</f>
        <v>03 ORL</v>
      </c>
      <c r="N555" s="33" t="str">
        <f ca="1">IFERROR(__xludf.DUMMYFUNCTION("""COMPUTED_VALUE"""),"06 ORL")</f>
        <v>06 ORL</v>
      </c>
      <c r="O555" s="33" t="str">
        <f ca="1">IFERROR(__xludf.DUMMYFUNCTION("""COMPUTED_VALUE"""),"Dr, Oscar Alemán López")</f>
        <v>Dr, Oscar Alemán López</v>
      </c>
      <c r="P555" s="33" t="str">
        <f ca="1">IFERROR(__xludf.DUMMYFUNCTION("""COMPUTED_VALUE"""),"Iván Sánchez (Levante Y Albacete)")</f>
        <v>Iván Sánchez (Levante Y Albacete)</v>
      </c>
    </row>
    <row r="556" spans="2:16">
      <c r="B556" s="33">
        <f ca="1">IFERROR(__xludf.DUMMYFUNCTION("""COMPUTED_VALUE"""),2025)</f>
        <v>2025</v>
      </c>
      <c r="C556" s="33">
        <f ca="1">IFERROR(__xludf.DUMMYFUNCTION("""COMPUTED_VALUE"""),4)</f>
        <v>4</v>
      </c>
      <c r="D556" s="33" t="str">
        <f ca="1">IFERROR(__xludf.DUMMYFUNCTION("""COMPUTED_VALUE"""),"NO")</f>
        <v>NO</v>
      </c>
      <c r="E556" s="33" t="str">
        <f ca="1">IFERROR(__xludf.DUMMYFUNCTION("""COMPUTED_VALUE"""),"Barcelona- Córcega")</f>
        <v>Barcelona- Córcega</v>
      </c>
      <c r="F556" s="57">
        <f ca="1">IFERROR(__xludf.DUMMYFUNCTION("""COMPUTED_VALUE"""),45771)</f>
        <v>45771</v>
      </c>
      <c r="G556" s="57">
        <f ca="1">IFERROR(__xludf.DUMMYFUNCTION("""COMPUTED_VALUE"""),45740)</f>
        <v>45740</v>
      </c>
      <c r="H556" s="33" t="str">
        <f ca="1">IFERROR(__xludf.DUMMYFUNCTION("""COMPUTED_VALUE"""),"Córcega")</f>
        <v>Córcega</v>
      </c>
      <c r="I556" s="33" t="str">
        <f ca="1">IFERROR(__xludf.DUMMYFUNCTION("""COMPUTED_VALUE"""),"C202532612250205")</f>
        <v>C202532612250205</v>
      </c>
      <c r="J556" s="33" t="str">
        <f ca="1">IFERROR(__xludf.DUMMYFUNCTION("""COMPUTED_VALUE"""),"ANA MARIA ROIG MARI")</f>
        <v>ANA MARIA ROIG MARI</v>
      </c>
      <c r="K556" s="33">
        <f ca="1">IFERROR(__xludf.DUMMYFUNCTION("""COMPUTED_VALUE"""),2)</f>
        <v>2</v>
      </c>
      <c r="L556" s="203">
        <f ca="1">IFERROR(__xludf.DUMMYFUNCTION("""COMPUTED_VALUE"""),4000)</f>
        <v>4000</v>
      </c>
      <c r="M556" s="33" t="str">
        <f ca="1">IFERROR(__xludf.DUMMYFUNCTION("""COMPUTED_VALUE"""),"03 ORL")</f>
        <v>03 ORL</v>
      </c>
      <c r="N556" s="33" t="str">
        <f ca="1">IFERROR(__xludf.DUMMYFUNCTION("""COMPUTED_VALUE"""),"06 ORL")</f>
        <v>06 ORL</v>
      </c>
      <c r="O556" s="33" t="str">
        <f ca="1">IFERROR(__xludf.DUMMYFUNCTION("""COMPUTED_VALUE"""),"Dr, Enric Cisa Lluis")</f>
        <v>Dr, Enric Cisa Lluis</v>
      </c>
      <c r="P556" s="33" t="str">
        <f ca="1">IFERROR(__xludf.DUMMYFUNCTION("""COMPUTED_VALUE"""),"Mercè Cabrera (Cataluña Y Baleares)")</f>
        <v>Mercè Cabrera (Cataluña Y Baleares)</v>
      </c>
    </row>
    <row r="557" spans="2:16">
      <c r="B557" s="33">
        <f ca="1">IFERROR(__xludf.DUMMYFUNCTION("""COMPUTED_VALUE"""),2025)</f>
        <v>2025</v>
      </c>
      <c r="C557" s="33">
        <f ca="1">IFERROR(__xludf.DUMMYFUNCTION("""COMPUTED_VALUE"""),4)</f>
        <v>4</v>
      </c>
      <c r="D557" s="33" t="str">
        <f ca="1">IFERROR(__xludf.DUMMYFUNCTION("""COMPUTED_VALUE"""),"NO")</f>
        <v>NO</v>
      </c>
      <c r="E557" s="33" t="str">
        <f ca="1">IFERROR(__xludf.DUMMYFUNCTION("""COMPUTED_VALUE"""),"Fuenlabrada")</f>
        <v>Fuenlabrada</v>
      </c>
      <c r="F557" s="57">
        <f ca="1">IFERROR(__xludf.DUMMYFUNCTION("""COMPUTED_VALUE"""),45771)</f>
        <v>45771</v>
      </c>
      <c r="G557" s="57">
        <f ca="1">IFERROR(__xludf.DUMMYFUNCTION("""COMPUTED_VALUE"""),45686)</f>
        <v>45686</v>
      </c>
      <c r="H557" s="33" t="str">
        <f ca="1">IFERROR(__xludf.DUMMYFUNCTION("""COMPUTED_VALUE"""),"Fuenlabrada")</f>
        <v>Fuenlabrada</v>
      </c>
      <c r="I557" s="33" t="str">
        <f ca="1">IFERROR(__xludf.DUMMYFUNCTION("""COMPUTED_VALUE"""),"C202525175430985")</f>
        <v>C202525175430985</v>
      </c>
      <c r="J557" s="33" t="str">
        <f ca="1">IFERROR(__xludf.DUMMYFUNCTION("""COMPUTED_VALUE"""),"ETELVINA FERNANDEZ RODRIGUEZ")</f>
        <v>ETELVINA FERNANDEZ RODRIGUEZ</v>
      </c>
      <c r="K557" s="33">
        <f ca="1">IFERROR(__xludf.DUMMYFUNCTION("""COMPUTED_VALUE"""),2)</f>
        <v>2</v>
      </c>
      <c r="L557" s="203">
        <f ca="1">IFERROR(__xludf.DUMMYFUNCTION("""COMPUTED_VALUE"""),2888.18)</f>
        <v>2888.18</v>
      </c>
      <c r="M557" s="33" t="str">
        <f ca="1">IFERROR(__xludf.DUMMYFUNCTION("""COMPUTED_VALUE"""),"03 ORL")</f>
        <v>03 ORL</v>
      </c>
      <c r="N557" s="33" t="str">
        <f ca="1">IFERROR(__xludf.DUMMYFUNCTION("""COMPUTED_VALUE"""),"06 ORL")</f>
        <v>06 ORL</v>
      </c>
      <c r="O557" s="33" t="str">
        <f ca="1">IFERROR(__xludf.DUMMYFUNCTION("""COMPUTED_VALUE"""),"No recuerda ORL")</f>
        <v>No recuerda ORL</v>
      </c>
      <c r="P557" s="33" t="str">
        <f ca="1">IFERROR(__xludf.DUMMYFUNCTION("""COMPUTED_VALUE"""),"Maika Blázquez (Madrid)")</f>
        <v>Maika Blázquez (Madrid)</v>
      </c>
    </row>
    <row r="558" spans="2:16">
      <c r="B558" s="33">
        <f ca="1">IFERROR(__xludf.DUMMYFUNCTION("""COMPUTED_VALUE"""),2025)</f>
        <v>2025</v>
      </c>
      <c r="C558" s="33">
        <f ca="1">IFERROR(__xludf.DUMMYFUNCTION("""COMPUTED_VALUE"""),4)</f>
        <v>4</v>
      </c>
      <c r="D558" s="33" t="str">
        <f ca="1">IFERROR(__xludf.DUMMYFUNCTION("""COMPUTED_VALUE"""),"NO")</f>
        <v>NO</v>
      </c>
      <c r="E558" s="33" t="str">
        <f ca="1">IFERROR(__xludf.DUMMYFUNCTION("""COMPUTED_VALUE"""),"Leganés")</f>
        <v>Leganés</v>
      </c>
      <c r="F558" s="57">
        <f ca="1">IFERROR(__xludf.DUMMYFUNCTION("""COMPUTED_VALUE"""),45771)</f>
        <v>45771</v>
      </c>
      <c r="G558" s="57">
        <f ca="1">IFERROR(__xludf.DUMMYFUNCTION("""COMPUTED_VALUE"""),45741)</f>
        <v>45741</v>
      </c>
      <c r="H558" s="33" t="str">
        <f ca="1">IFERROR(__xludf.DUMMYFUNCTION("""COMPUTED_VALUE"""),"Leganés")</f>
        <v>Leganés</v>
      </c>
      <c r="I558" s="33" t="str">
        <f ca="1">IFERROR(__xludf.DUMMYFUNCTION("""COMPUTED_VALUE"""),"C202532695742387")</f>
        <v>C202532695742387</v>
      </c>
      <c r="J558" s="33" t="str">
        <f ca="1">IFERROR(__xludf.DUMMYFUNCTION("""COMPUTED_VALUE"""),"EUSEBIO ROSAS GONZALEZ")</f>
        <v>EUSEBIO ROSAS GONZALEZ</v>
      </c>
      <c r="K558" s="33">
        <f ca="1">IFERROR(__xludf.DUMMYFUNCTION("""COMPUTED_VALUE"""),2)</f>
        <v>2</v>
      </c>
      <c r="L558" s="203">
        <f ca="1">IFERROR(__xludf.DUMMYFUNCTION("""COMPUTED_VALUE"""),2722.73)</f>
        <v>2722.73</v>
      </c>
      <c r="M558" s="33" t="str">
        <f ca="1">IFERROR(__xludf.DUMMYFUNCTION("""COMPUTED_VALUE"""),"03 ORL")</f>
        <v>03 ORL</v>
      </c>
      <c r="N558" s="33" t="str">
        <f ca="1">IFERROR(__xludf.DUMMYFUNCTION("""COMPUTED_VALUE"""),"06 ORL")</f>
        <v>06 ORL</v>
      </c>
      <c r="O558" s="33" t="str">
        <f ca="1">IFERROR(__xludf.DUMMYFUNCTION("""COMPUTED_VALUE"""),"No recuerda ORL")</f>
        <v>No recuerda ORL</v>
      </c>
      <c r="P558" s="33" t="str">
        <f ca="1">IFERROR(__xludf.DUMMYFUNCTION("""COMPUTED_VALUE"""),"Maika Blázquez (Madrid)")</f>
        <v>Maika Blázquez (Madrid)</v>
      </c>
    </row>
    <row r="559" spans="2:16">
      <c r="B559" s="33">
        <f ca="1">IFERROR(__xludf.DUMMYFUNCTION("""COMPUTED_VALUE"""),2025)</f>
        <v>2025</v>
      </c>
      <c r="C559" s="33">
        <f ca="1">IFERROR(__xludf.DUMMYFUNCTION("""COMPUTED_VALUE"""),4)</f>
        <v>4</v>
      </c>
      <c r="D559" s="33" t="str">
        <f ca="1">IFERROR(__xludf.DUMMYFUNCTION("""COMPUTED_VALUE"""),"NO")</f>
        <v>NO</v>
      </c>
      <c r="E559" s="33" t="str">
        <f ca="1">IFERROR(__xludf.DUMMYFUNCTION("""COMPUTED_VALUE"""),"Madrid- La Oca")</f>
        <v>Madrid- La Oca</v>
      </c>
      <c r="F559" s="57">
        <f ca="1">IFERROR(__xludf.DUMMYFUNCTION("""COMPUTED_VALUE"""),45771)</f>
        <v>45771</v>
      </c>
      <c r="G559" s="57">
        <f ca="1">IFERROR(__xludf.DUMMYFUNCTION("""COMPUTED_VALUE"""),45747)</f>
        <v>45747</v>
      </c>
      <c r="H559" s="33" t="str">
        <f ca="1">IFERROR(__xludf.DUMMYFUNCTION("""COMPUTED_VALUE"""),"La Oca")</f>
        <v>La Oca</v>
      </c>
      <c r="I559" s="33" t="str">
        <f ca="1">IFERROR(__xludf.DUMMYFUNCTION("""COMPUTED_VALUE"""),"C202542112951685")</f>
        <v>C202542112951685</v>
      </c>
      <c r="J559" s="33" t="str">
        <f ca="1">IFERROR(__xludf.DUMMYFUNCTION("""COMPUTED_VALUE"""),"MARIA DOLORES CESPEDES RUBIO")</f>
        <v>MARIA DOLORES CESPEDES RUBIO</v>
      </c>
      <c r="K559" s="33">
        <f ca="1">IFERROR(__xludf.DUMMYFUNCTION("""COMPUTED_VALUE"""),1)</f>
        <v>1</v>
      </c>
      <c r="L559" s="203">
        <f ca="1">IFERROR(__xludf.DUMMYFUNCTION("""COMPUTED_VALUE"""),2226.36)</f>
        <v>2226.36</v>
      </c>
      <c r="M559" s="33" t="str">
        <f ca="1">IFERROR(__xludf.DUMMYFUNCTION("""COMPUTED_VALUE"""),"03 ORL")</f>
        <v>03 ORL</v>
      </c>
      <c r="N559" s="33" t="str">
        <f ca="1">IFERROR(__xludf.DUMMYFUNCTION("""COMPUTED_VALUE"""),"06 ORL")</f>
        <v>06 ORL</v>
      </c>
      <c r="O559" s="33" t="str">
        <f ca="1">IFERROR(__xludf.DUMMYFUNCTION("""COMPUTED_VALUE"""),"Dr, Javier Gavilanes Plasencia")</f>
        <v>Dr, Javier Gavilanes Plasencia</v>
      </c>
      <c r="P559" s="33" t="str">
        <f ca="1">IFERROR(__xludf.DUMMYFUNCTION("""COMPUTED_VALUE"""),"Maika Blázquez (Madrid)")</f>
        <v>Maika Blázquez (Madrid)</v>
      </c>
    </row>
    <row r="560" spans="2:16">
      <c r="B560" s="33">
        <f ca="1">IFERROR(__xludf.DUMMYFUNCTION("""COMPUTED_VALUE"""),2025)</f>
        <v>2025</v>
      </c>
      <c r="C560" s="33">
        <f ca="1">IFERROR(__xludf.DUMMYFUNCTION("""COMPUTED_VALUE"""),4)</f>
        <v>4</v>
      </c>
      <c r="D560" s="33" t="str">
        <f ca="1">IFERROR(__xludf.DUMMYFUNCTION("""COMPUTED_VALUE"""),"SI")</f>
        <v>SI</v>
      </c>
      <c r="E560" s="33" t="str">
        <f ca="1">IFERROR(__xludf.DUMMYFUNCTION("""COMPUTED_VALUE"""),"Murcia")</f>
        <v>Murcia</v>
      </c>
      <c r="F560" s="57">
        <f ca="1">IFERROR(__xludf.DUMMYFUNCTION("""COMPUTED_VALUE"""),45771)</f>
        <v>45771</v>
      </c>
      <c r="G560" s="57">
        <f ca="1">IFERROR(__xludf.DUMMYFUNCTION("""COMPUTED_VALUE"""),44120)</f>
        <v>44120</v>
      </c>
      <c r="H560" s="33" t="str">
        <f ca="1">IFERROR(__xludf.DUMMYFUNCTION("""COMPUTED_VALUE"""),"Murcia")</f>
        <v>Murcia</v>
      </c>
      <c r="I560" s="33" t="str">
        <f ca="1">IFERROR(__xludf.DUMMYFUNCTION("""COMPUTED_VALUE"""),"MUR-491")</f>
        <v>MUR-491</v>
      </c>
      <c r="J560" s="33" t="str">
        <f ca="1">IFERROR(__xludf.DUMMYFUNCTION("""COMPUTED_VALUE"""),"ENCARNACION GARCIA BALIBREA")</f>
        <v>ENCARNACION GARCIA BALIBREA</v>
      </c>
      <c r="K560" s="33">
        <f ca="1">IFERROR(__xludf.DUMMYFUNCTION("""COMPUTED_VALUE"""),2)</f>
        <v>2</v>
      </c>
      <c r="L560" s="203">
        <f ca="1">IFERROR(__xludf.DUMMYFUNCTION("""COMPUTED_VALUE"""),3304.95)</f>
        <v>3304.95</v>
      </c>
      <c r="M560" s="33" t="str">
        <f ca="1">IFERROR(__xludf.DUMMYFUNCTION("""COMPUTED_VALUE"""),"03 ORL")</f>
        <v>03 ORL</v>
      </c>
      <c r="N560" s="33" t="str">
        <f ca="1">IFERROR(__xludf.DUMMYFUNCTION("""COMPUTED_VALUE"""),"06 ORL")</f>
        <v>06 ORL</v>
      </c>
      <c r="O560" s="33" t="str">
        <f ca="1">IFERROR(__xludf.DUMMYFUNCTION("""COMPUTED_VALUE"""),"Dr, Jesús Miguel Iniesta Turpín")</f>
        <v>Dr, Jesús Miguel Iniesta Turpín</v>
      </c>
      <c r="P560" s="33" t="str">
        <f ca="1">IFERROR(__xludf.DUMMYFUNCTION("""COMPUTED_VALUE"""),"Iván Sánchez (Levante Y Albacete)")</f>
        <v>Iván Sánchez (Levante Y Albacete)</v>
      </c>
    </row>
    <row r="561" spans="2:16">
      <c r="B561" s="33">
        <f ca="1">IFERROR(__xludf.DUMMYFUNCTION("""COMPUTED_VALUE"""),2025)</f>
        <v>2025</v>
      </c>
      <c r="C561" s="33">
        <f ca="1">IFERROR(__xludf.DUMMYFUNCTION("""COMPUTED_VALUE"""),4)</f>
        <v>4</v>
      </c>
      <c r="D561" s="33" t="str">
        <f ca="1">IFERROR(__xludf.DUMMYFUNCTION("""COMPUTED_VALUE"""),"NO")</f>
        <v>NO</v>
      </c>
      <c r="E561" s="33" t="str">
        <f ca="1">IFERROR(__xludf.DUMMYFUNCTION("""COMPUTED_VALUE"""),"Torrejón de Ardoz")</f>
        <v>Torrejón de Ardoz</v>
      </c>
      <c r="F561" s="57">
        <f ca="1">IFERROR(__xludf.DUMMYFUNCTION("""COMPUTED_VALUE"""),45771)</f>
        <v>45771</v>
      </c>
      <c r="G561" s="57">
        <f ca="1">IFERROR(__xludf.DUMMYFUNCTION("""COMPUTED_VALUE"""),45734)</f>
        <v>45734</v>
      </c>
      <c r="H561" s="33" t="str">
        <f ca="1">IFERROR(__xludf.DUMMYFUNCTION("""COMPUTED_VALUE"""),"Torrejón")</f>
        <v>Torrejón</v>
      </c>
      <c r="I561" s="33" t="str">
        <f ca="1">IFERROR(__xludf.DUMMYFUNCTION("""COMPUTED_VALUE"""),"C2025320185344533")</f>
        <v>C2025320185344533</v>
      </c>
      <c r="J561" s="33" t="str">
        <f ca="1">IFERROR(__xludf.DUMMYFUNCTION("""COMPUTED_VALUE"""),"MARIA VICTORIA LOPEZ PIREZ")</f>
        <v>MARIA VICTORIA LOPEZ PIREZ</v>
      </c>
      <c r="K561" s="33">
        <f ca="1">IFERROR(__xludf.DUMMYFUNCTION("""COMPUTED_VALUE"""),2)</f>
        <v>2</v>
      </c>
      <c r="L561" s="203">
        <f ca="1">IFERROR(__xludf.DUMMYFUNCTION("""COMPUTED_VALUE"""),3710)</f>
        <v>3710</v>
      </c>
      <c r="M561" s="33" t="str">
        <f ca="1">IFERROR(__xludf.DUMMYFUNCTION("""COMPUTED_VALUE"""),"03 ORL")</f>
        <v>03 ORL</v>
      </c>
      <c r="N561" s="33" t="str">
        <f ca="1">IFERROR(__xludf.DUMMYFUNCTION("""COMPUTED_VALUE"""),"06 ORL")</f>
        <v>06 ORL</v>
      </c>
      <c r="O561" s="33" t="str">
        <f ca="1">IFERROR(__xludf.DUMMYFUNCTION("""COMPUTED_VALUE"""),"Dra, María Garrote Garrote")</f>
        <v>Dra, María Garrote Garrote</v>
      </c>
      <c r="P561" s="33" t="str">
        <f ca="1">IFERROR(__xludf.DUMMYFUNCTION("""COMPUTED_VALUE"""),"Maika Blázquez (Madrid)")</f>
        <v>Maika Blázquez (Madrid)</v>
      </c>
    </row>
    <row r="562" spans="2:16">
      <c r="B562" s="33">
        <f ca="1">IFERROR(__xludf.DUMMYFUNCTION("""COMPUTED_VALUE"""),2025)</f>
        <v>2025</v>
      </c>
      <c r="C562" s="33">
        <f ca="1">IFERROR(__xludf.DUMMYFUNCTION("""COMPUTED_VALUE"""),4)</f>
        <v>4</v>
      </c>
      <c r="D562" s="33" t="str">
        <f ca="1">IFERROR(__xludf.DUMMYFUNCTION("""COMPUTED_VALUE"""),"NO")</f>
        <v>NO</v>
      </c>
      <c r="E562" s="33" t="str">
        <f ca="1">IFERROR(__xludf.DUMMYFUNCTION("""COMPUTED_VALUE"""),"Alicante")</f>
        <v>Alicante</v>
      </c>
      <c r="F562" s="57">
        <f ca="1">IFERROR(__xludf.DUMMYFUNCTION("""COMPUTED_VALUE"""),45772)</f>
        <v>45772</v>
      </c>
      <c r="G562" s="57">
        <f ca="1">IFERROR(__xludf.DUMMYFUNCTION("""COMPUTED_VALUE"""),45726)</f>
        <v>45726</v>
      </c>
      <c r="H562" s="33" t="str">
        <f ca="1">IFERROR(__xludf.DUMMYFUNCTION("""COMPUTED_VALUE"""),"Alicante")</f>
        <v>Alicante</v>
      </c>
      <c r="I562" s="33" t="str">
        <f ca="1">IFERROR(__xludf.DUMMYFUNCTION("""COMPUTED_VALUE"""),"C202532811343568")</f>
        <v>C202532811343568</v>
      </c>
      <c r="J562" s="33" t="str">
        <f ca="1">IFERROR(__xludf.DUMMYFUNCTION("""COMPUTED_VALUE"""),"MARIA TERESA MARTI MARTI")</f>
        <v>MARIA TERESA MARTI MARTI</v>
      </c>
      <c r="K562" s="33">
        <f ca="1">IFERROR(__xludf.DUMMYFUNCTION("""COMPUTED_VALUE"""),1)</f>
        <v>1</v>
      </c>
      <c r="L562" s="203">
        <f ca="1">IFERROR(__xludf.DUMMYFUNCTION("""COMPUTED_VALUE"""),2640)</f>
        <v>2640</v>
      </c>
      <c r="M562" s="33" t="str">
        <f ca="1">IFERROR(__xludf.DUMMYFUNCTION("""COMPUTED_VALUE"""),"03 ORL")</f>
        <v>03 ORL</v>
      </c>
      <c r="N562" s="33" t="str">
        <f ca="1">IFERROR(__xludf.DUMMYFUNCTION("""COMPUTED_VALUE"""),"06 ORL")</f>
        <v>06 ORL</v>
      </c>
      <c r="O562" s="33" t="str">
        <f ca="1">IFERROR(__xludf.DUMMYFUNCTION("""COMPUTED_VALUE"""),"Dr, Francisco Pastor Beviá")</f>
        <v>Dr, Francisco Pastor Beviá</v>
      </c>
      <c r="P562" s="33" t="str">
        <f ca="1">IFERROR(__xludf.DUMMYFUNCTION("""COMPUTED_VALUE"""),"Iván Sánchez (Levante Y Albacete)")</f>
        <v>Iván Sánchez (Levante Y Albacete)</v>
      </c>
    </row>
    <row r="563" spans="2:16">
      <c r="B563" s="33">
        <f ca="1">IFERROR(__xludf.DUMMYFUNCTION("""COMPUTED_VALUE"""),2025)</f>
        <v>2025</v>
      </c>
      <c r="C563" s="33">
        <f ca="1">IFERROR(__xludf.DUMMYFUNCTION("""COMPUTED_VALUE"""),4)</f>
        <v>4</v>
      </c>
      <c r="D563" s="33" t="str">
        <f ca="1">IFERROR(__xludf.DUMMYFUNCTION("""COMPUTED_VALUE"""),"NO")</f>
        <v>NO</v>
      </c>
      <c r="E563" s="33" t="str">
        <f ca="1">IFERROR(__xludf.DUMMYFUNCTION("""COMPUTED_VALUE"""),"Getafe")</f>
        <v>Getafe</v>
      </c>
      <c r="F563" s="57">
        <f ca="1">IFERROR(__xludf.DUMMYFUNCTION("""COMPUTED_VALUE"""),45772)</f>
        <v>45772</v>
      </c>
      <c r="G563" s="57">
        <f ca="1">IFERROR(__xludf.DUMMYFUNCTION("""COMPUTED_VALUE"""),45744)</f>
        <v>45744</v>
      </c>
      <c r="H563" s="33" t="str">
        <f ca="1">IFERROR(__xludf.DUMMYFUNCTION("""COMPUTED_VALUE"""),"Getafe")</f>
        <v>Getafe</v>
      </c>
      <c r="I563" s="33" t="str">
        <f ca="1">IFERROR(__xludf.DUMMYFUNCTION("""COMPUTED_VALUE"""),"C202533193254143")</f>
        <v>C202533193254143</v>
      </c>
      <c r="J563" s="33" t="str">
        <f ca="1">IFERROR(__xludf.DUMMYFUNCTION("""COMPUTED_VALUE"""),"MARIA MARCO PEINADO")</f>
        <v>MARIA MARCO PEINADO</v>
      </c>
      <c r="K563" s="33">
        <f ca="1">IFERROR(__xludf.DUMMYFUNCTION("""COMPUTED_VALUE"""),2)</f>
        <v>2</v>
      </c>
      <c r="L563" s="203">
        <f ca="1">IFERROR(__xludf.DUMMYFUNCTION("""COMPUTED_VALUE"""),4400)</f>
        <v>4400</v>
      </c>
      <c r="M563" s="33" t="str">
        <f ca="1">IFERROR(__xludf.DUMMYFUNCTION("""COMPUTED_VALUE"""),"03 ORL")</f>
        <v>03 ORL</v>
      </c>
      <c r="N563" s="33" t="str">
        <f ca="1">IFERROR(__xludf.DUMMYFUNCTION("""COMPUTED_VALUE"""),"06 ORL")</f>
        <v>06 ORL</v>
      </c>
      <c r="O563" s="33" t="str">
        <f ca="1">IFERROR(__xludf.DUMMYFUNCTION("""COMPUTED_VALUE"""),"Dr, Juan Ignacio Riestra Ayora")</f>
        <v>Dr, Juan Ignacio Riestra Ayora</v>
      </c>
      <c r="P563" s="33" t="str">
        <f ca="1">IFERROR(__xludf.DUMMYFUNCTION("""COMPUTED_VALUE"""),"Maika Blázquez (Madrid)")</f>
        <v>Maika Blázquez (Madrid)</v>
      </c>
    </row>
    <row r="564" spans="2:16">
      <c r="B564" s="33">
        <f ca="1">IFERROR(__xludf.DUMMYFUNCTION("""COMPUTED_VALUE"""),2025)</f>
        <v>2025</v>
      </c>
      <c r="C564" s="33">
        <f ca="1">IFERROR(__xludf.DUMMYFUNCTION("""COMPUTED_VALUE"""),4)</f>
        <v>4</v>
      </c>
      <c r="D564" s="33" t="str">
        <f ca="1">IFERROR(__xludf.DUMMYFUNCTION("""COMPUTED_VALUE"""),"NO")</f>
        <v>NO</v>
      </c>
      <c r="E564" s="33" t="str">
        <f ca="1">IFERROR(__xludf.DUMMYFUNCTION("""COMPUTED_VALUE"""),"Madrid- Galileo")</f>
        <v>Madrid- Galileo</v>
      </c>
      <c r="F564" s="57">
        <f ca="1">IFERROR(__xludf.DUMMYFUNCTION("""COMPUTED_VALUE"""),45772)</f>
        <v>45772</v>
      </c>
      <c r="G564" s="57">
        <f ca="1">IFERROR(__xludf.DUMMYFUNCTION("""COMPUTED_VALUE"""),45743)</f>
        <v>45743</v>
      </c>
      <c r="H564" s="33" t="str">
        <f ca="1">IFERROR(__xludf.DUMMYFUNCTION("""COMPUTED_VALUE"""),"Moncloa")</f>
        <v>Moncloa</v>
      </c>
      <c r="I564" s="33" t="str">
        <f ca="1">IFERROR(__xludf.DUMMYFUNCTION("""COMPUTED_VALUE"""),"C202541182722744")</f>
        <v>C202541182722744</v>
      </c>
      <c r="J564" s="33" t="str">
        <f ca="1">IFERROR(__xludf.DUMMYFUNCTION("""COMPUTED_VALUE"""),"VENANCIA GONZALEZ RODRIGUEZ")</f>
        <v>VENANCIA GONZALEZ RODRIGUEZ</v>
      </c>
      <c r="K564" s="33">
        <f ca="1">IFERROR(__xludf.DUMMYFUNCTION("""COMPUTED_VALUE"""),2)</f>
        <v>2</v>
      </c>
      <c r="L564" s="203">
        <f ca="1">IFERROR(__xludf.DUMMYFUNCTION("""COMPUTED_VALUE"""),4000)</f>
        <v>4000</v>
      </c>
      <c r="M564" s="33" t="str">
        <f ca="1">IFERROR(__xludf.DUMMYFUNCTION("""COMPUTED_VALUE"""),"03 ORL")</f>
        <v>03 ORL</v>
      </c>
      <c r="N564" s="33" t="str">
        <f ca="1">IFERROR(__xludf.DUMMYFUNCTION("""COMPUTED_VALUE"""),"06 ORL")</f>
        <v>06 ORL</v>
      </c>
      <c r="O564" s="33" t="str">
        <f ca="1">IFERROR(__xludf.DUMMYFUNCTION("""COMPUTED_VALUE"""),"Dr, Alejandro Harguindey Antoli-Candela")</f>
        <v>Dr, Alejandro Harguindey Antoli-Candela</v>
      </c>
      <c r="P564" s="33" t="str">
        <f ca="1">IFERROR(__xludf.DUMMYFUNCTION("""COMPUTED_VALUE"""),"Maika Blázquez (Madrid)")</f>
        <v>Maika Blázquez (Madrid)</v>
      </c>
    </row>
    <row r="565" spans="2:16">
      <c r="B565" s="33">
        <f ca="1">IFERROR(__xludf.DUMMYFUNCTION("""COMPUTED_VALUE"""),2025)</f>
        <v>2025</v>
      </c>
      <c r="C565" s="33">
        <f ca="1">IFERROR(__xludf.DUMMYFUNCTION("""COMPUTED_VALUE"""),4)</f>
        <v>4</v>
      </c>
      <c r="D565" s="33" t="str">
        <f ca="1">IFERROR(__xludf.DUMMYFUNCTION("""COMPUTED_VALUE"""),"NO")</f>
        <v>NO</v>
      </c>
      <c r="E565" s="33" t="str">
        <f ca="1">IFERROR(__xludf.DUMMYFUNCTION("""COMPUTED_VALUE"""),"Murcia")</f>
        <v>Murcia</v>
      </c>
      <c r="F565" s="57">
        <f ca="1">IFERROR(__xludf.DUMMYFUNCTION("""COMPUTED_VALUE"""),45772)</f>
        <v>45772</v>
      </c>
      <c r="G565" s="57">
        <f ca="1">IFERROR(__xludf.DUMMYFUNCTION("""COMPUTED_VALUE"""),45741)</f>
        <v>45741</v>
      </c>
      <c r="H565" s="33" t="str">
        <f ca="1">IFERROR(__xludf.DUMMYFUNCTION("""COMPUTED_VALUE"""),"Murcia")</f>
        <v>Murcia</v>
      </c>
      <c r="I565" s="33" t="str">
        <f ca="1">IFERROR(__xludf.DUMMYFUNCTION("""COMPUTED_VALUE"""),"C202541173241430")</f>
        <v>C202541173241430</v>
      </c>
      <c r="J565" s="33" t="str">
        <f ca="1">IFERROR(__xludf.DUMMYFUNCTION("""COMPUTED_VALUE"""),"MARIA JOSEFA DEL POZO GIBAJA")</f>
        <v>MARIA JOSEFA DEL POZO GIBAJA</v>
      </c>
      <c r="K565" s="33">
        <f ca="1">IFERROR(__xludf.DUMMYFUNCTION("""COMPUTED_VALUE"""),2)</f>
        <v>2</v>
      </c>
      <c r="L565" s="203">
        <f ca="1">IFERROR(__xludf.DUMMYFUNCTION("""COMPUTED_VALUE"""),4000)</f>
        <v>4000</v>
      </c>
      <c r="M565" s="33" t="str">
        <f ca="1">IFERROR(__xludf.DUMMYFUNCTION("""COMPUTED_VALUE"""),"03 ORL")</f>
        <v>03 ORL</v>
      </c>
      <c r="N565" s="33" t="str">
        <f ca="1">IFERROR(__xludf.DUMMYFUNCTION("""COMPUTED_VALUE"""),"06 ORL")</f>
        <v>06 ORL</v>
      </c>
      <c r="O565" s="33" t="str">
        <f ca="1">IFERROR(__xludf.DUMMYFUNCTION("""COMPUTED_VALUE"""),"Dra, Nuria Salas Barrio")</f>
        <v>Dra, Nuria Salas Barrio</v>
      </c>
      <c r="P565" s="33" t="str">
        <f ca="1">IFERROR(__xludf.DUMMYFUNCTION("""COMPUTED_VALUE"""),"Iván Sánchez (Levante Y Albacete)")</f>
        <v>Iván Sánchez (Levante Y Albacete)</v>
      </c>
    </row>
    <row r="566" spans="2:16">
      <c r="B566" s="33">
        <f ca="1">IFERROR(__xludf.DUMMYFUNCTION("""COMPUTED_VALUE"""),2025)</f>
        <v>2025</v>
      </c>
      <c r="C566" s="33">
        <f ca="1">IFERROR(__xludf.DUMMYFUNCTION("""COMPUTED_VALUE"""),4)</f>
        <v>4</v>
      </c>
      <c r="D566" s="33" t="str">
        <f ca="1">IFERROR(__xludf.DUMMYFUNCTION("""COMPUTED_VALUE"""),"NO")</f>
        <v>NO</v>
      </c>
      <c r="E566" s="33" t="str">
        <f ca="1">IFERROR(__xludf.DUMMYFUNCTION("""COMPUTED_VALUE"""),"Ourense")</f>
        <v>Ourense</v>
      </c>
      <c r="F566" s="57">
        <f ca="1">IFERROR(__xludf.DUMMYFUNCTION("""COMPUTED_VALUE"""),45772)</f>
        <v>45772</v>
      </c>
      <c r="G566" s="57">
        <f ca="1">IFERROR(__xludf.DUMMYFUNCTION("""COMPUTED_VALUE"""),45740)</f>
        <v>45740</v>
      </c>
      <c r="H566" s="33" t="str">
        <f ca="1">IFERROR(__xludf.DUMMYFUNCTION("""COMPUTED_VALUE"""),"Orense")</f>
        <v>Orense</v>
      </c>
      <c r="I566" s="33" t="str">
        <f ca="1">IFERROR(__xludf.DUMMYFUNCTION("""COMPUTED_VALUE"""),"C2025325103040346")</f>
        <v>C2025325103040346</v>
      </c>
      <c r="J566" s="33" t="str">
        <f ca="1">IFERROR(__xludf.DUMMYFUNCTION("""COMPUTED_VALUE"""),"JOSE BENITO BLANCO RAMOS")</f>
        <v>JOSE BENITO BLANCO RAMOS</v>
      </c>
      <c r="K566" s="33">
        <f ca="1">IFERROR(__xludf.DUMMYFUNCTION("""COMPUTED_VALUE"""),2)</f>
        <v>2</v>
      </c>
      <c r="L566" s="203">
        <f ca="1">IFERROR(__xludf.DUMMYFUNCTION("""COMPUTED_VALUE"""),2888.18)</f>
        <v>2888.18</v>
      </c>
      <c r="M566" s="33" t="str">
        <f ca="1">IFERROR(__xludf.DUMMYFUNCTION("""COMPUTED_VALUE"""),"03 ORL")</f>
        <v>03 ORL</v>
      </c>
      <c r="N566" s="33" t="str">
        <f ca="1">IFERROR(__xludf.DUMMYFUNCTION("""COMPUTED_VALUE"""),"06 ORL")</f>
        <v>06 ORL</v>
      </c>
      <c r="O566" s="33" t="str">
        <f ca="1">IFERROR(__xludf.DUMMYFUNCTION("""COMPUTED_VALUE"""),"Dra, María Rey Marcos")</f>
        <v>Dra, María Rey Marcos</v>
      </c>
      <c r="P566" s="33" t="str">
        <f ca="1">IFERROR(__xludf.DUMMYFUNCTION("""COMPUTED_VALUE"""),"Roberto Pereira (Galicia)")</f>
        <v>Roberto Pereira (Galicia)</v>
      </c>
    </row>
    <row r="567" spans="2:16">
      <c r="B567" s="33">
        <f ca="1">IFERROR(__xludf.DUMMYFUNCTION("""COMPUTED_VALUE"""),2025)</f>
        <v>2025</v>
      </c>
      <c r="C567" s="33">
        <f ca="1">IFERROR(__xludf.DUMMYFUNCTION("""COMPUTED_VALUE"""),4)</f>
        <v>4</v>
      </c>
      <c r="D567" s="33" t="str">
        <f ca="1">IFERROR(__xludf.DUMMYFUNCTION("""COMPUTED_VALUE"""),"NO")</f>
        <v>NO</v>
      </c>
      <c r="E567" s="33" t="str">
        <f ca="1">IFERROR(__xludf.DUMMYFUNCTION("""COMPUTED_VALUE"""),"San Javier")</f>
        <v>San Javier</v>
      </c>
      <c r="F567" s="57">
        <f ca="1">IFERROR(__xludf.DUMMYFUNCTION("""COMPUTED_VALUE"""),45772)</f>
        <v>45772</v>
      </c>
      <c r="G567" s="57">
        <f ca="1">IFERROR(__xludf.DUMMYFUNCTION("""COMPUTED_VALUE"""),45727)</f>
        <v>45727</v>
      </c>
      <c r="H567" s="33" t="str">
        <f ca="1">IFERROR(__xludf.DUMMYFUNCTION("""COMPUTED_VALUE"""),"San Javier")</f>
        <v>San Javier</v>
      </c>
      <c r="I567" s="33" t="str">
        <f ca="1">IFERROR(__xludf.DUMMYFUNCTION("""COMPUTED_VALUE"""),"C2025326164016894")</f>
        <v>C2025326164016894</v>
      </c>
      <c r="J567" s="33" t="str">
        <f ca="1">IFERROR(__xludf.DUMMYFUNCTION("""COMPUTED_VALUE"""),"VERONICA GOMEZ SANCHEZ")</f>
        <v>VERONICA GOMEZ SANCHEZ</v>
      </c>
      <c r="K567" s="33">
        <f ca="1">IFERROR(__xludf.DUMMYFUNCTION("""COMPUTED_VALUE"""),2)</f>
        <v>2</v>
      </c>
      <c r="L567" s="203">
        <f ca="1">IFERROR(__xludf.DUMMYFUNCTION("""COMPUTED_VALUE"""),3710)</f>
        <v>3710</v>
      </c>
      <c r="M567" s="33" t="str">
        <f ca="1">IFERROR(__xludf.DUMMYFUNCTION("""COMPUTED_VALUE"""),"03 ORL")</f>
        <v>03 ORL</v>
      </c>
      <c r="N567" s="33" t="str">
        <f ca="1">IFERROR(__xludf.DUMMYFUNCTION("""COMPUTED_VALUE"""),"06 ORL")</f>
        <v>06 ORL</v>
      </c>
      <c r="O567" s="33" t="str">
        <f ca="1">IFERROR(__xludf.DUMMYFUNCTION("""COMPUTED_VALUE"""),"Dra, Ana Giribet Fernández-Pacheco")</f>
        <v>Dra, Ana Giribet Fernández-Pacheco</v>
      </c>
      <c r="P567" s="33" t="str">
        <f ca="1">IFERROR(__xludf.DUMMYFUNCTION("""COMPUTED_VALUE"""),"Iván Sánchez (Levante Y Albacete)")</f>
        <v>Iván Sánchez (Levante Y Albacete)</v>
      </c>
    </row>
    <row r="568" spans="2:16">
      <c r="B568" s="33">
        <f ca="1">IFERROR(__xludf.DUMMYFUNCTION("""COMPUTED_VALUE"""),2025)</f>
        <v>2025</v>
      </c>
      <c r="C568" s="33">
        <f ca="1">IFERROR(__xludf.DUMMYFUNCTION("""COMPUTED_VALUE"""),4)</f>
        <v>4</v>
      </c>
      <c r="D568" s="33" t="str">
        <f ca="1">IFERROR(__xludf.DUMMYFUNCTION("""COMPUTED_VALUE"""),"NO")</f>
        <v>NO</v>
      </c>
      <c r="E568" s="33" t="str">
        <f ca="1">IFERROR(__xludf.DUMMYFUNCTION("""COMPUTED_VALUE"""),"Cáceres")</f>
        <v>Cáceres</v>
      </c>
      <c r="F568" s="57">
        <f ca="1">IFERROR(__xludf.DUMMYFUNCTION("""COMPUTED_VALUE"""),45772)</f>
        <v>45772</v>
      </c>
      <c r="G568" s="57">
        <f ca="1">IFERROR(__xludf.DUMMYFUNCTION("""COMPUTED_VALUE"""),45719)</f>
        <v>45719</v>
      </c>
      <c r="H568" s="33" t="str">
        <f ca="1">IFERROR(__xludf.DUMMYFUNCTION("""COMPUTED_VALUE"""),"Cáceres")</f>
        <v>Cáceres</v>
      </c>
      <c r="I568" s="33" t="str">
        <f ca="1">IFERROR(__xludf.DUMMYFUNCTION("""COMPUTED_VALUE"""),"CAC-245")</f>
        <v>CAC-245</v>
      </c>
      <c r="J568" s="33" t="str">
        <f ca="1">IFERROR(__xludf.DUMMYFUNCTION("""COMPUTED_VALUE"""),"MONTAÑA MENDOZA IGLESIAS")</f>
        <v>MONTAÑA MENDOZA IGLESIAS</v>
      </c>
      <c r="K568" s="33">
        <f ca="1">IFERROR(__xludf.DUMMYFUNCTION("""COMPUTED_VALUE"""),2)</f>
        <v>2</v>
      </c>
      <c r="L568" s="203">
        <f ca="1">IFERROR(__xludf.DUMMYFUNCTION("""COMPUTED_VALUE"""),4090.91)</f>
        <v>4090.91</v>
      </c>
      <c r="M568" s="33" t="str">
        <f ca="1">IFERROR(__xludf.DUMMYFUNCTION("""COMPUTED_VALUE"""),"03 ORL")</f>
        <v>03 ORL</v>
      </c>
      <c r="N568" s="33" t="str">
        <f ca="1">IFERROR(__xludf.DUMMYFUNCTION("""COMPUTED_VALUE"""),"06 ORL")</f>
        <v>06 ORL</v>
      </c>
      <c r="O568" s="33" t="str">
        <f ca="1">IFERROR(__xludf.DUMMYFUNCTION("""COMPUTED_VALUE"""),"Dr, Javier García Gómez")</f>
        <v>Dr, Javier García Gómez</v>
      </c>
      <c r="P568" s="33" t="str">
        <f ca="1">IFERROR(__xludf.DUMMYFUNCTION("""COMPUTED_VALUE"""),"Lisandro Russian (Madrid, Cáceres, Toledo, Talavera Y Logroño)")</f>
        <v>Lisandro Russian (Madrid, Cáceres, Toledo, Talavera Y Logroño)</v>
      </c>
    </row>
    <row r="569" spans="2:16">
      <c r="B569" s="33">
        <f ca="1">IFERROR(__xludf.DUMMYFUNCTION("""COMPUTED_VALUE"""),2025)</f>
        <v>2025</v>
      </c>
      <c r="C569" s="33">
        <f ca="1">IFERROR(__xludf.DUMMYFUNCTION("""COMPUTED_VALUE"""),4)</f>
        <v>4</v>
      </c>
      <c r="D569" s="33" t="str">
        <f ca="1">IFERROR(__xludf.DUMMYFUNCTION("""COMPUTED_VALUE"""),"NO")</f>
        <v>NO</v>
      </c>
      <c r="E569" s="33" t="str">
        <f ca="1">IFERROR(__xludf.DUMMYFUNCTION("""COMPUTED_VALUE"""),"Cáceres")</f>
        <v>Cáceres</v>
      </c>
      <c r="F569" s="57">
        <f ca="1">IFERROR(__xludf.DUMMYFUNCTION("""COMPUTED_VALUE"""),45772)</f>
        <v>45772</v>
      </c>
      <c r="G569" s="57">
        <f ca="1">IFERROR(__xludf.DUMMYFUNCTION("""COMPUTED_VALUE"""),45740)</f>
        <v>45740</v>
      </c>
      <c r="H569" s="33" t="str">
        <f ca="1">IFERROR(__xludf.DUMMYFUNCTION("""COMPUTED_VALUE"""),"Cáceres")</f>
        <v>Cáceres</v>
      </c>
      <c r="I569" s="33" t="str">
        <f ca="1">IFERROR(__xludf.DUMMYFUNCTION("""COMPUTED_VALUE"""),"CAC-255")</f>
        <v>CAC-255</v>
      </c>
      <c r="J569" s="33" t="str">
        <f ca="1">IFERROR(__xludf.DUMMYFUNCTION("""COMPUTED_VALUE"""),"PLACIDA DURAN GARCIA")</f>
        <v>PLACIDA DURAN GARCIA</v>
      </c>
      <c r="K569" s="33">
        <f ca="1">IFERROR(__xludf.DUMMYFUNCTION("""COMPUTED_VALUE"""),2)</f>
        <v>2</v>
      </c>
      <c r="L569" s="203">
        <f ca="1">IFERROR(__xludf.DUMMYFUNCTION("""COMPUTED_VALUE"""),3863.64)</f>
        <v>3863.64</v>
      </c>
      <c r="M569" s="33" t="str">
        <f ca="1">IFERROR(__xludf.DUMMYFUNCTION("""COMPUTED_VALUE"""),"03 ORL")</f>
        <v>03 ORL</v>
      </c>
      <c r="N569" s="33" t="str">
        <f ca="1">IFERROR(__xludf.DUMMYFUNCTION("""COMPUTED_VALUE"""),"06 ORL")</f>
        <v>06 ORL</v>
      </c>
      <c r="O569" s="33" t="str">
        <f ca="1">IFERROR(__xludf.DUMMYFUNCTION("""COMPUTED_VALUE"""),"Dr, Alejandro Harguindey Antoli-Candela")</f>
        <v>Dr, Alejandro Harguindey Antoli-Candela</v>
      </c>
      <c r="P569" s="33" t="str">
        <f ca="1">IFERROR(__xludf.DUMMYFUNCTION("""COMPUTED_VALUE"""),"Maika Blázquez (Madrid)")</f>
        <v>Maika Blázquez (Madrid)</v>
      </c>
    </row>
    <row r="570" spans="2:16">
      <c r="B570" s="33">
        <f ca="1">IFERROR(__xludf.DUMMYFUNCTION("""COMPUTED_VALUE"""),2025)</f>
        <v>2025</v>
      </c>
      <c r="C570" s="33">
        <f ca="1">IFERROR(__xludf.DUMMYFUNCTION("""COMPUTED_VALUE"""),4)</f>
        <v>4</v>
      </c>
      <c r="D570" s="33" t="str">
        <f ca="1">IFERROR(__xludf.DUMMYFUNCTION("""COMPUTED_VALUE"""),"NO")</f>
        <v>NO</v>
      </c>
      <c r="E570" s="33" t="str">
        <f ca="1">IFERROR(__xludf.DUMMYFUNCTION("""COMPUTED_VALUE"""),"Sevilla- Ciencias")</f>
        <v>Sevilla- Ciencias</v>
      </c>
      <c r="F570" s="57">
        <f ca="1">IFERROR(__xludf.DUMMYFUNCTION("""COMPUTED_VALUE"""),45772)</f>
        <v>45772</v>
      </c>
      <c r="G570" s="57">
        <f ca="1">IFERROR(__xludf.DUMMYFUNCTION("""COMPUTED_VALUE"""),45736)</f>
        <v>45736</v>
      </c>
      <c r="H570" s="33" t="str">
        <f ca="1">IFERROR(__xludf.DUMMYFUNCTION("""COMPUTED_VALUE"""),"Sevilla Este")</f>
        <v>Sevilla Este</v>
      </c>
      <c r="I570" s="33" t="str">
        <f ca="1">IFERROR(__xludf.DUMMYFUNCTION("""COMPUTED_VALUE"""),"SEVE-386")</f>
        <v>SEVE-386</v>
      </c>
      <c r="J570" s="33" t="str">
        <f ca="1">IFERROR(__xludf.DUMMYFUNCTION("""COMPUTED_VALUE"""),"PEDRO SAAVEDRA RODRIGUEZ")</f>
        <v>PEDRO SAAVEDRA RODRIGUEZ</v>
      </c>
      <c r="K570" s="33">
        <f ca="1">IFERROR(__xludf.DUMMYFUNCTION("""COMPUTED_VALUE"""),2)</f>
        <v>2</v>
      </c>
      <c r="L570" s="203">
        <f ca="1">IFERROR(__xludf.DUMMYFUNCTION("""COMPUTED_VALUE"""),3358.18)</f>
        <v>3358.18</v>
      </c>
      <c r="M570" s="33" t="str">
        <f ca="1">IFERROR(__xludf.DUMMYFUNCTION("""COMPUTED_VALUE"""),"03 ORL")</f>
        <v>03 ORL</v>
      </c>
      <c r="N570" s="33" t="str">
        <f ca="1">IFERROR(__xludf.DUMMYFUNCTION("""COMPUTED_VALUE"""),"06 ORL")</f>
        <v>06 ORL</v>
      </c>
      <c r="O570" s="33" t="str">
        <f ca="1">IFERROR(__xludf.DUMMYFUNCTION("""COMPUTED_VALUE"""),"Dra, Estefanía Berrocal Postigo")</f>
        <v>Dra, Estefanía Berrocal Postigo</v>
      </c>
      <c r="P570" s="33" t="str">
        <f ca="1">IFERROR(__xludf.DUMMYFUNCTION("""COMPUTED_VALUE"""),"Luis Alberto Rodríguez (Andalucía Y Badajoz)")</f>
        <v>Luis Alberto Rodríguez (Andalucía Y Badajoz)</v>
      </c>
    </row>
    <row r="571" spans="2:16">
      <c r="B571" s="33">
        <f ca="1">IFERROR(__xludf.DUMMYFUNCTION("""COMPUTED_VALUE"""),2025)</f>
        <v>2025</v>
      </c>
      <c r="C571" s="33">
        <f ca="1">IFERROR(__xludf.DUMMYFUNCTION("""COMPUTED_VALUE"""),4)</f>
        <v>4</v>
      </c>
      <c r="D571" s="33" t="str">
        <f ca="1">IFERROR(__xludf.DUMMYFUNCTION("""COMPUTED_VALUE"""),"NO")</f>
        <v>NO</v>
      </c>
      <c r="E571" s="33" t="str">
        <f ca="1">IFERROR(__xludf.DUMMYFUNCTION("""COMPUTED_VALUE"""),"Alicante")</f>
        <v>Alicante</v>
      </c>
      <c r="F571" s="57">
        <f ca="1">IFERROR(__xludf.DUMMYFUNCTION("""COMPUTED_VALUE"""),45775)</f>
        <v>45775</v>
      </c>
      <c r="G571" s="57">
        <f ca="1">IFERROR(__xludf.DUMMYFUNCTION("""COMPUTED_VALUE"""),45729)</f>
        <v>45729</v>
      </c>
      <c r="H571" s="33" t="str">
        <f ca="1">IFERROR(__xludf.DUMMYFUNCTION("""COMPUTED_VALUE"""),"Alicante")</f>
        <v>Alicante</v>
      </c>
      <c r="I571" s="33" t="str">
        <f ca="1">IFERROR(__xludf.DUMMYFUNCTION("""COMPUTED_VALUE"""),"C2025326163318613")</f>
        <v>C2025326163318613</v>
      </c>
      <c r="J571" s="33" t="str">
        <f ca="1">IFERROR(__xludf.DUMMYFUNCTION("""COMPUTED_VALUE"""),"MARIA DEL PILAR MORALES BUENO")</f>
        <v>MARIA DEL PILAR MORALES BUENO</v>
      </c>
      <c r="K571" s="33">
        <f ca="1">IFERROR(__xludf.DUMMYFUNCTION("""COMPUTED_VALUE"""),2)</f>
        <v>2</v>
      </c>
      <c r="L571" s="203">
        <f ca="1">IFERROR(__xludf.DUMMYFUNCTION("""COMPUTED_VALUE"""),2888.18)</f>
        <v>2888.18</v>
      </c>
      <c r="M571" s="33" t="str">
        <f ca="1">IFERROR(__xludf.DUMMYFUNCTION("""COMPUTED_VALUE"""),"03 ORL")</f>
        <v>03 ORL</v>
      </c>
      <c r="N571" s="33" t="str">
        <f ca="1">IFERROR(__xludf.DUMMYFUNCTION("""COMPUTED_VALUE"""),"06 ORL")</f>
        <v>06 ORL</v>
      </c>
      <c r="O571" s="33" t="str">
        <f ca="1">IFERROR(__xludf.DUMMYFUNCTION("""COMPUTED_VALUE"""),"Dr, Francisco Pastor Beviá")</f>
        <v>Dr, Francisco Pastor Beviá</v>
      </c>
      <c r="P571" s="33" t="str">
        <f ca="1">IFERROR(__xludf.DUMMYFUNCTION("""COMPUTED_VALUE"""),"Iván Sánchez (Levante Y Albacete)")</f>
        <v>Iván Sánchez (Levante Y Albacete)</v>
      </c>
    </row>
    <row r="572" spans="2:16">
      <c r="B572" s="33">
        <f ca="1">IFERROR(__xludf.DUMMYFUNCTION("""COMPUTED_VALUE"""),2025)</f>
        <v>2025</v>
      </c>
      <c r="C572" s="33">
        <f ca="1">IFERROR(__xludf.DUMMYFUNCTION("""COMPUTED_VALUE"""),4)</f>
        <v>4</v>
      </c>
      <c r="D572" s="33" t="str">
        <f ca="1">IFERROR(__xludf.DUMMYFUNCTION("""COMPUTED_VALUE"""),"NO")</f>
        <v>NO</v>
      </c>
      <c r="E572" s="33" t="str">
        <f ca="1">IFERROR(__xludf.DUMMYFUNCTION("""COMPUTED_VALUE"""),"Madrid- Galileo")</f>
        <v>Madrid- Galileo</v>
      </c>
      <c r="F572" s="57">
        <f ca="1">IFERROR(__xludf.DUMMYFUNCTION("""COMPUTED_VALUE"""),45775)</f>
        <v>45775</v>
      </c>
      <c r="G572" s="57">
        <f ca="1">IFERROR(__xludf.DUMMYFUNCTION("""COMPUTED_VALUE"""),45744)</f>
        <v>45744</v>
      </c>
      <c r="H572" s="33" t="str">
        <f ca="1">IFERROR(__xludf.DUMMYFUNCTION("""COMPUTED_VALUE"""),"Moncloa")</f>
        <v>Moncloa</v>
      </c>
      <c r="I572" s="33" t="str">
        <f ca="1">IFERROR(__xludf.DUMMYFUNCTION("""COMPUTED_VALUE"""),"C202544115921187")</f>
        <v>C202544115921187</v>
      </c>
      <c r="J572" s="33" t="str">
        <f ca="1">IFERROR(__xludf.DUMMYFUNCTION("""COMPUTED_VALUE"""),"CARMEN GARCIA-CAMBA DE LA MUELA")</f>
        <v>CARMEN GARCIA-CAMBA DE LA MUELA</v>
      </c>
      <c r="K572" s="33">
        <f ca="1">IFERROR(__xludf.DUMMYFUNCTION("""COMPUTED_VALUE"""),1)</f>
        <v>1</v>
      </c>
      <c r="L572" s="203">
        <f ca="1">IFERROR(__xludf.DUMMYFUNCTION("""COMPUTED_VALUE"""),2400)</f>
        <v>2400</v>
      </c>
      <c r="M572" s="33" t="str">
        <f ca="1">IFERROR(__xludf.DUMMYFUNCTION("""COMPUTED_VALUE"""),"03 ORL")</f>
        <v>03 ORL</v>
      </c>
      <c r="N572" s="33" t="str">
        <f ca="1">IFERROR(__xludf.DUMMYFUNCTION("""COMPUTED_VALUE"""),"06 ORL")</f>
        <v>06 ORL</v>
      </c>
      <c r="O572" s="33" t="str">
        <f ca="1">IFERROR(__xludf.DUMMYFUNCTION("""COMPUTED_VALUE"""),"Dra, Ana María Sánchez-Prieto Fernández")</f>
        <v>Dra, Ana María Sánchez-Prieto Fernández</v>
      </c>
      <c r="P572" s="33" t="str">
        <f ca="1">IFERROR(__xludf.DUMMYFUNCTION("""COMPUTED_VALUE"""),"Lisandro Russian (Madrid, Cáceres, Toledo, Talavera Y Logroño)")</f>
        <v>Lisandro Russian (Madrid, Cáceres, Toledo, Talavera Y Logroño)</v>
      </c>
    </row>
    <row r="573" spans="2:16">
      <c r="B573" s="33">
        <f ca="1">IFERROR(__xludf.DUMMYFUNCTION("""COMPUTED_VALUE"""),2025)</f>
        <v>2025</v>
      </c>
      <c r="C573" s="33">
        <f ca="1">IFERROR(__xludf.DUMMYFUNCTION("""COMPUTED_VALUE"""),4)</f>
        <v>4</v>
      </c>
      <c r="D573" s="33" t="str">
        <f ca="1">IFERROR(__xludf.DUMMYFUNCTION("""COMPUTED_VALUE"""),"NO")</f>
        <v>NO</v>
      </c>
      <c r="E573" s="33" t="str">
        <f ca="1">IFERROR(__xludf.DUMMYFUNCTION("""COMPUTED_VALUE"""),"Madrid- Juan Bravo")</f>
        <v>Madrid- Juan Bravo</v>
      </c>
      <c r="F573" s="57">
        <f ca="1">IFERROR(__xludf.DUMMYFUNCTION("""COMPUTED_VALUE"""),45775)</f>
        <v>45775</v>
      </c>
      <c r="G573" s="57">
        <f ca="1">IFERROR(__xludf.DUMMYFUNCTION("""COMPUTED_VALUE"""),45734)</f>
        <v>45734</v>
      </c>
      <c r="H573" s="33" t="str">
        <f ca="1">IFERROR(__xludf.DUMMYFUNCTION("""COMPUTED_VALUE"""),"Juan Bravo")</f>
        <v>Juan Bravo</v>
      </c>
      <c r="I573" s="33" t="str">
        <f ca="1">IFERROR(__xludf.DUMMYFUNCTION("""COMPUTED_VALUE"""),"C2025326155957325")</f>
        <v>C2025326155957325</v>
      </c>
      <c r="J573" s="33" t="str">
        <f ca="1">IFERROR(__xludf.DUMMYFUNCTION("""COMPUTED_VALUE"""),"BLANCA RUIZ ADANERO")</f>
        <v>BLANCA RUIZ ADANERO</v>
      </c>
      <c r="K573" s="33">
        <f ca="1">IFERROR(__xludf.DUMMYFUNCTION("""COMPUTED_VALUE"""),1)</f>
        <v>1</v>
      </c>
      <c r="L573" s="203">
        <f ca="1">IFERROR(__xludf.DUMMYFUNCTION("""COMPUTED_VALUE"""),2640)</f>
        <v>2640</v>
      </c>
      <c r="M573" s="33" t="str">
        <f ca="1">IFERROR(__xludf.DUMMYFUNCTION("""COMPUTED_VALUE"""),"03 ORL")</f>
        <v>03 ORL</v>
      </c>
      <c r="N573" s="33" t="str">
        <f ca="1">IFERROR(__xludf.DUMMYFUNCTION("""COMPUTED_VALUE"""),"06 ORL")</f>
        <v>06 ORL</v>
      </c>
      <c r="O573" s="33" t="str">
        <f ca="1">IFERROR(__xludf.DUMMYFUNCTION("""COMPUTED_VALUE"""),"Dr, Carlos Barajas Del Rosal")</f>
        <v>Dr, Carlos Barajas Del Rosal</v>
      </c>
      <c r="P573" s="33" t="str">
        <f ca="1">IFERROR(__xludf.DUMMYFUNCTION("""COMPUTED_VALUE"""),"Lisandro Russian (Madrid, Cáceres, Toledo, Talavera Y Logroño)")</f>
        <v>Lisandro Russian (Madrid, Cáceres, Toledo, Talavera Y Logroño)</v>
      </c>
    </row>
    <row r="574" spans="2:16">
      <c r="B574" s="33">
        <f ca="1">IFERROR(__xludf.DUMMYFUNCTION("""COMPUTED_VALUE"""),2025)</f>
        <v>2025</v>
      </c>
      <c r="C574" s="33">
        <f ca="1">IFERROR(__xludf.DUMMYFUNCTION("""COMPUTED_VALUE"""),4)</f>
        <v>4</v>
      </c>
      <c r="D574" s="33" t="str">
        <f ca="1">IFERROR(__xludf.DUMMYFUNCTION("""COMPUTED_VALUE"""),"NO")</f>
        <v>NO</v>
      </c>
      <c r="E574" s="33" t="str">
        <f ca="1">IFERROR(__xludf.DUMMYFUNCTION("""COMPUTED_VALUE"""),"Murcia")</f>
        <v>Murcia</v>
      </c>
      <c r="F574" s="57">
        <f ca="1">IFERROR(__xludf.DUMMYFUNCTION("""COMPUTED_VALUE"""),45775)</f>
        <v>45775</v>
      </c>
      <c r="G574" s="57">
        <f ca="1">IFERROR(__xludf.DUMMYFUNCTION("""COMPUTED_VALUE"""),45699)</f>
        <v>45699</v>
      </c>
      <c r="H574" s="33" t="str">
        <f ca="1">IFERROR(__xludf.DUMMYFUNCTION("""COMPUTED_VALUE"""),"Murcia")</f>
        <v>Murcia</v>
      </c>
      <c r="I574" s="33" t="str">
        <f ca="1">IFERROR(__xludf.DUMMYFUNCTION("""COMPUTED_VALUE"""),"C2025217111723386")</f>
        <v>C2025217111723386</v>
      </c>
      <c r="J574" s="33" t="str">
        <f ca="1">IFERROR(__xludf.DUMMYFUNCTION("""COMPUTED_VALUE"""),"ANGEL ALARCON ESCUDERO")</f>
        <v>ANGEL ALARCON ESCUDERO</v>
      </c>
      <c r="K574" s="33">
        <f ca="1">IFERROR(__xludf.DUMMYFUNCTION("""COMPUTED_VALUE"""),2)</f>
        <v>2</v>
      </c>
      <c r="L574" s="203">
        <f ca="1">IFERROR(__xludf.DUMMYFUNCTION("""COMPUTED_VALUE"""),3710)</f>
        <v>3710</v>
      </c>
      <c r="M574" s="33" t="str">
        <f ca="1">IFERROR(__xludf.DUMMYFUNCTION("""COMPUTED_VALUE"""),"01 MARKETING ON LINE")</f>
        <v>01 MARKETING ON LINE</v>
      </c>
      <c r="N574" s="33" t="str">
        <f ca="1">IFERROR(__xludf.DUMMYFUNCTION("""COMPUTED_VALUE"""),"04 AUDIFONO,ES")</f>
        <v>04 AUDIFONO,ES</v>
      </c>
      <c r="O574" s="33" t="str">
        <f ca="1">IFERROR(__xludf.DUMMYFUNCTION("""COMPUTED_VALUE"""),"Dra, Nuria Salas Barrio")</f>
        <v>Dra, Nuria Salas Barrio</v>
      </c>
      <c r="P574" s="33" t="str">
        <f ca="1">IFERROR(__xludf.DUMMYFUNCTION("""COMPUTED_VALUE"""),"Iván Sánchez (Levante Y Albacete)")</f>
        <v>Iván Sánchez (Levante Y Albacete)</v>
      </c>
    </row>
    <row r="575" spans="2:16">
      <c r="B575" s="33">
        <f ca="1">IFERROR(__xludf.DUMMYFUNCTION("""COMPUTED_VALUE"""),2025)</f>
        <v>2025</v>
      </c>
      <c r="C575" s="33">
        <f ca="1">IFERROR(__xludf.DUMMYFUNCTION("""COMPUTED_VALUE"""),4)</f>
        <v>4</v>
      </c>
      <c r="D575" s="33" t="str">
        <f ca="1">IFERROR(__xludf.DUMMYFUNCTION("""COMPUTED_VALUE"""),"NO")</f>
        <v>NO</v>
      </c>
      <c r="E575" s="33" t="str">
        <f ca="1">IFERROR(__xludf.DUMMYFUNCTION("""COMPUTED_VALUE"""),"Ourense")</f>
        <v>Ourense</v>
      </c>
      <c r="F575" s="57">
        <f ca="1">IFERROR(__xludf.DUMMYFUNCTION("""COMPUTED_VALUE"""),45775)</f>
        <v>45775</v>
      </c>
      <c r="G575" s="57">
        <f ca="1">IFERROR(__xludf.DUMMYFUNCTION("""COMPUTED_VALUE"""),45755)</f>
        <v>45755</v>
      </c>
      <c r="H575" s="33" t="str">
        <f ca="1">IFERROR(__xludf.DUMMYFUNCTION("""COMPUTED_VALUE"""),"Orense")</f>
        <v>Orense</v>
      </c>
      <c r="I575" s="33" t="str">
        <f ca="1">IFERROR(__xludf.DUMMYFUNCTION("""COMPUTED_VALUE"""),"C20254995138678")</f>
        <v>C20254995138678</v>
      </c>
      <c r="J575" s="33" t="str">
        <f ca="1">IFERROR(__xludf.DUMMYFUNCTION("""COMPUTED_VALUE"""),"MARIA MILAGROS DEL CAMPO DEL CAMPO")</f>
        <v>MARIA MILAGROS DEL CAMPO DEL CAMPO</v>
      </c>
      <c r="K575" s="33">
        <f ca="1">IFERROR(__xludf.DUMMYFUNCTION("""COMPUTED_VALUE"""),1)</f>
        <v>1</v>
      </c>
      <c r="L575" s="203">
        <f ca="1">IFERROR(__xludf.DUMMYFUNCTION("""COMPUTED_VALUE"""),1732.73)</f>
        <v>1732.73</v>
      </c>
      <c r="M575" s="33" t="str">
        <f ca="1">IFERROR(__xludf.DUMMYFUNCTION("""COMPUTED_VALUE"""),"03 ORL")</f>
        <v>03 ORL</v>
      </c>
      <c r="N575" s="33" t="str">
        <f ca="1">IFERROR(__xludf.DUMMYFUNCTION("""COMPUTED_VALUE"""),"06 ORL")</f>
        <v>06 ORL</v>
      </c>
      <c r="O575" s="33" t="str">
        <f ca="1">IFERROR(__xludf.DUMMYFUNCTION("""COMPUTED_VALUE"""),"Dra, Ana Quintana Sanjuan")</f>
        <v>Dra, Ana Quintana Sanjuan</v>
      </c>
      <c r="P575" s="33" t="str">
        <f ca="1">IFERROR(__xludf.DUMMYFUNCTION("""COMPUTED_VALUE"""),"Roberto Pereira (Galicia)")</f>
        <v>Roberto Pereira (Galicia)</v>
      </c>
    </row>
    <row r="576" spans="2:16">
      <c r="B576" s="33">
        <f ca="1">IFERROR(__xludf.DUMMYFUNCTION("""COMPUTED_VALUE"""),2025)</f>
        <v>2025</v>
      </c>
      <c r="C576" s="33">
        <f ca="1">IFERROR(__xludf.DUMMYFUNCTION("""COMPUTED_VALUE"""),4)</f>
        <v>4</v>
      </c>
      <c r="D576" s="33" t="str">
        <f ca="1">IFERROR(__xludf.DUMMYFUNCTION("""COMPUTED_VALUE"""),"NO")</f>
        <v>NO</v>
      </c>
      <c r="E576" s="33" t="str">
        <f ca="1">IFERROR(__xludf.DUMMYFUNCTION("""COMPUTED_VALUE"""),"Albacete")</f>
        <v>Albacete</v>
      </c>
      <c r="F576" s="57">
        <f ca="1">IFERROR(__xludf.DUMMYFUNCTION("""COMPUTED_VALUE"""),45776)</f>
        <v>45776</v>
      </c>
      <c r="G576" s="57">
        <f ca="1">IFERROR(__xludf.DUMMYFUNCTION("""COMPUTED_VALUE"""),45733)</f>
        <v>45733</v>
      </c>
      <c r="H576" s="33" t="str">
        <f ca="1">IFERROR(__xludf.DUMMYFUNCTION("""COMPUTED_VALUE"""),"Albacete")</f>
        <v>Albacete</v>
      </c>
      <c r="I576" s="33" t="str">
        <f ca="1">IFERROR(__xludf.DUMMYFUNCTION("""COMPUTED_VALUE"""),"C2025317152319499")</f>
        <v>C2025317152319499</v>
      </c>
      <c r="J576" s="33" t="str">
        <f ca="1">IFERROR(__xludf.DUMMYFUNCTION("""COMPUTED_VALUE"""),"JUAN GOMEZ TOLOSA")</f>
        <v>JUAN GOMEZ TOLOSA</v>
      </c>
      <c r="K576" s="33">
        <f ca="1">IFERROR(__xludf.DUMMYFUNCTION("""COMPUTED_VALUE"""),2)</f>
        <v>2</v>
      </c>
      <c r="L576" s="203">
        <f ca="1">IFERROR(__xludf.DUMMYFUNCTION("""COMPUTED_VALUE"""),2884.62)</f>
        <v>2884.62</v>
      </c>
      <c r="M576" s="33" t="str">
        <f ca="1">IFERROR(__xludf.DUMMYFUNCTION("""COMPUTED_VALUE"""),"03 ORL")</f>
        <v>03 ORL</v>
      </c>
      <c r="N576" s="33" t="str">
        <f ca="1">IFERROR(__xludf.DUMMYFUNCTION("""COMPUTED_VALUE"""),"06 ORL")</f>
        <v>06 ORL</v>
      </c>
      <c r="O576" s="33" t="str">
        <f ca="1">IFERROR(__xludf.DUMMYFUNCTION("""COMPUTED_VALUE"""),"Dr, Pedro Masegosa Zapata")</f>
        <v>Dr, Pedro Masegosa Zapata</v>
      </c>
      <c r="P576" s="33" t="str">
        <f ca="1">IFERROR(__xludf.DUMMYFUNCTION("""COMPUTED_VALUE"""),"Iván Sánchez (Levante Y Albacete)")</f>
        <v>Iván Sánchez (Levante Y Albacete)</v>
      </c>
    </row>
    <row r="577" spans="2:16">
      <c r="B577" s="33">
        <f ca="1">IFERROR(__xludf.DUMMYFUNCTION("""COMPUTED_VALUE"""),2025)</f>
        <v>2025</v>
      </c>
      <c r="C577" s="33">
        <f ca="1">IFERROR(__xludf.DUMMYFUNCTION("""COMPUTED_VALUE"""),4)</f>
        <v>4</v>
      </c>
      <c r="D577" s="33" t="str">
        <f ca="1">IFERROR(__xludf.DUMMYFUNCTION("""COMPUTED_VALUE"""),"NO")</f>
        <v>NO</v>
      </c>
      <c r="E577" s="33" t="str">
        <f ca="1">IFERROR(__xludf.DUMMYFUNCTION("""COMPUTED_VALUE"""),"El Albir (Benidorm)")</f>
        <v>El Albir (Benidorm)</v>
      </c>
      <c r="F577" s="57">
        <f ca="1">IFERROR(__xludf.DUMMYFUNCTION("""COMPUTED_VALUE"""),45776)</f>
        <v>45776</v>
      </c>
      <c r="G577" s="57">
        <f ca="1">IFERROR(__xludf.DUMMYFUNCTION("""COMPUTED_VALUE"""),45721)</f>
        <v>45721</v>
      </c>
      <c r="H577" s="33" t="str">
        <f ca="1">IFERROR(__xludf.DUMMYFUNCTION("""COMPUTED_VALUE"""),"El Albir (Benidorm)")</f>
        <v>El Albir (Benidorm)</v>
      </c>
      <c r="I577" s="33" t="str">
        <f ca="1">IFERROR(__xludf.DUMMYFUNCTION("""COMPUTED_VALUE"""),"C2025311175742850")</f>
        <v>C2025311175742850</v>
      </c>
      <c r="J577" s="33" t="str">
        <f ca="1">IFERROR(__xludf.DUMMYFUNCTION("""COMPUTED_VALUE"""),"JUAN ZARAGOCI IBORRA")</f>
        <v>JUAN ZARAGOCI IBORRA</v>
      </c>
      <c r="K577" s="33">
        <f ca="1">IFERROR(__xludf.DUMMYFUNCTION("""COMPUTED_VALUE"""),2)</f>
        <v>2</v>
      </c>
      <c r="L577" s="203">
        <f ca="1">IFERROR(__xludf.DUMMYFUNCTION("""COMPUTED_VALUE"""),3710)</f>
        <v>3710</v>
      </c>
      <c r="M577" s="33" t="str">
        <f ca="1">IFERROR(__xludf.DUMMYFUNCTION("""COMPUTED_VALUE"""),"03 ORL")</f>
        <v>03 ORL</v>
      </c>
      <c r="N577" s="33" t="str">
        <f ca="1">IFERROR(__xludf.DUMMYFUNCTION("""COMPUTED_VALUE"""),"06 ORL")</f>
        <v>06 ORL</v>
      </c>
      <c r="O577" s="33" t="str">
        <f ca="1">IFERROR(__xludf.DUMMYFUNCTION("""COMPUTED_VALUE"""),"Dra, María Emilia García Ruiz")</f>
        <v>Dra, María Emilia García Ruiz</v>
      </c>
      <c r="P577" s="33" t="str">
        <f ca="1">IFERROR(__xludf.DUMMYFUNCTION("""COMPUTED_VALUE"""),"Ramon Ferrando(Valencia)")</f>
        <v>Ramon Ferrando(Valencia)</v>
      </c>
    </row>
    <row r="578" spans="2:16">
      <c r="B578" s="33">
        <f ca="1">IFERROR(__xludf.DUMMYFUNCTION("""COMPUTED_VALUE"""),2025)</f>
        <v>2025</v>
      </c>
      <c r="C578" s="33">
        <f ca="1">IFERROR(__xludf.DUMMYFUNCTION("""COMPUTED_VALUE"""),4)</f>
        <v>4</v>
      </c>
      <c r="D578" s="33" t="str">
        <f ca="1">IFERROR(__xludf.DUMMYFUNCTION("""COMPUTED_VALUE"""),"NO")</f>
        <v>NO</v>
      </c>
      <c r="E578" s="33" t="str">
        <f ca="1">IFERROR(__xludf.DUMMYFUNCTION("""COMPUTED_VALUE"""),"Fuenlabrada")</f>
        <v>Fuenlabrada</v>
      </c>
      <c r="F578" s="57">
        <f ca="1">IFERROR(__xludf.DUMMYFUNCTION("""COMPUTED_VALUE"""),45776)</f>
        <v>45776</v>
      </c>
      <c r="G578" s="57">
        <f ca="1">IFERROR(__xludf.DUMMYFUNCTION("""COMPUTED_VALUE"""),45665)</f>
        <v>45665</v>
      </c>
      <c r="H578" s="33" t="str">
        <f ca="1">IFERROR(__xludf.DUMMYFUNCTION("""COMPUTED_VALUE"""),"Fuenlabrada")</f>
        <v>Fuenlabrada</v>
      </c>
      <c r="I578" s="33" t="str">
        <f ca="1">IFERROR(__xludf.DUMMYFUNCTION("""COMPUTED_VALUE"""),"C2025110115758397")</f>
        <v>C2025110115758397</v>
      </c>
      <c r="J578" s="33" t="str">
        <f ca="1">IFERROR(__xludf.DUMMYFUNCTION("""COMPUTED_VALUE"""),"MARIA GARRIDO SANCHA")</f>
        <v>MARIA GARRIDO SANCHA</v>
      </c>
      <c r="K578" s="33">
        <f ca="1">IFERROR(__xludf.DUMMYFUNCTION("""COMPUTED_VALUE"""),2)</f>
        <v>2</v>
      </c>
      <c r="L578" s="203">
        <f ca="1">IFERROR(__xludf.DUMMYFUNCTION("""COMPUTED_VALUE"""),4000)</f>
        <v>4000</v>
      </c>
      <c r="M578" s="33" t="str">
        <f ca="1">IFERROR(__xludf.DUMMYFUNCTION("""COMPUTED_VALUE"""),"03 ORL")</f>
        <v>03 ORL</v>
      </c>
      <c r="N578" s="33" t="str">
        <f ca="1">IFERROR(__xludf.DUMMYFUNCTION("""COMPUTED_VALUE"""),"06 ORL")</f>
        <v>06 ORL</v>
      </c>
      <c r="O578" s="33" t="str">
        <f ca="1">IFERROR(__xludf.DUMMYFUNCTION("""COMPUTED_VALUE"""),"Dr, Raimundo Andres Navarro Mediano")</f>
        <v>Dr, Raimundo Andres Navarro Mediano</v>
      </c>
      <c r="P578" s="33" t="str">
        <f ca="1">IFERROR(__xludf.DUMMYFUNCTION("""COMPUTED_VALUE"""),"Maika Blázquez (Madrid)")</f>
        <v>Maika Blázquez (Madrid)</v>
      </c>
    </row>
    <row r="579" spans="2:16">
      <c r="B579" s="33">
        <f ca="1">IFERROR(__xludf.DUMMYFUNCTION("""COMPUTED_VALUE"""),2025)</f>
        <v>2025</v>
      </c>
      <c r="C579" s="33">
        <f ca="1">IFERROR(__xludf.DUMMYFUNCTION("""COMPUTED_VALUE"""),4)</f>
        <v>4</v>
      </c>
      <c r="D579" s="33" t="str">
        <f ca="1">IFERROR(__xludf.DUMMYFUNCTION("""COMPUTED_VALUE"""),"NO")</f>
        <v>NO</v>
      </c>
      <c r="E579" s="33" t="str">
        <f ca="1">IFERROR(__xludf.DUMMYFUNCTION("""COMPUTED_VALUE"""),"Getafe")</f>
        <v>Getafe</v>
      </c>
      <c r="F579" s="57">
        <f ca="1">IFERROR(__xludf.DUMMYFUNCTION("""COMPUTED_VALUE"""),45776)</f>
        <v>45776</v>
      </c>
      <c r="G579" s="57">
        <f ca="1">IFERROR(__xludf.DUMMYFUNCTION("""COMPUTED_VALUE"""),45756)</f>
        <v>45756</v>
      </c>
      <c r="H579" s="33" t="str">
        <f ca="1">IFERROR(__xludf.DUMMYFUNCTION("""COMPUTED_VALUE"""),"Getafe")</f>
        <v>Getafe</v>
      </c>
      <c r="I579" s="33" t="str">
        <f ca="1">IFERROR(__xludf.DUMMYFUNCTION("""COMPUTED_VALUE"""),"C20254111629612")</f>
        <v>C20254111629612</v>
      </c>
      <c r="J579" s="33" t="str">
        <f ca="1">IFERROR(__xludf.DUMMYFUNCTION("""COMPUTED_VALUE"""),"MARIA PAZ SAEZ MEDIERO")</f>
        <v>MARIA PAZ SAEZ MEDIERO</v>
      </c>
      <c r="K579" s="33">
        <f ca="1">IFERROR(__xludf.DUMMYFUNCTION("""COMPUTED_VALUE"""),2)</f>
        <v>2</v>
      </c>
      <c r="L579" s="203">
        <f ca="1">IFERROR(__xludf.DUMMYFUNCTION("""COMPUTED_VALUE"""),2888.18)</f>
        <v>2888.18</v>
      </c>
      <c r="M579" s="33" t="str">
        <f ca="1">IFERROR(__xludf.DUMMYFUNCTION("""COMPUTED_VALUE"""),"03 ORL")</f>
        <v>03 ORL</v>
      </c>
      <c r="N579" s="33" t="str">
        <f ca="1">IFERROR(__xludf.DUMMYFUNCTION("""COMPUTED_VALUE"""),"06 ORL")</f>
        <v>06 ORL</v>
      </c>
      <c r="O579" s="33" t="str">
        <f ca="1">IFERROR(__xludf.DUMMYFUNCTION("""COMPUTED_VALUE"""),"Dra, Cristina Vaduva")</f>
        <v>Dra, Cristina Vaduva</v>
      </c>
      <c r="P579" s="33" t="str">
        <f ca="1">IFERROR(__xludf.DUMMYFUNCTION("""COMPUTED_VALUE"""),"Maika Blázquez (Madrid)")</f>
        <v>Maika Blázquez (Madrid)</v>
      </c>
    </row>
    <row r="580" spans="2:16">
      <c r="B580" s="33">
        <f ca="1">IFERROR(__xludf.DUMMYFUNCTION("""COMPUTED_VALUE"""),2025)</f>
        <v>2025</v>
      </c>
      <c r="C580" s="33">
        <f ca="1">IFERROR(__xludf.DUMMYFUNCTION("""COMPUTED_VALUE"""),4)</f>
        <v>4</v>
      </c>
      <c r="D580" s="33" t="str">
        <f ca="1">IFERROR(__xludf.DUMMYFUNCTION("""COMPUTED_VALUE"""),"NO")</f>
        <v>NO</v>
      </c>
      <c r="E580" s="33" t="str">
        <f ca="1">IFERROR(__xludf.DUMMYFUNCTION("""COMPUTED_VALUE"""),"Lugo")</f>
        <v>Lugo</v>
      </c>
      <c r="F580" s="57">
        <f ca="1">IFERROR(__xludf.DUMMYFUNCTION("""COMPUTED_VALUE"""),45776)</f>
        <v>45776</v>
      </c>
      <c r="G580" s="57">
        <f ca="1">IFERROR(__xludf.DUMMYFUNCTION("""COMPUTED_VALUE"""),45713)</f>
        <v>45713</v>
      </c>
      <c r="H580" s="33" t="str">
        <f ca="1">IFERROR(__xludf.DUMMYFUNCTION("""COMPUTED_VALUE"""),"Lugo")</f>
        <v>Lugo</v>
      </c>
      <c r="I580" s="33" t="str">
        <f ca="1">IFERROR(__xludf.DUMMYFUNCTION("""COMPUTED_VALUE"""),"C20253591552134")</f>
        <v>C20253591552134</v>
      </c>
      <c r="J580" s="33" t="str">
        <f ca="1">IFERROR(__xludf.DUMMYFUNCTION("""COMPUTED_VALUE"""),"EMILIO GONZALEZ LOPEZ")</f>
        <v>EMILIO GONZALEZ LOPEZ</v>
      </c>
      <c r="K580" s="33">
        <f ca="1">IFERROR(__xludf.DUMMYFUNCTION("""COMPUTED_VALUE"""),2)</f>
        <v>2</v>
      </c>
      <c r="L580" s="203">
        <f ca="1">IFERROR(__xludf.DUMMYFUNCTION("""COMPUTED_VALUE"""),3710)</f>
        <v>3710</v>
      </c>
      <c r="M580" s="33" t="str">
        <f ca="1">IFERROR(__xludf.DUMMYFUNCTION("""COMPUTED_VALUE"""),"03 ORL")</f>
        <v>03 ORL</v>
      </c>
      <c r="N580" s="33" t="str">
        <f ca="1">IFERROR(__xludf.DUMMYFUNCTION("""COMPUTED_VALUE"""),"06 ORL")</f>
        <v>06 ORL</v>
      </c>
      <c r="O580" s="33" t="str">
        <f ca="1">IFERROR(__xludf.DUMMYFUNCTION("""COMPUTED_VALUE"""),"Dr, Juan Pedro Rubio Rodríguez")</f>
        <v>Dr, Juan Pedro Rubio Rodríguez</v>
      </c>
      <c r="P580" s="33" t="str">
        <f ca="1">IFERROR(__xludf.DUMMYFUNCTION("""COMPUTED_VALUE"""),"Roberto Pereira (Galicia)")</f>
        <v>Roberto Pereira (Galicia)</v>
      </c>
    </row>
    <row r="581" spans="2:16">
      <c r="B581" s="33">
        <f ca="1">IFERROR(__xludf.DUMMYFUNCTION("""COMPUTED_VALUE"""),2025)</f>
        <v>2025</v>
      </c>
      <c r="C581" s="33">
        <f ca="1">IFERROR(__xludf.DUMMYFUNCTION("""COMPUTED_VALUE"""),4)</f>
        <v>4</v>
      </c>
      <c r="D581" s="33" t="str">
        <f ca="1">IFERROR(__xludf.DUMMYFUNCTION("""COMPUTED_VALUE"""),"NO")</f>
        <v>NO</v>
      </c>
      <c r="E581" s="33" t="str">
        <f ca="1">IFERROR(__xludf.DUMMYFUNCTION("""COMPUTED_VALUE"""),"Madrid- Costa Rica")</f>
        <v>Madrid- Costa Rica</v>
      </c>
      <c r="F581" s="57">
        <f ca="1">IFERROR(__xludf.DUMMYFUNCTION("""COMPUTED_VALUE"""),45776)</f>
        <v>45776</v>
      </c>
      <c r="G581" s="57">
        <f ca="1">IFERROR(__xludf.DUMMYFUNCTION("""COMPUTED_VALUE"""),45747)</f>
        <v>45747</v>
      </c>
      <c r="H581" s="33" t="str">
        <f ca="1">IFERROR(__xludf.DUMMYFUNCTION("""COMPUTED_VALUE"""),"Costa Rica")</f>
        <v>Costa Rica</v>
      </c>
      <c r="I581" s="33" t="str">
        <f ca="1">IFERROR(__xludf.DUMMYFUNCTION("""COMPUTED_VALUE"""),"C202543102131316")</f>
        <v>C202543102131316</v>
      </c>
      <c r="J581" s="33" t="str">
        <f ca="1">IFERROR(__xludf.DUMMYFUNCTION("""COMPUTED_VALUE"""),"MAGDALENA RECASENS FALOMIR")</f>
        <v>MAGDALENA RECASENS FALOMIR</v>
      </c>
      <c r="K581" s="33">
        <f ca="1">IFERROR(__xludf.DUMMYFUNCTION("""COMPUTED_VALUE"""),2)</f>
        <v>2</v>
      </c>
      <c r="L581" s="203">
        <f ca="1">IFERROR(__xludf.DUMMYFUNCTION("""COMPUTED_VALUE"""),2888.18)</f>
        <v>2888.18</v>
      </c>
      <c r="M581" s="33" t="str">
        <f ca="1">IFERROR(__xludf.DUMMYFUNCTION("""COMPUTED_VALUE"""),"03 ORL")</f>
        <v>03 ORL</v>
      </c>
      <c r="N581" s="33" t="str">
        <f ca="1">IFERROR(__xludf.DUMMYFUNCTION("""COMPUTED_VALUE"""),"22 AUDIOMETRIA CLINICA")</f>
        <v>22 AUDIOMETRIA CLINICA</v>
      </c>
      <c r="O581" s="33" t="str">
        <f ca="1">IFERROR(__xludf.DUMMYFUNCTION("""COMPUTED_VALUE"""),"Dr, Antonio Bueno Ríos")</f>
        <v>Dr, Antonio Bueno Ríos</v>
      </c>
      <c r="P581" s="33" t="str">
        <f ca="1">IFERROR(__xludf.DUMMYFUNCTION("""COMPUTED_VALUE"""),"Lisandro Russian (Madrid, Cáceres, Toledo, Talavera Y Logroño)")</f>
        <v>Lisandro Russian (Madrid, Cáceres, Toledo, Talavera Y Logroño)</v>
      </c>
    </row>
    <row r="582" spans="2:16">
      <c r="B582" s="33">
        <f ca="1">IFERROR(__xludf.DUMMYFUNCTION("""COMPUTED_VALUE"""),2025)</f>
        <v>2025</v>
      </c>
      <c r="C582" s="33">
        <f ca="1">IFERROR(__xludf.DUMMYFUNCTION("""COMPUTED_VALUE"""),4)</f>
        <v>4</v>
      </c>
      <c r="D582" s="33" t="str">
        <f ca="1">IFERROR(__xludf.DUMMYFUNCTION("""COMPUTED_VALUE"""),"NO")</f>
        <v>NO</v>
      </c>
      <c r="E582" s="33" t="str">
        <f ca="1">IFERROR(__xludf.DUMMYFUNCTION("""COMPUTED_VALUE"""),"Madrid- Juan Bravo")</f>
        <v>Madrid- Juan Bravo</v>
      </c>
      <c r="F582" s="57">
        <f ca="1">IFERROR(__xludf.DUMMYFUNCTION("""COMPUTED_VALUE"""),45776)</f>
        <v>45776</v>
      </c>
      <c r="G582" s="57">
        <f ca="1">IFERROR(__xludf.DUMMYFUNCTION("""COMPUTED_VALUE"""),45758)</f>
        <v>45758</v>
      </c>
      <c r="H582" s="33" t="str">
        <f ca="1">IFERROR(__xludf.DUMMYFUNCTION("""COMPUTED_VALUE"""),"Juan Bravo")</f>
        <v>Juan Bravo</v>
      </c>
      <c r="I582" s="33" t="str">
        <f ca="1">IFERROR(__xludf.DUMMYFUNCTION("""COMPUTED_VALUE"""),"C2025411104246800")</f>
        <v>C2025411104246800</v>
      </c>
      <c r="J582" s="33" t="str">
        <f ca="1">IFERROR(__xludf.DUMMYFUNCTION("""COMPUTED_VALUE"""),"MARIA LUISA TARDAGUILA CEPERO")</f>
        <v>MARIA LUISA TARDAGUILA CEPERO</v>
      </c>
      <c r="K582" s="33">
        <f ca="1">IFERROR(__xludf.DUMMYFUNCTION("""COMPUTED_VALUE"""),2)</f>
        <v>2</v>
      </c>
      <c r="L582" s="203">
        <f ca="1">IFERROR(__xludf.DUMMYFUNCTION("""COMPUTED_VALUE"""),2888.18)</f>
        <v>2888.18</v>
      </c>
      <c r="M582" s="33" t="str">
        <f ca="1">IFERROR(__xludf.DUMMYFUNCTION("""COMPUTED_VALUE"""),"03 ORL")</f>
        <v>03 ORL</v>
      </c>
      <c r="N582" s="33" t="str">
        <f ca="1">IFERROR(__xludf.DUMMYFUNCTION("""COMPUTED_VALUE"""),"06 ORL")</f>
        <v>06 ORL</v>
      </c>
      <c r="O582" s="33" t="str">
        <f ca="1">IFERROR(__xludf.DUMMYFUNCTION("""COMPUTED_VALUE"""),"Dr, Carlos Barajas Del Rosal")</f>
        <v>Dr, Carlos Barajas Del Rosal</v>
      </c>
      <c r="P582" s="33" t="str">
        <f ca="1">IFERROR(__xludf.DUMMYFUNCTION("""COMPUTED_VALUE"""),"Lisandro Russian (Madrid, Cáceres, Toledo, Talavera Y Logroño)")</f>
        <v>Lisandro Russian (Madrid, Cáceres, Toledo, Talavera Y Logroño)</v>
      </c>
    </row>
    <row r="583" spans="2:16">
      <c r="B583" s="33">
        <f ca="1">IFERROR(__xludf.DUMMYFUNCTION("""COMPUTED_VALUE"""),2025)</f>
        <v>2025</v>
      </c>
      <c r="C583" s="33">
        <f ca="1">IFERROR(__xludf.DUMMYFUNCTION("""COMPUTED_VALUE"""),4)</f>
        <v>4</v>
      </c>
      <c r="D583" s="33" t="str">
        <f ca="1">IFERROR(__xludf.DUMMYFUNCTION("""COMPUTED_VALUE"""),"NO")</f>
        <v>NO</v>
      </c>
      <c r="E583" s="33" t="str">
        <f ca="1">IFERROR(__xludf.DUMMYFUNCTION("""COMPUTED_VALUE"""),"Madrid- La Oca")</f>
        <v>Madrid- La Oca</v>
      </c>
      <c r="F583" s="57">
        <f ca="1">IFERROR(__xludf.DUMMYFUNCTION("""COMPUTED_VALUE"""),45776)</f>
        <v>45776</v>
      </c>
      <c r="G583" s="57">
        <f ca="1">IFERROR(__xludf.DUMMYFUNCTION("""COMPUTED_VALUE"""),45743)</f>
        <v>45743</v>
      </c>
      <c r="H583" s="33" t="str">
        <f ca="1">IFERROR(__xludf.DUMMYFUNCTION("""COMPUTED_VALUE"""),"La Oca")</f>
        <v>La Oca</v>
      </c>
      <c r="I583" s="33" t="str">
        <f ca="1">IFERROR(__xludf.DUMMYFUNCTION("""COMPUTED_VALUE"""),"C202533111812303")</f>
        <v>C202533111812303</v>
      </c>
      <c r="J583" s="33" t="str">
        <f ca="1">IFERROR(__xludf.DUMMYFUNCTION("""COMPUTED_VALUE"""),"EDUARDO PALOMINO RIOS")</f>
        <v>EDUARDO PALOMINO RIOS</v>
      </c>
      <c r="K583" s="33">
        <f ca="1">IFERROR(__xludf.DUMMYFUNCTION("""COMPUTED_VALUE"""),2)</f>
        <v>2</v>
      </c>
      <c r="L583" s="203">
        <f ca="1">IFERROR(__xludf.DUMMYFUNCTION("""COMPUTED_VALUE"""),3710)</f>
        <v>3710</v>
      </c>
      <c r="M583" s="33" t="str">
        <f ca="1">IFERROR(__xludf.DUMMYFUNCTION("""COMPUTED_VALUE"""),"03 ORL")</f>
        <v>03 ORL</v>
      </c>
      <c r="N583" s="33" t="str">
        <f ca="1">IFERROR(__xludf.DUMMYFUNCTION("""COMPUTED_VALUE"""),"06 ORL")</f>
        <v>06 ORL</v>
      </c>
      <c r="O583" s="33" t="str">
        <f ca="1">IFERROR(__xludf.DUMMYFUNCTION("""COMPUTED_VALUE"""),"No recuerda ORL")</f>
        <v>No recuerda ORL</v>
      </c>
      <c r="P583" s="33" t="str">
        <f ca="1">IFERROR(__xludf.DUMMYFUNCTION("""COMPUTED_VALUE"""),"Maika Blázquez (Madrid)")</f>
        <v>Maika Blázquez (Madrid)</v>
      </c>
    </row>
    <row r="584" spans="2:16">
      <c r="B584" s="33">
        <f ca="1">IFERROR(__xludf.DUMMYFUNCTION("""COMPUTED_VALUE"""),2025)</f>
        <v>2025</v>
      </c>
      <c r="C584" s="33">
        <f ca="1">IFERROR(__xludf.DUMMYFUNCTION("""COMPUTED_VALUE"""),4)</f>
        <v>4</v>
      </c>
      <c r="D584" s="33" t="str">
        <f ca="1">IFERROR(__xludf.DUMMYFUNCTION("""COMPUTED_VALUE"""),"NO")</f>
        <v>NO</v>
      </c>
      <c r="E584" s="33" t="str">
        <f ca="1">IFERROR(__xludf.DUMMYFUNCTION("""COMPUTED_VALUE"""),"Orihuela")</f>
        <v>Orihuela</v>
      </c>
      <c r="F584" s="57">
        <f ca="1">IFERROR(__xludf.DUMMYFUNCTION("""COMPUTED_VALUE"""),45776)</f>
        <v>45776</v>
      </c>
      <c r="G584" s="57">
        <f ca="1">IFERROR(__xludf.DUMMYFUNCTION("""COMPUTED_VALUE"""),45744)</f>
        <v>45744</v>
      </c>
      <c r="H584" s="33" t="str">
        <f ca="1">IFERROR(__xludf.DUMMYFUNCTION("""COMPUTED_VALUE"""),"La Zenia")</f>
        <v>La Zenia</v>
      </c>
      <c r="I584" s="33" t="str">
        <f ca="1">IFERROR(__xludf.DUMMYFUNCTION("""COMPUTED_VALUE"""),"C202547115817370")</f>
        <v>C202547115817370</v>
      </c>
      <c r="J584" s="33" t="str">
        <f ca="1">IFERROR(__xludf.DUMMYFUNCTION("""COMPUTED_VALUE"""),"AUREA MANUELA PALACIOS RODRIGUEZ")</f>
        <v>AUREA MANUELA PALACIOS RODRIGUEZ</v>
      </c>
      <c r="K584" s="33">
        <f ca="1">IFERROR(__xludf.DUMMYFUNCTION("""COMPUTED_VALUE"""),2)</f>
        <v>2</v>
      </c>
      <c r="L584" s="203">
        <f ca="1">IFERROR(__xludf.DUMMYFUNCTION("""COMPUTED_VALUE"""),4000)</f>
        <v>4000</v>
      </c>
      <c r="M584" s="33" t="str">
        <f ca="1">IFERROR(__xludf.DUMMYFUNCTION("""COMPUTED_VALUE"""),"03 ORL")</f>
        <v>03 ORL</v>
      </c>
      <c r="N584" s="33" t="str">
        <f ca="1">IFERROR(__xludf.DUMMYFUNCTION("""COMPUTED_VALUE"""),"06 ORL")</f>
        <v>06 ORL</v>
      </c>
      <c r="O584" s="33" t="str">
        <f ca="1">IFERROR(__xludf.DUMMYFUNCTION("""COMPUTED_VALUE"""),"Dr, Carlos Velásquez Fermín")</f>
        <v>Dr, Carlos Velásquez Fermín</v>
      </c>
      <c r="P584" s="33" t="str">
        <f ca="1">IFERROR(__xludf.DUMMYFUNCTION("""COMPUTED_VALUE"""),"Iván Sánchez (Levante Y Albacete)")</f>
        <v>Iván Sánchez (Levante Y Albacete)</v>
      </c>
    </row>
    <row r="585" spans="2:16">
      <c r="B585" s="33">
        <f ca="1">IFERROR(__xludf.DUMMYFUNCTION("""COMPUTED_VALUE"""),2025)</f>
        <v>2025</v>
      </c>
      <c r="C585" s="33">
        <f ca="1">IFERROR(__xludf.DUMMYFUNCTION("""COMPUTED_VALUE"""),4)</f>
        <v>4</v>
      </c>
      <c r="D585" s="33" t="str">
        <f ca="1">IFERROR(__xludf.DUMMYFUNCTION("""COMPUTED_VALUE"""),"NO")</f>
        <v>NO</v>
      </c>
      <c r="E585" s="33" t="str">
        <f ca="1">IFERROR(__xludf.DUMMYFUNCTION("""COMPUTED_VALUE"""),"San Javier")</f>
        <v>San Javier</v>
      </c>
      <c r="F585" s="57">
        <f ca="1">IFERROR(__xludf.DUMMYFUNCTION("""COMPUTED_VALUE"""),45776)</f>
        <v>45776</v>
      </c>
      <c r="G585" s="57">
        <f ca="1">IFERROR(__xludf.DUMMYFUNCTION("""COMPUTED_VALUE"""),45757)</f>
        <v>45757</v>
      </c>
      <c r="H585" s="33" t="str">
        <f ca="1">IFERROR(__xludf.DUMMYFUNCTION("""COMPUTED_VALUE"""),"San Javier")</f>
        <v>San Javier</v>
      </c>
      <c r="I585" s="33" t="str">
        <f ca="1">IFERROR(__xludf.DUMMYFUNCTION("""COMPUTED_VALUE"""),"C20254149273123")</f>
        <v>C20254149273123</v>
      </c>
      <c r="J585" s="33" t="str">
        <f ca="1">IFERROR(__xludf.DUMMYFUNCTION("""COMPUTED_VALUE"""),"ANTONIA PRO DELGADO")</f>
        <v>ANTONIA PRO DELGADO</v>
      </c>
      <c r="K585" s="33">
        <f ca="1">IFERROR(__xludf.DUMMYFUNCTION("""COMPUTED_VALUE"""),2)</f>
        <v>2</v>
      </c>
      <c r="L585" s="203">
        <f ca="1">IFERROR(__xludf.DUMMYFUNCTION("""COMPUTED_VALUE"""),4400)</f>
        <v>4400</v>
      </c>
      <c r="M585" s="33" t="str">
        <f ca="1">IFERROR(__xludf.DUMMYFUNCTION("""COMPUTED_VALUE"""),"03 ORL")</f>
        <v>03 ORL</v>
      </c>
      <c r="N585" s="33" t="str">
        <f ca="1">IFERROR(__xludf.DUMMYFUNCTION("""COMPUTED_VALUE"""),"06 ORL")</f>
        <v>06 ORL</v>
      </c>
      <c r="O585" s="33" t="str">
        <f ca="1">IFERROR(__xludf.DUMMYFUNCTION("""COMPUTED_VALUE"""),"Dra, María Teresa Almela Rojo")</f>
        <v>Dra, María Teresa Almela Rojo</v>
      </c>
      <c r="P585" s="33" t="str">
        <f ca="1">IFERROR(__xludf.DUMMYFUNCTION("""COMPUTED_VALUE"""),"Iván Sánchez (Levante Y Albacete)")</f>
        <v>Iván Sánchez (Levante Y Albacete)</v>
      </c>
    </row>
    <row r="586" spans="2:16">
      <c r="B586" s="33">
        <f ca="1">IFERROR(__xludf.DUMMYFUNCTION("""COMPUTED_VALUE"""),2025)</f>
        <v>2025</v>
      </c>
      <c r="C586" s="33">
        <f ca="1">IFERROR(__xludf.DUMMYFUNCTION("""COMPUTED_VALUE"""),4)</f>
        <v>4</v>
      </c>
      <c r="D586" s="33" t="str">
        <f ca="1">IFERROR(__xludf.DUMMYFUNCTION("""COMPUTED_VALUE"""),"NO")</f>
        <v>NO</v>
      </c>
      <c r="E586" s="33" t="str">
        <f ca="1">IFERROR(__xludf.DUMMYFUNCTION("""COMPUTED_VALUE"""),"San Javier")</f>
        <v>San Javier</v>
      </c>
      <c r="F586" s="57">
        <f ca="1">IFERROR(__xludf.DUMMYFUNCTION("""COMPUTED_VALUE"""),45776)</f>
        <v>45776</v>
      </c>
      <c r="G586" s="57">
        <f ca="1">IFERROR(__xludf.DUMMYFUNCTION("""COMPUTED_VALUE"""),45750)</f>
        <v>45750</v>
      </c>
      <c r="H586" s="33" t="str">
        <f ca="1">IFERROR(__xludf.DUMMYFUNCTION("""COMPUTED_VALUE"""),"San Javier")</f>
        <v>San Javier</v>
      </c>
      <c r="I586" s="33" t="str">
        <f ca="1">IFERROR(__xludf.DUMMYFUNCTION("""COMPUTED_VALUE"""),"C20254818156921")</f>
        <v>C20254818156921</v>
      </c>
      <c r="J586" s="33" t="str">
        <f ca="1">IFERROR(__xludf.DUMMYFUNCTION("""COMPUTED_VALUE"""),"ASCENSION VIDAL MATEO")</f>
        <v>ASCENSION VIDAL MATEO</v>
      </c>
      <c r="K586" s="33">
        <f ca="1">IFERROR(__xludf.DUMMYFUNCTION("""COMPUTED_VALUE"""),2)</f>
        <v>2</v>
      </c>
      <c r="L586" s="203">
        <f ca="1">IFERROR(__xludf.DUMMYFUNCTION("""COMPUTED_VALUE"""),3710)</f>
        <v>3710</v>
      </c>
      <c r="M586" s="33" t="str">
        <f ca="1">IFERROR(__xludf.DUMMYFUNCTION("""COMPUTED_VALUE"""),"03 ORL")</f>
        <v>03 ORL</v>
      </c>
      <c r="N586" s="33" t="str">
        <f ca="1">IFERROR(__xludf.DUMMYFUNCTION("""COMPUTED_VALUE"""),"06 ORL")</f>
        <v>06 ORL</v>
      </c>
      <c r="O586" s="33" t="str">
        <f ca="1">IFERROR(__xludf.DUMMYFUNCTION("""COMPUTED_VALUE"""),"Dr, Dinis Antunes Silva")</f>
        <v>Dr, Dinis Antunes Silva</v>
      </c>
      <c r="P586" s="33" t="str">
        <f ca="1">IFERROR(__xludf.DUMMYFUNCTION("""COMPUTED_VALUE"""),"Iván Sánchez (Levante Y Albacete)")</f>
        <v>Iván Sánchez (Levante Y Albacete)</v>
      </c>
    </row>
    <row r="587" spans="2:16">
      <c r="B587" s="33">
        <f ca="1">IFERROR(__xludf.DUMMYFUNCTION("""COMPUTED_VALUE"""),2025)</f>
        <v>2025</v>
      </c>
      <c r="C587" s="33">
        <f ca="1">IFERROR(__xludf.DUMMYFUNCTION("""COMPUTED_VALUE"""),4)</f>
        <v>4</v>
      </c>
      <c r="D587" s="33" t="str">
        <f ca="1">IFERROR(__xludf.DUMMYFUNCTION("""COMPUTED_VALUE"""),"NO")</f>
        <v>NO</v>
      </c>
      <c r="E587" s="33" t="str">
        <f ca="1">IFERROR(__xludf.DUMMYFUNCTION("""COMPUTED_VALUE"""),"Boiro")</f>
        <v>Boiro</v>
      </c>
      <c r="F587" s="57">
        <f ca="1">IFERROR(__xludf.DUMMYFUNCTION("""COMPUTED_VALUE"""),45776)</f>
        <v>45776</v>
      </c>
      <c r="G587" s="57">
        <f ca="1">IFERROR(__xludf.DUMMYFUNCTION("""COMPUTED_VALUE"""),45751)</f>
        <v>45751</v>
      </c>
      <c r="H587" s="33" t="str">
        <f ca="1">IFERROR(__xludf.DUMMYFUNCTION("""COMPUTED_VALUE"""),"Boiro")</f>
        <v>Boiro</v>
      </c>
      <c r="I587" s="33" t="str">
        <f ca="1">IFERROR(__xludf.DUMMYFUNCTION("""COMPUTED_VALUE"""),"BOI-955")</f>
        <v>BOI-955</v>
      </c>
      <c r="J587" s="33" t="str">
        <f ca="1">IFERROR(__xludf.DUMMYFUNCTION("""COMPUTED_VALUE"""),"REBECA MARIÑO ALONSO")</f>
        <v>REBECA MARIÑO ALONSO</v>
      </c>
      <c r="K587" s="33">
        <f ca="1">IFERROR(__xludf.DUMMYFUNCTION("""COMPUTED_VALUE"""),2)</f>
        <v>2</v>
      </c>
      <c r="L587" s="203">
        <f ca="1">IFERROR(__xludf.DUMMYFUNCTION("""COMPUTED_VALUE"""),2636.36)</f>
        <v>2636.36</v>
      </c>
      <c r="M587" s="33" t="str">
        <f ca="1">IFERROR(__xludf.DUMMYFUNCTION("""COMPUTED_VALUE"""),"03 ORL")</f>
        <v>03 ORL</v>
      </c>
      <c r="N587" s="33" t="str">
        <f ca="1">IFERROR(__xludf.DUMMYFUNCTION("""COMPUTED_VALUE"""),"06 ORL")</f>
        <v>06 ORL</v>
      </c>
      <c r="O587" s="33" t="str">
        <f ca="1">IFERROR(__xludf.DUMMYFUNCTION("""COMPUTED_VALUE"""),"Dra, Isabel Pensado Banet")</f>
        <v>Dra, Isabel Pensado Banet</v>
      </c>
      <c r="P587" s="33" t="str">
        <f ca="1">IFERROR(__xludf.DUMMYFUNCTION("""COMPUTED_VALUE"""),"Roberto Pereira (Galicia)")</f>
        <v>Roberto Pereira (Galicia)</v>
      </c>
    </row>
    <row r="588" spans="2:16">
      <c r="B588" s="33">
        <f ca="1">IFERROR(__xludf.DUMMYFUNCTION("""COMPUTED_VALUE"""),2025)</f>
        <v>2025</v>
      </c>
      <c r="C588" s="33">
        <f ca="1">IFERROR(__xludf.DUMMYFUNCTION("""COMPUTED_VALUE"""),4)</f>
        <v>4</v>
      </c>
      <c r="D588" s="33" t="str">
        <f ca="1">IFERROR(__xludf.DUMMYFUNCTION("""COMPUTED_VALUE"""),"NO")</f>
        <v>NO</v>
      </c>
      <c r="E588" s="33" t="str">
        <f ca="1">IFERROR(__xludf.DUMMYFUNCTION("""COMPUTED_VALUE"""),"Lalín")</f>
        <v>Lalín</v>
      </c>
      <c r="F588" s="57">
        <f ca="1">IFERROR(__xludf.DUMMYFUNCTION("""COMPUTED_VALUE"""),45776)</f>
        <v>45776</v>
      </c>
      <c r="G588" s="57">
        <f ca="1">IFERROR(__xludf.DUMMYFUNCTION("""COMPUTED_VALUE"""),45744)</f>
        <v>45744</v>
      </c>
      <c r="H588" s="33" t="str">
        <f ca="1">IFERROR(__xludf.DUMMYFUNCTION("""COMPUTED_VALUE"""),"Lalín")</f>
        <v>Lalín</v>
      </c>
      <c r="I588" s="33" t="str">
        <f ca="1">IFERROR(__xludf.DUMMYFUNCTION("""COMPUTED_VALUE"""),"LAL-138")</f>
        <v>LAL-138</v>
      </c>
      <c r="J588" s="33" t="str">
        <f ca="1">IFERROR(__xludf.DUMMYFUNCTION("""COMPUTED_VALUE"""),"JOSE TABOADA BERNANDEZ")</f>
        <v>JOSE TABOADA BERNANDEZ</v>
      </c>
      <c r="K588" s="33">
        <f ca="1">IFERROR(__xludf.DUMMYFUNCTION("""COMPUTED_VALUE"""),2)</f>
        <v>2</v>
      </c>
      <c r="L588" s="203">
        <f ca="1">IFERROR(__xludf.DUMMYFUNCTION("""COMPUTED_VALUE"""),2900)</f>
        <v>2900</v>
      </c>
      <c r="M588" s="33" t="str">
        <f ca="1">IFERROR(__xludf.DUMMYFUNCTION("""COMPUTED_VALUE"""),"03 ORL")</f>
        <v>03 ORL</v>
      </c>
      <c r="N588" s="33" t="str">
        <f ca="1">IFERROR(__xludf.DUMMYFUNCTION("""COMPUTED_VALUE"""),"06 ORL")</f>
        <v>06 ORL</v>
      </c>
      <c r="O588" s="33" t="str">
        <f ca="1">IFERROR(__xludf.DUMMYFUNCTION("""COMPUTED_VALUE"""),"Dr, Gabriel Martínez Capoccini")</f>
        <v>Dr, Gabriel Martínez Capoccini</v>
      </c>
      <c r="P588" s="33" t="str">
        <f ca="1">IFERROR(__xludf.DUMMYFUNCTION("""COMPUTED_VALUE"""),"Roberto Pereira (Galicia)")</f>
        <v>Roberto Pereira (Galicia)</v>
      </c>
    </row>
    <row r="589" spans="2:16">
      <c r="B589" s="33">
        <f ca="1">IFERROR(__xludf.DUMMYFUNCTION("""COMPUTED_VALUE"""),2025)</f>
        <v>2025</v>
      </c>
      <c r="C589" s="33">
        <f ca="1">IFERROR(__xludf.DUMMYFUNCTION("""COMPUTED_VALUE"""),4)</f>
        <v>4</v>
      </c>
      <c r="D589" s="33" t="str">
        <f ca="1">IFERROR(__xludf.DUMMYFUNCTION("""COMPUTED_VALUE"""),"NO")</f>
        <v>NO</v>
      </c>
      <c r="E589" s="33" t="str">
        <f ca="1">IFERROR(__xludf.DUMMYFUNCTION("""COMPUTED_VALUE"""),"León")</f>
        <v>León</v>
      </c>
      <c r="F589" s="57">
        <f ca="1">IFERROR(__xludf.DUMMYFUNCTION("""COMPUTED_VALUE"""),45776)</f>
        <v>45776</v>
      </c>
      <c r="G589" s="57">
        <f ca="1">IFERROR(__xludf.DUMMYFUNCTION("""COMPUTED_VALUE"""),45756)</f>
        <v>45756</v>
      </c>
      <c r="H589" s="33" t="str">
        <f ca="1">IFERROR(__xludf.DUMMYFUNCTION("""COMPUTED_VALUE"""),"León")</f>
        <v>León</v>
      </c>
      <c r="I589" s="33" t="str">
        <f ca="1">IFERROR(__xludf.DUMMYFUNCTION("""COMPUTED_VALUE"""),"LEO-452")</f>
        <v>LEO-452</v>
      </c>
      <c r="J589" s="33" t="str">
        <f ca="1">IFERROR(__xludf.DUMMYFUNCTION("""COMPUTED_VALUE"""),"ANTONIA RODRIGUEZ CANTON")</f>
        <v>ANTONIA RODRIGUEZ CANTON</v>
      </c>
      <c r="K589" s="33">
        <f ca="1">IFERROR(__xludf.DUMMYFUNCTION("""COMPUTED_VALUE"""),2)</f>
        <v>2</v>
      </c>
      <c r="L589" s="203">
        <f ca="1">IFERROR(__xludf.DUMMYFUNCTION("""COMPUTED_VALUE"""),2909.09)</f>
        <v>2909.09</v>
      </c>
      <c r="M589" s="33" t="str">
        <f ca="1">IFERROR(__xludf.DUMMYFUNCTION("""COMPUTED_VALUE"""),"03 ORL")</f>
        <v>03 ORL</v>
      </c>
      <c r="N589" s="33" t="str">
        <f ca="1">IFERROR(__xludf.DUMMYFUNCTION("""COMPUTED_VALUE"""),"06 ORL")</f>
        <v>06 ORL</v>
      </c>
      <c r="O589" s="33" t="str">
        <f ca="1">IFERROR(__xludf.DUMMYFUNCTION("""COMPUTED_VALUE"""),"Dr, Rafael Pérez González")</f>
        <v>Dr, Rafael Pérez González</v>
      </c>
      <c r="P589" s="33" t="str">
        <f ca="1">IFERROR(__xludf.DUMMYFUNCTION("""COMPUTED_VALUE"""),"Patricia Solache (Castilla Y León)")</f>
        <v>Patricia Solache (Castilla Y León)</v>
      </c>
    </row>
    <row r="590" spans="2:16">
      <c r="B590" s="33">
        <f ca="1">IFERROR(__xludf.DUMMYFUNCTION("""COMPUTED_VALUE"""),2025)</f>
        <v>2025</v>
      </c>
      <c r="C590" s="33">
        <f ca="1">IFERROR(__xludf.DUMMYFUNCTION("""COMPUTED_VALUE"""),4)</f>
        <v>4</v>
      </c>
      <c r="D590" s="33" t="str">
        <f ca="1">IFERROR(__xludf.DUMMYFUNCTION("""COMPUTED_VALUE"""),"NO")</f>
        <v>NO</v>
      </c>
      <c r="E590" s="33" t="str">
        <f ca="1">IFERROR(__xludf.DUMMYFUNCTION("""COMPUTED_VALUE"""),"Valladolid")</f>
        <v>Valladolid</v>
      </c>
      <c r="F590" s="57">
        <f ca="1">IFERROR(__xludf.DUMMYFUNCTION("""COMPUTED_VALUE"""),45776)</f>
        <v>45776</v>
      </c>
      <c r="G590" s="57">
        <f ca="1">IFERROR(__xludf.DUMMYFUNCTION("""COMPUTED_VALUE"""),45729)</f>
        <v>45729</v>
      </c>
      <c r="H590" s="33" t="str">
        <f ca="1">IFERROR(__xludf.DUMMYFUNCTION("""COMPUTED_VALUE"""),"Valladolid")</f>
        <v>Valladolid</v>
      </c>
      <c r="I590" s="33" t="str">
        <f ca="1">IFERROR(__xludf.DUMMYFUNCTION("""COMPUTED_VALUE"""),"VLL-362")</f>
        <v>VLL-362</v>
      </c>
      <c r="J590" s="33" t="str">
        <f ca="1">IFERROR(__xludf.DUMMYFUNCTION("""COMPUTED_VALUE"""),"PIO PAJARES GARRAPUCHO")</f>
        <v>PIO PAJARES GARRAPUCHO</v>
      </c>
      <c r="K590" s="33">
        <f ca="1">IFERROR(__xludf.DUMMYFUNCTION("""COMPUTED_VALUE"""),2)</f>
        <v>2</v>
      </c>
      <c r="L590" s="203">
        <f ca="1">IFERROR(__xludf.DUMMYFUNCTION("""COMPUTED_VALUE"""),3977.27)</f>
        <v>3977.27</v>
      </c>
      <c r="M590" s="33" t="str">
        <f ca="1">IFERROR(__xludf.DUMMYFUNCTION("""COMPUTED_VALUE"""),"03 ORL")</f>
        <v>03 ORL</v>
      </c>
      <c r="N590" s="33" t="str">
        <f ca="1">IFERROR(__xludf.DUMMYFUNCTION("""COMPUTED_VALUE"""),"06 ORL")</f>
        <v>06 ORL</v>
      </c>
      <c r="O590" s="33" t="str">
        <f ca="1">IFERROR(__xludf.DUMMYFUNCTION("""COMPUTED_VALUE"""),"Dra, Angela Enterría González")</f>
        <v>Dra, Angela Enterría González</v>
      </c>
      <c r="P590" s="33" t="str">
        <f ca="1">IFERROR(__xludf.DUMMYFUNCTION("""COMPUTED_VALUE"""),"Patricia Solache (Castilla Y León)")</f>
        <v>Patricia Solache (Castilla Y León)</v>
      </c>
    </row>
    <row r="591" spans="2:16">
      <c r="B591" s="33">
        <f ca="1">IFERROR(__xludf.DUMMYFUNCTION("""COMPUTED_VALUE"""),2025)</f>
        <v>2025</v>
      </c>
      <c r="C591" s="33">
        <f ca="1">IFERROR(__xludf.DUMMYFUNCTION("""COMPUTED_VALUE"""),4)</f>
        <v>4</v>
      </c>
      <c r="D591" s="33" t="str">
        <f ca="1">IFERROR(__xludf.DUMMYFUNCTION("""COMPUTED_VALUE"""),"NO")</f>
        <v>NO</v>
      </c>
      <c r="E591" s="33" t="str">
        <f ca="1">IFERROR(__xludf.DUMMYFUNCTION("""COMPUTED_VALUE"""),"Vigo")</f>
        <v>Vigo</v>
      </c>
      <c r="F591" s="57">
        <f ca="1">IFERROR(__xludf.DUMMYFUNCTION("""COMPUTED_VALUE"""),45776)</f>
        <v>45776</v>
      </c>
      <c r="G591" s="57">
        <f ca="1">IFERROR(__xludf.DUMMYFUNCTION("""COMPUTED_VALUE"""),45737)</f>
        <v>45737</v>
      </c>
      <c r="H591" s="33" t="str">
        <f ca="1">IFERROR(__xludf.DUMMYFUNCTION("""COMPUTED_VALUE"""),"Vigo")</f>
        <v>Vigo</v>
      </c>
      <c r="I591" s="33" t="str">
        <f ca="1">IFERROR(__xludf.DUMMYFUNCTION("""COMPUTED_VALUE"""),"VIG-557")</f>
        <v>VIG-557</v>
      </c>
      <c r="J591" s="33" t="str">
        <f ca="1">IFERROR(__xludf.DUMMYFUNCTION("""COMPUTED_VALUE"""),"JESUS IBAÑEZ RUAN")</f>
        <v>JESUS IBAÑEZ RUAN</v>
      </c>
      <c r="K591" s="33">
        <f ca="1">IFERROR(__xludf.DUMMYFUNCTION("""COMPUTED_VALUE"""),2)</f>
        <v>2</v>
      </c>
      <c r="L591" s="203">
        <f ca="1">IFERROR(__xludf.DUMMYFUNCTION("""COMPUTED_VALUE"""),3636.36)</f>
        <v>3636.36</v>
      </c>
      <c r="M591" s="33" t="str">
        <f ca="1">IFERROR(__xludf.DUMMYFUNCTION("""COMPUTED_VALUE"""),"03 ORL")</f>
        <v>03 ORL</v>
      </c>
      <c r="N591" s="33" t="str">
        <f ca="1">IFERROR(__xludf.DUMMYFUNCTION("""COMPUTED_VALUE"""),"06 ORL")</f>
        <v>06 ORL</v>
      </c>
      <c r="O591" s="33" t="str">
        <f ca="1">IFERROR(__xludf.DUMMYFUNCTION("""COMPUTED_VALUE"""),"Dra, María Jesús González Cortes")</f>
        <v>Dra, María Jesús González Cortes</v>
      </c>
      <c r="P591" s="33" t="str">
        <f ca="1">IFERROR(__xludf.DUMMYFUNCTION("""COMPUTED_VALUE"""),"Roberto Pereira (Galicia)")</f>
        <v>Roberto Pereira (Galicia)</v>
      </c>
    </row>
    <row r="592" spans="2:16">
      <c r="B592" s="33">
        <f ca="1">IFERROR(__xludf.DUMMYFUNCTION("""COMPUTED_VALUE"""),2025)</f>
        <v>2025</v>
      </c>
      <c r="C592" s="33">
        <f ca="1">IFERROR(__xludf.DUMMYFUNCTION("""COMPUTED_VALUE"""),4)</f>
        <v>4</v>
      </c>
      <c r="D592" s="33" t="str">
        <f ca="1">IFERROR(__xludf.DUMMYFUNCTION("""COMPUTED_VALUE"""),"NO")</f>
        <v>NO</v>
      </c>
      <c r="E592" s="33" t="str">
        <f ca="1">IFERROR(__xludf.DUMMYFUNCTION("""COMPUTED_VALUE"""),"Albacete")</f>
        <v>Albacete</v>
      </c>
      <c r="F592" s="57">
        <f ca="1">IFERROR(__xludf.DUMMYFUNCTION("""COMPUTED_VALUE"""),45777)</f>
        <v>45777</v>
      </c>
      <c r="G592" s="57">
        <f ca="1">IFERROR(__xludf.DUMMYFUNCTION("""COMPUTED_VALUE"""),45712)</f>
        <v>45712</v>
      </c>
      <c r="H592" s="33" t="str">
        <f ca="1">IFERROR(__xludf.DUMMYFUNCTION("""COMPUTED_VALUE"""),"Albacete")</f>
        <v>Albacete</v>
      </c>
      <c r="I592" s="33" t="str">
        <f ca="1">IFERROR(__xludf.DUMMYFUNCTION("""COMPUTED_VALUE"""),"C202537164450420")</f>
        <v>C202537164450420</v>
      </c>
      <c r="J592" s="33" t="str">
        <f ca="1">IFERROR(__xludf.DUMMYFUNCTION("""COMPUTED_VALUE"""),"LOURDES PINAR CUARTERO")</f>
        <v>LOURDES PINAR CUARTERO</v>
      </c>
      <c r="K592" s="33">
        <f ca="1">IFERROR(__xludf.DUMMYFUNCTION("""COMPUTED_VALUE"""),1)</f>
        <v>1</v>
      </c>
      <c r="L592" s="203">
        <f ca="1">IFERROR(__xludf.DUMMYFUNCTION("""COMPUTED_VALUE"""),2400)</f>
        <v>2400</v>
      </c>
      <c r="M592" s="33" t="str">
        <f ca="1">IFERROR(__xludf.DUMMYFUNCTION("""COMPUTED_VALUE"""),"03 ORL")</f>
        <v>03 ORL</v>
      </c>
      <c r="N592" s="33" t="str">
        <f ca="1">IFERROR(__xludf.DUMMYFUNCTION("""COMPUTED_VALUE"""),"06 ORL")</f>
        <v>06 ORL</v>
      </c>
      <c r="O592" s="33" t="str">
        <f ca="1">IFERROR(__xludf.DUMMYFUNCTION("""COMPUTED_VALUE"""),"Dra, Alejandra Jara Maquilón")</f>
        <v>Dra, Alejandra Jara Maquilón</v>
      </c>
      <c r="P592" s="33" t="str">
        <f ca="1">IFERROR(__xludf.DUMMYFUNCTION("""COMPUTED_VALUE"""),"Iván Sánchez (Levante Y Albacete)")</f>
        <v>Iván Sánchez (Levante Y Albacete)</v>
      </c>
    </row>
    <row r="593" spans="2:16">
      <c r="B593" s="33">
        <f ca="1">IFERROR(__xludf.DUMMYFUNCTION("""COMPUTED_VALUE"""),2025)</f>
        <v>2025</v>
      </c>
      <c r="C593" s="33">
        <f ca="1">IFERROR(__xludf.DUMMYFUNCTION("""COMPUTED_VALUE"""),4)</f>
        <v>4</v>
      </c>
      <c r="D593" s="33" t="str">
        <f ca="1">IFERROR(__xludf.DUMMYFUNCTION("""COMPUTED_VALUE"""),"NO")</f>
        <v>NO</v>
      </c>
      <c r="E593" s="33" t="str">
        <f ca="1">IFERROR(__xludf.DUMMYFUNCTION("""COMPUTED_VALUE"""),"Alicante")</f>
        <v>Alicante</v>
      </c>
      <c r="F593" s="57">
        <f ca="1">IFERROR(__xludf.DUMMYFUNCTION("""COMPUTED_VALUE"""),45777)</f>
        <v>45777</v>
      </c>
      <c r="G593" s="57">
        <f ca="1">IFERROR(__xludf.DUMMYFUNCTION("""COMPUTED_VALUE"""),45748)</f>
        <v>45748</v>
      </c>
      <c r="H593" s="33" t="str">
        <f ca="1">IFERROR(__xludf.DUMMYFUNCTION("""COMPUTED_VALUE"""),"Alicante")</f>
        <v>Alicante</v>
      </c>
      <c r="I593" s="33" t="str">
        <f ca="1">IFERROR(__xludf.DUMMYFUNCTION("""COMPUTED_VALUE"""),"C20254119527381")</f>
        <v>C20254119527381</v>
      </c>
      <c r="J593" s="33" t="str">
        <f ca="1">IFERROR(__xludf.DUMMYFUNCTION("""COMPUTED_VALUE"""),"BENITO PEREZ PEDRAZA")</f>
        <v>BENITO PEREZ PEDRAZA</v>
      </c>
      <c r="K593" s="33">
        <f ca="1">IFERROR(__xludf.DUMMYFUNCTION("""COMPUTED_VALUE"""),2)</f>
        <v>2</v>
      </c>
      <c r="L593" s="203">
        <f ca="1">IFERROR(__xludf.DUMMYFUNCTION("""COMPUTED_VALUE"""),2743.77)</f>
        <v>2743.77</v>
      </c>
      <c r="M593" s="33" t="str">
        <f ca="1">IFERROR(__xludf.DUMMYFUNCTION("""COMPUTED_VALUE"""),"03 ORL")</f>
        <v>03 ORL</v>
      </c>
      <c r="N593" s="33" t="str">
        <f ca="1">IFERROR(__xludf.DUMMYFUNCTION("""COMPUTED_VALUE"""),"06 ORL")</f>
        <v>06 ORL</v>
      </c>
      <c r="O593" s="33" t="str">
        <f ca="1">IFERROR(__xludf.DUMMYFUNCTION("""COMPUTED_VALUE"""),"Dr, Oscar Alemán López")</f>
        <v>Dr, Oscar Alemán López</v>
      </c>
      <c r="P593" s="33" t="str">
        <f ca="1">IFERROR(__xludf.DUMMYFUNCTION("""COMPUTED_VALUE"""),"Iván Sánchez (Levante Y Albacete)")</f>
        <v>Iván Sánchez (Levante Y Albacete)</v>
      </c>
    </row>
    <row r="594" spans="2:16">
      <c r="B594" s="33">
        <f ca="1">IFERROR(__xludf.DUMMYFUNCTION("""COMPUTED_VALUE"""),2025)</f>
        <v>2025</v>
      </c>
      <c r="C594" s="33">
        <f ca="1">IFERROR(__xludf.DUMMYFUNCTION("""COMPUTED_VALUE"""),4)</f>
        <v>4</v>
      </c>
      <c r="D594" s="33" t="str">
        <f ca="1">IFERROR(__xludf.DUMMYFUNCTION("""COMPUTED_VALUE"""),"NO")</f>
        <v>NO</v>
      </c>
      <c r="E594" s="33" t="str">
        <f ca="1">IFERROR(__xludf.DUMMYFUNCTION("""COMPUTED_VALUE"""),"Huelva")</f>
        <v>Huelva</v>
      </c>
      <c r="F594" s="57">
        <f ca="1">IFERROR(__xludf.DUMMYFUNCTION("""COMPUTED_VALUE"""),45777)</f>
        <v>45777</v>
      </c>
      <c r="G594" s="57">
        <f ca="1">IFERROR(__xludf.DUMMYFUNCTION("""COMPUTED_VALUE"""),45735)</f>
        <v>45735</v>
      </c>
      <c r="H594" s="33" t="str">
        <f ca="1">IFERROR(__xludf.DUMMYFUNCTION("""COMPUTED_VALUE"""),"Huelva")</f>
        <v>Huelva</v>
      </c>
      <c r="I594" s="33" t="str">
        <f ca="1">IFERROR(__xludf.DUMMYFUNCTION("""COMPUTED_VALUE"""),"C2025325161319461")</f>
        <v>C2025325161319461</v>
      </c>
      <c r="J594" s="33" t="str">
        <f ca="1">IFERROR(__xludf.DUMMYFUNCTION("""COMPUTED_VALUE"""),"ASCENSION MORA DUQUE")</f>
        <v>ASCENSION MORA DUQUE</v>
      </c>
      <c r="K594" s="33">
        <f ca="1">IFERROR(__xludf.DUMMYFUNCTION("""COMPUTED_VALUE"""),2)</f>
        <v>2</v>
      </c>
      <c r="L594" s="203">
        <f ca="1">IFERROR(__xludf.DUMMYFUNCTION("""COMPUTED_VALUE"""),3710)</f>
        <v>3710</v>
      </c>
      <c r="M594" s="33" t="str">
        <f ca="1">IFERROR(__xludf.DUMMYFUNCTION("""COMPUTED_VALUE"""),"03 ORL")</f>
        <v>03 ORL</v>
      </c>
      <c r="N594" s="33" t="str">
        <f ca="1">IFERROR(__xludf.DUMMYFUNCTION("""COMPUTED_VALUE"""),"06 ORL")</f>
        <v>06 ORL</v>
      </c>
      <c r="O594" s="33" t="str">
        <f ca="1">IFERROR(__xludf.DUMMYFUNCTION("""COMPUTED_VALUE"""),"Dra, María Teresa Cervilla Martín")</f>
        <v>Dra, María Teresa Cervilla Martín</v>
      </c>
      <c r="P594" s="33" t="str">
        <f ca="1">IFERROR(__xludf.DUMMYFUNCTION("""COMPUTED_VALUE"""),"Luis Alberto Rodríguez (Andalucía Y Badajoz)")</f>
        <v>Luis Alberto Rodríguez (Andalucía Y Badajoz)</v>
      </c>
    </row>
    <row r="595" spans="2:16">
      <c r="B595" s="33">
        <f ca="1">IFERROR(__xludf.DUMMYFUNCTION("""COMPUTED_VALUE"""),2025)</f>
        <v>2025</v>
      </c>
      <c r="C595" s="33">
        <f ca="1">IFERROR(__xludf.DUMMYFUNCTION("""COMPUTED_VALUE"""),4)</f>
        <v>4</v>
      </c>
      <c r="D595" s="33" t="str">
        <f ca="1">IFERROR(__xludf.DUMMYFUNCTION("""COMPUTED_VALUE"""),"NO")</f>
        <v>NO</v>
      </c>
      <c r="E595" s="33" t="str">
        <f ca="1">IFERROR(__xludf.DUMMYFUNCTION("""COMPUTED_VALUE"""),"Leganés")</f>
        <v>Leganés</v>
      </c>
      <c r="F595" s="57">
        <f ca="1">IFERROR(__xludf.DUMMYFUNCTION("""COMPUTED_VALUE"""),45777)</f>
        <v>45777</v>
      </c>
      <c r="G595" s="57">
        <f ca="1">IFERROR(__xludf.DUMMYFUNCTION("""COMPUTED_VALUE"""),45741)</f>
        <v>45741</v>
      </c>
      <c r="H595" s="33" t="str">
        <f ca="1">IFERROR(__xludf.DUMMYFUNCTION("""COMPUTED_VALUE"""),"Leganés")</f>
        <v>Leganés</v>
      </c>
      <c r="I595" s="33" t="str">
        <f ca="1">IFERROR(__xludf.DUMMYFUNCTION("""COMPUTED_VALUE"""),"C2025327175818490")</f>
        <v>C2025327175818490</v>
      </c>
      <c r="J595" s="33" t="str">
        <f ca="1">IFERROR(__xludf.DUMMYFUNCTION("""COMPUTED_VALUE"""),"CONSOLACIÓN BARROSO TRIGUERO")</f>
        <v>CONSOLACIÓN BARROSO TRIGUERO</v>
      </c>
      <c r="K595" s="33">
        <f ca="1">IFERROR(__xludf.DUMMYFUNCTION("""COMPUTED_VALUE"""),1)</f>
        <v>1</v>
      </c>
      <c r="L595" s="203">
        <f ca="1">IFERROR(__xludf.DUMMYFUNCTION("""COMPUTED_VALUE"""),2400)</f>
        <v>2400</v>
      </c>
      <c r="M595" s="33" t="str">
        <f ca="1">IFERROR(__xludf.DUMMYFUNCTION("""COMPUTED_VALUE"""),"03 ORL")</f>
        <v>03 ORL</v>
      </c>
      <c r="N595" s="33" t="str">
        <f ca="1">IFERROR(__xludf.DUMMYFUNCTION("""COMPUTED_VALUE"""),"06 ORL")</f>
        <v>06 ORL</v>
      </c>
      <c r="O595" s="33" t="str">
        <f ca="1">IFERROR(__xludf.DUMMYFUNCTION("""COMPUTED_VALUE"""),"Dr, Julio López Moya")</f>
        <v>Dr, Julio López Moya</v>
      </c>
      <c r="P595" s="33" t="str">
        <f ca="1">IFERROR(__xludf.DUMMYFUNCTION("""COMPUTED_VALUE"""),"Maika Blázquez (Madrid)")</f>
        <v>Maika Blázquez (Madrid)</v>
      </c>
    </row>
    <row r="596" spans="2:16">
      <c r="B596" s="33">
        <f ca="1">IFERROR(__xludf.DUMMYFUNCTION("""COMPUTED_VALUE"""),2025)</f>
        <v>2025</v>
      </c>
      <c r="C596" s="33">
        <f ca="1">IFERROR(__xludf.DUMMYFUNCTION("""COMPUTED_VALUE"""),4)</f>
        <v>4</v>
      </c>
      <c r="D596" s="33" t="str">
        <f ca="1">IFERROR(__xludf.DUMMYFUNCTION("""COMPUTED_VALUE"""),"NO")</f>
        <v>NO</v>
      </c>
      <c r="E596" s="33" t="str">
        <f ca="1">IFERROR(__xludf.DUMMYFUNCTION("""COMPUTED_VALUE"""),"Leganés")</f>
        <v>Leganés</v>
      </c>
      <c r="F596" s="57">
        <f ca="1">IFERROR(__xludf.DUMMYFUNCTION("""COMPUTED_VALUE"""),45777)</f>
        <v>45777</v>
      </c>
      <c r="G596" s="57">
        <f ca="1">IFERROR(__xludf.DUMMYFUNCTION("""COMPUTED_VALUE"""),45743)</f>
        <v>45743</v>
      </c>
      <c r="H596" s="33" t="str">
        <f ca="1">IFERROR(__xludf.DUMMYFUNCTION("""COMPUTED_VALUE"""),"Leganés")</f>
        <v>Leganés</v>
      </c>
      <c r="I596" s="33" t="str">
        <f ca="1">IFERROR(__xludf.DUMMYFUNCTION("""COMPUTED_VALUE"""),"C20254818255245")</f>
        <v>C20254818255245</v>
      </c>
      <c r="J596" s="33" t="str">
        <f ca="1">IFERROR(__xludf.DUMMYFUNCTION("""COMPUTED_VALUE"""),"JACINTA CRISOSTOMO MARTIN")</f>
        <v>JACINTA CRISOSTOMO MARTIN</v>
      </c>
      <c r="K596" s="33">
        <f ca="1">IFERROR(__xludf.DUMMYFUNCTION("""COMPUTED_VALUE"""),2)</f>
        <v>2</v>
      </c>
      <c r="L596" s="203">
        <f ca="1">IFERROR(__xludf.DUMMYFUNCTION("""COMPUTED_VALUE"""),4000)</f>
        <v>4000</v>
      </c>
      <c r="M596" s="33" t="str">
        <f ca="1">IFERROR(__xludf.DUMMYFUNCTION("""COMPUTED_VALUE"""),"03 ORL")</f>
        <v>03 ORL</v>
      </c>
      <c r="N596" s="33" t="str">
        <f ca="1">IFERROR(__xludf.DUMMYFUNCTION("""COMPUTED_VALUE"""),"06 ORL")</f>
        <v>06 ORL</v>
      </c>
      <c r="O596" s="33" t="str">
        <f ca="1">IFERROR(__xludf.DUMMYFUNCTION("""COMPUTED_VALUE"""),"Dra, Montserrat Portell Soriano")</f>
        <v>Dra, Montserrat Portell Soriano</v>
      </c>
      <c r="P596" s="33" t="str">
        <f ca="1">IFERROR(__xludf.DUMMYFUNCTION("""COMPUTED_VALUE"""),"Maika Blázquez (Madrid)")</f>
        <v>Maika Blázquez (Madrid)</v>
      </c>
    </row>
    <row r="597" spans="2:16">
      <c r="B597" s="33">
        <f ca="1">IFERROR(__xludf.DUMMYFUNCTION("""COMPUTED_VALUE"""),2025)</f>
        <v>2025</v>
      </c>
      <c r="C597" s="33">
        <f ca="1">IFERROR(__xludf.DUMMYFUNCTION("""COMPUTED_VALUE"""),4)</f>
        <v>4</v>
      </c>
      <c r="D597" s="33" t="str">
        <f ca="1">IFERROR(__xludf.DUMMYFUNCTION("""COMPUTED_VALUE"""),"NO")</f>
        <v>NO</v>
      </c>
      <c r="E597" s="33" t="str">
        <f ca="1">IFERROR(__xludf.DUMMYFUNCTION("""COMPUTED_VALUE"""),"Leganés")</f>
        <v>Leganés</v>
      </c>
      <c r="F597" s="57">
        <f ca="1">IFERROR(__xludf.DUMMYFUNCTION("""COMPUTED_VALUE"""),45777)</f>
        <v>45777</v>
      </c>
      <c r="G597" s="57">
        <f ca="1">IFERROR(__xludf.DUMMYFUNCTION("""COMPUTED_VALUE"""),45734)</f>
        <v>45734</v>
      </c>
      <c r="H597" s="33" t="str">
        <f ca="1">IFERROR(__xludf.DUMMYFUNCTION("""COMPUTED_VALUE"""),"Leganés")</f>
        <v>Leganés</v>
      </c>
      <c r="I597" s="33" t="str">
        <f ca="1">IFERROR(__xludf.DUMMYFUNCTION("""COMPUTED_VALUE"""),"C2025325182646127")</f>
        <v>C2025325182646127</v>
      </c>
      <c r="J597" s="33" t="str">
        <f ca="1">IFERROR(__xludf.DUMMYFUNCTION("""COMPUTED_VALUE"""),"MARIA SAGRARIO CALVO GUTIERREZ")</f>
        <v>MARIA SAGRARIO CALVO GUTIERREZ</v>
      </c>
      <c r="K597" s="33">
        <f ca="1">IFERROR(__xludf.DUMMYFUNCTION("""COMPUTED_VALUE"""),2)</f>
        <v>2</v>
      </c>
      <c r="L597" s="203">
        <f ca="1">IFERROR(__xludf.DUMMYFUNCTION("""COMPUTED_VALUE"""),4000)</f>
        <v>4000</v>
      </c>
      <c r="M597" s="33" t="str">
        <f ca="1">IFERROR(__xludf.DUMMYFUNCTION("""COMPUTED_VALUE"""),"03 ORL")</f>
        <v>03 ORL</v>
      </c>
      <c r="N597" s="33" t="str">
        <f ca="1">IFERROR(__xludf.DUMMYFUNCTION("""COMPUTED_VALUE"""),"06 ORL")</f>
        <v>06 ORL</v>
      </c>
      <c r="O597" s="33" t="str">
        <f ca="1">IFERROR(__xludf.DUMMYFUNCTION("""COMPUTED_VALUE"""),"Dr, Jesús Ramos Fernández")</f>
        <v>Dr, Jesús Ramos Fernández</v>
      </c>
      <c r="P597" s="33" t="str">
        <f ca="1">IFERROR(__xludf.DUMMYFUNCTION("""COMPUTED_VALUE"""),"Maika Blázquez (Madrid)")</f>
        <v>Maika Blázquez (Madrid)</v>
      </c>
    </row>
    <row r="598" spans="2:16">
      <c r="B598" s="33">
        <f ca="1">IFERROR(__xludf.DUMMYFUNCTION("""COMPUTED_VALUE"""),2025)</f>
        <v>2025</v>
      </c>
      <c r="C598" s="33">
        <f ca="1">IFERROR(__xludf.DUMMYFUNCTION("""COMPUTED_VALUE"""),4)</f>
        <v>4</v>
      </c>
      <c r="D598" s="33" t="str">
        <f ca="1">IFERROR(__xludf.DUMMYFUNCTION("""COMPUTED_VALUE"""),"NO")</f>
        <v>NO</v>
      </c>
      <c r="E598" s="33" t="str">
        <f ca="1">IFERROR(__xludf.DUMMYFUNCTION("""COMPUTED_VALUE"""),"Madrid- La Oca")</f>
        <v>Madrid- La Oca</v>
      </c>
      <c r="F598" s="57">
        <f ca="1">IFERROR(__xludf.DUMMYFUNCTION("""COMPUTED_VALUE"""),45777)</f>
        <v>45777</v>
      </c>
      <c r="G598" s="57">
        <f ca="1">IFERROR(__xludf.DUMMYFUNCTION("""COMPUTED_VALUE"""),45733)</f>
        <v>45733</v>
      </c>
      <c r="H598" s="33" t="str">
        <f ca="1">IFERROR(__xludf.DUMMYFUNCTION("""COMPUTED_VALUE"""),"La Oca")</f>
        <v>La Oca</v>
      </c>
      <c r="I598" s="33" t="str">
        <f ca="1">IFERROR(__xludf.DUMMYFUNCTION("""COMPUTED_VALUE"""),"C202532115547611")</f>
        <v>C202532115547611</v>
      </c>
      <c r="J598" s="33" t="str">
        <f ca="1">IFERROR(__xludf.DUMMYFUNCTION("""COMPUTED_VALUE"""),"LUISA PASCUA CORBATON")</f>
        <v>LUISA PASCUA CORBATON</v>
      </c>
      <c r="K598" s="33">
        <f ca="1">IFERROR(__xludf.DUMMYFUNCTION("""COMPUTED_VALUE"""),2)</f>
        <v>2</v>
      </c>
      <c r="L598" s="203">
        <f ca="1">IFERROR(__xludf.DUMMYFUNCTION("""COMPUTED_VALUE"""),4000)</f>
        <v>4000</v>
      </c>
      <c r="M598" s="33" t="str">
        <f ca="1">IFERROR(__xludf.DUMMYFUNCTION("""COMPUTED_VALUE"""),"03 ORL")</f>
        <v>03 ORL</v>
      </c>
      <c r="N598" s="33" t="str">
        <f ca="1">IFERROR(__xludf.DUMMYFUNCTION("""COMPUTED_VALUE"""),"06 ORL")</f>
        <v>06 ORL</v>
      </c>
      <c r="O598" s="33" t="str">
        <f ca="1">IFERROR(__xludf.DUMMYFUNCTION("""COMPUTED_VALUE"""),"Dr, César Charles Martínez")</f>
        <v>Dr, César Charles Martínez</v>
      </c>
      <c r="P598" s="33" t="str">
        <f ca="1">IFERROR(__xludf.DUMMYFUNCTION("""COMPUTED_VALUE"""),"Maika Blázquez (Madrid)")</f>
        <v>Maika Blázquez (Madrid)</v>
      </c>
    </row>
    <row r="599" spans="2:16">
      <c r="B599" s="33">
        <f ca="1">IFERROR(__xludf.DUMMYFUNCTION("""COMPUTED_VALUE"""),2025)</f>
        <v>2025</v>
      </c>
      <c r="C599" s="33">
        <f ca="1">IFERROR(__xludf.DUMMYFUNCTION("""COMPUTED_VALUE"""),4)</f>
        <v>4</v>
      </c>
      <c r="D599" s="33" t="str">
        <f ca="1">IFERROR(__xludf.DUMMYFUNCTION("""COMPUTED_VALUE"""),"NO")</f>
        <v>NO</v>
      </c>
      <c r="E599" s="33" t="str">
        <f ca="1">IFERROR(__xludf.DUMMYFUNCTION("""COMPUTED_VALUE"""),"Madrid- Moratalaz")</f>
        <v>Madrid- Moratalaz</v>
      </c>
      <c r="F599" s="57">
        <f ca="1">IFERROR(__xludf.DUMMYFUNCTION("""COMPUTED_VALUE"""),45777)</f>
        <v>45777</v>
      </c>
      <c r="G599" s="57">
        <f ca="1">IFERROR(__xludf.DUMMYFUNCTION("""COMPUTED_VALUE"""),45743)</f>
        <v>45743</v>
      </c>
      <c r="H599" s="33" t="str">
        <f ca="1">IFERROR(__xludf.DUMMYFUNCTION("""COMPUTED_VALUE"""),"Moratalaz")</f>
        <v>Moratalaz</v>
      </c>
      <c r="I599" s="33" t="str">
        <f ca="1">IFERROR(__xludf.DUMMYFUNCTION("""COMPUTED_VALUE"""),"C202549124323417")</f>
        <v>C202549124323417</v>
      </c>
      <c r="J599" s="33" t="str">
        <f ca="1">IFERROR(__xludf.DUMMYFUNCTION("""COMPUTED_VALUE"""),"MARIA JESUS SANCHEZ ESPINOSA")</f>
        <v>MARIA JESUS SANCHEZ ESPINOSA</v>
      </c>
      <c r="K599" s="33">
        <f ca="1">IFERROR(__xludf.DUMMYFUNCTION("""COMPUTED_VALUE"""),1)</f>
        <v>1</v>
      </c>
      <c r="L599" s="203">
        <f ca="1">IFERROR(__xludf.DUMMYFUNCTION("""COMPUTED_VALUE"""),2400)</f>
        <v>2400</v>
      </c>
      <c r="M599" s="33" t="str">
        <f ca="1">IFERROR(__xludf.DUMMYFUNCTION("""COMPUTED_VALUE"""),"03 ORL")</f>
        <v>03 ORL</v>
      </c>
      <c r="N599" s="33" t="str">
        <f ca="1">IFERROR(__xludf.DUMMYFUNCTION("""COMPUTED_VALUE"""),"06 ORL")</f>
        <v>06 ORL</v>
      </c>
      <c r="O599" s="1" t="str">
        <f ca="1">IFERROR(__xludf.DUMMYFUNCTION("""COMPUTED_VALUE"""),"Dr, Julio López Moya")</f>
        <v>Dr, Julio López Moya</v>
      </c>
      <c r="P599" s="33" t="str">
        <f ca="1">IFERROR(__xludf.DUMMYFUNCTION("""COMPUTED_VALUE"""),"Maika Blázquez (Madrid)")</f>
        <v>Maika Blázquez (Madrid)</v>
      </c>
    </row>
    <row r="600" spans="2:16">
      <c r="B600" s="33">
        <f ca="1">IFERROR(__xludf.DUMMYFUNCTION("""COMPUTED_VALUE"""),2025)</f>
        <v>2025</v>
      </c>
      <c r="C600" s="33">
        <f ca="1">IFERROR(__xludf.DUMMYFUNCTION("""COMPUTED_VALUE"""),4)</f>
        <v>4</v>
      </c>
      <c r="D600" s="33" t="str">
        <f ca="1">IFERROR(__xludf.DUMMYFUNCTION("""COMPUTED_VALUE"""),"NO")</f>
        <v>NO</v>
      </c>
      <c r="E600" s="33" t="str">
        <f ca="1">IFERROR(__xludf.DUMMYFUNCTION("""COMPUTED_VALUE"""),"Murcia")</f>
        <v>Murcia</v>
      </c>
      <c r="F600" s="57">
        <f ca="1">IFERROR(__xludf.DUMMYFUNCTION("""COMPUTED_VALUE"""),45777)</f>
        <v>45777</v>
      </c>
      <c r="G600" s="57">
        <f ca="1">IFERROR(__xludf.DUMMYFUNCTION("""COMPUTED_VALUE"""),45749)</f>
        <v>45749</v>
      </c>
      <c r="H600" s="33" t="str">
        <f ca="1">IFERROR(__xludf.DUMMYFUNCTION("""COMPUTED_VALUE"""),"Murcia")</f>
        <v>Murcia</v>
      </c>
      <c r="I600" s="33" t="str">
        <f ca="1">IFERROR(__xludf.DUMMYFUNCTION("""COMPUTED_VALUE"""),"C202541510443625")</f>
        <v>C202541510443625</v>
      </c>
      <c r="J600" s="33" t="str">
        <f ca="1">IFERROR(__xludf.DUMMYFUNCTION("""COMPUTED_VALUE"""),"MARGARET ROSE WORMINGTON")</f>
        <v>MARGARET ROSE WORMINGTON</v>
      </c>
      <c r="K600" s="33">
        <f ca="1">IFERROR(__xludf.DUMMYFUNCTION("""COMPUTED_VALUE"""),1)</f>
        <v>1</v>
      </c>
      <c r="L600" s="203">
        <f ca="1">IFERROR(__xludf.DUMMYFUNCTION("""COMPUTED_VALUE"""),2400)</f>
        <v>2400</v>
      </c>
      <c r="M600" s="33" t="str">
        <f ca="1">IFERROR(__xludf.DUMMYFUNCTION("""COMPUTED_VALUE"""),"03 ORL")</f>
        <v>03 ORL</v>
      </c>
      <c r="N600" s="33" t="str">
        <f ca="1">IFERROR(__xludf.DUMMYFUNCTION("""COMPUTED_VALUE"""),"06 ORL")</f>
        <v>06 ORL</v>
      </c>
      <c r="O600" s="33" t="str">
        <f ca="1">IFERROR(__xludf.DUMMYFUNCTION("""COMPUTED_VALUE"""),"Dra, Araceli González Delgado")</f>
        <v>Dra, Araceli González Delgado</v>
      </c>
      <c r="P600" s="33" t="str">
        <f ca="1">IFERROR(__xludf.DUMMYFUNCTION("""COMPUTED_VALUE"""),"Iván Sánchez (Levante Y Albacete)")</f>
        <v>Iván Sánchez (Levante Y Albacete)</v>
      </c>
    </row>
    <row r="601" spans="2:16">
      <c r="B601" s="33">
        <f ca="1">IFERROR(__xludf.DUMMYFUNCTION("""COMPUTED_VALUE"""),2025)</f>
        <v>2025</v>
      </c>
      <c r="C601" s="33">
        <f ca="1">IFERROR(__xludf.DUMMYFUNCTION("""COMPUTED_VALUE"""),4)</f>
        <v>4</v>
      </c>
      <c r="D601" s="33" t="str">
        <f ca="1">IFERROR(__xludf.DUMMYFUNCTION("""COMPUTED_VALUE"""),"NO")</f>
        <v>NO</v>
      </c>
      <c r="E601" s="33" t="str">
        <f ca="1">IFERROR(__xludf.DUMMYFUNCTION("""COMPUTED_VALUE"""),"Talavera")</f>
        <v>Talavera</v>
      </c>
      <c r="F601" s="57">
        <f ca="1">IFERROR(__xludf.DUMMYFUNCTION("""COMPUTED_VALUE"""),45777)</f>
        <v>45777</v>
      </c>
      <c r="G601" s="57">
        <f ca="1">IFERROR(__xludf.DUMMYFUNCTION("""COMPUTED_VALUE"""),45748)</f>
        <v>45748</v>
      </c>
      <c r="H601" s="33" t="str">
        <f ca="1">IFERROR(__xludf.DUMMYFUNCTION("""COMPUTED_VALUE"""),"Talavera")</f>
        <v>Talavera</v>
      </c>
      <c r="I601" s="33" t="str">
        <f ca="1">IFERROR(__xludf.DUMMYFUNCTION("""COMPUTED_VALUE"""),"C20254910758482")</f>
        <v>C20254910758482</v>
      </c>
      <c r="J601" s="33" t="str">
        <f ca="1">IFERROR(__xludf.DUMMYFUNCTION("""COMPUTED_VALUE"""),"JESUS GUERRA LESMES")</f>
        <v>JESUS GUERRA LESMES</v>
      </c>
      <c r="K601" s="33">
        <f ca="1">IFERROR(__xludf.DUMMYFUNCTION("""COMPUTED_VALUE"""),2)</f>
        <v>2</v>
      </c>
      <c r="L601" s="203">
        <f ca="1">IFERROR(__xludf.DUMMYFUNCTION("""COMPUTED_VALUE"""),4000)</f>
        <v>4000</v>
      </c>
      <c r="M601" s="33" t="str">
        <f ca="1">IFERROR(__xludf.DUMMYFUNCTION("""COMPUTED_VALUE"""),"03 ORL")</f>
        <v>03 ORL</v>
      </c>
      <c r="N601" s="33" t="str">
        <f ca="1">IFERROR(__xludf.DUMMYFUNCTION("""COMPUTED_VALUE"""),"06 ORL")</f>
        <v>06 ORL</v>
      </c>
      <c r="O601" s="33" t="str">
        <f ca="1">IFERROR(__xludf.DUMMYFUNCTION("""COMPUTED_VALUE"""),"Dr, Carlos Félix Asensio Nieto")</f>
        <v>Dr, Carlos Félix Asensio Nieto</v>
      </c>
      <c r="P601" s="33" t="str">
        <f ca="1">IFERROR(__xludf.DUMMYFUNCTION("""COMPUTED_VALUE"""),"Lisandro Russian (Madrid, Cáceres, Toledo, Talavera Y Logroño)")</f>
        <v>Lisandro Russian (Madrid, Cáceres, Toledo, Talavera Y Logroño)</v>
      </c>
    </row>
    <row r="602" spans="2:16">
      <c r="B602" s="33">
        <f ca="1">IFERROR(__xludf.DUMMYFUNCTION("""COMPUTED_VALUE"""),2025)</f>
        <v>2025</v>
      </c>
      <c r="C602" s="33">
        <f ca="1">IFERROR(__xludf.DUMMYFUNCTION("""COMPUTED_VALUE"""),4)</f>
        <v>4</v>
      </c>
      <c r="D602" s="33" t="str">
        <f ca="1">IFERROR(__xludf.DUMMYFUNCTION("""COMPUTED_VALUE"""),"NO")</f>
        <v>NO</v>
      </c>
      <c r="E602" s="33" t="str">
        <f ca="1">IFERROR(__xludf.DUMMYFUNCTION("""COMPUTED_VALUE"""),"Talavera")</f>
        <v>Talavera</v>
      </c>
      <c r="F602" s="57">
        <f ca="1">IFERROR(__xludf.DUMMYFUNCTION("""COMPUTED_VALUE"""),45777)</f>
        <v>45777</v>
      </c>
      <c r="G602" s="57">
        <f ca="1">IFERROR(__xludf.DUMMYFUNCTION("""COMPUTED_VALUE"""),45747)</f>
        <v>45747</v>
      </c>
      <c r="H602" s="33" t="str">
        <f ca="1">IFERROR(__xludf.DUMMYFUNCTION("""COMPUTED_VALUE"""),"Talavera")</f>
        <v>Talavera</v>
      </c>
      <c r="I602" s="33" t="str">
        <f ca="1">IFERROR(__xludf.DUMMYFUNCTION("""COMPUTED_VALUE"""),"C2025411226184")</f>
        <v>C2025411226184</v>
      </c>
      <c r="J602" s="33" t="str">
        <f ca="1">IFERROR(__xludf.DUMMYFUNCTION("""COMPUTED_VALUE"""),"MARIA JESUS VAZQUEZ JIMENEZ")</f>
        <v>MARIA JESUS VAZQUEZ JIMENEZ</v>
      </c>
      <c r="K602" s="33">
        <f ca="1">IFERROR(__xludf.DUMMYFUNCTION("""COMPUTED_VALUE"""),1)</f>
        <v>1</v>
      </c>
      <c r="L602" s="203">
        <f ca="1">IFERROR(__xludf.DUMMYFUNCTION("""COMPUTED_VALUE"""),2226.36)</f>
        <v>2226.36</v>
      </c>
      <c r="M602" s="33" t="str">
        <f ca="1">IFERROR(__xludf.DUMMYFUNCTION("""COMPUTED_VALUE"""),"03 ORL")</f>
        <v>03 ORL</v>
      </c>
      <c r="N602" s="33" t="str">
        <f ca="1">IFERROR(__xludf.DUMMYFUNCTION("""COMPUTED_VALUE"""),"06 ORL")</f>
        <v>06 ORL</v>
      </c>
      <c r="O602" s="33" t="str">
        <f ca="1">IFERROR(__xludf.DUMMYFUNCTION("""COMPUTED_VALUE"""),"Dra, Maria Del Rocío Lobato Pérez")</f>
        <v>Dra, Maria Del Rocío Lobato Pérez</v>
      </c>
      <c r="P602" s="33" t="str">
        <f ca="1">IFERROR(__xludf.DUMMYFUNCTION("""COMPUTED_VALUE"""),"Lisandro Russian (Madrid, Cáceres, Toledo, Talavera Y Logroño)")</f>
        <v>Lisandro Russian (Madrid, Cáceres, Toledo, Talavera Y Logroño)</v>
      </c>
    </row>
    <row r="603" spans="2:16">
      <c r="B603" s="33">
        <f ca="1">IFERROR(__xludf.DUMMYFUNCTION("""COMPUTED_VALUE"""),2025)</f>
        <v>2025</v>
      </c>
      <c r="C603" s="33">
        <f ca="1">IFERROR(__xludf.DUMMYFUNCTION("""COMPUTED_VALUE"""),4)</f>
        <v>4</v>
      </c>
      <c r="D603" s="33" t="str">
        <f ca="1">IFERROR(__xludf.DUMMYFUNCTION("""COMPUTED_VALUE"""),"NO")</f>
        <v>NO</v>
      </c>
      <c r="E603" s="33" t="str">
        <f ca="1">IFERROR(__xludf.DUMMYFUNCTION("""COMPUTED_VALUE"""),"Toledo")</f>
        <v>Toledo</v>
      </c>
      <c r="F603" s="57">
        <f ca="1">IFERROR(__xludf.DUMMYFUNCTION("""COMPUTED_VALUE"""),45777)</f>
        <v>45777</v>
      </c>
      <c r="G603" s="57">
        <f ca="1">IFERROR(__xludf.DUMMYFUNCTION("""COMPUTED_VALUE"""),45729)</f>
        <v>45729</v>
      </c>
      <c r="H603" s="33" t="str">
        <f ca="1">IFERROR(__xludf.DUMMYFUNCTION("""COMPUTED_VALUE"""),"Toledo")</f>
        <v>Toledo</v>
      </c>
      <c r="I603" s="33" t="str">
        <f ca="1">IFERROR(__xludf.DUMMYFUNCTION("""COMPUTED_VALUE"""),"C2025320102248794")</f>
        <v>C2025320102248794</v>
      </c>
      <c r="J603" s="33" t="str">
        <f ca="1">IFERROR(__xludf.DUMMYFUNCTION("""COMPUTED_VALUE"""),"PILAR NOGALES LARA")</f>
        <v>PILAR NOGALES LARA</v>
      </c>
      <c r="K603" s="33">
        <f ca="1">IFERROR(__xludf.DUMMYFUNCTION("""COMPUTED_VALUE"""),1)</f>
        <v>1</v>
      </c>
      <c r="L603" s="203">
        <f ca="1">IFERROR(__xludf.DUMMYFUNCTION("""COMPUTED_VALUE"""),2400)</f>
        <v>2400</v>
      </c>
      <c r="M603" s="33" t="str">
        <f ca="1">IFERROR(__xludf.DUMMYFUNCTION("""COMPUTED_VALUE"""),"03 ORL")</f>
        <v>03 ORL</v>
      </c>
      <c r="N603" s="33" t="str">
        <f ca="1">IFERROR(__xludf.DUMMYFUNCTION("""COMPUTED_VALUE"""),"06 ORL")</f>
        <v>06 ORL</v>
      </c>
      <c r="O603" s="33" t="str">
        <f ca="1">IFERROR(__xludf.DUMMYFUNCTION("""COMPUTED_VALUE"""),"Dra, Eva Ruiz De Gauna")</f>
        <v>Dra, Eva Ruiz De Gauna</v>
      </c>
      <c r="P603" s="33" t="str">
        <f ca="1">IFERROR(__xludf.DUMMYFUNCTION("""COMPUTED_VALUE"""),"Lisandro Russian (Madrid, Cáceres, Toledo, Talavera Y Logroño)")</f>
        <v>Lisandro Russian (Madrid, Cáceres, Toledo, Talavera Y Logroño)</v>
      </c>
    </row>
    <row r="604" spans="2:16">
      <c r="B604" s="33">
        <f ca="1">IFERROR(__xludf.DUMMYFUNCTION("""COMPUTED_VALUE"""),2025)</f>
        <v>2025</v>
      </c>
      <c r="C604" s="33">
        <f ca="1">IFERROR(__xludf.DUMMYFUNCTION("""COMPUTED_VALUE"""),4)</f>
        <v>4</v>
      </c>
      <c r="D604" s="33" t="str">
        <f ca="1">IFERROR(__xludf.DUMMYFUNCTION("""COMPUTED_VALUE"""),"NO")</f>
        <v>NO</v>
      </c>
      <c r="E604" s="33" t="str">
        <f ca="1">IFERROR(__xludf.DUMMYFUNCTION("""COMPUTED_VALUE"""),"Valencia- Cádiz")</f>
        <v>Valencia- Cádiz</v>
      </c>
      <c r="F604" s="57">
        <f ca="1">IFERROR(__xludf.DUMMYFUNCTION("""COMPUTED_VALUE"""),45777)</f>
        <v>45777</v>
      </c>
      <c r="G604" s="57">
        <f ca="1">IFERROR(__xludf.DUMMYFUNCTION("""COMPUTED_VALUE"""),45750)</f>
        <v>45750</v>
      </c>
      <c r="H604" s="33" t="str">
        <f ca="1">IFERROR(__xludf.DUMMYFUNCTION("""COMPUTED_VALUE"""),"Valencia- Cádiz")</f>
        <v>Valencia- Cádiz</v>
      </c>
      <c r="I604" s="33" t="str">
        <f ca="1">IFERROR(__xludf.DUMMYFUNCTION("""COMPUTED_VALUE"""),"C20254715111937")</f>
        <v>C20254715111937</v>
      </c>
      <c r="J604" s="33" t="str">
        <f ca="1">IFERROR(__xludf.DUMMYFUNCTION("""COMPUTED_VALUE"""),"EMPAR DE LANUZA HURTADO")</f>
        <v>EMPAR DE LANUZA HURTADO</v>
      </c>
      <c r="K604" s="33">
        <f ca="1">IFERROR(__xludf.DUMMYFUNCTION("""COMPUTED_VALUE"""),2)</f>
        <v>2</v>
      </c>
      <c r="L604" s="203">
        <f ca="1">IFERROR(__xludf.DUMMYFUNCTION("""COMPUTED_VALUE"""),2888.18)</f>
        <v>2888.18</v>
      </c>
      <c r="M604" s="33" t="str">
        <f ca="1">IFERROR(__xludf.DUMMYFUNCTION("""COMPUTED_VALUE"""),"03 ORL")</f>
        <v>03 ORL</v>
      </c>
      <c r="N604" s="33" t="str">
        <f ca="1">IFERROR(__xludf.DUMMYFUNCTION("""COMPUTED_VALUE"""),"06 ORL")</f>
        <v>06 ORL</v>
      </c>
      <c r="O604" s="33" t="str">
        <f ca="1">IFERROR(__xludf.DUMMYFUNCTION("""COMPUTED_VALUE"""),"Dr, José Ramiro De León Lima")</f>
        <v>Dr, José Ramiro De León Lima</v>
      </c>
      <c r="P604" s="33" t="str">
        <f ca="1">IFERROR(__xludf.DUMMYFUNCTION("""COMPUTED_VALUE"""),"Ramon Ferrando(Valencia)")</f>
        <v>Ramon Ferrando(Valencia)</v>
      </c>
    </row>
    <row r="605" spans="2:16">
      <c r="B605" s="33">
        <f ca="1">IFERROR(__xludf.DUMMYFUNCTION("""COMPUTED_VALUE"""),2025)</f>
        <v>2025</v>
      </c>
      <c r="C605" s="33">
        <f ca="1">IFERROR(__xludf.DUMMYFUNCTION("""COMPUTED_VALUE"""),4)</f>
        <v>4</v>
      </c>
      <c r="D605" s="33" t="str">
        <f ca="1">IFERROR(__xludf.DUMMYFUNCTION("""COMPUTED_VALUE"""),"NO")</f>
        <v>NO</v>
      </c>
      <c r="E605" s="33" t="str">
        <f ca="1">IFERROR(__xludf.DUMMYFUNCTION("""COMPUTED_VALUE"""),"Valencia- Cádiz")</f>
        <v>Valencia- Cádiz</v>
      </c>
      <c r="F605" s="57">
        <f ca="1">IFERROR(__xludf.DUMMYFUNCTION("""COMPUTED_VALUE"""),45777)</f>
        <v>45777</v>
      </c>
      <c r="G605" s="57">
        <f ca="1">IFERROR(__xludf.DUMMYFUNCTION("""COMPUTED_VALUE"""),45727)</f>
        <v>45727</v>
      </c>
      <c r="H605" s="33" t="str">
        <f ca="1">IFERROR(__xludf.DUMMYFUNCTION("""COMPUTED_VALUE"""),"Valencia- Cádiz")</f>
        <v>Valencia- Cádiz</v>
      </c>
      <c r="I605" s="33" t="str">
        <f ca="1">IFERROR(__xludf.DUMMYFUNCTION("""COMPUTED_VALUE"""),"C2025325122735477")</f>
        <v>C2025325122735477</v>
      </c>
      <c r="J605" s="33" t="str">
        <f ca="1">IFERROR(__xludf.DUMMYFUNCTION("""COMPUTED_VALUE"""),"JOSE SANCHIS TROBAT")</f>
        <v>JOSE SANCHIS TROBAT</v>
      </c>
      <c r="K605" s="33">
        <f ca="1">IFERROR(__xludf.DUMMYFUNCTION("""COMPUTED_VALUE"""),2)</f>
        <v>2</v>
      </c>
      <c r="L605" s="203">
        <f ca="1">IFERROR(__xludf.DUMMYFUNCTION("""COMPUTED_VALUE"""),3710)</f>
        <v>3710</v>
      </c>
      <c r="M605" s="33" t="str">
        <f ca="1">IFERROR(__xludf.DUMMYFUNCTION("""COMPUTED_VALUE"""),"03 ORL")</f>
        <v>03 ORL</v>
      </c>
      <c r="N605" s="33" t="str">
        <f ca="1">IFERROR(__xludf.DUMMYFUNCTION("""COMPUTED_VALUE"""),"06 ORL")</f>
        <v>06 ORL</v>
      </c>
      <c r="O605" s="33" t="str">
        <f ca="1">IFERROR(__xludf.DUMMYFUNCTION("""COMPUTED_VALUE"""),"Dr, José Ramiro De León Lima")</f>
        <v>Dr, José Ramiro De León Lima</v>
      </c>
      <c r="P605" s="33" t="str">
        <f ca="1">IFERROR(__xludf.DUMMYFUNCTION("""COMPUTED_VALUE"""),"Ramon Ferrando(Valencia)")</f>
        <v>Ramon Ferrando(Valencia)</v>
      </c>
    </row>
    <row r="606" spans="2:16">
      <c r="B606" s="33">
        <f ca="1">IFERROR(__xludf.DUMMYFUNCTION("""COMPUTED_VALUE"""),2025)</f>
        <v>2025</v>
      </c>
      <c r="C606" s="33">
        <f ca="1">IFERROR(__xludf.DUMMYFUNCTION("""COMPUTED_VALUE"""),4)</f>
        <v>4</v>
      </c>
      <c r="D606" s="33" t="str">
        <f ca="1">IFERROR(__xludf.DUMMYFUNCTION("""COMPUTED_VALUE"""),"NO")</f>
        <v>NO</v>
      </c>
      <c r="E606" s="33" t="str">
        <f ca="1">IFERROR(__xludf.DUMMYFUNCTION("""COMPUTED_VALUE"""),"Valencia- Cádiz")</f>
        <v>Valencia- Cádiz</v>
      </c>
      <c r="F606" s="57">
        <f ca="1">IFERROR(__xludf.DUMMYFUNCTION("""COMPUTED_VALUE"""),45777)</f>
        <v>45777</v>
      </c>
      <c r="G606" s="57">
        <f ca="1">IFERROR(__xludf.DUMMYFUNCTION("""COMPUTED_VALUE"""),45727)</f>
        <v>45727</v>
      </c>
      <c r="H606" s="33" t="str">
        <f ca="1">IFERROR(__xludf.DUMMYFUNCTION("""COMPUTED_VALUE"""),"Valencia- Cádiz")</f>
        <v>Valencia- Cádiz</v>
      </c>
      <c r="I606" s="33" t="str">
        <f ca="1">IFERROR(__xludf.DUMMYFUNCTION("""COMPUTED_VALUE"""),"C2025325174726641")</f>
        <v>C2025325174726641</v>
      </c>
      <c r="J606" s="33" t="str">
        <f ca="1">IFERROR(__xludf.DUMMYFUNCTION("""COMPUTED_VALUE"""),"MARIA CARMEN GOMEZ IBAÑEZ")</f>
        <v>MARIA CARMEN GOMEZ IBAÑEZ</v>
      </c>
      <c r="K606" s="33">
        <f ca="1">IFERROR(__xludf.DUMMYFUNCTION("""COMPUTED_VALUE"""),2)</f>
        <v>2</v>
      </c>
      <c r="L606" s="203">
        <f ca="1">IFERROR(__xludf.DUMMYFUNCTION("""COMPUTED_VALUE"""),4000)</f>
        <v>4000</v>
      </c>
      <c r="M606" s="33" t="str">
        <f ca="1">IFERROR(__xludf.DUMMYFUNCTION("""COMPUTED_VALUE"""),"03 ORL")</f>
        <v>03 ORL</v>
      </c>
      <c r="N606" s="33" t="str">
        <f ca="1">IFERROR(__xludf.DUMMYFUNCTION("""COMPUTED_VALUE"""),"06 ORL")</f>
        <v>06 ORL</v>
      </c>
      <c r="O606" s="33" t="str">
        <f ca="1">IFERROR(__xludf.DUMMYFUNCTION("""COMPUTED_VALUE"""),"Dr, Raimon García Chillerón")</f>
        <v>Dr, Raimon García Chillerón</v>
      </c>
      <c r="P606" s="33" t="str">
        <f ca="1">IFERROR(__xludf.DUMMYFUNCTION("""COMPUTED_VALUE"""),"Ramon Ferrando(Valencia)")</f>
        <v>Ramon Ferrando(Valencia)</v>
      </c>
    </row>
    <row r="607" spans="2:16">
      <c r="B607" s="33">
        <f ca="1">IFERROR(__xludf.DUMMYFUNCTION("""COMPUTED_VALUE"""),2025)</f>
        <v>2025</v>
      </c>
      <c r="C607" s="33">
        <f ca="1">IFERROR(__xludf.DUMMYFUNCTION("""COMPUTED_VALUE"""),4)</f>
        <v>4</v>
      </c>
      <c r="D607" s="33" t="str">
        <f ca="1">IFERROR(__xludf.DUMMYFUNCTION("""COMPUTED_VALUE"""),"NO")</f>
        <v>NO</v>
      </c>
      <c r="E607" s="33" t="str">
        <f ca="1">IFERROR(__xludf.DUMMYFUNCTION("""COMPUTED_VALUE"""),"Culleredo")</f>
        <v>Culleredo</v>
      </c>
      <c r="F607" s="57">
        <f ca="1">IFERROR(__xludf.DUMMYFUNCTION("""COMPUTED_VALUE"""),45777)</f>
        <v>45777</v>
      </c>
      <c r="G607" s="57">
        <f ca="1">IFERROR(__xludf.DUMMYFUNCTION("""COMPUTED_VALUE"""),45734)</f>
        <v>45734</v>
      </c>
      <c r="H607" s="33" t="str">
        <f ca="1">IFERROR(__xludf.DUMMYFUNCTION("""COMPUTED_VALUE"""),"Culleredo")</f>
        <v>Culleredo</v>
      </c>
      <c r="I607" s="33" t="str">
        <f ca="1">IFERROR(__xludf.DUMMYFUNCTION("""COMPUTED_VALUE"""),"CULL-182")</f>
        <v>CULL-182</v>
      </c>
      <c r="J607" s="33" t="str">
        <f ca="1">IFERROR(__xludf.DUMMYFUNCTION("""COMPUTED_VALUE"""),"JOSE FERREIRO DAPIA")</f>
        <v>JOSE FERREIRO DAPIA</v>
      </c>
      <c r="K607" s="33">
        <f ca="1">IFERROR(__xludf.DUMMYFUNCTION("""COMPUTED_VALUE"""),2)</f>
        <v>2</v>
      </c>
      <c r="L607" s="203">
        <f ca="1">IFERROR(__xludf.DUMMYFUNCTION("""COMPUTED_VALUE"""),1816.36)</f>
        <v>1816.36</v>
      </c>
      <c r="M607" s="33" t="str">
        <f ca="1">IFERROR(__xludf.DUMMYFUNCTION("""COMPUTED_VALUE"""),"03 ORL")</f>
        <v>03 ORL</v>
      </c>
      <c r="N607" s="33" t="str">
        <f ca="1">IFERROR(__xludf.DUMMYFUNCTION("""COMPUTED_VALUE"""),"06 ORL")</f>
        <v>06 ORL</v>
      </c>
      <c r="O607" s="33" t="str">
        <f ca="1">IFERROR(__xludf.DUMMYFUNCTION("""COMPUTED_VALUE"""),"Dr, Miguel Mayo Yáñez")</f>
        <v>Dr, Miguel Mayo Yáñez</v>
      </c>
      <c r="P607" s="33" t="str">
        <f ca="1">IFERROR(__xludf.DUMMYFUNCTION("""COMPUTED_VALUE"""),"Roberto Pereira (Galicia)")</f>
        <v>Roberto Pereira (Galicia)</v>
      </c>
    </row>
    <row r="608" spans="2:16">
      <c r="B608" s="33">
        <f ca="1">IFERROR(__xludf.DUMMYFUNCTION("""COMPUTED_VALUE"""),2025)</f>
        <v>2025</v>
      </c>
      <c r="C608" s="33">
        <f ca="1">IFERROR(__xludf.DUMMYFUNCTION("""COMPUTED_VALUE"""),4)</f>
        <v>4</v>
      </c>
      <c r="D608" s="33" t="str">
        <f ca="1">IFERROR(__xludf.DUMMYFUNCTION("""COMPUTED_VALUE"""),"NO")</f>
        <v>NO</v>
      </c>
      <c r="E608" s="33" t="str">
        <f ca="1">IFERROR(__xludf.DUMMYFUNCTION("""COMPUTED_VALUE"""),"Salamanca")</f>
        <v>Salamanca</v>
      </c>
      <c r="F608" s="57">
        <f ca="1">IFERROR(__xludf.DUMMYFUNCTION("""COMPUTED_VALUE"""),45777)</f>
        <v>45777</v>
      </c>
      <c r="G608" s="57">
        <f ca="1">IFERROR(__xludf.DUMMYFUNCTION("""COMPUTED_VALUE"""),45708)</f>
        <v>45708</v>
      </c>
      <c r="H608" s="33" t="str">
        <f ca="1">IFERROR(__xludf.DUMMYFUNCTION("""COMPUTED_VALUE"""),"Salamanca")</f>
        <v>Salamanca</v>
      </c>
      <c r="I608" s="33" t="str">
        <f ca="1">IFERROR(__xludf.DUMMYFUNCTION("""COMPUTED_VALUE"""),"SLM-485")</f>
        <v>SLM-485</v>
      </c>
      <c r="J608" s="33" t="str">
        <f ca="1">IFERROR(__xludf.DUMMYFUNCTION("""COMPUTED_VALUE"""),"MARIA DOLORES MESANAT MARTIN")</f>
        <v>MARIA DOLORES MESANAT MARTIN</v>
      </c>
      <c r="K608" s="33">
        <f ca="1">IFERROR(__xludf.DUMMYFUNCTION("""COMPUTED_VALUE"""),2)</f>
        <v>2</v>
      </c>
      <c r="L608" s="203">
        <f ca="1">IFERROR(__xludf.DUMMYFUNCTION("""COMPUTED_VALUE"""),3604.55)</f>
        <v>3604.55</v>
      </c>
      <c r="M608" s="33" t="str">
        <f ca="1">IFERROR(__xludf.DUMMYFUNCTION("""COMPUTED_VALUE"""),"03 ORL")</f>
        <v>03 ORL</v>
      </c>
      <c r="N608" s="1" t="str">
        <f ca="1">IFERROR(__xludf.DUMMYFUNCTION("""COMPUTED_VALUE"""),"06 ORL")</f>
        <v>06 ORL</v>
      </c>
      <c r="O608" s="33" t="str">
        <f ca="1">IFERROR(__xludf.DUMMYFUNCTION("""COMPUTED_VALUE"""),"Dr, Ángel Muñoz Herrera")</f>
        <v>Dr, Ángel Muñoz Herrera</v>
      </c>
      <c r="P608" s="33" t="str">
        <f ca="1">IFERROR(__xludf.DUMMYFUNCTION("""COMPUTED_VALUE"""),"Patricia Solache (Castilla Y León)")</f>
        <v>Patricia Solache (Castilla Y León)</v>
      </c>
    </row>
    <row r="609" spans="2:16">
      <c r="B609" s="33">
        <f ca="1">IFERROR(__xludf.DUMMYFUNCTION("""COMPUTED_VALUE"""),2025)</f>
        <v>2025</v>
      </c>
      <c r="C609" s="33">
        <f ca="1">IFERROR(__xludf.DUMMYFUNCTION("""COMPUTED_VALUE"""),4)</f>
        <v>4</v>
      </c>
      <c r="D609" s="33" t="str">
        <f ca="1">IFERROR(__xludf.DUMMYFUNCTION("""COMPUTED_VALUE"""),"NO")</f>
        <v>NO</v>
      </c>
      <c r="E609" s="33" t="str">
        <f ca="1">IFERROR(__xludf.DUMMYFUNCTION("""COMPUTED_VALUE"""),"Sevilla- Ciencias")</f>
        <v>Sevilla- Ciencias</v>
      </c>
      <c r="F609" s="57">
        <f ca="1">IFERROR(__xludf.DUMMYFUNCTION("""COMPUTED_VALUE"""),45777)</f>
        <v>45777</v>
      </c>
      <c r="G609" s="57">
        <f ca="1">IFERROR(__xludf.DUMMYFUNCTION("""COMPUTED_VALUE"""),45736)</f>
        <v>45736</v>
      </c>
      <c r="H609" s="33" t="str">
        <f ca="1">IFERROR(__xludf.DUMMYFUNCTION("""COMPUTED_VALUE"""),"Sevilla Este")</f>
        <v>Sevilla Este</v>
      </c>
      <c r="I609" s="33" t="str">
        <f ca="1">IFERROR(__xludf.DUMMYFUNCTION("""COMPUTED_VALUE"""),"SEVE-387")</f>
        <v>SEVE-387</v>
      </c>
      <c r="J609" s="33" t="str">
        <f ca="1">IFERROR(__xludf.DUMMYFUNCTION("""COMPUTED_VALUE"""),"VALLE GARCIA RIVERA")</f>
        <v>VALLE GARCIA RIVERA</v>
      </c>
      <c r="K609" s="33">
        <f ca="1">IFERROR(__xludf.DUMMYFUNCTION("""COMPUTED_VALUE"""),2)</f>
        <v>2</v>
      </c>
      <c r="L609" s="203">
        <f ca="1">IFERROR(__xludf.DUMMYFUNCTION("""COMPUTED_VALUE"""),3372.73)</f>
        <v>3372.73</v>
      </c>
      <c r="M609" s="33" t="str">
        <f ca="1">IFERROR(__xludf.DUMMYFUNCTION("""COMPUTED_VALUE"""),"03 ORL")</f>
        <v>03 ORL</v>
      </c>
      <c r="N609" s="33" t="str">
        <f ca="1">IFERROR(__xludf.DUMMYFUNCTION("""COMPUTED_VALUE"""),"06 ORL")</f>
        <v>06 ORL</v>
      </c>
      <c r="O609" s="33" t="str">
        <f ca="1">IFERROR(__xludf.DUMMYFUNCTION("""COMPUTED_VALUE"""),"Dr, Gustavo Benavente Bermudo")</f>
        <v>Dr, Gustavo Benavente Bermudo</v>
      </c>
      <c r="P609" s="33" t="str">
        <f ca="1">IFERROR(__xludf.DUMMYFUNCTION("""COMPUTED_VALUE"""),"Luis Alberto Rodríguez (Andalucía Y Badajoz)")</f>
        <v>Luis Alberto Rodríguez (Andalucía Y Badajoz)</v>
      </c>
    </row>
    <row r="610" spans="2:16">
      <c r="B610" s="33">
        <f ca="1">IFERROR(__xludf.DUMMYFUNCTION("""COMPUTED_VALUE"""),2025)</f>
        <v>2025</v>
      </c>
      <c r="C610" s="33">
        <f ca="1">IFERROR(__xludf.DUMMYFUNCTION("""COMPUTED_VALUE"""),5)</f>
        <v>5</v>
      </c>
      <c r="D610" s="33" t="str">
        <f ca="1">IFERROR(__xludf.DUMMYFUNCTION("""COMPUTED_VALUE"""),"NO")</f>
        <v>NO</v>
      </c>
      <c r="E610" s="33" t="str">
        <f ca="1">IFERROR(__xludf.DUMMYFUNCTION("""COMPUTED_VALUE"""),"Albacete")</f>
        <v>Albacete</v>
      </c>
      <c r="F610" s="57">
        <f ca="1">IFERROR(__xludf.DUMMYFUNCTION("""COMPUTED_VALUE"""),45793)</f>
        <v>45793</v>
      </c>
      <c r="G610" s="57">
        <f ca="1">IFERROR(__xludf.DUMMYFUNCTION("""COMPUTED_VALUE"""),45650)</f>
        <v>45650</v>
      </c>
      <c r="H610" s="33" t="str">
        <f ca="1">IFERROR(__xludf.DUMMYFUNCTION("""COMPUTED_VALUE"""),"Albacete")</f>
        <v>Albacete</v>
      </c>
      <c r="I610" s="33" t="str">
        <f ca="1">IFERROR(__xludf.DUMMYFUNCTION("""COMPUTED_VALUE"""),"C2025122105841733")</f>
        <v>C2025122105841733</v>
      </c>
      <c r="J610" s="33" t="str">
        <f ca="1">IFERROR(__xludf.DUMMYFUNCTION("""COMPUTED_VALUE"""),"FRANCISCO MOLLA BAÑON")</f>
        <v>FRANCISCO MOLLA BAÑON</v>
      </c>
      <c r="K610" s="33">
        <f ca="1">IFERROR(__xludf.DUMMYFUNCTION("""COMPUTED_VALUE"""),1)</f>
        <v>1</v>
      </c>
      <c r="L610" s="203">
        <f ca="1">IFERROR(__xludf.DUMMYFUNCTION("""COMPUTED_VALUE"""),1980.77)</f>
        <v>1980.77</v>
      </c>
      <c r="M610" s="33" t="str">
        <f ca="1">IFERROR(__xludf.DUMMYFUNCTION("""COMPUTED_VALUE"""),"03 ORL")</f>
        <v>03 ORL</v>
      </c>
      <c r="N610" s="33" t="str">
        <f ca="1">IFERROR(__xludf.DUMMYFUNCTION("""COMPUTED_VALUE"""),"06 ORL")</f>
        <v>06 ORL</v>
      </c>
      <c r="O610" s="33" t="str">
        <f ca="1">IFERROR(__xludf.DUMMYFUNCTION("""COMPUTED_VALUE"""),"Dra, Blanca Maria Martinez Duro")</f>
        <v>Dra, Blanca Maria Martinez Duro</v>
      </c>
      <c r="P610" s="33" t="str">
        <f ca="1">IFERROR(__xludf.DUMMYFUNCTION("""COMPUTED_VALUE"""),"Iván Sánchez (Levante Y Albacete)")</f>
        <v>Iván Sánchez (Levante Y Albacete)</v>
      </c>
    </row>
    <row r="611" spans="2:16">
      <c r="B611" s="33">
        <f ca="1">IFERROR(__xludf.DUMMYFUNCTION("""COMPUTED_VALUE"""),2025)</f>
        <v>2025</v>
      </c>
      <c r="C611" s="33">
        <f ca="1">IFERROR(__xludf.DUMMYFUNCTION("""COMPUTED_VALUE"""),5)</f>
        <v>5</v>
      </c>
      <c r="D611" s="33" t="str">
        <f ca="1">IFERROR(__xludf.DUMMYFUNCTION("""COMPUTED_VALUE"""),"NO")</f>
        <v>NO</v>
      </c>
      <c r="E611" s="33" t="str">
        <f ca="1">IFERROR(__xludf.DUMMYFUNCTION("""COMPUTED_VALUE"""),"Albacete")</f>
        <v>Albacete</v>
      </c>
      <c r="F611" s="57">
        <f ca="1">IFERROR(__xludf.DUMMYFUNCTION("""COMPUTED_VALUE"""),45793)</f>
        <v>45793</v>
      </c>
      <c r="G611" s="57">
        <f ca="1">IFERROR(__xludf.DUMMYFUNCTION("""COMPUTED_VALUE"""),45769)</f>
        <v>45769</v>
      </c>
      <c r="H611" s="33" t="str">
        <f ca="1">IFERROR(__xludf.DUMMYFUNCTION("""COMPUTED_VALUE"""),"Albacete")</f>
        <v>Albacete</v>
      </c>
      <c r="I611" s="33" t="str">
        <f ca="1">IFERROR(__xludf.DUMMYFUNCTION("""COMPUTED_VALUE"""),"C2025425185618539")</f>
        <v>C2025425185618539</v>
      </c>
      <c r="J611" s="33" t="str">
        <f ca="1">IFERROR(__xludf.DUMMYFUNCTION("""COMPUTED_VALUE"""),"José Maria García Garrido")</f>
        <v>José Maria García Garrido</v>
      </c>
      <c r="K611" s="33">
        <f ca="1">IFERROR(__xludf.DUMMYFUNCTION("""COMPUTED_VALUE"""),2)</f>
        <v>2</v>
      </c>
      <c r="L611" s="203">
        <f ca="1">IFERROR(__xludf.DUMMYFUNCTION("""COMPUTED_VALUE"""),2963.64)</f>
        <v>2963.64</v>
      </c>
      <c r="M611" s="33" t="str">
        <f ca="1">IFERROR(__xludf.DUMMYFUNCTION("""COMPUTED_VALUE"""),"03 ORL")</f>
        <v>03 ORL</v>
      </c>
      <c r="N611" s="33" t="str">
        <f ca="1">IFERROR(__xludf.DUMMYFUNCTION("""COMPUTED_VALUE"""),"06 ORL")</f>
        <v>06 ORL</v>
      </c>
      <c r="O611" s="33" t="str">
        <f ca="1">IFERROR(__xludf.DUMMYFUNCTION("""COMPUTED_VALUE"""),"Dra, María Emilia García Ruiz")</f>
        <v>Dra, María Emilia García Ruiz</v>
      </c>
      <c r="P611" s="33" t="str">
        <f ca="1">IFERROR(__xludf.DUMMYFUNCTION("""COMPUTED_VALUE"""),"Ramon Ferrando(Valencia)")</f>
        <v>Ramon Ferrando(Valencia)</v>
      </c>
    </row>
    <row r="612" spans="2:16">
      <c r="B612" s="33">
        <f ca="1">IFERROR(__xludf.DUMMYFUNCTION("""COMPUTED_VALUE"""),2025)</f>
        <v>2025</v>
      </c>
      <c r="C612" s="33">
        <f ca="1">IFERROR(__xludf.DUMMYFUNCTION("""COMPUTED_VALUE"""),5)</f>
        <v>5</v>
      </c>
      <c r="D612" s="33" t="str">
        <f ca="1">IFERROR(__xludf.DUMMYFUNCTION("""COMPUTED_VALUE"""),"NO")</f>
        <v>NO</v>
      </c>
      <c r="E612" s="33" t="str">
        <f ca="1">IFERROR(__xludf.DUMMYFUNCTION("""COMPUTED_VALUE"""),"Albacete")</f>
        <v>Albacete</v>
      </c>
      <c r="F612" s="57">
        <f ca="1">IFERROR(__xludf.DUMMYFUNCTION("""COMPUTED_VALUE"""),45790)</f>
        <v>45790</v>
      </c>
      <c r="G612" s="57">
        <f ca="1">IFERROR(__xludf.DUMMYFUNCTION("""COMPUTED_VALUE"""),45720)</f>
        <v>45720</v>
      </c>
      <c r="H612" s="33" t="str">
        <f ca="1">IFERROR(__xludf.DUMMYFUNCTION("""COMPUTED_VALUE"""),"Albacete")</f>
        <v>Albacete</v>
      </c>
      <c r="I612" s="33" t="str">
        <f ca="1">IFERROR(__xludf.DUMMYFUNCTION("""COMPUTED_VALUE"""),"C20253416827806")</f>
        <v>C20253416827806</v>
      </c>
      <c r="J612" s="33" t="str">
        <f ca="1">IFERROR(__xludf.DUMMYFUNCTION("""COMPUTED_VALUE"""),"MANUEL GARCÍA SÁNCHEZ")</f>
        <v>MANUEL GARCÍA SÁNCHEZ</v>
      </c>
      <c r="K612" s="33">
        <f ca="1">IFERROR(__xludf.DUMMYFUNCTION("""COMPUTED_VALUE"""),2)</f>
        <v>2</v>
      </c>
      <c r="L612" s="203">
        <f ca="1">IFERROR(__xludf.DUMMYFUNCTION("""COMPUTED_VALUE"""),4400)</f>
        <v>4400</v>
      </c>
      <c r="M612" s="33" t="str">
        <f ca="1">IFERROR(__xludf.DUMMYFUNCTION("""COMPUTED_VALUE"""),"03 ORL")</f>
        <v>03 ORL</v>
      </c>
      <c r="N612" s="33" t="str">
        <f ca="1">IFERROR(__xludf.DUMMYFUNCTION("""COMPUTED_VALUE"""),"06 ORL")</f>
        <v>06 ORL</v>
      </c>
      <c r="O612" s="33" t="str">
        <f ca="1">IFERROR(__xludf.DUMMYFUNCTION("""COMPUTED_VALUE"""),"Dr, Pedro Seguí Moya")</f>
        <v>Dr, Pedro Seguí Moya</v>
      </c>
      <c r="P612" s="33" t="str">
        <f ca="1">IFERROR(__xludf.DUMMYFUNCTION("""COMPUTED_VALUE"""),"Iván Sánchez (Levante Y Albacete)")</f>
        <v>Iván Sánchez (Levante Y Albacete)</v>
      </c>
    </row>
    <row r="613" spans="2:16">
      <c r="B613" s="33">
        <f ca="1">IFERROR(__xludf.DUMMYFUNCTION("""COMPUTED_VALUE"""),2025)</f>
        <v>2025</v>
      </c>
      <c r="C613" s="33">
        <f ca="1">IFERROR(__xludf.DUMMYFUNCTION("""COMPUTED_VALUE"""),5)</f>
        <v>5</v>
      </c>
      <c r="D613" s="33" t="str">
        <f ca="1">IFERROR(__xludf.DUMMYFUNCTION("""COMPUTED_VALUE"""),"NO")</f>
        <v>NO</v>
      </c>
      <c r="E613" s="33" t="str">
        <f ca="1">IFERROR(__xludf.DUMMYFUNCTION("""COMPUTED_VALUE"""),"Albacete")</f>
        <v>Albacete</v>
      </c>
      <c r="F613" s="57">
        <f ca="1">IFERROR(__xludf.DUMMYFUNCTION("""COMPUTED_VALUE"""),45790)</f>
        <v>45790</v>
      </c>
      <c r="G613" s="57">
        <f ca="1">IFERROR(__xludf.DUMMYFUNCTION("""COMPUTED_VALUE"""),45757)</f>
        <v>45757</v>
      </c>
      <c r="H613" s="33" t="str">
        <f ca="1">IFERROR(__xludf.DUMMYFUNCTION("""COMPUTED_VALUE"""),"Albacete")</f>
        <v>Albacete</v>
      </c>
      <c r="I613" s="33" t="str">
        <f ca="1">IFERROR(__xludf.DUMMYFUNCTION("""COMPUTED_VALUE"""),"C2025411113311291")</f>
        <v>C2025411113311291</v>
      </c>
      <c r="J613" s="33" t="str">
        <f ca="1">IFERROR(__xludf.DUMMYFUNCTION("""COMPUTED_VALUE"""),"MARIA GONZÁLEZ MURCIA")</f>
        <v>MARIA GONZÁLEZ MURCIA</v>
      </c>
      <c r="K613" s="33">
        <f ca="1">IFERROR(__xludf.DUMMYFUNCTION("""COMPUTED_VALUE"""),2)</f>
        <v>2</v>
      </c>
      <c r="L613" s="203">
        <f ca="1">IFERROR(__xludf.DUMMYFUNCTION("""COMPUTED_VALUE"""),2888.18)</f>
        <v>2888.18</v>
      </c>
      <c r="M613" s="33" t="str">
        <f ca="1">IFERROR(__xludf.DUMMYFUNCTION("""COMPUTED_VALUE"""),"03 ORL")</f>
        <v>03 ORL</v>
      </c>
      <c r="N613" s="33" t="str">
        <f ca="1">IFERROR(__xludf.DUMMYFUNCTION("""COMPUTED_VALUE"""),"06 ORL")</f>
        <v>06 ORL</v>
      </c>
      <c r="O613" s="33" t="str">
        <f ca="1">IFERROR(__xludf.DUMMYFUNCTION("""COMPUTED_VALUE"""),"Dr, Pedro Seguí Moya")</f>
        <v>Dr, Pedro Seguí Moya</v>
      </c>
      <c r="P613" s="33" t="str">
        <f ca="1">IFERROR(__xludf.DUMMYFUNCTION("""COMPUTED_VALUE"""),"Iván Sánchez (Levante Y Albacete)")</f>
        <v>Iván Sánchez (Levante Y Albacete)</v>
      </c>
    </row>
    <row r="614" spans="2:16">
      <c r="B614" s="33">
        <f ca="1">IFERROR(__xludf.DUMMYFUNCTION("""COMPUTED_VALUE"""),2025)</f>
        <v>2025</v>
      </c>
      <c r="C614" s="33">
        <f ca="1">IFERROR(__xludf.DUMMYFUNCTION("""COMPUTED_VALUE"""),5)</f>
        <v>5</v>
      </c>
      <c r="D614" s="33" t="str">
        <f ca="1">IFERROR(__xludf.DUMMYFUNCTION("""COMPUTED_VALUE"""),"NO")</f>
        <v>NO</v>
      </c>
      <c r="E614" s="33" t="str">
        <f ca="1">IFERROR(__xludf.DUMMYFUNCTION("""COMPUTED_VALUE"""),"Alcorcón")</f>
        <v>Alcorcón</v>
      </c>
      <c r="F614" s="57">
        <f ca="1">IFERROR(__xludf.DUMMYFUNCTION("""COMPUTED_VALUE"""),45805)</f>
        <v>45805</v>
      </c>
      <c r="G614" s="57">
        <f ca="1">IFERROR(__xludf.DUMMYFUNCTION("""COMPUTED_VALUE"""),45734)</f>
        <v>45734</v>
      </c>
      <c r="H614" s="33" t="str">
        <f ca="1">IFERROR(__xludf.DUMMYFUNCTION("""COMPUTED_VALUE"""),"Alcorcón")</f>
        <v>Alcorcón</v>
      </c>
      <c r="I614" s="33" t="str">
        <f ca="1">IFERROR(__xludf.DUMMYFUNCTION("""COMPUTED_VALUE"""),"C2025326163444120")</f>
        <v>C2025326163444120</v>
      </c>
      <c r="J614" s="33" t="str">
        <f ca="1">IFERROR(__xludf.DUMMYFUNCTION("""COMPUTED_VALUE"""),"MARIA ALVAREZ CARPEÑO")</f>
        <v>MARIA ALVAREZ CARPEÑO</v>
      </c>
      <c r="K614" s="33">
        <f ca="1">IFERROR(__xludf.DUMMYFUNCTION("""COMPUTED_VALUE"""),1)</f>
        <v>1</v>
      </c>
      <c r="L614" s="203">
        <f ca="1">IFERROR(__xludf.DUMMYFUNCTION("""COMPUTED_VALUE"""),2400)</f>
        <v>2400</v>
      </c>
      <c r="M614" s="33" t="str">
        <f ca="1">IFERROR(__xludf.DUMMYFUNCTION("""COMPUTED_VALUE"""),"03 ORL")</f>
        <v>03 ORL</v>
      </c>
      <c r="N614" s="33" t="str">
        <f ca="1">IFERROR(__xludf.DUMMYFUNCTION("""COMPUTED_VALUE"""),"06 ORL")</f>
        <v>06 ORL</v>
      </c>
      <c r="O614" s="33" t="str">
        <f ca="1">IFERROR(__xludf.DUMMYFUNCTION("""COMPUTED_VALUE"""),"Dr, Álvaro Sánchez Álvarez")</f>
        <v>Dr, Álvaro Sánchez Álvarez</v>
      </c>
      <c r="P614" s="33" t="str">
        <f ca="1">IFERROR(__xludf.DUMMYFUNCTION("""COMPUTED_VALUE"""),"Lisandro Russian (Madrid, Cáceres, Toledo, Talavera Y Logroño)")</f>
        <v>Lisandro Russian (Madrid, Cáceres, Toledo, Talavera Y Logroño)</v>
      </c>
    </row>
    <row r="615" spans="2:16">
      <c r="B615" s="33">
        <f ca="1">IFERROR(__xludf.DUMMYFUNCTION("""COMPUTED_VALUE"""),2025)</f>
        <v>2025</v>
      </c>
      <c r="C615" s="33">
        <f ca="1">IFERROR(__xludf.DUMMYFUNCTION("""COMPUTED_VALUE"""),5)</f>
        <v>5</v>
      </c>
      <c r="D615" s="33" t="str">
        <f ca="1">IFERROR(__xludf.DUMMYFUNCTION("""COMPUTED_VALUE"""),"NO")</f>
        <v>NO</v>
      </c>
      <c r="E615" s="33" t="str">
        <f ca="1">IFERROR(__xludf.DUMMYFUNCTION("""COMPUTED_VALUE"""),"Alcorcón")</f>
        <v>Alcorcón</v>
      </c>
      <c r="F615" s="57">
        <f ca="1">IFERROR(__xludf.DUMMYFUNCTION("""COMPUTED_VALUE"""),45807)</f>
        <v>45807</v>
      </c>
      <c r="G615" s="57">
        <f ca="1">IFERROR(__xludf.DUMMYFUNCTION("""COMPUTED_VALUE"""),45754)</f>
        <v>45754</v>
      </c>
      <c r="H615" s="33" t="str">
        <f ca="1">IFERROR(__xludf.DUMMYFUNCTION("""COMPUTED_VALUE"""),"Alcorcón")</f>
        <v>Alcorcón</v>
      </c>
      <c r="I615" s="33" t="str">
        <f ca="1">IFERROR(__xludf.DUMMYFUNCTION("""COMPUTED_VALUE"""),"C2025411161616351")</f>
        <v>C2025411161616351</v>
      </c>
      <c r="J615" s="33" t="str">
        <f ca="1">IFERROR(__xludf.DUMMYFUNCTION("""COMPUTED_VALUE"""),"MATIAS MONTOYA URBANO")</f>
        <v>MATIAS MONTOYA URBANO</v>
      </c>
      <c r="K615" s="33">
        <f ca="1">IFERROR(__xludf.DUMMYFUNCTION("""COMPUTED_VALUE"""),1)</f>
        <v>1</v>
      </c>
      <c r="L615" s="203">
        <f ca="1">IFERROR(__xludf.DUMMYFUNCTION("""COMPUTED_VALUE"""),2400)</f>
        <v>2400</v>
      </c>
      <c r="M615" s="33" t="str">
        <f ca="1">IFERROR(__xludf.DUMMYFUNCTION("""COMPUTED_VALUE"""),"03 ORL")</f>
        <v>03 ORL</v>
      </c>
      <c r="N615" s="33" t="str">
        <f ca="1">IFERROR(__xludf.DUMMYFUNCTION("""COMPUTED_VALUE"""),"06 ORL")</f>
        <v>06 ORL</v>
      </c>
      <c r="O615" s="33" t="str">
        <f ca="1">IFERROR(__xludf.DUMMYFUNCTION("""COMPUTED_VALUE"""),"Dr, Álvaro Sánchez Álvarez")</f>
        <v>Dr, Álvaro Sánchez Álvarez</v>
      </c>
      <c r="P615" s="33" t="str">
        <f ca="1">IFERROR(__xludf.DUMMYFUNCTION("""COMPUTED_VALUE"""),"Maika Blázquez (Madrid)")</f>
        <v>Maika Blázquez (Madrid)</v>
      </c>
    </row>
    <row r="616" spans="2:16">
      <c r="B616" s="33">
        <f ca="1">IFERROR(__xludf.DUMMYFUNCTION("""COMPUTED_VALUE"""),2025)</f>
        <v>2025</v>
      </c>
      <c r="C616" s="33">
        <f ca="1">IFERROR(__xludf.DUMMYFUNCTION("""COMPUTED_VALUE"""),5)</f>
        <v>5</v>
      </c>
      <c r="D616" s="33" t="str">
        <f ca="1">IFERROR(__xludf.DUMMYFUNCTION("""COMPUTED_VALUE"""),"NO")</f>
        <v>NO</v>
      </c>
      <c r="E616" s="33" t="str">
        <f ca="1">IFERROR(__xludf.DUMMYFUNCTION("""COMPUTED_VALUE"""),"Alicante")</f>
        <v>Alicante</v>
      </c>
      <c r="F616" s="57">
        <f ca="1">IFERROR(__xludf.DUMMYFUNCTION("""COMPUTED_VALUE"""),45800)</f>
        <v>45800</v>
      </c>
      <c r="G616" s="57">
        <f ca="1">IFERROR(__xludf.DUMMYFUNCTION("""COMPUTED_VALUE"""),45751)</f>
        <v>45751</v>
      </c>
      <c r="H616" s="33" t="str">
        <f ca="1">IFERROR(__xludf.DUMMYFUNCTION("""COMPUTED_VALUE"""),"Alicante")</f>
        <v>Alicante</v>
      </c>
      <c r="I616" s="33" t="str">
        <f ca="1">IFERROR(__xludf.DUMMYFUNCTION("""COMPUTED_VALUE"""),"C20254151145219")</f>
        <v>C20254151145219</v>
      </c>
      <c r="J616" s="33" t="str">
        <f ca="1">IFERROR(__xludf.DUMMYFUNCTION("""COMPUTED_VALUE"""),"BRUNO FRANCES GIMENEZ")</f>
        <v>BRUNO FRANCES GIMENEZ</v>
      </c>
      <c r="K616" s="33">
        <f ca="1">IFERROR(__xludf.DUMMYFUNCTION("""COMPUTED_VALUE"""),2)</f>
        <v>2</v>
      </c>
      <c r="L616" s="203">
        <f ca="1">IFERROR(__xludf.DUMMYFUNCTION("""COMPUTED_VALUE"""),4400)</f>
        <v>4400</v>
      </c>
      <c r="M616" s="33" t="str">
        <f ca="1">IFERROR(__xludf.DUMMYFUNCTION("""COMPUTED_VALUE"""),"03 ORL")</f>
        <v>03 ORL</v>
      </c>
      <c r="N616" s="33" t="str">
        <f ca="1">IFERROR(__xludf.DUMMYFUNCTION("""COMPUTED_VALUE"""),"06 ORL")</f>
        <v>06 ORL</v>
      </c>
      <c r="O616" s="33" t="str">
        <f ca="1">IFERROR(__xludf.DUMMYFUNCTION("""COMPUTED_VALUE"""),"Dr, Oscar Alemán López")</f>
        <v>Dr, Oscar Alemán López</v>
      </c>
      <c r="P616" s="33" t="str">
        <f ca="1">IFERROR(__xludf.DUMMYFUNCTION("""COMPUTED_VALUE"""),"Iván Sánchez (Levante Y Albacete)")</f>
        <v>Iván Sánchez (Levante Y Albacete)</v>
      </c>
    </row>
    <row r="617" spans="2:16">
      <c r="B617" s="33">
        <f ca="1">IFERROR(__xludf.DUMMYFUNCTION("""COMPUTED_VALUE"""),2025)</f>
        <v>2025</v>
      </c>
      <c r="C617" s="33">
        <f ca="1">IFERROR(__xludf.DUMMYFUNCTION("""COMPUTED_VALUE"""),5)</f>
        <v>5</v>
      </c>
      <c r="D617" s="33" t="str">
        <f ca="1">IFERROR(__xludf.DUMMYFUNCTION("""COMPUTED_VALUE"""),"NO")</f>
        <v>NO</v>
      </c>
      <c r="E617" s="33" t="str">
        <f ca="1">IFERROR(__xludf.DUMMYFUNCTION("""COMPUTED_VALUE"""),"Alicante")</f>
        <v>Alicante</v>
      </c>
      <c r="F617" s="57">
        <f ca="1">IFERROR(__xludf.DUMMYFUNCTION("""COMPUTED_VALUE"""),45807)</f>
        <v>45807</v>
      </c>
      <c r="G617" s="57">
        <f ca="1">IFERROR(__xludf.DUMMYFUNCTION("""COMPUTED_VALUE"""),45775)</f>
        <v>45775</v>
      </c>
      <c r="H617" s="33" t="str">
        <f ca="1">IFERROR(__xludf.DUMMYFUNCTION("""COMPUTED_VALUE"""),"Alicante")</f>
        <v>Alicante</v>
      </c>
      <c r="I617" s="33" t="str">
        <f ca="1">IFERROR(__xludf.DUMMYFUNCTION("""COMPUTED_VALUE"""),"C20254301129362")</f>
        <v>C20254301129362</v>
      </c>
      <c r="J617" s="33" t="str">
        <f ca="1">IFERROR(__xludf.DUMMYFUNCTION("""COMPUTED_VALUE"""),"JUANA ALICIA CASTAÑERA REINHART")</f>
        <v>JUANA ALICIA CASTAÑERA REINHART</v>
      </c>
      <c r="K617" s="33">
        <f ca="1">IFERROR(__xludf.DUMMYFUNCTION("""COMPUTED_VALUE"""),2)</f>
        <v>2</v>
      </c>
      <c r="L617" s="203">
        <f ca="1">IFERROR(__xludf.DUMMYFUNCTION("""COMPUTED_VALUE"""),2744.09)</f>
        <v>2744.09</v>
      </c>
      <c r="M617" s="33" t="str">
        <f ca="1">IFERROR(__xludf.DUMMYFUNCTION("""COMPUTED_VALUE"""),"03 ORL")</f>
        <v>03 ORL</v>
      </c>
      <c r="N617" s="33" t="str">
        <f ca="1">IFERROR(__xludf.DUMMYFUNCTION("""COMPUTED_VALUE"""),"06 ORL")</f>
        <v>06 ORL</v>
      </c>
      <c r="O617" s="33" t="str">
        <f ca="1">IFERROR(__xludf.DUMMYFUNCTION("""COMPUTED_VALUE"""),"Dra, Ana Gabriela Jover Espla")</f>
        <v>Dra, Ana Gabriela Jover Espla</v>
      </c>
      <c r="P617" s="33" t="str">
        <f ca="1">IFERROR(__xludf.DUMMYFUNCTION("""COMPUTED_VALUE"""),"Iván Sánchez (Levante Y Albacete)")</f>
        <v>Iván Sánchez (Levante Y Albacete)</v>
      </c>
    </row>
    <row r="618" spans="2:16">
      <c r="B618" s="33">
        <f ca="1">IFERROR(__xludf.DUMMYFUNCTION("""COMPUTED_VALUE"""),2025)</f>
        <v>2025</v>
      </c>
      <c r="C618" s="33">
        <f ca="1">IFERROR(__xludf.DUMMYFUNCTION("""COMPUTED_VALUE"""),5)</f>
        <v>5</v>
      </c>
      <c r="D618" s="33" t="str">
        <f ca="1">IFERROR(__xludf.DUMMYFUNCTION("""COMPUTED_VALUE"""),"NO")</f>
        <v>NO</v>
      </c>
      <c r="E618" s="33" t="str">
        <f ca="1">IFERROR(__xludf.DUMMYFUNCTION("""COMPUTED_VALUE"""),"Alicante")</f>
        <v>Alicante</v>
      </c>
      <c r="F618" s="57">
        <f ca="1">IFERROR(__xludf.DUMMYFUNCTION("""COMPUTED_VALUE"""),45791)</f>
        <v>45791</v>
      </c>
      <c r="G618" s="57">
        <f ca="1">IFERROR(__xludf.DUMMYFUNCTION("""COMPUTED_VALUE"""),45742)</f>
        <v>45742</v>
      </c>
      <c r="H618" s="33" t="str">
        <f ca="1">IFERROR(__xludf.DUMMYFUNCTION("""COMPUTED_VALUE"""),"Alicante")</f>
        <v>Alicante</v>
      </c>
      <c r="I618" s="33" t="str">
        <f ca="1">IFERROR(__xludf.DUMMYFUNCTION("""COMPUTED_VALUE"""),"C202547155653185")</f>
        <v>C202547155653185</v>
      </c>
      <c r="J618" s="33" t="str">
        <f ca="1">IFERROR(__xludf.DUMMYFUNCTION("""COMPUTED_VALUE"""),"MANUEL SEVERA FERRANDIS")</f>
        <v>MANUEL SEVERA FERRANDIS</v>
      </c>
      <c r="K618" s="33">
        <f ca="1">IFERROR(__xludf.DUMMYFUNCTION("""COMPUTED_VALUE"""),2)</f>
        <v>2</v>
      </c>
      <c r="L618" s="203">
        <f ca="1">IFERROR(__xludf.DUMMYFUNCTION("""COMPUTED_VALUE"""),3740)</f>
        <v>3740</v>
      </c>
      <c r="M618" s="33" t="str">
        <f ca="1">IFERROR(__xludf.DUMMYFUNCTION("""COMPUTED_VALUE"""),"03 ORL")</f>
        <v>03 ORL</v>
      </c>
      <c r="N618" s="33" t="str">
        <f ca="1">IFERROR(__xludf.DUMMYFUNCTION("""COMPUTED_VALUE"""),"06 ORL")</f>
        <v>06 ORL</v>
      </c>
      <c r="O618" s="33" t="str">
        <f ca="1">IFERROR(__xludf.DUMMYFUNCTION("""COMPUTED_VALUE"""),"Dr, Guillermo Severá Ferrándiz")</f>
        <v>Dr, Guillermo Severá Ferrándiz</v>
      </c>
      <c r="P618" s="33" t="str">
        <f ca="1">IFERROR(__xludf.DUMMYFUNCTION("""COMPUTED_VALUE"""),"Iván Sánchez (Levante Y Albacete)")</f>
        <v>Iván Sánchez (Levante Y Albacete)</v>
      </c>
    </row>
    <row r="619" spans="2:16">
      <c r="B619" s="33">
        <f ca="1">IFERROR(__xludf.DUMMYFUNCTION("""COMPUTED_VALUE"""),2025)</f>
        <v>2025</v>
      </c>
      <c r="C619" s="33">
        <f ca="1">IFERROR(__xludf.DUMMYFUNCTION("""COMPUTED_VALUE"""),5)</f>
        <v>5</v>
      </c>
      <c r="D619" s="33" t="str">
        <f ca="1">IFERROR(__xludf.DUMMYFUNCTION("""COMPUTED_VALUE"""),"NO")</f>
        <v>NO</v>
      </c>
      <c r="E619" s="33" t="str">
        <f ca="1">IFERROR(__xludf.DUMMYFUNCTION("""COMPUTED_VALUE"""),"Alicante")</f>
        <v>Alicante</v>
      </c>
      <c r="F619" s="57">
        <f ca="1">IFERROR(__xludf.DUMMYFUNCTION("""COMPUTED_VALUE"""),45803)</f>
        <v>45803</v>
      </c>
      <c r="G619" s="57">
        <f ca="1">IFERROR(__xludf.DUMMYFUNCTION("""COMPUTED_VALUE"""),45754)</f>
        <v>45754</v>
      </c>
      <c r="H619" s="33" t="str">
        <f ca="1">IFERROR(__xludf.DUMMYFUNCTION("""COMPUTED_VALUE"""),"Alicante")</f>
        <v>Alicante</v>
      </c>
      <c r="I619" s="33" t="str">
        <f ca="1">IFERROR(__xludf.DUMMYFUNCTION("""COMPUTED_VALUE"""),"C202541411623984")</f>
        <v>C202541411623984</v>
      </c>
      <c r="J619" s="33" t="str">
        <f ca="1">IFERROR(__xludf.DUMMYFUNCTION("""COMPUTED_VALUE"""),"REMEDIOS MEDINA ALENDA")</f>
        <v>REMEDIOS MEDINA ALENDA</v>
      </c>
      <c r="K619" s="33">
        <f ca="1">IFERROR(__xludf.DUMMYFUNCTION("""COMPUTED_VALUE"""),2)</f>
        <v>2</v>
      </c>
      <c r="L619" s="203">
        <f ca="1">IFERROR(__xludf.DUMMYFUNCTION("""COMPUTED_VALUE"""),3710)</f>
        <v>3710</v>
      </c>
      <c r="M619" s="33" t="str">
        <f ca="1">IFERROR(__xludf.DUMMYFUNCTION("""COMPUTED_VALUE"""),"03 ORL")</f>
        <v>03 ORL</v>
      </c>
      <c r="N619" s="33" t="str">
        <f ca="1">IFERROR(__xludf.DUMMYFUNCTION("""COMPUTED_VALUE"""),"06 ORL")</f>
        <v>06 ORL</v>
      </c>
      <c r="O619" s="33" t="str">
        <f ca="1">IFERROR(__xludf.DUMMYFUNCTION("""COMPUTED_VALUE"""),"Dra, Mónica Rodríguez Valero")</f>
        <v>Dra, Mónica Rodríguez Valero</v>
      </c>
      <c r="P619" s="33" t="str">
        <f ca="1">IFERROR(__xludf.DUMMYFUNCTION("""COMPUTED_VALUE"""),"Iván Sánchez (Levante Y Albacete)")</f>
        <v>Iván Sánchez (Levante Y Albacete)</v>
      </c>
    </row>
    <row r="620" spans="2:16">
      <c r="B620" s="33">
        <f ca="1">IFERROR(__xludf.DUMMYFUNCTION("""COMPUTED_VALUE"""),2025)</f>
        <v>2025</v>
      </c>
      <c r="C620" s="33">
        <f ca="1">IFERROR(__xludf.DUMMYFUNCTION("""COMPUTED_VALUE"""),5)</f>
        <v>5</v>
      </c>
      <c r="D620" s="33" t="str">
        <f ca="1">IFERROR(__xludf.DUMMYFUNCTION("""COMPUTED_VALUE"""),"NO")</f>
        <v>NO</v>
      </c>
      <c r="E620" s="33" t="str">
        <f ca="1">IFERROR(__xludf.DUMMYFUNCTION("""COMPUTED_VALUE"""),"Alicante")</f>
        <v>Alicante</v>
      </c>
      <c r="F620" s="57">
        <f ca="1">IFERROR(__xludf.DUMMYFUNCTION("""COMPUTED_VALUE"""),45807)</f>
        <v>45807</v>
      </c>
      <c r="G620" s="57">
        <f ca="1">IFERROR(__xludf.DUMMYFUNCTION("""COMPUTED_VALUE"""),45763)</f>
        <v>45763</v>
      </c>
      <c r="H620" s="33" t="str">
        <f ca="1">IFERROR(__xludf.DUMMYFUNCTION("""COMPUTED_VALUE"""),"Alicante")</f>
        <v>Alicante</v>
      </c>
      <c r="I620" s="33" t="str">
        <f ca="1">IFERROR(__xludf.DUMMYFUNCTION("""COMPUTED_VALUE"""),"C2025425105237710")</f>
        <v>C2025425105237710</v>
      </c>
      <c r="J620" s="33" t="str">
        <f ca="1">IFERROR(__xludf.DUMMYFUNCTION("""COMPUTED_VALUE"""),"ROSA VILA GRANCHA")</f>
        <v>ROSA VILA GRANCHA</v>
      </c>
      <c r="K620" s="33">
        <f ca="1">IFERROR(__xludf.DUMMYFUNCTION("""COMPUTED_VALUE"""),2)</f>
        <v>2</v>
      </c>
      <c r="L620" s="203">
        <f ca="1">IFERROR(__xludf.DUMMYFUNCTION("""COMPUTED_VALUE"""),4000)</f>
        <v>4000</v>
      </c>
      <c r="M620" s="33" t="str">
        <f ca="1">IFERROR(__xludf.DUMMYFUNCTION("""COMPUTED_VALUE"""),"03 ORL")</f>
        <v>03 ORL</v>
      </c>
      <c r="N620" s="33" t="str">
        <f ca="1">IFERROR(__xludf.DUMMYFUNCTION("""COMPUTED_VALUE"""),"06 ORL")</f>
        <v>06 ORL</v>
      </c>
      <c r="O620" s="33" t="str">
        <f ca="1">IFERROR(__xludf.DUMMYFUNCTION("""COMPUTED_VALUE"""),"Dr, Javier Lafarga Vázquez")</f>
        <v>Dr, Javier Lafarga Vázquez</v>
      </c>
      <c r="P620" s="33" t="str">
        <f ca="1">IFERROR(__xludf.DUMMYFUNCTION("""COMPUTED_VALUE"""),"Iván Sánchez (Levante Y Albacete)")</f>
        <v>Iván Sánchez (Levante Y Albacete)</v>
      </c>
    </row>
    <row r="621" spans="2:16">
      <c r="B621" s="33">
        <f ca="1">IFERROR(__xludf.DUMMYFUNCTION("""COMPUTED_VALUE"""),2025)</f>
        <v>2025</v>
      </c>
      <c r="C621" s="33">
        <f ca="1">IFERROR(__xludf.DUMMYFUNCTION("""COMPUTED_VALUE"""),5)</f>
        <v>5</v>
      </c>
      <c r="D621" s="33" t="str">
        <f ca="1">IFERROR(__xludf.DUMMYFUNCTION("""COMPUTED_VALUE"""),"NO")</f>
        <v>NO</v>
      </c>
      <c r="E621" s="33" t="str">
        <f ca="1">IFERROR(__xludf.DUMMYFUNCTION("""COMPUTED_VALUE"""),"Alicante")</f>
        <v>Alicante</v>
      </c>
      <c r="F621" s="57">
        <f ca="1">IFERROR(__xludf.DUMMYFUNCTION("""COMPUTED_VALUE"""),45806)</f>
        <v>45806</v>
      </c>
      <c r="G621" s="57">
        <f ca="1">IFERROR(__xludf.DUMMYFUNCTION("""COMPUTED_VALUE"""),45775)</f>
        <v>45775</v>
      </c>
      <c r="H621" s="33" t="str">
        <f ca="1">IFERROR(__xludf.DUMMYFUNCTION("""COMPUTED_VALUE"""),"Alicante")</f>
        <v>Alicante</v>
      </c>
      <c r="I621" s="33" t="str">
        <f ca="1">IFERROR(__xludf.DUMMYFUNCTION("""COMPUTED_VALUE"""),"C2025430174328526")</f>
        <v>C2025430174328526</v>
      </c>
      <c r="J621" s="33" t="str">
        <f ca="1">IFERROR(__xludf.DUMMYFUNCTION("""COMPUTED_VALUE"""),"TRINIDAD GARCIA CAPPA")</f>
        <v>TRINIDAD GARCIA CAPPA</v>
      </c>
      <c r="K621" s="33">
        <f ca="1">IFERROR(__xludf.DUMMYFUNCTION("""COMPUTED_VALUE"""),2)</f>
        <v>2</v>
      </c>
      <c r="L621" s="203">
        <f ca="1">IFERROR(__xludf.DUMMYFUNCTION("""COMPUTED_VALUE"""),3800)</f>
        <v>3800</v>
      </c>
      <c r="M621" s="33" t="str">
        <f ca="1">IFERROR(__xludf.DUMMYFUNCTION("""COMPUTED_VALUE"""),"03 ORL")</f>
        <v>03 ORL</v>
      </c>
      <c r="N621" s="33" t="str">
        <f ca="1">IFERROR(__xludf.DUMMYFUNCTION("""COMPUTED_VALUE"""),"06 ORL")</f>
        <v>06 ORL</v>
      </c>
      <c r="O621" s="33" t="str">
        <f ca="1">IFERROR(__xludf.DUMMYFUNCTION("""COMPUTED_VALUE"""),"Dr, Guillermo Severá Ferrándiz")</f>
        <v>Dr, Guillermo Severá Ferrándiz</v>
      </c>
      <c r="P621" s="33" t="str">
        <f ca="1">IFERROR(__xludf.DUMMYFUNCTION("""COMPUTED_VALUE"""),"Iván Sánchez (Levante Y Albacete)")</f>
        <v>Iván Sánchez (Levante Y Albacete)</v>
      </c>
    </row>
    <row r="622" spans="2:16">
      <c r="B622" s="33">
        <f ca="1">IFERROR(__xludf.DUMMYFUNCTION("""COMPUTED_VALUE"""),2025)</f>
        <v>2025</v>
      </c>
      <c r="C622" s="33">
        <f ca="1">IFERROR(__xludf.DUMMYFUNCTION("""COMPUTED_VALUE"""),5)</f>
        <v>5</v>
      </c>
      <c r="D622" s="33" t="str">
        <f ca="1">IFERROR(__xludf.DUMMYFUNCTION("""COMPUTED_VALUE"""),"NO")</f>
        <v>NO</v>
      </c>
      <c r="E622" s="33" t="str">
        <f ca="1">IFERROR(__xludf.DUMMYFUNCTION("""COMPUTED_VALUE"""),"Almería")</f>
        <v>Almería</v>
      </c>
      <c r="F622" s="57">
        <f ca="1">IFERROR(__xludf.DUMMYFUNCTION("""COMPUTED_VALUE"""),45779)</f>
        <v>45779</v>
      </c>
      <c r="G622" s="57">
        <f ca="1">IFERROR(__xludf.DUMMYFUNCTION("""COMPUTED_VALUE"""),45257)</f>
        <v>45257</v>
      </c>
      <c r="H622" s="33" t="str">
        <f ca="1">IFERROR(__xludf.DUMMYFUNCTION("""COMPUTED_VALUE"""),"Almería")</f>
        <v>Almería</v>
      </c>
      <c r="I622" s="33" t="str">
        <f ca="1">IFERROR(__xludf.DUMMYFUNCTION("""COMPUTED_VALUE"""),"ALM-1214")</f>
        <v>ALM-1214</v>
      </c>
      <c r="J622" s="33" t="str">
        <f ca="1">IFERROR(__xludf.DUMMYFUNCTION("""COMPUTED_VALUE"""),"VIRTUDES RUBI LOPEZ")</f>
        <v>VIRTUDES RUBI LOPEZ</v>
      </c>
      <c r="K622" s="33">
        <f ca="1">IFERROR(__xludf.DUMMYFUNCTION("""COMPUTED_VALUE"""),2)</f>
        <v>2</v>
      </c>
      <c r="L622" s="203">
        <f ca="1">IFERROR(__xludf.DUMMYFUNCTION("""COMPUTED_VALUE"""),2722.73)</f>
        <v>2722.73</v>
      </c>
      <c r="M622" s="33" t="str">
        <f ca="1">IFERROR(__xludf.DUMMYFUNCTION("""COMPUTED_VALUE"""),"03 ORL")</f>
        <v>03 ORL</v>
      </c>
      <c r="N622" s="33" t="str">
        <f ca="1">IFERROR(__xludf.DUMMYFUNCTION("""COMPUTED_VALUE"""),"06 ORL")</f>
        <v>06 ORL</v>
      </c>
      <c r="O622" s="33" t="str">
        <f ca="1">IFERROR(__xludf.DUMMYFUNCTION("""COMPUTED_VALUE"""),"Dr, Javier Padilla Caballero")</f>
        <v>Dr, Javier Padilla Caballero</v>
      </c>
      <c r="P622" s="33" t="str">
        <f ca="1">IFERROR(__xludf.DUMMYFUNCTION("""COMPUTED_VALUE"""),"Ramon Ferrando(Valencia)")</f>
        <v>Ramon Ferrando(Valencia)</v>
      </c>
    </row>
    <row r="623" spans="2:16">
      <c r="B623" s="33">
        <f ca="1">IFERROR(__xludf.DUMMYFUNCTION("""COMPUTED_VALUE"""),2025)</f>
        <v>2025</v>
      </c>
      <c r="C623" s="33">
        <f ca="1">IFERROR(__xludf.DUMMYFUNCTION("""COMPUTED_VALUE"""),5)</f>
        <v>5</v>
      </c>
      <c r="D623" s="33" t="str">
        <f ca="1">IFERROR(__xludf.DUMMYFUNCTION("""COMPUTED_VALUE"""),"NO")</f>
        <v>NO</v>
      </c>
      <c r="E623" s="33" t="str">
        <f ca="1">IFERROR(__xludf.DUMMYFUNCTION("""COMPUTED_VALUE"""),"Barcelona- Córcega")</f>
        <v>Barcelona- Córcega</v>
      </c>
      <c r="F623" s="57">
        <f ca="1">IFERROR(__xludf.DUMMYFUNCTION("""COMPUTED_VALUE"""),45790)</f>
        <v>45790</v>
      </c>
      <c r="G623" s="57">
        <f ca="1">IFERROR(__xludf.DUMMYFUNCTION("""COMPUTED_VALUE"""),45740)</f>
        <v>45740</v>
      </c>
      <c r="H623" s="33" t="str">
        <f ca="1">IFERROR(__xludf.DUMMYFUNCTION("""COMPUTED_VALUE"""),"Córcega")</f>
        <v>Córcega</v>
      </c>
      <c r="I623" s="33" t="str">
        <f ca="1">IFERROR(__xludf.DUMMYFUNCTION("""COMPUTED_VALUE"""),"C20253251623281")</f>
        <v>C20253251623281</v>
      </c>
      <c r="J623" s="33" t="str">
        <f ca="1">IFERROR(__xludf.DUMMYFUNCTION("""COMPUTED_VALUE"""),"EDUARDO MANUEL MATEOS FRIAS")</f>
        <v>EDUARDO MANUEL MATEOS FRIAS</v>
      </c>
      <c r="K623" s="33">
        <f ca="1">IFERROR(__xludf.DUMMYFUNCTION("""COMPUTED_VALUE"""),2)</f>
        <v>2</v>
      </c>
      <c r="L623" s="203">
        <f ca="1">IFERROR(__xludf.DUMMYFUNCTION("""COMPUTED_VALUE"""),4400)</f>
        <v>4400</v>
      </c>
      <c r="M623" s="33" t="str">
        <f ca="1">IFERROR(__xludf.DUMMYFUNCTION("""COMPUTED_VALUE"""),"03 ORL")</f>
        <v>03 ORL</v>
      </c>
      <c r="N623" s="33" t="str">
        <f ca="1">IFERROR(__xludf.DUMMYFUNCTION("""COMPUTED_VALUE"""),"06 ORL")</f>
        <v>06 ORL</v>
      </c>
      <c r="O623" s="33" t="str">
        <f ca="1">IFERROR(__xludf.DUMMYFUNCTION("""COMPUTED_VALUE"""),"Dra, Marta Sandoval Puig")</f>
        <v>Dra, Marta Sandoval Puig</v>
      </c>
      <c r="P623" s="33" t="str">
        <f ca="1">IFERROR(__xludf.DUMMYFUNCTION("""COMPUTED_VALUE"""),"Mercè Cabrera (Cataluña Y Baleares)")</f>
        <v>Mercè Cabrera (Cataluña Y Baleares)</v>
      </c>
    </row>
    <row r="624" spans="2:16">
      <c r="B624" s="33">
        <f ca="1">IFERROR(__xludf.DUMMYFUNCTION("""COMPUTED_VALUE"""),2025)</f>
        <v>2025</v>
      </c>
      <c r="C624" s="33">
        <f ca="1">IFERROR(__xludf.DUMMYFUNCTION("""COMPUTED_VALUE"""),5)</f>
        <v>5</v>
      </c>
      <c r="D624" s="33" t="str">
        <f ca="1">IFERROR(__xludf.DUMMYFUNCTION("""COMPUTED_VALUE"""),"NO")</f>
        <v>NO</v>
      </c>
      <c r="E624" s="33" t="str">
        <f ca="1">IFERROR(__xludf.DUMMYFUNCTION("""COMPUTED_VALUE"""),"Barcelona- Fabra i Puig")</f>
        <v>Barcelona- Fabra i Puig</v>
      </c>
      <c r="F624" s="57">
        <f ca="1">IFERROR(__xludf.DUMMYFUNCTION("""COMPUTED_VALUE"""),45782)</f>
        <v>45782</v>
      </c>
      <c r="G624" s="57">
        <f ca="1">IFERROR(__xludf.DUMMYFUNCTION("""COMPUTED_VALUE"""),45720)</f>
        <v>45720</v>
      </c>
      <c r="H624" s="33" t="str">
        <f ca="1">IFERROR(__xludf.DUMMYFUNCTION("""COMPUTED_VALUE"""),"Fabra")</f>
        <v>Fabra</v>
      </c>
      <c r="I624" s="33" t="str">
        <f ca="1">IFERROR(__xludf.DUMMYFUNCTION("""COMPUTED_VALUE"""),"C2025313122834934")</f>
        <v>C2025313122834934</v>
      </c>
      <c r="J624" s="33" t="str">
        <f ca="1">IFERROR(__xludf.DUMMYFUNCTION("""COMPUTED_VALUE"""),"AGUSTIN ZURERA RUBIO")</f>
        <v>AGUSTIN ZURERA RUBIO</v>
      </c>
      <c r="K624" s="33">
        <f ca="1">IFERROR(__xludf.DUMMYFUNCTION("""COMPUTED_VALUE"""),2)</f>
        <v>2</v>
      </c>
      <c r="L624" s="203">
        <f ca="1">IFERROR(__xludf.DUMMYFUNCTION("""COMPUTED_VALUE"""),2586.36)</f>
        <v>2586.36</v>
      </c>
      <c r="M624" s="33" t="str">
        <f ca="1">IFERROR(__xludf.DUMMYFUNCTION("""COMPUTED_VALUE"""),"03 ORL")</f>
        <v>03 ORL</v>
      </c>
      <c r="N624" s="33" t="str">
        <f ca="1">IFERROR(__xludf.DUMMYFUNCTION("""COMPUTED_VALUE"""),"06 ORL")</f>
        <v>06 ORL</v>
      </c>
      <c r="O624" s="33" t="str">
        <f ca="1">IFERROR(__xludf.DUMMYFUNCTION("""COMPUTED_VALUE"""),"Dr, Pablo Vergés Fort")</f>
        <v>Dr, Pablo Vergés Fort</v>
      </c>
      <c r="P624" s="33" t="str">
        <f ca="1">IFERROR(__xludf.DUMMYFUNCTION("""COMPUTED_VALUE"""),"Mercè Cabrera (Cataluña Y Baleares)")</f>
        <v>Mercè Cabrera (Cataluña Y Baleares)</v>
      </c>
    </row>
    <row r="625" spans="2:16">
      <c r="B625" s="33">
        <f ca="1">IFERROR(__xludf.DUMMYFUNCTION("""COMPUTED_VALUE"""),2025)</f>
        <v>2025</v>
      </c>
      <c r="C625" s="33">
        <f ca="1">IFERROR(__xludf.DUMMYFUNCTION("""COMPUTED_VALUE"""),5)</f>
        <v>5</v>
      </c>
      <c r="D625" s="33" t="str">
        <f ca="1">IFERROR(__xludf.DUMMYFUNCTION("""COMPUTED_VALUE"""),"NO")</f>
        <v>NO</v>
      </c>
      <c r="E625" s="33" t="str">
        <f ca="1">IFERROR(__xludf.DUMMYFUNCTION("""COMPUTED_VALUE"""),"Barcelona- Fabra i Puig")</f>
        <v>Barcelona- Fabra i Puig</v>
      </c>
      <c r="F625" s="57">
        <f ca="1">IFERROR(__xludf.DUMMYFUNCTION("""COMPUTED_VALUE"""),45789)</f>
        <v>45789</v>
      </c>
      <c r="G625" s="57">
        <f ca="1">IFERROR(__xludf.DUMMYFUNCTION("""COMPUTED_VALUE"""),45750)</f>
        <v>45750</v>
      </c>
      <c r="H625" s="33" t="str">
        <f ca="1">IFERROR(__xludf.DUMMYFUNCTION("""COMPUTED_VALUE"""),"Fabra")</f>
        <v>Fabra</v>
      </c>
      <c r="I625" s="33" t="str">
        <f ca="1">IFERROR(__xludf.DUMMYFUNCTION("""COMPUTED_VALUE"""),"C20254711323072")</f>
        <v>C20254711323072</v>
      </c>
      <c r="J625" s="33" t="str">
        <f ca="1">IFERROR(__xludf.DUMMYFUNCTION("""COMPUTED_VALUE"""),"JESUS ÁNGEL UBEDA MARTINEZ")</f>
        <v>JESUS ÁNGEL UBEDA MARTINEZ</v>
      </c>
      <c r="K625" s="33">
        <f ca="1">IFERROR(__xludf.DUMMYFUNCTION("""COMPUTED_VALUE"""),2)</f>
        <v>2</v>
      </c>
      <c r="L625" s="203">
        <f ca="1">IFERROR(__xludf.DUMMYFUNCTION("""COMPUTED_VALUE"""),4000)</f>
        <v>4000</v>
      </c>
      <c r="M625" s="33" t="str">
        <f ca="1">IFERROR(__xludf.DUMMYFUNCTION("""COMPUTED_VALUE"""),"03 ORL")</f>
        <v>03 ORL</v>
      </c>
      <c r="N625" s="33" t="str">
        <f ca="1">IFERROR(__xludf.DUMMYFUNCTION("""COMPUTED_VALUE"""),"06 ORL")</f>
        <v>06 ORL</v>
      </c>
      <c r="O625" s="33" t="str">
        <f ca="1">IFERROR(__xludf.DUMMYFUNCTION("""COMPUTED_VALUE"""),"Dr, Pablo Vergés Fort")</f>
        <v>Dr, Pablo Vergés Fort</v>
      </c>
      <c r="P625" s="33" t="str">
        <f ca="1">IFERROR(__xludf.DUMMYFUNCTION("""COMPUTED_VALUE"""),"Mercè Cabrera (Cataluña Y Baleares)")</f>
        <v>Mercè Cabrera (Cataluña Y Baleares)</v>
      </c>
    </row>
    <row r="626" spans="2:16">
      <c r="B626" s="33">
        <f ca="1">IFERROR(__xludf.DUMMYFUNCTION("""COMPUTED_VALUE"""),2025)</f>
        <v>2025</v>
      </c>
      <c r="C626" s="33">
        <f ca="1">IFERROR(__xludf.DUMMYFUNCTION("""COMPUTED_VALUE"""),5)</f>
        <v>5</v>
      </c>
      <c r="D626" s="33" t="str">
        <f ca="1">IFERROR(__xludf.DUMMYFUNCTION("""COMPUTED_VALUE"""),"NO")</f>
        <v>NO</v>
      </c>
      <c r="E626" s="33" t="str">
        <f ca="1">IFERROR(__xludf.DUMMYFUNCTION("""COMPUTED_VALUE"""),"Barcelona- Fabra i Puig")</f>
        <v>Barcelona- Fabra i Puig</v>
      </c>
      <c r="F626" s="57">
        <f ca="1">IFERROR(__xludf.DUMMYFUNCTION("""COMPUTED_VALUE"""),45806)</f>
        <v>45806</v>
      </c>
      <c r="G626" s="57">
        <f ca="1">IFERROR(__xludf.DUMMYFUNCTION("""COMPUTED_VALUE"""),45793)</f>
        <v>45793</v>
      </c>
      <c r="H626" s="33" t="str">
        <f ca="1">IFERROR(__xludf.DUMMYFUNCTION("""COMPUTED_VALUE"""),"Fabra")</f>
        <v>Fabra</v>
      </c>
      <c r="I626" s="33" t="str">
        <f ca="1">IFERROR(__xludf.DUMMYFUNCTION("""COMPUTED_VALUE"""),"C2025519121555494")</f>
        <v>C2025519121555494</v>
      </c>
      <c r="J626" s="33" t="str">
        <f ca="1">IFERROR(__xludf.DUMMYFUNCTION("""COMPUTED_VALUE"""),"MARIA DEL CARMEN ALSINA SANTAEUGENIA")</f>
        <v>MARIA DEL CARMEN ALSINA SANTAEUGENIA</v>
      </c>
      <c r="K626" s="33">
        <f ca="1">IFERROR(__xludf.DUMMYFUNCTION("""COMPUTED_VALUE"""),2)</f>
        <v>2</v>
      </c>
      <c r="L626" s="203">
        <f ca="1">IFERROR(__xludf.DUMMYFUNCTION("""COMPUTED_VALUE"""),4000)</f>
        <v>4000</v>
      </c>
      <c r="M626" s="33" t="str">
        <f ca="1">IFERROR(__xludf.DUMMYFUNCTION("""COMPUTED_VALUE"""),"03 ORL")</f>
        <v>03 ORL</v>
      </c>
      <c r="N626" s="33" t="str">
        <f ca="1">IFERROR(__xludf.DUMMYFUNCTION("""COMPUTED_VALUE"""),"06 ORL")</f>
        <v>06 ORL</v>
      </c>
      <c r="O626" s="33" t="str">
        <f ca="1">IFERROR(__xludf.DUMMYFUNCTION("""COMPUTED_VALUE"""),"Dr, Pablo Vergés Fort")</f>
        <v>Dr, Pablo Vergés Fort</v>
      </c>
      <c r="P626" s="33" t="str">
        <f ca="1">IFERROR(__xludf.DUMMYFUNCTION("""COMPUTED_VALUE"""),"Mercè Cabrera (Cataluña Y Baleares)")</f>
        <v>Mercè Cabrera (Cataluña Y Baleares)</v>
      </c>
    </row>
    <row r="627" spans="2:16">
      <c r="B627" s="33">
        <f ca="1">IFERROR(__xludf.DUMMYFUNCTION("""COMPUTED_VALUE"""),2025)</f>
        <v>2025</v>
      </c>
      <c r="C627" s="33">
        <f ca="1">IFERROR(__xludf.DUMMYFUNCTION("""COMPUTED_VALUE"""),5)</f>
        <v>5</v>
      </c>
      <c r="D627" s="33" t="str">
        <f ca="1">IFERROR(__xludf.DUMMYFUNCTION("""COMPUTED_VALUE"""),"NO")</f>
        <v>NO</v>
      </c>
      <c r="E627" s="33" t="str">
        <f ca="1">IFERROR(__xludf.DUMMYFUNCTION("""COMPUTED_VALUE"""),"El Albir (Benidorm)")</f>
        <v>El Albir (Benidorm)</v>
      </c>
      <c r="F627" s="57">
        <f ca="1">IFERROR(__xludf.DUMMYFUNCTION("""COMPUTED_VALUE"""),45807)</f>
        <v>45807</v>
      </c>
      <c r="G627" s="57">
        <f ca="1">IFERROR(__xludf.DUMMYFUNCTION("""COMPUTED_VALUE"""),45779)</f>
        <v>45779</v>
      </c>
      <c r="H627" s="33" t="str">
        <f ca="1">IFERROR(__xludf.DUMMYFUNCTION("""COMPUTED_VALUE"""),"El Albir (Benidorm)")</f>
        <v>El Albir (Benidorm)</v>
      </c>
      <c r="I627" s="33" t="str">
        <f ca="1">IFERROR(__xludf.DUMMYFUNCTION("""COMPUTED_VALUE"""),"C20255716515308")</f>
        <v>C20255716515308</v>
      </c>
      <c r="J627" s="33" t="str">
        <f ca="1">IFERROR(__xludf.DUMMYFUNCTION("""COMPUTED_VALUE"""),"ANTONIO BECERRIL LEON")</f>
        <v>ANTONIO BECERRIL LEON</v>
      </c>
      <c r="K627" s="33">
        <f ca="1">IFERROR(__xludf.DUMMYFUNCTION("""COMPUTED_VALUE"""),2)</f>
        <v>2</v>
      </c>
      <c r="L627" s="203">
        <f ca="1">IFERROR(__xludf.DUMMYFUNCTION("""COMPUTED_VALUE"""),3710)</f>
        <v>3710</v>
      </c>
      <c r="M627" s="33" t="str">
        <f ca="1">IFERROR(__xludf.DUMMYFUNCTION("""COMPUTED_VALUE"""),"03 ORL")</f>
        <v>03 ORL</v>
      </c>
      <c r="N627" s="33" t="str">
        <f ca="1">IFERROR(__xludf.DUMMYFUNCTION("""COMPUTED_VALUE"""),"06 ORL")</f>
        <v>06 ORL</v>
      </c>
      <c r="O627" s="33" t="str">
        <f ca="1">IFERROR(__xludf.DUMMYFUNCTION("""COMPUTED_VALUE"""),"Dra, María Emilia García Ruiz")</f>
        <v>Dra, María Emilia García Ruiz</v>
      </c>
      <c r="P627" s="33" t="str">
        <f ca="1">IFERROR(__xludf.DUMMYFUNCTION("""COMPUTED_VALUE"""),"Ramon Ferrando(Valencia)")</f>
        <v>Ramon Ferrando(Valencia)</v>
      </c>
    </row>
    <row r="628" spans="2:16">
      <c r="B628" s="33">
        <f ca="1">IFERROR(__xludf.DUMMYFUNCTION("""COMPUTED_VALUE"""),2025)</f>
        <v>2025</v>
      </c>
      <c r="C628" s="33">
        <f ca="1">IFERROR(__xludf.DUMMYFUNCTION("""COMPUTED_VALUE"""),5)</f>
        <v>5</v>
      </c>
      <c r="D628" s="33" t="str">
        <f ca="1">IFERROR(__xludf.DUMMYFUNCTION("""COMPUTED_VALUE"""),"NO")</f>
        <v>NO</v>
      </c>
      <c r="E628" s="33" t="str">
        <f ca="1">IFERROR(__xludf.DUMMYFUNCTION("""COMPUTED_VALUE"""),"El Albir (Benidorm)")</f>
        <v>El Albir (Benidorm)</v>
      </c>
      <c r="F628" s="57">
        <f ca="1">IFERROR(__xludf.DUMMYFUNCTION("""COMPUTED_VALUE"""),45804)</f>
        <v>45804</v>
      </c>
      <c r="G628" s="57">
        <f ca="1">IFERROR(__xludf.DUMMYFUNCTION("""COMPUTED_VALUE"""),45181)</f>
        <v>45181</v>
      </c>
      <c r="H628" s="33" t="str">
        <f ca="1">IFERROR(__xludf.DUMMYFUNCTION("""COMPUTED_VALUE"""),"El Albir (Benidorm)")</f>
        <v>El Albir (Benidorm)</v>
      </c>
      <c r="I628" s="33" t="str">
        <f ca="1">IFERROR(__xludf.DUMMYFUNCTION("""COMPUTED_VALUE"""),"BNI-75")</f>
        <v>BNI-75</v>
      </c>
      <c r="J628" s="33" t="str">
        <f ca="1">IFERROR(__xludf.DUMMYFUNCTION("""COMPUTED_VALUE"""),"MIGUEL ANGEL BOLAÑOS LOSADA")</f>
        <v>MIGUEL ANGEL BOLAÑOS LOSADA</v>
      </c>
      <c r="K628" s="33">
        <f ca="1">IFERROR(__xludf.DUMMYFUNCTION("""COMPUTED_VALUE"""),1)</f>
        <v>1</v>
      </c>
      <c r="L628" s="203">
        <f ca="1">IFERROR(__xludf.DUMMYFUNCTION("""COMPUTED_VALUE"""),2640)</f>
        <v>2640</v>
      </c>
      <c r="M628" s="33" t="str">
        <f ca="1">IFERROR(__xludf.DUMMYFUNCTION("""COMPUTED_VALUE"""),"03 ORL")</f>
        <v>03 ORL</v>
      </c>
      <c r="N628" s="33" t="str">
        <f ca="1">IFERROR(__xludf.DUMMYFUNCTION("""COMPUTED_VALUE"""),"06 ORL")</f>
        <v>06 ORL</v>
      </c>
      <c r="O628" s="33" t="str">
        <f ca="1">IFERROR(__xludf.DUMMYFUNCTION("""COMPUTED_VALUE"""),"Dra, Salwa Laraqui Hossini")</f>
        <v>Dra, Salwa Laraqui Hossini</v>
      </c>
      <c r="P628" s="33" t="str">
        <f ca="1">IFERROR(__xludf.DUMMYFUNCTION("""COMPUTED_VALUE"""),"Iván Sánchez (Levante Y Albacete)")</f>
        <v>Iván Sánchez (Levante Y Albacete)</v>
      </c>
    </row>
    <row r="629" spans="2:16">
      <c r="B629" s="33">
        <f ca="1">IFERROR(__xludf.DUMMYFUNCTION("""COMPUTED_VALUE"""),2025)</f>
        <v>2025</v>
      </c>
      <c r="C629" s="33">
        <f ca="1">IFERROR(__xludf.DUMMYFUNCTION("""COMPUTED_VALUE"""),5)</f>
        <v>5</v>
      </c>
      <c r="D629" s="33" t="str">
        <f ca="1">IFERROR(__xludf.DUMMYFUNCTION("""COMPUTED_VALUE"""),"SI")</f>
        <v>SI</v>
      </c>
      <c r="E629" s="33" t="str">
        <f ca="1">IFERROR(__xludf.DUMMYFUNCTION("""COMPUTED_VALUE"""),"El Albir (Benidorm)")</f>
        <v>El Albir (Benidorm)</v>
      </c>
      <c r="F629" s="57">
        <f ca="1">IFERROR(__xludf.DUMMYFUNCTION("""COMPUTED_VALUE"""),45807)</f>
        <v>45807</v>
      </c>
      <c r="G629" s="57">
        <f ca="1">IFERROR(__xludf.DUMMYFUNCTION("""COMPUTED_VALUE"""),45042)</f>
        <v>45042</v>
      </c>
      <c r="H629" s="33" t="str">
        <f ca="1">IFERROR(__xludf.DUMMYFUNCTION("""COMPUTED_VALUE"""),"El Albir (Benidorm)")</f>
        <v>El Albir (Benidorm)</v>
      </c>
      <c r="I629" s="33" t="str">
        <f ca="1">IFERROR(__xludf.DUMMYFUNCTION("""COMPUTED_VALUE"""),"BNI-37")</f>
        <v>BNI-37</v>
      </c>
      <c r="J629" s="33" t="str">
        <f ca="1">IFERROR(__xludf.DUMMYFUNCTION("""COMPUTED_VALUE"""),"SUSAN MANNION")</f>
        <v>SUSAN MANNION</v>
      </c>
      <c r="K629" s="33">
        <f ca="1">IFERROR(__xludf.DUMMYFUNCTION("""COMPUTED_VALUE"""),1)</f>
        <v>1</v>
      </c>
      <c r="L629" s="203">
        <f ca="1">IFERROR(__xludf.DUMMYFUNCTION("""COMPUTED_VALUE"""),1386.18)</f>
        <v>1386.18</v>
      </c>
      <c r="M629" s="33" t="str">
        <f ca="1">IFERROR(__xludf.DUMMYFUNCTION("""COMPUTED_VALUE"""),"03 ORL")</f>
        <v>03 ORL</v>
      </c>
      <c r="N629" s="33" t="str">
        <f ca="1">IFERROR(__xludf.DUMMYFUNCTION("""COMPUTED_VALUE"""),"06 ORL")</f>
        <v>06 ORL</v>
      </c>
      <c r="O629" s="33" t="str">
        <f ca="1">IFERROR(__xludf.DUMMYFUNCTION("""COMPUTED_VALUE"""),"Dr, Carlos Velásquez Fermín")</f>
        <v>Dr, Carlos Velásquez Fermín</v>
      </c>
      <c r="P629" s="33" t="str">
        <f ca="1">IFERROR(__xludf.DUMMYFUNCTION("""COMPUTED_VALUE"""),"Iván Sánchez (Levante Y Albacete)")</f>
        <v>Iván Sánchez (Levante Y Albacete)</v>
      </c>
    </row>
    <row r="630" spans="2:16">
      <c r="B630" s="33">
        <f ca="1">IFERROR(__xludf.DUMMYFUNCTION("""COMPUTED_VALUE"""),2025)</f>
        <v>2025</v>
      </c>
      <c r="C630" s="33">
        <f ca="1">IFERROR(__xludf.DUMMYFUNCTION("""COMPUTED_VALUE"""),5)</f>
        <v>5</v>
      </c>
      <c r="D630" s="33" t="str">
        <f ca="1">IFERROR(__xludf.DUMMYFUNCTION("""COMPUTED_VALUE"""),"NO")</f>
        <v>NO</v>
      </c>
      <c r="E630" s="33" t="str">
        <f ca="1">IFERROR(__xludf.DUMMYFUNCTION("""COMPUTED_VALUE"""),"Fuenlabrada")</f>
        <v>Fuenlabrada</v>
      </c>
      <c r="F630" s="57">
        <f ca="1">IFERROR(__xludf.DUMMYFUNCTION("""COMPUTED_VALUE"""),45806)</f>
        <v>45806</v>
      </c>
      <c r="G630" s="57">
        <f ca="1">IFERROR(__xludf.DUMMYFUNCTION("""COMPUTED_VALUE"""),45722)</f>
        <v>45722</v>
      </c>
      <c r="H630" s="33" t="str">
        <f ca="1">IFERROR(__xludf.DUMMYFUNCTION("""COMPUTED_VALUE"""),"Fuenlabrada")</f>
        <v>Fuenlabrada</v>
      </c>
      <c r="I630" s="33" t="str">
        <f ca="1">IFERROR(__xludf.DUMMYFUNCTION("""COMPUTED_VALUE"""),"C20253121743464")</f>
        <v>C20253121743464</v>
      </c>
      <c r="J630" s="33" t="str">
        <f ca="1">IFERROR(__xludf.DUMMYFUNCTION("""COMPUTED_VALUE"""),"CRISTINA MORENO GOMEZ")</f>
        <v>CRISTINA MORENO GOMEZ</v>
      </c>
      <c r="K630" s="33">
        <f ca="1">IFERROR(__xludf.DUMMYFUNCTION("""COMPUTED_VALUE"""),1)</f>
        <v>1</v>
      </c>
      <c r="L630" s="203">
        <f ca="1">IFERROR(__xludf.DUMMYFUNCTION("""COMPUTED_VALUE"""),2226.36)</f>
        <v>2226.36</v>
      </c>
      <c r="M630" s="33" t="str">
        <f ca="1">IFERROR(__xludf.DUMMYFUNCTION("""COMPUTED_VALUE"""),"03 ORL")</f>
        <v>03 ORL</v>
      </c>
      <c r="N630" s="33" t="str">
        <f ca="1">IFERROR(__xludf.DUMMYFUNCTION("""COMPUTED_VALUE"""),"06 ORL")</f>
        <v>06 ORL</v>
      </c>
      <c r="O630" s="33" t="str">
        <f ca="1">IFERROR(__xludf.DUMMYFUNCTION("""COMPUTED_VALUE"""),"Dra, Estefania Miranda Sánchez")</f>
        <v>Dra, Estefania Miranda Sánchez</v>
      </c>
      <c r="P630" s="33" t="str">
        <f ca="1">IFERROR(__xludf.DUMMYFUNCTION("""COMPUTED_VALUE"""),"Maika Blázquez (Madrid)")</f>
        <v>Maika Blázquez (Madrid)</v>
      </c>
    </row>
    <row r="631" spans="2:16">
      <c r="B631" s="33">
        <f ca="1">IFERROR(__xludf.DUMMYFUNCTION("""COMPUTED_VALUE"""),2025)</f>
        <v>2025</v>
      </c>
      <c r="C631" s="33">
        <f ca="1">IFERROR(__xludf.DUMMYFUNCTION("""COMPUTED_VALUE"""),5)</f>
        <v>5</v>
      </c>
      <c r="D631" s="33" t="str">
        <f ca="1">IFERROR(__xludf.DUMMYFUNCTION("""COMPUTED_VALUE"""),"NO")</f>
        <v>NO</v>
      </c>
      <c r="E631" s="33" t="str">
        <f ca="1">IFERROR(__xludf.DUMMYFUNCTION("""COMPUTED_VALUE"""),"Fuenlabrada")</f>
        <v>Fuenlabrada</v>
      </c>
      <c r="F631" s="57">
        <f ca="1">IFERROR(__xludf.DUMMYFUNCTION("""COMPUTED_VALUE"""),45793)</f>
        <v>45793</v>
      </c>
      <c r="G631" s="57">
        <f ca="1">IFERROR(__xludf.DUMMYFUNCTION("""COMPUTED_VALUE"""),45769)</f>
        <v>45769</v>
      </c>
      <c r="H631" s="33" t="str">
        <f ca="1">IFERROR(__xludf.DUMMYFUNCTION("""COMPUTED_VALUE"""),"Fuenlabrada")</f>
        <v>Fuenlabrada</v>
      </c>
      <c r="I631" s="33" t="str">
        <f ca="1">IFERROR(__xludf.DUMMYFUNCTION("""COMPUTED_VALUE"""),"C202542512464297")</f>
        <v>C202542512464297</v>
      </c>
      <c r="J631" s="33" t="str">
        <f ca="1">IFERROR(__xludf.DUMMYFUNCTION("""COMPUTED_VALUE"""),"ANGELICA  PORTELA GIRON")</f>
        <v>ANGELICA  PORTELA GIRON</v>
      </c>
      <c r="K631" s="33">
        <f ca="1">IFERROR(__xludf.DUMMYFUNCTION("""COMPUTED_VALUE"""),1)</f>
        <v>1</v>
      </c>
      <c r="L631" s="203">
        <f ca="1">IFERROR(__xludf.DUMMYFUNCTION("""COMPUTED_VALUE"""),2400)</f>
        <v>2400</v>
      </c>
      <c r="M631" s="33" t="str">
        <f ca="1">IFERROR(__xludf.DUMMYFUNCTION("""COMPUTED_VALUE"""),"03 ORL")</f>
        <v>03 ORL</v>
      </c>
      <c r="N631" s="33" t="str">
        <f ca="1">IFERROR(__xludf.DUMMYFUNCTION("""COMPUTED_VALUE"""),"06 ORL")</f>
        <v>06 ORL</v>
      </c>
      <c r="O631" s="33" t="str">
        <f ca="1">IFERROR(__xludf.DUMMYFUNCTION("""COMPUTED_VALUE"""),"Dra, Concepcion Rodríguez Izquierdo")</f>
        <v>Dra, Concepcion Rodríguez Izquierdo</v>
      </c>
      <c r="P631" s="33" t="str">
        <f ca="1">IFERROR(__xludf.DUMMYFUNCTION("""COMPUTED_VALUE"""),"Maika Blázquez (Madrid)")</f>
        <v>Maika Blázquez (Madrid)</v>
      </c>
    </row>
    <row r="632" spans="2:16">
      <c r="B632" s="33">
        <f ca="1">IFERROR(__xludf.DUMMYFUNCTION("""COMPUTED_VALUE"""),2025)</f>
        <v>2025</v>
      </c>
      <c r="C632" s="33">
        <f ca="1">IFERROR(__xludf.DUMMYFUNCTION("""COMPUTED_VALUE"""),5)</f>
        <v>5</v>
      </c>
      <c r="D632" s="33" t="str">
        <f ca="1">IFERROR(__xludf.DUMMYFUNCTION("""COMPUTED_VALUE"""),"NO")</f>
        <v>NO</v>
      </c>
      <c r="E632" s="33" t="str">
        <f ca="1">IFERROR(__xludf.DUMMYFUNCTION("""COMPUTED_VALUE"""),"Fuenlabrada")</f>
        <v>Fuenlabrada</v>
      </c>
      <c r="F632" s="57">
        <f ca="1">IFERROR(__xludf.DUMMYFUNCTION("""COMPUTED_VALUE"""),45804)</f>
        <v>45804</v>
      </c>
      <c r="G632" s="57">
        <f ca="1">IFERROR(__xludf.DUMMYFUNCTION("""COMPUTED_VALUE"""),45742)</f>
        <v>45742</v>
      </c>
      <c r="H632" s="33" t="str">
        <f ca="1">IFERROR(__xludf.DUMMYFUNCTION("""COMPUTED_VALUE"""),"Fuenlabrada")</f>
        <v>Fuenlabrada</v>
      </c>
      <c r="I632" s="33" t="str">
        <f ca="1">IFERROR(__xludf.DUMMYFUNCTION("""COMPUTED_VALUE"""),"C202543182525468")</f>
        <v>C202543182525468</v>
      </c>
      <c r="J632" s="33" t="str">
        <f ca="1">IFERROR(__xludf.DUMMYFUNCTION("""COMPUTED_VALUE"""),"JOSE VICENTE LARA VILLENA")</f>
        <v>JOSE VICENTE LARA VILLENA</v>
      </c>
      <c r="K632" s="33">
        <f ca="1">IFERROR(__xludf.DUMMYFUNCTION("""COMPUTED_VALUE"""),1)</f>
        <v>1</v>
      </c>
      <c r="L632" s="203">
        <f ca="1">IFERROR(__xludf.DUMMYFUNCTION("""COMPUTED_VALUE"""),2640)</f>
        <v>2640</v>
      </c>
      <c r="M632" s="33" t="str">
        <f ca="1">IFERROR(__xludf.DUMMYFUNCTION("""COMPUTED_VALUE"""),"03 ORL")</f>
        <v>03 ORL</v>
      </c>
      <c r="N632" s="33" t="str">
        <f ca="1">IFERROR(__xludf.DUMMYFUNCTION("""COMPUTED_VALUE"""),"06 ORL")</f>
        <v>06 ORL</v>
      </c>
      <c r="O632" s="33" t="str">
        <f ca="1">IFERROR(__xludf.DUMMYFUNCTION("""COMPUTED_VALUE"""),"Dra, Mar Lasso de la Vega Zamora")</f>
        <v>Dra, Mar Lasso de la Vega Zamora</v>
      </c>
      <c r="P632" s="33" t="str">
        <f ca="1">IFERROR(__xludf.DUMMYFUNCTION("""COMPUTED_VALUE"""),"Maika Blázquez (Madrid)")</f>
        <v>Maika Blázquez (Madrid)</v>
      </c>
    </row>
    <row r="633" spans="2:16">
      <c r="B633" s="33">
        <f ca="1">IFERROR(__xludf.DUMMYFUNCTION("""COMPUTED_VALUE"""),2025)</f>
        <v>2025</v>
      </c>
      <c r="C633" s="33">
        <f ca="1">IFERROR(__xludf.DUMMYFUNCTION("""COMPUTED_VALUE"""),5)</f>
        <v>5</v>
      </c>
      <c r="D633" s="33" t="str">
        <f ca="1">IFERROR(__xludf.DUMMYFUNCTION("""COMPUTED_VALUE"""),"NO")</f>
        <v>NO</v>
      </c>
      <c r="E633" s="33" t="str">
        <f ca="1">IFERROR(__xludf.DUMMYFUNCTION("""COMPUTED_VALUE"""),"Fuenlabrada")</f>
        <v>Fuenlabrada</v>
      </c>
      <c r="F633" s="57">
        <f ca="1">IFERROR(__xludf.DUMMYFUNCTION("""COMPUTED_VALUE"""),45807)</f>
        <v>45807</v>
      </c>
      <c r="G633" s="57">
        <f ca="1">IFERROR(__xludf.DUMMYFUNCTION("""COMPUTED_VALUE"""),45771)</f>
        <v>45771</v>
      </c>
      <c r="H633" s="33" t="str">
        <f ca="1">IFERROR(__xludf.DUMMYFUNCTION("""COMPUTED_VALUE"""),"Fuenlabrada")</f>
        <v>Fuenlabrada</v>
      </c>
      <c r="I633" s="33" t="str">
        <f ca="1">IFERROR(__xludf.DUMMYFUNCTION("""COMPUTED_VALUE"""),"C202555113157822")</f>
        <v>C202555113157822</v>
      </c>
      <c r="J633" s="33" t="str">
        <f ca="1">IFERROR(__xludf.DUMMYFUNCTION("""COMPUTED_VALUE"""),"JUAN  PINTOR MOGENA")</f>
        <v>JUAN  PINTOR MOGENA</v>
      </c>
      <c r="K633" s="33">
        <f ca="1">IFERROR(__xludf.DUMMYFUNCTION("""COMPUTED_VALUE"""),2)</f>
        <v>2</v>
      </c>
      <c r="L633" s="203">
        <f ca="1">IFERROR(__xludf.DUMMYFUNCTION("""COMPUTED_VALUE"""),2578.85)</f>
        <v>2578.85</v>
      </c>
      <c r="M633" s="33" t="str">
        <f ca="1">IFERROR(__xludf.DUMMYFUNCTION("""COMPUTED_VALUE"""),"03 ORL")</f>
        <v>03 ORL</v>
      </c>
      <c r="N633" s="33" t="str">
        <f ca="1">IFERROR(__xludf.DUMMYFUNCTION("""COMPUTED_VALUE"""),"06 ORL")</f>
        <v>06 ORL</v>
      </c>
      <c r="O633" s="33" t="str">
        <f ca="1">IFERROR(__xludf.DUMMYFUNCTION("""COMPUTED_VALUE"""),"Dra, Estefania Miranda Sánchez")</f>
        <v>Dra, Estefania Miranda Sánchez</v>
      </c>
      <c r="P633" s="33" t="str">
        <f ca="1">IFERROR(__xludf.DUMMYFUNCTION("""COMPUTED_VALUE"""),"Maika Blázquez (Madrid)")</f>
        <v>Maika Blázquez (Madrid)</v>
      </c>
    </row>
    <row r="634" spans="2:16">
      <c r="B634" s="33">
        <f ca="1">IFERROR(__xludf.DUMMYFUNCTION("""COMPUTED_VALUE"""),2025)</f>
        <v>2025</v>
      </c>
      <c r="C634" s="33">
        <f ca="1">IFERROR(__xludf.DUMMYFUNCTION("""COMPUTED_VALUE"""),5)</f>
        <v>5</v>
      </c>
      <c r="D634" s="33" t="str">
        <f ca="1">IFERROR(__xludf.DUMMYFUNCTION("""COMPUTED_VALUE"""),"NO")</f>
        <v>NO</v>
      </c>
      <c r="E634" s="33" t="str">
        <f ca="1">IFERROR(__xludf.DUMMYFUNCTION("""COMPUTED_VALUE"""),"Fuenlabrada")</f>
        <v>Fuenlabrada</v>
      </c>
      <c r="F634" s="57">
        <f ca="1">IFERROR(__xludf.DUMMYFUNCTION("""COMPUTED_VALUE"""),45796)</f>
        <v>45796</v>
      </c>
      <c r="G634" s="57">
        <f ca="1">IFERROR(__xludf.DUMMYFUNCTION("""COMPUTED_VALUE"""),45758)</f>
        <v>45758</v>
      </c>
      <c r="H634" s="33" t="str">
        <f ca="1">IFERROR(__xludf.DUMMYFUNCTION("""COMPUTED_VALUE"""),"Fuenlabrada")</f>
        <v>Fuenlabrada</v>
      </c>
      <c r="I634" s="33" t="str">
        <f ca="1">IFERROR(__xludf.DUMMYFUNCTION("""COMPUTED_VALUE"""),"C2025415163948454")</f>
        <v>C2025415163948454</v>
      </c>
      <c r="J634" s="33" t="str">
        <f ca="1">IFERROR(__xludf.DUMMYFUNCTION("""COMPUTED_VALUE"""),"LAUREANO VIDAL LOPEZ")</f>
        <v>LAUREANO VIDAL LOPEZ</v>
      </c>
      <c r="K634" s="33">
        <f ca="1">IFERROR(__xludf.DUMMYFUNCTION("""COMPUTED_VALUE"""),1)</f>
        <v>1</v>
      </c>
      <c r="L634" s="203">
        <f ca="1">IFERROR(__xludf.DUMMYFUNCTION("""COMPUTED_VALUE"""),2400)</f>
        <v>2400</v>
      </c>
      <c r="M634" s="33" t="str">
        <f ca="1">IFERROR(__xludf.DUMMYFUNCTION("""COMPUTED_VALUE"""),"03 ORL")</f>
        <v>03 ORL</v>
      </c>
      <c r="N634" s="33" t="str">
        <f ca="1">IFERROR(__xludf.DUMMYFUNCTION("""COMPUTED_VALUE"""),"06 ORL")</f>
        <v>06 ORL</v>
      </c>
      <c r="O634" s="33" t="str">
        <f ca="1">IFERROR(__xludf.DUMMYFUNCTION("""COMPUTED_VALUE"""),"Dra, Anastasiya Audiyuk Martynyuk")</f>
        <v>Dra, Anastasiya Audiyuk Martynyuk</v>
      </c>
      <c r="P634" s="33" t="str">
        <f ca="1">IFERROR(__xludf.DUMMYFUNCTION("""COMPUTED_VALUE"""),"Maika Blázquez (Madrid)")</f>
        <v>Maika Blázquez (Madrid)</v>
      </c>
    </row>
    <row r="635" spans="2:16">
      <c r="B635" s="33">
        <f ca="1">IFERROR(__xludf.DUMMYFUNCTION("""COMPUTED_VALUE"""),2025)</f>
        <v>2025</v>
      </c>
      <c r="C635" s="33">
        <f ca="1">IFERROR(__xludf.DUMMYFUNCTION("""COMPUTED_VALUE"""),5)</f>
        <v>5</v>
      </c>
      <c r="D635" s="33" t="str">
        <f ca="1">IFERROR(__xludf.DUMMYFUNCTION("""COMPUTED_VALUE"""),"NO")</f>
        <v>NO</v>
      </c>
      <c r="E635" s="33" t="str">
        <f ca="1">IFERROR(__xludf.DUMMYFUNCTION("""COMPUTED_VALUE"""),"Fuenlabrada")</f>
        <v>Fuenlabrada</v>
      </c>
      <c r="F635" s="57">
        <f ca="1">IFERROR(__xludf.DUMMYFUNCTION("""COMPUTED_VALUE"""),45805)</f>
        <v>45805</v>
      </c>
      <c r="G635" s="57">
        <f ca="1">IFERROR(__xludf.DUMMYFUNCTION("""COMPUTED_VALUE"""),45692)</f>
        <v>45692</v>
      </c>
      <c r="H635" s="33" t="str">
        <f ca="1">IFERROR(__xludf.DUMMYFUNCTION("""COMPUTED_VALUE"""),"Fuenlabrada")</f>
        <v>Fuenlabrada</v>
      </c>
      <c r="I635" s="33" t="str">
        <f ca="1">IFERROR(__xludf.DUMMYFUNCTION("""COMPUTED_VALUE"""),"C202557123237267")</f>
        <v>C202557123237267</v>
      </c>
      <c r="J635" s="33" t="str">
        <f ca="1">IFERROR(__xludf.DUMMYFUNCTION("""COMPUTED_VALUE"""),"LUIS FERNANDEZ ALEGRIA")</f>
        <v>LUIS FERNANDEZ ALEGRIA</v>
      </c>
      <c r="K635" s="33">
        <f ca="1">IFERROR(__xludf.DUMMYFUNCTION("""COMPUTED_VALUE"""),2)</f>
        <v>2</v>
      </c>
      <c r="L635" s="203">
        <f ca="1">IFERROR(__xludf.DUMMYFUNCTION("""COMPUTED_VALUE"""),4000)</f>
        <v>4000</v>
      </c>
      <c r="M635" s="33" t="str">
        <f ca="1">IFERROR(__xludf.DUMMYFUNCTION("""COMPUTED_VALUE"""),"03 ORL")</f>
        <v>03 ORL</v>
      </c>
      <c r="N635" s="33" t="str">
        <f ca="1">IFERROR(__xludf.DUMMYFUNCTION("""COMPUTED_VALUE"""),"06 ORL")</f>
        <v>06 ORL</v>
      </c>
      <c r="O635" s="33" t="str">
        <f ca="1">IFERROR(__xludf.DUMMYFUNCTION("""COMPUTED_VALUE"""),"Dra, Elisabeth Amarillo Espitia")</f>
        <v>Dra, Elisabeth Amarillo Espitia</v>
      </c>
      <c r="P635" s="33" t="str">
        <f ca="1">IFERROR(__xludf.DUMMYFUNCTION("""COMPUTED_VALUE"""),"Maika Blázquez (Madrid)")</f>
        <v>Maika Blázquez (Madrid)</v>
      </c>
    </row>
    <row r="636" spans="2:16">
      <c r="B636" s="33">
        <f ca="1">IFERROR(__xludf.DUMMYFUNCTION("""COMPUTED_VALUE"""),2025)</f>
        <v>2025</v>
      </c>
      <c r="C636" s="33">
        <f ca="1">IFERROR(__xludf.DUMMYFUNCTION("""COMPUTED_VALUE"""),5)</f>
        <v>5</v>
      </c>
      <c r="D636" s="33" t="str">
        <f ca="1">IFERROR(__xludf.DUMMYFUNCTION("""COMPUTED_VALUE"""),"NO")</f>
        <v>NO</v>
      </c>
      <c r="E636" s="33" t="str">
        <f ca="1">IFERROR(__xludf.DUMMYFUNCTION("""COMPUTED_VALUE"""),"Getafe")</f>
        <v>Getafe</v>
      </c>
      <c r="F636" s="57">
        <f ca="1">IFERROR(__xludf.DUMMYFUNCTION("""COMPUTED_VALUE"""),45786)</f>
        <v>45786</v>
      </c>
      <c r="G636" s="57">
        <f ca="1">IFERROR(__xludf.DUMMYFUNCTION("""COMPUTED_VALUE"""),45735)</f>
        <v>45735</v>
      </c>
      <c r="H636" s="33" t="str">
        <f ca="1">IFERROR(__xludf.DUMMYFUNCTION("""COMPUTED_VALUE"""),"Getafe")</f>
        <v>Getafe</v>
      </c>
      <c r="I636" s="33" t="str">
        <f ca="1">IFERROR(__xludf.DUMMYFUNCTION("""COMPUTED_VALUE"""),"C2025326165431860")</f>
        <v>C2025326165431860</v>
      </c>
      <c r="J636" s="33" t="str">
        <f ca="1">IFERROR(__xludf.DUMMYFUNCTION("""COMPUTED_VALUE"""),"JACINTA CORISCO BENITO")</f>
        <v>JACINTA CORISCO BENITO</v>
      </c>
      <c r="K636" s="33">
        <f ca="1">IFERROR(__xludf.DUMMYFUNCTION("""COMPUTED_VALUE"""),2)</f>
        <v>2</v>
      </c>
      <c r="L636" s="203">
        <f ca="1">IFERROR(__xludf.DUMMYFUNCTION("""COMPUTED_VALUE"""),3524.5)</f>
        <v>3524.5</v>
      </c>
      <c r="M636" s="33" t="str">
        <f ca="1">IFERROR(__xludf.DUMMYFUNCTION("""COMPUTED_VALUE"""),"03 ORL")</f>
        <v>03 ORL</v>
      </c>
      <c r="N636" s="33" t="str">
        <f ca="1">IFERROR(__xludf.DUMMYFUNCTION("""COMPUTED_VALUE"""),"06 ORL")</f>
        <v>06 ORL</v>
      </c>
      <c r="O636" s="33" t="str">
        <f ca="1">IFERROR(__xludf.DUMMYFUNCTION("""COMPUTED_VALUE"""),"Dr, Jonathan Esteban Sánchez")</f>
        <v>Dr, Jonathan Esteban Sánchez</v>
      </c>
      <c r="P636" s="33" t="str">
        <f ca="1">IFERROR(__xludf.DUMMYFUNCTION("""COMPUTED_VALUE"""),"Maika Blázquez (Madrid)")</f>
        <v>Maika Blázquez (Madrid)</v>
      </c>
    </row>
    <row r="637" spans="2:16">
      <c r="B637" s="33">
        <f ca="1">IFERROR(__xludf.DUMMYFUNCTION("""COMPUTED_VALUE"""),2025)</f>
        <v>2025</v>
      </c>
      <c r="C637" s="33">
        <f ca="1">IFERROR(__xludf.DUMMYFUNCTION("""COMPUTED_VALUE"""),5)</f>
        <v>5</v>
      </c>
      <c r="D637" s="33" t="str">
        <f ca="1">IFERROR(__xludf.DUMMYFUNCTION("""COMPUTED_VALUE"""),"NO")</f>
        <v>NO</v>
      </c>
      <c r="E637" s="33" t="str">
        <f ca="1">IFERROR(__xludf.DUMMYFUNCTION("""COMPUTED_VALUE"""),"Getafe")</f>
        <v>Getafe</v>
      </c>
      <c r="F637" s="57">
        <f ca="1">IFERROR(__xludf.DUMMYFUNCTION("""COMPUTED_VALUE"""),45803)</f>
        <v>45803</v>
      </c>
      <c r="G637" s="57">
        <f ca="1">IFERROR(__xludf.DUMMYFUNCTION("""COMPUTED_VALUE"""),45768)</f>
        <v>45768</v>
      </c>
      <c r="H637" s="33" t="str">
        <f ca="1">IFERROR(__xludf.DUMMYFUNCTION("""COMPUTED_VALUE"""),"Getafe")</f>
        <v>Getafe</v>
      </c>
      <c r="I637" s="33" t="str">
        <f ca="1">IFERROR(__xludf.DUMMYFUNCTION("""COMPUTED_VALUE"""),"C2025425104049157")</f>
        <v>C2025425104049157</v>
      </c>
      <c r="J637" s="33" t="str">
        <f ca="1">IFERROR(__xludf.DUMMYFUNCTION("""COMPUTED_VALUE"""),"JULIA VAQUERO GARCIA")</f>
        <v>JULIA VAQUERO GARCIA</v>
      </c>
      <c r="K637" s="33">
        <f ca="1">IFERROR(__xludf.DUMMYFUNCTION("""COMPUTED_VALUE"""),2)</f>
        <v>2</v>
      </c>
      <c r="L637" s="203">
        <f ca="1">IFERROR(__xludf.DUMMYFUNCTION("""COMPUTED_VALUE"""),2888.18)</f>
        <v>2888.18</v>
      </c>
      <c r="M637" s="33" t="str">
        <f ca="1">IFERROR(__xludf.DUMMYFUNCTION("""COMPUTED_VALUE"""),"03 ORL")</f>
        <v>03 ORL</v>
      </c>
      <c r="N637" s="33" t="str">
        <f ca="1">IFERROR(__xludf.DUMMYFUNCTION("""COMPUTED_VALUE"""),"06 ORL")</f>
        <v>06 ORL</v>
      </c>
      <c r="O637" s="33" t="str">
        <f ca="1">IFERROR(__xludf.DUMMYFUNCTION("""COMPUTED_VALUE"""),"Dra, María Garrote Garrote")</f>
        <v>Dra, María Garrote Garrote</v>
      </c>
      <c r="P637" s="33" t="str">
        <f ca="1">IFERROR(__xludf.DUMMYFUNCTION("""COMPUTED_VALUE"""),"Maika Blázquez (Madrid)")</f>
        <v>Maika Blázquez (Madrid)</v>
      </c>
    </row>
    <row r="638" spans="2:16">
      <c r="B638" s="33">
        <f ca="1">IFERROR(__xludf.DUMMYFUNCTION("""COMPUTED_VALUE"""),2025)</f>
        <v>2025</v>
      </c>
      <c r="C638" s="33">
        <f ca="1">IFERROR(__xludf.DUMMYFUNCTION("""COMPUTED_VALUE"""),5)</f>
        <v>5</v>
      </c>
      <c r="D638" s="33" t="str">
        <f ca="1">IFERROR(__xludf.DUMMYFUNCTION("""COMPUTED_VALUE"""),"NO")</f>
        <v>NO</v>
      </c>
      <c r="E638" s="33" t="str">
        <f ca="1">IFERROR(__xludf.DUMMYFUNCTION("""COMPUTED_VALUE"""),"Getafe")</f>
        <v>Getafe</v>
      </c>
      <c r="F638" s="57">
        <f ca="1">IFERROR(__xludf.DUMMYFUNCTION("""COMPUTED_VALUE"""),45805)</f>
        <v>45805</v>
      </c>
      <c r="G638" s="57">
        <f ca="1">IFERROR(__xludf.DUMMYFUNCTION("""COMPUTED_VALUE"""),45755)</f>
        <v>45755</v>
      </c>
      <c r="H638" s="33" t="str">
        <f ca="1">IFERROR(__xludf.DUMMYFUNCTION("""COMPUTED_VALUE"""),"Getafe")</f>
        <v>Getafe</v>
      </c>
      <c r="I638" s="33" t="str">
        <f ca="1">IFERROR(__xludf.DUMMYFUNCTION("""COMPUTED_VALUE"""),"C2025429173418611")</f>
        <v>C2025429173418611</v>
      </c>
      <c r="J638" s="33" t="str">
        <f ca="1">IFERROR(__xludf.DUMMYFUNCTION("""COMPUTED_VALUE"""),"MARIA INMACULADA  GALLARDO GINES")</f>
        <v>MARIA INMACULADA  GALLARDO GINES</v>
      </c>
      <c r="K638" s="33">
        <f ca="1">IFERROR(__xludf.DUMMYFUNCTION("""COMPUTED_VALUE"""),2)</f>
        <v>2</v>
      </c>
      <c r="L638" s="203">
        <f ca="1">IFERROR(__xludf.DUMMYFUNCTION("""COMPUTED_VALUE"""),3710)</f>
        <v>3710</v>
      </c>
      <c r="M638" s="33" t="str">
        <f ca="1">IFERROR(__xludf.DUMMYFUNCTION("""COMPUTED_VALUE"""),"03 ORL")</f>
        <v>03 ORL</v>
      </c>
      <c r="N638" s="33" t="str">
        <f ca="1">IFERROR(__xludf.DUMMYFUNCTION("""COMPUTED_VALUE"""),"06 ORL")</f>
        <v>06 ORL</v>
      </c>
      <c r="O638" s="33" t="str">
        <f ca="1">IFERROR(__xludf.DUMMYFUNCTION("""COMPUTED_VALUE"""),"Dra, María Garrote Garrote")</f>
        <v>Dra, María Garrote Garrote</v>
      </c>
      <c r="P638" s="33" t="str">
        <f ca="1">IFERROR(__xludf.DUMMYFUNCTION("""COMPUTED_VALUE"""),"Maika Blázquez (Madrid)")</f>
        <v>Maika Blázquez (Madrid)</v>
      </c>
    </row>
    <row r="639" spans="2:16">
      <c r="B639" s="33">
        <f ca="1">IFERROR(__xludf.DUMMYFUNCTION("""COMPUTED_VALUE"""),2025)</f>
        <v>2025</v>
      </c>
      <c r="C639" s="33">
        <f ca="1">IFERROR(__xludf.DUMMYFUNCTION("""COMPUTED_VALUE"""),5)</f>
        <v>5</v>
      </c>
      <c r="D639" s="33" t="str">
        <f ca="1">IFERROR(__xludf.DUMMYFUNCTION("""COMPUTED_VALUE"""),"NO")</f>
        <v>NO</v>
      </c>
      <c r="E639" s="33" t="str">
        <f ca="1">IFERROR(__xludf.DUMMYFUNCTION("""COMPUTED_VALUE"""),"Getafe")</f>
        <v>Getafe</v>
      </c>
      <c r="F639" s="57">
        <f ca="1">IFERROR(__xludf.DUMMYFUNCTION("""COMPUTED_VALUE"""),45805)</f>
        <v>45805</v>
      </c>
      <c r="G639" s="57">
        <f ca="1">IFERROR(__xludf.DUMMYFUNCTION("""COMPUTED_VALUE"""),45748)</f>
        <v>45748</v>
      </c>
      <c r="H639" s="33" t="str">
        <f ca="1">IFERROR(__xludf.DUMMYFUNCTION("""COMPUTED_VALUE"""),"Getafe")</f>
        <v>Getafe</v>
      </c>
      <c r="I639" s="33" t="str">
        <f ca="1">IFERROR(__xludf.DUMMYFUNCTION("""COMPUTED_VALUE"""),"C20254111366973")</f>
        <v>C20254111366973</v>
      </c>
      <c r="J639" s="33" t="str">
        <f ca="1">IFERROR(__xludf.DUMMYFUNCTION("""COMPUTED_VALUE"""),"ORENCIO HERNANDEZ GALINDO")</f>
        <v>ORENCIO HERNANDEZ GALINDO</v>
      </c>
      <c r="K639" s="33">
        <f ca="1">IFERROR(__xludf.DUMMYFUNCTION("""COMPUTED_VALUE"""),2)</f>
        <v>2</v>
      </c>
      <c r="L639" s="203">
        <f ca="1">IFERROR(__xludf.DUMMYFUNCTION("""COMPUTED_VALUE"""),4000)</f>
        <v>4000</v>
      </c>
      <c r="M639" s="33" t="str">
        <f ca="1">IFERROR(__xludf.DUMMYFUNCTION("""COMPUTED_VALUE"""),"03 ORL")</f>
        <v>03 ORL</v>
      </c>
      <c r="N639" s="33" t="str">
        <f ca="1">IFERROR(__xludf.DUMMYFUNCTION("""COMPUTED_VALUE"""),"06 ORL")</f>
        <v>06 ORL</v>
      </c>
      <c r="O639" s="33" t="str">
        <f ca="1">IFERROR(__xludf.DUMMYFUNCTION("""COMPUTED_VALUE"""),"Dr, Jonathan Esteban Sánchez")</f>
        <v>Dr, Jonathan Esteban Sánchez</v>
      </c>
      <c r="P639" s="33" t="str">
        <f ca="1">IFERROR(__xludf.DUMMYFUNCTION("""COMPUTED_VALUE"""),"Maika Blázquez (Madrid)")</f>
        <v>Maika Blázquez (Madrid)</v>
      </c>
    </row>
    <row r="640" spans="2:16">
      <c r="B640" s="33">
        <f ca="1">IFERROR(__xludf.DUMMYFUNCTION("""COMPUTED_VALUE"""),2025)</f>
        <v>2025</v>
      </c>
      <c r="C640" s="33">
        <f ca="1">IFERROR(__xludf.DUMMYFUNCTION("""COMPUTED_VALUE"""),5)</f>
        <v>5</v>
      </c>
      <c r="D640" s="33" t="str">
        <f ca="1">IFERROR(__xludf.DUMMYFUNCTION("""COMPUTED_VALUE"""),"NO")</f>
        <v>NO</v>
      </c>
      <c r="E640" s="33" t="str">
        <f ca="1">IFERROR(__xludf.DUMMYFUNCTION("""COMPUTED_VALUE"""),"Girona")</f>
        <v>Girona</v>
      </c>
      <c r="F640" s="57">
        <f ca="1">IFERROR(__xludf.DUMMYFUNCTION("""COMPUTED_VALUE"""),45798)</f>
        <v>45798</v>
      </c>
      <c r="G640" s="57">
        <f ca="1">IFERROR(__xludf.DUMMYFUNCTION("""COMPUTED_VALUE"""),45393)</f>
        <v>45393</v>
      </c>
      <c r="H640" s="33" t="str">
        <f ca="1">IFERROR(__xludf.DUMMYFUNCTION("""COMPUTED_VALUE"""),"Girona")</f>
        <v>Girona</v>
      </c>
      <c r="I640" s="33" t="str">
        <f ca="1">IFERROR(__xludf.DUMMYFUNCTION("""COMPUTED_VALUE"""),"GER-92")</f>
        <v>GER-92</v>
      </c>
      <c r="J640" s="33" t="str">
        <f ca="1">IFERROR(__xludf.DUMMYFUNCTION("""COMPUTED_VALUE"""),"IBRAHIMA BALEDEH")</f>
        <v>IBRAHIMA BALEDEH</v>
      </c>
      <c r="K640" s="33">
        <f ca="1">IFERROR(__xludf.DUMMYFUNCTION("""COMPUTED_VALUE"""),-2)</f>
        <v>-2</v>
      </c>
      <c r="L640" s="203">
        <f ca="1">IFERROR(__xludf.DUMMYFUNCTION("""COMPUTED_VALUE"""),-2576.92)</f>
        <v>-2576.92</v>
      </c>
      <c r="M640" s="33" t="str">
        <f ca="1">IFERROR(__xludf.DUMMYFUNCTION("""COMPUTED_VALUE"""),"03 ORL")</f>
        <v>03 ORL</v>
      </c>
      <c r="N640" s="33" t="str">
        <f ca="1">IFERROR(__xludf.DUMMYFUNCTION("""COMPUTED_VALUE"""),"06 ORL")</f>
        <v>06 ORL</v>
      </c>
      <c r="O640" s="33" t="str">
        <f ca="1">IFERROR(__xludf.DUMMYFUNCTION("""COMPUTED_VALUE"""),"Dr, Enric Ferran Benstrom")</f>
        <v>Dr, Enric Ferran Benstrom</v>
      </c>
      <c r="P640" s="33" t="str">
        <f ca="1">IFERROR(__xludf.DUMMYFUNCTION("""COMPUTED_VALUE"""),"Mercè Cabrera (Cataluña Y Baleares)")</f>
        <v>Mercè Cabrera (Cataluña Y Baleares)</v>
      </c>
    </row>
    <row r="641" spans="2:16">
      <c r="B641" s="33">
        <f ca="1">IFERROR(__xludf.DUMMYFUNCTION("""COMPUTED_VALUE"""),2025)</f>
        <v>2025</v>
      </c>
      <c r="C641" s="33">
        <f ca="1">IFERROR(__xludf.DUMMYFUNCTION("""COMPUTED_VALUE"""),5)</f>
        <v>5</v>
      </c>
      <c r="D641" s="33" t="str">
        <f ca="1">IFERROR(__xludf.DUMMYFUNCTION("""COMPUTED_VALUE"""),"NO")</f>
        <v>NO</v>
      </c>
      <c r="E641" s="33" t="str">
        <f ca="1">IFERROR(__xludf.DUMMYFUNCTION("""COMPUTED_VALUE"""),"Jerez de la Frontera")</f>
        <v>Jerez de la Frontera</v>
      </c>
      <c r="F641" s="57">
        <f ca="1">IFERROR(__xludf.DUMMYFUNCTION("""COMPUTED_VALUE"""),45785)</f>
        <v>45785</v>
      </c>
      <c r="G641" s="57">
        <f ca="1">IFERROR(__xludf.DUMMYFUNCTION("""COMPUTED_VALUE"""),45740)</f>
        <v>45740</v>
      </c>
      <c r="H641" s="33" t="str">
        <f ca="1">IFERROR(__xludf.DUMMYFUNCTION("""COMPUTED_VALUE"""),"Jerez")</f>
        <v>Jerez</v>
      </c>
      <c r="I641" s="33" t="str">
        <f ca="1">IFERROR(__xludf.DUMMYFUNCTION("""COMPUTED_VALUE"""),"C20253241851025")</f>
        <v>C20253241851025</v>
      </c>
      <c r="J641" s="1" t="str">
        <f ca="1">IFERROR(__xludf.DUMMYFUNCTION("""COMPUTED_VALUE"""),"FRANCISCA MATEOS MONTES DE OCA")</f>
        <v>FRANCISCA MATEOS MONTES DE OCA</v>
      </c>
      <c r="K641" s="33">
        <f ca="1">IFERROR(__xludf.DUMMYFUNCTION("""COMPUTED_VALUE"""),1)</f>
        <v>1</v>
      </c>
      <c r="L641" s="203">
        <f ca="1">IFERROR(__xludf.DUMMYFUNCTION("""COMPUTED_VALUE"""),2400)</f>
        <v>2400</v>
      </c>
      <c r="M641" s="33" t="str">
        <f ca="1">IFERROR(__xludf.DUMMYFUNCTION("""COMPUTED_VALUE"""),"03 ORL")</f>
        <v>03 ORL</v>
      </c>
      <c r="N641" s="33" t="str">
        <f ca="1">IFERROR(__xludf.DUMMYFUNCTION("""COMPUTED_VALUE"""),"06 ORL")</f>
        <v>06 ORL</v>
      </c>
      <c r="O641" s="33" t="str">
        <f ca="1">IFERROR(__xludf.DUMMYFUNCTION("""COMPUTED_VALUE"""),"Dr, Vicente Mira Escartí")</f>
        <v>Dr, Vicente Mira Escartí</v>
      </c>
      <c r="P641" s="33" t="str">
        <f ca="1">IFERROR(__xludf.DUMMYFUNCTION("""COMPUTED_VALUE"""),"Luis Alberto Rodríguez (Andalucía y Badajoz)")</f>
        <v>Luis Alberto Rodríguez (Andalucía y Badajoz)</v>
      </c>
    </row>
    <row r="642" spans="2:16">
      <c r="B642" s="33">
        <f ca="1">IFERROR(__xludf.DUMMYFUNCTION("""COMPUTED_VALUE"""),2025)</f>
        <v>2025</v>
      </c>
      <c r="C642" s="33">
        <f ca="1">IFERROR(__xludf.DUMMYFUNCTION("""COMPUTED_VALUE"""),5)</f>
        <v>5</v>
      </c>
      <c r="D642" s="33" t="str">
        <f ca="1">IFERROR(__xludf.DUMMYFUNCTION("""COMPUTED_VALUE"""),"NO")</f>
        <v>NO</v>
      </c>
      <c r="E642" s="33" t="str">
        <f ca="1">IFERROR(__xludf.DUMMYFUNCTION("""COMPUTED_VALUE"""),"Leganés")</f>
        <v>Leganés</v>
      </c>
      <c r="F642" s="57">
        <f ca="1">IFERROR(__xludf.DUMMYFUNCTION("""COMPUTED_VALUE"""),45792)</f>
        <v>45792</v>
      </c>
      <c r="G642" s="57">
        <f ca="1">IFERROR(__xludf.DUMMYFUNCTION("""COMPUTED_VALUE"""),45698)</f>
        <v>45698</v>
      </c>
      <c r="H642" s="33" t="str">
        <f ca="1">IFERROR(__xludf.DUMMYFUNCTION("""COMPUTED_VALUE"""),"Leganés")</f>
        <v>Leganés</v>
      </c>
      <c r="I642" s="33" t="str">
        <f ca="1">IFERROR(__xludf.DUMMYFUNCTION("""COMPUTED_VALUE"""),"C2025227104849928")</f>
        <v>C2025227104849928</v>
      </c>
      <c r="J642" s="33" t="str">
        <f ca="1">IFERROR(__xludf.DUMMYFUNCTION("""COMPUTED_VALUE"""),"ANTONIA MORENO RODRIGO")</f>
        <v>ANTONIA MORENO RODRIGO</v>
      </c>
      <c r="K642" s="33">
        <f ca="1">IFERROR(__xludf.DUMMYFUNCTION("""COMPUTED_VALUE"""),2)</f>
        <v>2</v>
      </c>
      <c r="L642" s="203">
        <f ca="1">IFERROR(__xludf.DUMMYFUNCTION("""COMPUTED_VALUE"""),3424.55)</f>
        <v>3424.55</v>
      </c>
      <c r="M642" s="33" t="str">
        <f ca="1">IFERROR(__xludf.DUMMYFUNCTION("""COMPUTED_VALUE"""),"03 ORL")</f>
        <v>03 ORL</v>
      </c>
      <c r="N642" s="33" t="str">
        <f ca="1">IFERROR(__xludf.DUMMYFUNCTION("""COMPUTED_VALUE"""),"06 ORL")</f>
        <v>06 ORL</v>
      </c>
      <c r="O642" s="33" t="str">
        <f ca="1">IFERROR(__xludf.DUMMYFUNCTION("""COMPUTED_VALUE"""),"Dra, Mar Lasso de la Vega Zamora")</f>
        <v>Dra, Mar Lasso de la Vega Zamora</v>
      </c>
      <c r="P642" s="33" t="str">
        <f ca="1">IFERROR(__xludf.DUMMYFUNCTION("""COMPUTED_VALUE"""),"Maika Blázquez (Madrid)")</f>
        <v>Maika Blázquez (Madrid)</v>
      </c>
    </row>
    <row r="643" spans="2:16">
      <c r="B643" s="33">
        <f ca="1">IFERROR(__xludf.DUMMYFUNCTION("""COMPUTED_VALUE"""),2025)</f>
        <v>2025</v>
      </c>
      <c r="C643" s="33">
        <f ca="1">IFERROR(__xludf.DUMMYFUNCTION("""COMPUTED_VALUE"""),5)</f>
        <v>5</v>
      </c>
      <c r="D643" s="33" t="str">
        <f ca="1">IFERROR(__xludf.DUMMYFUNCTION("""COMPUTED_VALUE"""),"NO")</f>
        <v>NO</v>
      </c>
      <c r="E643" s="33" t="str">
        <f ca="1">IFERROR(__xludf.DUMMYFUNCTION("""COMPUTED_VALUE"""),"Leganés")</f>
        <v>Leganés</v>
      </c>
      <c r="F643" s="57">
        <f ca="1">IFERROR(__xludf.DUMMYFUNCTION("""COMPUTED_VALUE"""),45804)</f>
        <v>45804</v>
      </c>
      <c r="G643" s="57">
        <f ca="1">IFERROR(__xludf.DUMMYFUNCTION("""COMPUTED_VALUE"""),45755)</f>
        <v>45755</v>
      </c>
      <c r="H643" s="33" t="str">
        <f ca="1">IFERROR(__xludf.DUMMYFUNCTION("""COMPUTED_VALUE"""),"Leganés")</f>
        <v>Leganés</v>
      </c>
      <c r="I643" s="33" t="str">
        <f ca="1">IFERROR(__xludf.DUMMYFUNCTION("""COMPUTED_VALUE"""),"C202542416422541")</f>
        <v>C202542416422541</v>
      </c>
      <c r="J643" s="33" t="str">
        <f ca="1">IFERROR(__xludf.DUMMYFUNCTION("""COMPUTED_VALUE"""),"ISIDORA ESCRIBANO MARTINEZ")</f>
        <v>ISIDORA ESCRIBANO MARTINEZ</v>
      </c>
      <c r="K643" s="33">
        <f ca="1">IFERROR(__xludf.DUMMYFUNCTION("""COMPUTED_VALUE"""),2)</f>
        <v>2</v>
      </c>
      <c r="L643" s="203">
        <f ca="1">IFERROR(__xludf.DUMMYFUNCTION("""COMPUTED_VALUE"""),3604.55)</f>
        <v>3604.55</v>
      </c>
      <c r="M643" s="33" t="str">
        <f ca="1">IFERROR(__xludf.DUMMYFUNCTION("""COMPUTED_VALUE"""),"03 ORL")</f>
        <v>03 ORL</v>
      </c>
      <c r="N643" s="33" t="str">
        <f ca="1">IFERROR(__xludf.DUMMYFUNCTION("""COMPUTED_VALUE"""),"06 ORL")</f>
        <v>06 ORL</v>
      </c>
      <c r="O643" s="33" t="str">
        <f ca="1">IFERROR(__xludf.DUMMYFUNCTION("""COMPUTED_VALUE"""),"Dra, Desirée Méndez Brenderbache")</f>
        <v>Dra, Desirée Méndez Brenderbache</v>
      </c>
      <c r="P643" s="33" t="str">
        <f ca="1">IFERROR(__xludf.DUMMYFUNCTION("""COMPUTED_VALUE"""),"Maika Blázquez (Madrid)")</f>
        <v>Maika Blázquez (Madrid)</v>
      </c>
    </row>
    <row r="644" spans="2:16">
      <c r="B644" s="33">
        <f ca="1">IFERROR(__xludf.DUMMYFUNCTION("""COMPUTED_VALUE"""),2025)</f>
        <v>2025</v>
      </c>
      <c r="C644" s="33">
        <f ca="1">IFERROR(__xludf.DUMMYFUNCTION("""COMPUTED_VALUE"""),5)</f>
        <v>5</v>
      </c>
      <c r="D644" s="33" t="str">
        <f ca="1">IFERROR(__xludf.DUMMYFUNCTION("""COMPUTED_VALUE"""),"NO")</f>
        <v>NO</v>
      </c>
      <c r="E644" s="33" t="str">
        <f ca="1">IFERROR(__xludf.DUMMYFUNCTION("""COMPUTED_VALUE"""),"Leganés")</f>
        <v>Leganés</v>
      </c>
      <c r="F644" s="57">
        <f ca="1">IFERROR(__xludf.DUMMYFUNCTION("""COMPUTED_VALUE"""),45806)</f>
        <v>45806</v>
      </c>
      <c r="G644" s="57">
        <f ca="1">IFERROR(__xludf.DUMMYFUNCTION("""COMPUTED_VALUE"""),45728)</f>
        <v>45728</v>
      </c>
      <c r="H644" s="33" t="str">
        <f ca="1">IFERROR(__xludf.DUMMYFUNCTION("""COMPUTED_VALUE"""),"Leganés")</f>
        <v>Leganés</v>
      </c>
      <c r="I644" s="33" t="str">
        <f ca="1">IFERROR(__xludf.DUMMYFUNCTION("""COMPUTED_VALUE"""),"C20254217223331")</f>
        <v>C20254217223331</v>
      </c>
      <c r="J644" s="33" t="str">
        <f ca="1">IFERROR(__xludf.DUMMYFUNCTION("""COMPUTED_VALUE"""),"MATEA NIEVA VALIENTE")</f>
        <v>MATEA NIEVA VALIENTE</v>
      </c>
      <c r="K644" s="33">
        <f ca="1">IFERROR(__xludf.DUMMYFUNCTION("""COMPUTED_VALUE"""),2)</f>
        <v>2</v>
      </c>
      <c r="L644" s="203">
        <f ca="1">IFERROR(__xludf.DUMMYFUNCTION("""COMPUTED_VALUE"""),2722.73)</f>
        <v>2722.73</v>
      </c>
      <c r="M644" s="33" t="str">
        <f ca="1">IFERROR(__xludf.DUMMYFUNCTION("""COMPUTED_VALUE"""),"03 ORL")</f>
        <v>03 ORL</v>
      </c>
      <c r="N644" s="33" t="str">
        <f ca="1">IFERROR(__xludf.DUMMYFUNCTION("""COMPUTED_VALUE"""),"06 ORL")</f>
        <v>06 ORL</v>
      </c>
      <c r="O644" s="33" t="str">
        <f ca="1">IFERROR(__xludf.DUMMYFUNCTION("""COMPUTED_VALUE"""),"Dr, Julio López Moya")</f>
        <v>Dr, Julio López Moya</v>
      </c>
      <c r="P644" s="33" t="str">
        <f ca="1">IFERROR(__xludf.DUMMYFUNCTION("""COMPUTED_VALUE"""),"Maika Blázquez (Madrid)")</f>
        <v>Maika Blázquez (Madrid)</v>
      </c>
    </row>
    <row r="645" spans="2:16">
      <c r="B645" s="33">
        <f ca="1">IFERROR(__xludf.DUMMYFUNCTION("""COMPUTED_VALUE"""),2025)</f>
        <v>2025</v>
      </c>
      <c r="C645" s="33">
        <f ca="1">IFERROR(__xludf.DUMMYFUNCTION("""COMPUTED_VALUE"""),5)</f>
        <v>5</v>
      </c>
      <c r="D645" s="33" t="str">
        <f ca="1">IFERROR(__xludf.DUMMYFUNCTION("""COMPUTED_VALUE"""),"NO")</f>
        <v>NO</v>
      </c>
      <c r="E645" s="33" t="str">
        <f ca="1">IFERROR(__xludf.DUMMYFUNCTION("""COMPUTED_VALUE"""),"Leganés")</f>
        <v>Leganés</v>
      </c>
      <c r="F645" s="57">
        <f ca="1">IFERROR(__xludf.DUMMYFUNCTION("""COMPUTED_VALUE"""),45784)</f>
        <v>45784</v>
      </c>
      <c r="G645" s="57">
        <f ca="1">IFERROR(__xludf.DUMMYFUNCTION("""COMPUTED_VALUE"""),45751)</f>
        <v>45751</v>
      </c>
      <c r="H645" s="33" t="str">
        <f ca="1">IFERROR(__xludf.DUMMYFUNCTION("""COMPUTED_VALUE"""),"Leganés")</f>
        <v>Leganés</v>
      </c>
      <c r="I645" s="33" t="str">
        <f ca="1">IFERROR(__xludf.DUMMYFUNCTION("""COMPUTED_VALUE"""),"C202541111010838")</f>
        <v>C202541111010838</v>
      </c>
      <c r="J645" s="33" t="str">
        <f ca="1">IFERROR(__xludf.DUMMYFUNCTION("""COMPUTED_VALUE"""),"RAFAEL MADERO ESCUDERO")</f>
        <v>RAFAEL MADERO ESCUDERO</v>
      </c>
      <c r="K645" s="33">
        <f ca="1">IFERROR(__xludf.DUMMYFUNCTION("""COMPUTED_VALUE"""),2)</f>
        <v>2</v>
      </c>
      <c r="L645" s="203">
        <f ca="1">IFERROR(__xludf.DUMMYFUNCTION("""COMPUTED_VALUE"""),2722.73)</f>
        <v>2722.73</v>
      </c>
      <c r="M645" s="33" t="str">
        <f ca="1">IFERROR(__xludf.DUMMYFUNCTION("""COMPUTED_VALUE"""),"03 ORL")</f>
        <v>03 ORL</v>
      </c>
      <c r="N645" s="33" t="str">
        <f ca="1">IFERROR(__xludf.DUMMYFUNCTION("""COMPUTED_VALUE"""),"06 ORL")</f>
        <v>06 ORL</v>
      </c>
      <c r="O645" s="33" t="str">
        <f ca="1">IFERROR(__xludf.DUMMYFUNCTION("""COMPUTED_VALUE"""),"Dr, Jesús Ramos Fernández")</f>
        <v>Dr, Jesús Ramos Fernández</v>
      </c>
      <c r="P645" s="33" t="str">
        <f ca="1">IFERROR(__xludf.DUMMYFUNCTION("""COMPUTED_VALUE"""),"Maika Blázquez (Madrid)")</f>
        <v>Maika Blázquez (Madrid)</v>
      </c>
    </row>
    <row r="646" spans="2:16">
      <c r="B646" s="33">
        <f ca="1">IFERROR(__xludf.DUMMYFUNCTION("""COMPUTED_VALUE"""),2025)</f>
        <v>2025</v>
      </c>
      <c r="C646" s="33">
        <f ca="1">IFERROR(__xludf.DUMMYFUNCTION("""COMPUTED_VALUE"""),5)</f>
        <v>5</v>
      </c>
      <c r="D646" s="33" t="str">
        <f ca="1">IFERROR(__xludf.DUMMYFUNCTION("""COMPUTED_VALUE"""),"NO")</f>
        <v>NO</v>
      </c>
      <c r="E646" s="33" t="str">
        <f ca="1">IFERROR(__xludf.DUMMYFUNCTION("""COMPUTED_VALUE"""),"Leganés")</f>
        <v>Leganés</v>
      </c>
      <c r="F646" s="57">
        <f ca="1">IFERROR(__xludf.DUMMYFUNCTION("""COMPUTED_VALUE"""),45800)</f>
        <v>45800</v>
      </c>
      <c r="G646" s="57">
        <f ca="1">IFERROR(__xludf.DUMMYFUNCTION("""COMPUTED_VALUE"""),45748)</f>
        <v>45748</v>
      </c>
      <c r="H646" s="33" t="str">
        <f ca="1">IFERROR(__xludf.DUMMYFUNCTION("""COMPUTED_VALUE"""),"Leganés")</f>
        <v>Leganés</v>
      </c>
      <c r="I646" s="33" t="str">
        <f ca="1">IFERROR(__xludf.DUMMYFUNCTION("""COMPUTED_VALUE"""),"C202544111746204")</f>
        <v>C202544111746204</v>
      </c>
      <c r="J646" s="33" t="str">
        <f ca="1">IFERROR(__xludf.DUMMYFUNCTION("""COMPUTED_VALUE"""),"VISITACION  SANCHEZ VALLADARES PEDRAZA")</f>
        <v>VISITACION  SANCHEZ VALLADARES PEDRAZA</v>
      </c>
      <c r="K646" s="33">
        <f ca="1">IFERROR(__xludf.DUMMYFUNCTION("""COMPUTED_VALUE"""),2)</f>
        <v>2</v>
      </c>
      <c r="L646" s="203">
        <f ca="1">IFERROR(__xludf.DUMMYFUNCTION("""COMPUTED_VALUE"""),2722.73)</f>
        <v>2722.73</v>
      </c>
      <c r="M646" s="33" t="str">
        <f ca="1">IFERROR(__xludf.DUMMYFUNCTION("""COMPUTED_VALUE"""),"03 ORL")</f>
        <v>03 ORL</v>
      </c>
      <c r="N646" s="33" t="str">
        <f ca="1">IFERROR(__xludf.DUMMYFUNCTION("""COMPUTED_VALUE"""),"06 ORL")</f>
        <v>06 ORL</v>
      </c>
      <c r="O646" s="33" t="str">
        <f ca="1">IFERROR(__xludf.DUMMYFUNCTION("""COMPUTED_VALUE"""),"Dra, Desirée Méndez Brenderbache")</f>
        <v>Dra, Desirée Méndez Brenderbache</v>
      </c>
      <c r="P646" s="33" t="str">
        <f ca="1">IFERROR(__xludf.DUMMYFUNCTION("""COMPUTED_VALUE"""),"Maika Blázquez (Madrid)")</f>
        <v>Maika Blázquez (Madrid)</v>
      </c>
    </row>
    <row r="647" spans="2:16">
      <c r="B647" s="33">
        <f ca="1">IFERROR(__xludf.DUMMYFUNCTION("""COMPUTED_VALUE"""),2025)</f>
        <v>2025</v>
      </c>
      <c r="C647" s="33">
        <f ca="1">IFERROR(__xludf.DUMMYFUNCTION("""COMPUTED_VALUE"""),5)</f>
        <v>5</v>
      </c>
      <c r="D647" s="33" t="str">
        <f ca="1">IFERROR(__xludf.DUMMYFUNCTION("""COMPUTED_VALUE"""),"NO")</f>
        <v>NO</v>
      </c>
      <c r="E647" s="33" t="str">
        <f ca="1">IFERROR(__xludf.DUMMYFUNCTION("""COMPUTED_VALUE"""),"Logroño")</f>
        <v>Logroño</v>
      </c>
      <c r="F647" s="57">
        <f ca="1">IFERROR(__xludf.DUMMYFUNCTION("""COMPUTED_VALUE"""),45798)</f>
        <v>45798</v>
      </c>
      <c r="G647" s="57">
        <f ca="1">IFERROR(__xludf.DUMMYFUNCTION("""COMPUTED_VALUE"""),45756)</f>
        <v>45756</v>
      </c>
      <c r="H647" s="33" t="str">
        <f ca="1">IFERROR(__xludf.DUMMYFUNCTION("""COMPUTED_VALUE"""),"Logroño")</f>
        <v>Logroño</v>
      </c>
      <c r="I647" s="33" t="str">
        <f ca="1">IFERROR(__xludf.DUMMYFUNCTION("""COMPUTED_VALUE"""),"C202541411934790")</f>
        <v>C202541411934790</v>
      </c>
      <c r="J647" s="33" t="str">
        <f ca="1">IFERROR(__xludf.DUMMYFUNCTION("""COMPUTED_VALUE"""),"FEDERICO ESCUSOL PUIGGENE")</f>
        <v>FEDERICO ESCUSOL PUIGGENE</v>
      </c>
      <c r="K647" s="33">
        <f ca="1">IFERROR(__xludf.DUMMYFUNCTION("""COMPUTED_VALUE"""),2)</f>
        <v>2</v>
      </c>
      <c r="L647" s="203">
        <f ca="1">IFERROR(__xludf.DUMMYFUNCTION("""COMPUTED_VALUE"""),2888.18)</f>
        <v>2888.18</v>
      </c>
      <c r="M647" s="33" t="str">
        <f ca="1">IFERROR(__xludf.DUMMYFUNCTION("""COMPUTED_VALUE"""),"03 ORL")</f>
        <v>03 ORL</v>
      </c>
      <c r="N647" s="33" t="str">
        <f ca="1">IFERROR(__xludf.DUMMYFUNCTION("""COMPUTED_VALUE"""),"06 ORL")</f>
        <v>06 ORL</v>
      </c>
      <c r="O647" s="33" t="str">
        <f ca="1">IFERROR(__xludf.DUMMYFUNCTION("""COMPUTED_VALUE"""),"Dr, Daniel Briones Crespo")</f>
        <v>Dr, Daniel Briones Crespo</v>
      </c>
      <c r="P647" s="33" t="str">
        <f ca="1">IFERROR(__xludf.DUMMYFUNCTION("""COMPUTED_VALUE"""),"Lisandro Russian (Madrid, Cáceres, Toledo, Talavera Y Logroño)")</f>
        <v>Lisandro Russian (Madrid, Cáceres, Toledo, Talavera Y Logroño)</v>
      </c>
    </row>
    <row r="648" spans="2:16">
      <c r="B648" s="33">
        <f ca="1">IFERROR(__xludf.DUMMYFUNCTION("""COMPUTED_VALUE"""),2025)</f>
        <v>2025</v>
      </c>
      <c r="C648" s="33">
        <f ca="1">IFERROR(__xludf.DUMMYFUNCTION("""COMPUTED_VALUE"""),5)</f>
        <v>5</v>
      </c>
      <c r="D648" s="33" t="str">
        <f ca="1">IFERROR(__xludf.DUMMYFUNCTION("""COMPUTED_VALUE"""),"NO")</f>
        <v>NO</v>
      </c>
      <c r="E648" s="33" t="str">
        <f ca="1">IFERROR(__xludf.DUMMYFUNCTION("""COMPUTED_VALUE"""),"Logroño")</f>
        <v>Logroño</v>
      </c>
      <c r="F648" s="57">
        <f ca="1">IFERROR(__xludf.DUMMYFUNCTION("""COMPUTED_VALUE"""),45790)</f>
        <v>45790</v>
      </c>
      <c r="G648" s="57">
        <f ca="1">IFERROR(__xludf.DUMMYFUNCTION("""COMPUTED_VALUE"""),45729)</f>
        <v>45729</v>
      </c>
      <c r="H648" s="33" t="str">
        <f ca="1">IFERROR(__xludf.DUMMYFUNCTION("""COMPUTED_VALUE"""),"Logroño")</f>
        <v>Logroño</v>
      </c>
      <c r="I648" s="33" t="str">
        <f ca="1">IFERROR(__xludf.DUMMYFUNCTION("""COMPUTED_VALUE"""),"C2025324175738963")</f>
        <v>C2025324175738963</v>
      </c>
      <c r="J648" s="33" t="str">
        <f ca="1">IFERROR(__xludf.DUMMYFUNCTION("""COMPUTED_VALUE"""),"LOURDES LARA BLANCO")</f>
        <v>LOURDES LARA BLANCO</v>
      </c>
      <c r="K648" s="33">
        <f ca="1">IFERROR(__xludf.DUMMYFUNCTION("""COMPUTED_VALUE"""),2)</f>
        <v>2</v>
      </c>
      <c r="L648" s="203">
        <f ca="1">IFERROR(__xludf.DUMMYFUNCTION("""COMPUTED_VALUE"""),4000)</f>
        <v>4000</v>
      </c>
      <c r="M648" s="33" t="str">
        <f ca="1">IFERROR(__xludf.DUMMYFUNCTION("""COMPUTED_VALUE"""),"03 ORL")</f>
        <v>03 ORL</v>
      </c>
      <c r="N648" s="33" t="str">
        <f ca="1">IFERROR(__xludf.DUMMYFUNCTION("""COMPUTED_VALUE"""),"06 ORL")</f>
        <v>06 ORL</v>
      </c>
      <c r="O648" s="33" t="str">
        <f ca="1">IFERROR(__xludf.DUMMYFUNCTION("""COMPUTED_VALUE"""),"Dr, Fernando Salazar Barcelona")</f>
        <v>Dr, Fernando Salazar Barcelona</v>
      </c>
      <c r="P648" s="33" t="str">
        <f ca="1">IFERROR(__xludf.DUMMYFUNCTION("""COMPUTED_VALUE"""),"Lisandro Russian (Madrid, Cáceres, Toledo, Talavera Y Logroño)")</f>
        <v>Lisandro Russian (Madrid, Cáceres, Toledo, Talavera Y Logroño)</v>
      </c>
    </row>
    <row r="649" spans="2:16">
      <c r="B649" s="33">
        <f ca="1">IFERROR(__xludf.DUMMYFUNCTION("""COMPUTED_VALUE"""),2025)</f>
        <v>2025</v>
      </c>
      <c r="C649" s="33">
        <f ca="1">IFERROR(__xludf.DUMMYFUNCTION("""COMPUTED_VALUE"""),5)</f>
        <v>5</v>
      </c>
      <c r="D649" s="33" t="str">
        <f ca="1">IFERROR(__xludf.DUMMYFUNCTION("""COMPUTED_VALUE"""),"NO")</f>
        <v>NO</v>
      </c>
      <c r="E649" s="33" t="str">
        <f ca="1">IFERROR(__xludf.DUMMYFUNCTION("""COMPUTED_VALUE"""),"Logroño")</f>
        <v>Logroño</v>
      </c>
      <c r="F649" s="57">
        <f ca="1">IFERROR(__xludf.DUMMYFUNCTION("""COMPUTED_VALUE"""),45804)</f>
        <v>45804</v>
      </c>
      <c r="G649" s="57">
        <f ca="1">IFERROR(__xludf.DUMMYFUNCTION("""COMPUTED_VALUE"""),45165)</f>
        <v>45165</v>
      </c>
      <c r="H649" s="33" t="str">
        <f ca="1">IFERROR(__xludf.DUMMYFUNCTION("""COMPUTED_VALUE"""),"Logroño")</f>
        <v>Logroño</v>
      </c>
      <c r="I649" s="33" t="str">
        <f ca="1">IFERROR(__xludf.DUMMYFUNCTION("""COMPUTED_VALUE"""),"LOG-1169")</f>
        <v>LOG-1169</v>
      </c>
      <c r="J649" s="33" t="str">
        <f ca="1">IFERROR(__xludf.DUMMYFUNCTION("""COMPUTED_VALUE"""),"MARIA PILAR NANCLARES PEREZ")</f>
        <v>MARIA PILAR NANCLARES PEREZ</v>
      </c>
      <c r="K649" s="33">
        <f ca="1">IFERROR(__xludf.DUMMYFUNCTION("""COMPUTED_VALUE"""),2)</f>
        <v>2</v>
      </c>
      <c r="L649" s="203">
        <f ca="1">IFERROR(__xludf.DUMMYFUNCTION("""COMPUTED_VALUE"""),3710)</f>
        <v>3710</v>
      </c>
      <c r="M649" s="33" t="str">
        <f ca="1">IFERROR(__xludf.DUMMYFUNCTION("""COMPUTED_VALUE"""),"03 ORL")</f>
        <v>03 ORL</v>
      </c>
      <c r="N649" s="33" t="str">
        <f ca="1">IFERROR(__xludf.DUMMYFUNCTION("""COMPUTED_VALUE"""),"06 ORL")</f>
        <v>06 ORL</v>
      </c>
      <c r="O649" s="33" t="str">
        <f ca="1">IFERROR(__xludf.DUMMYFUNCTION("""COMPUTED_VALUE"""),"Dr, Fernando Salazar Barcelona")</f>
        <v>Dr, Fernando Salazar Barcelona</v>
      </c>
      <c r="P649" s="33" t="str">
        <f ca="1">IFERROR(__xludf.DUMMYFUNCTION("""COMPUTED_VALUE"""),"Lisandro Russian (Madrid, Cáceres, Toledo, Talavera Y Logroño)")</f>
        <v>Lisandro Russian (Madrid, Cáceres, Toledo, Talavera Y Logroño)</v>
      </c>
    </row>
    <row r="650" spans="2:16">
      <c r="B650" s="33">
        <f ca="1">IFERROR(__xludf.DUMMYFUNCTION("""COMPUTED_VALUE"""),2025)</f>
        <v>2025</v>
      </c>
      <c r="C650" s="33">
        <f ca="1">IFERROR(__xludf.DUMMYFUNCTION("""COMPUTED_VALUE"""),5)</f>
        <v>5</v>
      </c>
      <c r="D650" s="33" t="str">
        <f ca="1">IFERROR(__xludf.DUMMYFUNCTION("""COMPUTED_VALUE"""),"NO")</f>
        <v>NO</v>
      </c>
      <c r="E650" s="33" t="str">
        <f ca="1">IFERROR(__xludf.DUMMYFUNCTION("""COMPUTED_VALUE"""),"Logroño")</f>
        <v>Logroño</v>
      </c>
      <c r="F650" s="57">
        <f ca="1">IFERROR(__xludf.DUMMYFUNCTION("""COMPUTED_VALUE"""),45806)</f>
        <v>45806</v>
      </c>
      <c r="G650" s="57">
        <f ca="1">IFERROR(__xludf.DUMMYFUNCTION("""COMPUTED_VALUE"""),45755)</f>
        <v>45755</v>
      </c>
      <c r="H650" s="33" t="str">
        <f ca="1">IFERROR(__xludf.DUMMYFUNCTION("""COMPUTED_VALUE"""),"Logroño")</f>
        <v>Logroño</v>
      </c>
      <c r="I650" s="33" t="str">
        <f ca="1">IFERROR(__xludf.DUMMYFUNCTION("""COMPUTED_VALUE"""),"C2025415171827123")</f>
        <v>C2025415171827123</v>
      </c>
      <c r="J650" s="33" t="str">
        <f ca="1">IFERROR(__xludf.DUMMYFUNCTION("""COMPUTED_VALUE"""),"PETRA VILLASCORNA PASCUAL")</f>
        <v>PETRA VILLASCORNA PASCUAL</v>
      </c>
      <c r="K650" s="33">
        <f ca="1">IFERROR(__xludf.DUMMYFUNCTION("""COMPUTED_VALUE"""),1)</f>
        <v>1</v>
      </c>
      <c r="L650" s="203">
        <f ca="1">IFERROR(__xludf.DUMMYFUNCTION("""COMPUTED_VALUE"""),1936.36)</f>
        <v>1936.36</v>
      </c>
      <c r="M650" s="33" t="str">
        <f ca="1">IFERROR(__xludf.DUMMYFUNCTION("""COMPUTED_VALUE"""),"03 ORL")</f>
        <v>03 ORL</v>
      </c>
      <c r="N650" s="33" t="str">
        <f ca="1">IFERROR(__xludf.DUMMYFUNCTION("""COMPUTED_VALUE"""),"06 ORL")</f>
        <v>06 ORL</v>
      </c>
      <c r="O650" s="33" t="str">
        <f ca="1">IFERROR(__xludf.DUMMYFUNCTION("""COMPUTED_VALUE"""),"Dr, Garikoitz Calzada Uriondo")</f>
        <v>Dr, Garikoitz Calzada Uriondo</v>
      </c>
      <c r="P650" s="33" t="str">
        <f ca="1">IFERROR(__xludf.DUMMYFUNCTION("""COMPUTED_VALUE"""),"Lisandro Russian (Madrid, Cáceres, Toledo, Talavera Y Logroño)")</f>
        <v>Lisandro Russian (Madrid, Cáceres, Toledo, Talavera Y Logroño)</v>
      </c>
    </row>
    <row r="651" spans="2:16">
      <c r="B651" s="33">
        <f ca="1">IFERROR(__xludf.DUMMYFUNCTION("""COMPUTED_VALUE"""),2025)</f>
        <v>2025</v>
      </c>
      <c r="C651" s="33">
        <f ca="1">IFERROR(__xludf.DUMMYFUNCTION("""COMPUTED_VALUE"""),5)</f>
        <v>5</v>
      </c>
      <c r="D651" s="33" t="str">
        <f ca="1">IFERROR(__xludf.DUMMYFUNCTION("""COMPUTED_VALUE"""),"NO")</f>
        <v>NO</v>
      </c>
      <c r="E651" s="33" t="str">
        <f ca="1">IFERROR(__xludf.DUMMYFUNCTION("""COMPUTED_VALUE"""),"Lugo")</f>
        <v>Lugo</v>
      </c>
      <c r="F651" s="57">
        <f ca="1">IFERROR(__xludf.DUMMYFUNCTION("""COMPUTED_VALUE"""),45803)</f>
        <v>45803</v>
      </c>
      <c r="G651" s="57">
        <f ca="1">IFERROR(__xludf.DUMMYFUNCTION("""COMPUTED_VALUE"""),45762)</f>
        <v>45762</v>
      </c>
      <c r="H651" s="33" t="str">
        <f ca="1">IFERROR(__xludf.DUMMYFUNCTION("""COMPUTED_VALUE"""),"Lugo")</f>
        <v>Lugo</v>
      </c>
      <c r="I651" s="33" t="str">
        <f ca="1">IFERROR(__xludf.DUMMYFUNCTION("""COMPUTED_VALUE"""),"C202542895155415")</f>
        <v>C202542895155415</v>
      </c>
      <c r="J651" s="33" t="str">
        <f ca="1">IFERROR(__xludf.DUMMYFUNCTION("""COMPUTED_VALUE"""),"MARIA LUISA SOBRADO GAY")</f>
        <v>MARIA LUISA SOBRADO GAY</v>
      </c>
      <c r="K651" s="33">
        <f ca="1">IFERROR(__xludf.DUMMYFUNCTION("""COMPUTED_VALUE"""),2)</f>
        <v>2</v>
      </c>
      <c r="L651" s="203">
        <f ca="1">IFERROR(__xludf.DUMMYFUNCTION("""COMPUTED_VALUE"""),3818.18)</f>
        <v>3818.18</v>
      </c>
      <c r="M651" s="33" t="str">
        <f ca="1">IFERROR(__xludf.DUMMYFUNCTION("""COMPUTED_VALUE"""),"03 ORL")</f>
        <v>03 ORL</v>
      </c>
      <c r="N651" s="33" t="str">
        <f ca="1">IFERROR(__xludf.DUMMYFUNCTION("""COMPUTED_VALUE"""),"06 ORL")</f>
        <v>06 ORL</v>
      </c>
      <c r="O651" s="33" t="str">
        <f ca="1">IFERROR(__xludf.DUMMYFUNCTION("""COMPUTED_VALUE"""),"Dr, Pedro Juiz López")</f>
        <v>Dr, Pedro Juiz López</v>
      </c>
      <c r="P651" s="33" t="str">
        <f ca="1">IFERROR(__xludf.DUMMYFUNCTION("""COMPUTED_VALUE"""),"Roberto Pereira (Galicia)")</f>
        <v>Roberto Pereira (Galicia)</v>
      </c>
    </row>
    <row r="652" spans="2:16">
      <c r="B652" s="33">
        <f ca="1">IFERROR(__xludf.DUMMYFUNCTION("""COMPUTED_VALUE"""),2025)</f>
        <v>2025</v>
      </c>
      <c r="C652" s="33">
        <f ca="1">IFERROR(__xludf.DUMMYFUNCTION("""COMPUTED_VALUE"""),5)</f>
        <v>5</v>
      </c>
      <c r="D652" s="33" t="str">
        <f ca="1">IFERROR(__xludf.DUMMYFUNCTION("""COMPUTED_VALUE"""),"NO")</f>
        <v>NO</v>
      </c>
      <c r="E652" s="33" t="str">
        <f ca="1">IFERROR(__xludf.DUMMYFUNCTION("""COMPUTED_VALUE"""),"Madrid- Canillas")</f>
        <v>Madrid- Canillas</v>
      </c>
      <c r="F652" s="57">
        <f ca="1">IFERROR(__xludf.DUMMYFUNCTION("""COMPUTED_VALUE"""),45791)</f>
        <v>45791</v>
      </c>
      <c r="G652" s="57">
        <f ca="1">IFERROR(__xludf.DUMMYFUNCTION("""COMPUTED_VALUE"""),45783)</f>
        <v>45783</v>
      </c>
      <c r="H652" s="33" t="str">
        <f ca="1">IFERROR(__xludf.DUMMYFUNCTION("""COMPUTED_VALUE"""),"Canillas")</f>
        <v>Canillas</v>
      </c>
      <c r="I652" s="33" t="str">
        <f ca="1">IFERROR(__xludf.DUMMYFUNCTION("""COMPUTED_VALUE"""),"C20255810946643")</f>
        <v>C20255810946643</v>
      </c>
      <c r="J652" s="33" t="str">
        <f ca="1">IFERROR(__xludf.DUMMYFUNCTION("""COMPUTED_VALUE"""),"EMILIANA NIETO HORNERO")</f>
        <v>EMILIANA NIETO HORNERO</v>
      </c>
      <c r="K652" s="33">
        <f ca="1">IFERROR(__xludf.DUMMYFUNCTION("""COMPUTED_VALUE"""),1)</f>
        <v>1</v>
      </c>
      <c r="L652" s="203">
        <f ca="1">IFERROR(__xludf.DUMMYFUNCTION("""COMPUTED_VALUE"""),2400)</f>
        <v>2400</v>
      </c>
      <c r="M652" s="33" t="str">
        <f ca="1">IFERROR(__xludf.DUMMYFUNCTION("""COMPUTED_VALUE"""),"03 ORL")</f>
        <v>03 ORL</v>
      </c>
      <c r="N652" s="33" t="str">
        <f ca="1">IFERROR(__xludf.DUMMYFUNCTION("""COMPUTED_VALUE"""),"06 ORL")</f>
        <v>06 ORL</v>
      </c>
      <c r="O652" s="33" t="str">
        <f ca="1">IFERROR(__xludf.DUMMYFUNCTION("""COMPUTED_VALUE"""),"Dra, Laura Yeguas Ramírez")</f>
        <v>Dra, Laura Yeguas Ramírez</v>
      </c>
      <c r="P652" s="33" t="str">
        <f ca="1">IFERROR(__xludf.DUMMYFUNCTION("""COMPUTED_VALUE"""),"Maika Blázquez (Madrid)")</f>
        <v>Maika Blázquez (Madrid)</v>
      </c>
    </row>
    <row r="653" spans="2:16">
      <c r="B653" s="33">
        <f ca="1">IFERROR(__xludf.DUMMYFUNCTION("""COMPUTED_VALUE"""),2025)</f>
        <v>2025</v>
      </c>
      <c r="C653" s="33">
        <f ca="1">IFERROR(__xludf.DUMMYFUNCTION("""COMPUTED_VALUE"""),5)</f>
        <v>5</v>
      </c>
      <c r="D653" s="33" t="str">
        <f ca="1">IFERROR(__xludf.DUMMYFUNCTION("""COMPUTED_VALUE"""),"NO")</f>
        <v>NO</v>
      </c>
      <c r="E653" s="33" t="str">
        <f ca="1">IFERROR(__xludf.DUMMYFUNCTION("""COMPUTED_VALUE"""),"Madrid- Canillas")</f>
        <v>Madrid- Canillas</v>
      </c>
      <c r="F653" s="57">
        <f ca="1">IFERROR(__xludf.DUMMYFUNCTION("""COMPUTED_VALUE"""),45791)</f>
        <v>45791</v>
      </c>
      <c r="G653" s="57">
        <f ca="1">IFERROR(__xludf.DUMMYFUNCTION("""COMPUTED_VALUE"""),45783)</f>
        <v>45783</v>
      </c>
      <c r="H653" s="33" t="str">
        <f ca="1">IFERROR(__xludf.DUMMYFUNCTION("""COMPUTED_VALUE"""),"Canillas")</f>
        <v>Canillas</v>
      </c>
      <c r="I653" s="33" t="str">
        <f ca="1">IFERROR(__xludf.DUMMYFUNCTION("""COMPUTED_VALUE"""),"C202559104028128")</f>
        <v>C202559104028128</v>
      </c>
      <c r="J653" s="33" t="str">
        <f ca="1">IFERROR(__xludf.DUMMYFUNCTION("""COMPUTED_VALUE"""),"HELIODORA MUÑOZ IRIEPAR")</f>
        <v>HELIODORA MUÑOZ IRIEPAR</v>
      </c>
      <c r="K653" s="33">
        <f ca="1">IFERROR(__xludf.DUMMYFUNCTION("""COMPUTED_VALUE"""),2)</f>
        <v>2</v>
      </c>
      <c r="L653" s="203">
        <f ca="1">IFERROR(__xludf.DUMMYFUNCTION("""COMPUTED_VALUE"""),3710)</f>
        <v>3710</v>
      </c>
      <c r="M653" s="33" t="str">
        <f ca="1">IFERROR(__xludf.DUMMYFUNCTION("""COMPUTED_VALUE"""),"03 ORL")</f>
        <v>03 ORL</v>
      </c>
      <c r="N653" s="33" t="str">
        <f ca="1">IFERROR(__xludf.DUMMYFUNCTION("""COMPUTED_VALUE"""),"06 ORL")</f>
        <v>06 ORL</v>
      </c>
      <c r="O653" s="33" t="str">
        <f ca="1">IFERROR(__xludf.DUMMYFUNCTION("""COMPUTED_VALUE"""),"Dr, José Gustavo Barroso Braojos")</f>
        <v>Dr, José Gustavo Barroso Braojos</v>
      </c>
      <c r="P653" s="33" t="str">
        <f ca="1">IFERROR(__xludf.DUMMYFUNCTION("""COMPUTED_VALUE"""),"Maika Blázquez (Madrid)")</f>
        <v>Maika Blázquez (Madrid)</v>
      </c>
    </row>
    <row r="654" spans="2:16">
      <c r="B654" s="33">
        <f ca="1">IFERROR(__xludf.DUMMYFUNCTION("""COMPUTED_VALUE"""),2025)</f>
        <v>2025</v>
      </c>
      <c r="C654" s="33">
        <f ca="1">IFERROR(__xludf.DUMMYFUNCTION("""COMPUTED_VALUE"""),5)</f>
        <v>5</v>
      </c>
      <c r="D654" s="33" t="str">
        <f ca="1">IFERROR(__xludf.DUMMYFUNCTION("""COMPUTED_VALUE"""),"NO")</f>
        <v>NO</v>
      </c>
      <c r="E654" s="33" t="str">
        <f ca="1">IFERROR(__xludf.DUMMYFUNCTION("""COMPUTED_VALUE"""),"Madrid- Canillas")</f>
        <v>Madrid- Canillas</v>
      </c>
      <c r="F654" s="57">
        <f ca="1">IFERROR(__xludf.DUMMYFUNCTION("""COMPUTED_VALUE"""),45805)</f>
        <v>45805</v>
      </c>
      <c r="G654" s="57">
        <f ca="1">IFERROR(__xludf.DUMMYFUNCTION("""COMPUTED_VALUE"""),45777)</f>
        <v>45777</v>
      </c>
      <c r="H654" s="33" t="str">
        <f ca="1">IFERROR(__xludf.DUMMYFUNCTION("""COMPUTED_VALUE"""),"Canillas")</f>
        <v>Canillas</v>
      </c>
      <c r="I654" s="33" t="str">
        <f ca="1">IFERROR(__xludf.DUMMYFUNCTION("""COMPUTED_VALUE"""),"C202556113422987")</f>
        <v>C202556113422987</v>
      </c>
      <c r="J654" s="33" t="str">
        <f ca="1">IFERROR(__xludf.DUMMYFUNCTION("""COMPUTED_VALUE"""),"JOSE LUIS GOMEZ DE SEGURA")</f>
        <v>JOSE LUIS GOMEZ DE SEGURA</v>
      </c>
      <c r="K654" s="33">
        <f ca="1">IFERROR(__xludf.DUMMYFUNCTION("""COMPUTED_VALUE"""),2)</f>
        <v>2</v>
      </c>
      <c r="L654" s="203">
        <f ca="1">IFERROR(__xludf.DUMMYFUNCTION("""COMPUTED_VALUE"""),4000)</f>
        <v>4000</v>
      </c>
      <c r="M654" s="33" t="str">
        <f ca="1">IFERROR(__xludf.DUMMYFUNCTION("""COMPUTED_VALUE"""),"03 ORL")</f>
        <v>03 ORL</v>
      </c>
      <c r="N654" s="33" t="str">
        <f ca="1">IFERROR(__xludf.DUMMYFUNCTION("""COMPUTED_VALUE"""),"06 ORL")</f>
        <v>06 ORL</v>
      </c>
      <c r="O654" s="33" t="str">
        <f ca="1">IFERROR(__xludf.DUMMYFUNCTION("""COMPUTED_VALUE"""),"Dra, Helena Moreno Pardo")</f>
        <v>Dra, Helena Moreno Pardo</v>
      </c>
      <c r="P654" s="33" t="str">
        <f ca="1">IFERROR(__xludf.DUMMYFUNCTION("""COMPUTED_VALUE"""),"Maika Blázquez (Madrid)")</f>
        <v>Maika Blázquez (Madrid)</v>
      </c>
    </row>
    <row r="655" spans="2:16">
      <c r="B655" s="33">
        <f ca="1">IFERROR(__xludf.DUMMYFUNCTION("""COMPUTED_VALUE"""),2025)</f>
        <v>2025</v>
      </c>
      <c r="C655" s="33">
        <f ca="1">IFERROR(__xludf.DUMMYFUNCTION("""COMPUTED_VALUE"""),5)</f>
        <v>5</v>
      </c>
      <c r="D655" s="33" t="str">
        <f ca="1">IFERROR(__xludf.DUMMYFUNCTION("""COMPUTED_VALUE"""),"NO")</f>
        <v>NO</v>
      </c>
      <c r="E655" s="33" t="str">
        <f ca="1">IFERROR(__xludf.DUMMYFUNCTION("""COMPUTED_VALUE"""),"Madrid- Costa Rica")</f>
        <v>Madrid- Costa Rica</v>
      </c>
      <c r="F655" s="57">
        <f ca="1">IFERROR(__xludf.DUMMYFUNCTION("""COMPUTED_VALUE"""),45784)</f>
        <v>45784</v>
      </c>
      <c r="G655" s="57">
        <f ca="1">IFERROR(__xludf.DUMMYFUNCTION("""COMPUTED_VALUE"""),45741)</f>
        <v>45741</v>
      </c>
      <c r="H655" s="33" t="str">
        <f ca="1">IFERROR(__xludf.DUMMYFUNCTION("""COMPUTED_VALUE"""),"Costa Rica")</f>
        <v>Costa Rica</v>
      </c>
      <c r="I655" s="33" t="str">
        <f ca="1">IFERROR(__xludf.DUMMYFUNCTION("""COMPUTED_VALUE"""),"C202541115234926")</f>
        <v>C202541115234926</v>
      </c>
      <c r="J655" s="33" t="str">
        <f ca="1">IFERROR(__xludf.DUMMYFUNCTION("""COMPUTED_VALUE"""),"MARIA ROSA VEGA OTERO")</f>
        <v>MARIA ROSA VEGA OTERO</v>
      </c>
      <c r="K655" s="33">
        <f ca="1">IFERROR(__xludf.DUMMYFUNCTION("""COMPUTED_VALUE"""),1)</f>
        <v>1</v>
      </c>
      <c r="L655" s="203">
        <f ca="1">IFERROR(__xludf.DUMMYFUNCTION("""COMPUTED_VALUE"""),2068.18)</f>
        <v>2068.1799999999998</v>
      </c>
      <c r="M655" s="33" t="str">
        <f ca="1">IFERROR(__xludf.DUMMYFUNCTION("""COMPUTED_VALUE"""),"03 ORL")</f>
        <v>03 ORL</v>
      </c>
      <c r="N655" s="33" t="str">
        <f ca="1">IFERROR(__xludf.DUMMYFUNCTION("""COMPUTED_VALUE"""),"06 ORL")</f>
        <v>06 ORL</v>
      </c>
      <c r="O655" s="33" t="str">
        <f ca="1">IFERROR(__xludf.DUMMYFUNCTION("""COMPUTED_VALUE"""),"DR, Javier Olarieta Soto")</f>
        <v>DR, Javier Olarieta Soto</v>
      </c>
      <c r="P655" s="33" t="str">
        <f ca="1">IFERROR(__xludf.DUMMYFUNCTION("""COMPUTED_VALUE"""),"Maika Blázquez (Madrid)")</f>
        <v>Maika Blázquez (Madrid)</v>
      </c>
    </row>
    <row r="656" spans="2:16">
      <c r="B656" s="33">
        <f ca="1">IFERROR(__xludf.DUMMYFUNCTION("""COMPUTED_VALUE"""),2025)</f>
        <v>2025</v>
      </c>
      <c r="C656" s="33">
        <f ca="1">IFERROR(__xludf.DUMMYFUNCTION("""COMPUTED_VALUE"""),5)</f>
        <v>5</v>
      </c>
      <c r="D656" s="33" t="str">
        <f ca="1">IFERROR(__xludf.DUMMYFUNCTION("""COMPUTED_VALUE"""),"NO")</f>
        <v>NO</v>
      </c>
      <c r="E656" s="33" t="str">
        <f ca="1">IFERROR(__xludf.DUMMYFUNCTION("""COMPUTED_VALUE"""),"Madrid- Costa Rica")</f>
        <v>Madrid- Costa Rica</v>
      </c>
      <c r="F656" s="57">
        <f ca="1">IFERROR(__xludf.DUMMYFUNCTION("""COMPUTED_VALUE"""),45799)</f>
        <v>45799</v>
      </c>
      <c r="G656" s="57">
        <f ca="1">IFERROR(__xludf.DUMMYFUNCTION("""COMPUTED_VALUE"""),45776)</f>
        <v>45776</v>
      </c>
      <c r="H656" s="33" t="str">
        <f ca="1">IFERROR(__xludf.DUMMYFUNCTION("""COMPUTED_VALUE"""),"Costa Rica")</f>
        <v>Costa Rica</v>
      </c>
      <c r="I656" s="33" t="str">
        <f ca="1">IFERROR(__xludf.DUMMYFUNCTION("""COMPUTED_VALUE"""),"C202556104840639")</f>
        <v>C202556104840639</v>
      </c>
      <c r="J656" s="33" t="str">
        <f ca="1">IFERROR(__xludf.DUMMYFUNCTION("""COMPUTED_VALUE"""),"ANTONIO  MARTÍNEZ ARMENTEROS")</f>
        <v>ANTONIO  MARTÍNEZ ARMENTEROS</v>
      </c>
      <c r="K656" s="33">
        <f ca="1">IFERROR(__xludf.DUMMYFUNCTION("""COMPUTED_VALUE"""),2)</f>
        <v>2</v>
      </c>
      <c r="L656" s="203">
        <f ca="1">IFERROR(__xludf.DUMMYFUNCTION("""COMPUTED_VALUE"""),4000)</f>
        <v>4000</v>
      </c>
      <c r="M656" s="33" t="str">
        <f ca="1">IFERROR(__xludf.DUMMYFUNCTION("""COMPUTED_VALUE"""),"03 ORL")</f>
        <v>03 ORL</v>
      </c>
      <c r="N656" s="33" t="str">
        <f ca="1">IFERROR(__xludf.DUMMYFUNCTION("""COMPUTED_VALUE"""),"06 ORL")</f>
        <v>06 ORL</v>
      </c>
      <c r="O656" s="33" t="str">
        <f ca="1">IFERROR(__xludf.DUMMYFUNCTION("""COMPUTED_VALUE"""),"Dr, Antonio Bueno Ríos")</f>
        <v>Dr, Antonio Bueno Ríos</v>
      </c>
      <c r="P656" s="33" t="str">
        <f ca="1">IFERROR(__xludf.DUMMYFUNCTION("""COMPUTED_VALUE"""),"Lisandro Russian (Madrid, Cáceres, Toledo, Talavera Y Logroño)")</f>
        <v>Lisandro Russian (Madrid, Cáceres, Toledo, Talavera Y Logroño)</v>
      </c>
    </row>
    <row r="657" spans="2:16">
      <c r="B657" s="33">
        <f ca="1">IFERROR(__xludf.DUMMYFUNCTION("""COMPUTED_VALUE"""),2025)</f>
        <v>2025</v>
      </c>
      <c r="C657" s="33">
        <f ca="1">IFERROR(__xludf.DUMMYFUNCTION("""COMPUTED_VALUE"""),5)</f>
        <v>5</v>
      </c>
      <c r="D657" s="33" t="str">
        <f ca="1">IFERROR(__xludf.DUMMYFUNCTION("""COMPUTED_VALUE"""),"NO")</f>
        <v>NO</v>
      </c>
      <c r="E657" s="33" t="str">
        <f ca="1">IFERROR(__xludf.DUMMYFUNCTION("""COMPUTED_VALUE"""),"Madrid- Juan Bravo")</f>
        <v>Madrid- Juan Bravo</v>
      </c>
      <c r="F657" s="57">
        <f ca="1">IFERROR(__xludf.DUMMYFUNCTION("""COMPUTED_VALUE"""),45798)</f>
        <v>45798</v>
      </c>
      <c r="G657" s="57">
        <f ca="1">IFERROR(__xludf.DUMMYFUNCTION("""COMPUTED_VALUE"""),45758)</f>
        <v>45758</v>
      </c>
      <c r="H657" s="33" t="str">
        <f ca="1">IFERROR(__xludf.DUMMYFUNCTION("""COMPUTED_VALUE"""),"Juan Bravo")</f>
        <v>Juan Bravo</v>
      </c>
      <c r="I657" s="33" t="str">
        <f ca="1">IFERROR(__xludf.DUMMYFUNCTION("""COMPUTED_VALUE"""),"C2025416104956953")</f>
        <v>C2025416104956953</v>
      </c>
      <c r="J657" s="33" t="str">
        <f ca="1">IFERROR(__xludf.DUMMYFUNCTION("""COMPUTED_VALUE"""),"ALEJANDRO  GOMEZ PRETOLINO")</f>
        <v>ALEJANDRO  GOMEZ PRETOLINO</v>
      </c>
      <c r="K657" s="33">
        <f ca="1">IFERROR(__xludf.DUMMYFUNCTION("""COMPUTED_VALUE"""),2)</f>
        <v>2</v>
      </c>
      <c r="L657" s="203">
        <f ca="1">IFERROR(__xludf.DUMMYFUNCTION("""COMPUTED_VALUE"""),4000)</f>
        <v>4000</v>
      </c>
      <c r="M657" s="33" t="str">
        <f ca="1">IFERROR(__xludf.DUMMYFUNCTION("""COMPUTED_VALUE"""),"03 ORL")</f>
        <v>03 ORL</v>
      </c>
      <c r="N657" s="33" t="str">
        <f ca="1">IFERROR(__xludf.DUMMYFUNCTION("""COMPUTED_VALUE"""),"06 ORL")</f>
        <v>06 ORL</v>
      </c>
      <c r="O657" s="33" t="str">
        <f ca="1">IFERROR(__xludf.DUMMYFUNCTION("""COMPUTED_VALUE"""),"Dr, Carlos Barajas del Rosal")</f>
        <v>Dr, Carlos Barajas del Rosal</v>
      </c>
      <c r="P657" s="33" t="str">
        <f ca="1">IFERROR(__xludf.DUMMYFUNCTION("""COMPUTED_VALUE"""),"Lisandro Russian (Madrid, Cáceres, Toledo, Talavera Y Logroño)")</f>
        <v>Lisandro Russian (Madrid, Cáceres, Toledo, Talavera Y Logroño)</v>
      </c>
    </row>
    <row r="658" spans="2:16">
      <c r="B658" s="33">
        <f ca="1">IFERROR(__xludf.DUMMYFUNCTION("""COMPUTED_VALUE"""),2025)</f>
        <v>2025</v>
      </c>
      <c r="C658" s="33">
        <f ca="1">IFERROR(__xludf.DUMMYFUNCTION("""COMPUTED_VALUE"""),5)</f>
        <v>5</v>
      </c>
      <c r="D658" s="33" t="str">
        <f ca="1">IFERROR(__xludf.DUMMYFUNCTION("""COMPUTED_VALUE"""),"NO")</f>
        <v>NO</v>
      </c>
      <c r="E658" s="33" t="str">
        <f ca="1">IFERROR(__xludf.DUMMYFUNCTION("""COMPUTED_VALUE"""),"Madrid- Juan Bravo")</f>
        <v>Madrid- Juan Bravo</v>
      </c>
      <c r="F658" s="57">
        <f ca="1">IFERROR(__xludf.DUMMYFUNCTION("""COMPUTED_VALUE"""),45790)</f>
        <v>45790</v>
      </c>
      <c r="G658" s="57">
        <f ca="1">IFERROR(__xludf.DUMMYFUNCTION("""COMPUTED_VALUE"""),45350)</f>
        <v>45350</v>
      </c>
      <c r="H658" s="33" t="str">
        <f ca="1">IFERROR(__xludf.DUMMYFUNCTION("""COMPUTED_VALUE"""),"Juan Bravo")</f>
        <v>Juan Bravo</v>
      </c>
      <c r="I658" s="33" t="str">
        <f ca="1">IFERROR(__xludf.DUMMYFUNCTION("""COMPUTED_VALUE"""),"JBR-2038")</f>
        <v>JBR-2038</v>
      </c>
      <c r="J658" s="33" t="str">
        <f ca="1">IFERROR(__xludf.DUMMYFUNCTION("""COMPUTED_VALUE"""),"ALVARO ESPINOSA DE LOS MONTEROS BANEGAS")</f>
        <v>ALVARO ESPINOSA DE LOS MONTEROS BANEGAS</v>
      </c>
      <c r="K658" s="33">
        <f ca="1">IFERROR(__xludf.DUMMYFUNCTION("""COMPUTED_VALUE"""),2)</f>
        <v>2</v>
      </c>
      <c r="L658" s="203">
        <f ca="1">IFERROR(__xludf.DUMMYFUNCTION("""COMPUTED_VALUE"""),4400)</f>
        <v>4400</v>
      </c>
      <c r="M658" s="33" t="str">
        <f ca="1">IFERROR(__xludf.DUMMYFUNCTION("""COMPUTED_VALUE"""),"03 ORL")</f>
        <v>03 ORL</v>
      </c>
      <c r="N658" s="33" t="str">
        <f ca="1">IFERROR(__xludf.DUMMYFUNCTION("""COMPUTED_VALUE"""),"06 ORL")</f>
        <v>06 ORL</v>
      </c>
      <c r="O658" s="33" t="str">
        <f ca="1">IFERROR(__xludf.DUMMYFUNCTION("""COMPUTED_VALUE"""),"Dra, Paloma Pinacho Martínez")</f>
        <v>Dra, Paloma Pinacho Martínez</v>
      </c>
      <c r="P658" s="33" t="str">
        <f ca="1">IFERROR(__xludf.DUMMYFUNCTION("""COMPUTED_VALUE"""),"Maika Blázquez (Madrid)")</f>
        <v>Maika Blázquez (Madrid)</v>
      </c>
    </row>
    <row r="659" spans="2:16">
      <c r="B659" s="33">
        <f ca="1">IFERROR(__xludf.DUMMYFUNCTION("""COMPUTED_VALUE"""),2025)</f>
        <v>2025</v>
      </c>
      <c r="C659" s="33">
        <f ca="1">IFERROR(__xludf.DUMMYFUNCTION("""COMPUTED_VALUE"""),5)</f>
        <v>5</v>
      </c>
      <c r="D659" s="33" t="str">
        <f ca="1">IFERROR(__xludf.DUMMYFUNCTION("""COMPUTED_VALUE"""),"NO")</f>
        <v>NO</v>
      </c>
      <c r="E659" s="33" t="str">
        <f ca="1">IFERROR(__xludf.DUMMYFUNCTION("""COMPUTED_VALUE"""),"Madrid- Juan Bravo")</f>
        <v>Madrid- Juan Bravo</v>
      </c>
      <c r="F659" s="57">
        <f ca="1">IFERROR(__xludf.DUMMYFUNCTION("""COMPUTED_VALUE"""),45791)</f>
        <v>45791</v>
      </c>
      <c r="G659" s="57">
        <f ca="1">IFERROR(__xludf.DUMMYFUNCTION("""COMPUTED_VALUE"""),45758)</f>
        <v>45758</v>
      </c>
      <c r="H659" s="33" t="str">
        <f ca="1">IFERROR(__xludf.DUMMYFUNCTION("""COMPUTED_VALUE"""),"Juan Bravo")</f>
        <v>Juan Bravo</v>
      </c>
      <c r="I659" s="33" t="str">
        <f ca="1">IFERROR(__xludf.DUMMYFUNCTION("""COMPUTED_VALUE"""),"C2025414161941271")</f>
        <v>C2025414161941271</v>
      </c>
      <c r="J659" s="33" t="str">
        <f ca="1">IFERROR(__xludf.DUMMYFUNCTION("""COMPUTED_VALUE"""),"CARMEN MARTIN ROJO")</f>
        <v>CARMEN MARTIN ROJO</v>
      </c>
      <c r="K659" s="33">
        <f ca="1">IFERROR(__xludf.DUMMYFUNCTION("""COMPUTED_VALUE"""),2)</f>
        <v>2</v>
      </c>
      <c r="L659" s="203">
        <f ca="1">IFERROR(__xludf.DUMMYFUNCTION("""COMPUTED_VALUE"""),3710)</f>
        <v>3710</v>
      </c>
      <c r="M659" s="33" t="str">
        <f ca="1">IFERROR(__xludf.DUMMYFUNCTION("""COMPUTED_VALUE"""),"03 ORL")</f>
        <v>03 ORL</v>
      </c>
      <c r="N659" s="33" t="str">
        <f ca="1">IFERROR(__xludf.DUMMYFUNCTION("""COMPUTED_VALUE"""),"06 ORL")</f>
        <v>06 ORL</v>
      </c>
      <c r="O659" s="33" t="str">
        <f ca="1">IFERROR(__xludf.DUMMYFUNCTION("""COMPUTED_VALUE"""),"Dr, José Montojo Woodeson")</f>
        <v>Dr, José Montojo Woodeson</v>
      </c>
      <c r="P659" s="33" t="str">
        <f ca="1">IFERROR(__xludf.DUMMYFUNCTION("""COMPUTED_VALUE"""),"Maika Blázquez (Madrid)")</f>
        <v>Maika Blázquez (Madrid)</v>
      </c>
    </row>
    <row r="660" spans="2:16">
      <c r="B660" s="33">
        <f ca="1">IFERROR(__xludf.DUMMYFUNCTION("""COMPUTED_VALUE"""),2025)</f>
        <v>2025</v>
      </c>
      <c r="C660" s="33">
        <f ca="1">IFERROR(__xludf.DUMMYFUNCTION("""COMPUTED_VALUE"""),5)</f>
        <v>5</v>
      </c>
      <c r="D660" s="33" t="str">
        <f ca="1">IFERROR(__xludf.DUMMYFUNCTION("""COMPUTED_VALUE"""),"NO")</f>
        <v>NO</v>
      </c>
      <c r="E660" s="33" t="str">
        <f ca="1">IFERROR(__xludf.DUMMYFUNCTION("""COMPUTED_VALUE"""),"Madrid- Juan Bravo")</f>
        <v>Madrid- Juan Bravo</v>
      </c>
      <c r="F660" s="57">
        <f ca="1">IFERROR(__xludf.DUMMYFUNCTION("""COMPUTED_VALUE"""),45803)</f>
        <v>45803</v>
      </c>
      <c r="G660" s="57">
        <f ca="1">IFERROR(__xludf.DUMMYFUNCTION("""COMPUTED_VALUE"""),45771)</f>
        <v>45771</v>
      </c>
      <c r="H660" s="33" t="str">
        <f ca="1">IFERROR(__xludf.DUMMYFUNCTION("""COMPUTED_VALUE"""),"Juan Bravo")</f>
        <v>Juan Bravo</v>
      </c>
      <c r="I660" s="33" t="str">
        <f ca="1">IFERROR(__xludf.DUMMYFUNCTION("""COMPUTED_VALUE"""),"C202542810135933")</f>
        <v>C202542810135933</v>
      </c>
      <c r="J660" s="33" t="str">
        <f ca="1">IFERROR(__xludf.DUMMYFUNCTION("""COMPUTED_VALUE"""),"LUIS SOLANCE MARTINEZ")</f>
        <v>LUIS SOLANCE MARTINEZ</v>
      </c>
      <c r="K660" s="33">
        <f ca="1">IFERROR(__xludf.DUMMYFUNCTION("""COMPUTED_VALUE"""),1)</f>
        <v>1</v>
      </c>
      <c r="L660" s="203">
        <f ca="1">IFERROR(__xludf.DUMMYFUNCTION("""COMPUTED_VALUE"""),2280)</f>
        <v>2280</v>
      </c>
      <c r="M660" s="33" t="str">
        <f ca="1">IFERROR(__xludf.DUMMYFUNCTION("""COMPUTED_VALUE"""),"03 ORL")</f>
        <v>03 ORL</v>
      </c>
      <c r="N660" s="33" t="str">
        <f ca="1">IFERROR(__xludf.DUMMYFUNCTION("""COMPUTED_VALUE"""),"06 ORL")</f>
        <v>06 ORL</v>
      </c>
      <c r="O660" s="33" t="str">
        <f ca="1">IFERROR(__xludf.DUMMYFUNCTION("""COMPUTED_VALUE"""),"Dra, María Antonia Rodríguez Castejón")</f>
        <v>Dra, María Antonia Rodríguez Castejón</v>
      </c>
      <c r="P660" s="33" t="str">
        <f ca="1">IFERROR(__xludf.DUMMYFUNCTION("""COMPUTED_VALUE"""),"Maika Blázquez (Madrid)")</f>
        <v>Maika Blázquez (Madrid)</v>
      </c>
    </row>
    <row r="661" spans="2:16">
      <c r="B661" s="33">
        <f ca="1">IFERROR(__xludf.DUMMYFUNCTION("""COMPUTED_VALUE"""),2025)</f>
        <v>2025</v>
      </c>
      <c r="C661" s="33">
        <f ca="1">IFERROR(__xludf.DUMMYFUNCTION("""COMPUTED_VALUE"""),5)</f>
        <v>5</v>
      </c>
      <c r="D661" s="33" t="str">
        <f ca="1">IFERROR(__xludf.DUMMYFUNCTION("""COMPUTED_VALUE"""),"SI")</f>
        <v>SI</v>
      </c>
      <c r="E661" s="33" t="str">
        <f ca="1">IFERROR(__xludf.DUMMYFUNCTION("""COMPUTED_VALUE"""),"Madrid- Juan Bravo")</f>
        <v>Madrid- Juan Bravo</v>
      </c>
      <c r="F661" s="57">
        <f ca="1">IFERROR(__xludf.DUMMYFUNCTION("""COMPUTED_VALUE"""),45799)</f>
        <v>45799</v>
      </c>
      <c r="G661" s="57">
        <f ca="1">IFERROR(__xludf.DUMMYFUNCTION("""COMPUTED_VALUE"""),45056)</f>
        <v>45056</v>
      </c>
      <c r="H661" s="33" t="str">
        <f ca="1">IFERROR(__xludf.DUMMYFUNCTION("""COMPUTED_VALUE"""),"Juan Bravo")</f>
        <v>Juan Bravo</v>
      </c>
      <c r="I661" s="33" t="str">
        <f ca="1">IFERROR(__xludf.DUMMYFUNCTION("""COMPUTED_VALUE"""),"JBR-1797")</f>
        <v>JBR-1797</v>
      </c>
      <c r="J661" s="33" t="str">
        <f ca="1">IFERROR(__xludf.DUMMYFUNCTION("""COMPUTED_VALUE"""),"MARCELO STERNBERG")</f>
        <v>MARCELO STERNBERG</v>
      </c>
      <c r="K661" s="33">
        <f ca="1">IFERROR(__xludf.DUMMYFUNCTION("""COMPUTED_VALUE"""),2)</f>
        <v>2</v>
      </c>
      <c r="L661" s="203">
        <f ca="1">IFERROR(__xludf.DUMMYFUNCTION("""COMPUTED_VALUE"""),3400)</f>
        <v>3400</v>
      </c>
      <c r="M661" s="33" t="str">
        <f ca="1">IFERROR(__xludf.DUMMYFUNCTION("""COMPUTED_VALUE"""),"04 TIENDA")</f>
        <v>04 TIENDA</v>
      </c>
      <c r="N661" s="33" t="str">
        <f ca="1">IFERROR(__xludf.DUMMYFUNCTION("""COMPUTED_VALUE"""),"19 CLIENTE RECOMPRA ESPONTANEA")</f>
        <v>19 CLIENTE RECOMPRA ESPONTANEA</v>
      </c>
      <c r="O661" s="33" t="str">
        <f ca="1">IFERROR(__xludf.DUMMYFUNCTION("""COMPUTED_VALUE"""),"Dr, Carlos Barajas del Rosal")</f>
        <v>Dr, Carlos Barajas del Rosal</v>
      </c>
      <c r="P661" s="33" t="str">
        <f ca="1">IFERROR(__xludf.DUMMYFUNCTION("""COMPUTED_VALUE"""),"Lisandro Russian (Madrid, Cáceres, Toledo, Talavera Y Logroño)")</f>
        <v>Lisandro Russian (Madrid, Cáceres, Toledo, Talavera Y Logroño)</v>
      </c>
    </row>
    <row r="662" spans="2:16">
      <c r="B662" s="33">
        <f ca="1">IFERROR(__xludf.DUMMYFUNCTION("""COMPUTED_VALUE"""),2025)</f>
        <v>2025</v>
      </c>
      <c r="C662" s="33">
        <f ca="1">IFERROR(__xludf.DUMMYFUNCTION("""COMPUTED_VALUE"""),5)</f>
        <v>5</v>
      </c>
      <c r="D662" s="33" t="str">
        <f ca="1">IFERROR(__xludf.DUMMYFUNCTION("""COMPUTED_VALUE"""),"NO")</f>
        <v>NO</v>
      </c>
      <c r="E662" s="33" t="str">
        <f ca="1">IFERROR(__xludf.DUMMYFUNCTION("""COMPUTED_VALUE"""),"Madrid- Juan Bravo")</f>
        <v>Madrid- Juan Bravo</v>
      </c>
      <c r="F662" s="57">
        <f ca="1">IFERROR(__xludf.DUMMYFUNCTION("""COMPUTED_VALUE"""),45805)</f>
        <v>45805</v>
      </c>
      <c r="G662" s="57">
        <f ca="1">IFERROR(__xludf.DUMMYFUNCTION("""COMPUTED_VALUE"""),45769)</f>
        <v>45769</v>
      </c>
      <c r="H662" s="33" t="str">
        <f ca="1">IFERROR(__xludf.DUMMYFUNCTION("""COMPUTED_VALUE"""),"Juan Bravo")</f>
        <v>Juan Bravo</v>
      </c>
      <c r="I662" s="33" t="str">
        <f ca="1">IFERROR(__xludf.DUMMYFUNCTION("""COMPUTED_VALUE"""),"C20255512337333")</f>
        <v>C20255512337333</v>
      </c>
      <c r="J662" s="33" t="str">
        <f ca="1">IFERROR(__xludf.DUMMYFUNCTION("""COMPUTED_VALUE"""),"MARIA DEL CARMEN MARTINEZ BRELL")</f>
        <v>MARIA DEL CARMEN MARTINEZ BRELL</v>
      </c>
      <c r="K662" s="33">
        <f ca="1">IFERROR(__xludf.DUMMYFUNCTION("""COMPUTED_VALUE"""),2)</f>
        <v>2</v>
      </c>
      <c r="L662" s="203">
        <f ca="1">IFERROR(__xludf.DUMMYFUNCTION("""COMPUTED_VALUE"""),4000)</f>
        <v>4000</v>
      </c>
      <c r="M662" s="33" t="str">
        <f ca="1">IFERROR(__xludf.DUMMYFUNCTION("""COMPUTED_VALUE"""),"03 ORL")</f>
        <v>03 ORL</v>
      </c>
      <c r="N662" s="33" t="str">
        <f ca="1">IFERROR(__xludf.DUMMYFUNCTION("""COMPUTED_VALUE"""),"06 ORL")</f>
        <v>06 ORL</v>
      </c>
      <c r="O662" s="33" t="str">
        <f ca="1">IFERROR(__xludf.DUMMYFUNCTION("""COMPUTED_VALUE"""),"Dr, Alejandro Harguindey Antoli-Candela")</f>
        <v>Dr, Alejandro Harguindey Antoli-Candela</v>
      </c>
      <c r="P662" s="33" t="str">
        <f ca="1">IFERROR(__xludf.DUMMYFUNCTION("""COMPUTED_VALUE"""),"Maika Blázquez (Madrid)")</f>
        <v>Maika Blázquez (Madrid)</v>
      </c>
    </row>
    <row r="663" spans="2:16">
      <c r="B663" s="33">
        <f ca="1">IFERROR(__xludf.DUMMYFUNCTION("""COMPUTED_VALUE"""),2025)</f>
        <v>2025</v>
      </c>
      <c r="C663" s="33">
        <f ca="1">IFERROR(__xludf.DUMMYFUNCTION("""COMPUTED_VALUE"""),5)</f>
        <v>5</v>
      </c>
      <c r="D663" s="33" t="str">
        <f ca="1">IFERROR(__xludf.DUMMYFUNCTION("""COMPUTED_VALUE"""),"SI")</f>
        <v>SI</v>
      </c>
      <c r="E663" s="33" t="str">
        <f ca="1">IFERROR(__xludf.DUMMYFUNCTION("""COMPUTED_VALUE"""),"Madrid- Juan Bravo")</f>
        <v>Madrid- Juan Bravo</v>
      </c>
      <c r="F663" s="57">
        <f ca="1">IFERROR(__xludf.DUMMYFUNCTION("""COMPUTED_VALUE"""),45789)</f>
        <v>45789</v>
      </c>
      <c r="G663" s="57">
        <f ca="1">IFERROR(__xludf.DUMMYFUNCTION("""COMPUTED_VALUE"""),45351)</f>
        <v>45351</v>
      </c>
      <c r="H663" s="33" t="str">
        <f ca="1">IFERROR(__xludf.DUMMYFUNCTION("""COMPUTED_VALUE"""),"Juan Bravo")</f>
        <v>Juan Bravo</v>
      </c>
      <c r="I663" s="33" t="str">
        <f ca="1">IFERROR(__xludf.DUMMYFUNCTION("""COMPUTED_VALUE"""),"JBR-2039")</f>
        <v>JBR-2039</v>
      </c>
      <c r="J663" s="33" t="str">
        <f ca="1">IFERROR(__xludf.DUMMYFUNCTION("""COMPUTED_VALUE"""),"MARIA JESUS SOLORZANO BARGA")</f>
        <v>MARIA JESUS SOLORZANO BARGA</v>
      </c>
      <c r="K663" s="33">
        <f ca="1">IFERROR(__xludf.DUMMYFUNCTION("""COMPUTED_VALUE"""),2)</f>
        <v>2</v>
      </c>
      <c r="L663" s="203">
        <f ca="1">IFERROR(__xludf.DUMMYFUNCTION("""COMPUTED_VALUE"""),3710)</f>
        <v>3710</v>
      </c>
      <c r="M663" s="33" t="str">
        <f ca="1">IFERROR(__xludf.DUMMYFUNCTION("""COMPUTED_VALUE"""),"03 ORL")</f>
        <v>03 ORL</v>
      </c>
      <c r="N663" s="33" t="str">
        <f ca="1">IFERROR(__xludf.DUMMYFUNCTION("""COMPUTED_VALUE"""),"06 ORL")</f>
        <v>06 ORL</v>
      </c>
      <c r="O663" s="33" t="str">
        <f ca="1">IFERROR(__xludf.DUMMYFUNCTION("""COMPUTED_VALUE"""),"Dr, Joaquín Alacio Casero")</f>
        <v>Dr, Joaquín Alacio Casero</v>
      </c>
      <c r="P663" s="33" t="str">
        <f ca="1">IFERROR(__xludf.DUMMYFUNCTION("""COMPUTED_VALUE"""),"Maika Blázquez (Madrid)")</f>
        <v>Maika Blázquez (Madrid)</v>
      </c>
    </row>
    <row r="664" spans="2:16">
      <c r="B664" s="33">
        <f ca="1">IFERROR(__xludf.DUMMYFUNCTION("""COMPUTED_VALUE"""),2025)</f>
        <v>2025</v>
      </c>
      <c r="C664" s="33">
        <f ca="1">IFERROR(__xludf.DUMMYFUNCTION("""COMPUTED_VALUE"""),5)</f>
        <v>5</v>
      </c>
      <c r="D664" s="33" t="str">
        <f ca="1">IFERROR(__xludf.DUMMYFUNCTION("""COMPUTED_VALUE"""),"NO")</f>
        <v>NO</v>
      </c>
      <c r="E664" s="33" t="str">
        <f ca="1">IFERROR(__xludf.DUMMYFUNCTION("""COMPUTED_VALUE"""),"Madrid- Juan Bravo")</f>
        <v>Madrid- Juan Bravo</v>
      </c>
      <c r="F664" s="57">
        <f ca="1">IFERROR(__xludf.DUMMYFUNCTION("""COMPUTED_VALUE"""),45800)</f>
        <v>45800</v>
      </c>
      <c r="G664" s="57">
        <f ca="1">IFERROR(__xludf.DUMMYFUNCTION("""COMPUTED_VALUE"""),45758)</f>
        <v>45758</v>
      </c>
      <c r="H664" s="33" t="str">
        <f ca="1">IFERROR(__xludf.DUMMYFUNCTION("""COMPUTED_VALUE"""),"Juan Bravo")</f>
        <v>Juan Bravo</v>
      </c>
      <c r="I664" s="33" t="str">
        <f ca="1">IFERROR(__xludf.DUMMYFUNCTION("""COMPUTED_VALUE"""),"C2025411104246800")</f>
        <v>C2025411104246800</v>
      </c>
      <c r="J664" s="33" t="str">
        <f ca="1">IFERROR(__xludf.DUMMYFUNCTION("""COMPUTED_VALUE"""),"MARIA LUISA TARDAGUILA CEPERO")</f>
        <v>MARIA LUISA TARDAGUILA CEPERO</v>
      </c>
      <c r="K664" s="33">
        <f ca="1">IFERROR(__xludf.DUMMYFUNCTION("""COMPUTED_VALUE"""),-2)</f>
        <v>-2</v>
      </c>
      <c r="L664" s="203">
        <f ca="1">IFERROR(__xludf.DUMMYFUNCTION("""COMPUTED_VALUE"""),-2888.18)</f>
        <v>-2888.18</v>
      </c>
      <c r="M664" s="33" t="str">
        <f ca="1">IFERROR(__xludf.DUMMYFUNCTION("""COMPUTED_VALUE"""),"03 ORL")</f>
        <v>03 ORL</v>
      </c>
      <c r="N664" s="33" t="str">
        <f ca="1">IFERROR(__xludf.DUMMYFUNCTION("""COMPUTED_VALUE"""),"06 ORL")</f>
        <v>06 ORL</v>
      </c>
      <c r="O664" s="33" t="str">
        <f ca="1">IFERROR(__xludf.DUMMYFUNCTION("""COMPUTED_VALUE"""),"Dr, Carlos Barajas del Rosal")</f>
        <v>Dr, Carlos Barajas del Rosal</v>
      </c>
      <c r="P664" s="33" t="str">
        <f ca="1">IFERROR(__xludf.DUMMYFUNCTION("""COMPUTED_VALUE"""),"Lisandro Russian (Madrid, Cáceres, Toledo, Talavera Y Logroño)")</f>
        <v>Lisandro Russian (Madrid, Cáceres, Toledo, Talavera Y Logroño)</v>
      </c>
    </row>
    <row r="665" spans="2:16">
      <c r="B665" s="33">
        <f ca="1">IFERROR(__xludf.DUMMYFUNCTION("""COMPUTED_VALUE"""),2025)</f>
        <v>2025</v>
      </c>
      <c r="C665" s="33">
        <f ca="1">IFERROR(__xludf.DUMMYFUNCTION("""COMPUTED_VALUE"""),5)</f>
        <v>5</v>
      </c>
      <c r="D665" s="33" t="str">
        <f ca="1">IFERROR(__xludf.DUMMYFUNCTION("""COMPUTED_VALUE"""),"NO")</f>
        <v>NO</v>
      </c>
      <c r="E665" s="33" t="str">
        <f ca="1">IFERROR(__xludf.DUMMYFUNCTION("""COMPUTED_VALUE"""),"Madrid- La Oca")</f>
        <v>Madrid- La Oca</v>
      </c>
      <c r="F665" s="57">
        <f ca="1">IFERROR(__xludf.DUMMYFUNCTION("""COMPUTED_VALUE"""),45807)</f>
        <v>45807</v>
      </c>
      <c r="G665" s="57">
        <f ca="1">IFERROR(__xludf.DUMMYFUNCTION("""COMPUTED_VALUE"""),45608)</f>
        <v>45608</v>
      </c>
      <c r="H665" s="33" t="str">
        <f ca="1">IFERROR(__xludf.DUMMYFUNCTION("""COMPUTED_VALUE"""),"La Oca")</f>
        <v>La Oca</v>
      </c>
      <c r="I665" s="33" t="str">
        <f ca="1">IFERROR(__xludf.DUMMYFUNCTION("""COMPUTED_VALUE"""),"C20241120161651439")</f>
        <v>C20241120161651439</v>
      </c>
      <c r="J665" s="33" t="str">
        <f ca="1">IFERROR(__xludf.DUMMYFUNCTION("""COMPUTED_VALUE"""),"ANA MARIA LINDEZ MARTINEZ")</f>
        <v>ANA MARIA LINDEZ MARTINEZ</v>
      </c>
      <c r="K665" s="33">
        <f ca="1">IFERROR(__xludf.DUMMYFUNCTION("""COMPUTED_VALUE"""),2)</f>
        <v>2</v>
      </c>
      <c r="L665" s="203">
        <f ca="1">IFERROR(__xludf.DUMMYFUNCTION("""COMPUTED_VALUE"""),2743.64)</f>
        <v>2743.64</v>
      </c>
      <c r="M665" s="33" t="str">
        <f ca="1">IFERROR(__xludf.DUMMYFUNCTION("""COMPUTED_VALUE"""),"03 ORL")</f>
        <v>03 ORL</v>
      </c>
      <c r="N665" s="33" t="str">
        <f ca="1">IFERROR(__xludf.DUMMYFUNCTION("""COMPUTED_VALUE"""),"22 AUDIOMETRIA CLINICA")</f>
        <v>22 AUDIOMETRIA CLINICA</v>
      </c>
      <c r="O665" s="33" t="str">
        <f ca="1">IFERROR(__xludf.DUMMYFUNCTION("""COMPUTED_VALUE"""),"Dr, Eviatar Friedlander")</f>
        <v>Dr, Eviatar Friedlander</v>
      </c>
      <c r="P665" s="33" t="str">
        <f ca="1">IFERROR(__xludf.DUMMYFUNCTION("""COMPUTED_VALUE"""),"Maika Blázquez (Madrid)")</f>
        <v>Maika Blázquez (Madrid)</v>
      </c>
    </row>
    <row r="666" spans="2:16">
      <c r="B666" s="33">
        <f ca="1">IFERROR(__xludf.DUMMYFUNCTION("""COMPUTED_VALUE"""),2025)</f>
        <v>2025</v>
      </c>
      <c r="C666" s="33">
        <f ca="1">IFERROR(__xludf.DUMMYFUNCTION("""COMPUTED_VALUE"""),5)</f>
        <v>5</v>
      </c>
      <c r="D666" s="33" t="str">
        <f ca="1">IFERROR(__xludf.DUMMYFUNCTION("""COMPUTED_VALUE"""),"NO")</f>
        <v>NO</v>
      </c>
      <c r="E666" s="33" t="str">
        <f ca="1">IFERROR(__xludf.DUMMYFUNCTION("""COMPUTED_VALUE"""),"Madrid- La Oca")</f>
        <v>Madrid- La Oca</v>
      </c>
      <c r="F666" s="57">
        <f ca="1">IFERROR(__xludf.DUMMYFUNCTION("""COMPUTED_VALUE"""),45798)</f>
        <v>45798</v>
      </c>
      <c r="G666" s="57">
        <f ca="1">IFERROR(__xludf.DUMMYFUNCTION("""COMPUTED_VALUE"""),45771)</f>
        <v>45771</v>
      </c>
      <c r="H666" s="33" t="str">
        <f ca="1">IFERROR(__xludf.DUMMYFUNCTION("""COMPUTED_VALUE"""),"La Oca")</f>
        <v>La Oca</v>
      </c>
      <c r="I666" s="33" t="str">
        <f ca="1">IFERROR(__xludf.DUMMYFUNCTION("""COMPUTED_VALUE"""),"C20254251351436")</f>
        <v>C20254251351436</v>
      </c>
      <c r="J666" s="33" t="str">
        <f ca="1">IFERROR(__xludf.DUMMYFUNCTION("""COMPUTED_VALUE"""),"ANTONIO FRANCISCO AQUINO HERRERA")</f>
        <v>ANTONIO FRANCISCO AQUINO HERRERA</v>
      </c>
      <c r="K666" s="33">
        <f ca="1">IFERROR(__xludf.DUMMYFUNCTION("""COMPUTED_VALUE"""),2)</f>
        <v>2</v>
      </c>
      <c r="L666" s="203">
        <f ca="1">IFERROR(__xludf.DUMMYFUNCTION("""COMPUTED_VALUE"""),3710)</f>
        <v>3710</v>
      </c>
      <c r="M666" s="33" t="str">
        <f ca="1">IFERROR(__xludf.DUMMYFUNCTION("""COMPUTED_VALUE"""),"03 ORL")</f>
        <v>03 ORL</v>
      </c>
      <c r="N666" s="33" t="str">
        <f ca="1">IFERROR(__xludf.DUMMYFUNCTION("""COMPUTED_VALUE"""),"06 ORL")</f>
        <v>06 ORL</v>
      </c>
      <c r="O666" s="33" t="str">
        <f ca="1">IFERROR(__xludf.DUMMYFUNCTION("""COMPUTED_VALUE"""),"Dra, Laura Ruano De Pablo")</f>
        <v>Dra, Laura Ruano De Pablo</v>
      </c>
      <c r="P666" s="33" t="str">
        <f ca="1">IFERROR(__xludf.DUMMYFUNCTION("""COMPUTED_VALUE"""),"Maika Blázquez (Madrid)")</f>
        <v>Maika Blázquez (Madrid)</v>
      </c>
    </row>
    <row r="667" spans="2:16">
      <c r="B667" s="33">
        <f ca="1">IFERROR(__xludf.DUMMYFUNCTION("""COMPUTED_VALUE"""),2025)</f>
        <v>2025</v>
      </c>
      <c r="C667" s="33">
        <f ca="1">IFERROR(__xludf.DUMMYFUNCTION("""COMPUTED_VALUE"""),5)</f>
        <v>5</v>
      </c>
      <c r="D667" s="33" t="str">
        <f ca="1">IFERROR(__xludf.DUMMYFUNCTION("""COMPUTED_VALUE"""),"NO")</f>
        <v>NO</v>
      </c>
      <c r="E667" s="33" t="str">
        <f ca="1">IFERROR(__xludf.DUMMYFUNCTION("""COMPUTED_VALUE"""),"Madrid- La Oca")</f>
        <v>Madrid- La Oca</v>
      </c>
      <c r="F667" s="57">
        <f ca="1">IFERROR(__xludf.DUMMYFUNCTION("""COMPUTED_VALUE"""),45790)</f>
        <v>45790</v>
      </c>
      <c r="G667" s="57">
        <f ca="1">IFERROR(__xludf.DUMMYFUNCTION("""COMPUTED_VALUE"""),45771)</f>
        <v>45771</v>
      </c>
      <c r="H667" s="33" t="str">
        <f ca="1">IFERROR(__xludf.DUMMYFUNCTION("""COMPUTED_VALUE"""),"La Oca")</f>
        <v>La Oca</v>
      </c>
      <c r="I667" s="33" t="str">
        <f ca="1">IFERROR(__xludf.DUMMYFUNCTION("""COMPUTED_VALUE"""),"C2025424172910131")</f>
        <v>C2025424172910131</v>
      </c>
      <c r="J667" s="33" t="str">
        <f ca="1">IFERROR(__xludf.DUMMYFUNCTION("""COMPUTED_VALUE"""),"DOLORES AURELIA  LOPEZ SANCHEZ")</f>
        <v>DOLORES AURELIA  LOPEZ SANCHEZ</v>
      </c>
      <c r="K667" s="33">
        <f ca="1">IFERROR(__xludf.DUMMYFUNCTION("""COMPUTED_VALUE"""),1)</f>
        <v>1</v>
      </c>
      <c r="L667" s="203">
        <f ca="1">IFERROR(__xludf.DUMMYFUNCTION("""COMPUTED_VALUE"""),2115.05)</f>
        <v>2115.0500000000002</v>
      </c>
      <c r="M667" s="33" t="str">
        <f ca="1">IFERROR(__xludf.DUMMYFUNCTION("""COMPUTED_VALUE"""),"03 ORL")</f>
        <v>03 ORL</v>
      </c>
      <c r="N667" s="33" t="str">
        <f ca="1">IFERROR(__xludf.DUMMYFUNCTION("""COMPUTED_VALUE"""),"06 ORL")</f>
        <v>06 ORL</v>
      </c>
      <c r="O667" s="33" t="str">
        <f ca="1">IFERROR(__xludf.DUMMYFUNCTION("""COMPUTED_VALUE"""),"Dra, Bárbara Castillo Ávila")</f>
        <v>Dra, Bárbara Castillo Ávila</v>
      </c>
      <c r="P667" s="33" t="str">
        <f ca="1">IFERROR(__xludf.DUMMYFUNCTION("""COMPUTED_VALUE"""),"Maika Blázquez (Madrid)")</f>
        <v>Maika Blázquez (Madrid)</v>
      </c>
    </row>
    <row r="668" spans="2:16">
      <c r="B668" s="33">
        <f ca="1">IFERROR(__xludf.DUMMYFUNCTION("""COMPUTED_VALUE"""),2025)</f>
        <v>2025</v>
      </c>
      <c r="C668" s="33">
        <f ca="1">IFERROR(__xludf.DUMMYFUNCTION("""COMPUTED_VALUE"""),5)</f>
        <v>5</v>
      </c>
      <c r="D668" s="33" t="str">
        <f ca="1">IFERROR(__xludf.DUMMYFUNCTION("""COMPUTED_VALUE"""),"NO")</f>
        <v>NO</v>
      </c>
      <c r="E668" s="33" t="str">
        <f ca="1">IFERROR(__xludf.DUMMYFUNCTION("""COMPUTED_VALUE"""),"Madrid- La Oca")</f>
        <v>Madrid- La Oca</v>
      </c>
      <c r="F668" s="57">
        <f ca="1">IFERROR(__xludf.DUMMYFUNCTION("""COMPUTED_VALUE"""),45798)</f>
        <v>45798</v>
      </c>
      <c r="G668" s="57">
        <f ca="1">IFERROR(__xludf.DUMMYFUNCTION("""COMPUTED_VALUE"""),45747)</f>
        <v>45747</v>
      </c>
      <c r="H668" s="33" t="str">
        <f ca="1">IFERROR(__xludf.DUMMYFUNCTION("""COMPUTED_VALUE"""),"La Oca")</f>
        <v>La Oca</v>
      </c>
      <c r="I668" s="33" t="str">
        <f ca="1">IFERROR(__xludf.DUMMYFUNCTION("""COMPUTED_VALUE"""),"C202543115411107")</f>
        <v>C202543115411107</v>
      </c>
      <c r="J668" s="33" t="str">
        <f ca="1">IFERROR(__xludf.DUMMYFUNCTION("""COMPUTED_VALUE"""),"FRANCISCA FERNANDEZ CASTELLANOS")</f>
        <v>FRANCISCA FERNANDEZ CASTELLANOS</v>
      </c>
      <c r="K668" s="33">
        <f ca="1">IFERROR(__xludf.DUMMYFUNCTION("""COMPUTED_VALUE"""),2)</f>
        <v>2</v>
      </c>
      <c r="L668" s="203">
        <f ca="1">IFERROR(__xludf.DUMMYFUNCTION("""COMPUTED_VALUE"""),2888.18)</f>
        <v>2888.18</v>
      </c>
      <c r="M668" s="33" t="str">
        <f ca="1">IFERROR(__xludf.DUMMYFUNCTION("""COMPUTED_VALUE"""),"03 ORL")</f>
        <v>03 ORL</v>
      </c>
      <c r="N668" s="33" t="str">
        <f ca="1">IFERROR(__xludf.DUMMYFUNCTION("""COMPUTED_VALUE"""),"06 ORL")</f>
        <v>06 ORL</v>
      </c>
      <c r="O668" s="33" t="str">
        <f ca="1">IFERROR(__xludf.DUMMYFUNCTION("""COMPUTED_VALUE"""),"Dr, Eviatar Friedlander")</f>
        <v>Dr, Eviatar Friedlander</v>
      </c>
      <c r="P668" s="33" t="str">
        <f ca="1">IFERROR(__xludf.DUMMYFUNCTION("""COMPUTED_VALUE"""),"Maika Blázquez (Madrid)")</f>
        <v>Maika Blázquez (Madrid)</v>
      </c>
    </row>
    <row r="669" spans="2:16">
      <c r="B669" s="33">
        <f ca="1">IFERROR(__xludf.DUMMYFUNCTION("""COMPUTED_VALUE"""),2025)</f>
        <v>2025</v>
      </c>
      <c r="C669" s="33">
        <f ca="1">IFERROR(__xludf.DUMMYFUNCTION("""COMPUTED_VALUE"""),5)</f>
        <v>5</v>
      </c>
      <c r="D669" s="33" t="str">
        <f ca="1">IFERROR(__xludf.DUMMYFUNCTION("""COMPUTED_VALUE"""),"NO")</f>
        <v>NO</v>
      </c>
      <c r="E669" s="33" t="str">
        <f ca="1">IFERROR(__xludf.DUMMYFUNCTION("""COMPUTED_VALUE"""),"Madrid- La Oca")</f>
        <v>Madrid- La Oca</v>
      </c>
      <c r="F669" s="57">
        <f ca="1">IFERROR(__xludf.DUMMYFUNCTION("""COMPUTED_VALUE"""),45782)</f>
        <v>45782</v>
      </c>
      <c r="G669" s="57">
        <f ca="1">IFERROR(__xludf.DUMMYFUNCTION("""COMPUTED_VALUE"""),45750)</f>
        <v>45750</v>
      </c>
      <c r="H669" s="33" t="str">
        <f ca="1">IFERROR(__xludf.DUMMYFUNCTION("""COMPUTED_VALUE"""),"La Oca")</f>
        <v>La Oca</v>
      </c>
      <c r="I669" s="33" t="str">
        <f ca="1">IFERROR(__xludf.DUMMYFUNCTION("""COMPUTED_VALUE"""),"C20254316290829")</f>
        <v>C20254316290829</v>
      </c>
      <c r="J669" s="33" t="str">
        <f ca="1">IFERROR(__xludf.DUMMYFUNCTION("""COMPUTED_VALUE"""),"JOSEFA HERNANDEZ SANCHEZ")</f>
        <v>JOSEFA HERNANDEZ SANCHEZ</v>
      </c>
      <c r="K669" s="33">
        <f ca="1">IFERROR(__xludf.DUMMYFUNCTION("""COMPUTED_VALUE"""),2)</f>
        <v>2</v>
      </c>
      <c r="L669" s="203">
        <f ca="1">IFERROR(__xludf.DUMMYFUNCTION("""COMPUTED_VALUE"""),2727.27)</f>
        <v>2727.27</v>
      </c>
      <c r="M669" s="33" t="str">
        <f ca="1">IFERROR(__xludf.DUMMYFUNCTION("""COMPUTED_VALUE"""),"03 ORL")</f>
        <v>03 ORL</v>
      </c>
      <c r="N669" s="33" t="str">
        <f ca="1">IFERROR(__xludf.DUMMYFUNCTION("""COMPUTED_VALUE"""),"06 ORL")</f>
        <v>06 ORL</v>
      </c>
      <c r="O669" s="33" t="str">
        <f ca="1">IFERROR(__xludf.DUMMYFUNCTION("""COMPUTED_VALUE"""),"Dr, Eviatar Friedlander")</f>
        <v>Dr, Eviatar Friedlander</v>
      </c>
      <c r="P669" s="33" t="str">
        <f ca="1">IFERROR(__xludf.DUMMYFUNCTION("""COMPUTED_VALUE"""),"Maika Blázquez (Madrid)")</f>
        <v>Maika Blázquez (Madrid)</v>
      </c>
    </row>
    <row r="670" spans="2:16">
      <c r="B670" s="33">
        <f ca="1">IFERROR(__xludf.DUMMYFUNCTION("""COMPUTED_VALUE"""),2025)</f>
        <v>2025</v>
      </c>
      <c r="C670" s="33">
        <f ca="1">IFERROR(__xludf.DUMMYFUNCTION("""COMPUTED_VALUE"""),5)</f>
        <v>5</v>
      </c>
      <c r="D670" s="33" t="str">
        <f ca="1">IFERROR(__xludf.DUMMYFUNCTION("""COMPUTED_VALUE"""),"NO")</f>
        <v>NO</v>
      </c>
      <c r="E670" s="33" t="str">
        <f ca="1">IFERROR(__xludf.DUMMYFUNCTION("""COMPUTED_VALUE"""),"Madrid- La Oca")</f>
        <v>Madrid- La Oca</v>
      </c>
      <c r="F670" s="57">
        <f ca="1">IFERROR(__xludf.DUMMYFUNCTION("""COMPUTED_VALUE"""),45803)</f>
        <v>45803</v>
      </c>
      <c r="G670" s="57">
        <f ca="1">IFERROR(__xludf.DUMMYFUNCTION("""COMPUTED_VALUE"""),45768)</f>
        <v>45768</v>
      </c>
      <c r="H670" s="33" t="str">
        <f ca="1">IFERROR(__xludf.DUMMYFUNCTION("""COMPUTED_VALUE"""),"La Oca")</f>
        <v>La Oca</v>
      </c>
      <c r="I670" s="33" t="str">
        <f ca="1">IFERROR(__xludf.DUMMYFUNCTION("""COMPUTED_VALUE"""),"C202542411245691")</f>
        <v>C202542411245691</v>
      </c>
      <c r="J670" s="33" t="str">
        <f ca="1">IFERROR(__xludf.DUMMYFUNCTION("""COMPUTED_VALUE"""),"MARIA CONCEPCION OVEJA SANCHEZ")</f>
        <v>MARIA CONCEPCION OVEJA SANCHEZ</v>
      </c>
      <c r="K670" s="33">
        <f ca="1">IFERROR(__xludf.DUMMYFUNCTION("""COMPUTED_VALUE"""),2)</f>
        <v>2</v>
      </c>
      <c r="L670" s="203">
        <f ca="1">IFERROR(__xludf.DUMMYFUNCTION("""COMPUTED_VALUE"""),4000)</f>
        <v>4000</v>
      </c>
      <c r="M670" s="33" t="str">
        <f ca="1">IFERROR(__xludf.DUMMYFUNCTION("""COMPUTED_VALUE"""),"03 ORL")</f>
        <v>03 ORL</v>
      </c>
      <c r="N670" s="33" t="str">
        <f ca="1">IFERROR(__xludf.DUMMYFUNCTION("""COMPUTED_VALUE"""),"06 ORL")</f>
        <v>06 ORL</v>
      </c>
      <c r="O670" s="33" t="str">
        <f ca="1">IFERROR(__xludf.DUMMYFUNCTION("""COMPUTED_VALUE"""),"Dr, César Charles Martínez")</f>
        <v>Dr, César Charles Martínez</v>
      </c>
      <c r="P670" s="33" t="str">
        <f ca="1">IFERROR(__xludf.DUMMYFUNCTION("""COMPUTED_VALUE"""),"Maika Blázquez (Madrid)")</f>
        <v>Maika Blázquez (Madrid)</v>
      </c>
    </row>
    <row r="671" spans="2:16">
      <c r="B671" s="33">
        <f ca="1">IFERROR(__xludf.DUMMYFUNCTION("""COMPUTED_VALUE"""),2025)</f>
        <v>2025</v>
      </c>
      <c r="C671" s="33">
        <f ca="1">IFERROR(__xludf.DUMMYFUNCTION("""COMPUTED_VALUE"""),5)</f>
        <v>5</v>
      </c>
      <c r="D671" s="33" t="str">
        <f ca="1">IFERROR(__xludf.DUMMYFUNCTION("""COMPUTED_VALUE"""),"NO")</f>
        <v>NO</v>
      </c>
      <c r="E671" s="33" t="str">
        <f ca="1">IFERROR(__xludf.DUMMYFUNCTION("""COMPUTED_VALUE"""),"Madrid- La Oca")</f>
        <v>Madrid- La Oca</v>
      </c>
      <c r="F671" s="57">
        <f ca="1">IFERROR(__xludf.DUMMYFUNCTION("""COMPUTED_VALUE"""),45790)</f>
        <v>45790</v>
      </c>
      <c r="G671" s="57">
        <f ca="1">IFERROR(__xludf.DUMMYFUNCTION("""COMPUTED_VALUE"""),45750)</f>
        <v>45750</v>
      </c>
      <c r="H671" s="33" t="str">
        <f ca="1">IFERROR(__xludf.DUMMYFUNCTION("""COMPUTED_VALUE"""),"La Oca")</f>
        <v>La Oca</v>
      </c>
      <c r="I671" s="33" t="str">
        <f ca="1">IFERROR(__xludf.DUMMYFUNCTION("""COMPUTED_VALUE"""),"C2025491715052")</f>
        <v>C2025491715052</v>
      </c>
      <c r="J671" s="33" t="str">
        <f ca="1">IFERROR(__xludf.DUMMYFUNCTION("""COMPUTED_VALUE"""),"MARIA CRISTINA GARCIA RODRIGO")</f>
        <v>MARIA CRISTINA GARCIA RODRIGO</v>
      </c>
      <c r="K671" s="33">
        <f ca="1">IFERROR(__xludf.DUMMYFUNCTION("""COMPUTED_VALUE"""),2)</f>
        <v>2</v>
      </c>
      <c r="L671" s="203">
        <f ca="1">IFERROR(__xludf.DUMMYFUNCTION("""COMPUTED_VALUE"""),3710)</f>
        <v>3710</v>
      </c>
      <c r="M671" s="33" t="str">
        <f ca="1">IFERROR(__xludf.DUMMYFUNCTION("""COMPUTED_VALUE"""),"03 ORL")</f>
        <v>03 ORL</v>
      </c>
      <c r="N671" s="33" t="str">
        <f ca="1">IFERROR(__xludf.DUMMYFUNCTION("""COMPUTED_VALUE"""),"06 ORL")</f>
        <v>06 ORL</v>
      </c>
      <c r="O671" s="33" t="str">
        <f ca="1">IFERROR(__xludf.DUMMYFUNCTION("""COMPUTED_VALUE"""),"Dr, José Joaquín Gutiérrez Barquín")</f>
        <v>Dr, José Joaquín Gutiérrez Barquín</v>
      </c>
      <c r="P671" s="33" t="str">
        <f ca="1">IFERROR(__xludf.DUMMYFUNCTION("""COMPUTED_VALUE"""),"Maika Blázquez (Madrid)")</f>
        <v>Maika Blázquez (Madrid)</v>
      </c>
    </row>
    <row r="672" spans="2:16">
      <c r="B672" s="33">
        <f ca="1">IFERROR(__xludf.DUMMYFUNCTION("""COMPUTED_VALUE"""),2025)</f>
        <v>2025</v>
      </c>
      <c r="C672" s="33">
        <f ca="1">IFERROR(__xludf.DUMMYFUNCTION("""COMPUTED_VALUE"""),5)</f>
        <v>5</v>
      </c>
      <c r="D672" s="33" t="str">
        <f ca="1">IFERROR(__xludf.DUMMYFUNCTION("""COMPUTED_VALUE"""),"NO")</f>
        <v>NO</v>
      </c>
      <c r="E672" s="33" t="str">
        <f ca="1">IFERROR(__xludf.DUMMYFUNCTION("""COMPUTED_VALUE"""),"Madrid- La Oca")</f>
        <v>Madrid- La Oca</v>
      </c>
      <c r="F672" s="57">
        <f ca="1">IFERROR(__xludf.DUMMYFUNCTION("""COMPUTED_VALUE"""),45782)</f>
        <v>45782</v>
      </c>
      <c r="G672" s="57">
        <f ca="1">IFERROR(__xludf.DUMMYFUNCTION("""COMPUTED_VALUE"""),45729)</f>
        <v>45729</v>
      </c>
      <c r="H672" s="33" t="str">
        <f ca="1">IFERROR(__xludf.DUMMYFUNCTION("""COMPUTED_VALUE"""),"La Oca")</f>
        <v>La Oca</v>
      </c>
      <c r="I672" s="33" t="str">
        <f ca="1">IFERROR(__xludf.DUMMYFUNCTION("""COMPUTED_VALUE"""),"C2025327162552848")</f>
        <v>C2025327162552848</v>
      </c>
      <c r="J672" s="33" t="str">
        <f ca="1">IFERROR(__xludf.DUMMYFUNCTION("""COMPUTED_VALUE"""),"RAFAEL MENA MORENO")</f>
        <v>RAFAEL MENA MORENO</v>
      </c>
      <c r="K672" s="33">
        <f ca="1">IFERROR(__xludf.DUMMYFUNCTION("""COMPUTED_VALUE"""),2)</f>
        <v>2</v>
      </c>
      <c r="L672" s="203">
        <f ca="1">IFERROR(__xludf.DUMMYFUNCTION("""COMPUTED_VALUE"""),2727.27)</f>
        <v>2727.27</v>
      </c>
      <c r="M672" s="33" t="str">
        <f ca="1">IFERROR(__xludf.DUMMYFUNCTION("""COMPUTED_VALUE"""),"03 ORL")</f>
        <v>03 ORL</v>
      </c>
      <c r="N672" s="33" t="str">
        <f ca="1">IFERROR(__xludf.DUMMYFUNCTION("""COMPUTED_VALUE"""),"06 ORL")</f>
        <v>06 ORL</v>
      </c>
      <c r="O672" s="33" t="str">
        <f ca="1">IFERROR(__xludf.DUMMYFUNCTION("""COMPUTED_VALUE"""),"Dr, Oscar A, Sánchez Valenzuela")</f>
        <v>Dr, Oscar A, Sánchez Valenzuela</v>
      </c>
      <c r="P672" s="33" t="str">
        <f ca="1">IFERROR(__xludf.DUMMYFUNCTION("""COMPUTED_VALUE"""),"Maika Blázquez (Madrid)")</f>
        <v>Maika Blázquez (Madrid)</v>
      </c>
    </row>
    <row r="673" spans="2:16">
      <c r="B673" s="33">
        <f ca="1">IFERROR(__xludf.DUMMYFUNCTION("""COMPUTED_VALUE"""),2025)</f>
        <v>2025</v>
      </c>
      <c r="C673" s="33">
        <f ca="1">IFERROR(__xludf.DUMMYFUNCTION("""COMPUTED_VALUE"""),5)</f>
        <v>5</v>
      </c>
      <c r="D673" s="33" t="str">
        <f ca="1">IFERROR(__xludf.DUMMYFUNCTION("""COMPUTED_VALUE"""),"NO")</f>
        <v>NO</v>
      </c>
      <c r="E673" s="33" t="str">
        <f ca="1">IFERROR(__xludf.DUMMYFUNCTION("""COMPUTED_VALUE"""),"Madrid- La Oca")</f>
        <v>Madrid- La Oca</v>
      </c>
      <c r="F673" s="57">
        <f ca="1">IFERROR(__xludf.DUMMYFUNCTION("""COMPUTED_VALUE"""),45807)</f>
        <v>45807</v>
      </c>
      <c r="G673" s="57">
        <f ca="1">IFERROR(__xludf.DUMMYFUNCTION("""COMPUTED_VALUE"""),45751)</f>
        <v>45751</v>
      </c>
      <c r="H673" s="33" t="str">
        <f ca="1">IFERROR(__xludf.DUMMYFUNCTION("""COMPUTED_VALUE"""),"La Oca")</f>
        <v>La Oca</v>
      </c>
      <c r="I673" s="33" t="str">
        <f ca="1">IFERROR(__xludf.DUMMYFUNCTION("""COMPUTED_VALUE"""),"C202549113558772")</f>
        <v>C202549113558772</v>
      </c>
      <c r="J673" s="33" t="str">
        <f ca="1">IFERROR(__xludf.DUMMYFUNCTION("""COMPUTED_VALUE"""),"TERESA GALINDO SERRANO")</f>
        <v>TERESA GALINDO SERRANO</v>
      </c>
      <c r="K673" s="33">
        <f ca="1">IFERROR(__xludf.DUMMYFUNCTION("""COMPUTED_VALUE"""),2)</f>
        <v>2</v>
      </c>
      <c r="L673" s="203">
        <f ca="1">IFERROR(__xludf.DUMMYFUNCTION("""COMPUTED_VALUE"""),3710)</f>
        <v>3710</v>
      </c>
      <c r="M673" s="33" t="str">
        <f ca="1">IFERROR(__xludf.DUMMYFUNCTION("""COMPUTED_VALUE"""),"03 ORL")</f>
        <v>03 ORL</v>
      </c>
      <c r="N673" s="33" t="str">
        <f ca="1">IFERROR(__xludf.DUMMYFUNCTION("""COMPUTED_VALUE"""),"22 AUDIOMETRIA CLINICA")</f>
        <v>22 AUDIOMETRIA CLINICA</v>
      </c>
      <c r="O673" s="33" t="str">
        <f ca="1">IFERROR(__xludf.DUMMYFUNCTION("""COMPUTED_VALUE"""),"Dra, Cristina Povedano Fernández")</f>
        <v>Dra, Cristina Povedano Fernández</v>
      </c>
      <c r="P673" s="33" t="str">
        <f ca="1">IFERROR(__xludf.DUMMYFUNCTION("""COMPUTED_VALUE"""),"Maika Blázquez (Madrid)")</f>
        <v>Maika Blázquez (Madrid)</v>
      </c>
    </row>
    <row r="674" spans="2:16">
      <c r="B674" s="33">
        <f ca="1">IFERROR(__xludf.DUMMYFUNCTION("""COMPUTED_VALUE"""),2025)</f>
        <v>2025</v>
      </c>
      <c r="C674" s="33">
        <f ca="1">IFERROR(__xludf.DUMMYFUNCTION("""COMPUTED_VALUE"""),5)</f>
        <v>5</v>
      </c>
      <c r="D674" s="33" t="str">
        <f ca="1">IFERROR(__xludf.DUMMYFUNCTION("""COMPUTED_VALUE"""),"NO")</f>
        <v>NO</v>
      </c>
      <c r="E674" s="33" t="str">
        <f ca="1">IFERROR(__xludf.DUMMYFUNCTION("""COMPUTED_VALUE"""),"Madrid- Monforte de Lemos")</f>
        <v>Madrid- Monforte de Lemos</v>
      </c>
      <c r="F674" s="57">
        <f ca="1">IFERROR(__xludf.DUMMYFUNCTION("""COMPUTED_VALUE"""),45798)</f>
        <v>45798</v>
      </c>
      <c r="G674" s="57">
        <f ca="1">IFERROR(__xludf.DUMMYFUNCTION("""COMPUTED_VALUE"""),45782)</f>
        <v>45782</v>
      </c>
      <c r="H674" s="33" t="str">
        <f ca="1">IFERROR(__xludf.DUMMYFUNCTION("""COMPUTED_VALUE"""),"La Vaguada")</f>
        <v>La Vaguada</v>
      </c>
      <c r="I674" s="33" t="str">
        <f ca="1">IFERROR(__xludf.DUMMYFUNCTION("""COMPUTED_VALUE"""),"C202557162154624")</f>
        <v>C202557162154624</v>
      </c>
      <c r="J674" s="33" t="str">
        <f ca="1">IFERROR(__xludf.DUMMYFUNCTION("""COMPUTED_VALUE"""),"DOMINGO DOS SANTOS FERREIRA")</f>
        <v>DOMINGO DOS SANTOS FERREIRA</v>
      </c>
      <c r="K674" s="33">
        <f ca="1">IFERROR(__xludf.DUMMYFUNCTION("""COMPUTED_VALUE"""),2)</f>
        <v>2</v>
      </c>
      <c r="L674" s="203">
        <f ca="1">IFERROR(__xludf.DUMMYFUNCTION("""COMPUTED_VALUE"""),4000)</f>
        <v>4000</v>
      </c>
      <c r="M674" s="33" t="str">
        <f ca="1">IFERROR(__xludf.DUMMYFUNCTION("""COMPUTED_VALUE"""),"03 ORL")</f>
        <v>03 ORL</v>
      </c>
      <c r="N674" s="33" t="str">
        <f ca="1">IFERROR(__xludf.DUMMYFUNCTION("""COMPUTED_VALUE"""),"06 ORL")</f>
        <v>06 ORL</v>
      </c>
      <c r="O674" s="33" t="str">
        <f ca="1">IFERROR(__xludf.DUMMYFUNCTION("""COMPUTED_VALUE"""),"Dr, Álvaro Sánchez de Arriba")</f>
        <v>Dr, Álvaro Sánchez de Arriba</v>
      </c>
      <c r="P674" s="33" t="str">
        <f ca="1">IFERROR(__xludf.DUMMYFUNCTION("""COMPUTED_VALUE"""),"Lisandro Russian (Madrid, Cáceres, Toledo, Talavera Y Logroño)")</f>
        <v>Lisandro Russian (Madrid, Cáceres, Toledo, Talavera Y Logroño)</v>
      </c>
    </row>
    <row r="675" spans="2:16">
      <c r="B675" s="33">
        <f ca="1">IFERROR(__xludf.DUMMYFUNCTION("""COMPUTED_VALUE"""),2025)</f>
        <v>2025</v>
      </c>
      <c r="C675" s="33">
        <f ca="1">IFERROR(__xludf.DUMMYFUNCTION("""COMPUTED_VALUE"""),5)</f>
        <v>5</v>
      </c>
      <c r="D675" s="33" t="str">
        <f ca="1">IFERROR(__xludf.DUMMYFUNCTION("""COMPUTED_VALUE"""),"NO")</f>
        <v>NO</v>
      </c>
      <c r="E675" s="33" t="str">
        <f ca="1">IFERROR(__xludf.DUMMYFUNCTION("""COMPUTED_VALUE"""),"Madrid- Monforte de Lemos")</f>
        <v>Madrid- Monforte de Lemos</v>
      </c>
      <c r="F675" s="57">
        <f ca="1">IFERROR(__xludf.DUMMYFUNCTION("""COMPUTED_VALUE"""),45803)</f>
        <v>45803</v>
      </c>
      <c r="G675" s="57">
        <f ca="1">IFERROR(__xludf.DUMMYFUNCTION("""COMPUTED_VALUE"""),45776)</f>
        <v>45776</v>
      </c>
      <c r="H675" s="33" t="str">
        <f ca="1">IFERROR(__xludf.DUMMYFUNCTION("""COMPUTED_VALUE"""),"La Vaguada")</f>
        <v>La Vaguada</v>
      </c>
      <c r="I675" s="33" t="str">
        <f ca="1">IFERROR(__xludf.DUMMYFUNCTION("""COMPUTED_VALUE"""),"C2025430131738688")</f>
        <v>C2025430131738688</v>
      </c>
      <c r="J675" s="33" t="str">
        <f ca="1">IFERROR(__xludf.DUMMYFUNCTION("""COMPUTED_VALUE"""),"JOSE FELIX JIMENEZ MORENO")</f>
        <v>JOSE FELIX JIMENEZ MORENO</v>
      </c>
      <c r="K675" s="33">
        <f ca="1">IFERROR(__xludf.DUMMYFUNCTION("""COMPUTED_VALUE"""),2)</f>
        <v>2</v>
      </c>
      <c r="L675" s="203">
        <f ca="1">IFERROR(__xludf.DUMMYFUNCTION("""COMPUTED_VALUE"""),3710)</f>
        <v>3710</v>
      </c>
      <c r="M675" s="33" t="str">
        <f ca="1">IFERROR(__xludf.DUMMYFUNCTION("""COMPUTED_VALUE"""),"03 ORL")</f>
        <v>03 ORL</v>
      </c>
      <c r="N675" s="33" t="str">
        <f ca="1">IFERROR(__xludf.DUMMYFUNCTION("""COMPUTED_VALUE"""),"06 ORL")</f>
        <v>06 ORL</v>
      </c>
      <c r="O675" s="33" t="str">
        <f ca="1">IFERROR(__xludf.DUMMYFUNCTION("""COMPUTED_VALUE"""),"Dr, José Gustavo Barroso Braojos")</f>
        <v>Dr, José Gustavo Barroso Braojos</v>
      </c>
      <c r="P675" s="33" t="str">
        <f ca="1">IFERROR(__xludf.DUMMYFUNCTION("""COMPUTED_VALUE"""),"Maika Blázquez (Madrid)")</f>
        <v>Maika Blázquez (Madrid)</v>
      </c>
    </row>
    <row r="676" spans="2:16">
      <c r="B676" s="33">
        <f ca="1">IFERROR(__xludf.DUMMYFUNCTION("""COMPUTED_VALUE"""),2025)</f>
        <v>2025</v>
      </c>
      <c r="C676" s="33">
        <f ca="1">IFERROR(__xludf.DUMMYFUNCTION("""COMPUTED_VALUE"""),5)</f>
        <v>5</v>
      </c>
      <c r="D676" s="33" t="str">
        <f ca="1">IFERROR(__xludf.DUMMYFUNCTION("""COMPUTED_VALUE"""),"NO")</f>
        <v>NO</v>
      </c>
      <c r="E676" s="33" t="str">
        <f ca="1">IFERROR(__xludf.DUMMYFUNCTION("""COMPUTED_VALUE"""),"Madrid- Monforte de Lemos")</f>
        <v>Madrid- Monforte de Lemos</v>
      </c>
      <c r="F676" s="57">
        <f ca="1">IFERROR(__xludf.DUMMYFUNCTION("""COMPUTED_VALUE"""),45797)</f>
        <v>45797</v>
      </c>
      <c r="G676" s="57">
        <f ca="1">IFERROR(__xludf.DUMMYFUNCTION("""COMPUTED_VALUE"""),45756)</f>
        <v>45756</v>
      </c>
      <c r="H676" s="33" t="str">
        <f ca="1">IFERROR(__xludf.DUMMYFUNCTION("""COMPUTED_VALUE"""),"La Vaguada")</f>
        <v>La Vaguada</v>
      </c>
      <c r="I676" s="33" t="str">
        <f ca="1">IFERROR(__xludf.DUMMYFUNCTION("""COMPUTED_VALUE"""),"C202542316221658")</f>
        <v>C202542316221658</v>
      </c>
      <c r="J676" s="33" t="str">
        <f ca="1">IFERROR(__xludf.DUMMYFUNCTION("""COMPUTED_VALUE"""),"MARIA JESUS ESCOBEDO SAIZ")</f>
        <v>MARIA JESUS ESCOBEDO SAIZ</v>
      </c>
      <c r="K676" s="33">
        <f ca="1">IFERROR(__xludf.DUMMYFUNCTION("""COMPUTED_VALUE"""),2)</f>
        <v>2</v>
      </c>
      <c r="L676" s="203">
        <f ca="1">IFERROR(__xludf.DUMMYFUNCTION("""COMPUTED_VALUE"""),2888.18)</f>
        <v>2888.18</v>
      </c>
      <c r="M676" s="33" t="str">
        <f ca="1">IFERROR(__xludf.DUMMYFUNCTION("""COMPUTED_VALUE"""),"03 ORL")</f>
        <v>03 ORL</v>
      </c>
      <c r="N676" s="33" t="str">
        <f ca="1">IFERROR(__xludf.DUMMYFUNCTION("""COMPUTED_VALUE"""),"06 ORL")</f>
        <v>06 ORL</v>
      </c>
      <c r="O676" s="33" t="str">
        <f ca="1">IFERROR(__xludf.DUMMYFUNCTION("""COMPUTED_VALUE"""),"Dra, Laura Gálvez Gazo")</f>
        <v>Dra, Laura Gálvez Gazo</v>
      </c>
      <c r="P676" s="33" t="str">
        <f ca="1">IFERROR(__xludf.DUMMYFUNCTION("""COMPUTED_VALUE"""),"Maika Blázquez (Madrid)")</f>
        <v>Maika Blázquez (Madrid)</v>
      </c>
    </row>
    <row r="677" spans="2:16">
      <c r="B677" s="33">
        <f ca="1">IFERROR(__xludf.DUMMYFUNCTION("""COMPUTED_VALUE"""),2025)</f>
        <v>2025</v>
      </c>
      <c r="C677" s="33">
        <f ca="1">IFERROR(__xludf.DUMMYFUNCTION("""COMPUTED_VALUE"""),5)</f>
        <v>5</v>
      </c>
      <c r="D677" s="33" t="str">
        <f ca="1">IFERROR(__xludf.DUMMYFUNCTION("""COMPUTED_VALUE"""),"NO")</f>
        <v>NO</v>
      </c>
      <c r="E677" s="33" t="str">
        <f ca="1">IFERROR(__xludf.DUMMYFUNCTION("""COMPUTED_VALUE"""),"Madrid- Monforte de Lemos")</f>
        <v>Madrid- Monforte de Lemos</v>
      </c>
      <c r="F677" s="57">
        <f ca="1">IFERROR(__xludf.DUMMYFUNCTION("""COMPUTED_VALUE"""),45791)</f>
        <v>45791</v>
      </c>
      <c r="G677" s="57">
        <f ca="1">IFERROR(__xludf.DUMMYFUNCTION("""COMPUTED_VALUE"""),45754)</f>
        <v>45754</v>
      </c>
      <c r="H677" s="33" t="str">
        <f ca="1">IFERROR(__xludf.DUMMYFUNCTION("""COMPUTED_VALUE"""),"La Vaguada")</f>
        <v>La Vaguada</v>
      </c>
      <c r="I677" s="33" t="str">
        <f ca="1">IFERROR(__xludf.DUMMYFUNCTION("""COMPUTED_VALUE"""),"C202547125519540")</f>
        <v>C202547125519540</v>
      </c>
      <c r="J677" s="33" t="str">
        <f ca="1">IFERROR(__xludf.DUMMYFUNCTION("""COMPUTED_VALUE"""),"ROCIO LOPEZ PRIETO")</f>
        <v>ROCIO LOPEZ PRIETO</v>
      </c>
      <c r="K677" s="33">
        <f ca="1">IFERROR(__xludf.DUMMYFUNCTION("""COMPUTED_VALUE"""),1)</f>
        <v>1</v>
      </c>
      <c r="L677" s="203">
        <f ca="1">IFERROR(__xludf.DUMMYFUNCTION("""COMPUTED_VALUE"""),2226.36)</f>
        <v>2226.36</v>
      </c>
      <c r="M677" s="33" t="str">
        <f ca="1">IFERROR(__xludf.DUMMYFUNCTION("""COMPUTED_VALUE"""),"03 ORL")</f>
        <v>03 ORL</v>
      </c>
      <c r="N677" s="33" t="str">
        <f ca="1">IFERROR(__xludf.DUMMYFUNCTION("""COMPUTED_VALUE"""),"06 ORL")</f>
        <v>06 ORL</v>
      </c>
      <c r="O677" s="33" t="str">
        <f ca="1">IFERROR(__xludf.DUMMYFUNCTION("""COMPUTED_VALUE"""),"Dra, María Fernanda Escala Pedreros")</f>
        <v>Dra, María Fernanda Escala Pedreros</v>
      </c>
      <c r="P677" s="33" t="str">
        <f ca="1">IFERROR(__xludf.DUMMYFUNCTION("""COMPUTED_VALUE"""),"Lisandro Russian (Madrid, Cáceres, Toledo, Talavera Y Logroño)")</f>
        <v>Lisandro Russian (Madrid, Cáceres, Toledo, Talavera Y Logroño)</v>
      </c>
    </row>
    <row r="678" spans="2:16">
      <c r="B678" s="33">
        <f ca="1">IFERROR(__xludf.DUMMYFUNCTION("""COMPUTED_VALUE"""),2025)</f>
        <v>2025</v>
      </c>
      <c r="C678" s="33">
        <f ca="1">IFERROR(__xludf.DUMMYFUNCTION("""COMPUTED_VALUE"""),5)</f>
        <v>5</v>
      </c>
      <c r="D678" s="33" t="str">
        <f ca="1">IFERROR(__xludf.DUMMYFUNCTION("""COMPUTED_VALUE"""),"NO")</f>
        <v>NO</v>
      </c>
      <c r="E678" s="33" t="str">
        <f ca="1">IFERROR(__xludf.DUMMYFUNCTION("""COMPUTED_VALUE"""),"Madrid- Monforte de Lemos")</f>
        <v>Madrid- Monforte de Lemos</v>
      </c>
      <c r="F678" s="57">
        <f ca="1">IFERROR(__xludf.DUMMYFUNCTION("""COMPUTED_VALUE"""),45796)</f>
        <v>45796</v>
      </c>
      <c r="G678" s="57">
        <f ca="1">IFERROR(__xludf.DUMMYFUNCTION("""COMPUTED_VALUE"""),45783)</f>
        <v>45783</v>
      </c>
      <c r="H678" s="33" t="str">
        <f ca="1">IFERROR(__xludf.DUMMYFUNCTION("""COMPUTED_VALUE"""),"La Vaguada")</f>
        <v>La Vaguada</v>
      </c>
      <c r="I678" s="33" t="str">
        <f ca="1">IFERROR(__xludf.DUMMYFUNCTION("""COMPUTED_VALUE"""),"C202558162243855")</f>
        <v>C202558162243855</v>
      </c>
      <c r="J678" s="33" t="str">
        <f ca="1">IFERROR(__xludf.DUMMYFUNCTION("""COMPUTED_VALUE"""),"VICTORINO OLLOQUI GARCIA")</f>
        <v>VICTORINO OLLOQUI GARCIA</v>
      </c>
      <c r="K678" s="33">
        <f ca="1">IFERROR(__xludf.DUMMYFUNCTION("""COMPUTED_VALUE"""),2)</f>
        <v>2</v>
      </c>
      <c r="L678" s="203">
        <f ca="1">IFERROR(__xludf.DUMMYFUNCTION("""COMPUTED_VALUE"""),4531.82)</f>
        <v>4531.82</v>
      </c>
      <c r="M678" s="33" t="str">
        <f ca="1">IFERROR(__xludf.DUMMYFUNCTION("""COMPUTED_VALUE"""),"03 ORL")</f>
        <v>03 ORL</v>
      </c>
      <c r="N678" s="33" t="str">
        <f ca="1">IFERROR(__xludf.DUMMYFUNCTION("""COMPUTED_VALUE"""),"06 ORL")</f>
        <v>06 ORL</v>
      </c>
      <c r="O678" s="33" t="str">
        <f ca="1">IFERROR(__xludf.DUMMYFUNCTION("""COMPUTED_VALUE"""),"Dr, Javier Gavilanes Plasencia")</f>
        <v>Dr, Javier Gavilanes Plasencia</v>
      </c>
      <c r="P678" s="33" t="str">
        <f ca="1">IFERROR(__xludf.DUMMYFUNCTION("""COMPUTED_VALUE"""),"Maika Blázquez (Madrid)")</f>
        <v>Maika Blázquez (Madrid)</v>
      </c>
    </row>
    <row r="679" spans="2:16">
      <c r="B679" s="33">
        <f ca="1">IFERROR(__xludf.DUMMYFUNCTION("""COMPUTED_VALUE"""),2025)</f>
        <v>2025</v>
      </c>
      <c r="C679" s="33">
        <f ca="1">IFERROR(__xludf.DUMMYFUNCTION("""COMPUTED_VALUE"""),5)</f>
        <v>5</v>
      </c>
      <c r="D679" s="33" t="str">
        <f ca="1">IFERROR(__xludf.DUMMYFUNCTION("""COMPUTED_VALUE"""),"NO")</f>
        <v>NO</v>
      </c>
      <c r="E679" s="33" t="str">
        <f ca="1">IFERROR(__xludf.DUMMYFUNCTION("""COMPUTED_VALUE"""),"Madrid- Moratalaz")</f>
        <v>Madrid- Moratalaz</v>
      </c>
      <c r="F679" s="57">
        <f ca="1">IFERROR(__xludf.DUMMYFUNCTION("""COMPUTED_VALUE"""),45807)</f>
        <v>45807</v>
      </c>
      <c r="G679" s="57">
        <f ca="1">IFERROR(__xludf.DUMMYFUNCTION("""COMPUTED_VALUE"""),45785)</f>
        <v>45785</v>
      </c>
      <c r="H679" s="33" t="str">
        <f ca="1">IFERROR(__xludf.DUMMYFUNCTION("""COMPUTED_VALUE"""),"Moratalaz")</f>
        <v>Moratalaz</v>
      </c>
      <c r="I679" s="33" t="str">
        <f ca="1">IFERROR(__xludf.DUMMYFUNCTION("""COMPUTED_VALUE"""),"C202551312215598")</f>
        <v>C202551312215598</v>
      </c>
      <c r="J679" s="33" t="str">
        <f ca="1">IFERROR(__xludf.DUMMYFUNCTION("""COMPUTED_VALUE"""),"CARMEN  GARCIA TOLOBA")</f>
        <v>CARMEN  GARCIA TOLOBA</v>
      </c>
      <c r="K679" s="33">
        <f ca="1">IFERROR(__xludf.DUMMYFUNCTION("""COMPUTED_VALUE"""),2)</f>
        <v>2</v>
      </c>
      <c r="L679" s="203">
        <f ca="1">IFERROR(__xludf.DUMMYFUNCTION("""COMPUTED_VALUE"""),4531.82)</f>
        <v>4531.82</v>
      </c>
      <c r="M679" s="33" t="str">
        <f ca="1">IFERROR(__xludf.DUMMYFUNCTION("""COMPUTED_VALUE"""),"03 ORL")</f>
        <v>03 ORL</v>
      </c>
      <c r="N679" s="33" t="str">
        <f ca="1">IFERROR(__xludf.DUMMYFUNCTION("""COMPUTED_VALUE"""),"06 ORL")</f>
        <v>06 ORL</v>
      </c>
      <c r="O679" s="33" t="str">
        <f ca="1">IFERROR(__xludf.DUMMYFUNCTION("""COMPUTED_VALUE"""),"Dr, Antonio Rodríguez Rivero")</f>
        <v>Dr, Antonio Rodríguez Rivero</v>
      </c>
      <c r="P679" s="33" t="str">
        <f ca="1">IFERROR(__xludf.DUMMYFUNCTION("""COMPUTED_VALUE"""),"Maika Blázquez (Madrid)")</f>
        <v>Maika Blázquez (Madrid)</v>
      </c>
    </row>
    <row r="680" spans="2:16">
      <c r="B680" s="33">
        <f ca="1">IFERROR(__xludf.DUMMYFUNCTION("""COMPUTED_VALUE"""),2025)</f>
        <v>2025</v>
      </c>
      <c r="C680" s="33">
        <f ca="1">IFERROR(__xludf.DUMMYFUNCTION("""COMPUTED_VALUE"""),5)</f>
        <v>5</v>
      </c>
      <c r="D680" s="33" t="str">
        <f ca="1">IFERROR(__xludf.DUMMYFUNCTION("""COMPUTED_VALUE"""),"NO")</f>
        <v>NO</v>
      </c>
      <c r="E680" s="33" t="str">
        <f ca="1">IFERROR(__xludf.DUMMYFUNCTION("""COMPUTED_VALUE"""),"Madrid- Moratalaz")</f>
        <v>Madrid- Moratalaz</v>
      </c>
      <c r="F680" s="57">
        <f ca="1">IFERROR(__xludf.DUMMYFUNCTION("""COMPUTED_VALUE"""),45806)</f>
        <v>45806</v>
      </c>
      <c r="G680" s="57">
        <f ca="1">IFERROR(__xludf.DUMMYFUNCTION("""COMPUTED_VALUE"""),44649)</f>
        <v>44649</v>
      </c>
      <c r="H680" s="33" t="str">
        <f ca="1">IFERROR(__xludf.DUMMYFUNCTION("""COMPUTED_VALUE"""),"Moratalaz")</f>
        <v>Moratalaz</v>
      </c>
      <c r="I680" s="33" t="str">
        <f ca="1">IFERROR(__xludf.DUMMYFUNCTION("""COMPUTED_VALUE"""),"MOR-1921")</f>
        <v>MOR-1921</v>
      </c>
      <c r="J680" s="33" t="str">
        <f ca="1">IFERROR(__xludf.DUMMYFUNCTION("""COMPUTED_VALUE"""),"KENIA MERCEDES MERCEDES")</f>
        <v>KENIA MERCEDES MERCEDES</v>
      </c>
      <c r="K680" s="33">
        <f ca="1">IFERROR(__xludf.DUMMYFUNCTION("""COMPUTED_VALUE"""),1)</f>
        <v>1</v>
      </c>
      <c r="L680" s="203">
        <f ca="1">IFERROR(__xludf.DUMMYFUNCTION("""COMPUTED_VALUE"""),1962.02)</f>
        <v>1962.02</v>
      </c>
      <c r="M680" s="33" t="str">
        <f ca="1">IFERROR(__xludf.DUMMYFUNCTION("""COMPUTED_VALUE"""),"03 ORL")</f>
        <v>03 ORL</v>
      </c>
      <c r="N680" s="33" t="str">
        <f ca="1">IFERROR(__xludf.DUMMYFUNCTION("""COMPUTED_VALUE"""),"06 ORL")</f>
        <v>06 ORL</v>
      </c>
      <c r="O680" s="33" t="str">
        <f ca="1">IFERROR(__xludf.DUMMYFUNCTION("""COMPUTED_VALUE"""),"Dra, Sara Reda del Barrio")</f>
        <v>Dra, Sara Reda del Barrio</v>
      </c>
      <c r="P680" s="33" t="str">
        <f ca="1">IFERROR(__xludf.DUMMYFUNCTION("""COMPUTED_VALUE"""),"Maika Blázquez (Madrid)")</f>
        <v>Maika Blázquez (Madrid)</v>
      </c>
    </row>
    <row r="681" spans="2:16">
      <c r="B681" s="33">
        <f ca="1">IFERROR(__xludf.DUMMYFUNCTION("""COMPUTED_VALUE"""),2025)</f>
        <v>2025</v>
      </c>
      <c r="C681" s="33">
        <f ca="1">IFERROR(__xludf.DUMMYFUNCTION("""COMPUTED_VALUE"""),5)</f>
        <v>5</v>
      </c>
      <c r="D681" s="33" t="str">
        <f ca="1">IFERROR(__xludf.DUMMYFUNCTION("""COMPUTED_VALUE"""),"NO")</f>
        <v>NO</v>
      </c>
      <c r="E681" s="33" t="str">
        <f ca="1">IFERROR(__xludf.DUMMYFUNCTION("""COMPUTED_VALUE"""),"Madrid- Moratalaz")</f>
        <v>Madrid- Moratalaz</v>
      </c>
      <c r="F681" s="57">
        <f ca="1">IFERROR(__xludf.DUMMYFUNCTION("""COMPUTED_VALUE"""),45797)</f>
        <v>45797</v>
      </c>
      <c r="G681" s="57">
        <f ca="1">IFERROR(__xludf.DUMMYFUNCTION("""COMPUTED_VALUE"""),45755)</f>
        <v>45755</v>
      </c>
      <c r="H681" s="33" t="str">
        <f ca="1">IFERROR(__xludf.DUMMYFUNCTION("""COMPUTED_VALUE"""),"Moratalaz")</f>
        <v>Moratalaz</v>
      </c>
      <c r="I681" s="33" t="str">
        <f ca="1">IFERROR(__xludf.DUMMYFUNCTION("""COMPUTED_VALUE"""),"C202551215548461")</f>
        <v>C202551215548461</v>
      </c>
      <c r="J681" s="33" t="str">
        <f ca="1">IFERROR(__xludf.DUMMYFUNCTION("""COMPUTED_VALUE"""),"PILAR QUEJIGO TORRES")</f>
        <v>PILAR QUEJIGO TORRES</v>
      </c>
      <c r="K681" s="33">
        <f ca="1">IFERROR(__xludf.DUMMYFUNCTION("""COMPUTED_VALUE"""),1)</f>
        <v>1</v>
      </c>
      <c r="L681" s="203">
        <f ca="1">IFERROR(__xludf.DUMMYFUNCTION("""COMPUTED_VALUE"""),2400)</f>
        <v>2400</v>
      </c>
      <c r="M681" s="33" t="str">
        <f ca="1">IFERROR(__xludf.DUMMYFUNCTION("""COMPUTED_VALUE"""),"03 ORL")</f>
        <v>03 ORL</v>
      </c>
      <c r="N681" s="33" t="str">
        <f ca="1">IFERROR(__xludf.DUMMYFUNCTION("""COMPUTED_VALUE"""),"06 ORL")</f>
        <v>06 ORL</v>
      </c>
      <c r="O681" s="33" t="str">
        <f ca="1">IFERROR(__xludf.DUMMYFUNCTION("""COMPUTED_VALUE"""),"Dr, Francisco Javier Redondo del Barco")</f>
        <v>Dr, Francisco Javier Redondo del Barco</v>
      </c>
      <c r="P681" s="33" t="str">
        <f ca="1">IFERROR(__xludf.DUMMYFUNCTION("""COMPUTED_VALUE"""),"Lisandro Russian (Madrid, Cáceres, Toledo, Talavera Y Logroño)")</f>
        <v>Lisandro Russian (Madrid, Cáceres, Toledo, Talavera Y Logroño)</v>
      </c>
    </row>
    <row r="682" spans="2:16">
      <c r="B682" s="33">
        <f ca="1">IFERROR(__xludf.DUMMYFUNCTION("""COMPUTED_VALUE"""),2025)</f>
        <v>2025</v>
      </c>
      <c r="C682" s="33">
        <f ca="1">IFERROR(__xludf.DUMMYFUNCTION("""COMPUTED_VALUE"""),5)</f>
        <v>5</v>
      </c>
      <c r="D682" s="33" t="str">
        <f ca="1">IFERROR(__xludf.DUMMYFUNCTION("""COMPUTED_VALUE"""),"NO")</f>
        <v>NO</v>
      </c>
      <c r="E682" s="33" t="str">
        <f ca="1">IFERROR(__xludf.DUMMYFUNCTION("""COMPUTED_VALUE"""),"Murcia")</f>
        <v>Murcia</v>
      </c>
      <c r="F682" s="57">
        <f ca="1">IFERROR(__xludf.DUMMYFUNCTION("""COMPUTED_VALUE"""),45779)</f>
        <v>45779</v>
      </c>
      <c r="G682" s="57">
        <f ca="1">IFERROR(__xludf.DUMMYFUNCTION("""COMPUTED_VALUE"""),45734)</f>
        <v>45734</v>
      </c>
      <c r="H682" s="33" t="str">
        <f ca="1">IFERROR(__xludf.DUMMYFUNCTION("""COMPUTED_VALUE"""),"Murcia")</f>
        <v>Murcia</v>
      </c>
      <c r="I682" s="33" t="str">
        <f ca="1">IFERROR(__xludf.DUMMYFUNCTION("""COMPUTED_VALUE"""),"C202532617178208")</f>
        <v>C202532617178208</v>
      </c>
      <c r="J682" s="33" t="str">
        <f ca="1">IFERROR(__xludf.DUMMYFUNCTION("""COMPUTED_VALUE"""),"CARIDAD GONZALEZ PELLICER")</f>
        <v>CARIDAD GONZALEZ PELLICER</v>
      </c>
      <c r="K682" s="33">
        <f ca="1">IFERROR(__xludf.DUMMYFUNCTION("""COMPUTED_VALUE"""),2)</f>
        <v>2</v>
      </c>
      <c r="L682" s="203">
        <f ca="1">IFERROR(__xludf.DUMMYFUNCTION("""COMPUTED_VALUE"""),2888.19)</f>
        <v>2888.19</v>
      </c>
      <c r="M682" s="33" t="str">
        <f ca="1">IFERROR(__xludf.DUMMYFUNCTION("""COMPUTED_VALUE"""),"03 ORL")</f>
        <v>03 ORL</v>
      </c>
      <c r="N682" s="33" t="str">
        <f ca="1">IFERROR(__xludf.DUMMYFUNCTION("""COMPUTED_VALUE"""),"06 ORL")</f>
        <v>06 ORL</v>
      </c>
      <c r="O682" s="33" t="str">
        <f ca="1">IFERROR(__xludf.DUMMYFUNCTION("""COMPUTED_VALUE"""),"Dr, Enrique Viviente Rodríguez")</f>
        <v>Dr, Enrique Viviente Rodríguez</v>
      </c>
      <c r="P682" s="33" t="str">
        <f ca="1">IFERROR(__xludf.DUMMYFUNCTION("""COMPUTED_VALUE"""),"Iván Sánchez (Levante Y Albacete)")</f>
        <v>Iván Sánchez (Levante Y Albacete)</v>
      </c>
    </row>
    <row r="683" spans="2:16">
      <c r="B683" s="33">
        <f ca="1">IFERROR(__xludf.DUMMYFUNCTION("""COMPUTED_VALUE"""),2025)</f>
        <v>2025</v>
      </c>
      <c r="C683" s="33">
        <f ca="1">IFERROR(__xludf.DUMMYFUNCTION("""COMPUTED_VALUE"""),5)</f>
        <v>5</v>
      </c>
      <c r="D683" s="33" t="str">
        <f ca="1">IFERROR(__xludf.DUMMYFUNCTION("""COMPUTED_VALUE"""),"NO")</f>
        <v>NO</v>
      </c>
      <c r="E683" s="33" t="str">
        <f ca="1">IFERROR(__xludf.DUMMYFUNCTION("""COMPUTED_VALUE"""),"Murcia")</f>
        <v>Murcia</v>
      </c>
      <c r="F683" s="57">
        <f ca="1">IFERROR(__xludf.DUMMYFUNCTION("""COMPUTED_VALUE"""),45805)</f>
        <v>45805</v>
      </c>
      <c r="G683" s="57">
        <f ca="1">IFERROR(__xludf.DUMMYFUNCTION("""COMPUTED_VALUE"""),45763)</f>
        <v>45763</v>
      </c>
      <c r="H683" s="33" t="str">
        <f ca="1">IFERROR(__xludf.DUMMYFUNCTION("""COMPUTED_VALUE"""),"Murcia")</f>
        <v>Murcia</v>
      </c>
      <c r="I683" s="33" t="str">
        <f ca="1">IFERROR(__xludf.DUMMYFUNCTION("""COMPUTED_VALUE"""),"C20254231623403")</f>
        <v>C20254231623403</v>
      </c>
      <c r="J683" s="33" t="str">
        <f ca="1">IFERROR(__xludf.DUMMYFUNCTION("""COMPUTED_VALUE"""),"ISABEL PACHECO COBARRO")</f>
        <v>ISABEL PACHECO COBARRO</v>
      </c>
      <c r="K683" s="33">
        <f ca="1">IFERROR(__xludf.DUMMYFUNCTION("""COMPUTED_VALUE"""),2)</f>
        <v>2</v>
      </c>
      <c r="L683" s="203">
        <f ca="1">IFERROR(__xludf.DUMMYFUNCTION("""COMPUTED_VALUE"""),3710)</f>
        <v>3710</v>
      </c>
      <c r="M683" s="33" t="str">
        <f ca="1">IFERROR(__xludf.DUMMYFUNCTION("""COMPUTED_VALUE"""),"03 ORL")</f>
        <v>03 ORL</v>
      </c>
      <c r="N683" s="33" t="str">
        <f ca="1">IFERROR(__xludf.DUMMYFUNCTION("""COMPUTED_VALUE"""),"06 ORL")</f>
        <v>06 ORL</v>
      </c>
      <c r="O683" s="33" t="str">
        <f ca="1">IFERROR(__xludf.DUMMYFUNCTION("""COMPUTED_VALUE"""),"Dra, Aida Aviñoa Arias")</f>
        <v>Dra, Aida Aviñoa Arias</v>
      </c>
      <c r="P683" s="33" t="str">
        <f ca="1">IFERROR(__xludf.DUMMYFUNCTION("""COMPUTED_VALUE"""),"Iván Sánchez (Levante Y Albacete)")</f>
        <v>Iván Sánchez (Levante Y Albacete)</v>
      </c>
    </row>
    <row r="684" spans="2:16">
      <c r="B684" s="33">
        <f ca="1">IFERROR(__xludf.DUMMYFUNCTION("""COMPUTED_VALUE"""),2025)</f>
        <v>2025</v>
      </c>
      <c r="C684" s="33">
        <f ca="1">IFERROR(__xludf.DUMMYFUNCTION("""COMPUTED_VALUE"""),5)</f>
        <v>5</v>
      </c>
      <c r="D684" s="33" t="str">
        <f ca="1">IFERROR(__xludf.DUMMYFUNCTION("""COMPUTED_VALUE"""),"NO")</f>
        <v>NO</v>
      </c>
      <c r="E684" s="33" t="str">
        <f ca="1">IFERROR(__xludf.DUMMYFUNCTION("""COMPUTED_VALUE"""),"Murcia")</f>
        <v>Murcia</v>
      </c>
      <c r="F684" s="57">
        <f ca="1">IFERROR(__xludf.DUMMYFUNCTION("""COMPUTED_VALUE"""),45793)</f>
        <v>45793</v>
      </c>
      <c r="G684" s="57">
        <f ca="1">IFERROR(__xludf.DUMMYFUNCTION("""COMPUTED_VALUE"""),45772)</f>
        <v>45772</v>
      </c>
      <c r="H684" s="33" t="str">
        <f ca="1">IFERROR(__xludf.DUMMYFUNCTION("""COMPUTED_VALUE"""),"Murcia")</f>
        <v>Murcia</v>
      </c>
      <c r="I684" s="33" t="str">
        <f ca="1">IFERROR(__xludf.DUMMYFUNCTION("""COMPUTED_VALUE"""),"C202542912365278")</f>
        <v>C202542912365278</v>
      </c>
      <c r="J684" s="33" t="str">
        <f ca="1">IFERROR(__xludf.DUMMYFUNCTION("""COMPUTED_VALUE"""),"JOSEFA BEATRIZ MARIN EGEA")</f>
        <v>JOSEFA BEATRIZ MARIN EGEA</v>
      </c>
      <c r="K684" s="33">
        <f ca="1">IFERROR(__xludf.DUMMYFUNCTION("""COMPUTED_VALUE"""),2)</f>
        <v>2</v>
      </c>
      <c r="L684" s="203">
        <f ca="1">IFERROR(__xludf.DUMMYFUNCTION("""COMPUTED_VALUE"""),2884.62)</f>
        <v>2884.62</v>
      </c>
      <c r="M684" s="33" t="str">
        <f ca="1">IFERROR(__xludf.DUMMYFUNCTION("""COMPUTED_VALUE"""),"03 ORL")</f>
        <v>03 ORL</v>
      </c>
      <c r="N684" s="33" t="str">
        <f ca="1">IFERROR(__xludf.DUMMYFUNCTION("""COMPUTED_VALUE"""),"06 ORL")</f>
        <v>06 ORL</v>
      </c>
      <c r="O684" s="33" t="str">
        <f ca="1">IFERROR(__xludf.DUMMYFUNCTION("""COMPUTED_VALUE"""),"Dr, Enrique Viviente Rodríguez")</f>
        <v>Dr, Enrique Viviente Rodríguez</v>
      </c>
      <c r="P684" s="33" t="str">
        <f ca="1">IFERROR(__xludf.DUMMYFUNCTION("""COMPUTED_VALUE"""),"Iván Sánchez (Levante Y Albacete)")</f>
        <v>Iván Sánchez (Levante Y Albacete)</v>
      </c>
    </row>
    <row r="685" spans="2:16">
      <c r="B685" s="33">
        <f ca="1">IFERROR(__xludf.DUMMYFUNCTION("""COMPUTED_VALUE"""),2025)</f>
        <v>2025</v>
      </c>
      <c r="C685" s="33">
        <f ca="1">IFERROR(__xludf.DUMMYFUNCTION("""COMPUTED_VALUE"""),5)</f>
        <v>5</v>
      </c>
      <c r="D685" s="33" t="str">
        <f ca="1">IFERROR(__xludf.DUMMYFUNCTION("""COMPUTED_VALUE"""),"NO")</f>
        <v>NO</v>
      </c>
      <c r="E685" s="33" t="str">
        <f ca="1">IFERROR(__xludf.DUMMYFUNCTION("""COMPUTED_VALUE"""),"Murcia")</f>
        <v>Murcia</v>
      </c>
      <c r="F685" s="57">
        <f ca="1">IFERROR(__xludf.DUMMYFUNCTION("""COMPUTED_VALUE"""),45804)</f>
        <v>45804</v>
      </c>
      <c r="G685" s="57">
        <f ca="1">IFERROR(__xludf.DUMMYFUNCTION("""COMPUTED_VALUE"""),45783)</f>
        <v>45783</v>
      </c>
      <c r="H685" s="33" t="str">
        <f ca="1">IFERROR(__xludf.DUMMYFUNCTION("""COMPUTED_VALUE"""),"Murcia")</f>
        <v>Murcia</v>
      </c>
      <c r="I685" s="33" t="str">
        <f ca="1">IFERROR(__xludf.DUMMYFUNCTION("""COMPUTED_VALUE"""),"C202557183244726")</f>
        <v>C202557183244726</v>
      </c>
      <c r="J685" s="33" t="str">
        <f ca="1">IFERROR(__xludf.DUMMYFUNCTION("""COMPUTED_VALUE"""),"JOSEFA ROS BELTRAN")</f>
        <v>JOSEFA ROS BELTRAN</v>
      </c>
      <c r="K685" s="33">
        <f ca="1">IFERROR(__xludf.DUMMYFUNCTION("""COMPUTED_VALUE"""),2)</f>
        <v>2</v>
      </c>
      <c r="L685" s="203">
        <f ca="1">IFERROR(__xludf.DUMMYFUNCTION("""COMPUTED_VALUE"""),3710)</f>
        <v>3710</v>
      </c>
      <c r="M685" s="33" t="str">
        <f ca="1">IFERROR(__xludf.DUMMYFUNCTION("""COMPUTED_VALUE"""),"03 ORL")</f>
        <v>03 ORL</v>
      </c>
      <c r="N685" s="33" t="str">
        <f ca="1">IFERROR(__xludf.DUMMYFUNCTION("""COMPUTED_VALUE"""),"06 ORL")</f>
        <v>06 ORL</v>
      </c>
      <c r="O685" s="33" t="str">
        <f ca="1">IFERROR(__xludf.DUMMYFUNCTION("""COMPUTED_VALUE"""),"Dra, María Agustina Sevilla García")</f>
        <v>Dra, María Agustina Sevilla García</v>
      </c>
      <c r="P685" s="33" t="str">
        <f ca="1">IFERROR(__xludf.DUMMYFUNCTION("""COMPUTED_VALUE"""),"Iván Sánchez (Levante Y Albacete)")</f>
        <v>Iván Sánchez (Levante Y Albacete)</v>
      </c>
    </row>
    <row r="686" spans="2:16">
      <c r="B686" s="33">
        <f ca="1">IFERROR(__xludf.DUMMYFUNCTION("""COMPUTED_VALUE"""),2025)</f>
        <v>2025</v>
      </c>
      <c r="C686" s="33">
        <f ca="1">IFERROR(__xludf.DUMMYFUNCTION("""COMPUTED_VALUE"""),5)</f>
        <v>5</v>
      </c>
      <c r="D686" s="33" t="str">
        <f ca="1">IFERROR(__xludf.DUMMYFUNCTION("""COMPUTED_VALUE"""),"NO")</f>
        <v>NO</v>
      </c>
      <c r="E686" s="33" t="str">
        <f ca="1">IFERROR(__xludf.DUMMYFUNCTION("""COMPUTED_VALUE"""),"Murcia")</f>
        <v>Murcia</v>
      </c>
      <c r="F686" s="57">
        <f ca="1">IFERROR(__xludf.DUMMYFUNCTION("""COMPUTED_VALUE"""),45779)</f>
        <v>45779</v>
      </c>
      <c r="G686" s="57">
        <f ca="1">IFERROR(__xludf.DUMMYFUNCTION("""COMPUTED_VALUE"""),45741)</f>
        <v>45741</v>
      </c>
      <c r="H686" s="33" t="str">
        <f ca="1">IFERROR(__xludf.DUMMYFUNCTION("""COMPUTED_VALUE"""),"Murcia")</f>
        <v>Murcia</v>
      </c>
      <c r="I686" s="33" t="str">
        <f ca="1">IFERROR(__xludf.DUMMYFUNCTION("""COMPUTED_VALUE"""),"C202532610155344")</f>
        <v>C202532610155344</v>
      </c>
      <c r="J686" s="33" t="str">
        <f ca="1">IFERROR(__xludf.DUMMYFUNCTION("""COMPUTED_VALUE"""),"JUAN TEODORO BAÑO FRANCO")</f>
        <v>JUAN TEODORO BAÑO FRANCO</v>
      </c>
      <c r="K686" s="33">
        <f ca="1">IFERROR(__xludf.DUMMYFUNCTION("""COMPUTED_VALUE"""),1)</f>
        <v>1</v>
      </c>
      <c r="L686" s="203">
        <f ca="1">IFERROR(__xludf.DUMMYFUNCTION("""COMPUTED_VALUE"""),2280)</f>
        <v>2280</v>
      </c>
      <c r="M686" s="33" t="str">
        <f ca="1">IFERROR(__xludf.DUMMYFUNCTION("""COMPUTED_VALUE"""),"03 ORL")</f>
        <v>03 ORL</v>
      </c>
      <c r="N686" s="33" t="str">
        <f ca="1">IFERROR(__xludf.DUMMYFUNCTION("""COMPUTED_VALUE"""),"06 ORL")</f>
        <v>06 ORL</v>
      </c>
      <c r="O686" s="33" t="str">
        <f ca="1">IFERROR(__xludf.DUMMYFUNCTION("""COMPUTED_VALUE"""),"Dra, Aida Aviñoa Arias")</f>
        <v>Dra, Aida Aviñoa Arias</v>
      </c>
      <c r="P686" s="33" t="str">
        <f ca="1">IFERROR(__xludf.DUMMYFUNCTION("""COMPUTED_VALUE"""),"Iván Sánchez (Levante Y Albacete)")</f>
        <v>Iván Sánchez (Levante Y Albacete)</v>
      </c>
    </row>
    <row r="687" spans="2:16">
      <c r="B687" s="33">
        <f ca="1">IFERROR(__xludf.DUMMYFUNCTION("""COMPUTED_VALUE"""),2025)</f>
        <v>2025</v>
      </c>
      <c r="C687" s="33">
        <f ca="1">IFERROR(__xludf.DUMMYFUNCTION("""COMPUTED_VALUE"""),5)</f>
        <v>5</v>
      </c>
      <c r="D687" s="33" t="str">
        <f ca="1">IFERROR(__xludf.DUMMYFUNCTION("""COMPUTED_VALUE"""),"NO")</f>
        <v>NO</v>
      </c>
      <c r="E687" s="33" t="str">
        <f ca="1">IFERROR(__xludf.DUMMYFUNCTION("""COMPUTED_VALUE"""),"Murcia")</f>
        <v>Murcia</v>
      </c>
      <c r="F687" s="57">
        <f ca="1">IFERROR(__xludf.DUMMYFUNCTION("""COMPUTED_VALUE"""),45790)</f>
        <v>45790</v>
      </c>
      <c r="G687" s="57">
        <f ca="1">IFERROR(__xludf.DUMMYFUNCTION("""COMPUTED_VALUE"""),45733)</f>
        <v>45733</v>
      </c>
      <c r="H687" s="33" t="str">
        <f ca="1">IFERROR(__xludf.DUMMYFUNCTION("""COMPUTED_VALUE"""),"Murcia")</f>
        <v>Murcia</v>
      </c>
      <c r="I687" s="33" t="str">
        <f ca="1">IFERROR(__xludf.DUMMYFUNCTION("""COMPUTED_VALUE"""),"C202532516432291")</f>
        <v>C202532516432291</v>
      </c>
      <c r="J687" s="33" t="str">
        <f ca="1">IFERROR(__xludf.DUMMYFUNCTION("""COMPUTED_VALUE"""),"SONIA MARTINEZ MARTINEZ")</f>
        <v>SONIA MARTINEZ MARTINEZ</v>
      </c>
      <c r="K687" s="33">
        <f ca="1">IFERROR(__xludf.DUMMYFUNCTION("""COMPUTED_VALUE"""),2)</f>
        <v>2</v>
      </c>
      <c r="L687" s="203">
        <f ca="1">IFERROR(__xludf.DUMMYFUNCTION("""COMPUTED_VALUE"""),4000)</f>
        <v>4000</v>
      </c>
      <c r="M687" s="33" t="str">
        <f ca="1">IFERROR(__xludf.DUMMYFUNCTION("""COMPUTED_VALUE"""),"03 ORL")</f>
        <v>03 ORL</v>
      </c>
      <c r="N687" s="33" t="str">
        <f ca="1">IFERROR(__xludf.DUMMYFUNCTION("""COMPUTED_VALUE"""),"22 AUDIOMETRIA CLINICA")</f>
        <v>22 AUDIOMETRIA CLINICA</v>
      </c>
      <c r="O687" s="33" t="str">
        <f ca="1">IFERROR(__xludf.DUMMYFUNCTION("""COMPUTED_VALUE"""),"Dra, María Agustina Sevilla García")</f>
        <v>Dra, María Agustina Sevilla García</v>
      </c>
      <c r="P687" s="33" t="str">
        <f ca="1">IFERROR(__xludf.DUMMYFUNCTION("""COMPUTED_VALUE"""),"Iván Sánchez (Levante Y Albacete)")</f>
        <v>Iván Sánchez (Levante Y Albacete)</v>
      </c>
    </row>
    <row r="688" spans="2:16">
      <c r="B688" s="33">
        <f ca="1">IFERROR(__xludf.DUMMYFUNCTION("""COMPUTED_VALUE"""),2025)</f>
        <v>2025</v>
      </c>
      <c r="C688" s="33">
        <f ca="1">IFERROR(__xludf.DUMMYFUNCTION("""COMPUTED_VALUE"""),5)</f>
        <v>5</v>
      </c>
      <c r="D688" s="33" t="str">
        <f ca="1">IFERROR(__xludf.DUMMYFUNCTION("""COMPUTED_VALUE"""),"NO")</f>
        <v>NO</v>
      </c>
      <c r="E688" s="33" t="str">
        <f ca="1">IFERROR(__xludf.DUMMYFUNCTION("""COMPUTED_VALUE"""),"Orihuela")</f>
        <v>Orihuela</v>
      </c>
      <c r="F688" s="57">
        <f ca="1">IFERROR(__xludf.DUMMYFUNCTION("""COMPUTED_VALUE"""),45791)</f>
        <v>45791</v>
      </c>
      <c r="G688" s="57">
        <f ca="1">IFERROR(__xludf.DUMMYFUNCTION("""COMPUTED_VALUE"""),45755)</f>
        <v>45755</v>
      </c>
      <c r="H688" s="33" t="str">
        <f ca="1">IFERROR(__xludf.DUMMYFUNCTION("""COMPUTED_VALUE"""),"La Zenia")</f>
        <v>La Zenia</v>
      </c>
      <c r="I688" s="33" t="str">
        <f ca="1">IFERROR(__xludf.DUMMYFUNCTION("""COMPUTED_VALUE"""),"C202541015594666")</f>
        <v>C202541015594666</v>
      </c>
      <c r="J688" s="33" t="str">
        <f ca="1">IFERROR(__xludf.DUMMYFUNCTION("""COMPUTED_VALUE"""),"ELSA IRENE SANDBERG")</f>
        <v>ELSA IRENE SANDBERG</v>
      </c>
      <c r="K688" s="33">
        <f ca="1">IFERROR(__xludf.DUMMYFUNCTION("""COMPUTED_VALUE"""),1)</f>
        <v>1</v>
      </c>
      <c r="L688" s="203">
        <f ca="1">IFERROR(__xludf.DUMMYFUNCTION("""COMPUTED_VALUE"""),2400)</f>
        <v>2400</v>
      </c>
      <c r="M688" s="33" t="str">
        <f ca="1">IFERROR(__xludf.DUMMYFUNCTION("""COMPUTED_VALUE"""),"03 ORL")</f>
        <v>03 ORL</v>
      </c>
      <c r="N688" s="33" t="str">
        <f ca="1">IFERROR(__xludf.DUMMYFUNCTION("""COMPUTED_VALUE"""),"06 ORL")</f>
        <v>06 ORL</v>
      </c>
      <c r="O688" s="33" t="str">
        <f ca="1">IFERROR(__xludf.DUMMYFUNCTION("""COMPUTED_VALUE"""),"Dra, Oreana Carolina Camacaro González")</f>
        <v>Dra, Oreana Carolina Camacaro González</v>
      </c>
      <c r="P688" s="33" t="str">
        <f ca="1">IFERROR(__xludf.DUMMYFUNCTION("""COMPUTED_VALUE"""),"Iván Sánchez (Levante Y Albacete)")</f>
        <v>Iván Sánchez (Levante Y Albacete)</v>
      </c>
    </row>
    <row r="689" spans="2:16">
      <c r="B689" s="33">
        <f ca="1">IFERROR(__xludf.DUMMYFUNCTION("""COMPUTED_VALUE"""),2025)</f>
        <v>2025</v>
      </c>
      <c r="C689" s="33">
        <f ca="1">IFERROR(__xludf.DUMMYFUNCTION("""COMPUTED_VALUE"""),5)</f>
        <v>5</v>
      </c>
      <c r="D689" s="33" t="str">
        <f ca="1">IFERROR(__xludf.DUMMYFUNCTION("""COMPUTED_VALUE"""),"NO")</f>
        <v>NO</v>
      </c>
      <c r="E689" s="33" t="str">
        <f ca="1">IFERROR(__xludf.DUMMYFUNCTION("""COMPUTED_VALUE"""),"Ourense")</f>
        <v>Ourense</v>
      </c>
      <c r="F689" s="57">
        <f ca="1">IFERROR(__xludf.DUMMYFUNCTION("""COMPUTED_VALUE"""),45800)</f>
        <v>45800</v>
      </c>
      <c r="G689" s="57">
        <f ca="1">IFERROR(__xludf.DUMMYFUNCTION("""COMPUTED_VALUE"""),45770)</f>
        <v>45770</v>
      </c>
      <c r="H689" s="33" t="str">
        <f ca="1">IFERROR(__xludf.DUMMYFUNCTION("""COMPUTED_VALUE"""),"Orense")</f>
        <v>Orense</v>
      </c>
      <c r="I689" s="33" t="str">
        <f ca="1">IFERROR(__xludf.DUMMYFUNCTION("""COMPUTED_VALUE"""),"C202543016459972")</f>
        <v>C202543016459972</v>
      </c>
      <c r="J689" s="33" t="str">
        <f ca="1">IFERROR(__xludf.DUMMYFUNCTION("""COMPUTED_VALUE"""),"CARMEN PIÑIERO CONDE")</f>
        <v>CARMEN PIÑIERO CONDE</v>
      </c>
      <c r="K689" s="33">
        <f ca="1">IFERROR(__xludf.DUMMYFUNCTION("""COMPUTED_VALUE"""),2)</f>
        <v>2</v>
      </c>
      <c r="L689" s="203">
        <f ca="1">IFERROR(__xludf.DUMMYFUNCTION("""COMPUTED_VALUE"""),2743.77)</f>
        <v>2743.77</v>
      </c>
      <c r="M689" s="33" t="str">
        <f ca="1">IFERROR(__xludf.DUMMYFUNCTION("""COMPUTED_VALUE"""),"03 ORL")</f>
        <v>03 ORL</v>
      </c>
      <c r="N689" s="33" t="str">
        <f ca="1">IFERROR(__xludf.DUMMYFUNCTION("""COMPUTED_VALUE"""),"06 ORL")</f>
        <v>06 ORL</v>
      </c>
      <c r="O689" s="33" t="str">
        <f ca="1">IFERROR(__xludf.DUMMYFUNCTION("""COMPUTED_VALUE"""),"Dra, María Rey Marcos")</f>
        <v>Dra, María Rey Marcos</v>
      </c>
      <c r="P689" s="33" t="str">
        <f ca="1">IFERROR(__xludf.DUMMYFUNCTION("""COMPUTED_VALUE"""),"Roberto Pereira (Galicia)")</f>
        <v>Roberto Pereira (Galicia)</v>
      </c>
    </row>
    <row r="690" spans="2:16">
      <c r="B690" s="33">
        <f ca="1">IFERROR(__xludf.DUMMYFUNCTION("""COMPUTED_VALUE"""),2025)</f>
        <v>2025</v>
      </c>
      <c r="C690" s="33">
        <f ca="1">IFERROR(__xludf.DUMMYFUNCTION("""COMPUTED_VALUE"""),5)</f>
        <v>5</v>
      </c>
      <c r="D690" s="33" t="str">
        <f ca="1">IFERROR(__xludf.DUMMYFUNCTION("""COMPUTED_VALUE"""),"NO")</f>
        <v>NO</v>
      </c>
      <c r="E690" s="33" t="str">
        <f ca="1">IFERROR(__xludf.DUMMYFUNCTION("""COMPUTED_VALUE"""),"Ourense")</f>
        <v>Ourense</v>
      </c>
      <c r="F690" s="57">
        <f ca="1">IFERROR(__xludf.DUMMYFUNCTION("""COMPUTED_VALUE"""),45782)</f>
        <v>45782</v>
      </c>
      <c r="G690" s="57">
        <f ca="1">IFERROR(__xludf.DUMMYFUNCTION("""COMPUTED_VALUE"""),45750)</f>
        <v>45750</v>
      </c>
      <c r="H690" s="33" t="str">
        <f ca="1">IFERROR(__xludf.DUMMYFUNCTION("""COMPUTED_VALUE"""),"Orense")</f>
        <v>Orense</v>
      </c>
      <c r="I690" s="33" t="str">
        <f ca="1">IFERROR(__xludf.DUMMYFUNCTION("""COMPUTED_VALUE"""),"C20254810541824")</f>
        <v>C20254810541824</v>
      </c>
      <c r="J690" s="33" t="str">
        <f ca="1">IFERROR(__xludf.DUMMYFUNCTION("""COMPUTED_VALUE"""),"DELMIRO CABIDO LEDO")</f>
        <v>DELMIRO CABIDO LEDO</v>
      </c>
      <c r="K690" s="33">
        <f ca="1">IFERROR(__xludf.DUMMYFUNCTION("""COMPUTED_VALUE"""),2)</f>
        <v>2</v>
      </c>
      <c r="L690" s="203">
        <f ca="1">IFERROR(__xludf.DUMMYFUNCTION("""COMPUTED_VALUE"""),2888.18)</f>
        <v>2888.18</v>
      </c>
      <c r="M690" s="33" t="str">
        <f ca="1">IFERROR(__xludf.DUMMYFUNCTION("""COMPUTED_VALUE"""),"03 ORL")</f>
        <v>03 ORL</v>
      </c>
      <c r="N690" s="33" t="str">
        <f ca="1">IFERROR(__xludf.DUMMYFUNCTION("""COMPUTED_VALUE"""),"06 ORL")</f>
        <v>06 ORL</v>
      </c>
      <c r="O690" s="33" t="str">
        <f ca="1">IFERROR(__xludf.DUMMYFUNCTION("""COMPUTED_VALUE"""),"Dra, Socorro Tedín García")</f>
        <v>Dra, Socorro Tedín García</v>
      </c>
      <c r="P690" s="33" t="str">
        <f ca="1">IFERROR(__xludf.DUMMYFUNCTION("""COMPUTED_VALUE"""),"Roberto Pereira (Galicia)")</f>
        <v>Roberto Pereira (Galicia)</v>
      </c>
    </row>
    <row r="691" spans="2:16">
      <c r="B691" s="33">
        <f ca="1">IFERROR(__xludf.DUMMYFUNCTION("""COMPUTED_VALUE"""),2025)</f>
        <v>2025</v>
      </c>
      <c r="C691" s="33">
        <f ca="1">IFERROR(__xludf.DUMMYFUNCTION("""COMPUTED_VALUE"""),5)</f>
        <v>5</v>
      </c>
      <c r="D691" s="33" t="str">
        <f ca="1">IFERROR(__xludf.DUMMYFUNCTION("""COMPUTED_VALUE"""),"NO")</f>
        <v>NO</v>
      </c>
      <c r="E691" s="33" t="str">
        <f ca="1">IFERROR(__xludf.DUMMYFUNCTION("""COMPUTED_VALUE"""),"Ourense")</f>
        <v>Ourense</v>
      </c>
      <c r="F691" s="57">
        <f ca="1">IFERROR(__xludf.DUMMYFUNCTION("""COMPUTED_VALUE"""),45805)</f>
        <v>45805</v>
      </c>
      <c r="G691" s="57">
        <f ca="1">IFERROR(__xludf.DUMMYFUNCTION("""COMPUTED_VALUE"""),45783)</f>
        <v>45783</v>
      </c>
      <c r="H691" s="33" t="str">
        <f ca="1">IFERROR(__xludf.DUMMYFUNCTION("""COMPUTED_VALUE"""),"Orense")</f>
        <v>Orense</v>
      </c>
      <c r="I691" s="33" t="str">
        <f ca="1">IFERROR(__xludf.DUMMYFUNCTION("""COMPUTED_VALUE"""),"C2025591271264")</f>
        <v>C2025591271264</v>
      </c>
      <c r="J691" s="33" t="str">
        <f ca="1">IFERROR(__xludf.DUMMYFUNCTION("""COMPUTED_VALUE"""),"FERNANDO BLANCO GONZALEZ")</f>
        <v>FERNANDO BLANCO GONZALEZ</v>
      </c>
      <c r="K691" s="33">
        <f ca="1">IFERROR(__xludf.DUMMYFUNCTION("""COMPUTED_VALUE"""),2)</f>
        <v>2</v>
      </c>
      <c r="L691" s="203">
        <f ca="1">IFERROR(__xludf.DUMMYFUNCTION("""COMPUTED_VALUE"""),4000)</f>
        <v>4000</v>
      </c>
      <c r="M691" s="33" t="str">
        <f ca="1">IFERROR(__xludf.DUMMYFUNCTION("""COMPUTED_VALUE"""),"03 ORL")</f>
        <v>03 ORL</v>
      </c>
      <c r="N691" s="33" t="str">
        <f ca="1">IFERROR(__xludf.DUMMYFUNCTION("""COMPUTED_VALUE"""),"06 ORL")</f>
        <v>06 ORL</v>
      </c>
      <c r="O691" s="33" t="str">
        <f ca="1">IFERROR(__xludf.DUMMYFUNCTION("""COMPUTED_VALUE"""),"Dra, María Rey Marcos")</f>
        <v>Dra, María Rey Marcos</v>
      </c>
      <c r="P691" s="33" t="str">
        <f ca="1">IFERROR(__xludf.DUMMYFUNCTION("""COMPUTED_VALUE"""),"Roberto Pereira (Galicia)")</f>
        <v>Roberto Pereira (Galicia)</v>
      </c>
    </row>
    <row r="692" spans="2:16">
      <c r="B692" s="33">
        <f ca="1">IFERROR(__xludf.DUMMYFUNCTION("""COMPUTED_VALUE"""),2025)</f>
        <v>2025</v>
      </c>
      <c r="C692" s="33">
        <f ca="1">IFERROR(__xludf.DUMMYFUNCTION("""COMPUTED_VALUE"""),5)</f>
        <v>5</v>
      </c>
      <c r="D692" s="33" t="str">
        <f ca="1">IFERROR(__xludf.DUMMYFUNCTION("""COMPUTED_VALUE"""),"NO")</f>
        <v>NO</v>
      </c>
      <c r="E692" s="33" t="str">
        <f ca="1">IFERROR(__xludf.DUMMYFUNCTION("""COMPUTED_VALUE"""),"Ourense")</f>
        <v>Ourense</v>
      </c>
      <c r="F692" s="57">
        <f ca="1">IFERROR(__xludf.DUMMYFUNCTION("""COMPUTED_VALUE"""),45791)</f>
        <v>45791</v>
      </c>
      <c r="G692" s="57">
        <f ca="1">IFERROR(__xludf.DUMMYFUNCTION("""COMPUTED_VALUE"""),45750)</f>
        <v>45750</v>
      </c>
      <c r="H692" s="33" t="str">
        <f ca="1">IFERROR(__xludf.DUMMYFUNCTION("""COMPUTED_VALUE"""),"Orense")</f>
        <v>Orense</v>
      </c>
      <c r="I692" s="33" t="str">
        <f ca="1">IFERROR(__xludf.DUMMYFUNCTION("""COMPUTED_VALUE"""),"C20254715511355")</f>
        <v>C20254715511355</v>
      </c>
      <c r="J692" s="33" t="str">
        <f ca="1">IFERROR(__xludf.DUMMYFUNCTION("""COMPUTED_VALUE"""),"JULIO FERNANDEZ RAPELA")</f>
        <v>JULIO FERNANDEZ RAPELA</v>
      </c>
      <c r="K692" s="33">
        <f ca="1">IFERROR(__xludf.DUMMYFUNCTION("""COMPUTED_VALUE"""),1)</f>
        <v>1</v>
      </c>
      <c r="L692" s="203">
        <f ca="1">IFERROR(__xludf.DUMMYFUNCTION("""COMPUTED_VALUE"""),2226.36)</f>
        <v>2226.36</v>
      </c>
      <c r="M692" s="33" t="str">
        <f ca="1">IFERROR(__xludf.DUMMYFUNCTION("""COMPUTED_VALUE"""),"03 ORL")</f>
        <v>03 ORL</v>
      </c>
      <c r="N692" s="33" t="str">
        <f ca="1">IFERROR(__xludf.DUMMYFUNCTION("""COMPUTED_VALUE"""),"06 ORL")</f>
        <v>06 ORL</v>
      </c>
      <c r="O692" s="33" t="str">
        <f ca="1">IFERROR(__xludf.DUMMYFUNCTION("""COMPUTED_VALUE"""),"Dr, Mohamed Al Rifal Al Masti")</f>
        <v>Dr, Mohamed Al Rifal Al Masti</v>
      </c>
      <c r="P692" s="33" t="str">
        <f ca="1">IFERROR(__xludf.DUMMYFUNCTION("""COMPUTED_VALUE"""),"Roberto Pereira (Galicia)")</f>
        <v>Roberto Pereira (Galicia)</v>
      </c>
    </row>
    <row r="693" spans="2:16">
      <c r="B693" s="33">
        <f ca="1">IFERROR(__xludf.DUMMYFUNCTION("""COMPUTED_VALUE"""),2025)</f>
        <v>2025</v>
      </c>
      <c r="C693" s="33">
        <f ca="1">IFERROR(__xludf.DUMMYFUNCTION("""COMPUTED_VALUE"""),5)</f>
        <v>5</v>
      </c>
      <c r="D693" s="33" t="str">
        <f ca="1">IFERROR(__xludf.DUMMYFUNCTION("""COMPUTED_VALUE"""),"NO")</f>
        <v>NO</v>
      </c>
      <c r="E693" s="33" t="str">
        <f ca="1">IFERROR(__xludf.DUMMYFUNCTION("""COMPUTED_VALUE"""),"Ourense")</f>
        <v>Ourense</v>
      </c>
      <c r="F693" s="57">
        <f ca="1">IFERROR(__xludf.DUMMYFUNCTION("""COMPUTED_VALUE"""),45784)</f>
        <v>45784</v>
      </c>
      <c r="G693" s="57">
        <f ca="1">IFERROR(__xludf.DUMMYFUNCTION("""COMPUTED_VALUE"""),45726)</f>
        <v>45726</v>
      </c>
      <c r="H693" s="33" t="str">
        <f ca="1">IFERROR(__xludf.DUMMYFUNCTION("""COMPUTED_VALUE"""),"Orense")</f>
        <v>Orense</v>
      </c>
      <c r="I693" s="33" t="str">
        <f ca="1">IFERROR(__xludf.DUMMYFUNCTION("""COMPUTED_VALUE"""),"C20253141012518")</f>
        <v>C20253141012518</v>
      </c>
      <c r="J693" s="33" t="str">
        <f ca="1">IFERROR(__xludf.DUMMYFUNCTION("""COMPUTED_VALUE"""),"TERESA ROMERO VASQUEZ")</f>
        <v>TERESA ROMERO VASQUEZ</v>
      </c>
      <c r="K693" s="33">
        <f ca="1">IFERROR(__xludf.DUMMYFUNCTION("""COMPUTED_VALUE"""),2)</f>
        <v>2</v>
      </c>
      <c r="L693" s="203">
        <f ca="1">IFERROR(__xludf.DUMMYFUNCTION("""COMPUTED_VALUE"""),2888.18)</f>
        <v>2888.18</v>
      </c>
      <c r="M693" s="33" t="str">
        <f ca="1">IFERROR(__xludf.DUMMYFUNCTION("""COMPUTED_VALUE"""),"03 ORL")</f>
        <v>03 ORL</v>
      </c>
      <c r="N693" s="33" t="str">
        <f ca="1">IFERROR(__xludf.DUMMYFUNCTION("""COMPUTED_VALUE"""),"06 ORL")</f>
        <v>06 ORL</v>
      </c>
      <c r="O693" s="33" t="str">
        <f ca="1">IFERROR(__xludf.DUMMYFUNCTION("""COMPUTED_VALUE"""),"Dra, María Rey Marcos")</f>
        <v>Dra, María Rey Marcos</v>
      </c>
      <c r="P693" s="33" t="str">
        <f ca="1">IFERROR(__xludf.DUMMYFUNCTION("""COMPUTED_VALUE"""),"Roberto Pereira (Galicia)")</f>
        <v>Roberto Pereira (Galicia)</v>
      </c>
    </row>
    <row r="694" spans="2:16">
      <c r="B694" s="33">
        <f ca="1">IFERROR(__xludf.DUMMYFUNCTION("""COMPUTED_VALUE"""),2025)</f>
        <v>2025</v>
      </c>
      <c r="C694" s="33">
        <f ca="1">IFERROR(__xludf.DUMMYFUNCTION("""COMPUTED_VALUE"""),5)</f>
        <v>5</v>
      </c>
      <c r="D694" s="33" t="str">
        <f ca="1">IFERROR(__xludf.DUMMYFUNCTION("""COMPUTED_VALUE"""),"NO")</f>
        <v>NO</v>
      </c>
      <c r="E694" s="33" t="str">
        <f ca="1">IFERROR(__xludf.DUMMYFUNCTION("""COMPUTED_VALUE"""),"Palencia")</f>
        <v>Palencia</v>
      </c>
      <c r="F694" s="57">
        <f ca="1">IFERROR(__xludf.DUMMYFUNCTION("""COMPUTED_VALUE"""),45793)</f>
        <v>45793</v>
      </c>
      <c r="G694" s="57">
        <f ca="1">IFERROR(__xludf.DUMMYFUNCTION("""COMPUTED_VALUE"""),45712)</f>
        <v>45712</v>
      </c>
      <c r="H694" s="33" t="str">
        <f ca="1">IFERROR(__xludf.DUMMYFUNCTION("""COMPUTED_VALUE"""),"Palencia")</f>
        <v>Palencia</v>
      </c>
      <c r="I694" s="33" t="str">
        <f ca="1">IFERROR(__xludf.DUMMYFUNCTION("""COMPUTED_VALUE"""),"C2025410112041214")</f>
        <v>C2025410112041214</v>
      </c>
      <c r="J694" s="33" t="str">
        <f ca="1">IFERROR(__xludf.DUMMYFUNCTION("""COMPUTED_VALUE"""),"EMILIANA RAYACES CURIEL")</f>
        <v>EMILIANA RAYACES CURIEL</v>
      </c>
      <c r="K694" s="33">
        <f ca="1">IFERROR(__xludf.DUMMYFUNCTION("""COMPUTED_VALUE"""),1)</f>
        <v>1</v>
      </c>
      <c r="L694" s="203">
        <f ca="1">IFERROR(__xludf.DUMMYFUNCTION("""COMPUTED_VALUE"""),1727.88)</f>
        <v>1727.88</v>
      </c>
      <c r="M694" s="33" t="str">
        <f ca="1">IFERROR(__xludf.DUMMYFUNCTION("""COMPUTED_VALUE"""),"03 ORL")</f>
        <v>03 ORL</v>
      </c>
      <c r="N694" s="33" t="str">
        <f ca="1">IFERROR(__xludf.DUMMYFUNCTION("""COMPUTED_VALUE"""),"06 ORL")</f>
        <v>06 ORL</v>
      </c>
      <c r="O694" s="33" t="str">
        <f ca="1">IFERROR(__xludf.DUMMYFUNCTION("""COMPUTED_VALUE"""),"No recuerda ORL")</f>
        <v>No recuerda ORL</v>
      </c>
      <c r="P694" s="33" t="str">
        <f ca="1">IFERROR(__xludf.DUMMYFUNCTION("""COMPUTED_VALUE"""),"Patricia Solache (Castilla y León)")</f>
        <v>Patricia Solache (Castilla y León)</v>
      </c>
    </row>
    <row r="695" spans="2:16">
      <c r="B695" s="33">
        <f ca="1">IFERROR(__xludf.DUMMYFUNCTION("""COMPUTED_VALUE"""),2025)</f>
        <v>2025</v>
      </c>
      <c r="C695" s="33">
        <f ca="1">IFERROR(__xludf.DUMMYFUNCTION("""COMPUTED_VALUE"""),5)</f>
        <v>5</v>
      </c>
      <c r="D695" s="33" t="str">
        <f ca="1">IFERROR(__xludf.DUMMYFUNCTION("""COMPUTED_VALUE"""),"NO")</f>
        <v>NO</v>
      </c>
      <c r="E695" s="33" t="str">
        <f ca="1">IFERROR(__xludf.DUMMYFUNCTION("""COMPUTED_VALUE"""),"San Javier")</f>
        <v>San Javier</v>
      </c>
      <c r="F695" s="57">
        <f ca="1">IFERROR(__xludf.DUMMYFUNCTION("""COMPUTED_VALUE"""),45807)</f>
        <v>45807</v>
      </c>
      <c r="G695" s="57">
        <f ca="1">IFERROR(__xludf.DUMMYFUNCTION("""COMPUTED_VALUE"""),45785)</f>
        <v>45785</v>
      </c>
      <c r="H695" s="33" t="str">
        <f ca="1">IFERROR(__xludf.DUMMYFUNCTION("""COMPUTED_VALUE"""),"San Javier")</f>
        <v>San Javier</v>
      </c>
      <c r="I695" s="33" t="str">
        <f ca="1">IFERROR(__xludf.DUMMYFUNCTION("""COMPUTED_VALUE"""),"C202551411855147")</f>
        <v>C202551411855147</v>
      </c>
      <c r="J695" s="33" t="str">
        <f ca="1">IFERROR(__xludf.DUMMYFUNCTION("""COMPUTED_VALUE"""),"ANTONIA MARIA TARRAGA HERNANDEZ")</f>
        <v>ANTONIA MARIA TARRAGA HERNANDEZ</v>
      </c>
      <c r="K695" s="33">
        <f ca="1">IFERROR(__xludf.DUMMYFUNCTION("""COMPUTED_VALUE"""),1)</f>
        <v>1</v>
      </c>
      <c r="L695" s="203">
        <f ca="1">IFERROR(__xludf.DUMMYFUNCTION("""COMPUTED_VALUE"""),2226.36)</f>
        <v>2226.36</v>
      </c>
      <c r="M695" s="33" t="str">
        <f ca="1">IFERROR(__xludf.DUMMYFUNCTION("""COMPUTED_VALUE"""),"03 ORL")</f>
        <v>03 ORL</v>
      </c>
      <c r="N695" s="33" t="str">
        <f ca="1">IFERROR(__xludf.DUMMYFUNCTION("""COMPUTED_VALUE"""),"06 ORL")</f>
        <v>06 ORL</v>
      </c>
      <c r="O695" s="33" t="str">
        <f ca="1">IFERROR(__xludf.DUMMYFUNCTION("""COMPUTED_VALUE"""),"Dra, María Teresa Almela Rojo")</f>
        <v>Dra, María Teresa Almela Rojo</v>
      </c>
      <c r="P695" s="33" t="str">
        <f ca="1">IFERROR(__xludf.DUMMYFUNCTION("""COMPUTED_VALUE"""),"Iván Sánchez (Levante Y Albacete)")</f>
        <v>Iván Sánchez (Levante Y Albacete)</v>
      </c>
    </row>
    <row r="696" spans="2:16">
      <c r="B696" s="33">
        <f ca="1">IFERROR(__xludf.DUMMYFUNCTION("""COMPUTED_VALUE"""),2025)</f>
        <v>2025</v>
      </c>
      <c r="C696" s="33">
        <f ca="1">IFERROR(__xludf.DUMMYFUNCTION("""COMPUTED_VALUE"""),5)</f>
        <v>5</v>
      </c>
      <c r="D696" s="33" t="str">
        <f ca="1">IFERROR(__xludf.DUMMYFUNCTION("""COMPUTED_VALUE"""),"NO")</f>
        <v>NO</v>
      </c>
      <c r="E696" s="33" t="str">
        <f ca="1">IFERROR(__xludf.DUMMYFUNCTION("""COMPUTED_VALUE"""),"San Javier")</f>
        <v>San Javier</v>
      </c>
      <c r="F696" s="57">
        <f ca="1">IFERROR(__xludf.DUMMYFUNCTION("""COMPUTED_VALUE"""),45803)</f>
        <v>45803</v>
      </c>
      <c r="G696" s="57">
        <f ca="1">IFERROR(__xludf.DUMMYFUNCTION("""COMPUTED_VALUE"""),45776)</f>
        <v>45776</v>
      </c>
      <c r="H696" s="33" t="str">
        <f ca="1">IFERROR(__xludf.DUMMYFUNCTION("""COMPUTED_VALUE"""),"San Javier")</f>
        <v>San Javier</v>
      </c>
      <c r="I696" s="33" t="str">
        <f ca="1">IFERROR(__xludf.DUMMYFUNCTION("""COMPUTED_VALUE"""),"C20255811275847")</f>
        <v>C20255811275847</v>
      </c>
      <c r="J696" s="33" t="str">
        <f ca="1">IFERROR(__xludf.DUMMYFUNCTION("""COMPUTED_VALUE"""),"MARIA ANGELES SOTO GALINDO")</f>
        <v>MARIA ANGELES SOTO GALINDO</v>
      </c>
      <c r="K696" s="33">
        <f ca="1">IFERROR(__xludf.DUMMYFUNCTION("""COMPUTED_VALUE"""),1)</f>
        <v>1</v>
      </c>
      <c r="L696" s="203">
        <f ca="1">IFERROR(__xludf.DUMMYFUNCTION("""COMPUTED_VALUE"""),2400)</f>
        <v>2400</v>
      </c>
      <c r="M696" s="33" t="str">
        <f ca="1">IFERROR(__xludf.DUMMYFUNCTION("""COMPUTED_VALUE"""),"03 ORL")</f>
        <v>03 ORL</v>
      </c>
      <c r="N696" s="33" t="str">
        <f ca="1">IFERROR(__xludf.DUMMYFUNCTION("""COMPUTED_VALUE"""),"06 ORL")</f>
        <v>06 ORL</v>
      </c>
      <c r="O696" s="33" t="str">
        <f ca="1">IFERROR(__xludf.DUMMYFUNCTION("""COMPUTED_VALUE"""),"Dr, Rubén Moreno Arrones")</f>
        <v>Dr, Rubén Moreno Arrones</v>
      </c>
      <c r="P696" s="33" t="str">
        <f ca="1">IFERROR(__xludf.DUMMYFUNCTION("""COMPUTED_VALUE"""),"Iván Sánchez (Levante Y Albacete)")</f>
        <v>Iván Sánchez (Levante Y Albacete)</v>
      </c>
    </row>
    <row r="697" spans="2:16">
      <c r="B697" s="33">
        <f ca="1">IFERROR(__xludf.DUMMYFUNCTION("""COMPUTED_VALUE"""),2025)</f>
        <v>2025</v>
      </c>
      <c r="C697" s="33">
        <f ca="1">IFERROR(__xludf.DUMMYFUNCTION("""COMPUTED_VALUE"""),5)</f>
        <v>5</v>
      </c>
      <c r="D697" s="33" t="str">
        <f ca="1">IFERROR(__xludf.DUMMYFUNCTION("""COMPUTED_VALUE"""),"NO")</f>
        <v>NO</v>
      </c>
      <c r="E697" s="33" t="str">
        <f ca="1">IFERROR(__xludf.DUMMYFUNCTION("""COMPUTED_VALUE"""),"Santiago de Compostela")</f>
        <v>Santiago de Compostela</v>
      </c>
      <c r="F697" s="57">
        <f ca="1">IFERROR(__xludf.DUMMYFUNCTION("""COMPUTED_VALUE"""),45807)</f>
        <v>45807</v>
      </c>
      <c r="G697" s="57">
        <f ca="1">IFERROR(__xludf.DUMMYFUNCTION("""COMPUTED_VALUE"""),45789)</f>
        <v>45789</v>
      </c>
      <c r="H697" s="33" t="str">
        <f ca="1">IFERROR(__xludf.DUMMYFUNCTION("""COMPUTED_VALUE"""),"Santiago")</f>
        <v>Santiago</v>
      </c>
      <c r="I697" s="33" t="str">
        <f ca="1">IFERROR(__xludf.DUMMYFUNCTION("""COMPUTED_VALUE"""),"C2025514104716583")</f>
        <v>C2025514104716583</v>
      </c>
      <c r="J697" s="33" t="str">
        <f ca="1">IFERROR(__xludf.DUMMYFUNCTION("""COMPUTED_VALUE"""),"XOSÉ SIGNIORINI PEREZ")</f>
        <v>XOSÉ SIGNIORINI PEREZ</v>
      </c>
      <c r="K697" s="33">
        <f ca="1">IFERROR(__xludf.DUMMYFUNCTION("""COMPUTED_VALUE"""),2)</f>
        <v>2</v>
      </c>
      <c r="L697" s="203">
        <f ca="1">IFERROR(__xludf.DUMMYFUNCTION("""COMPUTED_VALUE"""),4400)</f>
        <v>4400</v>
      </c>
      <c r="M697" s="33" t="str">
        <f ca="1">IFERROR(__xludf.DUMMYFUNCTION("""COMPUTED_VALUE"""),"03 ORL")</f>
        <v>03 ORL</v>
      </c>
      <c r="N697" s="33" t="str">
        <f ca="1">IFERROR(__xludf.DUMMYFUNCTION("""COMPUTED_VALUE"""),"06 ORL")</f>
        <v>06 ORL</v>
      </c>
      <c r="O697" s="33" t="str">
        <f ca="1">IFERROR(__xludf.DUMMYFUNCTION("""COMPUTED_VALUE"""),"Dr, Miguel Mayo Yáñez")</f>
        <v>Dr, Miguel Mayo Yáñez</v>
      </c>
      <c r="P697" s="33" t="str">
        <f ca="1">IFERROR(__xludf.DUMMYFUNCTION("""COMPUTED_VALUE"""),"Roberto Pereira (Galicia)")</f>
        <v>Roberto Pereira (Galicia)</v>
      </c>
    </row>
    <row r="698" spans="2:16">
      <c r="B698" s="33">
        <f ca="1">IFERROR(__xludf.DUMMYFUNCTION("""COMPUTED_VALUE"""),2025)</f>
        <v>2025</v>
      </c>
      <c r="C698" s="33">
        <f ca="1">IFERROR(__xludf.DUMMYFUNCTION("""COMPUTED_VALUE"""),5)</f>
        <v>5</v>
      </c>
      <c r="D698" s="33" t="str">
        <f ca="1">IFERROR(__xludf.DUMMYFUNCTION("""COMPUTED_VALUE"""),"NO")</f>
        <v>NO</v>
      </c>
      <c r="E698" s="33" t="str">
        <f ca="1">IFERROR(__xludf.DUMMYFUNCTION("""COMPUTED_VALUE"""),"Sevilla- Montoto")</f>
        <v>Sevilla- Montoto</v>
      </c>
      <c r="F698" s="57">
        <f ca="1">IFERROR(__xludf.DUMMYFUNCTION("""COMPUTED_VALUE"""),45789)</f>
        <v>45789</v>
      </c>
      <c r="G698" s="57">
        <f ca="1">IFERROR(__xludf.DUMMYFUNCTION("""COMPUTED_VALUE"""),45768)</f>
        <v>45768</v>
      </c>
      <c r="H698" s="33" t="str">
        <f ca="1">IFERROR(__xludf.DUMMYFUNCTION("""COMPUTED_VALUE"""),"Montoto")</f>
        <v>Montoto</v>
      </c>
      <c r="I698" s="33" t="str">
        <f ca="1">IFERROR(__xludf.DUMMYFUNCTION("""COMPUTED_VALUE"""),"C202542511209299")</f>
        <v>C202542511209299</v>
      </c>
      <c r="J698" s="33" t="str">
        <f ca="1">IFERROR(__xludf.DUMMYFUNCTION("""COMPUTED_VALUE"""),"CARMEN PECE HERNANDEZ")</f>
        <v>CARMEN PECE HERNANDEZ</v>
      </c>
      <c r="K698" s="33">
        <f ca="1">IFERROR(__xludf.DUMMYFUNCTION("""COMPUTED_VALUE"""),2)</f>
        <v>2</v>
      </c>
      <c r="L698" s="203">
        <f ca="1">IFERROR(__xludf.DUMMYFUNCTION("""COMPUTED_VALUE"""),2888.18)</f>
        <v>2888.18</v>
      </c>
      <c r="M698" s="33" t="str">
        <f ca="1">IFERROR(__xludf.DUMMYFUNCTION("""COMPUTED_VALUE"""),"03 ORL")</f>
        <v>03 ORL</v>
      </c>
      <c r="N698" s="33" t="str">
        <f ca="1">IFERROR(__xludf.DUMMYFUNCTION("""COMPUTED_VALUE"""),"06 ORL")</f>
        <v>06 ORL</v>
      </c>
      <c r="O698" s="33" t="str">
        <f ca="1">IFERROR(__xludf.DUMMYFUNCTION("""COMPUTED_VALUE"""),"Dra, Paloma Martín Díaz")</f>
        <v>Dra, Paloma Martín Díaz</v>
      </c>
      <c r="P698" s="33" t="str">
        <f ca="1">IFERROR(__xludf.DUMMYFUNCTION("""COMPUTED_VALUE"""),"Luis Alberto Rodríguez (Andalucía y Badajoz)")</f>
        <v>Luis Alberto Rodríguez (Andalucía y Badajoz)</v>
      </c>
    </row>
    <row r="699" spans="2:16">
      <c r="B699" s="33">
        <f ca="1">IFERROR(__xludf.DUMMYFUNCTION("""COMPUTED_VALUE"""),2025)</f>
        <v>2025</v>
      </c>
      <c r="C699" s="33">
        <f ca="1">IFERROR(__xludf.DUMMYFUNCTION("""COMPUTED_VALUE"""),5)</f>
        <v>5</v>
      </c>
      <c r="D699" s="33" t="str">
        <f ca="1">IFERROR(__xludf.DUMMYFUNCTION("""COMPUTED_VALUE"""),"NO")</f>
        <v>NO</v>
      </c>
      <c r="E699" s="33" t="str">
        <f ca="1">IFERROR(__xludf.DUMMYFUNCTION("""COMPUTED_VALUE"""),"Sevilla- Montoto")</f>
        <v>Sevilla- Montoto</v>
      </c>
      <c r="F699" s="57">
        <f ca="1">IFERROR(__xludf.DUMMYFUNCTION("""COMPUTED_VALUE"""),45793)</f>
        <v>45793</v>
      </c>
      <c r="G699" s="57">
        <f ca="1">IFERROR(__xludf.DUMMYFUNCTION("""COMPUTED_VALUE"""),45771)</f>
        <v>45771</v>
      </c>
      <c r="H699" s="33" t="str">
        <f ca="1">IFERROR(__xludf.DUMMYFUNCTION("""COMPUTED_VALUE"""),"Montoto")</f>
        <v>Montoto</v>
      </c>
      <c r="I699" s="33" t="str">
        <f ca="1">IFERROR(__xludf.DUMMYFUNCTION("""COMPUTED_VALUE"""),"C202552105912604")</f>
        <v>C202552105912604</v>
      </c>
      <c r="J699" s="33" t="str">
        <f ca="1">IFERROR(__xludf.DUMMYFUNCTION("""COMPUTED_VALUE"""),"MANUEL CARCELA GARCIA")</f>
        <v>MANUEL CARCELA GARCIA</v>
      </c>
      <c r="K699" s="33">
        <f ca="1">IFERROR(__xludf.DUMMYFUNCTION("""COMPUTED_VALUE"""),2)</f>
        <v>2</v>
      </c>
      <c r="L699" s="203">
        <f ca="1">IFERROR(__xludf.DUMMYFUNCTION("""COMPUTED_VALUE"""),3710)</f>
        <v>3710</v>
      </c>
      <c r="M699" s="33" t="str">
        <f ca="1">IFERROR(__xludf.DUMMYFUNCTION("""COMPUTED_VALUE"""),"03 ORL")</f>
        <v>03 ORL</v>
      </c>
      <c r="N699" s="33" t="str">
        <f ca="1">IFERROR(__xludf.DUMMYFUNCTION("""COMPUTED_VALUE"""),"06 ORL")</f>
        <v>06 ORL</v>
      </c>
      <c r="O699" s="33" t="str">
        <f ca="1">IFERROR(__xludf.DUMMYFUNCTION("""COMPUTED_VALUE"""),"Dra, María Teresa Cervilla Martín")</f>
        <v>Dra, María Teresa Cervilla Martín</v>
      </c>
      <c r="P699" s="33" t="str">
        <f ca="1">IFERROR(__xludf.DUMMYFUNCTION("""COMPUTED_VALUE"""),"Luis Alberto Rodríguez (Andalucía y Badajoz)")</f>
        <v>Luis Alberto Rodríguez (Andalucía y Badajoz)</v>
      </c>
    </row>
    <row r="700" spans="2:16">
      <c r="B700" s="33">
        <f ca="1">IFERROR(__xludf.DUMMYFUNCTION("""COMPUTED_VALUE"""),2025)</f>
        <v>2025</v>
      </c>
      <c r="C700" s="33">
        <f ca="1">IFERROR(__xludf.DUMMYFUNCTION("""COMPUTED_VALUE"""),5)</f>
        <v>5</v>
      </c>
      <c r="D700" s="33" t="str">
        <f ca="1">IFERROR(__xludf.DUMMYFUNCTION("""COMPUTED_VALUE"""),"NO")</f>
        <v>NO</v>
      </c>
      <c r="E700" s="33" t="str">
        <f ca="1">IFERROR(__xludf.DUMMYFUNCTION("""COMPUTED_VALUE"""),"Sevilla- Montoto")</f>
        <v>Sevilla- Montoto</v>
      </c>
      <c r="F700" s="57">
        <f ca="1">IFERROR(__xludf.DUMMYFUNCTION("""COMPUTED_VALUE"""),45803)</f>
        <v>45803</v>
      </c>
      <c r="G700" s="57">
        <f ca="1">IFERROR(__xludf.DUMMYFUNCTION("""COMPUTED_VALUE"""),45771)</f>
        <v>45771</v>
      </c>
      <c r="H700" s="33" t="str">
        <f ca="1">IFERROR(__xludf.DUMMYFUNCTION("""COMPUTED_VALUE"""),"Montoto")</f>
        <v>Montoto</v>
      </c>
      <c r="I700" s="33" t="str">
        <f ca="1">IFERROR(__xludf.DUMMYFUNCTION("""COMPUTED_VALUE"""),"C2025430182246180")</f>
        <v>C2025430182246180</v>
      </c>
      <c r="J700" s="33" t="str">
        <f ca="1">IFERROR(__xludf.DUMMYFUNCTION("""COMPUTED_VALUE"""),"MANUELA CAMPOS DEL CAMPO")</f>
        <v>MANUELA CAMPOS DEL CAMPO</v>
      </c>
      <c r="K700" s="33">
        <f ca="1">IFERROR(__xludf.DUMMYFUNCTION("""COMPUTED_VALUE"""),2)</f>
        <v>2</v>
      </c>
      <c r="L700" s="203">
        <f ca="1">IFERROR(__xludf.DUMMYFUNCTION("""COMPUTED_VALUE"""),3636.36)</f>
        <v>3636.36</v>
      </c>
      <c r="M700" s="33" t="str">
        <f ca="1">IFERROR(__xludf.DUMMYFUNCTION("""COMPUTED_VALUE"""),"03 ORL")</f>
        <v>03 ORL</v>
      </c>
      <c r="N700" s="33" t="str">
        <f ca="1">IFERROR(__xludf.DUMMYFUNCTION("""COMPUTED_VALUE"""),"06 ORL")</f>
        <v>06 ORL</v>
      </c>
      <c r="O700" s="33" t="str">
        <f ca="1">IFERROR(__xludf.DUMMYFUNCTION("""COMPUTED_VALUE"""),"Dra, Rocío Corrales Millán")</f>
        <v>Dra, Rocío Corrales Millán</v>
      </c>
      <c r="P700" s="33" t="str">
        <f ca="1">IFERROR(__xludf.DUMMYFUNCTION("""COMPUTED_VALUE"""),"Luis Alberto Rodríguez (Andalucía y Badajoz)")</f>
        <v>Luis Alberto Rodríguez (Andalucía y Badajoz)</v>
      </c>
    </row>
    <row r="701" spans="2:16">
      <c r="B701" s="33">
        <f ca="1">IFERROR(__xludf.DUMMYFUNCTION("""COMPUTED_VALUE"""),2025)</f>
        <v>2025</v>
      </c>
      <c r="C701" s="33">
        <f ca="1">IFERROR(__xludf.DUMMYFUNCTION("""COMPUTED_VALUE"""),5)</f>
        <v>5</v>
      </c>
      <c r="D701" s="33" t="str">
        <f ca="1">IFERROR(__xludf.DUMMYFUNCTION("""COMPUTED_VALUE"""),"NO")</f>
        <v>NO</v>
      </c>
      <c r="E701" s="33" t="str">
        <f ca="1">IFERROR(__xludf.DUMMYFUNCTION("""COMPUTED_VALUE"""),"Sevilla- Montoto")</f>
        <v>Sevilla- Montoto</v>
      </c>
      <c r="F701" s="57">
        <f ca="1">IFERROR(__xludf.DUMMYFUNCTION("""COMPUTED_VALUE"""),45793)</f>
        <v>45793</v>
      </c>
      <c r="G701" s="57">
        <f ca="1">IFERROR(__xludf.DUMMYFUNCTION("""COMPUTED_VALUE"""),45755)</f>
        <v>45755</v>
      </c>
      <c r="H701" s="33" t="str">
        <f ca="1">IFERROR(__xludf.DUMMYFUNCTION("""COMPUTED_VALUE"""),"Montoto")</f>
        <v>Montoto</v>
      </c>
      <c r="I701" s="33" t="str">
        <f ca="1">IFERROR(__xludf.DUMMYFUNCTION("""COMPUTED_VALUE"""),"C202542310410398")</f>
        <v>C202542310410398</v>
      </c>
      <c r="J701" s="33" t="str">
        <f ca="1">IFERROR(__xludf.DUMMYFUNCTION("""COMPUTED_VALUE"""),"MARCOS PASTOR PINILLOS")</f>
        <v>MARCOS PASTOR PINILLOS</v>
      </c>
      <c r="K701" s="33">
        <f ca="1">IFERROR(__xludf.DUMMYFUNCTION("""COMPUTED_VALUE"""),2)</f>
        <v>2</v>
      </c>
      <c r="L701" s="203">
        <f ca="1">IFERROR(__xludf.DUMMYFUNCTION("""COMPUTED_VALUE"""),3524.5)</f>
        <v>3524.5</v>
      </c>
      <c r="M701" s="33" t="str">
        <f ca="1">IFERROR(__xludf.DUMMYFUNCTION("""COMPUTED_VALUE"""),"03 ORL")</f>
        <v>03 ORL</v>
      </c>
      <c r="N701" s="33" t="str">
        <f ca="1">IFERROR(__xludf.DUMMYFUNCTION("""COMPUTED_VALUE"""),"06 ORL")</f>
        <v>06 ORL</v>
      </c>
      <c r="O701" s="33" t="str">
        <f ca="1">IFERROR(__xludf.DUMMYFUNCTION("""COMPUTED_VALUE"""),"Dr, Juan Pedro Benaixa")</f>
        <v>Dr, Juan Pedro Benaixa</v>
      </c>
      <c r="P701" s="33" t="str">
        <f ca="1">IFERROR(__xludf.DUMMYFUNCTION("""COMPUTED_VALUE"""),"Luis Alberto Rodríguez (Andalucía y Badajoz)")</f>
        <v>Luis Alberto Rodríguez (Andalucía y Badajoz)</v>
      </c>
    </row>
    <row r="702" spans="2:16">
      <c r="B702" s="33">
        <f ca="1">IFERROR(__xludf.DUMMYFUNCTION("""COMPUTED_VALUE"""),2025)</f>
        <v>2025</v>
      </c>
      <c r="C702" s="33">
        <f ca="1">IFERROR(__xludf.DUMMYFUNCTION("""COMPUTED_VALUE"""),5)</f>
        <v>5</v>
      </c>
      <c r="D702" s="33" t="str">
        <f ca="1">IFERROR(__xludf.DUMMYFUNCTION("""COMPUTED_VALUE"""),"NO")</f>
        <v>NO</v>
      </c>
      <c r="E702" s="33" t="str">
        <f ca="1">IFERROR(__xludf.DUMMYFUNCTION("""COMPUTED_VALUE"""),"Sevilla- Montoto")</f>
        <v>Sevilla- Montoto</v>
      </c>
      <c r="F702" s="57">
        <f ca="1">IFERROR(__xludf.DUMMYFUNCTION("""COMPUTED_VALUE"""),45799)</f>
        <v>45799</v>
      </c>
      <c r="G702" s="57">
        <f ca="1">IFERROR(__xludf.DUMMYFUNCTION("""COMPUTED_VALUE"""),45786)</f>
        <v>45786</v>
      </c>
      <c r="H702" s="33" t="str">
        <f ca="1">IFERROR(__xludf.DUMMYFUNCTION("""COMPUTED_VALUE"""),"Montoto")</f>
        <v>Montoto</v>
      </c>
      <c r="I702" s="33" t="str">
        <f ca="1">IFERROR(__xludf.DUMMYFUNCTION("""COMPUTED_VALUE"""),"C2025515155746506")</f>
        <v>C2025515155746506</v>
      </c>
      <c r="J702" s="33" t="str">
        <f ca="1">IFERROR(__xludf.DUMMYFUNCTION("""COMPUTED_VALUE"""),"MARIA ISABEL VALIENTE FABERO")</f>
        <v>MARIA ISABEL VALIENTE FABERO</v>
      </c>
      <c r="K702" s="33">
        <f ca="1">IFERROR(__xludf.DUMMYFUNCTION("""COMPUTED_VALUE"""),2)</f>
        <v>2</v>
      </c>
      <c r="L702" s="203">
        <f ca="1">IFERROR(__xludf.DUMMYFUNCTION("""COMPUTED_VALUE"""),4077.27)</f>
        <v>4077.27</v>
      </c>
      <c r="M702" s="33" t="str">
        <f ca="1">IFERROR(__xludf.DUMMYFUNCTION("""COMPUTED_VALUE"""),"03 ORL")</f>
        <v>03 ORL</v>
      </c>
      <c r="N702" s="33" t="str">
        <f ca="1">IFERROR(__xludf.DUMMYFUNCTION("""COMPUTED_VALUE"""),"06 ORL")</f>
        <v>06 ORL</v>
      </c>
      <c r="O702" s="33" t="str">
        <f ca="1">IFERROR(__xludf.DUMMYFUNCTION("""COMPUTED_VALUE"""),"Dr, Enrique Ruiz Veguilla")</f>
        <v>Dr, Enrique Ruiz Veguilla</v>
      </c>
      <c r="P702" s="33" t="str">
        <f ca="1">IFERROR(__xludf.DUMMYFUNCTION("""COMPUTED_VALUE"""),"Luis Alberto Rodríguez (Andalucía y Badajoz)")</f>
        <v>Luis Alberto Rodríguez (Andalucía y Badajoz)</v>
      </c>
    </row>
    <row r="703" spans="2:16">
      <c r="B703" s="33">
        <f ca="1">IFERROR(__xludf.DUMMYFUNCTION("""COMPUTED_VALUE"""),2025)</f>
        <v>2025</v>
      </c>
      <c r="C703" s="33">
        <f ca="1">IFERROR(__xludf.DUMMYFUNCTION("""COMPUTED_VALUE"""),5)</f>
        <v>5</v>
      </c>
      <c r="D703" s="33" t="str">
        <f ca="1">IFERROR(__xludf.DUMMYFUNCTION("""COMPUTED_VALUE"""),"NO")</f>
        <v>NO</v>
      </c>
      <c r="E703" s="33" t="str">
        <f ca="1">IFERROR(__xludf.DUMMYFUNCTION("""COMPUTED_VALUE"""),"Sevilla- Montoto")</f>
        <v>Sevilla- Montoto</v>
      </c>
      <c r="F703" s="57">
        <f ca="1">IFERROR(__xludf.DUMMYFUNCTION("""COMPUTED_VALUE"""),45806)</f>
        <v>45806</v>
      </c>
      <c r="G703" s="57">
        <f ca="1">IFERROR(__xludf.DUMMYFUNCTION("""COMPUTED_VALUE"""),45789)</f>
        <v>45789</v>
      </c>
      <c r="H703" s="33" t="str">
        <f ca="1">IFERROR(__xludf.DUMMYFUNCTION("""COMPUTED_VALUE"""),"Montoto")</f>
        <v>Montoto</v>
      </c>
      <c r="I703" s="33" t="str">
        <f ca="1">IFERROR(__xludf.DUMMYFUNCTION("""COMPUTED_VALUE"""),"C2025515104529526")</f>
        <v>C2025515104529526</v>
      </c>
      <c r="J703" s="33" t="str">
        <f ca="1">IFERROR(__xludf.DUMMYFUNCTION("""COMPUTED_VALUE"""),"MERCEDES CAMPOS MORON")</f>
        <v>MERCEDES CAMPOS MORON</v>
      </c>
      <c r="K703" s="33">
        <f ca="1">IFERROR(__xludf.DUMMYFUNCTION("""COMPUTED_VALUE"""),2)</f>
        <v>2</v>
      </c>
      <c r="L703" s="203">
        <f ca="1">IFERROR(__xludf.DUMMYFUNCTION("""COMPUTED_VALUE"""),2743.77)</f>
        <v>2743.77</v>
      </c>
      <c r="M703" s="33" t="str">
        <f ca="1">IFERROR(__xludf.DUMMYFUNCTION("""COMPUTED_VALUE"""),"03 ORL")</f>
        <v>03 ORL</v>
      </c>
      <c r="N703" s="33" t="str">
        <f ca="1">IFERROR(__xludf.DUMMYFUNCTION("""COMPUTED_VALUE"""),"06 ORL")</f>
        <v>06 ORL</v>
      </c>
      <c r="O703" s="33" t="str">
        <f ca="1">IFERROR(__xludf.DUMMYFUNCTION("""COMPUTED_VALUE"""),"Dr, Francisco Alés Conejo")</f>
        <v>Dr, Francisco Alés Conejo</v>
      </c>
      <c r="P703" s="33" t="str">
        <f ca="1">IFERROR(__xludf.DUMMYFUNCTION("""COMPUTED_VALUE"""),"Luis Alberto Rodríguez (Andalucía y Badajoz)")</f>
        <v>Luis Alberto Rodríguez (Andalucía y Badajoz)</v>
      </c>
    </row>
    <row r="704" spans="2:16">
      <c r="B704" s="33">
        <f ca="1">IFERROR(__xludf.DUMMYFUNCTION("""COMPUTED_VALUE"""),2025)</f>
        <v>2025</v>
      </c>
      <c r="C704" s="33">
        <f ca="1">IFERROR(__xludf.DUMMYFUNCTION("""COMPUTED_VALUE"""),5)</f>
        <v>5</v>
      </c>
      <c r="D704" s="33" t="str">
        <f ca="1">IFERROR(__xludf.DUMMYFUNCTION("""COMPUTED_VALUE"""),"NO")</f>
        <v>NO</v>
      </c>
      <c r="E704" s="33" t="str">
        <f ca="1">IFERROR(__xludf.DUMMYFUNCTION("""COMPUTED_VALUE"""),"Talavera")</f>
        <v>Talavera</v>
      </c>
      <c r="F704" s="57">
        <f ca="1">IFERROR(__xludf.DUMMYFUNCTION("""COMPUTED_VALUE"""),45803)</f>
        <v>45803</v>
      </c>
      <c r="G704" s="57">
        <f ca="1">IFERROR(__xludf.DUMMYFUNCTION("""COMPUTED_VALUE"""),45772)</f>
        <v>45772</v>
      </c>
      <c r="H704" s="33" t="str">
        <f ca="1">IFERROR(__xludf.DUMMYFUNCTION("""COMPUTED_VALUE"""),"Talavera")</f>
        <v>Talavera</v>
      </c>
      <c r="I704" s="33" t="str">
        <f ca="1">IFERROR(__xludf.DUMMYFUNCTION("""COMPUTED_VALUE"""),"C2025559032454")</f>
        <v>C2025559032454</v>
      </c>
      <c r="J704" s="33" t="str">
        <f ca="1">IFERROR(__xludf.DUMMYFUNCTION("""COMPUTED_VALUE"""),"MARÍA DEL PRADO JIMENEZ BLANCO")</f>
        <v>MARÍA DEL PRADO JIMENEZ BLANCO</v>
      </c>
      <c r="K704" s="33">
        <f ca="1">IFERROR(__xludf.DUMMYFUNCTION("""COMPUTED_VALUE"""),1)</f>
        <v>1</v>
      </c>
      <c r="L704" s="203">
        <f ca="1">IFERROR(__xludf.DUMMYFUNCTION("""COMPUTED_VALUE"""),2400)</f>
        <v>2400</v>
      </c>
      <c r="M704" s="33" t="str">
        <f ca="1">IFERROR(__xludf.DUMMYFUNCTION("""COMPUTED_VALUE"""),"03 ORL")</f>
        <v>03 ORL</v>
      </c>
      <c r="N704" s="33" t="str">
        <f ca="1">IFERROR(__xludf.DUMMYFUNCTION("""COMPUTED_VALUE"""),"06 ORL")</f>
        <v>06 ORL</v>
      </c>
      <c r="O704" s="33" t="str">
        <f ca="1">IFERROR(__xludf.DUMMYFUNCTION("""COMPUTED_VALUE"""),"Dra, Ainhoa Moreno Bravo")</f>
        <v>Dra, Ainhoa Moreno Bravo</v>
      </c>
      <c r="P704" s="33" t="str">
        <f ca="1">IFERROR(__xludf.DUMMYFUNCTION("""COMPUTED_VALUE"""),"Lisandro Russian (Madrid, Cáceres, Toledo, Talavera Y Logroño)")</f>
        <v>Lisandro Russian (Madrid, Cáceres, Toledo, Talavera Y Logroño)</v>
      </c>
    </row>
    <row r="705" spans="2:16">
      <c r="B705" s="33">
        <f ca="1">IFERROR(__xludf.DUMMYFUNCTION("""COMPUTED_VALUE"""),2025)</f>
        <v>2025</v>
      </c>
      <c r="C705" s="33">
        <f ca="1">IFERROR(__xludf.DUMMYFUNCTION("""COMPUTED_VALUE"""),5)</f>
        <v>5</v>
      </c>
      <c r="D705" s="33" t="str">
        <f ca="1">IFERROR(__xludf.DUMMYFUNCTION("""COMPUTED_VALUE"""),"NO")</f>
        <v>NO</v>
      </c>
      <c r="E705" s="33" t="str">
        <f ca="1">IFERROR(__xludf.DUMMYFUNCTION("""COMPUTED_VALUE"""),"Talavera")</f>
        <v>Talavera</v>
      </c>
      <c r="F705" s="57">
        <f ca="1">IFERROR(__xludf.DUMMYFUNCTION("""COMPUTED_VALUE"""),45805)</f>
        <v>45805</v>
      </c>
      <c r="G705" s="57">
        <f ca="1">IFERROR(__xludf.DUMMYFUNCTION("""COMPUTED_VALUE"""),45790)</f>
        <v>45790</v>
      </c>
      <c r="H705" s="33" t="str">
        <f ca="1">IFERROR(__xludf.DUMMYFUNCTION("""COMPUTED_VALUE"""),"Talavera")</f>
        <v>Talavera</v>
      </c>
      <c r="I705" s="33" t="str">
        <f ca="1">IFERROR(__xludf.DUMMYFUNCTION("""COMPUTED_VALUE"""),"C2025513111916844")</f>
        <v>C2025513111916844</v>
      </c>
      <c r="J705" s="33" t="str">
        <f ca="1">IFERROR(__xludf.DUMMYFUNCTION("""COMPUTED_VALUE"""),"PEDRO SANCHEZ MARTIN")</f>
        <v>PEDRO SANCHEZ MARTIN</v>
      </c>
      <c r="K705" s="33">
        <f ca="1">IFERROR(__xludf.DUMMYFUNCTION("""COMPUTED_VALUE"""),2)</f>
        <v>2</v>
      </c>
      <c r="L705" s="203">
        <f ca="1">IFERROR(__xludf.DUMMYFUNCTION("""COMPUTED_VALUE"""),2888.18)</f>
        <v>2888.18</v>
      </c>
      <c r="M705" s="33" t="str">
        <f ca="1">IFERROR(__xludf.DUMMYFUNCTION("""COMPUTED_VALUE"""),"03 ORL")</f>
        <v>03 ORL</v>
      </c>
      <c r="N705" s="33" t="str">
        <f ca="1">IFERROR(__xludf.DUMMYFUNCTION("""COMPUTED_VALUE"""),"06 ORL")</f>
        <v>06 ORL</v>
      </c>
      <c r="O705" s="33" t="str">
        <f ca="1">IFERROR(__xludf.DUMMYFUNCTION("""COMPUTED_VALUE"""),"Dra, Ainhoa Moreno Bravo")</f>
        <v>Dra, Ainhoa Moreno Bravo</v>
      </c>
      <c r="P705" s="33" t="str">
        <f ca="1">IFERROR(__xludf.DUMMYFUNCTION("""COMPUTED_VALUE"""),"Lisandro Russian (Madrid, Cáceres, Toledo, Talavera Y Logroño)")</f>
        <v>Lisandro Russian (Madrid, Cáceres, Toledo, Talavera Y Logroño)</v>
      </c>
    </row>
    <row r="706" spans="2:16">
      <c r="B706" s="33">
        <f ca="1">IFERROR(__xludf.DUMMYFUNCTION("""COMPUTED_VALUE"""),2025)</f>
        <v>2025</v>
      </c>
      <c r="C706" s="33">
        <f ca="1">IFERROR(__xludf.DUMMYFUNCTION("""COMPUTED_VALUE"""),5)</f>
        <v>5</v>
      </c>
      <c r="D706" s="33" t="str">
        <f ca="1">IFERROR(__xludf.DUMMYFUNCTION("""COMPUTED_VALUE"""),"NO")</f>
        <v>NO</v>
      </c>
      <c r="E706" s="33" t="str">
        <f ca="1">IFERROR(__xludf.DUMMYFUNCTION("""COMPUTED_VALUE"""),"Torrejón de Ardoz")</f>
        <v>Torrejón de Ardoz</v>
      </c>
      <c r="F706" s="57">
        <f ca="1">IFERROR(__xludf.DUMMYFUNCTION("""COMPUTED_VALUE"""),45798)</f>
        <v>45798</v>
      </c>
      <c r="G706" s="57">
        <f ca="1">IFERROR(__xludf.DUMMYFUNCTION("""COMPUTED_VALUE"""),45776)</f>
        <v>45776</v>
      </c>
      <c r="H706" s="33" t="str">
        <f ca="1">IFERROR(__xludf.DUMMYFUNCTION("""COMPUTED_VALUE"""),"Torrejón")</f>
        <v>Torrejón</v>
      </c>
      <c r="I706" s="33" t="str">
        <f ca="1">IFERROR(__xludf.DUMMYFUNCTION("""COMPUTED_VALUE"""),"C2025430171017606")</f>
        <v>C2025430171017606</v>
      </c>
      <c r="J706" s="33" t="str">
        <f ca="1">IFERROR(__xludf.DUMMYFUNCTION("""COMPUTED_VALUE"""),"DAVID FLORES BARRIGA")</f>
        <v>DAVID FLORES BARRIGA</v>
      </c>
      <c r="K706" s="33">
        <f ca="1">IFERROR(__xludf.DUMMYFUNCTION("""COMPUTED_VALUE"""),2)</f>
        <v>2</v>
      </c>
      <c r="L706" s="203">
        <f ca="1">IFERROR(__xludf.DUMMYFUNCTION("""COMPUTED_VALUE"""),3800)</f>
        <v>3800</v>
      </c>
      <c r="M706" s="33" t="str">
        <f ca="1">IFERROR(__xludf.DUMMYFUNCTION("""COMPUTED_VALUE"""),"03 ORL")</f>
        <v>03 ORL</v>
      </c>
      <c r="N706" s="33" t="str">
        <f ca="1">IFERROR(__xludf.DUMMYFUNCTION("""COMPUTED_VALUE"""),"06 ORL")</f>
        <v>06 ORL</v>
      </c>
      <c r="O706" s="33" t="str">
        <f ca="1">IFERROR(__xludf.DUMMYFUNCTION("""COMPUTED_VALUE"""),"Dra, Marta Abad Pascual")</f>
        <v>Dra, Marta Abad Pascual</v>
      </c>
      <c r="P706" s="33" t="str">
        <f ca="1">IFERROR(__xludf.DUMMYFUNCTION("""COMPUTED_VALUE"""),"Maika Blázquez (Madrid)")</f>
        <v>Maika Blázquez (Madrid)</v>
      </c>
    </row>
    <row r="707" spans="2:16">
      <c r="B707" s="33">
        <f ca="1">IFERROR(__xludf.DUMMYFUNCTION("""COMPUTED_VALUE"""),2025)</f>
        <v>2025</v>
      </c>
      <c r="C707" s="33">
        <f ca="1">IFERROR(__xludf.DUMMYFUNCTION("""COMPUTED_VALUE"""),5)</f>
        <v>5</v>
      </c>
      <c r="D707" s="33" t="str">
        <f ca="1">IFERROR(__xludf.DUMMYFUNCTION("""COMPUTED_VALUE"""),"NO")</f>
        <v>NO</v>
      </c>
      <c r="E707" s="33" t="str">
        <f ca="1">IFERROR(__xludf.DUMMYFUNCTION("""COMPUTED_VALUE"""),"Torrejón de Ardoz")</f>
        <v>Torrejón de Ardoz</v>
      </c>
      <c r="F707" s="57">
        <f ca="1">IFERROR(__xludf.DUMMYFUNCTION("""COMPUTED_VALUE"""),45799)</f>
        <v>45799</v>
      </c>
      <c r="G707" s="57">
        <f ca="1">IFERROR(__xludf.DUMMYFUNCTION("""COMPUTED_VALUE"""),45789)</f>
        <v>45789</v>
      </c>
      <c r="H707" s="33" t="str">
        <f ca="1">IFERROR(__xludf.DUMMYFUNCTION("""COMPUTED_VALUE"""),"Torrejón")</f>
        <v>Torrejón</v>
      </c>
      <c r="I707" s="33" t="str">
        <f ca="1">IFERROR(__xludf.DUMMYFUNCTION("""COMPUTED_VALUE"""),"C2025512115146618")</f>
        <v>C2025512115146618</v>
      </c>
      <c r="J707" s="33" t="str">
        <f ca="1">IFERROR(__xludf.DUMMYFUNCTION("""COMPUTED_VALUE"""),"GEMA ATIENZA PARRADO")</f>
        <v>GEMA ATIENZA PARRADO</v>
      </c>
      <c r="K707" s="33">
        <f ca="1">IFERROR(__xludf.DUMMYFUNCTION("""COMPUTED_VALUE"""),2)</f>
        <v>2</v>
      </c>
      <c r="L707" s="203">
        <f ca="1">IFERROR(__xludf.DUMMYFUNCTION("""COMPUTED_VALUE"""),4180)</f>
        <v>4180</v>
      </c>
      <c r="M707" s="33" t="str">
        <f ca="1">IFERROR(__xludf.DUMMYFUNCTION("""COMPUTED_VALUE"""),"03 ORL")</f>
        <v>03 ORL</v>
      </c>
      <c r="N707" s="33" t="str">
        <f ca="1">IFERROR(__xludf.DUMMYFUNCTION("""COMPUTED_VALUE"""),"06 ORL")</f>
        <v>06 ORL</v>
      </c>
      <c r="O707" s="33" t="str">
        <f ca="1">IFERROR(__xludf.DUMMYFUNCTION("""COMPUTED_VALUE"""),"Dra, María Garrote Garrote")</f>
        <v>Dra, María Garrote Garrote</v>
      </c>
      <c r="P707" s="33" t="str">
        <f ca="1">IFERROR(__xludf.DUMMYFUNCTION("""COMPUTED_VALUE"""),"Maika Blázquez (Madrid)")</f>
        <v>Maika Blázquez (Madrid)</v>
      </c>
    </row>
    <row r="708" spans="2:16">
      <c r="B708" s="33">
        <f ca="1">IFERROR(__xludf.DUMMYFUNCTION("""COMPUTED_VALUE"""),2025)</f>
        <v>2025</v>
      </c>
      <c r="C708" s="33">
        <f ca="1">IFERROR(__xludf.DUMMYFUNCTION("""COMPUTED_VALUE"""),5)</f>
        <v>5</v>
      </c>
      <c r="D708" s="33" t="str">
        <f ca="1">IFERROR(__xludf.DUMMYFUNCTION("""COMPUTED_VALUE"""),"NO")</f>
        <v>NO</v>
      </c>
      <c r="E708" s="33" t="str">
        <f ca="1">IFERROR(__xludf.DUMMYFUNCTION("""COMPUTED_VALUE"""),"Torrejón de Ardoz")</f>
        <v>Torrejón de Ardoz</v>
      </c>
      <c r="F708" s="57">
        <f ca="1">IFERROR(__xludf.DUMMYFUNCTION("""COMPUTED_VALUE"""),45784)</f>
        <v>45784</v>
      </c>
      <c r="G708" s="57">
        <f ca="1">IFERROR(__xludf.DUMMYFUNCTION("""COMPUTED_VALUE"""),45712)</f>
        <v>45712</v>
      </c>
      <c r="H708" s="33" t="str">
        <f ca="1">IFERROR(__xludf.DUMMYFUNCTION("""COMPUTED_VALUE"""),"Torrejón")</f>
        <v>Torrejón</v>
      </c>
      <c r="I708" s="33" t="str">
        <f ca="1">IFERROR(__xludf.DUMMYFUNCTION("""COMPUTED_VALUE"""),"C202531918228189")</f>
        <v>C202531918228189</v>
      </c>
      <c r="J708" s="33" t="str">
        <f ca="1">IFERROR(__xludf.DUMMYFUNCTION("""COMPUTED_VALUE"""),"MARIA DOLORES GIL SANCHEZ")</f>
        <v>MARIA DOLORES GIL SANCHEZ</v>
      </c>
      <c r="K708" s="33">
        <f ca="1">IFERROR(__xludf.DUMMYFUNCTION("""COMPUTED_VALUE"""),-1)</f>
        <v>-1</v>
      </c>
      <c r="L708" s="203">
        <f ca="1">IFERROR(__xludf.DUMMYFUNCTION("""COMPUTED_VALUE"""),-2400)</f>
        <v>-2400</v>
      </c>
      <c r="M708" s="33" t="str">
        <f ca="1">IFERROR(__xludf.DUMMYFUNCTION("""COMPUTED_VALUE"""),"03 ORL")</f>
        <v>03 ORL</v>
      </c>
      <c r="N708" s="33" t="str">
        <f ca="1">IFERROR(__xludf.DUMMYFUNCTION("""COMPUTED_VALUE"""),"06 ORL")</f>
        <v>06 ORL</v>
      </c>
      <c r="O708" s="33" t="str">
        <f ca="1">IFERROR(__xludf.DUMMYFUNCTION("""COMPUTED_VALUE"""),"Dr, Juan de Dios de la Calzada")</f>
        <v>Dr, Juan de Dios de la Calzada</v>
      </c>
      <c r="P708" s="33" t="str">
        <f ca="1">IFERROR(__xludf.DUMMYFUNCTION("""COMPUTED_VALUE"""),"Maika Blázquez (Madrid)")</f>
        <v>Maika Blázquez (Madrid)</v>
      </c>
    </row>
    <row r="709" spans="2:16">
      <c r="B709" s="33">
        <f ca="1">IFERROR(__xludf.DUMMYFUNCTION("""COMPUTED_VALUE"""),2025)</f>
        <v>2025</v>
      </c>
      <c r="C709" s="33">
        <f ca="1">IFERROR(__xludf.DUMMYFUNCTION("""COMPUTED_VALUE"""),5)</f>
        <v>5</v>
      </c>
      <c r="D709" s="33" t="str">
        <f ca="1">IFERROR(__xludf.DUMMYFUNCTION("""COMPUTED_VALUE"""),"NO")</f>
        <v>NO</v>
      </c>
      <c r="E709" s="33" t="str">
        <f ca="1">IFERROR(__xludf.DUMMYFUNCTION("""COMPUTED_VALUE"""),"Torrejón de Ardoz")</f>
        <v>Torrejón de Ardoz</v>
      </c>
      <c r="F709" s="57">
        <f ca="1">IFERROR(__xludf.DUMMYFUNCTION("""COMPUTED_VALUE"""),45807)</f>
        <v>45807</v>
      </c>
      <c r="G709" s="57">
        <f ca="1">IFERROR(__xludf.DUMMYFUNCTION("""COMPUTED_VALUE"""),45782)</f>
        <v>45782</v>
      </c>
      <c r="H709" s="33" t="str">
        <f ca="1">IFERROR(__xludf.DUMMYFUNCTION("""COMPUTED_VALUE"""),"Torrejón")</f>
        <v>Torrejón</v>
      </c>
      <c r="I709" s="33" t="str">
        <f ca="1">IFERROR(__xludf.DUMMYFUNCTION("""COMPUTED_VALUE"""),"C20255910354791")</f>
        <v>C20255910354791</v>
      </c>
      <c r="J709" s="33" t="str">
        <f ca="1">IFERROR(__xludf.DUMMYFUNCTION("""COMPUTED_VALUE"""),"NARCISO ROMERO BAONZA")</f>
        <v>NARCISO ROMERO BAONZA</v>
      </c>
      <c r="K709" s="33">
        <f ca="1">IFERROR(__xludf.DUMMYFUNCTION("""COMPUTED_VALUE"""),2)</f>
        <v>2</v>
      </c>
      <c r="L709" s="203">
        <f ca="1">IFERROR(__xludf.DUMMYFUNCTION("""COMPUTED_VALUE"""),4531.82)</f>
        <v>4531.82</v>
      </c>
      <c r="M709" s="33" t="str">
        <f ca="1">IFERROR(__xludf.DUMMYFUNCTION("""COMPUTED_VALUE"""),"03 ORL")</f>
        <v>03 ORL</v>
      </c>
      <c r="N709" s="33" t="str">
        <f ca="1">IFERROR(__xludf.DUMMYFUNCTION("""COMPUTED_VALUE"""),"06 ORL")</f>
        <v>06 ORL</v>
      </c>
      <c r="O709" s="33" t="str">
        <f ca="1">IFERROR(__xludf.DUMMYFUNCTION("""COMPUTED_VALUE"""),"Dra, Mar Lasso de la Vega Zamora")</f>
        <v>Dra, Mar Lasso de la Vega Zamora</v>
      </c>
      <c r="P709" s="33" t="str">
        <f ca="1">IFERROR(__xludf.DUMMYFUNCTION("""COMPUTED_VALUE"""),"Maika Blázquez (Madrid)")</f>
        <v>Maika Blázquez (Madrid)</v>
      </c>
    </row>
    <row r="710" spans="2:16">
      <c r="B710" s="33">
        <f ca="1">IFERROR(__xludf.DUMMYFUNCTION("""COMPUTED_VALUE"""),2025)</f>
        <v>2025</v>
      </c>
      <c r="C710" s="33">
        <f ca="1">IFERROR(__xludf.DUMMYFUNCTION("""COMPUTED_VALUE"""),5)</f>
        <v>5</v>
      </c>
      <c r="D710" s="33" t="str">
        <f ca="1">IFERROR(__xludf.DUMMYFUNCTION("""COMPUTED_VALUE"""),"NO")</f>
        <v>NO</v>
      </c>
      <c r="E710" s="33" t="str">
        <f ca="1">IFERROR(__xludf.DUMMYFUNCTION("""COMPUTED_VALUE"""),"Valencia- Cádiz")</f>
        <v>Valencia- Cádiz</v>
      </c>
      <c r="F710" s="57">
        <f ca="1">IFERROR(__xludf.DUMMYFUNCTION("""COMPUTED_VALUE"""),45798)</f>
        <v>45798</v>
      </c>
      <c r="G710" s="57">
        <f ca="1">IFERROR(__xludf.DUMMYFUNCTION("""COMPUTED_VALUE"""),45755)</f>
        <v>45755</v>
      </c>
      <c r="H710" s="33" t="str">
        <f ca="1">IFERROR(__xludf.DUMMYFUNCTION("""COMPUTED_VALUE"""),"Valencia- Cádiz")</f>
        <v>Valencia- Cádiz</v>
      </c>
      <c r="I710" s="33" t="str">
        <f ca="1">IFERROR(__xludf.DUMMYFUNCTION("""COMPUTED_VALUE"""),"C20254149410566")</f>
        <v>C20254149410566</v>
      </c>
      <c r="J710" s="33" t="str">
        <f ca="1">IFERROR(__xludf.DUMMYFUNCTION("""COMPUTED_VALUE"""),"FRANCISCO  TARREGA GONZALEZ")</f>
        <v>FRANCISCO  TARREGA GONZALEZ</v>
      </c>
      <c r="K710" s="33">
        <f ca="1">IFERROR(__xludf.DUMMYFUNCTION("""COMPUTED_VALUE"""),2)</f>
        <v>2</v>
      </c>
      <c r="L710" s="203">
        <f ca="1">IFERROR(__xludf.DUMMYFUNCTION("""COMPUTED_VALUE"""),4000)</f>
        <v>4000</v>
      </c>
      <c r="M710" s="33" t="str">
        <f ca="1">IFERROR(__xludf.DUMMYFUNCTION("""COMPUTED_VALUE"""),"03 ORL")</f>
        <v>03 ORL</v>
      </c>
      <c r="N710" s="33" t="str">
        <f ca="1">IFERROR(__xludf.DUMMYFUNCTION("""COMPUTED_VALUE"""),"06 ORL")</f>
        <v>06 ORL</v>
      </c>
      <c r="O710" s="33" t="str">
        <f ca="1">IFERROR(__xludf.DUMMYFUNCTION("""COMPUTED_VALUE"""),"Dr, Jean Franco Intraprendente Martini")</f>
        <v>Dr, Jean Franco Intraprendente Martini</v>
      </c>
      <c r="P710" s="33" t="str">
        <f ca="1">IFERROR(__xludf.DUMMYFUNCTION("""COMPUTED_VALUE"""),"Ramon Ferrando(Valencia)")</f>
        <v>Ramon Ferrando(Valencia)</v>
      </c>
    </row>
    <row r="711" spans="2:16">
      <c r="B711" s="33">
        <f ca="1">IFERROR(__xludf.DUMMYFUNCTION("""COMPUTED_VALUE"""),2025)</f>
        <v>2025</v>
      </c>
      <c r="C711" s="33">
        <f ca="1">IFERROR(__xludf.DUMMYFUNCTION("""COMPUTED_VALUE"""),5)</f>
        <v>5</v>
      </c>
      <c r="D711" s="33" t="str">
        <f ca="1">IFERROR(__xludf.DUMMYFUNCTION("""COMPUTED_VALUE"""),"NO")</f>
        <v>NO</v>
      </c>
      <c r="E711" s="33" t="str">
        <f ca="1">IFERROR(__xludf.DUMMYFUNCTION("""COMPUTED_VALUE"""),"Valencia- Cádiz")</f>
        <v>Valencia- Cádiz</v>
      </c>
      <c r="F711" s="57">
        <f ca="1">IFERROR(__xludf.DUMMYFUNCTION("""COMPUTED_VALUE"""),45796)</f>
        <v>45796</v>
      </c>
      <c r="G711" s="57">
        <f ca="1">IFERROR(__xludf.DUMMYFUNCTION("""COMPUTED_VALUE"""),45761)</f>
        <v>45761</v>
      </c>
      <c r="H711" s="33" t="str">
        <f ca="1">IFERROR(__xludf.DUMMYFUNCTION("""COMPUTED_VALUE"""),"Valencia- Cádiz")</f>
        <v>Valencia- Cádiz</v>
      </c>
      <c r="I711" s="33" t="str">
        <f ca="1">IFERROR(__xludf.DUMMYFUNCTION("""COMPUTED_VALUE"""),"C202542310580896")</f>
        <v>C202542310580896</v>
      </c>
      <c r="J711" s="33" t="str">
        <f ca="1">IFERROR(__xludf.DUMMYFUNCTION("""COMPUTED_VALUE"""),"FELIPE PEREZ NOVELLA")</f>
        <v>FELIPE PEREZ NOVELLA</v>
      </c>
      <c r="K711" s="33">
        <f ca="1">IFERROR(__xludf.DUMMYFUNCTION("""COMPUTED_VALUE"""),2)</f>
        <v>2</v>
      </c>
      <c r="L711" s="203">
        <f ca="1">IFERROR(__xludf.DUMMYFUNCTION("""COMPUTED_VALUE"""),3710)</f>
        <v>3710</v>
      </c>
      <c r="M711" s="33" t="str">
        <f ca="1">IFERROR(__xludf.DUMMYFUNCTION("""COMPUTED_VALUE"""),"03 ORL")</f>
        <v>03 ORL</v>
      </c>
      <c r="N711" s="33" t="str">
        <f ca="1">IFERROR(__xludf.DUMMYFUNCTION("""COMPUTED_VALUE"""),"06 ORL")</f>
        <v>06 ORL</v>
      </c>
      <c r="O711" s="33" t="str">
        <f ca="1">IFERROR(__xludf.DUMMYFUNCTION("""COMPUTED_VALUE"""),"Dr, José Ramiro de León Lima")</f>
        <v>Dr, José Ramiro de León Lima</v>
      </c>
      <c r="P711" s="33" t="str">
        <f ca="1">IFERROR(__xludf.DUMMYFUNCTION("""COMPUTED_VALUE"""),"Ramon Ferrando(Valencia)")</f>
        <v>Ramon Ferrando(Valencia)</v>
      </c>
    </row>
    <row r="712" spans="2:16">
      <c r="B712" s="33">
        <f ca="1">IFERROR(__xludf.DUMMYFUNCTION("""COMPUTED_VALUE"""),2025)</f>
        <v>2025</v>
      </c>
      <c r="C712" s="33">
        <f ca="1">IFERROR(__xludf.DUMMYFUNCTION("""COMPUTED_VALUE"""),5)</f>
        <v>5</v>
      </c>
      <c r="D712" s="33" t="str">
        <f ca="1">IFERROR(__xludf.DUMMYFUNCTION("""COMPUTED_VALUE"""),"NO")</f>
        <v>NO</v>
      </c>
      <c r="E712" s="33" t="str">
        <f ca="1">IFERROR(__xludf.DUMMYFUNCTION("""COMPUTED_VALUE"""),"Valencia- Cádiz")</f>
        <v>Valencia- Cádiz</v>
      </c>
      <c r="F712" s="57">
        <f ca="1">IFERROR(__xludf.DUMMYFUNCTION("""COMPUTED_VALUE"""),45799)</f>
        <v>45799</v>
      </c>
      <c r="G712" s="57">
        <f ca="1">IFERROR(__xludf.DUMMYFUNCTION("""COMPUTED_VALUE"""),45771)</f>
        <v>45771</v>
      </c>
      <c r="H712" s="33" t="str">
        <f ca="1">IFERROR(__xludf.DUMMYFUNCTION("""COMPUTED_VALUE"""),"Valencia- Cádiz")</f>
        <v>Valencia- Cádiz</v>
      </c>
      <c r="I712" s="33" t="str">
        <f ca="1">IFERROR(__xludf.DUMMYFUNCTION("""COMPUTED_VALUE"""),"C202552152756729")</f>
        <v>C202552152756729</v>
      </c>
      <c r="J712" s="33" t="str">
        <f ca="1">IFERROR(__xludf.DUMMYFUNCTION("""COMPUTED_VALUE"""),"FERNANDO MIGUEL LEAL FERNANDEZ")</f>
        <v>FERNANDO MIGUEL LEAL FERNANDEZ</v>
      </c>
      <c r="K712" s="33">
        <f ca="1">IFERROR(__xludf.DUMMYFUNCTION("""COMPUTED_VALUE"""),1)</f>
        <v>1</v>
      </c>
      <c r="L712" s="203">
        <f ca="1">IFERROR(__xludf.DUMMYFUNCTION("""COMPUTED_VALUE"""),1732.73)</f>
        <v>1732.73</v>
      </c>
      <c r="M712" s="33" t="str">
        <f ca="1">IFERROR(__xludf.DUMMYFUNCTION("""COMPUTED_VALUE"""),"03 ORL")</f>
        <v>03 ORL</v>
      </c>
      <c r="N712" s="33" t="str">
        <f ca="1">IFERROR(__xludf.DUMMYFUNCTION("""COMPUTED_VALUE"""),"06 ORL")</f>
        <v>06 ORL</v>
      </c>
      <c r="O712" s="33" t="str">
        <f ca="1">IFERROR(__xludf.DUMMYFUNCTION("""COMPUTED_VALUE"""),"Dra, Celia López Molla")</f>
        <v>Dra, Celia López Molla</v>
      </c>
      <c r="P712" s="33" t="str">
        <f ca="1">IFERROR(__xludf.DUMMYFUNCTION("""COMPUTED_VALUE"""),"Ramon Ferrando(Valencia)")</f>
        <v>Ramon Ferrando(Valencia)</v>
      </c>
    </row>
    <row r="713" spans="2:16">
      <c r="B713" s="33">
        <f ca="1">IFERROR(__xludf.DUMMYFUNCTION("""COMPUTED_VALUE"""),2025)</f>
        <v>2025</v>
      </c>
      <c r="C713" s="33">
        <f ca="1">IFERROR(__xludf.DUMMYFUNCTION("""COMPUTED_VALUE"""),5)</f>
        <v>5</v>
      </c>
      <c r="D713" s="33" t="str">
        <f ca="1">IFERROR(__xludf.DUMMYFUNCTION("""COMPUTED_VALUE"""),"NO")</f>
        <v>NO</v>
      </c>
      <c r="E713" s="33" t="str">
        <f ca="1">IFERROR(__xludf.DUMMYFUNCTION("""COMPUTED_VALUE"""),"Valencia- Cádiz")</f>
        <v>Valencia- Cádiz</v>
      </c>
      <c r="F713" s="57">
        <f ca="1">IFERROR(__xludf.DUMMYFUNCTION("""COMPUTED_VALUE"""),45799)</f>
        <v>45799</v>
      </c>
      <c r="G713" s="57">
        <f ca="1">IFERROR(__xludf.DUMMYFUNCTION("""COMPUTED_VALUE"""),45750)</f>
        <v>45750</v>
      </c>
      <c r="H713" s="33" t="str">
        <f ca="1">IFERROR(__xludf.DUMMYFUNCTION("""COMPUTED_VALUE"""),"Valencia- Cádiz")</f>
        <v>Valencia- Cádiz</v>
      </c>
      <c r="I713" s="33" t="str">
        <f ca="1">IFERROR(__xludf.DUMMYFUNCTION("""COMPUTED_VALUE"""),"C202542217536584")</f>
        <v>C202542217536584</v>
      </c>
      <c r="J713" s="33" t="str">
        <f ca="1">IFERROR(__xludf.DUMMYFUNCTION("""COMPUTED_VALUE"""),"FRANCISCO GARCIA MORATA")</f>
        <v>FRANCISCO GARCIA MORATA</v>
      </c>
      <c r="K713" s="33">
        <f ca="1">IFERROR(__xludf.DUMMYFUNCTION("""COMPUTED_VALUE"""),2)</f>
        <v>2</v>
      </c>
      <c r="L713" s="203">
        <f ca="1">IFERROR(__xludf.DUMMYFUNCTION("""COMPUTED_VALUE"""),4000)</f>
        <v>4000</v>
      </c>
      <c r="M713" s="33" t="str">
        <f ca="1">IFERROR(__xludf.DUMMYFUNCTION("""COMPUTED_VALUE"""),"03 ORL")</f>
        <v>03 ORL</v>
      </c>
      <c r="N713" s="33" t="str">
        <f ca="1">IFERROR(__xludf.DUMMYFUNCTION("""COMPUTED_VALUE"""),"06 ORL")</f>
        <v>06 ORL</v>
      </c>
      <c r="O713" s="33" t="str">
        <f ca="1">IFERROR(__xludf.DUMMYFUNCTION("""COMPUTED_VALUE"""),"Dr, Martín Eduardo Marcano Acuña")</f>
        <v>Dr, Martín Eduardo Marcano Acuña</v>
      </c>
      <c r="P713" s="33" t="str">
        <f ca="1">IFERROR(__xludf.DUMMYFUNCTION("""COMPUTED_VALUE"""),"Ramon Ferrando(Valencia)")</f>
        <v>Ramon Ferrando(Valencia)</v>
      </c>
    </row>
    <row r="714" spans="2:16">
      <c r="B714" s="33">
        <f ca="1">IFERROR(__xludf.DUMMYFUNCTION("""COMPUTED_VALUE"""),2025)</f>
        <v>2025</v>
      </c>
      <c r="C714" s="33">
        <f ca="1">IFERROR(__xludf.DUMMYFUNCTION("""COMPUTED_VALUE"""),5)</f>
        <v>5</v>
      </c>
      <c r="D714" s="33" t="str">
        <f ca="1">IFERROR(__xludf.DUMMYFUNCTION("""COMPUTED_VALUE"""),"NO")</f>
        <v>NO</v>
      </c>
      <c r="E714" s="33" t="str">
        <f ca="1">IFERROR(__xludf.DUMMYFUNCTION("""COMPUTED_VALUE"""),"Valencia- Cádiz")</f>
        <v>Valencia- Cádiz</v>
      </c>
      <c r="F714" s="57">
        <f ca="1">IFERROR(__xludf.DUMMYFUNCTION("""COMPUTED_VALUE"""),45797)</f>
        <v>45797</v>
      </c>
      <c r="G714" s="57">
        <f ca="1">IFERROR(__xludf.DUMMYFUNCTION("""COMPUTED_VALUE"""),45749)</f>
        <v>45749</v>
      </c>
      <c r="H714" s="33" t="str">
        <f ca="1">IFERROR(__xludf.DUMMYFUNCTION("""COMPUTED_VALUE"""),"Valencia- Cádiz")</f>
        <v>Valencia- Cádiz</v>
      </c>
      <c r="I714" s="33" t="str">
        <f ca="1">IFERROR(__xludf.DUMMYFUNCTION("""COMPUTED_VALUE"""),"C2025481791514")</f>
        <v>C2025481791514</v>
      </c>
      <c r="J714" s="33" t="str">
        <f ca="1">IFERROR(__xludf.DUMMYFUNCTION("""COMPUTED_VALUE"""),"MIGUEL CERVERA SANZ")</f>
        <v>MIGUEL CERVERA SANZ</v>
      </c>
      <c r="K714" s="33">
        <f ca="1">IFERROR(__xludf.DUMMYFUNCTION("""COMPUTED_VALUE"""),1)</f>
        <v>1</v>
      </c>
      <c r="L714" s="203">
        <f ca="1">IFERROR(__xludf.DUMMYFUNCTION("""COMPUTED_VALUE"""),1646.09)</f>
        <v>1646.09</v>
      </c>
      <c r="M714" s="33" t="str">
        <f ca="1">IFERROR(__xludf.DUMMYFUNCTION("""COMPUTED_VALUE"""),"03 ORL")</f>
        <v>03 ORL</v>
      </c>
      <c r="N714" s="33" t="str">
        <f ca="1">IFERROR(__xludf.DUMMYFUNCTION("""COMPUTED_VALUE"""),"06 ORL")</f>
        <v>06 ORL</v>
      </c>
      <c r="O714" s="33" t="str">
        <f ca="1">IFERROR(__xludf.DUMMYFUNCTION("""COMPUTED_VALUE"""),"Dr, José Montalt Marco")</f>
        <v>Dr, José Montalt Marco</v>
      </c>
      <c r="P714" s="33" t="str">
        <f ca="1">IFERROR(__xludf.DUMMYFUNCTION("""COMPUTED_VALUE"""),"Ramon Ferrando(Valencia)")</f>
        <v>Ramon Ferrando(Valencia)</v>
      </c>
    </row>
    <row r="715" spans="2:16">
      <c r="B715" s="33">
        <f ca="1">IFERROR(__xludf.DUMMYFUNCTION("""COMPUTED_VALUE"""),2025)</f>
        <v>2025</v>
      </c>
      <c r="C715" s="33">
        <f ca="1">IFERROR(__xludf.DUMMYFUNCTION("""COMPUTED_VALUE"""),5)</f>
        <v>5</v>
      </c>
      <c r="D715" s="33" t="str">
        <f ca="1">IFERROR(__xludf.DUMMYFUNCTION("""COMPUTED_VALUE"""),"NO")</f>
        <v>NO</v>
      </c>
      <c r="E715" s="33" t="str">
        <f ca="1">IFERROR(__xludf.DUMMYFUNCTION("""COMPUTED_VALUE"""),"Valencia- Cádiz")</f>
        <v>Valencia- Cádiz</v>
      </c>
      <c r="F715" s="57">
        <f ca="1">IFERROR(__xludf.DUMMYFUNCTION("""COMPUTED_VALUE"""),45799)</f>
        <v>45799</v>
      </c>
      <c r="G715" s="57">
        <f ca="1">IFERROR(__xludf.DUMMYFUNCTION("""COMPUTED_VALUE"""),45763)</f>
        <v>45763</v>
      </c>
      <c r="H715" s="33" t="str">
        <f ca="1">IFERROR(__xludf.DUMMYFUNCTION("""COMPUTED_VALUE"""),"Valencia- Cádiz")</f>
        <v>Valencia- Cádiz</v>
      </c>
      <c r="I715" s="33" t="str">
        <f ca="1">IFERROR(__xludf.DUMMYFUNCTION("""COMPUTED_VALUE"""),"C202552115756922")</f>
        <v>C202552115756922</v>
      </c>
      <c r="J715" s="33" t="str">
        <f ca="1">IFERROR(__xludf.DUMMYFUNCTION("""COMPUTED_VALUE"""),"SALVADOR MARIN GARCIA")</f>
        <v>SALVADOR MARIN GARCIA</v>
      </c>
      <c r="K715" s="33">
        <f ca="1">IFERROR(__xludf.DUMMYFUNCTION("""COMPUTED_VALUE"""),2)</f>
        <v>2</v>
      </c>
      <c r="L715" s="203">
        <f ca="1">IFERROR(__xludf.DUMMYFUNCTION("""COMPUTED_VALUE"""),4180)</f>
        <v>4180</v>
      </c>
      <c r="M715" s="33" t="str">
        <f ca="1">IFERROR(__xludf.DUMMYFUNCTION("""COMPUTED_VALUE"""),"03 ORL")</f>
        <v>03 ORL</v>
      </c>
      <c r="N715" s="33" t="str">
        <f ca="1">IFERROR(__xludf.DUMMYFUNCTION("""COMPUTED_VALUE"""),"06 ORL")</f>
        <v>06 ORL</v>
      </c>
      <c r="O715" s="33" t="str">
        <f ca="1">IFERROR(__xludf.DUMMYFUNCTION("""COMPUTED_VALUE"""),"Dra, Ainhoa García-Lliberos de Miguel")</f>
        <v>Dra, Ainhoa García-Lliberos de Miguel</v>
      </c>
      <c r="P715" s="33" t="str">
        <f ca="1">IFERROR(__xludf.DUMMYFUNCTION("""COMPUTED_VALUE"""),"Ramon Ferrando(Valencia)")</f>
        <v>Ramon Ferrando(Valencia)</v>
      </c>
    </row>
    <row r="716" spans="2:16">
      <c r="B716" s="33">
        <f ca="1">IFERROR(__xludf.DUMMYFUNCTION("""COMPUTED_VALUE"""),2025)</f>
        <v>2025</v>
      </c>
      <c r="C716" s="33">
        <f ca="1">IFERROR(__xludf.DUMMYFUNCTION("""COMPUTED_VALUE"""),5)</f>
        <v>5</v>
      </c>
      <c r="D716" s="33" t="str">
        <f ca="1">IFERROR(__xludf.DUMMYFUNCTION("""COMPUTED_VALUE"""),"NO")</f>
        <v>NO</v>
      </c>
      <c r="E716" s="33" t="str">
        <f ca="1">IFERROR(__xludf.DUMMYFUNCTION("""COMPUTED_VALUE"""),"Valencia- Cádiz")</f>
        <v>Valencia- Cádiz</v>
      </c>
      <c r="F716" s="57">
        <f ca="1">IFERROR(__xludf.DUMMYFUNCTION("""COMPUTED_VALUE"""),45800)</f>
        <v>45800</v>
      </c>
      <c r="G716" s="57">
        <f ca="1">IFERROR(__xludf.DUMMYFUNCTION("""COMPUTED_VALUE"""),45736)</f>
        <v>45736</v>
      </c>
      <c r="H716" s="33" t="str">
        <f ca="1">IFERROR(__xludf.DUMMYFUNCTION("""COMPUTED_VALUE"""),"Valencia- Cádiz")</f>
        <v>Valencia- Cádiz</v>
      </c>
      <c r="I716" s="33" t="str">
        <f ca="1">IFERROR(__xludf.DUMMYFUNCTION("""COMPUTED_VALUE"""),"C202541410493447")</f>
        <v>C202541410493447</v>
      </c>
      <c r="J716" s="33" t="str">
        <f ca="1">IFERROR(__xludf.DUMMYFUNCTION("""COMPUTED_VALUE"""),"VIRGINIA DEL PINO GRACIA")</f>
        <v>VIRGINIA DEL PINO GRACIA</v>
      </c>
      <c r="K716" s="33">
        <f ca="1">IFERROR(__xludf.DUMMYFUNCTION("""COMPUTED_VALUE"""),2)</f>
        <v>2</v>
      </c>
      <c r="L716" s="203">
        <f ca="1">IFERROR(__xludf.DUMMYFUNCTION("""COMPUTED_VALUE"""),4000)</f>
        <v>4000</v>
      </c>
      <c r="M716" s="33" t="str">
        <f ca="1">IFERROR(__xludf.DUMMYFUNCTION("""COMPUTED_VALUE"""),"03 ORL")</f>
        <v>03 ORL</v>
      </c>
      <c r="N716" s="33" t="str">
        <f ca="1">IFERROR(__xludf.DUMMYFUNCTION("""COMPUTED_VALUE"""),"06 ORL")</f>
        <v>06 ORL</v>
      </c>
      <c r="O716" s="33" t="str">
        <f ca="1">IFERROR(__xludf.DUMMYFUNCTION("""COMPUTED_VALUE"""),"Dr, Martín Eduardo Marcano Acuña")</f>
        <v>Dr, Martín Eduardo Marcano Acuña</v>
      </c>
      <c r="P716" s="33" t="str">
        <f ca="1">IFERROR(__xludf.DUMMYFUNCTION("""COMPUTED_VALUE"""),"Ramon Ferrando(Valencia)")</f>
        <v>Ramon Ferrando(Valencia)</v>
      </c>
    </row>
    <row r="717" spans="2:16">
      <c r="B717" s="33">
        <f ca="1">IFERROR(__xludf.DUMMYFUNCTION("""COMPUTED_VALUE"""),2025)</f>
        <v>2025</v>
      </c>
      <c r="C717" s="33">
        <f ca="1">IFERROR(__xludf.DUMMYFUNCTION("""COMPUTED_VALUE"""),5)</f>
        <v>5</v>
      </c>
      <c r="D717" s="33" t="str">
        <f ca="1">IFERROR(__xludf.DUMMYFUNCTION("""COMPUTED_VALUE"""),"NO")</f>
        <v>NO</v>
      </c>
      <c r="E717" s="33" t="str">
        <f ca="1">IFERROR(__xludf.DUMMYFUNCTION("""COMPUTED_VALUE"""),"Valencia- Parra")</f>
        <v>Valencia- Parra</v>
      </c>
      <c r="F717" s="57">
        <f ca="1">IFERROR(__xludf.DUMMYFUNCTION("""COMPUTED_VALUE"""),45800)</f>
        <v>45800</v>
      </c>
      <c r="G717" s="57">
        <f ca="1">IFERROR(__xludf.DUMMYFUNCTION("""COMPUTED_VALUE"""),45751)</f>
        <v>45751</v>
      </c>
      <c r="H717" s="33" t="str">
        <f ca="1">IFERROR(__xludf.DUMMYFUNCTION("""COMPUTED_VALUE"""),"Valencia- Parra")</f>
        <v>Valencia- Parra</v>
      </c>
      <c r="I717" s="33" t="str">
        <f ca="1">IFERROR(__xludf.DUMMYFUNCTION("""COMPUTED_VALUE"""),"C202549184519787")</f>
        <v>C202549184519787</v>
      </c>
      <c r="J717" s="33" t="str">
        <f ca="1">IFERROR(__xludf.DUMMYFUNCTION("""COMPUTED_VALUE"""),"CARMEN CORCOLES MARCOS")</f>
        <v>CARMEN CORCOLES MARCOS</v>
      </c>
      <c r="K717" s="33">
        <f ca="1">IFERROR(__xludf.DUMMYFUNCTION("""COMPUTED_VALUE"""),2)</f>
        <v>2</v>
      </c>
      <c r="L717" s="203">
        <f ca="1">IFERROR(__xludf.DUMMYFUNCTION("""COMPUTED_VALUE"""),3710)</f>
        <v>3710</v>
      </c>
      <c r="M717" s="33" t="str">
        <f ca="1">IFERROR(__xludf.DUMMYFUNCTION("""COMPUTED_VALUE"""),"03 ORL")</f>
        <v>03 ORL</v>
      </c>
      <c r="N717" s="33" t="str">
        <f ca="1">IFERROR(__xludf.DUMMYFUNCTION("""COMPUTED_VALUE"""),"06 ORL")</f>
        <v>06 ORL</v>
      </c>
      <c r="O717" s="33" t="str">
        <f ca="1">IFERROR(__xludf.DUMMYFUNCTION("""COMPUTED_VALUE"""),"Dra, Mariella Anaya Sifuentes")</f>
        <v>Dra, Mariella Anaya Sifuentes</v>
      </c>
      <c r="P717" s="33" t="str">
        <f ca="1">IFERROR(__xludf.DUMMYFUNCTION("""COMPUTED_VALUE"""),"Iván Sánchez (Levante Y Albacete)")</f>
        <v>Iván Sánchez (Levante Y Albacete)</v>
      </c>
    </row>
    <row r="718" spans="2:16">
      <c r="B718" s="33">
        <f ca="1">IFERROR(__xludf.DUMMYFUNCTION("""COMPUTED_VALUE"""),2025)</f>
        <v>2025</v>
      </c>
      <c r="C718" s="33">
        <f ca="1">IFERROR(__xludf.DUMMYFUNCTION("""COMPUTED_VALUE"""),5)</f>
        <v>5</v>
      </c>
      <c r="D718" s="33" t="str">
        <f ca="1">IFERROR(__xludf.DUMMYFUNCTION("""COMPUTED_VALUE"""),"NO")</f>
        <v>NO</v>
      </c>
      <c r="E718" s="33" t="str">
        <f ca="1">IFERROR(__xludf.DUMMYFUNCTION("""COMPUTED_VALUE"""),"Valencia- Parra")</f>
        <v>Valencia- Parra</v>
      </c>
      <c r="F718" s="57">
        <f ca="1">IFERROR(__xludf.DUMMYFUNCTION("""COMPUTED_VALUE"""),45797)</f>
        <v>45797</v>
      </c>
      <c r="G718" s="57">
        <f ca="1">IFERROR(__xludf.DUMMYFUNCTION("""COMPUTED_VALUE"""),45740)</f>
        <v>45740</v>
      </c>
      <c r="H718" s="33" t="str">
        <f ca="1">IFERROR(__xludf.DUMMYFUNCTION("""COMPUTED_VALUE"""),"Valencia- Parra")</f>
        <v>Valencia- Parra</v>
      </c>
      <c r="I718" s="33" t="str">
        <f ca="1">IFERROR(__xludf.DUMMYFUNCTION("""COMPUTED_VALUE"""),"C2025411238823")</f>
        <v>C2025411238823</v>
      </c>
      <c r="J718" s="33" t="str">
        <f ca="1">IFERROR(__xludf.DUMMYFUNCTION("""COMPUTED_VALUE"""),"JOSE LAFONT MARTINEZ")</f>
        <v>JOSE LAFONT MARTINEZ</v>
      </c>
      <c r="K718" s="33">
        <f ca="1">IFERROR(__xludf.DUMMYFUNCTION("""COMPUTED_VALUE"""),2)</f>
        <v>2</v>
      </c>
      <c r="L718" s="203">
        <f ca="1">IFERROR(__xludf.DUMMYFUNCTION("""COMPUTED_VALUE"""),3710)</f>
        <v>3710</v>
      </c>
      <c r="M718" s="33" t="str">
        <f ca="1">IFERROR(__xludf.DUMMYFUNCTION("""COMPUTED_VALUE"""),"03 ORL")</f>
        <v>03 ORL</v>
      </c>
      <c r="N718" s="33" t="str">
        <f ca="1">IFERROR(__xludf.DUMMYFUNCTION("""COMPUTED_VALUE"""),"06 ORL")</f>
        <v>06 ORL</v>
      </c>
      <c r="O718" s="33" t="str">
        <f ca="1">IFERROR(__xludf.DUMMYFUNCTION("""COMPUTED_VALUE"""),"Dra, María Begoña Capella Soriano")</f>
        <v>Dra, María Begoña Capella Soriano</v>
      </c>
      <c r="P718" s="33" t="str">
        <f ca="1">IFERROR(__xludf.DUMMYFUNCTION("""COMPUTED_VALUE"""),"Ramon Ferrando(Valencia)")</f>
        <v>Ramon Ferrando(Valencia)</v>
      </c>
    </row>
    <row r="719" spans="2:16">
      <c r="B719" s="33">
        <f ca="1">IFERROR(__xludf.DUMMYFUNCTION("""COMPUTED_VALUE"""),2025)</f>
        <v>2025</v>
      </c>
      <c r="C719" s="33">
        <f ca="1">IFERROR(__xludf.DUMMYFUNCTION("""COMPUTED_VALUE"""),5)</f>
        <v>5</v>
      </c>
      <c r="D719" s="33" t="str">
        <f ca="1">IFERROR(__xludf.DUMMYFUNCTION("""COMPUTED_VALUE"""),"NO")</f>
        <v>NO</v>
      </c>
      <c r="E719" s="33" t="str">
        <f ca="1">IFERROR(__xludf.DUMMYFUNCTION("""COMPUTED_VALUE"""),"Valencia- Parra")</f>
        <v>Valencia- Parra</v>
      </c>
      <c r="F719" s="57">
        <f ca="1">IFERROR(__xludf.DUMMYFUNCTION("""COMPUTED_VALUE"""),45800)</f>
        <v>45800</v>
      </c>
      <c r="G719" s="57">
        <f ca="1">IFERROR(__xludf.DUMMYFUNCTION("""COMPUTED_VALUE"""),45736)</f>
        <v>45736</v>
      </c>
      <c r="H719" s="33" t="str">
        <f ca="1">IFERROR(__xludf.DUMMYFUNCTION("""COMPUTED_VALUE"""),"Valencia- Parra")</f>
        <v>Valencia- Parra</v>
      </c>
      <c r="I719" s="33" t="str">
        <f ca="1">IFERROR(__xludf.DUMMYFUNCTION("""COMPUTED_VALUE"""),"C2025327175754453")</f>
        <v>C2025327175754453</v>
      </c>
      <c r="J719" s="33" t="str">
        <f ca="1">IFERROR(__xludf.DUMMYFUNCTION("""COMPUTED_VALUE"""),"ROCIO DOMINGUEZ DOMINGUEZ")</f>
        <v>ROCIO DOMINGUEZ DOMINGUEZ</v>
      </c>
      <c r="K719" s="33">
        <f ca="1">IFERROR(__xludf.DUMMYFUNCTION("""COMPUTED_VALUE"""),2)</f>
        <v>2</v>
      </c>
      <c r="L719" s="203">
        <f ca="1">IFERROR(__xludf.DUMMYFUNCTION("""COMPUTED_VALUE"""),4000)</f>
        <v>4000</v>
      </c>
      <c r="M719" s="33" t="str">
        <f ca="1">IFERROR(__xludf.DUMMYFUNCTION("""COMPUTED_VALUE"""),"03 ORL")</f>
        <v>03 ORL</v>
      </c>
      <c r="N719" s="33" t="str">
        <f ca="1">IFERROR(__xludf.DUMMYFUNCTION("""COMPUTED_VALUE"""),"06 ORL")</f>
        <v>06 ORL</v>
      </c>
      <c r="O719" s="33" t="str">
        <f ca="1">IFERROR(__xludf.DUMMYFUNCTION("""COMPUTED_VALUE"""),"Dr, Manuel Mateos Fernández")</f>
        <v>Dr, Manuel Mateos Fernández</v>
      </c>
      <c r="P719" s="33" t="str">
        <f ca="1">IFERROR(__xludf.DUMMYFUNCTION("""COMPUTED_VALUE"""),"Ramon Ferrando(Valencia)")</f>
        <v>Ramon Ferrando(Valencia)</v>
      </c>
    </row>
    <row r="720" spans="2:16">
      <c r="B720" s="33">
        <f ca="1">IFERROR(__xludf.DUMMYFUNCTION("""COMPUTED_VALUE"""),2025)</f>
        <v>2025</v>
      </c>
      <c r="C720" s="33">
        <f ca="1">IFERROR(__xludf.DUMMYFUNCTION("""COMPUTED_VALUE"""),5)</f>
        <v>5</v>
      </c>
      <c r="D720" s="33" t="str">
        <f ca="1">IFERROR(__xludf.DUMMYFUNCTION("""COMPUTED_VALUE"""),"NO")</f>
        <v>NO</v>
      </c>
      <c r="E720" s="33" t="str">
        <f ca="1">IFERROR(__xludf.DUMMYFUNCTION("""COMPUTED_VALUE"""),"Valencia- Parra")</f>
        <v>Valencia- Parra</v>
      </c>
      <c r="F720" s="57">
        <f ca="1">IFERROR(__xludf.DUMMYFUNCTION("""COMPUTED_VALUE"""),45797)</f>
        <v>45797</v>
      </c>
      <c r="G720" s="57">
        <f ca="1">IFERROR(__xludf.DUMMYFUNCTION("""COMPUTED_VALUE"""),45740)</f>
        <v>45740</v>
      </c>
      <c r="H720" s="33" t="str">
        <f ca="1">IFERROR(__xludf.DUMMYFUNCTION("""COMPUTED_VALUE"""),"Valencia- Parra")</f>
        <v>Valencia- Parra</v>
      </c>
      <c r="I720" s="33" t="str">
        <f ca="1">IFERROR(__xludf.DUMMYFUNCTION("""COMPUTED_VALUE"""),"C202541182926561")</f>
        <v>C202541182926561</v>
      </c>
      <c r="J720" s="33" t="str">
        <f ca="1">IFERROR(__xludf.DUMMYFUNCTION("""COMPUTED_VALUE"""),"VICENTE FERRER PILES")</f>
        <v>VICENTE FERRER PILES</v>
      </c>
      <c r="K720" s="33">
        <f ca="1">IFERROR(__xludf.DUMMYFUNCTION("""COMPUTED_VALUE"""),1)</f>
        <v>1</v>
      </c>
      <c r="L720" s="203">
        <f ca="1">IFERROR(__xludf.DUMMYFUNCTION("""COMPUTED_VALUE"""),2400)</f>
        <v>2400</v>
      </c>
      <c r="M720" s="33" t="str">
        <f ca="1">IFERROR(__xludf.DUMMYFUNCTION("""COMPUTED_VALUE"""),"03 ORL")</f>
        <v>03 ORL</v>
      </c>
      <c r="N720" s="33" t="str">
        <f ca="1">IFERROR(__xludf.DUMMYFUNCTION("""COMPUTED_VALUE"""),"06 ORL")</f>
        <v>06 ORL</v>
      </c>
      <c r="O720" s="33" t="str">
        <f ca="1">IFERROR(__xludf.DUMMYFUNCTION("""COMPUTED_VALUE"""),"Dr, Jean Franco Intraprendente Martini")</f>
        <v>Dr, Jean Franco Intraprendente Martini</v>
      </c>
      <c r="P720" s="33" t="str">
        <f ca="1">IFERROR(__xludf.DUMMYFUNCTION("""COMPUTED_VALUE"""),"Ramon Ferrando(Valencia)")</f>
        <v>Ramon Ferrando(Valencia)</v>
      </c>
    </row>
    <row r="721" spans="2:16">
      <c r="B721" s="33">
        <f ca="1">IFERROR(__xludf.DUMMYFUNCTION("""COMPUTED_VALUE"""),2025)</f>
        <v>2025</v>
      </c>
      <c r="C721" s="33">
        <f ca="1">IFERROR(__xludf.DUMMYFUNCTION("""COMPUTED_VALUE"""),5)</f>
        <v>5</v>
      </c>
      <c r="D721" s="33" t="str">
        <f ca="1">IFERROR(__xludf.DUMMYFUNCTION("""COMPUTED_VALUE"""),"NO")</f>
        <v>NO</v>
      </c>
      <c r="E721" s="33" t="str">
        <f ca="1">IFERROR(__xludf.DUMMYFUNCTION("""COMPUTED_VALUE"""),"Vilanova")</f>
        <v>Vilanova</v>
      </c>
      <c r="F721" s="57">
        <f ca="1">IFERROR(__xludf.DUMMYFUNCTION("""COMPUTED_VALUE"""),45785)</f>
        <v>45785</v>
      </c>
      <c r="G721" s="57">
        <f ca="1">IFERROR(__xludf.DUMMYFUNCTION("""COMPUTED_VALUE"""),45749)</f>
        <v>45749</v>
      </c>
      <c r="H721" s="33" t="str">
        <f ca="1">IFERROR(__xludf.DUMMYFUNCTION("""COMPUTED_VALUE"""),"Vilanova")</f>
        <v>Vilanova</v>
      </c>
      <c r="I721" s="33" t="str">
        <f ca="1">IFERROR(__xludf.DUMMYFUNCTION("""COMPUTED_VALUE"""),"C20254911245719")</f>
        <v>C20254911245719</v>
      </c>
      <c r="J721" s="33" t="str">
        <f ca="1">IFERROR(__xludf.DUMMYFUNCTION("""COMPUTED_VALUE"""),"DIEGO LOPEZ GARCIA")</f>
        <v>DIEGO LOPEZ GARCIA</v>
      </c>
      <c r="K721" s="33">
        <f ca="1">IFERROR(__xludf.DUMMYFUNCTION("""COMPUTED_VALUE"""),2)</f>
        <v>2</v>
      </c>
      <c r="L721" s="203">
        <f ca="1">IFERROR(__xludf.DUMMYFUNCTION("""COMPUTED_VALUE"""),3603.85)</f>
        <v>3603.85</v>
      </c>
      <c r="M721" s="33" t="str">
        <f ca="1">IFERROR(__xludf.DUMMYFUNCTION("""COMPUTED_VALUE"""),"03 ORL")</f>
        <v>03 ORL</v>
      </c>
      <c r="N721" s="33" t="str">
        <f ca="1">IFERROR(__xludf.DUMMYFUNCTION("""COMPUTED_VALUE"""),"06 ORL")</f>
        <v>06 ORL</v>
      </c>
      <c r="O721" s="33" t="str">
        <f ca="1">IFERROR(__xludf.DUMMYFUNCTION("""COMPUTED_VALUE"""),"Dr, Enrique Romero Van Abeleen")</f>
        <v>Dr, Enrique Romero Van Abeleen</v>
      </c>
      <c r="P721" s="33" t="str">
        <f ca="1">IFERROR(__xludf.DUMMYFUNCTION("""COMPUTED_VALUE"""),"Mercè Cabrera (Cataluña Y Baleares)")</f>
        <v>Mercè Cabrera (Cataluña Y Baleares)</v>
      </c>
    </row>
    <row r="722" spans="2:16">
      <c r="B722" s="33">
        <f ca="1">IFERROR(__xludf.DUMMYFUNCTION("""COMPUTED_VALUE"""),2025)</f>
        <v>2025</v>
      </c>
      <c r="C722" s="33">
        <f ca="1">IFERROR(__xludf.DUMMYFUNCTION("""COMPUTED_VALUE"""),5)</f>
        <v>5</v>
      </c>
      <c r="D722" s="33" t="str">
        <f ca="1">IFERROR(__xludf.DUMMYFUNCTION("""COMPUTED_VALUE"""),"NO")</f>
        <v>NO</v>
      </c>
      <c r="E722" s="33" t="str">
        <f ca="1">IFERROR(__xludf.DUMMYFUNCTION("""COMPUTED_VALUE"""),"Vilanova")</f>
        <v>Vilanova</v>
      </c>
      <c r="F722" s="57">
        <f ca="1">IFERROR(__xludf.DUMMYFUNCTION("""COMPUTED_VALUE"""),45804)</f>
        <v>45804</v>
      </c>
      <c r="G722" s="57">
        <f ca="1">IFERROR(__xludf.DUMMYFUNCTION("""COMPUTED_VALUE"""),45755)</f>
        <v>45755</v>
      </c>
      <c r="H722" s="33" t="str">
        <f ca="1">IFERROR(__xludf.DUMMYFUNCTION("""COMPUTED_VALUE"""),"Vilanova")</f>
        <v>Vilanova</v>
      </c>
      <c r="I722" s="33" t="str">
        <f ca="1">IFERROR(__xludf.DUMMYFUNCTION("""COMPUTED_VALUE"""),"C202542210295671")</f>
        <v>C202542210295671</v>
      </c>
      <c r="J722" s="33" t="str">
        <f ca="1">IFERROR(__xludf.DUMMYFUNCTION("""COMPUTED_VALUE"""),"MANUELA PAJUELO VALSERA")</f>
        <v>MANUELA PAJUELO VALSERA</v>
      </c>
      <c r="K722" s="33">
        <f ca="1">IFERROR(__xludf.DUMMYFUNCTION("""COMPUTED_VALUE"""),1)</f>
        <v>1</v>
      </c>
      <c r="L722" s="203">
        <f ca="1">IFERROR(__xludf.DUMMYFUNCTION("""COMPUTED_VALUE"""),2162.73)</f>
        <v>2162.73</v>
      </c>
      <c r="M722" s="33" t="str">
        <f ca="1">IFERROR(__xludf.DUMMYFUNCTION("""COMPUTED_VALUE"""),"03 ORL")</f>
        <v>03 ORL</v>
      </c>
      <c r="N722" s="33" t="str">
        <f ca="1">IFERROR(__xludf.DUMMYFUNCTION("""COMPUTED_VALUE"""),"06 ORL")</f>
        <v>06 ORL</v>
      </c>
      <c r="O722" s="33" t="str">
        <f ca="1">IFERROR(__xludf.DUMMYFUNCTION("""COMPUTED_VALUE"""),"Dr, Enrique Romero Van Abeleen")</f>
        <v>Dr, Enrique Romero Van Abeleen</v>
      </c>
      <c r="P722" s="33" t="str">
        <f ca="1">IFERROR(__xludf.DUMMYFUNCTION("""COMPUTED_VALUE"""),"Mercè Cabrera (Cataluña Y Baleares)")</f>
        <v>Mercè Cabrera (Cataluña Y Baleares)</v>
      </c>
    </row>
    <row r="723" spans="2:16">
      <c r="B723" s="33">
        <f ca="1">IFERROR(__xludf.DUMMYFUNCTION("""COMPUTED_VALUE"""),2025)</f>
        <v>2025</v>
      </c>
      <c r="C723" s="33">
        <f ca="1">IFERROR(__xludf.DUMMYFUNCTION("""COMPUTED_VALUE"""),5)</f>
        <v>5</v>
      </c>
      <c r="D723" s="33" t="str">
        <f ca="1">IFERROR(__xludf.DUMMYFUNCTION("""COMPUTED_VALUE"""),"NO")</f>
        <v>NO</v>
      </c>
      <c r="E723" s="33" t="str">
        <f ca="1">IFERROR(__xludf.DUMMYFUNCTION("""COMPUTED_VALUE"""),"Cáceres")</f>
        <v>Cáceres</v>
      </c>
      <c r="F723" s="57">
        <f ca="1">IFERROR(__xludf.DUMMYFUNCTION("""COMPUTED_VALUE"""),45779)</f>
        <v>45779</v>
      </c>
      <c r="G723" s="57">
        <f ca="1">IFERROR(__xludf.DUMMYFUNCTION("""COMPUTED_VALUE"""),45754)</f>
        <v>45754</v>
      </c>
      <c r="H723" s="33" t="str">
        <f ca="1">IFERROR(__xludf.DUMMYFUNCTION("""COMPUTED_VALUE"""),"Cáceres")</f>
        <v>Cáceres</v>
      </c>
      <c r="I723" s="33" t="str">
        <f ca="1">IFERROR(__xludf.DUMMYFUNCTION("""COMPUTED_VALUE"""),"CAC-265")</f>
        <v>CAC-265</v>
      </c>
      <c r="J723" s="33" t="str">
        <f ca="1">IFERROR(__xludf.DUMMYFUNCTION("""COMPUTED_VALUE"""),"JUANA SAAVEDRA TODON")</f>
        <v>JUANA SAAVEDRA TODON</v>
      </c>
      <c r="K723" s="33">
        <f ca="1">IFERROR(__xludf.DUMMYFUNCTION("""COMPUTED_VALUE"""),2)</f>
        <v>2</v>
      </c>
      <c r="L723" s="203">
        <f ca="1">IFERROR(__xludf.DUMMYFUNCTION("""COMPUTED_VALUE"""),3474.55)</f>
        <v>3474.55</v>
      </c>
      <c r="M723" s="33" t="str">
        <f ca="1">IFERROR(__xludf.DUMMYFUNCTION("""COMPUTED_VALUE"""),"03 ORL")</f>
        <v>03 ORL</v>
      </c>
      <c r="N723" s="33" t="str">
        <f ca="1">IFERROR(__xludf.DUMMYFUNCTION("""COMPUTED_VALUE"""),"06 ORL")</f>
        <v>06 ORL</v>
      </c>
      <c r="O723" s="33" t="str">
        <f ca="1">IFERROR(__xludf.DUMMYFUNCTION("""COMPUTED_VALUE"""),"Dr, Javier García Gómez")</f>
        <v>Dr, Javier García Gómez</v>
      </c>
      <c r="P723" s="33" t="str">
        <f ca="1">IFERROR(__xludf.DUMMYFUNCTION("""COMPUTED_VALUE"""),"Lisandro Russian (Madrid, Cáceres, Toledo, Talavera Y Logroño)")</f>
        <v>Lisandro Russian (Madrid, Cáceres, Toledo, Talavera Y Logroño)</v>
      </c>
    </row>
    <row r="724" spans="2:16">
      <c r="B724" s="33">
        <f ca="1">IFERROR(__xludf.DUMMYFUNCTION("""COMPUTED_VALUE"""),2025)</f>
        <v>2025</v>
      </c>
      <c r="C724" s="33">
        <f ca="1">IFERROR(__xludf.DUMMYFUNCTION("""COMPUTED_VALUE"""),5)</f>
        <v>5</v>
      </c>
      <c r="D724" s="33" t="str">
        <f ca="1">IFERROR(__xludf.DUMMYFUNCTION("""COMPUTED_VALUE"""),"NO")</f>
        <v>NO</v>
      </c>
      <c r="E724" s="33" t="str">
        <f ca="1">IFERROR(__xludf.DUMMYFUNCTION("""COMPUTED_VALUE"""),"Cáceres")</f>
        <v>Cáceres</v>
      </c>
      <c r="F724" s="57">
        <f ca="1">IFERROR(__xludf.DUMMYFUNCTION("""COMPUTED_VALUE"""),45780)</f>
        <v>45780</v>
      </c>
      <c r="G724" s="57">
        <f ca="1">IFERROR(__xludf.DUMMYFUNCTION("""COMPUTED_VALUE"""),45750)</f>
        <v>45750</v>
      </c>
      <c r="H724" s="33" t="str">
        <f ca="1">IFERROR(__xludf.DUMMYFUNCTION("""COMPUTED_VALUE"""),"Cáceres")</f>
        <v>Cáceres</v>
      </c>
      <c r="I724" s="33" t="str">
        <f ca="1">IFERROR(__xludf.DUMMYFUNCTION("""COMPUTED_VALUE"""),"CAC-264")</f>
        <v>CAC-264</v>
      </c>
      <c r="J724" s="33" t="str">
        <f ca="1">IFERROR(__xludf.DUMMYFUNCTION("""COMPUTED_VALUE"""),"AGUSTIN RODRIGUEZ FLORES")</f>
        <v>AGUSTIN RODRIGUEZ FLORES</v>
      </c>
      <c r="K724" s="33">
        <f ca="1">IFERROR(__xludf.DUMMYFUNCTION("""COMPUTED_VALUE"""),2)</f>
        <v>2</v>
      </c>
      <c r="L724" s="203">
        <f ca="1">IFERROR(__xludf.DUMMYFUNCTION("""COMPUTED_VALUE"""),3185.45)</f>
        <v>3185.45</v>
      </c>
      <c r="M724" s="33" t="str">
        <f ca="1">IFERROR(__xludf.DUMMYFUNCTION("""COMPUTED_VALUE"""),"03 ORL")</f>
        <v>03 ORL</v>
      </c>
      <c r="N724" s="33" t="str">
        <f ca="1">IFERROR(__xludf.DUMMYFUNCTION("""COMPUTED_VALUE"""),"06 ORL")</f>
        <v>06 ORL</v>
      </c>
      <c r="O724" s="33" t="str">
        <f ca="1">IFERROR(__xludf.DUMMYFUNCTION("""COMPUTED_VALUE"""),"Dr, Rafael Sanz Trenado")</f>
        <v>Dr, Rafael Sanz Trenado</v>
      </c>
      <c r="P724" s="33" t="str">
        <f ca="1">IFERROR(__xludf.DUMMYFUNCTION("""COMPUTED_VALUE"""),"Lisandro Russian (Madrid, Cáceres, Toledo, Talavera Y Logroño)")</f>
        <v>Lisandro Russian (Madrid, Cáceres, Toledo, Talavera Y Logroño)</v>
      </c>
    </row>
    <row r="725" spans="2:16">
      <c r="B725" s="33">
        <f ca="1">IFERROR(__xludf.DUMMYFUNCTION("""COMPUTED_VALUE"""),2025)</f>
        <v>2025</v>
      </c>
      <c r="C725" s="33">
        <f ca="1">IFERROR(__xludf.DUMMYFUNCTION("""COMPUTED_VALUE"""),5)</f>
        <v>5</v>
      </c>
      <c r="D725" s="33" t="str">
        <f ca="1">IFERROR(__xludf.DUMMYFUNCTION("""COMPUTED_VALUE"""),"NO")</f>
        <v>NO</v>
      </c>
      <c r="E725" s="33" t="str">
        <f ca="1">IFERROR(__xludf.DUMMYFUNCTION("""COMPUTED_VALUE"""),"Salamanca")</f>
        <v>Salamanca</v>
      </c>
      <c r="F725" s="57">
        <f ca="1">IFERROR(__xludf.DUMMYFUNCTION("""COMPUTED_VALUE"""),45782)</f>
        <v>45782</v>
      </c>
      <c r="G725" s="57">
        <f ca="1">IFERROR(__xludf.DUMMYFUNCTION("""COMPUTED_VALUE"""),45722)</f>
        <v>45722</v>
      </c>
      <c r="H725" s="33" t="str">
        <f ca="1">IFERROR(__xludf.DUMMYFUNCTION("""COMPUTED_VALUE"""),"Salamanca")</f>
        <v>Salamanca</v>
      </c>
      <c r="I725" s="33" t="str">
        <f ca="1">IFERROR(__xludf.DUMMYFUNCTION("""COMPUTED_VALUE"""),"SLM-498")</f>
        <v>SLM-498</v>
      </c>
      <c r="J725" s="33" t="str">
        <f ca="1">IFERROR(__xludf.DUMMYFUNCTION("""COMPUTED_VALUE"""),"TERESA DOSUNA SANCHEZ")</f>
        <v>TERESA DOSUNA SANCHEZ</v>
      </c>
      <c r="K725" s="33">
        <f ca="1">IFERROR(__xludf.DUMMYFUNCTION("""COMPUTED_VALUE"""),2)</f>
        <v>2</v>
      </c>
      <c r="L725" s="203">
        <f ca="1">IFERROR(__xludf.DUMMYFUNCTION("""COMPUTED_VALUE"""),3604.55)</f>
        <v>3604.55</v>
      </c>
      <c r="M725" s="33" t="str">
        <f ca="1">IFERROR(__xludf.DUMMYFUNCTION("""COMPUTED_VALUE"""),"03 ORL")</f>
        <v>03 ORL</v>
      </c>
      <c r="N725" s="33" t="str">
        <f ca="1">IFERROR(__xludf.DUMMYFUNCTION("""COMPUTED_VALUE"""),"06 ORL")</f>
        <v>06 ORL</v>
      </c>
      <c r="O725" s="33" t="str">
        <f ca="1">IFERROR(__xludf.DUMMYFUNCTION("""COMPUTED_VALUE"""),"No Recuerda Orl")</f>
        <v>No Recuerda Orl</v>
      </c>
      <c r="P725" s="33" t="str">
        <f ca="1">IFERROR(__xludf.DUMMYFUNCTION("""COMPUTED_VALUE"""),"Patricia Solache (Castilla Y León)")</f>
        <v>Patricia Solache (Castilla Y León)</v>
      </c>
    </row>
    <row r="726" spans="2:16">
      <c r="B726" s="33">
        <f ca="1">IFERROR(__xludf.DUMMYFUNCTION("""COMPUTED_VALUE"""),2025)</f>
        <v>2025</v>
      </c>
      <c r="C726" s="33">
        <f ca="1">IFERROR(__xludf.DUMMYFUNCTION("""COMPUTED_VALUE"""),5)</f>
        <v>5</v>
      </c>
      <c r="D726" s="33" t="str">
        <f ca="1">IFERROR(__xludf.DUMMYFUNCTION("""COMPUTED_VALUE"""),"NO")</f>
        <v>NO</v>
      </c>
      <c r="E726" s="33" t="str">
        <f ca="1">IFERROR(__xludf.DUMMYFUNCTION("""COMPUTED_VALUE"""),"Boiro")</f>
        <v>Boiro</v>
      </c>
      <c r="F726" s="57">
        <f ca="1">IFERROR(__xludf.DUMMYFUNCTION("""COMPUTED_VALUE"""),45782)</f>
        <v>45782</v>
      </c>
      <c r="G726" s="57">
        <f ca="1">IFERROR(__xludf.DUMMYFUNCTION("""COMPUTED_VALUE"""),45751)</f>
        <v>45751</v>
      </c>
      <c r="H726" s="33" t="str">
        <f ca="1">IFERROR(__xludf.DUMMYFUNCTION("""COMPUTED_VALUE"""),"Boiro")</f>
        <v>Boiro</v>
      </c>
      <c r="I726" s="33" t="str">
        <f ca="1">IFERROR(__xludf.DUMMYFUNCTION("""COMPUTED_VALUE"""),"BOI-954")</f>
        <v>BOI-954</v>
      </c>
      <c r="J726" s="33" t="str">
        <f ca="1">IFERROR(__xludf.DUMMYFUNCTION("""COMPUTED_VALUE"""),"JOSEFA GONZALEZ  SANTAMARIA")</f>
        <v>JOSEFA GONZALEZ  SANTAMARIA</v>
      </c>
      <c r="K726" s="33">
        <f ca="1">IFERROR(__xludf.DUMMYFUNCTION("""COMPUTED_VALUE"""),2)</f>
        <v>2</v>
      </c>
      <c r="L726" s="203">
        <f ca="1">IFERROR(__xludf.DUMMYFUNCTION("""COMPUTED_VALUE"""),2900)</f>
        <v>2900</v>
      </c>
      <c r="M726" s="33" t="str">
        <f ca="1">IFERROR(__xludf.DUMMYFUNCTION("""COMPUTED_VALUE"""),"03 ORL")</f>
        <v>03 ORL</v>
      </c>
      <c r="N726" s="33" t="str">
        <f ca="1">IFERROR(__xludf.DUMMYFUNCTION("""COMPUTED_VALUE"""),"06 ORL")</f>
        <v>06 ORL</v>
      </c>
      <c r="O726" s="33" t="str">
        <f ca="1">IFERROR(__xludf.DUMMYFUNCTION("""COMPUTED_VALUE"""),"Dr, Ernesto Varela Martínez")</f>
        <v>Dr, Ernesto Varela Martínez</v>
      </c>
      <c r="P726" s="33" t="str">
        <f ca="1">IFERROR(__xludf.DUMMYFUNCTION("""COMPUTED_VALUE"""),"Roberto Pereira (Galicia)")</f>
        <v>Roberto Pereira (Galicia)</v>
      </c>
    </row>
    <row r="727" spans="2:16">
      <c r="B727" s="33">
        <f ca="1">IFERROR(__xludf.DUMMYFUNCTION("""COMPUTED_VALUE"""),2025)</f>
        <v>2025</v>
      </c>
      <c r="C727" s="33">
        <f ca="1">IFERROR(__xludf.DUMMYFUNCTION("""COMPUTED_VALUE"""),5)</f>
        <v>5</v>
      </c>
      <c r="D727" s="33" t="str">
        <f ca="1">IFERROR(__xludf.DUMMYFUNCTION("""COMPUTED_VALUE"""),"NO")</f>
        <v>NO</v>
      </c>
      <c r="E727" s="33" t="str">
        <f ca="1">IFERROR(__xludf.DUMMYFUNCTION("""COMPUTED_VALUE"""),"Boiro")</f>
        <v>Boiro</v>
      </c>
      <c r="F727" s="57">
        <f ca="1">IFERROR(__xludf.DUMMYFUNCTION("""COMPUTED_VALUE"""),45782)</f>
        <v>45782</v>
      </c>
      <c r="G727" s="57">
        <f ca="1">IFERROR(__xludf.DUMMYFUNCTION("""COMPUTED_VALUE"""),45762)</f>
        <v>45762</v>
      </c>
      <c r="H727" s="33" t="str">
        <f ca="1">IFERROR(__xludf.DUMMYFUNCTION("""COMPUTED_VALUE"""),"Boiro")</f>
        <v>Boiro</v>
      </c>
      <c r="I727" s="33" t="str">
        <f ca="1">IFERROR(__xludf.DUMMYFUNCTION("""COMPUTED_VALUE"""),"BOI-956")</f>
        <v>BOI-956</v>
      </c>
      <c r="J727" s="33" t="str">
        <f ca="1">IFERROR(__xludf.DUMMYFUNCTION("""COMPUTED_VALUE"""),"CONSTANTINA ARCOS REY")</f>
        <v>CONSTANTINA ARCOS REY</v>
      </c>
      <c r="K727" s="33">
        <f ca="1">IFERROR(__xludf.DUMMYFUNCTION("""COMPUTED_VALUE"""),2)</f>
        <v>2</v>
      </c>
      <c r="L727" s="203">
        <f ca="1">IFERROR(__xludf.DUMMYFUNCTION("""COMPUTED_VALUE"""),2709.09)</f>
        <v>2709.09</v>
      </c>
      <c r="M727" s="33" t="str">
        <f ca="1">IFERROR(__xludf.DUMMYFUNCTION("""COMPUTED_VALUE"""),"03 ORL")</f>
        <v>03 ORL</v>
      </c>
      <c r="N727" s="33" t="str">
        <f ca="1">IFERROR(__xludf.DUMMYFUNCTION("""COMPUTED_VALUE"""),"06 ORL")</f>
        <v>06 ORL</v>
      </c>
      <c r="O727" s="33" t="str">
        <f ca="1">IFERROR(__xludf.DUMMYFUNCTION("""COMPUTED_VALUE"""),"Dr, Carlos Vidal Redondo")</f>
        <v>Dr, Carlos Vidal Redondo</v>
      </c>
      <c r="P727" s="33" t="str">
        <f ca="1">IFERROR(__xludf.DUMMYFUNCTION("""COMPUTED_VALUE"""),"Roberto Pereira (Galicia)")</f>
        <v>Roberto Pereira (Galicia)</v>
      </c>
    </row>
    <row r="728" spans="2:16">
      <c r="B728" s="33">
        <f ca="1">IFERROR(__xludf.DUMMYFUNCTION("""COMPUTED_VALUE"""),2025)</f>
        <v>2025</v>
      </c>
      <c r="C728" s="33">
        <f ca="1">IFERROR(__xludf.DUMMYFUNCTION("""COMPUTED_VALUE"""),5)</f>
        <v>5</v>
      </c>
      <c r="D728" s="33" t="str">
        <f ca="1">IFERROR(__xludf.DUMMYFUNCTION("""COMPUTED_VALUE"""),"NO")</f>
        <v>NO</v>
      </c>
      <c r="E728" s="33" t="str">
        <f ca="1">IFERROR(__xludf.DUMMYFUNCTION("""COMPUTED_VALUE"""),"Sevilla- Ciencias")</f>
        <v>Sevilla- Ciencias</v>
      </c>
      <c r="F728" s="57">
        <f ca="1">IFERROR(__xludf.DUMMYFUNCTION("""COMPUTED_VALUE"""),45783)</f>
        <v>45783</v>
      </c>
      <c r="G728" s="57">
        <f ca="1">IFERROR(__xludf.DUMMYFUNCTION("""COMPUTED_VALUE"""),45751)</f>
        <v>45751</v>
      </c>
      <c r="H728" s="33" t="str">
        <f ca="1">IFERROR(__xludf.DUMMYFUNCTION("""COMPUTED_VALUE"""),"Sevilla Este")</f>
        <v>Sevilla Este</v>
      </c>
      <c r="I728" s="33" t="str">
        <f ca="1">IFERROR(__xludf.DUMMYFUNCTION("""COMPUTED_VALUE"""),"SEVE-393")</f>
        <v>SEVE-393</v>
      </c>
      <c r="J728" s="33" t="str">
        <f ca="1">IFERROR(__xludf.DUMMYFUNCTION("""COMPUTED_VALUE"""),"FELIX NAVARRO PECELLIN")</f>
        <v>FELIX NAVARRO PECELLIN</v>
      </c>
      <c r="K728" s="33">
        <f ca="1">IFERROR(__xludf.DUMMYFUNCTION("""COMPUTED_VALUE"""),1)</f>
        <v>1</v>
      </c>
      <c r="L728" s="203">
        <f ca="1">IFERROR(__xludf.DUMMYFUNCTION("""COMPUTED_VALUE"""),2400)</f>
        <v>2400</v>
      </c>
      <c r="M728" s="33" t="str">
        <f ca="1">IFERROR(__xludf.DUMMYFUNCTION("""COMPUTED_VALUE"""),"03 ORL")</f>
        <v>03 ORL</v>
      </c>
      <c r="N728" s="33" t="str">
        <f ca="1">IFERROR(__xludf.DUMMYFUNCTION("""COMPUTED_VALUE"""),"06 ORL")</f>
        <v>06 ORL</v>
      </c>
      <c r="O728" s="33" t="str">
        <f ca="1">IFERROR(__xludf.DUMMYFUNCTION("""COMPUTED_VALUE"""),"Dr, Francisco Javier Aguilar Vera")</f>
        <v>Dr, Francisco Javier Aguilar Vera</v>
      </c>
      <c r="P728" s="33" t="str">
        <f ca="1">IFERROR(__xludf.DUMMYFUNCTION("""COMPUTED_VALUE"""),"Luis Alberto Rodríguez (Andalucía Y Badajoz)")</f>
        <v>Luis Alberto Rodríguez (Andalucía Y Badajoz)</v>
      </c>
    </row>
    <row r="729" spans="2:16">
      <c r="B729" s="33">
        <f ca="1">IFERROR(__xludf.DUMMYFUNCTION("""COMPUTED_VALUE"""),2025)</f>
        <v>2025</v>
      </c>
      <c r="C729" s="33">
        <f ca="1">IFERROR(__xludf.DUMMYFUNCTION("""COMPUTED_VALUE"""),5)</f>
        <v>5</v>
      </c>
      <c r="D729" s="33" t="str">
        <f ca="1">IFERROR(__xludf.DUMMYFUNCTION("""COMPUTED_VALUE"""),"NO")</f>
        <v>NO</v>
      </c>
      <c r="E729" s="33" t="str">
        <f ca="1">IFERROR(__xludf.DUMMYFUNCTION("""COMPUTED_VALUE"""),"Badajoz")</f>
        <v>Badajoz</v>
      </c>
      <c r="F729" s="57">
        <f ca="1">IFERROR(__xludf.DUMMYFUNCTION("""COMPUTED_VALUE"""),45784)</f>
        <v>45784</v>
      </c>
      <c r="G729" s="57">
        <f ca="1">IFERROR(__xludf.DUMMYFUNCTION("""COMPUTED_VALUE"""),45240)</f>
        <v>45240</v>
      </c>
      <c r="H729" s="33" t="str">
        <f ca="1">IFERROR(__xludf.DUMMYFUNCTION("""COMPUTED_VALUE"""),"Badajoz")</f>
        <v>Badajoz</v>
      </c>
      <c r="I729" s="33" t="str">
        <f ca="1">IFERROR(__xludf.DUMMYFUNCTION("""COMPUTED_VALUE"""),"BJZE-2245")</f>
        <v>BJZE-2245</v>
      </c>
      <c r="J729" s="33" t="str">
        <f ca="1">IFERROR(__xludf.DUMMYFUNCTION("""COMPUTED_VALUE"""),"MARIUA MAGDALENA FRAGOSO MONGE")</f>
        <v>MARIUA MAGDALENA FRAGOSO MONGE</v>
      </c>
      <c r="K729" s="33">
        <f ca="1">IFERROR(__xludf.DUMMYFUNCTION("""COMPUTED_VALUE"""),1)</f>
        <v>1</v>
      </c>
      <c r="L729" s="203">
        <f ca="1">IFERROR(__xludf.DUMMYFUNCTION("""COMPUTED_VALUE"""),1363.64)</f>
        <v>1363.64</v>
      </c>
      <c r="M729" s="33" t="str">
        <f ca="1">IFERROR(__xludf.DUMMYFUNCTION("""COMPUTED_VALUE"""),"03 ORL")</f>
        <v>03 ORL</v>
      </c>
      <c r="N729" s="33" t="str">
        <f ca="1">IFERROR(__xludf.DUMMYFUNCTION("""COMPUTED_VALUE"""),"06 ORL")</f>
        <v>06 ORL</v>
      </c>
      <c r="O729" s="33" t="str">
        <f ca="1">IFERROR(__xludf.DUMMYFUNCTION("""COMPUTED_VALUE"""),"Dra, Raquel Solis Vazquez")</f>
        <v>Dra, Raquel Solis Vazquez</v>
      </c>
      <c r="P729" s="33" t="str">
        <f ca="1">IFERROR(__xludf.DUMMYFUNCTION("""COMPUTED_VALUE"""),"Luis Alberto Rodríguez (Andalucía Y Badajoz)")</f>
        <v>Luis Alberto Rodríguez (Andalucía Y Badajoz)</v>
      </c>
    </row>
    <row r="730" spans="2:16">
      <c r="B730" s="33">
        <f ca="1">IFERROR(__xludf.DUMMYFUNCTION("""COMPUTED_VALUE"""),2025)</f>
        <v>2025</v>
      </c>
      <c r="C730" s="33">
        <f ca="1">IFERROR(__xludf.DUMMYFUNCTION("""COMPUTED_VALUE"""),5)</f>
        <v>5</v>
      </c>
      <c r="D730" s="33" t="str">
        <f ca="1">IFERROR(__xludf.DUMMYFUNCTION("""COMPUTED_VALUE"""),"NO")</f>
        <v>NO</v>
      </c>
      <c r="E730" s="33" t="str">
        <f ca="1">IFERROR(__xludf.DUMMYFUNCTION("""COMPUTED_VALUE"""),"Valladolid")</f>
        <v>Valladolid</v>
      </c>
      <c r="F730" s="57">
        <f ca="1">IFERROR(__xludf.DUMMYFUNCTION("""COMPUTED_VALUE"""),45784)</f>
        <v>45784</v>
      </c>
      <c r="G730" s="57">
        <f ca="1">IFERROR(__xludf.DUMMYFUNCTION("""COMPUTED_VALUE"""),45741)</f>
        <v>45741</v>
      </c>
      <c r="H730" s="33" t="str">
        <f ca="1">IFERROR(__xludf.DUMMYFUNCTION("""COMPUTED_VALUE"""),"Valladolid")</f>
        <v>Valladolid</v>
      </c>
      <c r="I730" s="33" t="str">
        <f ca="1">IFERROR(__xludf.DUMMYFUNCTION("""COMPUTED_VALUE"""),"VLL-366")</f>
        <v>VLL-366</v>
      </c>
      <c r="J730" s="33" t="str">
        <f ca="1">IFERROR(__xludf.DUMMYFUNCTION("""COMPUTED_VALUE"""),"AGUSTINA QUEVEDO LOPEZ")</f>
        <v>AGUSTINA QUEVEDO LOPEZ</v>
      </c>
      <c r="K730" s="33">
        <f ca="1">IFERROR(__xludf.DUMMYFUNCTION("""COMPUTED_VALUE"""),1)</f>
        <v>1</v>
      </c>
      <c r="L730" s="203">
        <f ca="1">IFERROR(__xludf.DUMMYFUNCTION("""COMPUTED_VALUE"""),2080)</f>
        <v>2080</v>
      </c>
      <c r="M730" s="33" t="str">
        <f ca="1">IFERROR(__xludf.DUMMYFUNCTION("""COMPUTED_VALUE"""),"03 ORL")</f>
        <v>03 ORL</v>
      </c>
      <c r="N730" s="33" t="str">
        <f ca="1">IFERROR(__xludf.DUMMYFUNCTION("""COMPUTED_VALUE"""),"06 ORL")</f>
        <v>06 ORL</v>
      </c>
      <c r="O730" s="33" t="str">
        <f ca="1">IFERROR(__xludf.DUMMYFUNCTION("""COMPUTED_VALUE"""),"Dra, Ana Fernández Rodríguez")</f>
        <v>Dra, Ana Fernández Rodríguez</v>
      </c>
      <c r="P730" s="1" t="str">
        <f ca="1">IFERROR(__xludf.DUMMYFUNCTION("""COMPUTED_VALUE"""),"Roberto Pereira (Galicia)")</f>
        <v>Roberto Pereira (Galicia)</v>
      </c>
    </row>
    <row r="731" spans="2:16">
      <c r="B731" s="33">
        <f ca="1">IFERROR(__xludf.DUMMYFUNCTION("""COMPUTED_VALUE"""),2025)</f>
        <v>2025</v>
      </c>
      <c r="C731" s="33">
        <f ca="1">IFERROR(__xludf.DUMMYFUNCTION("""COMPUTED_VALUE"""),5)</f>
        <v>5</v>
      </c>
      <c r="D731" s="33" t="str">
        <f ca="1">IFERROR(__xludf.DUMMYFUNCTION("""COMPUTED_VALUE"""),"NO")</f>
        <v>NO</v>
      </c>
      <c r="E731" s="33" t="str">
        <f ca="1">IFERROR(__xludf.DUMMYFUNCTION("""COMPUTED_VALUE"""),"Cáceres")</f>
        <v>Cáceres</v>
      </c>
      <c r="F731" s="57">
        <f ca="1">IFERROR(__xludf.DUMMYFUNCTION("""COMPUTED_VALUE"""),45784)</f>
        <v>45784</v>
      </c>
      <c r="G731" s="57">
        <f ca="1">IFERROR(__xludf.DUMMYFUNCTION("""COMPUTED_VALUE"""),45744)</f>
        <v>45744</v>
      </c>
      <c r="H731" s="33" t="str">
        <f ca="1">IFERROR(__xludf.DUMMYFUNCTION("""COMPUTED_VALUE"""),"Cáceres")</f>
        <v>Cáceres</v>
      </c>
      <c r="I731" s="33" t="str">
        <f ca="1">IFERROR(__xludf.DUMMYFUNCTION("""COMPUTED_VALUE"""),"CAC-259")</f>
        <v>CAC-259</v>
      </c>
      <c r="J731" s="33" t="str">
        <f ca="1">IFERROR(__xludf.DUMMYFUNCTION("""COMPUTED_VALUE"""),"MARIA DE LOS ANGELES GALAN SERRANO")</f>
        <v>MARIA DE LOS ANGELES GALAN SERRANO</v>
      </c>
      <c r="K731" s="33">
        <f ca="1">IFERROR(__xludf.DUMMYFUNCTION("""COMPUTED_VALUE"""),1)</f>
        <v>1</v>
      </c>
      <c r="L731" s="203">
        <f ca="1">IFERROR(__xludf.DUMMYFUNCTION("""COMPUTED_VALUE"""),2119.09)</f>
        <v>2119.09</v>
      </c>
      <c r="M731" s="33" t="str">
        <f ca="1">IFERROR(__xludf.DUMMYFUNCTION("""COMPUTED_VALUE"""),"03 ORL")</f>
        <v>03 ORL</v>
      </c>
      <c r="N731" s="33" t="str">
        <f ca="1">IFERROR(__xludf.DUMMYFUNCTION("""COMPUTED_VALUE"""),"06 ORL")</f>
        <v>06 ORL</v>
      </c>
      <c r="O731" s="33" t="str">
        <f ca="1">IFERROR(__xludf.DUMMYFUNCTION("""COMPUTED_VALUE"""),"Dr, Manuel Martí Peña")</f>
        <v>Dr, Manuel Martí Peña</v>
      </c>
      <c r="P731" s="33" t="str">
        <f ca="1">IFERROR(__xludf.DUMMYFUNCTION("""COMPUTED_VALUE"""),"Lisandro Russian (Madrid, Cáceres, Toledo, Talavera Y Logroño)")</f>
        <v>Lisandro Russian (Madrid, Cáceres, Toledo, Talavera Y Logroño)</v>
      </c>
    </row>
    <row r="732" spans="2:16">
      <c r="B732" s="33">
        <f ca="1">IFERROR(__xludf.DUMMYFUNCTION("""COMPUTED_VALUE"""),2025)</f>
        <v>2025</v>
      </c>
      <c r="C732" s="33">
        <f ca="1">IFERROR(__xludf.DUMMYFUNCTION("""COMPUTED_VALUE"""),5)</f>
        <v>5</v>
      </c>
      <c r="D732" s="33" t="str">
        <f ca="1">IFERROR(__xludf.DUMMYFUNCTION("""COMPUTED_VALUE"""),"NO")</f>
        <v>NO</v>
      </c>
      <c r="E732" s="33" t="str">
        <f ca="1">IFERROR(__xludf.DUMMYFUNCTION("""COMPUTED_VALUE"""),"Cáceres")</f>
        <v>Cáceres</v>
      </c>
      <c r="F732" s="57">
        <f ca="1">IFERROR(__xludf.DUMMYFUNCTION("""COMPUTED_VALUE"""),45784)</f>
        <v>45784</v>
      </c>
      <c r="G732" s="57">
        <f ca="1">IFERROR(__xludf.DUMMYFUNCTION("""COMPUTED_VALUE"""),45749)</f>
        <v>45749</v>
      </c>
      <c r="H732" s="33" t="str">
        <f ca="1">IFERROR(__xludf.DUMMYFUNCTION("""COMPUTED_VALUE"""),"Cáceres")</f>
        <v>Cáceres</v>
      </c>
      <c r="I732" s="33" t="str">
        <f ca="1">IFERROR(__xludf.DUMMYFUNCTION("""COMPUTED_VALUE"""),"CAC-262")</f>
        <v>CAC-262</v>
      </c>
      <c r="J732" s="33" t="str">
        <f ca="1">IFERROR(__xludf.DUMMYFUNCTION("""COMPUTED_VALUE"""),"MARIA ISABEL ANTON MARTIN")</f>
        <v>MARIA ISABEL ANTON MARTIN</v>
      </c>
      <c r="K732" s="33">
        <f ca="1">IFERROR(__xludf.DUMMYFUNCTION("""COMPUTED_VALUE"""),2)</f>
        <v>2</v>
      </c>
      <c r="L732" s="203">
        <f ca="1">IFERROR(__xludf.DUMMYFUNCTION("""COMPUTED_VALUE"""),4400)</f>
        <v>4400</v>
      </c>
      <c r="M732" s="33" t="str">
        <f ca="1">IFERROR(__xludf.DUMMYFUNCTION("""COMPUTED_VALUE"""),"03 ORL")</f>
        <v>03 ORL</v>
      </c>
      <c r="N732" s="33" t="str">
        <f ca="1">IFERROR(__xludf.DUMMYFUNCTION("""COMPUTED_VALUE"""),"06 ORL")</f>
        <v>06 ORL</v>
      </c>
      <c r="O732" s="33" t="str">
        <f ca="1">IFERROR(__xludf.DUMMYFUNCTION("""COMPUTED_VALUE"""),"Dr, Manuel Cañete Domínguez")</f>
        <v>Dr, Manuel Cañete Domínguez</v>
      </c>
      <c r="P732" s="33" t="str">
        <f ca="1">IFERROR(__xludf.DUMMYFUNCTION("""COMPUTED_VALUE"""),"Lisandro Russian (Madrid, Cáceres, Toledo, Talavera Y Logroño)")</f>
        <v>Lisandro Russian (Madrid, Cáceres, Toledo, Talavera Y Logroño)</v>
      </c>
    </row>
    <row r="733" spans="2:16">
      <c r="B733" s="33">
        <f ca="1">IFERROR(__xludf.DUMMYFUNCTION("""COMPUTED_VALUE"""),2025)</f>
        <v>2025</v>
      </c>
      <c r="C733" s="33">
        <f ca="1">IFERROR(__xludf.DUMMYFUNCTION("""COMPUTED_VALUE"""),5)</f>
        <v>5</v>
      </c>
      <c r="D733" s="33" t="str">
        <f ca="1">IFERROR(__xludf.DUMMYFUNCTION("""COMPUTED_VALUE"""),"NO")</f>
        <v>NO</v>
      </c>
      <c r="E733" s="33" t="str">
        <f ca="1">IFERROR(__xludf.DUMMYFUNCTION("""COMPUTED_VALUE"""),"Salamanca")</f>
        <v>Salamanca</v>
      </c>
      <c r="F733" s="57">
        <f ca="1">IFERROR(__xludf.DUMMYFUNCTION("""COMPUTED_VALUE"""),45786)</f>
        <v>45786</v>
      </c>
      <c r="G733" s="57">
        <f ca="1">IFERROR(__xludf.DUMMYFUNCTION("""COMPUTED_VALUE"""),45700)</f>
        <v>45700</v>
      </c>
      <c r="H733" s="33" t="str">
        <f ca="1">IFERROR(__xludf.DUMMYFUNCTION("""COMPUTED_VALUE"""),"Salamanca")</f>
        <v>Salamanca</v>
      </c>
      <c r="I733" s="33" t="str">
        <f ca="1">IFERROR(__xludf.DUMMYFUNCTION("""COMPUTED_VALUE"""),"SLM-473")</f>
        <v>SLM-473</v>
      </c>
      <c r="J733" s="33" t="str">
        <f ca="1">IFERROR(__xludf.DUMMYFUNCTION("""COMPUTED_VALUE"""),"JULIA SABRINA BENAVENTE SANCHEZ")</f>
        <v>JULIA SABRINA BENAVENTE SANCHEZ</v>
      </c>
      <c r="K733" s="33">
        <f ca="1">IFERROR(__xludf.DUMMYFUNCTION("""COMPUTED_VALUE"""),2)</f>
        <v>2</v>
      </c>
      <c r="L733" s="203">
        <f ca="1">IFERROR(__xludf.DUMMYFUNCTION("""COMPUTED_VALUE"""),3604.55)</f>
        <v>3604.55</v>
      </c>
      <c r="M733" s="33" t="str">
        <f ca="1">IFERROR(__xludf.DUMMYFUNCTION("""COMPUTED_VALUE"""),"03 ORL")</f>
        <v>03 ORL</v>
      </c>
      <c r="N733" s="33" t="str">
        <f ca="1">IFERROR(__xludf.DUMMYFUNCTION("""COMPUTED_VALUE"""),"06 ORL")</f>
        <v>06 ORL</v>
      </c>
      <c r="O733" s="33" t="str">
        <f ca="1">IFERROR(__xludf.DUMMYFUNCTION("""COMPUTED_VALUE"""),"No Recuerda Orl")</f>
        <v>No Recuerda Orl</v>
      </c>
      <c r="P733" s="33" t="str">
        <f ca="1">IFERROR(__xludf.DUMMYFUNCTION("""COMPUTED_VALUE"""),"Patricia Solache (Castilla Y León)")</f>
        <v>Patricia Solache (Castilla Y León)</v>
      </c>
    </row>
    <row r="734" spans="2:16">
      <c r="B734" s="33">
        <f ca="1">IFERROR(__xludf.DUMMYFUNCTION("""COMPUTED_VALUE"""),2025)</f>
        <v>2025</v>
      </c>
      <c r="C734" s="33">
        <f ca="1">IFERROR(__xludf.DUMMYFUNCTION("""COMPUTED_VALUE"""),5)</f>
        <v>5</v>
      </c>
      <c r="D734" s="33" t="str">
        <f ca="1">IFERROR(__xludf.DUMMYFUNCTION("""COMPUTED_VALUE"""),"NO")</f>
        <v>NO</v>
      </c>
      <c r="E734" s="33" t="str">
        <f ca="1">IFERROR(__xludf.DUMMYFUNCTION("""COMPUTED_VALUE"""),"Terrassa")</f>
        <v>Terrassa</v>
      </c>
      <c r="F734" s="57">
        <f ca="1">IFERROR(__xludf.DUMMYFUNCTION("""COMPUTED_VALUE"""),45786)</f>
        <v>45786</v>
      </c>
      <c r="G734" s="57">
        <f ca="1">IFERROR(__xludf.DUMMYFUNCTION("""COMPUTED_VALUE"""),45728)</f>
        <v>45728</v>
      </c>
      <c r="H734" s="33" t="str">
        <f ca="1">IFERROR(__xludf.DUMMYFUNCTION("""COMPUTED_VALUE"""),"Terrassa")</f>
        <v>Terrassa</v>
      </c>
      <c r="I734" s="33" t="str">
        <f ca="1">IFERROR(__xludf.DUMMYFUNCTION("""COMPUTED_VALUE"""),"TRR-364")</f>
        <v>TRR-364</v>
      </c>
      <c r="J734" s="33" t="str">
        <f ca="1">IFERROR(__xludf.DUMMYFUNCTION("""COMPUTED_VALUE"""),"ANTONIA GARCIA SORIA")</f>
        <v>ANTONIA GARCIA SORIA</v>
      </c>
      <c r="K734" s="33">
        <f ca="1">IFERROR(__xludf.DUMMYFUNCTION("""COMPUTED_VALUE"""),2)</f>
        <v>2</v>
      </c>
      <c r="L734" s="203">
        <f ca="1">IFERROR(__xludf.DUMMYFUNCTION("""COMPUTED_VALUE"""),2626.5)</f>
        <v>2626.5</v>
      </c>
      <c r="M734" s="33" t="str">
        <f ca="1">IFERROR(__xludf.DUMMYFUNCTION("""COMPUTED_VALUE"""),"03 ORL")</f>
        <v>03 ORL</v>
      </c>
      <c r="N734" s="33" t="str">
        <f ca="1">IFERROR(__xludf.DUMMYFUNCTION("""COMPUTED_VALUE"""),"06 ORL")</f>
        <v>06 ORL</v>
      </c>
      <c r="O734" s="33" t="str">
        <f ca="1">IFERROR(__xludf.DUMMYFUNCTION("""COMPUTED_VALUE"""),"Dr, Josep Maria Orrit Arenas")</f>
        <v>Dr, Josep Maria Orrit Arenas</v>
      </c>
      <c r="P734" s="33" t="str">
        <f ca="1">IFERROR(__xludf.DUMMYFUNCTION("""COMPUTED_VALUE"""),"Mercè Cabrera (Cataluña Y Baleares)")</f>
        <v>Mercè Cabrera (Cataluña Y Baleares)</v>
      </c>
    </row>
    <row r="735" spans="2:16">
      <c r="B735" s="33">
        <f ca="1">IFERROR(__xludf.DUMMYFUNCTION("""COMPUTED_VALUE"""),2025)</f>
        <v>2025</v>
      </c>
      <c r="C735" s="33">
        <f ca="1">IFERROR(__xludf.DUMMYFUNCTION("""COMPUTED_VALUE"""),5)</f>
        <v>5</v>
      </c>
      <c r="D735" s="33" t="str">
        <f ca="1">IFERROR(__xludf.DUMMYFUNCTION("""COMPUTED_VALUE"""),"NO")</f>
        <v>NO</v>
      </c>
      <c r="E735" s="33" t="str">
        <f ca="1">IFERROR(__xludf.DUMMYFUNCTION("""COMPUTED_VALUE"""),"Sevilla- Ciencias")</f>
        <v>Sevilla- Ciencias</v>
      </c>
      <c r="F735" s="57">
        <f ca="1">IFERROR(__xludf.DUMMYFUNCTION("""COMPUTED_VALUE"""),45789)</f>
        <v>45789</v>
      </c>
      <c r="G735" s="57">
        <f ca="1">IFERROR(__xludf.DUMMYFUNCTION("""COMPUTED_VALUE"""),45719)</f>
        <v>45719</v>
      </c>
      <c r="H735" s="33" t="str">
        <f ca="1">IFERROR(__xludf.DUMMYFUNCTION("""COMPUTED_VALUE"""),"Sevilla Este")</f>
        <v>Sevilla Este</v>
      </c>
      <c r="I735" s="33" t="str">
        <f ca="1">IFERROR(__xludf.DUMMYFUNCTION("""COMPUTED_VALUE"""),"SEVE-376")</f>
        <v>SEVE-376</v>
      </c>
      <c r="J735" s="33" t="str">
        <f ca="1">IFERROR(__xludf.DUMMYFUNCTION("""COMPUTED_VALUE"""),"ANTONIA GONZALEZ AGUILAR")</f>
        <v>ANTONIA GONZALEZ AGUILAR</v>
      </c>
      <c r="K735" s="33">
        <f ca="1">IFERROR(__xludf.DUMMYFUNCTION("""COMPUTED_VALUE"""),2)</f>
        <v>2</v>
      </c>
      <c r="L735" s="203">
        <f ca="1">IFERROR(__xludf.DUMMYFUNCTION("""COMPUTED_VALUE"""),3636.36)</f>
        <v>3636.36</v>
      </c>
      <c r="M735" s="33" t="str">
        <f ca="1">IFERROR(__xludf.DUMMYFUNCTION("""COMPUTED_VALUE"""),"03 ORL")</f>
        <v>03 ORL</v>
      </c>
      <c r="N735" s="33" t="str">
        <f ca="1">IFERROR(__xludf.DUMMYFUNCTION("""COMPUTED_VALUE"""),"06 ORL")</f>
        <v>06 ORL</v>
      </c>
      <c r="O735" s="33" t="str">
        <f ca="1">IFERROR(__xludf.DUMMYFUNCTION("""COMPUTED_VALUE"""),"Dra, Estefanía Berrocal Postigo")</f>
        <v>Dra, Estefanía Berrocal Postigo</v>
      </c>
      <c r="P735" s="33" t="str">
        <f ca="1">IFERROR(__xludf.DUMMYFUNCTION("""COMPUTED_VALUE"""),"Luis Alberto Rodríguez (Andalucía Y Badajoz)")</f>
        <v>Luis Alberto Rodríguez (Andalucía Y Badajoz)</v>
      </c>
    </row>
    <row r="736" spans="2:16">
      <c r="B736" s="33">
        <f ca="1">IFERROR(__xludf.DUMMYFUNCTION("""COMPUTED_VALUE"""),2025)</f>
        <v>2025</v>
      </c>
      <c r="C736" s="33">
        <f ca="1">IFERROR(__xludf.DUMMYFUNCTION("""COMPUTED_VALUE"""),5)</f>
        <v>5</v>
      </c>
      <c r="D736" s="33" t="str">
        <f ca="1">IFERROR(__xludf.DUMMYFUNCTION("""COMPUTED_VALUE"""),"NO")</f>
        <v>NO</v>
      </c>
      <c r="E736" s="33" t="str">
        <f ca="1">IFERROR(__xludf.DUMMYFUNCTION("""COMPUTED_VALUE"""),"Salamanca")</f>
        <v>Salamanca</v>
      </c>
      <c r="F736" s="57">
        <f ca="1">IFERROR(__xludf.DUMMYFUNCTION("""COMPUTED_VALUE"""),45790)</f>
        <v>45790</v>
      </c>
      <c r="G736" s="57">
        <f ca="1">IFERROR(__xludf.DUMMYFUNCTION("""COMPUTED_VALUE"""),45747)</f>
        <v>45747</v>
      </c>
      <c r="H736" s="33" t="str">
        <f ca="1">IFERROR(__xludf.DUMMYFUNCTION("""COMPUTED_VALUE"""),"Salamanca")</f>
        <v>Salamanca</v>
      </c>
      <c r="I736" s="33" t="str">
        <f ca="1">IFERROR(__xludf.DUMMYFUNCTION("""COMPUTED_VALUE"""),"SLM-519")</f>
        <v>SLM-519</v>
      </c>
      <c r="J736" s="33" t="str">
        <f ca="1">IFERROR(__xludf.DUMMYFUNCTION("""COMPUTED_VALUE"""),"MARIA JOSEFA LOPEZ CASADO")</f>
        <v>MARIA JOSEFA LOPEZ CASADO</v>
      </c>
      <c r="K736" s="33">
        <f ca="1">IFERROR(__xludf.DUMMYFUNCTION("""COMPUTED_VALUE"""),2)</f>
        <v>2</v>
      </c>
      <c r="L736" s="203">
        <f ca="1">IFERROR(__xludf.DUMMYFUNCTION("""COMPUTED_VALUE"""),3604.55)</f>
        <v>3604.55</v>
      </c>
      <c r="M736" s="33" t="str">
        <f ca="1">IFERROR(__xludf.DUMMYFUNCTION("""COMPUTED_VALUE"""),"03 ORL")</f>
        <v>03 ORL</v>
      </c>
      <c r="N736" s="33" t="str">
        <f ca="1">IFERROR(__xludf.DUMMYFUNCTION("""COMPUTED_VALUE"""),"06 ORL")</f>
        <v>06 ORL</v>
      </c>
      <c r="O736" s="33" t="str">
        <f ca="1">IFERROR(__xludf.DUMMYFUNCTION("""COMPUTED_VALUE"""),"Dr, Ángel Muñoz Herrera")</f>
        <v>Dr, Ángel Muñoz Herrera</v>
      </c>
      <c r="P736" s="33" t="str">
        <f ca="1">IFERROR(__xludf.DUMMYFUNCTION("""COMPUTED_VALUE"""),"Patricia Solache (Castilla Y León)")</f>
        <v>Patricia Solache (Castilla Y León)</v>
      </c>
    </row>
    <row r="737" spans="2:16">
      <c r="B737" s="33">
        <f ca="1">IFERROR(__xludf.DUMMYFUNCTION("""COMPUTED_VALUE"""),2025)</f>
        <v>2025</v>
      </c>
      <c r="C737" s="33">
        <f ca="1">IFERROR(__xludf.DUMMYFUNCTION("""COMPUTED_VALUE"""),5)</f>
        <v>5</v>
      </c>
      <c r="D737" s="33" t="str">
        <f ca="1">IFERROR(__xludf.DUMMYFUNCTION("""COMPUTED_VALUE"""),"NO")</f>
        <v>NO</v>
      </c>
      <c r="E737" s="33" t="str">
        <f ca="1">IFERROR(__xludf.DUMMYFUNCTION("""COMPUTED_VALUE"""),"Cáceres")</f>
        <v>Cáceres</v>
      </c>
      <c r="F737" s="57">
        <f ca="1">IFERROR(__xludf.DUMMYFUNCTION("""COMPUTED_VALUE"""),45792)</f>
        <v>45792</v>
      </c>
      <c r="G737" s="57">
        <f ca="1">IFERROR(__xludf.DUMMYFUNCTION("""COMPUTED_VALUE"""),45748)</f>
        <v>45748</v>
      </c>
      <c r="H737" s="33" t="str">
        <f ca="1">IFERROR(__xludf.DUMMYFUNCTION("""COMPUTED_VALUE"""),"Cáceres")</f>
        <v>Cáceres</v>
      </c>
      <c r="I737" s="33" t="str">
        <f ca="1">IFERROR(__xludf.DUMMYFUNCTION("""COMPUTED_VALUE"""),"CAC-261")</f>
        <v>CAC-261</v>
      </c>
      <c r="J737" s="33" t="str">
        <f ca="1">IFERROR(__xludf.DUMMYFUNCTION("""COMPUTED_VALUE"""),"DOLORES AVILA SOLIS")</f>
        <v>DOLORES AVILA SOLIS</v>
      </c>
      <c r="K737" s="33">
        <f ca="1">IFERROR(__xludf.DUMMYFUNCTION("""COMPUTED_VALUE"""),2)</f>
        <v>2</v>
      </c>
      <c r="L737" s="203">
        <f ca="1">IFERROR(__xludf.DUMMYFUNCTION("""COMPUTED_VALUE"""),3383.64)</f>
        <v>3383.64</v>
      </c>
      <c r="M737" s="33" t="str">
        <f ca="1">IFERROR(__xludf.DUMMYFUNCTION("""COMPUTED_VALUE"""),"03 ORL")</f>
        <v>03 ORL</v>
      </c>
      <c r="N737" s="33" t="str">
        <f ca="1">IFERROR(__xludf.DUMMYFUNCTION("""COMPUTED_VALUE"""),"06 ORL")</f>
        <v>06 ORL</v>
      </c>
      <c r="O737" s="33" t="str">
        <f ca="1">IFERROR(__xludf.DUMMYFUNCTION("""COMPUTED_VALUE"""),"Dr, Manuel Cañete Domínguez")</f>
        <v>Dr, Manuel Cañete Domínguez</v>
      </c>
      <c r="P737" s="33" t="str">
        <f ca="1">IFERROR(__xludf.DUMMYFUNCTION("""COMPUTED_VALUE"""),"Lisandro Russian (Madrid, Cáceres, Toledo, Talavera Y Logroño)")</f>
        <v>Lisandro Russian (Madrid, Cáceres, Toledo, Talavera Y Logroño)</v>
      </c>
    </row>
    <row r="738" spans="2:16">
      <c r="B738" s="33">
        <f ca="1">IFERROR(__xludf.DUMMYFUNCTION("""COMPUTED_VALUE"""),2025)</f>
        <v>2025</v>
      </c>
      <c r="C738" s="33">
        <f ca="1">IFERROR(__xludf.DUMMYFUNCTION("""COMPUTED_VALUE"""),5)</f>
        <v>5</v>
      </c>
      <c r="D738" s="33" t="str">
        <f ca="1">IFERROR(__xludf.DUMMYFUNCTION("""COMPUTED_VALUE"""),"NO")</f>
        <v>NO</v>
      </c>
      <c r="E738" s="33" t="str">
        <f ca="1">IFERROR(__xludf.DUMMYFUNCTION("""COMPUTED_VALUE"""),"Salamanca")</f>
        <v>Salamanca</v>
      </c>
      <c r="F738" s="57">
        <f ca="1">IFERROR(__xludf.DUMMYFUNCTION("""COMPUTED_VALUE"""),45792)</f>
        <v>45792</v>
      </c>
      <c r="G738" s="57">
        <f ca="1">IFERROR(__xludf.DUMMYFUNCTION("""COMPUTED_VALUE"""),45742)</f>
        <v>45742</v>
      </c>
      <c r="H738" s="33" t="str">
        <f ca="1">IFERROR(__xludf.DUMMYFUNCTION("""COMPUTED_VALUE"""),"Salamanca")</f>
        <v>Salamanca</v>
      </c>
      <c r="I738" s="33" t="str">
        <f ca="1">IFERROR(__xludf.DUMMYFUNCTION("""COMPUTED_VALUE"""),"SLM-515")</f>
        <v>SLM-515</v>
      </c>
      <c r="J738" s="33" t="str">
        <f ca="1">IFERROR(__xludf.DUMMYFUNCTION("""COMPUTED_VALUE"""),"LUIS DIEZ HERNANDEZ")</f>
        <v>LUIS DIEZ HERNANDEZ</v>
      </c>
      <c r="K738" s="33">
        <f ca="1">IFERROR(__xludf.DUMMYFUNCTION("""COMPUTED_VALUE"""),1)</f>
        <v>1</v>
      </c>
      <c r="L738" s="203">
        <f ca="1">IFERROR(__xludf.DUMMYFUNCTION("""COMPUTED_VALUE"""),1850)</f>
        <v>1850</v>
      </c>
      <c r="M738" s="33" t="str">
        <f ca="1">IFERROR(__xludf.DUMMYFUNCTION("""COMPUTED_VALUE"""),"03 ORL")</f>
        <v>03 ORL</v>
      </c>
      <c r="N738" s="33" t="str">
        <f ca="1">IFERROR(__xludf.DUMMYFUNCTION("""COMPUTED_VALUE"""),"06 ORL")</f>
        <v>06 ORL</v>
      </c>
      <c r="O738" s="33" t="str">
        <f ca="1">IFERROR(__xludf.DUMMYFUNCTION("""COMPUTED_VALUE"""),"Dra, Marta Calvo Pérez")</f>
        <v>Dra, Marta Calvo Pérez</v>
      </c>
      <c r="P738" s="33" t="str">
        <f ca="1">IFERROR(__xludf.DUMMYFUNCTION("""COMPUTED_VALUE"""),"Patricia Solache (Castilla Y León)")</f>
        <v>Patricia Solache (Castilla Y León)</v>
      </c>
    </row>
    <row r="739" spans="2:16">
      <c r="B739" s="33">
        <f ca="1">IFERROR(__xludf.DUMMYFUNCTION("""COMPUTED_VALUE"""),2025)</f>
        <v>2025</v>
      </c>
      <c r="C739" s="33">
        <f ca="1">IFERROR(__xludf.DUMMYFUNCTION("""COMPUTED_VALUE"""),5)</f>
        <v>5</v>
      </c>
      <c r="D739" s="33" t="str">
        <f ca="1">IFERROR(__xludf.DUMMYFUNCTION("""COMPUTED_VALUE"""),"NO")</f>
        <v>NO</v>
      </c>
      <c r="E739" s="33" t="str">
        <f ca="1">IFERROR(__xludf.DUMMYFUNCTION("""COMPUTED_VALUE"""),"Valladolid")</f>
        <v>Valladolid</v>
      </c>
      <c r="F739" s="57">
        <f ca="1">IFERROR(__xludf.DUMMYFUNCTION("""COMPUTED_VALUE"""),45792)</f>
        <v>45792</v>
      </c>
      <c r="G739" s="57">
        <f ca="1">IFERROR(__xludf.DUMMYFUNCTION("""COMPUTED_VALUE"""),45692)</f>
        <v>45692</v>
      </c>
      <c r="H739" s="33" t="str">
        <f ca="1">IFERROR(__xludf.DUMMYFUNCTION("""COMPUTED_VALUE"""),"Valladolid")</f>
        <v>Valladolid</v>
      </c>
      <c r="I739" s="33" t="str">
        <f ca="1">IFERROR(__xludf.DUMMYFUNCTION("""COMPUTED_VALUE"""),"VLL-338")</f>
        <v>VLL-338</v>
      </c>
      <c r="J739" s="33" t="str">
        <f ca="1">IFERROR(__xludf.DUMMYFUNCTION("""COMPUTED_VALUE"""),"MARIA DEL CARMEN GARCIA ESPINILLA")</f>
        <v>MARIA DEL CARMEN GARCIA ESPINILLA</v>
      </c>
      <c r="K739" s="33">
        <f ca="1">IFERROR(__xludf.DUMMYFUNCTION("""COMPUTED_VALUE"""),1)</f>
        <v>1</v>
      </c>
      <c r="L739" s="203">
        <f ca="1">IFERROR(__xludf.DUMMYFUNCTION("""COMPUTED_VALUE"""),2080)</f>
        <v>2080</v>
      </c>
      <c r="M739" s="33" t="str">
        <f ca="1">IFERROR(__xludf.DUMMYFUNCTION("""COMPUTED_VALUE"""),"03 ORL")</f>
        <v>03 ORL</v>
      </c>
      <c r="N739" s="33" t="str">
        <f ca="1">IFERROR(__xludf.DUMMYFUNCTION("""COMPUTED_VALUE"""),"06 ORL")</f>
        <v>06 ORL</v>
      </c>
      <c r="O739" s="33" t="str">
        <f ca="1">IFERROR(__xludf.DUMMYFUNCTION("""COMPUTED_VALUE"""),"Dr, Juan José Tavarez Rodríguez")</f>
        <v>Dr, Juan José Tavarez Rodríguez</v>
      </c>
      <c r="P739" s="33" t="str">
        <f ca="1">IFERROR(__xludf.DUMMYFUNCTION("""COMPUTED_VALUE"""),"Patricia Solache (Castilla Y León)")</f>
        <v>Patricia Solache (Castilla Y León)</v>
      </c>
    </row>
    <row r="740" spans="2:16">
      <c r="B740" s="33">
        <f ca="1">IFERROR(__xludf.DUMMYFUNCTION("""COMPUTED_VALUE"""),2025)</f>
        <v>2025</v>
      </c>
      <c r="C740" s="33">
        <f ca="1">IFERROR(__xludf.DUMMYFUNCTION("""COMPUTED_VALUE"""),5)</f>
        <v>5</v>
      </c>
      <c r="D740" s="33" t="str">
        <f ca="1">IFERROR(__xludf.DUMMYFUNCTION("""COMPUTED_VALUE"""),"NO")</f>
        <v>NO</v>
      </c>
      <c r="E740" s="33" t="str">
        <f ca="1">IFERROR(__xludf.DUMMYFUNCTION("""COMPUTED_VALUE"""),"Ponferrada")</f>
        <v>Ponferrada</v>
      </c>
      <c r="F740" s="57">
        <f ca="1">IFERROR(__xludf.DUMMYFUNCTION("""COMPUTED_VALUE"""),45793)</f>
        <v>45793</v>
      </c>
      <c r="G740" s="57">
        <f ca="1">IFERROR(__xludf.DUMMYFUNCTION("""COMPUTED_VALUE"""),45621)</f>
        <v>45621</v>
      </c>
      <c r="H740" s="33" t="str">
        <f ca="1">IFERROR(__xludf.DUMMYFUNCTION("""COMPUTED_VALUE"""),"Ponferrada")</f>
        <v>Ponferrada</v>
      </c>
      <c r="I740" s="33" t="str">
        <f ca="1">IFERROR(__xludf.DUMMYFUNCTION("""COMPUTED_VALUE"""),"PON-834")</f>
        <v>PON-834</v>
      </c>
      <c r="J740" s="33" t="str">
        <f ca="1">IFERROR(__xludf.DUMMYFUNCTION("""COMPUTED_VALUE"""),"PIEDAD FERNANDEZ ALFONSO")</f>
        <v>PIEDAD FERNANDEZ ALFONSO</v>
      </c>
      <c r="K740" s="33">
        <f ca="1">IFERROR(__xludf.DUMMYFUNCTION("""COMPUTED_VALUE"""),2)</f>
        <v>2</v>
      </c>
      <c r="L740" s="203">
        <f ca="1">IFERROR(__xludf.DUMMYFUNCTION("""COMPUTED_VALUE"""),3181.82)</f>
        <v>3181.82</v>
      </c>
      <c r="M740" s="33" t="str">
        <f ca="1">IFERROR(__xludf.DUMMYFUNCTION("""COMPUTED_VALUE"""),"03 ORL")</f>
        <v>03 ORL</v>
      </c>
      <c r="N740" s="33" t="str">
        <f ca="1">IFERROR(__xludf.DUMMYFUNCTION("""COMPUTED_VALUE"""),"06 ORL")</f>
        <v>06 ORL</v>
      </c>
      <c r="O740" s="33" t="str">
        <f ca="1">IFERROR(__xludf.DUMMYFUNCTION("""COMPUTED_VALUE"""),"Dra, Xenia Mota Rojas")</f>
        <v>Dra, Xenia Mota Rojas</v>
      </c>
      <c r="P740" s="33" t="str">
        <f ca="1">IFERROR(__xludf.DUMMYFUNCTION("""COMPUTED_VALUE"""),"Patricia Solache (Castilla Y León)")</f>
        <v>Patricia Solache (Castilla Y León)</v>
      </c>
    </row>
    <row r="741" spans="2:16">
      <c r="B741" s="33">
        <f ca="1">IFERROR(__xludf.DUMMYFUNCTION("""COMPUTED_VALUE"""),2025)</f>
        <v>2025</v>
      </c>
      <c r="C741" s="33">
        <f ca="1">IFERROR(__xludf.DUMMYFUNCTION("""COMPUTED_VALUE"""),5)</f>
        <v>5</v>
      </c>
      <c r="D741" s="33" t="str">
        <f ca="1">IFERROR(__xludf.DUMMYFUNCTION("""COMPUTED_VALUE"""),"NO")</f>
        <v>NO</v>
      </c>
      <c r="E741" s="33" t="str">
        <f ca="1">IFERROR(__xludf.DUMMYFUNCTION("""COMPUTED_VALUE"""),"Sevilla- Ciencias")</f>
        <v>Sevilla- Ciencias</v>
      </c>
      <c r="F741" s="57">
        <f ca="1">IFERROR(__xludf.DUMMYFUNCTION("""COMPUTED_VALUE"""),45793)</f>
        <v>45793</v>
      </c>
      <c r="G741" s="57">
        <f ca="1">IFERROR(__xludf.DUMMYFUNCTION("""COMPUTED_VALUE"""),45749)</f>
        <v>45749</v>
      </c>
      <c r="H741" s="33" t="str">
        <f ca="1">IFERROR(__xludf.DUMMYFUNCTION("""COMPUTED_VALUE"""),"Sevilla Este")</f>
        <v>Sevilla Este</v>
      </c>
      <c r="I741" s="33" t="str">
        <f ca="1">IFERROR(__xludf.DUMMYFUNCTION("""COMPUTED_VALUE"""),"SEVE-392")</f>
        <v>SEVE-392</v>
      </c>
      <c r="J741" s="33" t="str">
        <f ca="1">IFERROR(__xludf.DUMMYFUNCTION("""COMPUTED_VALUE"""),"JOSEFA CABRA LUQUE")</f>
        <v>JOSEFA CABRA LUQUE</v>
      </c>
      <c r="K741" s="33">
        <f ca="1">IFERROR(__xludf.DUMMYFUNCTION("""COMPUTED_VALUE"""),2)</f>
        <v>2</v>
      </c>
      <c r="L741" s="203">
        <f ca="1">IFERROR(__xludf.DUMMYFUNCTION("""COMPUTED_VALUE"""),4000)</f>
        <v>4000</v>
      </c>
      <c r="M741" s="33" t="str">
        <f ca="1">IFERROR(__xludf.DUMMYFUNCTION("""COMPUTED_VALUE"""),"03 ORL")</f>
        <v>03 ORL</v>
      </c>
      <c r="N741" s="33" t="str">
        <f ca="1">IFERROR(__xludf.DUMMYFUNCTION("""COMPUTED_VALUE"""),"06 ORL")</f>
        <v>06 ORL</v>
      </c>
      <c r="O741" s="33" t="str">
        <f ca="1">IFERROR(__xludf.DUMMYFUNCTION("""COMPUTED_VALUE"""),"Dra, Estefanía Berrocal Postigo")</f>
        <v>Dra, Estefanía Berrocal Postigo</v>
      </c>
      <c r="P741" s="33" t="str">
        <f ca="1">IFERROR(__xludf.DUMMYFUNCTION("""COMPUTED_VALUE"""),"Luis Alberto Rodríguez (Andalucía Y Badajoz)")</f>
        <v>Luis Alberto Rodríguez (Andalucía Y Badajoz)</v>
      </c>
    </row>
    <row r="742" spans="2:16">
      <c r="B742" s="33">
        <f ca="1">IFERROR(__xludf.DUMMYFUNCTION("""COMPUTED_VALUE"""),2025)</f>
        <v>2025</v>
      </c>
      <c r="C742" s="33">
        <f ca="1">IFERROR(__xludf.DUMMYFUNCTION("""COMPUTED_VALUE"""),5)</f>
        <v>5</v>
      </c>
      <c r="D742" s="33" t="str">
        <f ca="1">IFERROR(__xludf.DUMMYFUNCTION("""COMPUTED_VALUE"""),"NO")</f>
        <v>NO</v>
      </c>
      <c r="E742" s="33" t="str">
        <f ca="1">IFERROR(__xludf.DUMMYFUNCTION("""COMPUTED_VALUE"""),"Valladolid")</f>
        <v>Valladolid</v>
      </c>
      <c r="F742" s="57">
        <f ca="1">IFERROR(__xludf.DUMMYFUNCTION("""COMPUTED_VALUE"""),45793)</f>
        <v>45793</v>
      </c>
      <c r="G742" s="57">
        <f ca="1">IFERROR(__xludf.DUMMYFUNCTION("""COMPUTED_VALUE"""),45740)</f>
        <v>45740</v>
      </c>
      <c r="H742" s="33" t="str">
        <f ca="1">IFERROR(__xludf.DUMMYFUNCTION("""COMPUTED_VALUE"""),"Valladolid")</f>
        <v>Valladolid</v>
      </c>
      <c r="I742" s="33" t="str">
        <f ca="1">IFERROR(__xludf.DUMMYFUNCTION("""COMPUTED_VALUE"""),"VLL-364")</f>
        <v>VLL-364</v>
      </c>
      <c r="J742" s="33" t="str">
        <f ca="1">IFERROR(__xludf.DUMMYFUNCTION("""COMPUTED_VALUE"""),"EUTIMIO MARTIN MARTIN")</f>
        <v>EUTIMIO MARTIN MARTIN</v>
      </c>
      <c r="K742" s="33">
        <f ca="1">IFERROR(__xludf.DUMMYFUNCTION("""COMPUTED_VALUE"""),1)</f>
        <v>1</v>
      </c>
      <c r="L742" s="203">
        <f ca="1">IFERROR(__xludf.DUMMYFUNCTION("""COMPUTED_VALUE"""),2080)</f>
        <v>2080</v>
      </c>
      <c r="M742" s="33" t="str">
        <f ca="1">IFERROR(__xludf.DUMMYFUNCTION("""COMPUTED_VALUE"""),"03 ORL")</f>
        <v>03 ORL</v>
      </c>
      <c r="N742" s="33" t="str">
        <f ca="1">IFERROR(__xludf.DUMMYFUNCTION("""COMPUTED_VALUE"""),"06 ORL")</f>
        <v>06 ORL</v>
      </c>
      <c r="O742" s="33" t="str">
        <f ca="1">IFERROR(__xludf.DUMMYFUNCTION("""COMPUTED_VALUE"""),"Dra, Antonia Carranza Calleja")</f>
        <v>Dra, Antonia Carranza Calleja</v>
      </c>
      <c r="P742" s="33" t="str">
        <f ca="1">IFERROR(__xludf.DUMMYFUNCTION("""COMPUTED_VALUE"""),"Patricia Solache (Castilla Y León)")</f>
        <v>Patricia Solache (Castilla Y León)</v>
      </c>
    </row>
    <row r="743" spans="2:16">
      <c r="B743" s="33">
        <f ca="1">IFERROR(__xludf.DUMMYFUNCTION("""COMPUTED_VALUE"""),2025)</f>
        <v>2025</v>
      </c>
      <c r="C743" s="33">
        <f ca="1">IFERROR(__xludf.DUMMYFUNCTION("""COMPUTED_VALUE"""),5)</f>
        <v>5</v>
      </c>
      <c r="D743" s="33" t="str">
        <f ca="1">IFERROR(__xludf.DUMMYFUNCTION("""COMPUTED_VALUE"""),"NO")</f>
        <v>NO</v>
      </c>
      <c r="E743" s="33" t="str">
        <f ca="1">IFERROR(__xludf.DUMMYFUNCTION("""COMPUTED_VALUE"""),"León")</f>
        <v>León</v>
      </c>
      <c r="F743" s="57">
        <f ca="1">IFERROR(__xludf.DUMMYFUNCTION("""COMPUTED_VALUE"""),45789)</f>
        <v>45789</v>
      </c>
      <c r="G743" s="57">
        <f ca="1">IFERROR(__xludf.DUMMYFUNCTION("""COMPUTED_VALUE"""),45786)</f>
        <v>45786</v>
      </c>
      <c r="H743" s="33" t="str">
        <f ca="1">IFERROR(__xludf.DUMMYFUNCTION("""COMPUTED_VALUE"""),"León")</f>
        <v>León</v>
      </c>
      <c r="I743" s="33" t="str">
        <f ca="1">IFERROR(__xludf.DUMMYFUNCTION("""COMPUTED_VALUE"""),"LEO-465")</f>
        <v>LEO-465</v>
      </c>
      <c r="J743" s="33" t="str">
        <f ca="1">IFERROR(__xludf.DUMMYFUNCTION("""COMPUTED_VALUE"""),"SARA GARCIA BRIZUELA")</f>
        <v>SARA GARCIA BRIZUELA</v>
      </c>
      <c r="K743" s="33">
        <f ca="1">IFERROR(__xludf.DUMMYFUNCTION("""COMPUTED_VALUE"""),2)</f>
        <v>2</v>
      </c>
      <c r="L743" s="203">
        <f ca="1">IFERROR(__xludf.DUMMYFUNCTION("""COMPUTED_VALUE"""),4255.33)</f>
        <v>4255.33</v>
      </c>
      <c r="M743" s="33" t="str">
        <f ca="1">IFERROR(__xludf.DUMMYFUNCTION("""COMPUTED_VALUE"""),"03 ORL")</f>
        <v>03 ORL</v>
      </c>
      <c r="N743" s="33" t="str">
        <f ca="1">IFERROR(__xludf.DUMMYFUNCTION("""COMPUTED_VALUE"""),"06 ORL")</f>
        <v>06 ORL</v>
      </c>
      <c r="O743" s="33" t="str">
        <f ca="1">IFERROR(__xludf.DUMMYFUNCTION("""COMPUTED_VALUE"""),"Dr, Rafael Pérez González")</f>
        <v>Dr, Rafael Pérez González</v>
      </c>
      <c r="P743" s="33" t="str">
        <f ca="1">IFERROR(__xludf.DUMMYFUNCTION("""COMPUTED_VALUE"""),"Patricia Solache (Castilla Y León)")</f>
        <v>Patricia Solache (Castilla Y León)</v>
      </c>
    </row>
    <row r="744" spans="2:16">
      <c r="B744" s="33">
        <f ca="1">IFERROR(__xludf.DUMMYFUNCTION("""COMPUTED_VALUE"""),2025)</f>
        <v>2025</v>
      </c>
      <c r="C744" s="33">
        <f ca="1">IFERROR(__xludf.DUMMYFUNCTION("""COMPUTED_VALUE"""),5)</f>
        <v>5</v>
      </c>
      <c r="D744" s="33" t="str">
        <f ca="1">IFERROR(__xludf.DUMMYFUNCTION("""COMPUTED_VALUE"""),"NO")</f>
        <v>NO</v>
      </c>
      <c r="E744" s="33" t="str">
        <f ca="1">IFERROR(__xludf.DUMMYFUNCTION("""COMPUTED_VALUE"""),"Culleredo")</f>
        <v>Culleredo</v>
      </c>
      <c r="F744" s="57">
        <f ca="1">IFERROR(__xludf.DUMMYFUNCTION("""COMPUTED_VALUE"""),45797)</f>
        <v>45797</v>
      </c>
      <c r="G744" s="57">
        <f ca="1">IFERROR(__xludf.DUMMYFUNCTION("""COMPUTED_VALUE"""),45715)</f>
        <v>45715</v>
      </c>
      <c r="H744" s="33" t="str">
        <f ca="1">IFERROR(__xludf.DUMMYFUNCTION("""COMPUTED_VALUE"""),"Culleredo")</f>
        <v>Culleredo</v>
      </c>
      <c r="I744" s="33" t="str">
        <f ca="1">IFERROR(__xludf.DUMMYFUNCTION("""COMPUTED_VALUE"""),"CULL-172")</f>
        <v>CULL-172</v>
      </c>
      <c r="J744" s="33" t="str">
        <f ca="1">IFERROR(__xludf.DUMMYFUNCTION("""COMPUTED_VALUE"""),"CARMEN CORZO SIERRA")</f>
        <v>CARMEN CORZO SIERRA</v>
      </c>
      <c r="K744" s="33">
        <f ca="1">IFERROR(__xludf.DUMMYFUNCTION("""COMPUTED_VALUE"""),1)</f>
        <v>1</v>
      </c>
      <c r="L744" s="203">
        <f ca="1">IFERROR(__xludf.DUMMYFUNCTION("""COMPUTED_VALUE"""),1436.4)</f>
        <v>1436.4</v>
      </c>
      <c r="M744" s="33" t="str">
        <f ca="1">IFERROR(__xludf.DUMMYFUNCTION("""COMPUTED_VALUE"""),"03 ORL")</f>
        <v>03 ORL</v>
      </c>
      <c r="N744" s="33" t="str">
        <f ca="1">IFERROR(__xludf.DUMMYFUNCTION("""COMPUTED_VALUE"""),"06 ORL")</f>
        <v>06 ORL</v>
      </c>
      <c r="O744" s="33" t="str">
        <f ca="1">IFERROR(__xludf.DUMMYFUNCTION("""COMPUTED_VALUE"""),"Dr, Miguel Mayo Yáñez")</f>
        <v>Dr, Miguel Mayo Yáñez</v>
      </c>
      <c r="P744" s="33" t="str">
        <f ca="1">IFERROR(__xludf.DUMMYFUNCTION("""COMPUTED_VALUE"""),"Roberto Pereira (Galicia)")</f>
        <v>Roberto Pereira (Galicia)</v>
      </c>
    </row>
    <row r="745" spans="2:16">
      <c r="B745" s="33">
        <f ca="1">IFERROR(__xludf.DUMMYFUNCTION("""COMPUTED_VALUE"""),2025)</f>
        <v>2025</v>
      </c>
      <c r="C745" s="33">
        <f ca="1">IFERROR(__xludf.DUMMYFUNCTION("""COMPUTED_VALUE"""),5)</f>
        <v>5</v>
      </c>
      <c r="D745" s="33" t="str">
        <f ca="1">IFERROR(__xludf.DUMMYFUNCTION("""COMPUTED_VALUE"""),"NO")</f>
        <v>NO</v>
      </c>
      <c r="E745" s="33" t="str">
        <f ca="1">IFERROR(__xludf.DUMMYFUNCTION("""COMPUTED_VALUE"""),"Cáceres")</f>
        <v>Cáceres</v>
      </c>
      <c r="F745" s="57">
        <f ca="1">IFERROR(__xludf.DUMMYFUNCTION("""COMPUTED_VALUE"""),45798)</f>
        <v>45798</v>
      </c>
      <c r="G745" s="57">
        <f ca="1">IFERROR(__xludf.DUMMYFUNCTION("""COMPUTED_VALUE"""),45779)</f>
        <v>45779</v>
      </c>
      <c r="H745" s="33" t="str">
        <f ca="1">IFERROR(__xludf.DUMMYFUNCTION("""COMPUTED_VALUE"""),"Cáceres")</f>
        <v>Cáceres</v>
      </c>
      <c r="I745" s="33" t="str">
        <f ca="1">IFERROR(__xludf.DUMMYFUNCTION("""COMPUTED_VALUE"""),"CAC-285")</f>
        <v>CAC-285</v>
      </c>
      <c r="J745" s="33" t="str">
        <f ca="1">IFERROR(__xludf.DUMMYFUNCTION("""COMPUTED_VALUE"""),"MARIA LUISA VILLARROEL DURAN")</f>
        <v>MARIA LUISA VILLARROEL DURAN</v>
      </c>
      <c r="K745" s="33">
        <f ca="1">IFERROR(__xludf.DUMMYFUNCTION("""COMPUTED_VALUE"""),2)</f>
        <v>2</v>
      </c>
      <c r="L745" s="203">
        <f ca="1">IFERROR(__xludf.DUMMYFUNCTION("""COMPUTED_VALUE"""),4238.18)</f>
        <v>4238.18</v>
      </c>
      <c r="M745" s="33" t="str">
        <f ca="1">IFERROR(__xludf.DUMMYFUNCTION("""COMPUTED_VALUE"""),"03 ORL")</f>
        <v>03 ORL</v>
      </c>
      <c r="N745" s="33" t="str">
        <f ca="1">IFERROR(__xludf.DUMMYFUNCTION("""COMPUTED_VALUE"""),"06 ORL")</f>
        <v>06 ORL</v>
      </c>
      <c r="O745" s="33" t="str">
        <f ca="1">IFERROR(__xludf.DUMMYFUNCTION("""COMPUTED_VALUE"""),"Dr, Javier García Gómez")</f>
        <v>Dr, Javier García Gómez</v>
      </c>
      <c r="P745" s="33" t="str">
        <f ca="1">IFERROR(__xludf.DUMMYFUNCTION("""COMPUTED_VALUE"""),"Lisandro Russian (Madrid, Cáceres, Toledo, Talavera Y Logroño)")</f>
        <v>Lisandro Russian (Madrid, Cáceres, Toledo, Talavera Y Logroño)</v>
      </c>
    </row>
    <row r="746" spans="2:16">
      <c r="B746" s="33">
        <f ca="1">IFERROR(__xludf.DUMMYFUNCTION("""COMPUTED_VALUE"""),2025)</f>
        <v>2025</v>
      </c>
      <c r="C746" s="33">
        <f ca="1">IFERROR(__xludf.DUMMYFUNCTION("""COMPUTED_VALUE"""),5)</f>
        <v>5</v>
      </c>
      <c r="D746" s="33" t="str">
        <f ca="1">IFERROR(__xludf.DUMMYFUNCTION("""COMPUTED_VALUE"""),"NO")</f>
        <v>NO</v>
      </c>
      <c r="E746" s="33" t="str">
        <f ca="1">IFERROR(__xludf.DUMMYFUNCTION("""COMPUTED_VALUE"""),"Vilagacía De Arousa")</f>
        <v>Vilagacía De Arousa</v>
      </c>
      <c r="F746" s="57">
        <f ca="1">IFERROR(__xludf.DUMMYFUNCTION("""COMPUTED_VALUE"""),45798)</f>
        <v>45798</v>
      </c>
      <c r="G746" s="57">
        <f ca="1">IFERROR(__xludf.DUMMYFUNCTION("""COMPUTED_VALUE"""),45376)</f>
        <v>45376</v>
      </c>
      <c r="H746" s="33" t="str">
        <f ca="1">IFERROR(__xludf.DUMMYFUNCTION("""COMPUTED_VALUE"""),"Vilagarcía")</f>
        <v>Vilagarcía</v>
      </c>
      <c r="I746" s="33" t="str">
        <f ca="1">IFERROR(__xludf.DUMMYFUNCTION("""COMPUTED_VALUE"""),"VLG-6")</f>
        <v>VLG-6</v>
      </c>
      <c r="J746" s="33" t="str">
        <f ca="1">IFERROR(__xludf.DUMMYFUNCTION("""COMPUTED_VALUE"""),"CONCEPCION TARRIO VAZQUEZ")</f>
        <v>CONCEPCION TARRIO VAZQUEZ</v>
      </c>
      <c r="K746" s="33">
        <f ca="1">IFERROR(__xludf.DUMMYFUNCTION("""COMPUTED_VALUE"""),1)</f>
        <v>1</v>
      </c>
      <c r="L746" s="203">
        <f ca="1">IFERROR(__xludf.DUMMYFUNCTION("""COMPUTED_VALUE"""),900)</f>
        <v>900</v>
      </c>
      <c r="M746" s="33" t="str">
        <f ca="1">IFERROR(__xludf.DUMMYFUNCTION("""COMPUTED_VALUE"""),"03 ORL")</f>
        <v>03 ORL</v>
      </c>
      <c r="N746" s="33" t="str">
        <f ca="1">IFERROR(__xludf.DUMMYFUNCTION("""COMPUTED_VALUE"""),"06 ORL")</f>
        <v>06 ORL</v>
      </c>
      <c r="O746" s="33" t="str">
        <f ca="1">IFERROR(__xludf.DUMMYFUNCTION("""COMPUTED_VALUE"""),"Dr, Gabriel Martínez Capoccini")</f>
        <v>Dr, Gabriel Martínez Capoccini</v>
      </c>
      <c r="P746" s="33" t="str">
        <f ca="1">IFERROR(__xludf.DUMMYFUNCTION("""COMPUTED_VALUE"""),"Roberto Pereira (Galicia)")</f>
        <v>Roberto Pereira (Galicia)</v>
      </c>
    </row>
    <row r="747" spans="2:16">
      <c r="B747" s="33">
        <f ca="1">IFERROR(__xludf.DUMMYFUNCTION("""COMPUTED_VALUE"""),2025)</f>
        <v>2025</v>
      </c>
      <c r="C747" s="33">
        <f ca="1">IFERROR(__xludf.DUMMYFUNCTION("""COMPUTED_VALUE"""),5)</f>
        <v>5</v>
      </c>
      <c r="D747" s="33" t="str">
        <f ca="1">IFERROR(__xludf.DUMMYFUNCTION("""COMPUTED_VALUE"""),"NO")</f>
        <v>NO</v>
      </c>
      <c r="E747" s="33" t="str">
        <f ca="1">IFERROR(__xludf.DUMMYFUNCTION("""COMPUTED_VALUE"""),"Lalín")</f>
        <v>Lalín</v>
      </c>
      <c r="F747" s="57">
        <f ca="1">IFERROR(__xludf.DUMMYFUNCTION("""COMPUTED_VALUE"""),45800)</f>
        <v>45800</v>
      </c>
      <c r="G747" s="57">
        <f ca="1">IFERROR(__xludf.DUMMYFUNCTION("""COMPUTED_VALUE"""),45769)</f>
        <v>45769</v>
      </c>
      <c r="H747" s="33" t="str">
        <f ca="1">IFERROR(__xludf.DUMMYFUNCTION("""COMPUTED_VALUE"""),"Lalín")</f>
        <v>Lalín</v>
      </c>
      <c r="I747" s="33" t="str">
        <f ca="1">IFERROR(__xludf.DUMMYFUNCTION("""COMPUTED_VALUE"""),"LAL-144")</f>
        <v>LAL-144</v>
      </c>
      <c r="J747" s="33" t="str">
        <f ca="1">IFERROR(__xludf.DUMMYFUNCTION("""COMPUTED_VALUE"""),"MANUEL GAITEIRO FERNANDEZ")</f>
        <v>MANUEL GAITEIRO FERNANDEZ</v>
      </c>
      <c r="K747" s="33">
        <f ca="1">IFERROR(__xludf.DUMMYFUNCTION("""COMPUTED_VALUE"""),2)</f>
        <v>2</v>
      </c>
      <c r="L747" s="203">
        <f ca="1">IFERROR(__xludf.DUMMYFUNCTION("""COMPUTED_VALUE"""),2900)</f>
        <v>2900</v>
      </c>
      <c r="M747" s="33" t="str">
        <f ca="1">IFERROR(__xludf.DUMMYFUNCTION("""COMPUTED_VALUE"""),"03 ORL")</f>
        <v>03 ORL</v>
      </c>
      <c r="N747" s="33" t="str">
        <f ca="1">IFERROR(__xludf.DUMMYFUNCTION("""COMPUTED_VALUE"""),"06 ORL")</f>
        <v>06 ORL</v>
      </c>
      <c r="O747" s="33" t="str">
        <f ca="1">IFERROR(__xludf.DUMMYFUNCTION("""COMPUTED_VALUE"""),"Dr, Carlos Vidal Redondo")</f>
        <v>Dr, Carlos Vidal Redondo</v>
      </c>
      <c r="P747" s="33" t="str">
        <f ca="1">IFERROR(__xludf.DUMMYFUNCTION("""COMPUTED_VALUE"""),"Roberto Pereira (Galicia)")</f>
        <v>Roberto Pereira (Galicia)</v>
      </c>
    </row>
    <row r="748" spans="2:16">
      <c r="B748" s="33">
        <f ca="1">IFERROR(__xludf.DUMMYFUNCTION("""COMPUTED_VALUE"""),2025)</f>
        <v>2025</v>
      </c>
      <c r="C748" s="33">
        <f ca="1">IFERROR(__xludf.DUMMYFUNCTION("""COMPUTED_VALUE"""),5)</f>
        <v>5</v>
      </c>
      <c r="D748" s="33" t="str">
        <f ca="1">IFERROR(__xludf.DUMMYFUNCTION("""COMPUTED_VALUE"""),"NO")</f>
        <v>NO</v>
      </c>
      <c r="E748" s="33" t="str">
        <f ca="1">IFERROR(__xludf.DUMMYFUNCTION("""COMPUTED_VALUE"""),"Ponferrada")</f>
        <v>Ponferrada</v>
      </c>
      <c r="F748" s="57">
        <f ca="1">IFERROR(__xludf.DUMMYFUNCTION("""COMPUTED_VALUE"""),45799)</f>
        <v>45799</v>
      </c>
      <c r="G748" s="57">
        <f ca="1">IFERROR(__xludf.DUMMYFUNCTION("""COMPUTED_VALUE"""),45671)</f>
        <v>45671</v>
      </c>
      <c r="H748" s="33" t="str">
        <f ca="1">IFERROR(__xludf.DUMMYFUNCTION("""COMPUTED_VALUE"""),"Ponferrada")</f>
        <v>Ponferrada</v>
      </c>
      <c r="I748" s="33" t="str">
        <f ca="1">IFERROR(__xludf.DUMMYFUNCTION("""COMPUTED_VALUE"""),"PON-860")</f>
        <v>PON-860</v>
      </c>
      <c r="J748" s="33" t="str">
        <f ca="1">IFERROR(__xludf.DUMMYFUNCTION("""COMPUTED_VALUE"""),"MARCELO PEREZ PANIZO")</f>
        <v>MARCELO PEREZ PANIZO</v>
      </c>
      <c r="K748" s="33">
        <f ca="1">IFERROR(__xludf.DUMMYFUNCTION("""COMPUTED_VALUE"""),2)</f>
        <v>2</v>
      </c>
      <c r="L748" s="203">
        <f ca="1">IFERROR(__xludf.DUMMYFUNCTION("""COMPUTED_VALUE"""),3545.45)</f>
        <v>3545.45</v>
      </c>
      <c r="M748" s="33" t="str">
        <f ca="1">IFERROR(__xludf.DUMMYFUNCTION("""COMPUTED_VALUE"""),"03 ORL")</f>
        <v>03 ORL</v>
      </c>
      <c r="N748" s="33" t="str">
        <f ca="1">IFERROR(__xludf.DUMMYFUNCTION("""COMPUTED_VALUE"""),"06 ORL")</f>
        <v>06 ORL</v>
      </c>
      <c r="O748" s="33" t="str">
        <f ca="1">IFERROR(__xludf.DUMMYFUNCTION("""COMPUTED_VALUE"""),"Dra, Mónica Granda Rosales")</f>
        <v>Dra, Mónica Granda Rosales</v>
      </c>
      <c r="P748" s="33" t="str">
        <f ca="1">IFERROR(__xludf.DUMMYFUNCTION("""COMPUTED_VALUE"""),"Patricia Solache (Castilla Y León)")</f>
        <v>Patricia Solache (Castilla Y León)</v>
      </c>
    </row>
    <row r="749" spans="2:16">
      <c r="B749" s="33">
        <f ca="1">IFERROR(__xludf.DUMMYFUNCTION("""COMPUTED_VALUE"""),2025)</f>
        <v>2025</v>
      </c>
      <c r="C749" s="33">
        <f ca="1">IFERROR(__xludf.DUMMYFUNCTION("""COMPUTED_VALUE"""),5)</f>
        <v>5</v>
      </c>
      <c r="D749" s="33" t="str">
        <f ca="1">IFERROR(__xludf.DUMMYFUNCTION("""COMPUTED_VALUE"""),"NO")</f>
        <v>NO</v>
      </c>
      <c r="E749" s="33" t="str">
        <f ca="1">IFERROR(__xludf.DUMMYFUNCTION("""COMPUTED_VALUE"""),"Vigo")</f>
        <v>Vigo</v>
      </c>
      <c r="F749" s="57">
        <f ca="1">IFERROR(__xludf.DUMMYFUNCTION("""COMPUTED_VALUE"""),45797)</f>
        <v>45797</v>
      </c>
      <c r="G749" s="57">
        <f ca="1">IFERROR(__xludf.DUMMYFUNCTION("""COMPUTED_VALUE"""),45754)</f>
        <v>45754</v>
      </c>
      <c r="H749" s="33" t="str">
        <f ca="1">IFERROR(__xludf.DUMMYFUNCTION("""COMPUTED_VALUE"""),"Vigo")</f>
        <v>Vigo</v>
      </c>
      <c r="I749" s="33" t="str">
        <f ca="1">IFERROR(__xludf.DUMMYFUNCTION("""COMPUTED_VALUE"""),"VIG-561")</f>
        <v>VIG-561</v>
      </c>
      <c r="J749" s="33" t="str">
        <f ca="1">IFERROR(__xludf.DUMMYFUNCTION("""COMPUTED_VALUE"""),"ALBERTO LOPEZ NIETO")</f>
        <v>ALBERTO LOPEZ NIETO</v>
      </c>
      <c r="K749" s="33">
        <f ca="1">IFERROR(__xludf.DUMMYFUNCTION("""COMPUTED_VALUE"""),2)</f>
        <v>2</v>
      </c>
      <c r="L749" s="203">
        <f ca="1">IFERROR(__xludf.DUMMYFUNCTION("""COMPUTED_VALUE"""),3454.55)</f>
        <v>3454.55</v>
      </c>
      <c r="M749" s="33" t="str">
        <f ca="1">IFERROR(__xludf.DUMMYFUNCTION("""COMPUTED_VALUE"""),"03 ORL")</f>
        <v>03 ORL</v>
      </c>
      <c r="N749" s="33" t="str">
        <f ca="1">IFERROR(__xludf.DUMMYFUNCTION("""COMPUTED_VALUE"""),"06 ORL")</f>
        <v>06 ORL</v>
      </c>
      <c r="O749" s="33" t="str">
        <f ca="1">IFERROR(__xludf.DUMMYFUNCTION("""COMPUTED_VALUE"""),"Dr, Manuel Estevez García")</f>
        <v>Dr, Manuel Estevez García</v>
      </c>
      <c r="P749" s="33" t="str">
        <f ca="1">IFERROR(__xludf.DUMMYFUNCTION("""COMPUTED_VALUE"""),"Roberto Pereira (Galicia)")</f>
        <v>Roberto Pereira (Galicia)</v>
      </c>
    </row>
    <row r="750" spans="2:16">
      <c r="B750" s="33">
        <f ca="1">IFERROR(__xludf.DUMMYFUNCTION("""COMPUTED_VALUE"""),2025)</f>
        <v>2025</v>
      </c>
      <c r="C750" s="33">
        <f ca="1">IFERROR(__xludf.DUMMYFUNCTION("""COMPUTED_VALUE"""),5)</f>
        <v>5</v>
      </c>
      <c r="D750" s="33" t="str">
        <f ca="1">IFERROR(__xludf.DUMMYFUNCTION("""COMPUTED_VALUE"""),"NO")</f>
        <v>NO</v>
      </c>
      <c r="E750" s="33" t="str">
        <f ca="1">IFERROR(__xludf.DUMMYFUNCTION("""COMPUTED_VALUE"""),"Boiro")</f>
        <v>Boiro</v>
      </c>
      <c r="F750" s="57">
        <f ca="1">IFERROR(__xludf.DUMMYFUNCTION("""COMPUTED_VALUE"""),45803)</f>
        <v>45803</v>
      </c>
      <c r="G750" s="57">
        <f ca="1">IFERROR(__xludf.DUMMYFUNCTION("""COMPUTED_VALUE"""),44180)</f>
        <v>44180</v>
      </c>
      <c r="H750" s="33" t="str">
        <f ca="1">IFERROR(__xludf.DUMMYFUNCTION("""COMPUTED_VALUE"""),"Boiro")</f>
        <v>Boiro</v>
      </c>
      <c r="I750" s="33" t="str">
        <f ca="1">IFERROR(__xludf.DUMMYFUNCTION("""COMPUTED_VALUE"""),"BOI-375")</f>
        <v>BOI-375</v>
      </c>
      <c r="J750" s="33" t="str">
        <f ca="1">IFERROR(__xludf.DUMMYFUNCTION("""COMPUTED_VALUE"""),"JOSE ANGEL LAIÑO ROMERO")</f>
        <v>JOSE ANGEL LAIÑO ROMERO</v>
      </c>
      <c r="K750" s="33">
        <f ca="1">IFERROR(__xludf.DUMMYFUNCTION("""COMPUTED_VALUE"""),2)</f>
        <v>2</v>
      </c>
      <c r="L750" s="203">
        <f ca="1">IFERROR(__xludf.DUMMYFUNCTION("""COMPUTED_VALUE"""),3272.73)</f>
        <v>3272.73</v>
      </c>
      <c r="M750" s="33" t="str">
        <f ca="1">IFERROR(__xludf.DUMMYFUNCTION("""COMPUTED_VALUE"""),"03 ORL")</f>
        <v>03 ORL</v>
      </c>
      <c r="N750" s="33" t="str">
        <f ca="1">IFERROR(__xludf.DUMMYFUNCTION("""COMPUTED_VALUE"""),"06 ORL")</f>
        <v>06 ORL</v>
      </c>
      <c r="O750" s="33" t="str">
        <f ca="1">IFERROR(__xludf.DUMMYFUNCTION("""COMPUTED_VALUE"""),"Dr, Eduardo Cabanas Rodríguez")</f>
        <v>Dr, Eduardo Cabanas Rodríguez</v>
      </c>
      <c r="P750" s="33" t="str">
        <f ca="1">IFERROR(__xludf.DUMMYFUNCTION("""COMPUTED_VALUE"""),"Roberto Pereira (Galicia)")</f>
        <v>Roberto Pereira (Galicia)</v>
      </c>
    </row>
    <row r="751" spans="2:16">
      <c r="B751" s="33">
        <f ca="1">IFERROR(__xludf.DUMMYFUNCTION("""COMPUTED_VALUE"""),2025)</f>
        <v>2025</v>
      </c>
      <c r="C751" s="33">
        <f ca="1">IFERROR(__xludf.DUMMYFUNCTION("""COMPUTED_VALUE"""),5)</f>
        <v>5</v>
      </c>
      <c r="D751" s="33" t="str">
        <f ca="1">IFERROR(__xludf.DUMMYFUNCTION("""COMPUTED_VALUE"""),"NO")</f>
        <v>NO</v>
      </c>
      <c r="E751" s="33" t="str">
        <f ca="1">IFERROR(__xludf.DUMMYFUNCTION("""COMPUTED_VALUE"""),"Cáceres")</f>
        <v>Cáceres</v>
      </c>
      <c r="F751" s="57">
        <f ca="1">IFERROR(__xludf.DUMMYFUNCTION("""COMPUTED_VALUE"""),45804)</f>
        <v>45804</v>
      </c>
      <c r="G751" s="57">
        <f ca="1">IFERROR(__xludf.DUMMYFUNCTION("""COMPUTED_VALUE"""),45763)</f>
        <v>45763</v>
      </c>
      <c r="H751" s="33" t="str">
        <f ca="1">IFERROR(__xludf.DUMMYFUNCTION("""COMPUTED_VALUE"""),"Cáceres")</f>
        <v>Cáceres</v>
      </c>
      <c r="I751" s="33" t="str">
        <f ca="1">IFERROR(__xludf.DUMMYFUNCTION("""COMPUTED_VALUE"""),"CAC-270")</f>
        <v>CAC-270</v>
      </c>
      <c r="J751" s="33" t="str">
        <f ca="1">IFERROR(__xludf.DUMMYFUNCTION("""COMPUTED_VALUE"""),"SERAFIN SIERRA CARRIL")</f>
        <v>SERAFIN SIERRA CARRIL</v>
      </c>
      <c r="K751" s="33">
        <f ca="1">IFERROR(__xludf.DUMMYFUNCTION("""COMPUTED_VALUE"""),2)</f>
        <v>2</v>
      </c>
      <c r="L751" s="203">
        <f ca="1">IFERROR(__xludf.DUMMYFUNCTION("""COMPUTED_VALUE"""),3818.18)</f>
        <v>3818.18</v>
      </c>
      <c r="M751" s="33" t="str">
        <f ca="1">IFERROR(__xludf.DUMMYFUNCTION("""COMPUTED_VALUE"""),"03 ORL")</f>
        <v>03 ORL</v>
      </c>
      <c r="N751" s="33" t="str">
        <f ca="1">IFERROR(__xludf.DUMMYFUNCTION("""COMPUTED_VALUE"""),"06 ORL")</f>
        <v>06 ORL</v>
      </c>
      <c r="O751" s="33" t="str">
        <f ca="1">IFERROR(__xludf.DUMMYFUNCTION("""COMPUTED_VALUE"""),"Dr, Andrés Paulino Herrera")</f>
        <v>Dr, Andrés Paulino Herrera</v>
      </c>
      <c r="P751" s="33" t="str">
        <f ca="1">IFERROR(__xludf.DUMMYFUNCTION("""COMPUTED_VALUE"""),"Lisandro Russian (Madrid, Cáceres, Toledo, Talavera Y Logroño)")</f>
        <v>Lisandro Russian (Madrid, Cáceres, Toledo, Talavera Y Logroño)</v>
      </c>
    </row>
    <row r="752" spans="2:16">
      <c r="B752" s="33">
        <f ca="1">IFERROR(__xludf.DUMMYFUNCTION("""COMPUTED_VALUE"""),2025)</f>
        <v>2025</v>
      </c>
      <c r="C752" s="33">
        <f ca="1">IFERROR(__xludf.DUMMYFUNCTION("""COMPUTED_VALUE"""),5)</f>
        <v>5</v>
      </c>
      <c r="D752" s="33" t="str">
        <f ca="1">IFERROR(__xludf.DUMMYFUNCTION("""COMPUTED_VALUE"""),"NO")</f>
        <v>NO</v>
      </c>
      <c r="E752" s="33" t="str">
        <f ca="1">IFERROR(__xludf.DUMMYFUNCTION("""COMPUTED_VALUE"""),"León")</f>
        <v>León</v>
      </c>
      <c r="F752" s="57">
        <f ca="1">IFERROR(__xludf.DUMMYFUNCTION("""COMPUTED_VALUE"""),45804)</f>
        <v>45804</v>
      </c>
      <c r="G752" s="57">
        <f ca="1">IFERROR(__xludf.DUMMYFUNCTION("""COMPUTED_VALUE"""),45800)</f>
        <v>45800</v>
      </c>
      <c r="H752" s="33" t="str">
        <f ca="1">IFERROR(__xludf.DUMMYFUNCTION("""COMPUTED_VALUE"""),"León")</f>
        <v>León</v>
      </c>
      <c r="I752" s="33" t="str">
        <f ca="1">IFERROR(__xludf.DUMMYFUNCTION("""COMPUTED_VALUE"""),"LEO-476")</f>
        <v>LEO-476</v>
      </c>
      <c r="J752" s="33" t="str">
        <f ca="1">IFERROR(__xludf.DUMMYFUNCTION("""COMPUTED_VALUE"""),"ARGENTINA LOPEZ LAZARO")</f>
        <v>ARGENTINA LOPEZ LAZARO</v>
      </c>
      <c r="K752" s="33">
        <f ca="1">IFERROR(__xludf.DUMMYFUNCTION("""COMPUTED_VALUE"""),2)</f>
        <v>2</v>
      </c>
      <c r="L752" s="203">
        <f ca="1">IFERROR(__xludf.DUMMYFUNCTION("""COMPUTED_VALUE"""),2437.27)</f>
        <v>2437.27</v>
      </c>
      <c r="M752" s="33" t="str">
        <f ca="1">IFERROR(__xludf.DUMMYFUNCTION("""COMPUTED_VALUE"""),"03 ORL")</f>
        <v>03 ORL</v>
      </c>
      <c r="N752" s="33" t="str">
        <f ca="1">IFERROR(__xludf.DUMMYFUNCTION("""COMPUTED_VALUE"""),"06 ORL")</f>
        <v>06 ORL</v>
      </c>
      <c r="O752" s="33" t="str">
        <f ca="1">IFERROR(__xludf.DUMMYFUNCTION("""COMPUTED_VALUE"""),"Dr, Rafael Pérez González")</f>
        <v>Dr, Rafael Pérez González</v>
      </c>
      <c r="P752" s="33" t="str">
        <f ca="1">IFERROR(__xludf.DUMMYFUNCTION("""COMPUTED_VALUE"""),"Patricia Solache (Castilla Y León)")</f>
        <v>Patricia Solache (Castilla Y León)</v>
      </c>
    </row>
    <row r="753" spans="2:16">
      <c r="B753" s="33">
        <f ca="1">IFERROR(__xludf.DUMMYFUNCTION("""COMPUTED_VALUE"""),2025)</f>
        <v>2025</v>
      </c>
      <c r="C753" s="33">
        <f ca="1">IFERROR(__xludf.DUMMYFUNCTION("""COMPUTED_VALUE"""),5)</f>
        <v>5</v>
      </c>
      <c r="D753" s="33" t="str">
        <f ca="1">IFERROR(__xludf.DUMMYFUNCTION("""COMPUTED_VALUE"""),"NO")</f>
        <v>NO</v>
      </c>
      <c r="E753" s="33" t="str">
        <f ca="1">IFERROR(__xludf.DUMMYFUNCTION("""COMPUTED_VALUE"""),"Valladolid")</f>
        <v>Valladolid</v>
      </c>
      <c r="F753" s="57">
        <f ca="1">IFERROR(__xludf.DUMMYFUNCTION("""COMPUTED_VALUE"""),45804)</f>
        <v>45804</v>
      </c>
      <c r="G753" s="57">
        <f ca="1">IFERROR(__xludf.DUMMYFUNCTION("""COMPUTED_VALUE"""),45754)</f>
        <v>45754</v>
      </c>
      <c r="H753" s="33" t="str">
        <f ca="1">IFERROR(__xludf.DUMMYFUNCTION("""COMPUTED_VALUE"""),"Valladolid")</f>
        <v>Valladolid</v>
      </c>
      <c r="I753" s="33" t="str">
        <f ca="1">IFERROR(__xludf.DUMMYFUNCTION("""COMPUTED_VALUE"""),"VLL-376")</f>
        <v>VLL-376</v>
      </c>
      <c r="J753" s="33" t="str">
        <f ca="1">IFERROR(__xludf.DUMMYFUNCTION("""COMPUTED_VALUE"""),"FELIX MOLPECERES TOLEDO")</f>
        <v>FELIX MOLPECERES TOLEDO</v>
      </c>
      <c r="K753" s="33">
        <f ca="1">IFERROR(__xludf.DUMMYFUNCTION("""COMPUTED_VALUE"""),1)</f>
        <v>1</v>
      </c>
      <c r="L753" s="203">
        <f ca="1">IFERROR(__xludf.DUMMYFUNCTION("""COMPUTED_VALUE"""),2034.55)</f>
        <v>2034.55</v>
      </c>
      <c r="M753" s="33" t="str">
        <f ca="1">IFERROR(__xludf.DUMMYFUNCTION("""COMPUTED_VALUE"""),"03 ORL")</f>
        <v>03 ORL</v>
      </c>
      <c r="N753" s="33" t="str">
        <f ca="1">IFERROR(__xludf.DUMMYFUNCTION("""COMPUTED_VALUE"""),"06 ORL")</f>
        <v>06 ORL</v>
      </c>
      <c r="O753" s="33" t="str">
        <f ca="1">IFERROR(__xludf.DUMMYFUNCTION("""COMPUTED_VALUE"""),"Dra, Ana Fernández Rodríguez")</f>
        <v>Dra, Ana Fernández Rodríguez</v>
      </c>
      <c r="P753" s="33" t="str">
        <f ca="1">IFERROR(__xludf.DUMMYFUNCTION("""COMPUTED_VALUE"""),"Patricia Solache (Castilla Y León)")</f>
        <v>Patricia Solache (Castilla Y León)</v>
      </c>
    </row>
    <row r="754" spans="2:16">
      <c r="B754" s="33">
        <f ca="1">IFERROR(__xludf.DUMMYFUNCTION("""COMPUTED_VALUE"""),2025)</f>
        <v>2025</v>
      </c>
      <c r="C754" s="33">
        <f ca="1">IFERROR(__xludf.DUMMYFUNCTION("""COMPUTED_VALUE"""),5)</f>
        <v>5</v>
      </c>
      <c r="D754" s="33" t="str">
        <f ca="1">IFERROR(__xludf.DUMMYFUNCTION("""COMPUTED_VALUE"""),"NO")</f>
        <v>NO</v>
      </c>
      <c r="E754" s="33" t="str">
        <f ca="1">IFERROR(__xludf.DUMMYFUNCTION("""COMPUTED_VALUE"""),"Lalín")</f>
        <v>Lalín</v>
      </c>
      <c r="F754" s="57">
        <f ca="1">IFERROR(__xludf.DUMMYFUNCTION("""COMPUTED_VALUE"""),45805)</f>
        <v>45805</v>
      </c>
      <c r="G754" s="57">
        <f ca="1">IFERROR(__xludf.DUMMYFUNCTION("""COMPUTED_VALUE"""),45756)</f>
        <v>45756</v>
      </c>
      <c r="H754" s="33" t="str">
        <f ca="1">IFERROR(__xludf.DUMMYFUNCTION("""COMPUTED_VALUE"""),"Lalín")</f>
        <v>Lalín</v>
      </c>
      <c r="I754" s="33" t="str">
        <f ca="1">IFERROR(__xludf.DUMMYFUNCTION("""COMPUTED_VALUE"""),"LAL-142")</f>
        <v>LAL-142</v>
      </c>
      <c r="J754" s="33" t="str">
        <f ca="1">IFERROR(__xludf.DUMMYFUNCTION("""COMPUTED_VALUE"""),"MARIA TERESA FAILDE GARCIA")</f>
        <v>MARIA TERESA FAILDE GARCIA</v>
      </c>
      <c r="K754" s="33">
        <f ca="1">IFERROR(__xludf.DUMMYFUNCTION("""COMPUTED_VALUE"""),2)</f>
        <v>2</v>
      </c>
      <c r="L754" s="203">
        <f ca="1">IFERROR(__xludf.DUMMYFUNCTION("""COMPUTED_VALUE"""),2709.09)</f>
        <v>2709.09</v>
      </c>
      <c r="M754" s="33" t="str">
        <f ca="1">IFERROR(__xludf.DUMMYFUNCTION("""COMPUTED_VALUE"""),"03 ORL")</f>
        <v>03 ORL</v>
      </c>
      <c r="N754" s="33" t="str">
        <f ca="1">IFERROR(__xludf.DUMMYFUNCTION("""COMPUTED_VALUE"""),"06 ORL")</f>
        <v>06 ORL</v>
      </c>
      <c r="O754" s="33" t="str">
        <f ca="1">IFERROR(__xludf.DUMMYFUNCTION("""COMPUTED_VALUE"""),"Dra, Isabel Vaamonde Sanchez Andrade")</f>
        <v>Dra, Isabel Vaamonde Sanchez Andrade</v>
      </c>
      <c r="P754" s="33" t="str">
        <f ca="1">IFERROR(__xludf.DUMMYFUNCTION("""COMPUTED_VALUE"""),"Roberto Pereira (Galicia)")</f>
        <v>Roberto Pereira (Galicia)</v>
      </c>
    </row>
    <row r="755" spans="2:16">
      <c r="B755" s="33">
        <f ca="1">IFERROR(__xludf.DUMMYFUNCTION("""COMPUTED_VALUE"""),2025)</f>
        <v>2025</v>
      </c>
      <c r="C755" s="33">
        <f ca="1">IFERROR(__xludf.DUMMYFUNCTION("""COMPUTED_VALUE"""),5)</f>
        <v>5</v>
      </c>
      <c r="D755" s="33" t="str">
        <f ca="1">IFERROR(__xludf.DUMMYFUNCTION("""COMPUTED_VALUE"""),"NO")</f>
        <v>NO</v>
      </c>
      <c r="E755" s="33" t="str">
        <f ca="1">IFERROR(__xludf.DUMMYFUNCTION("""COMPUTED_VALUE"""),"Sevilla- Ciencias")</f>
        <v>Sevilla- Ciencias</v>
      </c>
      <c r="F755" s="57">
        <f ca="1">IFERROR(__xludf.DUMMYFUNCTION("""COMPUTED_VALUE"""),45805)</f>
        <v>45805</v>
      </c>
      <c r="G755" s="57">
        <f ca="1">IFERROR(__xludf.DUMMYFUNCTION("""COMPUTED_VALUE"""),45754)</f>
        <v>45754</v>
      </c>
      <c r="H755" s="33" t="str">
        <f ca="1">IFERROR(__xludf.DUMMYFUNCTION("""COMPUTED_VALUE"""),"Sevilla Este")</f>
        <v>Sevilla Este</v>
      </c>
      <c r="I755" s="33" t="str">
        <f ca="1">IFERROR(__xludf.DUMMYFUNCTION("""COMPUTED_VALUE"""),"SEVE-396")</f>
        <v>SEVE-396</v>
      </c>
      <c r="J755" s="33" t="str">
        <f ca="1">IFERROR(__xludf.DUMMYFUNCTION("""COMPUTED_VALUE"""),"ISMAEL SANCHEZ BRIZ")</f>
        <v>ISMAEL SANCHEZ BRIZ</v>
      </c>
      <c r="K755" s="33">
        <f ca="1">IFERROR(__xludf.DUMMYFUNCTION("""COMPUTED_VALUE"""),2)</f>
        <v>2</v>
      </c>
      <c r="L755" s="203">
        <f ca="1">IFERROR(__xludf.DUMMYFUNCTION("""COMPUTED_VALUE"""),4000)</f>
        <v>4000</v>
      </c>
      <c r="M755" s="33" t="str">
        <f ca="1">IFERROR(__xludf.DUMMYFUNCTION("""COMPUTED_VALUE"""),"03 ORL")</f>
        <v>03 ORL</v>
      </c>
      <c r="N755" s="33" t="str">
        <f ca="1">IFERROR(__xludf.DUMMYFUNCTION("""COMPUTED_VALUE"""),"06 ORL")</f>
        <v>06 ORL</v>
      </c>
      <c r="O755" s="33" t="str">
        <f ca="1">IFERROR(__xludf.DUMMYFUNCTION("""COMPUTED_VALUE"""),"Dra, Estefanía Berrocal Postigo")</f>
        <v>Dra, Estefanía Berrocal Postigo</v>
      </c>
      <c r="P755" s="33" t="str">
        <f ca="1">IFERROR(__xludf.DUMMYFUNCTION("""COMPUTED_VALUE"""),"Luis Alberto Rodríguez (Andalucía Y Badajoz)")</f>
        <v>Luis Alberto Rodríguez (Andalucía Y Badajoz)</v>
      </c>
    </row>
    <row r="756" spans="2:16">
      <c r="B756" s="33">
        <f ca="1">IFERROR(__xludf.DUMMYFUNCTION("""COMPUTED_VALUE"""),2025)</f>
        <v>2025</v>
      </c>
      <c r="C756" s="33">
        <f ca="1">IFERROR(__xludf.DUMMYFUNCTION("""COMPUTED_VALUE"""),5)</f>
        <v>5</v>
      </c>
      <c r="D756" s="33" t="str">
        <f ca="1">IFERROR(__xludf.DUMMYFUNCTION("""COMPUTED_VALUE"""),"NO")</f>
        <v>NO</v>
      </c>
      <c r="E756" s="33" t="str">
        <f ca="1">IFERROR(__xludf.DUMMYFUNCTION("""COMPUTED_VALUE"""),"Salamanca")</f>
        <v>Salamanca</v>
      </c>
      <c r="F756" s="57">
        <f ca="1">IFERROR(__xludf.DUMMYFUNCTION("""COMPUTED_VALUE"""),45806)</f>
        <v>45806</v>
      </c>
      <c r="G756" s="57">
        <f ca="1">IFERROR(__xludf.DUMMYFUNCTION("""COMPUTED_VALUE"""),45779)</f>
        <v>45779</v>
      </c>
      <c r="H756" s="33" t="str">
        <f ca="1">IFERROR(__xludf.DUMMYFUNCTION("""COMPUTED_VALUE"""),"Salamanca")</f>
        <v>Salamanca</v>
      </c>
      <c r="I756" s="33" t="str">
        <f ca="1">IFERROR(__xludf.DUMMYFUNCTION("""COMPUTED_VALUE"""),"SLM-542")</f>
        <v>SLM-542</v>
      </c>
      <c r="J756" s="33" t="str">
        <f ca="1">IFERROR(__xludf.DUMMYFUNCTION("""COMPUTED_VALUE"""),"MARIA DE LOS ANGELES LANZAROTE SASTRE")</f>
        <v>MARIA DE LOS ANGELES LANZAROTE SASTRE</v>
      </c>
      <c r="K756" s="33">
        <f ca="1">IFERROR(__xludf.DUMMYFUNCTION("""COMPUTED_VALUE"""),2)</f>
        <v>2</v>
      </c>
      <c r="L756" s="203">
        <f ca="1">IFERROR(__xludf.DUMMYFUNCTION("""COMPUTED_VALUE"""),3604.55)</f>
        <v>3604.55</v>
      </c>
      <c r="M756" s="33" t="str">
        <f ca="1">IFERROR(__xludf.DUMMYFUNCTION("""COMPUTED_VALUE"""),"03 ORL")</f>
        <v>03 ORL</v>
      </c>
      <c r="N756" s="33" t="str">
        <f ca="1">IFERROR(__xludf.DUMMYFUNCTION("""COMPUTED_VALUE"""),"06 ORL")</f>
        <v>06 ORL</v>
      </c>
      <c r="O756" s="33" t="str">
        <f ca="1">IFERROR(__xludf.DUMMYFUNCTION("""COMPUTED_VALUE"""),"No Recuerda Orl")</f>
        <v>No Recuerda Orl</v>
      </c>
      <c r="P756" s="33" t="str">
        <f ca="1">IFERROR(__xludf.DUMMYFUNCTION("""COMPUTED_VALUE"""),"Patricia Solache (Castilla Y León)")</f>
        <v>Patricia Solache (Castilla Y León)</v>
      </c>
    </row>
    <row r="757" spans="2:16">
      <c r="B757" s="33">
        <f ca="1">IFERROR(__xludf.DUMMYFUNCTION("""COMPUTED_VALUE"""),2025)</f>
        <v>2025</v>
      </c>
      <c r="C757" s="33">
        <f ca="1">IFERROR(__xludf.DUMMYFUNCTION("""COMPUTED_VALUE"""),6)</f>
        <v>6</v>
      </c>
      <c r="D757" s="33" t="str">
        <f ca="1">IFERROR(__xludf.DUMMYFUNCTION("""COMPUTED_VALUE"""),"NO")</f>
        <v>NO</v>
      </c>
      <c r="E757" s="33" t="str">
        <f ca="1">IFERROR(__xludf.DUMMYFUNCTION("""COMPUTED_VALUE"""),"Albacete")</f>
        <v>Albacete</v>
      </c>
      <c r="F757" s="57">
        <f ca="1">IFERROR(__xludf.DUMMYFUNCTION("""COMPUTED_VALUE"""),45824)</f>
        <v>45824</v>
      </c>
      <c r="G757" s="57">
        <f ca="1">IFERROR(__xludf.DUMMYFUNCTION("""COMPUTED_VALUE"""),45806)</f>
        <v>45806</v>
      </c>
      <c r="H757" s="33" t="str">
        <f ca="1">IFERROR(__xludf.DUMMYFUNCTION("""COMPUTED_VALUE"""),"Albacete")</f>
        <v>Albacete</v>
      </c>
      <c r="I757" s="33" t="str">
        <f ca="1">IFERROR(__xludf.DUMMYFUNCTION("""COMPUTED_VALUE"""),"C20256292840124")</f>
        <v>C20256292840124</v>
      </c>
      <c r="J757" s="33" t="str">
        <f ca="1">IFERROR(__xludf.DUMMYFUNCTION("""COMPUTED_VALUE"""),"CESAR AUGUSTO CRUZ MANZANERO")</f>
        <v>CESAR AUGUSTO CRUZ MANZANERO</v>
      </c>
      <c r="K757" s="33">
        <f ca="1">IFERROR(__xludf.DUMMYFUNCTION("""COMPUTED_VALUE"""),1)</f>
        <v>1</v>
      </c>
      <c r="L757" s="203">
        <f ca="1">IFERROR(__xludf.DUMMYFUNCTION("""COMPUTED_VALUE"""),2640)</f>
        <v>2640</v>
      </c>
      <c r="M757" s="33" t="str">
        <f ca="1">IFERROR(__xludf.DUMMYFUNCTION("""COMPUTED_VALUE"""),"03 ORL")</f>
        <v>03 ORL</v>
      </c>
      <c r="N757" s="33" t="str">
        <f ca="1">IFERROR(__xludf.DUMMYFUNCTION("""COMPUTED_VALUE"""),"06 ORL")</f>
        <v>06 ORL</v>
      </c>
      <c r="O757" s="33" t="str">
        <f ca="1">IFERROR(__xludf.DUMMYFUNCTION("""COMPUTED_VALUE"""),"Dr, Pedro Seguí Moya")</f>
        <v>Dr, Pedro Seguí Moya</v>
      </c>
      <c r="P757" s="33" t="str">
        <f ca="1">IFERROR(__xludf.DUMMYFUNCTION("""COMPUTED_VALUE"""),"Iván Sánchez (Levante Y Albacete)")</f>
        <v>Iván Sánchez (Levante Y Albacete)</v>
      </c>
    </row>
    <row r="758" spans="2:16">
      <c r="B758" s="33">
        <f ca="1">IFERROR(__xludf.DUMMYFUNCTION("""COMPUTED_VALUE"""),2025)</f>
        <v>2025</v>
      </c>
      <c r="C758" s="33">
        <f ca="1">IFERROR(__xludf.DUMMYFUNCTION("""COMPUTED_VALUE"""),6)</f>
        <v>6</v>
      </c>
      <c r="D758" s="33" t="str">
        <f ca="1">IFERROR(__xludf.DUMMYFUNCTION("""COMPUTED_VALUE"""),"NO")</f>
        <v>NO</v>
      </c>
      <c r="E758" s="33" t="str">
        <f ca="1">IFERROR(__xludf.DUMMYFUNCTION("""COMPUTED_VALUE"""),"Alicante")</f>
        <v>Alicante</v>
      </c>
      <c r="F758" s="57">
        <f ca="1">IFERROR(__xludf.DUMMYFUNCTION("""COMPUTED_VALUE"""),45833)</f>
        <v>45833</v>
      </c>
      <c r="G758" s="57">
        <f ca="1">IFERROR(__xludf.DUMMYFUNCTION("""COMPUTED_VALUE"""),45804)</f>
        <v>45804</v>
      </c>
      <c r="H758" s="33" t="str">
        <f ca="1">IFERROR(__xludf.DUMMYFUNCTION("""COMPUTED_VALUE"""),"Alicante")</f>
        <v>Alicante</v>
      </c>
      <c r="I758" s="33" t="str">
        <f ca="1">IFERROR(__xludf.DUMMYFUNCTION("""COMPUTED_VALUE"""),"C20256411852211")</f>
        <v>C20256411852211</v>
      </c>
      <c r="J758" s="33" t="str">
        <f ca="1">IFERROR(__xludf.DUMMYFUNCTION("""COMPUTED_VALUE"""),"CRUZ MARIN TORAL")</f>
        <v>CRUZ MARIN TORAL</v>
      </c>
      <c r="K758" s="33">
        <f ca="1">IFERROR(__xludf.DUMMYFUNCTION("""COMPUTED_VALUE"""),1)</f>
        <v>1</v>
      </c>
      <c r="L758" s="203">
        <f ca="1">IFERROR(__xludf.DUMMYFUNCTION("""COMPUTED_VALUE"""),1732.73)</f>
        <v>1732.73</v>
      </c>
      <c r="M758" s="33" t="str">
        <f ca="1">IFERROR(__xludf.DUMMYFUNCTION("""COMPUTED_VALUE"""),"03 ORL")</f>
        <v>03 ORL</v>
      </c>
      <c r="N758" s="33" t="str">
        <f ca="1">IFERROR(__xludf.DUMMYFUNCTION("""COMPUTED_VALUE"""),"06 ORL")</f>
        <v>06 ORL</v>
      </c>
      <c r="O758" s="33" t="str">
        <f ca="1">IFERROR(__xludf.DUMMYFUNCTION("""COMPUTED_VALUE"""),"Dr, Francisco Pastor Beviá")</f>
        <v>Dr, Francisco Pastor Beviá</v>
      </c>
      <c r="P758" s="33" t="str">
        <f ca="1">IFERROR(__xludf.DUMMYFUNCTION("""COMPUTED_VALUE"""),"Iván Sánchez (Levante Y Albacete)")</f>
        <v>Iván Sánchez (Levante Y Albacete)</v>
      </c>
    </row>
    <row r="759" spans="2:16">
      <c r="B759" s="33">
        <f ca="1">IFERROR(__xludf.DUMMYFUNCTION("""COMPUTED_VALUE"""),2025)</f>
        <v>2025</v>
      </c>
      <c r="C759" s="33">
        <f ca="1">IFERROR(__xludf.DUMMYFUNCTION("""COMPUTED_VALUE"""),6)</f>
        <v>6</v>
      </c>
      <c r="D759" s="33" t="str">
        <f ca="1">IFERROR(__xludf.DUMMYFUNCTION("""COMPUTED_VALUE"""),"NO")</f>
        <v>NO</v>
      </c>
      <c r="E759" s="33" t="str">
        <f ca="1">IFERROR(__xludf.DUMMYFUNCTION("""COMPUTED_VALUE"""),"Alicante")</f>
        <v>Alicante</v>
      </c>
      <c r="F759" s="57">
        <f ca="1">IFERROR(__xludf.DUMMYFUNCTION("""COMPUTED_VALUE"""),45818)</f>
        <v>45818</v>
      </c>
      <c r="G759" s="57">
        <f ca="1">IFERROR(__xludf.DUMMYFUNCTION("""COMPUTED_VALUE"""),45777)</f>
        <v>45777</v>
      </c>
      <c r="H759" s="33" t="str">
        <f ca="1">IFERROR(__xludf.DUMMYFUNCTION("""COMPUTED_VALUE"""),"Alicante")</f>
        <v>Alicante</v>
      </c>
      <c r="I759" s="33" t="str">
        <f ca="1">IFERROR(__xludf.DUMMYFUNCTION("""COMPUTED_VALUE"""),"C2025571066589")</f>
        <v>C2025571066589</v>
      </c>
      <c r="J759" s="33" t="str">
        <f ca="1">IFERROR(__xludf.DUMMYFUNCTION("""COMPUTED_VALUE"""),"ANA ORTS MAS")</f>
        <v>ANA ORTS MAS</v>
      </c>
      <c r="K759" s="33">
        <f ca="1">IFERROR(__xludf.DUMMYFUNCTION("""COMPUTED_VALUE"""),1)</f>
        <v>1</v>
      </c>
      <c r="L759" s="203">
        <f ca="1">IFERROR(__xludf.DUMMYFUNCTION("""COMPUTED_VALUE"""),2115.05)</f>
        <v>2115.0500000000002</v>
      </c>
      <c r="M759" s="33" t="str">
        <f ca="1">IFERROR(__xludf.DUMMYFUNCTION("""COMPUTED_VALUE"""),"03 ORL")</f>
        <v>03 ORL</v>
      </c>
      <c r="N759" s="33" t="str">
        <f ca="1">IFERROR(__xludf.DUMMYFUNCTION("""COMPUTED_VALUE"""),"06 ORL")</f>
        <v>06 ORL</v>
      </c>
      <c r="O759" s="33" t="str">
        <f ca="1">IFERROR(__xludf.DUMMYFUNCTION("""COMPUTED_VALUE"""),"Dra, Luisa Payá Pérez")</f>
        <v>Dra, Luisa Payá Pérez</v>
      </c>
      <c r="P759" s="33" t="str">
        <f ca="1">IFERROR(__xludf.DUMMYFUNCTION("""COMPUTED_VALUE"""),"Iván Sánchez (Levante Y Albacete)")</f>
        <v>Iván Sánchez (Levante Y Albacete)</v>
      </c>
    </row>
    <row r="760" spans="2:16">
      <c r="B760" s="33">
        <f ca="1">IFERROR(__xludf.DUMMYFUNCTION("""COMPUTED_VALUE"""),2025)</f>
        <v>2025</v>
      </c>
      <c r="C760" s="33">
        <f ca="1">IFERROR(__xludf.DUMMYFUNCTION("""COMPUTED_VALUE"""),6)</f>
        <v>6</v>
      </c>
      <c r="D760" s="33" t="str">
        <f ca="1">IFERROR(__xludf.DUMMYFUNCTION("""COMPUTED_VALUE"""),"NO")</f>
        <v>NO</v>
      </c>
      <c r="E760" s="33" t="str">
        <f ca="1">IFERROR(__xludf.DUMMYFUNCTION("""COMPUTED_VALUE"""),"Alicante")</f>
        <v>Alicante</v>
      </c>
      <c r="F760" s="57">
        <f ca="1">IFERROR(__xludf.DUMMYFUNCTION("""COMPUTED_VALUE"""),45826)</f>
        <v>45826</v>
      </c>
      <c r="G760" s="57">
        <f ca="1">IFERROR(__xludf.DUMMYFUNCTION("""COMPUTED_VALUE"""),45791)</f>
        <v>45791</v>
      </c>
      <c r="H760" s="33" t="str">
        <f ca="1">IFERROR(__xludf.DUMMYFUNCTION("""COMPUTED_VALUE"""),"Alicante")</f>
        <v>Alicante</v>
      </c>
      <c r="I760" s="33" t="str">
        <f ca="1">IFERROR(__xludf.DUMMYFUNCTION("""COMPUTED_VALUE"""),"C2025521172557687")</f>
        <v>C2025521172557687</v>
      </c>
      <c r="J760" s="33" t="str">
        <f ca="1">IFERROR(__xludf.DUMMYFUNCTION("""COMPUTED_VALUE"""),"DIEGO CRUZ GILBERT")</f>
        <v>DIEGO CRUZ GILBERT</v>
      </c>
      <c r="K760" s="33">
        <f ca="1">IFERROR(__xludf.DUMMYFUNCTION("""COMPUTED_VALUE"""),2)</f>
        <v>2</v>
      </c>
      <c r="L760" s="203">
        <f ca="1">IFERROR(__xludf.DUMMYFUNCTION("""COMPUTED_VALUE"""),2888.18)</f>
        <v>2888.18</v>
      </c>
      <c r="M760" s="33" t="str">
        <f ca="1">IFERROR(__xludf.DUMMYFUNCTION("""COMPUTED_VALUE"""),"03 ORL")</f>
        <v>03 ORL</v>
      </c>
      <c r="N760" s="33" t="str">
        <f ca="1">IFERROR(__xludf.DUMMYFUNCTION("""COMPUTED_VALUE"""),"06 ORL")</f>
        <v>06 ORL</v>
      </c>
      <c r="O760" s="33" t="str">
        <f ca="1">IFERROR(__xludf.DUMMYFUNCTION("""COMPUTED_VALUE"""),"Dra, Paula Hernández Ruíz")</f>
        <v>Dra, Paula Hernández Ruíz</v>
      </c>
      <c r="P760" s="33" t="str">
        <f ca="1">IFERROR(__xludf.DUMMYFUNCTION("""COMPUTED_VALUE"""),"Iván Sánchez (Levante Y Albacete)")</f>
        <v>Iván Sánchez (Levante Y Albacete)</v>
      </c>
    </row>
    <row r="761" spans="2:16">
      <c r="B761" s="33">
        <f ca="1">IFERROR(__xludf.DUMMYFUNCTION("""COMPUTED_VALUE"""),2025)</f>
        <v>2025</v>
      </c>
      <c r="C761" s="33">
        <f ca="1">IFERROR(__xludf.DUMMYFUNCTION("""COMPUTED_VALUE"""),6)</f>
        <v>6</v>
      </c>
      <c r="D761" s="33" t="str">
        <f ca="1">IFERROR(__xludf.DUMMYFUNCTION("""COMPUTED_VALUE"""),"NO")</f>
        <v>NO</v>
      </c>
      <c r="E761" s="33" t="str">
        <f ca="1">IFERROR(__xludf.DUMMYFUNCTION("""COMPUTED_VALUE"""),"Alicante")</f>
        <v>Alicante</v>
      </c>
      <c r="F761" s="57">
        <f ca="1">IFERROR(__xludf.DUMMYFUNCTION("""COMPUTED_VALUE"""),45812)</f>
        <v>45812</v>
      </c>
      <c r="G761" s="57">
        <f ca="1">IFERROR(__xludf.DUMMYFUNCTION("""COMPUTED_VALUE"""),45782)</f>
        <v>45782</v>
      </c>
      <c r="H761" s="33" t="str">
        <f ca="1">IFERROR(__xludf.DUMMYFUNCTION("""COMPUTED_VALUE"""),"Alicante")</f>
        <v>Alicante</v>
      </c>
      <c r="I761" s="33" t="str">
        <f ca="1">IFERROR(__xludf.DUMMYFUNCTION("""COMPUTED_VALUE"""),"C202558114050748")</f>
        <v>C202558114050748</v>
      </c>
      <c r="J761" s="33" t="str">
        <f ca="1">IFERROR(__xludf.DUMMYFUNCTION("""COMPUTED_VALUE"""),"ELVIRA GALINDO CARRETERO")</f>
        <v>ELVIRA GALINDO CARRETERO</v>
      </c>
      <c r="K761" s="33">
        <f ca="1">IFERROR(__xludf.DUMMYFUNCTION("""COMPUTED_VALUE"""),2)</f>
        <v>2</v>
      </c>
      <c r="L761" s="203">
        <f ca="1">IFERROR(__xludf.DUMMYFUNCTION("""COMPUTED_VALUE"""),3524.5)</f>
        <v>3524.5</v>
      </c>
      <c r="M761" s="33" t="str">
        <f ca="1">IFERROR(__xludf.DUMMYFUNCTION("""COMPUTED_VALUE"""),"03 ORL")</f>
        <v>03 ORL</v>
      </c>
      <c r="N761" s="33" t="str">
        <f ca="1">IFERROR(__xludf.DUMMYFUNCTION("""COMPUTED_VALUE"""),"06 ORL")</f>
        <v>06 ORL</v>
      </c>
      <c r="O761" s="33" t="str">
        <f ca="1">IFERROR(__xludf.DUMMYFUNCTION("""COMPUTED_VALUE"""),"Dra, Cristina Muñoz Pinto")</f>
        <v>Dra, Cristina Muñoz Pinto</v>
      </c>
      <c r="P761" s="33" t="str">
        <f ca="1">IFERROR(__xludf.DUMMYFUNCTION("""COMPUTED_VALUE"""),"Iván Sánchez (Levante Y Albacete)")</f>
        <v>Iván Sánchez (Levante Y Albacete)</v>
      </c>
    </row>
    <row r="762" spans="2:16">
      <c r="B762" s="33">
        <f ca="1">IFERROR(__xludf.DUMMYFUNCTION("""COMPUTED_VALUE"""),2025)</f>
        <v>2025</v>
      </c>
      <c r="C762" s="33">
        <f ca="1">IFERROR(__xludf.DUMMYFUNCTION("""COMPUTED_VALUE"""),6)</f>
        <v>6</v>
      </c>
      <c r="D762" s="33" t="str">
        <f ca="1">IFERROR(__xludf.DUMMYFUNCTION("""COMPUTED_VALUE"""),"NO")</f>
        <v>NO</v>
      </c>
      <c r="E762" s="33" t="str">
        <f ca="1">IFERROR(__xludf.DUMMYFUNCTION("""COMPUTED_VALUE"""),"Alicante")</f>
        <v>Alicante</v>
      </c>
      <c r="F762" s="57">
        <f ca="1">IFERROR(__xludf.DUMMYFUNCTION("""COMPUTED_VALUE"""),45810)</f>
        <v>45810</v>
      </c>
      <c r="G762" s="57">
        <f ca="1">IFERROR(__xludf.DUMMYFUNCTION("""COMPUTED_VALUE"""),45790)</f>
        <v>45790</v>
      </c>
      <c r="H762" s="33" t="str">
        <f ca="1">IFERROR(__xludf.DUMMYFUNCTION("""COMPUTED_VALUE"""),"Alicante")</f>
        <v>Alicante</v>
      </c>
      <c r="I762" s="33" t="str">
        <f ca="1">IFERROR(__xludf.DUMMYFUNCTION("""COMPUTED_VALUE"""),"C2025516115638434")</f>
        <v>C2025516115638434</v>
      </c>
      <c r="J762" s="33" t="str">
        <f ca="1">IFERROR(__xludf.DUMMYFUNCTION("""COMPUTED_VALUE"""),"MARIA DEL CARMEN LORENZO MANGAS")</f>
        <v>MARIA DEL CARMEN LORENZO MANGAS</v>
      </c>
      <c r="K762" s="33">
        <f ca="1">IFERROR(__xludf.DUMMYFUNCTION("""COMPUTED_VALUE"""),2)</f>
        <v>2</v>
      </c>
      <c r="L762" s="203">
        <f ca="1">IFERROR(__xludf.DUMMYFUNCTION("""COMPUTED_VALUE"""),4000)</f>
        <v>4000</v>
      </c>
      <c r="M762" s="33" t="str">
        <f ca="1">IFERROR(__xludf.DUMMYFUNCTION("""COMPUTED_VALUE"""),"03 ORL")</f>
        <v>03 ORL</v>
      </c>
      <c r="N762" s="33" t="str">
        <f ca="1">IFERROR(__xludf.DUMMYFUNCTION("""COMPUTED_VALUE"""),"06 ORL")</f>
        <v>06 ORL</v>
      </c>
      <c r="O762" s="33" t="str">
        <f ca="1">IFERROR(__xludf.DUMMYFUNCTION("""COMPUTED_VALUE"""),"Dra, Cristina Muñoz Pinto")</f>
        <v>Dra, Cristina Muñoz Pinto</v>
      </c>
      <c r="P762" s="33" t="str">
        <f ca="1">IFERROR(__xludf.DUMMYFUNCTION("""COMPUTED_VALUE"""),"Iván Sánchez (Levante Y Albacete)")</f>
        <v>Iván Sánchez (Levante Y Albacete)</v>
      </c>
    </row>
    <row r="763" spans="2:16">
      <c r="B763" s="33">
        <f ca="1">IFERROR(__xludf.DUMMYFUNCTION("""COMPUTED_VALUE"""),2025)</f>
        <v>2025</v>
      </c>
      <c r="C763" s="33">
        <f ca="1">IFERROR(__xludf.DUMMYFUNCTION("""COMPUTED_VALUE"""),6)</f>
        <v>6</v>
      </c>
      <c r="D763" s="33" t="str">
        <f ca="1">IFERROR(__xludf.DUMMYFUNCTION("""COMPUTED_VALUE"""),"NO")</f>
        <v>NO</v>
      </c>
      <c r="E763" s="33" t="str">
        <f ca="1">IFERROR(__xludf.DUMMYFUNCTION("""COMPUTED_VALUE"""),"Alicante")</f>
        <v>Alicante</v>
      </c>
      <c r="F763" s="57">
        <f ca="1">IFERROR(__xludf.DUMMYFUNCTION("""COMPUTED_VALUE"""),45817)</f>
        <v>45817</v>
      </c>
      <c r="G763" s="57">
        <f ca="1">IFERROR(__xludf.DUMMYFUNCTION("""COMPUTED_VALUE"""),45785)</f>
        <v>45785</v>
      </c>
      <c r="H763" s="33" t="str">
        <f ca="1">IFERROR(__xludf.DUMMYFUNCTION("""COMPUTED_VALUE"""),"Alicante")</f>
        <v>Alicante</v>
      </c>
      <c r="I763" s="33" t="str">
        <f ca="1">IFERROR(__xludf.DUMMYFUNCTION("""COMPUTED_VALUE"""),"C2025591166835")</f>
        <v>C2025591166835</v>
      </c>
      <c r="J763" s="33" t="str">
        <f ca="1">IFERROR(__xludf.DUMMYFUNCTION("""COMPUTED_VALUE"""),"VICENTE VARO BUTRON")</f>
        <v>VICENTE VARO BUTRON</v>
      </c>
      <c r="K763" s="33">
        <f ca="1">IFERROR(__xludf.DUMMYFUNCTION("""COMPUTED_VALUE"""),2)</f>
        <v>2</v>
      </c>
      <c r="L763" s="203">
        <f ca="1">IFERROR(__xludf.DUMMYFUNCTION("""COMPUTED_VALUE"""),2888.18)</f>
        <v>2888.18</v>
      </c>
      <c r="M763" s="33" t="str">
        <f ca="1">IFERROR(__xludf.DUMMYFUNCTION("""COMPUTED_VALUE"""),"03 ORL")</f>
        <v>03 ORL</v>
      </c>
      <c r="N763" s="33" t="str">
        <f ca="1">IFERROR(__xludf.DUMMYFUNCTION("""COMPUTED_VALUE"""),"06 ORL")</f>
        <v>06 ORL</v>
      </c>
      <c r="O763" s="33" t="str">
        <f ca="1">IFERROR(__xludf.DUMMYFUNCTION("""COMPUTED_VALUE"""),"Dr, Francisco Pastor Beviá")</f>
        <v>Dr, Francisco Pastor Beviá</v>
      </c>
      <c r="P763" s="33" t="str">
        <f ca="1">IFERROR(__xludf.DUMMYFUNCTION("""COMPUTED_VALUE"""),"Iván Sánchez (Levante Y Albacete)")</f>
        <v>Iván Sánchez (Levante Y Albacete)</v>
      </c>
    </row>
    <row r="764" spans="2:16">
      <c r="B764" s="33">
        <f ca="1">IFERROR(__xludf.DUMMYFUNCTION("""COMPUTED_VALUE"""),2025)</f>
        <v>2025</v>
      </c>
      <c r="C764" s="33">
        <f ca="1">IFERROR(__xludf.DUMMYFUNCTION("""COMPUTED_VALUE"""),6)</f>
        <v>6</v>
      </c>
      <c r="D764" s="33" t="str">
        <f ca="1">IFERROR(__xludf.DUMMYFUNCTION("""COMPUTED_VALUE"""),"NO")</f>
        <v>NO</v>
      </c>
      <c r="E764" s="33" t="str">
        <f ca="1">IFERROR(__xludf.DUMMYFUNCTION("""COMPUTED_VALUE"""),"Almería")</f>
        <v>Almería</v>
      </c>
      <c r="F764" s="57">
        <f ca="1">IFERROR(__xludf.DUMMYFUNCTION("""COMPUTED_VALUE"""),45838)</f>
        <v>45838</v>
      </c>
      <c r="G764" s="57">
        <f ca="1">IFERROR(__xludf.DUMMYFUNCTION("""COMPUTED_VALUE"""),45820)</f>
        <v>45820</v>
      </c>
      <c r="H764" s="33" t="str">
        <f ca="1">IFERROR(__xludf.DUMMYFUNCTION("""COMPUTED_VALUE"""),"Almería")</f>
        <v>Almería</v>
      </c>
      <c r="I764" s="33" t="str">
        <f ca="1">IFERROR(__xludf.DUMMYFUNCTION("""COMPUTED_VALUE"""),"C2025620155324114")</f>
        <v>C2025620155324114</v>
      </c>
      <c r="J764" s="33" t="str">
        <f ca="1">IFERROR(__xludf.DUMMYFUNCTION("""COMPUTED_VALUE"""),"LAURA CRUZ FERNANDEZ")</f>
        <v>LAURA CRUZ FERNANDEZ</v>
      </c>
      <c r="K764" s="33">
        <f ca="1">IFERROR(__xludf.DUMMYFUNCTION("""COMPUTED_VALUE"""),2)</f>
        <v>2</v>
      </c>
      <c r="L764" s="203">
        <f ca="1">IFERROR(__xludf.DUMMYFUNCTION("""COMPUTED_VALUE"""),3604.55)</f>
        <v>3604.55</v>
      </c>
      <c r="M764" s="33" t="str">
        <f ca="1">IFERROR(__xludf.DUMMYFUNCTION("""COMPUTED_VALUE"""),"03 ORL")</f>
        <v>03 ORL</v>
      </c>
      <c r="N764" s="33" t="str">
        <f ca="1">IFERROR(__xludf.DUMMYFUNCTION("""COMPUTED_VALUE"""),"06 ORL")</f>
        <v>06 ORL</v>
      </c>
      <c r="O764" s="33" t="str">
        <f ca="1">IFERROR(__xludf.DUMMYFUNCTION("""COMPUTED_VALUE"""),"Dra, María José Gámiz Maroto")</f>
        <v>Dra, María José Gámiz Maroto</v>
      </c>
      <c r="P764" s="33" t="str">
        <f ca="1">IFERROR(__xludf.DUMMYFUNCTION("""COMPUTED_VALUE"""),"Ramon Ferrando(Valencia)")</f>
        <v>Ramon Ferrando(Valencia)</v>
      </c>
    </row>
    <row r="765" spans="2:16">
      <c r="B765" s="33">
        <f ca="1">IFERROR(__xludf.DUMMYFUNCTION("""COMPUTED_VALUE"""),2025)</f>
        <v>2025</v>
      </c>
      <c r="C765" s="33">
        <f ca="1">IFERROR(__xludf.DUMMYFUNCTION("""COMPUTED_VALUE"""),6)</f>
        <v>6</v>
      </c>
      <c r="D765" s="33" t="str">
        <f ca="1">IFERROR(__xludf.DUMMYFUNCTION("""COMPUTED_VALUE"""),"NO")</f>
        <v>NO</v>
      </c>
      <c r="E765" s="33" t="str">
        <f ca="1">IFERROR(__xludf.DUMMYFUNCTION("""COMPUTED_VALUE"""),"El Albir (Benidorm)")</f>
        <v>El Albir (Benidorm)</v>
      </c>
      <c r="F765" s="57">
        <f ca="1">IFERROR(__xludf.DUMMYFUNCTION("""COMPUTED_VALUE"""),45827)</f>
        <v>45827</v>
      </c>
      <c r="G765" s="57">
        <f ca="1">IFERROR(__xludf.DUMMYFUNCTION("""COMPUTED_VALUE"""),45721)</f>
        <v>45721</v>
      </c>
      <c r="H765" s="33" t="str">
        <f ca="1">IFERROR(__xludf.DUMMYFUNCTION("""COMPUTED_VALUE"""),"El Albir (Benidorm)")</f>
        <v>El Albir (Benidorm)</v>
      </c>
      <c r="I765" s="33" t="str">
        <f ca="1">IFERROR(__xludf.DUMMYFUNCTION("""COMPUTED_VALUE"""),"C202531311344735")</f>
        <v>C202531311344735</v>
      </c>
      <c r="J765" s="33" t="str">
        <f ca="1">IFERROR(__xludf.DUMMYFUNCTION("""COMPUTED_VALUE"""),"INMACULADA MARCOS MANTECA")</f>
        <v>INMACULADA MARCOS MANTECA</v>
      </c>
      <c r="K765" s="33">
        <f ca="1">IFERROR(__xludf.DUMMYFUNCTION("""COMPUTED_VALUE"""),1)</f>
        <v>1</v>
      </c>
      <c r="L765" s="203">
        <f ca="1">IFERROR(__xludf.DUMMYFUNCTION("""COMPUTED_VALUE"""),2640)</f>
        <v>2640</v>
      </c>
      <c r="M765" s="33" t="str">
        <f ca="1">IFERROR(__xludf.DUMMYFUNCTION("""COMPUTED_VALUE"""),"03 ORL")</f>
        <v>03 ORL</v>
      </c>
      <c r="N765" s="33" t="str">
        <f ca="1">IFERROR(__xludf.DUMMYFUNCTION("""COMPUTED_VALUE"""),"06 ORL")</f>
        <v>06 ORL</v>
      </c>
      <c r="O765" s="33" t="str">
        <f ca="1">IFERROR(__xludf.DUMMYFUNCTION("""COMPUTED_VALUE"""),"Dra, Isabel Polo Tomás")</f>
        <v>Dra, Isabel Polo Tomás</v>
      </c>
      <c r="P765" s="33" t="str">
        <f ca="1">IFERROR(__xludf.DUMMYFUNCTION("""COMPUTED_VALUE"""),"Ramon Ferrando(Valencia)")</f>
        <v>Ramon Ferrando(Valencia)</v>
      </c>
    </row>
    <row r="766" spans="2:16">
      <c r="B766" s="33">
        <f ca="1">IFERROR(__xludf.DUMMYFUNCTION("""COMPUTED_VALUE"""),2025)</f>
        <v>2025</v>
      </c>
      <c r="C766" s="33">
        <f ca="1">IFERROR(__xludf.DUMMYFUNCTION("""COMPUTED_VALUE"""),6)</f>
        <v>6</v>
      </c>
      <c r="D766" s="33" t="str">
        <f ca="1">IFERROR(__xludf.DUMMYFUNCTION("""COMPUTED_VALUE"""),"NO")</f>
        <v>NO</v>
      </c>
      <c r="E766" s="33" t="str">
        <f ca="1">IFERROR(__xludf.DUMMYFUNCTION("""COMPUTED_VALUE"""),"El Albir (Benidorm)")</f>
        <v>El Albir (Benidorm)</v>
      </c>
      <c r="F766" s="57">
        <f ca="1">IFERROR(__xludf.DUMMYFUNCTION("""COMPUTED_VALUE"""),45834)</f>
        <v>45834</v>
      </c>
      <c r="G766" s="57">
        <f ca="1">IFERROR(__xludf.DUMMYFUNCTION("""COMPUTED_VALUE"""),45798)</f>
        <v>45798</v>
      </c>
      <c r="H766" s="33" t="str">
        <f ca="1">IFERROR(__xludf.DUMMYFUNCTION("""COMPUTED_VALUE"""),"El Albir (Benidorm)")</f>
        <v>El Albir (Benidorm)</v>
      </c>
      <c r="I766" s="33" t="str">
        <f ca="1">IFERROR(__xludf.DUMMYFUNCTION("""COMPUTED_VALUE"""),"C202561116143616")</f>
        <v>C202561116143616</v>
      </c>
      <c r="J766" s="33" t="str">
        <f ca="1">IFERROR(__xludf.DUMMYFUNCTION("""COMPUTED_VALUE"""),"JOSE CINCUNEGUI ABASCAL")</f>
        <v>JOSE CINCUNEGUI ABASCAL</v>
      </c>
      <c r="K766" s="33">
        <f ca="1">IFERROR(__xludf.DUMMYFUNCTION("""COMPUTED_VALUE"""),2)</f>
        <v>2</v>
      </c>
      <c r="L766" s="203">
        <f ca="1">IFERROR(__xludf.DUMMYFUNCTION("""COMPUTED_VALUE"""),4000)</f>
        <v>4000</v>
      </c>
      <c r="M766" s="33" t="str">
        <f ca="1">IFERROR(__xludf.DUMMYFUNCTION("""COMPUTED_VALUE"""),"03 ORL")</f>
        <v>03 ORL</v>
      </c>
      <c r="N766" s="33" t="str">
        <f ca="1">IFERROR(__xludf.DUMMYFUNCTION("""COMPUTED_VALUE"""),"06 ORL")</f>
        <v>06 ORL</v>
      </c>
      <c r="O766" s="33" t="str">
        <f ca="1">IFERROR(__xludf.DUMMYFUNCTION("""COMPUTED_VALUE"""),"Dra, Salwa Laraqui Hossini")</f>
        <v>Dra, Salwa Laraqui Hossini</v>
      </c>
      <c r="P766" s="33" t="str">
        <f ca="1">IFERROR(__xludf.DUMMYFUNCTION("""COMPUTED_VALUE"""),"Iván Sánchez (Levante Y Albacete)")</f>
        <v>Iván Sánchez (Levante Y Albacete)</v>
      </c>
    </row>
    <row r="767" spans="2:16">
      <c r="B767" s="33">
        <f ca="1">IFERROR(__xludf.DUMMYFUNCTION("""COMPUTED_VALUE"""),2025)</f>
        <v>2025</v>
      </c>
      <c r="C767" s="33">
        <f ca="1">IFERROR(__xludf.DUMMYFUNCTION("""COMPUTED_VALUE"""),6)</f>
        <v>6</v>
      </c>
      <c r="D767" s="33" t="str">
        <f ca="1">IFERROR(__xludf.DUMMYFUNCTION("""COMPUTED_VALUE"""),"NO")</f>
        <v>NO</v>
      </c>
      <c r="E767" s="33" t="str">
        <f ca="1">IFERROR(__xludf.DUMMYFUNCTION("""COMPUTED_VALUE"""),"Fuenlabrada")</f>
        <v>Fuenlabrada</v>
      </c>
      <c r="F767" s="57">
        <f ca="1">IFERROR(__xludf.DUMMYFUNCTION("""COMPUTED_VALUE"""),45833)</f>
        <v>45833</v>
      </c>
      <c r="G767" s="57">
        <f ca="1">IFERROR(__xludf.DUMMYFUNCTION("""COMPUTED_VALUE"""),45768)</f>
        <v>45768</v>
      </c>
      <c r="H767" s="33" t="str">
        <f ca="1">IFERROR(__xludf.DUMMYFUNCTION("""COMPUTED_VALUE"""),"Fuenlabrada")</f>
        <v>Fuenlabrada</v>
      </c>
      <c r="I767" s="33" t="str">
        <f ca="1">IFERROR(__xludf.DUMMYFUNCTION("""COMPUTED_VALUE"""),"C2025424123654631")</f>
        <v>C2025424123654631</v>
      </c>
      <c r="J767" s="33" t="str">
        <f ca="1">IFERROR(__xludf.DUMMYFUNCTION("""COMPUTED_VALUE"""),"BEATRIZ FERNANDEZ MONTERO")</f>
        <v>BEATRIZ FERNANDEZ MONTERO</v>
      </c>
      <c r="K767" s="33">
        <f ca="1">IFERROR(__xludf.DUMMYFUNCTION("""COMPUTED_VALUE"""),2)</f>
        <v>2</v>
      </c>
      <c r="L767" s="203">
        <f ca="1">IFERROR(__xludf.DUMMYFUNCTION("""COMPUTED_VALUE"""),3681.82)</f>
        <v>3681.82</v>
      </c>
      <c r="M767" s="33" t="str">
        <f ca="1">IFERROR(__xludf.DUMMYFUNCTION("""COMPUTED_VALUE"""),"03 ORL")</f>
        <v>03 ORL</v>
      </c>
      <c r="N767" s="33" t="str">
        <f ca="1">IFERROR(__xludf.DUMMYFUNCTION("""COMPUTED_VALUE"""),"06 ORL")</f>
        <v>06 ORL</v>
      </c>
      <c r="O767" s="33" t="str">
        <f ca="1">IFERROR(__xludf.DUMMYFUNCTION("""COMPUTED_VALUE"""),"Dra, María Teresa Herrera Mera")</f>
        <v>Dra, María Teresa Herrera Mera</v>
      </c>
      <c r="P767" s="33" t="str">
        <f ca="1">IFERROR(__xludf.DUMMYFUNCTION("""COMPUTED_VALUE"""),"Maika Blázquez (Madrid)")</f>
        <v>Maika Blázquez (Madrid)</v>
      </c>
    </row>
    <row r="768" spans="2:16">
      <c r="B768" s="33">
        <f ca="1">IFERROR(__xludf.DUMMYFUNCTION("""COMPUTED_VALUE"""),2025)</f>
        <v>2025</v>
      </c>
      <c r="C768" s="33">
        <f ca="1">IFERROR(__xludf.DUMMYFUNCTION("""COMPUTED_VALUE"""),6)</f>
        <v>6</v>
      </c>
      <c r="D768" s="33" t="str">
        <f ca="1">IFERROR(__xludf.DUMMYFUNCTION("""COMPUTED_VALUE"""),"NO")</f>
        <v>NO</v>
      </c>
      <c r="E768" s="33" t="str">
        <f ca="1">IFERROR(__xludf.DUMMYFUNCTION("""COMPUTED_VALUE"""),"Fuenlabrada")</f>
        <v>Fuenlabrada</v>
      </c>
      <c r="F768" s="57">
        <f ca="1">IFERROR(__xludf.DUMMYFUNCTION("""COMPUTED_VALUE"""),45812)</f>
        <v>45812</v>
      </c>
      <c r="G768" s="57">
        <f ca="1">IFERROR(__xludf.DUMMYFUNCTION("""COMPUTED_VALUE"""),45105)</f>
        <v>45105</v>
      </c>
      <c r="H768" s="33" t="str">
        <f ca="1">IFERROR(__xludf.DUMMYFUNCTION("""COMPUTED_VALUE"""),"Fuenlabrada")</f>
        <v>Fuenlabrada</v>
      </c>
      <c r="I768" s="33" t="str">
        <f ca="1">IFERROR(__xludf.DUMMYFUNCTION("""COMPUTED_VALUE"""),"FNL-3171")</f>
        <v>FNL-3171</v>
      </c>
      <c r="J768" s="33" t="str">
        <f ca="1">IFERROR(__xludf.DUMMYFUNCTION("""COMPUTED_VALUE"""),"GILMA CARDONA ECHEVERRY")</f>
        <v>GILMA CARDONA ECHEVERRY</v>
      </c>
      <c r="K768" s="33">
        <f ca="1">IFERROR(__xludf.DUMMYFUNCTION("""COMPUTED_VALUE"""),2)</f>
        <v>2</v>
      </c>
      <c r="L768" s="203">
        <f ca="1">IFERROR(__xludf.DUMMYFUNCTION("""COMPUTED_VALUE"""),3710)</f>
        <v>3710</v>
      </c>
      <c r="M768" s="33" t="str">
        <f ca="1">IFERROR(__xludf.DUMMYFUNCTION("""COMPUTED_VALUE"""),"01 MARKETING ON LINE")</f>
        <v>01 MARKETING ON LINE</v>
      </c>
      <c r="N768" s="33" t="str">
        <f ca="1">IFERROR(__xludf.DUMMYFUNCTION("""COMPUTED_VALUE"""),"04 AUDIFONO,ES")</f>
        <v>04 AUDIFONO,ES</v>
      </c>
      <c r="O768" s="33" t="str">
        <f ca="1">IFERROR(__xludf.DUMMYFUNCTION("""COMPUTED_VALUE"""),"Dra, Victoria García Peces")</f>
        <v>Dra, Victoria García Peces</v>
      </c>
      <c r="P768" s="33" t="str">
        <f ca="1">IFERROR(__xludf.DUMMYFUNCTION("""COMPUTED_VALUE"""),"Maika Blázquez (Madrid)")</f>
        <v>Maika Blázquez (Madrid)</v>
      </c>
    </row>
    <row r="769" spans="2:16">
      <c r="B769" s="33">
        <f ca="1">IFERROR(__xludf.DUMMYFUNCTION("""COMPUTED_VALUE"""),2025)</f>
        <v>2025</v>
      </c>
      <c r="C769" s="33">
        <f ca="1">IFERROR(__xludf.DUMMYFUNCTION("""COMPUTED_VALUE"""),6)</f>
        <v>6</v>
      </c>
      <c r="D769" s="33" t="str">
        <f ca="1">IFERROR(__xludf.DUMMYFUNCTION("""COMPUTED_VALUE"""),"NO")</f>
        <v>NO</v>
      </c>
      <c r="E769" s="33" t="str">
        <f ca="1">IFERROR(__xludf.DUMMYFUNCTION("""COMPUTED_VALUE"""),"Fuenlabrada")</f>
        <v>Fuenlabrada</v>
      </c>
      <c r="F769" s="57">
        <f ca="1">IFERROR(__xludf.DUMMYFUNCTION("""COMPUTED_VALUE"""),45818)</f>
        <v>45818</v>
      </c>
      <c r="G769" s="57">
        <f ca="1">IFERROR(__xludf.DUMMYFUNCTION("""COMPUTED_VALUE"""),45785)</f>
        <v>45785</v>
      </c>
      <c r="H769" s="33" t="str">
        <f ca="1">IFERROR(__xludf.DUMMYFUNCTION("""COMPUTED_VALUE"""),"Fuenlabrada")</f>
        <v>Fuenlabrada</v>
      </c>
      <c r="I769" s="33" t="str">
        <f ca="1">IFERROR(__xludf.DUMMYFUNCTION("""COMPUTED_VALUE"""),"C2025514175459441")</f>
        <v>C2025514175459441</v>
      </c>
      <c r="J769" s="33" t="str">
        <f ca="1">IFERROR(__xludf.DUMMYFUNCTION("""COMPUTED_VALUE"""),"HERMINIA TEJERO OVEJERO")</f>
        <v>HERMINIA TEJERO OVEJERO</v>
      </c>
      <c r="K769" s="33">
        <f ca="1">IFERROR(__xludf.DUMMYFUNCTION("""COMPUTED_VALUE"""),2)</f>
        <v>2</v>
      </c>
      <c r="L769" s="203">
        <f ca="1">IFERROR(__xludf.DUMMYFUNCTION("""COMPUTED_VALUE"""),4000)</f>
        <v>4000</v>
      </c>
      <c r="M769" s="33" t="str">
        <f ca="1">IFERROR(__xludf.DUMMYFUNCTION("""COMPUTED_VALUE"""),"03 ORL")</f>
        <v>03 ORL</v>
      </c>
      <c r="N769" s="33" t="str">
        <f ca="1">IFERROR(__xludf.DUMMYFUNCTION("""COMPUTED_VALUE"""),"06 ORL")</f>
        <v>06 ORL</v>
      </c>
      <c r="O769" s="33" t="str">
        <f ca="1">IFERROR(__xludf.DUMMYFUNCTION("""COMPUTED_VALUE"""),"Dra, Elisabeth Amarillo Espitia")</f>
        <v>Dra, Elisabeth Amarillo Espitia</v>
      </c>
      <c r="P769" s="33" t="str">
        <f ca="1">IFERROR(__xludf.DUMMYFUNCTION("""COMPUTED_VALUE"""),"Maika Blázquez (Madrid)")</f>
        <v>Maika Blázquez (Madrid)</v>
      </c>
    </row>
    <row r="770" spans="2:16">
      <c r="B770" s="33">
        <f ca="1">IFERROR(__xludf.DUMMYFUNCTION("""COMPUTED_VALUE"""),2025)</f>
        <v>2025</v>
      </c>
      <c r="C770" s="33">
        <f ca="1">IFERROR(__xludf.DUMMYFUNCTION("""COMPUTED_VALUE"""),6)</f>
        <v>6</v>
      </c>
      <c r="D770" s="33" t="str">
        <f ca="1">IFERROR(__xludf.DUMMYFUNCTION("""COMPUTED_VALUE"""),"NO")</f>
        <v>NO</v>
      </c>
      <c r="E770" s="33" t="str">
        <f ca="1">IFERROR(__xludf.DUMMYFUNCTION("""COMPUTED_VALUE"""),"Fuenlabrada")</f>
        <v>Fuenlabrada</v>
      </c>
      <c r="F770" s="57">
        <f ca="1">IFERROR(__xludf.DUMMYFUNCTION("""COMPUTED_VALUE"""),45835)</f>
        <v>45835</v>
      </c>
      <c r="G770" s="57">
        <f ca="1">IFERROR(__xludf.DUMMYFUNCTION("""COMPUTED_VALUE"""),45824)</f>
        <v>45824</v>
      </c>
      <c r="H770" s="33" t="str">
        <f ca="1">IFERROR(__xludf.DUMMYFUNCTION("""COMPUTED_VALUE"""),"Fuenlabrada")</f>
        <v>Fuenlabrada</v>
      </c>
      <c r="I770" s="33" t="str">
        <f ca="1">IFERROR(__xludf.DUMMYFUNCTION("""COMPUTED_VALUE"""),"C202561711218402")</f>
        <v>C202561711218402</v>
      </c>
      <c r="J770" s="33" t="str">
        <f ca="1">IFERROR(__xludf.DUMMYFUNCTION("""COMPUTED_VALUE"""),"LUIS AUNION CARRETEROS")</f>
        <v>LUIS AUNION CARRETEROS</v>
      </c>
      <c r="K770" s="33">
        <f ca="1">IFERROR(__xludf.DUMMYFUNCTION("""COMPUTED_VALUE"""),2)</f>
        <v>2</v>
      </c>
      <c r="L770" s="203">
        <f ca="1">IFERROR(__xludf.DUMMYFUNCTION("""COMPUTED_VALUE"""),3710)</f>
        <v>3710</v>
      </c>
      <c r="M770" s="33" t="str">
        <f ca="1">IFERROR(__xludf.DUMMYFUNCTION("""COMPUTED_VALUE"""),"03 ORL")</f>
        <v>03 ORL</v>
      </c>
      <c r="N770" s="33" t="str">
        <f ca="1">IFERROR(__xludf.DUMMYFUNCTION("""COMPUTED_VALUE"""),"06 ORL")</f>
        <v>06 ORL</v>
      </c>
      <c r="O770" s="33" t="str">
        <f ca="1">IFERROR(__xludf.DUMMYFUNCTION("""COMPUTED_VALUE"""),"Dra, Estefania Miranda Sánchez")</f>
        <v>Dra, Estefania Miranda Sánchez</v>
      </c>
      <c r="P770" s="33" t="str">
        <f ca="1">IFERROR(__xludf.DUMMYFUNCTION("""COMPUTED_VALUE"""),"Maika Blázquez (Madrid)")</f>
        <v>Maika Blázquez (Madrid)</v>
      </c>
    </row>
    <row r="771" spans="2:16">
      <c r="B771" s="33">
        <f ca="1">IFERROR(__xludf.DUMMYFUNCTION("""COMPUTED_VALUE"""),2025)</f>
        <v>2025</v>
      </c>
      <c r="C771" s="33">
        <f ca="1">IFERROR(__xludf.DUMMYFUNCTION("""COMPUTED_VALUE"""),6)</f>
        <v>6</v>
      </c>
      <c r="D771" s="33" t="str">
        <f ca="1">IFERROR(__xludf.DUMMYFUNCTION("""COMPUTED_VALUE"""),"NO")</f>
        <v>NO</v>
      </c>
      <c r="E771" s="33" t="str">
        <f ca="1">IFERROR(__xludf.DUMMYFUNCTION("""COMPUTED_VALUE"""),"Fuenlabrada")</f>
        <v>Fuenlabrada</v>
      </c>
      <c r="F771" s="57">
        <f ca="1">IFERROR(__xludf.DUMMYFUNCTION("""COMPUTED_VALUE"""),45825)</f>
        <v>45825</v>
      </c>
      <c r="G771" s="57">
        <f ca="1">IFERROR(__xludf.DUMMYFUNCTION("""COMPUTED_VALUE"""),45783)</f>
        <v>45783</v>
      </c>
      <c r="H771" s="33" t="str">
        <f ca="1">IFERROR(__xludf.DUMMYFUNCTION("""COMPUTED_VALUE"""),"Fuenlabrada")</f>
        <v>Fuenlabrada</v>
      </c>
      <c r="I771" s="33" t="str">
        <f ca="1">IFERROR(__xludf.DUMMYFUNCTION("""COMPUTED_VALUE"""),"C202552612136360")</f>
        <v>C202552612136360</v>
      </c>
      <c r="J771" s="33" t="str">
        <f ca="1">IFERROR(__xludf.DUMMYFUNCTION("""COMPUTED_VALUE"""),"MERCEDES  JIMENEZ FUENTES")</f>
        <v>MERCEDES  JIMENEZ FUENTES</v>
      </c>
      <c r="K771" s="33">
        <f ca="1">IFERROR(__xludf.DUMMYFUNCTION("""COMPUTED_VALUE"""),1)</f>
        <v>1</v>
      </c>
      <c r="L771" s="203">
        <f ca="1">IFERROR(__xludf.DUMMYFUNCTION("""COMPUTED_VALUE"""),1646.36)</f>
        <v>1646.36</v>
      </c>
      <c r="M771" s="33" t="str">
        <f ca="1">IFERROR(__xludf.DUMMYFUNCTION("""COMPUTED_VALUE"""),"03 ORL")</f>
        <v>03 ORL</v>
      </c>
      <c r="N771" s="33" t="str">
        <f ca="1">IFERROR(__xludf.DUMMYFUNCTION("""COMPUTED_VALUE"""),"06 ORL")</f>
        <v>06 ORL</v>
      </c>
      <c r="O771" s="1" t="str">
        <f ca="1">IFERROR(__xludf.DUMMYFUNCTION("""COMPUTED_VALUE"""),"Dra, María Gabriela Bosco Morales")</f>
        <v>Dra, María Gabriela Bosco Morales</v>
      </c>
      <c r="P771" s="33" t="str">
        <f ca="1">IFERROR(__xludf.DUMMYFUNCTION("""COMPUTED_VALUE"""),"Maika Blázquez (Madrid)")</f>
        <v>Maika Blázquez (Madrid)</v>
      </c>
    </row>
    <row r="772" spans="2:16">
      <c r="B772" s="33">
        <f ca="1">IFERROR(__xludf.DUMMYFUNCTION("""COMPUTED_VALUE"""),2025)</f>
        <v>2025</v>
      </c>
      <c r="C772" s="33">
        <f ca="1">IFERROR(__xludf.DUMMYFUNCTION("""COMPUTED_VALUE"""),6)</f>
        <v>6</v>
      </c>
      <c r="D772" s="33" t="str">
        <f ca="1">IFERROR(__xludf.DUMMYFUNCTION("""COMPUTED_VALUE"""),"NO")</f>
        <v>NO</v>
      </c>
      <c r="E772" s="33" t="str">
        <f ca="1">IFERROR(__xludf.DUMMYFUNCTION("""COMPUTED_VALUE"""),"Fuenlabrada")</f>
        <v>Fuenlabrada</v>
      </c>
      <c r="F772" s="57">
        <f ca="1">IFERROR(__xludf.DUMMYFUNCTION("""COMPUTED_VALUE"""),45810)</f>
        <v>45810</v>
      </c>
      <c r="G772" s="57">
        <f ca="1">IFERROR(__xludf.DUMMYFUNCTION("""COMPUTED_VALUE"""),45729)</f>
        <v>45729</v>
      </c>
      <c r="H772" s="33" t="str">
        <f ca="1">IFERROR(__xludf.DUMMYFUNCTION("""COMPUTED_VALUE"""),"Fuenlabrada")</f>
        <v>Fuenlabrada</v>
      </c>
      <c r="I772" s="33" t="str">
        <f ca="1">IFERROR(__xludf.DUMMYFUNCTION("""COMPUTED_VALUE"""),"C202531310656790")</f>
        <v>C202531310656790</v>
      </c>
      <c r="J772" s="33" t="str">
        <f ca="1">IFERROR(__xludf.DUMMYFUNCTION("""COMPUTED_VALUE"""),"TEODORA GARCIA GARCIA")</f>
        <v>TEODORA GARCIA GARCIA</v>
      </c>
      <c r="K772" s="33">
        <f ca="1">IFERROR(__xludf.DUMMYFUNCTION("""COMPUTED_VALUE"""),2)</f>
        <v>2</v>
      </c>
      <c r="L772" s="203">
        <f ca="1">IFERROR(__xludf.DUMMYFUNCTION("""COMPUTED_VALUE"""),3524.5)</f>
        <v>3524.5</v>
      </c>
      <c r="M772" s="33" t="str">
        <f ca="1">IFERROR(__xludf.DUMMYFUNCTION("""COMPUTED_VALUE"""),"03 ORL")</f>
        <v>03 ORL</v>
      </c>
      <c r="N772" s="33" t="str">
        <f ca="1">IFERROR(__xludf.DUMMYFUNCTION("""COMPUTED_VALUE"""),"06 ORL")</f>
        <v>06 ORL</v>
      </c>
      <c r="O772" s="33" t="str">
        <f ca="1">IFERROR(__xludf.DUMMYFUNCTION("""COMPUTED_VALUE"""),"Dra, Victoria García Peces")</f>
        <v>Dra, Victoria García Peces</v>
      </c>
      <c r="P772" s="33" t="str">
        <f ca="1">IFERROR(__xludf.DUMMYFUNCTION("""COMPUTED_VALUE"""),"Maika Blázquez (Madrid)")</f>
        <v>Maika Blázquez (Madrid)</v>
      </c>
    </row>
    <row r="773" spans="2:16">
      <c r="B773" s="33">
        <f ca="1">IFERROR(__xludf.DUMMYFUNCTION("""COMPUTED_VALUE"""),2025)</f>
        <v>2025</v>
      </c>
      <c r="C773" s="33">
        <f ca="1">IFERROR(__xludf.DUMMYFUNCTION("""COMPUTED_VALUE"""),6)</f>
        <v>6</v>
      </c>
      <c r="D773" s="33" t="str">
        <f ca="1">IFERROR(__xludf.DUMMYFUNCTION("""COMPUTED_VALUE"""),"NO")</f>
        <v>NO</v>
      </c>
      <c r="E773" s="33" t="str">
        <f ca="1">IFERROR(__xludf.DUMMYFUNCTION("""COMPUTED_VALUE"""),"Fuenlabrada")</f>
        <v>Fuenlabrada</v>
      </c>
      <c r="F773" s="57">
        <f ca="1">IFERROR(__xludf.DUMMYFUNCTION("""COMPUTED_VALUE"""),45827)</f>
        <v>45827</v>
      </c>
      <c r="G773" s="57">
        <f ca="1">IFERROR(__xludf.DUMMYFUNCTION("""COMPUTED_VALUE"""),45775)</f>
        <v>45775</v>
      </c>
      <c r="H773" s="33" t="str">
        <f ca="1">IFERROR(__xludf.DUMMYFUNCTION("""COMPUTED_VALUE"""),"Fuenlabrada")</f>
        <v>Fuenlabrada</v>
      </c>
      <c r="I773" s="33" t="str">
        <f ca="1">IFERROR(__xludf.DUMMYFUNCTION("""COMPUTED_VALUE"""),"C20255612220296")</f>
        <v>C20255612220296</v>
      </c>
      <c r="J773" s="33" t="str">
        <f ca="1">IFERROR(__xludf.DUMMYFUNCTION("""COMPUTED_VALUE"""),"TERESA RUIZ SANTOS")</f>
        <v>TERESA RUIZ SANTOS</v>
      </c>
      <c r="K773" s="33">
        <f ca="1">IFERROR(__xludf.DUMMYFUNCTION("""COMPUTED_VALUE"""),1)</f>
        <v>1</v>
      </c>
      <c r="L773" s="203">
        <f ca="1">IFERROR(__xludf.DUMMYFUNCTION("""COMPUTED_VALUE"""),2216.36)</f>
        <v>2216.36</v>
      </c>
      <c r="M773" s="33" t="str">
        <f ca="1">IFERROR(__xludf.DUMMYFUNCTION("""COMPUTED_VALUE"""),"03 ORL")</f>
        <v>03 ORL</v>
      </c>
      <c r="N773" s="33" t="str">
        <f ca="1">IFERROR(__xludf.DUMMYFUNCTION("""COMPUTED_VALUE"""),"06 ORL")</f>
        <v>06 ORL</v>
      </c>
      <c r="O773" s="33" t="str">
        <f ca="1">IFERROR(__xludf.DUMMYFUNCTION("""COMPUTED_VALUE"""),"Dra, Ithzel Maria Villarreal Patiño")</f>
        <v>Dra, Ithzel Maria Villarreal Patiño</v>
      </c>
      <c r="P773" s="33" t="str">
        <f ca="1">IFERROR(__xludf.DUMMYFUNCTION("""COMPUTED_VALUE"""),"Maika Blázquez (Madrid)")</f>
        <v>Maika Blázquez (Madrid)</v>
      </c>
    </row>
    <row r="774" spans="2:16">
      <c r="B774" s="33">
        <f ca="1">IFERROR(__xludf.DUMMYFUNCTION("""COMPUTED_VALUE"""),2025)</f>
        <v>2025</v>
      </c>
      <c r="C774" s="33">
        <f ca="1">IFERROR(__xludf.DUMMYFUNCTION("""COMPUTED_VALUE"""),6)</f>
        <v>6</v>
      </c>
      <c r="D774" s="33" t="str">
        <f ca="1">IFERROR(__xludf.DUMMYFUNCTION("""COMPUTED_VALUE"""),"NO")</f>
        <v>NO</v>
      </c>
      <c r="E774" s="33" t="str">
        <f ca="1">IFERROR(__xludf.DUMMYFUNCTION("""COMPUTED_VALUE"""),"Getafe")</f>
        <v>Getafe</v>
      </c>
      <c r="F774" s="57">
        <f ca="1">IFERROR(__xludf.DUMMYFUNCTION("""COMPUTED_VALUE"""),45831)</f>
        <v>45831</v>
      </c>
      <c r="G774" s="57">
        <f ca="1">IFERROR(__xludf.DUMMYFUNCTION("""COMPUTED_VALUE"""),45799)</f>
        <v>45799</v>
      </c>
      <c r="H774" s="33" t="str">
        <f ca="1">IFERROR(__xludf.DUMMYFUNCTION("""COMPUTED_VALUE"""),"Getafe")</f>
        <v>Getafe</v>
      </c>
      <c r="I774" s="33" t="str">
        <f ca="1">IFERROR(__xludf.DUMMYFUNCTION("""COMPUTED_VALUE"""),"C202552218131945")</f>
        <v>C202552218131945</v>
      </c>
      <c r="J774" s="33" t="str">
        <f ca="1">IFERROR(__xludf.DUMMYFUNCTION("""COMPUTED_VALUE"""),"ALICIA RODRIGUEZ MARTIN")</f>
        <v>ALICIA RODRIGUEZ MARTIN</v>
      </c>
      <c r="K774" s="33">
        <f ca="1">IFERROR(__xludf.DUMMYFUNCTION("""COMPUTED_VALUE"""),2)</f>
        <v>2</v>
      </c>
      <c r="L774" s="203">
        <f ca="1">IFERROR(__xludf.DUMMYFUNCTION("""COMPUTED_VALUE"""),3710)</f>
        <v>3710</v>
      </c>
      <c r="M774" s="33" t="str">
        <f ca="1">IFERROR(__xludf.DUMMYFUNCTION("""COMPUTED_VALUE"""),"03 ORL")</f>
        <v>03 ORL</v>
      </c>
      <c r="N774" s="33" t="str">
        <f ca="1">IFERROR(__xludf.DUMMYFUNCTION("""COMPUTED_VALUE"""),"06 ORL")</f>
        <v>06 ORL</v>
      </c>
      <c r="O774" s="33" t="str">
        <f ca="1">IFERROR(__xludf.DUMMYFUNCTION("""COMPUTED_VALUE"""),"Dr, Antonio Rodríguez Rivero")</f>
        <v>Dr, Antonio Rodríguez Rivero</v>
      </c>
      <c r="P774" s="33" t="str">
        <f ca="1">IFERROR(__xludf.DUMMYFUNCTION("""COMPUTED_VALUE"""),"Maika Blázquez (Madrid)")</f>
        <v>Maika Blázquez (Madrid)</v>
      </c>
    </row>
    <row r="775" spans="2:16">
      <c r="B775" s="33">
        <f ca="1">IFERROR(__xludf.DUMMYFUNCTION("""COMPUTED_VALUE"""),2025)</f>
        <v>2025</v>
      </c>
      <c r="C775" s="33">
        <f ca="1">IFERROR(__xludf.DUMMYFUNCTION("""COMPUTED_VALUE"""),6)</f>
        <v>6</v>
      </c>
      <c r="D775" s="33" t="str">
        <f ca="1">IFERROR(__xludf.DUMMYFUNCTION("""COMPUTED_VALUE"""),"NO")</f>
        <v>NO</v>
      </c>
      <c r="E775" s="33" t="str">
        <f ca="1">IFERROR(__xludf.DUMMYFUNCTION("""COMPUTED_VALUE"""),"Getafe")</f>
        <v>Getafe</v>
      </c>
      <c r="F775" s="57">
        <f ca="1">IFERROR(__xludf.DUMMYFUNCTION("""COMPUTED_VALUE"""),45820)</f>
        <v>45820</v>
      </c>
      <c r="G775" s="57">
        <f ca="1">IFERROR(__xludf.DUMMYFUNCTION("""COMPUTED_VALUE"""),45793)</f>
        <v>45793</v>
      </c>
      <c r="H775" s="33" t="str">
        <f ca="1">IFERROR(__xludf.DUMMYFUNCTION("""COMPUTED_VALUE"""),"Getafe")</f>
        <v>Getafe</v>
      </c>
      <c r="I775" s="33" t="str">
        <f ca="1">IFERROR(__xludf.DUMMYFUNCTION("""COMPUTED_VALUE"""),"C2025520161112726")</f>
        <v>C2025520161112726</v>
      </c>
      <c r="J775" s="33" t="str">
        <f ca="1">IFERROR(__xludf.DUMMYFUNCTION("""COMPUTED_VALUE"""),"ANTONIO GUTIERREZ FERNANDEZ")</f>
        <v>ANTONIO GUTIERREZ FERNANDEZ</v>
      </c>
      <c r="K775" s="33">
        <f ca="1">IFERROR(__xludf.DUMMYFUNCTION("""COMPUTED_VALUE"""),2)</f>
        <v>2</v>
      </c>
      <c r="L775" s="203">
        <f ca="1">IFERROR(__xludf.DUMMYFUNCTION("""COMPUTED_VALUE"""),3800)</f>
        <v>3800</v>
      </c>
      <c r="M775" s="33" t="str">
        <f ca="1">IFERROR(__xludf.DUMMYFUNCTION("""COMPUTED_VALUE"""),"03 ORL")</f>
        <v>03 ORL</v>
      </c>
      <c r="N775" s="33" t="str">
        <f ca="1">IFERROR(__xludf.DUMMYFUNCTION("""COMPUTED_VALUE"""),"06 ORL")</f>
        <v>06 ORL</v>
      </c>
      <c r="O775" s="33" t="str">
        <f ca="1">IFERROR(__xludf.DUMMYFUNCTION("""COMPUTED_VALUE"""),"Dr, Jonathan Esteban Sánchez")</f>
        <v>Dr, Jonathan Esteban Sánchez</v>
      </c>
      <c r="P775" s="33" t="str">
        <f ca="1">IFERROR(__xludf.DUMMYFUNCTION("""COMPUTED_VALUE"""),"Maika Blázquez (Madrid)")</f>
        <v>Maika Blázquez (Madrid)</v>
      </c>
    </row>
    <row r="776" spans="2:16">
      <c r="B776" s="33">
        <f ca="1">IFERROR(__xludf.DUMMYFUNCTION("""COMPUTED_VALUE"""),2025)</f>
        <v>2025</v>
      </c>
      <c r="C776" s="33">
        <f ca="1">IFERROR(__xludf.DUMMYFUNCTION("""COMPUTED_VALUE"""),6)</f>
        <v>6</v>
      </c>
      <c r="D776" s="33" t="str">
        <f ca="1">IFERROR(__xludf.DUMMYFUNCTION("""COMPUTED_VALUE"""),"NO")</f>
        <v>NO</v>
      </c>
      <c r="E776" s="33" t="str">
        <f ca="1">IFERROR(__xludf.DUMMYFUNCTION("""COMPUTED_VALUE"""),"Getafe")</f>
        <v>Getafe</v>
      </c>
      <c r="F776" s="57">
        <f ca="1">IFERROR(__xludf.DUMMYFUNCTION("""COMPUTED_VALUE"""),45826)</f>
        <v>45826</v>
      </c>
      <c r="G776" s="57">
        <f ca="1">IFERROR(__xludf.DUMMYFUNCTION("""COMPUTED_VALUE"""),45769)</f>
        <v>45769</v>
      </c>
      <c r="H776" s="33" t="str">
        <f ca="1">IFERROR(__xludf.DUMMYFUNCTION("""COMPUTED_VALUE"""),"Getafe")</f>
        <v>Getafe</v>
      </c>
      <c r="I776" s="33" t="str">
        <f ca="1">IFERROR(__xludf.DUMMYFUNCTION("""COMPUTED_VALUE"""),"C202558165756957")</f>
        <v>C202558165756957</v>
      </c>
      <c r="J776" s="33" t="str">
        <f ca="1">IFERROR(__xludf.DUMMYFUNCTION("""COMPUTED_VALUE"""),"JOSE MARIA REDONDO GARCIA")</f>
        <v>JOSE MARIA REDONDO GARCIA</v>
      </c>
      <c r="K776" s="33">
        <f ca="1">IFERROR(__xludf.DUMMYFUNCTION("""COMPUTED_VALUE"""),1)</f>
        <v>1</v>
      </c>
      <c r="L776" s="203">
        <f ca="1">IFERROR(__xludf.DUMMYFUNCTION("""COMPUTED_VALUE"""),2226.36)</f>
        <v>2226.36</v>
      </c>
      <c r="M776" s="33" t="str">
        <f ca="1">IFERROR(__xludf.DUMMYFUNCTION("""COMPUTED_VALUE"""),"03 ORL")</f>
        <v>03 ORL</v>
      </c>
      <c r="N776" s="33" t="str">
        <f ca="1">IFERROR(__xludf.DUMMYFUNCTION("""COMPUTED_VALUE"""),"06 ORL")</f>
        <v>06 ORL</v>
      </c>
      <c r="O776" s="33" t="str">
        <f ca="1">IFERROR(__xludf.DUMMYFUNCTION("""COMPUTED_VALUE"""),"Dra, Cristina Vaduva")</f>
        <v>Dra, Cristina Vaduva</v>
      </c>
      <c r="P776" s="33" t="str">
        <f ca="1">IFERROR(__xludf.DUMMYFUNCTION("""COMPUTED_VALUE"""),"Maika Blázquez (Madrid)")</f>
        <v>Maika Blázquez (Madrid)</v>
      </c>
    </row>
    <row r="777" spans="2:16">
      <c r="B777" s="33">
        <f ca="1">IFERROR(__xludf.DUMMYFUNCTION("""COMPUTED_VALUE"""),2025)</f>
        <v>2025</v>
      </c>
      <c r="C777" s="33">
        <f ca="1">IFERROR(__xludf.DUMMYFUNCTION("""COMPUTED_VALUE"""),6)</f>
        <v>6</v>
      </c>
      <c r="D777" s="33" t="str">
        <f ca="1">IFERROR(__xludf.DUMMYFUNCTION("""COMPUTED_VALUE"""),"NO")</f>
        <v>NO</v>
      </c>
      <c r="E777" s="33" t="str">
        <f ca="1">IFERROR(__xludf.DUMMYFUNCTION("""COMPUTED_VALUE"""),"Getafe")</f>
        <v>Getafe</v>
      </c>
      <c r="F777" s="57">
        <f ca="1">IFERROR(__xludf.DUMMYFUNCTION("""COMPUTED_VALUE"""),45821)</f>
        <v>45821</v>
      </c>
      <c r="G777" s="57">
        <f ca="1">IFERROR(__xludf.DUMMYFUNCTION("""COMPUTED_VALUE"""),45796)</f>
        <v>45796</v>
      </c>
      <c r="H777" s="33" t="str">
        <f ca="1">IFERROR(__xludf.DUMMYFUNCTION("""COMPUTED_VALUE"""),"Getafe")</f>
        <v>Getafe</v>
      </c>
      <c r="I777" s="33" t="str">
        <f ca="1">IFERROR(__xludf.DUMMYFUNCTION("""COMPUTED_VALUE"""),"C2025520124410221")</f>
        <v>C2025520124410221</v>
      </c>
      <c r="J777" s="33" t="str">
        <f ca="1">IFERROR(__xludf.DUMMYFUNCTION("""COMPUTED_VALUE"""),"MARIA JOSE LOPEZ MONZON")</f>
        <v>MARIA JOSE LOPEZ MONZON</v>
      </c>
      <c r="K777" s="33">
        <f ca="1">IFERROR(__xludf.DUMMYFUNCTION("""COMPUTED_VALUE"""),1)</f>
        <v>1</v>
      </c>
      <c r="L777" s="203">
        <f ca="1">IFERROR(__xludf.DUMMYFUNCTION("""COMPUTED_VALUE"""),2400)</f>
        <v>2400</v>
      </c>
      <c r="M777" s="33" t="str">
        <f ca="1">IFERROR(__xludf.DUMMYFUNCTION("""COMPUTED_VALUE"""),"03 ORL")</f>
        <v>03 ORL</v>
      </c>
      <c r="N777" s="33" t="str">
        <f ca="1">IFERROR(__xludf.DUMMYFUNCTION("""COMPUTED_VALUE"""),"06 ORL")</f>
        <v>06 ORL</v>
      </c>
      <c r="O777" s="33" t="str">
        <f ca="1">IFERROR(__xludf.DUMMYFUNCTION("""COMPUTED_VALUE"""),"Dr, Jonathan Esteban Sánchez")</f>
        <v>Dr, Jonathan Esteban Sánchez</v>
      </c>
      <c r="P777" s="33" t="str">
        <f ca="1">IFERROR(__xludf.DUMMYFUNCTION("""COMPUTED_VALUE"""),"Maika Blázquez (Madrid)")</f>
        <v>Maika Blázquez (Madrid)</v>
      </c>
    </row>
    <row r="778" spans="2:16">
      <c r="B778" s="33">
        <f ca="1">IFERROR(__xludf.DUMMYFUNCTION("""COMPUTED_VALUE"""),2025)</f>
        <v>2025</v>
      </c>
      <c r="C778" s="33">
        <f ca="1">IFERROR(__xludf.DUMMYFUNCTION("""COMPUTED_VALUE"""),6)</f>
        <v>6</v>
      </c>
      <c r="D778" s="33" t="str">
        <f ca="1">IFERROR(__xludf.DUMMYFUNCTION("""COMPUTED_VALUE"""),"NO")</f>
        <v>NO</v>
      </c>
      <c r="E778" s="33" t="str">
        <f ca="1">IFERROR(__xludf.DUMMYFUNCTION("""COMPUTED_VALUE"""),"Hospitalet de Llobregat")</f>
        <v>Hospitalet de Llobregat</v>
      </c>
      <c r="F778" s="57">
        <f ca="1">IFERROR(__xludf.DUMMYFUNCTION("""COMPUTED_VALUE"""),45838)</f>
        <v>45838</v>
      </c>
      <c r="G778" s="57">
        <f ca="1">IFERROR(__xludf.DUMMYFUNCTION("""COMPUTED_VALUE"""),45776)</f>
        <v>45776</v>
      </c>
      <c r="H778" s="33" t="str">
        <f ca="1">IFERROR(__xludf.DUMMYFUNCTION("""COMPUTED_VALUE"""),"Hospitalet")</f>
        <v>Hospitalet</v>
      </c>
      <c r="I778" s="33" t="str">
        <f ca="1">IFERROR(__xludf.DUMMYFUNCTION("""COMPUTED_VALUE"""),"C2025513171231847")</f>
        <v>C2025513171231847</v>
      </c>
      <c r="J778" s="33" t="str">
        <f ca="1">IFERROR(__xludf.DUMMYFUNCTION("""COMPUTED_VALUE"""),"Joan Masana Argeric")</f>
        <v>Joan Masana Argeric</v>
      </c>
      <c r="K778" s="33">
        <f ca="1">IFERROR(__xludf.DUMMYFUNCTION("""COMPUTED_VALUE"""),2)</f>
        <v>2</v>
      </c>
      <c r="L778" s="203">
        <f ca="1">IFERROR(__xludf.DUMMYFUNCTION("""COMPUTED_VALUE"""),2888.18)</f>
        <v>2888.18</v>
      </c>
      <c r="M778" s="33" t="str">
        <f ca="1">IFERROR(__xludf.DUMMYFUNCTION("""COMPUTED_VALUE"""),"03 ORL")</f>
        <v>03 ORL</v>
      </c>
      <c r="N778" s="33" t="str">
        <f ca="1">IFERROR(__xludf.DUMMYFUNCTION("""COMPUTED_VALUE"""),"06 ORL")</f>
        <v>06 ORL</v>
      </c>
      <c r="O778" s="33" t="str">
        <f ca="1">IFERROR(__xludf.DUMMYFUNCTION("""COMPUTED_VALUE"""),"Dra, Miriam Hamdham")</f>
        <v>Dra, Miriam Hamdham</v>
      </c>
      <c r="P778" s="33" t="str">
        <f ca="1">IFERROR(__xludf.DUMMYFUNCTION("""COMPUTED_VALUE"""),"Mercè Cabrera (Cataluña Y Baleares)")</f>
        <v>Mercè Cabrera (Cataluña Y Baleares)</v>
      </c>
    </row>
    <row r="779" spans="2:16">
      <c r="B779" s="33">
        <f ca="1">IFERROR(__xludf.DUMMYFUNCTION("""COMPUTED_VALUE"""),2025)</f>
        <v>2025</v>
      </c>
      <c r="C779" s="33">
        <f ca="1">IFERROR(__xludf.DUMMYFUNCTION("""COMPUTED_VALUE"""),6)</f>
        <v>6</v>
      </c>
      <c r="D779" s="33" t="str">
        <f ca="1">IFERROR(__xludf.DUMMYFUNCTION("""COMPUTED_VALUE"""),"NO")</f>
        <v>NO</v>
      </c>
      <c r="E779" s="33" t="str">
        <f ca="1">IFERROR(__xludf.DUMMYFUNCTION("""COMPUTED_VALUE"""),"Hospitalet de Llobregat")</f>
        <v>Hospitalet de Llobregat</v>
      </c>
      <c r="F779" s="57">
        <f ca="1">IFERROR(__xludf.DUMMYFUNCTION("""COMPUTED_VALUE"""),45814)</f>
        <v>45814</v>
      </c>
      <c r="G779" s="57">
        <f ca="1">IFERROR(__xludf.DUMMYFUNCTION("""COMPUTED_VALUE"""),45771)</f>
        <v>45771</v>
      </c>
      <c r="H779" s="33" t="str">
        <f ca="1">IFERROR(__xludf.DUMMYFUNCTION("""COMPUTED_VALUE"""),"Hospitalet")</f>
        <v>Hospitalet</v>
      </c>
      <c r="I779" s="33" t="str">
        <f ca="1">IFERROR(__xludf.DUMMYFUNCTION("""COMPUTED_VALUE"""),"C20255215394549")</f>
        <v>C20255215394549</v>
      </c>
      <c r="J779" s="33" t="str">
        <f ca="1">IFERROR(__xludf.DUMMYFUNCTION("""COMPUTED_VALUE"""),"Maria Dolores Edo Torner")</f>
        <v>Maria Dolores Edo Torner</v>
      </c>
      <c r="K779" s="33">
        <f ca="1">IFERROR(__xludf.DUMMYFUNCTION("""COMPUTED_VALUE"""),2)</f>
        <v>2</v>
      </c>
      <c r="L779" s="203">
        <f ca="1">IFERROR(__xludf.DUMMYFUNCTION("""COMPUTED_VALUE"""),3710)</f>
        <v>3710</v>
      </c>
      <c r="M779" s="33" t="str">
        <f ca="1">IFERROR(__xludf.DUMMYFUNCTION("""COMPUTED_VALUE"""),"03 ORL")</f>
        <v>03 ORL</v>
      </c>
      <c r="N779" s="33" t="str">
        <f ca="1">IFERROR(__xludf.DUMMYFUNCTION("""COMPUTED_VALUE"""),"06 ORL")</f>
        <v>06 ORL</v>
      </c>
      <c r="O779" s="33" t="str">
        <f ca="1">IFERROR(__xludf.DUMMYFUNCTION("""COMPUTED_VALUE"""),"Dra, Cristina Marín Garrido")</f>
        <v>Dra, Cristina Marín Garrido</v>
      </c>
      <c r="P779" s="33" t="str">
        <f ca="1">IFERROR(__xludf.DUMMYFUNCTION("""COMPUTED_VALUE"""),"Mercè Cabrera (Cataluña Y Baleares)")</f>
        <v>Mercè Cabrera (Cataluña Y Baleares)</v>
      </c>
    </row>
    <row r="780" spans="2:16">
      <c r="B780" s="33">
        <f ca="1">IFERROR(__xludf.DUMMYFUNCTION("""COMPUTED_VALUE"""),2025)</f>
        <v>2025</v>
      </c>
      <c r="C780" s="33">
        <f ca="1">IFERROR(__xludf.DUMMYFUNCTION("""COMPUTED_VALUE"""),6)</f>
        <v>6</v>
      </c>
      <c r="D780" s="33" t="str">
        <f ca="1">IFERROR(__xludf.DUMMYFUNCTION("""COMPUTED_VALUE"""),"NO")</f>
        <v>NO</v>
      </c>
      <c r="E780" s="33" t="str">
        <f ca="1">IFERROR(__xludf.DUMMYFUNCTION("""COMPUTED_VALUE"""),"Hospitalet de Llobregat")</f>
        <v>Hospitalet de Llobregat</v>
      </c>
      <c r="F780" s="57">
        <f ca="1">IFERROR(__xludf.DUMMYFUNCTION("""COMPUTED_VALUE"""),45820)</f>
        <v>45820</v>
      </c>
      <c r="G780" s="57">
        <f ca="1">IFERROR(__xludf.DUMMYFUNCTION("""COMPUTED_VALUE"""),45757)</f>
        <v>45757</v>
      </c>
      <c r="H780" s="33" t="str">
        <f ca="1">IFERROR(__xludf.DUMMYFUNCTION("""COMPUTED_VALUE"""),"Hospitalet")</f>
        <v>Hospitalet</v>
      </c>
      <c r="I780" s="33" t="str">
        <f ca="1">IFERROR(__xludf.DUMMYFUNCTION("""COMPUTED_VALUE"""),"C202556113040362")</f>
        <v>C202556113040362</v>
      </c>
      <c r="J780" s="33" t="str">
        <f ca="1">IFERROR(__xludf.DUMMYFUNCTION("""COMPUTED_VALUE"""),"Maria José Durán Marín")</f>
        <v>Maria José Durán Marín</v>
      </c>
      <c r="K780" s="33">
        <f ca="1">IFERROR(__xludf.DUMMYFUNCTION("""COMPUTED_VALUE"""),2)</f>
        <v>2</v>
      </c>
      <c r="L780" s="203">
        <f ca="1">IFERROR(__xludf.DUMMYFUNCTION("""COMPUTED_VALUE"""),4400)</f>
        <v>4400</v>
      </c>
      <c r="M780" s="33" t="str">
        <f ca="1">IFERROR(__xludf.DUMMYFUNCTION("""COMPUTED_VALUE"""),"03 ORL")</f>
        <v>03 ORL</v>
      </c>
      <c r="N780" s="33" t="str">
        <f ca="1">IFERROR(__xludf.DUMMYFUNCTION("""COMPUTED_VALUE"""),"06 ORL")</f>
        <v>06 ORL</v>
      </c>
      <c r="O780" s="33" t="str">
        <f ca="1">IFERROR(__xludf.DUMMYFUNCTION("""COMPUTED_VALUE"""),"Dr, Jesus-Maria Grasa Pérez")</f>
        <v>Dr, Jesus-Maria Grasa Pérez</v>
      </c>
      <c r="P780" s="33" t="str">
        <f ca="1">IFERROR(__xludf.DUMMYFUNCTION("""COMPUTED_VALUE"""),"Mercè Cabrera (Cataluña Y Baleares)")</f>
        <v>Mercè Cabrera (Cataluña Y Baleares)</v>
      </c>
    </row>
    <row r="781" spans="2:16">
      <c r="B781" s="33">
        <f ca="1">IFERROR(__xludf.DUMMYFUNCTION("""COMPUTED_VALUE"""),2025)</f>
        <v>2025</v>
      </c>
      <c r="C781" s="33">
        <f ca="1">IFERROR(__xludf.DUMMYFUNCTION("""COMPUTED_VALUE"""),6)</f>
        <v>6</v>
      </c>
      <c r="D781" s="33" t="str">
        <f ca="1">IFERROR(__xludf.DUMMYFUNCTION("""COMPUTED_VALUE"""),"NO")</f>
        <v>NO</v>
      </c>
      <c r="E781" s="33" t="str">
        <f ca="1">IFERROR(__xludf.DUMMYFUNCTION("""COMPUTED_VALUE"""),"Jerez de la Frontera")</f>
        <v>Jerez de la Frontera</v>
      </c>
      <c r="F781" s="57">
        <f ca="1">IFERROR(__xludf.DUMMYFUNCTION("""COMPUTED_VALUE"""),45838)</f>
        <v>45838</v>
      </c>
      <c r="G781" s="57">
        <f ca="1">IFERROR(__xludf.DUMMYFUNCTION("""COMPUTED_VALUE"""),45812)</f>
        <v>45812</v>
      </c>
      <c r="H781" s="33" t="str">
        <f ca="1">IFERROR(__xludf.DUMMYFUNCTION("""COMPUTED_VALUE"""),"Jerez")</f>
        <v>Jerez</v>
      </c>
      <c r="I781" s="33" t="str">
        <f ca="1">IFERROR(__xludf.DUMMYFUNCTION("""COMPUTED_VALUE"""),"C202565111232860")</f>
        <v>C202565111232860</v>
      </c>
      <c r="J781" s="33" t="str">
        <f ca="1">IFERROR(__xludf.DUMMYFUNCTION("""COMPUTED_VALUE"""),"ANGELES ROBLE RIQUELME")</f>
        <v>ANGELES ROBLE RIQUELME</v>
      </c>
      <c r="K781" s="33">
        <f ca="1">IFERROR(__xludf.DUMMYFUNCTION("""COMPUTED_VALUE"""),1)</f>
        <v>1</v>
      </c>
      <c r="L781" s="203">
        <f ca="1">IFERROR(__xludf.DUMMYFUNCTION("""COMPUTED_VALUE"""),2312.32)</f>
        <v>2312.3200000000002</v>
      </c>
      <c r="M781" s="33" t="str">
        <f ca="1">IFERROR(__xludf.DUMMYFUNCTION("""COMPUTED_VALUE"""),"03 ORL")</f>
        <v>03 ORL</v>
      </c>
      <c r="N781" s="33" t="str">
        <f ca="1">IFERROR(__xludf.DUMMYFUNCTION("""COMPUTED_VALUE"""),"06 ORL")</f>
        <v>06 ORL</v>
      </c>
      <c r="O781" s="33" t="str">
        <f ca="1">IFERROR(__xludf.DUMMYFUNCTION("""COMPUTED_VALUE"""),"Dr, Gumersindo Jesús Pérez Ortega")</f>
        <v>Dr, Gumersindo Jesús Pérez Ortega</v>
      </c>
      <c r="P781" s="33" t="str">
        <f ca="1">IFERROR(__xludf.DUMMYFUNCTION("""COMPUTED_VALUE"""),"Luis Alberto Rodríguez (Andalucía y Badajoz)")</f>
        <v>Luis Alberto Rodríguez (Andalucía y Badajoz)</v>
      </c>
    </row>
    <row r="782" spans="2:16">
      <c r="B782" s="33">
        <f ca="1">IFERROR(__xludf.DUMMYFUNCTION("""COMPUTED_VALUE"""),2025)</f>
        <v>2025</v>
      </c>
      <c r="C782" s="33">
        <f ca="1">IFERROR(__xludf.DUMMYFUNCTION("""COMPUTED_VALUE"""),6)</f>
        <v>6</v>
      </c>
      <c r="D782" s="33" t="str">
        <f ca="1">IFERROR(__xludf.DUMMYFUNCTION("""COMPUTED_VALUE"""),"NO")</f>
        <v>NO</v>
      </c>
      <c r="E782" s="33" t="str">
        <f ca="1">IFERROR(__xludf.DUMMYFUNCTION("""COMPUTED_VALUE"""),"Leganés")</f>
        <v>Leganés</v>
      </c>
      <c r="F782" s="57">
        <f ca="1">IFERROR(__xludf.DUMMYFUNCTION("""COMPUTED_VALUE"""),45818)</f>
        <v>45818</v>
      </c>
      <c r="G782" s="57">
        <f ca="1">IFERROR(__xludf.DUMMYFUNCTION("""COMPUTED_VALUE"""),45812)</f>
        <v>45812</v>
      </c>
      <c r="H782" s="33" t="str">
        <f ca="1">IFERROR(__xludf.DUMMYFUNCTION("""COMPUTED_VALUE"""),"Leganés")</f>
        <v>Leganés</v>
      </c>
      <c r="I782" s="33" t="str">
        <f ca="1">IFERROR(__xludf.DUMMYFUNCTION("""COMPUTED_VALUE"""),"C20256416042237")</f>
        <v>C20256416042237</v>
      </c>
      <c r="J782" s="33" t="str">
        <f ca="1">IFERROR(__xludf.DUMMYFUNCTION("""COMPUTED_VALUE"""),"ANGEL RODRIGUEZ FINEZ")</f>
        <v>ANGEL RODRIGUEZ FINEZ</v>
      </c>
      <c r="K782" s="33">
        <f ca="1">IFERROR(__xludf.DUMMYFUNCTION("""COMPUTED_VALUE"""),1)</f>
        <v>1</v>
      </c>
      <c r="L782" s="203">
        <f ca="1">IFERROR(__xludf.DUMMYFUNCTION("""COMPUTED_VALUE"""),2400)</f>
        <v>2400</v>
      </c>
      <c r="M782" s="33" t="str">
        <f ca="1">IFERROR(__xludf.DUMMYFUNCTION("""COMPUTED_VALUE"""),"03 ORL")</f>
        <v>03 ORL</v>
      </c>
      <c r="N782" s="33" t="str">
        <f ca="1">IFERROR(__xludf.DUMMYFUNCTION("""COMPUTED_VALUE"""),"06 ORL")</f>
        <v>06 ORL</v>
      </c>
      <c r="O782" s="33" t="str">
        <f ca="1">IFERROR(__xludf.DUMMYFUNCTION("""COMPUTED_VALUE"""),"Dra, Mar Lasso de la Vega Zamora")</f>
        <v>Dra, Mar Lasso de la Vega Zamora</v>
      </c>
      <c r="P782" s="33" t="str">
        <f ca="1">IFERROR(__xludf.DUMMYFUNCTION("""COMPUTED_VALUE"""),"Maika Blázquez (Madrid)")</f>
        <v>Maika Blázquez (Madrid)</v>
      </c>
    </row>
    <row r="783" spans="2:16">
      <c r="B783" s="33">
        <f ca="1">IFERROR(__xludf.DUMMYFUNCTION("""COMPUTED_VALUE"""),2025)</f>
        <v>2025</v>
      </c>
      <c r="C783" s="33">
        <f ca="1">IFERROR(__xludf.DUMMYFUNCTION("""COMPUTED_VALUE"""),6)</f>
        <v>6</v>
      </c>
      <c r="D783" s="33" t="str">
        <f ca="1">IFERROR(__xludf.DUMMYFUNCTION("""COMPUTED_VALUE"""),"NO")</f>
        <v>NO</v>
      </c>
      <c r="E783" s="33" t="str">
        <f ca="1">IFERROR(__xludf.DUMMYFUNCTION("""COMPUTED_VALUE"""),"Leganés")</f>
        <v>Leganés</v>
      </c>
      <c r="F783" s="57">
        <f ca="1">IFERROR(__xludf.DUMMYFUNCTION("""COMPUTED_VALUE"""),45827)</f>
        <v>45827</v>
      </c>
      <c r="G783" s="57">
        <f ca="1">IFERROR(__xludf.DUMMYFUNCTION("""COMPUTED_VALUE"""),45803)</f>
        <v>45803</v>
      </c>
      <c r="H783" s="33" t="str">
        <f ca="1">IFERROR(__xludf.DUMMYFUNCTION("""COMPUTED_VALUE"""),"Leganés")</f>
        <v>Leganés</v>
      </c>
      <c r="I783" s="33" t="str">
        <f ca="1">IFERROR(__xludf.DUMMYFUNCTION("""COMPUTED_VALUE"""),"C2025530115028691")</f>
        <v>C2025530115028691</v>
      </c>
      <c r="J783" s="33" t="str">
        <f ca="1">IFERROR(__xludf.DUMMYFUNCTION("""COMPUTED_VALUE"""),"MARIA BELINCHON FERNANDEZ")</f>
        <v>MARIA BELINCHON FERNANDEZ</v>
      </c>
      <c r="K783" s="33">
        <f ca="1">IFERROR(__xludf.DUMMYFUNCTION("""COMPUTED_VALUE"""),1)</f>
        <v>1</v>
      </c>
      <c r="L783" s="203">
        <f ca="1">IFERROR(__xludf.DUMMYFUNCTION("""COMPUTED_VALUE"""),2162.73)</f>
        <v>2162.73</v>
      </c>
      <c r="M783" s="33" t="str">
        <f ca="1">IFERROR(__xludf.DUMMYFUNCTION("""COMPUTED_VALUE"""),"03 ORL")</f>
        <v>03 ORL</v>
      </c>
      <c r="N783" s="33" t="str">
        <f ca="1">IFERROR(__xludf.DUMMYFUNCTION("""COMPUTED_VALUE"""),"06 ORL")</f>
        <v>06 ORL</v>
      </c>
      <c r="O783" s="33" t="str">
        <f ca="1">IFERROR(__xludf.DUMMYFUNCTION("""COMPUTED_VALUE"""),"Dra, Ana Ruiz Fornells Noreña")</f>
        <v>Dra, Ana Ruiz Fornells Noreña</v>
      </c>
      <c r="P783" s="33" t="str">
        <f ca="1">IFERROR(__xludf.DUMMYFUNCTION("""COMPUTED_VALUE"""),"Maika Blázquez (Madrid)")</f>
        <v>Maika Blázquez (Madrid)</v>
      </c>
    </row>
    <row r="784" spans="2:16">
      <c r="B784" s="33">
        <f ca="1">IFERROR(__xludf.DUMMYFUNCTION("""COMPUTED_VALUE"""),2025)</f>
        <v>2025</v>
      </c>
      <c r="C784" s="33">
        <f ca="1">IFERROR(__xludf.DUMMYFUNCTION("""COMPUTED_VALUE"""),6)</f>
        <v>6</v>
      </c>
      <c r="D784" s="33" t="str">
        <f ca="1">IFERROR(__xludf.DUMMYFUNCTION("""COMPUTED_VALUE"""),"NO")</f>
        <v>NO</v>
      </c>
      <c r="E784" s="33" t="str">
        <f ca="1">IFERROR(__xludf.DUMMYFUNCTION("""COMPUTED_VALUE"""),"Logroño")</f>
        <v>Logroño</v>
      </c>
      <c r="F784" s="57">
        <f ca="1">IFERROR(__xludf.DUMMYFUNCTION("""COMPUTED_VALUE"""),45833)</f>
        <v>45833</v>
      </c>
      <c r="G784" s="57">
        <f ca="1">IFERROR(__xludf.DUMMYFUNCTION("""COMPUTED_VALUE"""),45797)</f>
        <v>45797</v>
      </c>
      <c r="H784" s="33" t="str">
        <f ca="1">IFERROR(__xludf.DUMMYFUNCTION("""COMPUTED_VALUE"""),"Logroño")</f>
        <v>Logroño</v>
      </c>
      <c r="I784" s="33" t="str">
        <f ca="1">IFERROR(__xludf.DUMMYFUNCTION("""COMPUTED_VALUE"""),"C2025527182119769")</f>
        <v>C2025527182119769</v>
      </c>
      <c r="J784" s="33" t="str">
        <f ca="1">IFERROR(__xludf.DUMMYFUNCTION("""COMPUTED_VALUE"""),"ALEJANDRA LOPEZ-LASO")</f>
        <v>ALEJANDRA LOPEZ-LASO</v>
      </c>
      <c r="K784" s="33">
        <f ca="1">IFERROR(__xludf.DUMMYFUNCTION("""COMPUTED_VALUE"""),2)</f>
        <v>2</v>
      </c>
      <c r="L784" s="203">
        <f ca="1">IFERROR(__xludf.DUMMYFUNCTION("""COMPUTED_VALUE"""),2090.91)</f>
        <v>2090.91</v>
      </c>
      <c r="M784" s="33" t="str">
        <f ca="1">IFERROR(__xludf.DUMMYFUNCTION("""COMPUTED_VALUE"""),"03 ORL")</f>
        <v>03 ORL</v>
      </c>
      <c r="N784" s="33" t="str">
        <f ca="1">IFERROR(__xludf.DUMMYFUNCTION("""COMPUTED_VALUE"""),"06 ORL")</f>
        <v>06 ORL</v>
      </c>
      <c r="O784" s="33" t="str">
        <f ca="1">IFERROR(__xludf.DUMMYFUNCTION("""COMPUTED_VALUE"""),"Dra, Cristina Ibañez Muñoz")</f>
        <v>Dra, Cristina Ibañez Muñoz</v>
      </c>
      <c r="P784" s="33" t="str">
        <f ca="1">IFERROR(__xludf.DUMMYFUNCTION("""COMPUTED_VALUE"""),"Lisandro Russian (Madrid, Cáceres, Toledo, Talavera Y Logroño)")</f>
        <v>Lisandro Russian (Madrid, Cáceres, Toledo, Talavera Y Logroño)</v>
      </c>
    </row>
    <row r="785" spans="2:16">
      <c r="B785" s="33">
        <f ca="1">IFERROR(__xludf.DUMMYFUNCTION("""COMPUTED_VALUE"""),2025)</f>
        <v>2025</v>
      </c>
      <c r="C785" s="33">
        <f ca="1">IFERROR(__xludf.DUMMYFUNCTION("""COMPUTED_VALUE"""),6)</f>
        <v>6</v>
      </c>
      <c r="D785" s="33" t="str">
        <f ca="1">IFERROR(__xludf.DUMMYFUNCTION("""COMPUTED_VALUE"""),"NO")</f>
        <v>NO</v>
      </c>
      <c r="E785" s="33" t="str">
        <f ca="1">IFERROR(__xludf.DUMMYFUNCTION("""COMPUTED_VALUE"""),"Logroño")</f>
        <v>Logroño</v>
      </c>
      <c r="F785" s="57">
        <f ca="1">IFERROR(__xludf.DUMMYFUNCTION("""COMPUTED_VALUE"""),45838)</f>
        <v>45838</v>
      </c>
      <c r="G785" s="57">
        <f ca="1">IFERROR(__xludf.DUMMYFUNCTION("""COMPUTED_VALUE"""),45776)</f>
        <v>45776</v>
      </c>
      <c r="H785" s="33" t="str">
        <f ca="1">IFERROR(__xludf.DUMMYFUNCTION("""COMPUTED_VALUE"""),"Logroño")</f>
        <v>Logroño</v>
      </c>
      <c r="I785" s="33" t="str">
        <f ca="1">IFERROR(__xludf.DUMMYFUNCTION("""COMPUTED_VALUE"""),"C2025514183611308")</f>
        <v>C2025514183611308</v>
      </c>
      <c r="J785" s="33" t="str">
        <f ca="1">IFERROR(__xludf.DUMMYFUNCTION("""COMPUTED_VALUE"""),"CRISTINA GONZALEZ LOPEZ")</f>
        <v>CRISTINA GONZALEZ LOPEZ</v>
      </c>
      <c r="K785" s="33">
        <f ca="1">IFERROR(__xludf.DUMMYFUNCTION("""COMPUTED_VALUE"""),1)</f>
        <v>1</v>
      </c>
      <c r="L785" s="203">
        <f ca="1">IFERROR(__xludf.DUMMYFUNCTION("""COMPUTED_VALUE"""),2000)</f>
        <v>2000</v>
      </c>
      <c r="M785" s="33" t="str">
        <f ca="1">IFERROR(__xludf.DUMMYFUNCTION("""COMPUTED_VALUE"""),"03 ORL")</f>
        <v>03 ORL</v>
      </c>
      <c r="N785" s="33" t="str">
        <f ca="1">IFERROR(__xludf.DUMMYFUNCTION("""COMPUTED_VALUE"""),"06 ORL")</f>
        <v>06 ORL</v>
      </c>
      <c r="O785" s="33" t="str">
        <f ca="1">IFERROR(__xludf.DUMMYFUNCTION("""COMPUTED_VALUE"""),"Dr, Garikoitz Calzada Uriondo")</f>
        <v>Dr, Garikoitz Calzada Uriondo</v>
      </c>
      <c r="P785" s="33" t="str">
        <f ca="1">IFERROR(__xludf.DUMMYFUNCTION("""COMPUTED_VALUE"""),"Lisandro Russian (Madrid, Cáceres, Toledo, Talavera Y Logroño)")</f>
        <v>Lisandro Russian (Madrid, Cáceres, Toledo, Talavera Y Logroño)</v>
      </c>
    </row>
    <row r="786" spans="2:16">
      <c r="B786" s="33">
        <f ca="1">IFERROR(__xludf.DUMMYFUNCTION("""COMPUTED_VALUE"""),2025)</f>
        <v>2025</v>
      </c>
      <c r="C786" s="33">
        <f ca="1">IFERROR(__xludf.DUMMYFUNCTION("""COMPUTED_VALUE"""),6)</f>
        <v>6</v>
      </c>
      <c r="D786" s="33" t="str">
        <f ca="1">IFERROR(__xludf.DUMMYFUNCTION("""COMPUTED_VALUE"""),"NO")</f>
        <v>NO</v>
      </c>
      <c r="E786" s="33" t="str">
        <f ca="1">IFERROR(__xludf.DUMMYFUNCTION("""COMPUTED_VALUE"""),"Logroño")</f>
        <v>Logroño</v>
      </c>
      <c r="F786" s="57">
        <f ca="1">IFERROR(__xludf.DUMMYFUNCTION("""COMPUTED_VALUE"""),45825)</f>
        <v>45825</v>
      </c>
      <c r="G786" s="57">
        <f ca="1">IFERROR(__xludf.DUMMYFUNCTION("""COMPUTED_VALUE"""),45806)</f>
        <v>45806</v>
      </c>
      <c r="H786" s="33" t="str">
        <f ca="1">IFERROR(__xludf.DUMMYFUNCTION("""COMPUTED_VALUE"""),"Logroño")</f>
        <v>Logroño</v>
      </c>
      <c r="I786" s="33" t="str">
        <f ca="1">IFERROR(__xludf.DUMMYFUNCTION("""COMPUTED_VALUE"""),"C20255309543921")</f>
        <v>C20255309543921</v>
      </c>
      <c r="J786" s="33" t="str">
        <f ca="1">IFERROR(__xludf.DUMMYFUNCTION("""COMPUTED_VALUE"""),"MANUEL CORNES CASAL")</f>
        <v>MANUEL CORNES CASAL</v>
      </c>
      <c r="K786" s="33">
        <f ca="1">IFERROR(__xludf.DUMMYFUNCTION("""COMPUTED_VALUE"""),2)</f>
        <v>2</v>
      </c>
      <c r="L786" s="203">
        <f ca="1">IFERROR(__xludf.DUMMYFUNCTION("""COMPUTED_VALUE"""),3710)</f>
        <v>3710</v>
      </c>
      <c r="M786" s="33" t="str">
        <f ca="1">IFERROR(__xludf.DUMMYFUNCTION("""COMPUTED_VALUE"""),"03 ORL")</f>
        <v>03 ORL</v>
      </c>
      <c r="N786" s="33" t="str">
        <f ca="1">IFERROR(__xludf.DUMMYFUNCTION("""COMPUTED_VALUE"""),"06 ORL")</f>
        <v>06 ORL</v>
      </c>
      <c r="O786" s="33" t="str">
        <f ca="1">IFERROR(__xludf.DUMMYFUNCTION("""COMPUTED_VALUE"""),"Dr, Fernando Salazar Barcelona")</f>
        <v>Dr, Fernando Salazar Barcelona</v>
      </c>
      <c r="P786" s="33" t="str">
        <f ca="1">IFERROR(__xludf.DUMMYFUNCTION("""COMPUTED_VALUE"""),"Lisandro Russian (Madrid, Cáceres, Toledo, Talavera Y Logroño)")</f>
        <v>Lisandro Russian (Madrid, Cáceres, Toledo, Talavera Y Logroño)</v>
      </c>
    </row>
    <row r="787" spans="2:16">
      <c r="B787" s="33">
        <f ca="1">IFERROR(__xludf.DUMMYFUNCTION("""COMPUTED_VALUE"""),2025)</f>
        <v>2025</v>
      </c>
      <c r="C787" s="33">
        <f ca="1">IFERROR(__xludf.DUMMYFUNCTION("""COMPUTED_VALUE"""),6)</f>
        <v>6</v>
      </c>
      <c r="D787" s="33" t="str">
        <f ca="1">IFERROR(__xludf.DUMMYFUNCTION("""COMPUTED_VALUE"""),"NO")</f>
        <v>NO</v>
      </c>
      <c r="E787" s="33" t="str">
        <f ca="1">IFERROR(__xludf.DUMMYFUNCTION("""COMPUTED_VALUE"""),"Logroño")</f>
        <v>Logroño</v>
      </c>
      <c r="F787" s="57">
        <f ca="1">IFERROR(__xludf.DUMMYFUNCTION("""COMPUTED_VALUE"""),45826)</f>
        <v>45826</v>
      </c>
      <c r="G787" s="57">
        <f ca="1">IFERROR(__xludf.DUMMYFUNCTION("""COMPUTED_VALUE"""),45785)</f>
        <v>45785</v>
      </c>
      <c r="H787" s="33" t="str">
        <f ca="1">IFERROR(__xludf.DUMMYFUNCTION("""COMPUTED_VALUE"""),"Logroño")</f>
        <v>Logroño</v>
      </c>
      <c r="I787" s="33" t="str">
        <f ca="1">IFERROR(__xludf.DUMMYFUNCTION("""COMPUTED_VALUE"""),"C2025512102714178")</f>
        <v>C2025512102714178</v>
      </c>
      <c r="J787" s="33" t="str">
        <f ca="1">IFERROR(__xludf.DUMMYFUNCTION("""COMPUTED_VALUE"""),"TERESA FERNANDEZ VITERI")</f>
        <v>TERESA FERNANDEZ VITERI</v>
      </c>
      <c r="K787" s="33">
        <f ca="1">IFERROR(__xludf.DUMMYFUNCTION("""COMPUTED_VALUE"""),2)</f>
        <v>2</v>
      </c>
      <c r="L787" s="203">
        <f ca="1">IFERROR(__xludf.DUMMYFUNCTION("""COMPUTED_VALUE"""),4000)</f>
        <v>4000</v>
      </c>
      <c r="M787" s="33" t="str">
        <f ca="1">IFERROR(__xludf.DUMMYFUNCTION("""COMPUTED_VALUE"""),"03 ORL")</f>
        <v>03 ORL</v>
      </c>
      <c r="N787" s="33" t="str">
        <f ca="1">IFERROR(__xludf.DUMMYFUNCTION("""COMPUTED_VALUE"""),"06 ORL")</f>
        <v>06 ORL</v>
      </c>
      <c r="O787" s="33" t="str">
        <f ca="1">IFERROR(__xludf.DUMMYFUNCTION("""COMPUTED_VALUE"""),"Dr, Ignacio Erdozáin Rodríguez")</f>
        <v>Dr, Ignacio Erdozáin Rodríguez</v>
      </c>
      <c r="P787" s="33" t="str">
        <f ca="1">IFERROR(__xludf.DUMMYFUNCTION("""COMPUTED_VALUE"""),"Lisandro Russian (Madrid, Cáceres, Toledo, Talavera Y Logroño)")</f>
        <v>Lisandro Russian (Madrid, Cáceres, Toledo, Talavera Y Logroño)</v>
      </c>
    </row>
    <row r="788" spans="2:16">
      <c r="B788" s="33">
        <f ca="1">IFERROR(__xludf.DUMMYFUNCTION("""COMPUTED_VALUE"""),2025)</f>
        <v>2025</v>
      </c>
      <c r="C788" s="33">
        <f ca="1">IFERROR(__xludf.DUMMYFUNCTION("""COMPUTED_VALUE"""),6)</f>
        <v>6</v>
      </c>
      <c r="D788" s="33" t="str">
        <f ca="1">IFERROR(__xludf.DUMMYFUNCTION("""COMPUTED_VALUE"""),"NO")</f>
        <v>NO</v>
      </c>
      <c r="E788" s="33" t="str">
        <f ca="1">IFERROR(__xludf.DUMMYFUNCTION("""COMPUTED_VALUE"""),"Lugo")</f>
        <v>Lugo</v>
      </c>
      <c r="F788" s="57">
        <f ca="1">IFERROR(__xludf.DUMMYFUNCTION("""COMPUTED_VALUE"""),45813)</f>
        <v>45813</v>
      </c>
      <c r="G788" s="57">
        <f ca="1">IFERROR(__xludf.DUMMYFUNCTION("""COMPUTED_VALUE"""),45790)</f>
        <v>45790</v>
      </c>
      <c r="H788" s="33" t="str">
        <f ca="1">IFERROR(__xludf.DUMMYFUNCTION("""COMPUTED_VALUE"""),"Lugo")</f>
        <v>Lugo</v>
      </c>
      <c r="I788" s="33" t="str">
        <f ca="1">IFERROR(__xludf.DUMMYFUNCTION("""COMPUTED_VALUE"""),"C202552116482763")</f>
        <v>C202552116482763</v>
      </c>
      <c r="J788" s="33" t="str">
        <f ca="1">IFERROR(__xludf.DUMMYFUNCTION("""COMPUTED_VALUE"""),"CARLOS  ARIAS DE LA TORRE")</f>
        <v>CARLOS  ARIAS DE LA TORRE</v>
      </c>
      <c r="K788" s="33">
        <f ca="1">IFERROR(__xludf.DUMMYFUNCTION("""COMPUTED_VALUE"""),2)</f>
        <v>2</v>
      </c>
      <c r="L788" s="203">
        <f ca="1">IFERROR(__xludf.DUMMYFUNCTION("""COMPUTED_VALUE"""),4000)</f>
        <v>4000</v>
      </c>
      <c r="M788" s="33" t="str">
        <f ca="1">IFERROR(__xludf.DUMMYFUNCTION("""COMPUTED_VALUE"""),"03 ORL")</f>
        <v>03 ORL</v>
      </c>
      <c r="N788" s="33" t="str">
        <f ca="1">IFERROR(__xludf.DUMMYFUNCTION("""COMPUTED_VALUE"""),"06 ORL")</f>
        <v>06 ORL</v>
      </c>
      <c r="O788" s="33" t="str">
        <f ca="1">IFERROR(__xludf.DUMMYFUNCTION("""COMPUTED_VALUE"""),"Dr, Pedro Juiz López")</f>
        <v>Dr, Pedro Juiz López</v>
      </c>
      <c r="P788" s="33" t="str">
        <f ca="1">IFERROR(__xludf.DUMMYFUNCTION("""COMPUTED_VALUE"""),"Roberto Pereira (Galicia)")</f>
        <v>Roberto Pereira (Galicia)</v>
      </c>
    </row>
    <row r="789" spans="2:16">
      <c r="B789" s="33">
        <f ca="1">IFERROR(__xludf.DUMMYFUNCTION("""COMPUTED_VALUE"""),2025)</f>
        <v>2025</v>
      </c>
      <c r="C789" s="33">
        <f ca="1">IFERROR(__xludf.DUMMYFUNCTION("""COMPUTED_VALUE"""),6)</f>
        <v>6</v>
      </c>
      <c r="D789" s="33" t="str">
        <f ca="1">IFERROR(__xludf.DUMMYFUNCTION("""COMPUTED_VALUE"""),"NO")</f>
        <v>NO</v>
      </c>
      <c r="E789" s="33" t="str">
        <f ca="1">IFERROR(__xludf.DUMMYFUNCTION("""COMPUTED_VALUE"""),"Lugo")</f>
        <v>Lugo</v>
      </c>
      <c r="F789" s="57">
        <f ca="1">IFERROR(__xludf.DUMMYFUNCTION("""COMPUTED_VALUE"""),45838)</f>
        <v>45838</v>
      </c>
      <c r="G789" s="57">
        <f ca="1">IFERROR(__xludf.DUMMYFUNCTION("""COMPUTED_VALUE"""),45811)</f>
        <v>45811</v>
      </c>
      <c r="H789" s="33" t="str">
        <f ca="1">IFERROR(__xludf.DUMMYFUNCTION("""COMPUTED_VALUE"""),"Lugo")</f>
        <v>Lugo</v>
      </c>
      <c r="I789" s="33" t="str">
        <f ca="1">IFERROR(__xludf.DUMMYFUNCTION("""COMPUTED_VALUE"""),"C202563171625513")</f>
        <v>C202563171625513</v>
      </c>
      <c r="J789" s="33" t="str">
        <f ca="1">IFERROR(__xludf.DUMMYFUNCTION("""COMPUTED_VALUE"""),"JOSEFA  GINZO FERNANDEZ")</f>
        <v>JOSEFA  GINZO FERNANDEZ</v>
      </c>
      <c r="K789" s="33">
        <f ca="1">IFERROR(__xludf.DUMMYFUNCTION("""COMPUTED_VALUE"""),2)</f>
        <v>2</v>
      </c>
      <c r="L789" s="203">
        <f ca="1">IFERROR(__xludf.DUMMYFUNCTION("""COMPUTED_VALUE"""),2888.18)</f>
        <v>2888.18</v>
      </c>
      <c r="M789" s="33" t="str">
        <f ca="1">IFERROR(__xludf.DUMMYFUNCTION("""COMPUTED_VALUE"""),"03 ORL")</f>
        <v>03 ORL</v>
      </c>
      <c r="N789" s="33" t="str">
        <f ca="1">IFERROR(__xludf.DUMMYFUNCTION("""COMPUTED_VALUE"""),"06 ORL")</f>
        <v>06 ORL</v>
      </c>
      <c r="O789" s="33" t="str">
        <f ca="1">IFERROR(__xludf.DUMMYFUNCTION("""COMPUTED_VALUE"""),"Dr, Pedro Juiz López")</f>
        <v>Dr, Pedro Juiz López</v>
      </c>
      <c r="P789" s="33" t="str">
        <f ca="1">IFERROR(__xludf.DUMMYFUNCTION("""COMPUTED_VALUE"""),"Roberto Pereira (Galicia)")</f>
        <v>Roberto Pereira (Galicia)</v>
      </c>
    </row>
    <row r="790" spans="2:16">
      <c r="B790" s="33">
        <f ca="1">IFERROR(__xludf.DUMMYFUNCTION("""COMPUTED_VALUE"""),2025)</f>
        <v>2025</v>
      </c>
      <c r="C790" s="33">
        <f ca="1">IFERROR(__xludf.DUMMYFUNCTION("""COMPUTED_VALUE"""),6)</f>
        <v>6</v>
      </c>
      <c r="D790" s="33" t="str">
        <f ca="1">IFERROR(__xludf.DUMMYFUNCTION("""COMPUTED_VALUE"""),"NO")</f>
        <v>NO</v>
      </c>
      <c r="E790" s="33" t="str">
        <f ca="1">IFERROR(__xludf.DUMMYFUNCTION("""COMPUTED_VALUE"""),"Madrid- Canillas")</f>
        <v>Madrid- Canillas</v>
      </c>
      <c r="F790" s="57">
        <f ca="1">IFERROR(__xludf.DUMMYFUNCTION("""COMPUTED_VALUE"""),45813)</f>
        <v>45813</v>
      </c>
      <c r="G790" s="57">
        <f ca="1">IFERROR(__xludf.DUMMYFUNCTION("""COMPUTED_VALUE"""),45757)</f>
        <v>45757</v>
      </c>
      <c r="H790" s="33" t="str">
        <f ca="1">IFERROR(__xludf.DUMMYFUNCTION("""COMPUTED_VALUE"""),"Canillas")</f>
        <v>Canillas</v>
      </c>
      <c r="I790" s="33" t="str">
        <f ca="1">IFERROR(__xludf.DUMMYFUNCTION("""COMPUTED_VALUE"""),"C2025425103918524")</f>
        <v>C2025425103918524</v>
      </c>
      <c r="J790" s="33" t="str">
        <f ca="1">IFERROR(__xludf.DUMMYFUNCTION("""COMPUTED_VALUE"""),"ALICIA HALPERIN CHERVIN")</f>
        <v>ALICIA HALPERIN CHERVIN</v>
      </c>
      <c r="K790" s="33">
        <f ca="1">IFERROR(__xludf.DUMMYFUNCTION("""COMPUTED_VALUE"""),2)</f>
        <v>2</v>
      </c>
      <c r="L790" s="203">
        <f ca="1">IFERROR(__xludf.DUMMYFUNCTION("""COMPUTED_VALUE"""),4531.82)</f>
        <v>4531.82</v>
      </c>
      <c r="M790" s="33" t="str">
        <f ca="1">IFERROR(__xludf.DUMMYFUNCTION("""COMPUTED_VALUE"""),"03 ORL")</f>
        <v>03 ORL</v>
      </c>
      <c r="N790" s="33" t="str">
        <f ca="1">IFERROR(__xludf.DUMMYFUNCTION("""COMPUTED_VALUE"""),"06 ORL")</f>
        <v>06 ORL</v>
      </c>
      <c r="O790" s="33" t="str">
        <f ca="1">IFERROR(__xludf.DUMMYFUNCTION("""COMPUTED_VALUE"""),"Dr, Julio López Moya")</f>
        <v>Dr, Julio López Moya</v>
      </c>
      <c r="P790" s="33" t="str">
        <f ca="1">IFERROR(__xludf.DUMMYFUNCTION("""COMPUTED_VALUE"""),"Maika Blázquez (Madrid)")</f>
        <v>Maika Blázquez (Madrid)</v>
      </c>
    </row>
    <row r="791" spans="2:16">
      <c r="B791" s="33">
        <f ca="1">IFERROR(__xludf.DUMMYFUNCTION("""COMPUTED_VALUE"""),2025)</f>
        <v>2025</v>
      </c>
      <c r="C791" s="33">
        <f ca="1">IFERROR(__xludf.DUMMYFUNCTION("""COMPUTED_VALUE"""),6)</f>
        <v>6</v>
      </c>
      <c r="D791" s="33" t="str">
        <f ca="1">IFERROR(__xludf.DUMMYFUNCTION("""COMPUTED_VALUE"""),"NO")</f>
        <v>NO</v>
      </c>
      <c r="E791" s="33" t="str">
        <f ca="1">IFERROR(__xludf.DUMMYFUNCTION("""COMPUTED_VALUE"""),"Madrid- Canillas")</f>
        <v>Madrid- Canillas</v>
      </c>
      <c r="F791" s="57">
        <f ca="1">IFERROR(__xludf.DUMMYFUNCTION("""COMPUTED_VALUE"""),45833)</f>
        <v>45833</v>
      </c>
      <c r="G791" s="57">
        <f ca="1">IFERROR(__xludf.DUMMYFUNCTION("""COMPUTED_VALUE"""),45810)</f>
        <v>45810</v>
      </c>
      <c r="H791" s="33" t="str">
        <f ca="1">IFERROR(__xludf.DUMMYFUNCTION("""COMPUTED_VALUE"""),"Canillas")</f>
        <v>Canillas</v>
      </c>
      <c r="I791" s="33" t="str">
        <f ca="1">IFERROR(__xludf.DUMMYFUNCTION("""COMPUTED_VALUE"""),"C202565105045199")</f>
        <v>C202565105045199</v>
      </c>
      <c r="J791" s="33" t="str">
        <f ca="1">IFERROR(__xludf.DUMMYFUNCTION("""COMPUTED_VALUE"""),"ANTONIA GONZALEZ GONZALEZ")</f>
        <v>ANTONIA GONZALEZ GONZALEZ</v>
      </c>
      <c r="K791" s="33">
        <f ca="1">IFERROR(__xludf.DUMMYFUNCTION("""COMPUTED_VALUE"""),2)</f>
        <v>2</v>
      </c>
      <c r="L791" s="203">
        <f ca="1">IFERROR(__xludf.DUMMYFUNCTION("""COMPUTED_VALUE"""),2888.18)</f>
        <v>2888.18</v>
      </c>
      <c r="M791" s="33" t="str">
        <f ca="1">IFERROR(__xludf.DUMMYFUNCTION("""COMPUTED_VALUE"""),"03 ORL")</f>
        <v>03 ORL</v>
      </c>
      <c r="N791" s="33" t="str">
        <f ca="1">IFERROR(__xludf.DUMMYFUNCTION("""COMPUTED_VALUE"""),"06 ORL")</f>
        <v>06 ORL</v>
      </c>
      <c r="O791" s="33" t="str">
        <f ca="1">IFERROR(__xludf.DUMMYFUNCTION("""COMPUTED_VALUE"""),"Dr, Franklin S, Mariño Sánchez")</f>
        <v>Dr, Franklin S, Mariño Sánchez</v>
      </c>
      <c r="P791" s="33" t="str">
        <f ca="1">IFERROR(__xludf.DUMMYFUNCTION("""COMPUTED_VALUE"""),"Maika Blázquez (Madrid)")</f>
        <v>Maika Blázquez (Madrid)</v>
      </c>
    </row>
    <row r="792" spans="2:16">
      <c r="B792" s="33">
        <f ca="1">IFERROR(__xludf.DUMMYFUNCTION("""COMPUTED_VALUE"""),2025)</f>
        <v>2025</v>
      </c>
      <c r="C792" s="33">
        <f ca="1">IFERROR(__xludf.DUMMYFUNCTION("""COMPUTED_VALUE"""),6)</f>
        <v>6</v>
      </c>
      <c r="D792" s="33" t="str">
        <f ca="1">IFERROR(__xludf.DUMMYFUNCTION("""COMPUTED_VALUE"""),"NO")</f>
        <v>NO</v>
      </c>
      <c r="E792" s="33" t="str">
        <f ca="1">IFERROR(__xludf.DUMMYFUNCTION("""COMPUTED_VALUE"""),"Madrid- Canillas")</f>
        <v>Madrid- Canillas</v>
      </c>
      <c r="F792" s="57">
        <f ca="1">IFERROR(__xludf.DUMMYFUNCTION("""COMPUTED_VALUE"""),45819)</f>
        <v>45819</v>
      </c>
      <c r="G792" s="57">
        <f ca="1">IFERROR(__xludf.DUMMYFUNCTION("""COMPUTED_VALUE"""),45761)</f>
        <v>45761</v>
      </c>
      <c r="H792" s="33" t="str">
        <f ca="1">IFERROR(__xludf.DUMMYFUNCTION("""COMPUTED_VALUE"""),"Canillas")</f>
        <v>Canillas</v>
      </c>
      <c r="I792" s="33" t="str">
        <f ca="1">IFERROR(__xludf.DUMMYFUNCTION("""COMPUTED_VALUE"""),"C2025513123816281")</f>
        <v>C2025513123816281</v>
      </c>
      <c r="J792" s="33" t="str">
        <f ca="1">IFERROR(__xludf.DUMMYFUNCTION("""COMPUTED_VALUE"""),"GLORIA ROLDAN MACHON")</f>
        <v>GLORIA ROLDAN MACHON</v>
      </c>
      <c r="K792" s="33">
        <f ca="1">IFERROR(__xludf.DUMMYFUNCTION("""COMPUTED_VALUE"""),1)</f>
        <v>1</v>
      </c>
      <c r="L792" s="203">
        <f ca="1">IFERROR(__xludf.DUMMYFUNCTION("""COMPUTED_VALUE"""),2400)</f>
        <v>2400</v>
      </c>
      <c r="M792" s="33" t="str">
        <f ca="1">IFERROR(__xludf.DUMMYFUNCTION("""COMPUTED_VALUE"""),"03 ORL")</f>
        <v>03 ORL</v>
      </c>
      <c r="N792" s="33" t="str">
        <f ca="1">IFERROR(__xludf.DUMMYFUNCTION("""COMPUTED_VALUE"""),"22 AUDIOMETRIA CLINICA")</f>
        <v>22 AUDIOMETRIA CLINICA</v>
      </c>
      <c r="O792" s="33" t="str">
        <f ca="1">IFERROR(__xludf.DUMMYFUNCTION("""COMPUTED_VALUE"""),"Dr, Luis Jiménez Ferreres")</f>
        <v>Dr, Luis Jiménez Ferreres</v>
      </c>
      <c r="P792" s="33" t="str">
        <f ca="1">IFERROR(__xludf.DUMMYFUNCTION("""COMPUTED_VALUE"""),"Lisandro Russian (Madrid, Cáceres, Toledo, Talavera Y Logroño)")</f>
        <v>Lisandro Russian (Madrid, Cáceres, Toledo, Talavera Y Logroño)</v>
      </c>
    </row>
    <row r="793" spans="2:16">
      <c r="B793" s="33">
        <f ca="1">IFERROR(__xludf.DUMMYFUNCTION("""COMPUTED_VALUE"""),2025)</f>
        <v>2025</v>
      </c>
      <c r="C793" s="33">
        <f ca="1">IFERROR(__xludf.DUMMYFUNCTION("""COMPUTED_VALUE"""),6)</f>
        <v>6</v>
      </c>
      <c r="D793" s="33" t="str">
        <f ca="1">IFERROR(__xludf.DUMMYFUNCTION("""COMPUTED_VALUE"""),"NO")</f>
        <v>NO</v>
      </c>
      <c r="E793" s="33" t="str">
        <f ca="1">IFERROR(__xludf.DUMMYFUNCTION("""COMPUTED_VALUE"""),"Madrid- Canillas")</f>
        <v>Madrid- Canillas</v>
      </c>
      <c r="F793" s="57">
        <f ca="1">IFERROR(__xludf.DUMMYFUNCTION("""COMPUTED_VALUE"""),45835)</f>
        <v>45835</v>
      </c>
      <c r="G793" s="57">
        <f ca="1">IFERROR(__xludf.DUMMYFUNCTION("""COMPUTED_VALUE"""),45777)</f>
        <v>45777</v>
      </c>
      <c r="H793" s="33" t="str">
        <f ca="1">IFERROR(__xludf.DUMMYFUNCTION("""COMPUTED_VALUE"""),"Canillas")</f>
        <v>Canillas</v>
      </c>
      <c r="I793" s="33" t="str">
        <f ca="1">IFERROR(__xludf.DUMMYFUNCTION("""COMPUTED_VALUE"""),"C2025514171337654")</f>
        <v>C2025514171337654</v>
      </c>
      <c r="J793" s="33" t="str">
        <f ca="1">IFERROR(__xludf.DUMMYFUNCTION("""COMPUTED_VALUE"""),"ROSARIO JUANINO BARRIO")</f>
        <v>ROSARIO JUANINO BARRIO</v>
      </c>
      <c r="K793" s="33">
        <f ca="1">IFERROR(__xludf.DUMMYFUNCTION("""COMPUTED_VALUE"""),2)</f>
        <v>2</v>
      </c>
      <c r="L793" s="203">
        <f ca="1">IFERROR(__xludf.DUMMYFUNCTION("""COMPUTED_VALUE"""),3710)</f>
        <v>3710</v>
      </c>
      <c r="M793" s="33" t="str">
        <f ca="1">IFERROR(__xludf.DUMMYFUNCTION("""COMPUTED_VALUE"""),"03 ORL")</f>
        <v>03 ORL</v>
      </c>
      <c r="N793" s="33" t="str">
        <f ca="1">IFERROR(__xludf.DUMMYFUNCTION("""COMPUTED_VALUE"""),"06 ORL")</f>
        <v>06 ORL</v>
      </c>
      <c r="O793" s="33" t="str">
        <f ca="1">IFERROR(__xludf.DUMMYFUNCTION("""COMPUTED_VALUE"""),"Dr, José Gustavo Barroso Braojos")</f>
        <v>Dr, José Gustavo Barroso Braojos</v>
      </c>
      <c r="P793" s="33" t="str">
        <f ca="1">IFERROR(__xludf.DUMMYFUNCTION("""COMPUTED_VALUE"""),"Maika Blázquez (Madrid)")</f>
        <v>Maika Blázquez (Madrid)</v>
      </c>
    </row>
    <row r="794" spans="2:16">
      <c r="B794" s="33">
        <f ca="1">IFERROR(__xludf.DUMMYFUNCTION("""COMPUTED_VALUE"""),2025)</f>
        <v>2025</v>
      </c>
      <c r="C794" s="33">
        <f ca="1">IFERROR(__xludf.DUMMYFUNCTION("""COMPUTED_VALUE"""),6)</f>
        <v>6</v>
      </c>
      <c r="D794" s="33" t="str">
        <f ca="1">IFERROR(__xludf.DUMMYFUNCTION("""COMPUTED_VALUE"""),"NO")</f>
        <v>NO</v>
      </c>
      <c r="E794" s="33" t="str">
        <f ca="1">IFERROR(__xludf.DUMMYFUNCTION("""COMPUTED_VALUE"""),"Madrid- Costa Rica")</f>
        <v>Madrid- Costa Rica</v>
      </c>
      <c r="F794" s="57">
        <f ca="1">IFERROR(__xludf.DUMMYFUNCTION("""COMPUTED_VALUE"""),45819)</f>
        <v>45819</v>
      </c>
      <c r="G794" s="57">
        <f ca="1">IFERROR(__xludf.DUMMYFUNCTION("""COMPUTED_VALUE"""),45796)</f>
        <v>45796</v>
      </c>
      <c r="H794" s="33" t="str">
        <f ca="1">IFERROR(__xludf.DUMMYFUNCTION("""COMPUTED_VALUE"""),"Costa Rica")</f>
        <v>Costa Rica</v>
      </c>
      <c r="I794" s="33" t="str">
        <f ca="1">IFERROR(__xludf.DUMMYFUNCTION("""COMPUTED_VALUE"""),"C2025522111034369")</f>
        <v>C2025522111034369</v>
      </c>
      <c r="J794" s="33" t="str">
        <f ca="1">IFERROR(__xludf.DUMMYFUNCTION("""COMPUTED_VALUE"""),"FERNANDO PRECIADO SANTAMARIA")</f>
        <v>FERNANDO PRECIADO SANTAMARIA</v>
      </c>
      <c r="K794" s="33">
        <f ca="1">IFERROR(__xludf.DUMMYFUNCTION("""COMPUTED_VALUE"""),2)</f>
        <v>2</v>
      </c>
      <c r="L794" s="203">
        <f ca="1">IFERROR(__xludf.DUMMYFUNCTION("""COMPUTED_VALUE"""),4000)</f>
        <v>4000</v>
      </c>
      <c r="M794" s="33" t="str">
        <f ca="1">IFERROR(__xludf.DUMMYFUNCTION("""COMPUTED_VALUE"""),"03 ORL")</f>
        <v>03 ORL</v>
      </c>
      <c r="N794" s="33" t="str">
        <f ca="1">IFERROR(__xludf.DUMMYFUNCTION("""COMPUTED_VALUE"""),"06 ORL")</f>
        <v>06 ORL</v>
      </c>
      <c r="O794" s="33" t="str">
        <f ca="1">IFERROR(__xludf.DUMMYFUNCTION("""COMPUTED_VALUE"""),"Dr, Iván Muerte Moreno")</f>
        <v>Dr, Iván Muerte Moreno</v>
      </c>
      <c r="P794" s="33" t="str">
        <f ca="1">IFERROR(__xludf.DUMMYFUNCTION("""COMPUTED_VALUE"""),"Lisandro Russian (Madrid, Cáceres, Toledo, Talavera Y Logroño)")</f>
        <v>Lisandro Russian (Madrid, Cáceres, Toledo, Talavera Y Logroño)</v>
      </c>
    </row>
    <row r="795" spans="2:16">
      <c r="B795" s="33">
        <f ca="1">IFERROR(__xludf.DUMMYFUNCTION("""COMPUTED_VALUE"""),2025)</f>
        <v>2025</v>
      </c>
      <c r="C795" s="33">
        <f ca="1">IFERROR(__xludf.DUMMYFUNCTION("""COMPUTED_VALUE"""),6)</f>
        <v>6</v>
      </c>
      <c r="D795" s="33" t="str">
        <f ca="1">IFERROR(__xludf.DUMMYFUNCTION("""COMPUTED_VALUE"""),"NO")</f>
        <v>NO</v>
      </c>
      <c r="E795" s="33" t="str">
        <f ca="1">IFERROR(__xludf.DUMMYFUNCTION("""COMPUTED_VALUE"""),"Madrid- Costa Rica")</f>
        <v>Madrid- Costa Rica</v>
      </c>
      <c r="F795" s="57">
        <f ca="1">IFERROR(__xludf.DUMMYFUNCTION("""COMPUTED_VALUE"""),45812)</f>
        <v>45812</v>
      </c>
      <c r="G795" s="57">
        <f ca="1">IFERROR(__xludf.DUMMYFUNCTION("""COMPUTED_VALUE"""),45776)</f>
        <v>45776</v>
      </c>
      <c r="H795" s="33" t="str">
        <f ca="1">IFERROR(__xludf.DUMMYFUNCTION("""COMPUTED_VALUE"""),"Costa Rica")</f>
        <v>Costa Rica</v>
      </c>
      <c r="I795" s="33" t="str">
        <f ca="1">IFERROR(__xludf.DUMMYFUNCTION("""COMPUTED_VALUE"""),"C2025581883068")</f>
        <v>C2025581883068</v>
      </c>
      <c r="J795" s="33" t="str">
        <f ca="1">IFERROR(__xludf.DUMMYFUNCTION("""COMPUTED_VALUE"""),"ISABEL RODRIGUEZ MORA")</f>
        <v>ISABEL RODRIGUEZ MORA</v>
      </c>
      <c r="K795" s="33">
        <f ca="1">IFERROR(__xludf.DUMMYFUNCTION("""COMPUTED_VALUE"""),2)</f>
        <v>2</v>
      </c>
      <c r="L795" s="203">
        <f ca="1">IFERROR(__xludf.DUMMYFUNCTION("""COMPUTED_VALUE"""),3710)</f>
        <v>3710</v>
      </c>
      <c r="M795" s="33" t="str">
        <f ca="1">IFERROR(__xludf.DUMMYFUNCTION("""COMPUTED_VALUE"""),"03 ORL")</f>
        <v>03 ORL</v>
      </c>
      <c r="N795" s="33" t="str">
        <f ca="1">IFERROR(__xludf.DUMMYFUNCTION("""COMPUTED_VALUE"""),"06 ORL")</f>
        <v>06 ORL</v>
      </c>
      <c r="O795" s="33" t="str">
        <f ca="1">IFERROR(__xludf.DUMMYFUNCTION("""COMPUTED_VALUE"""),"Dr, Guillermo San Juan de la Moreta")</f>
        <v>Dr, Guillermo San Juan de la Moreta</v>
      </c>
      <c r="P795" s="33" t="str">
        <f ca="1">IFERROR(__xludf.DUMMYFUNCTION("""COMPUTED_VALUE"""),"Maika Blázquez (Madrid)")</f>
        <v>Maika Blázquez (Madrid)</v>
      </c>
    </row>
    <row r="796" spans="2:16">
      <c r="B796" s="33">
        <f ca="1">IFERROR(__xludf.DUMMYFUNCTION("""COMPUTED_VALUE"""),2025)</f>
        <v>2025</v>
      </c>
      <c r="C796" s="33">
        <f ca="1">IFERROR(__xludf.DUMMYFUNCTION("""COMPUTED_VALUE"""),6)</f>
        <v>6</v>
      </c>
      <c r="D796" s="33" t="str">
        <f ca="1">IFERROR(__xludf.DUMMYFUNCTION("""COMPUTED_VALUE"""),"NO")</f>
        <v>NO</v>
      </c>
      <c r="E796" s="33" t="str">
        <f ca="1">IFERROR(__xludf.DUMMYFUNCTION("""COMPUTED_VALUE"""),"Madrid- Costa Rica")</f>
        <v>Madrid- Costa Rica</v>
      </c>
      <c r="F796" s="57">
        <f ca="1">IFERROR(__xludf.DUMMYFUNCTION("""COMPUTED_VALUE"""),45820)</f>
        <v>45820</v>
      </c>
      <c r="G796" s="57">
        <f ca="1">IFERROR(__xludf.DUMMYFUNCTION("""COMPUTED_VALUE"""),45797)</f>
        <v>45797</v>
      </c>
      <c r="H796" s="33" t="str">
        <f ca="1">IFERROR(__xludf.DUMMYFUNCTION("""COMPUTED_VALUE"""),"Costa Rica")</f>
        <v>Costa Rica</v>
      </c>
      <c r="I796" s="33" t="str">
        <f ca="1">IFERROR(__xludf.DUMMYFUNCTION("""COMPUTED_VALUE"""),"C2025523122424343")</f>
        <v>C2025523122424343</v>
      </c>
      <c r="J796" s="33" t="str">
        <f ca="1">IFERROR(__xludf.DUMMYFUNCTION("""COMPUTED_VALUE"""),"MÓNICA DE LA MORA")</f>
        <v>MÓNICA DE LA MORA</v>
      </c>
      <c r="K796" s="33">
        <f ca="1">IFERROR(__xludf.DUMMYFUNCTION("""COMPUTED_VALUE"""),2)</f>
        <v>2</v>
      </c>
      <c r="L796" s="203">
        <f ca="1">IFERROR(__xludf.DUMMYFUNCTION("""COMPUTED_VALUE"""),4000)</f>
        <v>4000</v>
      </c>
      <c r="M796" s="33" t="str">
        <f ca="1">IFERROR(__xludf.DUMMYFUNCTION("""COMPUTED_VALUE"""),"03 ORL")</f>
        <v>03 ORL</v>
      </c>
      <c r="N796" s="33" t="str">
        <f ca="1">IFERROR(__xludf.DUMMYFUNCTION("""COMPUTED_VALUE"""),"06 ORL")</f>
        <v>06 ORL</v>
      </c>
      <c r="O796" s="33" t="str">
        <f ca="1">IFERROR(__xludf.DUMMYFUNCTION("""COMPUTED_VALUE"""),"Dr, Carlos Armiño Megido")</f>
        <v>Dr, Carlos Armiño Megido</v>
      </c>
      <c r="P796" s="33" t="str">
        <f ca="1">IFERROR(__xludf.DUMMYFUNCTION("""COMPUTED_VALUE"""),"Lisandro Russian (Madrid, Cáceres, Toledo, Talavera Y Logroño)")</f>
        <v>Lisandro Russian (Madrid, Cáceres, Toledo, Talavera Y Logroño)</v>
      </c>
    </row>
    <row r="797" spans="2:16">
      <c r="B797" s="33">
        <f ca="1">IFERROR(__xludf.DUMMYFUNCTION("""COMPUTED_VALUE"""),2025)</f>
        <v>2025</v>
      </c>
      <c r="C797" s="33">
        <f ca="1">IFERROR(__xludf.DUMMYFUNCTION("""COMPUTED_VALUE"""),6)</f>
        <v>6</v>
      </c>
      <c r="D797" s="33" t="str">
        <f ca="1">IFERROR(__xludf.DUMMYFUNCTION("""COMPUTED_VALUE"""),"NO")</f>
        <v>NO</v>
      </c>
      <c r="E797" s="33" t="str">
        <f ca="1">IFERROR(__xludf.DUMMYFUNCTION("""COMPUTED_VALUE"""),"Madrid- Costa Rica")</f>
        <v>Madrid- Costa Rica</v>
      </c>
      <c r="F797" s="57">
        <f ca="1">IFERROR(__xludf.DUMMYFUNCTION("""COMPUTED_VALUE"""),45832)</f>
        <v>45832</v>
      </c>
      <c r="G797" s="57">
        <f ca="1">IFERROR(__xludf.DUMMYFUNCTION("""COMPUTED_VALUE"""),45797)</f>
        <v>45797</v>
      </c>
      <c r="H797" s="33" t="str">
        <f ca="1">IFERROR(__xludf.DUMMYFUNCTION("""COMPUTED_VALUE"""),"Costa Rica")</f>
        <v>Costa Rica</v>
      </c>
      <c r="I797" s="33" t="str">
        <f ca="1">IFERROR(__xludf.DUMMYFUNCTION("""COMPUTED_VALUE"""),"C202552116452833")</f>
        <v>C202552116452833</v>
      </c>
      <c r="J797" s="33" t="str">
        <f ca="1">IFERROR(__xludf.DUMMYFUNCTION("""COMPUTED_VALUE"""),"SANTIAGO  GOMEZ RAMOS")</f>
        <v>SANTIAGO  GOMEZ RAMOS</v>
      </c>
      <c r="K797" s="33">
        <f ca="1">IFERROR(__xludf.DUMMYFUNCTION("""COMPUTED_VALUE"""),2)</f>
        <v>2</v>
      </c>
      <c r="L797" s="203">
        <f ca="1">IFERROR(__xludf.DUMMYFUNCTION("""COMPUTED_VALUE"""),4000)</f>
        <v>4000</v>
      </c>
      <c r="M797" s="33" t="str">
        <f ca="1">IFERROR(__xludf.DUMMYFUNCTION("""COMPUTED_VALUE"""),"03 ORL")</f>
        <v>03 ORL</v>
      </c>
      <c r="N797" s="33" t="str">
        <f ca="1">IFERROR(__xludf.DUMMYFUNCTION("""COMPUTED_VALUE"""),"06 ORL")</f>
        <v>06 ORL</v>
      </c>
      <c r="O797" s="33" t="str">
        <f ca="1">IFERROR(__xludf.DUMMYFUNCTION("""COMPUTED_VALUE"""),"Dra, Alicia Gómez cabezas")</f>
        <v>Dra, Alicia Gómez cabezas</v>
      </c>
      <c r="P797" s="33" t="str">
        <f ca="1">IFERROR(__xludf.DUMMYFUNCTION("""COMPUTED_VALUE"""),"Lisandro Russian (Madrid, Cáceres, Toledo, Talavera Y Logroño)")</f>
        <v>Lisandro Russian (Madrid, Cáceres, Toledo, Talavera Y Logroño)</v>
      </c>
    </row>
    <row r="798" spans="2:16">
      <c r="B798" s="33">
        <f ca="1">IFERROR(__xludf.DUMMYFUNCTION("""COMPUTED_VALUE"""),2025)</f>
        <v>2025</v>
      </c>
      <c r="C798" s="33">
        <f ca="1">IFERROR(__xludf.DUMMYFUNCTION("""COMPUTED_VALUE"""),6)</f>
        <v>6</v>
      </c>
      <c r="D798" s="33" t="str">
        <f ca="1">IFERROR(__xludf.DUMMYFUNCTION("""COMPUTED_VALUE"""),"NO")</f>
        <v>NO</v>
      </c>
      <c r="E798" s="33" t="str">
        <f ca="1">IFERROR(__xludf.DUMMYFUNCTION("""COMPUTED_VALUE"""),"Madrid- Galileo")</f>
        <v>Madrid- Galileo</v>
      </c>
      <c r="F798" s="57">
        <f ca="1">IFERROR(__xludf.DUMMYFUNCTION("""COMPUTED_VALUE"""),45838)</f>
        <v>45838</v>
      </c>
      <c r="G798" s="57">
        <f ca="1">IFERROR(__xludf.DUMMYFUNCTION("""COMPUTED_VALUE"""),45806)</f>
        <v>45806</v>
      </c>
      <c r="H798" s="33" t="str">
        <f ca="1">IFERROR(__xludf.DUMMYFUNCTION("""COMPUTED_VALUE"""),"Moncloa")</f>
        <v>Moncloa</v>
      </c>
      <c r="I798" s="33" t="str">
        <f ca="1">IFERROR(__xludf.DUMMYFUNCTION("""COMPUTED_VALUE"""),"C202564181440169")</f>
        <v>C202564181440169</v>
      </c>
      <c r="J798" s="33" t="str">
        <f ca="1">IFERROR(__xludf.DUMMYFUNCTION("""COMPUTED_VALUE"""),"ANTONIO VILLODAS SANCHEZ")</f>
        <v>ANTONIO VILLODAS SANCHEZ</v>
      </c>
      <c r="K798" s="33">
        <f ca="1">IFERROR(__xludf.DUMMYFUNCTION("""COMPUTED_VALUE"""),2)</f>
        <v>2</v>
      </c>
      <c r="L798" s="203">
        <f ca="1">IFERROR(__xludf.DUMMYFUNCTION("""COMPUTED_VALUE"""),4000)</f>
        <v>4000</v>
      </c>
      <c r="M798" s="33" t="str">
        <f ca="1">IFERROR(__xludf.DUMMYFUNCTION("""COMPUTED_VALUE"""),"03 ORL")</f>
        <v>03 ORL</v>
      </c>
      <c r="N798" s="33" t="str">
        <f ca="1">IFERROR(__xludf.DUMMYFUNCTION("""COMPUTED_VALUE"""),"06 ORL")</f>
        <v>06 ORL</v>
      </c>
      <c r="O798" s="33" t="str">
        <f ca="1">IFERROR(__xludf.DUMMYFUNCTION("""COMPUTED_VALUE"""),"Dr, Javier Gavilanes Plasencia")</f>
        <v>Dr, Javier Gavilanes Plasencia</v>
      </c>
      <c r="P798" s="33" t="str">
        <f ca="1">IFERROR(__xludf.DUMMYFUNCTION("""COMPUTED_VALUE"""),"Maika Blázquez (Madrid)")</f>
        <v>Maika Blázquez (Madrid)</v>
      </c>
    </row>
    <row r="799" spans="2:16">
      <c r="B799" s="33">
        <f ca="1">IFERROR(__xludf.DUMMYFUNCTION("""COMPUTED_VALUE"""),2025)</f>
        <v>2025</v>
      </c>
      <c r="C799" s="33">
        <f ca="1">IFERROR(__xludf.DUMMYFUNCTION("""COMPUTED_VALUE"""),6)</f>
        <v>6</v>
      </c>
      <c r="D799" s="33" t="str">
        <f ca="1">IFERROR(__xludf.DUMMYFUNCTION("""COMPUTED_VALUE"""),"NO")</f>
        <v>NO</v>
      </c>
      <c r="E799" s="33" t="str">
        <f ca="1">IFERROR(__xludf.DUMMYFUNCTION("""COMPUTED_VALUE"""),"Madrid- Galileo")</f>
        <v>Madrid- Galileo</v>
      </c>
      <c r="F799" s="57">
        <f ca="1">IFERROR(__xludf.DUMMYFUNCTION("""COMPUTED_VALUE"""),45818)</f>
        <v>45818</v>
      </c>
      <c r="G799" s="57">
        <f ca="1">IFERROR(__xludf.DUMMYFUNCTION("""COMPUTED_VALUE"""),45785)</f>
        <v>45785</v>
      </c>
      <c r="H799" s="33" t="str">
        <f ca="1">IFERROR(__xludf.DUMMYFUNCTION("""COMPUTED_VALUE"""),"Moncloa")</f>
        <v>Moncloa</v>
      </c>
      <c r="I799" s="33" t="str">
        <f ca="1">IFERROR(__xludf.DUMMYFUNCTION("""COMPUTED_VALUE"""),"C202558134413505")</f>
        <v>C202558134413505</v>
      </c>
      <c r="J799" s="33" t="str">
        <f ca="1">IFERROR(__xludf.DUMMYFUNCTION("""COMPUTED_VALUE"""),"GIUSEPPE LA ROSA NATIVO")</f>
        <v>GIUSEPPE LA ROSA NATIVO</v>
      </c>
      <c r="K799" s="33">
        <f ca="1">IFERROR(__xludf.DUMMYFUNCTION("""COMPUTED_VALUE"""),2)</f>
        <v>2</v>
      </c>
      <c r="L799" s="203">
        <f ca="1">IFERROR(__xludf.DUMMYFUNCTION("""COMPUTED_VALUE"""),3524.5)</f>
        <v>3524.5</v>
      </c>
      <c r="M799" s="33" t="str">
        <f ca="1">IFERROR(__xludf.DUMMYFUNCTION("""COMPUTED_VALUE"""),"03 ORL")</f>
        <v>03 ORL</v>
      </c>
      <c r="N799" s="33" t="str">
        <f ca="1">IFERROR(__xludf.DUMMYFUNCTION("""COMPUTED_VALUE"""),"06 ORL")</f>
        <v>06 ORL</v>
      </c>
      <c r="O799" s="33" t="str">
        <f ca="1">IFERROR(__xludf.DUMMYFUNCTION("""COMPUTED_VALUE"""),"Dr, Ivan Mendez- Benegassi Silva")</f>
        <v>Dr, Ivan Mendez- Benegassi Silva</v>
      </c>
      <c r="P799" s="33" t="str">
        <f ca="1">IFERROR(__xludf.DUMMYFUNCTION("""COMPUTED_VALUE"""),"Maika Blázquez (Madrid)")</f>
        <v>Maika Blázquez (Madrid)</v>
      </c>
    </row>
    <row r="800" spans="2:16">
      <c r="B800" s="33">
        <f ca="1">IFERROR(__xludf.DUMMYFUNCTION("""COMPUTED_VALUE"""),2025)</f>
        <v>2025</v>
      </c>
      <c r="C800" s="33">
        <f ca="1">IFERROR(__xludf.DUMMYFUNCTION("""COMPUTED_VALUE"""),6)</f>
        <v>6</v>
      </c>
      <c r="D800" s="33" t="str">
        <f ca="1">IFERROR(__xludf.DUMMYFUNCTION("""COMPUTED_VALUE"""),"NO")</f>
        <v>NO</v>
      </c>
      <c r="E800" s="33" t="str">
        <f ca="1">IFERROR(__xludf.DUMMYFUNCTION("""COMPUTED_VALUE"""),"Madrid- Galileo")</f>
        <v>Madrid- Galileo</v>
      </c>
      <c r="F800" s="57">
        <f ca="1">IFERROR(__xludf.DUMMYFUNCTION("""COMPUTED_VALUE"""),45834)</f>
        <v>45834</v>
      </c>
      <c r="G800" s="57">
        <f ca="1">IFERROR(__xludf.DUMMYFUNCTION("""COMPUTED_VALUE"""),45786)</f>
        <v>45786</v>
      </c>
      <c r="H800" s="33" t="str">
        <f ca="1">IFERROR(__xludf.DUMMYFUNCTION("""COMPUTED_VALUE"""),"Moncloa")</f>
        <v>Moncloa</v>
      </c>
      <c r="I800" s="33" t="str">
        <f ca="1">IFERROR(__xludf.DUMMYFUNCTION("""COMPUTED_VALUE"""),"C202551310566282")</f>
        <v>C202551310566282</v>
      </c>
      <c r="J800" s="33" t="str">
        <f ca="1">IFERROR(__xludf.DUMMYFUNCTION("""COMPUTED_VALUE"""),"MARIA DEL CARMEN RUEDA OLIVA")</f>
        <v>MARIA DEL CARMEN RUEDA OLIVA</v>
      </c>
      <c r="K800" s="33">
        <f ca="1">IFERROR(__xludf.DUMMYFUNCTION("""COMPUTED_VALUE"""),3)</f>
        <v>3</v>
      </c>
      <c r="L800" s="203">
        <f ca="1">IFERROR(__xludf.DUMMYFUNCTION("""COMPUTED_VALUE"""),4569.32)</f>
        <v>4569.32</v>
      </c>
      <c r="M800" s="33" t="str">
        <f ca="1">IFERROR(__xludf.DUMMYFUNCTION("""COMPUTED_VALUE"""),"03 ORL")</f>
        <v>03 ORL</v>
      </c>
      <c r="N800" s="33" t="str">
        <f ca="1">IFERROR(__xludf.DUMMYFUNCTION("""COMPUTED_VALUE"""),"06 ORL")</f>
        <v>06 ORL</v>
      </c>
      <c r="O800" s="33" t="str">
        <f ca="1">IFERROR(__xludf.DUMMYFUNCTION("""COMPUTED_VALUE"""),"Dr, Antonio Rodríguez Rivero")</f>
        <v>Dr, Antonio Rodríguez Rivero</v>
      </c>
      <c r="P800" s="33" t="str">
        <f ca="1">IFERROR(__xludf.DUMMYFUNCTION("""COMPUTED_VALUE"""),"Maika Blázquez (Madrid)")</f>
        <v>Maika Blázquez (Madrid)</v>
      </c>
    </row>
    <row r="801" spans="2:16">
      <c r="B801" s="33">
        <f ca="1">IFERROR(__xludf.DUMMYFUNCTION("""COMPUTED_VALUE"""),2025)</f>
        <v>2025</v>
      </c>
      <c r="C801" s="33">
        <f ca="1">IFERROR(__xludf.DUMMYFUNCTION("""COMPUTED_VALUE"""),6)</f>
        <v>6</v>
      </c>
      <c r="D801" s="33" t="str">
        <f ca="1">IFERROR(__xludf.DUMMYFUNCTION("""COMPUTED_VALUE"""),"NO")</f>
        <v>NO</v>
      </c>
      <c r="E801" s="33" t="str">
        <f ca="1">IFERROR(__xludf.DUMMYFUNCTION("""COMPUTED_VALUE"""),"Madrid- Galileo")</f>
        <v>Madrid- Galileo</v>
      </c>
      <c r="F801" s="57">
        <f ca="1">IFERROR(__xludf.DUMMYFUNCTION("""COMPUTED_VALUE"""),45835)</f>
        <v>45835</v>
      </c>
      <c r="G801" s="57">
        <f ca="1">IFERROR(__xludf.DUMMYFUNCTION("""COMPUTED_VALUE"""),45784)</f>
        <v>45784</v>
      </c>
      <c r="H801" s="33" t="str">
        <f ca="1">IFERROR(__xludf.DUMMYFUNCTION("""COMPUTED_VALUE"""),"Moncloa")</f>
        <v>Moncloa</v>
      </c>
      <c r="I801" s="33" t="str">
        <f ca="1">IFERROR(__xludf.DUMMYFUNCTION("""COMPUTED_VALUE"""),"C202551316619674")</f>
        <v>C202551316619674</v>
      </c>
      <c r="J801" s="33" t="str">
        <f ca="1">IFERROR(__xludf.DUMMYFUNCTION("""COMPUTED_VALUE"""),"MARIAN ELISABET MACCOLL SPROULE")</f>
        <v>MARIAN ELISABET MACCOLL SPROULE</v>
      </c>
      <c r="K801" s="33">
        <f ca="1">IFERROR(__xludf.DUMMYFUNCTION("""COMPUTED_VALUE"""),2)</f>
        <v>2</v>
      </c>
      <c r="L801" s="203">
        <f ca="1">IFERROR(__xludf.DUMMYFUNCTION("""COMPUTED_VALUE"""),3800)</f>
        <v>3800</v>
      </c>
      <c r="M801" s="33" t="str">
        <f ca="1">IFERROR(__xludf.DUMMYFUNCTION("""COMPUTED_VALUE"""),"03 ORL")</f>
        <v>03 ORL</v>
      </c>
      <c r="N801" s="33" t="str">
        <f ca="1">IFERROR(__xludf.DUMMYFUNCTION("""COMPUTED_VALUE"""),"06 ORL")</f>
        <v>06 ORL</v>
      </c>
      <c r="O801" s="33" t="str">
        <f ca="1">IFERROR(__xludf.DUMMYFUNCTION("""COMPUTED_VALUE"""),"Dra, Marta Chaurre Cordero")</f>
        <v>Dra, Marta Chaurre Cordero</v>
      </c>
      <c r="P801" s="33" t="str">
        <f ca="1">IFERROR(__xludf.DUMMYFUNCTION("""COMPUTED_VALUE"""),"Maika Blázquez (Madrid)")</f>
        <v>Maika Blázquez (Madrid)</v>
      </c>
    </row>
    <row r="802" spans="2:16">
      <c r="B802" s="33">
        <f ca="1">IFERROR(__xludf.DUMMYFUNCTION("""COMPUTED_VALUE"""),2025)</f>
        <v>2025</v>
      </c>
      <c r="C802" s="33">
        <f ca="1">IFERROR(__xludf.DUMMYFUNCTION("""COMPUTED_VALUE"""),6)</f>
        <v>6</v>
      </c>
      <c r="D802" s="33" t="str">
        <f ca="1">IFERROR(__xludf.DUMMYFUNCTION("""COMPUTED_VALUE"""),"NO")</f>
        <v>NO</v>
      </c>
      <c r="E802" s="33" t="str">
        <f ca="1">IFERROR(__xludf.DUMMYFUNCTION("""COMPUTED_VALUE"""),"Madrid- Juan Bravo")</f>
        <v>Madrid- Juan Bravo</v>
      </c>
      <c r="F802" s="57">
        <f ca="1">IFERROR(__xludf.DUMMYFUNCTION("""COMPUTED_VALUE"""),45838)</f>
        <v>45838</v>
      </c>
      <c r="G802" s="57">
        <f ca="1">IFERROR(__xludf.DUMMYFUNCTION("""COMPUTED_VALUE"""),45810)</f>
        <v>45810</v>
      </c>
      <c r="H802" s="33" t="str">
        <f ca="1">IFERROR(__xludf.DUMMYFUNCTION("""COMPUTED_VALUE"""),"Juan Bravo")</f>
        <v>Juan Bravo</v>
      </c>
      <c r="I802" s="33" t="str">
        <f ca="1">IFERROR(__xludf.DUMMYFUNCTION("""COMPUTED_VALUE"""),"C202563103728804")</f>
        <v>C202563103728804</v>
      </c>
      <c r="J802" s="33" t="str">
        <f ca="1">IFERROR(__xludf.DUMMYFUNCTION("""COMPUTED_VALUE"""),"ANGEL LUIS MARTINEZ SANCHEZ")</f>
        <v>ANGEL LUIS MARTINEZ SANCHEZ</v>
      </c>
      <c r="K802" s="33">
        <f ca="1">IFERROR(__xludf.DUMMYFUNCTION("""COMPUTED_VALUE"""),2)</f>
        <v>2</v>
      </c>
      <c r="L802" s="203">
        <f ca="1">IFERROR(__xludf.DUMMYFUNCTION("""COMPUTED_VALUE"""),3800)</f>
        <v>3800</v>
      </c>
      <c r="M802" s="33" t="str">
        <f ca="1">IFERROR(__xludf.DUMMYFUNCTION("""COMPUTED_VALUE"""),"03 ORL")</f>
        <v>03 ORL</v>
      </c>
      <c r="N802" s="33" t="str">
        <f ca="1">IFERROR(__xludf.DUMMYFUNCTION("""COMPUTED_VALUE"""),"06 ORL")</f>
        <v>06 ORL</v>
      </c>
      <c r="O802" s="33" t="str">
        <f ca="1">IFERROR(__xludf.DUMMYFUNCTION("""COMPUTED_VALUE"""),"Dr, Carlos Barajas del Rosal")</f>
        <v>Dr, Carlos Barajas del Rosal</v>
      </c>
      <c r="P802" s="33" t="str">
        <f ca="1">IFERROR(__xludf.DUMMYFUNCTION("""COMPUTED_VALUE"""),"Lisandro Russian (Madrid, Cáceres, Toledo, Talavera Y Logroño)")</f>
        <v>Lisandro Russian (Madrid, Cáceres, Toledo, Talavera Y Logroño)</v>
      </c>
    </row>
    <row r="803" spans="2:16">
      <c r="B803" s="33">
        <f ca="1">IFERROR(__xludf.DUMMYFUNCTION("""COMPUTED_VALUE"""),2025)</f>
        <v>2025</v>
      </c>
      <c r="C803" s="33">
        <f ca="1">IFERROR(__xludf.DUMMYFUNCTION("""COMPUTED_VALUE"""),6)</f>
        <v>6</v>
      </c>
      <c r="D803" s="33" t="str">
        <f ca="1">IFERROR(__xludf.DUMMYFUNCTION("""COMPUTED_VALUE"""),"NO")</f>
        <v>NO</v>
      </c>
      <c r="E803" s="33" t="str">
        <f ca="1">IFERROR(__xludf.DUMMYFUNCTION("""COMPUTED_VALUE"""),"Madrid- Juan Bravo")</f>
        <v>Madrid- Juan Bravo</v>
      </c>
      <c r="F803" s="57">
        <f ca="1">IFERROR(__xludf.DUMMYFUNCTION("""COMPUTED_VALUE"""),45834)</f>
        <v>45834</v>
      </c>
      <c r="G803" s="57">
        <f ca="1">IFERROR(__xludf.DUMMYFUNCTION("""COMPUTED_VALUE"""),45791)</f>
        <v>45791</v>
      </c>
      <c r="H803" s="33" t="str">
        <f ca="1">IFERROR(__xludf.DUMMYFUNCTION("""COMPUTED_VALUE"""),"Juan Bravo")</f>
        <v>Juan Bravo</v>
      </c>
      <c r="I803" s="33" t="str">
        <f ca="1">IFERROR(__xludf.DUMMYFUNCTION("""COMPUTED_VALUE"""),"C2025520122652900")</f>
        <v>C2025520122652900</v>
      </c>
      <c r="J803" s="33" t="str">
        <f ca="1">IFERROR(__xludf.DUMMYFUNCTION("""COMPUTED_VALUE"""),"ANTONIO JESUS VALENZUELA VERA")</f>
        <v>ANTONIO JESUS VALENZUELA VERA</v>
      </c>
      <c r="K803" s="33">
        <f ca="1">IFERROR(__xludf.DUMMYFUNCTION("""COMPUTED_VALUE"""),2)</f>
        <v>2</v>
      </c>
      <c r="L803" s="203">
        <f ca="1">IFERROR(__xludf.DUMMYFUNCTION("""COMPUTED_VALUE"""),4000)</f>
        <v>4000</v>
      </c>
      <c r="M803" s="33" t="str">
        <f ca="1">IFERROR(__xludf.DUMMYFUNCTION("""COMPUTED_VALUE"""),"03 ORL")</f>
        <v>03 ORL</v>
      </c>
      <c r="N803" s="33" t="str">
        <f ca="1">IFERROR(__xludf.DUMMYFUNCTION("""COMPUTED_VALUE"""),"06 ORL")</f>
        <v>06 ORL</v>
      </c>
      <c r="O803" s="33" t="str">
        <f ca="1">IFERROR(__xludf.DUMMYFUNCTION("""COMPUTED_VALUE"""),"Dr, Julio López Moya")</f>
        <v>Dr, Julio López Moya</v>
      </c>
      <c r="P803" s="33" t="str">
        <f ca="1">IFERROR(__xludf.DUMMYFUNCTION("""COMPUTED_VALUE"""),"Maika Blázquez (Madrid)")</f>
        <v>Maika Blázquez (Madrid)</v>
      </c>
    </row>
    <row r="804" spans="2:16">
      <c r="B804" s="33">
        <f ca="1">IFERROR(__xludf.DUMMYFUNCTION("""COMPUTED_VALUE"""),2025)</f>
        <v>2025</v>
      </c>
      <c r="C804" s="33">
        <f ca="1">IFERROR(__xludf.DUMMYFUNCTION("""COMPUTED_VALUE"""),6)</f>
        <v>6</v>
      </c>
      <c r="D804" s="33" t="str">
        <f ca="1">IFERROR(__xludf.DUMMYFUNCTION("""COMPUTED_VALUE"""),"NO")</f>
        <v>NO</v>
      </c>
      <c r="E804" s="33" t="str">
        <f ca="1">IFERROR(__xludf.DUMMYFUNCTION("""COMPUTED_VALUE"""),"Madrid- Juan Bravo")</f>
        <v>Madrid- Juan Bravo</v>
      </c>
      <c r="F804" s="57">
        <f ca="1">IFERROR(__xludf.DUMMYFUNCTION("""COMPUTED_VALUE"""),45826)</f>
        <v>45826</v>
      </c>
      <c r="G804" s="57">
        <f ca="1">IFERROR(__xludf.DUMMYFUNCTION("""COMPUTED_VALUE"""),45793)</f>
        <v>45793</v>
      </c>
      <c r="H804" s="33" t="str">
        <f ca="1">IFERROR(__xludf.DUMMYFUNCTION("""COMPUTED_VALUE"""),"Juan Bravo")</f>
        <v>Juan Bravo</v>
      </c>
      <c r="I804" s="33" t="str">
        <f ca="1">IFERROR(__xludf.DUMMYFUNCTION("""COMPUTED_VALUE"""),"C20255221010110")</f>
        <v>C20255221010110</v>
      </c>
      <c r="J804" s="33" t="str">
        <f ca="1">IFERROR(__xludf.DUMMYFUNCTION("""COMPUTED_VALUE"""),"BEGOÑA  SERRANO MAÑUECO")</f>
        <v>BEGOÑA  SERRANO MAÑUECO</v>
      </c>
      <c r="K804" s="33">
        <f ca="1">IFERROR(__xludf.DUMMYFUNCTION("""COMPUTED_VALUE"""),2)</f>
        <v>2</v>
      </c>
      <c r="L804" s="203">
        <f ca="1">IFERROR(__xludf.DUMMYFUNCTION("""COMPUTED_VALUE"""),2888.18)</f>
        <v>2888.18</v>
      </c>
      <c r="M804" s="33" t="str">
        <f ca="1">IFERROR(__xludf.DUMMYFUNCTION("""COMPUTED_VALUE"""),"03 ORL")</f>
        <v>03 ORL</v>
      </c>
      <c r="N804" s="33" t="str">
        <f ca="1">IFERROR(__xludf.DUMMYFUNCTION("""COMPUTED_VALUE"""),"06 ORL")</f>
        <v>06 ORL</v>
      </c>
      <c r="O804" s="33" t="str">
        <f ca="1">IFERROR(__xludf.DUMMYFUNCTION("""COMPUTED_VALUE"""),"Dr, Esteban Scola Pliego")</f>
        <v>Dr, Esteban Scola Pliego</v>
      </c>
      <c r="P804" s="33" t="str">
        <f ca="1">IFERROR(__xludf.DUMMYFUNCTION("""COMPUTED_VALUE"""),"Maika Blázquez (Madrid)")</f>
        <v>Maika Blázquez (Madrid)</v>
      </c>
    </row>
    <row r="805" spans="2:16">
      <c r="B805" s="33">
        <f ca="1">IFERROR(__xludf.DUMMYFUNCTION("""COMPUTED_VALUE"""),2025)</f>
        <v>2025</v>
      </c>
      <c r="C805" s="33">
        <f ca="1">IFERROR(__xludf.DUMMYFUNCTION("""COMPUTED_VALUE"""),6)</f>
        <v>6</v>
      </c>
      <c r="D805" s="33" t="str">
        <f ca="1">IFERROR(__xludf.DUMMYFUNCTION("""COMPUTED_VALUE"""),"NO")</f>
        <v>NO</v>
      </c>
      <c r="E805" s="33" t="str">
        <f ca="1">IFERROR(__xludf.DUMMYFUNCTION("""COMPUTED_VALUE"""),"Madrid- Juan Bravo")</f>
        <v>Madrid- Juan Bravo</v>
      </c>
      <c r="F805" s="57">
        <f ca="1">IFERROR(__xludf.DUMMYFUNCTION("""COMPUTED_VALUE"""),45834)</f>
        <v>45834</v>
      </c>
      <c r="G805" s="57">
        <f ca="1">IFERROR(__xludf.DUMMYFUNCTION("""COMPUTED_VALUE"""),45806)</f>
        <v>45806</v>
      </c>
      <c r="H805" s="33" t="str">
        <f ca="1">IFERROR(__xludf.DUMMYFUNCTION("""COMPUTED_VALUE"""),"Juan Bravo")</f>
        <v>Juan Bravo</v>
      </c>
      <c r="I805" s="33" t="str">
        <f ca="1">IFERROR(__xludf.DUMMYFUNCTION("""COMPUTED_VALUE"""),"C202562123823770")</f>
        <v>C202562123823770</v>
      </c>
      <c r="J805" s="33" t="str">
        <f ca="1">IFERROR(__xludf.DUMMYFUNCTION("""COMPUTED_VALUE"""),"CAYETANO DIAZ PEREZ")</f>
        <v>CAYETANO DIAZ PEREZ</v>
      </c>
      <c r="K805" s="33">
        <f ca="1">IFERROR(__xludf.DUMMYFUNCTION("""COMPUTED_VALUE"""),2)</f>
        <v>2</v>
      </c>
      <c r="L805" s="203">
        <f ca="1">IFERROR(__xludf.DUMMYFUNCTION("""COMPUTED_VALUE"""),3800)</f>
        <v>3800</v>
      </c>
      <c r="M805" s="33" t="str">
        <f ca="1">IFERROR(__xludf.DUMMYFUNCTION("""COMPUTED_VALUE"""),"03 ORL")</f>
        <v>03 ORL</v>
      </c>
      <c r="N805" s="33" t="str">
        <f ca="1">IFERROR(__xludf.DUMMYFUNCTION("""COMPUTED_VALUE"""),"06 ORL")</f>
        <v>06 ORL</v>
      </c>
      <c r="O805" s="33" t="str">
        <f ca="1">IFERROR(__xludf.DUMMYFUNCTION("""COMPUTED_VALUE"""),"Dr, Carlos Barajas del Rosal")</f>
        <v>Dr, Carlos Barajas del Rosal</v>
      </c>
      <c r="P805" s="33" t="str">
        <f ca="1">IFERROR(__xludf.DUMMYFUNCTION("""COMPUTED_VALUE"""),"Lisandro Russian (Madrid, Cáceres, Toledo, Talavera Y Logroño)")</f>
        <v>Lisandro Russian (Madrid, Cáceres, Toledo, Talavera Y Logroño)</v>
      </c>
    </row>
    <row r="806" spans="2:16">
      <c r="B806" s="33">
        <f ca="1">IFERROR(__xludf.DUMMYFUNCTION("""COMPUTED_VALUE"""),2025)</f>
        <v>2025</v>
      </c>
      <c r="C806" s="33">
        <f ca="1">IFERROR(__xludf.DUMMYFUNCTION("""COMPUTED_VALUE"""),6)</f>
        <v>6</v>
      </c>
      <c r="D806" s="33" t="str">
        <f ca="1">IFERROR(__xludf.DUMMYFUNCTION("""COMPUTED_VALUE"""),"NO")</f>
        <v>NO</v>
      </c>
      <c r="E806" s="33" t="str">
        <f ca="1">IFERROR(__xludf.DUMMYFUNCTION("""COMPUTED_VALUE"""),"Madrid- Juan Bravo")</f>
        <v>Madrid- Juan Bravo</v>
      </c>
      <c r="F806" s="57">
        <f ca="1">IFERROR(__xludf.DUMMYFUNCTION("""COMPUTED_VALUE"""),45812)</f>
        <v>45812</v>
      </c>
      <c r="G806" s="57">
        <f ca="1">IFERROR(__xludf.DUMMYFUNCTION("""COMPUTED_VALUE"""),45784)</f>
        <v>45784</v>
      </c>
      <c r="H806" s="33" t="str">
        <f ca="1">IFERROR(__xludf.DUMMYFUNCTION("""COMPUTED_VALUE"""),"Juan Bravo")</f>
        <v>Juan Bravo</v>
      </c>
      <c r="I806" s="33" t="str">
        <f ca="1">IFERROR(__xludf.DUMMYFUNCTION("""COMPUTED_VALUE"""),"C202559121458851")</f>
        <v>C202559121458851</v>
      </c>
      <c r="J806" s="33" t="str">
        <f ca="1">IFERROR(__xludf.DUMMYFUNCTION("""COMPUTED_VALUE"""),"JOSE LUIS  GUERRERO ESTEBANEZ")</f>
        <v>JOSE LUIS  GUERRERO ESTEBANEZ</v>
      </c>
      <c r="K806" s="33">
        <f ca="1">IFERROR(__xludf.DUMMYFUNCTION("""COMPUTED_VALUE"""),2)</f>
        <v>2</v>
      </c>
      <c r="L806" s="203">
        <f ca="1">IFERROR(__xludf.DUMMYFUNCTION("""COMPUTED_VALUE"""),4000)</f>
        <v>4000</v>
      </c>
      <c r="M806" s="33" t="str">
        <f ca="1">IFERROR(__xludf.DUMMYFUNCTION("""COMPUTED_VALUE"""),"03 ORL")</f>
        <v>03 ORL</v>
      </c>
      <c r="N806" s="33" t="str">
        <f ca="1">IFERROR(__xludf.DUMMYFUNCTION("""COMPUTED_VALUE"""),"06 ORL")</f>
        <v>06 ORL</v>
      </c>
      <c r="O806" s="33" t="str">
        <f ca="1">IFERROR(__xludf.DUMMYFUNCTION("""COMPUTED_VALUE"""),"Dr, Carlos Barajas del Rosal")</f>
        <v>Dr, Carlos Barajas del Rosal</v>
      </c>
      <c r="P806" s="33" t="str">
        <f ca="1">IFERROR(__xludf.DUMMYFUNCTION("""COMPUTED_VALUE"""),"Lisandro Russian (Madrid, Cáceres, Toledo, Talavera Y Logroño)")</f>
        <v>Lisandro Russian (Madrid, Cáceres, Toledo, Talavera Y Logroño)</v>
      </c>
    </row>
    <row r="807" spans="2:16">
      <c r="B807" s="33">
        <f ca="1">IFERROR(__xludf.DUMMYFUNCTION("""COMPUTED_VALUE"""),2025)</f>
        <v>2025</v>
      </c>
      <c r="C807" s="33">
        <f ca="1">IFERROR(__xludf.DUMMYFUNCTION("""COMPUTED_VALUE"""),6)</f>
        <v>6</v>
      </c>
      <c r="D807" s="33" t="str">
        <f ca="1">IFERROR(__xludf.DUMMYFUNCTION("""COMPUTED_VALUE"""),"NO")</f>
        <v>NO</v>
      </c>
      <c r="E807" s="33" t="str">
        <f ca="1">IFERROR(__xludf.DUMMYFUNCTION("""COMPUTED_VALUE"""),"Madrid- Juan Bravo")</f>
        <v>Madrid- Juan Bravo</v>
      </c>
      <c r="F807" s="57">
        <f ca="1">IFERROR(__xludf.DUMMYFUNCTION("""COMPUTED_VALUE"""),45820)</f>
        <v>45820</v>
      </c>
      <c r="G807" s="57">
        <f ca="1">IFERROR(__xludf.DUMMYFUNCTION("""COMPUTED_VALUE"""),45789)</f>
        <v>45789</v>
      </c>
      <c r="H807" s="33" t="str">
        <f ca="1">IFERROR(__xludf.DUMMYFUNCTION("""COMPUTED_VALUE"""),"Juan Bravo")</f>
        <v>Juan Bravo</v>
      </c>
      <c r="I807" s="33" t="str">
        <f ca="1">IFERROR(__xludf.DUMMYFUNCTION("""COMPUTED_VALUE"""),"C2025521172440486")</f>
        <v>C2025521172440486</v>
      </c>
      <c r="J807" s="33" t="str">
        <f ca="1">IFERROR(__xludf.DUMMYFUNCTION("""COMPUTED_VALUE"""),"JUAN MANUEL LOPEZ MOMPEÁN")</f>
        <v>JUAN MANUEL LOPEZ MOMPEÁN</v>
      </c>
      <c r="K807" s="33">
        <f ca="1">IFERROR(__xludf.DUMMYFUNCTION("""COMPUTED_VALUE"""),2)</f>
        <v>2</v>
      </c>
      <c r="L807" s="203">
        <f ca="1">IFERROR(__xludf.DUMMYFUNCTION("""COMPUTED_VALUE"""),3800)</f>
        <v>3800</v>
      </c>
      <c r="M807" s="33" t="str">
        <f ca="1">IFERROR(__xludf.DUMMYFUNCTION("""COMPUTED_VALUE"""),"03 ORL")</f>
        <v>03 ORL</v>
      </c>
      <c r="N807" s="33" t="str">
        <f ca="1">IFERROR(__xludf.DUMMYFUNCTION("""COMPUTED_VALUE"""),"06 ORL")</f>
        <v>06 ORL</v>
      </c>
      <c r="O807" s="33" t="str">
        <f ca="1">IFERROR(__xludf.DUMMYFUNCTION("""COMPUTED_VALUE"""),"Dr, Carlos Barajas del Rosal")</f>
        <v>Dr, Carlos Barajas del Rosal</v>
      </c>
      <c r="P807" s="33" t="str">
        <f ca="1">IFERROR(__xludf.DUMMYFUNCTION("""COMPUTED_VALUE"""),"Lisandro Russian (Madrid, Cáceres, Toledo, Talavera Y Logroño)")</f>
        <v>Lisandro Russian (Madrid, Cáceres, Toledo, Talavera Y Logroño)</v>
      </c>
    </row>
    <row r="808" spans="2:16">
      <c r="B808" s="33">
        <f ca="1">IFERROR(__xludf.DUMMYFUNCTION("""COMPUTED_VALUE"""),2025)</f>
        <v>2025</v>
      </c>
      <c r="C808" s="33">
        <f ca="1">IFERROR(__xludf.DUMMYFUNCTION("""COMPUTED_VALUE"""),6)</f>
        <v>6</v>
      </c>
      <c r="D808" s="33" t="str">
        <f ca="1">IFERROR(__xludf.DUMMYFUNCTION("""COMPUTED_VALUE"""),"NO")</f>
        <v>NO</v>
      </c>
      <c r="E808" s="33" t="str">
        <f ca="1">IFERROR(__xludf.DUMMYFUNCTION("""COMPUTED_VALUE"""),"Madrid- La Oca")</f>
        <v>Madrid- La Oca</v>
      </c>
      <c r="F808" s="57">
        <f ca="1">IFERROR(__xludf.DUMMYFUNCTION("""COMPUTED_VALUE"""),45821)</f>
        <v>45821</v>
      </c>
      <c r="G808" s="57">
        <f ca="1">IFERROR(__xludf.DUMMYFUNCTION("""COMPUTED_VALUE"""),45800)</f>
        <v>45800</v>
      </c>
      <c r="H808" s="33" t="str">
        <f ca="1">IFERROR(__xludf.DUMMYFUNCTION("""COMPUTED_VALUE"""),"La Oca")</f>
        <v>La Oca</v>
      </c>
      <c r="I808" s="33" t="str">
        <f ca="1">IFERROR(__xludf.DUMMYFUNCTION("""COMPUTED_VALUE"""),"C2025523111220757")</f>
        <v>C2025523111220757</v>
      </c>
      <c r="J808" s="33" t="str">
        <f ca="1">IFERROR(__xludf.DUMMYFUNCTION("""COMPUTED_VALUE"""),"AMPARO MARTIN GONZALEZ")</f>
        <v>AMPARO MARTIN GONZALEZ</v>
      </c>
      <c r="K808" s="33">
        <f ca="1">IFERROR(__xludf.DUMMYFUNCTION("""COMPUTED_VALUE"""),2)</f>
        <v>2</v>
      </c>
      <c r="L808" s="203">
        <f ca="1">IFERROR(__xludf.DUMMYFUNCTION("""COMPUTED_VALUE"""),3710)</f>
        <v>3710</v>
      </c>
      <c r="M808" s="33" t="str">
        <f ca="1">IFERROR(__xludf.DUMMYFUNCTION("""COMPUTED_VALUE"""),"03 ORL")</f>
        <v>03 ORL</v>
      </c>
      <c r="N808" s="33" t="str">
        <f ca="1">IFERROR(__xludf.DUMMYFUNCTION("""COMPUTED_VALUE"""),"06 ORL")</f>
        <v>06 ORL</v>
      </c>
      <c r="O808" s="33" t="str">
        <f ca="1">IFERROR(__xludf.DUMMYFUNCTION("""COMPUTED_VALUE"""),"Dr, Eviatar Friedlander")</f>
        <v>Dr, Eviatar Friedlander</v>
      </c>
      <c r="P808" s="33" t="str">
        <f ca="1">IFERROR(__xludf.DUMMYFUNCTION("""COMPUTED_VALUE"""),"Maika Blázquez (Madrid)")</f>
        <v>Maika Blázquez (Madrid)</v>
      </c>
    </row>
    <row r="809" spans="2:16">
      <c r="B809" s="33">
        <f ca="1">IFERROR(__xludf.DUMMYFUNCTION("""COMPUTED_VALUE"""),2025)</f>
        <v>2025</v>
      </c>
      <c r="C809" s="33">
        <f ca="1">IFERROR(__xludf.DUMMYFUNCTION("""COMPUTED_VALUE"""),6)</f>
        <v>6</v>
      </c>
      <c r="D809" s="33" t="str">
        <f ca="1">IFERROR(__xludf.DUMMYFUNCTION("""COMPUTED_VALUE"""),"NO")</f>
        <v>NO</v>
      </c>
      <c r="E809" s="33" t="str">
        <f ca="1">IFERROR(__xludf.DUMMYFUNCTION("""COMPUTED_VALUE"""),"Madrid- La Oca")</f>
        <v>Madrid- La Oca</v>
      </c>
      <c r="F809" s="57">
        <f ca="1">IFERROR(__xludf.DUMMYFUNCTION("""COMPUTED_VALUE"""),45827)</f>
        <v>45827</v>
      </c>
      <c r="G809" s="57">
        <f ca="1">IFERROR(__xludf.DUMMYFUNCTION("""COMPUTED_VALUE"""),45790)</f>
        <v>45790</v>
      </c>
      <c r="H809" s="33" t="str">
        <f ca="1">IFERROR(__xludf.DUMMYFUNCTION("""COMPUTED_VALUE"""),"La Oca")</f>
        <v>La Oca</v>
      </c>
      <c r="I809" s="33" t="str">
        <f ca="1">IFERROR(__xludf.DUMMYFUNCTION("""COMPUTED_VALUE"""),"C2025516113440280")</f>
        <v>C2025516113440280</v>
      </c>
      <c r="J809" s="33" t="str">
        <f ca="1">IFERROR(__xludf.DUMMYFUNCTION("""COMPUTED_VALUE"""),"CATALINA BALLESTEROS DE ANA")</f>
        <v>CATALINA BALLESTEROS DE ANA</v>
      </c>
      <c r="K809" s="33">
        <f ca="1">IFERROR(__xludf.DUMMYFUNCTION("""COMPUTED_VALUE"""),1)</f>
        <v>1</v>
      </c>
      <c r="L809" s="203">
        <f ca="1">IFERROR(__xludf.DUMMYFUNCTION("""COMPUTED_VALUE"""),1732.73)</f>
        <v>1732.73</v>
      </c>
      <c r="M809" s="33" t="str">
        <f ca="1">IFERROR(__xludf.DUMMYFUNCTION("""COMPUTED_VALUE"""),"03 ORL")</f>
        <v>03 ORL</v>
      </c>
      <c r="N809" s="33" t="str">
        <f ca="1">IFERROR(__xludf.DUMMYFUNCTION("""COMPUTED_VALUE"""),"06 ORL")</f>
        <v>06 ORL</v>
      </c>
      <c r="O809" s="33" t="str">
        <f ca="1">IFERROR(__xludf.DUMMYFUNCTION("""COMPUTED_VALUE"""),"Dra, Inmaculada Sancho Martín")</f>
        <v>Dra, Inmaculada Sancho Martín</v>
      </c>
      <c r="P809" s="33" t="str">
        <f ca="1">IFERROR(__xludf.DUMMYFUNCTION("""COMPUTED_VALUE"""),"Maika Blázquez (Madrid)")</f>
        <v>Maika Blázquez (Madrid)</v>
      </c>
    </row>
    <row r="810" spans="2:16">
      <c r="B810" s="33">
        <f ca="1">IFERROR(__xludf.DUMMYFUNCTION("""COMPUTED_VALUE"""),2025)</f>
        <v>2025</v>
      </c>
      <c r="C810" s="33">
        <f ca="1">IFERROR(__xludf.DUMMYFUNCTION("""COMPUTED_VALUE"""),6)</f>
        <v>6</v>
      </c>
      <c r="D810" s="33" t="str">
        <f ca="1">IFERROR(__xludf.DUMMYFUNCTION("""COMPUTED_VALUE"""),"NO")</f>
        <v>NO</v>
      </c>
      <c r="E810" s="33" t="str">
        <f ca="1">IFERROR(__xludf.DUMMYFUNCTION("""COMPUTED_VALUE"""),"Madrid- La Oca")</f>
        <v>Madrid- La Oca</v>
      </c>
      <c r="F810" s="57">
        <f ca="1">IFERROR(__xludf.DUMMYFUNCTION("""COMPUTED_VALUE"""),45819)</f>
        <v>45819</v>
      </c>
      <c r="G810" s="57">
        <f ca="1">IFERROR(__xludf.DUMMYFUNCTION("""COMPUTED_VALUE"""),45790)</f>
        <v>45790</v>
      </c>
      <c r="H810" s="33" t="str">
        <f ca="1">IFERROR(__xludf.DUMMYFUNCTION("""COMPUTED_VALUE"""),"La Oca")</f>
        <v>La Oca</v>
      </c>
      <c r="I810" s="33" t="str">
        <f ca="1">IFERROR(__xludf.DUMMYFUNCTION("""COMPUTED_VALUE"""),"C2025516152429719")</f>
        <v>C2025516152429719</v>
      </c>
      <c r="J810" s="33" t="str">
        <f ca="1">IFERROR(__xludf.DUMMYFUNCTION("""COMPUTED_VALUE"""),"JUAN ANTONIO GUTIERREZ LOPEZ")</f>
        <v>JUAN ANTONIO GUTIERREZ LOPEZ</v>
      </c>
      <c r="K810" s="33">
        <f ca="1">IFERROR(__xludf.DUMMYFUNCTION("""COMPUTED_VALUE"""),2)</f>
        <v>2</v>
      </c>
      <c r="L810" s="203">
        <f ca="1">IFERROR(__xludf.DUMMYFUNCTION("""COMPUTED_VALUE"""),3710)</f>
        <v>3710</v>
      </c>
      <c r="M810" s="33" t="str">
        <f ca="1">IFERROR(__xludf.DUMMYFUNCTION("""COMPUTED_VALUE"""),"03 ORL")</f>
        <v>03 ORL</v>
      </c>
      <c r="N810" s="33" t="str">
        <f ca="1">IFERROR(__xludf.DUMMYFUNCTION("""COMPUTED_VALUE"""),"06 ORL")</f>
        <v>06 ORL</v>
      </c>
      <c r="O810" s="33" t="str">
        <f ca="1">IFERROR(__xludf.DUMMYFUNCTION("""COMPUTED_VALUE"""),"Dr, José Joaquín Gutiérrez Barquín")</f>
        <v>Dr, José Joaquín Gutiérrez Barquín</v>
      </c>
      <c r="P810" s="33" t="str">
        <f ca="1">IFERROR(__xludf.DUMMYFUNCTION("""COMPUTED_VALUE"""),"Maika Blázquez (Madrid)")</f>
        <v>Maika Blázquez (Madrid)</v>
      </c>
    </row>
    <row r="811" spans="2:16">
      <c r="B811" s="33">
        <f ca="1">IFERROR(__xludf.DUMMYFUNCTION("""COMPUTED_VALUE"""),2025)</f>
        <v>2025</v>
      </c>
      <c r="C811" s="33">
        <f ca="1">IFERROR(__xludf.DUMMYFUNCTION("""COMPUTED_VALUE"""),6)</f>
        <v>6</v>
      </c>
      <c r="D811" s="33" t="str">
        <f ca="1">IFERROR(__xludf.DUMMYFUNCTION("""COMPUTED_VALUE"""),"NO")</f>
        <v>NO</v>
      </c>
      <c r="E811" s="33" t="str">
        <f ca="1">IFERROR(__xludf.DUMMYFUNCTION("""COMPUTED_VALUE"""),"Madrid- La Oca")</f>
        <v>Madrid- La Oca</v>
      </c>
      <c r="F811" s="57">
        <f ca="1">IFERROR(__xludf.DUMMYFUNCTION("""COMPUTED_VALUE"""),45834)</f>
        <v>45834</v>
      </c>
      <c r="G811" s="57">
        <f ca="1">IFERROR(__xludf.DUMMYFUNCTION("""COMPUTED_VALUE"""),45821)</f>
        <v>45821</v>
      </c>
      <c r="H811" s="33" t="str">
        <f ca="1">IFERROR(__xludf.DUMMYFUNCTION("""COMPUTED_VALUE"""),"La Oca")</f>
        <v>La Oca</v>
      </c>
      <c r="I811" s="33" t="str">
        <f ca="1">IFERROR(__xludf.DUMMYFUNCTION("""COMPUTED_VALUE"""),"C2025618122949350")</f>
        <v>C2025618122949350</v>
      </c>
      <c r="J811" s="33" t="str">
        <f ca="1">IFERROR(__xludf.DUMMYFUNCTION("""COMPUTED_VALUE"""),"MONSERRAT LOPEZ CARRASCOSA")</f>
        <v>MONSERRAT LOPEZ CARRASCOSA</v>
      </c>
      <c r="K811" s="33">
        <f ca="1">IFERROR(__xludf.DUMMYFUNCTION("""COMPUTED_VALUE"""),2)</f>
        <v>2</v>
      </c>
      <c r="L811" s="203">
        <f ca="1">IFERROR(__xludf.DUMMYFUNCTION("""COMPUTED_VALUE"""),3710)</f>
        <v>3710</v>
      </c>
      <c r="M811" s="33" t="str">
        <f ca="1">IFERROR(__xludf.DUMMYFUNCTION("""COMPUTED_VALUE"""),"03 ORL")</f>
        <v>03 ORL</v>
      </c>
      <c r="N811" s="33" t="str">
        <f ca="1">IFERROR(__xludf.DUMMYFUNCTION("""COMPUTED_VALUE"""),"06 ORL")</f>
        <v>06 ORL</v>
      </c>
      <c r="O811" s="33" t="str">
        <f ca="1">IFERROR(__xludf.DUMMYFUNCTION("""COMPUTED_VALUE"""),"Dra, Cristina Povedano Fernández")</f>
        <v>Dra, Cristina Povedano Fernández</v>
      </c>
      <c r="P811" s="33" t="str">
        <f ca="1">IFERROR(__xludf.DUMMYFUNCTION("""COMPUTED_VALUE"""),"Maika Blázquez (Madrid)")</f>
        <v>Maika Blázquez (Madrid)</v>
      </c>
    </row>
    <row r="812" spans="2:16">
      <c r="B812" s="33">
        <f ca="1">IFERROR(__xludf.DUMMYFUNCTION("""COMPUTED_VALUE"""),2025)</f>
        <v>2025</v>
      </c>
      <c r="C812" s="33">
        <f ca="1">IFERROR(__xludf.DUMMYFUNCTION("""COMPUTED_VALUE"""),6)</f>
        <v>6</v>
      </c>
      <c r="D812" s="33" t="str">
        <f ca="1">IFERROR(__xludf.DUMMYFUNCTION("""COMPUTED_VALUE"""),"NO")</f>
        <v>NO</v>
      </c>
      <c r="E812" s="33" t="str">
        <f ca="1">IFERROR(__xludf.DUMMYFUNCTION("""COMPUTED_VALUE"""),"Madrid- La Oca")</f>
        <v>Madrid- La Oca</v>
      </c>
      <c r="F812" s="57">
        <f ca="1">IFERROR(__xludf.DUMMYFUNCTION("""COMPUTED_VALUE"""),45834)</f>
        <v>45834</v>
      </c>
      <c r="G812" s="57">
        <f ca="1">IFERROR(__xludf.DUMMYFUNCTION("""COMPUTED_VALUE"""),45805)</f>
        <v>45805</v>
      </c>
      <c r="H812" s="33" t="str">
        <f ca="1">IFERROR(__xludf.DUMMYFUNCTION("""COMPUTED_VALUE"""),"La Oca")</f>
        <v>La Oca</v>
      </c>
      <c r="I812" s="33" t="str">
        <f ca="1">IFERROR(__xludf.DUMMYFUNCTION("""COMPUTED_VALUE"""),"C20255281831426")</f>
        <v>C20255281831426</v>
      </c>
      <c r="J812" s="33" t="str">
        <f ca="1">IFERROR(__xludf.DUMMYFUNCTION("""COMPUTED_VALUE"""),"NATIVIDAD SANCHO MALMIERCA")</f>
        <v>NATIVIDAD SANCHO MALMIERCA</v>
      </c>
      <c r="K812" s="33">
        <f ca="1">IFERROR(__xludf.DUMMYFUNCTION("""COMPUTED_VALUE"""),2)</f>
        <v>2</v>
      </c>
      <c r="L812" s="203">
        <f ca="1">IFERROR(__xludf.DUMMYFUNCTION("""COMPUTED_VALUE"""),3710)</f>
        <v>3710</v>
      </c>
      <c r="M812" s="33" t="str">
        <f ca="1">IFERROR(__xludf.DUMMYFUNCTION("""COMPUTED_VALUE"""),"03 ORL")</f>
        <v>03 ORL</v>
      </c>
      <c r="N812" s="33" t="str">
        <f ca="1">IFERROR(__xludf.DUMMYFUNCTION("""COMPUTED_VALUE"""),"06 ORL")</f>
        <v>06 ORL</v>
      </c>
      <c r="O812" s="33" t="str">
        <f ca="1">IFERROR(__xludf.DUMMYFUNCTION("""COMPUTED_VALUE"""),"Dr, Félix Rodríguez Paz")</f>
        <v>Dr, Félix Rodríguez Paz</v>
      </c>
      <c r="P812" s="33" t="str">
        <f ca="1">IFERROR(__xludf.DUMMYFUNCTION("""COMPUTED_VALUE"""),"Maika Blázquez (Madrid)")</f>
        <v>Maika Blázquez (Madrid)</v>
      </c>
    </row>
    <row r="813" spans="2:16">
      <c r="B813" s="33">
        <f ca="1">IFERROR(__xludf.DUMMYFUNCTION("""COMPUTED_VALUE"""),2025)</f>
        <v>2025</v>
      </c>
      <c r="C813" s="33">
        <f ca="1">IFERROR(__xludf.DUMMYFUNCTION("""COMPUTED_VALUE"""),6)</f>
        <v>6</v>
      </c>
      <c r="D813" s="33" t="str">
        <f ca="1">IFERROR(__xludf.DUMMYFUNCTION("""COMPUTED_VALUE"""),"NO")</f>
        <v>NO</v>
      </c>
      <c r="E813" s="33" t="str">
        <f ca="1">IFERROR(__xludf.DUMMYFUNCTION("""COMPUTED_VALUE"""),"Madrid- La Oca")</f>
        <v>Madrid- La Oca</v>
      </c>
      <c r="F813" s="57">
        <f ca="1">IFERROR(__xludf.DUMMYFUNCTION("""COMPUTED_VALUE"""),45819)</f>
        <v>45819</v>
      </c>
      <c r="G813" s="57">
        <f ca="1">IFERROR(__xludf.DUMMYFUNCTION("""COMPUTED_VALUE"""),45786)</f>
        <v>45786</v>
      </c>
      <c r="H813" s="33" t="str">
        <f ca="1">IFERROR(__xludf.DUMMYFUNCTION("""COMPUTED_VALUE"""),"La Oca")</f>
        <v>La Oca</v>
      </c>
      <c r="I813" s="33" t="str">
        <f ca="1">IFERROR(__xludf.DUMMYFUNCTION("""COMPUTED_VALUE"""),"C202559162443906")</f>
        <v>C202559162443906</v>
      </c>
      <c r="J813" s="33" t="str">
        <f ca="1">IFERROR(__xludf.DUMMYFUNCTION("""COMPUTED_VALUE"""),"SANTOS MORENO BLAZQUEZ")</f>
        <v>SANTOS MORENO BLAZQUEZ</v>
      </c>
      <c r="K813" s="33">
        <f ca="1">IFERROR(__xludf.DUMMYFUNCTION("""COMPUTED_VALUE"""),2)</f>
        <v>2</v>
      </c>
      <c r="L813" s="203">
        <f ca="1">IFERROR(__xludf.DUMMYFUNCTION("""COMPUTED_VALUE"""),3710)</f>
        <v>3710</v>
      </c>
      <c r="M813" s="33" t="str">
        <f ca="1">IFERROR(__xludf.DUMMYFUNCTION("""COMPUTED_VALUE"""),"03 ORL")</f>
        <v>03 ORL</v>
      </c>
      <c r="N813" s="33" t="str">
        <f ca="1">IFERROR(__xludf.DUMMYFUNCTION("""COMPUTED_VALUE"""),"06 ORL")</f>
        <v>06 ORL</v>
      </c>
      <c r="O813" s="33" t="str">
        <f ca="1">IFERROR(__xludf.DUMMYFUNCTION("""COMPUTED_VALUE"""),"Dr, Oscar A, Sánchez Valenzuela")</f>
        <v>Dr, Oscar A, Sánchez Valenzuela</v>
      </c>
      <c r="P813" s="33" t="str">
        <f ca="1">IFERROR(__xludf.DUMMYFUNCTION("""COMPUTED_VALUE"""),"Maika Blázquez (Madrid)")</f>
        <v>Maika Blázquez (Madrid)</v>
      </c>
    </row>
    <row r="814" spans="2:16">
      <c r="B814" s="33">
        <f ca="1">IFERROR(__xludf.DUMMYFUNCTION("""COMPUTED_VALUE"""),2025)</f>
        <v>2025</v>
      </c>
      <c r="C814" s="33">
        <f ca="1">IFERROR(__xludf.DUMMYFUNCTION("""COMPUTED_VALUE"""),6)</f>
        <v>6</v>
      </c>
      <c r="D814" s="33" t="str">
        <f ca="1">IFERROR(__xludf.DUMMYFUNCTION("""COMPUTED_VALUE"""),"NO")</f>
        <v>NO</v>
      </c>
      <c r="E814" s="33" t="str">
        <f ca="1">IFERROR(__xludf.DUMMYFUNCTION("""COMPUTED_VALUE"""),"Madrid- La Oca")</f>
        <v>Madrid- La Oca</v>
      </c>
      <c r="F814" s="57">
        <f ca="1">IFERROR(__xludf.DUMMYFUNCTION("""COMPUTED_VALUE"""),45834)</f>
        <v>45834</v>
      </c>
      <c r="G814" s="57">
        <f ca="1">IFERROR(__xludf.DUMMYFUNCTION("""COMPUTED_VALUE"""),45789)</f>
        <v>45789</v>
      </c>
      <c r="H814" s="33" t="str">
        <f ca="1">IFERROR(__xludf.DUMMYFUNCTION("""COMPUTED_VALUE"""),"La Oca")</f>
        <v>La Oca</v>
      </c>
      <c r="I814" s="33" t="str">
        <f ca="1">IFERROR(__xludf.DUMMYFUNCTION("""COMPUTED_VALUE"""),"C2025527124017492")</f>
        <v>C2025527124017492</v>
      </c>
      <c r="J814" s="33" t="str">
        <f ca="1">IFERROR(__xludf.DUMMYFUNCTION("""COMPUTED_VALUE"""),"TERESA PAJE CORREDOR")</f>
        <v>TERESA PAJE CORREDOR</v>
      </c>
      <c r="K814" s="33">
        <f ca="1">IFERROR(__xludf.DUMMYFUNCTION("""COMPUTED_VALUE"""),2)</f>
        <v>2</v>
      </c>
      <c r="L814" s="203">
        <f ca="1">IFERROR(__xludf.DUMMYFUNCTION("""COMPUTED_VALUE"""),3710)</f>
        <v>3710</v>
      </c>
      <c r="M814" s="33" t="str">
        <f ca="1">IFERROR(__xludf.DUMMYFUNCTION("""COMPUTED_VALUE"""),"03 ORL")</f>
        <v>03 ORL</v>
      </c>
      <c r="N814" s="33" t="str">
        <f ca="1">IFERROR(__xludf.DUMMYFUNCTION("""COMPUTED_VALUE"""),"06 ORL")</f>
        <v>06 ORL</v>
      </c>
      <c r="O814" s="33" t="str">
        <f ca="1">IFERROR(__xludf.DUMMYFUNCTION("""COMPUTED_VALUE"""),"Dr, César Charles Martínez")</f>
        <v>Dr, César Charles Martínez</v>
      </c>
      <c r="P814" s="33" t="str">
        <f ca="1">IFERROR(__xludf.DUMMYFUNCTION("""COMPUTED_VALUE"""),"Maika Blázquez (Madrid)")</f>
        <v>Maika Blázquez (Madrid)</v>
      </c>
    </row>
    <row r="815" spans="2:16">
      <c r="B815" s="33">
        <f ca="1">IFERROR(__xludf.DUMMYFUNCTION("""COMPUTED_VALUE"""),2025)</f>
        <v>2025</v>
      </c>
      <c r="C815" s="33">
        <f ca="1">IFERROR(__xludf.DUMMYFUNCTION("""COMPUTED_VALUE"""),6)</f>
        <v>6</v>
      </c>
      <c r="D815" s="33" t="str">
        <f ca="1">IFERROR(__xludf.DUMMYFUNCTION("""COMPUTED_VALUE"""),"NO")</f>
        <v>NO</v>
      </c>
      <c r="E815" s="33" t="str">
        <f ca="1">IFERROR(__xludf.DUMMYFUNCTION("""COMPUTED_VALUE"""),"Madrid- Monforte de Lemos")</f>
        <v>Madrid- Monforte de Lemos</v>
      </c>
      <c r="F815" s="57">
        <f ca="1">IFERROR(__xludf.DUMMYFUNCTION("""COMPUTED_VALUE"""),45831)</f>
        <v>45831</v>
      </c>
      <c r="G815" s="57">
        <f ca="1">IFERROR(__xludf.DUMMYFUNCTION("""COMPUTED_VALUE"""),45811)</f>
        <v>45811</v>
      </c>
      <c r="H815" s="33" t="str">
        <f ca="1">IFERROR(__xludf.DUMMYFUNCTION("""COMPUTED_VALUE"""),"La Vaguada")</f>
        <v>La Vaguada</v>
      </c>
      <c r="I815" s="33" t="str">
        <f ca="1">IFERROR(__xludf.DUMMYFUNCTION("""COMPUTED_VALUE"""),"C202566102438543")</f>
        <v>C202566102438543</v>
      </c>
      <c r="J815" s="33" t="str">
        <f ca="1">IFERROR(__xludf.DUMMYFUNCTION("""COMPUTED_VALUE"""),"MARIA ANGELA ESPERALTA GUTIERREZ")</f>
        <v>MARIA ANGELA ESPERALTA GUTIERREZ</v>
      </c>
      <c r="K815" s="33">
        <f ca="1">IFERROR(__xludf.DUMMYFUNCTION("""COMPUTED_VALUE"""),2)</f>
        <v>2</v>
      </c>
      <c r="L815" s="203">
        <f ca="1">IFERROR(__xludf.DUMMYFUNCTION("""COMPUTED_VALUE"""),2888.18)</f>
        <v>2888.18</v>
      </c>
      <c r="M815" s="33" t="str">
        <f ca="1">IFERROR(__xludf.DUMMYFUNCTION("""COMPUTED_VALUE"""),"03 ORL")</f>
        <v>03 ORL</v>
      </c>
      <c r="N815" s="33" t="str">
        <f ca="1">IFERROR(__xludf.DUMMYFUNCTION("""COMPUTED_VALUE"""),"06 ORL")</f>
        <v>06 ORL</v>
      </c>
      <c r="O815" s="33" t="str">
        <f ca="1">IFERROR(__xludf.DUMMYFUNCTION("""COMPUTED_VALUE"""),"Dr, José Gustavo Barroso Braojos")</f>
        <v>Dr, José Gustavo Barroso Braojos</v>
      </c>
      <c r="P815" s="33" t="str">
        <f ca="1">IFERROR(__xludf.DUMMYFUNCTION("""COMPUTED_VALUE"""),"Maika Blázquez (Madrid)")</f>
        <v>Maika Blázquez (Madrid)</v>
      </c>
    </row>
    <row r="816" spans="2:16">
      <c r="B816" s="33">
        <f ca="1">IFERROR(__xludf.DUMMYFUNCTION("""COMPUTED_VALUE"""),2025)</f>
        <v>2025</v>
      </c>
      <c r="C816" s="33">
        <f ca="1">IFERROR(__xludf.DUMMYFUNCTION("""COMPUTED_VALUE"""),6)</f>
        <v>6</v>
      </c>
      <c r="D816" s="33" t="str">
        <f ca="1">IFERROR(__xludf.DUMMYFUNCTION("""COMPUTED_VALUE"""),"NO")</f>
        <v>NO</v>
      </c>
      <c r="E816" s="33" t="str">
        <f ca="1">IFERROR(__xludf.DUMMYFUNCTION("""COMPUTED_VALUE"""),"Madrid- Monforte de Lemos")</f>
        <v>Madrid- Monforte de Lemos</v>
      </c>
      <c r="F816" s="57">
        <f ca="1">IFERROR(__xludf.DUMMYFUNCTION("""COMPUTED_VALUE"""),45825)</f>
        <v>45825</v>
      </c>
      <c r="G816" s="57">
        <f ca="1">IFERROR(__xludf.DUMMYFUNCTION("""COMPUTED_VALUE"""),45785)</f>
        <v>45785</v>
      </c>
      <c r="H816" s="33" t="str">
        <f ca="1">IFERROR(__xludf.DUMMYFUNCTION("""COMPUTED_VALUE"""),"La Vaguada")</f>
        <v>La Vaguada</v>
      </c>
      <c r="I816" s="33" t="str">
        <f ca="1">IFERROR(__xludf.DUMMYFUNCTION("""COMPUTED_VALUE"""),"C2025512163534533")</f>
        <v>C2025512163534533</v>
      </c>
      <c r="J816" s="33" t="str">
        <f ca="1">IFERROR(__xludf.DUMMYFUNCTION("""COMPUTED_VALUE"""),"MARIA JESUS RODRIGUEZ-BOBADA ROJAS")</f>
        <v>MARIA JESUS RODRIGUEZ-BOBADA ROJAS</v>
      </c>
      <c r="K816" s="33">
        <f ca="1">IFERROR(__xludf.DUMMYFUNCTION("""COMPUTED_VALUE"""),2)</f>
        <v>2</v>
      </c>
      <c r="L816" s="203">
        <f ca="1">IFERROR(__xludf.DUMMYFUNCTION("""COMPUTED_VALUE"""),4000)</f>
        <v>4000</v>
      </c>
      <c r="M816" s="33" t="str">
        <f ca="1">IFERROR(__xludf.DUMMYFUNCTION("""COMPUTED_VALUE"""),"03 ORL")</f>
        <v>03 ORL</v>
      </c>
      <c r="N816" s="33" t="str">
        <f ca="1">IFERROR(__xludf.DUMMYFUNCTION("""COMPUTED_VALUE"""),"06 ORL")</f>
        <v>06 ORL</v>
      </c>
      <c r="O816" s="33" t="str">
        <f ca="1">IFERROR(__xludf.DUMMYFUNCTION("""COMPUTED_VALUE"""),"Dr, Álvaro Sánchez de Arriba")</f>
        <v>Dr, Álvaro Sánchez de Arriba</v>
      </c>
      <c r="P816" s="33" t="str">
        <f ca="1">IFERROR(__xludf.DUMMYFUNCTION("""COMPUTED_VALUE"""),"Lisandro Russian (Madrid, Cáceres, Toledo, Talavera Y Logroño)")</f>
        <v>Lisandro Russian (Madrid, Cáceres, Toledo, Talavera Y Logroño)</v>
      </c>
    </row>
    <row r="817" spans="2:16">
      <c r="B817" s="33">
        <f ca="1">IFERROR(__xludf.DUMMYFUNCTION("""COMPUTED_VALUE"""),2025)</f>
        <v>2025</v>
      </c>
      <c r="C817" s="33">
        <f ca="1">IFERROR(__xludf.DUMMYFUNCTION("""COMPUTED_VALUE"""),6)</f>
        <v>6</v>
      </c>
      <c r="D817" s="33" t="str">
        <f ca="1">IFERROR(__xludf.DUMMYFUNCTION("""COMPUTED_VALUE"""),"NO")</f>
        <v>NO</v>
      </c>
      <c r="E817" s="33" t="str">
        <f ca="1">IFERROR(__xludf.DUMMYFUNCTION("""COMPUTED_VALUE"""),"Madrid- Monforte de Lemos")</f>
        <v>Madrid- Monforte de Lemos</v>
      </c>
      <c r="F817" s="57">
        <f ca="1">IFERROR(__xludf.DUMMYFUNCTION("""COMPUTED_VALUE"""),45834)</f>
        <v>45834</v>
      </c>
      <c r="G817" s="57">
        <f ca="1">IFERROR(__xludf.DUMMYFUNCTION("""COMPUTED_VALUE"""),45730)</f>
        <v>45730</v>
      </c>
      <c r="H817" s="33" t="str">
        <f ca="1">IFERROR(__xludf.DUMMYFUNCTION("""COMPUTED_VALUE"""),"La Vaguada")</f>
        <v>La Vaguada</v>
      </c>
      <c r="I817" s="33" t="str">
        <f ca="1">IFERROR(__xludf.DUMMYFUNCTION("""COMPUTED_VALUE"""),"C20253191222199")</f>
        <v>C20253191222199</v>
      </c>
      <c r="J817" s="33" t="str">
        <f ca="1">IFERROR(__xludf.DUMMYFUNCTION("""COMPUTED_VALUE"""),"MARIA PIEDAD GOMEZ NUÑEZ")</f>
        <v>MARIA PIEDAD GOMEZ NUÑEZ</v>
      </c>
      <c r="K817" s="33">
        <f ca="1">IFERROR(__xludf.DUMMYFUNCTION("""COMPUTED_VALUE"""),2)</f>
        <v>2</v>
      </c>
      <c r="L817" s="203">
        <f ca="1">IFERROR(__xludf.DUMMYFUNCTION("""COMPUTED_VALUE"""),4000)</f>
        <v>4000</v>
      </c>
      <c r="M817" s="33" t="str">
        <f ca="1">IFERROR(__xludf.DUMMYFUNCTION("""COMPUTED_VALUE"""),"03 ORL")</f>
        <v>03 ORL</v>
      </c>
      <c r="N817" s="33" t="str">
        <f ca="1">IFERROR(__xludf.DUMMYFUNCTION("""COMPUTED_VALUE"""),"06 ORL")</f>
        <v>06 ORL</v>
      </c>
      <c r="O817" s="33" t="str">
        <f ca="1">IFERROR(__xludf.DUMMYFUNCTION("""COMPUTED_VALUE"""),"Dr, Antonio Rodríguez Rivero")</f>
        <v>Dr, Antonio Rodríguez Rivero</v>
      </c>
      <c r="P817" s="33" t="str">
        <f ca="1">IFERROR(__xludf.DUMMYFUNCTION("""COMPUTED_VALUE"""),"Maika Blázquez (Madrid)")</f>
        <v>Maika Blázquez (Madrid)</v>
      </c>
    </row>
    <row r="818" spans="2:16">
      <c r="B818" s="33">
        <f ca="1">IFERROR(__xludf.DUMMYFUNCTION("""COMPUTED_VALUE"""),2025)</f>
        <v>2025</v>
      </c>
      <c r="C818" s="33">
        <f ca="1">IFERROR(__xludf.DUMMYFUNCTION("""COMPUTED_VALUE"""),6)</f>
        <v>6</v>
      </c>
      <c r="D818" s="33" t="str">
        <f ca="1">IFERROR(__xludf.DUMMYFUNCTION("""COMPUTED_VALUE"""),"NO")</f>
        <v>NO</v>
      </c>
      <c r="E818" s="33" t="str">
        <f ca="1">IFERROR(__xludf.DUMMYFUNCTION("""COMPUTED_VALUE"""),"Madrid- Monforte de Lemos")</f>
        <v>Madrid- Monforte de Lemos</v>
      </c>
      <c r="F818" s="57">
        <f ca="1">IFERROR(__xludf.DUMMYFUNCTION("""COMPUTED_VALUE"""),45826)</f>
        <v>45826</v>
      </c>
      <c r="G818" s="57">
        <f ca="1">IFERROR(__xludf.DUMMYFUNCTION("""COMPUTED_VALUE"""),45789)</f>
        <v>45789</v>
      </c>
      <c r="H818" s="33" t="str">
        <f ca="1">IFERROR(__xludf.DUMMYFUNCTION("""COMPUTED_VALUE"""),"La Vaguada")</f>
        <v>La Vaguada</v>
      </c>
      <c r="I818" s="33" t="str">
        <f ca="1">IFERROR(__xludf.DUMMYFUNCTION("""COMPUTED_VALUE"""),"C202551916913205")</f>
        <v>C202551916913205</v>
      </c>
      <c r="J818" s="33" t="str">
        <f ca="1">IFERROR(__xludf.DUMMYFUNCTION("""COMPUTED_VALUE"""),"NELA ROSA FERNANDEZ BLOISE")</f>
        <v>NELA ROSA FERNANDEZ BLOISE</v>
      </c>
      <c r="K818" s="33">
        <f ca="1">IFERROR(__xludf.DUMMYFUNCTION("""COMPUTED_VALUE"""),2)</f>
        <v>2</v>
      </c>
      <c r="L818" s="203">
        <f ca="1">IFERROR(__xludf.DUMMYFUNCTION("""COMPUTED_VALUE"""),2888.18)</f>
        <v>2888.18</v>
      </c>
      <c r="M818" s="33" t="str">
        <f ca="1">IFERROR(__xludf.DUMMYFUNCTION("""COMPUTED_VALUE"""),"03 ORL")</f>
        <v>03 ORL</v>
      </c>
      <c r="N818" s="33" t="str">
        <f ca="1">IFERROR(__xludf.DUMMYFUNCTION("""COMPUTED_VALUE"""),"06 ORL")</f>
        <v>06 ORL</v>
      </c>
      <c r="O818" s="33" t="str">
        <f ca="1">IFERROR(__xludf.DUMMYFUNCTION("""COMPUTED_VALUE"""),"Dr, Carlos Barajas del Rosal")</f>
        <v>Dr, Carlos Barajas del Rosal</v>
      </c>
      <c r="P818" s="33" t="str">
        <f ca="1">IFERROR(__xludf.DUMMYFUNCTION("""COMPUTED_VALUE"""),"Lisandro Russian (Madrid, Cáceres, Toledo, Talavera Y Logroño)")</f>
        <v>Lisandro Russian (Madrid, Cáceres, Toledo, Talavera Y Logroño)</v>
      </c>
    </row>
    <row r="819" spans="2:16">
      <c r="B819" s="33">
        <f ca="1">IFERROR(__xludf.DUMMYFUNCTION("""COMPUTED_VALUE"""),2025)</f>
        <v>2025</v>
      </c>
      <c r="C819" s="33">
        <f ca="1">IFERROR(__xludf.DUMMYFUNCTION("""COMPUTED_VALUE"""),6)</f>
        <v>6</v>
      </c>
      <c r="D819" s="33" t="str">
        <f ca="1">IFERROR(__xludf.DUMMYFUNCTION("""COMPUTED_VALUE"""),"NO")</f>
        <v>NO</v>
      </c>
      <c r="E819" s="33" t="str">
        <f ca="1">IFERROR(__xludf.DUMMYFUNCTION("""COMPUTED_VALUE"""),"Madrid- Moratalaz")</f>
        <v>Madrid- Moratalaz</v>
      </c>
      <c r="F819" s="57">
        <f ca="1">IFERROR(__xludf.DUMMYFUNCTION("""COMPUTED_VALUE"""),45824)</f>
        <v>45824</v>
      </c>
      <c r="G819" s="57">
        <f ca="1">IFERROR(__xludf.DUMMYFUNCTION("""COMPUTED_VALUE"""),45800)</f>
        <v>45800</v>
      </c>
      <c r="H819" s="33" t="str">
        <f ca="1">IFERROR(__xludf.DUMMYFUNCTION("""COMPUTED_VALUE"""),"Moratalaz")</f>
        <v>Moratalaz</v>
      </c>
      <c r="I819" s="33" t="str">
        <f ca="1">IFERROR(__xludf.DUMMYFUNCTION("""COMPUTED_VALUE"""),"C202562154812329")</f>
        <v>C202562154812329</v>
      </c>
      <c r="J819" s="33" t="str">
        <f ca="1">IFERROR(__xludf.DUMMYFUNCTION("""COMPUTED_VALUE"""),"PILAR JIMENEZ MARTIN")</f>
        <v>PILAR JIMENEZ MARTIN</v>
      </c>
      <c r="K819" s="33">
        <f ca="1">IFERROR(__xludf.DUMMYFUNCTION("""COMPUTED_VALUE"""),2)</f>
        <v>2</v>
      </c>
      <c r="L819" s="203">
        <f ca="1">IFERROR(__xludf.DUMMYFUNCTION("""COMPUTED_VALUE"""),4000)</f>
        <v>4000</v>
      </c>
      <c r="M819" s="33" t="str">
        <f ca="1">IFERROR(__xludf.DUMMYFUNCTION("""COMPUTED_VALUE"""),"03 ORL")</f>
        <v>03 ORL</v>
      </c>
      <c r="N819" s="33" t="str">
        <f ca="1">IFERROR(__xludf.DUMMYFUNCTION("""COMPUTED_VALUE"""),"06 ORL")</f>
        <v>06 ORL</v>
      </c>
      <c r="O819" s="33" t="str">
        <f ca="1">IFERROR(__xludf.DUMMYFUNCTION("""COMPUTED_VALUE"""),"Dra, María Antonia Rodríguez Castejón")</f>
        <v>Dra, María Antonia Rodríguez Castejón</v>
      </c>
      <c r="P819" s="33" t="str">
        <f ca="1">IFERROR(__xludf.DUMMYFUNCTION("""COMPUTED_VALUE"""),"Maika Blázquez (Madrid)")</f>
        <v>Maika Blázquez (Madrid)</v>
      </c>
    </row>
    <row r="820" spans="2:16">
      <c r="B820" s="33">
        <f ca="1">IFERROR(__xludf.DUMMYFUNCTION("""COMPUTED_VALUE"""),2025)</f>
        <v>2025</v>
      </c>
      <c r="C820" s="33">
        <f ca="1">IFERROR(__xludf.DUMMYFUNCTION("""COMPUTED_VALUE"""),6)</f>
        <v>6</v>
      </c>
      <c r="D820" s="33" t="str">
        <f ca="1">IFERROR(__xludf.DUMMYFUNCTION("""COMPUTED_VALUE"""),"NO")</f>
        <v>NO</v>
      </c>
      <c r="E820" s="33" t="str">
        <f ca="1">IFERROR(__xludf.DUMMYFUNCTION("""COMPUTED_VALUE"""),"Madrid- Moratalaz")</f>
        <v>Madrid- Moratalaz</v>
      </c>
      <c r="F820" s="57">
        <f ca="1">IFERROR(__xludf.DUMMYFUNCTION("""COMPUTED_VALUE"""),45824)</f>
        <v>45824</v>
      </c>
      <c r="G820" s="57">
        <f ca="1">IFERROR(__xludf.DUMMYFUNCTION("""COMPUTED_VALUE"""),45776)</f>
        <v>45776</v>
      </c>
      <c r="H820" s="33" t="str">
        <f ca="1">IFERROR(__xludf.DUMMYFUNCTION("""COMPUTED_VALUE"""),"Moratalaz")</f>
        <v>Moratalaz</v>
      </c>
      <c r="I820" s="33" t="str">
        <f ca="1">IFERROR(__xludf.DUMMYFUNCTION("""COMPUTED_VALUE"""),"C2025512124135561")</f>
        <v>C2025512124135561</v>
      </c>
      <c r="J820" s="33" t="str">
        <f ca="1">IFERROR(__xludf.DUMMYFUNCTION("""COMPUTED_VALUE"""),"JOSE MARIA MOLINA GARCIA")</f>
        <v>JOSE MARIA MOLINA GARCIA</v>
      </c>
      <c r="K820" s="33">
        <f ca="1">IFERROR(__xludf.DUMMYFUNCTION("""COMPUTED_VALUE"""),2)</f>
        <v>2</v>
      </c>
      <c r="L820" s="203">
        <f ca="1">IFERROR(__xludf.DUMMYFUNCTION("""COMPUTED_VALUE"""),4000)</f>
        <v>4000</v>
      </c>
      <c r="M820" s="33" t="str">
        <f ca="1">IFERROR(__xludf.DUMMYFUNCTION("""COMPUTED_VALUE"""),"03 ORL")</f>
        <v>03 ORL</v>
      </c>
      <c r="N820" s="33" t="str">
        <f ca="1">IFERROR(__xludf.DUMMYFUNCTION("""COMPUTED_VALUE"""),"06 ORL")</f>
        <v>06 ORL</v>
      </c>
      <c r="O820" s="33" t="str">
        <f ca="1">IFERROR(__xludf.DUMMYFUNCTION("""COMPUTED_VALUE"""),"Dr, Joaquín Alacio Casero")</f>
        <v>Dr, Joaquín Alacio Casero</v>
      </c>
      <c r="P820" s="33" t="str">
        <f ca="1">IFERROR(__xludf.DUMMYFUNCTION("""COMPUTED_VALUE"""),"Maika Blázquez (Madrid)")</f>
        <v>Maika Blázquez (Madrid)</v>
      </c>
    </row>
    <row r="821" spans="2:16">
      <c r="B821" s="33">
        <f ca="1">IFERROR(__xludf.DUMMYFUNCTION("""COMPUTED_VALUE"""),2025)</f>
        <v>2025</v>
      </c>
      <c r="C821" s="33">
        <f ca="1">IFERROR(__xludf.DUMMYFUNCTION("""COMPUTED_VALUE"""),6)</f>
        <v>6</v>
      </c>
      <c r="D821" s="33" t="str">
        <f ca="1">IFERROR(__xludf.DUMMYFUNCTION("""COMPUTED_VALUE"""),"NO")</f>
        <v>NO</v>
      </c>
      <c r="E821" s="33" t="str">
        <f ca="1">IFERROR(__xludf.DUMMYFUNCTION("""COMPUTED_VALUE"""),"Madrid- Moratalaz")</f>
        <v>Madrid- Moratalaz</v>
      </c>
      <c r="F821" s="57">
        <f ca="1">IFERROR(__xludf.DUMMYFUNCTION("""COMPUTED_VALUE"""),45812)</f>
        <v>45812</v>
      </c>
      <c r="G821" s="57">
        <f ca="1">IFERROR(__xludf.DUMMYFUNCTION("""COMPUTED_VALUE"""),44650)</f>
        <v>44650</v>
      </c>
      <c r="H821" s="33" t="str">
        <f ca="1">IFERROR(__xludf.DUMMYFUNCTION("""COMPUTED_VALUE"""),"Moratalaz")</f>
        <v>Moratalaz</v>
      </c>
      <c r="I821" s="33" t="str">
        <f ca="1">IFERROR(__xludf.DUMMYFUNCTION("""COMPUTED_VALUE"""),"MOR-1921")</f>
        <v>MOR-1921</v>
      </c>
      <c r="J821" s="33" t="str">
        <f ca="1">IFERROR(__xludf.DUMMYFUNCTION("""COMPUTED_VALUE"""),"KENIA MERCEDES MERCEDES")</f>
        <v>KENIA MERCEDES MERCEDES</v>
      </c>
      <c r="K821" s="33">
        <f ca="1">IFERROR(__xludf.DUMMYFUNCTION("""COMPUTED_VALUE"""),-1)</f>
        <v>-1</v>
      </c>
      <c r="L821" s="203">
        <f ca="1">IFERROR(__xludf.DUMMYFUNCTION("""COMPUTED_VALUE"""),-1962.02)</f>
        <v>-1962.02</v>
      </c>
      <c r="M821" s="33" t="str">
        <f ca="1">IFERROR(__xludf.DUMMYFUNCTION("""COMPUTED_VALUE"""),"03 ORL")</f>
        <v>03 ORL</v>
      </c>
      <c r="N821" s="33" t="str">
        <f ca="1">IFERROR(__xludf.DUMMYFUNCTION("""COMPUTED_VALUE"""),"06 ORL")</f>
        <v>06 ORL</v>
      </c>
      <c r="O821" s="33" t="str">
        <f ca="1">IFERROR(__xludf.DUMMYFUNCTION("""COMPUTED_VALUE"""),"No recuerda ORL")</f>
        <v>No recuerda ORL</v>
      </c>
      <c r="P821" s="33" t="str">
        <f ca="1">IFERROR(__xludf.DUMMYFUNCTION("""COMPUTED_VALUE"""),"Maika Blázquez (Madrid)")</f>
        <v>Maika Blázquez (Madrid)</v>
      </c>
    </row>
    <row r="822" spans="2:16">
      <c r="B822" s="33">
        <f ca="1">IFERROR(__xludf.DUMMYFUNCTION("""COMPUTED_VALUE"""),2025)</f>
        <v>2025</v>
      </c>
      <c r="C822" s="33">
        <f ca="1">IFERROR(__xludf.DUMMYFUNCTION("""COMPUTED_VALUE"""),6)</f>
        <v>6</v>
      </c>
      <c r="D822" s="33" t="str">
        <f ca="1">IFERROR(__xludf.DUMMYFUNCTION("""COMPUTED_VALUE"""),"NO")</f>
        <v>NO</v>
      </c>
      <c r="E822" s="33" t="str">
        <f ca="1">IFERROR(__xludf.DUMMYFUNCTION("""COMPUTED_VALUE"""),"Madrid- Moratalaz")</f>
        <v>Madrid- Moratalaz</v>
      </c>
      <c r="F822" s="57">
        <f ca="1">IFERROR(__xludf.DUMMYFUNCTION("""COMPUTED_VALUE"""),45812)</f>
        <v>45812</v>
      </c>
      <c r="G822" s="57">
        <f ca="1">IFERROR(__xludf.DUMMYFUNCTION("""COMPUTED_VALUE"""),45707)</f>
        <v>45707</v>
      </c>
      <c r="H822" s="33" t="str">
        <f ca="1">IFERROR(__xludf.DUMMYFUNCTION("""COMPUTED_VALUE"""),"Moratalaz")</f>
        <v>Moratalaz</v>
      </c>
      <c r="I822" s="33" t="str">
        <f ca="1">IFERROR(__xludf.DUMMYFUNCTION("""COMPUTED_VALUE"""),"C202541171241496")</f>
        <v>C202541171241496</v>
      </c>
      <c r="J822" s="33" t="str">
        <f ca="1">IFERROR(__xludf.DUMMYFUNCTION("""COMPUTED_VALUE"""),"MARIA CARMEN RODRIGUEZ FRIAS")</f>
        <v>MARIA CARMEN RODRIGUEZ FRIAS</v>
      </c>
      <c r="K822" s="33">
        <f ca="1">IFERROR(__xludf.DUMMYFUNCTION("""COMPUTED_VALUE"""),2)</f>
        <v>2</v>
      </c>
      <c r="L822" s="203">
        <f ca="1">IFERROR(__xludf.DUMMYFUNCTION("""COMPUTED_VALUE"""),2888.18)</f>
        <v>2888.18</v>
      </c>
      <c r="M822" s="33" t="str">
        <f ca="1">IFERROR(__xludf.DUMMYFUNCTION("""COMPUTED_VALUE"""),"03 ORL")</f>
        <v>03 ORL</v>
      </c>
      <c r="N822" s="33" t="str">
        <f ca="1">IFERROR(__xludf.DUMMYFUNCTION("""COMPUTED_VALUE"""),"06 ORL")</f>
        <v>06 ORL</v>
      </c>
      <c r="O822" s="33" t="str">
        <f ca="1">IFERROR(__xludf.DUMMYFUNCTION("""COMPUTED_VALUE"""),"Dr, Antonio Rodríguez Rivero")</f>
        <v>Dr, Antonio Rodríguez Rivero</v>
      </c>
      <c r="P822" s="33" t="str">
        <f ca="1">IFERROR(__xludf.DUMMYFUNCTION("""COMPUTED_VALUE"""),"Maika Blázquez (Madrid)")</f>
        <v>Maika Blázquez (Madrid)</v>
      </c>
    </row>
    <row r="823" spans="2:16">
      <c r="B823" s="33">
        <f ca="1">IFERROR(__xludf.DUMMYFUNCTION("""COMPUTED_VALUE"""),2025)</f>
        <v>2025</v>
      </c>
      <c r="C823" s="33">
        <f ca="1">IFERROR(__xludf.DUMMYFUNCTION("""COMPUTED_VALUE"""),6)</f>
        <v>6</v>
      </c>
      <c r="D823" s="33" t="str">
        <f ca="1">IFERROR(__xludf.DUMMYFUNCTION("""COMPUTED_VALUE"""),"NO")</f>
        <v>NO</v>
      </c>
      <c r="E823" s="33" t="str">
        <f ca="1">IFERROR(__xludf.DUMMYFUNCTION("""COMPUTED_VALUE"""),"Móstoles")</f>
        <v>Móstoles</v>
      </c>
      <c r="F823" s="57">
        <f ca="1">IFERROR(__xludf.DUMMYFUNCTION("""COMPUTED_VALUE"""),45819)</f>
        <v>45819</v>
      </c>
      <c r="G823" s="57">
        <f ca="1">IFERROR(__xludf.DUMMYFUNCTION("""COMPUTED_VALUE"""),45744)</f>
        <v>45744</v>
      </c>
      <c r="H823" s="33" t="str">
        <f ca="1">IFERROR(__xludf.DUMMYFUNCTION("""COMPUTED_VALUE"""),"Móstoles")</f>
        <v>Móstoles</v>
      </c>
      <c r="I823" s="33" t="str">
        <f ca="1">IFERROR(__xludf.DUMMYFUNCTION("""COMPUTED_VALUE"""),"C202549182140578")</f>
        <v>C202549182140578</v>
      </c>
      <c r="J823" s="33" t="str">
        <f ca="1">IFERROR(__xludf.DUMMYFUNCTION("""COMPUTED_VALUE"""),"AURORA VELASCO OJALVO")</f>
        <v>AURORA VELASCO OJALVO</v>
      </c>
      <c r="K823" s="33">
        <f ca="1">IFERROR(__xludf.DUMMYFUNCTION("""COMPUTED_VALUE"""),2)</f>
        <v>2</v>
      </c>
      <c r="L823" s="203">
        <f ca="1">IFERROR(__xludf.DUMMYFUNCTION("""COMPUTED_VALUE"""),4000)</f>
        <v>4000</v>
      </c>
      <c r="M823" s="33" t="str">
        <f ca="1">IFERROR(__xludf.DUMMYFUNCTION("""COMPUTED_VALUE"""),"03 ORL")</f>
        <v>03 ORL</v>
      </c>
      <c r="N823" s="33" t="str">
        <f ca="1">IFERROR(__xludf.DUMMYFUNCTION("""COMPUTED_VALUE"""),"06 ORL")</f>
        <v>06 ORL</v>
      </c>
      <c r="O823" s="33" t="str">
        <f ca="1">IFERROR(__xludf.DUMMYFUNCTION("""COMPUTED_VALUE"""),"Dra, Laura del Toro Gil")</f>
        <v>Dra, Laura del Toro Gil</v>
      </c>
      <c r="P823" s="33" t="str">
        <f ca="1">IFERROR(__xludf.DUMMYFUNCTION("""COMPUTED_VALUE"""),"Maika Blázquez (Madrid)")</f>
        <v>Maika Blázquez (Madrid)</v>
      </c>
    </row>
    <row r="824" spans="2:16">
      <c r="B824" s="33">
        <f ca="1">IFERROR(__xludf.DUMMYFUNCTION("""COMPUTED_VALUE"""),2025)</f>
        <v>2025</v>
      </c>
      <c r="C824" s="33">
        <f ca="1">IFERROR(__xludf.DUMMYFUNCTION("""COMPUTED_VALUE"""),6)</f>
        <v>6</v>
      </c>
      <c r="D824" s="33" t="str">
        <f ca="1">IFERROR(__xludf.DUMMYFUNCTION("""COMPUTED_VALUE"""),"NO")</f>
        <v>NO</v>
      </c>
      <c r="E824" s="33" t="str">
        <f ca="1">IFERROR(__xludf.DUMMYFUNCTION("""COMPUTED_VALUE"""),"Móstoles")</f>
        <v>Móstoles</v>
      </c>
      <c r="F824" s="57">
        <f ca="1">IFERROR(__xludf.DUMMYFUNCTION("""COMPUTED_VALUE"""),45828)</f>
        <v>45828</v>
      </c>
      <c r="G824" s="57">
        <f ca="1">IFERROR(__xludf.DUMMYFUNCTION("""COMPUTED_VALUE"""),45811)</f>
        <v>45811</v>
      </c>
      <c r="H824" s="33" t="str">
        <f ca="1">IFERROR(__xludf.DUMMYFUNCTION("""COMPUTED_VALUE"""),"Móstoles")</f>
        <v>Móstoles</v>
      </c>
      <c r="I824" s="33" t="str">
        <f ca="1">IFERROR(__xludf.DUMMYFUNCTION("""COMPUTED_VALUE"""),"C202565123634694")</f>
        <v>C202565123634694</v>
      </c>
      <c r="J824" s="33" t="str">
        <f ca="1">IFERROR(__xludf.DUMMYFUNCTION("""COMPUTED_VALUE"""),"JOSE JAVIER  CAMPOS SIERRA")</f>
        <v>JOSE JAVIER  CAMPOS SIERRA</v>
      </c>
      <c r="K824" s="33">
        <f ca="1">IFERROR(__xludf.DUMMYFUNCTION("""COMPUTED_VALUE"""),2)</f>
        <v>2</v>
      </c>
      <c r="L824" s="203">
        <f ca="1">IFERROR(__xludf.DUMMYFUNCTION("""COMPUTED_VALUE"""),4000)</f>
        <v>4000</v>
      </c>
      <c r="M824" s="33" t="str">
        <f ca="1">IFERROR(__xludf.DUMMYFUNCTION("""COMPUTED_VALUE"""),"03 ORL")</f>
        <v>03 ORL</v>
      </c>
      <c r="N824" s="33" t="str">
        <f ca="1">IFERROR(__xludf.DUMMYFUNCTION("""COMPUTED_VALUE"""),"06 ORL")</f>
        <v>06 ORL</v>
      </c>
      <c r="O824" s="33" t="str">
        <f ca="1">IFERROR(__xludf.DUMMYFUNCTION("""COMPUTED_VALUE"""),"Dra, Laura del Toro Gil")</f>
        <v>Dra, Laura del Toro Gil</v>
      </c>
      <c r="P824" s="33" t="str">
        <f ca="1">IFERROR(__xludf.DUMMYFUNCTION("""COMPUTED_VALUE"""),"Maika Blázquez (Madrid)")</f>
        <v>Maika Blázquez (Madrid)</v>
      </c>
    </row>
    <row r="825" spans="2:16">
      <c r="B825" s="33">
        <f ca="1">IFERROR(__xludf.DUMMYFUNCTION("""COMPUTED_VALUE"""),2025)</f>
        <v>2025</v>
      </c>
      <c r="C825" s="33">
        <f ca="1">IFERROR(__xludf.DUMMYFUNCTION("""COMPUTED_VALUE"""),6)</f>
        <v>6</v>
      </c>
      <c r="D825" s="33" t="str">
        <f ca="1">IFERROR(__xludf.DUMMYFUNCTION("""COMPUTED_VALUE"""),"NO")</f>
        <v>NO</v>
      </c>
      <c r="E825" s="33" t="str">
        <f ca="1">IFERROR(__xludf.DUMMYFUNCTION("""COMPUTED_VALUE"""),"Murcia")</f>
        <v>Murcia</v>
      </c>
      <c r="F825" s="57">
        <f ca="1">IFERROR(__xludf.DUMMYFUNCTION("""COMPUTED_VALUE"""),45835)</f>
        <v>45835</v>
      </c>
      <c r="G825" s="57">
        <f ca="1">IFERROR(__xludf.DUMMYFUNCTION("""COMPUTED_VALUE"""),45811)</f>
        <v>45811</v>
      </c>
      <c r="H825" s="33" t="str">
        <f ca="1">IFERROR(__xludf.DUMMYFUNCTION("""COMPUTED_VALUE"""),"Murcia")</f>
        <v>Murcia</v>
      </c>
      <c r="I825" s="33" t="str">
        <f ca="1">IFERROR(__xludf.DUMMYFUNCTION("""COMPUTED_VALUE"""),"C20256516463877")</f>
        <v>C20256516463877</v>
      </c>
      <c r="J825" s="33" t="str">
        <f ca="1">IFERROR(__xludf.DUMMYFUNCTION("""COMPUTED_VALUE"""),"ANGELICA MARINA MERCHAN CARMONA")</f>
        <v>ANGELICA MARINA MERCHAN CARMONA</v>
      </c>
      <c r="K825" s="33">
        <f ca="1">IFERROR(__xludf.DUMMYFUNCTION("""COMPUTED_VALUE"""),2)</f>
        <v>2</v>
      </c>
      <c r="L825" s="203">
        <f ca="1">IFERROR(__xludf.DUMMYFUNCTION("""COMPUTED_VALUE"""),2888.18)</f>
        <v>2888.18</v>
      </c>
      <c r="M825" s="33" t="str">
        <f ca="1">IFERROR(__xludf.DUMMYFUNCTION("""COMPUTED_VALUE"""),"03 ORL")</f>
        <v>03 ORL</v>
      </c>
      <c r="N825" s="33" t="str">
        <f ca="1">IFERROR(__xludf.DUMMYFUNCTION("""COMPUTED_VALUE"""),"06 ORL")</f>
        <v>06 ORL</v>
      </c>
      <c r="O825" s="33" t="str">
        <f ca="1">IFERROR(__xludf.DUMMYFUNCTION("""COMPUTED_VALUE"""),"Dr, Juan Pablo Pelegrín Hernández")</f>
        <v>Dr, Juan Pablo Pelegrín Hernández</v>
      </c>
      <c r="P825" s="33" t="str">
        <f ca="1">IFERROR(__xludf.DUMMYFUNCTION("""COMPUTED_VALUE"""),"Iván Sánchez (Levante Y Albacete)")</f>
        <v>Iván Sánchez (Levante Y Albacete)</v>
      </c>
    </row>
    <row r="826" spans="2:16">
      <c r="B826" s="33">
        <f ca="1">IFERROR(__xludf.DUMMYFUNCTION("""COMPUTED_VALUE"""),2025)</f>
        <v>2025</v>
      </c>
      <c r="C826" s="33">
        <f ca="1">IFERROR(__xludf.DUMMYFUNCTION("""COMPUTED_VALUE"""),6)</f>
        <v>6</v>
      </c>
      <c r="D826" s="33" t="str">
        <f ca="1">IFERROR(__xludf.DUMMYFUNCTION("""COMPUTED_VALUE"""),"NO")</f>
        <v>NO</v>
      </c>
      <c r="E826" s="33" t="str">
        <f ca="1">IFERROR(__xludf.DUMMYFUNCTION("""COMPUTED_VALUE"""),"Murcia")</f>
        <v>Murcia</v>
      </c>
      <c r="F826" s="57">
        <f ca="1">IFERROR(__xludf.DUMMYFUNCTION("""COMPUTED_VALUE"""),45834)</f>
        <v>45834</v>
      </c>
      <c r="G826" s="57">
        <f ca="1">IFERROR(__xludf.DUMMYFUNCTION("""COMPUTED_VALUE"""),44965)</f>
        <v>44965</v>
      </c>
      <c r="H826" s="33" t="str">
        <f ca="1">IFERROR(__xludf.DUMMYFUNCTION("""COMPUTED_VALUE"""),"Murcia")</f>
        <v>Murcia</v>
      </c>
      <c r="I826" s="33" t="str">
        <f ca="1">IFERROR(__xludf.DUMMYFUNCTION("""COMPUTED_VALUE"""),"MUR-1266")</f>
        <v>MUR-1266</v>
      </c>
      <c r="J826" s="33" t="str">
        <f ca="1">IFERROR(__xludf.DUMMYFUNCTION("""COMPUTED_VALUE"""),"ANTONIA ESTEBAN SANCHEZ")</f>
        <v>ANTONIA ESTEBAN SANCHEZ</v>
      </c>
      <c r="K826" s="33">
        <f ca="1">IFERROR(__xludf.DUMMYFUNCTION("""COMPUTED_VALUE"""),2)</f>
        <v>2</v>
      </c>
      <c r="L826" s="203">
        <f ca="1">IFERROR(__xludf.DUMMYFUNCTION("""COMPUTED_VALUE"""),3710)</f>
        <v>3710</v>
      </c>
      <c r="M826" s="33" t="str">
        <f ca="1">IFERROR(__xludf.DUMMYFUNCTION("""COMPUTED_VALUE"""),"03 ORL")</f>
        <v>03 ORL</v>
      </c>
      <c r="N826" s="33" t="str">
        <f ca="1">IFERROR(__xludf.DUMMYFUNCTION("""COMPUTED_VALUE"""),"06 ORL")</f>
        <v>06 ORL</v>
      </c>
      <c r="O826" s="33" t="str">
        <f ca="1">IFERROR(__xludf.DUMMYFUNCTION("""COMPUTED_VALUE"""),"Dra, María Agustina Sevilla García")</f>
        <v>Dra, María Agustina Sevilla García</v>
      </c>
      <c r="P826" s="33" t="str">
        <f ca="1">IFERROR(__xludf.DUMMYFUNCTION("""COMPUTED_VALUE"""),"Iván Sánchez (Levante Y Albacete)")</f>
        <v>Iván Sánchez (Levante Y Albacete)</v>
      </c>
    </row>
    <row r="827" spans="2:16">
      <c r="B827" s="33">
        <f ca="1">IFERROR(__xludf.DUMMYFUNCTION("""COMPUTED_VALUE"""),2025)</f>
        <v>2025</v>
      </c>
      <c r="C827" s="33">
        <f ca="1">IFERROR(__xludf.DUMMYFUNCTION("""COMPUTED_VALUE"""),6)</f>
        <v>6</v>
      </c>
      <c r="D827" s="33" t="str">
        <f ca="1">IFERROR(__xludf.DUMMYFUNCTION("""COMPUTED_VALUE"""),"NO")</f>
        <v>NO</v>
      </c>
      <c r="E827" s="33" t="str">
        <f ca="1">IFERROR(__xludf.DUMMYFUNCTION("""COMPUTED_VALUE"""),"Murcia")</f>
        <v>Murcia</v>
      </c>
      <c r="F827" s="57">
        <f ca="1">IFERROR(__xludf.DUMMYFUNCTION("""COMPUTED_VALUE"""),45827)</f>
        <v>45827</v>
      </c>
      <c r="G827" s="57">
        <f ca="1">IFERROR(__xludf.DUMMYFUNCTION("""COMPUTED_VALUE"""),45810)</f>
        <v>45810</v>
      </c>
      <c r="H827" s="33" t="str">
        <f ca="1">IFERROR(__xludf.DUMMYFUNCTION("""COMPUTED_VALUE"""),"Murcia")</f>
        <v>Murcia</v>
      </c>
      <c r="I827" s="33" t="str">
        <f ca="1">IFERROR(__xludf.DUMMYFUNCTION("""COMPUTED_VALUE"""),"C2025641034615")</f>
        <v>C2025641034615</v>
      </c>
      <c r="J827" s="33" t="str">
        <f ca="1">IFERROR(__xludf.DUMMYFUNCTION("""COMPUTED_VALUE"""),"CARMEN CAYUELA MAIQUEZ")</f>
        <v>CARMEN CAYUELA MAIQUEZ</v>
      </c>
      <c r="K827" s="33">
        <f ca="1">IFERROR(__xludf.DUMMYFUNCTION("""COMPUTED_VALUE"""),2)</f>
        <v>2</v>
      </c>
      <c r="L827" s="203">
        <f ca="1">IFERROR(__xludf.DUMMYFUNCTION("""COMPUTED_VALUE"""),3523.64)</f>
        <v>3523.64</v>
      </c>
      <c r="M827" s="33" t="str">
        <f ca="1">IFERROR(__xludf.DUMMYFUNCTION("""COMPUTED_VALUE"""),"03 ORL")</f>
        <v>03 ORL</v>
      </c>
      <c r="N827" s="33" t="str">
        <f ca="1">IFERROR(__xludf.DUMMYFUNCTION("""COMPUTED_VALUE"""),"06 ORL")</f>
        <v>06 ORL</v>
      </c>
      <c r="O827" s="33" t="str">
        <f ca="1">IFERROR(__xludf.DUMMYFUNCTION("""COMPUTED_VALUE"""),"Dra, María Agustina Sevilla García")</f>
        <v>Dra, María Agustina Sevilla García</v>
      </c>
      <c r="P827" s="33" t="str">
        <f ca="1">IFERROR(__xludf.DUMMYFUNCTION("""COMPUTED_VALUE"""),"Iván Sánchez (Levante Y Albacete)")</f>
        <v>Iván Sánchez (Levante Y Albacete)</v>
      </c>
    </row>
    <row r="828" spans="2:16">
      <c r="B828" s="33">
        <f ca="1">IFERROR(__xludf.DUMMYFUNCTION("""COMPUTED_VALUE"""),2025)</f>
        <v>2025</v>
      </c>
      <c r="C828" s="33">
        <f ca="1">IFERROR(__xludf.DUMMYFUNCTION("""COMPUTED_VALUE"""),6)</f>
        <v>6</v>
      </c>
      <c r="D828" s="33" t="str">
        <f ca="1">IFERROR(__xludf.DUMMYFUNCTION("""COMPUTED_VALUE"""),"NO")</f>
        <v>NO</v>
      </c>
      <c r="E828" s="33" t="str">
        <f ca="1">IFERROR(__xludf.DUMMYFUNCTION("""COMPUTED_VALUE"""),"Murcia")</f>
        <v>Murcia</v>
      </c>
      <c r="F828" s="57">
        <f ca="1">IFERROR(__xludf.DUMMYFUNCTION("""COMPUTED_VALUE"""),45818)</f>
        <v>45818</v>
      </c>
      <c r="G828" s="57">
        <f ca="1">IFERROR(__xludf.DUMMYFUNCTION("""COMPUTED_VALUE"""),45777)</f>
        <v>45777</v>
      </c>
      <c r="H828" s="33" t="str">
        <f ca="1">IFERROR(__xludf.DUMMYFUNCTION("""COMPUTED_VALUE"""),"Murcia")</f>
        <v>Murcia</v>
      </c>
      <c r="I828" s="33" t="str">
        <f ca="1">IFERROR(__xludf.DUMMYFUNCTION("""COMPUTED_VALUE"""),"C2025430171330478")</f>
        <v>C2025430171330478</v>
      </c>
      <c r="J828" s="33" t="str">
        <f ca="1">IFERROR(__xludf.DUMMYFUNCTION("""COMPUTED_VALUE"""),"CARMEN LOPEZ MEDINA")</f>
        <v>CARMEN LOPEZ MEDINA</v>
      </c>
      <c r="K828" s="33">
        <f ca="1">IFERROR(__xludf.DUMMYFUNCTION("""COMPUTED_VALUE"""),2)</f>
        <v>2</v>
      </c>
      <c r="L828" s="203">
        <f ca="1">IFERROR(__xludf.DUMMYFUNCTION("""COMPUTED_VALUE"""),4000)</f>
        <v>4000</v>
      </c>
      <c r="M828" s="33" t="str">
        <f ca="1">IFERROR(__xludf.DUMMYFUNCTION("""COMPUTED_VALUE"""),"03 ORL")</f>
        <v>03 ORL</v>
      </c>
      <c r="N828" s="33" t="str">
        <f ca="1">IFERROR(__xludf.DUMMYFUNCTION("""COMPUTED_VALUE"""),"06 ORL")</f>
        <v>06 ORL</v>
      </c>
      <c r="O828" s="33" t="str">
        <f ca="1">IFERROR(__xludf.DUMMYFUNCTION("""COMPUTED_VALUE"""),"Dra, Cristina Esther Torregrosa Carrasquer")</f>
        <v>Dra, Cristina Esther Torregrosa Carrasquer</v>
      </c>
      <c r="P828" s="33" t="str">
        <f ca="1">IFERROR(__xludf.DUMMYFUNCTION("""COMPUTED_VALUE"""),"Iván Sánchez (Levante Y Albacete)")</f>
        <v>Iván Sánchez (Levante Y Albacete)</v>
      </c>
    </row>
    <row r="829" spans="2:16">
      <c r="B829" s="33">
        <f ca="1">IFERROR(__xludf.DUMMYFUNCTION("""COMPUTED_VALUE"""),2025)</f>
        <v>2025</v>
      </c>
      <c r="C829" s="33">
        <f ca="1">IFERROR(__xludf.DUMMYFUNCTION("""COMPUTED_VALUE"""),6)</f>
        <v>6</v>
      </c>
      <c r="D829" s="33" t="str">
        <f ca="1">IFERROR(__xludf.DUMMYFUNCTION("""COMPUTED_VALUE"""),"NO")</f>
        <v>NO</v>
      </c>
      <c r="E829" s="33" t="str">
        <f ca="1">IFERROR(__xludf.DUMMYFUNCTION("""COMPUTED_VALUE"""),"Murcia")</f>
        <v>Murcia</v>
      </c>
      <c r="F829" s="57">
        <f ca="1">IFERROR(__xludf.DUMMYFUNCTION("""COMPUTED_VALUE"""),45811)</f>
        <v>45811</v>
      </c>
      <c r="G829" s="57">
        <f ca="1">IFERROR(__xludf.DUMMYFUNCTION("""COMPUTED_VALUE"""),45797)</f>
        <v>45797</v>
      </c>
      <c r="H829" s="33" t="str">
        <f ca="1">IFERROR(__xludf.DUMMYFUNCTION("""COMPUTED_VALUE"""),"Murcia")</f>
        <v>Murcia</v>
      </c>
      <c r="I829" s="33" t="str">
        <f ca="1">IFERROR(__xludf.DUMMYFUNCTION("""COMPUTED_VALUE"""),"C2025521105035320")</f>
        <v>C2025521105035320</v>
      </c>
      <c r="J829" s="33" t="str">
        <f ca="1">IFERROR(__xludf.DUMMYFUNCTION("""COMPUTED_VALUE"""),"FRANCISCO MENDEZ APARICIO")</f>
        <v>FRANCISCO MENDEZ APARICIO</v>
      </c>
      <c r="K829" s="33">
        <f ca="1">IFERROR(__xludf.DUMMYFUNCTION("""COMPUTED_VALUE"""),1)</f>
        <v>1</v>
      </c>
      <c r="L829" s="203">
        <f ca="1">IFERROR(__xludf.DUMMYFUNCTION("""COMPUTED_VALUE"""),2272.73)</f>
        <v>2272.73</v>
      </c>
      <c r="M829" s="33" t="str">
        <f ca="1">IFERROR(__xludf.DUMMYFUNCTION("""COMPUTED_VALUE"""),"03 ORL")</f>
        <v>03 ORL</v>
      </c>
      <c r="N829" s="33" t="str">
        <f ca="1">IFERROR(__xludf.DUMMYFUNCTION("""COMPUTED_VALUE"""),"06 ORL")</f>
        <v>06 ORL</v>
      </c>
      <c r="O829" s="33" t="str">
        <f ca="1">IFERROR(__xludf.DUMMYFUNCTION("""COMPUTED_VALUE"""),"Dra, María Agustina Sevilla García")</f>
        <v>Dra, María Agustina Sevilla García</v>
      </c>
      <c r="P829" s="33" t="str">
        <f ca="1">IFERROR(__xludf.DUMMYFUNCTION("""COMPUTED_VALUE"""),"Iván Sánchez (Levante Y Albacete)")</f>
        <v>Iván Sánchez (Levante Y Albacete)</v>
      </c>
    </row>
    <row r="830" spans="2:16">
      <c r="B830" s="33">
        <f ca="1">IFERROR(__xludf.DUMMYFUNCTION("""COMPUTED_VALUE"""),2025)</f>
        <v>2025</v>
      </c>
      <c r="C830" s="33">
        <f ca="1">IFERROR(__xludf.DUMMYFUNCTION("""COMPUTED_VALUE"""),6)</f>
        <v>6</v>
      </c>
      <c r="D830" s="33" t="str">
        <f ca="1">IFERROR(__xludf.DUMMYFUNCTION("""COMPUTED_VALUE"""),"NO")</f>
        <v>NO</v>
      </c>
      <c r="E830" s="33" t="str">
        <f ca="1">IFERROR(__xludf.DUMMYFUNCTION("""COMPUTED_VALUE"""),"Murcia")</f>
        <v>Murcia</v>
      </c>
      <c r="F830" s="57">
        <f ca="1">IFERROR(__xludf.DUMMYFUNCTION("""COMPUTED_VALUE"""),45832)</f>
        <v>45832</v>
      </c>
      <c r="G830" s="57">
        <f ca="1">IFERROR(__xludf.DUMMYFUNCTION("""COMPUTED_VALUE"""),45799)</f>
        <v>45799</v>
      </c>
      <c r="H830" s="33" t="str">
        <f ca="1">IFERROR(__xludf.DUMMYFUNCTION("""COMPUTED_VALUE"""),"Murcia")</f>
        <v>Murcia</v>
      </c>
      <c r="I830" s="33" t="str">
        <f ca="1">IFERROR(__xludf.DUMMYFUNCTION("""COMPUTED_VALUE"""),"C2025527104597")</f>
        <v>C2025527104597</v>
      </c>
      <c r="J830" s="33" t="str">
        <f ca="1">IFERROR(__xludf.DUMMYFUNCTION("""COMPUTED_VALUE"""),"ISABEL FERNANDEZ DE MAYA")</f>
        <v>ISABEL FERNANDEZ DE MAYA</v>
      </c>
      <c r="K830" s="33">
        <f ca="1">IFERROR(__xludf.DUMMYFUNCTION("""COMPUTED_VALUE"""),1)</f>
        <v>1</v>
      </c>
      <c r="L830" s="203">
        <f ca="1">IFERROR(__xludf.DUMMYFUNCTION("""COMPUTED_VALUE"""),1732.69)</f>
        <v>1732.69</v>
      </c>
      <c r="M830" s="33" t="str">
        <f ca="1">IFERROR(__xludf.DUMMYFUNCTION("""COMPUTED_VALUE"""),"03 ORL")</f>
        <v>03 ORL</v>
      </c>
      <c r="N830" s="33" t="str">
        <f ca="1">IFERROR(__xludf.DUMMYFUNCTION("""COMPUTED_VALUE"""),"06 ORL")</f>
        <v>06 ORL</v>
      </c>
      <c r="O830" s="33" t="str">
        <f ca="1">IFERROR(__xludf.DUMMYFUNCTION("""COMPUTED_VALUE"""),"Dr, Enrique López Meseguer")</f>
        <v>Dr, Enrique López Meseguer</v>
      </c>
      <c r="P830" s="33" t="str">
        <f ca="1">IFERROR(__xludf.DUMMYFUNCTION("""COMPUTED_VALUE"""),"Iván Sánchez (Levante Y Albacete)")</f>
        <v>Iván Sánchez (Levante Y Albacete)</v>
      </c>
    </row>
    <row r="831" spans="2:16">
      <c r="B831" s="33">
        <f ca="1">IFERROR(__xludf.DUMMYFUNCTION("""COMPUTED_VALUE"""),2025)</f>
        <v>2025</v>
      </c>
      <c r="C831" s="33">
        <f ca="1">IFERROR(__xludf.DUMMYFUNCTION("""COMPUTED_VALUE"""),6)</f>
        <v>6</v>
      </c>
      <c r="D831" s="33" t="str">
        <f ca="1">IFERROR(__xludf.DUMMYFUNCTION("""COMPUTED_VALUE"""),"NO")</f>
        <v>NO</v>
      </c>
      <c r="E831" s="33" t="str">
        <f ca="1">IFERROR(__xludf.DUMMYFUNCTION("""COMPUTED_VALUE"""),"Murcia")</f>
        <v>Murcia</v>
      </c>
      <c r="F831" s="57">
        <f ca="1">IFERROR(__xludf.DUMMYFUNCTION("""COMPUTED_VALUE"""),45834)</f>
        <v>45834</v>
      </c>
      <c r="G831" s="57">
        <f ca="1">IFERROR(__xludf.DUMMYFUNCTION("""COMPUTED_VALUE"""),45313)</f>
        <v>45313</v>
      </c>
      <c r="H831" s="33" t="str">
        <f ca="1">IFERROR(__xludf.DUMMYFUNCTION("""COMPUTED_VALUE"""),"Murcia")</f>
        <v>Murcia</v>
      </c>
      <c r="I831" s="33" t="str">
        <f ca="1">IFERROR(__xludf.DUMMYFUNCTION("""COMPUTED_VALUE"""),"MUR-1817")</f>
        <v>MUR-1817</v>
      </c>
      <c r="J831" s="33" t="str">
        <f ca="1">IFERROR(__xludf.DUMMYFUNCTION("""COMPUTED_VALUE"""),"LUISA MARIA GRECH MONTORO")</f>
        <v>LUISA MARIA GRECH MONTORO</v>
      </c>
      <c r="K831" s="33">
        <f ca="1">IFERROR(__xludf.DUMMYFUNCTION("""COMPUTED_VALUE"""),2)</f>
        <v>2</v>
      </c>
      <c r="L831" s="203">
        <f ca="1">IFERROR(__xludf.DUMMYFUNCTION("""COMPUTED_VALUE"""),4400)</f>
        <v>4400</v>
      </c>
      <c r="M831" s="33" t="str">
        <f ca="1">IFERROR(__xludf.DUMMYFUNCTION("""COMPUTED_VALUE"""),"03 ORL")</f>
        <v>03 ORL</v>
      </c>
      <c r="N831" s="33" t="str">
        <f ca="1">IFERROR(__xludf.DUMMYFUNCTION("""COMPUTED_VALUE"""),"06 ORL")</f>
        <v>06 ORL</v>
      </c>
      <c r="O831" s="33" t="str">
        <f ca="1">IFERROR(__xludf.DUMMYFUNCTION("""COMPUTED_VALUE"""),"Dra, María Agustina Sevilla García")</f>
        <v>Dra, María Agustina Sevilla García</v>
      </c>
      <c r="P831" s="33" t="str">
        <f ca="1">IFERROR(__xludf.DUMMYFUNCTION("""COMPUTED_VALUE"""),"Iván Sánchez (Levante Y Albacete)")</f>
        <v>Iván Sánchez (Levante Y Albacete)</v>
      </c>
    </row>
    <row r="832" spans="2:16">
      <c r="B832" s="33">
        <f ca="1">IFERROR(__xludf.DUMMYFUNCTION("""COMPUTED_VALUE"""),2025)</f>
        <v>2025</v>
      </c>
      <c r="C832" s="33">
        <f ca="1">IFERROR(__xludf.DUMMYFUNCTION("""COMPUTED_VALUE"""),6)</f>
        <v>6</v>
      </c>
      <c r="D832" s="33" t="str">
        <f ca="1">IFERROR(__xludf.DUMMYFUNCTION("""COMPUTED_VALUE"""),"NO")</f>
        <v>NO</v>
      </c>
      <c r="E832" s="33" t="str">
        <f ca="1">IFERROR(__xludf.DUMMYFUNCTION("""COMPUTED_VALUE"""),"Murcia")</f>
        <v>Murcia</v>
      </c>
      <c r="F832" s="57">
        <f ca="1">IFERROR(__xludf.DUMMYFUNCTION("""COMPUTED_VALUE"""),45832)</f>
        <v>45832</v>
      </c>
      <c r="G832" s="57">
        <f ca="1">IFERROR(__xludf.DUMMYFUNCTION("""COMPUTED_VALUE"""),45810)</f>
        <v>45810</v>
      </c>
      <c r="H832" s="33" t="str">
        <f ca="1">IFERROR(__xludf.DUMMYFUNCTION("""COMPUTED_VALUE"""),"Murcia")</f>
        <v>Murcia</v>
      </c>
      <c r="I832" s="33" t="str">
        <f ca="1">IFERROR(__xludf.DUMMYFUNCTION("""COMPUTED_VALUE"""),"C2025610125137693")</f>
        <v>C2025610125137693</v>
      </c>
      <c r="J832" s="33" t="str">
        <f ca="1">IFERROR(__xludf.DUMMYFUNCTION("""COMPUTED_VALUE"""),"TERESA NOGUERA SANCHEZ")</f>
        <v>TERESA NOGUERA SANCHEZ</v>
      </c>
      <c r="K832" s="33">
        <f ca="1">IFERROR(__xludf.DUMMYFUNCTION("""COMPUTED_VALUE"""),1)</f>
        <v>1</v>
      </c>
      <c r="L832" s="203">
        <f ca="1">IFERROR(__xludf.DUMMYFUNCTION("""COMPUTED_VALUE"""),2067.27)</f>
        <v>2067.27</v>
      </c>
      <c r="M832" s="33" t="str">
        <f ca="1">IFERROR(__xludf.DUMMYFUNCTION("""COMPUTED_VALUE"""),"03 ORL")</f>
        <v>03 ORL</v>
      </c>
      <c r="N832" s="33" t="str">
        <f ca="1">IFERROR(__xludf.DUMMYFUNCTION("""COMPUTED_VALUE"""),"06 ORL")</f>
        <v>06 ORL</v>
      </c>
      <c r="O832" s="33" t="str">
        <f ca="1">IFERROR(__xludf.DUMMYFUNCTION("""COMPUTED_VALUE"""),"Dra, María Agustina Sevilla García")</f>
        <v>Dra, María Agustina Sevilla García</v>
      </c>
      <c r="P832" s="33" t="str">
        <f ca="1">IFERROR(__xludf.DUMMYFUNCTION("""COMPUTED_VALUE"""),"Iván Sánchez (Levante Y Albacete)")</f>
        <v>Iván Sánchez (Levante Y Albacete)</v>
      </c>
    </row>
    <row r="833" spans="2:16">
      <c r="B833" s="33">
        <f ca="1">IFERROR(__xludf.DUMMYFUNCTION("""COMPUTED_VALUE"""),2025)</f>
        <v>2025</v>
      </c>
      <c r="C833" s="33">
        <f ca="1">IFERROR(__xludf.DUMMYFUNCTION("""COMPUTED_VALUE"""),6)</f>
        <v>6</v>
      </c>
      <c r="D833" s="33" t="str">
        <f ca="1">IFERROR(__xludf.DUMMYFUNCTION("""COMPUTED_VALUE"""),"NO")</f>
        <v>NO</v>
      </c>
      <c r="E833" s="33" t="str">
        <f ca="1">IFERROR(__xludf.DUMMYFUNCTION("""COMPUTED_VALUE"""),"Orihuela")</f>
        <v>Orihuela</v>
      </c>
      <c r="F833" s="57">
        <f ca="1">IFERROR(__xludf.DUMMYFUNCTION("""COMPUTED_VALUE"""),45810)</f>
        <v>45810</v>
      </c>
      <c r="G833" s="57">
        <f ca="1">IFERROR(__xludf.DUMMYFUNCTION("""COMPUTED_VALUE"""),45793)</f>
        <v>45793</v>
      </c>
      <c r="H833" s="33" t="str">
        <f ca="1">IFERROR(__xludf.DUMMYFUNCTION("""COMPUTED_VALUE"""),"La Zenia")</f>
        <v>La Zenia</v>
      </c>
      <c r="I833" s="33" t="str">
        <f ca="1">IFERROR(__xludf.DUMMYFUNCTION("""COMPUTED_VALUE"""),"C202552117331316")</f>
        <v>C202552117331316</v>
      </c>
      <c r="J833" s="33" t="str">
        <f ca="1">IFERROR(__xludf.DUMMYFUNCTION("""COMPUTED_VALUE"""),"ALEXANDRA PHILLIPS")</f>
        <v>ALEXANDRA PHILLIPS</v>
      </c>
      <c r="K833" s="33">
        <f ca="1">IFERROR(__xludf.DUMMYFUNCTION("""COMPUTED_VALUE"""),2)</f>
        <v>2</v>
      </c>
      <c r="L833" s="203">
        <f ca="1">IFERROR(__xludf.DUMMYFUNCTION("""COMPUTED_VALUE"""),2888.18)</f>
        <v>2888.18</v>
      </c>
      <c r="M833" s="33" t="str">
        <f ca="1">IFERROR(__xludf.DUMMYFUNCTION("""COMPUTED_VALUE"""),"03 ORL")</f>
        <v>03 ORL</v>
      </c>
      <c r="N833" s="33" t="str">
        <f ca="1">IFERROR(__xludf.DUMMYFUNCTION("""COMPUTED_VALUE"""),"06 ORL")</f>
        <v>06 ORL</v>
      </c>
      <c r="O833" s="33" t="str">
        <f ca="1">IFERROR(__xludf.DUMMYFUNCTION("""COMPUTED_VALUE"""),"Dra, Aurora López Llames")</f>
        <v>Dra, Aurora López Llames</v>
      </c>
      <c r="P833" s="33" t="str">
        <f ca="1">IFERROR(__xludf.DUMMYFUNCTION("""COMPUTED_VALUE"""),"Iván Sánchez (Levante Y Albacete)")</f>
        <v>Iván Sánchez (Levante Y Albacete)</v>
      </c>
    </row>
    <row r="834" spans="2:16">
      <c r="B834" s="33">
        <f ca="1">IFERROR(__xludf.DUMMYFUNCTION("""COMPUTED_VALUE"""),2025)</f>
        <v>2025</v>
      </c>
      <c r="C834" s="33">
        <f ca="1">IFERROR(__xludf.DUMMYFUNCTION("""COMPUTED_VALUE"""),6)</f>
        <v>6</v>
      </c>
      <c r="D834" s="33" t="str">
        <f ca="1">IFERROR(__xludf.DUMMYFUNCTION("""COMPUTED_VALUE"""),"NO")</f>
        <v>NO</v>
      </c>
      <c r="E834" s="33" t="str">
        <f ca="1">IFERROR(__xludf.DUMMYFUNCTION("""COMPUTED_VALUE"""),"Orihuela")</f>
        <v>Orihuela</v>
      </c>
      <c r="F834" s="57">
        <f ca="1">IFERROR(__xludf.DUMMYFUNCTION("""COMPUTED_VALUE"""),45838)</f>
        <v>45838</v>
      </c>
      <c r="G834" s="57">
        <f ca="1">IFERROR(__xludf.DUMMYFUNCTION("""COMPUTED_VALUE"""),45812)</f>
        <v>45812</v>
      </c>
      <c r="H834" s="33" t="str">
        <f ca="1">IFERROR(__xludf.DUMMYFUNCTION("""COMPUTED_VALUE"""),"La Zenia")</f>
        <v>La Zenia</v>
      </c>
      <c r="I834" s="33" t="str">
        <f ca="1">IFERROR(__xludf.DUMMYFUNCTION("""COMPUTED_VALUE"""),"C20256511404517")</f>
        <v>C20256511404517</v>
      </c>
      <c r="J834" s="33" t="str">
        <f ca="1">IFERROR(__xludf.DUMMYFUNCTION("""COMPUTED_VALUE"""),"ANTONIO FERNANDEZ GONZALEZ")</f>
        <v>ANTONIO FERNANDEZ GONZALEZ</v>
      </c>
      <c r="K834" s="33">
        <f ca="1">IFERROR(__xludf.DUMMYFUNCTION("""COMPUTED_VALUE"""),2)</f>
        <v>2</v>
      </c>
      <c r="L834" s="203">
        <f ca="1">IFERROR(__xludf.DUMMYFUNCTION("""COMPUTED_VALUE"""),3710)</f>
        <v>3710</v>
      </c>
      <c r="M834" s="33" t="str">
        <f ca="1">IFERROR(__xludf.DUMMYFUNCTION("""COMPUTED_VALUE"""),"03 ORL")</f>
        <v>03 ORL</v>
      </c>
      <c r="N834" s="33" t="str">
        <f ca="1">IFERROR(__xludf.DUMMYFUNCTION("""COMPUTED_VALUE"""),"06 ORL")</f>
        <v>06 ORL</v>
      </c>
      <c r="O834" s="33" t="str">
        <f ca="1">IFERROR(__xludf.DUMMYFUNCTION("""COMPUTED_VALUE"""),"Dr, Santiago Moreno Paredes")</f>
        <v>Dr, Santiago Moreno Paredes</v>
      </c>
      <c r="P834" s="33" t="str">
        <f ca="1">IFERROR(__xludf.DUMMYFUNCTION("""COMPUTED_VALUE"""),"Iván Sánchez (Levante Y Albacete)")</f>
        <v>Iván Sánchez (Levante Y Albacete)</v>
      </c>
    </row>
    <row r="835" spans="2:16">
      <c r="B835" s="33">
        <f ca="1">IFERROR(__xludf.DUMMYFUNCTION("""COMPUTED_VALUE"""),2025)</f>
        <v>2025</v>
      </c>
      <c r="C835" s="33">
        <f ca="1">IFERROR(__xludf.DUMMYFUNCTION("""COMPUTED_VALUE"""),6)</f>
        <v>6</v>
      </c>
      <c r="D835" s="33" t="str">
        <f ca="1">IFERROR(__xludf.DUMMYFUNCTION("""COMPUTED_VALUE"""),"NO")</f>
        <v>NO</v>
      </c>
      <c r="E835" s="33" t="str">
        <f ca="1">IFERROR(__xludf.DUMMYFUNCTION("""COMPUTED_VALUE"""),"Orihuela")</f>
        <v>Orihuela</v>
      </c>
      <c r="F835" s="57">
        <f ca="1">IFERROR(__xludf.DUMMYFUNCTION("""COMPUTED_VALUE"""),45825)</f>
        <v>45825</v>
      </c>
      <c r="G835" s="57">
        <f ca="1">IFERROR(__xludf.DUMMYFUNCTION("""COMPUTED_VALUE"""),45798)</f>
        <v>45798</v>
      </c>
      <c r="H835" s="33" t="str">
        <f ca="1">IFERROR(__xludf.DUMMYFUNCTION("""COMPUTED_VALUE"""),"La Zenia")</f>
        <v>La Zenia</v>
      </c>
      <c r="I835" s="33" t="str">
        <f ca="1">IFERROR(__xludf.DUMMYFUNCTION("""COMPUTED_VALUE"""),"C2025523114011999")</f>
        <v>C2025523114011999</v>
      </c>
      <c r="J835" s="33" t="str">
        <f ca="1">IFERROR(__xludf.DUMMYFUNCTION("""COMPUTED_VALUE"""),"MARIA GUTIERREZ BIOSCA")</f>
        <v>MARIA GUTIERREZ BIOSCA</v>
      </c>
      <c r="K835" s="33">
        <f ca="1">IFERROR(__xludf.DUMMYFUNCTION("""COMPUTED_VALUE"""),2)</f>
        <v>2</v>
      </c>
      <c r="L835" s="203">
        <f ca="1">IFERROR(__xludf.DUMMYFUNCTION("""COMPUTED_VALUE"""),2888.18)</f>
        <v>2888.18</v>
      </c>
      <c r="M835" s="33" t="str">
        <f ca="1">IFERROR(__xludf.DUMMYFUNCTION("""COMPUTED_VALUE"""),"03 ORL")</f>
        <v>03 ORL</v>
      </c>
      <c r="N835" s="33" t="str">
        <f ca="1">IFERROR(__xludf.DUMMYFUNCTION("""COMPUTED_VALUE"""),"06 ORL")</f>
        <v>06 ORL</v>
      </c>
      <c r="O835" s="33" t="str">
        <f ca="1">IFERROR(__xludf.DUMMYFUNCTION("""COMPUTED_VALUE"""),"Dra, Paula Hernández Ruíz")</f>
        <v>Dra, Paula Hernández Ruíz</v>
      </c>
      <c r="P835" s="33" t="str">
        <f ca="1">IFERROR(__xludf.DUMMYFUNCTION("""COMPUTED_VALUE"""),"Iván Sánchez (Levante Y Albacete)")</f>
        <v>Iván Sánchez (Levante Y Albacete)</v>
      </c>
    </row>
    <row r="836" spans="2:16">
      <c r="B836" s="33">
        <f ca="1">IFERROR(__xludf.DUMMYFUNCTION("""COMPUTED_VALUE"""),2025)</f>
        <v>2025</v>
      </c>
      <c r="C836" s="33">
        <f ca="1">IFERROR(__xludf.DUMMYFUNCTION("""COMPUTED_VALUE"""),6)</f>
        <v>6</v>
      </c>
      <c r="D836" s="33" t="str">
        <f ca="1">IFERROR(__xludf.DUMMYFUNCTION("""COMPUTED_VALUE"""),"NO")</f>
        <v>NO</v>
      </c>
      <c r="E836" s="33" t="str">
        <f ca="1">IFERROR(__xludf.DUMMYFUNCTION("""COMPUTED_VALUE"""),"Orihuela")</f>
        <v>Orihuela</v>
      </c>
      <c r="F836" s="57">
        <f ca="1">IFERROR(__xludf.DUMMYFUNCTION("""COMPUTED_VALUE"""),45834)</f>
        <v>45834</v>
      </c>
      <c r="G836" s="57">
        <f ca="1">IFERROR(__xludf.DUMMYFUNCTION("""COMPUTED_VALUE"""),45803)</f>
        <v>45803</v>
      </c>
      <c r="H836" s="33" t="str">
        <f ca="1">IFERROR(__xludf.DUMMYFUNCTION("""COMPUTED_VALUE"""),"La Zenia")</f>
        <v>La Zenia</v>
      </c>
      <c r="I836" s="33" t="str">
        <f ca="1">IFERROR(__xludf.DUMMYFUNCTION("""COMPUTED_VALUE"""),"C20255281835178")</f>
        <v>C20255281835178</v>
      </c>
      <c r="J836" s="33" t="str">
        <f ca="1">IFERROR(__xludf.DUMMYFUNCTION("""COMPUTED_VALUE"""),"MARTHA GLORIA HOLT")</f>
        <v>MARTHA GLORIA HOLT</v>
      </c>
      <c r="K836" s="33">
        <f ca="1">IFERROR(__xludf.DUMMYFUNCTION("""COMPUTED_VALUE"""),2)</f>
        <v>2</v>
      </c>
      <c r="L836" s="203">
        <f ca="1">IFERROR(__xludf.DUMMYFUNCTION("""COMPUTED_VALUE"""),3710)</f>
        <v>3710</v>
      </c>
      <c r="M836" s="33" t="str">
        <f ca="1">IFERROR(__xludf.DUMMYFUNCTION("""COMPUTED_VALUE"""),"01 MARKETING ON LINE")</f>
        <v>01 MARKETING ON LINE</v>
      </c>
      <c r="N836" s="33" t="str">
        <f ca="1">IFERROR(__xludf.DUMMYFUNCTION("""COMPUTED_VALUE"""),"04 AUDIFONO,ES")</f>
        <v>04 AUDIFONO,ES</v>
      </c>
      <c r="O836" s="33" t="str">
        <f ca="1">IFERROR(__xludf.DUMMYFUNCTION("""COMPUTED_VALUE"""),"Dra, Oreana Carolina Camacaro González")</f>
        <v>Dra, Oreana Carolina Camacaro González</v>
      </c>
      <c r="P836" s="33" t="str">
        <f ca="1">IFERROR(__xludf.DUMMYFUNCTION("""COMPUTED_VALUE"""),"Iván Sánchez (Levante Y Albacete)")</f>
        <v>Iván Sánchez (Levante Y Albacete)</v>
      </c>
    </row>
    <row r="837" spans="2:16">
      <c r="B837" s="33">
        <f ca="1">IFERROR(__xludf.DUMMYFUNCTION("""COMPUTED_VALUE"""),2025)</f>
        <v>2025</v>
      </c>
      <c r="C837" s="33">
        <f ca="1">IFERROR(__xludf.DUMMYFUNCTION("""COMPUTED_VALUE"""),6)</f>
        <v>6</v>
      </c>
      <c r="D837" s="33" t="str">
        <f ca="1">IFERROR(__xludf.DUMMYFUNCTION("""COMPUTED_VALUE"""),"NO")</f>
        <v>NO</v>
      </c>
      <c r="E837" s="33" t="str">
        <f ca="1">IFERROR(__xludf.DUMMYFUNCTION("""COMPUTED_VALUE"""),"Orihuela")</f>
        <v>Orihuela</v>
      </c>
      <c r="F837" s="57">
        <f ca="1">IFERROR(__xludf.DUMMYFUNCTION("""COMPUTED_VALUE"""),45812)</f>
        <v>45812</v>
      </c>
      <c r="G837" s="57">
        <f ca="1">IFERROR(__xludf.DUMMYFUNCTION("""COMPUTED_VALUE"""),45792)</f>
        <v>45792</v>
      </c>
      <c r="H837" s="33" t="str">
        <f ca="1">IFERROR(__xludf.DUMMYFUNCTION("""COMPUTED_VALUE"""),"La Zenia")</f>
        <v>La Zenia</v>
      </c>
      <c r="I837" s="33" t="str">
        <f ca="1">IFERROR(__xludf.DUMMYFUNCTION("""COMPUTED_VALUE"""),"C20255191662772")</f>
        <v>C20255191662772</v>
      </c>
      <c r="J837" s="33" t="str">
        <f ca="1">IFERROR(__xludf.DUMMYFUNCTION("""COMPUTED_VALUE"""),"PETER STANLEY BURROUGH")</f>
        <v>PETER STANLEY BURROUGH</v>
      </c>
      <c r="K837" s="33">
        <f ca="1">IFERROR(__xludf.DUMMYFUNCTION("""COMPUTED_VALUE"""),2)</f>
        <v>2</v>
      </c>
      <c r="L837" s="203">
        <f ca="1">IFERROR(__xludf.DUMMYFUNCTION("""COMPUTED_VALUE"""),4000)</f>
        <v>4000</v>
      </c>
      <c r="M837" s="33" t="str">
        <f ca="1">IFERROR(__xludf.DUMMYFUNCTION("""COMPUTED_VALUE"""),"03 ORL")</f>
        <v>03 ORL</v>
      </c>
      <c r="N837" s="33" t="str">
        <f ca="1">IFERROR(__xludf.DUMMYFUNCTION("""COMPUTED_VALUE"""),"06 ORL")</f>
        <v>06 ORL</v>
      </c>
      <c r="O837" s="33" t="str">
        <f ca="1">IFERROR(__xludf.DUMMYFUNCTION("""COMPUTED_VALUE"""),"Dra, Marina Pérez Grau")</f>
        <v>Dra, Marina Pérez Grau</v>
      </c>
      <c r="P837" s="33" t="str">
        <f ca="1">IFERROR(__xludf.DUMMYFUNCTION("""COMPUTED_VALUE"""),"Iván Sánchez (Levante Y Albacete)")</f>
        <v>Iván Sánchez (Levante Y Albacete)</v>
      </c>
    </row>
    <row r="838" spans="2:16">
      <c r="B838" s="33">
        <f ca="1">IFERROR(__xludf.DUMMYFUNCTION("""COMPUTED_VALUE"""),2025)</f>
        <v>2025</v>
      </c>
      <c r="C838" s="33">
        <f ca="1">IFERROR(__xludf.DUMMYFUNCTION("""COMPUTED_VALUE"""),6)</f>
        <v>6</v>
      </c>
      <c r="D838" s="33" t="str">
        <f ca="1">IFERROR(__xludf.DUMMYFUNCTION("""COMPUTED_VALUE"""),"NO")</f>
        <v>NO</v>
      </c>
      <c r="E838" s="33" t="str">
        <f ca="1">IFERROR(__xludf.DUMMYFUNCTION("""COMPUTED_VALUE"""),"Orihuela")</f>
        <v>Orihuela</v>
      </c>
      <c r="F838" s="57">
        <f ca="1">IFERROR(__xludf.DUMMYFUNCTION("""COMPUTED_VALUE"""),45824)</f>
        <v>45824</v>
      </c>
      <c r="G838" s="57">
        <f ca="1">IFERROR(__xludf.DUMMYFUNCTION("""COMPUTED_VALUE"""),45785)</f>
        <v>45785</v>
      </c>
      <c r="H838" s="33" t="str">
        <f ca="1">IFERROR(__xludf.DUMMYFUNCTION("""COMPUTED_VALUE"""),"La Zenia")</f>
        <v>La Zenia</v>
      </c>
      <c r="I838" s="33" t="str">
        <f ca="1">IFERROR(__xludf.DUMMYFUNCTION("""COMPUTED_VALUE"""),"C2025514162150957")</f>
        <v>C2025514162150957</v>
      </c>
      <c r="J838" s="33" t="str">
        <f ca="1">IFERROR(__xludf.DUMMYFUNCTION("""COMPUTED_VALUE"""),"STEPHEN FRASER")</f>
        <v>STEPHEN FRASER</v>
      </c>
      <c r="K838" s="33">
        <f ca="1">IFERROR(__xludf.DUMMYFUNCTION("""COMPUTED_VALUE"""),2)</f>
        <v>2</v>
      </c>
      <c r="L838" s="203">
        <f ca="1">IFERROR(__xludf.DUMMYFUNCTION("""COMPUTED_VALUE"""),4000)</f>
        <v>4000</v>
      </c>
      <c r="M838" s="33" t="str">
        <f ca="1">IFERROR(__xludf.DUMMYFUNCTION("""COMPUTED_VALUE"""),"03 ORL")</f>
        <v>03 ORL</v>
      </c>
      <c r="N838" s="33" t="str">
        <f ca="1">IFERROR(__xludf.DUMMYFUNCTION("""COMPUTED_VALUE"""),"06 ORL")</f>
        <v>06 ORL</v>
      </c>
      <c r="O838" s="33" t="str">
        <f ca="1">IFERROR(__xludf.DUMMYFUNCTION("""COMPUTED_VALUE"""),"Dr, Santiago Moreno Paredes")</f>
        <v>Dr, Santiago Moreno Paredes</v>
      </c>
      <c r="P838" s="33" t="str">
        <f ca="1">IFERROR(__xludf.DUMMYFUNCTION("""COMPUTED_VALUE"""),"Iván Sánchez (Levante Y Albacete)")</f>
        <v>Iván Sánchez (Levante Y Albacete)</v>
      </c>
    </row>
    <row r="839" spans="2:16">
      <c r="B839" s="33">
        <f ca="1">IFERROR(__xludf.DUMMYFUNCTION("""COMPUTED_VALUE"""),2025)</f>
        <v>2025</v>
      </c>
      <c r="C839" s="33">
        <f ca="1">IFERROR(__xludf.DUMMYFUNCTION("""COMPUTED_VALUE"""),6)</f>
        <v>6</v>
      </c>
      <c r="D839" s="33" t="str">
        <f ca="1">IFERROR(__xludf.DUMMYFUNCTION("""COMPUTED_VALUE"""),"NO")</f>
        <v>NO</v>
      </c>
      <c r="E839" s="33" t="str">
        <f ca="1">IFERROR(__xludf.DUMMYFUNCTION("""COMPUTED_VALUE"""),"Ourense")</f>
        <v>Ourense</v>
      </c>
      <c r="F839" s="57">
        <f ca="1">IFERROR(__xludf.DUMMYFUNCTION("""COMPUTED_VALUE"""),45814)</f>
        <v>45814</v>
      </c>
      <c r="G839" s="57">
        <f ca="1">IFERROR(__xludf.DUMMYFUNCTION("""COMPUTED_VALUE"""),45783)</f>
        <v>45783</v>
      </c>
      <c r="H839" s="33" t="str">
        <f ca="1">IFERROR(__xludf.DUMMYFUNCTION("""COMPUTED_VALUE"""),"Orense")</f>
        <v>Orense</v>
      </c>
      <c r="I839" s="33" t="str">
        <f ca="1">IFERROR(__xludf.DUMMYFUNCTION("""COMPUTED_VALUE"""),"C202558163459180")</f>
        <v>C202558163459180</v>
      </c>
      <c r="J839" s="33" t="str">
        <f ca="1">IFERROR(__xludf.DUMMYFUNCTION("""COMPUTED_VALUE"""),"CLAUDINA CARBALLO IGLESIAS")</f>
        <v>CLAUDINA CARBALLO IGLESIAS</v>
      </c>
      <c r="K839" s="33">
        <f ca="1">IFERROR(__xludf.DUMMYFUNCTION("""COMPUTED_VALUE"""),2)</f>
        <v>2</v>
      </c>
      <c r="L839" s="203">
        <f ca="1">IFERROR(__xludf.DUMMYFUNCTION("""COMPUTED_VALUE"""),3710)</f>
        <v>3710</v>
      </c>
      <c r="M839" s="33" t="str">
        <f ca="1">IFERROR(__xludf.DUMMYFUNCTION("""COMPUTED_VALUE"""),"03 ORL")</f>
        <v>03 ORL</v>
      </c>
      <c r="N839" s="33" t="str">
        <f ca="1">IFERROR(__xludf.DUMMYFUNCTION("""COMPUTED_VALUE"""),"06 ORL")</f>
        <v>06 ORL</v>
      </c>
      <c r="O839" s="33" t="str">
        <f ca="1">IFERROR(__xludf.DUMMYFUNCTION("""COMPUTED_VALUE"""),"Dra, María Rey Marcos")</f>
        <v>Dra, María Rey Marcos</v>
      </c>
      <c r="P839" s="33" t="str">
        <f ca="1">IFERROR(__xludf.DUMMYFUNCTION("""COMPUTED_VALUE"""),"Roberto Pereira (Galicia)")</f>
        <v>Roberto Pereira (Galicia)</v>
      </c>
    </row>
    <row r="840" spans="2:16">
      <c r="B840" s="33">
        <f ca="1">IFERROR(__xludf.DUMMYFUNCTION("""COMPUTED_VALUE"""),2025)</f>
        <v>2025</v>
      </c>
      <c r="C840" s="33">
        <f ca="1">IFERROR(__xludf.DUMMYFUNCTION("""COMPUTED_VALUE"""),6)</f>
        <v>6</v>
      </c>
      <c r="D840" s="33" t="str">
        <f ca="1">IFERROR(__xludf.DUMMYFUNCTION("""COMPUTED_VALUE"""),"NO")</f>
        <v>NO</v>
      </c>
      <c r="E840" s="33" t="str">
        <f ca="1">IFERROR(__xludf.DUMMYFUNCTION("""COMPUTED_VALUE"""),"Ourense")</f>
        <v>Ourense</v>
      </c>
      <c r="F840" s="57">
        <f ca="1">IFERROR(__xludf.DUMMYFUNCTION("""COMPUTED_VALUE"""),45814)</f>
        <v>45814</v>
      </c>
      <c r="G840" s="57">
        <f ca="1">IFERROR(__xludf.DUMMYFUNCTION("""COMPUTED_VALUE"""),45726)</f>
        <v>45726</v>
      </c>
      <c r="H840" s="33" t="str">
        <f ca="1">IFERROR(__xludf.DUMMYFUNCTION("""COMPUTED_VALUE"""),"Orense")</f>
        <v>Orense</v>
      </c>
      <c r="I840" s="33" t="str">
        <f ca="1">IFERROR(__xludf.DUMMYFUNCTION("""COMPUTED_VALUE"""),"C2025317153220721")</f>
        <v>C2025317153220721</v>
      </c>
      <c r="J840" s="33" t="str">
        <f ca="1">IFERROR(__xludf.DUMMYFUNCTION("""COMPUTED_VALUE"""),"JUAN GONZALEZ GONZALEZ")</f>
        <v>JUAN GONZALEZ GONZALEZ</v>
      </c>
      <c r="K840" s="33">
        <f ca="1">IFERROR(__xludf.DUMMYFUNCTION("""COMPUTED_VALUE"""),2)</f>
        <v>2</v>
      </c>
      <c r="L840" s="203">
        <f ca="1">IFERROR(__xludf.DUMMYFUNCTION("""COMPUTED_VALUE"""),4400)</f>
        <v>4400</v>
      </c>
      <c r="M840" s="33" t="str">
        <f ca="1">IFERROR(__xludf.DUMMYFUNCTION("""COMPUTED_VALUE"""),"03 ORL")</f>
        <v>03 ORL</v>
      </c>
      <c r="N840" s="33" t="str">
        <f ca="1">IFERROR(__xludf.DUMMYFUNCTION("""COMPUTED_VALUE"""),"06 ORL")</f>
        <v>06 ORL</v>
      </c>
      <c r="O840" s="33" t="str">
        <f ca="1">IFERROR(__xludf.DUMMYFUNCTION("""COMPUTED_VALUE"""),"Dr, Rafael Alfonso Hurtado Ruzza")</f>
        <v>Dr, Rafael Alfonso Hurtado Ruzza</v>
      </c>
      <c r="P840" s="33" t="str">
        <f ca="1">IFERROR(__xludf.DUMMYFUNCTION("""COMPUTED_VALUE"""),"Roberto Pereira (Galicia)")</f>
        <v>Roberto Pereira (Galicia)</v>
      </c>
    </row>
    <row r="841" spans="2:16">
      <c r="B841" s="33">
        <f ca="1">IFERROR(__xludf.DUMMYFUNCTION("""COMPUTED_VALUE"""),2025)</f>
        <v>2025</v>
      </c>
      <c r="C841" s="33">
        <f ca="1">IFERROR(__xludf.DUMMYFUNCTION("""COMPUTED_VALUE"""),6)</f>
        <v>6</v>
      </c>
      <c r="D841" s="33" t="str">
        <f ca="1">IFERROR(__xludf.DUMMYFUNCTION("""COMPUTED_VALUE"""),"NO")</f>
        <v>NO</v>
      </c>
      <c r="E841" s="33" t="str">
        <f ca="1">IFERROR(__xludf.DUMMYFUNCTION("""COMPUTED_VALUE"""),"Ourense")</f>
        <v>Ourense</v>
      </c>
      <c r="F841" s="57">
        <f ca="1">IFERROR(__xludf.DUMMYFUNCTION("""COMPUTED_VALUE"""),45834)</f>
        <v>45834</v>
      </c>
      <c r="G841" s="57">
        <f ca="1">IFERROR(__xludf.DUMMYFUNCTION("""COMPUTED_VALUE"""),45810)</f>
        <v>45810</v>
      </c>
      <c r="H841" s="33" t="str">
        <f ca="1">IFERROR(__xludf.DUMMYFUNCTION("""COMPUTED_VALUE"""),"Orense")</f>
        <v>Orense</v>
      </c>
      <c r="I841" s="33" t="str">
        <f ca="1">IFERROR(__xludf.DUMMYFUNCTION("""COMPUTED_VALUE"""),"C202564101055591")</f>
        <v>C202564101055591</v>
      </c>
      <c r="J841" s="33" t="str">
        <f ca="1">IFERROR(__xludf.DUMMYFUNCTION("""COMPUTED_VALUE"""),"MANUEL NIETO FORMOSO")</f>
        <v>MANUEL NIETO FORMOSO</v>
      </c>
      <c r="K841" s="33">
        <f ca="1">IFERROR(__xludf.DUMMYFUNCTION("""COMPUTED_VALUE"""),2)</f>
        <v>2</v>
      </c>
      <c r="L841" s="203">
        <f ca="1">IFERROR(__xludf.DUMMYFUNCTION("""COMPUTED_VALUE"""),3800)</f>
        <v>3800</v>
      </c>
      <c r="M841" s="33" t="str">
        <f ca="1">IFERROR(__xludf.DUMMYFUNCTION("""COMPUTED_VALUE"""),"03 ORL")</f>
        <v>03 ORL</v>
      </c>
      <c r="N841" s="33" t="str">
        <f ca="1">IFERROR(__xludf.DUMMYFUNCTION("""COMPUTED_VALUE"""),"06 ORL")</f>
        <v>06 ORL</v>
      </c>
      <c r="O841" s="33" t="str">
        <f ca="1">IFERROR(__xludf.DUMMYFUNCTION("""COMPUTED_VALUE"""),"Dra, María Rey Marcos")</f>
        <v>Dra, María Rey Marcos</v>
      </c>
      <c r="P841" s="33" t="str">
        <f ca="1">IFERROR(__xludf.DUMMYFUNCTION("""COMPUTED_VALUE"""),"Roberto Pereira (Galicia)")</f>
        <v>Roberto Pereira (Galicia)</v>
      </c>
    </row>
    <row r="842" spans="2:16">
      <c r="B842" s="33">
        <f ca="1">IFERROR(__xludf.DUMMYFUNCTION("""COMPUTED_VALUE"""),2025)</f>
        <v>2025</v>
      </c>
      <c r="C842" s="33">
        <f ca="1">IFERROR(__xludf.DUMMYFUNCTION("""COMPUTED_VALUE"""),6)</f>
        <v>6</v>
      </c>
      <c r="D842" s="33" t="str">
        <f ca="1">IFERROR(__xludf.DUMMYFUNCTION("""COMPUTED_VALUE"""),"NO")</f>
        <v>NO</v>
      </c>
      <c r="E842" s="33" t="str">
        <f ca="1">IFERROR(__xludf.DUMMYFUNCTION("""COMPUTED_VALUE"""),"Ourense")</f>
        <v>Ourense</v>
      </c>
      <c r="F842" s="57">
        <f ca="1">IFERROR(__xludf.DUMMYFUNCTION("""COMPUTED_VALUE"""),45825)</f>
        <v>45825</v>
      </c>
      <c r="G842" s="57">
        <f ca="1">IFERROR(__xludf.DUMMYFUNCTION("""COMPUTED_VALUE"""),45796)</f>
        <v>45796</v>
      </c>
      <c r="H842" s="33" t="str">
        <f ca="1">IFERROR(__xludf.DUMMYFUNCTION("""COMPUTED_VALUE"""),"Orense")</f>
        <v>Orense</v>
      </c>
      <c r="I842" s="33" t="str">
        <f ca="1">IFERROR(__xludf.DUMMYFUNCTION("""COMPUTED_VALUE"""),"C2025522111648984")</f>
        <v>C2025522111648984</v>
      </c>
      <c r="J842" s="33" t="str">
        <f ca="1">IFERROR(__xludf.DUMMYFUNCTION("""COMPUTED_VALUE"""),"MARIA DEL CARMEN NOBOA BLANCO")</f>
        <v>MARIA DEL CARMEN NOBOA BLANCO</v>
      </c>
      <c r="K842" s="33">
        <f ca="1">IFERROR(__xludf.DUMMYFUNCTION("""COMPUTED_VALUE"""),2)</f>
        <v>2</v>
      </c>
      <c r="L842" s="203">
        <f ca="1">IFERROR(__xludf.DUMMYFUNCTION("""COMPUTED_VALUE"""),3523.64)</f>
        <v>3523.64</v>
      </c>
      <c r="M842" s="33" t="str">
        <f ca="1">IFERROR(__xludf.DUMMYFUNCTION("""COMPUTED_VALUE"""),"03 ORL")</f>
        <v>03 ORL</v>
      </c>
      <c r="N842" s="33" t="str">
        <f ca="1">IFERROR(__xludf.DUMMYFUNCTION("""COMPUTED_VALUE"""),"06 ORL")</f>
        <v>06 ORL</v>
      </c>
      <c r="O842" s="33" t="str">
        <f ca="1">IFERROR(__xludf.DUMMYFUNCTION("""COMPUTED_VALUE"""),"Dr, Rafael Alfonso Hurtado Ruzza")</f>
        <v>Dr, Rafael Alfonso Hurtado Ruzza</v>
      </c>
      <c r="P842" s="33" t="str">
        <f ca="1">IFERROR(__xludf.DUMMYFUNCTION("""COMPUTED_VALUE"""),"Roberto Pereira (Galicia)")</f>
        <v>Roberto Pereira (Galicia)</v>
      </c>
    </row>
    <row r="843" spans="2:16">
      <c r="B843" s="33">
        <f ca="1">IFERROR(__xludf.DUMMYFUNCTION("""COMPUTED_VALUE"""),2025)</f>
        <v>2025</v>
      </c>
      <c r="C843" s="33">
        <f ca="1">IFERROR(__xludf.DUMMYFUNCTION("""COMPUTED_VALUE"""),6)</f>
        <v>6</v>
      </c>
      <c r="D843" s="33" t="str">
        <f ca="1">IFERROR(__xludf.DUMMYFUNCTION("""COMPUTED_VALUE"""),"NO")</f>
        <v>NO</v>
      </c>
      <c r="E843" s="33" t="str">
        <f ca="1">IFERROR(__xludf.DUMMYFUNCTION("""COMPUTED_VALUE"""),"Ourense")</f>
        <v>Ourense</v>
      </c>
      <c r="F843" s="57">
        <f ca="1">IFERROR(__xludf.DUMMYFUNCTION("""COMPUTED_VALUE"""),45828)</f>
        <v>45828</v>
      </c>
      <c r="G843" s="57">
        <f ca="1">IFERROR(__xludf.DUMMYFUNCTION("""COMPUTED_VALUE"""),45807)</f>
        <v>45807</v>
      </c>
      <c r="H843" s="33" t="str">
        <f ca="1">IFERROR(__xludf.DUMMYFUNCTION("""COMPUTED_VALUE"""),"Orense")</f>
        <v>Orense</v>
      </c>
      <c r="I843" s="33" t="str">
        <f ca="1">IFERROR(__xludf.DUMMYFUNCTION("""COMPUTED_VALUE"""),"C20256416321511")</f>
        <v>C20256416321511</v>
      </c>
      <c r="J843" s="33" t="str">
        <f ca="1">IFERROR(__xludf.DUMMYFUNCTION("""COMPUTED_VALUE"""),"MARIA INES RODRIGUEZ GARCIA")</f>
        <v>MARIA INES RODRIGUEZ GARCIA</v>
      </c>
      <c r="K843" s="33">
        <f ca="1">IFERROR(__xludf.DUMMYFUNCTION("""COMPUTED_VALUE"""),2)</f>
        <v>2</v>
      </c>
      <c r="L843" s="203">
        <f ca="1">IFERROR(__xludf.DUMMYFUNCTION("""COMPUTED_VALUE"""),4400)</f>
        <v>4400</v>
      </c>
      <c r="M843" s="33" t="str">
        <f ca="1">IFERROR(__xludf.DUMMYFUNCTION("""COMPUTED_VALUE"""),"03 ORL")</f>
        <v>03 ORL</v>
      </c>
      <c r="N843" s="33" t="str">
        <f ca="1">IFERROR(__xludf.DUMMYFUNCTION("""COMPUTED_VALUE"""),"06 ORL")</f>
        <v>06 ORL</v>
      </c>
      <c r="O843" s="33" t="str">
        <f ca="1">IFERROR(__xludf.DUMMYFUNCTION("""COMPUTED_VALUE"""),"Dra, María Rey Marcos")</f>
        <v>Dra, María Rey Marcos</v>
      </c>
      <c r="P843" s="33" t="str">
        <f ca="1">IFERROR(__xludf.DUMMYFUNCTION("""COMPUTED_VALUE"""),"Roberto Pereira (Galicia)")</f>
        <v>Roberto Pereira (Galicia)</v>
      </c>
    </row>
    <row r="844" spans="2:16">
      <c r="B844" s="33">
        <f ca="1">IFERROR(__xludf.DUMMYFUNCTION("""COMPUTED_VALUE"""),2025)</f>
        <v>2025</v>
      </c>
      <c r="C844" s="33">
        <f ca="1">IFERROR(__xludf.DUMMYFUNCTION("""COMPUTED_VALUE"""),6)</f>
        <v>6</v>
      </c>
      <c r="D844" s="33" t="str">
        <f ca="1">IFERROR(__xludf.DUMMYFUNCTION("""COMPUTED_VALUE"""),"NO")</f>
        <v>NO</v>
      </c>
      <c r="E844" s="33" t="str">
        <f ca="1">IFERROR(__xludf.DUMMYFUNCTION("""COMPUTED_VALUE"""),"Ourense")</f>
        <v>Ourense</v>
      </c>
      <c r="F844" s="57">
        <f ca="1">IFERROR(__xludf.DUMMYFUNCTION("""COMPUTED_VALUE"""),45813)</f>
        <v>45813</v>
      </c>
      <c r="G844" s="57">
        <f ca="1">IFERROR(__xludf.DUMMYFUNCTION("""COMPUTED_VALUE"""),45790)</f>
        <v>45790</v>
      </c>
      <c r="H844" s="33" t="str">
        <f ca="1">IFERROR(__xludf.DUMMYFUNCTION("""COMPUTED_VALUE"""),"Orense")</f>
        <v>Orense</v>
      </c>
      <c r="I844" s="33" t="str">
        <f ca="1">IFERROR(__xludf.DUMMYFUNCTION("""COMPUTED_VALUE"""),"C2025513111831996")</f>
        <v>C2025513111831996</v>
      </c>
      <c r="J844" s="33" t="str">
        <f ca="1">IFERROR(__xludf.DUMMYFUNCTION("""COMPUTED_VALUE"""),"PABLO MANZANO IGLESIAS")</f>
        <v>PABLO MANZANO IGLESIAS</v>
      </c>
      <c r="K844" s="33">
        <f ca="1">IFERROR(__xludf.DUMMYFUNCTION("""COMPUTED_VALUE"""),2)</f>
        <v>2</v>
      </c>
      <c r="L844" s="203">
        <f ca="1">IFERROR(__xludf.DUMMYFUNCTION("""COMPUTED_VALUE"""),4400)</f>
        <v>4400</v>
      </c>
      <c r="M844" s="33" t="str">
        <f ca="1">IFERROR(__xludf.DUMMYFUNCTION("""COMPUTED_VALUE"""),"03 ORL")</f>
        <v>03 ORL</v>
      </c>
      <c r="N844" s="33" t="str">
        <f ca="1">IFERROR(__xludf.DUMMYFUNCTION("""COMPUTED_VALUE"""),"06 ORL")</f>
        <v>06 ORL</v>
      </c>
      <c r="O844" s="33" t="str">
        <f ca="1">IFERROR(__xludf.DUMMYFUNCTION("""COMPUTED_VALUE"""),"Dra, María Rey Marcos")</f>
        <v>Dra, María Rey Marcos</v>
      </c>
      <c r="P844" s="33" t="str">
        <f ca="1">IFERROR(__xludf.DUMMYFUNCTION("""COMPUTED_VALUE"""),"Roberto Pereira (Galicia)")</f>
        <v>Roberto Pereira (Galicia)</v>
      </c>
    </row>
    <row r="845" spans="2:16">
      <c r="B845" s="33">
        <f ca="1">IFERROR(__xludf.DUMMYFUNCTION("""COMPUTED_VALUE"""),2025)</f>
        <v>2025</v>
      </c>
      <c r="C845" s="33">
        <f ca="1">IFERROR(__xludf.DUMMYFUNCTION("""COMPUTED_VALUE"""),6)</f>
        <v>6</v>
      </c>
      <c r="D845" s="33" t="str">
        <f ca="1">IFERROR(__xludf.DUMMYFUNCTION("""COMPUTED_VALUE"""),"NO")</f>
        <v>NO</v>
      </c>
      <c r="E845" s="33" t="str">
        <f ca="1">IFERROR(__xludf.DUMMYFUNCTION("""COMPUTED_VALUE"""),"Ourense")</f>
        <v>Ourense</v>
      </c>
      <c r="F845" s="57">
        <f ca="1">IFERROR(__xludf.DUMMYFUNCTION("""COMPUTED_VALUE"""),45834)</f>
        <v>45834</v>
      </c>
      <c r="G845" s="57">
        <f ca="1">IFERROR(__xludf.DUMMYFUNCTION("""COMPUTED_VALUE"""),45723)</f>
        <v>45723</v>
      </c>
      <c r="H845" s="33" t="str">
        <f ca="1">IFERROR(__xludf.DUMMYFUNCTION("""COMPUTED_VALUE"""),"Orense")</f>
        <v>Orense</v>
      </c>
      <c r="I845" s="33" t="str">
        <f ca="1">IFERROR(__xludf.DUMMYFUNCTION("""COMPUTED_VALUE"""),"C2025313112814960")</f>
        <v>C2025313112814960</v>
      </c>
      <c r="J845" s="33" t="str">
        <f ca="1">IFERROR(__xludf.DUMMYFUNCTION("""COMPUTED_VALUE"""),"PILAR FEIJOO GONZALEZ")</f>
        <v>PILAR FEIJOO GONZALEZ</v>
      </c>
      <c r="K845" s="33">
        <f ca="1">IFERROR(__xludf.DUMMYFUNCTION("""COMPUTED_VALUE"""),2)</f>
        <v>2</v>
      </c>
      <c r="L845" s="203">
        <f ca="1">IFERROR(__xludf.DUMMYFUNCTION("""COMPUTED_VALUE"""),4000)</f>
        <v>4000</v>
      </c>
      <c r="M845" s="33" t="str">
        <f ca="1">IFERROR(__xludf.DUMMYFUNCTION("""COMPUTED_VALUE"""),"03 ORL")</f>
        <v>03 ORL</v>
      </c>
      <c r="N845" s="33" t="str">
        <f ca="1">IFERROR(__xludf.DUMMYFUNCTION("""COMPUTED_VALUE"""),"06 ORL")</f>
        <v>06 ORL</v>
      </c>
      <c r="O845" s="33" t="str">
        <f ca="1">IFERROR(__xludf.DUMMYFUNCTION("""COMPUTED_VALUE"""),"Dra, Ana Quintana Sanjuan")</f>
        <v>Dra, Ana Quintana Sanjuan</v>
      </c>
      <c r="P845" s="33" t="str">
        <f ca="1">IFERROR(__xludf.DUMMYFUNCTION("""COMPUTED_VALUE"""),"Roberto Pereira (Galicia)")</f>
        <v>Roberto Pereira (Galicia)</v>
      </c>
    </row>
    <row r="846" spans="2:16">
      <c r="B846" s="33">
        <f ca="1">IFERROR(__xludf.DUMMYFUNCTION("""COMPUTED_VALUE"""),2025)</f>
        <v>2025</v>
      </c>
      <c r="C846" s="33">
        <f ca="1">IFERROR(__xludf.DUMMYFUNCTION("""COMPUTED_VALUE"""),6)</f>
        <v>6</v>
      </c>
      <c r="D846" s="33" t="str">
        <f ca="1">IFERROR(__xludf.DUMMYFUNCTION("""COMPUTED_VALUE"""),"NO")</f>
        <v>NO</v>
      </c>
      <c r="E846" s="33" t="str">
        <f ca="1">IFERROR(__xludf.DUMMYFUNCTION("""COMPUTED_VALUE"""),"San Javier")</f>
        <v>San Javier</v>
      </c>
      <c r="F846" s="57">
        <f ca="1">IFERROR(__xludf.DUMMYFUNCTION("""COMPUTED_VALUE"""),45818)</f>
        <v>45818</v>
      </c>
      <c r="G846" s="57">
        <f ca="1">IFERROR(__xludf.DUMMYFUNCTION("""COMPUTED_VALUE"""),45790)</f>
        <v>45790</v>
      </c>
      <c r="H846" s="33" t="str">
        <f ca="1">IFERROR(__xludf.DUMMYFUNCTION("""COMPUTED_VALUE"""),"San Javier")</f>
        <v>San Javier</v>
      </c>
      <c r="I846" s="33" t="str">
        <f ca="1">IFERROR(__xludf.DUMMYFUNCTION("""COMPUTED_VALUE"""),"C202551912153276")</f>
        <v>C202551912153276</v>
      </c>
      <c r="J846" s="33" t="str">
        <f ca="1">IFERROR(__xludf.DUMMYFUNCTION("""COMPUTED_VALUE"""),"FRANCISCA MARTINEZ PEREZ")</f>
        <v>FRANCISCA MARTINEZ PEREZ</v>
      </c>
      <c r="K846" s="33">
        <f ca="1">IFERROR(__xludf.DUMMYFUNCTION("""COMPUTED_VALUE"""),1)</f>
        <v>1</v>
      </c>
      <c r="L846" s="203">
        <f ca="1">IFERROR(__xludf.DUMMYFUNCTION("""COMPUTED_VALUE"""),2226.36)</f>
        <v>2226.36</v>
      </c>
      <c r="M846" s="33" t="str">
        <f ca="1">IFERROR(__xludf.DUMMYFUNCTION("""COMPUTED_VALUE"""),"04 TIENDA")</f>
        <v>04 TIENDA</v>
      </c>
      <c r="N846" s="33" t="str">
        <f ca="1">IFERROR(__xludf.DUMMYFUNCTION("""COMPUTED_VALUE"""),"07 BOCA/BOCA")</f>
        <v>07 BOCA/BOCA</v>
      </c>
      <c r="O846" s="33" t="str">
        <f ca="1">IFERROR(__xludf.DUMMYFUNCTION("""COMPUTED_VALUE"""),"Dr, Rubén Moreno Arrones")</f>
        <v>Dr, Rubén Moreno Arrones</v>
      </c>
      <c r="P846" s="33" t="str">
        <f ca="1">IFERROR(__xludf.DUMMYFUNCTION("""COMPUTED_VALUE"""),"Iván Sánchez (Levante Y Albacete)")</f>
        <v>Iván Sánchez (Levante Y Albacete)</v>
      </c>
    </row>
    <row r="847" spans="2:16">
      <c r="B847" s="33">
        <f ca="1">IFERROR(__xludf.DUMMYFUNCTION("""COMPUTED_VALUE"""),2025)</f>
        <v>2025</v>
      </c>
      <c r="C847" s="33">
        <f ca="1">IFERROR(__xludf.DUMMYFUNCTION("""COMPUTED_VALUE"""),6)</f>
        <v>6</v>
      </c>
      <c r="D847" s="33" t="str">
        <f ca="1">IFERROR(__xludf.DUMMYFUNCTION("""COMPUTED_VALUE"""),"NO")</f>
        <v>NO</v>
      </c>
      <c r="E847" s="33" t="str">
        <f ca="1">IFERROR(__xludf.DUMMYFUNCTION("""COMPUTED_VALUE"""),"San Javier")</f>
        <v>San Javier</v>
      </c>
      <c r="F847" s="57">
        <f ca="1">IFERROR(__xludf.DUMMYFUNCTION("""COMPUTED_VALUE"""),45838)</f>
        <v>45838</v>
      </c>
      <c r="G847" s="57">
        <f ca="1">IFERROR(__xludf.DUMMYFUNCTION("""COMPUTED_VALUE"""),45790)</f>
        <v>45790</v>
      </c>
      <c r="H847" s="33" t="str">
        <f ca="1">IFERROR(__xludf.DUMMYFUNCTION("""COMPUTED_VALUE"""),"San Javier")</f>
        <v>San Javier</v>
      </c>
      <c r="I847" s="33" t="str">
        <f ca="1">IFERROR(__xludf.DUMMYFUNCTION("""COMPUTED_VALUE"""),"C202552017127770")</f>
        <v>C202552017127770</v>
      </c>
      <c r="J847" s="33" t="str">
        <f ca="1">IFERROR(__xludf.DUMMYFUNCTION("""COMPUTED_VALUE"""),"ISABEL GARCIA BALSALOBRE")</f>
        <v>ISABEL GARCIA BALSALOBRE</v>
      </c>
      <c r="K847" s="33">
        <f ca="1">IFERROR(__xludf.DUMMYFUNCTION("""COMPUTED_VALUE"""),2)</f>
        <v>2</v>
      </c>
      <c r="L847" s="203">
        <f ca="1">IFERROR(__xludf.DUMMYFUNCTION("""COMPUTED_VALUE"""),2888.18)</f>
        <v>2888.18</v>
      </c>
      <c r="M847" s="33" t="str">
        <f ca="1">IFERROR(__xludf.DUMMYFUNCTION("""COMPUTED_VALUE"""),"03 ORL")</f>
        <v>03 ORL</v>
      </c>
      <c r="N847" s="33" t="str">
        <f ca="1">IFERROR(__xludf.DUMMYFUNCTION("""COMPUTED_VALUE"""),"06 ORL")</f>
        <v>06 ORL</v>
      </c>
      <c r="O847" s="33" t="str">
        <f ca="1">IFERROR(__xludf.DUMMYFUNCTION("""COMPUTED_VALUE"""),"No recuerda ORL")</f>
        <v>No recuerda ORL</v>
      </c>
      <c r="P847" s="33" t="str">
        <f ca="1">IFERROR(__xludf.DUMMYFUNCTION("""COMPUTED_VALUE"""),"Iván Sánchez (Levante Y Albacete)")</f>
        <v>Iván Sánchez (Levante Y Albacete)</v>
      </c>
    </row>
    <row r="848" spans="2:16">
      <c r="B848" s="33">
        <f ca="1">IFERROR(__xludf.DUMMYFUNCTION("""COMPUTED_VALUE"""),2025)</f>
        <v>2025</v>
      </c>
      <c r="C848" s="33">
        <f ca="1">IFERROR(__xludf.DUMMYFUNCTION("""COMPUTED_VALUE"""),6)</f>
        <v>6</v>
      </c>
      <c r="D848" s="33" t="str">
        <f ca="1">IFERROR(__xludf.DUMMYFUNCTION("""COMPUTED_VALUE"""),"SI")</f>
        <v>SI</v>
      </c>
      <c r="E848" s="33" t="str">
        <f ca="1">IFERROR(__xludf.DUMMYFUNCTION("""COMPUTED_VALUE"""),"San Javier")</f>
        <v>San Javier</v>
      </c>
      <c r="F848" s="57">
        <f ca="1">IFERROR(__xludf.DUMMYFUNCTION("""COMPUTED_VALUE"""),45827)</f>
        <v>45827</v>
      </c>
      <c r="G848" s="57">
        <f ca="1">IFERROR(__xludf.DUMMYFUNCTION("""COMPUTED_VALUE"""),45797)</f>
        <v>45797</v>
      </c>
      <c r="H848" s="33" t="str">
        <f ca="1">IFERROR(__xludf.DUMMYFUNCTION("""COMPUTED_VALUE"""),"San Javier")</f>
        <v>San Javier</v>
      </c>
      <c r="I848" s="33" t="str">
        <f ca="1">IFERROR(__xludf.DUMMYFUNCTION("""COMPUTED_VALUE"""),"C202552117127402")</f>
        <v>C202552117127402</v>
      </c>
      <c r="J848" s="33" t="str">
        <f ca="1">IFERROR(__xludf.DUMMYFUNCTION("""COMPUTED_VALUE"""),"JOSE ANTONIO ABAD MARTINEZ")</f>
        <v>JOSE ANTONIO ABAD MARTINEZ</v>
      </c>
      <c r="K848" s="33">
        <f ca="1">IFERROR(__xludf.DUMMYFUNCTION("""COMPUTED_VALUE"""),2)</f>
        <v>2</v>
      </c>
      <c r="L848" s="203">
        <f ca="1">IFERROR(__xludf.DUMMYFUNCTION("""COMPUTED_VALUE"""),4531.82)</f>
        <v>4531.82</v>
      </c>
      <c r="M848" s="33" t="str">
        <f ca="1">IFERROR(__xludf.DUMMYFUNCTION("""COMPUTED_VALUE"""),"03 ORL")</f>
        <v>03 ORL</v>
      </c>
      <c r="N848" s="33" t="str">
        <f ca="1">IFERROR(__xludf.DUMMYFUNCTION("""COMPUTED_VALUE"""),"06 ORL")</f>
        <v>06 ORL</v>
      </c>
      <c r="O848" s="33" t="str">
        <f ca="1">IFERROR(__xludf.DUMMYFUNCTION("""COMPUTED_VALUE"""),"Dr, Andrés Barrios Recio")</f>
        <v>Dr, Andrés Barrios Recio</v>
      </c>
      <c r="P848" s="33" t="str">
        <f ca="1">IFERROR(__xludf.DUMMYFUNCTION("""COMPUTED_VALUE"""),"Iván Sánchez (Levante Y Albacete)")</f>
        <v>Iván Sánchez (Levante Y Albacete)</v>
      </c>
    </row>
    <row r="849" spans="2:16">
      <c r="B849" s="33">
        <f ca="1">IFERROR(__xludf.DUMMYFUNCTION("""COMPUTED_VALUE"""),2025)</f>
        <v>2025</v>
      </c>
      <c r="C849" s="33">
        <f ca="1">IFERROR(__xludf.DUMMYFUNCTION("""COMPUTED_VALUE"""),6)</f>
        <v>6</v>
      </c>
      <c r="D849" s="33" t="str">
        <f ca="1">IFERROR(__xludf.DUMMYFUNCTION("""COMPUTED_VALUE"""),"NO")</f>
        <v>NO</v>
      </c>
      <c r="E849" s="33" t="str">
        <f ca="1">IFERROR(__xludf.DUMMYFUNCTION("""COMPUTED_VALUE"""),"San Javier")</f>
        <v>San Javier</v>
      </c>
      <c r="F849" s="57">
        <f ca="1">IFERROR(__xludf.DUMMYFUNCTION("""COMPUTED_VALUE"""),45835)</f>
        <v>45835</v>
      </c>
      <c r="G849" s="57">
        <f ca="1">IFERROR(__xludf.DUMMYFUNCTION("""COMPUTED_VALUE"""),45797)</f>
        <v>45797</v>
      </c>
      <c r="H849" s="33" t="str">
        <f ca="1">IFERROR(__xludf.DUMMYFUNCTION("""COMPUTED_VALUE"""),"San Javier")</f>
        <v>San Javier</v>
      </c>
      <c r="I849" s="33" t="str">
        <f ca="1">IFERROR(__xludf.DUMMYFUNCTION("""COMPUTED_VALUE"""),"C202562122621942")</f>
        <v>C202562122621942</v>
      </c>
      <c r="J849" s="33" t="str">
        <f ca="1">IFERROR(__xludf.DUMMYFUNCTION("""COMPUTED_VALUE"""),"JUANA PEREZ ROMERO")</f>
        <v>JUANA PEREZ ROMERO</v>
      </c>
      <c r="K849" s="33">
        <f ca="1">IFERROR(__xludf.DUMMYFUNCTION("""COMPUTED_VALUE"""),2)</f>
        <v>2</v>
      </c>
      <c r="L849" s="203">
        <f ca="1">IFERROR(__xludf.DUMMYFUNCTION("""COMPUTED_VALUE"""),4000)</f>
        <v>4000</v>
      </c>
      <c r="M849" s="33" t="str">
        <f ca="1">IFERROR(__xludf.DUMMYFUNCTION("""COMPUTED_VALUE"""),"03 ORL")</f>
        <v>03 ORL</v>
      </c>
      <c r="N849" s="33" t="str">
        <f ca="1">IFERROR(__xludf.DUMMYFUNCTION("""COMPUTED_VALUE"""),"06 ORL")</f>
        <v>06 ORL</v>
      </c>
      <c r="O849" s="33" t="str">
        <f ca="1">IFERROR(__xludf.DUMMYFUNCTION("""COMPUTED_VALUE"""),"Dra, María Teresa Almela Rojo")</f>
        <v>Dra, María Teresa Almela Rojo</v>
      </c>
      <c r="P849" s="33" t="str">
        <f ca="1">IFERROR(__xludf.DUMMYFUNCTION("""COMPUTED_VALUE"""),"Iván Sánchez (Levante Y Albacete)")</f>
        <v>Iván Sánchez (Levante Y Albacete)</v>
      </c>
    </row>
    <row r="850" spans="2:16">
      <c r="B850" s="33">
        <f ca="1">IFERROR(__xludf.DUMMYFUNCTION("""COMPUTED_VALUE"""),2025)</f>
        <v>2025</v>
      </c>
      <c r="C850" s="33">
        <f ca="1">IFERROR(__xludf.DUMMYFUNCTION("""COMPUTED_VALUE"""),6)</f>
        <v>6</v>
      </c>
      <c r="D850" s="33" t="str">
        <f ca="1">IFERROR(__xludf.DUMMYFUNCTION("""COMPUTED_VALUE"""),"NO")</f>
        <v>NO</v>
      </c>
      <c r="E850" s="33" t="str">
        <f ca="1">IFERROR(__xludf.DUMMYFUNCTION("""COMPUTED_VALUE"""),"San Javier")</f>
        <v>San Javier</v>
      </c>
      <c r="F850" s="57">
        <f ca="1">IFERROR(__xludf.DUMMYFUNCTION("""COMPUTED_VALUE"""),45838)</f>
        <v>45838</v>
      </c>
      <c r="G850" s="57">
        <f ca="1">IFERROR(__xludf.DUMMYFUNCTION("""COMPUTED_VALUE"""),45756)</f>
        <v>45756</v>
      </c>
      <c r="H850" s="33" t="str">
        <f ca="1">IFERROR(__xludf.DUMMYFUNCTION("""COMPUTED_VALUE"""),"San Javier")</f>
        <v>San Javier</v>
      </c>
      <c r="I850" s="33" t="str">
        <f ca="1">IFERROR(__xludf.DUMMYFUNCTION("""COMPUTED_VALUE"""),"C202565114616402")</f>
        <v>C202565114616402</v>
      </c>
      <c r="J850" s="33" t="str">
        <f ca="1">IFERROR(__xludf.DUMMYFUNCTION("""COMPUTED_VALUE"""),"PILAR SANCHEZ ZAPLANA")</f>
        <v>PILAR SANCHEZ ZAPLANA</v>
      </c>
      <c r="K850" s="33">
        <f ca="1">IFERROR(__xludf.DUMMYFUNCTION("""COMPUTED_VALUE"""),2)</f>
        <v>2</v>
      </c>
      <c r="L850" s="203">
        <f ca="1">IFERROR(__xludf.DUMMYFUNCTION("""COMPUTED_VALUE"""),2974.55)</f>
        <v>2974.55</v>
      </c>
      <c r="M850" s="33" t="str">
        <f ca="1">IFERROR(__xludf.DUMMYFUNCTION("""COMPUTED_VALUE"""),"02 MARKETING OFF LINE")</f>
        <v>02 MARKETING OFF LINE</v>
      </c>
      <c r="N850" s="33" t="str">
        <f ca="1">IFERROR(__xludf.DUMMYFUNCTION("""COMPUTED_VALUE"""),"18 ESCAPARATE")</f>
        <v>18 ESCAPARATE</v>
      </c>
      <c r="O850" s="33" t="str">
        <f ca="1">IFERROR(__xludf.DUMMYFUNCTION("""COMPUTED_VALUE"""),"Dra, María Teresa Almela Rojo")</f>
        <v>Dra, María Teresa Almela Rojo</v>
      </c>
      <c r="P850" s="33" t="str">
        <f ca="1">IFERROR(__xludf.DUMMYFUNCTION("""COMPUTED_VALUE"""),"Iván Sánchez (Levante Y Albacete)")</f>
        <v>Iván Sánchez (Levante Y Albacete)</v>
      </c>
    </row>
    <row r="851" spans="2:16">
      <c r="B851" s="33">
        <f ca="1">IFERROR(__xludf.DUMMYFUNCTION("""COMPUTED_VALUE"""),2025)</f>
        <v>2025</v>
      </c>
      <c r="C851" s="33">
        <f ca="1">IFERROR(__xludf.DUMMYFUNCTION("""COMPUTED_VALUE"""),6)</f>
        <v>6</v>
      </c>
      <c r="D851" s="33" t="str">
        <f ca="1">IFERROR(__xludf.DUMMYFUNCTION("""COMPUTED_VALUE"""),"NO")</f>
        <v>NO</v>
      </c>
      <c r="E851" s="33" t="str">
        <f ca="1">IFERROR(__xludf.DUMMYFUNCTION("""COMPUTED_VALUE"""),"San Javier")</f>
        <v>San Javier</v>
      </c>
      <c r="F851" s="57">
        <f ca="1">IFERROR(__xludf.DUMMYFUNCTION("""COMPUTED_VALUE"""),45819)</f>
        <v>45819</v>
      </c>
      <c r="G851" s="57">
        <f ca="1">IFERROR(__xludf.DUMMYFUNCTION("""COMPUTED_VALUE"""),45797)</f>
        <v>45797</v>
      </c>
      <c r="H851" s="33" t="str">
        <f ca="1">IFERROR(__xludf.DUMMYFUNCTION("""COMPUTED_VALUE"""),"San Javier")</f>
        <v>San Javier</v>
      </c>
      <c r="I851" s="33" t="str">
        <f ca="1">IFERROR(__xludf.DUMMYFUNCTION("""COMPUTED_VALUE"""),"C2025523122829551")</f>
        <v>C2025523122829551</v>
      </c>
      <c r="J851" s="33" t="str">
        <f ca="1">IFERROR(__xludf.DUMMYFUNCTION("""COMPUTED_VALUE"""),"ROSARIO RAMOS PARDO")</f>
        <v>ROSARIO RAMOS PARDO</v>
      </c>
      <c r="K851" s="33">
        <f ca="1">IFERROR(__xludf.DUMMYFUNCTION("""COMPUTED_VALUE"""),2)</f>
        <v>2</v>
      </c>
      <c r="L851" s="203">
        <f ca="1">IFERROR(__xludf.DUMMYFUNCTION("""COMPUTED_VALUE"""),3710)</f>
        <v>3710</v>
      </c>
      <c r="M851" s="33" t="str">
        <f ca="1">IFERROR(__xludf.DUMMYFUNCTION("""COMPUTED_VALUE"""),"03 ORL")</f>
        <v>03 ORL</v>
      </c>
      <c r="N851" s="33" t="str">
        <f ca="1">IFERROR(__xludf.DUMMYFUNCTION("""COMPUTED_VALUE"""),"06 ORL")</f>
        <v>06 ORL</v>
      </c>
      <c r="O851" s="33" t="str">
        <f ca="1">IFERROR(__xludf.DUMMYFUNCTION("""COMPUTED_VALUE"""),"Dra, Ana Giribet Fernández-Pacheco")</f>
        <v>Dra, Ana Giribet Fernández-Pacheco</v>
      </c>
      <c r="P851" s="33" t="str">
        <f ca="1">IFERROR(__xludf.DUMMYFUNCTION("""COMPUTED_VALUE"""),"Iván Sánchez (Levante Y Albacete)")</f>
        <v>Iván Sánchez (Levante Y Albacete)</v>
      </c>
    </row>
    <row r="852" spans="2:16">
      <c r="B852" s="33">
        <f ca="1">IFERROR(__xludf.DUMMYFUNCTION("""COMPUTED_VALUE"""),2025)</f>
        <v>2025</v>
      </c>
      <c r="C852" s="33">
        <f ca="1">IFERROR(__xludf.DUMMYFUNCTION("""COMPUTED_VALUE"""),6)</f>
        <v>6</v>
      </c>
      <c r="D852" s="33" t="str">
        <f ca="1">IFERROR(__xludf.DUMMYFUNCTION("""COMPUTED_VALUE"""),"NO")</f>
        <v>NO</v>
      </c>
      <c r="E852" s="33" t="str">
        <f ca="1">IFERROR(__xludf.DUMMYFUNCTION("""COMPUTED_VALUE"""),"San Javier")</f>
        <v>San Javier</v>
      </c>
      <c r="F852" s="57">
        <f ca="1">IFERROR(__xludf.DUMMYFUNCTION("""COMPUTED_VALUE"""),45825)</f>
        <v>45825</v>
      </c>
      <c r="G852" s="57">
        <f ca="1">IFERROR(__xludf.DUMMYFUNCTION("""COMPUTED_VALUE"""),45791)</f>
        <v>45791</v>
      </c>
      <c r="H852" s="33" t="str">
        <f ca="1">IFERROR(__xludf.DUMMYFUNCTION("""COMPUTED_VALUE"""),"San Javier")</f>
        <v>San Javier</v>
      </c>
      <c r="I852" s="33" t="str">
        <f ca="1">IFERROR(__xludf.DUMMYFUNCTION("""COMPUTED_VALUE"""),"C2025516162113314")</f>
        <v>C2025516162113314</v>
      </c>
      <c r="J852" s="33" t="str">
        <f ca="1">IFERROR(__xludf.DUMMYFUNCTION("""COMPUTED_VALUE"""),"TERESA BAILO RECH")</f>
        <v>TERESA BAILO RECH</v>
      </c>
      <c r="K852" s="33">
        <f ca="1">IFERROR(__xludf.DUMMYFUNCTION("""COMPUTED_VALUE"""),1)</f>
        <v>1</v>
      </c>
      <c r="L852" s="203">
        <f ca="1">IFERROR(__xludf.DUMMYFUNCTION("""COMPUTED_VALUE"""),2400)</f>
        <v>2400</v>
      </c>
      <c r="M852" s="33" t="str">
        <f ca="1">IFERROR(__xludf.DUMMYFUNCTION("""COMPUTED_VALUE"""),"03 ORL")</f>
        <v>03 ORL</v>
      </c>
      <c r="N852" s="33" t="str">
        <f ca="1">IFERROR(__xludf.DUMMYFUNCTION("""COMPUTED_VALUE"""),"06 ORL")</f>
        <v>06 ORL</v>
      </c>
      <c r="O852" s="33" t="str">
        <f ca="1">IFERROR(__xludf.DUMMYFUNCTION("""COMPUTED_VALUE"""),"Dra, María Teresa Almela Rojo")</f>
        <v>Dra, María Teresa Almela Rojo</v>
      </c>
      <c r="P852" s="33" t="str">
        <f ca="1">IFERROR(__xludf.DUMMYFUNCTION("""COMPUTED_VALUE"""),"Iván Sánchez (Levante Y Albacete)")</f>
        <v>Iván Sánchez (Levante Y Albacete)</v>
      </c>
    </row>
    <row r="853" spans="2:16">
      <c r="B853" s="33">
        <f ca="1">IFERROR(__xludf.DUMMYFUNCTION("""COMPUTED_VALUE"""),2025)</f>
        <v>2025</v>
      </c>
      <c r="C853" s="33">
        <f ca="1">IFERROR(__xludf.DUMMYFUNCTION("""COMPUTED_VALUE"""),6)</f>
        <v>6</v>
      </c>
      <c r="D853" s="33" t="str">
        <f ca="1">IFERROR(__xludf.DUMMYFUNCTION("""COMPUTED_VALUE"""),"NO")</f>
        <v>NO</v>
      </c>
      <c r="E853" s="33" t="str">
        <f ca="1">IFERROR(__xludf.DUMMYFUNCTION("""COMPUTED_VALUE"""),"Santiago de Compostela")</f>
        <v>Santiago de Compostela</v>
      </c>
      <c r="F853" s="57">
        <f ca="1">IFERROR(__xludf.DUMMYFUNCTION("""COMPUTED_VALUE"""),45813)</f>
        <v>45813</v>
      </c>
      <c r="G853" s="57">
        <f ca="1">IFERROR(__xludf.DUMMYFUNCTION("""COMPUTED_VALUE"""),45138)</f>
        <v>45138</v>
      </c>
      <c r="H853" s="33" t="str">
        <f ca="1">IFERROR(__xludf.DUMMYFUNCTION("""COMPUTED_VALUE"""),"Santiago")</f>
        <v>Santiago</v>
      </c>
      <c r="I853" s="33" t="str">
        <f ca="1">IFERROR(__xludf.DUMMYFUNCTION("""COMPUTED_VALUE"""),"CST-19")</f>
        <v>CST-19</v>
      </c>
      <c r="J853" s="33" t="str">
        <f ca="1">IFERROR(__xludf.DUMMYFUNCTION("""COMPUTED_VALUE"""),"ELISEO POMBO OTERO")</f>
        <v>ELISEO POMBO OTERO</v>
      </c>
      <c r="K853" s="33">
        <f ca="1">IFERROR(__xludf.DUMMYFUNCTION("""COMPUTED_VALUE"""),2)</f>
        <v>2</v>
      </c>
      <c r="L853" s="203">
        <f ca="1">IFERROR(__xludf.DUMMYFUNCTION("""COMPUTED_VALUE"""),3800)</f>
        <v>3800</v>
      </c>
      <c r="M853" s="33" t="str">
        <f ca="1">IFERROR(__xludf.DUMMYFUNCTION("""COMPUTED_VALUE"""),"03 ORL")</f>
        <v>03 ORL</v>
      </c>
      <c r="N853" s="33" t="str">
        <f ca="1">IFERROR(__xludf.DUMMYFUNCTION("""COMPUTED_VALUE"""),"06 ORL")</f>
        <v>06 ORL</v>
      </c>
      <c r="O853" s="33" t="str">
        <f ca="1">IFERROR(__xludf.DUMMYFUNCTION("""COMPUTED_VALUE"""),"No Recuerda ORL")</f>
        <v>No Recuerda ORL</v>
      </c>
      <c r="P853" s="33" t="str">
        <f ca="1">IFERROR(__xludf.DUMMYFUNCTION("""COMPUTED_VALUE"""),"Roberto Pereira (Galicia)")</f>
        <v>Roberto Pereira (Galicia)</v>
      </c>
    </row>
    <row r="854" spans="2:16">
      <c r="B854" s="33">
        <f ca="1">IFERROR(__xludf.DUMMYFUNCTION("""COMPUTED_VALUE"""),2025)</f>
        <v>2025</v>
      </c>
      <c r="C854" s="33">
        <f ca="1">IFERROR(__xludf.DUMMYFUNCTION("""COMPUTED_VALUE"""),6)</f>
        <v>6</v>
      </c>
      <c r="D854" s="33" t="str">
        <f ca="1">IFERROR(__xludf.DUMMYFUNCTION("""COMPUTED_VALUE"""),"NO")</f>
        <v>NO</v>
      </c>
      <c r="E854" s="33" t="str">
        <f ca="1">IFERROR(__xludf.DUMMYFUNCTION("""COMPUTED_VALUE"""),"Santiago de Compostela")</f>
        <v>Santiago de Compostela</v>
      </c>
      <c r="F854" s="57">
        <f ca="1">IFERROR(__xludf.DUMMYFUNCTION("""COMPUTED_VALUE"""),45826)</f>
        <v>45826</v>
      </c>
      <c r="G854" s="57">
        <f ca="1">IFERROR(__xludf.DUMMYFUNCTION("""COMPUTED_VALUE"""),45790)</f>
        <v>45790</v>
      </c>
      <c r="H854" s="33" t="str">
        <f ca="1">IFERROR(__xludf.DUMMYFUNCTION("""COMPUTED_VALUE"""),"Santiago")</f>
        <v>Santiago</v>
      </c>
      <c r="I854" s="33" t="str">
        <f ca="1">IFERROR(__xludf.DUMMYFUNCTION("""COMPUTED_VALUE"""),"C20255199505320")</f>
        <v>C20255199505320</v>
      </c>
      <c r="J854" s="33" t="str">
        <f ca="1">IFERROR(__xludf.DUMMYFUNCTION("""COMPUTED_VALUE"""),"JESUS TURNES MANSILLA")</f>
        <v>JESUS TURNES MANSILLA</v>
      </c>
      <c r="K854" s="33">
        <f ca="1">IFERROR(__xludf.DUMMYFUNCTION("""COMPUTED_VALUE"""),1)</f>
        <v>1</v>
      </c>
      <c r="L854" s="203">
        <f ca="1">IFERROR(__xludf.DUMMYFUNCTION("""COMPUTED_VALUE"""),2226.36)</f>
        <v>2226.36</v>
      </c>
      <c r="M854" s="33" t="str">
        <f ca="1">IFERROR(__xludf.DUMMYFUNCTION("""COMPUTED_VALUE"""),"03 ORL")</f>
        <v>03 ORL</v>
      </c>
      <c r="N854" s="33" t="str">
        <f ca="1">IFERROR(__xludf.DUMMYFUNCTION("""COMPUTED_VALUE"""),"06 ORL")</f>
        <v>06 ORL</v>
      </c>
      <c r="O854" s="33" t="str">
        <f ca="1">IFERROR(__xludf.DUMMYFUNCTION("""COMPUTED_VALUE"""),"Dr, Gabriel Martínez Capoccini")</f>
        <v>Dr, Gabriel Martínez Capoccini</v>
      </c>
      <c r="P854" s="33" t="str">
        <f ca="1">IFERROR(__xludf.DUMMYFUNCTION("""COMPUTED_VALUE"""),"Roberto Pereira (Galicia)")</f>
        <v>Roberto Pereira (Galicia)</v>
      </c>
    </row>
    <row r="855" spans="2:16">
      <c r="B855" s="33">
        <f ca="1">IFERROR(__xludf.DUMMYFUNCTION("""COMPUTED_VALUE"""),2025)</f>
        <v>2025</v>
      </c>
      <c r="C855" s="33">
        <f ca="1">IFERROR(__xludf.DUMMYFUNCTION("""COMPUTED_VALUE"""),6)</f>
        <v>6</v>
      </c>
      <c r="D855" s="33" t="str">
        <f ca="1">IFERROR(__xludf.DUMMYFUNCTION("""COMPUTED_VALUE"""),"NO")</f>
        <v>NO</v>
      </c>
      <c r="E855" s="33" t="str">
        <f ca="1">IFERROR(__xludf.DUMMYFUNCTION("""COMPUTED_VALUE"""),"Santiago de Compostela")</f>
        <v>Santiago de Compostela</v>
      </c>
      <c r="F855" s="57">
        <f ca="1">IFERROR(__xludf.DUMMYFUNCTION("""COMPUTED_VALUE"""),45825)</f>
        <v>45825</v>
      </c>
      <c r="G855" s="57">
        <f ca="1">IFERROR(__xludf.DUMMYFUNCTION("""COMPUTED_VALUE"""),45783)</f>
        <v>45783</v>
      </c>
      <c r="H855" s="33" t="str">
        <f ca="1">IFERROR(__xludf.DUMMYFUNCTION("""COMPUTED_VALUE"""),"Santiago")</f>
        <v>Santiago</v>
      </c>
      <c r="I855" s="33" t="str">
        <f ca="1">IFERROR(__xludf.DUMMYFUNCTION("""COMPUTED_VALUE"""),"C202559155953814")</f>
        <v>C202559155953814</v>
      </c>
      <c r="J855" s="33" t="str">
        <f ca="1">IFERROR(__xludf.DUMMYFUNCTION("""COMPUTED_VALUE"""),"LUZ DIVINA NUÑEZ FERNANDEZ")</f>
        <v>LUZ DIVINA NUÑEZ FERNANDEZ</v>
      </c>
      <c r="K855" s="33">
        <f ca="1">IFERROR(__xludf.DUMMYFUNCTION("""COMPUTED_VALUE"""),1)</f>
        <v>1</v>
      </c>
      <c r="L855" s="203">
        <f ca="1">IFERROR(__xludf.DUMMYFUNCTION("""COMPUTED_VALUE"""),2640)</f>
        <v>2640</v>
      </c>
      <c r="M855" s="33" t="str">
        <f ca="1">IFERROR(__xludf.DUMMYFUNCTION("""COMPUTED_VALUE"""),"03 ORL")</f>
        <v>03 ORL</v>
      </c>
      <c r="N855" s="33" t="str">
        <f ca="1">IFERROR(__xludf.DUMMYFUNCTION("""COMPUTED_VALUE"""),"06 ORL")</f>
        <v>06 ORL</v>
      </c>
      <c r="O855" s="33" t="str">
        <f ca="1">IFERROR(__xludf.DUMMYFUNCTION("""COMPUTED_VALUE"""),"Dra, Isabel Vaamonde Sanchez Andrade")</f>
        <v>Dra, Isabel Vaamonde Sanchez Andrade</v>
      </c>
      <c r="P855" s="33" t="str">
        <f ca="1">IFERROR(__xludf.DUMMYFUNCTION("""COMPUTED_VALUE"""),"Roberto Pereira (Galicia)")</f>
        <v>Roberto Pereira (Galicia)</v>
      </c>
    </row>
    <row r="856" spans="2:16">
      <c r="B856" s="33">
        <f ca="1">IFERROR(__xludf.DUMMYFUNCTION("""COMPUTED_VALUE"""),2025)</f>
        <v>2025</v>
      </c>
      <c r="C856" s="33">
        <f ca="1">IFERROR(__xludf.DUMMYFUNCTION("""COMPUTED_VALUE"""),6)</f>
        <v>6</v>
      </c>
      <c r="D856" s="33" t="str">
        <f ca="1">IFERROR(__xludf.DUMMYFUNCTION("""COMPUTED_VALUE"""),"NO")</f>
        <v>NO</v>
      </c>
      <c r="E856" s="33" t="str">
        <f ca="1">IFERROR(__xludf.DUMMYFUNCTION("""COMPUTED_VALUE"""),"Santiago de Compostela")</f>
        <v>Santiago de Compostela</v>
      </c>
      <c r="F856" s="57">
        <f ca="1">IFERROR(__xludf.DUMMYFUNCTION("""COMPUTED_VALUE"""),45814)</f>
        <v>45814</v>
      </c>
      <c r="G856" s="57">
        <f ca="1">IFERROR(__xludf.DUMMYFUNCTION("""COMPUTED_VALUE"""),45784)</f>
        <v>45784</v>
      </c>
      <c r="H856" s="33" t="str">
        <f ca="1">IFERROR(__xludf.DUMMYFUNCTION("""COMPUTED_VALUE"""),"Santiago")</f>
        <v>Santiago</v>
      </c>
      <c r="I856" s="33" t="str">
        <f ca="1">IFERROR(__xludf.DUMMYFUNCTION("""COMPUTED_VALUE"""),"C202552011110207")</f>
        <v>C202552011110207</v>
      </c>
      <c r="J856" s="33" t="str">
        <f ca="1">IFERROR(__xludf.DUMMYFUNCTION("""COMPUTED_VALUE"""),"PALOMA CASTRO REY")</f>
        <v>PALOMA CASTRO REY</v>
      </c>
      <c r="K856" s="33">
        <f ca="1">IFERROR(__xludf.DUMMYFUNCTION("""COMPUTED_VALUE"""),2)</f>
        <v>2</v>
      </c>
      <c r="L856" s="203">
        <f ca="1">IFERROR(__xludf.DUMMYFUNCTION("""COMPUTED_VALUE"""),4000)</f>
        <v>4000</v>
      </c>
      <c r="M856" s="33" t="str">
        <f ca="1">IFERROR(__xludf.DUMMYFUNCTION("""COMPUTED_VALUE"""),"03 ORL")</f>
        <v>03 ORL</v>
      </c>
      <c r="N856" s="33" t="str">
        <f ca="1">IFERROR(__xludf.DUMMYFUNCTION("""COMPUTED_VALUE"""),"06 ORL")</f>
        <v>06 ORL</v>
      </c>
      <c r="O856" s="33" t="str">
        <f ca="1">IFERROR(__xludf.DUMMYFUNCTION("""COMPUTED_VALUE"""),"Dra, Isabel Vaamonde Sanchez Andrade")</f>
        <v>Dra, Isabel Vaamonde Sanchez Andrade</v>
      </c>
      <c r="P856" s="33" t="str">
        <f ca="1">IFERROR(__xludf.DUMMYFUNCTION("""COMPUTED_VALUE"""),"Roberto Pereira (Galicia)")</f>
        <v>Roberto Pereira (Galicia)</v>
      </c>
    </row>
    <row r="857" spans="2:16">
      <c r="B857" s="33">
        <f ca="1">IFERROR(__xludf.DUMMYFUNCTION("""COMPUTED_VALUE"""),2025)</f>
        <v>2025</v>
      </c>
      <c r="C857" s="33">
        <f ca="1">IFERROR(__xludf.DUMMYFUNCTION("""COMPUTED_VALUE"""),6)</f>
        <v>6</v>
      </c>
      <c r="D857" s="33" t="str">
        <f ca="1">IFERROR(__xludf.DUMMYFUNCTION("""COMPUTED_VALUE"""),"NO")</f>
        <v>NO</v>
      </c>
      <c r="E857" s="33" t="str">
        <f ca="1">IFERROR(__xludf.DUMMYFUNCTION("""COMPUTED_VALUE"""),"Sevilla- Montoto")</f>
        <v>Sevilla- Montoto</v>
      </c>
      <c r="F857" s="57">
        <f ca="1">IFERROR(__xludf.DUMMYFUNCTION("""COMPUTED_VALUE"""),45812)</f>
        <v>45812</v>
      </c>
      <c r="G857" s="57">
        <f ca="1">IFERROR(__xludf.DUMMYFUNCTION("""COMPUTED_VALUE"""),45740)</f>
        <v>45740</v>
      </c>
      <c r="H857" s="33" t="str">
        <f ca="1">IFERROR(__xludf.DUMMYFUNCTION("""COMPUTED_VALUE"""),"Montoto")</f>
        <v>Montoto</v>
      </c>
      <c r="I857" s="33" t="str">
        <f ca="1">IFERROR(__xludf.DUMMYFUNCTION("""COMPUTED_VALUE"""),"C2025326123140893")</f>
        <v>C2025326123140893</v>
      </c>
      <c r="J857" s="33" t="str">
        <f ca="1">IFERROR(__xludf.DUMMYFUNCTION("""COMPUTED_VALUE"""),"ADRIAN MARTINEZ MORENO")</f>
        <v>ADRIAN MARTINEZ MORENO</v>
      </c>
      <c r="K857" s="33">
        <f ca="1">IFERROR(__xludf.DUMMYFUNCTION("""COMPUTED_VALUE"""),2)</f>
        <v>2</v>
      </c>
      <c r="L857" s="203">
        <f ca="1">IFERROR(__xludf.DUMMYFUNCTION("""COMPUTED_VALUE"""),2261.82)</f>
        <v>2261.8200000000002</v>
      </c>
      <c r="M857" s="33" t="str">
        <f ca="1">IFERROR(__xludf.DUMMYFUNCTION("""COMPUTED_VALUE"""),"03 ORL")</f>
        <v>03 ORL</v>
      </c>
      <c r="N857" s="33" t="str">
        <f ca="1">IFERROR(__xludf.DUMMYFUNCTION("""COMPUTED_VALUE"""),"06 ORL")</f>
        <v>06 ORL</v>
      </c>
      <c r="O857" s="33" t="str">
        <f ca="1">IFERROR(__xludf.DUMMYFUNCTION("""COMPUTED_VALUE"""),"Dr, Antonio Gandúl Merchán")</f>
        <v>Dr, Antonio Gandúl Merchán</v>
      </c>
      <c r="P857" s="33" t="str">
        <f ca="1">IFERROR(__xludf.DUMMYFUNCTION("""COMPUTED_VALUE"""),"Luis Alberto Rodríguez (Andalucía y Badajoz)")</f>
        <v>Luis Alberto Rodríguez (Andalucía y Badajoz)</v>
      </c>
    </row>
    <row r="858" spans="2:16">
      <c r="B858" s="33">
        <f ca="1">IFERROR(__xludf.DUMMYFUNCTION("""COMPUTED_VALUE"""),2025)</f>
        <v>2025</v>
      </c>
      <c r="C858" s="33">
        <f ca="1">IFERROR(__xludf.DUMMYFUNCTION("""COMPUTED_VALUE"""),6)</f>
        <v>6</v>
      </c>
      <c r="D858" s="33" t="str">
        <f ca="1">IFERROR(__xludf.DUMMYFUNCTION("""COMPUTED_VALUE"""),"NO")</f>
        <v>NO</v>
      </c>
      <c r="E858" s="33" t="str">
        <f ca="1">IFERROR(__xludf.DUMMYFUNCTION("""COMPUTED_VALUE"""),"Sevilla- Montoto")</f>
        <v>Sevilla- Montoto</v>
      </c>
      <c r="F858" s="57">
        <f ca="1">IFERROR(__xludf.DUMMYFUNCTION("""COMPUTED_VALUE"""),45828)</f>
        <v>45828</v>
      </c>
      <c r="G858" s="57">
        <f ca="1">IFERROR(__xludf.DUMMYFUNCTION("""COMPUTED_VALUE"""),45812)</f>
        <v>45812</v>
      </c>
      <c r="H858" s="33" t="str">
        <f ca="1">IFERROR(__xludf.DUMMYFUNCTION("""COMPUTED_VALUE"""),"Montoto")</f>
        <v>Montoto</v>
      </c>
      <c r="I858" s="33" t="str">
        <f ca="1">IFERROR(__xludf.DUMMYFUNCTION("""COMPUTED_VALUE"""),"C202566123740183")</f>
        <v>C202566123740183</v>
      </c>
      <c r="J858" s="33" t="str">
        <f ca="1">IFERROR(__xludf.DUMMYFUNCTION("""COMPUTED_VALUE"""),"CARMEN RAMIREZ MASERA")</f>
        <v>CARMEN RAMIREZ MASERA</v>
      </c>
      <c r="K858" s="33">
        <f ca="1">IFERROR(__xludf.DUMMYFUNCTION("""COMPUTED_VALUE"""),2)</f>
        <v>2</v>
      </c>
      <c r="L858" s="203">
        <f ca="1">IFERROR(__xludf.DUMMYFUNCTION("""COMPUTED_VALUE"""),2888.18)</f>
        <v>2888.18</v>
      </c>
      <c r="M858" s="33" t="str">
        <f ca="1">IFERROR(__xludf.DUMMYFUNCTION("""COMPUTED_VALUE"""),"03 ORL")</f>
        <v>03 ORL</v>
      </c>
      <c r="N858" s="33" t="str">
        <f ca="1">IFERROR(__xludf.DUMMYFUNCTION("""COMPUTED_VALUE"""),"06 ORL")</f>
        <v>06 ORL</v>
      </c>
      <c r="O858" s="33" t="str">
        <f ca="1">IFERROR(__xludf.DUMMYFUNCTION("""COMPUTED_VALUE"""),"Dr, Jesús Crovato Rojas")</f>
        <v>Dr, Jesús Crovato Rojas</v>
      </c>
      <c r="P858" s="33" t="str">
        <f ca="1">IFERROR(__xludf.DUMMYFUNCTION("""COMPUTED_VALUE"""),"Luis Alberto Rodríguez (Andalucía y Badajoz)")</f>
        <v>Luis Alberto Rodríguez (Andalucía y Badajoz)</v>
      </c>
    </row>
    <row r="859" spans="2:16">
      <c r="B859" s="33">
        <f ca="1">IFERROR(__xludf.DUMMYFUNCTION("""COMPUTED_VALUE"""),2025)</f>
        <v>2025</v>
      </c>
      <c r="C859" s="33">
        <f ca="1">IFERROR(__xludf.DUMMYFUNCTION("""COMPUTED_VALUE"""),6)</f>
        <v>6</v>
      </c>
      <c r="D859" s="33" t="str">
        <f ca="1">IFERROR(__xludf.DUMMYFUNCTION("""COMPUTED_VALUE"""),"NO")</f>
        <v>NO</v>
      </c>
      <c r="E859" s="33" t="str">
        <f ca="1">IFERROR(__xludf.DUMMYFUNCTION("""COMPUTED_VALUE"""),"Sevilla- Montoto")</f>
        <v>Sevilla- Montoto</v>
      </c>
      <c r="F859" s="57">
        <f ca="1">IFERROR(__xludf.DUMMYFUNCTION("""COMPUTED_VALUE"""),45810)</f>
        <v>45810</v>
      </c>
      <c r="G859" s="57">
        <f ca="1">IFERROR(__xludf.DUMMYFUNCTION("""COMPUTED_VALUE"""),45798)</f>
        <v>45798</v>
      </c>
      <c r="H859" s="33" t="str">
        <f ca="1">IFERROR(__xludf.DUMMYFUNCTION("""COMPUTED_VALUE"""),"Montoto")</f>
        <v>Montoto</v>
      </c>
      <c r="I859" s="33" t="str">
        <f ca="1">IFERROR(__xludf.DUMMYFUNCTION("""COMPUTED_VALUE"""),"C202552317527514")</f>
        <v>C202552317527514</v>
      </c>
      <c r="J859" s="33" t="str">
        <f ca="1">IFERROR(__xludf.DUMMYFUNCTION("""COMPUTED_VALUE"""),"FIDEL GAYOSO GOMEZ")</f>
        <v>FIDEL GAYOSO GOMEZ</v>
      </c>
      <c r="K859" s="33">
        <f ca="1">IFERROR(__xludf.DUMMYFUNCTION("""COMPUTED_VALUE"""),2)</f>
        <v>2</v>
      </c>
      <c r="L859" s="203">
        <f ca="1">IFERROR(__xludf.DUMMYFUNCTION("""COMPUTED_VALUE"""),3391.82)</f>
        <v>3391.82</v>
      </c>
      <c r="M859" s="33" t="str">
        <f ca="1">IFERROR(__xludf.DUMMYFUNCTION("""COMPUTED_VALUE"""),"03 ORL")</f>
        <v>03 ORL</v>
      </c>
      <c r="N859" s="33" t="str">
        <f ca="1">IFERROR(__xludf.DUMMYFUNCTION("""COMPUTED_VALUE"""),"06 ORL")</f>
        <v>06 ORL</v>
      </c>
      <c r="O859" s="33" t="str">
        <f ca="1">IFERROR(__xludf.DUMMYFUNCTION("""COMPUTED_VALUE"""),"Dr, Ulises Bidón Gómez")</f>
        <v>Dr, Ulises Bidón Gómez</v>
      </c>
      <c r="P859" s="33" t="str">
        <f ca="1">IFERROR(__xludf.DUMMYFUNCTION("""COMPUTED_VALUE"""),"Luis Alberto Rodríguez (Andalucía y Badajoz)")</f>
        <v>Luis Alberto Rodríguez (Andalucía y Badajoz)</v>
      </c>
    </row>
    <row r="860" spans="2:16">
      <c r="B860" s="33">
        <f ca="1">IFERROR(__xludf.DUMMYFUNCTION("""COMPUTED_VALUE"""),2025)</f>
        <v>2025</v>
      </c>
      <c r="C860" s="33">
        <f ca="1">IFERROR(__xludf.DUMMYFUNCTION("""COMPUTED_VALUE"""),6)</f>
        <v>6</v>
      </c>
      <c r="D860" s="33" t="str">
        <f ca="1">IFERROR(__xludf.DUMMYFUNCTION("""COMPUTED_VALUE"""),"NO")</f>
        <v>NO</v>
      </c>
      <c r="E860" s="33" t="str">
        <f ca="1">IFERROR(__xludf.DUMMYFUNCTION("""COMPUTED_VALUE"""),"Sevilla- Montoto")</f>
        <v>Sevilla- Montoto</v>
      </c>
      <c r="F860" s="57">
        <f ca="1">IFERROR(__xludf.DUMMYFUNCTION("""COMPUTED_VALUE"""),45826)</f>
        <v>45826</v>
      </c>
      <c r="G860" s="57">
        <f ca="1">IFERROR(__xludf.DUMMYFUNCTION("""COMPUTED_VALUE"""),45775)</f>
        <v>45775</v>
      </c>
      <c r="H860" s="33" t="str">
        <f ca="1">IFERROR(__xludf.DUMMYFUNCTION("""COMPUTED_VALUE"""),"Montoto")</f>
        <v>Montoto</v>
      </c>
      <c r="I860" s="33" t="str">
        <f ca="1">IFERROR(__xludf.DUMMYFUNCTION("""COMPUTED_VALUE"""),"C202551218245574")</f>
        <v>C202551218245574</v>
      </c>
      <c r="J860" s="33" t="str">
        <f ca="1">IFERROR(__xludf.DUMMYFUNCTION("""COMPUTED_VALUE"""),"JUAN JOSE PEREZ LAGARES")</f>
        <v>JUAN JOSE PEREZ LAGARES</v>
      </c>
      <c r="K860" s="33">
        <f ca="1">IFERROR(__xludf.DUMMYFUNCTION("""COMPUTED_VALUE"""),2)</f>
        <v>2</v>
      </c>
      <c r="L860" s="203">
        <f ca="1">IFERROR(__xludf.DUMMYFUNCTION("""COMPUTED_VALUE"""),4000)</f>
        <v>4000</v>
      </c>
      <c r="M860" s="33" t="str">
        <f ca="1">IFERROR(__xludf.DUMMYFUNCTION("""COMPUTED_VALUE"""),"03 ORL")</f>
        <v>03 ORL</v>
      </c>
      <c r="N860" s="33" t="str">
        <f ca="1">IFERROR(__xludf.DUMMYFUNCTION("""COMPUTED_VALUE"""),"06 ORL")</f>
        <v>06 ORL</v>
      </c>
      <c r="O860" s="33" t="str">
        <f ca="1">IFERROR(__xludf.DUMMYFUNCTION("""COMPUTED_VALUE"""),"Dra, Estefanía Berrocal Postigo")</f>
        <v>Dra, Estefanía Berrocal Postigo</v>
      </c>
      <c r="P860" s="33" t="str">
        <f ca="1">IFERROR(__xludf.DUMMYFUNCTION("""COMPUTED_VALUE"""),"Luis Alberto Rodríguez (Andalucía y Badajoz)")</f>
        <v>Luis Alberto Rodríguez (Andalucía y Badajoz)</v>
      </c>
    </row>
    <row r="861" spans="2:16">
      <c r="B861" s="33">
        <f ca="1">IFERROR(__xludf.DUMMYFUNCTION("""COMPUTED_VALUE"""),2025)</f>
        <v>2025</v>
      </c>
      <c r="C861" s="33">
        <f ca="1">IFERROR(__xludf.DUMMYFUNCTION("""COMPUTED_VALUE"""),6)</f>
        <v>6</v>
      </c>
      <c r="D861" s="33" t="str">
        <f ca="1">IFERROR(__xludf.DUMMYFUNCTION("""COMPUTED_VALUE"""),"NO")</f>
        <v>NO</v>
      </c>
      <c r="E861" s="33" t="str">
        <f ca="1">IFERROR(__xludf.DUMMYFUNCTION("""COMPUTED_VALUE"""),"Sevilla- Montoto")</f>
        <v>Sevilla- Montoto</v>
      </c>
      <c r="F861" s="57">
        <f ca="1">IFERROR(__xludf.DUMMYFUNCTION("""COMPUTED_VALUE"""),45826)</f>
        <v>45826</v>
      </c>
      <c r="G861" s="57">
        <f ca="1">IFERROR(__xludf.DUMMYFUNCTION("""COMPUTED_VALUE"""),45734)</f>
        <v>45734</v>
      </c>
      <c r="H861" s="33" t="str">
        <f ca="1">IFERROR(__xludf.DUMMYFUNCTION("""COMPUTED_VALUE"""),"Montoto")</f>
        <v>Montoto</v>
      </c>
      <c r="I861" s="33" t="str">
        <f ca="1">IFERROR(__xludf.DUMMYFUNCTION("""COMPUTED_VALUE"""),"C2025481833388")</f>
        <v>C2025481833388</v>
      </c>
      <c r="J861" s="33" t="str">
        <f ca="1">IFERROR(__xludf.DUMMYFUNCTION("""COMPUTED_VALUE"""),"JUTTA HUMKE RODER")</f>
        <v>JUTTA HUMKE RODER</v>
      </c>
      <c r="K861" s="33">
        <f ca="1">IFERROR(__xludf.DUMMYFUNCTION("""COMPUTED_VALUE"""),2)</f>
        <v>2</v>
      </c>
      <c r="L861" s="203">
        <f ca="1">IFERROR(__xludf.DUMMYFUNCTION("""COMPUTED_VALUE"""),4000)</f>
        <v>4000</v>
      </c>
      <c r="M861" s="33" t="str">
        <f ca="1">IFERROR(__xludf.DUMMYFUNCTION("""COMPUTED_VALUE"""),"03 ORL")</f>
        <v>03 ORL</v>
      </c>
      <c r="N861" s="33" t="str">
        <f ca="1">IFERROR(__xludf.DUMMYFUNCTION("""COMPUTED_VALUE"""),"06 ORL")</f>
        <v>06 ORL</v>
      </c>
      <c r="O861" s="33" t="str">
        <f ca="1">IFERROR(__xludf.DUMMYFUNCTION("""COMPUTED_VALUE"""),"Dra, Estefanía Berrocal Postigo")</f>
        <v>Dra, Estefanía Berrocal Postigo</v>
      </c>
      <c r="P861" s="33" t="str">
        <f ca="1">IFERROR(__xludf.DUMMYFUNCTION("""COMPUTED_VALUE"""),"Luis Alberto Rodríguez (Andalucía y Badajoz)")</f>
        <v>Luis Alberto Rodríguez (Andalucía y Badajoz)</v>
      </c>
    </row>
    <row r="862" spans="2:16">
      <c r="B862" s="33">
        <f ca="1">IFERROR(__xludf.DUMMYFUNCTION("""COMPUTED_VALUE"""),2025)</f>
        <v>2025</v>
      </c>
      <c r="C862" s="33">
        <f ca="1">IFERROR(__xludf.DUMMYFUNCTION("""COMPUTED_VALUE"""),6)</f>
        <v>6</v>
      </c>
      <c r="D862" s="33" t="str">
        <f ca="1">IFERROR(__xludf.DUMMYFUNCTION("""COMPUTED_VALUE"""),"NO")</f>
        <v>NO</v>
      </c>
      <c r="E862" s="33" t="str">
        <f ca="1">IFERROR(__xludf.DUMMYFUNCTION("""COMPUTED_VALUE"""),"Sevilla- Montoto")</f>
        <v>Sevilla- Montoto</v>
      </c>
      <c r="F862" s="57">
        <f ca="1">IFERROR(__xludf.DUMMYFUNCTION("""COMPUTED_VALUE"""),45835)</f>
        <v>45835</v>
      </c>
      <c r="G862" s="57">
        <f ca="1">IFERROR(__xludf.DUMMYFUNCTION("""COMPUTED_VALUE"""),45812)</f>
        <v>45812</v>
      </c>
      <c r="H862" s="33" t="str">
        <f ca="1">IFERROR(__xludf.DUMMYFUNCTION("""COMPUTED_VALUE"""),"Montoto")</f>
        <v>Montoto</v>
      </c>
      <c r="I862" s="33" t="str">
        <f ca="1">IFERROR(__xludf.DUMMYFUNCTION("""COMPUTED_VALUE"""),"C202566154340153")</f>
        <v>C202566154340153</v>
      </c>
      <c r="J862" s="33" t="str">
        <f ca="1">IFERROR(__xludf.DUMMYFUNCTION("""COMPUTED_VALUE"""),"LUISA RUBIO TORO")</f>
        <v>LUISA RUBIO TORO</v>
      </c>
      <c r="K862" s="33">
        <f ca="1">IFERROR(__xludf.DUMMYFUNCTION("""COMPUTED_VALUE"""),1)</f>
        <v>1</v>
      </c>
      <c r="L862" s="203">
        <f ca="1">IFERROR(__xludf.DUMMYFUNCTION("""COMPUTED_VALUE"""),2226.36)</f>
        <v>2226.36</v>
      </c>
      <c r="M862" s="33" t="str">
        <f ca="1">IFERROR(__xludf.DUMMYFUNCTION("""COMPUTED_VALUE"""),"03 ORL")</f>
        <v>03 ORL</v>
      </c>
      <c r="N862" s="33" t="str">
        <f ca="1">IFERROR(__xludf.DUMMYFUNCTION("""COMPUTED_VALUE"""),"06 ORL")</f>
        <v>06 ORL</v>
      </c>
      <c r="O862" s="33" t="str">
        <f ca="1">IFERROR(__xludf.DUMMYFUNCTION("""COMPUTED_VALUE"""),"Dra, Estefanía Berrocal Postigo")</f>
        <v>Dra, Estefanía Berrocal Postigo</v>
      </c>
      <c r="P862" s="33" t="str">
        <f ca="1">IFERROR(__xludf.DUMMYFUNCTION("""COMPUTED_VALUE"""),"Luis Alberto Rodríguez (Andalucía y Badajoz)")</f>
        <v>Luis Alberto Rodríguez (Andalucía y Badajoz)</v>
      </c>
    </row>
    <row r="863" spans="2:16">
      <c r="B863" s="33">
        <f ca="1">IFERROR(__xludf.DUMMYFUNCTION("""COMPUTED_VALUE"""),2025)</f>
        <v>2025</v>
      </c>
      <c r="C863" s="33">
        <f ca="1">IFERROR(__xludf.DUMMYFUNCTION("""COMPUTED_VALUE"""),6)</f>
        <v>6</v>
      </c>
      <c r="D863" s="33" t="str">
        <f ca="1">IFERROR(__xludf.DUMMYFUNCTION("""COMPUTED_VALUE"""),"NO")</f>
        <v>NO</v>
      </c>
      <c r="E863" s="33" t="str">
        <f ca="1">IFERROR(__xludf.DUMMYFUNCTION("""COMPUTED_VALUE"""),"Sevilla- Montoto")</f>
        <v>Sevilla- Montoto</v>
      </c>
      <c r="F863" s="57">
        <f ca="1">IFERROR(__xludf.DUMMYFUNCTION("""COMPUTED_VALUE"""),45828)</f>
        <v>45828</v>
      </c>
      <c r="G863" s="57">
        <f ca="1">IFERROR(__xludf.DUMMYFUNCTION("""COMPUTED_VALUE"""),45826)</f>
        <v>45826</v>
      </c>
      <c r="H863" s="33" t="str">
        <f ca="1">IFERROR(__xludf.DUMMYFUNCTION("""COMPUTED_VALUE"""),"Montoto")</f>
        <v>Montoto</v>
      </c>
      <c r="I863" s="33" t="str">
        <f ca="1">IFERROR(__xludf.DUMMYFUNCTION("""COMPUTED_VALUE"""),"C202561812556820")</f>
        <v>C202561812556820</v>
      </c>
      <c r="J863" s="33" t="str">
        <f ca="1">IFERROR(__xludf.DUMMYFUNCTION("""COMPUTED_VALUE"""),"MARIA DEL CARMEN MUÑOZ BRUÑ")</f>
        <v>MARIA DEL CARMEN MUÑOZ BRUÑ</v>
      </c>
      <c r="K863" s="33">
        <f ca="1">IFERROR(__xludf.DUMMYFUNCTION("""COMPUTED_VALUE"""),1)</f>
        <v>1</v>
      </c>
      <c r="L863" s="203">
        <f ca="1">IFERROR(__xludf.DUMMYFUNCTION("""COMPUTED_VALUE"""),1550)</f>
        <v>1550</v>
      </c>
      <c r="M863" s="33" t="str">
        <f ca="1">IFERROR(__xludf.DUMMYFUNCTION("""COMPUTED_VALUE"""),"03 ORL")</f>
        <v>03 ORL</v>
      </c>
      <c r="N863" s="33" t="str">
        <f ca="1">IFERROR(__xludf.DUMMYFUNCTION("""COMPUTED_VALUE"""),"06 ORL")</f>
        <v>06 ORL</v>
      </c>
      <c r="O863" s="33" t="str">
        <f ca="1">IFERROR(__xludf.DUMMYFUNCTION("""COMPUTED_VALUE"""),"Dr, Miguel Alberto Rodríguez Pérez")</f>
        <v>Dr, Miguel Alberto Rodríguez Pérez</v>
      </c>
      <c r="P863" s="33" t="str">
        <f ca="1">IFERROR(__xludf.DUMMYFUNCTION("""COMPUTED_VALUE"""),"Luis Alberto Rodríguez (Andalucía y Badajoz)")</f>
        <v>Luis Alberto Rodríguez (Andalucía y Badajoz)</v>
      </c>
    </row>
    <row r="864" spans="2:16">
      <c r="B864" s="33">
        <f ca="1">IFERROR(__xludf.DUMMYFUNCTION("""COMPUTED_VALUE"""),2025)</f>
        <v>2025</v>
      </c>
      <c r="C864" s="33">
        <f ca="1">IFERROR(__xludf.DUMMYFUNCTION("""COMPUTED_VALUE"""),6)</f>
        <v>6</v>
      </c>
      <c r="D864" s="33" t="str">
        <f ca="1">IFERROR(__xludf.DUMMYFUNCTION("""COMPUTED_VALUE"""),"NO")</f>
        <v>NO</v>
      </c>
      <c r="E864" s="33" t="str">
        <f ca="1">IFERROR(__xludf.DUMMYFUNCTION("""COMPUTED_VALUE"""),"Talavera")</f>
        <v>Talavera</v>
      </c>
      <c r="F864" s="57">
        <f ca="1">IFERROR(__xludf.DUMMYFUNCTION("""COMPUTED_VALUE"""),45834)</f>
        <v>45834</v>
      </c>
      <c r="G864" s="57">
        <f ca="1">IFERROR(__xludf.DUMMYFUNCTION("""COMPUTED_VALUE"""),45805)</f>
        <v>45805</v>
      </c>
      <c r="H864" s="33" t="str">
        <f ca="1">IFERROR(__xludf.DUMMYFUNCTION("""COMPUTED_VALUE"""),"Talavera")</f>
        <v>Talavera</v>
      </c>
      <c r="I864" s="33" t="str">
        <f ca="1">IFERROR(__xludf.DUMMYFUNCTION("""COMPUTED_VALUE"""),"C202566952474")</f>
        <v>C202566952474</v>
      </c>
      <c r="J864" s="33" t="str">
        <f ca="1">IFERROR(__xludf.DUMMYFUNCTION("""COMPUTED_VALUE"""),"FRANCISCA BLANCO SIERRA")</f>
        <v>FRANCISCA BLANCO SIERRA</v>
      </c>
      <c r="K864" s="33">
        <f ca="1">IFERROR(__xludf.DUMMYFUNCTION("""COMPUTED_VALUE"""),2)</f>
        <v>2</v>
      </c>
      <c r="L864" s="203">
        <f ca="1">IFERROR(__xludf.DUMMYFUNCTION("""COMPUTED_VALUE"""),2599.36)</f>
        <v>2599.36</v>
      </c>
      <c r="M864" s="33" t="str">
        <f ca="1">IFERROR(__xludf.DUMMYFUNCTION("""COMPUTED_VALUE"""),"03 ORL")</f>
        <v>03 ORL</v>
      </c>
      <c r="N864" s="33" t="str">
        <f ca="1">IFERROR(__xludf.DUMMYFUNCTION("""COMPUTED_VALUE"""),"06 ORL")</f>
        <v>06 ORL</v>
      </c>
      <c r="O864" s="33" t="str">
        <f ca="1">IFERROR(__xludf.DUMMYFUNCTION("""COMPUTED_VALUE"""),"Dr, Carlos Félix Asensio Nieto")</f>
        <v>Dr, Carlos Félix Asensio Nieto</v>
      </c>
      <c r="P864" s="33" t="str">
        <f ca="1">IFERROR(__xludf.DUMMYFUNCTION("""COMPUTED_VALUE"""),"Lisandro Russian (Madrid, Cáceres, Toledo, Talavera Y Logroño)")</f>
        <v>Lisandro Russian (Madrid, Cáceres, Toledo, Talavera Y Logroño)</v>
      </c>
    </row>
    <row r="865" spans="2:16">
      <c r="B865" s="33">
        <f ca="1">IFERROR(__xludf.DUMMYFUNCTION("""COMPUTED_VALUE"""),2025)</f>
        <v>2025</v>
      </c>
      <c r="C865" s="33">
        <f ca="1">IFERROR(__xludf.DUMMYFUNCTION("""COMPUTED_VALUE"""),6)</f>
        <v>6</v>
      </c>
      <c r="D865" s="33" t="str">
        <f ca="1">IFERROR(__xludf.DUMMYFUNCTION("""COMPUTED_VALUE"""),"NO")</f>
        <v>NO</v>
      </c>
      <c r="E865" s="33" t="str">
        <f ca="1">IFERROR(__xludf.DUMMYFUNCTION("""COMPUTED_VALUE"""),"Talavera")</f>
        <v>Talavera</v>
      </c>
      <c r="F865" s="57">
        <f ca="1">IFERROR(__xludf.DUMMYFUNCTION("""COMPUTED_VALUE"""),45826)</f>
        <v>45826</v>
      </c>
      <c r="G865" s="57">
        <f ca="1">IFERROR(__xludf.DUMMYFUNCTION("""COMPUTED_VALUE"""),45803)</f>
        <v>45803</v>
      </c>
      <c r="H865" s="33" t="str">
        <f ca="1">IFERROR(__xludf.DUMMYFUNCTION("""COMPUTED_VALUE"""),"Talavera")</f>
        <v>Talavera</v>
      </c>
      <c r="I865" s="33" t="str">
        <f ca="1">IFERROR(__xludf.DUMMYFUNCTION("""COMPUTED_VALUE"""),"C202553010033693")</f>
        <v>C202553010033693</v>
      </c>
      <c r="J865" s="33" t="str">
        <f ca="1">IFERROR(__xludf.DUMMYFUNCTION("""COMPUTED_VALUE"""),"MARIA LUISA GARCIA VAZQUEZ")</f>
        <v>MARIA LUISA GARCIA VAZQUEZ</v>
      </c>
      <c r="K865" s="33">
        <f ca="1">IFERROR(__xludf.DUMMYFUNCTION("""COMPUTED_VALUE"""),2)</f>
        <v>2</v>
      </c>
      <c r="L865" s="203">
        <f ca="1">IFERROR(__xludf.DUMMYFUNCTION("""COMPUTED_VALUE"""),2888.18)</f>
        <v>2888.18</v>
      </c>
      <c r="M865" s="33" t="str">
        <f ca="1">IFERROR(__xludf.DUMMYFUNCTION("""COMPUTED_VALUE"""),"03 ORL")</f>
        <v>03 ORL</v>
      </c>
      <c r="N865" s="33" t="str">
        <f ca="1">IFERROR(__xludf.DUMMYFUNCTION("""COMPUTED_VALUE"""),"06 ORL")</f>
        <v>06 ORL</v>
      </c>
      <c r="O865" s="33" t="str">
        <f ca="1">IFERROR(__xludf.DUMMYFUNCTION("""COMPUTED_VALUE"""),"Dr, Carlos Félix Asensio Nieto")</f>
        <v>Dr, Carlos Félix Asensio Nieto</v>
      </c>
      <c r="P865" s="33" t="str">
        <f ca="1">IFERROR(__xludf.DUMMYFUNCTION("""COMPUTED_VALUE"""),"Lisandro Russian (Madrid, Cáceres, Toledo, Talavera Y Logroño)")</f>
        <v>Lisandro Russian (Madrid, Cáceres, Toledo, Talavera Y Logroño)</v>
      </c>
    </row>
    <row r="866" spans="2:16">
      <c r="B866" s="33">
        <f ca="1">IFERROR(__xludf.DUMMYFUNCTION("""COMPUTED_VALUE"""),2025)</f>
        <v>2025</v>
      </c>
      <c r="C866" s="33">
        <f ca="1">IFERROR(__xludf.DUMMYFUNCTION("""COMPUTED_VALUE"""),6)</f>
        <v>6</v>
      </c>
      <c r="D866" s="33" t="str">
        <f ca="1">IFERROR(__xludf.DUMMYFUNCTION("""COMPUTED_VALUE"""),"NO")</f>
        <v>NO</v>
      </c>
      <c r="E866" s="33" t="str">
        <f ca="1">IFERROR(__xludf.DUMMYFUNCTION("""COMPUTED_VALUE"""),"Talavera")</f>
        <v>Talavera</v>
      </c>
      <c r="F866" s="57">
        <f ca="1">IFERROR(__xludf.DUMMYFUNCTION("""COMPUTED_VALUE"""),45819)</f>
        <v>45819</v>
      </c>
      <c r="G866" s="57">
        <f ca="1">IFERROR(__xludf.DUMMYFUNCTION("""COMPUTED_VALUE"""),45790)</f>
        <v>45790</v>
      </c>
      <c r="H866" s="33" t="str">
        <f ca="1">IFERROR(__xludf.DUMMYFUNCTION("""COMPUTED_VALUE"""),"Talavera")</f>
        <v>Talavera</v>
      </c>
      <c r="I866" s="33" t="str">
        <f ca="1">IFERROR(__xludf.DUMMYFUNCTION("""COMPUTED_VALUE"""),"C2025513111916844")</f>
        <v>C2025513111916844</v>
      </c>
      <c r="J866" s="33" t="str">
        <f ca="1">IFERROR(__xludf.DUMMYFUNCTION("""COMPUTED_VALUE"""),"PEDRO SANCHEZ MARTIN")</f>
        <v>PEDRO SANCHEZ MARTIN</v>
      </c>
      <c r="K866" s="33">
        <f ca="1">IFERROR(__xludf.DUMMYFUNCTION("""COMPUTED_VALUE"""),-2)</f>
        <v>-2</v>
      </c>
      <c r="L866" s="203">
        <f ca="1">IFERROR(__xludf.DUMMYFUNCTION("""COMPUTED_VALUE"""),-2888.18)</f>
        <v>-2888.18</v>
      </c>
      <c r="M866" s="33" t="str">
        <f ca="1">IFERROR(__xludf.DUMMYFUNCTION("""COMPUTED_VALUE"""),"03 ORL")</f>
        <v>03 ORL</v>
      </c>
      <c r="N866" s="33" t="str">
        <f ca="1">IFERROR(__xludf.DUMMYFUNCTION("""COMPUTED_VALUE"""),"06 ORL")</f>
        <v>06 ORL</v>
      </c>
      <c r="O866" s="33" t="str">
        <f ca="1">IFERROR(__xludf.DUMMYFUNCTION("""COMPUTED_VALUE"""),"No recuerda ORL")</f>
        <v>No recuerda ORL</v>
      </c>
      <c r="P866" s="33" t="str">
        <f ca="1">IFERROR(__xludf.DUMMYFUNCTION("""COMPUTED_VALUE"""),"Lisandro Russian (Madrid, Cáceres, Toledo, Talavera Y Logroño)")</f>
        <v>Lisandro Russian (Madrid, Cáceres, Toledo, Talavera Y Logroño)</v>
      </c>
    </row>
    <row r="867" spans="2:16">
      <c r="B867" s="33">
        <f ca="1">IFERROR(__xludf.DUMMYFUNCTION("""COMPUTED_VALUE"""),2025)</f>
        <v>2025</v>
      </c>
      <c r="C867" s="33">
        <f ca="1">IFERROR(__xludf.DUMMYFUNCTION("""COMPUTED_VALUE"""),6)</f>
        <v>6</v>
      </c>
      <c r="D867" s="33" t="str">
        <f ca="1">IFERROR(__xludf.DUMMYFUNCTION("""COMPUTED_VALUE"""),"NO")</f>
        <v>NO</v>
      </c>
      <c r="E867" s="33" t="str">
        <f ca="1">IFERROR(__xludf.DUMMYFUNCTION("""COMPUTED_VALUE"""),"Toledo")</f>
        <v>Toledo</v>
      </c>
      <c r="F867" s="57">
        <f ca="1">IFERROR(__xludf.DUMMYFUNCTION("""COMPUTED_VALUE"""),45820)</f>
        <v>45820</v>
      </c>
      <c r="G867" s="57">
        <f ca="1">IFERROR(__xludf.DUMMYFUNCTION("""COMPUTED_VALUE"""),45603)</f>
        <v>45603</v>
      </c>
      <c r="H867" s="33" t="str">
        <f ca="1">IFERROR(__xludf.DUMMYFUNCTION("""COMPUTED_VALUE"""),"Toledo")</f>
        <v>Toledo</v>
      </c>
      <c r="I867" s="33" t="str">
        <f ca="1">IFERROR(__xludf.DUMMYFUNCTION("""COMPUTED_VALUE"""),"C202551313645522")</f>
        <v>C202551313645522</v>
      </c>
      <c r="J867" s="33" t="str">
        <f ca="1">IFERROR(__xludf.DUMMYFUNCTION("""COMPUTED_VALUE"""),"ANGELES DEL CASAR SERRANO")</f>
        <v>ANGELES DEL CASAR SERRANO</v>
      </c>
      <c r="K867" s="33">
        <f ca="1">IFERROR(__xludf.DUMMYFUNCTION("""COMPUTED_VALUE"""),1)</f>
        <v>1</v>
      </c>
      <c r="L867" s="203">
        <f ca="1">IFERROR(__xludf.DUMMYFUNCTION("""COMPUTED_VALUE"""),2000)</f>
        <v>2000</v>
      </c>
      <c r="M867" s="33" t="str">
        <f ca="1">IFERROR(__xludf.DUMMYFUNCTION("""COMPUTED_VALUE"""),"03 ORL")</f>
        <v>03 ORL</v>
      </c>
      <c r="N867" s="33" t="str">
        <f ca="1">IFERROR(__xludf.DUMMYFUNCTION("""COMPUTED_VALUE"""),"06 ORL")</f>
        <v>06 ORL</v>
      </c>
      <c r="O867" s="33" t="str">
        <f ca="1">IFERROR(__xludf.DUMMYFUNCTION("""COMPUTED_VALUE"""),"Dr, Jorge Alberto Jiménez Antolín")</f>
        <v>Dr, Jorge Alberto Jiménez Antolín</v>
      </c>
      <c r="P867" s="33" t="str">
        <f ca="1">IFERROR(__xludf.DUMMYFUNCTION("""COMPUTED_VALUE"""),"Lisandro Russian (Madrid, Cáceres, Toledo, Talavera Y Logroño)")</f>
        <v>Lisandro Russian (Madrid, Cáceres, Toledo, Talavera Y Logroño)</v>
      </c>
    </row>
    <row r="868" spans="2:16">
      <c r="B868" s="33">
        <f ca="1">IFERROR(__xludf.DUMMYFUNCTION("""COMPUTED_VALUE"""),2025)</f>
        <v>2025</v>
      </c>
      <c r="C868" s="33">
        <f ca="1">IFERROR(__xludf.DUMMYFUNCTION("""COMPUTED_VALUE"""),6)</f>
        <v>6</v>
      </c>
      <c r="D868" s="33" t="str">
        <f ca="1">IFERROR(__xludf.DUMMYFUNCTION("""COMPUTED_VALUE"""),"NO")</f>
        <v>NO</v>
      </c>
      <c r="E868" s="33" t="str">
        <f ca="1">IFERROR(__xludf.DUMMYFUNCTION("""COMPUTED_VALUE"""),"Toledo")</f>
        <v>Toledo</v>
      </c>
      <c r="F868" s="57">
        <f ca="1">IFERROR(__xludf.DUMMYFUNCTION("""COMPUTED_VALUE"""),45835)</f>
        <v>45835</v>
      </c>
      <c r="G868" s="57">
        <f ca="1">IFERROR(__xludf.DUMMYFUNCTION("""COMPUTED_VALUE"""),45761)</f>
        <v>45761</v>
      </c>
      <c r="H868" s="33" t="str">
        <f ca="1">IFERROR(__xludf.DUMMYFUNCTION("""COMPUTED_VALUE"""),"Toledo")</f>
        <v>Toledo</v>
      </c>
      <c r="I868" s="33" t="str">
        <f ca="1">IFERROR(__xludf.DUMMYFUNCTION("""COMPUTED_VALUE"""),"C202555153621469")</f>
        <v>C202555153621469</v>
      </c>
      <c r="J868" s="33" t="str">
        <f ca="1">IFERROR(__xludf.DUMMYFUNCTION("""COMPUTED_VALUE"""),"MARIA CRUZ LOPEZ LOPEZ")</f>
        <v>MARIA CRUZ LOPEZ LOPEZ</v>
      </c>
      <c r="K868" s="33">
        <f ca="1">IFERROR(__xludf.DUMMYFUNCTION("""COMPUTED_VALUE"""),2)</f>
        <v>2</v>
      </c>
      <c r="L868" s="203">
        <f ca="1">IFERROR(__xludf.DUMMYFUNCTION("""COMPUTED_VALUE"""),4000)</f>
        <v>4000</v>
      </c>
      <c r="M868" s="33" t="str">
        <f ca="1">IFERROR(__xludf.DUMMYFUNCTION("""COMPUTED_VALUE"""),"03 ORL")</f>
        <v>03 ORL</v>
      </c>
      <c r="N868" s="33" t="str">
        <f ca="1">IFERROR(__xludf.DUMMYFUNCTION("""COMPUTED_VALUE"""),"06 ORL")</f>
        <v>06 ORL</v>
      </c>
      <c r="O868" s="33" t="str">
        <f ca="1">IFERROR(__xludf.DUMMYFUNCTION("""COMPUTED_VALUE"""),"Dra, María Garrote Garrote")</f>
        <v>Dra, María Garrote Garrote</v>
      </c>
      <c r="P868" s="33" t="str">
        <f ca="1">IFERROR(__xludf.DUMMYFUNCTION("""COMPUTED_VALUE"""),"Maika Blázquez (Madrid)")</f>
        <v>Maika Blázquez (Madrid)</v>
      </c>
    </row>
    <row r="869" spans="2:16">
      <c r="B869" s="33">
        <f ca="1">IFERROR(__xludf.DUMMYFUNCTION("""COMPUTED_VALUE"""),2025)</f>
        <v>2025</v>
      </c>
      <c r="C869" s="33">
        <f ca="1">IFERROR(__xludf.DUMMYFUNCTION("""COMPUTED_VALUE"""),6)</f>
        <v>6</v>
      </c>
      <c r="D869" s="33" t="str">
        <f ca="1">IFERROR(__xludf.DUMMYFUNCTION("""COMPUTED_VALUE"""),"NO")</f>
        <v>NO</v>
      </c>
      <c r="E869" s="33" t="str">
        <f ca="1">IFERROR(__xludf.DUMMYFUNCTION("""COMPUTED_VALUE"""),"Torrejón de Ardoz")</f>
        <v>Torrejón de Ardoz</v>
      </c>
      <c r="F869" s="57">
        <f ca="1">IFERROR(__xludf.DUMMYFUNCTION("""COMPUTED_VALUE"""),45834)</f>
        <v>45834</v>
      </c>
      <c r="G869" s="57">
        <f ca="1">IFERROR(__xludf.DUMMYFUNCTION("""COMPUTED_VALUE"""),45817)</f>
        <v>45817</v>
      </c>
      <c r="H869" s="33" t="str">
        <f ca="1">IFERROR(__xludf.DUMMYFUNCTION("""COMPUTED_VALUE"""),"Torrejón")</f>
        <v>Torrejón</v>
      </c>
      <c r="I869" s="33" t="str">
        <f ca="1">IFERROR(__xludf.DUMMYFUNCTION("""COMPUTED_VALUE"""),"C20256915635107")</f>
        <v>C20256915635107</v>
      </c>
      <c r="J869" s="33" t="str">
        <f ca="1">IFERROR(__xludf.DUMMYFUNCTION("""COMPUTED_VALUE"""),"DAVID GALLEGO DE LA SACRISTANA")</f>
        <v>DAVID GALLEGO DE LA SACRISTANA</v>
      </c>
      <c r="K869" s="33">
        <f ca="1">IFERROR(__xludf.DUMMYFUNCTION("""COMPUTED_VALUE"""),1)</f>
        <v>1</v>
      </c>
      <c r="L869" s="203">
        <f ca="1">IFERROR(__xludf.DUMMYFUNCTION("""COMPUTED_VALUE"""),2400)</f>
        <v>2400</v>
      </c>
      <c r="M869" s="33" t="str">
        <f ca="1">IFERROR(__xludf.DUMMYFUNCTION("""COMPUTED_VALUE"""),"03 ORL")</f>
        <v>03 ORL</v>
      </c>
      <c r="N869" s="33" t="str">
        <f ca="1">IFERROR(__xludf.DUMMYFUNCTION("""COMPUTED_VALUE"""),"06 ORL")</f>
        <v>06 ORL</v>
      </c>
      <c r="O869" s="33" t="str">
        <f ca="1">IFERROR(__xludf.DUMMYFUNCTION("""COMPUTED_VALUE"""),"DR, Javier Olarieta Soto")</f>
        <v>DR, Javier Olarieta Soto</v>
      </c>
      <c r="P869" s="33" t="str">
        <f ca="1">IFERROR(__xludf.DUMMYFUNCTION("""COMPUTED_VALUE"""),"Maika Blázquez (Madrid)")</f>
        <v>Maika Blázquez (Madrid)</v>
      </c>
    </row>
    <row r="870" spans="2:16">
      <c r="B870" s="33">
        <f ca="1">IFERROR(__xludf.DUMMYFUNCTION("""COMPUTED_VALUE"""),2025)</f>
        <v>2025</v>
      </c>
      <c r="C870" s="33">
        <f ca="1">IFERROR(__xludf.DUMMYFUNCTION("""COMPUTED_VALUE"""),6)</f>
        <v>6</v>
      </c>
      <c r="D870" s="33" t="str">
        <f ca="1">IFERROR(__xludf.DUMMYFUNCTION("""COMPUTED_VALUE"""),"NO")</f>
        <v>NO</v>
      </c>
      <c r="E870" s="33" t="str">
        <f ca="1">IFERROR(__xludf.DUMMYFUNCTION("""COMPUTED_VALUE"""),"Torrejón de Ardoz")</f>
        <v>Torrejón de Ardoz</v>
      </c>
      <c r="F870" s="57">
        <f ca="1">IFERROR(__xludf.DUMMYFUNCTION("""COMPUTED_VALUE"""),45827)</f>
        <v>45827</v>
      </c>
      <c r="G870" s="57">
        <f ca="1">IFERROR(__xludf.DUMMYFUNCTION("""COMPUTED_VALUE"""),45776)</f>
        <v>45776</v>
      </c>
      <c r="H870" s="33" t="str">
        <f ca="1">IFERROR(__xludf.DUMMYFUNCTION("""COMPUTED_VALUE"""),"Torrejón")</f>
        <v>Torrejón</v>
      </c>
      <c r="I870" s="33" t="str">
        <f ca="1">IFERROR(__xludf.DUMMYFUNCTION("""COMPUTED_VALUE"""),"C202564102333572")</f>
        <v>C202564102333572</v>
      </c>
      <c r="J870" s="33" t="str">
        <f ca="1">IFERROR(__xludf.DUMMYFUNCTION("""COMPUTED_VALUE"""),"ELIECER DIMAS DE MIGUEL")</f>
        <v>ELIECER DIMAS DE MIGUEL</v>
      </c>
      <c r="K870" s="33">
        <f ca="1">IFERROR(__xludf.DUMMYFUNCTION("""COMPUTED_VALUE"""),2)</f>
        <v>2</v>
      </c>
      <c r="L870" s="203">
        <f ca="1">IFERROR(__xludf.DUMMYFUNCTION("""COMPUTED_VALUE"""),4000)</f>
        <v>4000</v>
      </c>
      <c r="M870" s="33" t="str">
        <f ca="1">IFERROR(__xludf.DUMMYFUNCTION("""COMPUTED_VALUE"""),"03 ORL")</f>
        <v>03 ORL</v>
      </c>
      <c r="N870" s="33" t="str">
        <f ca="1">IFERROR(__xludf.DUMMYFUNCTION("""COMPUTED_VALUE"""),"06 ORL")</f>
        <v>06 ORL</v>
      </c>
      <c r="O870" s="33" t="str">
        <f ca="1">IFERROR(__xludf.DUMMYFUNCTION("""COMPUTED_VALUE"""),"Dra, María Garrote Garrote")</f>
        <v>Dra, María Garrote Garrote</v>
      </c>
      <c r="P870" s="33" t="str">
        <f ca="1">IFERROR(__xludf.DUMMYFUNCTION("""COMPUTED_VALUE"""),"Maika Blázquez (Madrid)")</f>
        <v>Maika Blázquez (Madrid)</v>
      </c>
    </row>
    <row r="871" spans="2:16">
      <c r="B871" s="33">
        <f ca="1">IFERROR(__xludf.DUMMYFUNCTION("""COMPUTED_VALUE"""),2025)</f>
        <v>2025</v>
      </c>
      <c r="C871" s="33">
        <f ca="1">IFERROR(__xludf.DUMMYFUNCTION("""COMPUTED_VALUE"""),6)</f>
        <v>6</v>
      </c>
      <c r="D871" s="33" t="str">
        <f ca="1">IFERROR(__xludf.DUMMYFUNCTION("""COMPUTED_VALUE"""),"NO")</f>
        <v>NO</v>
      </c>
      <c r="E871" s="33" t="str">
        <f ca="1">IFERROR(__xludf.DUMMYFUNCTION("""COMPUTED_VALUE"""),"Valencia- Cádiz")</f>
        <v>Valencia- Cádiz</v>
      </c>
      <c r="F871" s="57">
        <f ca="1">IFERROR(__xludf.DUMMYFUNCTION("""COMPUTED_VALUE"""),45825)</f>
        <v>45825</v>
      </c>
      <c r="G871" s="57">
        <f ca="1">IFERROR(__xludf.DUMMYFUNCTION("""COMPUTED_VALUE"""),45786)</f>
        <v>45786</v>
      </c>
      <c r="H871" s="33" t="str">
        <f ca="1">IFERROR(__xludf.DUMMYFUNCTION("""COMPUTED_VALUE"""),"Valencia- Cádiz")</f>
        <v>Valencia- Cádiz</v>
      </c>
      <c r="I871" s="33" t="str">
        <f ca="1">IFERROR(__xludf.DUMMYFUNCTION("""COMPUTED_VALUE"""),"C20255169420550")</f>
        <v>C20255169420550</v>
      </c>
      <c r="J871" s="33" t="str">
        <f ca="1">IFERROR(__xludf.DUMMYFUNCTION("""COMPUTED_VALUE"""),"Francisco Gual Nadal")</f>
        <v>Francisco Gual Nadal</v>
      </c>
      <c r="K871" s="33">
        <f ca="1">IFERROR(__xludf.DUMMYFUNCTION("""COMPUTED_VALUE"""),1)</f>
        <v>1</v>
      </c>
      <c r="L871" s="203">
        <f ca="1">IFERROR(__xludf.DUMMYFUNCTION("""COMPUTED_VALUE"""),2226.36)</f>
        <v>2226.36</v>
      </c>
      <c r="M871" s="33" t="str">
        <f ca="1">IFERROR(__xludf.DUMMYFUNCTION("""COMPUTED_VALUE"""),"03 ORL")</f>
        <v>03 ORL</v>
      </c>
      <c r="N871" s="33" t="str">
        <f ca="1">IFERROR(__xludf.DUMMYFUNCTION("""COMPUTED_VALUE"""),"06 ORL")</f>
        <v>06 ORL</v>
      </c>
      <c r="O871" s="33" t="str">
        <f ca="1">IFERROR(__xludf.DUMMYFUNCTION("""COMPUTED_VALUE"""),"Dr, Manuel Mateos Fernández")</f>
        <v>Dr, Manuel Mateos Fernández</v>
      </c>
      <c r="P871" s="33" t="str">
        <f ca="1">IFERROR(__xludf.DUMMYFUNCTION("""COMPUTED_VALUE"""),"Ramon Ferrando(Valencia)")</f>
        <v>Ramon Ferrando(Valencia)</v>
      </c>
    </row>
    <row r="872" spans="2:16">
      <c r="B872" s="33">
        <f ca="1">IFERROR(__xludf.DUMMYFUNCTION("""COMPUTED_VALUE"""),2025)</f>
        <v>2025</v>
      </c>
      <c r="C872" s="33">
        <f ca="1">IFERROR(__xludf.DUMMYFUNCTION("""COMPUTED_VALUE"""),6)</f>
        <v>6</v>
      </c>
      <c r="D872" s="33" t="str">
        <f ca="1">IFERROR(__xludf.DUMMYFUNCTION("""COMPUTED_VALUE"""),"NO")</f>
        <v>NO</v>
      </c>
      <c r="E872" s="33" t="str">
        <f ca="1">IFERROR(__xludf.DUMMYFUNCTION("""COMPUTED_VALUE"""),"Valencia- Cádiz")</f>
        <v>Valencia- Cádiz</v>
      </c>
      <c r="F872" s="57">
        <f ca="1">IFERROR(__xludf.DUMMYFUNCTION("""COMPUTED_VALUE"""),45834)</f>
        <v>45834</v>
      </c>
      <c r="G872" s="57">
        <f ca="1">IFERROR(__xludf.DUMMYFUNCTION("""COMPUTED_VALUE"""),45741)</f>
        <v>45741</v>
      </c>
      <c r="H872" s="33" t="str">
        <f ca="1">IFERROR(__xludf.DUMMYFUNCTION("""COMPUTED_VALUE"""),"Valencia- Cádiz")</f>
        <v>Valencia- Cádiz</v>
      </c>
      <c r="I872" s="33" t="str">
        <f ca="1">IFERROR(__xludf.DUMMYFUNCTION("""COMPUTED_VALUE"""),"C2025416122247658")</f>
        <v>C2025416122247658</v>
      </c>
      <c r="J872" s="33" t="str">
        <f ca="1">IFERROR(__xludf.DUMMYFUNCTION("""COMPUTED_VALUE"""),"Leunus   Straub")</f>
        <v>Leunus   Straub</v>
      </c>
      <c r="K872" s="33">
        <f ca="1">IFERROR(__xludf.DUMMYFUNCTION("""COMPUTED_VALUE"""),2)</f>
        <v>2</v>
      </c>
      <c r="L872" s="203">
        <f ca="1">IFERROR(__xludf.DUMMYFUNCTION("""COMPUTED_VALUE"""),2888.18)</f>
        <v>2888.18</v>
      </c>
      <c r="M872" s="33" t="str">
        <f ca="1">IFERROR(__xludf.DUMMYFUNCTION("""COMPUTED_VALUE"""),"03 ORL")</f>
        <v>03 ORL</v>
      </c>
      <c r="N872" s="33" t="str">
        <f ca="1">IFERROR(__xludf.DUMMYFUNCTION("""COMPUTED_VALUE"""),"06 ORL")</f>
        <v>06 ORL</v>
      </c>
      <c r="O872" s="33" t="str">
        <f ca="1">IFERROR(__xludf.DUMMYFUNCTION("""COMPUTED_VALUE"""),"Dra, María Soledad Frías Moya-Angeler")</f>
        <v>Dra, María Soledad Frías Moya-Angeler</v>
      </c>
      <c r="P872" s="33" t="str">
        <f ca="1">IFERROR(__xludf.DUMMYFUNCTION("""COMPUTED_VALUE"""),"Ramon Ferrando(Valencia)")</f>
        <v>Ramon Ferrando(Valencia)</v>
      </c>
    </row>
    <row r="873" spans="2:16">
      <c r="B873" s="33">
        <f ca="1">IFERROR(__xludf.DUMMYFUNCTION("""COMPUTED_VALUE"""),2025)</f>
        <v>2025</v>
      </c>
      <c r="C873" s="33">
        <f ca="1">IFERROR(__xludf.DUMMYFUNCTION("""COMPUTED_VALUE"""),6)</f>
        <v>6</v>
      </c>
      <c r="D873" s="33" t="str">
        <f ca="1">IFERROR(__xludf.DUMMYFUNCTION("""COMPUTED_VALUE"""),"NO")</f>
        <v>NO</v>
      </c>
      <c r="E873" s="33" t="str">
        <f ca="1">IFERROR(__xludf.DUMMYFUNCTION("""COMPUTED_VALUE"""),"Valencia- Cádiz")</f>
        <v>Valencia- Cádiz</v>
      </c>
      <c r="F873" s="57">
        <f ca="1">IFERROR(__xludf.DUMMYFUNCTION("""COMPUTED_VALUE"""),45824)</f>
        <v>45824</v>
      </c>
      <c r="G873" s="57">
        <f ca="1">IFERROR(__xludf.DUMMYFUNCTION("""COMPUTED_VALUE"""),45776)</f>
        <v>45776</v>
      </c>
      <c r="H873" s="33" t="str">
        <f ca="1">IFERROR(__xludf.DUMMYFUNCTION("""COMPUTED_VALUE"""),"Valencia- Cádiz")</f>
        <v>Valencia- Cádiz</v>
      </c>
      <c r="I873" s="33" t="str">
        <f ca="1">IFERROR(__xludf.DUMMYFUNCTION("""COMPUTED_VALUE"""),"C202557174134493")</f>
        <v>C202557174134493</v>
      </c>
      <c r="J873" s="33" t="str">
        <f ca="1">IFERROR(__xludf.DUMMYFUNCTION("""COMPUTED_VALUE"""),"RICARDO SALVADOR CERVERA MARTINEZ")</f>
        <v>RICARDO SALVADOR CERVERA MARTINEZ</v>
      </c>
      <c r="K873" s="33">
        <f ca="1">IFERROR(__xludf.DUMMYFUNCTION("""COMPUTED_VALUE"""),2)</f>
        <v>2</v>
      </c>
      <c r="L873" s="203">
        <f ca="1">IFERROR(__xludf.DUMMYFUNCTION("""COMPUTED_VALUE"""),4000)</f>
        <v>4000</v>
      </c>
      <c r="M873" s="33" t="str">
        <f ca="1">IFERROR(__xludf.DUMMYFUNCTION("""COMPUTED_VALUE"""),"03 ORL")</f>
        <v>03 ORL</v>
      </c>
      <c r="N873" s="33" t="str">
        <f ca="1">IFERROR(__xludf.DUMMYFUNCTION("""COMPUTED_VALUE"""),"06 ORL")</f>
        <v>06 ORL</v>
      </c>
      <c r="O873" s="33" t="str">
        <f ca="1">IFERROR(__xludf.DUMMYFUNCTION("""COMPUTED_VALUE"""),"Dr, Abel Guzmán Calvete")</f>
        <v>Dr, Abel Guzmán Calvete</v>
      </c>
      <c r="P873" s="33" t="str">
        <f ca="1">IFERROR(__xludf.DUMMYFUNCTION("""COMPUTED_VALUE"""),"Ramon Ferrando(Valencia)")</f>
        <v>Ramon Ferrando(Valencia)</v>
      </c>
    </row>
    <row r="874" spans="2:16">
      <c r="B874" s="33">
        <f ca="1">IFERROR(__xludf.DUMMYFUNCTION("""COMPUTED_VALUE"""),2025)</f>
        <v>2025</v>
      </c>
      <c r="C874" s="33">
        <f ca="1">IFERROR(__xludf.DUMMYFUNCTION("""COMPUTED_VALUE"""),6)</f>
        <v>6</v>
      </c>
      <c r="D874" s="33" t="str">
        <f ca="1">IFERROR(__xludf.DUMMYFUNCTION("""COMPUTED_VALUE"""),"NO")</f>
        <v>NO</v>
      </c>
      <c r="E874" s="33" t="str">
        <f ca="1">IFERROR(__xludf.DUMMYFUNCTION("""COMPUTED_VALUE"""),"Valencia- Parra")</f>
        <v>Valencia- Parra</v>
      </c>
      <c r="F874" s="57">
        <f ca="1">IFERROR(__xludf.DUMMYFUNCTION("""COMPUTED_VALUE"""),45835)</f>
        <v>45835</v>
      </c>
      <c r="G874" s="57">
        <f ca="1">IFERROR(__xludf.DUMMYFUNCTION("""COMPUTED_VALUE"""),45790)</f>
        <v>45790</v>
      </c>
      <c r="H874" s="33" t="str">
        <f ca="1">IFERROR(__xludf.DUMMYFUNCTION("""COMPUTED_VALUE"""),"Valencia- Parra")</f>
        <v>Valencia- Parra</v>
      </c>
      <c r="I874" s="33" t="str">
        <f ca="1">IFERROR(__xludf.DUMMYFUNCTION("""COMPUTED_VALUE"""),"C202552012258174")</f>
        <v>C202552012258174</v>
      </c>
      <c r="J874" s="33" t="str">
        <f ca="1">IFERROR(__xludf.DUMMYFUNCTION("""COMPUTED_VALUE"""),"ANTONIO RIOS MAIRENA")</f>
        <v>ANTONIO RIOS MAIRENA</v>
      </c>
      <c r="K874" s="33">
        <f ca="1">IFERROR(__xludf.DUMMYFUNCTION("""COMPUTED_VALUE"""),1)</f>
        <v>1</v>
      </c>
      <c r="L874" s="203">
        <f ca="1">IFERROR(__xludf.DUMMYFUNCTION("""COMPUTED_VALUE"""),2226.36)</f>
        <v>2226.36</v>
      </c>
      <c r="M874" s="33" t="str">
        <f ca="1">IFERROR(__xludf.DUMMYFUNCTION("""COMPUTED_VALUE"""),"03 ORL")</f>
        <v>03 ORL</v>
      </c>
      <c r="N874" s="33" t="str">
        <f ca="1">IFERROR(__xludf.DUMMYFUNCTION("""COMPUTED_VALUE"""),"06 ORL")</f>
        <v>06 ORL</v>
      </c>
      <c r="O874" s="33" t="str">
        <f ca="1">IFERROR(__xludf.DUMMYFUNCTION("""COMPUTED_VALUE"""),"Dr, Manuel Mateos Fernández")</f>
        <v>Dr, Manuel Mateos Fernández</v>
      </c>
      <c r="P874" s="33" t="str">
        <f ca="1">IFERROR(__xludf.DUMMYFUNCTION("""COMPUTED_VALUE"""),"Ramon Ferrando(Valencia)")</f>
        <v>Ramon Ferrando(Valencia)</v>
      </c>
    </row>
    <row r="875" spans="2:16">
      <c r="B875" s="33">
        <f ca="1">IFERROR(__xludf.DUMMYFUNCTION("""COMPUTED_VALUE"""),2025)</f>
        <v>2025</v>
      </c>
      <c r="C875" s="33">
        <f ca="1">IFERROR(__xludf.DUMMYFUNCTION("""COMPUTED_VALUE"""),6)</f>
        <v>6</v>
      </c>
      <c r="D875" s="33" t="str">
        <f ca="1">IFERROR(__xludf.DUMMYFUNCTION("""COMPUTED_VALUE"""),"NO")</f>
        <v>NO</v>
      </c>
      <c r="E875" s="33" t="str">
        <f ca="1">IFERROR(__xludf.DUMMYFUNCTION("""COMPUTED_VALUE"""),"Valencia- Parra")</f>
        <v>Valencia- Parra</v>
      </c>
      <c r="F875" s="57">
        <f ca="1">IFERROR(__xludf.DUMMYFUNCTION("""COMPUTED_VALUE"""),45834)</f>
        <v>45834</v>
      </c>
      <c r="G875" s="57">
        <f ca="1">IFERROR(__xludf.DUMMYFUNCTION("""COMPUTED_VALUE"""),45797)</f>
        <v>45797</v>
      </c>
      <c r="H875" s="33" t="str">
        <f ca="1">IFERROR(__xludf.DUMMYFUNCTION("""COMPUTED_VALUE"""),"Valencia- Parra")</f>
        <v>Valencia- Parra</v>
      </c>
      <c r="I875" s="33" t="str">
        <f ca="1">IFERROR(__xludf.DUMMYFUNCTION("""COMPUTED_VALUE"""),"C202552817370358")</f>
        <v>C202552817370358</v>
      </c>
      <c r="J875" s="33" t="str">
        <f ca="1">IFERROR(__xludf.DUMMYFUNCTION("""COMPUTED_VALUE"""),"CARMEN CABEDO GISBERT")</f>
        <v>CARMEN CABEDO GISBERT</v>
      </c>
      <c r="K875" s="33">
        <f ca="1">IFERROR(__xludf.DUMMYFUNCTION("""COMPUTED_VALUE"""),2)</f>
        <v>2</v>
      </c>
      <c r="L875" s="203">
        <f ca="1">IFERROR(__xludf.DUMMYFUNCTION("""COMPUTED_VALUE"""),4000)</f>
        <v>4000</v>
      </c>
      <c r="M875" s="33" t="str">
        <f ca="1">IFERROR(__xludf.DUMMYFUNCTION("""COMPUTED_VALUE"""),"03 ORL")</f>
        <v>03 ORL</v>
      </c>
      <c r="N875" s="33" t="str">
        <f ca="1">IFERROR(__xludf.DUMMYFUNCTION("""COMPUTED_VALUE"""),"06 ORL")</f>
        <v>06 ORL</v>
      </c>
      <c r="O875" s="33" t="str">
        <f ca="1">IFERROR(__xludf.DUMMYFUNCTION("""COMPUTED_VALUE"""),"Dra, Ainhoa García-Lliberos de Miguel")</f>
        <v>Dra, Ainhoa García-Lliberos de Miguel</v>
      </c>
      <c r="P875" s="33" t="str">
        <f ca="1">IFERROR(__xludf.DUMMYFUNCTION("""COMPUTED_VALUE"""),"Ramon Ferrando(Valencia)")</f>
        <v>Ramon Ferrando(Valencia)</v>
      </c>
    </row>
    <row r="876" spans="2:16">
      <c r="B876" s="33">
        <f ca="1">IFERROR(__xludf.DUMMYFUNCTION("""COMPUTED_VALUE"""),2025)</f>
        <v>2025</v>
      </c>
      <c r="C876" s="33">
        <f ca="1">IFERROR(__xludf.DUMMYFUNCTION("""COMPUTED_VALUE"""),6)</f>
        <v>6</v>
      </c>
      <c r="D876" s="33" t="str">
        <f ca="1">IFERROR(__xludf.DUMMYFUNCTION("""COMPUTED_VALUE"""),"NO")</f>
        <v>NO</v>
      </c>
      <c r="E876" s="33" t="str">
        <f ca="1">IFERROR(__xludf.DUMMYFUNCTION("""COMPUTED_VALUE"""),"Valencia- Parra")</f>
        <v>Valencia- Parra</v>
      </c>
      <c r="F876" s="57">
        <f ca="1">IFERROR(__xludf.DUMMYFUNCTION("""COMPUTED_VALUE"""),45838)</f>
        <v>45838</v>
      </c>
      <c r="G876" s="57">
        <f ca="1">IFERROR(__xludf.DUMMYFUNCTION("""COMPUTED_VALUE"""),45776)</f>
        <v>45776</v>
      </c>
      <c r="H876" s="33" t="str">
        <f ca="1">IFERROR(__xludf.DUMMYFUNCTION("""COMPUTED_VALUE"""),"Valencia- Parra")</f>
        <v>Valencia- Parra</v>
      </c>
      <c r="I876" s="33" t="str">
        <f ca="1">IFERROR(__xludf.DUMMYFUNCTION("""COMPUTED_VALUE"""),"C20255618428496")</f>
        <v>C20255618428496</v>
      </c>
      <c r="J876" s="33" t="str">
        <f ca="1">IFERROR(__xludf.DUMMYFUNCTION("""COMPUTED_VALUE"""),"DOLORES ARANDA TORRES")</f>
        <v>DOLORES ARANDA TORRES</v>
      </c>
      <c r="K876" s="33">
        <f ca="1">IFERROR(__xludf.DUMMYFUNCTION("""COMPUTED_VALUE"""),2)</f>
        <v>2</v>
      </c>
      <c r="L876" s="203">
        <f ca="1">IFERROR(__xludf.DUMMYFUNCTION("""COMPUTED_VALUE"""),3710)</f>
        <v>3710</v>
      </c>
      <c r="M876" s="33" t="str">
        <f ca="1">IFERROR(__xludf.DUMMYFUNCTION("""COMPUTED_VALUE"""),"03 ORL")</f>
        <v>03 ORL</v>
      </c>
      <c r="N876" s="33" t="str">
        <f ca="1">IFERROR(__xludf.DUMMYFUNCTION("""COMPUTED_VALUE"""),"06 ORL")</f>
        <v>06 ORL</v>
      </c>
      <c r="O876" s="33" t="str">
        <f ca="1">IFERROR(__xludf.DUMMYFUNCTION("""COMPUTED_VALUE"""),"Dr, Carlos de Paula Vernetta")</f>
        <v>Dr, Carlos de Paula Vernetta</v>
      </c>
      <c r="P876" s="33" t="str">
        <f ca="1">IFERROR(__xludf.DUMMYFUNCTION("""COMPUTED_VALUE"""),"Ramon Ferrando(Valencia)")</f>
        <v>Ramon Ferrando(Valencia)</v>
      </c>
    </row>
    <row r="877" spans="2:16">
      <c r="B877" s="33">
        <f ca="1">IFERROR(__xludf.DUMMYFUNCTION("""COMPUTED_VALUE"""),2025)</f>
        <v>2025</v>
      </c>
      <c r="C877" s="33">
        <f ca="1">IFERROR(__xludf.DUMMYFUNCTION("""COMPUTED_VALUE"""),6)</f>
        <v>6</v>
      </c>
      <c r="D877" s="33" t="str">
        <f ca="1">IFERROR(__xludf.DUMMYFUNCTION("""COMPUTED_VALUE"""),"NO")</f>
        <v>NO</v>
      </c>
      <c r="E877" s="33" t="str">
        <f ca="1">IFERROR(__xludf.DUMMYFUNCTION("""COMPUTED_VALUE"""),"Valencia- Parra")</f>
        <v>Valencia- Parra</v>
      </c>
      <c r="F877" s="57">
        <f ca="1">IFERROR(__xludf.DUMMYFUNCTION("""COMPUTED_VALUE"""),45834)</f>
        <v>45834</v>
      </c>
      <c r="G877" s="57">
        <f ca="1">IFERROR(__xludf.DUMMYFUNCTION("""COMPUTED_VALUE"""),45749)</f>
        <v>45749</v>
      </c>
      <c r="H877" s="33" t="str">
        <f ca="1">IFERROR(__xludf.DUMMYFUNCTION("""COMPUTED_VALUE"""),"Valencia- Parra")</f>
        <v>Valencia- Parra</v>
      </c>
      <c r="I877" s="33" t="str">
        <f ca="1">IFERROR(__xludf.DUMMYFUNCTION("""COMPUTED_VALUE"""),"C202541116390272")</f>
        <v>C202541116390272</v>
      </c>
      <c r="J877" s="33" t="str">
        <f ca="1">IFERROR(__xludf.DUMMYFUNCTION("""COMPUTED_VALUE"""),"MARTA ARAGON FERNANDEZ")</f>
        <v>MARTA ARAGON FERNANDEZ</v>
      </c>
      <c r="K877" s="33">
        <f ca="1">IFERROR(__xludf.DUMMYFUNCTION("""COMPUTED_VALUE"""),1)</f>
        <v>1</v>
      </c>
      <c r="L877" s="203">
        <f ca="1">IFERROR(__xludf.DUMMYFUNCTION("""COMPUTED_VALUE"""),2640)</f>
        <v>2640</v>
      </c>
      <c r="M877" s="33" t="str">
        <f ca="1">IFERROR(__xludf.DUMMYFUNCTION("""COMPUTED_VALUE"""),"03 ORL")</f>
        <v>03 ORL</v>
      </c>
      <c r="N877" s="33" t="str">
        <f ca="1">IFERROR(__xludf.DUMMYFUNCTION("""COMPUTED_VALUE"""),"06 ORL")</f>
        <v>06 ORL</v>
      </c>
      <c r="O877" s="33" t="str">
        <f ca="1">IFERROR(__xludf.DUMMYFUNCTION("""COMPUTED_VALUE"""),"Dr, Alejandro Harguindey Antoli-Candela")</f>
        <v>Dr, Alejandro Harguindey Antoli-Candela</v>
      </c>
      <c r="P877" s="33" t="str">
        <f ca="1">IFERROR(__xludf.DUMMYFUNCTION("""COMPUTED_VALUE"""),"Maika Blázquez (Madrid)")</f>
        <v>Maika Blázquez (Madrid)</v>
      </c>
    </row>
    <row r="878" spans="2:16">
      <c r="B878" s="33">
        <f ca="1">IFERROR(__xludf.DUMMYFUNCTION("""COMPUTED_VALUE"""),2025)</f>
        <v>2025</v>
      </c>
      <c r="C878" s="33">
        <f ca="1">IFERROR(__xludf.DUMMYFUNCTION("""COMPUTED_VALUE"""),6)</f>
        <v>6</v>
      </c>
      <c r="D878" s="33" t="str">
        <f ca="1">IFERROR(__xludf.DUMMYFUNCTION("""COMPUTED_VALUE"""),"SI")</f>
        <v>SI</v>
      </c>
      <c r="E878" s="33" t="str">
        <f ca="1">IFERROR(__xludf.DUMMYFUNCTION("""COMPUTED_VALUE"""),"León")</f>
        <v>León</v>
      </c>
      <c r="F878" s="57">
        <f ca="1">IFERROR(__xludf.DUMMYFUNCTION("""COMPUTED_VALUE"""),45811)</f>
        <v>45811</v>
      </c>
      <c r="G878" s="57">
        <f ca="1">IFERROR(__xludf.DUMMYFUNCTION("""COMPUTED_VALUE"""),45776)</f>
        <v>45776</v>
      </c>
      <c r="H878" s="33" t="str">
        <f ca="1">IFERROR(__xludf.DUMMYFUNCTION("""COMPUTED_VALUE"""),"León")</f>
        <v>León</v>
      </c>
      <c r="I878" s="33" t="str">
        <f ca="1">IFERROR(__xludf.DUMMYFUNCTION("""COMPUTED_VALUE"""),"LEO-460")</f>
        <v>LEO-460</v>
      </c>
      <c r="J878" s="33" t="str">
        <f ca="1">IFERROR(__xludf.DUMMYFUNCTION("""COMPUTED_VALUE"""),"MARIA CONCEPCION (CONCHI) MENDEZ FERNANDEZ")</f>
        <v>MARIA CONCEPCION (CONCHI) MENDEZ FERNANDEZ</v>
      </c>
      <c r="K878" s="33">
        <f ca="1">IFERROR(__xludf.DUMMYFUNCTION("""COMPUTED_VALUE"""),2)</f>
        <v>2</v>
      </c>
      <c r="L878" s="203">
        <f ca="1">IFERROR(__xludf.DUMMYFUNCTION("""COMPUTED_VALUE"""),5431.82)</f>
        <v>5431.82</v>
      </c>
      <c r="M878" s="33" t="str">
        <f ca="1">IFERROR(__xludf.DUMMYFUNCTION("""COMPUTED_VALUE"""),"03 ORL")</f>
        <v>03 ORL</v>
      </c>
      <c r="N878" s="33" t="str">
        <f ca="1">IFERROR(__xludf.DUMMYFUNCTION("""COMPUTED_VALUE"""),"06 ORL")</f>
        <v>06 ORL</v>
      </c>
      <c r="O878" s="33" t="str">
        <f ca="1">IFERROR(__xludf.DUMMYFUNCTION("""COMPUTED_VALUE"""),"Dr, Rafael Pérez González")</f>
        <v>Dr, Rafael Pérez González</v>
      </c>
      <c r="P878" s="33" t="str">
        <f ca="1">IFERROR(__xludf.DUMMYFUNCTION("""COMPUTED_VALUE"""),"Patricia Solache (Castilla Y León)")</f>
        <v>Patricia Solache (Castilla Y León)</v>
      </c>
    </row>
    <row r="879" spans="2:16">
      <c r="B879" s="33">
        <f ca="1">IFERROR(__xludf.DUMMYFUNCTION("""COMPUTED_VALUE"""),2025)</f>
        <v>2025</v>
      </c>
      <c r="C879" s="33">
        <f ca="1">IFERROR(__xludf.DUMMYFUNCTION("""COMPUTED_VALUE"""),6)</f>
        <v>6</v>
      </c>
      <c r="D879" s="33" t="str">
        <f ca="1">IFERROR(__xludf.DUMMYFUNCTION("""COMPUTED_VALUE"""),"NO")</f>
        <v>NO</v>
      </c>
      <c r="E879" s="33" t="str">
        <f ca="1">IFERROR(__xludf.DUMMYFUNCTION("""COMPUTED_VALUE"""),"Cáceres")</f>
        <v>Cáceres</v>
      </c>
      <c r="F879" s="57">
        <f ca="1">IFERROR(__xludf.DUMMYFUNCTION("""COMPUTED_VALUE"""),45812)</f>
        <v>45812</v>
      </c>
      <c r="G879" s="57">
        <f ca="1">IFERROR(__xludf.DUMMYFUNCTION("""COMPUTED_VALUE"""),45750)</f>
        <v>45750</v>
      </c>
      <c r="H879" s="33" t="str">
        <f ca="1">IFERROR(__xludf.DUMMYFUNCTION("""COMPUTED_VALUE"""),"Cáceres")</f>
        <v>Cáceres</v>
      </c>
      <c r="I879" s="33" t="str">
        <f ca="1">IFERROR(__xludf.DUMMYFUNCTION("""COMPUTED_VALUE"""),"CAC-263")</f>
        <v>CAC-263</v>
      </c>
      <c r="J879" s="33" t="str">
        <f ca="1">IFERROR(__xludf.DUMMYFUNCTION("""COMPUTED_VALUE"""),"SERGIO BLAZQUEZ CALDERON")</f>
        <v>SERGIO BLAZQUEZ CALDERON</v>
      </c>
      <c r="K879" s="33">
        <f ca="1">IFERROR(__xludf.DUMMYFUNCTION("""COMPUTED_VALUE"""),2)</f>
        <v>2</v>
      </c>
      <c r="L879" s="203">
        <f ca="1">IFERROR(__xludf.DUMMYFUNCTION("""COMPUTED_VALUE"""),3888.18)</f>
        <v>3888.18</v>
      </c>
      <c r="M879" s="33" t="str">
        <f ca="1">IFERROR(__xludf.DUMMYFUNCTION("""COMPUTED_VALUE"""),"03 ORL")</f>
        <v>03 ORL</v>
      </c>
      <c r="N879" s="33" t="str">
        <f ca="1">IFERROR(__xludf.DUMMYFUNCTION("""COMPUTED_VALUE"""),"06 ORL")</f>
        <v>06 ORL</v>
      </c>
      <c r="O879" s="33" t="str">
        <f ca="1">IFERROR(__xludf.DUMMYFUNCTION("""COMPUTED_VALUE"""),"Dr, Javier García Gómez")</f>
        <v>Dr, Javier García Gómez</v>
      </c>
      <c r="P879" s="33" t="str">
        <f ca="1">IFERROR(__xludf.DUMMYFUNCTION("""COMPUTED_VALUE"""),"Lisandro Russian (Madrid, Cáceres, Toledo, Talavera Y Logroño)")</f>
        <v>Lisandro Russian (Madrid, Cáceres, Toledo, Talavera Y Logroño)</v>
      </c>
    </row>
    <row r="880" spans="2:16">
      <c r="B880" s="33">
        <f ca="1">IFERROR(__xludf.DUMMYFUNCTION("""COMPUTED_VALUE"""),2025)</f>
        <v>2025</v>
      </c>
      <c r="C880" s="33">
        <f ca="1">IFERROR(__xludf.DUMMYFUNCTION("""COMPUTED_VALUE"""),6)</f>
        <v>6</v>
      </c>
      <c r="D880" s="33" t="str">
        <f ca="1">IFERROR(__xludf.DUMMYFUNCTION("""COMPUTED_VALUE"""),"NO")</f>
        <v>NO</v>
      </c>
      <c r="E880" s="33" t="str">
        <f ca="1">IFERROR(__xludf.DUMMYFUNCTION("""COMPUTED_VALUE"""),"Valladolid")</f>
        <v>Valladolid</v>
      </c>
      <c r="F880" s="57">
        <f ca="1">IFERROR(__xludf.DUMMYFUNCTION("""COMPUTED_VALUE"""),45812)</f>
        <v>45812</v>
      </c>
      <c r="G880" s="57">
        <f ca="1">IFERROR(__xludf.DUMMYFUNCTION("""COMPUTED_VALUE"""),45754)</f>
        <v>45754</v>
      </c>
      <c r="H880" s="33" t="str">
        <f ca="1">IFERROR(__xludf.DUMMYFUNCTION("""COMPUTED_VALUE"""),"Valladolid")</f>
        <v>Valladolid</v>
      </c>
      <c r="I880" s="33" t="str">
        <f ca="1">IFERROR(__xludf.DUMMYFUNCTION("""COMPUTED_VALUE"""),"VLL-375")</f>
        <v>VLL-375</v>
      </c>
      <c r="J880" s="33" t="str">
        <f ca="1">IFERROR(__xludf.DUMMYFUNCTION("""COMPUTED_VALUE"""),"VICENTE AVILA REPISO")</f>
        <v>VICENTE AVILA REPISO</v>
      </c>
      <c r="K880" s="33">
        <f ca="1">IFERROR(__xludf.DUMMYFUNCTION("""COMPUTED_VALUE"""),2)</f>
        <v>2</v>
      </c>
      <c r="L880" s="203">
        <f ca="1">IFERROR(__xludf.DUMMYFUNCTION("""COMPUTED_VALUE"""),3977.27)</f>
        <v>3977.27</v>
      </c>
      <c r="M880" s="33" t="str">
        <f ca="1">IFERROR(__xludf.DUMMYFUNCTION("""COMPUTED_VALUE"""),"03 ORL")</f>
        <v>03 ORL</v>
      </c>
      <c r="N880" s="33" t="str">
        <f ca="1">IFERROR(__xludf.DUMMYFUNCTION("""COMPUTED_VALUE"""),"06 ORL")</f>
        <v>06 ORL</v>
      </c>
      <c r="O880" s="33" t="str">
        <f ca="1">IFERROR(__xludf.DUMMYFUNCTION("""COMPUTED_VALUE"""),"Dra, Ana Fernández Rodríguez")</f>
        <v>Dra, Ana Fernández Rodríguez</v>
      </c>
      <c r="P880" s="33" t="str">
        <f ca="1">IFERROR(__xludf.DUMMYFUNCTION("""COMPUTED_VALUE"""),"Patricia Solache (Castilla Y León)")</f>
        <v>Patricia Solache (Castilla Y León)</v>
      </c>
    </row>
    <row r="881" spans="2:16">
      <c r="B881" s="33">
        <f ca="1">IFERROR(__xludf.DUMMYFUNCTION("""COMPUTED_VALUE"""),2025)</f>
        <v>2025</v>
      </c>
      <c r="C881" s="33">
        <f ca="1">IFERROR(__xludf.DUMMYFUNCTION("""COMPUTED_VALUE"""),6)</f>
        <v>6</v>
      </c>
      <c r="D881" s="33" t="str">
        <f ca="1">IFERROR(__xludf.DUMMYFUNCTION("""COMPUTED_VALUE"""),"NO")</f>
        <v>NO</v>
      </c>
      <c r="E881" s="33" t="str">
        <f ca="1">IFERROR(__xludf.DUMMYFUNCTION("""COMPUTED_VALUE"""),"León")</f>
        <v>León</v>
      </c>
      <c r="F881" s="57">
        <f ca="1">IFERROR(__xludf.DUMMYFUNCTION("""COMPUTED_VALUE"""),45812)</f>
        <v>45812</v>
      </c>
      <c r="G881" s="57">
        <f ca="1">IFERROR(__xludf.DUMMYFUNCTION("""COMPUTED_VALUE"""),45782)</f>
        <v>45782</v>
      </c>
      <c r="H881" s="33" t="str">
        <f ca="1">IFERROR(__xludf.DUMMYFUNCTION("""COMPUTED_VALUE"""),"León")</f>
        <v>León</v>
      </c>
      <c r="I881" s="33" t="str">
        <f ca="1">IFERROR(__xludf.DUMMYFUNCTION("""COMPUTED_VALUE"""),"BOI-954")</f>
        <v>BOI-954</v>
      </c>
      <c r="J881" s="33" t="str">
        <f ca="1">IFERROR(__xludf.DUMMYFUNCTION("""COMPUTED_VALUE"""),"JUAN JOSE CAMPELO SUAREZ")</f>
        <v>JUAN JOSE CAMPELO SUAREZ</v>
      </c>
      <c r="K881" s="33">
        <f ca="1">IFERROR(__xludf.DUMMYFUNCTION("""COMPUTED_VALUE"""),2)</f>
        <v>2</v>
      </c>
      <c r="L881" s="203">
        <f ca="1">IFERROR(__xludf.DUMMYFUNCTION("""COMPUTED_VALUE"""),4255.45)</f>
        <v>4255.45</v>
      </c>
      <c r="M881" s="33" t="str">
        <f ca="1">IFERROR(__xludf.DUMMYFUNCTION("""COMPUTED_VALUE"""),"03 ORL")</f>
        <v>03 ORL</v>
      </c>
      <c r="N881" s="33" t="str">
        <f ca="1">IFERROR(__xludf.DUMMYFUNCTION("""COMPUTED_VALUE"""),"06 ORL")</f>
        <v>06 ORL</v>
      </c>
      <c r="O881" s="33" t="str">
        <f ca="1">IFERROR(__xludf.DUMMYFUNCTION("""COMPUTED_VALUE"""),"Dr, Rafael Pérez González")</f>
        <v>Dr, Rafael Pérez González</v>
      </c>
      <c r="P881" s="33" t="str">
        <f ca="1">IFERROR(__xludf.DUMMYFUNCTION("""COMPUTED_VALUE"""),"Patricia Solache (Castilla Y León)")</f>
        <v>Patricia Solache (Castilla Y León)</v>
      </c>
    </row>
    <row r="882" spans="2:16">
      <c r="B882" s="33">
        <f ca="1">IFERROR(__xludf.DUMMYFUNCTION("""COMPUTED_VALUE"""),2025)</f>
        <v>2025</v>
      </c>
      <c r="C882" s="33">
        <f ca="1">IFERROR(__xludf.DUMMYFUNCTION("""COMPUTED_VALUE"""),6)</f>
        <v>6</v>
      </c>
      <c r="D882" s="33" t="str">
        <f ca="1">IFERROR(__xludf.DUMMYFUNCTION("""COMPUTED_VALUE"""),"NO")</f>
        <v>NO</v>
      </c>
      <c r="E882" s="33" t="str">
        <f ca="1">IFERROR(__xludf.DUMMYFUNCTION("""COMPUTED_VALUE"""),"Ponferrada")</f>
        <v>Ponferrada</v>
      </c>
      <c r="F882" s="57">
        <f ca="1">IFERROR(__xludf.DUMMYFUNCTION("""COMPUTED_VALUE"""),45813)</f>
        <v>45813</v>
      </c>
      <c r="G882" s="57">
        <f ca="1">IFERROR(__xludf.DUMMYFUNCTION("""COMPUTED_VALUE"""),45586)</f>
        <v>45586</v>
      </c>
      <c r="H882" s="33" t="str">
        <f ca="1">IFERROR(__xludf.DUMMYFUNCTION("""COMPUTED_VALUE"""),"Ponferrada")</f>
        <v>Ponferrada</v>
      </c>
      <c r="I882" s="33" t="str">
        <f ca="1">IFERROR(__xludf.DUMMYFUNCTION("""COMPUTED_VALUE"""),"PON-811")</f>
        <v>PON-811</v>
      </c>
      <c r="J882" s="33" t="str">
        <f ca="1">IFERROR(__xludf.DUMMYFUNCTION("""COMPUTED_VALUE"""),"LORENZO TOMAS GARCIA FABA")</f>
        <v>LORENZO TOMAS GARCIA FABA</v>
      </c>
      <c r="K882" s="33">
        <f ca="1">IFERROR(__xludf.DUMMYFUNCTION("""COMPUTED_VALUE"""),2)</f>
        <v>2</v>
      </c>
      <c r="L882" s="203">
        <f ca="1">IFERROR(__xludf.DUMMYFUNCTION("""COMPUTED_VALUE"""),1418.18)</f>
        <v>1418.18</v>
      </c>
      <c r="M882" s="33" t="str">
        <f ca="1">IFERROR(__xludf.DUMMYFUNCTION("""COMPUTED_VALUE"""),"03 ORL")</f>
        <v>03 ORL</v>
      </c>
      <c r="N882" s="33" t="str">
        <f ca="1">IFERROR(__xludf.DUMMYFUNCTION("""COMPUTED_VALUE"""),"06 ORL")</f>
        <v>06 ORL</v>
      </c>
      <c r="O882" s="33" t="str">
        <f ca="1">IFERROR(__xludf.DUMMYFUNCTION("""COMPUTED_VALUE"""),"Dra, Mónica Granda Rosales")</f>
        <v>Dra, Mónica Granda Rosales</v>
      </c>
      <c r="P882" s="33" t="str">
        <f ca="1">IFERROR(__xludf.DUMMYFUNCTION("""COMPUTED_VALUE"""),"Patricia Solache (Castilla Y León)")</f>
        <v>Patricia Solache (Castilla Y León)</v>
      </c>
    </row>
    <row r="883" spans="2:16">
      <c r="B883" s="33">
        <f ca="1">IFERROR(__xludf.DUMMYFUNCTION("""COMPUTED_VALUE"""),2025)</f>
        <v>2025</v>
      </c>
      <c r="C883" s="33">
        <f ca="1">IFERROR(__xludf.DUMMYFUNCTION("""COMPUTED_VALUE"""),6)</f>
        <v>6</v>
      </c>
      <c r="D883" s="33" t="str">
        <f ca="1">IFERROR(__xludf.DUMMYFUNCTION("""COMPUTED_VALUE"""),"NO")</f>
        <v>NO</v>
      </c>
      <c r="E883" s="33" t="str">
        <f ca="1">IFERROR(__xludf.DUMMYFUNCTION("""COMPUTED_VALUE"""),"Valladolid")</f>
        <v>Valladolid</v>
      </c>
      <c r="F883" s="57">
        <f ca="1">IFERROR(__xludf.DUMMYFUNCTION("""COMPUTED_VALUE"""),45813)</f>
        <v>45813</v>
      </c>
      <c r="G883" s="57">
        <f ca="1">IFERROR(__xludf.DUMMYFUNCTION("""COMPUTED_VALUE"""),45712)</f>
        <v>45712</v>
      </c>
      <c r="H883" s="33" t="str">
        <f ca="1">IFERROR(__xludf.DUMMYFUNCTION("""COMPUTED_VALUE"""),"Valladolid")</f>
        <v>Valladolid</v>
      </c>
      <c r="I883" s="33" t="str">
        <f ca="1">IFERROR(__xludf.DUMMYFUNCTION("""COMPUTED_VALUE"""),"VLL-350")</f>
        <v>VLL-350</v>
      </c>
      <c r="J883" s="33" t="str">
        <f ca="1">IFERROR(__xludf.DUMMYFUNCTION("""COMPUTED_VALUE"""),"MARIA DOLORES GOMEZ PALLETE RIVAS")</f>
        <v>MARIA DOLORES GOMEZ PALLETE RIVAS</v>
      </c>
      <c r="K883" s="33">
        <f ca="1">IFERROR(__xludf.DUMMYFUNCTION("""COMPUTED_VALUE"""),2)</f>
        <v>2</v>
      </c>
      <c r="L883" s="203">
        <f ca="1">IFERROR(__xludf.DUMMYFUNCTION("""COMPUTED_VALUE"""),3977.27)</f>
        <v>3977.27</v>
      </c>
      <c r="M883" s="33" t="str">
        <f ca="1">IFERROR(__xludf.DUMMYFUNCTION("""COMPUTED_VALUE"""),"03 ORL")</f>
        <v>03 ORL</v>
      </c>
      <c r="N883" s="33" t="str">
        <f ca="1">IFERROR(__xludf.DUMMYFUNCTION("""COMPUTED_VALUE"""),"06 ORL")</f>
        <v>06 ORL</v>
      </c>
      <c r="O883" s="33" t="str">
        <f ca="1">IFERROR(__xludf.DUMMYFUNCTION("""COMPUTED_VALUE"""),"Dr, Carlos Miguel Salvador Martínez")</f>
        <v>Dr, Carlos Miguel Salvador Martínez</v>
      </c>
      <c r="P883" s="33" t="str">
        <f ca="1">IFERROR(__xludf.DUMMYFUNCTION("""COMPUTED_VALUE"""),"Patricia Solache (Castilla Y León)")</f>
        <v>Patricia Solache (Castilla Y León)</v>
      </c>
    </row>
    <row r="884" spans="2:16">
      <c r="B884" s="33">
        <f ca="1">IFERROR(__xludf.DUMMYFUNCTION("""COMPUTED_VALUE"""),2025)</f>
        <v>2025</v>
      </c>
      <c r="C884" s="33">
        <f ca="1">IFERROR(__xludf.DUMMYFUNCTION("""COMPUTED_VALUE"""),6)</f>
        <v>6</v>
      </c>
      <c r="D884" s="33" t="str">
        <f ca="1">IFERROR(__xludf.DUMMYFUNCTION("""COMPUTED_VALUE"""),"NO")</f>
        <v>NO</v>
      </c>
      <c r="E884" s="33" t="str">
        <f ca="1">IFERROR(__xludf.DUMMYFUNCTION("""COMPUTED_VALUE"""),"Valladolid")</f>
        <v>Valladolid</v>
      </c>
      <c r="F884" s="57">
        <f ca="1">IFERROR(__xludf.DUMMYFUNCTION("""COMPUTED_VALUE"""),45813)</f>
        <v>45813</v>
      </c>
      <c r="G884" s="57">
        <f ca="1">IFERROR(__xludf.DUMMYFUNCTION("""COMPUTED_VALUE"""),45769)</f>
        <v>45769</v>
      </c>
      <c r="H884" s="33" t="str">
        <f ca="1">IFERROR(__xludf.DUMMYFUNCTION("""COMPUTED_VALUE"""),"Valladolid")</f>
        <v>Valladolid</v>
      </c>
      <c r="I884" s="33" t="str">
        <f ca="1">IFERROR(__xludf.DUMMYFUNCTION("""COMPUTED_VALUE"""),"VLL-385")</f>
        <v>VLL-385</v>
      </c>
      <c r="J884" s="33" t="str">
        <f ca="1">IFERROR(__xludf.DUMMYFUNCTION("""COMPUTED_VALUE"""),"CARMELO MENA ARRANZ")</f>
        <v>CARMELO MENA ARRANZ</v>
      </c>
      <c r="K884" s="33">
        <f ca="1">IFERROR(__xludf.DUMMYFUNCTION("""COMPUTED_VALUE"""),2)</f>
        <v>2</v>
      </c>
      <c r="L884" s="203">
        <f ca="1">IFERROR(__xludf.DUMMYFUNCTION("""COMPUTED_VALUE"""),3522.73)</f>
        <v>3522.73</v>
      </c>
      <c r="M884" s="33" t="str">
        <f ca="1">IFERROR(__xludf.DUMMYFUNCTION("""COMPUTED_VALUE"""),"03 ORL")</f>
        <v>03 ORL</v>
      </c>
      <c r="N884" s="33" t="str">
        <f ca="1">IFERROR(__xludf.DUMMYFUNCTION("""COMPUTED_VALUE"""),"06 ORL")</f>
        <v>06 ORL</v>
      </c>
      <c r="O884" s="33" t="str">
        <f ca="1">IFERROR(__xludf.DUMMYFUNCTION("""COMPUTED_VALUE"""),"Dr, Carlos Miguel Salvador Martínez")</f>
        <v>Dr, Carlos Miguel Salvador Martínez</v>
      </c>
      <c r="P884" s="33" t="str">
        <f ca="1">IFERROR(__xludf.DUMMYFUNCTION("""COMPUTED_VALUE"""),"Patricia Solache (Castilla Y León)")</f>
        <v>Patricia Solache (Castilla Y León)</v>
      </c>
    </row>
    <row r="885" spans="2:16">
      <c r="B885" s="33">
        <f ca="1">IFERROR(__xludf.DUMMYFUNCTION("""COMPUTED_VALUE"""),2025)</f>
        <v>2025</v>
      </c>
      <c r="C885" s="33">
        <f ca="1">IFERROR(__xludf.DUMMYFUNCTION("""COMPUTED_VALUE"""),6)</f>
        <v>6</v>
      </c>
      <c r="D885" s="33" t="str">
        <f ca="1">IFERROR(__xludf.DUMMYFUNCTION("""COMPUTED_VALUE"""),"NO")</f>
        <v>NO</v>
      </c>
      <c r="E885" s="33" t="str">
        <f ca="1">IFERROR(__xludf.DUMMYFUNCTION("""COMPUTED_VALUE"""),"Badajoz")</f>
        <v>Badajoz</v>
      </c>
      <c r="F885" s="57">
        <f ca="1">IFERROR(__xludf.DUMMYFUNCTION("""COMPUTED_VALUE"""),45813)</f>
        <v>45813</v>
      </c>
      <c r="G885" s="57">
        <f ca="1">IFERROR(__xludf.DUMMYFUNCTION("""COMPUTED_VALUE"""),45777)</f>
        <v>45777</v>
      </c>
      <c r="H885" s="33" t="str">
        <f ca="1">IFERROR(__xludf.DUMMYFUNCTION("""COMPUTED_VALUE"""),"Badajoz")</f>
        <v>Badajoz</v>
      </c>
      <c r="I885" s="33" t="str">
        <f ca="1">IFERROR(__xludf.DUMMYFUNCTION("""COMPUTED_VALUE"""),"BJZE-2485")</f>
        <v>BJZE-2485</v>
      </c>
      <c r="J885" s="33" t="str">
        <f ca="1">IFERROR(__xludf.DUMMYFUNCTION("""COMPUTED_VALUE"""),"LUCAS GARCIA MICHARET")</f>
        <v>LUCAS GARCIA MICHARET</v>
      </c>
      <c r="K885" s="33">
        <f ca="1">IFERROR(__xludf.DUMMYFUNCTION("""COMPUTED_VALUE"""),1)</f>
        <v>1</v>
      </c>
      <c r="L885" s="203">
        <f ca="1">IFERROR(__xludf.DUMMYFUNCTION("""COMPUTED_VALUE"""),1727.27)</f>
        <v>1727.27</v>
      </c>
      <c r="M885" s="33" t="str">
        <f ca="1">IFERROR(__xludf.DUMMYFUNCTION("""COMPUTED_VALUE"""),"03 ORL")</f>
        <v>03 ORL</v>
      </c>
      <c r="N885" s="33" t="str">
        <f ca="1">IFERROR(__xludf.DUMMYFUNCTION("""COMPUTED_VALUE"""),"06 ORL")</f>
        <v>06 ORL</v>
      </c>
      <c r="O885" s="33" t="str">
        <f ca="1">IFERROR(__xludf.DUMMYFUNCTION("""COMPUTED_VALUE"""),"Dr, Isidoro Rubio Correa")</f>
        <v>Dr, Isidoro Rubio Correa</v>
      </c>
      <c r="P885" s="33" t="str">
        <f ca="1">IFERROR(__xludf.DUMMYFUNCTION("""COMPUTED_VALUE"""),"Luis Alberto Rodríguez (Andalucía Y Badajoz)")</f>
        <v>Luis Alberto Rodríguez (Andalucía Y Badajoz)</v>
      </c>
    </row>
    <row r="886" spans="2:16">
      <c r="B886" s="33">
        <f ca="1">IFERROR(__xludf.DUMMYFUNCTION("""COMPUTED_VALUE"""),2025)</f>
        <v>2025</v>
      </c>
      <c r="C886" s="33">
        <f ca="1">IFERROR(__xludf.DUMMYFUNCTION("""COMPUTED_VALUE"""),6)</f>
        <v>6</v>
      </c>
      <c r="D886" s="33" t="str">
        <f ca="1">IFERROR(__xludf.DUMMYFUNCTION("""COMPUTED_VALUE"""),"NO")</f>
        <v>NO</v>
      </c>
      <c r="E886" s="33" t="str">
        <f ca="1">IFERROR(__xludf.DUMMYFUNCTION("""COMPUTED_VALUE"""),"Cáceres")</f>
        <v>Cáceres</v>
      </c>
      <c r="F886" s="57">
        <f ca="1">IFERROR(__xludf.DUMMYFUNCTION("""COMPUTED_VALUE"""),45814)</f>
        <v>45814</v>
      </c>
      <c r="G886" s="57">
        <f ca="1">IFERROR(__xludf.DUMMYFUNCTION("""COMPUTED_VALUE"""),45777)</f>
        <v>45777</v>
      </c>
      <c r="H886" s="33" t="str">
        <f ca="1">IFERROR(__xludf.DUMMYFUNCTION("""COMPUTED_VALUE"""),"Cáceres")</f>
        <v>Cáceres</v>
      </c>
      <c r="I886" s="33" t="str">
        <f ca="1">IFERROR(__xludf.DUMMYFUNCTION("""COMPUTED_VALUE"""),"CAC-284")</f>
        <v>CAC-284</v>
      </c>
      <c r="J886" s="33" t="str">
        <f ca="1">IFERROR(__xludf.DUMMYFUNCTION("""COMPUTED_VALUE"""),"MARIA SOLEDAD SAENZ CHACON")</f>
        <v>MARIA SOLEDAD SAENZ CHACON</v>
      </c>
      <c r="K886" s="33">
        <f ca="1">IFERROR(__xludf.DUMMYFUNCTION("""COMPUTED_VALUE"""),1)</f>
        <v>1</v>
      </c>
      <c r="L886" s="203">
        <f ca="1">IFERROR(__xludf.DUMMYFUNCTION("""COMPUTED_VALUE"""),2420)</f>
        <v>2420</v>
      </c>
      <c r="M886" s="33" t="str">
        <f ca="1">IFERROR(__xludf.DUMMYFUNCTION("""COMPUTED_VALUE"""),"03 ORL")</f>
        <v>03 ORL</v>
      </c>
      <c r="N886" s="33" t="str">
        <f ca="1">IFERROR(__xludf.DUMMYFUNCTION("""COMPUTED_VALUE"""),"06 ORL")</f>
        <v>06 ORL</v>
      </c>
      <c r="O886" s="33" t="str">
        <f ca="1">IFERROR(__xludf.DUMMYFUNCTION("""COMPUTED_VALUE"""),"Dr, Javier García Gómez")</f>
        <v>Dr, Javier García Gómez</v>
      </c>
      <c r="P886" s="33" t="str">
        <f ca="1">IFERROR(__xludf.DUMMYFUNCTION("""COMPUTED_VALUE"""),"Lisandro Russian (Madrid, Cáceres, Toledo, Talavera Y Logroño)")</f>
        <v>Lisandro Russian (Madrid, Cáceres, Toledo, Talavera Y Logroño)</v>
      </c>
    </row>
    <row r="887" spans="2:16">
      <c r="B887" s="33">
        <f ca="1">IFERROR(__xludf.DUMMYFUNCTION("""COMPUTED_VALUE"""),2025)</f>
        <v>2025</v>
      </c>
      <c r="C887" s="33">
        <f ca="1">IFERROR(__xludf.DUMMYFUNCTION("""COMPUTED_VALUE"""),6)</f>
        <v>6</v>
      </c>
      <c r="D887" s="33" t="str">
        <f ca="1">IFERROR(__xludf.DUMMYFUNCTION("""COMPUTED_VALUE"""),"NO")</f>
        <v>NO</v>
      </c>
      <c r="E887" s="33" t="str">
        <f ca="1">IFERROR(__xludf.DUMMYFUNCTION("""COMPUTED_VALUE"""),"Lalín")</f>
        <v>Lalín</v>
      </c>
      <c r="F887" s="57">
        <f ca="1">IFERROR(__xludf.DUMMYFUNCTION("""COMPUTED_VALUE"""),45814)</f>
        <v>45814</v>
      </c>
      <c r="G887" s="57">
        <f ca="1">IFERROR(__xludf.DUMMYFUNCTION("""COMPUTED_VALUE"""),45798)</f>
        <v>45798</v>
      </c>
      <c r="H887" s="33" t="str">
        <f ca="1">IFERROR(__xludf.DUMMYFUNCTION("""COMPUTED_VALUE"""),"Lalín")</f>
        <v>Lalín</v>
      </c>
      <c r="I887" s="33" t="str">
        <f ca="1">IFERROR(__xludf.DUMMYFUNCTION("""COMPUTED_VALUE"""),"LAL-151")</f>
        <v>LAL-151</v>
      </c>
      <c r="J887" s="33" t="str">
        <f ca="1">IFERROR(__xludf.DUMMYFUNCTION("""COMPUTED_VALUE"""),"ELENA ELISEI")</f>
        <v>ELENA ELISEI</v>
      </c>
      <c r="K887" s="33">
        <f ca="1">IFERROR(__xludf.DUMMYFUNCTION("""COMPUTED_VALUE"""),2)</f>
        <v>2</v>
      </c>
      <c r="L887" s="203">
        <f ca="1">IFERROR(__xludf.DUMMYFUNCTION("""COMPUTED_VALUE"""),2909.09)</f>
        <v>2909.09</v>
      </c>
      <c r="M887" s="33" t="str">
        <f ca="1">IFERROR(__xludf.DUMMYFUNCTION("""COMPUTED_VALUE"""),"03 ORL")</f>
        <v>03 ORL</v>
      </c>
      <c r="N887" s="33" t="str">
        <f ca="1">IFERROR(__xludf.DUMMYFUNCTION("""COMPUTED_VALUE"""),"06 ORL")</f>
        <v>06 ORL</v>
      </c>
      <c r="O887" s="33" t="str">
        <f ca="1">IFERROR(__xludf.DUMMYFUNCTION("""COMPUTED_VALUE"""),"Dr, Carlos Frade González")</f>
        <v>Dr, Carlos Frade González</v>
      </c>
      <c r="P887" s="33" t="str">
        <f ca="1">IFERROR(__xludf.DUMMYFUNCTION("""COMPUTED_VALUE"""),"Roberto Pereira (Galicia)")</f>
        <v>Roberto Pereira (Galicia)</v>
      </c>
    </row>
    <row r="888" spans="2:16">
      <c r="B888" s="33">
        <f ca="1">IFERROR(__xludf.DUMMYFUNCTION("""COMPUTED_VALUE"""),2025)</f>
        <v>2025</v>
      </c>
      <c r="C888" s="33">
        <f ca="1">IFERROR(__xludf.DUMMYFUNCTION("""COMPUTED_VALUE"""),6)</f>
        <v>6</v>
      </c>
      <c r="D888" s="33" t="str">
        <f ca="1">IFERROR(__xludf.DUMMYFUNCTION("""COMPUTED_VALUE"""),"NO")</f>
        <v>NO</v>
      </c>
      <c r="E888" s="33" t="str">
        <f ca="1">IFERROR(__xludf.DUMMYFUNCTION("""COMPUTED_VALUE"""),"Salamanca")</f>
        <v>Salamanca</v>
      </c>
      <c r="F888" s="57">
        <f ca="1">IFERROR(__xludf.DUMMYFUNCTION("""COMPUTED_VALUE"""),45817)</f>
        <v>45817</v>
      </c>
      <c r="G888" s="57">
        <f ca="1">IFERROR(__xludf.DUMMYFUNCTION("""COMPUTED_VALUE"""),45611)</f>
        <v>45611</v>
      </c>
      <c r="H888" s="33" t="str">
        <f ca="1">IFERROR(__xludf.DUMMYFUNCTION("""COMPUTED_VALUE"""),"Salamanca")</f>
        <v>Salamanca</v>
      </c>
      <c r="I888" s="33" t="str">
        <f ca="1">IFERROR(__xludf.DUMMYFUNCTION("""COMPUTED_VALUE"""),"SLM-404")</f>
        <v>SLM-404</v>
      </c>
      <c r="J888" s="33" t="str">
        <f ca="1">IFERROR(__xludf.DUMMYFUNCTION("""COMPUTED_VALUE"""),"GABRIEL MARQUEZ MENDEZ")</f>
        <v>GABRIEL MARQUEZ MENDEZ</v>
      </c>
      <c r="K888" s="33">
        <f ca="1">IFERROR(__xludf.DUMMYFUNCTION("""COMPUTED_VALUE"""),2)</f>
        <v>2</v>
      </c>
      <c r="L888" s="203">
        <f ca="1">IFERROR(__xludf.DUMMYFUNCTION("""COMPUTED_VALUE"""),2780.91)</f>
        <v>2780.91</v>
      </c>
      <c r="M888" s="33" t="str">
        <f ca="1">IFERROR(__xludf.DUMMYFUNCTION("""COMPUTED_VALUE"""),"03 ORL")</f>
        <v>03 ORL</v>
      </c>
      <c r="N888" s="33" t="str">
        <f ca="1">IFERROR(__xludf.DUMMYFUNCTION("""COMPUTED_VALUE"""),"06 ORL")</f>
        <v>06 ORL</v>
      </c>
      <c r="O888" s="33" t="str">
        <f ca="1">IFERROR(__xludf.DUMMYFUNCTION("""COMPUTED_VALUE"""),"No Recuerda Orl")</f>
        <v>No Recuerda Orl</v>
      </c>
      <c r="P888" s="33" t="str">
        <f ca="1">IFERROR(__xludf.DUMMYFUNCTION("""COMPUTED_VALUE"""),"Patricia Solache (Castilla Y León)")</f>
        <v>Patricia Solache (Castilla Y León)</v>
      </c>
    </row>
    <row r="889" spans="2:16">
      <c r="B889" s="33">
        <f ca="1">IFERROR(__xludf.DUMMYFUNCTION("""COMPUTED_VALUE"""),2025)</f>
        <v>2025</v>
      </c>
      <c r="C889" s="33">
        <f ca="1">IFERROR(__xludf.DUMMYFUNCTION("""COMPUTED_VALUE"""),6)</f>
        <v>6</v>
      </c>
      <c r="D889" s="33" t="str">
        <f ca="1">IFERROR(__xludf.DUMMYFUNCTION("""COMPUTED_VALUE"""),"NO")</f>
        <v>NO</v>
      </c>
      <c r="E889" s="33" t="str">
        <f ca="1">IFERROR(__xludf.DUMMYFUNCTION("""COMPUTED_VALUE"""),"Salamanca")</f>
        <v>Salamanca</v>
      </c>
      <c r="F889" s="57">
        <f ca="1">IFERROR(__xludf.DUMMYFUNCTION("""COMPUTED_VALUE"""),45818)</f>
        <v>45818</v>
      </c>
      <c r="G889" s="57">
        <f ca="1">IFERROR(__xludf.DUMMYFUNCTION("""COMPUTED_VALUE"""),45758)</f>
        <v>45758</v>
      </c>
      <c r="H889" s="33" t="str">
        <f ca="1">IFERROR(__xludf.DUMMYFUNCTION("""COMPUTED_VALUE"""),"Salamanca")</f>
        <v>Salamanca</v>
      </c>
      <c r="I889" s="33" t="str">
        <f ca="1">IFERROR(__xludf.DUMMYFUNCTION("""COMPUTED_VALUE"""),"SLM-528")</f>
        <v>SLM-528</v>
      </c>
      <c r="J889" s="33" t="str">
        <f ca="1">IFERROR(__xludf.DUMMYFUNCTION("""COMPUTED_VALUE"""),"FRANCISCO LUCAS PEÑA")</f>
        <v>FRANCISCO LUCAS PEÑA</v>
      </c>
      <c r="K889" s="33">
        <f ca="1">IFERROR(__xludf.DUMMYFUNCTION("""COMPUTED_VALUE"""),2)</f>
        <v>2</v>
      </c>
      <c r="L889" s="203">
        <f ca="1">IFERROR(__xludf.DUMMYFUNCTION("""COMPUTED_VALUE"""),3604.55)</f>
        <v>3604.55</v>
      </c>
      <c r="M889" s="33" t="str">
        <f ca="1">IFERROR(__xludf.DUMMYFUNCTION("""COMPUTED_VALUE"""),"03 ORL")</f>
        <v>03 ORL</v>
      </c>
      <c r="N889" s="33" t="str">
        <f ca="1">IFERROR(__xludf.DUMMYFUNCTION("""COMPUTED_VALUE"""),"06 ORL")</f>
        <v>06 ORL</v>
      </c>
      <c r="O889" s="33" t="str">
        <f ca="1">IFERROR(__xludf.DUMMYFUNCTION("""COMPUTED_VALUE"""),"No Recuerda Orl")</f>
        <v>No Recuerda Orl</v>
      </c>
      <c r="P889" s="33" t="str">
        <f ca="1">IFERROR(__xludf.DUMMYFUNCTION("""COMPUTED_VALUE"""),"Patricia Solache (Castilla Y León)")</f>
        <v>Patricia Solache (Castilla Y León)</v>
      </c>
    </row>
    <row r="890" spans="2:16">
      <c r="B890" s="33">
        <f ca="1">IFERROR(__xludf.DUMMYFUNCTION("""COMPUTED_VALUE"""),2025)</f>
        <v>2025</v>
      </c>
      <c r="C890" s="33">
        <f ca="1">IFERROR(__xludf.DUMMYFUNCTION("""COMPUTED_VALUE"""),6)</f>
        <v>6</v>
      </c>
      <c r="D890" s="33" t="str">
        <f ca="1">IFERROR(__xludf.DUMMYFUNCTION("""COMPUTED_VALUE"""),"NO")</f>
        <v>NO</v>
      </c>
      <c r="E890" s="33" t="str">
        <f ca="1">IFERROR(__xludf.DUMMYFUNCTION("""COMPUTED_VALUE"""),"Vigo")</f>
        <v>Vigo</v>
      </c>
      <c r="F890" s="57">
        <f ca="1">IFERROR(__xludf.DUMMYFUNCTION("""COMPUTED_VALUE"""),45819)</f>
        <v>45819</v>
      </c>
      <c r="G890" s="57">
        <f ca="1">IFERROR(__xludf.DUMMYFUNCTION("""COMPUTED_VALUE"""),45757)</f>
        <v>45757</v>
      </c>
      <c r="H890" s="33" t="str">
        <f ca="1">IFERROR(__xludf.DUMMYFUNCTION("""COMPUTED_VALUE"""),"Vigo")</f>
        <v>Vigo</v>
      </c>
      <c r="I890" s="33" t="str">
        <f ca="1">IFERROR(__xludf.DUMMYFUNCTION("""COMPUTED_VALUE"""),"VIG-563")</f>
        <v>VIG-563</v>
      </c>
      <c r="J890" s="33" t="str">
        <f ca="1">IFERROR(__xludf.DUMMYFUNCTION("""COMPUTED_VALUE"""),"MARINA GLORIA BARREIRO RODRIGUEZ")</f>
        <v>MARINA GLORIA BARREIRO RODRIGUEZ</v>
      </c>
      <c r="K890" s="33">
        <f ca="1">IFERROR(__xludf.DUMMYFUNCTION("""COMPUTED_VALUE"""),2)</f>
        <v>2</v>
      </c>
      <c r="L890" s="203">
        <f ca="1">IFERROR(__xludf.DUMMYFUNCTION("""COMPUTED_VALUE"""),3363.64)</f>
        <v>3363.64</v>
      </c>
      <c r="M890" s="33" t="str">
        <f ca="1">IFERROR(__xludf.DUMMYFUNCTION("""COMPUTED_VALUE"""),"03 ORL")</f>
        <v>03 ORL</v>
      </c>
      <c r="N890" s="33" t="str">
        <f ca="1">IFERROR(__xludf.DUMMYFUNCTION("""COMPUTED_VALUE"""),"06 ORL")</f>
        <v>06 ORL</v>
      </c>
      <c r="O890" s="33" t="str">
        <f ca="1">IFERROR(__xludf.DUMMYFUNCTION("""COMPUTED_VALUE"""),"Dr, Manuel Estevez García")</f>
        <v>Dr, Manuel Estevez García</v>
      </c>
      <c r="P890" s="33" t="str">
        <f ca="1">IFERROR(__xludf.DUMMYFUNCTION("""COMPUTED_VALUE"""),"Roberto Pereira (Galicia)")</f>
        <v>Roberto Pereira (Galicia)</v>
      </c>
    </row>
    <row r="891" spans="2:16">
      <c r="B891" s="33">
        <f ca="1">IFERROR(__xludf.DUMMYFUNCTION("""COMPUTED_VALUE"""),2025)</f>
        <v>2025</v>
      </c>
      <c r="C891" s="33">
        <f ca="1">IFERROR(__xludf.DUMMYFUNCTION("""COMPUTED_VALUE"""),6)</f>
        <v>6</v>
      </c>
      <c r="D891" s="33" t="str">
        <f ca="1">IFERROR(__xludf.DUMMYFUNCTION("""COMPUTED_VALUE"""),"NO")</f>
        <v>NO</v>
      </c>
      <c r="E891" s="33" t="str">
        <f ca="1">IFERROR(__xludf.DUMMYFUNCTION("""COMPUTED_VALUE"""),"Cáceres")</f>
        <v>Cáceres</v>
      </c>
      <c r="F891" s="57">
        <f ca="1">IFERROR(__xludf.DUMMYFUNCTION("""COMPUTED_VALUE"""),45819)</f>
        <v>45819</v>
      </c>
      <c r="G891" s="57">
        <f ca="1">IFERROR(__xludf.DUMMYFUNCTION("""COMPUTED_VALUE"""),45785)</f>
        <v>45785</v>
      </c>
      <c r="H891" s="33" t="str">
        <f ca="1">IFERROR(__xludf.DUMMYFUNCTION("""COMPUTED_VALUE"""),"Cáceres")</f>
        <v>Cáceres</v>
      </c>
      <c r="I891" s="33" t="str">
        <f ca="1">IFERROR(__xludf.DUMMYFUNCTION("""COMPUTED_VALUE"""),"ZRG-610")</f>
        <v>ZRG-610</v>
      </c>
      <c r="J891" s="33" t="str">
        <f ca="1">IFERROR(__xludf.DUMMYFUNCTION("""COMPUTED_VALUE"""),"PAULINO SANGUINO RAMOS")</f>
        <v>PAULINO SANGUINO RAMOS</v>
      </c>
      <c r="K891" s="33">
        <f ca="1">IFERROR(__xludf.DUMMYFUNCTION("""COMPUTED_VALUE"""),2)</f>
        <v>2</v>
      </c>
      <c r="L891" s="203">
        <f ca="1">IFERROR(__xludf.DUMMYFUNCTION("""COMPUTED_VALUE"""),3474.55)</f>
        <v>3474.55</v>
      </c>
      <c r="M891" s="33" t="str">
        <f ca="1">IFERROR(__xludf.DUMMYFUNCTION("""COMPUTED_VALUE"""),"03 ORL")</f>
        <v>03 ORL</v>
      </c>
      <c r="N891" s="33" t="str">
        <f ca="1">IFERROR(__xludf.DUMMYFUNCTION("""COMPUTED_VALUE"""),"06 ORL")</f>
        <v>06 ORL</v>
      </c>
      <c r="O891" s="33" t="str">
        <f ca="1">IFERROR(__xludf.DUMMYFUNCTION("""COMPUTED_VALUE"""),"Dr, Rafael Sanz Trenado")</f>
        <v>Dr, Rafael Sanz Trenado</v>
      </c>
      <c r="P891" s="33" t="str">
        <f ca="1">IFERROR(__xludf.DUMMYFUNCTION("""COMPUTED_VALUE"""),"Lisandro Russian (Madrid, Cáceres, Toledo, Talavera Y Logroño)")</f>
        <v>Lisandro Russian (Madrid, Cáceres, Toledo, Talavera Y Logroño)</v>
      </c>
    </row>
    <row r="892" spans="2:16">
      <c r="B892" s="33">
        <f ca="1">IFERROR(__xludf.DUMMYFUNCTION("""COMPUTED_VALUE"""),2025)</f>
        <v>2025</v>
      </c>
      <c r="C892" s="33">
        <f ca="1">IFERROR(__xludf.DUMMYFUNCTION("""COMPUTED_VALUE"""),6)</f>
        <v>6</v>
      </c>
      <c r="D892" s="33" t="str">
        <f ca="1">IFERROR(__xludf.DUMMYFUNCTION("""COMPUTED_VALUE"""),"NO")</f>
        <v>NO</v>
      </c>
      <c r="E892" s="33" t="str">
        <f ca="1">IFERROR(__xludf.DUMMYFUNCTION("""COMPUTED_VALUE"""),"Vigo")</f>
        <v>Vigo</v>
      </c>
      <c r="F892" s="57">
        <f ca="1">IFERROR(__xludf.DUMMYFUNCTION("""COMPUTED_VALUE"""),45819)</f>
        <v>45819</v>
      </c>
      <c r="G892" s="57">
        <f ca="1">IFERROR(__xludf.DUMMYFUNCTION("""COMPUTED_VALUE"""),45785)</f>
        <v>45785</v>
      </c>
      <c r="H892" s="33" t="str">
        <f ca="1">IFERROR(__xludf.DUMMYFUNCTION("""COMPUTED_VALUE"""),"Vigo")</f>
        <v>Vigo</v>
      </c>
      <c r="I892" s="33" t="str">
        <f ca="1">IFERROR(__xludf.DUMMYFUNCTION("""COMPUTED_VALUE"""),"VIG-572")</f>
        <v>VIG-572</v>
      </c>
      <c r="J892" s="33" t="str">
        <f ca="1">IFERROR(__xludf.DUMMYFUNCTION("""COMPUTED_VALUE"""),"CARLOS AYMERICH GONZALEZ")</f>
        <v>CARLOS AYMERICH GONZALEZ</v>
      </c>
      <c r="K892" s="33">
        <f ca="1">IFERROR(__xludf.DUMMYFUNCTION("""COMPUTED_VALUE"""),2)</f>
        <v>2</v>
      </c>
      <c r="L892" s="203">
        <f ca="1">IFERROR(__xludf.DUMMYFUNCTION("""COMPUTED_VALUE"""),3363.64)</f>
        <v>3363.64</v>
      </c>
      <c r="M892" s="33" t="str">
        <f ca="1">IFERROR(__xludf.DUMMYFUNCTION("""COMPUTED_VALUE"""),"03 ORL")</f>
        <v>03 ORL</v>
      </c>
      <c r="N892" s="33" t="str">
        <f ca="1">IFERROR(__xludf.DUMMYFUNCTION("""COMPUTED_VALUE"""),"06 ORL")</f>
        <v>06 ORL</v>
      </c>
      <c r="O892" s="33" t="str">
        <f ca="1">IFERROR(__xludf.DUMMYFUNCTION("""COMPUTED_VALUE"""),"Dra, Estrella Pallas Pallas")</f>
        <v>Dra, Estrella Pallas Pallas</v>
      </c>
      <c r="P892" s="33" t="str">
        <f ca="1">IFERROR(__xludf.DUMMYFUNCTION("""COMPUTED_VALUE"""),"Roberto Pereira (Galicia)")</f>
        <v>Roberto Pereira (Galicia)</v>
      </c>
    </row>
    <row r="893" spans="2:16">
      <c r="B893" s="33">
        <f ca="1">IFERROR(__xludf.DUMMYFUNCTION("""COMPUTED_VALUE"""),2025)</f>
        <v>2025</v>
      </c>
      <c r="C893" s="33">
        <f ca="1">IFERROR(__xludf.DUMMYFUNCTION("""COMPUTED_VALUE"""),6)</f>
        <v>6</v>
      </c>
      <c r="D893" s="33" t="str">
        <f ca="1">IFERROR(__xludf.DUMMYFUNCTION("""COMPUTED_VALUE"""),"NO")</f>
        <v>NO</v>
      </c>
      <c r="E893" s="33" t="str">
        <f ca="1">IFERROR(__xludf.DUMMYFUNCTION("""COMPUTED_VALUE"""),"Cáceres")</f>
        <v>Cáceres</v>
      </c>
      <c r="F893" s="57">
        <f ca="1">IFERROR(__xludf.DUMMYFUNCTION("""COMPUTED_VALUE"""),45820)</f>
        <v>45820</v>
      </c>
      <c r="G893" s="57">
        <f ca="1">IFERROR(__xludf.DUMMYFUNCTION("""COMPUTED_VALUE"""),45782)</f>
        <v>45782</v>
      </c>
      <c r="H893" s="33" t="str">
        <f ca="1">IFERROR(__xludf.DUMMYFUNCTION("""COMPUTED_VALUE"""),"Cáceres")</f>
        <v>Cáceres</v>
      </c>
      <c r="I893" s="33" t="str">
        <f ca="1">IFERROR(__xludf.DUMMYFUNCTION("""COMPUTED_VALUE"""),"CAC-288")</f>
        <v>CAC-288</v>
      </c>
      <c r="J893" s="33" t="str">
        <f ca="1">IFERROR(__xludf.DUMMYFUNCTION("""COMPUTED_VALUE"""),"MARIA PILAR SANCHEZ JIMENEZ")</f>
        <v>MARIA PILAR SANCHEZ JIMENEZ</v>
      </c>
      <c r="K893" s="33">
        <f ca="1">IFERROR(__xludf.DUMMYFUNCTION("""COMPUTED_VALUE"""),2)</f>
        <v>2</v>
      </c>
      <c r="L893" s="203">
        <f ca="1">IFERROR(__xludf.DUMMYFUNCTION("""COMPUTED_VALUE"""),3185.45)</f>
        <v>3185.45</v>
      </c>
      <c r="M893" s="33" t="str">
        <f ca="1">IFERROR(__xludf.DUMMYFUNCTION("""COMPUTED_VALUE"""),"03 ORL")</f>
        <v>03 ORL</v>
      </c>
      <c r="N893" s="33" t="str">
        <f ca="1">IFERROR(__xludf.DUMMYFUNCTION("""COMPUTED_VALUE"""),"06 ORL")</f>
        <v>06 ORL</v>
      </c>
      <c r="O893" s="33" t="str">
        <f ca="1">IFERROR(__xludf.DUMMYFUNCTION("""COMPUTED_VALUE"""),"Dr, Raed Maqued El Maqued")</f>
        <v>Dr, Raed Maqued El Maqued</v>
      </c>
      <c r="P893" s="33" t="str">
        <f ca="1">IFERROR(__xludf.DUMMYFUNCTION("""COMPUTED_VALUE"""),"Lisandro Russian (Madrid, Cáceres, Toledo, Talavera Y Logroño)")</f>
        <v>Lisandro Russian (Madrid, Cáceres, Toledo, Talavera Y Logroño)</v>
      </c>
    </row>
    <row r="894" spans="2:16">
      <c r="B894" s="33">
        <f ca="1">IFERROR(__xludf.DUMMYFUNCTION("""COMPUTED_VALUE"""),2025)</f>
        <v>2025</v>
      </c>
      <c r="C894" s="33">
        <f ca="1">IFERROR(__xludf.DUMMYFUNCTION("""COMPUTED_VALUE"""),6)</f>
        <v>6</v>
      </c>
      <c r="D894" s="33" t="str">
        <f ca="1">IFERROR(__xludf.DUMMYFUNCTION("""COMPUTED_VALUE"""),"NO")</f>
        <v>NO</v>
      </c>
      <c r="E894" s="33" t="str">
        <f ca="1">IFERROR(__xludf.DUMMYFUNCTION("""COMPUTED_VALUE"""),"O Barco")</f>
        <v>O Barco</v>
      </c>
      <c r="F894" s="57">
        <f ca="1">IFERROR(__xludf.DUMMYFUNCTION("""COMPUTED_VALUE"""),45821)</f>
        <v>45821</v>
      </c>
      <c r="G894" s="57">
        <f ca="1">IFERROR(__xludf.DUMMYFUNCTION("""COMPUTED_VALUE"""),45755)</f>
        <v>45755</v>
      </c>
      <c r="H894" s="33" t="str">
        <f ca="1">IFERROR(__xludf.DUMMYFUNCTION("""COMPUTED_VALUE"""),"O Barco")</f>
        <v>O Barco</v>
      </c>
      <c r="I894" s="33" t="str">
        <f ca="1">IFERROR(__xludf.DUMMYFUNCTION("""COMPUTED_VALUE"""),"OBR-59")</f>
        <v>OBR-59</v>
      </c>
      <c r="J894" s="33" t="str">
        <f ca="1">IFERROR(__xludf.DUMMYFUNCTION("""COMPUTED_VALUE"""),"OFELIA RODRIGUEZ FERNANDEZ")</f>
        <v>OFELIA RODRIGUEZ FERNANDEZ</v>
      </c>
      <c r="K894" s="33">
        <f ca="1">IFERROR(__xludf.DUMMYFUNCTION("""COMPUTED_VALUE"""),2)</f>
        <v>2</v>
      </c>
      <c r="L894" s="203">
        <f ca="1">IFERROR(__xludf.DUMMYFUNCTION("""COMPUTED_VALUE"""),3090.91)</f>
        <v>3090.91</v>
      </c>
      <c r="M894" s="33" t="str">
        <f ca="1">IFERROR(__xludf.DUMMYFUNCTION("""COMPUTED_VALUE"""),"03 ORL")</f>
        <v>03 ORL</v>
      </c>
      <c r="N894" s="33" t="str">
        <f ca="1">IFERROR(__xludf.DUMMYFUNCTION("""COMPUTED_VALUE"""),"06 ORL")</f>
        <v>06 ORL</v>
      </c>
      <c r="O894" s="33" t="str">
        <f ca="1">IFERROR(__xludf.DUMMYFUNCTION("""COMPUTED_VALUE"""),"Dra, Marta Fernández Míguez")</f>
        <v>Dra, Marta Fernández Míguez</v>
      </c>
      <c r="P894" s="33" t="str">
        <f ca="1">IFERROR(__xludf.DUMMYFUNCTION("""COMPUTED_VALUE"""),"Patricia Solache (Castilla Y León)")</f>
        <v>Patricia Solache (Castilla Y León)</v>
      </c>
    </row>
    <row r="895" spans="2:16">
      <c r="B895" s="33">
        <f ca="1">IFERROR(__xludf.DUMMYFUNCTION("""COMPUTED_VALUE"""),2025)</f>
        <v>2025</v>
      </c>
      <c r="C895" s="33">
        <f ca="1">IFERROR(__xludf.DUMMYFUNCTION("""COMPUTED_VALUE"""),6)</f>
        <v>6</v>
      </c>
      <c r="D895" s="33" t="str">
        <f ca="1">IFERROR(__xludf.DUMMYFUNCTION("""COMPUTED_VALUE"""),"NO")</f>
        <v>NO</v>
      </c>
      <c r="E895" s="33" t="str">
        <f ca="1">IFERROR(__xludf.DUMMYFUNCTION("""COMPUTED_VALUE"""),"Vigo")</f>
        <v>Vigo</v>
      </c>
      <c r="F895" s="57">
        <f ca="1">IFERROR(__xludf.DUMMYFUNCTION("""COMPUTED_VALUE"""),45824)</f>
        <v>45824</v>
      </c>
      <c r="G895" s="57">
        <f ca="1">IFERROR(__xludf.DUMMYFUNCTION("""COMPUTED_VALUE"""),45784)</f>
        <v>45784</v>
      </c>
      <c r="H895" s="33" t="str">
        <f ca="1">IFERROR(__xludf.DUMMYFUNCTION("""COMPUTED_VALUE"""),"Vigo")</f>
        <v>Vigo</v>
      </c>
      <c r="I895" s="33" t="str">
        <f ca="1">IFERROR(__xludf.DUMMYFUNCTION("""COMPUTED_VALUE"""),"VIG-571")</f>
        <v>VIG-571</v>
      </c>
      <c r="J895" s="33" t="str">
        <f ca="1">IFERROR(__xludf.DUMMYFUNCTION("""COMPUTED_VALUE"""),"JOSEFA FREAZA LAGO")</f>
        <v>JOSEFA FREAZA LAGO</v>
      </c>
      <c r="K895" s="33">
        <f ca="1">IFERROR(__xludf.DUMMYFUNCTION("""COMPUTED_VALUE"""),2)</f>
        <v>2</v>
      </c>
      <c r="L895" s="203">
        <f ca="1">IFERROR(__xludf.DUMMYFUNCTION("""COMPUTED_VALUE"""),3454.55)</f>
        <v>3454.55</v>
      </c>
      <c r="M895" s="33" t="str">
        <f ca="1">IFERROR(__xludf.DUMMYFUNCTION("""COMPUTED_VALUE"""),"03 ORL")</f>
        <v>03 ORL</v>
      </c>
      <c r="N895" s="33" t="str">
        <f ca="1">IFERROR(__xludf.DUMMYFUNCTION("""COMPUTED_VALUE"""),"06 ORL")</f>
        <v>06 ORL</v>
      </c>
      <c r="O895" s="33" t="str">
        <f ca="1">IFERROR(__xludf.DUMMYFUNCTION("""COMPUTED_VALUE"""),"Dr, Amer Souki Chmeitt")</f>
        <v>Dr, Amer Souki Chmeitt</v>
      </c>
      <c r="P895" s="33" t="str">
        <f ca="1">IFERROR(__xludf.DUMMYFUNCTION("""COMPUTED_VALUE"""),"Roberto Pereira (Galicia)")</f>
        <v>Roberto Pereira (Galicia)</v>
      </c>
    </row>
    <row r="896" spans="2:16">
      <c r="B896" s="33">
        <f ca="1">IFERROR(__xludf.DUMMYFUNCTION("""COMPUTED_VALUE"""),2025)</f>
        <v>2025</v>
      </c>
      <c r="C896" s="33">
        <f ca="1">IFERROR(__xludf.DUMMYFUNCTION("""COMPUTED_VALUE"""),6)</f>
        <v>6</v>
      </c>
      <c r="D896" s="33" t="str">
        <f ca="1">IFERROR(__xludf.DUMMYFUNCTION("""COMPUTED_VALUE"""),"NO")</f>
        <v>NO</v>
      </c>
      <c r="E896" s="33" t="str">
        <f ca="1">IFERROR(__xludf.DUMMYFUNCTION("""COMPUTED_VALUE"""),"Zaragoza- León XIII")</f>
        <v>Zaragoza- León XIII</v>
      </c>
      <c r="F896" s="57">
        <f ca="1">IFERROR(__xludf.DUMMYFUNCTION("""COMPUTED_VALUE"""),45824)</f>
        <v>45824</v>
      </c>
      <c r="G896" s="57">
        <f ca="1">IFERROR(__xludf.DUMMYFUNCTION("""COMPUTED_VALUE"""),45790)</f>
        <v>45790</v>
      </c>
      <c r="H896" s="33" t="str">
        <f ca="1">IFERROR(__xludf.DUMMYFUNCTION("""COMPUTED_VALUE"""),"Zaragoza")</f>
        <v>Zaragoza</v>
      </c>
      <c r="I896" s="33" t="str">
        <f ca="1">IFERROR(__xludf.DUMMYFUNCTION("""COMPUTED_VALUE"""),"ZRG-635")</f>
        <v>ZRG-635</v>
      </c>
      <c r="J896" s="33" t="str">
        <f ca="1">IFERROR(__xludf.DUMMYFUNCTION("""COMPUTED_VALUE"""),"HERADIO MEDINA ROJAS")</f>
        <v>HERADIO MEDINA ROJAS</v>
      </c>
      <c r="K896" s="33">
        <f ca="1">IFERROR(__xludf.DUMMYFUNCTION("""COMPUTED_VALUE"""),2)</f>
        <v>2</v>
      </c>
      <c r="L896" s="203">
        <f ca="1">IFERROR(__xludf.DUMMYFUNCTION("""COMPUTED_VALUE"""),3800)</f>
        <v>3800</v>
      </c>
      <c r="M896" s="33" t="str">
        <f ca="1">IFERROR(__xludf.DUMMYFUNCTION("""COMPUTED_VALUE"""),"03 ORL")</f>
        <v>03 ORL</v>
      </c>
      <c r="N896" s="33" t="str">
        <f ca="1">IFERROR(__xludf.DUMMYFUNCTION("""COMPUTED_VALUE"""),"06 ORL")</f>
        <v>06 ORL</v>
      </c>
      <c r="O896" s="33" t="str">
        <f ca="1">IFERROR(__xludf.DUMMYFUNCTION("""COMPUTED_VALUE"""),"Dr, José Manuel García Solans-Esteras")</f>
        <v>Dr, José Manuel García Solans-Esteras</v>
      </c>
      <c r="P896" s="33" t="str">
        <f ca="1">IFERROR(__xludf.DUMMYFUNCTION("""COMPUTED_VALUE"""),"Lisandro Russian (Madrid, Cáceres, Toledo, Talavera Y Logroño)")</f>
        <v>Lisandro Russian (Madrid, Cáceres, Toledo, Talavera Y Logroño)</v>
      </c>
    </row>
    <row r="897" spans="2:16">
      <c r="B897" s="33">
        <f ca="1">IFERROR(__xludf.DUMMYFUNCTION("""COMPUTED_VALUE"""),2025)</f>
        <v>2025</v>
      </c>
      <c r="C897" s="33">
        <f ca="1">IFERROR(__xludf.DUMMYFUNCTION("""COMPUTED_VALUE"""),6)</f>
        <v>6</v>
      </c>
      <c r="D897" s="33" t="str">
        <f ca="1">IFERROR(__xludf.DUMMYFUNCTION("""COMPUTED_VALUE"""),"NO")</f>
        <v>NO</v>
      </c>
      <c r="E897" s="33" t="str">
        <f ca="1">IFERROR(__xludf.DUMMYFUNCTION("""COMPUTED_VALUE"""),"León")</f>
        <v>León</v>
      </c>
      <c r="F897" s="57">
        <f ca="1">IFERROR(__xludf.DUMMYFUNCTION("""COMPUTED_VALUE"""),45824)</f>
        <v>45824</v>
      </c>
      <c r="G897" s="57">
        <f ca="1">IFERROR(__xludf.DUMMYFUNCTION("""COMPUTED_VALUE"""),45821)</f>
        <v>45821</v>
      </c>
      <c r="H897" s="33" t="str">
        <f ca="1">IFERROR(__xludf.DUMMYFUNCTION("""COMPUTED_VALUE"""),"León")</f>
        <v>León</v>
      </c>
      <c r="I897" s="33" t="str">
        <f ca="1">IFERROR(__xludf.DUMMYFUNCTION("""COMPUTED_VALUE"""),"LEO-489")</f>
        <v>LEO-489</v>
      </c>
      <c r="J897" s="33" t="str">
        <f ca="1">IFERROR(__xludf.DUMMYFUNCTION("""COMPUTED_VALUE"""),"AMANDIO ANJOS PEREIRA MESQUITA")</f>
        <v>AMANDIO ANJOS PEREIRA MESQUITA</v>
      </c>
      <c r="K897" s="33">
        <f ca="1">IFERROR(__xludf.DUMMYFUNCTION("""COMPUTED_VALUE"""),2)</f>
        <v>2</v>
      </c>
      <c r="L897" s="203">
        <f ca="1">IFERROR(__xludf.DUMMYFUNCTION("""COMPUTED_VALUE"""),1923.08)</f>
        <v>1923.08</v>
      </c>
      <c r="M897" s="33" t="str">
        <f ca="1">IFERROR(__xludf.DUMMYFUNCTION("""COMPUTED_VALUE"""),"03 ORL")</f>
        <v>03 ORL</v>
      </c>
      <c r="N897" s="33" t="str">
        <f ca="1">IFERROR(__xludf.DUMMYFUNCTION("""COMPUTED_VALUE"""),"06 ORL")</f>
        <v>06 ORL</v>
      </c>
      <c r="O897" s="33" t="str">
        <f ca="1">IFERROR(__xludf.DUMMYFUNCTION("""COMPUTED_VALUE"""),"Dr, Rafael Pérez González")</f>
        <v>Dr, Rafael Pérez González</v>
      </c>
      <c r="P897" s="33" t="str">
        <f ca="1">IFERROR(__xludf.DUMMYFUNCTION("""COMPUTED_VALUE"""),"Patricia Solache (Castilla Y León)")</f>
        <v>Patricia Solache (Castilla Y León)</v>
      </c>
    </row>
    <row r="898" spans="2:16">
      <c r="B898" s="33">
        <f ca="1">IFERROR(__xludf.DUMMYFUNCTION("""COMPUTED_VALUE"""),2025)</f>
        <v>2025</v>
      </c>
      <c r="C898" s="33">
        <f ca="1">IFERROR(__xludf.DUMMYFUNCTION("""COMPUTED_VALUE"""),6)</f>
        <v>6</v>
      </c>
      <c r="D898" s="33" t="str">
        <f ca="1">IFERROR(__xludf.DUMMYFUNCTION("""COMPUTED_VALUE"""),"NO")</f>
        <v>NO</v>
      </c>
      <c r="E898" s="33" t="str">
        <f ca="1">IFERROR(__xludf.DUMMYFUNCTION("""COMPUTED_VALUE"""),"Cáceres")</f>
        <v>Cáceres</v>
      </c>
      <c r="F898" s="57">
        <f ca="1">IFERROR(__xludf.DUMMYFUNCTION("""COMPUTED_VALUE"""),45827)</f>
        <v>45827</v>
      </c>
      <c r="G898" s="57">
        <f ca="1">IFERROR(__xludf.DUMMYFUNCTION("""COMPUTED_VALUE"""),45796)</f>
        <v>45796</v>
      </c>
      <c r="H898" s="33" t="str">
        <f ca="1">IFERROR(__xludf.DUMMYFUNCTION("""COMPUTED_VALUE"""),"Cáceres")</f>
        <v>Cáceres</v>
      </c>
      <c r="I898" s="33" t="str">
        <f ca="1">IFERROR(__xludf.DUMMYFUNCTION("""COMPUTED_VALUE"""),"CAC-306")</f>
        <v>CAC-306</v>
      </c>
      <c r="J898" s="33" t="str">
        <f ca="1">IFERROR(__xludf.DUMMYFUNCTION("""COMPUTED_VALUE"""),"JOSE MARIA BRAVO PEÑA")</f>
        <v>JOSE MARIA BRAVO PEÑA</v>
      </c>
      <c r="K898" s="33">
        <f ca="1">IFERROR(__xludf.DUMMYFUNCTION("""COMPUTED_VALUE"""),2)</f>
        <v>2</v>
      </c>
      <c r="L898" s="203">
        <f ca="1">IFERROR(__xludf.DUMMYFUNCTION("""COMPUTED_VALUE"""),3863.64)</f>
        <v>3863.64</v>
      </c>
      <c r="M898" s="33" t="str">
        <f ca="1">IFERROR(__xludf.DUMMYFUNCTION("""COMPUTED_VALUE"""),"03 ORL")</f>
        <v>03 ORL</v>
      </c>
      <c r="N898" s="33" t="str">
        <f ca="1">IFERROR(__xludf.DUMMYFUNCTION("""COMPUTED_VALUE"""),"06 ORL")</f>
        <v>06 ORL</v>
      </c>
      <c r="O898" s="33" t="str">
        <f ca="1">IFERROR(__xludf.DUMMYFUNCTION("""COMPUTED_VALUE"""),"Dra, Marta García Jiménez")</f>
        <v>Dra, Marta García Jiménez</v>
      </c>
      <c r="P898" s="33" t="str">
        <f ca="1">IFERROR(__xludf.DUMMYFUNCTION("""COMPUTED_VALUE"""),"Lisandro Russian (Madrid, Cáceres, Toledo, Talavera Y Logroño)")</f>
        <v>Lisandro Russian (Madrid, Cáceres, Toledo, Talavera Y Logroño)</v>
      </c>
    </row>
    <row r="899" spans="2:16">
      <c r="B899" s="33">
        <f ca="1">IFERROR(__xludf.DUMMYFUNCTION("""COMPUTED_VALUE"""),2025)</f>
        <v>2025</v>
      </c>
      <c r="C899" s="33">
        <f ca="1">IFERROR(__xludf.DUMMYFUNCTION("""COMPUTED_VALUE"""),6)</f>
        <v>6</v>
      </c>
      <c r="D899" s="33" t="str">
        <f ca="1">IFERROR(__xludf.DUMMYFUNCTION("""COMPUTED_VALUE"""),"NO")</f>
        <v>NO</v>
      </c>
      <c r="E899" s="33" t="str">
        <f ca="1">IFERROR(__xludf.DUMMYFUNCTION("""COMPUTED_VALUE"""),"Boiro")</f>
        <v>Boiro</v>
      </c>
      <c r="F899" s="57">
        <f ca="1">IFERROR(__xludf.DUMMYFUNCTION("""COMPUTED_VALUE"""),45828)</f>
        <v>45828</v>
      </c>
      <c r="G899" s="57">
        <f ca="1">IFERROR(__xludf.DUMMYFUNCTION("""COMPUTED_VALUE"""),45747)</f>
        <v>45747</v>
      </c>
      <c r="H899" s="33" t="str">
        <f ca="1">IFERROR(__xludf.DUMMYFUNCTION("""COMPUTED_VALUE"""),"Boiro")</f>
        <v>Boiro</v>
      </c>
      <c r="I899" s="33" t="str">
        <f ca="1">IFERROR(__xludf.DUMMYFUNCTION("""COMPUTED_VALUE"""),"BOI-952")</f>
        <v>BOI-952</v>
      </c>
      <c r="J899" s="33" t="str">
        <f ca="1">IFERROR(__xludf.DUMMYFUNCTION("""COMPUTED_VALUE"""),"ANDRES SUAREZ PEREZ")</f>
        <v>ANDRES SUAREZ PEREZ</v>
      </c>
      <c r="K899" s="33">
        <f ca="1">IFERROR(__xludf.DUMMYFUNCTION("""COMPUTED_VALUE"""),2)</f>
        <v>2</v>
      </c>
      <c r="L899" s="203">
        <f ca="1">IFERROR(__xludf.DUMMYFUNCTION("""COMPUTED_VALUE"""),1818.18)</f>
        <v>1818.18</v>
      </c>
      <c r="M899" s="33" t="str">
        <f ca="1">IFERROR(__xludf.DUMMYFUNCTION("""COMPUTED_VALUE"""),"03 ORL")</f>
        <v>03 ORL</v>
      </c>
      <c r="N899" s="33" t="str">
        <f ca="1">IFERROR(__xludf.DUMMYFUNCTION("""COMPUTED_VALUE"""),"06 ORL")</f>
        <v>06 ORL</v>
      </c>
      <c r="O899" s="33" t="str">
        <f ca="1">IFERROR(__xludf.DUMMYFUNCTION("""COMPUTED_VALUE"""),"Dr, Gabriel Martínez Capoccini")</f>
        <v>Dr, Gabriel Martínez Capoccini</v>
      </c>
      <c r="P899" s="33" t="str">
        <f ca="1">IFERROR(__xludf.DUMMYFUNCTION("""COMPUTED_VALUE"""),"Roberto Pereira (Galicia)")</f>
        <v>Roberto Pereira (Galicia)</v>
      </c>
    </row>
    <row r="900" spans="2:16">
      <c r="B900" s="33">
        <f ca="1">IFERROR(__xludf.DUMMYFUNCTION("""COMPUTED_VALUE"""),2025)</f>
        <v>2025</v>
      </c>
      <c r="C900" s="33">
        <f ca="1">IFERROR(__xludf.DUMMYFUNCTION("""COMPUTED_VALUE"""),6)</f>
        <v>6</v>
      </c>
      <c r="D900" s="33" t="str">
        <f ca="1">IFERROR(__xludf.DUMMYFUNCTION("""COMPUTED_VALUE"""),"NO")</f>
        <v>NO</v>
      </c>
      <c r="E900" s="33" t="str">
        <f ca="1">IFERROR(__xludf.DUMMYFUNCTION("""COMPUTED_VALUE"""),"Zaragoza- León XIII")</f>
        <v>Zaragoza- León XIII</v>
      </c>
      <c r="F900" s="57">
        <f ca="1">IFERROR(__xludf.DUMMYFUNCTION("""COMPUTED_VALUE"""),45828)</f>
        <v>45828</v>
      </c>
      <c r="G900" s="57">
        <f ca="1">IFERROR(__xludf.DUMMYFUNCTION("""COMPUTED_VALUE"""),45783)</f>
        <v>45783</v>
      </c>
      <c r="H900" s="33" t="str">
        <f ca="1">IFERROR(__xludf.DUMMYFUNCTION("""COMPUTED_VALUE"""),"Zaragoza")</f>
        <v>Zaragoza</v>
      </c>
      <c r="I900" s="33" t="str">
        <f ca="1">IFERROR(__xludf.DUMMYFUNCTION("""COMPUTED_VALUE"""),"ZRG-629")</f>
        <v>ZRG-629</v>
      </c>
      <c r="J900" s="33" t="str">
        <f ca="1">IFERROR(__xludf.DUMMYFUNCTION("""COMPUTED_VALUE"""),"CARMEN MARIN PEREZ")</f>
        <v>CARMEN MARIN PEREZ</v>
      </c>
      <c r="K900" s="33">
        <f ca="1">IFERROR(__xludf.DUMMYFUNCTION("""COMPUTED_VALUE"""),2)</f>
        <v>2</v>
      </c>
      <c r="L900" s="203">
        <f ca="1">IFERROR(__xludf.DUMMYFUNCTION("""COMPUTED_VALUE"""),3818.18)</f>
        <v>3818.18</v>
      </c>
      <c r="M900" s="33" t="str">
        <f ca="1">IFERROR(__xludf.DUMMYFUNCTION("""COMPUTED_VALUE"""),"03 ORL")</f>
        <v>03 ORL</v>
      </c>
      <c r="N900" s="33" t="str">
        <f ca="1">IFERROR(__xludf.DUMMYFUNCTION("""COMPUTED_VALUE"""),"06 ORL")</f>
        <v>06 ORL</v>
      </c>
      <c r="O900" s="33" t="str">
        <f ca="1">IFERROR(__xludf.DUMMYFUNCTION("""COMPUTED_VALUE"""),"Dr, Jaime Leache Pueyo")</f>
        <v>Dr, Jaime Leache Pueyo</v>
      </c>
      <c r="P900" s="33" t="str">
        <f ca="1">IFERROR(__xludf.DUMMYFUNCTION("""COMPUTED_VALUE"""),"Lisandro Russian (Madrid, Cáceres, Toledo, Talavera Y Logroño)")</f>
        <v>Lisandro Russian (Madrid, Cáceres, Toledo, Talavera Y Logroño)</v>
      </c>
    </row>
    <row r="901" spans="2:16">
      <c r="B901" s="33">
        <f ca="1">IFERROR(__xludf.DUMMYFUNCTION("""COMPUTED_VALUE"""),2025)</f>
        <v>2025</v>
      </c>
      <c r="C901" s="33">
        <f ca="1">IFERROR(__xludf.DUMMYFUNCTION("""COMPUTED_VALUE"""),6)</f>
        <v>6</v>
      </c>
      <c r="D901" s="33" t="str">
        <f ca="1">IFERROR(__xludf.DUMMYFUNCTION("""COMPUTED_VALUE"""),"NO")</f>
        <v>NO</v>
      </c>
      <c r="E901" s="33" t="str">
        <f ca="1">IFERROR(__xludf.DUMMYFUNCTION("""COMPUTED_VALUE"""),"Zaragoza- León XIII")</f>
        <v>Zaragoza- León XIII</v>
      </c>
      <c r="F901" s="57">
        <f ca="1">IFERROR(__xludf.DUMMYFUNCTION("""COMPUTED_VALUE"""),45828)</f>
        <v>45828</v>
      </c>
      <c r="G901" s="57">
        <f ca="1">IFERROR(__xludf.DUMMYFUNCTION("""COMPUTED_VALUE"""),45796)</f>
        <v>45796</v>
      </c>
      <c r="H901" s="33" t="str">
        <f ca="1">IFERROR(__xludf.DUMMYFUNCTION("""COMPUTED_VALUE"""),"Zaragoza")</f>
        <v>Zaragoza</v>
      </c>
      <c r="I901" s="33" t="str">
        <f ca="1">IFERROR(__xludf.DUMMYFUNCTION("""COMPUTED_VALUE"""),"ZRG-639")</f>
        <v>ZRG-639</v>
      </c>
      <c r="J901" s="33" t="str">
        <f ca="1">IFERROR(__xludf.DUMMYFUNCTION("""COMPUTED_VALUE"""),"FLORENTINO SALO CUCALON")</f>
        <v>FLORENTINO SALO CUCALON</v>
      </c>
      <c r="K901" s="33">
        <f ca="1">IFERROR(__xludf.DUMMYFUNCTION("""COMPUTED_VALUE"""),2)</f>
        <v>2</v>
      </c>
      <c r="L901" s="203">
        <f ca="1">IFERROR(__xludf.DUMMYFUNCTION("""COMPUTED_VALUE"""),2713.5)</f>
        <v>2713.5</v>
      </c>
      <c r="M901" s="33" t="str">
        <f ca="1">IFERROR(__xludf.DUMMYFUNCTION("""COMPUTED_VALUE"""),"03 ORL")</f>
        <v>03 ORL</v>
      </c>
      <c r="N901" s="33" t="str">
        <f ca="1">IFERROR(__xludf.DUMMYFUNCTION("""COMPUTED_VALUE"""),"06 ORL")</f>
        <v>06 ORL</v>
      </c>
      <c r="O901" s="33" t="str">
        <f ca="1">IFERROR(__xludf.DUMMYFUNCTION("""COMPUTED_VALUE"""),"Dr, Jaime Leache Pueyo")</f>
        <v>Dr, Jaime Leache Pueyo</v>
      </c>
      <c r="P901" s="33" t="str">
        <f ca="1">IFERROR(__xludf.DUMMYFUNCTION("""COMPUTED_VALUE"""),"Lisandro Russian (Madrid, Cáceres, Toledo, Talavera Y Logroño)")</f>
        <v>Lisandro Russian (Madrid, Cáceres, Toledo, Talavera Y Logroño)</v>
      </c>
    </row>
    <row r="902" spans="2:16">
      <c r="B902" s="33">
        <f ca="1">IFERROR(__xludf.DUMMYFUNCTION("""COMPUTED_VALUE"""),2025)</f>
        <v>2025</v>
      </c>
      <c r="C902" s="33">
        <f ca="1">IFERROR(__xludf.DUMMYFUNCTION("""COMPUTED_VALUE"""),6)</f>
        <v>6</v>
      </c>
      <c r="D902" s="33" t="str">
        <f ca="1">IFERROR(__xludf.DUMMYFUNCTION("""COMPUTED_VALUE"""),"SI")</f>
        <v>SI</v>
      </c>
      <c r="E902" s="33" t="str">
        <f ca="1">IFERROR(__xludf.DUMMYFUNCTION("""COMPUTED_VALUE"""),"Terrassa")</f>
        <v>Terrassa</v>
      </c>
      <c r="F902" s="57">
        <f ca="1">IFERROR(__xludf.DUMMYFUNCTION("""COMPUTED_VALUE"""),45831)</f>
        <v>45831</v>
      </c>
      <c r="G902" s="57">
        <f ca="1">IFERROR(__xludf.DUMMYFUNCTION("""COMPUTED_VALUE"""),45432)</f>
        <v>45432</v>
      </c>
      <c r="H902" s="33" t="str">
        <f ca="1">IFERROR(__xludf.DUMMYFUNCTION("""COMPUTED_VALUE"""),"Terrassa")</f>
        <v>Terrassa</v>
      </c>
      <c r="I902" s="33" t="str">
        <f ca="1">IFERROR(__xludf.DUMMYFUNCTION("""COMPUTED_VALUE"""),"TRR-273")</f>
        <v>TRR-273</v>
      </c>
      <c r="J902" s="33" t="str">
        <f ca="1">IFERROR(__xludf.DUMMYFUNCTION("""COMPUTED_VALUE"""),"JOAN ESTEBAN BONCOMPTE SAZ")</f>
        <v>JOAN ESTEBAN BONCOMPTE SAZ</v>
      </c>
      <c r="K902" s="33">
        <f ca="1">IFERROR(__xludf.DUMMYFUNCTION("""COMPUTED_VALUE"""),2)</f>
        <v>2</v>
      </c>
      <c r="L902" s="203">
        <f ca="1">IFERROR(__xludf.DUMMYFUNCTION("""COMPUTED_VALUE"""),1877.27)</f>
        <v>1877.27</v>
      </c>
      <c r="M902" s="33" t="str">
        <f ca="1">IFERROR(__xludf.DUMMYFUNCTION("""COMPUTED_VALUE"""),"03 ORL")</f>
        <v>03 ORL</v>
      </c>
      <c r="N902" s="33" t="str">
        <f ca="1">IFERROR(__xludf.DUMMYFUNCTION("""COMPUTED_VALUE"""),"06 ORL")</f>
        <v>06 ORL</v>
      </c>
      <c r="O902" s="33" t="str">
        <f ca="1">IFERROR(__xludf.DUMMYFUNCTION("""COMPUTED_VALUE"""),"Dr, Joaquim Broto Sumalla")</f>
        <v>Dr, Joaquim Broto Sumalla</v>
      </c>
      <c r="P902" s="33" t="str">
        <f ca="1">IFERROR(__xludf.DUMMYFUNCTION("""COMPUTED_VALUE"""),"Mercè Cabrera (Cataluña Y Baleares)")</f>
        <v>Mercè Cabrera (Cataluña Y Baleares)</v>
      </c>
    </row>
    <row r="903" spans="2:16">
      <c r="B903" s="33">
        <f ca="1">IFERROR(__xludf.DUMMYFUNCTION("""COMPUTED_VALUE"""),2025)</f>
        <v>2025</v>
      </c>
      <c r="C903" s="33">
        <f ca="1">IFERROR(__xludf.DUMMYFUNCTION("""COMPUTED_VALUE"""),6)</f>
        <v>6</v>
      </c>
      <c r="D903" s="33" t="str">
        <f ca="1">IFERROR(__xludf.DUMMYFUNCTION("""COMPUTED_VALUE"""),"NO")</f>
        <v>NO</v>
      </c>
      <c r="E903" s="33" t="str">
        <f ca="1">IFERROR(__xludf.DUMMYFUNCTION("""COMPUTED_VALUE"""),"Sevilla- Ciencias")</f>
        <v>Sevilla- Ciencias</v>
      </c>
      <c r="F903" s="57">
        <f ca="1">IFERROR(__xludf.DUMMYFUNCTION("""COMPUTED_VALUE"""),45833)</f>
        <v>45833</v>
      </c>
      <c r="G903" s="57">
        <f ca="1">IFERROR(__xludf.DUMMYFUNCTION("""COMPUTED_VALUE"""),45777)</f>
        <v>45777</v>
      </c>
      <c r="H903" s="33" t="str">
        <f ca="1">IFERROR(__xludf.DUMMYFUNCTION("""COMPUTED_VALUE"""),"Sevilla Este")</f>
        <v>Sevilla Este</v>
      </c>
      <c r="I903" s="33" t="str">
        <f ca="1">IFERROR(__xludf.DUMMYFUNCTION("""COMPUTED_VALUE"""),"SEVE-405")</f>
        <v>SEVE-405</v>
      </c>
      <c r="J903" s="33" t="str">
        <f ca="1">IFERROR(__xludf.DUMMYFUNCTION("""COMPUTED_VALUE"""),"ANGELES CORPA GUZMAN")</f>
        <v>ANGELES CORPA GUZMAN</v>
      </c>
      <c r="K903" s="33">
        <f ca="1">IFERROR(__xludf.DUMMYFUNCTION("""COMPUTED_VALUE"""),2)</f>
        <v>2</v>
      </c>
      <c r="L903" s="203">
        <f ca="1">IFERROR(__xludf.DUMMYFUNCTION("""COMPUTED_VALUE"""),2974.55)</f>
        <v>2974.55</v>
      </c>
      <c r="M903" s="33" t="str">
        <f ca="1">IFERROR(__xludf.DUMMYFUNCTION("""COMPUTED_VALUE"""),"03 ORL")</f>
        <v>03 ORL</v>
      </c>
      <c r="N903" s="33" t="str">
        <f ca="1">IFERROR(__xludf.DUMMYFUNCTION("""COMPUTED_VALUE"""),"06 ORL")</f>
        <v>06 ORL</v>
      </c>
      <c r="O903" s="33" t="str">
        <f ca="1">IFERROR(__xludf.DUMMYFUNCTION("""COMPUTED_VALUE"""),"Dra, Estefanía Berrocal Postigo")</f>
        <v>Dra, Estefanía Berrocal Postigo</v>
      </c>
      <c r="P903" s="33" t="str">
        <f ca="1">IFERROR(__xludf.DUMMYFUNCTION("""COMPUTED_VALUE"""),"Luis Alberto Rodríguez (Andalucía Y Badajoz)")</f>
        <v>Luis Alberto Rodríguez (Andalucía Y Badajoz)</v>
      </c>
    </row>
    <row r="904" spans="2:16">
      <c r="B904" s="33">
        <f ca="1">IFERROR(__xludf.DUMMYFUNCTION("""COMPUTED_VALUE"""),2025)</f>
        <v>2025</v>
      </c>
      <c r="C904" s="33">
        <f ca="1">IFERROR(__xludf.DUMMYFUNCTION("""COMPUTED_VALUE"""),6)</f>
        <v>6</v>
      </c>
      <c r="D904" s="33" t="str">
        <f ca="1">IFERROR(__xludf.DUMMYFUNCTION("""COMPUTED_VALUE"""),"NO")</f>
        <v>NO</v>
      </c>
      <c r="E904" s="33" t="str">
        <f ca="1">IFERROR(__xludf.DUMMYFUNCTION("""COMPUTED_VALUE"""),"Zaragoza- León XIII")</f>
        <v>Zaragoza- León XIII</v>
      </c>
      <c r="F904" s="57">
        <f ca="1">IFERROR(__xludf.DUMMYFUNCTION("""COMPUTED_VALUE"""),45833)</f>
        <v>45833</v>
      </c>
      <c r="G904" s="57">
        <f ca="1">IFERROR(__xludf.DUMMYFUNCTION("""COMPUTED_VALUE"""),45783)</f>
        <v>45783</v>
      </c>
      <c r="H904" s="33" t="str">
        <f ca="1">IFERROR(__xludf.DUMMYFUNCTION("""COMPUTED_VALUE"""),"Zaragoza")</f>
        <v>Zaragoza</v>
      </c>
      <c r="I904" s="33" t="str">
        <f ca="1">IFERROR(__xludf.DUMMYFUNCTION("""COMPUTED_VALUE"""),"ZRG-630")</f>
        <v>ZRG-630</v>
      </c>
      <c r="J904" s="33" t="str">
        <f ca="1">IFERROR(__xludf.DUMMYFUNCTION("""COMPUTED_VALUE"""),"ANTONIO RAMOS SANCHEZ")</f>
        <v>ANTONIO RAMOS SANCHEZ</v>
      </c>
      <c r="K904" s="33">
        <f ca="1">IFERROR(__xludf.DUMMYFUNCTION("""COMPUTED_VALUE"""),2)</f>
        <v>2</v>
      </c>
      <c r="L904" s="203">
        <f ca="1">IFERROR(__xludf.DUMMYFUNCTION("""COMPUTED_VALUE"""),3424.55)</f>
        <v>3424.55</v>
      </c>
      <c r="M904" s="33" t="str">
        <f ca="1">IFERROR(__xludf.DUMMYFUNCTION("""COMPUTED_VALUE"""),"03 ORL")</f>
        <v>03 ORL</v>
      </c>
      <c r="N904" s="33" t="str">
        <f ca="1">IFERROR(__xludf.DUMMYFUNCTION("""COMPUTED_VALUE"""),"06 ORL")</f>
        <v>06 ORL</v>
      </c>
      <c r="O904" s="33" t="str">
        <f ca="1">IFERROR(__xludf.DUMMYFUNCTION("""COMPUTED_VALUE"""),"Dr, José Manuel García Solans-Esteras")</f>
        <v>Dr, José Manuel García Solans-Esteras</v>
      </c>
      <c r="P904" s="33" t="str">
        <f ca="1">IFERROR(__xludf.DUMMYFUNCTION("""COMPUTED_VALUE"""),"Lisandro Russian (Madrid, Cáceres, Toledo, Talavera Y Logroño)")</f>
        <v>Lisandro Russian (Madrid, Cáceres, Toledo, Talavera Y Logroño)</v>
      </c>
    </row>
    <row r="905" spans="2:16">
      <c r="B905" s="33">
        <f ca="1">IFERROR(__xludf.DUMMYFUNCTION("""COMPUTED_VALUE"""),2025)</f>
        <v>2025</v>
      </c>
      <c r="C905" s="33">
        <f ca="1">IFERROR(__xludf.DUMMYFUNCTION("""COMPUTED_VALUE"""),6)</f>
        <v>6</v>
      </c>
      <c r="D905" s="33" t="str">
        <f ca="1">IFERROR(__xludf.DUMMYFUNCTION("""COMPUTED_VALUE"""),"NO")</f>
        <v>NO</v>
      </c>
      <c r="E905" s="33" t="str">
        <f ca="1">IFERROR(__xludf.DUMMYFUNCTION("""COMPUTED_VALUE"""),"Vigo")</f>
        <v>Vigo</v>
      </c>
      <c r="F905" s="57">
        <f ca="1">IFERROR(__xludf.DUMMYFUNCTION("""COMPUTED_VALUE"""),45834)</f>
        <v>45834</v>
      </c>
      <c r="G905" s="57">
        <f ca="1">IFERROR(__xludf.DUMMYFUNCTION("""COMPUTED_VALUE"""),45790)</f>
        <v>45790</v>
      </c>
      <c r="H905" s="33" t="str">
        <f ca="1">IFERROR(__xludf.DUMMYFUNCTION("""COMPUTED_VALUE"""),"Vigo")</f>
        <v>Vigo</v>
      </c>
      <c r="I905" s="33" t="str">
        <f ca="1">IFERROR(__xludf.DUMMYFUNCTION("""COMPUTED_VALUE"""),"VIG-575")</f>
        <v>VIG-575</v>
      </c>
      <c r="J905" s="33" t="str">
        <f ca="1">IFERROR(__xludf.DUMMYFUNCTION("""COMPUTED_VALUE"""),"MARIA EUGENIA FRANCISCO GUEDELLA")</f>
        <v>MARIA EUGENIA FRANCISCO GUEDELLA</v>
      </c>
      <c r="K905" s="33">
        <f ca="1">IFERROR(__xludf.DUMMYFUNCTION("""COMPUTED_VALUE"""),2)</f>
        <v>2</v>
      </c>
      <c r="L905" s="203">
        <f ca="1">IFERROR(__xludf.DUMMYFUNCTION("""COMPUTED_VALUE"""),3454.5)</f>
        <v>3454.5</v>
      </c>
      <c r="M905" s="33" t="str">
        <f ca="1">IFERROR(__xludf.DUMMYFUNCTION("""COMPUTED_VALUE"""),"03 ORL")</f>
        <v>03 ORL</v>
      </c>
      <c r="N905" s="33" t="str">
        <f ca="1">IFERROR(__xludf.DUMMYFUNCTION("""COMPUTED_VALUE"""),"06 ORL")</f>
        <v>06 ORL</v>
      </c>
      <c r="O905" s="33" t="str">
        <f ca="1">IFERROR(__xludf.DUMMYFUNCTION("""COMPUTED_VALUE"""),"Dra, Pilar Castro Ruiz")</f>
        <v>Dra, Pilar Castro Ruiz</v>
      </c>
      <c r="P905" s="33" t="str">
        <f ca="1">IFERROR(__xludf.DUMMYFUNCTION("""COMPUTED_VALUE"""),"Roberto Pereira (Galicia)")</f>
        <v>Roberto Pereira (Galicia)</v>
      </c>
    </row>
    <row r="906" spans="2:16">
      <c r="B906" s="33">
        <f ca="1">IFERROR(__xludf.DUMMYFUNCTION("""COMPUTED_VALUE"""),2025)</f>
        <v>2025</v>
      </c>
      <c r="C906" s="33">
        <f ca="1">IFERROR(__xludf.DUMMYFUNCTION("""COMPUTED_VALUE"""),6)</f>
        <v>6</v>
      </c>
      <c r="D906" s="33" t="str">
        <f ca="1">IFERROR(__xludf.DUMMYFUNCTION("""COMPUTED_VALUE"""),"NO")</f>
        <v>NO</v>
      </c>
      <c r="E906" s="33" t="str">
        <f ca="1">IFERROR(__xludf.DUMMYFUNCTION("""COMPUTED_VALUE"""),"Boiro")</f>
        <v>Boiro</v>
      </c>
      <c r="F906" s="57">
        <f ca="1">IFERROR(__xludf.DUMMYFUNCTION("""COMPUTED_VALUE"""),45834)</f>
        <v>45834</v>
      </c>
      <c r="G906" s="57">
        <f ca="1">IFERROR(__xludf.DUMMYFUNCTION("""COMPUTED_VALUE"""),45803)</f>
        <v>45803</v>
      </c>
      <c r="H906" s="33" t="str">
        <f ca="1">IFERROR(__xludf.DUMMYFUNCTION("""COMPUTED_VALUE"""),"Boiro")</f>
        <v>Boiro</v>
      </c>
      <c r="I906" s="33" t="str">
        <f ca="1">IFERROR(__xludf.DUMMYFUNCTION("""COMPUTED_VALUE"""),"BOI-964")</f>
        <v>BOI-964</v>
      </c>
      <c r="J906" s="33" t="str">
        <f ca="1">IFERROR(__xludf.DUMMYFUNCTION("""COMPUTED_VALUE"""),"MARIA DEL CARMEN SIEIRA QUINTANS")</f>
        <v>MARIA DEL CARMEN SIEIRA QUINTANS</v>
      </c>
      <c r="K906" s="33">
        <f ca="1">IFERROR(__xludf.DUMMYFUNCTION("""COMPUTED_VALUE"""),1)</f>
        <v>1</v>
      </c>
      <c r="L906" s="203">
        <f ca="1">IFERROR(__xludf.DUMMYFUNCTION("""COMPUTED_VALUE"""),1627.27)</f>
        <v>1627.27</v>
      </c>
      <c r="M906" s="33" t="str">
        <f ca="1">IFERROR(__xludf.DUMMYFUNCTION("""COMPUTED_VALUE"""),"03 ORL")</f>
        <v>03 ORL</v>
      </c>
      <c r="N906" s="33" t="str">
        <f ca="1">IFERROR(__xludf.DUMMYFUNCTION("""COMPUTED_VALUE"""),"06 ORL")</f>
        <v>06 ORL</v>
      </c>
      <c r="O906" s="33" t="str">
        <f ca="1">IFERROR(__xludf.DUMMYFUNCTION("""COMPUTED_VALUE"""),"Dra, Isabel Vaamonde Sanchez Andrade")</f>
        <v>Dra, Isabel Vaamonde Sanchez Andrade</v>
      </c>
      <c r="P906" s="33" t="str">
        <f ca="1">IFERROR(__xludf.DUMMYFUNCTION("""COMPUTED_VALUE"""),"Roberto Pereira (Galicia)")</f>
        <v>Roberto Pereira (Galicia)</v>
      </c>
    </row>
    <row r="907" spans="2:16">
      <c r="B907" s="33">
        <f ca="1">IFERROR(__xludf.DUMMYFUNCTION("""COMPUTED_VALUE"""),2025)</f>
        <v>2025</v>
      </c>
      <c r="C907" s="33">
        <f ca="1">IFERROR(__xludf.DUMMYFUNCTION("""COMPUTED_VALUE"""),6)</f>
        <v>6</v>
      </c>
      <c r="D907" s="33" t="str">
        <f ca="1">IFERROR(__xludf.DUMMYFUNCTION("""COMPUTED_VALUE"""),"NO")</f>
        <v>NO</v>
      </c>
      <c r="E907" s="33" t="str">
        <f ca="1">IFERROR(__xludf.DUMMYFUNCTION("""COMPUTED_VALUE"""),"Valladolid")</f>
        <v>Valladolid</v>
      </c>
      <c r="F907" s="57">
        <f ca="1">IFERROR(__xludf.DUMMYFUNCTION("""COMPUTED_VALUE"""),45835)</f>
        <v>45835</v>
      </c>
      <c r="G907" s="57">
        <f ca="1">IFERROR(__xludf.DUMMYFUNCTION("""COMPUTED_VALUE"""),45777)</f>
        <v>45777</v>
      </c>
      <c r="H907" s="33" t="str">
        <f ca="1">IFERROR(__xludf.DUMMYFUNCTION("""COMPUTED_VALUE"""),"Valladolid")</f>
        <v>Valladolid</v>
      </c>
      <c r="I907" s="33" t="str">
        <f ca="1">IFERROR(__xludf.DUMMYFUNCTION("""COMPUTED_VALUE"""),"VLL-390")</f>
        <v>VLL-390</v>
      </c>
      <c r="J907" s="33" t="str">
        <f ca="1">IFERROR(__xludf.DUMMYFUNCTION("""COMPUTED_VALUE"""),"MARIA TERESA RODRIGUEZ MARTINEZ")</f>
        <v>MARIA TERESA RODRIGUEZ MARTINEZ</v>
      </c>
      <c r="K907" s="33">
        <f ca="1">IFERROR(__xludf.DUMMYFUNCTION("""COMPUTED_VALUE"""),2)</f>
        <v>2</v>
      </c>
      <c r="L907" s="203">
        <f ca="1">IFERROR(__xludf.DUMMYFUNCTION("""COMPUTED_VALUE"""),3977.27)</f>
        <v>3977.27</v>
      </c>
      <c r="M907" s="33" t="str">
        <f ca="1">IFERROR(__xludf.DUMMYFUNCTION("""COMPUTED_VALUE"""),"03 ORL")</f>
        <v>03 ORL</v>
      </c>
      <c r="N907" s="33" t="str">
        <f ca="1">IFERROR(__xludf.DUMMYFUNCTION("""COMPUTED_VALUE"""),"06 ORL")</f>
        <v>06 ORL</v>
      </c>
      <c r="O907" s="33" t="str">
        <f ca="1">IFERROR(__xludf.DUMMYFUNCTION("""COMPUTED_VALUE"""),"Dra, Antonia Carranza Calleja")</f>
        <v>Dra, Antonia Carranza Calleja</v>
      </c>
      <c r="P907" s="33" t="str">
        <f ca="1">IFERROR(__xludf.DUMMYFUNCTION("""COMPUTED_VALUE"""),"Patricia Solache (Castilla Y León)")</f>
        <v>Patricia Solache (Castilla Y León)</v>
      </c>
    </row>
    <row r="908" spans="2:16">
      <c r="B908" s="33">
        <f ca="1">IFERROR(__xludf.DUMMYFUNCTION("""COMPUTED_VALUE"""),2025)</f>
        <v>2025</v>
      </c>
      <c r="C908" s="33">
        <f ca="1">IFERROR(__xludf.DUMMYFUNCTION("""COMPUTED_VALUE"""),6)</f>
        <v>6</v>
      </c>
      <c r="D908" s="33" t="str">
        <f ca="1">IFERROR(__xludf.DUMMYFUNCTION("""COMPUTED_VALUE"""),"NO")</f>
        <v>NO</v>
      </c>
      <c r="E908" s="33" t="str">
        <f ca="1">IFERROR(__xludf.DUMMYFUNCTION("""COMPUTED_VALUE"""),"Cáceres")</f>
        <v>Cáceres</v>
      </c>
      <c r="F908" s="57">
        <f ca="1">IFERROR(__xludf.DUMMYFUNCTION("""COMPUTED_VALUE"""),45835)</f>
        <v>45835</v>
      </c>
      <c r="G908" s="57">
        <f ca="1">IFERROR(__xludf.DUMMYFUNCTION("""COMPUTED_VALUE"""),45812)</f>
        <v>45812</v>
      </c>
      <c r="H908" s="33" t="str">
        <f ca="1">IFERROR(__xludf.DUMMYFUNCTION("""COMPUTED_VALUE"""),"Cáceres")</f>
        <v>Cáceres</v>
      </c>
      <c r="I908" s="33" t="str">
        <f ca="1">IFERROR(__xludf.DUMMYFUNCTION("""COMPUTED_VALUE"""),"CAC-313")</f>
        <v>CAC-313</v>
      </c>
      <c r="J908" s="33" t="str">
        <f ca="1">IFERROR(__xludf.DUMMYFUNCTION("""COMPUTED_VALUE"""),"MARIA MONTAÑA REMEDIOS ALBURQUERQUE")</f>
        <v>MARIA MONTAÑA REMEDIOS ALBURQUERQUE</v>
      </c>
      <c r="K908" s="33">
        <f ca="1">IFERROR(__xludf.DUMMYFUNCTION("""COMPUTED_VALUE"""),1)</f>
        <v>1</v>
      </c>
      <c r="L908" s="203">
        <f ca="1">IFERROR(__xludf.DUMMYFUNCTION("""COMPUTED_VALUE"""),1985.45)</f>
        <v>1985.45</v>
      </c>
      <c r="M908" s="33" t="str">
        <f ca="1">IFERROR(__xludf.DUMMYFUNCTION("""COMPUTED_VALUE"""),"03 ORL")</f>
        <v>03 ORL</v>
      </c>
      <c r="N908" s="33" t="str">
        <f ca="1">IFERROR(__xludf.DUMMYFUNCTION("""COMPUTED_VALUE"""),"06 ORL")</f>
        <v>06 ORL</v>
      </c>
      <c r="O908" s="33" t="str">
        <f ca="1">IFERROR(__xludf.DUMMYFUNCTION("""COMPUTED_VALUE"""),"Dr, Manuel Cañete Domínguez")</f>
        <v>Dr, Manuel Cañete Domínguez</v>
      </c>
      <c r="P908" s="33" t="str">
        <f ca="1">IFERROR(__xludf.DUMMYFUNCTION("""COMPUTED_VALUE"""),"Lisandro Russian (Madrid, Cáceres, Toledo, Talavera Y Logroño)")</f>
        <v>Lisandro Russian (Madrid, Cáceres, Toledo, Talavera Y Logroño)</v>
      </c>
    </row>
    <row r="909" spans="2:16">
      <c r="B909" s="33">
        <f ca="1">IFERROR(__xludf.DUMMYFUNCTION("""COMPUTED_VALUE"""),2025)</f>
        <v>2025</v>
      </c>
      <c r="C909" s="33">
        <f ca="1">IFERROR(__xludf.DUMMYFUNCTION("""COMPUTED_VALUE"""),6)</f>
        <v>6</v>
      </c>
      <c r="D909" s="33" t="str">
        <f ca="1">IFERROR(__xludf.DUMMYFUNCTION("""COMPUTED_VALUE"""),"NO")</f>
        <v>NO</v>
      </c>
      <c r="E909" s="33" t="str">
        <f ca="1">IFERROR(__xludf.DUMMYFUNCTION("""COMPUTED_VALUE"""),"Badajoz")</f>
        <v>Badajoz</v>
      </c>
      <c r="F909" s="57">
        <f ca="1">IFERROR(__xludf.DUMMYFUNCTION("""COMPUTED_VALUE"""),45838)</f>
        <v>45838</v>
      </c>
      <c r="G909" s="57">
        <f ca="1">IFERROR(__xludf.DUMMYFUNCTION("""COMPUTED_VALUE"""),45768)</f>
        <v>45768</v>
      </c>
      <c r="H909" s="33" t="str">
        <f ca="1">IFERROR(__xludf.DUMMYFUNCTION("""COMPUTED_VALUE"""),"Badajoz")</f>
        <v>Badajoz</v>
      </c>
      <c r="I909" s="33" t="str">
        <f ca="1">IFERROR(__xludf.DUMMYFUNCTION("""COMPUTED_VALUE"""),"BJZE-2483")</f>
        <v>BJZE-2483</v>
      </c>
      <c r="J909" s="33" t="str">
        <f ca="1">IFERROR(__xludf.DUMMYFUNCTION("""COMPUTED_VALUE"""),"PALMIRA PRIETO PRIETO")</f>
        <v>PALMIRA PRIETO PRIETO</v>
      </c>
      <c r="K909" s="33">
        <f ca="1">IFERROR(__xludf.DUMMYFUNCTION("""COMPUTED_VALUE"""),2)</f>
        <v>2</v>
      </c>
      <c r="L909" s="203">
        <f ca="1">IFERROR(__xludf.DUMMYFUNCTION("""COMPUTED_VALUE"""),4000)</f>
        <v>4000</v>
      </c>
      <c r="M909" s="33" t="str">
        <f ca="1">IFERROR(__xludf.DUMMYFUNCTION("""COMPUTED_VALUE"""),"03 ORL")</f>
        <v>03 ORL</v>
      </c>
      <c r="N909" s="33" t="str">
        <f ca="1">IFERROR(__xludf.DUMMYFUNCTION("""COMPUTED_VALUE"""),"06 ORL")</f>
        <v>06 ORL</v>
      </c>
      <c r="O909" s="33" t="str">
        <f ca="1">IFERROR(__xludf.DUMMYFUNCTION("""COMPUTED_VALUE"""),"Dr, Isidoro Rubio Correa")</f>
        <v>Dr, Isidoro Rubio Correa</v>
      </c>
      <c r="P909" s="33" t="str">
        <f ca="1">IFERROR(__xludf.DUMMYFUNCTION("""COMPUTED_VALUE"""),"Luis Alberto Rodríguez (Andalucía Y Badajoz)")</f>
        <v>Luis Alberto Rodríguez (Andalucía Y Badajoz)</v>
      </c>
    </row>
    <row r="910" spans="2:16">
      <c r="B910" s="33">
        <f ca="1">IFERROR(__xludf.DUMMYFUNCTION("""COMPUTED_VALUE"""),2025)</f>
        <v>2025</v>
      </c>
      <c r="C910" s="33">
        <f ca="1">IFERROR(__xludf.DUMMYFUNCTION("""COMPUTED_VALUE"""),7)</f>
        <v>7</v>
      </c>
      <c r="D910" s="33" t="str">
        <f ca="1">IFERROR(__xludf.DUMMYFUNCTION("""COMPUTED_VALUE"""),"NO")</f>
        <v>NO</v>
      </c>
      <c r="E910" s="33" t="str">
        <f ca="1">IFERROR(__xludf.DUMMYFUNCTION("""COMPUTED_VALUE"""),"Valencia- Parra")</f>
        <v>Valencia- Parra</v>
      </c>
      <c r="F910" s="57">
        <f ca="1">IFERROR(__xludf.DUMMYFUNCTION("""COMPUTED_VALUE"""),45839)</f>
        <v>45839</v>
      </c>
      <c r="G910" s="57">
        <f ca="1">IFERROR(__xludf.DUMMYFUNCTION("""COMPUTED_VALUE"""),45797)</f>
        <v>45797</v>
      </c>
      <c r="H910" s="33" t="str">
        <f ca="1">IFERROR(__xludf.DUMMYFUNCTION("""COMPUTED_VALUE"""),"Valencia- Parra")</f>
        <v>Valencia- Parra</v>
      </c>
      <c r="I910" s="33" t="str">
        <f ca="1">IFERROR(__xludf.DUMMYFUNCTION("""COMPUTED_VALUE"""),"C20255291151016")</f>
        <v>C20255291151016</v>
      </c>
      <c r="J910" s="33" t="str">
        <f ca="1">IFERROR(__xludf.DUMMYFUNCTION("""COMPUTED_VALUE"""),"ELEASAR OSES NIÑO")</f>
        <v>ELEASAR OSES NIÑO</v>
      </c>
      <c r="K910" s="33">
        <f ca="1">IFERROR(__xludf.DUMMYFUNCTION("""COMPUTED_VALUE"""),1)</f>
        <v>1</v>
      </c>
      <c r="L910" s="203">
        <f ca="1">IFERROR(__xludf.DUMMYFUNCTION("""COMPUTED_VALUE"""),2400)</f>
        <v>2400</v>
      </c>
      <c r="M910" s="33" t="str">
        <f ca="1">IFERROR(__xludf.DUMMYFUNCTION("""COMPUTED_VALUE"""),"03 ORL")</f>
        <v>03 ORL</v>
      </c>
      <c r="N910" s="33" t="str">
        <f ca="1">IFERROR(__xludf.DUMMYFUNCTION("""COMPUTED_VALUE"""),"06 ORL")</f>
        <v>06 ORL</v>
      </c>
      <c r="O910" s="33" t="str">
        <f ca="1">IFERROR(__xludf.DUMMYFUNCTION("""COMPUTED_VALUE"""),"Dr, Raimon García Chillerón")</f>
        <v>Dr, Raimon García Chillerón</v>
      </c>
      <c r="P910" s="33" t="str">
        <f ca="1">IFERROR(__xludf.DUMMYFUNCTION("""COMPUTED_VALUE"""),"Ramon Ferrando(Valencia)")</f>
        <v>Ramon Ferrando(Valencia)</v>
      </c>
    </row>
    <row r="911" spans="2:16">
      <c r="B911" s="33">
        <f ca="1">IFERROR(__xludf.DUMMYFUNCTION("""COMPUTED_VALUE"""),2025)</f>
        <v>2025</v>
      </c>
      <c r="C911" s="33">
        <f ca="1">IFERROR(__xludf.DUMMYFUNCTION("""COMPUTED_VALUE"""),7)</f>
        <v>7</v>
      </c>
      <c r="D911" s="33" t="str">
        <f ca="1">IFERROR(__xludf.DUMMYFUNCTION("""COMPUTED_VALUE"""),"NO")</f>
        <v>NO</v>
      </c>
      <c r="E911" s="33" t="str">
        <f ca="1">IFERROR(__xludf.DUMMYFUNCTION("""COMPUTED_VALUE"""),"San Javier")</f>
        <v>San Javier</v>
      </c>
      <c r="F911" s="57">
        <f ca="1">IFERROR(__xludf.DUMMYFUNCTION("""COMPUTED_VALUE"""),45852)</f>
        <v>45852</v>
      </c>
      <c r="G911" s="57">
        <f ca="1">IFERROR(__xludf.DUMMYFUNCTION("""COMPUTED_VALUE"""),45821)</f>
        <v>45821</v>
      </c>
      <c r="H911" s="33" t="str">
        <f ca="1">IFERROR(__xludf.DUMMYFUNCTION("""COMPUTED_VALUE"""),"San Javier")</f>
        <v>San Javier</v>
      </c>
      <c r="I911" s="33" t="str">
        <f ca="1">IFERROR(__xludf.DUMMYFUNCTION("""COMPUTED_VALUE"""),"C202561911450348")</f>
        <v>C202561911450348</v>
      </c>
      <c r="J911" s="33" t="str">
        <f ca="1">IFERROR(__xludf.DUMMYFUNCTION("""COMPUTED_VALUE"""),"ALEXANDRA STOTTOR")</f>
        <v>ALEXANDRA STOTTOR</v>
      </c>
      <c r="K911" s="33">
        <f ca="1">IFERROR(__xludf.DUMMYFUNCTION("""COMPUTED_VALUE"""),2)</f>
        <v>2</v>
      </c>
      <c r="L911" s="203">
        <f ca="1">IFERROR(__xludf.DUMMYFUNCTION("""COMPUTED_VALUE"""),4120)</f>
        <v>4120</v>
      </c>
      <c r="M911" s="33" t="str">
        <f ca="1">IFERROR(__xludf.DUMMYFUNCTION("""COMPUTED_VALUE"""),"01 MARKETING ON LINE")</f>
        <v>01 MARKETING ON LINE</v>
      </c>
      <c r="N911" s="33" t="str">
        <f ca="1">IFERROR(__xludf.DUMMYFUNCTION("""COMPUTED_VALUE"""),"04 AUDIFONO,ES")</f>
        <v>04 AUDIFONO,ES</v>
      </c>
      <c r="O911" s="33" t="str">
        <f ca="1">IFERROR(__xludf.DUMMYFUNCTION("""COMPUTED_VALUE"""),"Dr, Carlos Velásquez Fermín")</f>
        <v>Dr, Carlos Velásquez Fermín</v>
      </c>
      <c r="P911" s="33" t="str">
        <f ca="1">IFERROR(__xludf.DUMMYFUNCTION("""COMPUTED_VALUE"""),"Iván Sánchez (Levante Y Albacete)")</f>
        <v>Iván Sánchez (Levante Y Albacete)</v>
      </c>
    </row>
    <row r="912" spans="2:16">
      <c r="B912" s="33">
        <f ca="1">IFERROR(__xludf.DUMMYFUNCTION("""COMPUTED_VALUE"""),2025)</f>
        <v>2025</v>
      </c>
      <c r="C912" s="33">
        <f ca="1">IFERROR(__xludf.DUMMYFUNCTION("""COMPUTED_VALUE"""),7)</f>
        <v>7</v>
      </c>
      <c r="D912" s="33" t="str">
        <f ca="1">IFERROR(__xludf.DUMMYFUNCTION("""COMPUTED_VALUE"""),"NO")</f>
        <v>NO</v>
      </c>
      <c r="E912" s="33" t="str">
        <f ca="1">IFERROR(__xludf.DUMMYFUNCTION("""COMPUTED_VALUE"""),"Madrid- Monforte de Lemos")</f>
        <v>Madrid- Monforte de Lemos</v>
      </c>
      <c r="F912" s="57">
        <f ca="1">IFERROR(__xludf.DUMMYFUNCTION("""COMPUTED_VALUE"""),45860)</f>
        <v>45860</v>
      </c>
      <c r="G912" s="57">
        <f ca="1">IFERROR(__xludf.DUMMYFUNCTION("""COMPUTED_VALUE"""),45797)</f>
        <v>45797</v>
      </c>
      <c r="H912" s="33" t="str">
        <f ca="1">IFERROR(__xludf.DUMMYFUNCTION("""COMPUTED_VALUE"""),"La Vaguada")</f>
        <v>La Vaguada</v>
      </c>
      <c r="I912" s="33" t="str">
        <f ca="1">IFERROR(__xludf.DUMMYFUNCTION("""COMPUTED_VALUE"""),"C20256915520135")</f>
        <v>C20256915520135</v>
      </c>
      <c r="J912" s="33" t="str">
        <f ca="1">IFERROR(__xludf.DUMMYFUNCTION("""COMPUTED_VALUE"""),"ALVARO MARTIN ANDRES")</f>
        <v>ALVARO MARTIN ANDRES</v>
      </c>
      <c r="K912" s="33">
        <f ca="1">IFERROR(__xludf.DUMMYFUNCTION("""COMPUTED_VALUE"""),1)</f>
        <v>1</v>
      </c>
      <c r="L912" s="203">
        <f ca="1">IFERROR(__xludf.DUMMYFUNCTION("""COMPUTED_VALUE"""),2292.73)</f>
        <v>2292.73</v>
      </c>
      <c r="M912" s="33" t="str">
        <f ca="1">IFERROR(__xludf.DUMMYFUNCTION("""COMPUTED_VALUE"""),"03 ORL")</f>
        <v>03 ORL</v>
      </c>
      <c r="N912" s="33" t="str">
        <f ca="1">IFERROR(__xludf.DUMMYFUNCTION("""COMPUTED_VALUE"""),"06 ORL")</f>
        <v>06 ORL</v>
      </c>
      <c r="O912" s="33" t="str">
        <f ca="1">IFERROR(__xludf.DUMMYFUNCTION("""COMPUTED_VALUE"""),"Dra, Mar Lasso de la Vega Zamora")</f>
        <v>Dra, Mar Lasso de la Vega Zamora</v>
      </c>
      <c r="P912" s="33" t="str">
        <f ca="1">IFERROR(__xludf.DUMMYFUNCTION("""COMPUTED_VALUE"""),"Maika Blázquez (Madrid)")</f>
        <v>Maika Blázquez (Madrid)</v>
      </c>
    </row>
    <row r="913" spans="2:16">
      <c r="B913" s="33">
        <f ca="1">IFERROR(__xludf.DUMMYFUNCTION("""COMPUTED_VALUE"""),2025)</f>
        <v>2025</v>
      </c>
      <c r="C913" s="33">
        <f ca="1">IFERROR(__xludf.DUMMYFUNCTION("""COMPUTED_VALUE"""),7)</f>
        <v>7</v>
      </c>
      <c r="D913" s="33" t="str">
        <f ca="1">IFERROR(__xludf.DUMMYFUNCTION("""COMPUTED_VALUE"""),"NO")</f>
        <v>NO</v>
      </c>
      <c r="E913" s="33" t="str">
        <f ca="1">IFERROR(__xludf.DUMMYFUNCTION("""COMPUTED_VALUE"""),"Getafe")</f>
        <v>Getafe</v>
      </c>
      <c r="F913" s="57">
        <f ca="1">IFERROR(__xludf.DUMMYFUNCTION("""COMPUTED_VALUE"""),45839)</f>
        <v>45839</v>
      </c>
      <c r="G913" s="57">
        <f ca="1">IFERROR(__xludf.DUMMYFUNCTION("""COMPUTED_VALUE"""),45796)</f>
        <v>45796</v>
      </c>
      <c r="H913" s="33" t="str">
        <f ca="1">IFERROR(__xludf.DUMMYFUNCTION("""COMPUTED_VALUE"""),"Getafe")</f>
        <v>Getafe</v>
      </c>
      <c r="I913" s="33" t="str">
        <f ca="1">IFERROR(__xludf.DUMMYFUNCTION("""COMPUTED_VALUE"""),"C2025519115544492")</f>
        <v>C2025519115544492</v>
      </c>
      <c r="J913" s="33" t="str">
        <f ca="1">IFERROR(__xludf.DUMMYFUNCTION("""COMPUTED_VALUE"""),"ANTONIA TORRES GUINDEL")</f>
        <v>ANTONIA TORRES GUINDEL</v>
      </c>
      <c r="K913" s="33">
        <f ca="1">IFERROR(__xludf.DUMMYFUNCTION("""COMPUTED_VALUE"""),2)</f>
        <v>2</v>
      </c>
      <c r="L913" s="203">
        <f ca="1">IFERROR(__xludf.DUMMYFUNCTION("""COMPUTED_VALUE"""),3730)</f>
        <v>3730</v>
      </c>
      <c r="M913" s="33" t="str">
        <f ca="1">IFERROR(__xludf.DUMMYFUNCTION("""COMPUTED_VALUE"""),"03 ORL")</f>
        <v>03 ORL</v>
      </c>
      <c r="N913" s="33" t="str">
        <f ca="1">IFERROR(__xludf.DUMMYFUNCTION("""COMPUTED_VALUE"""),"06 ORL")</f>
        <v>06 ORL</v>
      </c>
      <c r="O913" s="33" t="str">
        <f ca="1">IFERROR(__xludf.DUMMYFUNCTION("""COMPUTED_VALUE"""),"Dr, Antonio Rodríguez Rivero")</f>
        <v>Dr, Antonio Rodríguez Rivero</v>
      </c>
      <c r="P913" s="33" t="str">
        <f ca="1">IFERROR(__xludf.DUMMYFUNCTION("""COMPUTED_VALUE"""),"Maika Blázquez (Madrid)")</f>
        <v>Maika Blázquez (Madrid)</v>
      </c>
    </row>
    <row r="914" spans="2:16">
      <c r="B914" s="33">
        <f ca="1">IFERROR(__xludf.DUMMYFUNCTION("""COMPUTED_VALUE"""),2025)</f>
        <v>2025</v>
      </c>
      <c r="C914" s="33">
        <f ca="1">IFERROR(__xludf.DUMMYFUNCTION("""COMPUTED_VALUE"""),7)</f>
        <v>7</v>
      </c>
      <c r="D914" s="33" t="str">
        <f ca="1">IFERROR(__xludf.DUMMYFUNCTION("""COMPUTED_VALUE"""),"NO")</f>
        <v>NO</v>
      </c>
      <c r="E914" s="33" t="str">
        <f ca="1">IFERROR(__xludf.DUMMYFUNCTION("""COMPUTED_VALUE"""),"Leganés")</f>
        <v>Leganés</v>
      </c>
      <c r="F914" s="57">
        <f ca="1">IFERROR(__xludf.DUMMYFUNCTION("""COMPUTED_VALUE"""),45859)</f>
        <v>45859</v>
      </c>
      <c r="G914" s="57">
        <f ca="1">IFERROR(__xludf.DUMMYFUNCTION("""COMPUTED_VALUE"""),45840)</f>
        <v>45840</v>
      </c>
      <c r="H914" s="33" t="str">
        <f ca="1">IFERROR(__xludf.DUMMYFUNCTION("""COMPUTED_VALUE"""),"Leganés")</f>
        <v>Leganés</v>
      </c>
      <c r="I914" s="1" t="str">
        <f ca="1">IFERROR(__xludf.DUMMYFUNCTION("""COMPUTED_VALUE"""),"C2025749526307")</f>
        <v>C2025749526307</v>
      </c>
      <c r="J914" s="33" t="str">
        <f ca="1">IFERROR(__xludf.DUMMYFUNCTION("""COMPUTED_VALUE"""),"CARMEN GALLARDO FERNÁNDEZ")</f>
        <v>CARMEN GALLARDO FERNÁNDEZ</v>
      </c>
      <c r="K914" s="33">
        <f ca="1">IFERROR(__xludf.DUMMYFUNCTION("""COMPUTED_VALUE"""),2)</f>
        <v>2</v>
      </c>
      <c r="L914" s="203">
        <f ca="1">IFERROR(__xludf.DUMMYFUNCTION("""COMPUTED_VALUE"""),4000)</f>
        <v>4000</v>
      </c>
      <c r="M914" s="33" t="str">
        <f ca="1">IFERROR(__xludf.DUMMYFUNCTION("""COMPUTED_VALUE"""),"03 ORL")</f>
        <v>03 ORL</v>
      </c>
      <c r="N914" s="33" t="str">
        <f ca="1">IFERROR(__xludf.DUMMYFUNCTION("""COMPUTED_VALUE"""),"06 ORL")</f>
        <v>06 ORL</v>
      </c>
      <c r="O914" s="33" t="str">
        <f ca="1">IFERROR(__xludf.DUMMYFUNCTION("""COMPUTED_VALUE"""),"Dra, Mar Lasso de la Vega Zamora")</f>
        <v>Dra, Mar Lasso de la Vega Zamora</v>
      </c>
      <c r="P914" s="33" t="str">
        <f ca="1">IFERROR(__xludf.DUMMYFUNCTION("""COMPUTED_VALUE"""),"Maika Blázquez (Madrid)")</f>
        <v>Maika Blázquez (Madrid)</v>
      </c>
    </row>
    <row r="915" spans="2:16">
      <c r="B915" s="33">
        <f ca="1">IFERROR(__xludf.DUMMYFUNCTION("""COMPUTED_VALUE"""),2025)</f>
        <v>2025</v>
      </c>
      <c r="C915" s="33">
        <f ca="1">IFERROR(__xludf.DUMMYFUNCTION("""COMPUTED_VALUE"""),7)</f>
        <v>7</v>
      </c>
      <c r="D915" s="33" t="str">
        <f ca="1">IFERROR(__xludf.DUMMYFUNCTION("""COMPUTED_VALUE"""),"NO")</f>
        <v>NO</v>
      </c>
      <c r="E915" s="33" t="str">
        <f ca="1">IFERROR(__xludf.DUMMYFUNCTION("""COMPUTED_VALUE"""),"Ourense")</f>
        <v>Ourense</v>
      </c>
      <c r="F915" s="57">
        <f ca="1">IFERROR(__xludf.DUMMYFUNCTION("""COMPUTED_VALUE"""),45839)</f>
        <v>45839</v>
      </c>
      <c r="G915" s="57">
        <f ca="1">IFERROR(__xludf.DUMMYFUNCTION("""COMPUTED_VALUE"""),45799)</f>
        <v>45799</v>
      </c>
      <c r="H915" s="33" t="str">
        <f ca="1">IFERROR(__xludf.DUMMYFUNCTION("""COMPUTED_VALUE"""),"Orense")</f>
        <v>Orense</v>
      </c>
      <c r="I915" s="33" t="str">
        <f ca="1">IFERROR(__xludf.DUMMYFUNCTION("""COMPUTED_VALUE"""),"C2025527163413871")</f>
        <v>C2025527163413871</v>
      </c>
      <c r="J915" s="33" t="str">
        <f ca="1">IFERROR(__xludf.DUMMYFUNCTION("""COMPUTED_VALUE"""),"CARMEN GRANDE RODRIGUEZ")</f>
        <v>CARMEN GRANDE RODRIGUEZ</v>
      </c>
      <c r="K915" s="33">
        <f ca="1">IFERROR(__xludf.DUMMYFUNCTION("""COMPUTED_VALUE"""),2)</f>
        <v>2</v>
      </c>
      <c r="L915" s="203">
        <f ca="1">IFERROR(__xludf.DUMMYFUNCTION("""COMPUTED_VALUE"""),2887.5)</f>
        <v>2887.5</v>
      </c>
      <c r="M915" s="33" t="str">
        <f ca="1">IFERROR(__xludf.DUMMYFUNCTION("""COMPUTED_VALUE"""),"03 ORL")</f>
        <v>03 ORL</v>
      </c>
      <c r="N915" s="33" t="str">
        <f ca="1">IFERROR(__xludf.DUMMYFUNCTION("""COMPUTED_VALUE"""),"06 ORL")</f>
        <v>06 ORL</v>
      </c>
      <c r="O915" s="33" t="str">
        <f ca="1">IFERROR(__xludf.DUMMYFUNCTION("""COMPUTED_VALUE"""),"Dra, María Rey Marcos")</f>
        <v>Dra, María Rey Marcos</v>
      </c>
      <c r="P915" s="33" t="str">
        <f ca="1">IFERROR(__xludf.DUMMYFUNCTION("""COMPUTED_VALUE"""),"Roberto Pereira (Galicia)")</f>
        <v>Roberto Pereira (Galicia)</v>
      </c>
    </row>
    <row r="916" spans="2:16">
      <c r="B916" s="33">
        <f ca="1">IFERROR(__xludf.DUMMYFUNCTION("""COMPUTED_VALUE"""),2025)</f>
        <v>2025</v>
      </c>
      <c r="C916" s="33">
        <f ca="1">IFERROR(__xludf.DUMMYFUNCTION("""COMPUTED_VALUE"""),7)</f>
        <v>7</v>
      </c>
      <c r="D916" s="33" t="str">
        <f ca="1">IFERROR(__xludf.DUMMYFUNCTION("""COMPUTED_VALUE"""),"NO")</f>
        <v>NO</v>
      </c>
      <c r="E916" s="33" t="str">
        <f ca="1">IFERROR(__xludf.DUMMYFUNCTION("""COMPUTED_VALUE"""),"El Albir (Benidorm)")</f>
        <v>El Albir (Benidorm)</v>
      </c>
      <c r="F916" s="57">
        <f ca="1">IFERROR(__xludf.DUMMYFUNCTION("""COMPUTED_VALUE"""),45849)</f>
        <v>45849</v>
      </c>
      <c r="G916" s="57">
        <f ca="1">IFERROR(__xludf.DUMMYFUNCTION("""COMPUTED_VALUE"""),45817)</f>
        <v>45817</v>
      </c>
      <c r="H916" s="33" t="str">
        <f ca="1">IFERROR(__xludf.DUMMYFUNCTION("""COMPUTED_VALUE"""),"El Albir (Benidorm)")</f>
        <v>El Albir (Benidorm)</v>
      </c>
      <c r="I916" s="33" t="str">
        <f ca="1">IFERROR(__xludf.DUMMYFUNCTION("""COMPUTED_VALUE"""),"C202561312435457")</f>
        <v>C202561312435457</v>
      </c>
      <c r="J916" s="33" t="str">
        <f ca="1">IFERROR(__xludf.DUMMYFUNCTION("""COMPUTED_VALUE"""),"CECILIA  PEDRON PASCUAL")</f>
        <v>CECILIA  PEDRON PASCUAL</v>
      </c>
      <c r="K916" s="33">
        <f ca="1">IFERROR(__xludf.DUMMYFUNCTION("""COMPUTED_VALUE"""),1)</f>
        <v>1</v>
      </c>
      <c r="L916" s="203">
        <f ca="1">IFERROR(__xludf.DUMMYFUNCTION("""COMPUTED_VALUE"""),2162.73)</f>
        <v>2162.73</v>
      </c>
      <c r="M916" s="33" t="str">
        <f ca="1">IFERROR(__xludf.DUMMYFUNCTION("""COMPUTED_VALUE"""),"03 ORL")</f>
        <v>03 ORL</v>
      </c>
      <c r="N916" s="33" t="str">
        <f ca="1">IFERROR(__xludf.DUMMYFUNCTION("""COMPUTED_VALUE"""),"06 ORL")</f>
        <v>06 ORL</v>
      </c>
      <c r="O916" s="33" t="str">
        <f ca="1">IFERROR(__xludf.DUMMYFUNCTION("""COMPUTED_VALUE"""),"Dr, Daniel Unigarro Londoño")</f>
        <v>Dr, Daniel Unigarro Londoño</v>
      </c>
      <c r="P916" s="33" t="str">
        <f ca="1">IFERROR(__xludf.DUMMYFUNCTION("""COMPUTED_VALUE"""),"Ramon Ferrando(Valencia)")</f>
        <v>Ramon Ferrando(Valencia)</v>
      </c>
    </row>
    <row r="917" spans="2:16">
      <c r="B917" s="33">
        <f ca="1">IFERROR(__xludf.DUMMYFUNCTION("""COMPUTED_VALUE"""),2025)</f>
        <v>2025</v>
      </c>
      <c r="C917" s="33">
        <f ca="1">IFERROR(__xludf.DUMMYFUNCTION("""COMPUTED_VALUE"""),7)</f>
        <v>7</v>
      </c>
      <c r="D917" s="33" t="str">
        <f ca="1">IFERROR(__xludf.DUMMYFUNCTION("""COMPUTED_VALUE"""),"NO")</f>
        <v>NO</v>
      </c>
      <c r="E917" s="33" t="str">
        <f ca="1">IFERROR(__xludf.DUMMYFUNCTION("""COMPUTED_VALUE"""),"El Albir (Benidorm)")</f>
        <v>El Albir (Benidorm)</v>
      </c>
      <c r="F917" s="57">
        <f ca="1">IFERROR(__xludf.DUMMYFUNCTION("""COMPUTED_VALUE"""),45854)</f>
        <v>45854</v>
      </c>
      <c r="G917" s="57">
        <f ca="1">IFERROR(__xludf.DUMMYFUNCTION("""COMPUTED_VALUE"""),45832)</f>
        <v>45832</v>
      </c>
      <c r="H917" s="33" t="str">
        <f ca="1">IFERROR(__xludf.DUMMYFUNCTION("""COMPUTED_VALUE"""),"El Albir (Benidorm)")</f>
        <v>El Albir (Benidorm)</v>
      </c>
      <c r="I917" s="33" t="str">
        <f ca="1">IFERROR(__xludf.DUMMYFUNCTION("""COMPUTED_VALUE"""),"C2025630111437719")</f>
        <v>C2025630111437719</v>
      </c>
      <c r="J917" s="33" t="str">
        <f ca="1">IFERROR(__xludf.DUMMYFUNCTION("""COMPUTED_VALUE"""),"DIEGO DE INGUNZA DE SANTALUCIA")</f>
        <v>DIEGO DE INGUNZA DE SANTALUCIA</v>
      </c>
      <c r="K917" s="33">
        <f ca="1">IFERROR(__xludf.DUMMYFUNCTION("""COMPUTED_VALUE"""),2)</f>
        <v>2</v>
      </c>
      <c r="L917" s="203">
        <f ca="1">IFERROR(__xludf.DUMMYFUNCTION("""COMPUTED_VALUE"""),3710)</f>
        <v>3710</v>
      </c>
      <c r="M917" s="33" t="str">
        <f ca="1">IFERROR(__xludf.DUMMYFUNCTION("""COMPUTED_VALUE"""),"03 ORL")</f>
        <v>03 ORL</v>
      </c>
      <c r="N917" s="33" t="str">
        <f ca="1">IFERROR(__xludf.DUMMYFUNCTION("""COMPUTED_VALUE"""),"06 ORL")</f>
        <v>06 ORL</v>
      </c>
      <c r="O917" s="33" t="str">
        <f ca="1">IFERROR(__xludf.DUMMYFUNCTION("""COMPUTED_VALUE"""),"Dra, María Emilia García Ruiz")</f>
        <v>Dra, María Emilia García Ruiz</v>
      </c>
      <c r="P917" s="33" t="str">
        <f ca="1">IFERROR(__xludf.DUMMYFUNCTION("""COMPUTED_VALUE"""),"Ramon Ferrando(Valencia)")</f>
        <v>Ramon Ferrando(Valencia)</v>
      </c>
    </row>
    <row r="918" spans="2:16">
      <c r="B918" s="33">
        <f ca="1">IFERROR(__xludf.DUMMYFUNCTION("""COMPUTED_VALUE"""),2025)</f>
        <v>2025</v>
      </c>
      <c r="C918" s="33">
        <f ca="1">IFERROR(__xludf.DUMMYFUNCTION("""COMPUTED_VALUE"""),7)</f>
        <v>7</v>
      </c>
      <c r="D918" s="33" t="str">
        <f ca="1">IFERROR(__xludf.DUMMYFUNCTION("""COMPUTED_VALUE"""),"NO")</f>
        <v>NO</v>
      </c>
      <c r="E918" s="33" t="str">
        <f ca="1">IFERROR(__xludf.DUMMYFUNCTION("""COMPUTED_VALUE"""),"Madrid- Juan Bravo")</f>
        <v>Madrid- Juan Bravo</v>
      </c>
      <c r="F918" s="57">
        <f ca="1">IFERROR(__xludf.DUMMYFUNCTION("""COMPUTED_VALUE"""),45854)</f>
        <v>45854</v>
      </c>
      <c r="G918" s="57">
        <f ca="1">IFERROR(__xludf.DUMMYFUNCTION("""COMPUTED_VALUE"""),45819)</f>
        <v>45819</v>
      </c>
      <c r="H918" s="33" t="str">
        <f ca="1">IFERROR(__xludf.DUMMYFUNCTION("""COMPUTED_VALUE"""),"Juan Bravo")</f>
        <v>Juan Bravo</v>
      </c>
      <c r="I918" s="33" t="str">
        <f ca="1">IFERROR(__xludf.DUMMYFUNCTION("""COMPUTED_VALUE"""),"C2025616155039349")</f>
        <v>C2025616155039349</v>
      </c>
      <c r="J918" s="33" t="str">
        <f ca="1">IFERROR(__xludf.DUMMYFUNCTION("""COMPUTED_VALUE"""),"EMILIO JOSE DIAZ-VILA GONZALEZ")</f>
        <v>EMILIO JOSE DIAZ-VILA GONZALEZ</v>
      </c>
      <c r="K918" s="33">
        <f ca="1">IFERROR(__xludf.DUMMYFUNCTION("""COMPUTED_VALUE"""),1)</f>
        <v>1</v>
      </c>
      <c r="L918" s="203">
        <f ca="1">IFERROR(__xludf.DUMMYFUNCTION("""COMPUTED_VALUE"""),2400)</f>
        <v>2400</v>
      </c>
      <c r="M918" s="33" t="str">
        <f ca="1">IFERROR(__xludf.DUMMYFUNCTION("""COMPUTED_VALUE"""),"03 ORL")</f>
        <v>03 ORL</v>
      </c>
      <c r="N918" s="33" t="str">
        <f ca="1">IFERROR(__xludf.DUMMYFUNCTION("""COMPUTED_VALUE"""),"06 ORL")</f>
        <v>06 ORL</v>
      </c>
      <c r="O918" s="33" t="str">
        <f ca="1">IFERROR(__xludf.DUMMYFUNCTION("""COMPUTED_VALUE"""),"Dr, Carlos Barajas del Rosal")</f>
        <v>Dr, Carlos Barajas del Rosal</v>
      </c>
      <c r="P918" s="33" t="str">
        <f ca="1">IFERROR(__xludf.DUMMYFUNCTION("""COMPUTED_VALUE"""),"Lisandro Russian (Madrid, Cáceres, Toledo, Talavera Y Logroño)")</f>
        <v>Lisandro Russian (Madrid, Cáceres, Toledo, Talavera Y Logroño)</v>
      </c>
    </row>
    <row r="919" spans="2:16">
      <c r="B919" s="33">
        <f ca="1">IFERROR(__xludf.DUMMYFUNCTION("""COMPUTED_VALUE"""),2025)</f>
        <v>2025</v>
      </c>
      <c r="C919" s="33">
        <f ca="1">IFERROR(__xludf.DUMMYFUNCTION("""COMPUTED_VALUE"""),7)</f>
        <v>7</v>
      </c>
      <c r="D919" s="33" t="str">
        <f ca="1">IFERROR(__xludf.DUMMYFUNCTION("""COMPUTED_VALUE"""),"NO")</f>
        <v>NO</v>
      </c>
      <c r="E919" s="33" t="str">
        <f ca="1">IFERROR(__xludf.DUMMYFUNCTION("""COMPUTED_VALUE"""),"Madrid- Costa Rica")</f>
        <v>Madrid- Costa Rica</v>
      </c>
      <c r="F919" s="57">
        <f ca="1">IFERROR(__xludf.DUMMYFUNCTION("""COMPUTED_VALUE"""),45856)</f>
        <v>45856</v>
      </c>
      <c r="G919" s="57">
        <f ca="1">IFERROR(__xludf.DUMMYFUNCTION("""COMPUTED_VALUE"""),45845)</f>
        <v>45845</v>
      </c>
      <c r="H919" s="33" t="str">
        <f ca="1">IFERROR(__xludf.DUMMYFUNCTION("""COMPUTED_VALUE"""),"Costa Rica")</f>
        <v>Costa Rica</v>
      </c>
      <c r="I919" s="33" t="str">
        <f ca="1">IFERROR(__xludf.DUMMYFUNCTION("""COMPUTED_VALUE"""),"C202579115653676")</f>
        <v>C202579115653676</v>
      </c>
      <c r="J919" s="33" t="str">
        <f ca="1">IFERROR(__xludf.DUMMYFUNCTION("""COMPUTED_VALUE"""),"ENCARNACIÓN  FLORES ALFONSO")</f>
        <v>ENCARNACIÓN  FLORES ALFONSO</v>
      </c>
      <c r="K919" s="33">
        <f ca="1">IFERROR(__xludf.DUMMYFUNCTION("""COMPUTED_VALUE"""),2)</f>
        <v>2</v>
      </c>
      <c r="L919" s="203">
        <f ca="1">IFERROR(__xludf.DUMMYFUNCTION("""COMPUTED_VALUE"""),4136.36)</f>
        <v>4136.3599999999997</v>
      </c>
      <c r="M919" s="33" t="str">
        <f ca="1">IFERROR(__xludf.DUMMYFUNCTION("""COMPUTED_VALUE"""),"03 ORL")</f>
        <v>03 ORL</v>
      </c>
      <c r="N919" s="33" t="str">
        <f ca="1">IFERROR(__xludf.DUMMYFUNCTION("""COMPUTED_VALUE"""),"06 ORL")</f>
        <v>06 ORL</v>
      </c>
      <c r="O919" s="33" t="str">
        <f ca="1">IFERROR(__xludf.DUMMYFUNCTION("""COMPUTED_VALUE"""),"Dr, Luis Jiménez Ferreres")</f>
        <v>Dr, Luis Jiménez Ferreres</v>
      </c>
      <c r="P919" s="33" t="str">
        <f ca="1">IFERROR(__xludf.DUMMYFUNCTION("""COMPUTED_VALUE"""),"Lisandro Russian (Madrid, Cáceres, Toledo, Talavera Y Logroño)")</f>
        <v>Lisandro Russian (Madrid, Cáceres, Toledo, Talavera Y Logroño)</v>
      </c>
    </row>
    <row r="920" spans="2:16">
      <c r="B920" s="33">
        <f ca="1">IFERROR(__xludf.DUMMYFUNCTION("""COMPUTED_VALUE"""),2025)</f>
        <v>2025</v>
      </c>
      <c r="C920" s="33">
        <f ca="1">IFERROR(__xludf.DUMMYFUNCTION("""COMPUTED_VALUE"""),7)</f>
        <v>7</v>
      </c>
      <c r="D920" s="33" t="str">
        <f ca="1">IFERROR(__xludf.DUMMYFUNCTION("""COMPUTED_VALUE"""),"NO")</f>
        <v>NO</v>
      </c>
      <c r="E920" s="33" t="str">
        <f ca="1">IFERROR(__xludf.DUMMYFUNCTION("""COMPUTED_VALUE"""),"Getafe")</f>
        <v>Getafe</v>
      </c>
      <c r="F920" s="57">
        <f ca="1">IFERROR(__xludf.DUMMYFUNCTION("""COMPUTED_VALUE"""),45862)</f>
        <v>45862</v>
      </c>
      <c r="G920" s="57">
        <f ca="1">IFERROR(__xludf.DUMMYFUNCTION("""COMPUTED_VALUE"""),45847)</f>
        <v>45847</v>
      </c>
      <c r="H920" s="33" t="str">
        <f ca="1">IFERROR(__xludf.DUMMYFUNCTION("""COMPUTED_VALUE"""),"Getafe")</f>
        <v>Getafe</v>
      </c>
      <c r="I920" s="33" t="str">
        <f ca="1">IFERROR(__xludf.DUMMYFUNCTION("""COMPUTED_VALUE"""),"C202571017474465")</f>
        <v>C202571017474465</v>
      </c>
      <c r="J920" s="33" t="str">
        <f ca="1">IFERROR(__xludf.DUMMYFUNCTION("""COMPUTED_VALUE"""),"EUGENIO MERINO MARTIN")</f>
        <v>EUGENIO MERINO MARTIN</v>
      </c>
      <c r="K920" s="33">
        <f ca="1">IFERROR(__xludf.DUMMYFUNCTION("""COMPUTED_VALUE"""),2)</f>
        <v>2</v>
      </c>
      <c r="L920" s="203">
        <f ca="1">IFERROR(__xludf.DUMMYFUNCTION("""COMPUTED_VALUE"""),2718.18)</f>
        <v>2718.18</v>
      </c>
      <c r="M920" s="33" t="str">
        <f ca="1">IFERROR(__xludf.DUMMYFUNCTION("""COMPUTED_VALUE"""),"03 ORL")</f>
        <v>03 ORL</v>
      </c>
      <c r="N920" s="33" t="str">
        <f ca="1">IFERROR(__xludf.DUMMYFUNCTION("""COMPUTED_VALUE"""),"06 ORL")</f>
        <v>06 ORL</v>
      </c>
      <c r="O920" s="33" t="str">
        <f ca="1">IFERROR(__xludf.DUMMYFUNCTION("""COMPUTED_VALUE"""),"Dr, Antonio Rodríguez Rivero")</f>
        <v>Dr, Antonio Rodríguez Rivero</v>
      </c>
      <c r="P920" s="33" t="str">
        <f ca="1">IFERROR(__xludf.DUMMYFUNCTION("""COMPUTED_VALUE"""),"Maika Blázquez (Madrid)")</f>
        <v>Maika Blázquez (Madrid)</v>
      </c>
    </row>
    <row r="921" spans="2:16">
      <c r="B921" s="33">
        <f ca="1">IFERROR(__xludf.DUMMYFUNCTION("""COMPUTED_VALUE"""),2025)</f>
        <v>2025</v>
      </c>
      <c r="C921" s="33">
        <f ca="1">IFERROR(__xludf.DUMMYFUNCTION("""COMPUTED_VALUE"""),7)</f>
        <v>7</v>
      </c>
      <c r="D921" s="33" t="str">
        <f ca="1">IFERROR(__xludf.DUMMYFUNCTION("""COMPUTED_VALUE"""),"NO")</f>
        <v>NO</v>
      </c>
      <c r="E921" s="33" t="str">
        <f ca="1">IFERROR(__xludf.DUMMYFUNCTION("""COMPUTED_VALUE"""),"Madrid- Juan Bravo")</f>
        <v>Madrid- Juan Bravo</v>
      </c>
      <c r="F921" s="57">
        <f ca="1">IFERROR(__xludf.DUMMYFUNCTION("""COMPUTED_VALUE"""),45852)</f>
        <v>45852</v>
      </c>
      <c r="G921" s="57">
        <f ca="1">IFERROR(__xludf.DUMMYFUNCTION("""COMPUTED_VALUE"""),45782)</f>
        <v>45782</v>
      </c>
      <c r="H921" s="33" t="str">
        <f ca="1">IFERROR(__xludf.DUMMYFUNCTION("""COMPUTED_VALUE"""),"Juan Bravo")</f>
        <v>Juan Bravo</v>
      </c>
      <c r="I921" s="33" t="str">
        <f ca="1">IFERROR(__xludf.DUMMYFUNCTION("""COMPUTED_VALUE"""),"C202558114952858")</f>
        <v>C202558114952858</v>
      </c>
      <c r="J921" s="33" t="str">
        <f ca="1">IFERROR(__xludf.DUMMYFUNCTION("""COMPUTED_VALUE"""),"FELISA PILAR GARCIA BRAVO")</f>
        <v>FELISA PILAR GARCIA BRAVO</v>
      </c>
      <c r="K921" s="33">
        <f ca="1">IFERROR(__xludf.DUMMYFUNCTION("""COMPUTED_VALUE"""),2)</f>
        <v>2</v>
      </c>
      <c r="L921" s="203">
        <f ca="1">IFERROR(__xludf.DUMMYFUNCTION("""COMPUTED_VALUE"""),4000)</f>
        <v>4000</v>
      </c>
      <c r="M921" s="33" t="str">
        <f ca="1">IFERROR(__xludf.DUMMYFUNCTION("""COMPUTED_VALUE"""),"03 ORL")</f>
        <v>03 ORL</v>
      </c>
      <c r="N921" s="33" t="str">
        <f ca="1">IFERROR(__xludf.DUMMYFUNCTION("""COMPUTED_VALUE"""),"06 ORL")</f>
        <v>06 ORL</v>
      </c>
      <c r="O921" s="33" t="str">
        <f ca="1">IFERROR(__xludf.DUMMYFUNCTION("""COMPUTED_VALUE"""),"Dr, Javier García Domínguez")</f>
        <v>Dr, Javier García Domínguez</v>
      </c>
      <c r="P921" s="33" t="str">
        <f ca="1">IFERROR(__xludf.DUMMYFUNCTION("""COMPUTED_VALUE"""),"Maika Blázquez (Madrid)")</f>
        <v>Maika Blázquez (Madrid)</v>
      </c>
    </row>
    <row r="922" spans="2:16">
      <c r="B922" s="33">
        <f ca="1">IFERROR(__xludf.DUMMYFUNCTION("""COMPUTED_VALUE"""),2025)</f>
        <v>2025</v>
      </c>
      <c r="C922" s="33">
        <f ca="1">IFERROR(__xludf.DUMMYFUNCTION("""COMPUTED_VALUE"""),7)</f>
        <v>7</v>
      </c>
      <c r="D922" s="33" t="str">
        <f ca="1">IFERROR(__xludf.DUMMYFUNCTION("""COMPUTED_VALUE"""),"NO")</f>
        <v>NO</v>
      </c>
      <c r="E922" s="33" t="str">
        <f ca="1">IFERROR(__xludf.DUMMYFUNCTION("""COMPUTED_VALUE"""),"Almería")</f>
        <v>Almería</v>
      </c>
      <c r="F922" s="57">
        <f ca="1">IFERROR(__xludf.DUMMYFUNCTION("""COMPUTED_VALUE"""),45856)</f>
        <v>45856</v>
      </c>
      <c r="G922" s="57">
        <f ca="1">IFERROR(__xludf.DUMMYFUNCTION("""COMPUTED_VALUE"""),45846)</f>
        <v>45846</v>
      </c>
      <c r="H922" s="33" t="str">
        <f ca="1">IFERROR(__xludf.DUMMYFUNCTION("""COMPUTED_VALUE"""),"Almería")</f>
        <v>Almería</v>
      </c>
      <c r="I922" s="33" t="str">
        <f ca="1">IFERROR(__xludf.DUMMYFUNCTION("""COMPUTED_VALUE"""),"C202578161110845")</f>
        <v>C202578161110845</v>
      </c>
      <c r="J922" s="33" t="str">
        <f ca="1">IFERROR(__xludf.DUMMYFUNCTION("""COMPUTED_VALUE"""),"FRANCISCA MACARENA SEGURA QUESADA")</f>
        <v>FRANCISCA MACARENA SEGURA QUESADA</v>
      </c>
      <c r="K922" s="33">
        <f ca="1">IFERROR(__xludf.DUMMYFUNCTION("""COMPUTED_VALUE"""),2)</f>
        <v>2</v>
      </c>
      <c r="L922" s="203">
        <f ca="1">IFERROR(__xludf.DUMMYFUNCTION("""COMPUTED_VALUE"""),2974.55)</f>
        <v>2974.55</v>
      </c>
      <c r="M922" s="33" t="str">
        <f ca="1">IFERROR(__xludf.DUMMYFUNCTION("""COMPUTED_VALUE"""),"03 ORL")</f>
        <v>03 ORL</v>
      </c>
      <c r="N922" s="33" t="str">
        <f ca="1">IFERROR(__xludf.DUMMYFUNCTION("""COMPUTED_VALUE"""),"06 ORL")</f>
        <v>06 ORL</v>
      </c>
      <c r="O922" s="33" t="str">
        <f ca="1">IFERROR(__xludf.DUMMYFUNCTION("""COMPUTED_VALUE"""),"Dr, Javier Padilla Cabello")</f>
        <v>Dr, Javier Padilla Cabello</v>
      </c>
      <c r="P922" s="33" t="str">
        <f ca="1">IFERROR(__xludf.DUMMYFUNCTION("""COMPUTED_VALUE"""),"Ramon Ferrando(Valencia)")</f>
        <v>Ramon Ferrando(Valencia)</v>
      </c>
    </row>
    <row r="923" spans="2:16">
      <c r="B923" s="33">
        <f ca="1">IFERROR(__xludf.DUMMYFUNCTION("""COMPUTED_VALUE"""),2025)</f>
        <v>2025</v>
      </c>
      <c r="C923" s="33">
        <f ca="1">IFERROR(__xludf.DUMMYFUNCTION("""COMPUTED_VALUE"""),7)</f>
        <v>7</v>
      </c>
      <c r="D923" s="33" t="str">
        <f ca="1">IFERROR(__xludf.DUMMYFUNCTION("""COMPUTED_VALUE"""),"NO")</f>
        <v>NO</v>
      </c>
      <c r="E923" s="33" t="str">
        <f ca="1">IFERROR(__xludf.DUMMYFUNCTION("""COMPUTED_VALUE"""),"Madrid- Monforte de Lemos")</f>
        <v>Madrid- Monforte de Lemos</v>
      </c>
      <c r="F923" s="57">
        <f ca="1">IFERROR(__xludf.DUMMYFUNCTION("""COMPUTED_VALUE"""),45853)</f>
        <v>45853</v>
      </c>
      <c r="G923" s="57">
        <f ca="1">IFERROR(__xludf.DUMMYFUNCTION("""COMPUTED_VALUE"""),45845)</f>
        <v>45845</v>
      </c>
      <c r="H923" s="33" t="str">
        <f ca="1">IFERROR(__xludf.DUMMYFUNCTION("""COMPUTED_VALUE"""),"La Vaguada")</f>
        <v>La Vaguada</v>
      </c>
      <c r="I923" s="33" t="str">
        <f ca="1">IFERROR(__xludf.DUMMYFUNCTION("""COMPUTED_VALUE"""),"C2025710164457112")</f>
        <v>C2025710164457112</v>
      </c>
      <c r="J923" s="33" t="str">
        <f ca="1">IFERROR(__xludf.DUMMYFUNCTION("""COMPUTED_VALUE"""),"FRANCISCA MARTIN MARTIN")</f>
        <v>FRANCISCA MARTIN MARTIN</v>
      </c>
      <c r="K923" s="33">
        <f ca="1">IFERROR(__xludf.DUMMYFUNCTION("""COMPUTED_VALUE"""),2)</f>
        <v>2</v>
      </c>
      <c r="L923" s="203">
        <f ca="1">IFERROR(__xludf.DUMMYFUNCTION("""COMPUTED_VALUE"""),3604.55)</f>
        <v>3604.55</v>
      </c>
      <c r="M923" s="33" t="str">
        <f ca="1">IFERROR(__xludf.DUMMYFUNCTION("""COMPUTED_VALUE"""),"03 ORL")</f>
        <v>03 ORL</v>
      </c>
      <c r="N923" s="33" t="str">
        <f ca="1">IFERROR(__xludf.DUMMYFUNCTION("""COMPUTED_VALUE"""),"06 ORL")</f>
        <v>06 ORL</v>
      </c>
      <c r="O923" s="33" t="str">
        <f ca="1">IFERROR(__xludf.DUMMYFUNCTION("""COMPUTED_VALUE"""),"Dr, Coloma Grau Van Laak")</f>
        <v>Dr, Coloma Grau Van Laak</v>
      </c>
      <c r="P923" s="33" t="str">
        <f ca="1">IFERROR(__xludf.DUMMYFUNCTION("""COMPUTED_VALUE"""),"Lisandro Russian (Madrid, Cáceres, Toledo, Talavera Y Logroño)")</f>
        <v>Lisandro Russian (Madrid, Cáceres, Toledo, Talavera Y Logroño)</v>
      </c>
    </row>
    <row r="924" spans="2:16">
      <c r="B924" s="33">
        <f ca="1">IFERROR(__xludf.DUMMYFUNCTION("""COMPUTED_VALUE"""),2025)</f>
        <v>2025</v>
      </c>
      <c r="C924" s="33">
        <f ca="1">IFERROR(__xludf.DUMMYFUNCTION("""COMPUTED_VALUE"""),7)</f>
        <v>7</v>
      </c>
      <c r="D924" s="33" t="str">
        <f ca="1">IFERROR(__xludf.DUMMYFUNCTION("""COMPUTED_VALUE"""),"NO")</f>
        <v>NO</v>
      </c>
      <c r="E924" s="33" t="str">
        <f ca="1">IFERROR(__xludf.DUMMYFUNCTION("""COMPUTED_VALUE"""),"Fuenlabrada")</f>
        <v>Fuenlabrada</v>
      </c>
      <c r="F924" s="57">
        <f ca="1">IFERROR(__xludf.DUMMYFUNCTION("""COMPUTED_VALUE"""),45854)</f>
        <v>45854</v>
      </c>
      <c r="G924" s="57">
        <f ca="1">IFERROR(__xludf.DUMMYFUNCTION("""COMPUTED_VALUE"""),45811)</f>
        <v>45811</v>
      </c>
      <c r="H924" s="33" t="str">
        <f ca="1">IFERROR(__xludf.DUMMYFUNCTION("""COMPUTED_VALUE"""),"Fuenlabrada")</f>
        <v>Fuenlabrada</v>
      </c>
      <c r="I924" s="33" t="str">
        <f ca="1">IFERROR(__xludf.DUMMYFUNCTION("""COMPUTED_VALUE"""),"C2025610173752293")</f>
        <v>C2025610173752293</v>
      </c>
      <c r="J924" s="33" t="str">
        <f ca="1">IFERROR(__xludf.DUMMYFUNCTION("""COMPUTED_VALUE"""),"FRANCISCA VAQUERIZA VAQUERIZA")</f>
        <v>FRANCISCA VAQUERIZA VAQUERIZA</v>
      </c>
      <c r="K924" s="33">
        <f ca="1">IFERROR(__xludf.DUMMYFUNCTION("""COMPUTED_VALUE"""),2)</f>
        <v>2</v>
      </c>
      <c r="L924" s="203">
        <f ca="1">IFERROR(__xludf.DUMMYFUNCTION("""COMPUTED_VALUE"""),4000)</f>
        <v>4000</v>
      </c>
      <c r="M924" s="33" t="str">
        <f ca="1">IFERROR(__xludf.DUMMYFUNCTION("""COMPUTED_VALUE"""),"03 ORL")</f>
        <v>03 ORL</v>
      </c>
      <c r="N924" s="33" t="str">
        <f ca="1">IFERROR(__xludf.DUMMYFUNCTION("""COMPUTED_VALUE"""),"06 ORL")</f>
        <v>06 ORL</v>
      </c>
      <c r="O924" s="33" t="str">
        <f ca="1">IFERROR(__xludf.DUMMYFUNCTION("""COMPUTED_VALUE"""),"Dr, Alfonso Plaza López")</f>
        <v>Dr, Alfonso Plaza López</v>
      </c>
      <c r="P924" s="33" t="str">
        <f ca="1">IFERROR(__xludf.DUMMYFUNCTION("""COMPUTED_VALUE"""),"Lisandro Russian (Madrid, Cáceres, Toledo, Talavera Y Logroño)")</f>
        <v>Lisandro Russian (Madrid, Cáceres, Toledo, Talavera Y Logroño)</v>
      </c>
    </row>
    <row r="925" spans="2:16">
      <c r="B925" s="33">
        <f ca="1">IFERROR(__xludf.DUMMYFUNCTION("""COMPUTED_VALUE"""),2025)</f>
        <v>2025</v>
      </c>
      <c r="C925" s="33">
        <f ca="1">IFERROR(__xludf.DUMMYFUNCTION("""COMPUTED_VALUE"""),7)</f>
        <v>7</v>
      </c>
      <c r="D925" s="33" t="str">
        <f ca="1">IFERROR(__xludf.DUMMYFUNCTION("""COMPUTED_VALUE"""),"NO")</f>
        <v>NO</v>
      </c>
      <c r="E925" s="33" t="str">
        <f ca="1">IFERROR(__xludf.DUMMYFUNCTION("""COMPUTED_VALUE"""),"Sevilla- Montoto")</f>
        <v>Sevilla- Montoto</v>
      </c>
      <c r="F925" s="57">
        <f ca="1">IFERROR(__xludf.DUMMYFUNCTION("""COMPUTED_VALUE"""),45848)</f>
        <v>45848</v>
      </c>
      <c r="G925" s="57">
        <f ca="1">IFERROR(__xludf.DUMMYFUNCTION("""COMPUTED_VALUE"""),45817)</f>
        <v>45817</v>
      </c>
      <c r="H925" s="33" t="str">
        <f ca="1">IFERROR(__xludf.DUMMYFUNCTION("""COMPUTED_VALUE"""),"Montoto")</f>
        <v>Montoto</v>
      </c>
      <c r="I925" s="33" t="str">
        <f ca="1">IFERROR(__xludf.DUMMYFUNCTION("""COMPUTED_VALUE"""),"C2025616163118924")</f>
        <v>C2025616163118924</v>
      </c>
      <c r="J925" s="33" t="str">
        <f ca="1">IFERROR(__xludf.DUMMYFUNCTION("""COMPUTED_VALUE"""),"FRANCISCO JAVIER BARRIOS RODRIGUEZ")</f>
        <v>FRANCISCO JAVIER BARRIOS RODRIGUEZ</v>
      </c>
      <c r="K925" s="33">
        <f ca="1">IFERROR(__xludf.DUMMYFUNCTION("""COMPUTED_VALUE"""),1)</f>
        <v>1</v>
      </c>
      <c r="L925" s="203">
        <f ca="1">IFERROR(__xludf.DUMMYFUNCTION("""COMPUTED_VALUE"""),2400)</f>
        <v>2400</v>
      </c>
      <c r="M925" s="33" t="str">
        <f ca="1">IFERROR(__xludf.DUMMYFUNCTION("""COMPUTED_VALUE"""),"03 ORL")</f>
        <v>03 ORL</v>
      </c>
      <c r="N925" s="33" t="str">
        <f ca="1">IFERROR(__xludf.DUMMYFUNCTION("""COMPUTED_VALUE"""),"06 ORL")</f>
        <v>06 ORL</v>
      </c>
      <c r="O925" s="33" t="str">
        <f ca="1">IFERROR(__xludf.DUMMYFUNCTION("""COMPUTED_VALUE"""),"Dr, Francisco Ropero Romero")</f>
        <v>Dr, Francisco Ropero Romero</v>
      </c>
      <c r="P925" s="33" t="str">
        <f ca="1">IFERROR(__xludf.DUMMYFUNCTION("""COMPUTED_VALUE"""),"Luis Alberto Rodríguez (Andalucía y Badajoz)")</f>
        <v>Luis Alberto Rodríguez (Andalucía y Badajoz)</v>
      </c>
    </row>
    <row r="926" spans="2:16">
      <c r="B926" s="33">
        <f ca="1">IFERROR(__xludf.DUMMYFUNCTION("""COMPUTED_VALUE"""),2025)</f>
        <v>2025</v>
      </c>
      <c r="C926" s="33">
        <f ca="1">IFERROR(__xludf.DUMMYFUNCTION("""COMPUTED_VALUE"""),7)</f>
        <v>7</v>
      </c>
      <c r="D926" s="33" t="str">
        <f ca="1">IFERROR(__xludf.DUMMYFUNCTION("""COMPUTED_VALUE"""),"NO")</f>
        <v>NO</v>
      </c>
      <c r="E926" s="33" t="str">
        <f ca="1">IFERROR(__xludf.DUMMYFUNCTION("""COMPUTED_VALUE"""),"Madrid- Canillas")</f>
        <v>Madrid- Canillas</v>
      </c>
      <c r="F926" s="57">
        <f ca="1">IFERROR(__xludf.DUMMYFUNCTION("""COMPUTED_VALUE"""),45855)</f>
        <v>45855</v>
      </c>
      <c r="G926" s="57">
        <f ca="1">IFERROR(__xludf.DUMMYFUNCTION("""COMPUTED_VALUE"""),45846)</f>
        <v>45846</v>
      </c>
      <c r="H926" s="33" t="str">
        <f ca="1">IFERROR(__xludf.DUMMYFUNCTION("""COMPUTED_VALUE"""),"Canillas")</f>
        <v>Canillas</v>
      </c>
      <c r="I926" s="33" t="str">
        <f ca="1">IFERROR(__xludf.DUMMYFUNCTION("""COMPUTED_VALUE"""),"C2025716162629152")</f>
        <v>C2025716162629152</v>
      </c>
      <c r="J926" s="33" t="str">
        <f ca="1">IFERROR(__xludf.DUMMYFUNCTION("""COMPUTED_VALUE"""),"FRANCISCO LORITE CABALLERO")</f>
        <v>FRANCISCO LORITE CABALLERO</v>
      </c>
      <c r="K926" s="33">
        <f ca="1">IFERROR(__xludf.DUMMYFUNCTION("""COMPUTED_VALUE"""),2)</f>
        <v>2</v>
      </c>
      <c r="L926" s="203">
        <f ca="1">IFERROR(__xludf.DUMMYFUNCTION("""COMPUTED_VALUE"""),4000)</f>
        <v>4000</v>
      </c>
      <c r="M926" s="33" t="str">
        <f ca="1">IFERROR(__xludf.DUMMYFUNCTION("""COMPUTED_VALUE"""),"03 ORL")</f>
        <v>03 ORL</v>
      </c>
      <c r="N926" s="33" t="str">
        <f ca="1">IFERROR(__xludf.DUMMYFUNCTION("""COMPUTED_VALUE"""),"06 ORL")</f>
        <v>06 ORL</v>
      </c>
      <c r="O926" s="33" t="str">
        <f ca="1">IFERROR(__xludf.DUMMYFUNCTION("""COMPUTED_VALUE"""),"Dr, José Gustavo Barroso Braojos")</f>
        <v>Dr, José Gustavo Barroso Braojos</v>
      </c>
      <c r="P926" s="33" t="str">
        <f ca="1">IFERROR(__xludf.DUMMYFUNCTION("""COMPUTED_VALUE"""),"Maika Blázquez (Madrid)")</f>
        <v>Maika Blázquez (Madrid)</v>
      </c>
    </row>
    <row r="927" spans="2:16">
      <c r="B927" s="33">
        <f ca="1">IFERROR(__xludf.DUMMYFUNCTION("""COMPUTED_VALUE"""),2025)</f>
        <v>2025</v>
      </c>
      <c r="C927" s="33">
        <f ca="1">IFERROR(__xludf.DUMMYFUNCTION("""COMPUTED_VALUE"""),7)</f>
        <v>7</v>
      </c>
      <c r="D927" s="33" t="str">
        <f ca="1">IFERROR(__xludf.DUMMYFUNCTION("""COMPUTED_VALUE"""),"NO")</f>
        <v>NO</v>
      </c>
      <c r="E927" s="33" t="str">
        <f ca="1">IFERROR(__xludf.DUMMYFUNCTION("""COMPUTED_VALUE"""),"Valencia- Cádiz")</f>
        <v>Valencia- Cádiz</v>
      </c>
      <c r="F927" s="57">
        <f ca="1">IFERROR(__xludf.DUMMYFUNCTION("""COMPUTED_VALUE"""),45863)</f>
        <v>45863</v>
      </c>
      <c r="G927" s="57">
        <f ca="1">IFERROR(__xludf.DUMMYFUNCTION("""COMPUTED_VALUE"""),45810)</f>
        <v>45810</v>
      </c>
      <c r="H927" s="33" t="str">
        <f ca="1">IFERROR(__xludf.DUMMYFUNCTION("""COMPUTED_VALUE"""),"Valencia- Cádiz")</f>
        <v>Valencia- Cádiz</v>
      </c>
      <c r="I927" s="33" t="str">
        <f ca="1">IFERROR(__xludf.DUMMYFUNCTION("""COMPUTED_VALUE"""),"C202569172952184")</f>
        <v>C202569172952184</v>
      </c>
      <c r="J927" s="33" t="str">
        <f ca="1">IFERROR(__xludf.DUMMYFUNCTION("""COMPUTED_VALUE"""),"FRANCISCO PEREZ BARBERAN")</f>
        <v>FRANCISCO PEREZ BARBERAN</v>
      </c>
      <c r="K927" s="33">
        <f ca="1">IFERROR(__xludf.DUMMYFUNCTION("""COMPUTED_VALUE"""),2)</f>
        <v>2</v>
      </c>
      <c r="L927" s="203">
        <f ca="1">IFERROR(__xludf.DUMMYFUNCTION("""COMPUTED_VALUE"""),2888.18)</f>
        <v>2888.18</v>
      </c>
      <c r="M927" s="33" t="str">
        <f ca="1">IFERROR(__xludf.DUMMYFUNCTION("""COMPUTED_VALUE"""),"03 ORL")</f>
        <v>03 ORL</v>
      </c>
      <c r="N927" s="33" t="str">
        <f ca="1">IFERROR(__xludf.DUMMYFUNCTION("""COMPUTED_VALUE"""),"06 ORL")</f>
        <v>06 ORL</v>
      </c>
      <c r="O927" s="33" t="str">
        <f ca="1">IFERROR(__xludf.DUMMYFUNCTION("""COMPUTED_VALUE"""),"Dr, Raimon García Chillerón")</f>
        <v>Dr, Raimon García Chillerón</v>
      </c>
      <c r="P927" s="33" t="str">
        <f ca="1">IFERROR(__xludf.DUMMYFUNCTION("""COMPUTED_VALUE"""),"Ramon Ferrando(Valencia)")</f>
        <v>Ramon Ferrando(Valencia)</v>
      </c>
    </row>
    <row r="928" spans="2:16">
      <c r="B928" s="33">
        <f ca="1">IFERROR(__xludf.DUMMYFUNCTION("""COMPUTED_VALUE"""),2025)</f>
        <v>2025</v>
      </c>
      <c r="C928" s="33">
        <f ca="1">IFERROR(__xludf.DUMMYFUNCTION("""COMPUTED_VALUE"""),7)</f>
        <v>7</v>
      </c>
      <c r="D928" s="33" t="str">
        <f ca="1">IFERROR(__xludf.DUMMYFUNCTION("""COMPUTED_VALUE"""),"NO")</f>
        <v>NO</v>
      </c>
      <c r="E928" s="33" t="str">
        <f ca="1">IFERROR(__xludf.DUMMYFUNCTION("""COMPUTED_VALUE"""),"Fuenlabrada")</f>
        <v>Fuenlabrada</v>
      </c>
      <c r="F928" s="57">
        <f ca="1">IFERROR(__xludf.DUMMYFUNCTION("""COMPUTED_VALUE"""),45848)</f>
        <v>45848</v>
      </c>
      <c r="G928" s="57">
        <f ca="1">IFERROR(__xludf.DUMMYFUNCTION("""COMPUTED_VALUE"""),45821)</f>
        <v>45821</v>
      </c>
      <c r="H928" s="33" t="str">
        <f ca="1">IFERROR(__xludf.DUMMYFUNCTION("""COMPUTED_VALUE"""),"Fuenlabrada")</f>
        <v>Fuenlabrada</v>
      </c>
      <c r="I928" s="33" t="str">
        <f ca="1">IFERROR(__xludf.DUMMYFUNCTION("""COMPUTED_VALUE"""),"C2025613153815131")</f>
        <v>C2025613153815131</v>
      </c>
      <c r="J928" s="33" t="str">
        <f ca="1">IFERROR(__xludf.DUMMYFUNCTION("""COMPUTED_VALUE"""),"FULGENCIO GRANIZO REBOLLO")</f>
        <v>FULGENCIO GRANIZO REBOLLO</v>
      </c>
      <c r="K928" s="33">
        <f ca="1">IFERROR(__xludf.DUMMYFUNCTION("""COMPUTED_VALUE"""),1)</f>
        <v>1</v>
      </c>
      <c r="L928" s="203">
        <f ca="1">IFERROR(__xludf.DUMMYFUNCTION("""COMPUTED_VALUE"""),2400)</f>
        <v>2400</v>
      </c>
      <c r="M928" s="33" t="str">
        <f ca="1">IFERROR(__xludf.DUMMYFUNCTION("""COMPUTED_VALUE"""),"03 ORL")</f>
        <v>03 ORL</v>
      </c>
      <c r="N928" s="33" t="str">
        <f ca="1">IFERROR(__xludf.DUMMYFUNCTION("""COMPUTED_VALUE"""),"06 ORL")</f>
        <v>06 ORL</v>
      </c>
      <c r="O928" s="33" t="str">
        <f ca="1">IFERROR(__xludf.DUMMYFUNCTION("""COMPUTED_VALUE"""),"Dra, Estefania Miranda Sánchez")</f>
        <v>Dra, Estefania Miranda Sánchez</v>
      </c>
      <c r="P928" s="33" t="str">
        <f ca="1">IFERROR(__xludf.DUMMYFUNCTION("""COMPUTED_VALUE"""),"Maika Blázquez (Madrid)")</f>
        <v>Maika Blázquez (Madrid)</v>
      </c>
    </row>
    <row r="929" spans="2:16">
      <c r="B929" s="33">
        <f ca="1">IFERROR(__xludf.DUMMYFUNCTION("""COMPUTED_VALUE"""),2025)</f>
        <v>2025</v>
      </c>
      <c r="C929" s="33">
        <f ca="1">IFERROR(__xludf.DUMMYFUNCTION("""COMPUTED_VALUE"""),7)</f>
        <v>7</v>
      </c>
      <c r="D929" s="33" t="str">
        <f ca="1">IFERROR(__xludf.DUMMYFUNCTION("""COMPUTED_VALUE"""),"NO")</f>
        <v>NO</v>
      </c>
      <c r="E929" s="33" t="str">
        <f ca="1">IFERROR(__xludf.DUMMYFUNCTION("""COMPUTED_VALUE"""),"Talavera")</f>
        <v>Talavera</v>
      </c>
      <c r="F929" s="57">
        <f ca="1">IFERROR(__xludf.DUMMYFUNCTION("""COMPUTED_VALUE"""),45842)</f>
        <v>45842</v>
      </c>
      <c r="G929" s="57">
        <f ca="1">IFERROR(__xludf.DUMMYFUNCTION("""COMPUTED_VALUE"""),45804)</f>
        <v>45804</v>
      </c>
      <c r="H929" s="33" t="str">
        <f ca="1">IFERROR(__xludf.DUMMYFUNCTION("""COMPUTED_VALUE"""),"Talavera")</f>
        <v>Talavera</v>
      </c>
      <c r="I929" s="33" t="str">
        <f ca="1">IFERROR(__xludf.DUMMYFUNCTION("""COMPUTED_VALUE"""),"C202552711150180")</f>
        <v>C202552711150180</v>
      </c>
      <c r="J929" s="33" t="str">
        <f ca="1">IFERROR(__xludf.DUMMYFUNCTION("""COMPUTED_VALUE"""),"GERMAN VEGA FERNANDEZ")</f>
        <v>GERMAN VEGA FERNANDEZ</v>
      </c>
      <c r="K929" s="33">
        <f ca="1">IFERROR(__xludf.DUMMYFUNCTION("""COMPUTED_VALUE"""),2)</f>
        <v>2</v>
      </c>
      <c r="L929" s="203">
        <f ca="1">IFERROR(__xludf.DUMMYFUNCTION("""COMPUTED_VALUE"""),4000)</f>
        <v>4000</v>
      </c>
      <c r="M929" s="33" t="str">
        <f ca="1">IFERROR(__xludf.DUMMYFUNCTION("""COMPUTED_VALUE"""),"03 ORL")</f>
        <v>03 ORL</v>
      </c>
      <c r="N929" s="33" t="str">
        <f ca="1">IFERROR(__xludf.DUMMYFUNCTION("""COMPUTED_VALUE"""),"06 ORL")</f>
        <v>06 ORL</v>
      </c>
      <c r="O929" s="33" t="str">
        <f ca="1">IFERROR(__xludf.DUMMYFUNCTION("""COMPUTED_VALUE"""),"Dra, Ainhoa Moreno Bravo")</f>
        <v>Dra, Ainhoa Moreno Bravo</v>
      </c>
      <c r="P929" s="33" t="str">
        <f ca="1">IFERROR(__xludf.DUMMYFUNCTION("""COMPUTED_VALUE"""),"Lisandro Russian (Madrid, Cáceres, Toledo, Talavera Y Logroño)")</f>
        <v>Lisandro Russian (Madrid, Cáceres, Toledo, Talavera Y Logroño)</v>
      </c>
    </row>
    <row r="930" spans="2:16">
      <c r="B930" s="33">
        <f ca="1">IFERROR(__xludf.DUMMYFUNCTION("""COMPUTED_VALUE"""),2025)</f>
        <v>2025</v>
      </c>
      <c r="C930" s="33">
        <f ca="1">IFERROR(__xludf.DUMMYFUNCTION("""COMPUTED_VALUE"""),7)</f>
        <v>7</v>
      </c>
      <c r="D930" s="33" t="str">
        <f ca="1">IFERROR(__xludf.DUMMYFUNCTION("""COMPUTED_VALUE"""),"NO")</f>
        <v>NO</v>
      </c>
      <c r="E930" s="33" t="str">
        <f ca="1">IFERROR(__xludf.DUMMYFUNCTION("""COMPUTED_VALUE"""),"Alcorcón")</f>
        <v>Alcorcón</v>
      </c>
      <c r="F930" s="57">
        <f ca="1">IFERROR(__xludf.DUMMYFUNCTION("""COMPUTED_VALUE"""),45840)</f>
        <v>45840</v>
      </c>
      <c r="G930" s="57">
        <f ca="1">IFERROR(__xludf.DUMMYFUNCTION("""COMPUTED_VALUE"""),45810)</f>
        <v>45810</v>
      </c>
      <c r="H930" s="33" t="str">
        <f ca="1">IFERROR(__xludf.DUMMYFUNCTION("""COMPUTED_VALUE"""),"Alcorcón")</f>
        <v>Alcorcón</v>
      </c>
      <c r="I930" s="33" t="str">
        <f ca="1">IFERROR(__xludf.DUMMYFUNCTION("""COMPUTED_VALUE"""),"C20256616449783")</f>
        <v>C20256616449783</v>
      </c>
      <c r="J930" s="33" t="str">
        <f ca="1">IFERROR(__xludf.DUMMYFUNCTION("""COMPUTED_VALUE"""),"INES BESCOS CALVO")</f>
        <v>INES BESCOS CALVO</v>
      </c>
      <c r="K930" s="33">
        <f ca="1">IFERROR(__xludf.DUMMYFUNCTION("""COMPUTED_VALUE"""),2)</f>
        <v>2</v>
      </c>
      <c r="L930" s="203">
        <f ca="1">IFERROR(__xludf.DUMMYFUNCTION("""COMPUTED_VALUE"""),2888.18)</f>
        <v>2888.18</v>
      </c>
      <c r="M930" s="33" t="str">
        <f ca="1">IFERROR(__xludf.DUMMYFUNCTION("""COMPUTED_VALUE"""),"03 ORL")</f>
        <v>03 ORL</v>
      </c>
      <c r="N930" s="33" t="str">
        <f ca="1">IFERROR(__xludf.DUMMYFUNCTION("""COMPUTED_VALUE"""),"06 ORL")</f>
        <v>06 ORL</v>
      </c>
      <c r="O930" s="33" t="str">
        <f ca="1">IFERROR(__xludf.DUMMYFUNCTION("""COMPUTED_VALUE"""),"Dr, Adolfo Toledano Muñoz")</f>
        <v>Dr, Adolfo Toledano Muñoz</v>
      </c>
      <c r="P930" s="33" t="str">
        <f ca="1">IFERROR(__xludf.DUMMYFUNCTION("""COMPUTED_VALUE"""),"Maika Blázquez (Madrid)")</f>
        <v>Maika Blázquez (Madrid)</v>
      </c>
    </row>
    <row r="931" spans="2:16">
      <c r="B931" s="33">
        <f ca="1">IFERROR(__xludf.DUMMYFUNCTION("""COMPUTED_VALUE"""),2025)</f>
        <v>2025</v>
      </c>
      <c r="C931" s="33">
        <f ca="1">IFERROR(__xludf.DUMMYFUNCTION("""COMPUTED_VALUE"""),7)</f>
        <v>7</v>
      </c>
      <c r="D931" s="33" t="str">
        <f ca="1">IFERROR(__xludf.DUMMYFUNCTION("""COMPUTED_VALUE"""),"NO")</f>
        <v>NO</v>
      </c>
      <c r="E931" s="33" t="str">
        <f ca="1">IFERROR(__xludf.DUMMYFUNCTION("""COMPUTED_VALUE"""),"Santiago de Compostela")</f>
        <v>Santiago de Compostela</v>
      </c>
      <c r="F931" s="57">
        <f ca="1">IFERROR(__xludf.DUMMYFUNCTION("""COMPUTED_VALUE"""),45861)</f>
        <v>45861</v>
      </c>
      <c r="G931" s="57">
        <f ca="1">IFERROR(__xludf.DUMMYFUNCTION("""COMPUTED_VALUE"""),45841)</f>
        <v>45841</v>
      </c>
      <c r="H931" s="33" t="str">
        <f ca="1">IFERROR(__xludf.DUMMYFUNCTION("""COMPUTED_VALUE"""),"Santiago")</f>
        <v>Santiago</v>
      </c>
      <c r="I931" s="33" t="str">
        <f ca="1">IFERROR(__xludf.DUMMYFUNCTION("""COMPUTED_VALUE"""),"C202573103659476")</f>
        <v>C202573103659476</v>
      </c>
      <c r="J931" s="33" t="str">
        <f ca="1">IFERROR(__xludf.DUMMYFUNCTION("""COMPUTED_VALUE"""),"INES OUBEL SOUTO")</f>
        <v>INES OUBEL SOUTO</v>
      </c>
      <c r="K931" s="33">
        <f ca="1">IFERROR(__xludf.DUMMYFUNCTION("""COMPUTED_VALUE"""),1)</f>
        <v>1</v>
      </c>
      <c r="L931" s="203">
        <f ca="1">IFERROR(__xludf.DUMMYFUNCTION("""COMPUTED_VALUE"""),2400)</f>
        <v>2400</v>
      </c>
      <c r="M931" s="33" t="str">
        <f ca="1">IFERROR(__xludf.DUMMYFUNCTION("""COMPUTED_VALUE"""),"03 ORL")</f>
        <v>03 ORL</v>
      </c>
      <c r="N931" s="33" t="str">
        <f ca="1">IFERROR(__xludf.DUMMYFUNCTION("""COMPUTED_VALUE"""),"06 ORL")</f>
        <v>06 ORL</v>
      </c>
      <c r="O931" s="33" t="str">
        <f ca="1">IFERROR(__xludf.DUMMYFUNCTION("""COMPUTED_VALUE"""),"Dr, Carlos Vidal Redondo")</f>
        <v>Dr, Carlos Vidal Redondo</v>
      </c>
      <c r="P931" s="33" t="str">
        <f ca="1">IFERROR(__xludf.DUMMYFUNCTION("""COMPUTED_VALUE"""),"Roberto Pereira (Galicia)")</f>
        <v>Roberto Pereira (Galicia)</v>
      </c>
    </row>
    <row r="932" spans="2:16">
      <c r="B932" s="33">
        <f ca="1">IFERROR(__xludf.DUMMYFUNCTION("""COMPUTED_VALUE"""),2025)</f>
        <v>2025</v>
      </c>
      <c r="C932" s="33">
        <f ca="1">IFERROR(__xludf.DUMMYFUNCTION("""COMPUTED_VALUE"""),7)</f>
        <v>7</v>
      </c>
      <c r="D932" s="33" t="str">
        <f ca="1">IFERROR(__xludf.DUMMYFUNCTION("""COMPUTED_VALUE"""),"NO")</f>
        <v>NO</v>
      </c>
      <c r="E932" s="33" t="str">
        <f ca="1">IFERROR(__xludf.DUMMYFUNCTION("""COMPUTED_VALUE"""),"Sevilla- Montoto")</f>
        <v>Sevilla- Montoto</v>
      </c>
      <c r="F932" s="57">
        <f ca="1">IFERROR(__xludf.DUMMYFUNCTION("""COMPUTED_VALUE"""),45854)</f>
        <v>45854</v>
      </c>
      <c r="G932" s="57">
        <f ca="1">IFERROR(__xludf.DUMMYFUNCTION("""COMPUTED_VALUE"""),45828)</f>
        <v>45828</v>
      </c>
      <c r="H932" s="33" t="str">
        <f ca="1">IFERROR(__xludf.DUMMYFUNCTION("""COMPUTED_VALUE"""),"Montoto")</f>
        <v>Montoto</v>
      </c>
      <c r="I932" s="33" t="str">
        <f ca="1">IFERROR(__xludf.DUMMYFUNCTION("""COMPUTED_VALUE"""),"C202562693658351")</f>
        <v>C202562693658351</v>
      </c>
      <c r="J932" s="33" t="str">
        <f ca="1">IFERROR(__xludf.DUMMYFUNCTION("""COMPUTED_VALUE"""),"ISABEL NIETO GARCIA")</f>
        <v>ISABEL NIETO GARCIA</v>
      </c>
      <c r="K932" s="33">
        <f ca="1">IFERROR(__xludf.DUMMYFUNCTION("""COMPUTED_VALUE"""),2)</f>
        <v>2</v>
      </c>
      <c r="L932" s="203">
        <f ca="1">IFERROR(__xludf.DUMMYFUNCTION("""COMPUTED_VALUE"""),4531.82)</f>
        <v>4531.82</v>
      </c>
      <c r="M932" s="33" t="str">
        <f ca="1">IFERROR(__xludf.DUMMYFUNCTION("""COMPUTED_VALUE"""),"03 ORL")</f>
        <v>03 ORL</v>
      </c>
      <c r="N932" s="33" t="str">
        <f ca="1">IFERROR(__xludf.DUMMYFUNCTION("""COMPUTED_VALUE"""),"06 ORL")</f>
        <v>06 ORL</v>
      </c>
      <c r="O932" s="33" t="str">
        <f ca="1">IFERROR(__xludf.DUMMYFUNCTION("""COMPUTED_VALUE"""),"Dra, Mercedes Ceballos Cauto")</f>
        <v>Dra, Mercedes Ceballos Cauto</v>
      </c>
      <c r="P932" s="33" t="str">
        <f ca="1">IFERROR(__xludf.DUMMYFUNCTION("""COMPUTED_VALUE"""),"Luis Alberto Rodríguez (Andalucía y Badajoz)")</f>
        <v>Luis Alberto Rodríguez (Andalucía y Badajoz)</v>
      </c>
    </row>
    <row r="933" spans="2:16">
      <c r="B933" s="33">
        <f ca="1">IFERROR(__xludf.DUMMYFUNCTION("""COMPUTED_VALUE"""),2025)</f>
        <v>2025</v>
      </c>
      <c r="C933" s="33">
        <f ca="1">IFERROR(__xludf.DUMMYFUNCTION("""COMPUTED_VALUE"""),7)</f>
        <v>7</v>
      </c>
      <c r="D933" s="33" t="str">
        <f ca="1">IFERROR(__xludf.DUMMYFUNCTION("""COMPUTED_VALUE"""),"NO")</f>
        <v>NO</v>
      </c>
      <c r="E933" s="33" t="str">
        <f ca="1">IFERROR(__xludf.DUMMYFUNCTION("""COMPUTED_VALUE"""),"Leganés")</f>
        <v>Leganés</v>
      </c>
      <c r="F933" s="57">
        <f ca="1">IFERROR(__xludf.DUMMYFUNCTION("""COMPUTED_VALUE"""),45848)</f>
        <v>45848</v>
      </c>
      <c r="G933" s="57">
        <f ca="1">IFERROR(__xludf.DUMMYFUNCTION("""COMPUTED_VALUE"""),45814)</f>
        <v>45814</v>
      </c>
      <c r="H933" s="33" t="str">
        <f ca="1">IFERROR(__xludf.DUMMYFUNCTION("""COMPUTED_VALUE"""),"Leganés")</f>
        <v>Leganés</v>
      </c>
      <c r="I933" s="33" t="str">
        <f ca="1">IFERROR(__xludf.DUMMYFUNCTION("""COMPUTED_VALUE"""),"C202561118242430")</f>
        <v>C202561118242430</v>
      </c>
      <c r="J933" s="33" t="str">
        <f ca="1">IFERROR(__xludf.DUMMYFUNCTION("""COMPUTED_VALUE"""),"ISIDRO BARBA GALLEGO")</f>
        <v>ISIDRO BARBA GALLEGO</v>
      </c>
      <c r="K933" s="33">
        <f ca="1">IFERROR(__xludf.DUMMYFUNCTION("""COMPUTED_VALUE"""),2)</f>
        <v>2</v>
      </c>
      <c r="L933" s="203">
        <f ca="1">IFERROR(__xludf.DUMMYFUNCTION("""COMPUTED_VALUE"""),2722.73)</f>
        <v>2722.73</v>
      </c>
      <c r="M933" s="33" t="str">
        <f ca="1">IFERROR(__xludf.DUMMYFUNCTION("""COMPUTED_VALUE"""),"03 ORL")</f>
        <v>03 ORL</v>
      </c>
      <c r="N933" s="33" t="str">
        <f ca="1">IFERROR(__xludf.DUMMYFUNCTION("""COMPUTED_VALUE"""),"06 ORL")</f>
        <v>06 ORL</v>
      </c>
      <c r="O933" s="33" t="str">
        <f ca="1">IFERROR(__xludf.DUMMYFUNCTION("""COMPUTED_VALUE"""),"Dra, Patricia García Vicente")</f>
        <v>Dra, Patricia García Vicente</v>
      </c>
      <c r="P933" s="33" t="str">
        <f ca="1">IFERROR(__xludf.DUMMYFUNCTION("""COMPUTED_VALUE"""),"Maika Blázquez (Madrid)")</f>
        <v>Maika Blázquez (Madrid)</v>
      </c>
    </row>
    <row r="934" spans="2:16">
      <c r="B934" s="33">
        <f ca="1">IFERROR(__xludf.DUMMYFUNCTION("""COMPUTED_VALUE"""),2025)</f>
        <v>2025</v>
      </c>
      <c r="C934" s="33">
        <f ca="1">IFERROR(__xludf.DUMMYFUNCTION("""COMPUTED_VALUE"""),7)</f>
        <v>7</v>
      </c>
      <c r="D934" s="33" t="str">
        <f ca="1">IFERROR(__xludf.DUMMYFUNCTION("""COMPUTED_VALUE"""),"NO")</f>
        <v>NO</v>
      </c>
      <c r="E934" s="33" t="str">
        <f ca="1">IFERROR(__xludf.DUMMYFUNCTION("""COMPUTED_VALUE"""),"Orihuela")</f>
        <v>Orihuela</v>
      </c>
      <c r="F934" s="57">
        <f ca="1">IFERROR(__xludf.DUMMYFUNCTION("""COMPUTED_VALUE"""),45846)</f>
        <v>45846</v>
      </c>
      <c r="G934" s="57">
        <f ca="1">IFERROR(__xludf.DUMMYFUNCTION("""COMPUTED_VALUE"""),45827)</f>
        <v>45827</v>
      </c>
      <c r="H934" s="33" t="str">
        <f ca="1">IFERROR(__xludf.DUMMYFUNCTION("""COMPUTED_VALUE"""),"La Zenia")</f>
        <v>La Zenia</v>
      </c>
      <c r="I934" s="33" t="str">
        <f ca="1">IFERROR(__xludf.DUMMYFUNCTION("""COMPUTED_VALUE"""),"C202562015519620")</f>
        <v>C202562015519620</v>
      </c>
      <c r="J934" s="33" t="str">
        <f ca="1">IFERROR(__xludf.DUMMYFUNCTION("""COMPUTED_VALUE"""),"JACQUELINE DENISE PRIOR")</f>
        <v>JACQUELINE DENISE PRIOR</v>
      </c>
      <c r="K934" s="33">
        <f ca="1">IFERROR(__xludf.DUMMYFUNCTION("""COMPUTED_VALUE"""),1)</f>
        <v>1</v>
      </c>
      <c r="L934" s="203">
        <f ca="1">IFERROR(__xludf.DUMMYFUNCTION("""COMPUTED_VALUE"""),2400)</f>
        <v>2400</v>
      </c>
      <c r="M934" s="33" t="str">
        <f ca="1">IFERROR(__xludf.DUMMYFUNCTION("""COMPUTED_VALUE"""),"03 ORL")</f>
        <v>03 ORL</v>
      </c>
      <c r="N934" s="33" t="str">
        <f ca="1">IFERROR(__xludf.DUMMYFUNCTION("""COMPUTED_VALUE"""),"06 ORL")</f>
        <v>06 ORL</v>
      </c>
      <c r="O934" s="33" t="str">
        <f ca="1">IFERROR(__xludf.DUMMYFUNCTION("""COMPUTED_VALUE"""),"Dr, José García Morillas")</f>
        <v>Dr, José García Morillas</v>
      </c>
      <c r="P934" s="33" t="str">
        <f ca="1">IFERROR(__xludf.DUMMYFUNCTION("""COMPUTED_VALUE"""),"Iván Sánchez (Levante Y Albacete)")</f>
        <v>Iván Sánchez (Levante Y Albacete)</v>
      </c>
    </row>
    <row r="935" spans="2:16">
      <c r="B935" s="33">
        <f ca="1">IFERROR(__xludf.DUMMYFUNCTION("""COMPUTED_VALUE"""),2025)</f>
        <v>2025</v>
      </c>
      <c r="C935" s="33">
        <f ca="1">IFERROR(__xludf.DUMMYFUNCTION("""COMPUTED_VALUE"""),7)</f>
        <v>7</v>
      </c>
      <c r="D935" s="33" t="str">
        <f ca="1">IFERROR(__xludf.DUMMYFUNCTION("""COMPUTED_VALUE"""),"NO")</f>
        <v>NO</v>
      </c>
      <c r="E935" s="33" t="str">
        <f ca="1">IFERROR(__xludf.DUMMYFUNCTION("""COMPUTED_VALUE"""),"San Javier")</f>
        <v>San Javier</v>
      </c>
      <c r="F935" s="57">
        <f ca="1">IFERROR(__xludf.DUMMYFUNCTION("""COMPUTED_VALUE"""),45862)</f>
        <v>45862</v>
      </c>
      <c r="G935" s="57">
        <f ca="1">IFERROR(__xludf.DUMMYFUNCTION("""COMPUTED_VALUE"""),45838)</f>
        <v>45838</v>
      </c>
      <c r="H935" s="33" t="str">
        <f ca="1">IFERROR(__xludf.DUMMYFUNCTION("""COMPUTED_VALUE"""),"San Javier")</f>
        <v>San Javier</v>
      </c>
      <c r="I935" s="33" t="str">
        <f ca="1">IFERROR(__xludf.DUMMYFUNCTION("""COMPUTED_VALUE"""),"C202571184852573")</f>
        <v>C202571184852573</v>
      </c>
      <c r="J935" s="33" t="str">
        <f ca="1">IFERROR(__xludf.DUMMYFUNCTION("""COMPUTED_VALUE"""),"JESUS HILARIO GARCIA SANCHEZ")</f>
        <v>JESUS HILARIO GARCIA SANCHEZ</v>
      </c>
      <c r="K935" s="33">
        <f ca="1">IFERROR(__xludf.DUMMYFUNCTION("""COMPUTED_VALUE"""),1)</f>
        <v>1</v>
      </c>
      <c r="L935" s="203">
        <f ca="1">IFERROR(__xludf.DUMMYFUNCTION("""COMPUTED_VALUE"""),2292.73)</f>
        <v>2292.73</v>
      </c>
      <c r="M935" s="33" t="str">
        <f ca="1">IFERROR(__xludf.DUMMYFUNCTION("""COMPUTED_VALUE"""),"03 ORL")</f>
        <v>03 ORL</v>
      </c>
      <c r="N935" s="33" t="str">
        <f ca="1">IFERROR(__xludf.DUMMYFUNCTION("""COMPUTED_VALUE"""),"06 ORL")</f>
        <v>06 ORL</v>
      </c>
      <c r="O935" s="33" t="str">
        <f ca="1">IFERROR(__xludf.DUMMYFUNCTION("""COMPUTED_VALUE"""),"Dra, Elena Sevilla Heras")</f>
        <v>Dra, Elena Sevilla Heras</v>
      </c>
      <c r="P935" s="33" t="str">
        <f ca="1">IFERROR(__xludf.DUMMYFUNCTION("""COMPUTED_VALUE"""),"Iván Sánchez (Levante Y Albacete)")</f>
        <v>Iván Sánchez (Levante Y Albacete)</v>
      </c>
    </row>
    <row r="936" spans="2:16">
      <c r="B936" s="33">
        <f ca="1">IFERROR(__xludf.DUMMYFUNCTION("""COMPUTED_VALUE"""),2025)</f>
        <v>2025</v>
      </c>
      <c r="C936" s="33">
        <f ca="1">IFERROR(__xludf.DUMMYFUNCTION("""COMPUTED_VALUE"""),7)</f>
        <v>7</v>
      </c>
      <c r="D936" s="33" t="str">
        <f ca="1">IFERROR(__xludf.DUMMYFUNCTION("""COMPUTED_VALUE"""),"NO")</f>
        <v>NO</v>
      </c>
      <c r="E936" s="33" t="str">
        <f ca="1">IFERROR(__xludf.DUMMYFUNCTION("""COMPUTED_VALUE"""),"Valencia- Parra")</f>
        <v>Valencia- Parra</v>
      </c>
      <c r="F936" s="57">
        <f ca="1">IFERROR(__xludf.DUMMYFUNCTION("""COMPUTED_VALUE"""),45839)</f>
        <v>45839</v>
      </c>
      <c r="G936" s="57">
        <f ca="1">IFERROR(__xludf.DUMMYFUNCTION("""COMPUTED_VALUE"""),45742)</f>
        <v>45742</v>
      </c>
      <c r="H936" s="33" t="str">
        <f ca="1">IFERROR(__xludf.DUMMYFUNCTION("""COMPUTED_VALUE"""),"Valencia- Parra")</f>
        <v>Valencia- Parra</v>
      </c>
      <c r="I936" s="33" t="str">
        <f ca="1">IFERROR(__xludf.DUMMYFUNCTION("""COMPUTED_VALUE"""),"C202543173952676")</f>
        <v>C202543173952676</v>
      </c>
      <c r="J936" s="33" t="str">
        <f ca="1">IFERROR(__xludf.DUMMYFUNCTION("""COMPUTED_VALUE"""),"JORGE ARTURO ALONSO BERZOSA")</f>
        <v>JORGE ARTURO ALONSO BERZOSA</v>
      </c>
      <c r="K936" s="33">
        <f ca="1">IFERROR(__xludf.DUMMYFUNCTION("""COMPUTED_VALUE"""),1)</f>
        <v>1</v>
      </c>
      <c r="L936" s="203">
        <f ca="1">IFERROR(__xludf.DUMMYFUNCTION("""COMPUTED_VALUE"""),2640)</f>
        <v>2640</v>
      </c>
      <c r="M936" s="33" t="str">
        <f ca="1">IFERROR(__xludf.DUMMYFUNCTION("""COMPUTED_VALUE"""),"03 ORL")</f>
        <v>03 ORL</v>
      </c>
      <c r="N936" s="33" t="str">
        <f ca="1">IFERROR(__xludf.DUMMYFUNCTION("""COMPUTED_VALUE"""),"06 ORL")</f>
        <v>06 ORL</v>
      </c>
      <c r="O936" s="33" t="str">
        <f ca="1">IFERROR(__xludf.DUMMYFUNCTION("""COMPUTED_VALUE"""),"Dr, Álvaro Pérez Llinares")</f>
        <v>Dr, Álvaro Pérez Llinares</v>
      </c>
      <c r="P936" s="33" t="str">
        <f ca="1">IFERROR(__xludf.DUMMYFUNCTION("""COMPUTED_VALUE"""),"Ramon Ferrando(Valencia)")</f>
        <v>Ramon Ferrando(Valencia)</v>
      </c>
    </row>
    <row r="937" spans="2:16">
      <c r="B937" s="33">
        <f ca="1">IFERROR(__xludf.DUMMYFUNCTION("""COMPUTED_VALUE"""),2025)</f>
        <v>2025</v>
      </c>
      <c r="C937" s="33">
        <f ca="1">IFERROR(__xludf.DUMMYFUNCTION("""COMPUTED_VALUE"""),7)</f>
        <v>7</v>
      </c>
      <c r="D937" s="33" t="str">
        <f ca="1">IFERROR(__xludf.DUMMYFUNCTION("""COMPUTED_VALUE"""),"NO")</f>
        <v>NO</v>
      </c>
      <c r="E937" s="33" t="str">
        <f ca="1">IFERROR(__xludf.DUMMYFUNCTION("""COMPUTED_VALUE"""),"Murcia")</f>
        <v>Murcia</v>
      </c>
      <c r="F937" s="57">
        <f ca="1">IFERROR(__xludf.DUMMYFUNCTION("""COMPUTED_VALUE"""),45863)</f>
        <v>45863</v>
      </c>
      <c r="G937" s="57">
        <f ca="1">IFERROR(__xludf.DUMMYFUNCTION("""COMPUTED_VALUE"""),45847)</f>
        <v>45847</v>
      </c>
      <c r="H937" s="33" t="str">
        <f ca="1">IFERROR(__xludf.DUMMYFUNCTION("""COMPUTED_VALUE"""),"Murcia")</f>
        <v>Murcia</v>
      </c>
      <c r="I937" s="33" t="str">
        <f ca="1">IFERROR(__xludf.DUMMYFUNCTION("""COMPUTED_VALUE"""),"C202579164940333")</f>
        <v>C202579164940333</v>
      </c>
      <c r="J937" s="33" t="str">
        <f ca="1">IFERROR(__xludf.DUMMYFUNCTION("""COMPUTED_VALUE"""),"JOSE ANTONIO MERENCIANO LOPEZ")</f>
        <v>JOSE ANTONIO MERENCIANO LOPEZ</v>
      </c>
      <c r="K937" s="33">
        <f ca="1">IFERROR(__xludf.DUMMYFUNCTION("""COMPUTED_VALUE"""),2)</f>
        <v>2</v>
      </c>
      <c r="L937" s="203">
        <f ca="1">IFERROR(__xludf.DUMMYFUNCTION("""COMPUTED_VALUE"""),2582.73)</f>
        <v>2582.73</v>
      </c>
      <c r="M937" s="33" t="str">
        <f ca="1">IFERROR(__xludf.DUMMYFUNCTION("""COMPUTED_VALUE"""),"03 ORL")</f>
        <v>03 ORL</v>
      </c>
      <c r="N937" s="33" t="str">
        <f ca="1">IFERROR(__xludf.DUMMYFUNCTION("""COMPUTED_VALUE"""),"06 ORL")</f>
        <v>06 ORL</v>
      </c>
      <c r="O937" s="33" t="str">
        <f ca="1">IFERROR(__xludf.DUMMYFUNCTION("""COMPUTED_VALUE"""),"No recuerda ORL")</f>
        <v>No recuerda ORL</v>
      </c>
      <c r="P937" s="33" t="str">
        <f ca="1">IFERROR(__xludf.DUMMYFUNCTION("""COMPUTED_VALUE"""),"Iván Sánchez (Levante Y Albacete)")</f>
        <v>Iván Sánchez (Levante Y Albacete)</v>
      </c>
    </row>
    <row r="938" spans="2:16">
      <c r="B938" s="33">
        <f ca="1">IFERROR(__xludf.DUMMYFUNCTION("""COMPUTED_VALUE"""),2025)</f>
        <v>2025</v>
      </c>
      <c r="C938" s="33">
        <f ca="1">IFERROR(__xludf.DUMMYFUNCTION("""COMPUTED_VALUE"""),7)</f>
        <v>7</v>
      </c>
      <c r="D938" s="33" t="str">
        <f ca="1">IFERROR(__xludf.DUMMYFUNCTION("""COMPUTED_VALUE"""),"NO")</f>
        <v>NO</v>
      </c>
      <c r="E938" s="33" t="str">
        <f ca="1">IFERROR(__xludf.DUMMYFUNCTION("""COMPUTED_VALUE"""),"Hospitalet de Llobregat")</f>
        <v>Hospitalet de Llobregat</v>
      </c>
      <c r="F938" s="57">
        <f ca="1">IFERROR(__xludf.DUMMYFUNCTION("""COMPUTED_VALUE"""),45842)</f>
        <v>45842</v>
      </c>
      <c r="G938" s="57">
        <f ca="1">IFERROR(__xludf.DUMMYFUNCTION("""COMPUTED_VALUE"""),45806)</f>
        <v>45806</v>
      </c>
      <c r="H938" s="33" t="str">
        <f ca="1">IFERROR(__xludf.DUMMYFUNCTION("""COMPUTED_VALUE"""),"Hospitalet")</f>
        <v>Hospitalet</v>
      </c>
      <c r="I938" s="33" t="str">
        <f ca="1">IFERROR(__xludf.DUMMYFUNCTION("""COMPUTED_VALUE"""),"C202565103355633")</f>
        <v>C202565103355633</v>
      </c>
      <c r="J938" s="33" t="str">
        <f ca="1">IFERROR(__xludf.DUMMYFUNCTION("""COMPUTED_VALUE"""),"Jose Antonio Polanco Mora")</f>
        <v>Jose Antonio Polanco Mora</v>
      </c>
      <c r="K938" s="33">
        <f ca="1">IFERROR(__xludf.DUMMYFUNCTION("""COMPUTED_VALUE"""),2)</f>
        <v>2</v>
      </c>
      <c r="L938" s="203">
        <f ca="1">IFERROR(__xludf.DUMMYFUNCTION("""COMPUTED_VALUE"""),2586.59)</f>
        <v>2586.59</v>
      </c>
      <c r="M938" s="33" t="str">
        <f ca="1">IFERROR(__xludf.DUMMYFUNCTION("""COMPUTED_VALUE"""),"03 ORL")</f>
        <v>03 ORL</v>
      </c>
      <c r="N938" s="33" t="str">
        <f ca="1">IFERROR(__xludf.DUMMYFUNCTION("""COMPUTED_VALUE"""),"06 ORL")</f>
        <v>06 ORL</v>
      </c>
      <c r="O938" s="33" t="str">
        <f ca="1">IFERROR(__xludf.DUMMYFUNCTION("""COMPUTED_VALUE"""),"Dr, Jesus-Maria Grasa Pérez")</f>
        <v>Dr, Jesus-Maria Grasa Pérez</v>
      </c>
      <c r="P938" s="33" t="str">
        <f ca="1">IFERROR(__xludf.DUMMYFUNCTION("""COMPUTED_VALUE"""),"Mercè Cabrera (Cataluña Y Baleares)")</f>
        <v>Mercè Cabrera (Cataluña Y Baleares)</v>
      </c>
    </row>
    <row r="939" spans="2:16">
      <c r="B939" s="33">
        <f ca="1">IFERROR(__xludf.DUMMYFUNCTION("""COMPUTED_VALUE"""),2025)</f>
        <v>2025</v>
      </c>
      <c r="C939" s="33">
        <f ca="1">IFERROR(__xludf.DUMMYFUNCTION("""COMPUTED_VALUE"""),7)</f>
        <v>7</v>
      </c>
      <c r="D939" s="33" t="str">
        <f ca="1">IFERROR(__xludf.DUMMYFUNCTION("""COMPUTED_VALUE"""),"NO")</f>
        <v>NO</v>
      </c>
      <c r="E939" s="33" t="str">
        <f ca="1">IFERROR(__xludf.DUMMYFUNCTION("""COMPUTED_VALUE"""),"Madrid- Monforte de Lemos")</f>
        <v>Madrid- Monforte de Lemos</v>
      </c>
      <c r="F939" s="57">
        <f ca="1">IFERROR(__xludf.DUMMYFUNCTION("""COMPUTED_VALUE"""),45839)</f>
        <v>45839</v>
      </c>
      <c r="G939" s="57">
        <f ca="1">IFERROR(__xludf.DUMMYFUNCTION("""COMPUTED_VALUE"""),45819)</f>
        <v>45819</v>
      </c>
      <c r="H939" s="33" t="str">
        <f ca="1">IFERROR(__xludf.DUMMYFUNCTION("""COMPUTED_VALUE"""),"La Vaguada")</f>
        <v>La Vaguada</v>
      </c>
      <c r="I939" s="33" t="str">
        <f ca="1">IFERROR(__xludf.DUMMYFUNCTION("""COMPUTED_VALUE"""),"C2025616163711349")</f>
        <v>C2025616163711349</v>
      </c>
      <c r="J939" s="33" t="str">
        <f ca="1">IFERROR(__xludf.DUMMYFUNCTION("""COMPUTED_VALUE"""),"JOSE MARIA DE MORETA GARCIA")</f>
        <v>JOSE MARIA DE MORETA GARCIA</v>
      </c>
      <c r="K939" s="33">
        <f ca="1">IFERROR(__xludf.DUMMYFUNCTION("""COMPUTED_VALUE"""),2)</f>
        <v>2</v>
      </c>
      <c r="L939" s="203">
        <f ca="1">IFERROR(__xludf.DUMMYFUNCTION("""COMPUTED_VALUE"""),3574.55)</f>
        <v>3574.55</v>
      </c>
      <c r="M939" s="33" t="str">
        <f ca="1">IFERROR(__xludf.DUMMYFUNCTION("""COMPUTED_VALUE"""),"03 ORL")</f>
        <v>03 ORL</v>
      </c>
      <c r="N939" s="33" t="str">
        <f ca="1">IFERROR(__xludf.DUMMYFUNCTION("""COMPUTED_VALUE"""),"06 ORL")</f>
        <v>06 ORL</v>
      </c>
      <c r="O939" s="33" t="str">
        <f ca="1">IFERROR(__xludf.DUMMYFUNCTION("""COMPUTED_VALUE"""),"Dr, Guillermo San Juan de la Moreta")</f>
        <v>Dr, Guillermo San Juan de la Moreta</v>
      </c>
      <c r="P939" s="33" t="str">
        <f ca="1">IFERROR(__xludf.DUMMYFUNCTION("""COMPUTED_VALUE"""),"Maika Blázquez (Madrid)")</f>
        <v>Maika Blázquez (Madrid)</v>
      </c>
    </row>
    <row r="940" spans="2:16">
      <c r="B940" s="33">
        <f ca="1">IFERROR(__xludf.DUMMYFUNCTION("""COMPUTED_VALUE"""),2025)</f>
        <v>2025</v>
      </c>
      <c r="C940" s="33">
        <f ca="1">IFERROR(__xludf.DUMMYFUNCTION("""COMPUTED_VALUE"""),7)</f>
        <v>7</v>
      </c>
      <c r="D940" s="33" t="str">
        <f ca="1">IFERROR(__xludf.DUMMYFUNCTION("""COMPUTED_VALUE"""),"NO")</f>
        <v>NO</v>
      </c>
      <c r="E940" s="33" t="str">
        <f ca="1">IFERROR(__xludf.DUMMYFUNCTION("""COMPUTED_VALUE"""),"San Javier")</f>
        <v>San Javier</v>
      </c>
      <c r="F940" s="57">
        <f ca="1">IFERROR(__xludf.DUMMYFUNCTION("""COMPUTED_VALUE"""),45853)</f>
        <v>45853</v>
      </c>
      <c r="G940" s="57">
        <f ca="1">IFERROR(__xludf.DUMMYFUNCTION("""COMPUTED_VALUE"""),45831)</f>
        <v>45831</v>
      </c>
      <c r="H940" s="33" t="str">
        <f ca="1">IFERROR(__xludf.DUMMYFUNCTION("""COMPUTED_VALUE"""),"San Javier")</f>
        <v>San Javier</v>
      </c>
      <c r="I940" s="33" t="str">
        <f ca="1">IFERROR(__xludf.DUMMYFUNCTION("""COMPUTED_VALUE"""),"C2025626105110809")</f>
        <v>C2025626105110809</v>
      </c>
      <c r="J940" s="33" t="str">
        <f ca="1">IFERROR(__xludf.DUMMYFUNCTION("""COMPUTED_VALUE"""),"JOSE MARIA MARCELINO SOTILLO TORIJA")</f>
        <v>JOSE MARIA MARCELINO SOTILLO TORIJA</v>
      </c>
      <c r="K940" s="33">
        <f ca="1">IFERROR(__xludf.DUMMYFUNCTION("""COMPUTED_VALUE"""),2)</f>
        <v>2</v>
      </c>
      <c r="L940" s="203">
        <f ca="1">IFERROR(__xludf.DUMMYFUNCTION("""COMPUTED_VALUE"""),3730)</f>
        <v>3730</v>
      </c>
      <c r="M940" s="33" t="str">
        <f ca="1">IFERROR(__xludf.DUMMYFUNCTION("""COMPUTED_VALUE"""),"03 ORL")</f>
        <v>03 ORL</v>
      </c>
      <c r="N940" s="33" t="str">
        <f ca="1">IFERROR(__xludf.DUMMYFUNCTION("""COMPUTED_VALUE"""),"06 ORL")</f>
        <v>06 ORL</v>
      </c>
      <c r="O940" s="33" t="str">
        <f ca="1">IFERROR(__xludf.DUMMYFUNCTION("""COMPUTED_VALUE"""),"Dr, Alberto Raposo Jiménez")</f>
        <v>Dr, Alberto Raposo Jiménez</v>
      </c>
      <c r="P940" s="33" t="str">
        <f ca="1">IFERROR(__xludf.DUMMYFUNCTION("""COMPUTED_VALUE"""),"Iván Sánchez (Levante Y Albacete)")</f>
        <v>Iván Sánchez (Levante Y Albacete)</v>
      </c>
    </row>
    <row r="941" spans="2:16">
      <c r="B941" s="33">
        <f ca="1">IFERROR(__xludf.DUMMYFUNCTION("""COMPUTED_VALUE"""),2025)</f>
        <v>2025</v>
      </c>
      <c r="C941" s="33">
        <f ca="1">IFERROR(__xludf.DUMMYFUNCTION("""COMPUTED_VALUE"""),7)</f>
        <v>7</v>
      </c>
      <c r="D941" s="33" t="str">
        <f ca="1">IFERROR(__xludf.DUMMYFUNCTION("""COMPUTED_VALUE"""),"NO")</f>
        <v>NO</v>
      </c>
      <c r="E941" s="33" t="str">
        <f ca="1">IFERROR(__xludf.DUMMYFUNCTION("""COMPUTED_VALUE"""),"Madrid- Costa Rica")</f>
        <v>Madrid- Costa Rica</v>
      </c>
      <c r="F941" s="57">
        <f ca="1">IFERROR(__xludf.DUMMYFUNCTION("""COMPUTED_VALUE"""),45855)</f>
        <v>45855</v>
      </c>
      <c r="G941" s="57">
        <f ca="1">IFERROR(__xludf.DUMMYFUNCTION("""COMPUTED_VALUE"""),45824)</f>
        <v>45824</v>
      </c>
      <c r="H941" s="33" t="str">
        <f ca="1">IFERROR(__xludf.DUMMYFUNCTION("""COMPUTED_VALUE"""),"Costa Rica")</f>
        <v>Costa Rica</v>
      </c>
      <c r="I941" s="33" t="str">
        <f ca="1">IFERROR(__xludf.DUMMYFUNCTION("""COMPUTED_VALUE"""),"C2025618111733236")</f>
        <v>C2025618111733236</v>
      </c>
      <c r="J941" s="33" t="str">
        <f ca="1">IFERROR(__xludf.DUMMYFUNCTION("""COMPUTED_VALUE"""),"JOSE RAMON GIL NOVOA")</f>
        <v>JOSE RAMON GIL NOVOA</v>
      </c>
      <c r="K941" s="33">
        <f ca="1">IFERROR(__xludf.DUMMYFUNCTION("""COMPUTED_VALUE"""),2)</f>
        <v>2</v>
      </c>
      <c r="L941" s="203">
        <f ca="1">IFERROR(__xludf.DUMMYFUNCTION("""COMPUTED_VALUE"""),2888.18)</f>
        <v>2888.18</v>
      </c>
      <c r="M941" s="33" t="str">
        <f ca="1">IFERROR(__xludf.DUMMYFUNCTION("""COMPUTED_VALUE"""),"03 ORL")</f>
        <v>03 ORL</v>
      </c>
      <c r="N941" s="33" t="str">
        <f ca="1">IFERROR(__xludf.DUMMYFUNCTION("""COMPUTED_VALUE"""),"06 ORL")</f>
        <v>06 ORL</v>
      </c>
      <c r="O941" s="33" t="str">
        <f ca="1">IFERROR(__xludf.DUMMYFUNCTION("""COMPUTED_VALUE"""),"Dr, José Gustavo Barroso Braojos")</f>
        <v>Dr, José Gustavo Barroso Braojos</v>
      </c>
      <c r="P941" s="33" t="str">
        <f ca="1">IFERROR(__xludf.DUMMYFUNCTION("""COMPUTED_VALUE"""),"Maika Blázquez (Madrid)")</f>
        <v>Maika Blázquez (Madrid)</v>
      </c>
    </row>
    <row r="942" spans="2:16">
      <c r="B942" s="33">
        <f ca="1">IFERROR(__xludf.DUMMYFUNCTION("""COMPUTED_VALUE"""),2025)</f>
        <v>2025</v>
      </c>
      <c r="C942" s="33">
        <f ca="1">IFERROR(__xludf.DUMMYFUNCTION("""COMPUTED_VALUE"""),7)</f>
        <v>7</v>
      </c>
      <c r="D942" s="33" t="str">
        <f ca="1">IFERROR(__xludf.DUMMYFUNCTION("""COMPUTED_VALUE"""),"NO")</f>
        <v>NO</v>
      </c>
      <c r="E942" s="33" t="str">
        <f ca="1">IFERROR(__xludf.DUMMYFUNCTION("""COMPUTED_VALUE"""),"Lugo")</f>
        <v>Lugo</v>
      </c>
      <c r="F942" s="57">
        <f ca="1">IFERROR(__xludf.DUMMYFUNCTION("""COMPUTED_VALUE"""),45860)</f>
        <v>45860</v>
      </c>
      <c r="G942" s="57">
        <f ca="1">IFERROR(__xludf.DUMMYFUNCTION("""COMPUTED_VALUE"""),45811)</f>
        <v>45811</v>
      </c>
      <c r="H942" s="33" t="str">
        <f ca="1">IFERROR(__xludf.DUMMYFUNCTION("""COMPUTED_VALUE"""),"Lugo")</f>
        <v>Lugo</v>
      </c>
      <c r="I942" s="33" t="str">
        <f ca="1">IFERROR(__xludf.DUMMYFUNCTION("""COMPUTED_VALUE"""),"C202563171625513")</f>
        <v>C202563171625513</v>
      </c>
      <c r="J942" s="33" t="str">
        <f ca="1">IFERROR(__xludf.DUMMYFUNCTION("""COMPUTED_VALUE"""),"JOSEFA  GINZO FERNANDEZ")</f>
        <v>JOSEFA  GINZO FERNANDEZ</v>
      </c>
      <c r="K942" s="33">
        <f ca="1">IFERROR(__xludf.DUMMYFUNCTION("""COMPUTED_VALUE"""),1)</f>
        <v>1</v>
      </c>
      <c r="L942" s="203">
        <f ca="1">IFERROR(__xludf.DUMMYFUNCTION("""COMPUTED_VALUE"""),620.36)</f>
        <v>620.36</v>
      </c>
      <c r="M942" s="33" t="str">
        <f ca="1">IFERROR(__xludf.DUMMYFUNCTION("""COMPUTED_VALUE"""),"03 ORL")</f>
        <v>03 ORL</v>
      </c>
      <c r="N942" s="33" t="str">
        <f ca="1">IFERROR(__xludf.DUMMYFUNCTION("""COMPUTED_VALUE"""),"06 ORL")</f>
        <v>06 ORL</v>
      </c>
      <c r="O942" s="33" t="str">
        <f ca="1">IFERROR(__xludf.DUMMYFUNCTION("""COMPUTED_VALUE"""),"Dr, Pedro Juiz López")</f>
        <v>Dr, Pedro Juiz López</v>
      </c>
      <c r="P942" s="33" t="str">
        <f ca="1">IFERROR(__xludf.DUMMYFUNCTION("""COMPUTED_VALUE"""),"Roberto Pereira (Galicia)")</f>
        <v>Roberto Pereira (Galicia)</v>
      </c>
    </row>
    <row r="943" spans="2:16">
      <c r="B943" s="33">
        <f ca="1">IFERROR(__xludf.DUMMYFUNCTION("""COMPUTED_VALUE"""),2025)</f>
        <v>2025</v>
      </c>
      <c r="C943" s="33">
        <f ca="1">IFERROR(__xludf.DUMMYFUNCTION("""COMPUTED_VALUE"""),7)</f>
        <v>7</v>
      </c>
      <c r="D943" s="33" t="str">
        <f ca="1">IFERROR(__xludf.DUMMYFUNCTION("""COMPUTED_VALUE"""),"NO")</f>
        <v>NO</v>
      </c>
      <c r="E943" s="33" t="str">
        <f ca="1">IFERROR(__xludf.DUMMYFUNCTION("""COMPUTED_VALUE"""),"Leganés")</f>
        <v>Leganés</v>
      </c>
      <c r="F943" s="57">
        <f ca="1">IFERROR(__xludf.DUMMYFUNCTION("""COMPUTED_VALUE"""),45849)</f>
        <v>45849</v>
      </c>
      <c r="G943" s="57">
        <f ca="1">IFERROR(__xludf.DUMMYFUNCTION("""COMPUTED_VALUE"""),45819)</f>
        <v>45819</v>
      </c>
      <c r="H943" s="33" t="str">
        <f ca="1">IFERROR(__xludf.DUMMYFUNCTION("""COMPUTED_VALUE"""),"Leganés")</f>
        <v>Leganés</v>
      </c>
      <c r="I943" s="33" t="str">
        <f ca="1">IFERROR(__xludf.DUMMYFUNCTION("""COMPUTED_VALUE"""),"C202561718121172")</f>
        <v>C202561718121172</v>
      </c>
      <c r="J943" s="33" t="str">
        <f ca="1">IFERROR(__xludf.DUMMYFUNCTION("""COMPUTED_VALUE"""),"JOSEFA ISASIS JUAREZ")</f>
        <v>JOSEFA ISASIS JUAREZ</v>
      </c>
      <c r="K943" s="33">
        <f ca="1">IFERROR(__xludf.DUMMYFUNCTION("""COMPUTED_VALUE"""),2)</f>
        <v>2</v>
      </c>
      <c r="L943" s="203">
        <f ca="1">IFERROR(__xludf.DUMMYFUNCTION("""COMPUTED_VALUE"""),3604.55)</f>
        <v>3604.55</v>
      </c>
      <c r="M943" s="33" t="str">
        <f ca="1">IFERROR(__xludf.DUMMYFUNCTION("""COMPUTED_VALUE"""),"03 ORL")</f>
        <v>03 ORL</v>
      </c>
      <c r="N943" s="33" t="str">
        <f ca="1">IFERROR(__xludf.DUMMYFUNCTION("""COMPUTED_VALUE"""),"06 ORL")</f>
        <v>06 ORL</v>
      </c>
      <c r="O943" s="33" t="str">
        <f ca="1">IFERROR(__xludf.DUMMYFUNCTION("""COMPUTED_VALUE"""),"Dra, Ana Ruiz Fornells Noreña")</f>
        <v>Dra, Ana Ruiz Fornells Noreña</v>
      </c>
      <c r="P943" s="33" t="str">
        <f ca="1">IFERROR(__xludf.DUMMYFUNCTION("""COMPUTED_VALUE"""),"Maika Blázquez (Madrid)")</f>
        <v>Maika Blázquez (Madrid)</v>
      </c>
    </row>
    <row r="944" spans="2:16">
      <c r="B944" s="33">
        <f ca="1">IFERROR(__xludf.DUMMYFUNCTION("""COMPUTED_VALUE"""),2025)</f>
        <v>2025</v>
      </c>
      <c r="C944" s="33">
        <f ca="1">IFERROR(__xludf.DUMMYFUNCTION("""COMPUTED_VALUE"""),7)</f>
        <v>7</v>
      </c>
      <c r="D944" s="33" t="str">
        <f ca="1">IFERROR(__xludf.DUMMYFUNCTION("""COMPUTED_VALUE"""),"NO")</f>
        <v>NO</v>
      </c>
      <c r="E944" s="33" t="str">
        <f ca="1">IFERROR(__xludf.DUMMYFUNCTION("""COMPUTED_VALUE"""),"San Javier")</f>
        <v>San Javier</v>
      </c>
      <c r="F944" s="57">
        <f ca="1">IFERROR(__xludf.DUMMYFUNCTION("""COMPUTED_VALUE"""),45853)</f>
        <v>45853</v>
      </c>
      <c r="G944" s="57">
        <f ca="1">IFERROR(__xludf.DUMMYFUNCTION("""COMPUTED_VALUE"""),45831)</f>
        <v>45831</v>
      </c>
      <c r="H944" s="33" t="str">
        <f ca="1">IFERROR(__xludf.DUMMYFUNCTION("""COMPUTED_VALUE"""),"San Javier")</f>
        <v>San Javier</v>
      </c>
      <c r="I944" s="33" t="str">
        <f ca="1">IFERROR(__xludf.DUMMYFUNCTION("""COMPUTED_VALUE"""),"C2025625173212480")</f>
        <v>C2025625173212480</v>
      </c>
      <c r="J944" s="33" t="str">
        <f ca="1">IFERROR(__xludf.DUMMYFUNCTION("""COMPUTED_VALUE"""),"JOSEFA MARTINEZ SAURA")</f>
        <v>JOSEFA MARTINEZ SAURA</v>
      </c>
      <c r="K944" s="33">
        <f ca="1">IFERROR(__xludf.DUMMYFUNCTION("""COMPUTED_VALUE"""),2)</f>
        <v>2</v>
      </c>
      <c r="L944" s="203">
        <f ca="1">IFERROR(__xludf.DUMMYFUNCTION("""COMPUTED_VALUE"""),2974.55)</f>
        <v>2974.55</v>
      </c>
      <c r="M944" s="33" t="str">
        <f ca="1">IFERROR(__xludf.DUMMYFUNCTION("""COMPUTED_VALUE"""),"03 ORL")</f>
        <v>03 ORL</v>
      </c>
      <c r="N944" s="33" t="str">
        <f ca="1">IFERROR(__xludf.DUMMYFUNCTION("""COMPUTED_VALUE"""),"06 ORL")</f>
        <v>06 ORL</v>
      </c>
      <c r="O944" s="33" t="str">
        <f ca="1">IFERROR(__xludf.DUMMYFUNCTION("""COMPUTED_VALUE"""),"Dr, Francisco García Purriños")</f>
        <v>Dr, Francisco García Purriños</v>
      </c>
      <c r="P944" s="33" t="str">
        <f ca="1">IFERROR(__xludf.DUMMYFUNCTION("""COMPUTED_VALUE"""),"Iván Sánchez (Levante Y Albacete)")</f>
        <v>Iván Sánchez (Levante Y Albacete)</v>
      </c>
    </row>
    <row r="945" spans="2:16">
      <c r="B945" s="33">
        <f ca="1">IFERROR(__xludf.DUMMYFUNCTION("""COMPUTED_VALUE"""),2025)</f>
        <v>2025</v>
      </c>
      <c r="C945" s="33">
        <f ca="1">IFERROR(__xludf.DUMMYFUNCTION("""COMPUTED_VALUE"""),7)</f>
        <v>7</v>
      </c>
      <c r="D945" s="33" t="str">
        <f ca="1">IFERROR(__xludf.DUMMYFUNCTION("""COMPUTED_VALUE"""),"NO")</f>
        <v>NO</v>
      </c>
      <c r="E945" s="33" t="str">
        <f ca="1">IFERROR(__xludf.DUMMYFUNCTION("""COMPUTED_VALUE"""),"Madrid- La Oca")</f>
        <v>Madrid- La Oca</v>
      </c>
      <c r="F945" s="57">
        <f ca="1">IFERROR(__xludf.DUMMYFUNCTION("""COMPUTED_VALUE"""),45845)</f>
        <v>45845</v>
      </c>
      <c r="G945" s="57">
        <f ca="1">IFERROR(__xludf.DUMMYFUNCTION("""COMPUTED_VALUE"""),45790)</f>
        <v>45790</v>
      </c>
      <c r="H945" s="33" t="str">
        <f ca="1">IFERROR(__xludf.DUMMYFUNCTION("""COMPUTED_VALUE"""),"La Oca")</f>
        <v>La Oca</v>
      </c>
      <c r="I945" s="33" t="str">
        <f ca="1">IFERROR(__xludf.DUMMYFUNCTION("""COMPUTED_VALUE"""),"C2025520175834441")</f>
        <v>C2025520175834441</v>
      </c>
      <c r="J945" s="33" t="str">
        <f ca="1">IFERROR(__xludf.DUMMYFUNCTION("""COMPUTED_VALUE"""),"JOSEFA MERINERO BORREGO")</f>
        <v>JOSEFA MERINERO BORREGO</v>
      </c>
      <c r="K945" s="33">
        <f ca="1">IFERROR(__xludf.DUMMYFUNCTION("""COMPUTED_VALUE"""),2)</f>
        <v>2</v>
      </c>
      <c r="L945" s="203">
        <f ca="1">IFERROR(__xludf.DUMMYFUNCTION("""COMPUTED_VALUE"""),3524.55)</f>
        <v>3524.55</v>
      </c>
      <c r="M945" s="33" t="str">
        <f ca="1">IFERROR(__xludf.DUMMYFUNCTION("""COMPUTED_VALUE"""),"03 ORL")</f>
        <v>03 ORL</v>
      </c>
      <c r="N945" s="33" t="str">
        <f ca="1">IFERROR(__xludf.DUMMYFUNCTION("""COMPUTED_VALUE"""),"06 ORL")</f>
        <v>06 ORL</v>
      </c>
      <c r="O945" s="33" t="str">
        <f ca="1">IFERROR(__xludf.DUMMYFUNCTION("""COMPUTED_VALUE"""),"Dr, Oscar A, Sánchez Valenzuela")</f>
        <v>Dr, Oscar A, Sánchez Valenzuela</v>
      </c>
      <c r="P945" s="33" t="str">
        <f ca="1">IFERROR(__xludf.DUMMYFUNCTION("""COMPUTED_VALUE"""),"Maika Blázquez (Madrid)")</f>
        <v>Maika Blázquez (Madrid)</v>
      </c>
    </row>
    <row r="946" spans="2:16">
      <c r="B946" s="33">
        <f ca="1">IFERROR(__xludf.DUMMYFUNCTION("""COMPUTED_VALUE"""),2025)</f>
        <v>2025</v>
      </c>
      <c r="C946" s="33">
        <f ca="1">IFERROR(__xludf.DUMMYFUNCTION("""COMPUTED_VALUE"""),7)</f>
        <v>7</v>
      </c>
      <c r="D946" s="33" t="str">
        <f ca="1">IFERROR(__xludf.DUMMYFUNCTION("""COMPUTED_VALUE"""),"NO")</f>
        <v>NO</v>
      </c>
      <c r="E946" s="33" t="str">
        <f ca="1">IFERROR(__xludf.DUMMYFUNCTION("""COMPUTED_VALUE"""),"Sevilla- Montoto")</f>
        <v>Sevilla- Montoto</v>
      </c>
      <c r="F946" s="57">
        <f ca="1">IFERROR(__xludf.DUMMYFUNCTION("""COMPUTED_VALUE"""),45853)</f>
        <v>45853</v>
      </c>
      <c r="G946" s="57">
        <f ca="1">IFERROR(__xludf.DUMMYFUNCTION("""COMPUTED_VALUE"""),45814)</f>
        <v>45814</v>
      </c>
      <c r="H946" s="33" t="str">
        <f ca="1">IFERROR(__xludf.DUMMYFUNCTION("""COMPUTED_VALUE"""),"Montoto")</f>
        <v>Montoto</v>
      </c>
      <c r="I946" s="33" t="str">
        <f ca="1">IFERROR(__xludf.DUMMYFUNCTION("""COMPUTED_VALUE"""),"C2025617102646668")</f>
        <v>C2025617102646668</v>
      </c>
      <c r="J946" s="33" t="str">
        <f ca="1">IFERROR(__xludf.DUMMYFUNCTION("""COMPUTED_VALUE"""),"JOSEFA PEREZ VAYA")</f>
        <v>JOSEFA PEREZ VAYA</v>
      </c>
      <c r="K946" s="33">
        <f ca="1">IFERROR(__xludf.DUMMYFUNCTION("""COMPUTED_VALUE"""),1)</f>
        <v>1</v>
      </c>
      <c r="L946" s="203">
        <f ca="1">IFERROR(__xludf.DUMMYFUNCTION("""COMPUTED_VALUE"""),2292.73)</f>
        <v>2292.73</v>
      </c>
      <c r="M946" s="33" t="str">
        <f ca="1">IFERROR(__xludf.DUMMYFUNCTION("""COMPUTED_VALUE"""),"03 ORL")</f>
        <v>03 ORL</v>
      </c>
      <c r="N946" s="33" t="str">
        <f ca="1">IFERROR(__xludf.DUMMYFUNCTION("""COMPUTED_VALUE"""),"06 ORL")</f>
        <v>06 ORL</v>
      </c>
      <c r="O946" s="33" t="str">
        <f ca="1">IFERROR(__xludf.DUMMYFUNCTION("""COMPUTED_VALUE"""),"Dra, Estefanía Berrocal Postigo")</f>
        <v>Dra, Estefanía Berrocal Postigo</v>
      </c>
      <c r="P946" s="33" t="str">
        <f ca="1">IFERROR(__xludf.DUMMYFUNCTION("""COMPUTED_VALUE"""),"Luis Alberto Rodríguez (Andalucía y Badajoz)")</f>
        <v>Luis Alberto Rodríguez (Andalucía y Badajoz)</v>
      </c>
    </row>
    <row r="947" spans="2:16">
      <c r="B947" s="33">
        <f ca="1">IFERROR(__xludf.DUMMYFUNCTION("""COMPUTED_VALUE"""),2025)</f>
        <v>2025</v>
      </c>
      <c r="C947" s="33">
        <f ca="1">IFERROR(__xludf.DUMMYFUNCTION("""COMPUTED_VALUE"""),7)</f>
        <v>7</v>
      </c>
      <c r="D947" s="33" t="str">
        <f ca="1">IFERROR(__xludf.DUMMYFUNCTION("""COMPUTED_VALUE"""),"NO")</f>
        <v>NO</v>
      </c>
      <c r="E947" s="33" t="str">
        <f ca="1">IFERROR(__xludf.DUMMYFUNCTION("""COMPUTED_VALUE"""),"Alicante")</f>
        <v>Alicante</v>
      </c>
      <c r="F947" s="57">
        <f ca="1">IFERROR(__xludf.DUMMYFUNCTION("""COMPUTED_VALUE"""),45855)</f>
        <v>45855</v>
      </c>
      <c r="G947" s="57">
        <f ca="1">IFERROR(__xludf.DUMMYFUNCTION("""COMPUTED_VALUE"""),45817)</f>
        <v>45817</v>
      </c>
      <c r="H947" s="33" t="str">
        <f ca="1">IFERROR(__xludf.DUMMYFUNCTION("""COMPUTED_VALUE"""),"Alicante")</f>
        <v>Alicante</v>
      </c>
      <c r="I947" s="33" t="str">
        <f ca="1">IFERROR(__xludf.DUMMYFUNCTION("""COMPUTED_VALUE"""),"C20256161601295")</f>
        <v>C20256161601295</v>
      </c>
      <c r="J947" s="33" t="str">
        <f ca="1">IFERROR(__xludf.DUMMYFUNCTION("""COMPUTED_VALUE"""),"JOSEFA TORRÓ CAÑIZARES")</f>
        <v>JOSEFA TORRÓ CAÑIZARES</v>
      </c>
      <c r="K947" s="33">
        <f ca="1">IFERROR(__xludf.DUMMYFUNCTION("""COMPUTED_VALUE"""),2)</f>
        <v>2</v>
      </c>
      <c r="L947" s="203">
        <f ca="1">IFERROR(__xludf.DUMMYFUNCTION("""COMPUTED_VALUE"""),4000)</f>
        <v>4000</v>
      </c>
      <c r="M947" s="33" t="str">
        <f ca="1">IFERROR(__xludf.DUMMYFUNCTION("""COMPUTED_VALUE"""),"03 ORL")</f>
        <v>03 ORL</v>
      </c>
      <c r="N947" s="33" t="str">
        <f ca="1">IFERROR(__xludf.DUMMYFUNCTION("""COMPUTED_VALUE"""),"06 ORL")</f>
        <v>06 ORL</v>
      </c>
      <c r="O947" s="33" t="str">
        <f ca="1">IFERROR(__xludf.DUMMYFUNCTION("""COMPUTED_VALUE"""),"Dr, Francisco Pastor Beviá")</f>
        <v>Dr, Francisco Pastor Beviá</v>
      </c>
      <c r="P947" s="33" t="str">
        <f ca="1">IFERROR(__xludf.DUMMYFUNCTION("""COMPUTED_VALUE"""),"Iván Sánchez (Levante Y Albacete)")</f>
        <v>Iván Sánchez (Levante Y Albacete)</v>
      </c>
    </row>
    <row r="948" spans="2:16">
      <c r="B948" s="33">
        <f ca="1">IFERROR(__xludf.DUMMYFUNCTION("""COMPUTED_VALUE"""),2025)</f>
        <v>2025</v>
      </c>
      <c r="C948" s="33">
        <f ca="1">IFERROR(__xludf.DUMMYFUNCTION("""COMPUTED_VALUE"""),7)</f>
        <v>7</v>
      </c>
      <c r="D948" s="33" t="str">
        <f ca="1">IFERROR(__xludf.DUMMYFUNCTION("""COMPUTED_VALUE"""),"NO")</f>
        <v>NO</v>
      </c>
      <c r="E948" s="33" t="str">
        <f ca="1">IFERROR(__xludf.DUMMYFUNCTION("""COMPUTED_VALUE"""),"Leganés")</f>
        <v>Leganés</v>
      </c>
      <c r="F948" s="57">
        <f ca="1">IFERROR(__xludf.DUMMYFUNCTION("""COMPUTED_VALUE"""),45842)</f>
        <v>45842</v>
      </c>
      <c r="G948" s="57">
        <f ca="1">IFERROR(__xludf.DUMMYFUNCTION("""COMPUTED_VALUE"""),45796)</f>
        <v>45796</v>
      </c>
      <c r="H948" s="33" t="str">
        <f ca="1">IFERROR(__xludf.DUMMYFUNCTION("""COMPUTED_VALUE"""),"Leganés")</f>
        <v>Leganés</v>
      </c>
      <c r="I948" s="33" t="str">
        <f ca="1">IFERROR(__xludf.DUMMYFUNCTION("""COMPUTED_VALUE"""),"C20255289530517")</f>
        <v>C20255289530517</v>
      </c>
      <c r="J948" s="33" t="str">
        <f ca="1">IFERROR(__xludf.DUMMYFUNCTION("""COMPUTED_VALUE"""),"JUAN  REVILLA GOMEZ")</f>
        <v>JUAN  REVILLA GOMEZ</v>
      </c>
      <c r="K948" s="33">
        <f ca="1">IFERROR(__xludf.DUMMYFUNCTION("""COMPUTED_VALUE"""),1)</f>
        <v>1</v>
      </c>
      <c r="L948" s="203">
        <f ca="1">IFERROR(__xludf.DUMMYFUNCTION("""COMPUTED_VALUE"""),1633.64)</f>
        <v>1633.64</v>
      </c>
      <c r="M948" s="33" t="str">
        <f ca="1">IFERROR(__xludf.DUMMYFUNCTION("""COMPUTED_VALUE"""),"03 ORL")</f>
        <v>03 ORL</v>
      </c>
      <c r="N948" s="33" t="str">
        <f ca="1">IFERROR(__xludf.DUMMYFUNCTION("""COMPUTED_VALUE"""),"06 ORL")</f>
        <v>06 ORL</v>
      </c>
      <c r="O948" s="33" t="str">
        <f ca="1">IFERROR(__xludf.DUMMYFUNCTION("""COMPUTED_VALUE"""),"Dra, Inés Pastor Basterra")</f>
        <v>Dra, Inés Pastor Basterra</v>
      </c>
      <c r="P948" s="33" t="str">
        <f ca="1">IFERROR(__xludf.DUMMYFUNCTION("""COMPUTED_VALUE"""),"Maika Blázquez (Madrid)")</f>
        <v>Maika Blázquez (Madrid)</v>
      </c>
    </row>
    <row r="949" spans="2:16">
      <c r="B949" s="33">
        <f ca="1">IFERROR(__xludf.DUMMYFUNCTION("""COMPUTED_VALUE"""),2025)</f>
        <v>2025</v>
      </c>
      <c r="C949" s="33">
        <f ca="1">IFERROR(__xludf.DUMMYFUNCTION("""COMPUTED_VALUE"""),7)</f>
        <v>7</v>
      </c>
      <c r="D949" s="33" t="str">
        <f ca="1">IFERROR(__xludf.DUMMYFUNCTION("""COMPUTED_VALUE"""),"NO")</f>
        <v>NO</v>
      </c>
      <c r="E949" s="33" t="str">
        <f ca="1">IFERROR(__xludf.DUMMYFUNCTION("""COMPUTED_VALUE"""),"Talavera")</f>
        <v>Talavera</v>
      </c>
      <c r="F949" s="57">
        <f ca="1">IFERROR(__xludf.DUMMYFUNCTION("""COMPUTED_VALUE"""),45840)</f>
        <v>45840</v>
      </c>
      <c r="G949" s="57">
        <f ca="1">IFERROR(__xludf.DUMMYFUNCTION("""COMPUTED_VALUE"""),45826)</f>
        <v>45826</v>
      </c>
      <c r="H949" s="33" t="str">
        <f ca="1">IFERROR(__xludf.DUMMYFUNCTION("""COMPUTED_VALUE"""),"Talavera")</f>
        <v>Talavera</v>
      </c>
      <c r="I949" s="33" t="str">
        <f ca="1">IFERROR(__xludf.DUMMYFUNCTION("""COMPUTED_VALUE"""),"C2025618122941714")</f>
        <v>C2025618122941714</v>
      </c>
      <c r="J949" s="33" t="str">
        <f ca="1">IFERROR(__xludf.DUMMYFUNCTION("""COMPUTED_VALUE"""),"JUAN ANTONIO GARCIA DEL OLMO")</f>
        <v>JUAN ANTONIO GARCIA DEL OLMO</v>
      </c>
      <c r="K949" s="33">
        <f ca="1">IFERROR(__xludf.DUMMYFUNCTION("""COMPUTED_VALUE"""),1)</f>
        <v>1</v>
      </c>
      <c r="L949" s="203">
        <f ca="1">IFERROR(__xludf.DUMMYFUNCTION("""COMPUTED_VALUE"""),1695.32)</f>
        <v>1695.32</v>
      </c>
      <c r="M949" s="33" t="str">
        <f ca="1">IFERROR(__xludf.DUMMYFUNCTION("""COMPUTED_VALUE"""),"03 ORL")</f>
        <v>03 ORL</v>
      </c>
      <c r="N949" s="33" t="str">
        <f ca="1">IFERROR(__xludf.DUMMYFUNCTION("""COMPUTED_VALUE"""),"06 ORL")</f>
        <v>06 ORL</v>
      </c>
      <c r="O949" s="33" t="str">
        <f ca="1">IFERROR(__xludf.DUMMYFUNCTION("""COMPUTED_VALUE"""),"Dra, Natalia Gisseth Pulido Fonseca")</f>
        <v>Dra, Natalia Gisseth Pulido Fonseca</v>
      </c>
      <c r="P949" s="33" t="str">
        <f ca="1">IFERROR(__xludf.DUMMYFUNCTION("""COMPUTED_VALUE"""),"Lisandro Russian (Madrid, Cáceres, Toledo, Talavera Y Logroño)")</f>
        <v>Lisandro Russian (Madrid, Cáceres, Toledo, Talavera Y Logroño)</v>
      </c>
    </row>
    <row r="950" spans="2:16">
      <c r="B950" s="33">
        <f ca="1">IFERROR(__xludf.DUMMYFUNCTION("""COMPUTED_VALUE"""),2025)</f>
        <v>2025</v>
      </c>
      <c r="C950" s="33">
        <f ca="1">IFERROR(__xludf.DUMMYFUNCTION("""COMPUTED_VALUE"""),7)</f>
        <v>7</v>
      </c>
      <c r="D950" s="33" t="str">
        <f ca="1">IFERROR(__xludf.DUMMYFUNCTION("""COMPUTED_VALUE"""),"NO")</f>
        <v>NO</v>
      </c>
      <c r="E950" s="33" t="str">
        <f ca="1">IFERROR(__xludf.DUMMYFUNCTION("""COMPUTED_VALUE"""),"Murcia")</f>
        <v>Murcia</v>
      </c>
      <c r="F950" s="57">
        <f ca="1">IFERROR(__xludf.DUMMYFUNCTION("""COMPUTED_VALUE"""),45839)</f>
        <v>45839</v>
      </c>
      <c r="G950" s="57">
        <f ca="1">IFERROR(__xludf.DUMMYFUNCTION("""COMPUTED_VALUE"""),45797)</f>
        <v>45797</v>
      </c>
      <c r="H950" s="33" t="str">
        <f ca="1">IFERROR(__xludf.DUMMYFUNCTION("""COMPUTED_VALUE"""),"Murcia")</f>
        <v>Murcia</v>
      </c>
      <c r="I950" s="33" t="str">
        <f ca="1">IFERROR(__xludf.DUMMYFUNCTION("""COMPUTED_VALUE"""),"C202552013056449")</f>
        <v>C202552013056449</v>
      </c>
      <c r="J950" s="33" t="str">
        <f ca="1">IFERROR(__xludf.DUMMYFUNCTION("""COMPUTED_VALUE"""),"JUAN ANTONIO RAMIREZ RAMIREZ")</f>
        <v>JUAN ANTONIO RAMIREZ RAMIREZ</v>
      </c>
      <c r="K950" s="33">
        <f ca="1">IFERROR(__xludf.DUMMYFUNCTION("""COMPUTED_VALUE"""),2)</f>
        <v>2</v>
      </c>
      <c r="L950" s="203">
        <f ca="1">IFERROR(__xludf.DUMMYFUNCTION("""COMPUTED_VALUE"""),4304.81)</f>
        <v>4304.8100000000004</v>
      </c>
      <c r="M950" s="33" t="str">
        <f ca="1">IFERROR(__xludf.DUMMYFUNCTION("""COMPUTED_VALUE"""),"03 ORL")</f>
        <v>03 ORL</v>
      </c>
      <c r="N950" s="33" t="str">
        <f ca="1">IFERROR(__xludf.DUMMYFUNCTION("""COMPUTED_VALUE"""),"06 ORL")</f>
        <v>06 ORL</v>
      </c>
      <c r="O950" s="33" t="str">
        <f ca="1">IFERROR(__xludf.DUMMYFUNCTION("""COMPUTED_VALUE"""),"Dra, María Agustina Sevilla García")</f>
        <v>Dra, María Agustina Sevilla García</v>
      </c>
      <c r="P950" s="33" t="str">
        <f ca="1">IFERROR(__xludf.DUMMYFUNCTION("""COMPUTED_VALUE"""),"Iván Sánchez (Levante Y Albacete)")</f>
        <v>Iván Sánchez (Levante Y Albacete)</v>
      </c>
    </row>
    <row r="951" spans="2:16">
      <c r="B951" s="33">
        <f ca="1">IFERROR(__xludf.DUMMYFUNCTION("""COMPUTED_VALUE"""),2025)</f>
        <v>2025</v>
      </c>
      <c r="C951" s="33">
        <f ca="1">IFERROR(__xludf.DUMMYFUNCTION("""COMPUTED_VALUE"""),7)</f>
        <v>7</v>
      </c>
      <c r="D951" s="33" t="str">
        <f ca="1">IFERROR(__xludf.DUMMYFUNCTION("""COMPUTED_VALUE"""),"NO")</f>
        <v>NO</v>
      </c>
      <c r="E951" s="33" t="str">
        <f ca="1">IFERROR(__xludf.DUMMYFUNCTION("""COMPUTED_VALUE"""),"Alicante")</f>
        <v>Alicante</v>
      </c>
      <c r="F951" s="57">
        <f ca="1">IFERROR(__xludf.DUMMYFUNCTION("""COMPUTED_VALUE"""),45853)</f>
        <v>45853</v>
      </c>
      <c r="G951" s="57">
        <f ca="1">IFERROR(__xludf.DUMMYFUNCTION("""COMPUTED_VALUE"""),45793)</f>
        <v>45793</v>
      </c>
      <c r="H951" s="33" t="str">
        <f ca="1">IFERROR(__xludf.DUMMYFUNCTION("""COMPUTED_VALUE"""),"Alicante")</f>
        <v>Alicante</v>
      </c>
      <c r="I951" s="33" t="str">
        <f ca="1">IFERROR(__xludf.DUMMYFUNCTION("""COMPUTED_VALUE"""),"C2025522122441620")</f>
        <v>C2025522122441620</v>
      </c>
      <c r="J951" s="33" t="str">
        <f ca="1">IFERROR(__xludf.DUMMYFUNCTION("""COMPUTED_VALUE"""),"JUAN CARLOS PAYA MOLTO")</f>
        <v>JUAN CARLOS PAYA MOLTO</v>
      </c>
      <c r="K951" s="33">
        <f ca="1">IFERROR(__xludf.DUMMYFUNCTION("""COMPUTED_VALUE"""),2)</f>
        <v>2</v>
      </c>
      <c r="L951" s="203">
        <f ca="1">IFERROR(__xludf.DUMMYFUNCTION("""COMPUTED_VALUE"""),4000)</f>
        <v>4000</v>
      </c>
      <c r="M951" s="33" t="str">
        <f ca="1">IFERROR(__xludf.DUMMYFUNCTION("""COMPUTED_VALUE"""),"03 ORL")</f>
        <v>03 ORL</v>
      </c>
      <c r="N951" s="33" t="str">
        <f ca="1">IFERROR(__xludf.DUMMYFUNCTION("""COMPUTED_VALUE"""),"06 ORL")</f>
        <v>06 ORL</v>
      </c>
      <c r="O951" s="33" t="str">
        <f ca="1">IFERROR(__xludf.DUMMYFUNCTION("""COMPUTED_VALUE"""),"Dra, Luisa Payá Pérez")</f>
        <v>Dra, Luisa Payá Pérez</v>
      </c>
      <c r="P951" s="33" t="str">
        <f ca="1">IFERROR(__xludf.DUMMYFUNCTION("""COMPUTED_VALUE"""),"Iván Sánchez (Levante Y Albacete)")</f>
        <v>Iván Sánchez (Levante Y Albacete)</v>
      </c>
    </row>
    <row r="952" spans="2:16">
      <c r="B952" s="33">
        <f ca="1">IFERROR(__xludf.DUMMYFUNCTION("""COMPUTED_VALUE"""),2025)</f>
        <v>2025</v>
      </c>
      <c r="C952" s="33">
        <f ca="1">IFERROR(__xludf.DUMMYFUNCTION("""COMPUTED_VALUE"""),7)</f>
        <v>7</v>
      </c>
      <c r="D952" s="33" t="str">
        <f ca="1">IFERROR(__xludf.DUMMYFUNCTION("""COMPUTED_VALUE"""),"NO")</f>
        <v>NO</v>
      </c>
      <c r="E952" s="33" t="str">
        <f ca="1">IFERROR(__xludf.DUMMYFUNCTION("""COMPUTED_VALUE"""),"Alcorcón")</f>
        <v>Alcorcón</v>
      </c>
      <c r="F952" s="57">
        <f ca="1">IFERROR(__xludf.DUMMYFUNCTION("""COMPUTED_VALUE"""),45846)</f>
        <v>45846</v>
      </c>
      <c r="G952" s="57">
        <f ca="1">IFERROR(__xludf.DUMMYFUNCTION("""COMPUTED_VALUE"""),45811)</f>
        <v>45811</v>
      </c>
      <c r="H952" s="33" t="str">
        <f ca="1">IFERROR(__xludf.DUMMYFUNCTION("""COMPUTED_VALUE"""),"Alcorcón")</f>
        <v>Alcorcón</v>
      </c>
      <c r="I952" s="33" t="str">
        <f ca="1">IFERROR(__xludf.DUMMYFUNCTION("""COMPUTED_VALUE"""),"C20256412532234")</f>
        <v>C20256412532234</v>
      </c>
      <c r="J952" s="33" t="str">
        <f ca="1">IFERROR(__xludf.DUMMYFUNCTION("""COMPUTED_VALUE"""),"JUAN FRANCISCO MUÑOZ RODRIGUEZ")</f>
        <v>JUAN FRANCISCO MUÑOZ RODRIGUEZ</v>
      </c>
      <c r="K952" s="33">
        <f ca="1">IFERROR(__xludf.DUMMYFUNCTION("""COMPUTED_VALUE"""),2)</f>
        <v>2</v>
      </c>
      <c r="L952" s="203">
        <f ca="1">IFERROR(__xludf.DUMMYFUNCTION("""COMPUTED_VALUE"""),4000)</f>
        <v>4000</v>
      </c>
      <c r="M952" s="33" t="str">
        <f ca="1">IFERROR(__xludf.DUMMYFUNCTION("""COMPUTED_VALUE"""),"03 ORL")</f>
        <v>03 ORL</v>
      </c>
      <c r="N952" s="33" t="str">
        <f ca="1">IFERROR(__xludf.DUMMYFUNCTION("""COMPUTED_VALUE"""),"06 ORL")</f>
        <v>06 ORL</v>
      </c>
      <c r="O952" s="33" t="str">
        <f ca="1">IFERROR(__xludf.DUMMYFUNCTION("""COMPUTED_VALUE"""),"No recuerda ORL")</f>
        <v>No recuerda ORL</v>
      </c>
      <c r="P952" s="33" t="str">
        <f ca="1">IFERROR(__xludf.DUMMYFUNCTION("""COMPUTED_VALUE"""),"Maika Blázquez (Madrid)")</f>
        <v>Maika Blázquez (Madrid)</v>
      </c>
    </row>
    <row r="953" spans="2:16">
      <c r="B953" s="33">
        <f ca="1">IFERROR(__xludf.DUMMYFUNCTION("""COMPUTED_VALUE"""),2025)</f>
        <v>2025</v>
      </c>
      <c r="C953" s="33">
        <f ca="1">IFERROR(__xludf.DUMMYFUNCTION("""COMPUTED_VALUE"""),7)</f>
        <v>7</v>
      </c>
      <c r="D953" s="33" t="str">
        <f ca="1">IFERROR(__xludf.DUMMYFUNCTION("""COMPUTED_VALUE"""),"NO")</f>
        <v>NO</v>
      </c>
      <c r="E953" s="33" t="str">
        <f ca="1">IFERROR(__xludf.DUMMYFUNCTION("""COMPUTED_VALUE"""),"Alicante")</f>
        <v>Alicante</v>
      </c>
      <c r="F953" s="57">
        <f ca="1">IFERROR(__xludf.DUMMYFUNCTION("""COMPUTED_VALUE"""),45853)</f>
        <v>45853</v>
      </c>
      <c r="G953" s="57">
        <f ca="1">IFERROR(__xludf.DUMMYFUNCTION("""COMPUTED_VALUE"""),45821)</f>
        <v>45821</v>
      </c>
      <c r="H953" s="33" t="str">
        <f ca="1">IFERROR(__xludf.DUMMYFUNCTION("""COMPUTED_VALUE"""),"Alicante")</f>
        <v>Alicante</v>
      </c>
      <c r="I953" s="33" t="str">
        <f ca="1">IFERROR(__xludf.DUMMYFUNCTION("""COMPUTED_VALUE"""),"C202561611824885")</f>
        <v>C202561611824885</v>
      </c>
      <c r="J953" s="33" t="str">
        <f ca="1">IFERROR(__xludf.DUMMYFUNCTION("""COMPUTED_VALUE"""),"JUAN LORENZO SANCHEZ PINO")</f>
        <v>JUAN LORENZO SANCHEZ PINO</v>
      </c>
      <c r="K953" s="33">
        <f ca="1">IFERROR(__xludf.DUMMYFUNCTION("""COMPUTED_VALUE"""),2)</f>
        <v>2</v>
      </c>
      <c r="L953" s="203">
        <f ca="1">IFERROR(__xludf.DUMMYFUNCTION("""COMPUTED_VALUE"""),3914)</f>
        <v>3914</v>
      </c>
      <c r="M953" s="33" t="str">
        <f ca="1">IFERROR(__xludf.DUMMYFUNCTION("""COMPUTED_VALUE"""),"03 ORL")</f>
        <v>03 ORL</v>
      </c>
      <c r="N953" s="33" t="str">
        <f ca="1">IFERROR(__xludf.DUMMYFUNCTION("""COMPUTED_VALUE"""),"06 ORL")</f>
        <v>06 ORL</v>
      </c>
      <c r="O953" s="33" t="str">
        <f ca="1">IFERROR(__xludf.DUMMYFUNCTION("""COMPUTED_VALUE"""),"Dr, Francisco Pastor Beviá")</f>
        <v>Dr, Francisco Pastor Beviá</v>
      </c>
      <c r="P953" s="33" t="str">
        <f ca="1">IFERROR(__xludf.DUMMYFUNCTION("""COMPUTED_VALUE"""),"Iván Sánchez (Levante Y Albacete)")</f>
        <v>Iván Sánchez (Levante Y Albacete)</v>
      </c>
    </row>
    <row r="954" spans="2:16">
      <c r="B954" s="33">
        <f ca="1">IFERROR(__xludf.DUMMYFUNCTION("""COMPUTED_VALUE"""),2025)</f>
        <v>2025</v>
      </c>
      <c r="C954" s="33">
        <f ca="1">IFERROR(__xludf.DUMMYFUNCTION("""COMPUTED_VALUE"""),7)</f>
        <v>7</v>
      </c>
      <c r="D954" s="33" t="str">
        <f ca="1">IFERROR(__xludf.DUMMYFUNCTION("""COMPUTED_VALUE"""),"NO")</f>
        <v>NO</v>
      </c>
      <c r="E954" s="33" t="str">
        <f ca="1">IFERROR(__xludf.DUMMYFUNCTION("""COMPUTED_VALUE"""),"Madrid- Juan Bravo")</f>
        <v>Madrid- Juan Bravo</v>
      </c>
      <c r="F954" s="57">
        <f ca="1">IFERROR(__xludf.DUMMYFUNCTION("""COMPUTED_VALUE"""),45840)</f>
        <v>45840</v>
      </c>
      <c r="G954" s="57">
        <f ca="1">IFERROR(__xludf.DUMMYFUNCTION("""COMPUTED_VALUE"""),45797)</f>
        <v>45797</v>
      </c>
      <c r="H954" s="33" t="str">
        <f ca="1">IFERROR(__xludf.DUMMYFUNCTION("""COMPUTED_VALUE"""),"Juan Bravo")</f>
        <v>Juan Bravo</v>
      </c>
      <c r="I954" s="33" t="str">
        <f ca="1">IFERROR(__xludf.DUMMYFUNCTION("""COMPUTED_VALUE"""),"C2025522173322301")</f>
        <v>C2025522173322301</v>
      </c>
      <c r="J954" s="33" t="str">
        <f ca="1">IFERROR(__xludf.DUMMYFUNCTION("""COMPUTED_VALUE"""),"JUAN RAMON PELLICER GARRIDO")</f>
        <v>JUAN RAMON PELLICER GARRIDO</v>
      </c>
      <c r="K954" s="33">
        <f ca="1">IFERROR(__xludf.DUMMYFUNCTION("""COMPUTED_VALUE"""),2)</f>
        <v>2</v>
      </c>
      <c r="L954" s="203">
        <f ca="1">IFERROR(__xludf.DUMMYFUNCTION("""COMPUTED_VALUE"""),3800)</f>
        <v>3800</v>
      </c>
      <c r="M954" s="33" t="str">
        <f ca="1">IFERROR(__xludf.DUMMYFUNCTION("""COMPUTED_VALUE"""),"03 ORL")</f>
        <v>03 ORL</v>
      </c>
      <c r="N954" s="33" t="str">
        <f ca="1">IFERROR(__xludf.DUMMYFUNCTION("""COMPUTED_VALUE"""),"06 ORL")</f>
        <v>06 ORL</v>
      </c>
      <c r="O954" s="33" t="str">
        <f ca="1">IFERROR(__xludf.DUMMYFUNCTION("""COMPUTED_VALUE"""),"Dr, Carlos Barajas del Rosal")</f>
        <v>Dr, Carlos Barajas del Rosal</v>
      </c>
      <c r="P954" s="33" t="str">
        <f ca="1">IFERROR(__xludf.DUMMYFUNCTION("""COMPUTED_VALUE"""),"Lisandro Russian (Madrid, Cáceres, Toledo, Talavera Y Logroño)")</f>
        <v>Lisandro Russian (Madrid, Cáceres, Toledo, Talavera Y Logroño)</v>
      </c>
    </row>
    <row r="955" spans="2:16">
      <c r="B955" s="33">
        <f ca="1">IFERROR(__xludf.DUMMYFUNCTION("""COMPUTED_VALUE"""),2025)</f>
        <v>2025</v>
      </c>
      <c r="C955" s="33">
        <f ca="1">IFERROR(__xludf.DUMMYFUNCTION("""COMPUTED_VALUE"""),7)</f>
        <v>7</v>
      </c>
      <c r="D955" s="33" t="str">
        <f ca="1">IFERROR(__xludf.DUMMYFUNCTION("""COMPUTED_VALUE"""),"NO")</f>
        <v>NO</v>
      </c>
      <c r="E955" s="33" t="str">
        <f ca="1">IFERROR(__xludf.DUMMYFUNCTION("""COMPUTED_VALUE"""),"Orihuela")</f>
        <v>Orihuela</v>
      </c>
      <c r="F955" s="57">
        <f ca="1">IFERROR(__xludf.DUMMYFUNCTION("""COMPUTED_VALUE"""),45852)</f>
        <v>45852</v>
      </c>
      <c r="G955" s="57">
        <f ca="1">IFERROR(__xludf.DUMMYFUNCTION("""COMPUTED_VALUE"""),45820)</f>
        <v>45820</v>
      </c>
      <c r="H955" s="33" t="str">
        <f ca="1">IFERROR(__xludf.DUMMYFUNCTION("""COMPUTED_VALUE"""),"La Zenia")</f>
        <v>La Zenia</v>
      </c>
      <c r="I955" s="33" t="str">
        <f ca="1">IFERROR(__xludf.DUMMYFUNCTION("""COMPUTED_VALUE"""),"C2025617172822294")</f>
        <v>C2025617172822294</v>
      </c>
      <c r="J955" s="33" t="str">
        <f ca="1">IFERROR(__xludf.DUMMYFUNCTION("""COMPUTED_VALUE"""),"KARIM AHLMINE")</f>
        <v>KARIM AHLMINE</v>
      </c>
      <c r="K955" s="33">
        <f ca="1">IFERROR(__xludf.DUMMYFUNCTION("""COMPUTED_VALUE"""),1)</f>
        <v>1</v>
      </c>
      <c r="L955" s="203">
        <f ca="1">IFERROR(__xludf.DUMMYFUNCTION("""COMPUTED_VALUE"""),2363.64)</f>
        <v>2363.64</v>
      </c>
      <c r="M955" s="33" t="str">
        <f ca="1">IFERROR(__xludf.DUMMYFUNCTION("""COMPUTED_VALUE"""),"03 ORL")</f>
        <v>03 ORL</v>
      </c>
      <c r="N955" s="33" t="str">
        <f ca="1">IFERROR(__xludf.DUMMYFUNCTION("""COMPUTED_VALUE"""),"06 ORL")</f>
        <v>06 ORL</v>
      </c>
      <c r="O955" s="33" t="str">
        <f ca="1">IFERROR(__xludf.DUMMYFUNCTION("""COMPUTED_VALUE"""),"Dr, Carlos Velásquez Fermín")</f>
        <v>Dr, Carlos Velásquez Fermín</v>
      </c>
      <c r="P955" s="33" t="str">
        <f ca="1">IFERROR(__xludf.DUMMYFUNCTION("""COMPUTED_VALUE"""),"Iván Sánchez (Levante Y Albacete)")</f>
        <v>Iván Sánchez (Levante Y Albacete)</v>
      </c>
    </row>
    <row r="956" spans="2:16">
      <c r="B956" s="33">
        <f ca="1">IFERROR(__xludf.DUMMYFUNCTION("""COMPUTED_VALUE"""),2025)</f>
        <v>2025</v>
      </c>
      <c r="C956" s="33">
        <f ca="1">IFERROR(__xludf.DUMMYFUNCTION("""COMPUTED_VALUE"""),7)</f>
        <v>7</v>
      </c>
      <c r="D956" s="33" t="str">
        <f ca="1">IFERROR(__xludf.DUMMYFUNCTION("""COMPUTED_VALUE"""),"NO")</f>
        <v>NO</v>
      </c>
      <c r="E956" s="33" t="str">
        <f ca="1">IFERROR(__xludf.DUMMYFUNCTION("""COMPUTED_VALUE"""),"El Albir (Benidorm)")</f>
        <v>El Albir (Benidorm)</v>
      </c>
      <c r="F956" s="57">
        <f ca="1">IFERROR(__xludf.DUMMYFUNCTION("""COMPUTED_VALUE"""),45849)</f>
        <v>45849</v>
      </c>
      <c r="G956" s="57">
        <f ca="1">IFERROR(__xludf.DUMMYFUNCTION("""COMPUTED_VALUE"""),45812)</f>
        <v>45812</v>
      </c>
      <c r="H956" s="33" t="str">
        <f ca="1">IFERROR(__xludf.DUMMYFUNCTION("""COMPUTED_VALUE"""),"El Albir (Benidorm)")</f>
        <v>El Albir (Benidorm)</v>
      </c>
      <c r="I956" s="33" t="str">
        <f ca="1">IFERROR(__xludf.DUMMYFUNCTION("""COMPUTED_VALUE"""),"C20256911372588")</f>
        <v>C20256911372588</v>
      </c>
      <c r="J956" s="33" t="str">
        <f ca="1">IFERROR(__xludf.DUMMYFUNCTION("""COMPUTED_VALUE"""),"LODEWIJK REINIER VAN ROSSUM")</f>
        <v>LODEWIJK REINIER VAN ROSSUM</v>
      </c>
      <c r="K956" s="33">
        <f ca="1">IFERROR(__xludf.DUMMYFUNCTION("""COMPUTED_VALUE"""),2)</f>
        <v>2</v>
      </c>
      <c r="L956" s="203">
        <f ca="1">IFERROR(__xludf.DUMMYFUNCTION("""COMPUTED_VALUE"""),4000)</f>
        <v>4000</v>
      </c>
      <c r="M956" s="33" t="str">
        <f ca="1">IFERROR(__xludf.DUMMYFUNCTION("""COMPUTED_VALUE"""),"03 ORL")</f>
        <v>03 ORL</v>
      </c>
      <c r="N956" s="33" t="str">
        <f ca="1">IFERROR(__xludf.DUMMYFUNCTION("""COMPUTED_VALUE"""),"06 ORL")</f>
        <v>06 ORL</v>
      </c>
      <c r="O956" s="33" t="str">
        <f ca="1">IFERROR(__xludf.DUMMYFUNCTION("""COMPUTED_VALUE"""),"Dra, Salwa Laraqui Hossini")</f>
        <v>Dra, Salwa Laraqui Hossini</v>
      </c>
      <c r="P956" s="33" t="str">
        <f ca="1">IFERROR(__xludf.DUMMYFUNCTION("""COMPUTED_VALUE"""),"Iván Sánchez (Levante Y Albacete)")</f>
        <v>Iván Sánchez (Levante Y Albacete)</v>
      </c>
    </row>
    <row r="957" spans="2:16">
      <c r="B957" s="33">
        <f ca="1">IFERROR(__xludf.DUMMYFUNCTION("""COMPUTED_VALUE"""),2025)</f>
        <v>2025</v>
      </c>
      <c r="C957" s="33">
        <f ca="1">IFERROR(__xludf.DUMMYFUNCTION("""COMPUTED_VALUE"""),7)</f>
        <v>7</v>
      </c>
      <c r="D957" s="33" t="str">
        <f ca="1">IFERROR(__xludf.DUMMYFUNCTION("""COMPUTED_VALUE"""),"NO")</f>
        <v>NO</v>
      </c>
      <c r="E957" s="33" t="str">
        <f ca="1">IFERROR(__xludf.DUMMYFUNCTION("""COMPUTED_VALUE"""),"Jerez de la Frontera")</f>
        <v>Jerez de la Frontera</v>
      </c>
      <c r="F957" s="57">
        <f ca="1">IFERROR(__xludf.DUMMYFUNCTION("""COMPUTED_VALUE"""),45845)</f>
        <v>45845</v>
      </c>
      <c r="G957" s="57">
        <f ca="1">IFERROR(__xludf.DUMMYFUNCTION("""COMPUTED_VALUE"""),45804)</f>
        <v>45804</v>
      </c>
      <c r="H957" s="33" t="str">
        <f ca="1">IFERROR(__xludf.DUMMYFUNCTION("""COMPUTED_VALUE"""),"Jerez")</f>
        <v>Jerez</v>
      </c>
      <c r="I957" s="33" t="str">
        <f ca="1">IFERROR(__xludf.DUMMYFUNCTION("""COMPUTED_VALUE"""),"C2025529173113900")</f>
        <v>C2025529173113900</v>
      </c>
      <c r="J957" s="33" t="str">
        <f ca="1">IFERROR(__xludf.DUMMYFUNCTION("""COMPUTED_VALUE"""),"lucia  CARRASCO ROMAN")</f>
        <v>lucia  CARRASCO ROMAN</v>
      </c>
      <c r="K957" s="33">
        <f ca="1">IFERROR(__xludf.DUMMYFUNCTION("""COMPUTED_VALUE"""),2)</f>
        <v>2</v>
      </c>
      <c r="L957" s="203">
        <f ca="1">IFERROR(__xludf.DUMMYFUNCTION("""COMPUTED_VALUE"""),4000)</f>
        <v>4000</v>
      </c>
      <c r="M957" s="33" t="str">
        <f ca="1">IFERROR(__xludf.DUMMYFUNCTION("""COMPUTED_VALUE"""),"03 ORL")</f>
        <v>03 ORL</v>
      </c>
      <c r="N957" s="33" t="str">
        <f ca="1">IFERROR(__xludf.DUMMYFUNCTION("""COMPUTED_VALUE"""),"06 ORL")</f>
        <v>06 ORL</v>
      </c>
      <c r="O957" s="33" t="str">
        <f ca="1">IFERROR(__xludf.DUMMYFUNCTION("""COMPUTED_VALUE"""),"Dr, Juan Maza Solano")</f>
        <v>Dr, Juan Maza Solano</v>
      </c>
      <c r="P957" s="33" t="str">
        <f ca="1">IFERROR(__xludf.DUMMYFUNCTION("""COMPUTED_VALUE"""),"Luis Alberto Rodríguez (Andalucía y Badajoz)")</f>
        <v>Luis Alberto Rodríguez (Andalucía y Badajoz)</v>
      </c>
    </row>
    <row r="958" spans="2:16">
      <c r="B958" s="33">
        <f ca="1">IFERROR(__xludf.DUMMYFUNCTION("""COMPUTED_VALUE"""),2025)</f>
        <v>2025</v>
      </c>
      <c r="C958" s="33">
        <f ca="1">IFERROR(__xludf.DUMMYFUNCTION("""COMPUTED_VALUE"""),7)</f>
        <v>7</v>
      </c>
      <c r="D958" s="33" t="str">
        <f ca="1">IFERROR(__xludf.DUMMYFUNCTION("""COMPUTED_VALUE"""),"NO")</f>
        <v>NO</v>
      </c>
      <c r="E958" s="33" t="str">
        <f ca="1">IFERROR(__xludf.DUMMYFUNCTION("""COMPUTED_VALUE"""),"Leganés")</f>
        <v>Leganés</v>
      </c>
      <c r="F958" s="57">
        <f ca="1">IFERROR(__xludf.DUMMYFUNCTION("""COMPUTED_VALUE"""),45842)</f>
        <v>45842</v>
      </c>
      <c r="G958" s="57">
        <f ca="1">IFERROR(__xludf.DUMMYFUNCTION("""COMPUTED_VALUE"""),45804)</f>
        <v>45804</v>
      </c>
      <c r="H958" s="33" t="str">
        <f ca="1">IFERROR(__xludf.DUMMYFUNCTION("""COMPUTED_VALUE"""),"Leganés")</f>
        <v>Leganés</v>
      </c>
      <c r="I958" s="33" t="str">
        <f ca="1">IFERROR(__xludf.DUMMYFUNCTION("""COMPUTED_VALUE"""),"C202566163216826")</f>
        <v>C202566163216826</v>
      </c>
      <c r="J958" s="33" t="str">
        <f ca="1">IFERROR(__xludf.DUMMYFUNCTION("""COMPUTED_VALUE"""),"LUIS BERNAL BERNAL")</f>
        <v>LUIS BERNAL BERNAL</v>
      </c>
      <c r="K958" s="33">
        <f ca="1">IFERROR(__xludf.DUMMYFUNCTION("""COMPUTED_VALUE"""),2)</f>
        <v>2</v>
      </c>
      <c r="L958" s="203">
        <f ca="1">IFERROR(__xludf.DUMMYFUNCTION("""COMPUTED_VALUE"""),3604.55)</f>
        <v>3604.55</v>
      </c>
      <c r="M958" s="33" t="str">
        <f ca="1">IFERROR(__xludf.DUMMYFUNCTION("""COMPUTED_VALUE"""),"03 ORL")</f>
        <v>03 ORL</v>
      </c>
      <c r="N958" s="33" t="str">
        <f ca="1">IFERROR(__xludf.DUMMYFUNCTION("""COMPUTED_VALUE"""),"06 ORL")</f>
        <v>06 ORL</v>
      </c>
      <c r="O958" s="33" t="str">
        <f ca="1">IFERROR(__xludf.DUMMYFUNCTION("""COMPUTED_VALUE"""),"Dra, Inmaculada Sancho Martín")</f>
        <v>Dra, Inmaculada Sancho Martín</v>
      </c>
      <c r="P958" s="33" t="str">
        <f ca="1">IFERROR(__xludf.DUMMYFUNCTION("""COMPUTED_VALUE"""),"Maika Blázquez (Madrid)")</f>
        <v>Maika Blázquez (Madrid)</v>
      </c>
    </row>
    <row r="959" spans="2:16">
      <c r="B959" s="33">
        <f ca="1">IFERROR(__xludf.DUMMYFUNCTION("""COMPUTED_VALUE"""),2025)</f>
        <v>2025</v>
      </c>
      <c r="C959" s="33">
        <f ca="1">IFERROR(__xludf.DUMMYFUNCTION("""COMPUTED_VALUE"""),7)</f>
        <v>7</v>
      </c>
      <c r="D959" s="33" t="str">
        <f ca="1">IFERROR(__xludf.DUMMYFUNCTION("""COMPUTED_VALUE"""),"NO")</f>
        <v>NO</v>
      </c>
      <c r="E959" s="33" t="str">
        <f ca="1">IFERROR(__xludf.DUMMYFUNCTION("""COMPUTED_VALUE"""),"Almería")</f>
        <v>Almería</v>
      </c>
      <c r="F959" s="57">
        <f ca="1">IFERROR(__xludf.DUMMYFUNCTION("""COMPUTED_VALUE"""),45863)</f>
        <v>45863</v>
      </c>
      <c r="G959" s="57">
        <f ca="1">IFERROR(__xludf.DUMMYFUNCTION("""COMPUTED_VALUE"""),45845)</f>
        <v>45845</v>
      </c>
      <c r="H959" s="33" t="str">
        <f ca="1">IFERROR(__xludf.DUMMYFUNCTION("""COMPUTED_VALUE"""),"Almería")</f>
        <v>Almería</v>
      </c>
      <c r="I959" s="33" t="str">
        <f ca="1">IFERROR(__xludf.DUMMYFUNCTION("""COMPUTED_VALUE"""),"C2025715101924623")</f>
        <v>C2025715101924623</v>
      </c>
      <c r="J959" s="33" t="str">
        <f ca="1">IFERROR(__xludf.DUMMYFUNCTION("""COMPUTED_VALUE"""),"LUISA  GONZALEZ RUEDA")</f>
        <v>LUISA  GONZALEZ RUEDA</v>
      </c>
      <c r="K959" s="33">
        <f ca="1">IFERROR(__xludf.DUMMYFUNCTION("""COMPUTED_VALUE"""),1)</f>
        <v>1</v>
      </c>
      <c r="L959" s="203">
        <f ca="1">IFERROR(__xludf.DUMMYFUNCTION("""COMPUTED_VALUE"""),1631.82)</f>
        <v>1631.82</v>
      </c>
      <c r="M959" s="33" t="str">
        <f ca="1">IFERROR(__xludf.DUMMYFUNCTION("""COMPUTED_VALUE"""),"03 ORL")</f>
        <v>03 ORL</v>
      </c>
      <c r="N959" s="33" t="str">
        <f ca="1">IFERROR(__xludf.DUMMYFUNCTION("""COMPUTED_VALUE"""),"06 ORL")</f>
        <v>06 ORL</v>
      </c>
      <c r="O959" s="33" t="str">
        <f ca="1">IFERROR(__xludf.DUMMYFUNCTION("""COMPUTED_VALUE"""),"Dr, Antonio José Fernández Pérez")</f>
        <v>Dr, Antonio José Fernández Pérez</v>
      </c>
      <c r="P959" s="33" t="str">
        <f ca="1">IFERROR(__xludf.DUMMYFUNCTION("""COMPUTED_VALUE"""),"Ramon Ferrando(Valencia)")</f>
        <v>Ramon Ferrando(Valencia)</v>
      </c>
    </row>
    <row r="960" spans="2:16">
      <c r="B960" s="33">
        <f ca="1">IFERROR(__xludf.DUMMYFUNCTION("""COMPUTED_VALUE"""),2025)</f>
        <v>2025</v>
      </c>
      <c r="C960" s="33">
        <f ca="1">IFERROR(__xludf.DUMMYFUNCTION("""COMPUTED_VALUE"""),7)</f>
        <v>7</v>
      </c>
      <c r="D960" s="33" t="str">
        <f ca="1">IFERROR(__xludf.DUMMYFUNCTION("""COMPUTED_VALUE"""),"NO")</f>
        <v>NO</v>
      </c>
      <c r="E960" s="33" t="str">
        <f ca="1">IFERROR(__xludf.DUMMYFUNCTION("""COMPUTED_VALUE"""),"Leganés")</f>
        <v>Leganés</v>
      </c>
      <c r="F960" s="57">
        <f ca="1">IFERROR(__xludf.DUMMYFUNCTION("""COMPUTED_VALUE"""),45859)</f>
        <v>45859</v>
      </c>
      <c r="G960" s="57">
        <f ca="1">IFERROR(__xludf.DUMMYFUNCTION("""COMPUTED_VALUE"""),45831)</f>
        <v>45831</v>
      </c>
      <c r="H960" s="33" t="str">
        <f ca="1">IFERROR(__xludf.DUMMYFUNCTION("""COMPUTED_VALUE"""),"Leganés")</f>
        <v>Leganés</v>
      </c>
      <c r="I960" s="33" t="str">
        <f ca="1">IFERROR(__xludf.DUMMYFUNCTION("""COMPUTED_VALUE"""),"C202571112926269")</f>
        <v>C202571112926269</v>
      </c>
      <c r="J960" s="33" t="str">
        <f ca="1">IFERROR(__xludf.DUMMYFUNCTION("""COMPUTED_VALUE"""),"MAGDALENA GOMEZ REBOLLO")</f>
        <v>MAGDALENA GOMEZ REBOLLO</v>
      </c>
      <c r="K960" s="33">
        <f ca="1">IFERROR(__xludf.DUMMYFUNCTION("""COMPUTED_VALUE"""),2)</f>
        <v>2</v>
      </c>
      <c r="L960" s="203">
        <f ca="1">IFERROR(__xludf.DUMMYFUNCTION("""COMPUTED_VALUE"""),3604.55)</f>
        <v>3604.55</v>
      </c>
      <c r="M960" s="33" t="str">
        <f ca="1">IFERROR(__xludf.DUMMYFUNCTION("""COMPUTED_VALUE"""),"03 ORL")</f>
        <v>03 ORL</v>
      </c>
      <c r="N960" s="33" t="str">
        <f ca="1">IFERROR(__xludf.DUMMYFUNCTION("""COMPUTED_VALUE"""),"06 ORL")</f>
        <v>06 ORL</v>
      </c>
      <c r="O960" s="33" t="str">
        <f ca="1">IFERROR(__xludf.DUMMYFUNCTION("""COMPUTED_VALUE"""),"Dra, Mar Lasso de la Vega Zamora")</f>
        <v>Dra, Mar Lasso de la Vega Zamora</v>
      </c>
      <c r="P960" s="33" t="str">
        <f ca="1">IFERROR(__xludf.DUMMYFUNCTION("""COMPUTED_VALUE"""),"Maika Blázquez (Madrid)")</f>
        <v>Maika Blázquez (Madrid)</v>
      </c>
    </row>
    <row r="961" spans="2:16">
      <c r="B961" s="33">
        <f ca="1">IFERROR(__xludf.DUMMYFUNCTION("""COMPUTED_VALUE"""),2025)</f>
        <v>2025</v>
      </c>
      <c r="C961" s="33">
        <f ca="1">IFERROR(__xludf.DUMMYFUNCTION("""COMPUTED_VALUE"""),7)</f>
        <v>7</v>
      </c>
      <c r="D961" s="33" t="str">
        <f ca="1">IFERROR(__xludf.DUMMYFUNCTION("""COMPUTED_VALUE"""),"NO")</f>
        <v>NO</v>
      </c>
      <c r="E961" s="33" t="str">
        <f ca="1">IFERROR(__xludf.DUMMYFUNCTION("""COMPUTED_VALUE"""),"Leganés")</f>
        <v>Leganés</v>
      </c>
      <c r="F961" s="57">
        <f ca="1">IFERROR(__xludf.DUMMYFUNCTION("""COMPUTED_VALUE"""),45859)</f>
        <v>45859</v>
      </c>
      <c r="G961" s="57">
        <f ca="1">IFERROR(__xludf.DUMMYFUNCTION("""COMPUTED_VALUE"""),45783)</f>
        <v>45783</v>
      </c>
      <c r="H961" s="33" t="str">
        <f ca="1">IFERROR(__xludf.DUMMYFUNCTION("""COMPUTED_VALUE"""),"Leganés")</f>
        <v>Leganés</v>
      </c>
      <c r="I961" s="33" t="str">
        <f ca="1">IFERROR(__xludf.DUMMYFUNCTION("""COMPUTED_VALUE"""),"C2025512104845211")</f>
        <v>C2025512104845211</v>
      </c>
      <c r="J961" s="33" t="str">
        <f ca="1">IFERROR(__xludf.DUMMYFUNCTION("""COMPUTED_VALUE"""),"MANUEL FLORES COLLAZOS")</f>
        <v>MANUEL FLORES COLLAZOS</v>
      </c>
      <c r="K961" s="33">
        <f ca="1">IFERROR(__xludf.DUMMYFUNCTION("""COMPUTED_VALUE"""),1)</f>
        <v>1</v>
      </c>
      <c r="L961" s="203">
        <f ca="1">IFERROR(__xludf.DUMMYFUNCTION("""COMPUTED_VALUE"""),2162.73)</f>
        <v>2162.73</v>
      </c>
      <c r="M961" s="33" t="str">
        <f ca="1">IFERROR(__xludf.DUMMYFUNCTION("""COMPUTED_VALUE"""),"03 ORL")</f>
        <v>03 ORL</v>
      </c>
      <c r="N961" s="33" t="str">
        <f ca="1">IFERROR(__xludf.DUMMYFUNCTION("""COMPUTED_VALUE"""),"06 ORL")</f>
        <v>06 ORL</v>
      </c>
      <c r="O961" s="33" t="str">
        <f ca="1">IFERROR(__xludf.DUMMYFUNCTION("""COMPUTED_VALUE"""),"Dr, Carles Heredia Llinás")</f>
        <v>Dr, Carles Heredia Llinás</v>
      </c>
      <c r="P961" s="33" t="str">
        <f ca="1">IFERROR(__xludf.DUMMYFUNCTION("""COMPUTED_VALUE"""),"Maika Blázquez (Madrid)")</f>
        <v>Maika Blázquez (Madrid)</v>
      </c>
    </row>
    <row r="962" spans="2:16">
      <c r="B962" s="33">
        <f ca="1">IFERROR(__xludf.DUMMYFUNCTION("""COMPUTED_VALUE"""),2025)</f>
        <v>2025</v>
      </c>
      <c r="C962" s="33">
        <f ca="1">IFERROR(__xludf.DUMMYFUNCTION("""COMPUTED_VALUE"""),7)</f>
        <v>7</v>
      </c>
      <c r="D962" s="33" t="str">
        <f ca="1">IFERROR(__xludf.DUMMYFUNCTION("""COMPUTED_VALUE"""),"NO")</f>
        <v>NO</v>
      </c>
      <c r="E962" s="33" t="str">
        <f ca="1">IFERROR(__xludf.DUMMYFUNCTION("""COMPUTED_VALUE"""),"Barcelona- Córcega")</f>
        <v>Barcelona- Córcega</v>
      </c>
      <c r="F962" s="57">
        <f ca="1">IFERROR(__xludf.DUMMYFUNCTION("""COMPUTED_VALUE"""),45839)</f>
        <v>45839</v>
      </c>
      <c r="G962" s="57">
        <f ca="1">IFERROR(__xludf.DUMMYFUNCTION("""COMPUTED_VALUE"""),45793)</f>
        <v>45793</v>
      </c>
      <c r="H962" s="33" t="str">
        <f ca="1">IFERROR(__xludf.DUMMYFUNCTION("""COMPUTED_VALUE"""),"Córcega")</f>
        <v>Córcega</v>
      </c>
      <c r="I962" s="33" t="str">
        <f ca="1">IFERROR(__xludf.DUMMYFUNCTION("""COMPUTED_VALUE"""),"C20256294131115")</f>
        <v>C20256294131115</v>
      </c>
      <c r="J962" s="33" t="str">
        <f ca="1">IFERROR(__xludf.DUMMYFUNCTION("""COMPUTED_VALUE"""),"MARIA DEL CARMEN  VILAMAJO NOLLA")</f>
        <v>MARIA DEL CARMEN  VILAMAJO NOLLA</v>
      </c>
      <c r="K962" s="33">
        <f ca="1">IFERROR(__xludf.DUMMYFUNCTION("""COMPUTED_VALUE"""),2)</f>
        <v>2</v>
      </c>
      <c r="L962" s="203">
        <f ca="1">IFERROR(__xludf.DUMMYFUNCTION("""COMPUTED_VALUE"""),3710)</f>
        <v>3710</v>
      </c>
      <c r="M962" s="33" t="str">
        <f ca="1">IFERROR(__xludf.DUMMYFUNCTION("""COMPUTED_VALUE"""),"03 ORL")</f>
        <v>03 ORL</v>
      </c>
      <c r="N962" s="33" t="str">
        <f ca="1">IFERROR(__xludf.DUMMYFUNCTION("""COMPUTED_VALUE"""),"06 ORL")</f>
        <v>06 ORL</v>
      </c>
      <c r="O962" s="33" t="str">
        <f ca="1">IFERROR(__xludf.DUMMYFUNCTION("""COMPUTED_VALUE"""),"Dr, Darío Agudelo García")</f>
        <v>Dr, Darío Agudelo García</v>
      </c>
      <c r="P962" s="33" t="str">
        <f ca="1">IFERROR(__xludf.DUMMYFUNCTION("""COMPUTED_VALUE"""),"Mercè Cabrera (Cataluña Y Baleares)")</f>
        <v>Mercè Cabrera (Cataluña Y Baleares)</v>
      </c>
    </row>
    <row r="963" spans="2:16">
      <c r="B963" s="33">
        <f ca="1">IFERROR(__xludf.DUMMYFUNCTION("""COMPUTED_VALUE"""),2025)</f>
        <v>2025</v>
      </c>
      <c r="C963" s="33">
        <f ca="1">IFERROR(__xludf.DUMMYFUNCTION("""COMPUTED_VALUE"""),7)</f>
        <v>7</v>
      </c>
      <c r="D963" s="33" t="str">
        <f ca="1">IFERROR(__xludf.DUMMYFUNCTION("""COMPUTED_VALUE"""),"NO")</f>
        <v>NO</v>
      </c>
      <c r="E963" s="33" t="str">
        <f ca="1">IFERROR(__xludf.DUMMYFUNCTION("""COMPUTED_VALUE"""),"Ourense")</f>
        <v>Ourense</v>
      </c>
      <c r="F963" s="57">
        <f ca="1">IFERROR(__xludf.DUMMYFUNCTION("""COMPUTED_VALUE"""),45848)</f>
        <v>45848</v>
      </c>
      <c r="G963" s="57">
        <f ca="1">IFERROR(__xludf.DUMMYFUNCTION("""COMPUTED_VALUE"""),45818)</f>
        <v>45818</v>
      </c>
      <c r="H963" s="33" t="str">
        <f ca="1">IFERROR(__xludf.DUMMYFUNCTION("""COMPUTED_VALUE"""),"Orense")</f>
        <v>Orense</v>
      </c>
      <c r="I963" s="33" t="str">
        <f ca="1">IFERROR(__xludf.DUMMYFUNCTION("""COMPUTED_VALUE"""),"C202561211128538")</f>
        <v>C202561211128538</v>
      </c>
      <c r="J963" s="33" t="str">
        <f ca="1">IFERROR(__xludf.DUMMYFUNCTION("""COMPUTED_VALUE"""),"MARIA DEL CARMEN FERNANDEZ PATO")</f>
        <v>MARIA DEL CARMEN FERNANDEZ PATO</v>
      </c>
      <c r="K963" s="33">
        <f ca="1">IFERROR(__xludf.DUMMYFUNCTION("""COMPUTED_VALUE"""),2)</f>
        <v>2</v>
      </c>
      <c r="L963" s="203">
        <f ca="1">IFERROR(__xludf.DUMMYFUNCTION("""COMPUTED_VALUE"""),3710)</f>
        <v>3710</v>
      </c>
      <c r="M963" s="33" t="str">
        <f ca="1">IFERROR(__xludf.DUMMYFUNCTION("""COMPUTED_VALUE"""),"03 ORL")</f>
        <v>03 ORL</v>
      </c>
      <c r="N963" s="33" t="str">
        <f ca="1">IFERROR(__xludf.DUMMYFUNCTION("""COMPUTED_VALUE"""),"06 ORL")</f>
        <v>06 ORL</v>
      </c>
      <c r="O963" s="33" t="str">
        <f ca="1">IFERROR(__xludf.DUMMYFUNCTION("""COMPUTED_VALUE"""),"Dr, Gonzalo Dorado Gutiérrez")</f>
        <v>Dr, Gonzalo Dorado Gutiérrez</v>
      </c>
      <c r="P963" s="33" t="str">
        <f ca="1">IFERROR(__xludf.DUMMYFUNCTION("""COMPUTED_VALUE"""),"Roberto Pereira (Galicia)")</f>
        <v>Roberto Pereira (Galicia)</v>
      </c>
    </row>
    <row r="964" spans="2:16">
      <c r="B964" s="33">
        <f ca="1">IFERROR(__xludf.DUMMYFUNCTION("""COMPUTED_VALUE"""),2025)</f>
        <v>2025</v>
      </c>
      <c r="C964" s="33">
        <f ca="1">IFERROR(__xludf.DUMMYFUNCTION("""COMPUTED_VALUE"""),7)</f>
        <v>7</v>
      </c>
      <c r="D964" s="33" t="str">
        <f ca="1">IFERROR(__xludf.DUMMYFUNCTION("""COMPUTED_VALUE"""),"NO")</f>
        <v>NO</v>
      </c>
      <c r="E964" s="33" t="str">
        <f ca="1">IFERROR(__xludf.DUMMYFUNCTION("""COMPUTED_VALUE"""),"Sevilla- Montoto")</f>
        <v>Sevilla- Montoto</v>
      </c>
      <c r="F964" s="57">
        <f ca="1">IFERROR(__xludf.DUMMYFUNCTION("""COMPUTED_VALUE"""),45842)</f>
        <v>45842</v>
      </c>
      <c r="G964" s="57">
        <f ca="1">IFERROR(__xludf.DUMMYFUNCTION("""COMPUTED_VALUE"""),45789)</f>
        <v>45789</v>
      </c>
      <c r="H964" s="33" t="str">
        <f ca="1">IFERROR(__xludf.DUMMYFUNCTION("""COMPUTED_VALUE"""),"Montoto")</f>
        <v>Montoto</v>
      </c>
      <c r="I964" s="33" t="str">
        <f ca="1">IFERROR(__xludf.DUMMYFUNCTION("""COMPUTED_VALUE"""),"C202551412512587")</f>
        <v>C202551412512587</v>
      </c>
      <c r="J964" s="33" t="str">
        <f ca="1">IFERROR(__xludf.DUMMYFUNCTION("""COMPUTED_VALUE"""),"MARIA DEL CARMEN SUAREZ BONILLA")</f>
        <v>MARIA DEL CARMEN SUAREZ BONILLA</v>
      </c>
      <c r="K964" s="33">
        <f ca="1">IFERROR(__xludf.DUMMYFUNCTION("""COMPUTED_VALUE"""),2)</f>
        <v>2</v>
      </c>
      <c r="L964" s="203">
        <f ca="1">IFERROR(__xludf.DUMMYFUNCTION("""COMPUTED_VALUE"""),4304.55)</f>
        <v>4304.55</v>
      </c>
      <c r="M964" s="33" t="str">
        <f ca="1">IFERROR(__xludf.DUMMYFUNCTION("""COMPUTED_VALUE"""),"03 ORL")</f>
        <v>03 ORL</v>
      </c>
      <c r="N964" s="33" t="str">
        <f ca="1">IFERROR(__xludf.DUMMYFUNCTION("""COMPUTED_VALUE"""),"06 ORL")</f>
        <v>06 ORL</v>
      </c>
      <c r="O964" s="33" t="str">
        <f ca="1">IFERROR(__xludf.DUMMYFUNCTION("""COMPUTED_VALUE"""),"Dra, Rocío Corrales Martín")</f>
        <v>Dra, Rocío Corrales Martín</v>
      </c>
      <c r="P964" s="33" t="str">
        <f ca="1">IFERROR(__xludf.DUMMYFUNCTION("""COMPUTED_VALUE"""),"Luis Alberto Rodríguez (Andalucía y Badajoz)")</f>
        <v>Luis Alberto Rodríguez (Andalucía y Badajoz)</v>
      </c>
    </row>
    <row r="965" spans="2:16">
      <c r="B965" s="33">
        <f ca="1">IFERROR(__xludf.DUMMYFUNCTION("""COMPUTED_VALUE"""),2025)</f>
        <v>2025</v>
      </c>
      <c r="C965" s="33">
        <f ca="1">IFERROR(__xludf.DUMMYFUNCTION("""COMPUTED_VALUE"""),7)</f>
        <v>7</v>
      </c>
      <c r="D965" s="33" t="str">
        <f ca="1">IFERROR(__xludf.DUMMYFUNCTION("""COMPUTED_VALUE"""),"NO")</f>
        <v>NO</v>
      </c>
      <c r="E965" s="33" t="str">
        <f ca="1">IFERROR(__xludf.DUMMYFUNCTION("""COMPUTED_VALUE"""),"Madrid- Juan Bravo")</f>
        <v>Madrid- Juan Bravo</v>
      </c>
      <c r="F965" s="57">
        <f ca="1">IFERROR(__xludf.DUMMYFUNCTION("""COMPUTED_VALUE"""),45846)</f>
        <v>45846</v>
      </c>
      <c r="G965" s="57">
        <f ca="1">IFERROR(__xludf.DUMMYFUNCTION("""COMPUTED_VALUE"""),45806)</f>
        <v>45806</v>
      </c>
      <c r="H965" s="33" t="str">
        <f ca="1">IFERROR(__xludf.DUMMYFUNCTION("""COMPUTED_VALUE"""),"Juan Bravo")</f>
        <v>Juan Bravo</v>
      </c>
      <c r="I965" s="33" t="str">
        <f ca="1">IFERROR(__xludf.DUMMYFUNCTION("""COMPUTED_VALUE"""),"C202563121418400")</f>
        <v>C202563121418400</v>
      </c>
      <c r="J965" s="33" t="str">
        <f ca="1">IFERROR(__xludf.DUMMYFUNCTION("""COMPUTED_VALUE"""),"MARIA DEL CASTAÑAR SAAVEDRA CORTES")</f>
        <v>MARIA DEL CASTAÑAR SAAVEDRA CORTES</v>
      </c>
      <c r="K965" s="33">
        <f ca="1">IFERROR(__xludf.DUMMYFUNCTION("""COMPUTED_VALUE"""),2)</f>
        <v>2</v>
      </c>
      <c r="L965" s="203">
        <f ca="1">IFERROR(__xludf.DUMMYFUNCTION("""COMPUTED_VALUE"""),4000)</f>
        <v>4000</v>
      </c>
      <c r="M965" s="33" t="str">
        <f ca="1">IFERROR(__xludf.DUMMYFUNCTION("""COMPUTED_VALUE"""),"03 ORL")</f>
        <v>03 ORL</v>
      </c>
      <c r="N965" s="33" t="str">
        <f ca="1">IFERROR(__xludf.DUMMYFUNCTION("""COMPUTED_VALUE"""),"06 ORL")</f>
        <v>06 ORL</v>
      </c>
      <c r="O965" s="33" t="str">
        <f ca="1">IFERROR(__xludf.DUMMYFUNCTION("""COMPUTED_VALUE"""),"Dr, Joaquín Alacio Casero")</f>
        <v>Dr, Joaquín Alacio Casero</v>
      </c>
      <c r="P965" s="33" t="str">
        <f ca="1">IFERROR(__xludf.DUMMYFUNCTION("""COMPUTED_VALUE"""),"Maika Blázquez (Madrid)")</f>
        <v>Maika Blázquez (Madrid)</v>
      </c>
    </row>
    <row r="966" spans="2:16">
      <c r="B966" s="33">
        <f ca="1">IFERROR(__xludf.DUMMYFUNCTION("""COMPUTED_VALUE"""),2025)</f>
        <v>2025</v>
      </c>
      <c r="C966" s="33">
        <f ca="1">IFERROR(__xludf.DUMMYFUNCTION("""COMPUTED_VALUE"""),7)</f>
        <v>7</v>
      </c>
      <c r="D966" s="33" t="str">
        <f ca="1">IFERROR(__xludf.DUMMYFUNCTION("""COMPUTED_VALUE"""),"NO")</f>
        <v>NO</v>
      </c>
      <c r="E966" s="33" t="str">
        <f ca="1">IFERROR(__xludf.DUMMYFUNCTION("""COMPUTED_VALUE"""),"Lugo")</f>
        <v>Lugo</v>
      </c>
      <c r="F966" s="57">
        <f ca="1">IFERROR(__xludf.DUMMYFUNCTION("""COMPUTED_VALUE"""),45853)</f>
        <v>45853</v>
      </c>
      <c r="G966" s="57">
        <f ca="1">IFERROR(__xludf.DUMMYFUNCTION("""COMPUTED_VALUE"""),45803)</f>
        <v>45803</v>
      </c>
      <c r="H966" s="33" t="str">
        <f ca="1">IFERROR(__xludf.DUMMYFUNCTION("""COMPUTED_VALUE"""),"Lugo")</f>
        <v>Lugo</v>
      </c>
      <c r="I966" s="33" t="str">
        <f ca="1">IFERROR(__xludf.DUMMYFUNCTION("""COMPUTED_VALUE"""),"C2025618173042757")</f>
        <v>C2025618173042757</v>
      </c>
      <c r="J966" s="33" t="str">
        <f ca="1">IFERROR(__xludf.DUMMYFUNCTION("""COMPUTED_VALUE"""),"MARIA DEL PILAR DOMINGUEZ SANTISO")</f>
        <v>MARIA DEL PILAR DOMINGUEZ SANTISO</v>
      </c>
      <c r="K966" s="33">
        <f ca="1">IFERROR(__xludf.DUMMYFUNCTION("""COMPUTED_VALUE"""),2)</f>
        <v>2</v>
      </c>
      <c r="L966" s="203">
        <f ca="1">IFERROR(__xludf.DUMMYFUNCTION("""COMPUTED_VALUE"""),3710)</f>
        <v>3710</v>
      </c>
      <c r="M966" s="33" t="str">
        <f ca="1">IFERROR(__xludf.DUMMYFUNCTION("""COMPUTED_VALUE"""),"03 ORL")</f>
        <v>03 ORL</v>
      </c>
      <c r="N966" s="33" t="str">
        <f ca="1">IFERROR(__xludf.DUMMYFUNCTION("""COMPUTED_VALUE"""),"06 ORL")</f>
        <v>06 ORL</v>
      </c>
      <c r="O966" s="33" t="str">
        <f ca="1">IFERROR(__xludf.DUMMYFUNCTION("""COMPUTED_VALUE"""),"Dr, Pedro Juiz López")</f>
        <v>Dr, Pedro Juiz López</v>
      </c>
      <c r="P966" s="33" t="str">
        <f ca="1">IFERROR(__xludf.DUMMYFUNCTION("""COMPUTED_VALUE"""),"Roberto Pereira (Galicia)")</f>
        <v>Roberto Pereira (Galicia)</v>
      </c>
    </row>
    <row r="967" spans="2:16">
      <c r="B967" s="33">
        <f ca="1">IFERROR(__xludf.DUMMYFUNCTION("""COMPUTED_VALUE"""),2025)</f>
        <v>2025</v>
      </c>
      <c r="C967" s="33">
        <f ca="1">IFERROR(__xludf.DUMMYFUNCTION("""COMPUTED_VALUE"""),7)</f>
        <v>7</v>
      </c>
      <c r="D967" s="33" t="str">
        <f ca="1">IFERROR(__xludf.DUMMYFUNCTION("""COMPUTED_VALUE"""),"NO")</f>
        <v>NO</v>
      </c>
      <c r="E967" s="33" t="str">
        <f ca="1">IFERROR(__xludf.DUMMYFUNCTION("""COMPUTED_VALUE"""),"Madrid- Moratalaz")</f>
        <v>Madrid- Moratalaz</v>
      </c>
      <c r="F967" s="57">
        <f ca="1">IFERROR(__xludf.DUMMYFUNCTION("""COMPUTED_VALUE"""),45854)</f>
        <v>45854</v>
      </c>
      <c r="G967" s="57">
        <f ca="1">IFERROR(__xludf.DUMMYFUNCTION("""COMPUTED_VALUE"""),45827)</f>
        <v>45827</v>
      </c>
      <c r="H967" s="33" t="str">
        <f ca="1">IFERROR(__xludf.DUMMYFUNCTION("""COMPUTED_VALUE"""),"Moratalaz")</f>
        <v>Moratalaz</v>
      </c>
      <c r="I967" s="33" t="str">
        <f ca="1">IFERROR(__xludf.DUMMYFUNCTION("""COMPUTED_VALUE"""),"C2025625101015336")</f>
        <v>C2025625101015336</v>
      </c>
      <c r="J967" s="33" t="str">
        <f ca="1">IFERROR(__xludf.DUMMYFUNCTION("""COMPUTED_VALUE"""),"MARIA JESUS VILLAREAL VILLAREAL")</f>
        <v>MARIA JESUS VILLAREAL VILLAREAL</v>
      </c>
      <c r="K967" s="33">
        <f ca="1">IFERROR(__xludf.DUMMYFUNCTION("""COMPUTED_VALUE"""),2)</f>
        <v>2</v>
      </c>
      <c r="L967" s="203">
        <f ca="1">IFERROR(__xludf.DUMMYFUNCTION("""COMPUTED_VALUE"""),4000)</f>
        <v>4000</v>
      </c>
      <c r="M967" s="33" t="str">
        <f ca="1">IFERROR(__xludf.DUMMYFUNCTION("""COMPUTED_VALUE"""),"03 ORL")</f>
        <v>03 ORL</v>
      </c>
      <c r="N967" s="33" t="str">
        <f ca="1">IFERROR(__xludf.DUMMYFUNCTION("""COMPUTED_VALUE"""),"06 ORL")</f>
        <v>06 ORL</v>
      </c>
      <c r="O967" s="33" t="str">
        <f ca="1">IFERROR(__xludf.DUMMYFUNCTION("""COMPUTED_VALUE"""),"Dr, Julio López Moya")</f>
        <v>Dr, Julio López Moya</v>
      </c>
      <c r="P967" s="33" t="str">
        <f ca="1">IFERROR(__xludf.DUMMYFUNCTION("""COMPUTED_VALUE"""),"Maika Blázquez (Madrid)")</f>
        <v>Maika Blázquez (Madrid)</v>
      </c>
    </row>
    <row r="968" spans="2:16">
      <c r="B968" s="33">
        <f ca="1">IFERROR(__xludf.DUMMYFUNCTION("""COMPUTED_VALUE"""),2025)</f>
        <v>2025</v>
      </c>
      <c r="C968" s="33">
        <f ca="1">IFERROR(__xludf.DUMMYFUNCTION("""COMPUTED_VALUE"""),7)</f>
        <v>7</v>
      </c>
      <c r="D968" s="33" t="str">
        <f ca="1">IFERROR(__xludf.DUMMYFUNCTION("""COMPUTED_VALUE"""),"NO")</f>
        <v>NO</v>
      </c>
      <c r="E968" s="33" t="str">
        <f ca="1">IFERROR(__xludf.DUMMYFUNCTION("""COMPUTED_VALUE"""),"Madrid- Juan Bravo")</f>
        <v>Madrid- Juan Bravo</v>
      </c>
      <c r="F968" s="57">
        <f ca="1">IFERROR(__xludf.DUMMYFUNCTION("""COMPUTED_VALUE"""),45848)</f>
        <v>45848</v>
      </c>
      <c r="G968" s="57">
        <f ca="1">IFERROR(__xludf.DUMMYFUNCTION("""COMPUTED_VALUE"""),45800)</f>
        <v>45800</v>
      </c>
      <c r="H968" s="33" t="str">
        <f ca="1">IFERROR(__xludf.DUMMYFUNCTION("""COMPUTED_VALUE"""),"Juan Bravo")</f>
        <v>Juan Bravo</v>
      </c>
      <c r="I968" s="33" t="str">
        <f ca="1">IFERROR(__xludf.DUMMYFUNCTION("""COMPUTED_VALUE"""),"C20256615416855")</f>
        <v>C20256615416855</v>
      </c>
      <c r="J968" s="33" t="str">
        <f ca="1">IFERROR(__xludf.DUMMYFUNCTION("""COMPUTED_VALUE"""),"MARIA JOSE  GUTIERREZ GUTIERREZ")</f>
        <v>MARIA JOSE  GUTIERREZ GUTIERREZ</v>
      </c>
      <c r="K968" s="33">
        <f ca="1">IFERROR(__xludf.DUMMYFUNCTION("""COMPUTED_VALUE"""),1)</f>
        <v>1</v>
      </c>
      <c r="L968" s="203">
        <f ca="1">IFERROR(__xludf.DUMMYFUNCTION("""COMPUTED_VALUE"""),2280)</f>
        <v>2280</v>
      </c>
      <c r="M968" s="33" t="str">
        <f ca="1">IFERROR(__xludf.DUMMYFUNCTION("""COMPUTED_VALUE"""),"03 ORL")</f>
        <v>03 ORL</v>
      </c>
      <c r="N968" s="33" t="str">
        <f ca="1">IFERROR(__xludf.DUMMYFUNCTION("""COMPUTED_VALUE"""),"06 ORL")</f>
        <v>06 ORL</v>
      </c>
      <c r="O968" s="33" t="str">
        <f ca="1">IFERROR(__xludf.DUMMYFUNCTION("""COMPUTED_VALUE"""),"Dra, Laura Garrido García")</f>
        <v>Dra, Laura Garrido García</v>
      </c>
      <c r="P968" s="33" t="str">
        <f ca="1">IFERROR(__xludf.DUMMYFUNCTION("""COMPUTED_VALUE"""),"Maika Blázquez (Madrid)")</f>
        <v>Maika Blázquez (Madrid)</v>
      </c>
    </row>
    <row r="969" spans="2:16">
      <c r="B969" s="33">
        <f ca="1">IFERROR(__xludf.DUMMYFUNCTION("""COMPUTED_VALUE"""),2025)</f>
        <v>2025</v>
      </c>
      <c r="C969" s="33">
        <f ca="1">IFERROR(__xludf.DUMMYFUNCTION("""COMPUTED_VALUE"""),7)</f>
        <v>7</v>
      </c>
      <c r="D969" s="33" t="str">
        <f ca="1">IFERROR(__xludf.DUMMYFUNCTION("""COMPUTED_VALUE"""),"NO")</f>
        <v>NO</v>
      </c>
      <c r="E969" s="33" t="str">
        <f ca="1">IFERROR(__xludf.DUMMYFUNCTION("""COMPUTED_VALUE"""),"Sevilla- Montoto")</f>
        <v>Sevilla- Montoto</v>
      </c>
      <c r="F969" s="57">
        <f ca="1">IFERROR(__xludf.DUMMYFUNCTION("""COMPUTED_VALUE"""),45862)</f>
        <v>45862</v>
      </c>
      <c r="G969" s="57">
        <f ca="1">IFERROR(__xludf.DUMMYFUNCTION("""COMPUTED_VALUE"""),45777)</f>
        <v>45777</v>
      </c>
      <c r="H969" s="33" t="str">
        <f ca="1">IFERROR(__xludf.DUMMYFUNCTION("""COMPUTED_VALUE"""),"Montoto")</f>
        <v>Montoto</v>
      </c>
      <c r="I969" s="33" t="str">
        <f ca="1">IFERROR(__xludf.DUMMYFUNCTION("""COMPUTED_VALUE"""),"C202555112845907")</f>
        <v>C202555112845907</v>
      </c>
      <c r="J969" s="33" t="str">
        <f ca="1">IFERROR(__xludf.DUMMYFUNCTION("""COMPUTED_VALUE"""),"MARIA JOSEFA MARTINEZ SANDÁ")</f>
        <v>MARIA JOSEFA MARTINEZ SANDÁ</v>
      </c>
      <c r="K969" s="33">
        <f ca="1">IFERROR(__xludf.DUMMYFUNCTION("""COMPUTED_VALUE"""),2)</f>
        <v>2</v>
      </c>
      <c r="L969" s="203">
        <f ca="1">IFERROR(__xludf.DUMMYFUNCTION("""COMPUTED_VALUE"""),3710)</f>
        <v>3710</v>
      </c>
      <c r="M969" s="33" t="str">
        <f ca="1">IFERROR(__xludf.DUMMYFUNCTION("""COMPUTED_VALUE"""),"03 ORL")</f>
        <v>03 ORL</v>
      </c>
      <c r="N969" s="33" t="str">
        <f ca="1">IFERROR(__xludf.DUMMYFUNCTION("""COMPUTED_VALUE"""),"06 ORL")</f>
        <v>06 ORL</v>
      </c>
      <c r="O969" s="33" t="str">
        <f ca="1">IFERROR(__xludf.DUMMYFUNCTION("""COMPUTED_VALUE"""),"Dr, Miguel Alberto Rodríguez Pérez")</f>
        <v>Dr, Miguel Alberto Rodríguez Pérez</v>
      </c>
      <c r="P969" s="33" t="str">
        <f ca="1">IFERROR(__xludf.DUMMYFUNCTION("""COMPUTED_VALUE"""),"Luis Alberto Rodríguez (Andalucía y Badajoz)")</f>
        <v>Luis Alberto Rodríguez (Andalucía y Badajoz)</v>
      </c>
    </row>
    <row r="970" spans="2:16">
      <c r="B970" s="33">
        <f ca="1">IFERROR(__xludf.DUMMYFUNCTION("""COMPUTED_VALUE"""),2025)</f>
        <v>2025</v>
      </c>
      <c r="C970" s="33">
        <f ca="1">IFERROR(__xludf.DUMMYFUNCTION("""COMPUTED_VALUE"""),7)</f>
        <v>7</v>
      </c>
      <c r="D970" s="33" t="str">
        <f ca="1">IFERROR(__xludf.DUMMYFUNCTION("""COMPUTED_VALUE"""),"NO")</f>
        <v>NO</v>
      </c>
      <c r="E970" s="33" t="str">
        <f ca="1">IFERROR(__xludf.DUMMYFUNCTION("""COMPUTED_VALUE"""),"Getafe")</f>
        <v>Getafe</v>
      </c>
      <c r="F970" s="57">
        <f ca="1">IFERROR(__xludf.DUMMYFUNCTION("""COMPUTED_VALUE"""),45862)</f>
        <v>45862</v>
      </c>
      <c r="G970" s="57">
        <f ca="1">IFERROR(__xludf.DUMMYFUNCTION("""COMPUTED_VALUE"""),45827)</f>
        <v>45827</v>
      </c>
      <c r="H970" s="33" t="str">
        <f ca="1">IFERROR(__xludf.DUMMYFUNCTION("""COMPUTED_VALUE"""),"Getafe")</f>
        <v>Getafe</v>
      </c>
      <c r="I970" s="33" t="str">
        <f ca="1">IFERROR(__xludf.DUMMYFUNCTION("""COMPUTED_VALUE"""),"C202562316308221")</f>
        <v>C202562316308221</v>
      </c>
      <c r="J970" s="33" t="str">
        <f ca="1">IFERROR(__xludf.DUMMYFUNCTION("""COMPUTED_VALUE"""),"MARIA MONTSERRAT GOMEZ CALVO")</f>
        <v>MARIA MONTSERRAT GOMEZ CALVO</v>
      </c>
      <c r="K970" s="33">
        <f ca="1">IFERROR(__xludf.DUMMYFUNCTION("""COMPUTED_VALUE"""),2)</f>
        <v>2</v>
      </c>
      <c r="L970" s="203">
        <f ca="1">IFERROR(__xludf.DUMMYFUNCTION("""COMPUTED_VALUE"""),2974.55)</f>
        <v>2974.55</v>
      </c>
      <c r="M970" s="33" t="str">
        <f ca="1">IFERROR(__xludf.DUMMYFUNCTION("""COMPUTED_VALUE"""),"03 ORL")</f>
        <v>03 ORL</v>
      </c>
      <c r="N970" s="33" t="str">
        <f ca="1">IFERROR(__xludf.DUMMYFUNCTION("""COMPUTED_VALUE"""),"06 ORL")</f>
        <v>06 ORL</v>
      </c>
      <c r="O970" s="33" t="str">
        <f ca="1">IFERROR(__xludf.DUMMYFUNCTION("""COMPUTED_VALUE"""),"Dr, Daniel Moreno Jimenez")</f>
        <v>Dr, Daniel Moreno Jimenez</v>
      </c>
      <c r="P970" s="33" t="str">
        <f ca="1">IFERROR(__xludf.DUMMYFUNCTION("""COMPUTED_VALUE"""),"Maika Blázquez (Madrid)")</f>
        <v>Maika Blázquez (Madrid)</v>
      </c>
    </row>
    <row r="971" spans="2:16">
      <c r="B971" s="33">
        <f ca="1">IFERROR(__xludf.DUMMYFUNCTION("""COMPUTED_VALUE"""),2025)</f>
        <v>2025</v>
      </c>
      <c r="C971" s="33">
        <f ca="1">IFERROR(__xludf.DUMMYFUNCTION("""COMPUTED_VALUE"""),7)</f>
        <v>7</v>
      </c>
      <c r="D971" s="33" t="str">
        <f ca="1">IFERROR(__xludf.DUMMYFUNCTION("""COMPUTED_VALUE"""),"NO")</f>
        <v>NO</v>
      </c>
      <c r="E971" s="33" t="str">
        <f ca="1">IFERROR(__xludf.DUMMYFUNCTION("""COMPUTED_VALUE"""),"Madrid- Juan Bravo")</f>
        <v>Madrid- Juan Bravo</v>
      </c>
      <c r="F971" s="57">
        <f ca="1">IFERROR(__xludf.DUMMYFUNCTION("""COMPUTED_VALUE"""),45855)</f>
        <v>45855</v>
      </c>
      <c r="G971" s="57">
        <f ca="1">IFERROR(__xludf.DUMMYFUNCTION("""COMPUTED_VALUE"""),45818)</f>
        <v>45818</v>
      </c>
      <c r="H971" s="33" t="str">
        <f ca="1">IFERROR(__xludf.DUMMYFUNCTION("""COMPUTED_VALUE"""),"Juan Bravo")</f>
        <v>Juan Bravo</v>
      </c>
      <c r="I971" s="33" t="str">
        <f ca="1">IFERROR(__xludf.DUMMYFUNCTION("""COMPUTED_VALUE"""),"C2025624175733862")</f>
        <v>C2025624175733862</v>
      </c>
      <c r="J971" s="33" t="str">
        <f ca="1">IFERROR(__xludf.DUMMYFUNCTION("""COMPUTED_VALUE"""),"MARINA  MIGUEL DE LA CRUZ")</f>
        <v>MARINA  MIGUEL DE LA CRUZ</v>
      </c>
      <c r="K971" s="33">
        <f ca="1">IFERROR(__xludf.DUMMYFUNCTION("""COMPUTED_VALUE"""),1)</f>
        <v>1</v>
      </c>
      <c r="L971" s="203">
        <f ca="1">IFERROR(__xludf.DUMMYFUNCTION("""COMPUTED_VALUE"""),2640)</f>
        <v>2640</v>
      </c>
      <c r="M971" s="33" t="str">
        <f ca="1">IFERROR(__xludf.DUMMYFUNCTION("""COMPUTED_VALUE"""),"03 ORL")</f>
        <v>03 ORL</v>
      </c>
      <c r="N971" s="33" t="str">
        <f ca="1">IFERROR(__xludf.DUMMYFUNCTION("""COMPUTED_VALUE"""),"06 ORL")</f>
        <v>06 ORL</v>
      </c>
      <c r="O971" s="33" t="str">
        <f ca="1">IFERROR(__xludf.DUMMYFUNCTION("""COMPUTED_VALUE"""),"Dr, Carlos Barajas del Rosal")</f>
        <v>Dr, Carlos Barajas del Rosal</v>
      </c>
      <c r="P971" s="33" t="str">
        <f ca="1">IFERROR(__xludf.DUMMYFUNCTION("""COMPUTED_VALUE"""),"Lisandro Russian (Madrid, Cáceres, Toledo, Talavera Y Logroño)")</f>
        <v>Lisandro Russian (Madrid, Cáceres, Toledo, Talavera Y Logroño)</v>
      </c>
    </row>
    <row r="972" spans="2:16">
      <c r="B972" s="33">
        <f ca="1">IFERROR(__xludf.DUMMYFUNCTION("""COMPUTED_VALUE"""),2025)</f>
        <v>2025</v>
      </c>
      <c r="C972" s="33">
        <f ca="1">IFERROR(__xludf.DUMMYFUNCTION("""COMPUTED_VALUE"""),7)</f>
        <v>7</v>
      </c>
      <c r="D972" s="33" t="str">
        <f ca="1">IFERROR(__xludf.DUMMYFUNCTION("""COMPUTED_VALUE"""),"NO")</f>
        <v>NO</v>
      </c>
      <c r="E972" s="33" t="str">
        <f ca="1">IFERROR(__xludf.DUMMYFUNCTION("""COMPUTED_VALUE"""),"Hospitalet de Llobregat")</f>
        <v>Hospitalet de Llobregat</v>
      </c>
      <c r="F972" s="57">
        <f ca="1">IFERROR(__xludf.DUMMYFUNCTION("""COMPUTED_VALUE"""),45853)</f>
        <v>45853</v>
      </c>
      <c r="G972" s="57">
        <f ca="1">IFERROR(__xludf.DUMMYFUNCTION("""COMPUTED_VALUE"""),45811)</f>
        <v>45811</v>
      </c>
      <c r="H972" s="33" t="str">
        <f ca="1">IFERROR(__xludf.DUMMYFUNCTION("""COMPUTED_VALUE"""),"Hospitalet")</f>
        <v>Hospitalet</v>
      </c>
      <c r="I972" s="33" t="str">
        <f ca="1">IFERROR(__xludf.DUMMYFUNCTION("""COMPUTED_VALUE"""),"C2025613161928178")</f>
        <v>C2025613161928178</v>
      </c>
      <c r="J972" s="33" t="str">
        <f ca="1">IFERROR(__xludf.DUMMYFUNCTION("""COMPUTED_VALUE"""),"MIGUEL DOMINGUEZ CALDERON")</f>
        <v>MIGUEL DOMINGUEZ CALDERON</v>
      </c>
      <c r="K972" s="33">
        <f ca="1">IFERROR(__xludf.DUMMYFUNCTION("""COMPUTED_VALUE"""),2)</f>
        <v>2</v>
      </c>
      <c r="L972" s="203">
        <f ca="1">IFERROR(__xludf.DUMMYFUNCTION("""COMPUTED_VALUE"""),2974.55)</f>
        <v>2974.55</v>
      </c>
      <c r="M972" s="33" t="str">
        <f ca="1">IFERROR(__xludf.DUMMYFUNCTION("""COMPUTED_VALUE"""),"03 ORL")</f>
        <v>03 ORL</v>
      </c>
      <c r="N972" s="33" t="str">
        <f ca="1">IFERROR(__xludf.DUMMYFUNCTION("""COMPUTED_VALUE"""),"06 ORL")</f>
        <v>06 ORL</v>
      </c>
      <c r="O972" s="33" t="str">
        <f ca="1">IFERROR(__xludf.DUMMYFUNCTION("""COMPUTED_VALUE"""),"No recuerda ORL")</f>
        <v>No recuerda ORL</v>
      </c>
      <c r="P972" s="33" t="str">
        <f ca="1">IFERROR(__xludf.DUMMYFUNCTION("""COMPUTED_VALUE"""),"Mercè Cabrera (Cataluña Y Baleares)")</f>
        <v>Mercè Cabrera (Cataluña Y Baleares)</v>
      </c>
    </row>
    <row r="973" spans="2:16">
      <c r="B973" s="33">
        <f ca="1">IFERROR(__xludf.DUMMYFUNCTION("""COMPUTED_VALUE"""),2025)</f>
        <v>2025</v>
      </c>
      <c r="C973" s="33">
        <f ca="1">IFERROR(__xludf.DUMMYFUNCTION("""COMPUTED_VALUE"""),7)</f>
        <v>7</v>
      </c>
      <c r="D973" s="33" t="str">
        <f ca="1">IFERROR(__xludf.DUMMYFUNCTION("""COMPUTED_VALUE"""),"NO")</f>
        <v>NO</v>
      </c>
      <c r="E973" s="33" t="str">
        <f ca="1">IFERROR(__xludf.DUMMYFUNCTION("""COMPUTED_VALUE"""),"El Albir (Benidorm)")</f>
        <v>El Albir (Benidorm)</v>
      </c>
      <c r="F973" s="57">
        <f ca="1">IFERROR(__xludf.DUMMYFUNCTION("""COMPUTED_VALUE"""),45859)</f>
        <v>45859</v>
      </c>
      <c r="G973" s="57">
        <f ca="1">IFERROR(__xludf.DUMMYFUNCTION("""COMPUTED_VALUE"""),45803)</f>
        <v>45803</v>
      </c>
      <c r="H973" s="33" t="str">
        <f ca="1">IFERROR(__xludf.DUMMYFUNCTION("""COMPUTED_VALUE"""),"El Albir (Benidorm)")</f>
        <v>El Albir (Benidorm)</v>
      </c>
      <c r="I973" s="33" t="str">
        <f ca="1">IFERROR(__xludf.DUMMYFUNCTION("""COMPUTED_VALUE"""),"C20256121001954")</f>
        <v>C20256121001954</v>
      </c>
      <c r="J973" s="33" t="str">
        <f ca="1">IFERROR(__xludf.DUMMYFUNCTION("""COMPUTED_VALUE"""),"MIGUEL MARTINEZ BOLIVAR")</f>
        <v>MIGUEL MARTINEZ BOLIVAR</v>
      </c>
      <c r="K973" s="33">
        <f ca="1">IFERROR(__xludf.DUMMYFUNCTION("""COMPUTED_VALUE"""),2)</f>
        <v>2</v>
      </c>
      <c r="L973" s="203">
        <f ca="1">IFERROR(__xludf.DUMMYFUNCTION("""COMPUTED_VALUE"""),3710)</f>
        <v>3710</v>
      </c>
      <c r="M973" s="33" t="str">
        <f ca="1">IFERROR(__xludf.DUMMYFUNCTION("""COMPUTED_VALUE"""),"03 ORL")</f>
        <v>03 ORL</v>
      </c>
      <c r="N973" s="33" t="str">
        <f ca="1">IFERROR(__xludf.DUMMYFUNCTION("""COMPUTED_VALUE"""),"06 ORL")</f>
        <v>06 ORL</v>
      </c>
      <c r="O973" s="33" t="str">
        <f ca="1">IFERROR(__xludf.DUMMYFUNCTION("""COMPUTED_VALUE"""),"Dra, María Emilia García Ruiz")</f>
        <v>Dra, María Emilia García Ruiz</v>
      </c>
      <c r="P973" s="33" t="str">
        <f ca="1">IFERROR(__xludf.DUMMYFUNCTION("""COMPUTED_VALUE"""),"Ramon Ferrando(Valencia)")</f>
        <v>Ramon Ferrando(Valencia)</v>
      </c>
    </row>
    <row r="974" spans="2:16">
      <c r="B974" s="33">
        <f ca="1">IFERROR(__xludf.DUMMYFUNCTION("""COMPUTED_VALUE"""),2025)</f>
        <v>2025</v>
      </c>
      <c r="C974" s="33">
        <f ca="1">IFERROR(__xludf.DUMMYFUNCTION("""COMPUTED_VALUE"""),7)</f>
        <v>7</v>
      </c>
      <c r="D974" s="33" t="str">
        <f ca="1">IFERROR(__xludf.DUMMYFUNCTION("""COMPUTED_VALUE"""),"NO")</f>
        <v>NO</v>
      </c>
      <c r="E974" s="33" t="str">
        <f ca="1">IFERROR(__xludf.DUMMYFUNCTION("""COMPUTED_VALUE"""),"Madrid- La Oca")</f>
        <v>Madrid- La Oca</v>
      </c>
      <c r="F974" s="57">
        <f ca="1">IFERROR(__xludf.DUMMYFUNCTION("""COMPUTED_VALUE"""),45841)</f>
        <v>45841</v>
      </c>
      <c r="G974" s="57">
        <f ca="1">IFERROR(__xludf.DUMMYFUNCTION("""COMPUTED_VALUE"""),45796)</f>
        <v>45796</v>
      </c>
      <c r="H974" s="33" t="str">
        <f ca="1">IFERROR(__xludf.DUMMYFUNCTION("""COMPUTED_VALUE"""),"La Oca")</f>
        <v>La Oca</v>
      </c>
      <c r="I974" s="33" t="str">
        <f ca="1">IFERROR(__xludf.DUMMYFUNCTION("""COMPUTED_VALUE"""),"C2025522182025982")</f>
        <v>C2025522182025982</v>
      </c>
      <c r="J974" s="33" t="str">
        <f ca="1">IFERROR(__xludf.DUMMYFUNCTION("""COMPUTED_VALUE"""),"NARCISO GONZALEZ FERRERO")</f>
        <v>NARCISO GONZALEZ FERRERO</v>
      </c>
      <c r="K974" s="33">
        <f ca="1">IFERROR(__xludf.DUMMYFUNCTION("""COMPUTED_VALUE"""),2)</f>
        <v>2</v>
      </c>
      <c r="L974" s="203">
        <f ca="1">IFERROR(__xludf.DUMMYFUNCTION("""COMPUTED_VALUE"""),3710)</f>
        <v>3710</v>
      </c>
      <c r="M974" s="33" t="str">
        <f ca="1">IFERROR(__xludf.DUMMYFUNCTION("""COMPUTED_VALUE"""),"03 ORL")</f>
        <v>03 ORL</v>
      </c>
      <c r="N974" s="33" t="str">
        <f ca="1">IFERROR(__xludf.DUMMYFUNCTION("""COMPUTED_VALUE"""),"06 ORL")</f>
        <v>06 ORL</v>
      </c>
      <c r="O974" s="33" t="str">
        <f ca="1">IFERROR(__xludf.DUMMYFUNCTION("""COMPUTED_VALUE"""),"Dra, Itziar Álvarez Palacios")</f>
        <v>Dra, Itziar Álvarez Palacios</v>
      </c>
      <c r="P974" s="33" t="str">
        <f ca="1">IFERROR(__xludf.DUMMYFUNCTION("""COMPUTED_VALUE"""),"Maika Blázquez (Madrid)")</f>
        <v>Maika Blázquez (Madrid)</v>
      </c>
    </row>
    <row r="975" spans="2:16">
      <c r="B975" s="33">
        <f ca="1">IFERROR(__xludf.DUMMYFUNCTION("""COMPUTED_VALUE"""),2025)</f>
        <v>2025</v>
      </c>
      <c r="C975" s="33">
        <f ca="1">IFERROR(__xludf.DUMMYFUNCTION("""COMPUTED_VALUE"""),7)</f>
        <v>7</v>
      </c>
      <c r="D975" s="33" t="str">
        <f ca="1">IFERROR(__xludf.DUMMYFUNCTION("""COMPUTED_VALUE"""),"NO")</f>
        <v>NO</v>
      </c>
      <c r="E975" s="33" t="str">
        <f ca="1">IFERROR(__xludf.DUMMYFUNCTION("""COMPUTED_VALUE"""),"Murcia")</f>
        <v>Murcia</v>
      </c>
      <c r="F975" s="57">
        <f ca="1">IFERROR(__xludf.DUMMYFUNCTION("""COMPUTED_VALUE"""),45859)</f>
        <v>45859</v>
      </c>
      <c r="G975" s="57">
        <f ca="1">IFERROR(__xludf.DUMMYFUNCTION("""COMPUTED_VALUE"""),45835)</f>
        <v>45835</v>
      </c>
      <c r="H975" s="33" t="str">
        <f ca="1">IFERROR(__xludf.DUMMYFUNCTION("""COMPUTED_VALUE"""),"Murcia")</f>
        <v>Murcia</v>
      </c>
      <c r="I975" s="33" t="str">
        <f ca="1">IFERROR(__xludf.DUMMYFUNCTION("""COMPUTED_VALUE"""),"C202571103959440")</f>
        <v>C202571103959440</v>
      </c>
      <c r="J975" s="33" t="str">
        <f ca="1">IFERROR(__xludf.DUMMYFUNCTION("""COMPUTED_VALUE"""),"OLIMPIA GOMEZ SANCHEZ")</f>
        <v>OLIMPIA GOMEZ SANCHEZ</v>
      </c>
      <c r="K975" s="33">
        <f ca="1">IFERROR(__xludf.DUMMYFUNCTION("""COMPUTED_VALUE"""),2)</f>
        <v>2</v>
      </c>
      <c r="L975" s="203">
        <f ca="1">IFERROR(__xludf.DUMMYFUNCTION("""COMPUTED_VALUE"""),3800)</f>
        <v>3800</v>
      </c>
      <c r="M975" s="33" t="str">
        <f ca="1">IFERROR(__xludf.DUMMYFUNCTION("""COMPUTED_VALUE"""),"03 ORL")</f>
        <v>03 ORL</v>
      </c>
      <c r="N975" s="33" t="str">
        <f ca="1">IFERROR(__xludf.DUMMYFUNCTION("""COMPUTED_VALUE"""),"06 ORL")</f>
        <v>06 ORL</v>
      </c>
      <c r="O975" s="33" t="str">
        <f ca="1">IFERROR(__xludf.DUMMYFUNCTION("""COMPUTED_VALUE"""),"Dra, Beatriz Rodríguez González Herrero")</f>
        <v>Dra, Beatriz Rodríguez González Herrero</v>
      </c>
      <c r="P975" s="33" t="str">
        <f ca="1">IFERROR(__xludf.DUMMYFUNCTION("""COMPUTED_VALUE"""),"Iván Sánchez (Levante Y Albacete)")</f>
        <v>Iván Sánchez (Levante Y Albacete)</v>
      </c>
    </row>
    <row r="976" spans="2:16">
      <c r="B976" s="33">
        <f ca="1">IFERROR(__xludf.DUMMYFUNCTION("""COMPUTED_VALUE"""),2025)</f>
        <v>2025</v>
      </c>
      <c r="C976" s="33">
        <f ca="1">IFERROR(__xludf.DUMMYFUNCTION("""COMPUTED_VALUE"""),7)</f>
        <v>7</v>
      </c>
      <c r="D976" s="33" t="str">
        <f ca="1">IFERROR(__xludf.DUMMYFUNCTION("""COMPUTED_VALUE"""),"NO")</f>
        <v>NO</v>
      </c>
      <c r="E976" s="33" t="str">
        <f ca="1">IFERROR(__xludf.DUMMYFUNCTION("""COMPUTED_VALUE"""),"Fuenlabrada")</f>
        <v>Fuenlabrada</v>
      </c>
      <c r="F976" s="57">
        <f ca="1">IFERROR(__xludf.DUMMYFUNCTION("""COMPUTED_VALUE"""),45848)</f>
        <v>45848</v>
      </c>
      <c r="G976" s="57">
        <f ca="1">IFERROR(__xludf.DUMMYFUNCTION("""COMPUTED_VALUE"""),45821)</f>
        <v>45821</v>
      </c>
      <c r="H976" s="33" t="str">
        <f ca="1">IFERROR(__xludf.DUMMYFUNCTION("""COMPUTED_VALUE"""),"Fuenlabrada")</f>
        <v>Fuenlabrada</v>
      </c>
      <c r="I976" s="33" t="str">
        <f ca="1">IFERROR(__xludf.DUMMYFUNCTION("""COMPUTED_VALUE"""),"C2025616162712892")</f>
        <v>C2025616162712892</v>
      </c>
      <c r="J976" s="33" t="str">
        <f ca="1">IFERROR(__xludf.DUMMYFUNCTION("""COMPUTED_VALUE"""),"PEDRO LUIS VALVERDE LOPEZ")</f>
        <v>PEDRO LUIS VALVERDE LOPEZ</v>
      </c>
      <c r="K976" s="33">
        <f ca="1">IFERROR(__xludf.DUMMYFUNCTION("""COMPUTED_VALUE"""),2)</f>
        <v>2</v>
      </c>
      <c r="L976" s="203">
        <f ca="1">IFERROR(__xludf.DUMMYFUNCTION("""COMPUTED_VALUE"""),4400)</f>
        <v>4400</v>
      </c>
      <c r="M976" s="33" t="str">
        <f ca="1">IFERROR(__xludf.DUMMYFUNCTION("""COMPUTED_VALUE"""),"03 ORL")</f>
        <v>03 ORL</v>
      </c>
      <c r="N976" s="33" t="str">
        <f ca="1">IFERROR(__xludf.DUMMYFUNCTION("""COMPUTED_VALUE"""),"06 ORL")</f>
        <v>06 ORL</v>
      </c>
      <c r="O976" s="33" t="str">
        <f ca="1">IFERROR(__xludf.DUMMYFUNCTION("""COMPUTED_VALUE"""),"Dra, Ithzel Maria Villarreal Patiño")</f>
        <v>Dra, Ithzel Maria Villarreal Patiño</v>
      </c>
      <c r="P976" s="33" t="str">
        <f ca="1">IFERROR(__xludf.DUMMYFUNCTION("""COMPUTED_VALUE"""),"Maika Blázquez (Madrid)")</f>
        <v>Maika Blázquez (Madrid)</v>
      </c>
    </row>
    <row r="977" spans="2:16">
      <c r="B977" s="33">
        <f ca="1">IFERROR(__xludf.DUMMYFUNCTION("""COMPUTED_VALUE"""),2025)</f>
        <v>2025</v>
      </c>
      <c r="C977" s="33">
        <f ca="1">IFERROR(__xludf.DUMMYFUNCTION("""COMPUTED_VALUE"""),7)</f>
        <v>7</v>
      </c>
      <c r="D977" s="33" t="str">
        <f ca="1">IFERROR(__xludf.DUMMYFUNCTION("""COMPUTED_VALUE"""),"NO")</f>
        <v>NO</v>
      </c>
      <c r="E977" s="33" t="str">
        <f ca="1">IFERROR(__xludf.DUMMYFUNCTION("""COMPUTED_VALUE"""),"Orihuela")</f>
        <v>Orihuela</v>
      </c>
      <c r="F977" s="57">
        <f ca="1">IFERROR(__xludf.DUMMYFUNCTION("""COMPUTED_VALUE"""),45846)</f>
        <v>45846</v>
      </c>
      <c r="G977" s="57">
        <f ca="1">IFERROR(__xludf.DUMMYFUNCTION("""COMPUTED_VALUE"""),45798)</f>
        <v>45798</v>
      </c>
      <c r="H977" s="33" t="str">
        <f ca="1">IFERROR(__xludf.DUMMYFUNCTION("""COMPUTED_VALUE"""),"La Zenia")</f>
        <v>La Zenia</v>
      </c>
      <c r="I977" s="33" t="str">
        <f ca="1">IFERROR(__xludf.DUMMYFUNCTION("""COMPUTED_VALUE"""),"C2025527175824796")</f>
        <v>C2025527175824796</v>
      </c>
      <c r="J977" s="33" t="str">
        <f ca="1">IFERROR(__xludf.DUMMYFUNCTION("""COMPUTED_VALUE"""),"RAFAEL SEPULVEDA SALIDO")</f>
        <v>RAFAEL SEPULVEDA SALIDO</v>
      </c>
      <c r="K977" s="33">
        <f ca="1">IFERROR(__xludf.DUMMYFUNCTION("""COMPUTED_VALUE"""),2)</f>
        <v>2</v>
      </c>
      <c r="L977" s="203">
        <f ca="1">IFERROR(__xludf.DUMMYFUNCTION("""COMPUTED_VALUE"""),4000)</f>
        <v>4000</v>
      </c>
      <c r="M977" s="33" t="str">
        <f ca="1">IFERROR(__xludf.DUMMYFUNCTION("""COMPUTED_VALUE"""),"03 ORL")</f>
        <v>03 ORL</v>
      </c>
      <c r="N977" s="33" t="str">
        <f ca="1">IFERROR(__xludf.DUMMYFUNCTION("""COMPUTED_VALUE"""),"06 ORL")</f>
        <v>06 ORL</v>
      </c>
      <c r="O977" s="33" t="str">
        <f ca="1">IFERROR(__xludf.DUMMYFUNCTION("""COMPUTED_VALUE"""),"Dr, Juan Javier Álvarez López")</f>
        <v>Dr, Juan Javier Álvarez López</v>
      </c>
      <c r="P977" s="33" t="str">
        <f ca="1">IFERROR(__xludf.DUMMYFUNCTION("""COMPUTED_VALUE"""),"Iván Sánchez (Levante Y Albacete)")</f>
        <v>Iván Sánchez (Levante Y Albacete)</v>
      </c>
    </row>
    <row r="978" spans="2:16">
      <c r="B978" s="33">
        <f ca="1">IFERROR(__xludf.DUMMYFUNCTION("""COMPUTED_VALUE"""),2025)</f>
        <v>2025</v>
      </c>
      <c r="C978" s="33">
        <f ca="1">IFERROR(__xludf.DUMMYFUNCTION("""COMPUTED_VALUE"""),7)</f>
        <v>7</v>
      </c>
      <c r="D978" s="33" t="str">
        <f ca="1">IFERROR(__xludf.DUMMYFUNCTION("""COMPUTED_VALUE"""),"NO")</f>
        <v>NO</v>
      </c>
      <c r="E978" s="33" t="str">
        <f ca="1">IFERROR(__xludf.DUMMYFUNCTION("""COMPUTED_VALUE"""),"Orihuela")</f>
        <v>Orihuela</v>
      </c>
      <c r="F978" s="57">
        <f ca="1">IFERROR(__xludf.DUMMYFUNCTION("""COMPUTED_VALUE"""),45862)</f>
        <v>45862</v>
      </c>
      <c r="G978" s="57">
        <f ca="1">IFERROR(__xludf.DUMMYFUNCTION("""COMPUTED_VALUE"""),45819)</f>
        <v>45819</v>
      </c>
      <c r="H978" s="33" t="str">
        <f ca="1">IFERROR(__xludf.DUMMYFUNCTION("""COMPUTED_VALUE"""),"La Zenia")</f>
        <v>La Zenia</v>
      </c>
      <c r="I978" s="33" t="str">
        <f ca="1">IFERROR(__xludf.DUMMYFUNCTION("""COMPUTED_VALUE"""),"C202573103548278")</f>
        <v>C202573103548278</v>
      </c>
      <c r="J978" s="33" t="str">
        <f ca="1">IFERROR(__xludf.DUMMYFUNCTION("""COMPUTED_VALUE"""),"REGINE ELISE GORI")</f>
        <v>REGINE ELISE GORI</v>
      </c>
      <c r="K978" s="33">
        <f ca="1">IFERROR(__xludf.DUMMYFUNCTION("""COMPUTED_VALUE"""),2)</f>
        <v>2</v>
      </c>
      <c r="L978" s="203">
        <f ca="1">IFERROR(__xludf.DUMMYFUNCTION("""COMPUTED_VALUE"""),4000)</f>
        <v>4000</v>
      </c>
      <c r="M978" s="33" t="str">
        <f ca="1">IFERROR(__xludf.DUMMYFUNCTION("""COMPUTED_VALUE"""),"03 ORL")</f>
        <v>03 ORL</v>
      </c>
      <c r="N978" s="33" t="str">
        <f ca="1">IFERROR(__xludf.DUMMYFUNCTION("""COMPUTED_VALUE"""),"06 ORL")</f>
        <v>06 ORL</v>
      </c>
      <c r="O978" s="33" t="str">
        <f ca="1">IFERROR(__xludf.DUMMYFUNCTION("""COMPUTED_VALUE"""),"Dr, Carlos Velásquez Fermín")</f>
        <v>Dr, Carlos Velásquez Fermín</v>
      </c>
      <c r="P978" s="33" t="str">
        <f ca="1">IFERROR(__xludf.DUMMYFUNCTION("""COMPUTED_VALUE"""),"Iván Sánchez (Levante Y Albacete)")</f>
        <v>Iván Sánchez (Levante Y Albacete)</v>
      </c>
    </row>
    <row r="979" spans="2:16">
      <c r="B979" s="33">
        <f ca="1">IFERROR(__xludf.DUMMYFUNCTION("""COMPUTED_VALUE"""),2025)</f>
        <v>2025</v>
      </c>
      <c r="C979" s="33">
        <f ca="1">IFERROR(__xludf.DUMMYFUNCTION("""COMPUTED_VALUE"""),7)</f>
        <v>7</v>
      </c>
      <c r="D979" s="33" t="str">
        <f ca="1">IFERROR(__xludf.DUMMYFUNCTION("""COMPUTED_VALUE"""),"SI")</f>
        <v>SI</v>
      </c>
      <c r="E979" s="33" t="str">
        <f ca="1">IFERROR(__xludf.DUMMYFUNCTION("""COMPUTED_VALUE"""),"Madrid- Costa Rica")</f>
        <v>Madrid- Costa Rica</v>
      </c>
      <c r="F979" s="57">
        <f ca="1">IFERROR(__xludf.DUMMYFUNCTION("""COMPUTED_VALUE"""),45856)</f>
        <v>45856</v>
      </c>
      <c r="G979" s="57">
        <f ca="1">IFERROR(__xludf.DUMMYFUNCTION("""COMPUTED_VALUE"""),45341)</f>
        <v>45341</v>
      </c>
      <c r="H979" s="33" t="str">
        <f ca="1">IFERROR(__xludf.DUMMYFUNCTION("""COMPUTED_VALUE"""),"Costa Rica")</f>
        <v>Costa Rica</v>
      </c>
      <c r="I979" s="33" t="str">
        <f ca="1">IFERROR(__xludf.DUMMYFUNCTION("""COMPUTED_VALUE"""),"PIO-11249")</f>
        <v>PIO-11249</v>
      </c>
      <c r="J979" s="33" t="str">
        <f ca="1">IFERROR(__xludf.DUMMYFUNCTION("""COMPUTED_VALUE"""),"RICARDO AGREDA")</f>
        <v>RICARDO AGREDA</v>
      </c>
      <c r="K979" s="33">
        <f ca="1">IFERROR(__xludf.DUMMYFUNCTION("""COMPUTED_VALUE"""),1)</f>
        <v>1</v>
      </c>
      <c r="L979" s="203">
        <f ca="1">IFERROR(__xludf.DUMMYFUNCTION("""COMPUTED_VALUE"""),1730)</f>
        <v>1730</v>
      </c>
      <c r="M979" s="33" t="str">
        <f ca="1">IFERROR(__xludf.DUMMYFUNCTION("""COMPUTED_VALUE"""),"04 TIENDA")</f>
        <v>04 TIENDA</v>
      </c>
      <c r="N979" s="33" t="str">
        <f ca="1">IFERROR(__xludf.DUMMYFUNCTION("""COMPUTED_VALUE"""),"10 REVISIÓN POST-VENTA")</f>
        <v>10 REVISIÓN POST-VENTA</v>
      </c>
      <c r="O979" s="33" t="str">
        <f ca="1">IFERROR(__xludf.DUMMYFUNCTION("""COMPUTED_VALUE"""),"Dr, Raimundo Gómez-Blasi")</f>
        <v>Dr, Raimundo Gómez-Blasi</v>
      </c>
      <c r="P979" s="33" t="str">
        <f ca="1">IFERROR(__xludf.DUMMYFUNCTION("""COMPUTED_VALUE"""),"Maika Blázquez (Madrid)")</f>
        <v>Maika Blázquez (Madrid)</v>
      </c>
    </row>
    <row r="980" spans="2:16">
      <c r="B980" s="33">
        <f ca="1">IFERROR(__xludf.DUMMYFUNCTION("""COMPUTED_VALUE"""),2025)</f>
        <v>2025</v>
      </c>
      <c r="C980" s="33">
        <f ca="1">IFERROR(__xludf.DUMMYFUNCTION("""COMPUTED_VALUE"""),7)</f>
        <v>7</v>
      </c>
      <c r="D980" s="33" t="str">
        <f ca="1">IFERROR(__xludf.DUMMYFUNCTION("""COMPUTED_VALUE"""),"NO")</f>
        <v>NO</v>
      </c>
      <c r="E980" s="33" t="str">
        <f ca="1">IFERROR(__xludf.DUMMYFUNCTION("""COMPUTED_VALUE"""),"Madrid- Canillas")</f>
        <v>Madrid- Canillas</v>
      </c>
      <c r="F980" s="57">
        <f ca="1">IFERROR(__xludf.DUMMYFUNCTION("""COMPUTED_VALUE"""),45855)</f>
        <v>45855</v>
      </c>
      <c r="G980" s="57">
        <f ca="1">IFERROR(__xludf.DUMMYFUNCTION("""COMPUTED_VALUE"""),45715)</f>
        <v>45715</v>
      </c>
      <c r="H980" s="33" t="str">
        <f ca="1">IFERROR(__xludf.DUMMYFUNCTION("""COMPUTED_VALUE"""),"Canillas")</f>
        <v>Canillas</v>
      </c>
      <c r="I980" s="33" t="str">
        <f ca="1">IFERROR(__xludf.DUMMYFUNCTION("""COMPUTED_VALUE"""),"C202574151733611")</f>
        <v>C202574151733611</v>
      </c>
      <c r="J980" s="33" t="str">
        <f ca="1">IFERROR(__xludf.DUMMYFUNCTION("""COMPUTED_VALUE"""),"RONALDO VARGAS CASTILLO")</f>
        <v>RONALDO VARGAS CASTILLO</v>
      </c>
      <c r="K980" s="33">
        <f ca="1">IFERROR(__xludf.DUMMYFUNCTION("""COMPUTED_VALUE"""),2)</f>
        <v>2</v>
      </c>
      <c r="L980" s="203">
        <f ca="1">IFERROR(__xludf.DUMMYFUNCTION("""COMPUTED_VALUE"""),2718.18)</f>
        <v>2718.18</v>
      </c>
      <c r="M980" s="33" t="str">
        <f ca="1">IFERROR(__xludf.DUMMYFUNCTION("""COMPUTED_VALUE"""),"03 ORL")</f>
        <v>03 ORL</v>
      </c>
      <c r="N980" s="33" t="str">
        <f ca="1">IFERROR(__xludf.DUMMYFUNCTION("""COMPUTED_VALUE"""),"06 ORL")</f>
        <v>06 ORL</v>
      </c>
      <c r="O980" s="33" t="str">
        <f ca="1">IFERROR(__xludf.DUMMYFUNCTION("""COMPUTED_VALUE"""),"No recuerda ORL")</f>
        <v>No recuerda ORL</v>
      </c>
      <c r="P980" s="33" t="str">
        <f ca="1">IFERROR(__xludf.DUMMYFUNCTION("""COMPUTED_VALUE"""),"Maika Blázquez (Madrid)")</f>
        <v>Maika Blázquez (Madrid)</v>
      </c>
    </row>
    <row r="981" spans="2:16">
      <c r="B981" s="33">
        <f ca="1">IFERROR(__xludf.DUMMYFUNCTION("""COMPUTED_VALUE"""),2025)</f>
        <v>2025</v>
      </c>
      <c r="C981" s="33">
        <f ca="1">IFERROR(__xludf.DUMMYFUNCTION("""COMPUTED_VALUE"""),7)</f>
        <v>7</v>
      </c>
      <c r="D981" s="33" t="str">
        <f ca="1">IFERROR(__xludf.DUMMYFUNCTION("""COMPUTED_VALUE"""),"NO")</f>
        <v>NO</v>
      </c>
      <c r="E981" s="33" t="str">
        <f ca="1">IFERROR(__xludf.DUMMYFUNCTION("""COMPUTED_VALUE"""),"San Javier")</f>
        <v>San Javier</v>
      </c>
      <c r="F981" s="57">
        <f ca="1">IFERROR(__xludf.DUMMYFUNCTION("""COMPUTED_VALUE"""),45853)</f>
        <v>45853</v>
      </c>
      <c r="G981" s="57">
        <f ca="1">IFERROR(__xludf.DUMMYFUNCTION("""COMPUTED_VALUE"""),45797)</f>
        <v>45797</v>
      </c>
      <c r="H981" s="33" t="str">
        <f ca="1">IFERROR(__xludf.DUMMYFUNCTION("""COMPUTED_VALUE"""),"San Javier")</f>
        <v>San Javier</v>
      </c>
      <c r="I981" s="33" t="str">
        <f ca="1">IFERROR(__xludf.DUMMYFUNCTION("""COMPUTED_VALUE"""),"C202552216137601")</f>
        <v>C202552216137601</v>
      </c>
      <c r="J981" s="33" t="str">
        <f ca="1">IFERROR(__xludf.DUMMYFUNCTION("""COMPUTED_VALUE"""),"ROSA HERMELINDA AVILA PEREZ")</f>
        <v>ROSA HERMELINDA AVILA PEREZ</v>
      </c>
      <c r="K981" s="33">
        <f ca="1">IFERROR(__xludf.DUMMYFUNCTION("""COMPUTED_VALUE"""),1)</f>
        <v>1</v>
      </c>
      <c r="L981" s="203">
        <f ca="1">IFERROR(__xludf.DUMMYFUNCTION("""COMPUTED_VALUE"""),2180.91)</f>
        <v>2180.91</v>
      </c>
      <c r="M981" s="33" t="str">
        <f ca="1">IFERROR(__xludf.DUMMYFUNCTION("""COMPUTED_VALUE"""),"02 MARKETING OFF LINE")</f>
        <v>02 MARKETING OFF LINE</v>
      </c>
      <c r="N981" s="33" t="str">
        <f ca="1">IFERROR(__xludf.DUMMYFUNCTION("""COMPUTED_VALUE"""),"18 ESCAPARATE")</f>
        <v>18 ESCAPARATE</v>
      </c>
      <c r="O981" s="33" t="str">
        <f ca="1">IFERROR(__xludf.DUMMYFUNCTION("""COMPUTED_VALUE"""),"Dra, María Teresa Almela Rojo")</f>
        <v>Dra, María Teresa Almela Rojo</v>
      </c>
      <c r="P981" s="33" t="str">
        <f ca="1">IFERROR(__xludf.DUMMYFUNCTION("""COMPUTED_VALUE"""),"Iván Sánchez (Levante Y Albacete)")</f>
        <v>Iván Sánchez (Levante Y Albacete)</v>
      </c>
    </row>
    <row r="982" spans="2:16">
      <c r="B982" s="33">
        <f ca="1">IFERROR(__xludf.DUMMYFUNCTION("""COMPUTED_VALUE"""),2025)</f>
        <v>2025</v>
      </c>
      <c r="C982" s="33">
        <f ca="1">IFERROR(__xludf.DUMMYFUNCTION("""COMPUTED_VALUE"""),7)</f>
        <v>7</v>
      </c>
      <c r="D982" s="33" t="str">
        <f ca="1">IFERROR(__xludf.DUMMYFUNCTION("""COMPUTED_VALUE"""),"NO")</f>
        <v>NO</v>
      </c>
      <c r="E982" s="33" t="str">
        <f ca="1">IFERROR(__xludf.DUMMYFUNCTION("""COMPUTED_VALUE"""),"Madrid- Monforte de Lemos")</f>
        <v>Madrid- Monforte de Lemos</v>
      </c>
      <c r="F982" s="57">
        <f ca="1">IFERROR(__xludf.DUMMYFUNCTION("""COMPUTED_VALUE"""),45853)</f>
        <v>45853</v>
      </c>
      <c r="G982" s="57">
        <f ca="1">IFERROR(__xludf.DUMMYFUNCTION("""COMPUTED_VALUE"""),45789)</f>
        <v>45789</v>
      </c>
      <c r="H982" s="33" t="str">
        <f ca="1">IFERROR(__xludf.DUMMYFUNCTION("""COMPUTED_VALUE"""),"La Vaguada")</f>
        <v>La Vaguada</v>
      </c>
      <c r="I982" s="33" t="str">
        <f ca="1">IFERROR(__xludf.DUMMYFUNCTION("""COMPUTED_VALUE"""),"C20255271836301")</f>
        <v>C20255271836301</v>
      </c>
      <c r="J982" s="33" t="str">
        <f ca="1">IFERROR(__xludf.DUMMYFUNCTION("""COMPUTED_VALUE"""),"SABINA FRESNILLO CUESTA")</f>
        <v>SABINA FRESNILLO CUESTA</v>
      </c>
      <c r="K982" s="33">
        <f ca="1">IFERROR(__xludf.DUMMYFUNCTION("""COMPUTED_VALUE"""),2)</f>
        <v>2</v>
      </c>
      <c r="L982" s="203">
        <f ca="1">IFERROR(__xludf.DUMMYFUNCTION("""COMPUTED_VALUE"""),3710)</f>
        <v>3710</v>
      </c>
      <c r="M982" s="33" t="str">
        <f ca="1">IFERROR(__xludf.DUMMYFUNCTION("""COMPUTED_VALUE"""),"03 ORL")</f>
        <v>03 ORL</v>
      </c>
      <c r="N982" s="33" t="str">
        <f ca="1">IFERROR(__xludf.DUMMYFUNCTION("""COMPUTED_VALUE"""),"06 ORL")</f>
        <v>06 ORL</v>
      </c>
      <c r="O982" s="33" t="str">
        <f ca="1">IFERROR(__xludf.DUMMYFUNCTION("""COMPUTED_VALUE"""),"Dr, Carlos Barajas del Rosal")</f>
        <v>Dr, Carlos Barajas del Rosal</v>
      </c>
      <c r="P982" s="33" t="str">
        <f ca="1">IFERROR(__xludf.DUMMYFUNCTION("""COMPUTED_VALUE"""),"Lisandro Russian (Madrid, Cáceres, Toledo, Talavera Y Logroño)")</f>
        <v>Lisandro Russian (Madrid, Cáceres, Toledo, Talavera Y Logroño)</v>
      </c>
    </row>
    <row r="983" spans="2:16">
      <c r="B983" s="33">
        <f ca="1">IFERROR(__xludf.DUMMYFUNCTION("""COMPUTED_VALUE"""),2025)</f>
        <v>2025</v>
      </c>
      <c r="C983" s="33">
        <f ca="1">IFERROR(__xludf.DUMMYFUNCTION("""COMPUTED_VALUE"""),7)</f>
        <v>7</v>
      </c>
      <c r="D983" s="33" t="str">
        <f ca="1">IFERROR(__xludf.DUMMYFUNCTION("""COMPUTED_VALUE"""),"NO")</f>
        <v>NO</v>
      </c>
      <c r="E983" s="33" t="str">
        <f ca="1">IFERROR(__xludf.DUMMYFUNCTION("""COMPUTED_VALUE"""),"Madrid- Juan Bravo")</f>
        <v>Madrid- Juan Bravo</v>
      </c>
      <c r="F983" s="57">
        <f ca="1">IFERROR(__xludf.DUMMYFUNCTION("""COMPUTED_VALUE"""),45847)</f>
        <v>45847</v>
      </c>
      <c r="G983" s="57">
        <f ca="1">IFERROR(__xludf.DUMMYFUNCTION("""COMPUTED_VALUE"""),45826)</f>
        <v>45826</v>
      </c>
      <c r="H983" s="33" t="str">
        <f ca="1">IFERROR(__xludf.DUMMYFUNCTION("""COMPUTED_VALUE"""),"Juan Bravo")</f>
        <v>Juan Bravo</v>
      </c>
      <c r="I983" s="33" t="str">
        <f ca="1">IFERROR(__xludf.DUMMYFUNCTION("""COMPUTED_VALUE"""),"C2025620114121344")</f>
        <v>C2025620114121344</v>
      </c>
      <c r="J983" s="33" t="str">
        <f ca="1">IFERROR(__xludf.DUMMYFUNCTION("""COMPUTED_VALUE"""),"SONSOLES URRUTIA SAUTO")</f>
        <v>SONSOLES URRUTIA SAUTO</v>
      </c>
      <c r="K983" s="33">
        <f ca="1">IFERROR(__xludf.DUMMYFUNCTION("""COMPUTED_VALUE"""),2)</f>
        <v>2</v>
      </c>
      <c r="L983" s="203">
        <f ca="1">IFERROR(__xludf.DUMMYFUNCTION("""COMPUTED_VALUE"""),3710)</f>
        <v>3710</v>
      </c>
      <c r="M983" s="33" t="str">
        <f ca="1">IFERROR(__xludf.DUMMYFUNCTION("""COMPUTED_VALUE"""),"03 ORL")</f>
        <v>03 ORL</v>
      </c>
      <c r="N983" s="33" t="str">
        <f ca="1">IFERROR(__xludf.DUMMYFUNCTION("""COMPUTED_VALUE"""),"06 ORL")</f>
        <v>06 ORL</v>
      </c>
      <c r="O983" s="33" t="str">
        <f ca="1">IFERROR(__xludf.DUMMYFUNCTION("""COMPUTED_VALUE"""),"Dr, Javier García Domínguez")</f>
        <v>Dr, Javier García Domínguez</v>
      </c>
      <c r="P983" s="33" t="str">
        <f ca="1">IFERROR(__xludf.DUMMYFUNCTION("""COMPUTED_VALUE"""),"Maika Blázquez (Madrid)")</f>
        <v>Maika Blázquez (Madrid)</v>
      </c>
    </row>
    <row r="984" spans="2:16">
      <c r="B984" s="33">
        <f ca="1">IFERROR(__xludf.DUMMYFUNCTION("""COMPUTED_VALUE"""),2025)</f>
        <v>2025</v>
      </c>
      <c r="C984" s="33">
        <f ca="1">IFERROR(__xludf.DUMMYFUNCTION("""COMPUTED_VALUE"""),7)</f>
        <v>7</v>
      </c>
      <c r="D984" s="33" t="str">
        <f ca="1">IFERROR(__xludf.DUMMYFUNCTION("""COMPUTED_VALUE"""),"NO")</f>
        <v>NO</v>
      </c>
      <c r="E984" s="33" t="str">
        <f ca="1">IFERROR(__xludf.DUMMYFUNCTION("""COMPUTED_VALUE"""),"Talavera")</f>
        <v>Talavera</v>
      </c>
      <c r="F984" s="57">
        <f ca="1">IFERROR(__xludf.DUMMYFUNCTION("""COMPUTED_VALUE"""),45846)</f>
        <v>45846</v>
      </c>
      <c r="G984" s="57">
        <f ca="1">IFERROR(__xludf.DUMMYFUNCTION("""COMPUTED_VALUE"""),45831)</f>
        <v>45831</v>
      </c>
      <c r="H984" s="33" t="str">
        <f ca="1">IFERROR(__xludf.DUMMYFUNCTION("""COMPUTED_VALUE"""),"Talavera")</f>
        <v>Talavera</v>
      </c>
      <c r="I984" s="33" t="str">
        <f ca="1">IFERROR(__xludf.DUMMYFUNCTION("""COMPUTED_VALUE"""),"C202562395341662")</f>
        <v>C202562395341662</v>
      </c>
      <c r="J984" s="33" t="str">
        <f ca="1">IFERROR(__xludf.DUMMYFUNCTION("""COMPUTED_VALUE"""),"TEODORA JIMENEZ RAMOS")</f>
        <v>TEODORA JIMENEZ RAMOS</v>
      </c>
      <c r="K984" s="33">
        <f ca="1">IFERROR(__xludf.DUMMYFUNCTION("""COMPUTED_VALUE"""),1)</f>
        <v>1</v>
      </c>
      <c r="L984" s="203">
        <f ca="1">IFERROR(__xludf.DUMMYFUNCTION("""COMPUTED_VALUE"""),2180.91)</f>
        <v>2180.91</v>
      </c>
      <c r="M984" s="33" t="str">
        <f ca="1">IFERROR(__xludf.DUMMYFUNCTION("""COMPUTED_VALUE"""),"03 ORL")</f>
        <v>03 ORL</v>
      </c>
      <c r="N984" s="33" t="str">
        <f ca="1">IFERROR(__xludf.DUMMYFUNCTION("""COMPUTED_VALUE"""),"06 ORL")</f>
        <v>06 ORL</v>
      </c>
      <c r="O984" s="33" t="str">
        <f ca="1">IFERROR(__xludf.DUMMYFUNCTION("""COMPUTED_VALUE"""),"Dr, Carlos Félix Asensio Nieto")</f>
        <v>Dr, Carlos Félix Asensio Nieto</v>
      </c>
      <c r="P984" s="33" t="str">
        <f ca="1">IFERROR(__xludf.DUMMYFUNCTION("""COMPUTED_VALUE"""),"Lisandro Russian (Madrid, Cáceres, Toledo, Talavera Y Logroño)")</f>
        <v>Lisandro Russian (Madrid, Cáceres, Toledo, Talavera Y Logroño)</v>
      </c>
    </row>
    <row r="985" spans="2:16">
      <c r="B985" s="33">
        <f ca="1">IFERROR(__xludf.DUMMYFUNCTION("""COMPUTED_VALUE"""),2025)</f>
        <v>2025</v>
      </c>
      <c r="C985" s="33">
        <f ca="1">IFERROR(__xludf.DUMMYFUNCTION("""COMPUTED_VALUE"""),7)</f>
        <v>7</v>
      </c>
      <c r="D985" s="33" t="str">
        <f ca="1">IFERROR(__xludf.DUMMYFUNCTION("""COMPUTED_VALUE"""),"NO")</f>
        <v>NO</v>
      </c>
      <c r="E985" s="33" t="str">
        <f ca="1">IFERROR(__xludf.DUMMYFUNCTION("""COMPUTED_VALUE"""),"Madrid- Juan Bravo")</f>
        <v>Madrid- Juan Bravo</v>
      </c>
      <c r="F985" s="57">
        <f ca="1">IFERROR(__xludf.DUMMYFUNCTION("""COMPUTED_VALUE"""),45840)</f>
        <v>45840</v>
      </c>
      <c r="G985" s="57">
        <f ca="1">IFERROR(__xludf.DUMMYFUNCTION("""COMPUTED_VALUE"""),45814)</f>
        <v>45814</v>
      </c>
      <c r="H985" s="33" t="str">
        <f ca="1">IFERROR(__xludf.DUMMYFUNCTION("""COMPUTED_VALUE"""),"Juan Bravo")</f>
        <v>Juan Bravo</v>
      </c>
      <c r="I985" s="33" t="str">
        <f ca="1">IFERROR(__xludf.DUMMYFUNCTION("""COMPUTED_VALUE"""),"C202561116342025")</f>
        <v>C202561116342025</v>
      </c>
      <c r="J985" s="33" t="str">
        <f ca="1">IFERROR(__xludf.DUMMYFUNCTION("""COMPUTED_VALUE"""),"TERESA CANO MARQUES")</f>
        <v>TERESA CANO MARQUES</v>
      </c>
      <c r="K985" s="33">
        <f ca="1">IFERROR(__xludf.DUMMYFUNCTION("""COMPUTED_VALUE"""),2)</f>
        <v>2</v>
      </c>
      <c r="L985" s="203">
        <f ca="1">IFERROR(__xludf.DUMMYFUNCTION("""COMPUTED_VALUE"""),3710)</f>
        <v>3710</v>
      </c>
      <c r="M985" s="33" t="str">
        <f ca="1">IFERROR(__xludf.DUMMYFUNCTION("""COMPUTED_VALUE"""),"03 ORL")</f>
        <v>03 ORL</v>
      </c>
      <c r="N985" s="33" t="str">
        <f ca="1">IFERROR(__xludf.DUMMYFUNCTION("""COMPUTED_VALUE"""),"06 ORL")</f>
        <v>06 ORL</v>
      </c>
      <c r="O985" s="33" t="str">
        <f ca="1">IFERROR(__xludf.DUMMYFUNCTION("""COMPUTED_VALUE"""),"Dr, Carlos Barajas del Rosal")</f>
        <v>Dr, Carlos Barajas del Rosal</v>
      </c>
      <c r="P985" s="33" t="str">
        <f ca="1">IFERROR(__xludf.DUMMYFUNCTION("""COMPUTED_VALUE"""),"Lisandro Russian (Madrid, Cáceres, Toledo, Talavera Y Logroño)")</f>
        <v>Lisandro Russian (Madrid, Cáceres, Toledo, Talavera Y Logroño)</v>
      </c>
    </row>
    <row r="986" spans="2:16">
      <c r="B986" s="33">
        <f ca="1">IFERROR(__xludf.DUMMYFUNCTION("""COMPUTED_VALUE"""),2025)</f>
        <v>2025</v>
      </c>
      <c r="C986" s="33">
        <f ca="1">IFERROR(__xludf.DUMMYFUNCTION("""COMPUTED_VALUE"""),7)</f>
        <v>7</v>
      </c>
      <c r="D986" s="33" t="str">
        <f ca="1">IFERROR(__xludf.DUMMYFUNCTION("""COMPUTED_VALUE"""),"NO")</f>
        <v>NO</v>
      </c>
      <c r="E986" s="33" t="str">
        <f ca="1">IFERROR(__xludf.DUMMYFUNCTION("""COMPUTED_VALUE"""),"Getafe")</f>
        <v>Getafe</v>
      </c>
      <c r="F986" s="57">
        <f ca="1">IFERROR(__xludf.DUMMYFUNCTION("""COMPUTED_VALUE"""),45841)</f>
        <v>45841</v>
      </c>
      <c r="G986" s="57">
        <f ca="1">IFERROR(__xludf.DUMMYFUNCTION("""COMPUTED_VALUE"""),45805)</f>
        <v>45805</v>
      </c>
      <c r="H986" s="33" t="str">
        <f ca="1">IFERROR(__xludf.DUMMYFUNCTION("""COMPUTED_VALUE"""),"Getafe")</f>
        <v>Getafe</v>
      </c>
      <c r="I986" s="33" t="str">
        <f ca="1">IFERROR(__xludf.DUMMYFUNCTION("""COMPUTED_VALUE"""),"C202562091942491")</f>
        <v>C202562091942491</v>
      </c>
      <c r="J986" s="33" t="str">
        <f ca="1">IFERROR(__xludf.DUMMYFUNCTION("""COMPUTED_VALUE"""),"URBANO JESUS ALEJANDRO JIMENEZ TORRECILLA")</f>
        <v>URBANO JESUS ALEJANDRO JIMENEZ TORRECILLA</v>
      </c>
      <c r="K986" s="33">
        <f ca="1">IFERROR(__xludf.DUMMYFUNCTION("""COMPUTED_VALUE"""),2)</f>
        <v>2</v>
      </c>
      <c r="L986" s="203">
        <f ca="1">IFERROR(__xludf.DUMMYFUNCTION("""COMPUTED_VALUE"""),4000)</f>
        <v>4000</v>
      </c>
      <c r="M986" s="33" t="str">
        <f ca="1">IFERROR(__xludf.DUMMYFUNCTION("""COMPUTED_VALUE"""),"03 ORL")</f>
        <v>03 ORL</v>
      </c>
      <c r="N986" s="33" t="str">
        <f ca="1">IFERROR(__xludf.DUMMYFUNCTION("""COMPUTED_VALUE"""),"06 ORL")</f>
        <v>06 ORL</v>
      </c>
      <c r="O986" s="33" t="str">
        <f ca="1">IFERROR(__xludf.DUMMYFUNCTION("""COMPUTED_VALUE"""),"Dr, Gerardo Monedero Rodrigo")</f>
        <v>Dr, Gerardo Monedero Rodrigo</v>
      </c>
      <c r="P986" s="33" t="str">
        <f ca="1">IFERROR(__xludf.DUMMYFUNCTION("""COMPUTED_VALUE"""),"Maika Blázquez (Madrid)")</f>
        <v>Maika Blázquez (Madrid)</v>
      </c>
    </row>
    <row r="987" spans="2:16">
      <c r="B987" s="33">
        <f ca="1">IFERROR(__xludf.DUMMYFUNCTION("""COMPUTED_VALUE"""),2025)</f>
        <v>2025</v>
      </c>
      <c r="C987" s="33">
        <f ca="1">IFERROR(__xludf.DUMMYFUNCTION("""COMPUTED_VALUE"""),7)</f>
        <v>7</v>
      </c>
      <c r="D987" s="33" t="str">
        <f ca="1">IFERROR(__xludf.DUMMYFUNCTION("""COMPUTED_VALUE"""),"NO")</f>
        <v>NO</v>
      </c>
      <c r="E987" s="33" t="str">
        <f ca="1">IFERROR(__xludf.DUMMYFUNCTION("""COMPUTED_VALUE"""),"Torrejón de Ardoz")</f>
        <v>Torrejón de Ardoz</v>
      </c>
      <c r="F987" s="57">
        <f ca="1">IFERROR(__xludf.DUMMYFUNCTION("""COMPUTED_VALUE"""),45855)</f>
        <v>45855</v>
      </c>
      <c r="G987" s="57">
        <f ca="1">IFERROR(__xludf.DUMMYFUNCTION("""COMPUTED_VALUE"""),45838)</f>
        <v>45838</v>
      </c>
      <c r="H987" s="33" t="str">
        <f ca="1">IFERROR(__xludf.DUMMYFUNCTION("""COMPUTED_VALUE"""),"Torrejón")</f>
        <v>Torrejón</v>
      </c>
      <c r="I987" s="33" t="str">
        <f ca="1">IFERROR(__xludf.DUMMYFUNCTION("""COMPUTED_VALUE"""),"C20257116932728")</f>
        <v>C20257116932728</v>
      </c>
      <c r="J987" s="33" t="str">
        <f ca="1">IFERROR(__xludf.DUMMYFUNCTION("""COMPUTED_VALUE"""),"VICENTE FERNANDEZ FERNANDEZ")</f>
        <v>VICENTE FERNANDEZ FERNANDEZ</v>
      </c>
      <c r="K987" s="33">
        <f ca="1">IFERROR(__xludf.DUMMYFUNCTION("""COMPUTED_VALUE"""),2)</f>
        <v>2</v>
      </c>
      <c r="L987" s="203">
        <f ca="1">IFERROR(__xludf.DUMMYFUNCTION("""COMPUTED_VALUE"""),4120)</f>
        <v>4120</v>
      </c>
      <c r="M987" s="33" t="str">
        <f ca="1">IFERROR(__xludf.DUMMYFUNCTION("""COMPUTED_VALUE"""),"03 ORL")</f>
        <v>03 ORL</v>
      </c>
      <c r="N987" s="33" t="str">
        <f ca="1">IFERROR(__xludf.DUMMYFUNCTION("""COMPUTED_VALUE"""),"06 ORL")</f>
        <v>06 ORL</v>
      </c>
      <c r="O987" s="33" t="str">
        <f ca="1">IFERROR(__xludf.DUMMYFUNCTION("""COMPUTED_VALUE"""),"Dra, Paula del Valle Gómez")</f>
        <v>Dra, Paula del Valle Gómez</v>
      </c>
      <c r="P987" s="33" t="str">
        <f ca="1">IFERROR(__xludf.DUMMYFUNCTION("""COMPUTED_VALUE"""),"Maika Blázquez (Madrid)")</f>
        <v>Maika Blázquez (Madrid)</v>
      </c>
    </row>
    <row r="988" spans="2:16">
      <c r="B988" s="33">
        <f ca="1">IFERROR(__xludf.DUMMYFUNCTION("""COMPUTED_VALUE"""),2025)</f>
        <v>2025</v>
      </c>
      <c r="C988" s="33">
        <f ca="1">IFERROR(__xludf.DUMMYFUNCTION("""COMPUTED_VALUE"""),7)</f>
        <v>7</v>
      </c>
      <c r="D988" s="33" t="str">
        <f ca="1">IFERROR(__xludf.DUMMYFUNCTION("""COMPUTED_VALUE"""),"NO")</f>
        <v>NO</v>
      </c>
      <c r="E988" s="33" t="str">
        <f ca="1">IFERROR(__xludf.DUMMYFUNCTION("""COMPUTED_VALUE"""),"Orihuela")</f>
        <v>Orihuela</v>
      </c>
      <c r="F988" s="57">
        <f ca="1">IFERROR(__xludf.DUMMYFUNCTION("""COMPUTED_VALUE"""),45845)</f>
        <v>45845</v>
      </c>
      <c r="G988" s="57">
        <f ca="1">IFERROR(__xludf.DUMMYFUNCTION("""COMPUTED_VALUE"""),45824)</f>
        <v>45824</v>
      </c>
      <c r="H988" s="33" t="str">
        <f ca="1">IFERROR(__xludf.DUMMYFUNCTION("""COMPUTED_VALUE"""),"La Zenia")</f>
        <v>La Zenia</v>
      </c>
      <c r="I988" s="33" t="str">
        <f ca="1">IFERROR(__xludf.DUMMYFUNCTION("""COMPUTED_VALUE"""),"C2025618182738668")</f>
        <v>C2025618182738668</v>
      </c>
      <c r="J988" s="33" t="str">
        <f ca="1">IFERROR(__xludf.DUMMYFUNCTION("""COMPUTED_VALUE"""),"VITALY VALERKO")</f>
        <v>VITALY VALERKO</v>
      </c>
      <c r="K988" s="33">
        <f ca="1">IFERROR(__xludf.DUMMYFUNCTION("""COMPUTED_VALUE"""),2)</f>
        <v>2</v>
      </c>
      <c r="L988" s="203">
        <f ca="1">IFERROR(__xludf.DUMMYFUNCTION("""COMPUTED_VALUE"""),2743.64)</f>
        <v>2743.64</v>
      </c>
      <c r="M988" s="33" t="str">
        <f ca="1">IFERROR(__xludf.DUMMYFUNCTION("""COMPUTED_VALUE"""),"03 ORL")</f>
        <v>03 ORL</v>
      </c>
      <c r="N988" s="33" t="str">
        <f ca="1">IFERROR(__xludf.DUMMYFUNCTION("""COMPUTED_VALUE"""),"06 ORL")</f>
        <v>06 ORL</v>
      </c>
      <c r="O988" s="33" t="str">
        <f ca="1">IFERROR(__xludf.DUMMYFUNCTION("""COMPUTED_VALUE"""),"Dr, Juan Javier Álvarez López")</f>
        <v>Dr, Juan Javier Álvarez López</v>
      </c>
      <c r="P988" s="33" t="str">
        <f ca="1">IFERROR(__xludf.DUMMYFUNCTION("""COMPUTED_VALUE"""),"Iván Sánchez (Levante Y Albacete)")</f>
        <v>Iván Sánchez (Levante Y Albacete)</v>
      </c>
    </row>
    <row r="989" spans="2:16">
      <c r="B989" s="33">
        <f ca="1">IFERROR(__xludf.DUMMYFUNCTION("""COMPUTED_VALUE"""),2025)</f>
        <v>2025</v>
      </c>
      <c r="C989" s="33">
        <f ca="1">IFERROR(__xludf.DUMMYFUNCTION("""COMPUTED_VALUE"""),7)</f>
        <v>7</v>
      </c>
      <c r="D989" s="33" t="str">
        <f ca="1">IFERROR(__xludf.DUMMYFUNCTION("""COMPUTED_VALUE"""),"NO")</f>
        <v>NO</v>
      </c>
      <c r="E989" s="33" t="str">
        <f ca="1">IFERROR(__xludf.DUMMYFUNCTION("""COMPUTED_VALUE"""),"Vigo")</f>
        <v>Vigo</v>
      </c>
      <c r="F989" s="57">
        <f ca="1">IFERROR(__xludf.DUMMYFUNCTION("""COMPUTED_VALUE"""),45839)</f>
        <v>45839</v>
      </c>
      <c r="G989" s="57">
        <f ca="1">IFERROR(__xludf.DUMMYFUNCTION("""COMPUTED_VALUE"""),45806)</f>
        <v>45806</v>
      </c>
      <c r="H989" s="33" t="str">
        <f ca="1">IFERROR(__xludf.DUMMYFUNCTION("""COMPUTED_VALUE"""),"Vigo")</f>
        <v>Vigo</v>
      </c>
      <c r="I989" s="33" t="str">
        <f ca="1">IFERROR(__xludf.DUMMYFUNCTION("""COMPUTED_VALUE"""),"VIG-578")</f>
        <v>VIG-578</v>
      </c>
      <c r="J989" s="33" t="str">
        <f ca="1">IFERROR(__xludf.DUMMYFUNCTION("""COMPUTED_VALUE"""),"Mª DEL MAR REBOREDO OTERO")</f>
        <v>Mª DEL MAR REBOREDO OTERO</v>
      </c>
      <c r="K989" s="33">
        <f ca="1">IFERROR(__xludf.DUMMYFUNCTION("""COMPUTED_VALUE"""),2)</f>
        <v>2</v>
      </c>
      <c r="L989" s="203">
        <f ca="1">IFERROR(__xludf.DUMMYFUNCTION("""COMPUTED_VALUE"""),3454.55)</f>
        <v>3454.55</v>
      </c>
      <c r="M989" s="33" t="str">
        <f ca="1">IFERROR(__xludf.DUMMYFUNCTION("""COMPUTED_VALUE"""),"03 ORL")</f>
        <v>03 ORL</v>
      </c>
      <c r="N989" s="33" t="str">
        <f ca="1">IFERROR(__xludf.DUMMYFUNCTION("""COMPUTED_VALUE"""),"06 ORL")</f>
        <v>06 ORL</v>
      </c>
      <c r="O989" s="33" t="str">
        <f ca="1">IFERROR(__xludf.DUMMYFUNCTION("""COMPUTED_VALUE"""),"Dra, Isabel Miranda García")</f>
        <v>Dra, Isabel Miranda García</v>
      </c>
      <c r="P989" s="33" t="str">
        <f ca="1">IFERROR(__xludf.DUMMYFUNCTION("""COMPUTED_VALUE"""),"Roberto Pereira (Galicia)")</f>
        <v>Roberto Pereira (Galicia)</v>
      </c>
    </row>
    <row r="990" spans="2:16">
      <c r="B990" s="33">
        <f ca="1">IFERROR(__xludf.DUMMYFUNCTION("""COMPUTED_VALUE"""),2025)</f>
        <v>2025</v>
      </c>
      <c r="C990" s="33">
        <f ca="1">IFERROR(__xludf.DUMMYFUNCTION("""COMPUTED_VALUE"""),7)</f>
        <v>7</v>
      </c>
      <c r="D990" s="33" t="str">
        <f ca="1">IFERROR(__xludf.DUMMYFUNCTION("""COMPUTED_VALUE"""),"NO")</f>
        <v>NO</v>
      </c>
      <c r="E990" s="33" t="str">
        <f ca="1">IFERROR(__xludf.DUMMYFUNCTION("""COMPUTED_VALUE"""),"Zaragoza- León XIII")</f>
        <v>Zaragoza- León XIII</v>
      </c>
      <c r="F990" s="57">
        <f ca="1">IFERROR(__xludf.DUMMYFUNCTION("""COMPUTED_VALUE"""),45839)</f>
        <v>45839</v>
      </c>
      <c r="G990" s="57">
        <f ca="1">IFERROR(__xludf.DUMMYFUNCTION("""COMPUTED_VALUE"""),45804)</f>
        <v>45804</v>
      </c>
      <c r="H990" s="33" t="str">
        <f ca="1">IFERROR(__xludf.DUMMYFUNCTION("""COMPUTED_VALUE"""),"Zaragoza")</f>
        <v>Zaragoza</v>
      </c>
      <c r="I990" s="33" t="str">
        <f ca="1">IFERROR(__xludf.DUMMYFUNCTION("""COMPUTED_VALUE"""),"ZRG-645")</f>
        <v>ZRG-645</v>
      </c>
      <c r="J990" s="33" t="str">
        <f ca="1">IFERROR(__xludf.DUMMYFUNCTION("""COMPUTED_VALUE"""),"MARIA DE LOS ANGELES ALADREN GIL")</f>
        <v>MARIA DE LOS ANGELES ALADREN GIL</v>
      </c>
      <c r="K990" s="33">
        <f ca="1">IFERROR(__xludf.DUMMYFUNCTION("""COMPUTED_VALUE"""),1)</f>
        <v>1</v>
      </c>
      <c r="L990" s="203">
        <f ca="1">IFERROR(__xludf.DUMMYFUNCTION("""COMPUTED_VALUE"""),2127.27)</f>
        <v>2127.27</v>
      </c>
      <c r="M990" s="33" t="str">
        <f ca="1">IFERROR(__xludf.DUMMYFUNCTION("""COMPUTED_VALUE"""),"03 ORL")</f>
        <v>03 ORL</v>
      </c>
      <c r="N990" s="33" t="str">
        <f ca="1">IFERROR(__xludf.DUMMYFUNCTION("""COMPUTED_VALUE"""),"06 ORL")</f>
        <v>06 ORL</v>
      </c>
      <c r="O990" s="33" t="str">
        <f ca="1">IFERROR(__xludf.DUMMYFUNCTION("""COMPUTED_VALUE"""),"Dr, Julio Knaster Del Olmo")</f>
        <v>Dr, Julio Knaster Del Olmo</v>
      </c>
      <c r="P990" s="33" t="str">
        <f ca="1">IFERROR(__xludf.DUMMYFUNCTION("""COMPUTED_VALUE"""),"Lisandro Russian (Madrid, Cáceres, Toledo, Talavera Y Logroño)")</f>
        <v>Lisandro Russian (Madrid, Cáceres, Toledo, Talavera Y Logroño)</v>
      </c>
    </row>
    <row r="991" spans="2:16">
      <c r="B991" s="33">
        <f ca="1">IFERROR(__xludf.DUMMYFUNCTION("""COMPUTED_VALUE"""),2025)</f>
        <v>2025</v>
      </c>
      <c r="C991" s="33">
        <f ca="1">IFERROR(__xludf.DUMMYFUNCTION("""COMPUTED_VALUE"""),7)</f>
        <v>7</v>
      </c>
      <c r="D991" s="33" t="str">
        <f ca="1">IFERROR(__xludf.DUMMYFUNCTION("""COMPUTED_VALUE"""),"NO")</f>
        <v>NO</v>
      </c>
      <c r="E991" s="33" t="str">
        <f ca="1">IFERROR(__xludf.DUMMYFUNCTION("""COMPUTED_VALUE"""),"Culleredo")</f>
        <v>Culleredo</v>
      </c>
      <c r="F991" s="57">
        <f ca="1">IFERROR(__xludf.DUMMYFUNCTION("""COMPUTED_VALUE"""),45841)</f>
        <v>45841</v>
      </c>
      <c r="G991" s="57">
        <f ca="1">IFERROR(__xludf.DUMMYFUNCTION("""COMPUTED_VALUE"""),45791)</f>
        <v>45791</v>
      </c>
      <c r="H991" s="33" t="str">
        <f ca="1">IFERROR(__xludf.DUMMYFUNCTION("""COMPUTED_VALUE"""),"Culleredo")</f>
        <v>Culleredo</v>
      </c>
      <c r="I991" s="33" t="str">
        <f ca="1">IFERROR(__xludf.DUMMYFUNCTION("""COMPUTED_VALUE"""),"CULL-207")</f>
        <v>CULL-207</v>
      </c>
      <c r="J991" s="33" t="str">
        <f ca="1">IFERROR(__xludf.DUMMYFUNCTION("""COMPUTED_VALUE"""),"ANGEL RAMON PONTE ROSTRO")</f>
        <v>ANGEL RAMON PONTE ROSTRO</v>
      </c>
      <c r="K991" s="33">
        <f ca="1">IFERROR(__xludf.DUMMYFUNCTION("""COMPUTED_VALUE"""),2)</f>
        <v>2</v>
      </c>
      <c r="L991" s="203">
        <f ca="1">IFERROR(__xludf.DUMMYFUNCTION("""COMPUTED_VALUE"""),3909.09)</f>
        <v>3909.09</v>
      </c>
      <c r="M991" s="33" t="str">
        <f ca="1">IFERROR(__xludf.DUMMYFUNCTION("""COMPUTED_VALUE"""),"03 ORL")</f>
        <v>03 ORL</v>
      </c>
      <c r="N991" s="33" t="str">
        <f ca="1">IFERROR(__xludf.DUMMYFUNCTION("""COMPUTED_VALUE"""),"06 ORL")</f>
        <v>06 ORL</v>
      </c>
      <c r="O991" s="33" t="str">
        <f ca="1">IFERROR(__xludf.DUMMYFUNCTION("""COMPUTED_VALUE"""),"Dr, Miguel Mayo Yáñez")</f>
        <v>Dr, Miguel Mayo Yáñez</v>
      </c>
      <c r="P991" s="33" t="str">
        <f ca="1">IFERROR(__xludf.DUMMYFUNCTION("""COMPUTED_VALUE"""),"Roberto Pereira (Galicia)")</f>
        <v>Roberto Pereira (Galicia)</v>
      </c>
    </row>
    <row r="992" spans="2:16">
      <c r="B992" s="33">
        <f ca="1">IFERROR(__xludf.DUMMYFUNCTION("""COMPUTED_VALUE"""),2025)</f>
        <v>2025</v>
      </c>
      <c r="C992" s="33">
        <f ca="1">IFERROR(__xludf.DUMMYFUNCTION("""COMPUTED_VALUE"""),7)</f>
        <v>7</v>
      </c>
      <c r="D992" s="33" t="str">
        <f ca="1">IFERROR(__xludf.DUMMYFUNCTION("""COMPUTED_VALUE"""),"NO")</f>
        <v>NO</v>
      </c>
      <c r="E992" s="33" t="str">
        <f ca="1">IFERROR(__xludf.DUMMYFUNCTION("""COMPUTED_VALUE"""),"León")</f>
        <v>León</v>
      </c>
      <c r="F992" s="57">
        <f ca="1">IFERROR(__xludf.DUMMYFUNCTION("""COMPUTED_VALUE"""),45841)</f>
        <v>45841</v>
      </c>
      <c r="G992" s="57">
        <f ca="1">IFERROR(__xludf.DUMMYFUNCTION("""COMPUTED_VALUE"""),45803)</f>
        <v>45803</v>
      </c>
      <c r="H992" s="33" t="str">
        <f ca="1">IFERROR(__xludf.DUMMYFUNCTION("""COMPUTED_VALUE"""),"León")</f>
        <v>León</v>
      </c>
      <c r="I992" s="33" t="str">
        <f ca="1">IFERROR(__xludf.DUMMYFUNCTION("""COMPUTED_VALUE"""),"LEO-479")</f>
        <v>LEO-479</v>
      </c>
      <c r="J992" s="33" t="str">
        <f ca="1">IFERROR(__xludf.DUMMYFUNCTION("""COMPUTED_VALUE"""),"MARIA FELIX IGLESIAS GONZALEZ")</f>
        <v>MARIA FELIX IGLESIAS GONZALEZ</v>
      </c>
      <c r="K992" s="33">
        <f ca="1">IFERROR(__xludf.DUMMYFUNCTION("""COMPUTED_VALUE"""),2)</f>
        <v>2</v>
      </c>
      <c r="L992" s="203">
        <f ca="1">IFERROR(__xludf.DUMMYFUNCTION("""COMPUTED_VALUE"""),2577.29)</f>
        <v>2577.29</v>
      </c>
      <c r="M992" s="33" t="str">
        <f ca="1">IFERROR(__xludf.DUMMYFUNCTION("""COMPUTED_VALUE"""),"03 ORL")</f>
        <v>03 ORL</v>
      </c>
      <c r="N992" s="33" t="str">
        <f ca="1">IFERROR(__xludf.DUMMYFUNCTION("""COMPUTED_VALUE"""),"06 ORL")</f>
        <v>06 ORL</v>
      </c>
      <c r="O992" s="33" t="str">
        <f ca="1">IFERROR(__xludf.DUMMYFUNCTION("""COMPUTED_VALUE"""),"Dr, Rafael Pérez González")</f>
        <v>Dr, Rafael Pérez González</v>
      </c>
      <c r="P992" s="33" t="str">
        <f ca="1">IFERROR(__xludf.DUMMYFUNCTION("""COMPUTED_VALUE"""),"Alberto Moreno (Madrid)")</f>
        <v>Alberto Moreno (Madrid)</v>
      </c>
    </row>
    <row r="993" spans="2:16">
      <c r="B993" s="33">
        <f ca="1">IFERROR(__xludf.DUMMYFUNCTION("""COMPUTED_VALUE"""),2025)</f>
        <v>2025</v>
      </c>
      <c r="C993" s="33">
        <f ca="1">IFERROR(__xludf.DUMMYFUNCTION("""COMPUTED_VALUE"""),7)</f>
        <v>7</v>
      </c>
      <c r="D993" s="33" t="str">
        <f ca="1">IFERROR(__xludf.DUMMYFUNCTION("""COMPUTED_VALUE"""),"NO")</f>
        <v>NO</v>
      </c>
      <c r="E993" s="33" t="str">
        <f ca="1">IFERROR(__xludf.DUMMYFUNCTION("""COMPUTED_VALUE"""),"Vigo")</f>
        <v>Vigo</v>
      </c>
      <c r="F993" s="57">
        <f ca="1">IFERROR(__xludf.DUMMYFUNCTION("""COMPUTED_VALUE"""),45841)</f>
        <v>45841</v>
      </c>
      <c r="G993" s="57">
        <f ca="1">IFERROR(__xludf.DUMMYFUNCTION("""COMPUTED_VALUE"""),45761)</f>
        <v>45761</v>
      </c>
      <c r="H993" s="33" t="str">
        <f ca="1">IFERROR(__xludf.DUMMYFUNCTION("""COMPUTED_VALUE"""),"Vigo")</f>
        <v>Vigo</v>
      </c>
      <c r="I993" s="33" t="str">
        <f ca="1">IFERROR(__xludf.DUMMYFUNCTION("""COMPUTED_VALUE"""),"VIG-565")</f>
        <v>VIG-565</v>
      </c>
      <c r="J993" s="33" t="str">
        <f ca="1">IFERROR(__xludf.DUMMYFUNCTION("""COMPUTED_VALUE"""),"IRIA RODRIGUEZ FERNANDEZ")</f>
        <v>IRIA RODRIGUEZ FERNANDEZ</v>
      </c>
      <c r="K993" s="33">
        <f ca="1">IFERROR(__xludf.DUMMYFUNCTION("""COMPUTED_VALUE"""),2)</f>
        <v>2</v>
      </c>
      <c r="L993" s="203">
        <f ca="1">IFERROR(__xludf.DUMMYFUNCTION("""COMPUTED_VALUE"""),3454.55)</f>
        <v>3454.55</v>
      </c>
      <c r="M993" s="33" t="str">
        <f ca="1">IFERROR(__xludf.DUMMYFUNCTION("""COMPUTED_VALUE"""),"03 ORL")</f>
        <v>03 ORL</v>
      </c>
      <c r="N993" s="33" t="str">
        <f ca="1">IFERROR(__xludf.DUMMYFUNCTION("""COMPUTED_VALUE"""),"06 ORL")</f>
        <v>06 ORL</v>
      </c>
      <c r="O993" s="33" t="str">
        <f ca="1">IFERROR(__xludf.DUMMYFUNCTION("""COMPUTED_VALUE"""),"Dra, Pilar Castro Ruiz")</f>
        <v>Dra, Pilar Castro Ruiz</v>
      </c>
      <c r="P993" s="33" t="str">
        <f ca="1">IFERROR(__xludf.DUMMYFUNCTION("""COMPUTED_VALUE"""),"Roberto Pereira (Galicia)")</f>
        <v>Roberto Pereira (Galicia)</v>
      </c>
    </row>
    <row r="994" spans="2:16">
      <c r="B994" s="33">
        <f ca="1">IFERROR(__xludf.DUMMYFUNCTION("""COMPUTED_VALUE"""),2025)</f>
        <v>2025</v>
      </c>
      <c r="C994" s="33">
        <f ca="1">IFERROR(__xludf.DUMMYFUNCTION("""COMPUTED_VALUE"""),7)</f>
        <v>7</v>
      </c>
      <c r="D994" s="33" t="str">
        <f ca="1">IFERROR(__xludf.DUMMYFUNCTION("""COMPUTED_VALUE"""),"NO")</f>
        <v>NO</v>
      </c>
      <c r="E994" s="33" t="str">
        <f ca="1">IFERROR(__xludf.DUMMYFUNCTION("""COMPUTED_VALUE"""),"Badajoz")</f>
        <v>Badajoz</v>
      </c>
      <c r="F994" s="57">
        <f ca="1">IFERROR(__xludf.DUMMYFUNCTION("""COMPUTED_VALUE"""),45842)</f>
        <v>45842</v>
      </c>
      <c r="G994" s="57">
        <f ca="1">IFERROR(__xludf.DUMMYFUNCTION("""COMPUTED_VALUE"""),45800)</f>
        <v>45800</v>
      </c>
      <c r="H994" s="33" t="str">
        <f ca="1">IFERROR(__xludf.DUMMYFUNCTION("""COMPUTED_VALUE"""),"Badajoz")</f>
        <v>Badajoz</v>
      </c>
      <c r="I994" s="33" t="str">
        <f ca="1">IFERROR(__xludf.DUMMYFUNCTION("""COMPUTED_VALUE"""),"BJZE-2491")</f>
        <v>BJZE-2491</v>
      </c>
      <c r="J994" s="33" t="str">
        <f ca="1">IFERROR(__xludf.DUMMYFUNCTION("""COMPUTED_VALUE"""),"JUAN GOMEZ NAVEDO")</f>
        <v>JUAN GOMEZ NAVEDO</v>
      </c>
      <c r="K994" s="33">
        <f ca="1">IFERROR(__xludf.DUMMYFUNCTION("""COMPUTED_VALUE"""),1)</f>
        <v>1</v>
      </c>
      <c r="L994" s="203">
        <f ca="1">IFERROR(__xludf.DUMMYFUNCTION("""COMPUTED_VALUE"""),1590.91)</f>
        <v>1590.91</v>
      </c>
      <c r="M994" s="33" t="str">
        <f ca="1">IFERROR(__xludf.DUMMYFUNCTION("""COMPUTED_VALUE"""),"03 ORL")</f>
        <v>03 ORL</v>
      </c>
      <c r="N994" s="33" t="str">
        <f ca="1">IFERROR(__xludf.DUMMYFUNCTION("""COMPUTED_VALUE"""),"06 ORL")</f>
        <v>06 ORL</v>
      </c>
      <c r="O994" s="33" t="str">
        <f ca="1">IFERROR(__xludf.DUMMYFUNCTION("""COMPUTED_VALUE"""),"Dr, Isidoro Rubio Correa")</f>
        <v>Dr, Isidoro Rubio Correa</v>
      </c>
      <c r="P994" s="33" t="str">
        <f ca="1">IFERROR(__xludf.DUMMYFUNCTION("""COMPUTED_VALUE"""),"Luis Alberto Rodríguez (Andalucía Y Badajoz)")</f>
        <v>Luis Alberto Rodríguez (Andalucía Y Badajoz)</v>
      </c>
    </row>
    <row r="995" spans="2:16">
      <c r="B995" s="33">
        <f ca="1">IFERROR(__xludf.DUMMYFUNCTION("""COMPUTED_VALUE"""),2025)</f>
        <v>2025</v>
      </c>
      <c r="C995" s="33">
        <f ca="1">IFERROR(__xludf.DUMMYFUNCTION("""COMPUTED_VALUE"""),7)</f>
        <v>7</v>
      </c>
      <c r="D995" s="33" t="str">
        <f ca="1">IFERROR(__xludf.DUMMYFUNCTION("""COMPUTED_VALUE"""),"NO")</f>
        <v>NO</v>
      </c>
      <c r="E995" s="33" t="str">
        <f ca="1">IFERROR(__xludf.DUMMYFUNCTION("""COMPUTED_VALUE"""),"Zaragoza- León XIII")</f>
        <v>Zaragoza- León XIII</v>
      </c>
      <c r="F995" s="57">
        <f ca="1">IFERROR(__xludf.DUMMYFUNCTION("""COMPUTED_VALUE"""),45845)</f>
        <v>45845</v>
      </c>
      <c r="G995" s="57">
        <f ca="1">IFERROR(__xludf.DUMMYFUNCTION("""COMPUTED_VALUE"""),45805)</f>
        <v>45805</v>
      </c>
      <c r="H995" s="33" t="str">
        <f ca="1">IFERROR(__xludf.DUMMYFUNCTION("""COMPUTED_VALUE"""),"Zaragoza")</f>
        <v>Zaragoza</v>
      </c>
      <c r="I995" s="33" t="str">
        <f ca="1">IFERROR(__xludf.DUMMYFUNCTION("""COMPUTED_VALUE"""),"ZRG-647")</f>
        <v>ZRG-647</v>
      </c>
      <c r="J995" s="33" t="str">
        <f ca="1">IFERROR(__xludf.DUMMYFUNCTION("""COMPUTED_VALUE"""),"JOSE LUIS ANDREU PUYOL")</f>
        <v>JOSE LUIS ANDREU PUYOL</v>
      </c>
      <c r="K995" s="33">
        <f ca="1">IFERROR(__xludf.DUMMYFUNCTION("""COMPUTED_VALUE"""),2)</f>
        <v>2</v>
      </c>
      <c r="L995" s="203">
        <f ca="1">IFERROR(__xludf.DUMMYFUNCTION("""COMPUTED_VALUE"""),3441.59)</f>
        <v>3441.59</v>
      </c>
      <c r="M995" s="33" t="str">
        <f ca="1">IFERROR(__xludf.DUMMYFUNCTION("""COMPUTED_VALUE"""),"03 ORL")</f>
        <v>03 ORL</v>
      </c>
      <c r="N995" s="33" t="str">
        <f ca="1">IFERROR(__xludf.DUMMYFUNCTION("""COMPUTED_VALUE"""),"06 ORL")</f>
        <v>06 ORL</v>
      </c>
      <c r="O995" s="33" t="str">
        <f ca="1">IFERROR(__xludf.DUMMYFUNCTION("""COMPUTED_VALUE"""),"Dr, Julio Knaster Del Olmo")</f>
        <v>Dr, Julio Knaster Del Olmo</v>
      </c>
      <c r="P995" s="33" t="str">
        <f ca="1">IFERROR(__xludf.DUMMYFUNCTION("""COMPUTED_VALUE"""),"Lisandro Russian (Madrid, Cáceres, Toledo, Talavera Y Logroño)")</f>
        <v>Lisandro Russian (Madrid, Cáceres, Toledo, Talavera Y Logroño)</v>
      </c>
    </row>
    <row r="996" spans="2:16">
      <c r="B996" s="33">
        <f ca="1">IFERROR(__xludf.DUMMYFUNCTION("""COMPUTED_VALUE"""),2025)</f>
        <v>2025</v>
      </c>
      <c r="C996" s="33">
        <f ca="1">IFERROR(__xludf.DUMMYFUNCTION("""COMPUTED_VALUE"""),7)</f>
        <v>7</v>
      </c>
      <c r="D996" s="33" t="str">
        <f ca="1">IFERROR(__xludf.DUMMYFUNCTION("""COMPUTED_VALUE"""),"NO")</f>
        <v>NO</v>
      </c>
      <c r="E996" s="33" t="str">
        <f ca="1">IFERROR(__xludf.DUMMYFUNCTION("""COMPUTED_VALUE"""),"Terrassa")</f>
        <v>Terrassa</v>
      </c>
      <c r="F996" s="57">
        <f ca="1">IFERROR(__xludf.DUMMYFUNCTION("""COMPUTED_VALUE"""),45846)</f>
        <v>45846</v>
      </c>
      <c r="G996" s="57">
        <f ca="1">IFERROR(__xludf.DUMMYFUNCTION("""COMPUTED_VALUE"""),45805)</f>
        <v>45805</v>
      </c>
      <c r="H996" s="33" t="str">
        <f ca="1">IFERROR(__xludf.DUMMYFUNCTION("""COMPUTED_VALUE"""),"Terrassa")</f>
        <v>Terrassa</v>
      </c>
      <c r="I996" s="33" t="str">
        <f ca="1">IFERROR(__xludf.DUMMYFUNCTION("""COMPUTED_VALUE"""),"ZRG-610")</f>
        <v>ZRG-610</v>
      </c>
      <c r="J996" s="33" t="str">
        <f ca="1">IFERROR(__xludf.DUMMYFUNCTION("""COMPUTED_VALUE"""),"ANGELES MEDINA SANCHEZ")</f>
        <v>ANGELES MEDINA SANCHEZ</v>
      </c>
      <c r="K996" s="33">
        <f ca="1">IFERROR(__xludf.DUMMYFUNCTION("""COMPUTED_VALUE"""),2)</f>
        <v>2</v>
      </c>
      <c r="L996" s="203">
        <f ca="1">IFERROR(__xludf.DUMMYFUNCTION("""COMPUTED_VALUE"""),2936.36)</f>
        <v>2936.36</v>
      </c>
      <c r="M996" s="33" t="str">
        <f ca="1">IFERROR(__xludf.DUMMYFUNCTION("""COMPUTED_VALUE"""),"03 ORL")</f>
        <v>03 ORL</v>
      </c>
      <c r="N996" s="33" t="str">
        <f ca="1">IFERROR(__xludf.DUMMYFUNCTION("""COMPUTED_VALUE"""),"06 ORL")</f>
        <v>06 ORL</v>
      </c>
      <c r="O996" s="33" t="str">
        <f ca="1">IFERROR(__xludf.DUMMYFUNCTION("""COMPUTED_VALUE"""),"Dr, Joaquim Broto Sumalla")</f>
        <v>Dr, Joaquim Broto Sumalla</v>
      </c>
      <c r="P996" s="33" t="str">
        <f ca="1">IFERROR(__xludf.DUMMYFUNCTION("""COMPUTED_VALUE"""),"Mercè Cabrera (Cataluña Y Baleares)")</f>
        <v>Mercè Cabrera (Cataluña Y Baleares)</v>
      </c>
    </row>
    <row r="997" spans="2:16">
      <c r="B997" s="33">
        <f ca="1">IFERROR(__xludf.DUMMYFUNCTION("""COMPUTED_VALUE"""),2025)</f>
        <v>2025</v>
      </c>
      <c r="C997" s="33">
        <f ca="1">IFERROR(__xludf.DUMMYFUNCTION("""COMPUTED_VALUE"""),7)</f>
        <v>7</v>
      </c>
      <c r="D997" s="33" t="str">
        <f ca="1">IFERROR(__xludf.DUMMYFUNCTION("""COMPUTED_VALUE"""),"NO")</f>
        <v>NO</v>
      </c>
      <c r="E997" s="33" t="str">
        <f ca="1">IFERROR(__xludf.DUMMYFUNCTION("""COMPUTED_VALUE"""),"Sevilla- Ciencias")</f>
        <v>Sevilla- Ciencias</v>
      </c>
      <c r="F997" s="57">
        <f ca="1">IFERROR(__xludf.DUMMYFUNCTION("""COMPUTED_VALUE"""),45848)</f>
        <v>45848</v>
      </c>
      <c r="G997" s="57">
        <f ca="1">IFERROR(__xludf.DUMMYFUNCTION("""COMPUTED_VALUE"""),45792)</f>
        <v>45792</v>
      </c>
      <c r="H997" s="33" t="str">
        <f ca="1">IFERROR(__xludf.DUMMYFUNCTION("""COMPUTED_VALUE"""),"Sevilla Este")</f>
        <v>Sevilla Este</v>
      </c>
      <c r="I997" s="33" t="str">
        <f ca="1">IFERROR(__xludf.DUMMYFUNCTION("""COMPUTED_VALUE"""),"SEVE-413")</f>
        <v>SEVE-413</v>
      </c>
      <c r="J997" s="33" t="str">
        <f ca="1">IFERROR(__xludf.DUMMYFUNCTION("""COMPUTED_VALUE"""),"JOSE GONZALEZ MARTIN")</f>
        <v>JOSE GONZALEZ MARTIN</v>
      </c>
      <c r="K997" s="33">
        <f ca="1">IFERROR(__xludf.DUMMYFUNCTION("""COMPUTED_VALUE"""),2)</f>
        <v>2</v>
      </c>
      <c r="L997" s="203">
        <f ca="1">IFERROR(__xludf.DUMMYFUNCTION("""COMPUTED_VALUE"""),3636.36)</f>
        <v>3636.36</v>
      </c>
      <c r="M997" s="33" t="str">
        <f ca="1">IFERROR(__xludf.DUMMYFUNCTION("""COMPUTED_VALUE"""),"03 ORL")</f>
        <v>03 ORL</v>
      </c>
      <c r="N997" s="33" t="str">
        <f ca="1">IFERROR(__xludf.DUMMYFUNCTION("""COMPUTED_VALUE"""),"06 ORL")</f>
        <v>06 ORL</v>
      </c>
      <c r="O997" s="33" t="str">
        <f ca="1">IFERROR(__xludf.DUMMYFUNCTION("""COMPUTED_VALUE"""),"Dr, Jesús Crovato Rojas")</f>
        <v>Dr, Jesús Crovato Rojas</v>
      </c>
      <c r="P997" s="33" t="str">
        <f ca="1">IFERROR(__xludf.DUMMYFUNCTION("""COMPUTED_VALUE"""),"Luis Alberto Rodríguez (Andalucía Y Badajoz)")</f>
        <v>Luis Alberto Rodríguez (Andalucía Y Badajoz)</v>
      </c>
    </row>
    <row r="998" spans="2:16">
      <c r="B998" s="33">
        <f ca="1">IFERROR(__xludf.DUMMYFUNCTION("""COMPUTED_VALUE"""),2025)</f>
        <v>2025</v>
      </c>
      <c r="C998" s="33">
        <f ca="1">IFERROR(__xludf.DUMMYFUNCTION("""COMPUTED_VALUE"""),7)</f>
        <v>7</v>
      </c>
      <c r="D998" s="33" t="str">
        <f ca="1">IFERROR(__xludf.DUMMYFUNCTION("""COMPUTED_VALUE"""),"NO")</f>
        <v>NO</v>
      </c>
      <c r="E998" s="33" t="str">
        <f ca="1">IFERROR(__xludf.DUMMYFUNCTION("""COMPUTED_VALUE"""),"Cáceres")</f>
        <v>Cáceres</v>
      </c>
      <c r="F998" s="57">
        <f ca="1">IFERROR(__xludf.DUMMYFUNCTION("""COMPUTED_VALUE"""),45853)</f>
        <v>45853</v>
      </c>
      <c r="G998" s="57">
        <f ca="1">IFERROR(__xludf.DUMMYFUNCTION("""COMPUTED_VALUE"""),45824)</f>
        <v>45824</v>
      </c>
      <c r="H998" s="33" t="str">
        <f ca="1">IFERROR(__xludf.DUMMYFUNCTION("""COMPUTED_VALUE"""),"Cáceres")</f>
        <v>Cáceres</v>
      </c>
      <c r="I998" s="33" t="str">
        <f ca="1">IFERROR(__xludf.DUMMYFUNCTION("""COMPUTED_VALUE"""),"CAC-321")</f>
        <v>CAC-321</v>
      </c>
      <c r="J998" s="33" t="str">
        <f ca="1">IFERROR(__xludf.DUMMYFUNCTION("""COMPUTED_VALUE"""),"MARIA LUISA GUERRAS HERRAEZ")</f>
        <v>MARIA LUISA GUERRAS HERRAEZ</v>
      </c>
      <c r="K998" s="33">
        <f ca="1">IFERROR(__xludf.DUMMYFUNCTION("""COMPUTED_VALUE"""),2)</f>
        <v>2</v>
      </c>
      <c r="L998" s="203">
        <f ca="1">IFERROR(__xludf.DUMMYFUNCTION("""COMPUTED_VALUE"""),4518.18)</f>
        <v>4518.18</v>
      </c>
      <c r="M998" s="33" t="str">
        <f ca="1">IFERROR(__xludf.DUMMYFUNCTION("""COMPUTED_VALUE"""),"03 ORL")</f>
        <v>03 ORL</v>
      </c>
      <c r="N998" s="33" t="str">
        <f ca="1">IFERROR(__xludf.DUMMYFUNCTION("""COMPUTED_VALUE"""),"06 ORL")</f>
        <v>06 ORL</v>
      </c>
      <c r="O998" s="33" t="str">
        <f ca="1">IFERROR(__xludf.DUMMYFUNCTION("""COMPUTED_VALUE"""),"Dra, María Teresa Cervilla Martín")</f>
        <v>Dra, María Teresa Cervilla Martín</v>
      </c>
      <c r="P998" s="33" t="str">
        <f ca="1">IFERROR(__xludf.DUMMYFUNCTION("""COMPUTED_VALUE"""),"Lisandro Russian (Madrid, Cáceres, Toledo, Talavera Y Logroño)")</f>
        <v>Lisandro Russian (Madrid, Cáceres, Toledo, Talavera Y Logroño)</v>
      </c>
    </row>
    <row r="999" spans="2:16">
      <c r="B999" s="33">
        <f ca="1">IFERROR(__xludf.DUMMYFUNCTION("""COMPUTED_VALUE"""),2025)</f>
        <v>2025</v>
      </c>
      <c r="C999" s="33">
        <f ca="1">IFERROR(__xludf.DUMMYFUNCTION("""COMPUTED_VALUE"""),7)</f>
        <v>7</v>
      </c>
      <c r="D999" s="33" t="str">
        <f ca="1">IFERROR(__xludf.DUMMYFUNCTION("""COMPUTED_VALUE"""),"NO")</f>
        <v>NO</v>
      </c>
      <c r="E999" s="33" t="str">
        <f ca="1">IFERROR(__xludf.DUMMYFUNCTION("""COMPUTED_VALUE"""),"Cáceres")</f>
        <v>Cáceres</v>
      </c>
      <c r="F999" s="57">
        <f ca="1">IFERROR(__xludf.DUMMYFUNCTION("""COMPUTED_VALUE"""),45853)</f>
        <v>45853</v>
      </c>
      <c r="G999" s="57">
        <f ca="1">IFERROR(__xludf.DUMMYFUNCTION("""COMPUTED_VALUE"""),45833)</f>
        <v>45833</v>
      </c>
      <c r="H999" s="33" t="str">
        <f ca="1">IFERROR(__xludf.DUMMYFUNCTION("""COMPUTED_VALUE"""),"Cáceres")</f>
        <v>Cáceres</v>
      </c>
      <c r="I999" s="33" t="str">
        <f ca="1">IFERROR(__xludf.DUMMYFUNCTION("""COMPUTED_VALUE"""),"CAC-330")</f>
        <v>CAC-330</v>
      </c>
      <c r="J999" s="33" t="str">
        <f ca="1">IFERROR(__xludf.DUMMYFUNCTION("""COMPUTED_VALUE"""),"MANUEL CALZADA GIL")</f>
        <v>MANUEL CALZADA GIL</v>
      </c>
      <c r="K999" s="33">
        <f ca="1">IFERROR(__xludf.DUMMYFUNCTION("""COMPUTED_VALUE"""),2)</f>
        <v>2</v>
      </c>
      <c r="L999" s="203">
        <f ca="1">IFERROR(__xludf.DUMMYFUNCTION("""COMPUTED_VALUE"""),4378.18)</f>
        <v>4378.18</v>
      </c>
      <c r="M999" s="33" t="str">
        <f ca="1">IFERROR(__xludf.DUMMYFUNCTION("""COMPUTED_VALUE"""),"03 ORL")</f>
        <v>03 ORL</v>
      </c>
      <c r="N999" s="33" t="str">
        <f ca="1">IFERROR(__xludf.DUMMYFUNCTION("""COMPUTED_VALUE"""),"06 ORL")</f>
        <v>06 ORL</v>
      </c>
      <c r="O999" s="33" t="str">
        <f ca="1">IFERROR(__xludf.DUMMYFUNCTION("""COMPUTED_VALUE"""),"Dr, Andrés Paulino Herrera")</f>
        <v>Dr, Andrés Paulino Herrera</v>
      </c>
      <c r="P999" s="33" t="str">
        <f ca="1">IFERROR(__xludf.DUMMYFUNCTION("""COMPUTED_VALUE"""),"Lisandro Russian (Madrid, Cáceres, Toledo, Talavera Y Logroño)")</f>
        <v>Lisandro Russian (Madrid, Cáceres, Toledo, Talavera Y Logroño)</v>
      </c>
    </row>
    <row r="1000" spans="2:16">
      <c r="B1000" s="33">
        <f ca="1">IFERROR(__xludf.DUMMYFUNCTION("""COMPUTED_VALUE"""),2025)</f>
        <v>2025</v>
      </c>
      <c r="C1000" s="33">
        <f ca="1">IFERROR(__xludf.DUMMYFUNCTION("""COMPUTED_VALUE"""),7)</f>
        <v>7</v>
      </c>
      <c r="D1000" s="33" t="str">
        <f ca="1">IFERROR(__xludf.DUMMYFUNCTION("""COMPUTED_VALUE"""),"NO")</f>
        <v>NO</v>
      </c>
      <c r="E1000" s="33" t="str">
        <f ca="1">IFERROR(__xludf.DUMMYFUNCTION("""COMPUTED_VALUE"""),"Lalín")</f>
        <v>Lalín</v>
      </c>
      <c r="F1000" s="57">
        <f ca="1">IFERROR(__xludf.DUMMYFUNCTION("""COMPUTED_VALUE"""),45853)</f>
        <v>45853</v>
      </c>
      <c r="G1000" s="57">
        <f ca="1">IFERROR(__xludf.DUMMYFUNCTION("""COMPUTED_VALUE"""),45785)</f>
        <v>45785</v>
      </c>
      <c r="H1000" s="33" t="str">
        <f ca="1">IFERROR(__xludf.DUMMYFUNCTION("""COMPUTED_VALUE"""),"Lalín")</f>
        <v>Lalín</v>
      </c>
      <c r="I1000" s="33" t="str">
        <f ca="1">IFERROR(__xludf.DUMMYFUNCTION("""COMPUTED_VALUE"""),"LAL-146")</f>
        <v>LAL-146</v>
      </c>
      <c r="J1000" s="33" t="str">
        <f ca="1">IFERROR(__xludf.DUMMYFUNCTION("""COMPUTED_VALUE"""),"MARTA VAZQUEZ BLANCO")</f>
        <v>MARTA VAZQUEZ BLANCO</v>
      </c>
      <c r="K1000" s="33">
        <f ca="1">IFERROR(__xludf.DUMMYFUNCTION("""COMPUTED_VALUE"""),1)</f>
        <v>1</v>
      </c>
      <c r="L1000" s="203">
        <f ca="1">IFERROR(__xludf.DUMMYFUNCTION("""COMPUTED_VALUE"""),1536.36)</f>
        <v>1536.36</v>
      </c>
      <c r="M1000" s="33" t="str">
        <f ca="1">IFERROR(__xludf.DUMMYFUNCTION("""COMPUTED_VALUE"""),"03 ORL")</f>
        <v>03 ORL</v>
      </c>
      <c r="N1000" s="33" t="str">
        <f ca="1">IFERROR(__xludf.DUMMYFUNCTION("""COMPUTED_VALUE"""),"06 ORL")</f>
        <v>06 ORL</v>
      </c>
      <c r="O1000" s="33" t="str">
        <f ca="1">IFERROR(__xludf.DUMMYFUNCTION("""COMPUTED_VALUE"""),"Dra, Isabel Vaamonde Sanchez Andrade")</f>
        <v>Dra, Isabel Vaamonde Sanchez Andrade</v>
      </c>
      <c r="P1000" s="33" t="str">
        <f ca="1">IFERROR(__xludf.DUMMYFUNCTION("""COMPUTED_VALUE"""),"Roberto Pereira (Galicia)")</f>
        <v>Roberto Pereira (Galicia)</v>
      </c>
    </row>
    <row r="1001" spans="2:16">
      <c r="B1001" s="33">
        <f ca="1">IFERROR(__xludf.DUMMYFUNCTION("""COMPUTED_VALUE"""),2025)</f>
        <v>2025</v>
      </c>
      <c r="C1001" s="33">
        <f ca="1">IFERROR(__xludf.DUMMYFUNCTION("""COMPUTED_VALUE"""),7)</f>
        <v>7</v>
      </c>
      <c r="D1001" s="33" t="str">
        <f ca="1">IFERROR(__xludf.DUMMYFUNCTION("""COMPUTED_VALUE"""),"NO")</f>
        <v>NO</v>
      </c>
      <c r="E1001" s="33" t="str">
        <f ca="1">IFERROR(__xludf.DUMMYFUNCTION("""COMPUTED_VALUE"""),"Boiro")</f>
        <v>Boiro</v>
      </c>
      <c r="F1001" s="57">
        <f ca="1">IFERROR(__xludf.DUMMYFUNCTION("""COMPUTED_VALUE"""),45855)</f>
        <v>45855</v>
      </c>
      <c r="G1001" s="57">
        <f ca="1">IFERROR(__xludf.DUMMYFUNCTION("""COMPUTED_VALUE"""),45833)</f>
        <v>45833</v>
      </c>
      <c r="H1001" s="33" t="str">
        <f ca="1">IFERROR(__xludf.DUMMYFUNCTION("""COMPUTED_VALUE"""),"Boiro")</f>
        <v>Boiro</v>
      </c>
      <c r="I1001" s="33" t="str">
        <f ca="1">IFERROR(__xludf.DUMMYFUNCTION("""COMPUTED_VALUE"""),"BOI-973")</f>
        <v>BOI-973</v>
      </c>
      <c r="J1001" s="33" t="str">
        <f ca="1">IFERROR(__xludf.DUMMYFUNCTION("""COMPUTED_VALUE"""),"AMALIA TORRADO HERMO")</f>
        <v>AMALIA TORRADO HERMO</v>
      </c>
      <c r="K1001" s="33">
        <f ca="1">IFERROR(__xludf.DUMMYFUNCTION("""COMPUTED_VALUE"""),2)</f>
        <v>2</v>
      </c>
      <c r="L1001" s="203">
        <f ca="1">IFERROR(__xludf.DUMMYFUNCTION("""COMPUTED_VALUE"""),2990.91)</f>
        <v>2990.91</v>
      </c>
      <c r="M1001" s="33" t="str">
        <f ca="1">IFERROR(__xludf.DUMMYFUNCTION("""COMPUTED_VALUE"""),"03 ORL")</f>
        <v>03 ORL</v>
      </c>
      <c r="N1001" s="33" t="str">
        <f ca="1">IFERROR(__xludf.DUMMYFUNCTION("""COMPUTED_VALUE"""),"06 ORL")</f>
        <v>06 ORL</v>
      </c>
      <c r="O1001" s="33" t="str">
        <f ca="1">IFERROR(__xludf.DUMMYFUNCTION("""COMPUTED_VALUE"""),"Dr, Carlos Vidal Redondo")</f>
        <v>Dr, Carlos Vidal Redondo</v>
      </c>
      <c r="P1001" s="33" t="str">
        <f ca="1">IFERROR(__xludf.DUMMYFUNCTION("""COMPUTED_VALUE"""),"Roberto Pereira (Galicia)")</f>
        <v>Roberto Pereira (Galicia)</v>
      </c>
    </row>
    <row r="1002" spans="2:16">
      <c r="B1002" s="33">
        <f ca="1">IFERROR(__xludf.DUMMYFUNCTION("""COMPUTED_VALUE"""),2025)</f>
        <v>2025</v>
      </c>
      <c r="C1002" s="33">
        <f ca="1">IFERROR(__xludf.DUMMYFUNCTION("""COMPUTED_VALUE"""),7)</f>
        <v>7</v>
      </c>
      <c r="D1002" s="33" t="str">
        <f ca="1">IFERROR(__xludf.DUMMYFUNCTION("""COMPUTED_VALUE"""),"NO")</f>
        <v>NO</v>
      </c>
      <c r="E1002" s="33" t="str">
        <f ca="1">IFERROR(__xludf.DUMMYFUNCTION("""COMPUTED_VALUE"""),"Cáceres")</f>
        <v>Cáceres</v>
      </c>
      <c r="F1002" s="57">
        <f ca="1">IFERROR(__xludf.DUMMYFUNCTION("""COMPUTED_VALUE"""),45855)</f>
        <v>45855</v>
      </c>
      <c r="G1002" s="57">
        <f ca="1">IFERROR(__xludf.DUMMYFUNCTION("""COMPUTED_VALUE"""),45811)</f>
        <v>45811</v>
      </c>
      <c r="H1002" s="33" t="str">
        <f ca="1">IFERROR(__xludf.DUMMYFUNCTION("""COMPUTED_VALUE"""),"Cáceres")</f>
        <v>Cáceres</v>
      </c>
      <c r="I1002" s="33" t="str">
        <f ca="1">IFERROR(__xludf.DUMMYFUNCTION("""COMPUTED_VALUE"""),"CAC-312")</f>
        <v>CAC-312</v>
      </c>
      <c r="J1002" s="33" t="str">
        <f ca="1">IFERROR(__xludf.DUMMYFUNCTION("""COMPUTED_VALUE"""),"CANDIDO HOYAS CAMPOS")</f>
        <v>CANDIDO HOYAS CAMPOS</v>
      </c>
      <c r="K1002" s="33">
        <f ca="1">IFERROR(__xludf.DUMMYFUNCTION("""COMPUTED_VALUE"""),1)</f>
        <v>1</v>
      </c>
      <c r="L1002" s="203">
        <f ca="1">IFERROR(__xludf.DUMMYFUNCTION("""COMPUTED_VALUE"""),1909.09)</f>
        <v>1909.09</v>
      </c>
      <c r="M1002" s="33" t="str">
        <f ca="1">IFERROR(__xludf.DUMMYFUNCTION("""COMPUTED_VALUE"""),"03 ORL")</f>
        <v>03 ORL</v>
      </c>
      <c r="N1002" s="33" t="str">
        <f ca="1">IFERROR(__xludf.DUMMYFUNCTION("""COMPUTED_VALUE"""),"06 ORL")</f>
        <v>06 ORL</v>
      </c>
      <c r="O1002" s="33" t="str">
        <f ca="1">IFERROR(__xludf.DUMMYFUNCTION("""COMPUTED_VALUE"""),"Dr, Rafael Sanz Trenado")</f>
        <v>Dr, Rafael Sanz Trenado</v>
      </c>
      <c r="P1002" s="33" t="str">
        <f ca="1">IFERROR(__xludf.DUMMYFUNCTION("""COMPUTED_VALUE"""),"Lisandro Russian (Madrid, Cáceres, Toledo, Talavera Y Logroño)")</f>
        <v>Lisandro Russian (Madrid, Cáceres, Toledo, Talavera Y Logroño)</v>
      </c>
    </row>
    <row r="1003" spans="2:16">
      <c r="B1003" s="33">
        <f ca="1">IFERROR(__xludf.DUMMYFUNCTION("""COMPUTED_VALUE"""),2025)</f>
        <v>2025</v>
      </c>
      <c r="C1003" s="33">
        <f ca="1">IFERROR(__xludf.DUMMYFUNCTION("""COMPUTED_VALUE"""),7)</f>
        <v>7</v>
      </c>
      <c r="D1003" s="33" t="str">
        <f ca="1">IFERROR(__xludf.DUMMYFUNCTION("""COMPUTED_VALUE"""),"NO")</f>
        <v>NO</v>
      </c>
      <c r="E1003" s="33" t="str">
        <f ca="1">IFERROR(__xludf.DUMMYFUNCTION("""COMPUTED_VALUE"""),"Cáceres")</f>
        <v>Cáceres</v>
      </c>
      <c r="F1003" s="57">
        <f ca="1">IFERROR(__xludf.DUMMYFUNCTION("""COMPUTED_VALUE"""),45858)</f>
        <v>45858</v>
      </c>
      <c r="G1003" s="57">
        <f ca="1">IFERROR(__xludf.DUMMYFUNCTION("""COMPUTED_VALUE"""),45789)</f>
        <v>45789</v>
      </c>
      <c r="H1003" s="33" t="str">
        <f ca="1">IFERROR(__xludf.DUMMYFUNCTION("""COMPUTED_VALUE"""),"Cáceres")</f>
        <v>Cáceres</v>
      </c>
      <c r="I1003" s="33" t="str">
        <f ca="1">IFERROR(__xludf.DUMMYFUNCTION("""COMPUTED_VALUE"""),"CAC-298")</f>
        <v>CAC-298</v>
      </c>
      <c r="J1003" s="33" t="str">
        <f ca="1">IFERROR(__xludf.DUMMYFUNCTION("""COMPUTED_VALUE"""),"JUANA MARQUEZ GARCIA")</f>
        <v>JUANA MARQUEZ GARCIA</v>
      </c>
      <c r="K1003" s="33">
        <f ca="1">IFERROR(__xludf.DUMMYFUNCTION("""COMPUTED_VALUE"""),1)</f>
        <v>1</v>
      </c>
      <c r="L1003" s="203">
        <f ca="1">IFERROR(__xludf.DUMMYFUNCTION("""COMPUTED_VALUE"""),2119.09)</f>
        <v>2119.09</v>
      </c>
      <c r="M1003" s="33" t="str">
        <f ca="1">IFERROR(__xludf.DUMMYFUNCTION("""COMPUTED_VALUE"""),"03 ORL")</f>
        <v>03 ORL</v>
      </c>
      <c r="N1003" s="33" t="str">
        <f ca="1">IFERROR(__xludf.DUMMYFUNCTION("""COMPUTED_VALUE"""),"06 ORL")</f>
        <v>06 ORL</v>
      </c>
      <c r="O1003" s="33" t="str">
        <f ca="1">IFERROR(__xludf.DUMMYFUNCTION("""COMPUTED_VALUE"""),"Dr, Andrés Paulino Herrera")</f>
        <v>Dr, Andrés Paulino Herrera</v>
      </c>
      <c r="P1003" s="33" t="str">
        <f ca="1">IFERROR(__xludf.DUMMYFUNCTION("""COMPUTED_VALUE"""),"Lisandro Russian (Madrid, Cáceres, Toledo, Talavera Y Logroño)")</f>
        <v>Lisandro Russian (Madrid, Cáceres, Toledo, Talavera Y Logroño)</v>
      </c>
    </row>
    <row r="1004" spans="2:16">
      <c r="B1004" s="33">
        <f ca="1">IFERROR(__xludf.DUMMYFUNCTION("""COMPUTED_VALUE"""),2025)</f>
        <v>2025</v>
      </c>
      <c r="C1004" s="33">
        <f ca="1">IFERROR(__xludf.DUMMYFUNCTION("""COMPUTED_VALUE"""),7)</f>
        <v>7</v>
      </c>
      <c r="D1004" s="33" t="str">
        <f ca="1">IFERROR(__xludf.DUMMYFUNCTION("""COMPUTED_VALUE"""),"NO")</f>
        <v>NO</v>
      </c>
      <c r="E1004" s="33" t="str">
        <f ca="1">IFERROR(__xludf.DUMMYFUNCTION("""COMPUTED_VALUE"""),"Ponferrada")</f>
        <v>Ponferrada</v>
      </c>
      <c r="F1004" s="57">
        <f ca="1">IFERROR(__xludf.DUMMYFUNCTION("""COMPUTED_VALUE"""),45854)</f>
        <v>45854</v>
      </c>
      <c r="G1004" s="57">
        <f ca="1">IFERROR(__xludf.DUMMYFUNCTION("""COMPUTED_VALUE"""),45792)</f>
        <v>45792</v>
      </c>
      <c r="H1004" s="33" t="str">
        <f ca="1">IFERROR(__xludf.DUMMYFUNCTION("""COMPUTED_VALUE"""),"Ponferrada")</f>
        <v>Ponferrada</v>
      </c>
      <c r="I1004" s="33" t="str">
        <f ca="1">IFERROR(__xludf.DUMMYFUNCTION("""COMPUTED_VALUE"""),"PON-926")</f>
        <v>PON-926</v>
      </c>
      <c r="J1004" s="33" t="str">
        <f ca="1">IFERROR(__xludf.DUMMYFUNCTION("""COMPUTED_VALUE"""),"BENI CASTELLANOS CESPEDES")</f>
        <v>BENI CASTELLANOS CESPEDES</v>
      </c>
      <c r="K1004" s="33">
        <f ca="1">IFERROR(__xludf.DUMMYFUNCTION("""COMPUTED_VALUE"""),2)</f>
        <v>2</v>
      </c>
      <c r="L1004" s="203">
        <f ca="1">IFERROR(__xludf.DUMMYFUNCTION("""COMPUTED_VALUE"""),3909.09)</f>
        <v>3909.09</v>
      </c>
      <c r="M1004" s="33" t="str">
        <f ca="1">IFERROR(__xludf.DUMMYFUNCTION("""COMPUTED_VALUE"""),"03 ORL")</f>
        <v>03 ORL</v>
      </c>
      <c r="N1004" s="33" t="str">
        <f ca="1">IFERROR(__xludf.DUMMYFUNCTION("""COMPUTED_VALUE"""),"06 ORL")</f>
        <v>06 ORL</v>
      </c>
      <c r="O1004" s="33" t="str">
        <f ca="1">IFERROR(__xludf.DUMMYFUNCTION("""COMPUTED_VALUE"""),"Dra, Mónica Granda Rosales")</f>
        <v>Dra, Mónica Granda Rosales</v>
      </c>
      <c r="P1004" s="33" t="str">
        <f ca="1">IFERROR(__xludf.DUMMYFUNCTION("""COMPUTED_VALUE"""),"Alberto Moreno (Madrid)")</f>
        <v>Alberto Moreno (Madrid)</v>
      </c>
    </row>
    <row r="1005" spans="2:16">
      <c r="B1005" s="33">
        <f ca="1">IFERROR(__xludf.DUMMYFUNCTION("""COMPUTED_VALUE"""),2025)</f>
        <v>2025</v>
      </c>
      <c r="C1005" s="33">
        <f ca="1">IFERROR(__xludf.DUMMYFUNCTION("""COMPUTED_VALUE"""),7)</f>
        <v>7</v>
      </c>
      <c r="D1005" s="33" t="str">
        <f ca="1">IFERROR(__xludf.DUMMYFUNCTION("""COMPUTED_VALUE"""),"NO")</f>
        <v>NO</v>
      </c>
      <c r="E1005" s="33" t="str">
        <f ca="1">IFERROR(__xludf.DUMMYFUNCTION("""COMPUTED_VALUE"""),"Cáceres")</f>
        <v>Cáceres</v>
      </c>
      <c r="F1005" s="57">
        <f ca="1">IFERROR(__xludf.DUMMYFUNCTION("""COMPUTED_VALUE"""),45860)</f>
        <v>45860</v>
      </c>
      <c r="G1005" s="57">
        <f ca="1">IFERROR(__xludf.DUMMYFUNCTION("""COMPUTED_VALUE"""),45615)</f>
        <v>45615</v>
      </c>
      <c r="H1005" s="33" t="str">
        <f ca="1">IFERROR(__xludf.DUMMYFUNCTION("""COMPUTED_VALUE"""),"Cáceres")</f>
        <v>Cáceres</v>
      </c>
      <c r="I1005" s="33" t="str">
        <f ca="1">IFERROR(__xludf.DUMMYFUNCTION("""COMPUTED_VALUE"""),"CAC-194")</f>
        <v>CAC-194</v>
      </c>
      <c r="J1005" s="33" t="str">
        <f ca="1">IFERROR(__xludf.DUMMYFUNCTION("""COMPUTED_VALUE"""),"MARIA DEL PILAR CARCEDO CASARES")</f>
        <v>MARIA DEL PILAR CARCEDO CASARES</v>
      </c>
      <c r="K1005" s="33">
        <f ca="1">IFERROR(__xludf.DUMMYFUNCTION("""COMPUTED_VALUE"""),1)</f>
        <v>1</v>
      </c>
      <c r="L1005" s="203">
        <f ca="1">IFERROR(__xludf.DUMMYFUNCTION("""COMPUTED_VALUE"""),1876.36)</f>
        <v>1876.36</v>
      </c>
      <c r="M1005" s="33" t="str">
        <f ca="1">IFERROR(__xludf.DUMMYFUNCTION("""COMPUTED_VALUE"""),"03 ORL")</f>
        <v>03 ORL</v>
      </c>
      <c r="N1005" s="33" t="str">
        <f ca="1">IFERROR(__xludf.DUMMYFUNCTION("""COMPUTED_VALUE"""),"06 ORL")</f>
        <v>06 ORL</v>
      </c>
      <c r="O1005" s="33" t="str">
        <f ca="1">IFERROR(__xludf.DUMMYFUNCTION("""COMPUTED_VALUE"""),"Dr, Francisco Ramos Puerto")</f>
        <v>Dr, Francisco Ramos Puerto</v>
      </c>
      <c r="P1005" s="33" t="str">
        <f ca="1">IFERROR(__xludf.DUMMYFUNCTION("""COMPUTED_VALUE"""),"Lisandro Russian (Madrid, Cáceres, Toledo, Talavera Y Logroño)")</f>
        <v>Lisandro Russian (Madrid, Cáceres, Toledo, Talavera Y Logroño)</v>
      </c>
    </row>
    <row r="1006" spans="2:16">
      <c r="B1006" s="33">
        <f ca="1">IFERROR(__xludf.DUMMYFUNCTION("""COMPUTED_VALUE"""),2025)</f>
        <v>2025</v>
      </c>
      <c r="C1006" s="33">
        <f ca="1">IFERROR(__xludf.DUMMYFUNCTION("""COMPUTED_VALUE"""),7)</f>
        <v>7</v>
      </c>
      <c r="D1006" s="33" t="str">
        <f ca="1">IFERROR(__xludf.DUMMYFUNCTION("""COMPUTED_VALUE"""),"NO")</f>
        <v>NO</v>
      </c>
      <c r="E1006" s="33" t="str">
        <f ca="1">IFERROR(__xludf.DUMMYFUNCTION("""COMPUTED_VALUE"""),"Cáceres")</f>
        <v>Cáceres</v>
      </c>
      <c r="F1006" s="57">
        <f ca="1">IFERROR(__xludf.DUMMYFUNCTION("""COMPUTED_VALUE"""),45860)</f>
        <v>45860</v>
      </c>
      <c r="G1006" s="57">
        <f ca="1">IFERROR(__xludf.DUMMYFUNCTION("""COMPUTED_VALUE"""),45841)</f>
        <v>45841</v>
      </c>
      <c r="H1006" s="33" t="str">
        <f ca="1">IFERROR(__xludf.DUMMYFUNCTION("""COMPUTED_VALUE"""),"Cáceres")</f>
        <v>Cáceres</v>
      </c>
      <c r="I1006" s="33" t="str">
        <f ca="1">IFERROR(__xludf.DUMMYFUNCTION("""COMPUTED_VALUE"""),"CAC-341")</f>
        <v>CAC-341</v>
      </c>
      <c r="J1006" s="33" t="str">
        <f ca="1">IFERROR(__xludf.DUMMYFUNCTION("""COMPUTED_VALUE"""),"MATEO MERINO CAMPOS")</f>
        <v>MATEO MERINO CAMPOS</v>
      </c>
      <c r="K1006" s="33">
        <f ca="1">IFERROR(__xludf.DUMMYFUNCTION("""COMPUTED_VALUE"""),1)</f>
        <v>1</v>
      </c>
      <c r="L1006" s="203">
        <f ca="1">IFERROR(__xludf.DUMMYFUNCTION("""COMPUTED_VALUE"""),2585)</f>
        <v>2585</v>
      </c>
      <c r="M1006" s="33" t="str">
        <f ca="1">IFERROR(__xludf.DUMMYFUNCTION("""COMPUTED_VALUE"""),"03 ORL")</f>
        <v>03 ORL</v>
      </c>
      <c r="N1006" s="33" t="str">
        <f ca="1">IFERROR(__xludf.DUMMYFUNCTION("""COMPUTED_VALUE"""),"06 ORL")</f>
        <v>06 ORL</v>
      </c>
      <c r="O1006" s="33" t="str">
        <f ca="1">IFERROR(__xludf.DUMMYFUNCTION("""COMPUTED_VALUE"""),"Dr, Andrés Paulino Herrera")</f>
        <v>Dr, Andrés Paulino Herrera</v>
      </c>
      <c r="P1006" s="33" t="str">
        <f ca="1">IFERROR(__xludf.DUMMYFUNCTION("""COMPUTED_VALUE"""),"Lisandro Russian (Madrid, Cáceres, Toledo, Talavera Y Logroño)")</f>
        <v>Lisandro Russian (Madrid, Cáceres, Toledo, Talavera Y Logroño)</v>
      </c>
    </row>
    <row r="1007" spans="2:16">
      <c r="B1007" s="33">
        <f ca="1">IFERROR(__xludf.DUMMYFUNCTION("""COMPUTED_VALUE"""),2025)</f>
        <v>2025</v>
      </c>
      <c r="C1007" s="33">
        <f ca="1">IFERROR(__xludf.DUMMYFUNCTION("""COMPUTED_VALUE"""),7)</f>
        <v>7</v>
      </c>
      <c r="D1007" s="33" t="str">
        <f ca="1">IFERROR(__xludf.DUMMYFUNCTION("""COMPUTED_VALUE"""),"NO")</f>
        <v>NO</v>
      </c>
      <c r="E1007" s="33" t="str">
        <f ca="1">IFERROR(__xludf.DUMMYFUNCTION("""COMPUTED_VALUE"""),"Cáceres")</f>
        <v>Cáceres</v>
      </c>
      <c r="F1007" s="57">
        <f ca="1">IFERROR(__xludf.DUMMYFUNCTION("""COMPUTED_VALUE"""),45862)</f>
        <v>45862</v>
      </c>
      <c r="G1007" s="57">
        <f ca="1">IFERROR(__xludf.DUMMYFUNCTION("""COMPUTED_VALUE"""),45834)</f>
        <v>45834</v>
      </c>
      <c r="H1007" s="33" t="str">
        <f ca="1">IFERROR(__xludf.DUMMYFUNCTION("""COMPUTED_VALUE"""),"Cáceres")</f>
        <v>Cáceres</v>
      </c>
      <c r="I1007" s="33" t="str">
        <f ca="1">IFERROR(__xludf.DUMMYFUNCTION("""COMPUTED_VALUE"""),"CAC-332")</f>
        <v>CAC-332</v>
      </c>
      <c r="J1007" s="33" t="str">
        <f ca="1">IFERROR(__xludf.DUMMYFUNCTION("""COMPUTED_VALUE"""),"ESPERANZA CRIADO DIAZ")</f>
        <v>ESPERANZA CRIADO DIAZ</v>
      </c>
      <c r="K1007" s="33">
        <f ca="1">IFERROR(__xludf.DUMMYFUNCTION("""COMPUTED_VALUE"""),2)</f>
        <v>2</v>
      </c>
      <c r="L1007" s="203">
        <f ca="1">IFERROR(__xludf.DUMMYFUNCTION("""COMPUTED_VALUE"""),3752.73)</f>
        <v>3752.73</v>
      </c>
      <c r="M1007" s="33" t="str">
        <f ca="1">IFERROR(__xludf.DUMMYFUNCTION("""COMPUTED_VALUE"""),"03 ORL")</f>
        <v>03 ORL</v>
      </c>
      <c r="N1007" s="33" t="str">
        <f ca="1">IFERROR(__xludf.DUMMYFUNCTION("""COMPUTED_VALUE"""),"06 ORL")</f>
        <v>06 ORL</v>
      </c>
      <c r="O1007" s="33" t="str">
        <f ca="1">IFERROR(__xludf.DUMMYFUNCTION("""COMPUTED_VALUE"""),"Dr, Rafael Sanz Trenado")</f>
        <v>Dr, Rafael Sanz Trenado</v>
      </c>
      <c r="P1007" s="33" t="str">
        <f ca="1">IFERROR(__xludf.DUMMYFUNCTION("""COMPUTED_VALUE"""),"Lisandro Russian (Madrid, Cáceres, Toledo, Talavera Y Logroño)")</f>
        <v>Lisandro Russian (Madrid, Cáceres, Toledo, Talavera Y Logroño)</v>
      </c>
    </row>
    <row r="1008" spans="2:16">
      <c r="B1008" s="33">
        <f ca="1">IFERROR(__xludf.DUMMYFUNCTION("""COMPUTED_VALUE"""),2025)</f>
        <v>2025</v>
      </c>
      <c r="C1008" s="33">
        <f ca="1">IFERROR(__xludf.DUMMYFUNCTION("""COMPUTED_VALUE"""),7)</f>
        <v>7</v>
      </c>
      <c r="D1008" s="33" t="str">
        <f ca="1">IFERROR(__xludf.DUMMYFUNCTION("""COMPUTED_VALUE"""),"NO")</f>
        <v>NO</v>
      </c>
      <c r="E1008" s="33" t="str">
        <f ca="1">IFERROR(__xludf.DUMMYFUNCTION("""COMPUTED_VALUE"""),"Cáceres")</f>
        <v>Cáceres</v>
      </c>
      <c r="F1008" s="57">
        <f ca="1">IFERROR(__xludf.DUMMYFUNCTION("""COMPUTED_VALUE"""),45864)</f>
        <v>45864</v>
      </c>
      <c r="G1008" s="57">
        <f ca="1">IFERROR(__xludf.DUMMYFUNCTION("""COMPUTED_VALUE"""),45828)</f>
        <v>45828</v>
      </c>
      <c r="H1008" s="33" t="str">
        <f ca="1">IFERROR(__xludf.DUMMYFUNCTION("""COMPUTED_VALUE"""),"Cáceres")</f>
        <v>Cáceres</v>
      </c>
      <c r="I1008" s="33" t="str">
        <f ca="1">IFERROR(__xludf.DUMMYFUNCTION("""COMPUTED_VALUE"""),"CAC-326")</f>
        <v>CAC-326</v>
      </c>
      <c r="J1008" s="33" t="str">
        <f ca="1">IFERROR(__xludf.DUMMYFUNCTION("""COMPUTED_VALUE"""),"CANSINO ANTENOR AYLAS HINOSTROZA")</f>
        <v>CANSINO ANTENOR AYLAS HINOSTROZA</v>
      </c>
      <c r="K1008" s="33">
        <f ca="1">IFERROR(__xludf.DUMMYFUNCTION("""COMPUTED_VALUE"""),2)</f>
        <v>2</v>
      </c>
      <c r="L1008" s="203">
        <f ca="1">IFERROR(__xludf.DUMMYFUNCTION("""COMPUTED_VALUE"""),2829.09)</f>
        <v>2829.09</v>
      </c>
      <c r="M1008" s="33" t="str">
        <f ca="1">IFERROR(__xludf.DUMMYFUNCTION("""COMPUTED_VALUE"""),"03 ORL")</f>
        <v>03 ORL</v>
      </c>
      <c r="N1008" s="33" t="str">
        <f ca="1">IFERROR(__xludf.DUMMYFUNCTION("""COMPUTED_VALUE"""),"06 ORL")</f>
        <v>06 ORL</v>
      </c>
      <c r="O1008" s="33" t="str">
        <f ca="1">IFERROR(__xludf.DUMMYFUNCTION("""COMPUTED_VALUE"""),"Dra, Marta García Jiménez")</f>
        <v>Dra, Marta García Jiménez</v>
      </c>
      <c r="P1008" s="33" t="str">
        <f ca="1">IFERROR(__xludf.DUMMYFUNCTION("""COMPUTED_VALUE"""),"Lisandro Russian (Madrid, Cáceres, Toledo, Talavera Y Logroño)")</f>
        <v>Lisandro Russian (Madrid, Cáceres, Toledo, Talavera Y Logroño)</v>
      </c>
    </row>
    <row r="1009" spans="2:16">
      <c r="B1009" s="33">
        <f ca="1">IFERROR(__xludf.DUMMYFUNCTION("""COMPUTED_VALUE"""),2025)</f>
        <v>2025</v>
      </c>
      <c r="C1009" s="33">
        <f ca="1">IFERROR(__xludf.DUMMYFUNCTION("""COMPUTED_VALUE"""),7)</f>
        <v>7</v>
      </c>
      <c r="D1009" s="33" t="str">
        <f ca="1">IFERROR(__xludf.DUMMYFUNCTION("""COMPUTED_VALUE"""),"NO")</f>
        <v>NO</v>
      </c>
      <c r="E1009" s="33" t="str">
        <f ca="1">IFERROR(__xludf.DUMMYFUNCTION("""COMPUTED_VALUE"""),"O Barco")</f>
        <v>O Barco</v>
      </c>
      <c r="F1009" s="57">
        <f ca="1">IFERROR(__xludf.DUMMYFUNCTION("""COMPUTED_VALUE"""),45861)</f>
        <v>45861</v>
      </c>
      <c r="G1009" s="57">
        <f ca="1">IFERROR(__xludf.DUMMYFUNCTION("""COMPUTED_VALUE"""),45758)</f>
        <v>45758</v>
      </c>
      <c r="H1009" s="33" t="str">
        <f ca="1">IFERROR(__xludf.DUMMYFUNCTION("""COMPUTED_VALUE"""),"O Barco")</f>
        <v>O Barco</v>
      </c>
      <c r="I1009" s="33" t="str">
        <f ca="1">IFERROR(__xludf.DUMMYFUNCTION("""COMPUTED_VALUE"""),"OBR-60")</f>
        <v>OBR-60</v>
      </c>
      <c r="J1009" s="33" t="str">
        <f ca="1">IFERROR(__xludf.DUMMYFUNCTION("""COMPUTED_VALUE"""),"MARIA BEGOÑA FERRER DELGADO")</f>
        <v>MARIA BEGOÑA FERRER DELGADO</v>
      </c>
      <c r="K1009" s="33">
        <f ca="1">IFERROR(__xludf.DUMMYFUNCTION("""COMPUTED_VALUE"""),2)</f>
        <v>2</v>
      </c>
      <c r="L1009" s="203">
        <f ca="1">IFERROR(__xludf.DUMMYFUNCTION("""COMPUTED_VALUE"""),3436.36)</f>
        <v>3436.36</v>
      </c>
      <c r="M1009" s="33" t="str">
        <f ca="1">IFERROR(__xludf.DUMMYFUNCTION("""COMPUTED_VALUE"""),"03 ORL")</f>
        <v>03 ORL</v>
      </c>
      <c r="N1009" s="33" t="str">
        <f ca="1">IFERROR(__xludf.DUMMYFUNCTION("""COMPUTED_VALUE"""),"06 ORL")</f>
        <v>06 ORL</v>
      </c>
      <c r="O1009" s="33" t="str">
        <f ca="1">IFERROR(__xludf.DUMMYFUNCTION("""COMPUTED_VALUE"""),"No Recuerda Orl")</f>
        <v>No Recuerda Orl</v>
      </c>
      <c r="P1009" s="33" t="str">
        <f ca="1">IFERROR(__xludf.DUMMYFUNCTION("""COMPUTED_VALUE"""),"Alberto Moreno (Madrid)")</f>
        <v>Alberto Moreno (Madrid)</v>
      </c>
    </row>
    <row r="1010" spans="2:16">
      <c r="B1010" s="33">
        <f ca="1">IFERROR(__xludf.DUMMYFUNCTION("""COMPUTED_VALUE"""),2025)</f>
        <v>2025</v>
      </c>
      <c r="C1010" s="33">
        <f ca="1">IFERROR(__xludf.DUMMYFUNCTION("""COMPUTED_VALUE"""),7)</f>
        <v>7</v>
      </c>
      <c r="D1010" s="33" t="str">
        <f ca="1">IFERROR(__xludf.DUMMYFUNCTION("""COMPUTED_VALUE"""),"NO")</f>
        <v>NO</v>
      </c>
      <c r="E1010" s="33" t="str">
        <f ca="1">IFERROR(__xludf.DUMMYFUNCTION("""COMPUTED_VALUE"""),"Oviedo")</f>
        <v>Oviedo</v>
      </c>
      <c r="F1010" s="57">
        <f ca="1">IFERROR(__xludf.DUMMYFUNCTION("""COMPUTED_VALUE"""),45852)</f>
        <v>45852</v>
      </c>
      <c r="G1010" s="57">
        <f ca="1">IFERROR(__xludf.DUMMYFUNCTION("""COMPUTED_VALUE"""),45755)</f>
        <v>45755</v>
      </c>
      <c r="H1010" s="33" t="str">
        <f ca="1">IFERROR(__xludf.DUMMYFUNCTION("""COMPUTED_VALUE"""),"Oviedo")</f>
        <v>Oviedo</v>
      </c>
      <c r="I1010" s="33" t="str">
        <f ca="1">IFERROR(__xludf.DUMMYFUNCTION("""COMPUTED_VALUE"""),"C2025410165637982")</f>
        <v>C2025410165637982</v>
      </c>
      <c r="J1010" s="33" t="str">
        <f ca="1">IFERROR(__xludf.DUMMYFUNCTION("""COMPUTED_VALUE"""),"BEATRIZ JIMENEZ JIMENEZ")</f>
        <v>BEATRIZ JIMENEZ JIMENEZ</v>
      </c>
      <c r="K1010" s="33">
        <f ca="1">IFERROR(__xludf.DUMMYFUNCTION("""COMPUTED_VALUE"""),-2)</f>
        <v>-2</v>
      </c>
      <c r="L1010" s="203">
        <f ca="1">IFERROR(__xludf.DUMMYFUNCTION("""COMPUTED_VALUE"""),-3710)</f>
        <v>-3710</v>
      </c>
      <c r="M1010" s="33" t="str">
        <f ca="1">IFERROR(__xludf.DUMMYFUNCTION("""COMPUTED_VALUE"""),"01 MARKETING ON LINE")</f>
        <v>01 MARKETING ON LINE</v>
      </c>
      <c r="N1010" s="33" t="str">
        <f ca="1">IFERROR(__xludf.DUMMYFUNCTION("""COMPUTED_VALUE"""),"04 AUDIFONO,ES")</f>
        <v>04 AUDIFONO,ES</v>
      </c>
      <c r="O1010" s="33" t="str">
        <f ca="1">IFERROR(__xludf.DUMMYFUNCTION("""COMPUTED_VALUE"""),"Dra, María Teresa Herrera Mera")</f>
        <v>Dra, María Teresa Herrera Mera</v>
      </c>
      <c r="P1010" s="33" t="str">
        <f ca="1">IFERROR(__xludf.DUMMYFUNCTION("""COMPUTED_VALUE"""),"Maika Blázquez (Madrid)")</f>
        <v>Maika Blázquez (Madrid)</v>
      </c>
    </row>
    <row r="1011" spans="2:16">
      <c r="B1011" s="33">
        <f ca="1">IFERROR(__xludf.DUMMYFUNCTION("""COMPUTED_VALUE"""),2025)</f>
        <v>2025</v>
      </c>
      <c r="C1011" s="33">
        <f ca="1">IFERROR(__xludf.DUMMYFUNCTION("""COMPUTED_VALUE"""),7)</f>
        <v>7</v>
      </c>
      <c r="D1011" s="33" t="str">
        <f ca="1">IFERROR(__xludf.DUMMYFUNCTION("""COMPUTED_VALUE"""),"NO")</f>
        <v>NO</v>
      </c>
      <c r="E1011" s="33" t="str">
        <f ca="1">IFERROR(__xludf.DUMMYFUNCTION("""COMPUTED_VALUE"""),"Albacete")</f>
        <v>Albacete</v>
      </c>
      <c r="F1011" s="57">
        <f ca="1">IFERROR(__xludf.DUMMYFUNCTION("""COMPUTED_VALUE"""),45866)</f>
        <v>45866</v>
      </c>
      <c r="G1011" s="57">
        <f ca="1">IFERROR(__xludf.DUMMYFUNCTION("""COMPUTED_VALUE"""),45820)</f>
        <v>45820</v>
      </c>
      <c r="H1011" s="33" t="str">
        <f ca="1">IFERROR(__xludf.DUMMYFUNCTION("""COMPUTED_VALUE"""),"Albacete")</f>
        <v>Albacete</v>
      </c>
      <c r="I1011" s="33" t="str">
        <f ca="1">IFERROR(__xludf.DUMMYFUNCTION("""COMPUTED_VALUE"""),"C202561718053736")</f>
        <v>C202561718053736</v>
      </c>
      <c r="J1011" s="33" t="str">
        <f ca="1">IFERROR(__xludf.DUMMYFUNCTION("""COMPUTED_VALUE"""),"SALVADOR SANCHEZ CASTILLO")</f>
        <v>SALVADOR SANCHEZ CASTILLO</v>
      </c>
      <c r="K1011" s="33">
        <f ca="1">IFERROR(__xludf.DUMMYFUNCTION("""COMPUTED_VALUE"""),2)</f>
        <v>2</v>
      </c>
      <c r="L1011" s="203">
        <f ca="1">IFERROR(__xludf.DUMMYFUNCTION("""COMPUTED_VALUE"""),3709.09)</f>
        <v>3709.09</v>
      </c>
      <c r="M1011" s="33" t="str">
        <f ca="1">IFERROR(__xludf.DUMMYFUNCTION("""COMPUTED_VALUE"""),"03 ORL")</f>
        <v>03 ORL</v>
      </c>
      <c r="N1011" s="33" t="str">
        <f ca="1">IFERROR(__xludf.DUMMYFUNCTION("""COMPUTED_VALUE"""),"06 ORL")</f>
        <v>06 ORL</v>
      </c>
      <c r="O1011" s="33" t="str">
        <f ca="1">IFERROR(__xludf.DUMMYFUNCTION("""COMPUTED_VALUE"""),"Dra, María Agustina Sevilla García")</f>
        <v>Dra, María Agustina Sevilla García</v>
      </c>
      <c r="P1011" s="33" t="str">
        <f ca="1">IFERROR(__xludf.DUMMYFUNCTION("""COMPUTED_VALUE"""),"Iván Sánchez (Levante Y Albacete)")</f>
        <v>Iván Sánchez (Levante Y Albacete)</v>
      </c>
    </row>
    <row r="1012" spans="2:16">
      <c r="B1012" s="33">
        <f ca="1">IFERROR(__xludf.DUMMYFUNCTION("""COMPUTED_VALUE"""),2025)</f>
        <v>2025</v>
      </c>
      <c r="C1012" s="33">
        <f ca="1">IFERROR(__xludf.DUMMYFUNCTION("""COMPUTED_VALUE"""),7)</f>
        <v>7</v>
      </c>
      <c r="D1012" s="33" t="str">
        <f ca="1">IFERROR(__xludf.DUMMYFUNCTION("""COMPUTED_VALUE"""),"NO")</f>
        <v>NO</v>
      </c>
      <c r="E1012" s="33" t="str">
        <f ca="1">IFERROR(__xludf.DUMMYFUNCTION("""COMPUTED_VALUE"""),"Alcorcón")</f>
        <v>Alcorcón</v>
      </c>
      <c r="F1012" s="57">
        <f ca="1">IFERROR(__xludf.DUMMYFUNCTION("""COMPUTED_VALUE"""),45867)</f>
        <v>45867</v>
      </c>
      <c r="G1012" s="57">
        <f ca="1">IFERROR(__xludf.DUMMYFUNCTION("""COMPUTED_VALUE"""),45842)</f>
        <v>45842</v>
      </c>
      <c r="H1012" s="33" t="str">
        <f ca="1">IFERROR(__xludf.DUMMYFUNCTION("""COMPUTED_VALUE"""),"Alcorcón")</f>
        <v>Alcorcón</v>
      </c>
      <c r="I1012" s="33" t="str">
        <f ca="1">IFERROR(__xludf.DUMMYFUNCTION("""COMPUTED_VALUE"""),"C20257910250606")</f>
        <v>C20257910250606</v>
      </c>
      <c r="J1012" s="33" t="str">
        <f ca="1">IFERROR(__xludf.DUMMYFUNCTION("""COMPUTED_VALUE"""),"MIGUEL ANGEL JIMENEZ DE NICOLAS")</f>
        <v>MIGUEL ANGEL JIMENEZ DE NICOLAS</v>
      </c>
      <c r="K1012" s="33">
        <f ca="1">IFERROR(__xludf.DUMMYFUNCTION("""COMPUTED_VALUE"""),2)</f>
        <v>2</v>
      </c>
      <c r="L1012" s="203">
        <f ca="1">IFERROR(__xludf.DUMMYFUNCTION("""COMPUTED_VALUE"""),3631.82)</f>
        <v>3631.82</v>
      </c>
      <c r="M1012" s="33" t="str">
        <f ca="1">IFERROR(__xludf.DUMMYFUNCTION("""COMPUTED_VALUE"""),"03 ORL")</f>
        <v>03 ORL</v>
      </c>
      <c r="N1012" s="33" t="str">
        <f ca="1">IFERROR(__xludf.DUMMYFUNCTION("""COMPUTED_VALUE"""),"06 ORL")</f>
        <v>06 ORL</v>
      </c>
      <c r="O1012" s="33" t="str">
        <f ca="1">IFERROR(__xludf.DUMMYFUNCTION("""COMPUTED_VALUE"""),"Dr, Alejandro Harguindey Antoli-Candela")</f>
        <v>Dr, Alejandro Harguindey Antoli-Candela</v>
      </c>
      <c r="P1012" s="33" t="str">
        <f ca="1">IFERROR(__xludf.DUMMYFUNCTION("""COMPUTED_VALUE"""),"Maika Blázquez (Madrid)")</f>
        <v>Maika Blázquez (Madrid)</v>
      </c>
    </row>
    <row r="1013" spans="2:16">
      <c r="B1013" s="33">
        <f ca="1">IFERROR(__xludf.DUMMYFUNCTION("""COMPUTED_VALUE"""),2025)</f>
        <v>2025</v>
      </c>
      <c r="C1013" s="33">
        <f ca="1">IFERROR(__xludf.DUMMYFUNCTION("""COMPUTED_VALUE"""),7)</f>
        <v>7</v>
      </c>
      <c r="D1013" s="33" t="str">
        <f ca="1">IFERROR(__xludf.DUMMYFUNCTION("""COMPUTED_VALUE"""),"NO")</f>
        <v>NO</v>
      </c>
      <c r="E1013" s="33" t="str">
        <f ca="1">IFERROR(__xludf.DUMMYFUNCTION("""COMPUTED_VALUE"""),"Alicante")</f>
        <v>Alicante</v>
      </c>
      <c r="F1013" s="57">
        <f ca="1">IFERROR(__xludf.DUMMYFUNCTION("""COMPUTED_VALUE"""),45869)</f>
        <v>45869</v>
      </c>
      <c r="G1013" s="57">
        <f ca="1">IFERROR(__xludf.DUMMYFUNCTION("""COMPUTED_VALUE"""),45849)</f>
        <v>45849</v>
      </c>
      <c r="H1013" s="33" t="str">
        <f ca="1">IFERROR(__xludf.DUMMYFUNCTION("""COMPUTED_VALUE"""),"Alicante")</f>
        <v>Alicante</v>
      </c>
      <c r="I1013" s="33" t="str">
        <f ca="1">IFERROR(__xludf.DUMMYFUNCTION("""COMPUTED_VALUE"""),"C2025716165443328")</f>
        <v>C2025716165443328</v>
      </c>
      <c r="J1013" s="33" t="str">
        <f ca="1">IFERROR(__xludf.DUMMYFUNCTION("""COMPUTED_VALUE"""),"CICERON CARMELO MORENO ULLOA")</f>
        <v>CICERON CARMELO MORENO ULLOA</v>
      </c>
      <c r="K1013" s="33">
        <f ca="1">IFERROR(__xludf.DUMMYFUNCTION("""COMPUTED_VALUE"""),2)</f>
        <v>2</v>
      </c>
      <c r="L1013" s="203">
        <f ca="1">IFERROR(__xludf.DUMMYFUNCTION("""COMPUTED_VALUE"""),3631.82)</f>
        <v>3631.82</v>
      </c>
      <c r="M1013" s="33" t="str">
        <f ca="1">IFERROR(__xludf.DUMMYFUNCTION("""COMPUTED_VALUE"""),"03 ORL")</f>
        <v>03 ORL</v>
      </c>
      <c r="N1013" s="33" t="str">
        <f ca="1">IFERROR(__xludf.DUMMYFUNCTION("""COMPUTED_VALUE"""),"06 ORL")</f>
        <v>06 ORL</v>
      </c>
      <c r="O1013" s="33" t="str">
        <f ca="1">IFERROR(__xludf.DUMMYFUNCTION("""COMPUTED_VALUE"""),"Dra, Cristina Muñoz Pinto")</f>
        <v>Dra, Cristina Muñoz Pinto</v>
      </c>
      <c r="P1013" s="33" t="str">
        <f ca="1">IFERROR(__xludf.DUMMYFUNCTION("""COMPUTED_VALUE"""),"Iván Sánchez (Levante Y Albacete)")</f>
        <v>Iván Sánchez (Levante Y Albacete)</v>
      </c>
    </row>
    <row r="1014" spans="2:16">
      <c r="B1014" s="33">
        <f ca="1">IFERROR(__xludf.DUMMYFUNCTION("""COMPUTED_VALUE"""),2025)</f>
        <v>2025</v>
      </c>
      <c r="C1014" s="33">
        <f ca="1">IFERROR(__xludf.DUMMYFUNCTION("""COMPUTED_VALUE"""),7)</f>
        <v>7</v>
      </c>
      <c r="D1014" s="33" t="str">
        <f ca="1">IFERROR(__xludf.DUMMYFUNCTION("""COMPUTED_VALUE"""),"NO")</f>
        <v>NO</v>
      </c>
      <c r="E1014" s="33" t="str">
        <f ca="1">IFERROR(__xludf.DUMMYFUNCTION("""COMPUTED_VALUE"""),"Alicante")</f>
        <v>Alicante</v>
      </c>
      <c r="F1014" s="57">
        <f ca="1">IFERROR(__xludf.DUMMYFUNCTION("""COMPUTED_VALUE"""),45869)</f>
        <v>45869</v>
      </c>
      <c r="G1014" s="57">
        <f ca="1">IFERROR(__xludf.DUMMYFUNCTION("""COMPUTED_VALUE"""),45849)</f>
        <v>45849</v>
      </c>
      <c r="H1014" s="33" t="str">
        <f ca="1">IFERROR(__xludf.DUMMYFUNCTION("""COMPUTED_VALUE"""),"Alicante")</f>
        <v>Alicante</v>
      </c>
      <c r="I1014" s="33" t="str">
        <f ca="1">IFERROR(__xludf.DUMMYFUNCTION("""COMPUTED_VALUE"""),"C202571112129849")</f>
        <v>C202571112129849</v>
      </c>
      <c r="J1014" s="33" t="str">
        <f ca="1">IFERROR(__xludf.DUMMYFUNCTION("""COMPUTED_VALUE"""),"JORGE MEDRANO WHITE")</f>
        <v>JORGE MEDRANO WHITE</v>
      </c>
      <c r="K1014" s="33">
        <f ca="1">IFERROR(__xludf.DUMMYFUNCTION("""COMPUTED_VALUE"""),1)</f>
        <v>1</v>
      </c>
      <c r="L1014" s="203">
        <f ca="1">IFERROR(__xludf.DUMMYFUNCTION("""COMPUTED_VALUE"""),2481.82)</f>
        <v>2481.8200000000002</v>
      </c>
      <c r="M1014" s="33" t="str">
        <f ca="1">IFERROR(__xludf.DUMMYFUNCTION("""COMPUTED_VALUE"""),"03 ORL")</f>
        <v>03 ORL</v>
      </c>
      <c r="N1014" s="33" t="str">
        <f ca="1">IFERROR(__xludf.DUMMYFUNCTION("""COMPUTED_VALUE"""),"06 ORL")</f>
        <v>06 ORL</v>
      </c>
      <c r="O1014" s="33" t="str">
        <f ca="1">IFERROR(__xludf.DUMMYFUNCTION("""COMPUTED_VALUE"""),"Dr, Félix Ruíz de la Cuesta Juste")</f>
        <v>Dr, Félix Ruíz de la Cuesta Juste</v>
      </c>
      <c r="P1014" s="33" t="str">
        <f ca="1">IFERROR(__xludf.DUMMYFUNCTION("""COMPUTED_VALUE"""),"Iván Sánchez (Levante Y Albacete)")</f>
        <v>Iván Sánchez (Levante Y Albacete)</v>
      </c>
    </row>
    <row r="1015" spans="2:16">
      <c r="B1015" s="33">
        <f ca="1">IFERROR(__xludf.DUMMYFUNCTION("""COMPUTED_VALUE"""),2025)</f>
        <v>2025</v>
      </c>
      <c r="C1015" s="33">
        <f ca="1">IFERROR(__xludf.DUMMYFUNCTION("""COMPUTED_VALUE"""),7)</f>
        <v>7</v>
      </c>
      <c r="D1015" s="33" t="str">
        <f ca="1">IFERROR(__xludf.DUMMYFUNCTION("""COMPUTED_VALUE"""),"NO")</f>
        <v>NO</v>
      </c>
      <c r="E1015" s="33" t="str">
        <f ca="1">IFERROR(__xludf.DUMMYFUNCTION("""COMPUTED_VALUE"""),"Alicante")</f>
        <v>Alicante</v>
      </c>
      <c r="F1015" s="57">
        <f ca="1">IFERROR(__xludf.DUMMYFUNCTION("""COMPUTED_VALUE"""),45866)</f>
        <v>45866</v>
      </c>
      <c r="G1015" s="57">
        <f ca="1">IFERROR(__xludf.DUMMYFUNCTION("""COMPUTED_VALUE"""),45847)</f>
        <v>45847</v>
      </c>
      <c r="H1015" s="33" t="str">
        <f ca="1">IFERROR(__xludf.DUMMYFUNCTION("""COMPUTED_VALUE"""),"Alicante")</f>
        <v>Alicante</v>
      </c>
      <c r="I1015" s="33" t="str">
        <f ca="1">IFERROR(__xludf.DUMMYFUNCTION("""COMPUTED_VALUE"""),"C2025711105511596")</f>
        <v>C2025711105511596</v>
      </c>
      <c r="J1015" s="33" t="str">
        <f ca="1">IFERROR(__xludf.DUMMYFUNCTION("""COMPUTED_VALUE"""),"JOSE ANTONIO GONZALEZ CARMONA")</f>
        <v>JOSE ANTONIO GONZALEZ CARMONA</v>
      </c>
      <c r="K1015" s="33">
        <f ca="1">IFERROR(__xludf.DUMMYFUNCTION("""COMPUTED_VALUE"""),2)</f>
        <v>2</v>
      </c>
      <c r="L1015" s="203">
        <f ca="1">IFERROR(__xludf.DUMMYFUNCTION("""COMPUTED_VALUE"""),2718.18)</f>
        <v>2718.18</v>
      </c>
      <c r="M1015" s="33" t="str">
        <f ca="1">IFERROR(__xludf.DUMMYFUNCTION("""COMPUTED_VALUE"""),"03 ORL")</f>
        <v>03 ORL</v>
      </c>
      <c r="N1015" s="33" t="str">
        <f ca="1">IFERROR(__xludf.DUMMYFUNCTION("""COMPUTED_VALUE"""),"06 ORL")</f>
        <v>06 ORL</v>
      </c>
      <c r="O1015" s="33" t="str">
        <f ca="1">IFERROR(__xludf.DUMMYFUNCTION("""COMPUTED_VALUE"""),"Dr, Francisco Pastor Beviá")</f>
        <v>Dr, Francisco Pastor Beviá</v>
      </c>
      <c r="P1015" s="33" t="str">
        <f ca="1">IFERROR(__xludf.DUMMYFUNCTION("""COMPUTED_VALUE"""),"Iván Sánchez (Levante Y Albacete)")</f>
        <v>Iván Sánchez (Levante Y Albacete)</v>
      </c>
    </row>
    <row r="1016" spans="2:16">
      <c r="B1016" s="33">
        <f ca="1">IFERROR(__xludf.DUMMYFUNCTION("""COMPUTED_VALUE"""),2025)</f>
        <v>2025</v>
      </c>
      <c r="C1016" s="33">
        <f ca="1">IFERROR(__xludf.DUMMYFUNCTION("""COMPUTED_VALUE"""),7)</f>
        <v>7</v>
      </c>
      <c r="D1016" s="33" t="str">
        <f ca="1">IFERROR(__xludf.DUMMYFUNCTION("""COMPUTED_VALUE"""),"NO")</f>
        <v>NO</v>
      </c>
      <c r="E1016" s="33" t="str">
        <f ca="1">IFERROR(__xludf.DUMMYFUNCTION("""COMPUTED_VALUE"""),"Barcelona- Fabra i Puig")</f>
        <v>Barcelona- Fabra i Puig</v>
      </c>
      <c r="F1016" s="57">
        <f ca="1">IFERROR(__xludf.DUMMYFUNCTION("""COMPUTED_VALUE"""),45868)</f>
        <v>45868</v>
      </c>
      <c r="G1016" s="57">
        <f ca="1">IFERROR(__xludf.DUMMYFUNCTION("""COMPUTED_VALUE"""),45852)</f>
        <v>45852</v>
      </c>
      <c r="H1016" s="33" t="str">
        <f ca="1">IFERROR(__xludf.DUMMYFUNCTION("""COMPUTED_VALUE"""),"Fabra")</f>
        <v>Fabra</v>
      </c>
      <c r="I1016" s="33" t="str">
        <f ca="1">IFERROR(__xludf.DUMMYFUNCTION("""COMPUTED_VALUE"""),"C2025716173733301")</f>
        <v>C2025716173733301</v>
      </c>
      <c r="J1016" s="33" t="str">
        <f ca="1">IFERROR(__xludf.DUMMYFUNCTION("""COMPUTED_VALUE"""),"ANTONIO PALACIO ALLUE")</f>
        <v>ANTONIO PALACIO ALLUE</v>
      </c>
      <c r="K1016" s="33">
        <f ca="1">IFERROR(__xludf.DUMMYFUNCTION("""COMPUTED_VALUE"""),2)</f>
        <v>2</v>
      </c>
      <c r="L1016" s="203">
        <f ca="1">IFERROR(__xludf.DUMMYFUNCTION("""COMPUTED_VALUE"""),3631.82)</f>
        <v>3631.82</v>
      </c>
      <c r="M1016" s="33" t="str">
        <f ca="1">IFERROR(__xludf.DUMMYFUNCTION("""COMPUTED_VALUE"""),"03 ORL")</f>
        <v>03 ORL</v>
      </c>
      <c r="N1016" s="33" t="str">
        <f ca="1">IFERROR(__xludf.DUMMYFUNCTION("""COMPUTED_VALUE"""),"06 ORL")</f>
        <v>06 ORL</v>
      </c>
      <c r="O1016" s="33" t="str">
        <f ca="1">IFERROR(__xludf.DUMMYFUNCTION("""COMPUTED_VALUE"""),"Dr, Pablo Vergés Fort")</f>
        <v>Dr, Pablo Vergés Fort</v>
      </c>
      <c r="P1016" s="33" t="str">
        <f ca="1">IFERROR(__xludf.DUMMYFUNCTION("""COMPUTED_VALUE"""),"Mercè Cabrera (Cataluña Y Baleares)")</f>
        <v>Mercè Cabrera (Cataluña Y Baleares)</v>
      </c>
    </row>
    <row r="1017" spans="2:16">
      <c r="B1017" s="33">
        <f ca="1">IFERROR(__xludf.DUMMYFUNCTION("""COMPUTED_VALUE"""),2025)</f>
        <v>2025</v>
      </c>
      <c r="C1017" s="33">
        <f ca="1">IFERROR(__xludf.DUMMYFUNCTION("""COMPUTED_VALUE"""),7)</f>
        <v>7</v>
      </c>
      <c r="D1017" s="33" t="str">
        <f ca="1">IFERROR(__xludf.DUMMYFUNCTION("""COMPUTED_VALUE"""),"NO")</f>
        <v>NO</v>
      </c>
      <c r="E1017" s="33" t="str">
        <f ca="1">IFERROR(__xludf.DUMMYFUNCTION("""COMPUTED_VALUE"""),"El Albir (Benidorm)")</f>
        <v>El Albir (Benidorm)</v>
      </c>
      <c r="F1017" s="57">
        <f ca="1">IFERROR(__xludf.DUMMYFUNCTION("""COMPUTED_VALUE"""),45868)</f>
        <v>45868</v>
      </c>
      <c r="G1017" s="57">
        <f ca="1">IFERROR(__xludf.DUMMYFUNCTION("""COMPUTED_VALUE"""),45817)</f>
        <v>45817</v>
      </c>
      <c r="H1017" s="33" t="str">
        <f ca="1">IFERROR(__xludf.DUMMYFUNCTION("""COMPUTED_VALUE"""),"El Albir (Benidorm)")</f>
        <v>El Albir (Benidorm)</v>
      </c>
      <c r="I1017" s="33" t="str">
        <f ca="1">IFERROR(__xludf.DUMMYFUNCTION("""COMPUTED_VALUE"""),"C202561312435457")</f>
        <v>C202561312435457</v>
      </c>
      <c r="J1017" s="33" t="str">
        <f ca="1">IFERROR(__xludf.DUMMYFUNCTION("""COMPUTED_VALUE"""),"CECILIA PEDRON PASCUAL")</f>
        <v>CECILIA PEDRON PASCUAL</v>
      </c>
      <c r="K1017" s="33">
        <f ca="1">IFERROR(__xludf.DUMMYFUNCTION("""COMPUTED_VALUE"""),1)</f>
        <v>1</v>
      </c>
      <c r="L1017" s="203">
        <f ca="1">IFERROR(__xludf.DUMMYFUNCTION("""COMPUTED_VALUE"""),2226.36)</f>
        <v>2226.36</v>
      </c>
      <c r="M1017" s="33" t="str">
        <f ca="1">IFERROR(__xludf.DUMMYFUNCTION("""COMPUTED_VALUE"""),"03 ORL")</f>
        <v>03 ORL</v>
      </c>
      <c r="N1017" s="33" t="str">
        <f ca="1">IFERROR(__xludf.DUMMYFUNCTION("""COMPUTED_VALUE"""),"06 ORL")</f>
        <v>06 ORL</v>
      </c>
      <c r="O1017" s="33" t="str">
        <f ca="1">IFERROR(__xludf.DUMMYFUNCTION("""COMPUTED_VALUE"""),"Dr, Daniel Unigarro Londoño")</f>
        <v>Dr, Daniel Unigarro Londoño</v>
      </c>
      <c r="P1017" s="33" t="str">
        <f ca="1">IFERROR(__xludf.DUMMYFUNCTION("""COMPUTED_VALUE"""),"Ramon Ferrando(Valencia)")</f>
        <v>Ramon Ferrando(Valencia)</v>
      </c>
    </row>
    <row r="1018" spans="2:16">
      <c r="B1018" s="33">
        <f ca="1">IFERROR(__xludf.DUMMYFUNCTION("""COMPUTED_VALUE"""),2025)</f>
        <v>2025</v>
      </c>
      <c r="C1018" s="33">
        <f ca="1">IFERROR(__xludf.DUMMYFUNCTION("""COMPUTED_VALUE"""),7)</f>
        <v>7</v>
      </c>
      <c r="D1018" s="33" t="str">
        <f ca="1">IFERROR(__xludf.DUMMYFUNCTION("""COMPUTED_VALUE"""),"NO")</f>
        <v>NO</v>
      </c>
      <c r="E1018" s="33" t="str">
        <f ca="1">IFERROR(__xludf.DUMMYFUNCTION("""COMPUTED_VALUE"""),"Fuenlabrada")</f>
        <v>Fuenlabrada</v>
      </c>
      <c r="F1018" s="57">
        <f ca="1">IFERROR(__xludf.DUMMYFUNCTION("""COMPUTED_VALUE"""),45868)</f>
        <v>45868</v>
      </c>
      <c r="G1018" s="57">
        <f ca="1">IFERROR(__xludf.DUMMYFUNCTION("""COMPUTED_VALUE"""),45842)</f>
        <v>45842</v>
      </c>
      <c r="H1018" s="33" t="str">
        <f ca="1">IFERROR(__xludf.DUMMYFUNCTION("""COMPUTED_VALUE"""),"Fuenlabrada")</f>
        <v>Fuenlabrada</v>
      </c>
      <c r="I1018" s="33" t="str">
        <f ca="1">IFERROR(__xludf.DUMMYFUNCTION("""COMPUTED_VALUE"""),"C2025710105432565")</f>
        <v>C2025710105432565</v>
      </c>
      <c r="J1018" s="33" t="str">
        <f ca="1">IFERROR(__xludf.DUMMYFUNCTION("""COMPUTED_VALUE"""),"LUISA PEDRAZA CASTEJON")</f>
        <v>LUISA PEDRAZA CASTEJON</v>
      </c>
      <c r="K1018" s="33">
        <f ca="1">IFERROR(__xludf.DUMMYFUNCTION("""COMPUTED_VALUE"""),1)</f>
        <v>1</v>
      </c>
      <c r="L1018" s="203">
        <f ca="1">IFERROR(__xludf.DUMMYFUNCTION("""COMPUTED_VALUE"""),1633.64)</f>
        <v>1633.64</v>
      </c>
      <c r="M1018" s="33" t="str">
        <f ca="1">IFERROR(__xludf.DUMMYFUNCTION("""COMPUTED_VALUE"""),"03 ORL")</f>
        <v>03 ORL</v>
      </c>
      <c r="N1018" s="33" t="str">
        <f ca="1">IFERROR(__xludf.DUMMYFUNCTION("""COMPUTED_VALUE"""),"06 ORL")</f>
        <v>06 ORL</v>
      </c>
      <c r="O1018" s="33" t="str">
        <f ca="1">IFERROR(__xludf.DUMMYFUNCTION("""COMPUTED_VALUE"""),"Dra, Ithzel Maria Villarreal Patiño")</f>
        <v>Dra, Ithzel Maria Villarreal Patiño</v>
      </c>
      <c r="P1018" s="33" t="str">
        <f ca="1">IFERROR(__xludf.DUMMYFUNCTION("""COMPUTED_VALUE"""),"Maika Blázquez (Madrid)")</f>
        <v>Maika Blázquez (Madrid)</v>
      </c>
    </row>
    <row r="1019" spans="2:16">
      <c r="B1019" s="33">
        <f ca="1">IFERROR(__xludf.DUMMYFUNCTION("""COMPUTED_VALUE"""),2025)</f>
        <v>2025</v>
      </c>
      <c r="C1019" s="33">
        <f ca="1">IFERROR(__xludf.DUMMYFUNCTION("""COMPUTED_VALUE"""),7)</f>
        <v>7</v>
      </c>
      <c r="D1019" s="33" t="str">
        <f ca="1">IFERROR(__xludf.DUMMYFUNCTION("""COMPUTED_VALUE"""),"NO")</f>
        <v>NO</v>
      </c>
      <c r="E1019" s="33" t="str">
        <f ca="1">IFERROR(__xludf.DUMMYFUNCTION("""COMPUTED_VALUE"""),"Getafe")</f>
        <v>Getafe</v>
      </c>
      <c r="F1019" s="57">
        <f ca="1">IFERROR(__xludf.DUMMYFUNCTION("""COMPUTED_VALUE"""),45869)</f>
        <v>45869</v>
      </c>
      <c r="G1019" s="57">
        <f ca="1">IFERROR(__xludf.DUMMYFUNCTION("""COMPUTED_VALUE"""),45791)</f>
        <v>45791</v>
      </c>
      <c r="H1019" s="33" t="str">
        <f ca="1">IFERROR(__xludf.DUMMYFUNCTION("""COMPUTED_VALUE"""),"Getafe")</f>
        <v>Getafe</v>
      </c>
      <c r="I1019" s="33" t="str">
        <f ca="1">IFERROR(__xludf.DUMMYFUNCTION("""COMPUTED_VALUE"""),"C2025514161716900")</f>
        <v>C2025514161716900</v>
      </c>
      <c r="J1019" s="33" t="str">
        <f ca="1">IFERROR(__xludf.DUMMYFUNCTION("""COMPUTED_VALUE"""),"JOSE ANTONIO AGUDO TIRADO")</f>
        <v>JOSE ANTONIO AGUDO TIRADO</v>
      </c>
      <c r="K1019" s="33">
        <f ca="1">IFERROR(__xludf.DUMMYFUNCTION("""COMPUTED_VALUE"""),2)</f>
        <v>2</v>
      </c>
      <c r="L1019" s="203">
        <f ca="1">IFERROR(__xludf.DUMMYFUNCTION("""COMPUTED_VALUE"""),4120)</f>
        <v>4120</v>
      </c>
      <c r="M1019" s="33" t="str">
        <f ca="1">IFERROR(__xludf.DUMMYFUNCTION("""COMPUTED_VALUE"""),"03 ORL")</f>
        <v>03 ORL</v>
      </c>
      <c r="N1019" s="33" t="str">
        <f ca="1">IFERROR(__xludf.DUMMYFUNCTION("""COMPUTED_VALUE"""),"06 ORL")</f>
        <v>06 ORL</v>
      </c>
      <c r="O1019" s="33" t="str">
        <f ca="1">IFERROR(__xludf.DUMMYFUNCTION("""COMPUTED_VALUE"""),"Dr, Antonio Rodríguez Rivero")</f>
        <v>Dr, Antonio Rodríguez Rivero</v>
      </c>
      <c r="P1019" s="33" t="str">
        <f ca="1">IFERROR(__xludf.DUMMYFUNCTION("""COMPUTED_VALUE"""),"Maika Blázquez (Madrid)")</f>
        <v>Maika Blázquez (Madrid)</v>
      </c>
    </row>
    <row r="1020" spans="2:16">
      <c r="B1020" s="33">
        <f ca="1">IFERROR(__xludf.DUMMYFUNCTION("""COMPUTED_VALUE"""),2025)</f>
        <v>2025</v>
      </c>
      <c r="C1020" s="33">
        <f ca="1">IFERROR(__xludf.DUMMYFUNCTION("""COMPUTED_VALUE"""),7)</f>
        <v>7</v>
      </c>
      <c r="D1020" s="33" t="str">
        <f ca="1">IFERROR(__xludf.DUMMYFUNCTION("""COMPUTED_VALUE"""),"NO")</f>
        <v>NO</v>
      </c>
      <c r="E1020" s="33" t="str">
        <f ca="1">IFERROR(__xludf.DUMMYFUNCTION("""COMPUTED_VALUE"""),"Jerez de la Frontera")</f>
        <v>Jerez de la Frontera</v>
      </c>
      <c r="F1020" s="57">
        <f ca="1">IFERROR(__xludf.DUMMYFUNCTION("""COMPUTED_VALUE"""),45868)</f>
        <v>45868</v>
      </c>
      <c r="G1020" s="57">
        <f ca="1">IFERROR(__xludf.DUMMYFUNCTION("""COMPUTED_VALUE"""),45849)</f>
        <v>45849</v>
      </c>
      <c r="H1020" s="33" t="str">
        <f ca="1">IFERROR(__xludf.DUMMYFUNCTION("""COMPUTED_VALUE"""),"Jerez")</f>
        <v>Jerez</v>
      </c>
      <c r="I1020" s="33" t="str">
        <f ca="1">IFERROR(__xludf.DUMMYFUNCTION("""COMPUTED_VALUE"""),"C2025711165028289")</f>
        <v>C2025711165028289</v>
      </c>
      <c r="J1020" s="33" t="str">
        <f ca="1">IFERROR(__xludf.DUMMYFUNCTION("""COMPUTED_VALUE"""),"ISIDORO EGIDIO FERNANDEZ")</f>
        <v>ISIDORO EGIDIO FERNANDEZ</v>
      </c>
      <c r="K1020" s="33">
        <f ca="1">IFERROR(__xludf.DUMMYFUNCTION("""COMPUTED_VALUE"""),2)</f>
        <v>2</v>
      </c>
      <c r="L1020" s="203">
        <f ca="1">IFERROR(__xludf.DUMMYFUNCTION("""COMPUTED_VALUE"""),4136.36)</f>
        <v>4136.3599999999997</v>
      </c>
      <c r="M1020" s="33" t="str">
        <f ca="1">IFERROR(__xludf.DUMMYFUNCTION("""COMPUTED_VALUE"""),"03 ORL")</f>
        <v>03 ORL</v>
      </c>
      <c r="N1020" s="33" t="str">
        <f ca="1">IFERROR(__xludf.DUMMYFUNCTION("""COMPUTED_VALUE"""),"06 ORL")</f>
        <v>06 ORL</v>
      </c>
      <c r="O1020" s="33" t="str">
        <f ca="1">IFERROR(__xludf.DUMMYFUNCTION("""COMPUTED_VALUE"""),"Dr, Guillermo Sierra Galera")</f>
        <v>Dr, Guillermo Sierra Galera</v>
      </c>
      <c r="P1020" s="33" t="str">
        <f ca="1">IFERROR(__xludf.DUMMYFUNCTION("""COMPUTED_VALUE"""),"Luis Alberto Rodríguez (Andalucía y Badajoz)")</f>
        <v>Luis Alberto Rodríguez (Andalucía y Badajoz)</v>
      </c>
    </row>
    <row r="1021" spans="2:16">
      <c r="B1021" s="33">
        <f ca="1">IFERROR(__xludf.DUMMYFUNCTION("""COMPUTED_VALUE"""),2025)</f>
        <v>2025</v>
      </c>
      <c r="C1021" s="33">
        <f ca="1">IFERROR(__xludf.DUMMYFUNCTION("""COMPUTED_VALUE"""),7)</f>
        <v>7</v>
      </c>
      <c r="D1021" s="33" t="str">
        <f ca="1">IFERROR(__xludf.DUMMYFUNCTION("""COMPUTED_VALUE"""),"NO")</f>
        <v>NO</v>
      </c>
      <c r="E1021" s="33" t="str">
        <f ca="1">IFERROR(__xludf.DUMMYFUNCTION("""COMPUTED_VALUE"""),"Jerez de la Frontera")</f>
        <v>Jerez de la Frontera</v>
      </c>
      <c r="F1021" s="57">
        <f ca="1">IFERROR(__xludf.DUMMYFUNCTION("""COMPUTED_VALUE"""),45866)</f>
        <v>45866</v>
      </c>
      <c r="G1021" s="57">
        <f ca="1">IFERROR(__xludf.DUMMYFUNCTION("""COMPUTED_VALUE"""),45833)</f>
        <v>45833</v>
      </c>
      <c r="H1021" s="33" t="str">
        <f ca="1">IFERROR(__xludf.DUMMYFUNCTION("""COMPUTED_VALUE"""),"Jerez")</f>
        <v>Jerez</v>
      </c>
      <c r="I1021" s="33" t="str">
        <f ca="1">IFERROR(__xludf.DUMMYFUNCTION("""COMPUTED_VALUE"""),"C202563095130210")</f>
        <v>C202563095130210</v>
      </c>
      <c r="J1021" s="33" t="str">
        <f ca="1">IFERROR(__xludf.DUMMYFUNCTION("""COMPUTED_VALUE"""),"virginia HERAS IGLESIAS")</f>
        <v>virginia HERAS IGLESIAS</v>
      </c>
      <c r="K1021" s="33">
        <f ca="1">IFERROR(__xludf.DUMMYFUNCTION("""COMPUTED_VALUE"""),2)</f>
        <v>2</v>
      </c>
      <c r="L1021" s="203">
        <f ca="1">IFERROR(__xludf.DUMMYFUNCTION("""COMPUTED_VALUE"""),4136.36)</f>
        <v>4136.3599999999997</v>
      </c>
      <c r="M1021" s="33" t="str">
        <f ca="1">IFERROR(__xludf.DUMMYFUNCTION("""COMPUTED_VALUE"""),"03 ORL")</f>
        <v>03 ORL</v>
      </c>
      <c r="N1021" s="33" t="str">
        <f ca="1">IFERROR(__xludf.DUMMYFUNCTION("""COMPUTED_VALUE"""),"06 ORL")</f>
        <v>06 ORL</v>
      </c>
      <c r="O1021" s="33" t="str">
        <f ca="1">IFERROR(__xludf.DUMMYFUNCTION("""COMPUTED_VALUE"""),"Dr, Guillermo Sierra Galera")</f>
        <v>Dr, Guillermo Sierra Galera</v>
      </c>
      <c r="P1021" s="33" t="str">
        <f ca="1">IFERROR(__xludf.DUMMYFUNCTION("""COMPUTED_VALUE"""),"Luis Alberto Rodríguez (Andalucía y Badajoz)")</f>
        <v>Luis Alberto Rodríguez (Andalucía y Badajoz)</v>
      </c>
    </row>
    <row r="1022" spans="2:16">
      <c r="B1022" s="33">
        <f ca="1">IFERROR(__xludf.DUMMYFUNCTION("""COMPUTED_VALUE"""),2025)</f>
        <v>2025</v>
      </c>
      <c r="C1022" s="33">
        <f ca="1">IFERROR(__xludf.DUMMYFUNCTION("""COMPUTED_VALUE"""),7)</f>
        <v>7</v>
      </c>
      <c r="D1022" s="33" t="str">
        <f ca="1">IFERROR(__xludf.DUMMYFUNCTION("""COMPUTED_VALUE"""),"NO")</f>
        <v>NO</v>
      </c>
      <c r="E1022" s="33" t="str">
        <f ca="1">IFERROR(__xludf.DUMMYFUNCTION("""COMPUTED_VALUE"""),"Leganés")</f>
        <v>Leganés</v>
      </c>
      <c r="F1022" s="57">
        <f ca="1">IFERROR(__xludf.DUMMYFUNCTION("""COMPUTED_VALUE"""),45866)</f>
        <v>45866</v>
      </c>
      <c r="G1022" s="57">
        <f ca="1">IFERROR(__xludf.DUMMYFUNCTION("""COMPUTED_VALUE"""),45839)</f>
        <v>45839</v>
      </c>
      <c r="H1022" s="33" t="str">
        <f ca="1">IFERROR(__xludf.DUMMYFUNCTION("""COMPUTED_VALUE"""),"Leganés")</f>
        <v>Leganés</v>
      </c>
      <c r="I1022" s="33" t="str">
        <f ca="1">IFERROR(__xludf.DUMMYFUNCTION("""COMPUTED_VALUE"""),"C20257711599915")</f>
        <v>C20257711599915</v>
      </c>
      <c r="J1022" s="33" t="str">
        <f ca="1">IFERROR(__xludf.DUMMYFUNCTION("""COMPUTED_VALUE"""),"ELISA SUAREZ SARDINA")</f>
        <v>ELISA SUAREZ SARDINA</v>
      </c>
      <c r="K1022" s="33">
        <f ca="1">IFERROR(__xludf.DUMMYFUNCTION("""COMPUTED_VALUE"""),1)</f>
        <v>1</v>
      </c>
      <c r="L1022" s="203">
        <f ca="1">IFERROR(__xludf.DUMMYFUNCTION("""COMPUTED_VALUE"""),1631.82)</f>
        <v>1631.82</v>
      </c>
      <c r="M1022" s="33" t="str">
        <f ca="1">IFERROR(__xludf.DUMMYFUNCTION("""COMPUTED_VALUE"""),"03 ORL")</f>
        <v>03 ORL</v>
      </c>
      <c r="N1022" s="33" t="str">
        <f ca="1">IFERROR(__xludf.DUMMYFUNCTION("""COMPUTED_VALUE"""),"06 ORL")</f>
        <v>06 ORL</v>
      </c>
      <c r="O1022" s="33" t="str">
        <f ca="1">IFERROR(__xludf.DUMMYFUNCTION("""COMPUTED_VALUE"""),"Dra, Inés Pastor Basterra")</f>
        <v>Dra, Inés Pastor Basterra</v>
      </c>
      <c r="P1022" s="33" t="str">
        <f ca="1">IFERROR(__xludf.DUMMYFUNCTION("""COMPUTED_VALUE"""),"Maika Blázquez (Madrid)")</f>
        <v>Maika Blázquez (Madrid)</v>
      </c>
    </row>
    <row r="1023" spans="2:16">
      <c r="B1023" s="33">
        <f ca="1">IFERROR(__xludf.DUMMYFUNCTION("""COMPUTED_VALUE"""),2025)</f>
        <v>2025</v>
      </c>
      <c r="C1023" s="33">
        <f ca="1">IFERROR(__xludf.DUMMYFUNCTION("""COMPUTED_VALUE"""),7)</f>
        <v>7</v>
      </c>
      <c r="D1023" s="33" t="str">
        <f ca="1">IFERROR(__xludf.DUMMYFUNCTION("""COMPUTED_VALUE"""),"NO")</f>
        <v>NO</v>
      </c>
      <c r="E1023" s="33" t="str">
        <f ca="1">IFERROR(__xludf.DUMMYFUNCTION("""COMPUTED_VALUE"""),"Leganés")</f>
        <v>Leganés</v>
      </c>
      <c r="F1023" s="57">
        <f ca="1">IFERROR(__xludf.DUMMYFUNCTION("""COMPUTED_VALUE"""),45867)</f>
        <v>45867</v>
      </c>
      <c r="G1023" s="57">
        <f ca="1">IFERROR(__xludf.DUMMYFUNCTION("""COMPUTED_VALUE"""),45832)</f>
        <v>45832</v>
      </c>
      <c r="H1023" s="33" t="str">
        <f ca="1">IFERROR(__xludf.DUMMYFUNCTION("""COMPUTED_VALUE"""),"Leganés")</f>
        <v>Leganés</v>
      </c>
      <c r="I1023" s="33" t="str">
        <f ca="1">IFERROR(__xludf.DUMMYFUNCTION("""COMPUTED_VALUE"""),"C202573122916902")</f>
        <v>C202573122916902</v>
      </c>
      <c r="J1023" s="33" t="str">
        <f ca="1">IFERROR(__xludf.DUMMYFUNCTION("""COMPUTED_VALUE"""),"FILOMENA DE LA FUENTE BERGON")</f>
        <v>FILOMENA DE LA FUENTE BERGON</v>
      </c>
      <c r="K1023" s="33">
        <f ca="1">IFERROR(__xludf.DUMMYFUNCTION("""COMPUTED_VALUE"""),2)</f>
        <v>2</v>
      </c>
      <c r="L1023" s="203">
        <f ca="1">IFERROR(__xludf.DUMMYFUNCTION("""COMPUTED_VALUE"""),3424.55)</f>
        <v>3424.55</v>
      </c>
      <c r="M1023" s="33" t="str">
        <f ca="1">IFERROR(__xludf.DUMMYFUNCTION("""COMPUTED_VALUE"""),"03 ORL")</f>
        <v>03 ORL</v>
      </c>
      <c r="N1023" s="33" t="str">
        <f ca="1">IFERROR(__xludf.DUMMYFUNCTION("""COMPUTED_VALUE"""),"06 ORL")</f>
        <v>06 ORL</v>
      </c>
      <c r="O1023" s="33" t="str">
        <f ca="1">IFERROR(__xludf.DUMMYFUNCTION("""COMPUTED_VALUE"""),"Dr, Jesús Ramos Fernández")</f>
        <v>Dr, Jesús Ramos Fernández</v>
      </c>
      <c r="P1023" s="33" t="str">
        <f ca="1">IFERROR(__xludf.DUMMYFUNCTION("""COMPUTED_VALUE"""),"Maika Blázquez (Madrid)")</f>
        <v>Maika Blázquez (Madrid)</v>
      </c>
    </row>
    <row r="1024" spans="2:16">
      <c r="B1024" s="33">
        <f ca="1">IFERROR(__xludf.DUMMYFUNCTION("""COMPUTED_VALUE"""),2025)</f>
        <v>2025</v>
      </c>
      <c r="C1024" s="33">
        <f ca="1">IFERROR(__xludf.DUMMYFUNCTION("""COMPUTED_VALUE"""),7)</f>
        <v>7</v>
      </c>
      <c r="D1024" s="33" t="str">
        <f ca="1">IFERROR(__xludf.DUMMYFUNCTION("""COMPUTED_VALUE"""),"NO")</f>
        <v>NO</v>
      </c>
      <c r="E1024" s="33" t="str">
        <f ca="1">IFERROR(__xludf.DUMMYFUNCTION("""COMPUTED_VALUE"""),"Leganés")</f>
        <v>Leganés</v>
      </c>
      <c r="F1024" s="57">
        <f ca="1">IFERROR(__xludf.DUMMYFUNCTION("""COMPUTED_VALUE"""),45866)</f>
        <v>45866</v>
      </c>
      <c r="G1024" s="57">
        <f ca="1">IFERROR(__xludf.DUMMYFUNCTION("""COMPUTED_VALUE"""),45819)</f>
        <v>45819</v>
      </c>
      <c r="H1024" s="33" t="str">
        <f ca="1">IFERROR(__xludf.DUMMYFUNCTION("""COMPUTED_VALUE"""),"Leganés")</f>
        <v>Leganés</v>
      </c>
      <c r="I1024" s="33" t="str">
        <f ca="1">IFERROR(__xludf.DUMMYFUNCTION("""COMPUTED_VALUE"""),"C202561817471468")</f>
        <v>C202561817471468</v>
      </c>
      <c r="J1024" s="33" t="str">
        <f ca="1">IFERROR(__xludf.DUMMYFUNCTION("""COMPUTED_VALUE"""),"JUAN JOSE RODRIGUEZ GAYO")</f>
        <v>JUAN JOSE RODRIGUEZ GAYO</v>
      </c>
      <c r="K1024" s="33">
        <f ca="1">IFERROR(__xludf.DUMMYFUNCTION("""COMPUTED_VALUE"""),1)</f>
        <v>1</v>
      </c>
      <c r="L1024" s="203">
        <f ca="1">IFERROR(__xludf.DUMMYFUNCTION("""COMPUTED_VALUE"""),1568.18)</f>
        <v>1568.18</v>
      </c>
      <c r="M1024" s="33" t="str">
        <f ca="1">IFERROR(__xludf.DUMMYFUNCTION("""COMPUTED_VALUE"""),"03 ORL")</f>
        <v>03 ORL</v>
      </c>
      <c r="N1024" s="33" t="str">
        <f ca="1">IFERROR(__xludf.DUMMYFUNCTION("""COMPUTED_VALUE"""),"06 ORL")</f>
        <v>06 ORL</v>
      </c>
      <c r="O1024" s="33" t="str">
        <f ca="1">IFERROR(__xludf.DUMMYFUNCTION("""COMPUTED_VALUE"""),"Dra, Cristina Vaduva")</f>
        <v>Dra, Cristina Vaduva</v>
      </c>
      <c r="P1024" s="33" t="str">
        <f ca="1">IFERROR(__xludf.DUMMYFUNCTION("""COMPUTED_VALUE"""),"Maika Blázquez (Madrid)")</f>
        <v>Maika Blázquez (Madrid)</v>
      </c>
    </row>
    <row r="1025" spans="2:16">
      <c r="B1025" s="33">
        <f ca="1">IFERROR(__xludf.DUMMYFUNCTION("""COMPUTED_VALUE"""),2025)</f>
        <v>2025</v>
      </c>
      <c r="C1025" s="33">
        <f ca="1">IFERROR(__xludf.DUMMYFUNCTION("""COMPUTED_VALUE"""),7)</f>
        <v>7</v>
      </c>
      <c r="D1025" s="33" t="str">
        <f ca="1">IFERROR(__xludf.DUMMYFUNCTION("""COMPUTED_VALUE"""),"NO")</f>
        <v>NO</v>
      </c>
      <c r="E1025" s="33" t="str">
        <f ca="1">IFERROR(__xludf.DUMMYFUNCTION("""COMPUTED_VALUE"""),"Leganés")</f>
        <v>Leganés</v>
      </c>
      <c r="F1025" s="57">
        <f ca="1">IFERROR(__xludf.DUMMYFUNCTION("""COMPUTED_VALUE"""),45869)</f>
        <v>45869</v>
      </c>
      <c r="G1025" s="57">
        <f ca="1">IFERROR(__xludf.DUMMYFUNCTION("""COMPUTED_VALUE"""),45819)</f>
        <v>45819</v>
      </c>
      <c r="H1025" s="33" t="str">
        <f ca="1">IFERROR(__xludf.DUMMYFUNCTION("""COMPUTED_VALUE"""),"Leganés")</f>
        <v>Leganés</v>
      </c>
      <c r="I1025" s="33" t="str">
        <f ca="1">IFERROR(__xludf.DUMMYFUNCTION("""COMPUTED_VALUE"""),"C202561918355912")</f>
        <v>C202561918355912</v>
      </c>
      <c r="J1025" s="33" t="str">
        <f ca="1">IFERROR(__xludf.DUMMYFUNCTION("""COMPUTED_VALUE"""),"VICTORIA RUBIO BARBA")</f>
        <v>VICTORIA RUBIO BARBA</v>
      </c>
      <c r="K1025" s="33">
        <f ca="1">IFERROR(__xludf.DUMMYFUNCTION("""COMPUTED_VALUE"""),2)</f>
        <v>2</v>
      </c>
      <c r="L1025" s="203">
        <f ca="1">IFERROR(__xludf.DUMMYFUNCTION("""COMPUTED_VALUE"""),3604.55)</f>
        <v>3604.55</v>
      </c>
      <c r="M1025" s="33" t="str">
        <f ca="1">IFERROR(__xludf.DUMMYFUNCTION("""COMPUTED_VALUE"""),"03 ORL")</f>
        <v>03 ORL</v>
      </c>
      <c r="N1025" s="33" t="str">
        <f ca="1">IFERROR(__xludf.DUMMYFUNCTION("""COMPUTED_VALUE"""),"06 ORL")</f>
        <v>06 ORL</v>
      </c>
      <c r="O1025" s="33" t="str">
        <f ca="1">IFERROR(__xludf.DUMMYFUNCTION("""COMPUTED_VALUE"""),"Dra, Inés Pastor Basterra")</f>
        <v>Dra, Inés Pastor Basterra</v>
      </c>
      <c r="P1025" s="33" t="str">
        <f ca="1">IFERROR(__xludf.DUMMYFUNCTION("""COMPUTED_VALUE"""),"Maika Blázquez (Madrid)")</f>
        <v>Maika Blázquez (Madrid)</v>
      </c>
    </row>
    <row r="1026" spans="2:16">
      <c r="B1026" s="33">
        <f ca="1">IFERROR(__xludf.DUMMYFUNCTION("""COMPUTED_VALUE"""),2025)</f>
        <v>2025</v>
      </c>
      <c r="C1026" s="33">
        <f ca="1">IFERROR(__xludf.DUMMYFUNCTION("""COMPUTED_VALUE"""),7)</f>
        <v>7</v>
      </c>
      <c r="D1026" s="33" t="str">
        <f ca="1">IFERROR(__xludf.DUMMYFUNCTION("""COMPUTED_VALUE"""),"NO")</f>
        <v>NO</v>
      </c>
      <c r="E1026" s="33" t="str">
        <f ca="1">IFERROR(__xludf.DUMMYFUNCTION("""COMPUTED_VALUE"""),"Madrid- Canillas")</f>
        <v>Madrid- Canillas</v>
      </c>
      <c r="F1026" s="57">
        <f ca="1">IFERROR(__xludf.DUMMYFUNCTION("""COMPUTED_VALUE"""),45866)</f>
        <v>45866</v>
      </c>
      <c r="G1026" s="57">
        <f ca="1">IFERROR(__xludf.DUMMYFUNCTION("""COMPUTED_VALUE"""),45838)</f>
        <v>45838</v>
      </c>
      <c r="H1026" s="33" t="str">
        <f ca="1">IFERROR(__xludf.DUMMYFUNCTION("""COMPUTED_VALUE"""),"Canillas")</f>
        <v>Canillas</v>
      </c>
      <c r="I1026" s="33" t="str">
        <f ca="1">IFERROR(__xludf.DUMMYFUNCTION("""COMPUTED_VALUE"""),"C202572171727696")</f>
        <v>C202572171727696</v>
      </c>
      <c r="J1026" s="33" t="str">
        <f ca="1">IFERROR(__xludf.DUMMYFUNCTION("""COMPUTED_VALUE"""),"JOSE ANTONIO DE MIGUEL AGUILAR")</f>
        <v>JOSE ANTONIO DE MIGUEL AGUILAR</v>
      </c>
      <c r="K1026" s="33">
        <f ca="1">IFERROR(__xludf.DUMMYFUNCTION("""COMPUTED_VALUE"""),2)</f>
        <v>2</v>
      </c>
      <c r="L1026" s="203">
        <f ca="1">IFERROR(__xludf.DUMMYFUNCTION("""COMPUTED_VALUE"""),4120.19)</f>
        <v>4120.1899999999996</v>
      </c>
      <c r="M1026" s="33" t="str">
        <f ca="1">IFERROR(__xludf.DUMMYFUNCTION("""COMPUTED_VALUE"""),"03 ORL")</f>
        <v>03 ORL</v>
      </c>
      <c r="N1026" s="33" t="str">
        <f ca="1">IFERROR(__xludf.DUMMYFUNCTION("""COMPUTED_VALUE"""),"06 ORL")</f>
        <v>06 ORL</v>
      </c>
      <c r="O1026" s="33" t="str">
        <f ca="1">IFERROR(__xludf.DUMMYFUNCTION("""COMPUTED_VALUE"""),"Dra, María del Mar Medina González")</f>
        <v>Dra, María del Mar Medina González</v>
      </c>
      <c r="P1026" s="33" t="str">
        <f ca="1">IFERROR(__xludf.DUMMYFUNCTION("""COMPUTED_VALUE"""),"Maika Blázquez (Madrid)")</f>
        <v>Maika Blázquez (Madrid)</v>
      </c>
    </row>
    <row r="1027" spans="2:16">
      <c r="B1027" s="33">
        <f ca="1">IFERROR(__xludf.DUMMYFUNCTION("""COMPUTED_VALUE"""),2025)</f>
        <v>2025</v>
      </c>
      <c r="C1027" s="33">
        <f ca="1">IFERROR(__xludf.DUMMYFUNCTION("""COMPUTED_VALUE"""),7)</f>
        <v>7</v>
      </c>
      <c r="D1027" s="33" t="str">
        <f ca="1">IFERROR(__xludf.DUMMYFUNCTION("""COMPUTED_VALUE"""),"NO")</f>
        <v>NO</v>
      </c>
      <c r="E1027" s="33" t="str">
        <f ca="1">IFERROR(__xludf.DUMMYFUNCTION("""COMPUTED_VALUE"""),"Madrid- Juan Bravo")</f>
        <v>Madrid- Juan Bravo</v>
      </c>
      <c r="F1027" s="57">
        <f ca="1">IFERROR(__xludf.DUMMYFUNCTION("""COMPUTED_VALUE"""),45868)</f>
        <v>45868</v>
      </c>
      <c r="G1027" s="57">
        <f ca="1">IFERROR(__xludf.DUMMYFUNCTION("""COMPUTED_VALUE"""),45841)</f>
        <v>45841</v>
      </c>
      <c r="H1027" s="33" t="str">
        <f ca="1">IFERROR(__xludf.DUMMYFUNCTION("""COMPUTED_VALUE"""),"Juan Bravo")</f>
        <v>Juan Bravo</v>
      </c>
      <c r="I1027" s="33" t="str">
        <f ca="1">IFERROR(__xludf.DUMMYFUNCTION("""COMPUTED_VALUE"""),"C2025710104044176")</f>
        <v>C2025710104044176</v>
      </c>
      <c r="J1027" s="33" t="str">
        <f ca="1">IFERROR(__xludf.DUMMYFUNCTION("""COMPUTED_VALUE"""),"OLGA AMPUERO GALVEZ")</f>
        <v>OLGA AMPUERO GALVEZ</v>
      </c>
      <c r="K1027" s="33">
        <f ca="1">IFERROR(__xludf.DUMMYFUNCTION("""COMPUTED_VALUE"""),1)</f>
        <v>1</v>
      </c>
      <c r="L1027" s="203">
        <f ca="1">IFERROR(__xludf.DUMMYFUNCTION("""COMPUTED_VALUE"""),2226.36)</f>
        <v>2226.36</v>
      </c>
      <c r="M1027" s="33" t="str">
        <f ca="1">IFERROR(__xludf.DUMMYFUNCTION("""COMPUTED_VALUE"""),"03 ORL")</f>
        <v>03 ORL</v>
      </c>
      <c r="N1027" s="33" t="str">
        <f ca="1">IFERROR(__xludf.DUMMYFUNCTION("""COMPUTED_VALUE"""),"06 ORL")</f>
        <v>06 ORL</v>
      </c>
      <c r="O1027" s="33" t="str">
        <f ca="1">IFERROR(__xludf.DUMMYFUNCTION("""COMPUTED_VALUE"""),"Dr, Javier García Domínguez")</f>
        <v>Dr, Javier García Domínguez</v>
      </c>
      <c r="P1027" s="33" t="str">
        <f ca="1">IFERROR(__xludf.DUMMYFUNCTION("""COMPUTED_VALUE"""),"Maika Blázquez (Madrid)")</f>
        <v>Maika Blázquez (Madrid)</v>
      </c>
    </row>
    <row r="1028" spans="2:16">
      <c r="B1028" s="33">
        <f ca="1">IFERROR(__xludf.DUMMYFUNCTION("""COMPUTED_VALUE"""),2025)</f>
        <v>2025</v>
      </c>
      <c r="C1028" s="33">
        <f ca="1">IFERROR(__xludf.DUMMYFUNCTION("""COMPUTED_VALUE"""),7)</f>
        <v>7</v>
      </c>
      <c r="D1028" s="33" t="str">
        <f ca="1">IFERROR(__xludf.DUMMYFUNCTION("""COMPUTED_VALUE"""),"NO")</f>
        <v>NO</v>
      </c>
      <c r="E1028" s="33" t="str">
        <f ca="1">IFERROR(__xludf.DUMMYFUNCTION("""COMPUTED_VALUE"""),"Murcia")</f>
        <v>Murcia</v>
      </c>
      <c r="F1028" s="57">
        <f ca="1">IFERROR(__xludf.DUMMYFUNCTION("""COMPUTED_VALUE"""),45868)</f>
        <v>45868</v>
      </c>
      <c r="G1028" s="57">
        <f ca="1">IFERROR(__xludf.DUMMYFUNCTION("""COMPUTED_VALUE"""),45845)</f>
        <v>45845</v>
      </c>
      <c r="H1028" s="33" t="str">
        <f ca="1">IFERROR(__xludf.DUMMYFUNCTION("""COMPUTED_VALUE"""),"Murcia")</f>
        <v>Murcia</v>
      </c>
      <c r="I1028" s="33" t="str">
        <f ca="1">IFERROR(__xludf.DUMMYFUNCTION("""COMPUTED_VALUE"""),"C2025716172143986")</f>
        <v>C2025716172143986</v>
      </c>
      <c r="J1028" s="33" t="str">
        <f ca="1">IFERROR(__xludf.DUMMYFUNCTION("""COMPUTED_VALUE"""),"ANTONIA GARCIA MARTINEZ")</f>
        <v>ANTONIA GARCIA MARTINEZ</v>
      </c>
      <c r="K1028" s="33">
        <f ca="1">IFERROR(__xludf.DUMMYFUNCTION("""COMPUTED_VALUE"""),2)</f>
        <v>2</v>
      </c>
      <c r="L1028" s="203">
        <f ca="1">IFERROR(__xludf.DUMMYFUNCTION("""COMPUTED_VALUE"""),2888.18)</f>
        <v>2888.18</v>
      </c>
      <c r="M1028" s="33" t="str">
        <f ca="1">IFERROR(__xludf.DUMMYFUNCTION("""COMPUTED_VALUE"""),"03 ORL")</f>
        <v>03 ORL</v>
      </c>
      <c r="N1028" s="33" t="str">
        <f ca="1">IFERROR(__xludf.DUMMYFUNCTION("""COMPUTED_VALUE"""),"06 ORL")</f>
        <v>06 ORL</v>
      </c>
      <c r="O1028" s="33" t="str">
        <f ca="1">IFERROR(__xludf.DUMMYFUNCTION("""COMPUTED_VALUE"""),"Dr, Enrique Viviente Rodríguez")</f>
        <v>Dr, Enrique Viviente Rodríguez</v>
      </c>
      <c r="P1028" s="33" t="str">
        <f ca="1">IFERROR(__xludf.DUMMYFUNCTION("""COMPUTED_VALUE"""),"Iván Sánchez (Levante Y Albacete)")</f>
        <v>Iván Sánchez (Levante Y Albacete)</v>
      </c>
    </row>
    <row r="1029" spans="2:16">
      <c r="B1029" s="33">
        <f ca="1">IFERROR(__xludf.DUMMYFUNCTION("""COMPUTED_VALUE"""),2025)</f>
        <v>2025</v>
      </c>
      <c r="C1029" s="33">
        <f ca="1">IFERROR(__xludf.DUMMYFUNCTION("""COMPUTED_VALUE"""),7)</f>
        <v>7</v>
      </c>
      <c r="D1029" s="33" t="str">
        <f ca="1">IFERROR(__xludf.DUMMYFUNCTION("""COMPUTED_VALUE"""),"NO")</f>
        <v>NO</v>
      </c>
      <c r="E1029" s="33" t="str">
        <f ca="1">IFERROR(__xludf.DUMMYFUNCTION("""COMPUTED_VALUE"""),"Murcia")</f>
        <v>Murcia</v>
      </c>
      <c r="F1029" s="57">
        <f ca="1">IFERROR(__xludf.DUMMYFUNCTION("""COMPUTED_VALUE"""),45867)</f>
        <v>45867</v>
      </c>
      <c r="G1029" s="57">
        <f ca="1">IFERROR(__xludf.DUMMYFUNCTION("""COMPUTED_VALUE"""),45841)</f>
        <v>45841</v>
      </c>
      <c r="H1029" s="33" t="str">
        <f ca="1">IFERROR(__xludf.DUMMYFUNCTION("""COMPUTED_VALUE"""),"Murcia")</f>
        <v>Murcia</v>
      </c>
      <c r="I1029" s="33" t="str">
        <f ca="1">IFERROR(__xludf.DUMMYFUNCTION("""COMPUTED_VALUE"""),"C20257911532263")</f>
        <v>C20257911532263</v>
      </c>
      <c r="J1029" s="33" t="str">
        <f ca="1">IFERROR(__xludf.DUMMYFUNCTION("""COMPUTED_VALUE"""),"ANTONIO MIGUEL HERNANDEZ QUEVEDO")</f>
        <v>ANTONIO MIGUEL HERNANDEZ QUEVEDO</v>
      </c>
      <c r="K1029" s="33">
        <f ca="1">IFERROR(__xludf.DUMMYFUNCTION("""COMPUTED_VALUE"""),1)</f>
        <v>1</v>
      </c>
      <c r="L1029" s="203">
        <f ca="1">IFERROR(__xludf.DUMMYFUNCTION("""COMPUTED_VALUE"""),2400)</f>
        <v>2400</v>
      </c>
      <c r="M1029" s="33" t="str">
        <f ca="1">IFERROR(__xludf.DUMMYFUNCTION("""COMPUTED_VALUE"""),"03 ORL")</f>
        <v>03 ORL</v>
      </c>
      <c r="N1029" s="33" t="str">
        <f ca="1">IFERROR(__xludf.DUMMYFUNCTION("""COMPUTED_VALUE"""),"06 ORL")</f>
        <v>06 ORL</v>
      </c>
      <c r="O1029" s="33" t="str">
        <f ca="1">IFERROR(__xludf.DUMMYFUNCTION("""COMPUTED_VALUE"""),"Dr, Jesús Miguel Iniesta Turpín")</f>
        <v>Dr, Jesús Miguel Iniesta Turpín</v>
      </c>
      <c r="P1029" s="33" t="str">
        <f ca="1">IFERROR(__xludf.DUMMYFUNCTION("""COMPUTED_VALUE"""),"Iván Sánchez (Levante Y Albacete)")</f>
        <v>Iván Sánchez (Levante Y Albacete)</v>
      </c>
    </row>
    <row r="1030" spans="2:16">
      <c r="B1030" s="33">
        <f ca="1">IFERROR(__xludf.DUMMYFUNCTION("""COMPUTED_VALUE"""),2025)</f>
        <v>2025</v>
      </c>
      <c r="C1030" s="33">
        <f ca="1">IFERROR(__xludf.DUMMYFUNCTION("""COMPUTED_VALUE"""),7)</f>
        <v>7</v>
      </c>
      <c r="D1030" s="33" t="str">
        <f ca="1">IFERROR(__xludf.DUMMYFUNCTION("""COMPUTED_VALUE"""),"NO")</f>
        <v>NO</v>
      </c>
      <c r="E1030" s="33" t="str">
        <f ca="1">IFERROR(__xludf.DUMMYFUNCTION("""COMPUTED_VALUE"""),"Orihuela")</f>
        <v>Orihuela</v>
      </c>
      <c r="F1030" s="57">
        <f ca="1">IFERROR(__xludf.DUMMYFUNCTION("""COMPUTED_VALUE"""),45869)</f>
        <v>45869</v>
      </c>
      <c r="G1030" s="57">
        <f ca="1">IFERROR(__xludf.DUMMYFUNCTION("""COMPUTED_VALUE"""),45840)</f>
        <v>45840</v>
      </c>
      <c r="H1030" s="33" t="str">
        <f ca="1">IFERROR(__xludf.DUMMYFUNCTION("""COMPUTED_VALUE"""),"La Zenia")</f>
        <v>La Zenia</v>
      </c>
      <c r="I1030" s="33" t="str">
        <f ca="1">IFERROR(__xludf.DUMMYFUNCTION("""COMPUTED_VALUE"""),"C20257219284198")</f>
        <v>C20257219284198</v>
      </c>
      <c r="J1030" s="33" t="str">
        <f ca="1">IFERROR(__xludf.DUMMYFUNCTION("""COMPUTED_VALUE"""),"PAUL TERENCE VICKERS")</f>
        <v>PAUL TERENCE VICKERS</v>
      </c>
      <c r="K1030" s="33">
        <f ca="1">IFERROR(__xludf.DUMMYFUNCTION("""COMPUTED_VALUE"""),1)</f>
        <v>1</v>
      </c>
      <c r="L1030" s="203">
        <f ca="1">IFERROR(__xludf.DUMMYFUNCTION("""COMPUTED_VALUE"""),2481.82)</f>
        <v>2481.8200000000002</v>
      </c>
      <c r="M1030" s="33" t="str">
        <f ca="1">IFERROR(__xludf.DUMMYFUNCTION("""COMPUTED_VALUE"""),"03 ORL")</f>
        <v>03 ORL</v>
      </c>
      <c r="N1030" s="33" t="str">
        <f ca="1">IFERROR(__xludf.DUMMYFUNCTION("""COMPUTED_VALUE"""),"06 ORL")</f>
        <v>06 ORL</v>
      </c>
      <c r="O1030" s="33" t="str">
        <f ca="1">IFERROR(__xludf.DUMMYFUNCTION("""COMPUTED_VALUE"""),"Dra, María Agustina Sevilla García")</f>
        <v>Dra, María Agustina Sevilla García</v>
      </c>
      <c r="P1030" s="33" t="str">
        <f ca="1">IFERROR(__xludf.DUMMYFUNCTION("""COMPUTED_VALUE"""),"Iván Sánchez (Levante Y Albacete)")</f>
        <v>Iván Sánchez (Levante Y Albacete)</v>
      </c>
    </row>
    <row r="1031" spans="2:16">
      <c r="B1031" s="33">
        <f ca="1">IFERROR(__xludf.DUMMYFUNCTION("""COMPUTED_VALUE"""),2025)</f>
        <v>2025</v>
      </c>
      <c r="C1031" s="33">
        <f ca="1">IFERROR(__xludf.DUMMYFUNCTION("""COMPUTED_VALUE"""),7)</f>
        <v>7</v>
      </c>
      <c r="D1031" s="33" t="str">
        <f ca="1">IFERROR(__xludf.DUMMYFUNCTION("""COMPUTED_VALUE"""),"NO")</f>
        <v>NO</v>
      </c>
      <c r="E1031" s="33" t="str">
        <f ca="1">IFERROR(__xludf.DUMMYFUNCTION("""COMPUTED_VALUE"""),"Ourense")</f>
        <v>Ourense</v>
      </c>
      <c r="F1031" s="57">
        <f ca="1">IFERROR(__xludf.DUMMYFUNCTION("""COMPUTED_VALUE"""),45868)</f>
        <v>45868</v>
      </c>
      <c r="G1031" s="57">
        <f ca="1">IFERROR(__xludf.DUMMYFUNCTION("""COMPUTED_VALUE"""),45824)</f>
        <v>45824</v>
      </c>
      <c r="H1031" s="33" t="str">
        <f ca="1">IFERROR(__xludf.DUMMYFUNCTION("""COMPUTED_VALUE"""),"Orense")</f>
        <v>Orense</v>
      </c>
      <c r="I1031" s="33" t="str">
        <f ca="1">IFERROR(__xludf.DUMMYFUNCTION("""COMPUTED_VALUE"""),"C2025618104417651")</f>
        <v>C2025618104417651</v>
      </c>
      <c r="J1031" s="33" t="str">
        <f ca="1">IFERROR(__xludf.DUMMYFUNCTION("""COMPUTED_VALUE"""),"JOSE ALVAREZ SALGADO")</f>
        <v>JOSE ALVAREZ SALGADO</v>
      </c>
      <c r="K1031" s="33">
        <f ca="1">IFERROR(__xludf.DUMMYFUNCTION("""COMPUTED_VALUE"""),2)</f>
        <v>2</v>
      </c>
      <c r="L1031" s="203">
        <f ca="1">IFERROR(__xludf.DUMMYFUNCTION("""COMPUTED_VALUE"""),3272.73)</f>
        <v>3272.73</v>
      </c>
      <c r="M1031" s="33" t="str">
        <f ca="1">IFERROR(__xludf.DUMMYFUNCTION("""COMPUTED_VALUE"""),"03 ORL")</f>
        <v>03 ORL</v>
      </c>
      <c r="N1031" s="33" t="str">
        <f ca="1">IFERROR(__xludf.DUMMYFUNCTION("""COMPUTED_VALUE"""),"06 ORL")</f>
        <v>06 ORL</v>
      </c>
      <c r="O1031" s="33" t="str">
        <f ca="1">IFERROR(__xludf.DUMMYFUNCTION("""COMPUTED_VALUE"""),"Dra, Blanca Marly de Alós")</f>
        <v>Dra, Blanca Marly de Alós</v>
      </c>
      <c r="P1031" s="33" t="str">
        <f ca="1">IFERROR(__xludf.DUMMYFUNCTION("""COMPUTED_VALUE"""),"Roberto Pereira (Galicia)")</f>
        <v>Roberto Pereira (Galicia)</v>
      </c>
    </row>
    <row r="1032" spans="2:16">
      <c r="B1032" s="33">
        <f ca="1">IFERROR(__xludf.DUMMYFUNCTION("""COMPUTED_VALUE"""),2025)</f>
        <v>2025</v>
      </c>
      <c r="C1032" s="33">
        <f ca="1">IFERROR(__xludf.DUMMYFUNCTION("""COMPUTED_VALUE"""),7)</f>
        <v>7</v>
      </c>
      <c r="D1032" s="33" t="str">
        <f ca="1">IFERROR(__xludf.DUMMYFUNCTION("""COMPUTED_VALUE"""),"NO")</f>
        <v>NO</v>
      </c>
      <c r="E1032" s="33" t="str">
        <f ca="1">IFERROR(__xludf.DUMMYFUNCTION("""COMPUTED_VALUE"""),"San Javier")</f>
        <v>San Javier</v>
      </c>
      <c r="F1032" s="57">
        <f ca="1">IFERROR(__xludf.DUMMYFUNCTION("""COMPUTED_VALUE"""),45868)</f>
        <v>45868</v>
      </c>
      <c r="G1032" s="57">
        <f ca="1">IFERROR(__xludf.DUMMYFUNCTION("""COMPUTED_VALUE"""),45832)</f>
        <v>45832</v>
      </c>
      <c r="H1032" s="33" t="str">
        <f ca="1">IFERROR(__xludf.DUMMYFUNCTION("""COMPUTED_VALUE"""),"San Javier")</f>
        <v>San Javier</v>
      </c>
      <c r="I1032" s="33" t="str">
        <f ca="1">IFERROR(__xludf.DUMMYFUNCTION("""COMPUTED_VALUE"""),"C2025711204388")</f>
        <v>C2025711204388</v>
      </c>
      <c r="J1032" s="33" t="str">
        <f ca="1">IFERROR(__xludf.DUMMYFUNCTION("""COMPUTED_VALUE"""),"CHRISTINE CLARK")</f>
        <v>CHRISTINE CLARK</v>
      </c>
      <c r="K1032" s="33">
        <f ca="1">IFERROR(__xludf.DUMMYFUNCTION("""COMPUTED_VALUE"""),2)</f>
        <v>2</v>
      </c>
      <c r="L1032" s="203">
        <f ca="1">IFERROR(__xludf.DUMMYFUNCTION("""COMPUTED_VALUE"""),3730)</f>
        <v>3730</v>
      </c>
      <c r="M1032" s="33" t="str">
        <f ca="1">IFERROR(__xludf.DUMMYFUNCTION("""COMPUTED_VALUE"""),"03 ORL")</f>
        <v>03 ORL</v>
      </c>
      <c r="N1032" s="33" t="str">
        <f ca="1">IFERROR(__xludf.DUMMYFUNCTION("""COMPUTED_VALUE"""),"06 ORL")</f>
        <v>06 ORL</v>
      </c>
      <c r="O1032" s="33" t="str">
        <f ca="1">IFERROR(__xludf.DUMMYFUNCTION("""COMPUTED_VALUE"""),"Dr, Alberto Raposo Jiménez")</f>
        <v>Dr, Alberto Raposo Jiménez</v>
      </c>
      <c r="P1032" s="33" t="str">
        <f ca="1">IFERROR(__xludf.DUMMYFUNCTION("""COMPUTED_VALUE"""),"Iván Sánchez (Levante Y Albacete)")</f>
        <v>Iván Sánchez (Levante Y Albacete)</v>
      </c>
    </row>
    <row r="1033" spans="2:16">
      <c r="B1033" s="33">
        <f ca="1">IFERROR(__xludf.DUMMYFUNCTION("""COMPUTED_VALUE"""),2025)</f>
        <v>2025</v>
      </c>
      <c r="C1033" s="33">
        <f ca="1">IFERROR(__xludf.DUMMYFUNCTION("""COMPUTED_VALUE"""),7)</f>
        <v>7</v>
      </c>
      <c r="D1033" s="33" t="str">
        <f ca="1">IFERROR(__xludf.DUMMYFUNCTION("""COMPUTED_VALUE"""),"NO")</f>
        <v>NO</v>
      </c>
      <c r="E1033" s="33" t="str">
        <f ca="1">IFERROR(__xludf.DUMMYFUNCTION("""COMPUTED_VALUE"""),"Santiago de Compostela")</f>
        <v>Santiago de Compostela</v>
      </c>
      <c r="F1033" s="57">
        <f ca="1">IFERROR(__xludf.DUMMYFUNCTION("""COMPUTED_VALUE"""),45867)</f>
        <v>45867</v>
      </c>
      <c r="G1033" s="57">
        <f ca="1">IFERROR(__xludf.DUMMYFUNCTION("""COMPUTED_VALUE"""),45847)</f>
        <v>45847</v>
      </c>
      <c r="H1033" s="33" t="str">
        <f ca="1">IFERROR(__xludf.DUMMYFUNCTION("""COMPUTED_VALUE"""),"Santiago")</f>
        <v>Santiago</v>
      </c>
      <c r="I1033" s="33" t="str">
        <f ca="1">IFERROR(__xludf.DUMMYFUNCTION("""COMPUTED_VALUE"""),"C2025710174318408")</f>
        <v>C2025710174318408</v>
      </c>
      <c r="J1033" s="33" t="str">
        <f ca="1">IFERROR(__xludf.DUMMYFUNCTION("""COMPUTED_VALUE"""),"LAURA GÓMEZ ROO")</f>
        <v>LAURA GÓMEZ ROO</v>
      </c>
      <c r="K1033" s="33">
        <f ca="1">IFERROR(__xludf.DUMMYFUNCTION("""COMPUTED_VALUE"""),2)</f>
        <v>2</v>
      </c>
      <c r="L1033" s="203">
        <f ca="1">IFERROR(__xludf.DUMMYFUNCTION("""COMPUTED_VALUE"""),2718.18)</f>
        <v>2718.18</v>
      </c>
      <c r="M1033" s="33" t="str">
        <f ca="1">IFERROR(__xludf.DUMMYFUNCTION("""COMPUTED_VALUE"""),"03 ORL")</f>
        <v>03 ORL</v>
      </c>
      <c r="N1033" s="33" t="str">
        <f ca="1">IFERROR(__xludf.DUMMYFUNCTION("""COMPUTED_VALUE"""),"06 ORL")</f>
        <v>06 ORL</v>
      </c>
      <c r="O1033" s="33" t="str">
        <f ca="1">IFERROR(__xludf.DUMMYFUNCTION("""COMPUTED_VALUE"""),"Dra, Isabel Vaamonde Sanchez Andrade")</f>
        <v>Dra, Isabel Vaamonde Sanchez Andrade</v>
      </c>
      <c r="P1033" s="33" t="str">
        <f ca="1">IFERROR(__xludf.DUMMYFUNCTION("""COMPUTED_VALUE"""),"Roberto Pereira (Galicia)")</f>
        <v>Roberto Pereira (Galicia)</v>
      </c>
    </row>
    <row r="1034" spans="2:16">
      <c r="B1034" s="33">
        <f ca="1">IFERROR(__xludf.DUMMYFUNCTION("""COMPUTED_VALUE"""),2025)</f>
        <v>2025</v>
      </c>
      <c r="C1034" s="33">
        <f ca="1">IFERROR(__xludf.DUMMYFUNCTION("""COMPUTED_VALUE"""),7)</f>
        <v>7</v>
      </c>
      <c r="D1034" s="33" t="str">
        <f ca="1">IFERROR(__xludf.DUMMYFUNCTION("""COMPUTED_VALUE"""),"NO")</f>
        <v>NO</v>
      </c>
      <c r="E1034" s="33" t="str">
        <f ca="1">IFERROR(__xludf.DUMMYFUNCTION("""COMPUTED_VALUE"""),"Sevilla- Montoto")</f>
        <v>Sevilla- Montoto</v>
      </c>
      <c r="F1034" s="57">
        <f ca="1">IFERROR(__xludf.DUMMYFUNCTION("""COMPUTED_VALUE"""),45869)</f>
        <v>45869</v>
      </c>
      <c r="G1034" s="57">
        <f ca="1">IFERROR(__xludf.DUMMYFUNCTION("""COMPUTED_VALUE"""),45812)</f>
        <v>45812</v>
      </c>
      <c r="H1034" s="33" t="str">
        <f ca="1">IFERROR(__xludf.DUMMYFUNCTION("""COMPUTED_VALUE"""),"Montoto")</f>
        <v>Montoto</v>
      </c>
      <c r="I1034" s="33" t="str">
        <f ca="1">IFERROR(__xludf.DUMMYFUNCTION("""COMPUTED_VALUE"""),"C2025610114053735")</f>
        <v>C2025610114053735</v>
      </c>
      <c r="J1034" s="33" t="str">
        <f ca="1">IFERROR(__xludf.DUMMYFUNCTION("""COMPUTED_VALUE"""),"ALEJANDRO MONTES BELLIDO")</f>
        <v>ALEJANDRO MONTES BELLIDO</v>
      </c>
      <c r="K1034" s="33">
        <f ca="1">IFERROR(__xludf.DUMMYFUNCTION("""COMPUTED_VALUE"""),1)</f>
        <v>1</v>
      </c>
      <c r="L1034" s="203">
        <f ca="1">IFERROR(__xludf.DUMMYFUNCTION("""COMPUTED_VALUE"""),2180.91)</f>
        <v>2180.91</v>
      </c>
      <c r="M1034" s="33" t="str">
        <f ca="1">IFERROR(__xludf.DUMMYFUNCTION("""COMPUTED_VALUE"""),"03 ORL")</f>
        <v>03 ORL</v>
      </c>
      <c r="N1034" s="33" t="str">
        <f ca="1">IFERROR(__xludf.DUMMYFUNCTION("""COMPUTED_VALUE"""),"06 ORL")</f>
        <v>06 ORL</v>
      </c>
      <c r="O1034" s="33" t="str">
        <f ca="1">IFERROR(__xludf.DUMMYFUNCTION("""COMPUTED_VALUE"""),"Dr, Francisco López Navas")</f>
        <v>Dr, Francisco López Navas</v>
      </c>
      <c r="P1034" s="33" t="str">
        <f ca="1">IFERROR(__xludf.DUMMYFUNCTION("""COMPUTED_VALUE"""),"Luis Alberto Rodríguez (Andalucía y Badajoz)")</f>
        <v>Luis Alberto Rodríguez (Andalucía y Badajoz)</v>
      </c>
    </row>
    <row r="1035" spans="2:16">
      <c r="B1035" s="33">
        <f ca="1">IFERROR(__xludf.DUMMYFUNCTION("""COMPUTED_VALUE"""),2025)</f>
        <v>2025</v>
      </c>
      <c r="C1035" s="33">
        <f ca="1">IFERROR(__xludf.DUMMYFUNCTION("""COMPUTED_VALUE"""),7)</f>
        <v>7</v>
      </c>
      <c r="D1035" s="33" t="str">
        <f ca="1">IFERROR(__xludf.DUMMYFUNCTION("""COMPUTED_VALUE"""),"NO")</f>
        <v>NO</v>
      </c>
      <c r="E1035" s="33" t="str">
        <f ca="1">IFERROR(__xludf.DUMMYFUNCTION("""COMPUTED_VALUE"""),"Valencia- Cádiz")</f>
        <v>Valencia- Cádiz</v>
      </c>
      <c r="F1035" s="57">
        <f ca="1">IFERROR(__xludf.DUMMYFUNCTION("""COMPUTED_VALUE"""),45866)</f>
        <v>45866</v>
      </c>
      <c r="G1035" s="57">
        <f ca="1">IFERROR(__xludf.DUMMYFUNCTION("""COMPUTED_VALUE"""),45789)</f>
        <v>45789</v>
      </c>
      <c r="H1035" s="33" t="str">
        <f ca="1">IFERROR(__xludf.DUMMYFUNCTION("""COMPUTED_VALUE"""),"Valencia- Cádiz")</f>
        <v>Valencia- Cádiz</v>
      </c>
      <c r="I1035" s="33" t="str">
        <f ca="1">IFERROR(__xludf.DUMMYFUNCTION("""COMPUTED_VALUE"""),"C202551612054133")</f>
        <v>C202551612054133</v>
      </c>
      <c r="J1035" s="33" t="str">
        <f ca="1">IFERROR(__xludf.DUMMYFUNCTION("""COMPUTED_VALUE"""),"JUAN JOSE CAIRE")</f>
        <v>JUAN JOSE CAIRE</v>
      </c>
      <c r="K1035" s="33">
        <f ca="1">IFERROR(__xludf.DUMMYFUNCTION("""COMPUTED_VALUE"""),2)</f>
        <v>2</v>
      </c>
      <c r="L1035" s="203">
        <f ca="1">IFERROR(__xludf.DUMMYFUNCTION("""COMPUTED_VALUE"""),4545.45)</f>
        <v>4545.45</v>
      </c>
      <c r="M1035" s="33" t="str">
        <f ca="1">IFERROR(__xludf.DUMMYFUNCTION("""COMPUTED_VALUE"""),"03 ORL")</f>
        <v>03 ORL</v>
      </c>
      <c r="N1035" s="33" t="str">
        <f ca="1">IFERROR(__xludf.DUMMYFUNCTION("""COMPUTED_VALUE"""),"06 ORL")</f>
        <v>06 ORL</v>
      </c>
      <c r="O1035" s="33" t="str">
        <f ca="1">IFERROR(__xludf.DUMMYFUNCTION("""COMPUTED_VALUE"""),"Dr, Ángel Ángel de Miguel")</f>
        <v>Dr, Ángel Ángel de Miguel</v>
      </c>
      <c r="P1035" s="33" t="str">
        <f ca="1">IFERROR(__xludf.DUMMYFUNCTION("""COMPUTED_VALUE"""),"Ramon Ferrando(Valencia)")</f>
        <v>Ramon Ferrando(Valencia)</v>
      </c>
    </row>
    <row r="1036" spans="2:16">
      <c r="B1036" s="33">
        <f ca="1">IFERROR(__xludf.DUMMYFUNCTION("""COMPUTED_VALUE"""),2025)</f>
        <v>2025</v>
      </c>
      <c r="C1036" s="33">
        <f ca="1">IFERROR(__xludf.DUMMYFUNCTION("""COMPUTED_VALUE"""),7)</f>
        <v>7</v>
      </c>
      <c r="D1036" s="33" t="str">
        <f ca="1">IFERROR(__xludf.DUMMYFUNCTION("""COMPUTED_VALUE"""),"NO")</f>
        <v>NO</v>
      </c>
      <c r="E1036" s="33" t="str">
        <f ca="1">IFERROR(__xludf.DUMMYFUNCTION("""COMPUTED_VALUE"""),"Valencia- Cádiz")</f>
        <v>Valencia- Cádiz</v>
      </c>
      <c r="F1036" s="57">
        <f ca="1">IFERROR(__xludf.DUMMYFUNCTION("""COMPUTED_VALUE"""),45866)</f>
        <v>45866</v>
      </c>
      <c r="G1036" s="57">
        <f ca="1">IFERROR(__xludf.DUMMYFUNCTION("""COMPUTED_VALUE"""),45827)</f>
        <v>45827</v>
      </c>
      <c r="H1036" s="33" t="str">
        <f ca="1">IFERROR(__xludf.DUMMYFUNCTION("""COMPUTED_VALUE"""),"Valencia- Cádiz")</f>
        <v>Valencia- Cádiz</v>
      </c>
      <c r="I1036" s="33" t="str">
        <f ca="1">IFERROR(__xludf.DUMMYFUNCTION("""COMPUTED_VALUE"""),"C202565174717215")</f>
        <v>C202565174717215</v>
      </c>
      <c r="J1036" s="33" t="str">
        <f ca="1">IFERROR(__xludf.DUMMYFUNCTION("""COMPUTED_VALUE"""),"DELIA GARCIA MARTINEZ")</f>
        <v>DELIA GARCIA MARTINEZ</v>
      </c>
      <c r="K1036" s="33">
        <f ca="1">IFERROR(__xludf.DUMMYFUNCTION("""COMPUTED_VALUE"""),2)</f>
        <v>2</v>
      </c>
      <c r="L1036" s="203">
        <f ca="1">IFERROR(__xludf.DUMMYFUNCTION("""COMPUTED_VALUE"""),3800)</f>
        <v>3800</v>
      </c>
      <c r="M1036" s="33" t="str">
        <f ca="1">IFERROR(__xludf.DUMMYFUNCTION("""COMPUTED_VALUE"""),"03 ORL")</f>
        <v>03 ORL</v>
      </c>
      <c r="N1036" s="33" t="str">
        <f ca="1">IFERROR(__xludf.DUMMYFUNCTION("""COMPUTED_VALUE"""),"06 ORL")</f>
        <v>06 ORL</v>
      </c>
      <c r="O1036" s="33" t="str">
        <f ca="1">IFERROR(__xludf.DUMMYFUNCTION("""COMPUTED_VALUE"""),"Dr, Martín Eduardo Marcano Acuña")</f>
        <v>Dr, Martín Eduardo Marcano Acuña</v>
      </c>
      <c r="P1036" s="33" t="str">
        <f ca="1">IFERROR(__xludf.DUMMYFUNCTION("""COMPUTED_VALUE"""),"Ramon Ferrando(Valencia)")</f>
        <v>Ramon Ferrando(Valencia)</v>
      </c>
    </row>
    <row r="1037" spans="2:16">
      <c r="B1037" s="33">
        <f ca="1">IFERROR(__xludf.DUMMYFUNCTION("""COMPUTED_VALUE"""),2025)</f>
        <v>2025</v>
      </c>
      <c r="C1037" s="33">
        <f ca="1">IFERROR(__xludf.DUMMYFUNCTION("""COMPUTED_VALUE"""),7)</f>
        <v>7</v>
      </c>
      <c r="D1037" s="33" t="str">
        <f ca="1">IFERROR(__xludf.DUMMYFUNCTION("""COMPUTED_VALUE"""),"NO")</f>
        <v>NO</v>
      </c>
      <c r="E1037" s="33" t="str">
        <f ca="1">IFERROR(__xludf.DUMMYFUNCTION("""COMPUTED_VALUE"""),"Valencia- Cádiz")</f>
        <v>Valencia- Cádiz</v>
      </c>
      <c r="F1037" s="57">
        <f ca="1">IFERROR(__xludf.DUMMYFUNCTION("""COMPUTED_VALUE"""),45866)</f>
        <v>45866</v>
      </c>
      <c r="G1037" s="57">
        <f ca="1">IFERROR(__xludf.DUMMYFUNCTION("""COMPUTED_VALUE"""),45789)</f>
        <v>45789</v>
      </c>
      <c r="H1037" s="33" t="str">
        <f ca="1">IFERROR(__xludf.DUMMYFUNCTION("""COMPUTED_VALUE"""),"Valencia- Cádiz")</f>
        <v>Valencia- Cádiz</v>
      </c>
      <c r="I1037" s="33" t="str">
        <f ca="1">IFERROR(__xludf.DUMMYFUNCTION("""COMPUTED_VALUE"""),"C2025516115425615")</f>
        <v>C2025516115425615</v>
      </c>
      <c r="J1037" s="33" t="str">
        <f ca="1">IFERROR(__xludf.DUMMYFUNCTION("""COMPUTED_VALUE"""),"GLORIA ZULPA")</f>
        <v>GLORIA ZULPA</v>
      </c>
      <c r="K1037" s="33">
        <f ca="1">IFERROR(__xludf.DUMMYFUNCTION("""COMPUTED_VALUE"""),2)</f>
        <v>2</v>
      </c>
      <c r="L1037" s="203">
        <f ca="1">IFERROR(__xludf.DUMMYFUNCTION("""COMPUTED_VALUE"""),4545.45)</f>
        <v>4545.45</v>
      </c>
      <c r="M1037" s="33" t="str">
        <f ca="1">IFERROR(__xludf.DUMMYFUNCTION("""COMPUTED_VALUE"""),"03 ORL")</f>
        <v>03 ORL</v>
      </c>
      <c r="N1037" s="33" t="str">
        <f ca="1">IFERROR(__xludf.DUMMYFUNCTION("""COMPUTED_VALUE"""),"06 ORL")</f>
        <v>06 ORL</v>
      </c>
      <c r="O1037" s="33" t="str">
        <f ca="1">IFERROR(__xludf.DUMMYFUNCTION("""COMPUTED_VALUE"""),"Dr, Ignacio Llopez Carratalá")</f>
        <v>Dr, Ignacio Llopez Carratalá</v>
      </c>
      <c r="P1037" s="33" t="str">
        <f ca="1">IFERROR(__xludf.DUMMYFUNCTION("""COMPUTED_VALUE"""),"Ramon Ferrando(Valencia)")</f>
        <v>Ramon Ferrando(Valencia)</v>
      </c>
    </row>
    <row r="1038" spans="2:16">
      <c r="B1038" s="33">
        <f ca="1">IFERROR(__xludf.DUMMYFUNCTION("""COMPUTED_VALUE"""),2025)</f>
        <v>2025</v>
      </c>
      <c r="C1038" s="33">
        <f ca="1">IFERROR(__xludf.DUMMYFUNCTION("""COMPUTED_VALUE"""),7)</f>
        <v>7</v>
      </c>
      <c r="D1038" s="33" t="str">
        <f ca="1">IFERROR(__xludf.DUMMYFUNCTION("""COMPUTED_VALUE"""),"NO")</f>
        <v>NO</v>
      </c>
      <c r="E1038" s="33" t="str">
        <f ca="1">IFERROR(__xludf.DUMMYFUNCTION("""COMPUTED_VALUE"""),"Valencia- Cádiz")</f>
        <v>Valencia- Cádiz</v>
      </c>
      <c r="F1038" s="57">
        <f ca="1">IFERROR(__xludf.DUMMYFUNCTION("""COMPUTED_VALUE"""),45866)</f>
        <v>45866</v>
      </c>
      <c r="G1038" s="57">
        <f ca="1">IFERROR(__xludf.DUMMYFUNCTION("""COMPUTED_VALUE"""),45826)</f>
        <v>45826</v>
      </c>
      <c r="H1038" s="33" t="str">
        <f ca="1">IFERROR(__xludf.DUMMYFUNCTION("""COMPUTED_VALUE"""),"Valencia- Cádiz")</f>
        <v>Valencia- Cádiz</v>
      </c>
      <c r="I1038" s="33" t="str">
        <f ca="1">IFERROR(__xludf.DUMMYFUNCTION("""COMPUTED_VALUE"""),"C20256301214587")</f>
        <v>C20256301214587</v>
      </c>
      <c r="J1038" s="33" t="str">
        <f ca="1">IFERROR(__xludf.DUMMYFUNCTION("""COMPUTED_VALUE"""),"JENNY MORALES PEREZ")</f>
        <v>JENNY MORALES PEREZ</v>
      </c>
      <c r="K1038" s="33">
        <f ca="1">IFERROR(__xludf.DUMMYFUNCTION("""COMPUTED_VALUE"""),1)</f>
        <v>1</v>
      </c>
      <c r="L1038" s="203">
        <f ca="1">IFERROR(__xludf.DUMMYFUNCTION("""COMPUTED_VALUE"""),2226.36)</f>
        <v>2226.36</v>
      </c>
      <c r="M1038" s="33" t="str">
        <f ca="1">IFERROR(__xludf.DUMMYFUNCTION("""COMPUTED_VALUE"""),"03 ORL")</f>
        <v>03 ORL</v>
      </c>
      <c r="N1038" s="33" t="str">
        <f ca="1">IFERROR(__xludf.DUMMYFUNCTION("""COMPUTED_VALUE"""),"06 ORL")</f>
        <v>06 ORL</v>
      </c>
      <c r="O1038" s="33" t="str">
        <f ca="1">IFERROR(__xludf.DUMMYFUNCTION("""COMPUTED_VALUE"""),"Dr, Carlos de Paula Vernetta")</f>
        <v>Dr, Carlos de Paula Vernetta</v>
      </c>
      <c r="P1038" s="33" t="str">
        <f ca="1">IFERROR(__xludf.DUMMYFUNCTION("""COMPUTED_VALUE"""),"Ramon Ferrando(Valencia)")</f>
        <v>Ramon Ferrando(Valencia)</v>
      </c>
    </row>
    <row r="1039" spans="2:16">
      <c r="B1039" s="33">
        <f ca="1">IFERROR(__xludf.DUMMYFUNCTION("""COMPUTED_VALUE"""),2025)</f>
        <v>2025</v>
      </c>
      <c r="C1039" s="33">
        <f ca="1">IFERROR(__xludf.DUMMYFUNCTION("""COMPUTED_VALUE"""),7)</f>
        <v>7</v>
      </c>
      <c r="D1039" s="33" t="str">
        <f ca="1">IFERROR(__xludf.DUMMYFUNCTION("""COMPUTED_VALUE"""),"NO")</f>
        <v>NO</v>
      </c>
      <c r="E1039" s="33" t="str">
        <f ca="1">IFERROR(__xludf.DUMMYFUNCTION("""COMPUTED_VALUE"""),"Valencia- Cádiz")</f>
        <v>Valencia- Cádiz</v>
      </c>
      <c r="F1039" s="57">
        <f ca="1">IFERROR(__xludf.DUMMYFUNCTION("""COMPUTED_VALUE"""),45868)</f>
        <v>45868</v>
      </c>
      <c r="G1039" s="57">
        <f ca="1">IFERROR(__xludf.DUMMYFUNCTION("""COMPUTED_VALUE"""),45812)</f>
        <v>45812</v>
      </c>
      <c r="H1039" s="33" t="str">
        <f ca="1">IFERROR(__xludf.DUMMYFUNCTION("""COMPUTED_VALUE"""),"Valencia- Cádiz")</f>
        <v>Valencia- Cádiz</v>
      </c>
      <c r="I1039" s="33" t="str">
        <f ca="1">IFERROR(__xludf.DUMMYFUNCTION("""COMPUTED_VALUE"""),"C2025613123911482")</f>
        <v>C2025613123911482</v>
      </c>
      <c r="J1039" s="33" t="str">
        <f ca="1">IFERROR(__xludf.DUMMYFUNCTION("""COMPUTED_VALUE"""),"JUAN CARLOS PEÑALVER LLORENS")</f>
        <v>JUAN CARLOS PEÑALVER LLORENS</v>
      </c>
      <c r="K1039" s="33">
        <f ca="1">IFERROR(__xludf.DUMMYFUNCTION("""COMPUTED_VALUE"""),1)</f>
        <v>1</v>
      </c>
      <c r="L1039" s="203">
        <f ca="1">IFERROR(__xludf.DUMMYFUNCTION("""COMPUTED_VALUE"""),2481.82)</f>
        <v>2481.8200000000002</v>
      </c>
      <c r="M1039" s="33" t="str">
        <f ca="1">IFERROR(__xludf.DUMMYFUNCTION("""COMPUTED_VALUE"""),"01 MARKETING ON LINE")</f>
        <v>01 MARKETING ON LINE</v>
      </c>
      <c r="N1039" s="33" t="str">
        <f ca="1">IFERROR(__xludf.DUMMYFUNCTION("""COMPUTED_VALUE"""),"04 AUDIFONO,ES")</f>
        <v>04 AUDIFONO,ES</v>
      </c>
      <c r="O1039" s="33" t="str">
        <f ca="1">IFERROR(__xludf.DUMMYFUNCTION("""COMPUTED_VALUE"""),"Dr, Raimon García Chillerón")</f>
        <v>Dr, Raimon García Chillerón</v>
      </c>
      <c r="P1039" s="33" t="str">
        <f ca="1">IFERROR(__xludf.DUMMYFUNCTION("""COMPUTED_VALUE"""),"Ramon Ferrando(Valencia)")</f>
        <v>Ramon Ferrando(Valencia)</v>
      </c>
    </row>
    <row r="1040" spans="2:16">
      <c r="B1040" s="33">
        <f ca="1">IFERROR(__xludf.DUMMYFUNCTION("""COMPUTED_VALUE"""),2025)</f>
        <v>2025</v>
      </c>
      <c r="C1040" s="33">
        <f ca="1">IFERROR(__xludf.DUMMYFUNCTION("""COMPUTED_VALUE"""),7)</f>
        <v>7</v>
      </c>
      <c r="D1040" s="33" t="str">
        <f ca="1">IFERROR(__xludf.DUMMYFUNCTION("""COMPUTED_VALUE"""),"NO")</f>
        <v>NO</v>
      </c>
      <c r="E1040" s="33" t="str">
        <f ca="1">IFERROR(__xludf.DUMMYFUNCTION("""COMPUTED_VALUE"""),"Valencia- Parra")</f>
        <v>Valencia- Parra</v>
      </c>
      <c r="F1040" s="57">
        <f ca="1">IFERROR(__xludf.DUMMYFUNCTION("""COMPUTED_VALUE"""),45869)</f>
        <v>45869</v>
      </c>
      <c r="G1040" s="57">
        <f ca="1">IFERROR(__xludf.DUMMYFUNCTION("""COMPUTED_VALUE"""),45826)</f>
        <v>45826</v>
      </c>
      <c r="H1040" s="33" t="str">
        <f ca="1">IFERROR(__xludf.DUMMYFUNCTION("""COMPUTED_VALUE"""),"Valencia- Parra")</f>
        <v>Valencia- Parra</v>
      </c>
      <c r="I1040" s="33" t="str">
        <f ca="1">IFERROR(__xludf.DUMMYFUNCTION("""COMPUTED_VALUE"""),"C2025627163913242")</f>
        <v>C2025627163913242</v>
      </c>
      <c r="J1040" s="33" t="str">
        <f ca="1">IFERROR(__xludf.DUMMYFUNCTION("""COMPUTED_VALUE"""),"AMPARO GRANCHA MONTOLIO")</f>
        <v>AMPARO GRANCHA MONTOLIO</v>
      </c>
      <c r="K1040" s="33">
        <f ca="1">IFERROR(__xludf.DUMMYFUNCTION("""COMPUTED_VALUE"""),2)</f>
        <v>2</v>
      </c>
      <c r="L1040" s="203">
        <f ca="1">IFERROR(__xludf.DUMMYFUNCTION("""COMPUTED_VALUE"""),4136.36)</f>
        <v>4136.3599999999997</v>
      </c>
      <c r="M1040" s="33" t="str">
        <f ca="1">IFERROR(__xludf.DUMMYFUNCTION("""COMPUTED_VALUE"""),"03 ORL")</f>
        <v>03 ORL</v>
      </c>
      <c r="N1040" s="33" t="str">
        <f ca="1">IFERROR(__xludf.DUMMYFUNCTION("""COMPUTED_VALUE"""),"06 ORL")</f>
        <v>06 ORL</v>
      </c>
      <c r="O1040" s="33" t="str">
        <f ca="1">IFERROR(__xludf.DUMMYFUNCTION("""COMPUTED_VALUE"""),"Dra, Vanesa Pérez Guillén")</f>
        <v>Dra, Vanesa Pérez Guillén</v>
      </c>
      <c r="P1040" s="33" t="str">
        <f ca="1">IFERROR(__xludf.DUMMYFUNCTION("""COMPUTED_VALUE"""),"Ramon Ferrando(Valencia)")</f>
        <v>Ramon Ferrando(Valencia)</v>
      </c>
    </row>
    <row r="1041" spans="2:16">
      <c r="B1041" s="33">
        <f ca="1">IFERROR(__xludf.DUMMYFUNCTION("""COMPUTED_VALUE"""),2025)</f>
        <v>2025</v>
      </c>
      <c r="C1041" s="33">
        <f ca="1">IFERROR(__xludf.DUMMYFUNCTION("""COMPUTED_VALUE"""),7)</f>
        <v>7</v>
      </c>
      <c r="D1041" s="33" t="str">
        <f ca="1">IFERROR(__xludf.DUMMYFUNCTION("""COMPUTED_VALUE"""),"NO")</f>
        <v>NO</v>
      </c>
      <c r="E1041" s="33" t="str">
        <f ca="1">IFERROR(__xludf.DUMMYFUNCTION("""COMPUTED_VALUE"""),"Cáceres")</f>
        <v>Cáceres</v>
      </c>
      <c r="F1041" s="57">
        <f ca="1">IFERROR(__xludf.DUMMYFUNCTION("""COMPUTED_VALUE"""),45866)</f>
        <v>45866</v>
      </c>
      <c r="G1041" s="57">
        <f ca="1">IFERROR(__xludf.DUMMYFUNCTION("""COMPUTED_VALUE"""),45835)</f>
        <v>45835</v>
      </c>
      <c r="H1041" s="33" t="str">
        <f ca="1">IFERROR(__xludf.DUMMYFUNCTION("""COMPUTED_VALUE"""),"Cáceres")</f>
        <v>Cáceres</v>
      </c>
      <c r="I1041" s="33" t="str">
        <f ca="1">IFERROR(__xludf.DUMMYFUNCTION("""COMPUTED_VALUE"""),"CAC-334")</f>
        <v>CAC-334</v>
      </c>
      <c r="J1041" s="33" t="str">
        <f ca="1">IFERROR(__xludf.DUMMYFUNCTION("""COMPUTED_VALUE"""),"GABRIELA LEO CHAVES")</f>
        <v>GABRIELA LEO CHAVES</v>
      </c>
      <c r="K1041" s="33">
        <f ca="1">IFERROR(__xludf.DUMMYFUNCTION("""COMPUTED_VALUE"""),2)</f>
        <v>2</v>
      </c>
      <c r="L1041" s="203">
        <f ca="1">IFERROR(__xludf.DUMMYFUNCTION("""COMPUTED_VALUE"""),3474.54)</f>
        <v>3474.54</v>
      </c>
      <c r="M1041" s="33" t="str">
        <f ca="1">IFERROR(__xludf.DUMMYFUNCTION("""COMPUTED_VALUE"""),"03 ORL")</f>
        <v>03 ORL</v>
      </c>
      <c r="N1041" s="33" t="str">
        <f ca="1">IFERROR(__xludf.DUMMYFUNCTION("""COMPUTED_VALUE"""),"06 ORL")</f>
        <v>06 ORL</v>
      </c>
      <c r="O1041" s="33" t="str">
        <f ca="1">IFERROR(__xludf.DUMMYFUNCTION("""COMPUTED_VALUE"""),"Dr, Javier García Gómez")</f>
        <v>Dr, Javier García Gómez</v>
      </c>
      <c r="P1041" s="33" t="str">
        <f ca="1">IFERROR(__xludf.DUMMYFUNCTION("""COMPUTED_VALUE"""),"Lisandro Russian (Madrid, Cáceres, Toledo, Talavera Y Logroño)")</f>
        <v>Lisandro Russian (Madrid, Cáceres, Toledo, Talavera Y Logroño)</v>
      </c>
    </row>
    <row r="1042" spans="2:16">
      <c r="B1042" s="33">
        <f ca="1">IFERROR(__xludf.DUMMYFUNCTION("""COMPUTED_VALUE"""),2025)</f>
        <v>2025</v>
      </c>
      <c r="C1042" s="33">
        <f ca="1">IFERROR(__xludf.DUMMYFUNCTION("""COMPUTED_VALUE"""),7)</f>
        <v>7</v>
      </c>
      <c r="D1042" s="33" t="str">
        <f ca="1">IFERROR(__xludf.DUMMYFUNCTION("""COMPUTED_VALUE"""),"NO")</f>
        <v>NO</v>
      </c>
      <c r="E1042" s="33" t="str">
        <f ca="1">IFERROR(__xludf.DUMMYFUNCTION("""COMPUTED_VALUE"""),"Salamanca")</f>
        <v>Salamanca</v>
      </c>
      <c r="F1042" s="57">
        <f ca="1">IFERROR(__xludf.DUMMYFUNCTION("""COMPUTED_VALUE"""),45866)</f>
        <v>45866</v>
      </c>
      <c r="G1042" s="57">
        <f ca="1">IFERROR(__xludf.DUMMYFUNCTION("""COMPUTED_VALUE"""),45812)</f>
        <v>45812</v>
      </c>
      <c r="H1042" s="33" t="str">
        <f ca="1">IFERROR(__xludf.DUMMYFUNCTION("""COMPUTED_VALUE"""),"Salamanca")</f>
        <v>Salamanca</v>
      </c>
      <c r="I1042" s="33" t="str">
        <f ca="1">IFERROR(__xludf.DUMMYFUNCTION("""COMPUTED_VALUE"""),"SLM-561")</f>
        <v>SLM-561</v>
      </c>
      <c r="J1042" s="33" t="str">
        <f ca="1">IFERROR(__xludf.DUMMYFUNCTION("""COMPUTED_VALUE"""),"ENRIQUE JESUS PEREZ ROMO")</f>
        <v>ENRIQUE JESUS PEREZ ROMO</v>
      </c>
      <c r="K1042" s="33">
        <f ca="1">IFERROR(__xludf.DUMMYFUNCTION("""COMPUTED_VALUE"""),2)</f>
        <v>2</v>
      </c>
      <c r="L1042" s="203">
        <f ca="1">IFERROR(__xludf.DUMMYFUNCTION("""COMPUTED_VALUE"""),3730)</f>
        <v>3730</v>
      </c>
      <c r="M1042" s="33" t="str">
        <f ca="1">IFERROR(__xludf.DUMMYFUNCTION("""COMPUTED_VALUE"""),"03 ORL")</f>
        <v>03 ORL</v>
      </c>
      <c r="N1042" s="33" t="str">
        <f ca="1">IFERROR(__xludf.DUMMYFUNCTION("""COMPUTED_VALUE"""),"06 ORL")</f>
        <v>06 ORL</v>
      </c>
      <c r="O1042" s="33" t="str">
        <f ca="1">IFERROR(__xludf.DUMMYFUNCTION("""COMPUTED_VALUE"""),"Dr, Juan Carlos Del Pozo De Dios")</f>
        <v>Dr, Juan Carlos Del Pozo De Dios</v>
      </c>
      <c r="P1042" s="33" t="str">
        <f ca="1">IFERROR(__xludf.DUMMYFUNCTION("""COMPUTED_VALUE"""),"Alberto Moreno (Madrid)")</f>
        <v>Alberto Moreno (Madrid)</v>
      </c>
    </row>
    <row r="1043" spans="2:16">
      <c r="B1043" s="33">
        <f ca="1">IFERROR(__xludf.DUMMYFUNCTION("""COMPUTED_VALUE"""),2025)</f>
        <v>2025</v>
      </c>
      <c r="C1043" s="33">
        <f ca="1">IFERROR(__xludf.DUMMYFUNCTION("""COMPUTED_VALUE"""),7)</f>
        <v>7</v>
      </c>
      <c r="D1043" s="33" t="str">
        <f ca="1">IFERROR(__xludf.DUMMYFUNCTION("""COMPUTED_VALUE"""),"NO")</f>
        <v>NO</v>
      </c>
      <c r="E1043" s="33" t="str">
        <f ca="1">IFERROR(__xludf.DUMMYFUNCTION("""COMPUTED_VALUE"""),"Sevilla- Ciencias")</f>
        <v>Sevilla- Ciencias</v>
      </c>
      <c r="F1043" s="57">
        <f ca="1">IFERROR(__xludf.DUMMYFUNCTION("""COMPUTED_VALUE"""),45866)</f>
        <v>45866</v>
      </c>
      <c r="G1043" s="57">
        <f ca="1">IFERROR(__xludf.DUMMYFUNCTION("""COMPUTED_VALUE"""),45848)</f>
        <v>45848</v>
      </c>
      <c r="H1043" s="33" t="str">
        <f ca="1">IFERROR(__xludf.DUMMYFUNCTION("""COMPUTED_VALUE"""),"Sevilla Este")</f>
        <v>Sevilla Este</v>
      </c>
      <c r="I1043" s="33" t="str">
        <f ca="1">IFERROR(__xludf.DUMMYFUNCTION("""COMPUTED_VALUE"""),"SEVE-433")</f>
        <v>SEVE-433</v>
      </c>
      <c r="J1043" s="33" t="str">
        <f ca="1">IFERROR(__xludf.DUMMYFUNCTION("""COMPUTED_VALUE"""),"BENILDE HERNANDEZ MARTIN")</f>
        <v>BENILDE HERNANDEZ MARTIN</v>
      </c>
      <c r="K1043" s="33">
        <f ca="1">IFERROR(__xludf.DUMMYFUNCTION("""COMPUTED_VALUE"""),1)</f>
        <v>1</v>
      </c>
      <c r="L1043" s="203">
        <f ca="1">IFERROR(__xludf.DUMMYFUNCTION("""COMPUTED_VALUE"""),1784.55)</f>
        <v>1784.55</v>
      </c>
      <c r="M1043" s="33" t="str">
        <f ca="1">IFERROR(__xludf.DUMMYFUNCTION("""COMPUTED_VALUE"""),"03 ORL")</f>
        <v>03 ORL</v>
      </c>
      <c r="N1043" s="33" t="str">
        <f ca="1">IFERROR(__xludf.DUMMYFUNCTION("""COMPUTED_VALUE"""),"06 ORL")</f>
        <v>06 ORL</v>
      </c>
      <c r="O1043" s="33" t="str">
        <f ca="1">IFERROR(__xludf.DUMMYFUNCTION("""COMPUTED_VALUE"""),"Dra, Zoila Peña Rodríguez")</f>
        <v>Dra, Zoila Peña Rodríguez</v>
      </c>
      <c r="P1043" s="33" t="str">
        <f ca="1">IFERROR(__xludf.DUMMYFUNCTION("""COMPUTED_VALUE"""),"Luis Alberto Rodríguez (Andalucía Y Badajoz)")</f>
        <v>Luis Alberto Rodríguez (Andalucía Y Badajoz)</v>
      </c>
    </row>
    <row r="1044" spans="2:16">
      <c r="B1044" s="33">
        <f ca="1">IFERROR(__xludf.DUMMYFUNCTION("""COMPUTED_VALUE"""),2025)</f>
        <v>2025</v>
      </c>
      <c r="C1044" s="33">
        <f ca="1">IFERROR(__xludf.DUMMYFUNCTION("""COMPUTED_VALUE"""),7)</f>
        <v>7</v>
      </c>
      <c r="D1044" s="33" t="str">
        <f ca="1">IFERROR(__xludf.DUMMYFUNCTION("""COMPUTED_VALUE"""),"NO")</f>
        <v>NO</v>
      </c>
      <c r="E1044" s="33" t="str">
        <f ca="1">IFERROR(__xludf.DUMMYFUNCTION("""COMPUTED_VALUE"""),"Vigo")</f>
        <v>Vigo</v>
      </c>
      <c r="F1044" s="57">
        <f ca="1">IFERROR(__xludf.DUMMYFUNCTION("""COMPUTED_VALUE"""),45867)</f>
        <v>45867</v>
      </c>
      <c r="G1044" s="57">
        <f ca="1">IFERROR(__xludf.DUMMYFUNCTION("""COMPUTED_VALUE"""),45825)</f>
        <v>45825</v>
      </c>
      <c r="H1044" s="33" t="str">
        <f ca="1">IFERROR(__xludf.DUMMYFUNCTION("""COMPUTED_VALUE"""),"Vigo")</f>
        <v>Vigo</v>
      </c>
      <c r="I1044" s="33" t="str">
        <f ca="1">IFERROR(__xludf.DUMMYFUNCTION("""COMPUTED_VALUE"""),"VIG-585")</f>
        <v>VIG-585</v>
      </c>
      <c r="J1044" s="33" t="str">
        <f ca="1">IFERROR(__xludf.DUMMYFUNCTION("""COMPUTED_VALUE"""),"HERMINIA GARCIA CANEDA")</f>
        <v>HERMINIA GARCIA CANEDA</v>
      </c>
      <c r="K1044" s="33">
        <f ca="1">IFERROR(__xludf.DUMMYFUNCTION("""COMPUTED_VALUE"""),2)</f>
        <v>2</v>
      </c>
      <c r="L1044" s="203">
        <f ca="1">IFERROR(__xludf.DUMMYFUNCTION("""COMPUTED_VALUE"""),3454.55)</f>
        <v>3454.55</v>
      </c>
      <c r="M1044" s="33" t="str">
        <f ca="1">IFERROR(__xludf.DUMMYFUNCTION("""COMPUTED_VALUE"""),"03 ORL")</f>
        <v>03 ORL</v>
      </c>
      <c r="N1044" s="33" t="str">
        <f ca="1">IFERROR(__xludf.DUMMYFUNCTION("""COMPUTED_VALUE"""),"06 ORL")</f>
        <v>06 ORL</v>
      </c>
      <c r="O1044" s="33" t="str">
        <f ca="1">IFERROR(__xludf.DUMMYFUNCTION("""COMPUTED_VALUE"""),"Dra, Isabel Miranda García")</f>
        <v>Dra, Isabel Miranda García</v>
      </c>
      <c r="P1044" s="33" t="str">
        <f ca="1">IFERROR(__xludf.DUMMYFUNCTION("""COMPUTED_VALUE"""),"Roberto Pereira (Galicia)")</f>
        <v>Roberto Pereira (Galicia)</v>
      </c>
    </row>
    <row r="1045" spans="2:16">
      <c r="B1045" s="33">
        <f ca="1">IFERROR(__xludf.DUMMYFUNCTION("""COMPUTED_VALUE"""),2025)</f>
        <v>2025</v>
      </c>
      <c r="C1045" s="33">
        <f ca="1">IFERROR(__xludf.DUMMYFUNCTION("""COMPUTED_VALUE"""),7)</f>
        <v>7</v>
      </c>
      <c r="D1045" s="33" t="str">
        <f ca="1">IFERROR(__xludf.DUMMYFUNCTION("""COMPUTED_VALUE"""),"NO")</f>
        <v>NO</v>
      </c>
      <c r="E1045" s="33" t="str">
        <f ca="1">IFERROR(__xludf.DUMMYFUNCTION("""COMPUTED_VALUE"""),"Cáceres")</f>
        <v>Cáceres</v>
      </c>
      <c r="F1045" s="57">
        <f ca="1">IFERROR(__xludf.DUMMYFUNCTION("""COMPUTED_VALUE"""),45868)</f>
        <v>45868</v>
      </c>
      <c r="G1045" s="57">
        <f ca="1">IFERROR(__xludf.DUMMYFUNCTION("""COMPUTED_VALUE"""),45817)</f>
        <v>45817</v>
      </c>
      <c r="H1045" s="33" t="str">
        <f ca="1">IFERROR(__xludf.DUMMYFUNCTION("""COMPUTED_VALUE"""),"Cáceres")</f>
        <v>Cáceres</v>
      </c>
      <c r="I1045" s="33" t="str">
        <f ca="1">IFERROR(__xludf.DUMMYFUNCTION("""COMPUTED_VALUE"""),"CAC-317")</f>
        <v>CAC-317</v>
      </c>
      <c r="J1045" s="33" t="str">
        <f ca="1">IFERROR(__xludf.DUMMYFUNCTION("""COMPUTED_VALUE"""),"CONCEPCION ANTONIA IBAÑEZ MONTERO")</f>
        <v>CONCEPCION ANTONIA IBAÑEZ MONTERO</v>
      </c>
      <c r="K1045" s="33">
        <f ca="1">IFERROR(__xludf.DUMMYFUNCTION("""COMPUTED_VALUE"""),1)</f>
        <v>1</v>
      </c>
      <c r="L1045" s="203">
        <f ca="1">IFERROR(__xludf.DUMMYFUNCTION("""COMPUTED_VALUE"""),2820)</f>
        <v>2820</v>
      </c>
      <c r="M1045" s="33" t="str">
        <f ca="1">IFERROR(__xludf.DUMMYFUNCTION("""COMPUTED_VALUE"""),"03 ORL")</f>
        <v>03 ORL</v>
      </c>
      <c r="N1045" s="33" t="str">
        <f ca="1">IFERROR(__xludf.DUMMYFUNCTION("""COMPUTED_VALUE"""),"06 ORL")</f>
        <v>06 ORL</v>
      </c>
      <c r="O1045" s="33" t="str">
        <f ca="1">IFERROR(__xludf.DUMMYFUNCTION("""COMPUTED_VALUE"""),"Dra, Marta García Jiménez")</f>
        <v>Dra, Marta García Jiménez</v>
      </c>
      <c r="P1045" s="33" t="str">
        <f ca="1">IFERROR(__xludf.DUMMYFUNCTION("""COMPUTED_VALUE"""),"Lisandro Russian (Madrid, Cáceres, Toledo, Talavera Y Logroño)")</f>
        <v>Lisandro Russian (Madrid, Cáceres, Toledo, Talavera Y Logroño)</v>
      </c>
    </row>
    <row r="1046" spans="2:16">
      <c r="B1046" s="33">
        <f ca="1">IFERROR(__xludf.DUMMYFUNCTION("""COMPUTED_VALUE"""),2025)</f>
        <v>2025</v>
      </c>
      <c r="C1046" s="33">
        <f ca="1">IFERROR(__xludf.DUMMYFUNCTION("""COMPUTED_VALUE"""),7)</f>
        <v>7</v>
      </c>
      <c r="D1046" s="33" t="str">
        <f ca="1">IFERROR(__xludf.DUMMYFUNCTION("""COMPUTED_VALUE"""),"NO")</f>
        <v>NO</v>
      </c>
      <c r="E1046" s="33" t="str">
        <f ca="1">IFERROR(__xludf.DUMMYFUNCTION("""COMPUTED_VALUE"""),"Valladolid")</f>
        <v>Valladolid</v>
      </c>
      <c r="F1046" s="57">
        <f ca="1">IFERROR(__xludf.DUMMYFUNCTION("""COMPUTED_VALUE"""),45868)</f>
        <v>45868</v>
      </c>
      <c r="G1046" s="57">
        <f ca="1">IFERROR(__xludf.DUMMYFUNCTION("""COMPUTED_VALUE"""),45819)</f>
        <v>45819</v>
      </c>
      <c r="H1046" s="33" t="str">
        <f ca="1">IFERROR(__xludf.DUMMYFUNCTION("""COMPUTED_VALUE"""),"Valladolid")</f>
        <v>Valladolid</v>
      </c>
      <c r="I1046" s="33" t="str">
        <f ca="1">IFERROR(__xludf.DUMMYFUNCTION("""COMPUTED_VALUE"""),"VLL-415")</f>
        <v>VLL-415</v>
      </c>
      <c r="J1046" s="33" t="str">
        <f ca="1">IFERROR(__xludf.DUMMYFUNCTION("""COMPUTED_VALUE"""),"CARLOS HERRERO DEL CASTILLO")</f>
        <v>CARLOS HERRERO DEL CASTILLO</v>
      </c>
      <c r="K1046" s="33">
        <f ca="1">IFERROR(__xludf.DUMMYFUNCTION("""COMPUTED_VALUE"""),2)</f>
        <v>2</v>
      </c>
      <c r="L1046" s="203">
        <f ca="1">IFERROR(__xludf.DUMMYFUNCTION("""COMPUTED_VALUE"""),3977.27)</f>
        <v>3977.27</v>
      </c>
      <c r="M1046" s="33" t="str">
        <f ca="1">IFERROR(__xludf.DUMMYFUNCTION("""COMPUTED_VALUE"""),"03 ORL")</f>
        <v>03 ORL</v>
      </c>
      <c r="N1046" s="33" t="str">
        <f ca="1">IFERROR(__xludf.DUMMYFUNCTION("""COMPUTED_VALUE"""),"06 ORL")</f>
        <v>06 ORL</v>
      </c>
      <c r="O1046" s="33" t="str">
        <f ca="1">IFERROR(__xludf.DUMMYFUNCTION("""COMPUTED_VALUE"""),"Dra, Angela Enterría González")</f>
        <v>Dra, Angela Enterría González</v>
      </c>
      <c r="P1046" s="33" t="str">
        <f ca="1">IFERROR(__xludf.DUMMYFUNCTION("""COMPUTED_VALUE"""),"Alberto Moreno (Madrid)")</f>
        <v>Alberto Moreno (Madrid)</v>
      </c>
    </row>
    <row r="1047" spans="2:16">
      <c r="B1047" s="33">
        <f ca="1">IFERROR(__xludf.DUMMYFUNCTION("""COMPUTED_VALUE"""),2025)</f>
        <v>2025</v>
      </c>
      <c r="C1047" s="33">
        <f ca="1">IFERROR(__xludf.DUMMYFUNCTION("""COMPUTED_VALUE"""),7)</f>
        <v>7</v>
      </c>
      <c r="D1047" s="33" t="str">
        <f ca="1">IFERROR(__xludf.DUMMYFUNCTION("""COMPUTED_VALUE"""),"NO")</f>
        <v>NO</v>
      </c>
      <c r="E1047" s="33" t="str">
        <f ca="1">IFERROR(__xludf.DUMMYFUNCTION("""COMPUTED_VALUE"""),"Culleredo")</f>
        <v>Culleredo</v>
      </c>
      <c r="F1047" s="57">
        <f ca="1">IFERROR(__xludf.DUMMYFUNCTION("""COMPUTED_VALUE"""),45869)</f>
        <v>45869</v>
      </c>
      <c r="G1047" s="57">
        <f ca="1">IFERROR(__xludf.DUMMYFUNCTION("""COMPUTED_VALUE"""),45776)</f>
        <v>45776</v>
      </c>
      <c r="H1047" s="33" t="str">
        <f ca="1">IFERROR(__xludf.DUMMYFUNCTION("""COMPUTED_VALUE"""),"Culleredo")</f>
        <v>Culleredo</v>
      </c>
      <c r="I1047" s="33" t="str">
        <f ca="1">IFERROR(__xludf.DUMMYFUNCTION("""COMPUTED_VALUE"""),"CULL-202")</f>
        <v>CULL-202</v>
      </c>
      <c r="J1047" s="33" t="str">
        <f ca="1">IFERROR(__xludf.DUMMYFUNCTION("""COMPUTED_VALUE"""),"ESTHER BLAS RODRIGUEZ")</f>
        <v>ESTHER BLAS RODRIGUEZ</v>
      </c>
      <c r="K1047" s="33">
        <f ca="1">IFERROR(__xludf.DUMMYFUNCTION("""COMPUTED_VALUE"""),1)</f>
        <v>1</v>
      </c>
      <c r="L1047" s="203">
        <f ca="1">IFERROR(__xludf.DUMMYFUNCTION("""COMPUTED_VALUE"""),1727.35)</f>
        <v>1727.35</v>
      </c>
      <c r="M1047" s="33" t="str">
        <f ca="1">IFERROR(__xludf.DUMMYFUNCTION("""COMPUTED_VALUE"""),"03 ORL")</f>
        <v>03 ORL</v>
      </c>
      <c r="N1047" s="33" t="str">
        <f ca="1">IFERROR(__xludf.DUMMYFUNCTION("""COMPUTED_VALUE"""),"06 ORL")</f>
        <v>06 ORL</v>
      </c>
      <c r="O1047" s="33" t="str">
        <f ca="1">IFERROR(__xludf.DUMMYFUNCTION("""COMPUTED_VALUE"""),"Dr, Miguel Mayo Yáñez")</f>
        <v>Dr, Miguel Mayo Yáñez</v>
      </c>
      <c r="P1047" s="33" t="str">
        <f ca="1">IFERROR(__xludf.DUMMYFUNCTION("""COMPUTED_VALUE"""),"Roberto Pereira (Galicia)")</f>
        <v>Roberto Pereira (Galicia)</v>
      </c>
    </row>
    <row r="1048" spans="2:16">
      <c r="B1048" s="33">
        <f ca="1">IFERROR(__xludf.DUMMYFUNCTION("""COMPUTED_VALUE"""),2025)</f>
        <v>2025</v>
      </c>
      <c r="C1048" s="33">
        <f ca="1">IFERROR(__xludf.DUMMYFUNCTION("""COMPUTED_VALUE"""),7)</f>
        <v>7</v>
      </c>
      <c r="D1048" s="33" t="str">
        <f ca="1">IFERROR(__xludf.DUMMYFUNCTION("""COMPUTED_VALUE"""),"NO")</f>
        <v>NO</v>
      </c>
      <c r="E1048" s="33" t="str">
        <f ca="1">IFERROR(__xludf.DUMMYFUNCTION("""COMPUTED_VALUE"""),"Zaragoza- León XIII")</f>
        <v>Zaragoza- León XIII</v>
      </c>
      <c r="F1048" s="57">
        <f ca="1">IFERROR(__xludf.DUMMYFUNCTION("""COMPUTED_VALUE"""),45869)</f>
        <v>45869</v>
      </c>
      <c r="G1048" s="57">
        <f ca="1">IFERROR(__xludf.DUMMYFUNCTION("""COMPUTED_VALUE"""),45820)</f>
        <v>45820</v>
      </c>
      <c r="H1048" s="33" t="str">
        <f ca="1">IFERROR(__xludf.DUMMYFUNCTION("""COMPUTED_VALUE"""),"Zaragoza")</f>
        <v>Zaragoza</v>
      </c>
      <c r="I1048" s="33" t="str">
        <f ca="1">IFERROR(__xludf.DUMMYFUNCTION("""COMPUTED_VALUE"""),"ZRG-655")</f>
        <v>ZRG-655</v>
      </c>
      <c r="J1048" s="33" t="str">
        <f ca="1">IFERROR(__xludf.DUMMYFUNCTION("""COMPUTED_VALUE"""),"SOLEDAD IRUN IRUN")</f>
        <v>SOLEDAD IRUN IRUN</v>
      </c>
      <c r="K1048" s="33">
        <f ca="1">IFERROR(__xludf.DUMMYFUNCTION("""COMPUTED_VALUE"""),2)</f>
        <v>2</v>
      </c>
      <c r="L1048" s="203">
        <f ca="1">IFERROR(__xludf.DUMMYFUNCTION("""COMPUTED_VALUE"""),3800)</f>
        <v>3800</v>
      </c>
      <c r="M1048" s="33" t="str">
        <f ca="1">IFERROR(__xludf.DUMMYFUNCTION("""COMPUTED_VALUE"""),"03 ORL")</f>
        <v>03 ORL</v>
      </c>
      <c r="N1048" s="33" t="str">
        <f ca="1">IFERROR(__xludf.DUMMYFUNCTION("""COMPUTED_VALUE"""),"06 ORL")</f>
        <v>06 ORL</v>
      </c>
      <c r="O1048" s="33" t="str">
        <f ca="1">IFERROR(__xludf.DUMMYFUNCTION("""COMPUTED_VALUE"""),"Dr, Julio Knaster Del Olmo")</f>
        <v>Dr, Julio Knaster Del Olmo</v>
      </c>
      <c r="P1048" s="33" t="str">
        <f ca="1">IFERROR(__xludf.DUMMYFUNCTION("""COMPUTED_VALUE"""),"Lisandro Russian (Madrid, Cáceres, Toledo, Talavera Y Logroño)")</f>
        <v>Lisandro Russian (Madrid, Cáceres, Toledo, Talavera Y Logroño)</v>
      </c>
    </row>
    <row r="1049" spans="2:16">
      <c r="B1049" s="33">
        <f ca="1">IFERROR(__xludf.DUMMYFUNCTION("""COMPUTED_VALUE"""),2025)</f>
        <v>2025</v>
      </c>
      <c r="C1049" s="33">
        <f ca="1">IFERROR(__xludf.DUMMYFUNCTION("""COMPUTED_VALUE"""),8)</f>
        <v>8</v>
      </c>
      <c r="D1049" s="33" t="str">
        <f ca="1">IFERROR(__xludf.DUMMYFUNCTION("""COMPUTED_VALUE"""),"NO")</f>
        <v>NO</v>
      </c>
      <c r="E1049" s="33" t="str">
        <f ca="1">IFERROR(__xludf.DUMMYFUNCTION("""COMPUTED_VALUE"""),"Hospitalet de Llobregat")</f>
        <v>Hospitalet de Llobregat</v>
      </c>
      <c r="F1049" s="57">
        <f ca="1">IFERROR(__xludf.DUMMYFUNCTION("""COMPUTED_VALUE"""),45876)</f>
        <v>45876</v>
      </c>
      <c r="G1049" s="57">
        <f ca="1">IFERROR(__xludf.DUMMYFUNCTION("""COMPUTED_VALUE"""),45824)</f>
        <v>45824</v>
      </c>
      <c r="H1049" s="33" t="str">
        <f ca="1">IFERROR(__xludf.DUMMYFUNCTION("""COMPUTED_VALUE"""),"Hospitalet")</f>
        <v>Hospitalet</v>
      </c>
      <c r="I1049" s="33" t="str">
        <f ca="1">IFERROR(__xludf.DUMMYFUNCTION("""COMPUTED_VALUE"""),"C202587123548790")</f>
        <v>C202587123548790</v>
      </c>
      <c r="J1049" s="33" t="str">
        <f ca="1">IFERROR(__xludf.DUMMYFUNCTION("""COMPUTED_VALUE"""),"Agatona Dimaano")</f>
        <v>Agatona Dimaano</v>
      </c>
      <c r="K1049" s="33">
        <f ca="1">IFERROR(__xludf.DUMMYFUNCTION("""COMPUTED_VALUE"""),2)</f>
        <v>2</v>
      </c>
      <c r="L1049" s="203">
        <f ca="1">IFERROR(__xludf.DUMMYFUNCTION("""COMPUTED_VALUE"""),4136.36)</f>
        <v>4136.3599999999997</v>
      </c>
      <c r="M1049" s="33" t="str">
        <f ca="1">IFERROR(__xludf.DUMMYFUNCTION("""COMPUTED_VALUE"""),"03 ORL")</f>
        <v>03 ORL</v>
      </c>
      <c r="N1049" s="33" t="str">
        <f ca="1">IFERROR(__xludf.DUMMYFUNCTION("""COMPUTED_VALUE"""),"06 ORL")</f>
        <v>06 ORL</v>
      </c>
      <c r="O1049" s="33" t="str">
        <f ca="1">IFERROR(__xludf.DUMMYFUNCTION("""COMPUTED_VALUE"""),"Dr, Joan Remacha Sardà")</f>
        <v>Dr, Joan Remacha Sardà</v>
      </c>
      <c r="P1049" s="33" t="str">
        <f ca="1">IFERROR(__xludf.DUMMYFUNCTION("""COMPUTED_VALUE"""),"Mercè Cabrera (Cataluña Y Baleares)")</f>
        <v>Mercè Cabrera (Cataluña Y Baleares)</v>
      </c>
    </row>
    <row r="1050" spans="2:16">
      <c r="B1050" s="33">
        <f ca="1">IFERROR(__xludf.DUMMYFUNCTION("""COMPUTED_VALUE"""),2025)</f>
        <v>2025</v>
      </c>
      <c r="C1050" s="33">
        <f ca="1">IFERROR(__xludf.DUMMYFUNCTION("""COMPUTED_VALUE"""),8)</f>
        <v>8</v>
      </c>
      <c r="D1050" s="33" t="str">
        <f ca="1">IFERROR(__xludf.DUMMYFUNCTION("""COMPUTED_VALUE"""),"NO")</f>
        <v>NO</v>
      </c>
      <c r="E1050" s="33" t="str">
        <f ca="1">IFERROR(__xludf.DUMMYFUNCTION("""COMPUTED_VALUE"""),"El Albir (Benidorm)")</f>
        <v>El Albir (Benidorm)</v>
      </c>
      <c r="F1050" s="57">
        <f ca="1">IFERROR(__xludf.DUMMYFUNCTION("""COMPUTED_VALUE"""),45898)</f>
        <v>45898</v>
      </c>
      <c r="G1050" s="57">
        <f ca="1">IFERROR(__xludf.DUMMYFUNCTION("""COMPUTED_VALUE"""),45868)</f>
        <v>45868</v>
      </c>
      <c r="H1050" s="33" t="str">
        <f ca="1">IFERROR(__xludf.DUMMYFUNCTION("""COMPUTED_VALUE"""),"El Albir (Benidorm)")</f>
        <v>El Albir (Benidorm)</v>
      </c>
      <c r="I1050" s="33" t="str">
        <f ca="1">IFERROR(__xludf.DUMMYFUNCTION("""COMPUTED_VALUE"""),"C2025731103413485")</f>
        <v>C2025731103413485</v>
      </c>
      <c r="J1050" s="33" t="str">
        <f ca="1">IFERROR(__xludf.DUMMYFUNCTION("""COMPUTED_VALUE"""),"ANDRES  IVARS PASTOR")</f>
        <v>ANDRES  IVARS PASTOR</v>
      </c>
      <c r="K1050" s="33">
        <f ca="1">IFERROR(__xludf.DUMMYFUNCTION("""COMPUTED_VALUE"""),2)</f>
        <v>2</v>
      </c>
      <c r="L1050" s="203">
        <f ca="1">IFERROR(__xludf.DUMMYFUNCTION("""COMPUTED_VALUE"""),3631.82)</f>
        <v>3631.82</v>
      </c>
      <c r="M1050" s="33" t="str">
        <f ca="1">IFERROR(__xludf.DUMMYFUNCTION("""COMPUTED_VALUE"""),"03 ORL")</f>
        <v>03 ORL</v>
      </c>
      <c r="N1050" s="33" t="str">
        <f ca="1">IFERROR(__xludf.DUMMYFUNCTION("""COMPUTED_VALUE"""),"06 ORL")</f>
        <v>06 ORL</v>
      </c>
      <c r="O1050" s="33" t="str">
        <f ca="1">IFERROR(__xludf.DUMMYFUNCTION("""COMPUTED_VALUE"""),"Dr, Daniel Unigarro Londoño")</f>
        <v>Dr, Daniel Unigarro Londoño</v>
      </c>
      <c r="P1050" s="33" t="str">
        <f ca="1">IFERROR(__xludf.DUMMYFUNCTION("""COMPUTED_VALUE"""),"Ramon Ferrando(Valencia)")</f>
        <v>Ramon Ferrando(Valencia)</v>
      </c>
    </row>
    <row r="1051" spans="2:16">
      <c r="B1051" s="33">
        <f ca="1">IFERROR(__xludf.DUMMYFUNCTION("""COMPUTED_VALUE"""),2025)</f>
        <v>2025</v>
      </c>
      <c r="C1051" s="33">
        <f ca="1">IFERROR(__xludf.DUMMYFUNCTION("""COMPUTED_VALUE"""),8)</f>
        <v>8</v>
      </c>
      <c r="D1051" s="33" t="str">
        <f ca="1">IFERROR(__xludf.DUMMYFUNCTION("""COMPUTED_VALUE"""),"NO")</f>
        <v>NO</v>
      </c>
      <c r="E1051" s="33" t="str">
        <f ca="1">IFERROR(__xludf.DUMMYFUNCTION("""COMPUTED_VALUE"""),"Ourense")</f>
        <v>Ourense</v>
      </c>
      <c r="F1051" s="57">
        <f ca="1">IFERROR(__xludf.DUMMYFUNCTION("""COMPUTED_VALUE"""),45889)</f>
        <v>45889</v>
      </c>
      <c r="G1051" s="57">
        <f ca="1">IFERROR(__xludf.DUMMYFUNCTION("""COMPUTED_VALUE"""),45812)</f>
        <v>45812</v>
      </c>
      <c r="H1051" s="33" t="str">
        <f ca="1">IFERROR(__xludf.DUMMYFUNCTION("""COMPUTED_VALUE"""),"Orense")</f>
        <v>Orense</v>
      </c>
      <c r="I1051" s="33" t="str">
        <f ca="1">IFERROR(__xludf.DUMMYFUNCTION("""COMPUTED_VALUE"""),"C202561113133217")</f>
        <v>C202561113133217</v>
      </c>
      <c r="J1051" s="33" t="str">
        <f ca="1">IFERROR(__xludf.DUMMYFUNCTION("""COMPUTED_VALUE"""),"ANTONIA BORRAJO OTERO")</f>
        <v>ANTONIA BORRAJO OTERO</v>
      </c>
      <c r="K1051" s="33">
        <f ca="1">IFERROR(__xludf.DUMMYFUNCTION("""COMPUTED_VALUE"""),2)</f>
        <v>2</v>
      </c>
      <c r="L1051" s="203">
        <f ca="1">IFERROR(__xludf.DUMMYFUNCTION("""COMPUTED_VALUE"""),3536.36)</f>
        <v>3536.36</v>
      </c>
      <c r="M1051" s="33" t="str">
        <f ca="1">IFERROR(__xludf.DUMMYFUNCTION("""COMPUTED_VALUE"""),"03 ORL")</f>
        <v>03 ORL</v>
      </c>
      <c r="N1051" s="33" t="str">
        <f ca="1">IFERROR(__xludf.DUMMYFUNCTION("""COMPUTED_VALUE"""),"06 ORL")</f>
        <v>06 ORL</v>
      </c>
      <c r="O1051" s="33" t="str">
        <f ca="1">IFERROR(__xludf.DUMMYFUNCTION("""COMPUTED_VALUE"""),"Dra, María Rey Marcos")</f>
        <v>Dra, María Rey Marcos</v>
      </c>
      <c r="P1051" s="33" t="str">
        <f ca="1">IFERROR(__xludf.DUMMYFUNCTION("""COMPUTED_VALUE"""),"Roberto Pereira (Galicia)")</f>
        <v>Roberto Pereira (Galicia)</v>
      </c>
    </row>
    <row r="1052" spans="2:16">
      <c r="B1052" s="33">
        <f ca="1">IFERROR(__xludf.DUMMYFUNCTION("""COMPUTED_VALUE"""),2025)</f>
        <v>2025</v>
      </c>
      <c r="C1052" s="33">
        <f ca="1">IFERROR(__xludf.DUMMYFUNCTION("""COMPUTED_VALUE"""),8)</f>
        <v>8</v>
      </c>
      <c r="D1052" s="33" t="str">
        <f ca="1">IFERROR(__xludf.DUMMYFUNCTION("""COMPUTED_VALUE"""),"NO")</f>
        <v>NO</v>
      </c>
      <c r="E1052" s="33" t="str">
        <f ca="1">IFERROR(__xludf.DUMMYFUNCTION("""COMPUTED_VALUE"""),"Vilanova")</f>
        <v>Vilanova</v>
      </c>
      <c r="F1052" s="57">
        <f ca="1">IFERROR(__xludf.DUMMYFUNCTION("""COMPUTED_VALUE"""),45898)</f>
        <v>45898</v>
      </c>
      <c r="G1052" s="57">
        <f ca="1">IFERROR(__xludf.DUMMYFUNCTION("""COMPUTED_VALUE"""),45854)</f>
        <v>45854</v>
      </c>
      <c r="H1052" s="33" t="str">
        <f ca="1">IFERROR(__xludf.DUMMYFUNCTION("""COMPUTED_VALUE"""),"Vilanova")</f>
        <v>Vilanova</v>
      </c>
      <c r="I1052" s="33" t="str">
        <f ca="1">IFERROR(__xludf.DUMMYFUNCTION("""COMPUTED_VALUE"""),"C2025717115851930")</f>
        <v>C2025717115851930</v>
      </c>
      <c r="J1052" s="33" t="str">
        <f ca="1">IFERROR(__xludf.DUMMYFUNCTION("""COMPUTED_VALUE"""),"ANTONIO ENRIQUE LAZARO SORIANO")</f>
        <v>ANTONIO ENRIQUE LAZARO SORIANO</v>
      </c>
      <c r="K1052" s="33">
        <f ca="1">IFERROR(__xludf.DUMMYFUNCTION("""COMPUTED_VALUE"""),2)</f>
        <v>2</v>
      </c>
      <c r="L1052" s="203">
        <f ca="1">IFERROR(__xludf.DUMMYFUNCTION("""COMPUTED_VALUE"""),3971.82)</f>
        <v>3971.82</v>
      </c>
      <c r="M1052" s="33" t="str">
        <f ca="1">IFERROR(__xludf.DUMMYFUNCTION("""COMPUTED_VALUE"""),"03 ORL")</f>
        <v>03 ORL</v>
      </c>
      <c r="N1052" s="33" t="str">
        <f ca="1">IFERROR(__xludf.DUMMYFUNCTION("""COMPUTED_VALUE"""),"06 ORL")</f>
        <v>06 ORL</v>
      </c>
      <c r="O1052" s="33" t="str">
        <f ca="1">IFERROR(__xludf.DUMMYFUNCTION("""COMPUTED_VALUE"""),"Dr, Miguel F, García Wagner")</f>
        <v>Dr, Miguel F, García Wagner</v>
      </c>
      <c r="P1052" s="33" t="str">
        <f ca="1">IFERROR(__xludf.DUMMYFUNCTION("""COMPUTED_VALUE"""),"Mercè Cabrera (Cataluña Y Baleares)")</f>
        <v>Mercè Cabrera (Cataluña Y Baleares)</v>
      </c>
    </row>
    <row r="1053" spans="2:16">
      <c r="B1053" s="33">
        <f ca="1">IFERROR(__xludf.DUMMYFUNCTION("""COMPUTED_VALUE"""),2025)</f>
        <v>2025</v>
      </c>
      <c r="C1053" s="33">
        <f ca="1">IFERROR(__xludf.DUMMYFUNCTION("""COMPUTED_VALUE"""),8)</f>
        <v>8</v>
      </c>
      <c r="D1053" s="33" t="str">
        <f ca="1">IFERROR(__xludf.DUMMYFUNCTION("""COMPUTED_VALUE"""),"NO")</f>
        <v>NO</v>
      </c>
      <c r="E1053" s="33" t="str">
        <f ca="1">IFERROR(__xludf.DUMMYFUNCTION("""COMPUTED_VALUE"""),"Logroño")</f>
        <v>Logroño</v>
      </c>
      <c r="F1053" s="57">
        <f ca="1">IFERROR(__xludf.DUMMYFUNCTION("""COMPUTED_VALUE"""),45894)</f>
        <v>45894</v>
      </c>
      <c r="G1053" s="57">
        <f ca="1">IFERROR(__xludf.DUMMYFUNCTION("""COMPUTED_VALUE"""),45855)</f>
        <v>45855</v>
      </c>
      <c r="H1053" s="33" t="str">
        <f ca="1">IFERROR(__xludf.DUMMYFUNCTION("""COMPUTED_VALUE"""),"Logroño")</f>
        <v>Logroño</v>
      </c>
      <c r="I1053" s="33" t="str">
        <f ca="1">IFERROR(__xludf.DUMMYFUNCTION("""COMPUTED_VALUE"""),"C20257231092199")</f>
        <v>C20257231092199</v>
      </c>
      <c r="J1053" s="33" t="str">
        <f ca="1">IFERROR(__xludf.DUMMYFUNCTION("""COMPUTED_VALUE"""),"AVELINO GARRALOCES BARAHONA")</f>
        <v>AVELINO GARRALOCES BARAHONA</v>
      </c>
      <c r="K1053" s="33">
        <f ca="1">IFERROR(__xludf.DUMMYFUNCTION("""COMPUTED_VALUE"""),2)</f>
        <v>2</v>
      </c>
      <c r="L1053" s="203">
        <f ca="1">IFERROR(__xludf.DUMMYFUNCTION("""COMPUTED_VALUE"""),2718.18)</f>
        <v>2718.18</v>
      </c>
      <c r="M1053" s="33" t="str">
        <f ca="1">IFERROR(__xludf.DUMMYFUNCTION("""COMPUTED_VALUE"""),"03 ORL")</f>
        <v>03 ORL</v>
      </c>
      <c r="N1053" s="33" t="str">
        <f ca="1">IFERROR(__xludf.DUMMYFUNCTION("""COMPUTED_VALUE"""),"06 ORL")</f>
        <v>06 ORL</v>
      </c>
      <c r="O1053" s="33" t="str">
        <f ca="1">IFERROR(__xludf.DUMMYFUNCTION("""COMPUTED_VALUE"""),"Dr, Fernando Salazar Barcelona")</f>
        <v>Dr, Fernando Salazar Barcelona</v>
      </c>
      <c r="P1053" s="33" t="str">
        <f ca="1">IFERROR(__xludf.DUMMYFUNCTION("""COMPUTED_VALUE"""),"Lisandro Russian (Madrid, Cáceres, Toledo, Talavera Y Logroño)")</f>
        <v>Lisandro Russian (Madrid, Cáceres, Toledo, Talavera Y Logroño)</v>
      </c>
    </row>
    <row r="1054" spans="2:16">
      <c r="B1054" s="33">
        <f ca="1">IFERROR(__xludf.DUMMYFUNCTION("""COMPUTED_VALUE"""),2025)</f>
        <v>2025</v>
      </c>
      <c r="C1054" s="33">
        <f ca="1">IFERROR(__xludf.DUMMYFUNCTION("""COMPUTED_VALUE"""),8)</f>
        <v>8</v>
      </c>
      <c r="D1054" s="33" t="str">
        <f ca="1">IFERROR(__xludf.DUMMYFUNCTION("""COMPUTED_VALUE"""),"NO")</f>
        <v>NO</v>
      </c>
      <c r="E1054" s="33" t="str">
        <f ca="1">IFERROR(__xludf.DUMMYFUNCTION("""COMPUTED_VALUE"""),"Murcia")</f>
        <v>Murcia</v>
      </c>
      <c r="F1054" s="57">
        <f ca="1">IFERROR(__xludf.DUMMYFUNCTION("""COMPUTED_VALUE"""),45898)</f>
        <v>45898</v>
      </c>
      <c r="G1054" s="57">
        <f ca="1">IFERROR(__xludf.DUMMYFUNCTION("""COMPUTED_VALUE"""),45853)</f>
        <v>45853</v>
      </c>
      <c r="H1054" s="33" t="str">
        <f ca="1">IFERROR(__xludf.DUMMYFUNCTION("""COMPUTED_VALUE"""),"Murcia")</f>
        <v>Murcia</v>
      </c>
      <c r="I1054" s="33" t="str">
        <f ca="1">IFERROR(__xludf.DUMMYFUNCTION("""COMPUTED_VALUE"""),"C202572418359947")</f>
        <v>C202572418359947</v>
      </c>
      <c r="J1054" s="33" t="str">
        <f ca="1">IFERROR(__xludf.DUMMYFUNCTION("""COMPUTED_VALUE"""),"CARMEN ALICIA GARCES MORENO")</f>
        <v>CARMEN ALICIA GARCES MORENO</v>
      </c>
      <c r="K1054" s="33">
        <f ca="1">IFERROR(__xludf.DUMMYFUNCTION("""COMPUTED_VALUE"""),2)</f>
        <v>2</v>
      </c>
      <c r="L1054" s="203">
        <f ca="1">IFERROR(__xludf.DUMMYFUNCTION("""COMPUTED_VALUE"""),3631.82)</f>
        <v>3631.82</v>
      </c>
      <c r="M1054" s="33" t="str">
        <f ca="1">IFERROR(__xludf.DUMMYFUNCTION("""COMPUTED_VALUE"""),"03 ORL")</f>
        <v>03 ORL</v>
      </c>
      <c r="N1054" s="33" t="str">
        <f ca="1">IFERROR(__xludf.DUMMYFUNCTION("""COMPUTED_VALUE"""),"06 ORL")</f>
        <v>06 ORL</v>
      </c>
      <c r="O1054" s="33" t="str">
        <f ca="1">IFERROR(__xludf.DUMMYFUNCTION("""COMPUTED_VALUE"""),"Dra, Beatriz Rodríguez González Herrero")</f>
        <v>Dra, Beatriz Rodríguez González Herrero</v>
      </c>
      <c r="P1054" s="33" t="str">
        <f ca="1">IFERROR(__xludf.DUMMYFUNCTION("""COMPUTED_VALUE"""),"Iván Sánchez (Levante Y Albacete)")</f>
        <v>Iván Sánchez (Levante Y Albacete)</v>
      </c>
    </row>
    <row r="1055" spans="2:16">
      <c r="B1055" s="33">
        <f ca="1">IFERROR(__xludf.DUMMYFUNCTION("""COMPUTED_VALUE"""),2025)</f>
        <v>2025</v>
      </c>
      <c r="C1055" s="33">
        <f ca="1">IFERROR(__xludf.DUMMYFUNCTION("""COMPUTED_VALUE"""),8)</f>
        <v>8</v>
      </c>
      <c r="D1055" s="33" t="str">
        <f ca="1">IFERROR(__xludf.DUMMYFUNCTION("""COMPUTED_VALUE"""),"NO")</f>
        <v>NO</v>
      </c>
      <c r="E1055" s="33" t="str">
        <f ca="1">IFERROR(__xludf.DUMMYFUNCTION("""COMPUTED_VALUE"""),"Getafe")</f>
        <v>Getafe</v>
      </c>
      <c r="F1055" s="57">
        <f ca="1">IFERROR(__xludf.DUMMYFUNCTION("""COMPUTED_VALUE"""),45887)</f>
        <v>45887</v>
      </c>
      <c r="G1055" s="57">
        <f ca="1">IFERROR(__xludf.DUMMYFUNCTION("""COMPUTED_VALUE"""),45861)</f>
        <v>45861</v>
      </c>
      <c r="H1055" s="33" t="str">
        <f ca="1">IFERROR(__xludf.DUMMYFUNCTION("""COMPUTED_VALUE"""),"Getafe")</f>
        <v>Getafe</v>
      </c>
      <c r="I1055" s="33" t="str">
        <f ca="1">IFERROR(__xludf.DUMMYFUNCTION("""COMPUTED_VALUE"""),"C2025723124347297")</f>
        <v>C2025723124347297</v>
      </c>
      <c r="J1055" s="33" t="str">
        <f ca="1">IFERROR(__xludf.DUMMYFUNCTION("""COMPUTED_VALUE"""),"CARMEN GOMEZ FERNANDEZ")</f>
        <v>CARMEN GOMEZ FERNANDEZ</v>
      </c>
      <c r="K1055" s="33">
        <f ca="1">IFERROR(__xludf.DUMMYFUNCTION("""COMPUTED_VALUE"""),2)</f>
        <v>2</v>
      </c>
      <c r="L1055" s="203">
        <f ca="1">IFERROR(__xludf.DUMMYFUNCTION("""COMPUTED_VALUE"""),2582.27)</f>
        <v>2582.27</v>
      </c>
      <c r="M1055" s="33" t="str">
        <f ca="1">IFERROR(__xludf.DUMMYFUNCTION("""COMPUTED_VALUE"""),"03 ORL")</f>
        <v>03 ORL</v>
      </c>
      <c r="N1055" s="33" t="str">
        <f ca="1">IFERROR(__xludf.DUMMYFUNCTION("""COMPUTED_VALUE"""),"06 ORL")</f>
        <v>06 ORL</v>
      </c>
      <c r="O1055" s="33" t="str">
        <f ca="1">IFERROR(__xludf.DUMMYFUNCTION("""COMPUTED_VALUE"""),"Dra, María Garrote Garrote")</f>
        <v>Dra, María Garrote Garrote</v>
      </c>
      <c r="P1055" s="33" t="str">
        <f ca="1">IFERROR(__xludf.DUMMYFUNCTION("""COMPUTED_VALUE"""),"Maika Blázquez (Madrid)")</f>
        <v>Maika Blázquez (Madrid)</v>
      </c>
    </row>
    <row r="1056" spans="2:16">
      <c r="B1056" s="33">
        <f ca="1">IFERROR(__xludf.DUMMYFUNCTION("""COMPUTED_VALUE"""),2025)</f>
        <v>2025</v>
      </c>
      <c r="C1056" s="33">
        <f ca="1">IFERROR(__xludf.DUMMYFUNCTION("""COMPUTED_VALUE"""),8)</f>
        <v>8</v>
      </c>
      <c r="D1056" s="33" t="str">
        <f ca="1">IFERROR(__xludf.DUMMYFUNCTION("""COMPUTED_VALUE"""),"NO")</f>
        <v>NO</v>
      </c>
      <c r="E1056" s="33" t="str">
        <f ca="1">IFERROR(__xludf.DUMMYFUNCTION("""COMPUTED_VALUE"""),"Leganés")</f>
        <v>Leganés</v>
      </c>
      <c r="F1056" s="57">
        <f ca="1">IFERROR(__xludf.DUMMYFUNCTION("""COMPUTED_VALUE"""),45896)</f>
        <v>45896</v>
      </c>
      <c r="G1056" s="57">
        <f ca="1">IFERROR(__xludf.DUMMYFUNCTION("""COMPUTED_VALUE"""),45828)</f>
        <v>45828</v>
      </c>
      <c r="H1056" s="33" t="str">
        <f ca="1">IFERROR(__xludf.DUMMYFUNCTION("""COMPUTED_VALUE"""),"Leganés")</f>
        <v>Leganés</v>
      </c>
      <c r="I1056" s="33" t="str">
        <f ca="1">IFERROR(__xludf.DUMMYFUNCTION("""COMPUTED_VALUE"""),"C202572122032603")</f>
        <v>C202572122032603</v>
      </c>
      <c r="J1056" s="33" t="str">
        <f ca="1">IFERROR(__xludf.DUMMYFUNCTION("""COMPUTED_VALUE"""),"DIONISIA PATON SIMON")</f>
        <v>DIONISIA PATON SIMON</v>
      </c>
      <c r="K1056" s="33">
        <f ca="1">IFERROR(__xludf.DUMMYFUNCTION("""COMPUTED_VALUE"""),2)</f>
        <v>2</v>
      </c>
      <c r="L1056" s="203">
        <f ca="1">IFERROR(__xludf.DUMMYFUNCTION("""COMPUTED_VALUE"""),2636.36)</f>
        <v>2636.36</v>
      </c>
      <c r="M1056" s="33" t="str">
        <f ca="1">IFERROR(__xludf.DUMMYFUNCTION("""COMPUTED_VALUE"""),"03 ORL")</f>
        <v>03 ORL</v>
      </c>
      <c r="N1056" s="33" t="str">
        <f ca="1">IFERROR(__xludf.DUMMYFUNCTION("""COMPUTED_VALUE"""),"06 ORL")</f>
        <v>06 ORL</v>
      </c>
      <c r="O1056" s="33" t="str">
        <f ca="1">IFERROR(__xludf.DUMMYFUNCTION("""COMPUTED_VALUE"""),"Dra, Inés Pastor Basterra")</f>
        <v>Dra, Inés Pastor Basterra</v>
      </c>
      <c r="P1056" s="33" t="str">
        <f ca="1">IFERROR(__xludf.DUMMYFUNCTION("""COMPUTED_VALUE"""),"Maika Blázquez (Madrid)")</f>
        <v>Maika Blázquez (Madrid)</v>
      </c>
    </row>
    <row r="1057" spans="2:16">
      <c r="B1057" s="33">
        <f ca="1">IFERROR(__xludf.DUMMYFUNCTION("""COMPUTED_VALUE"""),2025)</f>
        <v>2025</v>
      </c>
      <c r="C1057" s="33">
        <f ca="1">IFERROR(__xludf.DUMMYFUNCTION("""COMPUTED_VALUE"""),8)</f>
        <v>8</v>
      </c>
      <c r="D1057" s="33" t="str">
        <f ca="1">IFERROR(__xludf.DUMMYFUNCTION("""COMPUTED_VALUE"""),"NO")</f>
        <v>NO</v>
      </c>
      <c r="E1057" s="33" t="str">
        <f ca="1">IFERROR(__xludf.DUMMYFUNCTION("""COMPUTED_VALUE"""),"Sevilla- Montoto")</f>
        <v>Sevilla- Montoto</v>
      </c>
      <c r="F1057" s="57">
        <f ca="1">IFERROR(__xludf.DUMMYFUNCTION("""COMPUTED_VALUE"""),45874)</f>
        <v>45874</v>
      </c>
      <c r="G1057" s="57">
        <f ca="1">IFERROR(__xludf.DUMMYFUNCTION("""COMPUTED_VALUE"""),45819)</f>
        <v>45819</v>
      </c>
      <c r="H1057" s="33" t="str">
        <f ca="1">IFERROR(__xludf.DUMMYFUNCTION("""COMPUTED_VALUE"""),"Montoto")</f>
        <v>Montoto</v>
      </c>
      <c r="I1057" s="33" t="str">
        <f ca="1">IFERROR(__xludf.DUMMYFUNCTION("""COMPUTED_VALUE"""),"C2025612101314389")</f>
        <v>C2025612101314389</v>
      </c>
      <c r="J1057" s="33" t="str">
        <f ca="1">IFERROR(__xludf.DUMMYFUNCTION("""COMPUTED_VALUE"""),"EDUARDO QUIÑONES ASUERO")</f>
        <v>EDUARDO QUIÑONES ASUERO</v>
      </c>
      <c r="K1057" s="33">
        <f ca="1">IFERROR(__xludf.DUMMYFUNCTION("""COMPUTED_VALUE"""),1)</f>
        <v>1</v>
      </c>
      <c r="L1057" s="203">
        <f ca="1">IFERROR(__xludf.DUMMYFUNCTION("""COMPUTED_VALUE"""),2244.09)</f>
        <v>2244.09</v>
      </c>
      <c r="M1057" s="33" t="str">
        <f ca="1">IFERROR(__xludf.DUMMYFUNCTION("""COMPUTED_VALUE"""),"03 ORL")</f>
        <v>03 ORL</v>
      </c>
      <c r="N1057" s="33" t="str">
        <f ca="1">IFERROR(__xludf.DUMMYFUNCTION("""COMPUTED_VALUE"""),"06 ORL")</f>
        <v>06 ORL</v>
      </c>
      <c r="O1057" s="33" t="str">
        <f ca="1">IFERROR(__xludf.DUMMYFUNCTION("""COMPUTED_VALUE"""),"Dra, Daniela Terán Guamán")</f>
        <v>Dra, Daniela Terán Guamán</v>
      </c>
      <c r="P1057" s="33" t="str">
        <f ca="1">IFERROR(__xludf.DUMMYFUNCTION("""COMPUTED_VALUE"""),"Luis Alberto Rodríguez (Andalucía y Badajoz)")</f>
        <v>Luis Alberto Rodríguez (Andalucía y Badajoz)</v>
      </c>
    </row>
    <row r="1058" spans="2:16">
      <c r="B1058" s="33">
        <f ca="1">IFERROR(__xludf.DUMMYFUNCTION("""COMPUTED_VALUE"""),2025)</f>
        <v>2025</v>
      </c>
      <c r="C1058" s="33">
        <f ca="1">IFERROR(__xludf.DUMMYFUNCTION("""COMPUTED_VALUE"""),8)</f>
        <v>8</v>
      </c>
      <c r="D1058" s="33" t="str">
        <f ca="1">IFERROR(__xludf.DUMMYFUNCTION("""COMPUTED_VALUE"""),"NO")</f>
        <v>NO</v>
      </c>
      <c r="E1058" s="33" t="str">
        <f ca="1">IFERROR(__xludf.DUMMYFUNCTION("""COMPUTED_VALUE"""),"Murcia")</f>
        <v>Murcia</v>
      </c>
      <c r="F1058" s="57">
        <f ca="1">IFERROR(__xludf.DUMMYFUNCTION("""COMPUTED_VALUE"""),45898)</f>
        <v>45898</v>
      </c>
      <c r="G1058" s="57">
        <f ca="1">IFERROR(__xludf.DUMMYFUNCTION("""COMPUTED_VALUE"""),45839)</f>
        <v>45839</v>
      </c>
      <c r="H1058" s="33" t="str">
        <f ca="1">IFERROR(__xludf.DUMMYFUNCTION("""COMPUTED_VALUE"""),"Murcia")</f>
        <v>Murcia</v>
      </c>
      <c r="I1058" s="33" t="str">
        <f ca="1">IFERROR(__xludf.DUMMYFUNCTION("""COMPUTED_VALUE"""),"C2025721155827451")</f>
        <v>C2025721155827451</v>
      </c>
      <c r="J1058" s="33" t="str">
        <f ca="1">IFERROR(__xludf.DUMMYFUNCTION("""COMPUTED_VALUE"""),"ELENA MARTINEZ FERNANDEZ")</f>
        <v>ELENA MARTINEZ FERNANDEZ</v>
      </c>
      <c r="K1058" s="33">
        <f ca="1">IFERROR(__xludf.DUMMYFUNCTION("""COMPUTED_VALUE"""),1)</f>
        <v>1</v>
      </c>
      <c r="L1058" s="203">
        <f ca="1">IFERROR(__xludf.DUMMYFUNCTION("""COMPUTED_VALUE"""),1784.55)</f>
        <v>1784.55</v>
      </c>
      <c r="M1058" s="33" t="str">
        <f ca="1">IFERROR(__xludf.DUMMYFUNCTION("""COMPUTED_VALUE"""),"03 ORL")</f>
        <v>03 ORL</v>
      </c>
      <c r="N1058" s="33" t="str">
        <f ca="1">IFERROR(__xludf.DUMMYFUNCTION("""COMPUTED_VALUE"""),"06 ORL")</f>
        <v>06 ORL</v>
      </c>
      <c r="O1058" s="33" t="str">
        <f ca="1">IFERROR(__xludf.DUMMYFUNCTION("""COMPUTED_VALUE"""),"Dra, María Agustina Sevilla García")</f>
        <v>Dra, María Agustina Sevilla García</v>
      </c>
      <c r="P1058" s="33" t="str">
        <f ca="1">IFERROR(__xludf.DUMMYFUNCTION("""COMPUTED_VALUE"""),"Iván Sánchez (Levante Y Albacete)")</f>
        <v>Iván Sánchez (Levante Y Albacete)</v>
      </c>
    </row>
    <row r="1059" spans="2:16">
      <c r="B1059" s="33">
        <f ca="1">IFERROR(__xludf.DUMMYFUNCTION("""COMPUTED_VALUE"""),2025)</f>
        <v>2025</v>
      </c>
      <c r="C1059" s="33">
        <f ca="1">IFERROR(__xludf.DUMMYFUNCTION("""COMPUTED_VALUE"""),8)</f>
        <v>8</v>
      </c>
      <c r="D1059" s="33" t="str">
        <f ca="1">IFERROR(__xludf.DUMMYFUNCTION("""COMPUTED_VALUE"""),"NO")</f>
        <v>NO</v>
      </c>
      <c r="E1059" s="33" t="str">
        <f ca="1">IFERROR(__xludf.DUMMYFUNCTION("""COMPUTED_VALUE"""),"Madrid- Monforte de Lemos")</f>
        <v>Madrid- Monforte de Lemos</v>
      </c>
      <c r="F1059" s="57">
        <f ca="1">IFERROR(__xludf.DUMMYFUNCTION("""COMPUTED_VALUE"""),45891)</f>
        <v>45891</v>
      </c>
      <c r="G1059" s="57">
        <f ca="1">IFERROR(__xludf.DUMMYFUNCTION("""COMPUTED_VALUE"""),45412)</f>
        <v>45412</v>
      </c>
      <c r="H1059" s="33" t="str">
        <f ca="1">IFERROR(__xludf.DUMMYFUNCTION("""COMPUTED_VALUE"""),"La Vaguada")</f>
        <v>La Vaguada</v>
      </c>
      <c r="I1059" s="33" t="str">
        <f ca="1">IFERROR(__xludf.DUMMYFUNCTION("""COMPUTED_VALUE"""),"VAG-5367")</f>
        <v>VAG-5367</v>
      </c>
      <c r="J1059" s="33" t="str">
        <f ca="1">IFERROR(__xludf.DUMMYFUNCTION("""COMPUTED_VALUE"""),"ENCARNACION MARTINEZ VILARIÑO")</f>
        <v>ENCARNACION MARTINEZ VILARIÑO</v>
      </c>
      <c r="K1059" s="33">
        <f ca="1">IFERROR(__xludf.DUMMYFUNCTION("""COMPUTED_VALUE"""),2)</f>
        <v>2</v>
      </c>
      <c r="L1059" s="203">
        <f ca="1">IFERROR(__xludf.DUMMYFUNCTION("""COMPUTED_VALUE"""),3604.55)</f>
        <v>3604.55</v>
      </c>
      <c r="M1059" s="33" t="str">
        <f ca="1">IFERROR(__xludf.DUMMYFUNCTION("""COMPUTED_VALUE"""),"03 ORL")</f>
        <v>03 ORL</v>
      </c>
      <c r="N1059" s="33" t="str">
        <f ca="1">IFERROR(__xludf.DUMMYFUNCTION("""COMPUTED_VALUE"""),"06 ORL")</f>
        <v>06 ORL</v>
      </c>
      <c r="O1059" s="33" t="str">
        <f ca="1">IFERROR(__xludf.DUMMYFUNCTION("""COMPUTED_VALUE"""),"Dra, María Cecilia Scola Torres")</f>
        <v>Dra, María Cecilia Scola Torres</v>
      </c>
      <c r="P1059" s="33" t="str">
        <f ca="1">IFERROR(__xludf.DUMMYFUNCTION("""COMPUTED_VALUE"""),"Maika Blázquez (Madrid)")</f>
        <v>Maika Blázquez (Madrid)</v>
      </c>
    </row>
    <row r="1060" spans="2:16">
      <c r="B1060" s="33">
        <f ca="1">IFERROR(__xludf.DUMMYFUNCTION("""COMPUTED_VALUE"""),2025)</f>
        <v>2025</v>
      </c>
      <c r="C1060" s="33">
        <f ca="1">IFERROR(__xludf.DUMMYFUNCTION("""COMPUTED_VALUE"""),8)</f>
        <v>8</v>
      </c>
      <c r="D1060" s="33" t="str">
        <f ca="1">IFERROR(__xludf.DUMMYFUNCTION("""COMPUTED_VALUE"""),"NO")</f>
        <v>NO</v>
      </c>
      <c r="E1060" s="33" t="str">
        <f ca="1">IFERROR(__xludf.DUMMYFUNCTION("""COMPUTED_VALUE"""),"Fuenlabrada")</f>
        <v>Fuenlabrada</v>
      </c>
      <c r="F1060" s="57">
        <f ca="1">IFERROR(__xludf.DUMMYFUNCTION("""COMPUTED_VALUE"""),45897)</f>
        <v>45897</v>
      </c>
      <c r="G1060" s="57">
        <f ca="1">IFERROR(__xludf.DUMMYFUNCTION("""COMPUTED_VALUE"""),45867)</f>
        <v>45867</v>
      </c>
      <c r="H1060" s="33" t="str">
        <f ca="1">IFERROR(__xludf.DUMMYFUNCTION("""COMPUTED_VALUE"""),"Fuenlabrada")</f>
        <v>Fuenlabrada</v>
      </c>
      <c r="I1060" s="33" t="str">
        <f ca="1">IFERROR(__xludf.DUMMYFUNCTION("""COMPUTED_VALUE"""),"C2025731103513675")</f>
        <v>C2025731103513675</v>
      </c>
      <c r="J1060" s="33" t="str">
        <f ca="1">IFERROR(__xludf.DUMMYFUNCTION("""COMPUTED_VALUE"""),"FRANCISCO HERNANDEZ BARBERAN")</f>
        <v>FRANCISCO HERNANDEZ BARBERAN</v>
      </c>
      <c r="K1060" s="33">
        <f ca="1">IFERROR(__xludf.DUMMYFUNCTION("""COMPUTED_VALUE"""),1)</f>
        <v>1</v>
      </c>
      <c r="L1060" s="203">
        <f ca="1">IFERROR(__xludf.DUMMYFUNCTION("""COMPUTED_VALUE"""),2162.73)</f>
        <v>2162.73</v>
      </c>
      <c r="M1060" s="33" t="str">
        <f ca="1">IFERROR(__xludf.DUMMYFUNCTION("""COMPUTED_VALUE"""),"03 ORL")</f>
        <v>03 ORL</v>
      </c>
      <c r="N1060" s="33" t="str">
        <f ca="1">IFERROR(__xludf.DUMMYFUNCTION("""COMPUTED_VALUE"""),"22 AUDIOMETRIA CLINICA")</f>
        <v>22 AUDIOMETRIA CLINICA</v>
      </c>
      <c r="O1060" s="33" t="str">
        <f ca="1">IFERROR(__xludf.DUMMYFUNCTION("""COMPUTED_VALUE"""),"Dr, Adolfo Toledano Muñoz")</f>
        <v>Dr, Adolfo Toledano Muñoz</v>
      </c>
      <c r="P1060" s="33" t="str">
        <f ca="1">IFERROR(__xludf.DUMMYFUNCTION("""COMPUTED_VALUE"""),"Maika Blázquez (Madrid)")</f>
        <v>Maika Blázquez (Madrid)</v>
      </c>
    </row>
    <row r="1061" spans="2:16">
      <c r="B1061" s="33">
        <f ca="1">IFERROR(__xludf.DUMMYFUNCTION("""COMPUTED_VALUE"""),2025)</f>
        <v>2025</v>
      </c>
      <c r="C1061" s="33">
        <f ca="1">IFERROR(__xludf.DUMMYFUNCTION("""COMPUTED_VALUE"""),8)</f>
        <v>8</v>
      </c>
      <c r="D1061" s="33" t="str">
        <f ca="1">IFERROR(__xludf.DUMMYFUNCTION("""COMPUTED_VALUE"""),"NO")</f>
        <v>NO</v>
      </c>
      <c r="E1061" s="33" t="str">
        <f ca="1">IFERROR(__xludf.DUMMYFUNCTION("""COMPUTED_VALUE"""),"Ourense")</f>
        <v>Ourense</v>
      </c>
      <c r="F1061" s="57">
        <f ca="1">IFERROR(__xludf.DUMMYFUNCTION("""COMPUTED_VALUE"""),45891)</f>
        <v>45891</v>
      </c>
      <c r="G1061" s="57">
        <f ca="1">IFERROR(__xludf.DUMMYFUNCTION("""COMPUTED_VALUE"""),45782)</f>
        <v>45782</v>
      </c>
      <c r="H1061" s="33" t="str">
        <f ca="1">IFERROR(__xludf.DUMMYFUNCTION("""COMPUTED_VALUE"""),"Orense")</f>
        <v>Orense</v>
      </c>
      <c r="I1061" s="33" t="str">
        <f ca="1">IFERROR(__xludf.DUMMYFUNCTION("""COMPUTED_VALUE"""),"C20255910648971")</f>
        <v>C20255910648971</v>
      </c>
      <c r="J1061" s="33" t="str">
        <f ca="1">IFERROR(__xludf.DUMMYFUNCTION("""COMPUTED_VALUE"""),"GENARO ALVAREZ SALGADO")</f>
        <v>GENARO ALVAREZ SALGADO</v>
      </c>
      <c r="K1061" s="33">
        <f ca="1">IFERROR(__xludf.DUMMYFUNCTION("""COMPUTED_VALUE"""),2)</f>
        <v>2</v>
      </c>
      <c r="L1061" s="203">
        <f ca="1">IFERROR(__xludf.DUMMYFUNCTION("""COMPUTED_VALUE"""),3710)</f>
        <v>3710</v>
      </c>
      <c r="M1061" s="33" t="str">
        <f ca="1">IFERROR(__xludf.DUMMYFUNCTION("""COMPUTED_VALUE"""),"03 ORL")</f>
        <v>03 ORL</v>
      </c>
      <c r="N1061" s="33" t="str">
        <f ca="1">IFERROR(__xludf.DUMMYFUNCTION("""COMPUTED_VALUE"""),"06 ORL")</f>
        <v>06 ORL</v>
      </c>
      <c r="O1061" s="33" t="str">
        <f ca="1">IFERROR(__xludf.DUMMYFUNCTION("""COMPUTED_VALUE"""),"Dra, María Rey Marcos")</f>
        <v>Dra, María Rey Marcos</v>
      </c>
      <c r="P1061" s="33" t="str">
        <f ca="1">IFERROR(__xludf.DUMMYFUNCTION("""COMPUTED_VALUE"""),"Roberto Pereira (Galicia)")</f>
        <v>Roberto Pereira (Galicia)</v>
      </c>
    </row>
    <row r="1062" spans="2:16">
      <c r="B1062" s="33">
        <f ca="1">IFERROR(__xludf.DUMMYFUNCTION("""COMPUTED_VALUE"""),2025)</f>
        <v>2025</v>
      </c>
      <c r="C1062" s="33">
        <f ca="1">IFERROR(__xludf.DUMMYFUNCTION("""COMPUTED_VALUE"""),8)</f>
        <v>8</v>
      </c>
      <c r="D1062" s="33" t="str">
        <f ca="1">IFERROR(__xludf.DUMMYFUNCTION("""COMPUTED_VALUE"""),"NO")</f>
        <v>NO</v>
      </c>
      <c r="E1062" s="33" t="str">
        <f ca="1">IFERROR(__xludf.DUMMYFUNCTION("""COMPUTED_VALUE"""),"Valencia- Parra")</f>
        <v>Valencia- Parra</v>
      </c>
      <c r="F1062" s="57">
        <f ca="1">IFERROR(__xludf.DUMMYFUNCTION("""COMPUTED_VALUE"""),45896)</f>
        <v>45896</v>
      </c>
      <c r="G1062" s="57">
        <f ca="1">IFERROR(__xludf.DUMMYFUNCTION("""COMPUTED_VALUE"""),45852)</f>
        <v>45852</v>
      </c>
      <c r="H1062" s="33" t="str">
        <f ca="1">IFERROR(__xludf.DUMMYFUNCTION("""COMPUTED_VALUE"""),"Valencia- Parra")</f>
        <v>Valencia- Parra</v>
      </c>
      <c r="I1062" s="33" t="str">
        <f ca="1">IFERROR(__xludf.DUMMYFUNCTION("""COMPUTED_VALUE"""),"C2025717173352454")</f>
        <v>C2025717173352454</v>
      </c>
      <c r="J1062" s="33" t="str">
        <f ca="1">IFERROR(__xludf.DUMMYFUNCTION("""COMPUTED_VALUE"""),"JAIME MATEO GARCIA")</f>
        <v>JAIME MATEO GARCIA</v>
      </c>
      <c r="K1062" s="33">
        <f ca="1">IFERROR(__xludf.DUMMYFUNCTION("""COMPUTED_VALUE"""),2)</f>
        <v>2</v>
      </c>
      <c r="L1062" s="203">
        <f ca="1">IFERROR(__xludf.DUMMYFUNCTION("""COMPUTED_VALUE"""),2718.18)</f>
        <v>2718.18</v>
      </c>
      <c r="M1062" s="33" t="str">
        <f ca="1">IFERROR(__xludf.DUMMYFUNCTION("""COMPUTED_VALUE"""),"03 ORL")</f>
        <v>03 ORL</v>
      </c>
      <c r="N1062" s="33" t="str">
        <f ca="1">IFERROR(__xludf.DUMMYFUNCTION("""COMPUTED_VALUE"""),"06 ORL")</f>
        <v>06 ORL</v>
      </c>
      <c r="O1062" s="33" t="str">
        <f ca="1">IFERROR(__xludf.DUMMYFUNCTION("""COMPUTED_VALUE"""),"Dr, Jean Franco Intraprendente Martini")</f>
        <v>Dr, Jean Franco Intraprendente Martini</v>
      </c>
      <c r="P1062" s="33" t="str">
        <f ca="1">IFERROR(__xludf.DUMMYFUNCTION("""COMPUTED_VALUE"""),"Ramon Ferrando(Valencia)")</f>
        <v>Ramon Ferrando(Valencia)</v>
      </c>
    </row>
    <row r="1063" spans="2:16">
      <c r="B1063" s="33">
        <f ca="1">IFERROR(__xludf.DUMMYFUNCTION("""COMPUTED_VALUE"""),2025)</f>
        <v>2025</v>
      </c>
      <c r="C1063" s="33">
        <f ca="1">IFERROR(__xludf.DUMMYFUNCTION("""COMPUTED_VALUE"""),8)</f>
        <v>8</v>
      </c>
      <c r="D1063" s="33" t="str">
        <f ca="1">IFERROR(__xludf.DUMMYFUNCTION("""COMPUTED_VALUE"""),"NO")</f>
        <v>NO</v>
      </c>
      <c r="E1063" s="33" t="str">
        <f ca="1">IFERROR(__xludf.DUMMYFUNCTION("""COMPUTED_VALUE"""),"Madrid- La Oca")</f>
        <v>Madrid- La Oca</v>
      </c>
      <c r="F1063" s="57">
        <f ca="1">IFERROR(__xludf.DUMMYFUNCTION("""COMPUTED_VALUE"""),45897)</f>
        <v>45897</v>
      </c>
      <c r="G1063" s="57">
        <f ca="1">IFERROR(__xludf.DUMMYFUNCTION("""COMPUTED_VALUE"""),45866)</f>
        <v>45866</v>
      </c>
      <c r="H1063" s="33" t="str">
        <f ca="1">IFERROR(__xludf.DUMMYFUNCTION("""COMPUTED_VALUE"""),"La Oca")</f>
        <v>La Oca</v>
      </c>
      <c r="I1063" s="33" t="str">
        <f ca="1">IFERROR(__xludf.DUMMYFUNCTION("""COMPUTED_VALUE"""),"C202572912251122")</f>
        <v>C202572912251122</v>
      </c>
      <c r="J1063" s="33" t="str">
        <f ca="1">IFERROR(__xludf.DUMMYFUNCTION("""COMPUTED_VALUE"""),"JESUS HERNANDEZ BAUTISTA")</f>
        <v>JESUS HERNANDEZ BAUTISTA</v>
      </c>
      <c r="K1063" s="33">
        <f ca="1">IFERROR(__xludf.DUMMYFUNCTION("""COMPUTED_VALUE"""),2)</f>
        <v>2</v>
      </c>
      <c r="L1063" s="203">
        <f ca="1">IFERROR(__xludf.DUMMYFUNCTION("""COMPUTED_VALUE"""),2581.82)</f>
        <v>2581.8200000000002</v>
      </c>
      <c r="M1063" s="33" t="str">
        <f ca="1">IFERROR(__xludf.DUMMYFUNCTION("""COMPUTED_VALUE"""),"03 ORL")</f>
        <v>03 ORL</v>
      </c>
      <c r="N1063" s="33" t="str">
        <f ca="1">IFERROR(__xludf.DUMMYFUNCTION("""COMPUTED_VALUE"""),"06 ORL")</f>
        <v>06 ORL</v>
      </c>
      <c r="O1063" s="33" t="str">
        <f ca="1">IFERROR(__xludf.DUMMYFUNCTION("""COMPUTED_VALUE"""),"Dr, Ignacio Jiménez Huerta")</f>
        <v>Dr, Ignacio Jiménez Huerta</v>
      </c>
      <c r="P1063" s="33" t="str">
        <f ca="1">IFERROR(__xludf.DUMMYFUNCTION("""COMPUTED_VALUE"""),"Maika Blázquez (Madrid)")</f>
        <v>Maika Blázquez (Madrid)</v>
      </c>
    </row>
    <row r="1064" spans="2:16">
      <c r="B1064" s="33">
        <f ca="1">IFERROR(__xludf.DUMMYFUNCTION("""COMPUTED_VALUE"""),2025)</f>
        <v>2025</v>
      </c>
      <c r="C1064" s="33">
        <f ca="1">IFERROR(__xludf.DUMMYFUNCTION("""COMPUTED_VALUE"""),8)</f>
        <v>8</v>
      </c>
      <c r="D1064" s="33" t="str">
        <f ca="1">IFERROR(__xludf.DUMMYFUNCTION("""COMPUTED_VALUE"""),"NO")</f>
        <v>NO</v>
      </c>
      <c r="E1064" s="33" t="str">
        <f ca="1">IFERROR(__xludf.DUMMYFUNCTION("""COMPUTED_VALUE"""),"Santiago de Compostela")</f>
        <v>Santiago de Compostela</v>
      </c>
      <c r="F1064" s="57">
        <f ca="1">IFERROR(__xludf.DUMMYFUNCTION("""COMPUTED_VALUE"""),45890)</f>
        <v>45890</v>
      </c>
      <c r="G1064" s="57">
        <f ca="1">IFERROR(__xludf.DUMMYFUNCTION("""COMPUTED_VALUE"""),45867)</f>
        <v>45867</v>
      </c>
      <c r="H1064" s="33" t="str">
        <f ca="1">IFERROR(__xludf.DUMMYFUNCTION("""COMPUTED_VALUE"""),"Santiago")</f>
        <v>Santiago</v>
      </c>
      <c r="I1064" s="33" t="str">
        <f ca="1">IFERROR(__xludf.DUMMYFUNCTION("""COMPUTED_VALUE"""),"C202573017349274")</f>
        <v>C202573017349274</v>
      </c>
      <c r="J1064" s="33" t="str">
        <f ca="1">IFERROR(__xludf.DUMMYFUNCTION("""COMPUTED_VALUE"""),"JESUS RUA RAMUDO")</f>
        <v>JESUS RUA RAMUDO</v>
      </c>
      <c r="K1064" s="33">
        <f ca="1">IFERROR(__xludf.DUMMYFUNCTION("""COMPUTED_VALUE"""),2)</f>
        <v>2</v>
      </c>
      <c r="L1064" s="203">
        <f ca="1">IFERROR(__xludf.DUMMYFUNCTION("""COMPUTED_VALUE"""),3631.82)</f>
        <v>3631.82</v>
      </c>
      <c r="M1064" s="33" t="str">
        <f ca="1">IFERROR(__xludf.DUMMYFUNCTION("""COMPUTED_VALUE"""),"03 ORL")</f>
        <v>03 ORL</v>
      </c>
      <c r="N1064" s="33" t="str">
        <f ca="1">IFERROR(__xludf.DUMMYFUNCTION("""COMPUTED_VALUE"""),"06 ORL")</f>
        <v>06 ORL</v>
      </c>
      <c r="O1064" s="33" t="str">
        <f ca="1">IFERROR(__xludf.DUMMYFUNCTION("""COMPUTED_VALUE"""),"Dra, Isabel Vaamonde Sanchez Andrade")</f>
        <v>Dra, Isabel Vaamonde Sanchez Andrade</v>
      </c>
      <c r="P1064" s="33" t="str">
        <f ca="1">IFERROR(__xludf.DUMMYFUNCTION("""COMPUTED_VALUE"""),"Roberto Pereira (Galicia)")</f>
        <v>Roberto Pereira (Galicia)</v>
      </c>
    </row>
    <row r="1065" spans="2:16">
      <c r="B1065" s="33">
        <f ca="1">IFERROR(__xludf.DUMMYFUNCTION("""COMPUTED_VALUE"""),2025)</f>
        <v>2025</v>
      </c>
      <c r="C1065" s="33">
        <f ca="1">IFERROR(__xludf.DUMMYFUNCTION("""COMPUTED_VALUE"""),8)</f>
        <v>8</v>
      </c>
      <c r="D1065" s="33" t="str">
        <f ca="1">IFERROR(__xludf.DUMMYFUNCTION("""COMPUTED_VALUE"""),"NO")</f>
        <v>NO</v>
      </c>
      <c r="E1065" s="33" t="str">
        <f ca="1">IFERROR(__xludf.DUMMYFUNCTION("""COMPUTED_VALUE"""),"Jerez de la Frontera")</f>
        <v>Jerez de la Frontera</v>
      </c>
      <c r="F1065" s="57">
        <f ca="1">IFERROR(__xludf.DUMMYFUNCTION("""COMPUTED_VALUE"""),45876)</f>
        <v>45876</v>
      </c>
      <c r="G1065" s="57">
        <f ca="1">IFERROR(__xludf.DUMMYFUNCTION("""COMPUTED_VALUE"""),45835)</f>
        <v>45835</v>
      </c>
      <c r="H1065" s="33" t="str">
        <f ca="1">IFERROR(__xludf.DUMMYFUNCTION("""COMPUTED_VALUE"""),"Jerez")</f>
        <v>Jerez</v>
      </c>
      <c r="I1065" s="33" t="str">
        <f ca="1">IFERROR(__xludf.DUMMYFUNCTION("""COMPUTED_VALUE"""),"C202587124256978")</f>
        <v>C202587124256978</v>
      </c>
      <c r="J1065" s="33" t="str">
        <f ca="1">IFERROR(__xludf.DUMMYFUNCTION("""COMPUTED_VALUE"""),"JOSE ANTONIO  MACIAS FALCON")</f>
        <v>JOSE ANTONIO  MACIAS FALCON</v>
      </c>
      <c r="K1065" s="33">
        <f ca="1">IFERROR(__xludf.DUMMYFUNCTION("""COMPUTED_VALUE"""),2)</f>
        <v>2</v>
      </c>
      <c r="L1065" s="203">
        <f ca="1">IFERROR(__xludf.DUMMYFUNCTION("""COMPUTED_VALUE"""),2636.36)</f>
        <v>2636.36</v>
      </c>
      <c r="M1065" s="33" t="str">
        <f ca="1">IFERROR(__xludf.DUMMYFUNCTION("""COMPUTED_VALUE"""),"03 ORL")</f>
        <v>03 ORL</v>
      </c>
      <c r="N1065" s="33" t="str">
        <f ca="1">IFERROR(__xludf.DUMMYFUNCTION("""COMPUTED_VALUE"""),"06 ORL")</f>
        <v>06 ORL</v>
      </c>
      <c r="O1065" s="33" t="str">
        <f ca="1">IFERROR(__xludf.DUMMYFUNCTION("""COMPUTED_VALUE"""),"Dra, Maria Del Carmen Salom Coveñas")</f>
        <v>Dra, Maria Del Carmen Salom Coveñas</v>
      </c>
      <c r="P1065" s="33" t="str">
        <f ca="1">IFERROR(__xludf.DUMMYFUNCTION("""COMPUTED_VALUE"""),"Luis Alberto Rodríguez (Andalucía y Badajoz)")</f>
        <v>Luis Alberto Rodríguez (Andalucía y Badajoz)</v>
      </c>
    </row>
    <row r="1066" spans="2:16">
      <c r="B1066" s="33">
        <f ca="1">IFERROR(__xludf.DUMMYFUNCTION("""COMPUTED_VALUE"""),2025)</f>
        <v>2025</v>
      </c>
      <c r="C1066" s="33">
        <f ca="1">IFERROR(__xludf.DUMMYFUNCTION("""COMPUTED_VALUE"""),8)</f>
        <v>8</v>
      </c>
      <c r="D1066" s="33" t="str">
        <f ca="1">IFERROR(__xludf.DUMMYFUNCTION("""COMPUTED_VALUE"""),"NO")</f>
        <v>NO</v>
      </c>
      <c r="E1066" s="33" t="str">
        <f ca="1">IFERROR(__xludf.DUMMYFUNCTION("""COMPUTED_VALUE"""),"Madrid- Juan Bravo")</f>
        <v>Madrid- Juan Bravo</v>
      </c>
      <c r="F1066" s="57">
        <f ca="1">IFERROR(__xludf.DUMMYFUNCTION("""COMPUTED_VALUE"""),45887)</f>
        <v>45887</v>
      </c>
      <c r="G1066" s="57">
        <f ca="1">IFERROR(__xludf.DUMMYFUNCTION("""COMPUTED_VALUE"""),45828)</f>
        <v>45828</v>
      </c>
      <c r="H1066" s="33" t="str">
        <f ca="1">IFERROR(__xludf.DUMMYFUNCTION("""COMPUTED_VALUE"""),"Juan Bravo")</f>
        <v>Juan Bravo</v>
      </c>
      <c r="I1066" s="33" t="str">
        <f ca="1">IFERROR(__xludf.DUMMYFUNCTION("""COMPUTED_VALUE"""),"C202572171020276")</f>
        <v>C202572171020276</v>
      </c>
      <c r="J1066" s="33" t="str">
        <f ca="1">IFERROR(__xludf.DUMMYFUNCTION("""COMPUTED_VALUE"""),"JOSEFA BURGOS LAZARO")</f>
        <v>JOSEFA BURGOS LAZARO</v>
      </c>
      <c r="K1066" s="33">
        <f ca="1">IFERROR(__xludf.DUMMYFUNCTION("""COMPUTED_VALUE"""),2)</f>
        <v>2</v>
      </c>
      <c r="L1066" s="203">
        <f ca="1">IFERROR(__xludf.DUMMYFUNCTION("""COMPUTED_VALUE"""),3306.36)</f>
        <v>3306.36</v>
      </c>
      <c r="M1066" s="33" t="str">
        <f ca="1">IFERROR(__xludf.DUMMYFUNCTION("""COMPUTED_VALUE"""),"03 ORL")</f>
        <v>03 ORL</v>
      </c>
      <c r="N1066" s="33" t="str">
        <f ca="1">IFERROR(__xludf.DUMMYFUNCTION("""COMPUTED_VALUE"""),"06 ORL")</f>
        <v>06 ORL</v>
      </c>
      <c r="O1066" s="33" t="str">
        <f ca="1">IFERROR(__xludf.DUMMYFUNCTION("""COMPUTED_VALUE"""),"Dra, Mar Lasso De La Vega Zamora")</f>
        <v>Dra, Mar Lasso De La Vega Zamora</v>
      </c>
      <c r="P1066" s="33" t="str">
        <f ca="1">IFERROR(__xludf.DUMMYFUNCTION("""COMPUTED_VALUE"""),"Maika Blázquez (Madrid)")</f>
        <v>Maika Blázquez (Madrid)</v>
      </c>
    </row>
    <row r="1067" spans="2:16">
      <c r="B1067" s="33">
        <f ca="1">IFERROR(__xludf.DUMMYFUNCTION("""COMPUTED_VALUE"""),2025)</f>
        <v>2025</v>
      </c>
      <c r="C1067" s="33">
        <f ca="1">IFERROR(__xludf.DUMMYFUNCTION("""COMPUTED_VALUE"""),8)</f>
        <v>8</v>
      </c>
      <c r="D1067" s="33" t="str">
        <f ca="1">IFERROR(__xludf.DUMMYFUNCTION("""COMPUTED_VALUE"""),"NO")</f>
        <v>NO</v>
      </c>
      <c r="E1067" s="33" t="str">
        <f ca="1">IFERROR(__xludf.DUMMYFUNCTION("""COMPUTED_VALUE"""),"Logroño")</f>
        <v>Logroño</v>
      </c>
      <c r="F1067" s="57">
        <f ca="1">IFERROR(__xludf.DUMMYFUNCTION("""COMPUTED_VALUE"""),45898)</f>
        <v>45898</v>
      </c>
      <c r="G1067" s="57">
        <f ca="1">IFERROR(__xludf.DUMMYFUNCTION("""COMPUTED_VALUE"""),45807)</f>
        <v>45807</v>
      </c>
      <c r="H1067" s="33" t="str">
        <f ca="1">IFERROR(__xludf.DUMMYFUNCTION("""COMPUTED_VALUE"""),"Logroño")</f>
        <v>Logroño</v>
      </c>
      <c r="I1067" s="33" t="str">
        <f ca="1">IFERROR(__xludf.DUMMYFUNCTION("""COMPUTED_VALUE"""),"C202563114633778")</f>
        <v>C202563114633778</v>
      </c>
      <c r="J1067" s="33" t="str">
        <f ca="1">IFERROR(__xludf.DUMMYFUNCTION("""COMPUTED_VALUE"""),"JUDITH VALLILENGUA NOVOA")</f>
        <v>JUDITH VALLILENGUA NOVOA</v>
      </c>
      <c r="K1067" s="33">
        <f ca="1">IFERROR(__xludf.DUMMYFUNCTION("""COMPUTED_VALUE"""),1)</f>
        <v>1</v>
      </c>
      <c r="L1067" s="203">
        <f ca="1">IFERROR(__xludf.DUMMYFUNCTION("""COMPUTED_VALUE"""),2400)</f>
        <v>2400</v>
      </c>
      <c r="M1067" s="33" t="str">
        <f ca="1">IFERROR(__xludf.DUMMYFUNCTION("""COMPUTED_VALUE"""),"03 ORL")</f>
        <v>03 ORL</v>
      </c>
      <c r="N1067" s="33" t="str">
        <f ca="1">IFERROR(__xludf.DUMMYFUNCTION("""COMPUTED_VALUE"""),"06 ORL")</f>
        <v>06 ORL</v>
      </c>
      <c r="O1067" s="33" t="str">
        <f ca="1">IFERROR(__xludf.DUMMYFUNCTION("""COMPUTED_VALUE"""),"Dr, Garikoitz Calzada Uriondo")</f>
        <v>Dr, Garikoitz Calzada Uriondo</v>
      </c>
      <c r="P1067" s="33" t="str">
        <f ca="1">IFERROR(__xludf.DUMMYFUNCTION("""COMPUTED_VALUE"""),"Lisandro Russian (Madrid, Cáceres, Toledo, Talavera Y Logroño)")</f>
        <v>Lisandro Russian (Madrid, Cáceres, Toledo, Talavera Y Logroño)</v>
      </c>
    </row>
    <row r="1068" spans="2:16">
      <c r="B1068" s="33">
        <f ca="1">IFERROR(__xludf.DUMMYFUNCTION("""COMPUTED_VALUE"""),2025)</f>
        <v>2025</v>
      </c>
      <c r="C1068" s="33">
        <f ca="1">IFERROR(__xludf.DUMMYFUNCTION("""COMPUTED_VALUE"""),8)</f>
        <v>8</v>
      </c>
      <c r="D1068" s="33" t="str">
        <f ca="1">IFERROR(__xludf.DUMMYFUNCTION("""COMPUTED_VALUE"""),"NO")</f>
        <v>NO</v>
      </c>
      <c r="E1068" s="33" t="str">
        <f ca="1">IFERROR(__xludf.DUMMYFUNCTION("""COMPUTED_VALUE"""),"Madrid- Monforte de Lemos")</f>
        <v>Madrid- Monforte de Lemos</v>
      </c>
      <c r="F1068" s="57">
        <f ca="1">IFERROR(__xludf.DUMMYFUNCTION("""COMPUTED_VALUE"""),45889)</f>
        <v>45889</v>
      </c>
      <c r="G1068" s="57">
        <f ca="1">IFERROR(__xludf.DUMMYFUNCTION("""COMPUTED_VALUE"""),45842)</f>
        <v>45842</v>
      </c>
      <c r="H1068" s="33" t="str">
        <f ca="1">IFERROR(__xludf.DUMMYFUNCTION("""COMPUTED_VALUE"""),"La Vaguada")</f>
        <v>La Vaguada</v>
      </c>
      <c r="I1068" s="33" t="str">
        <f ca="1">IFERROR(__xludf.DUMMYFUNCTION("""COMPUTED_VALUE"""),"C2025721163159413")</f>
        <v>C2025721163159413</v>
      </c>
      <c r="J1068" s="33" t="str">
        <f ca="1">IFERROR(__xludf.DUMMYFUNCTION("""COMPUTED_VALUE"""),"LORENZO BARREDO DIEZ")</f>
        <v>LORENZO BARREDO DIEZ</v>
      </c>
      <c r="K1068" s="33">
        <f ca="1">IFERROR(__xludf.DUMMYFUNCTION("""COMPUTED_VALUE"""),2)</f>
        <v>2</v>
      </c>
      <c r="L1068" s="203">
        <f ca="1">IFERROR(__xludf.DUMMYFUNCTION("""COMPUTED_VALUE"""),4000)</f>
        <v>4000</v>
      </c>
      <c r="M1068" s="33" t="str">
        <f ca="1">IFERROR(__xludf.DUMMYFUNCTION("""COMPUTED_VALUE"""),"03 ORL")</f>
        <v>03 ORL</v>
      </c>
      <c r="N1068" s="33" t="str">
        <f ca="1">IFERROR(__xludf.DUMMYFUNCTION("""COMPUTED_VALUE"""),"06 ORL")</f>
        <v>06 ORL</v>
      </c>
      <c r="O1068" s="33" t="str">
        <f ca="1">IFERROR(__xludf.DUMMYFUNCTION("""COMPUTED_VALUE"""),"Dr, Álvaro Sánchez de Arriba")</f>
        <v>Dr, Álvaro Sánchez de Arriba</v>
      </c>
      <c r="P1068" s="33" t="str">
        <f ca="1">IFERROR(__xludf.DUMMYFUNCTION("""COMPUTED_VALUE"""),"Lisandro Russian (Madrid, Cáceres, Toledo, Talavera Y Logroño)")</f>
        <v>Lisandro Russian (Madrid, Cáceres, Toledo, Talavera Y Logroño)</v>
      </c>
    </row>
    <row r="1069" spans="2:16">
      <c r="B1069" s="33">
        <f ca="1">IFERROR(__xludf.DUMMYFUNCTION("""COMPUTED_VALUE"""),2025)</f>
        <v>2025</v>
      </c>
      <c r="C1069" s="33">
        <f ca="1">IFERROR(__xludf.DUMMYFUNCTION("""COMPUTED_VALUE"""),8)</f>
        <v>8</v>
      </c>
      <c r="D1069" s="33" t="str">
        <f ca="1">IFERROR(__xludf.DUMMYFUNCTION("""COMPUTED_VALUE"""),"NO")</f>
        <v>NO</v>
      </c>
      <c r="E1069" s="33" t="str">
        <f ca="1">IFERROR(__xludf.DUMMYFUNCTION("""COMPUTED_VALUE"""),"Lugo")</f>
        <v>Lugo</v>
      </c>
      <c r="F1069" s="57">
        <f ca="1">IFERROR(__xludf.DUMMYFUNCTION("""COMPUTED_VALUE"""),45890)</f>
        <v>45890</v>
      </c>
      <c r="G1069" s="57">
        <f ca="1">IFERROR(__xludf.DUMMYFUNCTION("""COMPUTED_VALUE"""),45853)</f>
        <v>45853</v>
      </c>
      <c r="H1069" s="33" t="str">
        <f ca="1">IFERROR(__xludf.DUMMYFUNCTION("""COMPUTED_VALUE"""),"Lugo")</f>
        <v>Lugo</v>
      </c>
      <c r="I1069" s="33" t="str">
        <f ca="1">IFERROR(__xludf.DUMMYFUNCTION("""COMPUTED_VALUE"""),"C20257179330428")</f>
        <v>C20257179330428</v>
      </c>
      <c r="J1069" s="33" t="str">
        <f ca="1">IFERROR(__xludf.DUMMYFUNCTION("""COMPUTED_VALUE"""),"MANUEL  ALVAREZ BURGUE")</f>
        <v>MANUEL  ALVAREZ BURGUE</v>
      </c>
      <c r="K1069" s="33">
        <f ca="1">IFERROR(__xludf.DUMMYFUNCTION("""COMPUTED_VALUE"""),2)</f>
        <v>2</v>
      </c>
      <c r="L1069" s="203">
        <f ca="1">IFERROR(__xludf.DUMMYFUNCTION("""COMPUTED_VALUE"""),2495.45)</f>
        <v>2495.4499999999998</v>
      </c>
      <c r="M1069" s="33" t="str">
        <f ca="1">IFERROR(__xludf.DUMMYFUNCTION("""COMPUTED_VALUE"""),"03 ORL")</f>
        <v>03 ORL</v>
      </c>
      <c r="N1069" s="33" t="str">
        <f ca="1">IFERROR(__xludf.DUMMYFUNCTION("""COMPUTED_VALUE"""),"06 ORL")</f>
        <v>06 ORL</v>
      </c>
      <c r="O1069" s="33" t="str">
        <f ca="1">IFERROR(__xludf.DUMMYFUNCTION("""COMPUTED_VALUE"""),"Dr, Pedro Juiz López")</f>
        <v>Dr, Pedro Juiz López</v>
      </c>
      <c r="P1069" s="33" t="str">
        <f ca="1">IFERROR(__xludf.DUMMYFUNCTION("""COMPUTED_VALUE"""),"Roberto Pereira (Galicia)")</f>
        <v>Roberto Pereira (Galicia)</v>
      </c>
    </row>
    <row r="1070" spans="2:16">
      <c r="B1070" s="33">
        <f ca="1">IFERROR(__xludf.DUMMYFUNCTION("""COMPUTED_VALUE"""),2025)</f>
        <v>2025</v>
      </c>
      <c r="C1070" s="33">
        <f ca="1">IFERROR(__xludf.DUMMYFUNCTION("""COMPUTED_VALUE"""),8)</f>
        <v>8</v>
      </c>
      <c r="D1070" s="33" t="str">
        <f ca="1">IFERROR(__xludf.DUMMYFUNCTION("""COMPUTED_VALUE"""),"NO")</f>
        <v>NO</v>
      </c>
      <c r="E1070" s="33" t="str">
        <f ca="1">IFERROR(__xludf.DUMMYFUNCTION("""COMPUTED_VALUE"""),"Sevilla- Montoto")</f>
        <v>Sevilla- Montoto</v>
      </c>
      <c r="F1070" s="57">
        <f ca="1">IFERROR(__xludf.DUMMYFUNCTION("""COMPUTED_VALUE"""),45876)</f>
        <v>45876</v>
      </c>
      <c r="G1070" s="57">
        <f ca="1">IFERROR(__xludf.DUMMYFUNCTION("""COMPUTED_VALUE"""),45845)</f>
        <v>45845</v>
      </c>
      <c r="H1070" s="33" t="str">
        <f ca="1">IFERROR(__xludf.DUMMYFUNCTION("""COMPUTED_VALUE"""),"Montoto")</f>
        <v>Montoto</v>
      </c>
      <c r="I1070" s="33" t="str">
        <f ca="1">IFERROR(__xludf.DUMMYFUNCTION("""COMPUTED_VALUE"""),"C2025711124459405")</f>
        <v>C2025711124459405</v>
      </c>
      <c r="J1070" s="33" t="str">
        <f ca="1">IFERROR(__xludf.DUMMYFUNCTION("""COMPUTED_VALUE"""),"MANUEL GONZALEZ GARCIA")</f>
        <v>MANUEL GONZALEZ GARCIA</v>
      </c>
      <c r="K1070" s="33">
        <f ca="1">IFERROR(__xludf.DUMMYFUNCTION("""COMPUTED_VALUE"""),1)</f>
        <v>1</v>
      </c>
      <c r="L1070" s="203">
        <f ca="1">IFERROR(__xludf.DUMMYFUNCTION("""COMPUTED_VALUE"""),1646.09)</f>
        <v>1646.09</v>
      </c>
      <c r="M1070" s="33" t="str">
        <f ca="1">IFERROR(__xludf.DUMMYFUNCTION("""COMPUTED_VALUE"""),"03 ORL")</f>
        <v>03 ORL</v>
      </c>
      <c r="N1070" s="33" t="str">
        <f ca="1">IFERROR(__xludf.DUMMYFUNCTION("""COMPUTED_VALUE"""),"06 ORL")</f>
        <v>06 ORL</v>
      </c>
      <c r="O1070" s="33" t="str">
        <f ca="1">IFERROR(__xludf.DUMMYFUNCTION("""COMPUTED_VALUE"""),"Dra, Paloma Martín Díaz")</f>
        <v>Dra, Paloma Martín Díaz</v>
      </c>
      <c r="P1070" s="33" t="str">
        <f ca="1">IFERROR(__xludf.DUMMYFUNCTION("""COMPUTED_VALUE"""),"Luis Alberto Rodríguez (Andalucía y Badajoz)")</f>
        <v>Luis Alberto Rodríguez (Andalucía y Badajoz)</v>
      </c>
    </row>
    <row r="1071" spans="2:16">
      <c r="B1071" s="33">
        <f ca="1">IFERROR(__xludf.DUMMYFUNCTION("""COMPUTED_VALUE"""),2025)</f>
        <v>2025</v>
      </c>
      <c r="C1071" s="33">
        <f ca="1">IFERROR(__xludf.DUMMYFUNCTION("""COMPUTED_VALUE"""),8)</f>
        <v>8</v>
      </c>
      <c r="D1071" s="33" t="str">
        <f ca="1">IFERROR(__xludf.DUMMYFUNCTION("""COMPUTED_VALUE"""),"NO")</f>
        <v>NO</v>
      </c>
      <c r="E1071" s="33" t="str">
        <f ca="1">IFERROR(__xludf.DUMMYFUNCTION("""COMPUTED_VALUE"""),"Orihuela")</f>
        <v>Orihuela</v>
      </c>
      <c r="F1071" s="57">
        <f ca="1">IFERROR(__xludf.DUMMYFUNCTION("""COMPUTED_VALUE"""),45888)</f>
        <v>45888</v>
      </c>
      <c r="G1071" s="57">
        <f ca="1">IFERROR(__xludf.DUMMYFUNCTION("""COMPUTED_VALUE"""),45856)</f>
        <v>45856</v>
      </c>
      <c r="H1071" s="33" t="str">
        <f ca="1">IFERROR(__xludf.DUMMYFUNCTION("""COMPUTED_VALUE"""),"La Zenia")</f>
        <v>La Zenia</v>
      </c>
      <c r="I1071" s="33" t="str">
        <f ca="1">IFERROR(__xludf.DUMMYFUNCTION("""COMPUTED_VALUE"""),"C2025722155358807")</f>
        <v>C2025722155358807</v>
      </c>
      <c r="J1071" s="33" t="str">
        <f ca="1">IFERROR(__xludf.DUMMYFUNCTION("""COMPUTED_VALUE"""),"MARC JEREMY LAWRENCE")</f>
        <v>MARC JEREMY LAWRENCE</v>
      </c>
      <c r="K1071" s="33">
        <f ca="1">IFERROR(__xludf.DUMMYFUNCTION("""COMPUTED_VALUE"""),1)</f>
        <v>1</v>
      </c>
      <c r="L1071" s="203">
        <f ca="1">IFERROR(__xludf.DUMMYFUNCTION("""COMPUTED_VALUE"""),2481.82)</f>
        <v>2481.8200000000002</v>
      </c>
      <c r="M1071" s="33" t="str">
        <f ca="1">IFERROR(__xludf.DUMMYFUNCTION("""COMPUTED_VALUE"""),"03 ORL")</f>
        <v>03 ORL</v>
      </c>
      <c r="N1071" s="33" t="str">
        <f ca="1">IFERROR(__xludf.DUMMYFUNCTION("""COMPUTED_VALUE"""),"06 ORL")</f>
        <v>06 ORL</v>
      </c>
      <c r="O1071" s="33" t="str">
        <f ca="1">IFERROR(__xludf.DUMMYFUNCTION("""COMPUTED_VALUE"""),"Dr, Juan Javier Álvarez López")</f>
        <v>Dr, Juan Javier Álvarez López</v>
      </c>
      <c r="P1071" s="33" t="str">
        <f ca="1">IFERROR(__xludf.DUMMYFUNCTION("""COMPUTED_VALUE"""),"Iván Sánchez (Levante Y Albacete)")</f>
        <v>Iván Sánchez (Levante Y Albacete)</v>
      </c>
    </row>
    <row r="1072" spans="2:16">
      <c r="B1072" s="33">
        <f ca="1">IFERROR(__xludf.DUMMYFUNCTION("""COMPUTED_VALUE"""),2025)</f>
        <v>2025</v>
      </c>
      <c r="C1072" s="33">
        <f ca="1">IFERROR(__xludf.DUMMYFUNCTION("""COMPUTED_VALUE"""),8)</f>
        <v>8</v>
      </c>
      <c r="D1072" s="33" t="str">
        <f ca="1">IFERROR(__xludf.DUMMYFUNCTION("""COMPUTED_VALUE"""),"NO")</f>
        <v>NO</v>
      </c>
      <c r="E1072" s="33" t="str">
        <f ca="1">IFERROR(__xludf.DUMMYFUNCTION("""COMPUTED_VALUE"""),"Móstoles")</f>
        <v>Móstoles</v>
      </c>
      <c r="F1072" s="57">
        <f ca="1">IFERROR(__xludf.DUMMYFUNCTION("""COMPUTED_VALUE"""),45898)</f>
        <v>45898</v>
      </c>
      <c r="G1072" s="57">
        <f ca="1">IFERROR(__xludf.DUMMYFUNCTION("""COMPUTED_VALUE"""),45603)</f>
        <v>45603</v>
      </c>
      <c r="H1072" s="33" t="str">
        <f ca="1">IFERROR(__xludf.DUMMYFUNCTION("""COMPUTED_VALUE"""),"Móstoles")</f>
        <v>Móstoles</v>
      </c>
      <c r="I1072" s="33" t="str">
        <f ca="1">IFERROR(__xludf.DUMMYFUNCTION("""COMPUTED_VALUE"""),"C202411141803749")</f>
        <v>C202411141803749</v>
      </c>
      <c r="J1072" s="33" t="str">
        <f ca="1">IFERROR(__xludf.DUMMYFUNCTION("""COMPUTED_VALUE"""),"MARGARITA TORO GALIANA")</f>
        <v>MARGARITA TORO GALIANA</v>
      </c>
      <c r="K1072" s="33">
        <f ca="1">IFERROR(__xludf.DUMMYFUNCTION("""COMPUTED_VALUE"""),1)</f>
        <v>1</v>
      </c>
      <c r="L1072" s="203">
        <f ca="1">IFERROR(__xludf.DUMMYFUNCTION("""COMPUTED_VALUE"""),2280)</f>
        <v>2280</v>
      </c>
      <c r="M1072" s="33" t="str">
        <f ca="1">IFERROR(__xludf.DUMMYFUNCTION("""COMPUTED_VALUE"""),"03 ORL")</f>
        <v>03 ORL</v>
      </c>
      <c r="N1072" s="33" t="str">
        <f ca="1">IFERROR(__xludf.DUMMYFUNCTION("""COMPUTED_VALUE"""),"06 ORL")</f>
        <v>06 ORL</v>
      </c>
      <c r="O1072" s="33" t="str">
        <f ca="1">IFERROR(__xludf.DUMMYFUNCTION("""COMPUTED_VALUE"""),"Dr, Alejandro Harguindey Antoli-Candela")</f>
        <v>Dr, Alejandro Harguindey Antoli-Candela</v>
      </c>
      <c r="P1072" s="33" t="str">
        <f ca="1">IFERROR(__xludf.DUMMYFUNCTION("""COMPUTED_VALUE"""),"Maika Blázquez (Madrid)")</f>
        <v>Maika Blázquez (Madrid)</v>
      </c>
    </row>
    <row r="1073" spans="2:16">
      <c r="B1073" s="33">
        <f ca="1">IFERROR(__xludf.DUMMYFUNCTION("""COMPUTED_VALUE"""),2025)</f>
        <v>2025</v>
      </c>
      <c r="C1073" s="33">
        <f ca="1">IFERROR(__xludf.DUMMYFUNCTION("""COMPUTED_VALUE"""),8)</f>
        <v>8</v>
      </c>
      <c r="D1073" s="33" t="str">
        <f ca="1">IFERROR(__xludf.DUMMYFUNCTION("""COMPUTED_VALUE"""),"NO")</f>
        <v>NO</v>
      </c>
      <c r="E1073" s="33" t="str">
        <f ca="1">IFERROR(__xludf.DUMMYFUNCTION("""COMPUTED_VALUE"""),"Toledo")</f>
        <v>Toledo</v>
      </c>
      <c r="F1073" s="57">
        <f ca="1">IFERROR(__xludf.DUMMYFUNCTION("""COMPUTED_VALUE"""),45875)</f>
        <v>45875</v>
      </c>
      <c r="G1073" s="57">
        <f ca="1">IFERROR(__xludf.DUMMYFUNCTION("""COMPUTED_VALUE"""),45841)</f>
        <v>45841</v>
      </c>
      <c r="H1073" s="33" t="str">
        <f ca="1">IFERROR(__xludf.DUMMYFUNCTION("""COMPUTED_VALUE"""),"Toledo")</f>
        <v>Toledo</v>
      </c>
      <c r="I1073" s="33" t="str">
        <f ca="1">IFERROR(__xludf.DUMMYFUNCTION("""COMPUTED_VALUE"""),"C2025724181189")</f>
        <v>C2025724181189</v>
      </c>
      <c r="J1073" s="33" t="str">
        <f ca="1">IFERROR(__xludf.DUMMYFUNCTION("""COMPUTED_VALUE"""),"MARIA DOBLADO RODRIGUEZ")</f>
        <v>MARIA DOBLADO RODRIGUEZ</v>
      </c>
      <c r="K1073" s="33">
        <f ca="1">IFERROR(__xludf.DUMMYFUNCTION("""COMPUTED_VALUE"""),1)</f>
        <v>1</v>
      </c>
      <c r="L1073" s="203">
        <f ca="1">IFERROR(__xludf.DUMMYFUNCTION("""COMPUTED_VALUE"""),1200)</f>
        <v>1200</v>
      </c>
      <c r="M1073" s="33" t="str">
        <f ca="1">IFERROR(__xludf.DUMMYFUNCTION("""COMPUTED_VALUE"""),"03 ORL")</f>
        <v>03 ORL</v>
      </c>
      <c r="N1073" s="33" t="str">
        <f ca="1">IFERROR(__xludf.DUMMYFUNCTION("""COMPUTED_VALUE"""),"06 ORL")</f>
        <v>06 ORL</v>
      </c>
      <c r="O1073" s="33" t="str">
        <f ca="1">IFERROR(__xludf.DUMMYFUNCTION("""COMPUTED_VALUE"""),"Dra, María Garrote Garrote")</f>
        <v>Dra, María Garrote Garrote</v>
      </c>
      <c r="P1073" s="33" t="str">
        <f ca="1">IFERROR(__xludf.DUMMYFUNCTION("""COMPUTED_VALUE"""),"Maika Blázquez (Madrid)")</f>
        <v>Maika Blázquez (Madrid)</v>
      </c>
    </row>
    <row r="1074" spans="2:16">
      <c r="B1074" s="33">
        <f ca="1">IFERROR(__xludf.DUMMYFUNCTION("""COMPUTED_VALUE"""),2025)</f>
        <v>2025</v>
      </c>
      <c r="C1074" s="33">
        <f ca="1">IFERROR(__xludf.DUMMYFUNCTION("""COMPUTED_VALUE"""),8)</f>
        <v>8</v>
      </c>
      <c r="D1074" s="33" t="str">
        <f ca="1">IFERROR(__xludf.DUMMYFUNCTION("""COMPUTED_VALUE"""),"NO")</f>
        <v>NO</v>
      </c>
      <c r="E1074" s="33" t="str">
        <f ca="1">IFERROR(__xludf.DUMMYFUNCTION("""COMPUTED_VALUE"""),"Torrejón de Ardoz")</f>
        <v>Torrejón de Ardoz</v>
      </c>
      <c r="F1074" s="57">
        <f ca="1">IFERROR(__xludf.DUMMYFUNCTION("""COMPUTED_VALUE"""),45896)</f>
        <v>45896</v>
      </c>
      <c r="G1074" s="57">
        <f ca="1">IFERROR(__xludf.DUMMYFUNCTION("""COMPUTED_VALUE"""),45834)</f>
        <v>45834</v>
      </c>
      <c r="H1074" s="33" t="str">
        <f ca="1">IFERROR(__xludf.DUMMYFUNCTION("""COMPUTED_VALUE"""),"Torrejón")</f>
        <v>Torrejón</v>
      </c>
      <c r="I1074" s="33" t="str">
        <f ca="1">IFERROR(__xludf.DUMMYFUNCTION("""COMPUTED_VALUE"""),"C202571101131108")</f>
        <v>C202571101131108</v>
      </c>
      <c r="J1074" s="33" t="str">
        <f ca="1">IFERROR(__xludf.DUMMYFUNCTION("""COMPUTED_VALUE"""),"MARIA EUGENIA ARBOLEA ARAGONCILLO")</f>
        <v>MARIA EUGENIA ARBOLEA ARAGONCILLO</v>
      </c>
      <c r="K1074" s="33">
        <f ca="1">IFERROR(__xludf.DUMMYFUNCTION("""COMPUTED_VALUE"""),2)</f>
        <v>2</v>
      </c>
      <c r="L1074" s="203">
        <f ca="1">IFERROR(__xludf.DUMMYFUNCTION("""COMPUTED_VALUE"""),3523.64)</f>
        <v>3523.64</v>
      </c>
      <c r="M1074" s="33" t="str">
        <f ca="1">IFERROR(__xludf.DUMMYFUNCTION("""COMPUTED_VALUE"""),"03 ORL")</f>
        <v>03 ORL</v>
      </c>
      <c r="N1074" s="33" t="str">
        <f ca="1">IFERROR(__xludf.DUMMYFUNCTION("""COMPUTED_VALUE"""),"06 ORL")</f>
        <v>06 ORL</v>
      </c>
      <c r="O1074" s="33" t="str">
        <f ca="1">IFERROR(__xludf.DUMMYFUNCTION("""COMPUTED_VALUE"""),"Dr, Pablo García González")</f>
        <v>Dr, Pablo García González</v>
      </c>
      <c r="P1074" s="33" t="str">
        <f ca="1">IFERROR(__xludf.DUMMYFUNCTION("""COMPUTED_VALUE"""),"Maika Blázquez (Madrid)")</f>
        <v>Maika Blázquez (Madrid)</v>
      </c>
    </row>
    <row r="1075" spans="2:16">
      <c r="B1075" s="33">
        <f ca="1">IFERROR(__xludf.DUMMYFUNCTION("""COMPUTED_VALUE"""),2025)</f>
        <v>2025</v>
      </c>
      <c r="C1075" s="33">
        <f ca="1">IFERROR(__xludf.DUMMYFUNCTION("""COMPUTED_VALUE"""),8)</f>
        <v>8</v>
      </c>
      <c r="D1075" s="33" t="str">
        <f ca="1">IFERROR(__xludf.DUMMYFUNCTION("""COMPUTED_VALUE"""),"NO")</f>
        <v>NO</v>
      </c>
      <c r="E1075" s="33" t="str">
        <f ca="1">IFERROR(__xludf.DUMMYFUNCTION("""COMPUTED_VALUE"""),"Leganés")</f>
        <v>Leganés</v>
      </c>
      <c r="F1075" s="57">
        <f ca="1">IFERROR(__xludf.DUMMYFUNCTION("""COMPUTED_VALUE"""),45876)</f>
        <v>45876</v>
      </c>
      <c r="G1075" s="57">
        <f ca="1">IFERROR(__xludf.DUMMYFUNCTION("""COMPUTED_VALUE"""),45848)</f>
        <v>45848</v>
      </c>
      <c r="H1075" s="33" t="str">
        <f ca="1">IFERROR(__xludf.DUMMYFUNCTION("""COMPUTED_VALUE"""),"Leganés")</f>
        <v>Leganés</v>
      </c>
      <c r="I1075" s="33" t="str">
        <f ca="1">IFERROR(__xludf.DUMMYFUNCTION("""COMPUTED_VALUE"""),"C2025716175810999")</f>
        <v>C2025716175810999</v>
      </c>
      <c r="J1075" s="33" t="str">
        <f ca="1">IFERROR(__xludf.DUMMYFUNCTION("""COMPUTED_VALUE"""),"MARIA RUIZ LETRADO")</f>
        <v>MARIA RUIZ LETRADO</v>
      </c>
      <c r="K1075" s="33">
        <f ca="1">IFERROR(__xludf.DUMMYFUNCTION("""COMPUTED_VALUE"""),2)</f>
        <v>2</v>
      </c>
      <c r="L1075" s="203">
        <f ca="1">IFERROR(__xludf.DUMMYFUNCTION("""COMPUTED_VALUE"""),3450)</f>
        <v>3450</v>
      </c>
      <c r="M1075" s="33" t="str">
        <f ca="1">IFERROR(__xludf.DUMMYFUNCTION("""COMPUTED_VALUE"""),"03 ORL")</f>
        <v>03 ORL</v>
      </c>
      <c r="N1075" s="33" t="str">
        <f ca="1">IFERROR(__xludf.DUMMYFUNCTION("""COMPUTED_VALUE"""),"06 ORL")</f>
        <v>06 ORL</v>
      </c>
      <c r="O1075" s="33" t="str">
        <f ca="1">IFERROR(__xludf.DUMMYFUNCTION("""COMPUTED_VALUE"""),"Dra, Mar Lasso de la Vega Zamora")</f>
        <v>Dra, Mar Lasso de la Vega Zamora</v>
      </c>
      <c r="P1075" s="33" t="str">
        <f ca="1">IFERROR(__xludf.DUMMYFUNCTION("""COMPUTED_VALUE"""),"Maika Blázquez (Madrid)")</f>
        <v>Maika Blázquez (Madrid)</v>
      </c>
    </row>
    <row r="1076" spans="2:16">
      <c r="B1076" s="33">
        <f ca="1">IFERROR(__xludf.DUMMYFUNCTION("""COMPUTED_VALUE"""),2025)</f>
        <v>2025</v>
      </c>
      <c r="C1076" s="33">
        <f ca="1">IFERROR(__xludf.DUMMYFUNCTION("""COMPUTED_VALUE"""),8)</f>
        <v>8</v>
      </c>
      <c r="D1076" s="33" t="str">
        <f ca="1">IFERROR(__xludf.DUMMYFUNCTION("""COMPUTED_VALUE"""),"NO")</f>
        <v>NO</v>
      </c>
      <c r="E1076" s="33" t="str">
        <f ca="1">IFERROR(__xludf.DUMMYFUNCTION("""COMPUTED_VALUE"""),"Murcia")</f>
        <v>Murcia</v>
      </c>
      <c r="F1076" s="57">
        <f ca="1">IFERROR(__xludf.DUMMYFUNCTION("""COMPUTED_VALUE"""),45898)</f>
        <v>45898</v>
      </c>
      <c r="G1076" s="57">
        <f ca="1">IFERROR(__xludf.DUMMYFUNCTION("""COMPUTED_VALUE"""),45888)</f>
        <v>45888</v>
      </c>
      <c r="H1076" s="33" t="str">
        <f ca="1">IFERROR(__xludf.DUMMYFUNCTION("""COMPUTED_VALUE"""),"Murcia")</f>
        <v>Murcia</v>
      </c>
      <c r="I1076" s="33" t="str">
        <f ca="1">IFERROR(__xludf.DUMMYFUNCTION("""COMPUTED_VALUE"""),"C202582111928956")</f>
        <v>C202582111928956</v>
      </c>
      <c r="J1076" s="33" t="str">
        <f ca="1">IFERROR(__xludf.DUMMYFUNCTION("""COMPUTED_VALUE"""),"MARITZA ARENAS MUÑOZ")</f>
        <v>MARITZA ARENAS MUÑOZ</v>
      </c>
      <c r="K1076" s="33">
        <f ca="1">IFERROR(__xludf.DUMMYFUNCTION("""COMPUTED_VALUE"""),2)</f>
        <v>2</v>
      </c>
      <c r="L1076" s="203">
        <f ca="1">IFERROR(__xludf.DUMMYFUNCTION("""COMPUTED_VALUE"""),3631.81)</f>
        <v>3631.81</v>
      </c>
      <c r="M1076" s="33" t="str">
        <f ca="1">IFERROR(__xludf.DUMMYFUNCTION("""COMPUTED_VALUE"""),"03 ORL")</f>
        <v>03 ORL</v>
      </c>
      <c r="N1076" s="33" t="str">
        <f ca="1">IFERROR(__xludf.DUMMYFUNCTION("""COMPUTED_VALUE"""),"06 ORL")</f>
        <v>06 ORL</v>
      </c>
      <c r="O1076" s="33" t="str">
        <f ca="1">IFERROR(__xludf.DUMMYFUNCTION("""COMPUTED_VALUE"""),"Dra, Beatriz Rodríguez González Herrero")</f>
        <v>Dra, Beatriz Rodríguez González Herrero</v>
      </c>
      <c r="P1076" s="33" t="str">
        <f ca="1">IFERROR(__xludf.DUMMYFUNCTION("""COMPUTED_VALUE"""),"Iván Sánchez (Levante Y Albacete)")</f>
        <v>Iván Sánchez (Levante Y Albacete)</v>
      </c>
    </row>
    <row r="1077" spans="2:16">
      <c r="B1077" s="33">
        <f ca="1">IFERROR(__xludf.DUMMYFUNCTION("""COMPUTED_VALUE"""),2025)</f>
        <v>2025</v>
      </c>
      <c r="C1077" s="33">
        <f ca="1">IFERROR(__xludf.DUMMYFUNCTION("""COMPUTED_VALUE"""),8)</f>
        <v>8</v>
      </c>
      <c r="D1077" s="33" t="str">
        <f ca="1">IFERROR(__xludf.DUMMYFUNCTION("""COMPUTED_VALUE"""),"NO")</f>
        <v>NO</v>
      </c>
      <c r="E1077" s="33" t="str">
        <f ca="1">IFERROR(__xludf.DUMMYFUNCTION("""COMPUTED_VALUE"""),"Murcia")</f>
        <v>Murcia</v>
      </c>
      <c r="F1077" s="57">
        <f ca="1">IFERROR(__xludf.DUMMYFUNCTION("""COMPUTED_VALUE"""),45898)</f>
        <v>45898</v>
      </c>
      <c r="G1077" s="57">
        <f ca="1">IFERROR(__xludf.DUMMYFUNCTION("""COMPUTED_VALUE"""),45876)</f>
        <v>45876</v>
      </c>
      <c r="H1077" s="33" t="str">
        <f ca="1">IFERROR(__xludf.DUMMYFUNCTION("""COMPUTED_VALUE"""),"Murcia")</f>
        <v>Murcia</v>
      </c>
      <c r="I1077" s="33" t="str">
        <f ca="1">IFERROR(__xludf.DUMMYFUNCTION("""COMPUTED_VALUE"""),"C202581992053548")</f>
        <v>C202581992053548</v>
      </c>
      <c r="J1077" s="33" t="str">
        <f ca="1">IFERROR(__xludf.DUMMYFUNCTION("""COMPUTED_VALUE"""),"MATIAS BELMONTE CARRIQUE")</f>
        <v>MATIAS BELMONTE CARRIQUE</v>
      </c>
      <c r="K1077" s="33">
        <f ca="1">IFERROR(__xludf.DUMMYFUNCTION("""COMPUTED_VALUE"""),2)</f>
        <v>2</v>
      </c>
      <c r="L1077" s="203">
        <f ca="1">IFERROR(__xludf.DUMMYFUNCTION("""COMPUTED_VALUE"""),3927.27)</f>
        <v>3927.27</v>
      </c>
      <c r="M1077" s="33" t="str">
        <f ca="1">IFERROR(__xludf.DUMMYFUNCTION("""COMPUTED_VALUE"""),"03 ORL")</f>
        <v>03 ORL</v>
      </c>
      <c r="N1077" s="33" t="str">
        <f ca="1">IFERROR(__xludf.DUMMYFUNCTION("""COMPUTED_VALUE"""),"06 ORL")</f>
        <v>06 ORL</v>
      </c>
      <c r="O1077" s="33" t="str">
        <f ca="1">IFERROR(__xludf.DUMMYFUNCTION("""COMPUTED_VALUE"""),"Dr, Alfonso Marco Garrido")</f>
        <v>Dr, Alfonso Marco Garrido</v>
      </c>
      <c r="P1077" s="33" t="str">
        <f ca="1">IFERROR(__xludf.DUMMYFUNCTION("""COMPUTED_VALUE"""),"Iván Sánchez (Levante Y Albacete)")</f>
        <v>Iván Sánchez (Levante Y Albacete)</v>
      </c>
    </row>
    <row r="1078" spans="2:16">
      <c r="B1078" s="33">
        <f ca="1">IFERROR(__xludf.DUMMYFUNCTION("""COMPUTED_VALUE"""),2025)</f>
        <v>2025</v>
      </c>
      <c r="C1078" s="33">
        <f ca="1">IFERROR(__xludf.DUMMYFUNCTION("""COMPUTED_VALUE"""),8)</f>
        <v>8</v>
      </c>
      <c r="D1078" s="33" t="str">
        <f ca="1">IFERROR(__xludf.DUMMYFUNCTION("""COMPUTED_VALUE"""),"NO")</f>
        <v>NO</v>
      </c>
      <c r="E1078" s="33" t="str">
        <f ca="1">IFERROR(__xludf.DUMMYFUNCTION("""COMPUTED_VALUE"""),"Talavera")</f>
        <v>Talavera</v>
      </c>
      <c r="F1078" s="57">
        <f ca="1">IFERROR(__xludf.DUMMYFUNCTION("""COMPUTED_VALUE"""),45897)</f>
        <v>45897</v>
      </c>
      <c r="G1078" s="57">
        <f ca="1">IFERROR(__xludf.DUMMYFUNCTION("""COMPUTED_VALUE"""),45853)</f>
        <v>45853</v>
      </c>
      <c r="H1078" s="33" t="str">
        <f ca="1">IFERROR(__xludf.DUMMYFUNCTION("""COMPUTED_VALUE"""),"Talavera")</f>
        <v>Talavera</v>
      </c>
      <c r="I1078" s="33" t="str">
        <f ca="1">IFERROR(__xludf.DUMMYFUNCTION("""COMPUTED_VALUE"""),"C2025721113545272")</f>
        <v>C2025721113545272</v>
      </c>
      <c r="J1078" s="33" t="str">
        <f ca="1">IFERROR(__xludf.DUMMYFUNCTION("""COMPUTED_VALUE"""),"MILAGROS RUIZ REQUENA")</f>
        <v>MILAGROS RUIZ REQUENA</v>
      </c>
      <c r="K1078" s="33">
        <f ca="1">IFERROR(__xludf.DUMMYFUNCTION("""COMPUTED_VALUE"""),2)</f>
        <v>2</v>
      </c>
      <c r="L1078" s="203">
        <f ca="1">IFERROR(__xludf.DUMMYFUNCTION("""COMPUTED_VALUE"""),3424.32)</f>
        <v>3424.32</v>
      </c>
      <c r="M1078" s="33" t="str">
        <f ca="1">IFERROR(__xludf.DUMMYFUNCTION("""COMPUTED_VALUE"""),"03 ORL")</f>
        <v>03 ORL</v>
      </c>
      <c r="N1078" s="33" t="str">
        <f ca="1">IFERROR(__xludf.DUMMYFUNCTION("""COMPUTED_VALUE"""),"06 ORL")</f>
        <v>06 ORL</v>
      </c>
      <c r="O1078" s="33" t="str">
        <f ca="1">IFERROR(__xludf.DUMMYFUNCTION("""COMPUTED_VALUE"""),"Dra, María Del Rocío Lobato Pérez")</f>
        <v>Dra, María Del Rocío Lobato Pérez</v>
      </c>
      <c r="P1078" s="33" t="str">
        <f ca="1">IFERROR(__xludf.DUMMYFUNCTION("""COMPUTED_VALUE"""),"Lisandro Russian (Madrid, Cáceres, Toledo, Talavera Y Logroño)")</f>
        <v>Lisandro Russian (Madrid, Cáceres, Toledo, Talavera Y Logroño)</v>
      </c>
    </row>
    <row r="1079" spans="2:16">
      <c r="B1079" s="33">
        <f ca="1">IFERROR(__xludf.DUMMYFUNCTION("""COMPUTED_VALUE"""),2025)</f>
        <v>2025</v>
      </c>
      <c r="C1079" s="33">
        <f ca="1">IFERROR(__xludf.DUMMYFUNCTION("""COMPUTED_VALUE"""),8)</f>
        <v>8</v>
      </c>
      <c r="D1079" s="33" t="str">
        <f ca="1">IFERROR(__xludf.DUMMYFUNCTION("""COMPUTED_VALUE"""),"NO")</f>
        <v>NO</v>
      </c>
      <c r="E1079" s="33" t="str">
        <f ca="1">IFERROR(__xludf.DUMMYFUNCTION("""COMPUTED_VALUE"""),"Talavera")</f>
        <v>Talavera</v>
      </c>
      <c r="F1079" s="57">
        <f ca="1">IFERROR(__xludf.DUMMYFUNCTION("""COMPUTED_VALUE"""),45874)</f>
        <v>45874</v>
      </c>
      <c r="G1079" s="57">
        <f ca="1">IFERROR(__xludf.DUMMYFUNCTION("""COMPUTED_VALUE"""),45846)</f>
        <v>45846</v>
      </c>
      <c r="H1079" s="33" t="str">
        <f ca="1">IFERROR(__xludf.DUMMYFUNCTION("""COMPUTED_VALUE"""),"Talavera")</f>
        <v>Talavera</v>
      </c>
      <c r="I1079" s="33" t="str">
        <f ca="1">IFERROR(__xludf.DUMMYFUNCTION("""COMPUTED_VALUE"""),"C202571610581643")</f>
        <v>C202571610581643</v>
      </c>
      <c r="J1079" s="33" t="str">
        <f ca="1">IFERROR(__xludf.DUMMYFUNCTION("""COMPUTED_VALUE"""),"OTILIO DOMINGUEZ FERNANDEZ")</f>
        <v>OTILIO DOMINGUEZ FERNANDEZ</v>
      </c>
      <c r="K1079" s="33">
        <f ca="1">IFERROR(__xludf.DUMMYFUNCTION("""COMPUTED_VALUE"""),2)</f>
        <v>2</v>
      </c>
      <c r="L1079" s="203">
        <f ca="1">IFERROR(__xludf.DUMMYFUNCTION("""COMPUTED_VALUE"""),4136.36)</f>
        <v>4136.3599999999997</v>
      </c>
      <c r="M1079" s="33" t="str">
        <f ca="1">IFERROR(__xludf.DUMMYFUNCTION("""COMPUTED_VALUE"""),"03 ORL")</f>
        <v>03 ORL</v>
      </c>
      <c r="N1079" s="33" t="str">
        <f ca="1">IFERROR(__xludf.DUMMYFUNCTION("""COMPUTED_VALUE"""),"06 ORL")</f>
        <v>06 ORL</v>
      </c>
      <c r="O1079" s="33" t="str">
        <f ca="1">IFERROR(__xludf.DUMMYFUNCTION("""COMPUTED_VALUE"""),"Dr, Carlos Félix Asensio Nieto")</f>
        <v>Dr, Carlos Félix Asensio Nieto</v>
      </c>
      <c r="P1079" s="33" t="str">
        <f ca="1">IFERROR(__xludf.DUMMYFUNCTION("""COMPUTED_VALUE"""),"Lisandro Russian (Madrid, Cáceres, Toledo, Talavera Y Logroño)")</f>
        <v>Lisandro Russian (Madrid, Cáceres, Toledo, Talavera Y Logroño)</v>
      </c>
    </row>
    <row r="1080" spans="2:16">
      <c r="B1080" s="33">
        <f ca="1">IFERROR(__xludf.DUMMYFUNCTION("""COMPUTED_VALUE"""),2025)</f>
        <v>2025</v>
      </c>
      <c r="C1080" s="33">
        <f ca="1">IFERROR(__xludf.DUMMYFUNCTION("""COMPUTED_VALUE"""),8)</f>
        <v>8</v>
      </c>
      <c r="D1080" s="33" t="str">
        <f ca="1">IFERROR(__xludf.DUMMYFUNCTION("""COMPUTED_VALUE"""),"NO")</f>
        <v>NO</v>
      </c>
      <c r="E1080" s="33" t="str">
        <f ca="1">IFERROR(__xludf.DUMMYFUNCTION("""COMPUTED_VALUE"""),"Fuenlabrada")</f>
        <v>Fuenlabrada</v>
      </c>
      <c r="F1080" s="57">
        <f ca="1">IFERROR(__xludf.DUMMYFUNCTION("""COMPUTED_VALUE"""),45877)</f>
        <v>45877</v>
      </c>
      <c r="G1080" s="57">
        <f ca="1">IFERROR(__xludf.DUMMYFUNCTION("""COMPUTED_VALUE"""),45840)</f>
        <v>45840</v>
      </c>
      <c r="H1080" s="33" t="str">
        <f ca="1">IFERROR(__xludf.DUMMYFUNCTION("""COMPUTED_VALUE"""),"Fuenlabrada")</f>
        <v>Fuenlabrada</v>
      </c>
      <c r="I1080" s="33" t="str">
        <f ca="1">IFERROR(__xludf.DUMMYFUNCTION("""COMPUTED_VALUE"""),"C202578163140695")</f>
        <v>C202578163140695</v>
      </c>
      <c r="J1080" s="33" t="str">
        <f ca="1">IFERROR(__xludf.DUMMYFUNCTION("""COMPUTED_VALUE"""),"PIEDAD CARRION SANCHEZ")</f>
        <v>PIEDAD CARRION SANCHEZ</v>
      </c>
      <c r="K1080" s="33">
        <f ca="1">IFERROR(__xludf.DUMMYFUNCTION("""COMPUTED_VALUE"""),2)</f>
        <v>2</v>
      </c>
      <c r="L1080" s="203">
        <f ca="1">IFERROR(__xludf.DUMMYFUNCTION("""COMPUTED_VALUE"""),2722.73)</f>
        <v>2722.73</v>
      </c>
      <c r="M1080" s="33" t="str">
        <f ca="1">IFERROR(__xludf.DUMMYFUNCTION("""COMPUTED_VALUE"""),"03 ORL")</f>
        <v>03 ORL</v>
      </c>
      <c r="N1080" s="33" t="str">
        <f ca="1">IFERROR(__xludf.DUMMYFUNCTION("""COMPUTED_VALUE"""),"06 ORL")</f>
        <v>06 ORL</v>
      </c>
      <c r="O1080" s="33" t="str">
        <f ca="1">IFERROR(__xludf.DUMMYFUNCTION("""COMPUTED_VALUE"""),"Dra, Paloma Martín-Aragón Martín")</f>
        <v>Dra, Paloma Martín-Aragón Martín</v>
      </c>
      <c r="P1080" s="33" t="str">
        <f ca="1">IFERROR(__xludf.DUMMYFUNCTION("""COMPUTED_VALUE"""),"Maika Blázquez (Madrid)")</f>
        <v>Maika Blázquez (Madrid)</v>
      </c>
    </row>
    <row r="1081" spans="2:16">
      <c r="B1081" s="33">
        <f ca="1">IFERROR(__xludf.DUMMYFUNCTION("""COMPUTED_VALUE"""),2025)</f>
        <v>2025</v>
      </c>
      <c r="C1081" s="33">
        <f ca="1">IFERROR(__xludf.DUMMYFUNCTION("""COMPUTED_VALUE"""),8)</f>
        <v>8</v>
      </c>
      <c r="D1081" s="33" t="str">
        <f ca="1">IFERROR(__xludf.DUMMYFUNCTION("""COMPUTED_VALUE"""),"NO")</f>
        <v>NO</v>
      </c>
      <c r="E1081" s="33" t="str">
        <f ca="1">IFERROR(__xludf.DUMMYFUNCTION("""COMPUTED_VALUE"""),"Barcelona- Córcega")</f>
        <v>Barcelona- Córcega</v>
      </c>
      <c r="F1081" s="57">
        <f ca="1">IFERROR(__xludf.DUMMYFUNCTION("""COMPUTED_VALUE"""),45876)</f>
        <v>45876</v>
      </c>
      <c r="G1081" s="57">
        <f ca="1">IFERROR(__xludf.DUMMYFUNCTION("""COMPUTED_VALUE"""),45852)</f>
        <v>45852</v>
      </c>
      <c r="H1081" s="33" t="str">
        <f ca="1">IFERROR(__xludf.DUMMYFUNCTION("""COMPUTED_VALUE"""),"Córcega")</f>
        <v>Córcega</v>
      </c>
      <c r="I1081" s="33" t="str">
        <f ca="1">IFERROR(__xludf.DUMMYFUNCTION("""COMPUTED_VALUE"""),"C202571693436582")</f>
        <v>C202571693436582</v>
      </c>
      <c r="J1081" s="33" t="str">
        <f ca="1">IFERROR(__xludf.DUMMYFUNCTION("""COMPUTED_VALUE"""),"RAMON BUJ BOU")</f>
        <v>RAMON BUJ BOU</v>
      </c>
      <c r="K1081" s="33">
        <f ca="1">IFERROR(__xludf.DUMMYFUNCTION("""COMPUTED_VALUE"""),2)</f>
        <v>2</v>
      </c>
      <c r="L1081" s="203">
        <f ca="1">IFERROR(__xludf.DUMMYFUNCTION("""COMPUTED_VALUE"""),2718.18)</f>
        <v>2718.18</v>
      </c>
      <c r="M1081" s="33" t="str">
        <f ca="1">IFERROR(__xludf.DUMMYFUNCTION("""COMPUTED_VALUE"""),"03 ORL")</f>
        <v>03 ORL</v>
      </c>
      <c r="N1081" s="33" t="str">
        <f ca="1">IFERROR(__xludf.DUMMYFUNCTION("""COMPUTED_VALUE"""),"06 ORL")</f>
        <v>06 ORL</v>
      </c>
      <c r="O1081" s="33" t="str">
        <f ca="1">IFERROR(__xludf.DUMMYFUNCTION("""COMPUTED_VALUE"""),"Dra, Sara Jubés Monforte")</f>
        <v>Dra, Sara Jubés Monforte</v>
      </c>
      <c r="P1081" s="33" t="str">
        <f ca="1">IFERROR(__xludf.DUMMYFUNCTION("""COMPUTED_VALUE"""),"Mercè Cabrera (Cataluña Y Baleares)")</f>
        <v>Mercè Cabrera (Cataluña Y Baleares)</v>
      </c>
    </row>
    <row r="1082" spans="2:16">
      <c r="B1082" s="33">
        <f ca="1">IFERROR(__xludf.DUMMYFUNCTION("""COMPUTED_VALUE"""),2025)</f>
        <v>2025</v>
      </c>
      <c r="C1082" s="33">
        <f ca="1">IFERROR(__xludf.DUMMYFUNCTION("""COMPUTED_VALUE"""),8)</f>
        <v>8</v>
      </c>
      <c r="D1082" s="33" t="str">
        <f ca="1">IFERROR(__xludf.DUMMYFUNCTION("""COMPUTED_VALUE"""),"NO")</f>
        <v>NO</v>
      </c>
      <c r="E1082" s="33" t="str">
        <f ca="1">IFERROR(__xludf.DUMMYFUNCTION("""COMPUTED_VALUE"""),"Sevilla- Montoto")</f>
        <v>Sevilla- Montoto</v>
      </c>
      <c r="F1082" s="57">
        <f ca="1">IFERROR(__xludf.DUMMYFUNCTION("""COMPUTED_VALUE"""),45897)</f>
        <v>45897</v>
      </c>
      <c r="G1082" s="57">
        <f ca="1">IFERROR(__xludf.DUMMYFUNCTION("""COMPUTED_VALUE"""),45853)</f>
        <v>45853</v>
      </c>
      <c r="H1082" s="33" t="str">
        <f ca="1">IFERROR(__xludf.DUMMYFUNCTION("""COMPUTED_VALUE"""),"Montoto")</f>
        <v>Montoto</v>
      </c>
      <c r="I1082" s="33" t="str">
        <f ca="1">IFERROR(__xludf.DUMMYFUNCTION("""COMPUTED_VALUE"""),"C20257221881716")</f>
        <v>C20257221881716</v>
      </c>
      <c r="J1082" s="33" t="str">
        <f ca="1">IFERROR(__xludf.DUMMYFUNCTION("""COMPUTED_VALUE"""),"RICARDO NICOLAS BERNALES MEZA")</f>
        <v>RICARDO NICOLAS BERNALES MEZA</v>
      </c>
      <c r="K1082" s="33">
        <f ca="1">IFERROR(__xludf.DUMMYFUNCTION("""COMPUTED_VALUE"""),2)</f>
        <v>2</v>
      </c>
      <c r="L1082" s="203">
        <f ca="1">IFERROR(__xludf.DUMMYFUNCTION("""COMPUTED_VALUE"""),3631.82)</f>
        <v>3631.82</v>
      </c>
      <c r="M1082" s="33" t="str">
        <f ca="1">IFERROR(__xludf.DUMMYFUNCTION("""COMPUTED_VALUE"""),"03 ORL")</f>
        <v>03 ORL</v>
      </c>
      <c r="N1082" s="33" t="str">
        <f ca="1">IFERROR(__xludf.DUMMYFUNCTION("""COMPUTED_VALUE"""),"06 ORL")</f>
        <v>06 ORL</v>
      </c>
      <c r="O1082" s="33" t="str">
        <f ca="1">IFERROR(__xludf.DUMMYFUNCTION("""COMPUTED_VALUE"""),"No recuerda ORL")</f>
        <v>No recuerda ORL</v>
      </c>
      <c r="P1082" s="33" t="str">
        <f ca="1">IFERROR(__xludf.DUMMYFUNCTION("""COMPUTED_VALUE"""),"Luis Alberto Rodríguez (Andalucía y Badajoz)")</f>
        <v>Luis Alberto Rodríguez (Andalucía y Badajoz)</v>
      </c>
    </row>
    <row r="1083" spans="2:16">
      <c r="B1083" s="33">
        <f ca="1">IFERROR(__xludf.DUMMYFUNCTION("""COMPUTED_VALUE"""),2025)</f>
        <v>2025</v>
      </c>
      <c r="C1083" s="33">
        <f ca="1">IFERROR(__xludf.DUMMYFUNCTION("""COMPUTED_VALUE"""),8)</f>
        <v>8</v>
      </c>
      <c r="D1083" s="33" t="str">
        <f ca="1">IFERROR(__xludf.DUMMYFUNCTION("""COMPUTED_VALUE"""),"NO")</f>
        <v>NO</v>
      </c>
      <c r="E1083" s="33" t="str">
        <f ca="1">IFERROR(__xludf.DUMMYFUNCTION("""COMPUTED_VALUE"""),"Torrejón de Ardoz")</f>
        <v>Torrejón de Ardoz</v>
      </c>
      <c r="F1083" s="57">
        <f ca="1">IFERROR(__xludf.DUMMYFUNCTION("""COMPUTED_VALUE"""),45898)</f>
        <v>45898</v>
      </c>
      <c r="G1083" s="57">
        <f ca="1">IFERROR(__xludf.DUMMYFUNCTION("""COMPUTED_VALUE"""),45861)</f>
        <v>45861</v>
      </c>
      <c r="H1083" s="33" t="str">
        <f ca="1">IFERROR(__xludf.DUMMYFUNCTION("""COMPUTED_VALUE"""),"Torrejón")</f>
        <v>Torrejón</v>
      </c>
      <c r="I1083" s="33" t="str">
        <f ca="1">IFERROR(__xludf.DUMMYFUNCTION("""COMPUTED_VALUE"""),"C2025728112816267")</f>
        <v>C2025728112816267</v>
      </c>
      <c r="J1083" s="33" t="str">
        <f ca="1">IFERROR(__xludf.DUMMYFUNCTION("""COMPUTED_VALUE"""),"ROSA OKUYAMA YAMADA")</f>
        <v>ROSA OKUYAMA YAMADA</v>
      </c>
      <c r="K1083" s="33">
        <f ca="1">IFERROR(__xludf.DUMMYFUNCTION("""COMPUTED_VALUE"""),2)</f>
        <v>2</v>
      </c>
      <c r="L1083" s="203">
        <f ca="1">IFERROR(__xludf.DUMMYFUNCTION("""COMPUTED_VALUE"""),3085.45)</f>
        <v>3085.45</v>
      </c>
      <c r="M1083" s="33" t="str">
        <f ca="1">IFERROR(__xludf.DUMMYFUNCTION("""COMPUTED_VALUE"""),"03 ORL")</f>
        <v>03 ORL</v>
      </c>
      <c r="N1083" s="33" t="str">
        <f ca="1">IFERROR(__xludf.DUMMYFUNCTION("""COMPUTED_VALUE"""),"06 ORL")</f>
        <v>06 ORL</v>
      </c>
      <c r="O1083" s="33" t="str">
        <f ca="1">IFERROR(__xludf.DUMMYFUNCTION("""COMPUTED_VALUE"""),"Dr, Andreas Schilling Borghesi")</f>
        <v>Dr, Andreas Schilling Borghesi</v>
      </c>
      <c r="P1083" s="33" t="str">
        <f ca="1">IFERROR(__xludf.DUMMYFUNCTION("""COMPUTED_VALUE"""),"Maika Blázquez (Madrid)")</f>
        <v>Maika Blázquez (Madrid)</v>
      </c>
    </row>
    <row r="1084" spans="2:16">
      <c r="B1084" s="33">
        <f ca="1">IFERROR(__xludf.DUMMYFUNCTION("""COMPUTED_VALUE"""),2025)</f>
        <v>2025</v>
      </c>
      <c r="C1084" s="33">
        <f ca="1">IFERROR(__xludf.DUMMYFUNCTION("""COMPUTED_VALUE"""),8)</f>
        <v>8</v>
      </c>
      <c r="D1084" s="33" t="str">
        <f ca="1">IFERROR(__xludf.DUMMYFUNCTION("""COMPUTED_VALUE"""),"NO")</f>
        <v>NO</v>
      </c>
      <c r="E1084" s="33" t="str">
        <f ca="1">IFERROR(__xludf.DUMMYFUNCTION("""COMPUTED_VALUE"""),"Valencia- Parra")</f>
        <v>Valencia- Parra</v>
      </c>
      <c r="F1084" s="57">
        <f ca="1">IFERROR(__xludf.DUMMYFUNCTION("""COMPUTED_VALUE"""),45875)</f>
        <v>45875</v>
      </c>
      <c r="G1084" s="57">
        <f ca="1">IFERROR(__xludf.DUMMYFUNCTION("""COMPUTED_VALUE"""),45852)</f>
        <v>45852</v>
      </c>
      <c r="H1084" s="33" t="str">
        <f ca="1">IFERROR(__xludf.DUMMYFUNCTION("""COMPUTED_VALUE"""),"Valencia- Parra")</f>
        <v>Valencia- Parra</v>
      </c>
      <c r="I1084" s="33" t="str">
        <f ca="1">IFERROR(__xludf.DUMMYFUNCTION("""COMPUTED_VALUE"""),"C202571710351430")</f>
        <v>C202571710351430</v>
      </c>
      <c r="J1084" s="33" t="str">
        <f ca="1">IFERROR(__xludf.DUMMYFUNCTION("""COMPUTED_VALUE"""),"ROSA ORTEGA ASINS")</f>
        <v>ROSA ORTEGA ASINS</v>
      </c>
      <c r="K1084" s="33">
        <f ca="1">IFERROR(__xludf.DUMMYFUNCTION("""COMPUTED_VALUE"""),2)</f>
        <v>2</v>
      </c>
      <c r="L1084" s="203">
        <f ca="1">IFERROR(__xludf.DUMMYFUNCTION("""COMPUTED_VALUE"""),2731.25)</f>
        <v>2731.25</v>
      </c>
      <c r="M1084" s="33" t="str">
        <f ca="1">IFERROR(__xludf.DUMMYFUNCTION("""COMPUTED_VALUE"""),"03 ORL")</f>
        <v>03 ORL</v>
      </c>
      <c r="N1084" s="33" t="str">
        <f ca="1">IFERROR(__xludf.DUMMYFUNCTION("""COMPUTED_VALUE"""),"06 ORL")</f>
        <v>06 ORL</v>
      </c>
      <c r="O1084" s="33" t="str">
        <f ca="1">IFERROR(__xludf.DUMMYFUNCTION("""COMPUTED_VALUE"""),"Dr, Raimon García Chillerón")</f>
        <v>Dr, Raimon García Chillerón</v>
      </c>
      <c r="P1084" s="33" t="str">
        <f ca="1">IFERROR(__xludf.DUMMYFUNCTION("""COMPUTED_VALUE"""),"Ramon Ferrando(Valencia)")</f>
        <v>Ramon Ferrando(Valencia)</v>
      </c>
    </row>
    <row r="1085" spans="2:16">
      <c r="B1085" s="33">
        <f ca="1">IFERROR(__xludf.DUMMYFUNCTION("""COMPUTED_VALUE"""),2025)</f>
        <v>2025</v>
      </c>
      <c r="C1085" s="33">
        <f ca="1">IFERROR(__xludf.DUMMYFUNCTION("""COMPUTED_VALUE"""),8)</f>
        <v>8</v>
      </c>
      <c r="D1085" s="33" t="str">
        <f ca="1">IFERROR(__xludf.DUMMYFUNCTION("""COMPUTED_VALUE"""),"NO")</f>
        <v>NO</v>
      </c>
      <c r="E1085" s="33" t="str">
        <f ca="1">IFERROR(__xludf.DUMMYFUNCTION("""COMPUTED_VALUE"""),"Madrid- Juan Bravo")</f>
        <v>Madrid- Juan Bravo</v>
      </c>
      <c r="F1085" s="57">
        <f ca="1">IFERROR(__xludf.DUMMYFUNCTION("""COMPUTED_VALUE"""),45889)</f>
        <v>45889</v>
      </c>
      <c r="G1085" s="57">
        <f ca="1">IFERROR(__xludf.DUMMYFUNCTION("""COMPUTED_VALUE"""),45845)</f>
        <v>45845</v>
      </c>
      <c r="H1085" s="33" t="str">
        <f ca="1">IFERROR(__xludf.DUMMYFUNCTION("""COMPUTED_VALUE"""),"Juan Bravo")</f>
        <v>Juan Bravo</v>
      </c>
      <c r="I1085" s="33" t="str">
        <f ca="1">IFERROR(__xludf.DUMMYFUNCTION("""COMPUTED_VALUE"""),"C20257161864666")</f>
        <v>C20257161864666</v>
      </c>
      <c r="J1085" s="33" t="str">
        <f ca="1">IFERROR(__xludf.DUMMYFUNCTION("""COMPUTED_VALUE"""),"ROSARIO GONZALEZ SANCHEZ")</f>
        <v>ROSARIO GONZALEZ SANCHEZ</v>
      </c>
      <c r="K1085" s="33">
        <f ca="1">IFERROR(__xludf.DUMMYFUNCTION("""COMPUTED_VALUE"""),2)</f>
        <v>2</v>
      </c>
      <c r="L1085" s="203">
        <f ca="1">IFERROR(__xludf.DUMMYFUNCTION("""COMPUTED_VALUE"""),4136.36)</f>
        <v>4136.3599999999997</v>
      </c>
      <c r="M1085" s="33" t="str">
        <f ca="1">IFERROR(__xludf.DUMMYFUNCTION("""COMPUTED_VALUE"""),"03 ORL")</f>
        <v>03 ORL</v>
      </c>
      <c r="N1085" s="33" t="str">
        <f ca="1">IFERROR(__xludf.DUMMYFUNCTION("""COMPUTED_VALUE"""),"06 ORL")</f>
        <v>06 ORL</v>
      </c>
      <c r="O1085" s="33" t="str">
        <f ca="1">IFERROR(__xludf.DUMMYFUNCTION("""COMPUTED_VALUE"""),"Dr, Carlos Barajas del Rosal")</f>
        <v>Dr, Carlos Barajas del Rosal</v>
      </c>
      <c r="P1085" s="33" t="str">
        <f ca="1">IFERROR(__xludf.DUMMYFUNCTION("""COMPUTED_VALUE"""),"Lisandro Russian (Madrid, Cáceres, Toledo, Talavera Y Logroño)")</f>
        <v>Lisandro Russian (Madrid, Cáceres, Toledo, Talavera Y Logroño)</v>
      </c>
    </row>
    <row r="1086" spans="2:16">
      <c r="B1086" s="33">
        <f ca="1">IFERROR(__xludf.DUMMYFUNCTION("""COMPUTED_VALUE"""),2025)</f>
        <v>2025</v>
      </c>
      <c r="C1086" s="33">
        <f ca="1">IFERROR(__xludf.DUMMYFUNCTION("""COMPUTED_VALUE"""),8)</f>
        <v>8</v>
      </c>
      <c r="D1086" s="33" t="str">
        <f ca="1">IFERROR(__xludf.DUMMYFUNCTION("""COMPUTED_VALUE"""),"NO")</f>
        <v>NO</v>
      </c>
      <c r="E1086" s="33" t="str">
        <f ca="1">IFERROR(__xludf.DUMMYFUNCTION("""COMPUTED_VALUE"""),"Madrid- Juan Bravo")</f>
        <v>Madrid- Juan Bravo</v>
      </c>
      <c r="F1086" s="57">
        <f ca="1">IFERROR(__xludf.DUMMYFUNCTION("""COMPUTED_VALUE"""),45895)</f>
        <v>45895</v>
      </c>
      <c r="G1086" s="57">
        <f ca="1">IFERROR(__xludf.DUMMYFUNCTION("""COMPUTED_VALUE"""),45827)</f>
        <v>45827</v>
      </c>
      <c r="H1086" s="33" t="str">
        <f ca="1">IFERROR(__xludf.DUMMYFUNCTION("""COMPUTED_VALUE"""),"Juan Bravo")</f>
        <v>Juan Bravo</v>
      </c>
      <c r="I1086" s="33" t="str">
        <f ca="1">IFERROR(__xludf.DUMMYFUNCTION("""COMPUTED_VALUE"""),"C202562411302998")</f>
        <v>C202562411302998</v>
      </c>
      <c r="J1086" s="33" t="str">
        <f ca="1">IFERROR(__xludf.DUMMYFUNCTION("""COMPUTED_VALUE"""),"ROSARIO RUIZ MARTIN")</f>
        <v>ROSARIO RUIZ MARTIN</v>
      </c>
      <c r="K1086" s="33">
        <f ca="1">IFERROR(__xludf.DUMMYFUNCTION("""COMPUTED_VALUE"""),2)</f>
        <v>2</v>
      </c>
      <c r="L1086" s="203">
        <f ca="1">IFERROR(__xludf.DUMMYFUNCTION("""COMPUTED_VALUE"""),3524.5)</f>
        <v>3524.5</v>
      </c>
      <c r="M1086" s="33" t="str">
        <f ca="1">IFERROR(__xludf.DUMMYFUNCTION("""COMPUTED_VALUE"""),"03 ORL")</f>
        <v>03 ORL</v>
      </c>
      <c r="N1086" s="33" t="str">
        <f ca="1">IFERROR(__xludf.DUMMYFUNCTION("""COMPUTED_VALUE"""),"06 ORL")</f>
        <v>06 ORL</v>
      </c>
      <c r="O1086" s="33" t="str">
        <f ca="1">IFERROR(__xludf.DUMMYFUNCTION("""COMPUTED_VALUE"""),"Dr, Julio López Moya")</f>
        <v>Dr, Julio López Moya</v>
      </c>
      <c r="P1086" s="33" t="str">
        <f ca="1">IFERROR(__xludf.DUMMYFUNCTION("""COMPUTED_VALUE"""),"Maika Blázquez (Madrid)")</f>
        <v>Maika Blázquez (Madrid)</v>
      </c>
    </row>
    <row r="1087" spans="2:16">
      <c r="B1087" s="33">
        <f ca="1">IFERROR(__xludf.DUMMYFUNCTION("""COMPUTED_VALUE"""),2025)</f>
        <v>2025</v>
      </c>
      <c r="C1087" s="33">
        <f ca="1">IFERROR(__xludf.DUMMYFUNCTION("""COMPUTED_VALUE"""),8)</f>
        <v>8</v>
      </c>
      <c r="D1087" s="33" t="str">
        <f ca="1">IFERROR(__xludf.DUMMYFUNCTION("""COMPUTED_VALUE"""),"NO")</f>
        <v>NO</v>
      </c>
      <c r="E1087" s="33" t="str">
        <f ca="1">IFERROR(__xludf.DUMMYFUNCTION("""COMPUTED_VALUE"""),"Jerez de la Frontera")</f>
        <v>Jerez de la Frontera</v>
      </c>
      <c r="F1087" s="57">
        <f ca="1">IFERROR(__xludf.DUMMYFUNCTION("""COMPUTED_VALUE"""),45897)</f>
        <v>45897</v>
      </c>
      <c r="G1087" s="57">
        <f ca="1">IFERROR(__xludf.DUMMYFUNCTION("""COMPUTED_VALUE"""),45856)</f>
        <v>45856</v>
      </c>
      <c r="H1087" s="33" t="str">
        <f ca="1">IFERROR(__xludf.DUMMYFUNCTION("""COMPUTED_VALUE"""),"Jerez")</f>
        <v>Jerez</v>
      </c>
      <c r="I1087" s="33" t="str">
        <f ca="1">IFERROR(__xludf.DUMMYFUNCTION("""COMPUTED_VALUE"""),"C2025721101518733")</f>
        <v>C2025721101518733</v>
      </c>
      <c r="J1087" s="33" t="str">
        <f ca="1">IFERROR(__xludf.DUMMYFUNCTION("""COMPUTED_VALUE"""),"YOLANDA  CRUZ JIMENEZ")</f>
        <v>YOLANDA  CRUZ JIMENEZ</v>
      </c>
      <c r="K1087" s="33">
        <f ca="1">IFERROR(__xludf.DUMMYFUNCTION("""COMPUTED_VALUE"""),1)</f>
        <v>1</v>
      </c>
      <c r="L1087" s="203">
        <f ca="1">IFERROR(__xludf.DUMMYFUNCTION("""COMPUTED_VALUE"""),1631.82)</f>
        <v>1631.82</v>
      </c>
      <c r="M1087" s="33" t="str">
        <f ca="1">IFERROR(__xludf.DUMMYFUNCTION("""COMPUTED_VALUE"""),"03 ORL")</f>
        <v>03 ORL</v>
      </c>
      <c r="N1087" s="33" t="str">
        <f ca="1">IFERROR(__xludf.DUMMYFUNCTION("""COMPUTED_VALUE"""),"06 ORL")</f>
        <v>06 ORL</v>
      </c>
      <c r="O1087" s="33" t="str">
        <f ca="1">IFERROR(__xludf.DUMMYFUNCTION("""COMPUTED_VALUE"""),"Dr, Vicente Mira Escartí")</f>
        <v>Dr, Vicente Mira Escartí</v>
      </c>
      <c r="P1087" s="33" t="str">
        <f ca="1">IFERROR(__xludf.DUMMYFUNCTION("""COMPUTED_VALUE"""),"Luis Alberto Rodríguez (Andalucía y Badajoz)")</f>
        <v>Luis Alberto Rodríguez (Andalucía y Badajoz)</v>
      </c>
    </row>
    <row r="1088" spans="2:16">
      <c r="B1088" s="33">
        <f ca="1">IFERROR(__xludf.DUMMYFUNCTION("""COMPUTED_VALUE"""),2025)</f>
        <v>2025</v>
      </c>
      <c r="C1088" s="33">
        <f ca="1">IFERROR(__xludf.DUMMYFUNCTION("""COMPUTED_VALUE"""),8)</f>
        <v>8</v>
      </c>
      <c r="D1088" s="33" t="str">
        <f ca="1">IFERROR(__xludf.DUMMYFUNCTION("""COMPUTED_VALUE"""),"NO")</f>
        <v>NO</v>
      </c>
      <c r="E1088" s="33" t="str">
        <f ca="1">IFERROR(__xludf.DUMMYFUNCTION("""COMPUTED_VALUE"""),"Fuenlabrada")</f>
        <v>Fuenlabrada</v>
      </c>
      <c r="F1088" s="57">
        <f ca="1">IFERROR(__xludf.DUMMYFUNCTION("""COMPUTED_VALUE"""),45898)</f>
        <v>45898</v>
      </c>
      <c r="G1088" s="57">
        <f ca="1">IFERROR(__xludf.DUMMYFUNCTION("""COMPUTED_VALUE"""),45845)</f>
        <v>45845</v>
      </c>
      <c r="H1088" s="33" t="str">
        <f ca="1">IFERROR(__xludf.DUMMYFUNCTION("""COMPUTED_VALUE"""),"Fuenlabrada")</f>
        <v>Fuenlabrada</v>
      </c>
      <c r="I1088" s="33" t="str">
        <f ca="1">IFERROR(__xludf.DUMMYFUNCTION("""COMPUTED_VALUE"""),"C2025711115559983")</f>
        <v>C2025711115559983</v>
      </c>
      <c r="J1088" s="33" t="str">
        <f ca="1">IFERROR(__xludf.DUMMYFUNCTION("""COMPUTED_VALUE"""),"YOLANDA DEL HIERRO VELASCO")</f>
        <v>YOLANDA DEL HIERRO VELASCO</v>
      </c>
      <c r="K1088" s="33">
        <f ca="1">IFERROR(__xludf.DUMMYFUNCTION("""COMPUTED_VALUE"""),1)</f>
        <v>1</v>
      </c>
      <c r="L1088" s="203">
        <f ca="1">IFERROR(__xludf.DUMMYFUNCTION("""COMPUTED_VALUE"""),2162.73)</f>
        <v>2162.73</v>
      </c>
      <c r="M1088" s="33" t="str">
        <f ca="1">IFERROR(__xludf.DUMMYFUNCTION("""COMPUTED_VALUE"""),"03 ORL")</f>
        <v>03 ORL</v>
      </c>
      <c r="N1088" s="33" t="str">
        <f ca="1">IFERROR(__xludf.DUMMYFUNCTION("""COMPUTED_VALUE"""),"06 ORL")</f>
        <v>06 ORL</v>
      </c>
      <c r="O1088" s="33" t="str">
        <f ca="1">IFERROR(__xludf.DUMMYFUNCTION("""COMPUTED_VALUE"""),"Dra, Victoria García Peces")</f>
        <v>Dra, Victoria García Peces</v>
      </c>
      <c r="P1088" s="33" t="str">
        <f ca="1">IFERROR(__xludf.DUMMYFUNCTION("""COMPUTED_VALUE"""),"Maika Blázquez (Madrid)")</f>
        <v>Maika Blázquez (Madrid)</v>
      </c>
    </row>
    <row r="1089" spans="2:16">
      <c r="B1089" s="33">
        <f ca="1">IFERROR(__xludf.DUMMYFUNCTION("""COMPUTED_VALUE"""),2025)</f>
        <v>2025</v>
      </c>
      <c r="C1089" s="33">
        <f ca="1">IFERROR(__xludf.DUMMYFUNCTION("""COMPUTED_VALUE"""),8)</f>
        <v>8</v>
      </c>
      <c r="D1089" s="33" t="str">
        <f ca="1">IFERROR(__xludf.DUMMYFUNCTION("""COMPUTED_VALUE"""),"NO")</f>
        <v>NO</v>
      </c>
      <c r="E1089" s="33" t="str">
        <f ca="1">IFERROR(__xludf.DUMMYFUNCTION("""COMPUTED_VALUE"""),"Culleredo")</f>
        <v>Culleredo</v>
      </c>
      <c r="F1089" s="57">
        <f ca="1">IFERROR(__xludf.DUMMYFUNCTION("""COMPUTED_VALUE"""),45891)</f>
        <v>45891</v>
      </c>
      <c r="G1089" s="57">
        <f ca="1">IFERROR(__xludf.DUMMYFUNCTION("""COMPUTED_VALUE"""),45842)</f>
        <v>45842</v>
      </c>
      <c r="H1089" s="33" t="str">
        <f ca="1">IFERROR(__xludf.DUMMYFUNCTION("""COMPUTED_VALUE"""),"Culleredo")</f>
        <v>Culleredo</v>
      </c>
      <c r="I1089" s="33" t="str">
        <f ca="1">IFERROR(__xludf.DUMMYFUNCTION("""COMPUTED_VALUE"""),"CULL-221")</f>
        <v>CULL-221</v>
      </c>
      <c r="J1089" s="33" t="str">
        <f ca="1">IFERROR(__xludf.DUMMYFUNCTION("""COMPUTED_VALUE"""),"LUCINDA CERDEIRO SUAREZ")</f>
        <v>LUCINDA CERDEIRO SUAREZ</v>
      </c>
      <c r="K1089" s="33">
        <f ca="1">IFERROR(__xludf.DUMMYFUNCTION("""COMPUTED_VALUE"""),2)</f>
        <v>2</v>
      </c>
      <c r="L1089" s="203">
        <f ca="1">IFERROR(__xludf.DUMMYFUNCTION("""COMPUTED_VALUE"""),3181.82)</f>
        <v>3181.82</v>
      </c>
      <c r="M1089" s="33" t="str">
        <f ca="1">IFERROR(__xludf.DUMMYFUNCTION("""COMPUTED_VALUE"""),"03 ORL")</f>
        <v>03 ORL</v>
      </c>
      <c r="N1089" s="33" t="str">
        <f ca="1">IFERROR(__xludf.DUMMYFUNCTION("""COMPUTED_VALUE"""),"06 ORL")</f>
        <v>06 ORL</v>
      </c>
      <c r="O1089" s="33" t="str">
        <f ca="1">IFERROR(__xludf.DUMMYFUNCTION("""COMPUTED_VALUE"""),"Dr, Miguel Mayo Yáñez")</f>
        <v>Dr, Miguel Mayo Yáñez</v>
      </c>
      <c r="P1089" s="33" t="str">
        <f ca="1">IFERROR(__xludf.DUMMYFUNCTION("""COMPUTED_VALUE"""),"Roberto Pereira (Galicia)")</f>
        <v>Roberto Pereira (Galicia)</v>
      </c>
    </row>
    <row r="1090" spans="2:16">
      <c r="B1090" s="33">
        <f ca="1">IFERROR(__xludf.DUMMYFUNCTION("""COMPUTED_VALUE"""),2025)</f>
        <v>2025</v>
      </c>
      <c r="C1090" s="33">
        <f ca="1">IFERROR(__xludf.DUMMYFUNCTION("""COMPUTED_VALUE"""),8)</f>
        <v>8</v>
      </c>
      <c r="D1090" s="33" t="str">
        <f ca="1">IFERROR(__xludf.DUMMYFUNCTION("""COMPUTED_VALUE"""),"SI")</f>
        <v>SI</v>
      </c>
      <c r="E1090" s="33" t="str">
        <f ca="1">IFERROR(__xludf.DUMMYFUNCTION("""COMPUTED_VALUE"""),"Cáceres")</f>
        <v>Cáceres</v>
      </c>
      <c r="F1090" s="57">
        <f ca="1">IFERROR(__xludf.DUMMYFUNCTION("""COMPUTED_VALUE"""),45877)</f>
        <v>45877</v>
      </c>
      <c r="G1090" s="57">
        <f ca="1">IFERROR(__xludf.DUMMYFUNCTION("""COMPUTED_VALUE"""),45838)</f>
        <v>45838</v>
      </c>
      <c r="H1090" s="33" t="str">
        <f ca="1">IFERROR(__xludf.DUMMYFUNCTION("""COMPUTED_VALUE"""),"Cáceres")</f>
        <v>Cáceres</v>
      </c>
      <c r="I1090" s="33" t="str">
        <f ca="1">IFERROR(__xludf.DUMMYFUNCTION("""COMPUTED_VALUE"""),"CAC-336")</f>
        <v>CAC-336</v>
      </c>
      <c r="J1090" s="33" t="str">
        <f ca="1">IFERROR(__xludf.DUMMYFUNCTION("""COMPUTED_VALUE"""),"ANGEL MENDOZA JAMBRINA")</f>
        <v>ANGEL MENDOZA JAMBRINA</v>
      </c>
      <c r="K1090" s="33">
        <f ca="1">IFERROR(__xludf.DUMMYFUNCTION("""COMPUTED_VALUE"""),1)</f>
        <v>1</v>
      </c>
      <c r="L1090" s="203">
        <f ca="1">IFERROR(__xludf.DUMMYFUNCTION("""COMPUTED_VALUE"""),2272.73)</f>
        <v>2272.73</v>
      </c>
      <c r="M1090" s="33" t="str">
        <f ca="1">IFERROR(__xludf.DUMMYFUNCTION("""COMPUTED_VALUE"""),"03 ORL")</f>
        <v>03 ORL</v>
      </c>
      <c r="N1090" s="33" t="str">
        <f ca="1">IFERROR(__xludf.DUMMYFUNCTION("""COMPUTED_VALUE"""),"06 ORL")</f>
        <v>06 ORL</v>
      </c>
      <c r="O1090" s="33" t="str">
        <f ca="1">IFERROR(__xludf.DUMMYFUNCTION("""COMPUTED_VALUE"""),"Dr, Andrés Paulino Herrera")</f>
        <v>Dr, Andrés Paulino Herrera</v>
      </c>
      <c r="P1090" s="33" t="str">
        <f ca="1">IFERROR(__xludf.DUMMYFUNCTION("""COMPUTED_VALUE"""),"Lisandro Russian (Madrid, Cáceres, Toledo, Talavera Y Logroño)")</f>
        <v>Lisandro Russian (Madrid, Cáceres, Toledo, Talavera Y Logroño)</v>
      </c>
    </row>
    <row r="1091" spans="2:16">
      <c r="B1091" s="33">
        <f ca="1">IFERROR(__xludf.DUMMYFUNCTION("""COMPUTED_VALUE"""),2025)</f>
        <v>2025</v>
      </c>
      <c r="C1091" s="33">
        <f ca="1">IFERROR(__xludf.DUMMYFUNCTION("""COMPUTED_VALUE"""),8)</f>
        <v>8</v>
      </c>
      <c r="D1091" s="33" t="str">
        <f ca="1">IFERROR(__xludf.DUMMYFUNCTION("""COMPUTED_VALUE"""),"NO")</f>
        <v>NO</v>
      </c>
      <c r="E1091" s="33" t="str">
        <f ca="1">IFERROR(__xludf.DUMMYFUNCTION("""COMPUTED_VALUE"""),"Cáceres")</f>
        <v>Cáceres</v>
      </c>
      <c r="F1091" s="57">
        <f ca="1">IFERROR(__xludf.DUMMYFUNCTION("""COMPUTED_VALUE"""),45887)</f>
        <v>45887</v>
      </c>
      <c r="G1091" s="57">
        <f ca="1">IFERROR(__xludf.DUMMYFUNCTION("""COMPUTED_VALUE"""),45839)</f>
        <v>45839</v>
      </c>
      <c r="H1091" s="33" t="str">
        <f ca="1">IFERROR(__xludf.DUMMYFUNCTION("""COMPUTED_VALUE"""),"Cáceres")</f>
        <v>Cáceres</v>
      </c>
      <c r="I1091" s="33" t="str">
        <f ca="1">IFERROR(__xludf.DUMMYFUNCTION("""COMPUTED_VALUE"""),"CAC-338")</f>
        <v>CAC-338</v>
      </c>
      <c r="J1091" s="33" t="str">
        <f ca="1">IFERROR(__xludf.DUMMYFUNCTION("""COMPUTED_VALUE"""),"MANUEL DONAIRE OBREGON")</f>
        <v>MANUEL DONAIRE OBREGON</v>
      </c>
      <c r="K1091" s="33">
        <f ca="1">IFERROR(__xludf.DUMMYFUNCTION("""COMPUTED_VALUE"""),1)</f>
        <v>1</v>
      </c>
      <c r="L1091" s="203">
        <f ca="1">IFERROR(__xludf.DUMMYFUNCTION("""COMPUTED_VALUE"""),2495.45)</f>
        <v>2495.4499999999998</v>
      </c>
      <c r="M1091" s="33" t="str">
        <f ca="1">IFERROR(__xludf.DUMMYFUNCTION("""COMPUTED_VALUE"""),"03 ORL")</f>
        <v>03 ORL</v>
      </c>
      <c r="N1091" s="33" t="str">
        <f ca="1">IFERROR(__xludf.DUMMYFUNCTION("""COMPUTED_VALUE"""),"06 ORL")</f>
        <v>06 ORL</v>
      </c>
      <c r="O1091" s="33" t="str">
        <f ca="1">IFERROR(__xludf.DUMMYFUNCTION("""COMPUTED_VALUE"""),"Dr, Javier García Gómez")</f>
        <v>Dr, Javier García Gómez</v>
      </c>
      <c r="P1091" s="33" t="str">
        <f ca="1">IFERROR(__xludf.DUMMYFUNCTION("""COMPUTED_VALUE"""),"Lisandro Russian (Madrid, Cáceres, Toledo, Talavera Y Logroño)")</f>
        <v>Lisandro Russian (Madrid, Cáceres, Toledo, Talavera Y Logroño)</v>
      </c>
    </row>
    <row r="1092" spans="2:16">
      <c r="B1092" s="33">
        <f ca="1">IFERROR(__xludf.DUMMYFUNCTION("""COMPUTED_VALUE"""),2025)</f>
        <v>2025</v>
      </c>
      <c r="C1092" s="33">
        <f ca="1">IFERROR(__xludf.DUMMYFUNCTION("""COMPUTED_VALUE"""),8)</f>
        <v>8</v>
      </c>
      <c r="D1092" s="33" t="str">
        <f ca="1">IFERROR(__xludf.DUMMYFUNCTION("""COMPUTED_VALUE"""),"NO")</f>
        <v>NO</v>
      </c>
      <c r="E1092" s="33" t="str">
        <f ca="1">IFERROR(__xludf.DUMMYFUNCTION("""COMPUTED_VALUE"""),"Cáceres")</f>
        <v>Cáceres</v>
      </c>
      <c r="F1092" s="57">
        <f ca="1">IFERROR(__xludf.DUMMYFUNCTION("""COMPUTED_VALUE"""),45889)</f>
        <v>45889</v>
      </c>
      <c r="G1092" s="57">
        <f ca="1">IFERROR(__xludf.DUMMYFUNCTION("""COMPUTED_VALUE"""),45846)</f>
        <v>45846</v>
      </c>
      <c r="H1092" s="33" t="str">
        <f ca="1">IFERROR(__xludf.DUMMYFUNCTION("""COMPUTED_VALUE"""),"Cáceres")</f>
        <v>Cáceres</v>
      </c>
      <c r="I1092" s="33" t="str">
        <f ca="1">IFERROR(__xludf.DUMMYFUNCTION("""COMPUTED_VALUE"""),"CAC-344")</f>
        <v>CAC-344</v>
      </c>
      <c r="J1092" s="33" t="str">
        <f ca="1">IFERROR(__xludf.DUMMYFUNCTION("""COMPUTED_VALUE"""),"CARMEN SANCHEZ LUQUE")</f>
        <v>CARMEN SANCHEZ LUQUE</v>
      </c>
      <c r="K1092" s="33">
        <f ca="1">IFERROR(__xludf.DUMMYFUNCTION("""COMPUTED_VALUE"""),2)</f>
        <v>2</v>
      </c>
      <c r="L1092" s="203">
        <f ca="1">IFERROR(__xludf.DUMMYFUNCTION("""COMPUTED_VALUE"""),3182.73)</f>
        <v>3182.73</v>
      </c>
      <c r="M1092" s="33" t="str">
        <f ca="1">IFERROR(__xludf.DUMMYFUNCTION("""COMPUTED_VALUE"""),"03 ORL")</f>
        <v>03 ORL</v>
      </c>
      <c r="N1092" s="33" t="str">
        <f ca="1">IFERROR(__xludf.DUMMYFUNCTION("""COMPUTED_VALUE"""),"06 ORL")</f>
        <v>06 ORL</v>
      </c>
      <c r="O1092" s="33" t="str">
        <f ca="1">IFERROR(__xludf.DUMMYFUNCTION("""COMPUTED_VALUE"""),"Dr, Andrés Paulino Herrera")</f>
        <v>Dr, Andrés Paulino Herrera</v>
      </c>
      <c r="P1092" s="33" t="str">
        <f ca="1">IFERROR(__xludf.DUMMYFUNCTION("""COMPUTED_VALUE"""),"Lisandro Russian (Madrid, Cáceres, Toledo, Talavera Y Logroño)")</f>
        <v>Lisandro Russian (Madrid, Cáceres, Toledo, Talavera Y Logroño)</v>
      </c>
    </row>
    <row r="1093" spans="2:16">
      <c r="B1093" s="33">
        <f ca="1">IFERROR(__xludf.DUMMYFUNCTION("""COMPUTED_VALUE"""),2025)</f>
        <v>2025</v>
      </c>
      <c r="C1093" s="33">
        <f ca="1">IFERROR(__xludf.DUMMYFUNCTION("""COMPUTED_VALUE"""),8)</f>
        <v>8</v>
      </c>
      <c r="D1093" s="33" t="str">
        <f ca="1">IFERROR(__xludf.DUMMYFUNCTION("""COMPUTED_VALUE"""),"NO")</f>
        <v>NO</v>
      </c>
      <c r="E1093" s="33" t="str">
        <f ca="1">IFERROR(__xludf.DUMMYFUNCTION("""COMPUTED_VALUE"""),"Cáceres")</f>
        <v>Cáceres</v>
      </c>
      <c r="F1093" s="57">
        <f ca="1">IFERROR(__xludf.DUMMYFUNCTION("""COMPUTED_VALUE"""),45900)</f>
        <v>45900</v>
      </c>
      <c r="G1093" s="57">
        <f ca="1">IFERROR(__xludf.DUMMYFUNCTION("""COMPUTED_VALUE"""),45847)</f>
        <v>45847</v>
      </c>
      <c r="H1093" s="33" t="str">
        <f ca="1">IFERROR(__xludf.DUMMYFUNCTION("""COMPUTED_VALUE"""),"Cáceres")</f>
        <v>Cáceres</v>
      </c>
      <c r="I1093" s="33" t="str">
        <f ca="1">IFERROR(__xludf.DUMMYFUNCTION("""COMPUTED_VALUE"""),"CAC-345")</f>
        <v>CAC-345</v>
      </c>
      <c r="J1093" s="33" t="str">
        <f ca="1">IFERROR(__xludf.DUMMYFUNCTION("""COMPUTED_VALUE"""),"LUIS MIGUEL CERRO GONZALEZ")</f>
        <v>LUIS MIGUEL CERRO GONZALEZ</v>
      </c>
      <c r="K1093" s="33">
        <f ca="1">IFERROR(__xludf.DUMMYFUNCTION("""COMPUTED_VALUE"""),2)</f>
        <v>2</v>
      </c>
      <c r="L1093" s="203">
        <f ca="1">IFERROR(__xludf.DUMMYFUNCTION("""COMPUTED_VALUE"""),4990.91)</f>
        <v>4990.91</v>
      </c>
      <c r="M1093" s="33" t="str">
        <f ca="1">IFERROR(__xludf.DUMMYFUNCTION("""COMPUTED_VALUE"""),"03 ORL")</f>
        <v>03 ORL</v>
      </c>
      <c r="N1093" s="33" t="str">
        <f ca="1">IFERROR(__xludf.DUMMYFUNCTION("""COMPUTED_VALUE"""),"06 ORL")</f>
        <v>06 ORL</v>
      </c>
      <c r="O1093" s="33" t="str">
        <f ca="1">IFERROR(__xludf.DUMMYFUNCTION("""COMPUTED_VALUE"""),"Dr, Manuel Martí Peña")</f>
        <v>Dr, Manuel Martí Peña</v>
      </c>
      <c r="P1093" s="33" t="str">
        <f ca="1">IFERROR(__xludf.DUMMYFUNCTION("""COMPUTED_VALUE"""),"Lisandro Russian (Madrid, Cáceres, Toledo, Talavera Y Logroño)")</f>
        <v>Lisandro Russian (Madrid, Cáceres, Toledo, Talavera Y Logroño)</v>
      </c>
    </row>
    <row r="1094" spans="2:16">
      <c r="B1094" s="33">
        <f ca="1">IFERROR(__xludf.DUMMYFUNCTION("""COMPUTED_VALUE"""),2025)</f>
        <v>2025</v>
      </c>
      <c r="C1094" s="33">
        <f ca="1">IFERROR(__xludf.DUMMYFUNCTION("""COMPUTED_VALUE"""),8)</f>
        <v>8</v>
      </c>
      <c r="D1094" s="33" t="str">
        <f ca="1">IFERROR(__xludf.DUMMYFUNCTION("""COMPUTED_VALUE"""),"NO")</f>
        <v>NO</v>
      </c>
      <c r="E1094" s="33" t="str">
        <f ca="1">IFERROR(__xludf.DUMMYFUNCTION("""COMPUTED_VALUE"""),"Cáceres")</f>
        <v>Cáceres</v>
      </c>
      <c r="F1094" s="57">
        <f ca="1">IFERROR(__xludf.DUMMYFUNCTION("""COMPUTED_VALUE"""),45890)</f>
        <v>45890</v>
      </c>
      <c r="G1094" s="57">
        <f ca="1">IFERROR(__xludf.DUMMYFUNCTION("""COMPUTED_VALUE"""),45859)</f>
        <v>45859</v>
      </c>
      <c r="H1094" s="33" t="str">
        <f ca="1">IFERROR(__xludf.DUMMYFUNCTION("""COMPUTED_VALUE"""),"Cáceres")</f>
        <v>Cáceres</v>
      </c>
      <c r="I1094" s="33" t="str">
        <f ca="1">IFERROR(__xludf.DUMMYFUNCTION("""COMPUTED_VALUE"""),"CAC-353")</f>
        <v>CAC-353</v>
      </c>
      <c r="J1094" s="33" t="str">
        <f ca="1">IFERROR(__xludf.DUMMYFUNCTION("""COMPUTED_VALUE"""),"MARIA ARANZAZU PEREZ GOMEZ")</f>
        <v>MARIA ARANZAZU PEREZ GOMEZ</v>
      </c>
      <c r="K1094" s="33">
        <f ca="1">IFERROR(__xludf.DUMMYFUNCTION("""COMPUTED_VALUE"""),2)</f>
        <v>2</v>
      </c>
      <c r="L1094" s="203">
        <f ca="1">IFERROR(__xludf.DUMMYFUNCTION("""COMPUTED_VALUE"""),3636.36)</f>
        <v>3636.36</v>
      </c>
      <c r="M1094" s="33" t="str">
        <f ca="1">IFERROR(__xludf.DUMMYFUNCTION("""COMPUTED_VALUE"""),"03 ORL")</f>
        <v>03 ORL</v>
      </c>
      <c r="N1094" s="33" t="str">
        <f ca="1">IFERROR(__xludf.DUMMYFUNCTION("""COMPUTED_VALUE"""),"06 ORL")</f>
        <v>06 ORL</v>
      </c>
      <c r="O1094" s="33" t="str">
        <f ca="1">IFERROR(__xludf.DUMMYFUNCTION("""COMPUTED_VALUE"""),"Dra, Andrea Cifuentes Navas")</f>
        <v>Dra, Andrea Cifuentes Navas</v>
      </c>
      <c r="P1094" s="33" t="str">
        <f ca="1">IFERROR(__xludf.DUMMYFUNCTION("""COMPUTED_VALUE"""),"Lisandro Russian (Madrid, Cáceres, Toledo, Talavera Y Logroño)")</f>
        <v>Lisandro Russian (Madrid, Cáceres, Toledo, Talavera Y Logroño)</v>
      </c>
    </row>
    <row r="1095" spans="2:16">
      <c r="B1095" s="33">
        <f ca="1">IFERROR(__xludf.DUMMYFUNCTION("""COMPUTED_VALUE"""),2025)</f>
        <v>2025</v>
      </c>
      <c r="C1095" s="33">
        <f ca="1">IFERROR(__xludf.DUMMYFUNCTION("""COMPUTED_VALUE"""),8)</f>
        <v>8</v>
      </c>
      <c r="D1095" s="33" t="str">
        <f ca="1">IFERROR(__xludf.DUMMYFUNCTION("""COMPUTED_VALUE"""),"NO")</f>
        <v>NO</v>
      </c>
      <c r="E1095" s="33" t="str">
        <f ca="1">IFERROR(__xludf.DUMMYFUNCTION("""COMPUTED_VALUE"""),"Cáceres")</f>
        <v>Cáceres</v>
      </c>
      <c r="F1095" s="57">
        <f ca="1">IFERROR(__xludf.DUMMYFUNCTION("""COMPUTED_VALUE"""),45887)</f>
        <v>45887</v>
      </c>
      <c r="G1095" s="57">
        <f ca="1">IFERROR(__xludf.DUMMYFUNCTION("""COMPUTED_VALUE"""),45862)</f>
        <v>45862</v>
      </c>
      <c r="H1095" s="33" t="str">
        <f ca="1">IFERROR(__xludf.DUMMYFUNCTION("""COMPUTED_VALUE"""),"Cáceres")</f>
        <v>Cáceres</v>
      </c>
      <c r="I1095" s="33" t="str">
        <f ca="1">IFERROR(__xludf.DUMMYFUNCTION("""COMPUTED_VALUE"""),"CAC-359")</f>
        <v>CAC-359</v>
      </c>
      <c r="J1095" s="33" t="str">
        <f ca="1">IFERROR(__xludf.DUMMYFUNCTION("""COMPUTED_VALUE"""),"JOSE RAMOS FERNANDEZ")</f>
        <v>JOSE RAMOS FERNANDEZ</v>
      </c>
      <c r="K1095" s="33">
        <f ca="1">IFERROR(__xludf.DUMMYFUNCTION("""COMPUTED_VALUE"""),2)</f>
        <v>2</v>
      </c>
      <c r="L1095" s="203">
        <f ca="1">IFERROR(__xludf.DUMMYFUNCTION("""COMPUTED_VALUE"""),4045.45)</f>
        <v>4045.45</v>
      </c>
      <c r="M1095" s="33" t="str">
        <f ca="1">IFERROR(__xludf.DUMMYFUNCTION("""COMPUTED_VALUE"""),"03 ORL")</f>
        <v>03 ORL</v>
      </c>
      <c r="N1095" s="33" t="str">
        <f ca="1">IFERROR(__xludf.DUMMYFUNCTION("""COMPUTED_VALUE"""),"06 ORL")</f>
        <v>06 ORL</v>
      </c>
      <c r="O1095" s="33" t="str">
        <f ca="1">IFERROR(__xludf.DUMMYFUNCTION("""COMPUTED_VALUE"""),"Dr, Javier García Gómez")</f>
        <v>Dr, Javier García Gómez</v>
      </c>
      <c r="P1095" s="33" t="str">
        <f ca="1">IFERROR(__xludf.DUMMYFUNCTION("""COMPUTED_VALUE"""),"Lisandro Russian (Madrid, Cáceres, Toledo, Talavera Y Logroño)")</f>
        <v>Lisandro Russian (Madrid, Cáceres, Toledo, Talavera Y Logroño)</v>
      </c>
    </row>
    <row r="1096" spans="2:16">
      <c r="B1096" s="33">
        <f ca="1">IFERROR(__xludf.DUMMYFUNCTION("""COMPUTED_VALUE"""),2025)</f>
        <v>2025</v>
      </c>
      <c r="C1096" s="33">
        <f ca="1">IFERROR(__xludf.DUMMYFUNCTION("""COMPUTED_VALUE"""),8)</f>
        <v>8</v>
      </c>
      <c r="D1096" s="33" t="str">
        <f ca="1">IFERROR(__xludf.DUMMYFUNCTION("""COMPUTED_VALUE"""),"NO")</f>
        <v>NO</v>
      </c>
      <c r="E1096" s="33" t="str">
        <f ca="1">IFERROR(__xludf.DUMMYFUNCTION("""COMPUTED_VALUE"""),"Cáceres")</f>
        <v>Cáceres</v>
      </c>
      <c r="F1096" s="57">
        <f ca="1">IFERROR(__xludf.DUMMYFUNCTION("""COMPUTED_VALUE"""),45900)</f>
        <v>45900</v>
      </c>
      <c r="G1096" s="57">
        <f ca="1">IFERROR(__xludf.DUMMYFUNCTION("""COMPUTED_VALUE"""),45869)</f>
        <v>45869</v>
      </c>
      <c r="H1096" s="33" t="str">
        <f ca="1">IFERROR(__xludf.DUMMYFUNCTION("""COMPUTED_VALUE"""),"Cáceres")</f>
        <v>Cáceres</v>
      </c>
      <c r="I1096" s="33" t="str">
        <f ca="1">IFERROR(__xludf.DUMMYFUNCTION("""COMPUTED_VALUE"""),"CAC-365")</f>
        <v>CAC-365</v>
      </c>
      <c r="J1096" s="33" t="str">
        <f ca="1">IFERROR(__xludf.DUMMYFUNCTION("""COMPUTED_VALUE"""),"SANTIAGO CAMARA FLORES")</f>
        <v>SANTIAGO CAMARA FLORES</v>
      </c>
      <c r="K1096" s="33">
        <f ca="1">IFERROR(__xludf.DUMMYFUNCTION("""COMPUTED_VALUE"""),2)</f>
        <v>2</v>
      </c>
      <c r="L1096" s="203">
        <f ca="1">IFERROR(__xludf.DUMMYFUNCTION("""COMPUTED_VALUE"""),4045.45)</f>
        <v>4045.45</v>
      </c>
      <c r="M1096" s="33" t="str">
        <f ca="1">IFERROR(__xludf.DUMMYFUNCTION("""COMPUTED_VALUE"""),"03 ORL")</f>
        <v>03 ORL</v>
      </c>
      <c r="N1096" s="33" t="str">
        <f ca="1">IFERROR(__xludf.DUMMYFUNCTION("""COMPUTED_VALUE"""),"06 ORL")</f>
        <v>06 ORL</v>
      </c>
      <c r="O1096" s="33" t="str">
        <f ca="1">IFERROR(__xludf.DUMMYFUNCTION("""COMPUTED_VALUE"""),"Dr, Andrés Paulino Herrera")</f>
        <v>Dr, Andrés Paulino Herrera</v>
      </c>
      <c r="P1096" s="33" t="str">
        <f ca="1">IFERROR(__xludf.DUMMYFUNCTION("""COMPUTED_VALUE"""),"Lisandro Russian (Madrid, Cáceres, Toledo, Talavera Y Logroño)")</f>
        <v>Lisandro Russian (Madrid, Cáceres, Toledo, Talavera Y Logroño)</v>
      </c>
    </row>
    <row r="1097" spans="2:16">
      <c r="B1097" s="33">
        <f ca="1">IFERROR(__xludf.DUMMYFUNCTION("""COMPUTED_VALUE"""),2025)</f>
        <v>2025</v>
      </c>
      <c r="C1097" s="33">
        <f ca="1">IFERROR(__xludf.DUMMYFUNCTION("""COMPUTED_VALUE"""),8)</f>
        <v>8</v>
      </c>
      <c r="D1097" s="33" t="str">
        <f ca="1">IFERROR(__xludf.DUMMYFUNCTION("""COMPUTED_VALUE"""),"NO")</f>
        <v>NO</v>
      </c>
      <c r="E1097" s="33" t="str">
        <f ca="1">IFERROR(__xludf.DUMMYFUNCTION("""COMPUTED_VALUE"""),"León")</f>
        <v>León</v>
      </c>
      <c r="F1097" s="57">
        <f ca="1">IFERROR(__xludf.DUMMYFUNCTION("""COMPUTED_VALUE"""),45877)</f>
        <v>45877</v>
      </c>
      <c r="G1097" s="57">
        <f ca="1">IFERROR(__xludf.DUMMYFUNCTION("""COMPUTED_VALUE"""),45840)</f>
        <v>45840</v>
      </c>
      <c r="H1097" s="33" t="str">
        <f ca="1">IFERROR(__xludf.DUMMYFUNCTION("""COMPUTED_VALUE"""),"León")</f>
        <v>León</v>
      </c>
      <c r="I1097" s="33" t="str">
        <f ca="1">IFERROR(__xludf.DUMMYFUNCTION("""COMPUTED_VALUE"""),"LEO-498")</f>
        <v>LEO-498</v>
      </c>
      <c r="J1097" s="33" t="str">
        <f ca="1">IFERROR(__xludf.DUMMYFUNCTION("""COMPUTED_VALUE"""),"ARGIMIRO ALVAREZ ALVAREZ")</f>
        <v>ARGIMIRO ALVAREZ ALVAREZ</v>
      </c>
      <c r="K1097" s="33">
        <f ca="1">IFERROR(__xludf.DUMMYFUNCTION("""COMPUTED_VALUE"""),2)</f>
        <v>2</v>
      </c>
      <c r="L1097" s="203">
        <f ca="1">IFERROR(__xludf.DUMMYFUNCTION("""COMPUTED_VALUE"""),5386.36)</f>
        <v>5386.36</v>
      </c>
      <c r="M1097" s="33" t="str">
        <f ca="1">IFERROR(__xludf.DUMMYFUNCTION("""COMPUTED_VALUE"""),"03 ORL")</f>
        <v>03 ORL</v>
      </c>
      <c r="N1097" s="33" t="str">
        <f ca="1">IFERROR(__xludf.DUMMYFUNCTION("""COMPUTED_VALUE"""),"06 ORL")</f>
        <v>06 ORL</v>
      </c>
      <c r="O1097" s="33" t="str">
        <f ca="1">IFERROR(__xludf.DUMMYFUNCTION("""COMPUTED_VALUE"""),"Dra, Sara Fernandez Cascón")</f>
        <v>Dra, Sara Fernandez Cascón</v>
      </c>
      <c r="P1097" s="33" t="str">
        <f ca="1">IFERROR(__xludf.DUMMYFUNCTION("""COMPUTED_VALUE"""),"Alberto Moreno (Madrid)")</f>
        <v>Alberto Moreno (Madrid)</v>
      </c>
    </row>
    <row r="1098" spans="2:16">
      <c r="B1098" s="33">
        <f ca="1">IFERROR(__xludf.DUMMYFUNCTION("""COMPUTED_VALUE"""),2025)</f>
        <v>2025</v>
      </c>
      <c r="C1098" s="33">
        <f ca="1">IFERROR(__xludf.DUMMYFUNCTION("""COMPUTED_VALUE"""),8)</f>
        <v>8</v>
      </c>
      <c r="D1098" s="33" t="str">
        <f ca="1">IFERROR(__xludf.DUMMYFUNCTION("""COMPUTED_VALUE"""),"NO")</f>
        <v>NO</v>
      </c>
      <c r="E1098" s="33" t="str">
        <f ca="1">IFERROR(__xludf.DUMMYFUNCTION("""COMPUTED_VALUE"""),"Ponferrada")</f>
        <v>Ponferrada</v>
      </c>
      <c r="F1098" s="57">
        <f ca="1">IFERROR(__xludf.DUMMYFUNCTION("""COMPUTED_VALUE"""),45876)</f>
        <v>45876</v>
      </c>
      <c r="G1098" s="57">
        <f ca="1">IFERROR(__xludf.DUMMYFUNCTION("""COMPUTED_VALUE"""),45642)</f>
        <v>45642</v>
      </c>
      <c r="H1098" s="33" t="str">
        <f ca="1">IFERROR(__xludf.DUMMYFUNCTION("""COMPUTED_VALUE"""),"Ponferrada")</f>
        <v>Ponferrada</v>
      </c>
      <c r="I1098" s="33" t="str">
        <f ca="1">IFERROR(__xludf.DUMMYFUNCTION("""COMPUTED_VALUE"""),"PON-846")</f>
        <v>PON-846</v>
      </c>
      <c r="J1098" s="33" t="str">
        <f ca="1">IFERROR(__xludf.DUMMYFUNCTION("""COMPUTED_VALUE"""),"MARI PAZ RODRIGUEZ QUIJADA")</f>
        <v>MARI PAZ RODRIGUEZ QUIJADA</v>
      </c>
      <c r="K1098" s="33">
        <f ca="1">IFERROR(__xludf.DUMMYFUNCTION("""COMPUTED_VALUE"""),2)</f>
        <v>2</v>
      </c>
      <c r="L1098" s="203">
        <f ca="1">IFERROR(__xludf.DUMMYFUNCTION("""COMPUTED_VALUE"""),3545.45)</f>
        <v>3545.45</v>
      </c>
      <c r="M1098" s="33" t="str">
        <f ca="1">IFERROR(__xludf.DUMMYFUNCTION("""COMPUTED_VALUE"""),"03 ORL")</f>
        <v>03 ORL</v>
      </c>
      <c r="N1098" s="33" t="str">
        <f ca="1">IFERROR(__xludf.DUMMYFUNCTION("""COMPUTED_VALUE"""),"06 ORL")</f>
        <v>06 ORL</v>
      </c>
      <c r="O1098" s="33" t="str">
        <f ca="1">IFERROR(__xludf.DUMMYFUNCTION("""COMPUTED_VALUE"""),"Dra, Xenia Mota Rojas")</f>
        <v>Dra, Xenia Mota Rojas</v>
      </c>
      <c r="P1098" s="33" t="str">
        <f ca="1">IFERROR(__xludf.DUMMYFUNCTION("""COMPUTED_VALUE"""),"Alberto Moreno (Madrid)")</f>
        <v>Alberto Moreno (Madrid)</v>
      </c>
    </row>
    <row r="1099" spans="2:16">
      <c r="B1099" s="33">
        <f ca="1">IFERROR(__xludf.DUMMYFUNCTION("""COMPUTED_VALUE"""),2025)</f>
        <v>2025</v>
      </c>
      <c r="C1099" s="33">
        <f ca="1">IFERROR(__xludf.DUMMYFUNCTION("""COMPUTED_VALUE"""),8)</f>
        <v>8</v>
      </c>
      <c r="D1099" s="33" t="str">
        <f ca="1">IFERROR(__xludf.DUMMYFUNCTION("""COMPUTED_VALUE"""),"NO")</f>
        <v>NO</v>
      </c>
      <c r="E1099" s="33" t="str">
        <f ca="1">IFERROR(__xludf.DUMMYFUNCTION("""COMPUTED_VALUE"""),"Ponferrada")</f>
        <v>Ponferrada</v>
      </c>
      <c r="F1099" s="57">
        <f ca="1">IFERROR(__xludf.DUMMYFUNCTION("""COMPUTED_VALUE"""),45887)</f>
        <v>45887</v>
      </c>
      <c r="G1099" s="57">
        <f ca="1">IFERROR(__xludf.DUMMYFUNCTION("""COMPUTED_VALUE"""),45855)</f>
        <v>45855</v>
      </c>
      <c r="H1099" s="33" t="str">
        <f ca="1">IFERROR(__xludf.DUMMYFUNCTION("""COMPUTED_VALUE"""),"Ponferrada")</f>
        <v>Ponferrada</v>
      </c>
      <c r="I1099" s="33" t="str">
        <f ca="1">IFERROR(__xludf.DUMMYFUNCTION("""COMPUTED_VALUE"""),"PON-950")</f>
        <v>PON-950</v>
      </c>
      <c r="J1099" s="33" t="str">
        <f ca="1">IFERROR(__xludf.DUMMYFUNCTION("""COMPUTED_VALUE"""),"FELISINDA RAMON ALVAREZ")</f>
        <v>FELISINDA RAMON ALVAREZ</v>
      </c>
      <c r="K1099" s="33">
        <f ca="1">IFERROR(__xludf.DUMMYFUNCTION("""COMPUTED_VALUE"""),1)</f>
        <v>1</v>
      </c>
      <c r="L1099" s="203">
        <f ca="1">IFERROR(__xludf.DUMMYFUNCTION("""COMPUTED_VALUE"""),2090.91)</f>
        <v>2090.91</v>
      </c>
      <c r="M1099" s="33" t="str">
        <f ca="1">IFERROR(__xludf.DUMMYFUNCTION("""COMPUTED_VALUE"""),"03 ORL")</f>
        <v>03 ORL</v>
      </c>
      <c r="N1099" s="33" t="str">
        <f ca="1">IFERROR(__xludf.DUMMYFUNCTION("""COMPUTED_VALUE"""),"06 ORL")</f>
        <v>06 ORL</v>
      </c>
      <c r="O1099" s="33" t="str">
        <f ca="1">IFERROR(__xludf.DUMMYFUNCTION("""COMPUTED_VALUE"""),"Dra, Xenia Mota Rojas")</f>
        <v>Dra, Xenia Mota Rojas</v>
      </c>
      <c r="P1099" s="33" t="str">
        <f ca="1">IFERROR(__xludf.DUMMYFUNCTION("""COMPUTED_VALUE"""),"Alberto Moreno (Madrid)")</f>
        <v>Alberto Moreno (Madrid)</v>
      </c>
    </row>
    <row r="1100" spans="2:16">
      <c r="B1100" s="33">
        <f ca="1">IFERROR(__xludf.DUMMYFUNCTION("""COMPUTED_VALUE"""),2025)</f>
        <v>2025</v>
      </c>
      <c r="C1100" s="33">
        <f ca="1">IFERROR(__xludf.DUMMYFUNCTION("""COMPUTED_VALUE"""),8)</f>
        <v>8</v>
      </c>
      <c r="D1100" s="33" t="str">
        <f ca="1">IFERROR(__xludf.DUMMYFUNCTION("""COMPUTED_VALUE"""),"NO")</f>
        <v>NO</v>
      </c>
      <c r="E1100" s="33" t="str">
        <f ca="1">IFERROR(__xludf.DUMMYFUNCTION("""COMPUTED_VALUE"""),"Salamanca")</f>
        <v>Salamanca</v>
      </c>
      <c r="F1100" s="57">
        <f ca="1">IFERROR(__xludf.DUMMYFUNCTION("""COMPUTED_VALUE"""),45895)</f>
        <v>45895</v>
      </c>
      <c r="G1100" s="57">
        <f ca="1">IFERROR(__xludf.DUMMYFUNCTION("""COMPUTED_VALUE"""),45869)</f>
        <v>45869</v>
      </c>
      <c r="H1100" s="33" t="str">
        <f ca="1">IFERROR(__xludf.DUMMYFUNCTION("""COMPUTED_VALUE"""),"Salamanca")</f>
        <v>Salamanca</v>
      </c>
      <c r="I1100" s="33" t="str">
        <f ca="1">IFERROR(__xludf.DUMMYFUNCTION("""COMPUTED_VALUE"""),"SLM-595")</f>
        <v>SLM-595</v>
      </c>
      <c r="J1100" s="33" t="str">
        <f ca="1">IFERROR(__xludf.DUMMYFUNCTION("""COMPUTED_VALUE"""),"GABRIEL LUIS ARRIBAS MADRID")</f>
        <v>GABRIEL LUIS ARRIBAS MADRID</v>
      </c>
      <c r="K1100" s="33">
        <f ca="1">IFERROR(__xludf.DUMMYFUNCTION("""COMPUTED_VALUE"""),2)</f>
        <v>2</v>
      </c>
      <c r="L1100" s="203">
        <f ca="1">IFERROR(__xludf.DUMMYFUNCTION("""COMPUTED_VALUE"""),4120)</f>
        <v>4120</v>
      </c>
      <c r="M1100" s="33" t="str">
        <f ca="1">IFERROR(__xludf.DUMMYFUNCTION("""COMPUTED_VALUE"""),"03 ORL")</f>
        <v>03 ORL</v>
      </c>
      <c r="N1100" s="33" t="str">
        <f ca="1">IFERROR(__xludf.DUMMYFUNCTION("""COMPUTED_VALUE"""),"06 ORL")</f>
        <v>06 ORL</v>
      </c>
      <c r="O1100" s="33" t="str">
        <f ca="1">IFERROR(__xludf.DUMMYFUNCTION("""COMPUTED_VALUE"""),"Dr, Ángel Muñoz Herrera")</f>
        <v>Dr, Ángel Muñoz Herrera</v>
      </c>
      <c r="P1100" s="33" t="str">
        <f ca="1">IFERROR(__xludf.DUMMYFUNCTION("""COMPUTED_VALUE"""),"Alberto Moreno (Madrid)")</f>
        <v>Alberto Moreno (Madrid)</v>
      </c>
    </row>
    <row r="1101" spans="2:16">
      <c r="B1101" s="33">
        <f ca="1">IFERROR(__xludf.DUMMYFUNCTION("""COMPUTED_VALUE"""),2025)</f>
        <v>2025</v>
      </c>
      <c r="C1101" s="33">
        <f ca="1">IFERROR(__xludf.DUMMYFUNCTION("""COMPUTED_VALUE"""),8)</f>
        <v>8</v>
      </c>
      <c r="D1101" s="33" t="str">
        <f ca="1">IFERROR(__xludf.DUMMYFUNCTION("""COMPUTED_VALUE"""),"NO")</f>
        <v>NO</v>
      </c>
      <c r="E1101" s="33" t="str">
        <f ca="1">IFERROR(__xludf.DUMMYFUNCTION("""COMPUTED_VALUE"""),"Valladolid")</f>
        <v>Valladolid</v>
      </c>
      <c r="F1101" s="57">
        <f ca="1">IFERROR(__xludf.DUMMYFUNCTION("""COMPUTED_VALUE"""),45889)</f>
        <v>45889</v>
      </c>
      <c r="G1101" s="57">
        <f ca="1">IFERROR(__xludf.DUMMYFUNCTION("""COMPUTED_VALUE"""),45840)</f>
        <v>45840</v>
      </c>
      <c r="H1101" s="33" t="str">
        <f ca="1">IFERROR(__xludf.DUMMYFUNCTION("""COMPUTED_VALUE"""),"Valladolid")</f>
        <v>Valladolid</v>
      </c>
      <c r="I1101" s="33" t="str">
        <f ca="1">IFERROR(__xludf.DUMMYFUNCTION("""COMPUTED_VALUE"""),"VLL-419")</f>
        <v>VLL-419</v>
      </c>
      <c r="J1101" s="33" t="str">
        <f ca="1">IFERROR(__xludf.DUMMYFUNCTION("""COMPUTED_VALUE"""),"ABELINO DE FRUTOS MATEO")</f>
        <v>ABELINO DE FRUTOS MATEO</v>
      </c>
      <c r="K1101" s="33">
        <f ca="1">IFERROR(__xludf.DUMMYFUNCTION("""COMPUTED_VALUE"""),2)</f>
        <v>2</v>
      </c>
      <c r="L1101" s="203">
        <f ca="1">IFERROR(__xludf.DUMMYFUNCTION("""COMPUTED_VALUE"""),3522.73)</f>
        <v>3522.73</v>
      </c>
      <c r="M1101" s="33" t="str">
        <f ca="1">IFERROR(__xludf.DUMMYFUNCTION("""COMPUTED_VALUE"""),"03 ORL")</f>
        <v>03 ORL</v>
      </c>
      <c r="N1101" s="33" t="str">
        <f ca="1">IFERROR(__xludf.DUMMYFUNCTION("""COMPUTED_VALUE"""),"06 ORL")</f>
        <v>06 ORL</v>
      </c>
      <c r="O1101" s="33" t="str">
        <f ca="1">IFERROR(__xludf.DUMMYFUNCTION("""COMPUTED_VALUE"""),"Dra, Antonia Carranza Calleja")</f>
        <v>Dra, Antonia Carranza Calleja</v>
      </c>
      <c r="P1101" s="33" t="str">
        <f ca="1">IFERROR(__xludf.DUMMYFUNCTION("""COMPUTED_VALUE"""),"Alberto Moreno (Madrid)")</f>
        <v>Alberto Moreno (Madrid)</v>
      </c>
    </row>
    <row r="1102" spans="2:16">
      <c r="B1102" s="33">
        <f ca="1">IFERROR(__xludf.DUMMYFUNCTION("""COMPUTED_VALUE"""),2025)</f>
        <v>2025</v>
      </c>
      <c r="C1102" s="33">
        <f ca="1">IFERROR(__xludf.DUMMYFUNCTION("""COMPUTED_VALUE"""),8)</f>
        <v>8</v>
      </c>
      <c r="D1102" s="33" t="str">
        <f ca="1">IFERROR(__xludf.DUMMYFUNCTION("""COMPUTED_VALUE"""),"NO")</f>
        <v>NO</v>
      </c>
      <c r="E1102" s="33" t="str">
        <f ca="1">IFERROR(__xludf.DUMMYFUNCTION("""COMPUTED_VALUE"""),"Vigo")</f>
        <v>Vigo</v>
      </c>
      <c r="F1102" s="57">
        <f ca="1">IFERROR(__xludf.DUMMYFUNCTION("""COMPUTED_VALUE"""),45887)</f>
        <v>45887</v>
      </c>
      <c r="G1102" s="57">
        <f ca="1">IFERROR(__xludf.DUMMYFUNCTION("""COMPUTED_VALUE"""),45842)</f>
        <v>45842</v>
      </c>
      <c r="H1102" s="33" t="str">
        <f ca="1">IFERROR(__xludf.DUMMYFUNCTION("""COMPUTED_VALUE"""),"Vigo")</f>
        <v>Vigo</v>
      </c>
      <c r="I1102" s="33" t="str">
        <f ca="1">IFERROR(__xludf.DUMMYFUNCTION("""COMPUTED_VALUE"""),"VIG-592")</f>
        <v>VIG-592</v>
      </c>
      <c r="J1102" s="33" t="str">
        <f ca="1">IFERROR(__xludf.DUMMYFUNCTION("""COMPUTED_VALUE"""),"JOSE ANTONIO GARCIA VALENCIANO")</f>
        <v>JOSE ANTONIO GARCIA VALENCIANO</v>
      </c>
      <c r="K1102" s="33">
        <f ca="1">IFERROR(__xludf.DUMMYFUNCTION("""COMPUTED_VALUE"""),2)</f>
        <v>2</v>
      </c>
      <c r="L1102" s="203">
        <f ca="1">IFERROR(__xludf.DUMMYFUNCTION("""COMPUTED_VALUE"""),3636.36)</f>
        <v>3636.36</v>
      </c>
      <c r="M1102" s="33" t="str">
        <f ca="1">IFERROR(__xludf.DUMMYFUNCTION("""COMPUTED_VALUE"""),"03 ORL")</f>
        <v>03 ORL</v>
      </c>
      <c r="N1102" s="33" t="str">
        <f ca="1">IFERROR(__xludf.DUMMYFUNCTION("""COMPUTED_VALUE"""),"06 ORL")</f>
        <v>06 ORL</v>
      </c>
      <c r="O1102" s="33" t="str">
        <f ca="1">IFERROR(__xludf.DUMMYFUNCTION("""COMPUTED_VALUE"""),"Dra, Isabel Miranda García")</f>
        <v>Dra, Isabel Miranda García</v>
      </c>
      <c r="P1102" s="33" t="str">
        <f ca="1">IFERROR(__xludf.DUMMYFUNCTION("""COMPUTED_VALUE"""),"Roberto Pereira (Galicia)")</f>
        <v>Roberto Pereira (Galicia)</v>
      </c>
    </row>
    <row r="1103" spans="2:16">
      <c r="B1103" s="33">
        <f ca="1">IFERROR(__xludf.DUMMYFUNCTION("""COMPUTED_VALUE"""),2025)</f>
        <v>2025</v>
      </c>
      <c r="C1103" s="33">
        <f ca="1">IFERROR(__xludf.DUMMYFUNCTION("""COMPUTED_VALUE"""),8)</f>
        <v>8</v>
      </c>
      <c r="D1103" s="33" t="str">
        <f ca="1">IFERROR(__xludf.DUMMYFUNCTION("""COMPUTED_VALUE"""),"NO")</f>
        <v>NO</v>
      </c>
      <c r="E1103" s="33" t="str">
        <f ca="1">IFERROR(__xludf.DUMMYFUNCTION("""COMPUTED_VALUE"""),"Vigo")</f>
        <v>Vigo</v>
      </c>
      <c r="F1103" s="57">
        <f ca="1">IFERROR(__xludf.DUMMYFUNCTION("""COMPUTED_VALUE"""),45889)</f>
        <v>45889</v>
      </c>
      <c r="G1103" s="57">
        <f ca="1">IFERROR(__xludf.DUMMYFUNCTION("""COMPUTED_VALUE"""),45853)</f>
        <v>45853</v>
      </c>
      <c r="H1103" s="33" t="str">
        <f ca="1">IFERROR(__xludf.DUMMYFUNCTION("""COMPUTED_VALUE"""),"Vigo")</f>
        <v>Vigo</v>
      </c>
      <c r="I1103" s="33" t="str">
        <f ca="1">IFERROR(__xludf.DUMMYFUNCTION("""COMPUTED_VALUE"""),"VIG-597")</f>
        <v>VIG-597</v>
      </c>
      <c r="J1103" s="33" t="str">
        <f ca="1">IFERROR(__xludf.DUMMYFUNCTION("""COMPUTED_VALUE"""),"JOSE ANTONIO FERNANDEZ RODRIGUEZ")</f>
        <v>JOSE ANTONIO FERNANDEZ RODRIGUEZ</v>
      </c>
      <c r="K1103" s="33">
        <f ca="1">IFERROR(__xludf.DUMMYFUNCTION("""COMPUTED_VALUE"""),2)</f>
        <v>2</v>
      </c>
      <c r="L1103" s="203">
        <f ca="1">IFERROR(__xludf.DUMMYFUNCTION("""COMPUTED_VALUE"""),3545.45)</f>
        <v>3545.45</v>
      </c>
      <c r="M1103" s="33" t="str">
        <f ca="1">IFERROR(__xludf.DUMMYFUNCTION("""COMPUTED_VALUE"""),"03 ORL")</f>
        <v>03 ORL</v>
      </c>
      <c r="N1103" s="33" t="str">
        <f ca="1">IFERROR(__xludf.DUMMYFUNCTION("""COMPUTED_VALUE"""),"06 ORL")</f>
        <v>06 ORL</v>
      </c>
      <c r="O1103" s="33" t="str">
        <f ca="1">IFERROR(__xludf.DUMMYFUNCTION("""COMPUTED_VALUE"""),"Dra, Isabel Miranda García")</f>
        <v>Dra, Isabel Miranda García</v>
      </c>
      <c r="P1103" s="33" t="str">
        <f ca="1">IFERROR(__xludf.DUMMYFUNCTION("""COMPUTED_VALUE"""),"Roberto Pereira (Galicia)")</f>
        <v>Roberto Pereira (Galicia)</v>
      </c>
    </row>
    <row r="1104" spans="2:16">
      <c r="B1104" s="33">
        <f ca="1">IFERROR(__xludf.DUMMYFUNCTION("""COMPUTED_VALUE"""),2025)</f>
        <v>2025</v>
      </c>
      <c r="C1104" s="33">
        <f ca="1">IFERROR(__xludf.DUMMYFUNCTION("""COMPUTED_VALUE"""),9)</f>
        <v>9</v>
      </c>
      <c r="D1104" s="33" t="str">
        <f ca="1">IFERROR(__xludf.DUMMYFUNCTION("""COMPUTED_VALUE"""),"NO")</f>
        <v>NO</v>
      </c>
      <c r="E1104" s="33" t="str">
        <f ca="1">IFERROR(__xludf.DUMMYFUNCTION("""COMPUTED_VALUE"""),"Albacete")</f>
        <v>Albacete</v>
      </c>
      <c r="F1104" s="57">
        <f ca="1">IFERROR(__xludf.DUMMYFUNCTION("""COMPUTED_VALUE"""),45918)</f>
        <v>45918</v>
      </c>
      <c r="G1104" s="57">
        <f ca="1">IFERROR(__xludf.DUMMYFUNCTION("""COMPUTED_VALUE"""),45887)</f>
        <v>45887</v>
      </c>
      <c r="H1104" s="33" t="str">
        <f ca="1">IFERROR(__xludf.DUMMYFUNCTION("""COMPUTED_VALUE"""),"Albacete")</f>
        <v>Albacete</v>
      </c>
      <c r="I1104" s="33" t="str">
        <f ca="1">IFERROR(__xludf.DUMMYFUNCTION("""COMPUTED_VALUE"""),"C202581995853579")</f>
        <v>C202581995853579</v>
      </c>
      <c r="J1104" s="33" t="str">
        <f ca="1">IFERROR(__xludf.DUMMYFUNCTION("""COMPUTED_VALUE"""),"EMILIANO CERRILLO JAREÑO")</f>
        <v>EMILIANO CERRILLO JAREÑO</v>
      </c>
      <c r="K1104" s="33">
        <f ca="1">IFERROR(__xludf.DUMMYFUNCTION("""COMPUTED_VALUE"""),2)</f>
        <v>2</v>
      </c>
      <c r="L1104" s="203">
        <f ca="1">IFERROR(__xludf.DUMMYFUNCTION("""COMPUTED_VALUE"""),3631.82)</f>
        <v>3631.82</v>
      </c>
      <c r="M1104" s="33" t="str">
        <f ca="1">IFERROR(__xludf.DUMMYFUNCTION("""COMPUTED_VALUE"""),"03 ORL")</f>
        <v>03 ORL</v>
      </c>
      <c r="N1104" s="33" t="str">
        <f ca="1">IFERROR(__xludf.DUMMYFUNCTION("""COMPUTED_VALUE"""),"06 ORL")</f>
        <v>06 ORL</v>
      </c>
      <c r="O1104" s="33" t="str">
        <f ca="1">IFERROR(__xludf.DUMMYFUNCTION("""COMPUTED_VALUE"""),"Dr, Javier García-Dueñas González")</f>
        <v>Dr, Javier García-Dueñas González</v>
      </c>
      <c r="P1104" s="33" t="str">
        <f ca="1">IFERROR(__xludf.DUMMYFUNCTION("""COMPUTED_VALUE"""),"Iván Sánchez (Levante Y Albacete)")</f>
        <v>Iván Sánchez (Levante Y Albacete)</v>
      </c>
    </row>
    <row r="1105" spans="2:16">
      <c r="B1105" s="33">
        <f ca="1">IFERROR(__xludf.DUMMYFUNCTION("""COMPUTED_VALUE"""),2025)</f>
        <v>2025</v>
      </c>
      <c r="C1105" s="33">
        <f ca="1">IFERROR(__xludf.DUMMYFUNCTION("""COMPUTED_VALUE"""),9)</f>
        <v>9</v>
      </c>
      <c r="D1105" s="33" t="str">
        <f ca="1">IFERROR(__xludf.DUMMYFUNCTION("""COMPUTED_VALUE"""),"NO")</f>
        <v>NO</v>
      </c>
      <c r="E1105" s="33" t="str">
        <f ca="1">IFERROR(__xludf.DUMMYFUNCTION("""COMPUTED_VALUE"""),"Albacete")</f>
        <v>Albacete</v>
      </c>
      <c r="F1105" s="57">
        <f ca="1">IFERROR(__xludf.DUMMYFUNCTION("""COMPUTED_VALUE"""),45924)</f>
        <v>45924</v>
      </c>
      <c r="G1105" s="57">
        <f ca="1">IFERROR(__xludf.DUMMYFUNCTION("""COMPUTED_VALUE"""),45869)</f>
        <v>45869</v>
      </c>
      <c r="H1105" s="33" t="str">
        <f ca="1">IFERROR(__xludf.DUMMYFUNCTION("""COMPUTED_VALUE"""),"Albacete")</f>
        <v>Albacete</v>
      </c>
      <c r="I1105" s="33" t="str">
        <f ca="1">IFERROR(__xludf.DUMMYFUNCTION("""COMPUTED_VALUE"""),"C202581121019301")</f>
        <v>C202581121019301</v>
      </c>
      <c r="J1105" s="33" t="str">
        <f ca="1">IFERROR(__xludf.DUMMYFUNCTION("""COMPUTED_VALUE"""),"JUANA CATALAN AGUILAR")</f>
        <v>JUANA CATALAN AGUILAR</v>
      </c>
      <c r="K1105" s="33">
        <f ca="1">IFERROR(__xludf.DUMMYFUNCTION("""COMPUTED_VALUE"""),1)</f>
        <v>1</v>
      </c>
      <c r="L1105" s="203">
        <f ca="1">IFERROR(__xludf.DUMMYFUNCTION("""COMPUTED_VALUE"""),2162.73)</f>
        <v>2162.73</v>
      </c>
      <c r="M1105" s="33" t="str">
        <f ca="1">IFERROR(__xludf.DUMMYFUNCTION("""COMPUTED_VALUE"""),"03 ORL")</f>
        <v>03 ORL</v>
      </c>
      <c r="N1105" s="33" t="str">
        <f ca="1">IFERROR(__xludf.DUMMYFUNCTION("""COMPUTED_VALUE"""),"06 ORL")</f>
        <v>06 ORL</v>
      </c>
      <c r="O1105" s="33" t="str">
        <f ca="1">IFERROR(__xludf.DUMMYFUNCTION("""COMPUTED_VALUE"""),"Dr, Javier García-Dueñas González")</f>
        <v>Dr, Javier García-Dueñas González</v>
      </c>
      <c r="P1105" s="33" t="str">
        <f ca="1">IFERROR(__xludf.DUMMYFUNCTION("""COMPUTED_VALUE"""),"Iván Sánchez (Levante Y Albacete)")</f>
        <v>Iván Sánchez (Levante Y Albacete)</v>
      </c>
    </row>
    <row r="1106" spans="2:16">
      <c r="B1106" s="33">
        <f ca="1">IFERROR(__xludf.DUMMYFUNCTION("""COMPUTED_VALUE"""),2025)</f>
        <v>2025</v>
      </c>
      <c r="C1106" s="33">
        <f ca="1">IFERROR(__xludf.DUMMYFUNCTION("""COMPUTED_VALUE"""),9)</f>
        <v>9</v>
      </c>
      <c r="D1106" s="33" t="str">
        <f ca="1">IFERROR(__xludf.DUMMYFUNCTION("""COMPUTED_VALUE"""),"NO")</f>
        <v>NO</v>
      </c>
      <c r="E1106" s="33" t="str">
        <f ca="1">IFERROR(__xludf.DUMMYFUNCTION("""COMPUTED_VALUE"""),"Alcorcón")</f>
        <v>Alcorcón</v>
      </c>
      <c r="F1106" s="57">
        <f ca="1">IFERROR(__xludf.DUMMYFUNCTION("""COMPUTED_VALUE"""),45911)</f>
        <v>45911</v>
      </c>
      <c r="G1106" s="57">
        <f ca="1">IFERROR(__xludf.DUMMYFUNCTION("""COMPUTED_VALUE"""),45887)</f>
        <v>45887</v>
      </c>
      <c r="H1106" s="33" t="str">
        <f ca="1">IFERROR(__xludf.DUMMYFUNCTION("""COMPUTED_VALUE"""),"Alcorcón")</f>
        <v>Alcorcón</v>
      </c>
      <c r="I1106" s="33" t="str">
        <f ca="1">IFERROR(__xludf.DUMMYFUNCTION("""COMPUTED_VALUE"""),"C2025822121047405")</f>
        <v>C2025822121047405</v>
      </c>
      <c r="J1106" s="33" t="str">
        <f ca="1">IFERROR(__xludf.DUMMYFUNCTION("""COMPUTED_VALUE"""),"ANTONIO  DURAN GARCIA")</f>
        <v>ANTONIO  DURAN GARCIA</v>
      </c>
      <c r="K1106" s="33">
        <f ca="1">IFERROR(__xludf.DUMMYFUNCTION("""COMPUTED_VALUE"""),1)</f>
        <v>1</v>
      </c>
      <c r="L1106" s="203">
        <f ca="1">IFERROR(__xludf.DUMMYFUNCTION("""COMPUTED_VALUE"""),1631.82)</f>
        <v>1631.82</v>
      </c>
      <c r="M1106" s="33" t="str">
        <f ca="1">IFERROR(__xludf.DUMMYFUNCTION("""COMPUTED_VALUE"""),"03 ORL")</f>
        <v>03 ORL</v>
      </c>
      <c r="N1106" s="33" t="str">
        <f ca="1">IFERROR(__xludf.DUMMYFUNCTION("""COMPUTED_VALUE"""),"06 ORL")</f>
        <v>06 ORL</v>
      </c>
      <c r="O1106" s="33" t="str">
        <f ca="1">IFERROR(__xludf.DUMMYFUNCTION("""COMPUTED_VALUE"""),"Dra, María Sol Marcos Salazar")</f>
        <v>Dra, María Sol Marcos Salazar</v>
      </c>
      <c r="P1106" s="33" t="str">
        <f ca="1">IFERROR(__xludf.DUMMYFUNCTION("""COMPUTED_VALUE"""),"Lisandro Russian (Madrid, Cáceres, Toledo, Talavera Y Logroño)")</f>
        <v>Lisandro Russian (Madrid, Cáceres, Toledo, Talavera Y Logroño)</v>
      </c>
    </row>
    <row r="1107" spans="2:16">
      <c r="B1107" s="33">
        <f ca="1">IFERROR(__xludf.DUMMYFUNCTION("""COMPUTED_VALUE"""),2025)</f>
        <v>2025</v>
      </c>
      <c r="C1107" s="33">
        <f ca="1">IFERROR(__xludf.DUMMYFUNCTION("""COMPUTED_VALUE"""),9)</f>
        <v>9</v>
      </c>
      <c r="D1107" s="33" t="str">
        <f ca="1">IFERROR(__xludf.DUMMYFUNCTION("""COMPUTED_VALUE"""),"NO")</f>
        <v>NO</v>
      </c>
      <c r="E1107" s="33" t="str">
        <f ca="1">IFERROR(__xludf.DUMMYFUNCTION("""COMPUTED_VALUE"""),"Alcorcón")</f>
        <v>Alcorcón</v>
      </c>
      <c r="F1107" s="57">
        <f ca="1">IFERROR(__xludf.DUMMYFUNCTION("""COMPUTED_VALUE"""),45926)</f>
        <v>45926</v>
      </c>
      <c r="G1107" s="57">
        <f ca="1">IFERROR(__xludf.DUMMYFUNCTION("""COMPUTED_VALUE"""),45873)</f>
        <v>45873</v>
      </c>
      <c r="H1107" s="33" t="str">
        <f ca="1">IFERROR(__xludf.DUMMYFUNCTION("""COMPUTED_VALUE"""),"Alcorcón")</f>
        <v>Alcorcón</v>
      </c>
      <c r="I1107" s="33" t="str">
        <f ca="1">IFERROR(__xludf.DUMMYFUNCTION("""COMPUTED_VALUE"""),"C20258251058283")</f>
        <v>C20258251058283</v>
      </c>
      <c r="J1107" s="33" t="str">
        <f ca="1">IFERROR(__xludf.DUMMYFUNCTION("""COMPUTED_VALUE"""),"MARIA LUZ PEREZ SANCHEZ")</f>
        <v>MARIA LUZ PEREZ SANCHEZ</v>
      </c>
      <c r="K1107" s="33">
        <f ca="1">IFERROR(__xludf.DUMMYFUNCTION("""COMPUTED_VALUE"""),1)</f>
        <v>1</v>
      </c>
      <c r="L1107" s="203">
        <f ca="1">IFERROR(__xludf.DUMMYFUNCTION("""COMPUTED_VALUE"""),2481.82)</f>
        <v>2481.8200000000002</v>
      </c>
      <c r="M1107" s="33" t="str">
        <f ca="1">IFERROR(__xludf.DUMMYFUNCTION("""COMPUTED_VALUE"""),"03 ORL")</f>
        <v>03 ORL</v>
      </c>
      <c r="N1107" s="33" t="str">
        <f ca="1">IFERROR(__xludf.DUMMYFUNCTION("""COMPUTED_VALUE"""),"06 ORL")</f>
        <v>06 ORL</v>
      </c>
      <c r="O1107" s="33" t="str">
        <f ca="1">IFERROR(__xludf.DUMMYFUNCTION("""COMPUTED_VALUE"""),"Dra, María Sol Marcos Salazar")</f>
        <v>Dra, María Sol Marcos Salazar</v>
      </c>
      <c r="P1107" s="33" t="str">
        <f ca="1">IFERROR(__xludf.DUMMYFUNCTION("""COMPUTED_VALUE"""),"Lisandro Russian (Madrid, Cáceres, Toledo, Talavera Y Logroño)")</f>
        <v>Lisandro Russian (Madrid, Cáceres, Toledo, Talavera Y Logroño)</v>
      </c>
    </row>
    <row r="1108" spans="2:16">
      <c r="B1108" s="33">
        <f ca="1">IFERROR(__xludf.DUMMYFUNCTION("""COMPUTED_VALUE"""),2025)</f>
        <v>2025</v>
      </c>
      <c r="C1108" s="33">
        <f ca="1">IFERROR(__xludf.DUMMYFUNCTION("""COMPUTED_VALUE"""),9)</f>
        <v>9</v>
      </c>
      <c r="D1108" s="33" t="str">
        <f ca="1">IFERROR(__xludf.DUMMYFUNCTION("""COMPUTED_VALUE"""),"NO")</f>
        <v>NO</v>
      </c>
      <c r="E1108" s="33" t="str">
        <f ca="1">IFERROR(__xludf.DUMMYFUNCTION("""COMPUTED_VALUE"""),"Alcorcón")</f>
        <v>Alcorcón</v>
      </c>
      <c r="F1108" s="57">
        <f ca="1">IFERROR(__xludf.DUMMYFUNCTION("""COMPUTED_VALUE"""),45929)</f>
        <v>45929</v>
      </c>
      <c r="G1108" s="57">
        <f ca="1">IFERROR(__xludf.DUMMYFUNCTION("""COMPUTED_VALUE"""),45897)</f>
        <v>45897</v>
      </c>
      <c r="H1108" s="33" t="str">
        <f ca="1">IFERROR(__xludf.DUMMYFUNCTION("""COMPUTED_VALUE"""),"Alcorcón")</f>
        <v>Alcorcón</v>
      </c>
      <c r="I1108" s="33" t="str">
        <f ca="1">IFERROR(__xludf.DUMMYFUNCTION("""COMPUTED_VALUE"""),"C20259216555344")</f>
        <v>C20259216555344</v>
      </c>
      <c r="J1108" s="33" t="str">
        <f ca="1">IFERROR(__xludf.DUMMYFUNCTION("""COMPUTED_VALUE"""),"MARIA MERCEDES JIMENEZ SANCHEZ")</f>
        <v>MARIA MERCEDES JIMENEZ SANCHEZ</v>
      </c>
      <c r="K1108" s="33">
        <f ca="1">IFERROR(__xludf.DUMMYFUNCTION("""COMPUTED_VALUE"""),2)</f>
        <v>2</v>
      </c>
      <c r="L1108" s="203">
        <f ca="1">IFERROR(__xludf.DUMMYFUNCTION("""COMPUTED_VALUE"""),4136.36)</f>
        <v>4136.3599999999997</v>
      </c>
      <c r="M1108" s="33" t="str">
        <f ca="1">IFERROR(__xludf.DUMMYFUNCTION("""COMPUTED_VALUE"""),"03 ORL")</f>
        <v>03 ORL</v>
      </c>
      <c r="N1108" s="33" t="str">
        <f ca="1">IFERROR(__xludf.DUMMYFUNCTION("""COMPUTED_VALUE"""),"06 ORL")</f>
        <v>06 ORL</v>
      </c>
      <c r="O1108" s="33" t="str">
        <f ca="1">IFERROR(__xludf.DUMMYFUNCTION("""COMPUTED_VALUE"""),"No recuerda ORL")</f>
        <v>No recuerda ORL</v>
      </c>
      <c r="P1108" s="33" t="str">
        <f ca="1">IFERROR(__xludf.DUMMYFUNCTION("""COMPUTED_VALUE"""),"Maika Blázquez (Madrid)")</f>
        <v>Maika Blázquez (Madrid)</v>
      </c>
    </row>
    <row r="1109" spans="2:16">
      <c r="B1109" s="33">
        <f ca="1">IFERROR(__xludf.DUMMYFUNCTION("""COMPUTED_VALUE"""),2025)</f>
        <v>2025</v>
      </c>
      <c r="C1109" s="33">
        <f ca="1">IFERROR(__xludf.DUMMYFUNCTION("""COMPUTED_VALUE"""),9)</f>
        <v>9</v>
      </c>
      <c r="D1109" s="33" t="str">
        <f ca="1">IFERROR(__xludf.DUMMYFUNCTION("""COMPUTED_VALUE"""),"NO")</f>
        <v>NO</v>
      </c>
      <c r="E1109" s="33" t="str">
        <f ca="1">IFERROR(__xludf.DUMMYFUNCTION("""COMPUTED_VALUE"""),"Alicante")</f>
        <v>Alicante</v>
      </c>
      <c r="F1109" s="57">
        <f ca="1">IFERROR(__xludf.DUMMYFUNCTION("""COMPUTED_VALUE"""),45925)</f>
        <v>45925</v>
      </c>
      <c r="G1109" s="57">
        <f ca="1">IFERROR(__xludf.DUMMYFUNCTION("""COMPUTED_VALUE"""),45902)</f>
        <v>45902</v>
      </c>
      <c r="H1109" s="33" t="str">
        <f ca="1">IFERROR(__xludf.DUMMYFUNCTION("""COMPUTED_VALUE"""),"Alicante")</f>
        <v>Alicante</v>
      </c>
      <c r="I1109" s="33" t="str">
        <f ca="1">IFERROR(__xludf.DUMMYFUNCTION("""COMPUTED_VALUE"""),"C20259416449826")</f>
        <v>C20259416449826</v>
      </c>
      <c r="J1109" s="33" t="str">
        <f ca="1">IFERROR(__xludf.DUMMYFUNCTION("""COMPUTED_VALUE"""),"CIARAN BRENDAN BRACKEN")</f>
        <v>CIARAN BRENDAN BRACKEN</v>
      </c>
      <c r="K1109" s="33">
        <f ca="1">IFERROR(__xludf.DUMMYFUNCTION("""COMPUTED_VALUE"""),2)</f>
        <v>2</v>
      </c>
      <c r="L1109" s="203">
        <f ca="1">IFERROR(__xludf.DUMMYFUNCTION("""COMPUTED_VALUE"""),4136.36)</f>
        <v>4136.3599999999997</v>
      </c>
      <c r="M1109" s="33" t="str">
        <f ca="1">IFERROR(__xludf.DUMMYFUNCTION("""COMPUTED_VALUE"""),"03 ORL")</f>
        <v>03 ORL</v>
      </c>
      <c r="N1109" s="33" t="str">
        <f ca="1">IFERROR(__xludf.DUMMYFUNCTION("""COMPUTED_VALUE"""),"06 ORL")</f>
        <v>06 ORL</v>
      </c>
      <c r="O1109" s="33" t="str">
        <f ca="1">IFERROR(__xludf.DUMMYFUNCTION("""COMPUTED_VALUE"""),"Dr, Francisco Javier Cerdán Baeza")</f>
        <v>Dr, Francisco Javier Cerdán Baeza</v>
      </c>
      <c r="P1109" s="33" t="str">
        <f ca="1">IFERROR(__xludf.DUMMYFUNCTION("""COMPUTED_VALUE"""),"Iván Sánchez (Levante Y Albacete)")</f>
        <v>Iván Sánchez (Levante Y Albacete)</v>
      </c>
    </row>
    <row r="1110" spans="2:16">
      <c r="B1110" s="33">
        <f ca="1">IFERROR(__xludf.DUMMYFUNCTION("""COMPUTED_VALUE"""),2025)</f>
        <v>2025</v>
      </c>
      <c r="C1110" s="33">
        <f ca="1">IFERROR(__xludf.DUMMYFUNCTION("""COMPUTED_VALUE"""),9)</f>
        <v>9</v>
      </c>
      <c r="D1110" s="33" t="str">
        <f ca="1">IFERROR(__xludf.DUMMYFUNCTION("""COMPUTED_VALUE"""),"NO")</f>
        <v>NO</v>
      </c>
      <c r="E1110" s="33" t="str">
        <f ca="1">IFERROR(__xludf.DUMMYFUNCTION("""COMPUTED_VALUE"""),"Alicante")</f>
        <v>Alicante</v>
      </c>
      <c r="F1110" s="57">
        <f ca="1">IFERROR(__xludf.DUMMYFUNCTION("""COMPUTED_VALUE"""),45924)</f>
        <v>45924</v>
      </c>
      <c r="G1110" s="57">
        <f ca="1">IFERROR(__xludf.DUMMYFUNCTION("""COMPUTED_VALUE"""),45895)</f>
        <v>45895</v>
      </c>
      <c r="H1110" s="33" t="str">
        <f ca="1">IFERROR(__xludf.DUMMYFUNCTION("""COMPUTED_VALUE"""),"Alicante")</f>
        <v>Alicante</v>
      </c>
      <c r="I1110" s="33" t="str">
        <f ca="1">IFERROR(__xludf.DUMMYFUNCTION("""COMPUTED_VALUE"""),"C202593104026561")</f>
        <v>C202593104026561</v>
      </c>
      <c r="J1110" s="33" t="str">
        <f ca="1">IFERROR(__xludf.DUMMYFUNCTION("""COMPUTED_VALUE"""),"YOLANDA BURILLO ADROVER")</f>
        <v>YOLANDA BURILLO ADROVER</v>
      </c>
      <c r="K1110" s="33">
        <f ca="1">IFERROR(__xludf.DUMMYFUNCTION("""COMPUTED_VALUE"""),1)</f>
        <v>1</v>
      </c>
      <c r="L1110" s="203">
        <f ca="1">IFERROR(__xludf.DUMMYFUNCTION("""COMPUTED_VALUE"""),2481.82)</f>
        <v>2481.8200000000002</v>
      </c>
      <c r="M1110" s="33" t="str">
        <f ca="1">IFERROR(__xludf.DUMMYFUNCTION("""COMPUTED_VALUE"""),"03 ORL")</f>
        <v>03 ORL</v>
      </c>
      <c r="N1110" s="33" t="str">
        <f ca="1">IFERROR(__xludf.DUMMYFUNCTION("""COMPUTED_VALUE"""),"06 ORL")</f>
        <v>06 ORL</v>
      </c>
      <c r="O1110" s="33" t="str">
        <f ca="1">IFERROR(__xludf.DUMMYFUNCTION("""COMPUTED_VALUE"""),"Dra, Mónica Rodríguez Briceño")</f>
        <v>Dra, Mónica Rodríguez Briceño</v>
      </c>
      <c r="P1110" s="33" t="str">
        <f ca="1">IFERROR(__xludf.DUMMYFUNCTION("""COMPUTED_VALUE"""),"Iván Sánchez (Levante Y Albacete)")</f>
        <v>Iván Sánchez (Levante Y Albacete)</v>
      </c>
    </row>
    <row r="1111" spans="2:16">
      <c r="B1111" s="33">
        <f ca="1">IFERROR(__xludf.DUMMYFUNCTION("""COMPUTED_VALUE"""),2025)</f>
        <v>2025</v>
      </c>
      <c r="C1111" s="33">
        <f ca="1">IFERROR(__xludf.DUMMYFUNCTION("""COMPUTED_VALUE"""),9)</f>
        <v>9</v>
      </c>
      <c r="D1111" s="33" t="str">
        <f ca="1">IFERROR(__xludf.DUMMYFUNCTION("""COMPUTED_VALUE"""),"NO")</f>
        <v>NO</v>
      </c>
      <c r="E1111" s="1" t="str">
        <f ca="1">IFERROR(__xludf.DUMMYFUNCTION("""COMPUTED_VALUE"""),"Barcelona- Córcega")</f>
        <v>Barcelona- Córcega</v>
      </c>
      <c r="F1111" s="57">
        <f ca="1">IFERROR(__xludf.DUMMYFUNCTION("""COMPUTED_VALUE"""),45926)</f>
        <v>45926</v>
      </c>
      <c r="G1111" s="57">
        <f ca="1">IFERROR(__xludf.DUMMYFUNCTION("""COMPUTED_VALUE"""),45860)</f>
        <v>45860</v>
      </c>
      <c r="H1111" s="33" t="str">
        <f ca="1">IFERROR(__xludf.DUMMYFUNCTION("""COMPUTED_VALUE"""),"Córcega")</f>
        <v>Córcega</v>
      </c>
      <c r="I1111" s="33" t="str">
        <f ca="1">IFERROR(__xludf.DUMMYFUNCTION("""COMPUTED_VALUE"""),"C2025729112114817")</f>
        <v>C2025729112114817</v>
      </c>
      <c r="J1111" s="1" t="str">
        <f ca="1">IFERROR(__xludf.DUMMYFUNCTION("""COMPUTED_VALUE"""),"JOSEFINA  MILANES LOPEZ")</f>
        <v>JOSEFINA  MILANES LOPEZ</v>
      </c>
      <c r="K1111" s="33">
        <f ca="1">IFERROR(__xludf.DUMMYFUNCTION("""COMPUTED_VALUE"""),2)</f>
        <v>2</v>
      </c>
      <c r="L1111" s="203">
        <f ca="1">IFERROR(__xludf.DUMMYFUNCTION("""COMPUTED_VALUE"""),3710)</f>
        <v>3710</v>
      </c>
      <c r="M1111" s="33" t="str">
        <f ca="1">IFERROR(__xludf.DUMMYFUNCTION("""COMPUTED_VALUE"""),"03 ORL")</f>
        <v>03 ORL</v>
      </c>
      <c r="N1111" s="33" t="str">
        <f ca="1">IFERROR(__xludf.DUMMYFUNCTION("""COMPUTED_VALUE"""),"06 ORL")</f>
        <v>06 ORL</v>
      </c>
      <c r="O1111" s="1" t="str">
        <f ca="1">IFERROR(__xludf.DUMMYFUNCTION("""COMPUTED_VALUE"""),"Dr, Camilo Rodríguez Van Strahle")</f>
        <v>Dr, Camilo Rodríguez Van Strahle</v>
      </c>
      <c r="P1111" s="33" t="str">
        <f ca="1">IFERROR(__xludf.DUMMYFUNCTION("""COMPUTED_VALUE"""),"Mercè Cabrera (Cataluña Y Baleares)")</f>
        <v>Mercè Cabrera (Cataluña Y Baleares)</v>
      </c>
    </row>
    <row r="1112" spans="2:16">
      <c r="B1112" s="33">
        <f ca="1">IFERROR(__xludf.DUMMYFUNCTION("""COMPUTED_VALUE"""),2025)</f>
        <v>2025</v>
      </c>
      <c r="C1112" s="33">
        <f ca="1">IFERROR(__xludf.DUMMYFUNCTION("""COMPUTED_VALUE"""),9)</f>
        <v>9</v>
      </c>
      <c r="D1112" s="33" t="str">
        <f ca="1">IFERROR(__xludf.DUMMYFUNCTION("""COMPUTED_VALUE"""),"NO")</f>
        <v>NO</v>
      </c>
      <c r="E1112" s="33" t="str">
        <f ca="1">IFERROR(__xludf.DUMMYFUNCTION("""COMPUTED_VALUE"""),"Barcelona- Fabra i Puig")</f>
        <v>Barcelona- Fabra i Puig</v>
      </c>
      <c r="F1112" s="57">
        <f ca="1">IFERROR(__xludf.DUMMYFUNCTION("""COMPUTED_VALUE"""),45923)</f>
        <v>45923</v>
      </c>
      <c r="G1112" s="57">
        <f ca="1">IFERROR(__xludf.DUMMYFUNCTION("""COMPUTED_VALUE"""),45853)</f>
        <v>45853</v>
      </c>
      <c r="H1112" s="33" t="str">
        <f ca="1">IFERROR(__xludf.DUMMYFUNCTION("""COMPUTED_VALUE"""),"Fabra")</f>
        <v>Fabra</v>
      </c>
      <c r="I1112" s="33" t="str">
        <f ca="1">IFERROR(__xludf.DUMMYFUNCTION("""COMPUTED_VALUE"""),"C2025912124422319")</f>
        <v>C2025912124422319</v>
      </c>
      <c r="J1112" s="33" t="str">
        <f ca="1">IFERROR(__xludf.DUMMYFUNCTION("""COMPUTED_VALUE"""),"PURIFICACIÓN SANTAMARTA GARCÍA")</f>
        <v>PURIFICACIÓN SANTAMARTA GARCÍA</v>
      </c>
      <c r="K1112" s="33">
        <f ca="1">IFERROR(__xludf.DUMMYFUNCTION("""COMPUTED_VALUE"""),2)</f>
        <v>2</v>
      </c>
      <c r="L1112" s="203">
        <f ca="1">IFERROR(__xludf.DUMMYFUNCTION("""COMPUTED_VALUE"""),2718.18)</f>
        <v>2718.18</v>
      </c>
      <c r="M1112" s="33" t="str">
        <f ca="1">IFERROR(__xludf.DUMMYFUNCTION("""COMPUTED_VALUE"""),"03 ORL")</f>
        <v>03 ORL</v>
      </c>
      <c r="N1112" s="33" t="str">
        <f ca="1">IFERROR(__xludf.DUMMYFUNCTION("""COMPUTED_VALUE"""),"06 ORL")</f>
        <v>06 ORL</v>
      </c>
      <c r="O1112" s="33" t="str">
        <f ca="1">IFERROR(__xludf.DUMMYFUNCTION("""COMPUTED_VALUE"""),"Dra, Paula López Mesa")</f>
        <v>Dra, Paula López Mesa</v>
      </c>
      <c r="P1112" s="33" t="str">
        <f ca="1">IFERROR(__xludf.DUMMYFUNCTION("""COMPUTED_VALUE"""),"Mercè Cabrera (Cataluña Y Baleares)")</f>
        <v>Mercè Cabrera (Cataluña Y Baleares)</v>
      </c>
    </row>
    <row r="1113" spans="2:16">
      <c r="B1113" s="33">
        <f ca="1">IFERROR(__xludf.DUMMYFUNCTION("""COMPUTED_VALUE"""),2025)</f>
        <v>2025</v>
      </c>
      <c r="C1113" s="33">
        <f ca="1">IFERROR(__xludf.DUMMYFUNCTION("""COMPUTED_VALUE"""),9)</f>
        <v>9</v>
      </c>
      <c r="D1113" s="33" t="str">
        <f ca="1">IFERROR(__xludf.DUMMYFUNCTION("""COMPUTED_VALUE"""),"NO")</f>
        <v>NO</v>
      </c>
      <c r="E1113" s="33" t="str">
        <f ca="1">IFERROR(__xludf.DUMMYFUNCTION("""COMPUTED_VALUE"""),"El Albir (Benidorm)")</f>
        <v>El Albir (Benidorm)</v>
      </c>
      <c r="F1113" s="57">
        <f ca="1">IFERROR(__xludf.DUMMYFUNCTION("""COMPUTED_VALUE"""),45918)</f>
        <v>45918</v>
      </c>
      <c r="G1113" s="57">
        <f ca="1">IFERROR(__xludf.DUMMYFUNCTION("""COMPUTED_VALUE"""),45876)</f>
        <v>45876</v>
      </c>
      <c r="H1113" s="33" t="str">
        <f ca="1">IFERROR(__xludf.DUMMYFUNCTION("""COMPUTED_VALUE"""),"El Albir (Benidorm)")</f>
        <v>El Albir (Benidorm)</v>
      </c>
      <c r="I1113" s="33" t="str">
        <f ca="1">IFERROR(__xludf.DUMMYFUNCTION("""COMPUTED_VALUE"""),"C2025821123847841")</f>
        <v>C2025821123847841</v>
      </c>
      <c r="J1113" s="33" t="str">
        <f ca="1">IFERROR(__xludf.DUMMYFUNCTION("""COMPUTED_VALUE"""),"JOSE MOLINA ANGEL")</f>
        <v>JOSE MOLINA ANGEL</v>
      </c>
      <c r="K1113" s="33">
        <f ca="1">IFERROR(__xludf.DUMMYFUNCTION("""COMPUTED_VALUE"""),2)</f>
        <v>2</v>
      </c>
      <c r="L1113" s="203">
        <f ca="1">IFERROR(__xludf.DUMMYFUNCTION("""COMPUTED_VALUE"""),4536.36)</f>
        <v>4536.3599999999997</v>
      </c>
      <c r="M1113" s="33" t="str">
        <f ca="1">IFERROR(__xludf.DUMMYFUNCTION("""COMPUTED_VALUE"""),"03 ORL")</f>
        <v>03 ORL</v>
      </c>
      <c r="N1113" s="33" t="str">
        <f ca="1">IFERROR(__xludf.DUMMYFUNCTION("""COMPUTED_VALUE"""),"06 ORL")</f>
        <v>06 ORL</v>
      </c>
      <c r="O1113" s="33" t="str">
        <f ca="1">IFERROR(__xludf.DUMMYFUNCTION("""COMPUTED_VALUE"""),"Dra, Isabel Polo Tomás")</f>
        <v>Dra, Isabel Polo Tomás</v>
      </c>
      <c r="P1113" s="33" t="str">
        <f ca="1">IFERROR(__xludf.DUMMYFUNCTION("""COMPUTED_VALUE"""),"Ramon Ferrando(Valencia)")</f>
        <v>Ramon Ferrando(Valencia)</v>
      </c>
    </row>
    <row r="1114" spans="2:16">
      <c r="B1114" s="33">
        <f ca="1">IFERROR(__xludf.DUMMYFUNCTION("""COMPUTED_VALUE"""),2025)</f>
        <v>2025</v>
      </c>
      <c r="C1114" s="33">
        <f ca="1">IFERROR(__xludf.DUMMYFUNCTION("""COMPUTED_VALUE"""),9)</f>
        <v>9</v>
      </c>
      <c r="D1114" s="33" t="str">
        <f ca="1">IFERROR(__xludf.DUMMYFUNCTION("""COMPUTED_VALUE"""),"NO")</f>
        <v>NO</v>
      </c>
      <c r="E1114" s="33" t="str">
        <f ca="1">IFERROR(__xludf.DUMMYFUNCTION("""COMPUTED_VALUE"""),"El Albir (Benidorm)")</f>
        <v>El Albir (Benidorm)</v>
      </c>
      <c r="F1114" s="57">
        <f ca="1">IFERROR(__xludf.DUMMYFUNCTION("""COMPUTED_VALUE"""),45924)</f>
        <v>45924</v>
      </c>
      <c r="G1114" s="57">
        <f ca="1">IFERROR(__xludf.DUMMYFUNCTION("""COMPUTED_VALUE"""),45909)</f>
        <v>45909</v>
      </c>
      <c r="H1114" s="33" t="str">
        <f ca="1">IFERROR(__xludf.DUMMYFUNCTION("""COMPUTED_VALUE"""),"El Albir (Benidorm)")</f>
        <v>El Albir (Benidorm)</v>
      </c>
      <c r="I1114" s="33" t="str">
        <f ca="1">IFERROR(__xludf.DUMMYFUNCTION("""COMPUTED_VALUE"""),"C202591592845120")</f>
        <v>C202591592845120</v>
      </c>
      <c r="J1114" s="33" t="str">
        <f ca="1">IFERROR(__xludf.DUMMYFUNCTION("""COMPUTED_VALUE"""),"GEOFFREY HEATHCOTE")</f>
        <v>GEOFFREY HEATHCOTE</v>
      </c>
      <c r="K1114" s="33">
        <f ca="1">IFERROR(__xludf.DUMMYFUNCTION("""COMPUTED_VALUE"""),2)</f>
        <v>2</v>
      </c>
      <c r="L1114" s="203">
        <f ca="1">IFERROR(__xludf.DUMMYFUNCTION("""COMPUTED_VALUE"""),4000)</f>
        <v>4000</v>
      </c>
      <c r="M1114" s="33" t="str">
        <f ca="1">IFERROR(__xludf.DUMMYFUNCTION("""COMPUTED_VALUE"""),"03 ORL")</f>
        <v>03 ORL</v>
      </c>
      <c r="N1114" s="33" t="str">
        <f ca="1">IFERROR(__xludf.DUMMYFUNCTION("""COMPUTED_VALUE"""),"06 ORL")</f>
        <v>06 ORL</v>
      </c>
      <c r="O1114" s="33" t="str">
        <f ca="1">IFERROR(__xludf.DUMMYFUNCTION("""COMPUTED_VALUE"""),"Dr, Lino Enguidanos Hernandorena")</f>
        <v>Dr, Lino Enguidanos Hernandorena</v>
      </c>
      <c r="P1114" s="33" t="str">
        <f ca="1">IFERROR(__xludf.DUMMYFUNCTION("""COMPUTED_VALUE"""),"Ramon Ferrando(Valencia)")</f>
        <v>Ramon Ferrando(Valencia)</v>
      </c>
    </row>
    <row r="1115" spans="2:16">
      <c r="B1115" s="33">
        <f ca="1">IFERROR(__xludf.DUMMYFUNCTION("""COMPUTED_VALUE"""),2025)</f>
        <v>2025</v>
      </c>
      <c r="C1115" s="33">
        <f ca="1">IFERROR(__xludf.DUMMYFUNCTION("""COMPUTED_VALUE"""),9)</f>
        <v>9</v>
      </c>
      <c r="D1115" s="33" t="str">
        <f ca="1">IFERROR(__xludf.DUMMYFUNCTION("""COMPUTED_VALUE"""),"NO")</f>
        <v>NO</v>
      </c>
      <c r="E1115" s="33" t="str">
        <f ca="1">IFERROR(__xludf.DUMMYFUNCTION("""COMPUTED_VALUE"""),"El Albir (Benidorm)")</f>
        <v>El Albir (Benidorm)</v>
      </c>
      <c r="F1115" s="57">
        <f ca="1">IFERROR(__xludf.DUMMYFUNCTION("""COMPUTED_VALUE"""),45930)</f>
        <v>45930</v>
      </c>
      <c r="G1115" s="57">
        <f ca="1">IFERROR(__xludf.DUMMYFUNCTION("""COMPUTED_VALUE"""),45903)</f>
        <v>45903</v>
      </c>
      <c r="H1115" s="33" t="str">
        <f ca="1">IFERROR(__xludf.DUMMYFUNCTION("""COMPUTED_VALUE"""),"El Albir (Benidorm)")</f>
        <v>El Albir (Benidorm)</v>
      </c>
      <c r="I1115" s="33" t="str">
        <f ca="1">IFERROR(__xludf.DUMMYFUNCTION("""COMPUTED_VALUE"""),"C202591011421837")</f>
        <v>C202591011421837</v>
      </c>
      <c r="J1115" s="33" t="str">
        <f ca="1">IFERROR(__xludf.DUMMYFUNCTION("""COMPUTED_VALUE"""),"JOSE MANUEL  SANZ FAILDE")</f>
        <v>JOSE MANUEL  SANZ FAILDE</v>
      </c>
      <c r="K1115" s="33">
        <f ca="1">IFERROR(__xludf.DUMMYFUNCTION("""COMPUTED_VALUE"""),2)</f>
        <v>2</v>
      </c>
      <c r="L1115" s="203">
        <f ca="1">IFERROR(__xludf.DUMMYFUNCTION("""COMPUTED_VALUE"""),4136.36)</f>
        <v>4136.3599999999997</v>
      </c>
      <c r="M1115" s="33" t="str">
        <f ca="1">IFERROR(__xludf.DUMMYFUNCTION("""COMPUTED_VALUE"""),"03 ORL")</f>
        <v>03 ORL</v>
      </c>
      <c r="N1115" s="33" t="str">
        <f ca="1">IFERROR(__xludf.DUMMYFUNCTION("""COMPUTED_VALUE"""),"06 ORL")</f>
        <v>06 ORL</v>
      </c>
      <c r="O1115" s="33" t="str">
        <f ca="1">IFERROR(__xludf.DUMMYFUNCTION("""COMPUTED_VALUE"""),"Dr, Salwa Laraqui Hossini")</f>
        <v>Dr, Salwa Laraqui Hossini</v>
      </c>
      <c r="P1115" s="33" t="str">
        <f ca="1">IFERROR(__xludf.DUMMYFUNCTION("""COMPUTED_VALUE"""),"Iván Sánchez (Levante Y Albacete)")</f>
        <v>Iván Sánchez (Levante Y Albacete)</v>
      </c>
    </row>
    <row r="1116" spans="2:16">
      <c r="B1116" s="33">
        <f ca="1">IFERROR(__xludf.DUMMYFUNCTION("""COMPUTED_VALUE"""),2025)</f>
        <v>2025</v>
      </c>
      <c r="C1116" s="33">
        <f ca="1">IFERROR(__xludf.DUMMYFUNCTION("""COMPUTED_VALUE"""),9)</f>
        <v>9</v>
      </c>
      <c r="D1116" s="33" t="str">
        <f ca="1">IFERROR(__xludf.DUMMYFUNCTION("""COMPUTED_VALUE"""),"NO")</f>
        <v>NO</v>
      </c>
      <c r="E1116" s="33" t="str">
        <f ca="1">IFERROR(__xludf.DUMMYFUNCTION("""COMPUTED_VALUE"""),"El Albir (Benidorm)")</f>
        <v>El Albir (Benidorm)</v>
      </c>
      <c r="F1116" s="57">
        <f ca="1">IFERROR(__xludf.DUMMYFUNCTION("""COMPUTED_VALUE"""),45923)</f>
        <v>45923</v>
      </c>
      <c r="G1116" s="57">
        <f ca="1">IFERROR(__xludf.DUMMYFUNCTION("""COMPUTED_VALUE"""),45887)</f>
        <v>45887</v>
      </c>
      <c r="H1116" s="33" t="str">
        <f ca="1">IFERROR(__xludf.DUMMYFUNCTION("""COMPUTED_VALUE"""),"El Albir (Benidorm)")</f>
        <v>El Albir (Benidorm)</v>
      </c>
      <c r="I1116" s="33" t="str">
        <f ca="1">IFERROR(__xludf.DUMMYFUNCTION("""COMPUTED_VALUE"""),"C20258229546440")</f>
        <v>C20258229546440</v>
      </c>
      <c r="J1116" s="33" t="str">
        <f ca="1">IFERROR(__xludf.DUMMYFUNCTION("""COMPUTED_VALUE"""),"ROSA PONT PASCUAL")</f>
        <v>ROSA PONT PASCUAL</v>
      </c>
      <c r="K1116" s="33">
        <f ca="1">IFERROR(__xludf.DUMMYFUNCTION("""COMPUTED_VALUE"""),2)</f>
        <v>2</v>
      </c>
      <c r="L1116" s="203">
        <f ca="1">IFERROR(__xludf.DUMMYFUNCTION("""COMPUTED_VALUE"""),3631.82)</f>
        <v>3631.82</v>
      </c>
      <c r="M1116" s="33" t="str">
        <f ca="1">IFERROR(__xludf.DUMMYFUNCTION("""COMPUTED_VALUE"""),"03 ORL")</f>
        <v>03 ORL</v>
      </c>
      <c r="N1116" s="33" t="str">
        <f ca="1">IFERROR(__xludf.DUMMYFUNCTION("""COMPUTED_VALUE"""),"06 ORL")</f>
        <v>06 ORL</v>
      </c>
      <c r="O1116" s="33" t="str">
        <f ca="1">IFERROR(__xludf.DUMMYFUNCTION("""COMPUTED_VALUE"""),"Dra, María Emilia García Ruiz")</f>
        <v>Dra, María Emilia García Ruiz</v>
      </c>
      <c r="P1116" s="33" t="str">
        <f ca="1">IFERROR(__xludf.DUMMYFUNCTION("""COMPUTED_VALUE"""),"Ramon Ferrando(Valencia)")</f>
        <v>Ramon Ferrando(Valencia)</v>
      </c>
    </row>
    <row r="1117" spans="2:16">
      <c r="B1117" s="33">
        <f ca="1">IFERROR(__xludf.DUMMYFUNCTION("""COMPUTED_VALUE"""),2025)</f>
        <v>2025</v>
      </c>
      <c r="C1117" s="33">
        <f ca="1">IFERROR(__xludf.DUMMYFUNCTION("""COMPUTED_VALUE"""),9)</f>
        <v>9</v>
      </c>
      <c r="D1117" s="33" t="str">
        <f ca="1">IFERROR(__xludf.DUMMYFUNCTION("""COMPUTED_VALUE"""),"NO")</f>
        <v>NO</v>
      </c>
      <c r="E1117" s="33" t="str">
        <f ca="1">IFERROR(__xludf.DUMMYFUNCTION("""COMPUTED_VALUE"""),"Fuenlabrada")</f>
        <v>Fuenlabrada</v>
      </c>
      <c r="F1117" s="57">
        <f ca="1">IFERROR(__xludf.DUMMYFUNCTION("""COMPUTED_VALUE"""),45926)</f>
        <v>45926</v>
      </c>
      <c r="G1117" s="57">
        <f ca="1">IFERROR(__xludf.DUMMYFUNCTION("""COMPUTED_VALUE"""),43134)</f>
        <v>43134</v>
      </c>
      <c r="H1117" s="33" t="str">
        <f ca="1">IFERROR(__xludf.DUMMYFUNCTION("""COMPUTED_VALUE"""),"Fuenlabrada")</f>
        <v>Fuenlabrada</v>
      </c>
      <c r="I1117" s="33" t="str">
        <f ca="1">IFERROR(__xludf.DUMMYFUNCTION("""COMPUTED_VALUE"""),"FNL-1469")</f>
        <v>FNL-1469</v>
      </c>
      <c r="J1117" s="33" t="str">
        <f ca="1">IFERROR(__xludf.DUMMYFUNCTION("""COMPUTED_VALUE"""),"JOSE LUIS BOIX LOPEZ")</f>
        <v>JOSE LUIS BOIX LOPEZ</v>
      </c>
      <c r="K1117" s="33">
        <f ca="1">IFERROR(__xludf.DUMMYFUNCTION("""COMPUTED_VALUE"""),2)</f>
        <v>2</v>
      </c>
      <c r="L1117" s="203">
        <f ca="1">IFERROR(__xludf.DUMMYFUNCTION("""COMPUTED_VALUE"""),2718.18)</f>
        <v>2718.18</v>
      </c>
      <c r="M1117" s="33" t="str">
        <f ca="1">IFERROR(__xludf.DUMMYFUNCTION("""COMPUTED_VALUE"""),"03 ORL")</f>
        <v>03 ORL</v>
      </c>
      <c r="N1117" s="33" t="str">
        <f ca="1">IFERROR(__xludf.DUMMYFUNCTION("""COMPUTED_VALUE"""),"06 ORL")</f>
        <v>06 ORL</v>
      </c>
      <c r="O1117" s="33" t="str">
        <f ca="1">IFERROR(__xludf.DUMMYFUNCTION("""COMPUTED_VALUE"""),"Dra, Cristina García García")</f>
        <v>Dra, Cristina García García</v>
      </c>
      <c r="P1117" s="33" t="str">
        <f ca="1">IFERROR(__xludf.DUMMYFUNCTION("""COMPUTED_VALUE"""),"Maika Blázquez (Madrid)")</f>
        <v>Maika Blázquez (Madrid)</v>
      </c>
    </row>
    <row r="1118" spans="2:16">
      <c r="B1118" s="33">
        <f ca="1">IFERROR(__xludf.DUMMYFUNCTION("""COMPUTED_VALUE"""),2025)</f>
        <v>2025</v>
      </c>
      <c r="C1118" s="33">
        <f ca="1">IFERROR(__xludf.DUMMYFUNCTION("""COMPUTED_VALUE"""),9)</f>
        <v>9</v>
      </c>
      <c r="D1118" s="33" t="str">
        <f ca="1">IFERROR(__xludf.DUMMYFUNCTION("""COMPUTED_VALUE"""),"NO")</f>
        <v>NO</v>
      </c>
      <c r="E1118" s="33" t="str">
        <f ca="1">IFERROR(__xludf.DUMMYFUNCTION("""COMPUTED_VALUE"""),"Fuenlabrada")</f>
        <v>Fuenlabrada</v>
      </c>
      <c r="F1118" s="57">
        <f ca="1">IFERROR(__xludf.DUMMYFUNCTION("""COMPUTED_VALUE"""),45925)</f>
        <v>45925</v>
      </c>
      <c r="G1118" s="57">
        <f ca="1">IFERROR(__xludf.DUMMYFUNCTION("""COMPUTED_VALUE"""),45908)</f>
        <v>45908</v>
      </c>
      <c r="H1118" s="33" t="str">
        <f ca="1">IFERROR(__xludf.DUMMYFUNCTION("""COMPUTED_VALUE"""),"Fuenlabrada")</f>
        <v>Fuenlabrada</v>
      </c>
      <c r="I1118" s="33"/>
      <c r="J1118" s="33" t="str">
        <f ca="1">IFERROR(__xludf.DUMMYFUNCTION("""COMPUTED_VALUE"""),"MARÍA DEL CARMEN GONZALEZ SORIANO")</f>
        <v>MARÍA DEL CARMEN GONZALEZ SORIANO</v>
      </c>
      <c r="K1118" s="33">
        <f ca="1">IFERROR(__xludf.DUMMYFUNCTION("""COMPUTED_VALUE"""),1)</f>
        <v>1</v>
      </c>
      <c r="L1118" s="203">
        <f ca="1">IFERROR(__xludf.DUMMYFUNCTION("""COMPUTED_VALUE"""),2180.91)</f>
        <v>2180.91</v>
      </c>
      <c r="M1118" s="33" t="str">
        <f ca="1">IFERROR(__xludf.DUMMYFUNCTION("""COMPUTED_VALUE"""),"03 ORL")</f>
        <v>03 ORL</v>
      </c>
      <c r="N1118" s="33" t="str">
        <f ca="1">IFERROR(__xludf.DUMMYFUNCTION("""COMPUTED_VALUE"""),"06 ORL")</f>
        <v>06 ORL</v>
      </c>
      <c r="O1118" s="33" t="str">
        <f ca="1">IFERROR(__xludf.DUMMYFUNCTION("""COMPUTED_VALUE"""),"Dr, Raimundo Andres Navarro Mediano")</f>
        <v>Dr, Raimundo Andres Navarro Mediano</v>
      </c>
      <c r="P1118" s="33" t="str">
        <f ca="1">IFERROR(__xludf.DUMMYFUNCTION("""COMPUTED_VALUE"""),"Maika Blázquez (Madrid)")</f>
        <v>Maika Blázquez (Madrid)</v>
      </c>
    </row>
    <row r="1119" spans="2:16">
      <c r="B1119" s="33">
        <f ca="1">IFERROR(__xludf.DUMMYFUNCTION("""COMPUTED_VALUE"""),2025)</f>
        <v>2025</v>
      </c>
      <c r="C1119" s="33">
        <f ca="1">IFERROR(__xludf.DUMMYFUNCTION("""COMPUTED_VALUE"""),9)</f>
        <v>9</v>
      </c>
      <c r="D1119" s="33" t="str">
        <f ca="1">IFERROR(__xludf.DUMMYFUNCTION("""COMPUTED_VALUE"""),"NO")</f>
        <v>NO</v>
      </c>
      <c r="E1119" s="33" t="str">
        <f ca="1">IFERROR(__xludf.DUMMYFUNCTION("""COMPUTED_VALUE"""),"Fuenlabrada")</f>
        <v>Fuenlabrada</v>
      </c>
      <c r="F1119" s="57">
        <f ca="1">IFERROR(__xludf.DUMMYFUNCTION("""COMPUTED_VALUE"""),45930)</f>
        <v>45930</v>
      </c>
      <c r="G1119" s="57">
        <f ca="1">IFERROR(__xludf.DUMMYFUNCTION("""COMPUTED_VALUE"""),45902)</f>
        <v>45902</v>
      </c>
      <c r="H1119" s="33" t="str">
        <f ca="1">IFERROR(__xludf.DUMMYFUNCTION("""COMPUTED_VALUE"""),"Fuenlabrada")</f>
        <v>Fuenlabrada</v>
      </c>
      <c r="I1119" s="33" t="str">
        <f ca="1">IFERROR(__xludf.DUMMYFUNCTION("""COMPUTED_VALUE"""),"C2025951159016")</f>
        <v>C2025951159016</v>
      </c>
      <c r="J1119" s="33" t="str">
        <f ca="1">IFERROR(__xludf.DUMMYFUNCTION("""COMPUTED_VALUE"""),"PAULA ADELAIDA MARTIN ZAZO")</f>
        <v>PAULA ADELAIDA MARTIN ZAZO</v>
      </c>
      <c r="K1119" s="33">
        <f ca="1">IFERROR(__xludf.DUMMYFUNCTION("""COMPUTED_VALUE"""),2)</f>
        <v>2</v>
      </c>
      <c r="L1119" s="203">
        <f ca="1">IFERROR(__xludf.DUMMYFUNCTION("""COMPUTED_VALUE"""),2718.18)</f>
        <v>2718.18</v>
      </c>
      <c r="M1119" s="33" t="str">
        <f ca="1">IFERROR(__xludf.DUMMYFUNCTION("""COMPUTED_VALUE"""),"03 ORL")</f>
        <v>03 ORL</v>
      </c>
      <c r="N1119" s="33" t="str">
        <f ca="1">IFERROR(__xludf.DUMMYFUNCTION("""COMPUTED_VALUE"""),"06 ORL")</f>
        <v>06 ORL</v>
      </c>
      <c r="O1119" s="33" t="str">
        <f ca="1">IFERROR(__xludf.DUMMYFUNCTION("""COMPUTED_VALUE"""),"Dra, Victoria García Peces")</f>
        <v>Dra, Victoria García Peces</v>
      </c>
      <c r="P1119" s="33" t="str">
        <f ca="1">IFERROR(__xludf.DUMMYFUNCTION("""COMPUTED_VALUE"""),"Maika Blázquez (Madrid)")</f>
        <v>Maika Blázquez (Madrid)</v>
      </c>
    </row>
    <row r="1120" spans="2:16">
      <c r="B1120" s="33">
        <f ca="1">IFERROR(__xludf.DUMMYFUNCTION("""COMPUTED_VALUE"""),2025)</f>
        <v>2025</v>
      </c>
      <c r="C1120" s="33">
        <f ca="1">IFERROR(__xludf.DUMMYFUNCTION("""COMPUTED_VALUE"""),9)</f>
        <v>9</v>
      </c>
      <c r="D1120" s="33" t="str">
        <f ca="1">IFERROR(__xludf.DUMMYFUNCTION("""COMPUTED_VALUE"""),"NO")</f>
        <v>NO</v>
      </c>
      <c r="E1120" s="33" t="str">
        <f ca="1">IFERROR(__xludf.DUMMYFUNCTION("""COMPUTED_VALUE"""),"Getafe")</f>
        <v>Getafe</v>
      </c>
      <c r="F1120" s="57">
        <f ca="1">IFERROR(__xludf.DUMMYFUNCTION("""COMPUTED_VALUE"""),45926)</f>
        <v>45926</v>
      </c>
      <c r="G1120" s="57">
        <f ca="1">IFERROR(__xludf.DUMMYFUNCTION("""COMPUTED_VALUE"""),45870)</f>
        <v>45870</v>
      </c>
      <c r="H1120" s="33" t="str">
        <f ca="1">IFERROR(__xludf.DUMMYFUNCTION("""COMPUTED_VALUE"""),"Getafe")</f>
        <v>Getafe</v>
      </c>
      <c r="I1120" s="33" t="str">
        <f ca="1">IFERROR(__xludf.DUMMYFUNCTION("""COMPUTED_VALUE"""),"C2025822104014712")</f>
        <v>C2025822104014712</v>
      </c>
      <c r="J1120" s="33" t="str">
        <f ca="1">IFERROR(__xludf.DUMMYFUNCTION("""COMPUTED_VALUE"""),"BERNARDA GONZALEZ GALARZA")</f>
        <v>BERNARDA GONZALEZ GALARZA</v>
      </c>
      <c r="K1120" s="33">
        <f ca="1">IFERROR(__xludf.DUMMYFUNCTION("""COMPUTED_VALUE"""),2)</f>
        <v>2</v>
      </c>
      <c r="L1120" s="203">
        <f ca="1">IFERROR(__xludf.DUMMYFUNCTION("""COMPUTED_VALUE"""),3450.23)</f>
        <v>3450.23</v>
      </c>
      <c r="M1120" s="33" t="str">
        <f ca="1">IFERROR(__xludf.DUMMYFUNCTION("""COMPUTED_VALUE"""),"03 ORL")</f>
        <v>03 ORL</v>
      </c>
      <c r="N1120" s="33" t="str">
        <f ca="1">IFERROR(__xludf.DUMMYFUNCTION("""COMPUTED_VALUE"""),"06 ORL")</f>
        <v>06 ORL</v>
      </c>
      <c r="O1120" s="33" t="str">
        <f ca="1">IFERROR(__xludf.DUMMYFUNCTION("""COMPUTED_VALUE"""),"Dra, Marta Colmenero Ruiz")</f>
        <v>Dra, Marta Colmenero Ruiz</v>
      </c>
      <c r="P1120" s="33" t="str">
        <f ca="1">IFERROR(__xludf.DUMMYFUNCTION("""COMPUTED_VALUE"""),"Maika Blázquez (Madrid)")</f>
        <v>Maika Blázquez (Madrid)</v>
      </c>
    </row>
    <row r="1121" spans="2:16">
      <c r="B1121" s="33">
        <f ca="1">IFERROR(__xludf.DUMMYFUNCTION("""COMPUTED_VALUE"""),2025)</f>
        <v>2025</v>
      </c>
      <c r="C1121" s="33">
        <f ca="1">IFERROR(__xludf.DUMMYFUNCTION("""COMPUTED_VALUE"""),9)</f>
        <v>9</v>
      </c>
      <c r="D1121" s="33" t="str">
        <f ca="1">IFERROR(__xludf.DUMMYFUNCTION("""COMPUTED_VALUE"""),"NO")</f>
        <v>NO</v>
      </c>
      <c r="E1121" s="33" t="str">
        <f ca="1">IFERROR(__xludf.DUMMYFUNCTION("""COMPUTED_VALUE"""),"Getafe")</f>
        <v>Getafe</v>
      </c>
      <c r="F1121" s="57">
        <f ca="1">IFERROR(__xludf.DUMMYFUNCTION("""COMPUTED_VALUE"""),45924)</f>
        <v>45924</v>
      </c>
      <c r="G1121" s="57">
        <f ca="1">IFERROR(__xludf.DUMMYFUNCTION("""COMPUTED_VALUE"""),45908)</f>
        <v>45908</v>
      </c>
      <c r="H1121" s="33" t="str">
        <f ca="1">IFERROR(__xludf.DUMMYFUNCTION("""COMPUTED_VALUE"""),"Getafe")</f>
        <v>Getafe</v>
      </c>
      <c r="I1121" s="33" t="str">
        <f ca="1">IFERROR(__xludf.DUMMYFUNCTION("""COMPUTED_VALUE"""),"C20259101779829")</f>
        <v>C20259101779829</v>
      </c>
      <c r="J1121" s="33" t="str">
        <f ca="1">IFERROR(__xludf.DUMMYFUNCTION("""COMPUTED_VALUE"""),"MARIA NARVAEZ PUERTO")</f>
        <v>MARIA NARVAEZ PUERTO</v>
      </c>
      <c r="K1121" s="33">
        <f ca="1">IFERROR(__xludf.DUMMYFUNCTION("""COMPUTED_VALUE"""),1)</f>
        <v>1</v>
      </c>
      <c r="L1121" s="203">
        <f ca="1">IFERROR(__xludf.DUMMYFUNCTION("""COMPUTED_VALUE"""),2357.73)</f>
        <v>2357.73</v>
      </c>
      <c r="M1121" s="33" t="str">
        <f ca="1">IFERROR(__xludf.DUMMYFUNCTION("""COMPUTED_VALUE"""),"03 ORL")</f>
        <v>03 ORL</v>
      </c>
      <c r="N1121" s="33" t="str">
        <f ca="1">IFERROR(__xludf.DUMMYFUNCTION("""COMPUTED_VALUE"""),"06 ORL")</f>
        <v>06 ORL</v>
      </c>
      <c r="O1121" s="33" t="str">
        <f ca="1">IFERROR(__xludf.DUMMYFUNCTION("""COMPUTED_VALUE"""),"Dr, Gerardo Monedero Rodrigo")</f>
        <v>Dr, Gerardo Monedero Rodrigo</v>
      </c>
      <c r="P1121" s="33" t="str">
        <f ca="1">IFERROR(__xludf.DUMMYFUNCTION("""COMPUTED_VALUE"""),"Maika Blázquez (Madrid)")</f>
        <v>Maika Blázquez (Madrid)</v>
      </c>
    </row>
    <row r="1122" spans="2:16">
      <c r="B1122" s="33">
        <f ca="1">IFERROR(__xludf.DUMMYFUNCTION("""COMPUTED_VALUE"""),2025)</f>
        <v>2025</v>
      </c>
      <c r="C1122" s="33">
        <f ca="1">IFERROR(__xludf.DUMMYFUNCTION("""COMPUTED_VALUE"""),9)</f>
        <v>9</v>
      </c>
      <c r="D1122" s="33" t="str">
        <f ca="1">IFERROR(__xludf.DUMMYFUNCTION("""COMPUTED_VALUE"""),"NO")</f>
        <v>NO</v>
      </c>
      <c r="E1122" s="33" t="str">
        <f ca="1">IFERROR(__xludf.DUMMYFUNCTION("""COMPUTED_VALUE"""),"Getafe")</f>
        <v>Getafe</v>
      </c>
      <c r="F1122" s="57">
        <f ca="1">IFERROR(__xludf.DUMMYFUNCTION("""COMPUTED_VALUE"""),45917)</f>
        <v>45917</v>
      </c>
      <c r="G1122" s="57">
        <f ca="1">IFERROR(__xludf.DUMMYFUNCTION("""COMPUTED_VALUE"""),45868)</f>
        <v>45868</v>
      </c>
      <c r="H1122" s="33" t="str">
        <f ca="1">IFERROR(__xludf.DUMMYFUNCTION("""COMPUTED_VALUE"""),"Getafe")</f>
        <v>Getafe</v>
      </c>
      <c r="I1122" s="33" t="str">
        <f ca="1">IFERROR(__xludf.DUMMYFUNCTION("""COMPUTED_VALUE"""),"C20258511036334")</f>
        <v>C20258511036334</v>
      </c>
      <c r="J1122" s="33" t="str">
        <f ca="1">IFERROR(__xludf.DUMMYFUNCTION("""COMPUTED_VALUE"""),"VICENTE MANZANO ZAMORA")</f>
        <v>VICENTE MANZANO ZAMORA</v>
      </c>
      <c r="K1122" s="33">
        <f ca="1">IFERROR(__xludf.DUMMYFUNCTION("""COMPUTED_VALUE"""),2)</f>
        <v>2</v>
      </c>
      <c r="L1122" s="203">
        <f ca="1">IFERROR(__xludf.DUMMYFUNCTION("""COMPUTED_VALUE"""),2540.91)</f>
        <v>2540.91</v>
      </c>
      <c r="M1122" s="33" t="str">
        <f ca="1">IFERROR(__xludf.DUMMYFUNCTION("""COMPUTED_VALUE"""),"03 ORL")</f>
        <v>03 ORL</v>
      </c>
      <c r="N1122" s="33" t="str">
        <f ca="1">IFERROR(__xludf.DUMMYFUNCTION("""COMPUTED_VALUE"""),"06 ORL")</f>
        <v>06 ORL</v>
      </c>
      <c r="O1122" s="33" t="str">
        <f ca="1">IFERROR(__xludf.DUMMYFUNCTION("""COMPUTED_VALUE"""),"Dra, María Garrote Garrote")</f>
        <v>Dra, María Garrote Garrote</v>
      </c>
      <c r="P1122" s="33" t="str">
        <f ca="1">IFERROR(__xludf.DUMMYFUNCTION("""COMPUTED_VALUE"""),"Maika Blázquez (Madrid)")</f>
        <v>Maika Blázquez (Madrid)</v>
      </c>
    </row>
    <row r="1123" spans="2:16">
      <c r="B1123" s="33">
        <f ca="1">IFERROR(__xludf.DUMMYFUNCTION("""COMPUTED_VALUE"""),2025)</f>
        <v>2025</v>
      </c>
      <c r="C1123" s="33">
        <f ca="1">IFERROR(__xludf.DUMMYFUNCTION("""COMPUTED_VALUE"""),9)</f>
        <v>9</v>
      </c>
      <c r="D1123" s="33" t="str">
        <f ca="1">IFERROR(__xludf.DUMMYFUNCTION("""COMPUTED_VALUE"""),"NO")</f>
        <v>NO</v>
      </c>
      <c r="E1123" s="33" t="str">
        <f ca="1">IFERROR(__xludf.DUMMYFUNCTION("""COMPUTED_VALUE"""),"Jerez de la Frontera")</f>
        <v>Jerez de la Frontera</v>
      </c>
      <c r="F1123" s="57">
        <f ca="1">IFERROR(__xludf.DUMMYFUNCTION("""COMPUTED_VALUE"""),45910)</f>
        <v>45910</v>
      </c>
      <c r="G1123" s="57">
        <f ca="1">IFERROR(__xludf.DUMMYFUNCTION("""COMPUTED_VALUE"""),45846)</f>
        <v>45846</v>
      </c>
      <c r="H1123" s="33" t="str">
        <f ca="1">IFERROR(__xludf.DUMMYFUNCTION("""COMPUTED_VALUE"""),"Jerez")</f>
        <v>Jerez</v>
      </c>
      <c r="I1123" s="33" t="str">
        <f ca="1">IFERROR(__xludf.DUMMYFUNCTION("""COMPUTED_VALUE"""),"C2025710102423971")</f>
        <v>C2025710102423971</v>
      </c>
      <c r="J1123" s="33" t="str">
        <f ca="1">IFERROR(__xludf.DUMMYFUNCTION("""COMPUTED_VALUE"""),"CARMEN SANCHEZ GARCIA")</f>
        <v>CARMEN SANCHEZ GARCIA</v>
      </c>
      <c r="K1123" s="33">
        <f ca="1">IFERROR(__xludf.DUMMYFUNCTION("""COMPUTED_VALUE"""),1)</f>
        <v>1</v>
      </c>
      <c r="L1123" s="203">
        <f ca="1">IFERROR(__xludf.DUMMYFUNCTION("""COMPUTED_VALUE"""),1784.55)</f>
        <v>1784.55</v>
      </c>
      <c r="M1123" s="33" t="str">
        <f ca="1">IFERROR(__xludf.DUMMYFUNCTION("""COMPUTED_VALUE"""),"03 ORL")</f>
        <v>03 ORL</v>
      </c>
      <c r="N1123" s="33" t="str">
        <f ca="1">IFERROR(__xludf.DUMMYFUNCTION("""COMPUTED_VALUE"""),"06 ORL")</f>
        <v>06 ORL</v>
      </c>
      <c r="O1123" s="33" t="str">
        <f ca="1">IFERROR(__xludf.DUMMYFUNCTION("""COMPUTED_VALUE"""),"Dra, Maria Del Carmen Salom Coveñas")</f>
        <v>Dra, Maria Del Carmen Salom Coveñas</v>
      </c>
      <c r="P1123" s="33" t="str">
        <f ca="1">IFERROR(__xludf.DUMMYFUNCTION("""COMPUTED_VALUE"""),"Luis Alberto Rodríguez (Andalucía y Badajoz)")</f>
        <v>Luis Alberto Rodríguez (Andalucía y Badajoz)</v>
      </c>
    </row>
    <row r="1124" spans="2:16">
      <c r="B1124" s="33">
        <f ca="1">IFERROR(__xludf.DUMMYFUNCTION("""COMPUTED_VALUE"""),2025)</f>
        <v>2025</v>
      </c>
      <c r="C1124" s="33">
        <f ca="1">IFERROR(__xludf.DUMMYFUNCTION("""COMPUTED_VALUE"""),9)</f>
        <v>9</v>
      </c>
      <c r="D1124" s="33" t="str">
        <f ca="1">IFERROR(__xludf.DUMMYFUNCTION("""COMPUTED_VALUE"""),"NO")</f>
        <v>NO</v>
      </c>
      <c r="E1124" s="33" t="str">
        <f ca="1">IFERROR(__xludf.DUMMYFUNCTION("""COMPUTED_VALUE"""),"Jerez de la Frontera")</f>
        <v>Jerez de la Frontera</v>
      </c>
      <c r="F1124" s="57">
        <f ca="1">IFERROR(__xludf.DUMMYFUNCTION("""COMPUTED_VALUE"""),45929)</f>
        <v>45929</v>
      </c>
      <c r="G1124" s="57">
        <f ca="1">IFERROR(__xludf.DUMMYFUNCTION("""COMPUTED_VALUE"""),45873)</f>
        <v>45873</v>
      </c>
      <c r="H1124" s="33" t="str">
        <f ca="1">IFERROR(__xludf.DUMMYFUNCTION("""COMPUTED_VALUE"""),"Jerez")</f>
        <v>Jerez</v>
      </c>
      <c r="I1124" s="33" t="str">
        <f ca="1">IFERROR(__xludf.DUMMYFUNCTION("""COMPUTED_VALUE"""),"C20258510293183")</f>
        <v>C20258510293183</v>
      </c>
      <c r="J1124" s="33" t="str">
        <f ca="1">IFERROR(__xludf.DUMMYFUNCTION("""COMPUTED_VALUE"""),"CAROLINA LOZANO IÑIGO")</f>
        <v>CAROLINA LOZANO IÑIGO</v>
      </c>
      <c r="K1124" s="33">
        <f ca="1">IFERROR(__xludf.DUMMYFUNCTION("""COMPUTED_VALUE"""),2)</f>
        <v>2</v>
      </c>
      <c r="L1124" s="203">
        <f ca="1">IFERROR(__xludf.DUMMYFUNCTION("""COMPUTED_VALUE"""),2718.18)</f>
        <v>2718.18</v>
      </c>
      <c r="M1124" s="33" t="str">
        <f ca="1">IFERROR(__xludf.DUMMYFUNCTION("""COMPUTED_VALUE"""),"03 ORL")</f>
        <v>03 ORL</v>
      </c>
      <c r="N1124" s="33" t="str">
        <f ca="1">IFERROR(__xludf.DUMMYFUNCTION("""COMPUTED_VALUE"""),"06 ORL")</f>
        <v>06 ORL</v>
      </c>
      <c r="O1124" s="33" t="str">
        <f ca="1">IFERROR(__xludf.DUMMYFUNCTION("""COMPUTED_VALUE"""),"Dr, Vicente Mira Escartí")</f>
        <v>Dr, Vicente Mira Escartí</v>
      </c>
      <c r="P1124" s="33" t="str">
        <f ca="1">IFERROR(__xludf.DUMMYFUNCTION("""COMPUTED_VALUE"""),"Luis Alberto Rodríguez (Andalucía y Badajoz)")</f>
        <v>Luis Alberto Rodríguez (Andalucía y Badajoz)</v>
      </c>
    </row>
    <row r="1125" spans="2:16">
      <c r="B1125" s="33">
        <f ca="1">IFERROR(__xludf.DUMMYFUNCTION("""COMPUTED_VALUE"""),2025)</f>
        <v>2025</v>
      </c>
      <c r="C1125" s="33">
        <f ca="1">IFERROR(__xludf.DUMMYFUNCTION("""COMPUTED_VALUE"""),9)</f>
        <v>9</v>
      </c>
      <c r="D1125" s="33" t="str">
        <f ca="1">IFERROR(__xludf.DUMMYFUNCTION("""COMPUTED_VALUE"""),"NO")</f>
        <v>NO</v>
      </c>
      <c r="E1125" s="33" t="str">
        <f ca="1">IFERROR(__xludf.DUMMYFUNCTION("""COMPUTED_VALUE"""),"Jerez de la Frontera")</f>
        <v>Jerez de la Frontera</v>
      </c>
      <c r="F1125" s="57">
        <f ca="1">IFERROR(__xludf.DUMMYFUNCTION("""COMPUTED_VALUE"""),45930)</f>
        <v>45930</v>
      </c>
      <c r="G1125" s="57">
        <f ca="1">IFERROR(__xludf.DUMMYFUNCTION("""COMPUTED_VALUE"""),45903)</f>
        <v>45903</v>
      </c>
      <c r="H1125" s="33" t="str">
        <f ca="1">IFERROR(__xludf.DUMMYFUNCTION("""COMPUTED_VALUE"""),"Jerez")</f>
        <v>Jerez</v>
      </c>
      <c r="I1125" s="33" t="str">
        <f ca="1">IFERROR(__xludf.DUMMYFUNCTION("""COMPUTED_VALUE"""),"C20259891120370")</f>
        <v>C20259891120370</v>
      </c>
      <c r="J1125" s="33" t="str">
        <f ca="1">IFERROR(__xludf.DUMMYFUNCTION("""COMPUTED_VALUE"""),"TERESA VERA JIMENEZ")</f>
        <v>TERESA VERA JIMENEZ</v>
      </c>
      <c r="K1125" s="33">
        <f ca="1">IFERROR(__xludf.DUMMYFUNCTION("""COMPUTED_VALUE"""),2)</f>
        <v>2</v>
      </c>
      <c r="L1125" s="203">
        <f ca="1">IFERROR(__xludf.DUMMYFUNCTION("""COMPUTED_VALUE"""),4000)</f>
        <v>4000</v>
      </c>
      <c r="M1125" s="33" t="str">
        <f ca="1">IFERROR(__xludf.DUMMYFUNCTION("""COMPUTED_VALUE"""),"03 ORL")</f>
        <v>03 ORL</v>
      </c>
      <c r="N1125" s="33" t="str">
        <f ca="1">IFERROR(__xludf.DUMMYFUNCTION("""COMPUTED_VALUE"""),"06 ORL")</f>
        <v>06 ORL</v>
      </c>
      <c r="O1125" s="33" t="str">
        <f ca="1">IFERROR(__xludf.DUMMYFUNCTION("""COMPUTED_VALUE"""),"Dr, Manuel Tucciarone")</f>
        <v>Dr, Manuel Tucciarone</v>
      </c>
      <c r="P1125" s="33" t="str">
        <f ca="1">IFERROR(__xludf.DUMMYFUNCTION("""COMPUTED_VALUE"""),"Luis Alberto Rodríguez (Andalucía y Badajoz)")</f>
        <v>Luis Alberto Rodríguez (Andalucía y Badajoz)</v>
      </c>
    </row>
    <row r="1126" spans="2:16">
      <c r="B1126" s="33">
        <f ca="1">IFERROR(__xludf.DUMMYFUNCTION("""COMPUTED_VALUE"""),2025)</f>
        <v>2025</v>
      </c>
      <c r="C1126" s="33">
        <f ca="1">IFERROR(__xludf.DUMMYFUNCTION("""COMPUTED_VALUE"""),9)</f>
        <v>9</v>
      </c>
      <c r="D1126" s="33" t="str">
        <f ca="1">IFERROR(__xludf.DUMMYFUNCTION("""COMPUTED_VALUE"""),"NO")</f>
        <v>NO</v>
      </c>
      <c r="E1126" s="33" t="str">
        <f ca="1">IFERROR(__xludf.DUMMYFUNCTION("""COMPUTED_VALUE"""),"Leganés")</f>
        <v>Leganés</v>
      </c>
      <c r="F1126" s="57">
        <f ca="1">IFERROR(__xludf.DUMMYFUNCTION("""COMPUTED_VALUE"""),45929)</f>
        <v>45929</v>
      </c>
      <c r="G1126" s="57">
        <f ca="1">IFERROR(__xludf.DUMMYFUNCTION("""COMPUTED_VALUE"""),45834)</f>
        <v>45834</v>
      </c>
      <c r="H1126" s="33" t="str">
        <f ca="1">IFERROR(__xludf.DUMMYFUNCTION("""COMPUTED_VALUE"""),"Leganés")</f>
        <v>Leganés</v>
      </c>
      <c r="I1126" s="33" t="str">
        <f ca="1">IFERROR(__xludf.DUMMYFUNCTION("""COMPUTED_VALUE"""),"C20259810525083")</f>
        <v>C20259810525083</v>
      </c>
      <c r="J1126" s="33" t="str">
        <f ca="1">IFERROR(__xludf.DUMMYFUNCTION("""COMPUTED_VALUE"""),"VICTORINA GOMEZ NEIRA")</f>
        <v>VICTORINA GOMEZ NEIRA</v>
      </c>
      <c r="K1126" s="33">
        <f ca="1">IFERROR(__xludf.DUMMYFUNCTION("""COMPUTED_VALUE"""),1)</f>
        <v>1</v>
      </c>
      <c r="L1126" s="203">
        <f ca="1">IFERROR(__xludf.DUMMYFUNCTION("""COMPUTED_VALUE"""),1631.82)</f>
        <v>1631.82</v>
      </c>
      <c r="M1126" s="33" t="str">
        <f ca="1">IFERROR(__xludf.DUMMYFUNCTION("""COMPUTED_VALUE"""),"03 ORL")</f>
        <v>03 ORL</v>
      </c>
      <c r="N1126" s="33" t="str">
        <f ca="1">IFERROR(__xludf.DUMMYFUNCTION("""COMPUTED_VALUE"""),"06 ORL")</f>
        <v>06 ORL</v>
      </c>
      <c r="O1126" s="33" t="str">
        <f ca="1">IFERROR(__xludf.DUMMYFUNCTION("""COMPUTED_VALUE"""),"Dra, Desirée Méndez Brenderbache")</f>
        <v>Dra, Desirée Méndez Brenderbache</v>
      </c>
      <c r="P1126" s="33" t="str">
        <f ca="1">IFERROR(__xludf.DUMMYFUNCTION("""COMPUTED_VALUE"""),"Maika Blázquez (Madrid)")</f>
        <v>Maika Blázquez (Madrid)</v>
      </c>
    </row>
    <row r="1127" spans="2:16">
      <c r="B1127" s="33">
        <f ca="1">IFERROR(__xludf.DUMMYFUNCTION("""COMPUTED_VALUE"""),2025)</f>
        <v>2025</v>
      </c>
      <c r="C1127" s="33">
        <f ca="1">IFERROR(__xludf.DUMMYFUNCTION("""COMPUTED_VALUE"""),9)</f>
        <v>9</v>
      </c>
      <c r="D1127" s="33" t="str">
        <f ca="1">IFERROR(__xludf.DUMMYFUNCTION("""COMPUTED_VALUE"""),"NO")</f>
        <v>NO</v>
      </c>
      <c r="E1127" s="33" t="str">
        <f ca="1">IFERROR(__xludf.DUMMYFUNCTION("""COMPUTED_VALUE"""),"Logroño")</f>
        <v>Logroño</v>
      </c>
      <c r="F1127" s="57">
        <f ca="1">IFERROR(__xludf.DUMMYFUNCTION("""COMPUTED_VALUE"""),45916)</f>
        <v>45916</v>
      </c>
      <c r="G1127" s="57">
        <f ca="1">IFERROR(__xludf.DUMMYFUNCTION("""COMPUTED_VALUE"""),45891)</f>
        <v>45891</v>
      </c>
      <c r="H1127" s="33" t="str">
        <f ca="1">IFERROR(__xludf.DUMMYFUNCTION("""COMPUTED_VALUE"""),"Logroño")</f>
        <v>Logroño</v>
      </c>
      <c r="I1127" s="33" t="str">
        <f ca="1">IFERROR(__xludf.DUMMYFUNCTION("""COMPUTED_VALUE"""),"C202582710334353")</f>
        <v>C202582710334353</v>
      </c>
      <c r="J1127" s="33" t="str">
        <f ca="1">IFERROR(__xludf.DUMMYFUNCTION("""COMPUTED_VALUE"""),"VALENTINA ORTE GONZALEZ")</f>
        <v>VALENTINA ORTE GONZALEZ</v>
      </c>
      <c r="K1127" s="33">
        <f ca="1">IFERROR(__xludf.DUMMYFUNCTION("""COMPUTED_VALUE"""),2)</f>
        <v>2</v>
      </c>
      <c r="L1127" s="203">
        <f ca="1">IFERROR(__xludf.DUMMYFUNCTION("""COMPUTED_VALUE"""),3631.82)</f>
        <v>3631.82</v>
      </c>
      <c r="M1127" s="33" t="str">
        <f ca="1">IFERROR(__xludf.DUMMYFUNCTION("""COMPUTED_VALUE"""),"03 ORL")</f>
        <v>03 ORL</v>
      </c>
      <c r="N1127" s="33" t="str">
        <f ca="1">IFERROR(__xludf.DUMMYFUNCTION("""COMPUTED_VALUE"""),"06 ORL")</f>
        <v>06 ORL</v>
      </c>
      <c r="O1127" s="33" t="str">
        <f ca="1">IFERROR(__xludf.DUMMYFUNCTION("""COMPUTED_VALUE"""),"Dr, Daniel Briones Crespo")</f>
        <v>Dr, Daniel Briones Crespo</v>
      </c>
      <c r="P1127" s="33" t="str">
        <f ca="1">IFERROR(__xludf.DUMMYFUNCTION("""COMPUTED_VALUE"""),"Lisandro Russian (Madrid, Cáceres, Toledo, Talavera Y Logroño)")</f>
        <v>Lisandro Russian (Madrid, Cáceres, Toledo, Talavera Y Logroño)</v>
      </c>
    </row>
    <row r="1128" spans="2:16">
      <c r="B1128" s="33">
        <f ca="1">IFERROR(__xludf.DUMMYFUNCTION("""COMPUTED_VALUE"""),2025)</f>
        <v>2025</v>
      </c>
      <c r="C1128" s="33">
        <f ca="1">IFERROR(__xludf.DUMMYFUNCTION("""COMPUTED_VALUE"""),9)</f>
        <v>9</v>
      </c>
      <c r="D1128" s="33" t="str">
        <f ca="1">IFERROR(__xludf.DUMMYFUNCTION("""COMPUTED_VALUE"""),"NO")</f>
        <v>NO</v>
      </c>
      <c r="E1128" s="33" t="str">
        <f ca="1">IFERROR(__xludf.DUMMYFUNCTION("""COMPUTED_VALUE"""),"Lugo")</f>
        <v>Lugo</v>
      </c>
      <c r="F1128" s="57">
        <f ca="1">IFERROR(__xludf.DUMMYFUNCTION("""COMPUTED_VALUE"""),45924)</f>
        <v>45924</v>
      </c>
      <c r="G1128" s="57">
        <f ca="1">IFERROR(__xludf.DUMMYFUNCTION("""COMPUTED_VALUE"""),45869)</f>
        <v>45869</v>
      </c>
      <c r="H1128" s="33" t="str">
        <f ca="1">IFERROR(__xludf.DUMMYFUNCTION("""COMPUTED_VALUE"""),"Lugo")</f>
        <v>Lugo</v>
      </c>
      <c r="I1128" s="33" t="str">
        <f ca="1">IFERROR(__xludf.DUMMYFUNCTION("""COMPUTED_VALUE"""),"C20258191118319")</f>
        <v>C20258191118319</v>
      </c>
      <c r="J1128" s="33" t="str">
        <f ca="1">IFERROR(__xludf.DUMMYFUNCTION("""COMPUTED_VALUE"""),"CONSTANTINO BURGUE PALMEIRO")</f>
        <v>CONSTANTINO BURGUE PALMEIRO</v>
      </c>
      <c r="K1128" s="33">
        <f ca="1">IFERROR(__xludf.DUMMYFUNCTION("""COMPUTED_VALUE"""),2)</f>
        <v>2</v>
      </c>
      <c r="L1128" s="203">
        <f ca="1">IFERROR(__xludf.DUMMYFUNCTION("""COMPUTED_VALUE"""),2718.19)</f>
        <v>2718.19</v>
      </c>
      <c r="M1128" s="33" t="str">
        <f ca="1">IFERROR(__xludf.DUMMYFUNCTION("""COMPUTED_VALUE"""),"03 ORL")</f>
        <v>03 ORL</v>
      </c>
      <c r="N1128" s="33" t="str">
        <f ca="1">IFERROR(__xludf.DUMMYFUNCTION("""COMPUTED_VALUE"""),"06 ORL")</f>
        <v>06 ORL</v>
      </c>
      <c r="O1128" s="33" t="str">
        <f ca="1">IFERROR(__xludf.DUMMYFUNCTION("""COMPUTED_VALUE"""),"Dr, Pedro Juiz López")</f>
        <v>Dr, Pedro Juiz López</v>
      </c>
      <c r="P1128" s="33" t="str">
        <f ca="1">IFERROR(__xludf.DUMMYFUNCTION("""COMPUTED_VALUE"""),"Roberto Pereira (Galicia)")</f>
        <v>Roberto Pereira (Galicia)</v>
      </c>
    </row>
    <row r="1129" spans="2:16">
      <c r="B1129" s="33">
        <f ca="1">IFERROR(__xludf.DUMMYFUNCTION("""COMPUTED_VALUE"""),2025)</f>
        <v>2025</v>
      </c>
      <c r="C1129" s="33">
        <f ca="1">IFERROR(__xludf.DUMMYFUNCTION("""COMPUTED_VALUE"""),9)</f>
        <v>9</v>
      </c>
      <c r="D1129" s="33" t="str">
        <f ca="1">IFERROR(__xludf.DUMMYFUNCTION("""COMPUTED_VALUE"""),"NO")</f>
        <v>NO</v>
      </c>
      <c r="E1129" s="33" t="str">
        <f ca="1">IFERROR(__xludf.DUMMYFUNCTION("""COMPUTED_VALUE"""),"Madrid- Canillas")</f>
        <v>Madrid- Canillas</v>
      </c>
      <c r="F1129" s="57">
        <f ca="1">IFERROR(__xludf.DUMMYFUNCTION("""COMPUTED_VALUE"""),45923)</f>
        <v>45923</v>
      </c>
      <c r="G1129" s="57">
        <f ca="1">IFERROR(__xludf.DUMMYFUNCTION("""COMPUTED_VALUE"""),45847)</f>
        <v>45847</v>
      </c>
      <c r="H1129" s="33" t="str">
        <f ca="1">IFERROR(__xludf.DUMMYFUNCTION("""COMPUTED_VALUE"""),"Canillas")</f>
        <v>Canillas</v>
      </c>
      <c r="I1129" s="33" t="str">
        <f ca="1">IFERROR(__xludf.DUMMYFUNCTION("""COMPUTED_VALUE"""),"C2025724165737532")</f>
        <v>C2025724165737532</v>
      </c>
      <c r="J1129" s="33" t="str">
        <f ca="1">IFERROR(__xludf.DUMMYFUNCTION("""COMPUTED_VALUE"""),"JULIÁN JUÁREZ RODRÍGUEZ")</f>
        <v>JULIÁN JUÁREZ RODRÍGUEZ</v>
      </c>
      <c r="K1129" s="33">
        <f ca="1">IFERROR(__xludf.DUMMYFUNCTION("""COMPUTED_VALUE"""),2)</f>
        <v>2</v>
      </c>
      <c r="L1129" s="203">
        <f ca="1">IFERROR(__xludf.DUMMYFUNCTION("""COMPUTED_VALUE"""),3929.55)</f>
        <v>3929.55</v>
      </c>
      <c r="M1129" s="33" t="str">
        <f ca="1">IFERROR(__xludf.DUMMYFUNCTION("""COMPUTED_VALUE"""),"03 ORL")</f>
        <v>03 ORL</v>
      </c>
      <c r="N1129" s="33" t="str">
        <f ca="1">IFERROR(__xludf.DUMMYFUNCTION("""COMPUTED_VALUE"""),"06 ORL")</f>
        <v>06 ORL</v>
      </c>
      <c r="O1129" s="33" t="str">
        <f ca="1">IFERROR(__xludf.DUMMYFUNCTION("""COMPUTED_VALUE"""),"Dra, Laura Yeguas Ramírez")</f>
        <v>Dra, Laura Yeguas Ramírez</v>
      </c>
      <c r="P1129" s="33" t="str">
        <f ca="1">IFERROR(__xludf.DUMMYFUNCTION("""COMPUTED_VALUE"""),"Maika Blázquez (Madrid)")</f>
        <v>Maika Blázquez (Madrid)</v>
      </c>
    </row>
    <row r="1130" spans="2:16">
      <c r="B1130" s="33">
        <f ca="1">IFERROR(__xludf.DUMMYFUNCTION("""COMPUTED_VALUE"""),2025)</f>
        <v>2025</v>
      </c>
      <c r="C1130" s="33">
        <f ca="1">IFERROR(__xludf.DUMMYFUNCTION("""COMPUTED_VALUE"""),9)</f>
        <v>9</v>
      </c>
      <c r="D1130" s="33" t="str">
        <f ca="1">IFERROR(__xludf.DUMMYFUNCTION("""COMPUTED_VALUE"""),"NO")</f>
        <v>NO</v>
      </c>
      <c r="E1130" s="33" t="str">
        <f ca="1">IFERROR(__xludf.DUMMYFUNCTION("""COMPUTED_VALUE"""),"Madrid- Canillas")</f>
        <v>Madrid- Canillas</v>
      </c>
      <c r="F1130" s="57">
        <f ca="1">IFERROR(__xludf.DUMMYFUNCTION("""COMPUTED_VALUE"""),45930)</f>
        <v>45930</v>
      </c>
      <c r="G1130" s="57">
        <f ca="1">IFERROR(__xludf.DUMMYFUNCTION("""COMPUTED_VALUE"""),45775)</f>
        <v>45775</v>
      </c>
      <c r="H1130" s="33" t="str">
        <f ca="1">IFERROR(__xludf.DUMMYFUNCTION("""COMPUTED_VALUE"""),"Canillas")</f>
        <v>Canillas</v>
      </c>
      <c r="I1130" s="33" t="str">
        <f ca="1">IFERROR(__xludf.DUMMYFUNCTION("""COMPUTED_VALUE"""),"C2025924102353135")</f>
        <v>C2025924102353135</v>
      </c>
      <c r="J1130" s="33" t="str">
        <f ca="1">IFERROR(__xludf.DUMMYFUNCTION("""COMPUTED_VALUE"""),"MANUEL TALAVERA MARIN")</f>
        <v>MANUEL TALAVERA MARIN</v>
      </c>
      <c r="K1130" s="33">
        <f ca="1">IFERROR(__xludf.DUMMYFUNCTION("""COMPUTED_VALUE"""),2)</f>
        <v>2</v>
      </c>
      <c r="L1130" s="203">
        <f ca="1">IFERROR(__xludf.DUMMYFUNCTION("""COMPUTED_VALUE"""),4136.36)</f>
        <v>4136.3599999999997</v>
      </c>
      <c r="M1130" s="33" t="str">
        <f ca="1">IFERROR(__xludf.DUMMYFUNCTION("""COMPUTED_VALUE"""),"03 ORL")</f>
        <v>03 ORL</v>
      </c>
      <c r="N1130" s="33" t="str">
        <f ca="1">IFERROR(__xludf.DUMMYFUNCTION("""COMPUTED_VALUE"""),"06 ORL")</f>
        <v>06 ORL</v>
      </c>
      <c r="O1130" s="33" t="str">
        <f ca="1">IFERROR(__xludf.DUMMYFUNCTION("""COMPUTED_VALUE"""),"Dra, Helena Moreno Pardo")</f>
        <v>Dra, Helena Moreno Pardo</v>
      </c>
      <c r="P1130" s="33" t="str">
        <f ca="1">IFERROR(__xludf.DUMMYFUNCTION("""COMPUTED_VALUE"""),"Maika Blázquez (Madrid)")</f>
        <v>Maika Blázquez (Madrid)</v>
      </c>
    </row>
    <row r="1131" spans="2:16">
      <c r="B1131" s="33">
        <f ca="1">IFERROR(__xludf.DUMMYFUNCTION("""COMPUTED_VALUE"""),2025)</f>
        <v>2025</v>
      </c>
      <c r="C1131" s="33">
        <f ca="1">IFERROR(__xludf.DUMMYFUNCTION("""COMPUTED_VALUE"""),9)</f>
        <v>9</v>
      </c>
      <c r="D1131" s="33" t="str">
        <f ca="1">IFERROR(__xludf.DUMMYFUNCTION("""COMPUTED_VALUE"""),"NO")</f>
        <v>NO</v>
      </c>
      <c r="E1131" s="33" t="str">
        <f ca="1">IFERROR(__xludf.DUMMYFUNCTION("""COMPUTED_VALUE"""),"Madrid- Canillas")</f>
        <v>Madrid- Canillas</v>
      </c>
      <c r="F1131" s="57">
        <f ca="1">IFERROR(__xludf.DUMMYFUNCTION("""COMPUTED_VALUE"""),45926)</f>
        <v>45926</v>
      </c>
      <c r="G1131" s="57">
        <f ca="1">IFERROR(__xludf.DUMMYFUNCTION("""COMPUTED_VALUE"""),45888)</f>
        <v>45888</v>
      </c>
      <c r="H1131" s="33" t="str">
        <f ca="1">IFERROR(__xludf.DUMMYFUNCTION("""COMPUTED_VALUE"""),"Canillas")</f>
        <v>Canillas</v>
      </c>
      <c r="I1131" s="33" t="str">
        <f ca="1">IFERROR(__xludf.DUMMYFUNCTION("""COMPUTED_VALUE"""),"C202594115643608")</f>
        <v>C202594115643608</v>
      </c>
      <c r="J1131" s="33" t="str">
        <f ca="1">IFERROR(__xludf.DUMMYFUNCTION("""COMPUTED_VALUE"""),"TOMÁS FELGUERAS GARCÍA")</f>
        <v>TOMÁS FELGUERAS GARCÍA</v>
      </c>
      <c r="K1131" s="33">
        <f ca="1">IFERROR(__xludf.DUMMYFUNCTION("""COMPUTED_VALUE"""),2)</f>
        <v>2</v>
      </c>
      <c r="L1131" s="203">
        <f ca="1">IFERROR(__xludf.DUMMYFUNCTION("""COMPUTED_VALUE"""),2718.18)</f>
        <v>2718.18</v>
      </c>
      <c r="M1131" s="33" t="str">
        <f ca="1">IFERROR(__xludf.DUMMYFUNCTION("""COMPUTED_VALUE"""),"03 ORL")</f>
        <v>03 ORL</v>
      </c>
      <c r="N1131" s="33" t="str">
        <f ca="1">IFERROR(__xludf.DUMMYFUNCTION("""COMPUTED_VALUE"""),"06 ORL")</f>
        <v>06 ORL</v>
      </c>
      <c r="O1131" s="33" t="str">
        <f ca="1">IFERROR(__xludf.DUMMYFUNCTION("""COMPUTED_VALUE"""),"Dra, Laura Yeguas Ramírez")</f>
        <v>Dra, Laura Yeguas Ramírez</v>
      </c>
      <c r="P1131" s="33" t="str">
        <f ca="1">IFERROR(__xludf.DUMMYFUNCTION("""COMPUTED_VALUE"""),"Maika Blázquez (Madrid)")</f>
        <v>Maika Blázquez (Madrid)</v>
      </c>
    </row>
    <row r="1132" spans="2:16">
      <c r="B1132" s="33">
        <f ca="1">IFERROR(__xludf.DUMMYFUNCTION("""COMPUTED_VALUE"""),2025)</f>
        <v>2025</v>
      </c>
      <c r="C1132" s="33">
        <f ca="1">IFERROR(__xludf.DUMMYFUNCTION("""COMPUTED_VALUE"""),9)</f>
        <v>9</v>
      </c>
      <c r="D1132" s="33" t="str">
        <f ca="1">IFERROR(__xludf.DUMMYFUNCTION("""COMPUTED_VALUE"""),"NO")</f>
        <v>NO</v>
      </c>
      <c r="E1132" s="33" t="str">
        <f ca="1">IFERROR(__xludf.DUMMYFUNCTION("""COMPUTED_VALUE"""),"Madrid- Costa Rica")</f>
        <v>Madrid- Costa Rica</v>
      </c>
      <c r="F1132" s="57">
        <f ca="1">IFERROR(__xludf.DUMMYFUNCTION("""COMPUTED_VALUE"""),45924)</f>
        <v>45924</v>
      </c>
      <c r="G1132" s="57">
        <f ca="1">IFERROR(__xludf.DUMMYFUNCTION("""COMPUTED_VALUE"""),45842)</f>
        <v>45842</v>
      </c>
      <c r="H1132" s="33" t="str">
        <f ca="1">IFERROR(__xludf.DUMMYFUNCTION("""COMPUTED_VALUE"""),"Costa Rica")</f>
        <v>Costa Rica</v>
      </c>
      <c r="I1132" s="33" t="str">
        <f ca="1">IFERROR(__xludf.DUMMYFUNCTION("""COMPUTED_VALUE"""),"C20257812052998")</f>
        <v>C20257812052998</v>
      </c>
      <c r="J1132" s="33" t="str">
        <f ca="1">IFERROR(__xludf.DUMMYFUNCTION("""COMPUTED_VALUE"""),"JULIA FRAILE CORTES")</f>
        <v>JULIA FRAILE CORTES</v>
      </c>
      <c r="K1132" s="33">
        <f ca="1">IFERROR(__xludf.DUMMYFUNCTION("""COMPUTED_VALUE"""),2)</f>
        <v>2</v>
      </c>
      <c r="L1132" s="203">
        <f ca="1">IFERROR(__xludf.DUMMYFUNCTION("""COMPUTED_VALUE"""),4536.36)</f>
        <v>4536.3599999999997</v>
      </c>
      <c r="M1132" s="33" t="str">
        <f ca="1">IFERROR(__xludf.DUMMYFUNCTION("""COMPUTED_VALUE"""),"03 ORL")</f>
        <v>03 ORL</v>
      </c>
      <c r="N1132" s="33" t="str">
        <f ca="1">IFERROR(__xludf.DUMMYFUNCTION("""COMPUTED_VALUE"""),"06 ORL")</f>
        <v>06 ORL</v>
      </c>
      <c r="O1132" s="33" t="str">
        <f ca="1">IFERROR(__xludf.DUMMYFUNCTION("""COMPUTED_VALUE"""),"Dr, Antonio Bueno Ríos")</f>
        <v>Dr, Antonio Bueno Ríos</v>
      </c>
      <c r="P1132" s="33" t="str">
        <f ca="1">IFERROR(__xludf.DUMMYFUNCTION("""COMPUTED_VALUE"""),"Lisandro Russian (Madrid, Cáceres, Toledo, Talavera Y Logroño)")</f>
        <v>Lisandro Russian (Madrid, Cáceres, Toledo, Talavera Y Logroño)</v>
      </c>
    </row>
    <row r="1133" spans="2:16">
      <c r="B1133" s="33">
        <f ca="1">IFERROR(__xludf.DUMMYFUNCTION("""COMPUTED_VALUE"""),2025)</f>
        <v>2025</v>
      </c>
      <c r="C1133" s="33">
        <f ca="1">IFERROR(__xludf.DUMMYFUNCTION("""COMPUTED_VALUE"""),9)</f>
        <v>9</v>
      </c>
      <c r="D1133" s="33" t="str">
        <f ca="1">IFERROR(__xludf.DUMMYFUNCTION("""COMPUTED_VALUE"""),"NO")</f>
        <v>NO</v>
      </c>
      <c r="E1133" s="33" t="str">
        <f ca="1">IFERROR(__xludf.DUMMYFUNCTION("""COMPUTED_VALUE"""),"Madrid- Juan Bravo")</f>
        <v>Madrid- Juan Bravo</v>
      </c>
      <c r="F1133" s="57">
        <f ca="1">IFERROR(__xludf.DUMMYFUNCTION("""COMPUTED_VALUE"""),45926)</f>
        <v>45926</v>
      </c>
      <c r="G1133" s="57">
        <f ca="1">IFERROR(__xludf.DUMMYFUNCTION("""COMPUTED_VALUE"""),45859)</f>
        <v>45859</v>
      </c>
      <c r="H1133" s="33" t="str">
        <f ca="1">IFERROR(__xludf.DUMMYFUNCTION("""COMPUTED_VALUE"""),"Juan Bravo")</f>
        <v>Juan Bravo</v>
      </c>
      <c r="I1133" s="33" t="str">
        <f ca="1">IFERROR(__xludf.DUMMYFUNCTION("""COMPUTED_VALUE"""),"C2025724123618478")</f>
        <v>C2025724123618478</v>
      </c>
      <c r="J1133" s="33" t="str">
        <f ca="1">IFERROR(__xludf.DUMMYFUNCTION("""COMPUTED_VALUE"""),"MARIA PIEDAD NUÑEZ ORTEGA")</f>
        <v>MARIA PIEDAD NUÑEZ ORTEGA</v>
      </c>
      <c r="K1133" s="33">
        <f ca="1">IFERROR(__xludf.DUMMYFUNCTION("""COMPUTED_VALUE"""),2)</f>
        <v>2</v>
      </c>
      <c r="L1133" s="203">
        <f ca="1">IFERROR(__xludf.DUMMYFUNCTION("""COMPUTED_VALUE"""),2718.18)</f>
        <v>2718.18</v>
      </c>
      <c r="M1133" s="33" t="str">
        <f ca="1">IFERROR(__xludf.DUMMYFUNCTION("""COMPUTED_VALUE"""),"03 ORL")</f>
        <v>03 ORL</v>
      </c>
      <c r="N1133" s="33" t="str">
        <f ca="1">IFERROR(__xludf.DUMMYFUNCTION("""COMPUTED_VALUE"""),"06 ORL")</f>
        <v>06 ORL</v>
      </c>
      <c r="O1133" s="33" t="str">
        <f ca="1">IFERROR(__xludf.DUMMYFUNCTION("""COMPUTED_VALUE"""),"Dra, María Antonia Rodríguez Castejón")</f>
        <v>Dra, María Antonia Rodríguez Castejón</v>
      </c>
      <c r="P1133" s="33" t="str">
        <f ca="1">IFERROR(__xludf.DUMMYFUNCTION("""COMPUTED_VALUE"""),"Maika Blázquez (Madrid)")</f>
        <v>Maika Blázquez (Madrid)</v>
      </c>
    </row>
    <row r="1134" spans="2:16">
      <c r="B1134" s="33">
        <f ca="1">IFERROR(__xludf.DUMMYFUNCTION("""COMPUTED_VALUE"""),2025)</f>
        <v>2025</v>
      </c>
      <c r="C1134" s="33">
        <f ca="1">IFERROR(__xludf.DUMMYFUNCTION("""COMPUTED_VALUE"""),9)</f>
        <v>9</v>
      </c>
      <c r="D1134" s="33" t="str">
        <f ca="1">IFERROR(__xludf.DUMMYFUNCTION("""COMPUTED_VALUE"""),"NO")</f>
        <v>NO</v>
      </c>
      <c r="E1134" s="33" t="str">
        <f ca="1">IFERROR(__xludf.DUMMYFUNCTION("""COMPUTED_VALUE"""),"Madrid- Juan Bravo")</f>
        <v>Madrid- Juan Bravo</v>
      </c>
      <c r="F1134" s="57">
        <f ca="1">IFERROR(__xludf.DUMMYFUNCTION("""COMPUTED_VALUE"""),45923)</f>
        <v>45923</v>
      </c>
      <c r="G1134" s="57">
        <f ca="1">IFERROR(__xludf.DUMMYFUNCTION("""COMPUTED_VALUE"""),45866)</f>
        <v>45866</v>
      </c>
      <c r="H1134" s="33" t="str">
        <f ca="1">IFERROR(__xludf.DUMMYFUNCTION("""COMPUTED_VALUE"""),"Juan Bravo")</f>
        <v>Juan Bravo</v>
      </c>
      <c r="I1134" s="33" t="str">
        <f ca="1">IFERROR(__xludf.DUMMYFUNCTION("""COMPUTED_VALUE"""),"C202573117223984")</f>
        <v>C202573117223984</v>
      </c>
      <c r="J1134" s="33" t="str">
        <f ca="1">IFERROR(__xludf.DUMMYFUNCTION("""COMPUTED_VALUE"""),"PILAR RUIZ VECINO")</f>
        <v>PILAR RUIZ VECINO</v>
      </c>
      <c r="K1134" s="33">
        <f ca="1">IFERROR(__xludf.DUMMYFUNCTION("""COMPUTED_VALUE"""),1)</f>
        <v>1</v>
      </c>
      <c r="L1134" s="203">
        <f ca="1">IFERROR(__xludf.DUMMYFUNCTION("""COMPUTED_VALUE"""),1983.64)</f>
        <v>1983.64</v>
      </c>
      <c r="M1134" s="33" t="str">
        <f ca="1">IFERROR(__xludf.DUMMYFUNCTION("""COMPUTED_VALUE"""),"03 ORL")</f>
        <v>03 ORL</v>
      </c>
      <c r="N1134" s="33" t="str">
        <f ca="1">IFERROR(__xludf.DUMMYFUNCTION("""COMPUTED_VALUE"""),"06 ORL")</f>
        <v>06 ORL</v>
      </c>
      <c r="O1134" s="33" t="str">
        <f ca="1">IFERROR(__xludf.DUMMYFUNCTION("""COMPUTED_VALUE"""),"Dr, Carlos Barajas del Rosal")</f>
        <v>Dr, Carlos Barajas del Rosal</v>
      </c>
      <c r="P1134" s="33" t="str">
        <f ca="1">IFERROR(__xludf.DUMMYFUNCTION("""COMPUTED_VALUE"""),"Lisandro Russian (Madrid, Cáceres, Toledo, Talavera Y Logroño)")</f>
        <v>Lisandro Russian (Madrid, Cáceres, Toledo, Talavera Y Logroño)</v>
      </c>
    </row>
    <row r="1135" spans="2:16">
      <c r="B1135" s="33">
        <f ca="1">IFERROR(__xludf.DUMMYFUNCTION("""COMPUTED_VALUE"""),2025)</f>
        <v>2025</v>
      </c>
      <c r="C1135" s="33">
        <f ca="1">IFERROR(__xludf.DUMMYFUNCTION("""COMPUTED_VALUE"""),9)</f>
        <v>9</v>
      </c>
      <c r="D1135" s="33" t="str">
        <f ca="1">IFERROR(__xludf.DUMMYFUNCTION("""COMPUTED_VALUE"""),"NO")</f>
        <v>NO</v>
      </c>
      <c r="E1135" s="33" t="str">
        <f ca="1">IFERROR(__xludf.DUMMYFUNCTION("""COMPUTED_VALUE"""),"Madrid- Juan Bravo")</f>
        <v>Madrid- Juan Bravo</v>
      </c>
      <c r="F1135" s="57">
        <f ca="1">IFERROR(__xludf.DUMMYFUNCTION("""COMPUTED_VALUE"""),45930)</f>
        <v>45930</v>
      </c>
      <c r="G1135" s="57">
        <f ca="1">IFERROR(__xludf.DUMMYFUNCTION("""COMPUTED_VALUE"""),45839)</f>
        <v>45839</v>
      </c>
      <c r="H1135" s="33" t="str">
        <f ca="1">IFERROR(__xludf.DUMMYFUNCTION("""COMPUTED_VALUE"""),"Juan Bravo")</f>
        <v>Juan Bravo</v>
      </c>
      <c r="I1135" s="33" t="str">
        <f ca="1">IFERROR(__xludf.DUMMYFUNCTION("""COMPUTED_VALUE"""),"C202598101940599")</f>
        <v>C202598101940599</v>
      </c>
      <c r="J1135" s="33" t="str">
        <f ca="1">IFERROR(__xludf.DUMMYFUNCTION("""COMPUTED_VALUE"""),"ROSA MARIA ALONSO VARELA")</f>
        <v>ROSA MARIA ALONSO VARELA</v>
      </c>
      <c r="K1135" s="33">
        <f ca="1">IFERROR(__xludf.DUMMYFUNCTION("""COMPUTED_VALUE"""),2)</f>
        <v>2</v>
      </c>
      <c r="L1135" s="203">
        <f ca="1">IFERROR(__xludf.DUMMYFUNCTION("""COMPUTED_VALUE"""),3631.82)</f>
        <v>3631.82</v>
      </c>
      <c r="M1135" s="33" t="str">
        <f ca="1">IFERROR(__xludf.DUMMYFUNCTION("""COMPUTED_VALUE"""),"03 ORL")</f>
        <v>03 ORL</v>
      </c>
      <c r="N1135" s="33" t="str">
        <f ca="1">IFERROR(__xludf.DUMMYFUNCTION("""COMPUTED_VALUE"""),"06 ORL")</f>
        <v>06 ORL</v>
      </c>
      <c r="O1135" s="33" t="str">
        <f ca="1">IFERROR(__xludf.DUMMYFUNCTION("""COMPUTED_VALUE"""),"Dr, Ignacio Aristegui Torrano")</f>
        <v>Dr, Ignacio Aristegui Torrano</v>
      </c>
      <c r="P1135" s="33" t="str">
        <f ca="1">IFERROR(__xludf.DUMMYFUNCTION("""COMPUTED_VALUE"""),"Maika Blázquez (Madrid)")</f>
        <v>Maika Blázquez (Madrid)</v>
      </c>
    </row>
    <row r="1136" spans="2:16">
      <c r="B1136" s="33">
        <f ca="1">IFERROR(__xludf.DUMMYFUNCTION("""COMPUTED_VALUE"""),2025)</f>
        <v>2025</v>
      </c>
      <c r="C1136" s="33">
        <f ca="1">IFERROR(__xludf.DUMMYFUNCTION("""COMPUTED_VALUE"""),9)</f>
        <v>9</v>
      </c>
      <c r="D1136" s="33" t="str">
        <f ca="1">IFERROR(__xludf.DUMMYFUNCTION("""COMPUTED_VALUE"""),"NO")</f>
        <v>NO</v>
      </c>
      <c r="E1136" s="33" t="str">
        <f ca="1">IFERROR(__xludf.DUMMYFUNCTION("""COMPUTED_VALUE"""),"Madrid- Juan Bravo")</f>
        <v>Madrid- Juan Bravo</v>
      </c>
      <c r="F1136" s="57">
        <f ca="1">IFERROR(__xludf.DUMMYFUNCTION("""COMPUTED_VALUE"""),45930)</f>
        <v>45930</v>
      </c>
      <c r="G1136" s="57">
        <f ca="1">IFERROR(__xludf.DUMMYFUNCTION("""COMPUTED_VALUE"""),45903)</f>
        <v>45903</v>
      </c>
      <c r="H1136" s="33" t="str">
        <f ca="1">IFERROR(__xludf.DUMMYFUNCTION("""COMPUTED_VALUE"""),"Juan Bravo")</f>
        <v>Juan Bravo</v>
      </c>
      <c r="I1136" s="33" t="str">
        <f ca="1">IFERROR(__xludf.DUMMYFUNCTION("""COMPUTED_VALUE"""),"C202591012357715")</f>
        <v>C202591012357715</v>
      </c>
      <c r="J1136" s="33" t="str">
        <f ca="1">IFERROR(__xludf.DUMMYFUNCTION("""COMPUTED_VALUE"""),"ROSA MARIA MARTINEZ GUISASOLA")</f>
        <v>ROSA MARIA MARTINEZ GUISASOLA</v>
      </c>
      <c r="K1136" s="33">
        <f ca="1">IFERROR(__xludf.DUMMYFUNCTION("""COMPUTED_VALUE"""),2)</f>
        <v>2</v>
      </c>
      <c r="L1136" s="203">
        <f ca="1">IFERROR(__xludf.DUMMYFUNCTION("""COMPUTED_VALUE"""),3631.82)</f>
        <v>3631.82</v>
      </c>
      <c r="M1136" s="33" t="str">
        <f ca="1">IFERROR(__xludf.DUMMYFUNCTION("""COMPUTED_VALUE"""),"03 ORL")</f>
        <v>03 ORL</v>
      </c>
      <c r="N1136" s="33" t="str">
        <f ca="1">IFERROR(__xludf.DUMMYFUNCTION("""COMPUTED_VALUE"""),"06 ORL")</f>
        <v>06 ORL</v>
      </c>
      <c r="O1136" s="33" t="str">
        <f ca="1">IFERROR(__xludf.DUMMYFUNCTION("""COMPUTED_VALUE"""),"Dra, Clara Beltrán Yturriaga")</f>
        <v>Dra, Clara Beltrán Yturriaga</v>
      </c>
      <c r="P1136" s="33" t="str">
        <f ca="1">IFERROR(__xludf.DUMMYFUNCTION("""COMPUTED_VALUE"""),"Maika Blázquez (Madrid)")</f>
        <v>Maika Blázquez (Madrid)</v>
      </c>
    </row>
    <row r="1137" spans="2:16">
      <c r="B1137" s="33">
        <f ca="1">IFERROR(__xludf.DUMMYFUNCTION("""COMPUTED_VALUE"""),2025)</f>
        <v>2025</v>
      </c>
      <c r="C1137" s="33">
        <f ca="1">IFERROR(__xludf.DUMMYFUNCTION("""COMPUTED_VALUE"""),9)</f>
        <v>9</v>
      </c>
      <c r="D1137" s="33" t="str">
        <f ca="1">IFERROR(__xludf.DUMMYFUNCTION("""COMPUTED_VALUE"""),"NO")</f>
        <v>NO</v>
      </c>
      <c r="E1137" s="33" t="str">
        <f ca="1">IFERROR(__xludf.DUMMYFUNCTION("""COMPUTED_VALUE"""),"Madrid- La Oca")</f>
        <v>Madrid- La Oca</v>
      </c>
      <c r="F1137" s="57">
        <f ca="1">IFERROR(__xludf.DUMMYFUNCTION("""COMPUTED_VALUE"""),45926)</f>
        <v>45926</v>
      </c>
      <c r="G1137" s="57">
        <f ca="1">IFERROR(__xludf.DUMMYFUNCTION("""COMPUTED_VALUE"""),45912)</f>
        <v>45912</v>
      </c>
      <c r="H1137" s="33" t="str">
        <f ca="1">IFERROR(__xludf.DUMMYFUNCTION("""COMPUTED_VALUE"""),"La Oca")</f>
        <v>La Oca</v>
      </c>
      <c r="I1137" s="33" t="str">
        <f ca="1">IFERROR(__xludf.DUMMYFUNCTION("""COMPUTED_VALUE"""),"C2025919153150313")</f>
        <v>C2025919153150313</v>
      </c>
      <c r="J1137" s="33" t="str">
        <f ca="1">IFERROR(__xludf.DUMMYFUNCTION("""COMPUTED_VALUE"""),"DANIEL ANGEL GAMBOA TORRECILLA")</f>
        <v>DANIEL ANGEL GAMBOA TORRECILLA</v>
      </c>
      <c r="K1137" s="33">
        <f ca="1">IFERROR(__xludf.DUMMYFUNCTION("""COMPUTED_VALUE"""),2)</f>
        <v>2</v>
      </c>
      <c r="L1137" s="203">
        <f ca="1">IFERROR(__xludf.DUMMYFUNCTION("""COMPUTED_VALUE"""),2718.18)</f>
        <v>2718.18</v>
      </c>
      <c r="M1137" s="33" t="str">
        <f ca="1">IFERROR(__xludf.DUMMYFUNCTION("""COMPUTED_VALUE"""),"03 ORL")</f>
        <v>03 ORL</v>
      </c>
      <c r="N1137" s="33" t="str">
        <f ca="1">IFERROR(__xludf.DUMMYFUNCTION("""COMPUTED_VALUE"""),"06 ORL")</f>
        <v>06 ORL</v>
      </c>
      <c r="O1137" s="33" t="str">
        <f ca="1">IFERROR(__xludf.DUMMYFUNCTION("""COMPUTED_VALUE"""),"Dra, Bárbara Castillo Ávila")</f>
        <v>Dra, Bárbara Castillo Ávila</v>
      </c>
      <c r="P1137" s="33" t="str">
        <f ca="1">IFERROR(__xludf.DUMMYFUNCTION("""COMPUTED_VALUE"""),"Maika Blázquez (Madrid)")</f>
        <v>Maika Blázquez (Madrid)</v>
      </c>
    </row>
    <row r="1138" spans="2:16">
      <c r="B1138" s="33">
        <f ca="1">IFERROR(__xludf.DUMMYFUNCTION("""COMPUTED_VALUE"""),2025)</f>
        <v>2025</v>
      </c>
      <c r="C1138" s="33">
        <f ca="1">IFERROR(__xludf.DUMMYFUNCTION("""COMPUTED_VALUE"""),9)</f>
        <v>9</v>
      </c>
      <c r="D1138" s="33" t="str">
        <f ca="1">IFERROR(__xludf.DUMMYFUNCTION("""COMPUTED_VALUE"""),"NO")</f>
        <v>NO</v>
      </c>
      <c r="E1138" s="33" t="str">
        <f ca="1">IFERROR(__xludf.DUMMYFUNCTION("""COMPUTED_VALUE"""),"Madrid- La Oca")</f>
        <v>Madrid- La Oca</v>
      </c>
      <c r="F1138" s="57">
        <f ca="1">IFERROR(__xludf.DUMMYFUNCTION("""COMPUTED_VALUE"""),45923)</f>
        <v>45923</v>
      </c>
      <c r="G1138" s="57">
        <f ca="1">IFERROR(__xludf.DUMMYFUNCTION("""COMPUTED_VALUE"""),45901)</f>
        <v>45901</v>
      </c>
      <c r="H1138" s="33" t="str">
        <f ca="1">IFERROR(__xludf.DUMMYFUNCTION("""COMPUTED_VALUE"""),"La Oca")</f>
        <v>La Oca</v>
      </c>
      <c r="I1138" s="33" t="str">
        <f ca="1">IFERROR(__xludf.DUMMYFUNCTION("""COMPUTED_VALUE"""),"C202592105656843")</f>
        <v>C202592105656843</v>
      </c>
      <c r="J1138" s="33" t="str">
        <f ca="1">IFERROR(__xludf.DUMMYFUNCTION("""COMPUTED_VALUE"""),"JUAN ANTONIO DEL RIO JIMENEZ")</f>
        <v>JUAN ANTONIO DEL RIO JIMENEZ</v>
      </c>
      <c r="K1138" s="33">
        <f ca="1">IFERROR(__xludf.DUMMYFUNCTION("""COMPUTED_VALUE"""),2)</f>
        <v>2</v>
      </c>
      <c r="L1138" s="203">
        <f ca="1">IFERROR(__xludf.DUMMYFUNCTION("""COMPUTED_VALUE"""),2581.82)</f>
        <v>2581.8200000000002</v>
      </c>
      <c r="M1138" s="33" t="str">
        <f ca="1">IFERROR(__xludf.DUMMYFUNCTION("""COMPUTED_VALUE"""),"03 ORL")</f>
        <v>03 ORL</v>
      </c>
      <c r="N1138" s="33" t="str">
        <f ca="1">IFERROR(__xludf.DUMMYFUNCTION("""COMPUTED_VALUE"""),"06 ORL")</f>
        <v>06 ORL</v>
      </c>
      <c r="O1138" s="33" t="str">
        <f ca="1">IFERROR(__xludf.DUMMYFUNCTION("""COMPUTED_VALUE"""),"Dr, Eviatar Friedlander")</f>
        <v>Dr, Eviatar Friedlander</v>
      </c>
      <c r="P1138" s="33" t="str">
        <f ca="1">IFERROR(__xludf.DUMMYFUNCTION("""COMPUTED_VALUE"""),"Maika Blázquez (Madrid)")</f>
        <v>Maika Blázquez (Madrid)</v>
      </c>
    </row>
    <row r="1139" spans="2:16">
      <c r="B1139" s="33">
        <f ca="1">IFERROR(__xludf.DUMMYFUNCTION("""COMPUTED_VALUE"""),2025)</f>
        <v>2025</v>
      </c>
      <c r="C1139" s="33">
        <f ca="1">IFERROR(__xludf.DUMMYFUNCTION("""COMPUTED_VALUE"""),9)</f>
        <v>9</v>
      </c>
      <c r="D1139" s="33" t="str">
        <f ca="1">IFERROR(__xludf.DUMMYFUNCTION("""COMPUTED_VALUE"""),"NO")</f>
        <v>NO</v>
      </c>
      <c r="E1139" s="33" t="str">
        <f ca="1">IFERROR(__xludf.DUMMYFUNCTION("""COMPUTED_VALUE"""),"Madrid- La Oca")</f>
        <v>Madrid- La Oca</v>
      </c>
      <c r="F1139" s="57">
        <f ca="1">IFERROR(__xludf.DUMMYFUNCTION("""COMPUTED_VALUE"""),45910)</f>
        <v>45910</v>
      </c>
      <c r="G1139" s="57">
        <f ca="1">IFERROR(__xludf.DUMMYFUNCTION("""COMPUTED_VALUE"""),45910)</f>
        <v>45910</v>
      </c>
      <c r="H1139" s="33" t="str">
        <f ca="1">IFERROR(__xludf.DUMMYFUNCTION("""COMPUTED_VALUE"""),"La Oca")</f>
        <v>La Oca</v>
      </c>
      <c r="I1139" s="33" t="str">
        <f ca="1">IFERROR(__xludf.DUMMYFUNCTION("""COMPUTED_VALUE"""),"C2025910173529359")</f>
        <v>C2025910173529359</v>
      </c>
      <c r="J1139" s="33" t="str">
        <f ca="1">IFERROR(__xludf.DUMMYFUNCTION("""COMPUTED_VALUE"""),"MARIA SOLEDAD GARCIA RUIZ [JOSE CAZORLA DUQUE]")</f>
        <v>MARIA SOLEDAD GARCIA RUIZ [JOSE CAZORLA DUQUE]</v>
      </c>
      <c r="K1139" s="33">
        <f ca="1">IFERROR(__xludf.DUMMYFUNCTION("""COMPUTED_VALUE"""),2)</f>
        <v>2</v>
      </c>
      <c r="L1139" s="203">
        <f ca="1">IFERROR(__xludf.DUMMYFUNCTION("""COMPUTED_VALUE"""),2718.18)</f>
        <v>2718.18</v>
      </c>
      <c r="M1139" s="33" t="str">
        <f ca="1">IFERROR(__xludf.DUMMYFUNCTION("""COMPUTED_VALUE"""),"03 ORL")</f>
        <v>03 ORL</v>
      </c>
      <c r="N1139" s="33" t="str">
        <f ca="1">IFERROR(__xludf.DUMMYFUNCTION("""COMPUTED_VALUE"""),"06 ORL")</f>
        <v>06 ORL</v>
      </c>
      <c r="O1139" s="33" t="str">
        <f ca="1">IFERROR(__xludf.DUMMYFUNCTION("""COMPUTED_VALUE"""),"Dra, Laura Ruano De Pablo")</f>
        <v>Dra, Laura Ruano De Pablo</v>
      </c>
      <c r="P1139" s="33" t="str">
        <f ca="1">IFERROR(__xludf.DUMMYFUNCTION("""COMPUTED_VALUE"""),"Maika Blázquez (Madrid)")</f>
        <v>Maika Blázquez (Madrid)</v>
      </c>
    </row>
    <row r="1140" spans="2:16">
      <c r="B1140" s="33">
        <f ca="1">IFERROR(__xludf.DUMMYFUNCTION("""COMPUTED_VALUE"""),2025)</f>
        <v>2025</v>
      </c>
      <c r="C1140" s="33">
        <f ca="1">IFERROR(__xludf.DUMMYFUNCTION("""COMPUTED_VALUE"""),9)</f>
        <v>9</v>
      </c>
      <c r="D1140" s="33" t="str">
        <f ca="1">IFERROR(__xludf.DUMMYFUNCTION("""COMPUTED_VALUE"""),"NO")</f>
        <v>NO</v>
      </c>
      <c r="E1140" s="33" t="str">
        <f ca="1">IFERROR(__xludf.DUMMYFUNCTION("""COMPUTED_VALUE"""),"Madrid- La Oca")</f>
        <v>Madrid- La Oca</v>
      </c>
      <c r="F1140" s="57">
        <f ca="1">IFERROR(__xludf.DUMMYFUNCTION("""COMPUTED_VALUE"""),45915)</f>
        <v>45915</v>
      </c>
      <c r="G1140" s="57">
        <f ca="1">IFERROR(__xludf.DUMMYFUNCTION("""COMPUTED_VALUE"""),45855)</f>
        <v>45855</v>
      </c>
      <c r="H1140" s="33" t="str">
        <f ca="1">IFERROR(__xludf.DUMMYFUNCTION("""COMPUTED_VALUE"""),"La Oca")</f>
        <v>La Oca</v>
      </c>
      <c r="I1140" s="33" t="str">
        <f ca="1">IFERROR(__xludf.DUMMYFUNCTION("""COMPUTED_VALUE"""),"C202571710114916")</f>
        <v>C202571710114916</v>
      </c>
      <c r="J1140" s="33" t="str">
        <f ca="1">IFERROR(__xludf.DUMMYFUNCTION("""COMPUTED_VALUE"""),"PILAR ALONSO VAZQUEZ")</f>
        <v>PILAR ALONSO VAZQUEZ</v>
      </c>
      <c r="K1140" s="33">
        <f ca="1">IFERROR(__xludf.DUMMYFUNCTION("""COMPUTED_VALUE"""),2)</f>
        <v>2</v>
      </c>
      <c r="L1140" s="203">
        <f ca="1">IFERROR(__xludf.DUMMYFUNCTION("""COMPUTED_VALUE"""),4000)</f>
        <v>4000</v>
      </c>
      <c r="M1140" s="33" t="str">
        <f ca="1">IFERROR(__xludf.DUMMYFUNCTION("""COMPUTED_VALUE"""),"03 ORL")</f>
        <v>03 ORL</v>
      </c>
      <c r="N1140" s="33" t="str">
        <f ca="1">IFERROR(__xludf.DUMMYFUNCTION("""COMPUTED_VALUE"""),"06 ORL")</f>
        <v>06 ORL</v>
      </c>
      <c r="O1140" s="33" t="str">
        <f ca="1">IFERROR(__xludf.DUMMYFUNCTION("""COMPUTED_VALUE"""),"Dr, José Joaquín Gutiérrez Barquín")</f>
        <v>Dr, José Joaquín Gutiérrez Barquín</v>
      </c>
      <c r="P1140" s="33" t="str">
        <f ca="1">IFERROR(__xludf.DUMMYFUNCTION("""COMPUTED_VALUE"""),"Maika Blázquez (Madrid)")</f>
        <v>Maika Blázquez (Madrid)</v>
      </c>
    </row>
    <row r="1141" spans="2:16">
      <c r="B1141" s="33">
        <f ca="1">IFERROR(__xludf.DUMMYFUNCTION("""COMPUTED_VALUE"""),2025)</f>
        <v>2025</v>
      </c>
      <c r="C1141" s="33">
        <f ca="1">IFERROR(__xludf.DUMMYFUNCTION("""COMPUTED_VALUE"""),9)</f>
        <v>9</v>
      </c>
      <c r="D1141" s="33" t="str">
        <f ca="1">IFERROR(__xludf.DUMMYFUNCTION("""COMPUTED_VALUE"""),"NO")</f>
        <v>NO</v>
      </c>
      <c r="E1141" s="33" t="str">
        <f ca="1">IFERROR(__xludf.DUMMYFUNCTION("""COMPUTED_VALUE"""),"Madrid- La Oca")</f>
        <v>Madrid- La Oca</v>
      </c>
      <c r="F1141" s="57">
        <f ca="1">IFERROR(__xludf.DUMMYFUNCTION("""COMPUTED_VALUE"""),45922)</f>
        <v>45922</v>
      </c>
      <c r="G1141" s="57">
        <f ca="1">IFERROR(__xludf.DUMMYFUNCTION("""COMPUTED_VALUE"""),45905)</f>
        <v>45905</v>
      </c>
      <c r="H1141" s="33" t="str">
        <f ca="1">IFERROR(__xludf.DUMMYFUNCTION("""COMPUTED_VALUE"""),"La Oca")</f>
        <v>La Oca</v>
      </c>
      <c r="I1141" s="33" t="str">
        <f ca="1">IFERROR(__xludf.DUMMYFUNCTION("""COMPUTED_VALUE"""),"C2025951648821")</f>
        <v>C2025951648821</v>
      </c>
      <c r="J1141" s="33" t="str">
        <f ca="1">IFERROR(__xludf.DUMMYFUNCTION("""COMPUTED_VALUE"""),"SANDRA CALVAY MEDINA")</f>
        <v>SANDRA CALVAY MEDINA</v>
      </c>
      <c r="K1141" s="33">
        <f ca="1">IFERROR(__xludf.DUMMYFUNCTION("""COMPUTED_VALUE"""),2)</f>
        <v>2</v>
      </c>
      <c r="L1141" s="203">
        <f ca="1">IFERROR(__xludf.DUMMYFUNCTION("""COMPUTED_VALUE"""),2718.18)</f>
        <v>2718.18</v>
      </c>
      <c r="M1141" s="33" t="str">
        <f ca="1">IFERROR(__xludf.DUMMYFUNCTION("""COMPUTED_VALUE"""),"03 ORL")</f>
        <v>03 ORL</v>
      </c>
      <c r="N1141" s="33" t="str">
        <f ca="1">IFERROR(__xludf.DUMMYFUNCTION("""COMPUTED_VALUE"""),"06 ORL")</f>
        <v>06 ORL</v>
      </c>
      <c r="O1141" s="33" t="str">
        <f ca="1">IFERROR(__xludf.DUMMYFUNCTION("""COMPUTED_VALUE"""),"Dra, Laura Ruano De Pablo")</f>
        <v>Dra, Laura Ruano De Pablo</v>
      </c>
      <c r="P1141" s="33" t="str">
        <f ca="1">IFERROR(__xludf.DUMMYFUNCTION("""COMPUTED_VALUE"""),"Maika Blázquez (Madrid)")</f>
        <v>Maika Blázquez (Madrid)</v>
      </c>
    </row>
    <row r="1142" spans="2:16">
      <c r="B1142" s="33">
        <f ca="1">IFERROR(__xludf.DUMMYFUNCTION("""COMPUTED_VALUE"""),2025)</f>
        <v>2025</v>
      </c>
      <c r="C1142" s="33">
        <f ca="1">IFERROR(__xludf.DUMMYFUNCTION("""COMPUTED_VALUE"""),9)</f>
        <v>9</v>
      </c>
      <c r="D1142" s="33" t="str">
        <f ca="1">IFERROR(__xludf.DUMMYFUNCTION("""COMPUTED_VALUE"""),"NO")</f>
        <v>NO</v>
      </c>
      <c r="E1142" s="33" t="str">
        <f ca="1">IFERROR(__xludf.DUMMYFUNCTION("""COMPUTED_VALUE"""),"Madrid- La Oca")</f>
        <v>Madrid- La Oca</v>
      </c>
      <c r="F1142" s="57">
        <f ca="1">IFERROR(__xludf.DUMMYFUNCTION("""COMPUTED_VALUE"""),45919)</f>
        <v>45919</v>
      </c>
      <c r="G1142" s="57">
        <f ca="1">IFERROR(__xludf.DUMMYFUNCTION("""COMPUTED_VALUE"""),45741)</f>
        <v>45741</v>
      </c>
      <c r="H1142" s="33" t="str">
        <f ca="1">IFERROR(__xludf.DUMMYFUNCTION("""COMPUTED_VALUE"""),"La Oca")</f>
        <v>La Oca</v>
      </c>
      <c r="I1142" s="33" t="str">
        <f ca="1">IFERROR(__xludf.DUMMYFUNCTION("""COMPUTED_VALUE"""),"C2025415102713525")</f>
        <v>C2025415102713525</v>
      </c>
      <c r="J1142" s="33" t="str">
        <f ca="1">IFERROR(__xludf.DUMMYFUNCTION("""COMPUTED_VALUE"""),"TOMAS SANTIAGO MONTES")</f>
        <v>TOMAS SANTIAGO MONTES</v>
      </c>
      <c r="K1142" s="33">
        <f ca="1">IFERROR(__xludf.DUMMYFUNCTION("""COMPUTED_VALUE"""),1)</f>
        <v>1</v>
      </c>
      <c r="L1142" s="203">
        <f ca="1">IFERROR(__xludf.DUMMYFUNCTION("""COMPUTED_VALUE"""),1631.82)</f>
        <v>1631.82</v>
      </c>
      <c r="M1142" s="33" t="str">
        <f ca="1">IFERROR(__xludf.DUMMYFUNCTION("""COMPUTED_VALUE"""),"03 ORL")</f>
        <v>03 ORL</v>
      </c>
      <c r="N1142" s="33" t="str">
        <f ca="1">IFERROR(__xludf.DUMMYFUNCTION("""COMPUTED_VALUE"""),"22 AUDIOMETRIA CLINICA")</f>
        <v>22 AUDIOMETRIA CLINICA</v>
      </c>
      <c r="O1142" s="33" t="str">
        <f ca="1">IFERROR(__xludf.DUMMYFUNCTION("""COMPUTED_VALUE"""),"Dr, José Joaquín Gutiérrez Barquín")</f>
        <v>Dr, José Joaquín Gutiérrez Barquín</v>
      </c>
      <c r="P1142" s="33" t="str">
        <f ca="1">IFERROR(__xludf.DUMMYFUNCTION("""COMPUTED_VALUE"""),"Maika Blázquez (Madrid)")</f>
        <v>Maika Blázquez (Madrid)</v>
      </c>
    </row>
    <row r="1143" spans="2:16">
      <c r="B1143" s="33">
        <f ca="1">IFERROR(__xludf.DUMMYFUNCTION("""COMPUTED_VALUE"""),2025)</f>
        <v>2025</v>
      </c>
      <c r="C1143" s="33">
        <f ca="1">IFERROR(__xludf.DUMMYFUNCTION("""COMPUTED_VALUE"""),9)</f>
        <v>9</v>
      </c>
      <c r="D1143" s="33" t="str">
        <f ca="1">IFERROR(__xludf.DUMMYFUNCTION("""COMPUTED_VALUE"""),"NO")</f>
        <v>NO</v>
      </c>
      <c r="E1143" s="33" t="str">
        <f ca="1">IFERROR(__xludf.DUMMYFUNCTION("""COMPUTED_VALUE"""),"Madrid- Moratalaz")</f>
        <v>Madrid- Moratalaz</v>
      </c>
      <c r="F1143" s="57">
        <f ca="1">IFERROR(__xludf.DUMMYFUNCTION("""COMPUTED_VALUE"""),45908)</f>
        <v>45908</v>
      </c>
      <c r="G1143" s="57">
        <f ca="1">IFERROR(__xludf.DUMMYFUNCTION("""COMPUTED_VALUE"""),45854)</f>
        <v>45854</v>
      </c>
      <c r="H1143" s="33" t="str">
        <f ca="1">IFERROR(__xludf.DUMMYFUNCTION("""COMPUTED_VALUE"""),"Moratalaz")</f>
        <v>Moratalaz</v>
      </c>
      <c r="I1143" s="33" t="str">
        <f ca="1">IFERROR(__xludf.DUMMYFUNCTION("""COMPUTED_VALUE"""),"C2025723101654681")</f>
        <v>C2025723101654681</v>
      </c>
      <c r="J1143" s="33" t="str">
        <f ca="1">IFERROR(__xludf.DUMMYFUNCTION("""COMPUTED_VALUE"""),"CELIA VELLISCO AMODIA")</f>
        <v>CELIA VELLISCO AMODIA</v>
      </c>
      <c r="K1143" s="33">
        <f ca="1">IFERROR(__xludf.DUMMYFUNCTION("""COMPUTED_VALUE"""),1)</f>
        <v>1</v>
      </c>
      <c r="L1143" s="203">
        <f ca="1">IFERROR(__xludf.DUMMYFUNCTION("""COMPUTED_VALUE"""),2481.82)</f>
        <v>2481.8200000000002</v>
      </c>
      <c r="M1143" s="33" t="str">
        <f ca="1">IFERROR(__xludf.DUMMYFUNCTION("""COMPUTED_VALUE"""),"03 ORL")</f>
        <v>03 ORL</v>
      </c>
      <c r="N1143" s="33" t="str">
        <f ca="1">IFERROR(__xludf.DUMMYFUNCTION("""COMPUTED_VALUE"""),"06 ORL")</f>
        <v>06 ORL</v>
      </c>
      <c r="O1143" s="33" t="str">
        <f ca="1">IFERROR(__xludf.DUMMYFUNCTION("""COMPUTED_VALUE"""),"Dr, Manuel Gutiérrez Triguero")</f>
        <v>Dr, Manuel Gutiérrez Triguero</v>
      </c>
      <c r="P1143" s="33" t="str">
        <f ca="1">IFERROR(__xludf.DUMMYFUNCTION("""COMPUTED_VALUE"""),"Maika Blázquez (Madrid)")</f>
        <v>Maika Blázquez (Madrid)</v>
      </c>
    </row>
    <row r="1144" spans="2:16">
      <c r="B1144" s="33">
        <f ca="1">IFERROR(__xludf.DUMMYFUNCTION("""COMPUTED_VALUE"""),2025)</f>
        <v>2025</v>
      </c>
      <c r="C1144" s="33">
        <f ca="1">IFERROR(__xludf.DUMMYFUNCTION("""COMPUTED_VALUE"""),9)</f>
        <v>9</v>
      </c>
      <c r="D1144" s="33" t="str">
        <f ca="1">IFERROR(__xludf.DUMMYFUNCTION("""COMPUTED_VALUE"""),"NO")</f>
        <v>NO</v>
      </c>
      <c r="E1144" s="33" t="str">
        <f ca="1">IFERROR(__xludf.DUMMYFUNCTION("""COMPUTED_VALUE"""),"Madrid- Moratalaz")</f>
        <v>Madrid- Moratalaz</v>
      </c>
      <c r="F1144" s="57">
        <f ca="1">IFERROR(__xludf.DUMMYFUNCTION("""COMPUTED_VALUE"""),45909)</f>
        <v>45909</v>
      </c>
      <c r="G1144" s="57">
        <f ca="1">IFERROR(__xludf.DUMMYFUNCTION("""COMPUTED_VALUE"""),45847)</f>
        <v>45847</v>
      </c>
      <c r="H1144" s="33" t="str">
        <f ca="1">IFERROR(__xludf.DUMMYFUNCTION("""COMPUTED_VALUE"""),"Moratalaz")</f>
        <v>Moratalaz</v>
      </c>
      <c r="I1144" s="33" t="str">
        <f ca="1">IFERROR(__xludf.DUMMYFUNCTION("""COMPUTED_VALUE"""),"C2025722172149692")</f>
        <v>C2025722172149692</v>
      </c>
      <c r="J1144" s="33" t="str">
        <f ca="1">IFERROR(__xludf.DUMMYFUNCTION("""COMPUTED_VALUE"""),"MIGUEL MARTINEZ CHIRON")</f>
        <v>MIGUEL MARTINEZ CHIRON</v>
      </c>
      <c r="K1144" s="33">
        <f ca="1">IFERROR(__xludf.DUMMYFUNCTION("""COMPUTED_VALUE"""),2)</f>
        <v>2</v>
      </c>
      <c r="L1144" s="203">
        <f ca="1">IFERROR(__xludf.DUMMYFUNCTION("""COMPUTED_VALUE"""),4136.36)</f>
        <v>4136.3599999999997</v>
      </c>
      <c r="M1144" s="33" t="str">
        <f ca="1">IFERROR(__xludf.DUMMYFUNCTION("""COMPUTED_VALUE"""),"03 ORL")</f>
        <v>03 ORL</v>
      </c>
      <c r="N1144" s="33" t="str">
        <f ca="1">IFERROR(__xludf.DUMMYFUNCTION("""COMPUTED_VALUE"""),"06 ORL")</f>
        <v>06 ORL</v>
      </c>
      <c r="O1144" s="33" t="str">
        <f ca="1">IFERROR(__xludf.DUMMYFUNCTION("""COMPUTED_VALUE"""),"No recuerda ORL")</f>
        <v>No recuerda ORL</v>
      </c>
      <c r="P1144" s="33" t="str">
        <f ca="1">IFERROR(__xludf.DUMMYFUNCTION("""COMPUTED_VALUE"""),"Maika Blázquez (Madrid)")</f>
        <v>Maika Blázquez (Madrid)</v>
      </c>
    </row>
    <row r="1145" spans="2:16">
      <c r="B1145" s="33">
        <f ca="1">IFERROR(__xludf.DUMMYFUNCTION("""COMPUTED_VALUE"""),2025)</f>
        <v>2025</v>
      </c>
      <c r="C1145" s="33">
        <f ca="1">IFERROR(__xludf.DUMMYFUNCTION("""COMPUTED_VALUE"""),9)</f>
        <v>9</v>
      </c>
      <c r="D1145" s="33" t="str">
        <f ca="1">IFERROR(__xludf.DUMMYFUNCTION("""COMPUTED_VALUE"""),"NO")</f>
        <v>NO</v>
      </c>
      <c r="E1145" s="33" t="str">
        <f ca="1">IFERROR(__xludf.DUMMYFUNCTION("""COMPUTED_VALUE"""),"Móstoles")</f>
        <v>Móstoles</v>
      </c>
      <c r="F1145" s="57">
        <f ca="1">IFERROR(__xludf.DUMMYFUNCTION("""COMPUTED_VALUE"""),45908)</f>
        <v>45908</v>
      </c>
      <c r="G1145" s="57">
        <f ca="1">IFERROR(__xludf.DUMMYFUNCTION("""COMPUTED_VALUE"""),45828)</f>
        <v>45828</v>
      </c>
      <c r="H1145" s="33" t="str">
        <f ca="1">IFERROR(__xludf.DUMMYFUNCTION("""COMPUTED_VALUE"""),"Móstoles")</f>
        <v>Móstoles</v>
      </c>
      <c r="I1145" s="33" t="str">
        <f ca="1">IFERROR(__xludf.DUMMYFUNCTION("""COMPUTED_VALUE"""),"C20256239281927")</f>
        <v>C20256239281927</v>
      </c>
      <c r="J1145" s="33" t="str">
        <f ca="1">IFERROR(__xludf.DUMMYFUNCTION("""COMPUTED_VALUE"""),"BARTOLOME DE JESUS SILVA MACHADO")</f>
        <v>BARTOLOME DE JESUS SILVA MACHADO</v>
      </c>
      <c r="K1145" s="33">
        <f ca="1">IFERROR(__xludf.DUMMYFUNCTION("""COMPUTED_VALUE"""),1)</f>
        <v>1</v>
      </c>
      <c r="L1145" s="203">
        <f ca="1">IFERROR(__xludf.DUMMYFUNCTION("""COMPUTED_VALUE"""),1631.82)</f>
        <v>1631.82</v>
      </c>
      <c r="M1145" s="33" t="str">
        <f ca="1">IFERROR(__xludf.DUMMYFUNCTION("""COMPUTED_VALUE"""),"03 ORL")</f>
        <v>03 ORL</v>
      </c>
      <c r="N1145" s="33" t="str">
        <f ca="1">IFERROR(__xludf.DUMMYFUNCTION("""COMPUTED_VALUE"""),"06 ORL")</f>
        <v>06 ORL</v>
      </c>
      <c r="O1145" s="33" t="str">
        <f ca="1">IFERROR(__xludf.DUMMYFUNCTION("""COMPUTED_VALUE"""),"Dr, Víctor José González Arias")</f>
        <v>Dr, Víctor José González Arias</v>
      </c>
      <c r="P1145" s="33" t="str">
        <f ca="1">IFERROR(__xludf.DUMMYFUNCTION("""COMPUTED_VALUE"""),"Maika Blázquez (Madrid)")</f>
        <v>Maika Blázquez (Madrid)</v>
      </c>
    </row>
    <row r="1146" spans="2:16">
      <c r="B1146" s="33">
        <f ca="1">IFERROR(__xludf.DUMMYFUNCTION("""COMPUTED_VALUE"""),2025)</f>
        <v>2025</v>
      </c>
      <c r="C1146" s="33">
        <f ca="1">IFERROR(__xludf.DUMMYFUNCTION("""COMPUTED_VALUE"""),9)</f>
        <v>9</v>
      </c>
      <c r="D1146" s="33" t="str">
        <f ca="1">IFERROR(__xludf.DUMMYFUNCTION("""COMPUTED_VALUE"""),"NO")</f>
        <v>NO</v>
      </c>
      <c r="E1146" s="33" t="str">
        <f ca="1">IFERROR(__xludf.DUMMYFUNCTION("""COMPUTED_VALUE"""),"Móstoles")</f>
        <v>Móstoles</v>
      </c>
      <c r="F1146" s="57">
        <f ca="1">IFERROR(__xludf.DUMMYFUNCTION("""COMPUTED_VALUE"""),45919)</f>
        <v>45919</v>
      </c>
      <c r="G1146" s="57">
        <f ca="1">IFERROR(__xludf.DUMMYFUNCTION("""COMPUTED_VALUE"""),45831)</f>
        <v>45831</v>
      </c>
      <c r="H1146" s="33" t="str">
        <f ca="1">IFERROR(__xludf.DUMMYFUNCTION("""COMPUTED_VALUE"""),"Móstoles")</f>
        <v>Móstoles</v>
      </c>
      <c r="I1146" s="33" t="str">
        <f ca="1">IFERROR(__xludf.DUMMYFUNCTION("""COMPUTED_VALUE"""),"C2025626181732616")</f>
        <v>C2025626181732616</v>
      </c>
      <c r="J1146" s="33" t="str">
        <f ca="1">IFERROR(__xludf.DUMMYFUNCTION("""COMPUTED_VALUE"""),"DANIEL VALLADARES PEREZ")</f>
        <v>DANIEL VALLADARES PEREZ</v>
      </c>
      <c r="K1146" s="33">
        <f ca="1">IFERROR(__xludf.DUMMYFUNCTION("""COMPUTED_VALUE"""),2)</f>
        <v>2</v>
      </c>
      <c r="L1146" s="203">
        <f ca="1">IFERROR(__xludf.DUMMYFUNCTION("""COMPUTED_VALUE"""),3268.64)</f>
        <v>3268.64</v>
      </c>
      <c r="M1146" s="33" t="str">
        <f ca="1">IFERROR(__xludf.DUMMYFUNCTION("""COMPUTED_VALUE"""),"03 ORL")</f>
        <v>03 ORL</v>
      </c>
      <c r="N1146" s="33" t="str">
        <f ca="1">IFERROR(__xludf.DUMMYFUNCTION("""COMPUTED_VALUE"""),"06 ORL")</f>
        <v>06 ORL</v>
      </c>
      <c r="O1146" s="33" t="str">
        <f ca="1">IFERROR(__xludf.DUMMYFUNCTION("""COMPUTED_VALUE"""),"Dra, María Gabriela Bosco Morales")</f>
        <v>Dra, María Gabriela Bosco Morales</v>
      </c>
      <c r="P1146" s="33" t="str">
        <f ca="1">IFERROR(__xludf.DUMMYFUNCTION("""COMPUTED_VALUE"""),"Maika Blázquez (Madrid)")</f>
        <v>Maika Blázquez (Madrid)</v>
      </c>
    </row>
    <row r="1147" spans="2:16">
      <c r="B1147" s="33">
        <f ca="1">IFERROR(__xludf.DUMMYFUNCTION("""COMPUTED_VALUE"""),2025)</f>
        <v>2025</v>
      </c>
      <c r="C1147" s="33">
        <f ca="1">IFERROR(__xludf.DUMMYFUNCTION("""COMPUTED_VALUE"""),9)</f>
        <v>9</v>
      </c>
      <c r="D1147" s="33" t="str">
        <f ca="1">IFERROR(__xludf.DUMMYFUNCTION("""COMPUTED_VALUE"""),"NO")</f>
        <v>NO</v>
      </c>
      <c r="E1147" s="33" t="str">
        <f ca="1">IFERROR(__xludf.DUMMYFUNCTION("""COMPUTED_VALUE"""),"Móstoles")</f>
        <v>Móstoles</v>
      </c>
      <c r="F1147" s="57">
        <f ca="1">IFERROR(__xludf.DUMMYFUNCTION("""COMPUTED_VALUE"""),45919)</f>
        <v>45919</v>
      </c>
      <c r="G1147" s="57">
        <f ca="1">IFERROR(__xludf.DUMMYFUNCTION("""COMPUTED_VALUE"""),45831)</f>
        <v>45831</v>
      </c>
      <c r="H1147" s="33" t="str">
        <f ca="1">IFERROR(__xludf.DUMMYFUNCTION("""COMPUTED_VALUE"""),"Móstoles")</f>
        <v>Móstoles</v>
      </c>
      <c r="I1147" s="33" t="str">
        <f ca="1">IFERROR(__xludf.DUMMYFUNCTION("""COMPUTED_VALUE"""),"C202562617310290")</f>
        <v>C202562617310290</v>
      </c>
      <c r="J1147" s="33" t="str">
        <f ca="1">IFERROR(__xludf.DUMMYFUNCTION("""COMPUTED_VALUE"""),"MARIA DE LAS HUERTAS NAVARRO PEREZ")</f>
        <v>MARIA DE LAS HUERTAS NAVARRO PEREZ</v>
      </c>
      <c r="K1147" s="33">
        <f ca="1">IFERROR(__xludf.DUMMYFUNCTION("""COMPUTED_VALUE"""),2)</f>
        <v>2</v>
      </c>
      <c r="L1147" s="203">
        <f ca="1">IFERROR(__xludf.DUMMYFUNCTION("""COMPUTED_VALUE"""),3268.64)</f>
        <v>3268.64</v>
      </c>
      <c r="M1147" s="33" t="str">
        <f ca="1">IFERROR(__xludf.DUMMYFUNCTION("""COMPUTED_VALUE"""),"03 ORL")</f>
        <v>03 ORL</v>
      </c>
      <c r="N1147" s="33" t="str">
        <f ca="1">IFERROR(__xludf.DUMMYFUNCTION("""COMPUTED_VALUE"""),"06 ORL")</f>
        <v>06 ORL</v>
      </c>
      <c r="O1147" s="33" t="str">
        <f ca="1">IFERROR(__xludf.DUMMYFUNCTION("""COMPUTED_VALUE"""),"Dr, Víctor José González Arias")</f>
        <v>Dr, Víctor José González Arias</v>
      </c>
      <c r="P1147" s="33" t="str">
        <f ca="1">IFERROR(__xludf.DUMMYFUNCTION("""COMPUTED_VALUE"""),"Maika Blázquez (Madrid)")</f>
        <v>Maika Blázquez (Madrid)</v>
      </c>
    </row>
    <row r="1148" spans="2:16">
      <c r="B1148" s="33">
        <f ca="1">IFERROR(__xludf.DUMMYFUNCTION("""COMPUTED_VALUE"""),2025)</f>
        <v>2025</v>
      </c>
      <c r="C1148" s="33">
        <f ca="1">IFERROR(__xludf.DUMMYFUNCTION("""COMPUTED_VALUE"""),9)</f>
        <v>9</v>
      </c>
      <c r="D1148" s="33" t="str">
        <f ca="1">IFERROR(__xludf.DUMMYFUNCTION("""COMPUTED_VALUE"""),"NO")</f>
        <v>NO</v>
      </c>
      <c r="E1148" s="33" t="str">
        <f ca="1">IFERROR(__xludf.DUMMYFUNCTION("""COMPUTED_VALUE"""),"Murcia")</f>
        <v>Murcia</v>
      </c>
      <c r="F1148" s="57">
        <f ca="1">IFERROR(__xludf.DUMMYFUNCTION("""COMPUTED_VALUE"""),45929)</f>
        <v>45929</v>
      </c>
      <c r="G1148" s="57">
        <f ca="1">IFERROR(__xludf.DUMMYFUNCTION("""COMPUTED_VALUE"""),45912)</f>
        <v>45912</v>
      </c>
      <c r="H1148" s="33" t="str">
        <f ca="1">IFERROR(__xludf.DUMMYFUNCTION("""COMPUTED_VALUE"""),"Murcia")</f>
        <v>Murcia</v>
      </c>
      <c r="I1148" s="33" t="str">
        <f ca="1">IFERROR(__xludf.DUMMYFUNCTION("""COMPUTED_VALUE"""),"C202591712235127")</f>
        <v>C202591712235127</v>
      </c>
      <c r="J1148" s="33" t="str">
        <f ca="1">IFERROR(__xludf.DUMMYFUNCTION("""COMPUTED_VALUE"""),"GINES MARIN SANCHEZ")</f>
        <v>GINES MARIN SANCHEZ</v>
      </c>
      <c r="K1148" s="33">
        <f ca="1">IFERROR(__xludf.DUMMYFUNCTION("""COMPUTED_VALUE"""),2)</f>
        <v>2</v>
      </c>
      <c r="L1148" s="203">
        <f ca="1">IFERROR(__xludf.DUMMYFUNCTION("""COMPUTED_VALUE"""),4400)</f>
        <v>4400</v>
      </c>
      <c r="M1148" s="33" t="str">
        <f ca="1">IFERROR(__xludf.DUMMYFUNCTION("""COMPUTED_VALUE"""),"03 ORL")</f>
        <v>03 ORL</v>
      </c>
      <c r="N1148" s="33" t="str">
        <f ca="1">IFERROR(__xludf.DUMMYFUNCTION("""COMPUTED_VALUE"""),"06 ORL")</f>
        <v>06 ORL</v>
      </c>
      <c r="O1148" s="33" t="str">
        <f ca="1">IFERROR(__xludf.DUMMYFUNCTION("""COMPUTED_VALUE"""),"Dra, Cristina Esther Torregrosa Carrasquer")</f>
        <v>Dra, Cristina Esther Torregrosa Carrasquer</v>
      </c>
      <c r="P1148" s="33" t="str">
        <f ca="1">IFERROR(__xludf.DUMMYFUNCTION("""COMPUTED_VALUE"""),"Iván Sánchez (Levante Y Albacete)")</f>
        <v>Iván Sánchez (Levante Y Albacete)</v>
      </c>
    </row>
    <row r="1149" spans="2:16">
      <c r="B1149" s="33">
        <f ca="1">IFERROR(__xludf.DUMMYFUNCTION("""COMPUTED_VALUE"""),2025)</f>
        <v>2025</v>
      </c>
      <c r="C1149" s="33">
        <f ca="1">IFERROR(__xludf.DUMMYFUNCTION("""COMPUTED_VALUE"""),9)</f>
        <v>9</v>
      </c>
      <c r="D1149" s="33" t="str">
        <f ca="1">IFERROR(__xludf.DUMMYFUNCTION("""COMPUTED_VALUE"""),"NO")</f>
        <v>NO</v>
      </c>
      <c r="E1149" s="33" t="str">
        <f ca="1">IFERROR(__xludf.DUMMYFUNCTION("""COMPUTED_VALUE"""),"Murcia")</f>
        <v>Murcia</v>
      </c>
      <c r="F1149" s="57">
        <f ca="1">IFERROR(__xludf.DUMMYFUNCTION("""COMPUTED_VALUE"""),45925)</f>
        <v>45925</v>
      </c>
      <c r="G1149" s="57">
        <f ca="1">IFERROR(__xludf.DUMMYFUNCTION("""COMPUTED_VALUE"""),45868)</f>
        <v>45868</v>
      </c>
      <c r="H1149" s="33" t="str">
        <f ca="1">IFERROR(__xludf.DUMMYFUNCTION("""COMPUTED_VALUE"""),"Murcia")</f>
        <v>Murcia</v>
      </c>
      <c r="I1149" s="33" t="str">
        <f ca="1">IFERROR(__xludf.DUMMYFUNCTION("""COMPUTED_VALUE"""),"C202581111258719")</f>
        <v>C202581111258719</v>
      </c>
      <c r="J1149" s="33" t="str">
        <f ca="1">IFERROR(__xludf.DUMMYFUNCTION("""COMPUTED_VALUE"""),"JESUS RUIZ MOLINA")</f>
        <v>JESUS RUIZ MOLINA</v>
      </c>
      <c r="K1149" s="33">
        <f ca="1">IFERROR(__xludf.DUMMYFUNCTION("""COMPUTED_VALUE"""),1)</f>
        <v>1</v>
      </c>
      <c r="L1149" s="203">
        <f ca="1">IFERROR(__xludf.DUMMYFUNCTION("""COMPUTED_VALUE"""),2162.73)</f>
        <v>2162.73</v>
      </c>
      <c r="M1149" s="33" t="str">
        <f ca="1">IFERROR(__xludf.DUMMYFUNCTION("""COMPUTED_VALUE"""),"03 ORL")</f>
        <v>03 ORL</v>
      </c>
      <c r="N1149" s="33" t="str">
        <f ca="1">IFERROR(__xludf.DUMMYFUNCTION("""COMPUTED_VALUE"""),"06 ORL")</f>
        <v>06 ORL</v>
      </c>
      <c r="O1149" s="33" t="str">
        <f ca="1">IFERROR(__xludf.DUMMYFUNCTION("""COMPUTED_VALUE"""),"Dr, Juan David Lara Lozano")</f>
        <v>Dr, Juan David Lara Lozano</v>
      </c>
      <c r="P1149" s="33" t="str">
        <f ca="1">IFERROR(__xludf.DUMMYFUNCTION("""COMPUTED_VALUE"""),"Iván Sánchez (Levante Y Albacete)")</f>
        <v>Iván Sánchez (Levante Y Albacete)</v>
      </c>
    </row>
    <row r="1150" spans="2:16">
      <c r="B1150" s="33">
        <f ca="1">IFERROR(__xludf.DUMMYFUNCTION("""COMPUTED_VALUE"""),2025)</f>
        <v>2025</v>
      </c>
      <c r="C1150" s="33">
        <f ca="1">IFERROR(__xludf.DUMMYFUNCTION("""COMPUTED_VALUE"""),9)</f>
        <v>9</v>
      </c>
      <c r="D1150" s="33" t="str">
        <f ca="1">IFERROR(__xludf.DUMMYFUNCTION("""COMPUTED_VALUE"""),"NO")</f>
        <v>NO</v>
      </c>
      <c r="E1150" s="33" t="str">
        <f ca="1">IFERROR(__xludf.DUMMYFUNCTION("""COMPUTED_VALUE"""),"Murcia")</f>
        <v>Murcia</v>
      </c>
      <c r="F1150" s="57">
        <f ca="1">IFERROR(__xludf.DUMMYFUNCTION("""COMPUTED_VALUE"""),45923)</f>
        <v>45923</v>
      </c>
      <c r="G1150" s="57">
        <f ca="1">IFERROR(__xludf.DUMMYFUNCTION("""COMPUTED_VALUE"""),45889)</f>
        <v>45889</v>
      </c>
      <c r="H1150" s="33" t="str">
        <f ca="1">IFERROR(__xludf.DUMMYFUNCTION("""COMPUTED_VALUE"""),"Murcia")</f>
        <v>Murcia</v>
      </c>
      <c r="I1150" s="33" t="str">
        <f ca="1">IFERROR(__xludf.DUMMYFUNCTION("""COMPUTED_VALUE"""),"C202582293418119")</f>
        <v>C202582293418119</v>
      </c>
      <c r="J1150" s="33" t="str">
        <f ca="1">IFERROR(__xludf.DUMMYFUNCTION("""COMPUTED_VALUE"""),"JOSEFA MARTINEZ GUILLEN")</f>
        <v>JOSEFA MARTINEZ GUILLEN</v>
      </c>
      <c r="K1150" s="33">
        <f ca="1">IFERROR(__xludf.DUMMYFUNCTION("""COMPUTED_VALUE"""),2)</f>
        <v>2</v>
      </c>
      <c r="L1150" s="203">
        <f ca="1">IFERROR(__xludf.DUMMYFUNCTION("""COMPUTED_VALUE"""),2718.18)</f>
        <v>2718.18</v>
      </c>
      <c r="M1150" s="33" t="str">
        <f ca="1">IFERROR(__xludf.DUMMYFUNCTION("""COMPUTED_VALUE"""),"03 ORL")</f>
        <v>03 ORL</v>
      </c>
      <c r="N1150" s="33" t="str">
        <f ca="1">IFERROR(__xludf.DUMMYFUNCTION("""COMPUTED_VALUE"""),"06 ORL")</f>
        <v>06 ORL</v>
      </c>
      <c r="O1150" s="33" t="str">
        <f ca="1">IFERROR(__xludf.DUMMYFUNCTION("""COMPUTED_VALUE"""),"No recuerda ORL")</f>
        <v>No recuerda ORL</v>
      </c>
      <c r="P1150" s="33" t="str">
        <f ca="1">IFERROR(__xludf.DUMMYFUNCTION("""COMPUTED_VALUE"""),"Iván Sánchez (Levante Y Albacete)")</f>
        <v>Iván Sánchez (Levante Y Albacete)</v>
      </c>
    </row>
    <row r="1151" spans="2:16">
      <c r="B1151" s="33">
        <f ca="1">IFERROR(__xludf.DUMMYFUNCTION("""COMPUTED_VALUE"""),2025)</f>
        <v>2025</v>
      </c>
      <c r="C1151" s="33">
        <f ca="1">IFERROR(__xludf.DUMMYFUNCTION("""COMPUTED_VALUE"""),9)</f>
        <v>9</v>
      </c>
      <c r="D1151" s="33" t="str">
        <f ca="1">IFERROR(__xludf.DUMMYFUNCTION("""COMPUTED_VALUE"""),"NO")</f>
        <v>NO</v>
      </c>
      <c r="E1151" s="33" t="str">
        <f ca="1">IFERROR(__xludf.DUMMYFUNCTION("""COMPUTED_VALUE"""),"Orihuela")</f>
        <v>Orihuela</v>
      </c>
      <c r="F1151" s="57">
        <f ca="1">IFERROR(__xludf.DUMMYFUNCTION("""COMPUTED_VALUE"""),45922)</f>
        <v>45922</v>
      </c>
      <c r="G1151" s="57">
        <f ca="1">IFERROR(__xludf.DUMMYFUNCTION("""COMPUTED_VALUE"""),45870)</f>
        <v>45870</v>
      </c>
      <c r="H1151" s="33" t="str">
        <f ca="1">IFERROR(__xludf.DUMMYFUNCTION("""COMPUTED_VALUE"""),"La Zenia")</f>
        <v>La Zenia</v>
      </c>
      <c r="I1151" s="33" t="str">
        <f ca="1">IFERROR(__xludf.DUMMYFUNCTION("""COMPUTED_VALUE"""),"C202581114846277")</f>
        <v>C202581114846277</v>
      </c>
      <c r="J1151" s="33" t="str">
        <f ca="1">IFERROR(__xludf.DUMMYFUNCTION("""COMPUTED_VALUE"""),"BERNARDA FÉLIX CUEVAS")</f>
        <v>BERNARDA FÉLIX CUEVAS</v>
      </c>
      <c r="K1151" s="33">
        <f ca="1">IFERROR(__xludf.DUMMYFUNCTION("""COMPUTED_VALUE"""),2)</f>
        <v>2</v>
      </c>
      <c r="L1151" s="203">
        <f ca="1">IFERROR(__xludf.DUMMYFUNCTION("""COMPUTED_VALUE"""),2718.18)</f>
        <v>2718.18</v>
      </c>
      <c r="M1151" s="33" t="str">
        <f ca="1">IFERROR(__xludf.DUMMYFUNCTION("""COMPUTED_VALUE"""),"03 ORL")</f>
        <v>03 ORL</v>
      </c>
      <c r="N1151" s="33" t="str">
        <f ca="1">IFERROR(__xludf.DUMMYFUNCTION("""COMPUTED_VALUE"""),"06 ORL")</f>
        <v>06 ORL</v>
      </c>
      <c r="O1151" s="33" t="str">
        <f ca="1">IFERROR(__xludf.DUMMYFUNCTION("""COMPUTED_VALUE"""),"Dr, Juan Javier Álvarez López")</f>
        <v>Dr, Juan Javier Álvarez López</v>
      </c>
      <c r="P1151" s="33" t="str">
        <f ca="1">IFERROR(__xludf.DUMMYFUNCTION("""COMPUTED_VALUE"""),"Iván Sánchez (Levante Y Albacete)")</f>
        <v>Iván Sánchez (Levante Y Albacete)</v>
      </c>
    </row>
    <row r="1152" spans="2:16">
      <c r="B1152" s="33">
        <f ca="1">IFERROR(__xludf.DUMMYFUNCTION("""COMPUTED_VALUE"""),2025)</f>
        <v>2025</v>
      </c>
      <c r="C1152" s="33">
        <f ca="1">IFERROR(__xludf.DUMMYFUNCTION("""COMPUTED_VALUE"""),9)</f>
        <v>9</v>
      </c>
      <c r="D1152" s="33" t="str">
        <f ca="1">IFERROR(__xludf.DUMMYFUNCTION("""COMPUTED_VALUE"""),"NO")</f>
        <v>NO</v>
      </c>
      <c r="E1152" s="33" t="str">
        <f ca="1">IFERROR(__xludf.DUMMYFUNCTION("""COMPUTED_VALUE"""),"Orihuela")</f>
        <v>Orihuela</v>
      </c>
      <c r="F1152" s="57">
        <f ca="1">IFERROR(__xludf.DUMMYFUNCTION("""COMPUTED_VALUE"""),45922)</f>
        <v>45922</v>
      </c>
      <c r="G1152" s="57">
        <f ca="1">IFERROR(__xludf.DUMMYFUNCTION("""COMPUTED_VALUE"""),45901)</f>
        <v>45901</v>
      </c>
      <c r="H1152" s="33" t="str">
        <f ca="1">IFERROR(__xludf.DUMMYFUNCTION("""COMPUTED_VALUE"""),"La Zenia")</f>
        <v>La Zenia</v>
      </c>
      <c r="I1152" s="33" t="str">
        <f ca="1">IFERROR(__xludf.DUMMYFUNCTION("""COMPUTED_VALUE"""),"C202591116191616")</f>
        <v>C202591116191616</v>
      </c>
      <c r="J1152" s="33" t="str">
        <f ca="1">IFERROR(__xludf.DUMMYFUNCTION("""COMPUTED_VALUE"""),"CARMELO BERZOZA MONTIEL")</f>
        <v>CARMELO BERZOZA MONTIEL</v>
      </c>
      <c r="K1152" s="33">
        <f ca="1">IFERROR(__xludf.DUMMYFUNCTION("""COMPUTED_VALUE"""),2)</f>
        <v>2</v>
      </c>
      <c r="L1152" s="203">
        <f ca="1">IFERROR(__xludf.DUMMYFUNCTION("""COMPUTED_VALUE"""),3631.82)</f>
        <v>3631.82</v>
      </c>
      <c r="M1152" s="33" t="str">
        <f ca="1">IFERROR(__xludf.DUMMYFUNCTION("""COMPUTED_VALUE"""),"03 ORL")</f>
        <v>03 ORL</v>
      </c>
      <c r="N1152" s="33" t="str">
        <f ca="1">IFERROR(__xludf.DUMMYFUNCTION("""COMPUTED_VALUE"""),"06 ORL")</f>
        <v>06 ORL</v>
      </c>
      <c r="O1152" s="33" t="str">
        <f ca="1">IFERROR(__xludf.DUMMYFUNCTION("""COMPUTED_VALUE"""),"Dr, Juan Javier Álvarez López")</f>
        <v>Dr, Juan Javier Álvarez López</v>
      </c>
      <c r="P1152" s="33" t="str">
        <f ca="1">IFERROR(__xludf.DUMMYFUNCTION("""COMPUTED_VALUE"""),"Iván Sánchez (Levante Y Albacete)")</f>
        <v>Iván Sánchez (Levante Y Albacete)</v>
      </c>
    </row>
    <row r="1153" spans="2:16">
      <c r="B1153" s="33">
        <f ca="1">IFERROR(__xludf.DUMMYFUNCTION("""COMPUTED_VALUE"""),2025)</f>
        <v>2025</v>
      </c>
      <c r="C1153" s="33">
        <f ca="1">IFERROR(__xludf.DUMMYFUNCTION("""COMPUTED_VALUE"""),9)</f>
        <v>9</v>
      </c>
      <c r="D1153" s="33" t="str">
        <f ca="1">IFERROR(__xludf.DUMMYFUNCTION("""COMPUTED_VALUE"""),"NO")</f>
        <v>NO</v>
      </c>
      <c r="E1153" s="33" t="str">
        <f ca="1">IFERROR(__xludf.DUMMYFUNCTION("""COMPUTED_VALUE"""),"Orihuela")</f>
        <v>Orihuela</v>
      </c>
      <c r="F1153" s="57">
        <f ca="1">IFERROR(__xludf.DUMMYFUNCTION("""COMPUTED_VALUE"""),45901)</f>
        <v>45901</v>
      </c>
      <c r="G1153" s="57">
        <f ca="1">IFERROR(__xludf.DUMMYFUNCTION("""COMPUTED_VALUE"""),45874)</f>
        <v>45874</v>
      </c>
      <c r="H1153" s="33" t="str">
        <f ca="1">IFERROR(__xludf.DUMMYFUNCTION("""COMPUTED_VALUE"""),"La Zenia")</f>
        <v>La Zenia</v>
      </c>
      <c r="I1153" s="33" t="str">
        <f ca="1">IFERROR(__xludf.DUMMYFUNCTION("""COMPUTED_VALUE"""),"C20258885832459")</f>
        <v>C20258885832459</v>
      </c>
      <c r="J1153" s="33" t="str">
        <f ca="1">IFERROR(__xludf.DUMMYFUNCTION("""COMPUTED_VALUE"""),"GUURT GERARDA VERMER KENSELAAR")</f>
        <v>GUURT GERARDA VERMER KENSELAAR</v>
      </c>
      <c r="K1153" s="33">
        <f ca="1">IFERROR(__xludf.DUMMYFUNCTION("""COMPUTED_VALUE"""),2)</f>
        <v>2</v>
      </c>
      <c r="L1153" s="203">
        <f ca="1">IFERROR(__xludf.DUMMYFUNCTION("""COMPUTED_VALUE"""),3631.82)</f>
        <v>3631.82</v>
      </c>
      <c r="M1153" s="33" t="str">
        <f ca="1">IFERROR(__xludf.DUMMYFUNCTION("""COMPUTED_VALUE"""),"03 ORL")</f>
        <v>03 ORL</v>
      </c>
      <c r="N1153" s="33" t="str">
        <f ca="1">IFERROR(__xludf.DUMMYFUNCTION("""COMPUTED_VALUE"""),"06 ORL")</f>
        <v>06 ORL</v>
      </c>
      <c r="O1153" s="33" t="str">
        <f ca="1">IFERROR(__xludf.DUMMYFUNCTION("""COMPUTED_VALUE"""),"Dr, José García Morillas")</f>
        <v>Dr, José García Morillas</v>
      </c>
      <c r="P1153" s="33" t="str">
        <f ca="1">IFERROR(__xludf.DUMMYFUNCTION("""COMPUTED_VALUE"""),"Iván Sánchez (Levante Y Albacete)")</f>
        <v>Iván Sánchez (Levante Y Albacete)</v>
      </c>
    </row>
    <row r="1154" spans="2:16">
      <c r="B1154" s="33">
        <f ca="1">IFERROR(__xludf.DUMMYFUNCTION("""COMPUTED_VALUE"""),2025)</f>
        <v>2025</v>
      </c>
      <c r="C1154" s="33">
        <f ca="1">IFERROR(__xludf.DUMMYFUNCTION("""COMPUTED_VALUE"""),9)</f>
        <v>9</v>
      </c>
      <c r="D1154" s="33" t="str">
        <f ca="1">IFERROR(__xludf.DUMMYFUNCTION("""COMPUTED_VALUE"""),"NO")</f>
        <v>NO</v>
      </c>
      <c r="E1154" s="33" t="str">
        <f ca="1">IFERROR(__xludf.DUMMYFUNCTION("""COMPUTED_VALUE"""),"Orihuela")</f>
        <v>Orihuela</v>
      </c>
      <c r="F1154" s="57">
        <f ca="1">IFERROR(__xludf.DUMMYFUNCTION("""COMPUTED_VALUE"""),45926)</f>
        <v>45926</v>
      </c>
      <c r="G1154" s="57">
        <f ca="1">IFERROR(__xludf.DUMMYFUNCTION("""COMPUTED_VALUE"""),45862)</f>
        <v>45862</v>
      </c>
      <c r="H1154" s="33" t="str">
        <f ca="1">IFERROR(__xludf.DUMMYFUNCTION("""COMPUTED_VALUE"""),"La Zenia")</f>
        <v>La Zenia</v>
      </c>
      <c r="I1154" s="33" t="str">
        <f ca="1">IFERROR(__xludf.DUMMYFUNCTION("""COMPUTED_VALUE"""),"C202572815224502")</f>
        <v>C202572815224502</v>
      </c>
      <c r="J1154" s="33" t="str">
        <f ca="1">IFERROR(__xludf.DUMMYFUNCTION("""COMPUTED_VALUE"""),"PARVIN HOSSEIN ZADEH")</f>
        <v>PARVIN HOSSEIN ZADEH</v>
      </c>
      <c r="K1154" s="33">
        <f ca="1">IFERROR(__xludf.DUMMYFUNCTION("""COMPUTED_VALUE"""),2)</f>
        <v>2</v>
      </c>
      <c r="L1154" s="203">
        <f ca="1">IFERROR(__xludf.DUMMYFUNCTION("""COMPUTED_VALUE"""),2718.18)</f>
        <v>2718.18</v>
      </c>
      <c r="M1154" s="33" t="str">
        <f ca="1">IFERROR(__xludf.DUMMYFUNCTION("""COMPUTED_VALUE"""),"03 ORL")</f>
        <v>03 ORL</v>
      </c>
      <c r="N1154" s="33" t="str">
        <f ca="1">IFERROR(__xludf.DUMMYFUNCTION("""COMPUTED_VALUE"""),"06 ORL")</f>
        <v>06 ORL</v>
      </c>
      <c r="O1154" s="33" t="str">
        <f ca="1">IFERROR(__xludf.DUMMYFUNCTION("""COMPUTED_VALUE"""),"Dra, Paula Hernández Ruíz")</f>
        <v>Dra, Paula Hernández Ruíz</v>
      </c>
      <c r="P1154" s="33" t="str">
        <f ca="1">IFERROR(__xludf.DUMMYFUNCTION("""COMPUTED_VALUE"""),"Iván Sánchez (Levante Y Albacete)")</f>
        <v>Iván Sánchez (Levante Y Albacete)</v>
      </c>
    </row>
    <row r="1155" spans="2:16">
      <c r="B1155" s="33">
        <f ca="1">IFERROR(__xludf.DUMMYFUNCTION("""COMPUTED_VALUE"""),2025)</f>
        <v>2025</v>
      </c>
      <c r="C1155" s="33">
        <f ca="1">IFERROR(__xludf.DUMMYFUNCTION("""COMPUTED_VALUE"""),9)</f>
        <v>9</v>
      </c>
      <c r="D1155" s="33" t="str">
        <f ca="1">IFERROR(__xludf.DUMMYFUNCTION("""COMPUTED_VALUE"""),"NO")</f>
        <v>NO</v>
      </c>
      <c r="E1155" s="33" t="str">
        <f ca="1">IFERROR(__xludf.DUMMYFUNCTION("""COMPUTED_VALUE"""),"Ourense")</f>
        <v>Ourense</v>
      </c>
      <c r="F1155" s="57">
        <f ca="1">IFERROR(__xludf.DUMMYFUNCTION("""COMPUTED_VALUE"""),45930)</f>
        <v>45930</v>
      </c>
      <c r="G1155" s="57">
        <f ca="1">IFERROR(__xludf.DUMMYFUNCTION("""COMPUTED_VALUE"""),45875)</f>
        <v>45875</v>
      </c>
      <c r="H1155" s="33" t="str">
        <f ca="1">IFERROR(__xludf.DUMMYFUNCTION("""COMPUTED_VALUE"""),"Orense")</f>
        <v>Orense</v>
      </c>
      <c r="I1155" s="33" t="str">
        <f ca="1">IFERROR(__xludf.DUMMYFUNCTION("""COMPUTED_VALUE"""),"C202587113137242")</f>
        <v>C202587113137242</v>
      </c>
      <c r="J1155" s="33" t="str">
        <f ca="1">IFERROR(__xludf.DUMMYFUNCTION("""COMPUTED_VALUE"""),"DORINDA SALGADO VILA")</f>
        <v>DORINDA SALGADO VILA</v>
      </c>
      <c r="K1155" s="33">
        <f ca="1">IFERROR(__xludf.DUMMYFUNCTION("""COMPUTED_VALUE"""),2)</f>
        <v>2</v>
      </c>
      <c r="L1155" s="203">
        <f ca="1">IFERROR(__xludf.DUMMYFUNCTION("""COMPUTED_VALUE"""),3631.82)</f>
        <v>3631.82</v>
      </c>
      <c r="M1155" s="33" t="str">
        <f ca="1">IFERROR(__xludf.DUMMYFUNCTION("""COMPUTED_VALUE"""),"03 ORL")</f>
        <v>03 ORL</v>
      </c>
      <c r="N1155" s="33" t="str">
        <f ca="1">IFERROR(__xludf.DUMMYFUNCTION("""COMPUTED_VALUE"""),"06 ORL")</f>
        <v>06 ORL</v>
      </c>
      <c r="O1155" s="33" t="str">
        <f ca="1">IFERROR(__xludf.DUMMYFUNCTION("""COMPUTED_VALUE"""),"No recuerda ORL")</f>
        <v>No recuerda ORL</v>
      </c>
      <c r="P1155" s="33" t="str">
        <f ca="1">IFERROR(__xludf.DUMMYFUNCTION("""COMPUTED_VALUE"""),"Roberto Pereira (Galicia)")</f>
        <v>Roberto Pereira (Galicia)</v>
      </c>
    </row>
    <row r="1156" spans="2:16">
      <c r="B1156" s="33">
        <f ca="1">IFERROR(__xludf.DUMMYFUNCTION("""COMPUTED_VALUE"""),2025)</f>
        <v>2025</v>
      </c>
      <c r="C1156" s="33">
        <f ca="1">IFERROR(__xludf.DUMMYFUNCTION("""COMPUTED_VALUE"""),9)</f>
        <v>9</v>
      </c>
      <c r="D1156" s="33" t="str">
        <f ca="1">IFERROR(__xludf.DUMMYFUNCTION("""COMPUTED_VALUE"""),"NO")</f>
        <v>NO</v>
      </c>
      <c r="E1156" s="33" t="str">
        <f ca="1">IFERROR(__xludf.DUMMYFUNCTION("""COMPUTED_VALUE"""),"Ourense")</f>
        <v>Ourense</v>
      </c>
      <c r="F1156" s="57">
        <f ca="1">IFERROR(__xludf.DUMMYFUNCTION("""COMPUTED_VALUE"""),45902)</f>
        <v>45902</v>
      </c>
      <c r="G1156" s="57">
        <f ca="1">IFERROR(__xludf.DUMMYFUNCTION("""COMPUTED_VALUE"""),45862)</f>
        <v>45862</v>
      </c>
      <c r="H1156" s="33" t="str">
        <f ca="1">IFERROR(__xludf.DUMMYFUNCTION("""COMPUTED_VALUE"""),"Orense")</f>
        <v>Orense</v>
      </c>
      <c r="I1156" s="33" t="str">
        <f ca="1">IFERROR(__xludf.DUMMYFUNCTION("""COMPUTED_VALUE"""),"C202572912645144")</f>
        <v>C202572912645144</v>
      </c>
      <c r="J1156" s="33" t="str">
        <f ca="1">IFERROR(__xludf.DUMMYFUNCTION("""COMPUTED_VALUE"""),"JOSEFA CELESTE GONZALEZ VISPO")</f>
        <v>JOSEFA CELESTE GONZALEZ VISPO</v>
      </c>
      <c r="K1156" s="33">
        <f ca="1">IFERROR(__xludf.DUMMYFUNCTION("""COMPUTED_VALUE"""),1)</f>
        <v>1</v>
      </c>
      <c r="L1156" s="203">
        <f ca="1">IFERROR(__xludf.DUMMYFUNCTION("""COMPUTED_VALUE"""),1631.82)</f>
        <v>1631.82</v>
      </c>
      <c r="M1156" s="33" t="str">
        <f ca="1">IFERROR(__xludf.DUMMYFUNCTION("""COMPUTED_VALUE"""),"03 ORL")</f>
        <v>03 ORL</v>
      </c>
      <c r="N1156" s="33" t="str">
        <f ca="1">IFERROR(__xludf.DUMMYFUNCTION("""COMPUTED_VALUE"""),"06 ORL")</f>
        <v>06 ORL</v>
      </c>
      <c r="O1156" s="33" t="str">
        <f ca="1">IFERROR(__xludf.DUMMYFUNCTION("""COMPUTED_VALUE"""),"No recuerda ORL")</f>
        <v>No recuerda ORL</v>
      </c>
      <c r="P1156" s="33" t="str">
        <f ca="1">IFERROR(__xludf.DUMMYFUNCTION("""COMPUTED_VALUE"""),"Roberto Pereira (Galicia)")</f>
        <v>Roberto Pereira (Galicia)</v>
      </c>
    </row>
    <row r="1157" spans="2:16">
      <c r="B1157" s="33">
        <f ca="1">IFERROR(__xludf.DUMMYFUNCTION("""COMPUTED_VALUE"""),2025)</f>
        <v>2025</v>
      </c>
      <c r="C1157" s="33">
        <f ca="1">IFERROR(__xludf.DUMMYFUNCTION("""COMPUTED_VALUE"""),9)</f>
        <v>9</v>
      </c>
      <c r="D1157" s="33" t="str">
        <f ca="1">IFERROR(__xludf.DUMMYFUNCTION("""COMPUTED_VALUE"""),"NO")</f>
        <v>NO</v>
      </c>
      <c r="E1157" s="33" t="str">
        <f ca="1">IFERROR(__xludf.DUMMYFUNCTION("""COMPUTED_VALUE"""),"Ourense")</f>
        <v>Ourense</v>
      </c>
      <c r="F1157" s="57">
        <f ca="1">IFERROR(__xludf.DUMMYFUNCTION("""COMPUTED_VALUE"""),45904)</f>
        <v>45904</v>
      </c>
      <c r="G1157" s="57">
        <f ca="1">IFERROR(__xludf.DUMMYFUNCTION("""COMPUTED_VALUE"""),45849)</f>
        <v>45849</v>
      </c>
      <c r="H1157" s="33" t="str">
        <f ca="1">IFERROR(__xludf.DUMMYFUNCTION("""COMPUTED_VALUE"""),"Orense")</f>
        <v>Orense</v>
      </c>
      <c r="I1157" s="33" t="str">
        <f ca="1">IFERROR(__xludf.DUMMYFUNCTION("""COMPUTED_VALUE"""),"C20257149364853")</f>
        <v>C20257149364853</v>
      </c>
      <c r="J1157" s="33" t="str">
        <f ca="1">IFERROR(__xludf.DUMMYFUNCTION("""COMPUTED_VALUE"""),"JUAN CUMBRADO GRANDE")</f>
        <v>JUAN CUMBRADO GRANDE</v>
      </c>
      <c r="K1157" s="33">
        <f ca="1">IFERROR(__xludf.DUMMYFUNCTION("""COMPUTED_VALUE"""),1)</f>
        <v>1</v>
      </c>
      <c r="L1157" s="203">
        <f ca="1">IFERROR(__xludf.DUMMYFUNCTION("""COMPUTED_VALUE"""),2045.45)</f>
        <v>2045.45</v>
      </c>
      <c r="M1157" s="33" t="str">
        <f ca="1">IFERROR(__xludf.DUMMYFUNCTION("""COMPUTED_VALUE"""),"03 ORL")</f>
        <v>03 ORL</v>
      </c>
      <c r="N1157" s="33" t="str">
        <f ca="1">IFERROR(__xludf.DUMMYFUNCTION("""COMPUTED_VALUE"""),"06 ORL")</f>
        <v>06 ORL</v>
      </c>
      <c r="O1157" s="33" t="str">
        <f ca="1">IFERROR(__xludf.DUMMYFUNCTION("""COMPUTED_VALUE"""),"Dra, Ana Quintana Sanjuan")</f>
        <v>Dra, Ana Quintana Sanjuan</v>
      </c>
      <c r="P1157" s="33" t="str">
        <f ca="1">IFERROR(__xludf.DUMMYFUNCTION("""COMPUTED_VALUE"""),"Roberto Pereira (Galicia)")</f>
        <v>Roberto Pereira (Galicia)</v>
      </c>
    </row>
    <row r="1158" spans="2:16">
      <c r="B1158" s="33">
        <f ca="1">IFERROR(__xludf.DUMMYFUNCTION("""COMPUTED_VALUE"""),2025)</f>
        <v>2025</v>
      </c>
      <c r="C1158" s="33">
        <f ca="1">IFERROR(__xludf.DUMMYFUNCTION("""COMPUTED_VALUE"""),9)</f>
        <v>9</v>
      </c>
      <c r="D1158" s="33" t="str">
        <f ca="1">IFERROR(__xludf.DUMMYFUNCTION("""COMPUTED_VALUE"""),"NO")</f>
        <v>NO</v>
      </c>
      <c r="E1158" s="33" t="str">
        <f ca="1">IFERROR(__xludf.DUMMYFUNCTION("""COMPUTED_VALUE"""),"San Javier")</f>
        <v>San Javier</v>
      </c>
      <c r="F1158" s="57">
        <f ca="1">IFERROR(__xludf.DUMMYFUNCTION("""COMPUTED_VALUE"""),45915)</f>
        <v>45915</v>
      </c>
      <c r="G1158" s="57">
        <f ca="1">IFERROR(__xludf.DUMMYFUNCTION("""COMPUTED_VALUE"""),45875)</f>
        <v>45875</v>
      </c>
      <c r="H1158" s="33" t="str">
        <f ca="1">IFERROR(__xludf.DUMMYFUNCTION("""COMPUTED_VALUE"""),"San Javier")</f>
        <v>San Javier</v>
      </c>
      <c r="I1158" s="33" t="str">
        <f ca="1">IFERROR(__xludf.DUMMYFUNCTION("""COMPUTED_VALUE"""),"C202588114736810")</f>
        <v>C202588114736810</v>
      </c>
      <c r="J1158" s="33" t="str">
        <f ca="1">IFERROR(__xludf.DUMMYFUNCTION("""COMPUTED_VALUE"""),"ANA MESEGUER HERNANDEZ")</f>
        <v>ANA MESEGUER HERNANDEZ</v>
      </c>
      <c r="K1158" s="33">
        <f ca="1">IFERROR(__xludf.DUMMYFUNCTION("""COMPUTED_VALUE"""),2)</f>
        <v>2</v>
      </c>
      <c r="L1158" s="203">
        <f ca="1">IFERROR(__xludf.DUMMYFUNCTION("""COMPUTED_VALUE"""),3631.82)</f>
        <v>3631.82</v>
      </c>
      <c r="M1158" s="33" t="str">
        <f ca="1">IFERROR(__xludf.DUMMYFUNCTION("""COMPUTED_VALUE"""),"03 ORL")</f>
        <v>03 ORL</v>
      </c>
      <c r="N1158" s="33" t="str">
        <f ca="1">IFERROR(__xludf.DUMMYFUNCTION("""COMPUTED_VALUE"""),"06 ORL")</f>
        <v>06 ORL</v>
      </c>
      <c r="O1158" s="33" t="str">
        <f ca="1">IFERROR(__xludf.DUMMYFUNCTION("""COMPUTED_VALUE"""),"Dr, Rubén Moreno Arrones")</f>
        <v>Dr, Rubén Moreno Arrones</v>
      </c>
      <c r="P1158" s="33" t="str">
        <f ca="1">IFERROR(__xludf.DUMMYFUNCTION("""COMPUTED_VALUE"""),"Iván Sánchez (Levante Y Albacete)")</f>
        <v>Iván Sánchez (Levante Y Albacete)</v>
      </c>
    </row>
    <row r="1159" spans="2:16">
      <c r="B1159" s="33">
        <f ca="1">IFERROR(__xludf.DUMMYFUNCTION("""COMPUTED_VALUE"""),2025)</f>
        <v>2025</v>
      </c>
      <c r="C1159" s="33">
        <f ca="1">IFERROR(__xludf.DUMMYFUNCTION("""COMPUTED_VALUE"""),9)</f>
        <v>9</v>
      </c>
      <c r="D1159" s="33" t="str">
        <f ca="1">IFERROR(__xludf.DUMMYFUNCTION("""COMPUTED_VALUE"""),"NO")</f>
        <v>NO</v>
      </c>
      <c r="E1159" s="33" t="str">
        <f ca="1">IFERROR(__xludf.DUMMYFUNCTION("""COMPUTED_VALUE"""),"San Javier")</f>
        <v>San Javier</v>
      </c>
      <c r="F1159" s="57">
        <f ca="1">IFERROR(__xludf.DUMMYFUNCTION("""COMPUTED_VALUE"""),45922)</f>
        <v>45922</v>
      </c>
      <c r="G1159" s="57">
        <f ca="1">IFERROR(__xludf.DUMMYFUNCTION("""COMPUTED_VALUE"""),45862)</f>
        <v>45862</v>
      </c>
      <c r="H1159" s="33" t="str">
        <f ca="1">IFERROR(__xludf.DUMMYFUNCTION("""COMPUTED_VALUE"""),"San Javier")</f>
        <v>San Javier</v>
      </c>
      <c r="I1159" s="33" t="str">
        <f ca="1">IFERROR(__xludf.DUMMYFUNCTION("""COMPUTED_VALUE"""),"C202572416303646")</f>
        <v>C202572416303646</v>
      </c>
      <c r="J1159" s="33" t="str">
        <f ca="1">IFERROR(__xludf.DUMMYFUNCTION("""COMPUTED_VALUE"""),"GONZALO CORRAL BEAS")</f>
        <v>GONZALO CORRAL BEAS</v>
      </c>
      <c r="K1159" s="33">
        <f ca="1">IFERROR(__xludf.DUMMYFUNCTION("""COMPUTED_VALUE"""),1)</f>
        <v>1</v>
      </c>
      <c r="L1159" s="203">
        <f ca="1">IFERROR(__xludf.DUMMYFUNCTION("""COMPUTED_VALUE"""),2481.82)</f>
        <v>2481.8200000000002</v>
      </c>
      <c r="M1159" s="33" t="str">
        <f ca="1">IFERROR(__xludf.DUMMYFUNCTION("""COMPUTED_VALUE"""),"03 ORL")</f>
        <v>03 ORL</v>
      </c>
      <c r="N1159" s="33" t="str">
        <f ca="1">IFERROR(__xludf.DUMMYFUNCTION("""COMPUTED_VALUE"""),"06 ORL")</f>
        <v>06 ORL</v>
      </c>
      <c r="O1159" s="33" t="str">
        <f ca="1">IFERROR(__xludf.DUMMYFUNCTION("""COMPUTED_VALUE"""),"Dr, Alberto Raposo Jiménez")</f>
        <v>Dr, Alberto Raposo Jiménez</v>
      </c>
      <c r="P1159" s="33" t="str">
        <f ca="1">IFERROR(__xludf.DUMMYFUNCTION("""COMPUTED_VALUE"""),"Iván Sánchez (Levante Y Albacete)")</f>
        <v>Iván Sánchez (Levante Y Albacete)</v>
      </c>
    </row>
    <row r="1160" spans="2:16">
      <c r="B1160" s="33">
        <f ca="1">IFERROR(__xludf.DUMMYFUNCTION("""COMPUTED_VALUE"""),2025)</f>
        <v>2025</v>
      </c>
      <c r="C1160" s="33">
        <f ca="1">IFERROR(__xludf.DUMMYFUNCTION("""COMPUTED_VALUE"""),9)</f>
        <v>9</v>
      </c>
      <c r="D1160" s="33" t="str">
        <f ca="1">IFERROR(__xludf.DUMMYFUNCTION("""COMPUTED_VALUE"""),"NO")</f>
        <v>NO</v>
      </c>
      <c r="E1160" s="33" t="str">
        <f ca="1">IFERROR(__xludf.DUMMYFUNCTION("""COMPUTED_VALUE"""),"San Javier")</f>
        <v>San Javier</v>
      </c>
      <c r="F1160" s="57">
        <f ca="1">IFERROR(__xludf.DUMMYFUNCTION("""COMPUTED_VALUE"""),45926)</f>
        <v>45926</v>
      </c>
      <c r="G1160" s="57">
        <f ca="1">IFERROR(__xludf.DUMMYFUNCTION("""COMPUTED_VALUE"""),45909)</f>
        <v>45909</v>
      </c>
      <c r="H1160" s="33" t="str">
        <f ca="1">IFERROR(__xludf.DUMMYFUNCTION("""COMPUTED_VALUE"""),"San Javier")</f>
        <v>San Javier</v>
      </c>
      <c r="I1160" s="33" t="str">
        <f ca="1">IFERROR(__xludf.DUMMYFUNCTION("""COMPUTED_VALUE"""),"C2025916123433783")</f>
        <v>C2025916123433783</v>
      </c>
      <c r="J1160" s="33" t="str">
        <f ca="1">IFERROR(__xludf.DUMMYFUNCTION("""COMPUTED_VALUE"""),"JOSEFA MARTINEZ OSETE")</f>
        <v>JOSEFA MARTINEZ OSETE</v>
      </c>
      <c r="K1160" s="33">
        <f ca="1">IFERROR(__xludf.DUMMYFUNCTION("""COMPUTED_VALUE"""),1)</f>
        <v>1</v>
      </c>
      <c r="L1160" s="203">
        <f ca="1">IFERROR(__xludf.DUMMYFUNCTION("""COMPUTED_VALUE"""),1631.82)</f>
        <v>1631.82</v>
      </c>
      <c r="M1160" s="33" t="str">
        <f ca="1">IFERROR(__xludf.DUMMYFUNCTION("""COMPUTED_VALUE"""),"03 ORL")</f>
        <v>03 ORL</v>
      </c>
      <c r="N1160" s="33" t="str">
        <f ca="1">IFERROR(__xludf.DUMMYFUNCTION("""COMPUTED_VALUE"""),"06 ORL")</f>
        <v>06 ORL</v>
      </c>
      <c r="O1160" s="33" t="str">
        <f ca="1">IFERROR(__xludf.DUMMYFUNCTION("""COMPUTED_VALUE"""),"Dr, Rubén Moreno Arrones")</f>
        <v>Dr, Rubén Moreno Arrones</v>
      </c>
      <c r="P1160" s="33" t="str">
        <f ca="1">IFERROR(__xludf.DUMMYFUNCTION("""COMPUTED_VALUE"""),"Iván Sánchez (Levante Y Albacete)")</f>
        <v>Iván Sánchez (Levante Y Albacete)</v>
      </c>
    </row>
    <row r="1161" spans="2:16">
      <c r="B1161" s="33">
        <f ca="1">IFERROR(__xludf.DUMMYFUNCTION("""COMPUTED_VALUE"""),2025)</f>
        <v>2025</v>
      </c>
      <c r="C1161" s="33">
        <f ca="1">IFERROR(__xludf.DUMMYFUNCTION("""COMPUTED_VALUE"""),9)</f>
        <v>9</v>
      </c>
      <c r="D1161" s="33" t="str">
        <f ca="1">IFERROR(__xludf.DUMMYFUNCTION("""COMPUTED_VALUE"""),"NO")</f>
        <v>NO</v>
      </c>
      <c r="E1161" s="33" t="str">
        <f ca="1">IFERROR(__xludf.DUMMYFUNCTION("""COMPUTED_VALUE"""),"Santiago de Compostela")</f>
        <v>Santiago de Compostela</v>
      </c>
      <c r="F1161" s="57">
        <f ca="1">IFERROR(__xludf.DUMMYFUNCTION("""COMPUTED_VALUE"""),45919)</f>
        <v>45919</v>
      </c>
      <c r="G1161" s="57">
        <f ca="1">IFERROR(__xludf.DUMMYFUNCTION("""COMPUTED_VALUE"""),45902)</f>
        <v>45902</v>
      </c>
      <c r="H1161" s="33" t="str">
        <f ca="1">IFERROR(__xludf.DUMMYFUNCTION("""COMPUTED_VALUE"""),"Santiago")</f>
        <v>Santiago</v>
      </c>
      <c r="I1161" s="33" t="str">
        <f ca="1">IFERROR(__xludf.DUMMYFUNCTION("""COMPUTED_VALUE"""),"C20259510647702")</f>
        <v>C20259510647702</v>
      </c>
      <c r="J1161" s="33" t="str">
        <f ca="1">IFERROR(__xludf.DUMMYFUNCTION("""COMPUTED_VALUE"""),"CARLOS MOSTEIRO SANCHEZ")</f>
        <v>CARLOS MOSTEIRO SANCHEZ</v>
      </c>
      <c r="K1161" s="33">
        <f ca="1">IFERROR(__xludf.DUMMYFUNCTION("""COMPUTED_VALUE"""),2)</f>
        <v>2</v>
      </c>
      <c r="L1161" s="203">
        <f ca="1">IFERROR(__xludf.DUMMYFUNCTION("""COMPUTED_VALUE"""),3631.82)</f>
        <v>3631.82</v>
      </c>
      <c r="M1161" s="33" t="str">
        <f ca="1">IFERROR(__xludf.DUMMYFUNCTION("""COMPUTED_VALUE"""),"03 ORL")</f>
        <v>03 ORL</v>
      </c>
      <c r="N1161" s="33" t="str">
        <f ca="1">IFERROR(__xludf.DUMMYFUNCTION("""COMPUTED_VALUE"""),"06 ORL")</f>
        <v>06 ORL</v>
      </c>
      <c r="O1161" s="33" t="str">
        <f ca="1">IFERROR(__xludf.DUMMYFUNCTION("""COMPUTED_VALUE"""),"Dra, Isabel Vaamonde Sanchez Andrade")</f>
        <v>Dra, Isabel Vaamonde Sanchez Andrade</v>
      </c>
      <c r="P1161" s="33" t="str">
        <f ca="1">IFERROR(__xludf.DUMMYFUNCTION("""COMPUTED_VALUE"""),"Roberto Pereira (Galicia)")</f>
        <v>Roberto Pereira (Galicia)</v>
      </c>
    </row>
    <row r="1162" spans="2:16">
      <c r="B1162" s="33">
        <f ca="1">IFERROR(__xludf.DUMMYFUNCTION("""COMPUTED_VALUE"""),2025)</f>
        <v>2025</v>
      </c>
      <c r="C1162" s="33">
        <f ca="1">IFERROR(__xludf.DUMMYFUNCTION("""COMPUTED_VALUE"""),9)</f>
        <v>9</v>
      </c>
      <c r="D1162" s="33" t="str">
        <f ca="1">IFERROR(__xludf.DUMMYFUNCTION("""COMPUTED_VALUE"""),"NO")</f>
        <v>NO</v>
      </c>
      <c r="E1162" s="33" t="str">
        <f ca="1">IFERROR(__xludf.DUMMYFUNCTION("""COMPUTED_VALUE"""),"Santiago de Compostela")</f>
        <v>Santiago de Compostela</v>
      </c>
      <c r="F1162" s="57">
        <f ca="1">IFERROR(__xludf.DUMMYFUNCTION("""COMPUTED_VALUE"""),45905)</f>
        <v>45905</v>
      </c>
      <c r="G1162" s="57">
        <f ca="1">IFERROR(__xludf.DUMMYFUNCTION("""COMPUTED_VALUE"""),45867)</f>
        <v>45867</v>
      </c>
      <c r="H1162" s="33" t="str">
        <f ca="1">IFERROR(__xludf.DUMMYFUNCTION("""COMPUTED_VALUE"""),"Santiago")</f>
        <v>Santiago</v>
      </c>
      <c r="I1162" s="33" t="str">
        <f ca="1">IFERROR(__xludf.DUMMYFUNCTION("""COMPUTED_VALUE"""),"C2025730112237206")</f>
        <v>C2025730112237206</v>
      </c>
      <c r="J1162" s="33" t="str">
        <f ca="1">IFERROR(__xludf.DUMMYFUNCTION("""COMPUTED_VALUE"""),"MARIA DOLORES  COUCEIRO GONZALEZ")</f>
        <v>MARIA DOLORES  COUCEIRO GONZALEZ</v>
      </c>
      <c r="K1162" s="33">
        <f ca="1">IFERROR(__xludf.DUMMYFUNCTION("""COMPUTED_VALUE"""),2)</f>
        <v>2</v>
      </c>
      <c r="L1162" s="203">
        <f ca="1">IFERROR(__xludf.DUMMYFUNCTION("""COMPUTED_VALUE"""),4309.55)</f>
        <v>4309.55</v>
      </c>
      <c r="M1162" s="33" t="str">
        <f ca="1">IFERROR(__xludf.DUMMYFUNCTION("""COMPUTED_VALUE"""),"03 ORL")</f>
        <v>03 ORL</v>
      </c>
      <c r="N1162" s="33" t="str">
        <f ca="1">IFERROR(__xludf.DUMMYFUNCTION("""COMPUTED_VALUE"""),"06 ORL")</f>
        <v>06 ORL</v>
      </c>
      <c r="O1162" s="33" t="str">
        <f ca="1">IFERROR(__xludf.DUMMYFUNCTION("""COMPUTED_VALUE"""),"Dra, Isabel Vaamonde Sanchez Andrade")</f>
        <v>Dra, Isabel Vaamonde Sanchez Andrade</v>
      </c>
      <c r="P1162" s="33" t="str">
        <f ca="1">IFERROR(__xludf.DUMMYFUNCTION("""COMPUTED_VALUE"""),"Roberto Pereira (Galicia)")</f>
        <v>Roberto Pereira (Galicia)</v>
      </c>
    </row>
    <row r="1163" spans="2:16">
      <c r="B1163" s="33">
        <f ca="1">IFERROR(__xludf.DUMMYFUNCTION("""COMPUTED_VALUE"""),2025)</f>
        <v>2025</v>
      </c>
      <c r="C1163" s="33">
        <f ca="1">IFERROR(__xludf.DUMMYFUNCTION("""COMPUTED_VALUE"""),9)</f>
        <v>9</v>
      </c>
      <c r="D1163" s="33" t="str">
        <f ca="1">IFERROR(__xludf.DUMMYFUNCTION("""COMPUTED_VALUE"""),"NO")</f>
        <v>NO</v>
      </c>
      <c r="E1163" s="33" t="str">
        <f ca="1">IFERROR(__xludf.DUMMYFUNCTION("""COMPUTED_VALUE"""),"Sevilla- Montoto")</f>
        <v>Sevilla- Montoto</v>
      </c>
      <c r="F1163" s="57">
        <f ca="1">IFERROR(__xludf.DUMMYFUNCTION("""COMPUTED_VALUE"""),45917)</f>
        <v>45917</v>
      </c>
      <c r="G1163" s="57">
        <f ca="1">IFERROR(__xludf.DUMMYFUNCTION("""COMPUTED_VALUE"""),45831)</f>
        <v>45831</v>
      </c>
      <c r="H1163" s="33" t="str">
        <f ca="1">IFERROR(__xludf.DUMMYFUNCTION("""COMPUTED_VALUE"""),"Montoto")</f>
        <v>Montoto</v>
      </c>
      <c r="I1163" s="33" t="str">
        <f ca="1">IFERROR(__xludf.DUMMYFUNCTION("""COMPUTED_VALUE"""),"C2025624155632351")</f>
        <v>C2025624155632351</v>
      </c>
      <c r="J1163" s="33" t="str">
        <f ca="1">IFERROR(__xludf.DUMMYFUNCTION("""COMPUTED_VALUE"""),"ALEXIS SALAS GALINDO")</f>
        <v>ALEXIS SALAS GALINDO</v>
      </c>
      <c r="K1163" s="33">
        <f ca="1">IFERROR(__xludf.DUMMYFUNCTION("""COMPUTED_VALUE"""),2)</f>
        <v>2</v>
      </c>
      <c r="L1163" s="203">
        <f ca="1">IFERROR(__xludf.DUMMYFUNCTION("""COMPUTED_VALUE"""),4531.82)</f>
        <v>4531.82</v>
      </c>
      <c r="M1163" s="33" t="str">
        <f ca="1">IFERROR(__xludf.DUMMYFUNCTION("""COMPUTED_VALUE"""),"03 ORL")</f>
        <v>03 ORL</v>
      </c>
      <c r="N1163" s="33" t="str">
        <f ca="1">IFERROR(__xludf.DUMMYFUNCTION("""COMPUTED_VALUE"""),"06 ORL")</f>
        <v>06 ORL</v>
      </c>
      <c r="O1163" s="33" t="str">
        <f ca="1">IFERROR(__xludf.DUMMYFUNCTION("""COMPUTED_VALUE"""),"Dra, Paloma Martín Díaz")</f>
        <v>Dra, Paloma Martín Díaz</v>
      </c>
      <c r="P1163" s="33" t="str">
        <f ca="1">IFERROR(__xludf.DUMMYFUNCTION("""COMPUTED_VALUE"""),"Luis Alberto Rodríguez (Andalucía y Badajoz)")</f>
        <v>Luis Alberto Rodríguez (Andalucía y Badajoz)</v>
      </c>
    </row>
    <row r="1164" spans="2:16">
      <c r="B1164" s="33">
        <f ca="1">IFERROR(__xludf.DUMMYFUNCTION("""COMPUTED_VALUE"""),2025)</f>
        <v>2025</v>
      </c>
      <c r="C1164" s="33">
        <f ca="1">IFERROR(__xludf.DUMMYFUNCTION("""COMPUTED_VALUE"""),9)</f>
        <v>9</v>
      </c>
      <c r="D1164" s="33" t="str">
        <f ca="1">IFERROR(__xludf.DUMMYFUNCTION("""COMPUTED_VALUE"""),"NO")</f>
        <v>NO</v>
      </c>
      <c r="E1164" s="33" t="str">
        <f ca="1">IFERROR(__xludf.DUMMYFUNCTION("""COMPUTED_VALUE"""),"Sevilla- Montoto")</f>
        <v>Sevilla- Montoto</v>
      </c>
      <c r="F1164" s="57">
        <f ca="1">IFERROR(__xludf.DUMMYFUNCTION("""COMPUTED_VALUE"""),45930)</f>
        <v>45930</v>
      </c>
      <c r="G1164" s="57">
        <f ca="1">IFERROR(__xludf.DUMMYFUNCTION("""COMPUTED_VALUE"""),45860)</f>
        <v>45860</v>
      </c>
      <c r="H1164" s="33" t="str">
        <f ca="1">IFERROR(__xludf.DUMMYFUNCTION("""COMPUTED_VALUE"""),"Montoto")</f>
        <v>Montoto</v>
      </c>
      <c r="I1164" s="33" t="str">
        <f ca="1">IFERROR(__xludf.DUMMYFUNCTION("""COMPUTED_VALUE"""),"C202572910510409")</f>
        <v>C202572910510409</v>
      </c>
      <c r="J1164" s="33" t="str">
        <f ca="1">IFERROR(__xludf.DUMMYFUNCTION("""COMPUTED_VALUE"""),"ELVIRA SANCHEZ MAQUEDA")</f>
        <v>ELVIRA SANCHEZ MAQUEDA</v>
      </c>
      <c r="K1164" s="33">
        <f ca="1">IFERROR(__xludf.DUMMYFUNCTION("""COMPUTED_VALUE"""),1)</f>
        <v>1</v>
      </c>
      <c r="L1164" s="203">
        <f ca="1">IFERROR(__xludf.DUMMYFUNCTION("""COMPUTED_VALUE"""),2481.82)</f>
        <v>2481.8200000000002</v>
      </c>
      <c r="M1164" s="33" t="str">
        <f ca="1">IFERROR(__xludf.DUMMYFUNCTION("""COMPUTED_VALUE"""),"03 ORL")</f>
        <v>03 ORL</v>
      </c>
      <c r="N1164" s="33" t="str">
        <f ca="1">IFERROR(__xludf.DUMMYFUNCTION("""COMPUTED_VALUE"""),"06 ORL")</f>
        <v>06 ORL</v>
      </c>
      <c r="O1164" s="33" t="str">
        <f ca="1">IFERROR(__xludf.DUMMYFUNCTION("""COMPUTED_VALUE"""),"Dra, Estefanía Berrocal Postigo")</f>
        <v>Dra, Estefanía Berrocal Postigo</v>
      </c>
      <c r="P1164" s="33" t="str">
        <f ca="1">IFERROR(__xludf.DUMMYFUNCTION("""COMPUTED_VALUE"""),"Luis Alberto Rodríguez (Andalucía y Badajoz)")</f>
        <v>Luis Alberto Rodríguez (Andalucía y Badajoz)</v>
      </c>
    </row>
    <row r="1165" spans="2:16">
      <c r="B1165" s="33">
        <f ca="1">IFERROR(__xludf.DUMMYFUNCTION("""COMPUTED_VALUE"""),2025)</f>
        <v>2025</v>
      </c>
      <c r="C1165" s="33">
        <f ca="1">IFERROR(__xludf.DUMMYFUNCTION("""COMPUTED_VALUE"""),9)</f>
        <v>9</v>
      </c>
      <c r="D1165" s="33" t="str">
        <f ca="1">IFERROR(__xludf.DUMMYFUNCTION("""COMPUTED_VALUE"""),"NO")</f>
        <v>NO</v>
      </c>
      <c r="E1165" s="33" t="str">
        <f ca="1">IFERROR(__xludf.DUMMYFUNCTION("""COMPUTED_VALUE"""),"Sevilla- Montoto")</f>
        <v>Sevilla- Montoto</v>
      </c>
      <c r="F1165" s="57">
        <f ca="1">IFERROR(__xludf.DUMMYFUNCTION("""COMPUTED_VALUE"""),45925)</f>
        <v>45925</v>
      </c>
      <c r="G1165" s="57">
        <f ca="1">IFERROR(__xludf.DUMMYFUNCTION("""COMPUTED_VALUE"""),45867)</f>
        <v>45867</v>
      </c>
      <c r="H1165" s="33" t="str">
        <f ca="1">IFERROR(__xludf.DUMMYFUNCTION("""COMPUTED_VALUE"""),"Montoto")</f>
        <v>Montoto</v>
      </c>
      <c r="I1165" s="33" t="str">
        <f ca="1">IFERROR(__xludf.DUMMYFUNCTION("""COMPUTED_VALUE"""),"C202584121523354")</f>
        <v>C202584121523354</v>
      </c>
      <c r="J1165" s="33" t="str">
        <f ca="1">IFERROR(__xludf.DUMMYFUNCTION("""COMPUTED_VALUE"""),"JESUS MEDINA ALADRO")</f>
        <v>JESUS MEDINA ALADRO</v>
      </c>
      <c r="K1165" s="33">
        <f ca="1">IFERROR(__xludf.DUMMYFUNCTION("""COMPUTED_VALUE"""),2)</f>
        <v>2</v>
      </c>
      <c r="L1165" s="203">
        <f ca="1">IFERROR(__xludf.DUMMYFUNCTION("""COMPUTED_VALUE"""),4309.55)</f>
        <v>4309.55</v>
      </c>
      <c r="M1165" s="33" t="str">
        <f ca="1">IFERROR(__xludf.DUMMYFUNCTION("""COMPUTED_VALUE"""),"01 MARKETING ON LINE")</f>
        <v>01 MARKETING ON LINE</v>
      </c>
      <c r="N1165" s="33" t="str">
        <f ca="1">IFERROR(__xludf.DUMMYFUNCTION("""COMPUTED_VALUE"""),"04 AUDIFONO,ES")</f>
        <v>04 AUDIFONO,ES</v>
      </c>
      <c r="O1165" s="33" t="str">
        <f ca="1">IFERROR(__xludf.DUMMYFUNCTION("""COMPUTED_VALUE"""),"Dra, Noelia García García")</f>
        <v>Dra, Noelia García García</v>
      </c>
      <c r="P1165" s="33" t="str">
        <f ca="1">IFERROR(__xludf.DUMMYFUNCTION("""COMPUTED_VALUE"""),"Luis Alberto Rodríguez (Andalucía y Badajoz)")</f>
        <v>Luis Alberto Rodríguez (Andalucía y Badajoz)</v>
      </c>
    </row>
    <row r="1166" spans="2:16">
      <c r="B1166" s="33">
        <f ca="1">IFERROR(__xludf.DUMMYFUNCTION("""COMPUTED_VALUE"""),2025)</f>
        <v>2025</v>
      </c>
      <c r="C1166" s="33">
        <f ca="1">IFERROR(__xludf.DUMMYFUNCTION("""COMPUTED_VALUE"""),9)</f>
        <v>9</v>
      </c>
      <c r="D1166" s="33" t="str">
        <f ca="1">IFERROR(__xludf.DUMMYFUNCTION("""COMPUTED_VALUE"""),"NO")</f>
        <v>NO</v>
      </c>
      <c r="E1166" s="33" t="str">
        <f ca="1">IFERROR(__xludf.DUMMYFUNCTION("""COMPUTED_VALUE"""),"Sevilla- Montoto")</f>
        <v>Sevilla- Montoto</v>
      </c>
      <c r="F1166" s="57">
        <f ca="1">IFERROR(__xludf.DUMMYFUNCTION("""COMPUTED_VALUE"""),45918)</f>
        <v>45918</v>
      </c>
      <c r="G1166" s="57">
        <f ca="1">IFERROR(__xludf.DUMMYFUNCTION("""COMPUTED_VALUE"""),45868)</f>
        <v>45868</v>
      </c>
      <c r="H1166" s="33" t="str">
        <f ca="1">IFERROR(__xludf.DUMMYFUNCTION("""COMPUTED_VALUE"""),"Montoto")</f>
        <v>Montoto</v>
      </c>
      <c r="I1166" s="33" t="str">
        <f ca="1">IFERROR(__xludf.DUMMYFUNCTION("""COMPUTED_VALUE"""),"C20259210293860")</f>
        <v>C20259210293860</v>
      </c>
      <c r="J1166" s="33" t="str">
        <f ca="1">IFERROR(__xludf.DUMMYFUNCTION("""COMPUTED_VALUE"""),"JOSE TORO MARISCAL")</f>
        <v>JOSE TORO MARISCAL</v>
      </c>
      <c r="K1166" s="33">
        <f ca="1">IFERROR(__xludf.DUMMYFUNCTION("""COMPUTED_VALUE"""),2)</f>
        <v>2</v>
      </c>
      <c r="L1166" s="203">
        <f ca="1">IFERROR(__xludf.DUMMYFUNCTION("""COMPUTED_VALUE"""),2594.23)</f>
        <v>2594.23</v>
      </c>
      <c r="M1166" s="33" t="str">
        <f ca="1">IFERROR(__xludf.DUMMYFUNCTION("""COMPUTED_VALUE"""),"03 ORL")</f>
        <v>03 ORL</v>
      </c>
      <c r="N1166" s="33" t="str">
        <f ca="1">IFERROR(__xludf.DUMMYFUNCTION("""COMPUTED_VALUE"""),"06 ORL")</f>
        <v>06 ORL</v>
      </c>
      <c r="O1166" s="33" t="str">
        <f ca="1">IFERROR(__xludf.DUMMYFUNCTION("""COMPUTED_VALUE"""),"Dra, Rocío Corrales Millán")</f>
        <v>Dra, Rocío Corrales Millán</v>
      </c>
      <c r="P1166" s="33" t="str">
        <f ca="1">IFERROR(__xludf.DUMMYFUNCTION("""COMPUTED_VALUE"""),"Luis Alberto Rodríguez (Andalucía y Badajoz)")</f>
        <v>Luis Alberto Rodríguez (Andalucía y Badajoz)</v>
      </c>
    </row>
    <row r="1167" spans="2:16">
      <c r="B1167" s="33">
        <f ca="1">IFERROR(__xludf.DUMMYFUNCTION("""COMPUTED_VALUE"""),2025)</f>
        <v>2025</v>
      </c>
      <c r="C1167" s="33">
        <f ca="1">IFERROR(__xludf.DUMMYFUNCTION("""COMPUTED_VALUE"""),9)</f>
        <v>9</v>
      </c>
      <c r="D1167" s="33" t="str">
        <f ca="1">IFERROR(__xludf.DUMMYFUNCTION("""COMPUTED_VALUE"""),"NO")</f>
        <v>NO</v>
      </c>
      <c r="E1167" s="33" t="str">
        <f ca="1">IFERROR(__xludf.DUMMYFUNCTION("""COMPUTED_VALUE"""),"Sevilla- Montoto")</f>
        <v>Sevilla- Montoto</v>
      </c>
      <c r="F1167" s="57">
        <f ca="1">IFERROR(__xludf.DUMMYFUNCTION("""COMPUTED_VALUE"""),45915)</f>
        <v>45915</v>
      </c>
      <c r="G1167" s="57">
        <f ca="1">IFERROR(__xludf.DUMMYFUNCTION("""COMPUTED_VALUE"""),45855)</f>
        <v>45855</v>
      </c>
      <c r="H1167" s="33" t="str">
        <f ca="1">IFERROR(__xludf.DUMMYFUNCTION("""COMPUTED_VALUE"""),"Montoto")</f>
        <v>Montoto</v>
      </c>
      <c r="I1167" s="33" t="str">
        <f ca="1">IFERROR(__xludf.DUMMYFUNCTION("""COMPUTED_VALUE"""),"C20257181540467")</f>
        <v>C20257181540467</v>
      </c>
      <c r="J1167" s="33" t="str">
        <f ca="1">IFERROR(__xludf.DUMMYFUNCTION("""COMPUTED_VALUE"""),"MARIUXI LUCIA TOALA LEON")</f>
        <v>MARIUXI LUCIA TOALA LEON</v>
      </c>
      <c r="K1167" s="33">
        <f ca="1">IFERROR(__xludf.DUMMYFUNCTION("""COMPUTED_VALUE"""),1)</f>
        <v>1</v>
      </c>
      <c r="L1167" s="203">
        <f ca="1">IFERROR(__xludf.DUMMYFUNCTION("""COMPUTED_VALUE"""),1631.82)</f>
        <v>1631.82</v>
      </c>
      <c r="M1167" s="33" t="str">
        <f ca="1">IFERROR(__xludf.DUMMYFUNCTION("""COMPUTED_VALUE"""),"03 ORL")</f>
        <v>03 ORL</v>
      </c>
      <c r="N1167" s="33" t="str">
        <f ca="1">IFERROR(__xludf.DUMMYFUNCTION("""COMPUTED_VALUE"""),"06 ORL")</f>
        <v>06 ORL</v>
      </c>
      <c r="O1167" s="33" t="str">
        <f ca="1">IFERROR(__xludf.DUMMYFUNCTION("""COMPUTED_VALUE"""),"Dr, Francisco López Navas")</f>
        <v>Dr, Francisco López Navas</v>
      </c>
      <c r="P1167" s="33" t="str">
        <f ca="1">IFERROR(__xludf.DUMMYFUNCTION("""COMPUTED_VALUE"""),"Luis Alberto Rodríguez (Andalucía y Badajoz)")</f>
        <v>Luis Alberto Rodríguez (Andalucía y Badajoz)</v>
      </c>
    </row>
    <row r="1168" spans="2:16">
      <c r="B1168" s="33">
        <f ca="1">IFERROR(__xludf.DUMMYFUNCTION("""COMPUTED_VALUE"""),2025)</f>
        <v>2025</v>
      </c>
      <c r="C1168" s="33">
        <f ca="1">IFERROR(__xludf.DUMMYFUNCTION("""COMPUTED_VALUE"""),9)</f>
        <v>9</v>
      </c>
      <c r="D1168" s="33" t="str">
        <f ca="1">IFERROR(__xludf.DUMMYFUNCTION("""COMPUTED_VALUE"""),"NO")</f>
        <v>NO</v>
      </c>
      <c r="E1168" s="33" t="str">
        <f ca="1">IFERROR(__xludf.DUMMYFUNCTION("""COMPUTED_VALUE"""),"Sevilla- Montoto")</f>
        <v>Sevilla- Montoto</v>
      </c>
      <c r="F1168" s="57">
        <f ca="1">IFERROR(__xludf.DUMMYFUNCTION("""COMPUTED_VALUE"""),45918)</f>
        <v>45918</v>
      </c>
      <c r="G1168" s="57">
        <f ca="1">IFERROR(__xludf.DUMMYFUNCTION("""COMPUTED_VALUE"""),45894)</f>
        <v>45894</v>
      </c>
      <c r="H1168" s="33" t="str">
        <f ca="1">IFERROR(__xludf.DUMMYFUNCTION("""COMPUTED_VALUE"""),"Montoto")</f>
        <v>Montoto</v>
      </c>
      <c r="I1168" s="33" t="str">
        <f ca="1">IFERROR(__xludf.DUMMYFUNCTION("""COMPUTED_VALUE"""),"C20258289454924")</f>
        <v>C20258289454924</v>
      </c>
      <c r="J1168" s="33" t="str">
        <f ca="1">IFERROR(__xludf.DUMMYFUNCTION("""COMPUTED_VALUE"""),"VICENTE SANCHIS BELMONTE")</f>
        <v>VICENTE SANCHIS BELMONTE</v>
      </c>
      <c r="K1168" s="33">
        <f ca="1">IFERROR(__xludf.DUMMYFUNCTION("""COMPUTED_VALUE"""),2)</f>
        <v>2</v>
      </c>
      <c r="L1168" s="203">
        <f ca="1">IFERROR(__xludf.DUMMYFUNCTION("""COMPUTED_VALUE"""),4136.36)</f>
        <v>4136.3599999999997</v>
      </c>
      <c r="M1168" s="33" t="str">
        <f ca="1">IFERROR(__xludf.DUMMYFUNCTION("""COMPUTED_VALUE"""),"03 ORL")</f>
        <v>03 ORL</v>
      </c>
      <c r="N1168" s="33" t="str">
        <f ca="1">IFERROR(__xludf.DUMMYFUNCTION("""COMPUTED_VALUE"""),"06 ORL")</f>
        <v>06 ORL</v>
      </c>
      <c r="O1168" s="33" t="str">
        <f ca="1">IFERROR(__xludf.DUMMYFUNCTION("""COMPUTED_VALUE"""),"Dra, Estefanía Berrocal Postigo")</f>
        <v>Dra, Estefanía Berrocal Postigo</v>
      </c>
      <c r="P1168" s="33" t="str">
        <f ca="1">IFERROR(__xludf.DUMMYFUNCTION("""COMPUTED_VALUE"""),"Luis Alberto Rodríguez (Andalucía y Badajoz)")</f>
        <v>Luis Alberto Rodríguez (Andalucía y Badajoz)</v>
      </c>
    </row>
    <row r="1169" spans="2:16">
      <c r="B1169" s="33">
        <f ca="1">IFERROR(__xludf.DUMMYFUNCTION("""COMPUTED_VALUE"""),2025)</f>
        <v>2025</v>
      </c>
      <c r="C1169" s="33">
        <f ca="1">IFERROR(__xludf.DUMMYFUNCTION("""COMPUTED_VALUE"""),9)</f>
        <v>9</v>
      </c>
      <c r="D1169" s="33" t="str">
        <f ca="1">IFERROR(__xludf.DUMMYFUNCTION("""COMPUTED_VALUE"""),"NO")</f>
        <v>NO</v>
      </c>
      <c r="E1169" s="33" t="str">
        <f ca="1">IFERROR(__xludf.DUMMYFUNCTION("""COMPUTED_VALUE"""),"Talavera")</f>
        <v>Talavera</v>
      </c>
      <c r="F1169" s="57">
        <f ca="1">IFERROR(__xludf.DUMMYFUNCTION("""COMPUTED_VALUE"""),45916)</f>
        <v>45916</v>
      </c>
      <c r="G1169" s="57">
        <f ca="1">IFERROR(__xludf.DUMMYFUNCTION("""COMPUTED_VALUE"""),45873)</f>
        <v>45873</v>
      </c>
      <c r="H1169" s="33" t="str">
        <f ca="1">IFERROR(__xludf.DUMMYFUNCTION("""COMPUTED_VALUE"""),"Talavera")</f>
        <v>Talavera</v>
      </c>
      <c r="I1169" s="33" t="str">
        <f ca="1">IFERROR(__xludf.DUMMYFUNCTION("""COMPUTED_VALUE"""),"C202585947250")</f>
        <v>C202585947250</v>
      </c>
      <c r="J1169" s="33" t="str">
        <f ca="1">IFERROR(__xludf.DUMMYFUNCTION("""COMPUTED_VALUE"""),"MANUEL BENITO RODRIGUEZ")</f>
        <v>MANUEL BENITO RODRIGUEZ</v>
      </c>
      <c r="K1169" s="33">
        <f ca="1">IFERROR(__xludf.DUMMYFUNCTION("""COMPUTED_VALUE"""),2)</f>
        <v>2</v>
      </c>
      <c r="L1169" s="203">
        <f ca="1">IFERROR(__xludf.DUMMYFUNCTION("""COMPUTED_VALUE"""),2486.36)</f>
        <v>2486.36</v>
      </c>
      <c r="M1169" s="33" t="str">
        <f ca="1">IFERROR(__xludf.DUMMYFUNCTION("""COMPUTED_VALUE"""),"03 ORL")</f>
        <v>03 ORL</v>
      </c>
      <c r="N1169" s="33" t="str">
        <f ca="1">IFERROR(__xludf.DUMMYFUNCTION("""COMPUTED_VALUE"""),"06 ORL")</f>
        <v>06 ORL</v>
      </c>
      <c r="O1169" s="33" t="str">
        <f ca="1">IFERROR(__xludf.DUMMYFUNCTION("""COMPUTED_VALUE"""),"Dra, María Elena García García")</f>
        <v>Dra, María Elena García García</v>
      </c>
      <c r="P1169" s="33" t="str">
        <f ca="1">IFERROR(__xludf.DUMMYFUNCTION("""COMPUTED_VALUE"""),"Lisandro Russian (Madrid, Cáceres, Toledo, Talavera Y Logroño)")</f>
        <v>Lisandro Russian (Madrid, Cáceres, Toledo, Talavera Y Logroño)</v>
      </c>
    </row>
    <row r="1170" spans="2:16">
      <c r="B1170" s="33">
        <f ca="1">IFERROR(__xludf.DUMMYFUNCTION("""COMPUTED_VALUE"""),2025)</f>
        <v>2025</v>
      </c>
      <c r="C1170" s="33">
        <f ca="1">IFERROR(__xludf.DUMMYFUNCTION("""COMPUTED_VALUE"""),9)</f>
        <v>9</v>
      </c>
      <c r="D1170" s="33" t="str">
        <f ca="1">IFERROR(__xludf.DUMMYFUNCTION("""COMPUTED_VALUE"""),"NO")</f>
        <v>NO</v>
      </c>
      <c r="E1170" s="33" t="str">
        <f ca="1">IFERROR(__xludf.DUMMYFUNCTION("""COMPUTED_VALUE"""),"Talavera")</f>
        <v>Talavera</v>
      </c>
      <c r="F1170" s="57">
        <f ca="1">IFERROR(__xludf.DUMMYFUNCTION("""COMPUTED_VALUE"""),45923)</f>
        <v>45923</v>
      </c>
      <c r="G1170" s="57">
        <f ca="1">IFERROR(__xludf.DUMMYFUNCTION("""COMPUTED_VALUE"""),45902)</f>
        <v>45902</v>
      </c>
      <c r="H1170" s="33" t="str">
        <f ca="1">IFERROR(__xludf.DUMMYFUNCTION("""COMPUTED_VALUE"""),"Talavera")</f>
        <v>Talavera</v>
      </c>
      <c r="I1170" s="33" t="str">
        <f ca="1">IFERROR(__xludf.DUMMYFUNCTION("""COMPUTED_VALUE"""),"C20259210529996")</f>
        <v>C20259210529996</v>
      </c>
      <c r="J1170" s="33" t="str">
        <f ca="1">IFERROR(__xludf.DUMMYFUNCTION("""COMPUTED_VALUE"""),"PURIFICACION  PASCUAL MORENO")</f>
        <v>PURIFICACION  PASCUAL MORENO</v>
      </c>
      <c r="K1170" s="33">
        <f ca="1">IFERROR(__xludf.DUMMYFUNCTION("""COMPUTED_VALUE"""),2)</f>
        <v>2</v>
      </c>
      <c r="L1170" s="203">
        <f ca="1">IFERROR(__xludf.DUMMYFUNCTION("""COMPUTED_VALUE"""),3450)</f>
        <v>3450</v>
      </c>
      <c r="M1170" s="33" t="str">
        <f ca="1">IFERROR(__xludf.DUMMYFUNCTION("""COMPUTED_VALUE"""),"03 ORL")</f>
        <v>03 ORL</v>
      </c>
      <c r="N1170" s="33" t="str">
        <f ca="1">IFERROR(__xludf.DUMMYFUNCTION("""COMPUTED_VALUE"""),"06 ORL")</f>
        <v>06 ORL</v>
      </c>
      <c r="O1170" s="33" t="str">
        <f ca="1">IFERROR(__xludf.DUMMYFUNCTION("""COMPUTED_VALUE"""),"Dr, Carlos Félix Asensio Nieto")</f>
        <v>Dr, Carlos Félix Asensio Nieto</v>
      </c>
      <c r="P1170" s="33" t="str">
        <f ca="1">IFERROR(__xludf.DUMMYFUNCTION("""COMPUTED_VALUE"""),"Lisandro Russian (Madrid, Cáceres, Toledo, Talavera Y Logroño)")</f>
        <v>Lisandro Russian (Madrid, Cáceres, Toledo, Talavera Y Logroño)</v>
      </c>
    </row>
    <row r="1171" spans="2:16">
      <c r="B1171" s="33">
        <f ca="1">IFERROR(__xludf.DUMMYFUNCTION("""COMPUTED_VALUE"""),2025)</f>
        <v>2025</v>
      </c>
      <c r="C1171" s="33">
        <f ca="1">IFERROR(__xludf.DUMMYFUNCTION("""COMPUTED_VALUE"""),9)</f>
        <v>9</v>
      </c>
      <c r="D1171" s="33" t="str">
        <f ca="1">IFERROR(__xludf.DUMMYFUNCTION("""COMPUTED_VALUE"""),"NO")</f>
        <v>NO</v>
      </c>
      <c r="E1171" s="33" t="str">
        <f ca="1">IFERROR(__xludf.DUMMYFUNCTION("""COMPUTED_VALUE"""),"Talavera")</f>
        <v>Talavera</v>
      </c>
      <c r="F1171" s="57">
        <f ca="1">IFERROR(__xludf.DUMMYFUNCTION("""COMPUTED_VALUE"""),45901)</f>
        <v>45901</v>
      </c>
      <c r="G1171" s="57">
        <f ca="1">IFERROR(__xludf.DUMMYFUNCTION("""COMPUTED_VALUE"""),45859)</f>
        <v>45859</v>
      </c>
      <c r="H1171" s="33" t="str">
        <f ca="1">IFERROR(__xludf.DUMMYFUNCTION("""COMPUTED_VALUE"""),"Talavera")</f>
        <v>Talavera</v>
      </c>
      <c r="I1171" s="33" t="str">
        <f ca="1">IFERROR(__xludf.DUMMYFUNCTION("""COMPUTED_VALUE"""),"C202572310248292")</f>
        <v>C202572310248292</v>
      </c>
      <c r="J1171" s="33" t="str">
        <f ca="1">IFERROR(__xludf.DUMMYFUNCTION("""COMPUTED_VALUE"""),"ROSA CERQUEDA FONT")</f>
        <v>ROSA CERQUEDA FONT</v>
      </c>
      <c r="K1171" s="33">
        <f ca="1">IFERROR(__xludf.DUMMYFUNCTION("""COMPUTED_VALUE"""),2)</f>
        <v>2</v>
      </c>
      <c r="L1171" s="203">
        <f ca="1">IFERROR(__xludf.DUMMYFUNCTION("""COMPUTED_VALUE"""),2556.44)</f>
        <v>2556.44</v>
      </c>
      <c r="M1171" s="33" t="str">
        <f ca="1">IFERROR(__xludf.DUMMYFUNCTION("""COMPUTED_VALUE"""),"03 ORL")</f>
        <v>03 ORL</v>
      </c>
      <c r="N1171" s="33" t="str">
        <f ca="1">IFERROR(__xludf.DUMMYFUNCTION("""COMPUTED_VALUE"""),"06 ORL")</f>
        <v>06 ORL</v>
      </c>
      <c r="O1171" s="33" t="str">
        <f ca="1">IFERROR(__xludf.DUMMYFUNCTION("""COMPUTED_VALUE"""),"Dr, Carlos Félix Asensio Nieto")</f>
        <v>Dr, Carlos Félix Asensio Nieto</v>
      </c>
      <c r="P1171" s="33" t="str">
        <f ca="1">IFERROR(__xludf.DUMMYFUNCTION("""COMPUTED_VALUE"""),"Lisandro Russian (Madrid, Cáceres, Toledo, Talavera Y Logroño)")</f>
        <v>Lisandro Russian (Madrid, Cáceres, Toledo, Talavera Y Logroño)</v>
      </c>
    </row>
    <row r="1172" spans="2:16">
      <c r="B1172" s="33">
        <f ca="1">IFERROR(__xludf.DUMMYFUNCTION("""COMPUTED_VALUE"""),2025)</f>
        <v>2025</v>
      </c>
      <c r="C1172" s="33">
        <f ca="1">IFERROR(__xludf.DUMMYFUNCTION("""COMPUTED_VALUE"""),9)</f>
        <v>9</v>
      </c>
      <c r="D1172" s="33" t="str">
        <f ca="1">IFERROR(__xludf.DUMMYFUNCTION("""COMPUTED_VALUE"""),"NO")</f>
        <v>NO</v>
      </c>
      <c r="E1172" s="33" t="str">
        <f ca="1">IFERROR(__xludf.DUMMYFUNCTION("""COMPUTED_VALUE"""),"Talavera")</f>
        <v>Talavera</v>
      </c>
      <c r="F1172" s="57">
        <f ca="1">IFERROR(__xludf.DUMMYFUNCTION("""COMPUTED_VALUE"""),45926)</f>
        <v>45926</v>
      </c>
      <c r="G1172" s="57">
        <f ca="1">IFERROR(__xludf.DUMMYFUNCTION("""COMPUTED_VALUE"""),45911)</f>
        <v>45911</v>
      </c>
      <c r="H1172" s="33" t="str">
        <f ca="1">IFERROR(__xludf.DUMMYFUNCTION("""COMPUTED_VALUE"""),"Talavera")</f>
        <v>Talavera</v>
      </c>
      <c r="I1172" s="33" t="str">
        <f ca="1">IFERROR(__xludf.DUMMYFUNCTION("""COMPUTED_VALUE"""),"C202591117352797")</f>
        <v>C202591117352797</v>
      </c>
      <c r="J1172" s="33" t="str">
        <f ca="1">IFERROR(__xludf.DUMMYFUNCTION("""COMPUTED_VALUE"""),"SOCORRO PRIETO PEREZ")</f>
        <v>SOCORRO PRIETO PEREZ</v>
      </c>
      <c r="K1172" s="33">
        <f ca="1">IFERROR(__xludf.DUMMYFUNCTION("""COMPUTED_VALUE"""),2)</f>
        <v>2</v>
      </c>
      <c r="L1172" s="203">
        <f ca="1">IFERROR(__xludf.DUMMYFUNCTION("""COMPUTED_VALUE"""),2718.18)</f>
        <v>2718.18</v>
      </c>
      <c r="M1172" s="33" t="str">
        <f ca="1">IFERROR(__xludf.DUMMYFUNCTION("""COMPUTED_VALUE"""),"03 ORL")</f>
        <v>03 ORL</v>
      </c>
      <c r="N1172" s="33" t="str">
        <f ca="1">IFERROR(__xludf.DUMMYFUNCTION("""COMPUTED_VALUE"""),"06 ORL")</f>
        <v>06 ORL</v>
      </c>
      <c r="O1172" s="33" t="str">
        <f ca="1">IFERROR(__xludf.DUMMYFUNCTION("""COMPUTED_VALUE"""),"Dr, Carlos Félix Asensio Nieto")</f>
        <v>Dr, Carlos Félix Asensio Nieto</v>
      </c>
      <c r="P1172" s="33" t="str">
        <f ca="1">IFERROR(__xludf.DUMMYFUNCTION("""COMPUTED_VALUE"""),"Lisandro Russian (Madrid, Cáceres, Toledo, Talavera Y Logroño)")</f>
        <v>Lisandro Russian (Madrid, Cáceres, Toledo, Talavera Y Logroño)</v>
      </c>
    </row>
    <row r="1173" spans="2:16">
      <c r="B1173" s="33">
        <f ca="1">IFERROR(__xludf.DUMMYFUNCTION("""COMPUTED_VALUE"""),2025)</f>
        <v>2025</v>
      </c>
      <c r="C1173" s="33">
        <f ca="1">IFERROR(__xludf.DUMMYFUNCTION("""COMPUTED_VALUE"""),9)</f>
        <v>9</v>
      </c>
      <c r="D1173" s="33" t="str">
        <f ca="1">IFERROR(__xludf.DUMMYFUNCTION("""COMPUTED_VALUE"""),"NO")</f>
        <v>NO</v>
      </c>
      <c r="E1173" s="33" t="str">
        <f ca="1">IFERROR(__xludf.DUMMYFUNCTION("""COMPUTED_VALUE"""),"Toledo")</f>
        <v>Toledo</v>
      </c>
      <c r="F1173" s="57">
        <f ca="1">IFERROR(__xludf.DUMMYFUNCTION("""COMPUTED_VALUE"""),45926)</f>
        <v>45926</v>
      </c>
      <c r="G1173" s="57">
        <f ca="1">IFERROR(__xludf.DUMMYFUNCTION("""COMPUTED_VALUE"""),45876)</f>
        <v>45876</v>
      </c>
      <c r="H1173" s="33" t="str">
        <f ca="1">IFERROR(__xludf.DUMMYFUNCTION("""COMPUTED_VALUE"""),"Toledo")</f>
        <v>Toledo</v>
      </c>
      <c r="I1173" s="33" t="str">
        <f ca="1">IFERROR(__xludf.DUMMYFUNCTION("""COMPUTED_VALUE"""),"C202587105344388")</f>
        <v>C202587105344388</v>
      </c>
      <c r="J1173" s="33" t="str">
        <f ca="1">IFERROR(__xludf.DUMMYFUNCTION("""COMPUTED_VALUE"""),"AMPARO BRAVO SANCHEZ")</f>
        <v>AMPARO BRAVO SANCHEZ</v>
      </c>
      <c r="K1173" s="33">
        <f ca="1">IFERROR(__xludf.DUMMYFUNCTION("""COMPUTED_VALUE"""),2)</f>
        <v>2</v>
      </c>
      <c r="L1173" s="203">
        <f ca="1">IFERROR(__xludf.DUMMYFUNCTION("""COMPUTED_VALUE"""),4180)</f>
        <v>4180</v>
      </c>
      <c r="M1173" s="33" t="str">
        <f ca="1">IFERROR(__xludf.DUMMYFUNCTION("""COMPUTED_VALUE"""),"03 ORL")</f>
        <v>03 ORL</v>
      </c>
      <c r="N1173" s="33" t="str">
        <f ca="1">IFERROR(__xludf.DUMMYFUNCTION("""COMPUTED_VALUE"""),"06 ORL")</f>
        <v>06 ORL</v>
      </c>
      <c r="O1173" s="33" t="str">
        <f ca="1">IFERROR(__xludf.DUMMYFUNCTION("""COMPUTED_VALUE"""),"Dra, María Garrote Garrote")</f>
        <v>Dra, María Garrote Garrote</v>
      </c>
      <c r="P1173" s="33" t="str">
        <f ca="1">IFERROR(__xludf.DUMMYFUNCTION("""COMPUTED_VALUE"""),"Maika Blázquez (Madrid)")</f>
        <v>Maika Blázquez (Madrid)</v>
      </c>
    </row>
    <row r="1174" spans="2:16">
      <c r="B1174" s="33">
        <f ca="1">IFERROR(__xludf.DUMMYFUNCTION("""COMPUTED_VALUE"""),2025)</f>
        <v>2025</v>
      </c>
      <c r="C1174" s="33">
        <f ca="1">IFERROR(__xludf.DUMMYFUNCTION("""COMPUTED_VALUE"""),9)</f>
        <v>9</v>
      </c>
      <c r="D1174" s="33" t="str">
        <f ca="1">IFERROR(__xludf.DUMMYFUNCTION("""COMPUTED_VALUE"""),"NO")</f>
        <v>NO</v>
      </c>
      <c r="E1174" s="33" t="str">
        <f ca="1">IFERROR(__xludf.DUMMYFUNCTION("""COMPUTED_VALUE"""),"Toledo")</f>
        <v>Toledo</v>
      </c>
      <c r="F1174" s="57">
        <f ca="1">IFERROR(__xludf.DUMMYFUNCTION("""COMPUTED_VALUE"""),45917)</f>
        <v>45917</v>
      </c>
      <c r="G1174" s="57">
        <f ca="1">IFERROR(__xludf.DUMMYFUNCTION("""COMPUTED_VALUE"""),45839)</f>
        <v>45839</v>
      </c>
      <c r="H1174" s="33" t="str">
        <f ca="1">IFERROR(__xludf.DUMMYFUNCTION("""COMPUTED_VALUE"""),"Toledo")</f>
        <v>Toledo</v>
      </c>
      <c r="I1174" s="33" t="str">
        <f ca="1">IFERROR(__xludf.DUMMYFUNCTION("""COMPUTED_VALUE"""),"C202572165922418")</f>
        <v>C202572165922418</v>
      </c>
      <c r="J1174" s="33" t="str">
        <f ca="1">IFERROR(__xludf.DUMMYFUNCTION("""COMPUTED_VALUE"""),"Angel Martinez de la Casa")</f>
        <v>Angel Martinez de la Casa</v>
      </c>
      <c r="K1174" s="33">
        <f ca="1">IFERROR(__xludf.DUMMYFUNCTION("""COMPUTED_VALUE"""),2)</f>
        <v>2</v>
      </c>
      <c r="L1174" s="203">
        <f ca="1">IFERROR(__xludf.DUMMYFUNCTION("""COMPUTED_VALUE"""),4081.82)</f>
        <v>4081.82</v>
      </c>
      <c r="M1174" s="33" t="str">
        <f ca="1">IFERROR(__xludf.DUMMYFUNCTION("""COMPUTED_VALUE"""),"03 ORL")</f>
        <v>03 ORL</v>
      </c>
      <c r="N1174" s="33" t="str">
        <f ca="1">IFERROR(__xludf.DUMMYFUNCTION("""COMPUTED_VALUE"""),"06 ORL")</f>
        <v>06 ORL</v>
      </c>
      <c r="O1174" s="33" t="str">
        <f ca="1">IFERROR(__xludf.DUMMYFUNCTION("""COMPUTED_VALUE"""),"Dra, Eva Ruiz de Gauna")</f>
        <v>Dra, Eva Ruiz de Gauna</v>
      </c>
      <c r="P1174" s="33" t="str">
        <f ca="1">IFERROR(__xludf.DUMMYFUNCTION("""COMPUTED_VALUE"""),"Lisandro Russian (Madrid, Cáceres, Toledo, Talavera Y Logroño)")</f>
        <v>Lisandro Russian (Madrid, Cáceres, Toledo, Talavera Y Logroño)</v>
      </c>
    </row>
    <row r="1175" spans="2:16">
      <c r="B1175" s="33">
        <f ca="1">IFERROR(__xludf.DUMMYFUNCTION("""COMPUTED_VALUE"""),2025)</f>
        <v>2025</v>
      </c>
      <c r="C1175" s="33">
        <f ca="1">IFERROR(__xludf.DUMMYFUNCTION("""COMPUTED_VALUE"""),9)</f>
        <v>9</v>
      </c>
      <c r="D1175" s="33" t="str">
        <f ca="1">IFERROR(__xludf.DUMMYFUNCTION("""COMPUTED_VALUE"""),"NO")</f>
        <v>NO</v>
      </c>
      <c r="E1175" s="33" t="str">
        <f ca="1">IFERROR(__xludf.DUMMYFUNCTION("""COMPUTED_VALUE"""),"Torrejón de Ardoz")</f>
        <v>Torrejón de Ardoz</v>
      </c>
      <c r="F1175" s="57">
        <f ca="1">IFERROR(__xludf.DUMMYFUNCTION("""COMPUTED_VALUE"""),45930)</f>
        <v>45930</v>
      </c>
      <c r="G1175" s="57">
        <f ca="1">IFERROR(__xludf.DUMMYFUNCTION("""COMPUTED_VALUE"""),45902)</f>
        <v>45902</v>
      </c>
      <c r="H1175" s="33" t="str">
        <f ca="1">IFERROR(__xludf.DUMMYFUNCTION("""COMPUTED_VALUE"""),"Torrejón")</f>
        <v>Torrejón</v>
      </c>
      <c r="I1175" s="33" t="str">
        <f ca="1">IFERROR(__xludf.DUMMYFUNCTION("""COMPUTED_VALUE"""),"C202599102631456")</f>
        <v>C202599102631456</v>
      </c>
      <c r="J1175" s="33" t="str">
        <f ca="1">IFERROR(__xludf.DUMMYFUNCTION("""COMPUTED_VALUE"""),"JUAN LUIS CRUZADO SÁNCHEZ")</f>
        <v>JUAN LUIS CRUZADO SÁNCHEZ</v>
      </c>
      <c r="K1175" s="33">
        <f ca="1">IFERROR(__xludf.DUMMYFUNCTION("""COMPUTED_VALUE"""),1)</f>
        <v>1</v>
      </c>
      <c r="L1175" s="203">
        <f ca="1">IFERROR(__xludf.DUMMYFUNCTION("""COMPUTED_VALUE"""),2180.91)</f>
        <v>2180.91</v>
      </c>
      <c r="M1175" s="33" t="str">
        <f ca="1">IFERROR(__xludf.DUMMYFUNCTION("""COMPUTED_VALUE"""),"03 ORL")</f>
        <v>03 ORL</v>
      </c>
      <c r="N1175" s="33" t="str">
        <f ca="1">IFERROR(__xludf.DUMMYFUNCTION("""COMPUTED_VALUE"""),"06 ORL")</f>
        <v>06 ORL</v>
      </c>
      <c r="O1175" s="33" t="str">
        <f ca="1">IFERROR(__xludf.DUMMYFUNCTION("""COMPUTED_VALUE"""),"Dr, javier Gamboa Mutuberria")</f>
        <v>Dr, javier Gamboa Mutuberria</v>
      </c>
      <c r="P1175" s="33" t="str">
        <f ca="1">IFERROR(__xludf.DUMMYFUNCTION("""COMPUTED_VALUE"""),"Maika Blázquez (Madrid)")</f>
        <v>Maika Blázquez (Madrid)</v>
      </c>
    </row>
    <row r="1176" spans="2:16">
      <c r="B1176" s="33">
        <f ca="1">IFERROR(__xludf.DUMMYFUNCTION("""COMPUTED_VALUE"""),2025)</f>
        <v>2025</v>
      </c>
      <c r="C1176" s="33">
        <f ca="1">IFERROR(__xludf.DUMMYFUNCTION("""COMPUTED_VALUE"""),9)</f>
        <v>9</v>
      </c>
      <c r="D1176" s="33" t="str">
        <f ca="1">IFERROR(__xludf.DUMMYFUNCTION("""COMPUTED_VALUE"""),"SI")</f>
        <v>SI</v>
      </c>
      <c r="E1176" s="33" t="str">
        <f ca="1">IFERROR(__xludf.DUMMYFUNCTION("""COMPUTED_VALUE"""),"Valencia- Cádiz")</f>
        <v>Valencia- Cádiz</v>
      </c>
      <c r="F1176" s="57">
        <f ca="1">IFERROR(__xludf.DUMMYFUNCTION("""COMPUTED_VALUE"""),45915)</f>
        <v>45915</v>
      </c>
      <c r="G1176" s="57">
        <f ca="1">IFERROR(__xludf.DUMMYFUNCTION("""COMPUTED_VALUE"""),44440)</f>
        <v>44440</v>
      </c>
      <c r="H1176" s="33" t="str">
        <f ca="1">IFERROR(__xludf.DUMMYFUNCTION("""COMPUTED_VALUE"""),"Valencia- Cádiz")</f>
        <v>Valencia- Cádiz</v>
      </c>
      <c r="I1176" s="33" t="str">
        <f ca="1">IFERROR(__xludf.DUMMYFUNCTION("""COMPUTED_VALUE"""),"VLC-547")</f>
        <v>VLC-547</v>
      </c>
      <c r="J1176" s="33" t="str">
        <f ca="1">IFERROR(__xludf.DUMMYFUNCTION("""COMPUTED_VALUE"""),"JUAN JOSE SAEZ ALCARRIA")</f>
        <v>JUAN JOSE SAEZ ALCARRIA</v>
      </c>
      <c r="K1176" s="33">
        <f ca="1">IFERROR(__xludf.DUMMYFUNCTION("""COMPUTED_VALUE"""),2)</f>
        <v>2</v>
      </c>
      <c r="L1176" s="203">
        <f ca="1">IFERROR(__xludf.DUMMYFUNCTION("""COMPUTED_VALUE"""),2310.45)</f>
        <v>2310.4499999999998</v>
      </c>
      <c r="M1176" s="33" t="str">
        <f ca="1">IFERROR(__xludf.DUMMYFUNCTION("""COMPUTED_VALUE"""),"04 TIENDA")</f>
        <v>04 TIENDA</v>
      </c>
      <c r="N1176" s="33" t="str">
        <f ca="1">IFERROR(__xludf.DUMMYFUNCTION("""COMPUTED_VALUE"""),"10 REVISIÓN POST-VENTA")</f>
        <v>10 REVISIÓN POST-VENTA</v>
      </c>
      <c r="O1176" s="33" t="str">
        <f ca="1">IFERROR(__xludf.DUMMYFUNCTION("""COMPUTED_VALUE"""),"Dr, Manuel Mateos Fernández")</f>
        <v>Dr, Manuel Mateos Fernández</v>
      </c>
      <c r="P1176" s="33" t="str">
        <f ca="1">IFERROR(__xludf.DUMMYFUNCTION("""COMPUTED_VALUE"""),"Ramon Ferrando(Valencia)")</f>
        <v>Ramon Ferrando(Valencia)</v>
      </c>
    </row>
    <row r="1177" spans="2:16">
      <c r="B1177" s="33">
        <f ca="1">IFERROR(__xludf.DUMMYFUNCTION("""COMPUTED_VALUE"""),2025)</f>
        <v>2025</v>
      </c>
      <c r="C1177" s="33">
        <f ca="1">IFERROR(__xludf.DUMMYFUNCTION("""COMPUTED_VALUE"""),9)</f>
        <v>9</v>
      </c>
      <c r="D1177" s="33" t="str">
        <f ca="1">IFERROR(__xludf.DUMMYFUNCTION("""COMPUTED_VALUE"""),"NO")</f>
        <v>NO</v>
      </c>
      <c r="E1177" s="33" t="str">
        <f ca="1">IFERROR(__xludf.DUMMYFUNCTION("""COMPUTED_VALUE"""),"Valencia- Cádiz")</f>
        <v>Valencia- Cádiz</v>
      </c>
      <c r="F1177" s="57">
        <f ca="1">IFERROR(__xludf.DUMMYFUNCTION("""COMPUTED_VALUE"""),45924)</f>
        <v>45924</v>
      </c>
      <c r="G1177" s="57">
        <f ca="1">IFERROR(__xludf.DUMMYFUNCTION("""COMPUTED_VALUE"""),45838)</f>
        <v>45838</v>
      </c>
      <c r="H1177" s="33" t="str">
        <f ca="1">IFERROR(__xludf.DUMMYFUNCTION("""COMPUTED_VALUE"""),"Valencia- Cádiz")</f>
        <v>Valencia- Cádiz</v>
      </c>
      <c r="I1177" s="33" t="str">
        <f ca="1">IFERROR(__xludf.DUMMYFUNCTION("""COMPUTED_VALUE"""),"C202572122416550")</f>
        <v>C202572122416550</v>
      </c>
      <c r="J1177" s="1" t="str">
        <f ca="1">IFERROR(__xludf.DUMMYFUNCTION("""COMPUTED_VALUE"""),"PILAR TORTAJADA BELTRAN")</f>
        <v>PILAR TORTAJADA BELTRAN</v>
      </c>
      <c r="K1177" s="33">
        <f ca="1">IFERROR(__xludf.DUMMYFUNCTION("""COMPUTED_VALUE"""),2)</f>
        <v>2</v>
      </c>
      <c r="L1177" s="203">
        <f ca="1">IFERROR(__xludf.DUMMYFUNCTION("""COMPUTED_VALUE"""),3524.5)</f>
        <v>3524.5</v>
      </c>
      <c r="M1177" s="33" t="str">
        <f ca="1">IFERROR(__xludf.DUMMYFUNCTION("""COMPUTED_VALUE"""),"03 ORL")</f>
        <v>03 ORL</v>
      </c>
      <c r="N1177" s="33" t="str">
        <f ca="1">IFERROR(__xludf.DUMMYFUNCTION("""COMPUTED_VALUE"""),"06 ORL")</f>
        <v>06 ORL</v>
      </c>
      <c r="O1177" s="33" t="str">
        <f ca="1">IFERROR(__xludf.DUMMYFUNCTION("""COMPUTED_VALUE"""),"Dra, Paula Martinez Pascual")</f>
        <v>Dra, Paula Martinez Pascual</v>
      </c>
      <c r="P1177" s="33" t="str">
        <f ca="1">IFERROR(__xludf.DUMMYFUNCTION("""COMPUTED_VALUE"""),"Ramon Ferrando(Valencia)")</f>
        <v>Ramon Ferrando(Valencia)</v>
      </c>
    </row>
    <row r="1178" spans="2:16">
      <c r="B1178" s="33">
        <f ca="1">IFERROR(__xludf.DUMMYFUNCTION("""COMPUTED_VALUE"""),2025)</f>
        <v>2025</v>
      </c>
      <c r="C1178" s="33">
        <f ca="1">IFERROR(__xludf.DUMMYFUNCTION("""COMPUTED_VALUE"""),9)</f>
        <v>9</v>
      </c>
      <c r="D1178" s="33" t="str">
        <f ca="1">IFERROR(__xludf.DUMMYFUNCTION("""COMPUTED_VALUE"""),"NO")</f>
        <v>NO</v>
      </c>
      <c r="E1178" s="33" t="str">
        <f ca="1">IFERROR(__xludf.DUMMYFUNCTION("""COMPUTED_VALUE"""),"Valencia- Cádiz")</f>
        <v>Valencia- Cádiz</v>
      </c>
      <c r="F1178" s="57">
        <f ca="1">IFERROR(__xludf.DUMMYFUNCTION("""COMPUTED_VALUE"""),45924)</f>
        <v>45924</v>
      </c>
      <c r="G1178" s="57">
        <f ca="1">IFERROR(__xludf.DUMMYFUNCTION("""COMPUTED_VALUE"""),45890)</f>
        <v>45890</v>
      </c>
      <c r="H1178" s="33" t="str">
        <f ca="1">IFERROR(__xludf.DUMMYFUNCTION("""COMPUTED_VALUE"""),"Valencia- Cádiz")</f>
        <v>Valencia- Cádiz</v>
      </c>
      <c r="I1178" s="33" t="str">
        <f ca="1">IFERROR(__xludf.DUMMYFUNCTION("""COMPUTED_VALUE"""),"C2025821151130392")</f>
        <v>C2025821151130392</v>
      </c>
      <c r="J1178" s="33" t="str">
        <f ca="1">IFERROR(__xludf.DUMMYFUNCTION("""COMPUTED_VALUE"""),"ROSA MARIA MONZÓ HERRÁN")</f>
        <v>ROSA MARIA MONZÓ HERRÁN</v>
      </c>
      <c r="K1178" s="33">
        <f ca="1">IFERROR(__xludf.DUMMYFUNCTION("""COMPUTED_VALUE"""),2)</f>
        <v>2</v>
      </c>
      <c r="L1178" s="203">
        <f ca="1">IFERROR(__xludf.DUMMYFUNCTION("""COMPUTED_VALUE"""),3313.64)</f>
        <v>3313.64</v>
      </c>
      <c r="M1178" s="33" t="str">
        <f ca="1">IFERROR(__xludf.DUMMYFUNCTION("""COMPUTED_VALUE"""),"03 ORL")</f>
        <v>03 ORL</v>
      </c>
      <c r="N1178" s="33" t="str">
        <f ca="1">IFERROR(__xludf.DUMMYFUNCTION("""COMPUTED_VALUE"""),"06 ORL")</f>
        <v>06 ORL</v>
      </c>
      <c r="O1178" s="33" t="str">
        <f ca="1">IFERROR(__xludf.DUMMYFUNCTION("""COMPUTED_VALUE"""),"Dr, Abel Guzmán Calvete")</f>
        <v>Dr, Abel Guzmán Calvete</v>
      </c>
      <c r="P1178" s="33" t="str">
        <f ca="1">IFERROR(__xludf.DUMMYFUNCTION("""COMPUTED_VALUE"""),"Ramon Ferrando(Valencia)")</f>
        <v>Ramon Ferrando(Valencia)</v>
      </c>
    </row>
    <row r="1179" spans="2:16">
      <c r="B1179" s="33">
        <f ca="1">IFERROR(__xludf.DUMMYFUNCTION("""COMPUTED_VALUE"""),2025)</f>
        <v>2025</v>
      </c>
      <c r="C1179" s="33">
        <f ca="1">IFERROR(__xludf.DUMMYFUNCTION("""COMPUTED_VALUE"""),9)</f>
        <v>9</v>
      </c>
      <c r="D1179" s="33" t="str">
        <f ca="1">IFERROR(__xludf.DUMMYFUNCTION("""COMPUTED_VALUE"""),"NO")</f>
        <v>NO</v>
      </c>
      <c r="E1179" s="33" t="str">
        <f ca="1">IFERROR(__xludf.DUMMYFUNCTION("""COMPUTED_VALUE"""),"Valencia- Parra")</f>
        <v>Valencia- Parra</v>
      </c>
      <c r="F1179" s="57">
        <f ca="1">IFERROR(__xludf.DUMMYFUNCTION("""COMPUTED_VALUE"""),45925)</f>
        <v>45925</v>
      </c>
      <c r="G1179" s="57">
        <f ca="1">IFERROR(__xludf.DUMMYFUNCTION("""COMPUTED_VALUE"""),45869)</f>
        <v>45869</v>
      </c>
      <c r="H1179" s="33" t="str">
        <f ca="1">IFERROR(__xludf.DUMMYFUNCTION("""COMPUTED_VALUE"""),"Valencia- Parra")</f>
        <v>Valencia- Parra</v>
      </c>
      <c r="I1179" s="33" t="str">
        <f ca="1">IFERROR(__xludf.DUMMYFUNCTION("""COMPUTED_VALUE"""),"C202582511573899")</f>
        <v>C202582511573899</v>
      </c>
      <c r="J1179" s="1" t="str">
        <f ca="1">IFERROR(__xludf.DUMMYFUNCTION("""COMPUTED_VALUE"""),"Vicente Martínez Calvo")</f>
        <v>Vicente Martínez Calvo</v>
      </c>
      <c r="K1179" s="33">
        <f ca="1">IFERROR(__xludf.DUMMYFUNCTION("""COMPUTED_VALUE"""),2)</f>
        <v>2</v>
      </c>
      <c r="L1179" s="203">
        <f ca="1">IFERROR(__xludf.DUMMYFUNCTION("""COMPUTED_VALUE"""),2718.18)</f>
        <v>2718.18</v>
      </c>
      <c r="M1179" s="33" t="str">
        <f ca="1">IFERROR(__xludf.DUMMYFUNCTION("""COMPUTED_VALUE"""),"03 ORL")</f>
        <v>03 ORL</v>
      </c>
      <c r="N1179" s="33" t="str">
        <f ca="1">IFERROR(__xludf.DUMMYFUNCTION("""COMPUTED_VALUE"""),"06 ORL")</f>
        <v>06 ORL</v>
      </c>
      <c r="O1179" s="33" t="str">
        <f ca="1">IFERROR(__xludf.DUMMYFUNCTION("""COMPUTED_VALUE"""),"Dra, Mª José Lesmas Navarro")</f>
        <v>Dra, Mª José Lesmas Navarro</v>
      </c>
      <c r="P1179" s="33" t="str">
        <f ca="1">IFERROR(__xludf.DUMMYFUNCTION("""COMPUTED_VALUE"""),"Ramon Ferrando(Valencia)")</f>
        <v>Ramon Ferrando(Valencia)</v>
      </c>
    </row>
    <row r="1180" spans="2:16">
      <c r="B1180" s="33">
        <f ca="1">IFERROR(__xludf.DUMMYFUNCTION("""COMPUTED_VALUE"""),2025)</f>
        <v>2025</v>
      </c>
      <c r="C1180" s="33">
        <f ca="1">IFERROR(__xludf.DUMMYFUNCTION("""COMPUTED_VALUE"""),9)</f>
        <v>9</v>
      </c>
      <c r="D1180" s="33" t="str">
        <f ca="1">IFERROR(__xludf.DUMMYFUNCTION("""COMPUTED_VALUE"""),"NO")</f>
        <v>NO</v>
      </c>
      <c r="E1180" s="33" t="str">
        <f ca="1">IFERROR(__xludf.DUMMYFUNCTION("""COMPUTED_VALUE"""),"Zaragoza- Santander")</f>
        <v>Zaragoza- Santander</v>
      </c>
      <c r="F1180" s="57">
        <f ca="1">IFERROR(__xludf.DUMMYFUNCTION("""COMPUTED_VALUE"""),45904)</f>
        <v>45904</v>
      </c>
      <c r="G1180" s="57">
        <f ca="1">IFERROR(__xludf.DUMMYFUNCTION("""COMPUTED_VALUE"""),45817)</f>
        <v>45817</v>
      </c>
      <c r="H1180" s="33" t="str">
        <f ca="1">IFERROR(__xludf.DUMMYFUNCTION("""COMPUTED_VALUE"""),"Zaragoza- Santander")</f>
        <v>Zaragoza- Santander</v>
      </c>
      <c r="I1180" s="33" t="str">
        <f ca="1">IFERROR(__xludf.DUMMYFUNCTION("""COMPUTED_VALUE"""),"ZRZS-142")</f>
        <v>ZRZS-142</v>
      </c>
      <c r="J1180" s="33" t="str">
        <f ca="1">IFERROR(__xludf.DUMMYFUNCTION("""COMPUTED_VALUE"""),"JOSE LUIS LASHERAS MARCO")</f>
        <v>JOSE LUIS LASHERAS MARCO</v>
      </c>
      <c r="K1180" s="33">
        <f ca="1">IFERROR(__xludf.DUMMYFUNCTION("""COMPUTED_VALUE"""),2)</f>
        <v>2</v>
      </c>
      <c r="L1180" s="203">
        <f ca="1">IFERROR(__xludf.DUMMYFUNCTION("""COMPUTED_VALUE"""),3818.18)</f>
        <v>3818.18</v>
      </c>
      <c r="M1180" s="33" t="str">
        <f ca="1">IFERROR(__xludf.DUMMYFUNCTION("""COMPUTED_VALUE"""),"03 ORL")</f>
        <v>03 ORL</v>
      </c>
      <c r="N1180" s="33" t="str">
        <f ca="1">IFERROR(__xludf.DUMMYFUNCTION("""COMPUTED_VALUE"""),"06 ORL")</f>
        <v>06 ORL</v>
      </c>
      <c r="O1180" s="33" t="str">
        <f ca="1">IFERROR(__xludf.DUMMYFUNCTION("""COMPUTED_VALUE"""),"Dr, José Víctor Tisner Nieto")</f>
        <v>Dr, José Víctor Tisner Nieto</v>
      </c>
      <c r="P1180" s="33" t="str">
        <f ca="1">IFERROR(__xludf.DUMMYFUNCTION("""COMPUTED_VALUE"""),"Ignacio Berdejo (Zaragoza)")</f>
        <v>Ignacio Berdejo (Zaragoza)</v>
      </c>
    </row>
    <row r="1181" spans="2:16">
      <c r="B1181" s="33">
        <f ca="1">IFERROR(__xludf.DUMMYFUNCTION("""COMPUTED_VALUE"""),2025)</f>
        <v>2025</v>
      </c>
      <c r="C1181" s="33">
        <f ca="1">IFERROR(__xludf.DUMMYFUNCTION("""COMPUTED_VALUE"""),9)</f>
        <v>9</v>
      </c>
      <c r="D1181" s="33" t="str">
        <f ca="1">IFERROR(__xludf.DUMMYFUNCTION("""COMPUTED_VALUE"""),"NO")</f>
        <v>NO</v>
      </c>
      <c r="E1181" s="33" t="str">
        <f ca="1">IFERROR(__xludf.DUMMYFUNCTION("""COMPUTED_VALUE"""),"Zaragoza- Santander")</f>
        <v>Zaragoza- Santander</v>
      </c>
      <c r="F1181" s="57">
        <f ca="1">IFERROR(__xludf.DUMMYFUNCTION("""COMPUTED_VALUE"""),45917)</f>
        <v>45917</v>
      </c>
      <c r="G1181" s="57">
        <f ca="1">IFERROR(__xludf.DUMMYFUNCTION("""COMPUTED_VALUE"""),45910)</f>
        <v>45910</v>
      </c>
      <c r="H1181" s="33" t="str">
        <f ca="1">IFERROR(__xludf.DUMMYFUNCTION("""COMPUTED_VALUE"""),"Zaragoza- Santander")</f>
        <v>Zaragoza- Santander</v>
      </c>
      <c r="I1181" s="33" t="str">
        <f ca="1">IFERROR(__xludf.DUMMYFUNCTION("""COMPUTED_VALUE"""),"C2025911105951791")</f>
        <v>C2025911105951791</v>
      </c>
      <c r="J1181" s="33" t="str">
        <f ca="1">IFERROR(__xludf.DUMMYFUNCTION("""COMPUTED_VALUE"""),"JUAN RAMON SOLER SANTALIESTRA")</f>
        <v>JUAN RAMON SOLER SANTALIESTRA</v>
      </c>
      <c r="K1181" s="33">
        <f ca="1">IFERROR(__xludf.DUMMYFUNCTION("""COMPUTED_VALUE"""),2)</f>
        <v>2</v>
      </c>
      <c r="L1181" s="203">
        <f ca="1">IFERROR(__xludf.DUMMYFUNCTION("""COMPUTED_VALUE"""),4000)</f>
        <v>4000</v>
      </c>
      <c r="M1181" s="33" t="str">
        <f ca="1">IFERROR(__xludf.DUMMYFUNCTION("""COMPUTED_VALUE"""),"03 ORL")</f>
        <v>03 ORL</v>
      </c>
      <c r="N1181" s="33" t="str">
        <f ca="1">IFERROR(__xludf.DUMMYFUNCTION("""COMPUTED_VALUE"""),"06 ORL")</f>
        <v>06 ORL</v>
      </c>
      <c r="O1181" s="33" t="str">
        <f ca="1">IFERROR(__xludf.DUMMYFUNCTION("""COMPUTED_VALUE"""),"Dr, Jaime Leache Pueyo")</f>
        <v>Dr, Jaime Leache Pueyo</v>
      </c>
      <c r="P1181" s="33" t="str">
        <f ca="1">IFERROR(__xludf.DUMMYFUNCTION("""COMPUTED_VALUE"""),"Mercè Cabrera (Cataluña Y Baleares)")</f>
        <v>Mercè Cabrera (Cataluña Y Baleares)</v>
      </c>
    </row>
    <row r="1182" spans="2:16">
      <c r="B1182" s="33">
        <f ca="1">IFERROR(__xludf.DUMMYFUNCTION("""COMPUTED_VALUE"""),2025)</f>
        <v>2025</v>
      </c>
      <c r="C1182" s="33">
        <f ca="1">IFERROR(__xludf.DUMMYFUNCTION("""COMPUTED_VALUE"""),9)</f>
        <v>9</v>
      </c>
      <c r="D1182" s="33" t="str">
        <f ca="1">IFERROR(__xludf.DUMMYFUNCTION("""COMPUTED_VALUE"""),"NO")</f>
        <v>NO</v>
      </c>
      <c r="E1182" s="33" t="str">
        <f ca="1">IFERROR(__xludf.DUMMYFUNCTION("""COMPUTED_VALUE"""),"Badajoz")</f>
        <v>Badajoz</v>
      </c>
      <c r="F1182" s="57">
        <f ca="1">IFERROR(__xludf.DUMMYFUNCTION("""COMPUTED_VALUE"""),45902)</f>
        <v>45902</v>
      </c>
      <c r="G1182" s="57">
        <f ca="1">IFERROR(__xludf.DUMMYFUNCTION("""COMPUTED_VALUE"""),45852)</f>
        <v>45852</v>
      </c>
      <c r="H1182" s="33" t="str">
        <f ca="1">IFERROR(__xludf.DUMMYFUNCTION("""COMPUTED_VALUE"""),"Badajoz")</f>
        <v>Badajoz</v>
      </c>
      <c r="I1182" s="33" t="str">
        <f ca="1">IFERROR(__xludf.DUMMYFUNCTION("""COMPUTED_VALUE"""),"BJZE-2506")</f>
        <v>BJZE-2506</v>
      </c>
      <c r="J1182" s="33" t="str">
        <f ca="1">IFERROR(__xludf.DUMMYFUNCTION("""COMPUTED_VALUE"""),"CLOTILDE BALLESTER LAGUNA")</f>
        <v>CLOTILDE BALLESTER LAGUNA</v>
      </c>
      <c r="K1182" s="33">
        <f ca="1">IFERROR(__xludf.DUMMYFUNCTION("""COMPUTED_VALUE"""),2)</f>
        <v>2</v>
      </c>
      <c r="L1182" s="203">
        <f ca="1">IFERROR(__xludf.DUMMYFUNCTION("""COMPUTED_VALUE"""),3181.82)</f>
        <v>3181.82</v>
      </c>
      <c r="M1182" s="33" t="str">
        <f ca="1">IFERROR(__xludf.DUMMYFUNCTION("""COMPUTED_VALUE"""),"03 ORL")</f>
        <v>03 ORL</v>
      </c>
      <c r="N1182" s="33" t="str">
        <f ca="1">IFERROR(__xludf.DUMMYFUNCTION("""COMPUTED_VALUE"""),"06 ORL")</f>
        <v>06 ORL</v>
      </c>
      <c r="O1182" s="33" t="str">
        <f ca="1">IFERROR(__xludf.DUMMYFUNCTION("""COMPUTED_VALUE"""),"Dr, Isidoro Rubio Correa")</f>
        <v>Dr, Isidoro Rubio Correa</v>
      </c>
      <c r="P1182" s="33" t="str">
        <f ca="1">IFERROR(__xludf.DUMMYFUNCTION("""COMPUTED_VALUE"""),"Luis Alberto Rodríguez (Andalucía Y Badajoz)")</f>
        <v>Luis Alberto Rodríguez (Andalucía Y Badajoz)</v>
      </c>
    </row>
    <row r="1183" spans="2:16">
      <c r="B1183" s="33">
        <f ca="1">IFERROR(__xludf.DUMMYFUNCTION("""COMPUTED_VALUE"""),2025)</f>
        <v>2025</v>
      </c>
      <c r="C1183" s="33">
        <f ca="1">IFERROR(__xludf.DUMMYFUNCTION("""COMPUTED_VALUE"""),9)</f>
        <v>9</v>
      </c>
      <c r="D1183" s="33" t="str">
        <f ca="1">IFERROR(__xludf.DUMMYFUNCTION("""COMPUTED_VALUE"""),"NO")</f>
        <v>NO</v>
      </c>
      <c r="E1183" s="33" t="str">
        <f ca="1">IFERROR(__xludf.DUMMYFUNCTION("""COMPUTED_VALUE"""),"Vigo")</f>
        <v>Vigo</v>
      </c>
      <c r="F1183" s="57">
        <f ca="1">IFERROR(__xludf.DUMMYFUNCTION("""COMPUTED_VALUE"""),45903)</f>
        <v>45903</v>
      </c>
      <c r="G1183" s="57">
        <f ca="1">IFERROR(__xludf.DUMMYFUNCTION("""COMPUTED_VALUE"""),45862)</f>
        <v>45862</v>
      </c>
      <c r="H1183" s="33" t="str">
        <f ca="1">IFERROR(__xludf.DUMMYFUNCTION("""COMPUTED_VALUE"""),"Vigo")</f>
        <v>Vigo</v>
      </c>
      <c r="I1183" s="33" t="str">
        <f ca="1">IFERROR(__xludf.DUMMYFUNCTION("""COMPUTED_VALUE"""),"VIG-599")</f>
        <v>VIG-599</v>
      </c>
      <c r="J1183" s="33" t="str">
        <f ca="1">IFERROR(__xludf.DUMMYFUNCTION("""COMPUTED_VALUE"""),"ANTONIO COELLO ALVAREZ")</f>
        <v>ANTONIO COELLO ALVAREZ</v>
      </c>
      <c r="K1183" s="33">
        <f ca="1">IFERROR(__xludf.DUMMYFUNCTION("""COMPUTED_VALUE"""),1)</f>
        <v>1</v>
      </c>
      <c r="L1183" s="203">
        <f ca="1">IFERROR(__xludf.DUMMYFUNCTION("""COMPUTED_VALUE"""),1727.27)</f>
        <v>1727.27</v>
      </c>
      <c r="M1183" s="33" t="str">
        <f ca="1">IFERROR(__xludf.DUMMYFUNCTION("""COMPUTED_VALUE"""),"03 ORL")</f>
        <v>03 ORL</v>
      </c>
      <c r="N1183" s="33" t="str">
        <f ca="1">IFERROR(__xludf.DUMMYFUNCTION("""COMPUTED_VALUE"""),"06 ORL")</f>
        <v>06 ORL</v>
      </c>
      <c r="O1183" s="33" t="str">
        <f ca="1">IFERROR(__xludf.DUMMYFUNCTION("""COMPUTED_VALUE"""),"Dra, Adela Pérez-Caro Ríos")</f>
        <v>Dra, Adela Pérez-Caro Ríos</v>
      </c>
      <c r="P1183" s="33" t="str">
        <f ca="1">IFERROR(__xludf.DUMMYFUNCTION("""COMPUTED_VALUE"""),"Roberto Pereira (Galicia)")</f>
        <v>Roberto Pereira (Galicia)</v>
      </c>
    </row>
    <row r="1184" spans="2:16">
      <c r="B1184" s="33">
        <f ca="1">IFERROR(__xludf.DUMMYFUNCTION("""COMPUTED_VALUE"""),2025)</f>
        <v>2025</v>
      </c>
      <c r="C1184" s="33">
        <f ca="1">IFERROR(__xludf.DUMMYFUNCTION("""COMPUTED_VALUE"""),9)</f>
        <v>9</v>
      </c>
      <c r="D1184" s="33" t="str">
        <f ca="1">IFERROR(__xludf.DUMMYFUNCTION("""COMPUTED_VALUE"""),"NO")</f>
        <v>NO</v>
      </c>
      <c r="E1184" s="33" t="str">
        <f ca="1">IFERROR(__xludf.DUMMYFUNCTION("""COMPUTED_VALUE"""),"Lalín")</f>
        <v>Lalín</v>
      </c>
      <c r="F1184" s="57">
        <f ca="1">IFERROR(__xludf.DUMMYFUNCTION("""COMPUTED_VALUE"""),45904)</f>
        <v>45904</v>
      </c>
      <c r="G1184" s="57">
        <f ca="1">IFERROR(__xludf.DUMMYFUNCTION("""COMPUTED_VALUE"""),45856)</f>
        <v>45856</v>
      </c>
      <c r="H1184" s="33" t="str">
        <f ca="1">IFERROR(__xludf.DUMMYFUNCTION("""COMPUTED_VALUE"""),"Lalín")</f>
        <v>Lalín</v>
      </c>
      <c r="I1184" s="33" t="str">
        <f ca="1">IFERROR(__xludf.DUMMYFUNCTION("""COMPUTED_VALUE"""),"LAL-162")</f>
        <v>LAL-162</v>
      </c>
      <c r="J1184" s="33" t="str">
        <f ca="1">IFERROR(__xludf.DUMMYFUNCTION("""COMPUTED_VALUE"""),"JOSE ANTONIO VILARIÑO ASOREY")</f>
        <v>JOSE ANTONIO VILARIÑO ASOREY</v>
      </c>
      <c r="K1184" s="33">
        <f ca="1">IFERROR(__xludf.DUMMYFUNCTION("""COMPUTED_VALUE"""),2)</f>
        <v>2</v>
      </c>
      <c r="L1184" s="203">
        <f ca="1">IFERROR(__xludf.DUMMYFUNCTION("""COMPUTED_VALUE"""),3050.96)</f>
        <v>3050.96</v>
      </c>
      <c r="M1184" s="33" t="str">
        <f ca="1">IFERROR(__xludf.DUMMYFUNCTION("""COMPUTED_VALUE"""),"03 ORL")</f>
        <v>03 ORL</v>
      </c>
      <c r="N1184" s="33" t="str">
        <f ca="1">IFERROR(__xludf.DUMMYFUNCTION("""COMPUTED_VALUE"""),"06 ORL")</f>
        <v>06 ORL</v>
      </c>
      <c r="O1184" s="33" t="str">
        <f ca="1">IFERROR(__xludf.DUMMYFUNCTION("""COMPUTED_VALUE"""),"Dr, Antonio Gustavo Lirola Delgado")</f>
        <v>Dr, Antonio Gustavo Lirola Delgado</v>
      </c>
      <c r="P1184" s="33" t="str">
        <f ca="1">IFERROR(__xludf.DUMMYFUNCTION("""COMPUTED_VALUE"""),"Roberto Pereira (Galicia)")</f>
        <v>Roberto Pereira (Galicia)</v>
      </c>
    </row>
    <row r="1185" spans="2:16">
      <c r="B1185" s="33">
        <f ca="1">IFERROR(__xludf.DUMMYFUNCTION("""COMPUTED_VALUE"""),2025)</f>
        <v>2025</v>
      </c>
      <c r="C1185" s="33">
        <f ca="1">IFERROR(__xludf.DUMMYFUNCTION("""COMPUTED_VALUE"""),9)</f>
        <v>9</v>
      </c>
      <c r="D1185" s="33" t="str">
        <f ca="1">IFERROR(__xludf.DUMMYFUNCTION("""COMPUTED_VALUE"""),"NO")</f>
        <v>NO</v>
      </c>
      <c r="E1185" s="33" t="str">
        <f ca="1">IFERROR(__xludf.DUMMYFUNCTION("""COMPUTED_VALUE"""),"Salamanca")</f>
        <v>Salamanca</v>
      </c>
      <c r="F1185" s="57">
        <f ca="1">IFERROR(__xludf.DUMMYFUNCTION("""COMPUTED_VALUE"""),45904)</f>
        <v>45904</v>
      </c>
      <c r="G1185" s="57">
        <f ca="1">IFERROR(__xludf.DUMMYFUNCTION("""COMPUTED_VALUE"""),45847)</f>
        <v>45847</v>
      </c>
      <c r="H1185" s="33" t="str">
        <f ca="1">IFERROR(__xludf.DUMMYFUNCTION("""COMPUTED_VALUE"""),"Salamanca")</f>
        <v>Salamanca</v>
      </c>
      <c r="I1185" s="33" t="str">
        <f ca="1">IFERROR(__xludf.DUMMYFUNCTION("""COMPUTED_VALUE"""),"SLM-584")</f>
        <v>SLM-584</v>
      </c>
      <c r="J1185" s="33" t="str">
        <f ca="1">IFERROR(__xludf.DUMMYFUNCTION("""COMPUTED_VALUE"""),"MARIA DEL PILAR ROBLES LOPEZ")</f>
        <v>MARIA DEL PILAR ROBLES LOPEZ</v>
      </c>
      <c r="K1185" s="33">
        <f ca="1">IFERROR(__xludf.DUMMYFUNCTION("""COMPUTED_VALUE"""),1)</f>
        <v>1</v>
      </c>
      <c r="L1185" s="203">
        <f ca="1">IFERROR(__xludf.DUMMYFUNCTION("""COMPUTED_VALUE"""),2471.82)</f>
        <v>2471.8200000000002</v>
      </c>
      <c r="M1185" s="33" t="str">
        <f ca="1">IFERROR(__xludf.DUMMYFUNCTION("""COMPUTED_VALUE"""),"03 ORL")</f>
        <v>03 ORL</v>
      </c>
      <c r="N1185" s="33" t="str">
        <f ca="1">IFERROR(__xludf.DUMMYFUNCTION("""COMPUTED_VALUE"""),"06 ORL")</f>
        <v>06 ORL</v>
      </c>
      <c r="O1185" s="33" t="str">
        <f ca="1">IFERROR(__xludf.DUMMYFUNCTION("""COMPUTED_VALUE"""),"Dr, Ángel Muñoz Herrera")</f>
        <v>Dr, Ángel Muñoz Herrera</v>
      </c>
      <c r="P1185" s="33" t="str">
        <f ca="1">IFERROR(__xludf.DUMMYFUNCTION("""COMPUTED_VALUE"""),"Alberto Moreno (Madrid)")</f>
        <v>Alberto Moreno (Madrid)</v>
      </c>
    </row>
    <row r="1186" spans="2:16">
      <c r="B1186" s="33">
        <f ca="1">IFERROR(__xludf.DUMMYFUNCTION("""COMPUTED_VALUE"""),2025)</f>
        <v>2025</v>
      </c>
      <c r="C1186" s="33">
        <f ca="1">IFERROR(__xludf.DUMMYFUNCTION("""COMPUTED_VALUE"""),9)</f>
        <v>9</v>
      </c>
      <c r="D1186" s="33" t="str">
        <f ca="1">IFERROR(__xludf.DUMMYFUNCTION("""COMPUTED_VALUE"""),"SI")</f>
        <v>SI</v>
      </c>
      <c r="E1186" s="33" t="str">
        <f ca="1">IFERROR(__xludf.DUMMYFUNCTION("""COMPUTED_VALUE"""),"Vigo")</f>
        <v>Vigo</v>
      </c>
      <c r="F1186" s="57">
        <f ca="1">IFERROR(__xludf.DUMMYFUNCTION("""COMPUTED_VALUE"""),45908)</f>
        <v>45908</v>
      </c>
      <c r="G1186" s="57">
        <f ca="1">IFERROR(__xludf.DUMMYFUNCTION("""COMPUTED_VALUE"""),45357)</f>
        <v>45357</v>
      </c>
      <c r="H1186" s="33" t="str">
        <f ca="1">IFERROR(__xludf.DUMMYFUNCTION("""COMPUTED_VALUE"""),"Vigo")</f>
        <v>Vigo</v>
      </c>
      <c r="I1186" s="33" t="str">
        <f ca="1">IFERROR(__xludf.DUMMYFUNCTION("""COMPUTED_VALUE"""),"VIG-400")</f>
        <v>VIG-400</v>
      </c>
      <c r="J1186" s="33" t="str">
        <f ca="1">IFERROR(__xludf.DUMMYFUNCTION("""COMPUTED_VALUE"""),"DELFINA COSTAS VELAZQUEZ")</f>
        <v>DELFINA COSTAS VELAZQUEZ</v>
      </c>
      <c r="K1186" s="33">
        <f ca="1">IFERROR(__xludf.DUMMYFUNCTION("""COMPUTED_VALUE"""),2)</f>
        <v>2</v>
      </c>
      <c r="L1186" s="203">
        <f ca="1">IFERROR(__xludf.DUMMYFUNCTION("""COMPUTED_VALUE"""),1363.64)</f>
        <v>1363.64</v>
      </c>
      <c r="M1186" s="33" t="str">
        <f ca="1">IFERROR(__xludf.DUMMYFUNCTION("""COMPUTED_VALUE"""),"03 ORL")</f>
        <v>03 ORL</v>
      </c>
      <c r="N1186" s="33" t="str">
        <f ca="1">IFERROR(__xludf.DUMMYFUNCTION("""COMPUTED_VALUE"""),"06 ORL")</f>
        <v>06 ORL</v>
      </c>
      <c r="O1186" s="33" t="str">
        <f ca="1">IFERROR(__xludf.DUMMYFUNCTION("""COMPUTED_VALUE"""),"Dra, Pilar Castro Ruiz")</f>
        <v>Dra, Pilar Castro Ruiz</v>
      </c>
      <c r="P1186" s="33" t="str">
        <f ca="1">IFERROR(__xludf.DUMMYFUNCTION("""COMPUTED_VALUE"""),"Roberto Pereira (Galicia)")</f>
        <v>Roberto Pereira (Galicia)</v>
      </c>
    </row>
    <row r="1187" spans="2:16">
      <c r="B1187" s="33">
        <f ca="1">IFERROR(__xludf.DUMMYFUNCTION("""COMPUTED_VALUE"""),2025)</f>
        <v>2025</v>
      </c>
      <c r="C1187" s="33">
        <f ca="1">IFERROR(__xludf.DUMMYFUNCTION("""COMPUTED_VALUE"""),9)</f>
        <v>9</v>
      </c>
      <c r="D1187" s="33" t="str">
        <f ca="1">IFERROR(__xludf.DUMMYFUNCTION("""COMPUTED_VALUE"""),"NO")</f>
        <v>NO</v>
      </c>
      <c r="E1187" s="33" t="str">
        <f ca="1">IFERROR(__xludf.DUMMYFUNCTION("""COMPUTED_VALUE"""),"Badajoz")</f>
        <v>Badajoz</v>
      </c>
      <c r="F1187" s="57">
        <f ca="1">IFERROR(__xludf.DUMMYFUNCTION("""COMPUTED_VALUE"""),45909)</f>
        <v>45909</v>
      </c>
      <c r="G1187" s="57">
        <f ca="1">IFERROR(__xludf.DUMMYFUNCTION("""COMPUTED_VALUE"""),45825)</f>
        <v>45825</v>
      </c>
      <c r="H1187" s="33" t="str">
        <f ca="1">IFERROR(__xludf.DUMMYFUNCTION("""COMPUTED_VALUE"""),"Badajoz")</f>
        <v>Badajoz</v>
      </c>
      <c r="I1187" s="33" t="str">
        <f ca="1">IFERROR(__xludf.DUMMYFUNCTION("""COMPUTED_VALUE"""),"BJZE-2498")</f>
        <v>BJZE-2498</v>
      </c>
      <c r="J1187" s="33" t="str">
        <f ca="1">IFERROR(__xludf.DUMMYFUNCTION("""COMPUTED_VALUE"""),"VICTORIA HERNANDEZ RUBIALES")</f>
        <v>VICTORIA HERNANDEZ RUBIALES</v>
      </c>
      <c r="K1187" s="33">
        <f ca="1">IFERROR(__xludf.DUMMYFUNCTION("""COMPUTED_VALUE"""),2)</f>
        <v>2</v>
      </c>
      <c r="L1187" s="203">
        <f ca="1">IFERROR(__xludf.DUMMYFUNCTION("""COMPUTED_VALUE"""),3090.91)</f>
        <v>3090.91</v>
      </c>
      <c r="M1187" s="33" t="str">
        <f ca="1">IFERROR(__xludf.DUMMYFUNCTION("""COMPUTED_VALUE"""),"03 ORL")</f>
        <v>03 ORL</v>
      </c>
      <c r="N1187" s="33" t="str">
        <f ca="1">IFERROR(__xludf.DUMMYFUNCTION("""COMPUTED_VALUE"""),"06 ORL")</f>
        <v>06 ORL</v>
      </c>
      <c r="O1187" s="33" t="str">
        <f ca="1">IFERROR(__xludf.DUMMYFUNCTION("""COMPUTED_VALUE"""),"Dr, Carlos Montero García")</f>
        <v>Dr, Carlos Montero García</v>
      </c>
      <c r="P1187" s="33" t="str">
        <f ca="1">IFERROR(__xludf.DUMMYFUNCTION("""COMPUTED_VALUE"""),"Luis Alberto Rodríguez (Andalucía Y Badajoz)")</f>
        <v>Luis Alberto Rodríguez (Andalucía Y Badajoz)</v>
      </c>
    </row>
    <row r="1188" spans="2:16">
      <c r="B1188" s="33">
        <f ca="1">IFERROR(__xludf.DUMMYFUNCTION("""COMPUTED_VALUE"""),2025)</f>
        <v>2025</v>
      </c>
      <c r="C1188" s="33">
        <f ca="1">IFERROR(__xludf.DUMMYFUNCTION("""COMPUTED_VALUE"""),9)</f>
        <v>9</v>
      </c>
      <c r="D1188" s="33" t="str">
        <f ca="1">IFERROR(__xludf.DUMMYFUNCTION("""COMPUTED_VALUE"""),"NO")</f>
        <v>NO</v>
      </c>
      <c r="E1188" s="33" t="str">
        <f ca="1">IFERROR(__xludf.DUMMYFUNCTION("""COMPUTED_VALUE"""),"Badajoz")</f>
        <v>Badajoz</v>
      </c>
      <c r="F1188" s="57">
        <f ca="1">IFERROR(__xludf.DUMMYFUNCTION("""COMPUTED_VALUE"""),45910)</f>
        <v>45910</v>
      </c>
      <c r="G1188" s="57">
        <f ca="1">IFERROR(__xludf.DUMMYFUNCTION("""COMPUTED_VALUE"""),45841)</f>
        <v>45841</v>
      </c>
      <c r="H1188" s="33" t="str">
        <f ca="1">IFERROR(__xludf.DUMMYFUNCTION("""COMPUTED_VALUE"""),"Badajoz")</f>
        <v>Badajoz</v>
      </c>
      <c r="I1188" s="33" t="str">
        <f ca="1">IFERROR(__xludf.DUMMYFUNCTION("""COMPUTED_VALUE"""),"BJZE-2502")</f>
        <v>BJZE-2502</v>
      </c>
      <c r="J1188" s="33" t="str">
        <f ca="1">IFERROR(__xludf.DUMMYFUNCTION("""COMPUTED_VALUE"""),"INMACULADA FUENTES GUTIERREZ")</f>
        <v>INMACULADA FUENTES GUTIERREZ</v>
      </c>
      <c r="K1188" s="33">
        <f ca="1">IFERROR(__xludf.DUMMYFUNCTION("""COMPUTED_VALUE"""),2)</f>
        <v>2</v>
      </c>
      <c r="L1188" s="203">
        <f ca="1">IFERROR(__xludf.DUMMYFUNCTION("""COMPUTED_VALUE"""),4038.46)</f>
        <v>4038.46</v>
      </c>
      <c r="M1188" s="33" t="str">
        <f ca="1">IFERROR(__xludf.DUMMYFUNCTION("""COMPUTED_VALUE"""),"03 ORL")</f>
        <v>03 ORL</v>
      </c>
      <c r="N1188" s="33" t="str">
        <f ca="1">IFERROR(__xludf.DUMMYFUNCTION("""COMPUTED_VALUE"""),"06 ORL")</f>
        <v>06 ORL</v>
      </c>
      <c r="O1188" s="33" t="str">
        <f ca="1">IFERROR(__xludf.DUMMYFUNCTION("""COMPUTED_VALUE"""),"Dr, Isidoro Rubio Correa")</f>
        <v>Dr, Isidoro Rubio Correa</v>
      </c>
      <c r="P1188" s="33" t="str">
        <f ca="1">IFERROR(__xludf.DUMMYFUNCTION("""COMPUTED_VALUE"""),"Luis Alberto Rodríguez (Andalucía Y Badajoz)")</f>
        <v>Luis Alberto Rodríguez (Andalucía Y Badajoz)</v>
      </c>
    </row>
    <row r="1189" spans="2:16">
      <c r="B1189" s="33">
        <f ca="1">IFERROR(__xludf.DUMMYFUNCTION("""COMPUTED_VALUE"""),2025)</f>
        <v>2025</v>
      </c>
      <c r="C1189" s="33">
        <f ca="1">IFERROR(__xludf.DUMMYFUNCTION("""COMPUTED_VALUE"""),9)</f>
        <v>9</v>
      </c>
      <c r="D1189" s="33" t="str">
        <f ca="1">IFERROR(__xludf.DUMMYFUNCTION("""COMPUTED_VALUE"""),"NO")</f>
        <v>NO</v>
      </c>
      <c r="E1189" s="33" t="str">
        <f ca="1">IFERROR(__xludf.DUMMYFUNCTION("""COMPUTED_VALUE"""),"Boiro")</f>
        <v>Boiro</v>
      </c>
      <c r="F1189" s="57">
        <f ca="1">IFERROR(__xludf.DUMMYFUNCTION("""COMPUTED_VALUE"""),45910)</f>
        <v>45910</v>
      </c>
      <c r="G1189" s="57">
        <f ca="1">IFERROR(__xludf.DUMMYFUNCTION("""COMPUTED_VALUE"""),45902)</f>
        <v>45902</v>
      </c>
      <c r="H1189" s="33" t="str">
        <f ca="1">IFERROR(__xludf.DUMMYFUNCTION("""COMPUTED_VALUE"""),"Boiro")</f>
        <v>Boiro</v>
      </c>
      <c r="I1189" s="33" t="str">
        <f ca="1">IFERROR(__xludf.DUMMYFUNCTION("""COMPUTED_VALUE"""),"BOI-988")</f>
        <v>BOI-988</v>
      </c>
      <c r="J1189" s="33" t="str">
        <f ca="1">IFERROR(__xludf.DUMMYFUNCTION("""COMPUTED_VALUE"""),"MATILDE DA PALMA SANCHEZ")</f>
        <v>MATILDE DA PALMA SANCHEZ</v>
      </c>
      <c r="K1189" s="33">
        <f ca="1">IFERROR(__xludf.DUMMYFUNCTION("""COMPUTED_VALUE"""),2)</f>
        <v>2</v>
      </c>
      <c r="L1189" s="203">
        <f ca="1">IFERROR(__xludf.DUMMYFUNCTION("""COMPUTED_VALUE"""),3081.82)</f>
        <v>3081.82</v>
      </c>
      <c r="M1189" s="33" t="str">
        <f ca="1">IFERROR(__xludf.DUMMYFUNCTION("""COMPUTED_VALUE"""),"03 ORL")</f>
        <v>03 ORL</v>
      </c>
      <c r="N1189" s="33" t="str">
        <f ca="1">IFERROR(__xludf.DUMMYFUNCTION("""COMPUTED_VALUE"""),"06 ORL")</f>
        <v>06 ORL</v>
      </c>
      <c r="O1189" s="33" t="str">
        <f ca="1">IFERROR(__xludf.DUMMYFUNCTION("""COMPUTED_VALUE"""),"Dr, Carlos Vidal Redondo")</f>
        <v>Dr, Carlos Vidal Redondo</v>
      </c>
      <c r="P1189" s="33" t="str">
        <f ca="1">IFERROR(__xludf.DUMMYFUNCTION("""COMPUTED_VALUE"""),"Roberto Pereira (Galicia)")</f>
        <v>Roberto Pereira (Galicia)</v>
      </c>
    </row>
    <row r="1190" spans="2:16">
      <c r="B1190" s="33">
        <f ca="1">IFERROR(__xludf.DUMMYFUNCTION("""COMPUTED_VALUE"""),2025)</f>
        <v>2025</v>
      </c>
      <c r="C1190" s="33">
        <f ca="1">IFERROR(__xludf.DUMMYFUNCTION("""COMPUTED_VALUE"""),9)</f>
        <v>9</v>
      </c>
      <c r="D1190" s="33" t="str">
        <f ca="1">IFERROR(__xludf.DUMMYFUNCTION("""COMPUTED_VALUE"""),"NO")</f>
        <v>NO</v>
      </c>
      <c r="E1190" s="33" t="str">
        <f ca="1">IFERROR(__xludf.DUMMYFUNCTION("""COMPUTED_VALUE"""),"Ponferrada")</f>
        <v>Ponferrada</v>
      </c>
      <c r="F1190" s="57">
        <f ca="1">IFERROR(__xludf.DUMMYFUNCTION("""COMPUTED_VALUE"""),45910)</f>
        <v>45910</v>
      </c>
      <c r="G1190" s="57">
        <f ca="1">IFERROR(__xludf.DUMMYFUNCTION("""COMPUTED_VALUE"""),45784)</f>
        <v>45784</v>
      </c>
      <c r="H1190" s="33" t="str">
        <f ca="1">IFERROR(__xludf.DUMMYFUNCTION("""COMPUTED_VALUE"""),"Ponferrada")</f>
        <v>Ponferrada</v>
      </c>
      <c r="I1190" s="33" t="str">
        <f ca="1">IFERROR(__xludf.DUMMYFUNCTION("""COMPUTED_VALUE"""),"PON-919")</f>
        <v>PON-919</v>
      </c>
      <c r="J1190" s="33" t="str">
        <f ca="1">IFERROR(__xludf.DUMMYFUNCTION("""COMPUTED_VALUE"""),"ROMAN VENCE JULIAN")</f>
        <v>ROMAN VENCE JULIAN</v>
      </c>
      <c r="K1190" s="33">
        <f ca="1">IFERROR(__xludf.DUMMYFUNCTION("""COMPUTED_VALUE"""),2)</f>
        <v>2</v>
      </c>
      <c r="L1190" s="203">
        <f ca="1">IFERROR(__xludf.DUMMYFUNCTION("""COMPUTED_VALUE"""),3461.54)</f>
        <v>3461.54</v>
      </c>
      <c r="M1190" s="33" t="str">
        <f ca="1">IFERROR(__xludf.DUMMYFUNCTION("""COMPUTED_VALUE"""),"03 ORL")</f>
        <v>03 ORL</v>
      </c>
      <c r="N1190" s="33" t="str">
        <f ca="1">IFERROR(__xludf.DUMMYFUNCTION("""COMPUTED_VALUE"""),"06 ORL")</f>
        <v>06 ORL</v>
      </c>
      <c r="O1190" s="33" t="str">
        <f ca="1">IFERROR(__xludf.DUMMYFUNCTION("""COMPUTED_VALUE"""),"Dra, Xenia Mota Rojas")</f>
        <v>Dra, Xenia Mota Rojas</v>
      </c>
      <c r="P1190" s="33" t="str">
        <f ca="1">IFERROR(__xludf.DUMMYFUNCTION("""COMPUTED_VALUE"""),"Alberto Moreno (Madrid)")</f>
        <v>Alberto Moreno (Madrid)</v>
      </c>
    </row>
    <row r="1191" spans="2:16">
      <c r="B1191" s="33">
        <f ca="1">IFERROR(__xludf.DUMMYFUNCTION("""COMPUTED_VALUE"""),2025)</f>
        <v>2025</v>
      </c>
      <c r="C1191" s="33">
        <f ca="1">IFERROR(__xludf.DUMMYFUNCTION("""COMPUTED_VALUE"""),9)</f>
        <v>9</v>
      </c>
      <c r="D1191" s="33" t="str">
        <f ca="1">IFERROR(__xludf.DUMMYFUNCTION("""COMPUTED_VALUE"""),"NO")</f>
        <v>NO</v>
      </c>
      <c r="E1191" s="33" t="str">
        <f ca="1">IFERROR(__xludf.DUMMYFUNCTION("""COMPUTED_VALUE"""),"Badajoz")</f>
        <v>Badajoz</v>
      </c>
      <c r="F1191" s="57">
        <f ca="1">IFERROR(__xludf.DUMMYFUNCTION("""COMPUTED_VALUE"""),45915)</f>
        <v>45915</v>
      </c>
      <c r="G1191" s="57">
        <f ca="1">IFERROR(__xludf.DUMMYFUNCTION("""COMPUTED_VALUE"""),45826)</f>
        <v>45826</v>
      </c>
      <c r="H1191" s="33" t="str">
        <f ca="1">IFERROR(__xludf.DUMMYFUNCTION("""COMPUTED_VALUE"""),"Badajoz")</f>
        <v>Badajoz</v>
      </c>
      <c r="I1191" s="33" t="str">
        <f ca="1">IFERROR(__xludf.DUMMYFUNCTION("""COMPUTED_VALUE"""),"BJZE-2499")</f>
        <v>BJZE-2499</v>
      </c>
      <c r="J1191" s="33" t="str">
        <f ca="1">IFERROR(__xludf.DUMMYFUNCTION("""COMPUTED_VALUE"""),"PABLO MORALES MARQUEZ")</f>
        <v>PABLO MORALES MARQUEZ</v>
      </c>
      <c r="K1191" s="33">
        <f ca="1">IFERROR(__xludf.DUMMYFUNCTION("""COMPUTED_VALUE"""),1)</f>
        <v>1</v>
      </c>
      <c r="L1191" s="203">
        <f ca="1">IFERROR(__xludf.DUMMYFUNCTION("""COMPUTED_VALUE"""),2163.46)</f>
        <v>2163.46</v>
      </c>
      <c r="M1191" s="33" t="str">
        <f ca="1">IFERROR(__xludf.DUMMYFUNCTION("""COMPUTED_VALUE"""),"03 ORL")</f>
        <v>03 ORL</v>
      </c>
      <c r="N1191" s="33" t="str">
        <f ca="1">IFERROR(__xludf.DUMMYFUNCTION("""COMPUTED_VALUE"""),"06 ORL")</f>
        <v>06 ORL</v>
      </c>
      <c r="O1191" s="33" t="str">
        <f ca="1">IFERROR(__xludf.DUMMYFUNCTION("""COMPUTED_VALUE"""),"Dr, Isidoro Rubio Correa")</f>
        <v>Dr, Isidoro Rubio Correa</v>
      </c>
      <c r="P1191" s="33" t="str">
        <f ca="1">IFERROR(__xludf.DUMMYFUNCTION("""COMPUTED_VALUE"""),"Luis Alberto Rodríguez (Andalucía Y Badajoz)")</f>
        <v>Luis Alberto Rodríguez (Andalucía Y Badajoz)</v>
      </c>
    </row>
    <row r="1192" spans="2:16">
      <c r="B1192" s="33">
        <f ca="1">IFERROR(__xludf.DUMMYFUNCTION("""COMPUTED_VALUE"""),2025)</f>
        <v>2025</v>
      </c>
      <c r="C1192" s="33">
        <f ca="1">IFERROR(__xludf.DUMMYFUNCTION("""COMPUTED_VALUE"""),9)</f>
        <v>9</v>
      </c>
      <c r="D1192" s="33" t="str">
        <f ca="1">IFERROR(__xludf.DUMMYFUNCTION("""COMPUTED_VALUE"""),"NO")</f>
        <v>NO</v>
      </c>
      <c r="E1192" s="33" t="str">
        <f ca="1">IFERROR(__xludf.DUMMYFUNCTION("""COMPUTED_VALUE"""),"Cáceres")</f>
        <v>Cáceres</v>
      </c>
      <c r="F1192" s="57">
        <f ca="1">IFERROR(__xludf.DUMMYFUNCTION("""COMPUTED_VALUE"""),45915)</f>
        <v>45915</v>
      </c>
      <c r="G1192" s="57">
        <f ca="1">IFERROR(__xludf.DUMMYFUNCTION("""COMPUTED_VALUE"""),45860)</f>
        <v>45860</v>
      </c>
      <c r="H1192" s="33" t="str">
        <f ca="1">IFERROR(__xludf.DUMMYFUNCTION("""COMPUTED_VALUE"""),"Cáceres")</f>
        <v>Cáceres</v>
      </c>
      <c r="I1192" s="33" t="str">
        <f ca="1">IFERROR(__xludf.DUMMYFUNCTION("""COMPUTED_VALUE"""),"CAC-354")</f>
        <v>CAC-354</v>
      </c>
      <c r="J1192" s="33" t="str">
        <f ca="1">IFERROR(__xludf.DUMMYFUNCTION("""COMPUTED_VALUE"""),"MARIA DEL CARMEN DIONISIO ACEDO")</f>
        <v>MARIA DEL CARMEN DIONISIO ACEDO</v>
      </c>
      <c r="K1192" s="33">
        <f ca="1">IFERROR(__xludf.DUMMYFUNCTION("""COMPUTED_VALUE"""),2)</f>
        <v>2</v>
      </c>
      <c r="L1192" s="203">
        <f ca="1">IFERROR(__xludf.DUMMYFUNCTION("""COMPUTED_VALUE"""),3940.9)</f>
        <v>3940.9</v>
      </c>
      <c r="M1192" s="33" t="str">
        <f ca="1">IFERROR(__xludf.DUMMYFUNCTION("""COMPUTED_VALUE"""),"03 ORL")</f>
        <v>03 ORL</v>
      </c>
      <c r="N1192" s="33" t="str">
        <f ca="1">IFERROR(__xludf.DUMMYFUNCTION("""COMPUTED_VALUE"""),"06 ORL")</f>
        <v>06 ORL</v>
      </c>
      <c r="O1192" s="33" t="str">
        <f ca="1">IFERROR(__xludf.DUMMYFUNCTION("""COMPUTED_VALUE"""),"Dr, Andrés Paulino Herrera")</f>
        <v>Dr, Andrés Paulino Herrera</v>
      </c>
      <c r="P1192" s="33" t="str">
        <f ca="1">IFERROR(__xludf.DUMMYFUNCTION("""COMPUTED_VALUE"""),"Lisandro Russian (Madrid, Cáceres, Toledo, Talavera Y Logroño)")</f>
        <v>Lisandro Russian (Madrid, Cáceres, Toledo, Talavera Y Logroño)</v>
      </c>
    </row>
    <row r="1193" spans="2:16">
      <c r="B1193" s="33">
        <f ca="1">IFERROR(__xludf.DUMMYFUNCTION("""COMPUTED_VALUE"""),2025)</f>
        <v>2025</v>
      </c>
      <c r="C1193" s="33">
        <f ca="1">IFERROR(__xludf.DUMMYFUNCTION("""COMPUTED_VALUE"""),9)</f>
        <v>9</v>
      </c>
      <c r="D1193" s="33" t="str">
        <f ca="1">IFERROR(__xludf.DUMMYFUNCTION("""COMPUTED_VALUE"""),"NO")</f>
        <v>NO</v>
      </c>
      <c r="E1193" s="33" t="str">
        <f ca="1">IFERROR(__xludf.DUMMYFUNCTION("""COMPUTED_VALUE"""),"Lalín")</f>
        <v>Lalín</v>
      </c>
      <c r="F1193" s="57">
        <f ca="1">IFERROR(__xludf.DUMMYFUNCTION("""COMPUTED_VALUE"""),45916)</f>
        <v>45916</v>
      </c>
      <c r="G1193" s="57">
        <f ca="1">IFERROR(__xludf.DUMMYFUNCTION("""COMPUTED_VALUE"""),45901)</f>
        <v>45901</v>
      </c>
      <c r="H1193" s="33" t="str">
        <f ca="1">IFERROR(__xludf.DUMMYFUNCTION("""COMPUTED_VALUE"""),"Lalín")</f>
        <v>Lalín</v>
      </c>
      <c r="I1193" s="33" t="str">
        <f ca="1">IFERROR(__xludf.DUMMYFUNCTION("""COMPUTED_VALUE"""),"LAL-168")</f>
        <v>LAL-168</v>
      </c>
      <c r="J1193" s="33" t="str">
        <f ca="1">IFERROR(__xludf.DUMMYFUNCTION("""COMPUTED_VALUE"""),"ROSA MARIA SOTO SIMON")</f>
        <v>ROSA MARIA SOTO SIMON</v>
      </c>
      <c r="K1193" s="33">
        <f ca="1">IFERROR(__xludf.DUMMYFUNCTION("""COMPUTED_VALUE"""),1)</f>
        <v>1</v>
      </c>
      <c r="L1193" s="203">
        <f ca="1">IFERROR(__xludf.DUMMYFUNCTION("""COMPUTED_VALUE"""),627.27)</f>
        <v>627.27</v>
      </c>
      <c r="M1193" s="33" t="str">
        <f ca="1">IFERROR(__xludf.DUMMYFUNCTION("""COMPUTED_VALUE"""),"03 ORL")</f>
        <v>03 ORL</v>
      </c>
      <c r="N1193" s="33" t="str">
        <f ca="1">IFERROR(__xludf.DUMMYFUNCTION("""COMPUTED_VALUE"""),"06 ORL")</f>
        <v>06 ORL</v>
      </c>
      <c r="O1193" s="33" t="str">
        <f ca="1">IFERROR(__xludf.DUMMYFUNCTION("""COMPUTED_VALUE"""),"Dr, Isabel Vaamonde Sanchez Andrade")</f>
        <v>Dr, Isabel Vaamonde Sanchez Andrade</v>
      </c>
      <c r="P1193" s="33" t="str">
        <f ca="1">IFERROR(__xludf.DUMMYFUNCTION("""COMPUTED_VALUE"""),"Roberto Pereira (Galicia)")</f>
        <v>Roberto Pereira (Galicia)</v>
      </c>
    </row>
    <row r="1194" spans="2:16">
      <c r="B1194" s="33">
        <f ca="1">IFERROR(__xludf.DUMMYFUNCTION("""COMPUTED_VALUE"""),2025)</f>
        <v>2025</v>
      </c>
      <c r="C1194" s="33">
        <f ca="1">IFERROR(__xludf.DUMMYFUNCTION("""COMPUTED_VALUE"""),9)</f>
        <v>9</v>
      </c>
      <c r="D1194" s="33" t="str">
        <f ca="1">IFERROR(__xludf.DUMMYFUNCTION("""COMPUTED_VALUE"""),"NO")</f>
        <v>NO</v>
      </c>
      <c r="E1194" s="33" t="str">
        <f ca="1">IFERROR(__xludf.DUMMYFUNCTION("""COMPUTED_VALUE"""),"O Barco")</f>
        <v>O Barco</v>
      </c>
      <c r="F1194" s="57">
        <f ca="1">IFERROR(__xludf.DUMMYFUNCTION("""COMPUTED_VALUE"""),45916)</f>
        <v>45916</v>
      </c>
      <c r="G1194" s="57">
        <f ca="1">IFERROR(__xludf.DUMMYFUNCTION("""COMPUTED_VALUE"""),45877)</f>
        <v>45877</v>
      </c>
      <c r="H1194" s="33" t="str">
        <f ca="1">IFERROR(__xludf.DUMMYFUNCTION("""COMPUTED_VALUE"""),"O Barco")</f>
        <v>O Barco</v>
      </c>
      <c r="I1194" s="33" t="str">
        <f ca="1">IFERROR(__xludf.DUMMYFUNCTION("""COMPUTED_VALUE"""),"OBR-72")</f>
        <v>OBR-72</v>
      </c>
      <c r="J1194" s="33" t="str">
        <f ca="1">IFERROR(__xludf.DUMMYFUNCTION("""COMPUTED_VALUE"""),"JOSE LUIS RODRIGUEZ OVIEDO")</f>
        <v>JOSE LUIS RODRIGUEZ OVIEDO</v>
      </c>
      <c r="K1194" s="33">
        <f ca="1">IFERROR(__xludf.DUMMYFUNCTION("""COMPUTED_VALUE"""),2)</f>
        <v>2</v>
      </c>
      <c r="L1194" s="203">
        <f ca="1">IFERROR(__xludf.DUMMYFUNCTION("""COMPUTED_VALUE"""),1908.65)</f>
        <v>1908.65</v>
      </c>
      <c r="M1194" s="33" t="str">
        <f ca="1">IFERROR(__xludf.DUMMYFUNCTION("""COMPUTED_VALUE"""),"03 ORL")</f>
        <v>03 ORL</v>
      </c>
      <c r="N1194" s="33" t="str">
        <f ca="1">IFERROR(__xludf.DUMMYFUNCTION("""COMPUTED_VALUE"""),"06 ORL")</f>
        <v>06 ORL</v>
      </c>
      <c r="O1194" s="33" t="str">
        <f ca="1">IFERROR(__xludf.DUMMYFUNCTION("""COMPUTED_VALUE"""),"No Recuerda Orl")</f>
        <v>No Recuerda Orl</v>
      </c>
      <c r="P1194" s="33" t="str">
        <f ca="1">IFERROR(__xludf.DUMMYFUNCTION("""COMPUTED_VALUE"""),"Alberto Moreno (Madrid)")</f>
        <v>Alberto Moreno (Madrid)</v>
      </c>
    </row>
    <row r="1195" spans="2:16">
      <c r="B1195" s="33">
        <f ca="1">IFERROR(__xludf.DUMMYFUNCTION("""COMPUTED_VALUE"""),2025)</f>
        <v>2025</v>
      </c>
      <c r="C1195" s="33">
        <f ca="1">IFERROR(__xludf.DUMMYFUNCTION("""COMPUTED_VALUE"""),9)</f>
        <v>9</v>
      </c>
      <c r="D1195" s="33" t="str">
        <f ca="1">IFERROR(__xludf.DUMMYFUNCTION("""COMPUTED_VALUE"""),"NO")</f>
        <v>NO</v>
      </c>
      <c r="E1195" s="33" t="str">
        <f ca="1">IFERROR(__xludf.DUMMYFUNCTION("""COMPUTED_VALUE"""),"Cáceres")</f>
        <v>Cáceres</v>
      </c>
      <c r="F1195" s="57">
        <f ca="1">IFERROR(__xludf.DUMMYFUNCTION("""COMPUTED_VALUE"""),45917)</f>
        <v>45917</v>
      </c>
      <c r="G1195" s="57">
        <f ca="1">IFERROR(__xludf.DUMMYFUNCTION("""COMPUTED_VALUE"""),45887)</f>
        <v>45887</v>
      </c>
      <c r="H1195" s="33" t="str">
        <f ca="1">IFERROR(__xludf.DUMMYFUNCTION("""COMPUTED_VALUE"""),"Cáceres")</f>
        <v>Cáceres</v>
      </c>
      <c r="I1195" s="33" t="str">
        <f ca="1">IFERROR(__xludf.DUMMYFUNCTION("""COMPUTED_VALUE"""),"CAC-372")</f>
        <v>CAC-372</v>
      </c>
      <c r="J1195" s="33" t="str">
        <f ca="1">IFERROR(__xludf.DUMMYFUNCTION("""COMPUTED_VALUE"""),"RAFAEL VERDIGUIER CERON")</f>
        <v>RAFAEL VERDIGUIER CERON</v>
      </c>
      <c r="K1195" s="33">
        <f ca="1">IFERROR(__xludf.DUMMYFUNCTION("""COMPUTED_VALUE"""),2)</f>
        <v>2</v>
      </c>
      <c r="L1195" s="203">
        <f ca="1">IFERROR(__xludf.DUMMYFUNCTION("""COMPUTED_VALUE"""),4990.91)</f>
        <v>4990.91</v>
      </c>
      <c r="M1195" s="33" t="str">
        <f ca="1">IFERROR(__xludf.DUMMYFUNCTION("""COMPUTED_VALUE"""),"03 ORL")</f>
        <v>03 ORL</v>
      </c>
      <c r="N1195" s="33" t="str">
        <f ca="1">IFERROR(__xludf.DUMMYFUNCTION("""COMPUTED_VALUE"""),"06 ORL")</f>
        <v>06 ORL</v>
      </c>
      <c r="O1195" s="33" t="str">
        <f ca="1">IFERROR(__xludf.DUMMYFUNCTION("""COMPUTED_VALUE"""),"Dr, Javier García Gómez")</f>
        <v>Dr, Javier García Gómez</v>
      </c>
      <c r="P1195" s="33" t="str">
        <f ca="1">IFERROR(__xludf.DUMMYFUNCTION("""COMPUTED_VALUE"""),"Lisandro Russian (Madrid, Cáceres, Toledo, Talavera Y Logroño)")</f>
        <v>Lisandro Russian (Madrid, Cáceres, Toledo, Talavera Y Logroño)</v>
      </c>
    </row>
    <row r="1196" spans="2:16">
      <c r="B1196" s="33">
        <f ca="1">IFERROR(__xludf.DUMMYFUNCTION("""COMPUTED_VALUE"""),2025)</f>
        <v>2025</v>
      </c>
      <c r="C1196" s="33">
        <f ca="1">IFERROR(__xludf.DUMMYFUNCTION("""COMPUTED_VALUE"""),9)</f>
        <v>9</v>
      </c>
      <c r="D1196" s="33" t="str">
        <f ca="1">IFERROR(__xludf.DUMMYFUNCTION("""COMPUTED_VALUE"""),"NO")</f>
        <v>NO</v>
      </c>
      <c r="E1196" s="33" t="str">
        <f ca="1">IFERROR(__xludf.DUMMYFUNCTION("""COMPUTED_VALUE"""),"León")</f>
        <v>León</v>
      </c>
      <c r="F1196" s="57">
        <f ca="1">IFERROR(__xludf.DUMMYFUNCTION("""COMPUTED_VALUE"""),45917)</f>
        <v>45917</v>
      </c>
      <c r="G1196" s="57">
        <f ca="1">IFERROR(__xludf.DUMMYFUNCTION("""COMPUTED_VALUE"""),45895)</f>
        <v>45895</v>
      </c>
      <c r="H1196" s="33" t="str">
        <f ca="1">IFERROR(__xludf.DUMMYFUNCTION("""COMPUTED_VALUE"""),"León")</f>
        <v>León</v>
      </c>
      <c r="I1196" s="33" t="str">
        <f ca="1">IFERROR(__xludf.DUMMYFUNCTION("""COMPUTED_VALUE"""),"LEO-523")</f>
        <v>LEO-523</v>
      </c>
      <c r="J1196" s="33" t="str">
        <f ca="1">IFERROR(__xludf.DUMMYFUNCTION("""COMPUTED_VALUE"""),"ROSARIO VERDURAS LLAMAZARES")</f>
        <v>ROSARIO VERDURAS LLAMAZARES</v>
      </c>
      <c r="K1196" s="33">
        <f ca="1">IFERROR(__xludf.DUMMYFUNCTION("""COMPUTED_VALUE"""),2)</f>
        <v>2</v>
      </c>
      <c r="L1196" s="203">
        <f ca="1">IFERROR(__xludf.DUMMYFUNCTION("""COMPUTED_VALUE"""),4255.45)</f>
        <v>4255.45</v>
      </c>
      <c r="M1196" s="33" t="str">
        <f ca="1">IFERROR(__xludf.DUMMYFUNCTION("""COMPUTED_VALUE"""),"03 ORL")</f>
        <v>03 ORL</v>
      </c>
      <c r="N1196" s="33" t="str">
        <f ca="1">IFERROR(__xludf.DUMMYFUNCTION("""COMPUTED_VALUE"""),"06 ORL")</f>
        <v>06 ORL</v>
      </c>
      <c r="O1196" s="33" t="str">
        <f ca="1">IFERROR(__xludf.DUMMYFUNCTION("""COMPUTED_VALUE"""),"Dr, Rafael Pérez González")</f>
        <v>Dr, Rafael Pérez González</v>
      </c>
      <c r="P1196" s="33" t="str">
        <f ca="1">IFERROR(__xludf.DUMMYFUNCTION("""COMPUTED_VALUE"""),"Alberto Moreno (Madrid)")</f>
        <v>Alberto Moreno (Madrid)</v>
      </c>
    </row>
    <row r="1197" spans="2:16">
      <c r="B1197" s="33">
        <f ca="1">IFERROR(__xludf.DUMMYFUNCTION("""COMPUTED_VALUE"""),2025)</f>
        <v>2025</v>
      </c>
      <c r="C1197" s="33">
        <f ca="1">IFERROR(__xludf.DUMMYFUNCTION("""COMPUTED_VALUE"""),9)</f>
        <v>9</v>
      </c>
      <c r="D1197" s="33" t="str">
        <f ca="1">IFERROR(__xludf.DUMMYFUNCTION("""COMPUTED_VALUE"""),"NO")</f>
        <v>NO</v>
      </c>
      <c r="E1197" s="33" t="str">
        <f ca="1">IFERROR(__xludf.DUMMYFUNCTION("""COMPUTED_VALUE"""),"Valladolid")</f>
        <v>Valladolid</v>
      </c>
      <c r="F1197" s="57">
        <f ca="1">IFERROR(__xludf.DUMMYFUNCTION("""COMPUTED_VALUE"""),45917)</f>
        <v>45917</v>
      </c>
      <c r="G1197" s="57">
        <f ca="1">IFERROR(__xludf.DUMMYFUNCTION("""COMPUTED_VALUE"""),45853)</f>
        <v>45853</v>
      </c>
      <c r="H1197" s="33" t="str">
        <f ca="1">IFERROR(__xludf.DUMMYFUNCTION("""COMPUTED_VALUE"""),"Valladolid")</f>
        <v>Valladolid</v>
      </c>
      <c r="I1197" s="33" t="str">
        <f ca="1">IFERROR(__xludf.DUMMYFUNCTION("""COMPUTED_VALUE"""),"VLL-424")</f>
        <v>VLL-424</v>
      </c>
      <c r="J1197" s="33" t="str">
        <f ca="1">IFERROR(__xludf.DUMMYFUNCTION("""COMPUTED_VALUE"""),"ANGELA MARTIN MARBAN")</f>
        <v>ANGELA MARTIN MARBAN</v>
      </c>
      <c r="K1197" s="33">
        <f ca="1">IFERROR(__xludf.DUMMYFUNCTION("""COMPUTED_VALUE"""),2)</f>
        <v>2</v>
      </c>
      <c r="L1197" s="203">
        <f ca="1">IFERROR(__xludf.DUMMYFUNCTION("""COMPUTED_VALUE"""),3977.27)</f>
        <v>3977.27</v>
      </c>
      <c r="M1197" s="33" t="str">
        <f ca="1">IFERROR(__xludf.DUMMYFUNCTION("""COMPUTED_VALUE"""),"03 ORL")</f>
        <v>03 ORL</v>
      </c>
      <c r="N1197" s="33" t="str">
        <f ca="1">IFERROR(__xludf.DUMMYFUNCTION("""COMPUTED_VALUE"""),"06 ORL")</f>
        <v>06 ORL</v>
      </c>
      <c r="O1197" s="33" t="str">
        <f ca="1">IFERROR(__xludf.DUMMYFUNCTION("""COMPUTED_VALUE"""),"Dr, Manuel Acuña García")</f>
        <v>Dr, Manuel Acuña García</v>
      </c>
      <c r="P1197" s="33" t="str">
        <f ca="1">IFERROR(__xludf.DUMMYFUNCTION("""COMPUTED_VALUE"""),"Alberto Moreno (Madrid)")</f>
        <v>Alberto Moreno (Madrid)</v>
      </c>
    </row>
    <row r="1198" spans="2:16">
      <c r="B1198" s="33">
        <f ca="1">IFERROR(__xludf.DUMMYFUNCTION("""COMPUTED_VALUE"""),2025)</f>
        <v>2025</v>
      </c>
      <c r="C1198" s="33">
        <f ca="1">IFERROR(__xludf.DUMMYFUNCTION("""COMPUTED_VALUE"""),9)</f>
        <v>9</v>
      </c>
      <c r="D1198" s="33" t="str">
        <f ca="1">IFERROR(__xludf.DUMMYFUNCTION("""COMPUTED_VALUE"""),"NO")</f>
        <v>NO</v>
      </c>
      <c r="E1198" s="33" t="str">
        <f ca="1">IFERROR(__xludf.DUMMYFUNCTION("""COMPUTED_VALUE"""),"Sevilla- Ciencias")</f>
        <v>Sevilla- Ciencias</v>
      </c>
      <c r="F1198" s="57">
        <f ca="1">IFERROR(__xludf.DUMMYFUNCTION("""COMPUTED_VALUE"""),45922)</f>
        <v>45922</v>
      </c>
      <c r="G1198" s="57">
        <f ca="1">IFERROR(__xludf.DUMMYFUNCTION("""COMPUTED_VALUE"""),45880)</f>
        <v>45880</v>
      </c>
      <c r="H1198" s="33" t="str">
        <f ca="1">IFERROR(__xludf.DUMMYFUNCTION("""COMPUTED_VALUE"""),"Sevilla Este")</f>
        <v>Sevilla Este</v>
      </c>
      <c r="I1198" s="33" t="str">
        <f ca="1">IFERROR(__xludf.DUMMYFUNCTION("""COMPUTED_VALUE"""),"SEVE-442")</f>
        <v>SEVE-442</v>
      </c>
      <c r="J1198" s="33" t="str">
        <f ca="1">IFERROR(__xludf.DUMMYFUNCTION("""COMPUTED_VALUE"""),"MARIA ROSARIO GODINO RODRIGUEZ")</f>
        <v>MARIA ROSARIO GODINO RODRIGUEZ</v>
      </c>
      <c r="K1198" s="33">
        <f ca="1">IFERROR(__xludf.DUMMYFUNCTION("""COMPUTED_VALUE"""),2)</f>
        <v>2</v>
      </c>
      <c r="L1198" s="203">
        <f ca="1">IFERROR(__xludf.DUMMYFUNCTION("""COMPUTED_VALUE"""),3914)</f>
        <v>3914</v>
      </c>
      <c r="M1198" s="33" t="str">
        <f ca="1">IFERROR(__xludf.DUMMYFUNCTION("""COMPUTED_VALUE"""),"03 ORL")</f>
        <v>03 ORL</v>
      </c>
      <c r="N1198" s="33" t="str">
        <f ca="1">IFERROR(__xludf.DUMMYFUNCTION("""COMPUTED_VALUE"""),"06 ORL")</f>
        <v>06 ORL</v>
      </c>
      <c r="O1198" s="33" t="str">
        <f ca="1">IFERROR(__xludf.DUMMYFUNCTION("""COMPUTED_VALUE"""),"Dr, Francisco Esteban Ortega")</f>
        <v>Dr, Francisco Esteban Ortega</v>
      </c>
      <c r="P1198" s="33" t="str">
        <f ca="1">IFERROR(__xludf.DUMMYFUNCTION("""COMPUTED_VALUE"""),"Luis Alberto Rodríguez (Andalucía Y Badajoz)")</f>
        <v>Luis Alberto Rodríguez (Andalucía Y Badajoz)</v>
      </c>
    </row>
    <row r="1199" spans="2:16">
      <c r="B1199" s="33">
        <f ca="1">IFERROR(__xludf.DUMMYFUNCTION("""COMPUTED_VALUE"""),2025)</f>
        <v>2025</v>
      </c>
      <c r="C1199" s="33">
        <f ca="1">IFERROR(__xludf.DUMMYFUNCTION("""COMPUTED_VALUE"""),9)</f>
        <v>9</v>
      </c>
      <c r="D1199" s="33" t="str">
        <f ca="1">IFERROR(__xludf.DUMMYFUNCTION("""COMPUTED_VALUE"""),"NO")</f>
        <v>NO</v>
      </c>
      <c r="E1199" s="33" t="str">
        <f ca="1">IFERROR(__xludf.DUMMYFUNCTION("""COMPUTED_VALUE"""),"Cáceres")</f>
        <v>Cáceres</v>
      </c>
      <c r="F1199" s="57">
        <f ca="1">IFERROR(__xludf.DUMMYFUNCTION("""COMPUTED_VALUE"""),45923)</f>
        <v>45923</v>
      </c>
      <c r="G1199" s="57">
        <f ca="1">IFERROR(__xludf.DUMMYFUNCTION("""COMPUTED_VALUE"""),45869)</f>
        <v>45869</v>
      </c>
      <c r="H1199" s="33" t="str">
        <f ca="1">IFERROR(__xludf.DUMMYFUNCTION("""COMPUTED_VALUE"""),"Cáceres")</f>
        <v>Cáceres</v>
      </c>
      <c r="I1199" s="33" t="str">
        <f ca="1">IFERROR(__xludf.DUMMYFUNCTION("""COMPUTED_VALUE"""),"CAC-366")</f>
        <v>CAC-366</v>
      </c>
      <c r="J1199" s="33" t="str">
        <f ca="1">IFERROR(__xludf.DUMMYFUNCTION("""COMPUTED_VALUE"""),"MANUEL RODRIGUEZ ESCUDERO")</f>
        <v>MANUEL RODRIGUEZ ESCUDERO</v>
      </c>
      <c r="K1199" s="33">
        <f ca="1">IFERROR(__xludf.DUMMYFUNCTION("""COMPUTED_VALUE"""),2)</f>
        <v>2</v>
      </c>
      <c r="L1199" s="203">
        <f ca="1">IFERROR(__xludf.DUMMYFUNCTION("""COMPUTED_VALUE"""),4727.27)</f>
        <v>4727.2700000000004</v>
      </c>
      <c r="M1199" s="33" t="str">
        <f ca="1">IFERROR(__xludf.DUMMYFUNCTION("""COMPUTED_VALUE"""),"03 ORL")</f>
        <v>03 ORL</v>
      </c>
      <c r="N1199" s="33" t="str">
        <f ca="1">IFERROR(__xludf.DUMMYFUNCTION("""COMPUTED_VALUE"""),"06 ORL")</f>
        <v>06 ORL</v>
      </c>
      <c r="O1199" s="33" t="str">
        <f ca="1">IFERROR(__xludf.DUMMYFUNCTION("""COMPUTED_VALUE"""),"Dra, Marta García Jiménez")</f>
        <v>Dra, Marta García Jiménez</v>
      </c>
      <c r="P1199" s="33" t="str">
        <f ca="1">IFERROR(__xludf.DUMMYFUNCTION("""COMPUTED_VALUE"""),"Lisandro Russian (Madrid, Cáceres, Toledo, Talavera Y Logroño)")</f>
        <v>Lisandro Russian (Madrid, Cáceres, Toledo, Talavera Y Logroño)</v>
      </c>
    </row>
    <row r="1200" spans="2:16">
      <c r="B1200" s="33">
        <f ca="1">IFERROR(__xludf.DUMMYFUNCTION("""COMPUTED_VALUE"""),2025)</f>
        <v>2025</v>
      </c>
      <c r="C1200" s="33">
        <f ca="1">IFERROR(__xludf.DUMMYFUNCTION("""COMPUTED_VALUE"""),9)</f>
        <v>9</v>
      </c>
      <c r="D1200" s="33" t="str">
        <f ca="1">IFERROR(__xludf.DUMMYFUNCTION("""COMPUTED_VALUE"""),"NO")</f>
        <v>NO</v>
      </c>
      <c r="E1200" s="33" t="str">
        <f ca="1">IFERROR(__xludf.DUMMYFUNCTION("""COMPUTED_VALUE"""),"Cáceres")</f>
        <v>Cáceres</v>
      </c>
      <c r="F1200" s="57">
        <f ca="1">IFERROR(__xludf.DUMMYFUNCTION("""COMPUTED_VALUE"""),45924)</f>
        <v>45924</v>
      </c>
      <c r="G1200" s="57">
        <f ca="1">IFERROR(__xludf.DUMMYFUNCTION("""COMPUTED_VALUE"""),45903)</f>
        <v>45903</v>
      </c>
      <c r="H1200" s="33" t="str">
        <f ca="1">IFERROR(__xludf.DUMMYFUNCTION("""COMPUTED_VALUE"""),"Cáceres")</f>
        <v>Cáceres</v>
      </c>
      <c r="I1200" s="33" t="str">
        <f ca="1">IFERROR(__xludf.DUMMYFUNCTION("""COMPUTED_VALUE"""),"CAC-380")</f>
        <v>CAC-380</v>
      </c>
      <c r="J1200" s="33" t="str">
        <f ca="1">IFERROR(__xludf.DUMMYFUNCTION("""COMPUTED_VALUE"""),"MARIA JESUS PANIAGUA GARCIA")</f>
        <v>MARIA JESUS PANIAGUA GARCIA</v>
      </c>
      <c r="K1200" s="33">
        <f ca="1">IFERROR(__xludf.DUMMYFUNCTION("""COMPUTED_VALUE"""),2)</f>
        <v>2</v>
      </c>
      <c r="L1200" s="203">
        <f ca="1">IFERROR(__xludf.DUMMYFUNCTION("""COMPUTED_VALUE"""),4500)</f>
        <v>4500</v>
      </c>
      <c r="M1200" s="33" t="str">
        <f ca="1">IFERROR(__xludf.DUMMYFUNCTION("""COMPUTED_VALUE"""),"03 ORL")</f>
        <v>03 ORL</v>
      </c>
      <c r="N1200" s="33" t="str">
        <f ca="1">IFERROR(__xludf.DUMMYFUNCTION("""COMPUTED_VALUE"""),"06 ORL")</f>
        <v>06 ORL</v>
      </c>
      <c r="O1200" s="33" t="str">
        <f ca="1">IFERROR(__xludf.DUMMYFUNCTION("""COMPUTED_VALUE"""),"Dra, Daniela Carolina Laguado Bulgheroni")</f>
        <v>Dra, Daniela Carolina Laguado Bulgheroni</v>
      </c>
      <c r="P1200" s="33" t="str">
        <f ca="1">IFERROR(__xludf.DUMMYFUNCTION("""COMPUTED_VALUE"""),"Lisandro Russian (Madrid, Cáceres, Toledo, Talavera Y Logroño)")</f>
        <v>Lisandro Russian (Madrid, Cáceres, Toledo, Talavera Y Logroño)</v>
      </c>
    </row>
    <row r="1201" spans="2:16">
      <c r="B1201" s="33">
        <f ca="1">IFERROR(__xludf.DUMMYFUNCTION("""COMPUTED_VALUE"""),2025)</f>
        <v>2025</v>
      </c>
      <c r="C1201" s="33">
        <f ca="1">IFERROR(__xludf.DUMMYFUNCTION("""COMPUTED_VALUE"""),9)</f>
        <v>9</v>
      </c>
      <c r="D1201" s="33" t="str">
        <f ca="1">IFERROR(__xludf.DUMMYFUNCTION("""COMPUTED_VALUE"""),"NO")</f>
        <v>NO</v>
      </c>
      <c r="E1201" s="33" t="str">
        <f ca="1">IFERROR(__xludf.DUMMYFUNCTION("""COMPUTED_VALUE"""),"Salamanca")</f>
        <v>Salamanca</v>
      </c>
      <c r="F1201" s="57">
        <f ca="1">IFERROR(__xludf.DUMMYFUNCTION("""COMPUTED_VALUE"""),45924)</f>
        <v>45924</v>
      </c>
      <c r="G1201" s="57">
        <f ca="1">IFERROR(__xludf.DUMMYFUNCTION("""COMPUTED_VALUE"""),45870)</f>
        <v>45870</v>
      </c>
      <c r="H1201" s="33" t="str">
        <f ca="1">IFERROR(__xludf.DUMMYFUNCTION("""COMPUTED_VALUE"""),"Salamanca")</f>
        <v>Salamanca</v>
      </c>
      <c r="I1201" s="33" t="str">
        <f ca="1">IFERROR(__xludf.DUMMYFUNCTION("""COMPUTED_VALUE"""),"SLM-597")</f>
        <v>SLM-597</v>
      </c>
      <c r="J1201" s="33" t="str">
        <f ca="1">IFERROR(__xludf.DUMMYFUNCTION("""COMPUTED_VALUE"""),"FERNANDO GARCIA HIDALGO")</f>
        <v>FERNANDO GARCIA HIDALGO</v>
      </c>
      <c r="K1201" s="33">
        <f ca="1">IFERROR(__xludf.DUMMYFUNCTION("""COMPUTED_VALUE"""),2)</f>
        <v>2</v>
      </c>
      <c r="L1201" s="203">
        <f ca="1">IFERROR(__xludf.DUMMYFUNCTION("""COMPUTED_VALUE"""),4120)</f>
        <v>4120</v>
      </c>
      <c r="M1201" s="33" t="str">
        <f ca="1">IFERROR(__xludf.DUMMYFUNCTION("""COMPUTED_VALUE"""),"03 ORL")</f>
        <v>03 ORL</v>
      </c>
      <c r="N1201" s="33" t="str">
        <f ca="1">IFERROR(__xludf.DUMMYFUNCTION("""COMPUTED_VALUE"""),"06 ORL")</f>
        <v>06 ORL</v>
      </c>
      <c r="O1201" s="33" t="str">
        <f ca="1">IFERROR(__xludf.DUMMYFUNCTION("""COMPUTED_VALUE"""),"Dr, Ángel Muñoz Herrera")</f>
        <v>Dr, Ángel Muñoz Herrera</v>
      </c>
      <c r="P1201" s="33" t="str">
        <f ca="1">IFERROR(__xludf.DUMMYFUNCTION("""COMPUTED_VALUE"""),"Alberto Moreno (Madrid)")</f>
        <v>Alberto Moreno (Madrid)</v>
      </c>
    </row>
    <row r="1202" spans="2:16">
      <c r="B1202" s="33">
        <f ca="1">IFERROR(__xludf.DUMMYFUNCTION("""COMPUTED_VALUE"""),2025)</f>
        <v>2025</v>
      </c>
      <c r="C1202" s="33">
        <f ca="1">IFERROR(__xludf.DUMMYFUNCTION("""COMPUTED_VALUE"""),9)</f>
        <v>9</v>
      </c>
      <c r="D1202" s="33" t="str">
        <f ca="1">IFERROR(__xludf.DUMMYFUNCTION("""COMPUTED_VALUE"""),"NO")</f>
        <v>NO</v>
      </c>
      <c r="E1202" s="33" t="str">
        <f ca="1">IFERROR(__xludf.DUMMYFUNCTION("""COMPUTED_VALUE"""),"Salamanca")</f>
        <v>Salamanca</v>
      </c>
      <c r="F1202" s="57">
        <f ca="1">IFERROR(__xludf.DUMMYFUNCTION("""COMPUTED_VALUE"""),45924)</f>
        <v>45924</v>
      </c>
      <c r="G1202" s="57">
        <f ca="1">IFERROR(__xludf.DUMMYFUNCTION("""COMPUTED_VALUE"""),45890)</f>
        <v>45890</v>
      </c>
      <c r="H1202" s="33" t="str">
        <f ca="1">IFERROR(__xludf.DUMMYFUNCTION("""COMPUTED_VALUE"""),"Salamanca")</f>
        <v>Salamanca</v>
      </c>
      <c r="I1202" s="33" t="str">
        <f ca="1">IFERROR(__xludf.DUMMYFUNCTION("""COMPUTED_VALUE"""),"SLM-603")</f>
        <v>SLM-603</v>
      </c>
      <c r="J1202" s="33" t="str">
        <f ca="1">IFERROR(__xludf.DUMMYFUNCTION("""COMPUTED_VALUE"""),"UBALDO LAUDINO DE PEDRO SASTRE")</f>
        <v>UBALDO LAUDINO DE PEDRO SASTRE</v>
      </c>
      <c r="K1202" s="33">
        <f ca="1">IFERROR(__xludf.DUMMYFUNCTION("""COMPUTED_VALUE"""),2)</f>
        <v>2</v>
      </c>
      <c r="L1202" s="203">
        <f ca="1">IFERROR(__xludf.DUMMYFUNCTION("""COMPUTED_VALUE"""),3730)</f>
        <v>3730</v>
      </c>
      <c r="M1202" s="33" t="str">
        <f ca="1">IFERROR(__xludf.DUMMYFUNCTION("""COMPUTED_VALUE"""),"03 ORL")</f>
        <v>03 ORL</v>
      </c>
      <c r="N1202" s="33" t="str">
        <f ca="1">IFERROR(__xludf.DUMMYFUNCTION("""COMPUTED_VALUE"""),"06 ORL")</f>
        <v>06 ORL</v>
      </c>
      <c r="O1202" s="33" t="str">
        <f ca="1">IFERROR(__xludf.DUMMYFUNCTION("""COMPUTED_VALUE"""),"Dr, Luis Miguel Rincón Esteban")</f>
        <v>Dr, Luis Miguel Rincón Esteban</v>
      </c>
      <c r="P1202" s="33" t="str">
        <f ca="1">IFERROR(__xludf.DUMMYFUNCTION("""COMPUTED_VALUE"""),"Alberto Moreno (Madrid)")</f>
        <v>Alberto Moreno (Madrid)</v>
      </c>
    </row>
    <row r="1203" spans="2:16">
      <c r="B1203" s="33">
        <f ca="1">IFERROR(__xludf.DUMMYFUNCTION("""COMPUTED_VALUE"""),2025)</f>
        <v>2025</v>
      </c>
      <c r="C1203" s="33">
        <f ca="1">IFERROR(__xludf.DUMMYFUNCTION("""COMPUTED_VALUE"""),9)</f>
        <v>9</v>
      </c>
      <c r="D1203" s="33" t="str">
        <f ca="1">IFERROR(__xludf.DUMMYFUNCTION("""COMPUTED_VALUE"""),"NO")</f>
        <v>NO</v>
      </c>
      <c r="E1203" s="33" t="str">
        <f ca="1">IFERROR(__xludf.DUMMYFUNCTION("""COMPUTED_VALUE"""),"Ponferrada")</f>
        <v>Ponferrada</v>
      </c>
      <c r="F1203" s="57">
        <f ca="1">IFERROR(__xludf.DUMMYFUNCTION("""COMPUTED_VALUE"""),45925)</f>
        <v>45925</v>
      </c>
      <c r="G1203" s="57">
        <f ca="1">IFERROR(__xludf.DUMMYFUNCTION("""COMPUTED_VALUE"""),45839)</f>
        <v>45839</v>
      </c>
      <c r="H1203" s="33" t="str">
        <f ca="1">IFERROR(__xludf.DUMMYFUNCTION("""COMPUTED_VALUE"""),"Ponferrada")</f>
        <v>Ponferrada</v>
      </c>
      <c r="I1203" s="33" t="str">
        <f ca="1">IFERROR(__xludf.DUMMYFUNCTION("""COMPUTED_VALUE"""),"PON-944")</f>
        <v>PON-944</v>
      </c>
      <c r="J1203" s="33" t="str">
        <f ca="1">IFERROR(__xludf.DUMMYFUNCTION("""COMPUTED_VALUE"""),"TOMAS VICTORINO BECARES POSADA")</f>
        <v>TOMAS VICTORINO BECARES POSADA</v>
      </c>
      <c r="K1203" s="33">
        <f ca="1">IFERROR(__xludf.DUMMYFUNCTION("""COMPUTED_VALUE"""),2)</f>
        <v>2</v>
      </c>
      <c r="L1203" s="203">
        <f ca="1">IFERROR(__xludf.DUMMYFUNCTION("""COMPUTED_VALUE"""),3909.09)</f>
        <v>3909.09</v>
      </c>
      <c r="M1203" s="33" t="str">
        <f ca="1">IFERROR(__xludf.DUMMYFUNCTION("""COMPUTED_VALUE"""),"03 ORL")</f>
        <v>03 ORL</v>
      </c>
      <c r="N1203" s="33" t="str">
        <f ca="1">IFERROR(__xludf.DUMMYFUNCTION("""COMPUTED_VALUE"""),"06 ORL")</f>
        <v>06 ORL</v>
      </c>
      <c r="O1203" s="33" t="str">
        <f ca="1">IFERROR(__xludf.DUMMYFUNCTION("""COMPUTED_VALUE"""),"Dra, Diana Lysbeth Lourido Piedrahita")</f>
        <v>Dra, Diana Lysbeth Lourido Piedrahita</v>
      </c>
      <c r="P1203" s="33" t="str">
        <f ca="1">IFERROR(__xludf.DUMMYFUNCTION("""COMPUTED_VALUE"""),"Alberto Moreno (Madrid)")</f>
        <v>Alberto Moreno (Madrid)</v>
      </c>
    </row>
    <row r="1204" spans="2:16">
      <c r="B1204" s="33">
        <f ca="1">IFERROR(__xludf.DUMMYFUNCTION("""COMPUTED_VALUE"""),2025)</f>
        <v>2025</v>
      </c>
      <c r="C1204" s="33">
        <f ca="1">IFERROR(__xludf.DUMMYFUNCTION("""COMPUTED_VALUE"""),9)</f>
        <v>9</v>
      </c>
      <c r="D1204" s="33" t="str">
        <f ca="1">IFERROR(__xludf.DUMMYFUNCTION("""COMPUTED_VALUE"""),"NO")</f>
        <v>NO</v>
      </c>
      <c r="E1204" s="33" t="str">
        <f ca="1">IFERROR(__xludf.DUMMYFUNCTION("""COMPUTED_VALUE"""),"Cáceres")</f>
        <v>Cáceres</v>
      </c>
      <c r="F1204" s="57">
        <f ca="1">IFERROR(__xludf.DUMMYFUNCTION("""COMPUTED_VALUE"""),45929)</f>
        <v>45929</v>
      </c>
      <c r="G1204" s="57">
        <f ca="1">IFERROR(__xludf.DUMMYFUNCTION("""COMPUTED_VALUE"""),45901)</f>
        <v>45901</v>
      </c>
      <c r="H1204" s="33" t="str">
        <f ca="1">IFERROR(__xludf.DUMMYFUNCTION("""COMPUTED_VALUE"""),"Cáceres")</f>
        <v>Cáceres</v>
      </c>
      <c r="I1204" s="33" t="str">
        <f ca="1">IFERROR(__xludf.DUMMYFUNCTION("""COMPUTED_VALUE"""),"CAC-378")</f>
        <v>CAC-378</v>
      </c>
      <c r="J1204" s="33" t="str">
        <f ca="1">IFERROR(__xludf.DUMMYFUNCTION("""COMPUTED_VALUE"""),"ALFONSO MORGADO CORTES")</f>
        <v>ALFONSO MORGADO CORTES</v>
      </c>
      <c r="K1204" s="33">
        <f ca="1">IFERROR(__xludf.DUMMYFUNCTION("""COMPUTED_VALUE"""),2)</f>
        <v>2</v>
      </c>
      <c r="L1204" s="203">
        <f ca="1">IFERROR(__xludf.DUMMYFUNCTION("""COMPUTED_VALUE"""),4500)</f>
        <v>4500</v>
      </c>
      <c r="M1204" s="33" t="str">
        <f ca="1">IFERROR(__xludf.DUMMYFUNCTION("""COMPUTED_VALUE"""),"03 ORL")</f>
        <v>03 ORL</v>
      </c>
      <c r="N1204" s="33" t="str">
        <f ca="1">IFERROR(__xludf.DUMMYFUNCTION("""COMPUTED_VALUE"""),"06 ORL")</f>
        <v>06 ORL</v>
      </c>
      <c r="O1204" s="33" t="str">
        <f ca="1">IFERROR(__xludf.DUMMYFUNCTION("""COMPUTED_VALUE"""),"Dr, Manuel Cañete Domínguez")</f>
        <v>Dr, Manuel Cañete Domínguez</v>
      </c>
      <c r="P1204" s="33" t="str">
        <f ca="1">IFERROR(__xludf.DUMMYFUNCTION("""COMPUTED_VALUE"""),"Lisandro Russian (Madrid, Cáceres, Toledo, Talavera Y Logroño)")</f>
        <v>Lisandro Russian (Madrid, Cáceres, Toledo, Talavera Y Logroño)</v>
      </c>
    </row>
    <row r="1205" spans="2:16">
      <c r="B1205" s="33">
        <f ca="1">IFERROR(__xludf.DUMMYFUNCTION("""COMPUTED_VALUE"""),2025)</f>
        <v>2025</v>
      </c>
      <c r="C1205" s="33">
        <f ca="1">IFERROR(__xludf.DUMMYFUNCTION("""COMPUTED_VALUE"""),9)</f>
        <v>9</v>
      </c>
      <c r="D1205" s="33" t="str">
        <f ca="1">IFERROR(__xludf.DUMMYFUNCTION("""COMPUTED_VALUE"""),"NO")</f>
        <v>NO</v>
      </c>
      <c r="E1205" s="33" t="str">
        <f ca="1">IFERROR(__xludf.DUMMYFUNCTION("""COMPUTED_VALUE"""),"Valladolid")</f>
        <v>Valladolid</v>
      </c>
      <c r="F1205" s="57">
        <f ca="1">IFERROR(__xludf.DUMMYFUNCTION("""COMPUTED_VALUE"""),45929)</f>
        <v>45929</v>
      </c>
      <c r="G1205" s="57">
        <f ca="1">IFERROR(__xludf.DUMMYFUNCTION("""COMPUTED_VALUE"""),45838)</f>
        <v>45838</v>
      </c>
      <c r="H1205" s="33" t="str">
        <f ca="1">IFERROR(__xludf.DUMMYFUNCTION("""COMPUTED_VALUE"""),"Valladolid")</f>
        <v>Valladolid</v>
      </c>
      <c r="I1205" s="33" t="str">
        <f ca="1">IFERROR(__xludf.DUMMYFUNCTION("""COMPUTED_VALUE"""),"VLL-417")</f>
        <v>VLL-417</v>
      </c>
      <c r="J1205" s="33" t="str">
        <f ca="1">IFERROR(__xludf.DUMMYFUNCTION("""COMPUTED_VALUE"""),"MARIA DEL MAR LEIVA CENTENO")</f>
        <v>MARIA DEL MAR LEIVA CENTENO</v>
      </c>
      <c r="K1205" s="33">
        <f ca="1">IFERROR(__xludf.DUMMYFUNCTION("""COMPUTED_VALUE"""),2)</f>
        <v>2</v>
      </c>
      <c r="L1205" s="203">
        <f ca="1">IFERROR(__xludf.DUMMYFUNCTION("""COMPUTED_VALUE"""),4431.82)</f>
        <v>4431.82</v>
      </c>
      <c r="M1205" s="33" t="str">
        <f ca="1">IFERROR(__xludf.DUMMYFUNCTION("""COMPUTED_VALUE"""),"03 ORL")</f>
        <v>03 ORL</v>
      </c>
      <c r="N1205" s="33" t="str">
        <f ca="1">IFERROR(__xludf.DUMMYFUNCTION("""COMPUTED_VALUE"""),"06 ORL")</f>
        <v>06 ORL</v>
      </c>
      <c r="O1205" s="33" t="str">
        <f ca="1">IFERROR(__xludf.DUMMYFUNCTION("""COMPUTED_VALUE"""),"Dra, Marina Madrigal Revuelta")</f>
        <v>Dra, Marina Madrigal Revuelta</v>
      </c>
      <c r="P1205" s="33" t="str">
        <f ca="1">IFERROR(__xludf.DUMMYFUNCTION("""COMPUTED_VALUE"""),"Alberto Moreno (Madrid)")</f>
        <v>Alberto Moreno (Madrid)</v>
      </c>
    </row>
    <row r="1206" spans="2:16">
      <c r="B1206" s="33">
        <f ca="1">IFERROR(__xludf.DUMMYFUNCTION("""COMPUTED_VALUE"""),2025)</f>
        <v>2025</v>
      </c>
      <c r="C1206" s="33">
        <f ca="1">IFERROR(__xludf.DUMMYFUNCTION("""COMPUTED_VALUE"""),9)</f>
        <v>9</v>
      </c>
      <c r="D1206" s="33" t="str">
        <f ca="1">IFERROR(__xludf.DUMMYFUNCTION("""COMPUTED_VALUE"""),"NO")</f>
        <v>NO</v>
      </c>
      <c r="E1206" s="33" t="str">
        <f ca="1">IFERROR(__xludf.DUMMYFUNCTION("""COMPUTED_VALUE"""),"Vigo")</f>
        <v>Vigo</v>
      </c>
      <c r="F1206" s="57">
        <f ca="1">IFERROR(__xludf.DUMMYFUNCTION("""COMPUTED_VALUE"""),45929)</f>
        <v>45929</v>
      </c>
      <c r="G1206" s="57">
        <f ca="1">IFERROR(__xludf.DUMMYFUNCTION("""COMPUTED_VALUE"""),45923)</f>
        <v>45923</v>
      </c>
      <c r="H1206" s="33" t="str">
        <f ca="1">IFERROR(__xludf.DUMMYFUNCTION("""COMPUTED_VALUE"""),"Vigo")</f>
        <v>Vigo</v>
      </c>
      <c r="I1206" s="33" t="str">
        <f ca="1">IFERROR(__xludf.DUMMYFUNCTION("""COMPUTED_VALUE"""),"VIG-613")</f>
        <v>VIG-613</v>
      </c>
      <c r="J1206" s="33" t="str">
        <f ca="1">IFERROR(__xludf.DUMMYFUNCTION("""COMPUTED_VALUE"""),"GLORIA RIESCO PRIETO")</f>
        <v>GLORIA RIESCO PRIETO</v>
      </c>
      <c r="K1206" s="33">
        <f ca="1">IFERROR(__xludf.DUMMYFUNCTION("""COMPUTED_VALUE"""),1)</f>
        <v>1</v>
      </c>
      <c r="L1206" s="203">
        <f ca="1">IFERROR(__xludf.DUMMYFUNCTION("""COMPUTED_VALUE"""),1772.73)</f>
        <v>1772.73</v>
      </c>
      <c r="M1206" s="33" t="str">
        <f ca="1">IFERROR(__xludf.DUMMYFUNCTION("""COMPUTED_VALUE"""),"03 ORL")</f>
        <v>03 ORL</v>
      </c>
      <c r="N1206" s="33" t="str">
        <f ca="1">IFERROR(__xludf.DUMMYFUNCTION("""COMPUTED_VALUE"""),"06 ORL")</f>
        <v>06 ORL</v>
      </c>
      <c r="O1206" s="33" t="str">
        <f ca="1">IFERROR(__xludf.DUMMYFUNCTION("""COMPUTED_VALUE"""),"Dra, Estrella Pallas Pallas")</f>
        <v>Dra, Estrella Pallas Pallas</v>
      </c>
      <c r="P1206" s="33" t="str">
        <f ca="1">IFERROR(__xludf.DUMMYFUNCTION("""COMPUTED_VALUE"""),"Roberto Pereira (Galicia)")</f>
        <v>Roberto Pereira (Galicia)</v>
      </c>
    </row>
    <row r="1207" spans="2:16">
      <c r="B1207" s="33">
        <f ca="1">IFERROR(__xludf.DUMMYFUNCTION("""COMPUTED_VALUE"""),2025)</f>
        <v>2025</v>
      </c>
      <c r="C1207" s="33">
        <f ca="1">IFERROR(__xludf.DUMMYFUNCTION("""COMPUTED_VALUE"""),9)</f>
        <v>9</v>
      </c>
      <c r="D1207" s="33" t="str">
        <f ca="1">IFERROR(__xludf.DUMMYFUNCTION("""COMPUTED_VALUE"""),"NO")</f>
        <v>NO</v>
      </c>
      <c r="E1207" s="33" t="str">
        <f ca="1">IFERROR(__xludf.DUMMYFUNCTION("""COMPUTED_VALUE"""),"Badajoz")</f>
        <v>Badajoz</v>
      </c>
      <c r="F1207" s="57">
        <f ca="1">IFERROR(__xludf.DUMMYFUNCTION("""COMPUTED_VALUE"""),45930)</f>
        <v>45930</v>
      </c>
      <c r="G1207" s="57">
        <f ca="1">IFERROR(__xludf.DUMMYFUNCTION("""COMPUTED_VALUE"""),45854)</f>
        <v>45854</v>
      </c>
      <c r="H1207" s="33" t="str">
        <f ca="1">IFERROR(__xludf.DUMMYFUNCTION("""COMPUTED_VALUE"""),"Badajoz")</f>
        <v>Badajoz</v>
      </c>
      <c r="I1207" s="33" t="str">
        <f ca="1">IFERROR(__xludf.DUMMYFUNCTION("""COMPUTED_VALUE"""),"BJZE-2507")</f>
        <v>BJZE-2507</v>
      </c>
      <c r="J1207" s="33" t="str">
        <f ca="1">IFERROR(__xludf.DUMMYFUNCTION("""COMPUTED_VALUE"""),"MARIA LUISA PINILLA VACA")</f>
        <v>MARIA LUISA PINILLA VACA</v>
      </c>
      <c r="K1207" s="33">
        <f ca="1">IFERROR(__xludf.DUMMYFUNCTION("""COMPUTED_VALUE"""),2)</f>
        <v>2</v>
      </c>
      <c r="L1207" s="203">
        <f ca="1">IFERROR(__xludf.DUMMYFUNCTION("""COMPUTED_VALUE"""),4531.82)</f>
        <v>4531.82</v>
      </c>
      <c r="M1207" s="33" t="str">
        <f ca="1">IFERROR(__xludf.DUMMYFUNCTION("""COMPUTED_VALUE"""),"03 ORL")</f>
        <v>03 ORL</v>
      </c>
      <c r="N1207" s="33" t="str">
        <f ca="1">IFERROR(__xludf.DUMMYFUNCTION("""COMPUTED_VALUE"""),"06 ORL")</f>
        <v>06 ORL</v>
      </c>
      <c r="O1207" s="33" t="str">
        <f ca="1">IFERROR(__xludf.DUMMYFUNCTION("""COMPUTED_VALUE"""),"Dr, Tomas Mogollon Cano Cortes")</f>
        <v>Dr, Tomas Mogollon Cano Cortes</v>
      </c>
      <c r="P1207" s="33" t="str">
        <f ca="1">IFERROR(__xludf.DUMMYFUNCTION("""COMPUTED_VALUE"""),"Luis Alberto Rodríguez (Andalucía Y Badajoz)")</f>
        <v>Luis Alberto Rodríguez (Andalucía Y Badajoz)</v>
      </c>
    </row>
    <row r="1208" spans="2:16">
      <c r="B1208" s="33">
        <f ca="1">IFERROR(__xludf.DUMMYFUNCTION("""COMPUTED_VALUE"""),2025)</f>
        <v>2025</v>
      </c>
      <c r="C1208" s="33">
        <f ca="1">IFERROR(__xludf.DUMMYFUNCTION("""COMPUTED_VALUE"""),9)</f>
        <v>9</v>
      </c>
      <c r="D1208" s="33" t="str">
        <f ca="1">IFERROR(__xludf.DUMMYFUNCTION("""COMPUTED_VALUE"""),"NO")</f>
        <v>NO</v>
      </c>
      <c r="E1208" s="33" t="str">
        <f ca="1">IFERROR(__xludf.DUMMYFUNCTION("""COMPUTED_VALUE"""),"Ponferrada")</f>
        <v>Ponferrada</v>
      </c>
      <c r="F1208" s="57">
        <f ca="1">IFERROR(__xludf.DUMMYFUNCTION("""COMPUTED_VALUE"""),45930)</f>
        <v>45930</v>
      </c>
      <c r="G1208" s="57">
        <f ca="1">IFERROR(__xludf.DUMMYFUNCTION("""COMPUTED_VALUE"""),45670)</f>
        <v>45670</v>
      </c>
      <c r="H1208" s="33" t="str">
        <f ca="1">IFERROR(__xludf.DUMMYFUNCTION("""COMPUTED_VALUE"""),"Ponferrada")</f>
        <v>Ponferrada</v>
      </c>
      <c r="I1208" s="33" t="str">
        <f ca="1">IFERROR(__xludf.DUMMYFUNCTION("""COMPUTED_VALUE"""),"PON-856")</f>
        <v>PON-856</v>
      </c>
      <c r="J1208" s="33" t="str">
        <f ca="1">IFERROR(__xludf.DUMMYFUNCTION("""COMPUTED_VALUE"""),"FRANCISCO MUÑOZ MERINO")</f>
        <v>FRANCISCO MUÑOZ MERINO</v>
      </c>
      <c r="K1208" s="33">
        <f ca="1">IFERROR(__xludf.DUMMYFUNCTION("""COMPUTED_VALUE"""),1)</f>
        <v>1</v>
      </c>
      <c r="L1208" s="203">
        <f ca="1">IFERROR(__xludf.DUMMYFUNCTION("""COMPUTED_VALUE"""),1363.64)</f>
        <v>1363.64</v>
      </c>
      <c r="M1208" s="33" t="str">
        <f ca="1">IFERROR(__xludf.DUMMYFUNCTION("""COMPUTED_VALUE"""),"03 ORL")</f>
        <v>03 ORL</v>
      </c>
      <c r="N1208" s="33" t="str">
        <f ca="1">IFERROR(__xludf.DUMMYFUNCTION("""COMPUTED_VALUE"""),"06 ORL")</f>
        <v>06 ORL</v>
      </c>
      <c r="O1208" s="33" t="str">
        <f ca="1">IFERROR(__xludf.DUMMYFUNCTION("""COMPUTED_VALUE"""),"Dra, Mónica Granda Rosales")</f>
        <v>Dra, Mónica Granda Rosales</v>
      </c>
      <c r="P1208" s="33" t="str">
        <f ca="1">IFERROR(__xludf.DUMMYFUNCTION("""COMPUTED_VALUE"""),"Alberto Moreno (Madrid)")</f>
        <v>Alberto Moreno (Madrid)</v>
      </c>
    </row>
    <row r="1209" spans="2:16">
      <c r="B1209" s="33">
        <f ca="1">IFERROR(__xludf.DUMMYFUNCTION("""COMPUTED_VALUE"""),2025)</f>
        <v>2025</v>
      </c>
      <c r="C1209" s="33">
        <f ca="1">IFERROR(__xludf.DUMMYFUNCTION("""COMPUTED_VALUE"""),9)</f>
        <v>9</v>
      </c>
      <c r="D1209" s="33" t="str">
        <f ca="1">IFERROR(__xludf.DUMMYFUNCTION("""COMPUTED_VALUE"""),"NO")</f>
        <v>NO</v>
      </c>
      <c r="E1209" s="33" t="str">
        <f ca="1">IFERROR(__xludf.DUMMYFUNCTION("""COMPUTED_VALUE"""),"Vigo")</f>
        <v>Vigo</v>
      </c>
      <c r="F1209" s="57">
        <f ca="1">IFERROR(__xludf.DUMMYFUNCTION("""COMPUTED_VALUE"""),45930)</f>
        <v>45930</v>
      </c>
      <c r="G1209" s="57">
        <f ca="1">IFERROR(__xludf.DUMMYFUNCTION("""COMPUTED_VALUE"""),45895)</f>
        <v>45895</v>
      </c>
      <c r="H1209" s="33" t="str">
        <f ca="1">IFERROR(__xludf.DUMMYFUNCTION("""COMPUTED_VALUE"""),"Vigo")</f>
        <v>Vigo</v>
      </c>
      <c r="I1209" s="33" t="str">
        <f ca="1">IFERROR(__xludf.DUMMYFUNCTION("""COMPUTED_VALUE"""),"VIG-604")</f>
        <v>VIG-604</v>
      </c>
      <c r="J1209" s="33" t="str">
        <f ca="1">IFERROR(__xludf.DUMMYFUNCTION("""COMPUTED_VALUE"""),"PILAR JIMENEZ COSTA")</f>
        <v>PILAR JIMENEZ COSTA</v>
      </c>
      <c r="K1209" s="33">
        <f ca="1">IFERROR(__xludf.DUMMYFUNCTION("""COMPUTED_VALUE"""),2)</f>
        <v>2</v>
      </c>
      <c r="L1209" s="203">
        <f ca="1">IFERROR(__xludf.DUMMYFUNCTION("""COMPUTED_VALUE"""),3000)</f>
        <v>3000</v>
      </c>
      <c r="M1209" s="33" t="str">
        <f ca="1">IFERROR(__xludf.DUMMYFUNCTION("""COMPUTED_VALUE"""),"03 ORL")</f>
        <v>03 ORL</v>
      </c>
      <c r="N1209" s="33" t="str">
        <f ca="1">IFERROR(__xludf.DUMMYFUNCTION("""COMPUTED_VALUE"""),"06 ORL")</f>
        <v>06 ORL</v>
      </c>
      <c r="O1209" s="33" t="str">
        <f ca="1">IFERROR(__xludf.DUMMYFUNCTION("""COMPUTED_VALUE"""),"Dra, Pilar Castro Ruiz")</f>
        <v>Dra, Pilar Castro Ruiz</v>
      </c>
      <c r="P1209" s="33" t="str">
        <f ca="1">IFERROR(__xludf.DUMMYFUNCTION("""COMPUTED_VALUE"""),"Roberto Pereira (Galicia)")</f>
        <v>Roberto Pereira (Galicia)</v>
      </c>
    </row>
    <row r="1210" spans="2:16">
      <c r="B1210" s="33">
        <f ca="1">IFERROR(__xludf.DUMMYFUNCTION("""COMPUTED_VALUE"""),2025)</f>
        <v>2025</v>
      </c>
      <c r="C1210" s="33">
        <f ca="1">IFERROR(__xludf.DUMMYFUNCTION("""COMPUTED_VALUE"""),9)</f>
        <v>9</v>
      </c>
      <c r="D1210" s="33" t="str">
        <f ca="1">IFERROR(__xludf.DUMMYFUNCTION("""COMPUTED_VALUE"""),"NO")</f>
        <v>NO</v>
      </c>
      <c r="E1210" s="33" t="str">
        <f ca="1">IFERROR(__xludf.DUMMYFUNCTION("""COMPUTED_VALUE"""),"Boiro")</f>
        <v>Boiro</v>
      </c>
      <c r="F1210" s="57">
        <f ca="1">IFERROR(__xludf.DUMMYFUNCTION("""COMPUTED_VALUE"""),45925)</f>
        <v>45925</v>
      </c>
      <c r="G1210" s="57">
        <f ca="1">IFERROR(__xludf.DUMMYFUNCTION("""COMPUTED_VALUE"""),45903)</f>
        <v>45903</v>
      </c>
      <c r="H1210" s="33" t="str">
        <f ca="1">IFERROR(__xludf.DUMMYFUNCTION("""COMPUTED_VALUE"""),"Boiro")</f>
        <v>Boiro</v>
      </c>
      <c r="I1210" s="33" t="str">
        <f ca="1">IFERROR(__xludf.DUMMYFUNCTION("""COMPUTED_VALUE"""),"BOI-989")</f>
        <v>BOI-989</v>
      </c>
      <c r="J1210" s="33" t="str">
        <f ca="1">IFERROR(__xludf.DUMMYFUNCTION("""COMPUTED_VALUE"""),"CARMEN DUYOS RIVERA")</f>
        <v>CARMEN DUYOS RIVERA</v>
      </c>
      <c r="K1210" s="33">
        <f ca="1">IFERROR(__xludf.DUMMYFUNCTION("""COMPUTED_VALUE"""),2)</f>
        <v>2</v>
      </c>
      <c r="L1210" s="203">
        <f ca="1">IFERROR(__xludf.DUMMYFUNCTION("""COMPUTED_VALUE"""),3000)</f>
        <v>3000</v>
      </c>
      <c r="M1210" s="33" t="str">
        <f ca="1">IFERROR(__xludf.DUMMYFUNCTION("""COMPUTED_VALUE"""),"03 ORL")</f>
        <v>03 ORL</v>
      </c>
      <c r="N1210" s="33" t="str">
        <f ca="1">IFERROR(__xludf.DUMMYFUNCTION("""COMPUTED_VALUE"""),"06 ORL")</f>
        <v>06 ORL</v>
      </c>
      <c r="O1210" s="33" t="str">
        <f ca="1">IFERROR(__xludf.DUMMYFUNCTION("""COMPUTED_VALUE"""),"Dr, Carlos Vidal Redondo")</f>
        <v>Dr, Carlos Vidal Redondo</v>
      </c>
      <c r="P1210" s="33" t="str">
        <f ca="1">IFERROR(__xludf.DUMMYFUNCTION("""COMPUTED_VALUE"""),"Roberto Pereira (Galicia)")</f>
        <v>Roberto Pereira (Galicia)</v>
      </c>
    </row>
    <row r="1211" spans="2:16">
      <c r="B1211" s="33">
        <f ca="1">IFERROR(__xludf.DUMMYFUNCTION("""COMPUTED_VALUE"""),2025)</f>
        <v>2025</v>
      </c>
      <c r="C1211" s="33">
        <f ca="1">IFERROR(__xludf.DUMMYFUNCTION("""COMPUTED_VALUE"""),10)</f>
        <v>10</v>
      </c>
      <c r="D1211" s="33" t="str">
        <f ca="1">IFERROR(__xludf.DUMMYFUNCTION("""COMPUTED_VALUE"""),"NO")</f>
        <v>NO</v>
      </c>
      <c r="E1211" s="33" t="str">
        <f ca="1">IFERROR(__xludf.DUMMYFUNCTION("""COMPUTED_VALUE"""),"Zaragoza- León XIII")</f>
        <v>Zaragoza- León XIII</v>
      </c>
      <c r="F1211" s="57">
        <f ca="1">IFERROR(__xludf.DUMMYFUNCTION("""COMPUTED_VALUE"""),45931)</f>
        <v>45931</v>
      </c>
      <c r="G1211" s="57">
        <f ca="1">IFERROR(__xludf.DUMMYFUNCTION("""COMPUTED_VALUE"""),45904)</f>
        <v>45904</v>
      </c>
      <c r="H1211" s="33" t="str">
        <f ca="1">IFERROR(__xludf.DUMMYFUNCTION("""COMPUTED_VALUE"""),"Zaragoza")</f>
        <v>Zaragoza</v>
      </c>
      <c r="I1211" s="33" t="str">
        <f ca="1">IFERROR(__xludf.DUMMYFUNCTION("""COMPUTED_VALUE"""),"C202598165521270")</f>
        <v>C202598165521270</v>
      </c>
      <c r="J1211" s="33" t="str">
        <f ca="1">IFERROR(__xludf.DUMMYFUNCTION("""COMPUTED_VALUE"""),"CARMEN PORTA TOVAR")</f>
        <v>CARMEN PORTA TOVAR</v>
      </c>
      <c r="K1211" s="33">
        <f ca="1">IFERROR(__xludf.DUMMYFUNCTION("""COMPUTED_VALUE"""),2)</f>
        <v>2</v>
      </c>
      <c r="L1211" s="203">
        <f ca="1">IFERROR(__xludf.DUMMYFUNCTION("""COMPUTED_VALUE"""),3627.27)</f>
        <v>3627.27</v>
      </c>
      <c r="M1211" s="33" t="str">
        <f ca="1">IFERROR(__xludf.DUMMYFUNCTION("""COMPUTED_VALUE"""),"03 ORL")</f>
        <v>03 ORL</v>
      </c>
      <c r="N1211" s="33" t="str">
        <f ca="1">IFERROR(__xludf.DUMMYFUNCTION("""COMPUTED_VALUE"""),"06 ORL")</f>
        <v>06 ORL</v>
      </c>
      <c r="O1211" s="33" t="str">
        <f ca="1">IFERROR(__xludf.DUMMYFUNCTION("""COMPUTED_VALUE"""),"Dr, José Manuel García Solans-Esteras")</f>
        <v>Dr, José Manuel García Solans-Esteras</v>
      </c>
      <c r="P1211" s="33" t="str">
        <f ca="1">IFERROR(__xludf.DUMMYFUNCTION("""COMPUTED_VALUE"""),"Ignacio Berdejo (Zaragoza)")</f>
        <v>Ignacio Berdejo (Zaragoza)</v>
      </c>
    </row>
    <row r="1212" spans="2:16">
      <c r="B1212" s="33">
        <f ca="1">IFERROR(__xludf.DUMMYFUNCTION("""COMPUTED_VALUE"""),2025)</f>
        <v>2025</v>
      </c>
      <c r="C1212" s="33">
        <f ca="1">IFERROR(__xludf.DUMMYFUNCTION("""COMPUTED_VALUE"""),10)</f>
        <v>10</v>
      </c>
      <c r="D1212" s="33" t="str">
        <f ca="1">IFERROR(__xludf.DUMMYFUNCTION("""COMPUTED_VALUE"""),"NO")</f>
        <v>NO</v>
      </c>
      <c r="E1212" s="33" t="str">
        <f ca="1">IFERROR(__xludf.DUMMYFUNCTION("""COMPUTED_VALUE"""),"Madrid- La Oca")</f>
        <v>Madrid- La Oca</v>
      </c>
      <c r="F1212" s="57">
        <f ca="1">IFERROR(__xludf.DUMMYFUNCTION("""COMPUTED_VALUE"""),45931)</f>
        <v>45931</v>
      </c>
      <c r="G1212" s="57">
        <f ca="1">IFERROR(__xludf.DUMMYFUNCTION("""COMPUTED_VALUE"""),45911)</f>
        <v>45911</v>
      </c>
      <c r="H1212" s="33" t="str">
        <f ca="1">IFERROR(__xludf.DUMMYFUNCTION("""COMPUTED_VALUE"""),"La Oca")</f>
        <v>La Oca</v>
      </c>
      <c r="I1212" s="33" t="str">
        <f ca="1">IFERROR(__xludf.DUMMYFUNCTION("""COMPUTED_VALUE"""),"C2025916155645827")</f>
        <v>C2025916155645827</v>
      </c>
      <c r="J1212" s="33" t="str">
        <f ca="1">IFERROR(__xludf.DUMMYFUNCTION("""COMPUTED_VALUE"""),"MARIA DE LOS REMEDIOS CASTRO MUINELO")</f>
        <v>MARIA DE LOS REMEDIOS CASTRO MUINELO</v>
      </c>
      <c r="K1212" s="33">
        <f ca="1">IFERROR(__xludf.DUMMYFUNCTION("""COMPUTED_VALUE"""),1)</f>
        <v>1</v>
      </c>
      <c r="L1212" s="203">
        <f ca="1">IFERROR(__xludf.DUMMYFUNCTION("""COMPUTED_VALUE"""),1990.91)</f>
        <v>1990.91</v>
      </c>
      <c r="M1212" s="33" t="str">
        <f ca="1">IFERROR(__xludf.DUMMYFUNCTION("""COMPUTED_VALUE"""),"03 ORL")</f>
        <v>03 ORL</v>
      </c>
      <c r="N1212" s="33" t="str">
        <f ca="1">IFERROR(__xludf.DUMMYFUNCTION("""COMPUTED_VALUE"""),"06 ORL")</f>
        <v>06 ORL</v>
      </c>
      <c r="O1212" s="33" t="str">
        <f ca="1">IFERROR(__xludf.DUMMYFUNCTION("""COMPUTED_VALUE"""),"Dr, Félix Rodríguez Paz")</f>
        <v>Dr, Félix Rodríguez Paz</v>
      </c>
      <c r="P1212" s="33" t="str">
        <f ca="1">IFERROR(__xludf.DUMMYFUNCTION("""COMPUTED_VALUE"""),"Maika Blázquez (Madrid)")</f>
        <v>Maika Blázquez (Madrid)</v>
      </c>
    </row>
    <row r="1213" spans="2:16">
      <c r="B1213" s="33">
        <f ca="1">IFERROR(__xludf.DUMMYFUNCTION("""COMPUTED_VALUE"""),2025)</f>
        <v>2025</v>
      </c>
      <c r="C1213" s="33">
        <f ca="1">IFERROR(__xludf.DUMMYFUNCTION("""COMPUTED_VALUE"""),10)</f>
        <v>10</v>
      </c>
      <c r="D1213" s="33" t="str">
        <f ca="1">IFERROR(__xludf.DUMMYFUNCTION("""COMPUTED_VALUE"""),"NO")</f>
        <v>NO</v>
      </c>
      <c r="E1213" s="33" t="str">
        <f ca="1">IFERROR(__xludf.DUMMYFUNCTION("""COMPUTED_VALUE"""),"Ourense")</f>
        <v>Ourense</v>
      </c>
      <c r="F1213" s="57">
        <f ca="1">IFERROR(__xludf.DUMMYFUNCTION("""COMPUTED_VALUE"""),45931)</f>
        <v>45931</v>
      </c>
      <c r="G1213" s="57">
        <f ca="1">IFERROR(__xludf.DUMMYFUNCTION("""COMPUTED_VALUE"""),45909)</f>
        <v>45909</v>
      </c>
      <c r="H1213" s="33" t="str">
        <f ca="1">IFERROR(__xludf.DUMMYFUNCTION("""COMPUTED_VALUE"""),"Orense")</f>
        <v>Orense</v>
      </c>
      <c r="I1213" s="33" t="str">
        <f ca="1">IFERROR(__xludf.DUMMYFUNCTION("""COMPUTED_VALUE"""),"C2025911103935364")</f>
        <v>C2025911103935364</v>
      </c>
      <c r="J1213" s="33" t="str">
        <f ca="1">IFERROR(__xludf.DUMMYFUNCTION("""COMPUTED_VALUE"""),"MARIA AURORA CAMBA LOPEZ")</f>
        <v>MARIA AURORA CAMBA LOPEZ</v>
      </c>
      <c r="K1213" s="33">
        <f ca="1">IFERROR(__xludf.DUMMYFUNCTION("""COMPUTED_VALUE"""),2)</f>
        <v>2</v>
      </c>
      <c r="L1213" s="203">
        <f ca="1">IFERROR(__xludf.DUMMYFUNCTION("""COMPUTED_VALUE"""),2718.18)</f>
        <v>2718.18</v>
      </c>
      <c r="M1213" s="33" t="str">
        <f ca="1">IFERROR(__xludf.DUMMYFUNCTION("""COMPUTED_VALUE"""),"03 ORL")</f>
        <v>03 ORL</v>
      </c>
      <c r="N1213" s="33" t="str">
        <f ca="1">IFERROR(__xludf.DUMMYFUNCTION("""COMPUTED_VALUE"""),"06 ORL")</f>
        <v>06 ORL</v>
      </c>
      <c r="O1213" s="33" t="str">
        <f ca="1">IFERROR(__xludf.DUMMYFUNCTION("""COMPUTED_VALUE"""),"Dra, María Rey Marcos")</f>
        <v>Dra, María Rey Marcos</v>
      </c>
      <c r="P1213" s="33" t="str">
        <f ca="1">IFERROR(__xludf.DUMMYFUNCTION("""COMPUTED_VALUE"""),"Roberto Pereira (Galicia)")</f>
        <v>Roberto Pereira (Galicia)</v>
      </c>
    </row>
    <row r="1214" spans="2:16">
      <c r="B1214" s="33">
        <f ca="1">IFERROR(__xludf.DUMMYFUNCTION("""COMPUTED_VALUE"""),2025)</f>
        <v>2025</v>
      </c>
      <c r="C1214" s="33">
        <f ca="1">IFERROR(__xludf.DUMMYFUNCTION("""COMPUTED_VALUE"""),10)</f>
        <v>10</v>
      </c>
      <c r="D1214" s="33" t="str">
        <f ca="1">IFERROR(__xludf.DUMMYFUNCTION("""COMPUTED_VALUE"""),"NO")</f>
        <v>NO</v>
      </c>
      <c r="E1214" s="33" t="str">
        <f ca="1">IFERROR(__xludf.DUMMYFUNCTION("""COMPUTED_VALUE"""),"Madrid- La Oca")</f>
        <v>Madrid- La Oca</v>
      </c>
      <c r="F1214" s="57">
        <f ca="1">IFERROR(__xludf.DUMMYFUNCTION("""COMPUTED_VALUE"""),45931)</f>
        <v>45931</v>
      </c>
      <c r="G1214" s="57">
        <f ca="1">IFERROR(__xludf.DUMMYFUNCTION("""COMPUTED_VALUE"""),45866)</f>
        <v>45866</v>
      </c>
      <c r="H1214" s="33" t="str">
        <f ca="1">IFERROR(__xludf.DUMMYFUNCTION("""COMPUTED_VALUE"""),"La Oca")</f>
        <v>La Oca</v>
      </c>
      <c r="I1214" s="33" t="str">
        <f ca="1">IFERROR(__xludf.DUMMYFUNCTION("""COMPUTED_VALUE"""),"C202581111719363")</f>
        <v>C202581111719363</v>
      </c>
      <c r="J1214" s="33" t="str">
        <f ca="1">IFERROR(__xludf.DUMMYFUNCTION("""COMPUTED_VALUE"""),"JUANA VICTORIA GAMARRA RICARDO")</f>
        <v>JUANA VICTORIA GAMARRA RICARDO</v>
      </c>
      <c r="K1214" s="33">
        <f ca="1">IFERROR(__xludf.DUMMYFUNCTION("""COMPUTED_VALUE"""),2)</f>
        <v>2</v>
      </c>
      <c r="L1214" s="203">
        <f ca="1">IFERROR(__xludf.DUMMYFUNCTION("""COMPUTED_VALUE"""),2718.18)</f>
        <v>2718.18</v>
      </c>
      <c r="M1214" s="33" t="str">
        <f ca="1">IFERROR(__xludf.DUMMYFUNCTION("""COMPUTED_VALUE"""),"01 MARKETING ON LINE")</f>
        <v>01 MARKETING ON LINE</v>
      </c>
      <c r="N1214" s="33" t="str">
        <f ca="1">IFERROR(__xludf.DUMMYFUNCTION("""COMPUTED_VALUE"""),"04 AUDIFONO,ES")</f>
        <v>04 AUDIFONO,ES</v>
      </c>
      <c r="O1214" s="33" t="str">
        <f ca="1">IFERROR(__xludf.DUMMYFUNCTION("""COMPUTED_VALUE"""),"Dr, Pablo Sarrió Solera")</f>
        <v>Dr, Pablo Sarrió Solera</v>
      </c>
      <c r="P1214" s="33" t="str">
        <f ca="1">IFERROR(__xludf.DUMMYFUNCTION("""COMPUTED_VALUE"""),"Lisandro Russian (Madrid, Cáceres, Toledo, Talavera Y Logroño)")</f>
        <v>Lisandro Russian (Madrid, Cáceres, Toledo, Talavera Y Logroño)</v>
      </c>
    </row>
    <row r="1215" spans="2:16">
      <c r="B1215" s="33">
        <f ca="1">IFERROR(__xludf.DUMMYFUNCTION("""COMPUTED_VALUE"""),2025)</f>
        <v>2025</v>
      </c>
      <c r="C1215" s="33">
        <f ca="1">IFERROR(__xludf.DUMMYFUNCTION("""COMPUTED_VALUE"""),10)</f>
        <v>10</v>
      </c>
      <c r="D1215" s="33" t="str">
        <f ca="1">IFERROR(__xludf.DUMMYFUNCTION("""COMPUTED_VALUE"""),"NO")</f>
        <v>NO</v>
      </c>
      <c r="E1215" s="33" t="str">
        <f ca="1">IFERROR(__xludf.DUMMYFUNCTION("""COMPUTED_VALUE"""),"Toledo")</f>
        <v>Toledo</v>
      </c>
      <c r="F1215" s="57">
        <f ca="1">IFERROR(__xludf.DUMMYFUNCTION("""COMPUTED_VALUE"""),45932)</f>
        <v>45932</v>
      </c>
      <c r="G1215" s="57">
        <f ca="1">IFERROR(__xludf.DUMMYFUNCTION("""COMPUTED_VALUE"""),45894)</f>
        <v>45894</v>
      </c>
      <c r="H1215" s="33" t="str">
        <f ca="1">IFERROR(__xludf.DUMMYFUNCTION("""COMPUTED_VALUE"""),"Toledo")</f>
        <v>Toledo</v>
      </c>
      <c r="I1215" s="33" t="str">
        <f ca="1">IFERROR(__xludf.DUMMYFUNCTION("""COMPUTED_VALUE"""),"C202582995946616")</f>
        <v>C202582995946616</v>
      </c>
      <c r="J1215" s="33" t="str">
        <f ca="1">IFERROR(__xludf.DUMMYFUNCTION("""COMPUTED_VALUE"""),"Felicisima Sanchez Sanchez")</f>
        <v>Felicisima Sanchez Sanchez</v>
      </c>
      <c r="K1215" s="33">
        <f ca="1">IFERROR(__xludf.DUMMYFUNCTION("""COMPUTED_VALUE"""),2)</f>
        <v>2</v>
      </c>
      <c r="L1215" s="203">
        <f ca="1">IFERROR(__xludf.DUMMYFUNCTION("""COMPUTED_VALUE"""),2718.18)</f>
        <v>2718.18</v>
      </c>
      <c r="M1215" s="33" t="str">
        <f ca="1">IFERROR(__xludf.DUMMYFUNCTION("""COMPUTED_VALUE"""),"03 ORL")</f>
        <v>03 ORL</v>
      </c>
      <c r="N1215" s="33" t="str">
        <f ca="1">IFERROR(__xludf.DUMMYFUNCTION("""COMPUTED_VALUE"""),"06 ORL")</f>
        <v>06 ORL</v>
      </c>
      <c r="O1215" s="33" t="str">
        <f ca="1">IFERROR(__xludf.DUMMYFUNCTION("""COMPUTED_VALUE"""),"Dra, Mónica Rueda Vega")</f>
        <v>Dra, Mónica Rueda Vega</v>
      </c>
      <c r="P1215" s="33" t="str">
        <f ca="1">IFERROR(__xludf.DUMMYFUNCTION("""COMPUTED_VALUE"""),"Lisandro Russian (Madrid, Cáceres, Toledo, Talavera Y Logroño)")</f>
        <v>Lisandro Russian (Madrid, Cáceres, Toledo, Talavera Y Logroño)</v>
      </c>
    </row>
    <row r="1216" spans="2:16">
      <c r="B1216" s="33">
        <f ca="1">IFERROR(__xludf.DUMMYFUNCTION("""COMPUTED_VALUE"""),2025)</f>
        <v>2025</v>
      </c>
      <c r="C1216" s="33">
        <f ca="1">IFERROR(__xludf.DUMMYFUNCTION("""COMPUTED_VALUE"""),10)</f>
        <v>10</v>
      </c>
      <c r="D1216" s="33" t="str">
        <f ca="1">IFERROR(__xludf.DUMMYFUNCTION("""COMPUTED_VALUE"""),"NO")</f>
        <v>NO</v>
      </c>
      <c r="E1216" s="33" t="str">
        <f ca="1">IFERROR(__xludf.DUMMYFUNCTION("""COMPUTED_VALUE"""),"Madrid- Juan Bravo")</f>
        <v>Madrid- Juan Bravo</v>
      </c>
      <c r="F1216" s="57">
        <f ca="1">IFERROR(__xludf.DUMMYFUNCTION("""COMPUTED_VALUE"""),45932)</f>
        <v>45932</v>
      </c>
      <c r="G1216" s="57">
        <f ca="1">IFERROR(__xludf.DUMMYFUNCTION("""COMPUTED_VALUE"""),45645)</f>
        <v>45645</v>
      </c>
      <c r="H1216" s="33" t="str">
        <f ca="1">IFERROR(__xludf.DUMMYFUNCTION("""COMPUTED_VALUE"""),"Juan Bravo")</f>
        <v>Juan Bravo</v>
      </c>
      <c r="I1216" s="33" t="str">
        <f ca="1">IFERROR(__xludf.DUMMYFUNCTION("""COMPUTED_VALUE"""),"C2024122616017104")</f>
        <v>C2024122616017104</v>
      </c>
      <c r="J1216" s="33" t="str">
        <f ca="1">IFERROR(__xludf.DUMMYFUNCTION("""COMPUTED_VALUE"""),"MARIA ISABEL URCELAY DEL POZO")</f>
        <v>MARIA ISABEL URCELAY DEL POZO</v>
      </c>
      <c r="K1216" s="33">
        <f ca="1">IFERROR(__xludf.DUMMYFUNCTION("""COMPUTED_VALUE"""),1)</f>
        <v>1</v>
      </c>
      <c r="L1216" s="203">
        <f ca="1">IFERROR(__xludf.DUMMYFUNCTION("""COMPUTED_VALUE"""),2162.73)</f>
        <v>2162.73</v>
      </c>
      <c r="M1216" s="33" t="str">
        <f ca="1">IFERROR(__xludf.DUMMYFUNCTION("""COMPUTED_VALUE"""),"03 ORL")</f>
        <v>03 ORL</v>
      </c>
      <c r="N1216" s="33" t="str">
        <f ca="1">IFERROR(__xludf.DUMMYFUNCTION("""COMPUTED_VALUE"""),"06 ORL")</f>
        <v>06 ORL</v>
      </c>
      <c r="O1216" s="33" t="str">
        <f ca="1">IFERROR(__xludf.DUMMYFUNCTION("""COMPUTED_VALUE"""),"Dr, Joaquín Alacio Casero")</f>
        <v>Dr, Joaquín Alacio Casero</v>
      </c>
      <c r="P1216" s="33" t="str">
        <f ca="1">IFERROR(__xludf.DUMMYFUNCTION("""COMPUTED_VALUE"""),"Maika Blázquez (Madrid)")</f>
        <v>Maika Blázquez (Madrid)</v>
      </c>
    </row>
    <row r="1217" spans="2:16">
      <c r="B1217" s="33">
        <f ca="1">IFERROR(__xludf.DUMMYFUNCTION("""COMPUTED_VALUE"""),2025)</f>
        <v>2025</v>
      </c>
      <c r="C1217" s="33">
        <f ca="1">IFERROR(__xludf.DUMMYFUNCTION("""COMPUTED_VALUE"""),10)</f>
        <v>10</v>
      </c>
      <c r="D1217" s="33" t="str">
        <f ca="1">IFERROR(__xludf.DUMMYFUNCTION("""COMPUTED_VALUE"""),"NO")</f>
        <v>NO</v>
      </c>
      <c r="E1217" s="33" t="str">
        <f ca="1">IFERROR(__xludf.DUMMYFUNCTION("""COMPUTED_VALUE"""),"Sevilla- Montoto")</f>
        <v>Sevilla- Montoto</v>
      </c>
      <c r="F1217" s="57">
        <f ca="1">IFERROR(__xludf.DUMMYFUNCTION("""COMPUTED_VALUE"""),45932)</f>
        <v>45932</v>
      </c>
      <c r="G1217" s="57">
        <f ca="1">IFERROR(__xludf.DUMMYFUNCTION("""COMPUTED_VALUE"""),45910)</f>
        <v>45910</v>
      </c>
      <c r="H1217" s="33" t="str">
        <f ca="1">IFERROR(__xludf.DUMMYFUNCTION("""COMPUTED_VALUE"""),"Montoto")</f>
        <v>Montoto</v>
      </c>
      <c r="I1217" s="33" t="str">
        <f ca="1">IFERROR(__xludf.DUMMYFUNCTION("""COMPUTED_VALUE"""),"C2025915122921595")</f>
        <v>C2025915122921595</v>
      </c>
      <c r="J1217" s="33" t="str">
        <f ca="1">IFERROR(__xludf.DUMMYFUNCTION("""COMPUTED_VALUE"""),"DOLORES MARTINEZ GOMEZ")</f>
        <v>DOLORES MARTINEZ GOMEZ</v>
      </c>
      <c r="K1217" s="33">
        <f ca="1">IFERROR(__xludf.DUMMYFUNCTION("""COMPUTED_VALUE"""),2)</f>
        <v>2</v>
      </c>
      <c r="L1217" s="203">
        <f ca="1">IFERROR(__xludf.DUMMYFUNCTION("""COMPUTED_VALUE"""),4136.36)</f>
        <v>4136.3599999999997</v>
      </c>
      <c r="M1217" s="33" t="str">
        <f ca="1">IFERROR(__xludf.DUMMYFUNCTION("""COMPUTED_VALUE"""),"03 ORL")</f>
        <v>03 ORL</v>
      </c>
      <c r="N1217" s="33" t="str">
        <f ca="1">IFERROR(__xludf.DUMMYFUNCTION("""COMPUTED_VALUE"""),"06 ORL")</f>
        <v>06 ORL</v>
      </c>
      <c r="O1217" s="33" t="str">
        <f ca="1">IFERROR(__xludf.DUMMYFUNCTION("""COMPUTED_VALUE"""),"Dr, Rafael Ruiz Fito")</f>
        <v>Dr, Rafael Ruiz Fito</v>
      </c>
      <c r="P1217" s="33" t="str">
        <f ca="1">IFERROR(__xludf.DUMMYFUNCTION("""COMPUTED_VALUE"""),"Luis Alberto Rodríguez (Andalucía y Badajoz)")</f>
        <v>Luis Alberto Rodríguez (Andalucía y Badajoz)</v>
      </c>
    </row>
    <row r="1218" spans="2:16">
      <c r="B1218" s="33">
        <f ca="1">IFERROR(__xludf.DUMMYFUNCTION("""COMPUTED_VALUE"""),2025)</f>
        <v>2025</v>
      </c>
      <c r="C1218" s="33">
        <f ca="1">IFERROR(__xludf.DUMMYFUNCTION("""COMPUTED_VALUE"""),10)</f>
        <v>10</v>
      </c>
      <c r="D1218" s="33" t="str">
        <f ca="1">IFERROR(__xludf.DUMMYFUNCTION("""COMPUTED_VALUE"""),"NO")</f>
        <v>NO</v>
      </c>
      <c r="E1218" s="33" t="str">
        <f ca="1">IFERROR(__xludf.DUMMYFUNCTION("""COMPUTED_VALUE"""),"Toledo")</f>
        <v>Toledo</v>
      </c>
      <c r="F1218" s="57">
        <f ca="1">IFERROR(__xludf.DUMMYFUNCTION("""COMPUTED_VALUE"""),45933)</f>
        <v>45933</v>
      </c>
      <c r="G1218" s="57">
        <f ca="1">IFERROR(__xludf.DUMMYFUNCTION("""COMPUTED_VALUE"""),45898)</f>
        <v>45898</v>
      </c>
      <c r="H1218" s="33" t="str">
        <f ca="1">IFERROR(__xludf.DUMMYFUNCTION("""COMPUTED_VALUE"""),"Toledo")</f>
        <v>Toledo</v>
      </c>
      <c r="I1218" s="33" t="str">
        <f ca="1">IFERROR(__xludf.DUMMYFUNCTION("""COMPUTED_VALUE"""),"C202582910625215")</f>
        <v>C202582910625215</v>
      </c>
      <c r="J1218" s="33" t="str">
        <f ca="1">IFERROR(__xludf.DUMMYFUNCTION("""COMPUTED_VALUE"""),"DOLORES MARTÍN MARTÍN")</f>
        <v>DOLORES MARTÍN MARTÍN</v>
      </c>
      <c r="K1218" s="33">
        <f ca="1">IFERROR(__xludf.DUMMYFUNCTION("""COMPUTED_VALUE"""),2)</f>
        <v>2</v>
      </c>
      <c r="L1218" s="203">
        <f ca="1">IFERROR(__xludf.DUMMYFUNCTION("""COMPUTED_VALUE"""),2718.18)</f>
        <v>2718.18</v>
      </c>
      <c r="M1218" s="33" t="str">
        <f ca="1">IFERROR(__xludf.DUMMYFUNCTION("""COMPUTED_VALUE"""),"03 ORL")</f>
        <v>03 ORL</v>
      </c>
      <c r="N1218" s="33" t="str">
        <f ca="1">IFERROR(__xludf.DUMMYFUNCTION("""COMPUTED_VALUE"""),"06 ORL")</f>
        <v>06 ORL</v>
      </c>
      <c r="O1218" s="33" t="str">
        <f ca="1">IFERROR(__xludf.DUMMYFUNCTION("""COMPUTED_VALUE"""),"Dra, Eva Ruiz de Gauna")</f>
        <v>Dra, Eva Ruiz de Gauna</v>
      </c>
      <c r="P1218" s="33" t="str">
        <f ca="1">IFERROR(__xludf.DUMMYFUNCTION("""COMPUTED_VALUE"""),"Lisandro Russian (Madrid, Cáceres, Toledo, Talavera Y Logroño)")</f>
        <v>Lisandro Russian (Madrid, Cáceres, Toledo, Talavera Y Logroño)</v>
      </c>
    </row>
    <row r="1219" spans="2:16">
      <c r="B1219" s="33">
        <f ca="1">IFERROR(__xludf.DUMMYFUNCTION("""COMPUTED_VALUE"""),2025)</f>
        <v>2025</v>
      </c>
      <c r="C1219" s="33">
        <f ca="1">IFERROR(__xludf.DUMMYFUNCTION("""COMPUTED_VALUE"""),10)</f>
        <v>10</v>
      </c>
      <c r="D1219" s="33" t="str">
        <f ca="1">IFERROR(__xludf.DUMMYFUNCTION("""COMPUTED_VALUE"""),"NO")</f>
        <v>NO</v>
      </c>
      <c r="E1219" s="33" t="str">
        <f ca="1">IFERROR(__xludf.DUMMYFUNCTION("""COMPUTED_VALUE"""),"Alicante")</f>
        <v>Alicante</v>
      </c>
      <c r="F1219" s="57">
        <f ca="1">IFERROR(__xludf.DUMMYFUNCTION("""COMPUTED_VALUE"""),45933)</f>
        <v>45933</v>
      </c>
      <c r="G1219" s="57">
        <f ca="1">IFERROR(__xludf.DUMMYFUNCTION("""COMPUTED_VALUE"""),45889)</f>
        <v>45889</v>
      </c>
      <c r="H1219" s="33" t="str">
        <f ca="1">IFERROR(__xludf.DUMMYFUNCTION("""COMPUTED_VALUE"""),"Alicante")</f>
        <v>Alicante</v>
      </c>
      <c r="I1219" s="33" t="str">
        <f ca="1">IFERROR(__xludf.DUMMYFUNCTION("""COMPUTED_VALUE"""),"C202582910419307")</f>
        <v>C202582910419307</v>
      </c>
      <c r="J1219" s="33" t="str">
        <f ca="1">IFERROR(__xludf.DUMMYFUNCTION("""COMPUTED_VALUE"""),"MARIA RIANSARES GONZALEZ MARTINEZ")</f>
        <v>MARIA RIANSARES GONZALEZ MARTINEZ</v>
      </c>
      <c r="K1219" s="33">
        <f ca="1">IFERROR(__xludf.DUMMYFUNCTION("""COMPUTED_VALUE"""),2)</f>
        <v>2</v>
      </c>
      <c r="L1219" s="203">
        <f ca="1">IFERROR(__xludf.DUMMYFUNCTION("""COMPUTED_VALUE"""),3631.82)</f>
        <v>3631.82</v>
      </c>
      <c r="M1219" s="33" t="str">
        <f ca="1">IFERROR(__xludf.DUMMYFUNCTION("""COMPUTED_VALUE"""),"03 ORL")</f>
        <v>03 ORL</v>
      </c>
      <c r="N1219" s="33" t="str">
        <f ca="1">IFERROR(__xludf.DUMMYFUNCTION("""COMPUTED_VALUE"""),"06 ORL")</f>
        <v>06 ORL</v>
      </c>
      <c r="O1219" s="33" t="str">
        <f ca="1">IFERROR(__xludf.DUMMYFUNCTION("""COMPUTED_VALUE"""),"Dra, Isabel Menaches Guardiola")</f>
        <v>Dra, Isabel Menaches Guardiola</v>
      </c>
      <c r="P1219" s="33" t="str">
        <f ca="1">IFERROR(__xludf.DUMMYFUNCTION("""COMPUTED_VALUE"""),"Iván Sánchez (Levante Y Albacete)")</f>
        <v>Iván Sánchez (Levante Y Albacete)</v>
      </c>
    </row>
    <row r="1220" spans="2:16">
      <c r="B1220" s="33">
        <f ca="1">IFERROR(__xludf.DUMMYFUNCTION("""COMPUTED_VALUE"""),2025)</f>
        <v>2025</v>
      </c>
      <c r="C1220" s="33">
        <f ca="1">IFERROR(__xludf.DUMMYFUNCTION("""COMPUTED_VALUE"""),10)</f>
        <v>10</v>
      </c>
      <c r="D1220" s="33" t="str">
        <f ca="1">IFERROR(__xludf.DUMMYFUNCTION("""COMPUTED_VALUE"""),"NO")</f>
        <v>NO</v>
      </c>
      <c r="E1220" s="33" t="str">
        <f ca="1">IFERROR(__xludf.DUMMYFUNCTION("""COMPUTED_VALUE"""),"Boiro")</f>
        <v>Boiro</v>
      </c>
      <c r="F1220" s="57">
        <f ca="1">IFERROR(__xludf.DUMMYFUNCTION("""COMPUTED_VALUE"""),45936)</f>
        <v>45936</v>
      </c>
      <c r="G1220" s="57">
        <f ca="1">IFERROR(__xludf.DUMMYFUNCTION("""COMPUTED_VALUE"""),45911)</f>
        <v>45911</v>
      </c>
      <c r="H1220" s="33" t="str">
        <f ca="1">IFERROR(__xludf.DUMMYFUNCTION("""COMPUTED_VALUE"""),"Boiro")</f>
        <v>Boiro</v>
      </c>
      <c r="I1220" s="33" t="str">
        <f ca="1">IFERROR(__xludf.DUMMYFUNCTION("""COMPUTED_VALUE"""),"BOI-991")</f>
        <v>BOI-991</v>
      </c>
      <c r="J1220" s="33" t="str">
        <f ca="1">IFERROR(__xludf.DUMMYFUNCTION("""COMPUTED_VALUE"""),"MATILDE PREGO CORES")</f>
        <v>MATILDE PREGO CORES</v>
      </c>
      <c r="K1220" s="33">
        <f ca="1">IFERROR(__xludf.DUMMYFUNCTION("""COMPUTED_VALUE"""),2)</f>
        <v>2</v>
      </c>
      <c r="L1220" s="203">
        <f ca="1">IFERROR(__xludf.DUMMYFUNCTION("""COMPUTED_VALUE"""),3081.82)</f>
        <v>3081.82</v>
      </c>
      <c r="M1220" s="33" t="str">
        <f ca="1">IFERROR(__xludf.DUMMYFUNCTION("""COMPUTED_VALUE"""),"03 ORL")</f>
        <v>03 ORL</v>
      </c>
      <c r="N1220" s="33" t="str">
        <f ca="1">IFERROR(__xludf.DUMMYFUNCTION("""COMPUTED_VALUE"""),"06 ORL")</f>
        <v>06 ORL</v>
      </c>
      <c r="O1220" s="33" t="str">
        <f ca="1">IFERROR(__xludf.DUMMYFUNCTION("""COMPUTED_VALUE"""),"Dra, Isabel Pensado Banet")</f>
        <v>Dra, Isabel Pensado Banet</v>
      </c>
      <c r="P1220" s="33" t="str">
        <f ca="1">IFERROR(__xludf.DUMMYFUNCTION("""COMPUTED_VALUE"""),"Roberto Pereira (Galicia)")</f>
        <v>Roberto Pereira (Galicia)</v>
      </c>
    </row>
    <row r="1221" spans="2:16">
      <c r="B1221" s="33">
        <f ca="1">IFERROR(__xludf.DUMMYFUNCTION("""COMPUTED_VALUE"""),2025)</f>
        <v>2025</v>
      </c>
      <c r="C1221" s="33">
        <f ca="1">IFERROR(__xludf.DUMMYFUNCTION("""COMPUTED_VALUE"""),10)</f>
        <v>10</v>
      </c>
      <c r="D1221" s="33" t="str">
        <f ca="1">IFERROR(__xludf.DUMMYFUNCTION("""COMPUTED_VALUE"""),"NO")</f>
        <v>NO</v>
      </c>
      <c r="E1221" s="33" t="str">
        <f ca="1">IFERROR(__xludf.DUMMYFUNCTION("""COMPUTED_VALUE"""),"Valencia- Cádiz")</f>
        <v>Valencia- Cádiz</v>
      </c>
      <c r="F1221" s="57">
        <f ca="1">IFERROR(__xludf.DUMMYFUNCTION("""COMPUTED_VALUE"""),45936)</f>
        <v>45936</v>
      </c>
      <c r="G1221" s="57">
        <f ca="1">IFERROR(__xludf.DUMMYFUNCTION("""COMPUTED_VALUE"""),45817)</f>
        <v>45817</v>
      </c>
      <c r="H1221" s="33" t="str">
        <f ca="1">IFERROR(__xludf.DUMMYFUNCTION("""COMPUTED_VALUE"""),"Valencia- Cádiz")</f>
        <v>Valencia- Cádiz</v>
      </c>
      <c r="I1221" s="33" t="str">
        <f ca="1">IFERROR(__xludf.DUMMYFUNCTION("""COMPUTED_VALUE"""),"C202569173634919")</f>
        <v>C202569173634919</v>
      </c>
      <c r="J1221" s="33" t="str">
        <f ca="1">IFERROR(__xludf.DUMMYFUNCTION("""COMPUTED_VALUE"""),"ANA MARIA CENTELLES BARRERA")</f>
        <v>ANA MARIA CENTELLES BARRERA</v>
      </c>
      <c r="K1221" s="33">
        <f ca="1">IFERROR(__xludf.DUMMYFUNCTION("""COMPUTED_VALUE"""),1)</f>
        <v>1</v>
      </c>
      <c r="L1221" s="203">
        <f ca="1">IFERROR(__xludf.DUMMYFUNCTION("""COMPUTED_VALUE"""),2044.55)</f>
        <v>2044.55</v>
      </c>
      <c r="M1221" s="33" t="str">
        <f ca="1">IFERROR(__xludf.DUMMYFUNCTION("""COMPUTED_VALUE"""),"03 ORL")</f>
        <v>03 ORL</v>
      </c>
      <c r="N1221" s="33" t="str">
        <f ca="1">IFERROR(__xludf.DUMMYFUNCTION("""COMPUTED_VALUE"""),"06 ORL")</f>
        <v>06 ORL</v>
      </c>
      <c r="O1221" s="33" t="str">
        <f ca="1">IFERROR(__xludf.DUMMYFUNCTION("""COMPUTED_VALUE"""),"Dr, Manuel Mateos Fernández")</f>
        <v>Dr, Manuel Mateos Fernández</v>
      </c>
      <c r="P1221" s="33" t="str">
        <f ca="1">IFERROR(__xludf.DUMMYFUNCTION("""COMPUTED_VALUE"""),"Ramon Ferrando(Valencia)")</f>
        <v>Ramon Ferrando(Valencia)</v>
      </c>
    </row>
    <row r="1222" spans="2:16">
      <c r="B1222" s="33">
        <f ca="1">IFERROR(__xludf.DUMMYFUNCTION("""COMPUTED_VALUE"""),2025)</f>
        <v>2025</v>
      </c>
      <c r="C1222" s="33">
        <f ca="1">IFERROR(__xludf.DUMMYFUNCTION("""COMPUTED_VALUE"""),10)</f>
        <v>10</v>
      </c>
      <c r="D1222" s="33" t="str">
        <f ca="1">IFERROR(__xludf.DUMMYFUNCTION("""COMPUTED_VALUE"""),"NO")</f>
        <v>NO</v>
      </c>
      <c r="E1222" s="33" t="str">
        <f ca="1">IFERROR(__xludf.DUMMYFUNCTION("""COMPUTED_VALUE"""),"San Javier")</f>
        <v>San Javier</v>
      </c>
      <c r="F1222" s="57">
        <f ca="1">IFERROR(__xludf.DUMMYFUNCTION("""COMPUTED_VALUE"""),45936)</f>
        <v>45936</v>
      </c>
      <c r="G1222" s="57">
        <f ca="1">IFERROR(__xludf.DUMMYFUNCTION("""COMPUTED_VALUE"""),45887)</f>
        <v>45887</v>
      </c>
      <c r="H1222" s="33" t="str">
        <f ca="1">IFERROR(__xludf.DUMMYFUNCTION("""COMPUTED_VALUE"""),"San Javier")</f>
        <v>San Javier</v>
      </c>
      <c r="I1222" s="33" t="str">
        <f ca="1">IFERROR(__xludf.DUMMYFUNCTION("""COMPUTED_VALUE"""),"C202582110315643")</f>
        <v>C202582110315643</v>
      </c>
      <c r="J1222" s="33" t="str">
        <f ca="1">IFERROR(__xludf.DUMMYFUNCTION("""COMPUTED_VALUE"""),"JOSE ENRIQUE MUÑOZ MARTINEZ")</f>
        <v>JOSE ENRIQUE MUÑOZ MARTINEZ</v>
      </c>
      <c r="K1222" s="33">
        <f ca="1">IFERROR(__xludf.DUMMYFUNCTION("""COMPUTED_VALUE"""),2)</f>
        <v>2</v>
      </c>
      <c r="L1222" s="203">
        <f ca="1">IFERROR(__xludf.DUMMYFUNCTION("""COMPUTED_VALUE"""),3631.82)</f>
        <v>3631.82</v>
      </c>
      <c r="M1222" s="33" t="str">
        <f ca="1">IFERROR(__xludf.DUMMYFUNCTION("""COMPUTED_VALUE"""),"03 ORL")</f>
        <v>03 ORL</v>
      </c>
      <c r="N1222" s="33" t="str">
        <f ca="1">IFERROR(__xludf.DUMMYFUNCTION("""COMPUTED_VALUE"""),"06 ORL")</f>
        <v>06 ORL</v>
      </c>
      <c r="O1222" s="33" t="str">
        <f ca="1">IFERROR(__xludf.DUMMYFUNCTION("""COMPUTED_VALUE"""),"Dr, Francisco García Purriños")</f>
        <v>Dr, Francisco García Purriños</v>
      </c>
      <c r="P1222" s="33" t="str">
        <f ca="1">IFERROR(__xludf.DUMMYFUNCTION("""COMPUTED_VALUE"""),"Iván Sánchez (Levante Y Albacete)")</f>
        <v>Iván Sánchez (Levante Y Albacete)</v>
      </c>
    </row>
    <row r="1223" spans="2:16">
      <c r="B1223" s="33">
        <f ca="1">IFERROR(__xludf.DUMMYFUNCTION("""COMPUTED_VALUE"""),2025)</f>
        <v>2025</v>
      </c>
      <c r="C1223" s="33">
        <f ca="1">IFERROR(__xludf.DUMMYFUNCTION("""COMPUTED_VALUE"""),10)</f>
        <v>10</v>
      </c>
      <c r="D1223" s="33" t="str">
        <f ca="1">IFERROR(__xludf.DUMMYFUNCTION("""COMPUTED_VALUE"""),"NO")</f>
        <v>NO</v>
      </c>
      <c r="E1223" s="33" t="str">
        <f ca="1">IFERROR(__xludf.DUMMYFUNCTION("""COMPUTED_VALUE"""),"Alicante")</f>
        <v>Alicante</v>
      </c>
      <c r="F1223" s="57">
        <f ca="1">IFERROR(__xludf.DUMMYFUNCTION("""COMPUTED_VALUE"""),45936)</f>
        <v>45936</v>
      </c>
      <c r="G1223" s="57">
        <f ca="1">IFERROR(__xludf.DUMMYFUNCTION("""COMPUTED_VALUE"""),45917)</f>
        <v>45917</v>
      </c>
      <c r="H1223" s="33" t="str">
        <f ca="1">IFERROR(__xludf.DUMMYFUNCTION("""COMPUTED_VALUE"""),"Alicante")</f>
        <v>Alicante</v>
      </c>
      <c r="I1223" s="33" t="str">
        <f ca="1">IFERROR(__xludf.DUMMYFUNCTION("""COMPUTED_VALUE"""),"C2025918163651776")</f>
        <v>C2025918163651776</v>
      </c>
      <c r="J1223" s="33" t="str">
        <f ca="1">IFERROR(__xludf.DUMMYFUNCTION("""COMPUTED_VALUE"""),"ENCARNACIÓN GUTIERREZ ALBANDOZ")</f>
        <v>ENCARNACIÓN GUTIERREZ ALBANDOZ</v>
      </c>
      <c r="K1223" s="33">
        <f ca="1">IFERROR(__xludf.DUMMYFUNCTION("""COMPUTED_VALUE"""),2)</f>
        <v>2</v>
      </c>
      <c r="L1223" s="203">
        <f ca="1">IFERROR(__xludf.DUMMYFUNCTION("""COMPUTED_VALUE"""),3631.82)</f>
        <v>3631.82</v>
      </c>
      <c r="M1223" s="33" t="str">
        <f ca="1">IFERROR(__xludf.DUMMYFUNCTION("""COMPUTED_VALUE"""),"03 ORL")</f>
        <v>03 ORL</v>
      </c>
      <c r="N1223" s="33" t="str">
        <f ca="1">IFERROR(__xludf.DUMMYFUNCTION("""COMPUTED_VALUE"""),"06 ORL")</f>
        <v>06 ORL</v>
      </c>
      <c r="O1223" s="33" t="str">
        <f ca="1">IFERROR(__xludf.DUMMYFUNCTION("""COMPUTED_VALUE"""),"Dr, Javier Lafarga Vázquez")</f>
        <v>Dr, Javier Lafarga Vázquez</v>
      </c>
      <c r="P1223" s="33" t="str">
        <f ca="1">IFERROR(__xludf.DUMMYFUNCTION("""COMPUTED_VALUE"""),"Iván Sánchez (Levante Y Albacete)")</f>
        <v>Iván Sánchez (Levante Y Albacete)</v>
      </c>
    </row>
    <row r="1224" spans="2:16">
      <c r="B1224" s="33">
        <f ca="1">IFERROR(__xludf.DUMMYFUNCTION("""COMPUTED_VALUE"""),2025)</f>
        <v>2025</v>
      </c>
      <c r="C1224" s="33">
        <f ca="1">IFERROR(__xludf.DUMMYFUNCTION("""COMPUTED_VALUE"""),10)</f>
        <v>10</v>
      </c>
      <c r="D1224" s="33" t="str">
        <f ca="1">IFERROR(__xludf.DUMMYFUNCTION("""COMPUTED_VALUE"""),"NO")</f>
        <v>NO</v>
      </c>
      <c r="E1224" s="33" t="str">
        <f ca="1">IFERROR(__xludf.DUMMYFUNCTION("""COMPUTED_VALUE"""),"Salamanca")</f>
        <v>Salamanca</v>
      </c>
      <c r="F1224" s="57">
        <f ca="1">IFERROR(__xludf.DUMMYFUNCTION("""COMPUTED_VALUE"""),45937)</f>
        <v>45937</v>
      </c>
      <c r="G1224" s="57">
        <f ca="1">IFERROR(__xludf.DUMMYFUNCTION("""COMPUTED_VALUE"""),45897)</f>
        <v>45897</v>
      </c>
      <c r="H1224" s="33" t="str">
        <f ca="1">IFERROR(__xludf.DUMMYFUNCTION("""COMPUTED_VALUE"""),"Salamanca")</f>
        <v>Salamanca</v>
      </c>
      <c r="I1224" s="33" t="str">
        <f ca="1">IFERROR(__xludf.DUMMYFUNCTION("""COMPUTED_VALUE"""),"SLM-607")</f>
        <v>SLM-607</v>
      </c>
      <c r="J1224" s="33" t="str">
        <f ca="1">IFERROR(__xludf.DUMMYFUNCTION("""COMPUTED_VALUE"""),"JUAN MAJADAS GOMEZ")</f>
        <v>JUAN MAJADAS GOMEZ</v>
      </c>
      <c r="K1224" s="33">
        <f ca="1">IFERROR(__xludf.DUMMYFUNCTION("""COMPUTED_VALUE"""),2)</f>
        <v>2</v>
      </c>
      <c r="L1224" s="203">
        <f ca="1">IFERROR(__xludf.DUMMYFUNCTION("""COMPUTED_VALUE"""),3730)</f>
        <v>3730</v>
      </c>
      <c r="M1224" s="33" t="str">
        <f ca="1">IFERROR(__xludf.DUMMYFUNCTION("""COMPUTED_VALUE"""),"03 ORL")</f>
        <v>03 ORL</v>
      </c>
      <c r="N1224" s="33" t="str">
        <f ca="1">IFERROR(__xludf.DUMMYFUNCTION("""COMPUTED_VALUE"""),"06 ORL")</f>
        <v>06 ORL</v>
      </c>
      <c r="O1224" s="33" t="str">
        <f ca="1">IFERROR(__xludf.DUMMYFUNCTION("""COMPUTED_VALUE"""),"No Recuerda Orl")</f>
        <v>No Recuerda Orl</v>
      </c>
      <c r="P1224" s="33" t="str">
        <f ca="1">IFERROR(__xludf.DUMMYFUNCTION("""COMPUTED_VALUE"""),"Alberto Moreno (Madrid)")</f>
        <v>Alberto Moreno (Madrid)</v>
      </c>
    </row>
    <row r="1225" spans="2:16">
      <c r="B1225" s="33">
        <f ca="1">IFERROR(__xludf.DUMMYFUNCTION("""COMPUTED_VALUE"""),2025)</f>
        <v>2025</v>
      </c>
      <c r="C1225" s="33">
        <f ca="1">IFERROR(__xludf.DUMMYFUNCTION("""COMPUTED_VALUE"""),10)</f>
        <v>10</v>
      </c>
      <c r="D1225" s="33" t="str">
        <f ca="1">IFERROR(__xludf.DUMMYFUNCTION("""COMPUTED_VALUE"""),"NO")</f>
        <v>NO</v>
      </c>
      <c r="E1225" s="33" t="str">
        <f ca="1">IFERROR(__xludf.DUMMYFUNCTION("""COMPUTED_VALUE"""),"Barcelona- Córcega")</f>
        <v>Barcelona- Córcega</v>
      </c>
      <c r="F1225" s="57">
        <f ca="1">IFERROR(__xludf.DUMMYFUNCTION("""COMPUTED_VALUE"""),45937)</f>
        <v>45937</v>
      </c>
      <c r="G1225" s="57">
        <f ca="1">IFERROR(__xludf.DUMMYFUNCTION("""COMPUTED_VALUE"""),45897)</f>
        <v>45897</v>
      </c>
      <c r="H1225" s="33" t="str">
        <f ca="1">IFERROR(__xludf.DUMMYFUNCTION("""COMPUTED_VALUE"""),"Córcega")</f>
        <v>Córcega</v>
      </c>
      <c r="I1225" s="33" t="str">
        <f ca="1">IFERROR(__xludf.DUMMYFUNCTION("""COMPUTED_VALUE"""),"C202591164623707")</f>
        <v>C202591164623707</v>
      </c>
      <c r="J1225" s="33" t="str">
        <f ca="1">IFERROR(__xludf.DUMMYFUNCTION("""COMPUTED_VALUE"""),"ALGENIA GUTIERREZ")</f>
        <v>ALGENIA GUTIERREZ</v>
      </c>
      <c r="K1225" s="33">
        <f ca="1">IFERROR(__xludf.DUMMYFUNCTION("""COMPUTED_VALUE"""),2)</f>
        <v>2</v>
      </c>
      <c r="L1225" s="203">
        <f ca="1">IFERROR(__xludf.DUMMYFUNCTION("""COMPUTED_VALUE"""),3631.82)</f>
        <v>3631.82</v>
      </c>
      <c r="M1225" s="33" t="str">
        <f ca="1">IFERROR(__xludf.DUMMYFUNCTION("""COMPUTED_VALUE"""),"03 ORL")</f>
        <v>03 ORL</v>
      </c>
      <c r="N1225" s="33" t="str">
        <f ca="1">IFERROR(__xludf.DUMMYFUNCTION("""COMPUTED_VALUE"""),"06 ORL")</f>
        <v>06 ORL</v>
      </c>
      <c r="O1225" s="33" t="str">
        <f ca="1">IFERROR(__xludf.DUMMYFUNCTION("""COMPUTED_VALUE"""),"Dra, Marta Sandoval Puig")</f>
        <v>Dra, Marta Sandoval Puig</v>
      </c>
      <c r="P1225" s="33" t="str">
        <f ca="1">IFERROR(__xludf.DUMMYFUNCTION("""COMPUTED_VALUE"""),"Mercè Cabrera (Cataluña Y Baleares)")</f>
        <v>Mercè Cabrera (Cataluña Y Baleares)</v>
      </c>
    </row>
    <row r="1226" spans="2:16">
      <c r="B1226" s="33">
        <f ca="1">IFERROR(__xludf.DUMMYFUNCTION("""COMPUTED_VALUE"""),2025)</f>
        <v>2025</v>
      </c>
      <c r="C1226" s="33">
        <f ca="1">IFERROR(__xludf.DUMMYFUNCTION("""COMPUTED_VALUE"""),10)</f>
        <v>10</v>
      </c>
      <c r="D1226" s="33" t="str">
        <f ca="1">IFERROR(__xludf.DUMMYFUNCTION("""COMPUTED_VALUE"""),"NO")</f>
        <v>NO</v>
      </c>
      <c r="E1226" s="33" t="str">
        <f ca="1">IFERROR(__xludf.DUMMYFUNCTION("""COMPUTED_VALUE"""),"Santiago de Compostela")</f>
        <v>Santiago de Compostela</v>
      </c>
      <c r="F1226" s="57">
        <f ca="1">IFERROR(__xludf.DUMMYFUNCTION("""COMPUTED_VALUE"""),45937)</f>
        <v>45937</v>
      </c>
      <c r="G1226" s="57">
        <f ca="1">IFERROR(__xludf.DUMMYFUNCTION("""COMPUTED_VALUE"""),45917)</f>
        <v>45917</v>
      </c>
      <c r="H1226" s="33" t="str">
        <f ca="1">IFERROR(__xludf.DUMMYFUNCTION("""COMPUTED_VALUE"""),"Santiago")</f>
        <v>Santiago</v>
      </c>
      <c r="I1226" s="33" t="str">
        <f ca="1">IFERROR(__xludf.DUMMYFUNCTION("""COMPUTED_VALUE"""),"C202592211274419")</f>
        <v>C202592211274419</v>
      </c>
      <c r="J1226" s="33" t="str">
        <f ca="1">IFERROR(__xludf.DUMMYFUNCTION("""COMPUTED_VALUE"""),"EMILIA GARCIA PENIDO")</f>
        <v>EMILIA GARCIA PENIDO</v>
      </c>
      <c r="K1226" s="33">
        <f ca="1">IFERROR(__xludf.DUMMYFUNCTION("""COMPUTED_VALUE"""),2)</f>
        <v>2</v>
      </c>
      <c r="L1226" s="203">
        <f ca="1">IFERROR(__xludf.DUMMYFUNCTION("""COMPUTED_VALUE"""),2718.18)</f>
        <v>2718.18</v>
      </c>
      <c r="M1226" s="33" t="str">
        <f ca="1">IFERROR(__xludf.DUMMYFUNCTION("""COMPUTED_VALUE"""),"03 ORL")</f>
        <v>03 ORL</v>
      </c>
      <c r="N1226" s="33" t="str">
        <f ca="1">IFERROR(__xludf.DUMMYFUNCTION("""COMPUTED_VALUE"""),"06 ORL")</f>
        <v>06 ORL</v>
      </c>
      <c r="O1226" s="33" t="str">
        <f ca="1">IFERROR(__xludf.DUMMYFUNCTION("""COMPUTED_VALUE"""),"Dr, Antonio Gustavo Lirola Delgado")</f>
        <v>Dr, Antonio Gustavo Lirola Delgado</v>
      </c>
      <c r="P1226" s="33" t="str">
        <f ca="1">IFERROR(__xludf.DUMMYFUNCTION("""COMPUTED_VALUE"""),"Roberto Pereira (Galicia)")</f>
        <v>Roberto Pereira (Galicia)</v>
      </c>
    </row>
    <row r="1227" spans="2:16">
      <c r="B1227" s="33">
        <f ca="1">IFERROR(__xludf.DUMMYFUNCTION("""COMPUTED_VALUE"""),2025)</f>
        <v>2025</v>
      </c>
      <c r="C1227" s="33">
        <f ca="1">IFERROR(__xludf.DUMMYFUNCTION("""COMPUTED_VALUE"""),10)</f>
        <v>10</v>
      </c>
      <c r="D1227" s="33" t="str">
        <f ca="1">IFERROR(__xludf.DUMMYFUNCTION("""COMPUTED_VALUE"""),"NO")</f>
        <v>NO</v>
      </c>
      <c r="E1227" s="33" t="str">
        <f ca="1">IFERROR(__xludf.DUMMYFUNCTION("""COMPUTED_VALUE"""),"El Albir (Benidorm)")</f>
        <v>El Albir (Benidorm)</v>
      </c>
      <c r="F1227" s="57">
        <f ca="1">IFERROR(__xludf.DUMMYFUNCTION("""COMPUTED_VALUE"""),45937)</f>
        <v>45937</v>
      </c>
      <c r="G1227" s="57">
        <f ca="1">IFERROR(__xludf.DUMMYFUNCTION("""COMPUTED_VALUE"""),45903)</f>
        <v>45903</v>
      </c>
      <c r="H1227" s="33" t="str">
        <f ca="1">IFERROR(__xludf.DUMMYFUNCTION("""COMPUTED_VALUE"""),"El Albir (Benidorm)")</f>
        <v>El Albir (Benidorm)</v>
      </c>
      <c r="I1227" s="33" t="str">
        <f ca="1">IFERROR(__xludf.DUMMYFUNCTION("""COMPUTED_VALUE"""),"C20259810350604")</f>
        <v>C20259810350604</v>
      </c>
      <c r="J1227" s="33" t="str">
        <f ca="1">IFERROR(__xludf.DUMMYFUNCTION("""COMPUTED_VALUE"""),"CARMEN BRUNET COMAS")</f>
        <v>CARMEN BRUNET COMAS</v>
      </c>
      <c r="K1227" s="33">
        <f ca="1">IFERROR(__xludf.DUMMYFUNCTION("""COMPUTED_VALUE"""),2)</f>
        <v>2</v>
      </c>
      <c r="L1227" s="203">
        <f ca="1">IFERROR(__xludf.DUMMYFUNCTION("""COMPUTED_VALUE"""),3604.55)</f>
        <v>3604.55</v>
      </c>
      <c r="M1227" s="33" t="str">
        <f ca="1">IFERROR(__xludf.DUMMYFUNCTION("""COMPUTED_VALUE"""),"03 ORL")</f>
        <v>03 ORL</v>
      </c>
      <c r="N1227" s="33" t="str">
        <f ca="1">IFERROR(__xludf.DUMMYFUNCTION("""COMPUTED_VALUE"""),"06 ORL")</f>
        <v>06 ORL</v>
      </c>
      <c r="O1227" s="33" t="str">
        <f ca="1">IFERROR(__xludf.DUMMYFUNCTION("""COMPUTED_VALUE"""),"Dr, Daniel Unigarro Londoño")</f>
        <v>Dr, Daniel Unigarro Londoño</v>
      </c>
      <c r="P1227" s="33" t="str">
        <f ca="1">IFERROR(__xludf.DUMMYFUNCTION("""COMPUTED_VALUE"""),"Ramon Ferrando(Valencia)")</f>
        <v>Ramon Ferrando(Valencia)</v>
      </c>
    </row>
    <row r="1228" spans="2:16">
      <c r="B1228" s="33">
        <f ca="1">IFERROR(__xludf.DUMMYFUNCTION("""COMPUTED_VALUE"""),2025)</f>
        <v>2025</v>
      </c>
      <c r="C1228" s="33">
        <f ca="1">IFERROR(__xludf.DUMMYFUNCTION("""COMPUTED_VALUE"""),10)</f>
        <v>10</v>
      </c>
      <c r="D1228" s="33" t="str">
        <f ca="1">IFERROR(__xludf.DUMMYFUNCTION("""COMPUTED_VALUE"""),"NO")</f>
        <v>NO</v>
      </c>
      <c r="E1228" s="33" t="str">
        <f ca="1">IFERROR(__xludf.DUMMYFUNCTION("""COMPUTED_VALUE"""),"Madrid- Canillas")</f>
        <v>Madrid- Canillas</v>
      </c>
      <c r="F1228" s="57">
        <f ca="1">IFERROR(__xludf.DUMMYFUNCTION("""COMPUTED_VALUE"""),45937)</f>
        <v>45937</v>
      </c>
      <c r="G1228" s="57">
        <f ca="1">IFERROR(__xludf.DUMMYFUNCTION("""COMPUTED_VALUE"""),45870)</f>
        <v>45870</v>
      </c>
      <c r="H1228" s="33" t="str">
        <f ca="1">IFERROR(__xludf.DUMMYFUNCTION("""COMPUTED_VALUE"""),"Canillas")</f>
        <v>Canillas</v>
      </c>
      <c r="I1228" s="33" t="str">
        <f ca="1">IFERROR(__xludf.DUMMYFUNCTION("""COMPUTED_VALUE"""),"C20259161278401")</f>
        <v>C20259161278401</v>
      </c>
      <c r="J1228" s="33" t="str">
        <f ca="1">IFERROR(__xludf.DUMMYFUNCTION("""COMPUTED_VALUE"""),"CARMEN PÉREZ VILA")</f>
        <v>CARMEN PÉREZ VILA</v>
      </c>
      <c r="K1228" s="33">
        <f ca="1">IFERROR(__xludf.DUMMYFUNCTION("""COMPUTED_VALUE"""),2)</f>
        <v>2</v>
      </c>
      <c r="L1228" s="203">
        <f ca="1">IFERROR(__xludf.DUMMYFUNCTION("""COMPUTED_VALUE"""),4136.36)</f>
        <v>4136.3599999999997</v>
      </c>
      <c r="M1228" s="33" t="str">
        <f ca="1">IFERROR(__xludf.DUMMYFUNCTION("""COMPUTED_VALUE"""),"03 ORL")</f>
        <v>03 ORL</v>
      </c>
      <c r="N1228" s="33" t="str">
        <f ca="1">IFERROR(__xludf.DUMMYFUNCTION("""COMPUTED_VALUE"""),"06 ORL")</f>
        <v>06 ORL</v>
      </c>
      <c r="O1228" s="33" t="str">
        <f ca="1">IFERROR(__xludf.DUMMYFUNCTION("""COMPUTED_VALUE"""),"Dr, José Gustavo Barroso Braojos")</f>
        <v>Dr, José Gustavo Barroso Braojos</v>
      </c>
      <c r="P1228" s="33" t="str">
        <f ca="1">IFERROR(__xludf.DUMMYFUNCTION("""COMPUTED_VALUE"""),"Maika Blázquez (Madrid)")</f>
        <v>Maika Blázquez (Madrid)</v>
      </c>
    </row>
    <row r="1229" spans="2:16">
      <c r="B1229" s="33">
        <f ca="1">IFERROR(__xludf.DUMMYFUNCTION("""COMPUTED_VALUE"""),2025)</f>
        <v>2025</v>
      </c>
      <c r="C1229" s="33">
        <f ca="1">IFERROR(__xludf.DUMMYFUNCTION("""COMPUTED_VALUE"""),10)</f>
        <v>10</v>
      </c>
      <c r="D1229" s="33" t="str">
        <f ca="1">IFERROR(__xludf.DUMMYFUNCTION("""COMPUTED_VALUE"""),"NO")</f>
        <v>NO</v>
      </c>
      <c r="E1229" s="33" t="str">
        <f ca="1">IFERROR(__xludf.DUMMYFUNCTION("""COMPUTED_VALUE"""),"Toledo")</f>
        <v>Toledo</v>
      </c>
      <c r="F1229" s="57">
        <f ca="1">IFERROR(__xludf.DUMMYFUNCTION("""COMPUTED_VALUE"""),45937)</f>
        <v>45937</v>
      </c>
      <c r="G1229" s="57">
        <f ca="1">IFERROR(__xludf.DUMMYFUNCTION("""COMPUTED_VALUE"""),45903)</f>
        <v>45903</v>
      </c>
      <c r="H1229" s="33" t="str">
        <f ca="1">IFERROR(__xludf.DUMMYFUNCTION("""COMPUTED_VALUE"""),"Toledo")</f>
        <v>Toledo</v>
      </c>
      <c r="I1229" s="33" t="str">
        <f ca="1">IFERROR(__xludf.DUMMYFUNCTION("""COMPUTED_VALUE"""),"C202595164945328")</f>
        <v>C202595164945328</v>
      </c>
      <c r="J1229" s="33" t="str">
        <f ca="1">IFERROR(__xludf.DUMMYFUNCTION("""COMPUTED_VALUE"""),"Juan Fernando López Carrillo")</f>
        <v>Juan Fernando López Carrillo</v>
      </c>
      <c r="K1229" s="33">
        <f ca="1">IFERROR(__xludf.DUMMYFUNCTION("""COMPUTED_VALUE"""),2)</f>
        <v>2</v>
      </c>
      <c r="L1229" s="203">
        <f ca="1">IFERROR(__xludf.DUMMYFUNCTION("""COMPUTED_VALUE"""),2582.27)</f>
        <v>2582.27</v>
      </c>
      <c r="M1229" s="33" t="str">
        <f ca="1">IFERROR(__xludf.DUMMYFUNCTION("""COMPUTED_VALUE"""),"03 ORL")</f>
        <v>03 ORL</v>
      </c>
      <c r="N1229" s="33" t="str">
        <f ca="1">IFERROR(__xludf.DUMMYFUNCTION("""COMPUTED_VALUE"""),"06 ORL")</f>
        <v>06 ORL</v>
      </c>
      <c r="O1229" s="33" t="str">
        <f ca="1">IFERROR(__xludf.DUMMYFUNCTION("""COMPUTED_VALUE"""),"Dra, Eva Ruiz de Gauna")</f>
        <v>Dra, Eva Ruiz de Gauna</v>
      </c>
      <c r="P1229" s="33" t="str">
        <f ca="1">IFERROR(__xludf.DUMMYFUNCTION("""COMPUTED_VALUE"""),"Lisandro Russian (Madrid, Cáceres, Toledo, Talavera Y Logroño)")</f>
        <v>Lisandro Russian (Madrid, Cáceres, Toledo, Talavera Y Logroño)</v>
      </c>
    </row>
    <row r="1230" spans="2:16">
      <c r="B1230" s="33">
        <f ca="1">IFERROR(__xludf.DUMMYFUNCTION("""COMPUTED_VALUE"""),2025)</f>
        <v>2025</v>
      </c>
      <c r="C1230" s="33">
        <f ca="1">IFERROR(__xludf.DUMMYFUNCTION("""COMPUTED_VALUE"""),10)</f>
        <v>10</v>
      </c>
      <c r="D1230" s="33" t="str">
        <f ca="1">IFERROR(__xludf.DUMMYFUNCTION("""COMPUTED_VALUE"""),"NO")</f>
        <v>NO</v>
      </c>
      <c r="E1230" s="33" t="str">
        <f ca="1">IFERROR(__xludf.DUMMYFUNCTION("""COMPUTED_VALUE"""),"Logroño")</f>
        <v>Logroño</v>
      </c>
      <c r="F1230" s="57">
        <f ca="1">IFERROR(__xludf.DUMMYFUNCTION("""COMPUTED_VALUE"""),45937)</f>
        <v>45937</v>
      </c>
      <c r="G1230" s="57">
        <f ca="1">IFERROR(__xludf.DUMMYFUNCTION("""COMPUTED_VALUE"""),45588)</f>
        <v>45588</v>
      </c>
      <c r="H1230" s="33" t="str">
        <f ca="1">IFERROR(__xludf.DUMMYFUNCTION("""COMPUTED_VALUE"""),"Logroño")</f>
        <v>Logroño</v>
      </c>
      <c r="I1230" s="33" t="str">
        <f ca="1">IFERROR(__xludf.DUMMYFUNCTION("""COMPUTED_VALUE"""),"LOG-1420")</f>
        <v>LOG-1420</v>
      </c>
      <c r="J1230" s="33" t="str">
        <f ca="1">IFERROR(__xludf.DUMMYFUNCTION("""COMPUTED_VALUE"""),"EDUARDO ARISTE AISA")</f>
        <v>EDUARDO ARISTE AISA</v>
      </c>
      <c r="K1230" s="33">
        <f ca="1">IFERROR(__xludf.DUMMYFUNCTION("""COMPUTED_VALUE"""),2)</f>
        <v>2</v>
      </c>
      <c r="L1230" s="203">
        <f ca="1">IFERROR(__xludf.DUMMYFUNCTION("""COMPUTED_VALUE"""),2718.18)</f>
        <v>2718.18</v>
      </c>
      <c r="M1230" s="33" t="str">
        <f ca="1">IFERROR(__xludf.DUMMYFUNCTION("""COMPUTED_VALUE"""),"03 ORL")</f>
        <v>03 ORL</v>
      </c>
      <c r="N1230" s="33" t="str">
        <f ca="1">IFERROR(__xludf.DUMMYFUNCTION("""COMPUTED_VALUE"""),"06 ORL")</f>
        <v>06 ORL</v>
      </c>
      <c r="O1230" s="33" t="str">
        <f ca="1">IFERROR(__xludf.DUMMYFUNCTION("""COMPUTED_VALUE"""),"Dr, Fernando Salazar Barcelona")</f>
        <v>Dr, Fernando Salazar Barcelona</v>
      </c>
      <c r="P1230" s="33" t="str">
        <f ca="1">IFERROR(__xludf.DUMMYFUNCTION("""COMPUTED_VALUE"""),"Lisandro Russian (Madrid, Cáceres, Toledo, Talavera Y Logroño)")</f>
        <v>Lisandro Russian (Madrid, Cáceres, Toledo, Talavera Y Logroño)</v>
      </c>
    </row>
    <row r="1231" spans="2:16">
      <c r="B1231" s="33">
        <f ca="1">IFERROR(__xludf.DUMMYFUNCTION("""COMPUTED_VALUE"""),2025)</f>
        <v>2025</v>
      </c>
      <c r="C1231" s="33">
        <f ca="1">IFERROR(__xludf.DUMMYFUNCTION("""COMPUTED_VALUE"""),10)</f>
        <v>10</v>
      </c>
      <c r="D1231" s="33" t="str">
        <f ca="1">IFERROR(__xludf.DUMMYFUNCTION("""COMPUTED_VALUE"""),"NO")</f>
        <v>NO</v>
      </c>
      <c r="E1231" s="33" t="str">
        <f ca="1">IFERROR(__xludf.DUMMYFUNCTION("""COMPUTED_VALUE"""),"Madrid- Galileo")</f>
        <v>Madrid- Galileo</v>
      </c>
      <c r="F1231" s="57">
        <f ca="1">IFERROR(__xludf.DUMMYFUNCTION("""COMPUTED_VALUE"""),45937)</f>
        <v>45937</v>
      </c>
      <c r="G1231" s="57">
        <f ca="1">IFERROR(__xludf.DUMMYFUNCTION("""COMPUTED_VALUE"""),45897)</f>
        <v>45897</v>
      </c>
      <c r="H1231" s="33" t="str">
        <f ca="1">IFERROR(__xludf.DUMMYFUNCTION("""COMPUTED_VALUE"""),"Moncloa")</f>
        <v>Moncloa</v>
      </c>
      <c r="I1231" s="33" t="str">
        <f ca="1">IFERROR(__xludf.DUMMYFUNCTION("""COMPUTED_VALUE"""),"C202592153017796")</f>
        <v>C202592153017796</v>
      </c>
      <c r="J1231" s="33" t="str">
        <f ca="1">IFERROR(__xludf.DUMMYFUNCTION("""COMPUTED_VALUE"""),"MIGUEL DEL MAZO SALGADO")</f>
        <v>MIGUEL DEL MAZO SALGADO</v>
      </c>
      <c r="K1231" s="33">
        <f ca="1">IFERROR(__xludf.DUMMYFUNCTION("""COMPUTED_VALUE"""),2)</f>
        <v>2</v>
      </c>
      <c r="L1231" s="203">
        <f ca="1">IFERROR(__xludf.DUMMYFUNCTION("""COMPUTED_VALUE"""),3450.23)</f>
        <v>3450.23</v>
      </c>
      <c r="M1231" s="33" t="str">
        <f ca="1">IFERROR(__xludf.DUMMYFUNCTION("""COMPUTED_VALUE"""),"03 ORL")</f>
        <v>03 ORL</v>
      </c>
      <c r="N1231" s="33" t="str">
        <f ca="1">IFERROR(__xludf.DUMMYFUNCTION("""COMPUTED_VALUE"""),"06 ORL")</f>
        <v>06 ORL</v>
      </c>
      <c r="O1231" s="33" t="str">
        <f ca="1">IFERROR(__xludf.DUMMYFUNCTION("""COMPUTED_VALUE"""),"Dr, Esteban Scola Pliego")</f>
        <v>Dr, Esteban Scola Pliego</v>
      </c>
      <c r="P1231" s="33" t="str">
        <f ca="1">IFERROR(__xludf.DUMMYFUNCTION("""COMPUTED_VALUE"""),"Maika Blázquez (Madrid)")</f>
        <v>Maika Blázquez (Madrid)</v>
      </c>
    </row>
    <row r="1232" spans="2:16">
      <c r="B1232" s="33">
        <f ca="1">IFERROR(__xludf.DUMMYFUNCTION("""COMPUTED_VALUE"""),2025)</f>
        <v>2025</v>
      </c>
      <c r="C1232" s="33">
        <f ca="1">IFERROR(__xludf.DUMMYFUNCTION("""COMPUTED_VALUE"""),10)</f>
        <v>10</v>
      </c>
      <c r="D1232" s="33" t="str">
        <f ca="1">IFERROR(__xludf.DUMMYFUNCTION("""COMPUTED_VALUE"""),"NO")</f>
        <v>NO</v>
      </c>
      <c r="E1232" s="33" t="str">
        <f ca="1">IFERROR(__xludf.DUMMYFUNCTION("""COMPUTED_VALUE"""),"Cáceres")</f>
        <v>Cáceres</v>
      </c>
      <c r="F1232" s="57">
        <f ca="1">IFERROR(__xludf.DUMMYFUNCTION("""COMPUTED_VALUE"""),45938)</f>
        <v>45938</v>
      </c>
      <c r="G1232" s="57">
        <f ca="1">IFERROR(__xludf.DUMMYFUNCTION("""COMPUTED_VALUE"""),45909)</f>
        <v>45909</v>
      </c>
      <c r="H1232" s="33" t="str">
        <f ca="1">IFERROR(__xludf.DUMMYFUNCTION("""COMPUTED_VALUE"""),"Cáceres")</f>
        <v>Cáceres</v>
      </c>
      <c r="I1232" s="33" t="str">
        <f ca="1">IFERROR(__xludf.DUMMYFUNCTION("""COMPUTED_VALUE"""),"CAC-383")</f>
        <v>CAC-383</v>
      </c>
      <c r="J1232" s="33" t="str">
        <f ca="1">IFERROR(__xludf.DUMMYFUNCTION("""COMPUTED_VALUE"""),"FRANCISCO JAVIER GONZALEZ GUTIERREZ")</f>
        <v>FRANCISCO JAVIER GONZALEZ GUTIERREZ</v>
      </c>
      <c r="K1232" s="33">
        <f ca="1">IFERROR(__xludf.DUMMYFUNCTION("""COMPUTED_VALUE"""),2)</f>
        <v>2</v>
      </c>
      <c r="L1232" s="203">
        <f ca="1">IFERROR(__xludf.DUMMYFUNCTION("""COMPUTED_VALUE"""),3636.36)</f>
        <v>3636.36</v>
      </c>
      <c r="M1232" s="33" t="str">
        <f ca="1">IFERROR(__xludf.DUMMYFUNCTION("""COMPUTED_VALUE"""),"03 ORL")</f>
        <v>03 ORL</v>
      </c>
      <c r="N1232" s="33" t="str">
        <f ca="1">IFERROR(__xludf.DUMMYFUNCTION("""COMPUTED_VALUE"""),"06 ORL")</f>
        <v>06 ORL</v>
      </c>
      <c r="O1232" s="33" t="str">
        <f ca="1">IFERROR(__xludf.DUMMYFUNCTION("""COMPUTED_VALUE"""),"Dr, Rafael Sanz Trenado")</f>
        <v>Dr, Rafael Sanz Trenado</v>
      </c>
      <c r="P1232" s="33" t="str">
        <f ca="1">IFERROR(__xludf.DUMMYFUNCTION("""COMPUTED_VALUE"""),"Lisandro Russian (Madrid, Cáceres, Toledo, Talavera Y Logroño)")</f>
        <v>Lisandro Russian (Madrid, Cáceres, Toledo, Talavera Y Logroño)</v>
      </c>
    </row>
    <row r="1233" spans="2:16">
      <c r="B1233" s="33">
        <f ca="1">IFERROR(__xludf.DUMMYFUNCTION("""COMPUTED_VALUE"""),2025)</f>
        <v>2025</v>
      </c>
      <c r="C1233" s="33">
        <f ca="1">IFERROR(__xludf.DUMMYFUNCTION("""COMPUTED_VALUE"""),10)</f>
        <v>10</v>
      </c>
      <c r="D1233" s="33" t="str">
        <f ca="1">IFERROR(__xludf.DUMMYFUNCTION("""COMPUTED_VALUE"""),"NO")</f>
        <v>NO</v>
      </c>
      <c r="E1233" s="33" t="str">
        <f ca="1">IFERROR(__xludf.DUMMYFUNCTION("""COMPUTED_VALUE"""),"Salamanca")</f>
        <v>Salamanca</v>
      </c>
      <c r="F1233" s="57">
        <f ca="1">IFERROR(__xludf.DUMMYFUNCTION("""COMPUTED_VALUE"""),45938)</f>
        <v>45938</v>
      </c>
      <c r="G1233" s="57">
        <f ca="1">IFERROR(__xludf.DUMMYFUNCTION("""COMPUTED_VALUE"""),45819)</f>
        <v>45819</v>
      </c>
      <c r="H1233" s="33" t="str">
        <f ca="1">IFERROR(__xludf.DUMMYFUNCTION("""COMPUTED_VALUE"""),"Salamanca")</f>
        <v>Salamanca</v>
      </c>
      <c r="I1233" s="33" t="str">
        <f ca="1">IFERROR(__xludf.DUMMYFUNCTION("""COMPUTED_VALUE"""),"SLM-568")</f>
        <v>SLM-568</v>
      </c>
      <c r="J1233" s="33" t="str">
        <f ca="1">IFERROR(__xludf.DUMMYFUNCTION("""COMPUTED_VALUE"""),"ALBERTO HERNANDEZ SANCHEZ")</f>
        <v>ALBERTO HERNANDEZ SANCHEZ</v>
      </c>
      <c r="K1233" s="33">
        <f ca="1">IFERROR(__xludf.DUMMYFUNCTION("""COMPUTED_VALUE"""),2)</f>
        <v>2</v>
      </c>
      <c r="L1233" s="203">
        <f ca="1">IFERROR(__xludf.DUMMYFUNCTION("""COMPUTED_VALUE"""),3730)</f>
        <v>3730</v>
      </c>
      <c r="M1233" s="33" t="str">
        <f ca="1">IFERROR(__xludf.DUMMYFUNCTION("""COMPUTED_VALUE"""),"03 ORL")</f>
        <v>03 ORL</v>
      </c>
      <c r="N1233" s="33" t="str">
        <f ca="1">IFERROR(__xludf.DUMMYFUNCTION("""COMPUTED_VALUE"""),"06 ORL")</f>
        <v>06 ORL</v>
      </c>
      <c r="O1233" s="33" t="str">
        <f ca="1">IFERROR(__xludf.DUMMYFUNCTION("""COMPUTED_VALUE"""),"Dr, Alejandro Harguindey Antoli-Candela")</f>
        <v>Dr, Alejandro Harguindey Antoli-Candela</v>
      </c>
      <c r="P1233" s="33" t="str">
        <f ca="1">IFERROR(__xludf.DUMMYFUNCTION("""COMPUTED_VALUE"""),"Maika Blázquez (Madrid)")</f>
        <v>Maika Blázquez (Madrid)</v>
      </c>
    </row>
    <row r="1234" spans="2:16">
      <c r="B1234" s="33">
        <f ca="1">IFERROR(__xludf.DUMMYFUNCTION("""COMPUTED_VALUE"""),2025)</f>
        <v>2025</v>
      </c>
      <c r="C1234" s="33">
        <f ca="1">IFERROR(__xludf.DUMMYFUNCTION("""COMPUTED_VALUE"""),10)</f>
        <v>10</v>
      </c>
      <c r="D1234" s="33" t="str">
        <f ca="1">IFERROR(__xludf.DUMMYFUNCTION("""COMPUTED_VALUE"""),"NO")</f>
        <v>NO</v>
      </c>
      <c r="E1234" s="33" t="str">
        <f ca="1">IFERROR(__xludf.DUMMYFUNCTION("""COMPUTED_VALUE"""),"Salamanca")</f>
        <v>Salamanca</v>
      </c>
      <c r="F1234" s="57">
        <f ca="1">IFERROR(__xludf.DUMMYFUNCTION("""COMPUTED_VALUE"""),45938)</f>
        <v>45938</v>
      </c>
      <c r="G1234" s="57">
        <f ca="1">IFERROR(__xludf.DUMMYFUNCTION("""COMPUTED_VALUE"""),45867)</f>
        <v>45867</v>
      </c>
      <c r="H1234" s="33" t="str">
        <f ca="1">IFERROR(__xludf.DUMMYFUNCTION("""COMPUTED_VALUE"""),"Salamanca")</f>
        <v>Salamanca</v>
      </c>
      <c r="I1234" s="33" t="str">
        <f ca="1">IFERROR(__xludf.DUMMYFUNCTION("""COMPUTED_VALUE"""),"SLM-594")</f>
        <v>SLM-594</v>
      </c>
      <c r="J1234" s="33" t="str">
        <f ca="1">IFERROR(__xludf.DUMMYFUNCTION("""COMPUTED_VALUE"""),"LUISA GONZALEZ GOMEZ")</f>
        <v>LUISA GONZALEZ GOMEZ</v>
      </c>
      <c r="K1234" s="33">
        <f ca="1">IFERROR(__xludf.DUMMYFUNCTION("""COMPUTED_VALUE"""),2)</f>
        <v>2</v>
      </c>
      <c r="L1234" s="203">
        <f ca="1">IFERROR(__xludf.DUMMYFUNCTION("""COMPUTED_VALUE"""),2974.55)</f>
        <v>2974.55</v>
      </c>
      <c r="M1234" s="33" t="str">
        <f ca="1">IFERROR(__xludf.DUMMYFUNCTION("""COMPUTED_VALUE"""),"03 ORL")</f>
        <v>03 ORL</v>
      </c>
      <c r="N1234" s="33" t="str">
        <f ca="1">IFERROR(__xludf.DUMMYFUNCTION("""COMPUTED_VALUE"""),"06 ORL")</f>
        <v>06 ORL</v>
      </c>
      <c r="O1234" s="33" t="str">
        <f ca="1">IFERROR(__xludf.DUMMYFUNCTION("""COMPUTED_VALUE"""),"No Recuerda Orl")</f>
        <v>No Recuerda Orl</v>
      </c>
      <c r="P1234" s="33" t="str">
        <f ca="1">IFERROR(__xludf.DUMMYFUNCTION("""COMPUTED_VALUE"""),"Alberto Moreno (Madrid)")</f>
        <v>Alberto Moreno (Madrid)</v>
      </c>
    </row>
    <row r="1235" spans="2:16">
      <c r="B1235" s="33">
        <f ca="1">IFERROR(__xludf.DUMMYFUNCTION("""COMPUTED_VALUE"""),2025)</f>
        <v>2025</v>
      </c>
      <c r="C1235" s="33">
        <f ca="1">IFERROR(__xludf.DUMMYFUNCTION("""COMPUTED_VALUE"""),10)</f>
        <v>10</v>
      </c>
      <c r="D1235" s="33" t="str">
        <f ca="1">IFERROR(__xludf.DUMMYFUNCTION("""COMPUTED_VALUE"""),"NO")</f>
        <v>NO</v>
      </c>
      <c r="E1235" s="33" t="str">
        <f ca="1">IFERROR(__xludf.DUMMYFUNCTION("""COMPUTED_VALUE"""),"Jerez de la Frontera")</f>
        <v>Jerez de la Frontera</v>
      </c>
      <c r="F1235" s="57">
        <f ca="1">IFERROR(__xludf.DUMMYFUNCTION("""COMPUTED_VALUE"""),45938)</f>
        <v>45938</v>
      </c>
      <c r="G1235" s="57">
        <f ca="1">IFERROR(__xludf.DUMMYFUNCTION("""COMPUTED_VALUE"""),45916)</f>
        <v>45916</v>
      </c>
      <c r="H1235" s="33" t="str">
        <f ca="1">IFERROR(__xludf.DUMMYFUNCTION("""COMPUTED_VALUE"""),"Jerez")</f>
        <v>Jerez</v>
      </c>
      <c r="I1235" s="33" t="str">
        <f ca="1">IFERROR(__xludf.DUMMYFUNCTION("""COMPUTED_VALUE"""),"C202591716337772")</f>
        <v>C202591716337772</v>
      </c>
      <c r="J1235" s="33" t="str">
        <f ca="1">IFERROR(__xludf.DUMMYFUNCTION("""COMPUTED_VALUE"""),"DOLORES NAVARRO MONTIJANO")</f>
        <v>DOLORES NAVARRO MONTIJANO</v>
      </c>
      <c r="K1235" s="33">
        <f ca="1">IFERROR(__xludf.DUMMYFUNCTION("""COMPUTED_VALUE"""),1)</f>
        <v>1</v>
      </c>
      <c r="L1235" s="203">
        <f ca="1">IFERROR(__xludf.DUMMYFUNCTION("""COMPUTED_VALUE"""),2481.82)</f>
        <v>2481.8200000000002</v>
      </c>
      <c r="M1235" s="33" t="str">
        <f ca="1">IFERROR(__xludf.DUMMYFUNCTION("""COMPUTED_VALUE"""),"03 ORL")</f>
        <v>03 ORL</v>
      </c>
      <c r="N1235" s="33" t="str">
        <f ca="1">IFERROR(__xludf.DUMMYFUNCTION("""COMPUTED_VALUE"""),"06 ORL")</f>
        <v>06 ORL</v>
      </c>
      <c r="O1235" s="33" t="str">
        <f ca="1">IFERROR(__xludf.DUMMYFUNCTION("""COMPUTED_VALUE"""),"Dr, Manuel Tucciarone")</f>
        <v>Dr, Manuel Tucciarone</v>
      </c>
      <c r="P1235" s="33" t="str">
        <f ca="1">IFERROR(__xludf.DUMMYFUNCTION("""COMPUTED_VALUE"""),"Luis Alberto Rodríguez (Andalucía y Badajoz)")</f>
        <v>Luis Alberto Rodríguez (Andalucía y Badajoz)</v>
      </c>
    </row>
    <row r="1236" spans="2:16">
      <c r="B1236" s="33">
        <f ca="1">IFERROR(__xludf.DUMMYFUNCTION("""COMPUTED_VALUE"""),2025)</f>
        <v>2025</v>
      </c>
      <c r="C1236" s="33">
        <f ca="1">IFERROR(__xludf.DUMMYFUNCTION("""COMPUTED_VALUE"""),10)</f>
        <v>10</v>
      </c>
      <c r="D1236" s="33" t="str">
        <f ca="1">IFERROR(__xludf.DUMMYFUNCTION("""COMPUTED_VALUE"""),"NO")</f>
        <v>NO</v>
      </c>
      <c r="E1236" s="33" t="str">
        <f ca="1">IFERROR(__xludf.DUMMYFUNCTION("""COMPUTED_VALUE"""),"San Javier")</f>
        <v>San Javier</v>
      </c>
      <c r="F1236" s="57">
        <f ca="1">IFERROR(__xludf.DUMMYFUNCTION("""COMPUTED_VALUE"""),45938)</f>
        <v>45938</v>
      </c>
      <c r="G1236" s="57">
        <f ca="1">IFERROR(__xludf.DUMMYFUNCTION("""COMPUTED_VALUE"""),45916)</f>
        <v>45916</v>
      </c>
      <c r="H1236" s="33" t="str">
        <f ca="1">IFERROR(__xludf.DUMMYFUNCTION("""COMPUTED_VALUE"""),"San Javier")</f>
        <v>San Javier</v>
      </c>
      <c r="I1236" s="33" t="str">
        <f ca="1">IFERROR(__xludf.DUMMYFUNCTION("""COMPUTED_VALUE"""),"C2025917173259990")</f>
        <v>C2025917173259990</v>
      </c>
      <c r="J1236" s="33" t="str">
        <f ca="1">IFERROR(__xludf.DUMMYFUNCTION("""COMPUTED_VALUE"""),"VICTOR LAHUTIN")</f>
        <v>VICTOR LAHUTIN</v>
      </c>
      <c r="K1236" s="33">
        <f ca="1">IFERROR(__xludf.DUMMYFUNCTION("""COMPUTED_VALUE"""),2)</f>
        <v>2</v>
      </c>
      <c r="L1236" s="203">
        <f ca="1">IFERROR(__xludf.DUMMYFUNCTION("""COMPUTED_VALUE"""),3631.82)</f>
        <v>3631.82</v>
      </c>
      <c r="M1236" s="33" t="str">
        <f ca="1">IFERROR(__xludf.DUMMYFUNCTION("""COMPUTED_VALUE"""),"03 ORL")</f>
        <v>03 ORL</v>
      </c>
      <c r="N1236" s="33" t="str">
        <f ca="1">IFERROR(__xludf.DUMMYFUNCTION("""COMPUTED_VALUE"""),"06 ORL")</f>
        <v>06 ORL</v>
      </c>
      <c r="O1236" s="33" t="str">
        <f ca="1">IFERROR(__xludf.DUMMYFUNCTION("""COMPUTED_VALUE"""),"Dra, Ana Giribet Fernández-Pacheco")</f>
        <v>Dra, Ana Giribet Fernández-Pacheco</v>
      </c>
      <c r="P1236" s="33" t="str">
        <f ca="1">IFERROR(__xludf.DUMMYFUNCTION("""COMPUTED_VALUE"""),"Iván Sánchez (Levante Y Albacete)")</f>
        <v>Iván Sánchez (Levante Y Albacete)</v>
      </c>
    </row>
    <row r="1237" spans="2:16">
      <c r="B1237" s="33">
        <f ca="1">IFERROR(__xludf.DUMMYFUNCTION("""COMPUTED_VALUE"""),2025)</f>
        <v>2025</v>
      </c>
      <c r="C1237" s="33">
        <f ca="1">IFERROR(__xludf.DUMMYFUNCTION("""COMPUTED_VALUE"""),10)</f>
        <v>10</v>
      </c>
      <c r="D1237" s="33" t="str">
        <f ca="1">IFERROR(__xludf.DUMMYFUNCTION("""COMPUTED_VALUE"""),"NO")</f>
        <v>NO</v>
      </c>
      <c r="E1237" s="33" t="str">
        <f ca="1">IFERROR(__xludf.DUMMYFUNCTION("""COMPUTED_VALUE"""),"Leganés")</f>
        <v>Leganés</v>
      </c>
      <c r="F1237" s="57">
        <f ca="1">IFERROR(__xludf.DUMMYFUNCTION("""COMPUTED_VALUE"""),45938)</f>
        <v>45938</v>
      </c>
      <c r="G1237" s="57">
        <f ca="1">IFERROR(__xludf.DUMMYFUNCTION("""COMPUTED_VALUE"""),45902)</f>
        <v>45902</v>
      </c>
      <c r="H1237" s="33" t="str">
        <f ca="1">IFERROR(__xludf.DUMMYFUNCTION("""COMPUTED_VALUE"""),"Leganés")</f>
        <v>Leganés</v>
      </c>
      <c r="I1237" s="33" t="str">
        <f ca="1">IFERROR(__xludf.DUMMYFUNCTION("""COMPUTED_VALUE"""),"C20259515548421")</f>
        <v>C20259515548421</v>
      </c>
      <c r="J1237" s="33" t="str">
        <f ca="1">IFERROR(__xludf.DUMMYFUNCTION("""COMPUTED_VALUE"""),"CARMEN MARTOS HIDALGO")</f>
        <v>CARMEN MARTOS HIDALGO</v>
      </c>
      <c r="K1237" s="33">
        <f ca="1">IFERROR(__xludf.DUMMYFUNCTION("""COMPUTED_VALUE"""),2)</f>
        <v>2</v>
      </c>
      <c r="L1237" s="203">
        <f ca="1">IFERROR(__xludf.DUMMYFUNCTION("""COMPUTED_VALUE"""),2701.92)</f>
        <v>2701.92</v>
      </c>
      <c r="M1237" s="33" t="str">
        <f ca="1">IFERROR(__xludf.DUMMYFUNCTION("""COMPUTED_VALUE"""),"03 ORL")</f>
        <v>03 ORL</v>
      </c>
      <c r="N1237" s="33" t="str">
        <f ca="1">IFERROR(__xludf.DUMMYFUNCTION("""COMPUTED_VALUE"""),"06 ORL")</f>
        <v>06 ORL</v>
      </c>
      <c r="O1237" s="33" t="str">
        <f ca="1">IFERROR(__xludf.DUMMYFUNCTION("""COMPUTED_VALUE"""),"Dra, Patricia García Vicente")</f>
        <v>Dra, Patricia García Vicente</v>
      </c>
      <c r="P1237" s="33" t="str">
        <f ca="1">IFERROR(__xludf.DUMMYFUNCTION("""COMPUTED_VALUE"""),"Maika Blázquez (Madrid)")</f>
        <v>Maika Blázquez (Madrid)</v>
      </c>
    </row>
    <row r="1238" spans="2:16">
      <c r="B1238" s="33">
        <f ca="1">IFERROR(__xludf.DUMMYFUNCTION("""COMPUTED_VALUE"""),2025)</f>
        <v>2025</v>
      </c>
      <c r="C1238" s="33">
        <f ca="1">IFERROR(__xludf.DUMMYFUNCTION("""COMPUTED_VALUE"""),10)</f>
        <v>10</v>
      </c>
      <c r="D1238" s="33" t="str">
        <f ca="1">IFERROR(__xludf.DUMMYFUNCTION("""COMPUTED_VALUE"""),"NO")</f>
        <v>NO</v>
      </c>
      <c r="E1238" s="33" t="str">
        <f ca="1">IFERROR(__xludf.DUMMYFUNCTION("""COMPUTED_VALUE"""),"Sevilla- Montoto")</f>
        <v>Sevilla- Montoto</v>
      </c>
      <c r="F1238" s="57">
        <f ca="1">IFERROR(__xludf.DUMMYFUNCTION("""COMPUTED_VALUE"""),45938)</f>
        <v>45938</v>
      </c>
      <c r="G1238" s="57">
        <f ca="1">IFERROR(__xludf.DUMMYFUNCTION("""COMPUTED_VALUE"""),45909)</f>
        <v>45909</v>
      </c>
      <c r="H1238" s="33" t="str">
        <f ca="1">IFERROR(__xludf.DUMMYFUNCTION("""COMPUTED_VALUE"""),"Montoto")</f>
        <v>Montoto</v>
      </c>
      <c r="I1238" s="33" t="str">
        <f ca="1">IFERROR(__xludf.DUMMYFUNCTION("""COMPUTED_VALUE"""),"C2025915172115210")</f>
        <v>C2025915172115210</v>
      </c>
      <c r="J1238" s="33" t="str">
        <f ca="1">IFERROR(__xludf.DUMMYFUNCTION("""COMPUTED_VALUE"""),"ROSARIO SEGURA LORCA")</f>
        <v>ROSARIO SEGURA LORCA</v>
      </c>
      <c r="K1238" s="33">
        <f ca="1">IFERROR(__xludf.DUMMYFUNCTION("""COMPUTED_VALUE"""),2)</f>
        <v>2</v>
      </c>
      <c r="L1238" s="203">
        <f ca="1">IFERROR(__xludf.DUMMYFUNCTION("""COMPUTED_VALUE"""),4136.36)</f>
        <v>4136.3599999999997</v>
      </c>
      <c r="M1238" s="33" t="str">
        <f ca="1">IFERROR(__xludf.DUMMYFUNCTION("""COMPUTED_VALUE"""),"03 ORL")</f>
        <v>03 ORL</v>
      </c>
      <c r="N1238" s="33" t="str">
        <f ca="1">IFERROR(__xludf.DUMMYFUNCTION("""COMPUTED_VALUE"""),"06 ORL")</f>
        <v>06 ORL</v>
      </c>
      <c r="O1238" s="33" t="str">
        <f ca="1">IFERROR(__xludf.DUMMYFUNCTION("""COMPUTED_VALUE"""),"Dra, Zoila Peña Rodríguez")</f>
        <v>Dra, Zoila Peña Rodríguez</v>
      </c>
      <c r="P1238" s="33" t="str">
        <f ca="1">IFERROR(__xludf.DUMMYFUNCTION("""COMPUTED_VALUE"""),"Luis Alberto Rodríguez (Andalucía y Badajoz)")</f>
        <v>Luis Alberto Rodríguez (Andalucía y Badajoz)</v>
      </c>
    </row>
    <row r="1239" spans="2:16">
      <c r="B1239" s="33">
        <f ca="1">IFERROR(__xludf.DUMMYFUNCTION("""COMPUTED_VALUE"""),2025)</f>
        <v>2025</v>
      </c>
      <c r="C1239" s="33">
        <f ca="1">IFERROR(__xludf.DUMMYFUNCTION("""COMPUTED_VALUE"""),10)</f>
        <v>10</v>
      </c>
      <c r="D1239" s="33" t="str">
        <f ca="1">IFERROR(__xludf.DUMMYFUNCTION("""COMPUTED_VALUE"""),"NO")</f>
        <v>NO</v>
      </c>
      <c r="E1239" s="33" t="str">
        <f ca="1">IFERROR(__xludf.DUMMYFUNCTION("""COMPUTED_VALUE"""),"Leganés")</f>
        <v>Leganés</v>
      </c>
      <c r="F1239" s="57">
        <f ca="1">IFERROR(__xludf.DUMMYFUNCTION("""COMPUTED_VALUE"""),45938)</f>
        <v>45938</v>
      </c>
      <c r="G1239" s="57">
        <f ca="1">IFERROR(__xludf.DUMMYFUNCTION("""COMPUTED_VALUE"""),45856)</f>
        <v>45856</v>
      </c>
      <c r="H1239" s="33" t="str">
        <f ca="1">IFERROR(__xludf.DUMMYFUNCTION("""COMPUTED_VALUE"""),"Leganés")</f>
        <v>Leganés</v>
      </c>
      <c r="I1239" s="33" t="str">
        <f ca="1">IFERROR(__xludf.DUMMYFUNCTION("""COMPUTED_VALUE"""),"C2025721112918292")</f>
        <v>C2025721112918292</v>
      </c>
      <c r="J1239" s="33" t="str">
        <f ca="1">IFERROR(__xludf.DUMMYFUNCTION("""COMPUTED_VALUE"""),"ANTONIA GUTIERREZ GOMEZ")</f>
        <v>ANTONIA GUTIERREZ GOMEZ</v>
      </c>
      <c r="K1239" s="33">
        <f ca="1">IFERROR(__xludf.DUMMYFUNCTION("""COMPUTED_VALUE"""),2)</f>
        <v>2</v>
      </c>
      <c r="L1239" s="203">
        <f ca="1">IFERROR(__xludf.DUMMYFUNCTION("""COMPUTED_VALUE"""),3631.82)</f>
        <v>3631.82</v>
      </c>
      <c r="M1239" s="33" t="str">
        <f ca="1">IFERROR(__xludf.DUMMYFUNCTION("""COMPUTED_VALUE"""),"03 ORL")</f>
        <v>03 ORL</v>
      </c>
      <c r="N1239" s="33" t="str">
        <f ca="1">IFERROR(__xludf.DUMMYFUNCTION("""COMPUTED_VALUE"""),"06 ORL")</f>
        <v>06 ORL</v>
      </c>
      <c r="O1239" s="33" t="str">
        <f ca="1">IFERROR(__xludf.DUMMYFUNCTION("""COMPUTED_VALUE"""),"Dra, Alba Domínguez Palos")</f>
        <v>Dra, Alba Domínguez Palos</v>
      </c>
      <c r="P1239" s="33" t="str">
        <f ca="1">IFERROR(__xludf.DUMMYFUNCTION("""COMPUTED_VALUE"""),"Maika Blázquez (Madrid)")</f>
        <v>Maika Blázquez (Madrid)</v>
      </c>
    </row>
    <row r="1240" spans="2:16">
      <c r="B1240" s="33">
        <f ca="1">IFERROR(__xludf.DUMMYFUNCTION("""COMPUTED_VALUE"""),2025)</f>
        <v>2025</v>
      </c>
      <c r="C1240" s="33">
        <f ca="1">IFERROR(__xludf.DUMMYFUNCTION("""COMPUTED_VALUE"""),10)</f>
        <v>10</v>
      </c>
      <c r="D1240" s="33" t="str">
        <f ca="1">IFERROR(__xludf.DUMMYFUNCTION("""COMPUTED_VALUE"""),"NO")</f>
        <v>NO</v>
      </c>
      <c r="E1240" s="33" t="str">
        <f ca="1">IFERROR(__xludf.DUMMYFUNCTION("""COMPUTED_VALUE"""),"Ponferrada")</f>
        <v>Ponferrada</v>
      </c>
      <c r="F1240" s="57">
        <f ca="1">IFERROR(__xludf.DUMMYFUNCTION("""COMPUTED_VALUE"""),45939)</f>
        <v>45939</v>
      </c>
      <c r="G1240" s="57">
        <f ca="1">IFERROR(__xludf.DUMMYFUNCTION("""COMPUTED_VALUE"""),45785)</f>
        <v>45785</v>
      </c>
      <c r="H1240" s="33" t="str">
        <f ca="1">IFERROR(__xludf.DUMMYFUNCTION("""COMPUTED_VALUE"""),"Ponferrada")</f>
        <v>Ponferrada</v>
      </c>
      <c r="I1240" s="33" t="str">
        <f ca="1">IFERROR(__xludf.DUMMYFUNCTION("""COMPUTED_VALUE"""),"PON-920")</f>
        <v>PON-920</v>
      </c>
      <c r="J1240" s="33" t="str">
        <f ca="1">IFERROR(__xludf.DUMMYFUNCTION("""COMPUTED_VALUE"""),"FRANCISCO NUÑEZ NUÑEZ")</f>
        <v>FRANCISCO NUÑEZ NUÑEZ</v>
      </c>
      <c r="K1240" s="33">
        <f ca="1">IFERROR(__xludf.DUMMYFUNCTION("""COMPUTED_VALUE"""),2)</f>
        <v>2</v>
      </c>
      <c r="L1240" s="203">
        <f ca="1">IFERROR(__xludf.DUMMYFUNCTION("""COMPUTED_VALUE"""),3181.82)</f>
        <v>3181.82</v>
      </c>
      <c r="M1240" s="33" t="str">
        <f ca="1">IFERROR(__xludf.DUMMYFUNCTION("""COMPUTED_VALUE"""),"03 ORL")</f>
        <v>03 ORL</v>
      </c>
      <c r="N1240" s="33" t="str">
        <f ca="1">IFERROR(__xludf.DUMMYFUNCTION("""COMPUTED_VALUE"""),"06 ORL")</f>
        <v>06 ORL</v>
      </c>
      <c r="O1240" s="33" t="str">
        <f ca="1">IFERROR(__xludf.DUMMYFUNCTION("""COMPUTED_VALUE"""),"Dra, Diana Lysbeth Lourido Piedrahita")</f>
        <v>Dra, Diana Lysbeth Lourido Piedrahita</v>
      </c>
      <c r="P1240" s="33" t="str">
        <f ca="1">IFERROR(__xludf.DUMMYFUNCTION("""COMPUTED_VALUE"""),"Alberto Moreno (Madrid)")</f>
        <v>Alberto Moreno (Madrid)</v>
      </c>
    </row>
    <row r="1241" spans="2:16">
      <c r="B1241" s="33">
        <f ca="1">IFERROR(__xludf.DUMMYFUNCTION("""COMPUTED_VALUE"""),2025)</f>
        <v>2025</v>
      </c>
      <c r="C1241" s="33">
        <f ca="1">IFERROR(__xludf.DUMMYFUNCTION("""COMPUTED_VALUE"""),10)</f>
        <v>10</v>
      </c>
      <c r="D1241" s="33" t="str">
        <f ca="1">IFERROR(__xludf.DUMMYFUNCTION("""COMPUTED_VALUE"""),"NO")</f>
        <v>NO</v>
      </c>
      <c r="E1241" s="33" t="str">
        <f ca="1">IFERROR(__xludf.DUMMYFUNCTION("""COMPUTED_VALUE"""),"Ponferrada")</f>
        <v>Ponferrada</v>
      </c>
      <c r="F1241" s="57">
        <f ca="1">IFERROR(__xludf.DUMMYFUNCTION("""COMPUTED_VALUE"""),45939)</f>
        <v>45939</v>
      </c>
      <c r="G1241" s="57">
        <f ca="1">IFERROR(__xludf.DUMMYFUNCTION("""COMPUTED_VALUE"""),45759)</f>
        <v>45759</v>
      </c>
      <c r="H1241" s="33" t="str">
        <f ca="1">IFERROR(__xludf.DUMMYFUNCTION("""COMPUTED_VALUE"""),"Ponferrada")</f>
        <v>Ponferrada</v>
      </c>
      <c r="I1241" s="33" t="str">
        <f ca="1">IFERROR(__xludf.DUMMYFUNCTION("""COMPUTED_VALUE"""),"PON-907")</f>
        <v>PON-907</v>
      </c>
      <c r="J1241" s="33" t="str">
        <f ca="1">IFERROR(__xludf.DUMMYFUNCTION("""COMPUTED_VALUE"""),"HERIBERTO MOURIZ MOURIZ")</f>
        <v>HERIBERTO MOURIZ MOURIZ</v>
      </c>
      <c r="K1241" s="33">
        <f ca="1">IFERROR(__xludf.DUMMYFUNCTION("""COMPUTED_VALUE"""),2)</f>
        <v>2</v>
      </c>
      <c r="L1241" s="203">
        <f ca="1">IFERROR(__xludf.DUMMYFUNCTION("""COMPUTED_VALUE"""),3909.09)</f>
        <v>3909.09</v>
      </c>
      <c r="M1241" s="33" t="str">
        <f ca="1">IFERROR(__xludf.DUMMYFUNCTION("""COMPUTED_VALUE"""),"03 ORL")</f>
        <v>03 ORL</v>
      </c>
      <c r="N1241" s="33" t="str">
        <f ca="1">IFERROR(__xludf.DUMMYFUNCTION("""COMPUTED_VALUE"""),"06 ORL")</f>
        <v>06 ORL</v>
      </c>
      <c r="O1241" s="33" t="str">
        <f ca="1">IFERROR(__xludf.DUMMYFUNCTION("""COMPUTED_VALUE"""),"Dra, Diana Lysbeth Lourido Piedrahita")</f>
        <v>Dra, Diana Lysbeth Lourido Piedrahita</v>
      </c>
      <c r="P1241" s="33" t="str">
        <f ca="1">IFERROR(__xludf.DUMMYFUNCTION("""COMPUTED_VALUE"""),"Alberto Moreno (Madrid)")</f>
        <v>Alberto Moreno (Madrid)</v>
      </c>
    </row>
    <row r="1242" spans="2:16">
      <c r="B1242" s="33">
        <f ca="1">IFERROR(__xludf.DUMMYFUNCTION("""COMPUTED_VALUE"""),2025)</f>
        <v>2025</v>
      </c>
      <c r="C1242" s="33">
        <f ca="1">IFERROR(__xludf.DUMMYFUNCTION("""COMPUTED_VALUE"""),10)</f>
        <v>10</v>
      </c>
      <c r="D1242" s="33" t="str">
        <f ca="1">IFERROR(__xludf.DUMMYFUNCTION("""COMPUTED_VALUE"""),"NO")</f>
        <v>NO</v>
      </c>
      <c r="E1242" s="33" t="str">
        <f ca="1">IFERROR(__xludf.DUMMYFUNCTION("""COMPUTED_VALUE"""),"Ponferrada")</f>
        <v>Ponferrada</v>
      </c>
      <c r="F1242" s="57">
        <f ca="1">IFERROR(__xludf.DUMMYFUNCTION("""COMPUTED_VALUE"""),45939)</f>
        <v>45939</v>
      </c>
      <c r="G1242" s="57">
        <f ca="1">IFERROR(__xludf.DUMMYFUNCTION("""COMPUTED_VALUE"""),45806)</f>
        <v>45806</v>
      </c>
      <c r="H1242" s="33" t="str">
        <f ca="1">IFERROR(__xludf.DUMMYFUNCTION("""COMPUTED_VALUE"""),"Ponferrada")</f>
        <v>Ponferrada</v>
      </c>
      <c r="I1242" s="33" t="str">
        <f ca="1">IFERROR(__xludf.DUMMYFUNCTION("""COMPUTED_VALUE"""),"PON-933")</f>
        <v>PON-933</v>
      </c>
      <c r="J1242" s="33" t="str">
        <f ca="1">IFERROR(__xludf.DUMMYFUNCTION("""COMPUTED_VALUE"""),"SILVANA HERNANDEZ DE PABLO")</f>
        <v>SILVANA HERNANDEZ DE PABLO</v>
      </c>
      <c r="K1242" s="33">
        <f ca="1">IFERROR(__xludf.DUMMYFUNCTION("""COMPUTED_VALUE"""),2)</f>
        <v>2</v>
      </c>
      <c r="L1242" s="203">
        <f ca="1">IFERROR(__xludf.DUMMYFUNCTION("""COMPUTED_VALUE"""),3909.09)</f>
        <v>3909.09</v>
      </c>
      <c r="M1242" s="33" t="str">
        <f ca="1">IFERROR(__xludf.DUMMYFUNCTION("""COMPUTED_VALUE"""),"03 ORL")</f>
        <v>03 ORL</v>
      </c>
      <c r="N1242" s="33" t="str">
        <f ca="1">IFERROR(__xludf.DUMMYFUNCTION("""COMPUTED_VALUE"""),"06 ORL")</f>
        <v>06 ORL</v>
      </c>
      <c r="O1242" s="33" t="str">
        <f ca="1">IFERROR(__xludf.DUMMYFUNCTION("""COMPUTED_VALUE"""),"Dra, Mónica Granda Rosales")</f>
        <v>Dra, Mónica Granda Rosales</v>
      </c>
      <c r="P1242" s="33" t="str">
        <f ca="1">IFERROR(__xludf.DUMMYFUNCTION("""COMPUTED_VALUE"""),"Alberto Moreno (Madrid)")</f>
        <v>Alberto Moreno (Madrid)</v>
      </c>
    </row>
    <row r="1243" spans="2:16">
      <c r="B1243" s="33">
        <f ca="1">IFERROR(__xludf.DUMMYFUNCTION("""COMPUTED_VALUE"""),2025)</f>
        <v>2025</v>
      </c>
      <c r="C1243" s="33">
        <f ca="1">IFERROR(__xludf.DUMMYFUNCTION("""COMPUTED_VALUE"""),10)</f>
        <v>10</v>
      </c>
      <c r="D1243" s="33" t="str">
        <f ca="1">IFERROR(__xludf.DUMMYFUNCTION("""COMPUTED_VALUE"""),"NO")</f>
        <v>NO</v>
      </c>
      <c r="E1243" s="33" t="str">
        <f ca="1">IFERROR(__xludf.DUMMYFUNCTION("""COMPUTED_VALUE"""),"Sevilla- Ciencias")</f>
        <v>Sevilla- Ciencias</v>
      </c>
      <c r="F1243" s="57">
        <f ca="1">IFERROR(__xludf.DUMMYFUNCTION("""COMPUTED_VALUE"""),45939)</f>
        <v>45939</v>
      </c>
      <c r="G1243" s="57">
        <f ca="1">IFERROR(__xludf.DUMMYFUNCTION("""COMPUTED_VALUE"""),45912)</f>
        <v>45912</v>
      </c>
      <c r="H1243" s="33" t="str">
        <f ca="1">IFERROR(__xludf.DUMMYFUNCTION("""COMPUTED_VALUE"""),"Sevilla Este")</f>
        <v>Sevilla Este</v>
      </c>
      <c r="I1243" s="33" t="str">
        <f ca="1">IFERROR(__xludf.DUMMYFUNCTION("""COMPUTED_VALUE"""),"SEVE-452")</f>
        <v>SEVE-452</v>
      </c>
      <c r="J1243" s="33" t="str">
        <f ca="1">IFERROR(__xludf.DUMMYFUNCTION("""COMPUTED_VALUE"""),"ANA MARIA MERINO PLAZA")</f>
        <v>ANA MARIA MERINO PLAZA</v>
      </c>
      <c r="K1243" s="33">
        <f ca="1">IFERROR(__xludf.DUMMYFUNCTION("""COMPUTED_VALUE"""),2)</f>
        <v>2</v>
      </c>
      <c r="L1243" s="203">
        <f ca="1">IFERROR(__xludf.DUMMYFUNCTION("""COMPUTED_VALUE"""),2974.55)</f>
        <v>2974.55</v>
      </c>
      <c r="M1243" s="33" t="str">
        <f ca="1">IFERROR(__xludf.DUMMYFUNCTION("""COMPUTED_VALUE"""),"03 ORL")</f>
        <v>03 ORL</v>
      </c>
      <c r="N1243" s="33" t="str">
        <f ca="1">IFERROR(__xludf.DUMMYFUNCTION("""COMPUTED_VALUE"""),"06 ORL")</f>
        <v>06 ORL</v>
      </c>
      <c r="O1243" s="33" t="str">
        <f ca="1">IFERROR(__xludf.DUMMYFUNCTION("""COMPUTED_VALUE"""),"Dr, Enrique Gómez Aldaz")</f>
        <v>Dr, Enrique Gómez Aldaz</v>
      </c>
      <c r="P1243" s="33" t="str">
        <f ca="1">IFERROR(__xludf.DUMMYFUNCTION("""COMPUTED_VALUE"""),"Luis Alberto Rodríguez (Andalucía Y Badajoz)")</f>
        <v>Luis Alberto Rodríguez (Andalucía Y Badajoz)</v>
      </c>
    </row>
    <row r="1244" spans="2:16">
      <c r="B1244" s="33">
        <f ca="1">IFERROR(__xludf.DUMMYFUNCTION("""COMPUTED_VALUE"""),2025)</f>
        <v>2025</v>
      </c>
      <c r="C1244" s="33">
        <f ca="1">IFERROR(__xludf.DUMMYFUNCTION("""COMPUTED_VALUE"""),10)</f>
        <v>10</v>
      </c>
      <c r="D1244" s="33" t="str">
        <f ca="1">IFERROR(__xludf.DUMMYFUNCTION("""COMPUTED_VALUE"""),"NO")</f>
        <v>NO</v>
      </c>
      <c r="E1244" s="33" t="str">
        <f ca="1">IFERROR(__xludf.DUMMYFUNCTION("""COMPUTED_VALUE"""),"Huelva")</f>
        <v>Huelva</v>
      </c>
      <c r="F1244" s="57">
        <f ca="1">IFERROR(__xludf.DUMMYFUNCTION("""COMPUTED_VALUE"""),45939)</f>
        <v>45939</v>
      </c>
      <c r="G1244" s="57">
        <f ca="1">IFERROR(__xludf.DUMMYFUNCTION("""COMPUTED_VALUE"""),45889)</f>
        <v>45889</v>
      </c>
      <c r="H1244" s="33" t="str">
        <f ca="1">IFERROR(__xludf.DUMMYFUNCTION("""COMPUTED_VALUE"""),"Huelva")</f>
        <v>Huelva</v>
      </c>
      <c r="I1244" s="33" t="str">
        <f ca="1">IFERROR(__xludf.DUMMYFUNCTION("""COMPUTED_VALUE"""),"C20258219556483")</f>
        <v>C20258219556483</v>
      </c>
      <c r="J1244" s="33" t="str">
        <f ca="1">IFERROR(__xludf.DUMMYFUNCTION("""COMPUTED_VALUE"""),"FRANCISCO AGUILERA SANCHEZ")</f>
        <v>FRANCISCO AGUILERA SANCHEZ</v>
      </c>
      <c r="K1244" s="33">
        <f ca="1">IFERROR(__xludf.DUMMYFUNCTION("""COMPUTED_VALUE"""),2)</f>
        <v>2</v>
      </c>
      <c r="L1244" s="203">
        <f ca="1">IFERROR(__xludf.DUMMYFUNCTION("""COMPUTED_VALUE"""),2718.18)</f>
        <v>2718.18</v>
      </c>
      <c r="M1244" s="33" t="str">
        <f ca="1">IFERROR(__xludf.DUMMYFUNCTION("""COMPUTED_VALUE"""),"03 ORL")</f>
        <v>03 ORL</v>
      </c>
      <c r="N1244" s="33" t="str">
        <f ca="1">IFERROR(__xludf.DUMMYFUNCTION("""COMPUTED_VALUE"""),"06 ORL")</f>
        <v>06 ORL</v>
      </c>
      <c r="O1244" s="33" t="str">
        <f ca="1">IFERROR(__xludf.DUMMYFUNCTION("""COMPUTED_VALUE"""),"Dra, Noelia García García")</f>
        <v>Dra, Noelia García García</v>
      </c>
      <c r="P1244" s="33" t="str">
        <f ca="1">IFERROR(__xludf.DUMMYFUNCTION("""COMPUTED_VALUE"""),"Luis Alberto Rodríguez (Andalucía y Badajoz)")</f>
        <v>Luis Alberto Rodríguez (Andalucía y Badajoz)</v>
      </c>
    </row>
    <row r="1245" spans="2:16">
      <c r="B1245" s="33">
        <f ca="1">IFERROR(__xludf.DUMMYFUNCTION("""COMPUTED_VALUE"""),2025)</f>
        <v>2025</v>
      </c>
      <c r="C1245" s="33">
        <f ca="1">IFERROR(__xludf.DUMMYFUNCTION("""COMPUTED_VALUE"""),10)</f>
        <v>10</v>
      </c>
      <c r="D1245" s="33" t="str">
        <f ca="1">IFERROR(__xludf.DUMMYFUNCTION("""COMPUTED_VALUE"""),"NO")</f>
        <v>NO</v>
      </c>
      <c r="E1245" s="33" t="str">
        <f ca="1">IFERROR(__xludf.DUMMYFUNCTION("""COMPUTED_VALUE"""),"San Javier")</f>
        <v>San Javier</v>
      </c>
      <c r="F1245" s="57">
        <f ca="1">IFERROR(__xludf.DUMMYFUNCTION("""COMPUTED_VALUE"""),45939)</f>
        <v>45939</v>
      </c>
      <c r="G1245" s="57">
        <f ca="1">IFERROR(__xludf.DUMMYFUNCTION("""COMPUTED_VALUE"""),45902)</f>
        <v>45902</v>
      </c>
      <c r="H1245" s="33" t="str">
        <f ca="1">IFERROR(__xludf.DUMMYFUNCTION("""COMPUTED_VALUE"""),"San Javier")</f>
        <v>San Javier</v>
      </c>
      <c r="I1245" s="33" t="str">
        <f ca="1">IFERROR(__xludf.DUMMYFUNCTION("""COMPUTED_VALUE"""),"C202591116392710")</f>
        <v>C202591116392710</v>
      </c>
      <c r="J1245" s="33" t="str">
        <f ca="1">IFERROR(__xludf.DUMMYFUNCTION("""COMPUTED_VALUE"""),"ROSARIO ROS CEGARRA")</f>
        <v>ROSARIO ROS CEGARRA</v>
      </c>
      <c r="K1245" s="33">
        <f ca="1">IFERROR(__xludf.DUMMYFUNCTION("""COMPUTED_VALUE"""),2)</f>
        <v>2</v>
      </c>
      <c r="L1245" s="203">
        <f ca="1">IFERROR(__xludf.DUMMYFUNCTION("""COMPUTED_VALUE"""),2718.18)</f>
        <v>2718.18</v>
      </c>
      <c r="M1245" s="33" t="str">
        <f ca="1">IFERROR(__xludf.DUMMYFUNCTION("""COMPUTED_VALUE"""),"03 ORL")</f>
        <v>03 ORL</v>
      </c>
      <c r="N1245" s="33" t="str">
        <f ca="1">IFERROR(__xludf.DUMMYFUNCTION("""COMPUTED_VALUE"""),"06 ORL")</f>
        <v>06 ORL</v>
      </c>
      <c r="O1245" s="33" t="str">
        <f ca="1">IFERROR(__xludf.DUMMYFUNCTION("""COMPUTED_VALUE"""),"Dra, Laura Espinosa Fernández")</f>
        <v>Dra, Laura Espinosa Fernández</v>
      </c>
      <c r="P1245" s="33" t="str">
        <f ca="1">IFERROR(__xludf.DUMMYFUNCTION("""COMPUTED_VALUE"""),"Iván Sánchez (Levante Y Albacete)")</f>
        <v>Iván Sánchez (Levante Y Albacete)</v>
      </c>
    </row>
    <row r="1246" spans="2:16">
      <c r="B1246" s="33">
        <f ca="1">IFERROR(__xludf.DUMMYFUNCTION("""COMPUTED_VALUE"""),2025)</f>
        <v>2025</v>
      </c>
      <c r="C1246" s="33">
        <f ca="1">IFERROR(__xludf.DUMMYFUNCTION("""COMPUTED_VALUE"""),10)</f>
        <v>10</v>
      </c>
      <c r="D1246" s="33" t="str">
        <f ca="1">IFERROR(__xludf.DUMMYFUNCTION("""COMPUTED_VALUE"""),"NO")</f>
        <v>NO</v>
      </c>
      <c r="E1246" s="33" t="str">
        <f ca="1">IFERROR(__xludf.DUMMYFUNCTION("""COMPUTED_VALUE"""),"San Javier")</f>
        <v>San Javier</v>
      </c>
      <c r="F1246" s="57">
        <f ca="1">IFERROR(__xludf.DUMMYFUNCTION("""COMPUTED_VALUE"""),45939)</f>
        <v>45939</v>
      </c>
      <c r="G1246" s="57">
        <f ca="1">IFERROR(__xludf.DUMMYFUNCTION("""COMPUTED_VALUE"""),45915)</f>
        <v>45915</v>
      </c>
      <c r="H1246" s="33" t="str">
        <f ca="1">IFERROR(__xludf.DUMMYFUNCTION("""COMPUTED_VALUE"""),"San Javier")</f>
        <v>San Javier</v>
      </c>
      <c r="I1246" s="33" t="str">
        <f ca="1">IFERROR(__xludf.DUMMYFUNCTION("""COMPUTED_VALUE"""),"C202591518017464")</f>
        <v>C202591518017464</v>
      </c>
      <c r="J1246" s="33" t="str">
        <f ca="1">IFERROR(__xludf.DUMMYFUNCTION("""COMPUTED_VALUE"""),"ROSA MARIA ISABEL PALOMERO GARCIA")</f>
        <v>ROSA MARIA ISABEL PALOMERO GARCIA</v>
      </c>
      <c r="K1246" s="33">
        <f ca="1">IFERROR(__xludf.DUMMYFUNCTION("""COMPUTED_VALUE"""),2)</f>
        <v>2</v>
      </c>
      <c r="L1246" s="203">
        <f ca="1">IFERROR(__xludf.DUMMYFUNCTION("""COMPUTED_VALUE"""),2718.18)</f>
        <v>2718.18</v>
      </c>
      <c r="M1246" s="33" t="str">
        <f ca="1">IFERROR(__xludf.DUMMYFUNCTION("""COMPUTED_VALUE"""),"03 ORL")</f>
        <v>03 ORL</v>
      </c>
      <c r="N1246" s="33" t="str">
        <f ca="1">IFERROR(__xludf.DUMMYFUNCTION("""COMPUTED_VALUE"""),"06 ORL")</f>
        <v>06 ORL</v>
      </c>
      <c r="O1246" s="33" t="str">
        <f ca="1">IFERROR(__xludf.DUMMYFUNCTION("""COMPUTED_VALUE"""),"Dra, Ana Giribet Fernández-Pacheco")</f>
        <v>Dra, Ana Giribet Fernández-Pacheco</v>
      </c>
      <c r="P1246" s="33" t="str">
        <f ca="1">IFERROR(__xludf.DUMMYFUNCTION("""COMPUTED_VALUE"""),"Iván Sánchez (Levante Y Albacete)")</f>
        <v>Iván Sánchez (Levante Y Albacete)</v>
      </c>
    </row>
    <row r="1247" spans="2:16">
      <c r="B1247" s="33">
        <f ca="1">IFERROR(__xludf.DUMMYFUNCTION("""COMPUTED_VALUE"""),2025)</f>
        <v>2025</v>
      </c>
      <c r="C1247" s="33">
        <f ca="1">IFERROR(__xludf.DUMMYFUNCTION("""COMPUTED_VALUE"""),10)</f>
        <v>10</v>
      </c>
      <c r="D1247" s="33" t="str">
        <f ca="1">IFERROR(__xludf.DUMMYFUNCTION("""COMPUTED_VALUE"""),"NO")</f>
        <v>NO</v>
      </c>
      <c r="E1247" s="33" t="str">
        <f ca="1">IFERROR(__xludf.DUMMYFUNCTION("""COMPUTED_VALUE"""),"Murcia")</f>
        <v>Murcia</v>
      </c>
      <c r="F1247" s="57">
        <f ca="1">IFERROR(__xludf.DUMMYFUNCTION("""COMPUTED_VALUE"""),45939)</f>
        <v>45939</v>
      </c>
      <c r="G1247" s="57">
        <f ca="1">IFERROR(__xludf.DUMMYFUNCTION("""COMPUTED_VALUE"""),45911)</f>
        <v>45911</v>
      </c>
      <c r="H1247" s="33" t="str">
        <f ca="1">IFERROR(__xludf.DUMMYFUNCTION("""COMPUTED_VALUE"""),"Murcia")</f>
        <v>Murcia</v>
      </c>
      <c r="I1247" s="33" t="str">
        <f ca="1">IFERROR(__xludf.DUMMYFUNCTION("""COMPUTED_VALUE"""),"C202591212628201")</f>
        <v>C202591212628201</v>
      </c>
      <c r="J1247" s="33" t="str">
        <f ca="1">IFERROR(__xludf.DUMMYFUNCTION("""COMPUTED_VALUE"""),"MARIA BELEN FUERTES VIVANCOS")</f>
        <v>MARIA BELEN FUERTES VIVANCOS</v>
      </c>
      <c r="K1247" s="33">
        <f ca="1">IFERROR(__xludf.DUMMYFUNCTION("""COMPUTED_VALUE"""),2)</f>
        <v>2</v>
      </c>
      <c r="L1247" s="203">
        <f ca="1">IFERROR(__xludf.DUMMYFUNCTION("""COMPUTED_VALUE"""),3722.73)</f>
        <v>3722.73</v>
      </c>
      <c r="M1247" s="33" t="str">
        <f ca="1">IFERROR(__xludf.DUMMYFUNCTION("""COMPUTED_VALUE"""),"03 ORL")</f>
        <v>03 ORL</v>
      </c>
      <c r="N1247" s="33" t="str">
        <f ca="1">IFERROR(__xludf.DUMMYFUNCTION("""COMPUTED_VALUE"""),"06 ORL")</f>
        <v>06 ORL</v>
      </c>
      <c r="O1247" s="33" t="str">
        <f ca="1">IFERROR(__xludf.DUMMYFUNCTION("""COMPUTED_VALUE"""),"Dra, María Agustina Sevilla García")</f>
        <v>Dra, María Agustina Sevilla García</v>
      </c>
      <c r="P1247" s="33" t="str">
        <f ca="1">IFERROR(__xludf.DUMMYFUNCTION("""COMPUTED_VALUE"""),"Iván Sánchez (Levante Y Albacete)")</f>
        <v>Iván Sánchez (Levante Y Albacete)</v>
      </c>
    </row>
    <row r="1248" spans="2:16">
      <c r="B1248" s="33">
        <f ca="1">IFERROR(__xludf.DUMMYFUNCTION("""COMPUTED_VALUE"""),2025)</f>
        <v>2025</v>
      </c>
      <c r="C1248" s="33">
        <f ca="1">IFERROR(__xludf.DUMMYFUNCTION("""COMPUTED_VALUE"""),10)</f>
        <v>10</v>
      </c>
      <c r="D1248" s="33" t="str">
        <f ca="1">IFERROR(__xludf.DUMMYFUNCTION("""COMPUTED_VALUE"""),"NO")</f>
        <v>NO</v>
      </c>
      <c r="E1248" s="33" t="str">
        <f ca="1">IFERROR(__xludf.DUMMYFUNCTION("""COMPUTED_VALUE"""),"Murcia")</f>
        <v>Murcia</v>
      </c>
      <c r="F1248" s="57">
        <f ca="1">IFERROR(__xludf.DUMMYFUNCTION("""COMPUTED_VALUE"""),45939)</f>
        <v>45939</v>
      </c>
      <c r="G1248" s="57">
        <f ca="1">IFERROR(__xludf.DUMMYFUNCTION("""COMPUTED_VALUE"""),45911)</f>
        <v>45911</v>
      </c>
      <c r="H1248" s="33" t="str">
        <f ca="1">IFERROR(__xludf.DUMMYFUNCTION("""COMPUTED_VALUE"""),"Murcia")</f>
        <v>Murcia</v>
      </c>
      <c r="I1248" s="33" t="str">
        <f ca="1">IFERROR(__xludf.DUMMYFUNCTION("""COMPUTED_VALUE"""),"C202591212423650")</f>
        <v>C202591212423650</v>
      </c>
      <c r="J1248" s="33" t="str">
        <f ca="1">IFERROR(__xludf.DUMMYFUNCTION("""COMPUTED_VALUE"""),"ALFONSO ANTONIO CAJA LOPEZ")</f>
        <v>ALFONSO ANTONIO CAJA LOPEZ</v>
      </c>
      <c r="K1248" s="33">
        <f ca="1">IFERROR(__xludf.DUMMYFUNCTION("""COMPUTED_VALUE"""),2)</f>
        <v>2</v>
      </c>
      <c r="L1248" s="203">
        <f ca="1">IFERROR(__xludf.DUMMYFUNCTION("""COMPUTED_VALUE"""),3722.73)</f>
        <v>3722.73</v>
      </c>
      <c r="M1248" s="33" t="str">
        <f ca="1">IFERROR(__xludf.DUMMYFUNCTION("""COMPUTED_VALUE"""),"03 ORL")</f>
        <v>03 ORL</v>
      </c>
      <c r="N1248" s="33" t="str">
        <f ca="1">IFERROR(__xludf.DUMMYFUNCTION("""COMPUTED_VALUE"""),"06 ORL")</f>
        <v>06 ORL</v>
      </c>
      <c r="O1248" s="33" t="str">
        <f ca="1">IFERROR(__xludf.DUMMYFUNCTION("""COMPUTED_VALUE"""),"Dra, María Agustina Sevilla García")</f>
        <v>Dra, María Agustina Sevilla García</v>
      </c>
      <c r="P1248" s="33" t="str">
        <f ca="1">IFERROR(__xludf.DUMMYFUNCTION("""COMPUTED_VALUE"""),"Iván Sánchez (Levante Y Albacete)")</f>
        <v>Iván Sánchez (Levante Y Albacete)</v>
      </c>
    </row>
    <row r="1249" spans="2:16">
      <c r="B1249" s="33">
        <f ca="1">IFERROR(__xludf.DUMMYFUNCTION("""COMPUTED_VALUE"""),2025)</f>
        <v>2025</v>
      </c>
      <c r="C1249" s="33">
        <f ca="1">IFERROR(__xludf.DUMMYFUNCTION("""COMPUTED_VALUE"""),10)</f>
        <v>10</v>
      </c>
      <c r="D1249" s="33" t="str">
        <f ca="1">IFERROR(__xludf.DUMMYFUNCTION("""COMPUTED_VALUE"""),"NO")</f>
        <v>NO</v>
      </c>
      <c r="E1249" s="33" t="str">
        <f ca="1">IFERROR(__xludf.DUMMYFUNCTION("""COMPUTED_VALUE"""),"Madrid- Moratalaz")</f>
        <v>Madrid- Moratalaz</v>
      </c>
      <c r="F1249" s="57">
        <f ca="1">IFERROR(__xludf.DUMMYFUNCTION("""COMPUTED_VALUE"""),45939)</f>
        <v>45939</v>
      </c>
      <c r="G1249" s="57">
        <f ca="1">IFERROR(__xludf.DUMMYFUNCTION("""COMPUTED_VALUE"""),45870)</f>
        <v>45870</v>
      </c>
      <c r="H1249" s="33" t="str">
        <f ca="1">IFERROR(__xludf.DUMMYFUNCTION("""COMPUTED_VALUE"""),"Moratalaz")</f>
        <v>Moratalaz</v>
      </c>
      <c r="I1249" s="33" t="str">
        <f ca="1">IFERROR(__xludf.DUMMYFUNCTION("""COMPUTED_VALUE"""),"C20258112333433")</f>
        <v>C20258112333433</v>
      </c>
      <c r="J1249" s="33" t="str">
        <f ca="1">IFERROR(__xludf.DUMMYFUNCTION("""COMPUTED_VALUE"""),"ROSALIA GARCIA MARIA")</f>
        <v>ROSALIA GARCIA MARIA</v>
      </c>
      <c r="K1249" s="33">
        <f ca="1">IFERROR(__xludf.DUMMYFUNCTION("""COMPUTED_VALUE"""),2)</f>
        <v>2</v>
      </c>
      <c r="L1249" s="203">
        <f ca="1">IFERROR(__xludf.DUMMYFUNCTION("""COMPUTED_VALUE"""),2454.55)</f>
        <v>2454.5500000000002</v>
      </c>
      <c r="M1249" s="33" t="str">
        <f ca="1">IFERROR(__xludf.DUMMYFUNCTION("""COMPUTED_VALUE"""),"03 ORL")</f>
        <v>03 ORL</v>
      </c>
      <c r="N1249" s="33" t="str">
        <f ca="1">IFERROR(__xludf.DUMMYFUNCTION("""COMPUTED_VALUE"""),"06 ORL")</f>
        <v>06 ORL</v>
      </c>
      <c r="O1249" s="33" t="str">
        <f ca="1">IFERROR(__xludf.DUMMYFUNCTION("""COMPUTED_VALUE"""),"Dr, Antonio Rodríguez Rivero")</f>
        <v>Dr, Antonio Rodríguez Rivero</v>
      </c>
      <c r="P1249" s="33" t="str">
        <f ca="1">IFERROR(__xludf.DUMMYFUNCTION("""COMPUTED_VALUE"""),"Maika Blázquez (Madrid)")</f>
        <v>Maika Blázquez (Madrid)</v>
      </c>
    </row>
    <row r="1250" spans="2:16">
      <c r="B1250" s="33">
        <f ca="1">IFERROR(__xludf.DUMMYFUNCTION("""COMPUTED_VALUE"""),2025)</f>
        <v>2025</v>
      </c>
      <c r="C1250" s="33">
        <f ca="1">IFERROR(__xludf.DUMMYFUNCTION("""COMPUTED_VALUE"""),10)</f>
        <v>10</v>
      </c>
      <c r="D1250" s="33" t="str">
        <f ca="1">IFERROR(__xludf.DUMMYFUNCTION("""COMPUTED_VALUE"""),"NO")</f>
        <v>NO</v>
      </c>
      <c r="E1250" s="33" t="str">
        <f ca="1">IFERROR(__xludf.DUMMYFUNCTION("""COMPUTED_VALUE"""),"Cáceres")</f>
        <v>Cáceres</v>
      </c>
      <c r="F1250" s="57">
        <f ca="1">IFERROR(__xludf.DUMMYFUNCTION("""COMPUTED_VALUE"""),45940)</f>
        <v>45940</v>
      </c>
      <c r="G1250" s="57">
        <f ca="1">IFERROR(__xludf.DUMMYFUNCTION("""COMPUTED_VALUE"""),45910)</f>
        <v>45910</v>
      </c>
      <c r="H1250" s="33" t="str">
        <f ca="1">IFERROR(__xludf.DUMMYFUNCTION("""COMPUTED_VALUE"""),"Cáceres")</f>
        <v>Cáceres</v>
      </c>
      <c r="I1250" s="33" t="str">
        <f ca="1">IFERROR(__xludf.DUMMYFUNCTION("""COMPUTED_VALUE"""),"CAC-385")</f>
        <v>CAC-385</v>
      </c>
      <c r="J1250" s="33" t="str">
        <f ca="1">IFERROR(__xludf.DUMMYFUNCTION("""COMPUTED_VALUE"""),"MANUELA GUTIERREZ AGUDO")</f>
        <v>MANUELA GUTIERREZ AGUDO</v>
      </c>
      <c r="K1250" s="33">
        <f ca="1">IFERROR(__xludf.DUMMYFUNCTION("""COMPUTED_VALUE"""),2)</f>
        <v>2</v>
      </c>
      <c r="L1250" s="203">
        <f ca="1">IFERROR(__xludf.DUMMYFUNCTION("""COMPUTED_VALUE"""),4203.64)</f>
        <v>4203.6400000000003</v>
      </c>
      <c r="M1250" s="33" t="str">
        <f ca="1">IFERROR(__xludf.DUMMYFUNCTION("""COMPUTED_VALUE"""),"03 ORL")</f>
        <v>03 ORL</v>
      </c>
      <c r="N1250" s="33" t="str">
        <f ca="1">IFERROR(__xludf.DUMMYFUNCTION("""COMPUTED_VALUE"""),"06 ORL")</f>
        <v>06 ORL</v>
      </c>
      <c r="O1250" s="33" t="str">
        <f ca="1">IFERROR(__xludf.DUMMYFUNCTION("""COMPUTED_VALUE"""),"Dr, Rafael Sanz Trenado")</f>
        <v>Dr, Rafael Sanz Trenado</v>
      </c>
      <c r="P1250" s="33" t="str">
        <f ca="1">IFERROR(__xludf.DUMMYFUNCTION("""COMPUTED_VALUE"""),"Lisandro Russian (Madrid, Cáceres, Toledo, Talavera Y Logroño)")</f>
        <v>Lisandro Russian (Madrid, Cáceres, Toledo, Talavera Y Logroño)</v>
      </c>
    </row>
    <row r="1251" spans="2:16">
      <c r="B1251" s="33">
        <f ca="1">IFERROR(__xludf.DUMMYFUNCTION("""COMPUTED_VALUE"""),2025)</f>
        <v>2025</v>
      </c>
      <c r="C1251" s="33">
        <f ca="1">IFERROR(__xludf.DUMMYFUNCTION("""COMPUTED_VALUE"""),10)</f>
        <v>10</v>
      </c>
      <c r="D1251" s="33" t="str">
        <f ca="1">IFERROR(__xludf.DUMMYFUNCTION("""COMPUTED_VALUE"""),"NO")</f>
        <v>NO</v>
      </c>
      <c r="E1251" s="33" t="str">
        <f ca="1">IFERROR(__xludf.DUMMYFUNCTION("""COMPUTED_VALUE"""),"Torrejón de Ardoz")</f>
        <v>Torrejón de Ardoz</v>
      </c>
      <c r="F1251" s="57">
        <f ca="1">IFERROR(__xludf.DUMMYFUNCTION("""COMPUTED_VALUE"""),45940)</f>
        <v>45940</v>
      </c>
      <c r="G1251" s="57">
        <f ca="1">IFERROR(__xludf.DUMMYFUNCTION("""COMPUTED_VALUE"""),45909)</f>
        <v>45909</v>
      </c>
      <c r="H1251" s="33" t="str">
        <f ca="1">IFERROR(__xludf.DUMMYFUNCTION("""COMPUTED_VALUE"""),"Torrejón")</f>
        <v>Torrejón</v>
      </c>
      <c r="I1251" s="33" t="str">
        <f ca="1">IFERROR(__xludf.DUMMYFUNCTION("""COMPUTED_VALUE"""),"C2025911111455715")</f>
        <v>C2025911111455715</v>
      </c>
      <c r="J1251" s="33" t="str">
        <f ca="1">IFERROR(__xludf.DUMMYFUNCTION("""COMPUTED_VALUE"""),"FRANCISCA HURTADO IGLESIAS")</f>
        <v>FRANCISCA HURTADO IGLESIAS</v>
      </c>
      <c r="K1251" s="33">
        <f ca="1">IFERROR(__xludf.DUMMYFUNCTION("""COMPUTED_VALUE"""),2)</f>
        <v>2</v>
      </c>
      <c r="L1251" s="203">
        <f ca="1">IFERROR(__xludf.DUMMYFUNCTION("""COMPUTED_VALUE"""),3631.82)</f>
        <v>3631.82</v>
      </c>
      <c r="M1251" s="33" t="str">
        <f ca="1">IFERROR(__xludf.DUMMYFUNCTION("""COMPUTED_VALUE"""),"03 ORL")</f>
        <v>03 ORL</v>
      </c>
      <c r="N1251" s="33" t="str">
        <f ca="1">IFERROR(__xludf.DUMMYFUNCTION("""COMPUTED_VALUE"""),"06 ORL")</f>
        <v>06 ORL</v>
      </c>
      <c r="O1251" s="33" t="str">
        <f ca="1">IFERROR(__xludf.DUMMYFUNCTION("""COMPUTED_VALUE"""),"Dr, Abel Bogoya Castaño")</f>
        <v>Dr, Abel Bogoya Castaño</v>
      </c>
      <c r="P1251" s="33" t="str">
        <f ca="1">IFERROR(__xludf.DUMMYFUNCTION("""COMPUTED_VALUE"""),"Maika Blázquez (Madrid)")</f>
        <v>Maika Blázquez (Madrid)</v>
      </c>
    </row>
    <row r="1252" spans="2:16">
      <c r="B1252" s="33">
        <f ca="1">IFERROR(__xludf.DUMMYFUNCTION("""COMPUTED_VALUE"""),2025)</f>
        <v>2025</v>
      </c>
      <c r="C1252" s="33">
        <f ca="1">IFERROR(__xludf.DUMMYFUNCTION("""COMPUTED_VALUE"""),10)</f>
        <v>10</v>
      </c>
      <c r="D1252" s="33" t="str">
        <f ca="1">IFERROR(__xludf.DUMMYFUNCTION("""COMPUTED_VALUE"""),"NO")</f>
        <v>NO</v>
      </c>
      <c r="E1252" s="33" t="str">
        <f ca="1">IFERROR(__xludf.DUMMYFUNCTION("""COMPUTED_VALUE"""),"Valencia- Parra")</f>
        <v>Valencia- Parra</v>
      </c>
      <c r="F1252" s="57">
        <f ca="1">IFERROR(__xludf.DUMMYFUNCTION("""COMPUTED_VALUE"""),45940)</f>
        <v>45940</v>
      </c>
      <c r="G1252" s="57">
        <f ca="1">IFERROR(__xludf.DUMMYFUNCTION("""COMPUTED_VALUE"""),45797)</f>
        <v>45797</v>
      </c>
      <c r="H1252" s="33" t="str">
        <f ca="1">IFERROR(__xludf.DUMMYFUNCTION("""COMPUTED_VALUE"""),"Valencia- Parra")</f>
        <v>Valencia- Parra</v>
      </c>
      <c r="I1252" s="33" t="str">
        <f ca="1">IFERROR(__xludf.DUMMYFUNCTION("""COMPUTED_VALUE"""),"C2025630165839246")</f>
        <v>C2025630165839246</v>
      </c>
      <c r="J1252" s="33" t="str">
        <f ca="1">IFERROR(__xludf.DUMMYFUNCTION("""COMPUTED_VALUE"""),"GLORIA CABEDO GISBERT")</f>
        <v>GLORIA CABEDO GISBERT</v>
      </c>
      <c r="K1252" s="33">
        <f ca="1">IFERROR(__xludf.DUMMYFUNCTION("""COMPUTED_VALUE"""),2)</f>
        <v>2</v>
      </c>
      <c r="L1252" s="203">
        <f ca="1">IFERROR(__xludf.DUMMYFUNCTION("""COMPUTED_VALUE"""),2718.18)</f>
        <v>2718.18</v>
      </c>
      <c r="M1252" s="33" t="str">
        <f ca="1">IFERROR(__xludf.DUMMYFUNCTION("""COMPUTED_VALUE"""),"03 ORL")</f>
        <v>03 ORL</v>
      </c>
      <c r="N1252" s="33" t="str">
        <f ca="1">IFERROR(__xludf.DUMMYFUNCTION("""COMPUTED_VALUE"""),"06 ORL")</f>
        <v>06 ORL</v>
      </c>
      <c r="O1252" s="33" t="str">
        <f ca="1">IFERROR(__xludf.DUMMYFUNCTION("""COMPUTED_VALUE"""),"Dra, Ainhoa García-Lliberos de Miguel")</f>
        <v>Dra, Ainhoa García-Lliberos de Miguel</v>
      </c>
      <c r="P1252" s="33" t="str">
        <f ca="1">IFERROR(__xludf.DUMMYFUNCTION("""COMPUTED_VALUE"""),"Ramon Ferrando(Valencia)")</f>
        <v>Ramon Ferrando(Valencia)</v>
      </c>
    </row>
    <row r="1253" spans="2:16">
      <c r="B1253" s="33">
        <f ca="1">IFERROR(__xludf.DUMMYFUNCTION("""COMPUTED_VALUE"""),2025)</f>
        <v>2025</v>
      </c>
      <c r="C1253" s="33">
        <f ca="1">IFERROR(__xludf.DUMMYFUNCTION("""COMPUTED_VALUE"""),10)</f>
        <v>10</v>
      </c>
      <c r="D1253" s="33" t="str">
        <f ca="1">IFERROR(__xludf.DUMMYFUNCTION("""COMPUTED_VALUE"""),"NO")</f>
        <v>NO</v>
      </c>
      <c r="E1253" s="33" t="str">
        <f ca="1">IFERROR(__xludf.DUMMYFUNCTION("""COMPUTED_VALUE"""),"Huelva")</f>
        <v>Huelva</v>
      </c>
      <c r="F1253" s="57">
        <f ca="1">IFERROR(__xludf.DUMMYFUNCTION("""COMPUTED_VALUE"""),45940)</f>
        <v>45940</v>
      </c>
      <c r="G1253" s="57">
        <f ca="1">IFERROR(__xludf.DUMMYFUNCTION("""COMPUTED_VALUE"""),45861)</f>
        <v>45861</v>
      </c>
      <c r="H1253" s="33" t="str">
        <f ca="1">IFERROR(__xludf.DUMMYFUNCTION("""COMPUTED_VALUE"""),"Huelva")</f>
        <v>Huelva</v>
      </c>
      <c r="I1253" s="33" t="str">
        <f ca="1">IFERROR(__xludf.DUMMYFUNCTION("""COMPUTED_VALUE"""),"C2025728162656800")</f>
        <v>C2025728162656800</v>
      </c>
      <c r="J1253" s="33" t="str">
        <f ca="1">IFERROR(__xludf.DUMMYFUNCTION("""COMPUTED_VALUE"""),"LETICIA RIVERA CASTILLA")</f>
        <v>LETICIA RIVERA CASTILLA</v>
      </c>
      <c r="K1253" s="33">
        <f ca="1">IFERROR(__xludf.DUMMYFUNCTION("""COMPUTED_VALUE"""),1)</f>
        <v>1</v>
      </c>
      <c r="L1253" s="203">
        <f ca="1">IFERROR(__xludf.DUMMYFUNCTION("""COMPUTED_VALUE"""),2233.64)</f>
        <v>2233.64</v>
      </c>
      <c r="M1253" s="33" t="str">
        <f ca="1">IFERROR(__xludf.DUMMYFUNCTION("""COMPUTED_VALUE"""),"03 ORL")</f>
        <v>03 ORL</v>
      </c>
      <c r="N1253" s="33" t="str">
        <f ca="1">IFERROR(__xludf.DUMMYFUNCTION("""COMPUTED_VALUE"""),"06 ORL")</f>
        <v>06 ORL</v>
      </c>
      <c r="O1253" s="33" t="str">
        <f ca="1">IFERROR(__xludf.DUMMYFUNCTION("""COMPUTED_VALUE"""),"Dra, Maria Teresa Cervilla Martín")</f>
        <v>Dra, Maria Teresa Cervilla Martín</v>
      </c>
      <c r="P1253" s="33" t="str">
        <f ca="1">IFERROR(__xludf.DUMMYFUNCTION("""COMPUTED_VALUE"""),"Luis Alberto Rodríguez (Andalucía y Badajoz)")</f>
        <v>Luis Alberto Rodríguez (Andalucía y Badajoz)</v>
      </c>
    </row>
    <row r="1254" spans="2:16">
      <c r="B1254" s="33">
        <f ca="1">IFERROR(__xludf.DUMMYFUNCTION("""COMPUTED_VALUE"""),2025)</f>
        <v>2025</v>
      </c>
      <c r="C1254" s="33">
        <f ca="1">IFERROR(__xludf.DUMMYFUNCTION("""COMPUTED_VALUE"""),10)</f>
        <v>10</v>
      </c>
      <c r="D1254" s="33" t="str">
        <f ca="1">IFERROR(__xludf.DUMMYFUNCTION("""COMPUTED_VALUE"""),"NO")</f>
        <v>NO</v>
      </c>
      <c r="E1254" s="33" t="str">
        <f ca="1">IFERROR(__xludf.DUMMYFUNCTION("""COMPUTED_VALUE"""),"Hospitalet de Llobregat")</f>
        <v>Hospitalet de Llobregat</v>
      </c>
      <c r="F1254" s="57">
        <f ca="1">IFERROR(__xludf.DUMMYFUNCTION("""COMPUTED_VALUE"""),45940)</f>
        <v>45940</v>
      </c>
      <c r="G1254" s="57">
        <f ca="1">IFERROR(__xludf.DUMMYFUNCTION("""COMPUTED_VALUE"""),45901)</f>
        <v>45901</v>
      </c>
      <c r="H1254" s="33" t="str">
        <f ca="1">IFERROR(__xludf.DUMMYFUNCTION("""COMPUTED_VALUE"""),"Hospitalet")</f>
        <v>Hospitalet</v>
      </c>
      <c r="I1254" s="33" t="str">
        <f ca="1">IFERROR(__xludf.DUMMYFUNCTION("""COMPUTED_VALUE"""),"C202510610250535")</f>
        <v>C202510610250535</v>
      </c>
      <c r="J1254" s="33" t="str">
        <f ca="1">IFERROR(__xludf.DUMMYFUNCTION("""COMPUTED_VALUE"""),"José Costal")</f>
        <v>José Costal</v>
      </c>
      <c r="K1254" s="33">
        <f ca="1">IFERROR(__xludf.DUMMYFUNCTION("""COMPUTED_VALUE"""),2)</f>
        <v>2</v>
      </c>
      <c r="L1254" s="203">
        <f ca="1">IFERROR(__xludf.DUMMYFUNCTION("""COMPUTED_VALUE"""),4136.36)</f>
        <v>4136.3599999999997</v>
      </c>
      <c r="M1254" s="33" t="str">
        <f ca="1">IFERROR(__xludf.DUMMYFUNCTION("""COMPUTED_VALUE"""),"03 ORL")</f>
        <v>03 ORL</v>
      </c>
      <c r="N1254" s="33" t="str">
        <f ca="1">IFERROR(__xludf.DUMMYFUNCTION("""COMPUTED_VALUE"""),"06 ORL")</f>
        <v>06 ORL</v>
      </c>
      <c r="O1254" s="33" t="str">
        <f ca="1">IFERROR(__xludf.DUMMYFUNCTION("""COMPUTED_VALUE"""),"Dr, Camilo Rodríguez Van Strahle")</f>
        <v>Dr, Camilo Rodríguez Van Strahle</v>
      </c>
      <c r="P1254" s="33" t="str">
        <f ca="1">IFERROR(__xludf.DUMMYFUNCTION("""COMPUTED_VALUE"""),"Mercè Cabrera (Cataluña Y Baleares)")</f>
        <v>Mercè Cabrera (Cataluña Y Baleares)</v>
      </c>
    </row>
    <row r="1255" spans="2:16">
      <c r="B1255" s="33">
        <f ca="1">IFERROR(__xludf.DUMMYFUNCTION("""COMPUTED_VALUE"""),2025)</f>
        <v>2025</v>
      </c>
      <c r="C1255" s="33">
        <f ca="1">IFERROR(__xludf.DUMMYFUNCTION("""COMPUTED_VALUE"""),10)</f>
        <v>10</v>
      </c>
      <c r="D1255" s="33" t="str">
        <f ca="1">IFERROR(__xludf.DUMMYFUNCTION("""COMPUTED_VALUE"""),"NO")</f>
        <v>NO</v>
      </c>
      <c r="E1255" s="33" t="str">
        <f ca="1">IFERROR(__xludf.DUMMYFUNCTION("""COMPUTED_VALUE"""),"Madrid- Moratalaz")</f>
        <v>Madrid- Moratalaz</v>
      </c>
      <c r="F1255" s="57">
        <f ca="1">IFERROR(__xludf.DUMMYFUNCTION("""COMPUTED_VALUE"""),45943)</f>
        <v>45943</v>
      </c>
      <c r="G1255" s="57">
        <f ca="1">IFERROR(__xludf.DUMMYFUNCTION("""COMPUTED_VALUE"""),45911)</f>
        <v>45911</v>
      </c>
      <c r="H1255" s="33" t="str">
        <f ca="1">IFERROR(__xludf.DUMMYFUNCTION("""COMPUTED_VALUE"""),"Moratalaz")</f>
        <v>Moratalaz</v>
      </c>
      <c r="I1255" s="33" t="str">
        <f ca="1">IFERROR(__xludf.DUMMYFUNCTION("""COMPUTED_VALUE"""),"C202591817559957")</f>
        <v>C202591817559957</v>
      </c>
      <c r="J1255" s="33" t="str">
        <f ca="1">IFERROR(__xludf.DUMMYFUNCTION("""COMPUTED_VALUE"""),"ANTONIO SILVA DE LA CRUZ")</f>
        <v>ANTONIO SILVA DE LA CRUZ</v>
      </c>
      <c r="K1255" s="33">
        <f ca="1">IFERROR(__xludf.DUMMYFUNCTION("""COMPUTED_VALUE"""),2)</f>
        <v>2</v>
      </c>
      <c r="L1255" s="203">
        <f ca="1">IFERROR(__xludf.DUMMYFUNCTION("""COMPUTED_VALUE"""),2718.18)</f>
        <v>2718.18</v>
      </c>
      <c r="M1255" s="33" t="str">
        <f ca="1">IFERROR(__xludf.DUMMYFUNCTION("""COMPUTED_VALUE"""),"03 ORL")</f>
        <v>03 ORL</v>
      </c>
      <c r="N1255" s="33" t="str">
        <f ca="1">IFERROR(__xludf.DUMMYFUNCTION("""COMPUTED_VALUE"""),"06 ORL")</f>
        <v>06 ORL</v>
      </c>
      <c r="O1255" s="33" t="str">
        <f ca="1">IFERROR(__xludf.DUMMYFUNCTION("""COMPUTED_VALUE"""),"Dr, Julio López Moya")</f>
        <v>Dr, Julio López Moya</v>
      </c>
      <c r="P1255" s="33" t="str">
        <f ca="1">IFERROR(__xludf.DUMMYFUNCTION("""COMPUTED_VALUE"""),"Maika Blázquez (Madrid)")</f>
        <v>Maika Blázquez (Madrid)</v>
      </c>
    </row>
    <row r="1256" spans="2:16">
      <c r="B1256" s="33">
        <f ca="1">IFERROR(__xludf.DUMMYFUNCTION("""COMPUTED_VALUE"""),2025)</f>
        <v>2025</v>
      </c>
      <c r="C1256" s="33">
        <f ca="1">IFERROR(__xludf.DUMMYFUNCTION("""COMPUTED_VALUE"""),10)</f>
        <v>10</v>
      </c>
      <c r="D1256" s="33" t="str">
        <f ca="1">IFERROR(__xludf.DUMMYFUNCTION("""COMPUTED_VALUE"""),"NO")</f>
        <v>NO</v>
      </c>
      <c r="E1256" s="33" t="str">
        <f ca="1">IFERROR(__xludf.DUMMYFUNCTION("""COMPUTED_VALUE"""),"Lalín")</f>
        <v>Lalín</v>
      </c>
      <c r="F1256" s="57">
        <f ca="1">IFERROR(__xludf.DUMMYFUNCTION("""COMPUTED_VALUE"""),45944)</f>
        <v>45944</v>
      </c>
      <c r="G1256" s="57">
        <f ca="1">IFERROR(__xludf.DUMMYFUNCTION("""COMPUTED_VALUE"""),45756)</f>
        <v>45756</v>
      </c>
      <c r="H1256" s="33" t="str">
        <f ca="1">IFERROR(__xludf.DUMMYFUNCTION("""COMPUTED_VALUE"""),"Lalín")</f>
        <v>Lalín</v>
      </c>
      <c r="I1256" s="33" t="str">
        <f ca="1">IFERROR(__xludf.DUMMYFUNCTION("""COMPUTED_VALUE"""),"LAL-142")</f>
        <v>LAL-142</v>
      </c>
      <c r="J1256" s="33" t="str">
        <f ca="1">IFERROR(__xludf.DUMMYFUNCTION("""COMPUTED_VALUE"""),"MARIA TERESA FAILDE GARCIA")</f>
        <v>MARIA TERESA FAILDE GARCIA</v>
      </c>
      <c r="K1256" s="33">
        <f ca="1">IFERROR(__xludf.DUMMYFUNCTION("""COMPUTED_VALUE"""),2)</f>
        <v>2</v>
      </c>
      <c r="L1256" s="203">
        <f ca="1">IFERROR(__xludf.DUMMYFUNCTION("""COMPUTED_VALUE"""),872.73)</f>
        <v>872.73</v>
      </c>
      <c r="M1256" s="33" t="str">
        <f ca="1">IFERROR(__xludf.DUMMYFUNCTION("""COMPUTED_VALUE"""),"03 ORL")</f>
        <v>03 ORL</v>
      </c>
      <c r="N1256" s="33" t="str">
        <f ca="1">IFERROR(__xludf.DUMMYFUNCTION("""COMPUTED_VALUE"""),"06 ORL")</f>
        <v>06 ORL</v>
      </c>
      <c r="O1256" s="33" t="str">
        <f ca="1">IFERROR(__xludf.DUMMYFUNCTION("""COMPUTED_VALUE"""),"Dr, Isabel Vaamonde Sanchez Andrade")</f>
        <v>Dr, Isabel Vaamonde Sanchez Andrade</v>
      </c>
      <c r="P1256" s="33" t="str">
        <f ca="1">IFERROR(__xludf.DUMMYFUNCTION("""COMPUTED_VALUE"""),"Roberto Pereira (Galicia)")</f>
        <v>Roberto Pereira (Galicia)</v>
      </c>
    </row>
    <row r="1257" spans="2:16">
      <c r="B1257" s="33">
        <f ca="1">IFERROR(__xludf.DUMMYFUNCTION("""COMPUTED_VALUE"""),2025)</f>
        <v>2025</v>
      </c>
      <c r="C1257" s="33">
        <f ca="1">IFERROR(__xludf.DUMMYFUNCTION("""COMPUTED_VALUE"""),10)</f>
        <v>10</v>
      </c>
      <c r="D1257" s="33" t="str">
        <f ca="1">IFERROR(__xludf.DUMMYFUNCTION("""COMPUTED_VALUE"""),"NO")</f>
        <v>NO</v>
      </c>
      <c r="E1257" s="33" t="str">
        <f ca="1">IFERROR(__xludf.DUMMYFUNCTION("""COMPUTED_VALUE"""),"Vigo")</f>
        <v>Vigo</v>
      </c>
      <c r="F1257" s="57">
        <f ca="1">IFERROR(__xludf.DUMMYFUNCTION("""COMPUTED_VALUE"""),45944)</f>
        <v>45944</v>
      </c>
      <c r="G1257" s="57">
        <f ca="1">IFERROR(__xludf.DUMMYFUNCTION("""COMPUTED_VALUE"""),45915)</f>
        <v>45915</v>
      </c>
      <c r="H1257" s="33" t="str">
        <f ca="1">IFERROR(__xludf.DUMMYFUNCTION("""COMPUTED_VALUE"""),"Vigo")</f>
        <v>Vigo</v>
      </c>
      <c r="I1257" s="33" t="str">
        <f ca="1">IFERROR(__xludf.DUMMYFUNCTION("""COMPUTED_VALUE"""),"VIG-611")</f>
        <v>VIG-611</v>
      </c>
      <c r="J1257" s="33" t="str">
        <f ca="1">IFERROR(__xludf.DUMMYFUNCTION("""COMPUTED_VALUE"""),"PILAR CONDE HERRERO")</f>
        <v>PILAR CONDE HERRERO</v>
      </c>
      <c r="K1257" s="33">
        <f ca="1">IFERROR(__xludf.DUMMYFUNCTION("""COMPUTED_VALUE"""),2)</f>
        <v>2</v>
      </c>
      <c r="L1257" s="203">
        <f ca="1">IFERROR(__xludf.DUMMYFUNCTION("""COMPUTED_VALUE"""),3545.45)</f>
        <v>3545.45</v>
      </c>
      <c r="M1257" s="33" t="str">
        <f ca="1">IFERROR(__xludf.DUMMYFUNCTION("""COMPUTED_VALUE"""),"03 ORL")</f>
        <v>03 ORL</v>
      </c>
      <c r="N1257" s="33" t="str">
        <f ca="1">IFERROR(__xludf.DUMMYFUNCTION("""COMPUTED_VALUE"""),"06 ORL")</f>
        <v>06 ORL</v>
      </c>
      <c r="O1257" s="33" t="str">
        <f ca="1">IFERROR(__xludf.DUMMYFUNCTION("""COMPUTED_VALUE"""),"Dra, Pilar Castro Ruiz")</f>
        <v>Dra, Pilar Castro Ruiz</v>
      </c>
      <c r="P1257" s="33" t="str">
        <f ca="1">IFERROR(__xludf.DUMMYFUNCTION("""COMPUTED_VALUE"""),"Roberto Pereira (Galicia)")</f>
        <v>Roberto Pereira (Galicia)</v>
      </c>
    </row>
    <row r="1258" spans="2:16">
      <c r="B1258" s="33">
        <f ca="1">IFERROR(__xludf.DUMMYFUNCTION("""COMPUTED_VALUE"""),2025)</f>
        <v>2025</v>
      </c>
      <c r="C1258" s="33">
        <f ca="1">IFERROR(__xludf.DUMMYFUNCTION("""COMPUTED_VALUE"""),10)</f>
        <v>10</v>
      </c>
      <c r="D1258" s="33" t="str">
        <f ca="1">IFERROR(__xludf.DUMMYFUNCTION("""COMPUTED_VALUE"""),"NO")</f>
        <v>NO</v>
      </c>
      <c r="E1258" s="33" t="str">
        <f ca="1">IFERROR(__xludf.DUMMYFUNCTION("""COMPUTED_VALUE"""),"Santiago de Compostela")</f>
        <v>Santiago de Compostela</v>
      </c>
      <c r="F1258" s="57">
        <f ca="1">IFERROR(__xludf.DUMMYFUNCTION("""COMPUTED_VALUE"""),45944)</f>
        <v>45944</v>
      </c>
      <c r="G1258" s="57">
        <f ca="1">IFERROR(__xludf.DUMMYFUNCTION("""COMPUTED_VALUE"""),45912)</f>
        <v>45912</v>
      </c>
      <c r="H1258" s="33" t="str">
        <f ca="1">IFERROR(__xludf.DUMMYFUNCTION("""COMPUTED_VALUE"""),"Santiago")</f>
        <v>Santiago</v>
      </c>
      <c r="I1258" s="33" t="str">
        <f ca="1">IFERROR(__xludf.DUMMYFUNCTION("""COMPUTED_VALUE"""),"C202591811928283")</f>
        <v>C202591811928283</v>
      </c>
      <c r="J1258" s="33" t="str">
        <f ca="1">IFERROR(__xludf.DUMMYFUNCTION("""COMPUTED_VALUE"""),"PILAR MOSQUERA CALDELAS")</f>
        <v>PILAR MOSQUERA CALDELAS</v>
      </c>
      <c r="K1258" s="33">
        <f ca="1">IFERROR(__xludf.DUMMYFUNCTION("""COMPUTED_VALUE"""),2)</f>
        <v>2</v>
      </c>
      <c r="L1258" s="203">
        <f ca="1">IFERROR(__xludf.DUMMYFUNCTION("""COMPUTED_VALUE"""),4136.36)</f>
        <v>4136.3599999999997</v>
      </c>
      <c r="M1258" s="33" t="str">
        <f ca="1">IFERROR(__xludf.DUMMYFUNCTION("""COMPUTED_VALUE"""),"03 ORL")</f>
        <v>03 ORL</v>
      </c>
      <c r="N1258" s="33" t="str">
        <f ca="1">IFERROR(__xludf.DUMMYFUNCTION("""COMPUTED_VALUE"""),"06 ORL")</f>
        <v>06 ORL</v>
      </c>
      <c r="O1258" s="33" t="str">
        <f ca="1">IFERROR(__xludf.DUMMYFUNCTION("""COMPUTED_VALUE"""),"Dr, Gabriel Martínez Capoccini")</f>
        <v>Dr, Gabriel Martínez Capoccini</v>
      </c>
      <c r="P1258" s="33" t="str">
        <f ca="1">IFERROR(__xludf.DUMMYFUNCTION("""COMPUTED_VALUE"""),"Roberto Pereira (Galicia)")</f>
        <v>Roberto Pereira (Galicia)</v>
      </c>
    </row>
    <row r="1259" spans="2:16">
      <c r="B1259" s="33">
        <f ca="1">IFERROR(__xludf.DUMMYFUNCTION("""COMPUTED_VALUE"""),2025)</f>
        <v>2025</v>
      </c>
      <c r="C1259" s="33">
        <f ca="1">IFERROR(__xludf.DUMMYFUNCTION("""COMPUTED_VALUE"""),10)</f>
        <v>10</v>
      </c>
      <c r="D1259" s="33" t="str">
        <f ca="1">IFERROR(__xludf.DUMMYFUNCTION("""COMPUTED_VALUE"""),"NO")</f>
        <v>NO</v>
      </c>
      <c r="E1259" s="33" t="str">
        <f ca="1">IFERROR(__xludf.DUMMYFUNCTION("""COMPUTED_VALUE"""),"Talavera")</f>
        <v>Talavera</v>
      </c>
      <c r="F1259" s="57">
        <f ca="1">IFERROR(__xludf.DUMMYFUNCTION("""COMPUTED_VALUE"""),45944)</f>
        <v>45944</v>
      </c>
      <c r="G1259" s="57">
        <f ca="1">IFERROR(__xludf.DUMMYFUNCTION("""COMPUTED_VALUE"""),45887)</f>
        <v>45887</v>
      </c>
      <c r="H1259" s="33" t="str">
        <f ca="1">IFERROR(__xludf.DUMMYFUNCTION("""COMPUTED_VALUE"""),"Talavera")</f>
        <v>Talavera</v>
      </c>
      <c r="I1259" s="33" t="str">
        <f ca="1">IFERROR(__xludf.DUMMYFUNCTION("""COMPUTED_VALUE"""),"C2025919152854375")</f>
        <v>C2025919152854375</v>
      </c>
      <c r="J1259" s="33" t="str">
        <f ca="1">IFERROR(__xludf.DUMMYFUNCTION("""COMPUTED_VALUE"""),"CRISTINA DIAZ PORTELA")</f>
        <v>CRISTINA DIAZ PORTELA</v>
      </c>
      <c r="K1259" s="33">
        <f ca="1">IFERROR(__xludf.DUMMYFUNCTION("""COMPUTED_VALUE"""),1)</f>
        <v>1</v>
      </c>
      <c r="L1259" s="203">
        <f ca="1">IFERROR(__xludf.DUMMYFUNCTION("""COMPUTED_VALUE"""),2090.91)</f>
        <v>2090.91</v>
      </c>
      <c r="M1259" s="33" t="str">
        <f ca="1">IFERROR(__xludf.DUMMYFUNCTION("""COMPUTED_VALUE"""),"03 ORL")</f>
        <v>03 ORL</v>
      </c>
      <c r="N1259" s="33" t="str">
        <f ca="1">IFERROR(__xludf.DUMMYFUNCTION("""COMPUTED_VALUE"""),"06 ORL")</f>
        <v>06 ORL</v>
      </c>
      <c r="O1259" s="33" t="str">
        <f ca="1">IFERROR(__xludf.DUMMYFUNCTION("""COMPUTED_VALUE"""),"Dr, Carlos Félix Asensio Nieto")</f>
        <v>Dr, Carlos Félix Asensio Nieto</v>
      </c>
      <c r="P1259" s="33" t="str">
        <f ca="1">IFERROR(__xludf.DUMMYFUNCTION("""COMPUTED_VALUE"""),"Lisandro Russian (Madrid, Cáceres, Toledo, Talavera Y Logroño)")</f>
        <v>Lisandro Russian (Madrid, Cáceres, Toledo, Talavera Y Logroño)</v>
      </c>
    </row>
    <row r="1260" spans="2:16">
      <c r="B1260" s="33">
        <f ca="1">IFERROR(__xludf.DUMMYFUNCTION("""COMPUTED_VALUE"""),2025)</f>
        <v>2025</v>
      </c>
      <c r="C1260" s="33">
        <f ca="1">IFERROR(__xludf.DUMMYFUNCTION("""COMPUTED_VALUE"""),10)</f>
        <v>10</v>
      </c>
      <c r="D1260" s="33" t="str">
        <f ca="1">IFERROR(__xludf.DUMMYFUNCTION("""COMPUTED_VALUE"""),"NO")</f>
        <v>NO</v>
      </c>
      <c r="E1260" s="33" t="str">
        <f ca="1">IFERROR(__xludf.DUMMYFUNCTION("""COMPUTED_VALUE"""),"Hospitalet de Llobregat")</f>
        <v>Hospitalet de Llobregat</v>
      </c>
      <c r="F1260" s="57">
        <f ca="1">IFERROR(__xludf.DUMMYFUNCTION("""COMPUTED_VALUE"""),45944)</f>
        <v>45944</v>
      </c>
      <c r="G1260" s="57">
        <f ca="1">IFERROR(__xludf.DUMMYFUNCTION("""COMPUTED_VALUE"""),45904)</f>
        <v>45904</v>
      </c>
      <c r="H1260" s="33" t="str">
        <f ca="1">IFERROR(__xludf.DUMMYFUNCTION("""COMPUTED_VALUE"""),"Hospitalet")</f>
        <v>Hospitalet</v>
      </c>
      <c r="I1260" s="33" t="str">
        <f ca="1">IFERROR(__xludf.DUMMYFUNCTION("""COMPUTED_VALUE"""),"C2025910194422149")</f>
        <v>C2025910194422149</v>
      </c>
      <c r="J1260" s="33" t="str">
        <f ca="1">IFERROR(__xludf.DUMMYFUNCTION("""COMPUTED_VALUE"""),"Alberto Cascales Burrull")</f>
        <v>Alberto Cascales Burrull</v>
      </c>
      <c r="K1260" s="33">
        <f ca="1">IFERROR(__xludf.DUMMYFUNCTION("""COMPUTED_VALUE"""),2)</f>
        <v>2</v>
      </c>
      <c r="L1260" s="203">
        <f ca="1">IFERROR(__xludf.DUMMYFUNCTION("""COMPUTED_VALUE"""),4136.36)</f>
        <v>4136.3599999999997</v>
      </c>
      <c r="M1260" s="33" t="str">
        <f ca="1">IFERROR(__xludf.DUMMYFUNCTION("""COMPUTED_VALUE"""),"03 ORL")</f>
        <v>03 ORL</v>
      </c>
      <c r="N1260" s="33" t="str">
        <f ca="1">IFERROR(__xludf.DUMMYFUNCTION("""COMPUTED_VALUE"""),"06 ORL")</f>
        <v>06 ORL</v>
      </c>
      <c r="O1260" s="33" t="str">
        <f ca="1">IFERROR(__xludf.DUMMYFUNCTION("""COMPUTED_VALUE"""),"Dra, Dolores Romero Panadero")</f>
        <v>Dra, Dolores Romero Panadero</v>
      </c>
      <c r="P1260" s="33" t="str">
        <f ca="1">IFERROR(__xludf.DUMMYFUNCTION("""COMPUTED_VALUE"""),"Mercè Cabrera (Cataluña Y Baleares)")</f>
        <v>Mercè Cabrera (Cataluña Y Baleares)</v>
      </c>
    </row>
    <row r="1261" spans="2:16">
      <c r="B1261" s="33">
        <f ca="1">IFERROR(__xludf.DUMMYFUNCTION("""COMPUTED_VALUE"""),2025)</f>
        <v>2025</v>
      </c>
      <c r="C1261" s="33">
        <f ca="1">IFERROR(__xludf.DUMMYFUNCTION("""COMPUTED_VALUE"""),10)</f>
        <v>10</v>
      </c>
      <c r="D1261" s="33" t="str">
        <f ca="1">IFERROR(__xludf.DUMMYFUNCTION("""COMPUTED_VALUE"""),"NO")</f>
        <v>NO</v>
      </c>
      <c r="E1261" s="33" t="str">
        <f ca="1">IFERROR(__xludf.DUMMYFUNCTION("""COMPUTED_VALUE"""),"San Javier")</f>
        <v>San Javier</v>
      </c>
      <c r="F1261" s="57">
        <f ca="1">IFERROR(__xludf.DUMMYFUNCTION("""COMPUTED_VALUE"""),45944)</f>
        <v>45944</v>
      </c>
      <c r="G1261" s="57">
        <f ca="1">IFERROR(__xludf.DUMMYFUNCTION("""COMPUTED_VALUE"""),45902)</f>
        <v>45902</v>
      </c>
      <c r="H1261" s="33" t="str">
        <f ca="1">IFERROR(__xludf.DUMMYFUNCTION("""COMPUTED_VALUE"""),"San Javier")</f>
        <v>San Javier</v>
      </c>
      <c r="I1261" s="33" t="str">
        <f ca="1">IFERROR(__xludf.DUMMYFUNCTION("""COMPUTED_VALUE"""),"C202591510302812")</f>
        <v>C202591510302812</v>
      </c>
      <c r="J1261" s="33" t="str">
        <f ca="1">IFERROR(__xludf.DUMMYFUNCTION("""COMPUTED_VALUE"""),"ALFONSO NIETO MARTINEZ")</f>
        <v>ALFONSO NIETO MARTINEZ</v>
      </c>
      <c r="K1261" s="33">
        <f ca="1">IFERROR(__xludf.DUMMYFUNCTION("""COMPUTED_VALUE"""),2)</f>
        <v>2</v>
      </c>
      <c r="L1261" s="203">
        <f ca="1">IFERROR(__xludf.DUMMYFUNCTION("""COMPUTED_VALUE"""),3631.81)</f>
        <v>3631.81</v>
      </c>
      <c r="M1261" s="33" t="str">
        <f ca="1">IFERROR(__xludf.DUMMYFUNCTION("""COMPUTED_VALUE"""),"03 ORL")</f>
        <v>03 ORL</v>
      </c>
      <c r="N1261" s="33" t="str">
        <f ca="1">IFERROR(__xludf.DUMMYFUNCTION("""COMPUTED_VALUE"""),"06 ORL")</f>
        <v>06 ORL</v>
      </c>
      <c r="O1261" s="33" t="str">
        <f ca="1">IFERROR(__xludf.DUMMYFUNCTION("""COMPUTED_VALUE"""),"Dr, Alberto Raposo Jiménez")</f>
        <v>Dr, Alberto Raposo Jiménez</v>
      </c>
      <c r="P1261" s="33" t="str">
        <f ca="1">IFERROR(__xludf.DUMMYFUNCTION("""COMPUTED_VALUE"""),"Iván Sánchez (Levante Y Albacete)")</f>
        <v>Iván Sánchez (Levante Y Albacete)</v>
      </c>
    </row>
    <row r="1262" spans="2:16">
      <c r="B1262" s="33">
        <f ca="1">IFERROR(__xludf.DUMMYFUNCTION("""COMPUTED_VALUE"""),2025)</f>
        <v>2025</v>
      </c>
      <c r="C1262" s="33">
        <f ca="1">IFERROR(__xludf.DUMMYFUNCTION("""COMPUTED_VALUE"""),10)</f>
        <v>10</v>
      </c>
      <c r="D1262" s="33" t="str">
        <f ca="1">IFERROR(__xludf.DUMMYFUNCTION("""COMPUTED_VALUE"""),"NO")</f>
        <v>NO</v>
      </c>
      <c r="E1262" s="33" t="str">
        <f ca="1">IFERROR(__xludf.DUMMYFUNCTION("""COMPUTED_VALUE"""),"Madrid- Juan Bravo")</f>
        <v>Madrid- Juan Bravo</v>
      </c>
      <c r="F1262" s="57">
        <f ca="1">IFERROR(__xludf.DUMMYFUNCTION("""COMPUTED_VALUE"""),45944)</f>
        <v>45944</v>
      </c>
      <c r="G1262" s="57">
        <f ca="1">IFERROR(__xludf.DUMMYFUNCTION("""COMPUTED_VALUE"""),45853)</f>
        <v>45853</v>
      </c>
      <c r="H1262" s="33" t="str">
        <f ca="1">IFERROR(__xludf.DUMMYFUNCTION("""COMPUTED_VALUE"""),"Juan Bravo")</f>
        <v>Juan Bravo</v>
      </c>
      <c r="I1262" s="33" t="str">
        <f ca="1">IFERROR(__xludf.DUMMYFUNCTION("""COMPUTED_VALUE"""),"C202594171646705")</f>
        <v>C202594171646705</v>
      </c>
      <c r="J1262" s="33" t="str">
        <f ca="1">IFERROR(__xludf.DUMMYFUNCTION("""COMPUTED_VALUE"""),"ESTEBAN MARTINEZ RODRIGUEZ")</f>
        <v>ESTEBAN MARTINEZ RODRIGUEZ</v>
      </c>
      <c r="K1262" s="33">
        <f ca="1">IFERROR(__xludf.DUMMYFUNCTION("""COMPUTED_VALUE"""),2)</f>
        <v>2</v>
      </c>
      <c r="L1262" s="203">
        <f ca="1">IFERROR(__xludf.DUMMYFUNCTION("""COMPUTED_VALUE"""),4136.36)</f>
        <v>4136.3599999999997</v>
      </c>
      <c r="M1262" s="33" t="str">
        <f ca="1">IFERROR(__xludf.DUMMYFUNCTION("""COMPUTED_VALUE"""),"03 ORL")</f>
        <v>03 ORL</v>
      </c>
      <c r="N1262" s="33" t="str">
        <f ca="1">IFERROR(__xludf.DUMMYFUNCTION("""COMPUTED_VALUE"""),"06 ORL")</f>
        <v>06 ORL</v>
      </c>
      <c r="O1262" s="33" t="str">
        <f ca="1">IFERROR(__xludf.DUMMYFUNCTION("""COMPUTED_VALUE"""),"Dr, Julio López Moya")</f>
        <v>Dr, Julio López Moya</v>
      </c>
      <c r="P1262" s="33" t="str">
        <f ca="1">IFERROR(__xludf.DUMMYFUNCTION("""COMPUTED_VALUE"""),"Maika Blázquez (Madrid)")</f>
        <v>Maika Blázquez (Madrid)</v>
      </c>
    </row>
    <row r="1263" spans="2:16">
      <c r="B1263" s="33">
        <f ca="1">IFERROR(__xludf.DUMMYFUNCTION("""COMPUTED_VALUE"""),2025)</f>
        <v>2025</v>
      </c>
      <c r="C1263" s="33">
        <f ca="1">IFERROR(__xludf.DUMMYFUNCTION("""COMPUTED_VALUE"""),10)</f>
        <v>10</v>
      </c>
      <c r="D1263" s="33" t="str">
        <f ca="1">IFERROR(__xludf.DUMMYFUNCTION("""COMPUTED_VALUE"""),"NO")</f>
        <v>NO</v>
      </c>
      <c r="E1263" s="33" t="str">
        <f ca="1">IFERROR(__xludf.DUMMYFUNCTION("""COMPUTED_VALUE"""),"Madrid- Canillas")</f>
        <v>Madrid- Canillas</v>
      </c>
      <c r="F1263" s="57">
        <f ca="1">IFERROR(__xludf.DUMMYFUNCTION("""COMPUTED_VALUE"""),45944)</f>
        <v>45944</v>
      </c>
      <c r="G1263" s="57">
        <f ca="1">IFERROR(__xludf.DUMMYFUNCTION("""COMPUTED_VALUE"""),45922)</f>
        <v>45922</v>
      </c>
      <c r="H1263" s="33" t="str">
        <f ca="1">IFERROR(__xludf.DUMMYFUNCTION("""COMPUTED_VALUE"""),"Canillas")</f>
        <v>Canillas</v>
      </c>
      <c r="I1263" s="33" t="str">
        <f ca="1">IFERROR(__xludf.DUMMYFUNCTION("""COMPUTED_VALUE"""),"C202592510263486")</f>
        <v>C202592510263486</v>
      </c>
      <c r="J1263" s="33" t="str">
        <f ca="1">IFERROR(__xludf.DUMMYFUNCTION("""COMPUTED_VALUE"""),"ALICIA RANZ CALDERÓN")</f>
        <v>ALICIA RANZ CALDERÓN</v>
      </c>
      <c r="K1263" s="33">
        <f ca="1">IFERROR(__xludf.DUMMYFUNCTION("""COMPUTED_VALUE"""),2)</f>
        <v>2</v>
      </c>
      <c r="L1263" s="203">
        <f ca="1">IFERROR(__xludf.DUMMYFUNCTION("""COMPUTED_VALUE"""),4536.36)</f>
        <v>4536.3599999999997</v>
      </c>
      <c r="M1263" s="33" t="str">
        <f ca="1">IFERROR(__xludf.DUMMYFUNCTION("""COMPUTED_VALUE"""),"03 ORL")</f>
        <v>03 ORL</v>
      </c>
      <c r="N1263" s="33" t="str">
        <f ca="1">IFERROR(__xludf.DUMMYFUNCTION("""COMPUTED_VALUE"""),"06 ORL")</f>
        <v>06 ORL</v>
      </c>
      <c r="O1263" s="33" t="str">
        <f ca="1">IFERROR(__xludf.DUMMYFUNCTION("""COMPUTED_VALUE"""),"Dra, Helena Moreno Pardo")</f>
        <v>Dra, Helena Moreno Pardo</v>
      </c>
      <c r="P1263" s="33" t="str">
        <f ca="1">IFERROR(__xludf.DUMMYFUNCTION("""COMPUTED_VALUE"""),"Maika Blázquez (Madrid)")</f>
        <v>Maika Blázquez (Madrid)</v>
      </c>
    </row>
    <row r="1264" spans="2:16">
      <c r="B1264" s="33">
        <f ca="1">IFERROR(__xludf.DUMMYFUNCTION("""COMPUTED_VALUE"""),2025)</f>
        <v>2025</v>
      </c>
      <c r="C1264" s="33">
        <f ca="1">IFERROR(__xludf.DUMMYFUNCTION("""COMPUTED_VALUE"""),10)</f>
        <v>10</v>
      </c>
      <c r="D1264" s="33" t="str">
        <f ca="1">IFERROR(__xludf.DUMMYFUNCTION("""COMPUTED_VALUE"""),"NO")</f>
        <v>NO</v>
      </c>
      <c r="E1264" s="33" t="str">
        <f ca="1">IFERROR(__xludf.DUMMYFUNCTION("""COMPUTED_VALUE"""),"San Javier")</f>
        <v>San Javier</v>
      </c>
      <c r="F1264" s="57">
        <f ca="1">IFERROR(__xludf.DUMMYFUNCTION("""COMPUTED_VALUE"""),45944)</f>
        <v>45944</v>
      </c>
      <c r="G1264" s="57">
        <f ca="1">IFERROR(__xludf.DUMMYFUNCTION("""COMPUTED_VALUE"""),44634)</f>
        <v>44634</v>
      </c>
      <c r="H1264" s="33" t="str">
        <f ca="1">IFERROR(__xludf.DUMMYFUNCTION("""COMPUTED_VALUE"""),"San Javier")</f>
        <v>San Javier</v>
      </c>
      <c r="I1264" s="33" t="str">
        <f ca="1">IFERROR(__xludf.DUMMYFUNCTION("""COMPUTED_VALUE"""),"MSJ-24")</f>
        <v>MSJ-24</v>
      </c>
      <c r="J1264" s="33" t="str">
        <f ca="1">IFERROR(__xludf.DUMMYFUNCTION("""COMPUTED_VALUE"""),"DOLORES JIMENEZ GARCIA")</f>
        <v>DOLORES JIMENEZ GARCIA</v>
      </c>
      <c r="K1264" s="33">
        <f ca="1">IFERROR(__xludf.DUMMYFUNCTION("""COMPUTED_VALUE"""),2)</f>
        <v>2</v>
      </c>
      <c r="L1264" s="203">
        <f ca="1">IFERROR(__xludf.DUMMYFUNCTION("""COMPUTED_VALUE"""),3631.82)</f>
        <v>3631.82</v>
      </c>
      <c r="M1264" s="33" t="str">
        <f ca="1">IFERROR(__xludf.DUMMYFUNCTION("""COMPUTED_VALUE"""),"01 MARKETING ON LINE")</f>
        <v>01 MARKETING ON LINE</v>
      </c>
      <c r="N1264" s="33" t="str">
        <f ca="1">IFERROR(__xludf.DUMMYFUNCTION("""COMPUTED_VALUE"""),"04 AUDIFONO,ES")</f>
        <v>04 AUDIFONO,ES</v>
      </c>
      <c r="O1264" s="33" t="str">
        <f ca="1">IFERROR(__xludf.DUMMYFUNCTION("""COMPUTED_VALUE"""),"No recuerda ORL")</f>
        <v>No recuerda ORL</v>
      </c>
      <c r="P1264" s="33" t="str">
        <f ca="1">IFERROR(__xludf.DUMMYFUNCTION("""COMPUTED_VALUE"""),"Iván Sánchez (Levante Y Albacete)")</f>
        <v>Iván Sánchez (Levante Y Albacete)</v>
      </c>
    </row>
    <row r="1265" spans="2:16">
      <c r="B1265" s="33">
        <f ca="1">IFERROR(__xludf.DUMMYFUNCTION("""COMPUTED_VALUE"""),2025)</f>
        <v>2025</v>
      </c>
      <c r="C1265" s="33">
        <f ca="1">IFERROR(__xludf.DUMMYFUNCTION("""COMPUTED_VALUE"""),10)</f>
        <v>10</v>
      </c>
      <c r="D1265" s="33" t="str">
        <f ca="1">IFERROR(__xludf.DUMMYFUNCTION("""COMPUTED_VALUE"""),"NO")</f>
        <v>NO</v>
      </c>
      <c r="E1265" s="33" t="str">
        <f ca="1">IFERROR(__xludf.DUMMYFUNCTION("""COMPUTED_VALUE"""),"Ponferrada")</f>
        <v>Ponferrada</v>
      </c>
      <c r="F1265" s="57">
        <f ca="1">IFERROR(__xludf.DUMMYFUNCTION("""COMPUTED_VALUE"""),45945)</f>
        <v>45945</v>
      </c>
      <c r="G1265" s="57">
        <f ca="1">IFERROR(__xludf.DUMMYFUNCTION("""COMPUTED_VALUE"""),44641)</f>
        <v>44641</v>
      </c>
      <c r="H1265" s="33" t="str">
        <f ca="1">IFERROR(__xludf.DUMMYFUNCTION("""COMPUTED_VALUE"""),"Ponferrada")</f>
        <v>Ponferrada</v>
      </c>
      <c r="I1265" s="33" t="str">
        <f ca="1">IFERROR(__xludf.DUMMYFUNCTION("""COMPUTED_VALUE"""),"PON-269")</f>
        <v>PON-269</v>
      </c>
      <c r="J1265" s="33" t="str">
        <f ca="1">IFERROR(__xludf.DUMMYFUNCTION("""COMPUTED_VALUE"""),"ADELA APARICIO TASCON")</f>
        <v>ADELA APARICIO TASCON</v>
      </c>
      <c r="K1265" s="33">
        <f ca="1">IFERROR(__xludf.DUMMYFUNCTION("""COMPUTED_VALUE"""),1)</f>
        <v>1</v>
      </c>
      <c r="L1265" s="203">
        <f ca="1">IFERROR(__xludf.DUMMYFUNCTION("""COMPUTED_VALUE"""),1545.45)</f>
        <v>1545.45</v>
      </c>
      <c r="M1265" s="33" t="str">
        <f ca="1">IFERROR(__xludf.DUMMYFUNCTION("""COMPUTED_VALUE"""),"03 ORL")</f>
        <v>03 ORL</v>
      </c>
      <c r="N1265" s="33" t="str">
        <f ca="1">IFERROR(__xludf.DUMMYFUNCTION("""COMPUTED_VALUE"""),"06 ORL")</f>
        <v>06 ORL</v>
      </c>
      <c r="O1265" s="33" t="str">
        <f ca="1">IFERROR(__xludf.DUMMYFUNCTION("""COMPUTED_VALUE"""),"Dra, Mónica Granda Rosales")</f>
        <v>Dra, Mónica Granda Rosales</v>
      </c>
      <c r="P1265" s="33" t="str">
        <f ca="1">IFERROR(__xludf.DUMMYFUNCTION("""COMPUTED_VALUE"""),"Alberto Moreno (Madrid)")</f>
        <v>Alberto Moreno (Madrid)</v>
      </c>
    </row>
    <row r="1266" spans="2:16">
      <c r="B1266" s="33">
        <f ca="1">IFERROR(__xludf.DUMMYFUNCTION("""COMPUTED_VALUE"""),2025)</f>
        <v>2025</v>
      </c>
      <c r="C1266" s="33">
        <f ca="1">IFERROR(__xludf.DUMMYFUNCTION("""COMPUTED_VALUE"""),10)</f>
        <v>10</v>
      </c>
      <c r="D1266" s="33" t="str">
        <f ca="1">IFERROR(__xludf.DUMMYFUNCTION("""COMPUTED_VALUE"""),"NO")</f>
        <v>NO</v>
      </c>
      <c r="E1266" s="33" t="str">
        <f ca="1">IFERROR(__xludf.DUMMYFUNCTION("""COMPUTED_VALUE"""),"Salamanca")</f>
        <v>Salamanca</v>
      </c>
      <c r="F1266" s="57">
        <f ca="1">IFERROR(__xludf.DUMMYFUNCTION("""COMPUTED_VALUE"""),45945)</f>
        <v>45945</v>
      </c>
      <c r="G1266" s="57">
        <f ca="1">IFERROR(__xludf.DUMMYFUNCTION("""COMPUTED_VALUE"""),45898)</f>
        <v>45898</v>
      </c>
      <c r="H1266" s="33" t="str">
        <f ca="1">IFERROR(__xludf.DUMMYFUNCTION("""COMPUTED_VALUE"""),"Salamanca")</f>
        <v>Salamanca</v>
      </c>
      <c r="I1266" s="33" t="str">
        <f ca="1">IFERROR(__xludf.DUMMYFUNCTION("""COMPUTED_VALUE"""),"SLM-608")</f>
        <v>SLM-608</v>
      </c>
      <c r="J1266" s="33" t="str">
        <f ca="1">IFERROR(__xludf.DUMMYFUNCTION("""COMPUTED_VALUE"""),"ANGELA DE LUIS BARBA")</f>
        <v>ANGELA DE LUIS BARBA</v>
      </c>
      <c r="K1266" s="33">
        <f ca="1">IFERROR(__xludf.DUMMYFUNCTION("""COMPUTED_VALUE"""),2)</f>
        <v>2</v>
      </c>
      <c r="L1266" s="203">
        <f ca="1">IFERROR(__xludf.DUMMYFUNCTION("""COMPUTED_VALUE"""),4120)</f>
        <v>4120</v>
      </c>
      <c r="M1266" s="33" t="str">
        <f ca="1">IFERROR(__xludf.DUMMYFUNCTION("""COMPUTED_VALUE"""),"03 ORL")</f>
        <v>03 ORL</v>
      </c>
      <c r="N1266" s="33" t="str">
        <f ca="1">IFERROR(__xludf.DUMMYFUNCTION("""COMPUTED_VALUE"""),"06 ORL")</f>
        <v>06 ORL</v>
      </c>
      <c r="O1266" s="33" t="str">
        <f ca="1">IFERROR(__xludf.DUMMYFUNCTION("""COMPUTED_VALUE"""),"No Recuerda Orl")</f>
        <v>No Recuerda Orl</v>
      </c>
      <c r="P1266" s="33" t="str">
        <f ca="1">IFERROR(__xludf.DUMMYFUNCTION("""COMPUTED_VALUE"""),"Alberto Moreno (Madrid)")</f>
        <v>Alberto Moreno (Madrid)</v>
      </c>
    </row>
    <row r="1267" spans="2:16">
      <c r="B1267" s="33">
        <f ca="1">IFERROR(__xludf.DUMMYFUNCTION("""COMPUTED_VALUE"""),2025)</f>
        <v>2025</v>
      </c>
      <c r="C1267" s="33">
        <f ca="1">IFERROR(__xludf.DUMMYFUNCTION("""COMPUTED_VALUE"""),10)</f>
        <v>10</v>
      </c>
      <c r="D1267" s="33" t="str">
        <f ca="1">IFERROR(__xludf.DUMMYFUNCTION("""COMPUTED_VALUE"""),"NO")</f>
        <v>NO</v>
      </c>
      <c r="E1267" s="33" t="str">
        <f ca="1">IFERROR(__xludf.DUMMYFUNCTION("""COMPUTED_VALUE"""),"Madrid- La Oca")</f>
        <v>Madrid- La Oca</v>
      </c>
      <c r="F1267" s="57">
        <f ca="1">IFERROR(__xludf.DUMMYFUNCTION("""COMPUTED_VALUE"""),45945)</f>
        <v>45945</v>
      </c>
      <c r="G1267" s="57">
        <f ca="1">IFERROR(__xludf.DUMMYFUNCTION("""COMPUTED_VALUE"""),45917)</f>
        <v>45917</v>
      </c>
      <c r="H1267" s="33" t="str">
        <f ca="1">IFERROR(__xludf.DUMMYFUNCTION("""COMPUTED_VALUE"""),"La Oca")</f>
        <v>La Oca</v>
      </c>
      <c r="I1267" s="33" t="str">
        <f ca="1">IFERROR(__xludf.DUMMYFUNCTION("""COMPUTED_VALUE"""),"C2025918105043295")</f>
        <v>C2025918105043295</v>
      </c>
      <c r="J1267" s="33" t="str">
        <f ca="1">IFERROR(__xludf.DUMMYFUNCTION("""COMPUTED_VALUE"""),"MARIA PILAR RODRIGUEZ PACHECO")</f>
        <v>MARIA PILAR RODRIGUEZ PACHECO</v>
      </c>
      <c r="K1267" s="33">
        <f ca="1">IFERROR(__xludf.DUMMYFUNCTION("""COMPUTED_VALUE"""),2)</f>
        <v>2</v>
      </c>
      <c r="L1267" s="203">
        <f ca="1">IFERROR(__xludf.DUMMYFUNCTION("""COMPUTED_VALUE"""),4136.36)</f>
        <v>4136.3599999999997</v>
      </c>
      <c r="M1267" s="33" t="str">
        <f ca="1">IFERROR(__xludf.DUMMYFUNCTION("""COMPUTED_VALUE"""),"03 ORL")</f>
        <v>03 ORL</v>
      </c>
      <c r="N1267" s="33" t="str">
        <f ca="1">IFERROR(__xludf.DUMMYFUNCTION("""COMPUTED_VALUE"""),"06 ORL")</f>
        <v>06 ORL</v>
      </c>
      <c r="O1267" s="33" t="str">
        <f ca="1">IFERROR(__xludf.DUMMYFUNCTION("""COMPUTED_VALUE"""),"Dr, José Joaquín Gutiérrez Barquín")</f>
        <v>Dr, José Joaquín Gutiérrez Barquín</v>
      </c>
      <c r="P1267" s="33" t="str">
        <f ca="1">IFERROR(__xludf.DUMMYFUNCTION("""COMPUTED_VALUE"""),"Maika Blázquez (Madrid)")</f>
        <v>Maika Blázquez (Madrid)</v>
      </c>
    </row>
    <row r="1268" spans="2:16">
      <c r="B1268" s="33">
        <f ca="1">IFERROR(__xludf.DUMMYFUNCTION("""COMPUTED_VALUE"""),2025)</f>
        <v>2025</v>
      </c>
      <c r="C1268" s="33">
        <f ca="1">IFERROR(__xludf.DUMMYFUNCTION("""COMPUTED_VALUE"""),10)</f>
        <v>10</v>
      </c>
      <c r="D1268" s="33" t="str">
        <f ca="1">IFERROR(__xludf.DUMMYFUNCTION("""COMPUTED_VALUE"""),"NO")</f>
        <v>NO</v>
      </c>
      <c r="E1268" s="33" t="str">
        <f ca="1">IFERROR(__xludf.DUMMYFUNCTION("""COMPUTED_VALUE"""),"Murcia")</f>
        <v>Murcia</v>
      </c>
      <c r="F1268" s="57">
        <f ca="1">IFERROR(__xludf.DUMMYFUNCTION("""COMPUTED_VALUE"""),45945)</f>
        <v>45945</v>
      </c>
      <c r="G1268" s="57">
        <f ca="1">IFERROR(__xludf.DUMMYFUNCTION("""COMPUTED_VALUE"""),45902)</f>
        <v>45902</v>
      </c>
      <c r="H1268" s="33" t="str">
        <f ca="1">IFERROR(__xludf.DUMMYFUNCTION("""COMPUTED_VALUE"""),"Murcia")</f>
        <v>Murcia</v>
      </c>
      <c r="I1268" s="33" t="str">
        <f ca="1">IFERROR(__xludf.DUMMYFUNCTION("""COMPUTED_VALUE"""),"C202594113750263")</f>
        <v>C202594113750263</v>
      </c>
      <c r="J1268" s="33" t="str">
        <f ca="1">IFERROR(__xludf.DUMMYFUNCTION("""COMPUTED_VALUE"""),"MARIA JOSE ROSAS SANCHEZ")</f>
        <v>MARIA JOSE ROSAS SANCHEZ</v>
      </c>
      <c r="K1268" s="33">
        <f ca="1">IFERROR(__xludf.DUMMYFUNCTION("""COMPUTED_VALUE"""),2)</f>
        <v>2</v>
      </c>
      <c r="L1268" s="203">
        <f ca="1">IFERROR(__xludf.DUMMYFUNCTION("""COMPUTED_VALUE"""),4536.36)</f>
        <v>4536.3599999999997</v>
      </c>
      <c r="M1268" s="33" t="str">
        <f ca="1">IFERROR(__xludf.DUMMYFUNCTION("""COMPUTED_VALUE"""),"03 ORL")</f>
        <v>03 ORL</v>
      </c>
      <c r="N1268" s="33" t="str">
        <f ca="1">IFERROR(__xludf.DUMMYFUNCTION("""COMPUTED_VALUE"""),"06 ORL")</f>
        <v>06 ORL</v>
      </c>
      <c r="O1268" s="33" t="str">
        <f ca="1">IFERROR(__xludf.DUMMYFUNCTION("""COMPUTED_VALUE"""),"Dra, Nuria Salas Barrio")</f>
        <v>Dra, Nuria Salas Barrio</v>
      </c>
      <c r="P1268" s="33" t="str">
        <f ca="1">IFERROR(__xludf.DUMMYFUNCTION("""COMPUTED_VALUE"""),"Iván Sánchez (Levante Y Albacete)")</f>
        <v>Iván Sánchez (Levante Y Albacete)</v>
      </c>
    </row>
    <row r="1269" spans="2:16">
      <c r="B1269" s="33">
        <f ca="1">IFERROR(__xludf.DUMMYFUNCTION("""COMPUTED_VALUE"""),2025)</f>
        <v>2025</v>
      </c>
      <c r="C1269" s="33">
        <f ca="1">IFERROR(__xludf.DUMMYFUNCTION("""COMPUTED_VALUE"""),10)</f>
        <v>10</v>
      </c>
      <c r="D1269" s="33" t="str">
        <f ca="1">IFERROR(__xludf.DUMMYFUNCTION("""COMPUTED_VALUE"""),"NO")</f>
        <v>NO</v>
      </c>
      <c r="E1269" s="33" t="str">
        <f ca="1">IFERROR(__xludf.DUMMYFUNCTION("""COMPUTED_VALUE"""),"Madrid- Canillas")</f>
        <v>Madrid- Canillas</v>
      </c>
      <c r="F1269" s="57">
        <f ca="1">IFERROR(__xludf.DUMMYFUNCTION("""COMPUTED_VALUE"""),45945)</f>
        <v>45945</v>
      </c>
      <c r="G1269" s="57">
        <f ca="1">IFERROR(__xludf.DUMMYFUNCTION("""COMPUTED_VALUE"""),45440)</f>
        <v>45440</v>
      </c>
      <c r="H1269" s="33" t="str">
        <f ca="1">IFERROR(__xludf.DUMMYFUNCTION("""COMPUTED_VALUE"""),"Canillas")</f>
        <v>Canillas</v>
      </c>
      <c r="I1269" s="33" t="str">
        <f ca="1">IFERROR(__xludf.DUMMYFUNCTION("""COMPUTED_VALUE"""),"HOR-2217")</f>
        <v>HOR-2217</v>
      </c>
      <c r="J1269" s="33" t="str">
        <f ca="1">IFERROR(__xludf.DUMMYFUNCTION("""COMPUTED_VALUE"""),"GUADALUPE HOLGADO POLO")</f>
        <v>GUADALUPE HOLGADO POLO</v>
      </c>
      <c r="K1269" s="33">
        <f ca="1">IFERROR(__xludf.DUMMYFUNCTION("""COMPUTED_VALUE"""),-2)</f>
        <v>-2</v>
      </c>
      <c r="L1269" s="203">
        <f ca="1">IFERROR(__xludf.DUMMYFUNCTION("""COMPUTED_VALUE"""),-3709.62)</f>
        <v>-3709.62</v>
      </c>
      <c r="M1269" s="33" t="str">
        <f ca="1">IFERROR(__xludf.DUMMYFUNCTION("""COMPUTED_VALUE"""),"03 ORL")</f>
        <v>03 ORL</v>
      </c>
      <c r="N1269" s="33" t="str">
        <f ca="1">IFERROR(__xludf.DUMMYFUNCTION("""COMPUTED_VALUE"""),"06 ORL")</f>
        <v>06 ORL</v>
      </c>
      <c r="O1269" s="33" t="str">
        <f ca="1">IFERROR(__xludf.DUMMYFUNCTION("""COMPUTED_VALUE"""),"Dr, José Gustavo Barroso Braojos")</f>
        <v>Dr, José Gustavo Barroso Braojos</v>
      </c>
      <c r="P1269" s="33" t="str">
        <f ca="1">IFERROR(__xludf.DUMMYFUNCTION("""COMPUTED_VALUE"""),"Maika Blázquez (Madrid)")</f>
        <v>Maika Blázquez (Madrid)</v>
      </c>
    </row>
    <row r="1270" spans="2:16">
      <c r="B1270" s="33">
        <f ca="1">IFERROR(__xludf.DUMMYFUNCTION("""COMPUTED_VALUE"""),2025)</f>
        <v>2025</v>
      </c>
      <c r="C1270" s="33">
        <f ca="1">IFERROR(__xludf.DUMMYFUNCTION("""COMPUTED_VALUE"""),10)</f>
        <v>10</v>
      </c>
      <c r="D1270" s="33" t="str">
        <f ca="1">IFERROR(__xludf.DUMMYFUNCTION("""COMPUTED_VALUE"""),"NO")</f>
        <v>NO</v>
      </c>
      <c r="E1270" s="33" t="str">
        <f ca="1">IFERROR(__xludf.DUMMYFUNCTION("""COMPUTED_VALUE"""),"Almería")</f>
        <v>Almería</v>
      </c>
      <c r="F1270" s="57">
        <f ca="1">IFERROR(__xludf.DUMMYFUNCTION("""COMPUTED_VALUE"""),45945)</f>
        <v>45945</v>
      </c>
      <c r="G1270" s="57">
        <f ca="1">IFERROR(__xludf.DUMMYFUNCTION("""COMPUTED_VALUE"""),45915)</f>
        <v>45915</v>
      </c>
      <c r="H1270" s="33" t="str">
        <f ca="1">IFERROR(__xludf.DUMMYFUNCTION("""COMPUTED_VALUE"""),"Almería")</f>
        <v>Almería</v>
      </c>
      <c r="I1270" s="33" t="str">
        <f ca="1">IFERROR(__xludf.DUMMYFUNCTION("""COMPUTED_VALUE"""),"C202591617956595")</f>
        <v>C202591617956595</v>
      </c>
      <c r="J1270" s="33" t="str">
        <f ca="1">IFERROR(__xludf.DUMMYFUNCTION("""COMPUTED_VALUE"""),"RAFAELA DELIA SEGURA MARTINEZ")</f>
        <v>RAFAELA DELIA SEGURA MARTINEZ</v>
      </c>
      <c r="K1270" s="33">
        <f ca="1">IFERROR(__xludf.DUMMYFUNCTION("""COMPUTED_VALUE"""),2)</f>
        <v>2</v>
      </c>
      <c r="L1270" s="203">
        <f ca="1">IFERROR(__xludf.DUMMYFUNCTION("""COMPUTED_VALUE"""),3631.82)</f>
        <v>3631.82</v>
      </c>
      <c r="M1270" s="33" t="str">
        <f ca="1">IFERROR(__xludf.DUMMYFUNCTION("""COMPUTED_VALUE"""),"03 ORL")</f>
        <v>03 ORL</v>
      </c>
      <c r="N1270" s="33" t="str">
        <f ca="1">IFERROR(__xludf.DUMMYFUNCTION("""COMPUTED_VALUE"""),"06 ORL")</f>
        <v>06 ORL</v>
      </c>
      <c r="O1270" s="33" t="str">
        <f ca="1">IFERROR(__xludf.DUMMYFUNCTION("""COMPUTED_VALUE"""),"Dr, Manuel Segundo Gómez Fiñana")</f>
        <v>Dr, Manuel Segundo Gómez Fiñana</v>
      </c>
      <c r="P1270" s="33" t="str">
        <f ca="1">IFERROR(__xludf.DUMMYFUNCTION("""COMPUTED_VALUE"""),"Ramon Ferrando(Valencia)")</f>
        <v>Ramon Ferrando(Valencia)</v>
      </c>
    </row>
    <row r="1271" spans="2:16">
      <c r="B1271" s="33">
        <f ca="1">IFERROR(__xludf.DUMMYFUNCTION("""COMPUTED_VALUE"""),2025)</f>
        <v>2025</v>
      </c>
      <c r="C1271" s="33">
        <f ca="1">IFERROR(__xludf.DUMMYFUNCTION("""COMPUTED_VALUE"""),10)</f>
        <v>10</v>
      </c>
      <c r="D1271" s="33" t="str">
        <f ca="1">IFERROR(__xludf.DUMMYFUNCTION("""COMPUTED_VALUE"""),"NO")</f>
        <v>NO</v>
      </c>
      <c r="E1271" s="33" t="str">
        <f ca="1">IFERROR(__xludf.DUMMYFUNCTION("""COMPUTED_VALUE"""),"León")</f>
        <v>León</v>
      </c>
      <c r="F1271" s="57">
        <f ca="1">IFERROR(__xludf.DUMMYFUNCTION("""COMPUTED_VALUE"""),45946)</f>
        <v>45946</v>
      </c>
      <c r="G1271" s="57">
        <f ca="1">IFERROR(__xludf.DUMMYFUNCTION("""COMPUTED_VALUE"""),45932)</f>
        <v>45932</v>
      </c>
      <c r="H1271" s="33" t="str">
        <f ca="1">IFERROR(__xludf.DUMMYFUNCTION("""COMPUTED_VALUE"""),"León")</f>
        <v>León</v>
      </c>
      <c r="I1271" s="33" t="str">
        <f ca="1">IFERROR(__xludf.DUMMYFUNCTION("""COMPUTED_VALUE"""),"LEO-546")</f>
        <v>LEO-546</v>
      </c>
      <c r="J1271" s="33" t="str">
        <f ca="1">IFERROR(__xludf.DUMMYFUNCTION("""COMPUTED_VALUE"""),"JAVIER ALEJANDRO CIVERA SANCHEZ")</f>
        <v>JAVIER ALEJANDRO CIVERA SANCHEZ</v>
      </c>
      <c r="K1271" s="33">
        <f ca="1">IFERROR(__xludf.DUMMYFUNCTION("""COMPUTED_VALUE"""),2)</f>
        <v>2</v>
      </c>
      <c r="L1271" s="203">
        <f ca="1">IFERROR(__xludf.DUMMYFUNCTION("""COMPUTED_VALUE"""),4090.91)</f>
        <v>4090.91</v>
      </c>
      <c r="M1271" s="33" t="str">
        <f ca="1">IFERROR(__xludf.DUMMYFUNCTION("""COMPUTED_VALUE"""),"03 ORL")</f>
        <v>03 ORL</v>
      </c>
      <c r="N1271" s="33" t="str">
        <f ca="1">IFERROR(__xludf.DUMMYFUNCTION("""COMPUTED_VALUE"""),"06 ORL")</f>
        <v>06 ORL</v>
      </c>
      <c r="O1271" s="33" t="str">
        <f ca="1">IFERROR(__xludf.DUMMYFUNCTION("""COMPUTED_VALUE"""),"Dr, Rafael Pérez González")</f>
        <v>Dr, Rafael Pérez González</v>
      </c>
      <c r="P1271" s="33" t="str">
        <f ca="1">IFERROR(__xludf.DUMMYFUNCTION("""COMPUTED_VALUE"""),"Alberto Moreno (Madrid)")</f>
        <v>Alberto Moreno (Madrid)</v>
      </c>
    </row>
    <row r="1272" spans="2:16">
      <c r="B1272" s="33">
        <f ca="1">IFERROR(__xludf.DUMMYFUNCTION("""COMPUTED_VALUE"""),2025)</f>
        <v>2025</v>
      </c>
      <c r="C1272" s="33">
        <f ca="1">IFERROR(__xludf.DUMMYFUNCTION("""COMPUTED_VALUE"""),10)</f>
        <v>10</v>
      </c>
      <c r="D1272" s="33" t="str">
        <f ca="1">IFERROR(__xludf.DUMMYFUNCTION("""COMPUTED_VALUE"""),"NO")</f>
        <v>NO</v>
      </c>
      <c r="E1272" s="33" t="str">
        <f ca="1">IFERROR(__xludf.DUMMYFUNCTION("""COMPUTED_VALUE"""),"León")</f>
        <v>León</v>
      </c>
      <c r="F1272" s="57">
        <f ca="1">IFERROR(__xludf.DUMMYFUNCTION("""COMPUTED_VALUE"""),45946)</f>
        <v>45946</v>
      </c>
      <c r="G1272" s="57">
        <f ca="1">IFERROR(__xludf.DUMMYFUNCTION("""COMPUTED_VALUE"""),45917)</f>
        <v>45917</v>
      </c>
      <c r="H1272" s="33" t="str">
        <f ca="1">IFERROR(__xludf.DUMMYFUNCTION("""COMPUTED_VALUE"""),"León")</f>
        <v>León</v>
      </c>
      <c r="I1272" s="33" t="str">
        <f ca="1">IFERROR(__xludf.DUMMYFUNCTION("""COMPUTED_VALUE"""),"LEO-533")</f>
        <v>LEO-533</v>
      </c>
      <c r="J1272" s="33" t="str">
        <f ca="1">IFERROR(__xludf.DUMMYFUNCTION("""COMPUTED_VALUE"""),"MARIA AMPARO CHICO PRESA")</f>
        <v>MARIA AMPARO CHICO PRESA</v>
      </c>
      <c r="K1272" s="33">
        <f ca="1">IFERROR(__xludf.DUMMYFUNCTION("""COMPUTED_VALUE"""),2)</f>
        <v>2</v>
      </c>
      <c r="L1272" s="203">
        <f ca="1">IFERROR(__xludf.DUMMYFUNCTION("""COMPUTED_VALUE"""),2272.73)</f>
        <v>2272.73</v>
      </c>
      <c r="M1272" s="33" t="str">
        <f ca="1">IFERROR(__xludf.DUMMYFUNCTION("""COMPUTED_VALUE"""),"03 ORL")</f>
        <v>03 ORL</v>
      </c>
      <c r="N1272" s="33" t="str">
        <f ca="1">IFERROR(__xludf.DUMMYFUNCTION("""COMPUTED_VALUE"""),"06 ORL")</f>
        <v>06 ORL</v>
      </c>
      <c r="O1272" s="33" t="str">
        <f ca="1">IFERROR(__xludf.DUMMYFUNCTION("""COMPUTED_VALUE"""),"Dr, Rafael Pérez González")</f>
        <v>Dr, Rafael Pérez González</v>
      </c>
      <c r="P1272" s="33" t="str">
        <f ca="1">IFERROR(__xludf.DUMMYFUNCTION("""COMPUTED_VALUE"""),"Alberto Moreno (Madrid)")</f>
        <v>Alberto Moreno (Madrid)</v>
      </c>
    </row>
    <row r="1273" spans="2:16">
      <c r="B1273" s="33">
        <f ca="1">IFERROR(__xludf.DUMMYFUNCTION("""COMPUTED_VALUE"""),2025)</f>
        <v>2025</v>
      </c>
      <c r="C1273" s="33">
        <f ca="1">IFERROR(__xludf.DUMMYFUNCTION("""COMPUTED_VALUE"""),10)</f>
        <v>10</v>
      </c>
      <c r="D1273" s="33" t="str">
        <f ca="1">IFERROR(__xludf.DUMMYFUNCTION("""COMPUTED_VALUE"""),"NO")</f>
        <v>NO</v>
      </c>
      <c r="E1273" s="33" t="str">
        <f ca="1">IFERROR(__xludf.DUMMYFUNCTION("""COMPUTED_VALUE"""),"Madrid- Juan Bravo")</f>
        <v>Madrid- Juan Bravo</v>
      </c>
      <c r="F1273" s="57">
        <f ca="1">IFERROR(__xludf.DUMMYFUNCTION("""COMPUTED_VALUE"""),45946)</f>
        <v>45946</v>
      </c>
      <c r="G1273" s="57">
        <f ca="1">IFERROR(__xludf.DUMMYFUNCTION("""COMPUTED_VALUE"""),45911)</f>
        <v>45911</v>
      </c>
      <c r="H1273" s="33" t="str">
        <f ca="1">IFERROR(__xludf.DUMMYFUNCTION("""COMPUTED_VALUE"""),"Juan Bravo")</f>
        <v>Juan Bravo</v>
      </c>
      <c r="I1273" s="33" t="str">
        <f ca="1">IFERROR(__xludf.DUMMYFUNCTION("""COMPUTED_VALUE"""),"C2025917181115675")</f>
        <v>C2025917181115675</v>
      </c>
      <c r="J1273" s="33" t="str">
        <f ca="1">IFERROR(__xludf.DUMMYFUNCTION("""COMPUTED_VALUE"""),"CIRIACO SANZ NAVIO")</f>
        <v>CIRIACO SANZ NAVIO</v>
      </c>
      <c r="K1273" s="33">
        <f ca="1">IFERROR(__xludf.DUMMYFUNCTION("""COMPUTED_VALUE"""),2)</f>
        <v>2</v>
      </c>
      <c r="L1273" s="203">
        <f ca="1">IFERROR(__xludf.DUMMYFUNCTION("""COMPUTED_VALUE"""),3450.22)</f>
        <v>3450.22</v>
      </c>
      <c r="M1273" s="33" t="str">
        <f ca="1">IFERROR(__xludf.DUMMYFUNCTION("""COMPUTED_VALUE"""),"03 ORL")</f>
        <v>03 ORL</v>
      </c>
      <c r="N1273" s="33" t="str">
        <f ca="1">IFERROR(__xludf.DUMMYFUNCTION("""COMPUTED_VALUE"""),"06 ORL")</f>
        <v>06 ORL</v>
      </c>
      <c r="O1273" s="33" t="str">
        <f ca="1">IFERROR(__xludf.DUMMYFUNCTION("""COMPUTED_VALUE"""),"Dr, Carlos Barajas del Rosal")</f>
        <v>Dr, Carlos Barajas del Rosal</v>
      </c>
      <c r="P1273" s="33" t="str">
        <f ca="1">IFERROR(__xludf.DUMMYFUNCTION("""COMPUTED_VALUE"""),"Lisandro Russian (Madrid, Cáceres, Toledo, Talavera Y Logroño)")</f>
        <v>Lisandro Russian (Madrid, Cáceres, Toledo, Talavera Y Logroño)</v>
      </c>
    </row>
    <row r="1274" spans="2:16">
      <c r="B1274" s="33">
        <f ca="1">IFERROR(__xludf.DUMMYFUNCTION("""COMPUTED_VALUE"""),2025)</f>
        <v>2025</v>
      </c>
      <c r="C1274" s="33">
        <f ca="1">IFERROR(__xludf.DUMMYFUNCTION("""COMPUTED_VALUE"""),10)</f>
        <v>10</v>
      </c>
      <c r="D1274" s="33" t="str">
        <f ca="1">IFERROR(__xludf.DUMMYFUNCTION("""COMPUTED_VALUE"""),"NO")</f>
        <v>NO</v>
      </c>
      <c r="E1274" s="33" t="str">
        <f ca="1">IFERROR(__xludf.DUMMYFUNCTION("""COMPUTED_VALUE"""),"Alcorcón")</f>
        <v>Alcorcón</v>
      </c>
      <c r="F1274" s="57">
        <f ca="1">IFERROR(__xludf.DUMMYFUNCTION("""COMPUTED_VALUE"""),45946)</f>
        <v>45946</v>
      </c>
      <c r="G1274" s="57">
        <f ca="1">IFERROR(__xludf.DUMMYFUNCTION("""COMPUTED_VALUE"""),45910)</f>
        <v>45910</v>
      </c>
      <c r="H1274" s="33" t="str">
        <f ca="1">IFERROR(__xludf.DUMMYFUNCTION("""COMPUTED_VALUE"""),"Alcorcón")</f>
        <v>Alcorcón</v>
      </c>
      <c r="I1274" s="33" t="str">
        <f ca="1">IFERROR(__xludf.DUMMYFUNCTION("""COMPUTED_VALUE"""),"C2025912124743909")</f>
        <v>C2025912124743909</v>
      </c>
      <c r="J1274" s="33" t="str">
        <f ca="1">IFERROR(__xludf.DUMMYFUNCTION("""COMPUTED_VALUE"""),"MARIA CONCEPCION GARROTE HERNANDEZ")</f>
        <v>MARIA CONCEPCION GARROTE HERNANDEZ</v>
      </c>
      <c r="K1274" s="33">
        <f ca="1">IFERROR(__xludf.DUMMYFUNCTION("""COMPUTED_VALUE"""),2)</f>
        <v>2</v>
      </c>
      <c r="L1274" s="203">
        <f ca="1">IFERROR(__xludf.DUMMYFUNCTION("""COMPUTED_VALUE"""),4136.36)</f>
        <v>4136.3599999999997</v>
      </c>
      <c r="M1274" s="33" t="str">
        <f ca="1">IFERROR(__xludf.DUMMYFUNCTION("""COMPUTED_VALUE"""),"03 ORL")</f>
        <v>03 ORL</v>
      </c>
      <c r="N1274" s="33" t="str">
        <f ca="1">IFERROR(__xludf.DUMMYFUNCTION("""COMPUTED_VALUE"""),"06 ORL")</f>
        <v>06 ORL</v>
      </c>
      <c r="O1274" s="33" t="str">
        <f ca="1">IFERROR(__xludf.DUMMYFUNCTION("""COMPUTED_VALUE"""),"Dr, Adolfo Toledano Muñoz")</f>
        <v>Dr, Adolfo Toledano Muñoz</v>
      </c>
      <c r="P1274" s="33" t="str">
        <f ca="1">IFERROR(__xludf.DUMMYFUNCTION("""COMPUTED_VALUE"""),"Maika Blázquez (Madrid)")</f>
        <v>Maika Blázquez (Madrid)</v>
      </c>
    </row>
    <row r="1275" spans="2:16">
      <c r="B1275" s="33">
        <f ca="1">IFERROR(__xludf.DUMMYFUNCTION("""COMPUTED_VALUE"""),2025)</f>
        <v>2025</v>
      </c>
      <c r="C1275" s="33">
        <f ca="1">IFERROR(__xludf.DUMMYFUNCTION("""COMPUTED_VALUE"""),10)</f>
        <v>10</v>
      </c>
      <c r="D1275" s="33" t="str">
        <f ca="1">IFERROR(__xludf.DUMMYFUNCTION("""COMPUTED_VALUE"""),"NO")</f>
        <v>NO</v>
      </c>
      <c r="E1275" s="33" t="str">
        <f ca="1">IFERROR(__xludf.DUMMYFUNCTION("""COMPUTED_VALUE"""),"Murcia")</f>
        <v>Murcia</v>
      </c>
      <c r="F1275" s="57">
        <f ca="1">IFERROR(__xludf.DUMMYFUNCTION("""COMPUTED_VALUE"""),45946)</f>
        <v>45946</v>
      </c>
      <c r="G1275" s="57">
        <f ca="1">IFERROR(__xludf.DUMMYFUNCTION("""COMPUTED_VALUE"""),45930)</f>
        <v>45930</v>
      </c>
      <c r="H1275" s="33" t="str">
        <f ca="1">IFERROR(__xludf.DUMMYFUNCTION("""COMPUTED_VALUE"""),"Murcia")</f>
        <v>Murcia</v>
      </c>
      <c r="I1275" s="33" t="str">
        <f ca="1">IFERROR(__xludf.DUMMYFUNCTION("""COMPUTED_VALUE"""),"C20251039749235")</f>
        <v>C20251039749235</v>
      </c>
      <c r="J1275" s="33" t="str">
        <f ca="1">IFERROR(__xludf.DUMMYFUNCTION("""COMPUTED_VALUE"""),"JOSEFA BELANDO GOMEZ")</f>
        <v>JOSEFA BELANDO GOMEZ</v>
      </c>
      <c r="K1275" s="33">
        <f ca="1">IFERROR(__xludf.DUMMYFUNCTION("""COMPUTED_VALUE"""),2)</f>
        <v>2</v>
      </c>
      <c r="L1275" s="203">
        <f ca="1">IFERROR(__xludf.DUMMYFUNCTION("""COMPUTED_VALUE"""),3631.81)</f>
        <v>3631.81</v>
      </c>
      <c r="M1275" s="33" t="str">
        <f ca="1">IFERROR(__xludf.DUMMYFUNCTION("""COMPUTED_VALUE"""),"03 ORL")</f>
        <v>03 ORL</v>
      </c>
      <c r="N1275" s="33" t="str">
        <f ca="1">IFERROR(__xludf.DUMMYFUNCTION("""COMPUTED_VALUE"""),"06 ORL")</f>
        <v>06 ORL</v>
      </c>
      <c r="O1275" s="33" t="str">
        <f ca="1">IFERROR(__xludf.DUMMYFUNCTION("""COMPUTED_VALUE"""),"Dr, Enrique Viviente Rodríguez")</f>
        <v>Dr, Enrique Viviente Rodríguez</v>
      </c>
      <c r="P1275" s="33" t="str">
        <f ca="1">IFERROR(__xludf.DUMMYFUNCTION("""COMPUTED_VALUE"""),"Iván Sánchez (Levante Y Albacete)")</f>
        <v>Iván Sánchez (Levante Y Albacete)</v>
      </c>
    </row>
    <row r="1276" spans="2:16">
      <c r="B1276" s="33">
        <f ca="1">IFERROR(__xludf.DUMMYFUNCTION("""COMPUTED_VALUE"""),2025)</f>
        <v>2025</v>
      </c>
      <c r="C1276" s="33">
        <f ca="1">IFERROR(__xludf.DUMMYFUNCTION("""COMPUTED_VALUE"""),10)</f>
        <v>10</v>
      </c>
      <c r="D1276" s="33" t="str">
        <f ca="1">IFERROR(__xludf.DUMMYFUNCTION("""COMPUTED_VALUE"""),"NO")</f>
        <v>NO</v>
      </c>
      <c r="E1276" s="33" t="str">
        <f ca="1">IFERROR(__xludf.DUMMYFUNCTION("""COMPUTED_VALUE"""),"Murcia")</f>
        <v>Murcia</v>
      </c>
      <c r="F1276" s="57">
        <f ca="1">IFERROR(__xludf.DUMMYFUNCTION("""COMPUTED_VALUE"""),45946)</f>
        <v>45946</v>
      </c>
      <c r="G1276" s="57">
        <f ca="1">IFERROR(__xludf.DUMMYFUNCTION("""COMPUTED_VALUE"""),45814)</f>
        <v>45814</v>
      </c>
      <c r="H1276" s="33" t="str">
        <f ca="1">IFERROR(__xludf.DUMMYFUNCTION("""COMPUTED_VALUE"""),"Murcia")</f>
        <v>Murcia</v>
      </c>
      <c r="I1276" s="33" t="str">
        <f ca="1">IFERROR(__xludf.DUMMYFUNCTION("""COMPUTED_VALUE"""),"C2025619103136969")</f>
        <v>C2025619103136969</v>
      </c>
      <c r="J1276" s="33" t="str">
        <f ca="1">IFERROR(__xludf.DUMMYFUNCTION("""COMPUTED_VALUE"""),"ISABEL GOMEZ MARTINEZ")</f>
        <v>ISABEL GOMEZ MARTINEZ</v>
      </c>
      <c r="K1276" s="33">
        <f ca="1">IFERROR(__xludf.DUMMYFUNCTION("""COMPUTED_VALUE"""),2)</f>
        <v>2</v>
      </c>
      <c r="L1276" s="203">
        <f ca="1">IFERROR(__xludf.DUMMYFUNCTION("""COMPUTED_VALUE"""),3450)</f>
        <v>3450</v>
      </c>
      <c r="M1276" s="33" t="str">
        <f ca="1">IFERROR(__xludf.DUMMYFUNCTION("""COMPUTED_VALUE"""),"03 ORL")</f>
        <v>03 ORL</v>
      </c>
      <c r="N1276" s="33" t="str">
        <f ca="1">IFERROR(__xludf.DUMMYFUNCTION("""COMPUTED_VALUE"""),"06 ORL")</f>
        <v>06 ORL</v>
      </c>
      <c r="O1276" s="33" t="str">
        <f ca="1">IFERROR(__xludf.DUMMYFUNCTION("""COMPUTED_VALUE"""),"Dra, María Agustina Sevilla García")</f>
        <v>Dra, María Agustina Sevilla García</v>
      </c>
      <c r="P1276" s="33" t="str">
        <f ca="1">IFERROR(__xludf.DUMMYFUNCTION("""COMPUTED_VALUE"""),"Iván Sánchez (Levante Y Albacete)")</f>
        <v>Iván Sánchez (Levante Y Albacete)</v>
      </c>
    </row>
    <row r="1277" spans="2:16">
      <c r="B1277" s="33">
        <f ca="1">IFERROR(__xludf.DUMMYFUNCTION("""COMPUTED_VALUE"""),2025)</f>
        <v>2025</v>
      </c>
      <c r="C1277" s="33">
        <f ca="1">IFERROR(__xludf.DUMMYFUNCTION("""COMPUTED_VALUE"""),10)</f>
        <v>10</v>
      </c>
      <c r="D1277" s="33" t="str">
        <f ca="1">IFERROR(__xludf.DUMMYFUNCTION("""COMPUTED_VALUE"""),"NO")</f>
        <v>NO</v>
      </c>
      <c r="E1277" s="33" t="str">
        <f ca="1">IFERROR(__xludf.DUMMYFUNCTION("""COMPUTED_VALUE"""),"Leganés")</f>
        <v>Leganés</v>
      </c>
      <c r="F1277" s="57">
        <f ca="1">IFERROR(__xludf.DUMMYFUNCTION("""COMPUTED_VALUE"""),45946)</f>
        <v>45946</v>
      </c>
      <c r="G1277" s="57">
        <f ca="1">IFERROR(__xludf.DUMMYFUNCTION("""COMPUTED_VALUE"""),45894)</f>
        <v>45894</v>
      </c>
      <c r="H1277" s="33" t="str">
        <f ca="1">IFERROR(__xludf.DUMMYFUNCTION("""COMPUTED_VALUE"""),"Leganés")</f>
        <v>Leganés</v>
      </c>
      <c r="I1277" s="33" t="str">
        <f ca="1">IFERROR(__xludf.DUMMYFUNCTION("""COMPUTED_VALUE"""),"C202582810465083")</f>
        <v>C202582810465083</v>
      </c>
      <c r="J1277" s="33" t="str">
        <f ca="1">IFERROR(__xludf.DUMMYFUNCTION("""COMPUTED_VALUE"""),"MARIA ISABEL ALMENDRO CRESPO")</f>
        <v>MARIA ISABEL ALMENDRO CRESPO</v>
      </c>
      <c r="K1277" s="33">
        <f ca="1">IFERROR(__xludf.DUMMYFUNCTION("""COMPUTED_VALUE"""),2)</f>
        <v>2</v>
      </c>
      <c r="L1277" s="203">
        <f ca="1">IFERROR(__xludf.DUMMYFUNCTION("""COMPUTED_VALUE"""),4536.36)</f>
        <v>4536.3599999999997</v>
      </c>
      <c r="M1277" s="33" t="str">
        <f ca="1">IFERROR(__xludf.DUMMYFUNCTION("""COMPUTED_VALUE"""),"03 ORL")</f>
        <v>03 ORL</v>
      </c>
      <c r="N1277" s="33" t="str">
        <f ca="1">IFERROR(__xludf.DUMMYFUNCTION("""COMPUTED_VALUE"""),"06 ORL")</f>
        <v>06 ORL</v>
      </c>
      <c r="O1277" s="33" t="str">
        <f ca="1">IFERROR(__xludf.DUMMYFUNCTION("""COMPUTED_VALUE"""),"Dra, Cristina Vaduva")</f>
        <v>Dra, Cristina Vaduva</v>
      </c>
      <c r="P1277" s="33" t="str">
        <f ca="1">IFERROR(__xludf.DUMMYFUNCTION("""COMPUTED_VALUE"""),"Maika Blázquez (Madrid)")</f>
        <v>Maika Blázquez (Madrid)</v>
      </c>
    </row>
    <row r="1278" spans="2:16">
      <c r="B1278" s="33">
        <f ca="1">IFERROR(__xludf.DUMMYFUNCTION("""COMPUTED_VALUE"""),2025)</f>
        <v>2025</v>
      </c>
      <c r="C1278" s="33">
        <f ca="1">IFERROR(__xludf.DUMMYFUNCTION("""COMPUTED_VALUE"""),10)</f>
        <v>10</v>
      </c>
      <c r="D1278" s="33" t="str">
        <f ca="1">IFERROR(__xludf.DUMMYFUNCTION("""COMPUTED_VALUE"""),"NO")</f>
        <v>NO</v>
      </c>
      <c r="E1278" s="33" t="str">
        <f ca="1">IFERROR(__xludf.DUMMYFUNCTION("""COMPUTED_VALUE"""),"Alicante")</f>
        <v>Alicante</v>
      </c>
      <c r="F1278" s="57">
        <f ca="1">IFERROR(__xludf.DUMMYFUNCTION("""COMPUTED_VALUE"""),45946)</f>
        <v>45946</v>
      </c>
      <c r="G1278" s="57">
        <f ca="1">IFERROR(__xludf.DUMMYFUNCTION("""COMPUTED_VALUE"""),45917)</f>
        <v>45917</v>
      </c>
      <c r="H1278" s="33" t="str">
        <f ca="1">IFERROR(__xludf.DUMMYFUNCTION("""COMPUTED_VALUE"""),"Alicante")</f>
        <v>Alicante</v>
      </c>
      <c r="I1278" s="33" t="str">
        <f ca="1">IFERROR(__xludf.DUMMYFUNCTION("""COMPUTED_VALUE"""),"C2025919105522488")</f>
        <v>C2025919105522488</v>
      </c>
      <c r="J1278" s="33" t="str">
        <f ca="1">IFERROR(__xludf.DUMMYFUNCTION("""COMPUTED_VALUE"""),"FRANCO ALBARES MEDRANO")</f>
        <v>FRANCO ALBARES MEDRANO</v>
      </c>
      <c r="K1278" s="33">
        <f ca="1">IFERROR(__xludf.DUMMYFUNCTION("""COMPUTED_VALUE"""),2)</f>
        <v>2</v>
      </c>
      <c r="L1278" s="203">
        <f ca="1">IFERROR(__xludf.DUMMYFUNCTION("""COMPUTED_VALUE"""),4309.55)</f>
        <v>4309.55</v>
      </c>
      <c r="M1278" s="33" t="str">
        <f ca="1">IFERROR(__xludf.DUMMYFUNCTION("""COMPUTED_VALUE"""),"03 ORL")</f>
        <v>03 ORL</v>
      </c>
      <c r="N1278" s="33" t="str">
        <f ca="1">IFERROR(__xludf.DUMMYFUNCTION("""COMPUTED_VALUE"""),"06 ORL")</f>
        <v>06 ORL</v>
      </c>
      <c r="O1278" s="33" t="str">
        <f ca="1">IFERROR(__xludf.DUMMYFUNCTION("""COMPUTED_VALUE"""),"Dr, Atonio Burgos Sánchez")</f>
        <v>Dr, Atonio Burgos Sánchez</v>
      </c>
      <c r="P1278" s="33" t="str">
        <f ca="1">IFERROR(__xludf.DUMMYFUNCTION("""COMPUTED_VALUE"""),"Ramon Ferrando(Valencia)")</f>
        <v>Ramon Ferrando(Valencia)</v>
      </c>
    </row>
    <row r="1279" spans="2:16">
      <c r="B1279" s="33">
        <f ca="1">IFERROR(__xludf.DUMMYFUNCTION("""COMPUTED_VALUE"""),2025)</f>
        <v>2025</v>
      </c>
      <c r="C1279" s="33">
        <f ca="1">IFERROR(__xludf.DUMMYFUNCTION("""COMPUTED_VALUE"""),10)</f>
        <v>10</v>
      </c>
      <c r="D1279" s="33" t="str">
        <f ca="1">IFERROR(__xludf.DUMMYFUNCTION("""COMPUTED_VALUE"""),"NO")</f>
        <v>NO</v>
      </c>
      <c r="E1279" s="33" t="str">
        <f ca="1">IFERROR(__xludf.DUMMYFUNCTION("""COMPUTED_VALUE"""),"Murcia")</f>
        <v>Murcia</v>
      </c>
      <c r="F1279" s="57">
        <f ca="1">IFERROR(__xludf.DUMMYFUNCTION("""COMPUTED_VALUE"""),45946)</f>
        <v>45946</v>
      </c>
      <c r="G1279" s="57">
        <f ca="1">IFERROR(__xludf.DUMMYFUNCTION("""COMPUTED_VALUE"""),45924)</f>
        <v>45924</v>
      </c>
      <c r="H1279" s="33" t="str">
        <f ca="1">IFERROR(__xludf.DUMMYFUNCTION("""COMPUTED_VALUE"""),"Murcia")</f>
        <v>Murcia</v>
      </c>
      <c r="I1279" s="33" t="str">
        <f ca="1">IFERROR(__xludf.DUMMYFUNCTION("""COMPUTED_VALUE"""),"C202592916913786")</f>
        <v>C202592916913786</v>
      </c>
      <c r="J1279" s="33" t="str">
        <f ca="1">IFERROR(__xludf.DUMMYFUNCTION("""COMPUTED_VALUE"""),"FRANCISCO MIGUEL SANCHEZ FERRER")</f>
        <v>FRANCISCO MIGUEL SANCHEZ FERRER</v>
      </c>
      <c r="K1279" s="33">
        <f ca="1">IFERROR(__xludf.DUMMYFUNCTION("""COMPUTED_VALUE"""),2)</f>
        <v>2</v>
      </c>
      <c r="L1279" s="203">
        <f ca="1">IFERROR(__xludf.DUMMYFUNCTION("""COMPUTED_VALUE"""),2718.18)</f>
        <v>2718.18</v>
      </c>
      <c r="M1279" s="33" t="str">
        <f ca="1">IFERROR(__xludf.DUMMYFUNCTION("""COMPUTED_VALUE"""),"03 ORL")</f>
        <v>03 ORL</v>
      </c>
      <c r="N1279" s="33" t="str">
        <f ca="1">IFERROR(__xludf.DUMMYFUNCTION("""COMPUTED_VALUE"""),"06 ORL")</f>
        <v>06 ORL</v>
      </c>
      <c r="O1279" s="33" t="str">
        <f ca="1">IFERROR(__xludf.DUMMYFUNCTION("""COMPUTED_VALUE"""),"Dra, María Agustina Sevilla García")</f>
        <v>Dra, María Agustina Sevilla García</v>
      </c>
      <c r="P1279" s="33" t="str">
        <f ca="1">IFERROR(__xludf.DUMMYFUNCTION("""COMPUTED_VALUE"""),"Iván Sánchez (Levante Y Albacete)")</f>
        <v>Iván Sánchez (Levante Y Albacete)</v>
      </c>
    </row>
    <row r="1280" spans="2:16">
      <c r="B1280" s="33">
        <f ca="1">IFERROR(__xludf.DUMMYFUNCTION("""COMPUTED_VALUE"""),2025)</f>
        <v>2025</v>
      </c>
      <c r="C1280" s="33">
        <f ca="1">IFERROR(__xludf.DUMMYFUNCTION("""COMPUTED_VALUE"""),10)</f>
        <v>10</v>
      </c>
      <c r="D1280" s="33" t="str">
        <f ca="1">IFERROR(__xludf.DUMMYFUNCTION("""COMPUTED_VALUE"""),"SI")</f>
        <v>SI</v>
      </c>
      <c r="E1280" s="33" t="str">
        <f ca="1">IFERROR(__xludf.DUMMYFUNCTION("""COMPUTED_VALUE"""),"Getafe")</f>
        <v>Getafe</v>
      </c>
      <c r="F1280" s="57">
        <f ca="1">IFERROR(__xludf.DUMMYFUNCTION("""COMPUTED_VALUE"""),45946)</f>
        <v>45946</v>
      </c>
      <c r="G1280" s="57">
        <f ca="1">IFERROR(__xludf.DUMMYFUNCTION("""COMPUTED_VALUE"""),45280)</f>
        <v>45280</v>
      </c>
      <c r="H1280" s="33" t="str">
        <f ca="1">IFERROR(__xludf.DUMMYFUNCTION("""COMPUTED_VALUE"""),"Getafe")</f>
        <v>Getafe</v>
      </c>
      <c r="I1280" s="33" t="str">
        <f ca="1">IFERROR(__xludf.DUMMYFUNCTION("""COMPUTED_VALUE"""),"MGE-162")</f>
        <v>MGE-162</v>
      </c>
      <c r="J1280" s="33" t="str">
        <f ca="1">IFERROR(__xludf.DUMMYFUNCTION("""COMPUTED_VALUE"""),"JOSE GARROSA MARTIN")</f>
        <v>JOSE GARROSA MARTIN</v>
      </c>
      <c r="K1280" s="33">
        <f ca="1">IFERROR(__xludf.DUMMYFUNCTION("""COMPUTED_VALUE"""),1)</f>
        <v>1</v>
      </c>
      <c r="L1280" s="203">
        <f ca="1">IFERROR(__xludf.DUMMYFUNCTION("""COMPUTED_VALUE"""),1223.87)</f>
        <v>1223.8699999999999</v>
      </c>
      <c r="M1280" s="33" t="str">
        <f ca="1">IFERROR(__xludf.DUMMYFUNCTION("""COMPUTED_VALUE"""),"04 TIENDA")</f>
        <v>04 TIENDA</v>
      </c>
      <c r="N1280" s="33" t="str">
        <f ca="1">IFERROR(__xludf.DUMMYFUNCTION("""COMPUTED_VALUE"""),"19 CLIENTE RECOMPRA ESPONTANEA")</f>
        <v>19 CLIENTE RECOMPRA ESPONTANEA</v>
      </c>
      <c r="O1280" s="33" t="str">
        <f ca="1">IFERROR(__xludf.DUMMYFUNCTION("""COMPUTED_VALUE"""),"Dr, Daniel Moreno Jimenez")</f>
        <v>Dr, Daniel Moreno Jimenez</v>
      </c>
      <c r="P1280" s="33" t="str">
        <f ca="1">IFERROR(__xludf.DUMMYFUNCTION("""COMPUTED_VALUE"""),"Maika Blázquez (Madrid)")</f>
        <v>Maika Blázquez (Madrid)</v>
      </c>
    </row>
    <row r="1281" spans="2:16">
      <c r="B1281" s="33">
        <f ca="1">IFERROR(__xludf.DUMMYFUNCTION("""COMPUTED_VALUE"""),2025)</f>
        <v>2025</v>
      </c>
      <c r="C1281" s="33">
        <f ca="1">IFERROR(__xludf.DUMMYFUNCTION("""COMPUTED_VALUE"""),10)</f>
        <v>10</v>
      </c>
      <c r="D1281" s="33" t="str">
        <f ca="1">IFERROR(__xludf.DUMMYFUNCTION("""COMPUTED_VALUE"""),"NO")</f>
        <v>NO</v>
      </c>
      <c r="E1281" s="33" t="str">
        <f ca="1">IFERROR(__xludf.DUMMYFUNCTION("""COMPUTED_VALUE"""),"Boiro")</f>
        <v>Boiro</v>
      </c>
      <c r="F1281" s="57">
        <f ca="1">IFERROR(__xludf.DUMMYFUNCTION("""COMPUTED_VALUE"""),45947)</f>
        <v>45947</v>
      </c>
      <c r="G1281" s="57">
        <f ca="1">IFERROR(__xludf.DUMMYFUNCTION("""COMPUTED_VALUE"""),45932)</f>
        <v>45932</v>
      </c>
      <c r="H1281" s="33" t="str">
        <f ca="1">IFERROR(__xludf.DUMMYFUNCTION("""COMPUTED_VALUE"""),"Boiro")</f>
        <v>Boiro</v>
      </c>
      <c r="I1281" s="33" t="str">
        <f ca="1">IFERROR(__xludf.DUMMYFUNCTION("""COMPUTED_VALUE"""),"BOI-999")</f>
        <v>BOI-999</v>
      </c>
      <c r="J1281" s="33" t="str">
        <f ca="1">IFERROR(__xludf.DUMMYFUNCTION("""COMPUTED_VALUE"""),"MARIA ROSA VAZQUEZ PARDAVILA")</f>
        <v>MARIA ROSA VAZQUEZ PARDAVILA</v>
      </c>
      <c r="K1281" s="33">
        <f ca="1">IFERROR(__xludf.DUMMYFUNCTION("""COMPUTED_VALUE"""),2)</f>
        <v>2</v>
      </c>
      <c r="L1281" s="203">
        <f ca="1">IFERROR(__xludf.DUMMYFUNCTION("""COMPUTED_VALUE"""),3000)</f>
        <v>3000</v>
      </c>
      <c r="M1281" s="33" t="str">
        <f ca="1">IFERROR(__xludf.DUMMYFUNCTION("""COMPUTED_VALUE"""),"03 ORL")</f>
        <v>03 ORL</v>
      </c>
      <c r="N1281" s="33" t="str">
        <f ca="1">IFERROR(__xludf.DUMMYFUNCTION("""COMPUTED_VALUE"""),"06 ORL")</f>
        <v>06 ORL</v>
      </c>
      <c r="O1281" s="33" t="str">
        <f ca="1">IFERROR(__xludf.DUMMYFUNCTION("""COMPUTED_VALUE"""),"Dra, Isabel Pensado Banet")</f>
        <v>Dra, Isabel Pensado Banet</v>
      </c>
      <c r="P1281" s="33" t="str">
        <f ca="1">IFERROR(__xludf.DUMMYFUNCTION("""COMPUTED_VALUE"""),"Roberto Pereira (Galicia)")</f>
        <v>Roberto Pereira (Galicia)</v>
      </c>
    </row>
    <row r="1282" spans="2:16">
      <c r="B1282" s="33">
        <f ca="1">IFERROR(__xludf.DUMMYFUNCTION("""COMPUTED_VALUE"""),2025)</f>
        <v>2025</v>
      </c>
      <c r="C1282" s="33">
        <f ca="1">IFERROR(__xludf.DUMMYFUNCTION("""COMPUTED_VALUE"""),10)</f>
        <v>10</v>
      </c>
      <c r="D1282" s="33" t="str">
        <f ca="1">IFERROR(__xludf.DUMMYFUNCTION("""COMPUTED_VALUE"""),"NO")</f>
        <v>NO</v>
      </c>
      <c r="E1282" s="33" t="str">
        <f ca="1">IFERROR(__xludf.DUMMYFUNCTION("""COMPUTED_VALUE"""),"Lalín")</f>
        <v>Lalín</v>
      </c>
      <c r="F1282" s="57">
        <f ca="1">IFERROR(__xludf.DUMMYFUNCTION("""COMPUTED_VALUE"""),45947)</f>
        <v>45947</v>
      </c>
      <c r="G1282" s="57">
        <f ca="1">IFERROR(__xludf.DUMMYFUNCTION("""COMPUTED_VALUE"""),45934)</f>
        <v>45934</v>
      </c>
      <c r="H1282" s="33" t="str">
        <f ca="1">IFERROR(__xludf.DUMMYFUNCTION("""COMPUTED_VALUE"""),"Lalín")</f>
        <v>Lalín</v>
      </c>
      <c r="I1282" s="33" t="str">
        <f ca="1">IFERROR(__xludf.DUMMYFUNCTION("""COMPUTED_VALUE"""),"LAL-171")</f>
        <v>LAL-171</v>
      </c>
      <c r="J1282" s="33" t="str">
        <f ca="1">IFERROR(__xludf.DUMMYFUNCTION("""COMPUTED_VALUE"""),"MANUEL BARROS ROZAS")</f>
        <v>MANUEL BARROS ROZAS</v>
      </c>
      <c r="K1282" s="33">
        <f ca="1">IFERROR(__xludf.DUMMYFUNCTION("""COMPUTED_VALUE"""),2)</f>
        <v>2</v>
      </c>
      <c r="L1282" s="203">
        <f ca="1">IFERROR(__xludf.DUMMYFUNCTION("""COMPUTED_VALUE"""),3000)</f>
        <v>3000</v>
      </c>
      <c r="M1282" s="33" t="str">
        <f ca="1">IFERROR(__xludf.DUMMYFUNCTION("""COMPUTED_VALUE"""),"03 ORL")</f>
        <v>03 ORL</v>
      </c>
      <c r="N1282" s="33" t="str">
        <f ca="1">IFERROR(__xludf.DUMMYFUNCTION("""COMPUTED_VALUE"""),"06 ORL")</f>
        <v>06 ORL</v>
      </c>
      <c r="O1282" s="33" t="str">
        <f ca="1">IFERROR(__xludf.DUMMYFUNCTION("""COMPUTED_VALUE"""),"Dr, Antonio Gustavo Lirola Delgado")</f>
        <v>Dr, Antonio Gustavo Lirola Delgado</v>
      </c>
      <c r="P1282" s="33" t="str">
        <f ca="1">IFERROR(__xludf.DUMMYFUNCTION("""COMPUTED_VALUE"""),"Roberto Pereira (Galicia)")</f>
        <v>Roberto Pereira (Galicia)</v>
      </c>
    </row>
    <row r="1283" spans="2:16">
      <c r="B1283" s="33">
        <f ca="1">IFERROR(__xludf.DUMMYFUNCTION("""COMPUTED_VALUE"""),2025)</f>
        <v>2025</v>
      </c>
      <c r="C1283" s="33">
        <f ca="1">IFERROR(__xludf.DUMMYFUNCTION("""COMPUTED_VALUE"""),10)</f>
        <v>10</v>
      </c>
      <c r="D1283" s="33" t="str">
        <f ca="1">IFERROR(__xludf.DUMMYFUNCTION("""COMPUTED_VALUE"""),"NO")</f>
        <v>NO</v>
      </c>
      <c r="E1283" s="33" t="str">
        <f ca="1">IFERROR(__xludf.DUMMYFUNCTION("""COMPUTED_VALUE"""),"Salamanca")</f>
        <v>Salamanca</v>
      </c>
      <c r="F1283" s="57">
        <f ca="1">IFERROR(__xludf.DUMMYFUNCTION("""COMPUTED_VALUE"""),45947)</f>
        <v>45947</v>
      </c>
      <c r="G1283" s="57">
        <f ca="1">IFERROR(__xludf.DUMMYFUNCTION("""COMPUTED_VALUE"""),45904)</f>
        <v>45904</v>
      </c>
      <c r="H1283" s="33" t="str">
        <f ca="1">IFERROR(__xludf.DUMMYFUNCTION("""COMPUTED_VALUE"""),"Salamanca")</f>
        <v>Salamanca</v>
      </c>
      <c r="I1283" s="33" t="str">
        <f ca="1">IFERROR(__xludf.DUMMYFUNCTION("""COMPUTED_VALUE"""),"SLM-612")</f>
        <v>SLM-612</v>
      </c>
      <c r="J1283" s="33" t="str">
        <f ca="1">IFERROR(__xludf.DUMMYFUNCTION("""COMPUTED_VALUE"""),"FERNANDO JESUS PEREZ CORNEJO")</f>
        <v>FERNANDO JESUS PEREZ CORNEJO</v>
      </c>
      <c r="K1283" s="33">
        <f ca="1">IFERROR(__xludf.DUMMYFUNCTION("""COMPUTED_VALUE"""),2)</f>
        <v>2</v>
      </c>
      <c r="L1283" s="203">
        <f ca="1">IFERROR(__xludf.DUMMYFUNCTION("""COMPUTED_VALUE"""),2974.55)</f>
        <v>2974.55</v>
      </c>
      <c r="M1283" s="33" t="str">
        <f ca="1">IFERROR(__xludf.DUMMYFUNCTION("""COMPUTED_VALUE"""),"03 ORL")</f>
        <v>03 ORL</v>
      </c>
      <c r="N1283" s="33" t="str">
        <f ca="1">IFERROR(__xludf.DUMMYFUNCTION("""COMPUTED_VALUE"""),"06 ORL")</f>
        <v>06 ORL</v>
      </c>
      <c r="O1283" s="33" t="str">
        <f ca="1">IFERROR(__xludf.DUMMYFUNCTION("""COMPUTED_VALUE"""),"Dr, Jose Antonio Sancipriano Hernández")</f>
        <v>Dr, Jose Antonio Sancipriano Hernández</v>
      </c>
      <c r="P1283" s="33" t="str">
        <f ca="1">IFERROR(__xludf.DUMMYFUNCTION("""COMPUTED_VALUE"""),"Alberto Moreno (Madrid)")</f>
        <v>Alberto Moreno (Madrid)</v>
      </c>
    </row>
    <row r="1284" spans="2:16">
      <c r="B1284" s="33">
        <f ca="1">IFERROR(__xludf.DUMMYFUNCTION("""COMPUTED_VALUE"""),2025)</f>
        <v>2025</v>
      </c>
      <c r="C1284" s="33">
        <f ca="1">IFERROR(__xludf.DUMMYFUNCTION("""COMPUTED_VALUE"""),10)</f>
        <v>10</v>
      </c>
      <c r="D1284" s="33" t="str">
        <f ca="1">IFERROR(__xludf.DUMMYFUNCTION("""COMPUTED_VALUE"""),"NO")</f>
        <v>NO</v>
      </c>
      <c r="E1284" s="33" t="str">
        <f ca="1">IFERROR(__xludf.DUMMYFUNCTION("""COMPUTED_VALUE"""),"Madrid- Canillas")</f>
        <v>Madrid- Canillas</v>
      </c>
      <c r="F1284" s="57">
        <f ca="1">IFERROR(__xludf.DUMMYFUNCTION("""COMPUTED_VALUE"""),45947)</f>
        <v>45947</v>
      </c>
      <c r="G1284" s="57">
        <f ca="1">IFERROR(__xludf.DUMMYFUNCTION("""COMPUTED_VALUE"""),45916)</f>
        <v>45916</v>
      </c>
      <c r="H1284" s="33" t="str">
        <f ca="1">IFERROR(__xludf.DUMMYFUNCTION("""COMPUTED_VALUE"""),"Canillas")</f>
        <v>Canillas</v>
      </c>
      <c r="I1284" s="33" t="str">
        <f ca="1">IFERROR(__xludf.DUMMYFUNCTION("""COMPUTED_VALUE"""),"C202592691723568")</f>
        <v>C202592691723568</v>
      </c>
      <c r="J1284" s="33" t="str">
        <f ca="1">IFERROR(__xludf.DUMMYFUNCTION("""COMPUTED_VALUE"""),"NIEVES QUIROGA SOBRADO")</f>
        <v>NIEVES QUIROGA SOBRADO</v>
      </c>
      <c r="K1284" s="33">
        <f ca="1">IFERROR(__xludf.DUMMYFUNCTION("""COMPUTED_VALUE"""),2)</f>
        <v>2</v>
      </c>
      <c r="L1284" s="203">
        <f ca="1">IFERROR(__xludf.DUMMYFUNCTION("""COMPUTED_VALUE"""),4536.36)</f>
        <v>4536.3599999999997</v>
      </c>
      <c r="M1284" s="33" t="str">
        <f ca="1">IFERROR(__xludf.DUMMYFUNCTION("""COMPUTED_VALUE"""),"03 ORL")</f>
        <v>03 ORL</v>
      </c>
      <c r="N1284" s="33" t="str">
        <f ca="1">IFERROR(__xludf.DUMMYFUNCTION("""COMPUTED_VALUE"""),"06 ORL")</f>
        <v>06 ORL</v>
      </c>
      <c r="O1284" s="33" t="str">
        <f ca="1">IFERROR(__xludf.DUMMYFUNCTION("""COMPUTED_VALUE"""),"Dr, José Gustavo Barroso Braojos")</f>
        <v>Dr, José Gustavo Barroso Braojos</v>
      </c>
      <c r="P1284" s="33" t="str">
        <f ca="1">IFERROR(__xludf.DUMMYFUNCTION("""COMPUTED_VALUE"""),"Maika Blázquez (Madrid)")</f>
        <v>Maika Blázquez (Madrid)</v>
      </c>
    </row>
    <row r="1285" spans="2:16">
      <c r="B1285" s="33">
        <f ca="1">IFERROR(__xludf.DUMMYFUNCTION("""COMPUTED_VALUE"""),2025)</f>
        <v>2025</v>
      </c>
      <c r="C1285" s="33">
        <f ca="1">IFERROR(__xludf.DUMMYFUNCTION("""COMPUTED_VALUE"""),10)</f>
        <v>10</v>
      </c>
      <c r="D1285" s="33" t="str">
        <f ca="1">IFERROR(__xludf.DUMMYFUNCTION("""COMPUTED_VALUE"""),"NO")</f>
        <v>NO</v>
      </c>
      <c r="E1285" s="33" t="str">
        <f ca="1">IFERROR(__xludf.DUMMYFUNCTION("""COMPUTED_VALUE"""),"Huelva")</f>
        <v>Huelva</v>
      </c>
      <c r="F1285" s="57">
        <f ca="1">IFERROR(__xludf.DUMMYFUNCTION("""COMPUTED_VALUE"""),45947)</f>
        <v>45947</v>
      </c>
      <c r="G1285" s="57">
        <f ca="1">IFERROR(__xludf.DUMMYFUNCTION("""COMPUTED_VALUE"""),45856)</f>
        <v>45856</v>
      </c>
      <c r="H1285" s="33" t="str">
        <f ca="1">IFERROR(__xludf.DUMMYFUNCTION("""COMPUTED_VALUE"""),"Huelva")</f>
        <v>Huelva</v>
      </c>
      <c r="I1285" s="33" t="str">
        <f ca="1">IFERROR(__xludf.DUMMYFUNCTION("""COMPUTED_VALUE"""),"C202572212207979")</f>
        <v>C202572212207979</v>
      </c>
      <c r="J1285" s="33" t="str">
        <f ca="1">IFERROR(__xludf.DUMMYFUNCTION("""COMPUTED_VALUE"""),"LUCÍA RODRÍGUEZ ANDÚJAR")</f>
        <v>LUCÍA RODRÍGUEZ ANDÚJAR</v>
      </c>
      <c r="K1285" s="33">
        <f ca="1">IFERROR(__xludf.DUMMYFUNCTION("""COMPUTED_VALUE"""),2)</f>
        <v>2</v>
      </c>
      <c r="L1285" s="203">
        <f ca="1">IFERROR(__xludf.DUMMYFUNCTION("""COMPUTED_VALUE"""),2718.18)</f>
        <v>2718.18</v>
      </c>
      <c r="M1285" s="33" t="str">
        <f ca="1">IFERROR(__xludf.DUMMYFUNCTION("""COMPUTED_VALUE"""),"03 ORL")</f>
        <v>03 ORL</v>
      </c>
      <c r="N1285" s="33" t="str">
        <f ca="1">IFERROR(__xludf.DUMMYFUNCTION("""COMPUTED_VALUE"""),"06 ORL")</f>
        <v>06 ORL</v>
      </c>
      <c r="O1285" s="33" t="str">
        <f ca="1">IFERROR(__xludf.DUMMYFUNCTION("""COMPUTED_VALUE"""),"Dra, Estefanía Berrocal Postigo")</f>
        <v>Dra, Estefanía Berrocal Postigo</v>
      </c>
      <c r="P1285" s="33" t="str">
        <f ca="1">IFERROR(__xludf.DUMMYFUNCTION("""COMPUTED_VALUE"""),"Luis Alberto Rodríguez (Andalucía y Badajoz)")</f>
        <v>Luis Alberto Rodríguez (Andalucía y Badajoz)</v>
      </c>
    </row>
    <row r="1286" spans="2:16">
      <c r="B1286" s="33">
        <f ca="1">IFERROR(__xludf.DUMMYFUNCTION("""COMPUTED_VALUE"""),2025)</f>
        <v>2025</v>
      </c>
      <c r="C1286" s="33">
        <f ca="1">IFERROR(__xludf.DUMMYFUNCTION("""COMPUTED_VALUE"""),10)</f>
        <v>10</v>
      </c>
      <c r="D1286" s="33" t="str">
        <f ca="1">IFERROR(__xludf.DUMMYFUNCTION("""COMPUTED_VALUE"""),"NO")</f>
        <v>NO</v>
      </c>
      <c r="E1286" s="33" t="str">
        <f ca="1">IFERROR(__xludf.DUMMYFUNCTION("""COMPUTED_VALUE"""),"Sevilla- Montoto")</f>
        <v>Sevilla- Montoto</v>
      </c>
      <c r="F1286" s="57">
        <f ca="1">IFERROR(__xludf.DUMMYFUNCTION("""COMPUTED_VALUE"""),45947)</f>
        <v>45947</v>
      </c>
      <c r="G1286" s="57">
        <f ca="1">IFERROR(__xludf.DUMMYFUNCTION("""COMPUTED_VALUE"""),45877)</f>
        <v>45877</v>
      </c>
      <c r="H1286" s="33" t="str">
        <f ca="1">IFERROR(__xludf.DUMMYFUNCTION("""COMPUTED_VALUE"""),"Montoto")</f>
        <v>Montoto</v>
      </c>
      <c r="I1286" s="33" t="str">
        <f ca="1">IFERROR(__xludf.DUMMYFUNCTION("""COMPUTED_VALUE"""),"C202591105249542")</f>
        <v>C202591105249542</v>
      </c>
      <c r="J1286" s="33" t="str">
        <f ca="1">IFERROR(__xludf.DUMMYFUNCTION("""COMPUTED_VALUE"""),"TERESA FERNANDEZ RODRIGUEZ")</f>
        <v>TERESA FERNANDEZ RODRIGUEZ</v>
      </c>
      <c r="K1286" s="33">
        <f ca="1">IFERROR(__xludf.DUMMYFUNCTION("""COMPUTED_VALUE"""),2)</f>
        <v>2</v>
      </c>
      <c r="L1286" s="203">
        <f ca="1">IFERROR(__xludf.DUMMYFUNCTION("""COMPUTED_VALUE"""),3929.55)</f>
        <v>3929.55</v>
      </c>
      <c r="M1286" s="33" t="str">
        <f ca="1">IFERROR(__xludf.DUMMYFUNCTION("""COMPUTED_VALUE"""),"03 ORL")</f>
        <v>03 ORL</v>
      </c>
      <c r="N1286" s="33" t="str">
        <f ca="1">IFERROR(__xludf.DUMMYFUNCTION("""COMPUTED_VALUE"""),"06 ORL")</f>
        <v>06 ORL</v>
      </c>
      <c r="O1286" s="33" t="str">
        <f ca="1">IFERROR(__xludf.DUMMYFUNCTION("""COMPUTED_VALUE"""),"Dra, Estefanía Berrocal Postigo")</f>
        <v>Dra, Estefanía Berrocal Postigo</v>
      </c>
      <c r="P1286" s="33" t="str">
        <f ca="1">IFERROR(__xludf.DUMMYFUNCTION("""COMPUTED_VALUE"""),"Luis Alberto Rodríguez (Andalucía y Badajoz)")</f>
        <v>Luis Alberto Rodríguez (Andalucía y Badajoz)</v>
      </c>
    </row>
    <row r="1287" spans="2:16">
      <c r="B1287" s="33">
        <f ca="1">IFERROR(__xludf.DUMMYFUNCTION("""COMPUTED_VALUE"""),2025)</f>
        <v>2025</v>
      </c>
      <c r="C1287" s="33">
        <f ca="1">IFERROR(__xludf.DUMMYFUNCTION("""COMPUTED_VALUE"""),10)</f>
        <v>10</v>
      </c>
      <c r="D1287" s="33" t="str">
        <f ca="1">IFERROR(__xludf.DUMMYFUNCTION("""COMPUTED_VALUE"""),"NO")</f>
        <v>NO</v>
      </c>
      <c r="E1287" s="33" t="str">
        <f ca="1">IFERROR(__xludf.DUMMYFUNCTION("""COMPUTED_VALUE"""),"Fuenlabrada")</f>
        <v>Fuenlabrada</v>
      </c>
      <c r="F1287" s="57">
        <f ca="1">IFERROR(__xludf.DUMMYFUNCTION("""COMPUTED_VALUE"""),45947)</f>
        <v>45947</v>
      </c>
      <c r="G1287" s="57">
        <f ca="1">IFERROR(__xludf.DUMMYFUNCTION("""COMPUTED_VALUE"""),45887)</f>
        <v>45887</v>
      </c>
      <c r="H1287" s="33" t="str">
        <f ca="1">IFERROR(__xludf.DUMMYFUNCTION("""COMPUTED_VALUE"""),"Fuenlabrada")</f>
        <v>Fuenlabrada</v>
      </c>
      <c r="I1287" s="33" t="str">
        <f ca="1">IFERROR(__xludf.DUMMYFUNCTION("""COMPUTED_VALUE"""),"C202582910512653")</f>
        <v>C202582910512653</v>
      </c>
      <c r="J1287" s="33" t="str">
        <f ca="1">IFERROR(__xludf.DUMMYFUNCTION("""COMPUTED_VALUE"""),"JUAN PABLO CORCHERO SANZ")</f>
        <v>JUAN PABLO CORCHERO SANZ</v>
      </c>
      <c r="K1287" s="33">
        <f ca="1">IFERROR(__xludf.DUMMYFUNCTION("""COMPUTED_VALUE"""),1)</f>
        <v>1</v>
      </c>
      <c r="L1287" s="203">
        <f ca="1">IFERROR(__xludf.DUMMYFUNCTION("""COMPUTED_VALUE"""),2180.91)</f>
        <v>2180.91</v>
      </c>
      <c r="M1287" s="33" t="str">
        <f ca="1">IFERROR(__xludf.DUMMYFUNCTION("""COMPUTED_VALUE"""),"03 ORL")</f>
        <v>03 ORL</v>
      </c>
      <c r="N1287" s="33" t="str">
        <f ca="1">IFERROR(__xludf.DUMMYFUNCTION("""COMPUTED_VALUE"""),"06 ORL")</f>
        <v>06 ORL</v>
      </c>
      <c r="O1287" s="33" t="str">
        <f ca="1">IFERROR(__xludf.DUMMYFUNCTION("""COMPUTED_VALUE"""),"Dra, Ithzel Maria Villarreal Patiño")</f>
        <v>Dra, Ithzel Maria Villarreal Patiño</v>
      </c>
      <c r="P1287" s="33" t="str">
        <f ca="1">IFERROR(__xludf.DUMMYFUNCTION("""COMPUTED_VALUE"""),"Maika Blázquez (Madrid)")</f>
        <v>Maika Blázquez (Madrid)</v>
      </c>
    </row>
    <row r="1288" spans="2:16">
      <c r="B1288" s="33">
        <f ca="1">IFERROR(__xludf.DUMMYFUNCTION("""COMPUTED_VALUE"""),2025)</f>
        <v>2025</v>
      </c>
      <c r="C1288" s="33">
        <f ca="1">IFERROR(__xludf.DUMMYFUNCTION("""COMPUTED_VALUE"""),10)</f>
        <v>10</v>
      </c>
      <c r="D1288" s="33" t="str">
        <f ca="1">IFERROR(__xludf.DUMMYFUNCTION("""COMPUTED_VALUE"""),"NO")</f>
        <v>NO</v>
      </c>
      <c r="E1288" s="33" t="str">
        <f ca="1">IFERROR(__xludf.DUMMYFUNCTION("""COMPUTED_VALUE"""),"Madrid- Monforte de Lemos")</f>
        <v>Madrid- Monforte de Lemos</v>
      </c>
      <c r="F1288" s="57">
        <f ca="1">IFERROR(__xludf.DUMMYFUNCTION("""COMPUTED_VALUE"""),45947)</f>
        <v>45947</v>
      </c>
      <c r="G1288" s="57">
        <f ca="1">IFERROR(__xludf.DUMMYFUNCTION("""COMPUTED_VALUE"""),45905)</f>
        <v>45905</v>
      </c>
      <c r="H1288" s="33" t="str">
        <f ca="1">IFERROR(__xludf.DUMMYFUNCTION("""COMPUTED_VALUE"""),"La Vaguada")</f>
        <v>La Vaguada</v>
      </c>
      <c r="I1288" s="33" t="str">
        <f ca="1">IFERROR(__xludf.DUMMYFUNCTION("""COMPUTED_VALUE"""),"C20259812458661")</f>
        <v>C20259812458661</v>
      </c>
      <c r="J1288" s="33" t="str">
        <f ca="1">IFERROR(__xludf.DUMMYFUNCTION("""COMPUTED_VALUE"""),"ENCARNACION GORDO ALMANSA")</f>
        <v>ENCARNACION GORDO ALMANSA</v>
      </c>
      <c r="K1288" s="33">
        <f ca="1">IFERROR(__xludf.DUMMYFUNCTION("""COMPUTED_VALUE"""),1)</f>
        <v>1</v>
      </c>
      <c r="L1288" s="203">
        <f ca="1">IFERROR(__xludf.DUMMYFUNCTION("""COMPUTED_VALUE"""),2136.36)</f>
        <v>2136.36</v>
      </c>
      <c r="M1288" s="33" t="str">
        <f ca="1">IFERROR(__xludf.DUMMYFUNCTION("""COMPUTED_VALUE"""),"03 ORL")</f>
        <v>03 ORL</v>
      </c>
      <c r="N1288" s="33" t="str">
        <f ca="1">IFERROR(__xludf.DUMMYFUNCTION("""COMPUTED_VALUE"""),"06 ORL")</f>
        <v>06 ORL</v>
      </c>
      <c r="O1288" s="33" t="str">
        <f ca="1">IFERROR(__xludf.DUMMYFUNCTION("""COMPUTED_VALUE"""),"Dr, Álvaro Sánchez de Arriba")</f>
        <v>Dr, Álvaro Sánchez de Arriba</v>
      </c>
      <c r="P1288" s="33" t="str">
        <f ca="1">IFERROR(__xludf.DUMMYFUNCTION("""COMPUTED_VALUE"""),"Lisandro Russian (Madrid, Cáceres, Toledo, Talavera Y Logroño)")</f>
        <v>Lisandro Russian (Madrid, Cáceres, Toledo, Talavera Y Logroño)</v>
      </c>
    </row>
    <row r="1289" spans="2:16">
      <c r="B1289" s="33">
        <f ca="1">IFERROR(__xludf.DUMMYFUNCTION("""COMPUTED_VALUE"""),2025)</f>
        <v>2025</v>
      </c>
      <c r="C1289" s="33">
        <f ca="1">IFERROR(__xludf.DUMMYFUNCTION("""COMPUTED_VALUE"""),10)</f>
        <v>10</v>
      </c>
      <c r="D1289" s="33" t="str">
        <f ca="1">IFERROR(__xludf.DUMMYFUNCTION("""COMPUTED_VALUE"""),"NO")</f>
        <v>NO</v>
      </c>
      <c r="E1289" s="33" t="str">
        <f ca="1">IFERROR(__xludf.DUMMYFUNCTION("""COMPUTED_VALUE"""),"Murcia")</f>
        <v>Murcia</v>
      </c>
      <c r="F1289" s="57">
        <f ca="1">IFERROR(__xludf.DUMMYFUNCTION("""COMPUTED_VALUE"""),45947)</f>
        <v>45947</v>
      </c>
      <c r="G1289" s="57">
        <f ca="1">IFERROR(__xludf.DUMMYFUNCTION("""COMPUTED_VALUE"""),45922)</f>
        <v>45922</v>
      </c>
      <c r="H1289" s="33" t="str">
        <f ca="1">IFERROR(__xludf.DUMMYFUNCTION("""COMPUTED_VALUE"""),"Murcia")</f>
        <v>Murcia</v>
      </c>
      <c r="I1289" s="33" t="str">
        <f ca="1">IFERROR(__xludf.DUMMYFUNCTION("""COMPUTED_VALUE"""),"C202592311224670")</f>
        <v>C202592311224670</v>
      </c>
      <c r="J1289" s="33" t="str">
        <f ca="1">IFERROR(__xludf.DUMMYFUNCTION("""COMPUTED_VALUE"""),"FRANCISCO JOSE GUTIERREZ ANGUITA")</f>
        <v>FRANCISCO JOSE GUTIERREZ ANGUITA</v>
      </c>
      <c r="K1289" s="33">
        <f ca="1">IFERROR(__xludf.DUMMYFUNCTION("""COMPUTED_VALUE"""),2)</f>
        <v>2</v>
      </c>
      <c r="L1289" s="203">
        <f ca="1">IFERROR(__xludf.DUMMYFUNCTION("""COMPUTED_VALUE"""),4536.37)</f>
        <v>4536.37</v>
      </c>
      <c r="M1289" s="33" t="str">
        <f ca="1">IFERROR(__xludf.DUMMYFUNCTION("""COMPUTED_VALUE"""),"03 ORL")</f>
        <v>03 ORL</v>
      </c>
      <c r="N1289" s="33" t="str">
        <f ca="1">IFERROR(__xludf.DUMMYFUNCTION("""COMPUTED_VALUE"""),"06 ORL")</f>
        <v>06 ORL</v>
      </c>
      <c r="O1289" s="33" t="str">
        <f ca="1">IFERROR(__xludf.DUMMYFUNCTION("""COMPUTED_VALUE"""),"Dra, María Agustina Sevilla García")</f>
        <v>Dra, María Agustina Sevilla García</v>
      </c>
      <c r="P1289" s="33" t="str">
        <f ca="1">IFERROR(__xludf.DUMMYFUNCTION("""COMPUTED_VALUE"""),"Iván Sánchez (Levante Y Albacete)")</f>
        <v>Iván Sánchez (Levante Y Albacete)</v>
      </c>
    </row>
    <row r="1290" spans="2:16">
      <c r="B1290" s="33">
        <f ca="1">IFERROR(__xludf.DUMMYFUNCTION("""COMPUTED_VALUE"""),2025)</f>
        <v>2025</v>
      </c>
      <c r="C1290" s="33">
        <f ca="1">IFERROR(__xludf.DUMMYFUNCTION("""COMPUTED_VALUE"""),10)</f>
        <v>10</v>
      </c>
      <c r="D1290" s="33" t="str">
        <f ca="1">IFERROR(__xludf.DUMMYFUNCTION("""COMPUTED_VALUE"""),"NO")</f>
        <v>NO</v>
      </c>
      <c r="E1290" s="33" t="str">
        <f ca="1">IFERROR(__xludf.DUMMYFUNCTION("""COMPUTED_VALUE"""),"Cáceres")</f>
        <v>Cáceres</v>
      </c>
      <c r="F1290" s="57">
        <f ca="1">IFERROR(__xludf.DUMMYFUNCTION("""COMPUTED_VALUE"""),45950)</f>
        <v>45950</v>
      </c>
      <c r="G1290" s="57">
        <f ca="1">IFERROR(__xludf.DUMMYFUNCTION("""COMPUTED_VALUE"""),45891)</f>
        <v>45891</v>
      </c>
      <c r="H1290" s="33" t="str">
        <f ca="1">IFERROR(__xludf.DUMMYFUNCTION("""COMPUTED_VALUE"""),"Cáceres")</f>
        <v>Cáceres</v>
      </c>
      <c r="I1290" s="33" t="str">
        <f ca="1">IFERROR(__xludf.DUMMYFUNCTION("""COMPUTED_VALUE"""),"CAC-376")</f>
        <v>CAC-376</v>
      </c>
      <c r="J1290" s="33" t="str">
        <f ca="1">IFERROR(__xludf.DUMMYFUNCTION("""COMPUTED_VALUE"""),"JUANA GUZMAN CARRASCO")</f>
        <v>JUANA GUZMAN CARRASCO</v>
      </c>
      <c r="K1290" s="33">
        <f ca="1">IFERROR(__xludf.DUMMYFUNCTION("""COMPUTED_VALUE"""),2)</f>
        <v>2</v>
      </c>
      <c r="L1290" s="203">
        <f ca="1">IFERROR(__xludf.DUMMYFUNCTION("""COMPUTED_VALUE"""),4045.46)</f>
        <v>4045.46</v>
      </c>
      <c r="M1290" s="33" t="str">
        <f ca="1">IFERROR(__xludf.DUMMYFUNCTION("""COMPUTED_VALUE"""),"03 ORL")</f>
        <v>03 ORL</v>
      </c>
      <c r="N1290" s="33" t="str">
        <f ca="1">IFERROR(__xludf.DUMMYFUNCTION("""COMPUTED_VALUE"""),"06 ORL")</f>
        <v>06 ORL</v>
      </c>
      <c r="O1290" s="33" t="str">
        <f ca="1">IFERROR(__xludf.DUMMYFUNCTION("""COMPUTED_VALUE"""),"Dr, Javier García Gómez")</f>
        <v>Dr, Javier García Gómez</v>
      </c>
      <c r="P1290" s="33" t="str">
        <f ca="1">IFERROR(__xludf.DUMMYFUNCTION("""COMPUTED_VALUE"""),"Lisandro Russian (Madrid, Cáceres, Toledo, Talavera Y Logroño)")</f>
        <v>Lisandro Russian (Madrid, Cáceres, Toledo, Talavera Y Logroño)</v>
      </c>
    </row>
    <row r="1291" spans="2:16">
      <c r="B1291" s="33">
        <f ca="1">IFERROR(__xludf.DUMMYFUNCTION("""COMPUTED_VALUE"""),2025)</f>
        <v>2025</v>
      </c>
      <c r="C1291" s="33">
        <f ca="1">IFERROR(__xludf.DUMMYFUNCTION("""COMPUTED_VALUE"""),10)</f>
        <v>10</v>
      </c>
      <c r="D1291" s="33" t="str">
        <f ca="1">IFERROR(__xludf.DUMMYFUNCTION("""COMPUTED_VALUE"""),"NO")</f>
        <v>NO</v>
      </c>
      <c r="E1291" s="33" t="str">
        <f ca="1">IFERROR(__xludf.DUMMYFUNCTION("""COMPUTED_VALUE"""),"Madrid- La Oca")</f>
        <v>Madrid- La Oca</v>
      </c>
      <c r="F1291" s="57">
        <f ca="1">IFERROR(__xludf.DUMMYFUNCTION("""COMPUTED_VALUE"""),45950)</f>
        <v>45950</v>
      </c>
      <c r="G1291" s="57">
        <f ca="1">IFERROR(__xludf.DUMMYFUNCTION("""COMPUTED_VALUE"""),45908)</f>
        <v>45908</v>
      </c>
      <c r="H1291" s="33" t="str">
        <f ca="1">IFERROR(__xludf.DUMMYFUNCTION("""COMPUTED_VALUE"""),"La Oca")</f>
        <v>La Oca</v>
      </c>
      <c r="I1291" s="33" t="str">
        <f ca="1">IFERROR(__xludf.DUMMYFUNCTION("""COMPUTED_VALUE"""),"C2025910182514884")</f>
        <v>C2025910182514884</v>
      </c>
      <c r="J1291" s="33" t="str">
        <f ca="1">IFERROR(__xludf.DUMMYFUNCTION("""COMPUTED_VALUE"""),"ASUNCION SALVE PARDO")</f>
        <v>ASUNCION SALVE PARDO</v>
      </c>
      <c r="K1291" s="33">
        <f ca="1">IFERROR(__xludf.DUMMYFUNCTION("""COMPUTED_VALUE"""),2)</f>
        <v>2</v>
      </c>
      <c r="L1291" s="203">
        <f ca="1">IFERROR(__xludf.DUMMYFUNCTION("""COMPUTED_VALUE"""),2581.82)</f>
        <v>2581.8200000000002</v>
      </c>
      <c r="M1291" s="33" t="str">
        <f ca="1">IFERROR(__xludf.DUMMYFUNCTION("""COMPUTED_VALUE"""),"03 ORL")</f>
        <v>03 ORL</v>
      </c>
      <c r="N1291" s="33" t="str">
        <f ca="1">IFERROR(__xludf.DUMMYFUNCTION("""COMPUTED_VALUE"""),"06 ORL")</f>
        <v>06 ORL</v>
      </c>
      <c r="O1291" s="33" t="str">
        <f ca="1">IFERROR(__xludf.DUMMYFUNCTION("""COMPUTED_VALUE"""),"Dr, Julio López Moya")</f>
        <v>Dr, Julio López Moya</v>
      </c>
      <c r="P1291" s="33" t="str">
        <f ca="1">IFERROR(__xludf.DUMMYFUNCTION("""COMPUTED_VALUE"""),"Maika Blázquez (Madrid)")</f>
        <v>Maika Blázquez (Madrid)</v>
      </c>
    </row>
    <row r="1292" spans="2:16">
      <c r="B1292" s="33">
        <f ca="1">IFERROR(__xludf.DUMMYFUNCTION("""COMPUTED_VALUE"""),2025)</f>
        <v>2025</v>
      </c>
      <c r="C1292" s="33">
        <f ca="1">IFERROR(__xludf.DUMMYFUNCTION("""COMPUTED_VALUE"""),10)</f>
        <v>10</v>
      </c>
      <c r="D1292" s="33" t="str">
        <f ca="1">IFERROR(__xludf.DUMMYFUNCTION("""COMPUTED_VALUE"""),"NO")</f>
        <v>NO</v>
      </c>
      <c r="E1292" s="33" t="str">
        <f ca="1">IFERROR(__xludf.DUMMYFUNCTION("""COMPUTED_VALUE"""),"Valencia- Cádiz")</f>
        <v>Valencia- Cádiz</v>
      </c>
      <c r="F1292" s="57">
        <f ca="1">IFERROR(__xludf.DUMMYFUNCTION("""COMPUTED_VALUE"""),45950)</f>
        <v>45950</v>
      </c>
      <c r="G1292" s="57">
        <f ca="1">IFERROR(__xludf.DUMMYFUNCTION("""COMPUTED_VALUE"""),45917)</f>
        <v>45917</v>
      </c>
      <c r="H1292" s="33" t="str">
        <f ca="1">IFERROR(__xludf.DUMMYFUNCTION("""COMPUTED_VALUE"""),"Valencia- Cádiz")</f>
        <v>Valencia- Cádiz</v>
      </c>
      <c r="I1292" s="33" t="str">
        <f ca="1">IFERROR(__xludf.DUMMYFUNCTION("""COMPUTED_VALUE"""),"C20259241242675")</f>
        <v>C20259241242675</v>
      </c>
      <c r="J1292" s="33" t="str">
        <f ca="1">IFERROR(__xludf.DUMMYFUNCTION("""COMPUTED_VALUE"""),"PEDRO ANTON GONZALO")</f>
        <v>PEDRO ANTON GONZALO</v>
      </c>
      <c r="K1292" s="33">
        <f ca="1">IFERROR(__xludf.DUMMYFUNCTION("""COMPUTED_VALUE"""),1)</f>
        <v>1</v>
      </c>
      <c r="L1292" s="203">
        <f ca="1">IFERROR(__xludf.DUMMYFUNCTION("""COMPUTED_VALUE"""),2180.91)</f>
        <v>2180.91</v>
      </c>
      <c r="M1292" s="33" t="str">
        <f ca="1">IFERROR(__xludf.DUMMYFUNCTION("""COMPUTED_VALUE"""),"03 ORL")</f>
        <v>03 ORL</v>
      </c>
      <c r="N1292" s="33" t="str">
        <f ca="1">IFERROR(__xludf.DUMMYFUNCTION("""COMPUTED_VALUE"""),"06 ORL")</f>
        <v>06 ORL</v>
      </c>
      <c r="O1292" s="33" t="str">
        <f ca="1">IFERROR(__xludf.DUMMYFUNCTION("""COMPUTED_VALUE"""),"Dr, Abel Guzmán Calvete")</f>
        <v>Dr, Abel Guzmán Calvete</v>
      </c>
      <c r="P1292" s="33" t="str">
        <f ca="1">IFERROR(__xludf.DUMMYFUNCTION("""COMPUTED_VALUE"""),"Ramon Ferrando(Valencia)")</f>
        <v>Ramon Ferrando(Valencia)</v>
      </c>
    </row>
    <row r="1293" spans="2:16">
      <c r="B1293" s="33">
        <f ca="1">IFERROR(__xludf.DUMMYFUNCTION("""COMPUTED_VALUE"""),2025)</f>
        <v>2025</v>
      </c>
      <c r="C1293" s="33">
        <f ca="1">IFERROR(__xludf.DUMMYFUNCTION("""COMPUTED_VALUE"""),10)</f>
        <v>10</v>
      </c>
      <c r="D1293" s="33" t="str">
        <f ca="1">IFERROR(__xludf.DUMMYFUNCTION("""COMPUTED_VALUE"""),"NO")</f>
        <v>NO</v>
      </c>
      <c r="E1293" s="33" t="str">
        <f ca="1">IFERROR(__xludf.DUMMYFUNCTION("""COMPUTED_VALUE"""),"Orihuela")</f>
        <v>Orihuela</v>
      </c>
      <c r="F1293" s="57">
        <f ca="1">IFERROR(__xludf.DUMMYFUNCTION("""COMPUTED_VALUE"""),45950)</f>
        <v>45950</v>
      </c>
      <c r="G1293" s="57">
        <f ca="1">IFERROR(__xludf.DUMMYFUNCTION("""COMPUTED_VALUE"""),45904)</f>
        <v>45904</v>
      </c>
      <c r="H1293" s="33" t="str">
        <f ca="1">IFERROR(__xludf.DUMMYFUNCTION("""COMPUTED_VALUE"""),"La Zenia")</f>
        <v>La Zenia</v>
      </c>
      <c r="I1293" s="33" t="str">
        <f ca="1">IFERROR(__xludf.DUMMYFUNCTION("""COMPUTED_VALUE"""),"C20259121612700")</f>
        <v>C20259121612700</v>
      </c>
      <c r="J1293" s="33" t="str">
        <f ca="1">IFERROR(__xludf.DUMMYFUNCTION("""COMPUTED_VALUE"""),"ANGELIKA ARMELIA TSCHUDIN")</f>
        <v>ANGELIKA ARMELIA TSCHUDIN</v>
      </c>
      <c r="K1293" s="33">
        <f ca="1">IFERROR(__xludf.DUMMYFUNCTION("""COMPUTED_VALUE"""),2)</f>
        <v>2</v>
      </c>
      <c r="L1293" s="203">
        <f ca="1">IFERROR(__xludf.DUMMYFUNCTION("""COMPUTED_VALUE"""),2581.82)</f>
        <v>2581.8200000000002</v>
      </c>
      <c r="M1293" s="33" t="str">
        <f ca="1">IFERROR(__xludf.DUMMYFUNCTION("""COMPUTED_VALUE"""),"03 ORL")</f>
        <v>03 ORL</v>
      </c>
      <c r="N1293" s="33" t="str">
        <f ca="1">IFERROR(__xludf.DUMMYFUNCTION("""COMPUTED_VALUE"""),"06 ORL")</f>
        <v>06 ORL</v>
      </c>
      <c r="O1293" s="33" t="str">
        <f ca="1">IFERROR(__xludf.DUMMYFUNCTION("""COMPUTED_VALUE"""),"Dr, Carlos Velásquez Fermín")</f>
        <v>Dr, Carlos Velásquez Fermín</v>
      </c>
      <c r="P1293" s="33" t="str">
        <f ca="1">IFERROR(__xludf.DUMMYFUNCTION("""COMPUTED_VALUE"""),"Iván Sánchez (Levante Y Albacete)")</f>
        <v>Iván Sánchez (Levante Y Albacete)</v>
      </c>
    </row>
    <row r="1294" spans="2:16">
      <c r="B1294" s="33">
        <f ca="1">IFERROR(__xludf.DUMMYFUNCTION("""COMPUTED_VALUE"""),2025)</f>
        <v>2025</v>
      </c>
      <c r="C1294" s="33">
        <f ca="1">IFERROR(__xludf.DUMMYFUNCTION("""COMPUTED_VALUE"""),10)</f>
        <v>10</v>
      </c>
      <c r="D1294" s="33" t="str">
        <f ca="1">IFERROR(__xludf.DUMMYFUNCTION("""COMPUTED_VALUE"""),"NO")</f>
        <v>NO</v>
      </c>
      <c r="E1294" s="33" t="str">
        <f ca="1">IFERROR(__xludf.DUMMYFUNCTION("""COMPUTED_VALUE"""),"Getafe")</f>
        <v>Getafe</v>
      </c>
      <c r="F1294" s="57">
        <f ca="1">IFERROR(__xludf.DUMMYFUNCTION("""COMPUTED_VALUE"""),45950)</f>
        <v>45950</v>
      </c>
      <c r="G1294" s="57">
        <f ca="1">IFERROR(__xludf.DUMMYFUNCTION("""COMPUTED_VALUE"""),45916)</f>
        <v>45916</v>
      </c>
      <c r="H1294" s="33" t="str">
        <f ca="1">IFERROR(__xludf.DUMMYFUNCTION("""COMPUTED_VALUE"""),"Getafe")</f>
        <v>Getafe</v>
      </c>
      <c r="I1294" s="33" t="str">
        <f ca="1">IFERROR(__xludf.DUMMYFUNCTION("""COMPUTED_VALUE"""),"C202592216530238")</f>
        <v>C202592216530238</v>
      </c>
      <c r="J1294" s="33" t="str">
        <f ca="1">IFERROR(__xludf.DUMMYFUNCTION("""COMPUTED_VALUE"""),"MANUEL FLORES GARCÍA CUEVAS")</f>
        <v>MANUEL FLORES GARCÍA CUEVAS</v>
      </c>
      <c r="K1294" s="33">
        <f ca="1">IFERROR(__xludf.DUMMYFUNCTION("""COMPUTED_VALUE"""),2)</f>
        <v>2</v>
      </c>
      <c r="L1294" s="203">
        <f ca="1">IFERROR(__xludf.DUMMYFUNCTION("""COMPUTED_VALUE"""),2718.19)</f>
        <v>2718.19</v>
      </c>
      <c r="M1294" s="33" t="str">
        <f ca="1">IFERROR(__xludf.DUMMYFUNCTION("""COMPUTED_VALUE"""),"03 ORL")</f>
        <v>03 ORL</v>
      </c>
      <c r="N1294" s="33" t="str">
        <f ca="1">IFERROR(__xludf.DUMMYFUNCTION("""COMPUTED_VALUE"""),"06 ORL")</f>
        <v>06 ORL</v>
      </c>
      <c r="O1294" s="33" t="str">
        <f ca="1">IFERROR(__xludf.DUMMYFUNCTION("""COMPUTED_VALUE"""),"Dra, Irene Mármol Szmobathy")</f>
        <v>Dra, Irene Mármol Szmobathy</v>
      </c>
      <c r="P1294" s="33" t="str">
        <f ca="1">IFERROR(__xludf.DUMMYFUNCTION("""COMPUTED_VALUE"""),"Maika Blázquez (Madrid)")</f>
        <v>Maika Blázquez (Madrid)</v>
      </c>
    </row>
    <row r="1295" spans="2:16">
      <c r="B1295" s="33">
        <f ca="1">IFERROR(__xludf.DUMMYFUNCTION("""COMPUTED_VALUE"""),2025)</f>
        <v>2025</v>
      </c>
      <c r="C1295" s="33">
        <f ca="1">IFERROR(__xludf.DUMMYFUNCTION("""COMPUTED_VALUE"""),10)</f>
        <v>10</v>
      </c>
      <c r="D1295" s="33" t="str">
        <f ca="1">IFERROR(__xludf.DUMMYFUNCTION("""COMPUTED_VALUE"""),"NO")</f>
        <v>NO</v>
      </c>
      <c r="E1295" s="33" t="str">
        <f ca="1">IFERROR(__xludf.DUMMYFUNCTION("""COMPUTED_VALUE"""),"Madrid- Monforte de Lemos")</f>
        <v>Madrid- Monforte de Lemos</v>
      </c>
      <c r="F1295" s="57">
        <f ca="1">IFERROR(__xludf.DUMMYFUNCTION("""COMPUTED_VALUE"""),45950)</f>
        <v>45950</v>
      </c>
      <c r="G1295" s="57">
        <f ca="1">IFERROR(__xludf.DUMMYFUNCTION("""COMPUTED_VALUE"""),45909)</f>
        <v>45909</v>
      </c>
      <c r="H1295" s="33" t="str">
        <f ca="1">IFERROR(__xludf.DUMMYFUNCTION("""COMPUTED_VALUE"""),"La Vaguada")</f>
        <v>La Vaguada</v>
      </c>
      <c r="I1295" s="33" t="str">
        <f ca="1">IFERROR(__xludf.DUMMYFUNCTION("""COMPUTED_VALUE"""),"C2025912134940910")</f>
        <v>C2025912134940910</v>
      </c>
      <c r="J1295" s="33" t="str">
        <f ca="1">IFERROR(__xludf.DUMMYFUNCTION("""COMPUTED_VALUE"""),"JAVIER POOL MAZAS")</f>
        <v>JAVIER POOL MAZAS</v>
      </c>
      <c r="K1295" s="33">
        <f ca="1">IFERROR(__xludf.DUMMYFUNCTION("""COMPUTED_VALUE"""),2)</f>
        <v>2</v>
      </c>
      <c r="L1295" s="203">
        <f ca="1">IFERROR(__xludf.DUMMYFUNCTION("""COMPUTED_VALUE"""),4136.36)</f>
        <v>4136.3599999999997</v>
      </c>
      <c r="M1295" s="33" t="str">
        <f ca="1">IFERROR(__xludf.DUMMYFUNCTION("""COMPUTED_VALUE"""),"04 TIENDA")</f>
        <v>04 TIENDA</v>
      </c>
      <c r="N1295" s="33" t="str">
        <f ca="1">IFERROR(__xludf.DUMMYFUNCTION("""COMPUTED_VALUE"""),"07 BOCA/BOCA")</f>
        <v>07 BOCA/BOCA</v>
      </c>
      <c r="O1295" s="33" t="str">
        <f ca="1">IFERROR(__xludf.DUMMYFUNCTION("""COMPUTED_VALUE"""),"Dr, Antonio Bueno Ríos")</f>
        <v>Dr, Antonio Bueno Ríos</v>
      </c>
      <c r="P1295" s="33" t="str">
        <f ca="1">IFERROR(__xludf.DUMMYFUNCTION("""COMPUTED_VALUE"""),"Lisandro Russian (Madrid, Cáceres, Toledo, Talavera Y Logroño)")</f>
        <v>Lisandro Russian (Madrid, Cáceres, Toledo, Talavera Y Logroño)</v>
      </c>
    </row>
    <row r="1296" spans="2:16">
      <c r="B1296" s="33">
        <f ca="1">IFERROR(__xludf.DUMMYFUNCTION("""COMPUTED_VALUE"""),2025)</f>
        <v>2025</v>
      </c>
      <c r="C1296" s="33">
        <f ca="1">IFERROR(__xludf.DUMMYFUNCTION("""COMPUTED_VALUE"""),10)</f>
        <v>10</v>
      </c>
      <c r="D1296" s="33" t="str">
        <f ca="1">IFERROR(__xludf.DUMMYFUNCTION("""COMPUTED_VALUE"""),"NO")</f>
        <v>NO</v>
      </c>
      <c r="E1296" s="33" t="str">
        <f ca="1">IFERROR(__xludf.DUMMYFUNCTION("""COMPUTED_VALUE"""),"Leganés")</f>
        <v>Leganés</v>
      </c>
      <c r="F1296" s="57">
        <f ca="1">IFERROR(__xludf.DUMMYFUNCTION("""COMPUTED_VALUE"""),45950)</f>
        <v>45950</v>
      </c>
      <c r="G1296" s="57">
        <f ca="1">IFERROR(__xludf.DUMMYFUNCTION("""COMPUTED_VALUE"""),45855)</f>
        <v>45855</v>
      </c>
      <c r="H1296" s="33" t="str">
        <f ca="1">IFERROR(__xludf.DUMMYFUNCTION("""COMPUTED_VALUE"""),"Leganés")</f>
        <v>Leganés</v>
      </c>
      <c r="I1296" s="33" t="str">
        <f ca="1">IFERROR(__xludf.DUMMYFUNCTION("""COMPUTED_VALUE"""),"C202592112646291")</f>
        <v>C202592112646291</v>
      </c>
      <c r="J1296" s="33" t="str">
        <f ca="1">IFERROR(__xludf.DUMMYFUNCTION("""COMPUTED_VALUE"""),"MANUELA PASTOR GIL")</f>
        <v>MANUELA PASTOR GIL</v>
      </c>
      <c r="K1296" s="33">
        <f ca="1">IFERROR(__xludf.DUMMYFUNCTION("""COMPUTED_VALUE"""),2)</f>
        <v>2</v>
      </c>
      <c r="L1296" s="203">
        <f ca="1">IFERROR(__xludf.DUMMYFUNCTION("""COMPUTED_VALUE"""),2718.18)</f>
        <v>2718.18</v>
      </c>
      <c r="M1296" s="33" t="str">
        <f ca="1">IFERROR(__xludf.DUMMYFUNCTION("""COMPUTED_VALUE"""),"03 ORL")</f>
        <v>03 ORL</v>
      </c>
      <c r="N1296" s="33" t="str">
        <f ca="1">IFERROR(__xludf.DUMMYFUNCTION("""COMPUTED_VALUE"""),"06 ORL")</f>
        <v>06 ORL</v>
      </c>
      <c r="O1296" s="33" t="str">
        <f ca="1">IFERROR(__xludf.DUMMYFUNCTION("""COMPUTED_VALUE"""),"Dra, Ana Ruiz Fornells Noreña")</f>
        <v>Dra, Ana Ruiz Fornells Noreña</v>
      </c>
      <c r="P1296" s="33" t="str">
        <f ca="1">IFERROR(__xludf.DUMMYFUNCTION("""COMPUTED_VALUE"""),"Maika Blázquez (Madrid)")</f>
        <v>Maika Blázquez (Madrid)</v>
      </c>
    </row>
    <row r="1297" spans="2:16">
      <c r="B1297" s="33">
        <f ca="1">IFERROR(__xludf.DUMMYFUNCTION("""COMPUTED_VALUE"""),2025)</f>
        <v>2025</v>
      </c>
      <c r="C1297" s="33">
        <f ca="1">IFERROR(__xludf.DUMMYFUNCTION("""COMPUTED_VALUE"""),10)</f>
        <v>10</v>
      </c>
      <c r="D1297" s="33" t="str">
        <f ca="1">IFERROR(__xludf.DUMMYFUNCTION("""COMPUTED_VALUE"""),"NO")</f>
        <v>NO</v>
      </c>
      <c r="E1297" s="33" t="str">
        <f ca="1">IFERROR(__xludf.DUMMYFUNCTION("""COMPUTED_VALUE"""),"Lalín")</f>
        <v>Lalín</v>
      </c>
      <c r="F1297" s="57">
        <f ca="1">IFERROR(__xludf.DUMMYFUNCTION("""COMPUTED_VALUE"""),45951)</f>
        <v>45951</v>
      </c>
      <c r="G1297" s="57">
        <f ca="1">IFERROR(__xludf.DUMMYFUNCTION("""COMPUTED_VALUE"""),45769)</f>
        <v>45769</v>
      </c>
      <c r="H1297" s="33" t="str">
        <f ca="1">IFERROR(__xludf.DUMMYFUNCTION("""COMPUTED_VALUE"""),"Lalín")</f>
        <v>Lalín</v>
      </c>
      <c r="I1297" s="33" t="str">
        <f ca="1">IFERROR(__xludf.DUMMYFUNCTION("""COMPUTED_VALUE"""),"LAL-144")</f>
        <v>LAL-144</v>
      </c>
      <c r="J1297" s="33" t="str">
        <f ca="1">IFERROR(__xludf.DUMMYFUNCTION("""COMPUTED_VALUE"""),"MANUEL GAITEIRO FERNANDEZ")</f>
        <v>MANUEL GAITEIRO FERNANDEZ</v>
      </c>
      <c r="K1297" s="33">
        <f ca="1">IFERROR(__xludf.DUMMYFUNCTION("""COMPUTED_VALUE"""),1)</f>
        <v>1</v>
      </c>
      <c r="L1297" s="203">
        <f ca="1">IFERROR(__xludf.DUMMYFUNCTION("""COMPUTED_VALUE"""),500)</f>
        <v>500</v>
      </c>
      <c r="M1297" s="33" t="str">
        <f ca="1">IFERROR(__xludf.DUMMYFUNCTION("""COMPUTED_VALUE"""),"03 ORL")</f>
        <v>03 ORL</v>
      </c>
      <c r="N1297" s="33" t="str">
        <f ca="1">IFERROR(__xludf.DUMMYFUNCTION("""COMPUTED_VALUE"""),"06 ORL")</f>
        <v>06 ORL</v>
      </c>
      <c r="O1297" s="33" t="str">
        <f ca="1">IFERROR(__xludf.DUMMYFUNCTION("""COMPUTED_VALUE"""),"Dr, Carlos Vidal Redondo")</f>
        <v>Dr, Carlos Vidal Redondo</v>
      </c>
      <c r="P1297" s="33" t="str">
        <f ca="1">IFERROR(__xludf.DUMMYFUNCTION("""COMPUTED_VALUE"""),"Roberto Pereira (Galicia)")</f>
        <v>Roberto Pereira (Galicia)</v>
      </c>
    </row>
    <row r="1298" spans="2:16">
      <c r="B1298" s="33">
        <f ca="1">IFERROR(__xludf.DUMMYFUNCTION("""COMPUTED_VALUE"""),2025)</f>
        <v>2025</v>
      </c>
      <c r="C1298" s="33">
        <f ca="1">IFERROR(__xludf.DUMMYFUNCTION("""COMPUTED_VALUE"""),10)</f>
        <v>10</v>
      </c>
      <c r="D1298" s="33" t="str">
        <f ca="1">IFERROR(__xludf.DUMMYFUNCTION("""COMPUTED_VALUE"""),"NO")</f>
        <v>NO</v>
      </c>
      <c r="E1298" s="33" t="str">
        <f ca="1">IFERROR(__xludf.DUMMYFUNCTION("""COMPUTED_VALUE"""),"Zaragoza- León XIII")</f>
        <v>Zaragoza- León XIII</v>
      </c>
      <c r="F1298" s="57">
        <f ca="1">IFERROR(__xludf.DUMMYFUNCTION("""COMPUTED_VALUE"""),45951)</f>
        <v>45951</v>
      </c>
      <c r="G1298" s="57">
        <f ca="1">IFERROR(__xludf.DUMMYFUNCTION("""COMPUTED_VALUE"""),45537)</f>
        <v>45537</v>
      </c>
      <c r="H1298" s="33" t="str">
        <f ca="1">IFERROR(__xludf.DUMMYFUNCTION("""COMPUTED_VALUE"""),"Zaragoza")</f>
        <v>Zaragoza</v>
      </c>
      <c r="I1298" s="33" t="str">
        <f ca="1">IFERROR(__xludf.DUMMYFUNCTION("""COMPUTED_VALUE"""),"ZRG-451")</f>
        <v>ZRG-451</v>
      </c>
      <c r="J1298" s="33" t="str">
        <f ca="1">IFERROR(__xludf.DUMMYFUNCTION("""COMPUTED_VALUE"""),"MARIA NAVALLAS USÓN")</f>
        <v>MARIA NAVALLAS USÓN</v>
      </c>
      <c r="K1298" s="33">
        <f ca="1">IFERROR(__xludf.DUMMYFUNCTION("""COMPUTED_VALUE"""),1)</f>
        <v>1</v>
      </c>
      <c r="L1298" s="203">
        <f ca="1">IFERROR(__xludf.DUMMYFUNCTION("""COMPUTED_VALUE"""),1732.73)</f>
        <v>1732.73</v>
      </c>
      <c r="M1298" s="33" t="str">
        <f ca="1">IFERROR(__xludf.DUMMYFUNCTION("""COMPUTED_VALUE"""),"03 ORL")</f>
        <v>03 ORL</v>
      </c>
      <c r="N1298" s="33" t="str">
        <f ca="1">IFERROR(__xludf.DUMMYFUNCTION("""COMPUTED_VALUE"""),"06 ORL")</f>
        <v>06 ORL</v>
      </c>
      <c r="O1298" s="33" t="str">
        <f ca="1">IFERROR(__xludf.DUMMYFUNCTION("""COMPUTED_VALUE"""),"Dr, José Manuel García Solans-Esteras")</f>
        <v>Dr, José Manuel García Solans-Esteras</v>
      </c>
      <c r="P1298" s="33" t="str">
        <f ca="1">IFERROR(__xludf.DUMMYFUNCTION("""COMPUTED_VALUE"""),"Ignacio Berdejo (Zaragoza)")</f>
        <v>Ignacio Berdejo (Zaragoza)</v>
      </c>
    </row>
    <row r="1299" spans="2:16">
      <c r="B1299" s="33">
        <f ca="1">IFERROR(__xludf.DUMMYFUNCTION("""COMPUTED_VALUE"""),2025)</f>
        <v>2025</v>
      </c>
      <c r="C1299" s="33">
        <f ca="1">IFERROR(__xludf.DUMMYFUNCTION("""COMPUTED_VALUE"""),10)</f>
        <v>10</v>
      </c>
      <c r="D1299" s="33" t="str">
        <f ca="1">IFERROR(__xludf.DUMMYFUNCTION("""COMPUTED_VALUE"""),"NO")</f>
        <v>NO</v>
      </c>
      <c r="E1299" s="33" t="str">
        <f ca="1">IFERROR(__xludf.DUMMYFUNCTION("""COMPUTED_VALUE"""),"Madrid- Juan Bravo")</f>
        <v>Madrid- Juan Bravo</v>
      </c>
      <c r="F1299" s="57">
        <f ca="1">IFERROR(__xludf.DUMMYFUNCTION("""COMPUTED_VALUE"""),45951)</f>
        <v>45951</v>
      </c>
      <c r="G1299" s="57">
        <f ca="1">IFERROR(__xludf.DUMMYFUNCTION("""COMPUTED_VALUE"""),45918)</f>
        <v>45918</v>
      </c>
      <c r="H1299" s="33" t="str">
        <f ca="1">IFERROR(__xludf.DUMMYFUNCTION("""COMPUTED_VALUE"""),"Juan Bravo")</f>
        <v>Juan Bravo</v>
      </c>
      <c r="I1299" s="33" t="str">
        <f ca="1">IFERROR(__xludf.DUMMYFUNCTION("""COMPUTED_VALUE"""),"C2025925102936960")</f>
        <v>C2025925102936960</v>
      </c>
      <c r="J1299" s="33" t="str">
        <f ca="1">IFERROR(__xludf.DUMMYFUNCTION("""COMPUTED_VALUE"""),"INMACULADA GONZALEZ DE QUEVEDO GONZALEZ DE QUEVEDO")</f>
        <v>INMACULADA GONZALEZ DE QUEVEDO GONZALEZ DE QUEVEDO</v>
      </c>
      <c r="K1299" s="33">
        <f ca="1">IFERROR(__xludf.DUMMYFUNCTION("""COMPUTED_VALUE"""),2)</f>
        <v>2</v>
      </c>
      <c r="L1299" s="203">
        <f ca="1">IFERROR(__xludf.DUMMYFUNCTION("""COMPUTED_VALUE"""),4136.36)</f>
        <v>4136.3599999999997</v>
      </c>
      <c r="M1299" s="33" t="str">
        <f ca="1">IFERROR(__xludf.DUMMYFUNCTION("""COMPUTED_VALUE"""),"03 ORL")</f>
        <v>03 ORL</v>
      </c>
      <c r="N1299" s="33" t="str">
        <f ca="1">IFERROR(__xludf.DUMMYFUNCTION("""COMPUTED_VALUE"""),"06 ORL")</f>
        <v>06 ORL</v>
      </c>
      <c r="O1299" s="33" t="str">
        <f ca="1">IFERROR(__xludf.DUMMYFUNCTION("""COMPUTED_VALUE"""),"No recuerda ORL")</f>
        <v>No recuerda ORL</v>
      </c>
      <c r="P1299" s="33" t="str">
        <f ca="1">IFERROR(__xludf.DUMMYFUNCTION("""COMPUTED_VALUE"""),"Maika Blázquez (Madrid)")</f>
        <v>Maika Blázquez (Madrid)</v>
      </c>
    </row>
    <row r="1300" spans="2:16">
      <c r="B1300" s="33">
        <f ca="1">IFERROR(__xludf.DUMMYFUNCTION("""COMPUTED_VALUE"""),2025)</f>
        <v>2025</v>
      </c>
      <c r="C1300" s="33">
        <f ca="1">IFERROR(__xludf.DUMMYFUNCTION("""COMPUTED_VALUE"""),10)</f>
        <v>10</v>
      </c>
      <c r="D1300" s="33" t="str">
        <f ca="1">IFERROR(__xludf.DUMMYFUNCTION("""COMPUTED_VALUE"""),"NO")</f>
        <v>NO</v>
      </c>
      <c r="E1300" s="33" t="str">
        <f ca="1">IFERROR(__xludf.DUMMYFUNCTION("""COMPUTED_VALUE"""),"Fuenlabrada")</f>
        <v>Fuenlabrada</v>
      </c>
      <c r="F1300" s="57">
        <f ca="1">IFERROR(__xludf.DUMMYFUNCTION("""COMPUTED_VALUE"""),45951)</f>
        <v>45951</v>
      </c>
      <c r="G1300" s="57">
        <f ca="1">IFERROR(__xludf.DUMMYFUNCTION("""COMPUTED_VALUE"""),45926)</f>
        <v>45926</v>
      </c>
      <c r="H1300" s="33" t="str">
        <f ca="1">IFERROR(__xludf.DUMMYFUNCTION("""COMPUTED_VALUE"""),"Fuenlabrada")</f>
        <v>Fuenlabrada</v>
      </c>
      <c r="I1300" s="33" t="str">
        <f ca="1">IFERROR(__xludf.DUMMYFUNCTION("""COMPUTED_VALUE"""),"C202510117552199")</f>
        <v>C202510117552199</v>
      </c>
      <c r="J1300" s="33" t="str">
        <f ca="1">IFERROR(__xludf.DUMMYFUNCTION("""COMPUTED_VALUE"""),"LUISA COLMENERO GARRIDO")</f>
        <v>LUISA COLMENERO GARRIDO</v>
      </c>
      <c r="K1300" s="33">
        <f ca="1">IFERROR(__xludf.DUMMYFUNCTION("""COMPUTED_VALUE"""),2)</f>
        <v>2</v>
      </c>
      <c r="L1300" s="203">
        <f ca="1">IFERROR(__xludf.DUMMYFUNCTION("""COMPUTED_VALUE"""),2718.18)</f>
        <v>2718.18</v>
      </c>
      <c r="M1300" s="33" t="str">
        <f ca="1">IFERROR(__xludf.DUMMYFUNCTION("""COMPUTED_VALUE"""),"03 ORL")</f>
        <v>03 ORL</v>
      </c>
      <c r="N1300" s="33" t="str">
        <f ca="1">IFERROR(__xludf.DUMMYFUNCTION("""COMPUTED_VALUE"""),"06 ORL")</f>
        <v>06 ORL</v>
      </c>
      <c r="O1300" s="33" t="str">
        <f ca="1">IFERROR(__xludf.DUMMYFUNCTION("""COMPUTED_VALUE"""),"Dra, María Teresa Herrera Mera")</f>
        <v>Dra, María Teresa Herrera Mera</v>
      </c>
      <c r="P1300" s="33" t="str">
        <f ca="1">IFERROR(__xludf.DUMMYFUNCTION("""COMPUTED_VALUE"""),"Maika Blázquez (Madrid)")</f>
        <v>Maika Blázquez (Madrid)</v>
      </c>
    </row>
    <row r="1301" spans="2:16">
      <c r="B1301" s="33">
        <f ca="1">IFERROR(__xludf.DUMMYFUNCTION("""COMPUTED_VALUE"""),2025)</f>
        <v>2025</v>
      </c>
      <c r="C1301" s="33">
        <f ca="1">IFERROR(__xludf.DUMMYFUNCTION("""COMPUTED_VALUE"""),10)</f>
        <v>10</v>
      </c>
      <c r="D1301" s="33" t="str">
        <f ca="1">IFERROR(__xludf.DUMMYFUNCTION("""COMPUTED_VALUE"""),"NO")</f>
        <v>NO</v>
      </c>
      <c r="E1301" s="33" t="str">
        <f ca="1">IFERROR(__xludf.DUMMYFUNCTION("""COMPUTED_VALUE"""),"Getafe")</f>
        <v>Getafe</v>
      </c>
      <c r="F1301" s="57">
        <f ca="1">IFERROR(__xludf.DUMMYFUNCTION("""COMPUTED_VALUE"""),45951)</f>
        <v>45951</v>
      </c>
      <c r="G1301" s="57">
        <f ca="1">IFERROR(__xludf.DUMMYFUNCTION("""COMPUTED_VALUE"""),45014)</f>
        <v>45014</v>
      </c>
      <c r="H1301" s="33" t="str">
        <f ca="1">IFERROR(__xludf.DUMMYFUNCTION("""COMPUTED_VALUE"""),"Getafe")</f>
        <v>Getafe</v>
      </c>
      <c r="I1301" s="33" t="str">
        <f ca="1">IFERROR(__xludf.DUMMYFUNCTION("""COMPUTED_VALUE"""),"MGE-49")</f>
        <v>MGE-49</v>
      </c>
      <c r="J1301" s="33" t="str">
        <f ca="1">IFERROR(__xludf.DUMMYFUNCTION("""COMPUTED_VALUE"""),"MARIANA ROMERO MAYORGA")</f>
        <v>MARIANA ROMERO MAYORGA</v>
      </c>
      <c r="K1301" s="33">
        <f ca="1">IFERROR(__xludf.DUMMYFUNCTION("""COMPUTED_VALUE"""),2)</f>
        <v>2</v>
      </c>
      <c r="L1301" s="203">
        <f ca="1">IFERROR(__xludf.DUMMYFUNCTION("""COMPUTED_VALUE"""),3450.24)</f>
        <v>3450.24</v>
      </c>
      <c r="M1301" s="33" t="str">
        <f ca="1">IFERROR(__xludf.DUMMYFUNCTION("""COMPUTED_VALUE"""),"03 ORL")</f>
        <v>03 ORL</v>
      </c>
      <c r="N1301" s="33" t="str">
        <f ca="1">IFERROR(__xludf.DUMMYFUNCTION("""COMPUTED_VALUE"""),"06 ORL")</f>
        <v>06 ORL</v>
      </c>
      <c r="O1301" s="33" t="str">
        <f ca="1">IFERROR(__xludf.DUMMYFUNCTION("""COMPUTED_VALUE"""),"No recuerda ORL")</f>
        <v>No recuerda ORL</v>
      </c>
      <c r="P1301" s="33" t="str">
        <f ca="1">IFERROR(__xludf.DUMMYFUNCTION("""COMPUTED_VALUE"""),"Maika Blázquez (Madrid)")</f>
        <v>Maika Blázquez (Madrid)</v>
      </c>
    </row>
    <row r="1302" spans="2:16">
      <c r="B1302" s="33">
        <f ca="1">IFERROR(__xludf.DUMMYFUNCTION("""COMPUTED_VALUE"""),2025)</f>
        <v>2025</v>
      </c>
      <c r="C1302" s="33">
        <f ca="1">IFERROR(__xludf.DUMMYFUNCTION("""COMPUTED_VALUE"""),10)</f>
        <v>10</v>
      </c>
      <c r="D1302" s="33" t="str">
        <f ca="1">IFERROR(__xludf.DUMMYFUNCTION("""COMPUTED_VALUE"""),"NO")</f>
        <v>NO</v>
      </c>
      <c r="E1302" s="33" t="str">
        <f ca="1">IFERROR(__xludf.DUMMYFUNCTION("""COMPUTED_VALUE"""),"Getafe")</f>
        <v>Getafe</v>
      </c>
      <c r="F1302" s="57">
        <f ca="1">IFERROR(__xludf.DUMMYFUNCTION("""COMPUTED_VALUE"""),45951)</f>
        <v>45951</v>
      </c>
      <c r="G1302" s="57">
        <f ca="1">IFERROR(__xludf.DUMMYFUNCTION("""COMPUTED_VALUE"""),45895)</f>
        <v>45895</v>
      </c>
      <c r="H1302" s="33" t="str">
        <f ca="1">IFERROR(__xludf.DUMMYFUNCTION("""COMPUTED_VALUE"""),"Getafe")</f>
        <v>Getafe</v>
      </c>
      <c r="I1302" s="33" t="str">
        <f ca="1">IFERROR(__xludf.DUMMYFUNCTION("""COMPUTED_VALUE"""),"C2025911182457339")</f>
        <v>C2025911182457339</v>
      </c>
      <c r="J1302" s="33" t="str">
        <f ca="1">IFERROR(__xludf.DUMMYFUNCTION("""COMPUTED_VALUE"""),"JOSE MANUEL IZQUIERDO GRANERO")</f>
        <v>JOSE MANUEL IZQUIERDO GRANERO</v>
      </c>
      <c r="K1302" s="33">
        <f ca="1">IFERROR(__xludf.DUMMYFUNCTION("""COMPUTED_VALUE"""),2)</f>
        <v>2</v>
      </c>
      <c r="L1302" s="203">
        <f ca="1">IFERROR(__xludf.DUMMYFUNCTION("""COMPUTED_VALUE"""),4136.36)</f>
        <v>4136.3599999999997</v>
      </c>
      <c r="M1302" s="33" t="str">
        <f ca="1">IFERROR(__xludf.DUMMYFUNCTION("""COMPUTED_VALUE"""),"03 ORL")</f>
        <v>03 ORL</v>
      </c>
      <c r="N1302" s="33" t="str">
        <f ca="1">IFERROR(__xludf.DUMMYFUNCTION("""COMPUTED_VALUE"""),"06 ORL")</f>
        <v>06 ORL</v>
      </c>
      <c r="O1302" s="33" t="str">
        <f ca="1">IFERROR(__xludf.DUMMYFUNCTION("""COMPUTED_VALUE"""),"Dr, Fernando García Alcántara")</f>
        <v>Dr, Fernando García Alcántara</v>
      </c>
      <c r="P1302" s="33" t="str">
        <f ca="1">IFERROR(__xludf.DUMMYFUNCTION("""COMPUTED_VALUE"""),"Maika Blázquez (Madrid)")</f>
        <v>Maika Blázquez (Madrid)</v>
      </c>
    </row>
    <row r="1303" spans="2:16">
      <c r="B1303" s="33">
        <f ca="1">IFERROR(__xludf.DUMMYFUNCTION("""COMPUTED_VALUE"""),2025)</f>
        <v>2025</v>
      </c>
      <c r="C1303" s="33">
        <f ca="1">IFERROR(__xludf.DUMMYFUNCTION("""COMPUTED_VALUE"""),10)</f>
        <v>10</v>
      </c>
      <c r="D1303" s="33" t="str">
        <f ca="1">IFERROR(__xludf.DUMMYFUNCTION("""COMPUTED_VALUE"""),"NO")</f>
        <v>NO</v>
      </c>
      <c r="E1303" s="33" t="str">
        <f ca="1">IFERROR(__xludf.DUMMYFUNCTION("""COMPUTED_VALUE"""),"Torrejón de Ardoz")</f>
        <v>Torrejón de Ardoz</v>
      </c>
      <c r="F1303" s="57">
        <f ca="1">IFERROR(__xludf.DUMMYFUNCTION("""COMPUTED_VALUE"""),45951)</f>
        <v>45951</v>
      </c>
      <c r="G1303" s="57">
        <f ca="1">IFERROR(__xludf.DUMMYFUNCTION("""COMPUTED_VALUE"""),45839)</f>
        <v>45839</v>
      </c>
      <c r="H1303" s="33" t="str">
        <f ca="1">IFERROR(__xludf.DUMMYFUNCTION("""COMPUTED_VALUE"""),"Torrejón")</f>
        <v>Torrejón</v>
      </c>
      <c r="I1303" s="33" t="str">
        <f ca="1">IFERROR(__xludf.DUMMYFUNCTION("""COMPUTED_VALUE"""),"C20257112515230")</f>
        <v>C20257112515230</v>
      </c>
      <c r="J1303" s="33" t="str">
        <f ca="1">IFERROR(__xludf.DUMMYFUNCTION("""COMPUTED_VALUE"""),"CRISTINA BORREGO MARCOS")</f>
        <v>CRISTINA BORREGO MARCOS</v>
      </c>
      <c r="K1303" s="33">
        <f ca="1">IFERROR(__xludf.DUMMYFUNCTION("""COMPUTED_VALUE"""),2)</f>
        <v>2</v>
      </c>
      <c r="L1303" s="203">
        <f ca="1">IFERROR(__xludf.DUMMYFUNCTION("""COMPUTED_VALUE"""),4000)</f>
        <v>4000</v>
      </c>
      <c r="M1303" s="33" t="str">
        <f ca="1">IFERROR(__xludf.DUMMYFUNCTION("""COMPUTED_VALUE"""),"03 ORL")</f>
        <v>03 ORL</v>
      </c>
      <c r="N1303" s="33" t="str">
        <f ca="1">IFERROR(__xludf.DUMMYFUNCTION("""COMPUTED_VALUE"""),"06 ORL")</f>
        <v>06 ORL</v>
      </c>
      <c r="O1303" s="33" t="str">
        <f ca="1">IFERROR(__xludf.DUMMYFUNCTION("""COMPUTED_VALUE"""),"Dra, Marta Abad Pascual")</f>
        <v>Dra, Marta Abad Pascual</v>
      </c>
      <c r="P1303" s="33" t="str">
        <f ca="1">IFERROR(__xludf.DUMMYFUNCTION("""COMPUTED_VALUE"""),"Maika Blázquez (Madrid)")</f>
        <v>Maika Blázquez (Madrid)</v>
      </c>
    </row>
    <row r="1304" spans="2:16">
      <c r="B1304" s="33">
        <f ca="1">IFERROR(__xludf.DUMMYFUNCTION("""COMPUTED_VALUE"""),2025)</f>
        <v>2025</v>
      </c>
      <c r="C1304" s="33">
        <f ca="1">IFERROR(__xludf.DUMMYFUNCTION("""COMPUTED_VALUE"""),10)</f>
        <v>10</v>
      </c>
      <c r="D1304" s="33" t="str">
        <f ca="1">IFERROR(__xludf.DUMMYFUNCTION("""COMPUTED_VALUE"""),"NO")</f>
        <v>NO</v>
      </c>
      <c r="E1304" s="33" t="str">
        <f ca="1">IFERROR(__xludf.DUMMYFUNCTION("""COMPUTED_VALUE"""),"Leganés")</f>
        <v>Leganés</v>
      </c>
      <c r="F1304" s="57">
        <f ca="1">IFERROR(__xludf.DUMMYFUNCTION("""COMPUTED_VALUE"""),45952)</f>
        <v>45952</v>
      </c>
      <c r="G1304" s="57">
        <f ca="1">IFERROR(__xludf.DUMMYFUNCTION("""COMPUTED_VALUE"""),45916)</f>
        <v>45916</v>
      </c>
      <c r="H1304" s="33" t="str">
        <f ca="1">IFERROR(__xludf.DUMMYFUNCTION("""COMPUTED_VALUE"""),"Leganés")</f>
        <v>Leganés</v>
      </c>
      <c r="I1304" s="33" t="str">
        <f ca="1">IFERROR(__xludf.DUMMYFUNCTION("""COMPUTED_VALUE"""),"C2025922163459800")</f>
        <v>C2025922163459800</v>
      </c>
      <c r="J1304" s="33" t="str">
        <f ca="1">IFERROR(__xludf.DUMMYFUNCTION("""COMPUTED_VALUE"""),"PABLO BENAVENTE RODRIGUEZ")</f>
        <v>PABLO BENAVENTE RODRIGUEZ</v>
      </c>
      <c r="K1304" s="33">
        <f ca="1">IFERROR(__xludf.DUMMYFUNCTION("""COMPUTED_VALUE"""),1)</f>
        <v>1</v>
      </c>
      <c r="L1304" s="203">
        <f ca="1">IFERROR(__xludf.DUMMYFUNCTION("""COMPUTED_VALUE"""),2481.82)</f>
        <v>2481.8200000000002</v>
      </c>
      <c r="M1304" s="33" t="str">
        <f ca="1">IFERROR(__xludf.DUMMYFUNCTION("""COMPUTED_VALUE"""),"03 ORL")</f>
        <v>03 ORL</v>
      </c>
      <c r="N1304" s="33" t="str">
        <f ca="1">IFERROR(__xludf.DUMMYFUNCTION("""COMPUTED_VALUE"""),"06 ORL")</f>
        <v>06 ORL</v>
      </c>
      <c r="O1304" s="33" t="str">
        <f ca="1">IFERROR(__xludf.DUMMYFUNCTION("""COMPUTED_VALUE"""),"Dra, Laura del Toro Gil")</f>
        <v>Dra, Laura del Toro Gil</v>
      </c>
      <c r="P1304" s="33" t="str">
        <f ca="1">IFERROR(__xludf.DUMMYFUNCTION("""COMPUTED_VALUE"""),"Maika Blázquez (Madrid)")</f>
        <v>Maika Blázquez (Madrid)</v>
      </c>
    </row>
    <row r="1305" spans="2:16">
      <c r="B1305" s="33">
        <f ca="1">IFERROR(__xludf.DUMMYFUNCTION("""COMPUTED_VALUE"""),2025)</f>
        <v>2025</v>
      </c>
      <c r="C1305" s="33">
        <f ca="1">IFERROR(__xludf.DUMMYFUNCTION("""COMPUTED_VALUE"""),10)</f>
        <v>10</v>
      </c>
      <c r="D1305" s="33" t="str">
        <f ca="1">IFERROR(__xludf.DUMMYFUNCTION("""COMPUTED_VALUE"""),"NO")</f>
        <v>NO</v>
      </c>
      <c r="E1305" s="33" t="str">
        <f ca="1">IFERROR(__xludf.DUMMYFUNCTION("""COMPUTED_VALUE"""),"Sevilla- Montoto")</f>
        <v>Sevilla- Montoto</v>
      </c>
      <c r="F1305" s="57">
        <f ca="1">IFERROR(__xludf.DUMMYFUNCTION("""COMPUTED_VALUE"""),45952)</f>
        <v>45952</v>
      </c>
      <c r="G1305" s="57">
        <f ca="1">IFERROR(__xludf.DUMMYFUNCTION("""COMPUTED_VALUE"""),45918)</f>
        <v>45918</v>
      </c>
      <c r="H1305" s="33" t="str">
        <f ca="1">IFERROR(__xludf.DUMMYFUNCTION("""COMPUTED_VALUE"""),"Montoto")</f>
        <v>Montoto</v>
      </c>
      <c r="I1305" s="33" t="str">
        <f ca="1">IFERROR(__xludf.DUMMYFUNCTION("""COMPUTED_VALUE"""),"C2025925162621627")</f>
        <v>C2025925162621627</v>
      </c>
      <c r="J1305" s="33" t="str">
        <f ca="1">IFERROR(__xludf.DUMMYFUNCTION("""COMPUTED_VALUE"""),"JOSE BENITEZ POLO")</f>
        <v>JOSE BENITEZ POLO</v>
      </c>
      <c r="K1305" s="33">
        <f ca="1">IFERROR(__xludf.DUMMYFUNCTION("""COMPUTED_VALUE"""),2)</f>
        <v>2</v>
      </c>
      <c r="L1305" s="203">
        <f ca="1">IFERROR(__xludf.DUMMYFUNCTION("""COMPUTED_VALUE"""),2718.18)</f>
        <v>2718.18</v>
      </c>
      <c r="M1305" s="33" t="str">
        <f ca="1">IFERROR(__xludf.DUMMYFUNCTION("""COMPUTED_VALUE"""),"03 ORL")</f>
        <v>03 ORL</v>
      </c>
      <c r="N1305" s="33" t="str">
        <f ca="1">IFERROR(__xludf.DUMMYFUNCTION("""COMPUTED_VALUE"""),"06 ORL")</f>
        <v>06 ORL</v>
      </c>
      <c r="O1305" s="33" t="str">
        <f ca="1">IFERROR(__xludf.DUMMYFUNCTION("""COMPUTED_VALUE"""),"Dra, Lucia Prieto Sánchez de la Puerta")</f>
        <v>Dra, Lucia Prieto Sánchez de la Puerta</v>
      </c>
      <c r="P1305" s="33" t="str">
        <f ca="1">IFERROR(__xludf.DUMMYFUNCTION("""COMPUTED_VALUE"""),"Luis Alberto Rodríguez (Andalucía y Badajoz)")</f>
        <v>Luis Alberto Rodríguez (Andalucía y Badajoz)</v>
      </c>
    </row>
    <row r="1306" spans="2:16">
      <c r="B1306" s="33">
        <f ca="1">IFERROR(__xludf.DUMMYFUNCTION("""COMPUTED_VALUE"""),2025)</f>
        <v>2025</v>
      </c>
      <c r="C1306" s="33">
        <f ca="1">IFERROR(__xludf.DUMMYFUNCTION("""COMPUTED_VALUE"""),10)</f>
        <v>10</v>
      </c>
      <c r="D1306" s="33" t="str">
        <f ca="1">IFERROR(__xludf.DUMMYFUNCTION("""COMPUTED_VALUE"""),"NO")</f>
        <v>NO</v>
      </c>
      <c r="E1306" s="33" t="str">
        <f ca="1">IFERROR(__xludf.DUMMYFUNCTION("""COMPUTED_VALUE"""),"Madrid- Monforte de Lemos")</f>
        <v>Madrid- Monforte de Lemos</v>
      </c>
      <c r="F1306" s="57">
        <f ca="1">IFERROR(__xludf.DUMMYFUNCTION("""COMPUTED_VALUE"""),45952)</f>
        <v>45952</v>
      </c>
      <c r="G1306" s="57">
        <f ca="1">IFERROR(__xludf.DUMMYFUNCTION("""COMPUTED_VALUE"""),45915)</f>
        <v>45915</v>
      </c>
      <c r="H1306" s="33" t="str">
        <f ca="1">IFERROR(__xludf.DUMMYFUNCTION("""COMPUTED_VALUE"""),"La Vaguada")</f>
        <v>La Vaguada</v>
      </c>
      <c r="I1306" s="33" t="str">
        <f ca="1">IFERROR(__xludf.DUMMYFUNCTION("""COMPUTED_VALUE"""),"C2025916183119542")</f>
        <v>C2025916183119542</v>
      </c>
      <c r="J1306" s="33" t="str">
        <f ca="1">IFERROR(__xludf.DUMMYFUNCTION("""COMPUTED_VALUE"""),"VICENTE QUIRALTE CASTAÑEDA")</f>
        <v>VICENTE QUIRALTE CASTAÑEDA</v>
      </c>
      <c r="K1306" s="33">
        <f ca="1">IFERROR(__xludf.DUMMYFUNCTION("""COMPUTED_VALUE"""),2)</f>
        <v>2</v>
      </c>
      <c r="L1306" s="203">
        <f ca="1">IFERROR(__xludf.DUMMYFUNCTION("""COMPUTED_VALUE"""),4136.36)</f>
        <v>4136.3599999999997</v>
      </c>
      <c r="M1306" s="33" t="str">
        <f ca="1">IFERROR(__xludf.DUMMYFUNCTION("""COMPUTED_VALUE"""),"03 ORL")</f>
        <v>03 ORL</v>
      </c>
      <c r="N1306" s="33" t="str">
        <f ca="1">IFERROR(__xludf.DUMMYFUNCTION("""COMPUTED_VALUE"""),"06 ORL")</f>
        <v>06 ORL</v>
      </c>
      <c r="O1306" s="33" t="str">
        <f ca="1">IFERROR(__xludf.DUMMYFUNCTION("""COMPUTED_VALUE"""),"Dra, Belén Clemente Cuartero")</f>
        <v>Dra, Belén Clemente Cuartero</v>
      </c>
      <c r="P1306" s="33" t="str">
        <f ca="1">IFERROR(__xludf.DUMMYFUNCTION("""COMPUTED_VALUE"""),"Maika Blázquez (Madrid)")</f>
        <v>Maika Blázquez (Madrid)</v>
      </c>
    </row>
    <row r="1307" spans="2:16">
      <c r="B1307" s="33">
        <f ca="1">IFERROR(__xludf.DUMMYFUNCTION("""COMPUTED_VALUE"""),2025)</f>
        <v>2025</v>
      </c>
      <c r="C1307" s="33">
        <f ca="1">IFERROR(__xludf.DUMMYFUNCTION("""COMPUTED_VALUE"""),10)</f>
        <v>10</v>
      </c>
      <c r="D1307" s="33" t="str">
        <f ca="1">IFERROR(__xludf.DUMMYFUNCTION("""COMPUTED_VALUE"""),"NO")</f>
        <v>NO</v>
      </c>
      <c r="E1307" s="33" t="str">
        <f ca="1">IFERROR(__xludf.DUMMYFUNCTION("""COMPUTED_VALUE"""),"Fuenlabrada")</f>
        <v>Fuenlabrada</v>
      </c>
      <c r="F1307" s="57">
        <f ca="1">IFERROR(__xludf.DUMMYFUNCTION("""COMPUTED_VALUE"""),45952)</f>
        <v>45952</v>
      </c>
      <c r="G1307" s="57">
        <f ca="1">IFERROR(__xludf.DUMMYFUNCTION("""COMPUTED_VALUE"""),45922)</f>
        <v>45922</v>
      </c>
      <c r="H1307" s="33" t="str">
        <f ca="1">IFERROR(__xludf.DUMMYFUNCTION("""COMPUTED_VALUE"""),"Fuenlabrada")</f>
        <v>Fuenlabrada</v>
      </c>
      <c r="I1307" s="33" t="str">
        <f ca="1">IFERROR(__xludf.DUMMYFUNCTION("""COMPUTED_VALUE"""),"C202592512249786")</f>
        <v>C202592512249786</v>
      </c>
      <c r="J1307" s="33" t="str">
        <f ca="1">IFERROR(__xludf.DUMMYFUNCTION("""COMPUTED_VALUE"""),"CONCEPCION MUROS CORONEL")</f>
        <v>CONCEPCION MUROS CORONEL</v>
      </c>
      <c r="K1307" s="33">
        <f ca="1">IFERROR(__xludf.DUMMYFUNCTION("""COMPUTED_VALUE"""),2)</f>
        <v>2</v>
      </c>
      <c r="L1307" s="203">
        <f ca="1">IFERROR(__xludf.DUMMYFUNCTION("""COMPUTED_VALUE"""),2718.18)</f>
        <v>2718.18</v>
      </c>
      <c r="M1307" s="33" t="str">
        <f ca="1">IFERROR(__xludf.DUMMYFUNCTION("""COMPUTED_VALUE"""),"03 ORL")</f>
        <v>03 ORL</v>
      </c>
      <c r="N1307" s="33" t="str">
        <f ca="1">IFERROR(__xludf.DUMMYFUNCTION("""COMPUTED_VALUE"""),"06 ORL")</f>
        <v>06 ORL</v>
      </c>
      <c r="O1307" s="33" t="str">
        <f ca="1">IFERROR(__xludf.DUMMYFUNCTION("""COMPUTED_VALUE"""),"Dra, Victoria García Peces")</f>
        <v>Dra, Victoria García Peces</v>
      </c>
      <c r="P1307" s="33" t="str">
        <f ca="1">IFERROR(__xludf.DUMMYFUNCTION("""COMPUTED_VALUE"""),"Maika Blázquez (Madrid)")</f>
        <v>Maika Blázquez (Madrid)</v>
      </c>
    </row>
    <row r="1308" spans="2:16">
      <c r="B1308" s="33">
        <f ca="1">IFERROR(__xludf.DUMMYFUNCTION("""COMPUTED_VALUE"""),2025)</f>
        <v>2025</v>
      </c>
      <c r="C1308" s="33">
        <f ca="1">IFERROR(__xludf.DUMMYFUNCTION("""COMPUTED_VALUE"""),10)</f>
        <v>10</v>
      </c>
      <c r="D1308" s="33" t="str">
        <f ca="1">IFERROR(__xludf.DUMMYFUNCTION("""COMPUTED_VALUE"""),"NO")</f>
        <v>NO</v>
      </c>
      <c r="E1308" s="33" t="str">
        <f ca="1">IFERROR(__xludf.DUMMYFUNCTION("""COMPUTED_VALUE"""),"Fuenlabrada")</f>
        <v>Fuenlabrada</v>
      </c>
      <c r="F1308" s="57">
        <f ca="1">IFERROR(__xludf.DUMMYFUNCTION("""COMPUTED_VALUE"""),45952)</f>
        <v>45952</v>
      </c>
      <c r="G1308" s="57">
        <f ca="1">IFERROR(__xludf.DUMMYFUNCTION("""COMPUTED_VALUE"""),45916)</f>
        <v>45916</v>
      </c>
      <c r="H1308" s="33" t="str">
        <f ca="1">IFERROR(__xludf.DUMMYFUNCTION("""COMPUTED_VALUE"""),"Fuenlabrada")</f>
        <v>Fuenlabrada</v>
      </c>
      <c r="I1308" s="33" t="str">
        <f ca="1">IFERROR(__xludf.DUMMYFUNCTION("""COMPUTED_VALUE"""),"C2025917173328714")</f>
        <v>C2025917173328714</v>
      </c>
      <c r="J1308" s="33" t="str">
        <f ca="1">IFERROR(__xludf.DUMMYFUNCTION("""COMPUTED_VALUE"""),"FRANCISCA RODRIGUEZ CALVO")</f>
        <v>FRANCISCA RODRIGUEZ CALVO</v>
      </c>
      <c r="K1308" s="33">
        <f ca="1">IFERROR(__xludf.DUMMYFUNCTION("""COMPUTED_VALUE"""),2)</f>
        <v>2</v>
      </c>
      <c r="L1308" s="203">
        <f ca="1">IFERROR(__xludf.DUMMYFUNCTION("""COMPUTED_VALUE"""),4536.36)</f>
        <v>4536.3599999999997</v>
      </c>
      <c r="M1308" s="33" t="str">
        <f ca="1">IFERROR(__xludf.DUMMYFUNCTION("""COMPUTED_VALUE"""),"03 ORL")</f>
        <v>03 ORL</v>
      </c>
      <c r="N1308" s="33" t="str">
        <f ca="1">IFERROR(__xludf.DUMMYFUNCTION("""COMPUTED_VALUE"""),"06 ORL")</f>
        <v>06 ORL</v>
      </c>
      <c r="O1308" s="1" t="str">
        <f ca="1">IFERROR(__xludf.DUMMYFUNCTION("""COMPUTED_VALUE"""),"Dra, María Teresa Herrera Mera")</f>
        <v>Dra, María Teresa Herrera Mera</v>
      </c>
      <c r="P1308" s="33" t="str">
        <f ca="1">IFERROR(__xludf.DUMMYFUNCTION("""COMPUTED_VALUE"""),"Maika Blázquez (Madrid)")</f>
        <v>Maika Blázquez (Madrid)</v>
      </c>
    </row>
    <row r="1309" spans="2:16">
      <c r="B1309" s="33">
        <f ca="1">IFERROR(__xludf.DUMMYFUNCTION("""COMPUTED_VALUE"""),2025)</f>
        <v>2025</v>
      </c>
      <c r="C1309" s="33">
        <f ca="1">IFERROR(__xludf.DUMMYFUNCTION("""COMPUTED_VALUE"""),10)</f>
        <v>10</v>
      </c>
      <c r="D1309" s="33" t="str">
        <f ca="1">IFERROR(__xludf.DUMMYFUNCTION("""COMPUTED_VALUE"""),"NO")</f>
        <v>NO</v>
      </c>
      <c r="E1309" s="33" t="str">
        <f ca="1">IFERROR(__xludf.DUMMYFUNCTION("""COMPUTED_VALUE"""),"Valencia- Cádiz")</f>
        <v>Valencia- Cádiz</v>
      </c>
      <c r="F1309" s="57">
        <f ca="1">IFERROR(__xludf.DUMMYFUNCTION("""COMPUTED_VALUE"""),45952)</f>
        <v>45952</v>
      </c>
      <c r="G1309" s="57">
        <f ca="1">IFERROR(__xludf.DUMMYFUNCTION("""COMPUTED_VALUE"""),45922)</f>
        <v>45922</v>
      </c>
      <c r="H1309" s="33" t="str">
        <f ca="1">IFERROR(__xludf.DUMMYFUNCTION("""COMPUTED_VALUE"""),"Valencia- Cádiz")</f>
        <v>Valencia- Cádiz</v>
      </c>
      <c r="I1309" s="33" t="str">
        <f ca="1">IFERROR(__xludf.DUMMYFUNCTION("""COMPUTED_VALUE"""),"C2025929151911264")</f>
        <v>C2025929151911264</v>
      </c>
      <c r="J1309" s="33" t="str">
        <f ca="1">IFERROR(__xludf.DUMMYFUNCTION("""COMPUTED_VALUE"""),"FIDEL CUBEL CUBEL")</f>
        <v>FIDEL CUBEL CUBEL</v>
      </c>
      <c r="K1309" s="33">
        <f ca="1">IFERROR(__xludf.DUMMYFUNCTION("""COMPUTED_VALUE"""),2)</f>
        <v>2</v>
      </c>
      <c r="L1309" s="203">
        <f ca="1">IFERROR(__xludf.DUMMYFUNCTION("""COMPUTED_VALUE"""),4136.36)</f>
        <v>4136.3599999999997</v>
      </c>
      <c r="M1309" s="33" t="str">
        <f ca="1">IFERROR(__xludf.DUMMYFUNCTION("""COMPUTED_VALUE"""),"03 ORL")</f>
        <v>03 ORL</v>
      </c>
      <c r="N1309" s="33" t="str">
        <f ca="1">IFERROR(__xludf.DUMMYFUNCTION("""COMPUTED_VALUE"""),"06 ORL")</f>
        <v>06 ORL</v>
      </c>
      <c r="O1309" s="33" t="str">
        <f ca="1">IFERROR(__xludf.DUMMYFUNCTION("""COMPUTED_VALUE"""),"Dr, Abel Guzmán Calvete")</f>
        <v>Dr, Abel Guzmán Calvete</v>
      </c>
      <c r="P1309" s="33" t="str">
        <f ca="1">IFERROR(__xludf.DUMMYFUNCTION("""COMPUTED_VALUE"""),"Ramon Ferrando(Valencia)")</f>
        <v>Ramon Ferrando(Valencia)</v>
      </c>
    </row>
    <row r="1310" spans="2:16">
      <c r="B1310" s="33">
        <f ca="1">IFERROR(__xludf.DUMMYFUNCTION("""COMPUTED_VALUE"""),2025)</f>
        <v>2025</v>
      </c>
      <c r="C1310" s="33">
        <f ca="1">IFERROR(__xludf.DUMMYFUNCTION("""COMPUTED_VALUE"""),10)</f>
        <v>10</v>
      </c>
      <c r="D1310" s="33" t="str">
        <f ca="1">IFERROR(__xludf.DUMMYFUNCTION("""COMPUTED_VALUE"""),"NO")</f>
        <v>NO</v>
      </c>
      <c r="E1310" s="33" t="str">
        <f ca="1">IFERROR(__xludf.DUMMYFUNCTION("""COMPUTED_VALUE"""),"Madrid- Juan Bravo")</f>
        <v>Madrid- Juan Bravo</v>
      </c>
      <c r="F1310" s="57">
        <f ca="1">IFERROR(__xludf.DUMMYFUNCTION("""COMPUTED_VALUE"""),45952)</f>
        <v>45952</v>
      </c>
      <c r="G1310" s="57">
        <f ca="1">IFERROR(__xludf.DUMMYFUNCTION("""COMPUTED_VALUE"""),45909)</f>
        <v>45909</v>
      </c>
      <c r="H1310" s="33" t="str">
        <f ca="1">IFERROR(__xludf.DUMMYFUNCTION("""COMPUTED_VALUE"""),"Juan Bravo")</f>
        <v>Juan Bravo</v>
      </c>
      <c r="I1310" s="33" t="str">
        <f ca="1">IFERROR(__xludf.DUMMYFUNCTION("""COMPUTED_VALUE"""),"C202591116504933")</f>
        <v>C202591116504933</v>
      </c>
      <c r="J1310" s="33" t="str">
        <f ca="1">IFERROR(__xludf.DUMMYFUNCTION("""COMPUTED_VALUE"""),"PILAR RIESCO HERNANDEZ")</f>
        <v>PILAR RIESCO HERNANDEZ</v>
      </c>
      <c r="K1310" s="33">
        <f ca="1">IFERROR(__xludf.DUMMYFUNCTION("""COMPUTED_VALUE"""),2)</f>
        <v>2</v>
      </c>
      <c r="L1310" s="203">
        <f ca="1">IFERROR(__xludf.DUMMYFUNCTION("""COMPUTED_VALUE"""),2718.18)</f>
        <v>2718.18</v>
      </c>
      <c r="M1310" s="33" t="str">
        <f ca="1">IFERROR(__xludf.DUMMYFUNCTION("""COMPUTED_VALUE"""),"03 ORL")</f>
        <v>03 ORL</v>
      </c>
      <c r="N1310" s="33" t="str">
        <f ca="1">IFERROR(__xludf.DUMMYFUNCTION("""COMPUTED_VALUE"""),"06 ORL")</f>
        <v>06 ORL</v>
      </c>
      <c r="O1310" s="33" t="str">
        <f ca="1">IFERROR(__xludf.DUMMYFUNCTION("""COMPUTED_VALUE"""),"Dr, Carlos Barajas del Rosal")</f>
        <v>Dr, Carlos Barajas del Rosal</v>
      </c>
      <c r="P1310" s="33" t="str">
        <f ca="1">IFERROR(__xludf.DUMMYFUNCTION("""COMPUTED_VALUE"""),"Lisandro Russian (Madrid, Cáceres, Toledo, Talavera Y Logroño)")</f>
        <v>Lisandro Russian (Madrid, Cáceres, Toledo, Talavera Y Logroño)</v>
      </c>
    </row>
    <row r="1311" spans="2:16">
      <c r="B1311" s="33">
        <f ca="1">IFERROR(__xludf.DUMMYFUNCTION("""COMPUTED_VALUE"""),2025)</f>
        <v>2025</v>
      </c>
      <c r="C1311" s="33">
        <f ca="1">IFERROR(__xludf.DUMMYFUNCTION("""COMPUTED_VALUE"""),10)</f>
        <v>10</v>
      </c>
      <c r="D1311" s="33" t="str">
        <f ca="1">IFERROR(__xludf.DUMMYFUNCTION("""COMPUTED_VALUE"""),"NO")</f>
        <v>NO</v>
      </c>
      <c r="E1311" s="33" t="str">
        <f ca="1">IFERROR(__xludf.DUMMYFUNCTION("""COMPUTED_VALUE"""),"Sevilla- Montoto")</f>
        <v>Sevilla- Montoto</v>
      </c>
      <c r="F1311" s="57">
        <f ca="1">IFERROR(__xludf.DUMMYFUNCTION("""COMPUTED_VALUE"""),45952)</f>
        <v>45952</v>
      </c>
      <c r="G1311" s="57">
        <f ca="1">IFERROR(__xludf.DUMMYFUNCTION("""COMPUTED_VALUE"""),45915)</f>
        <v>45915</v>
      </c>
      <c r="H1311" s="33" t="str">
        <f ca="1">IFERROR(__xludf.DUMMYFUNCTION("""COMPUTED_VALUE"""),"Montoto")</f>
        <v>Montoto</v>
      </c>
      <c r="I1311" s="33" t="str">
        <f ca="1">IFERROR(__xludf.DUMMYFUNCTION("""COMPUTED_VALUE"""),"C202591917455784")</f>
        <v>C202591917455784</v>
      </c>
      <c r="J1311" s="33" t="str">
        <f ca="1">IFERROR(__xludf.DUMMYFUNCTION("""COMPUTED_VALUE"""),"JOSE ANTONIO ALASCIO RUIZ")</f>
        <v>JOSE ANTONIO ALASCIO RUIZ</v>
      </c>
      <c r="K1311" s="33">
        <f ca="1">IFERROR(__xludf.DUMMYFUNCTION("""COMPUTED_VALUE"""),2)</f>
        <v>2</v>
      </c>
      <c r="L1311" s="203">
        <f ca="1">IFERROR(__xludf.DUMMYFUNCTION("""COMPUTED_VALUE"""),4309.54)</f>
        <v>4309.54</v>
      </c>
      <c r="M1311" s="33" t="str">
        <f ca="1">IFERROR(__xludf.DUMMYFUNCTION("""COMPUTED_VALUE"""),"03 ORL")</f>
        <v>03 ORL</v>
      </c>
      <c r="N1311" s="33" t="str">
        <f ca="1">IFERROR(__xludf.DUMMYFUNCTION("""COMPUTED_VALUE"""),"06 ORL")</f>
        <v>06 ORL</v>
      </c>
      <c r="O1311" s="33" t="str">
        <f ca="1">IFERROR(__xludf.DUMMYFUNCTION("""COMPUTED_VALUE"""),"Dr, Jesús Crovato Rojas")</f>
        <v>Dr, Jesús Crovato Rojas</v>
      </c>
      <c r="P1311" s="33" t="str">
        <f ca="1">IFERROR(__xludf.DUMMYFUNCTION("""COMPUTED_VALUE"""),"Luis Alberto Rodríguez (Andalucía y Badajoz)")</f>
        <v>Luis Alberto Rodríguez (Andalucía y Badajoz)</v>
      </c>
    </row>
    <row r="1312" spans="2:16">
      <c r="B1312" s="33">
        <f ca="1">IFERROR(__xludf.DUMMYFUNCTION("""COMPUTED_VALUE"""),2025)</f>
        <v>2025</v>
      </c>
      <c r="C1312" s="33">
        <f ca="1">IFERROR(__xludf.DUMMYFUNCTION("""COMPUTED_VALUE"""),10)</f>
        <v>10</v>
      </c>
      <c r="D1312" s="33" t="str">
        <f ca="1">IFERROR(__xludf.DUMMYFUNCTION("""COMPUTED_VALUE"""),"NO")</f>
        <v>NO</v>
      </c>
      <c r="E1312" s="33" t="str">
        <f ca="1">IFERROR(__xludf.DUMMYFUNCTION("""COMPUTED_VALUE"""),"Cáceres")</f>
        <v>Cáceres</v>
      </c>
      <c r="F1312" s="57">
        <f ca="1">IFERROR(__xludf.DUMMYFUNCTION("""COMPUTED_VALUE"""),45953)</f>
        <v>45953</v>
      </c>
      <c r="G1312" s="57">
        <f ca="1">IFERROR(__xludf.DUMMYFUNCTION("""COMPUTED_VALUE"""),45917)</f>
        <v>45917</v>
      </c>
      <c r="H1312" s="33" t="str">
        <f ca="1">IFERROR(__xludf.DUMMYFUNCTION("""COMPUTED_VALUE"""),"Cáceres")</f>
        <v>Cáceres</v>
      </c>
      <c r="I1312" s="33" t="str">
        <f ca="1">IFERROR(__xludf.DUMMYFUNCTION("""COMPUTED_VALUE"""),"CAC-389")</f>
        <v>CAC-389</v>
      </c>
      <c r="J1312" s="33" t="str">
        <f ca="1">IFERROR(__xludf.DUMMYFUNCTION("""COMPUTED_VALUE"""),"JUANA SOBRADO MARTIN")</f>
        <v>JUANA SOBRADO MARTIN</v>
      </c>
      <c r="K1312" s="33">
        <f ca="1">IFERROR(__xludf.DUMMYFUNCTION("""COMPUTED_VALUE"""),2)</f>
        <v>2</v>
      </c>
      <c r="L1312" s="203">
        <f ca="1">IFERROR(__xludf.DUMMYFUNCTION("""COMPUTED_VALUE"""),4500)</f>
        <v>4500</v>
      </c>
      <c r="M1312" s="33" t="str">
        <f ca="1">IFERROR(__xludf.DUMMYFUNCTION("""COMPUTED_VALUE"""),"03 ORL")</f>
        <v>03 ORL</v>
      </c>
      <c r="N1312" s="33" t="str">
        <f ca="1">IFERROR(__xludf.DUMMYFUNCTION("""COMPUTED_VALUE"""),"06 ORL")</f>
        <v>06 ORL</v>
      </c>
      <c r="O1312" s="33" t="str">
        <f ca="1">IFERROR(__xludf.DUMMYFUNCTION("""COMPUTED_VALUE"""),"Dra, Marta García Jiménez")</f>
        <v>Dra, Marta García Jiménez</v>
      </c>
      <c r="P1312" s="33" t="str">
        <f ca="1">IFERROR(__xludf.DUMMYFUNCTION("""COMPUTED_VALUE"""),"Lisandro Russian (Madrid, Cáceres, Toledo, Talavera Y Logroño)")</f>
        <v>Lisandro Russian (Madrid, Cáceres, Toledo, Talavera Y Logroño)</v>
      </c>
    </row>
    <row r="1313" spans="2:16">
      <c r="B1313" s="33">
        <f ca="1">IFERROR(__xludf.DUMMYFUNCTION("""COMPUTED_VALUE"""),2025)</f>
        <v>2025</v>
      </c>
      <c r="C1313" s="33">
        <f ca="1">IFERROR(__xludf.DUMMYFUNCTION("""COMPUTED_VALUE"""),10)</f>
        <v>10</v>
      </c>
      <c r="D1313" s="33" t="str">
        <f ca="1">IFERROR(__xludf.DUMMYFUNCTION("""COMPUTED_VALUE"""),"NO")</f>
        <v>NO</v>
      </c>
      <c r="E1313" s="33" t="str">
        <f ca="1">IFERROR(__xludf.DUMMYFUNCTION("""COMPUTED_VALUE"""),"León")</f>
        <v>León</v>
      </c>
      <c r="F1313" s="57">
        <f ca="1">IFERROR(__xludf.DUMMYFUNCTION("""COMPUTED_VALUE"""),45953)</f>
        <v>45953</v>
      </c>
      <c r="G1313" s="57">
        <f ca="1">IFERROR(__xludf.DUMMYFUNCTION("""COMPUTED_VALUE"""),45933)</f>
        <v>45933</v>
      </c>
      <c r="H1313" s="33" t="str">
        <f ca="1">IFERROR(__xludf.DUMMYFUNCTION("""COMPUTED_VALUE"""),"León")</f>
        <v>León</v>
      </c>
      <c r="I1313" s="33" t="str">
        <f ca="1">IFERROR(__xludf.DUMMYFUNCTION("""COMPUTED_VALUE"""),"LEO-547")</f>
        <v>LEO-547</v>
      </c>
      <c r="J1313" s="33" t="str">
        <f ca="1">IFERROR(__xludf.DUMMYFUNCTION("""COMPUTED_VALUE"""),"ALEJANDRO MAYORAL FERNANDEZ")</f>
        <v>ALEJANDRO MAYORAL FERNANDEZ</v>
      </c>
      <c r="K1313" s="33">
        <f ca="1">IFERROR(__xludf.DUMMYFUNCTION("""COMPUTED_VALUE"""),2)</f>
        <v>2</v>
      </c>
      <c r="L1313" s="203">
        <f ca="1">IFERROR(__xludf.DUMMYFUNCTION("""COMPUTED_VALUE"""),5000)</f>
        <v>5000</v>
      </c>
      <c r="M1313" s="33" t="str">
        <f ca="1">IFERROR(__xludf.DUMMYFUNCTION("""COMPUTED_VALUE"""),"03 ORL")</f>
        <v>03 ORL</v>
      </c>
      <c r="N1313" s="33" t="str">
        <f ca="1">IFERROR(__xludf.DUMMYFUNCTION("""COMPUTED_VALUE"""),"06 ORL")</f>
        <v>06 ORL</v>
      </c>
      <c r="O1313" s="33" t="str">
        <f ca="1">IFERROR(__xludf.DUMMYFUNCTION("""COMPUTED_VALUE"""),"Dr, Rafael Pérez González")</f>
        <v>Dr, Rafael Pérez González</v>
      </c>
      <c r="P1313" s="33" t="str">
        <f ca="1">IFERROR(__xludf.DUMMYFUNCTION("""COMPUTED_VALUE"""),"Alberto Moreno (Madrid)")</f>
        <v>Alberto Moreno (Madrid)</v>
      </c>
    </row>
    <row r="1314" spans="2:16">
      <c r="B1314" s="33">
        <f ca="1">IFERROR(__xludf.DUMMYFUNCTION("""COMPUTED_VALUE"""),2025)</f>
        <v>2025</v>
      </c>
      <c r="C1314" s="33">
        <f ca="1">IFERROR(__xludf.DUMMYFUNCTION("""COMPUTED_VALUE"""),10)</f>
        <v>10</v>
      </c>
      <c r="D1314" s="33" t="str">
        <f ca="1">IFERROR(__xludf.DUMMYFUNCTION("""COMPUTED_VALUE"""),"NO")</f>
        <v>NO</v>
      </c>
      <c r="E1314" s="33" t="str">
        <f ca="1">IFERROR(__xludf.DUMMYFUNCTION("""COMPUTED_VALUE"""),"Zaragoza- León XIII")</f>
        <v>Zaragoza- León XIII</v>
      </c>
      <c r="F1314" s="57">
        <f ca="1">IFERROR(__xludf.DUMMYFUNCTION("""COMPUTED_VALUE"""),45953)</f>
        <v>45953</v>
      </c>
      <c r="G1314" s="57">
        <f ca="1">IFERROR(__xludf.DUMMYFUNCTION("""COMPUTED_VALUE"""),45894)</f>
        <v>45894</v>
      </c>
      <c r="H1314" s="33" t="str">
        <f ca="1">IFERROR(__xludf.DUMMYFUNCTION("""COMPUTED_VALUE"""),"Zaragoza")</f>
        <v>Zaragoza</v>
      </c>
      <c r="I1314" s="33" t="str">
        <f ca="1">IFERROR(__xludf.DUMMYFUNCTION("""COMPUTED_VALUE"""),"C20259210010546")</f>
        <v>C20259210010546</v>
      </c>
      <c r="J1314" s="33" t="str">
        <f ca="1">IFERROR(__xludf.DUMMYFUNCTION("""COMPUTED_VALUE"""),"JOSE LUIS HERNANDEZ ALONSO")</f>
        <v>JOSE LUIS HERNANDEZ ALONSO</v>
      </c>
      <c r="K1314" s="33">
        <f ca="1">IFERROR(__xludf.DUMMYFUNCTION("""COMPUTED_VALUE"""),2)</f>
        <v>2</v>
      </c>
      <c r="L1314" s="203">
        <f ca="1">IFERROR(__xludf.DUMMYFUNCTION("""COMPUTED_VALUE"""),3627.27)</f>
        <v>3627.27</v>
      </c>
      <c r="M1314" s="33" t="str">
        <f ca="1">IFERROR(__xludf.DUMMYFUNCTION("""COMPUTED_VALUE"""),"03 ORL")</f>
        <v>03 ORL</v>
      </c>
      <c r="N1314" s="33" t="str">
        <f ca="1">IFERROR(__xludf.DUMMYFUNCTION("""COMPUTED_VALUE"""),"06 ORL")</f>
        <v>06 ORL</v>
      </c>
      <c r="O1314" s="33" t="str">
        <f ca="1">IFERROR(__xludf.DUMMYFUNCTION("""COMPUTED_VALUE"""),"Dr, Jorge Damborenea Tajada")</f>
        <v>Dr, Jorge Damborenea Tajada</v>
      </c>
      <c r="P1314" s="33" t="str">
        <f ca="1">IFERROR(__xludf.DUMMYFUNCTION("""COMPUTED_VALUE"""),"Ignacio Berdejo (Zaragoza)")</f>
        <v>Ignacio Berdejo (Zaragoza)</v>
      </c>
    </row>
    <row r="1315" spans="2:16">
      <c r="B1315" s="33">
        <f ca="1">IFERROR(__xludf.DUMMYFUNCTION("""COMPUTED_VALUE"""),2025)</f>
        <v>2025</v>
      </c>
      <c r="C1315" s="33">
        <f ca="1">IFERROR(__xludf.DUMMYFUNCTION("""COMPUTED_VALUE"""),10)</f>
        <v>10</v>
      </c>
      <c r="D1315" s="33" t="str">
        <f ca="1">IFERROR(__xludf.DUMMYFUNCTION("""COMPUTED_VALUE"""),"NO")</f>
        <v>NO</v>
      </c>
      <c r="E1315" s="33" t="str">
        <f ca="1">IFERROR(__xludf.DUMMYFUNCTION("""COMPUTED_VALUE"""),"Leganés")</f>
        <v>Leganés</v>
      </c>
      <c r="F1315" s="57">
        <f ca="1">IFERROR(__xludf.DUMMYFUNCTION("""COMPUTED_VALUE"""),45953)</f>
        <v>45953</v>
      </c>
      <c r="G1315" s="57">
        <f ca="1">IFERROR(__xludf.DUMMYFUNCTION("""COMPUTED_VALUE"""),45876)</f>
        <v>45876</v>
      </c>
      <c r="H1315" s="33" t="str">
        <f ca="1">IFERROR(__xludf.DUMMYFUNCTION("""COMPUTED_VALUE"""),"Leganés")</f>
        <v>Leganés</v>
      </c>
      <c r="I1315" s="33" t="str">
        <f ca="1">IFERROR(__xludf.DUMMYFUNCTION("""COMPUTED_VALUE"""),"C202591018414159")</f>
        <v>C202591018414159</v>
      </c>
      <c r="J1315" s="33" t="str">
        <f ca="1">IFERROR(__xludf.DUMMYFUNCTION("""COMPUTED_VALUE"""),"PEDRO DEL CASTILLO FERNANDEZ")</f>
        <v>PEDRO DEL CASTILLO FERNANDEZ</v>
      </c>
      <c r="K1315" s="33">
        <f ca="1">IFERROR(__xludf.DUMMYFUNCTION("""COMPUTED_VALUE"""),1)</f>
        <v>1</v>
      </c>
      <c r="L1315" s="203">
        <f ca="1">IFERROR(__xludf.DUMMYFUNCTION("""COMPUTED_VALUE"""),2481.82)</f>
        <v>2481.8200000000002</v>
      </c>
      <c r="M1315" s="33" t="str">
        <f ca="1">IFERROR(__xludf.DUMMYFUNCTION("""COMPUTED_VALUE"""),"03 ORL")</f>
        <v>03 ORL</v>
      </c>
      <c r="N1315" s="33" t="str">
        <f ca="1">IFERROR(__xludf.DUMMYFUNCTION("""COMPUTED_VALUE"""),"06 ORL")</f>
        <v>06 ORL</v>
      </c>
      <c r="O1315" s="33" t="str">
        <f ca="1">IFERROR(__xludf.DUMMYFUNCTION("""COMPUTED_VALUE"""),"Dra, Laura del Toro Gil")</f>
        <v>Dra, Laura del Toro Gil</v>
      </c>
      <c r="P1315" s="33" t="str">
        <f ca="1">IFERROR(__xludf.DUMMYFUNCTION("""COMPUTED_VALUE"""),"Maika Blázquez (Madrid)")</f>
        <v>Maika Blázquez (Madrid)</v>
      </c>
    </row>
    <row r="1316" spans="2:16">
      <c r="B1316" s="33">
        <f ca="1">IFERROR(__xludf.DUMMYFUNCTION("""COMPUTED_VALUE"""),2025)</f>
        <v>2025</v>
      </c>
      <c r="C1316" s="33">
        <f ca="1">IFERROR(__xludf.DUMMYFUNCTION("""COMPUTED_VALUE"""),10)</f>
        <v>10</v>
      </c>
      <c r="D1316" s="33" t="str">
        <f ca="1">IFERROR(__xludf.DUMMYFUNCTION("""COMPUTED_VALUE"""),"NO")</f>
        <v>NO</v>
      </c>
      <c r="E1316" s="33" t="str">
        <f ca="1">IFERROR(__xludf.DUMMYFUNCTION("""COMPUTED_VALUE"""),"Alcorcón")</f>
        <v>Alcorcón</v>
      </c>
      <c r="F1316" s="57">
        <f ca="1">IFERROR(__xludf.DUMMYFUNCTION("""COMPUTED_VALUE"""),45953)</f>
        <v>45953</v>
      </c>
      <c r="G1316" s="57">
        <f ca="1">IFERROR(__xludf.DUMMYFUNCTION("""COMPUTED_VALUE"""),45917)</f>
        <v>45917</v>
      </c>
      <c r="H1316" s="33" t="str">
        <f ca="1">IFERROR(__xludf.DUMMYFUNCTION("""COMPUTED_VALUE"""),"Alcorcón")</f>
        <v>Alcorcón</v>
      </c>
      <c r="I1316" s="33" t="str">
        <f ca="1">IFERROR(__xludf.DUMMYFUNCTION("""COMPUTED_VALUE"""),"C202592316319853")</f>
        <v>C202592316319853</v>
      </c>
      <c r="J1316" s="33" t="str">
        <f ca="1">IFERROR(__xludf.DUMMYFUNCTION("""COMPUTED_VALUE"""),"ISABEL FLORES MARTINEZ")</f>
        <v>ISABEL FLORES MARTINEZ</v>
      </c>
      <c r="K1316" s="33">
        <f ca="1">IFERROR(__xludf.DUMMYFUNCTION("""COMPUTED_VALUE"""),2)</f>
        <v>2</v>
      </c>
      <c r="L1316" s="203">
        <f ca="1">IFERROR(__xludf.DUMMYFUNCTION("""COMPUTED_VALUE"""),4136.36)</f>
        <v>4136.3599999999997</v>
      </c>
      <c r="M1316" s="33" t="str">
        <f ca="1">IFERROR(__xludf.DUMMYFUNCTION("""COMPUTED_VALUE"""),"03 ORL")</f>
        <v>03 ORL</v>
      </c>
      <c r="N1316" s="33" t="str">
        <f ca="1">IFERROR(__xludf.DUMMYFUNCTION("""COMPUTED_VALUE"""),"06 ORL")</f>
        <v>06 ORL</v>
      </c>
      <c r="O1316" s="33" t="str">
        <f ca="1">IFERROR(__xludf.DUMMYFUNCTION("""COMPUTED_VALUE"""),"No recuerda ORL")</f>
        <v>No recuerda ORL</v>
      </c>
      <c r="P1316" s="33" t="str">
        <f ca="1">IFERROR(__xludf.DUMMYFUNCTION("""COMPUTED_VALUE"""),"Maika Blázquez (Madrid)")</f>
        <v>Maika Blázquez (Madrid)</v>
      </c>
    </row>
    <row r="1317" spans="2:16">
      <c r="B1317" s="33">
        <f ca="1">IFERROR(__xludf.DUMMYFUNCTION("""COMPUTED_VALUE"""),2025)</f>
        <v>2025</v>
      </c>
      <c r="C1317" s="33">
        <f ca="1">IFERROR(__xludf.DUMMYFUNCTION("""COMPUTED_VALUE"""),10)</f>
        <v>10</v>
      </c>
      <c r="D1317" s="33" t="str">
        <f ca="1">IFERROR(__xludf.DUMMYFUNCTION("""COMPUTED_VALUE"""),"NO")</f>
        <v>NO</v>
      </c>
      <c r="E1317" s="33" t="str">
        <f ca="1">IFERROR(__xludf.DUMMYFUNCTION("""COMPUTED_VALUE"""),"Logroño")</f>
        <v>Logroño</v>
      </c>
      <c r="F1317" s="57">
        <f ca="1">IFERROR(__xludf.DUMMYFUNCTION("""COMPUTED_VALUE"""),45953)</f>
        <v>45953</v>
      </c>
      <c r="G1317" s="57">
        <f ca="1">IFERROR(__xludf.DUMMYFUNCTION("""COMPUTED_VALUE"""),45897)</f>
        <v>45897</v>
      </c>
      <c r="H1317" s="33" t="str">
        <f ca="1">IFERROR(__xludf.DUMMYFUNCTION("""COMPUTED_VALUE"""),"Logroño")</f>
        <v>Logroño</v>
      </c>
      <c r="I1317" s="33" t="str">
        <f ca="1">IFERROR(__xludf.DUMMYFUNCTION("""COMPUTED_VALUE"""),"C202591718138788")</f>
        <v>C202591718138788</v>
      </c>
      <c r="J1317" s="33" t="str">
        <f ca="1">IFERROR(__xludf.DUMMYFUNCTION("""COMPUTED_VALUE"""),"CASILDA RUIZ BARCINA")</f>
        <v>CASILDA RUIZ BARCINA</v>
      </c>
      <c r="K1317" s="33">
        <f ca="1">IFERROR(__xludf.DUMMYFUNCTION("""COMPUTED_VALUE"""),1)</f>
        <v>1</v>
      </c>
      <c r="L1317" s="203">
        <f ca="1">IFERROR(__xludf.DUMMYFUNCTION("""COMPUTED_VALUE"""),2180.91)</f>
        <v>2180.91</v>
      </c>
      <c r="M1317" s="33" t="str">
        <f ca="1">IFERROR(__xludf.DUMMYFUNCTION("""COMPUTED_VALUE"""),"03 ORL")</f>
        <v>03 ORL</v>
      </c>
      <c r="N1317" s="33" t="str">
        <f ca="1">IFERROR(__xludf.DUMMYFUNCTION("""COMPUTED_VALUE"""),"06 ORL")</f>
        <v>06 ORL</v>
      </c>
      <c r="O1317" s="33" t="str">
        <f ca="1">IFERROR(__xludf.DUMMYFUNCTION("""COMPUTED_VALUE"""),"Dr, Garikoitz Calzada Uriondo")</f>
        <v>Dr, Garikoitz Calzada Uriondo</v>
      </c>
      <c r="P1317" s="33" t="str">
        <f ca="1">IFERROR(__xludf.DUMMYFUNCTION("""COMPUTED_VALUE"""),"Lisandro Russian (Madrid, Cáceres, Toledo, Talavera Y Logroño)")</f>
        <v>Lisandro Russian (Madrid, Cáceres, Toledo, Talavera Y Logroño)</v>
      </c>
    </row>
    <row r="1318" spans="2:16">
      <c r="B1318" s="33">
        <f ca="1">IFERROR(__xludf.DUMMYFUNCTION("""COMPUTED_VALUE"""),2025)</f>
        <v>2025</v>
      </c>
      <c r="C1318" s="33">
        <f ca="1">IFERROR(__xludf.DUMMYFUNCTION("""COMPUTED_VALUE"""),10)</f>
        <v>10</v>
      </c>
      <c r="D1318" s="33" t="str">
        <f ca="1">IFERROR(__xludf.DUMMYFUNCTION("""COMPUTED_VALUE"""),"NO")</f>
        <v>NO</v>
      </c>
      <c r="E1318" s="33" t="str">
        <f ca="1">IFERROR(__xludf.DUMMYFUNCTION("""COMPUTED_VALUE"""),"Albacete")</f>
        <v>Albacete</v>
      </c>
      <c r="F1318" s="57">
        <f ca="1">IFERROR(__xludf.DUMMYFUNCTION("""COMPUTED_VALUE"""),45953)</f>
        <v>45953</v>
      </c>
      <c r="G1318" s="57">
        <f ca="1">IFERROR(__xludf.DUMMYFUNCTION("""COMPUTED_VALUE"""),45877)</f>
        <v>45877</v>
      </c>
      <c r="H1318" s="33" t="str">
        <f ca="1">IFERROR(__xludf.DUMMYFUNCTION("""COMPUTED_VALUE"""),"Albacete")</f>
        <v>Albacete</v>
      </c>
      <c r="I1318" s="33" t="str">
        <f ca="1">IFERROR(__xludf.DUMMYFUNCTION("""COMPUTED_VALUE"""),"C2025881363715")</f>
        <v>C2025881363715</v>
      </c>
      <c r="J1318" s="33" t="str">
        <f ca="1">IFERROR(__xludf.DUMMYFUNCTION("""COMPUTED_VALUE"""),"LAUDELINA GONZALEZ RODRÍGUEZ")</f>
        <v>LAUDELINA GONZALEZ RODRÍGUEZ</v>
      </c>
      <c r="K1318" s="33">
        <f ca="1">IFERROR(__xludf.DUMMYFUNCTION("""COMPUTED_VALUE"""),2)</f>
        <v>2</v>
      </c>
      <c r="L1318" s="203">
        <f ca="1">IFERROR(__xludf.DUMMYFUNCTION("""COMPUTED_VALUE"""),3604.55)</f>
        <v>3604.55</v>
      </c>
      <c r="M1318" s="33" t="str">
        <f ca="1">IFERROR(__xludf.DUMMYFUNCTION("""COMPUTED_VALUE"""),"03 ORL")</f>
        <v>03 ORL</v>
      </c>
      <c r="N1318" s="33" t="str">
        <f ca="1">IFERROR(__xludf.DUMMYFUNCTION("""COMPUTED_VALUE"""),"06 ORL")</f>
        <v>06 ORL</v>
      </c>
      <c r="O1318" s="33" t="str">
        <f ca="1">IFERROR(__xludf.DUMMYFUNCTION("""COMPUTED_VALUE"""),"Dr, Javier García-Dueñas González")</f>
        <v>Dr, Javier García-Dueñas González</v>
      </c>
      <c r="P1318" s="33" t="str">
        <f ca="1">IFERROR(__xludf.DUMMYFUNCTION("""COMPUTED_VALUE"""),"Iván Sánchez (Levante Y Albacete)")</f>
        <v>Iván Sánchez (Levante Y Albacete)</v>
      </c>
    </row>
    <row r="1319" spans="2:16">
      <c r="B1319" s="33">
        <f ca="1">IFERROR(__xludf.DUMMYFUNCTION("""COMPUTED_VALUE"""),2025)</f>
        <v>2025</v>
      </c>
      <c r="C1319" s="33">
        <f ca="1">IFERROR(__xludf.DUMMYFUNCTION("""COMPUTED_VALUE"""),10)</f>
        <v>10</v>
      </c>
      <c r="D1319" s="33" t="str">
        <f ca="1">IFERROR(__xludf.DUMMYFUNCTION("""COMPUTED_VALUE"""),"NO")</f>
        <v>NO</v>
      </c>
      <c r="E1319" s="33" t="str">
        <f ca="1">IFERROR(__xludf.DUMMYFUNCTION("""COMPUTED_VALUE"""),"Alicante")</f>
        <v>Alicante</v>
      </c>
      <c r="F1319" s="57">
        <f ca="1">IFERROR(__xludf.DUMMYFUNCTION("""COMPUTED_VALUE"""),45953)</f>
        <v>45953</v>
      </c>
      <c r="G1319" s="57">
        <f ca="1">IFERROR(__xludf.DUMMYFUNCTION("""COMPUTED_VALUE"""),45917)</f>
        <v>45917</v>
      </c>
      <c r="H1319" s="33" t="str">
        <f ca="1">IFERROR(__xludf.DUMMYFUNCTION("""COMPUTED_VALUE"""),"Alicante")</f>
        <v>Alicante</v>
      </c>
      <c r="I1319" s="33" t="str">
        <f ca="1">IFERROR(__xludf.DUMMYFUNCTION("""COMPUTED_VALUE"""),"C202592493128600")</f>
        <v>C202592493128600</v>
      </c>
      <c r="J1319" s="33" t="str">
        <f ca="1">IFERROR(__xludf.DUMMYFUNCTION("""COMPUTED_VALUE"""),"MARIA JOSE GARCIA AGRAMUNT")</f>
        <v>MARIA JOSE GARCIA AGRAMUNT</v>
      </c>
      <c r="K1319" s="33">
        <f ca="1">IFERROR(__xludf.DUMMYFUNCTION("""COMPUTED_VALUE"""),2)</f>
        <v>2</v>
      </c>
      <c r="L1319" s="203">
        <f ca="1">IFERROR(__xludf.DUMMYFUNCTION("""COMPUTED_VALUE"""),2718.18)</f>
        <v>2718.18</v>
      </c>
      <c r="M1319" s="33" t="str">
        <f ca="1">IFERROR(__xludf.DUMMYFUNCTION("""COMPUTED_VALUE"""),"03 ORL")</f>
        <v>03 ORL</v>
      </c>
      <c r="N1319" s="33" t="str">
        <f ca="1">IFERROR(__xludf.DUMMYFUNCTION("""COMPUTED_VALUE"""),"06 ORL")</f>
        <v>06 ORL</v>
      </c>
      <c r="O1319" s="33" t="str">
        <f ca="1">IFERROR(__xludf.DUMMYFUNCTION("""COMPUTED_VALUE"""),"Dra, Cristina Muñoz Pinto")</f>
        <v>Dra, Cristina Muñoz Pinto</v>
      </c>
      <c r="P1319" s="33" t="str">
        <f ca="1">IFERROR(__xludf.DUMMYFUNCTION("""COMPUTED_VALUE"""),"Iván Sánchez (Levante Y Albacete)")</f>
        <v>Iván Sánchez (Levante Y Albacete)</v>
      </c>
    </row>
    <row r="1320" spans="2:16">
      <c r="B1320" s="33">
        <f ca="1">IFERROR(__xludf.DUMMYFUNCTION("""COMPUTED_VALUE"""),2025)</f>
        <v>2025</v>
      </c>
      <c r="C1320" s="33">
        <f ca="1">IFERROR(__xludf.DUMMYFUNCTION("""COMPUTED_VALUE"""),10)</f>
        <v>10</v>
      </c>
      <c r="D1320" s="33" t="str">
        <f ca="1">IFERROR(__xludf.DUMMYFUNCTION("""COMPUTED_VALUE"""),"NO")</f>
        <v>NO</v>
      </c>
      <c r="E1320" s="33" t="str">
        <f ca="1">IFERROR(__xludf.DUMMYFUNCTION("""COMPUTED_VALUE"""),"Madrid- Monforte de Lemos")</f>
        <v>Madrid- Monforte de Lemos</v>
      </c>
      <c r="F1320" s="57">
        <f ca="1">IFERROR(__xludf.DUMMYFUNCTION("""COMPUTED_VALUE"""),45953)</f>
        <v>45953</v>
      </c>
      <c r="G1320" s="57">
        <f ca="1">IFERROR(__xludf.DUMMYFUNCTION("""COMPUTED_VALUE"""),45932)</f>
        <v>45932</v>
      </c>
      <c r="H1320" s="33" t="str">
        <f ca="1">IFERROR(__xludf.DUMMYFUNCTION("""COMPUTED_VALUE"""),"La Vaguada")</f>
        <v>La Vaguada</v>
      </c>
      <c r="I1320" s="33" t="str">
        <f ca="1">IFERROR(__xludf.DUMMYFUNCTION("""COMPUTED_VALUE"""),"VGA-13185")</f>
        <v>VGA-13185</v>
      </c>
      <c r="J1320" s="33" t="str">
        <f ca="1">IFERROR(__xludf.DUMMYFUNCTION("""COMPUTED_VALUE"""),"AURORA FIGUERAS MUÑOZ")</f>
        <v>AURORA FIGUERAS MUÑOZ</v>
      </c>
      <c r="K1320" s="33">
        <f ca="1">IFERROR(__xludf.DUMMYFUNCTION("""COMPUTED_VALUE"""),1)</f>
        <v>1</v>
      </c>
      <c r="L1320" s="203">
        <f ca="1">IFERROR(__xludf.DUMMYFUNCTION("""COMPUTED_VALUE"""),2180.91)</f>
        <v>2180.91</v>
      </c>
      <c r="M1320" s="33" t="str">
        <f ca="1">IFERROR(__xludf.DUMMYFUNCTION("""COMPUTED_VALUE"""),"03 ORL")</f>
        <v>03 ORL</v>
      </c>
      <c r="N1320" s="33" t="str">
        <f ca="1">IFERROR(__xludf.DUMMYFUNCTION("""COMPUTED_VALUE"""),"06 ORL")</f>
        <v>06 ORL</v>
      </c>
      <c r="O1320" s="33" t="str">
        <f ca="1">IFERROR(__xludf.DUMMYFUNCTION("""COMPUTED_VALUE"""),"Dr, Carlos Félix Asensio Nieto")</f>
        <v>Dr, Carlos Félix Asensio Nieto</v>
      </c>
      <c r="P1320" s="33" t="str">
        <f ca="1">IFERROR(__xludf.DUMMYFUNCTION("""COMPUTED_VALUE"""),"Lisandro Russian (Madrid, Cáceres, Toledo, Talavera Y Logroño)")</f>
        <v>Lisandro Russian (Madrid, Cáceres, Toledo, Talavera Y Logroño)</v>
      </c>
    </row>
    <row r="1321" spans="2:16">
      <c r="B1321" s="33">
        <f ca="1">IFERROR(__xludf.DUMMYFUNCTION("""COMPUTED_VALUE"""),2025)</f>
        <v>2025</v>
      </c>
      <c r="C1321" s="33">
        <f ca="1">IFERROR(__xludf.DUMMYFUNCTION("""COMPUTED_VALUE"""),10)</f>
        <v>10</v>
      </c>
      <c r="D1321" s="33" t="str">
        <f ca="1">IFERROR(__xludf.DUMMYFUNCTION("""COMPUTED_VALUE"""),"NO")</f>
        <v>NO</v>
      </c>
      <c r="E1321" s="33" t="str">
        <f ca="1">IFERROR(__xludf.DUMMYFUNCTION("""COMPUTED_VALUE"""),"Sevilla- Montoto")</f>
        <v>Sevilla- Montoto</v>
      </c>
      <c r="F1321" s="57">
        <f ca="1">IFERROR(__xludf.DUMMYFUNCTION("""COMPUTED_VALUE"""),45953)</f>
        <v>45953</v>
      </c>
      <c r="G1321" s="57">
        <f ca="1">IFERROR(__xludf.DUMMYFUNCTION("""COMPUTED_VALUE"""),45911)</f>
        <v>45911</v>
      </c>
      <c r="H1321" s="33" t="str">
        <f ca="1">IFERROR(__xludf.DUMMYFUNCTION("""COMPUTED_VALUE"""),"Montoto")</f>
        <v>Montoto</v>
      </c>
      <c r="I1321" s="33" t="str">
        <f ca="1">IFERROR(__xludf.DUMMYFUNCTION("""COMPUTED_VALUE"""),"C202591214835324")</f>
        <v>C202591214835324</v>
      </c>
      <c r="J1321" s="33" t="str">
        <f ca="1">IFERROR(__xludf.DUMMYFUNCTION("""COMPUTED_VALUE"""),"CONCEPCION QUINTERO MORENO")</f>
        <v>CONCEPCION QUINTERO MORENO</v>
      </c>
      <c r="K1321" s="33">
        <f ca="1">IFERROR(__xludf.DUMMYFUNCTION("""COMPUTED_VALUE"""),2)</f>
        <v>2</v>
      </c>
      <c r="L1321" s="203">
        <f ca="1">IFERROR(__xludf.DUMMYFUNCTION("""COMPUTED_VALUE"""),3631.82)</f>
        <v>3631.82</v>
      </c>
      <c r="M1321" s="33" t="str">
        <f ca="1">IFERROR(__xludf.DUMMYFUNCTION("""COMPUTED_VALUE"""),"04 TIENDA")</f>
        <v>04 TIENDA</v>
      </c>
      <c r="N1321" s="33" t="str">
        <f ca="1">IFERROR(__xludf.DUMMYFUNCTION("""COMPUTED_VALUE"""),"07 BOCA/BOCA")</f>
        <v>07 BOCA/BOCA</v>
      </c>
      <c r="O1321" s="33" t="str">
        <f ca="1">IFERROR(__xludf.DUMMYFUNCTION("""COMPUTED_VALUE"""),"Dr, José María Hernández Hernández")</f>
        <v>Dr, José María Hernández Hernández</v>
      </c>
      <c r="P1321" s="33" t="str">
        <f ca="1">IFERROR(__xludf.DUMMYFUNCTION("""COMPUTED_VALUE"""),"Luis Alberto Rodríguez (Andalucía y Badajoz)")</f>
        <v>Luis Alberto Rodríguez (Andalucía y Badajoz)</v>
      </c>
    </row>
    <row r="1322" spans="2:16">
      <c r="B1322" s="33">
        <f ca="1">IFERROR(__xludf.DUMMYFUNCTION("""COMPUTED_VALUE"""),2025)</f>
        <v>2025</v>
      </c>
      <c r="C1322" s="33">
        <f ca="1">IFERROR(__xludf.DUMMYFUNCTION("""COMPUTED_VALUE"""),10)</f>
        <v>10</v>
      </c>
      <c r="D1322" s="33" t="str">
        <f ca="1">IFERROR(__xludf.DUMMYFUNCTION("""COMPUTED_VALUE"""),"NO")</f>
        <v>NO</v>
      </c>
      <c r="E1322" s="33" t="str">
        <f ca="1">IFERROR(__xludf.DUMMYFUNCTION("""COMPUTED_VALUE"""),"Madrid- Costa Rica")</f>
        <v>Madrid- Costa Rica</v>
      </c>
      <c r="F1322" s="57">
        <f ca="1">IFERROR(__xludf.DUMMYFUNCTION("""COMPUTED_VALUE"""),45954)</f>
        <v>45954</v>
      </c>
      <c r="G1322" s="57">
        <f ca="1">IFERROR(__xludf.DUMMYFUNCTION("""COMPUTED_VALUE"""),45923)</f>
        <v>45923</v>
      </c>
      <c r="H1322" s="33" t="str">
        <f ca="1">IFERROR(__xludf.DUMMYFUNCTION("""COMPUTED_VALUE"""),"Costa Rica")</f>
        <v>Costa Rica</v>
      </c>
      <c r="I1322" s="33" t="str">
        <f ca="1">IFERROR(__xludf.DUMMYFUNCTION("""COMPUTED_VALUE"""),"C2025925181819564")</f>
        <v>C2025925181819564</v>
      </c>
      <c r="J1322" s="33" t="str">
        <f ca="1">IFERROR(__xludf.DUMMYFUNCTION("""COMPUTED_VALUE"""),"DOLORES GONZALEZ DURO")</f>
        <v>DOLORES GONZALEZ DURO</v>
      </c>
      <c r="K1322" s="33">
        <f ca="1">IFERROR(__xludf.DUMMYFUNCTION("""COMPUTED_VALUE"""),2)</f>
        <v>2</v>
      </c>
      <c r="L1322" s="203">
        <f ca="1">IFERROR(__xludf.DUMMYFUNCTION("""COMPUTED_VALUE"""),3631.82)</f>
        <v>3631.82</v>
      </c>
      <c r="M1322" s="33" t="str">
        <f ca="1">IFERROR(__xludf.DUMMYFUNCTION("""COMPUTED_VALUE"""),"03 ORL")</f>
        <v>03 ORL</v>
      </c>
      <c r="N1322" s="33" t="str">
        <f ca="1">IFERROR(__xludf.DUMMYFUNCTION("""COMPUTED_VALUE"""),"06 ORL")</f>
        <v>06 ORL</v>
      </c>
      <c r="O1322" s="33" t="str">
        <f ca="1">IFERROR(__xludf.DUMMYFUNCTION("""COMPUTED_VALUE"""),"Dr, Antonio Bueno Ríos")</f>
        <v>Dr, Antonio Bueno Ríos</v>
      </c>
      <c r="P1322" s="33" t="str">
        <f ca="1">IFERROR(__xludf.DUMMYFUNCTION("""COMPUTED_VALUE"""),"Lisandro Russian (Madrid, Cáceres, Toledo, Talavera Y Logroño)")</f>
        <v>Lisandro Russian (Madrid, Cáceres, Toledo, Talavera Y Logroño)</v>
      </c>
    </row>
    <row r="1323" spans="2:16">
      <c r="B1323" s="33">
        <f ca="1">IFERROR(__xludf.DUMMYFUNCTION("""COMPUTED_VALUE"""),2025)</f>
        <v>2025</v>
      </c>
      <c r="C1323" s="33">
        <f ca="1">IFERROR(__xludf.DUMMYFUNCTION("""COMPUTED_VALUE"""),10)</f>
        <v>10</v>
      </c>
      <c r="D1323" s="33" t="str">
        <f ca="1">IFERROR(__xludf.DUMMYFUNCTION("""COMPUTED_VALUE"""),"NO")</f>
        <v>NO</v>
      </c>
      <c r="E1323" s="33" t="str">
        <f ca="1">IFERROR(__xludf.DUMMYFUNCTION("""COMPUTED_VALUE"""),"Ourense")</f>
        <v>Ourense</v>
      </c>
      <c r="F1323" s="57">
        <f ca="1">IFERROR(__xludf.DUMMYFUNCTION("""COMPUTED_VALUE"""),45954)</f>
        <v>45954</v>
      </c>
      <c r="G1323" s="57">
        <f ca="1">IFERROR(__xludf.DUMMYFUNCTION("""COMPUTED_VALUE"""),45912)</f>
        <v>45912</v>
      </c>
      <c r="H1323" s="33" t="str">
        <f ca="1">IFERROR(__xludf.DUMMYFUNCTION("""COMPUTED_VALUE"""),"Orense")</f>
        <v>Orense</v>
      </c>
      <c r="I1323" s="33" t="str">
        <f ca="1">IFERROR(__xludf.DUMMYFUNCTION("""COMPUTED_VALUE"""),"C202591816163459")</f>
        <v>C202591816163459</v>
      </c>
      <c r="J1323" s="33" t="str">
        <f ca="1">IFERROR(__xludf.DUMMYFUNCTION("""COMPUTED_VALUE"""),"OLGA FERNANDEZ MARTINEZ")</f>
        <v>OLGA FERNANDEZ MARTINEZ</v>
      </c>
      <c r="K1323" s="33">
        <f ca="1">IFERROR(__xludf.DUMMYFUNCTION("""COMPUTED_VALUE"""),2)</f>
        <v>2</v>
      </c>
      <c r="L1323" s="203">
        <f ca="1">IFERROR(__xludf.DUMMYFUNCTION("""COMPUTED_VALUE"""),4136.36)</f>
        <v>4136.3599999999997</v>
      </c>
      <c r="M1323" s="33" t="str">
        <f ca="1">IFERROR(__xludf.DUMMYFUNCTION("""COMPUTED_VALUE"""),"03 ORL")</f>
        <v>03 ORL</v>
      </c>
      <c r="N1323" s="33" t="str">
        <f ca="1">IFERROR(__xludf.DUMMYFUNCTION("""COMPUTED_VALUE"""),"06 ORL")</f>
        <v>06 ORL</v>
      </c>
      <c r="O1323" s="33" t="str">
        <f ca="1">IFERROR(__xludf.DUMMYFUNCTION("""COMPUTED_VALUE"""),"Dra, María Rey Marcos")</f>
        <v>Dra, María Rey Marcos</v>
      </c>
      <c r="P1323" s="33" t="str">
        <f ca="1">IFERROR(__xludf.DUMMYFUNCTION("""COMPUTED_VALUE"""),"Roberto Pereira (Galicia)")</f>
        <v>Roberto Pereira (Galicia)</v>
      </c>
    </row>
    <row r="1324" spans="2:16">
      <c r="B1324" s="33">
        <f ca="1">IFERROR(__xludf.DUMMYFUNCTION("""COMPUTED_VALUE"""),2025)</f>
        <v>2025</v>
      </c>
      <c r="C1324" s="33">
        <f ca="1">IFERROR(__xludf.DUMMYFUNCTION("""COMPUTED_VALUE"""),10)</f>
        <v>10</v>
      </c>
      <c r="D1324" s="33" t="str">
        <f ca="1">IFERROR(__xludf.DUMMYFUNCTION("""COMPUTED_VALUE"""),"NO")</f>
        <v>NO</v>
      </c>
      <c r="E1324" s="33" t="str">
        <f ca="1">IFERROR(__xludf.DUMMYFUNCTION("""COMPUTED_VALUE"""),"Madrid- La Oca")</f>
        <v>Madrid- La Oca</v>
      </c>
      <c r="F1324" s="57">
        <f ca="1">IFERROR(__xludf.DUMMYFUNCTION("""COMPUTED_VALUE"""),45954)</f>
        <v>45954</v>
      </c>
      <c r="G1324" s="57">
        <f ca="1">IFERROR(__xludf.DUMMYFUNCTION("""COMPUTED_VALUE"""),45930)</f>
        <v>45930</v>
      </c>
      <c r="H1324" s="33" t="str">
        <f ca="1">IFERROR(__xludf.DUMMYFUNCTION("""COMPUTED_VALUE"""),"La Oca")</f>
        <v>La Oca</v>
      </c>
      <c r="I1324" s="33" t="str">
        <f ca="1">IFERROR(__xludf.DUMMYFUNCTION("""COMPUTED_VALUE"""),"C202510317027550")</f>
        <v>C202510317027550</v>
      </c>
      <c r="J1324" s="33" t="str">
        <f ca="1">IFERROR(__xludf.DUMMYFUNCTION("""COMPUTED_VALUE"""),"JOSEFA MARIA ALVAREZ GARCIA")</f>
        <v>JOSEFA MARIA ALVAREZ GARCIA</v>
      </c>
      <c r="K1324" s="33">
        <f ca="1">IFERROR(__xludf.DUMMYFUNCTION("""COMPUTED_VALUE"""),2)</f>
        <v>2</v>
      </c>
      <c r="L1324" s="203">
        <f ca="1">IFERROR(__xludf.DUMMYFUNCTION("""COMPUTED_VALUE"""),3631.82)</f>
        <v>3631.82</v>
      </c>
      <c r="M1324" s="33" t="str">
        <f ca="1">IFERROR(__xludf.DUMMYFUNCTION("""COMPUTED_VALUE"""),"03 ORL")</f>
        <v>03 ORL</v>
      </c>
      <c r="N1324" s="33" t="str">
        <f ca="1">IFERROR(__xludf.DUMMYFUNCTION("""COMPUTED_VALUE"""),"06 ORL")</f>
        <v>06 ORL</v>
      </c>
      <c r="O1324" s="33" t="str">
        <f ca="1">IFERROR(__xludf.DUMMYFUNCTION("""COMPUTED_VALUE"""),"Dr, José Joaquín Gutiérrez Barquín")</f>
        <v>Dr, José Joaquín Gutiérrez Barquín</v>
      </c>
      <c r="P1324" s="33" t="str">
        <f ca="1">IFERROR(__xludf.DUMMYFUNCTION("""COMPUTED_VALUE"""),"Maika Blázquez (Madrid)")</f>
        <v>Maika Blázquez (Madrid)</v>
      </c>
    </row>
    <row r="1325" spans="2:16">
      <c r="B1325" s="33">
        <f ca="1">IFERROR(__xludf.DUMMYFUNCTION("""COMPUTED_VALUE"""),2025)</f>
        <v>2025</v>
      </c>
      <c r="C1325" s="33">
        <f ca="1">IFERROR(__xludf.DUMMYFUNCTION("""COMPUTED_VALUE"""),10)</f>
        <v>10</v>
      </c>
      <c r="D1325" s="33" t="str">
        <f ca="1">IFERROR(__xludf.DUMMYFUNCTION("""COMPUTED_VALUE"""),"NO")</f>
        <v>NO</v>
      </c>
      <c r="E1325" s="33" t="str">
        <f ca="1">IFERROR(__xludf.DUMMYFUNCTION("""COMPUTED_VALUE"""),"Albacete")</f>
        <v>Albacete</v>
      </c>
      <c r="F1325" s="57">
        <f ca="1">IFERROR(__xludf.DUMMYFUNCTION("""COMPUTED_VALUE"""),45954)</f>
        <v>45954</v>
      </c>
      <c r="G1325" s="57">
        <f ca="1">IFERROR(__xludf.DUMMYFUNCTION("""COMPUTED_VALUE"""),45904)</f>
        <v>45904</v>
      </c>
      <c r="H1325" s="33" t="str">
        <f ca="1">IFERROR(__xludf.DUMMYFUNCTION("""COMPUTED_VALUE"""),"Albacete")</f>
        <v>Albacete</v>
      </c>
      <c r="I1325" s="33" t="str">
        <f ca="1">IFERROR(__xludf.DUMMYFUNCTION("""COMPUTED_VALUE"""),"C2025915103439346")</f>
        <v>C2025915103439346</v>
      </c>
      <c r="J1325" s="33" t="str">
        <f ca="1">IFERROR(__xludf.DUMMYFUNCTION("""COMPUTED_VALUE"""),"CATALINA GARCIA CANTOS")</f>
        <v>CATALINA GARCIA CANTOS</v>
      </c>
      <c r="K1325" s="33">
        <f ca="1">IFERROR(__xludf.DUMMYFUNCTION("""COMPUTED_VALUE"""),2)</f>
        <v>2</v>
      </c>
      <c r="L1325" s="203">
        <f ca="1">IFERROR(__xludf.DUMMYFUNCTION("""COMPUTED_VALUE"""),2692.31)</f>
        <v>2692.31</v>
      </c>
      <c r="M1325" s="33" t="str">
        <f ca="1">IFERROR(__xludf.DUMMYFUNCTION("""COMPUTED_VALUE"""),"03 ORL")</f>
        <v>03 ORL</v>
      </c>
      <c r="N1325" s="33" t="str">
        <f ca="1">IFERROR(__xludf.DUMMYFUNCTION("""COMPUTED_VALUE"""),"22 AUDIOMETRIA CLINICA")</f>
        <v>22 AUDIOMETRIA CLINICA</v>
      </c>
      <c r="O1325" s="33" t="str">
        <f ca="1">IFERROR(__xludf.DUMMYFUNCTION("""COMPUTED_VALUE"""),"Dr, Máximo Rafael García Rodríguez")</f>
        <v>Dr, Máximo Rafael García Rodríguez</v>
      </c>
      <c r="P1325" s="33" t="str">
        <f ca="1">IFERROR(__xludf.DUMMYFUNCTION("""COMPUTED_VALUE"""),"Iván Sánchez (Levante Y Albacete)")</f>
        <v>Iván Sánchez (Levante Y Albacete)</v>
      </c>
    </row>
    <row r="1326" spans="2:16">
      <c r="B1326" s="33">
        <f ca="1">IFERROR(__xludf.DUMMYFUNCTION("""COMPUTED_VALUE"""),2025)</f>
        <v>2025</v>
      </c>
      <c r="C1326" s="33">
        <f ca="1">IFERROR(__xludf.DUMMYFUNCTION("""COMPUTED_VALUE"""),10)</f>
        <v>10</v>
      </c>
      <c r="D1326" s="33" t="str">
        <f ca="1">IFERROR(__xludf.DUMMYFUNCTION("""COMPUTED_VALUE"""),"NO")</f>
        <v>NO</v>
      </c>
      <c r="E1326" s="33" t="str">
        <f ca="1">IFERROR(__xludf.DUMMYFUNCTION("""COMPUTED_VALUE"""),"Madrid- Juan Bravo")</f>
        <v>Madrid- Juan Bravo</v>
      </c>
      <c r="F1326" s="57">
        <f ca="1">IFERROR(__xludf.DUMMYFUNCTION("""COMPUTED_VALUE"""),45954)</f>
        <v>45954</v>
      </c>
      <c r="G1326" s="57">
        <f ca="1">IFERROR(__xludf.DUMMYFUNCTION("""COMPUTED_VALUE"""),45939)</f>
        <v>45939</v>
      </c>
      <c r="H1326" s="33" t="str">
        <f ca="1">IFERROR(__xludf.DUMMYFUNCTION("""COMPUTED_VALUE"""),"Juan Bravo")</f>
        <v>Juan Bravo</v>
      </c>
      <c r="I1326" s="33" t="str">
        <f ca="1">IFERROR(__xludf.DUMMYFUNCTION("""COMPUTED_VALUE"""),"C2025101013615270")</f>
        <v>C2025101013615270</v>
      </c>
      <c r="J1326" s="33" t="str">
        <f ca="1">IFERROR(__xludf.DUMMYFUNCTION("""COMPUTED_VALUE"""),"ANGEL BOIXADOS RUIZ")</f>
        <v>ANGEL BOIXADOS RUIZ</v>
      </c>
      <c r="K1326" s="33">
        <f ca="1">IFERROR(__xludf.DUMMYFUNCTION("""COMPUTED_VALUE"""),2)</f>
        <v>2</v>
      </c>
      <c r="L1326" s="203">
        <f ca="1">IFERROR(__xludf.DUMMYFUNCTION("""COMPUTED_VALUE"""),4136.36)</f>
        <v>4136.3599999999997</v>
      </c>
      <c r="M1326" s="33" t="str">
        <f ca="1">IFERROR(__xludf.DUMMYFUNCTION("""COMPUTED_VALUE"""),"03 ORL")</f>
        <v>03 ORL</v>
      </c>
      <c r="N1326" s="33" t="str">
        <f ca="1">IFERROR(__xludf.DUMMYFUNCTION("""COMPUTED_VALUE"""),"06 ORL")</f>
        <v>06 ORL</v>
      </c>
      <c r="O1326" s="33" t="str">
        <f ca="1">IFERROR(__xludf.DUMMYFUNCTION("""COMPUTED_VALUE"""),"Dr, Carlos Barajas del Rosal")</f>
        <v>Dr, Carlos Barajas del Rosal</v>
      </c>
      <c r="P1326" s="33" t="str">
        <f ca="1">IFERROR(__xludf.DUMMYFUNCTION("""COMPUTED_VALUE"""),"Lisandro Russian (Madrid, Cáceres, Toledo, Talavera Y Logroño)")</f>
        <v>Lisandro Russian (Madrid, Cáceres, Toledo, Talavera Y Logroño)</v>
      </c>
    </row>
    <row r="1327" spans="2:16">
      <c r="B1327" s="33">
        <f ca="1">IFERROR(__xludf.DUMMYFUNCTION("""COMPUTED_VALUE"""),2025)</f>
        <v>2025</v>
      </c>
      <c r="C1327" s="33">
        <f ca="1">IFERROR(__xludf.DUMMYFUNCTION("""COMPUTED_VALUE"""),10)</f>
        <v>10</v>
      </c>
      <c r="D1327" s="33" t="str">
        <f ca="1">IFERROR(__xludf.DUMMYFUNCTION("""COMPUTED_VALUE"""),"NO")</f>
        <v>NO</v>
      </c>
      <c r="E1327" s="33" t="str">
        <f ca="1">IFERROR(__xludf.DUMMYFUNCTION("""COMPUTED_VALUE"""),"Lugo")</f>
        <v>Lugo</v>
      </c>
      <c r="F1327" s="57">
        <f ca="1">IFERROR(__xludf.DUMMYFUNCTION("""COMPUTED_VALUE"""),45954)</f>
        <v>45954</v>
      </c>
      <c r="G1327" s="57">
        <f ca="1">IFERROR(__xludf.DUMMYFUNCTION("""COMPUTED_VALUE"""),45924)</f>
        <v>45924</v>
      </c>
      <c r="H1327" s="33" t="str">
        <f ca="1">IFERROR(__xludf.DUMMYFUNCTION("""COMPUTED_VALUE"""),"Lugo")</f>
        <v>Lugo</v>
      </c>
      <c r="I1327" s="33" t="str">
        <f ca="1">IFERROR(__xludf.DUMMYFUNCTION("""COMPUTED_VALUE"""),"C2025929105149920")</f>
        <v>C2025929105149920</v>
      </c>
      <c r="J1327" s="33" t="str">
        <f ca="1">IFERROR(__xludf.DUMMYFUNCTION("""COMPUTED_VALUE"""),"MARIA ANGELES GARCIA DIAZ")</f>
        <v>MARIA ANGELES GARCIA DIAZ</v>
      </c>
      <c r="K1327" s="33">
        <f ca="1">IFERROR(__xludf.DUMMYFUNCTION("""COMPUTED_VALUE"""),2)</f>
        <v>2</v>
      </c>
      <c r="L1327" s="203">
        <f ca="1">IFERROR(__xludf.DUMMYFUNCTION("""COMPUTED_VALUE"""),4136.36)</f>
        <v>4136.3599999999997</v>
      </c>
      <c r="M1327" s="33" t="str">
        <f ca="1">IFERROR(__xludf.DUMMYFUNCTION("""COMPUTED_VALUE"""),"03 ORL")</f>
        <v>03 ORL</v>
      </c>
      <c r="N1327" s="33" t="str">
        <f ca="1">IFERROR(__xludf.DUMMYFUNCTION("""COMPUTED_VALUE"""),"06 ORL")</f>
        <v>06 ORL</v>
      </c>
      <c r="O1327" s="33" t="str">
        <f ca="1">IFERROR(__xludf.DUMMYFUNCTION("""COMPUTED_VALUE"""),"Dr, Pedro Juiz López")</f>
        <v>Dr, Pedro Juiz López</v>
      </c>
      <c r="P1327" s="33" t="str">
        <f ca="1">IFERROR(__xludf.DUMMYFUNCTION("""COMPUTED_VALUE"""),"Roberto Pereira (Galicia)")</f>
        <v>Roberto Pereira (Galicia)</v>
      </c>
    </row>
    <row r="1328" spans="2:16">
      <c r="B1328" s="33">
        <f ca="1">IFERROR(__xludf.DUMMYFUNCTION("""COMPUTED_VALUE"""),2025)</f>
        <v>2025</v>
      </c>
      <c r="C1328" s="33">
        <f ca="1">IFERROR(__xludf.DUMMYFUNCTION("""COMPUTED_VALUE"""),10)</f>
        <v>10</v>
      </c>
      <c r="D1328" s="33" t="str">
        <f ca="1">IFERROR(__xludf.DUMMYFUNCTION("""COMPUTED_VALUE"""),"NO")</f>
        <v>NO</v>
      </c>
      <c r="E1328" s="33" t="str">
        <f ca="1">IFERROR(__xludf.DUMMYFUNCTION("""COMPUTED_VALUE"""),"Fuenlabrada")</f>
        <v>Fuenlabrada</v>
      </c>
      <c r="F1328" s="57">
        <f ca="1">IFERROR(__xludf.DUMMYFUNCTION("""COMPUTED_VALUE"""),45954)</f>
        <v>45954</v>
      </c>
      <c r="G1328" s="57">
        <f ca="1">IFERROR(__xludf.DUMMYFUNCTION("""COMPUTED_VALUE"""),45925)</f>
        <v>45925</v>
      </c>
      <c r="H1328" s="33" t="str">
        <f ca="1">IFERROR(__xludf.DUMMYFUNCTION("""COMPUTED_VALUE"""),"Fuenlabrada")</f>
        <v>Fuenlabrada</v>
      </c>
      <c r="I1328" s="33" t="str">
        <f ca="1">IFERROR(__xludf.DUMMYFUNCTION("""COMPUTED_VALUE"""),"C2025930175639710")</f>
        <v>C2025930175639710</v>
      </c>
      <c r="J1328" s="33" t="str">
        <f ca="1">IFERROR(__xludf.DUMMYFUNCTION("""COMPUTED_VALUE"""),"JUAN ANTONIO MARTIN GARCIA")</f>
        <v>JUAN ANTONIO MARTIN GARCIA</v>
      </c>
      <c r="K1328" s="33">
        <f ca="1">IFERROR(__xludf.DUMMYFUNCTION("""COMPUTED_VALUE"""),1)</f>
        <v>1</v>
      </c>
      <c r="L1328" s="203">
        <f ca="1">IFERROR(__xludf.DUMMYFUNCTION("""COMPUTED_VALUE"""),2180.91)</f>
        <v>2180.91</v>
      </c>
      <c r="M1328" s="33" t="str">
        <f ca="1">IFERROR(__xludf.DUMMYFUNCTION("""COMPUTED_VALUE"""),"03 ORL")</f>
        <v>03 ORL</v>
      </c>
      <c r="N1328" s="33" t="str">
        <f ca="1">IFERROR(__xludf.DUMMYFUNCTION("""COMPUTED_VALUE"""),"06 ORL")</f>
        <v>06 ORL</v>
      </c>
      <c r="O1328" s="33" t="str">
        <f ca="1">IFERROR(__xludf.DUMMYFUNCTION("""COMPUTED_VALUE"""),"Dra, Estefania Miranda Sánchez")</f>
        <v>Dra, Estefania Miranda Sánchez</v>
      </c>
      <c r="P1328" s="33" t="str">
        <f ca="1">IFERROR(__xludf.DUMMYFUNCTION("""COMPUTED_VALUE"""),"Maika Blázquez (Madrid)")</f>
        <v>Maika Blázquez (Madrid)</v>
      </c>
    </row>
    <row r="1329" spans="2:16">
      <c r="B1329" s="33">
        <f ca="1">IFERROR(__xludf.DUMMYFUNCTION("""COMPUTED_VALUE"""),2025)</f>
        <v>2025</v>
      </c>
      <c r="C1329" s="33">
        <f ca="1">IFERROR(__xludf.DUMMYFUNCTION("""COMPUTED_VALUE"""),10)</f>
        <v>10</v>
      </c>
      <c r="D1329" s="33" t="str">
        <f ca="1">IFERROR(__xludf.DUMMYFUNCTION("""COMPUTED_VALUE"""),"NO")</f>
        <v>NO</v>
      </c>
      <c r="E1329" s="33" t="str">
        <f ca="1">IFERROR(__xludf.DUMMYFUNCTION("""COMPUTED_VALUE"""),"Madrid- Canillas")</f>
        <v>Madrid- Canillas</v>
      </c>
      <c r="F1329" s="57">
        <f ca="1">IFERROR(__xludf.DUMMYFUNCTION("""COMPUTED_VALUE"""),45954)</f>
        <v>45954</v>
      </c>
      <c r="G1329" s="57">
        <f ca="1">IFERROR(__xludf.DUMMYFUNCTION("""COMPUTED_VALUE"""),45936)</f>
        <v>45936</v>
      </c>
      <c r="H1329" s="33" t="str">
        <f ca="1">IFERROR(__xludf.DUMMYFUNCTION("""COMPUTED_VALUE"""),"Canillas")</f>
        <v>Canillas</v>
      </c>
      <c r="I1329" s="33" t="str">
        <f ca="1">IFERROR(__xludf.DUMMYFUNCTION("""COMPUTED_VALUE"""),"C202510816030138")</f>
        <v>C202510816030138</v>
      </c>
      <c r="J1329" s="33" t="str">
        <f ca="1">IFERROR(__xludf.DUMMYFUNCTION("""COMPUTED_VALUE"""),"MARÍA DEL CARMEN MUÑOZ ROMERO")</f>
        <v>MARÍA DEL CARMEN MUÑOZ ROMERO</v>
      </c>
      <c r="K1329" s="33">
        <f ca="1">IFERROR(__xludf.DUMMYFUNCTION("""COMPUTED_VALUE"""),2)</f>
        <v>2</v>
      </c>
      <c r="L1329" s="203">
        <f ca="1">IFERROR(__xludf.DUMMYFUNCTION("""COMPUTED_VALUE"""),3631.82)</f>
        <v>3631.82</v>
      </c>
      <c r="M1329" s="33" t="str">
        <f ca="1">IFERROR(__xludf.DUMMYFUNCTION("""COMPUTED_VALUE"""),"03 ORL")</f>
        <v>03 ORL</v>
      </c>
      <c r="N1329" s="33" t="str">
        <f ca="1">IFERROR(__xludf.DUMMYFUNCTION("""COMPUTED_VALUE"""),"06 ORL")</f>
        <v>06 ORL</v>
      </c>
      <c r="O1329" s="33" t="str">
        <f ca="1">IFERROR(__xludf.DUMMYFUNCTION("""COMPUTED_VALUE"""),"Dra, Laura Yeguas Ramírez")</f>
        <v>Dra, Laura Yeguas Ramírez</v>
      </c>
      <c r="P1329" s="33" t="str">
        <f ca="1">IFERROR(__xludf.DUMMYFUNCTION("""COMPUTED_VALUE"""),"Maika Blázquez (Madrid)")</f>
        <v>Maika Blázquez (Madrid)</v>
      </c>
    </row>
    <row r="1330" spans="2:16">
      <c r="B1330" s="33">
        <f ca="1">IFERROR(__xludf.DUMMYFUNCTION("""COMPUTED_VALUE"""),2025)</f>
        <v>2025</v>
      </c>
      <c r="C1330" s="33">
        <f ca="1">IFERROR(__xludf.DUMMYFUNCTION("""COMPUTED_VALUE"""),10)</f>
        <v>10</v>
      </c>
      <c r="D1330" s="33" t="str">
        <f ca="1">IFERROR(__xludf.DUMMYFUNCTION("""COMPUTED_VALUE"""),"NO")</f>
        <v>NO</v>
      </c>
      <c r="E1330" s="33" t="str">
        <f ca="1">IFERROR(__xludf.DUMMYFUNCTION("""COMPUTED_VALUE"""),"Valencia- Cádiz")</f>
        <v>Valencia- Cádiz</v>
      </c>
      <c r="F1330" s="57">
        <f ca="1">IFERROR(__xludf.DUMMYFUNCTION("""COMPUTED_VALUE"""),45954)</f>
        <v>45954</v>
      </c>
      <c r="G1330" s="57">
        <f ca="1">IFERROR(__xludf.DUMMYFUNCTION("""COMPUTED_VALUE"""),45918)</f>
        <v>45918</v>
      </c>
      <c r="H1330" s="33" t="str">
        <f ca="1">IFERROR(__xludf.DUMMYFUNCTION("""COMPUTED_VALUE"""),"Valencia- Cádiz")</f>
        <v>Valencia- Cádiz</v>
      </c>
      <c r="I1330" s="33" t="str">
        <f ca="1">IFERROR(__xludf.DUMMYFUNCTION("""COMPUTED_VALUE"""),"C2025924162717423")</f>
        <v>C2025924162717423</v>
      </c>
      <c r="J1330" s="33" t="str">
        <f ca="1">IFERROR(__xludf.DUMMYFUNCTION("""COMPUTED_VALUE"""),"JOSE NAVARRETE GIL")</f>
        <v>JOSE NAVARRETE GIL</v>
      </c>
      <c r="K1330" s="33">
        <f ca="1">IFERROR(__xludf.DUMMYFUNCTION("""COMPUTED_VALUE"""),2)</f>
        <v>2</v>
      </c>
      <c r="L1330" s="203">
        <f ca="1">IFERROR(__xludf.DUMMYFUNCTION("""COMPUTED_VALUE"""),4136.36)</f>
        <v>4136.3599999999997</v>
      </c>
      <c r="M1330" s="33" t="str">
        <f ca="1">IFERROR(__xludf.DUMMYFUNCTION("""COMPUTED_VALUE"""),"03 ORL")</f>
        <v>03 ORL</v>
      </c>
      <c r="N1330" s="33" t="str">
        <f ca="1">IFERROR(__xludf.DUMMYFUNCTION("""COMPUTED_VALUE"""),"06 ORL")</f>
        <v>06 ORL</v>
      </c>
      <c r="O1330" s="33" t="str">
        <f ca="1">IFERROR(__xludf.DUMMYFUNCTION("""COMPUTED_VALUE"""),"Dra Mª Soledad Frías Moya-Angeler")</f>
        <v>Dra Mª Soledad Frías Moya-Angeler</v>
      </c>
      <c r="P1330" s="33" t="str">
        <f ca="1">IFERROR(__xludf.DUMMYFUNCTION("""COMPUTED_VALUE"""),"Ramon Ferrando(Valencia)")</f>
        <v>Ramon Ferrando(Valencia)</v>
      </c>
    </row>
    <row r="1331" spans="2:16">
      <c r="B1331" s="33">
        <f ca="1">IFERROR(__xludf.DUMMYFUNCTION("""COMPUTED_VALUE"""),2025)</f>
        <v>2025</v>
      </c>
      <c r="C1331" s="33">
        <f ca="1">IFERROR(__xludf.DUMMYFUNCTION("""COMPUTED_VALUE"""),10)</f>
        <v>10</v>
      </c>
      <c r="D1331" s="33" t="str">
        <f ca="1">IFERROR(__xludf.DUMMYFUNCTION("""COMPUTED_VALUE"""),"NO")</f>
        <v>NO</v>
      </c>
      <c r="E1331" s="33" t="str">
        <f ca="1">IFERROR(__xludf.DUMMYFUNCTION("""COMPUTED_VALUE"""),"Albacete")</f>
        <v>Albacete</v>
      </c>
      <c r="F1331" s="57">
        <f ca="1">IFERROR(__xludf.DUMMYFUNCTION("""COMPUTED_VALUE"""),45954)</f>
        <v>45954</v>
      </c>
      <c r="G1331" s="57">
        <f ca="1">IFERROR(__xludf.DUMMYFUNCTION("""COMPUTED_VALUE"""),45937)</f>
        <v>45937</v>
      </c>
      <c r="H1331" s="33" t="str">
        <f ca="1">IFERROR(__xludf.DUMMYFUNCTION("""COMPUTED_VALUE"""),"Albacete")</f>
        <v>Albacete</v>
      </c>
      <c r="I1331" s="33" t="str">
        <f ca="1">IFERROR(__xludf.DUMMYFUNCTION("""COMPUTED_VALUE"""),"C20251071845263")</f>
        <v>C20251071845263</v>
      </c>
      <c r="J1331" s="33" t="str">
        <f ca="1">IFERROR(__xludf.DUMMYFUNCTION("""COMPUTED_VALUE"""),"MARIA LUZ TORNERO MARTÍNEZ")</f>
        <v>MARIA LUZ TORNERO MARTÍNEZ</v>
      </c>
      <c r="K1331" s="33">
        <f ca="1">IFERROR(__xludf.DUMMYFUNCTION("""COMPUTED_VALUE"""),2)</f>
        <v>2</v>
      </c>
      <c r="L1331" s="203">
        <f ca="1">IFERROR(__xludf.DUMMYFUNCTION("""COMPUTED_VALUE"""),3631.82)</f>
        <v>3631.82</v>
      </c>
      <c r="M1331" s="33" t="str">
        <f ca="1">IFERROR(__xludf.DUMMYFUNCTION("""COMPUTED_VALUE"""),"03 ORL")</f>
        <v>03 ORL</v>
      </c>
      <c r="N1331" s="33" t="str">
        <f ca="1">IFERROR(__xludf.DUMMYFUNCTION("""COMPUTED_VALUE"""),"06 ORL")</f>
        <v>06 ORL</v>
      </c>
      <c r="O1331" s="33" t="str">
        <f ca="1">IFERROR(__xludf.DUMMYFUNCTION("""COMPUTED_VALUE"""),"Dr, Pedro Seguí Moya")</f>
        <v>Dr, Pedro Seguí Moya</v>
      </c>
      <c r="P1331" s="33" t="str">
        <f ca="1">IFERROR(__xludf.DUMMYFUNCTION("""COMPUTED_VALUE"""),"Iván Sánchez (Levante Y Albacete)")</f>
        <v>Iván Sánchez (Levante Y Albacete)</v>
      </c>
    </row>
    <row r="1332" spans="2:16">
      <c r="B1332" s="33">
        <f ca="1">IFERROR(__xludf.DUMMYFUNCTION("""COMPUTED_VALUE"""),2025)</f>
        <v>2025</v>
      </c>
      <c r="C1332" s="33">
        <f ca="1">IFERROR(__xludf.DUMMYFUNCTION("""COMPUTED_VALUE"""),10)</f>
        <v>10</v>
      </c>
      <c r="D1332" s="33" t="str">
        <f ca="1">IFERROR(__xludf.DUMMYFUNCTION("""COMPUTED_VALUE"""),"NO")</f>
        <v>NO</v>
      </c>
      <c r="E1332" s="33" t="str">
        <f ca="1">IFERROR(__xludf.DUMMYFUNCTION("""COMPUTED_VALUE"""),"Madrid- Canillas")</f>
        <v>Madrid- Canillas</v>
      </c>
      <c r="F1332" s="57">
        <f ca="1">IFERROR(__xludf.DUMMYFUNCTION("""COMPUTED_VALUE"""),45954)</f>
        <v>45954</v>
      </c>
      <c r="G1332" s="57">
        <f ca="1">IFERROR(__xludf.DUMMYFUNCTION("""COMPUTED_VALUE"""),45931)</f>
        <v>45931</v>
      </c>
      <c r="H1332" s="33" t="str">
        <f ca="1">IFERROR(__xludf.DUMMYFUNCTION("""COMPUTED_VALUE"""),"Canillas")</f>
        <v>Canillas</v>
      </c>
      <c r="I1332" s="33" t="str">
        <f ca="1">IFERROR(__xludf.DUMMYFUNCTION("""COMPUTED_VALUE"""),"C2025108114926102")</f>
        <v>C2025108114926102</v>
      </c>
      <c r="J1332" s="33" t="str">
        <f ca="1">IFERROR(__xludf.DUMMYFUNCTION("""COMPUTED_VALUE"""),"PEDRO CALLEJA DE LA SEDA")</f>
        <v>PEDRO CALLEJA DE LA SEDA</v>
      </c>
      <c r="K1332" s="33">
        <f ca="1">IFERROR(__xludf.DUMMYFUNCTION("""COMPUTED_VALUE"""),2)</f>
        <v>2</v>
      </c>
      <c r="L1332" s="203">
        <f ca="1">IFERROR(__xludf.DUMMYFUNCTION("""COMPUTED_VALUE"""),3631.82)</f>
        <v>3631.82</v>
      </c>
      <c r="M1332" s="33" t="str">
        <f ca="1">IFERROR(__xludf.DUMMYFUNCTION("""COMPUTED_VALUE"""),"03 ORL")</f>
        <v>03 ORL</v>
      </c>
      <c r="N1332" s="33" t="str">
        <f ca="1">IFERROR(__xludf.DUMMYFUNCTION("""COMPUTED_VALUE"""),"06 ORL")</f>
        <v>06 ORL</v>
      </c>
      <c r="O1332" s="33" t="str">
        <f ca="1">IFERROR(__xludf.DUMMYFUNCTION("""COMPUTED_VALUE"""),"No recuerda ORL")</f>
        <v>No recuerda ORL</v>
      </c>
      <c r="P1332" s="33" t="str">
        <f ca="1">IFERROR(__xludf.DUMMYFUNCTION("""COMPUTED_VALUE"""),"Maika Blázquez (Madrid)")</f>
        <v>Maika Blázquez (Madrid)</v>
      </c>
    </row>
    <row r="1333" spans="2:16">
      <c r="B1333" s="33">
        <f ca="1">IFERROR(__xludf.DUMMYFUNCTION("""COMPUTED_VALUE"""),2025)</f>
        <v>2025</v>
      </c>
      <c r="C1333" s="33">
        <f ca="1">IFERROR(__xludf.DUMMYFUNCTION("""COMPUTED_VALUE"""),10)</f>
        <v>10</v>
      </c>
      <c r="D1333" s="33" t="str">
        <f ca="1">IFERROR(__xludf.DUMMYFUNCTION("""COMPUTED_VALUE"""),"NO")</f>
        <v>NO</v>
      </c>
      <c r="E1333" s="33" t="str">
        <f ca="1">IFERROR(__xludf.DUMMYFUNCTION("""COMPUTED_VALUE"""),"Madrid- Canillas")</f>
        <v>Madrid- Canillas</v>
      </c>
      <c r="F1333" s="57">
        <f ca="1">IFERROR(__xludf.DUMMYFUNCTION("""COMPUTED_VALUE"""),45954)</f>
        <v>45954</v>
      </c>
      <c r="G1333" s="57">
        <f ca="1">IFERROR(__xludf.DUMMYFUNCTION("""COMPUTED_VALUE"""),45911)</f>
        <v>45911</v>
      </c>
      <c r="H1333" s="33" t="str">
        <f ca="1">IFERROR(__xludf.DUMMYFUNCTION("""COMPUTED_VALUE"""),"Canillas")</f>
        <v>Canillas</v>
      </c>
      <c r="I1333" s="33" t="str">
        <f ca="1">IFERROR(__xludf.DUMMYFUNCTION("""COMPUTED_VALUE"""),"C20251021105244267")</f>
        <v>C20251021105244267</v>
      </c>
      <c r="J1333" s="33" t="str">
        <f ca="1">IFERROR(__xludf.DUMMYFUNCTION("""COMPUTED_VALUE"""),"JOSE MARÍA PELÁEZ SASTRE")</f>
        <v>JOSE MARÍA PELÁEZ SASTRE</v>
      </c>
      <c r="K1333" s="33">
        <f ca="1">IFERROR(__xludf.DUMMYFUNCTION("""COMPUTED_VALUE"""),1)</f>
        <v>1</v>
      </c>
      <c r="L1333" s="203">
        <f ca="1">IFERROR(__xludf.DUMMYFUNCTION("""COMPUTED_VALUE"""),2481.82)</f>
        <v>2481.8200000000002</v>
      </c>
      <c r="M1333" s="33" t="str">
        <f ca="1">IFERROR(__xludf.DUMMYFUNCTION("""COMPUTED_VALUE"""),"03 ORL")</f>
        <v>03 ORL</v>
      </c>
      <c r="N1333" s="33" t="str">
        <f ca="1">IFERROR(__xludf.DUMMYFUNCTION("""COMPUTED_VALUE"""),"06 ORL")</f>
        <v>06 ORL</v>
      </c>
      <c r="O1333" s="33" t="str">
        <f ca="1">IFERROR(__xludf.DUMMYFUNCTION("""COMPUTED_VALUE"""),"No recuerda ORL")</f>
        <v>No recuerda ORL</v>
      </c>
      <c r="P1333" s="33" t="str">
        <f ca="1">IFERROR(__xludf.DUMMYFUNCTION("""COMPUTED_VALUE"""),"Maika Blázquez (Madrid)")</f>
        <v>Maika Blázquez (Madrid)</v>
      </c>
    </row>
    <row r="1334" spans="2:16">
      <c r="B1334" s="33">
        <f ca="1">IFERROR(__xludf.DUMMYFUNCTION("""COMPUTED_VALUE"""),2025)</f>
        <v>2025</v>
      </c>
      <c r="C1334" s="33">
        <f ca="1">IFERROR(__xludf.DUMMYFUNCTION("""COMPUTED_VALUE"""),10)</f>
        <v>10</v>
      </c>
      <c r="D1334" s="33" t="str">
        <f ca="1">IFERROR(__xludf.DUMMYFUNCTION("""COMPUTED_VALUE"""),"NO")</f>
        <v>NO</v>
      </c>
      <c r="E1334" s="33" t="str">
        <f ca="1">IFERROR(__xludf.DUMMYFUNCTION("""COMPUTED_VALUE"""),"Valencia- Parra")</f>
        <v>Valencia- Parra</v>
      </c>
      <c r="F1334" s="57">
        <f ca="1">IFERROR(__xludf.DUMMYFUNCTION("""COMPUTED_VALUE"""),45954)</f>
        <v>45954</v>
      </c>
      <c r="G1334" s="57">
        <f ca="1">IFERROR(__xludf.DUMMYFUNCTION("""COMPUTED_VALUE"""),45915)</f>
        <v>45915</v>
      </c>
      <c r="H1334" s="33" t="str">
        <f ca="1">IFERROR(__xludf.DUMMYFUNCTION("""COMPUTED_VALUE"""),"Valencia- Parra")</f>
        <v>Valencia- Parra</v>
      </c>
      <c r="I1334" s="33" t="str">
        <f ca="1">IFERROR(__xludf.DUMMYFUNCTION("""COMPUTED_VALUE"""),"C202591993714591")</f>
        <v>C202591993714591</v>
      </c>
      <c r="J1334" s="33" t="str">
        <f ca="1">IFERROR(__xludf.DUMMYFUNCTION("""COMPUTED_VALUE"""),"JOSE LUIS CUELLAR MUÑOZ")</f>
        <v>JOSE LUIS CUELLAR MUÑOZ</v>
      </c>
      <c r="K1334" s="33">
        <f ca="1">IFERROR(__xludf.DUMMYFUNCTION("""COMPUTED_VALUE"""),2)</f>
        <v>2</v>
      </c>
      <c r="L1334" s="203">
        <f ca="1">IFERROR(__xludf.DUMMYFUNCTION("""COMPUTED_VALUE"""),2718.18)</f>
        <v>2718.18</v>
      </c>
      <c r="M1334" s="33" t="str">
        <f ca="1">IFERROR(__xludf.DUMMYFUNCTION("""COMPUTED_VALUE"""),"03 ORL")</f>
        <v>03 ORL</v>
      </c>
      <c r="N1334" s="33" t="str">
        <f ca="1">IFERROR(__xludf.DUMMYFUNCTION("""COMPUTED_VALUE"""),"06 ORL")</f>
        <v>06 ORL</v>
      </c>
      <c r="O1334" s="33" t="str">
        <f ca="1">IFERROR(__xludf.DUMMYFUNCTION("""COMPUTED_VALUE"""),"Dr, Ignacio Llopez Carratalá")</f>
        <v>Dr, Ignacio Llopez Carratalá</v>
      </c>
      <c r="P1334" s="33" t="str">
        <f ca="1">IFERROR(__xludf.DUMMYFUNCTION("""COMPUTED_VALUE"""),"Ramon Ferrando(Valencia)")</f>
        <v>Ramon Ferrando(Valencia)</v>
      </c>
    </row>
    <row r="1335" spans="2:16">
      <c r="B1335" s="33">
        <f ca="1">IFERROR(__xludf.DUMMYFUNCTION("""COMPUTED_VALUE"""),2025)</f>
        <v>2025</v>
      </c>
      <c r="C1335" s="33">
        <f ca="1">IFERROR(__xludf.DUMMYFUNCTION("""COMPUTED_VALUE"""),10)</f>
        <v>10</v>
      </c>
      <c r="D1335" s="33" t="str">
        <f ca="1">IFERROR(__xludf.DUMMYFUNCTION("""COMPUTED_VALUE"""),"NO")</f>
        <v>NO</v>
      </c>
      <c r="E1335" s="33" t="str">
        <f ca="1">IFERROR(__xludf.DUMMYFUNCTION("""COMPUTED_VALUE"""),"Alcorcón")</f>
        <v>Alcorcón</v>
      </c>
      <c r="F1335" s="57">
        <f ca="1">IFERROR(__xludf.DUMMYFUNCTION("""COMPUTED_VALUE"""),45957)</f>
        <v>45957</v>
      </c>
      <c r="G1335" s="57">
        <f ca="1">IFERROR(__xludf.DUMMYFUNCTION("""COMPUTED_VALUE"""),45887)</f>
        <v>45887</v>
      </c>
      <c r="H1335" s="33" t="str">
        <f ca="1">IFERROR(__xludf.DUMMYFUNCTION("""COMPUTED_VALUE"""),"Alcorcón")</f>
        <v>Alcorcón</v>
      </c>
      <c r="I1335" s="33" t="str">
        <f ca="1">IFERROR(__xludf.DUMMYFUNCTION("""COMPUTED_VALUE"""),"C2025822121047405")</f>
        <v>C2025822121047405</v>
      </c>
      <c r="J1335" s="33" t="str">
        <f ca="1">IFERROR(__xludf.DUMMYFUNCTION("""COMPUTED_VALUE"""),"ANTONIO DURAN GARCIA")</f>
        <v>ANTONIO DURAN GARCIA</v>
      </c>
      <c r="K1335" s="33">
        <f ca="1">IFERROR(__xludf.DUMMYFUNCTION("""COMPUTED_VALUE"""),-1)</f>
        <v>-1</v>
      </c>
      <c r="L1335" s="203">
        <f ca="1">IFERROR(__xludf.DUMMYFUNCTION("""COMPUTED_VALUE"""),-1631.82)</f>
        <v>-1631.82</v>
      </c>
      <c r="M1335" s="33" t="str">
        <f ca="1">IFERROR(__xludf.DUMMYFUNCTION("""COMPUTED_VALUE"""),"03 ORL")</f>
        <v>03 ORL</v>
      </c>
      <c r="N1335" s="33" t="str">
        <f ca="1">IFERROR(__xludf.DUMMYFUNCTION("""COMPUTED_VALUE"""),"06 ORL")</f>
        <v>06 ORL</v>
      </c>
      <c r="O1335" s="33" t="str">
        <f ca="1">IFERROR(__xludf.DUMMYFUNCTION("""COMPUTED_VALUE"""),"Dra, María Sol Marcos Salazar")</f>
        <v>Dra, María Sol Marcos Salazar</v>
      </c>
      <c r="P1335" s="33" t="str">
        <f ca="1">IFERROR(__xludf.DUMMYFUNCTION("""COMPUTED_VALUE"""),"Lisandro Russian (Madrid, Cáceres, Toledo, Talavera Y Logroño)")</f>
        <v>Lisandro Russian (Madrid, Cáceres, Toledo, Talavera Y Logroño)</v>
      </c>
    </row>
    <row r="1336" spans="2:16">
      <c r="B1336" s="33">
        <f ca="1">IFERROR(__xludf.DUMMYFUNCTION("""COMPUTED_VALUE"""),2025)</f>
        <v>2025</v>
      </c>
      <c r="C1336" s="33">
        <f ca="1">IFERROR(__xludf.DUMMYFUNCTION("""COMPUTED_VALUE"""),10)</f>
        <v>10</v>
      </c>
      <c r="D1336" s="33" t="str">
        <f ca="1">IFERROR(__xludf.DUMMYFUNCTION("""COMPUTED_VALUE"""),"NO")</f>
        <v>NO</v>
      </c>
      <c r="E1336" s="33" t="str">
        <f ca="1">IFERROR(__xludf.DUMMYFUNCTION("""COMPUTED_VALUE"""),"Cáceres")</f>
        <v>Cáceres</v>
      </c>
      <c r="F1336" s="57">
        <f ca="1">IFERROR(__xludf.DUMMYFUNCTION("""COMPUTED_VALUE"""),45957)</f>
        <v>45957</v>
      </c>
      <c r="G1336" s="57">
        <f ca="1">IFERROR(__xludf.DUMMYFUNCTION("""COMPUTED_VALUE"""),45923)</f>
        <v>45923</v>
      </c>
      <c r="H1336" s="33" t="str">
        <f ca="1">IFERROR(__xludf.DUMMYFUNCTION("""COMPUTED_VALUE"""),"Cáceres")</f>
        <v>Cáceres</v>
      </c>
      <c r="I1336" s="33" t="str">
        <f ca="1">IFERROR(__xludf.DUMMYFUNCTION("""COMPUTED_VALUE"""),"CAC-393")</f>
        <v>CAC-393</v>
      </c>
      <c r="J1336" s="33" t="str">
        <f ca="1">IFERROR(__xludf.DUMMYFUNCTION("""COMPUTED_VALUE"""),"FLORENTINO VELAZ DOMINGUEZ")</f>
        <v>FLORENTINO VELAZ DOMINGUEZ</v>
      </c>
      <c r="K1336" s="33">
        <f ca="1">IFERROR(__xludf.DUMMYFUNCTION("""COMPUTED_VALUE"""),2)</f>
        <v>2</v>
      </c>
      <c r="L1336" s="203">
        <f ca="1">IFERROR(__xludf.DUMMYFUNCTION("""COMPUTED_VALUE"""),4272.73)</f>
        <v>4272.7299999999996</v>
      </c>
      <c r="M1336" s="33" t="str">
        <f ca="1">IFERROR(__xludf.DUMMYFUNCTION("""COMPUTED_VALUE"""),"03 ORL")</f>
        <v>03 ORL</v>
      </c>
      <c r="N1336" s="33" t="str">
        <f ca="1">IFERROR(__xludf.DUMMYFUNCTION("""COMPUTED_VALUE"""),"06 ORL")</f>
        <v>06 ORL</v>
      </c>
      <c r="O1336" s="33" t="str">
        <f ca="1">IFERROR(__xludf.DUMMYFUNCTION("""COMPUTED_VALUE"""),"Dr, Manuel Cañete Domínguez")</f>
        <v>Dr, Manuel Cañete Domínguez</v>
      </c>
      <c r="P1336" s="33" t="str">
        <f ca="1">IFERROR(__xludf.DUMMYFUNCTION("""COMPUTED_VALUE"""),"Lisandro Russian (Madrid, Cáceres, Toledo, Talavera Y Logroño)")</f>
        <v>Lisandro Russian (Madrid, Cáceres, Toledo, Talavera Y Logroño)</v>
      </c>
    </row>
    <row r="1337" spans="2:16">
      <c r="B1337" s="33">
        <f ca="1">IFERROR(__xludf.DUMMYFUNCTION("""COMPUTED_VALUE"""),2025)</f>
        <v>2025</v>
      </c>
      <c r="C1337" s="33">
        <f ca="1">IFERROR(__xludf.DUMMYFUNCTION("""COMPUTED_VALUE"""),10)</f>
        <v>10</v>
      </c>
      <c r="D1337" s="33" t="str">
        <f ca="1">IFERROR(__xludf.DUMMYFUNCTION("""COMPUTED_VALUE"""),"NO")</f>
        <v>NO</v>
      </c>
      <c r="E1337" s="33" t="str">
        <f ca="1">IFERROR(__xludf.DUMMYFUNCTION("""COMPUTED_VALUE"""),"Getafe")</f>
        <v>Getafe</v>
      </c>
      <c r="F1337" s="57">
        <f ca="1">IFERROR(__xludf.DUMMYFUNCTION("""COMPUTED_VALUE"""),45957)</f>
        <v>45957</v>
      </c>
      <c r="G1337" s="57">
        <f ca="1">IFERROR(__xludf.DUMMYFUNCTION("""COMPUTED_VALUE"""),45922)</f>
        <v>45922</v>
      </c>
      <c r="H1337" s="33" t="str">
        <f ca="1">IFERROR(__xludf.DUMMYFUNCTION("""COMPUTED_VALUE"""),"Getafe")</f>
        <v>Getafe</v>
      </c>
      <c r="I1337" s="33" t="str">
        <f ca="1">IFERROR(__xludf.DUMMYFUNCTION("""COMPUTED_VALUE"""),"C20259259564667")</f>
        <v>C20259259564667</v>
      </c>
      <c r="J1337" s="33" t="str">
        <f ca="1">IFERROR(__xludf.DUMMYFUNCTION("""COMPUTED_VALUE"""),"JUAN DIEGO PINO RUBIO")</f>
        <v>JUAN DIEGO PINO RUBIO</v>
      </c>
      <c r="K1337" s="33">
        <f ca="1">IFERROR(__xludf.DUMMYFUNCTION("""COMPUTED_VALUE"""),1)</f>
        <v>1</v>
      </c>
      <c r="L1337" s="203">
        <f ca="1">IFERROR(__xludf.DUMMYFUNCTION("""COMPUTED_VALUE"""),2481.82)</f>
        <v>2481.8200000000002</v>
      </c>
      <c r="M1337" s="33" t="str">
        <f ca="1">IFERROR(__xludf.DUMMYFUNCTION("""COMPUTED_VALUE"""),"03 ORL")</f>
        <v>03 ORL</v>
      </c>
      <c r="N1337" s="33" t="str">
        <f ca="1">IFERROR(__xludf.DUMMYFUNCTION("""COMPUTED_VALUE"""),"06 ORL")</f>
        <v>06 ORL</v>
      </c>
      <c r="O1337" s="33" t="str">
        <f ca="1">IFERROR(__xludf.DUMMYFUNCTION("""COMPUTED_VALUE"""),"Dra, Paula Morales Chacchi")</f>
        <v>Dra, Paula Morales Chacchi</v>
      </c>
      <c r="P1337" s="33" t="str">
        <f ca="1">IFERROR(__xludf.DUMMYFUNCTION("""COMPUTED_VALUE"""),"Maika Blázquez (Madrid)")</f>
        <v>Maika Blázquez (Madrid)</v>
      </c>
    </row>
    <row r="1338" spans="2:16">
      <c r="B1338" s="33">
        <f ca="1">IFERROR(__xludf.DUMMYFUNCTION("""COMPUTED_VALUE"""),2025)</f>
        <v>2025</v>
      </c>
      <c r="C1338" s="33">
        <f ca="1">IFERROR(__xludf.DUMMYFUNCTION("""COMPUTED_VALUE"""),10)</f>
        <v>10</v>
      </c>
      <c r="D1338" s="33" t="str">
        <f ca="1">IFERROR(__xludf.DUMMYFUNCTION("""COMPUTED_VALUE"""),"NO")</f>
        <v>NO</v>
      </c>
      <c r="E1338" s="33" t="str">
        <f ca="1">IFERROR(__xludf.DUMMYFUNCTION("""COMPUTED_VALUE"""),"Valencia- Cádiz")</f>
        <v>Valencia- Cádiz</v>
      </c>
      <c r="F1338" s="57">
        <f ca="1">IFERROR(__xludf.DUMMYFUNCTION("""COMPUTED_VALUE"""),45957)</f>
        <v>45957</v>
      </c>
      <c r="G1338" s="57">
        <f ca="1">IFERROR(__xludf.DUMMYFUNCTION("""COMPUTED_VALUE"""),45896)</f>
        <v>45896</v>
      </c>
      <c r="H1338" s="33" t="str">
        <f ca="1">IFERROR(__xludf.DUMMYFUNCTION("""COMPUTED_VALUE"""),"Valencia- Cádiz")</f>
        <v>Valencia- Cádiz</v>
      </c>
      <c r="I1338" s="33" t="str">
        <f ca="1">IFERROR(__xludf.DUMMYFUNCTION("""COMPUTED_VALUE"""),"C2025917171514931")</f>
        <v>C2025917171514931</v>
      </c>
      <c r="J1338" s="33" t="str">
        <f ca="1">IFERROR(__xludf.DUMMYFUNCTION("""COMPUTED_VALUE"""),"ANTONIA HERNANDEZ GUERRERO")</f>
        <v>ANTONIA HERNANDEZ GUERRERO</v>
      </c>
      <c r="K1338" s="33">
        <f ca="1">IFERROR(__xludf.DUMMYFUNCTION("""COMPUTED_VALUE"""),2)</f>
        <v>2</v>
      </c>
      <c r="L1338" s="203">
        <f ca="1">IFERROR(__xludf.DUMMYFUNCTION("""COMPUTED_VALUE"""),2718.18)</f>
        <v>2718.18</v>
      </c>
      <c r="M1338" s="33" t="str">
        <f ca="1">IFERROR(__xludf.DUMMYFUNCTION("""COMPUTED_VALUE"""),"03 ORL")</f>
        <v>03 ORL</v>
      </c>
      <c r="N1338" s="33" t="str">
        <f ca="1">IFERROR(__xludf.DUMMYFUNCTION("""COMPUTED_VALUE"""),"06 ORL")</f>
        <v>06 ORL</v>
      </c>
      <c r="O1338" s="33" t="str">
        <f ca="1">IFERROR(__xludf.DUMMYFUNCTION("""COMPUTED_VALUE"""),"Dr, Jean Franco Intraprendente Martini")</f>
        <v>Dr, Jean Franco Intraprendente Martini</v>
      </c>
      <c r="P1338" s="33" t="str">
        <f ca="1">IFERROR(__xludf.DUMMYFUNCTION("""COMPUTED_VALUE"""),"Ramon Ferrando(Valencia)")</f>
        <v>Ramon Ferrando(Valencia)</v>
      </c>
    </row>
    <row r="1339" spans="2:16">
      <c r="B1339" s="33">
        <f ca="1">IFERROR(__xludf.DUMMYFUNCTION("""COMPUTED_VALUE"""),2025)</f>
        <v>2025</v>
      </c>
      <c r="C1339" s="33">
        <f ca="1">IFERROR(__xludf.DUMMYFUNCTION("""COMPUTED_VALUE"""),10)</f>
        <v>10</v>
      </c>
      <c r="D1339" s="33" t="str">
        <f ca="1">IFERROR(__xludf.DUMMYFUNCTION("""COMPUTED_VALUE"""),"NO")</f>
        <v>NO</v>
      </c>
      <c r="E1339" s="33" t="str">
        <f ca="1">IFERROR(__xludf.DUMMYFUNCTION("""COMPUTED_VALUE"""),"San Javier")</f>
        <v>San Javier</v>
      </c>
      <c r="F1339" s="57">
        <f ca="1">IFERROR(__xludf.DUMMYFUNCTION("""COMPUTED_VALUE"""),45957)</f>
        <v>45957</v>
      </c>
      <c r="G1339" s="57">
        <f ca="1">IFERROR(__xludf.DUMMYFUNCTION("""COMPUTED_VALUE"""),45925)</f>
        <v>45925</v>
      </c>
      <c r="H1339" s="33" t="str">
        <f ca="1">IFERROR(__xludf.DUMMYFUNCTION("""COMPUTED_VALUE"""),"San Javier")</f>
        <v>San Javier</v>
      </c>
      <c r="I1339" s="33" t="str">
        <f ca="1">IFERROR(__xludf.DUMMYFUNCTION("""COMPUTED_VALUE"""),"C202510710262263")</f>
        <v>C202510710262263</v>
      </c>
      <c r="J1339" s="33" t="str">
        <f ca="1">IFERROR(__xludf.DUMMYFUNCTION("""COMPUTED_VALUE"""),"JOSEFA MARTINEZ HERNANDEZ")</f>
        <v>JOSEFA MARTINEZ HERNANDEZ</v>
      </c>
      <c r="K1339" s="33">
        <f ca="1">IFERROR(__xludf.DUMMYFUNCTION("""COMPUTED_VALUE"""),2)</f>
        <v>2</v>
      </c>
      <c r="L1339" s="203">
        <f ca="1">IFERROR(__xludf.DUMMYFUNCTION("""COMPUTED_VALUE"""),2718.18)</f>
        <v>2718.18</v>
      </c>
      <c r="M1339" s="33" t="str">
        <f ca="1">IFERROR(__xludf.DUMMYFUNCTION("""COMPUTED_VALUE"""),"03 ORL")</f>
        <v>03 ORL</v>
      </c>
      <c r="N1339" s="33" t="str">
        <f ca="1">IFERROR(__xludf.DUMMYFUNCTION("""COMPUTED_VALUE"""),"06 ORL")</f>
        <v>06 ORL</v>
      </c>
      <c r="O1339" s="33" t="str">
        <f ca="1">IFERROR(__xludf.DUMMYFUNCTION("""COMPUTED_VALUE"""),"Dr, Andrés Barrios Recio")</f>
        <v>Dr, Andrés Barrios Recio</v>
      </c>
      <c r="P1339" s="33" t="str">
        <f ca="1">IFERROR(__xludf.DUMMYFUNCTION("""COMPUTED_VALUE"""),"Iván Sánchez (Levante Y Albacete)")</f>
        <v>Iván Sánchez (Levante Y Albacete)</v>
      </c>
    </row>
    <row r="1340" spans="2:16">
      <c r="B1340" s="33">
        <f ca="1">IFERROR(__xludf.DUMMYFUNCTION("""COMPUTED_VALUE"""),2025)</f>
        <v>2025</v>
      </c>
      <c r="C1340" s="33">
        <f ca="1">IFERROR(__xludf.DUMMYFUNCTION("""COMPUTED_VALUE"""),10)</f>
        <v>10</v>
      </c>
      <c r="D1340" s="33" t="str">
        <f ca="1">IFERROR(__xludf.DUMMYFUNCTION("""COMPUTED_VALUE"""),"NO")</f>
        <v>NO</v>
      </c>
      <c r="E1340" s="33" t="str">
        <f ca="1">IFERROR(__xludf.DUMMYFUNCTION("""COMPUTED_VALUE"""),"Valencia- Cádiz")</f>
        <v>Valencia- Cádiz</v>
      </c>
      <c r="F1340" s="57">
        <f ca="1">IFERROR(__xludf.DUMMYFUNCTION("""COMPUTED_VALUE"""),45957)</f>
        <v>45957</v>
      </c>
      <c r="G1340" s="57">
        <f ca="1">IFERROR(__xludf.DUMMYFUNCTION("""COMPUTED_VALUE"""),45846)</f>
        <v>45846</v>
      </c>
      <c r="H1340" s="33" t="str">
        <f ca="1">IFERROR(__xludf.DUMMYFUNCTION("""COMPUTED_VALUE"""),"Valencia- Cádiz")</f>
        <v>Valencia- Cádiz</v>
      </c>
      <c r="I1340" s="33" t="str">
        <f ca="1">IFERROR(__xludf.DUMMYFUNCTION("""COMPUTED_VALUE"""),"C20257159434173")</f>
        <v>C20257159434173</v>
      </c>
      <c r="J1340" s="33" t="str">
        <f ca="1">IFERROR(__xludf.DUMMYFUNCTION("""COMPUTED_VALUE"""),"MARIA JOSE PEIDRO TORRES")</f>
        <v>MARIA JOSE PEIDRO TORRES</v>
      </c>
      <c r="K1340" s="33">
        <f ca="1">IFERROR(__xludf.DUMMYFUNCTION("""COMPUTED_VALUE"""),2)</f>
        <v>2</v>
      </c>
      <c r="L1340" s="203">
        <f ca="1">IFERROR(__xludf.DUMMYFUNCTION("""COMPUTED_VALUE"""),3631.82)</f>
        <v>3631.82</v>
      </c>
      <c r="M1340" s="33" t="str">
        <f ca="1">IFERROR(__xludf.DUMMYFUNCTION("""COMPUTED_VALUE"""),"03 ORL")</f>
        <v>03 ORL</v>
      </c>
      <c r="N1340" s="33" t="str">
        <f ca="1">IFERROR(__xludf.DUMMYFUNCTION("""COMPUTED_VALUE"""),"06 ORL")</f>
        <v>06 ORL</v>
      </c>
      <c r="O1340" s="33" t="str">
        <f ca="1">IFERROR(__xludf.DUMMYFUNCTION("""COMPUTED_VALUE"""),"Dr, Raimon García Chillerón")</f>
        <v>Dr, Raimon García Chillerón</v>
      </c>
      <c r="P1340" s="33" t="str">
        <f ca="1">IFERROR(__xludf.DUMMYFUNCTION("""COMPUTED_VALUE"""),"Ramon Ferrando(Valencia)")</f>
        <v>Ramon Ferrando(Valencia)</v>
      </c>
    </row>
    <row r="1341" spans="2:16">
      <c r="B1341" s="33">
        <f ca="1">IFERROR(__xludf.DUMMYFUNCTION("""COMPUTED_VALUE"""),2025)</f>
        <v>2025</v>
      </c>
      <c r="C1341" s="33">
        <f ca="1">IFERROR(__xludf.DUMMYFUNCTION("""COMPUTED_VALUE"""),10)</f>
        <v>10</v>
      </c>
      <c r="D1341" s="33" t="str">
        <f ca="1">IFERROR(__xludf.DUMMYFUNCTION("""COMPUTED_VALUE"""),"NO")</f>
        <v>NO</v>
      </c>
      <c r="E1341" s="33" t="str">
        <f ca="1">IFERROR(__xludf.DUMMYFUNCTION("""COMPUTED_VALUE"""),"Madrid- Moratalaz")</f>
        <v>Madrid- Moratalaz</v>
      </c>
      <c r="F1341" s="57">
        <f ca="1">IFERROR(__xludf.DUMMYFUNCTION("""COMPUTED_VALUE"""),45957)</f>
        <v>45957</v>
      </c>
      <c r="G1341" s="57">
        <f ca="1">IFERROR(__xludf.DUMMYFUNCTION("""COMPUTED_VALUE"""),45926)</f>
        <v>45926</v>
      </c>
      <c r="H1341" s="33" t="str">
        <f ca="1">IFERROR(__xludf.DUMMYFUNCTION("""COMPUTED_VALUE"""),"Moratalaz")</f>
        <v>Moratalaz</v>
      </c>
      <c r="I1341" s="33" t="str">
        <f ca="1">IFERROR(__xludf.DUMMYFUNCTION("""COMPUTED_VALUE"""),"C2025102114545394")</f>
        <v>C2025102114545394</v>
      </c>
      <c r="J1341" s="33" t="str">
        <f ca="1">IFERROR(__xludf.DUMMYFUNCTION("""COMPUTED_VALUE"""),"JOSEFA SILVA ESTEBAN")</f>
        <v>JOSEFA SILVA ESTEBAN</v>
      </c>
      <c r="K1341" s="33">
        <f ca="1">IFERROR(__xludf.DUMMYFUNCTION("""COMPUTED_VALUE"""),1)</f>
        <v>1</v>
      </c>
      <c r="L1341" s="203">
        <f ca="1">IFERROR(__xludf.DUMMYFUNCTION("""COMPUTED_VALUE"""),2271.82)</f>
        <v>2271.8200000000002</v>
      </c>
      <c r="M1341" s="33" t="str">
        <f ca="1">IFERROR(__xludf.DUMMYFUNCTION("""COMPUTED_VALUE"""),"03 ORL")</f>
        <v>03 ORL</v>
      </c>
      <c r="N1341" s="33" t="str">
        <f ca="1">IFERROR(__xludf.DUMMYFUNCTION("""COMPUTED_VALUE"""),"06 ORL")</f>
        <v>06 ORL</v>
      </c>
      <c r="O1341" s="33" t="str">
        <f ca="1">IFERROR(__xludf.DUMMYFUNCTION("""COMPUTED_VALUE"""),"Dr, Manuel Gutiérrez Triguero")</f>
        <v>Dr, Manuel Gutiérrez Triguero</v>
      </c>
      <c r="P1341" s="33" t="str">
        <f ca="1">IFERROR(__xludf.DUMMYFUNCTION("""COMPUTED_VALUE"""),"Maika Blázquez (Madrid)")</f>
        <v>Maika Blázquez (Madrid)</v>
      </c>
    </row>
    <row r="1342" spans="2:16">
      <c r="B1342" s="33">
        <f ca="1">IFERROR(__xludf.DUMMYFUNCTION("""COMPUTED_VALUE"""),2025)</f>
        <v>2025</v>
      </c>
      <c r="C1342" s="33">
        <f ca="1">IFERROR(__xludf.DUMMYFUNCTION("""COMPUTED_VALUE"""),10)</f>
        <v>10</v>
      </c>
      <c r="D1342" s="33" t="str">
        <f ca="1">IFERROR(__xludf.DUMMYFUNCTION("""COMPUTED_VALUE"""),"NO")</f>
        <v>NO</v>
      </c>
      <c r="E1342" s="33" t="str">
        <f ca="1">IFERROR(__xludf.DUMMYFUNCTION("""COMPUTED_VALUE"""),"Valencia- Cádiz")</f>
        <v>Valencia- Cádiz</v>
      </c>
      <c r="F1342" s="57">
        <f ca="1">IFERROR(__xludf.DUMMYFUNCTION("""COMPUTED_VALUE"""),45957)</f>
        <v>45957</v>
      </c>
      <c r="G1342" s="57">
        <f ca="1">IFERROR(__xludf.DUMMYFUNCTION("""COMPUTED_VALUE"""),45916)</f>
        <v>45916</v>
      </c>
      <c r="H1342" s="33" t="str">
        <f ca="1">IFERROR(__xludf.DUMMYFUNCTION("""COMPUTED_VALUE"""),"Valencia- Cádiz")</f>
        <v>Valencia- Cádiz</v>
      </c>
      <c r="I1342" s="33" t="str">
        <f ca="1">IFERROR(__xludf.DUMMYFUNCTION("""COMPUTED_VALUE"""),"C2025918172023374")</f>
        <v>C2025918172023374</v>
      </c>
      <c r="J1342" s="33" t="str">
        <f ca="1">IFERROR(__xludf.DUMMYFUNCTION("""COMPUTED_VALUE"""),"GRACIELA CERON CORTAZAR")</f>
        <v>GRACIELA CERON CORTAZAR</v>
      </c>
      <c r="K1342" s="33">
        <f ca="1">IFERROR(__xludf.DUMMYFUNCTION("""COMPUTED_VALUE"""),1)</f>
        <v>1</v>
      </c>
      <c r="L1342" s="203">
        <f ca="1">IFERROR(__xludf.DUMMYFUNCTION("""COMPUTED_VALUE"""),2180.91)</f>
        <v>2180.91</v>
      </c>
      <c r="M1342" s="33" t="str">
        <f ca="1">IFERROR(__xludf.DUMMYFUNCTION("""COMPUTED_VALUE"""),"03 ORL")</f>
        <v>03 ORL</v>
      </c>
      <c r="N1342" s="33" t="str">
        <f ca="1">IFERROR(__xludf.DUMMYFUNCTION("""COMPUTED_VALUE"""),"06 ORL")</f>
        <v>06 ORL</v>
      </c>
      <c r="O1342" s="33" t="str">
        <f ca="1">IFERROR(__xludf.DUMMYFUNCTION("""COMPUTED_VALUE"""),"Dr, Ignacio Pla Gil")</f>
        <v>Dr, Ignacio Pla Gil</v>
      </c>
      <c r="P1342" s="33" t="str">
        <f ca="1">IFERROR(__xludf.DUMMYFUNCTION("""COMPUTED_VALUE"""),"Ramon Ferrando(Valencia)")</f>
        <v>Ramon Ferrando(Valencia)</v>
      </c>
    </row>
    <row r="1343" spans="2:16">
      <c r="B1343" s="33">
        <f ca="1">IFERROR(__xludf.DUMMYFUNCTION("""COMPUTED_VALUE"""),2025)</f>
        <v>2025</v>
      </c>
      <c r="C1343" s="33">
        <f ca="1">IFERROR(__xludf.DUMMYFUNCTION("""COMPUTED_VALUE"""),10)</f>
        <v>10</v>
      </c>
      <c r="D1343" s="33" t="str">
        <f ca="1">IFERROR(__xludf.DUMMYFUNCTION("""COMPUTED_VALUE"""),"NO")</f>
        <v>NO</v>
      </c>
      <c r="E1343" s="33" t="str">
        <f ca="1">IFERROR(__xludf.DUMMYFUNCTION("""COMPUTED_VALUE"""),"Orihuela")</f>
        <v>Orihuela</v>
      </c>
      <c r="F1343" s="57">
        <f ca="1">IFERROR(__xludf.DUMMYFUNCTION("""COMPUTED_VALUE"""),45957)</f>
        <v>45957</v>
      </c>
      <c r="G1343" s="57">
        <f ca="1">IFERROR(__xludf.DUMMYFUNCTION("""COMPUTED_VALUE"""),45917)</f>
        <v>45917</v>
      </c>
      <c r="H1343" s="33" t="str">
        <f ca="1">IFERROR(__xludf.DUMMYFUNCTION("""COMPUTED_VALUE"""),"La Zenia")</f>
        <v>La Zenia</v>
      </c>
      <c r="I1343" s="33" t="str">
        <f ca="1">IFERROR(__xludf.DUMMYFUNCTION("""COMPUTED_VALUE"""),"C202591914955411")</f>
        <v>C202591914955411</v>
      </c>
      <c r="J1343" s="33" t="str">
        <f ca="1">IFERROR(__xludf.DUMMYFUNCTION("""COMPUTED_VALUE"""),"ROBERT CHARLES MELROSE")</f>
        <v>ROBERT CHARLES MELROSE</v>
      </c>
      <c r="K1343" s="33">
        <f ca="1">IFERROR(__xludf.DUMMYFUNCTION("""COMPUTED_VALUE"""),1)</f>
        <v>1</v>
      </c>
      <c r="L1343" s="203">
        <f ca="1">IFERROR(__xludf.DUMMYFUNCTION("""COMPUTED_VALUE"""),2180.91)</f>
        <v>2180.91</v>
      </c>
      <c r="M1343" s="33" t="str">
        <f ca="1">IFERROR(__xludf.DUMMYFUNCTION("""COMPUTED_VALUE"""),"03 ORL")</f>
        <v>03 ORL</v>
      </c>
      <c r="N1343" s="33" t="str">
        <f ca="1">IFERROR(__xludf.DUMMYFUNCTION("""COMPUTED_VALUE"""),"06 ORL")</f>
        <v>06 ORL</v>
      </c>
      <c r="O1343" s="33" t="str">
        <f ca="1">IFERROR(__xludf.DUMMYFUNCTION("""COMPUTED_VALUE"""),"No recuerda ORL")</f>
        <v>No recuerda ORL</v>
      </c>
      <c r="P1343" s="33" t="str">
        <f ca="1">IFERROR(__xludf.DUMMYFUNCTION("""COMPUTED_VALUE"""),"Iván Sánchez (Levante Y Albacete)")</f>
        <v>Iván Sánchez (Levante Y Albacete)</v>
      </c>
    </row>
    <row r="1344" spans="2:16">
      <c r="B1344" s="33">
        <f ca="1">IFERROR(__xludf.DUMMYFUNCTION("""COMPUTED_VALUE"""),2025)</f>
        <v>2025</v>
      </c>
      <c r="C1344" s="33">
        <f ca="1">IFERROR(__xludf.DUMMYFUNCTION("""COMPUTED_VALUE"""),10)</f>
        <v>10</v>
      </c>
      <c r="D1344" s="33" t="str">
        <f ca="1">IFERROR(__xludf.DUMMYFUNCTION("""COMPUTED_VALUE"""),"NO")</f>
        <v>NO</v>
      </c>
      <c r="E1344" s="33" t="str">
        <f ca="1">IFERROR(__xludf.DUMMYFUNCTION("""COMPUTED_VALUE"""),"Valencia- Parra")</f>
        <v>Valencia- Parra</v>
      </c>
      <c r="F1344" s="57">
        <f ca="1">IFERROR(__xludf.DUMMYFUNCTION("""COMPUTED_VALUE"""),45957)</f>
        <v>45957</v>
      </c>
      <c r="G1344" s="57">
        <f ca="1">IFERROR(__xludf.DUMMYFUNCTION("""COMPUTED_VALUE"""),45904)</f>
        <v>45904</v>
      </c>
      <c r="H1344" s="33" t="str">
        <f ca="1">IFERROR(__xludf.DUMMYFUNCTION("""COMPUTED_VALUE"""),"Valencia- Parra")</f>
        <v>Valencia- Parra</v>
      </c>
      <c r="I1344" s="33" t="str">
        <f ca="1">IFERROR(__xludf.DUMMYFUNCTION("""COMPUTED_VALUE"""),"C20259161630766")</f>
        <v>C20259161630766</v>
      </c>
      <c r="J1344" s="33" t="str">
        <f ca="1">IFERROR(__xludf.DUMMYFUNCTION("""COMPUTED_VALUE"""),"MIREILLE CORNETTE")</f>
        <v>MIREILLE CORNETTE</v>
      </c>
      <c r="K1344" s="33">
        <f ca="1">IFERROR(__xludf.DUMMYFUNCTION("""COMPUTED_VALUE"""),2)</f>
        <v>2</v>
      </c>
      <c r="L1344" s="203">
        <f ca="1">IFERROR(__xludf.DUMMYFUNCTION("""COMPUTED_VALUE"""),4136.36)</f>
        <v>4136.3599999999997</v>
      </c>
      <c r="M1344" s="33" t="str">
        <f ca="1">IFERROR(__xludf.DUMMYFUNCTION("""COMPUTED_VALUE"""),"03 ORL")</f>
        <v>03 ORL</v>
      </c>
      <c r="N1344" s="33" t="str">
        <f ca="1">IFERROR(__xludf.DUMMYFUNCTION("""COMPUTED_VALUE"""),"06 ORL")</f>
        <v>06 ORL</v>
      </c>
      <c r="O1344" s="33" t="str">
        <f ca="1">IFERROR(__xludf.DUMMYFUNCTION("""COMPUTED_VALUE"""),"Dra, Vicky Galstyan Minasosa")</f>
        <v>Dra, Vicky Galstyan Minasosa</v>
      </c>
      <c r="P1344" s="33" t="str">
        <f ca="1">IFERROR(__xludf.DUMMYFUNCTION("""COMPUTED_VALUE"""),"Ramon Ferrando(Valencia)")</f>
        <v>Ramon Ferrando(Valencia)</v>
      </c>
    </row>
    <row r="1345" spans="2:16">
      <c r="B1345" s="33">
        <f ca="1">IFERROR(__xludf.DUMMYFUNCTION("""COMPUTED_VALUE"""),2025)</f>
        <v>2025</v>
      </c>
      <c r="C1345" s="33">
        <f ca="1">IFERROR(__xludf.DUMMYFUNCTION("""COMPUTED_VALUE"""),10)</f>
        <v>10</v>
      </c>
      <c r="D1345" s="33" t="str">
        <f ca="1">IFERROR(__xludf.DUMMYFUNCTION("""COMPUTED_VALUE"""),"NO")</f>
        <v>NO</v>
      </c>
      <c r="E1345" s="33" t="str">
        <f ca="1">IFERROR(__xludf.DUMMYFUNCTION("""COMPUTED_VALUE"""),"Palencia")</f>
        <v>Palencia</v>
      </c>
      <c r="F1345" s="57">
        <f ca="1">IFERROR(__xludf.DUMMYFUNCTION("""COMPUTED_VALUE"""),45957)</f>
        <v>45957</v>
      </c>
      <c r="G1345" s="57">
        <f ca="1">IFERROR(__xludf.DUMMYFUNCTION("""COMPUTED_VALUE"""),45891)</f>
        <v>45891</v>
      </c>
      <c r="H1345" s="33" t="str">
        <f ca="1">IFERROR(__xludf.DUMMYFUNCTION("""COMPUTED_VALUE"""),"Palencia")</f>
        <v>Palencia</v>
      </c>
      <c r="I1345" s="33" t="str">
        <f ca="1">IFERROR(__xludf.DUMMYFUNCTION("""COMPUTED_VALUE"""),"C20258221006806")</f>
        <v>C20258221006806</v>
      </c>
      <c r="J1345" s="33" t="str">
        <f ca="1">IFERROR(__xludf.DUMMYFUNCTION("""COMPUTED_VALUE"""),"JOSE LUIS QUINTANO MENESES")</f>
        <v>JOSE LUIS QUINTANO MENESES</v>
      </c>
      <c r="K1345" s="33">
        <f ca="1">IFERROR(__xludf.DUMMYFUNCTION("""COMPUTED_VALUE"""),2)</f>
        <v>2</v>
      </c>
      <c r="L1345" s="203">
        <f ca="1">IFERROR(__xludf.DUMMYFUNCTION("""COMPUTED_VALUE"""),2718.18)</f>
        <v>2718.18</v>
      </c>
      <c r="M1345" s="33" t="str">
        <f ca="1">IFERROR(__xludf.DUMMYFUNCTION("""COMPUTED_VALUE"""),"03 ORL")</f>
        <v>03 ORL</v>
      </c>
      <c r="N1345" s="33" t="str">
        <f ca="1">IFERROR(__xludf.DUMMYFUNCTION("""COMPUTED_VALUE"""),"06 ORL")</f>
        <v>06 ORL</v>
      </c>
      <c r="O1345" s="33" t="str">
        <f ca="1">IFERROR(__xludf.DUMMYFUNCTION("""COMPUTED_VALUE"""),"DR, Manuel Acuña García")</f>
        <v>DR, Manuel Acuña García</v>
      </c>
      <c r="P1345" s="33" t="str">
        <f ca="1">IFERROR(__xludf.DUMMYFUNCTION("""COMPUTED_VALUE"""),"Alberto Moreno (Madrid)")</f>
        <v>Alberto Moreno (Madrid)</v>
      </c>
    </row>
    <row r="1346" spans="2:16">
      <c r="B1346" s="33">
        <f ca="1">IFERROR(__xludf.DUMMYFUNCTION("""COMPUTED_VALUE"""),2025)</f>
        <v>2025</v>
      </c>
      <c r="C1346" s="33">
        <f ca="1">IFERROR(__xludf.DUMMYFUNCTION("""COMPUTED_VALUE"""),10)</f>
        <v>10</v>
      </c>
      <c r="D1346" s="33" t="str">
        <f ca="1">IFERROR(__xludf.DUMMYFUNCTION("""COMPUTED_VALUE"""),"NO")</f>
        <v>NO</v>
      </c>
      <c r="E1346" s="33" t="str">
        <f ca="1">IFERROR(__xludf.DUMMYFUNCTION("""COMPUTED_VALUE"""),"Cáceres")</f>
        <v>Cáceres</v>
      </c>
      <c r="F1346" s="57">
        <f ca="1">IFERROR(__xludf.DUMMYFUNCTION("""COMPUTED_VALUE"""),45958)</f>
        <v>45958</v>
      </c>
      <c r="G1346" s="57">
        <f ca="1">IFERROR(__xludf.DUMMYFUNCTION("""COMPUTED_VALUE"""),45923)</f>
        <v>45923</v>
      </c>
      <c r="H1346" s="33" t="str">
        <f ca="1">IFERROR(__xludf.DUMMYFUNCTION("""COMPUTED_VALUE"""),"Cáceres")</f>
        <v>Cáceres</v>
      </c>
      <c r="I1346" s="33" t="str">
        <f ca="1">IFERROR(__xludf.DUMMYFUNCTION("""COMPUTED_VALUE"""),"CAC-395")</f>
        <v>CAC-395</v>
      </c>
      <c r="J1346" s="33" t="str">
        <f ca="1">IFERROR(__xludf.DUMMYFUNCTION("""COMPUTED_VALUE"""),"ISAIAS GONZALO REMEDIOS")</f>
        <v>ISAIAS GONZALO REMEDIOS</v>
      </c>
      <c r="K1346" s="33">
        <f ca="1">IFERROR(__xludf.DUMMYFUNCTION("""COMPUTED_VALUE"""),2)</f>
        <v>2</v>
      </c>
      <c r="L1346" s="203">
        <f ca="1">IFERROR(__xludf.DUMMYFUNCTION("""COMPUTED_VALUE"""),3136.36)</f>
        <v>3136.36</v>
      </c>
      <c r="M1346" s="33" t="str">
        <f ca="1">IFERROR(__xludf.DUMMYFUNCTION("""COMPUTED_VALUE"""),"03 ORL")</f>
        <v>03 ORL</v>
      </c>
      <c r="N1346" s="33" t="str">
        <f ca="1">IFERROR(__xludf.DUMMYFUNCTION("""COMPUTED_VALUE"""),"06 ORL")</f>
        <v>06 ORL</v>
      </c>
      <c r="O1346" s="33" t="str">
        <f ca="1">IFERROR(__xludf.DUMMYFUNCTION("""COMPUTED_VALUE"""),"Dr, Javier García Gómez")</f>
        <v>Dr, Javier García Gómez</v>
      </c>
      <c r="P1346" s="33" t="str">
        <f ca="1">IFERROR(__xludf.DUMMYFUNCTION("""COMPUTED_VALUE"""),"Lisandro Russian (Madrid, Cáceres, Toledo, Talavera Y Logroño)")</f>
        <v>Lisandro Russian (Madrid, Cáceres, Toledo, Talavera Y Logroño)</v>
      </c>
    </row>
    <row r="1347" spans="2:16">
      <c r="B1347" s="33">
        <f ca="1">IFERROR(__xludf.DUMMYFUNCTION("""COMPUTED_VALUE"""),2025)</f>
        <v>2025</v>
      </c>
      <c r="C1347" s="33">
        <f ca="1">IFERROR(__xludf.DUMMYFUNCTION("""COMPUTED_VALUE"""),10)</f>
        <v>10</v>
      </c>
      <c r="D1347" s="33" t="str">
        <f ca="1">IFERROR(__xludf.DUMMYFUNCTION("""COMPUTED_VALUE"""),"NO")</f>
        <v>NO</v>
      </c>
      <c r="E1347" s="33" t="str">
        <f ca="1">IFERROR(__xludf.DUMMYFUNCTION("""COMPUTED_VALUE"""),"Vigo")</f>
        <v>Vigo</v>
      </c>
      <c r="F1347" s="57">
        <f ca="1">IFERROR(__xludf.DUMMYFUNCTION("""COMPUTED_VALUE"""),45958)</f>
        <v>45958</v>
      </c>
      <c r="G1347" s="57">
        <f ca="1">IFERROR(__xludf.DUMMYFUNCTION("""COMPUTED_VALUE"""),45936)</f>
        <v>45936</v>
      </c>
      <c r="H1347" s="33" t="str">
        <f ca="1">IFERROR(__xludf.DUMMYFUNCTION("""COMPUTED_VALUE"""),"Vigo")</f>
        <v>Vigo</v>
      </c>
      <c r="I1347" s="33" t="str">
        <f ca="1">IFERROR(__xludf.DUMMYFUNCTION("""COMPUTED_VALUE"""),"VIG-622")</f>
        <v>VIG-622</v>
      </c>
      <c r="J1347" s="33" t="str">
        <f ca="1">IFERROR(__xludf.DUMMYFUNCTION("""COMPUTED_VALUE"""),"ALICIA MOREIRA MIRAS")</f>
        <v>ALICIA MOREIRA MIRAS</v>
      </c>
      <c r="K1347" s="33">
        <f ca="1">IFERROR(__xludf.DUMMYFUNCTION("""COMPUTED_VALUE"""),2)</f>
        <v>2</v>
      </c>
      <c r="L1347" s="203">
        <f ca="1">IFERROR(__xludf.DUMMYFUNCTION("""COMPUTED_VALUE"""),3590.91)</f>
        <v>3590.91</v>
      </c>
      <c r="M1347" s="33" t="str">
        <f ca="1">IFERROR(__xludf.DUMMYFUNCTION("""COMPUTED_VALUE"""),"03 ORL")</f>
        <v>03 ORL</v>
      </c>
      <c r="N1347" s="33" t="str">
        <f ca="1">IFERROR(__xludf.DUMMYFUNCTION("""COMPUTED_VALUE"""),"06 ORL")</f>
        <v>06 ORL</v>
      </c>
      <c r="O1347" s="33" t="str">
        <f ca="1">IFERROR(__xludf.DUMMYFUNCTION("""COMPUTED_VALUE"""),"Dra, María Del Rosario De Saa Álvarez")</f>
        <v>Dra, María Del Rosario De Saa Álvarez</v>
      </c>
      <c r="P1347" s="33" t="str">
        <f ca="1">IFERROR(__xludf.DUMMYFUNCTION("""COMPUTED_VALUE"""),"Roberto Pereira (Galicia)")</f>
        <v>Roberto Pereira (Galicia)</v>
      </c>
    </row>
    <row r="1348" spans="2:16">
      <c r="B1348" s="33">
        <f ca="1">IFERROR(__xludf.DUMMYFUNCTION("""COMPUTED_VALUE"""),2025)</f>
        <v>2025</v>
      </c>
      <c r="C1348" s="33">
        <f ca="1">IFERROR(__xludf.DUMMYFUNCTION("""COMPUTED_VALUE"""),10)</f>
        <v>10</v>
      </c>
      <c r="D1348" s="33" t="str">
        <f ca="1">IFERROR(__xludf.DUMMYFUNCTION("""COMPUTED_VALUE"""),"NO")</f>
        <v>NO</v>
      </c>
      <c r="E1348" s="33" t="str">
        <f ca="1">IFERROR(__xludf.DUMMYFUNCTION("""COMPUTED_VALUE"""),"Zaragoza- León XIII")</f>
        <v>Zaragoza- León XIII</v>
      </c>
      <c r="F1348" s="57">
        <f ca="1">IFERROR(__xludf.DUMMYFUNCTION("""COMPUTED_VALUE"""),45958)</f>
        <v>45958</v>
      </c>
      <c r="G1348" s="57">
        <f ca="1">IFERROR(__xludf.DUMMYFUNCTION("""COMPUTED_VALUE"""),45910)</f>
        <v>45910</v>
      </c>
      <c r="H1348" s="33" t="str">
        <f ca="1">IFERROR(__xludf.DUMMYFUNCTION("""COMPUTED_VALUE"""),"Zaragoza")</f>
        <v>Zaragoza</v>
      </c>
      <c r="I1348" s="33" t="str">
        <f ca="1">IFERROR(__xludf.DUMMYFUNCTION("""COMPUTED_VALUE"""),"C2025925175046499")</f>
        <v>C2025925175046499</v>
      </c>
      <c r="J1348" s="33" t="str">
        <f ca="1">IFERROR(__xludf.DUMMYFUNCTION("""COMPUTED_VALUE"""),"OSCAR LARA REMON")</f>
        <v>OSCAR LARA REMON</v>
      </c>
      <c r="K1348" s="33">
        <f ca="1">IFERROR(__xludf.DUMMYFUNCTION("""COMPUTED_VALUE"""),2)</f>
        <v>2</v>
      </c>
      <c r="L1348" s="203">
        <f ca="1">IFERROR(__xludf.DUMMYFUNCTION("""COMPUTED_VALUE"""),3818.18)</f>
        <v>3818.18</v>
      </c>
      <c r="M1348" s="33" t="str">
        <f ca="1">IFERROR(__xludf.DUMMYFUNCTION("""COMPUTED_VALUE"""),"03 ORL")</f>
        <v>03 ORL</v>
      </c>
      <c r="N1348" s="33" t="str">
        <f ca="1">IFERROR(__xludf.DUMMYFUNCTION("""COMPUTED_VALUE"""),"06 ORL")</f>
        <v>06 ORL</v>
      </c>
      <c r="O1348" s="33" t="str">
        <f ca="1">IFERROR(__xludf.DUMMYFUNCTION("""COMPUTED_VALUE"""),"Dr, José Manuel García Solans-Esteras")</f>
        <v>Dr, José Manuel García Solans-Esteras</v>
      </c>
      <c r="P1348" s="33" t="str">
        <f ca="1">IFERROR(__xludf.DUMMYFUNCTION("""COMPUTED_VALUE"""),"Ignacio Berdejo (Zaragoza)")</f>
        <v>Ignacio Berdejo (Zaragoza)</v>
      </c>
    </row>
    <row r="1349" spans="2:16">
      <c r="B1349" s="33">
        <f ca="1">IFERROR(__xludf.DUMMYFUNCTION("""COMPUTED_VALUE"""),2025)</f>
        <v>2025</v>
      </c>
      <c r="C1349" s="33">
        <f ca="1">IFERROR(__xludf.DUMMYFUNCTION("""COMPUTED_VALUE"""),10)</f>
        <v>10</v>
      </c>
      <c r="D1349" s="33" t="str">
        <f ca="1">IFERROR(__xludf.DUMMYFUNCTION("""COMPUTED_VALUE"""),"NO")</f>
        <v>NO</v>
      </c>
      <c r="E1349" s="33" t="str">
        <f ca="1">IFERROR(__xludf.DUMMYFUNCTION("""COMPUTED_VALUE"""),"Valencia- Parra")</f>
        <v>Valencia- Parra</v>
      </c>
      <c r="F1349" s="57">
        <f ca="1">IFERROR(__xludf.DUMMYFUNCTION("""COMPUTED_VALUE"""),45958)</f>
        <v>45958</v>
      </c>
      <c r="G1349" s="57">
        <f ca="1">IFERROR(__xludf.DUMMYFUNCTION("""COMPUTED_VALUE"""),45915)</f>
        <v>45915</v>
      </c>
      <c r="H1349" s="33" t="str">
        <f ca="1">IFERROR(__xludf.DUMMYFUNCTION("""COMPUTED_VALUE"""),"Valencia- Parra")</f>
        <v>Valencia- Parra</v>
      </c>
      <c r="I1349" s="33" t="str">
        <f ca="1">IFERROR(__xludf.DUMMYFUNCTION("""COMPUTED_VALUE"""),"C2025923163058224")</f>
        <v>C2025923163058224</v>
      </c>
      <c r="J1349" s="33" t="str">
        <f ca="1">IFERROR(__xludf.DUMMYFUNCTION("""COMPUTED_VALUE"""),"FRANCISCO MARTINEZ RAMIREZ")</f>
        <v>FRANCISCO MARTINEZ RAMIREZ</v>
      </c>
      <c r="K1349" s="33">
        <f ca="1">IFERROR(__xludf.DUMMYFUNCTION("""COMPUTED_VALUE"""),2)</f>
        <v>2</v>
      </c>
      <c r="L1349" s="203">
        <f ca="1">IFERROR(__xludf.DUMMYFUNCTION("""COMPUTED_VALUE"""),4000)</f>
        <v>4000</v>
      </c>
      <c r="M1349" s="33" t="str">
        <f ca="1">IFERROR(__xludf.DUMMYFUNCTION("""COMPUTED_VALUE"""),"03 ORL")</f>
        <v>03 ORL</v>
      </c>
      <c r="N1349" s="33" t="str">
        <f ca="1">IFERROR(__xludf.DUMMYFUNCTION("""COMPUTED_VALUE"""),"06 ORL")</f>
        <v>06 ORL</v>
      </c>
      <c r="O1349" s="33" t="str">
        <f ca="1">IFERROR(__xludf.DUMMYFUNCTION("""COMPUTED_VALUE"""),"Dra, Virginia Barrios Crispi")</f>
        <v>Dra, Virginia Barrios Crispi</v>
      </c>
      <c r="P1349" s="33" t="str">
        <f ca="1">IFERROR(__xludf.DUMMYFUNCTION("""COMPUTED_VALUE"""),"Ramon Ferrando(Valencia)")</f>
        <v>Ramon Ferrando(Valencia)</v>
      </c>
    </row>
    <row r="1350" spans="2:16">
      <c r="B1350" s="33">
        <f ca="1">IFERROR(__xludf.DUMMYFUNCTION("""COMPUTED_VALUE"""),2025)</f>
        <v>2025</v>
      </c>
      <c r="C1350" s="33">
        <f ca="1">IFERROR(__xludf.DUMMYFUNCTION("""COMPUTED_VALUE"""),10)</f>
        <v>10</v>
      </c>
      <c r="D1350" s="33" t="str">
        <f ca="1">IFERROR(__xludf.DUMMYFUNCTION("""COMPUTED_VALUE"""),"NO")</f>
        <v>NO</v>
      </c>
      <c r="E1350" s="33" t="str">
        <f ca="1">IFERROR(__xludf.DUMMYFUNCTION("""COMPUTED_VALUE"""),"Leganés")</f>
        <v>Leganés</v>
      </c>
      <c r="F1350" s="57">
        <f ca="1">IFERROR(__xludf.DUMMYFUNCTION("""COMPUTED_VALUE"""),45958)</f>
        <v>45958</v>
      </c>
      <c r="G1350" s="57">
        <f ca="1">IFERROR(__xludf.DUMMYFUNCTION("""COMPUTED_VALUE"""),45783)</f>
        <v>45783</v>
      </c>
      <c r="H1350" s="33" t="str">
        <f ca="1">IFERROR(__xludf.DUMMYFUNCTION("""COMPUTED_VALUE"""),"Leganés")</f>
        <v>Leganés</v>
      </c>
      <c r="I1350" s="33" t="str">
        <f ca="1">IFERROR(__xludf.DUMMYFUNCTION("""COMPUTED_VALUE"""),"C2025512104845211")</f>
        <v>C2025512104845211</v>
      </c>
      <c r="J1350" s="33" t="str">
        <f ca="1">IFERROR(__xludf.DUMMYFUNCTION("""COMPUTED_VALUE"""),"MANUEL FLORES COLLAZOS")</f>
        <v>MANUEL FLORES COLLAZOS</v>
      </c>
      <c r="K1350" s="33">
        <f ca="1">IFERROR(__xludf.DUMMYFUNCTION("""COMPUTED_VALUE"""),-1)</f>
        <v>-1</v>
      </c>
      <c r="L1350" s="203">
        <f ca="1">IFERROR(__xludf.DUMMYFUNCTION("""COMPUTED_VALUE"""),-2162.73)</f>
        <v>-2162.73</v>
      </c>
      <c r="M1350" s="33" t="str">
        <f ca="1">IFERROR(__xludf.DUMMYFUNCTION("""COMPUTED_VALUE"""),"03 ORL")</f>
        <v>03 ORL</v>
      </c>
      <c r="N1350" s="33" t="str">
        <f ca="1">IFERROR(__xludf.DUMMYFUNCTION("""COMPUTED_VALUE"""),"06 ORL")</f>
        <v>06 ORL</v>
      </c>
      <c r="O1350" s="33" t="str">
        <f ca="1">IFERROR(__xludf.DUMMYFUNCTION("""COMPUTED_VALUE"""),"Dr, Carles Heredia Llinás")</f>
        <v>Dr, Carles Heredia Llinás</v>
      </c>
      <c r="P1350" s="33" t="str">
        <f ca="1">IFERROR(__xludf.DUMMYFUNCTION("""COMPUTED_VALUE"""),"Maika Blázquez (Madrid)")</f>
        <v>Maika Blázquez (Madrid)</v>
      </c>
    </row>
    <row r="1351" spans="2:16">
      <c r="B1351" s="33">
        <f ca="1">IFERROR(__xludf.DUMMYFUNCTION("""COMPUTED_VALUE"""),2025)</f>
        <v>2025</v>
      </c>
      <c r="C1351" s="33">
        <f ca="1">IFERROR(__xludf.DUMMYFUNCTION("""COMPUTED_VALUE"""),10)</f>
        <v>10</v>
      </c>
      <c r="D1351" s="33" t="str">
        <f ca="1">IFERROR(__xludf.DUMMYFUNCTION("""COMPUTED_VALUE"""),"NO")</f>
        <v>NO</v>
      </c>
      <c r="E1351" s="33" t="str">
        <f ca="1">IFERROR(__xludf.DUMMYFUNCTION("""COMPUTED_VALUE"""),"Fuenlabrada")</f>
        <v>Fuenlabrada</v>
      </c>
      <c r="F1351" s="57">
        <f ca="1">IFERROR(__xludf.DUMMYFUNCTION("""COMPUTED_VALUE"""),45958)</f>
        <v>45958</v>
      </c>
      <c r="G1351" s="57">
        <f ca="1">IFERROR(__xludf.DUMMYFUNCTION("""COMPUTED_VALUE"""),45902)</f>
        <v>45902</v>
      </c>
      <c r="H1351" s="33" t="str">
        <f ca="1">IFERROR(__xludf.DUMMYFUNCTION("""COMPUTED_VALUE"""),"Fuenlabrada")</f>
        <v>Fuenlabrada</v>
      </c>
      <c r="I1351" s="33" t="str">
        <f ca="1">IFERROR(__xludf.DUMMYFUNCTION("""COMPUTED_VALUE"""),"C202591110728521")</f>
        <v>C202591110728521</v>
      </c>
      <c r="J1351" s="33" t="str">
        <f ca="1">IFERROR(__xludf.DUMMYFUNCTION("""COMPUTED_VALUE"""),"MARIA DEL CARMEN PENSADO LEIS")</f>
        <v>MARIA DEL CARMEN PENSADO LEIS</v>
      </c>
      <c r="K1351" s="33">
        <f ca="1">IFERROR(__xludf.DUMMYFUNCTION("""COMPUTED_VALUE"""),1)</f>
        <v>1</v>
      </c>
      <c r="L1351" s="203">
        <f ca="1">IFERROR(__xludf.DUMMYFUNCTION("""COMPUTED_VALUE"""),2481.82)</f>
        <v>2481.8200000000002</v>
      </c>
      <c r="M1351" s="33" t="str">
        <f ca="1">IFERROR(__xludf.DUMMYFUNCTION("""COMPUTED_VALUE"""),"03 ORL")</f>
        <v>03 ORL</v>
      </c>
      <c r="N1351" s="33" t="str">
        <f ca="1">IFERROR(__xludf.DUMMYFUNCTION("""COMPUTED_VALUE"""),"06 ORL")</f>
        <v>06 ORL</v>
      </c>
      <c r="O1351" s="33" t="str">
        <f ca="1">IFERROR(__xludf.DUMMYFUNCTION("""COMPUTED_VALUE"""),"Dra, Estefania Miranda Sánchez")</f>
        <v>Dra, Estefania Miranda Sánchez</v>
      </c>
      <c r="P1351" s="33" t="str">
        <f ca="1">IFERROR(__xludf.DUMMYFUNCTION("""COMPUTED_VALUE"""),"Maika Blázquez (Madrid)")</f>
        <v>Maika Blázquez (Madrid)</v>
      </c>
    </row>
    <row r="1352" spans="2:16">
      <c r="B1352" s="33">
        <f ca="1">IFERROR(__xludf.DUMMYFUNCTION("""COMPUTED_VALUE"""),2025)</f>
        <v>2025</v>
      </c>
      <c r="C1352" s="33">
        <f ca="1">IFERROR(__xludf.DUMMYFUNCTION("""COMPUTED_VALUE"""),10)</f>
        <v>10</v>
      </c>
      <c r="D1352" s="33" t="str">
        <f ca="1">IFERROR(__xludf.DUMMYFUNCTION("""COMPUTED_VALUE"""),"NO")</f>
        <v>NO</v>
      </c>
      <c r="E1352" s="33" t="str">
        <f ca="1">IFERROR(__xludf.DUMMYFUNCTION("""COMPUTED_VALUE"""),"Sevilla- Montoto")</f>
        <v>Sevilla- Montoto</v>
      </c>
      <c r="F1352" s="57">
        <f ca="1">IFERROR(__xludf.DUMMYFUNCTION("""COMPUTED_VALUE"""),45958)</f>
        <v>45958</v>
      </c>
      <c r="G1352" s="57">
        <f ca="1">IFERROR(__xludf.DUMMYFUNCTION("""COMPUTED_VALUE"""),45938)</f>
        <v>45938</v>
      </c>
      <c r="H1352" s="33" t="str">
        <f ca="1">IFERROR(__xludf.DUMMYFUNCTION("""COMPUTED_VALUE"""),"Montoto")</f>
        <v>Montoto</v>
      </c>
      <c r="I1352" s="33" t="str">
        <f ca="1">IFERROR(__xludf.DUMMYFUNCTION("""COMPUTED_VALUE"""),"C2025101018148692")</f>
        <v>C2025101018148692</v>
      </c>
      <c r="J1352" s="33" t="str">
        <f ca="1">IFERROR(__xludf.DUMMYFUNCTION("""COMPUTED_VALUE"""),"ISABEL VARGAS CASTRO")</f>
        <v>ISABEL VARGAS CASTRO</v>
      </c>
      <c r="K1352" s="33">
        <f ca="1">IFERROR(__xludf.DUMMYFUNCTION("""COMPUTED_VALUE"""),1)</f>
        <v>1</v>
      </c>
      <c r="L1352" s="203">
        <f ca="1">IFERROR(__xludf.DUMMYFUNCTION("""COMPUTED_VALUE"""),2481.82)</f>
        <v>2481.8200000000002</v>
      </c>
      <c r="M1352" s="33" t="str">
        <f ca="1">IFERROR(__xludf.DUMMYFUNCTION("""COMPUTED_VALUE"""),"03 ORL")</f>
        <v>03 ORL</v>
      </c>
      <c r="N1352" s="33" t="str">
        <f ca="1">IFERROR(__xludf.DUMMYFUNCTION("""COMPUTED_VALUE"""),"06 ORL")</f>
        <v>06 ORL</v>
      </c>
      <c r="O1352" s="33" t="str">
        <f ca="1">IFERROR(__xludf.DUMMYFUNCTION("""COMPUTED_VALUE"""),"Dr, Mercedes Ceballos Cauto")</f>
        <v>Dr, Mercedes Ceballos Cauto</v>
      </c>
      <c r="P1352" s="33" t="str">
        <f ca="1">IFERROR(__xludf.DUMMYFUNCTION("""COMPUTED_VALUE"""),"Luis Alberto Rodríguez (Andalucía y Badajoz)")</f>
        <v>Luis Alberto Rodríguez (Andalucía y Badajoz)</v>
      </c>
    </row>
    <row r="1353" spans="2:16">
      <c r="B1353" s="33">
        <f ca="1">IFERROR(__xludf.DUMMYFUNCTION("""COMPUTED_VALUE"""),2025)</f>
        <v>2025</v>
      </c>
      <c r="C1353" s="33">
        <f ca="1">IFERROR(__xludf.DUMMYFUNCTION("""COMPUTED_VALUE"""),10)</f>
        <v>10</v>
      </c>
      <c r="D1353" s="33" t="str">
        <f ca="1">IFERROR(__xludf.DUMMYFUNCTION("""COMPUTED_VALUE"""),"NO")</f>
        <v>NO</v>
      </c>
      <c r="E1353" s="33" t="str">
        <f ca="1">IFERROR(__xludf.DUMMYFUNCTION("""COMPUTED_VALUE"""),"Boiro")</f>
        <v>Boiro</v>
      </c>
      <c r="F1353" s="57">
        <f ca="1">IFERROR(__xludf.DUMMYFUNCTION("""COMPUTED_VALUE"""),45959)</f>
        <v>45959</v>
      </c>
      <c r="G1353" s="57">
        <f ca="1">IFERROR(__xludf.DUMMYFUNCTION("""COMPUTED_VALUE"""),45939)</f>
        <v>45939</v>
      </c>
      <c r="H1353" s="33" t="str">
        <f ca="1">IFERROR(__xludf.DUMMYFUNCTION("""COMPUTED_VALUE"""),"Boiro")</f>
        <v>Boiro</v>
      </c>
      <c r="I1353" s="33" t="str">
        <f ca="1">IFERROR(__xludf.DUMMYFUNCTION("""COMPUTED_VALUE"""),"BOI-1003")</f>
        <v>BOI-1003</v>
      </c>
      <c r="J1353" s="33" t="str">
        <f ca="1">IFERROR(__xludf.DUMMYFUNCTION("""COMPUTED_VALUE"""),"JUAN RAMON FERNANDEZ SUAREZ")</f>
        <v>JUAN RAMON FERNANDEZ SUAREZ</v>
      </c>
      <c r="K1353" s="33">
        <f ca="1">IFERROR(__xludf.DUMMYFUNCTION("""COMPUTED_VALUE"""),2)</f>
        <v>2</v>
      </c>
      <c r="L1353" s="203">
        <f ca="1">IFERROR(__xludf.DUMMYFUNCTION("""COMPUTED_VALUE"""),3172.73)</f>
        <v>3172.73</v>
      </c>
      <c r="M1353" s="33" t="str">
        <f ca="1">IFERROR(__xludf.DUMMYFUNCTION("""COMPUTED_VALUE"""),"03 ORL")</f>
        <v>03 ORL</v>
      </c>
      <c r="N1353" s="33" t="str">
        <f ca="1">IFERROR(__xludf.DUMMYFUNCTION("""COMPUTED_VALUE"""),"06 ORL")</f>
        <v>06 ORL</v>
      </c>
      <c r="O1353" s="33" t="str">
        <f ca="1">IFERROR(__xludf.DUMMYFUNCTION("""COMPUTED_VALUE"""),"Dr, Ernesto Varela Martínez")</f>
        <v>Dr, Ernesto Varela Martínez</v>
      </c>
      <c r="P1353" s="33" t="str">
        <f ca="1">IFERROR(__xludf.DUMMYFUNCTION("""COMPUTED_VALUE"""),"Roberto Pereira (Galicia)")</f>
        <v>Roberto Pereira (Galicia)</v>
      </c>
    </row>
    <row r="1354" spans="2:16">
      <c r="B1354" s="33">
        <f ca="1">IFERROR(__xludf.DUMMYFUNCTION("""COMPUTED_VALUE"""),2025)</f>
        <v>2025</v>
      </c>
      <c r="C1354" s="33">
        <f ca="1">IFERROR(__xludf.DUMMYFUNCTION("""COMPUTED_VALUE"""),10)</f>
        <v>10</v>
      </c>
      <c r="D1354" s="33" t="str">
        <f ca="1">IFERROR(__xludf.DUMMYFUNCTION("""COMPUTED_VALUE"""),"NO")</f>
        <v>NO</v>
      </c>
      <c r="E1354" s="33" t="str">
        <f ca="1">IFERROR(__xludf.DUMMYFUNCTION("""COMPUTED_VALUE"""),"Cáceres")</f>
        <v>Cáceres</v>
      </c>
      <c r="F1354" s="57">
        <f ca="1">IFERROR(__xludf.DUMMYFUNCTION("""COMPUTED_VALUE"""),45959)</f>
        <v>45959</v>
      </c>
      <c r="G1354" s="57">
        <f ca="1">IFERROR(__xludf.DUMMYFUNCTION("""COMPUTED_VALUE"""),45925)</f>
        <v>45925</v>
      </c>
      <c r="H1354" s="33" t="str">
        <f ca="1">IFERROR(__xludf.DUMMYFUNCTION("""COMPUTED_VALUE"""),"Cáceres")</f>
        <v>Cáceres</v>
      </c>
      <c r="I1354" s="33" t="str">
        <f ca="1">IFERROR(__xludf.DUMMYFUNCTION("""COMPUTED_VALUE"""),"CAC-399")</f>
        <v>CAC-399</v>
      </c>
      <c r="J1354" s="33" t="str">
        <f ca="1">IFERROR(__xludf.DUMMYFUNCTION("""COMPUTED_VALUE"""),"ANTONIO ROSA GOMEZ")</f>
        <v>ANTONIO ROSA GOMEZ</v>
      </c>
      <c r="K1354" s="33">
        <f ca="1">IFERROR(__xludf.DUMMYFUNCTION("""COMPUTED_VALUE"""),2)</f>
        <v>2</v>
      </c>
      <c r="L1354" s="203">
        <f ca="1">IFERROR(__xludf.DUMMYFUNCTION("""COMPUTED_VALUE"""),3536.36)</f>
        <v>3536.36</v>
      </c>
      <c r="M1354" s="33" t="str">
        <f ca="1">IFERROR(__xludf.DUMMYFUNCTION("""COMPUTED_VALUE"""),"03 ORL")</f>
        <v>03 ORL</v>
      </c>
      <c r="N1354" s="33" t="str">
        <f ca="1">IFERROR(__xludf.DUMMYFUNCTION("""COMPUTED_VALUE"""),"06 ORL")</f>
        <v>06 ORL</v>
      </c>
      <c r="O1354" s="33" t="str">
        <f ca="1">IFERROR(__xludf.DUMMYFUNCTION("""COMPUTED_VALUE"""),"Dr, Manuel Cañete Domínguez")</f>
        <v>Dr, Manuel Cañete Domínguez</v>
      </c>
      <c r="P1354" s="33" t="str">
        <f ca="1">IFERROR(__xludf.DUMMYFUNCTION("""COMPUTED_VALUE"""),"Lisandro Russian (Madrid, Cáceres, Toledo, Talavera Y Logroño)")</f>
        <v>Lisandro Russian (Madrid, Cáceres, Toledo, Talavera Y Logroño)</v>
      </c>
    </row>
    <row r="1355" spans="2:16">
      <c r="B1355" s="33">
        <f ca="1">IFERROR(__xludf.DUMMYFUNCTION("""COMPUTED_VALUE"""),2025)</f>
        <v>2025</v>
      </c>
      <c r="C1355" s="33">
        <f ca="1">IFERROR(__xludf.DUMMYFUNCTION("""COMPUTED_VALUE"""),10)</f>
        <v>10</v>
      </c>
      <c r="D1355" s="33" t="str">
        <f ca="1">IFERROR(__xludf.DUMMYFUNCTION("""COMPUTED_VALUE"""),"NO")</f>
        <v>NO</v>
      </c>
      <c r="E1355" s="33" t="str">
        <f ca="1">IFERROR(__xludf.DUMMYFUNCTION("""COMPUTED_VALUE"""),"Cáceres")</f>
        <v>Cáceres</v>
      </c>
      <c r="F1355" s="57">
        <f ca="1">IFERROR(__xludf.DUMMYFUNCTION("""COMPUTED_VALUE"""),45959)</f>
        <v>45959</v>
      </c>
      <c r="G1355" s="57">
        <f ca="1">IFERROR(__xludf.DUMMYFUNCTION("""COMPUTED_VALUE"""),45929)</f>
        <v>45929</v>
      </c>
      <c r="H1355" s="33" t="str">
        <f ca="1">IFERROR(__xludf.DUMMYFUNCTION("""COMPUTED_VALUE"""),"Cáceres")</f>
        <v>Cáceres</v>
      </c>
      <c r="I1355" s="33" t="str">
        <f ca="1">IFERROR(__xludf.DUMMYFUNCTION("""COMPUTED_VALUE"""),"CAC-401")</f>
        <v>CAC-401</v>
      </c>
      <c r="J1355" s="33" t="str">
        <f ca="1">IFERROR(__xludf.DUMMYFUNCTION("""COMPUTED_VALUE"""),"JULIA ESPADA REY")</f>
        <v>JULIA ESPADA REY</v>
      </c>
      <c r="K1355" s="33">
        <f ca="1">IFERROR(__xludf.DUMMYFUNCTION("""COMPUTED_VALUE"""),1)</f>
        <v>1</v>
      </c>
      <c r="L1355" s="203">
        <f ca="1">IFERROR(__xludf.DUMMYFUNCTION("""COMPUTED_VALUE"""),2250)</f>
        <v>2250</v>
      </c>
      <c r="M1355" s="33" t="str">
        <f ca="1">IFERROR(__xludf.DUMMYFUNCTION("""COMPUTED_VALUE"""),"03 ORL")</f>
        <v>03 ORL</v>
      </c>
      <c r="N1355" s="33" t="str">
        <f ca="1">IFERROR(__xludf.DUMMYFUNCTION("""COMPUTED_VALUE"""),"06 ORL")</f>
        <v>06 ORL</v>
      </c>
      <c r="O1355" s="33" t="str">
        <f ca="1">IFERROR(__xludf.DUMMYFUNCTION("""COMPUTED_VALUE"""),"Dra, Marta García Jiménez")</f>
        <v>Dra, Marta García Jiménez</v>
      </c>
      <c r="P1355" s="33" t="str">
        <f ca="1">IFERROR(__xludf.DUMMYFUNCTION("""COMPUTED_VALUE"""),"Lisandro Russian (Madrid, Cáceres, Toledo, Talavera Y Logroño)")</f>
        <v>Lisandro Russian (Madrid, Cáceres, Toledo, Talavera Y Logroño)</v>
      </c>
    </row>
    <row r="1356" spans="2:16">
      <c r="B1356" s="33">
        <f ca="1">IFERROR(__xludf.DUMMYFUNCTION("""COMPUTED_VALUE"""),2025)</f>
        <v>2025</v>
      </c>
      <c r="C1356" s="33">
        <f ca="1">IFERROR(__xludf.DUMMYFUNCTION("""COMPUTED_VALUE"""),10)</f>
        <v>10</v>
      </c>
      <c r="D1356" s="33" t="str">
        <f ca="1">IFERROR(__xludf.DUMMYFUNCTION("""COMPUTED_VALUE"""),"NO")</f>
        <v>NO</v>
      </c>
      <c r="E1356" s="33" t="str">
        <f ca="1">IFERROR(__xludf.DUMMYFUNCTION("""COMPUTED_VALUE"""),"León")</f>
        <v>León</v>
      </c>
      <c r="F1356" s="57">
        <f ca="1">IFERROR(__xludf.DUMMYFUNCTION("""COMPUTED_VALUE"""),45959)</f>
        <v>45959</v>
      </c>
      <c r="G1356" s="57">
        <f ca="1">IFERROR(__xludf.DUMMYFUNCTION("""COMPUTED_VALUE"""),45937)</f>
        <v>45937</v>
      </c>
      <c r="H1356" s="33" t="str">
        <f ca="1">IFERROR(__xludf.DUMMYFUNCTION("""COMPUTED_VALUE"""),"León")</f>
        <v>León</v>
      </c>
      <c r="I1356" s="33" t="str">
        <f ca="1">IFERROR(__xludf.DUMMYFUNCTION("""COMPUTED_VALUE"""),"LEO-551")</f>
        <v>LEO-551</v>
      </c>
      <c r="J1356" s="33" t="str">
        <f ca="1">IFERROR(__xludf.DUMMYFUNCTION("""COMPUTED_VALUE"""),"JOSE LUIS FERNANDEZ PEREZ")</f>
        <v>JOSE LUIS FERNANDEZ PEREZ</v>
      </c>
      <c r="K1356" s="33">
        <f ca="1">IFERROR(__xludf.DUMMYFUNCTION("""COMPUTED_VALUE"""),2)</f>
        <v>2</v>
      </c>
      <c r="L1356" s="203">
        <f ca="1">IFERROR(__xludf.DUMMYFUNCTION("""COMPUTED_VALUE"""),3181.82)</f>
        <v>3181.82</v>
      </c>
      <c r="M1356" s="33" t="str">
        <f ca="1">IFERROR(__xludf.DUMMYFUNCTION("""COMPUTED_VALUE"""),"03 ORL")</f>
        <v>03 ORL</v>
      </c>
      <c r="N1356" s="33" t="str">
        <f ca="1">IFERROR(__xludf.DUMMYFUNCTION("""COMPUTED_VALUE"""),"06 ORL")</f>
        <v>06 ORL</v>
      </c>
      <c r="O1356" s="33" t="str">
        <f ca="1">IFERROR(__xludf.DUMMYFUNCTION("""COMPUTED_VALUE"""),"Dra, Mónica Granda Rosales")</f>
        <v>Dra, Mónica Granda Rosales</v>
      </c>
      <c r="P1356" s="33" t="str">
        <f ca="1">IFERROR(__xludf.DUMMYFUNCTION("""COMPUTED_VALUE"""),"Alberto Moreno (Madrid)")</f>
        <v>Alberto Moreno (Madrid)</v>
      </c>
    </row>
    <row r="1357" spans="2:16">
      <c r="B1357" s="33">
        <f ca="1">IFERROR(__xludf.DUMMYFUNCTION("""COMPUTED_VALUE"""),2025)</f>
        <v>2025</v>
      </c>
      <c r="C1357" s="33">
        <f ca="1">IFERROR(__xludf.DUMMYFUNCTION("""COMPUTED_VALUE"""),10)</f>
        <v>10</v>
      </c>
      <c r="D1357" s="33" t="str">
        <f ca="1">IFERROR(__xludf.DUMMYFUNCTION("""COMPUTED_VALUE"""),"NO")</f>
        <v>NO</v>
      </c>
      <c r="E1357" s="33" t="str">
        <f ca="1">IFERROR(__xludf.DUMMYFUNCTION("""COMPUTED_VALUE"""),"Alicante")</f>
        <v>Alicante</v>
      </c>
      <c r="F1357" s="57">
        <f ca="1">IFERROR(__xludf.DUMMYFUNCTION("""COMPUTED_VALUE"""),45959)</f>
        <v>45959</v>
      </c>
      <c r="G1357" s="57">
        <f ca="1">IFERROR(__xludf.DUMMYFUNCTION("""COMPUTED_VALUE"""),45922)</f>
        <v>45922</v>
      </c>
      <c r="H1357" s="33" t="str">
        <f ca="1">IFERROR(__xludf.DUMMYFUNCTION("""COMPUTED_VALUE"""),"Alicante")</f>
        <v>Alicante</v>
      </c>
      <c r="I1357" s="33" t="str">
        <f ca="1">IFERROR(__xludf.DUMMYFUNCTION("""COMPUTED_VALUE"""),"C2025923172918699")</f>
        <v>C2025923172918699</v>
      </c>
      <c r="J1357" s="33" t="str">
        <f ca="1">IFERROR(__xludf.DUMMYFUNCTION("""COMPUTED_VALUE"""),"ELIA MORENO MORENO")</f>
        <v>ELIA MORENO MORENO</v>
      </c>
      <c r="K1357" s="33">
        <f ca="1">IFERROR(__xludf.DUMMYFUNCTION("""COMPUTED_VALUE"""),1)</f>
        <v>1</v>
      </c>
      <c r="L1357" s="203">
        <f ca="1">IFERROR(__xludf.DUMMYFUNCTION("""COMPUTED_VALUE"""),1631.82)</f>
        <v>1631.82</v>
      </c>
      <c r="M1357" s="33" t="str">
        <f ca="1">IFERROR(__xludf.DUMMYFUNCTION("""COMPUTED_VALUE"""),"03 ORL")</f>
        <v>03 ORL</v>
      </c>
      <c r="N1357" s="33" t="str">
        <f ca="1">IFERROR(__xludf.DUMMYFUNCTION("""COMPUTED_VALUE"""),"06 ORL")</f>
        <v>06 ORL</v>
      </c>
      <c r="O1357" s="33" t="str">
        <f ca="1">IFERROR(__xludf.DUMMYFUNCTION("""COMPUTED_VALUE"""),"Dr, Félix Ruíz de la Cuesta Juste")</f>
        <v>Dr, Félix Ruíz de la Cuesta Juste</v>
      </c>
      <c r="P1357" s="33" t="str">
        <f ca="1">IFERROR(__xludf.DUMMYFUNCTION("""COMPUTED_VALUE"""),"Iván Sánchez (Levante Y Albacete)")</f>
        <v>Iván Sánchez (Levante Y Albacete)</v>
      </c>
    </row>
    <row r="1358" spans="2:16">
      <c r="B1358" s="33">
        <f ca="1">IFERROR(__xludf.DUMMYFUNCTION("""COMPUTED_VALUE"""),2025)</f>
        <v>2025</v>
      </c>
      <c r="C1358" s="33">
        <f ca="1">IFERROR(__xludf.DUMMYFUNCTION("""COMPUTED_VALUE"""),10)</f>
        <v>10</v>
      </c>
      <c r="D1358" s="33" t="str">
        <f ca="1">IFERROR(__xludf.DUMMYFUNCTION("""COMPUTED_VALUE"""),"NO")</f>
        <v>NO</v>
      </c>
      <c r="E1358" s="33" t="str">
        <f ca="1">IFERROR(__xludf.DUMMYFUNCTION("""COMPUTED_VALUE"""),"San Javier")</f>
        <v>San Javier</v>
      </c>
      <c r="F1358" s="57">
        <f ca="1">IFERROR(__xludf.DUMMYFUNCTION("""COMPUTED_VALUE"""),45959)</f>
        <v>45959</v>
      </c>
      <c r="G1358" s="57">
        <f ca="1">IFERROR(__xludf.DUMMYFUNCTION("""COMPUTED_VALUE"""),45930)</f>
        <v>45930</v>
      </c>
      <c r="H1358" s="33" t="str">
        <f ca="1">IFERROR(__xludf.DUMMYFUNCTION("""COMPUTED_VALUE"""),"San Javier")</f>
        <v>San Javier</v>
      </c>
      <c r="I1358" s="33" t="str">
        <f ca="1">IFERROR(__xludf.DUMMYFUNCTION("""COMPUTED_VALUE"""),"C2025106155740814")</f>
        <v>C2025106155740814</v>
      </c>
      <c r="J1358" s="33" t="str">
        <f ca="1">IFERROR(__xludf.DUMMYFUNCTION("""COMPUTED_VALUE"""),"ROSAMUND REGINA MONICA CHESHIRE")</f>
        <v>ROSAMUND REGINA MONICA CHESHIRE</v>
      </c>
      <c r="K1358" s="33">
        <f ca="1">IFERROR(__xludf.DUMMYFUNCTION("""COMPUTED_VALUE"""),2)</f>
        <v>2</v>
      </c>
      <c r="L1358" s="203">
        <f ca="1">IFERROR(__xludf.DUMMYFUNCTION("""COMPUTED_VALUE"""),4536.36)</f>
        <v>4536.3599999999997</v>
      </c>
      <c r="M1358" s="33" t="str">
        <f ca="1">IFERROR(__xludf.DUMMYFUNCTION("""COMPUTED_VALUE"""),"03 ORL")</f>
        <v>03 ORL</v>
      </c>
      <c r="N1358" s="33" t="str">
        <f ca="1">IFERROR(__xludf.DUMMYFUNCTION("""COMPUTED_VALUE"""),"06 ORL")</f>
        <v>06 ORL</v>
      </c>
      <c r="O1358" s="33" t="str">
        <f ca="1">IFERROR(__xludf.DUMMYFUNCTION("""COMPUTED_VALUE"""),"Dra, María Teresa Almela Rojo")</f>
        <v>Dra, María Teresa Almela Rojo</v>
      </c>
      <c r="P1358" s="33" t="str">
        <f ca="1">IFERROR(__xludf.DUMMYFUNCTION("""COMPUTED_VALUE"""),"Iván Sánchez (Levante Y Albacete)")</f>
        <v>Iván Sánchez (Levante Y Albacete)</v>
      </c>
    </row>
    <row r="1359" spans="2:16">
      <c r="B1359" s="33">
        <f ca="1">IFERROR(__xludf.DUMMYFUNCTION("""COMPUTED_VALUE"""),2025)</f>
        <v>2025</v>
      </c>
      <c r="C1359" s="33">
        <f ca="1">IFERROR(__xludf.DUMMYFUNCTION("""COMPUTED_VALUE"""),10)</f>
        <v>10</v>
      </c>
      <c r="D1359" s="33" t="str">
        <f ca="1">IFERROR(__xludf.DUMMYFUNCTION("""COMPUTED_VALUE"""),"NO")</f>
        <v>NO</v>
      </c>
      <c r="E1359" s="33" t="str">
        <f ca="1">IFERROR(__xludf.DUMMYFUNCTION("""COMPUTED_VALUE"""),"Leganés")</f>
        <v>Leganés</v>
      </c>
      <c r="F1359" s="57">
        <f ca="1">IFERROR(__xludf.DUMMYFUNCTION("""COMPUTED_VALUE"""),45959)</f>
        <v>45959</v>
      </c>
      <c r="G1359" s="57">
        <f ca="1">IFERROR(__xludf.DUMMYFUNCTION("""COMPUTED_VALUE"""),45805)</f>
        <v>45805</v>
      </c>
      <c r="H1359" s="33" t="str">
        <f ca="1">IFERROR(__xludf.DUMMYFUNCTION("""COMPUTED_VALUE"""),"Leganés")</f>
        <v>Leganés</v>
      </c>
      <c r="I1359" s="33" t="str">
        <f ca="1">IFERROR(__xludf.DUMMYFUNCTION("""COMPUTED_VALUE"""),"C202563162936488")</f>
        <v>C202563162936488</v>
      </c>
      <c r="J1359" s="33" t="str">
        <f ca="1">IFERROR(__xludf.DUMMYFUNCTION("""COMPUTED_VALUE"""),"ROSA MARIA VICO DIAZ-PARREÑO")</f>
        <v>ROSA MARIA VICO DIAZ-PARREÑO</v>
      </c>
      <c r="K1359" s="33">
        <f ca="1">IFERROR(__xludf.DUMMYFUNCTION("""COMPUTED_VALUE"""),1)</f>
        <v>1</v>
      </c>
      <c r="L1359" s="203">
        <f ca="1">IFERROR(__xludf.DUMMYFUNCTION("""COMPUTED_VALUE"""),2450)</f>
        <v>2450</v>
      </c>
      <c r="M1359" s="33" t="str">
        <f ca="1">IFERROR(__xludf.DUMMYFUNCTION("""COMPUTED_VALUE"""),"03 ORL")</f>
        <v>03 ORL</v>
      </c>
      <c r="N1359" s="33" t="str">
        <f ca="1">IFERROR(__xludf.DUMMYFUNCTION("""COMPUTED_VALUE"""),"06 ORL")</f>
        <v>06 ORL</v>
      </c>
      <c r="O1359" s="33" t="str">
        <f ca="1">IFERROR(__xludf.DUMMYFUNCTION("""COMPUTED_VALUE"""),"Dra, Ana Ruiz Fornells Noreña")</f>
        <v>Dra, Ana Ruiz Fornells Noreña</v>
      </c>
      <c r="P1359" s="33" t="str">
        <f ca="1">IFERROR(__xludf.DUMMYFUNCTION("""COMPUTED_VALUE"""),"Maika Blázquez (Madrid)")</f>
        <v>Maika Blázquez (Madrid)</v>
      </c>
    </row>
    <row r="1360" spans="2:16">
      <c r="B1360" s="33">
        <f ca="1">IFERROR(__xludf.DUMMYFUNCTION("""COMPUTED_VALUE"""),2025)</f>
        <v>2025</v>
      </c>
      <c r="C1360" s="33">
        <f ca="1">IFERROR(__xludf.DUMMYFUNCTION("""COMPUTED_VALUE"""),10)</f>
        <v>10</v>
      </c>
      <c r="D1360" s="33" t="str">
        <f ca="1">IFERROR(__xludf.DUMMYFUNCTION("""COMPUTED_VALUE"""),"NO")</f>
        <v>NO</v>
      </c>
      <c r="E1360" s="33" t="str">
        <f ca="1">IFERROR(__xludf.DUMMYFUNCTION("""COMPUTED_VALUE"""),"Zaragoza- León XIII")</f>
        <v>Zaragoza- León XIII</v>
      </c>
      <c r="F1360" s="57">
        <f ca="1">IFERROR(__xludf.DUMMYFUNCTION("""COMPUTED_VALUE"""),45959)</f>
        <v>45959</v>
      </c>
      <c r="G1360" s="57">
        <f ca="1">IFERROR(__xludf.DUMMYFUNCTION("""COMPUTED_VALUE"""),45810)</f>
        <v>45810</v>
      </c>
      <c r="H1360" s="33" t="str">
        <f ca="1">IFERROR(__xludf.DUMMYFUNCTION("""COMPUTED_VALUE"""),"Zaragoza")</f>
        <v>Zaragoza</v>
      </c>
      <c r="I1360" s="33" t="str">
        <f ca="1">IFERROR(__xludf.DUMMYFUNCTION("""COMPUTED_VALUE"""),"ZRG-649")</f>
        <v>ZRG-649</v>
      </c>
      <c r="J1360" s="33" t="str">
        <f ca="1">IFERROR(__xludf.DUMMYFUNCTION("""COMPUTED_VALUE"""),"AURORA MAÑEZ BAQUERO")</f>
        <v>AURORA MAÑEZ BAQUERO</v>
      </c>
      <c r="K1360" s="33">
        <f ca="1">IFERROR(__xludf.DUMMYFUNCTION("""COMPUTED_VALUE"""),2)</f>
        <v>2</v>
      </c>
      <c r="L1360" s="203">
        <f ca="1">IFERROR(__xludf.DUMMYFUNCTION("""COMPUTED_VALUE"""),2932.69)</f>
        <v>2932.69</v>
      </c>
      <c r="M1360" s="33" t="str">
        <f ca="1">IFERROR(__xludf.DUMMYFUNCTION("""COMPUTED_VALUE"""),"03 ORL")</f>
        <v>03 ORL</v>
      </c>
      <c r="N1360" s="33" t="str">
        <f ca="1">IFERROR(__xludf.DUMMYFUNCTION("""COMPUTED_VALUE"""),"06 ORL")</f>
        <v>06 ORL</v>
      </c>
      <c r="O1360" s="33" t="str">
        <f ca="1">IFERROR(__xludf.DUMMYFUNCTION("""COMPUTED_VALUE"""),"Dr, Jaime Leache Pueyo")</f>
        <v>Dr, Jaime Leache Pueyo</v>
      </c>
      <c r="P1360" s="33" t="str">
        <f ca="1">IFERROR(__xludf.DUMMYFUNCTION("""COMPUTED_VALUE"""),"Ignacio Berdejo (Zaragoza)")</f>
        <v>Ignacio Berdejo (Zaragoza)</v>
      </c>
    </row>
    <row r="1361" spans="2:16">
      <c r="B1361" s="33">
        <f ca="1">IFERROR(__xludf.DUMMYFUNCTION("""COMPUTED_VALUE"""),2025)</f>
        <v>2025</v>
      </c>
      <c r="C1361" s="33">
        <f ca="1">IFERROR(__xludf.DUMMYFUNCTION("""COMPUTED_VALUE"""),10)</f>
        <v>10</v>
      </c>
      <c r="D1361" s="33" t="str">
        <f ca="1">IFERROR(__xludf.DUMMYFUNCTION("""COMPUTED_VALUE"""),"NO")</f>
        <v>NO</v>
      </c>
      <c r="E1361" s="33" t="str">
        <f ca="1">IFERROR(__xludf.DUMMYFUNCTION("""COMPUTED_VALUE"""),"Lugo")</f>
        <v>Lugo</v>
      </c>
      <c r="F1361" s="57">
        <f ca="1">IFERROR(__xludf.DUMMYFUNCTION("""COMPUTED_VALUE"""),45959)</f>
        <v>45959</v>
      </c>
      <c r="G1361" s="57">
        <f ca="1">IFERROR(__xludf.DUMMYFUNCTION("""COMPUTED_VALUE"""),45932)</f>
        <v>45932</v>
      </c>
      <c r="H1361" s="33" t="str">
        <f ca="1">IFERROR(__xludf.DUMMYFUNCTION("""COMPUTED_VALUE"""),"Lugo")</f>
        <v>Lugo</v>
      </c>
      <c r="I1361" s="33" t="str">
        <f ca="1">IFERROR(__xludf.DUMMYFUNCTION("""COMPUTED_VALUE"""),"C202510218947419")</f>
        <v>C202510218947419</v>
      </c>
      <c r="J1361" s="33" t="str">
        <f ca="1">IFERROR(__xludf.DUMMYFUNCTION("""COMPUTED_VALUE"""),"EMILIO PULPEIRO FERNANDEZ")</f>
        <v>EMILIO PULPEIRO FERNANDEZ</v>
      </c>
      <c r="K1361" s="33">
        <f ca="1">IFERROR(__xludf.DUMMYFUNCTION("""COMPUTED_VALUE"""),1)</f>
        <v>1</v>
      </c>
      <c r="L1361" s="203">
        <f ca="1">IFERROR(__xludf.DUMMYFUNCTION("""COMPUTED_VALUE"""),2180.91)</f>
        <v>2180.91</v>
      </c>
      <c r="M1361" s="33" t="str">
        <f ca="1">IFERROR(__xludf.DUMMYFUNCTION("""COMPUTED_VALUE"""),"03 ORL")</f>
        <v>03 ORL</v>
      </c>
      <c r="N1361" s="33" t="str">
        <f ca="1">IFERROR(__xludf.DUMMYFUNCTION("""COMPUTED_VALUE"""),"06 ORL")</f>
        <v>06 ORL</v>
      </c>
      <c r="O1361" s="33" t="str">
        <f ca="1">IFERROR(__xludf.DUMMYFUNCTION("""COMPUTED_VALUE"""),"Dra, Paula Rodríguez Rivas")</f>
        <v>Dra, Paula Rodríguez Rivas</v>
      </c>
      <c r="P1361" s="33" t="str">
        <f ca="1">IFERROR(__xludf.DUMMYFUNCTION("""COMPUTED_VALUE"""),"Roberto Pereira (Galicia)")</f>
        <v>Roberto Pereira (Galicia)</v>
      </c>
    </row>
    <row r="1362" spans="2:16">
      <c r="B1362" s="33">
        <f ca="1">IFERROR(__xludf.DUMMYFUNCTION("""COMPUTED_VALUE"""),2025)</f>
        <v>2025</v>
      </c>
      <c r="C1362" s="33">
        <f ca="1">IFERROR(__xludf.DUMMYFUNCTION("""COMPUTED_VALUE"""),10)</f>
        <v>10</v>
      </c>
      <c r="D1362" s="33" t="str">
        <f ca="1">IFERROR(__xludf.DUMMYFUNCTION("""COMPUTED_VALUE"""),"NO")</f>
        <v>NO</v>
      </c>
      <c r="E1362" s="33" t="str">
        <f ca="1">IFERROR(__xludf.DUMMYFUNCTION("""COMPUTED_VALUE"""),"Palencia")</f>
        <v>Palencia</v>
      </c>
      <c r="F1362" s="57">
        <f ca="1">IFERROR(__xludf.DUMMYFUNCTION("""COMPUTED_VALUE"""),45959)</f>
        <v>45959</v>
      </c>
      <c r="G1362" s="57">
        <f ca="1">IFERROR(__xludf.DUMMYFUNCTION("""COMPUTED_VALUE"""),45922)</f>
        <v>45922</v>
      </c>
      <c r="H1362" s="33" t="str">
        <f ca="1">IFERROR(__xludf.DUMMYFUNCTION("""COMPUTED_VALUE"""),"Palencia")</f>
        <v>Palencia</v>
      </c>
      <c r="I1362" s="33" t="str">
        <f ca="1">IFERROR(__xludf.DUMMYFUNCTION("""COMPUTED_VALUE"""),"C202510616458945")</f>
        <v>C202510616458945</v>
      </c>
      <c r="J1362" s="33" t="str">
        <f ca="1">IFERROR(__xludf.DUMMYFUNCTION("""COMPUTED_VALUE"""),"VALENTINA CALLEJA DE LAS HERAS [MARIA TERESA LOZANO CALLEJA]")</f>
        <v>VALENTINA CALLEJA DE LAS HERAS [MARIA TERESA LOZANO CALLEJA]</v>
      </c>
      <c r="K1362" s="33">
        <f ca="1">IFERROR(__xludf.DUMMYFUNCTION("""COMPUTED_VALUE"""),2)</f>
        <v>2</v>
      </c>
      <c r="L1362" s="203">
        <f ca="1">IFERROR(__xludf.DUMMYFUNCTION("""COMPUTED_VALUE"""),4136.36)</f>
        <v>4136.3599999999997</v>
      </c>
      <c r="M1362" s="33" t="str">
        <f ca="1">IFERROR(__xludf.DUMMYFUNCTION("""COMPUTED_VALUE"""),"03 ORL")</f>
        <v>03 ORL</v>
      </c>
      <c r="N1362" s="33" t="str">
        <f ca="1">IFERROR(__xludf.DUMMYFUNCTION("""COMPUTED_VALUE"""),"06 ORL")</f>
        <v>06 ORL</v>
      </c>
      <c r="O1362" s="33" t="str">
        <f ca="1">IFERROR(__xludf.DUMMYFUNCTION("""COMPUTED_VALUE"""),"Dr, Fernando Martín Peña")</f>
        <v>Dr, Fernando Martín Peña</v>
      </c>
      <c r="P1362" s="33" t="str">
        <f ca="1">IFERROR(__xludf.DUMMYFUNCTION("""COMPUTED_VALUE"""),"Alberto Moreno (Madrid)")</f>
        <v>Alberto Moreno (Madrid)</v>
      </c>
    </row>
    <row r="1363" spans="2:16">
      <c r="B1363" s="33">
        <f ca="1">IFERROR(__xludf.DUMMYFUNCTION("""COMPUTED_VALUE"""),2025)</f>
        <v>2025</v>
      </c>
      <c r="C1363" s="33">
        <f ca="1">IFERROR(__xludf.DUMMYFUNCTION("""COMPUTED_VALUE"""),10)</f>
        <v>10</v>
      </c>
      <c r="D1363" s="33" t="str">
        <f ca="1">IFERROR(__xludf.DUMMYFUNCTION("""COMPUTED_VALUE"""),"NO")</f>
        <v>NO</v>
      </c>
      <c r="E1363" s="33" t="str">
        <f ca="1">IFERROR(__xludf.DUMMYFUNCTION("""COMPUTED_VALUE"""),"Talavera")</f>
        <v>Talavera</v>
      </c>
      <c r="F1363" s="57">
        <f ca="1">IFERROR(__xludf.DUMMYFUNCTION("""COMPUTED_VALUE"""),45959)</f>
        <v>45959</v>
      </c>
      <c r="G1363" s="57">
        <f ca="1">IFERROR(__xludf.DUMMYFUNCTION("""COMPUTED_VALUE"""),45751)</f>
        <v>45751</v>
      </c>
      <c r="H1363" s="33" t="str">
        <f ca="1">IFERROR(__xludf.DUMMYFUNCTION("""COMPUTED_VALUE"""),"Talavera")</f>
        <v>Talavera</v>
      </c>
      <c r="I1363" s="33" t="str">
        <f ca="1">IFERROR(__xludf.DUMMYFUNCTION("""COMPUTED_VALUE"""),"C20254410337582")</f>
        <v>C20254410337582</v>
      </c>
      <c r="J1363" s="33" t="str">
        <f ca="1">IFERROR(__xludf.DUMMYFUNCTION("""COMPUTED_VALUE"""),"MARIA CARMEN RAMOS RAMOS")</f>
        <v>MARIA CARMEN RAMOS RAMOS</v>
      </c>
      <c r="K1363" s="33">
        <f ca="1">IFERROR(__xludf.DUMMYFUNCTION("""COMPUTED_VALUE"""),2)</f>
        <v>2</v>
      </c>
      <c r="L1363" s="203">
        <f ca="1">IFERROR(__xludf.DUMMYFUNCTION("""COMPUTED_VALUE"""),2582.28)</f>
        <v>2582.2800000000002</v>
      </c>
      <c r="M1363" s="33" t="str">
        <f ca="1">IFERROR(__xludf.DUMMYFUNCTION("""COMPUTED_VALUE"""),"03 ORL")</f>
        <v>03 ORL</v>
      </c>
      <c r="N1363" s="33" t="str">
        <f ca="1">IFERROR(__xludf.DUMMYFUNCTION("""COMPUTED_VALUE"""),"06 ORL")</f>
        <v>06 ORL</v>
      </c>
      <c r="O1363" s="33" t="str">
        <f ca="1">IFERROR(__xludf.DUMMYFUNCTION("""COMPUTED_VALUE"""),"Dra, María Del Rocío Lobato Pérez")</f>
        <v>Dra, María Del Rocío Lobato Pérez</v>
      </c>
      <c r="P1363" s="33" t="str">
        <f ca="1">IFERROR(__xludf.DUMMYFUNCTION("""COMPUTED_VALUE"""),"Lisandro Russian (Madrid, Cáceres, Toledo, Talavera Y Logroño)")</f>
        <v>Lisandro Russian (Madrid, Cáceres, Toledo, Talavera Y Logroño)</v>
      </c>
    </row>
    <row r="1364" spans="2:16">
      <c r="B1364" s="33">
        <f ca="1">IFERROR(__xludf.DUMMYFUNCTION("""COMPUTED_VALUE"""),2025)</f>
        <v>2025</v>
      </c>
      <c r="C1364" s="33">
        <f ca="1">IFERROR(__xludf.DUMMYFUNCTION("""COMPUTED_VALUE"""),10)</f>
        <v>10</v>
      </c>
      <c r="D1364" s="33" t="str">
        <f ca="1">IFERROR(__xludf.DUMMYFUNCTION("""COMPUTED_VALUE"""),"NO")</f>
        <v>NO</v>
      </c>
      <c r="E1364" s="33" t="str">
        <f ca="1">IFERROR(__xludf.DUMMYFUNCTION("""COMPUTED_VALUE"""),"Murcia")</f>
        <v>Murcia</v>
      </c>
      <c r="F1364" s="57">
        <f ca="1">IFERROR(__xludf.DUMMYFUNCTION("""COMPUTED_VALUE"""),45959)</f>
        <v>45959</v>
      </c>
      <c r="G1364" s="57">
        <f ca="1">IFERROR(__xludf.DUMMYFUNCTION("""COMPUTED_VALUE"""),45888)</f>
        <v>45888</v>
      </c>
      <c r="H1364" s="33" t="str">
        <f ca="1">IFERROR(__xludf.DUMMYFUNCTION("""COMPUTED_VALUE"""),"Murcia")</f>
        <v>Murcia</v>
      </c>
      <c r="I1364" s="33" t="str">
        <f ca="1">IFERROR(__xludf.DUMMYFUNCTION("""COMPUTED_VALUE"""),"C202582111928956")</f>
        <v>C202582111928956</v>
      </c>
      <c r="J1364" s="33" t="str">
        <f ca="1">IFERROR(__xludf.DUMMYFUNCTION("""COMPUTED_VALUE"""),"MARITZA ARENAS MUÑOZ")</f>
        <v>MARITZA ARENAS MUÑOZ</v>
      </c>
      <c r="K1364" s="33">
        <f ca="1">IFERROR(__xludf.DUMMYFUNCTION("""COMPUTED_VALUE"""),-2)</f>
        <v>-2</v>
      </c>
      <c r="L1364" s="203">
        <f ca="1">IFERROR(__xludf.DUMMYFUNCTION("""COMPUTED_VALUE"""),-3631.81)</f>
        <v>-3631.81</v>
      </c>
      <c r="M1364" s="33" t="str">
        <f ca="1">IFERROR(__xludf.DUMMYFUNCTION("""COMPUTED_VALUE"""),"03 ORL")</f>
        <v>03 ORL</v>
      </c>
      <c r="N1364" s="33" t="str">
        <f ca="1">IFERROR(__xludf.DUMMYFUNCTION("""COMPUTED_VALUE"""),"06 ORL")</f>
        <v>06 ORL</v>
      </c>
      <c r="O1364" s="33" t="str">
        <f ca="1">IFERROR(__xludf.DUMMYFUNCTION("""COMPUTED_VALUE"""),"Dra, Beatriz Rodríguez González Herrero")</f>
        <v>Dra, Beatriz Rodríguez González Herrero</v>
      </c>
      <c r="P1364" s="33" t="str">
        <f ca="1">IFERROR(__xludf.DUMMYFUNCTION("""COMPUTED_VALUE"""),"Iván Sánchez (Levante Y Albacete)")</f>
        <v>Iván Sánchez (Levante Y Albacete)</v>
      </c>
    </row>
    <row r="1365" spans="2:16">
      <c r="B1365" s="33">
        <f ca="1">IFERROR(__xludf.DUMMYFUNCTION("""COMPUTED_VALUE"""),2025)</f>
        <v>2025</v>
      </c>
      <c r="C1365" s="33">
        <f ca="1">IFERROR(__xludf.DUMMYFUNCTION("""COMPUTED_VALUE"""),10)</f>
        <v>10</v>
      </c>
      <c r="D1365" s="33" t="str">
        <f ca="1">IFERROR(__xludf.DUMMYFUNCTION("""COMPUTED_VALUE"""),"NO")</f>
        <v>NO</v>
      </c>
      <c r="E1365" s="33" t="str">
        <f ca="1">IFERROR(__xludf.DUMMYFUNCTION("""COMPUTED_VALUE"""),"Madrid- Moratalaz")</f>
        <v>Madrid- Moratalaz</v>
      </c>
      <c r="F1365" s="57">
        <f ca="1">IFERROR(__xludf.DUMMYFUNCTION("""COMPUTED_VALUE"""),45959)</f>
        <v>45959</v>
      </c>
      <c r="G1365" s="57">
        <f ca="1">IFERROR(__xludf.DUMMYFUNCTION("""COMPUTED_VALUE"""),45951)</f>
        <v>45951</v>
      </c>
      <c r="H1365" s="33" t="str">
        <f ca="1">IFERROR(__xludf.DUMMYFUNCTION("""COMPUTED_VALUE"""),"Moratalaz")</f>
        <v>Moratalaz</v>
      </c>
      <c r="I1365" s="33" t="str">
        <f ca="1">IFERROR(__xludf.DUMMYFUNCTION("""COMPUTED_VALUE"""),"C202510218472605070")</f>
        <v>C202510218472605070</v>
      </c>
      <c r="J1365" s="33" t="str">
        <f ca="1">IFERROR(__xludf.DUMMYFUNCTION("""COMPUTED_VALUE"""),"ANA MARIA REBOLLO HEREDIA")</f>
        <v>ANA MARIA REBOLLO HEREDIA</v>
      </c>
      <c r="K1365" s="33">
        <f ca="1">IFERROR(__xludf.DUMMYFUNCTION("""COMPUTED_VALUE"""),2)</f>
        <v>2</v>
      </c>
      <c r="L1365" s="203">
        <f ca="1">IFERROR(__xludf.DUMMYFUNCTION("""COMPUTED_VALUE"""),3929.55)</f>
        <v>3929.55</v>
      </c>
      <c r="M1365" s="33" t="str">
        <f ca="1">IFERROR(__xludf.DUMMYFUNCTION("""COMPUTED_VALUE"""),"03 ORL")</f>
        <v>03 ORL</v>
      </c>
      <c r="N1365" s="33" t="str">
        <f ca="1">IFERROR(__xludf.DUMMYFUNCTION("""COMPUTED_VALUE"""),"06 ORL")</f>
        <v>06 ORL</v>
      </c>
      <c r="O1365" s="33" t="str">
        <f ca="1">IFERROR(__xludf.DUMMYFUNCTION("""COMPUTED_VALUE"""),"No recuerda ORL")</f>
        <v>No recuerda ORL</v>
      </c>
      <c r="P1365" s="33" t="str">
        <f ca="1">IFERROR(__xludf.DUMMYFUNCTION("""COMPUTED_VALUE"""),"Maika Blázquez (Madrid)")</f>
        <v>Maika Blázquez (Madrid)</v>
      </c>
    </row>
    <row r="1366" spans="2:16">
      <c r="B1366" s="33">
        <f ca="1">IFERROR(__xludf.DUMMYFUNCTION("""COMPUTED_VALUE"""),2025)</f>
        <v>2025</v>
      </c>
      <c r="C1366" s="33">
        <f ca="1">IFERROR(__xludf.DUMMYFUNCTION("""COMPUTED_VALUE"""),10)</f>
        <v>10</v>
      </c>
      <c r="D1366" s="33" t="str">
        <f ca="1">IFERROR(__xludf.DUMMYFUNCTION("""COMPUTED_VALUE"""),"NO")</f>
        <v>NO</v>
      </c>
      <c r="E1366" s="33" t="str">
        <f ca="1">IFERROR(__xludf.DUMMYFUNCTION("""COMPUTED_VALUE"""),"Alicante")</f>
        <v>Alicante</v>
      </c>
      <c r="F1366" s="57">
        <f ca="1">IFERROR(__xludf.DUMMYFUNCTION("""COMPUTED_VALUE"""),45959)</f>
        <v>45959</v>
      </c>
      <c r="G1366" s="57">
        <f ca="1">IFERROR(__xludf.DUMMYFUNCTION("""COMPUTED_VALUE"""),45930)</f>
        <v>45930</v>
      </c>
      <c r="H1366" s="33" t="str">
        <f ca="1">IFERROR(__xludf.DUMMYFUNCTION("""COMPUTED_VALUE"""),"Alicante")</f>
        <v>Alicante</v>
      </c>
      <c r="I1366" s="33" t="str">
        <f ca="1">IFERROR(__xludf.DUMMYFUNCTION("""COMPUTED_VALUE"""),"C202510311292191")</f>
        <v>C202510311292191</v>
      </c>
      <c r="J1366" s="33" t="str">
        <f ca="1">IFERROR(__xludf.DUMMYFUNCTION("""COMPUTED_VALUE"""),"FERNANDO CATALAN NAVARRO")</f>
        <v>FERNANDO CATALAN NAVARRO</v>
      </c>
      <c r="K1366" s="33">
        <f ca="1">IFERROR(__xludf.DUMMYFUNCTION("""COMPUTED_VALUE"""),2)</f>
        <v>2</v>
      </c>
      <c r="L1366" s="203">
        <f ca="1">IFERROR(__xludf.DUMMYFUNCTION("""COMPUTED_VALUE"""),4536.36)</f>
        <v>4536.3599999999997</v>
      </c>
      <c r="M1366" s="33" t="str">
        <f ca="1">IFERROR(__xludf.DUMMYFUNCTION("""COMPUTED_VALUE"""),"03 ORL")</f>
        <v>03 ORL</v>
      </c>
      <c r="N1366" s="33" t="str">
        <f ca="1">IFERROR(__xludf.DUMMYFUNCTION("""COMPUTED_VALUE"""),"06 ORL")</f>
        <v>06 ORL</v>
      </c>
      <c r="O1366" s="33" t="str">
        <f ca="1">IFERROR(__xludf.DUMMYFUNCTION("""COMPUTED_VALUE"""),"Dra, Luisa Payá Pérez")</f>
        <v>Dra, Luisa Payá Pérez</v>
      </c>
      <c r="P1366" s="33" t="str">
        <f ca="1">IFERROR(__xludf.DUMMYFUNCTION("""COMPUTED_VALUE"""),"Iván Sánchez (Levante Y Albacete)")</f>
        <v>Iván Sánchez (Levante Y Albacete)</v>
      </c>
    </row>
    <row r="1367" spans="2:16">
      <c r="B1367" s="33">
        <f ca="1">IFERROR(__xludf.DUMMYFUNCTION("""COMPUTED_VALUE"""),2025)</f>
        <v>2025</v>
      </c>
      <c r="C1367" s="33">
        <f ca="1">IFERROR(__xludf.DUMMYFUNCTION("""COMPUTED_VALUE"""),10)</f>
        <v>10</v>
      </c>
      <c r="D1367" s="33" t="str">
        <f ca="1">IFERROR(__xludf.DUMMYFUNCTION("""COMPUTED_VALUE"""),"NO")</f>
        <v>NO</v>
      </c>
      <c r="E1367" s="33" t="str">
        <f ca="1">IFERROR(__xludf.DUMMYFUNCTION("""COMPUTED_VALUE"""),"Murcia")</f>
        <v>Murcia</v>
      </c>
      <c r="F1367" s="57">
        <f ca="1">IFERROR(__xludf.DUMMYFUNCTION("""COMPUTED_VALUE"""),45959)</f>
        <v>45959</v>
      </c>
      <c r="G1367" s="57">
        <f ca="1">IFERROR(__xludf.DUMMYFUNCTION("""COMPUTED_VALUE"""),45854)</f>
        <v>45854</v>
      </c>
      <c r="H1367" s="33" t="str">
        <f ca="1">IFERROR(__xludf.DUMMYFUNCTION("""COMPUTED_VALUE"""),"Murcia")</f>
        <v>Murcia</v>
      </c>
      <c r="I1367" s="33" t="str">
        <f ca="1">IFERROR(__xludf.DUMMYFUNCTION("""COMPUTED_VALUE"""),"C2025717121059278")</f>
        <v>C2025717121059278</v>
      </c>
      <c r="J1367" s="33" t="str">
        <f ca="1">IFERROR(__xludf.DUMMYFUNCTION("""COMPUTED_VALUE"""),"KAS BOUCHRA")</f>
        <v>KAS BOUCHRA</v>
      </c>
      <c r="K1367" s="33">
        <f ca="1">IFERROR(__xludf.DUMMYFUNCTION("""COMPUTED_VALUE"""),2)</f>
        <v>2</v>
      </c>
      <c r="L1367" s="203">
        <f ca="1">IFERROR(__xludf.DUMMYFUNCTION("""COMPUTED_VALUE"""),2718.18)</f>
        <v>2718.18</v>
      </c>
      <c r="M1367" s="33" t="str">
        <f ca="1">IFERROR(__xludf.DUMMYFUNCTION("""COMPUTED_VALUE"""),"03 ORL")</f>
        <v>03 ORL</v>
      </c>
      <c r="N1367" s="33" t="str">
        <f ca="1">IFERROR(__xludf.DUMMYFUNCTION("""COMPUTED_VALUE"""),"06 ORL")</f>
        <v>06 ORL</v>
      </c>
      <c r="O1367" s="33" t="str">
        <f ca="1">IFERROR(__xludf.DUMMYFUNCTION("""COMPUTED_VALUE"""),"Dra, Cristina Esther Torregrosa Carrasquer")</f>
        <v>Dra, Cristina Esther Torregrosa Carrasquer</v>
      </c>
      <c r="P1367" s="33" t="str">
        <f ca="1">IFERROR(__xludf.DUMMYFUNCTION("""COMPUTED_VALUE"""),"Iván Sánchez (Levante Y Albacete)")</f>
        <v>Iván Sánchez (Levante Y Albacete)</v>
      </c>
    </row>
    <row r="1368" spans="2:16">
      <c r="B1368" s="33">
        <f ca="1">IFERROR(__xludf.DUMMYFUNCTION("""COMPUTED_VALUE"""),2025)</f>
        <v>2025</v>
      </c>
      <c r="C1368" s="33">
        <f ca="1">IFERROR(__xludf.DUMMYFUNCTION("""COMPUTED_VALUE"""),10)</f>
        <v>10</v>
      </c>
      <c r="D1368" s="33" t="str">
        <f ca="1">IFERROR(__xludf.DUMMYFUNCTION("""COMPUTED_VALUE"""),"NO")</f>
        <v>NO</v>
      </c>
      <c r="E1368" s="33" t="str">
        <f ca="1">IFERROR(__xludf.DUMMYFUNCTION("""COMPUTED_VALUE"""),"Getafe")</f>
        <v>Getafe</v>
      </c>
      <c r="F1368" s="57">
        <f ca="1">IFERROR(__xludf.DUMMYFUNCTION("""COMPUTED_VALUE"""),45959)</f>
        <v>45959</v>
      </c>
      <c r="G1368" s="57">
        <f ca="1">IFERROR(__xludf.DUMMYFUNCTION("""COMPUTED_VALUE"""),45910)</f>
        <v>45910</v>
      </c>
      <c r="H1368" s="33" t="str">
        <f ca="1">IFERROR(__xludf.DUMMYFUNCTION("""COMPUTED_VALUE"""),"Getafe")</f>
        <v>Getafe</v>
      </c>
      <c r="I1368" s="33" t="str">
        <f ca="1">IFERROR(__xludf.DUMMYFUNCTION("""COMPUTED_VALUE"""),"C2025925164752459")</f>
        <v>C2025925164752459</v>
      </c>
      <c r="J1368" s="33" t="str">
        <f ca="1">IFERROR(__xludf.DUMMYFUNCTION("""COMPUTED_VALUE"""),"ASCENSION JIMENEZ RECUERO")</f>
        <v>ASCENSION JIMENEZ RECUERO</v>
      </c>
      <c r="K1368" s="33">
        <f ca="1">IFERROR(__xludf.DUMMYFUNCTION("""COMPUTED_VALUE"""),2)</f>
        <v>2</v>
      </c>
      <c r="L1368" s="203">
        <f ca="1">IFERROR(__xludf.DUMMYFUNCTION("""COMPUTED_VALUE"""),2718.18)</f>
        <v>2718.18</v>
      </c>
      <c r="M1368" s="33" t="str">
        <f ca="1">IFERROR(__xludf.DUMMYFUNCTION("""COMPUTED_VALUE"""),"03 ORL")</f>
        <v>03 ORL</v>
      </c>
      <c r="N1368" s="33" t="str">
        <f ca="1">IFERROR(__xludf.DUMMYFUNCTION("""COMPUTED_VALUE"""),"06 ORL")</f>
        <v>06 ORL</v>
      </c>
      <c r="O1368" s="33" t="str">
        <f ca="1">IFERROR(__xludf.DUMMYFUNCTION("""COMPUTED_VALUE"""),"No recuerda ORL")</f>
        <v>No recuerda ORL</v>
      </c>
      <c r="P1368" s="33" t="str">
        <f ca="1">IFERROR(__xludf.DUMMYFUNCTION("""COMPUTED_VALUE"""),"Maika Blázquez (Madrid)")</f>
        <v>Maika Blázquez (Madrid)</v>
      </c>
    </row>
    <row r="1369" spans="2:16">
      <c r="B1369" s="33">
        <f ca="1">IFERROR(__xludf.DUMMYFUNCTION("""COMPUTED_VALUE"""),2025)</f>
        <v>2025</v>
      </c>
      <c r="C1369" s="33">
        <f ca="1">IFERROR(__xludf.DUMMYFUNCTION("""COMPUTED_VALUE"""),10)</f>
        <v>10</v>
      </c>
      <c r="D1369" s="33" t="str">
        <f ca="1">IFERROR(__xludf.DUMMYFUNCTION("""COMPUTED_VALUE"""),"NO")</f>
        <v>NO</v>
      </c>
      <c r="E1369" s="33" t="str">
        <f ca="1">IFERROR(__xludf.DUMMYFUNCTION("""COMPUTED_VALUE"""),"El Albir (Benidorm)")</f>
        <v>El Albir (Benidorm)</v>
      </c>
      <c r="F1369" s="57">
        <f ca="1">IFERROR(__xludf.DUMMYFUNCTION("""COMPUTED_VALUE"""),45960)</f>
        <v>45960</v>
      </c>
      <c r="G1369" s="57">
        <f ca="1">IFERROR(__xludf.DUMMYFUNCTION("""COMPUTED_VALUE"""),45901)</f>
        <v>45901</v>
      </c>
      <c r="H1369" s="33" t="str">
        <f ca="1">IFERROR(__xludf.DUMMYFUNCTION("""COMPUTED_VALUE"""),"El Albir (Benidorm)")</f>
        <v>El Albir (Benidorm)</v>
      </c>
      <c r="I1369" s="33" t="str">
        <f ca="1">IFERROR(__xludf.DUMMYFUNCTION("""COMPUTED_VALUE"""),"C20259211932215")</f>
        <v>C20259211932215</v>
      </c>
      <c r="J1369" s="33" t="str">
        <f ca="1">IFERROR(__xludf.DUMMYFUNCTION("""COMPUTED_VALUE"""),"JAVIER GARCIA FERNANDEZ")</f>
        <v>JAVIER GARCIA FERNANDEZ</v>
      </c>
      <c r="K1369" s="33">
        <f ca="1">IFERROR(__xludf.DUMMYFUNCTION("""COMPUTED_VALUE"""),1)</f>
        <v>1</v>
      </c>
      <c r="L1369" s="203">
        <f ca="1">IFERROR(__xludf.DUMMYFUNCTION("""COMPUTED_VALUE"""),2640)</f>
        <v>2640</v>
      </c>
      <c r="M1369" s="33" t="str">
        <f ca="1">IFERROR(__xludf.DUMMYFUNCTION("""COMPUTED_VALUE"""),"03 ORL")</f>
        <v>03 ORL</v>
      </c>
      <c r="N1369" s="33" t="str">
        <f ca="1">IFERROR(__xludf.DUMMYFUNCTION("""COMPUTED_VALUE"""),"06 ORL")</f>
        <v>06 ORL</v>
      </c>
      <c r="O1369" s="33" t="str">
        <f ca="1">IFERROR(__xludf.DUMMYFUNCTION("""COMPUTED_VALUE"""),"Dra, Isabel Polo Tomás")</f>
        <v>Dra, Isabel Polo Tomás</v>
      </c>
      <c r="P1369" s="33" t="str">
        <f ca="1">IFERROR(__xludf.DUMMYFUNCTION("""COMPUTED_VALUE"""),"Ramon Ferrando(Valencia)")</f>
        <v>Ramon Ferrando(Valencia)</v>
      </c>
    </row>
    <row r="1370" spans="2:16">
      <c r="B1370" s="33">
        <f ca="1">IFERROR(__xludf.DUMMYFUNCTION("""COMPUTED_VALUE"""),2025)</f>
        <v>2025</v>
      </c>
      <c r="C1370" s="33">
        <f ca="1">IFERROR(__xludf.DUMMYFUNCTION("""COMPUTED_VALUE"""),10)</f>
        <v>10</v>
      </c>
      <c r="D1370" s="33" t="str">
        <f ca="1">IFERROR(__xludf.DUMMYFUNCTION("""COMPUTED_VALUE"""),"NO")</f>
        <v>NO</v>
      </c>
      <c r="E1370" s="33" t="str">
        <f ca="1">IFERROR(__xludf.DUMMYFUNCTION("""COMPUTED_VALUE"""),"Madrid- Juan Bravo")</f>
        <v>Madrid- Juan Bravo</v>
      </c>
      <c r="F1370" s="57">
        <f ca="1">IFERROR(__xludf.DUMMYFUNCTION("""COMPUTED_VALUE"""),45960)</f>
        <v>45960</v>
      </c>
      <c r="G1370" s="57">
        <f ca="1">IFERROR(__xludf.DUMMYFUNCTION("""COMPUTED_VALUE"""),45902)</f>
        <v>45902</v>
      </c>
      <c r="H1370" s="33" t="str">
        <f ca="1">IFERROR(__xludf.DUMMYFUNCTION("""COMPUTED_VALUE"""),"Juan Bravo")</f>
        <v>Juan Bravo</v>
      </c>
      <c r="I1370" s="33" t="str">
        <f ca="1">IFERROR(__xludf.DUMMYFUNCTION("""COMPUTED_VALUE"""),"C202599183419957")</f>
        <v>C202599183419957</v>
      </c>
      <c r="J1370" s="33" t="str">
        <f ca="1">IFERROR(__xludf.DUMMYFUNCTION("""COMPUTED_VALUE"""),"ALEJANDRO SAINZ ALCALA")</f>
        <v>ALEJANDRO SAINZ ALCALA</v>
      </c>
      <c r="K1370" s="33">
        <f ca="1">IFERROR(__xludf.DUMMYFUNCTION("""COMPUTED_VALUE"""),2)</f>
        <v>2</v>
      </c>
      <c r="L1370" s="203">
        <f ca="1">IFERROR(__xludf.DUMMYFUNCTION("""COMPUTED_VALUE"""),3929.55)</f>
        <v>3929.55</v>
      </c>
      <c r="M1370" s="33" t="str">
        <f ca="1">IFERROR(__xludf.DUMMYFUNCTION("""COMPUTED_VALUE"""),"03 ORL")</f>
        <v>03 ORL</v>
      </c>
      <c r="N1370" s="33" t="str">
        <f ca="1">IFERROR(__xludf.DUMMYFUNCTION("""COMPUTED_VALUE"""),"06 ORL")</f>
        <v>06 ORL</v>
      </c>
      <c r="O1370" s="33" t="str">
        <f ca="1">IFERROR(__xludf.DUMMYFUNCTION("""COMPUTED_VALUE"""),"Dra, Alicia Suárez Calvo")</f>
        <v>Dra, Alicia Suárez Calvo</v>
      </c>
      <c r="P1370" s="33" t="str">
        <f ca="1">IFERROR(__xludf.DUMMYFUNCTION("""COMPUTED_VALUE"""),"Lisandro Russian (Madrid, Cáceres, Toledo, Talavera Y Logroño)")</f>
        <v>Lisandro Russian (Madrid, Cáceres, Toledo, Talavera Y Logroño)</v>
      </c>
    </row>
    <row r="1371" spans="2:16">
      <c r="B1371" s="33">
        <f ca="1">IFERROR(__xludf.DUMMYFUNCTION("""COMPUTED_VALUE"""),2025)</f>
        <v>2025</v>
      </c>
      <c r="C1371" s="33">
        <f ca="1">IFERROR(__xludf.DUMMYFUNCTION("""COMPUTED_VALUE"""),10)</f>
        <v>10</v>
      </c>
      <c r="D1371" s="33" t="str">
        <f ca="1">IFERROR(__xludf.DUMMYFUNCTION("""COMPUTED_VALUE"""),"NO")</f>
        <v>NO</v>
      </c>
      <c r="E1371" s="33" t="str">
        <f ca="1">IFERROR(__xludf.DUMMYFUNCTION("""COMPUTED_VALUE"""),"Talavera")</f>
        <v>Talavera</v>
      </c>
      <c r="F1371" s="57">
        <f ca="1">IFERROR(__xludf.DUMMYFUNCTION("""COMPUTED_VALUE"""),45960)</f>
        <v>45960</v>
      </c>
      <c r="G1371" s="57">
        <f ca="1">IFERROR(__xludf.DUMMYFUNCTION("""COMPUTED_VALUE"""),45945)</f>
        <v>45945</v>
      </c>
      <c r="H1371" s="33" t="str">
        <f ca="1">IFERROR(__xludf.DUMMYFUNCTION("""COMPUTED_VALUE"""),"Talavera")</f>
        <v>Talavera</v>
      </c>
      <c r="I1371" s="33" t="str">
        <f ca="1">IFERROR(__xludf.DUMMYFUNCTION("""COMPUTED_VALUE"""),"C202510151038291262")</f>
        <v>C202510151038291262</v>
      </c>
      <c r="J1371" s="33" t="str">
        <f ca="1">IFERROR(__xludf.DUMMYFUNCTION("""COMPUTED_VALUE"""),"ENRIQUE IBAÑEZ MORA")</f>
        <v>ENRIQUE IBAÑEZ MORA</v>
      </c>
      <c r="K1371" s="33">
        <f ca="1">IFERROR(__xludf.DUMMYFUNCTION("""COMPUTED_VALUE"""),1)</f>
        <v>1</v>
      </c>
      <c r="L1371" s="203">
        <f ca="1">IFERROR(__xludf.DUMMYFUNCTION("""COMPUTED_VALUE"""),2233.64)</f>
        <v>2233.64</v>
      </c>
      <c r="M1371" s="33" t="str">
        <f ca="1">IFERROR(__xludf.DUMMYFUNCTION("""COMPUTED_VALUE"""),"03 ORL")</f>
        <v>03 ORL</v>
      </c>
      <c r="N1371" s="33" t="str">
        <f ca="1">IFERROR(__xludf.DUMMYFUNCTION("""COMPUTED_VALUE"""),"06 ORL")</f>
        <v>06 ORL</v>
      </c>
      <c r="O1371" s="33" t="str">
        <f ca="1">IFERROR(__xludf.DUMMYFUNCTION("""COMPUTED_VALUE"""),"Dr, Carlos Félix Asensio Nieto")</f>
        <v>Dr, Carlos Félix Asensio Nieto</v>
      </c>
      <c r="P1371" s="33" t="str">
        <f ca="1">IFERROR(__xludf.DUMMYFUNCTION("""COMPUTED_VALUE"""),"Lisandro Russian (Madrid, Cáceres, Toledo, Talavera Y Logroño)")</f>
        <v>Lisandro Russian (Madrid, Cáceres, Toledo, Talavera Y Logroño)</v>
      </c>
    </row>
    <row r="1372" spans="2:16">
      <c r="B1372" s="33">
        <f ca="1">IFERROR(__xludf.DUMMYFUNCTION("""COMPUTED_VALUE"""),2025)</f>
        <v>2025</v>
      </c>
      <c r="C1372" s="33">
        <f ca="1">IFERROR(__xludf.DUMMYFUNCTION("""COMPUTED_VALUE"""),10)</f>
        <v>10</v>
      </c>
      <c r="D1372" s="33" t="str">
        <f ca="1">IFERROR(__xludf.DUMMYFUNCTION("""COMPUTED_VALUE"""),"NO")</f>
        <v>NO</v>
      </c>
      <c r="E1372" s="33" t="str">
        <f ca="1">IFERROR(__xludf.DUMMYFUNCTION("""COMPUTED_VALUE"""),"Valencia- Cádiz")</f>
        <v>Valencia- Cádiz</v>
      </c>
      <c r="F1372" s="57">
        <f ca="1">IFERROR(__xludf.DUMMYFUNCTION("""COMPUTED_VALUE"""),45960)</f>
        <v>45960</v>
      </c>
      <c r="G1372" s="57">
        <f ca="1">IFERROR(__xludf.DUMMYFUNCTION("""COMPUTED_VALUE"""),45937)</f>
        <v>45937</v>
      </c>
      <c r="H1372" s="33" t="str">
        <f ca="1">IFERROR(__xludf.DUMMYFUNCTION("""COMPUTED_VALUE"""),"Valencia- Cádiz")</f>
        <v>Valencia- Cádiz</v>
      </c>
      <c r="I1372" s="33" t="str">
        <f ca="1">IFERROR(__xludf.DUMMYFUNCTION("""COMPUTED_VALUE"""),"C20251015104339905")</f>
        <v>C20251015104339905</v>
      </c>
      <c r="J1372" s="1" t="str">
        <f ca="1">IFERROR(__xludf.DUMMYFUNCTION("""COMPUTED_VALUE"""),"MARIA DEL CARMEN VILLANUEVA PEREZ")</f>
        <v>MARIA DEL CARMEN VILLANUEVA PEREZ</v>
      </c>
      <c r="K1372" s="33">
        <f ca="1">IFERROR(__xludf.DUMMYFUNCTION("""COMPUTED_VALUE"""),2)</f>
        <v>2</v>
      </c>
      <c r="L1372" s="203">
        <f ca="1">IFERROR(__xludf.DUMMYFUNCTION("""COMPUTED_VALUE"""),4136.36)</f>
        <v>4136.3599999999997</v>
      </c>
      <c r="M1372" s="33" t="str">
        <f ca="1">IFERROR(__xludf.DUMMYFUNCTION("""COMPUTED_VALUE"""),"03 ORL")</f>
        <v>03 ORL</v>
      </c>
      <c r="N1372" s="33" t="str">
        <f ca="1">IFERROR(__xludf.DUMMYFUNCTION("""COMPUTED_VALUE"""),"06 ORL")</f>
        <v>06 ORL</v>
      </c>
      <c r="O1372" s="33" t="str">
        <f ca="1">IFERROR(__xludf.DUMMYFUNCTION("""COMPUTED_VALUE"""),"Dra, Paula Martínez-Ruiz De Apocada")</f>
        <v>Dra, Paula Martínez-Ruiz De Apocada</v>
      </c>
      <c r="P1372" s="33" t="str">
        <f ca="1">IFERROR(__xludf.DUMMYFUNCTION("""COMPUTED_VALUE"""),"Ramon Ferrando(Valencia)")</f>
        <v>Ramon Ferrando(Valencia)</v>
      </c>
    </row>
    <row r="1373" spans="2:16">
      <c r="B1373" s="33">
        <f ca="1">IFERROR(__xludf.DUMMYFUNCTION("""COMPUTED_VALUE"""),2025)</f>
        <v>2025</v>
      </c>
      <c r="C1373" s="33">
        <f ca="1">IFERROR(__xludf.DUMMYFUNCTION("""COMPUTED_VALUE"""),10)</f>
        <v>10</v>
      </c>
      <c r="D1373" s="33" t="str">
        <f ca="1">IFERROR(__xludf.DUMMYFUNCTION("""COMPUTED_VALUE"""),"NO")</f>
        <v>NO</v>
      </c>
      <c r="E1373" s="33" t="str">
        <f ca="1">IFERROR(__xludf.DUMMYFUNCTION("""COMPUTED_VALUE"""),"Jerez de la Frontera")</f>
        <v>Jerez de la Frontera</v>
      </c>
      <c r="F1373" s="57">
        <f ca="1">IFERROR(__xludf.DUMMYFUNCTION("""COMPUTED_VALUE"""),45960)</f>
        <v>45960</v>
      </c>
      <c r="G1373" s="57">
        <f ca="1">IFERROR(__xludf.DUMMYFUNCTION("""COMPUTED_VALUE"""),45930)</f>
        <v>45930</v>
      </c>
      <c r="H1373" s="33" t="str">
        <f ca="1">IFERROR(__xludf.DUMMYFUNCTION("""COMPUTED_VALUE"""),"Jerez")</f>
        <v>Jerez</v>
      </c>
      <c r="I1373" s="33" t="str">
        <f ca="1">IFERROR(__xludf.DUMMYFUNCTION("""COMPUTED_VALUE"""),"C2025103112349194")</f>
        <v>C2025103112349194</v>
      </c>
      <c r="J1373" s="33" t="str">
        <f ca="1">IFERROR(__xludf.DUMMYFUNCTION("""COMPUTED_VALUE"""),"MARIA ARIAS TENA")</f>
        <v>MARIA ARIAS TENA</v>
      </c>
      <c r="K1373" s="33">
        <f ca="1">IFERROR(__xludf.DUMMYFUNCTION("""COMPUTED_VALUE"""),2)</f>
        <v>2</v>
      </c>
      <c r="L1373" s="203">
        <f ca="1">IFERROR(__xludf.DUMMYFUNCTION("""COMPUTED_VALUE"""),2718.18)</f>
        <v>2718.18</v>
      </c>
      <c r="M1373" s="33" t="str">
        <f ca="1">IFERROR(__xludf.DUMMYFUNCTION("""COMPUTED_VALUE"""),"03 ORL")</f>
        <v>03 ORL</v>
      </c>
      <c r="N1373" s="33" t="str">
        <f ca="1">IFERROR(__xludf.DUMMYFUNCTION("""COMPUTED_VALUE"""),"06 ORL")</f>
        <v>06 ORL</v>
      </c>
      <c r="O1373" s="33" t="str">
        <f ca="1">IFERROR(__xludf.DUMMYFUNCTION("""COMPUTED_VALUE"""),"Dr, Vicente Mira Escartí")</f>
        <v>Dr, Vicente Mira Escartí</v>
      </c>
      <c r="P1373" s="33" t="str">
        <f ca="1">IFERROR(__xludf.DUMMYFUNCTION("""COMPUTED_VALUE"""),"Luis Alberto Rodríguez (Andalucía y Badajoz)")</f>
        <v>Luis Alberto Rodríguez (Andalucía y Badajoz)</v>
      </c>
    </row>
    <row r="1374" spans="2:16">
      <c r="B1374" s="33">
        <f ca="1">IFERROR(__xludf.DUMMYFUNCTION("""COMPUTED_VALUE"""),2025)</f>
        <v>2025</v>
      </c>
      <c r="C1374" s="33">
        <f ca="1">IFERROR(__xludf.DUMMYFUNCTION("""COMPUTED_VALUE"""),10)</f>
        <v>10</v>
      </c>
      <c r="D1374" s="33" t="str">
        <f ca="1">IFERROR(__xludf.DUMMYFUNCTION("""COMPUTED_VALUE"""),"NO")</f>
        <v>NO</v>
      </c>
      <c r="E1374" s="33" t="str">
        <f ca="1">IFERROR(__xludf.DUMMYFUNCTION("""COMPUTED_VALUE"""),"Orihuela")</f>
        <v>Orihuela</v>
      </c>
      <c r="F1374" s="57">
        <f ca="1">IFERROR(__xludf.DUMMYFUNCTION("""COMPUTED_VALUE"""),45960)</f>
        <v>45960</v>
      </c>
      <c r="G1374" s="57">
        <f ca="1">IFERROR(__xludf.DUMMYFUNCTION("""COMPUTED_VALUE"""),45932)</f>
        <v>45932</v>
      </c>
      <c r="H1374" s="33" t="str">
        <f ca="1">IFERROR(__xludf.DUMMYFUNCTION("""COMPUTED_VALUE"""),"La Zenia")</f>
        <v>La Zenia</v>
      </c>
      <c r="I1374" s="33" t="str">
        <f ca="1">IFERROR(__xludf.DUMMYFUNCTION("""COMPUTED_VALUE"""),"C2025108175142863")</f>
        <v>C2025108175142863</v>
      </c>
      <c r="J1374" s="33" t="str">
        <f ca="1">IFERROR(__xludf.DUMMYFUNCTION("""COMPUTED_VALUE"""),"JOHAN FREDERIK KLARIS")</f>
        <v>JOHAN FREDERIK KLARIS</v>
      </c>
      <c r="K1374" s="33">
        <f ca="1">IFERROR(__xludf.DUMMYFUNCTION("""COMPUTED_VALUE"""),2)</f>
        <v>2</v>
      </c>
      <c r="L1374" s="203">
        <f ca="1">IFERROR(__xludf.DUMMYFUNCTION("""COMPUTED_VALUE"""),3631.82)</f>
        <v>3631.82</v>
      </c>
      <c r="M1374" s="33" t="str">
        <f ca="1">IFERROR(__xludf.DUMMYFUNCTION("""COMPUTED_VALUE"""),"03 ORL")</f>
        <v>03 ORL</v>
      </c>
      <c r="N1374" s="33" t="str">
        <f ca="1">IFERROR(__xludf.DUMMYFUNCTION("""COMPUTED_VALUE"""),"06 ORL")</f>
        <v>06 ORL</v>
      </c>
      <c r="O1374" s="33" t="str">
        <f ca="1">IFERROR(__xludf.DUMMYFUNCTION("""COMPUTED_VALUE"""),"Dr, Juan Javier Álvarez López")</f>
        <v>Dr, Juan Javier Álvarez López</v>
      </c>
      <c r="P1374" s="33" t="str">
        <f ca="1">IFERROR(__xludf.DUMMYFUNCTION("""COMPUTED_VALUE"""),"Iván Sánchez (Levante Y Albacete)")</f>
        <v>Iván Sánchez (Levante Y Albacete)</v>
      </c>
    </row>
    <row r="1375" spans="2:16">
      <c r="B1375" s="33">
        <f ca="1">IFERROR(__xludf.DUMMYFUNCTION("""COMPUTED_VALUE"""),2025)</f>
        <v>2025</v>
      </c>
      <c r="C1375" s="33">
        <f ca="1">IFERROR(__xludf.DUMMYFUNCTION("""COMPUTED_VALUE"""),10)</f>
        <v>10</v>
      </c>
      <c r="D1375" s="33" t="str">
        <f ca="1">IFERROR(__xludf.DUMMYFUNCTION("""COMPUTED_VALUE"""),"NO")</f>
        <v>NO</v>
      </c>
      <c r="E1375" s="33" t="str">
        <f ca="1">IFERROR(__xludf.DUMMYFUNCTION("""COMPUTED_VALUE"""),"Orihuela")</f>
        <v>Orihuela</v>
      </c>
      <c r="F1375" s="57">
        <f ca="1">IFERROR(__xludf.DUMMYFUNCTION("""COMPUTED_VALUE"""),45960)</f>
        <v>45960</v>
      </c>
      <c r="G1375" s="57">
        <f ca="1">IFERROR(__xludf.DUMMYFUNCTION("""COMPUTED_VALUE"""),45896)</f>
        <v>45896</v>
      </c>
      <c r="H1375" s="33" t="str">
        <f ca="1">IFERROR(__xludf.DUMMYFUNCTION("""COMPUTED_VALUE"""),"La Zenia")</f>
        <v>La Zenia</v>
      </c>
      <c r="I1375" s="33" t="str">
        <f ca="1">IFERROR(__xludf.DUMMYFUNCTION("""COMPUTED_VALUE"""),"C202591213249279")</f>
        <v>C202591213249279</v>
      </c>
      <c r="J1375" s="33" t="str">
        <f ca="1">IFERROR(__xludf.DUMMYFUNCTION("""COMPUTED_VALUE"""),"MARIA MORIANA GUERRERO")</f>
        <v>MARIA MORIANA GUERRERO</v>
      </c>
      <c r="K1375" s="33">
        <f ca="1">IFERROR(__xludf.DUMMYFUNCTION("""COMPUTED_VALUE"""),1)</f>
        <v>1</v>
      </c>
      <c r="L1375" s="203">
        <f ca="1">IFERROR(__xludf.DUMMYFUNCTION("""COMPUTED_VALUE"""),2180.91)</f>
        <v>2180.91</v>
      </c>
      <c r="M1375" s="33" t="str">
        <f ca="1">IFERROR(__xludf.DUMMYFUNCTION("""COMPUTED_VALUE"""),"01 MARKETING ON LINE")</f>
        <v>01 MARKETING ON LINE</v>
      </c>
      <c r="N1375" s="33" t="str">
        <f ca="1">IFERROR(__xludf.DUMMYFUNCTION("""COMPUTED_VALUE"""),"04 AUDIFONO,ES")</f>
        <v>04 AUDIFONO,ES</v>
      </c>
      <c r="O1375" s="33" t="str">
        <f ca="1">IFERROR(__xludf.DUMMYFUNCTION("""COMPUTED_VALUE"""),"Dr, Juan Javier Álvarez López")</f>
        <v>Dr, Juan Javier Álvarez López</v>
      </c>
      <c r="P1375" s="33" t="str">
        <f ca="1">IFERROR(__xludf.DUMMYFUNCTION("""COMPUTED_VALUE"""),"Iván Sánchez (Levante Y Albacete)")</f>
        <v>Iván Sánchez (Levante Y Albacete)</v>
      </c>
    </row>
    <row r="1376" spans="2:16">
      <c r="B1376" s="33">
        <f ca="1">IFERROR(__xludf.DUMMYFUNCTION("""COMPUTED_VALUE"""),2025)</f>
        <v>2025</v>
      </c>
      <c r="C1376" s="33">
        <f ca="1">IFERROR(__xludf.DUMMYFUNCTION("""COMPUTED_VALUE"""),10)</f>
        <v>10</v>
      </c>
      <c r="D1376" s="33" t="str">
        <f ca="1">IFERROR(__xludf.DUMMYFUNCTION("""COMPUTED_VALUE"""),"NO")</f>
        <v>NO</v>
      </c>
      <c r="E1376" s="33" t="str">
        <f ca="1">IFERROR(__xludf.DUMMYFUNCTION("""COMPUTED_VALUE"""),"Lugo")</f>
        <v>Lugo</v>
      </c>
      <c r="F1376" s="57">
        <f ca="1">IFERROR(__xludf.DUMMYFUNCTION("""COMPUTED_VALUE"""),45960)</f>
        <v>45960</v>
      </c>
      <c r="G1376" s="57">
        <f ca="1">IFERROR(__xludf.DUMMYFUNCTION("""COMPUTED_VALUE"""),45931)</f>
        <v>45931</v>
      </c>
      <c r="H1376" s="33" t="str">
        <f ca="1">IFERROR(__xludf.DUMMYFUNCTION("""COMPUTED_VALUE"""),"Lugo")</f>
        <v>Lugo</v>
      </c>
      <c r="I1376" s="33" t="str">
        <f ca="1">IFERROR(__xludf.DUMMYFUNCTION("""COMPUTED_VALUE"""),"C2025107114733713")</f>
        <v>C2025107114733713</v>
      </c>
      <c r="J1376" s="33" t="str">
        <f ca="1">IFERROR(__xludf.DUMMYFUNCTION("""COMPUTED_VALUE"""),"JESUS ANGEL VARELA PENA")</f>
        <v>JESUS ANGEL VARELA PENA</v>
      </c>
      <c r="K1376" s="33">
        <f ca="1">IFERROR(__xludf.DUMMYFUNCTION("""COMPUTED_VALUE"""),2)</f>
        <v>2</v>
      </c>
      <c r="L1376" s="203">
        <f ca="1">IFERROR(__xludf.DUMMYFUNCTION("""COMPUTED_VALUE"""),4136.36)</f>
        <v>4136.3599999999997</v>
      </c>
      <c r="M1376" s="33" t="str">
        <f ca="1">IFERROR(__xludf.DUMMYFUNCTION("""COMPUTED_VALUE"""),"03 ORL")</f>
        <v>03 ORL</v>
      </c>
      <c r="N1376" s="33" t="str">
        <f ca="1">IFERROR(__xludf.DUMMYFUNCTION("""COMPUTED_VALUE"""),"06 ORL")</f>
        <v>06 ORL</v>
      </c>
      <c r="O1376" s="33" t="str">
        <f ca="1">IFERROR(__xludf.DUMMYFUNCTION("""COMPUTED_VALUE"""),"Dr, Pedro Juiz López")</f>
        <v>Dr, Pedro Juiz López</v>
      </c>
      <c r="P1376" s="33" t="str">
        <f ca="1">IFERROR(__xludf.DUMMYFUNCTION("""COMPUTED_VALUE"""),"Roberto Pereira (Galicia)")</f>
        <v>Roberto Pereira (Galicia)</v>
      </c>
    </row>
    <row r="1377" spans="2:16">
      <c r="B1377" s="33">
        <f ca="1">IFERROR(__xludf.DUMMYFUNCTION("""COMPUTED_VALUE"""),2025)</f>
        <v>2025</v>
      </c>
      <c r="C1377" s="33">
        <f ca="1">IFERROR(__xludf.DUMMYFUNCTION("""COMPUTED_VALUE"""),10)</f>
        <v>10</v>
      </c>
      <c r="D1377" s="33" t="str">
        <f ca="1">IFERROR(__xludf.DUMMYFUNCTION("""COMPUTED_VALUE"""),"NO")</f>
        <v>NO</v>
      </c>
      <c r="E1377" s="33" t="str">
        <f ca="1">IFERROR(__xludf.DUMMYFUNCTION("""COMPUTED_VALUE"""),"Jerez de la Frontera")</f>
        <v>Jerez de la Frontera</v>
      </c>
      <c r="F1377" s="57">
        <f ca="1">IFERROR(__xludf.DUMMYFUNCTION("""COMPUTED_VALUE"""),45960)</f>
        <v>45960</v>
      </c>
      <c r="G1377" s="57">
        <f ca="1">IFERROR(__xludf.DUMMYFUNCTION("""COMPUTED_VALUE"""),45896)</f>
        <v>45896</v>
      </c>
      <c r="H1377" s="33" t="str">
        <f ca="1">IFERROR(__xludf.DUMMYFUNCTION("""COMPUTED_VALUE"""),"Jerez")</f>
        <v>Jerez</v>
      </c>
      <c r="I1377" s="33" t="str">
        <f ca="1">IFERROR(__xludf.DUMMYFUNCTION("""COMPUTED_VALUE"""),"C202592115921573")</f>
        <v>C202592115921573</v>
      </c>
      <c r="J1377" s="33" t="str">
        <f ca="1">IFERROR(__xludf.DUMMYFUNCTION("""COMPUTED_VALUE"""),"ANGEL MADROÑAL FERNANDEZ")</f>
        <v>ANGEL MADROÑAL FERNANDEZ</v>
      </c>
      <c r="K1377" s="33">
        <f ca="1">IFERROR(__xludf.DUMMYFUNCTION("""COMPUTED_VALUE"""),2)</f>
        <v>2</v>
      </c>
      <c r="L1377" s="203">
        <f ca="1">IFERROR(__xludf.DUMMYFUNCTION("""COMPUTED_VALUE"""),4136.36)</f>
        <v>4136.3599999999997</v>
      </c>
      <c r="M1377" s="33" t="str">
        <f ca="1">IFERROR(__xludf.DUMMYFUNCTION("""COMPUTED_VALUE"""),"03 ORL")</f>
        <v>03 ORL</v>
      </c>
      <c r="N1377" s="33" t="str">
        <f ca="1">IFERROR(__xludf.DUMMYFUNCTION("""COMPUTED_VALUE"""),"06 ORL")</f>
        <v>06 ORL</v>
      </c>
      <c r="O1377" s="33" t="str">
        <f ca="1">IFERROR(__xludf.DUMMYFUNCTION("""COMPUTED_VALUE"""),"Dr, Vicente Mira Escartí")</f>
        <v>Dr, Vicente Mira Escartí</v>
      </c>
      <c r="P1377" s="33" t="str">
        <f ca="1">IFERROR(__xludf.DUMMYFUNCTION("""COMPUTED_VALUE"""),"Luis Alberto Rodríguez (Andalucía y Badajoz)")</f>
        <v>Luis Alberto Rodríguez (Andalucía y Badajoz)</v>
      </c>
    </row>
    <row r="1378" spans="2:16">
      <c r="B1378" s="33">
        <f ca="1">IFERROR(__xludf.DUMMYFUNCTION("""COMPUTED_VALUE"""),2025)</f>
        <v>2025</v>
      </c>
      <c r="C1378" s="33">
        <f ca="1">IFERROR(__xludf.DUMMYFUNCTION("""COMPUTED_VALUE"""),10)</f>
        <v>10</v>
      </c>
      <c r="D1378" s="33" t="str">
        <f ca="1">IFERROR(__xludf.DUMMYFUNCTION("""COMPUTED_VALUE"""),"NO")</f>
        <v>NO</v>
      </c>
      <c r="E1378" s="33" t="str">
        <f ca="1">IFERROR(__xludf.DUMMYFUNCTION("""COMPUTED_VALUE"""),"Orihuela")</f>
        <v>Orihuela</v>
      </c>
      <c r="F1378" s="57">
        <f ca="1">IFERROR(__xludf.DUMMYFUNCTION("""COMPUTED_VALUE"""),45960)</f>
        <v>45960</v>
      </c>
      <c r="G1378" s="57">
        <f ca="1">IFERROR(__xludf.DUMMYFUNCTION("""COMPUTED_VALUE"""),45944)</f>
        <v>45944</v>
      </c>
      <c r="H1378" s="33" t="str">
        <f ca="1">IFERROR(__xludf.DUMMYFUNCTION("""COMPUTED_VALUE"""),"La Zenia")</f>
        <v>La Zenia</v>
      </c>
      <c r="I1378" s="33" t="str">
        <f ca="1">IFERROR(__xludf.DUMMYFUNCTION("""COMPUTED_VALUE"""),"C202510141410168949")</f>
        <v>C202510141410168949</v>
      </c>
      <c r="J1378" s="33" t="str">
        <f ca="1">IFERROR(__xludf.DUMMYFUNCTION("""COMPUTED_VALUE"""),"MARTHA OSPINA JIMÉNEZ")</f>
        <v>MARTHA OSPINA JIMÉNEZ</v>
      </c>
      <c r="K1378" s="33">
        <f ca="1">IFERROR(__xludf.DUMMYFUNCTION("""COMPUTED_VALUE"""),2)</f>
        <v>2</v>
      </c>
      <c r="L1378" s="203">
        <f ca="1">IFERROR(__xludf.DUMMYFUNCTION("""COMPUTED_VALUE"""),2581.82)</f>
        <v>2581.8200000000002</v>
      </c>
      <c r="M1378" s="33" t="str">
        <f ca="1">IFERROR(__xludf.DUMMYFUNCTION("""COMPUTED_VALUE"""),"03 ORL")</f>
        <v>03 ORL</v>
      </c>
      <c r="N1378" s="33" t="str">
        <f ca="1">IFERROR(__xludf.DUMMYFUNCTION("""COMPUTED_VALUE"""),"06 ORL")</f>
        <v>06 ORL</v>
      </c>
      <c r="O1378" s="33" t="str">
        <f ca="1">IFERROR(__xludf.DUMMYFUNCTION("""COMPUTED_VALUE"""),"Dr, Carlos Velásquez Fermín")</f>
        <v>Dr, Carlos Velásquez Fermín</v>
      </c>
      <c r="P1378" s="33" t="str">
        <f ca="1">IFERROR(__xludf.DUMMYFUNCTION("""COMPUTED_VALUE"""),"Iván Sánchez (Levante Y Albacete)")</f>
        <v>Iván Sánchez (Levante Y Albacete)</v>
      </c>
    </row>
    <row r="1379" spans="2:16">
      <c r="B1379" s="33">
        <f ca="1">IFERROR(__xludf.DUMMYFUNCTION("""COMPUTED_VALUE"""),2025)</f>
        <v>2025</v>
      </c>
      <c r="C1379" s="33">
        <f ca="1">IFERROR(__xludf.DUMMYFUNCTION("""COMPUTED_VALUE"""),10)</f>
        <v>10</v>
      </c>
      <c r="D1379" s="33" t="str">
        <f ca="1">IFERROR(__xludf.DUMMYFUNCTION("""COMPUTED_VALUE"""),"NO")</f>
        <v>NO</v>
      </c>
      <c r="E1379" s="33" t="str">
        <f ca="1">IFERROR(__xludf.DUMMYFUNCTION("""COMPUTED_VALUE"""),"Madrid- La Oca")</f>
        <v>Madrid- La Oca</v>
      </c>
      <c r="F1379" s="57">
        <f ca="1">IFERROR(__xludf.DUMMYFUNCTION("""COMPUTED_VALUE"""),45960)</f>
        <v>45960</v>
      </c>
      <c r="G1379" s="57">
        <f ca="1">IFERROR(__xludf.DUMMYFUNCTION("""COMPUTED_VALUE"""),45929)</f>
        <v>45929</v>
      </c>
      <c r="H1379" s="33" t="str">
        <f ca="1">IFERROR(__xludf.DUMMYFUNCTION("""COMPUTED_VALUE"""),"La Oca")</f>
        <v>La Oca</v>
      </c>
      <c r="I1379" s="33" t="str">
        <f ca="1">IFERROR(__xludf.DUMMYFUNCTION("""COMPUTED_VALUE"""),"C202510217111554")</f>
        <v>C202510217111554</v>
      </c>
      <c r="J1379" s="33" t="str">
        <f ca="1">IFERROR(__xludf.DUMMYFUNCTION("""COMPUTED_VALUE"""),"NIEVES MONEO NIETO")</f>
        <v>NIEVES MONEO NIETO</v>
      </c>
      <c r="K1379" s="33">
        <f ca="1">IFERROR(__xludf.DUMMYFUNCTION("""COMPUTED_VALUE"""),2)</f>
        <v>2</v>
      </c>
      <c r="L1379" s="203">
        <f ca="1">IFERROR(__xludf.DUMMYFUNCTION("""COMPUTED_VALUE"""),3631.82)</f>
        <v>3631.82</v>
      </c>
      <c r="M1379" s="33" t="str">
        <f ca="1">IFERROR(__xludf.DUMMYFUNCTION("""COMPUTED_VALUE"""),"03 ORL")</f>
        <v>03 ORL</v>
      </c>
      <c r="N1379" s="33" t="str">
        <f ca="1">IFERROR(__xludf.DUMMYFUNCTION("""COMPUTED_VALUE"""),"06 ORL")</f>
        <v>06 ORL</v>
      </c>
      <c r="O1379" s="33" t="str">
        <f ca="1">IFERROR(__xludf.DUMMYFUNCTION("""COMPUTED_VALUE"""),"Dr, Félix Rodríguez Paz")</f>
        <v>Dr, Félix Rodríguez Paz</v>
      </c>
      <c r="P1379" s="33" t="str">
        <f ca="1">IFERROR(__xludf.DUMMYFUNCTION("""COMPUTED_VALUE"""),"Maika Blázquez (Madrid)")</f>
        <v>Maika Blázquez (Madrid)</v>
      </c>
    </row>
    <row r="1380" spans="2:16">
      <c r="B1380" s="33">
        <f ca="1">IFERROR(__xludf.DUMMYFUNCTION("""COMPUTED_VALUE"""),2025)</f>
        <v>2025</v>
      </c>
      <c r="C1380" s="33">
        <f ca="1">IFERROR(__xludf.DUMMYFUNCTION("""COMPUTED_VALUE"""),10)</f>
        <v>10</v>
      </c>
      <c r="D1380" s="33" t="str">
        <f ca="1">IFERROR(__xludf.DUMMYFUNCTION("""COMPUTED_VALUE"""),"NO")</f>
        <v>NO</v>
      </c>
      <c r="E1380" s="33" t="str">
        <f ca="1">IFERROR(__xludf.DUMMYFUNCTION("""COMPUTED_VALUE"""),"Ponferrada")</f>
        <v>Ponferrada</v>
      </c>
      <c r="F1380" s="57">
        <f ca="1">IFERROR(__xludf.DUMMYFUNCTION("""COMPUTED_VALUE"""),45961)</f>
        <v>45961</v>
      </c>
      <c r="G1380" s="57">
        <f ca="1">IFERROR(__xludf.DUMMYFUNCTION("""COMPUTED_VALUE"""),45769)</f>
        <v>45769</v>
      </c>
      <c r="H1380" s="33" t="str">
        <f ca="1">IFERROR(__xludf.DUMMYFUNCTION("""COMPUTED_VALUE"""),"Ponferrada")</f>
        <v>Ponferrada</v>
      </c>
      <c r="I1380" s="33" t="str">
        <f ca="1">IFERROR(__xludf.DUMMYFUNCTION("""COMPUTED_VALUE"""),"PON-911")</f>
        <v>PON-911</v>
      </c>
      <c r="J1380" s="33" t="str">
        <f ca="1">IFERROR(__xludf.DUMMYFUNCTION("""COMPUTED_VALUE"""),"JOSEFA GUTIERREZ SANCHEZ")</f>
        <v>JOSEFA GUTIERREZ SANCHEZ</v>
      </c>
      <c r="K1380" s="33">
        <f ca="1">IFERROR(__xludf.DUMMYFUNCTION("""COMPUTED_VALUE"""),2)</f>
        <v>2</v>
      </c>
      <c r="L1380" s="203">
        <f ca="1">IFERROR(__xludf.DUMMYFUNCTION("""COMPUTED_VALUE"""),3181.82)</f>
        <v>3181.82</v>
      </c>
      <c r="M1380" s="33" t="str">
        <f ca="1">IFERROR(__xludf.DUMMYFUNCTION("""COMPUTED_VALUE"""),"03 ORL")</f>
        <v>03 ORL</v>
      </c>
      <c r="N1380" s="33" t="str">
        <f ca="1">IFERROR(__xludf.DUMMYFUNCTION("""COMPUTED_VALUE"""),"06 ORL")</f>
        <v>06 ORL</v>
      </c>
      <c r="O1380" s="33" t="str">
        <f ca="1">IFERROR(__xludf.DUMMYFUNCTION("""COMPUTED_VALUE"""),"Dra, Mónica Granda Rosales")</f>
        <v>Dra, Mónica Granda Rosales</v>
      </c>
      <c r="P1380" s="33" t="str">
        <f ca="1">IFERROR(__xludf.DUMMYFUNCTION("""COMPUTED_VALUE"""),"Alberto Moreno (Madrid)")</f>
        <v>Alberto Moreno (Madrid)</v>
      </c>
    </row>
    <row r="1381" spans="2:16">
      <c r="B1381" s="33">
        <f ca="1">IFERROR(__xludf.DUMMYFUNCTION("""COMPUTED_VALUE"""),2025)</f>
        <v>2025</v>
      </c>
      <c r="C1381" s="33">
        <f ca="1">IFERROR(__xludf.DUMMYFUNCTION("""COMPUTED_VALUE"""),10)</f>
        <v>10</v>
      </c>
      <c r="D1381" s="33" t="str">
        <f ca="1">IFERROR(__xludf.DUMMYFUNCTION("""COMPUTED_VALUE"""),"NO")</f>
        <v>NO</v>
      </c>
      <c r="E1381" s="33" t="str">
        <f ca="1">IFERROR(__xludf.DUMMYFUNCTION("""COMPUTED_VALUE"""),"Murcia")</f>
        <v>Murcia</v>
      </c>
      <c r="F1381" s="57">
        <f ca="1">IFERROR(__xludf.DUMMYFUNCTION("""COMPUTED_VALUE"""),45961)</f>
        <v>45961</v>
      </c>
      <c r="G1381" s="57">
        <f ca="1">IFERROR(__xludf.DUMMYFUNCTION("""COMPUTED_VALUE"""),45922)</f>
        <v>45922</v>
      </c>
      <c r="H1381" s="33" t="str">
        <f ca="1">IFERROR(__xludf.DUMMYFUNCTION("""COMPUTED_VALUE"""),"Murcia")</f>
        <v>Murcia</v>
      </c>
      <c r="I1381" s="33" t="str">
        <f ca="1">IFERROR(__xludf.DUMMYFUNCTION("""COMPUTED_VALUE"""),"C2025930175643116")</f>
        <v>C2025930175643116</v>
      </c>
      <c r="J1381" s="33" t="str">
        <f ca="1">IFERROR(__xludf.DUMMYFUNCTION("""COMPUTED_VALUE"""),"MERCEDES HERNANDEZ BARROSO")</f>
        <v>MERCEDES HERNANDEZ BARROSO</v>
      </c>
      <c r="K1381" s="33">
        <f ca="1">IFERROR(__xludf.DUMMYFUNCTION("""COMPUTED_VALUE"""),1)</f>
        <v>1</v>
      </c>
      <c r="L1381" s="203">
        <f ca="1">IFERROR(__xludf.DUMMYFUNCTION("""COMPUTED_VALUE"""),2180.91)</f>
        <v>2180.91</v>
      </c>
      <c r="M1381" s="33" t="str">
        <f ca="1">IFERROR(__xludf.DUMMYFUNCTION("""COMPUTED_VALUE"""),"03 ORL")</f>
        <v>03 ORL</v>
      </c>
      <c r="N1381" s="33" t="str">
        <f ca="1">IFERROR(__xludf.DUMMYFUNCTION("""COMPUTED_VALUE"""),"06 ORL")</f>
        <v>06 ORL</v>
      </c>
      <c r="O1381" s="33" t="str">
        <f ca="1">IFERROR(__xludf.DUMMYFUNCTION("""COMPUTED_VALUE"""),"Dr, Jesús Miguel Iniesta Turpín")</f>
        <v>Dr, Jesús Miguel Iniesta Turpín</v>
      </c>
      <c r="P1381" s="33" t="str">
        <f ca="1">IFERROR(__xludf.DUMMYFUNCTION("""COMPUTED_VALUE"""),"Iván Sánchez (Levante Y Albacete)")</f>
        <v>Iván Sánchez (Levante Y Albacete)</v>
      </c>
    </row>
    <row r="1382" spans="2:16">
      <c r="B1382" s="33">
        <f ca="1">IFERROR(__xludf.DUMMYFUNCTION("""COMPUTED_VALUE"""),2025)</f>
        <v>2025</v>
      </c>
      <c r="C1382" s="33">
        <f ca="1">IFERROR(__xludf.DUMMYFUNCTION("""COMPUTED_VALUE"""),10)</f>
        <v>10</v>
      </c>
      <c r="D1382" s="33" t="str">
        <f ca="1">IFERROR(__xludf.DUMMYFUNCTION("""COMPUTED_VALUE"""),"NO")</f>
        <v>NO</v>
      </c>
      <c r="E1382" s="33" t="str">
        <f ca="1">IFERROR(__xludf.DUMMYFUNCTION("""COMPUTED_VALUE"""),"Leganés")</f>
        <v>Leganés</v>
      </c>
      <c r="F1382" s="57">
        <f ca="1">IFERROR(__xludf.DUMMYFUNCTION("""COMPUTED_VALUE"""),45961)</f>
        <v>45961</v>
      </c>
      <c r="G1382" s="57">
        <f ca="1">IFERROR(__xludf.DUMMYFUNCTION("""COMPUTED_VALUE"""),45926)</f>
        <v>45926</v>
      </c>
      <c r="H1382" s="33" t="str">
        <f ca="1">IFERROR(__xludf.DUMMYFUNCTION("""COMPUTED_VALUE"""),"Leganés")</f>
        <v>Leganés</v>
      </c>
      <c r="I1382" s="33" t="str">
        <f ca="1">IFERROR(__xludf.DUMMYFUNCTION("""COMPUTED_VALUE"""),"C2025106124831899")</f>
        <v>C2025106124831899</v>
      </c>
      <c r="J1382" s="33" t="str">
        <f ca="1">IFERROR(__xludf.DUMMYFUNCTION("""COMPUTED_VALUE"""),"MARIA JOSE BLANCO BLANCO")</f>
        <v>MARIA JOSE BLANCO BLANCO</v>
      </c>
      <c r="K1382" s="33">
        <f ca="1">IFERROR(__xludf.DUMMYFUNCTION("""COMPUTED_VALUE"""),2)</f>
        <v>2</v>
      </c>
      <c r="L1382" s="203">
        <f ca="1">IFERROR(__xludf.DUMMYFUNCTION("""COMPUTED_VALUE"""),4136.36)</f>
        <v>4136.3599999999997</v>
      </c>
      <c r="M1382" s="33" t="str">
        <f ca="1">IFERROR(__xludf.DUMMYFUNCTION("""COMPUTED_VALUE"""),"03 ORL")</f>
        <v>03 ORL</v>
      </c>
      <c r="N1382" s="33" t="str">
        <f ca="1">IFERROR(__xludf.DUMMYFUNCTION("""COMPUTED_VALUE"""),"06 ORL")</f>
        <v>06 ORL</v>
      </c>
      <c r="O1382" s="33" t="str">
        <f ca="1">IFERROR(__xludf.DUMMYFUNCTION("""COMPUTED_VALUE"""),"Dra, Ana Ruiz Fornells Noreña")</f>
        <v>Dra, Ana Ruiz Fornells Noreña</v>
      </c>
      <c r="P1382" s="33" t="str">
        <f ca="1">IFERROR(__xludf.DUMMYFUNCTION("""COMPUTED_VALUE"""),"Maika Blázquez (Madrid)")</f>
        <v>Maika Blázquez (Madrid)</v>
      </c>
    </row>
    <row r="1383" spans="2:16">
      <c r="B1383" s="33">
        <f ca="1">IFERROR(__xludf.DUMMYFUNCTION("""COMPUTED_VALUE"""),2025)</f>
        <v>2025</v>
      </c>
      <c r="C1383" s="33">
        <f ca="1">IFERROR(__xludf.DUMMYFUNCTION("""COMPUTED_VALUE"""),10)</f>
        <v>10</v>
      </c>
      <c r="D1383" s="33" t="str">
        <f ca="1">IFERROR(__xludf.DUMMYFUNCTION("""COMPUTED_VALUE"""),"NO")</f>
        <v>NO</v>
      </c>
      <c r="E1383" s="33" t="str">
        <f ca="1">IFERROR(__xludf.DUMMYFUNCTION("""COMPUTED_VALUE"""),"Orihuela")</f>
        <v>Orihuela</v>
      </c>
      <c r="F1383" s="57">
        <f ca="1">IFERROR(__xludf.DUMMYFUNCTION("""COMPUTED_VALUE"""),45961)</f>
        <v>45961</v>
      </c>
      <c r="G1383" s="57">
        <f ca="1">IFERROR(__xludf.DUMMYFUNCTION("""COMPUTED_VALUE"""),45944)</f>
        <v>45944</v>
      </c>
      <c r="H1383" s="33" t="str">
        <f ca="1">IFERROR(__xludf.DUMMYFUNCTION("""COMPUTED_VALUE"""),"La Zenia")</f>
        <v>La Zenia</v>
      </c>
      <c r="I1383" s="33" t="str">
        <f ca="1">IFERROR(__xludf.DUMMYFUNCTION("""COMPUTED_VALUE"""),"C202510149101284255")</f>
        <v>C202510149101284255</v>
      </c>
      <c r="J1383" s="33" t="str">
        <f ca="1">IFERROR(__xludf.DUMMYFUNCTION("""COMPUTED_VALUE"""),"JACINTO JIMENEZ GOMEZ")</f>
        <v>JACINTO JIMENEZ GOMEZ</v>
      </c>
      <c r="K1383" s="33">
        <f ca="1">IFERROR(__xludf.DUMMYFUNCTION("""COMPUTED_VALUE"""),2)</f>
        <v>2</v>
      </c>
      <c r="L1383" s="203">
        <f ca="1">IFERROR(__xludf.DUMMYFUNCTION("""COMPUTED_VALUE"""),4136.36)</f>
        <v>4136.3599999999997</v>
      </c>
      <c r="M1383" s="33" t="str">
        <f ca="1">IFERROR(__xludf.DUMMYFUNCTION("""COMPUTED_VALUE"""),"03 ORL")</f>
        <v>03 ORL</v>
      </c>
      <c r="N1383" s="33" t="str">
        <f ca="1">IFERROR(__xludf.DUMMYFUNCTION("""COMPUTED_VALUE"""),"06 ORL")</f>
        <v>06 ORL</v>
      </c>
      <c r="O1383" s="33" t="str">
        <f ca="1">IFERROR(__xludf.DUMMYFUNCTION("""COMPUTED_VALUE"""),"Dr, Carlos Velásquez Fermín")</f>
        <v>Dr, Carlos Velásquez Fermín</v>
      </c>
      <c r="P1383" s="33" t="str">
        <f ca="1">IFERROR(__xludf.DUMMYFUNCTION("""COMPUTED_VALUE"""),"Iván Sánchez (Levante Y Albacete)")</f>
        <v>Iván Sánchez (Levante Y Albacete)</v>
      </c>
    </row>
    <row r="1384" spans="2:16">
      <c r="B1384" s="33">
        <f ca="1">IFERROR(__xludf.DUMMYFUNCTION("""COMPUTED_VALUE"""),2025)</f>
        <v>2025</v>
      </c>
      <c r="C1384" s="33">
        <f ca="1">IFERROR(__xludf.DUMMYFUNCTION("""COMPUTED_VALUE"""),10)</f>
        <v>10</v>
      </c>
      <c r="D1384" s="33" t="str">
        <f ca="1">IFERROR(__xludf.DUMMYFUNCTION("""COMPUTED_VALUE"""),"NO")</f>
        <v>NO</v>
      </c>
      <c r="E1384" s="33" t="str">
        <f ca="1">IFERROR(__xludf.DUMMYFUNCTION("""COMPUTED_VALUE"""),"Toledo")</f>
        <v>Toledo</v>
      </c>
      <c r="F1384" s="57">
        <f ca="1">IFERROR(__xludf.DUMMYFUNCTION("""COMPUTED_VALUE"""),45961)</f>
        <v>45961</v>
      </c>
      <c r="G1384" s="57">
        <f ca="1">IFERROR(__xludf.DUMMYFUNCTION("""COMPUTED_VALUE"""),45930)</f>
        <v>45930</v>
      </c>
      <c r="H1384" s="33" t="str">
        <f ca="1">IFERROR(__xludf.DUMMYFUNCTION("""COMPUTED_VALUE"""),"Toledo")</f>
        <v>Toledo</v>
      </c>
      <c r="I1384" s="33" t="str">
        <f ca="1">IFERROR(__xludf.DUMMYFUNCTION("""COMPUTED_VALUE"""),"C20259301395798")</f>
        <v>C20259301395798</v>
      </c>
      <c r="J1384" s="33" t="str">
        <f ca="1">IFERROR(__xludf.DUMMYFUNCTION("""COMPUTED_VALUE"""),"Secundino Álvaro Moreno")</f>
        <v>Secundino Álvaro Moreno</v>
      </c>
      <c r="K1384" s="33">
        <f ca="1">IFERROR(__xludf.DUMMYFUNCTION("""COMPUTED_VALUE"""),2)</f>
        <v>2</v>
      </c>
      <c r="L1384" s="203">
        <f ca="1">IFERROR(__xludf.DUMMYFUNCTION("""COMPUTED_VALUE"""),2718.18)</f>
        <v>2718.18</v>
      </c>
      <c r="M1384" s="33" t="str">
        <f ca="1">IFERROR(__xludf.DUMMYFUNCTION("""COMPUTED_VALUE"""),"03 ORL")</f>
        <v>03 ORL</v>
      </c>
      <c r="N1384" s="33" t="str">
        <f ca="1">IFERROR(__xludf.DUMMYFUNCTION("""COMPUTED_VALUE"""),"06 ORL")</f>
        <v>06 ORL</v>
      </c>
      <c r="O1384" s="33" t="str">
        <f ca="1">IFERROR(__xludf.DUMMYFUNCTION("""COMPUTED_VALUE"""),"Dra, María Garrote Garrote")</f>
        <v>Dra, María Garrote Garrote</v>
      </c>
      <c r="P1384" s="33" t="str">
        <f ca="1">IFERROR(__xludf.DUMMYFUNCTION("""COMPUTED_VALUE"""),"Maika Blázquez (Madrid)")</f>
        <v>Maika Blázquez (Madrid)</v>
      </c>
    </row>
    <row r="1385" spans="2:16">
      <c r="B1385" s="33">
        <f ca="1">IFERROR(__xludf.DUMMYFUNCTION("""COMPUTED_VALUE"""),2025)</f>
        <v>2025</v>
      </c>
      <c r="C1385" s="33">
        <f ca="1">IFERROR(__xludf.DUMMYFUNCTION("""COMPUTED_VALUE"""),10)</f>
        <v>10</v>
      </c>
      <c r="D1385" s="33" t="str">
        <f ca="1">IFERROR(__xludf.DUMMYFUNCTION("""COMPUTED_VALUE"""),"NO")</f>
        <v>NO</v>
      </c>
      <c r="E1385" s="33" t="str">
        <f ca="1">IFERROR(__xludf.DUMMYFUNCTION("""COMPUTED_VALUE"""),"Sevilla- Montoto")</f>
        <v>Sevilla- Montoto</v>
      </c>
      <c r="F1385" s="57">
        <f ca="1">IFERROR(__xludf.DUMMYFUNCTION("""COMPUTED_VALUE"""),45961)</f>
        <v>45961</v>
      </c>
      <c r="G1385" s="57">
        <f ca="1">IFERROR(__xludf.DUMMYFUNCTION("""COMPUTED_VALUE"""),45929)</f>
        <v>45929</v>
      </c>
      <c r="H1385" s="33" t="str">
        <f ca="1">IFERROR(__xludf.DUMMYFUNCTION("""COMPUTED_VALUE"""),"Montoto")</f>
        <v>Montoto</v>
      </c>
      <c r="I1385" s="33" t="str">
        <f ca="1">IFERROR(__xludf.DUMMYFUNCTION("""COMPUTED_VALUE"""),"C2025102105317309")</f>
        <v>C2025102105317309</v>
      </c>
      <c r="J1385" s="33" t="str">
        <f ca="1">IFERROR(__xludf.DUMMYFUNCTION("""COMPUTED_VALUE"""),"ASUNTA DE LOS ANGELES REINA PEREZ")</f>
        <v>ASUNTA DE LOS ANGELES REINA PEREZ</v>
      </c>
      <c r="K1385" s="33">
        <f ca="1">IFERROR(__xludf.DUMMYFUNCTION("""COMPUTED_VALUE"""),2)</f>
        <v>2</v>
      </c>
      <c r="L1385" s="203">
        <f ca="1">IFERROR(__xludf.DUMMYFUNCTION("""COMPUTED_VALUE"""),3631.82)</f>
        <v>3631.82</v>
      </c>
      <c r="M1385" s="33" t="str">
        <f ca="1">IFERROR(__xludf.DUMMYFUNCTION("""COMPUTED_VALUE"""),"03 ORL")</f>
        <v>03 ORL</v>
      </c>
      <c r="N1385" s="33" t="str">
        <f ca="1">IFERROR(__xludf.DUMMYFUNCTION("""COMPUTED_VALUE"""),"06 ORL")</f>
        <v>06 ORL</v>
      </c>
      <c r="O1385" s="33" t="str">
        <f ca="1">IFERROR(__xludf.DUMMYFUNCTION("""COMPUTED_VALUE"""),"Dr, Miguel Alberto Rodríguez Pérez")</f>
        <v>Dr, Miguel Alberto Rodríguez Pérez</v>
      </c>
      <c r="P1385" s="33" t="str">
        <f ca="1">IFERROR(__xludf.DUMMYFUNCTION("""COMPUTED_VALUE"""),"Luis Alberto Rodríguez (Andalucía y Badajoz)")</f>
        <v>Luis Alberto Rodríguez (Andalucía y Badajoz)</v>
      </c>
    </row>
    <row r="1386" spans="2:16">
      <c r="B1386" s="33">
        <f ca="1">IFERROR(__xludf.DUMMYFUNCTION("""COMPUTED_VALUE"""),2025)</f>
        <v>2025</v>
      </c>
      <c r="C1386" s="33">
        <f ca="1">IFERROR(__xludf.DUMMYFUNCTION("""COMPUTED_VALUE"""),10)</f>
        <v>10</v>
      </c>
      <c r="D1386" s="33" t="str">
        <f ca="1">IFERROR(__xludf.DUMMYFUNCTION("""COMPUTED_VALUE"""),"NO")</f>
        <v>NO</v>
      </c>
      <c r="E1386" s="33" t="str">
        <f ca="1">IFERROR(__xludf.DUMMYFUNCTION("""COMPUTED_VALUE"""),"Madrid- Monforte de Lemos")</f>
        <v>Madrid- Monforte de Lemos</v>
      </c>
      <c r="F1386" s="57">
        <f ca="1">IFERROR(__xludf.DUMMYFUNCTION("""COMPUTED_VALUE"""),45961)</f>
        <v>45961</v>
      </c>
      <c r="G1386" s="57">
        <f ca="1">IFERROR(__xludf.DUMMYFUNCTION("""COMPUTED_VALUE"""),45832)</f>
        <v>45832</v>
      </c>
      <c r="H1386" s="33" t="str">
        <f ca="1">IFERROR(__xludf.DUMMYFUNCTION("""COMPUTED_VALUE"""),"La Vaguada")</f>
        <v>La Vaguada</v>
      </c>
      <c r="I1386" s="33" t="str">
        <f ca="1">IFERROR(__xludf.DUMMYFUNCTION("""COMPUTED_VALUE"""),"C2025624182020941")</f>
        <v>C2025624182020941</v>
      </c>
      <c r="J1386" s="33" t="str">
        <f ca="1">IFERROR(__xludf.DUMMYFUNCTION("""COMPUTED_VALUE"""),"JOSE PELAEZ CABEZAS")</f>
        <v>JOSE PELAEZ CABEZAS</v>
      </c>
      <c r="K1386" s="33">
        <f ca="1">IFERROR(__xludf.DUMMYFUNCTION("""COMPUTED_VALUE"""),2)</f>
        <v>2</v>
      </c>
      <c r="L1386" s="203">
        <f ca="1">IFERROR(__xludf.DUMMYFUNCTION("""COMPUTED_VALUE"""),3631.82)</f>
        <v>3631.82</v>
      </c>
      <c r="M1386" s="33" t="str">
        <f ca="1">IFERROR(__xludf.DUMMYFUNCTION("""COMPUTED_VALUE"""),"03 ORL")</f>
        <v>03 ORL</v>
      </c>
      <c r="N1386" s="33" t="str">
        <f ca="1">IFERROR(__xludf.DUMMYFUNCTION("""COMPUTED_VALUE"""),"06 ORL")</f>
        <v>06 ORL</v>
      </c>
      <c r="O1386" s="33" t="str">
        <f ca="1">IFERROR(__xludf.DUMMYFUNCTION("""COMPUTED_VALUE"""),"Dr, José Manuel Morales Puebla")</f>
        <v>Dr, José Manuel Morales Puebla</v>
      </c>
      <c r="P1386" s="33" t="str">
        <f ca="1">IFERROR(__xludf.DUMMYFUNCTION("""COMPUTED_VALUE"""),"Lisandro Russian (Madrid, Cáceres, Toledo, Talavera Y Logroño)")</f>
        <v>Lisandro Russian (Madrid, Cáceres, Toledo, Talavera Y Logroño)</v>
      </c>
    </row>
    <row r="1387" spans="2:16">
      <c r="B1387" s="33">
        <f ca="1">IFERROR(__xludf.DUMMYFUNCTION("""COMPUTED_VALUE"""),2025)</f>
        <v>2025</v>
      </c>
      <c r="C1387" s="33">
        <f ca="1">IFERROR(__xludf.DUMMYFUNCTION("""COMPUTED_VALUE"""),10)</f>
        <v>10</v>
      </c>
      <c r="D1387" s="33" t="str">
        <f ca="1">IFERROR(__xludf.DUMMYFUNCTION("""COMPUTED_VALUE"""),"NO")</f>
        <v>NO</v>
      </c>
      <c r="E1387" s="33" t="str">
        <f ca="1">IFERROR(__xludf.DUMMYFUNCTION("""COMPUTED_VALUE"""),"Valencia- Parra")</f>
        <v>Valencia- Parra</v>
      </c>
      <c r="F1387" s="57">
        <f ca="1">IFERROR(__xludf.DUMMYFUNCTION("""COMPUTED_VALUE"""),45961)</f>
        <v>45961</v>
      </c>
      <c r="G1387" s="57">
        <f ca="1">IFERROR(__xludf.DUMMYFUNCTION("""COMPUTED_VALUE"""),45924)</f>
        <v>45924</v>
      </c>
      <c r="H1387" s="33" t="str">
        <f ca="1">IFERROR(__xludf.DUMMYFUNCTION("""COMPUTED_VALUE"""),"Valencia- Parra")</f>
        <v>Valencia- Parra</v>
      </c>
      <c r="I1387" s="33" t="str">
        <f ca="1">IFERROR(__xludf.DUMMYFUNCTION("""COMPUTED_VALUE"""),"C2025924135530812")</f>
        <v>C2025924135530812</v>
      </c>
      <c r="J1387" s="33" t="str">
        <f ca="1">IFERROR(__xludf.DUMMYFUNCTION("""COMPUTED_VALUE"""),"MARIA DOLORS CAPDEVILA CULLELL")</f>
        <v>MARIA DOLORS CAPDEVILA CULLELL</v>
      </c>
      <c r="K1387" s="33">
        <f ca="1">IFERROR(__xludf.DUMMYFUNCTION("""COMPUTED_VALUE"""),2)</f>
        <v>2</v>
      </c>
      <c r="L1387" s="203">
        <f ca="1">IFERROR(__xludf.DUMMYFUNCTION("""COMPUTED_VALUE"""),2718.18)</f>
        <v>2718.18</v>
      </c>
      <c r="M1387" s="33" t="str">
        <f ca="1">IFERROR(__xludf.DUMMYFUNCTION("""COMPUTED_VALUE"""),"03 ORL")</f>
        <v>03 ORL</v>
      </c>
      <c r="N1387" s="33" t="str">
        <f ca="1">IFERROR(__xludf.DUMMYFUNCTION("""COMPUTED_VALUE"""),"06 ORL")</f>
        <v>06 ORL</v>
      </c>
      <c r="O1387" s="33" t="str">
        <f ca="1">IFERROR(__xludf.DUMMYFUNCTION("""COMPUTED_VALUE"""),"No recuerda ORL")</f>
        <v>No recuerda ORL</v>
      </c>
      <c r="P1387" s="33" t="str">
        <f ca="1">IFERROR(__xludf.DUMMYFUNCTION("""COMPUTED_VALUE"""),"Ramon Ferrando(Valencia)")</f>
        <v>Ramon Ferrando(Valencia)</v>
      </c>
    </row>
    <row r="1388" spans="2:16">
      <c r="B1388" s="33">
        <f ca="1">IFERROR(__xludf.DUMMYFUNCTION("""COMPUTED_VALUE"""),2025)</f>
        <v>2025</v>
      </c>
      <c r="C1388" s="33">
        <f ca="1">IFERROR(__xludf.DUMMYFUNCTION("""COMPUTED_VALUE"""),10)</f>
        <v>10</v>
      </c>
      <c r="D1388" s="33" t="str">
        <f ca="1">IFERROR(__xludf.DUMMYFUNCTION("""COMPUTED_VALUE"""),"NO")</f>
        <v>NO</v>
      </c>
      <c r="E1388" s="33" t="str">
        <f ca="1">IFERROR(__xludf.DUMMYFUNCTION("""COMPUTED_VALUE"""),"Madrid- Juan Bravo")</f>
        <v>Madrid- Juan Bravo</v>
      </c>
      <c r="F1388" s="57">
        <f ca="1">IFERROR(__xludf.DUMMYFUNCTION("""COMPUTED_VALUE"""),45961)</f>
        <v>45961</v>
      </c>
      <c r="G1388" s="57">
        <f ca="1">IFERROR(__xludf.DUMMYFUNCTION("""COMPUTED_VALUE"""),45924)</f>
        <v>45924</v>
      </c>
      <c r="H1388" s="33" t="str">
        <f ca="1">IFERROR(__xludf.DUMMYFUNCTION("""COMPUTED_VALUE"""),"Juan Bravo")</f>
        <v>Juan Bravo</v>
      </c>
      <c r="I1388" s="33" t="str">
        <f ca="1">IFERROR(__xludf.DUMMYFUNCTION("""COMPUTED_VALUE"""),"C202592911277510")</f>
        <v>C202592911277510</v>
      </c>
      <c r="J1388" s="33" t="str">
        <f ca="1">IFERROR(__xludf.DUMMYFUNCTION("""COMPUTED_VALUE"""),"MARIA CARMEN MARTIN PRECIADOS")</f>
        <v>MARIA CARMEN MARTIN PRECIADOS</v>
      </c>
      <c r="K1388" s="33">
        <f ca="1">IFERROR(__xludf.DUMMYFUNCTION("""COMPUTED_VALUE"""),2)</f>
        <v>2</v>
      </c>
      <c r="L1388" s="203">
        <f ca="1">IFERROR(__xludf.DUMMYFUNCTION("""COMPUTED_VALUE"""),2718.18)</f>
        <v>2718.18</v>
      </c>
      <c r="M1388" s="33" t="str">
        <f ca="1">IFERROR(__xludf.DUMMYFUNCTION("""COMPUTED_VALUE"""),"03 ORL")</f>
        <v>03 ORL</v>
      </c>
      <c r="N1388" s="33" t="str">
        <f ca="1">IFERROR(__xludf.DUMMYFUNCTION("""COMPUTED_VALUE"""),"06 ORL")</f>
        <v>06 ORL</v>
      </c>
      <c r="O1388" s="33" t="str">
        <f ca="1">IFERROR(__xludf.DUMMYFUNCTION("""COMPUTED_VALUE"""),"Dr, Carlos Barajas del Rosal")</f>
        <v>Dr, Carlos Barajas del Rosal</v>
      </c>
      <c r="P1388" s="33" t="str">
        <f ca="1">IFERROR(__xludf.DUMMYFUNCTION("""COMPUTED_VALUE"""),"Lisandro Russian (Madrid, Cáceres, Toledo, Talavera Y Logroño)")</f>
        <v>Lisandro Russian (Madrid, Cáceres, Toledo, Talavera Y Logroño)</v>
      </c>
    </row>
    <row r="1389" spans="2:16">
      <c r="B1389" s="33">
        <f ca="1">IFERROR(__xludf.DUMMYFUNCTION("""COMPUTED_VALUE"""),2025)</f>
        <v>2025</v>
      </c>
      <c r="C1389" s="33">
        <f ca="1">IFERROR(__xludf.DUMMYFUNCTION("""COMPUTED_VALUE"""),10)</f>
        <v>10</v>
      </c>
      <c r="D1389" s="33" t="str">
        <f ca="1">IFERROR(__xludf.DUMMYFUNCTION("""COMPUTED_VALUE"""),"NO")</f>
        <v>NO</v>
      </c>
      <c r="E1389" s="33" t="str">
        <f ca="1">IFERROR(__xludf.DUMMYFUNCTION("""COMPUTED_VALUE"""),"Torrejón de Ardoz")</f>
        <v>Torrejón de Ardoz</v>
      </c>
      <c r="F1389" s="57">
        <f ca="1">IFERROR(__xludf.DUMMYFUNCTION("""COMPUTED_VALUE"""),45961)</f>
        <v>45961</v>
      </c>
      <c r="G1389" s="57">
        <f ca="1">IFERROR(__xludf.DUMMYFUNCTION("""COMPUTED_VALUE"""),45936)</f>
        <v>45936</v>
      </c>
      <c r="H1389" s="33" t="str">
        <f ca="1">IFERROR(__xludf.DUMMYFUNCTION("""COMPUTED_VALUE"""),"Torrejón")</f>
        <v>Torrejón</v>
      </c>
      <c r="I1389" s="33" t="str">
        <f ca="1">IFERROR(__xludf.DUMMYFUNCTION("""COMPUTED_VALUE"""),"C202510716931656")</f>
        <v>C202510716931656</v>
      </c>
      <c r="J1389" s="33" t="str">
        <f ca="1">IFERROR(__xludf.DUMMYFUNCTION("""COMPUTED_VALUE"""),"JOSE DOMINGO MARTINEZ RUIZ")</f>
        <v>JOSE DOMINGO MARTINEZ RUIZ</v>
      </c>
      <c r="K1389" s="33">
        <f ca="1">IFERROR(__xludf.DUMMYFUNCTION("""COMPUTED_VALUE"""),2)</f>
        <v>2</v>
      </c>
      <c r="L1389" s="203">
        <f ca="1">IFERROR(__xludf.DUMMYFUNCTION("""COMPUTED_VALUE"""),2718.18)</f>
        <v>2718.18</v>
      </c>
      <c r="M1389" s="33" t="str">
        <f ca="1">IFERROR(__xludf.DUMMYFUNCTION("""COMPUTED_VALUE"""),"03 ORL")</f>
        <v>03 ORL</v>
      </c>
      <c r="N1389" s="33" t="str">
        <f ca="1">IFERROR(__xludf.DUMMYFUNCTION("""COMPUTED_VALUE"""),"06 ORL")</f>
        <v>06 ORL</v>
      </c>
      <c r="O1389" s="33" t="str">
        <f ca="1">IFERROR(__xludf.DUMMYFUNCTION("""COMPUTED_VALUE"""),"Dra, María Garrote Garrote")</f>
        <v>Dra, María Garrote Garrote</v>
      </c>
      <c r="P1389" s="33" t="str">
        <f ca="1">IFERROR(__xludf.DUMMYFUNCTION("""COMPUTED_VALUE"""),"Maika Blázquez (Madrid)")</f>
        <v>Maika Blázquez (Madrid)</v>
      </c>
    </row>
    <row r="1390" spans="2:16">
      <c r="B1390" s="33">
        <f ca="1">IFERROR(__xludf.DUMMYFUNCTION("""COMPUTED_VALUE"""),2025)</f>
        <v>2025</v>
      </c>
      <c r="C1390" s="33">
        <f ca="1">IFERROR(__xludf.DUMMYFUNCTION("""COMPUTED_VALUE"""),10)</f>
        <v>10</v>
      </c>
      <c r="D1390" s="33" t="str">
        <f ca="1">IFERROR(__xludf.DUMMYFUNCTION("""COMPUTED_VALUE"""),"NO")</f>
        <v>NO</v>
      </c>
      <c r="E1390" s="33" t="str">
        <f ca="1">IFERROR(__xludf.DUMMYFUNCTION("""COMPUTED_VALUE"""),"Madrid- Costa Rica")</f>
        <v>Madrid- Costa Rica</v>
      </c>
      <c r="F1390" s="57">
        <f ca="1">IFERROR(__xludf.DUMMYFUNCTION("""COMPUTED_VALUE"""),45961)</f>
        <v>45961</v>
      </c>
      <c r="G1390" s="57">
        <f ca="1">IFERROR(__xludf.DUMMYFUNCTION("""COMPUTED_VALUE"""),45932)</f>
        <v>45932</v>
      </c>
      <c r="H1390" s="33" t="str">
        <f ca="1">IFERROR(__xludf.DUMMYFUNCTION("""COMPUTED_VALUE"""),"Costa Rica")</f>
        <v>Costa Rica</v>
      </c>
      <c r="I1390" s="33" t="str">
        <f ca="1">IFERROR(__xludf.DUMMYFUNCTION("""COMPUTED_VALUE"""),"C2025107115520153")</f>
        <v>C2025107115520153</v>
      </c>
      <c r="J1390" s="33" t="str">
        <f ca="1">IFERROR(__xludf.DUMMYFUNCTION("""COMPUTED_VALUE"""),"CARMEN GARCIA CASELAS [JESUS SAINZ GARCIA ]")</f>
        <v>CARMEN GARCIA CASELAS [JESUS SAINZ GARCIA ]</v>
      </c>
      <c r="K1390" s="33">
        <f ca="1">IFERROR(__xludf.DUMMYFUNCTION("""COMPUTED_VALUE"""),2)</f>
        <v>2</v>
      </c>
      <c r="L1390" s="203">
        <f ca="1">IFERROR(__xludf.DUMMYFUNCTION("""COMPUTED_VALUE"""),3631.82)</f>
        <v>3631.82</v>
      </c>
      <c r="M1390" s="33" t="str">
        <f ca="1">IFERROR(__xludf.DUMMYFUNCTION("""COMPUTED_VALUE"""),"03 ORL")</f>
        <v>03 ORL</v>
      </c>
      <c r="N1390" s="33" t="str">
        <f ca="1">IFERROR(__xludf.DUMMYFUNCTION("""COMPUTED_VALUE"""),"06 ORL")</f>
        <v>06 ORL</v>
      </c>
      <c r="O1390" s="33" t="str">
        <f ca="1">IFERROR(__xludf.DUMMYFUNCTION("""COMPUTED_VALUE"""),"Dra, María Cecilia Scola Torres")</f>
        <v>Dra, María Cecilia Scola Torres</v>
      </c>
      <c r="P1390" s="33" t="str">
        <f ca="1">IFERROR(__xludf.DUMMYFUNCTION("""COMPUTED_VALUE"""),"Maika Blázquez (Madrid)")</f>
        <v>Maika Blázquez (Madrid)</v>
      </c>
    </row>
    <row r="1391" spans="2:16">
      <c r="B1391" s="33">
        <f ca="1">IFERROR(__xludf.DUMMYFUNCTION("""COMPUTED_VALUE"""),2025)</f>
        <v>2025</v>
      </c>
      <c r="C1391" s="33">
        <f ca="1">IFERROR(__xludf.DUMMYFUNCTION("""COMPUTED_VALUE"""),10)</f>
        <v>10</v>
      </c>
      <c r="D1391" s="33" t="str">
        <f ca="1">IFERROR(__xludf.DUMMYFUNCTION("""COMPUTED_VALUE"""),"NO")</f>
        <v>NO</v>
      </c>
      <c r="E1391" s="33" t="str">
        <f ca="1">IFERROR(__xludf.DUMMYFUNCTION("""COMPUTED_VALUE"""),"Madrid- Canillas")</f>
        <v>Madrid- Canillas</v>
      </c>
      <c r="F1391" s="57">
        <f ca="1">IFERROR(__xludf.DUMMYFUNCTION("""COMPUTED_VALUE"""),45961)</f>
        <v>45961</v>
      </c>
      <c r="G1391" s="57">
        <f ca="1">IFERROR(__xludf.DUMMYFUNCTION("""COMPUTED_VALUE"""),45938)</f>
        <v>45938</v>
      </c>
      <c r="H1391" s="33" t="str">
        <f ca="1">IFERROR(__xludf.DUMMYFUNCTION("""COMPUTED_VALUE"""),"Canillas")</f>
        <v>Canillas</v>
      </c>
      <c r="I1391" s="33" t="str">
        <f ca="1">IFERROR(__xludf.DUMMYFUNCTION("""COMPUTED_VALUE"""),"C2025101518319286")</f>
        <v>C2025101518319286</v>
      </c>
      <c r="J1391" s="33" t="str">
        <f ca="1">IFERROR(__xludf.DUMMYFUNCTION("""COMPUTED_VALUE"""),"LELIA RAMONA VELEA")</f>
        <v>LELIA RAMONA VELEA</v>
      </c>
      <c r="K1391" s="33">
        <f ca="1">IFERROR(__xludf.DUMMYFUNCTION("""COMPUTED_VALUE"""),2)</f>
        <v>2</v>
      </c>
      <c r="L1391" s="203">
        <f ca="1">IFERROR(__xludf.DUMMYFUNCTION("""COMPUTED_VALUE"""),2718.27)</f>
        <v>2718.27</v>
      </c>
      <c r="M1391" s="33" t="str">
        <f ca="1">IFERROR(__xludf.DUMMYFUNCTION("""COMPUTED_VALUE"""),"03 ORL")</f>
        <v>03 ORL</v>
      </c>
      <c r="N1391" s="33" t="str">
        <f ca="1">IFERROR(__xludf.DUMMYFUNCTION("""COMPUTED_VALUE"""),"06 ORL")</f>
        <v>06 ORL</v>
      </c>
      <c r="O1391" s="33" t="str">
        <f ca="1">IFERROR(__xludf.DUMMYFUNCTION("""COMPUTED_VALUE"""),"Dra, Manuela Calderón Sánchez")</f>
        <v>Dra, Manuela Calderón Sánchez</v>
      </c>
      <c r="P1391" s="33" t="str">
        <f ca="1">IFERROR(__xludf.DUMMYFUNCTION("""COMPUTED_VALUE"""),"Maika Blázquez (Madrid)")</f>
        <v>Maika Blázquez (Madrid)</v>
      </c>
    </row>
    <row r="1392" spans="2:16">
      <c r="B1392" s="33">
        <f ca="1">IFERROR(__xludf.DUMMYFUNCTION("""COMPUTED_VALUE"""),2025)</f>
        <v>2025</v>
      </c>
      <c r="C1392" s="33">
        <f ca="1">IFERROR(__xludf.DUMMYFUNCTION("""COMPUTED_VALUE"""),10)</f>
        <v>10</v>
      </c>
      <c r="D1392" s="33" t="str">
        <f ca="1">IFERROR(__xludf.DUMMYFUNCTION("""COMPUTED_VALUE"""),"NO")</f>
        <v>NO</v>
      </c>
      <c r="E1392" s="33" t="str">
        <f ca="1">IFERROR(__xludf.DUMMYFUNCTION("""COMPUTED_VALUE"""),"Móstoles")</f>
        <v>Móstoles</v>
      </c>
      <c r="F1392" s="57">
        <f ca="1">IFERROR(__xludf.DUMMYFUNCTION("""COMPUTED_VALUE"""),45961)</f>
        <v>45961</v>
      </c>
      <c r="G1392" s="57">
        <f ca="1">IFERROR(__xludf.DUMMYFUNCTION("""COMPUTED_VALUE"""),45925)</f>
        <v>45925</v>
      </c>
      <c r="H1392" s="33" t="str">
        <f ca="1">IFERROR(__xludf.DUMMYFUNCTION("""COMPUTED_VALUE"""),"Móstoles")</f>
        <v>Móstoles</v>
      </c>
      <c r="I1392" s="33" t="str">
        <f ca="1">IFERROR(__xludf.DUMMYFUNCTION("""COMPUTED_VALUE"""),"C2025102172122903")</f>
        <v>C2025102172122903</v>
      </c>
      <c r="J1392" s="33" t="str">
        <f ca="1">IFERROR(__xludf.DUMMYFUNCTION("""COMPUTED_VALUE"""),"ISABEL SANCHEZ PALOMINO")</f>
        <v>ISABEL SANCHEZ PALOMINO</v>
      </c>
      <c r="K1392" s="33">
        <f ca="1">IFERROR(__xludf.DUMMYFUNCTION("""COMPUTED_VALUE"""),1)</f>
        <v>1</v>
      </c>
      <c r="L1392" s="203">
        <f ca="1">IFERROR(__xludf.DUMMYFUNCTION("""COMPUTED_VALUE"""),2481.82)</f>
        <v>2481.8200000000002</v>
      </c>
      <c r="M1392" s="33" t="str">
        <f ca="1">IFERROR(__xludf.DUMMYFUNCTION("""COMPUTED_VALUE"""),"03 ORL")</f>
        <v>03 ORL</v>
      </c>
      <c r="N1392" s="33" t="str">
        <f ca="1">IFERROR(__xludf.DUMMYFUNCTION("""COMPUTED_VALUE"""),"06 ORL")</f>
        <v>06 ORL</v>
      </c>
      <c r="O1392" s="33" t="str">
        <f ca="1">IFERROR(__xludf.DUMMYFUNCTION("""COMPUTED_VALUE"""),"No recuerda ORL")</f>
        <v>No recuerda ORL</v>
      </c>
      <c r="P1392" s="33" t="str">
        <f ca="1">IFERROR(__xludf.DUMMYFUNCTION("""COMPUTED_VALUE"""),"Maika Blázquez (Madrid)")</f>
        <v>Maika Blázquez (Madrid)</v>
      </c>
    </row>
    <row r="1393" spans="2:16">
      <c r="B1393" s="33">
        <f ca="1">IFERROR(__xludf.DUMMYFUNCTION("""COMPUTED_VALUE"""),2025)</f>
        <v>2025</v>
      </c>
      <c r="C1393" s="33">
        <f ca="1">IFERROR(__xludf.DUMMYFUNCTION("""COMPUTED_VALUE"""),10)</f>
        <v>10</v>
      </c>
      <c r="D1393" s="33" t="str">
        <f ca="1">IFERROR(__xludf.DUMMYFUNCTION("""COMPUTED_VALUE"""),"NO")</f>
        <v>NO</v>
      </c>
      <c r="E1393" s="33" t="str">
        <f ca="1">IFERROR(__xludf.DUMMYFUNCTION("""COMPUTED_VALUE"""),"Murcia")</f>
        <v>Murcia</v>
      </c>
      <c r="F1393" s="57">
        <f ca="1">IFERROR(__xludf.DUMMYFUNCTION("""COMPUTED_VALUE"""),45961)</f>
        <v>45961</v>
      </c>
      <c r="G1393" s="57">
        <f ca="1">IFERROR(__xludf.DUMMYFUNCTION("""COMPUTED_VALUE"""),45919)</f>
        <v>45919</v>
      </c>
      <c r="H1393" s="33" t="str">
        <f ca="1">IFERROR(__xludf.DUMMYFUNCTION("""COMPUTED_VALUE"""),"Murcia")</f>
        <v>Murcia</v>
      </c>
      <c r="I1393" s="33" t="str">
        <f ca="1">IFERROR(__xludf.DUMMYFUNCTION("""COMPUTED_VALUE"""),"C202592518556702")</f>
        <v>C202592518556702</v>
      </c>
      <c r="J1393" s="33" t="str">
        <f ca="1">IFERROR(__xludf.DUMMYFUNCTION("""COMPUTED_VALUE"""),"ANA MARIA SANTIAGO FERNANDEZ")</f>
        <v>ANA MARIA SANTIAGO FERNANDEZ</v>
      </c>
      <c r="K1393" s="33">
        <f ca="1">IFERROR(__xludf.DUMMYFUNCTION("""COMPUTED_VALUE"""),2)</f>
        <v>2</v>
      </c>
      <c r="L1393" s="203">
        <f ca="1">IFERROR(__xludf.DUMMYFUNCTION("""COMPUTED_VALUE"""),2718.18)</f>
        <v>2718.18</v>
      </c>
      <c r="M1393" s="33" t="str">
        <f ca="1">IFERROR(__xludf.DUMMYFUNCTION("""COMPUTED_VALUE"""),"03 ORL")</f>
        <v>03 ORL</v>
      </c>
      <c r="N1393" s="33" t="str">
        <f ca="1">IFERROR(__xludf.DUMMYFUNCTION("""COMPUTED_VALUE"""),"06 ORL")</f>
        <v>06 ORL</v>
      </c>
      <c r="O1393" s="33" t="str">
        <f ca="1">IFERROR(__xludf.DUMMYFUNCTION("""COMPUTED_VALUE"""),"No recuerda ORL")</f>
        <v>No recuerda ORL</v>
      </c>
      <c r="P1393" s="33" t="str">
        <f ca="1">IFERROR(__xludf.DUMMYFUNCTION("""COMPUTED_VALUE"""),"Iván Sánchez (Levante Y Albacete)")</f>
        <v>Iván Sánchez (Levante Y Albacete)</v>
      </c>
    </row>
    <row r="1394" spans="2:16">
      <c r="B1394" s="33">
        <f ca="1">IFERROR(__xludf.DUMMYFUNCTION("""COMPUTED_VALUE"""),2025)</f>
        <v>2025</v>
      </c>
      <c r="C1394" s="33">
        <f ca="1">IFERROR(__xludf.DUMMYFUNCTION("""COMPUTED_VALUE"""),10)</f>
        <v>10</v>
      </c>
      <c r="D1394" s="33" t="str">
        <f ca="1">IFERROR(__xludf.DUMMYFUNCTION("""COMPUTED_VALUE"""),"NO")</f>
        <v>NO</v>
      </c>
      <c r="E1394" s="33" t="str">
        <f ca="1">IFERROR(__xludf.DUMMYFUNCTION("""COMPUTED_VALUE"""),"Murcia")</f>
        <v>Murcia</v>
      </c>
      <c r="F1394" s="57">
        <f ca="1">IFERROR(__xludf.DUMMYFUNCTION("""COMPUTED_VALUE"""),45961)</f>
        <v>45961</v>
      </c>
      <c r="G1394" s="57">
        <f ca="1">IFERROR(__xludf.DUMMYFUNCTION("""COMPUTED_VALUE"""),45923)</f>
        <v>45923</v>
      </c>
      <c r="H1394" s="33" t="str">
        <f ca="1">IFERROR(__xludf.DUMMYFUNCTION("""COMPUTED_VALUE"""),"Murcia")</f>
        <v>Murcia</v>
      </c>
      <c r="I1394" s="33" t="str">
        <f ca="1">IFERROR(__xludf.DUMMYFUNCTION("""COMPUTED_VALUE"""),"C202592694846329")</f>
        <v>C202592694846329</v>
      </c>
      <c r="J1394" s="33" t="str">
        <f ca="1">IFERROR(__xludf.DUMMYFUNCTION("""COMPUTED_VALUE"""),"ILDEFONSO PALENCIA ABELLAN")</f>
        <v>ILDEFONSO PALENCIA ABELLAN</v>
      </c>
      <c r="K1394" s="33">
        <f ca="1">IFERROR(__xludf.DUMMYFUNCTION("""COMPUTED_VALUE"""),2)</f>
        <v>2</v>
      </c>
      <c r="L1394" s="203">
        <f ca="1">IFERROR(__xludf.DUMMYFUNCTION("""COMPUTED_VALUE"""),3450)</f>
        <v>3450</v>
      </c>
      <c r="M1394" s="33" t="str">
        <f ca="1">IFERROR(__xludf.DUMMYFUNCTION("""COMPUTED_VALUE"""),"03 ORL")</f>
        <v>03 ORL</v>
      </c>
      <c r="N1394" s="33" t="str">
        <f ca="1">IFERROR(__xludf.DUMMYFUNCTION("""COMPUTED_VALUE"""),"06 ORL")</f>
        <v>06 ORL</v>
      </c>
      <c r="O1394" s="33" t="str">
        <f ca="1">IFERROR(__xludf.DUMMYFUNCTION("""COMPUTED_VALUE"""),"Dra, María Agustina Sevilla García")</f>
        <v>Dra, María Agustina Sevilla García</v>
      </c>
      <c r="P1394" s="33" t="str">
        <f ca="1">IFERROR(__xludf.DUMMYFUNCTION("""COMPUTED_VALUE"""),"Iván Sánchez (Levante Y Albacete)")</f>
        <v>Iván Sánchez (Levante Y Albacete)</v>
      </c>
    </row>
    <row r="1395" spans="2:16">
      <c r="B1395" s="33">
        <f ca="1">IFERROR(__xludf.DUMMYFUNCTION("""COMPUTED_VALUE"""),2025)</f>
        <v>2025</v>
      </c>
      <c r="C1395" s="33">
        <f ca="1">IFERROR(__xludf.DUMMYFUNCTION("""COMPUTED_VALUE"""),11)</f>
        <v>11</v>
      </c>
      <c r="D1395" s="33" t="str">
        <f ca="1">IFERROR(__xludf.DUMMYFUNCTION("""COMPUTED_VALUE"""),"NO")</f>
        <v>NO</v>
      </c>
      <c r="E1395" s="33" t="str">
        <f ca="1">IFERROR(__xludf.DUMMYFUNCTION("""COMPUTED_VALUE"""),"Badajoz")</f>
        <v>Badajoz</v>
      </c>
      <c r="F1395" s="57">
        <f ca="1">IFERROR(__xludf.DUMMYFUNCTION("""COMPUTED_VALUE"""),45964)</f>
        <v>45964</v>
      </c>
      <c r="G1395" s="57">
        <f ca="1">IFERROR(__xludf.DUMMYFUNCTION("""COMPUTED_VALUE"""),45544)</f>
        <v>45544</v>
      </c>
      <c r="H1395" s="33" t="str">
        <f ca="1">IFERROR(__xludf.DUMMYFUNCTION("""COMPUTED_VALUE"""),"Badajoz")</f>
        <v>Badajoz</v>
      </c>
      <c r="I1395" s="33" t="str">
        <f ca="1">IFERROR(__xludf.DUMMYFUNCTION("""COMPUTED_VALUE"""),"BJZE-2401")</f>
        <v>BJZE-2401</v>
      </c>
      <c r="J1395" s="33" t="str">
        <f ca="1">IFERROR(__xludf.DUMMYFUNCTION("""COMPUTED_VALUE"""),"JOSE CORCHADO DOMINGUEZ")</f>
        <v>JOSE CORCHADO DOMINGUEZ</v>
      </c>
      <c r="K1395" s="33">
        <f ca="1">IFERROR(__xludf.DUMMYFUNCTION("""COMPUTED_VALUE"""),2)</f>
        <v>2</v>
      </c>
      <c r="L1395" s="203">
        <f ca="1">IFERROR(__xludf.DUMMYFUNCTION("""COMPUTED_VALUE"""),4318.18)</f>
        <v>4318.18</v>
      </c>
      <c r="M1395" s="33" t="str">
        <f ca="1">IFERROR(__xludf.DUMMYFUNCTION("""COMPUTED_VALUE"""),"03 ORL")</f>
        <v>03 ORL</v>
      </c>
      <c r="N1395" s="33" t="str">
        <f ca="1">IFERROR(__xludf.DUMMYFUNCTION("""COMPUTED_VALUE"""),"06 ORL")</f>
        <v>06 ORL</v>
      </c>
      <c r="O1395" s="33" t="str">
        <f ca="1">IFERROR(__xludf.DUMMYFUNCTION("""COMPUTED_VALUE"""),"Dr, Isidoro Rubio Correa")</f>
        <v>Dr, Isidoro Rubio Correa</v>
      </c>
      <c r="P1395" s="33" t="str">
        <f ca="1">IFERROR(__xludf.DUMMYFUNCTION("""COMPUTED_VALUE"""),"Luis Alberto Rodríguez (Andalucía Y Badajoz)")</f>
        <v>Luis Alberto Rodríguez (Andalucía Y Badajoz)</v>
      </c>
    </row>
    <row r="1396" spans="2:16">
      <c r="B1396" s="33">
        <f ca="1">IFERROR(__xludf.DUMMYFUNCTION("""COMPUTED_VALUE"""),2025)</f>
        <v>2025</v>
      </c>
      <c r="C1396" s="33">
        <f ca="1">IFERROR(__xludf.DUMMYFUNCTION("""COMPUTED_VALUE"""),11)</f>
        <v>11</v>
      </c>
      <c r="D1396" s="33" t="str">
        <f ca="1">IFERROR(__xludf.DUMMYFUNCTION("""COMPUTED_VALUE"""),"NO")</f>
        <v>NO</v>
      </c>
      <c r="E1396" s="33" t="str">
        <f ca="1">IFERROR(__xludf.DUMMYFUNCTION("""COMPUTED_VALUE"""),"Badajoz")</f>
        <v>Badajoz</v>
      </c>
      <c r="F1396" s="57">
        <f ca="1">IFERROR(__xludf.DUMMYFUNCTION("""COMPUTED_VALUE"""),45964)</f>
        <v>45964</v>
      </c>
      <c r="G1396" s="57">
        <f ca="1">IFERROR(__xludf.DUMMYFUNCTION("""COMPUTED_VALUE"""),45925)</f>
        <v>45925</v>
      </c>
      <c r="H1396" s="33" t="str">
        <f ca="1">IFERROR(__xludf.DUMMYFUNCTION("""COMPUTED_VALUE"""),"Badajoz")</f>
        <v>Badajoz</v>
      </c>
      <c r="I1396" s="33" t="str">
        <f ca="1">IFERROR(__xludf.DUMMYFUNCTION("""COMPUTED_VALUE"""),"BJZE-2529")</f>
        <v>BJZE-2529</v>
      </c>
      <c r="J1396" s="33" t="str">
        <f ca="1">IFERROR(__xludf.DUMMYFUNCTION("""COMPUTED_VALUE"""),"ANA FERNANDEZ NAHARRO")</f>
        <v>ANA FERNANDEZ NAHARRO</v>
      </c>
      <c r="K1396" s="33">
        <f ca="1">IFERROR(__xludf.DUMMYFUNCTION("""COMPUTED_VALUE"""),2)</f>
        <v>2</v>
      </c>
      <c r="L1396" s="203">
        <f ca="1">IFERROR(__xludf.DUMMYFUNCTION("""COMPUTED_VALUE"""),3181.82)</f>
        <v>3181.82</v>
      </c>
      <c r="M1396" s="33" t="str">
        <f ca="1">IFERROR(__xludf.DUMMYFUNCTION("""COMPUTED_VALUE"""),"03 ORL")</f>
        <v>03 ORL</v>
      </c>
      <c r="N1396" s="33" t="str">
        <f ca="1">IFERROR(__xludf.DUMMYFUNCTION("""COMPUTED_VALUE"""),"06 ORL")</f>
        <v>06 ORL</v>
      </c>
      <c r="O1396" s="33" t="str">
        <f ca="1">IFERROR(__xludf.DUMMYFUNCTION("""COMPUTED_VALUE"""),"Dr, Isidoro Rubio Correa")</f>
        <v>Dr, Isidoro Rubio Correa</v>
      </c>
      <c r="P1396" s="33" t="str">
        <f ca="1">IFERROR(__xludf.DUMMYFUNCTION("""COMPUTED_VALUE"""),"Luis Alberto Rodríguez (Andalucía Y Badajoz)")</f>
        <v>Luis Alberto Rodríguez (Andalucía Y Badajoz)</v>
      </c>
    </row>
    <row r="1397" spans="2:16">
      <c r="B1397" s="33">
        <f ca="1">IFERROR(__xludf.DUMMYFUNCTION("""COMPUTED_VALUE"""),2025)</f>
        <v>2025</v>
      </c>
      <c r="C1397" s="33">
        <f ca="1">IFERROR(__xludf.DUMMYFUNCTION("""COMPUTED_VALUE"""),11)</f>
        <v>11</v>
      </c>
      <c r="D1397" s="33" t="str">
        <f ca="1">IFERROR(__xludf.DUMMYFUNCTION("""COMPUTED_VALUE"""),"NO")</f>
        <v>NO</v>
      </c>
      <c r="E1397" s="33" t="str">
        <f ca="1">IFERROR(__xludf.DUMMYFUNCTION("""COMPUTED_VALUE"""),"León")</f>
        <v>León</v>
      </c>
      <c r="F1397" s="57">
        <f ca="1">IFERROR(__xludf.DUMMYFUNCTION("""COMPUTED_VALUE"""),45964)</f>
        <v>45964</v>
      </c>
      <c r="G1397" s="57">
        <f ca="1">IFERROR(__xludf.DUMMYFUNCTION("""COMPUTED_VALUE"""),45939)</f>
        <v>45939</v>
      </c>
      <c r="H1397" s="33" t="str">
        <f ca="1">IFERROR(__xludf.DUMMYFUNCTION("""COMPUTED_VALUE"""),"León")</f>
        <v>León</v>
      </c>
      <c r="I1397" s="33" t="str">
        <f ca="1">IFERROR(__xludf.DUMMYFUNCTION("""COMPUTED_VALUE"""),"LEO-553")</f>
        <v>LEO-553</v>
      </c>
      <c r="J1397" s="33" t="str">
        <f ca="1">IFERROR(__xludf.DUMMYFUNCTION("""COMPUTED_VALUE"""),"VICENTA FRESNO ALVAREZ")</f>
        <v>VICENTA FRESNO ALVAREZ</v>
      </c>
      <c r="K1397" s="33">
        <f ca="1">IFERROR(__xludf.DUMMYFUNCTION("""COMPUTED_VALUE"""),2)</f>
        <v>2</v>
      </c>
      <c r="L1397" s="203">
        <f ca="1">IFERROR(__xludf.DUMMYFUNCTION("""COMPUTED_VALUE"""),4255.33)</f>
        <v>4255.33</v>
      </c>
      <c r="M1397" s="33" t="str">
        <f ca="1">IFERROR(__xludf.DUMMYFUNCTION("""COMPUTED_VALUE"""),"03 ORL")</f>
        <v>03 ORL</v>
      </c>
      <c r="N1397" s="33" t="str">
        <f ca="1">IFERROR(__xludf.DUMMYFUNCTION("""COMPUTED_VALUE"""),"06 ORL")</f>
        <v>06 ORL</v>
      </c>
      <c r="O1397" s="33" t="str">
        <f ca="1">IFERROR(__xludf.DUMMYFUNCTION("""COMPUTED_VALUE"""),"Dra, Carmen Fernández-Cedrón Bermejo")</f>
        <v>Dra, Carmen Fernández-Cedrón Bermejo</v>
      </c>
      <c r="P1397" s="33" t="str">
        <f ca="1">IFERROR(__xludf.DUMMYFUNCTION("""COMPUTED_VALUE"""),"Alberto Moreno (Madrid)")</f>
        <v>Alberto Moreno (Madrid)</v>
      </c>
    </row>
    <row r="1398" spans="2:16">
      <c r="B1398" s="33">
        <f ca="1">IFERROR(__xludf.DUMMYFUNCTION("""COMPUTED_VALUE"""),2025)</f>
        <v>2025</v>
      </c>
      <c r="C1398" s="33">
        <f ca="1">IFERROR(__xludf.DUMMYFUNCTION("""COMPUTED_VALUE"""),11)</f>
        <v>11</v>
      </c>
      <c r="D1398" s="33" t="str">
        <f ca="1">IFERROR(__xludf.DUMMYFUNCTION("""COMPUTED_VALUE"""),"NO")</f>
        <v>NO</v>
      </c>
      <c r="E1398" s="33" t="str">
        <f ca="1">IFERROR(__xludf.DUMMYFUNCTION("""COMPUTED_VALUE"""),"Barcelona- Fabra i Puig")</f>
        <v>Barcelona- Fabra i Puig</v>
      </c>
      <c r="F1398" s="57">
        <f ca="1">IFERROR(__xludf.DUMMYFUNCTION("""COMPUTED_VALUE"""),45964)</f>
        <v>45964</v>
      </c>
      <c r="G1398" s="57">
        <f ca="1">IFERROR(__xludf.DUMMYFUNCTION("""COMPUTED_VALUE"""),45866)</f>
        <v>45866</v>
      </c>
      <c r="H1398" s="33" t="str">
        <f ca="1">IFERROR(__xludf.DUMMYFUNCTION("""COMPUTED_VALUE"""),"Fabra")</f>
        <v>Fabra</v>
      </c>
      <c r="I1398" s="33" t="str">
        <f ca="1">IFERROR(__xludf.DUMMYFUNCTION("""COMPUTED_VALUE"""),"C2025731172833667")</f>
        <v>C2025731172833667</v>
      </c>
      <c r="J1398" s="33" t="str">
        <f ca="1">IFERROR(__xludf.DUMMYFUNCTION("""COMPUTED_VALUE"""),"Sebastia Vives Mas")</f>
        <v>Sebastia Vives Mas</v>
      </c>
      <c r="K1398" s="33">
        <f ca="1">IFERROR(__xludf.DUMMYFUNCTION("""COMPUTED_VALUE"""),2)</f>
        <v>2</v>
      </c>
      <c r="L1398" s="203">
        <f ca="1">IFERROR(__xludf.DUMMYFUNCTION("""COMPUTED_VALUE"""),4536.36)</f>
        <v>4536.3599999999997</v>
      </c>
      <c r="M1398" s="33" t="str">
        <f ca="1">IFERROR(__xludf.DUMMYFUNCTION("""COMPUTED_VALUE"""),"03 ORL")</f>
        <v>03 ORL</v>
      </c>
      <c r="N1398" s="33" t="str">
        <f ca="1">IFERROR(__xludf.DUMMYFUNCTION("""COMPUTED_VALUE"""),"06 ORL")</f>
        <v>06 ORL</v>
      </c>
      <c r="O1398" s="33" t="str">
        <f ca="1">IFERROR(__xludf.DUMMYFUNCTION("""COMPUTED_VALUE"""),"Dr, Darío Agudelo García")</f>
        <v>Dr, Darío Agudelo García</v>
      </c>
      <c r="P1398" s="33" t="str">
        <f ca="1">IFERROR(__xludf.DUMMYFUNCTION("""COMPUTED_VALUE"""),"Mercè Cabrera (Cataluña Y Baleares)")</f>
        <v>Mercè Cabrera (Cataluña Y Baleares)</v>
      </c>
    </row>
    <row r="1399" spans="2:16">
      <c r="B1399" s="33">
        <f ca="1">IFERROR(__xludf.DUMMYFUNCTION("""COMPUTED_VALUE"""),2025)</f>
        <v>2025</v>
      </c>
      <c r="C1399" s="33">
        <f ca="1">IFERROR(__xludf.DUMMYFUNCTION("""COMPUTED_VALUE"""),11)</f>
        <v>11</v>
      </c>
      <c r="D1399" s="33" t="str">
        <f ca="1">IFERROR(__xludf.DUMMYFUNCTION("""COMPUTED_VALUE"""),"NO")</f>
        <v>NO</v>
      </c>
      <c r="E1399" s="33" t="str">
        <f ca="1">IFERROR(__xludf.DUMMYFUNCTION("""COMPUTED_VALUE"""),"Madrid- Juan Bravo")</f>
        <v>Madrid- Juan Bravo</v>
      </c>
      <c r="F1399" s="57">
        <f ca="1">IFERROR(__xludf.DUMMYFUNCTION("""COMPUTED_VALUE"""),45964)</f>
        <v>45964</v>
      </c>
      <c r="G1399" s="57">
        <f ca="1">IFERROR(__xludf.DUMMYFUNCTION("""COMPUTED_VALUE"""),45924)</f>
        <v>45924</v>
      </c>
      <c r="H1399" s="33" t="str">
        <f ca="1">IFERROR(__xludf.DUMMYFUNCTION("""COMPUTED_VALUE"""),"Juan Bravo")</f>
        <v>Juan Bravo</v>
      </c>
      <c r="I1399" s="33" t="str">
        <f ca="1">IFERROR(__xludf.DUMMYFUNCTION("""COMPUTED_VALUE"""),"C2025930155910191")</f>
        <v>C2025930155910191</v>
      </c>
      <c r="J1399" s="33" t="str">
        <f ca="1">IFERROR(__xludf.DUMMYFUNCTION("""COMPUTED_VALUE"""),"CARIDAD ALCALA BERLANGA")</f>
        <v>CARIDAD ALCALA BERLANGA</v>
      </c>
      <c r="K1399" s="33">
        <f ca="1">IFERROR(__xludf.DUMMYFUNCTION("""COMPUTED_VALUE"""),2)</f>
        <v>2</v>
      </c>
      <c r="L1399" s="203">
        <f ca="1">IFERROR(__xludf.DUMMYFUNCTION("""COMPUTED_VALUE"""),2718.18)</f>
        <v>2718.18</v>
      </c>
      <c r="M1399" s="33" t="str">
        <f ca="1">IFERROR(__xludf.DUMMYFUNCTION("""COMPUTED_VALUE"""),"03 ORL")</f>
        <v>03 ORL</v>
      </c>
      <c r="N1399" s="33" t="str">
        <f ca="1">IFERROR(__xludf.DUMMYFUNCTION("""COMPUTED_VALUE"""),"06 ORL")</f>
        <v>06 ORL</v>
      </c>
      <c r="O1399" s="33" t="str">
        <f ca="1">IFERROR(__xludf.DUMMYFUNCTION("""COMPUTED_VALUE"""),"Dra, Karla Natali Montaño Rueda")</f>
        <v>Dra, Karla Natali Montaño Rueda</v>
      </c>
      <c r="P1399" s="33" t="str">
        <f ca="1">IFERROR(__xludf.DUMMYFUNCTION("""COMPUTED_VALUE"""),"Maika Blázquez (Madrid)")</f>
        <v>Maika Blázquez (Madrid)</v>
      </c>
    </row>
    <row r="1400" spans="2:16">
      <c r="B1400" s="33">
        <f ca="1">IFERROR(__xludf.DUMMYFUNCTION("""COMPUTED_VALUE"""),2025)</f>
        <v>2025</v>
      </c>
      <c r="C1400" s="33">
        <f ca="1">IFERROR(__xludf.DUMMYFUNCTION("""COMPUTED_VALUE"""),11)</f>
        <v>11</v>
      </c>
      <c r="D1400" s="33" t="str">
        <f ca="1">IFERROR(__xludf.DUMMYFUNCTION("""COMPUTED_VALUE"""),"NO")</f>
        <v>NO</v>
      </c>
      <c r="E1400" s="33" t="str">
        <f ca="1">IFERROR(__xludf.DUMMYFUNCTION("""COMPUTED_VALUE"""),"Alcorcón")</f>
        <v>Alcorcón</v>
      </c>
      <c r="F1400" s="57">
        <f ca="1">IFERROR(__xludf.DUMMYFUNCTION("""COMPUTED_VALUE"""),45964)</f>
        <v>45964</v>
      </c>
      <c r="G1400" s="57">
        <f ca="1">IFERROR(__xludf.DUMMYFUNCTION("""COMPUTED_VALUE"""),45938)</f>
        <v>45938</v>
      </c>
      <c r="H1400" s="33" t="str">
        <f ca="1">IFERROR(__xludf.DUMMYFUNCTION("""COMPUTED_VALUE"""),"Alcorcón")</f>
        <v>Alcorcón</v>
      </c>
      <c r="I1400" s="33" t="str">
        <f ca="1">IFERROR(__xludf.DUMMYFUNCTION("""COMPUTED_VALUE"""),"C20251010155528467")</f>
        <v>C20251010155528467</v>
      </c>
      <c r="J1400" s="33" t="str">
        <f ca="1">IFERROR(__xludf.DUMMYFUNCTION("""COMPUTED_VALUE"""),"ANTONIA ALVAREZ MATUTE")</f>
        <v>ANTONIA ALVAREZ MATUTE</v>
      </c>
      <c r="K1400" s="33">
        <f ca="1">IFERROR(__xludf.DUMMYFUNCTION("""COMPUTED_VALUE"""),2)</f>
        <v>2</v>
      </c>
      <c r="L1400" s="203">
        <f ca="1">IFERROR(__xludf.DUMMYFUNCTION("""COMPUTED_VALUE"""),2582.27)</f>
        <v>2582.27</v>
      </c>
      <c r="M1400" s="33" t="str">
        <f ca="1">IFERROR(__xludf.DUMMYFUNCTION("""COMPUTED_VALUE"""),"03 ORL")</f>
        <v>03 ORL</v>
      </c>
      <c r="N1400" s="33" t="str">
        <f ca="1">IFERROR(__xludf.DUMMYFUNCTION("""COMPUTED_VALUE"""),"06 ORL")</f>
        <v>06 ORL</v>
      </c>
      <c r="O1400" s="33" t="str">
        <f ca="1">IFERROR(__xludf.DUMMYFUNCTION("""COMPUTED_VALUE"""),"Dra, María Sol Marcos Salazar")</f>
        <v>Dra, María Sol Marcos Salazar</v>
      </c>
      <c r="P1400" s="33" t="str">
        <f ca="1">IFERROR(__xludf.DUMMYFUNCTION("""COMPUTED_VALUE"""),"Lisandro Russian (Madrid, Cáceres, Toledo, Talavera Y Logroño)")</f>
        <v>Lisandro Russian (Madrid, Cáceres, Toledo, Talavera Y Logroño)</v>
      </c>
    </row>
    <row r="1401" spans="2:16">
      <c r="B1401" s="33">
        <f ca="1">IFERROR(__xludf.DUMMYFUNCTION("""COMPUTED_VALUE"""),2025)</f>
        <v>2025</v>
      </c>
      <c r="C1401" s="33">
        <f ca="1">IFERROR(__xludf.DUMMYFUNCTION("""COMPUTED_VALUE"""),11)</f>
        <v>11</v>
      </c>
      <c r="D1401" s="33" t="str">
        <f ca="1">IFERROR(__xludf.DUMMYFUNCTION("""COMPUTED_VALUE"""),"NO")</f>
        <v>NO</v>
      </c>
      <c r="E1401" s="33" t="str">
        <f ca="1">IFERROR(__xludf.DUMMYFUNCTION("""COMPUTED_VALUE"""),"Talavera")</f>
        <v>Talavera</v>
      </c>
      <c r="F1401" s="57">
        <f ca="1">IFERROR(__xludf.DUMMYFUNCTION("""COMPUTED_VALUE"""),45964)</f>
        <v>45964</v>
      </c>
      <c r="G1401" s="57">
        <f ca="1">IFERROR(__xludf.DUMMYFUNCTION("""COMPUTED_VALUE"""),45943)</f>
        <v>45943</v>
      </c>
      <c r="H1401" s="33" t="str">
        <f ca="1">IFERROR(__xludf.DUMMYFUNCTION("""COMPUTED_VALUE"""),"Talavera")</f>
        <v>Talavera</v>
      </c>
      <c r="I1401" s="33" t="str">
        <f ca="1">IFERROR(__xludf.DUMMYFUNCTION("""COMPUTED_VALUE"""),"C202510131540317444")</f>
        <v>C202510131540317444</v>
      </c>
      <c r="J1401" s="33" t="str">
        <f ca="1">IFERROR(__xludf.DUMMYFUNCTION("""COMPUTED_VALUE"""),"RICARDO UDAQUIOLA FITTIPALDI")</f>
        <v>RICARDO UDAQUIOLA FITTIPALDI</v>
      </c>
      <c r="K1401" s="33">
        <f ca="1">IFERROR(__xludf.DUMMYFUNCTION("""COMPUTED_VALUE"""),2)</f>
        <v>2</v>
      </c>
      <c r="L1401" s="203">
        <f ca="1">IFERROR(__xludf.DUMMYFUNCTION("""COMPUTED_VALUE"""),3086.82)</f>
        <v>3086.82</v>
      </c>
      <c r="M1401" s="33" t="str">
        <f ca="1">IFERROR(__xludf.DUMMYFUNCTION("""COMPUTED_VALUE"""),"03 ORL")</f>
        <v>03 ORL</v>
      </c>
      <c r="N1401" s="33" t="str">
        <f ca="1">IFERROR(__xludf.DUMMYFUNCTION("""COMPUTED_VALUE"""),"06 ORL")</f>
        <v>06 ORL</v>
      </c>
      <c r="O1401" s="33" t="str">
        <f ca="1">IFERROR(__xludf.DUMMYFUNCTION("""COMPUTED_VALUE"""),"Dr, Carlos Félix Asensio Nieto")</f>
        <v>Dr, Carlos Félix Asensio Nieto</v>
      </c>
      <c r="P1401" s="33" t="str">
        <f ca="1">IFERROR(__xludf.DUMMYFUNCTION("""COMPUTED_VALUE"""),"Lisandro Russian (Madrid, Cáceres, Toledo, Talavera Y Logroño)")</f>
        <v>Lisandro Russian (Madrid, Cáceres, Toledo, Talavera Y Logroño)</v>
      </c>
    </row>
    <row r="1402" spans="2:16">
      <c r="B1402" s="33">
        <f ca="1">IFERROR(__xludf.DUMMYFUNCTION("""COMPUTED_VALUE"""),2025)</f>
        <v>2025</v>
      </c>
      <c r="C1402" s="33">
        <f ca="1">IFERROR(__xludf.DUMMYFUNCTION("""COMPUTED_VALUE"""),11)</f>
        <v>11</v>
      </c>
      <c r="D1402" s="33" t="str">
        <f ca="1">IFERROR(__xludf.DUMMYFUNCTION("""COMPUTED_VALUE"""),"NO")</f>
        <v>NO</v>
      </c>
      <c r="E1402" s="33" t="str">
        <f ca="1">IFERROR(__xludf.DUMMYFUNCTION("""COMPUTED_VALUE"""),"Sevilla- Montoto")</f>
        <v>Sevilla- Montoto</v>
      </c>
      <c r="F1402" s="57">
        <f ca="1">IFERROR(__xludf.DUMMYFUNCTION("""COMPUTED_VALUE"""),45964)</f>
        <v>45964</v>
      </c>
      <c r="G1402" s="57">
        <f ca="1">IFERROR(__xludf.DUMMYFUNCTION("""COMPUTED_VALUE"""),45944)</f>
        <v>45944</v>
      </c>
      <c r="H1402" s="33" t="str">
        <f ca="1">IFERROR(__xludf.DUMMYFUNCTION("""COMPUTED_VALUE"""),"Montoto")</f>
        <v>Montoto</v>
      </c>
      <c r="I1402" s="33" t="str">
        <f ca="1">IFERROR(__xludf.DUMMYFUNCTION("""COMPUTED_VALUE"""),"C202510141014400608")</f>
        <v>C202510141014400608</v>
      </c>
      <c r="J1402" s="33" t="str">
        <f ca="1">IFERROR(__xludf.DUMMYFUNCTION("""COMPUTED_VALUE"""),"FRANCISCA MARTIN VICENTE")</f>
        <v>FRANCISCA MARTIN VICENTE</v>
      </c>
      <c r="K1402" s="33">
        <f ca="1">IFERROR(__xludf.DUMMYFUNCTION("""COMPUTED_VALUE"""),2)</f>
        <v>2</v>
      </c>
      <c r="L1402" s="203">
        <f ca="1">IFERROR(__xludf.DUMMYFUNCTION("""COMPUTED_VALUE"""),2718.18)</f>
        <v>2718.18</v>
      </c>
      <c r="M1402" s="33" t="str">
        <f ca="1">IFERROR(__xludf.DUMMYFUNCTION("""COMPUTED_VALUE"""),"03 ORL")</f>
        <v>03 ORL</v>
      </c>
      <c r="N1402" s="33" t="str">
        <f ca="1">IFERROR(__xludf.DUMMYFUNCTION("""COMPUTED_VALUE"""),"06 ORL")</f>
        <v>06 ORL</v>
      </c>
      <c r="O1402" s="33" t="str">
        <f ca="1">IFERROR(__xludf.DUMMYFUNCTION("""COMPUTED_VALUE"""),"Dr, Gustavo Benavente Bermudo")</f>
        <v>Dr, Gustavo Benavente Bermudo</v>
      </c>
      <c r="P1402" s="33" t="str">
        <f ca="1">IFERROR(__xludf.DUMMYFUNCTION("""COMPUTED_VALUE"""),"Luis Alberto Rodríguez (Andalucía y Badajoz)")</f>
        <v>Luis Alberto Rodríguez (Andalucía y Badajoz)</v>
      </c>
    </row>
    <row r="1403" spans="2:16">
      <c r="B1403" s="33">
        <f ca="1">IFERROR(__xludf.DUMMYFUNCTION("""COMPUTED_VALUE"""),2025)</f>
        <v>2025</v>
      </c>
      <c r="C1403" s="33">
        <f ca="1">IFERROR(__xludf.DUMMYFUNCTION("""COMPUTED_VALUE"""),11)</f>
        <v>11</v>
      </c>
      <c r="D1403" s="33" t="str">
        <f ca="1">IFERROR(__xludf.DUMMYFUNCTION("""COMPUTED_VALUE"""),"NO")</f>
        <v>NO</v>
      </c>
      <c r="E1403" s="33" t="str">
        <f ca="1">IFERROR(__xludf.DUMMYFUNCTION("""COMPUTED_VALUE"""),"Madrid- La Oca")</f>
        <v>Madrid- La Oca</v>
      </c>
      <c r="F1403" s="57">
        <f ca="1">IFERROR(__xludf.DUMMYFUNCTION("""COMPUTED_VALUE"""),45964)</f>
        <v>45964</v>
      </c>
      <c r="G1403" s="57">
        <f ca="1">IFERROR(__xludf.DUMMYFUNCTION("""COMPUTED_VALUE"""),45936)</f>
        <v>45936</v>
      </c>
      <c r="H1403" s="33" t="str">
        <f ca="1">IFERROR(__xludf.DUMMYFUNCTION("""COMPUTED_VALUE"""),"La Oca")</f>
        <v>La Oca</v>
      </c>
      <c r="I1403" s="33" t="str">
        <f ca="1">IFERROR(__xludf.DUMMYFUNCTION("""COMPUTED_VALUE"""),"C20251017103253713")</f>
        <v>C20251017103253713</v>
      </c>
      <c r="J1403" s="33" t="str">
        <f ca="1">IFERROR(__xludf.DUMMYFUNCTION("""COMPUTED_VALUE"""),"EVA PATRICIA BUENO HERAS")</f>
        <v>EVA PATRICIA BUENO HERAS</v>
      </c>
      <c r="K1403" s="33">
        <f ca="1">IFERROR(__xludf.DUMMYFUNCTION("""COMPUTED_VALUE"""),2)</f>
        <v>2</v>
      </c>
      <c r="L1403" s="203">
        <f ca="1">IFERROR(__xludf.DUMMYFUNCTION("""COMPUTED_VALUE"""),2718.18)</f>
        <v>2718.18</v>
      </c>
      <c r="M1403" s="33" t="str">
        <f ca="1">IFERROR(__xludf.DUMMYFUNCTION("""COMPUTED_VALUE"""),"03 ORL")</f>
        <v>03 ORL</v>
      </c>
      <c r="N1403" s="33" t="str">
        <f ca="1">IFERROR(__xludf.DUMMYFUNCTION("""COMPUTED_VALUE"""),"06 ORL")</f>
        <v>06 ORL</v>
      </c>
      <c r="O1403" s="33" t="str">
        <f ca="1">IFERROR(__xludf.DUMMYFUNCTION("""COMPUTED_VALUE"""),"Dra, Inmaculada Giraldo Mata")</f>
        <v>Dra, Inmaculada Giraldo Mata</v>
      </c>
      <c r="P1403" s="33" t="str">
        <f ca="1">IFERROR(__xludf.DUMMYFUNCTION("""COMPUTED_VALUE"""),"Maika Blázquez (Madrid)")</f>
        <v>Maika Blázquez (Madrid)</v>
      </c>
    </row>
    <row r="1404" spans="2:16">
      <c r="B1404" s="33">
        <f ca="1">IFERROR(__xludf.DUMMYFUNCTION("""COMPUTED_VALUE"""),2025)</f>
        <v>2025</v>
      </c>
      <c r="C1404" s="33">
        <f ca="1">IFERROR(__xludf.DUMMYFUNCTION("""COMPUTED_VALUE"""),11)</f>
        <v>11</v>
      </c>
      <c r="D1404" s="33" t="str">
        <f ca="1">IFERROR(__xludf.DUMMYFUNCTION("""COMPUTED_VALUE"""),"NO")</f>
        <v>NO</v>
      </c>
      <c r="E1404" s="33" t="str">
        <f ca="1">IFERROR(__xludf.DUMMYFUNCTION("""COMPUTED_VALUE"""),"Fuenlabrada")</f>
        <v>Fuenlabrada</v>
      </c>
      <c r="F1404" s="57">
        <f ca="1">IFERROR(__xludf.DUMMYFUNCTION("""COMPUTED_VALUE"""),45964)</f>
        <v>45964</v>
      </c>
      <c r="G1404" s="57">
        <f ca="1">IFERROR(__xludf.DUMMYFUNCTION("""COMPUTED_VALUE"""),45930)</f>
        <v>45930</v>
      </c>
      <c r="H1404" s="33" t="str">
        <f ca="1">IFERROR(__xludf.DUMMYFUNCTION("""COMPUTED_VALUE"""),"Fuenlabrada")</f>
        <v>Fuenlabrada</v>
      </c>
      <c r="I1404" s="33" t="str">
        <f ca="1">IFERROR(__xludf.DUMMYFUNCTION("""COMPUTED_VALUE"""),"C202510295134679")</f>
        <v>C202510295134679</v>
      </c>
      <c r="J1404" s="33" t="str">
        <f ca="1">IFERROR(__xludf.DUMMYFUNCTION("""COMPUTED_VALUE"""),"ALFREDO GUIJARRO OLIVARES")</f>
        <v>ALFREDO GUIJARRO OLIVARES</v>
      </c>
      <c r="K1404" s="33">
        <f ca="1">IFERROR(__xludf.DUMMYFUNCTION("""COMPUTED_VALUE"""),2)</f>
        <v>2</v>
      </c>
      <c r="L1404" s="203">
        <f ca="1">IFERROR(__xludf.DUMMYFUNCTION("""COMPUTED_VALUE"""),3631.82)</f>
        <v>3631.82</v>
      </c>
      <c r="M1404" s="33" t="str">
        <f ca="1">IFERROR(__xludf.DUMMYFUNCTION("""COMPUTED_VALUE"""),"03 ORL")</f>
        <v>03 ORL</v>
      </c>
      <c r="N1404" s="33" t="str">
        <f ca="1">IFERROR(__xludf.DUMMYFUNCTION("""COMPUTED_VALUE"""),"06 ORL")</f>
        <v>06 ORL</v>
      </c>
      <c r="O1404" s="33" t="str">
        <f ca="1">IFERROR(__xludf.DUMMYFUNCTION("""COMPUTED_VALUE"""),"Dra, Victoria García Peces")</f>
        <v>Dra, Victoria García Peces</v>
      </c>
      <c r="P1404" s="33" t="str">
        <f ca="1">IFERROR(__xludf.DUMMYFUNCTION("""COMPUTED_VALUE"""),"Maika Blázquez (Madrid)")</f>
        <v>Maika Blázquez (Madrid)</v>
      </c>
    </row>
    <row r="1405" spans="2:16">
      <c r="B1405" s="33">
        <f ca="1">IFERROR(__xludf.DUMMYFUNCTION("""COMPUTED_VALUE"""),2025)</f>
        <v>2025</v>
      </c>
      <c r="C1405" s="33">
        <f ca="1">IFERROR(__xludf.DUMMYFUNCTION("""COMPUTED_VALUE"""),11)</f>
        <v>11</v>
      </c>
      <c r="D1405" s="33" t="str">
        <f ca="1">IFERROR(__xludf.DUMMYFUNCTION("""COMPUTED_VALUE"""),"NO")</f>
        <v>NO</v>
      </c>
      <c r="E1405" s="33" t="str">
        <f ca="1">IFERROR(__xludf.DUMMYFUNCTION("""COMPUTED_VALUE"""),"Cáceres")</f>
        <v>Cáceres</v>
      </c>
      <c r="F1405" s="57">
        <f ca="1">IFERROR(__xludf.DUMMYFUNCTION("""COMPUTED_VALUE"""),45965)</f>
        <v>45965</v>
      </c>
      <c r="G1405" s="57">
        <f ca="1">IFERROR(__xludf.DUMMYFUNCTION("""COMPUTED_VALUE"""),45929)</f>
        <v>45929</v>
      </c>
      <c r="H1405" s="33" t="str">
        <f ca="1">IFERROR(__xludf.DUMMYFUNCTION("""COMPUTED_VALUE"""),"Cáceres")</f>
        <v>Cáceres</v>
      </c>
      <c r="I1405" s="33" t="str">
        <f ca="1">IFERROR(__xludf.DUMMYFUNCTION("""COMPUTED_VALUE"""),"CAC-403")</f>
        <v>CAC-403</v>
      </c>
      <c r="J1405" s="33" t="str">
        <f ca="1">IFERROR(__xludf.DUMMYFUNCTION("""COMPUTED_VALUE"""),"CONCEPCION CORTES GONZALEZ")</f>
        <v>CONCEPCION CORTES GONZALEZ</v>
      </c>
      <c r="K1405" s="33">
        <f ca="1">IFERROR(__xludf.DUMMYFUNCTION("""COMPUTED_VALUE"""),2)</f>
        <v>2</v>
      </c>
      <c r="L1405" s="203">
        <f ca="1">IFERROR(__xludf.DUMMYFUNCTION("""COMPUTED_VALUE"""),4990.91)</f>
        <v>4990.91</v>
      </c>
      <c r="M1405" s="33" t="str">
        <f ca="1">IFERROR(__xludf.DUMMYFUNCTION("""COMPUTED_VALUE"""),"03 ORL")</f>
        <v>03 ORL</v>
      </c>
      <c r="N1405" s="33" t="str">
        <f ca="1">IFERROR(__xludf.DUMMYFUNCTION("""COMPUTED_VALUE"""),"06 ORL")</f>
        <v>06 ORL</v>
      </c>
      <c r="O1405" s="33" t="str">
        <f ca="1">IFERROR(__xludf.DUMMYFUNCTION("""COMPUTED_VALUE"""),"Dr, Francisco Ramos Puerto")</f>
        <v>Dr, Francisco Ramos Puerto</v>
      </c>
      <c r="P1405" s="33" t="str">
        <f ca="1">IFERROR(__xludf.DUMMYFUNCTION("""COMPUTED_VALUE"""),"Lisandro Russian (Madrid, Cáceres, Toledo, Talavera Y Logroño)")</f>
        <v>Lisandro Russian (Madrid, Cáceres, Toledo, Talavera Y Logroño)</v>
      </c>
    </row>
    <row r="1406" spans="2:16">
      <c r="B1406" s="33">
        <f ca="1">IFERROR(__xludf.DUMMYFUNCTION("""COMPUTED_VALUE"""),2025)</f>
        <v>2025</v>
      </c>
      <c r="C1406" s="33">
        <f ca="1">IFERROR(__xludf.DUMMYFUNCTION("""COMPUTED_VALUE"""),11)</f>
        <v>11</v>
      </c>
      <c r="D1406" s="33" t="str">
        <f ca="1">IFERROR(__xludf.DUMMYFUNCTION("""COMPUTED_VALUE"""),"NO")</f>
        <v>NO</v>
      </c>
      <c r="E1406" s="33" t="str">
        <f ca="1">IFERROR(__xludf.DUMMYFUNCTION("""COMPUTED_VALUE"""),"Salamanca")</f>
        <v>Salamanca</v>
      </c>
      <c r="F1406" s="57">
        <f ca="1">IFERROR(__xludf.DUMMYFUNCTION("""COMPUTED_VALUE"""),45965)</f>
        <v>45965</v>
      </c>
      <c r="G1406" s="57">
        <f ca="1">IFERROR(__xludf.DUMMYFUNCTION("""COMPUTED_VALUE"""),45924)</f>
        <v>45924</v>
      </c>
      <c r="H1406" s="33" t="str">
        <f ca="1">IFERROR(__xludf.DUMMYFUNCTION("""COMPUTED_VALUE"""),"Salamanca")</f>
        <v>Salamanca</v>
      </c>
      <c r="I1406" s="33" t="str">
        <f ca="1">IFERROR(__xludf.DUMMYFUNCTION("""COMPUTED_VALUE"""),"SLM-622")</f>
        <v>SLM-622</v>
      </c>
      <c r="J1406" s="33" t="str">
        <f ca="1">IFERROR(__xludf.DUMMYFUNCTION("""COMPUTED_VALUE"""),"ANA MARIA SANCHEZ RIVERO")</f>
        <v>ANA MARIA SANCHEZ RIVERO</v>
      </c>
      <c r="K1406" s="33">
        <f ca="1">IFERROR(__xludf.DUMMYFUNCTION("""COMPUTED_VALUE"""),1)</f>
        <v>1</v>
      </c>
      <c r="L1406" s="203">
        <f ca="1">IFERROR(__xludf.DUMMYFUNCTION("""COMPUTED_VALUE"""),2292.73)</f>
        <v>2292.73</v>
      </c>
      <c r="M1406" s="33" t="str">
        <f ca="1">IFERROR(__xludf.DUMMYFUNCTION("""COMPUTED_VALUE"""),"03 ORL")</f>
        <v>03 ORL</v>
      </c>
      <c r="N1406" s="33" t="str">
        <f ca="1">IFERROR(__xludf.DUMMYFUNCTION("""COMPUTED_VALUE"""),"06 ORL")</f>
        <v>06 ORL</v>
      </c>
      <c r="O1406" s="33" t="str">
        <f ca="1">IFERROR(__xludf.DUMMYFUNCTION("""COMPUTED_VALUE"""),"Dr, Enrique González Sánchez")</f>
        <v>Dr, Enrique González Sánchez</v>
      </c>
      <c r="P1406" s="33" t="str">
        <f ca="1">IFERROR(__xludf.DUMMYFUNCTION("""COMPUTED_VALUE"""),"Alberto Moreno (Madrid)")</f>
        <v>Alberto Moreno (Madrid)</v>
      </c>
    </row>
    <row r="1407" spans="2:16">
      <c r="B1407" s="33">
        <f ca="1">IFERROR(__xludf.DUMMYFUNCTION("""COMPUTED_VALUE"""),2025)</f>
        <v>2025</v>
      </c>
      <c r="C1407" s="33">
        <f ca="1">IFERROR(__xludf.DUMMYFUNCTION("""COMPUTED_VALUE"""),11)</f>
        <v>11</v>
      </c>
      <c r="D1407" s="33" t="str">
        <f ca="1">IFERROR(__xludf.DUMMYFUNCTION("""COMPUTED_VALUE"""),"NO")</f>
        <v>NO</v>
      </c>
      <c r="E1407" s="33" t="str">
        <f ca="1">IFERROR(__xludf.DUMMYFUNCTION("""COMPUTED_VALUE"""),"Vilagacía De Arousa")</f>
        <v>Vilagacía De Arousa</v>
      </c>
      <c r="F1407" s="57">
        <f ca="1">IFERROR(__xludf.DUMMYFUNCTION("""COMPUTED_VALUE"""),45965)</f>
        <v>45965</v>
      </c>
      <c r="G1407" s="57">
        <f ca="1">IFERROR(__xludf.DUMMYFUNCTION("""COMPUTED_VALUE"""),45916)</f>
        <v>45916</v>
      </c>
      <c r="H1407" s="33" t="str">
        <f ca="1">IFERROR(__xludf.DUMMYFUNCTION("""COMPUTED_VALUE"""),"Vilagarcía")</f>
        <v>Vilagarcía</v>
      </c>
      <c r="I1407" s="33" t="str">
        <f ca="1">IFERROR(__xludf.DUMMYFUNCTION("""COMPUTED_VALUE"""),"VLG-159")</f>
        <v>VLG-159</v>
      </c>
      <c r="J1407" s="33" t="str">
        <f ca="1">IFERROR(__xludf.DUMMYFUNCTION("""COMPUTED_VALUE"""),"MARIA JOSE PAZ PAZ")</f>
        <v>MARIA JOSE PAZ PAZ</v>
      </c>
      <c r="K1407" s="33">
        <f ca="1">IFERROR(__xludf.DUMMYFUNCTION("""COMPUTED_VALUE"""),2)</f>
        <v>2</v>
      </c>
      <c r="L1407" s="203">
        <f ca="1">IFERROR(__xludf.DUMMYFUNCTION("""COMPUTED_VALUE"""),2990.91)</f>
        <v>2990.91</v>
      </c>
      <c r="M1407" s="33" t="str">
        <f ca="1">IFERROR(__xludf.DUMMYFUNCTION("""COMPUTED_VALUE"""),"03 ORL")</f>
        <v>03 ORL</v>
      </c>
      <c r="N1407" s="33" t="str">
        <f ca="1">IFERROR(__xludf.DUMMYFUNCTION("""COMPUTED_VALUE"""),"06 ORL")</f>
        <v>06 ORL</v>
      </c>
      <c r="O1407" s="33" t="str">
        <f ca="1">IFERROR(__xludf.DUMMYFUNCTION("""COMPUTED_VALUE"""),"Dr, Joaquín Pérez Villar")</f>
        <v>Dr, Joaquín Pérez Villar</v>
      </c>
      <c r="P1407" s="33" t="str">
        <f ca="1">IFERROR(__xludf.DUMMYFUNCTION("""COMPUTED_VALUE"""),"Roberto Pereira (Galicia)")</f>
        <v>Roberto Pereira (Galicia)</v>
      </c>
    </row>
    <row r="1408" spans="2:16">
      <c r="B1408" s="33">
        <f ca="1">IFERROR(__xludf.DUMMYFUNCTION("""COMPUTED_VALUE"""),2025)</f>
        <v>2025</v>
      </c>
      <c r="C1408" s="33">
        <f ca="1">IFERROR(__xludf.DUMMYFUNCTION("""COMPUTED_VALUE"""),11)</f>
        <v>11</v>
      </c>
      <c r="D1408" s="33" t="str">
        <f ca="1">IFERROR(__xludf.DUMMYFUNCTION("""COMPUTED_VALUE"""),"NO")</f>
        <v>NO</v>
      </c>
      <c r="E1408" s="33" t="str">
        <f ca="1">IFERROR(__xludf.DUMMYFUNCTION("""COMPUTED_VALUE"""),"Lugo")</f>
        <v>Lugo</v>
      </c>
      <c r="F1408" s="57">
        <f ca="1">IFERROR(__xludf.DUMMYFUNCTION("""COMPUTED_VALUE"""),45965)</f>
        <v>45965</v>
      </c>
      <c r="G1408" s="57">
        <f ca="1">IFERROR(__xludf.DUMMYFUNCTION("""COMPUTED_VALUE"""),45915)</f>
        <v>45915</v>
      </c>
      <c r="H1408" s="33" t="str">
        <f ca="1">IFERROR(__xludf.DUMMYFUNCTION("""COMPUTED_VALUE"""),"Lugo")</f>
        <v>Lugo</v>
      </c>
      <c r="I1408" s="33" t="str">
        <f ca="1">IFERROR(__xludf.DUMMYFUNCTION("""COMPUTED_VALUE"""),"C2025918182451403")</f>
        <v>C2025918182451403</v>
      </c>
      <c r="J1408" s="33" t="str">
        <f ca="1">IFERROR(__xludf.DUMMYFUNCTION("""COMPUTED_VALUE"""),"ILDEFONSO VAZQUEZ CAGIDE")</f>
        <v>ILDEFONSO VAZQUEZ CAGIDE</v>
      </c>
      <c r="K1408" s="33">
        <f ca="1">IFERROR(__xludf.DUMMYFUNCTION("""COMPUTED_VALUE"""),2)</f>
        <v>2</v>
      </c>
      <c r="L1408" s="203">
        <f ca="1">IFERROR(__xludf.DUMMYFUNCTION("""COMPUTED_VALUE"""),3631.82)</f>
        <v>3631.82</v>
      </c>
      <c r="M1408" s="33" t="str">
        <f ca="1">IFERROR(__xludf.DUMMYFUNCTION("""COMPUTED_VALUE"""),"03 ORL")</f>
        <v>03 ORL</v>
      </c>
      <c r="N1408" s="33" t="str">
        <f ca="1">IFERROR(__xludf.DUMMYFUNCTION("""COMPUTED_VALUE"""),"06 ORL")</f>
        <v>06 ORL</v>
      </c>
      <c r="O1408" s="33" t="str">
        <f ca="1">IFERROR(__xludf.DUMMYFUNCTION("""COMPUTED_VALUE"""),"Dr, Pedro Juiz López")</f>
        <v>Dr, Pedro Juiz López</v>
      </c>
      <c r="P1408" s="33" t="str">
        <f ca="1">IFERROR(__xludf.DUMMYFUNCTION("""COMPUTED_VALUE"""),"Roberto Pereira (Galicia)")</f>
        <v>Roberto Pereira (Galicia)</v>
      </c>
    </row>
    <row r="1409" spans="2:16">
      <c r="B1409" s="33">
        <f ca="1">IFERROR(__xludf.DUMMYFUNCTION("""COMPUTED_VALUE"""),2025)</f>
        <v>2025</v>
      </c>
      <c r="C1409" s="33">
        <f ca="1">IFERROR(__xludf.DUMMYFUNCTION("""COMPUTED_VALUE"""),11)</f>
        <v>11</v>
      </c>
      <c r="D1409" s="33" t="str">
        <f ca="1">IFERROR(__xludf.DUMMYFUNCTION("""COMPUTED_VALUE"""),"NO")</f>
        <v>NO</v>
      </c>
      <c r="E1409" s="33" t="str">
        <f ca="1">IFERROR(__xludf.DUMMYFUNCTION("""COMPUTED_VALUE"""),"Leganés")</f>
        <v>Leganés</v>
      </c>
      <c r="F1409" s="57">
        <f ca="1">IFERROR(__xludf.DUMMYFUNCTION("""COMPUTED_VALUE"""),45965)</f>
        <v>45965</v>
      </c>
      <c r="G1409" s="57">
        <f ca="1">IFERROR(__xludf.DUMMYFUNCTION("""COMPUTED_VALUE"""),45939)</f>
        <v>45939</v>
      </c>
      <c r="H1409" s="33" t="str">
        <f ca="1">IFERROR(__xludf.DUMMYFUNCTION("""COMPUTED_VALUE"""),"Leganés")</f>
        <v>Leganés</v>
      </c>
      <c r="I1409" s="33" t="str">
        <f ca="1">IFERROR(__xludf.DUMMYFUNCTION("""COMPUTED_VALUE"""),"C2025101517118286")</f>
        <v>C2025101517118286</v>
      </c>
      <c r="J1409" s="33" t="str">
        <f ca="1">IFERROR(__xludf.DUMMYFUNCTION("""COMPUTED_VALUE"""),"FELISA GONZALEZ BLANCO")</f>
        <v>FELISA GONZALEZ BLANCO</v>
      </c>
      <c r="K1409" s="33">
        <f ca="1">IFERROR(__xludf.DUMMYFUNCTION("""COMPUTED_VALUE"""),2)</f>
        <v>2</v>
      </c>
      <c r="L1409" s="203">
        <f ca="1">IFERROR(__xludf.DUMMYFUNCTION("""COMPUTED_VALUE"""),4136.36)</f>
        <v>4136.3599999999997</v>
      </c>
      <c r="M1409" s="33" t="str">
        <f ca="1">IFERROR(__xludf.DUMMYFUNCTION("""COMPUTED_VALUE"""),"03 ORL")</f>
        <v>03 ORL</v>
      </c>
      <c r="N1409" s="33" t="str">
        <f ca="1">IFERROR(__xludf.DUMMYFUNCTION("""COMPUTED_VALUE"""),"06 ORL")</f>
        <v>06 ORL</v>
      </c>
      <c r="O1409" s="33" t="str">
        <f ca="1">IFERROR(__xludf.DUMMYFUNCTION("""COMPUTED_VALUE"""),"Dr, Ricardo González-Orus")</f>
        <v>Dr, Ricardo González-Orus</v>
      </c>
      <c r="P1409" s="33" t="str">
        <f ca="1">IFERROR(__xludf.DUMMYFUNCTION("""COMPUTED_VALUE"""),"Maika Blázquez (Madrid)")</f>
        <v>Maika Blázquez (Madrid)</v>
      </c>
    </row>
    <row r="1410" spans="2:16">
      <c r="B1410" s="33">
        <f ca="1">IFERROR(__xludf.DUMMYFUNCTION("""COMPUTED_VALUE"""),2025)</f>
        <v>2025</v>
      </c>
      <c r="C1410" s="33">
        <f ca="1">IFERROR(__xludf.DUMMYFUNCTION("""COMPUTED_VALUE"""),11)</f>
        <v>11</v>
      </c>
      <c r="D1410" s="33" t="str">
        <f ca="1">IFERROR(__xludf.DUMMYFUNCTION("""COMPUTED_VALUE"""),"NO")</f>
        <v>NO</v>
      </c>
      <c r="E1410" s="33" t="str">
        <f ca="1">IFERROR(__xludf.DUMMYFUNCTION("""COMPUTED_VALUE"""),"Murcia")</f>
        <v>Murcia</v>
      </c>
      <c r="F1410" s="57">
        <f ca="1">IFERROR(__xludf.DUMMYFUNCTION("""COMPUTED_VALUE"""),45965)</f>
        <v>45965</v>
      </c>
      <c r="G1410" s="57">
        <f ca="1">IFERROR(__xludf.DUMMYFUNCTION("""COMPUTED_VALUE"""),45924)</f>
        <v>45924</v>
      </c>
      <c r="H1410" s="33" t="str">
        <f ca="1">IFERROR(__xludf.DUMMYFUNCTION("""COMPUTED_VALUE"""),"Murcia")</f>
        <v>Murcia</v>
      </c>
      <c r="I1410" s="33" t="str">
        <f ca="1">IFERROR(__xludf.DUMMYFUNCTION("""COMPUTED_VALUE"""),"C202592612243182")</f>
        <v>C202592612243182</v>
      </c>
      <c r="J1410" s="33" t="str">
        <f ca="1">IFERROR(__xludf.DUMMYFUNCTION("""COMPUTED_VALUE"""),"JUAN GARCIA SALMERON")</f>
        <v>JUAN GARCIA SALMERON</v>
      </c>
      <c r="K1410" s="33">
        <f ca="1">IFERROR(__xludf.DUMMYFUNCTION("""COMPUTED_VALUE"""),2)</f>
        <v>2</v>
      </c>
      <c r="L1410" s="203">
        <f ca="1">IFERROR(__xludf.DUMMYFUNCTION("""COMPUTED_VALUE"""),4536.37)</f>
        <v>4536.37</v>
      </c>
      <c r="M1410" s="33" t="str">
        <f ca="1">IFERROR(__xludf.DUMMYFUNCTION("""COMPUTED_VALUE"""),"03 ORL")</f>
        <v>03 ORL</v>
      </c>
      <c r="N1410" s="33" t="str">
        <f ca="1">IFERROR(__xludf.DUMMYFUNCTION("""COMPUTED_VALUE"""),"06 ORL")</f>
        <v>06 ORL</v>
      </c>
      <c r="O1410" s="33" t="str">
        <f ca="1">IFERROR(__xludf.DUMMYFUNCTION("""COMPUTED_VALUE"""),"Dra, María Agustina Sevilla García")</f>
        <v>Dra, María Agustina Sevilla García</v>
      </c>
      <c r="P1410" s="33" t="str">
        <f ca="1">IFERROR(__xludf.DUMMYFUNCTION("""COMPUTED_VALUE"""),"Iván Sánchez (Levante Y Albacete)")</f>
        <v>Iván Sánchez (Levante Y Albacete)</v>
      </c>
    </row>
    <row r="1411" spans="2:16">
      <c r="B1411" s="33">
        <f ca="1">IFERROR(__xludf.DUMMYFUNCTION("""COMPUTED_VALUE"""),2025)</f>
        <v>2025</v>
      </c>
      <c r="C1411" s="33">
        <f ca="1">IFERROR(__xludf.DUMMYFUNCTION("""COMPUTED_VALUE"""),11)</f>
        <v>11</v>
      </c>
      <c r="D1411" s="33" t="str">
        <f ca="1">IFERROR(__xludf.DUMMYFUNCTION("""COMPUTED_VALUE"""),"NO")</f>
        <v>NO</v>
      </c>
      <c r="E1411" s="33" t="str">
        <f ca="1">IFERROR(__xludf.DUMMYFUNCTION("""COMPUTED_VALUE"""),"Sevilla- Montoto")</f>
        <v>Sevilla- Montoto</v>
      </c>
      <c r="F1411" s="57">
        <f ca="1">IFERROR(__xludf.DUMMYFUNCTION("""COMPUTED_VALUE"""),45965)</f>
        <v>45965</v>
      </c>
      <c r="G1411" s="57">
        <f ca="1">IFERROR(__xludf.DUMMYFUNCTION("""COMPUTED_VALUE"""),45820)</f>
        <v>45820</v>
      </c>
      <c r="H1411" s="33" t="str">
        <f ca="1">IFERROR(__xludf.DUMMYFUNCTION("""COMPUTED_VALUE"""),"Montoto")</f>
        <v>Montoto</v>
      </c>
      <c r="I1411" s="33" t="str">
        <f ca="1">IFERROR(__xludf.DUMMYFUNCTION("""COMPUTED_VALUE"""),"C20258810652376")</f>
        <v>C20258810652376</v>
      </c>
      <c r="J1411" s="33" t="str">
        <f ca="1">IFERROR(__xludf.DUMMYFUNCTION("""COMPUTED_VALUE"""),"MARIA ELOISA RODRIGUEZ VICENTE")</f>
        <v>MARIA ELOISA RODRIGUEZ VICENTE</v>
      </c>
      <c r="K1411" s="33">
        <f ca="1">IFERROR(__xludf.DUMMYFUNCTION("""COMPUTED_VALUE"""),1)</f>
        <v>1</v>
      </c>
      <c r="L1411" s="203">
        <f ca="1">IFERROR(__xludf.DUMMYFUNCTION("""COMPUTED_VALUE"""),2071.86)</f>
        <v>2071.86</v>
      </c>
      <c r="M1411" s="33" t="str">
        <f ca="1">IFERROR(__xludf.DUMMYFUNCTION("""COMPUTED_VALUE"""),"03 ORL")</f>
        <v>03 ORL</v>
      </c>
      <c r="N1411" s="33" t="str">
        <f ca="1">IFERROR(__xludf.DUMMYFUNCTION("""COMPUTED_VALUE"""),"06 ORL")</f>
        <v>06 ORL</v>
      </c>
      <c r="O1411" s="33" t="str">
        <f ca="1">IFERROR(__xludf.DUMMYFUNCTION("""COMPUTED_VALUE"""),"Dr, Enrique Gómez Aldaz")</f>
        <v>Dr, Enrique Gómez Aldaz</v>
      </c>
      <c r="P1411" s="33" t="str">
        <f ca="1">IFERROR(__xludf.DUMMYFUNCTION("""COMPUTED_VALUE"""),"Luis Alberto Rodríguez (Andalucía y Badajoz)")</f>
        <v>Luis Alberto Rodríguez (Andalucía y Badajoz)</v>
      </c>
    </row>
    <row r="1412" spans="2:16">
      <c r="B1412" s="33">
        <f ca="1">IFERROR(__xludf.DUMMYFUNCTION("""COMPUTED_VALUE"""),2025)</f>
        <v>2025</v>
      </c>
      <c r="C1412" s="33">
        <f ca="1">IFERROR(__xludf.DUMMYFUNCTION("""COMPUTED_VALUE"""),11)</f>
        <v>11</v>
      </c>
      <c r="D1412" s="33" t="str">
        <f ca="1">IFERROR(__xludf.DUMMYFUNCTION("""COMPUTED_VALUE"""),"NO")</f>
        <v>NO</v>
      </c>
      <c r="E1412" s="33" t="str">
        <f ca="1">IFERROR(__xludf.DUMMYFUNCTION("""COMPUTED_VALUE"""),"Ponferrada")</f>
        <v>Ponferrada</v>
      </c>
      <c r="F1412" s="57">
        <f ca="1">IFERROR(__xludf.DUMMYFUNCTION("""COMPUTED_VALUE"""),45966)</f>
        <v>45966</v>
      </c>
      <c r="G1412" s="57">
        <f ca="1">IFERROR(__xludf.DUMMYFUNCTION("""COMPUTED_VALUE"""),45834)</f>
        <v>45834</v>
      </c>
      <c r="H1412" s="33" t="str">
        <f ca="1">IFERROR(__xludf.DUMMYFUNCTION("""COMPUTED_VALUE"""),"Ponferrada")</f>
        <v>Ponferrada</v>
      </c>
      <c r="I1412" s="33" t="str">
        <f ca="1">IFERROR(__xludf.DUMMYFUNCTION("""COMPUTED_VALUE"""),"PON-942")</f>
        <v>PON-942</v>
      </c>
      <c r="J1412" s="33" t="str">
        <f ca="1">IFERROR(__xludf.DUMMYFUNCTION("""COMPUTED_VALUE"""),"JOSE BARREDO ALVAREZ")</f>
        <v>JOSE BARREDO ALVAREZ</v>
      </c>
      <c r="K1412" s="33">
        <f ca="1">IFERROR(__xludf.DUMMYFUNCTION("""COMPUTED_VALUE"""),2)</f>
        <v>2</v>
      </c>
      <c r="L1412" s="203">
        <f ca="1">IFERROR(__xludf.DUMMYFUNCTION("""COMPUTED_VALUE"""),3909.09)</f>
        <v>3909.09</v>
      </c>
      <c r="M1412" s="33" t="str">
        <f ca="1">IFERROR(__xludf.DUMMYFUNCTION("""COMPUTED_VALUE"""),"03 ORL")</f>
        <v>03 ORL</v>
      </c>
      <c r="N1412" s="33" t="str">
        <f ca="1">IFERROR(__xludf.DUMMYFUNCTION("""COMPUTED_VALUE"""),"06 ORL")</f>
        <v>06 ORL</v>
      </c>
      <c r="O1412" s="33" t="str">
        <f ca="1">IFERROR(__xludf.DUMMYFUNCTION("""COMPUTED_VALUE"""),"No Recuerda Orl")</f>
        <v>No Recuerda Orl</v>
      </c>
      <c r="P1412" s="33" t="str">
        <f ca="1">IFERROR(__xludf.DUMMYFUNCTION("""COMPUTED_VALUE"""),"Alberto Moreno (Madrid)")</f>
        <v>Alberto Moreno (Madrid)</v>
      </c>
    </row>
    <row r="1413" spans="2:16">
      <c r="B1413" s="33">
        <f ca="1">IFERROR(__xludf.DUMMYFUNCTION("""COMPUTED_VALUE"""),2025)</f>
        <v>2025</v>
      </c>
      <c r="C1413" s="33">
        <f ca="1">IFERROR(__xludf.DUMMYFUNCTION("""COMPUTED_VALUE"""),11)</f>
        <v>11</v>
      </c>
      <c r="D1413" s="33" t="str">
        <f ca="1">IFERROR(__xludf.DUMMYFUNCTION("""COMPUTED_VALUE"""),"NO")</f>
        <v>NO</v>
      </c>
      <c r="E1413" s="33" t="str">
        <f ca="1">IFERROR(__xludf.DUMMYFUNCTION("""COMPUTED_VALUE"""),"Murcia")</f>
        <v>Murcia</v>
      </c>
      <c r="F1413" s="57">
        <f ca="1">IFERROR(__xludf.DUMMYFUNCTION("""COMPUTED_VALUE"""),45966)</f>
        <v>45966</v>
      </c>
      <c r="G1413" s="57">
        <f ca="1">IFERROR(__xludf.DUMMYFUNCTION("""COMPUTED_VALUE"""),45931)</f>
        <v>45931</v>
      </c>
      <c r="H1413" s="33" t="str">
        <f ca="1">IFERROR(__xludf.DUMMYFUNCTION("""COMPUTED_VALUE"""),"Murcia")</f>
        <v>Murcia</v>
      </c>
      <c r="I1413" s="33" t="str">
        <f ca="1">IFERROR(__xludf.DUMMYFUNCTION("""COMPUTED_VALUE"""),"C202510110121273")</f>
        <v>C202510110121273</v>
      </c>
      <c r="J1413" s="33" t="str">
        <f ca="1">IFERROR(__xludf.DUMMYFUNCTION("""COMPUTED_VALUE"""),"MIGUEL LA TORRE SANCHEZ")</f>
        <v>MIGUEL LA TORRE SANCHEZ</v>
      </c>
      <c r="K1413" s="33">
        <f ca="1">IFERROR(__xludf.DUMMYFUNCTION("""COMPUTED_VALUE"""),2)</f>
        <v>2</v>
      </c>
      <c r="L1413" s="203">
        <f ca="1">IFERROR(__xludf.DUMMYFUNCTION("""COMPUTED_VALUE"""),3631.82)</f>
        <v>3631.82</v>
      </c>
      <c r="M1413" s="33" t="str">
        <f ca="1">IFERROR(__xludf.DUMMYFUNCTION("""COMPUTED_VALUE"""),"03 ORL")</f>
        <v>03 ORL</v>
      </c>
      <c r="N1413" s="33" t="str">
        <f ca="1">IFERROR(__xludf.DUMMYFUNCTION("""COMPUTED_VALUE"""),"06 ORL")</f>
        <v>06 ORL</v>
      </c>
      <c r="O1413" s="33" t="str">
        <f ca="1">IFERROR(__xludf.DUMMYFUNCTION("""COMPUTED_VALUE"""),"Dr, Enrique López Meseguer")</f>
        <v>Dr, Enrique López Meseguer</v>
      </c>
      <c r="P1413" s="33" t="str">
        <f ca="1">IFERROR(__xludf.DUMMYFUNCTION("""COMPUTED_VALUE"""),"Iván Sánchez (Levante Y Albacete)")</f>
        <v>Iván Sánchez (Levante Y Albacete)</v>
      </c>
    </row>
    <row r="1414" spans="2:16">
      <c r="B1414" s="33">
        <f ca="1">IFERROR(__xludf.DUMMYFUNCTION("""COMPUTED_VALUE"""),2025)</f>
        <v>2025</v>
      </c>
      <c r="C1414" s="33">
        <f ca="1">IFERROR(__xludf.DUMMYFUNCTION("""COMPUTED_VALUE"""),11)</f>
        <v>11</v>
      </c>
      <c r="D1414" s="33" t="str">
        <f ca="1">IFERROR(__xludf.DUMMYFUNCTION("""COMPUTED_VALUE"""),"NO")</f>
        <v>NO</v>
      </c>
      <c r="E1414" s="33" t="str">
        <f ca="1">IFERROR(__xludf.DUMMYFUNCTION("""COMPUTED_VALUE"""),"Alicante")</f>
        <v>Alicante</v>
      </c>
      <c r="F1414" s="57">
        <f ca="1">IFERROR(__xludf.DUMMYFUNCTION("""COMPUTED_VALUE"""),45966)</f>
        <v>45966</v>
      </c>
      <c r="G1414" s="57">
        <f ca="1">IFERROR(__xludf.DUMMYFUNCTION("""COMPUTED_VALUE"""),45924)</f>
        <v>45924</v>
      </c>
      <c r="H1414" s="33" t="str">
        <f ca="1">IFERROR(__xludf.DUMMYFUNCTION("""COMPUTED_VALUE"""),"Alicante")</f>
        <v>Alicante</v>
      </c>
      <c r="I1414" s="33" t="str">
        <f ca="1">IFERROR(__xludf.DUMMYFUNCTION("""COMPUTED_VALUE"""),"C2025925112445880")</f>
        <v>C2025925112445880</v>
      </c>
      <c r="J1414" s="33" t="str">
        <f ca="1">IFERROR(__xludf.DUMMYFUNCTION("""COMPUTED_VALUE"""),"GRISEL PEREZ CABEZA")</f>
        <v>GRISEL PEREZ CABEZA</v>
      </c>
      <c r="K1414" s="33">
        <f ca="1">IFERROR(__xludf.DUMMYFUNCTION("""COMPUTED_VALUE"""),2)</f>
        <v>2</v>
      </c>
      <c r="L1414" s="203">
        <f ca="1">IFERROR(__xludf.DUMMYFUNCTION("""COMPUTED_VALUE"""),3450.23)</f>
        <v>3450.23</v>
      </c>
      <c r="M1414" s="33" t="str">
        <f ca="1">IFERROR(__xludf.DUMMYFUNCTION("""COMPUTED_VALUE"""),"03 ORL")</f>
        <v>03 ORL</v>
      </c>
      <c r="N1414" s="33" t="str">
        <f ca="1">IFERROR(__xludf.DUMMYFUNCTION("""COMPUTED_VALUE"""),"06 ORL")</f>
        <v>06 ORL</v>
      </c>
      <c r="O1414" s="33" t="str">
        <f ca="1">IFERROR(__xludf.DUMMYFUNCTION("""COMPUTED_VALUE"""),"Dra, Cristina Muñoz Pinto")</f>
        <v>Dra, Cristina Muñoz Pinto</v>
      </c>
      <c r="P1414" s="33" t="str">
        <f ca="1">IFERROR(__xludf.DUMMYFUNCTION("""COMPUTED_VALUE"""),"Iván Sánchez (Levante Y Albacete)")</f>
        <v>Iván Sánchez (Levante Y Albacete)</v>
      </c>
    </row>
    <row r="1415" spans="2:16">
      <c r="B1415" s="33">
        <f ca="1">IFERROR(__xludf.DUMMYFUNCTION("""COMPUTED_VALUE"""),2025)</f>
        <v>2025</v>
      </c>
      <c r="C1415" s="33">
        <f ca="1">IFERROR(__xludf.DUMMYFUNCTION("""COMPUTED_VALUE"""),11)</f>
        <v>11</v>
      </c>
      <c r="D1415" s="33" t="str">
        <f ca="1">IFERROR(__xludf.DUMMYFUNCTION("""COMPUTED_VALUE"""),"NO")</f>
        <v>NO</v>
      </c>
      <c r="E1415" s="33" t="str">
        <f ca="1">IFERROR(__xludf.DUMMYFUNCTION("""COMPUTED_VALUE"""),"Alicante")</f>
        <v>Alicante</v>
      </c>
      <c r="F1415" s="57">
        <f ca="1">IFERROR(__xludf.DUMMYFUNCTION("""COMPUTED_VALUE"""),45966)</f>
        <v>45966</v>
      </c>
      <c r="G1415" s="57">
        <f ca="1">IFERROR(__xludf.DUMMYFUNCTION("""COMPUTED_VALUE"""),45937)</f>
        <v>45937</v>
      </c>
      <c r="H1415" s="33" t="str">
        <f ca="1">IFERROR(__xludf.DUMMYFUNCTION("""COMPUTED_VALUE"""),"Alicante")</f>
        <v>Alicante</v>
      </c>
      <c r="I1415" s="33" t="str">
        <f ca="1">IFERROR(__xludf.DUMMYFUNCTION("""COMPUTED_VALUE"""),"C20251014123042219")</f>
        <v>C20251014123042219</v>
      </c>
      <c r="J1415" s="33" t="str">
        <f ca="1">IFERROR(__xludf.DUMMYFUNCTION("""COMPUTED_VALUE"""),"PEDRO SORIANO MOLL")</f>
        <v>PEDRO SORIANO MOLL</v>
      </c>
      <c r="K1415" s="33">
        <f ca="1">IFERROR(__xludf.DUMMYFUNCTION("""COMPUTED_VALUE"""),2)</f>
        <v>2</v>
      </c>
      <c r="L1415" s="203">
        <f ca="1">IFERROR(__xludf.DUMMYFUNCTION("""COMPUTED_VALUE"""),2718.18)</f>
        <v>2718.18</v>
      </c>
      <c r="M1415" s="33" t="str">
        <f ca="1">IFERROR(__xludf.DUMMYFUNCTION("""COMPUTED_VALUE"""),"03 ORL")</f>
        <v>03 ORL</v>
      </c>
      <c r="N1415" s="33" t="str">
        <f ca="1">IFERROR(__xludf.DUMMYFUNCTION("""COMPUTED_VALUE"""),"06 ORL")</f>
        <v>06 ORL</v>
      </c>
      <c r="O1415" s="33" t="str">
        <f ca="1">IFERROR(__xludf.DUMMYFUNCTION("""COMPUTED_VALUE"""),"Dr, Alfonso Rodríguez Fabio")</f>
        <v>Dr, Alfonso Rodríguez Fabio</v>
      </c>
      <c r="P1415" s="33" t="str">
        <f ca="1">IFERROR(__xludf.DUMMYFUNCTION("""COMPUTED_VALUE"""),"Iván Sánchez (Levante Y Albacete)")</f>
        <v>Iván Sánchez (Levante Y Albacete)</v>
      </c>
    </row>
    <row r="1416" spans="2:16">
      <c r="B1416" s="33">
        <f ca="1">IFERROR(__xludf.DUMMYFUNCTION("""COMPUTED_VALUE"""),2025)</f>
        <v>2025</v>
      </c>
      <c r="C1416" s="33">
        <f ca="1">IFERROR(__xludf.DUMMYFUNCTION("""COMPUTED_VALUE"""),11)</f>
        <v>11</v>
      </c>
      <c r="D1416" s="33" t="str">
        <f ca="1">IFERROR(__xludf.DUMMYFUNCTION("""COMPUTED_VALUE"""),"NO")</f>
        <v>NO</v>
      </c>
      <c r="E1416" s="33" t="str">
        <f ca="1">IFERROR(__xludf.DUMMYFUNCTION("""COMPUTED_VALUE"""),"Madrid- La Oca")</f>
        <v>Madrid- La Oca</v>
      </c>
      <c r="F1416" s="57">
        <f ca="1">IFERROR(__xludf.DUMMYFUNCTION("""COMPUTED_VALUE"""),45966)</f>
        <v>45966</v>
      </c>
      <c r="G1416" s="57">
        <f ca="1">IFERROR(__xludf.DUMMYFUNCTION("""COMPUTED_VALUE"""),45847)</f>
        <v>45847</v>
      </c>
      <c r="H1416" s="33" t="str">
        <f ca="1">IFERROR(__xludf.DUMMYFUNCTION("""COMPUTED_VALUE"""),"La Oca")</f>
        <v>La Oca</v>
      </c>
      <c r="I1416" s="33" t="str">
        <f ca="1">IFERROR(__xludf.DUMMYFUNCTION("""COMPUTED_VALUE"""),"C20258812352613")</f>
        <v>C20258812352613</v>
      </c>
      <c r="J1416" s="33" t="str">
        <f ca="1">IFERROR(__xludf.DUMMYFUNCTION("""COMPUTED_VALUE"""),"GERTRUDIS LUNA ESTEVEZ")</f>
        <v>GERTRUDIS LUNA ESTEVEZ</v>
      </c>
      <c r="K1416" s="33">
        <f ca="1">IFERROR(__xludf.DUMMYFUNCTION("""COMPUTED_VALUE"""),2)</f>
        <v>2</v>
      </c>
      <c r="L1416" s="203">
        <f ca="1">IFERROR(__xludf.DUMMYFUNCTION("""COMPUTED_VALUE"""),3631.82)</f>
        <v>3631.82</v>
      </c>
      <c r="M1416" s="33" t="str">
        <f ca="1">IFERROR(__xludf.DUMMYFUNCTION("""COMPUTED_VALUE"""),"03 ORL")</f>
        <v>03 ORL</v>
      </c>
      <c r="N1416" s="33" t="str">
        <f ca="1">IFERROR(__xludf.DUMMYFUNCTION("""COMPUTED_VALUE"""),"06 ORL")</f>
        <v>06 ORL</v>
      </c>
      <c r="O1416" s="33" t="str">
        <f ca="1">IFERROR(__xludf.DUMMYFUNCTION("""COMPUTED_VALUE"""),"Dra, Diana Hernán Pérez")</f>
        <v>Dra, Diana Hernán Pérez</v>
      </c>
      <c r="P1416" s="33" t="str">
        <f ca="1">IFERROR(__xludf.DUMMYFUNCTION("""COMPUTED_VALUE"""),"Lisandro Russian (Madrid, Cáceres, Toledo, Talavera Y Logroño)")</f>
        <v>Lisandro Russian (Madrid, Cáceres, Toledo, Talavera Y Logroño)</v>
      </c>
    </row>
    <row r="1417" spans="2:16">
      <c r="B1417" s="33">
        <f ca="1">IFERROR(__xludf.DUMMYFUNCTION("""COMPUTED_VALUE"""),2025)</f>
        <v>2025</v>
      </c>
      <c r="C1417" s="33">
        <f ca="1">IFERROR(__xludf.DUMMYFUNCTION("""COMPUTED_VALUE"""),11)</f>
        <v>11</v>
      </c>
      <c r="D1417" s="33" t="str">
        <f ca="1">IFERROR(__xludf.DUMMYFUNCTION("""COMPUTED_VALUE"""),"NO")</f>
        <v>NO</v>
      </c>
      <c r="E1417" s="33" t="str">
        <f ca="1">IFERROR(__xludf.DUMMYFUNCTION("""COMPUTED_VALUE"""),"Toledo")</f>
        <v>Toledo</v>
      </c>
      <c r="F1417" s="57">
        <f ca="1">IFERROR(__xludf.DUMMYFUNCTION("""COMPUTED_VALUE"""),45967)</f>
        <v>45967</v>
      </c>
      <c r="G1417" s="57">
        <f ca="1">IFERROR(__xludf.DUMMYFUNCTION("""COMPUTED_VALUE"""),45951)</f>
        <v>45951</v>
      </c>
      <c r="H1417" s="33" t="str">
        <f ca="1">IFERROR(__xludf.DUMMYFUNCTION("""COMPUTED_VALUE"""),"Toledo")</f>
        <v>Toledo</v>
      </c>
      <c r="I1417" s="33" t="str">
        <f ca="1">IFERROR(__xludf.DUMMYFUNCTION("""COMPUTED_VALUE"""),"C202510217364940013")</f>
        <v>C202510217364940013</v>
      </c>
      <c r="J1417" s="33" t="str">
        <f ca="1">IFERROR(__xludf.DUMMYFUNCTION("""COMPUTED_VALUE"""),"VALENTÍN GARCIA PORTELA")</f>
        <v>VALENTÍN GARCIA PORTELA</v>
      </c>
      <c r="K1417" s="33">
        <f ca="1">IFERROR(__xludf.DUMMYFUNCTION("""COMPUTED_VALUE"""),1)</f>
        <v>1</v>
      </c>
      <c r="L1417" s="203">
        <f ca="1">IFERROR(__xludf.DUMMYFUNCTION("""COMPUTED_VALUE"""),2211.54)</f>
        <v>2211.54</v>
      </c>
      <c r="M1417" s="33" t="str">
        <f ca="1">IFERROR(__xludf.DUMMYFUNCTION("""COMPUTED_VALUE"""),"03 ORL")</f>
        <v>03 ORL</v>
      </c>
      <c r="N1417" s="33" t="str">
        <f ca="1">IFERROR(__xludf.DUMMYFUNCTION("""COMPUTED_VALUE"""),"06 ORL")</f>
        <v>06 ORL</v>
      </c>
      <c r="O1417" s="33" t="str">
        <f ca="1">IFERROR(__xludf.DUMMYFUNCTION("""COMPUTED_VALUE"""),"Dra, María Rosario Ruiz Gómez")</f>
        <v>Dra, María Rosario Ruiz Gómez</v>
      </c>
      <c r="P1417" s="33" t="str">
        <f ca="1">IFERROR(__xludf.DUMMYFUNCTION("""COMPUTED_VALUE"""),"Lisandro Russian (Madrid, Cáceres, Toledo, Talavera Y Logroño)")</f>
        <v>Lisandro Russian (Madrid, Cáceres, Toledo, Talavera Y Logroño)</v>
      </c>
    </row>
    <row r="1418" spans="2:16">
      <c r="B1418" s="33">
        <f ca="1">IFERROR(__xludf.DUMMYFUNCTION("""COMPUTED_VALUE"""),2025)</f>
        <v>2025</v>
      </c>
      <c r="C1418" s="33">
        <f ca="1">IFERROR(__xludf.DUMMYFUNCTION("""COMPUTED_VALUE"""),11)</f>
        <v>11</v>
      </c>
      <c r="D1418" s="33" t="str">
        <f ca="1">IFERROR(__xludf.DUMMYFUNCTION("""COMPUTED_VALUE"""),"NO")</f>
        <v>NO</v>
      </c>
      <c r="E1418" s="33" t="str">
        <f ca="1">IFERROR(__xludf.DUMMYFUNCTION("""COMPUTED_VALUE"""),"Talavera")</f>
        <v>Talavera</v>
      </c>
      <c r="F1418" s="57">
        <f ca="1">IFERROR(__xludf.DUMMYFUNCTION("""COMPUTED_VALUE"""),45967)</f>
        <v>45967</v>
      </c>
      <c r="G1418" s="57">
        <f ca="1">IFERROR(__xludf.DUMMYFUNCTION("""COMPUTED_VALUE"""),45932)</f>
        <v>45932</v>
      </c>
      <c r="H1418" s="33" t="str">
        <f ca="1">IFERROR(__xludf.DUMMYFUNCTION("""COMPUTED_VALUE"""),"Talavera")</f>
        <v>Talavera</v>
      </c>
      <c r="I1418" s="33" t="str">
        <f ca="1">IFERROR(__xludf.DUMMYFUNCTION("""COMPUTED_VALUE"""),"C2025102104823441")</f>
        <v>C2025102104823441</v>
      </c>
      <c r="J1418" s="33" t="str">
        <f ca="1">IFERROR(__xludf.DUMMYFUNCTION("""COMPUTED_VALUE"""),"ANGELA PEREZ MATEOS")</f>
        <v>ANGELA PEREZ MATEOS</v>
      </c>
      <c r="K1418" s="33">
        <f ca="1">IFERROR(__xludf.DUMMYFUNCTION("""COMPUTED_VALUE"""),2)</f>
        <v>2</v>
      </c>
      <c r="L1418" s="203">
        <f ca="1">IFERROR(__xludf.DUMMYFUNCTION("""COMPUTED_VALUE"""),2718.18)</f>
        <v>2718.18</v>
      </c>
      <c r="M1418" s="33" t="str">
        <f ca="1">IFERROR(__xludf.DUMMYFUNCTION("""COMPUTED_VALUE"""),"03 ORL")</f>
        <v>03 ORL</v>
      </c>
      <c r="N1418" s="33" t="str">
        <f ca="1">IFERROR(__xludf.DUMMYFUNCTION("""COMPUTED_VALUE"""),"06 ORL")</f>
        <v>06 ORL</v>
      </c>
      <c r="O1418" s="33" t="str">
        <f ca="1">IFERROR(__xludf.DUMMYFUNCTION("""COMPUTED_VALUE"""),"Dr, Carlos Félix Asensio Nieto")</f>
        <v>Dr, Carlos Félix Asensio Nieto</v>
      </c>
      <c r="P1418" s="33" t="str">
        <f ca="1">IFERROR(__xludf.DUMMYFUNCTION("""COMPUTED_VALUE"""),"Lisandro Russian (Madrid, Cáceres, Toledo, Talavera Y Logroño)")</f>
        <v>Lisandro Russian (Madrid, Cáceres, Toledo, Talavera Y Logroño)</v>
      </c>
    </row>
    <row r="1419" spans="2:16">
      <c r="B1419" s="33">
        <f ca="1">IFERROR(__xludf.DUMMYFUNCTION("""COMPUTED_VALUE"""),2025)</f>
        <v>2025</v>
      </c>
      <c r="C1419" s="33">
        <f ca="1">IFERROR(__xludf.DUMMYFUNCTION("""COMPUTED_VALUE"""),11)</f>
        <v>11</v>
      </c>
      <c r="D1419" s="33" t="str">
        <f ca="1">IFERROR(__xludf.DUMMYFUNCTION("""COMPUTED_VALUE"""),"NO")</f>
        <v>NO</v>
      </c>
      <c r="E1419" s="33" t="str">
        <f ca="1">IFERROR(__xludf.DUMMYFUNCTION("""COMPUTED_VALUE"""),"Sevilla- Montoto")</f>
        <v>Sevilla- Montoto</v>
      </c>
      <c r="F1419" s="57">
        <f ca="1">IFERROR(__xludf.DUMMYFUNCTION("""COMPUTED_VALUE"""),45967)</f>
        <v>45967</v>
      </c>
      <c r="G1419" s="57">
        <f ca="1">IFERROR(__xludf.DUMMYFUNCTION("""COMPUTED_VALUE"""),45938)</f>
        <v>45938</v>
      </c>
      <c r="H1419" s="33" t="str">
        <f ca="1">IFERROR(__xludf.DUMMYFUNCTION("""COMPUTED_VALUE"""),"Montoto")</f>
        <v>Montoto</v>
      </c>
      <c r="I1419" s="33" t="str">
        <f ca="1">IFERROR(__xludf.DUMMYFUNCTION("""COMPUTED_VALUE"""),"C20251016122337200")</f>
        <v>C20251016122337200</v>
      </c>
      <c r="J1419" s="33" t="str">
        <f ca="1">IFERROR(__xludf.DUMMYFUNCTION("""COMPUTED_VALUE"""),"FRANCISCO VILLENA DIAZ")</f>
        <v>FRANCISCO VILLENA DIAZ</v>
      </c>
      <c r="K1419" s="33">
        <f ca="1">IFERROR(__xludf.DUMMYFUNCTION("""COMPUTED_VALUE"""),1)</f>
        <v>1</v>
      </c>
      <c r="L1419" s="203">
        <f ca="1">IFERROR(__xludf.DUMMYFUNCTION("""COMPUTED_VALUE"""),2586.54)</f>
        <v>2586.54</v>
      </c>
      <c r="M1419" s="33" t="str">
        <f ca="1">IFERROR(__xludf.DUMMYFUNCTION("""COMPUTED_VALUE"""),"03 ORL")</f>
        <v>03 ORL</v>
      </c>
      <c r="N1419" s="33" t="str">
        <f ca="1">IFERROR(__xludf.DUMMYFUNCTION("""COMPUTED_VALUE"""),"06 ORL")</f>
        <v>06 ORL</v>
      </c>
      <c r="O1419" s="33" t="str">
        <f ca="1">IFERROR(__xludf.DUMMYFUNCTION("""COMPUTED_VALUE"""),"Dra, Noelia García García")</f>
        <v>Dra, Noelia García García</v>
      </c>
      <c r="P1419" s="33" t="str">
        <f ca="1">IFERROR(__xludf.DUMMYFUNCTION("""COMPUTED_VALUE"""),"Luis Alberto Rodríguez (Andalucía y Badajoz)")</f>
        <v>Luis Alberto Rodríguez (Andalucía y Badajoz)</v>
      </c>
    </row>
    <row r="1420" spans="2:16">
      <c r="B1420" s="33">
        <f ca="1">IFERROR(__xludf.DUMMYFUNCTION("""COMPUTED_VALUE"""),2025)</f>
        <v>2025</v>
      </c>
      <c r="C1420" s="33">
        <f ca="1">IFERROR(__xludf.DUMMYFUNCTION("""COMPUTED_VALUE"""),11)</f>
        <v>11</v>
      </c>
      <c r="D1420" s="33" t="str">
        <f ca="1">IFERROR(__xludf.DUMMYFUNCTION("""COMPUTED_VALUE"""),"NO")</f>
        <v>NO</v>
      </c>
      <c r="E1420" s="33" t="str">
        <f ca="1">IFERROR(__xludf.DUMMYFUNCTION("""COMPUTED_VALUE"""),"Madrid- Monforte de Lemos")</f>
        <v>Madrid- Monforte de Lemos</v>
      </c>
      <c r="F1420" s="57">
        <f ca="1">IFERROR(__xludf.DUMMYFUNCTION("""COMPUTED_VALUE"""),45967)</f>
        <v>45967</v>
      </c>
      <c r="G1420" s="57">
        <f ca="1">IFERROR(__xludf.DUMMYFUNCTION("""COMPUTED_VALUE"""),45953)</f>
        <v>45953</v>
      </c>
      <c r="H1420" s="33" t="str">
        <f ca="1">IFERROR(__xludf.DUMMYFUNCTION("""COMPUTED_VALUE"""),"La Vaguada")</f>
        <v>La Vaguada</v>
      </c>
      <c r="I1420" s="33" t="str">
        <f ca="1">IFERROR(__xludf.DUMMYFUNCTION("""COMPUTED_VALUE"""),"C202510231017253878")</f>
        <v>C202510231017253878</v>
      </c>
      <c r="J1420" s="33" t="str">
        <f ca="1">IFERROR(__xludf.DUMMYFUNCTION("""COMPUTED_VALUE"""),"PILAR LASAGABASTER LASAGABASTER")</f>
        <v>PILAR LASAGABASTER LASAGABASTER</v>
      </c>
      <c r="K1420" s="33">
        <f ca="1">IFERROR(__xludf.DUMMYFUNCTION("""COMPUTED_VALUE"""),1)</f>
        <v>1</v>
      </c>
      <c r="L1420" s="203">
        <f ca="1">IFERROR(__xludf.DUMMYFUNCTION("""COMPUTED_VALUE"""),2481.82)</f>
        <v>2481.8200000000002</v>
      </c>
      <c r="M1420" s="33" t="str">
        <f ca="1">IFERROR(__xludf.DUMMYFUNCTION("""COMPUTED_VALUE"""),"03 ORL")</f>
        <v>03 ORL</v>
      </c>
      <c r="N1420" s="33" t="str">
        <f ca="1">IFERROR(__xludf.DUMMYFUNCTION("""COMPUTED_VALUE"""),"06 ORL")</f>
        <v>06 ORL</v>
      </c>
      <c r="O1420" s="33" t="str">
        <f ca="1">IFERROR(__xludf.DUMMYFUNCTION("""COMPUTED_VALUE"""),"Dr, José Montojo Woodeson")</f>
        <v>Dr, José Montojo Woodeson</v>
      </c>
      <c r="P1420" s="33" t="str">
        <f ca="1">IFERROR(__xludf.DUMMYFUNCTION("""COMPUTED_VALUE"""),"Maika Blázquez (Madrid)")</f>
        <v>Maika Blázquez (Madrid)</v>
      </c>
    </row>
    <row r="1421" spans="2:16">
      <c r="B1421" s="33">
        <f ca="1">IFERROR(__xludf.DUMMYFUNCTION("""COMPUTED_VALUE"""),2025)</f>
        <v>2025</v>
      </c>
      <c r="C1421" s="33">
        <f ca="1">IFERROR(__xludf.DUMMYFUNCTION("""COMPUTED_VALUE"""),11)</f>
        <v>11</v>
      </c>
      <c r="D1421" s="33" t="str">
        <f ca="1">IFERROR(__xludf.DUMMYFUNCTION("""COMPUTED_VALUE"""),"NO")</f>
        <v>NO</v>
      </c>
      <c r="E1421" s="33" t="str">
        <f ca="1">IFERROR(__xludf.DUMMYFUNCTION("""COMPUTED_VALUE"""),"Cáceres")</f>
        <v>Cáceres</v>
      </c>
      <c r="F1421" s="57">
        <f ca="1">IFERROR(__xludf.DUMMYFUNCTION("""COMPUTED_VALUE"""),45968)</f>
        <v>45968</v>
      </c>
      <c r="G1421" s="57">
        <f ca="1">IFERROR(__xludf.DUMMYFUNCTION("""COMPUTED_VALUE"""),45931)</f>
        <v>45931</v>
      </c>
      <c r="H1421" s="33" t="str">
        <f ca="1">IFERROR(__xludf.DUMMYFUNCTION("""COMPUTED_VALUE"""),"Cáceres")</f>
        <v>Cáceres</v>
      </c>
      <c r="I1421" s="33" t="str">
        <f ca="1">IFERROR(__xludf.DUMMYFUNCTION("""COMPUTED_VALUE"""),"CAC-405")</f>
        <v>CAC-405</v>
      </c>
      <c r="J1421" s="33" t="str">
        <f ca="1">IFERROR(__xludf.DUMMYFUNCTION("""COMPUTED_VALUE"""),"MARIA VIRGINIA ALCANTARA VILA")</f>
        <v>MARIA VIRGINIA ALCANTARA VILA</v>
      </c>
      <c r="K1421" s="33">
        <f ca="1">IFERROR(__xludf.DUMMYFUNCTION("""COMPUTED_VALUE"""),2)</f>
        <v>2</v>
      </c>
      <c r="L1421" s="203">
        <f ca="1">IFERROR(__xludf.DUMMYFUNCTION("""COMPUTED_VALUE"""),4741.36)</f>
        <v>4741.3599999999997</v>
      </c>
      <c r="M1421" s="33" t="str">
        <f ca="1">IFERROR(__xludf.DUMMYFUNCTION("""COMPUTED_VALUE"""),"03 ORL")</f>
        <v>03 ORL</v>
      </c>
      <c r="N1421" s="33" t="str">
        <f ca="1">IFERROR(__xludf.DUMMYFUNCTION("""COMPUTED_VALUE"""),"06 ORL")</f>
        <v>06 ORL</v>
      </c>
      <c r="O1421" s="33" t="str">
        <f ca="1">IFERROR(__xludf.DUMMYFUNCTION("""COMPUTED_VALUE"""),"Dra, Viviana Andrea")</f>
        <v>Dra, Viviana Andrea</v>
      </c>
      <c r="P1421" s="33" t="str">
        <f ca="1">IFERROR(__xludf.DUMMYFUNCTION("""COMPUTED_VALUE"""),"Lisandro Russian (Madrid, Cáceres, Toledo, Talavera Y Logroño)")</f>
        <v>Lisandro Russian (Madrid, Cáceres, Toledo, Talavera Y Logroño)</v>
      </c>
    </row>
    <row r="1422" spans="2:16">
      <c r="B1422" s="33">
        <f ca="1">IFERROR(__xludf.DUMMYFUNCTION("""COMPUTED_VALUE"""),2025)</f>
        <v>2025</v>
      </c>
      <c r="C1422" s="33">
        <f ca="1">IFERROR(__xludf.DUMMYFUNCTION("""COMPUTED_VALUE"""),11)</f>
        <v>11</v>
      </c>
      <c r="D1422" s="33" t="str">
        <f ca="1">IFERROR(__xludf.DUMMYFUNCTION("""COMPUTED_VALUE"""),"NO")</f>
        <v>NO</v>
      </c>
      <c r="E1422" s="33" t="str">
        <f ca="1">IFERROR(__xludf.DUMMYFUNCTION("""COMPUTED_VALUE"""),"Madrid- Canillas")</f>
        <v>Madrid- Canillas</v>
      </c>
      <c r="F1422" s="57">
        <f ca="1">IFERROR(__xludf.DUMMYFUNCTION("""COMPUTED_VALUE"""),45968)</f>
        <v>45968</v>
      </c>
      <c r="G1422" s="57">
        <f ca="1">IFERROR(__xludf.DUMMYFUNCTION("""COMPUTED_VALUE"""),45944)</f>
        <v>45944</v>
      </c>
      <c r="H1422" s="33" t="str">
        <f ca="1">IFERROR(__xludf.DUMMYFUNCTION("""COMPUTED_VALUE"""),"Canillas")</f>
        <v>Canillas</v>
      </c>
      <c r="I1422" s="33" t="str">
        <f ca="1">IFERROR(__xludf.DUMMYFUNCTION("""COMPUTED_VALUE"""),"C202510148479597999")</f>
        <v>C202510148479597999</v>
      </c>
      <c r="J1422" s="33" t="str">
        <f ca="1">IFERROR(__xludf.DUMMYFUNCTION("""COMPUTED_VALUE"""),"MERCEDES TAPIA TORRECUADRADA")</f>
        <v>MERCEDES TAPIA TORRECUADRADA</v>
      </c>
      <c r="K1422" s="33">
        <f ca="1">IFERROR(__xludf.DUMMYFUNCTION("""COMPUTED_VALUE"""),2)</f>
        <v>2</v>
      </c>
      <c r="L1422" s="203">
        <f ca="1">IFERROR(__xludf.DUMMYFUNCTION("""COMPUTED_VALUE"""),4136.36)</f>
        <v>4136.3599999999997</v>
      </c>
      <c r="M1422" s="33" t="str">
        <f ca="1">IFERROR(__xludf.DUMMYFUNCTION("""COMPUTED_VALUE"""),"03 ORL")</f>
        <v>03 ORL</v>
      </c>
      <c r="N1422" s="33" t="str">
        <f ca="1">IFERROR(__xludf.DUMMYFUNCTION("""COMPUTED_VALUE"""),"06 ORL")</f>
        <v>06 ORL</v>
      </c>
      <c r="O1422" s="33" t="str">
        <f ca="1">IFERROR(__xludf.DUMMYFUNCTION("""COMPUTED_VALUE"""),"No recuerda ORL")</f>
        <v>No recuerda ORL</v>
      </c>
      <c r="P1422" s="33" t="str">
        <f ca="1">IFERROR(__xludf.DUMMYFUNCTION("""COMPUTED_VALUE"""),"Maika Blázquez (Madrid)")</f>
        <v>Maika Blázquez (Madrid)</v>
      </c>
    </row>
    <row r="1423" spans="2:16">
      <c r="B1423" s="33">
        <f ca="1">IFERROR(__xludf.DUMMYFUNCTION("""COMPUTED_VALUE"""),2025)</f>
        <v>2025</v>
      </c>
      <c r="C1423" s="33">
        <f ca="1">IFERROR(__xludf.DUMMYFUNCTION("""COMPUTED_VALUE"""),11)</f>
        <v>11</v>
      </c>
      <c r="D1423" s="33" t="str">
        <f ca="1">IFERROR(__xludf.DUMMYFUNCTION("""COMPUTED_VALUE"""),"NO")</f>
        <v>NO</v>
      </c>
      <c r="E1423" s="33" t="str">
        <f ca="1">IFERROR(__xludf.DUMMYFUNCTION("""COMPUTED_VALUE"""),"Madrid- Juan Bravo")</f>
        <v>Madrid- Juan Bravo</v>
      </c>
      <c r="F1423" s="57">
        <f ca="1">IFERROR(__xludf.DUMMYFUNCTION("""COMPUTED_VALUE"""),45968)</f>
        <v>45968</v>
      </c>
      <c r="G1423" s="57">
        <f ca="1">IFERROR(__xludf.DUMMYFUNCTION("""COMPUTED_VALUE"""),45924)</f>
        <v>45924</v>
      </c>
      <c r="H1423" s="33" t="str">
        <f ca="1">IFERROR(__xludf.DUMMYFUNCTION("""COMPUTED_VALUE"""),"Juan Bravo")</f>
        <v>Juan Bravo</v>
      </c>
      <c r="I1423" s="33" t="str">
        <f ca="1">IFERROR(__xludf.DUMMYFUNCTION("""COMPUTED_VALUE"""),"C2025929113117679")</f>
        <v>C2025929113117679</v>
      </c>
      <c r="J1423" s="33" t="str">
        <f ca="1">IFERROR(__xludf.DUMMYFUNCTION("""COMPUTED_VALUE"""),"MARGARITA MARTIN PRECIADO")</f>
        <v>MARGARITA MARTIN PRECIADO</v>
      </c>
      <c r="K1423" s="33">
        <f ca="1">IFERROR(__xludf.DUMMYFUNCTION("""COMPUTED_VALUE"""),2)</f>
        <v>2</v>
      </c>
      <c r="L1423" s="203">
        <f ca="1">IFERROR(__xludf.DUMMYFUNCTION("""COMPUTED_VALUE"""),2718.18)</f>
        <v>2718.18</v>
      </c>
      <c r="M1423" s="33" t="str">
        <f ca="1">IFERROR(__xludf.DUMMYFUNCTION("""COMPUTED_VALUE"""),"03 ORL")</f>
        <v>03 ORL</v>
      </c>
      <c r="N1423" s="33" t="str">
        <f ca="1">IFERROR(__xludf.DUMMYFUNCTION("""COMPUTED_VALUE"""),"06 ORL")</f>
        <v>06 ORL</v>
      </c>
      <c r="O1423" s="33" t="str">
        <f ca="1">IFERROR(__xludf.DUMMYFUNCTION("""COMPUTED_VALUE"""),"Dr, Carlos Barajas del Rosal")</f>
        <v>Dr, Carlos Barajas del Rosal</v>
      </c>
      <c r="P1423" s="33" t="str">
        <f ca="1">IFERROR(__xludf.DUMMYFUNCTION("""COMPUTED_VALUE"""),"Lisandro Russian (Madrid, Cáceres, Toledo, Talavera Y Logroño)")</f>
        <v>Lisandro Russian (Madrid, Cáceres, Toledo, Talavera Y Logroño)</v>
      </c>
    </row>
    <row r="1424" spans="2:16">
      <c r="B1424" s="33">
        <f ca="1">IFERROR(__xludf.DUMMYFUNCTION("""COMPUTED_VALUE"""),2025)</f>
        <v>2025</v>
      </c>
      <c r="C1424" s="33">
        <f ca="1">IFERROR(__xludf.DUMMYFUNCTION("""COMPUTED_VALUE"""),11)</f>
        <v>11</v>
      </c>
      <c r="D1424" s="33" t="str">
        <f ca="1">IFERROR(__xludf.DUMMYFUNCTION("""COMPUTED_VALUE"""),"NO")</f>
        <v>NO</v>
      </c>
      <c r="E1424" s="33" t="str">
        <f ca="1">IFERROR(__xludf.DUMMYFUNCTION("""COMPUTED_VALUE"""),"Madrid- Moratalaz")</f>
        <v>Madrid- Moratalaz</v>
      </c>
      <c r="F1424" s="57">
        <f ca="1">IFERROR(__xludf.DUMMYFUNCTION("""COMPUTED_VALUE"""),45968)</f>
        <v>45968</v>
      </c>
      <c r="G1424" s="57">
        <f ca="1">IFERROR(__xludf.DUMMYFUNCTION("""COMPUTED_VALUE"""),45945)</f>
        <v>45945</v>
      </c>
      <c r="H1424" s="33" t="str">
        <f ca="1">IFERROR(__xludf.DUMMYFUNCTION("""COMPUTED_VALUE"""),"Moratalaz")</f>
        <v>Moratalaz</v>
      </c>
      <c r="I1424" s="33" t="str">
        <f ca="1">IFERROR(__xludf.DUMMYFUNCTION("""COMPUTED_VALUE"""),"C202510151756131283")</f>
        <v>C202510151756131283</v>
      </c>
      <c r="J1424" s="33" t="str">
        <f ca="1">IFERROR(__xludf.DUMMYFUNCTION("""COMPUTED_VALUE"""),"ANGELES CALVO BARAHONA")</f>
        <v>ANGELES CALVO BARAHONA</v>
      </c>
      <c r="K1424" s="33">
        <f ca="1">IFERROR(__xludf.DUMMYFUNCTION("""COMPUTED_VALUE"""),1)</f>
        <v>1</v>
      </c>
      <c r="L1424" s="203">
        <f ca="1">IFERROR(__xludf.DUMMYFUNCTION("""COMPUTED_VALUE"""),2180.91)</f>
        <v>2180.91</v>
      </c>
      <c r="M1424" s="33" t="str">
        <f ca="1">IFERROR(__xludf.DUMMYFUNCTION("""COMPUTED_VALUE"""),"03 ORL")</f>
        <v>03 ORL</v>
      </c>
      <c r="N1424" s="33" t="str">
        <f ca="1">IFERROR(__xludf.DUMMYFUNCTION("""COMPUTED_VALUE"""),"06 ORL")</f>
        <v>06 ORL</v>
      </c>
      <c r="O1424" s="33" t="str">
        <f ca="1">IFERROR(__xludf.DUMMYFUNCTION("""COMPUTED_VALUE"""),"No recuerda ORL")</f>
        <v>No recuerda ORL</v>
      </c>
      <c r="P1424" s="33" t="str">
        <f ca="1">IFERROR(__xludf.DUMMYFUNCTION("""COMPUTED_VALUE"""),"Maika Blázquez (Madrid)")</f>
        <v>Maika Blázquez (Madrid)</v>
      </c>
    </row>
    <row r="1425" spans="2:16">
      <c r="B1425" s="33">
        <f ca="1">IFERROR(__xludf.DUMMYFUNCTION("""COMPUTED_VALUE"""),2025)</f>
        <v>2025</v>
      </c>
      <c r="C1425" s="33">
        <f ca="1">IFERROR(__xludf.DUMMYFUNCTION("""COMPUTED_VALUE"""),11)</f>
        <v>11</v>
      </c>
      <c r="D1425" s="33" t="str">
        <f ca="1">IFERROR(__xludf.DUMMYFUNCTION("""COMPUTED_VALUE"""),"NO")</f>
        <v>NO</v>
      </c>
      <c r="E1425" s="33" t="str">
        <f ca="1">IFERROR(__xludf.DUMMYFUNCTION("""COMPUTED_VALUE"""),"Boiro")</f>
        <v>Boiro</v>
      </c>
      <c r="F1425" s="57">
        <f ca="1">IFERROR(__xludf.DUMMYFUNCTION("""COMPUTED_VALUE"""),45971)</f>
        <v>45971</v>
      </c>
      <c r="G1425" s="57">
        <f ca="1">IFERROR(__xludf.DUMMYFUNCTION("""COMPUTED_VALUE"""),44987)</f>
        <v>44987</v>
      </c>
      <c r="H1425" s="33" t="str">
        <f ca="1">IFERROR(__xludf.DUMMYFUNCTION("""COMPUTED_VALUE"""),"Boiro")</f>
        <v>Boiro</v>
      </c>
      <c r="I1425" s="33" t="str">
        <f ca="1">IFERROR(__xludf.DUMMYFUNCTION("""COMPUTED_VALUE"""),"BOI-715")</f>
        <v>BOI-715</v>
      </c>
      <c r="J1425" s="33" t="str">
        <f ca="1">IFERROR(__xludf.DUMMYFUNCTION("""COMPUTED_VALUE"""),"MANUEL JOAO GONCALVES SALGADO")</f>
        <v>MANUEL JOAO GONCALVES SALGADO</v>
      </c>
      <c r="K1425" s="33">
        <f ca="1">IFERROR(__xludf.DUMMYFUNCTION("""COMPUTED_VALUE"""),1)</f>
        <v>1</v>
      </c>
      <c r="L1425" s="203">
        <f ca="1">IFERROR(__xludf.DUMMYFUNCTION("""COMPUTED_VALUE"""),863.64)</f>
        <v>863.64</v>
      </c>
      <c r="M1425" s="33" t="str">
        <f ca="1">IFERROR(__xludf.DUMMYFUNCTION("""COMPUTED_VALUE"""),"03 ORL")</f>
        <v>03 ORL</v>
      </c>
      <c r="N1425" s="33" t="str">
        <f ca="1">IFERROR(__xludf.DUMMYFUNCTION("""COMPUTED_VALUE"""),"06 ORL")</f>
        <v>06 ORL</v>
      </c>
      <c r="O1425" s="33" t="str">
        <f ca="1">IFERROR(__xludf.DUMMYFUNCTION("""COMPUTED_VALUE"""),"Dr, Ernesto Varela Martínez")</f>
        <v>Dr, Ernesto Varela Martínez</v>
      </c>
      <c r="P1425" s="33" t="str">
        <f ca="1">IFERROR(__xludf.DUMMYFUNCTION("""COMPUTED_VALUE"""),"Roberto Pereira (Galicia)")</f>
        <v>Roberto Pereira (Galicia)</v>
      </c>
    </row>
    <row r="1426" spans="2:16">
      <c r="B1426" s="33">
        <f ca="1">IFERROR(__xludf.DUMMYFUNCTION("""COMPUTED_VALUE"""),2025)</f>
        <v>2025</v>
      </c>
      <c r="C1426" s="33">
        <f ca="1">IFERROR(__xludf.DUMMYFUNCTION("""COMPUTED_VALUE"""),11)</f>
        <v>11</v>
      </c>
      <c r="D1426" s="33" t="str">
        <f ca="1">IFERROR(__xludf.DUMMYFUNCTION("""COMPUTED_VALUE"""),"NO")</f>
        <v>NO</v>
      </c>
      <c r="E1426" s="33" t="str">
        <f ca="1">IFERROR(__xludf.DUMMYFUNCTION("""COMPUTED_VALUE"""),"Cáceres")</f>
        <v>Cáceres</v>
      </c>
      <c r="F1426" s="57">
        <f ca="1">IFERROR(__xludf.DUMMYFUNCTION("""COMPUTED_VALUE"""),45971)</f>
        <v>45971</v>
      </c>
      <c r="G1426" s="57">
        <f ca="1">IFERROR(__xludf.DUMMYFUNCTION("""COMPUTED_VALUE"""),45961)</f>
        <v>45961</v>
      </c>
      <c r="H1426" s="33" t="str">
        <f ca="1">IFERROR(__xludf.DUMMYFUNCTION("""COMPUTED_VALUE"""),"Cáceres")</f>
        <v>Cáceres</v>
      </c>
      <c r="I1426" s="33" t="str">
        <f ca="1">IFERROR(__xludf.DUMMYFUNCTION("""COMPUTED_VALUE"""),"CAC-436")</f>
        <v>CAC-436</v>
      </c>
      <c r="J1426" s="33" t="str">
        <f ca="1">IFERROR(__xludf.DUMMYFUNCTION("""COMPUTED_VALUE"""),"MARIA FRANCISCA MANCEBO BECERRO")</f>
        <v>MARIA FRANCISCA MANCEBO BECERRO</v>
      </c>
      <c r="K1426" s="33">
        <f ca="1">IFERROR(__xludf.DUMMYFUNCTION("""COMPUTED_VALUE"""),2)</f>
        <v>2</v>
      </c>
      <c r="L1426" s="203">
        <f ca="1">IFERROR(__xludf.DUMMYFUNCTION("""COMPUTED_VALUE"""),3583.64)</f>
        <v>3583.64</v>
      </c>
      <c r="M1426" s="33" t="str">
        <f ca="1">IFERROR(__xludf.DUMMYFUNCTION("""COMPUTED_VALUE"""),"03 ORL")</f>
        <v>03 ORL</v>
      </c>
      <c r="N1426" s="33" t="str">
        <f ca="1">IFERROR(__xludf.DUMMYFUNCTION("""COMPUTED_VALUE"""),"06 ORL")</f>
        <v>06 ORL</v>
      </c>
      <c r="O1426" s="33" t="str">
        <f ca="1">IFERROR(__xludf.DUMMYFUNCTION("""COMPUTED_VALUE"""),"Dra, Marta García Jiménez")</f>
        <v>Dra, Marta García Jiménez</v>
      </c>
      <c r="P1426" s="33" t="str">
        <f ca="1">IFERROR(__xludf.DUMMYFUNCTION("""COMPUTED_VALUE"""),"Lisandro Russian (Madrid, Cáceres, Toledo, Talavera Y Logroño)")</f>
        <v>Lisandro Russian (Madrid, Cáceres, Toledo, Talavera Y Logroño)</v>
      </c>
    </row>
    <row r="1427" spans="2:16">
      <c r="B1427" s="33">
        <f ca="1">IFERROR(__xludf.DUMMYFUNCTION("""COMPUTED_VALUE"""),2025)</f>
        <v>2025</v>
      </c>
      <c r="C1427" s="33">
        <f ca="1">IFERROR(__xludf.DUMMYFUNCTION("""COMPUTED_VALUE"""),11)</f>
        <v>11</v>
      </c>
      <c r="D1427" s="33" t="str">
        <f ca="1">IFERROR(__xludf.DUMMYFUNCTION("""COMPUTED_VALUE"""),"NO")</f>
        <v>NO</v>
      </c>
      <c r="E1427" s="33" t="str">
        <f ca="1">IFERROR(__xludf.DUMMYFUNCTION("""COMPUTED_VALUE"""),"Jerez de la Frontera")</f>
        <v>Jerez de la Frontera</v>
      </c>
      <c r="F1427" s="57">
        <f ca="1">IFERROR(__xludf.DUMMYFUNCTION("""COMPUTED_VALUE"""),45971)</f>
        <v>45971</v>
      </c>
      <c r="G1427" s="57">
        <f ca="1">IFERROR(__xludf.DUMMYFUNCTION("""COMPUTED_VALUE"""),45846)</f>
        <v>45846</v>
      </c>
      <c r="H1427" s="33" t="str">
        <f ca="1">IFERROR(__xludf.DUMMYFUNCTION("""COMPUTED_VALUE"""),"Jerez")</f>
        <v>Jerez</v>
      </c>
      <c r="I1427" s="33" t="str">
        <f ca="1">IFERROR(__xludf.DUMMYFUNCTION("""COMPUTED_VALUE"""),"C202579125431219")</f>
        <v>C202579125431219</v>
      </c>
      <c r="J1427" s="33" t="str">
        <f ca="1">IFERROR(__xludf.DUMMYFUNCTION("""COMPUTED_VALUE"""),"MARIA JESUS VALLEJO GALVEZ")</f>
        <v>MARIA JESUS VALLEJO GALVEZ</v>
      </c>
      <c r="K1427" s="33">
        <f ca="1">IFERROR(__xludf.DUMMYFUNCTION("""COMPUTED_VALUE"""),2)</f>
        <v>2</v>
      </c>
      <c r="L1427" s="203">
        <f ca="1">IFERROR(__xludf.DUMMYFUNCTION("""COMPUTED_VALUE"""),4000)</f>
        <v>4000</v>
      </c>
      <c r="M1427" s="33" t="str">
        <f ca="1">IFERROR(__xludf.DUMMYFUNCTION("""COMPUTED_VALUE"""),"03 ORL")</f>
        <v>03 ORL</v>
      </c>
      <c r="N1427" s="33" t="str">
        <f ca="1">IFERROR(__xludf.DUMMYFUNCTION("""COMPUTED_VALUE"""),"06 ORL")</f>
        <v>06 ORL</v>
      </c>
      <c r="O1427" s="33" t="str">
        <f ca="1">IFERROR(__xludf.DUMMYFUNCTION("""COMPUTED_VALUE"""),"Dra, Maria Del Carmen Salom Coveñas")</f>
        <v>Dra, Maria Del Carmen Salom Coveñas</v>
      </c>
      <c r="P1427" s="33" t="str">
        <f ca="1">IFERROR(__xludf.DUMMYFUNCTION("""COMPUTED_VALUE"""),"Luis Alberto Rodríguez (Andalucía y Badajoz)")</f>
        <v>Luis Alberto Rodríguez (Andalucía y Badajoz)</v>
      </c>
    </row>
    <row r="1428" spans="2:16">
      <c r="B1428" s="33">
        <f ca="1">IFERROR(__xludf.DUMMYFUNCTION("""COMPUTED_VALUE"""),2025)</f>
        <v>2025</v>
      </c>
      <c r="C1428" s="33">
        <f ca="1">IFERROR(__xludf.DUMMYFUNCTION("""COMPUTED_VALUE"""),11)</f>
        <v>11</v>
      </c>
      <c r="D1428" s="33" t="str">
        <f ca="1">IFERROR(__xludf.DUMMYFUNCTION("""COMPUTED_VALUE"""),"NO")</f>
        <v>NO</v>
      </c>
      <c r="E1428" s="33" t="str">
        <f ca="1">IFERROR(__xludf.DUMMYFUNCTION("""COMPUTED_VALUE"""),"Valencia- Cádiz")</f>
        <v>Valencia- Cádiz</v>
      </c>
      <c r="F1428" s="57">
        <f ca="1">IFERROR(__xludf.DUMMYFUNCTION("""COMPUTED_VALUE"""),45971)</f>
        <v>45971</v>
      </c>
      <c r="G1428" s="57">
        <f ca="1">IFERROR(__xludf.DUMMYFUNCTION("""COMPUTED_VALUE"""),45937)</f>
        <v>45937</v>
      </c>
      <c r="H1428" s="33" t="str">
        <f ca="1">IFERROR(__xludf.DUMMYFUNCTION("""COMPUTED_VALUE"""),"Valencia- Cádiz")</f>
        <v>Valencia- Cádiz</v>
      </c>
      <c r="I1428" s="33" t="str">
        <f ca="1">IFERROR(__xludf.DUMMYFUNCTION("""COMPUTED_VALUE"""),"C2025102012109252")</f>
        <v>C2025102012109252</v>
      </c>
      <c r="J1428" s="33" t="str">
        <f ca="1">IFERROR(__xludf.DUMMYFUNCTION("""COMPUTED_VALUE"""),"MATILDE ALAMAR ORTIZ")</f>
        <v>MATILDE ALAMAR ORTIZ</v>
      </c>
      <c r="K1428" s="33">
        <f ca="1">IFERROR(__xludf.DUMMYFUNCTION("""COMPUTED_VALUE"""),2)</f>
        <v>2</v>
      </c>
      <c r="L1428" s="203">
        <f ca="1">IFERROR(__xludf.DUMMYFUNCTION("""COMPUTED_VALUE"""),3631.82)</f>
        <v>3631.82</v>
      </c>
      <c r="M1428" s="33" t="str">
        <f ca="1">IFERROR(__xludf.DUMMYFUNCTION("""COMPUTED_VALUE"""),"03 ORL")</f>
        <v>03 ORL</v>
      </c>
      <c r="N1428" s="33" t="str">
        <f ca="1">IFERROR(__xludf.DUMMYFUNCTION("""COMPUTED_VALUE"""),"06 ORL")</f>
        <v>06 ORL</v>
      </c>
      <c r="O1428" s="33" t="str">
        <f ca="1">IFERROR(__xludf.DUMMYFUNCTION("""COMPUTED_VALUE"""),"Dra, Celia López Molla")</f>
        <v>Dra, Celia López Molla</v>
      </c>
      <c r="P1428" s="33" t="str">
        <f ca="1">IFERROR(__xludf.DUMMYFUNCTION("""COMPUTED_VALUE"""),"Ramon Ferrando(Valencia)")</f>
        <v>Ramon Ferrando(Valencia)</v>
      </c>
    </row>
    <row r="1429" spans="2:16">
      <c r="B1429" s="33">
        <f ca="1">IFERROR(__xludf.DUMMYFUNCTION("""COMPUTED_VALUE"""),2025)</f>
        <v>2025</v>
      </c>
      <c r="C1429" s="33">
        <f ca="1">IFERROR(__xludf.DUMMYFUNCTION("""COMPUTED_VALUE"""),11)</f>
        <v>11</v>
      </c>
      <c r="D1429" s="33" t="str">
        <f ca="1">IFERROR(__xludf.DUMMYFUNCTION("""COMPUTED_VALUE"""),"NO")</f>
        <v>NO</v>
      </c>
      <c r="E1429" s="33" t="str">
        <f ca="1">IFERROR(__xludf.DUMMYFUNCTION("""COMPUTED_VALUE"""),"San Javier")</f>
        <v>San Javier</v>
      </c>
      <c r="F1429" s="57">
        <f ca="1">IFERROR(__xludf.DUMMYFUNCTION("""COMPUTED_VALUE"""),45971)</f>
        <v>45971</v>
      </c>
      <c r="G1429" s="57">
        <f ca="1">IFERROR(__xludf.DUMMYFUNCTION("""COMPUTED_VALUE"""),45950)</f>
        <v>45950</v>
      </c>
      <c r="H1429" s="33" t="str">
        <f ca="1">IFERROR(__xludf.DUMMYFUNCTION("""COMPUTED_VALUE"""),"San Javier")</f>
        <v>San Javier</v>
      </c>
      <c r="I1429" s="33" t="str">
        <f ca="1">IFERROR(__xludf.DUMMYFUNCTION("""COMPUTED_VALUE"""),"C202510209125258710")</f>
        <v>C202510209125258710</v>
      </c>
      <c r="J1429" s="33" t="str">
        <f ca="1">IFERROR(__xludf.DUMMYFUNCTION("""COMPUTED_VALUE"""),"ERNESTA MARTINEZ MEROÑO")</f>
        <v>ERNESTA MARTINEZ MEROÑO</v>
      </c>
      <c r="K1429" s="33">
        <f ca="1">IFERROR(__xludf.DUMMYFUNCTION("""COMPUTED_VALUE"""),2)</f>
        <v>2</v>
      </c>
      <c r="L1429" s="203">
        <f ca="1">IFERROR(__xludf.DUMMYFUNCTION("""COMPUTED_VALUE"""),2718.18)</f>
        <v>2718.18</v>
      </c>
      <c r="M1429" s="33" t="str">
        <f ca="1">IFERROR(__xludf.DUMMYFUNCTION("""COMPUTED_VALUE"""),"03 ORL")</f>
        <v>03 ORL</v>
      </c>
      <c r="N1429" s="33" t="str">
        <f ca="1">IFERROR(__xludf.DUMMYFUNCTION("""COMPUTED_VALUE"""),"06 ORL")</f>
        <v>06 ORL</v>
      </c>
      <c r="O1429" s="33" t="str">
        <f ca="1">IFERROR(__xludf.DUMMYFUNCTION("""COMPUTED_VALUE"""),"Dra, Ana Giribet Fernández-Pacheco")</f>
        <v>Dra, Ana Giribet Fernández-Pacheco</v>
      </c>
      <c r="P1429" s="33" t="str">
        <f ca="1">IFERROR(__xludf.DUMMYFUNCTION("""COMPUTED_VALUE"""),"Iván Sánchez (Levante Y Albacete)")</f>
        <v>Iván Sánchez (Levante Y Albacete)</v>
      </c>
    </row>
    <row r="1430" spans="2:16">
      <c r="B1430" s="33">
        <f ca="1">IFERROR(__xludf.DUMMYFUNCTION("""COMPUTED_VALUE"""),2025)</f>
        <v>2025</v>
      </c>
      <c r="C1430" s="33">
        <f ca="1">IFERROR(__xludf.DUMMYFUNCTION("""COMPUTED_VALUE"""),11)</f>
        <v>11</v>
      </c>
      <c r="D1430" s="33" t="str">
        <f ca="1">IFERROR(__xludf.DUMMYFUNCTION("""COMPUTED_VALUE"""),"NO")</f>
        <v>NO</v>
      </c>
      <c r="E1430" s="33" t="str">
        <f ca="1">IFERROR(__xludf.DUMMYFUNCTION("""COMPUTED_VALUE"""),"Getafe")</f>
        <v>Getafe</v>
      </c>
      <c r="F1430" s="57">
        <f ca="1">IFERROR(__xludf.DUMMYFUNCTION("""COMPUTED_VALUE"""),45971)</f>
        <v>45971</v>
      </c>
      <c r="G1430" s="57">
        <f ca="1">IFERROR(__xludf.DUMMYFUNCTION("""COMPUTED_VALUE"""),45933)</f>
        <v>45933</v>
      </c>
      <c r="H1430" s="33" t="str">
        <f ca="1">IFERROR(__xludf.DUMMYFUNCTION("""COMPUTED_VALUE"""),"Getafe")</f>
        <v>Getafe</v>
      </c>
      <c r="I1430" s="33" t="str">
        <f ca="1">IFERROR(__xludf.DUMMYFUNCTION("""COMPUTED_VALUE"""),"C2025103124219231")</f>
        <v>C2025103124219231</v>
      </c>
      <c r="J1430" s="33" t="str">
        <f ca="1">IFERROR(__xludf.DUMMYFUNCTION("""COMPUTED_VALUE"""),"AUGUSTO REGIDOR MARTÍN")</f>
        <v>AUGUSTO REGIDOR MARTÍN</v>
      </c>
      <c r="K1430" s="33">
        <f ca="1">IFERROR(__xludf.DUMMYFUNCTION("""COMPUTED_VALUE"""),2)</f>
        <v>2</v>
      </c>
      <c r="L1430" s="203">
        <f ca="1">IFERROR(__xludf.DUMMYFUNCTION("""COMPUTED_VALUE"""),2627.27)</f>
        <v>2627.27</v>
      </c>
      <c r="M1430" s="33" t="str">
        <f ca="1">IFERROR(__xludf.DUMMYFUNCTION("""COMPUTED_VALUE"""),"03 ORL")</f>
        <v>03 ORL</v>
      </c>
      <c r="N1430" s="33" t="str">
        <f ca="1">IFERROR(__xludf.DUMMYFUNCTION("""COMPUTED_VALUE"""),"06 ORL")</f>
        <v>06 ORL</v>
      </c>
      <c r="O1430" s="33" t="str">
        <f ca="1">IFERROR(__xludf.DUMMYFUNCTION("""COMPUTED_VALUE"""),"Dr, Daniel Moreno Jimenez")</f>
        <v>Dr, Daniel Moreno Jimenez</v>
      </c>
      <c r="P1430" s="33" t="str">
        <f ca="1">IFERROR(__xludf.DUMMYFUNCTION("""COMPUTED_VALUE"""),"Maika Blázquez (Madrid)")</f>
        <v>Maika Blázquez (Madrid)</v>
      </c>
    </row>
    <row r="1431" spans="2:16">
      <c r="B1431" s="33">
        <f ca="1">IFERROR(__xludf.DUMMYFUNCTION("""COMPUTED_VALUE"""),2025)</f>
        <v>2025</v>
      </c>
      <c r="C1431" s="33">
        <f ca="1">IFERROR(__xludf.DUMMYFUNCTION("""COMPUTED_VALUE"""),11)</f>
        <v>11</v>
      </c>
      <c r="D1431" s="33" t="str">
        <f ca="1">IFERROR(__xludf.DUMMYFUNCTION("""COMPUTED_VALUE"""),"NO")</f>
        <v>NO</v>
      </c>
      <c r="E1431" s="33" t="str">
        <f ca="1">IFERROR(__xludf.DUMMYFUNCTION("""COMPUTED_VALUE"""),"Valencia- Cádiz")</f>
        <v>Valencia- Cádiz</v>
      </c>
      <c r="F1431" s="57">
        <f ca="1">IFERROR(__xludf.DUMMYFUNCTION("""COMPUTED_VALUE"""),45971)</f>
        <v>45971</v>
      </c>
      <c r="G1431" s="57">
        <f ca="1">IFERROR(__xludf.DUMMYFUNCTION("""COMPUTED_VALUE"""),45793)</f>
        <v>45793</v>
      </c>
      <c r="H1431" s="33" t="str">
        <f ca="1">IFERROR(__xludf.DUMMYFUNCTION("""COMPUTED_VALUE"""),"Valencia- Cádiz")</f>
        <v>Valencia- Cádiz</v>
      </c>
      <c r="I1431" s="33" t="str">
        <f ca="1">IFERROR(__xludf.DUMMYFUNCTION("""COMPUTED_VALUE"""),"C202564122949333")</f>
        <v>C202564122949333</v>
      </c>
      <c r="J1431" s="33" t="str">
        <f ca="1">IFERROR(__xludf.DUMMYFUNCTION("""COMPUTED_VALUE"""),"JULIAN GARCIA BERNAT")</f>
        <v>JULIAN GARCIA BERNAT</v>
      </c>
      <c r="K1431" s="33">
        <f ca="1">IFERROR(__xludf.DUMMYFUNCTION("""COMPUTED_VALUE"""),2)</f>
        <v>2</v>
      </c>
      <c r="L1431" s="203">
        <f ca="1">IFERROR(__xludf.DUMMYFUNCTION("""COMPUTED_VALUE"""),2718.18)</f>
        <v>2718.18</v>
      </c>
      <c r="M1431" s="33" t="str">
        <f ca="1">IFERROR(__xludf.DUMMYFUNCTION("""COMPUTED_VALUE"""),"03 ORL")</f>
        <v>03 ORL</v>
      </c>
      <c r="N1431" s="33" t="str">
        <f ca="1">IFERROR(__xludf.DUMMYFUNCTION("""COMPUTED_VALUE"""),"06 ORL")</f>
        <v>06 ORL</v>
      </c>
      <c r="O1431" s="33" t="str">
        <f ca="1">IFERROR(__xludf.DUMMYFUNCTION("""COMPUTED_VALUE"""),"Dr, Raimon García Chillerón")</f>
        <v>Dr, Raimon García Chillerón</v>
      </c>
      <c r="P1431" s="33" t="str">
        <f ca="1">IFERROR(__xludf.DUMMYFUNCTION("""COMPUTED_VALUE"""),"Ramon Ferrando(Valencia)")</f>
        <v>Ramon Ferrando(Valencia)</v>
      </c>
    </row>
    <row r="1432" spans="2:16">
      <c r="B1432" s="33">
        <f ca="1">IFERROR(__xludf.DUMMYFUNCTION("""COMPUTED_VALUE"""),2025)</f>
        <v>2025</v>
      </c>
      <c r="C1432" s="33">
        <f ca="1">IFERROR(__xludf.DUMMYFUNCTION("""COMPUTED_VALUE"""),11)</f>
        <v>11</v>
      </c>
      <c r="D1432" s="33" t="str">
        <f ca="1">IFERROR(__xludf.DUMMYFUNCTION("""COMPUTED_VALUE"""),"NO")</f>
        <v>NO</v>
      </c>
      <c r="E1432" s="33" t="str">
        <f ca="1">IFERROR(__xludf.DUMMYFUNCTION("""COMPUTED_VALUE"""),"Fuenlabrada")</f>
        <v>Fuenlabrada</v>
      </c>
      <c r="F1432" s="57">
        <f ca="1">IFERROR(__xludf.DUMMYFUNCTION("""COMPUTED_VALUE"""),45971)</f>
        <v>45971</v>
      </c>
      <c r="G1432" s="57">
        <f ca="1">IFERROR(__xludf.DUMMYFUNCTION("""COMPUTED_VALUE"""),45950)</f>
        <v>45950</v>
      </c>
      <c r="H1432" s="33" t="str">
        <f ca="1">IFERROR(__xludf.DUMMYFUNCTION("""COMPUTED_VALUE"""),"Fuenlabrada")</f>
        <v>Fuenlabrada</v>
      </c>
      <c r="I1432" s="33" t="str">
        <f ca="1">IFERROR(__xludf.DUMMYFUNCTION("""COMPUTED_VALUE"""),"C202510201028554839")</f>
        <v>C202510201028554839</v>
      </c>
      <c r="J1432" s="33" t="str">
        <f ca="1">IFERROR(__xludf.DUMMYFUNCTION("""COMPUTED_VALUE"""),"AMELIA PEREZ GOMEZ")</f>
        <v>AMELIA PEREZ GOMEZ</v>
      </c>
      <c r="K1432" s="33">
        <f ca="1">IFERROR(__xludf.DUMMYFUNCTION("""COMPUTED_VALUE"""),1)</f>
        <v>1</v>
      </c>
      <c r="L1432" s="203">
        <f ca="1">IFERROR(__xludf.DUMMYFUNCTION("""COMPUTED_VALUE"""),2400)</f>
        <v>2400</v>
      </c>
      <c r="M1432" s="33" t="str">
        <f ca="1">IFERROR(__xludf.DUMMYFUNCTION("""COMPUTED_VALUE"""),"01 MARKETING ON LINE")</f>
        <v>01 MARKETING ON LINE</v>
      </c>
      <c r="N1432" s="33" t="str">
        <f ca="1">IFERROR(__xludf.DUMMYFUNCTION("""COMPUTED_VALUE"""),"04 AUDIFONO,ES")</f>
        <v>04 AUDIFONO,ES</v>
      </c>
      <c r="O1432" s="33" t="str">
        <f ca="1">IFERROR(__xludf.DUMMYFUNCTION("""COMPUTED_VALUE"""),"Dra, María Teresa Herrera Mera")</f>
        <v>Dra, María Teresa Herrera Mera</v>
      </c>
      <c r="P1432" s="33" t="str">
        <f ca="1">IFERROR(__xludf.DUMMYFUNCTION("""COMPUTED_VALUE"""),"Maika Blázquez (Madrid)")</f>
        <v>Maika Blázquez (Madrid)</v>
      </c>
    </row>
    <row r="1433" spans="2:16">
      <c r="B1433" s="33">
        <f ca="1">IFERROR(__xludf.DUMMYFUNCTION("""COMPUTED_VALUE"""),2025)</f>
        <v>2025</v>
      </c>
      <c r="C1433" s="33">
        <f ca="1">IFERROR(__xludf.DUMMYFUNCTION("""COMPUTED_VALUE"""),11)</f>
        <v>11</v>
      </c>
      <c r="D1433" s="33" t="str">
        <f ca="1">IFERROR(__xludf.DUMMYFUNCTION("""COMPUTED_VALUE"""),"NO")</f>
        <v>NO</v>
      </c>
      <c r="E1433" s="33" t="str">
        <f ca="1">IFERROR(__xludf.DUMMYFUNCTION("""COMPUTED_VALUE"""),"Alicante")</f>
        <v>Alicante</v>
      </c>
      <c r="F1433" s="57">
        <f ca="1">IFERROR(__xludf.DUMMYFUNCTION("""COMPUTED_VALUE"""),45971)</f>
        <v>45971</v>
      </c>
      <c r="G1433" s="57">
        <f ca="1">IFERROR(__xludf.DUMMYFUNCTION("""COMPUTED_VALUE"""),45938)</f>
        <v>45938</v>
      </c>
      <c r="H1433" s="33" t="str">
        <f ca="1">IFERROR(__xludf.DUMMYFUNCTION("""COMPUTED_VALUE"""),"Alicante")</f>
        <v>Alicante</v>
      </c>
      <c r="I1433" s="33" t="str">
        <f ca="1">IFERROR(__xludf.DUMMYFUNCTION("""COMPUTED_VALUE"""),"C20251015155830172")</f>
        <v>C20251015155830172</v>
      </c>
      <c r="J1433" s="33" t="str">
        <f ca="1">IFERROR(__xludf.DUMMYFUNCTION("""COMPUTED_VALUE"""),"ARMANDO CAMPOS MATAIX")</f>
        <v>ARMANDO CAMPOS MATAIX</v>
      </c>
      <c r="K1433" s="33">
        <f ca="1">IFERROR(__xludf.DUMMYFUNCTION("""COMPUTED_VALUE"""),2)</f>
        <v>2</v>
      </c>
      <c r="L1433" s="203">
        <f ca="1">IFERROR(__xludf.DUMMYFUNCTION("""COMPUTED_VALUE"""),3450.23)</f>
        <v>3450.23</v>
      </c>
      <c r="M1433" s="33" t="str">
        <f ca="1">IFERROR(__xludf.DUMMYFUNCTION("""COMPUTED_VALUE"""),"03 ORL")</f>
        <v>03 ORL</v>
      </c>
      <c r="N1433" s="33" t="str">
        <f ca="1">IFERROR(__xludf.DUMMYFUNCTION("""COMPUTED_VALUE"""),"06 ORL")</f>
        <v>06 ORL</v>
      </c>
      <c r="O1433" s="33" t="str">
        <f ca="1">IFERROR(__xludf.DUMMYFUNCTION("""COMPUTED_VALUE"""),"Dr, Alfonso Aracil Montesinos")</f>
        <v>Dr, Alfonso Aracil Montesinos</v>
      </c>
      <c r="P1433" s="33" t="str">
        <f ca="1">IFERROR(__xludf.DUMMYFUNCTION("""COMPUTED_VALUE"""),"Iván Sánchez (Levante Y Albacete)")</f>
        <v>Iván Sánchez (Levante Y Albacete)</v>
      </c>
    </row>
    <row r="1434" spans="2:16">
      <c r="B1434" s="33">
        <f ca="1">IFERROR(__xludf.DUMMYFUNCTION("""COMPUTED_VALUE"""),2025)</f>
        <v>2025</v>
      </c>
      <c r="C1434" s="33">
        <f ca="1">IFERROR(__xludf.DUMMYFUNCTION("""COMPUTED_VALUE"""),11)</f>
        <v>11</v>
      </c>
      <c r="D1434" s="33" t="str">
        <f ca="1">IFERROR(__xludf.DUMMYFUNCTION("""COMPUTED_VALUE"""),"NO")</f>
        <v>NO</v>
      </c>
      <c r="E1434" s="33" t="str">
        <f ca="1">IFERROR(__xludf.DUMMYFUNCTION("""COMPUTED_VALUE"""),"Cáceres")</f>
        <v>Cáceres</v>
      </c>
      <c r="F1434" s="57">
        <f ca="1">IFERROR(__xludf.DUMMYFUNCTION("""COMPUTED_VALUE"""),45972)</f>
        <v>45972</v>
      </c>
      <c r="G1434" s="57">
        <f ca="1">IFERROR(__xludf.DUMMYFUNCTION("""COMPUTED_VALUE"""),45931)</f>
        <v>45931</v>
      </c>
      <c r="H1434" s="33" t="str">
        <f ca="1">IFERROR(__xludf.DUMMYFUNCTION("""COMPUTED_VALUE"""),"Cáceres")</f>
        <v>Cáceres</v>
      </c>
      <c r="I1434" s="33" t="str">
        <f ca="1">IFERROR(__xludf.DUMMYFUNCTION("""COMPUTED_VALUE"""),"CAC-407")</f>
        <v>CAC-407</v>
      </c>
      <c r="J1434" s="33" t="str">
        <f ca="1">IFERROR(__xludf.DUMMYFUNCTION("""COMPUTED_VALUE"""),"RUFINA NAVAS FARIÑA")</f>
        <v>RUFINA NAVAS FARIÑA</v>
      </c>
      <c r="K1434" s="33">
        <f ca="1">IFERROR(__xludf.DUMMYFUNCTION("""COMPUTED_VALUE"""),2)</f>
        <v>2</v>
      </c>
      <c r="L1434" s="203">
        <f ca="1">IFERROR(__xludf.DUMMYFUNCTION("""COMPUTED_VALUE"""),4045.45)</f>
        <v>4045.45</v>
      </c>
      <c r="M1434" s="33" t="str">
        <f ca="1">IFERROR(__xludf.DUMMYFUNCTION("""COMPUTED_VALUE"""),"03 ORL")</f>
        <v>03 ORL</v>
      </c>
      <c r="N1434" s="33" t="str">
        <f ca="1">IFERROR(__xludf.DUMMYFUNCTION("""COMPUTED_VALUE"""),"06 ORL")</f>
        <v>06 ORL</v>
      </c>
      <c r="O1434" s="33" t="str">
        <f ca="1">IFERROR(__xludf.DUMMYFUNCTION("""COMPUTED_VALUE"""),"Dr, Rafael Sanz Trenado")</f>
        <v>Dr, Rafael Sanz Trenado</v>
      </c>
      <c r="P1434" s="33" t="str">
        <f ca="1">IFERROR(__xludf.DUMMYFUNCTION("""COMPUTED_VALUE"""),"Lisandro Russian (Madrid, Cáceres, Toledo, Talavera Y Logroño)")</f>
        <v>Lisandro Russian (Madrid, Cáceres, Toledo, Talavera Y Logroño)</v>
      </c>
    </row>
    <row r="1435" spans="2:16">
      <c r="B1435" s="33">
        <f ca="1">IFERROR(__xludf.DUMMYFUNCTION("""COMPUTED_VALUE"""),2025)</f>
        <v>2025</v>
      </c>
      <c r="C1435" s="33">
        <f ca="1">IFERROR(__xludf.DUMMYFUNCTION("""COMPUTED_VALUE"""),11)</f>
        <v>11</v>
      </c>
      <c r="D1435" s="33" t="str">
        <f ca="1">IFERROR(__xludf.DUMMYFUNCTION("""COMPUTED_VALUE"""),"NO")</f>
        <v>NO</v>
      </c>
      <c r="E1435" s="33" t="str">
        <f ca="1">IFERROR(__xludf.DUMMYFUNCTION("""COMPUTED_VALUE"""),"Fuenlabrada")</f>
        <v>Fuenlabrada</v>
      </c>
      <c r="F1435" s="57">
        <f ca="1">IFERROR(__xludf.DUMMYFUNCTION("""COMPUTED_VALUE"""),45972)</f>
        <v>45972</v>
      </c>
      <c r="G1435" s="57">
        <f ca="1">IFERROR(__xludf.DUMMYFUNCTION("""COMPUTED_VALUE"""),45940)</f>
        <v>45940</v>
      </c>
      <c r="H1435" s="33" t="str">
        <f ca="1">IFERROR(__xludf.DUMMYFUNCTION("""COMPUTED_VALUE"""),"Fuenlabrada")</f>
        <v>Fuenlabrada</v>
      </c>
      <c r="I1435" s="33" t="str">
        <f ca="1">IFERROR(__xludf.DUMMYFUNCTION("""COMPUTED_VALUE"""),"C202510101237434996")</f>
        <v>C202510101237434996</v>
      </c>
      <c r="J1435" s="33" t="str">
        <f ca="1">IFERROR(__xludf.DUMMYFUNCTION("""COMPUTED_VALUE"""),"ANTONIO RAFAEL RUBIO-IGLESIAS TELLEZ")</f>
        <v>ANTONIO RAFAEL RUBIO-IGLESIAS TELLEZ</v>
      </c>
      <c r="K1435" s="33">
        <f ca="1">IFERROR(__xludf.DUMMYFUNCTION("""COMPUTED_VALUE"""),1)</f>
        <v>1</v>
      </c>
      <c r="L1435" s="203">
        <f ca="1">IFERROR(__xludf.DUMMYFUNCTION("""COMPUTED_VALUE"""),1631.82)</f>
        <v>1631.82</v>
      </c>
      <c r="M1435" s="33" t="str">
        <f ca="1">IFERROR(__xludf.DUMMYFUNCTION("""COMPUTED_VALUE"""),"03 ORL")</f>
        <v>03 ORL</v>
      </c>
      <c r="N1435" s="33" t="str">
        <f ca="1">IFERROR(__xludf.DUMMYFUNCTION("""COMPUTED_VALUE"""),"06 ORL")</f>
        <v>06 ORL</v>
      </c>
      <c r="O1435" s="33" t="str">
        <f ca="1">IFERROR(__xludf.DUMMYFUNCTION("""COMPUTED_VALUE"""),"Dra, Cristina García García")</f>
        <v>Dra, Cristina García García</v>
      </c>
      <c r="P1435" s="33" t="str">
        <f ca="1">IFERROR(__xludf.DUMMYFUNCTION("""COMPUTED_VALUE"""),"Maika Blázquez (Madrid)")</f>
        <v>Maika Blázquez (Madrid)</v>
      </c>
    </row>
    <row r="1436" spans="2:16">
      <c r="B1436" s="33">
        <f ca="1">IFERROR(__xludf.DUMMYFUNCTION("""COMPUTED_VALUE"""),2025)</f>
        <v>2025</v>
      </c>
      <c r="C1436" s="33">
        <f ca="1">IFERROR(__xludf.DUMMYFUNCTION("""COMPUTED_VALUE"""),11)</f>
        <v>11</v>
      </c>
      <c r="D1436" s="33" t="str">
        <f ca="1">IFERROR(__xludf.DUMMYFUNCTION("""COMPUTED_VALUE"""),"NO")</f>
        <v>NO</v>
      </c>
      <c r="E1436" s="33" t="str">
        <f ca="1">IFERROR(__xludf.DUMMYFUNCTION("""COMPUTED_VALUE"""),"Alcorcón")</f>
        <v>Alcorcón</v>
      </c>
      <c r="F1436" s="57">
        <f ca="1">IFERROR(__xludf.DUMMYFUNCTION("""COMPUTED_VALUE"""),45972)</f>
        <v>45972</v>
      </c>
      <c r="G1436" s="57">
        <f ca="1">IFERROR(__xludf.DUMMYFUNCTION("""COMPUTED_VALUE"""),45834)</f>
        <v>45834</v>
      </c>
      <c r="H1436" s="33" t="str">
        <f ca="1">IFERROR(__xludf.DUMMYFUNCTION("""COMPUTED_VALUE"""),"Alcorcón")</f>
        <v>Alcorcón</v>
      </c>
      <c r="I1436" s="33" t="str">
        <f ca="1">IFERROR(__xludf.DUMMYFUNCTION("""COMPUTED_VALUE"""),"C20257810516852")</f>
        <v>C20257810516852</v>
      </c>
      <c r="J1436" s="33" t="str">
        <f ca="1">IFERROR(__xludf.DUMMYFUNCTION("""COMPUTED_VALUE"""),"ALICIA FERNANDEZ FERNANDEZ")</f>
        <v>ALICIA FERNANDEZ FERNANDEZ</v>
      </c>
      <c r="K1436" s="33">
        <f ca="1">IFERROR(__xludf.DUMMYFUNCTION("""COMPUTED_VALUE"""),2)</f>
        <v>2</v>
      </c>
      <c r="L1436" s="203">
        <f ca="1">IFERROR(__xludf.DUMMYFUNCTION("""COMPUTED_VALUE"""),3929.55)</f>
        <v>3929.55</v>
      </c>
      <c r="M1436" s="33" t="str">
        <f ca="1">IFERROR(__xludf.DUMMYFUNCTION("""COMPUTED_VALUE"""),"02 MARKETING OFF LINE")</f>
        <v>02 MARKETING OFF LINE</v>
      </c>
      <c r="N1436" s="33" t="str">
        <f ca="1">IFERROR(__xludf.DUMMYFUNCTION("""COMPUTED_VALUE"""),"18 ESCAPARATE")</f>
        <v>18 ESCAPARATE</v>
      </c>
      <c r="O1436" s="33" t="str">
        <f ca="1">IFERROR(__xludf.DUMMYFUNCTION("""COMPUTED_VALUE"""),"No recuerda ORL")</f>
        <v>No recuerda ORL</v>
      </c>
      <c r="P1436" s="33" t="str">
        <f ca="1">IFERROR(__xludf.DUMMYFUNCTION("""COMPUTED_VALUE"""),"Maika Blázquez (Madrid)")</f>
        <v>Maika Blázquez (Madrid)</v>
      </c>
    </row>
    <row r="1437" spans="2:16">
      <c r="B1437" s="33">
        <f ca="1">IFERROR(__xludf.DUMMYFUNCTION("""COMPUTED_VALUE"""),2025)</f>
        <v>2025</v>
      </c>
      <c r="C1437" s="33">
        <f ca="1">IFERROR(__xludf.DUMMYFUNCTION("""COMPUTED_VALUE"""),11)</f>
        <v>11</v>
      </c>
      <c r="D1437" s="33" t="str">
        <f ca="1">IFERROR(__xludf.DUMMYFUNCTION("""COMPUTED_VALUE"""),"NO")</f>
        <v>NO</v>
      </c>
      <c r="E1437" s="33" t="str">
        <f ca="1">IFERROR(__xludf.DUMMYFUNCTION("""COMPUTED_VALUE"""),"Fuenlabrada")</f>
        <v>Fuenlabrada</v>
      </c>
      <c r="F1437" s="57">
        <f ca="1">IFERROR(__xludf.DUMMYFUNCTION("""COMPUTED_VALUE"""),45972)</f>
        <v>45972</v>
      </c>
      <c r="G1437" s="57">
        <f ca="1">IFERROR(__xludf.DUMMYFUNCTION("""COMPUTED_VALUE"""),45940)</f>
        <v>45940</v>
      </c>
      <c r="H1437" s="33" t="str">
        <f ca="1">IFERROR(__xludf.DUMMYFUNCTION("""COMPUTED_VALUE"""),"Fuenlabrada")</f>
        <v>Fuenlabrada</v>
      </c>
      <c r="I1437" s="33" t="str">
        <f ca="1">IFERROR(__xludf.DUMMYFUNCTION("""COMPUTED_VALUE"""),"C202510101150611649")</f>
        <v>C202510101150611649</v>
      </c>
      <c r="J1437" s="33" t="str">
        <f ca="1">IFERROR(__xludf.DUMMYFUNCTION("""COMPUTED_VALUE"""),"JUAN CARLOS ANILLO RIOS")</f>
        <v>JUAN CARLOS ANILLO RIOS</v>
      </c>
      <c r="K1437" s="33">
        <f ca="1">IFERROR(__xludf.DUMMYFUNCTION("""COMPUTED_VALUE"""),2)</f>
        <v>2</v>
      </c>
      <c r="L1437" s="203">
        <f ca="1">IFERROR(__xludf.DUMMYFUNCTION("""COMPUTED_VALUE"""),4136.36)</f>
        <v>4136.3599999999997</v>
      </c>
      <c r="M1437" s="33" t="str">
        <f ca="1">IFERROR(__xludf.DUMMYFUNCTION("""COMPUTED_VALUE"""),"03 ORL")</f>
        <v>03 ORL</v>
      </c>
      <c r="N1437" s="33" t="str">
        <f ca="1">IFERROR(__xludf.DUMMYFUNCTION("""COMPUTED_VALUE"""),"06 ORL")</f>
        <v>06 ORL</v>
      </c>
      <c r="O1437" s="33" t="str">
        <f ca="1">IFERROR(__xludf.DUMMYFUNCTION("""COMPUTED_VALUE"""),"Dr, Raimundo Andres Navarro Mediano")</f>
        <v>Dr, Raimundo Andres Navarro Mediano</v>
      </c>
      <c r="P1437" s="33" t="str">
        <f ca="1">IFERROR(__xludf.DUMMYFUNCTION("""COMPUTED_VALUE"""),"Maika Blázquez (Madrid)")</f>
        <v>Maika Blázquez (Madrid)</v>
      </c>
    </row>
    <row r="1438" spans="2:16">
      <c r="B1438" s="33">
        <f ca="1">IFERROR(__xludf.DUMMYFUNCTION("""COMPUTED_VALUE"""),2025)</f>
        <v>2025</v>
      </c>
      <c r="C1438" s="33">
        <f ca="1">IFERROR(__xludf.DUMMYFUNCTION("""COMPUTED_VALUE"""),11)</f>
        <v>11</v>
      </c>
      <c r="D1438" s="33" t="str">
        <f ca="1">IFERROR(__xludf.DUMMYFUNCTION("""COMPUTED_VALUE"""),"NO")</f>
        <v>NO</v>
      </c>
      <c r="E1438" s="33" t="str">
        <f ca="1">IFERROR(__xludf.DUMMYFUNCTION("""COMPUTED_VALUE"""),"Valencia- Cádiz")</f>
        <v>Valencia- Cádiz</v>
      </c>
      <c r="F1438" s="57">
        <f ca="1">IFERROR(__xludf.DUMMYFUNCTION("""COMPUTED_VALUE"""),45972)</f>
        <v>45972</v>
      </c>
      <c r="G1438" s="57">
        <f ca="1">IFERROR(__xludf.DUMMYFUNCTION("""COMPUTED_VALUE"""),45915)</f>
        <v>45915</v>
      </c>
      <c r="H1438" s="33" t="str">
        <f ca="1">IFERROR(__xludf.DUMMYFUNCTION("""COMPUTED_VALUE"""),"Valencia- Cádiz")</f>
        <v>Valencia- Cádiz</v>
      </c>
      <c r="I1438" s="33" t="str">
        <f ca="1">IFERROR(__xludf.DUMMYFUNCTION("""COMPUTED_VALUE"""),"C202592616346179")</f>
        <v>C202592616346179</v>
      </c>
      <c r="J1438" s="33" t="str">
        <f ca="1">IFERROR(__xludf.DUMMYFUNCTION("""COMPUTED_VALUE"""),"ANTONIO MARIN SIBAJAS")</f>
        <v>ANTONIO MARIN SIBAJAS</v>
      </c>
      <c r="K1438" s="33">
        <f ca="1">IFERROR(__xludf.DUMMYFUNCTION("""COMPUTED_VALUE"""),1)</f>
        <v>1</v>
      </c>
      <c r="L1438" s="203">
        <f ca="1">IFERROR(__xludf.DUMMYFUNCTION("""COMPUTED_VALUE"""),2180.91)</f>
        <v>2180.91</v>
      </c>
      <c r="M1438" s="33" t="str">
        <f ca="1">IFERROR(__xludf.DUMMYFUNCTION("""COMPUTED_VALUE"""),"03 ORL")</f>
        <v>03 ORL</v>
      </c>
      <c r="N1438" s="33" t="str">
        <f ca="1">IFERROR(__xludf.DUMMYFUNCTION("""COMPUTED_VALUE"""),"06 ORL")</f>
        <v>06 ORL</v>
      </c>
      <c r="O1438" s="33" t="str">
        <f ca="1">IFERROR(__xludf.DUMMYFUNCTION("""COMPUTED_VALUE"""),"Dr, José Ramiro de León Lima")</f>
        <v>Dr, José Ramiro de León Lima</v>
      </c>
      <c r="P1438" s="33" t="str">
        <f ca="1">IFERROR(__xludf.DUMMYFUNCTION("""COMPUTED_VALUE"""),"Ramon Ferrando(Valencia)")</f>
        <v>Ramon Ferrando(Valencia)</v>
      </c>
    </row>
    <row r="1439" spans="2:16">
      <c r="B1439" s="33">
        <f ca="1">IFERROR(__xludf.DUMMYFUNCTION("""COMPUTED_VALUE"""),2025)</f>
        <v>2025</v>
      </c>
      <c r="C1439" s="33">
        <f ca="1">IFERROR(__xludf.DUMMYFUNCTION("""COMPUTED_VALUE"""),11)</f>
        <v>11</v>
      </c>
      <c r="D1439" s="33" t="str">
        <f ca="1">IFERROR(__xludf.DUMMYFUNCTION("""COMPUTED_VALUE"""),"NO")</f>
        <v>NO</v>
      </c>
      <c r="E1439" s="33" t="str">
        <f ca="1">IFERROR(__xludf.DUMMYFUNCTION("""COMPUTED_VALUE"""),"Cáceres")</f>
        <v>Cáceres</v>
      </c>
      <c r="F1439" s="57">
        <f ca="1">IFERROR(__xludf.DUMMYFUNCTION("""COMPUTED_VALUE"""),45973)</f>
        <v>45973</v>
      </c>
      <c r="G1439" s="57">
        <f ca="1">IFERROR(__xludf.DUMMYFUNCTION("""COMPUTED_VALUE"""),45933)</f>
        <v>45933</v>
      </c>
      <c r="H1439" s="33" t="str">
        <f ca="1">IFERROR(__xludf.DUMMYFUNCTION("""COMPUTED_VALUE"""),"Cáceres")</f>
        <v>Cáceres</v>
      </c>
      <c r="I1439" s="33" t="str">
        <f ca="1">IFERROR(__xludf.DUMMYFUNCTION("""COMPUTED_VALUE"""),"CAC-410")</f>
        <v>CAC-410</v>
      </c>
      <c r="J1439" s="33" t="str">
        <f ca="1">IFERROR(__xludf.DUMMYFUNCTION("""COMPUTED_VALUE"""),"JOSE CARRERO ROMAN")</f>
        <v>JOSE CARRERO ROMAN</v>
      </c>
      <c r="K1439" s="33">
        <f ca="1">IFERROR(__xludf.DUMMYFUNCTION("""COMPUTED_VALUE"""),2)</f>
        <v>2</v>
      </c>
      <c r="L1439" s="203">
        <f ca="1">IFERROR(__xludf.DUMMYFUNCTION("""COMPUTED_VALUE"""),4203.64)</f>
        <v>4203.6400000000003</v>
      </c>
      <c r="M1439" s="33" t="str">
        <f ca="1">IFERROR(__xludf.DUMMYFUNCTION("""COMPUTED_VALUE"""),"03 ORL")</f>
        <v>03 ORL</v>
      </c>
      <c r="N1439" s="33" t="str">
        <f ca="1">IFERROR(__xludf.DUMMYFUNCTION("""COMPUTED_VALUE"""),"06 ORL")</f>
        <v>06 ORL</v>
      </c>
      <c r="O1439" s="33" t="str">
        <f ca="1">IFERROR(__xludf.DUMMYFUNCTION("""COMPUTED_VALUE"""),"Dra, Marta García Jiménez")</f>
        <v>Dra, Marta García Jiménez</v>
      </c>
      <c r="P1439" s="33" t="str">
        <f ca="1">IFERROR(__xludf.DUMMYFUNCTION("""COMPUTED_VALUE"""),"Lisandro Russian (Madrid, Cáceres, Toledo, Talavera Y Logroño)")</f>
        <v>Lisandro Russian (Madrid, Cáceres, Toledo, Talavera Y Logroño)</v>
      </c>
    </row>
    <row r="1440" spans="2:16">
      <c r="B1440" s="33">
        <f ca="1">IFERROR(__xludf.DUMMYFUNCTION("""COMPUTED_VALUE"""),2025)</f>
        <v>2025</v>
      </c>
      <c r="C1440" s="33">
        <f ca="1">IFERROR(__xludf.DUMMYFUNCTION("""COMPUTED_VALUE"""),11)</f>
        <v>11</v>
      </c>
      <c r="D1440" s="33" t="str">
        <f ca="1">IFERROR(__xludf.DUMMYFUNCTION("""COMPUTED_VALUE"""),"NO")</f>
        <v>NO</v>
      </c>
      <c r="E1440" s="33" t="str">
        <f ca="1">IFERROR(__xludf.DUMMYFUNCTION("""COMPUTED_VALUE"""),"Palencia")</f>
        <v>Palencia</v>
      </c>
      <c r="F1440" s="57">
        <f ca="1">IFERROR(__xludf.DUMMYFUNCTION("""COMPUTED_VALUE"""),45973)</f>
        <v>45973</v>
      </c>
      <c r="G1440" s="57">
        <f ca="1">IFERROR(__xludf.DUMMYFUNCTION("""COMPUTED_VALUE"""),45917)</f>
        <v>45917</v>
      </c>
      <c r="H1440" s="33" t="str">
        <f ca="1">IFERROR(__xludf.DUMMYFUNCTION("""COMPUTED_VALUE"""),"Palencia")</f>
        <v>Palencia</v>
      </c>
      <c r="I1440" s="33" t="str">
        <f ca="1">IFERROR(__xludf.DUMMYFUNCTION("""COMPUTED_VALUE"""),"C2025917115836615")</f>
        <v>C2025917115836615</v>
      </c>
      <c r="J1440" s="33" t="str">
        <f ca="1">IFERROR(__xludf.DUMMYFUNCTION("""COMPUTED_VALUE"""),"LUCINIO MORATE LASO")</f>
        <v>LUCINIO MORATE LASO</v>
      </c>
      <c r="K1440" s="33">
        <f ca="1">IFERROR(__xludf.DUMMYFUNCTION("""COMPUTED_VALUE"""),2)</f>
        <v>2</v>
      </c>
      <c r="L1440" s="203">
        <f ca="1">IFERROR(__xludf.DUMMYFUNCTION("""COMPUTED_VALUE"""),3631.81)</f>
        <v>3631.81</v>
      </c>
      <c r="M1440" s="33" t="str">
        <f ca="1">IFERROR(__xludf.DUMMYFUNCTION("""COMPUTED_VALUE"""),"03 ORL")</f>
        <v>03 ORL</v>
      </c>
      <c r="N1440" s="33" t="str">
        <f ca="1">IFERROR(__xludf.DUMMYFUNCTION("""COMPUTED_VALUE"""),"06 ORL")</f>
        <v>06 ORL</v>
      </c>
      <c r="O1440" s="33" t="str">
        <f ca="1">IFERROR(__xludf.DUMMYFUNCTION("""COMPUTED_VALUE"""),"Dr, Carlos Miguel Salvador Martínez")</f>
        <v>Dr, Carlos Miguel Salvador Martínez</v>
      </c>
      <c r="P1440" s="33" t="str">
        <f ca="1">IFERROR(__xludf.DUMMYFUNCTION("""COMPUTED_VALUE"""),"Alberto Moreno (Madrid)")</f>
        <v>Alberto Moreno (Madrid)</v>
      </c>
    </row>
    <row r="1441" spans="2:16">
      <c r="B1441" s="33">
        <f ca="1">IFERROR(__xludf.DUMMYFUNCTION("""COMPUTED_VALUE"""),2025)</f>
        <v>2025</v>
      </c>
      <c r="C1441" s="33">
        <f ca="1">IFERROR(__xludf.DUMMYFUNCTION("""COMPUTED_VALUE"""),11)</f>
        <v>11</v>
      </c>
      <c r="D1441" s="33" t="str">
        <f ca="1">IFERROR(__xludf.DUMMYFUNCTION("""COMPUTED_VALUE"""),"NO")</f>
        <v>NO</v>
      </c>
      <c r="E1441" s="33" t="str">
        <f ca="1">IFERROR(__xludf.DUMMYFUNCTION("""COMPUTED_VALUE"""),"Alcorcón")</f>
        <v>Alcorcón</v>
      </c>
      <c r="F1441" s="57">
        <f ca="1">IFERROR(__xludf.DUMMYFUNCTION("""COMPUTED_VALUE"""),45973)</f>
        <v>45973</v>
      </c>
      <c r="G1441" s="57">
        <f ca="1">IFERROR(__xludf.DUMMYFUNCTION("""COMPUTED_VALUE"""),45915)</f>
        <v>45915</v>
      </c>
      <c r="H1441" s="33" t="str">
        <f ca="1">IFERROR(__xludf.DUMMYFUNCTION("""COMPUTED_VALUE"""),"Alcorcón")</f>
        <v>Alcorcón</v>
      </c>
      <c r="I1441" s="33" t="str">
        <f ca="1">IFERROR(__xludf.DUMMYFUNCTION("""COMPUTED_VALUE"""),"C2025922152058569")</f>
        <v>C2025922152058569</v>
      </c>
      <c r="J1441" s="33" t="str">
        <f ca="1">IFERROR(__xludf.DUMMYFUNCTION("""COMPUTED_VALUE"""),"VALENTIN  SIMON GONZALEZ")</f>
        <v>VALENTIN  SIMON GONZALEZ</v>
      </c>
      <c r="K1441" s="33">
        <f ca="1">IFERROR(__xludf.DUMMYFUNCTION("""COMPUTED_VALUE"""),2)</f>
        <v>2</v>
      </c>
      <c r="L1441" s="203">
        <f ca="1">IFERROR(__xludf.DUMMYFUNCTION("""COMPUTED_VALUE"""),3631.82)</f>
        <v>3631.82</v>
      </c>
      <c r="M1441" s="33" t="str">
        <f ca="1">IFERROR(__xludf.DUMMYFUNCTION("""COMPUTED_VALUE"""),"03 ORL")</f>
        <v>03 ORL</v>
      </c>
      <c r="N1441" s="33" t="str">
        <f ca="1">IFERROR(__xludf.DUMMYFUNCTION("""COMPUTED_VALUE"""),"06 ORL")</f>
        <v>06 ORL</v>
      </c>
      <c r="O1441" s="33" t="str">
        <f ca="1">IFERROR(__xludf.DUMMYFUNCTION("""COMPUTED_VALUE"""),"Dr, Álvaro Sánchez Álvarez")</f>
        <v>Dr, Álvaro Sánchez Álvarez</v>
      </c>
      <c r="P1441" s="33" t="str">
        <f ca="1">IFERROR(__xludf.DUMMYFUNCTION("""COMPUTED_VALUE"""),"Lisandro Russian (Madrid, Cáceres, Toledo, Talavera Y Logroño)")</f>
        <v>Lisandro Russian (Madrid, Cáceres, Toledo, Talavera Y Logroño)</v>
      </c>
    </row>
    <row r="1442" spans="2:16">
      <c r="B1442" s="33">
        <f ca="1">IFERROR(__xludf.DUMMYFUNCTION("""COMPUTED_VALUE"""),2025)</f>
        <v>2025</v>
      </c>
      <c r="C1442" s="33">
        <f ca="1">IFERROR(__xludf.DUMMYFUNCTION("""COMPUTED_VALUE"""),11)</f>
        <v>11</v>
      </c>
      <c r="D1442" s="33" t="str">
        <f ca="1">IFERROR(__xludf.DUMMYFUNCTION("""COMPUTED_VALUE"""),"NO")</f>
        <v>NO</v>
      </c>
      <c r="E1442" s="33" t="str">
        <f ca="1">IFERROR(__xludf.DUMMYFUNCTION("""COMPUTED_VALUE"""),"San Javier")</f>
        <v>San Javier</v>
      </c>
      <c r="F1442" s="57">
        <f ca="1">IFERROR(__xludf.DUMMYFUNCTION("""COMPUTED_VALUE"""),45973)</f>
        <v>45973</v>
      </c>
      <c r="G1442" s="57">
        <f ca="1">IFERROR(__xludf.DUMMYFUNCTION("""COMPUTED_VALUE"""),45943)</f>
        <v>45943</v>
      </c>
      <c r="H1442" s="33" t="str">
        <f ca="1">IFERROR(__xludf.DUMMYFUNCTION("""COMPUTED_VALUE"""),"San Javier")</f>
        <v>San Javier</v>
      </c>
      <c r="I1442" s="33" t="str">
        <f ca="1">IFERROR(__xludf.DUMMYFUNCTION("""COMPUTED_VALUE"""),"C202510139173038944")</f>
        <v>C202510139173038944</v>
      </c>
      <c r="J1442" s="33" t="str">
        <f ca="1">IFERROR(__xludf.DUMMYFUNCTION("""COMPUTED_VALUE"""),"ANNE CHRISTINE MILLS")</f>
        <v>ANNE CHRISTINE MILLS</v>
      </c>
      <c r="K1442" s="33">
        <f ca="1">IFERROR(__xludf.DUMMYFUNCTION("""COMPUTED_VALUE"""),1)</f>
        <v>1</v>
      </c>
      <c r="L1442" s="203">
        <f ca="1">IFERROR(__xludf.DUMMYFUNCTION("""COMPUTED_VALUE"""),2180.91)</f>
        <v>2180.91</v>
      </c>
      <c r="M1442" s="33" t="str">
        <f ca="1">IFERROR(__xludf.DUMMYFUNCTION("""COMPUTED_VALUE"""),"03 ORL")</f>
        <v>03 ORL</v>
      </c>
      <c r="N1442" s="33" t="str">
        <f ca="1">IFERROR(__xludf.DUMMYFUNCTION("""COMPUTED_VALUE"""),"06 ORL")</f>
        <v>06 ORL</v>
      </c>
      <c r="O1442" s="33" t="str">
        <f ca="1">IFERROR(__xludf.DUMMYFUNCTION("""COMPUTED_VALUE"""),"Dr, Antonio Galindo Fernández")</f>
        <v>Dr, Antonio Galindo Fernández</v>
      </c>
      <c r="P1442" s="33" t="str">
        <f ca="1">IFERROR(__xludf.DUMMYFUNCTION("""COMPUTED_VALUE"""),"Iván Sánchez (Levante Y Albacete)")</f>
        <v>Iván Sánchez (Levante Y Albacete)</v>
      </c>
    </row>
    <row r="1443" spans="2:16">
      <c r="B1443" s="33">
        <f ca="1">IFERROR(__xludf.DUMMYFUNCTION("""COMPUTED_VALUE"""),2025)</f>
        <v>2025</v>
      </c>
      <c r="C1443" s="33">
        <f ca="1">IFERROR(__xludf.DUMMYFUNCTION("""COMPUTED_VALUE"""),11)</f>
        <v>11</v>
      </c>
      <c r="D1443" s="33" t="str">
        <f ca="1">IFERROR(__xludf.DUMMYFUNCTION("""COMPUTED_VALUE"""),"NO")</f>
        <v>NO</v>
      </c>
      <c r="E1443" s="33" t="str">
        <f ca="1">IFERROR(__xludf.DUMMYFUNCTION("""COMPUTED_VALUE"""),"Sevilla- Montoto")</f>
        <v>Sevilla- Montoto</v>
      </c>
      <c r="F1443" s="57">
        <f ca="1">IFERROR(__xludf.DUMMYFUNCTION("""COMPUTED_VALUE"""),45973)</f>
        <v>45973</v>
      </c>
      <c r="G1443" s="57">
        <f ca="1">IFERROR(__xludf.DUMMYFUNCTION("""COMPUTED_VALUE"""),45925)</f>
        <v>45925</v>
      </c>
      <c r="H1443" s="33" t="str">
        <f ca="1">IFERROR(__xludf.DUMMYFUNCTION("""COMPUTED_VALUE"""),"Montoto")</f>
        <v>Montoto</v>
      </c>
      <c r="I1443" s="33" t="str">
        <f ca="1">IFERROR(__xludf.DUMMYFUNCTION("""COMPUTED_VALUE"""),"C2025930165440612")</f>
        <v>C2025930165440612</v>
      </c>
      <c r="J1443" s="33" t="str">
        <f ca="1">IFERROR(__xludf.DUMMYFUNCTION("""COMPUTED_VALUE"""),"CAROLINA HEREDIA ROMERO")</f>
        <v>CAROLINA HEREDIA ROMERO</v>
      </c>
      <c r="K1443" s="33">
        <f ca="1">IFERROR(__xludf.DUMMYFUNCTION("""COMPUTED_VALUE"""),1)</f>
        <v>1</v>
      </c>
      <c r="L1443" s="203">
        <f ca="1">IFERROR(__xludf.DUMMYFUNCTION("""COMPUTED_VALUE"""),1631.82)</f>
        <v>1631.82</v>
      </c>
      <c r="M1443" s="33" t="str">
        <f ca="1">IFERROR(__xludf.DUMMYFUNCTION("""COMPUTED_VALUE"""),"03 ORL")</f>
        <v>03 ORL</v>
      </c>
      <c r="N1443" s="33" t="str">
        <f ca="1">IFERROR(__xludf.DUMMYFUNCTION("""COMPUTED_VALUE"""),"06 ORL")</f>
        <v>06 ORL</v>
      </c>
      <c r="O1443" s="33" t="str">
        <f ca="1">IFERROR(__xludf.DUMMYFUNCTION("""COMPUTED_VALUE"""),"Dr, Francisco Javier Aguilar Vera")</f>
        <v>Dr, Francisco Javier Aguilar Vera</v>
      </c>
      <c r="P1443" s="33" t="str">
        <f ca="1">IFERROR(__xludf.DUMMYFUNCTION("""COMPUTED_VALUE"""),"Luis Alberto Rodríguez (Andalucía y Badajoz)")</f>
        <v>Luis Alberto Rodríguez (Andalucía y Badajoz)</v>
      </c>
    </row>
    <row r="1444" spans="2:16">
      <c r="B1444" s="33">
        <f ca="1">IFERROR(__xludf.DUMMYFUNCTION("""COMPUTED_VALUE"""),2025)</f>
        <v>2025</v>
      </c>
      <c r="C1444" s="33">
        <f ca="1">IFERROR(__xludf.DUMMYFUNCTION("""COMPUTED_VALUE"""),11)</f>
        <v>11</v>
      </c>
      <c r="D1444" s="33" t="str">
        <f ca="1">IFERROR(__xludf.DUMMYFUNCTION("""COMPUTED_VALUE"""),"NO")</f>
        <v>NO</v>
      </c>
      <c r="E1444" s="33" t="str">
        <f ca="1">IFERROR(__xludf.DUMMYFUNCTION("""COMPUTED_VALUE"""),"Orihuela")</f>
        <v>Orihuela</v>
      </c>
      <c r="F1444" s="57">
        <f ca="1">IFERROR(__xludf.DUMMYFUNCTION("""COMPUTED_VALUE"""),45973)</f>
        <v>45973</v>
      </c>
      <c r="G1444" s="57">
        <f ca="1">IFERROR(__xludf.DUMMYFUNCTION("""COMPUTED_VALUE"""),45918)</f>
        <v>45918</v>
      </c>
      <c r="H1444" s="33" t="str">
        <f ca="1">IFERROR(__xludf.DUMMYFUNCTION("""COMPUTED_VALUE"""),"La Zenia")</f>
        <v>La Zenia</v>
      </c>
      <c r="I1444" s="33" t="str">
        <f ca="1">IFERROR(__xludf.DUMMYFUNCTION("""COMPUTED_VALUE"""),"C202593018018131")</f>
        <v>C202593018018131</v>
      </c>
      <c r="J1444" s="33" t="str">
        <f ca="1">IFERROR(__xludf.DUMMYFUNCTION("""COMPUTED_VALUE"""),"ANTONIO RUIZ SUSARTE")</f>
        <v>ANTONIO RUIZ SUSARTE</v>
      </c>
      <c r="K1444" s="33">
        <f ca="1">IFERROR(__xludf.DUMMYFUNCTION("""COMPUTED_VALUE"""),2)</f>
        <v>2</v>
      </c>
      <c r="L1444" s="203">
        <f ca="1">IFERROR(__xludf.DUMMYFUNCTION("""COMPUTED_VALUE"""),3631.82)</f>
        <v>3631.82</v>
      </c>
      <c r="M1444" s="33" t="str">
        <f ca="1">IFERROR(__xludf.DUMMYFUNCTION("""COMPUTED_VALUE"""),"03 ORL")</f>
        <v>03 ORL</v>
      </c>
      <c r="N1444" s="33" t="str">
        <f ca="1">IFERROR(__xludf.DUMMYFUNCTION("""COMPUTED_VALUE"""),"06 ORL")</f>
        <v>06 ORL</v>
      </c>
      <c r="O1444" s="33" t="str">
        <f ca="1">IFERROR(__xludf.DUMMYFUNCTION("""COMPUTED_VALUE"""),"Dra, Oreana Carolina Camacaro González")</f>
        <v>Dra, Oreana Carolina Camacaro González</v>
      </c>
      <c r="P1444" s="33" t="str">
        <f ca="1">IFERROR(__xludf.DUMMYFUNCTION("""COMPUTED_VALUE"""),"Iván Sánchez (Levante Y Albacete)")</f>
        <v>Iván Sánchez (Levante Y Albacete)</v>
      </c>
    </row>
    <row r="1445" spans="2:16">
      <c r="B1445" s="33">
        <f ca="1">IFERROR(__xludf.DUMMYFUNCTION("""COMPUTED_VALUE"""),2025)</f>
        <v>2025</v>
      </c>
      <c r="C1445" s="33">
        <f ca="1">IFERROR(__xludf.DUMMYFUNCTION("""COMPUTED_VALUE"""),11)</f>
        <v>11</v>
      </c>
      <c r="D1445" s="33" t="str">
        <f ca="1">IFERROR(__xludf.DUMMYFUNCTION("""COMPUTED_VALUE"""),"NO")</f>
        <v>NO</v>
      </c>
      <c r="E1445" s="33" t="str">
        <f ca="1">IFERROR(__xludf.DUMMYFUNCTION("""COMPUTED_VALUE"""),"Ourense")</f>
        <v>Ourense</v>
      </c>
      <c r="F1445" s="57">
        <f ca="1">IFERROR(__xludf.DUMMYFUNCTION("""COMPUTED_VALUE"""),45973)</f>
        <v>45973</v>
      </c>
      <c r="G1445" s="57">
        <f ca="1">IFERROR(__xludf.DUMMYFUNCTION("""COMPUTED_VALUE"""),45936)</f>
        <v>45936</v>
      </c>
      <c r="H1445" s="33" t="str">
        <f ca="1">IFERROR(__xludf.DUMMYFUNCTION("""COMPUTED_VALUE"""),"Orense")</f>
        <v>Orense</v>
      </c>
      <c r="I1445" s="33" t="str">
        <f ca="1">IFERROR(__xludf.DUMMYFUNCTION("""COMPUTED_VALUE"""),"C20251010121825")</f>
        <v>C20251010121825</v>
      </c>
      <c r="J1445" s="33" t="str">
        <f ca="1">IFERROR(__xludf.DUMMYFUNCTION("""COMPUTED_VALUE"""),"NEREA GARCIA VAZ")</f>
        <v>NEREA GARCIA VAZ</v>
      </c>
      <c r="K1445" s="33">
        <f ca="1">IFERROR(__xludf.DUMMYFUNCTION("""COMPUTED_VALUE"""),2)</f>
        <v>2</v>
      </c>
      <c r="L1445" s="203">
        <f ca="1">IFERROR(__xludf.DUMMYFUNCTION("""COMPUTED_VALUE"""),4536.36)</f>
        <v>4536.3599999999997</v>
      </c>
      <c r="M1445" s="33" t="str">
        <f ca="1">IFERROR(__xludf.DUMMYFUNCTION("""COMPUTED_VALUE"""),"03 ORL")</f>
        <v>03 ORL</v>
      </c>
      <c r="N1445" s="33" t="str">
        <f ca="1">IFERROR(__xludf.DUMMYFUNCTION("""COMPUTED_VALUE"""),"06 ORL")</f>
        <v>06 ORL</v>
      </c>
      <c r="O1445" s="33" t="str">
        <f ca="1">IFERROR(__xludf.DUMMYFUNCTION("""COMPUTED_VALUE"""),"Dra, María Rey Marcos")</f>
        <v>Dra, María Rey Marcos</v>
      </c>
      <c r="P1445" s="33" t="str">
        <f ca="1">IFERROR(__xludf.DUMMYFUNCTION("""COMPUTED_VALUE"""),"Roberto Pereira (Galicia)")</f>
        <v>Roberto Pereira (Galicia)</v>
      </c>
    </row>
    <row r="1446" spans="2:16">
      <c r="B1446" s="33">
        <f ca="1">IFERROR(__xludf.DUMMYFUNCTION("""COMPUTED_VALUE"""),2025)</f>
        <v>2025</v>
      </c>
      <c r="C1446" s="33">
        <f ca="1">IFERROR(__xludf.DUMMYFUNCTION("""COMPUTED_VALUE"""),11)</f>
        <v>11</v>
      </c>
      <c r="D1446" s="33" t="str">
        <f ca="1">IFERROR(__xludf.DUMMYFUNCTION("""COMPUTED_VALUE"""),"NO")</f>
        <v>NO</v>
      </c>
      <c r="E1446" s="33" t="str">
        <f ca="1">IFERROR(__xludf.DUMMYFUNCTION("""COMPUTED_VALUE"""),"Alicante")</f>
        <v>Alicante</v>
      </c>
      <c r="F1446" s="57">
        <f ca="1">IFERROR(__xludf.DUMMYFUNCTION("""COMPUTED_VALUE"""),45973)</f>
        <v>45973</v>
      </c>
      <c r="G1446" s="57">
        <f ca="1">IFERROR(__xludf.DUMMYFUNCTION("""COMPUTED_VALUE"""),45763)</f>
        <v>45763</v>
      </c>
      <c r="H1446" s="33" t="str">
        <f ca="1">IFERROR(__xludf.DUMMYFUNCTION("""COMPUTED_VALUE"""),"Alicante")</f>
        <v>Alicante</v>
      </c>
      <c r="I1446" s="33" t="str">
        <f ca="1">IFERROR(__xludf.DUMMYFUNCTION("""COMPUTED_VALUE"""),"C2025520162413995")</f>
        <v>C2025520162413995</v>
      </c>
      <c r="J1446" s="33" t="str">
        <f ca="1">IFERROR(__xludf.DUMMYFUNCTION("""COMPUTED_VALUE"""),"FERNANDO MILLAN ECHEVARRIA")</f>
        <v>FERNANDO MILLAN ECHEVARRIA</v>
      </c>
      <c r="K1446" s="33">
        <f ca="1">IFERROR(__xludf.DUMMYFUNCTION("""COMPUTED_VALUE"""),2)</f>
        <v>2</v>
      </c>
      <c r="L1446" s="203">
        <f ca="1">IFERROR(__xludf.DUMMYFUNCTION("""COMPUTED_VALUE"""),2582.27)</f>
        <v>2582.27</v>
      </c>
      <c r="M1446" s="33" t="str">
        <f ca="1">IFERROR(__xludf.DUMMYFUNCTION("""COMPUTED_VALUE"""),"03 ORL")</f>
        <v>03 ORL</v>
      </c>
      <c r="N1446" s="33" t="str">
        <f ca="1">IFERROR(__xludf.DUMMYFUNCTION("""COMPUTED_VALUE"""),"06 ORL")</f>
        <v>06 ORL</v>
      </c>
      <c r="O1446" s="33" t="str">
        <f ca="1">IFERROR(__xludf.DUMMYFUNCTION("""COMPUTED_VALUE"""),"Dra, Cristina Muñoz Pinto")</f>
        <v>Dra, Cristina Muñoz Pinto</v>
      </c>
      <c r="P1446" s="33" t="str">
        <f ca="1">IFERROR(__xludf.DUMMYFUNCTION("""COMPUTED_VALUE"""),"Iván Sánchez (Levante Y Albacete)")</f>
        <v>Iván Sánchez (Levante Y Albacete)</v>
      </c>
    </row>
    <row r="1447" spans="2:16">
      <c r="B1447" s="33">
        <f ca="1">IFERROR(__xludf.DUMMYFUNCTION("""COMPUTED_VALUE"""),2025)</f>
        <v>2025</v>
      </c>
      <c r="C1447" s="33">
        <f ca="1">IFERROR(__xludf.DUMMYFUNCTION("""COMPUTED_VALUE"""),11)</f>
        <v>11</v>
      </c>
      <c r="D1447" s="33" t="str">
        <f ca="1">IFERROR(__xludf.DUMMYFUNCTION("""COMPUTED_VALUE"""),"NO")</f>
        <v>NO</v>
      </c>
      <c r="E1447" s="33" t="str">
        <f ca="1">IFERROR(__xludf.DUMMYFUNCTION("""COMPUTED_VALUE"""),"Boiro")</f>
        <v>Boiro</v>
      </c>
      <c r="F1447" s="57">
        <f ca="1">IFERROR(__xludf.DUMMYFUNCTION("""COMPUTED_VALUE"""),45974)</f>
        <v>45974</v>
      </c>
      <c r="G1447" s="57">
        <f ca="1">IFERROR(__xludf.DUMMYFUNCTION("""COMPUTED_VALUE"""),45937)</f>
        <v>45937</v>
      </c>
      <c r="H1447" s="33" t="str">
        <f ca="1">IFERROR(__xludf.DUMMYFUNCTION("""COMPUTED_VALUE"""),"Boiro")</f>
        <v>Boiro</v>
      </c>
      <c r="I1447" s="33" t="str">
        <f ca="1">IFERROR(__xludf.DUMMYFUNCTION("""COMPUTED_VALUE"""),"BOI-1002")</f>
        <v>BOI-1002</v>
      </c>
      <c r="J1447" s="33" t="str">
        <f ca="1">IFERROR(__xludf.DUMMYFUNCTION("""COMPUTED_VALUE"""),"GERMAN MUÑIZ SIEIRA")</f>
        <v>GERMAN MUÑIZ SIEIRA</v>
      </c>
      <c r="K1447" s="33">
        <f ca="1">IFERROR(__xludf.DUMMYFUNCTION("""COMPUTED_VALUE"""),3)</f>
        <v>3</v>
      </c>
      <c r="L1447" s="203">
        <f ca="1">IFERROR(__xludf.DUMMYFUNCTION("""COMPUTED_VALUE"""),3436.36)</f>
        <v>3436.36</v>
      </c>
      <c r="M1447" s="33" t="str">
        <f ca="1">IFERROR(__xludf.DUMMYFUNCTION("""COMPUTED_VALUE"""),"03 ORL")</f>
        <v>03 ORL</v>
      </c>
      <c r="N1447" s="33" t="str">
        <f ca="1">IFERROR(__xludf.DUMMYFUNCTION("""COMPUTED_VALUE"""),"06 ORL")</f>
        <v>06 ORL</v>
      </c>
      <c r="O1447" s="33" t="str">
        <f ca="1">IFERROR(__xludf.DUMMYFUNCTION("""COMPUTED_VALUE"""),"Dr, Ernesto Varela Martínez")</f>
        <v>Dr, Ernesto Varela Martínez</v>
      </c>
      <c r="P1447" s="33" t="str">
        <f ca="1">IFERROR(__xludf.DUMMYFUNCTION("""COMPUTED_VALUE"""),"Roberto Pereira (Galicia)")</f>
        <v>Roberto Pereira (Galicia)</v>
      </c>
    </row>
    <row r="1448" spans="2:16">
      <c r="B1448" s="33">
        <f ca="1">IFERROR(__xludf.DUMMYFUNCTION("""COMPUTED_VALUE"""),2025)</f>
        <v>2025</v>
      </c>
      <c r="C1448" s="33">
        <f ca="1">IFERROR(__xludf.DUMMYFUNCTION("""COMPUTED_VALUE"""),11)</f>
        <v>11</v>
      </c>
      <c r="D1448" s="33" t="str">
        <f ca="1">IFERROR(__xludf.DUMMYFUNCTION("""COMPUTED_VALUE"""),"NO")</f>
        <v>NO</v>
      </c>
      <c r="E1448" s="33" t="str">
        <f ca="1">IFERROR(__xludf.DUMMYFUNCTION("""COMPUTED_VALUE"""),"Móstoles")</f>
        <v>Móstoles</v>
      </c>
      <c r="F1448" s="57">
        <f ca="1">IFERROR(__xludf.DUMMYFUNCTION("""COMPUTED_VALUE"""),45974)</f>
        <v>45974</v>
      </c>
      <c r="G1448" s="57">
        <f ca="1">IFERROR(__xludf.DUMMYFUNCTION("""COMPUTED_VALUE"""),45919)</f>
        <v>45919</v>
      </c>
      <c r="H1448" s="33" t="str">
        <f ca="1">IFERROR(__xludf.DUMMYFUNCTION("""COMPUTED_VALUE"""),"Móstoles")</f>
        <v>Móstoles</v>
      </c>
      <c r="I1448" s="33" t="str">
        <f ca="1">IFERROR(__xludf.DUMMYFUNCTION("""COMPUTED_VALUE"""),"C202593011223980")</f>
        <v>C202593011223980</v>
      </c>
      <c r="J1448" s="33" t="str">
        <f ca="1">IFERROR(__xludf.DUMMYFUNCTION("""COMPUTED_VALUE"""),"LUISA NOVO VIVERO")</f>
        <v>LUISA NOVO VIVERO</v>
      </c>
      <c r="K1448" s="33">
        <f ca="1">IFERROR(__xludf.DUMMYFUNCTION("""COMPUTED_VALUE"""),2)</f>
        <v>2</v>
      </c>
      <c r="L1448" s="203">
        <f ca="1">IFERROR(__xludf.DUMMYFUNCTION("""COMPUTED_VALUE"""),3631.82)</f>
        <v>3631.82</v>
      </c>
      <c r="M1448" s="33" t="str">
        <f ca="1">IFERROR(__xludf.DUMMYFUNCTION("""COMPUTED_VALUE"""),"03 ORL")</f>
        <v>03 ORL</v>
      </c>
      <c r="N1448" s="33" t="str">
        <f ca="1">IFERROR(__xludf.DUMMYFUNCTION("""COMPUTED_VALUE"""),"06 ORL")</f>
        <v>06 ORL</v>
      </c>
      <c r="O1448" s="33" t="str">
        <f ca="1">IFERROR(__xludf.DUMMYFUNCTION("""COMPUTED_VALUE"""),"Dra, Elvylins Vargas Yglesia")</f>
        <v>Dra, Elvylins Vargas Yglesia</v>
      </c>
      <c r="P1448" s="33" t="str">
        <f ca="1">IFERROR(__xludf.DUMMYFUNCTION("""COMPUTED_VALUE"""),"Maika Blázquez (Madrid)")</f>
        <v>Maika Blázquez (Madrid)</v>
      </c>
    </row>
    <row r="1449" spans="2:16">
      <c r="B1449" s="33">
        <f ca="1">IFERROR(__xludf.DUMMYFUNCTION("""COMPUTED_VALUE"""),2025)</f>
        <v>2025</v>
      </c>
      <c r="C1449" s="33">
        <f ca="1">IFERROR(__xludf.DUMMYFUNCTION("""COMPUTED_VALUE"""),11)</f>
        <v>11</v>
      </c>
      <c r="D1449" s="33" t="str">
        <f ca="1">IFERROR(__xludf.DUMMYFUNCTION("""COMPUTED_VALUE"""),"NO")</f>
        <v>NO</v>
      </c>
      <c r="E1449" s="33" t="str">
        <f ca="1">IFERROR(__xludf.DUMMYFUNCTION("""COMPUTED_VALUE"""),"Orihuela")</f>
        <v>Orihuela</v>
      </c>
      <c r="F1449" s="57">
        <f ca="1">IFERROR(__xludf.DUMMYFUNCTION("""COMPUTED_VALUE"""),45974)</f>
        <v>45974</v>
      </c>
      <c r="G1449" s="57">
        <f ca="1">IFERROR(__xludf.DUMMYFUNCTION("""COMPUTED_VALUE"""),45931)</f>
        <v>45931</v>
      </c>
      <c r="H1449" s="33" t="str">
        <f ca="1">IFERROR(__xludf.DUMMYFUNCTION("""COMPUTED_VALUE"""),"La Zenia")</f>
        <v>La Zenia</v>
      </c>
      <c r="I1449" s="33" t="str">
        <f ca="1">IFERROR(__xludf.DUMMYFUNCTION("""COMPUTED_VALUE"""),"C2025102116047305")</f>
        <v>C2025102116047305</v>
      </c>
      <c r="J1449" s="33" t="str">
        <f ca="1">IFERROR(__xludf.DUMMYFUNCTION("""COMPUTED_VALUE"""),"BARBARA ROLLETT")</f>
        <v>BARBARA ROLLETT</v>
      </c>
      <c r="K1449" s="33">
        <f ca="1">IFERROR(__xludf.DUMMYFUNCTION("""COMPUTED_VALUE"""),1)</f>
        <v>1</v>
      </c>
      <c r="L1449" s="203">
        <f ca="1">IFERROR(__xludf.DUMMYFUNCTION("""COMPUTED_VALUE"""),2180.91)</f>
        <v>2180.91</v>
      </c>
      <c r="M1449" s="33" t="str">
        <f ca="1">IFERROR(__xludf.DUMMYFUNCTION("""COMPUTED_VALUE"""),"03 ORL")</f>
        <v>03 ORL</v>
      </c>
      <c r="N1449" s="33" t="str">
        <f ca="1">IFERROR(__xludf.DUMMYFUNCTION("""COMPUTED_VALUE"""),"06 ORL")</f>
        <v>06 ORL</v>
      </c>
      <c r="O1449" s="33" t="str">
        <f ca="1">IFERROR(__xludf.DUMMYFUNCTION("""COMPUTED_VALUE"""),"Dra, María Agustina Sevilla García")</f>
        <v>Dra, María Agustina Sevilla García</v>
      </c>
      <c r="P1449" s="33" t="str">
        <f ca="1">IFERROR(__xludf.DUMMYFUNCTION("""COMPUTED_VALUE"""),"Iván Sánchez (Levante Y Albacete)")</f>
        <v>Iván Sánchez (Levante Y Albacete)</v>
      </c>
    </row>
    <row r="1450" spans="2:16">
      <c r="B1450" s="33">
        <f ca="1">IFERROR(__xludf.DUMMYFUNCTION("""COMPUTED_VALUE"""),2025)</f>
        <v>2025</v>
      </c>
      <c r="C1450" s="33">
        <f ca="1">IFERROR(__xludf.DUMMYFUNCTION("""COMPUTED_VALUE"""),11)</f>
        <v>11</v>
      </c>
      <c r="D1450" s="33" t="str">
        <f ca="1">IFERROR(__xludf.DUMMYFUNCTION("""COMPUTED_VALUE"""),"NO")</f>
        <v>NO</v>
      </c>
      <c r="E1450" s="33" t="str">
        <f ca="1">IFERROR(__xludf.DUMMYFUNCTION("""COMPUTED_VALUE"""),"Santiago de Compostela")</f>
        <v>Santiago de Compostela</v>
      </c>
      <c r="F1450" s="57">
        <f ca="1">IFERROR(__xludf.DUMMYFUNCTION("""COMPUTED_VALUE"""),45974)</f>
        <v>45974</v>
      </c>
      <c r="G1450" s="57">
        <f ca="1">IFERROR(__xludf.DUMMYFUNCTION("""COMPUTED_VALUE"""),45947)</f>
        <v>45947</v>
      </c>
      <c r="H1450" s="33" t="str">
        <f ca="1">IFERROR(__xludf.DUMMYFUNCTION("""COMPUTED_VALUE"""),"Santiago")</f>
        <v>Santiago</v>
      </c>
      <c r="I1450" s="33" t="str">
        <f ca="1">IFERROR(__xludf.DUMMYFUNCTION("""COMPUTED_VALUE"""),"C202510179114967503")</f>
        <v>C202510179114967503</v>
      </c>
      <c r="J1450" s="33" t="str">
        <f ca="1">IFERROR(__xludf.DUMMYFUNCTION("""COMPUTED_VALUE"""),"CONCEPCIÓN  ABAD GARCIA")</f>
        <v>CONCEPCIÓN  ABAD GARCIA</v>
      </c>
      <c r="K1450" s="33">
        <f ca="1">IFERROR(__xludf.DUMMYFUNCTION("""COMPUTED_VALUE"""),2)</f>
        <v>2</v>
      </c>
      <c r="L1450" s="203">
        <f ca="1">IFERROR(__xludf.DUMMYFUNCTION("""COMPUTED_VALUE"""),3631.82)</f>
        <v>3631.82</v>
      </c>
      <c r="M1450" s="33" t="str">
        <f ca="1">IFERROR(__xludf.DUMMYFUNCTION("""COMPUTED_VALUE"""),"03 ORL")</f>
        <v>03 ORL</v>
      </c>
      <c r="N1450" s="33" t="str">
        <f ca="1">IFERROR(__xludf.DUMMYFUNCTION("""COMPUTED_VALUE"""),"06 ORL")</f>
        <v>06 ORL</v>
      </c>
      <c r="O1450" s="33" t="str">
        <f ca="1">IFERROR(__xludf.DUMMYFUNCTION("""COMPUTED_VALUE"""),"Dra, Isabel Vaamonde Sanchez Andrade")</f>
        <v>Dra, Isabel Vaamonde Sanchez Andrade</v>
      </c>
      <c r="P1450" s="33" t="str">
        <f ca="1">IFERROR(__xludf.DUMMYFUNCTION("""COMPUTED_VALUE"""),"Roberto Pereira (Galicia)")</f>
        <v>Roberto Pereira (Galicia)</v>
      </c>
    </row>
    <row r="1451" spans="2:16">
      <c r="B1451" s="33">
        <f ca="1">IFERROR(__xludf.DUMMYFUNCTION("""COMPUTED_VALUE"""),2025)</f>
        <v>2025</v>
      </c>
      <c r="C1451" s="33">
        <f ca="1">IFERROR(__xludf.DUMMYFUNCTION("""COMPUTED_VALUE"""),11)</f>
        <v>11</v>
      </c>
      <c r="D1451" s="33" t="str">
        <f ca="1">IFERROR(__xludf.DUMMYFUNCTION("""COMPUTED_VALUE"""),"NO")</f>
        <v>NO</v>
      </c>
      <c r="E1451" s="33" t="str">
        <f ca="1">IFERROR(__xludf.DUMMYFUNCTION("""COMPUTED_VALUE"""),"Sevilla- Montoto")</f>
        <v>Sevilla- Montoto</v>
      </c>
      <c r="F1451" s="57">
        <f ca="1">IFERROR(__xludf.DUMMYFUNCTION("""COMPUTED_VALUE"""),45974)</f>
        <v>45974</v>
      </c>
      <c r="G1451" s="57">
        <f ca="1">IFERROR(__xludf.DUMMYFUNCTION("""COMPUTED_VALUE"""),45902)</f>
        <v>45902</v>
      </c>
      <c r="H1451" s="33" t="str">
        <f ca="1">IFERROR(__xludf.DUMMYFUNCTION("""COMPUTED_VALUE"""),"Montoto")</f>
        <v>Montoto</v>
      </c>
      <c r="I1451" s="33" t="str">
        <f ca="1">IFERROR(__xludf.DUMMYFUNCTION("""COMPUTED_VALUE"""),"C202592105921739")</f>
        <v>C202592105921739</v>
      </c>
      <c r="J1451" s="33" t="str">
        <f ca="1">IFERROR(__xludf.DUMMYFUNCTION("""COMPUTED_VALUE"""),"JUAN DELGADO OLMO")</f>
        <v>JUAN DELGADO OLMO</v>
      </c>
      <c r="K1451" s="33">
        <f ca="1">IFERROR(__xludf.DUMMYFUNCTION("""COMPUTED_VALUE"""),2)</f>
        <v>2</v>
      </c>
      <c r="L1451" s="203">
        <f ca="1">IFERROR(__xludf.DUMMYFUNCTION("""COMPUTED_VALUE"""),4134.62)</f>
        <v>4134.62</v>
      </c>
      <c r="M1451" s="33" t="str">
        <f ca="1">IFERROR(__xludf.DUMMYFUNCTION("""COMPUTED_VALUE"""),"03 ORL")</f>
        <v>03 ORL</v>
      </c>
      <c r="N1451" s="33" t="str">
        <f ca="1">IFERROR(__xludf.DUMMYFUNCTION("""COMPUTED_VALUE"""),"06 ORL")</f>
        <v>06 ORL</v>
      </c>
      <c r="O1451" s="33" t="str">
        <f ca="1">IFERROR(__xludf.DUMMYFUNCTION("""COMPUTED_VALUE"""),"Dra, Mª Luisa Calero Ramos")</f>
        <v>Dra, Mª Luisa Calero Ramos</v>
      </c>
      <c r="P1451" s="33" t="str">
        <f ca="1">IFERROR(__xludf.DUMMYFUNCTION("""COMPUTED_VALUE"""),"Luis Alberto Rodríguez (Andalucía y Badajoz)")</f>
        <v>Luis Alberto Rodríguez (Andalucía y Badajoz)</v>
      </c>
    </row>
    <row r="1452" spans="2:16">
      <c r="B1452" s="33">
        <f ca="1">IFERROR(__xludf.DUMMYFUNCTION("""COMPUTED_VALUE"""),2025)</f>
        <v>2025</v>
      </c>
      <c r="C1452" s="33">
        <f ca="1">IFERROR(__xludf.DUMMYFUNCTION("""COMPUTED_VALUE"""),11)</f>
        <v>11</v>
      </c>
      <c r="D1452" s="33" t="str">
        <f ca="1">IFERROR(__xludf.DUMMYFUNCTION("""COMPUTED_VALUE"""),"NO")</f>
        <v>NO</v>
      </c>
      <c r="E1452" s="33" t="str">
        <f ca="1">IFERROR(__xludf.DUMMYFUNCTION("""COMPUTED_VALUE"""),"Alicante")</f>
        <v>Alicante</v>
      </c>
      <c r="F1452" s="57">
        <f ca="1">IFERROR(__xludf.DUMMYFUNCTION("""COMPUTED_VALUE"""),45974)</f>
        <v>45974</v>
      </c>
      <c r="G1452" s="57">
        <f ca="1">IFERROR(__xludf.DUMMYFUNCTION("""COMPUTED_VALUE"""),45936)</f>
        <v>45936</v>
      </c>
      <c r="H1452" s="33" t="str">
        <f ca="1">IFERROR(__xludf.DUMMYFUNCTION("""COMPUTED_VALUE"""),"Alicante")</f>
        <v>Alicante</v>
      </c>
      <c r="I1452" s="33" t="str">
        <f ca="1">IFERROR(__xludf.DUMMYFUNCTION("""COMPUTED_VALUE"""),"C20251017111157143")</f>
        <v>C20251017111157143</v>
      </c>
      <c r="J1452" s="33" t="str">
        <f ca="1">IFERROR(__xludf.DUMMYFUNCTION("""COMPUTED_VALUE"""),"FUENSANTA LOPEZ ORTIZ")</f>
        <v>FUENSANTA LOPEZ ORTIZ</v>
      </c>
      <c r="K1452" s="33">
        <f ca="1">IFERROR(__xludf.DUMMYFUNCTION("""COMPUTED_VALUE"""),2)</f>
        <v>2</v>
      </c>
      <c r="L1452" s="203">
        <f ca="1">IFERROR(__xludf.DUMMYFUNCTION("""COMPUTED_VALUE"""),3631.82)</f>
        <v>3631.82</v>
      </c>
      <c r="M1452" s="33" t="str">
        <f ca="1">IFERROR(__xludf.DUMMYFUNCTION("""COMPUTED_VALUE"""),"03 ORL")</f>
        <v>03 ORL</v>
      </c>
      <c r="N1452" s="33" t="str">
        <f ca="1">IFERROR(__xludf.DUMMYFUNCTION("""COMPUTED_VALUE"""),"06 ORL")</f>
        <v>06 ORL</v>
      </c>
      <c r="O1452" s="33" t="str">
        <f ca="1">IFERROR(__xludf.DUMMYFUNCTION("""COMPUTED_VALUE"""),"Dra, Cristina Muñoz Pinto")</f>
        <v>Dra, Cristina Muñoz Pinto</v>
      </c>
      <c r="P1452" s="33" t="str">
        <f ca="1">IFERROR(__xludf.DUMMYFUNCTION("""COMPUTED_VALUE"""),"Iván Sánchez (Levante Y Albacete)")</f>
        <v>Iván Sánchez (Levante Y Albacete)</v>
      </c>
    </row>
    <row r="1453" spans="2:16">
      <c r="B1453" s="33">
        <f ca="1">IFERROR(__xludf.DUMMYFUNCTION("""COMPUTED_VALUE"""),2025)</f>
        <v>2025</v>
      </c>
      <c r="C1453" s="33">
        <f ca="1">IFERROR(__xludf.DUMMYFUNCTION("""COMPUTED_VALUE"""),11)</f>
        <v>11</v>
      </c>
      <c r="D1453" s="33" t="str">
        <f ca="1">IFERROR(__xludf.DUMMYFUNCTION("""COMPUTED_VALUE"""),"NO")</f>
        <v>NO</v>
      </c>
      <c r="E1453" s="33" t="str">
        <f ca="1">IFERROR(__xludf.DUMMYFUNCTION("""COMPUTED_VALUE"""),"Fuenlabrada")</f>
        <v>Fuenlabrada</v>
      </c>
      <c r="F1453" s="57">
        <f ca="1">IFERROR(__xludf.DUMMYFUNCTION("""COMPUTED_VALUE"""),45974)</f>
        <v>45974</v>
      </c>
      <c r="G1453" s="57">
        <f ca="1">IFERROR(__xludf.DUMMYFUNCTION("""COMPUTED_VALUE"""),45943)</f>
        <v>45943</v>
      </c>
      <c r="H1453" s="33" t="str">
        <f ca="1">IFERROR(__xludf.DUMMYFUNCTION("""COMPUTED_VALUE"""),"Fuenlabrada")</f>
        <v>Fuenlabrada</v>
      </c>
      <c r="I1453" s="33" t="str">
        <f ca="1">IFERROR(__xludf.DUMMYFUNCTION("""COMPUTED_VALUE"""),"C202510131341468155")</f>
        <v>C202510131341468155</v>
      </c>
      <c r="J1453" s="33" t="str">
        <f ca="1">IFERROR(__xludf.DUMMYFUNCTION("""COMPUTED_VALUE"""),"AUREA BUACHO SALOMON")</f>
        <v>AUREA BUACHO SALOMON</v>
      </c>
      <c r="K1453" s="33">
        <f ca="1">IFERROR(__xludf.DUMMYFUNCTION("""COMPUTED_VALUE"""),2)</f>
        <v>2</v>
      </c>
      <c r="L1453" s="203">
        <f ca="1">IFERROR(__xludf.DUMMYFUNCTION("""COMPUTED_VALUE"""),2718.18)</f>
        <v>2718.18</v>
      </c>
      <c r="M1453" s="33" t="str">
        <f ca="1">IFERROR(__xludf.DUMMYFUNCTION("""COMPUTED_VALUE"""),"03 ORL")</f>
        <v>03 ORL</v>
      </c>
      <c r="N1453" s="33" t="str">
        <f ca="1">IFERROR(__xludf.DUMMYFUNCTION("""COMPUTED_VALUE"""),"06 ORL")</f>
        <v>06 ORL</v>
      </c>
      <c r="O1453" s="33" t="str">
        <f ca="1">IFERROR(__xludf.DUMMYFUNCTION("""COMPUTED_VALUE"""),"Dra, Concepcion Rodríguez Izquierdo")</f>
        <v>Dra, Concepcion Rodríguez Izquierdo</v>
      </c>
      <c r="P1453" s="33" t="str">
        <f ca="1">IFERROR(__xludf.DUMMYFUNCTION("""COMPUTED_VALUE"""),"Maika Blázquez (Madrid)")</f>
        <v>Maika Blázquez (Madrid)</v>
      </c>
    </row>
    <row r="1454" spans="2:16">
      <c r="B1454" s="33">
        <f ca="1">IFERROR(__xludf.DUMMYFUNCTION("""COMPUTED_VALUE"""),2025)</f>
        <v>2025</v>
      </c>
      <c r="C1454" s="33">
        <f ca="1">IFERROR(__xludf.DUMMYFUNCTION("""COMPUTED_VALUE"""),11)</f>
        <v>11</v>
      </c>
      <c r="D1454" s="33" t="str">
        <f ca="1">IFERROR(__xludf.DUMMYFUNCTION("""COMPUTED_VALUE"""),"NO")</f>
        <v>NO</v>
      </c>
      <c r="E1454" s="33" t="str">
        <f ca="1">IFERROR(__xludf.DUMMYFUNCTION("""COMPUTED_VALUE"""),"San Javier")</f>
        <v>San Javier</v>
      </c>
      <c r="F1454" s="57">
        <f ca="1">IFERROR(__xludf.DUMMYFUNCTION("""COMPUTED_VALUE"""),45974)</f>
        <v>45974</v>
      </c>
      <c r="G1454" s="57">
        <f ca="1">IFERROR(__xludf.DUMMYFUNCTION("""COMPUTED_VALUE"""),45959)</f>
        <v>45959</v>
      </c>
      <c r="H1454" s="33" t="str">
        <f ca="1">IFERROR(__xludf.DUMMYFUNCTION("""COMPUTED_VALUE"""),"San Javier")</f>
        <v>San Javier</v>
      </c>
      <c r="I1454" s="33" t="str">
        <f ca="1">IFERROR(__xludf.DUMMYFUNCTION("""COMPUTED_VALUE"""),"C202510299541533762")</f>
        <v>C202510299541533762</v>
      </c>
      <c r="J1454" s="33" t="str">
        <f ca="1">IFERROR(__xludf.DUMMYFUNCTION("""COMPUTED_VALUE"""),"ISABEL SANCHEZ LOPEZ")</f>
        <v>ISABEL SANCHEZ LOPEZ</v>
      </c>
      <c r="K1454" s="33">
        <f ca="1">IFERROR(__xludf.DUMMYFUNCTION("""COMPUTED_VALUE"""),1)</f>
        <v>1</v>
      </c>
      <c r="L1454" s="203">
        <f ca="1">IFERROR(__xludf.DUMMYFUNCTION("""COMPUTED_VALUE"""),2180.91)</f>
        <v>2180.91</v>
      </c>
      <c r="M1454" s="33" t="str">
        <f ca="1">IFERROR(__xludf.DUMMYFUNCTION("""COMPUTED_VALUE"""),"03 ORL")</f>
        <v>03 ORL</v>
      </c>
      <c r="N1454" s="33" t="str">
        <f ca="1">IFERROR(__xludf.DUMMYFUNCTION("""COMPUTED_VALUE"""),"06 ORL")</f>
        <v>06 ORL</v>
      </c>
      <c r="O1454" s="33" t="str">
        <f ca="1">IFERROR(__xludf.DUMMYFUNCTION("""COMPUTED_VALUE"""),"No recuerda ORL")</f>
        <v>No recuerda ORL</v>
      </c>
      <c r="P1454" s="33" t="str">
        <f ca="1">IFERROR(__xludf.DUMMYFUNCTION("""COMPUTED_VALUE"""),"Iván Sánchez (Levante Y Albacete)")</f>
        <v>Iván Sánchez (Levante Y Albacete)</v>
      </c>
    </row>
    <row r="1455" spans="2:16">
      <c r="B1455" s="33">
        <f ca="1">IFERROR(__xludf.DUMMYFUNCTION("""COMPUTED_VALUE"""),2025)</f>
        <v>2025</v>
      </c>
      <c r="C1455" s="33">
        <f ca="1">IFERROR(__xludf.DUMMYFUNCTION("""COMPUTED_VALUE"""),11)</f>
        <v>11</v>
      </c>
      <c r="D1455" s="33" t="str">
        <f ca="1">IFERROR(__xludf.DUMMYFUNCTION("""COMPUTED_VALUE"""),"NO")</f>
        <v>NO</v>
      </c>
      <c r="E1455" s="33" t="str">
        <f ca="1">IFERROR(__xludf.DUMMYFUNCTION("""COMPUTED_VALUE"""),"Madrid- Monforte de Lemos")</f>
        <v>Madrid- Monforte de Lemos</v>
      </c>
      <c r="F1455" s="57">
        <f ca="1">IFERROR(__xludf.DUMMYFUNCTION("""COMPUTED_VALUE"""),45974)</f>
        <v>45974</v>
      </c>
      <c r="G1455" s="57">
        <f ca="1">IFERROR(__xludf.DUMMYFUNCTION("""COMPUTED_VALUE"""),45932)</f>
        <v>45932</v>
      </c>
      <c r="H1455" s="33" t="str">
        <f ca="1">IFERROR(__xludf.DUMMYFUNCTION("""COMPUTED_VALUE"""),"La Vaguada")</f>
        <v>La Vaguada</v>
      </c>
      <c r="I1455" s="33" t="str">
        <f ca="1">IFERROR(__xludf.DUMMYFUNCTION("""COMPUTED_VALUE"""),"C202510815458888")</f>
        <v>C202510815458888</v>
      </c>
      <c r="J1455" s="33" t="str">
        <f ca="1">IFERROR(__xludf.DUMMYFUNCTION("""COMPUTED_VALUE"""),"MARIA PALOMA BLAZQUEZ MORALES")</f>
        <v>MARIA PALOMA BLAZQUEZ MORALES</v>
      </c>
      <c r="K1455" s="33">
        <f ca="1">IFERROR(__xludf.DUMMYFUNCTION("""COMPUTED_VALUE"""),2)</f>
        <v>2</v>
      </c>
      <c r="L1455" s="203">
        <f ca="1">IFERROR(__xludf.DUMMYFUNCTION("""COMPUTED_VALUE"""),3631.82)</f>
        <v>3631.82</v>
      </c>
      <c r="M1455" s="33" t="str">
        <f ca="1">IFERROR(__xludf.DUMMYFUNCTION("""COMPUTED_VALUE"""),"03 ORL")</f>
        <v>03 ORL</v>
      </c>
      <c r="N1455" s="33" t="str">
        <f ca="1">IFERROR(__xludf.DUMMYFUNCTION("""COMPUTED_VALUE"""),"06 ORL")</f>
        <v>06 ORL</v>
      </c>
      <c r="O1455" s="33" t="str">
        <f ca="1">IFERROR(__xludf.DUMMYFUNCTION("""COMPUTED_VALUE"""),"Dra, Beatriz Arana Fernández")</f>
        <v>Dra, Beatriz Arana Fernández</v>
      </c>
      <c r="P1455" s="33" t="str">
        <f ca="1">IFERROR(__xludf.DUMMYFUNCTION("""COMPUTED_VALUE"""),"Maika Blázquez (Madrid)")</f>
        <v>Maika Blázquez (Madrid)</v>
      </c>
    </row>
    <row r="1456" spans="2:16">
      <c r="B1456" s="33">
        <f ca="1">IFERROR(__xludf.DUMMYFUNCTION("""COMPUTED_VALUE"""),2025)</f>
        <v>2025</v>
      </c>
      <c r="C1456" s="33">
        <f ca="1">IFERROR(__xludf.DUMMYFUNCTION("""COMPUTED_VALUE"""),11)</f>
        <v>11</v>
      </c>
      <c r="D1456" s="33" t="str">
        <f ca="1">IFERROR(__xludf.DUMMYFUNCTION("""COMPUTED_VALUE"""),"NO")</f>
        <v>NO</v>
      </c>
      <c r="E1456" s="33" t="str">
        <f ca="1">IFERROR(__xludf.DUMMYFUNCTION("""COMPUTED_VALUE"""),"Madrid- La Oca")</f>
        <v>Madrid- La Oca</v>
      </c>
      <c r="F1456" s="57">
        <f ca="1">IFERROR(__xludf.DUMMYFUNCTION("""COMPUTED_VALUE"""),45974)</f>
        <v>45974</v>
      </c>
      <c r="G1456" s="57">
        <f ca="1">IFERROR(__xludf.DUMMYFUNCTION("""COMPUTED_VALUE"""),45943)</f>
        <v>45943</v>
      </c>
      <c r="H1456" s="33" t="str">
        <f ca="1">IFERROR(__xludf.DUMMYFUNCTION("""COMPUTED_VALUE"""),"La Oca")</f>
        <v>La Oca</v>
      </c>
      <c r="I1456" s="33" t="str">
        <f ca="1">IFERROR(__xludf.DUMMYFUNCTION("""COMPUTED_VALUE"""),"C202510139202353346")</f>
        <v>C202510139202353346</v>
      </c>
      <c r="J1456" s="33" t="str">
        <f ca="1">IFERROR(__xludf.DUMMYFUNCTION("""COMPUTED_VALUE"""),"GABINO SANCHEZ SANCHEZ")</f>
        <v>GABINO SANCHEZ SANCHEZ</v>
      </c>
      <c r="K1456" s="33">
        <f ca="1">IFERROR(__xludf.DUMMYFUNCTION("""COMPUTED_VALUE"""),2)</f>
        <v>2</v>
      </c>
      <c r="L1456" s="203">
        <f ca="1">IFERROR(__xludf.DUMMYFUNCTION("""COMPUTED_VALUE"""),2717.31)</f>
        <v>2717.31</v>
      </c>
      <c r="M1456" s="33" t="str">
        <f ca="1">IFERROR(__xludf.DUMMYFUNCTION("""COMPUTED_VALUE"""),"03 ORL")</f>
        <v>03 ORL</v>
      </c>
      <c r="N1456" s="33" t="str">
        <f ca="1">IFERROR(__xludf.DUMMYFUNCTION("""COMPUTED_VALUE"""),"06 ORL")</f>
        <v>06 ORL</v>
      </c>
      <c r="O1456" s="33" t="str">
        <f ca="1">IFERROR(__xludf.DUMMYFUNCTION("""COMPUTED_VALUE"""),"Dr, Jaime Martín Carranza")</f>
        <v>Dr, Jaime Martín Carranza</v>
      </c>
      <c r="P1456" s="33" t="str">
        <f ca="1">IFERROR(__xludf.DUMMYFUNCTION("""COMPUTED_VALUE"""),"Maika Blázquez (Madrid)")</f>
        <v>Maika Blázquez (Madrid)</v>
      </c>
    </row>
    <row r="1457" spans="2:16">
      <c r="B1457" s="33">
        <f ca="1">IFERROR(__xludf.DUMMYFUNCTION("""COMPUTED_VALUE"""),2025)</f>
        <v>2025</v>
      </c>
      <c r="C1457" s="33">
        <f ca="1">IFERROR(__xludf.DUMMYFUNCTION("""COMPUTED_VALUE"""),11)</f>
        <v>11</v>
      </c>
      <c r="D1457" s="33" t="str">
        <f ca="1">IFERROR(__xludf.DUMMYFUNCTION("""COMPUTED_VALUE"""),"NO")</f>
        <v>NO</v>
      </c>
      <c r="E1457" s="33" t="str">
        <f ca="1">IFERROR(__xludf.DUMMYFUNCTION("""COMPUTED_VALUE"""),"Madrid- La Oca")</f>
        <v>Madrid- La Oca</v>
      </c>
      <c r="F1457" s="57">
        <f ca="1">IFERROR(__xludf.DUMMYFUNCTION("""COMPUTED_VALUE"""),45974)</f>
        <v>45974</v>
      </c>
      <c r="G1457" s="57">
        <f ca="1">IFERROR(__xludf.DUMMYFUNCTION("""COMPUTED_VALUE"""),45950)</f>
        <v>45950</v>
      </c>
      <c r="H1457" s="33" t="str">
        <f ca="1">IFERROR(__xludf.DUMMYFUNCTION("""COMPUTED_VALUE"""),"La Oca")</f>
        <v>La Oca</v>
      </c>
      <c r="I1457" s="33" t="str">
        <f ca="1">IFERROR(__xludf.DUMMYFUNCTION("""COMPUTED_VALUE"""),"C202510201153258429")</f>
        <v>C202510201153258429</v>
      </c>
      <c r="J1457" s="33" t="str">
        <f ca="1">IFERROR(__xludf.DUMMYFUNCTION("""COMPUTED_VALUE"""),"BEGOÑA GOMEZ-HIDALGO MATEO")</f>
        <v>BEGOÑA GOMEZ-HIDALGO MATEO</v>
      </c>
      <c r="K1457" s="33">
        <f ca="1">IFERROR(__xludf.DUMMYFUNCTION("""COMPUTED_VALUE"""),2)</f>
        <v>2</v>
      </c>
      <c r="L1457" s="203">
        <f ca="1">IFERROR(__xludf.DUMMYFUNCTION("""COMPUTED_VALUE"""),3631.82)</f>
        <v>3631.82</v>
      </c>
      <c r="M1457" s="33" t="str">
        <f ca="1">IFERROR(__xludf.DUMMYFUNCTION("""COMPUTED_VALUE"""),"03 ORL")</f>
        <v>03 ORL</v>
      </c>
      <c r="N1457" s="33" t="str">
        <f ca="1">IFERROR(__xludf.DUMMYFUNCTION("""COMPUTED_VALUE"""),"06 ORL")</f>
        <v>06 ORL</v>
      </c>
      <c r="O1457" s="33" t="str">
        <f ca="1">IFERROR(__xludf.DUMMYFUNCTION("""COMPUTED_VALUE"""),"Dr, Alfonso Plaza López")</f>
        <v>Dr, Alfonso Plaza López</v>
      </c>
      <c r="P1457" s="33" t="str">
        <f ca="1">IFERROR(__xludf.DUMMYFUNCTION("""COMPUTED_VALUE"""),"Maika Blázquez (Madrid)")</f>
        <v>Maika Blázquez (Madrid)</v>
      </c>
    </row>
    <row r="1458" spans="2:16">
      <c r="B1458" s="33">
        <f ca="1">IFERROR(__xludf.DUMMYFUNCTION("""COMPUTED_VALUE"""),2025)</f>
        <v>2025</v>
      </c>
      <c r="C1458" s="33">
        <f ca="1">IFERROR(__xludf.DUMMYFUNCTION("""COMPUTED_VALUE"""),11)</f>
        <v>11</v>
      </c>
      <c r="D1458" s="33" t="str">
        <f ca="1">IFERROR(__xludf.DUMMYFUNCTION("""COMPUTED_VALUE"""),"NO")</f>
        <v>NO</v>
      </c>
      <c r="E1458" s="33" t="str">
        <f ca="1">IFERROR(__xludf.DUMMYFUNCTION("""COMPUTED_VALUE"""),"Orihuela")</f>
        <v>Orihuela</v>
      </c>
      <c r="F1458" s="57">
        <f ca="1">IFERROR(__xludf.DUMMYFUNCTION("""COMPUTED_VALUE"""),45974)</f>
        <v>45974</v>
      </c>
      <c r="G1458" s="57">
        <f ca="1">IFERROR(__xludf.DUMMYFUNCTION("""COMPUTED_VALUE"""),45877)</f>
        <v>45877</v>
      </c>
      <c r="H1458" s="33" t="str">
        <f ca="1">IFERROR(__xludf.DUMMYFUNCTION("""COMPUTED_VALUE"""),"La Zenia")</f>
        <v>La Zenia</v>
      </c>
      <c r="I1458" s="33" t="str">
        <f ca="1">IFERROR(__xludf.DUMMYFUNCTION("""COMPUTED_VALUE"""),"C2025101112319145")</f>
        <v>C2025101112319145</v>
      </c>
      <c r="J1458" s="33" t="str">
        <f ca="1">IFERROR(__xludf.DUMMYFUNCTION("""COMPUTED_VALUE"""),"SHEILA ANN MCGEOWN")</f>
        <v>SHEILA ANN MCGEOWN</v>
      </c>
      <c r="K1458" s="33">
        <f ca="1">IFERROR(__xludf.DUMMYFUNCTION("""COMPUTED_VALUE"""),1)</f>
        <v>1</v>
      </c>
      <c r="L1458" s="203">
        <f ca="1">IFERROR(__xludf.DUMMYFUNCTION("""COMPUTED_VALUE"""),2481.82)</f>
        <v>2481.8200000000002</v>
      </c>
      <c r="M1458" s="33" t="str">
        <f ca="1">IFERROR(__xludf.DUMMYFUNCTION("""COMPUTED_VALUE"""),"03 ORL")</f>
        <v>03 ORL</v>
      </c>
      <c r="N1458" s="33" t="str">
        <f ca="1">IFERROR(__xludf.DUMMYFUNCTION("""COMPUTED_VALUE"""),"06 ORL")</f>
        <v>06 ORL</v>
      </c>
      <c r="O1458" s="33" t="str">
        <f ca="1">IFERROR(__xludf.DUMMYFUNCTION("""COMPUTED_VALUE"""),"Dr, Santiago Moreno Paredes")</f>
        <v>Dr, Santiago Moreno Paredes</v>
      </c>
      <c r="P1458" s="33" t="str">
        <f ca="1">IFERROR(__xludf.DUMMYFUNCTION("""COMPUTED_VALUE"""),"Iván Sánchez (Levante Y Albacete)")</f>
        <v>Iván Sánchez (Levante Y Albacete)</v>
      </c>
    </row>
    <row r="1459" spans="2:16">
      <c r="B1459" s="33">
        <f ca="1">IFERROR(__xludf.DUMMYFUNCTION("""COMPUTED_VALUE"""),2025)</f>
        <v>2025</v>
      </c>
      <c r="C1459" s="33">
        <f ca="1">IFERROR(__xludf.DUMMYFUNCTION("""COMPUTED_VALUE"""),11)</f>
        <v>11</v>
      </c>
      <c r="D1459" s="33" t="str">
        <f ca="1">IFERROR(__xludf.DUMMYFUNCTION("""COMPUTED_VALUE"""),"NO")</f>
        <v>NO</v>
      </c>
      <c r="E1459" s="33" t="str">
        <f ca="1">IFERROR(__xludf.DUMMYFUNCTION("""COMPUTED_VALUE"""),"Valladolid")</f>
        <v>Valladolid</v>
      </c>
      <c r="F1459" s="57">
        <f ca="1">IFERROR(__xludf.DUMMYFUNCTION("""COMPUTED_VALUE"""),45975)</f>
        <v>45975</v>
      </c>
      <c r="G1459" s="57">
        <f ca="1">IFERROR(__xludf.DUMMYFUNCTION("""COMPUTED_VALUE"""),45925)</f>
        <v>45925</v>
      </c>
      <c r="H1459" s="33" t="str">
        <f ca="1">IFERROR(__xludf.DUMMYFUNCTION("""COMPUTED_VALUE"""),"Valladolid")</f>
        <v>Valladolid</v>
      </c>
      <c r="I1459" s="33" t="str">
        <f ca="1">IFERROR(__xludf.DUMMYFUNCTION("""COMPUTED_VALUE"""),"VLL-449")</f>
        <v>VLL-449</v>
      </c>
      <c r="J1459" s="33" t="str">
        <f ca="1">IFERROR(__xludf.DUMMYFUNCTION("""COMPUTED_VALUE"""),"AMADOR MARTIN ALONSO")</f>
        <v>AMADOR MARTIN ALONSO</v>
      </c>
      <c r="K1459" s="33">
        <f ca="1">IFERROR(__xludf.DUMMYFUNCTION("""COMPUTED_VALUE"""),2)</f>
        <v>2</v>
      </c>
      <c r="L1459" s="203">
        <f ca="1">IFERROR(__xludf.DUMMYFUNCTION("""COMPUTED_VALUE"""),4431.82)</f>
        <v>4431.82</v>
      </c>
      <c r="M1459" s="33" t="str">
        <f ca="1">IFERROR(__xludf.DUMMYFUNCTION("""COMPUTED_VALUE"""),"03 ORL")</f>
        <v>03 ORL</v>
      </c>
      <c r="N1459" s="33" t="str">
        <f ca="1">IFERROR(__xludf.DUMMYFUNCTION("""COMPUTED_VALUE"""),"06 ORL")</f>
        <v>06 ORL</v>
      </c>
      <c r="O1459" s="33" t="str">
        <f ca="1">IFERROR(__xludf.DUMMYFUNCTION("""COMPUTED_VALUE"""),"Dra, Ana Fernández Rodríguez")</f>
        <v>Dra, Ana Fernández Rodríguez</v>
      </c>
      <c r="P1459" s="33" t="str">
        <f ca="1">IFERROR(__xludf.DUMMYFUNCTION("""COMPUTED_VALUE"""),"Alberto Moreno (Madrid)")</f>
        <v>Alberto Moreno (Madrid)</v>
      </c>
    </row>
    <row r="1460" spans="2:16">
      <c r="B1460" s="33">
        <f ca="1">IFERROR(__xludf.DUMMYFUNCTION("""COMPUTED_VALUE"""),2025)</f>
        <v>2025</v>
      </c>
      <c r="C1460" s="33">
        <f ca="1">IFERROR(__xludf.DUMMYFUNCTION("""COMPUTED_VALUE"""),11)</f>
        <v>11</v>
      </c>
      <c r="D1460" s="33" t="str">
        <f ca="1">IFERROR(__xludf.DUMMYFUNCTION("""COMPUTED_VALUE"""),"NO")</f>
        <v>NO</v>
      </c>
      <c r="E1460" s="33" t="str">
        <f ca="1">IFERROR(__xludf.DUMMYFUNCTION("""COMPUTED_VALUE"""),"Vigo")</f>
        <v>Vigo</v>
      </c>
      <c r="F1460" s="57">
        <f ca="1">IFERROR(__xludf.DUMMYFUNCTION("""COMPUTED_VALUE"""),45975)</f>
        <v>45975</v>
      </c>
      <c r="G1460" s="57">
        <f ca="1">IFERROR(__xludf.DUMMYFUNCTION("""COMPUTED_VALUE"""),45933)</f>
        <v>45933</v>
      </c>
      <c r="H1460" s="33" t="str">
        <f ca="1">IFERROR(__xludf.DUMMYFUNCTION("""COMPUTED_VALUE"""),"Vigo")</f>
        <v>Vigo</v>
      </c>
      <c r="I1460" s="33" t="str">
        <f ca="1">IFERROR(__xludf.DUMMYFUNCTION("""COMPUTED_VALUE"""),"0")</f>
        <v>0</v>
      </c>
      <c r="J1460" s="33" t="str">
        <f ca="1">IFERROR(__xludf.DUMMYFUNCTION("""COMPUTED_VALUE"""),"SANTIAGO DURAN SOTO")</f>
        <v>SANTIAGO DURAN SOTO</v>
      </c>
      <c r="K1460" s="33">
        <f ca="1">IFERROR(__xludf.DUMMYFUNCTION("""COMPUTED_VALUE"""),1)</f>
        <v>1</v>
      </c>
      <c r="L1460" s="203">
        <f ca="1">IFERROR(__xludf.DUMMYFUNCTION("""COMPUTED_VALUE"""),1727.27)</f>
        <v>1727.27</v>
      </c>
      <c r="M1460" s="33" t="str">
        <f ca="1">IFERROR(__xludf.DUMMYFUNCTION("""COMPUTED_VALUE"""),"03 ORL")</f>
        <v>03 ORL</v>
      </c>
      <c r="N1460" s="33" t="str">
        <f ca="1">IFERROR(__xludf.DUMMYFUNCTION("""COMPUTED_VALUE"""),"06 ORL")</f>
        <v>06 ORL</v>
      </c>
      <c r="O1460" s="33" t="str">
        <f ca="1">IFERROR(__xludf.DUMMYFUNCTION("""COMPUTED_VALUE"""),"Dra, Isabel Miranda García")</f>
        <v>Dra, Isabel Miranda García</v>
      </c>
      <c r="P1460" s="33" t="str">
        <f ca="1">IFERROR(__xludf.DUMMYFUNCTION("""COMPUTED_VALUE"""),"Roberto Pereira (Galicia)")</f>
        <v>Roberto Pereira (Galicia)</v>
      </c>
    </row>
    <row r="1461" spans="2:16">
      <c r="B1461" s="33">
        <f ca="1">IFERROR(__xludf.DUMMYFUNCTION("""COMPUTED_VALUE"""),2025)</f>
        <v>2025</v>
      </c>
      <c r="C1461" s="33">
        <f ca="1">IFERROR(__xludf.DUMMYFUNCTION("""COMPUTED_VALUE"""),11)</f>
        <v>11</v>
      </c>
      <c r="D1461" s="33" t="str">
        <f ca="1">IFERROR(__xludf.DUMMYFUNCTION("""COMPUTED_VALUE"""),"NO")</f>
        <v>NO</v>
      </c>
      <c r="E1461" s="33" t="str">
        <f ca="1">IFERROR(__xludf.DUMMYFUNCTION("""COMPUTED_VALUE"""),"Valencia- Cádiz")</f>
        <v>Valencia- Cádiz</v>
      </c>
      <c r="F1461" s="57">
        <f ca="1">IFERROR(__xludf.DUMMYFUNCTION("""COMPUTED_VALUE"""),45975)</f>
        <v>45975</v>
      </c>
      <c r="G1461" s="57">
        <f ca="1">IFERROR(__xludf.DUMMYFUNCTION("""COMPUTED_VALUE"""),45932)</f>
        <v>45932</v>
      </c>
      <c r="H1461" s="33" t="str">
        <f ca="1">IFERROR(__xludf.DUMMYFUNCTION("""COMPUTED_VALUE"""),"Valencia- Cádiz")</f>
        <v>Valencia- Cádiz</v>
      </c>
      <c r="I1461" s="33" t="str">
        <f ca="1">IFERROR(__xludf.DUMMYFUNCTION("""COMPUTED_VALUE"""),"C20251014182719552")</f>
        <v>C20251014182719552</v>
      </c>
      <c r="J1461" s="33" t="str">
        <f ca="1">IFERROR(__xludf.DUMMYFUNCTION("""COMPUTED_VALUE"""),"IRENE LLOBELL LLOBELL")</f>
        <v>IRENE LLOBELL LLOBELL</v>
      </c>
      <c r="K1461" s="33">
        <f ca="1">IFERROR(__xludf.DUMMYFUNCTION("""COMPUTED_VALUE"""),2)</f>
        <v>2</v>
      </c>
      <c r="L1461" s="203">
        <f ca="1">IFERROR(__xludf.DUMMYFUNCTION("""COMPUTED_VALUE"""),4536.36)</f>
        <v>4536.3599999999997</v>
      </c>
      <c r="M1461" s="33" t="str">
        <f ca="1">IFERROR(__xludf.DUMMYFUNCTION("""COMPUTED_VALUE"""),"03 ORL")</f>
        <v>03 ORL</v>
      </c>
      <c r="N1461" s="33" t="str">
        <f ca="1">IFERROR(__xludf.DUMMYFUNCTION("""COMPUTED_VALUE"""),"06 ORL")</f>
        <v>06 ORL</v>
      </c>
      <c r="O1461" s="33" t="str">
        <f ca="1">IFERROR(__xludf.DUMMYFUNCTION("""COMPUTED_VALUE"""),"Dr, Abel Guzmán Calvete")</f>
        <v>Dr, Abel Guzmán Calvete</v>
      </c>
      <c r="P1461" s="33" t="str">
        <f ca="1">IFERROR(__xludf.DUMMYFUNCTION("""COMPUTED_VALUE"""),"Ramon Ferrando(Valencia)")</f>
        <v>Ramon Ferrando(Valencia)</v>
      </c>
    </row>
    <row r="1462" spans="2:16">
      <c r="B1462" s="33">
        <f ca="1">IFERROR(__xludf.DUMMYFUNCTION("""COMPUTED_VALUE"""),2025)</f>
        <v>2025</v>
      </c>
      <c r="C1462" s="33">
        <f ca="1">IFERROR(__xludf.DUMMYFUNCTION("""COMPUTED_VALUE"""),11)</f>
        <v>11</v>
      </c>
      <c r="D1462" s="33" t="str">
        <f ca="1">IFERROR(__xludf.DUMMYFUNCTION("""COMPUTED_VALUE"""),"NO")</f>
        <v>NO</v>
      </c>
      <c r="E1462" s="33" t="str">
        <f ca="1">IFERROR(__xludf.DUMMYFUNCTION("""COMPUTED_VALUE"""),"Madrid- Juan Bravo")</f>
        <v>Madrid- Juan Bravo</v>
      </c>
      <c r="F1462" s="57">
        <f ca="1">IFERROR(__xludf.DUMMYFUNCTION("""COMPUTED_VALUE"""),45975)</f>
        <v>45975</v>
      </c>
      <c r="G1462" s="57">
        <f ca="1">IFERROR(__xludf.DUMMYFUNCTION("""COMPUTED_VALUE"""),45938)</f>
        <v>45938</v>
      </c>
      <c r="H1462" s="33" t="str">
        <f ca="1">IFERROR(__xludf.DUMMYFUNCTION("""COMPUTED_VALUE"""),"Juan Bravo")</f>
        <v>Juan Bravo</v>
      </c>
      <c r="I1462" s="33" t="str">
        <f ca="1">IFERROR(__xludf.DUMMYFUNCTION("""COMPUTED_VALUE"""),"C20251015121459187")</f>
        <v>C20251015121459187</v>
      </c>
      <c r="J1462" s="33" t="str">
        <f ca="1">IFERROR(__xludf.DUMMYFUNCTION("""COMPUTED_VALUE"""),"LUISA  BOUSO MILLAN")</f>
        <v>LUISA  BOUSO MILLAN</v>
      </c>
      <c r="K1462" s="33">
        <f ca="1">IFERROR(__xludf.DUMMYFUNCTION("""COMPUTED_VALUE"""),2)</f>
        <v>2</v>
      </c>
      <c r="L1462" s="203">
        <f ca="1">IFERROR(__xludf.DUMMYFUNCTION("""COMPUTED_VALUE"""),3631.82)</f>
        <v>3631.82</v>
      </c>
      <c r="M1462" s="33" t="str">
        <f ca="1">IFERROR(__xludf.DUMMYFUNCTION("""COMPUTED_VALUE"""),"03 ORL")</f>
        <v>03 ORL</v>
      </c>
      <c r="N1462" s="33" t="str">
        <f ca="1">IFERROR(__xludf.DUMMYFUNCTION("""COMPUTED_VALUE"""),"06 ORL")</f>
        <v>06 ORL</v>
      </c>
      <c r="O1462" s="33" t="str">
        <f ca="1">IFERROR(__xludf.DUMMYFUNCTION("""COMPUTED_VALUE"""),"Dr, Antonio Rodríguez Rivero")</f>
        <v>Dr, Antonio Rodríguez Rivero</v>
      </c>
      <c r="P1462" s="33" t="str">
        <f ca="1">IFERROR(__xludf.DUMMYFUNCTION("""COMPUTED_VALUE"""),"Maika Blázquez (Madrid)")</f>
        <v>Maika Blázquez (Madrid)</v>
      </c>
    </row>
    <row r="1463" spans="2:16">
      <c r="B1463" s="33">
        <f ca="1">IFERROR(__xludf.DUMMYFUNCTION("""COMPUTED_VALUE"""),2025)</f>
        <v>2025</v>
      </c>
      <c r="C1463" s="33">
        <f ca="1">IFERROR(__xludf.DUMMYFUNCTION("""COMPUTED_VALUE"""),11)</f>
        <v>11</v>
      </c>
      <c r="D1463" s="33" t="str">
        <f ca="1">IFERROR(__xludf.DUMMYFUNCTION("""COMPUTED_VALUE"""),"NO")</f>
        <v>NO</v>
      </c>
      <c r="E1463" s="33" t="str">
        <f ca="1">IFERROR(__xludf.DUMMYFUNCTION("""COMPUTED_VALUE"""),"Sevilla- Montoto")</f>
        <v>Sevilla- Montoto</v>
      </c>
      <c r="F1463" s="57">
        <f ca="1">IFERROR(__xludf.DUMMYFUNCTION("""COMPUTED_VALUE"""),45975)</f>
        <v>45975</v>
      </c>
      <c r="G1463" s="57">
        <f ca="1">IFERROR(__xludf.DUMMYFUNCTION("""COMPUTED_VALUE"""),45944)</f>
        <v>45944</v>
      </c>
      <c r="H1463" s="33" t="str">
        <f ca="1">IFERROR(__xludf.DUMMYFUNCTION("""COMPUTED_VALUE"""),"Montoto")</f>
        <v>Montoto</v>
      </c>
      <c r="I1463" s="33" t="str">
        <f ca="1">IFERROR(__xludf.DUMMYFUNCTION("""COMPUTED_VALUE"""),"C202510141637584157")</f>
        <v>C202510141637584157</v>
      </c>
      <c r="J1463" s="33" t="str">
        <f ca="1">IFERROR(__xludf.DUMMYFUNCTION("""COMPUTED_VALUE"""),"LOLA LEIVA LOPEZ")</f>
        <v>LOLA LEIVA LOPEZ</v>
      </c>
      <c r="K1463" s="33">
        <f ca="1">IFERROR(__xludf.DUMMYFUNCTION("""COMPUTED_VALUE"""),1)</f>
        <v>1</v>
      </c>
      <c r="L1463" s="203">
        <f ca="1">IFERROR(__xludf.DUMMYFUNCTION("""COMPUTED_VALUE"""),2180.91)</f>
        <v>2180.91</v>
      </c>
      <c r="M1463" s="33" t="str">
        <f ca="1">IFERROR(__xludf.DUMMYFUNCTION("""COMPUTED_VALUE"""),"03 ORL")</f>
        <v>03 ORL</v>
      </c>
      <c r="N1463" s="33" t="str">
        <f ca="1">IFERROR(__xludf.DUMMYFUNCTION("""COMPUTED_VALUE"""),"06 ORL")</f>
        <v>06 ORL</v>
      </c>
      <c r="O1463" s="33" t="str">
        <f ca="1">IFERROR(__xludf.DUMMYFUNCTION("""COMPUTED_VALUE"""),"Dr, Jesús Crovato Rojas")</f>
        <v>Dr, Jesús Crovato Rojas</v>
      </c>
      <c r="P1463" s="33" t="str">
        <f ca="1">IFERROR(__xludf.DUMMYFUNCTION("""COMPUTED_VALUE"""),"Luis Alberto Rodríguez (Andalucía y Badajoz)")</f>
        <v>Luis Alberto Rodríguez (Andalucía y Badajoz)</v>
      </c>
    </row>
    <row r="1464" spans="2:16">
      <c r="B1464" s="33">
        <f ca="1">IFERROR(__xludf.DUMMYFUNCTION("""COMPUTED_VALUE"""),2025)</f>
        <v>2025</v>
      </c>
      <c r="C1464" s="33">
        <f ca="1">IFERROR(__xludf.DUMMYFUNCTION("""COMPUTED_VALUE"""),11)</f>
        <v>11</v>
      </c>
      <c r="D1464" s="33" t="str">
        <f ca="1">IFERROR(__xludf.DUMMYFUNCTION("""COMPUTED_VALUE"""),"NO")</f>
        <v>NO</v>
      </c>
      <c r="E1464" s="33" t="str">
        <f ca="1">IFERROR(__xludf.DUMMYFUNCTION("""COMPUTED_VALUE"""),"Valencia- Cádiz")</f>
        <v>Valencia- Cádiz</v>
      </c>
      <c r="F1464" s="57">
        <f ca="1">IFERROR(__xludf.DUMMYFUNCTION("""COMPUTED_VALUE"""),45975)</f>
        <v>45975</v>
      </c>
      <c r="G1464" s="57">
        <f ca="1">IFERROR(__xludf.DUMMYFUNCTION("""COMPUTED_VALUE"""),45932)</f>
        <v>45932</v>
      </c>
      <c r="H1464" s="33" t="str">
        <f ca="1">IFERROR(__xludf.DUMMYFUNCTION("""COMPUTED_VALUE"""),"Valencia- Cádiz")</f>
        <v>Valencia- Cádiz</v>
      </c>
      <c r="I1464" s="33" t="str">
        <f ca="1">IFERROR(__xludf.DUMMYFUNCTION("""COMPUTED_VALUE"""),"C20251014112824268")</f>
        <v>C20251014112824268</v>
      </c>
      <c r="J1464" s="33" t="str">
        <f ca="1">IFERROR(__xludf.DUMMYFUNCTION("""COMPUTED_VALUE"""),"JUAN FRANCISCO ALAVA GUILLEM")</f>
        <v>JUAN FRANCISCO ALAVA GUILLEM</v>
      </c>
      <c r="K1464" s="33">
        <f ca="1">IFERROR(__xludf.DUMMYFUNCTION("""COMPUTED_VALUE"""),1)</f>
        <v>1</v>
      </c>
      <c r="L1464" s="203">
        <f ca="1">IFERROR(__xludf.DUMMYFUNCTION("""COMPUTED_VALUE"""),1631.82)</f>
        <v>1631.82</v>
      </c>
      <c r="M1464" s="33" t="str">
        <f ca="1">IFERROR(__xludf.DUMMYFUNCTION("""COMPUTED_VALUE"""),"03 ORL")</f>
        <v>03 ORL</v>
      </c>
      <c r="N1464" s="33" t="str">
        <f ca="1">IFERROR(__xludf.DUMMYFUNCTION("""COMPUTED_VALUE"""),"06 ORL")</f>
        <v>06 ORL</v>
      </c>
      <c r="O1464" s="33" t="str">
        <f ca="1">IFERROR(__xludf.DUMMYFUNCTION("""COMPUTED_VALUE"""),"Dra, Paula Martínez-Ruiz De Apocada")</f>
        <v>Dra, Paula Martínez-Ruiz De Apocada</v>
      </c>
      <c r="P1464" s="33" t="str">
        <f ca="1">IFERROR(__xludf.DUMMYFUNCTION("""COMPUTED_VALUE"""),"Ramon Ferrando(Valencia)")</f>
        <v>Ramon Ferrando(Valencia)</v>
      </c>
    </row>
    <row r="1465" spans="2:16">
      <c r="B1465" s="33">
        <f ca="1">IFERROR(__xludf.DUMMYFUNCTION("""COMPUTED_VALUE"""),2025)</f>
        <v>2025</v>
      </c>
      <c r="C1465" s="33">
        <f ca="1">IFERROR(__xludf.DUMMYFUNCTION("""COMPUTED_VALUE"""),11)</f>
        <v>11</v>
      </c>
      <c r="D1465" s="33" t="str">
        <f ca="1">IFERROR(__xludf.DUMMYFUNCTION("""COMPUTED_VALUE"""),"NO")</f>
        <v>NO</v>
      </c>
      <c r="E1465" s="33" t="str">
        <f ca="1">IFERROR(__xludf.DUMMYFUNCTION("""COMPUTED_VALUE"""),"Sevilla- Montoto")</f>
        <v>Sevilla- Montoto</v>
      </c>
      <c r="F1465" s="57">
        <f ca="1">IFERROR(__xludf.DUMMYFUNCTION("""COMPUTED_VALUE"""),45975)</f>
        <v>45975</v>
      </c>
      <c r="G1465" s="57">
        <f ca="1">IFERROR(__xludf.DUMMYFUNCTION("""COMPUTED_VALUE"""),45919)</f>
        <v>45919</v>
      </c>
      <c r="H1465" s="33" t="str">
        <f ca="1">IFERROR(__xludf.DUMMYFUNCTION("""COMPUTED_VALUE"""),"Montoto")</f>
        <v>Montoto</v>
      </c>
      <c r="I1465" s="33" t="str">
        <f ca="1">IFERROR(__xludf.DUMMYFUNCTION("""COMPUTED_VALUE"""),"C2025923133639568")</f>
        <v>C2025923133639568</v>
      </c>
      <c r="J1465" s="33" t="str">
        <f ca="1">IFERROR(__xludf.DUMMYFUNCTION("""COMPUTED_VALUE"""),"JESUS MIGUEL CEPEDA GARZON")</f>
        <v>JESUS MIGUEL CEPEDA GARZON</v>
      </c>
      <c r="K1465" s="33">
        <f ca="1">IFERROR(__xludf.DUMMYFUNCTION("""COMPUTED_VALUE"""),2)</f>
        <v>2</v>
      </c>
      <c r="L1465" s="203">
        <f ca="1">IFERROR(__xludf.DUMMYFUNCTION("""COMPUTED_VALUE"""),2718.19)</f>
        <v>2718.19</v>
      </c>
      <c r="M1465" s="33" t="str">
        <f ca="1">IFERROR(__xludf.DUMMYFUNCTION("""COMPUTED_VALUE"""),"03 ORL")</f>
        <v>03 ORL</v>
      </c>
      <c r="N1465" s="33" t="str">
        <f ca="1">IFERROR(__xludf.DUMMYFUNCTION("""COMPUTED_VALUE"""),"06 ORL")</f>
        <v>06 ORL</v>
      </c>
      <c r="O1465" s="33" t="str">
        <f ca="1">IFERROR(__xludf.DUMMYFUNCTION("""COMPUTED_VALUE"""),"Dr, Francisco Delgado Álvarez")</f>
        <v>Dr, Francisco Delgado Álvarez</v>
      </c>
      <c r="P1465" s="33" t="str">
        <f ca="1">IFERROR(__xludf.DUMMYFUNCTION("""COMPUTED_VALUE"""),"Luis Alberto Rodríguez (Andalucía y Badajoz)")</f>
        <v>Luis Alberto Rodríguez (Andalucía y Badajoz)</v>
      </c>
    </row>
    <row r="1466" spans="2:16">
      <c r="B1466" s="33">
        <f ca="1">IFERROR(__xludf.DUMMYFUNCTION("""COMPUTED_VALUE"""),2025)</f>
        <v>2025</v>
      </c>
      <c r="C1466" s="33">
        <f ca="1">IFERROR(__xludf.DUMMYFUNCTION("""COMPUTED_VALUE"""),11)</f>
        <v>11</v>
      </c>
      <c r="D1466" s="33" t="str">
        <f ca="1">IFERROR(__xludf.DUMMYFUNCTION("""COMPUTED_VALUE"""),"NO")</f>
        <v>NO</v>
      </c>
      <c r="E1466" s="33" t="str">
        <f ca="1">IFERROR(__xludf.DUMMYFUNCTION("""COMPUTED_VALUE"""),"Getafe")</f>
        <v>Getafe</v>
      </c>
      <c r="F1466" s="57">
        <f ca="1">IFERROR(__xludf.DUMMYFUNCTION("""COMPUTED_VALUE"""),45975)</f>
        <v>45975</v>
      </c>
      <c r="G1466" s="57">
        <f ca="1">IFERROR(__xludf.DUMMYFUNCTION("""COMPUTED_VALUE"""),45946)</f>
        <v>45946</v>
      </c>
      <c r="H1466" s="33" t="str">
        <f ca="1">IFERROR(__xludf.DUMMYFUNCTION("""COMPUTED_VALUE"""),"Getafe")</f>
        <v>Getafe</v>
      </c>
      <c r="I1466" s="33" t="str">
        <f ca="1">IFERROR(__xludf.DUMMYFUNCTION("""COMPUTED_VALUE"""),"C202510168584740708")</f>
        <v>C202510168584740708</v>
      </c>
      <c r="J1466" s="33" t="str">
        <f ca="1">IFERROR(__xludf.DUMMYFUNCTION("""COMPUTED_VALUE"""),"ÁNGEL ESTEBAN BÉJAR")</f>
        <v>ÁNGEL ESTEBAN BÉJAR</v>
      </c>
      <c r="K1466" s="33">
        <f ca="1">IFERROR(__xludf.DUMMYFUNCTION("""COMPUTED_VALUE"""),2)</f>
        <v>2</v>
      </c>
      <c r="L1466" s="203">
        <f ca="1">IFERROR(__xludf.DUMMYFUNCTION("""COMPUTED_VALUE"""),2718.18)</f>
        <v>2718.18</v>
      </c>
      <c r="M1466" s="33" t="str">
        <f ca="1">IFERROR(__xludf.DUMMYFUNCTION("""COMPUTED_VALUE"""),"03 ORL")</f>
        <v>03 ORL</v>
      </c>
      <c r="N1466" s="33" t="str">
        <f ca="1">IFERROR(__xludf.DUMMYFUNCTION("""COMPUTED_VALUE"""),"06 ORL")</f>
        <v>06 ORL</v>
      </c>
      <c r="O1466" s="33" t="str">
        <f ca="1">IFERROR(__xludf.DUMMYFUNCTION("""COMPUTED_VALUE"""),"Dra, Marta Colmenero Ruiz")</f>
        <v>Dra, Marta Colmenero Ruiz</v>
      </c>
      <c r="P1466" s="33" t="str">
        <f ca="1">IFERROR(__xludf.DUMMYFUNCTION("""COMPUTED_VALUE"""),"Maika Blázquez (Madrid)")</f>
        <v>Maika Blázquez (Madrid)</v>
      </c>
    </row>
    <row r="1467" spans="2:16">
      <c r="B1467" s="33">
        <f ca="1">IFERROR(__xludf.DUMMYFUNCTION("""COMPUTED_VALUE"""),2025)</f>
        <v>2025</v>
      </c>
      <c r="C1467" s="33">
        <f ca="1">IFERROR(__xludf.DUMMYFUNCTION("""COMPUTED_VALUE"""),11)</f>
        <v>11</v>
      </c>
      <c r="D1467" s="33" t="str">
        <f ca="1">IFERROR(__xludf.DUMMYFUNCTION("""COMPUTED_VALUE"""),"NO")</f>
        <v>NO</v>
      </c>
      <c r="E1467" s="33" t="str">
        <f ca="1">IFERROR(__xludf.DUMMYFUNCTION("""COMPUTED_VALUE"""),"Móstoles")</f>
        <v>Móstoles</v>
      </c>
      <c r="F1467" s="57">
        <f ca="1">IFERROR(__xludf.DUMMYFUNCTION("""COMPUTED_VALUE"""),45975)</f>
        <v>45975</v>
      </c>
      <c r="G1467" s="57">
        <f ca="1">IFERROR(__xludf.DUMMYFUNCTION("""COMPUTED_VALUE"""),45952)</f>
        <v>45952</v>
      </c>
      <c r="H1467" s="33" t="str">
        <f ca="1">IFERROR(__xludf.DUMMYFUNCTION("""COMPUTED_VALUE"""),"Móstoles")</f>
        <v>Móstoles</v>
      </c>
      <c r="I1467" s="33" t="str">
        <f ca="1">IFERROR(__xludf.DUMMYFUNCTION("""COMPUTED_VALUE"""),"C2025102210513984")</f>
        <v>C2025102210513984</v>
      </c>
      <c r="J1467" s="33" t="str">
        <f ca="1">IFERROR(__xludf.DUMMYFUNCTION("""COMPUTED_VALUE"""),"ASTRID ANTUÑA LLORENS")</f>
        <v>ASTRID ANTUÑA LLORENS</v>
      </c>
      <c r="K1467" s="33">
        <f ca="1">IFERROR(__xludf.DUMMYFUNCTION("""COMPUTED_VALUE"""),2)</f>
        <v>2</v>
      </c>
      <c r="L1467" s="203">
        <f ca="1">IFERROR(__xludf.DUMMYFUNCTION("""COMPUTED_VALUE"""),4136.36)</f>
        <v>4136.3599999999997</v>
      </c>
      <c r="M1467" s="33" t="str">
        <f ca="1">IFERROR(__xludf.DUMMYFUNCTION("""COMPUTED_VALUE"""),"03 ORL")</f>
        <v>03 ORL</v>
      </c>
      <c r="N1467" s="33" t="str">
        <f ca="1">IFERROR(__xludf.DUMMYFUNCTION("""COMPUTED_VALUE"""),"06 ORL")</f>
        <v>06 ORL</v>
      </c>
      <c r="O1467" s="33" t="str">
        <f ca="1">IFERROR(__xludf.DUMMYFUNCTION("""COMPUTED_VALUE"""),"Dr, Víctor José González Arias")</f>
        <v>Dr, Víctor José González Arias</v>
      </c>
      <c r="P1467" s="33" t="str">
        <f ca="1">IFERROR(__xludf.DUMMYFUNCTION("""COMPUTED_VALUE"""),"Maika Blázquez (Madrid)")</f>
        <v>Maika Blázquez (Madrid)</v>
      </c>
    </row>
    <row r="1468" spans="2:16">
      <c r="B1468" s="33">
        <f ca="1">IFERROR(__xludf.DUMMYFUNCTION("""COMPUTED_VALUE"""),2025)</f>
        <v>2025</v>
      </c>
      <c r="C1468" s="33">
        <f ca="1">IFERROR(__xludf.DUMMYFUNCTION("""COMPUTED_VALUE"""),11)</f>
        <v>11</v>
      </c>
      <c r="D1468" s="33" t="str">
        <f ca="1">IFERROR(__xludf.DUMMYFUNCTION("""COMPUTED_VALUE"""),"NO")</f>
        <v>NO</v>
      </c>
      <c r="E1468" s="33" t="str">
        <f ca="1">IFERROR(__xludf.DUMMYFUNCTION("""COMPUTED_VALUE"""),"Valencia- Cádiz")</f>
        <v>Valencia- Cádiz</v>
      </c>
      <c r="F1468" s="57">
        <f ca="1">IFERROR(__xludf.DUMMYFUNCTION("""COMPUTED_VALUE"""),45975)</f>
        <v>45975</v>
      </c>
      <c r="G1468" s="57">
        <f ca="1">IFERROR(__xludf.DUMMYFUNCTION("""COMPUTED_VALUE"""),45915)</f>
        <v>45915</v>
      </c>
      <c r="H1468" s="33" t="str">
        <f ca="1">IFERROR(__xludf.DUMMYFUNCTION("""COMPUTED_VALUE"""),"Valencia- Cádiz")</f>
        <v>Valencia- Cádiz</v>
      </c>
      <c r="I1468" s="33" t="str">
        <f ca="1">IFERROR(__xludf.DUMMYFUNCTION("""COMPUTED_VALUE"""),"C20259251643237")</f>
        <v>C20259251643237</v>
      </c>
      <c r="J1468" s="33" t="str">
        <f ca="1">IFERROR(__xludf.DUMMYFUNCTION("""COMPUTED_VALUE"""),"MARIA DOLORES GRIÑAN SALAS")</f>
        <v>MARIA DOLORES GRIÑAN SALAS</v>
      </c>
      <c r="K1468" s="33">
        <f ca="1">IFERROR(__xludf.DUMMYFUNCTION("""COMPUTED_VALUE"""),2)</f>
        <v>2</v>
      </c>
      <c r="L1468" s="203">
        <f ca="1">IFERROR(__xludf.DUMMYFUNCTION("""COMPUTED_VALUE"""),4136.36)</f>
        <v>4136.3599999999997</v>
      </c>
      <c r="M1468" s="33" t="str">
        <f ca="1">IFERROR(__xludf.DUMMYFUNCTION("""COMPUTED_VALUE"""),"03 ORL")</f>
        <v>03 ORL</v>
      </c>
      <c r="N1468" s="33" t="str">
        <f ca="1">IFERROR(__xludf.DUMMYFUNCTION("""COMPUTED_VALUE"""),"06 ORL")</f>
        <v>06 ORL</v>
      </c>
      <c r="O1468" s="33" t="str">
        <f ca="1">IFERROR(__xludf.DUMMYFUNCTION("""COMPUTED_VALUE"""),"Dr, Abel Guzmán Calvete")</f>
        <v>Dr, Abel Guzmán Calvete</v>
      </c>
      <c r="P1468" s="33" t="str">
        <f ca="1">IFERROR(__xludf.DUMMYFUNCTION("""COMPUTED_VALUE"""),"Ramon Ferrando(Valencia)")</f>
        <v>Ramon Ferrando(Valencia)</v>
      </c>
    </row>
    <row r="1469" spans="2:16">
      <c r="B1469" s="33">
        <f ca="1">IFERROR(__xludf.DUMMYFUNCTION("""COMPUTED_VALUE"""),2025)</f>
        <v>2025</v>
      </c>
      <c r="C1469" s="33">
        <f ca="1">IFERROR(__xludf.DUMMYFUNCTION("""COMPUTED_VALUE"""),11)</f>
        <v>11</v>
      </c>
      <c r="D1469" s="33" t="str">
        <f ca="1">IFERROR(__xludf.DUMMYFUNCTION("""COMPUTED_VALUE"""),"NO")</f>
        <v>NO</v>
      </c>
      <c r="E1469" s="33" t="str">
        <f ca="1">IFERROR(__xludf.DUMMYFUNCTION("""COMPUTED_VALUE"""),"Torrejón de Ardoz")</f>
        <v>Torrejón de Ardoz</v>
      </c>
      <c r="F1469" s="57">
        <f ca="1">IFERROR(__xludf.DUMMYFUNCTION("""COMPUTED_VALUE"""),45978)</f>
        <v>45978</v>
      </c>
      <c r="G1469" s="57">
        <f ca="1">IFERROR(__xludf.DUMMYFUNCTION("""COMPUTED_VALUE"""),45922)</f>
        <v>45922</v>
      </c>
      <c r="H1469" s="33" t="str">
        <f ca="1">IFERROR(__xludf.DUMMYFUNCTION("""COMPUTED_VALUE"""),"Torrejón")</f>
        <v>Torrejón</v>
      </c>
      <c r="I1469" s="33" t="str">
        <f ca="1">IFERROR(__xludf.DUMMYFUNCTION("""COMPUTED_VALUE"""),"C202592995047780")</f>
        <v>C202592995047780</v>
      </c>
      <c r="J1469" s="33" t="str">
        <f ca="1">IFERROR(__xludf.DUMMYFUNCTION("""COMPUTED_VALUE"""),"JOSE MIGUEL HERGUETA ABERTURAS")</f>
        <v>JOSE MIGUEL HERGUETA ABERTURAS</v>
      </c>
      <c r="K1469" s="33">
        <f ca="1">IFERROR(__xludf.DUMMYFUNCTION("""COMPUTED_VALUE"""),2)</f>
        <v>2</v>
      </c>
      <c r="L1469" s="203">
        <f ca="1">IFERROR(__xludf.DUMMYFUNCTION("""COMPUTED_VALUE"""),4136.36)</f>
        <v>4136.3599999999997</v>
      </c>
      <c r="M1469" s="33" t="str">
        <f ca="1">IFERROR(__xludf.DUMMYFUNCTION("""COMPUTED_VALUE"""),"03 ORL")</f>
        <v>03 ORL</v>
      </c>
      <c r="N1469" s="33" t="str">
        <f ca="1">IFERROR(__xludf.DUMMYFUNCTION("""COMPUTED_VALUE"""),"06 ORL")</f>
        <v>06 ORL</v>
      </c>
      <c r="O1469" s="33" t="str">
        <f ca="1">IFERROR(__xludf.DUMMYFUNCTION("""COMPUTED_VALUE"""),"Dr, Abel Bogoya Castaño")</f>
        <v>Dr, Abel Bogoya Castaño</v>
      </c>
      <c r="P1469" s="33" t="str">
        <f ca="1">IFERROR(__xludf.DUMMYFUNCTION("""COMPUTED_VALUE"""),"Maika Blázquez (Madrid)")</f>
        <v>Maika Blázquez (Madrid)</v>
      </c>
    </row>
    <row r="1470" spans="2:16">
      <c r="B1470" s="33">
        <f ca="1">IFERROR(__xludf.DUMMYFUNCTION("""COMPUTED_VALUE"""),2025)</f>
        <v>2025</v>
      </c>
      <c r="C1470" s="33">
        <f ca="1">IFERROR(__xludf.DUMMYFUNCTION("""COMPUTED_VALUE"""),11)</f>
        <v>11</v>
      </c>
      <c r="D1470" s="33" t="str">
        <f ca="1">IFERROR(__xludf.DUMMYFUNCTION("""COMPUTED_VALUE"""),"NO")</f>
        <v>NO</v>
      </c>
      <c r="E1470" s="33" t="str">
        <f ca="1">IFERROR(__xludf.DUMMYFUNCTION("""COMPUTED_VALUE"""),"Sevilla- Montoto")</f>
        <v>Sevilla- Montoto</v>
      </c>
      <c r="F1470" s="57">
        <f ca="1">IFERROR(__xludf.DUMMYFUNCTION("""COMPUTED_VALUE"""),45978)</f>
        <v>45978</v>
      </c>
      <c r="G1470" s="57">
        <f ca="1">IFERROR(__xludf.DUMMYFUNCTION("""COMPUTED_VALUE"""),45944)</f>
        <v>45944</v>
      </c>
      <c r="H1470" s="33" t="str">
        <f ca="1">IFERROR(__xludf.DUMMYFUNCTION("""COMPUTED_VALUE"""),"Montoto")</f>
        <v>Montoto</v>
      </c>
      <c r="I1470" s="33" t="str">
        <f ca="1">IFERROR(__xludf.DUMMYFUNCTION("""COMPUTED_VALUE"""),"C202510141637584157")</f>
        <v>C202510141637584157</v>
      </c>
      <c r="J1470" s="33" t="str">
        <f ca="1">IFERROR(__xludf.DUMMYFUNCTION("""COMPUTED_VALUE"""),"LOLA LEIVA LOPEZ")</f>
        <v>LOLA LEIVA LOPEZ</v>
      </c>
      <c r="K1470" s="33">
        <f ca="1">IFERROR(__xludf.DUMMYFUNCTION("""COMPUTED_VALUE"""),1)</f>
        <v>1</v>
      </c>
      <c r="L1470" s="203">
        <f ca="1">IFERROR(__xludf.DUMMYFUNCTION("""COMPUTED_VALUE"""),2090)</f>
        <v>2090</v>
      </c>
      <c r="M1470" s="33" t="str">
        <f ca="1">IFERROR(__xludf.DUMMYFUNCTION("""COMPUTED_VALUE"""),"03 ORL")</f>
        <v>03 ORL</v>
      </c>
      <c r="N1470" s="33" t="str">
        <f ca="1">IFERROR(__xludf.DUMMYFUNCTION("""COMPUTED_VALUE"""),"06 ORL")</f>
        <v>06 ORL</v>
      </c>
      <c r="O1470" s="33" t="str">
        <f ca="1">IFERROR(__xludf.DUMMYFUNCTION("""COMPUTED_VALUE"""),"Dr, Jesús Crovato Rojas")</f>
        <v>Dr, Jesús Crovato Rojas</v>
      </c>
      <c r="P1470" s="33" t="str">
        <f ca="1">IFERROR(__xludf.DUMMYFUNCTION("""COMPUTED_VALUE"""),"Luis Alberto Rodríguez (Andalucía y Badajoz)")</f>
        <v>Luis Alberto Rodríguez (Andalucía y Badajoz)</v>
      </c>
    </row>
    <row r="1471" spans="2:16">
      <c r="B1471" s="33">
        <f ca="1">IFERROR(__xludf.DUMMYFUNCTION("""COMPUTED_VALUE"""),2025)</f>
        <v>2025</v>
      </c>
      <c r="C1471" s="33">
        <f ca="1">IFERROR(__xludf.DUMMYFUNCTION("""COMPUTED_VALUE"""),11)</f>
        <v>11</v>
      </c>
      <c r="D1471" s="33" t="str">
        <f ca="1">IFERROR(__xludf.DUMMYFUNCTION("""COMPUTED_VALUE"""),"NO")</f>
        <v>NO</v>
      </c>
      <c r="E1471" s="33" t="str">
        <f ca="1">IFERROR(__xludf.DUMMYFUNCTION("""COMPUTED_VALUE"""),"Orihuela")</f>
        <v>Orihuela</v>
      </c>
      <c r="F1471" s="57">
        <f ca="1">IFERROR(__xludf.DUMMYFUNCTION("""COMPUTED_VALUE"""),45978)</f>
        <v>45978</v>
      </c>
      <c r="G1471" s="57">
        <f ca="1">IFERROR(__xludf.DUMMYFUNCTION("""COMPUTED_VALUE"""),45946)</f>
        <v>45946</v>
      </c>
      <c r="H1471" s="33" t="str">
        <f ca="1">IFERROR(__xludf.DUMMYFUNCTION("""COMPUTED_VALUE"""),"La Zenia")</f>
        <v>La Zenia</v>
      </c>
      <c r="I1471" s="33" t="str">
        <f ca="1">IFERROR(__xludf.DUMMYFUNCTION("""COMPUTED_VALUE"""),"C202510161518573227")</f>
        <v>C202510161518573227</v>
      </c>
      <c r="J1471" s="33" t="str">
        <f ca="1">IFERROR(__xludf.DUMMYFUNCTION("""COMPUTED_VALUE"""),"LIUDMILA TOLPEGINA")</f>
        <v>LIUDMILA TOLPEGINA</v>
      </c>
      <c r="K1471" s="33">
        <f ca="1">IFERROR(__xludf.DUMMYFUNCTION("""COMPUTED_VALUE"""),2)</f>
        <v>2</v>
      </c>
      <c r="L1471" s="203">
        <f ca="1">IFERROR(__xludf.DUMMYFUNCTION("""COMPUTED_VALUE"""),3631.82)</f>
        <v>3631.82</v>
      </c>
      <c r="M1471" s="33" t="str">
        <f ca="1">IFERROR(__xludf.DUMMYFUNCTION("""COMPUTED_VALUE"""),"03 ORL")</f>
        <v>03 ORL</v>
      </c>
      <c r="N1471" s="33" t="str">
        <f ca="1">IFERROR(__xludf.DUMMYFUNCTION("""COMPUTED_VALUE"""),"06 ORL")</f>
        <v>06 ORL</v>
      </c>
      <c r="O1471" s="33" t="str">
        <f ca="1">IFERROR(__xludf.DUMMYFUNCTION("""COMPUTED_VALUE"""),"Dr, Carlos Velásquez Fermín")</f>
        <v>Dr, Carlos Velásquez Fermín</v>
      </c>
      <c r="P1471" s="33" t="str">
        <f ca="1">IFERROR(__xludf.DUMMYFUNCTION("""COMPUTED_VALUE"""),"Iván Sánchez (Levante Y Albacete)")</f>
        <v>Iván Sánchez (Levante Y Albacete)</v>
      </c>
    </row>
    <row r="1472" spans="2:16">
      <c r="B1472" s="33">
        <f ca="1">IFERROR(__xludf.DUMMYFUNCTION("""COMPUTED_VALUE"""),2025)</f>
        <v>2025</v>
      </c>
      <c r="C1472" s="33">
        <f ca="1">IFERROR(__xludf.DUMMYFUNCTION("""COMPUTED_VALUE"""),11)</f>
        <v>11</v>
      </c>
      <c r="D1472" s="33" t="str">
        <f ca="1">IFERROR(__xludf.DUMMYFUNCTION("""COMPUTED_VALUE"""),"NO")</f>
        <v>NO</v>
      </c>
      <c r="E1472" s="33" t="str">
        <f ca="1">IFERROR(__xludf.DUMMYFUNCTION("""COMPUTED_VALUE"""),"Fuenlabrada")</f>
        <v>Fuenlabrada</v>
      </c>
      <c r="F1472" s="57">
        <f ca="1">IFERROR(__xludf.DUMMYFUNCTION("""COMPUTED_VALUE"""),45978)</f>
        <v>45978</v>
      </c>
      <c r="G1472" s="57">
        <f ca="1">IFERROR(__xludf.DUMMYFUNCTION("""COMPUTED_VALUE"""),45951)</f>
        <v>45951</v>
      </c>
      <c r="H1472" s="33" t="str">
        <f ca="1">IFERROR(__xludf.DUMMYFUNCTION("""COMPUTED_VALUE"""),"Fuenlabrada")</f>
        <v>Fuenlabrada</v>
      </c>
      <c r="I1472" s="33" t="str">
        <f ca="1">IFERROR(__xludf.DUMMYFUNCTION("""COMPUTED_VALUE"""),"C202510211450159810")</f>
        <v>C202510211450159810</v>
      </c>
      <c r="J1472" s="33" t="str">
        <f ca="1">IFERROR(__xludf.DUMMYFUNCTION("""COMPUTED_VALUE"""),"ISIDORO CABRERA CRESPO")</f>
        <v>ISIDORO CABRERA CRESPO</v>
      </c>
      <c r="K1472" s="33">
        <f ca="1">IFERROR(__xludf.DUMMYFUNCTION("""COMPUTED_VALUE"""),2)</f>
        <v>2</v>
      </c>
      <c r="L1472" s="203">
        <f ca="1">IFERROR(__xludf.DUMMYFUNCTION("""COMPUTED_VALUE"""),2718.18)</f>
        <v>2718.18</v>
      </c>
      <c r="M1472" s="33" t="str">
        <f ca="1">IFERROR(__xludf.DUMMYFUNCTION("""COMPUTED_VALUE"""),"03 ORL")</f>
        <v>03 ORL</v>
      </c>
      <c r="N1472" s="33" t="str">
        <f ca="1">IFERROR(__xludf.DUMMYFUNCTION("""COMPUTED_VALUE"""),"06 ORL")</f>
        <v>06 ORL</v>
      </c>
      <c r="O1472" s="33" t="str">
        <f ca="1">IFERROR(__xludf.DUMMYFUNCTION("""COMPUTED_VALUE"""),"Dra, Paloma Martín-Aragón Martín")</f>
        <v>Dra, Paloma Martín-Aragón Martín</v>
      </c>
      <c r="P1472" s="33" t="str">
        <f ca="1">IFERROR(__xludf.DUMMYFUNCTION("""COMPUTED_VALUE"""),"Maika Blázquez (Madrid)")</f>
        <v>Maika Blázquez (Madrid)</v>
      </c>
    </row>
    <row r="1473" spans="2:16">
      <c r="B1473" s="33">
        <f ca="1">IFERROR(__xludf.DUMMYFUNCTION("""COMPUTED_VALUE"""),2025)</f>
        <v>2025</v>
      </c>
      <c r="C1473" s="33">
        <f ca="1">IFERROR(__xludf.DUMMYFUNCTION("""COMPUTED_VALUE"""),11)</f>
        <v>11</v>
      </c>
      <c r="D1473" s="33" t="str">
        <f ca="1">IFERROR(__xludf.DUMMYFUNCTION("""COMPUTED_VALUE"""),"NO")</f>
        <v>NO</v>
      </c>
      <c r="E1473" s="33" t="str">
        <f ca="1">IFERROR(__xludf.DUMMYFUNCTION("""COMPUTED_VALUE"""),"Vigo")</f>
        <v>Vigo</v>
      </c>
      <c r="F1473" s="57">
        <f ca="1">IFERROR(__xludf.DUMMYFUNCTION("""COMPUTED_VALUE"""),45979)</f>
        <v>45979</v>
      </c>
      <c r="G1473" s="57">
        <f ca="1">IFERROR(__xludf.DUMMYFUNCTION("""COMPUTED_VALUE"""),45964)</f>
        <v>45964</v>
      </c>
      <c r="H1473" s="33" t="str">
        <f ca="1">IFERROR(__xludf.DUMMYFUNCTION("""COMPUTED_VALUE"""),"Vigo")</f>
        <v>Vigo</v>
      </c>
      <c r="I1473" s="33" t="str">
        <f ca="1">IFERROR(__xludf.DUMMYFUNCTION("""COMPUTED_VALUE"""),"VIG-632")</f>
        <v>VIG-632</v>
      </c>
      <c r="J1473" s="33" t="str">
        <f ca="1">IFERROR(__xludf.DUMMYFUNCTION("""COMPUTED_VALUE"""),"ALEJANDRO RIBAS NOGUERA")</f>
        <v>ALEJANDRO RIBAS NOGUERA</v>
      </c>
      <c r="K1473" s="33">
        <f ca="1">IFERROR(__xludf.DUMMYFUNCTION("""COMPUTED_VALUE"""),2)</f>
        <v>2</v>
      </c>
      <c r="L1473" s="203">
        <f ca="1">IFERROR(__xludf.DUMMYFUNCTION("""COMPUTED_VALUE"""),3590.91)</f>
        <v>3590.91</v>
      </c>
      <c r="M1473" s="33" t="str">
        <f ca="1">IFERROR(__xludf.DUMMYFUNCTION("""COMPUTED_VALUE"""),"03 ORL")</f>
        <v>03 ORL</v>
      </c>
      <c r="N1473" s="33" t="str">
        <f ca="1">IFERROR(__xludf.DUMMYFUNCTION("""COMPUTED_VALUE"""),"06 ORL")</f>
        <v>06 ORL</v>
      </c>
      <c r="O1473" s="33" t="str">
        <f ca="1">IFERROR(__xludf.DUMMYFUNCTION("""COMPUTED_VALUE"""),"Dra, Isabel Miranda García")</f>
        <v>Dra, Isabel Miranda García</v>
      </c>
      <c r="P1473" s="33" t="str">
        <f ca="1">IFERROR(__xludf.DUMMYFUNCTION("""COMPUTED_VALUE"""),"Roberto Pereira (Galicia)")</f>
        <v>Roberto Pereira (Galicia)</v>
      </c>
    </row>
    <row r="1474" spans="2:16">
      <c r="B1474" s="33">
        <f ca="1">IFERROR(__xludf.DUMMYFUNCTION("""COMPUTED_VALUE"""),2025)</f>
        <v>2025</v>
      </c>
      <c r="C1474" s="33">
        <f ca="1">IFERROR(__xludf.DUMMYFUNCTION("""COMPUTED_VALUE"""),11)</f>
        <v>11</v>
      </c>
      <c r="D1474" s="33" t="str">
        <f ca="1">IFERROR(__xludf.DUMMYFUNCTION("""COMPUTED_VALUE"""),"NO")</f>
        <v>NO</v>
      </c>
      <c r="E1474" s="33" t="str">
        <f ca="1">IFERROR(__xludf.DUMMYFUNCTION("""COMPUTED_VALUE"""),"Ourense")</f>
        <v>Ourense</v>
      </c>
      <c r="F1474" s="57">
        <f ca="1">IFERROR(__xludf.DUMMYFUNCTION("""COMPUTED_VALUE"""),45979)</f>
        <v>45979</v>
      </c>
      <c r="G1474" s="57">
        <f ca="1">IFERROR(__xludf.DUMMYFUNCTION("""COMPUTED_VALUE"""),45930)</f>
        <v>45930</v>
      </c>
      <c r="H1474" s="33" t="str">
        <f ca="1">IFERROR(__xludf.DUMMYFUNCTION("""COMPUTED_VALUE"""),"Orense")</f>
        <v>Orense</v>
      </c>
      <c r="I1474" s="33" t="str">
        <f ca="1">IFERROR(__xludf.DUMMYFUNCTION("""COMPUTED_VALUE"""),"C2025106163520117")</f>
        <v>C2025106163520117</v>
      </c>
      <c r="J1474" s="33" t="str">
        <f ca="1">IFERROR(__xludf.DUMMYFUNCTION("""COMPUTED_VALUE"""),"IRENE PEREZ FEIJOO")</f>
        <v>IRENE PEREZ FEIJOO</v>
      </c>
      <c r="K1474" s="33">
        <f ca="1">IFERROR(__xludf.DUMMYFUNCTION("""COMPUTED_VALUE"""),2)</f>
        <v>2</v>
      </c>
      <c r="L1474" s="203">
        <f ca="1">IFERROR(__xludf.DUMMYFUNCTION("""COMPUTED_VALUE"""),3631.82)</f>
        <v>3631.82</v>
      </c>
      <c r="M1474" s="33" t="str">
        <f ca="1">IFERROR(__xludf.DUMMYFUNCTION("""COMPUTED_VALUE"""),"03 ORL")</f>
        <v>03 ORL</v>
      </c>
      <c r="N1474" s="33" t="str">
        <f ca="1">IFERROR(__xludf.DUMMYFUNCTION("""COMPUTED_VALUE"""),"06 ORL")</f>
        <v>06 ORL</v>
      </c>
      <c r="O1474" s="33" t="str">
        <f ca="1">IFERROR(__xludf.DUMMYFUNCTION("""COMPUTED_VALUE"""),"Dra, Ana Quintana Sanjuan")</f>
        <v>Dra, Ana Quintana Sanjuan</v>
      </c>
      <c r="P1474" s="33" t="str">
        <f ca="1">IFERROR(__xludf.DUMMYFUNCTION("""COMPUTED_VALUE"""),"Roberto Pereira (Galicia)")</f>
        <v>Roberto Pereira (Galicia)</v>
      </c>
    </row>
    <row r="1475" spans="2:16">
      <c r="B1475" s="33">
        <f ca="1">IFERROR(__xludf.DUMMYFUNCTION("""COMPUTED_VALUE"""),2025)</f>
        <v>2025</v>
      </c>
      <c r="C1475" s="33">
        <f ca="1">IFERROR(__xludf.DUMMYFUNCTION("""COMPUTED_VALUE"""),11)</f>
        <v>11</v>
      </c>
      <c r="D1475" s="33" t="str">
        <f ca="1">IFERROR(__xludf.DUMMYFUNCTION("""COMPUTED_VALUE"""),"NO")</f>
        <v>NO</v>
      </c>
      <c r="E1475" s="33" t="str">
        <f ca="1">IFERROR(__xludf.DUMMYFUNCTION("""COMPUTED_VALUE"""),"Leganés")</f>
        <v>Leganés</v>
      </c>
      <c r="F1475" s="57">
        <f ca="1">IFERROR(__xludf.DUMMYFUNCTION("""COMPUTED_VALUE"""),45979)</f>
        <v>45979</v>
      </c>
      <c r="G1475" s="57">
        <f ca="1">IFERROR(__xludf.DUMMYFUNCTION("""COMPUTED_VALUE"""),45939)</f>
        <v>45939</v>
      </c>
      <c r="H1475" s="33" t="str">
        <f ca="1">IFERROR(__xludf.DUMMYFUNCTION("""COMPUTED_VALUE"""),"Leganés")</f>
        <v>Leganés</v>
      </c>
      <c r="I1475" s="33" t="str">
        <f ca="1">IFERROR(__xludf.DUMMYFUNCTION("""COMPUTED_VALUE"""),"C202510149553783")</f>
        <v>C202510149553783</v>
      </c>
      <c r="J1475" s="33" t="str">
        <f ca="1">IFERROR(__xludf.DUMMYFUNCTION("""COMPUTED_VALUE"""),"MARIA ANTONIA DE LA TORRE SANZ")</f>
        <v>MARIA ANTONIA DE LA TORRE SANZ</v>
      </c>
      <c r="K1475" s="33">
        <f ca="1">IFERROR(__xludf.DUMMYFUNCTION("""COMPUTED_VALUE"""),2)</f>
        <v>2</v>
      </c>
      <c r="L1475" s="203">
        <f ca="1">IFERROR(__xludf.DUMMYFUNCTION("""COMPUTED_VALUE"""),3631.82)</f>
        <v>3631.82</v>
      </c>
      <c r="M1475" s="33" t="str">
        <f ca="1">IFERROR(__xludf.DUMMYFUNCTION("""COMPUTED_VALUE"""),"03 ORL")</f>
        <v>03 ORL</v>
      </c>
      <c r="N1475" s="33" t="str">
        <f ca="1">IFERROR(__xludf.DUMMYFUNCTION("""COMPUTED_VALUE"""),"06 ORL")</f>
        <v>06 ORL</v>
      </c>
      <c r="O1475" s="33" t="str">
        <f ca="1">IFERROR(__xludf.DUMMYFUNCTION("""COMPUTED_VALUE"""),"Dra, Elena Martín Bejerano")</f>
        <v>Dra, Elena Martín Bejerano</v>
      </c>
      <c r="P1475" s="33" t="str">
        <f ca="1">IFERROR(__xludf.DUMMYFUNCTION("""COMPUTED_VALUE"""),"Maika Blázquez (Madrid)")</f>
        <v>Maika Blázquez (Madrid)</v>
      </c>
    </row>
    <row r="1476" spans="2:16">
      <c r="B1476" s="33">
        <f ca="1">IFERROR(__xludf.DUMMYFUNCTION("""COMPUTED_VALUE"""),2025)</f>
        <v>2025</v>
      </c>
      <c r="C1476" s="33">
        <f ca="1">IFERROR(__xludf.DUMMYFUNCTION("""COMPUTED_VALUE"""),11)</f>
        <v>11</v>
      </c>
      <c r="D1476" s="33" t="str">
        <f ca="1">IFERROR(__xludf.DUMMYFUNCTION("""COMPUTED_VALUE"""),"NO")</f>
        <v>NO</v>
      </c>
      <c r="E1476" s="33" t="str">
        <f ca="1">IFERROR(__xludf.DUMMYFUNCTION("""COMPUTED_VALUE"""),"Alicante")</f>
        <v>Alicante</v>
      </c>
      <c r="F1476" s="57">
        <f ca="1">IFERROR(__xludf.DUMMYFUNCTION("""COMPUTED_VALUE"""),45979)</f>
        <v>45979</v>
      </c>
      <c r="G1476" s="57">
        <f ca="1">IFERROR(__xludf.DUMMYFUNCTION("""COMPUTED_VALUE"""),45932)</f>
        <v>45932</v>
      </c>
      <c r="H1476" s="33" t="str">
        <f ca="1">IFERROR(__xludf.DUMMYFUNCTION("""COMPUTED_VALUE"""),"Alicante")</f>
        <v>Alicante</v>
      </c>
      <c r="I1476" s="33" t="str">
        <f ca="1">IFERROR(__xludf.DUMMYFUNCTION("""COMPUTED_VALUE"""),"C20251015101126750")</f>
        <v>C20251015101126750</v>
      </c>
      <c r="J1476" s="33" t="str">
        <f ca="1">IFERROR(__xludf.DUMMYFUNCTION("""COMPUTED_VALUE"""),"JUAN SABATER CARBONELL")</f>
        <v>JUAN SABATER CARBONELL</v>
      </c>
      <c r="K1476" s="33">
        <f ca="1">IFERROR(__xludf.DUMMYFUNCTION("""COMPUTED_VALUE"""),2)</f>
        <v>2</v>
      </c>
      <c r="L1476" s="203">
        <f ca="1">IFERROR(__xludf.DUMMYFUNCTION("""COMPUTED_VALUE"""),2718.18)</f>
        <v>2718.18</v>
      </c>
      <c r="M1476" s="33" t="str">
        <f ca="1">IFERROR(__xludf.DUMMYFUNCTION("""COMPUTED_VALUE"""),"03 ORL")</f>
        <v>03 ORL</v>
      </c>
      <c r="N1476" s="33" t="str">
        <f ca="1">IFERROR(__xludf.DUMMYFUNCTION("""COMPUTED_VALUE"""),"06 ORL")</f>
        <v>06 ORL</v>
      </c>
      <c r="O1476" s="33" t="str">
        <f ca="1">IFERROR(__xludf.DUMMYFUNCTION("""COMPUTED_VALUE"""),"Dr, Guillermo Severá Ferrandiz")</f>
        <v>Dr, Guillermo Severá Ferrandiz</v>
      </c>
      <c r="P1476" s="33" t="str">
        <f ca="1">IFERROR(__xludf.DUMMYFUNCTION("""COMPUTED_VALUE"""),"Iván Sánchez (Levante Y Albacete)")</f>
        <v>Iván Sánchez (Levante Y Albacete)</v>
      </c>
    </row>
    <row r="1477" spans="2:16">
      <c r="B1477" s="33">
        <f ca="1">IFERROR(__xludf.DUMMYFUNCTION("""COMPUTED_VALUE"""),2025)</f>
        <v>2025</v>
      </c>
      <c r="C1477" s="33">
        <f ca="1">IFERROR(__xludf.DUMMYFUNCTION("""COMPUTED_VALUE"""),11)</f>
        <v>11</v>
      </c>
      <c r="D1477" s="33" t="str">
        <f ca="1">IFERROR(__xludf.DUMMYFUNCTION("""COMPUTED_VALUE"""),"NO")</f>
        <v>NO</v>
      </c>
      <c r="E1477" s="33" t="str">
        <f ca="1">IFERROR(__xludf.DUMMYFUNCTION("""COMPUTED_VALUE"""),"Albacete")</f>
        <v>Albacete</v>
      </c>
      <c r="F1477" s="57">
        <f ca="1">IFERROR(__xludf.DUMMYFUNCTION("""COMPUTED_VALUE"""),45979)</f>
        <v>45979</v>
      </c>
      <c r="G1477" s="57">
        <f ca="1">IFERROR(__xludf.DUMMYFUNCTION("""COMPUTED_VALUE"""),45040)</f>
        <v>45040</v>
      </c>
      <c r="H1477" s="33" t="str">
        <f ca="1">IFERROR(__xludf.DUMMYFUNCTION("""COMPUTED_VALUE"""),"Albacete")</f>
        <v>Albacete</v>
      </c>
      <c r="I1477" s="33" t="str">
        <f ca="1">IFERROR(__xludf.DUMMYFUNCTION("""COMPUTED_VALUE"""),"ALB-589")</f>
        <v>ALB-589</v>
      </c>
      <c r="J1477" s="33" t="str">
        <f ca="1">IFERROR(__xludf.DUMMYFUNCTION("""COMPUTED_VALUE"""),"JUAN ANTONIO SANCHEZ NUÑEZ")</f>
        <v>JUAN ANTONIO SANCHEZ NUÑEZ</v>
      </c>
      <c r="K1477" s="33">
        <f ca="1">IFERROR(__xludf.DUMMYFUNCTION("""COMPUTED_VALUE"""),2)</f>
        <v>2</v>
      </c>
      <c r="L1477" s="203">
        <f ca="1">IFERROR(__xludf.DUMMYFUNCTION("""COMPUTED_VALUE"""),3268.64)</f>
        <v>3268.64</v>
      </c>
      <c r="M1477" s="33" t="str">
        <f ca="1">IFERROR(__xludf.DUMMYFUNCTION("""COMPUTED_VALUE"""),"03 ORL")</f>
        <v>03 ORL</v>
      </c>
      <c r="N1477" s="33" t="str">
        <f ca="1">IFERROR(__xludf.DUMMYFUNCTION("""COMPUTED_VALUE"""),"06 ORL")</f>
        <v>06 ORL</v>
      </c>
      <c r="O1477" s="33" t="str">
        <f ca="1">IFERROR(__xludf.DUMMYFUNCTION("""COMPUTED_VALUE"""),"Dr, Máximo Rafael García Rodríguez")</f>
        <v>Dr, Máximo Rafael García Rodríguez</v>
      </c>
      <c r="P1477" s="33" t="str">
        <f ca="1">IFERROR(__xludf.DUMMYFUNCTION("""COMPUTED_VALUE"""),"Iván Sánchez (Levante Y Albacete)")</f>
        <v>Iván Sánchez (Levante Y Albacete)</v>
      </c>
    </row>
    <row r="1478" spans="2:16">
      <c r="B1478" s="33">
        <f ca="1">IFERROR(__xludf.DUMMYFUNCTION("""COMPUTED_VALUE"""),2025)</f>
        <v>2025</v>
      </c>
      <c r="C1478" s="33">
        <f ca="1">IFERROR(__xludf.DUMMYFUNCTION("""COMPUTED_VALUE"""),11)</f>
        <v>11</v>
      </c>
      <c r="D1478" s="33" t="str">
        <f ca="1">IFERROR(__xludf.DUMMYFUNCTION("""COMPUTED_VALUE"""),"NO")</f>
        <v>NO</v>
      </c>
      <c r="E1478" s="33" t="str">
        <f ca="1">IFERROR(__xludf.DUMMYFUNCTION("""COMPUTED_VALUE"""),"Murcia")</f>
        <v>Murcia</v>
      </c>
      <c r="F1478" s="57">
        <f ca="1">IFERROR(__xludf.DUMMYFUNCTION("""COMPUTED_VALUE"""),45979)</f>
        <v>45979</v>
      </c>
      <c r="G1478" s="57">
        <f ca="1">IFERROR(__xludf.DUMMYFUNCTION("""COMPUTED_VALUE"""),45944)</f>
        <v>45944</v>
      </c>
      <c r="H1478" s="33" t="str">
        <f ca="1">IFERROR(__xludf.DUMMYFUNCTION("""COMPUTED_VALUE"""),"Murcia")</f>
        <v>Murcia</v>
      </c>
      <c r="I1478" s="33" t="str">
        <f ca="1">IFERROR(__xludf.DUMMYFUNCTION("""COMPUTED_VALUE"""),"C202510141114428962")</f>
        <v>C202510141114428962</v>
      </c>
      <c r="J1478" s="33" t="str">
        <f ca="1">IFERROR(__xludf.DUMMYFUNCTION("""COMPUTED_VALUE"""),"MIGUEL ANGEL MORENO FERNANDEZ")</f>
        <v>MIGUEL ANGEL MORENO FERNANDEZ</v>
      </c>
      <c r="K1478" s="33">
        <f ca="1">IFERROR(__xludf.DUMMYFUNCTION("""COMPUTED_VALUE"""),2)</f>
        <v>2</v>
      </c>
      <c r="L1478" s="203">
        <f ca="1">IFERROR(__xludf.DUMMYFUNCTION("""COMPUTED_VALUE"""),4136.36)</f>
        <v>4136.3599999999997</v>
      </c>
      <c r="M1478" s="33" t="str">
        <f ca="1">IFERROR(__xludf.DUMMYFUNCTION("""COMPUTED_VALUE"""),"03 ORL")</f>
        <v>03 ORL</v>
      </c>
      <c r="N1478" s="33" t="str">
        <f ca="1">IFERROR(__xludf.DUMMYFUNCTION("""COMPUTED_VALUE"""),"06 ORL")</f>
        <v>06 ORL</v>
      </c>
      <c r="O1478" s="33" t="str">
        <f ca="1">IFERROR(__xludf.DUMMYFUNCTION("""COMPUTED_VALUE"""),"Dra, Aida Aviñoa Arias")</f>
        <v>Dra, Aida Aviñoa Arias</v>
      </c>
      <c r="P1478" s="33" t="str">
        <f ca="1">IFERROR(__xludf.DUMMYFUNCTION("""COMPUTED_VALUE"""),"Iván Sánchez (Levante Y Albacete)")</f>
        <v>Iván Sánchez (Levante Y Albacete)</v>
      </c>
    </row>
    <row r="1479" spans="2:16">
      <c r="B1479" s="33">
        <f ca="1">IFERROR(__xludf.DUMMYFUNCTION("""COMPUTED_VALUE"""),2025)</f>
        <v>2025</v>
      </c>
      <c r="C1479" s="33">
        <f ca="1">IFERROR(__xludf.DUMMYFUNCTION("""COMPUTED_VALUE"""),11)</f>
        <v>11</v>
      </c>
      <c r="D1479" s="33" t="str">
        <f ca="1">IFERROR(__xludf.DUMMYFUNCTION("""COMPUTED_VALUE"""),"NO")</f>
        <v>NO</v>
      </c>
      <c r="E1479" s="33" t="str">
        <f ca="1">IFERROR(__xludf.DUMMYFUNCTION("""COMPUTED_VALUE"""),"Madrid- La Oca")</f>
        <v>Madrid- La Oca</v>
      </c>
      <c r="F1479" s="57">
        <f ca="1">IFERROR(__xludf.DUMMYFUNCTION("""COMPUTED_VALUE"""),45979)</f>
        <v>45979</v>
      </c>
      <c r="G1479" s="57">
        <f ca="1">IFERROR(__xludf.DUMMYFUNCTION("""COMPUTED_VALUE"""),45968)</f>
        <v>45968</v>
      </c>
      <c r="H1479" s="33" t="str">
        <f ca="1">IFERROR(__xludf.DUMMYFUNCTION("""COMPUTED_VALUE"""),"La Oca")</f>
        <v>La Oca</v>
      </c>
      <c r="I1479" s="33" t="str">
        <f ca="1">IFERROR(__xludf.DUMMYFUNCTION("""COMPUTED_VALUE"""),"C202511716403437887")</f>
        <v>C202511716403437887</v>
      </c>
      <c r="J1479" s="33" t="str">
        <f ca="1">IFERROR(__xludf.DUMMYFUNCTION("""COMPUTED_VALUE"""),"VALENTIN DIAZ CALDERON")</f>
        <v>VALENTIN DIAZ CALDERON</v>
      </c>
      <c r="K1479" s="33">
        <f ca="1">IFERROR(__xludf.DUMMYFUNCTION("""COMPUTED_VALUE"""),2)</f>
        <v>2</v>
      </c>
      <c r="L1479" s="203">
        <f ca="1">IFERROR(__xludf.DUMMYFUNCTION("""COMPUTED_VALUE"""),3631.82)</f>
        <v>3631.82</v>
      </c>
      <c r="M1479" s="33" t="str">
        <f ca="1">IFERROR(__xludf.DUMMYFUNCTION("""COMPUTED_VALUE"""),"03 ORL")</f>
        <v>03 ORL</v>
      </c>
      <c r="N1479" s="33" t="str">
        <f ca="1">IFERROR(__xludf.DUMMYFUNCTION("""COMPUTED_VALUE"""),"06 ORL")</f>
        <v>06 ORL</v>
      </c>
      <c r="O1479" s="33" t="str">
        <f ca="1">IFERROR(__xludf.DUMMYFUNCTION("""COMPUTED_VALUE"""),"No recuerda ORL")</f>
        <v>No recuerda ORL</v>
      </c>
      <c r="P1479" s="33" t="str">
        <f ca="1">IFERROR(__xludf.DUMMYFUNCTION("""COMPUTED_VALUE"""),"Maika Blázquez (Madrid)")</f>
        <v>Maika Blázquez (Madrid)</v>
      </c>
    </row>
    <row r="1480" spans="2:16">
      <c r="B1480" s="33">
        <f ca="1">IFERROR(__xludf.DUMMYFUNCTION("""COMPUTED_VALUE"""),2025)</f>
        <v>2025</v>
      </c>
      <c r="C1480" s="33">
        <f ca="1">IFERROR(__xludf.DUMMYFUNCTION("""COMPUTED_VALUE"""),11)</f>
        <v>11</v>
      </c>
      <c r="D1480" s="33" t="str">
        <f ca="1">IFERROR(__xludf.DUMMYFUNCTION("""COMPUTED_VALUE"""),"NO")</f>
        <v>NO</v>
      </c>
      <c r="E1480" s="33" t="str">
        <f ca="1">IFERROR(__xludf.DUMMYFUNCTION("""COMPUTED_VALUE"""),"Murcia")</f>
        <v>Murcia</v>
      </c>
      <c r="F1480" s="57">
        <f ca="1">IFERROR(__xludf.DUMMYFUNCTION("""COMPUTED_VALUE"""),45979)</f>
        <v>45979</v>
      </c>
      <c r="G1480" s="57">
        <f ca="1">IFERROR(__xludf.DUMMYFUNCTION("""COMPUTED_VALUE"""),45951)</f>
        <v>45951</v>
      </c>
      <c r="H1480" s="33" t="str">
        <f ca="1">IFERROR(__xludf.DUMMYFUNCTION("""COMPUTED_VALUE"""),"Murcia")</f>
        <v>Murcia</v>
      </c>
      <c r="I1480" s="33" t="str">
        <f ca="1">IFERROR(__xludf.DUMMYFUNCTION("""COMPUTED_VALUE"""),"C202510211354136208")</f>
        <v>C202510211354136208</v>
      </c>
      <c r="J1480" s="33" t="str">
        <f ca="1">IFERROR(__xludf.DUMMYFUNCTION("""COMPUTED_VALUE"""),"JOSEFA MENCHON RIOS")</f>
        <v>JOSEFA MENCHON RIOS</v>
      </c>
      <c r="K1480" s="33">
        <f ca="1">IFERROR(__xludf.DUMMYFUNCTION("""COMPUTED_VALUE"""),2)</f>
        <v>2</v>
      </c>
      <c r="L1480" s="203">
        <f ca="1">IFERROR(__xludf.DUMMYFUNCTION("""COMPUTED_VALUE"""),2717.31)</f>
        <v>2717.31</v>
      </c>
      <c r="M1480" s="33" t="str">
        <f ca="1">IFERROR(__xludf.DUMMYFUNCTION("""COMPUTED_VALUE"""),"03 ORL")</f>
        <v>03 ORL</v>
      </c>
      <c r="N1480" s="33" t="str">
        <f ca="1">IFERROR(__xludf.DUMMYFUNCTION("""COMPUTED_VALUE"""),"06 ORL")</f>
        <v>06 ORL</v>
      </c>
      <c r="O1480" s="33" t="str">
        <f ca="1">IFERROR(__xludf.DUMMYFUNCTION("""COMPUTED_VALUE"""),"Dr, Miguel Lucas Herrera")</f>
        <v>Dr, Miguel Lucas Herrera</v>
      </c>
      <c r="P1480" s="33" t="str">
        <f ca="1">IFERROR(__xludf.DUMMYFUNCTION("""COMPUTED_VALUE"""),"Iván Sánchez (Levante Y Albacete)")</f>
        <v>Iván Sánchez (Levante Y Albacete)</v>
      </c>
    </row>
    <row r="1481" spans="2:16">
      <c r="B1481" s="33">
        <f ca="1">IFERROR(__xludf.DUMMYFUNCTION("""COMPUTED_VALUE"""),2025)</f>
        <v>2025</v>
      </c>
      <c r="C1481" s="33">
        <f ca="1">IFERROR(__xludf.DUMMYFUNCTION("""COMPUTED_VALUE"""),11)</f>
        <v>11</v>
      </c>
      <c r="D1481" s="33" t="str">
        <f ca="1">IFERROR(__xludf.DUMMYFUNCTION("""COMPUTED_VALUE"""),"NO")</f>
        <v>NO</v>
      </c>
      <c r="E1481" s="33" t="str">
        <f ca="1">IFERROR(__xludf.DUMMYFUNCTION("""COMPUTED_VALUE"""),"Madrid- La Oca")</f>
        <v>Madrid- La Oca</v>
      </c>
      <c r="F1481" s="57">
        <f ca="1">IFERROR(__xludf.DUMMYFUNCTION("""COMPUTED_VALUE"""),45979)</f>
        <v>45979</v>
      </c>
      <c r="G1481" s="57">
        <f ca="1">IFERROR(__xludf.DUMMYFUNCTION("""COMPUTED_VALUE"""),45953)</f>
        <v>45953</v>
      </c>
      <c r="H1481" s="33" t="str">
        <f ca="1">IFERROR(__xludf.DUMMYFUNCTION("""COMPUTED_VALUE"""),"La Oca")</f>
        <v>La Oca</v>
      </c>
      <c r="I1481" s="33" t="str">
        <f ca="1">IFERROR(__xludf.DUMMYFUNCTION("""COMPUTED_VALUE"""),"C202510239535946869")</f>
        <v>C202510239535946869</v>
      </c>
      <c r="J1481" s="33" t="str">
        <f ca="1">IFERROR(__xludf.DUMMYFUNCTION("""COMPUTED_VALUE"""),"FRANCISCO DONAIRE AGUDO")</f>
        <v>FRANCISCO DONAIRE AGUDO</v>
      </c>
      <c r="K1481" s="33">
        <f ca="1">IFERROR(__xludf.DUMMYFUNCTION("""COMPUTED_VALUE"""),2)</f>
        <v>2</v>
      </c>
      <c r="L1481" s="203">
        <f ca="1">IFERROR(__xludf.DUMMYFUNCTION("""COMPUTED_VALUE"""),3631.82)</f>
        <v>3631.82</v>
      </c>
      <c r="M1481" s="33" t="str">
        <f ca="1">IFERROR(__xludf.DUMMYFUNCTION("""COMPUTED_VALUE"""),"03 ORL")</f>
        <v>03 ORL</v>
      </c>
      <c r="N1481" s="33" t="str">
        <f ca="1">IFERROR(__xludf.DUMMYFUNCTION("""COMPUTED_VALUE"""),"06 ORL")</f>
        <v>06 ORL</v>
      </c>
      <c r="O1481" s="33" t="str">
        <f ca="1">IFERROR(__xludf.DUMMYFUNCTION("""COMPUTED_VALUE"""),"Dr, José Joaquín Gutiérrez Barquín")</f>
        <v>Dr, José Joaquín Gutiérrez Barquín</v>
      </c>
      <c r="P1481" s="33" t="str">
        <f ca="1">IFERROR(__xludf.DUMMYFUNCTION("""COMPUTED_VALUE"""),"Maika Blázquez (Madrid)")</f>
        <v>Maika Blázquez (Madrid)</v>
      </c>
    </row>
    <row r="1482" spans="2:16">
      <c r="B1482" s="33">
        <f ca="1">IFERROR(__xludf.DUMMYFUNCTION("""COMPUTED_VALUE"""),2025)</f>
        <v>2025</v>
      </c>
      <c r="C1482" s="33">
        <f ca="1">IFERROR(__xludf.DUMMYFUNCTION("""COMPUTED_VALUE"""),11)</f>
        <v>11</v>
      </c>
      <c r="D1482" s="33" t="str">
        <f ca="1">IFERROR(__xludf.DUMMYFUNCTION("""COMPUTED_VALUE"""),"NO")</f>
        <v>NO</v>
      </c>
      <c r="E1482" s="33" t="str">
        <f ca="1">IFERROR(__xludf.DUMMYFUNCTION("""COMPUTED_VALUE"""),"Logroño")</f>
        <v>Logroño</v>
      </c>
      <c r="F1482" s="57">
        <f ca="1">IFERROR(__xludf.DUMMYFUNCTION("""COMPUTED_VALUE"""),45979)</f>
        <v>45979</v>
      </c>
      <c r="G1482" s="57">
        <f ca="1">IFERROR(__xludf.DUMMYFUNCTION("""COMPUTED_VALUE"""),45937)</f>
        <v>45937</v>
      </c>
      <c r="H1482" s="33" t="str">
        <f ca="1">IFERROR(__xludf.DUMMYFUNCTION("""COMPUTED_VALUE"""),"Logroño")</f>
        <v>Logroño</v>
      </c>
      <c r="I1482" s="33" t="str">
        <f ca="1">IFERROR(__xludf.DUMMYFUNCTION("""COMPUTED_VALUE"""),"LOG-1420")</f>
        <v>LOG-1420</v>
      </c>
      <c r="J1482" s="33" t="str">
        <f ca="1">IFERROR(__xludf.DUMMYFUNCTION("""COMPUTED_VALUE"""),"EDUARDO ARISTE AISA")</f>
        <v>EDUARDO ARISTE AISA</v>
      </c>
      <c r="K1482" s="33">
        <f ca="1">IFERROR(__xludf.DUMMYFUNCTION("""COMPUTED_VALUE"""),-2)</f>
        <v>-2</v>
      </c>
      <c r="L1482" s="203">
        <f ca="1">IFERROR(__xludf.DUMMYFUNCTION("""COMPUTED_VALUE"""),-2718.18)</f>
        <v>-2718.18</v>
      </c>
      <c r="M1482" s="33" t="str">
        <f ca="1">IFERROR(__xludf.DUMMYFUNCTION("""COMPUTED_VALUE"""),"03 ORL")</f>
        <v>03 ORL</v>
      </c>
      <c r="N1482" s="33" t="str">
        <f ca="1">IFERROR(__xludf.DUMMYFUNCTION("""COMPUTED_VALUE"""),"06 ORL")</f>
        <v>06 ORL</v>
      </c>
      <c r="O1482" s="33" t="str">
        <f ca="1">IFERROR(__xludf.DUMMYFUNCTION("""COMPUTED_VALUE"""),"Dr, Fernando Salazar Barcelona")</f>
        <v>Dr, Fernando Salazar Barcelona</v>
      </c>
      <c r="P1482" s="33" t="str">
        <f ca="1">IFERROR(__xludf.DUMMYFUNCTION("""COMPUTED_VALUE"""),"Lisandro Russian (Madrid, Cáceres, Toledo, Talavera Y Logroño)")</f>
        <v>Lisandro Russian (Madrid, Cáceres, Toledo, Talavera Y Logroño)</v>
      </c>
    </row>
    <row r="1483" spans="2:16">
      <c r="B1483" s="33">
        <f ca="1">IFERROR(__xludf.DUMMYFUNCTION("""COMPUTED_VALUE"""),2025)</f>
        <v>2025</v>
      </c>
      <c r="C1483" s="33">
        <f ca="1">IFERROR(__xludf.DUMMYFUNCTION("""COMPUTED_VALUE"""),11)</f>
        <v>11</v>
      </c>
      <c r="D1483" s="33" t="str">
        <f ca="1">IFERROR(__xludf.DUMMYFUNCTION("""COMPUTED_VALUE"""),"NO")</f>
        <v>NO</v>
      </c>
      <c r="E1483" s="33" t="str">
        <f ca="1">IFERROR(__xludf.DUMMYFUNCTION("""COMPUTED_VALUE"""),"Móstoles")</f>
        <v>Móstoles</v>
      </c>
      <c r="F1483" s="57">
        <f ca="1">IFERROR(__xludf.DUMMYFUNCTION("""COMPUTED_VALUE"""),45979)</f>
        <v>45979</v>
      </c>
      <c r="G1483" s="57">
        <f ca="1">IFERROR(__xludf.DUMMYFUNCTION("""COMPUTED_VALUE"""),45947)</f>
        <v>45947</v>
      </c>
      <c r="H1483" s="33" t="str">
        <f ca="1">IFERROR(__xludf.DUMMYFUNCTION("""COMPUTED_VALUE"""),"Móstoles")</f>
        <v>Móstoles</v>
      </c>
      <c r="I1483" s="33" t="str">
        <f ca="1">IFERROR(__xludf.DUMMYFUNCTION("""COMPUTED_VALUE"""),"C202510171515509044")</f>
        <v>C202510171515509044</v>
      </c>
      <c r="J1483" s="33" t="str">
        <f ca="1">IFERROR(__xludf.DUMMYFUNCTION("""COMPUTED_VALUE"""),"EUSEBIO FERNANDEZ PEREZ")</f>
        <v>EUSEBIO FERNANDEZ PEREZ</v>
      </c>
      <c r="K1483" s="33">
        <f ca="1">IFERROR(__xludf.DUMMYFUNCTION("""COMPUTED_VALUE"""),2)</f>
        <v>2</v>
      </c>
      <c r="L1483" s="203">
        <f ca="1">IFERROR(__xludf.DUMMYFUNCTION("""COMPUTED_VALUE"""),2718.18)</f>
        <v>2718.18</v>
      </c>
      <c r="M1483" s="33" t="str">
        <f ca="1">IFERROR(__xludf.DUMMYFUNCTION("""COMPUTED_VALUE"""),"04 TIENDA")</f>
        <v>04 TIENDA</v>
      </c>
      <c r="N1483" s="33" t="str">
        <f ca="1">IFERROR(__xludf.DUMMYFUNCTION("""COMPUTED_VALUE"""),"07 BOCA/BOCA")</f>
        <v>07 BOCA/BOCA</v>
      </c>
      <c r="O1483" s="33" t="str">
        <f ca="1">IFERROR(__xludf.DUMMYFUNCTION("""COMPUTED_VALUE"""),"No recuerda ORL")</f>
        <v>No recuerda ORL</v>
      </c>
      <c r="P1483" s="33" t="str">
        <f ca="1">IFERROR(__xludf.DUMMYFUNCTION("""COMPUTED_VALUE"""),"Maika Blázquez (Madrid)")</f>
        <v>Maika Blázquez (Madrid)</v>
      </c>
    </row>
    <row r="1484" spans="2:16">
      <c r="B1484" s="33">
        <f ca="1">IFERROR(__xludf.DUMMYFUNCTION("""COMPUTED_VALUE"""),2025)</f>
        <v>2025</v>
      </c>
      <c r="C1484" s="33">
        <f ca="1">IFERROR(__xludf.DUMMYFUNCTION("""COMPUTED_VALUE"""),11)</f>
        <v>11</v>
      </c>
      <c r="D1484" s="33" t="str">
        <f ca="1">IFERROR(__xludf.DUMMYFUNCTION("""COMPUTED_VALUE"""),"NO")</f>
        <v>NO</v>
      </c>
      <c r="E1484" s="33" t="str">
        <f ca="1">IFERROR(__xludf.DUMMYFUNCTION("""COMPUTED_VALUE"""),"Sevilla- Ciencias")</f>
        <v>Sevilla- Ciencias</v>
      </c>
      <c r="F1484" s="57">
        <f ca="1">IFERROR(__xludf.DUMMYFUNCTION("""COMPUTED_VALUE"""),45980)</f>
        <v>45980</v>
      </c>
      <c r="G1484" s="57">
        <f ca="1">IFERROR(__xludf.DUMMYFUNCTION("""COMPUTED_VALUE"""),45950)</f>
        <v>45950</v>
      </c>
      <c r="H1484" s="33" t="str">
        <f ca="1">IFERROR(__xludf.DUMMYFUNCTION("""COMPUTED_VALUE"""),"Sevilla Este")</f>
        <v>Sevilla Este</v>
      </c>
      <c r="I1484" s="33" t="str">
        <f ca="1">IFERROR(__xludf.DUMMYFUNCTION("""COMPUTED_VALUE"""),"SEVE-466")</f>
        <v>SEVE-466</v>
      </c>
      <c r="J1484" s="33" t="str">
        <f ca="1">IFERROR(__xludf.DUMMYFUNCTION("""COMPUTED_VALUE"""),"MANUEL MORALES CEPEDA")</f>
        <v>MANUEL MORALES CEPEDA</v>
      </c>
      <c r="K1484" s="33">
        <f ca="1">IFERROR(__xludf.DUMMYFUNCTION("""COMPUTED_VALUE"""),1)</f>
        <v>1</v>
      </c>
      <c r="L1484" s="203">
        <f ca="1">IFERROR(__xludf.DUMMYFUNCTION("""COMPUTED_VALUE"""),2471.82)</f>
        <v>2471.8200000000002</v>
      </c>
      <c r="M1484" s="33" t="str">
        <f ca="1">IFERROR(__xludf.DUMMYFUNCTION("""COMPUTED_VALUE"""),"03 ORL")</f>
        <v>03 ORL</v>
      </c>
      <c r="N1484" s="33" t="str">
        <f ca="1">IFERROR(__xludf.DUMMYFUNCTION("""COMPUTED_VALUE"""),"06 ORL")</f>
        <v>06 ORL</v>
      </c>
      <c r="O1484" s="33" t="str">
        <f ca="1">IFERROR(__xludf.DUMMYFUNCTION("""COMPUTED_VALUE"""),"Dra, Estefanía Berrocal Postigo")</f>
        <v>Dra, Estefanía Berrocal Postigo</v>
      </c>
      <c r="P1484" s="33" t="str">
        <f ca="1">IFERROR(__xludf.DUMMYFUNCTION("""COMPUTED_VALUE"""),"Luis Alberto Rodríguez (Andalucía Y Badajoz)")</f>
        <v>Luis Alberto Rodríguez (Andalucía Y Badajoz)</v>
      </c>
    </row>
    <row r="1485" spans="2:16">
      <c r="B1485" s="33">
        <f ca="1">IFERROR(__xludf.DUMMYFUNCTION("""COMPUTED_VALUE"""),2025)</f>
        <v>2025</v>
      </c>
      <c r="C1485" s="33">
        <f ca="1">IFERROR(__xludf.DUMMYFUNCTION("""COMPUTED_VALUE"""),11)</f>
        <v>11</v>
      </c>
      <c r="D1485" s="33" t="str">
        <f ca="1">IFERROR(__xludf.DUMMYFUNCTION("""COMPUTED_VALUE"""),"NO")</f>
        <v>NO</v>
      </c>
      <c r="E1485" s="33" t="str">
        <f ca="1">IFERROR(__xludf.DUMMYFUNCTION("""COMPUTED_VALUE"""),"Zaragoza- Santander")</f>
        <v>Zaragoza- Santander</v>
      </c>
      <c r="F1485" s="57">
        <f ca="1">IFERROR(__xludf.DUMMYFUNCTION("""COMPUTED_VALUE"""),45980)</f>
        <v>45980</v>
      </c>
      <c r="G1485" s="57">
        <f ca="1">IFERROR(__xludf.DUMMYFUNCTION("""COMPUTED_VALUE"""),45972)</f>
        <v>45972</v>
      </c>
      <c r="H1485" s="33" t="str">
        <f ca="1">IFERROR(__xludf.DUMMYFUNCTION("""COMPUTED_VALUE"""),"Zaragoza- Santander")</f>
        <v>Zaragoza- Santander</v>
      </c>
      <c r="I1485" s="33" t="str">
        <f ca="1">IFERROR(__xludf.DUMMYFUNCTION("""COMPUTED_VALUE"""),"C202511119134290355")</f>
        <v>C202511119134290355</v>
      </c>
      <c r="J1485" s="33" t="str">
        <f ca="1">IFERROR(__xludf.DUMMYFUNCTION("""COMPUTED_VALUE"""),"JESUS GIMENO QUERO")</f>
        <v>JESUS GIMENO QUERO</v>
      </c>
      <c r="K1485" s="33">
        <f ca="1">IFERROR(__xludf.DUMMYFUNCTION("""COMPUTED_VALUE"""),1)</f>
        <v>1</v>
      </c>
      <c r="L1485" s="203">
        <f ca="1">IFERROR(__xludf.DUMMYFUNCTION("""COMPUTED_VALUE"""),2263.64)</f>
        <v>2263.64</v>
      </c>
      <c r="M1485" s="33" t="str">
        <f ca="1">IFERROR(__xludf.DUMMYFUNCTION("""COMPUTED_VALUE"""),"03 ORL")</f>
        <v>03 ORL</v>
      </c>
      <c r="N1485" s="33" t="str">
        <f ca="1">IFERROR(__xludf.DUMMYFUNCTION("""COMPUTED_VALUE"""),"06 ORL")</f>
        <v>06 ORL</v>
      </c>
      <c r="O1485" s="33" t="str">
        <f ca="1">IFERROR(__xludf.DUMMYFUNCTION("""COMPUTED_VALUE"""),"Dr, Jaime Leache Pueyo")</f>
        <v>Dr, Jaime Leache Pueyo</v>
      </c>
      <c r="P1485" s="33" t="str">
        <f ca="1">IFERROR(__xludf.DUMMYFUNCTION("""COMPUTED_VALUE"""),"Mercè Cabrera (Cataluña Y Baleares)")</f>
        <v>Mercè Cabrera (Cataluña Y Baleares)</v>
      </c>
    </row>
    <row r="1486" spans="2:16">
      <c r="B1486" s="33">
        <f ca="1">IFERROR(__xludf.DUMMYFUNCTION("""COMPUTED_VALUE"""),2025)</f>
        <v>2025</v>
      </c>
      <c r="C1486" s="33">
        <f ca="1">IFERROR(__xludf.DUMMYFUNCTION("""COMPUTED_VALUE"""),11)</f>
        <v>11</v>
      </c>
      <c r="D1486" s="33" t="str">
        <f ca="1">IFERROR(__xludf.DUMMYFUNCTION("""COMPUTED_VALUE"""),"NO")</f>
        <v>NO</v>
      </c>
      <c r="E1486" s="33" t="str">
        <f ca="1">IFERROR(__xludf.DUMMYFUNCTION("""COMPUTED_VALUE"""),"Leganés")</f>
        <v>Leganés</v>
      </c>
      <c r="F1486" s="57">
        <f ca="1">IFERROR(__xludf.DUMMYFUNCTION("""COMPUTED_VALUE"""),45980)</f>
        <v>45980</v>
      </c>
      <c r="G1486" s="57">
        <f ca="1">IFERROR(__xludf.DUMMYFUNCTION("""COMPUTED_VALUE"""),45961)</f>
        <v>45961</v>
      </c>
      <c r="H1486" s="33" t="str">
        <f ca="1">IFERROR(__xludf.DUMMYFUNCTION("""COMPUTED_VALUE"""),"Leganés")</f>
        <v>Leganés</v>
      </c>
      <c r="I1486" s="33" t="str">
        <f ca="1">IFERROR(__xludf.DUMMYFUNCTION("""COMPUTED_VALUE"""),"C202510311036310045")</f>
        <v>C202510311036310045</v>
      </c>
      <c r="J1486" s="33" t="str">
        <f ca="1">IFERROR(__xludf.DUMMYFUNCTION("""COMPUTED_VALUE"""),"ENGRACIA MBAMUALA MUATETEMA")</f>
        <v>ENGRACIA MBAMUALA MUATETEMA</v>
      </c>
      <c r="K1486" s="33">
        <f ca="1">IFERROR(__xludf.DUMMYFUNCTION("""COMPUTED_VALUE"""),2)</f>
        <v>2</v>
      </c>
      <c r="L1486" s="203">
        <f ca="1">IFERROR(__xludf.DUMMYFUNCTION("""COMPUTED_VALUE"""),3631.82)</f>
        <v>3631.82</v>
      </c>
      <c r="M1486" s="33" t="str">
        <f ca="1">IFERROR(__xludf.DUMMYFUNCTION("""COMPUTED_VALUE"""),"03 ORL")</f>
        <v>03 ORL</v>
      </c>
      <c r="N1486" s="33" t="str">
        <f ca="1">IFERROR(__xludf.DUMMYFUNCTION("""COMPUTED_VALUE"""),"06 ORL")</f>
        <v>06 ORL</v>
      </c>
      <c r="O1486" s="33" t="str">
        <f ca="1">IFERROR(__xludf.DUMMYFUNCTION("""COMPUTED_VALUE"""),"Dr, Jesús Ramos Fernández")</f>
        <v>Dr, Jesús Ramos Fernández</v>
      </c>
      <c r="P1486" s="33" t="str">
        <f ca="1">IFERROR(__xludf.DUMMYFUNCTION("""COMPUTED_VALUE"""),"Maika Blázquez (Madrid)")</f>
        <v>Maika Blázquez (Madrid)</v>
      </c>
    </row>
    <row r="1487" spans="2:16">
      <c r="B1487" s="33">
        <f ca="1">IFERROR(__xludf.DUMMYFUNCTION("""COMPUTED_VALUE"""),2025)</f>
        <v>2025</v>
      </c>
      <c r="C1487" s="33">
        <f ca="1">IFERROR(__xludf.DUMMYFUNCTION("""COMPUTED_VALUE"""),11)</f>
        <v>11</v>
      </c>
      <c r="D1487" s="33" t="str">
        <f ca="1">IFERROR(__xludf.DUMMYFUNCTION("""COMPUTED_VALUE"""),"NO")</f>
        <v>NO</v>
      </c>
      <c r="E1487" s="33" t="str">
        <f ca="1">IFERROR(__xludf.DUMMYFUNCTION("""COMPUTED_VALUE"""),"Murcia")</f>
        <v>Murcia</v>
      </c>
      <c r="F1487" s="57">
        <f ca="1">IFERROR(__xludf.DUMMYFUNCTION("""COMPUTED_VALUE"""),45980)</f>
        <v>45980</v>
      </c>
      <c r="G1487" s="57">
        <f ca="1">IFERROR(__xludf.DUMMYFUNCTION("""COMPUTED_VALUE"""),45950)</f>
        <v>45950</v>
      </c>
      <c r="H1487" s="33" t="str">
        <f ca="1">IFERROR(__xludf.DUMMYFUNCTION("""COMPUTED_VALUE"""),"Murcia")</f>
        <v>Murcia</v>
      </c>
      <c r="I1487" s="33" t="str">
        <f ca="1">IFERROR(__xludf.DUMMYFUNCTION("""COMPUTED_VALUE"""),"C202510207111397193")</f>
        <v>C202510207111397193</v>
      </c>
      <c r="J1487" s="33" t="str">
        <f ca="1">IFERROR(__xludf.DUMMYFUNCTION("""COMPUTED_VALUE"""),"JOSE ROMERO GARCIA")</f>
        <v>JOSE ROMERO GARCIA</v>
      </c>
      <c r="K1487" s="33">
        <f ca="1">IFERROR(__xludf.DUMMYFUNCTION("""COMPUTED_VALUE"""),2)</f>
        <v>2</v>
      </c>
      <c r="L1487" s="203">
        <f ca="1">IFERROR(__xludf.DUMMYFUNCTION("""COMPUTED_VALUE"""),4136.36)</f>
        <v>4136.3599999999997</v>
      </c>
      <c r="M1487" s="33" t="str">
        <f ca="1">IFERROR(__xludf.DUMMYFUNCTION("""COMPUTED_VALUE"""),"03 ORL")</f>
        <v>03 ORL</v>
      </c>
      <c r="N1487" s="33" t="str">
        <f ca="1">IFERROR(__xludf.DUMMYFUNCTION("""COMPUTED_VALUE"""),"06 ORL")</f>
        <v>06 ORL</v>
      </c>
      <c r="O1487" s="33" t="str">
        <f ca="1">IFERROR(__xludf.DUMMYFUNCTION("""COMPUTED_VALUE"""),"Dr, Enrique López Meseguer")</f>
        <v>Dr, Enrique López Meseguer</v>
      </c>
      <c r="P1487" s="33" t="str">
        <f ca="1">IFERROR(__xludf.DUMMYFUNCTION("""COMPUTED_VALUE"""),"Iván Sánchez (Levante Y Albacete)")</f>
        <v>Iván Sánchez (Levante Y Albacete)</v>
      </c>
    </row>
    <row r="1488" spans="2:16">
      <c r="B1488" s="33">
        <f ca="1">IFERROR(__xludf.DUMMYFUNCTION("""COMPUTED_VALUE"""),2025)</f>
        <v>2025</v>
      </c>
      <c r="C1488" s="33">
        <f ca="1">IFERROR(__xludf.DUMMYFUNCTION("""COMPUTED_VALUE"""),11)</f>
        <v>11</v>
      </c>
      <c r="D1488" s="33" t="str">
        <f ca="1">IFERROR(__xludf.DUMMYFUNCTION("""COMPUTED_VALUE"""),"NO")</f>
        <v>NO</v>
      </c>
      <c r="E1488" s="33" t="str">
        <f ca="1">IFERROR(__xludf.DUMMYFUNCTION("""COMPUTED_VALUE"""),"Madrid- Monforte de Lemos")</f>
        <v>Madrid- Monforte de Lemos</v>
      </c>
      <c r="F1488" s="57">
        <f ca="1">IFERROR(__xludf.DUMMYFUNCTION("""COMPUTED_VALUE"""),45980)</f>
        <v>45980</v>
      </c>
      <c r="G1488" s="57">
        <f ca="1">IFERROR(__xludf.DUMMYFUNCTION("""COMPUTED_VALUE"""),45903)</f>
        <v>45903</v>
      </c>
      <c r="H1488" s="33" t="str">
        <f ca="1">IFERROR(__xludf.DUMMYFUNCTION("""COMPUTED_VALUE"""),"La Vaguada")</f>
        <v>La Vaguada</v>
      </c>
      <c r="I1488" s="33" t="str">
        <f ca="1">IFERROR(__xludf.DUMMYFUNCTION("""COMPUTED_VALUE"""),"C2025111212324260")</f>
        <v>C2025111212324260</v>
      </c>
      <c r="J1488" s="33" t="str">
        <f ca="1">IFERROR(__xludf.DUMMYFUNCTION("""COMPUTED_VALUE"""),"TOMASA DELFINA GARCIA CAPELLA")</f>
        <v>TOMASA DELFINA GARCIA CAPELLA</v>
      </c>
      <c r="K1488" s="33">
        <f ca="1">IFERROR(__xludf.DUMMYFUNCTION("""COMPUTED_VALUE"""),1)</f>
        <v>1</v>
      </c>
      <c r="L1488" s="203">
        <f ca="1">IFERROR(__xludf.DUMMYFUNCTION("""COMPUTED_VALUE"""),1631.82)</f>
        <v>1631.82</v>
      </c>
      <c r="M1488" s="33" t="str">
        <f ca="1">IFERROR(__xludf.DUMMYFUNCTION("""COMPUTED_VALUE"""),"03 ORL")</f>
        <v>03 ORL</v>
      </c>
      <c r="N1488" s="33" t="str">
        <f ca="1">IFERROR(__xludf.DUMMYFUNCTION("""COMPUTED_VALUE"""),"06 ORL")</f>
        <v>06 ORL</v>
      </c>
      <c r="O1488" s="33" t="str">
        <f ca="1">IFERROR(__xludf.DUMMYFUNCTION("""COMPUTED_VALUE"""),"Dra, Marta Sanz Rodríguez")</f>
        <v>Dra, Marta Sanz Rodríguez</v>
      </c>
      <c r="P1488" s="33" t="str">
        <f ca="1">IFERROR(__xludf.DUMMYFUNCTION("""COMPUTED_VALUE"""),"Maika Blázquez (Madrid)")</f>
        <v>Maika Blázquez (Madrid)</v>
      </c>
    </row>
    <row r="1489" spans="2:16">
      <c r="B1489" s="33">
        <f ca="1">IFERROR(__xludf.DUMMYFUNCTION("""COMPUTED_VALUE"""),2025)</f>
        <v>2025</v>
      </c>
      <c r="C1489" s="33">
        <f ca="1">IFERROR(__xludf.DUMMYFUNCTION("""COMPUTED_VALUE"""),11)</f>
        <v>11</v>
      </c>
      <c r="D1489" s="33" t="str">
        <f ca="1">IFERROR(__xludf.DUMMYFUNCTION("""COMPUTED_VALUE"""),"NO")</f>
        <v>NO</v>
      </c>
      <c r="E1489" s="33" t="str">
        <f ca="1">IFERROR(__xludf.DUMMYFUNCTION("""COMPUTED_VALUE"""),"Murcia")</f>
        <v>Murcia</v>
      </c>
      <c r="F1489" s="57">
        <f ca="1">IFERROR(__xludf.DUMMYFUNCTION("""COMPUTED_VALUE"""),45980)</f>
        <v>45980</v>
      </c>
      <c r="G1489" s="57">
        <f ca="1">IFERROR(__xludf.DUMMYFUNCTION("""COMPUTED_VALUE"""),45951)</f>
        <v>45951</v>
      </c>
      <c r="H1489" s="33" t="str">
        <f ca="1">IFERROR(__xludf.DUMMYFUNCTION("""COMPUTED_VALUE"""),"Murcia")</f>
        <v>Murcia</v>
      </c>
      <c r="I1489" s="33" t="str">
        <f ca="1">IFERROR(__xludf.DUMMYFUNCTION("""COMPUTED_VALUE"""),"C202510218473447693")</f>
        <v>C202510218473447693</v>
      </c>
      <c r="J1489" s="33" t="str">
        <f ca="1">IFERROR(__xludf.DUMMYFUNCTION("""COMPUTED_VALUE"""),"FRANCISCO HERNANDEZ RUIZ")</f>
        <v>FRANCISCO HERNANDEZ RUIZ</v>
      </c>
      <c r="K1489" s="33">
        <f ca="1">IFERROR(__xludf.DUMMYFUNCTION("""COMPUTED_VALUE"""),1)</f>
        <v>1</v>
      </c>
      <c r="L1489" s="203">
        <f ca="1">IFERROR(__xludf.DUMMYFUNCTION("""COMPUTED_VALUE"""),2722.73)</f>
        <v>2722.73</v>
      </c>
      <c r="M1489" s="33" t="str">
        <f ca="1">IFERROR(__xludf.DUMMYFUNCTION("""COMPUTED_VALUE"""),"03 ORL")</f>
        <v>03 ORL</v>
      </c>
      <c r="N1489" s="33" t="str">
        <f ca="1">IFERROR(__xludf.DUMMYFUNCTION("""COMPUTED_VALUE"""),"06 ORL")</f>
        <v>06 ORL</v>
      </c>
      <c r="O1489" s="33" t="str">
        <f ca="1">IFERROR(__xludf.DUMMYFUNCTION("""COMPUTED_VALUE"""),"Dra, María Agustina Sevilla García")</f>
        <v>Dra, María Agustina Sevilla García</v>
      </c>
      <c r="P1489" s="33" t="str">
        <f ca="1">IFERROR(__xludf.DUMMYFUNCTION("""COMPUTED_VALUE"""),"Iván Sánchez (Levante Y Albacete)")</f>
        <v>Iván Sánchez (Levante Y Albacete)</v>
      </c>
    </row>
    <row r="1490" spans="2:16">
      <c r="B1490" s="33">
        <f ca="1">IFERROR(__xludf.DUMMYFUNCTION("""COMPUTED_VALUE"""),2025)</f>
        <v>2025</v>
      </c>
      <c r="C1490" s="33">
        <f ca="1">IFERROR(__xludf.DUMMYFUNCTION("""COMPUTED_VALUE"""),11)</f>
        <v>11</v>
      </c>
      <c r="D1490" s="33" t="str">
        <f ca="1">IFERROR(__xludf.DUMMYFUNCTION("""COMPUTED_VALUE"""),"NO")</f>
        <v>NO</v>
      </c>
      <c r="E1490" s="33" t="str">
        <f ca="1">IFERROR(__xludf.DUMMYFUNCTION("""COMPUTED_VALUE"""),"Ourense")</f>
        <v>Ourense</v>
      </c>
      <c r="F1490" s="57">
        <f ca="1">IFERROR(__xludf.DUMMYFUNCTION("""COMPUTED_VALUE"""),45980)</f>
        <v>45980</v>
      </c>
      <c r="G1490" s="57">
        <f ca="1">IFERROR(__xludf.DUMMYFUNCTION("""COMPUTED_VALUE"""),45959)</f>
        <v>45959</v>
      </c>
      <c r="H1490" s="33" t="str">
        <f ca="1">IFERROR(__xludf.DUMMYFUNCTION("""COMPUTED_VALUE"""),"Orense")</f>
        <v>Orense</v>
      </c>
      <c r="I1490" s="33" t="str">
        <f ca="1">IFERROR(__xludf.DUMMYFUNCTION("""COMPUTED_VALUE"""),"C202510299453887216")</f>
        <v>C202510299453887216</v>
      </c>
      <c r="J1490" s="33" t="str">
        <f ca="1">IFERROR(__xludf.DUMMYFUNCTION("""COMPUTED_VALUE"""),"JOSE PADRON TABOADA")</f>
        <v>JOSE PADRON TABOADA</v>
      </c>
      <c r="K1490" s="33">
        <f ca="1">IFERROR(__xludf.DUMMYFUNCTION("""COMPUTED_VALUE"""),2)</f>
        <v>2</v>
      </c>
      <c r="L1490" s="203">
        <f ca="1">IFERROR(__xludf.DUMMYFUNCTION("""COMPUTED_VALUE"""),2717.31)</f>
        <v>2717.31</v>
      </c>
      <c r="M1490" s="33" t="str">
        <f ca="1">IFERROR(__xludf.DUMMYFUNCTION("""COMPUTED_VALUE"""),"03 ORL")</f>
        <v>03 ORL</v>
      </c>
      <c r="N1490" s="33" t="str">
        <f ca="1">IFERROR(__xludf.DUMMYFUNCTION("""COMPUTED_VALUE"""),"06 ORL")</f>
        <v>06 ORL</v>
      </c>
      <c r="O1490" s="33" t="str">
        <f ca="1">IFERROR(__xludf.DUMMYFUNCTION("""COMPUTED_VALUE"""),"Dra, María Rey Marcos")</f>
        <v>Dra, María Rey Marcos</v>
      </c>
      <c r="P1490" s="33" t="str">
        <f ca="1">IFERROR(__xludf.DUMMYFUNCTION("""COMPUTED_VALUE"""),"Roberto Pereira (Galicia)")</f>
        <v>Roberto Pereira (Galicia)</v>
      </c>
    </row>
    <row r="1491" spans="2:16">
      <c r="B1491" s="33">
        <f ca="1">IFERROR(__xludf.DUMMYFUNCTION("""COMPUTED_VALUE"""),2025)</f>
        <v>2025</v>
      </c>
      <c r="C1491" s="33">
        <f ca="1">IFERROR(__xludf.DUMMYFUNCTION("""COMPUTED_VALUE"""),11)</f>
        <v>11</v>
      </c>
      <c r="D1491" s="33" t="str">
        <f ca="1">IFERROR(__xludf.DUMMYFUNCTION("""COMPUTED_VALUE"""),"NO")</f>
        <v>NO</v>
      </c>
      <c r="E1491" s="33" t="str">
        <f ca="1">IFERROR(__xludf.DUMMYFUNCTION("""COMPUTED_VALUE"""),"Madrid- Juan Bravo")</f>
        <v>Madrid- Juan Bravo</v>
      </c>
      <c r="F1491" s="57">
        <f ca="1">IFERROR(__xludf.DUMMYFUNCTION("""COMPUTED_VALUE"""),45980)</f>
        <v>45980</v>
      </c>
      <c r="G1491" s="57">
        <f ca="1">IFERROR(__xludf.DUMMYFUNCTION("""COMPUTED_VALUE"""),45946)</f>
        <v>45946</v>
      </c>
      <c r="H1491" s="33" t="str">
        <f ca="1">IFERROR(__xludf.DUMMYFUNCTION("""COMPUTED_VALUE"""),"Juan Bravo")</f>
        <v>Juan Bravo</v>
      </c>
      <c r="I1491" s="33" t="str">
        <f ca="1">IFERROR(__xludf.DUMMYFUNCTION("""COMPUTED_VALUE"""),"C202510161416401885")</f>
        <v>C202510161416401885</v>
      </c>
      <c r="J1491" s="33" t="str">
        <f ca="1">IFERROR(__xludf.DUMMYFUNCTION("""COMPUTED_VALUE"""),"ELENA ARNAIZ PALMA")</f>
        <v>ELENA ARNAIZ PALMA</v>
      </c>
      <c r="K1491" s="33">
        <f ca="1">IFERROR(__xludf.DUMMYFUNCTION("""COMPUTED_VALUE"""),2)</f>
        <v>2</v>
      </c>
      <c r="L1491" s="203">
        <f ca="1">IFERROR(__xludf.DUMMYFUNCTION("""COMPUTED_VALUE"""),3929.55)</f>
        <v>3929.55</v>
      </c>
      <c r="M1491" s="33" t="str">
        <f ca="1">IFERROR(__xludf.DUMMYFUNCTION("""COMPUTED_VALUE"""),"03 ORL")</f>
        <v>03 ORL</v>
      </c>
      <c r="N1491" s="33" t="str">
        <f ca="1">IFERROR(__xludf.DUMMYFUNCTION("""COMPUTED_VALUE"""),"06 ORL")</f>
        <v>06 ORL</v>
      </c>
      <c r="O1491" s="33" t="str">
        <f ca="1">IFERROR(__xludf.DUMMYFUNCTION("""COMPUTED_VALUE"""),"Dr, Julio López Moya")</f>
        <v>Dr, Julio López Moya</v>
      </c>
      <c r="P1491" s="33" t="str">
        <f ca="1">IFERROR(__xludf.DUMMYFUNCTION("""COMPUTED_VALUE"""),"Maika Blázquez (Madrid)")</f>
        <v>Maika Blázquez (Madrid)</v>
      </c>
    </row>
    <row r="1492" spans="2:16">
      <c r="B1492" s="33">
        <f ca="1">IFERROR(__xludf.DUMMYFUNCTION("""COMPUTED_VALUE"""),2025)</f>
        <v>2025</v>
      </c>
      <c r="C1492" s="33">
        <f ca="1">IFERROR(__xludf.DUMMYFUNCTION("""COMPUTED_VALUE"""),11)</f>
        <v>11</v>
      </c>
      <c r="D1492" s="33" t="str">
        <f ca="1">IFERROR(__xludf.DUMMYFUNCTION("""COMPUTED_VALUE"""),"NO")</f>
        <v>NO</v>
      </c>
      <c r="E1492" s="33" t="str">
        <f ca="1">IFERROR(__xludf.DUMMYFUNCTION("""COMPUTED_VALUE"""),"Valencia- Parra")</f>
        <v>Valencia- Parra</v>
      </c>
      <c r="F1492" s="57">
        <f ca="1">IFERROR(__xludf.DUMMYFUNCTION("""COMPUTED_VALUE"""),45980)</f>
        <v>45980</v>
      </c>
      <c r="G1492" s="57">
        <f ca="1">IFERROR(__xludf.DUMMYFUNCTION("""COMPUTED_VALUE"""),45944)</f>
        <v>45944</v>
      </c>
      <c r="H1492" s="33" t="str">
        <f ca="1">IFERROR(__xludf.DUMMYFUNCTION("""COMPUTED_VALUE"""),"Valencia- Parra")</f>
        <v>Valencia- Parra</v>
      </c>
      <c r="I1492" s="33" t="str">
        <f ca="1">IFERROR(__xludf.DUMMYFUNCTION("""COMPUTED_VALUE"""),"C202510148501534195")</f>
        <v>C202510148501534195</v>
      </c>
      <c r="J1492" s="33" t="str">
        <f ca="1">IFERROR(__xludf.DUMMYFUNCTION("""COMPUTED_VALUE"""),"RAFAEL DE VICENTE CONTRERAS")</f>
        <v>RAFAEL DE VICENTE CONTRERAS</v>
      </c>
      <c r="K1492" s="33">
        <f ca="1">IFERROR(__xludf.DUMMYFUNCTION("""COMPUTED_VALUE"""),2)</f>
        <v>2</v>
      </c>
      <c r="L1492" s="203">
        <f ca="1">IFERROR(__xludf.DUMMYFUNCTION("""COMPUTED_VALUE"""),3631.82)</f>
        <v>3631.82</v>
      </c>
      <c r="M1492" s="33" t="str">
        <f ca="1">IFERROR(__xludf.DUMMYFUNCTION("""COMPUTED_VALUE"""),"03 ORL")</f>
        <v>03 ORL</v>
      </c>
      <c r="N1492" s="33" t="str">
        <f ca="1">IFERROR(__xludf.DUMMYFUNCTION("""COMPUTED_VALUE"""),"06 ORL")</f>
        <v>06 ORL</v>
      </c>
      <c r="O1492" s="33" t="str">
        <f ca="1">IFERROR(__xludf.DUMMYFUNCTION("""COMPUTED_VALUE"""),"Dr, Raimon García Chillerón")</f>
        <v>Dr, Raimon García Chillerón</v>
      </c>
      <c r="P1492" s="33" t="str">
        <f ca="1">IFERROR(__xludf.DUMMYFUNCTION("""COMPUTED_VALUE"""),"Ramon Ferrando(Valencia)")</f>
        <v>Ramon Ferrando(Valencia)</v>
      </c>
    </row>
    <row r="1493" spans="2:16">
      <c r="B1493" s="33">
        <f ca="1">IFERROR(__xludf.DUMMYFUNCTION("""COMPUTED_VALUE"""),2025)</f>
        <v>2025</v>
      </c>
      <c r="C1493" s="33">
        <f ca="1">IFERROR(__xludf.DUMMYFUNCTION("""COMPUTED_VALUE"""),11)</f>
        <v>11</v>
      </c>
      <c r="D1493" s="33" t="str">
        <f ca="1">IFERROR(__xludf.DUMMYFUNCTION("""COMPUTED_VALUE"""),"NO")</f>
        <v>NO</v>
      </c>
      <c r="E1493" s="33" t="str">
        <f ca="1">IFERROR(__xludf.DUMMYFUNCTION("""COMPUTED_VALUE"""),"Hospitalet de Llobregat")</f>
        <v>Hospitalet de Llobregat</v>
      </c>
      <c r="F1493" s="57">
        <f ca="1">IFERROR(__xludf.DUMMYFUNCTION("""COMPUTED_VALUE"""),45980)</f>
        <v>45980</v>
      </c>
      <c r="G1493" s="57">
        <f ca="1">IFERROR(__xludf.DUMMYFUNCTION("""COMPUTED_VALUE"""),45936)</f>
        <v>45936</v>
      </c>
      <c r="H1493" s="33" t="str">
        <f ca="1">IFERROR(__xludf.DUMMYFUNCTION("""COMPUTED_VALUE"""),"Hospitalet")</f>
        <v>Hospitalet</v>
      </c>
      <c r="I1493" s="33" t="str">
        <f ca="1">IFERROR(__xludf.DUMMYFUNCTION("""COMPUTED_VALUE"""),"C2025102395418894")</f>
        <v>C2025102395418894</v>
      </c>
      <c r="J1493" s="33" t="str">
        <f ca="1">IFERROR(__xludf.DUMMYFUNCTION("""COMPUTED_VALUE"""),"Maricarmen Estrada Gallego")</f>
        <v>Maricarmen Estrada Gallego</v>
      </c>
      <c r="K1493" s="33">
        <f ca="1">IFERROR(__xludf.DUMMYFUNCTION("""COMPUTED_VALUE"""),2)</f>
        <v>2</v>
      </c>
      <c r="L1493" s="203">
        <f ca="1">IFERROR(__xludf.DUMMYFUNCTION("""COMPUTED_VALUE"""),4136.36)</f>
        <v>4136.3599999999997</v>
      </c>
      <c r="M1493" s="33" t="str">
        <f ca="1">IFERROR(__xludf.DUMMYFUNCTION("""COMPUTED_VALUE"""),"03 ORL")</f>
        <v>03 ORL</v>
      </c>
      <c r="N1493" s="33" t="str">
        <f ca="1">IFERROR(__xludf.DUMMYFUNCTION("""COMPUTED_VALUE"""),"06 ORL")</f>
        <v>06 ORL</v>
      </c>
      <c r="O1493" s="33" t="str">
        <f ca="1">IFERROR(__xludf.DUMMYFUNCTION("""COMPUTED_VALUE"""),"Dr, Carlos Calvo Navarro")</f>
        <v>Dr, Carlos Calvo Navarro</v>
      </c>
      <c r="P1493" s="33" t="str">
        <f ca="1">IFERROR(__xludf.DUMMYFUNCTION("""COMPUTED_VALUE"""),"Mercè Cabrera (Cataluña Y Baleares)")</f>
        <v>Mercè Cabrera (Cataluña Y Baleares)</v>
      </c>
    </row>
    <row r="1494" spans="2:16">
      <c r="B1494" s="33">
        <f ca="1">IFERROR(__xludf.DUMMYFUNCTION("""COMPUTED_VALUE"""),2025)</f>
        <v>2025</v>
      </c>
      <c r="C1494" s="33">
        <f ca="1">IFERROR(__xludf.DUMMYFUNCTION("""COMPUTED_VALUE"""),11)</f>
        <v>11</v>
      </c>
      <c r="D1494" s="33" t="str">
        <f ca="1">IFERROR(__xludf.DUMMYFUNCTION("""COMPUTED_VALUE"""),"NO")</f>
        <v>NO</v>
      </c>
      <c r="E1494" s="33" t="str">
        <f ca="1">IFERROR(__xludf.DUMMYFUNCTION("""COMPUTED_VALUE"""),"Murcia")</f>
        <v>Murcia</v>
      </c>
      <c r="F1494" s="57">
        <f ca="1">IFERROR(__xludf.DUMMYFUNCTION("""COMPUTED_VALUE"""),45980)</f>
        <v>45980</v>
      </c>
      <c r="G1494" s="57">
        <f ca="1">IFERROR(__xludf.DUMMYFUNCTION("""COMPUTED_VALUE"""),45946)</f>
        <v>45946</v>
      </c>
      <c r="H1494" s="33" t="str">
        <f ca="1">IFERROR(__xludf.DUMMYFUNCTION("""COMPUTED_VALUE"""),"Murcia")</f>
        <v>Murcia</v>
      </c>
      <c r="I1494" s="33" t="str">
        <f ca="1">IFERROR(__xludf.DUMMYFUNCTION("""COMPUTED_VALUE"""),"C202510161036578585")</f>
        <v>C202510161036578585</v>
      </c>
      <c r="J1494" s="33" t="str">
        <f ca="1">IFERROR(__xludf.DUMMYFUNCTION("""COMPUTED_VALUE"""),"VIRTUDES ANTONIA MARTINEZ NAVARRO")</f>
        <v>VIRTUDES ANTONIA MARTINEZ NAVARRO</v>
      </c>
      <c r="K1494" s="33">
        <f ca="1">IFERROR(__xludf.DUMMYFUNCTION("""COMPUTED_VALUE"""),1)</f>
        <v>1</v>
      </c>
      <c r="L1494" s="203">
        <f ca="1">IFERROR(__xludf.DUMMYFUNCTION("""COMPUTED_VALUE"""),1631.73)</f>
        <v>1631.73</v>
      </c>
      <c r="M1494" s="33" t="str">
        <f ca="1">IFERROR(__xludf.DUMMYFUNCTION("""COMPUTED_VALUE"""),"03 ORL")</f>
        <v>03 ORL</v>
      </c>
      <c r="N1494" s="33" t="str">
        <f ca="1">IFERROR(__xludf.DUMMYFUNCTION("""COMPUTED_VALUE"""),"06 ORL")</f>
        <v>06 ORL</v>
      </c>
      <c r="O1494" s="33" t="str">
        <f ca="1">IFERROR(__xludf.DUMMYFUNCTION("""COMPUTED_VALUE"""),"Dra, Aida Aviñoa Arias")</f>
        <v>Dra, Aida Aviñoa Arias</v>
      </c>
      <c r="P1494" s="33" t="str">
        <f ca="1">IFERROR(__xludf.DUMMYFUNCTION("""COMPUTED_VALUE"""),"Iván Sánchez (Levante Y Albacete)")</f>
        <v>Iván Sánchez (Levante Y Albacete)</v>
      </c>
    </row>
    <row r="1495" spans="2:16">
      <c r="B1495" s="33">
        <f ca="1">IFERROR(__xludf.DUMMYFUNCTION("""COMPUTED_VALUE"""),2025)</f>
        <v>2025</v>
      </c>
      <c r="C1495" s="33">
        <f ca="1">IFERROR(__xludf.DUMMYFUNCTION("""COMPUTED_VALUE"""),11)</f>
        <v>11</v>
      </c>
      <c r="D1495" s="33" t="str">
        <f ca="1">IFERROR(__xludf.DUMMYFUNCTION("""COMPUTED_VALUE"""),"NO")</f>
        <v>NO</v>
      </c>
      <c r="E1495" s="33" t="str">
        <f ca="1">IFERROR(__xludf.DUMMYFUNCTION("""COMPUTED_VALUE"""),"Madrid- Moratalaz")</f>
        <v>Madrid- Moratalaz</v>
      </c>
      <c r="F1495" s="57">
        <f ca="1">IFERROR(__xludf.DUMMYFUNCTION("""COMPUTED_VALUE"""),45980)</f>
        <v>45980</v>
      </c>
      <c r="G1495" s="57">
        <f ca="1">IFERROR(__xludf.DUMMYFUNCTION("""COMPUTED_VALUE"""),45937)</f>
        <v>45937</v>
      </c>
      <c r="H1495" s="33" t="str">
        <f ca="1">IFERROR(__xludf.DUMMYFUNCTION("""COMPUTED_VALUE"""),"Moratalaz")</f>
        <v>Moratalaz</v>
      </c>
      <c r="I1495" s="33" t="str">
        <f ca="1">IFERROR(__xludf.DUMMYFUNCTION("""COMPUTED_VALUE"""),"C20251023172032268")</f>
        <v>C20251023172032268</v>
      </c>
      <c r="J1495" s="33" t="str">
        <f ca="1">IFERROR(__xludf.DUMMYFUNCTION("""COMPUTED_VALUE"""),"ROSA ALONSO GALLARDO")</f>
        <v>ROSA ALONSO GALLARDO</v>
      </c>
      <c r="K1495" s="33">
        <f ca="1">IFERROR(__xludf.DUMMYFUNCTION("""COMPUTED_VALUE"""),2)</f>
        <v>2</v>
      </c>
      <c r="L1495" s="203">
        <f ca="1">IFERROR(__xludf.DUMMYFUNCTION("""COMPUTED_VALUE"""),4136.36)</f>
        <v>4136.3599999999997</v>
      </c>
      <c r="M1495" s="33" t="str">
        <f ca="1">IFERROR(__xludf.DUMMYFUNCTION("""COMPUTED_VALUE"""),"03 ORL")</f>
        <v>03 ORL</v>
      </c>
      <c r="N1495" s="33" t="str">
        <f ca="1">IFERROR(__xludf.DUMMYFUNCTION("""COMPUTED_VALUE"""),"06 ORL")</f>
        <v>06 ORL</v>
      </c>
      <c r="O1495" s="33" t="str">
        <f ca="1">IFERROR(__xludf.DUMMYFUNCTION("""COMPUTED_VALUE"""),"Dr, Alejandro Harguindey Antoli-Candela")</f>
        <v>Dr, Alejandro Harguindey Antoli-Candela</v>
      </c>
      <c r="P1495" s="33" t="str">
        <f ca="1">IFERROR(__xludf.DUMMYFUNCTION("""COMPUTED_VALUE"""),"Maika Blázquez (Madrid)")</f>
        <v>Maika Blázquez (Madrid)</v>
      </c>
    </row>
    <row r="1496" spans="2:16">
      <c r="B1496" s="33">
        <f ca="1">IFERROR(__xludf.DUMMYFUNCTION("""COMPUTED_VALUE"""),2025)</f>
        <v>2025</v>
      </c>
      <c r="C1496" s="33">
        <f ca="1">IFERROR(__xludf.DUMMYFUNCTION("""COMPUTED_VALUE"""),11)</f>
        <v>11</v>
      </c>
      <c r="D1496" s="33" t="str">
        <f ca="1">IFERROR(__xludf.DUMMYFUNCTION("""COMPUTED_VALUE"""),"NO")</f>
        <v>NO</v>
      </c>
      <c r="E1496" s="33" t="str">
        <f ca="1">IFERROR(__xludf.DUMMYFUNCTION("""COMPUTED_VALUE"""),"Alcorcón")</f>
        <v>Alcorcón</v>
      </c>
      <c r="F1496" s="57">
        <f ca="1">IFERROR(__xludf.DUMMYFUNCTION("""COMPUTED_VALUE"""),45981)</f>
        <v>45981</v>
      </c>
      <c r="G1496" s="57">
        <f ca="1">IFERROR(__xludf.DUMMYFUNCTION("""COMPUTED_VALUE"""),45947)</f>
        <v>45947</v>
      </c>
      <c r="H1496" s="33" t="str">
        <f ca="1">IFERROR(__xludf.DUMMYFUNCTION("""COMPUTED_VALUE"""),"Alcorcón")</f>
        <v>Alcorcón</v>
      </c>
      <c r="I1496" s="33" t="str">
        <f ca="1">IFERROR(__xludf.DUMMYFUNCTION("""COMPUTED_VALUE"""),"C202510171318218122")</f>
        <v>C202510171318218122</v>
      </c>
      <c r="J1496" s="33" t="str">
        <f ca="1">IFERROR(__xludf.DUMMYFUNCTION("""COMPUTED_VALUE"""),"ENRIQUE MARTINEZ PASTOR")</f>
        <v>ENRIQUE MARTINEZ PASTOR</v>
      </c>
      <c r="K1496" s="33">
        <f ca="1">IFERROR(__xludf.DUMMYFUNCTION("""COMPUTED_VALUE"""),2)</f>
        <v>2</v>
      </c>
      <c r="L1496" s="203">
        <f ca="1">IFERROR(__xludf.DUMMYFUNCTION("""COMPUTED_VALUE"""),3631.82)</f>
        <v>3631.82</v>
      </c>
      <c r="M1496" s="33" t="str">
        <f ca="1">IFERROR(__xludf.DUMMYFUNCTION("""COMPUTED_VALUE"""),"03 ORL")</f>
        <v>03 ORL</v>
      </c>
      <c r="N1496" s="33" t="str">
        <f ca="1">IFERROR(__xludf.DUMMYFUNCTION("""COMPUTED_VALUE"""),"06 ORL")</f>
        <v>06 ORL</v>
      </c>
      <c r="O1496" s="33" t="str">
        <f ca="1">IFERROR(__xludf.DUMMYFUNCTION("""COMPUTED_VALUE"""),"Dr, Juan Ignacio Riestra Ayora")</f>
        <v>Dr, Juan Ignacio Riestra Ayora</v>
      </c>
      <c r="P1496" s="33" t="str">
        <f ca="1">IFERROR(__xludf.DUMMYFUNCTION("""COMPUTED_VALUE"""),"Maika Blázquez (Madrid)")</f>
        <v>Maika Blázquez (Madrid)</v>
      </c>
    </row>
    <row r="1497" spans="2:16">
      <c r="B1497" s="33">
        <f ca="1">IFERROR(__xludf.DUMMYFUNCTION("""COMPUTED_VALUE"""),2025)</f>
        <v>2025</v>
      </c>
      <c r="C1497" s="33">
        <f ca="1">IFERROR(__xludf.DUMMYFUNCTION("""COMPUTED_VALUE"""),11)</f>
        <v>11</v>
      </c>
      <c r="D1497" s="33" t="str">
        <f ca="1">IFERROR(__xludf.DUMMYFUNCTION("""COMPUTED_VALUE"""),"NO")</f>
        <v>NO</v>
      </c>
      <c r="E1497" s="33" t="str">
        <f ca="1">IFERROR(__xludf.DUMMYFUNCTION("""COMPUTED_VALUE"""),"Madrid- Moratalaz")</f>
        <v>Madrid- Moratalaz</v>
      </c>
      <c r="F1497" s="57">
        <f ca="1">IFERROR(__xludf.DUMMYFUNCTION("""COMPUTED_VALUE"""),45981)</f>
        <v>45981</v>
      </c>
      <c r="G1497" s="57">
        <f ca="1">IFERROR(__xludf.DUMMYFUNCTION("""COMPUTED_VALUE"""),45946)</f>
        <v>45946</v>
      </c>
      <c r="H1497" s="33" t="str">
        <f ca="1">IFERROR(__xludf.DUMMYFUNCTION("""COMPUTED_VALUE"""),"Moratalaz")</f>
        <v>Moratalaz</v>
      </c>
      <c r="I1497" s="33" t="str">
        <f ca="1">IFERROR(__xludf.DUMMYFUNCTION("""COMPUTED_VALUE"""),"C202510161031892841")</f>
        <v>C202510161031892841</v>
      </c>
      <c r="J1497" s="33" t="str">
        <f ca="1">IFERROR(__xludf.DUMMYFUNCTION("""COMPUTED_VALUE"""),"PURIFICACION PRIEGO BLANCO")</f>
        <v>PURIFICACION PRIEGO BLANCO</v>
      </c>
      <c r="K1497" s="33">
        <f ca="1">IFERROR(__xludf.DUMMYFUNCTION("""COMPUTED_VALUE"""),2)</f>
        <v>2</v>
      </c>
      <c r="L1497" s="203">
        <f ca="1">IFERROR(__xludf.DUMMYFUNCTION("""COMPUTED_VALUE"""),4136.36)</f>
        <v>4136.3599999999997</v>
      </c>
      <c r="M1497" s="33" t="str">
        <f ca="1">IFERROR(__xludf.DUMMYFUNCTION("""COMPUTED_VALUE"""),"03 ORL")</f>
        <v>03 ORL</v>
      </c>
      <c r="N1497" s="33" t="str">
        <f ca="1">IFERROR(__xludf.DUMMYFUNCTION("""COMPUTED_VALUE"""),"06 ORL")</f>
        <v>06 ORL</v>
      </c>
      <c r="O1497" s="33" t="str">
        <f ca="1">IFERROR(__xludf.DUMMYFUNCTION("""COMPUTED_VALUE"""),"Dra, Cristina Povedano Fernández")</f>
        <v>Dra, Cristina Povedano Fernández</v>
      </c>
      <c r="P1497" s="33" t="str">
        <f ca="1">IFERROR(__xludf.DUMMYFUNCTION("""COMPUTED_VALUE"""),"Maika Blázquez (Madrid)")</f>
        <v>Maika Blázquez (Madrid)</v>
      </c>
    </row>
    <row r="1498" spans="2:16">
      <c r="B1498" s="33">
        <f ca="1">IFERROR(__xludf.DUMMYFUNCTION("""COMPUTED_VALUE"""),2025)</f>
        <v>2025</v>
      </c>
      <c r="C1498" s="33">
        <f ca="1">IFERROR(__xludf.DUMMYFUNCTION("""COMPUTED_VALUE"""),11)</f>
        <v>11</v>
      </c>
      <c r="D1498" s="33" t="str">
        <f ca="1">IFERROR(__xludf.DUMMYFUNCTION("""COMPUTED_VALUE"""),"NO")</f>
        <v>NO</v>
      </c>
      <c r="E1498" s="33" t="str">
        <f ca="1">IFERROR(__xludf.DUMMYFUNCTION("""COMPUTED_VALUE"""),"Santiago de Compostela")</f>
        <v>Santiago de Compostela</v>
      </c>
      <c r="F1498" s="57">
        <f ca="1">IFERROR(__xludf.DUMMYFUNCTION("""COMPUTED_VALUE"""),45981)</f>
        <v>45981</v>
      </c>
      <c r="G1498" s="57">
        <f ca="1">IFERROR(__xludf.DUMMYFUNCTION("""COMPUTED_VALUE"""),45954)</f>
        <v>45954</v>
      </c>
      <c r="H1498" s="33" t="str">
        <f ca="1">IFERROR(__xludf.DUMMYFUNCTION("""COMPUTED_VALUE"""),"Santiago")</f>
        <v>Santiago</v>
      </c>
      <c r="I1498" s="33" t="str">
        <f ca="1">IFERROR(__xludf.DUMMYFUNCTION("""COMPUTED_VALUE"""),"C202510247424176078")</f>
        <v>C202510247424176078</v>
      </c>
      <c r="J1498" s="33" t="str">
        <f ca="1">IFERROR(__xludf.DUMMYFUNCTION("""COMPUTED_VALUE"""),"GUILLERMO LEMOS NAVEIRO")</f>
        <v>GUILLERMO LEMOS NAVEIRO</v>
      </c>
      <c r="K1498" s="33">
        <f ca="1">IFERROR(__xludf.DUMMYFUNCTION("""COMPUTED_VALUE"""),2)</f>
        <v>2</v>
      </c>
      <c r="L1498" s="203">
        <f ca="1">IFERROR(__xludf.DUMMYFUNCTION("""COMPUTED_VALUE"""),2718.18)</f>
        <v>2718.18</v>
      </c>
      <c r="M1498" s="33" t="str">
        <f ca="1">IFERROR(__xludf.DUMMYFUNCTION("""COMPUTED_VALUE"""),"03 ORL")</f>
        <v>03 ORL</v>
      </c>
      <c r="N1498" s="33" t="str">
        <f ca="1">IFERROR(__xludf.DUMMYFUNCTION("""COMPUTED_VALUE"""),"06 ORL")</f>
        <v>06 ORL</v>
      </c>
      <c r="O1498" s="33" t="str">
        <f ca="1">IFERROR(__xludf.DUMMYFUNCTION("""COMPUTED_VALUE"""),"Dr, Antonio Gustavo Lirola Delgado")</f>
        <v>Dr, Antonio Gustavo Lirola Delgado</v>
      </c>
      <c r="P1498" s="33" t="str">
        <f ca="1">IFERROR(__xludf.DUMMYFUNCTION("""COMPUTED_VALUE"""),"Roberto Pereira (Galicia)")</f>
        <v>Roberto Pereira (Galicia)</v>
      </c>
    </row>
    <row r="1499" spans="2:16">
      <c r="B1499" s="33">
        <f ca="1">IFERROR(__xludf.DUMMYFUNCTION("""COMPUTED_VALUE"""),2025)</f>
        <v>2025</v>
      </c>
      <c r="C1499" s="33">
        <f ca="1">IFERROR(__xludf.DUMMYFUNCTION("""COMPUTED_VALUE"""),11)</f>
        <v>11</v>
      </c>
      <c r="D1499" s="33" t="str">
        <f ca="1">IFERROR(__xludf.DUMMYFUNCTION("""COMPUTED_VALUE"""),"NO")</f>
        <v>NO</v>
      </c>
      <c r="E1499" s="33" t="str">
        <f ca="1">IFERROR(__xludf.DUMMYFUNCTION("""COMPUTED_VALUE"""),"Talavera")</f>
        <v>Talavera</v>
      </c>
      <c r="F1499" s="57">
        <f ca="1">IFERROR(__xludf.DUMMYFUNCTION("""COMPUTED_VALUE"""),45981)</f>
        <v>45981</v>
      </c>
      <c r="G1499" s="57">
        <f ca="1">IFERROR(__xludf.DUMMYFUNCTION("""COMPUTED_VALUE"""),45960)</f>
        <v>45960</v>
      </c>
      <c r="H1499" s="33" t="str">
        <f ca="1">IFERROR(__xludf.DUMMYFUNCTION("""COMPUTED_VALUE"""),"Talavera")</f>
        <v>Talavera</v>
      </c>
      <c r="I1499" s="33" t="str">
        <f ca="1">IFERROR(__xludf.DUMMYFUNCTION("""COMPUTED_VALUE"""),"C202510301034650824")</f>
        <v>C202510301034650824</v>
      </c>
      <c r="J1499" s="33" t="str">
        <f ca="1">IFERROR(__xludf.DUMMYFUNCTION("""COMPUTED_VALUE"""),"MILAGROS PIMENTEL HERRERO")</f>
        <v>MILAGROS PIMENTEL HERRERO</v>
      </c>
      <c r="K1499" s="33">
        <f ca="1">IFERROR(__xludf.DUMMYFUNCTION("""COMPUTED_VALUE"""),1)</f>
        <v>1</v>
      </c>
      <c r="L1499" s="203">
        <f ca="1">IFERROR(__xludf.DUMMYFUNCTION("""COMPUTED_VALUE"""),1631.82)</f>
        <v>1631.82</v>
      </c>
      <c r="M1499" s="33" t="str">
        <f ca="1">IFERROR(__xludf.DUMMYFUNCTION("""COMPUTED_VALUE"""),"03 ORL")</f>
        <v>03 ORL</v>
      </c>
      <c r="N1499" s="33" t="str">
        <f ca="1">IFERROR(__xludf.DUMMYFUNCTION("""COMPUTED_VALUE"""),"06 ORL")</f>
        <v>06 ORL</v>
      </c>
      <c r="O1499" s="33" t="str">
        <f ca="1">IFERROR(__xludf.DUMMYFUNCTION("""COMPUTED_VALUE"""),"No recuerda ORL")</f>
        <v>No recuerda ORL</v>
      </c>
      <c r="P1499" s="33" t="str">
        <f ca="1">IFERROR(__xludf.DUMMYFUNCTION("""COMPUTED_VALUE"""),"Lisandro Russian (Madrid, Cáceres, Toledo, Talavera Y Logroño)")</f>
        <v>Lisandro Russian (Madrid, Cáceres, Toledo, Talavera Y Logroño)</v>
      </c>
    </row>
    <row r="1500" spans="2:16">
      <c r="B1500" s="33">
        <f ca="1">IFERROR(__xludf.DUMMYFUNCTION("""COMPUTED_VALUE"""),2025)</f>
        <v>2025</v>
      </c>
      <c r="C1500" s="33">
        <f ca="1">IFERROR(__xludf.DUMMYFUNCTION("""COMPUTED_VALUE"""),11)</f>
        <v>11</v>
      </c>
      <c r="D1500" s="33" t="str">
        <f ca="1">IFERROR(__xludf.DUMMYFUNCTION("""COMPUTED_VALUE"""),"NO")</f>
        <v>NO</v>
      </c>
      <c r="E1500" s="33" t="str">
        <f ca="1">IFERROR(__xludf.DUMMYFUNCTION("""COMPUTED_VALUE"""),"Madrid- Moratalaz")</f>
        <v>Madrid- Moratalaz</v>
      </c>
      <c r="F1500" s="57">
        <f ca="1">IFERROR(__xludf.DUMMYFUNCTION("""COMPUTED_VALUE"""),45981)</f>
        <v>45981</v>
      </c>
      <c r="G1500" s="57">
        <f ca="1">IFERROR(__xludf.DUMMYFUNCTION("""COMPUTED_VALUE"""),45978)</f>
        <v>45978</v>
      </c>
      <c r="H1500" s="33" t="str">
        <f ca="1">IFERROR(__xludf.DUMMYFUNCTION("""COMPUTED_VALUE"""),"Moratalaz")</f>
        <v>Moratalaz</v>
      </c>
      <c r="I1500" s="33" t="str">
        <f ca="1">IFERROR(__xludf.DUMMYFUNCTION("""COMPUTED_VALUE"""),"C20251117131527594")</f>
        <v>C20251117131527594</v>
      </c>
      <c r="J1500" s="33" t="str">
        <f ca="1">IFERROR(__xludf.DUMMYFUNCTION("""COMPUTED_VALUE"""),"ASEPEYO MCcSS Nº 151 [ALBERTO MOHEDANO GOMEZ]")</f>
        <v>ASEPEYO MCcSS Nº 151 [ALBERTO MOHEDANO GOMEZ]</v>
      </c>
      <c r="K1500" s="33">
        <f ca="1">IFERROR(__xludf.DUMMYFUNCTION("""COMPUTED_VALUE"""),1)</f>
        <v>1</v>
      </c>
      <c r="L1500" s="203">
        <f ca="1">IFERROR(__xludf.DUMMYFUNCTION("""COMPUTED_VALUE"""),2722.73)</f>
        <v>2722.73</v>
      </c>
      <c r="M1500" s="33" t="str">
        <f ca="1">IFERROR(__xludf.DUMMYFUNCTION("""COMPUTED_VALUE"""),"03 ORL")</f>
        <v>03 ORL</v>
      </c>
      <c r="N1500" s="33" t="str">
        <f ca="1">IFERROR(__xludf.DUMMYFUNCTION("""COMPUTED_VALUE"""),"06 ORL")</f>
        <v>06 ORL</v>
      </c>
      <c r="O1500" s="33" t="str">
        <f ca="1">IFERROR(__xludf.DUMMYFUNCTION("""COMPUTED_VALUE"""),"No recuerda ORL")</f>
        <v>No recuerda ORL</v>
      </c>
      <c r="P1500" s="33" t="str">
        <f ca="1">IFERROR(__xludf.DUMMYFUNCTION("""COMPUTED_VALUE"""),"Maika Blázquez (Madrid)")</f>
        <v>Maika Blázquez (Madrid)</v>
      </c>
    </row>
    <row r="1501" spans="2:16">
      <c r="B1501" s="33">
        <f ca="1">IFERROR(__xludf.DUMMYFUNCTION("""COMPUTED_VALUE"""),2025)</f>
        <v>2025</v>
      </c>
      <c r="C1501" s="33">
        <f ca="1">IFERROR(__xludf.DUMMYFUNCTION("""COMPUTED_VALUE"""),11)</f>
        <v>11</v>
      </c>
      <c r="D1501" s="33" t="str">
        <f ca="1">IFERROR(__xludf.DUMMYFUNCTION("""COMPUTED_VALUE"""),"NO")</f>
        <v>NO</v>
      </c>
      <c r="E1501" s="33" t="str">
        <f ca="1">IFERROR(__xludf.DUMMYFUNCTION("""COMPUTED_VALUE"""),"Sevilla- Montoto")</f>
        <v>Sevilla- Montoto</v>
      </c>
      <c r="F1501" s="57">
        <f ca="1">IFERROR(__xludf.DUMMYFUNCTION("""COMPUTED_VALUE"""),45981)</f>
        <v>45981</v>
      </c>
      <c r="G1501" s="57">
        <f ca="1">IFERROR(__xludf.DUMMYFUNCTION("""COMPUTED_VALUE"""),45960)</f>
        <v>45960</v>
      </c>
      <c r="H1501" s="33" t="str">
        <f ca="1">IFERROR(__xludf.DUMMYFUNCTION("""COMPUTED_VALUE"""),"Montoto")</f>
        <v>Montoto</v>
      </c>
      <c r="I1501" s="33" t="str">
        <f ca="1">IFERROR(__xludf.DUMMYFUNCTION("""COMPUTED_VALUE"""),"C202510301551142429")</f>
        <v>C202510301551142429</v>
      </c>
      <c r="J1501" s="33" t="str">
        <f ca="1">IFERROR(__xludf.DUMMYFUNCTION("""COMPUTED_VALUE"""),"IAN FULLER")</f>
        <v>IAN FULLER</v>
      </c>
      <c r="K1501" s="33">
        <f ca="1">IFERROR(__xludf.DUMMYFUNCTION("""COMPUTED_VALUE"""),2)</f>
        <v>2</v>
      </c>
      <c r="L1501" s="203">
        <f ca="1">IFERROR(__xludf.DUMMYFUNCTION("""COMPUTED_VALUE"""),4136.36)</f>
        <v>4136.3599999999997</v>
      </c>
      <c r="M1501" s="33" t="str">
        <f ca="1">IFERROR(__xludf.DUMMYFUNCTION("""COMPUTED_VALUE"""),"03 ORL")</f>
        <v>03 ORL</v>
      </c>
      <c r="N1501" s="33" t="str">
        <f ca="1">IFERROR(__xludf.DUMMYFUNCTION("""COMPUTED_VALUE"""),"06 ORL")</f>
        <v>06 ORL</v>
      </c>
      <c r="O1501" s="33" t="str">
        <f ca="1">IFERROR(__xludf.DUMMYFUNCTION("""COMPUTED_VALUE"""),"Dra, Rocío Corrales Millán")</f>
        <v>Dra, Rocío Corrales Millán</v>
      </c>
      <c r="P1501" s="33" t="str">
        <f ca="1">IFERROR(__xludf.DUMMYFUNCTION("""COMPUTED_VALUE"""),"Luis Alberto Rodríguez (Andalucía y Badajoz)")</f>
        <v>Luis Alberto Rodríguez (Andalucía y Badajoz)</v>
      </c>
    </row>
    <row r="1502" spans="2:16">
      <c r="B1502" s="33">
        <f ca="1">IFERROR(__xludf.DUMMYFUNCTION("""COMPUTED_VALUE"""),2025)</f>
        <v>2025</v>
      </c>
      <c r="C1502" s="33">
        <f ca="1">IFERROR(__xludf.DUMMYFUNCTION("""COMPUTED_VALUE"""),11)</f>
        <v>11</v>
      </c>
      <c r="D1502" s="33" t="str">
        <f ca="1">IFERROR(__xludf.DUMMYFUNCTION("""COMPUTED_VALUE"""),"NO")</f>
        <v>NO</v>
      </c>
      <c r="E1502" s="33" t="str">
        <f ca="1">IFERROR(__xludf.DUMMYFUNCTION("""COMPUTED_VALUE"""),"Valencia- Parra")</f>
        <v>Valencia- Parra</v>
      </c>
      <c r="F1502" s="57">
        <f ca="1">IFERROR(__xludf.DUMMYFUNCTION("""COMPUTED_VALUE"""),45981)</f>
        <v>45981</v>
      </c>
      <c r="G1502" s="57">
        <f ca="1">IFERROR(__xludf.DUMMYFUNCTION("""COMPUTED_VALUE"""),45950)</f>
        <v>45950</v>
      </c>
      <c r="H1502" s="33" t="str">
        <f ca="1">IFERROR(__xludf.DUMMYFUNCTION("""COMPUTED_VALUE"""),"Valencia- Parra")</f>
        <v>Valencia- Parra</v>
      </c>
      <c r="I1502" s="33" t="str">
        <f ca="1">IFERROR(__xludf.DUMMYFUNCTION("""COMPUTED_VALUE"""),"C202510208275688105")</f>
        <v>C202510208275688105</v>
      </c>
      <c r="J1502" s="33" t="str">
        <f ca="1">IFERROR(__xludf.DUMMYFUNCTION("""COMPUTED_VALUE"""),"ANTONIO ABIA GARCIA")</f>
        <v>ANTONIO ABIA GARCIA</v>
      </c>
      <c r="K1502" s="33">
        <f ca="1">IFERROR(__xludf.DUMMYFUNCTION("""COMPUTED_VALUE"""),2)</f>
        <v>2</v>
      </c>
      <c r="L1502" s="203">
        <f ca="1">IFERROR(__xludf.DUMMYFUNCTION("""COMPUTED_VALUE"""),3631.82)</f>
        <v>3631.82</v>
      </c>
      <c r="M1502" s="33" t="str">
        <f ca="1">IFERROR(__xludf.DUMMYFUNCTION("""COMPUTED_VALUE"""),"03 ORL")</f>
        <v>03 ORL</v>
      </c>
      <c r="N1502" s="33" t="str">
        <f ca="1">IFERROR(__xludf.DUMMYFUNCTION("""COMPUTED_VALUE"""),"06 ORL")</f>
        <v>06 ORL</v>
      </c>
      <c r="O1502" s="33" t="str">
        <f ca="1">IFERROR(__xludf.DUMMYFUNCTION("""COMPUTED_VALUE"""),"Dr, Carlos de Paula Vernetta")</f>
        <v>Dr, Carlos de Paula Vernetta</v>
      </c>
      <c r="P1502" s="33" t="str">
        <f ca="1">IFERROR(__xludf.DUMMYFUNCTION("""COMPUTED_VALUE"""),"Ramon Ferrando(Valencia)")</f>
        <v>Ramon Ferrando(Valencia)</v>
      </c>
    </row>
    <row r="1503" spans="2:16">
      <c r="B1503" s="33">
        <f ca="1">IFERROR(__xludf.DUMMYFUNCTION("""COMPUTED_VALUE"""),2025)</f>
        <v>2025</v>
      </c>
      <c r="C1503" s="33">
        <f ca="1">IFERROR(__xludf.DUMMYFUNCTION("""COMPUTED_VALUE"""),11)</f>
        <v>11</v>
      </c>
      <c r="D1503" s="33" t="str">
        <f ca="1">IFERROR(__xludf.DUMMYFUNCTION("""COMPUTED_VALUE"""),"NO")</f>
        <v>NO</v>
      </c>
      <c r="E1503" s="33" t="str">
        <f ca="1">IFERROR(__xludf.DUMMYFUNCTION("""COMPUTED_VALUE"""),"Valencia- Parra")</f>
        <v>Valencia- Parra</v>
      </c>
      <c r="F1503" s="57">
        <f ca="1">IFERROR(__xludf.DUMMYFUNCTION("""COMPUTED_VALUE"""),45981)</f>
        <v>45981</v>
      </c>
      <c r="G1503" s="57">
        <f ca="1">IFERROR(__xludf.DUMMYFUNCTION("""COMPUTED_VALUE"""),45950)</f>
        <v>45950</v>
      </c>
      <c r="H1503" s="33" t="str">
        <f ca="1">IFERROR(__xludf.DUMMYFUNCTION("""COMPUTED_VALUE"""),"Valencia- Parra")</f>
        <v>Valencia- Parra</v>
      </c>
      <c r="I1503" s="33" t="str">
        <f ca="1">IFERROR(__xludf.DUMMYFUNCTION("""COMPUTED_VALUE"""),"C202510208264929306")</f>
        <v>C202510208264929306</v>
      </c>
      <c r="J1503" s="33" t="str">
        <f ca="1">IFERROR(__xludf.DUMMYFUNCTION("""COMPUTED_VALUE"""),"MARIANO DIAZ CARDOSO")</f>
        <v>MARIANO DIAZ CARDOSO</v>
      </c>
      <c r="K1503" s="33">
        <f ca="1">IFERROR(__xludf.DUMMYFUNCTION("""COMPUTED_VALUE"""),1)</f>
        <v>1</v>
      </c>
      <c r="L1503" s="203">
        <f ca="1">IFERROR(__xludf.DUMMYFUNCTION("""COMPUTED_VALUE"""),2180.91)</f>
        <v>2180.91</v>
      </c>
      <c r="M1503" s="33" t="str">
        <f ca="1">IFERROR(__xludf.DUMMYFUNCTION("""COMPUTED_VALUE"""),"03 ORL")</f>
        <v>03 ORL</v>
      </c>
      <c r="N1503" s="33" t="str">
        <f ca="1">IFERROR(__xludf.DUMMYFUNCTION("""COMPUTED_VALUE"""),"06 ORL")</f>
        <v>06 ORL</v>
      </c>
      <c r="O1503" s="33" t="str">
        <f ca="1">IFERROR(__xludf.DUMMYFUNCTION("""COMPUTED_VALUE"""),"Dr, Carlos de Paula Vernetta")</f>
        <v>Dr, Carlos de Paula Vernetta</v>
      </c>
      <c r="P1503" s="33" t="str">
        <f ca="1">IFERROR(__xludf.DUMMYFUNCTION("""COMPUTED_VALUE"""),"Ramon Ferrando(Valencia)")</f>
        <v>Ramon Ferrando(Valencia)</v>
      </c>
    </row>
    <row r="1504" spans="2:16">
      <c r="B1504" s="33">
        <f ca="1">IFERROR(__xludf.DUMMYFUNCTION("""COMPUTED_VALUE"""),2025)</f>
        <v>2025</v>
      </c>
      <c r="C1504" s="33">
        <f ca="1">IFERROR(__xludf.DUMMYFUNCTION("""COMPUTED_VALUE"""),11)</f>
        <v>11</v>
      </c>
      <c r="D1504" s="33" t="str">
        <f ca="1">IFERROR(__xludf.DUMMYFUNCTION("""COMPUTED_VALUE"""),"NO")</f>
        <v>NO</v>
      </c>
      <c r="E1504" s="33" t="str">
        <f ca="1">IFERROR(__xludf.DUMMYFUNCTION("""COMPUTED_VALUE"""),"Madrid- Canillas")</f>
        <v>Madrid- Canillas</v>
      </c>
      <c r="F1504" s="57">
        <f ca="1">IFERROR(__xludf.DUMMYFUNCTION("""COMPUTED_VALUE"""),45981)</f>
        <v>45981</v>
      </c>
      <c r="G1504" s="57">
        <f ca="1">IFERROR(__xludf.DUMMYFUNCTION("""COMPUTED_VALUE"""),45953)</f>
        <v>45953</v>
      </c>
      <c r="H1504" s="33" t="str">
        <f ca="1">IFERROR(__xludf.DUMMYFUNCTION("""COMPUTED_VALUE"""),"Canillas")</f>
        <v>Canillas</v>
      </c>
      <c r="I1504" s="33" t="str">
        <f ca="1">IFERROR(__xludf.DUMMYFUNCTION("""COMPUTED_VALUE"""),"C202510231145455540")</f>
        <v>C202510231145455540</v>
      </c>
      <c r="J1504" s="33" t="str">
        <f ca="1">IFERROR(__xludf.DUMMYFUNCTION("""COMPUTED_VALUE"""),"VICTORIA RABOSO MARTIN")</f>
        <v>VICTORIA RABOSO MARTIN</v>
      </c>
      <c r="K1504" s="33">
        <f ca="1">IFERROR(__xludf.DUMMYFUNCTION("""COMPUTED_VALUE"""),2)</f>
        <v>2</v>
      </c>
      <c r="L1504" s="203">
        <f ca="1">IFERROR(__xludf.DUMMYFUNCTION("""COMPUTED_VALUE"""),3817.27)</f>
        <v>3817.27</v>
      </c>
      <c r="M1504" s="33" t="str">
        <f ca="1">IFERROR(__xludf.DUMMYFUNCTION("""COMPUTED_VALUE"""),"03 ORL")</f>
        <v>03 ORL</v>
      </c>
      <c r="N1504" s="33" t="str">
        <f ca="1">IFERROR(__xludf.DUMMYFUNCTION("""COMPUTED_VALUE"""),"06 ORL")</f>
        <v>06 ORL</v>
      </c>
      <c r="O1504" s="33" t="str">
        <f ca="1">IFERROR(__xludf.DUMMYFUNCTION("""COMPUTED_VALUE"""),"Dr, Alejandro Harguindey Antoli-Candela")</f>
        <v>Dr, Alejandro Harguindey Antoli-Candela</v>
      </c>
      <c r="P1504" s="33" t="str">
        <f ca="1">IFERROR(__xludf.DUMMYFUNCTION("""COMPUTED_VALUE"""),"Maika Blázquez (Madrid)")</f>
        <v>Maika Blázquez (Madrid)</v>
      </c>
    </row>
    <row r="1505" spans="2:16">
      <c r="B1505" s="33">
        <f ca="1">IFERROR(__xludf.DUMMYFUNCTION("""COMPUTED_VALUE"""),2025)</f>
        <v>2025</v>
      </c>
      <c r="C1505" s="33">
        <f ca="1">IFERROR(__xludf.DUMMYFUNCTION("""COMPUTED_VALUE"""),11)</f>
        <v>11</v>
      </c>
      <c r="D1505" s="33" t="str">
        <f ca="1">IFERROR(__xludf.DUMMYFUNCTION("""COMPUTED_VALUE"""),"NO")</f>
        <v>NO</v>
      </c>
      <c r="E1505" s="33" t="str">
        <f ca="1">IFERROR(__xludf.DUMMYFUNCTION("""COMPUTED_VALUE"""),"Culleredo")</f>
        <v>Culleredo</v>
      </c>
      <c r="F1505" s="57">
        <f ca="1">IFERROR(__xludf.DUMMYFUNCTION("""COMPUTED_VALUE"""),45982)</f>
        <v>45982</v>
      </c>
      <c r="G1505" s="57">
        <f ca="1">IFERROR(__xludf.DUMMYFUNCTION("""COMPUTED_VALUE"""),45944)</f>
        <v>45944</v>
      </c>
      <c r="H1505" s="33" t="str">
        <f ca="1">IFERROR(__xludf.DUMMYFUNCTION("""COMPUTED_VALUE"""),"Culleredo")</f>
        <v>Culleredo</v>
      </c>
      <c r="I1505" s="33" t="str">
        <f ca="1">IFERROR(__xludf.DUMMYFUNCTION("""COMPUTED_VALUE"""),"CULL-270")</f>
        <v>CULL-270</v>
      </c>
      <c r="J1505" s="33" t="str">
        <f ca="1">IFERROR(__xludf.DUMMYFUNCTION("""COMPUTED_VALUE"""),"ANTONIO POSE VARELA")</f>
        <v>ANTONIO POSE VARELA</v>
      </c>
      <c r="K1505" s="33">
        <f ca="1">IFERROR(__xludf.DUMMYFUNCTION("""COMPUTED_VALUE"""),2)</f>
        <v>2</v>
      </c>
      <c r="L1505" s="203">
        <f ca="1">IFERROR(__xludf.DUMMYFUNCTION("""COMPUTED_VALUE"""),2272.73)</f>
        <v>2272.73</v>
      </c>
      <c r="M1505" s="33" t="str">
        <f ca="1">IFERROR(__xludf.DUMMYFUNCTION("""COMPUTED_VALUE"""),"03 ORL")</f>
        <v>03 ORL</v>
      </c>
      <c r="N1505" s="33" t="str">
        <f ca="1">IFERROR(__xludf.DUMMYFUNCTION("""COMPUTED_VALUE"""),"06 ORL")</f>
        <v>06 ORL</v>
      </c>
      <c r="O1505" s="33" t="str">
        <f ca="1">IFERROR(__xludf.DUMMYFUNCTION("""COMPUTED_VALUE"""),"Dr, Miguel Mayo Yáñez")</f>
        <v>Dr, Miguel Mayo Yáñez</v>
      </c>
      <c r="P1505" s="33" t="str">
        <f ca="1">IFERROR(__xludf.DUMMYFUNCTION("""COMPUTED_VALUE"""),"Roberto Pereira (Galicia)")</f>
        <v>Roberto Pereira (Galicia)</v>
      </c>
    </row>
    <row r="1506" spans="2:16">
      <c r="B1506" s="33">
        <f ca="1">IFERROR(__xludf.DUMMYFUNCTION("""COMPUTED_VALUE"""),2025)</f>
        <v>2025</v>
      </c>
      <c r="C1506" s="33">
        <f ca="1">IFERROR(__xludf.DUMMYFUNCTION("""COMPUTED_VALUE"""),11)</f>
        <v>11</v>
      </c>
      <c r="D1506" s="33" t="str">
        <f ca="1">IFERROR(__xludf.DUMMYFUNCTION("""COMPUTED_VALUE"""),"NO")</f>
        <v>NO</v>
      </c>
      <c r="E1506" s="33" t="str">
        <f ca="1">IFERROR(__xludf.DUMMYFUNCTION("""COMPUTED_VALUE"""),"Cáceres")</f>
        <v>Cáceres</v>
      </c>
      <c r="F1506" s="57">
        <f ca="1">IFERROR(__xludf.DUMMYFUNCTION("""COMPUTED_VALUE"""),45982)</f>
        <v>45982</v>
      </c>
      <c r="G1506" s="57">
        <f ca="1">IFERROR(__xludf.DUMMYFUNCTION("""COMPUTED_VALUE"""),45936)</f>
        <v>45936</v>
      </c>
      <c r="H1506" s="33" t="str">
        <f ca="1">IFERROR(__xludf.DUMMYFUNCTION("""COMPUTED_VALUE"""),"Cáceres")</f>
        <v>Cáceres</v>
      </c>
      <c r="I1506" s="33" t="str">
        <f ca="1">IFERROR(__xludf.DUMMYFUNCTION("""COMPUTED_VALUE"""),"CAC-412")</f>
        <v>CAC-412</v>
      </c>
      <c r="J1506" s="33" t="str">
        <f ca="1">IFERROR(__xludf.DUMMYFUNCTION("""COMPUTED_VALUE"""),"PURIFICACION COBO SANCHEZ")</f>
        <v>PURIFICACION COBO SANCHEZ</v>
      </c>
      <c r="K1506" s="33">
        <f ca="1">IFERROR(__xludf.DUMMYFUNCTION("""COMPUTED_VALUE"""),2)</f>
        <v>2</v>
      </c>
      <c r="L1506" s="203">
        <f ca="1">IFERROR(__xludf.DUMMYFUNCTION("""COMPUTED_VALUE"""),3940.91)</f>
        <v>3940.91</v>
      </c>
      <c r="M1506" s="33" t="str">
        <f ca="1">IFERROR(__xludf.DUMMYFUNCTION("""COMPUTED_VALUE"""),"03 ORL")</f>
        <v>03 ORL</v>
      </c>
      <c r="N1506" s="33" t="str">
        <f ca="1">IFERROR(__xludf.DUMMYFUNCTION("""COMPUTED_VALUE"""),"06 ORL")</f>
        <v>06 ORL</v>
      </c>
      <c r="O1506" s="33" t="str">
        <f ca="1">IFERROR(__xludf.DUMMYFUNCTION("""COMPUTED_VALUE"""),"Dr, Rafael Sanz Trenado")</f>
        <v>Dr, Rafael Sanz Trenado</v>
      </c>
      <c r="P1506" s="33" t="str">
        <f ca="1">IFERROR(__xludf.DUMMYFUNCTION("""COMPUTED_VALUE"""),"Lisandro Russian (Madrid, Cáceres, Toledo, Talavera Y Logroño)")</f>
        <v>Lisandro Russian (Madrid, Cáceres, Toledo, Talavera Y Logroño)</v>
      </c>
    </row>
    <row r="1507" spans="2:16">
      <c r="B1507" s="33">
        <f ca="1">IFERROR(__xludf.DUMMYFUNCTION("""COMPUTED_VALUE"""),2025)</f>
        <v>2025</v>
      </c>
      <c r="C1507" s="33">
        <f ca="1">IFERROR(__xludf.DUMMYFUNCTION("""COMPUTED_VALUE"""),11)</f>
        <v>11</v>
      </c>
      <c r="D1507" s="33" t="str">
        <f ca="1">IFERROR(__xludf.DUMMYFUNCTION("""COMPUTED_VALUE"""),"NO")</f>
        <v>NO</v>
      </c>
      <c r="E1507" s="33" t="str">
        <f ca="1">IFERROR(__xludf.DUMMYFUNCTION("""COMPUTED_VALUE"""),"Cáceres")</f>
        <v>Cáceres</v>
      </c>
      <c r="F1507" s="57">
        <f ca="1">IFERROR(__xludf.DUMMYFUNCTION("""COMPUTED_VALUE"""),45982)</f>
        <v>45982</v>
      </c>
      <c r="G1507" s="57">
        <f ca="1">IFERROR(__xludf.DUMMYFUNCTION("""COMPUTED_VALUE"""),45947)</f>
        <v>45947</v>
      </c>
      <c r="H1507" s="33" t="str">
        <f ca="1">IFERROR(__xludf.DUMMYFUNCTION("""COMPUTED_VALUE"""),"Cáceres")</f>
        <v>Cáceres</v>
      </c>
      <c r="I1507" s="33" t="str">
        <f ca="1">IFERROR(__xludf.DUMMYFUNCTION("""COMPUTED_VALUE"""),"CAC-425")</f>
        <v>CAC-425</v>
      </c>
      <c r="J1507" s="33" t="str">
        <f ca="1">IFERROR(__xludf.DUMMYFUNCTION("""COMPUTED_VALUE"""),"BENIGNO SANTIBAÑEZ RAMAJO")</f>
        <v>BENIGNO SANTIBAÑEZ RAMAJO</v>
      </c>
      <c r="K1507" s="33">
        <f ca="1">IFERROR(__xludf.DUMMYFUNCTION("""COMPUTED_VALUE"""),2)</f>
        <v>2</v>
      </c>
      <c r="L1507" s="203">
        <f ca="1">IFERROR(__xludf.DUMMYFUNCTION("""COMPUTED_VALUE"""),4500)</f>
        <v>4500</v>
      </c>
      <c r="M1507" s="33" t="str">
        <f ca="1">IFERROR(__xludf.DUMMYFUNCTION("""COMPUTED_VALUE"""),"03 ORL")</f>
        <v>03 ORL</v>
      </c>
      <c r="N1507" s="33" t="str">
        <f ca="1">IFERROR(__xludf.DUMMYFUNCTION("""COMPUTED_VALUE"""),"06 ORL")</f>
        <v>06 ORL</v>
      </c>
      <c r="O1507" s="33" t="str">
        <f ca="1">IFERROR(__xludf.DUMMYFUNCTION("""COMPUTED_VALUE"""),"Dra, Marta García Jiménez")</f>
        <v>Dra, Marta García Jiménez</v>
      </c>
      <c r="P1507" s="33" t="str">
        <f ca="1">IFERROR(__xludf.DUMMYFUNCTION("""COMPUTED_VALUE"""),"Lisandro Russian (Madrid, Cáceres, Toledo, Talavera Y Logroño)")</f>
        <v>Lisandro Russian (Madrid, Cáceres, Toledo, Talavera Y Logroño)</v>
      </c>
    </row>
    <row r="1508" spans="2:16">
      <c r="B1508" s="33">
        <f ca="1">IFERROR(__xludf.DUMMYFUNCTION("""COMPUTED_VALUE"""),2025)</f>
        <v>2025</v>
      </c>
      <c r="C1508" s="33">
        <f ca="1">IFERROR(__xludf.DUMMYFUNCTION("""COMPUTED_VALUE"""),11)</f>
        <v>11</v>
      </c>
      <c r="D1508" s="33" t="str">
        <f ca="1">IFERROR(__xludf.DUMMYFUNCTION("""COMPUTED_VALUE"""),"NO")</f>
        <v>NO</v>
      </c>
      <c r="E1508" s="33" t="str">
        <f ca="1">IFERROR(__xludf.DUMMYFUNCTION("""COMPUTED_VALUE"""),"Madrid- Moratalaz")</f>
        <v>Madrid- Moratalaz</v>
      </c>
      <c r="F1508" s="57">
        <f ca="1">IFERROR(__xludf.DUMMYFUNCTION("""COMPUTED_VALUE"""),45982)</f>
        <v>45982</v>
      </c>
      <c r="G1508" s="57">
        <f ca="1">IFERROR(__xludf.DUMMYFUNCTION("""COMPUTED_VALUE"""),42423)</f>
        <v>42423</v>
      </c>
      <c r="H1508" s="33" t="str">
        <f ca="1">IFERROR(__xludf.DUMMYFUNCTION("""COMPUTED_VALUE"""),"Moratalaz")</f>
        <v>Moratalaz</v>
      </c>
      <c r="I1508" s="33" t="str">
        <f ca="1">IFERROR(__xludf.DUMMYFUNCTION("""COMPUTED_VALUE"""),"MOR-346")</f>
        <v>MOR-346</v>
      </c>
      <c r="J1508" s="33" t="str">
        <f ca="1">IFERROR(__xludf.DUMMYFUNCTION("""COMPUTED_VALUE"""),"MATILDE SANCHEZ MADRID")</f>
        <v>MATILDE SANCHEZ MADRID</v>
      </c>
      <c r="K1508" s="33">
        <f ca="1">IFERROR(__xludf.DUMMYFUNCTION("""COMPUTED_VALUE"""),2)</f>
        <v>2</v>
      </c>
      <c r="L1508" s="203">
        <f ca="1">IFERROR(__xludf.DUMMYFUNCTION("""COMPUTED_VALUE"""),3631.82)</f>
        <v>3631.82</v>
      </c>
      <c r="M1508" s="33" t="str">
        <f ca="1">IFERROR(__xludf.DUMMYFUNCTION("""COMPUTED_VALUE"""),"03 ORL")</f>
        <v>03 ORL</v>
      </c>
      <c r="N1508" s="33" t="str">
        <f ca="1">IFERROR(__xludf.DUMMYFUNCTION("""COMPUTED_VALUE"""),"06 ORL")</f>
        <v>06 ORL</v>
      </c>
      <c r="O1508" s="33" t="str">
        <f ca="1">IFERROR(__xludf.DUMMYFUNCTION("""COMPUTED_VALUE"""),"Dr, Javier García Domínguez")</f>
        <v>Dr, Javier García Domínguez</v>
      </c>
      <c r="P1508" s="33" t="str">
        <f ca="1">IFERROR(__xludf.DUMMYFUNCTION("""COMPUTED_VALUE"""),"Maika Blázquez (Madrid)")</f>
        <v>Maika Blázquez (Madrid)</v>
      </c>
    </row>
    <row r="1509" spans="2:16">
      <c r="B1509" s="33">
        <f ca="1">IFERROR(__xludf.DUMMYFUNCTION("""COMPUTED_VALUE"""),2025)</f>
        <v>2025</v>
      </c>
      <c r="C1509" s="33">
        <f ca="1">IFERROR(__xludf.DUMMYFUNCTION("""COMPUTED_VALUE"""),11)</f>
        <v>11</v>
      </c>
      <c r="D1509" s="33" t="str">
        <f ca="1">IFERROR(__xludf.DUMMYFUNCTION("""COMPUTED_VALUE"""),"NO")</f>
        <v>NO</v>
      </c>
      <c r="E1509" s="33" t="str">
        <f ca="1">IFERROR(__xludf.DUMMYFUNCTION("""COMPUTED_VALUE"""),"Leganés")</f>
        <v>Leganés</v>
      </c>
      <c r="F1509" s="57">
        <f ca="1">IFERROR(__xludf.DUMMYFUNCTION("""COMPUTED_VALUE"""),45982)</f>
        <v>45982</v>
      </c>
      <c r="G1509" s="57">
        <f ca="1">IFERROR(__xludf.DUMMYFUNCTION("""COMPUTED_VALUE"""),45951)</f>
        <v>45951</v>
      </c>
      <c r="H1509" s="33" t="str">
        <f ca="1">IFERROR(__xludf.DUMMYFUNCTION("""COMPUTED_VALUE"""),"Leganés")</f>
        <v>Leganés</v>
      </c>
      <c r="I1509" s="33" t="str">
        <f ca="1">IFERROR(__xludf.DUMMYFUNCTION("""COMPUTED_VALUE"""),"C202510211014295809")</f>
        <v>C202510211014295809</v>
      </c>
      <c r="J1509" s="33" t="str">
        <f ca="1">IFERROR(__xludf.DUMMYFUNCTION("""COMPUTED_VALUE"""),"MARIANO GARCIA GARCIA")</f>
        <v>MARIANO GARCIA GARCIA</v>
      </c>
      <c r="K1509" s="33">
        <f ca="1">IFERROR(__xludf.DUMMYFUNCTION("""COMPUTED_VALUE"""),1)</f>
        <v>1</v>
      </c>
      <c r="L1509" s="203">
        <f ca="1">IFERROR(__xludf.DUMMYFUNCTION("""COMPUTED_VALUE"""),1540.91)</f>
        <v>1540.91</v>
      </c>
      <c r="M1509" s="33" t="str">
        <f ca="1">IFERROR(__xludf.DUMMYFUNCTION("""COMPUTED_VALUE"""),"03 ORL")</f>
        <v>03 ORL</v>
      </c>
      <c r="N1509" s="33" t="str">
        <f ca="1">IFERROR(__xludf.DUMMYFUNCTION("""COMPUTED_VALUE"""),"06 ORL")</f>
        <v>06 ORL</v>
      </c>
      <c r="O1509" s="33" t="str">
        <f ca="1">IFERROR(__xludf.DUMMYFUNCTION("""COMPUTED_VALUE"""),"Dra, Elena Martín Bejerano")</f>
        <v>Dra, Elena Martín Bejerano</v>
      </c>
      <c r="P1509" s="33" t="str">
        <f ca="1">IFERROR(__xludf.DUMMYFUNCTION("""COMPUTED_VALUE"""),"Maika Blázquez (Madrid)")</f>
        <v>Maika Blázquez (Madrid)</v>
      </c>
    </row>
    <row r="1510" spans="2:16">
      <c r="B1510" s="33">
        <f ca="1">IFERROR(__xludf.DUMMYFUNCTION("""COMPUTED_VALUE"""),2025)</f>
        <v>2025</v>
      </c>
      <c r="C1510" s="33">
        <f ca="1">IFERROR(__xludf.DUMMYFUNCTION("""COMPUTED_VALUE"""),11)</f>
        <v>11</v>
      </c>
      <c r="D1510" s="33" t="str">
        <f ca="1">IFERROR(__xludf.DUMMYFUNCTION("""COMPUTED_VALUE"""),"NO")</f>
        <v>NO</v>
      </c>
      <c r="E1510" s="33" t="str">
        <f ca="1">IFERROR(__xludf.DUMMYFUNCTION("""COMPUTED_VALUE"""),"Valencia- Cádiz")</f>
        <v>Valencia- Cádiz</v>
      </c>
      <c r="F1510" s="57">
        <f ca="1">IFERROR(__xludf.DUMMYFUNCTION("""COMPUTED_VALUE"""),45982)</f>
        <v>45982</v>
      </c>
      <c r="G1510" s="57">
        <f ca="1">IFERROR(__xludf.DUMMYFUNCTION("""COMPUTED_VALUE"""),45909)</f>
        <v>45909</v>
      </c>
      <c r="H1510" s="33" t="str">
        <f ca="1">IFERROR(__xludf.DUMMYFUNCTION("""COMPUTED_VALUE"""),"Valencia- Cádiz")</f>
        <v>Valencia- Cádiz</v>
      </c>
      <c r="I1510" s="33" t="str">
        <f ca="1">IFERROR(__xludf.DUMMYFUNCTION("""COMPUTED_VALUE"""),"C2025917125458420")</f>
        <v>C2025917125458420</v>
      </c>
      <c r="J1510" s="33" t="str">
        <f ca="1">IFERROR(__xludf.DUMMYFUNCTION("""COMPUTED_VALUE"""),"MARIA DEL PILAR NACHER RAMON")</f>
        <v>MARIA DEL PILAR NACHER RAMON</v>
      </c>
      <c r="K1510" s="33">
        <f ca="1">IFERROR(__xludf.DUMMYFUNCTION("""COMPUTED_VALUE"""),2)</f>
        <v>2</v>
      </c>
      <c r="L1510" s="203">
        <f ca="1">IFERROR(__xludf.DUMMYFUNCTION("""COMPUTED_VALUE"""),2718.18)</f>
        <v>2718.18</v>
      </c>
      <c r="M1510" s="33" t="str">
        <f ca="1">IFERROR(__xludf.DUMMYFUNCTION("""COMPUTED_VALUE"""),"03 ORL")</f>
        <v>03 ORL</v>
      </c>
      <c r="N1510" s="33" t="str">
        <f ca="1">IFERROR(__xludf.DUMMYFUNCTION("""COMPUTED_VALUE"""),"06 ORL")</f>
        <v>06 ORL</v>
      </c>
      <c r="O1510" s="33" t="str">
        <f ca="1">IFERROR(__xludf.DUMMYFUNCTION("""COMPUTED_VALUE"""),"Dr, Abel Guzmán Calvete")</f>
        <v>Dr, Abel Guzmán Calvete</v>
      </c>
      <c r="P1510" s="33" t="str">
        <f ca="1">IFERROR(__xludf.DUMMYFUNCTION("""COMPUTED_VALUE"""),"Ramon Ferrando(Valencia)")</f>
        <v>Ramon Ferrando(Valencia)</v>
      </c>
    </row>
    <row r="1511" spans="2:16">
      <c r="B1511" s="33">
        <f ca="1">IFERROR(__xludf.DUMMYFUNCTION("""COMPUTED_VALUE"""),2025)</f>
        <v>2025</v>
      </c>
      <c r="C1511" s="33">
        <f ca="1">IFERROR(__xludf.DUMMYFUNCTION("""COMPUTED_VALUE"""),11)</f>
        <v>11</v>
      </c>
      <c r="D1511" s="33" t="str">
        <f ca="1">IFERROR(__xludf.DUMMYFUNCTION("""COMPUTED_VALUE"""),"NO")</f>
        <v>NO</v>
      </c>
      <c r="E1511" s="33" t="str">
        <f ca="1">IFERROR(__xludf.DUMMYFUNCTION("""COMPUTED_VALUE"""),"Madrid- Canillas")</f>
        <v>Madrid- Canillas</v>
      </c>
      <c r="F1511" s="57">
        <f ca="1">IFERROR(__xludf.DUMMYFUNCTION("""COMPUTED_VALUE"""),45982)</f>
        <v>45982</v>
      </c>
      <c r="G1511" s="57">
        <f ca="1">IFERROR(__xludf.DUMMYFUNCTION("""COMPUTED_VALUE"""),45959)</f>
        <v>45959</v>
      </c>
      <c r="H1511" s="33" t="str">
        <f ca="1">IFERROR(__xludf.DUMMYFUNCTION("""COMPUTED_VALUE"""),"Canillas")</f>
        <v>Canillas</v>
      </c>
      <c r="I1511" s="33" t="str">
        <f ca="1">IFERROR(__xludf.DUMMYFUNCTION("""COMPUTED_VALUE"""),"C202510291055923627")</f>
        <v>C202510291055923627</v>
      </c>
      <c r="J1511" s="33" t="str">
        <f ca="1">IFERROR(__xludf.DUMMYFUNCTION("""COMPUTED_VALUE"""),"PILAR LOPEZ PIZARROSO")</f>
        <v>PILAR LOPEZ PIZARROSO</v>
      </c>
      <c r="K1511" s="33">
        <f ca="1">IFERROR(__xludf.DUMMYFUNCTION("""COMPUTED_VALUE"""),1)</f>
        <v>1</v>
      </c>
      <c r="L1511" s="203">
        <f ca="1">IFERROR(__xludf.DUMMYFUNCTION("""COMPUTED_VALUE"""),2481.82)</f>
        <v>2481.8200000000002</v>
      </c>
      <c r="M1511" s="33" t="str">
        <f ca="1">IFERROR(__xludf.DUMMYFUNCTION("""COMPUTED_VALUE"""),"03 ORL")</f>
        <v>03 ORL</v>
      </c>
      <c r="N1511" s="33" t="str">
        <f ca="1">IFERROR(__xludf.DUMMYFUNCTION("""COMPUTED_VALUE"""),"06 ORL")</f>
        <v>06 ORL</v>
      </c>
      <c r="O1511" s="33" t="str">
        <f ca="1">IFERROR(__xludf.DUMMYFUNCTION("""COMPUTED_VALUE"""),"No recuerda ORL")</f>
        <v>No recuerda ORL</v>
      </c>
      <c r="P1511" s="33" t="str">
        <f ca="1">IFERROR(__xludf.DUMMYFUNCTION("""COMPUTED_VALUE"""),"Maika Blázquez (Madrid)")</f>
        <v>Maika Blázquez (Madrid)</v>
      </c>
    </row>
    <row r="1512" spans="2:16">
      <c r="B1512" s="33">
        <f ca="1">IFERROR(__xludf.DUMMYFUNCTION("""COMPUTED_VALUE"""),2025)</f>
        <v>2025</v>
      </c>
      <c r="C1512" s="33">
        <f ca="1">IFERROR(__xludf.DUMMYFUNCTION("""COMPUTED_VALUE"""),11)</f>
        <v>11</v>
      </c>
      <c r="D1512" s="33" t="str">
        <f ca="1">IFERROR(__xludf.DUMMYFUNCTION("""COMPUTED_VALUE"""),"NO")</f>
        <v>NO</v>
      </c>
      <c r="E1512" s="33" t="str">
        <f ca="1">IFERROR(__xludf.DUMMYFUNCTION("""COMPUTED_VALUE"""),"Madrid- Monforte de Lemos")</f>
        <v>Madrid- Monforte de Lemos</v>
      </c>
      <c r="F1512" s="57">
        <f ca="1">IFERROR(__xludf.DUMMYFUNCTION("""COMPUTED_VALUE"""),45982)</f>
        <v>45982</v>
      </c>
      <c r="G1512" s="57">
        <f ca="1">IFERROR(__xludf.DUMMYFUNCTION("""COMPUTED_VALUE"""),45937)</f>
        <v>45937</v>
      </c>
      <c r="H1512" s="33" t="str">
        <f ca="1">IFERROR(__xludf.DUMMYFUNCTION("""COMPUTED_VALUE"""),"La Vaguada")</f>
        <v>La Vaguada</v>
      </c>
      <c r="I1512" s="33" t="str">
        <f ca="1">IFERROR(__xludf.DUMMYFUNCTION("""COMPUTED_VALUE"""),"C20251017102530696")</f>
        <v>C20251017102530696</v>
      </c>
      <c r="J1512" s="33" t="str">
        <f ca="1">IFERROR(__xludf.DUMMYFUNCTION("""COMPUTED_VALUE"""),"VISITACION LAGUNAS PEREZ")</f>
        <v>VISITACION LAGUNAS PEREZ</v>
      </c>
      <c r="K1512" s="33">
        <f ca="1">IFERROR(__xludf.DUMMYFUNCTION("""COMPUTED_VALUE"""),2)</f>
        <v>2</v>
      </c>
      <c r="L1512" s="203">
        <f ca="1">IFERROR(__xludf.DUMMYFUNCTION("""COMPUTED_VALUE"""),3631.82)</f>
        <v>3631.82</v>
      </c>
      <c r="M1512" s="33" t="str">
        <f ca="1">IFERROR(__xludf.DUMMYFUNCTION("""COMPUTED_VALUE"""),"03 ORL")</f>
        <v>03 ORL</v>
      </c>
      <c r="N1512" s="33" t="str">
        <f ca="1">IFERROR(__xludf.DUMMYFUNCTION("""COMPUTED_VALUE"""),"06 ORL")</f>
        <v>06 ORL</v>
      </c>
      <c r="O1512" s="33" t="str">
        <f ca="1">IFERROR(__xludf.DUMMYFUNCTION("""COMPUTED_VALUE"""),"Dra, Beatriz Arana Fernández")</f>
        <v>Dra, Beatriz Arana Fernández</v>
      </c>
      <c r="P1512" s="33" t="str">
        <f ca="1">IFERROR(__xludf.DUMMYFUNCTION("""COMPUTED_VALUE"""),"Maika Blázquez (Madrid)")</f>
        <v>Maika Blázquez (Madrid)</v>
      </c>
    </row>
    <row r="1513" spans="2:16">
      <c r="B1513" s="33">
        <f ca="1">IFERROR(__xludf.DUMMYFUNCTION("""COMPUTED_VALUE"""),2025)</f>
        <v>2025</v>
      </c>
      <c r="C1513" s="33">
        <f ca="1">IFERROR(__xludf.DUMMYFUNCTION("""COMPUTED_VALUE"""),11)</f>
        <v>11</v>
      </c>
      <c r="D1513" s="33" t="str">
        <f ca="1">IFERROR(__xludf.DUMMYFUNCTION("""COMPUTED_VALUE"""),"NO")</f>
        <v>NO</v>
      </c>
      <c r="E1513" s="33" t="str">
        <f ca="1">IFERROR(__xludf.DUMMYFUNCTION("""COMPUTED_VALUE"""),"Barcelona- Córcega")</f>
        <v>Barcelona- Córcega</v>
      </c>
      <c r="F1513" s="57">
        <f ca="1">IFERROR(__xludf.DUMMYFUNCTION("""COMPUTED_VALUE"""),45982)</f>
        <v>45982</v>
      </c>
      <c r="G1513" s="57">
        <f ca="1">IFERROR(__xludf.DUMMYFUNCTION("""COMPUTED_VALUE"""),45814)</f>
        <v>45814</v>
      </c>
      <c r="H1513" s="33" t="str">
        <f ca="1">IFERROR(__xludf.DUMMYFUNCTION("""COMPUTED_VALUE"""),"Córcega")</f>
        <v>Córcega</v>
      </c>
      <c r="I1513" s="33" t="str">
        <f ca="1">IFERROR(__xludf.DUMMYFUNCTION("""COMPUTED_VALUE"""),"C2025612122632395")</f>
        <v>C2025612122632395</v>
      </c>
      <c r="J1513" s="33" t="str">
        <f ca="1">IFERROR(__xludf.DUMMYFUNCTION("""COMPUTED_VALUE"""),"ANTONIO OLLE DORCA")</f>
        <v>ANTONIO OLLE DORCA</v>
      </c>
      <c r="K1513" s="33">
        <f ca="1">IFERROR(__xludf.DUMMYFUNCTION("""COMPUTED_VALUE"""),2)</f>
        <v>2</v>
      </c>
      <c r="L1513" s="203">
        <f ca="1">IFERROR(__xludf.DUMMYFUNCTION("""COMPUTED_VALUE"""),3800)</f>
        <v>3800</v>
      </c>
      <c r="M1513" s="33" t="str">
        <f ca="1">IFERROR(__xludf.DUMMYFUNCTION("""COMPUTED_VALUE"""),"03 ORL")</f>
        <v>03 ORL</v>
      </c>
      <c r="N1513" s="33" t="str">
        <f ca="1">IFERROR(__xludf.DUMMYFUNCTION("""COMPUTED_VALUE"""),"06 ORL")</f>
        <v>06 ORL</v>
      </c>
      <c r="O1513" s="33" t="str">
        <f ca="1">IFERROR(__xludf.DUMMYFUNCTION("""COMPUTED_VALUE"""),"Dra, Marta Sandoval Puig")</f>
        <v>Dra, Marta Sandoval Puig</v>
      </c>
      <c r="P1513" s="33" t="str">
        <f ca="1">IFERROR(__xludf.DUMMYFUNCTION("""COMPUTED_VALUE"""),"Mercè Cabrera (Cataluña Y Baleares)")</f>
        <v>Mercè Cabrera (Cataluña Y Baleares)</v>
      </c>
    </row>
    <row r="1514" spans="2:16">
      <c r="B1514" s="33">
        <f ca="1">IFERROR(__xludf.DUMMYFUNCTION("""COMPUTED_VALUE"""),2025)</f>
        <v>2025</v>
      </c>
      <c r="C1514" s="33">
        <f ca="1">IFERROR(__xludf.DUMMYFUNCTION("""COMPUTED_VALUE"""),11)</f>
        <v>11</v>
      </c>
      <c r="D1514" s="33" t="str">
        <f ca="1">IFERROR(__xludf.DUMMYFUNCTION("""COMPUTED_VALUE"""),"NO")</f>
        <v>NO</v>
      </c>
      <c r="E1514" s="33" t="str">
        <f ca="1">IFERROR(__xludf.DUMMYFUNCTION("""COMPUTED_VALUE"""),"Toledo")</f>
        <v>Toledo</v>
      </c>
      <c r="F1514" s="57">
        <f ca="1">IFERROR(__xludf.DUMMYFUNCTION("""COMPUTED_VALUE"""),45982)</f>
        <v>45982</v>
      </c>
      <c r="G1514" s="57">
        <f ca="1">IFERROR(__xludf.DUMMYFUNCTION("""COMPUTED_VALUE"""),45951)</f>
        <v>45951</v>
      </c>
      <c r="H1514" s="33" t="str">
        <f ca="1">IFERROR(__xludf.DUMMYFUNCTION("""COMPUTED_VALUE"""),"Toledo")</f>
        <v>Toledo</v>
      </c>
      <c r="I1514" s="33" t="str">
        <f ca="1">IFERROR(__xludf.DUMMYFUNCTION("""COMPUTED_VALUE"""),"C202510219402818543")</f>
        <v>C202510219402818543</v>
      </c>
      <c r="J1514" s="33" t="str">
        <f ca="1">IFERROR(__xludf.DUMMYFUNCTION("""COMPUTED_VALUE"""),"Abraham García Rodríguez")</f>
        <v>Abraham García Rodríguez</v>
      </c>
      <c r="K1514" s="33">
        <f ca="1">IFERROR(__xludf.DUMMYFUNCTION("""COMPUTED_VALUE"""),2)</f>
        <v>2</v>
      </c>
      <c r="L1514" s="203">
        <f ca="1">IFERROR(__xludf.DUMMYFUNCTION("""COMPUTED_VALUE"""),3631.82)</f>
        <v>3631.82</v>
      </c>
      <c r="M1514" s="33" t="str">
        <f ca="1">IFERROR(__xludf.DUMMYFUNCTION("""COMPUTED_VALUE"""),"03 ORL")</f>
        <v>03 ORL</v>
      </c>
      <c r="N1514" s="33" t="str">
        <f ca="1">IFERROR(__xludf.DUMMYFUNCTION("""COMPUTED_VALUE"""),"06 ORL")</f>
        <v>06 ORL</v>
      </c>
      <c r="O1514" s="33" t="str">
        <f ca="1">IFERROR(__xludf.DUMMYFUNCTION("""COMPUTED_VALUE"""),"Dr,Manuel Padilla Parrado")</f>
        <v>Dr,Manuel Padilla Parrado</v>
      </c>
      <c r="P1514" s="33" t="str">
        <f ca="1">IFERROR(__xludf.DUMMYFUNCTION("""COMPUTED_VALUE"""),"Lisandro Russian (Madrid, Cáceres, Toledo, Talavera Y Logroño)")</f>
        <v>Lisandro Russian (Madrid, Cáceres, Toledo, Talavera Y Logroño)</v>
      </c>
    </row>
    <row r="1515" spans="2:16">
      <c r="B1515" s="33">
        <f ca="1">IFERROR(__xludf.DUMMYFUNCTION("""COMPUTED_VALUE"""),2025)</f>
        <v>2025</v>
      </c>
      <c r="C1515" s="33">
        <f ca="1">IFERROR(__xludf.DUMMYFUNCTION("""COMPUTED_VALUE"""),11)</f>
        <v>11</v>
      </c>
      <c r="D1515" s="33" t="str">
        <f ca="1">IFERROR(__xludf.DUMMYFUNCTION("""COMPUTED_VALUE"""),"NO")</f>
        <v>NO</v>
      </c>
      <c r="E1515" s="33" t="str">
        <f ca="1">IFERROR(__xludf.DUMMYFUNCTION("""COMPUTED_VALUE"""),"Móstoles")</f>
        <v>Móstoles</v>
      </c>
      <c r="F1515" s="57">
        <f ca="1">IFERROR(__xludf.DUMMYFUNCTION("""COMPUTED_VALUE"""),45982)</f>
        <v>45982</v>
      </c>
      <c r="G1515" s="57">
        <f ca="1">IFERROR(__xludf.DUMMYFUNCTION("""COMPUTED_VALUE"""),45950)</f>
        <v>45950</v>
      </c>
      <c r="H1515" s="33" t="str">
        <f ca="1">IFERROR(__xludf.DUMMYFUNCTION("""COMPUTED_VALUE"""),"Móstoles")</f>
        <v>Móstoles</v>
      </c>
      <c r="I1515" s="33" t="str">
        <f ca="1">IFERROR(__xludf.DUMMYFUNCTION("""COMPUTED_VALUE"""),"C202510201554338128")</f>
        <v>C202510201554338128</v>
      </c>
      <c r="J1515" s="33" t="str">
        <f ca="1">IFERROR(__xludf.DUMMYFUNCTION("""COMPUTED_VALUE"""),"CRISTINA MARTINEZ BLANCO")</f>
        <v>CRISTINA MARTINEZ BLANCO</v>
      </c>
      <c r="K1515" s="33">
        <f ca="1">IFERROR(__xludf.DUMMYFUNCTION("""COMPUTED_VALUE"""),1)</f>
        <v>1</v>
      </c>
      <c r="L1515" s="203">
        <f ca="1">IFERROR(__xludf.DUMMYFUNCTION("""COMPUTED_VALUE"""),1631.82)</f>
        <v>1631.82</v>
      </c>
      <c r="M1515" s="33" t="str">
        <f ca="1">IFERROR(__xludf.DUMMYFUNCTION("""COMPUTED_VALUE"""),"03 ORL")</f>
        <v>03 ORL</v>
      </c>
      <c r="N1515" s="33" t="str">
        <f ca="1">IFERROR(__xludf.DUMMYFUNCTION("""COMPUTED_VALUE"""),"06 ORL")</f>
        <v>06 ORL</v>
      </c>
      <c r="O1515" s="33" t="str">
        <f ca="1">IFERROR(__xludf.DUMMYFUNCTION("""COMPUTED_VALUE"""),"Dra, Laura del Toro Gil")</f>
        <v>Dra, Laura del Toro Gil</v>
      </c>
      <c r="P1515" s="33" t="str">
        <f ca="1">IFERROR(__xludf.DUMMYFUNCTION("""COMPUTED_VALUE"""),"Maika Blázquez (Madrid)")</f>
        <v>Maika Blázquez (Madrid)</v>
      </c>
    </row>
    <row r="1516" spans="2:16">
      <c r="B1516" s="33">
        <f ca="1">IFERROR(__xludf.DUMMYFUNCTION("""COMPUTED_VALUE"""),2025)</f>
        <v>2025</v>
      </c>
      <c r="C1516" s="33">
        <f ca="1">IFERROR(__xludf.DUMMYFUNCTION("""COMPUTED_VALUE"""),11)</f>
        <v>11</v>
      </c>
      <c r="D1516" s="33" t="str">
        <f ca="1">IFERROR(__xludf.DUMMYFUNCTION("""COMPUTED_VALUE"""),"NO")</f>
        <v>NO</v>
      </c>
      <c r="E1516" s="33" t="str">
        <f ca="1">IFERROR(__xludf.DUMMYFUNCTION("""COMPUTED_VALUE"""),"Vigo")</f>
        <v>Vigo</v>
      </c>
      <c r="F1516" s="57">
        <f ca="1">IFERROR(__xludf.DUMMYFUNCTION("""COMPUTED_VALUE"""),45985)</f>
        <v>45985</v>
      </c>
      <c r="G1516" s="57">
        <f ca="1">IFERROR(__xludf.DUMMYFUNCTION("""COMPUTED_VALUE"""),45965)</f>
        <v>45965</v>
      </c>
      <c r="H1516" s="33" t="str">
        <f ca="1">IFERROR(__xludf.DUMMYFUNCTION("""COMPUTED_VALUE"""),"Vigo")</f>
        <v>Vigo</v>
      </c>
      <c r="I1516" s="33" t="str">
        <f ca="1">IFERROR(__xludf.DUMMYFUNCTION("""COMPUTED_VALUE"""),"VIG-633")</f>
        <v>VIG-633</v>
      </c>
      <c r="J1516" s="33" t="str">
        <f ca="1">IFERROR(__xludf.DUMMYFUNCTION("""COMPUTED_VALUE"""),"JOSE PEREZ GOMEZ")</f>
        <v>JOSE PEREZ GOMEZ</v>
      </c>
      <c r="K1516" s="33">
        <f ca="1">IFERROR(__xludf.DUMMYFUNCTION("""COMPUTED_VALUE"""),2)</f>
        <v>2</v>
      </c>
      <c r="L1516" s="203">
        <f ca="1">IFERROR(__xludf.DUMMYFUNCTION("""COMPUTED_VALUE"""),3636.36)</f>
        <v>3636.36</v>
      </c>
      <c r="M1516" s="33" t="str">
        <f ca="1">IFERROR(__xludf.DUMMYFUNCTION("""COMPUTED_VALUE"""),"03 ORL")</f>
        <v>03 ORL</v>
      </c>
      <c r="N1516" s="33" t="str">
        <f ca="1">IFERROR(__xludf.DUMMYFUNCTION("""COMPUTED_VALUE"""),"06 ORL")</f>
        <v>06 ORL</v>
      </c>
      <c r="O1516" s="33" t="str">
        <f ca="1">IFERROR(__xludf.DUMMYFUNCTION("""COMPUTED_VALUE"""),"Dr, Manuel Estevez García")</f>
        <v>Dr, Manuel Estevez García</v>
      </c>
      <c r="P1516" s="33" t="str">
        <f ca="1">IFERROR(__xludf.DUMMYFUNCTION("""COMPUTED_VALUE"""),"Roberto Pereira (Galicia)")</f>
        <v>Roberto Pereira (Galicia)</v>
      </c>
    </row>
    <row r="1517" spans="2:16">
      <c r="B1517" s="33">
        <f ca="1">IFERROR(__xludf.DUMMYFUNCTION("""COMPUTED_VALUE"""),2025)</f>
        <v>2025</v>
      </c>
      <c r="C1517" s="33">
        <f ca="1">IFERROR(__xludf.DUMMYFUNCTION("""COMPUTED_VALUE"""),11)</f>
        <v>11</v>
      </c>
      <c r="D1517" s="33" t="str">
        <f ca="1">IFERROR(__xludf.DUMMYFUNCTION("""COMPUTED_VALUE"""),"NO")</f>
        <v>NO</v>
      </c>
      <c r="E1517" s="33" t="str">
        <f ca="1">IFERROR(__xludf.DUMMYFUNCTION("""COMPUTED_VALUE"""),"Getafe")</f>
        <v>Getafe</v>
      </c>
      <c r="F1517" s="57">
        <f ca="1">IFERROR(__xludf.DUMMYFUNCTION("""COMPUTED_VALUE"""),45985)</f>
        <v>45985</v>
      </c>
      <c r="G1517" s="57">
        <f ca="1">IFERROR(__xludf.DUMMYFUNCTION("""COMPUTED_VALUE"""),45931)</f>
        <v>45931</v>
      </c>
      <c r="H1517" s="33" t="str">
        <f ca="1">IFERROR(__xludf.DUMMYFUNCTION("""COMPUTED_VALUE"""),"Getafe")</f>
        <v>Getafe</v>
      </c>
      <c r="I1517" s="33" t="str">
        <f ca="1">IFERROR(__xludf.DUMMYFUNCTION("""COMPUTED_VALUE"""),"C202510917924811")</f>
        <v>C202510917924811</v>
      </c>
      <c r="J1517" s="33" t="str">
        <f ca="1">IFERROR(__xludf.DUMMYFUNCTION("""COMPUTED_VALUE"""),"DAVID LOPEZ RUIZ")</f>
        <v>DAVID LOPEZ RUIZ</v>
      </c>
      <c r="K1517" s="33">
        <f ca="1">IFERROR(__xludf.DUMMYFUNCTION("""COMPUTED_VALUE"""),1)</f>
        <v>1</v>
      </c>
      <c r="L1517" s="203">
        <f ca="1">IFERROR(__xludf.DUMMYFUNCTION("""COMPUTED_VALUE"""),2180.91)</f>
        <v>2180.91</v>
      </c>
      <c r="M1517" s="33" t="str">
        <f ca="1">IFERROR(__xludf.DUMMYFUNCTION("""COMPUTED_VALUE"""),"03 ORL")</f>
        <v>03 ORL</v>
      </c>
      <c r="N1517" s="33" t="str">
        <f ca="1">IFERROR(__xludf.DUMMYFUNCTION("""COMPUTED_VALUE"""),"06 ORL")</f>
        <v>06 ORL</v>
      </c>
      <c r="O1517" s="33" t="str">
        <f ca="1">IFERROR(__xludf.DUMMYFUNCTION("""COMPUTED_VALUE"""),"No recuerda ORL")</f>
        <v>No recuerda ORL</v>
      </c>
      <c r="P1517" s="33" t="str">
        <f ca="1">IFERROR(__xludf.DUMMYFUNCTION("""COMPUTED_VALUE"""),"Maika Blázquez (Madrid)")</f>
        <v>Maika Blázquez (Madrid)</v>
      </c>
    </row>
    <row r="1518" spans="2:16">
      <c r="B1518" s="33">
        <f ca="1">IFERROR(__xludf.DUMMYFUNCTION("""COMPUTED_VALUE"""),2025)</f>
        <v>2025</v>
      </c>
      <c r="C1518" s="33">
        <f ca="1">IFERROR(__xludf.DUMMYFUNCTION("""COMPUTED_VALUE"""),11)</f>
        <v>11</v>
      </c>
      <c r="D1518" s="33" t="str">
        <f ca="1">IFERROR(__xludf.DUMMYFUNCTION("""COMPUTED_VALUE"""),"NO")</f>
        <v>NO</v>
      </c>
      <c r="E1518" s="33" t="str">
        <f ca="1">IFERROR(__xludf.DUMMYFUNCTION("""COMPUTED_VALUE"""),"Alcorcón")</f>
        <v>Alcorcón</v>
      </c>
      <c r="F1518" s="57">
        <f ca="1">IFERROR(__xludf.DUMMYFUNCTION("""COMPUTED_VALUE"""),45985)</f>
        <v>45985</v>
      </c>
      <c r="G1518" s="57">
        <f ca="1">IFERROR(__xludf.DUMMYFUNCTION("""COMPUTED_VALUE"""),45929)</f>
        <v>45929</v>
      </c>
      <c r="H1518" s="33" t="str">
        <f ca="1">IFERROR(__xludf.DUMMYFUNCTION("""COMPUTED_VALUE"""),"Alcorcón")</f>
        <v>Alcorcón</v>
      </c>
      <c r="I1518" s="33" t="str">
        <f ca="1">IFERROR(__xludf.DUMMYFUNCTION("""COMPUTED_VALUE"""),"C2025109175853796")</f>
        <v>C2025109175853796</v>
      </c>
      <c r="J1518" s="33" t="str">
        <f ca="1">IFERROR(__xludf.DUMMYFUNCTION("""COMPUTED_VALUE"""),"MARIA CARMEN MARTINEZ GONZALEZ")</f>
        <v>MARIA CARMEN MARTINEZ GONZALEZ</v>
      </c>
      <c r="K1518" s="33">
        <f ca="1">IFERROR(__xludf.DUMMYFUNCTION("""COMPUTED_VALUE"""),2)</f>
        <v>2</v>
      </c>
      <c r="L1518" s="203">
        <f ca="1">IFERROR(__xludf.DUMMYFUNCTION("""COMPUTED_VALUE"""),3631.82)</f>
        <v>3631.82</v>
      </c>
      <c r="M1518" s="33" t="str">
        <f ca="1">IFERROR(__xludf.DUMMYFUNCTION("""COMPUTED_VALUE"""),"03 ORL")</f>
        <v>03 ORL</v>
      </c>
      <c r="N1518" s="33" t="str">
        <f ca="1">IFERROR(__xludf.DUMMYFUNCTION("""COMPUTED_VALUE"""),"06 ORL")</f>
        <v>06 ORL</v>
      </c>
      <c r="O1518" s="33" t="str">
        <f ca="1">IFERROR(__xludf.DUMMYFUNCTION("""COMPUTED_VALUE"""),"Dr, Raimundo Gómez-Blasi")</f>
        <v>Dr, Raimundo Gómez-Blasi</v>
      </c>
      <c r="P1518" s="33" t="str">
        <f ca="1">IFERROR(__xludf.DUMMYFUNCTION("""COMPUTED_VALUE"""),"Maika Blázquez (Madrid)")</f>
        <v>Maika Blázquez (Madrid)</v>
      </c>
    </row>
    <row r="1519" spans="2:16">
      <c r="B1519" s="33">
        <f ca="1">IFERROR(__xludf.DUMMYFUNCTION("""COMPUTED_VALUE"""),2025)</f>
        <v>2025</v>
      </c>
      <c r="C1519" s="33">
        <f ca="1">IFERROR(__xludf.DUMMYFUNCTION("""COMPUTED_VALUE"""),11)</f>
        <v>11</v>
      </c>
      <c r="D1519" s="33" t="str">
        <f ca="1">IFERROR(__xludf.DUMMYFUNCTION("""COMPUTED_VALUE"""),"NO")</f>
        <v>NO</v>
      </c>
      <c r="E1519" s="33" t="str">
        <f ca="1">IFERROR(__xludf.DUMMYFUNCTION("""COMPUTED_VALUE"""),"Getafe")</f>
        <v>Getafe</v>
      </c>
      <c r="F1519" s="57">
        <f ca="1">IFERROR(__xludf.DUMMYFUNCTION("""COMPUTED_VALUE"""),45985)</f>
        <v>45985</v>
      </c>
      <c r="G1519" s="57">
        <f ca="1">IFERROR(__xludf.DUMMYFUNCTION("""COMPUTED_VALUE"""),45929)</f>
        <v>45929</v>
      </c>
      <c r="H1519" s="33" t="str">
        <f ca="1">IFERROR(__xludf.DUMMYFUNCTION("""COMPUTED_VALUE"""),"Getafe")</f>
        <v>Getafe</v>
      </c>
      <c r="I1519" s="33" t="str">
        <f ca="1">IFERROR(__xludf.DUMMYFUNCTION("""COMPUTED_VALUE"""),"C202510109518266")</f>
        <v>C202510109518266</v>
      </c>
      <c r="J1519" s="33" t="str">
        <f ca="1">IFERROR(__xludf.DUMMYFUNCTION("""COMPUTED_VALUE"""),"CARLOS GARCÍA PÉREZ")</f>
        <v>CARLOS GARCÍA PÉREZ</v>
      </c>
      <c r="K1519" s="33">
        <f ca="1">IFERROR(__xludf.DUMMYFUNCTION("""COMPUTED_VALUE"""),2)</f>
        <v>2</v>
      </c>
      <c r="L1519" s="203">
        <f ca="1">IFERROR(__xludf.DUMMYFUNCTION("""COMPUTED_VALUE"""),3631.82)</f>
        <v>3631.82</v>
      </c>
      <c r="M1519" s="33" t="str">
        <f ca="1">IFERROR(__xludf.DUMMYFUNCTION("""COMPUTED_VALUE"""),"03 ORL")</f>
        <v>03 ORL</v>
      </c>
      <c r="N1519" s="33" t="str">
        <f ca="1">IFERROR(__xludf.DUMMYFUNCTION("""COMPUTED_VALUE"""),"06 ORL")</f>
        <v>06 ORL</v>
      </c>
      <c r="O1519" s="33" t="str">
        <f ca="1">IFERROR(__xludf.DUMMYFUNCTION("""COMPUTED_VALUE"""),"Dra, María Garrote Garrote")</f>
        <v>Dra, María Garrote Garrote</v>
      </c>
      <c r="P1519" s="33" t="str">
        <f ca="1">IFERROR(__xludf.DUMMYFUNCTION("""COMPUTED_VALUE"""),"Maika Blázquez (Madrid)")</f>
        <v>Maika Blázquez (Madrid)</v>
      </c>
    </row>
    <row r="1520" spans="2:16">
      <c r="B1520" s="33">
        <f ca="1">IFERROR(__xludf.DUMMYFUNCTION("""COMPUTED_VALUE"""),2025)</f>
        <v>2025</v>
      </c>
      <c r="C1520" s="33">
        <f ca="1">IFERROR(__xludf.DUMMYFUNCTION("""COMPUTED_VALUE"""),11)</f>
        <v>11</v>
      </c>
      <c r="D1520" s="33" t="str">
        <f ca="1">IFERROR(__xludf.DUMMYFUNCTION("""COMPUTED_VALUE"""),"NO")</f>
        <v>NO</v>
      </c>
      <c r="E1520" s="33" t="str">
        <f ca="1">IFERROR(__xludf.DUMMYFUNCTION("""COMPUTED_VALUE"""),"Fuenlabrada")</f>
        <v>Fuenlabrada</v>
      </c>
      <c r="F1520" s="57">
        <f ca="1">IFERROR(__xludf.DUMMYFUNCTION("""COMPUTED_VALUE"""),45985)</f>
        <v>45985</v>
      </c>
      <c r="G1520" s="57">
        <f ca="1">IFERROR(__xludf.DUMMYFUNCTION("""COMPUTED_VALUE"""),45958)</f>
        <v>45958</v>
      </c>
      <c r="H1520" s="33" t="str">
        <f ca="1">IFERROR(__xludf.DUMMYFUNCTION("""COMPUTED_VALUE"""),"Fuenlabrada")</f>
        <v>Fuenlabrada</v>
      </c>
      <c r="I1520" s="33" t="str">
        <f ca="1">IFERROR(__xludf.DUMMYFUNCTION("""COMPUTED_VALUE"""),"C202510281515144128")</f>
        <v>C202510281515144128</v>
      </c>
      <c r="J1520" s="33" t="str">
        <f ca="1">IFERROR(__xludf.DUMMYFUNCTION("""COMPUTED_VALUE"""),"ALFONSO BALLESTEROS GIL")</f>
        <v>ALFONSO BALLESTEROS GIL</v>
      </c>
      <c r="K1520" s="33">
        <f ca="1">IFERROR(__xludf.DUMMYFUNCTION("""COMPUTED_VALUE"""),1)</f>
        <v>1</v>
      </c>
      <c r="L1520" s="203">
        <f ca="1">IFERROR(__xludf.DUMMYFUNCTION("""COMPUTED_VALUE"""),2640)</f>
        <v>2640</v>
      </c>
      <c r="M1520" s="33" t="str">
        <f ca="1">IFERROR(__xludf.DUMMYFUNCTION("""COMPUTED_VALUE"""),"03 ORL")</f>
        <v>03 ORL</v>
      </c>
      <c r="N1520" s="33" t="str">
        <f ca="1">IFERROR(__xludf.DUMMYFUNCTION("""COMPUTED_VALUE"""),"06 ORL")</f>
        <v>06 ORL</v>
      </c>
      <c r="O1520" s="33" t="str">
        <f ca="1">IFERROR(__xludf.DUMMYFUNCTION("""COMPUTED_VALUE"""),"Dr, Raimundo Andres Navarro Mediano")</f>
        <v>Dr, Raimundo Andres Navarro Mediano</v>
      </c>
      <c r="P1520" s="33" t="str">
        <f ca="1">IFERROR(__xludf.DUMMYFUNCTION("""COMPUTED_VALUE"""),"Maika Blázquez (Madrid)")</f>
        <v>Maika Blázquez (Madrid)</v>
      </c>
    </row>
    <row r="1521" spans="2:16">
      <c r="B1521" s="33">
        <f ca="1">IFERROR(__xludf.DUMMYFUNCTION("""COMPUTED_VALUE"""),2025)</f>
        <v>2025</v>
      </c>
      <c r="C1521" s="33">
        <f ca="1">IFERROR(__xludf.DUMMYFUNCTION("""COMPUTED_VALUE"""),11)</f>
        <v>11</v>
      </c>
      <c r="D1521" s="33" t="str">
        <f ca="1">IFERROR(__xludf.DUMMYFUNCTION("""COMPUTED_VALUE"""),"NO")</f>
        <v>NO</v>
      </c>
      <c r="E1521" s="33" t="str">
        <f ca="1">IFERROR(__xludf.DUMMYFUNCTION("""COMPUTED_VALUE"""),"Fuenlabrada")</f>
        <v>Fuenlabrada</v>
      </c>
      <c r="F1521" s="57">
        <f ca="1">IFERROR(__xludf.DUMMYFUNCTION("""COMPUTED_VALUE"""),45985)</f>
        <v>45985</v>
      </c>
      <c r="G1521" s="57">
        <f ca="1">IFERROR(__xludf.DUMMYFUNCTION("""COMPUTED_VALUE"""),45954)</f>
        <v>45954</v>
      </c>
      <c r="H1521" s="33" t="str">
        <f ca="1">IFERROR(__xludf.DUMMYFUNCTION("""COMPUTED_VALUE"""),"Fuenlabrada")</f>
        <v>Fuenlabrada</v>
      </c>
      <c r="I1521" s="33" t="str">
        <f ca="1">IFERROR(__xludf.DUMMYFUNCTION("""COMPUTED_VALUE"""),"C202510248477106650")</f>
        <v>C202510248477106650</v>
      </c>
      <c r="J1521" s="33" t="str">
        <f ca="1">IFERROR(__xludf.DUMMYFUNCTION("""COMPUTED_VALUE"""),"JOSE LEO BERROCAL")</f>
        <v>JOSE LEO BERROCAL</v>
      </c>
      <c r="K1521" s="33">
        <f ca="1">IFERROR(__xludf.DUMMYFUNCTION("""COMPUTED_VALUE"""),2)</f>
        <v>2</v>
      </c>
      <c r="L1521" s="203">
        <f ca="1">IFERROR(__xludf.DUMMYFUNCTION("""COMPUTED_VALUE"""),2718.18)</f>
        <v>2718.18</v>
      </c>
      <c r="M1521" s="33" t="str">
        <f ca="1">IFERROR(__xludf.DUMMYFUNCTION("""COMPUTED_VALUE"""),"03 ORL")</f>
        <v>03 ORL</v>
      </c>
      <c r="N1521" s="33" t="str">
        <f ca="1">IFERROR(__xludf.DUMMYFUNCTION("""COMPUTED_VALUE"""),"06 ORL")</f>
        <v>06 ORL</v>
      </c>
      <c r="O1521" s="33" t="str">
        <f ca="1">IFERROR(__xludf.DUMMYFUNCTION("""COMPUTED_VALUE"""),"Dra, Paloma Martín-Aragón Martín")</f>
        <v>Dra, Paloma Martín-Aragón Martín</v>
      </c>
      <c r="P1521" s="33" t="str">
        <f ca="1">IFERROR(__xludf.DUMMYFUNCTION("""COMPUTED_VALUE"""),"Maika Blázquez (Madrid)")</f>
        <v>Maika Blázquez (Madrid)</v>
      </c>
    </row>
    <row r="1522" spans="2:16">
      <c r="B1522" s="33">
        <f ca="1">IFERROR(__xludf.DUMMYFUNCTION("""COMPUTED_VALUE"""),2025)</f>
        <v>2025</v>
      </c>
      <c r="C1522" s="33">
        <f ca="1">IFERROR(__xludf.DUMMYFUNCTION("""COMPUTED_VALUE"""),11)</f>
        <v>11</v>
      </c>
      <c r="D1522" s="33" t="str">
        <f ca="1">IFERROR(__xludf.DUMMYFUNCTION("""COMPUTED_VALUE"""),"NO")</f>
        <v>NO</v>
      </c>
      <c r="E1522" s="33" t="str">
        <f ca="1">IFERROR(__xludf.DUMMYFUNCTION("""COMPUTED_VALUE"""),"Orihuela")</f>
        <v>Orihuela</v>
      </c>
      <c r="F1522" s="57">
        <f ca="1">IFERROR(__xludf.DUMMYFUNCTION("""COMPUTED_VALUE"""),45985)</f>
        <v>45985</v>
      </c>
      <c r="G1522" s="57">
        <f ca="1">IFERROR(__xludf.DUMMYFUNCTION("""COMPUTED_VALUE"""),45964)</f>
        <v>45964</v>
      </c>
      <c r="H1522" s="33" t="str">
        <f ca="1">IFERROR(__xludf.DUMMYFUNCTION("""COMPUTED_VALUE"""),"La Zenia")</f>
        <v>La Zenia</v>
      </c>
      <c r="I1522" s="33" t="str">
        <f ca="1">IFERROR(__xludf.DUMMYFUNCTION("""COMPUTED_VALUE"""),"C202511312491034431")</f>
        <v>C202511312491034431</v>
      </c>
      <c r="J1522" s="33" t="str">
        <f ca="1">IFERROR(__xludf.DUMMYFUNCTION("""COMPUTED_VALUE"""),"CHRISTIAN JEAN CLEMENT")</f>
        <v>CHRISTIAN JEAN CLEMENT</v>
      </c>
      <c r="K1522" s="33">
        <f ca="1">IFERROR(__xludf.DUMMYFUNCTION("""COMPUTED_VALUE"""),2)</f>
        <v>2</v>
      </c>
      <c r="L1522" s="203">
        <f ca="1">IFERROR(__xludf.DUMMYFUNCTION("""COMPUTED_VALUE"""),2718.18)</f>
        <v>2718.18</v>
      </c>
      <c r="M1522" s="33" t="str">
        <f ca="1">IFERROR(__xludf.DUMMYFUNCTION("""COMPUTED_VALUE"""),"03 ORL")</f>
        <v>03 ORL</v>
      </c>
      <c r="N1522" s="33" t="str">
        <f ca="1">IFERROR(__xludf.DUMMYFUNCTION("""COMPUTED_VALUE"""),"06 ORL")</f>
        <v>06 ORL</v>
      </c>
      <c r="O1522" s="33" t="str">
        <f ca="1">IFERROR(__xludf.DUMMYFUNCTION("""COMPUTED_VALUE"""),"Dr, Carlos Velásquez Fermín")</f>
        <v>Dr, Carlos Velásquez Fermín</v>
      </c>
      <c r="P1522" s="33" t="str">
        <f ca="1">IFERROR(__xludf.DUMMYFUNCTION("""COMPUTED_VALUE"""),"Iván Sánchez (Levante Y Albacete)")</f>
        <v>Iván Sánchez (Levante Y Albacete)</v>
      </c>
    </row>
    <row r="1523" spans="2:16">
      <c r="B1523" s="33">
        <f ca="1">IFERROR(__xludf.DUMMYFUNCTION("""COMPUTED_VALUE"""),2025)</f>
        <v>2025</v>
      </c>
      <c r="C1523" s="33">
        <f ca="1">IFERROR(__xludf.DUMMYFUNCTION("""COMPUTED_VALUE"""),11)</f>
        <v>11</v>
      </c>
      <c r="D1523" s="33" t="str">
        <f ca="1">IFERROR(__xludf.DUMMYFUNCTION("""COMPUTED_VALUE"""),"NO")</f>
        <v>NO</v>
      </c>
      <c r="E1523" s="33" t="str">
        <f ca="1">IFERROR(__xludf.DUMMYFUNCTION("""COMPUTED_VALUE"""),"Madrid- Juan Bravo")</f>
        <v>Madrid- Juan Bravo</v>
      </c>
      <c r="F1523" s="57">
        <f ca="1">IFERROR(__xludf.DUMMYFUNCTION("""COMPUTED_VALUE"""),45985)</f>
        <v>45985</v>
      </c>
      <c r="G1523" s="57">
        <f ca="1">IFERROR(__xludf.DUMMYFUNCTION("""COMPUTED_VALUE"""),45951)</f>
        <v>45951</v>
      </c>
      <c r="H1523" s="33" t="str">
        <f ca="1">IFERROR(__xludf.DUMMYFUNCTION("""COMPUTED_VALUE"""),"Juan Bravo")</f>
        <v>Juan Bravo</v>
      </c>
      <c r="I1523" s="33" t="str">
        <f ca="1">IFERROR(__xludf.DUMMYFUNCTION("""COMPUTED_VALUE"""),"C202510211029150996")</f>
        <v>C202510211029150996</v>
      </c>
      <c r="J1523" s="33" t="str">
        <f ca="1">IFERROR(__xludf.DUMMYFUNCTION("""COMPUTED_VALUE"""),"SONSOLES GARCIA SANCHEZ")</f>
        <v>SONSOLES GARCIA SANCHEZ</v>
      </c>
      <c r="K1523" s="33">
        <f ca="1">IFERROR(__xludf.DUMMYFUNCTION("""COMPUTED_VALUE"""),2)</f>
        <v>2</v>
      </c>
      <c r="L1523" s="203">
        <f ca="1">IFERROR(__xludf.DUMMYFUNCTION("""COMPUTED_VALUE"""),2718.18)</f>
        <v>2718.18</v>
      </c>
      <c r="M1523" s="33" t="str">
        <f ca="1">IFERROR(__xludf.DUMMYFUNCTION("""COMPUTED_VALUE"""),"03 ORL")</f>
        <v>03 ORL</v>
      </c>
      <c r="N1523" s="33" t="str">
        <f ca="1">IFERROR(__xludf.DUMMYFUNCTION("""COMPUTED_VALUE"""),"06 ORL")</f>
        <v>06 ORL</v>
      </c>
      <c r="O1523" s="33" t="str">
        <f ca="1">IFERROR(__xludf.DUMMYFUNCTION("""COMPUTED_VALUE"""),"Dr, Guillermo San Juan de la Moreta")</f>
        <v>Dr, Guillermo San Juan de la Moreta</v>
      </c>
      <c r="P1523" s="33" t="str">
        <f ca="1">IFERROR(__xludf.DUMMYFUNCTION("""COMPUTED_VALUE"""),"Maika Blázquez (Madrid)")</f>
        <v>Maika Blázquez (Madrid)</v>
      </c>
    </row>
    <row r="1524" spans="2:16">
      <c r="B1524" s="33">
        <f ca="1">IFERROR(__xludf.DUMMYFUNCTION("""COMPUTED_VALUE"""),2025)</f>
        <v>2025</v>
      </c>
      <c r="C1524" s="33">
        <f ca="1">IFERROR(__xludf.DUMMYFUNCTION("""COMPUTED_VALUE"""),11)</f>
        <v>11</v>
      </c>
      <c r="D1524" s="33" t="str">
        <f ca="1">IFERROR(__xludf.DUMMYFUNCTION("""COMPUTED_VALUE"""),"NO")</f>
        <v>NO</v>
      </c>
      <c r="E1524" s="33" t="str">
        <f ca="1">IFERROR(__xludf.DUMMYFUNCTION("""COMPUTED_VALUE"""),"Alicante")</f>
        <v>Alicante</v>
      </c>
      <c r="F1524" s="57">
        <f ca="1">IFERROR(__xludf.DUMMYFUNCTION("""COMPUTED_VALUE"""),45985)</f>
        <v>45985</v>
      </c>
      <c r="G1524" s="57">
        <f ca="1">IFERROR(__xludf.DUMMYFUNCTION("""COMPUTED_VALUE"""),45946)</f>
        <v>45946</v>
      </c>
      <c r="H1524" s="33" t="str">
        <f ca="1">IFERROR(__xludf.DUMMYFUNCTION("""COMPUTED_VALUE"""),"Alicante")</f>
        <v>Alicante</v>
      </c>
      <c r="I1524" s="33" t="str">
        <f ca="1">IFERROR(__xludf.DUMMYFUNCTION("""COMPUTED_VALUE"""),"C202510161049288765")</f>
        <v>C202510161049288765</v>
      </c>
      <c r="J1524" s="33" t="str">
        <f ca="1">IFERROR(__xludf.DUMMYFUNCTION("""COMPUTED_VALUE"""),"GLORIA NANCY VESPA")</f>
        <v>GLORIA NANCY VESPA</v>
      </c>
      <c r="K1524" s="33">
        <f ca="1">IFERROR(__xludf.DUMMYFUNCTION("""COMPUTED_VALUE"""),1)</f>
        <v>1</v>
      </c>
      <c r="L1524" s="203">
        <f ca="1">IFERROR(__xludf.DUMMYFUNCTION("""COMPUTED_VALUE"""),2481.82)</f>
        <v>2481.8200000000002</v>
      </c>
      <c r="M1524" s="33" t="str">
        <f ca="1">IFERROR(__xludf.DUMMYFUNCTION("""COMPUTED_VALUE"""),"03 ORL")</f>
        <v>03 ORL</v>
      </c>
      <c r="N1524" s="33" t="str">
        <f ca="1">IFERROR(__xludf.DUMMYFUNCTION("""COMPUTED_VALUE"""),"06 ORL")</f>
        <v>06 ORL</v>
      </c>
      <c r="O1524" s="33" t="str">
        <f ca="1">IFERROR(__xludf.DUMMYFUNCTION("""COMPUTED_VALUE"""),"Dr, Félix Ruíz de la Cuesta Juste")</f>
        <v>Dr, Félix Ruíz de la Cuesta Juste</v>
      </c>
      <c r="P1524" s="33" t="str">
        <f ca="1">IFERROR(__xludf.DUMMYFUNCTION("""COMPUTED_VALUE"""),"Iván Sánchez (Levante Y Albacete)")</f>
        <v>Iván Sánchez (Levante Y Albacete)</v>
      </c>
    </row>
    <row r="1525" spans="2:16">
      <c r="B1525" s="33">
        <f ca="1">IFERROR(__xludf.DUMMYFUNCTION("""COMPUTED_VALUE"""),2025)</f>
        <v>2025</v>
      </c>
      <c r="C1525" s="33">
        <f ca="1">IFERROR(__xludf.DUMMYFUNCTION("""COMPUTED_VALUE"""),11)</f>
        <v>11</v>
      </c>
      <c r="D1525" s="33" t="str">
        <f ca="1">IFERROR(__xludf.DUMMYFUNCTION("""COMPUTED_VALUE"""),"NO")</f>
        <v>NO</v>
      </c>
      <c r="E1525" s="33" t="str">
        <f ca="1">IFERROR(__xludf.DUMMYFUNCTION("""COMPUTED_VALUE"""),"Fuenlabrada")</f>
        <v>Fuenlabrada</v>
      </c>
      <c r="F1525" s="57">
        <f ca="1">IFERROR(__xludf.DUMMYFUNCTION("""COMPUTED_VALUE"""),45985)</f>
        <v>45985</v>
      </c>
      <c r="G1525" s="57">
        <f ca="1">IFERROR(__xludf.DUMMYFUNCTION("""COMPUTED_VALUE"""),45960)</f>
        <v>45960</v>
      </c>
      <c r="H1525" s="33" t="str">
        <f ca="1">IFERROR(__xludf.DUMMYFUNCTION("""COMPUTED_VALUE"""),"Fuenlabrada")</f>
        <v>Fuenlabrada</v>
      </c>
      <c r="I1525" s="33" t="str">
        <f ca="1">IFERROR(__xludf.DUMMYFUNCTION("""COMPUTED_VALUE"""),"C202510301727515534")</f>
        <v>C202510301727515534</v>
      </c>
      <c r="J1525" s="33" t="str">
        <f ca="1">IFERROR(__xludf.DUMMYFUNCTION("""COMPUTED_VALUE"""),"EVA MARIA RODRIGUEZ REBELLA")</f>
        <v>EVA MARIA RODRIGUEZ REBELLA</v>
      </c>
      <c r="K1525" s="33">
        <f ca="1">IFERROR(__xludf.DUMMYFUNCTION("""COMPUTED_VALUE"""),1)</f>
        <v>1</v>
      </c>
      <c r="L1525" s="203">
        <f ca="1">IFERROR(__xludf.DUMMYFUNCTION("""COMPUTED_VALUE"""),2481.82)</f>
        <v>2481.8200000000002</v>
      </c>
      <c r="M1525" s="33" t="str">
        <f ca="1">IFERROR(__xludf.DUMMYFUNCTION("""COMPUTED_VALUE"""),"03 ORL")</f>
        <v>03 ORL</v>
      </c>
      <c r="N1525" s="33" t="str">
        <f ca="1">IFERROR(__xludf.DUMMYFUNCTION("""COMPUTED_VALUE"""),"06 ORL")</f>
        <v>06 ORL</v>
      </c>
      <c r="O1525" s="33" t="str">
        <f ca="1">IFERROR(__xludf.DUMMYFUNCTION("""COMPUTED_VALUE"""),"Dra, Victoria García Peces")</f>
        <v>Dra, Victoria García Peces</v>
      </c>
      <c r="P1525" s="33" t="str">
        <f ca="1">IFERROR(__xludf.DUMMYFUNCTION("""COMPUTED_VALUE"""),"Maika Blázquez (Madrid)")</f>
        <v>Maika Blázquez (Madrid)</v>
      </c>
    </row>
    <row r="1526" spans="2:16">
      <c r="B1526" s="33">
        <f ca="1">IFERROR(__xludf.DUMMYFUNCTION("""COMPUTED_VALUE"""),2025)</f>
        <v>2025</v>
      </c>
      <c r="C1526" s="33">
        <f ca="1">IFERROR(__xludf.DUMMYFUNCTION("""COMPUTED_VALUE"""),11)</f>
        <v>11</v>
      </c>
      <c r="D1526" s="33" t="str">
        <f ca="1">IFERROR(__xludf.DUMMYFUNCTION("""COMPUTED_VALUE"""),"NO")</f>
        <v>NO</v>
      </c>
      <c r="E1526" s="33" t="str">
        <f ca="1">IFERROR(__xludf.DUMMYFUNCTION("""COMPUTED_VALUE"""),"Madrid- Canillas")</f>
        <v>Madrid- Canillas</v>
      </c>
      <c r="F1526" s="57">
        <f ca="1">IFERROR(__xludf.DUMMYFUNCTION("""COMPUTED_VALUE"""),45985)</f>
        <v>45985</v>
      </c>
      <c r="G1526" s="57">
        <f ca="1">IFERROR(__xludf.DUMMYFUNCTION("""COMPUTED_VALUE"""),45958)</f>
        <v>45958</v>
      </c>
      <c r="H1526" s="33" t="str">
        <f ca="1">IFERROR(__xludf.DUMMYFUNCTION("""COMPUTED_VALUE"""),"Canillas")</f>
        <v>Canillas</v>
      </c>
      <c r="I1526" s="33" t="str">
        <f ca="1">IFERROR(__xludf.DUMMYFUNCTION("""COMPUTED_VALUE"""),"C202510281023758297")</f>
        <v>C202510281023758297</v>
      </c>
      <c r="J1526" s="33" t="str">
        <f ca="1">IFERROR(__xludf.DUMMYFUNCTION("""COMPUTED_VALUE"""),"JOSE MANUEL CARRACEDO BERMEJO")</f>
        <v>JOSE MANUEL CARRACEDO BERMEJO</v>
      </c>
      <c r="K1526" s="33">
        <f ca="1">IFERROR(__xludf.DUMMYFUNCTION("""COMPUTED_VALUE"""),2)</f>
        <v>2</v>
      </c>
      <c r="L1526" s="203">
        <f ca="1">IFERROR(__xludf.DUMMYFUNCTION("""COMPUTED_VALUE"""),3631.82)</f>
        <v>3631.82</v>
      </c>
      <c r="M1526" s="33" t="str">
        <f ca="1">IFERROR(__xludf.DUMMYFUNCTION("""COMPUTED_VALUE"""),"03 ORL")</f>
        <v>03 ORL</v>
      </c>
      <c r="N1526" s="33" t="str">
        <f ca="1">IFERROR(__xludf.DUMMYFUNCTION("""COMPUTED_VALUE"""),"06 ORL")</f>
        <v>06 ORL</v>
      </c>
      <c r="O1526" s="33" t="str">
        <f ca="1">IFERROR(__xludf.DUMMYFUNCTION("""COMPUTED_VALUE"""),"No recuerda ORL")</f>
        <v>No recuerda ORL</v>
      </c>
      <c r="P1526" s="33" t="str">
        <f ca="1">IFERROR(__xludf.DUMMYFUNCTION("""COMPUTED_VALUE"""),"Maika Blázquez (Madrid)")</f>
        <v>Maika Blázquez (Madrid)</v>
      </c>
    </row>
    <row r="1527" spans="2:16">
      <c r="B1527" s="33">
        <f ca="1">IFERROR(__xludf.DUMMYFUNCTION("""COMPUTED_VALUE"""),2025)</f>
        <v>2025</v>
      </c>
      <c r="C1527" s="33">
        <f ca="1">IFERROR(__xludf.DUMMYFUNCTION("""COMPUTED_VALUE"""),11)</f>
        <v>11</v>
      </c>
      <c r="D1527" s="33" t="str">
        <f ca="1">IFERROR(__xludf.DUMMYFUNCTION("""COMPUTED_VALUE"""),"NO")</f>
        <v>NO</v>
      </c>
      <c r="E1527" s="33" t="str">
        <f ca="1">IFERROR(__xludf.DUMMYFUNCTION("""COMPUTED_VALUE"""),"Jerez de la Frontera")</f>
        <v>Jerez de la Frontera</v>
      </c>
      <c r="F1527" s="57">
        <f ca="1">IFERROR(__xludf.DUMMYFUNCTION("""COMPUTED_VALUE"""),45986)</f>
        <v>45986</v>
      </c>
      <c r="G1527" s="57">
        <f ca="1">IFERROR(__xludf.DUMMYFUNCTION("""COMPUTED_VALUE"""),45933)</f>
        <v>45933</v>
      </c>
      <c r="H1527" s="33" t="str">
        <f ca="1">IFERROR(__xludf.DUMMYFUNCTION("""COMPUTED_VALUE"""),"Jerez")</f>
        <v>Jerez</v>
      </c>
      <c r="I1527" s="33" t="str">
        <f ca="1">IFERROR(__xludf.DUMMYFUNCTION("""COMPUTED_VALUE"""),"C20251079254489")</f>
        <v>C20251079254489</v>
      </c>
      <c r="J1527" s="33" t="str">
        <f ca="1">IFERROR(__xludf.DUMMYFUNCTION("""COMPUTED_VALUE"""),"ALBA PANAL GARCIA")</f>
        <v>ALBA PANAL GARCIA</v>
      </c>
      <c r="K1527" s="33">
        <f ca="1">IFERROR(__xludf.DUMMYFUNCTION("""COMPUTED_VALUE"""),1)</f>
        <v>1</v>
      </c>
      <c r="L1527" s="203">
        <f ca="1">IFERROR(__xludf.DUMMYFUNCTION("""COMPUTED_VALUE"""),2481.82)</f>
        <v>2481.8200000000002</v>
      </c>
      <c r="M1527" s="33" t="str">
        <f ca="1">IFERROR(__xludf.DUMMYFUNCTION("""COMPUTED_VALUE"""),"03 ORL")</f>
        <v>03 ORL</v>
      </c>
      <c r="N1527" s="33" t="str">
        <f ca="1">IFERROR(__xludf.DUMMYFUNCTION("""COMPUTED_VALUE"""),"22 AUDIOMETRIA CLINICA")</f>
        <v>22 AUDIOMETRIA CLINICA</v>
      </c>
      <c r="O1527" s="33" t="str">
        <f ca="1">IFERROR(__xludf.DUMMYFUNCTION("""COMPUTED_VALUE"""),"Dr, Miguel Ángel Fernández Andrade")</f>
        <v>Dr, Miguel Ángel Fernández Andrade</v>
      </c>
      <c r="P1527" s="33" t="str">
        <f ca="1">IFERROR(__xludf.DUMMYFUNCTION("""COMPUTED_VALUE"""),"Luis Alberto Rodríguez (Andalucía y Badajoz)")</f>
        <v>Luis Alberto Rodríguez (Andalucía y Badajoz)</v>
      </c>
    </row>
    <row r="1528" spans="2:16">
      <c r="B1528" s="33">
        <f ca="1">IFERROR(__xludf.DUMMYFUNCTION("""COMPUTED_VALUE"""),2025)</f>
        <v>2025</v>
      </c>
      <c r="C1528" s="33">
        <f ca="1">IFERROR(__xludf.DUMMYFUNCTION("""COMPUTED_VALUE"""),11)</f>
        <v>11</v>
      </c>
      <c r="D1528" s="33" t="str">
        <f ca="1">IFERROR(__xludf.DUMMYFUNCTION("""COMPUTED_VALUE"""),"SI")</f>
        <v>SI</v>
      </c>
      <c r="E1528" s="33" t="str">
        <f ca="1">IFERROR(__xludf.DUMMYFUNCTION("""COMPUTED_VALUE"""),"Madrid- Juan Bravo")</f>
        <v>Madrid- Juan Bravo</v>
      </c>
      <c r="F1528" s="57">
        <f ca="1">IFERROR(__xludf.DUMMYFUNCTION("""COMPUTED_VALUE"""),45986)</f>
        <v>45986</v>
      </c>
      <c r="G1528" s="57">
        <f ca="1">IFERROR(__xludf.DUMMYFUNCTION("""COMPUTED_VALUE"""),45946)</f>
        <v>45946</v>
      </c>
      <c r="H1528" s="33" t="str">
        <f ca="1">IFERROR(__xludf.DUMMYFUNCTION("""COMPUTED_VALUE"""),"Juan Bravo")</f>
        <v>Juan Bravo</v>
      </c>
      <c r="I1528" s="33" t="str">
        <f ca="1">IFERROR(__xludf.DUMMYFUNCTION("""COMPUTED_VALUE"""),"C202510168172062578")</f>
        <v>C202510168172062578</v>
      </c>
      <c r="J1528" s="33" t="str">
        <f ca="1">IFERROR(__xludf.DUMMYFUNCTION("""COMPUTED_VALUE"""),"JAVIER GAMUNDI BERENGUER")</f>
        <v>JAVIER GAMUNDI BERENGUER</v>
      </c>
      <c r="K1528" s="33">
        <f ca="1">IFERROR(__xludf.DUMMYFUNCTION("""COMPUTED_VALUE"""),2)</f>
        <v>2</v>
      </c>
      <c r="L1528" s="203">
        <f ca="1">IFERROR(__xludf.DUMMYFUNCTION("""COMPUTED_VALUE"""),2582.27)</f>
        <v>2582.27</v>
      </c>
      <c r="M1528" s="33" t="str">
        <f ca="1">IFERROR(__xludf.DUMMYFUNCTION("""COMPUTED_VALUE"""),"03 ORL")</f>
        <v>03 ORL</v>
      </c>
      <c r="N1528" s="33" t="str">
        <f ca="1">IFERROR(__xludf.DUMMYFUNCTION("""COMPUTED_VALUE"""),"06 ORL")</f>
        <v>06 ORL</v>
      </c>
      <c r="O1528" s="33" t="str">
        <f ca="1">IFERROR(__xludf.DUMMYFUNCTION("""COMPUTED_VALUE"""),"Dr, David Castro Gutiérrez de Agüero")</f>
        <v>Dr, David Castro Gutiérrez de Agüero</v>
      </c>
      <c r="P1528" s="33" t="str">
        <f ca="1">IFERROR(__xludf.DUMMYFUNCTION("""COMPUTED_VALUE"""),"Luis Alberto Rodríguez (Andalucía y Badajoz)")</f>
        <v>Luis Alberto Rodríguez (Andalucía y Badajoz)</v>
      </c>
    </row>
    <row r="1529" spans="2:16">
      <c r="B1529" s="33">
        <f ca="1">IFERROR(__xludf.DUMMYFUNCTION("""COMPUTED_VALUE"""),2025)</f>
        <v>2025</v>
      </c>
      <c r="C1529" s="33">
        <f ca="1">IFERROR(__xludf.DUMMYFUNCTION("""COMPUTED_VALUE"""),11)</f>
        <v>11</v>
      </c>
      <c r="D1529" s="33" t="str">
        <f ca="1">IFERROR(__xludf.DUMMYFUNCTION("""COMPUTED_VALUE"""),"NO")</f>
        <v>NO</v>
      </c>
      <c r="E1529" s="33" t="str">
        <f ca="1">IFERROR(__xludf.DUMMYFUNCTION("""COMPUTED_VALUE"""),"Murcia")</f>
        <v>Murcia</v>
      </c>
      <c r="F1529" s="57">
        <f ca="1">IFERROR(__xludf.DUMMYFUNCTION("""COMPUTED_VALUE"""),45986)</f>
        <v>45986</v>
      </c>
      <c r="G1529" s="57">
        <f ca="1">IFERROR(__xludf.DUMMYFUNCTION("""COMPUTED_VALUE"""),45959)</f>
        <v>45959</v>
      </c>
      <c r="H1529" s="33" t="str">
        <f ca="1">IFERROR(__xludf.DUMMYFUNCTION("""COMPUTED_VALUE"""),"Murcia")</f>
        <v>Murcia</v>
      </c>
      <c r="I1529" s="33" t="str">
        <f ca="1">IFERROR(__xludf.DUMMYFUNCTION("""COMPUTED_VALUE"""),"C202510291057383718")</f>
        <v>C202510291057383718</v>
      </c>
      <c r="J1529" s="33" t="str">
        <f ca="1">IFERROR(__xludf.DUMMYFUNCTION("""COMPUTED_VALUE"""),"CARMEN MIRETE RIQUELME")</f>
        <v>CARMEN MIRETE RIQUELME</v>
      </c>
      <c r="K1529" s="33">
        <f ca="1">IFERROR(__xludf.DUMMYFUNCTION("""COMPUTED_VALUE"""),1)</f>
        <v>1</v>
      </c>
      <c r="L1529" s="203">
        <f ca="1">IFERROR(__xludf.DUMMYFUNCTION("""COMPUTED_VALUE"""),2640)</f>
        <v>2640</v>
      </c>
      <c r="M1529" s="33" t="str">
        <f ca="1">IFERROR(__xludf.DUMMYFUNCTION("""COMPUTED_VALUE"""),"03 ORL")</f>
        <v>03 ORL</v>
      </c>
      <c r="N1529" s="33" t="str">
        <f ca="1">IFERROR(__xludf.DUMMYFUNCTION("""COMPUTED_VALUE"""),"06 ORL")</f>
        <v>06 ORL</v>
      </c>
      <c r="O1529" s="33" t="str">
        <f ca="1">IFERROR(__xludf.DUMMYFUNCTION("""COMPUTED_VALUE"""),"Dra, Aida Aviñoa Arias")</f>
        <v>Dra, Aida Aviñoa Arias</v>
      </c>
      <c r="P1529" s="33" t="str">
        <f ca="1">IFERROR(__xludf.DUMMYFUNCTION("""COMPUTED_VALUE"""),"Iván Sánchez (Levante Y Albacete)")</f>
        <v>Iván Sánchez (Levante Y Albacete)</v>
      </c>
    </row>
    <row r="1530" spans="2:16">
      <c r="B1530" s="33">
        <f ca="1">IFERROR(__xludf.DUMMYFUNCTION("""COMPUTED_VALUE"""),2025)</f>
        <v>2025</v>
      </c>
      <c r="C1530" s="33">
        <f ca="1">IFERROR(__xludf.DUMMYFUNCTION("""COMPUTED_VALUE"""),11)</f>
        <v>11</v>
      </c>
      <c r="D1530" s="33" t="str">
        <f ca="1">IFERROR(__xludf.DUMMYFUNCTION("""COMPUTED_VALUE"""),"NO")</f>
        <v>NO</v>
      </c>
      <c r="E1530" s="33" t="str">
        <f ca="1">IFERROR(__xludf.DUMMYFUNCTION("""COMPUTED_VALUE"""),"Alicante")</f>
        <v>Alicante</v>
      </c>
      <c r="F1530" s="57">
        <f ca="1">IFERROR(__xludf.DUMMYFUNCTION("""COMPUTED_VALUE"""),45986)</f>
        <v>45986</v>
      </c>
      <c r="G1530" s="57">
        <f ca="1">IFERROR(__xludf.DUMMYFUNCTION("""COMPUTED_VALUE"""),45959)</f>
        <v>45959</v>
      </c>
      <c r="H1530" s="33" t="str">
        <f ca="1">IFERROR(__xludf.DUMMYFUNCTION("""COMPUTED_VALUE"""),"Alicante")</f>
        <v>Alicante</v>
      </c>
      <c r="I1530" s="33" t="str">
        <f ca="1">IFERROR(__xludf.DUMMYFUNCTION("""COMPUTED_VALUE"""),"C202510291164427881")</f>
        <v>C202510291164427881</v>
      </c>
      <c r="J1530" s="33" t="str">
        <f ca="1">IFERROR(__xludf.DUMMYFUNCTION("""COMPUTED_VALUE"""),"FRANCISCA JIMENEZ GARCIA")</f>
        <v>FRANCISCA JIMENEZ GARCIA</v>
      </c>
      <c r="K1530" s="33">
        <f ca="1">IFERROR(__xludf.DUMMYFUNCTION("""COMPUTED_VALUE"""),2)</f>
        <v>2</v>
      </c>
      <c r="L1530" s="203">
        <f ca="1">IFERROR(__xludf.DUMMYFUNCTION("""COMPUTED_VALUE"""),3631.82)</f>
        <v>3631.82</v>
      </c>
      <c r="M1530" s="33" t="str">
        <f ca="1">IFERROR(__xludf.DUMMYFUNCTION("""COMPUTED_VALUE"""),"03 ORL")</f>
        <v>03 ORL</v>
      </c>
      <c r="N1530" s="33" t="str">
        <f ca="1">IFERROR(__xludf.DUMMYFUNCTION("""COMPUTED_VALUE"""),"06 ORL")</f>
        <v>06 ORL</v>
      </c>
      <c r="O1530" s="33" t="str">
        <f ca="1">IFERROR(__xludf.DUMMYFUNCTION("""COMPUTED_VALUE"""),"Dra, Cristina Muñoz Pinto")</f>
        <v>Dra, Cristina Muñoz Pinto</v>
      </c>
      <c r="P1530" s="33" t="str">
        <f ca="1">IFERROR(__xludf.DUMMYFUNCTION("""COMPUTED_VALUE"""),"Iván Sánchez (Levante Y Albacete)")</f>
        <v>Iván Sánchez (Levante Y Albacete)</v>
      </c>
    </row>
    <row r="1531" spans="2:16">
      <c r="B1531" s="33">
        <f ca="1">IFERROR(__xludf.DUMMYFUNCTION("""COMPUTED_VALUE"""),2025)</f>
        <v>2025</v>
      </c>
      <c r="C1531" s="33">
        <f ca="1">IFERROR(__xludf.DUMMYFUNCTION("""COMPUTED_VALUE"""),11)</f>
        <v>11</v>
      </c>
      <c r="D1531" s="33" t="str">
        <f ca="1">IFERROR(__xludf.DUMMYFUNCTION("""COMPUTED_VALUE"""),"NO")</f>
        <v>NO</v>
      </c>
      <c r="E1531" s="33" t="str">
        <f ca="1">IFERROR(__xludf.DUMMYFUNCTION("""COMPUTED_VALUE"""),"Alicante")</f>
        <v>Alicante</v>
      </c>
      <c r="F1531" s="57">
        <f ca="1">IFERROR(__xludf.DUMMYFUNCTION("""COMPUTED_VALUE"""),45986)</f>
        <v>45986</v>
      </c>
      <c r="G1531" s="57">
        <f ca="1">IFERROR(__xludf.DUMMYFUNCTION("""COMPUTED_VALUE"""),45936)</f>
        <v>45936</v>
      </c>
      <c r="H1531" s="33" t="str">
        <f ca="1">IFERROR(__xludf.DUMMYFUNCTION("""COMPUTED_VALUE"""),"Alicante")</f>
        <v>Alicante</v>
      </c>
      <c r="I1531" s="33" t="str">
        <f ca="1">IFERROR(__xludf.DUMMYFUNCTION("""COMPUTED_VALUE"""),"C20251020961258")</f>
        <v>C20251020961258</v>
      </c>
      <c r="J1531" s="33" t="str">
        <f ca="1">IFERROR(__xludf.DUMMYFUNCTION("""COMPUTED_VALUE"""),"REMEDIOS PALAZON GIMENEZ")</f>
        <v>REMEDIOS PALAZON GIMENEZ</v>
      </c>
      <c r="K1531" s="33">
        <f ca="1">IFERROR(__xludf.DUMMYFUNCTION("""COMPUTED_VALUE"""),2)</f>
        <v>2</v>
      </c>
      <c r="L1531" s="203">
        <f ca="1">IFERROR(__xludf.DUMMYFUNCTION("""COMPUTED_VALUE"""),4136.36)</f>
        <v>4136.3599999999997</v>
      </c>
      <c r="M1531" s="33" t="str">
        <f ca="1">IFERROR(__xludf.DUMMYFUNCTION("""COMPUTED_VALUE"""),"03 ORL")</f>
        <v>03 ORL</v>
      </c>
      <c r="N1531" s="33" t="str">
        <f ca="1">IFERROR(__xludf.DUMMYFUNCTION("""COMPUTED_VALUE"""),"06 ORL")</f>
        <v>06 ORL</v>
      </c>
      <c r="O1531" s="33" t="str">
        <f ca="1">IFERROR(__xludf.DUMMYFUNCTION("""COMPUTED_VALUE"""),"Dra, Luisa Payá Pérez")</f>
        <v>Dra, Luisa Payá Pérez</v>
      </c>
      <c r="P1531" s="33" t="str">
        <f ca="1">IFERROR(__xludf.DUMMYFUNCTION("""COMPUTED_VALUE"""),"Iván Sánchez (Levante Y Albacete)")</f>
        <v>Iván Sánchez (Levante Y Albacete)</v>
      </c>
    </row>
    <row r="1532" spans="2:16">
      <c r="B1532" s="33">
        <f ca="1">IFERROR(__xludf.DUMMYFUNCTION("""COMPUTED_VALUE"""),2025)</f>
        <v>2025</v>
      </c>
      <c r="C1532" s="33">
        <f ca="1">IFERROR(__xludf.DUMMYFUNCTION("""COMPUTED_VALUE"""),11)</f>
        <v>11</v>
      </c>
      <c r="D1532" s="33" t="str">
        <f ca="1">IFERROR(__xludf.DUMMYFUNCTION("""COMPUTED_VALUE"""),"NO")</f>
        <v>NO</v>
      </c>
      <c r="E1532" s="33" t="str">
        <f ca="1">IFERROR(__xludf.DUMMYFUNCTION("""COMPUTED_VALUE"""),"Murcia")</f>
        <v>Murcia</v>
      </c>
      <c r="F1532" s="57">
        <f ca="1">IFERROR(__xludf.DUMMYFUNCTION("""COMPUTED_VALUE"""),45986)</f>
        <v>45986</v>
      </c>
      <c r="G1532" s="57">
        <f ca="1">IFERROR(__xludf.DUMMYFUNCTION("""COMPUTED_VALUE"""),45957)</f>
        <v>45957</v>
      </c>
      <c r="H1532" s="33" t="str">
        <f ca="1">IFERROR(__xludf.DUMMYFUNCTION("""COMPUTED_VALUE"""),"Murcia")</f>
        <v>Murcia</v>
      </c>
      <c r="I1532" s="33" t="str">
        <f ca="1">IFERROR(__xludf.DUMMYFUNCTION("""COMPUTED_VALUE"""),"C202510271139536296")</f>
        <v>C202510271139536296</v>
      </c>
      <c r="J1532" s="33" t="str">
        <f ca="1">IFERROR(__xludf.DUMMYFUNCTION("""COMPUTED_VALUE"""),"MARIA SOL BENAVENTE GOMEZ")</f>
        <v>MARIA SOL BENAVENTE GOMEZ</v>
      </c>
      <c r="K1532" s="33">
        <f ca="1">IFERROR(__xludf.DUMMYFUNCTION("""COMPUTED_VALUE"""),2)</f>
        <v>2</v>
      </c>
      <c r="L1532" s="203">
        <f ca="1">IFERROR(__xludf.DUMMYFUNCTION("""COMPUTED_VALUE"""),3631.73)</f>
        <v>3631.73</v>
      </c>
      <c r="M1532" s="33" t="str">
        <f ca="1">IFERROR(__xludf.DUMMYFUNCTION("""COMPUTED_VALUE"""),"03 ORL")</f>
        <v>03 ORL</v>
      </c>
      <c r="N1532" s="33" t="str">
        <f ca="1">IFERROR(__xludf.DUMMYFUNCTION("""COMPUTED_VALUE"""),"06 ORL")</f>
        <v>06 ORL</v>
      </c>
      <c r="O1532" s="33" t="str">
        <f ca="1">IFERROR(__xludf.DUMMYFUNCTION("""COMPUTED_VALUE"""),"Dra, María Agustina Sevilla García")</f>
        <v>Dra, María Agustina Sevilla García</v>
      </c>
      <c r="P1532" s="33" t="str">
        <f ca="1">IFERROR(__xludf.DUMMYFUNCTION("""COMPUTED_VALUE"""),"Iván Sánchez (Levante Y Albacete)")</f>
        <v>Iván Sánchez (Levante Y Albacete)</v>
      </c>
    </row>
    <row r="1533" spans="2:16">
      <c r="B1533" s="33">
        <f ca="1">IFERROR(__xludf.DUMMYFUNCTION("""COMPUTED_VALUE"""),2025)</f>
        <v>2025</v>
      </c>
      <c r="C1533" s="33">
        <f ca="1">IFERROR(__xludf.DUMMYFUNCTION("""COMPUTED_VALUE"""),11)</f>
        <v>11</v>
      </c>
      <c r="D1533" s="33" t="str">
        <f ca="1">IFERROR(__xludf.DUMMYFUNCTION("""COMPUTED_VALUE"""),"NO")</f>
        <v>NO</v>
      </c>
      <c r="E1533" s="33" t="str">
        <f ca="1">IFERROR(__xludf.DUMMYFUNCTION("""COMPUTED_VALUE"""),"El Albir (Benidorm)")</f>
        <v>El Albir (Benidorm)</v>
      </c>
      <c r="F1533" s="57">
        <f ca="1">IFERROR(__xludf.DUMMYFUNCTION("""COMPUTED_VALUE"""),45986)</f>
        <v>45986</v>
      </c>
      <c r="G1533" s="57">
        <f ca="1">IFERROR(__xludf.DUMMYFUNCTION("""COMPUTED_VALUE"""),45964)</f>
        <v>45964</v>
      </c>
      <c r="H1533" s="33" t="str">
        <f ca="1">IFERROR(__xludf.DUMMYFUNCTION("""COMPUTED_VALUE"""),"El Albir (Benidorm)")</f>
        <v>El Albir (Benidorm)</v>
      </c>
      <c r="I1533" s="33" t="str">
        <f ca="1">IFERROR(__xludf.DUMMYFUNCTION("""COMPUTED_VALUE"""),"C20251139222488247")</f>
        <v>C20251139222488247</v>
      </c>
      <c r="J1533" s="33" t="str">
        <f ca="1">IFERROR(__xludf.DUMMYFUNCTION("""COMPUTED_VALUE"""),"SANTIAGO VILANOVA NAVARRO")</f>
        <v>SANTIAGO VILANOVA NAVARRO</v>
      </c>
      <c r="K1533" s="33">
        <f ca="1">IFERROR(__xludf.DUMMYFUNCTION("""COMPUTED_VALUE"""),2)</f>
        <v>2</v>
      </c>
      <c r="L1533" s="203">
        <f ca="1">IFERROR(__xludf.DUMMYFUNCTION("""COMPUTED_VALUE"""),2718.18)</f>
        <v>2718.18</v>
      </c>
      <c r="M1533" s="33" t="str">
        <f ca="1">IFERROR(__xludf.DUMMYFUNCTION("""COMPUTED_VALUE"""),"03 ORL")</f>
        <v>03 ORL</v>
      </c>
      <c r="N1533" s="33" t="str">
        <f ca="1">IFERROR(__xludf.DUMMYFUNCTION("""COMPUTED_VALUE"""),"06 ORL")</f>
        <v>06 ORL</v>
      </c>
      <c r="O1533" s="33" t="str">
        <f ca="1">IFERROR(__xludf.DUMMYFUNCTION("""COMPUTED_VALUE"""),"Dra, Isabel Polo Tomás")</f>
        <v>Dra, Isabel Polo Tomás</v>
      </c>
      <c r="P1533" s="33" t="str">
        <f ca="1">IFERROR(__xludf.DUMMYFUNCTION("""COMPUTED_VALUE"""),"Ramon Ferrando(Valencia)")</f>
        <v>Ramon Ferrando(Valencia)</v>
      </c>
    </row>
    <row r="1534" spans="2:16">
      <c r="B1534" s="33">
        <f ca="1">IFERROR(__xludf.DUMMYFUNCTION("""COMPUTED_VALUE"""),2025)</f>
        <v>2025</v>
      </c>
      <c r="C1534" s="33">
        <f ca="1">IFERROR(__xludf.DUMMYFUNCTION("""COMPUTED_VALUE"""),11)</f>
        <v>11</v>
      </c>
      <c r="D1534" s="33" t="str">
        <f ca="1">IFERROR(__xludf.DUMMYFUNCTION("""COMPUTED_VALUE"""),"NO")</f>
        <v>NO</v>
      </c>
      <c r="E1534" s="33" t="str">
        <f ca="1">IFERROR(__xludf.DUMMYFUNCTION("""COMPUTED_VALUE"""),"El Albir (Benidorm)")</f>
        <v>El Albir (Benidorm)</v>
      </c>
      <c r="F1534" s="57">
        <f ca="1">IFERROR(__xludf.DUMMYFUNCTION("""COMPUTED_VALUE"""),45986)</f>
        <v>45986</v>
      </c>
      <c r="G1534" s="57">
        <f ca="1">IFERROR(__xludf.DUMMYFUNCTION("""COMPUTED_VALUE"""),45958)</f>
        <v>45958</v>
      </c>
      <c r="H1534" s="33" t="str">
        <f ca="1">IFERROR(__xludf.DUMMYFUNCTION("""COMPUTED_VALUE"""),"El Albir (Benidorm)")</f>
        <v>El Albir (Benidorm)</v>
      </c>
      <c r="I1534" s="33" t="str">
        <f ca="1">IFERROR(__xludf.DUMMYFUNCTION("""COMPUTED_VALUE"""),"C202510281047412510")</f>
        <v>C202510281047412510</v>
      </c>
      <c r="J1534" s="33" t="str">
        <f ca="1">IFERROR(__xludf.DUMMYFUNCTION("""COMPUTED_VALUE"""),"MARIA TERESA JADA LOYES")</f>
        <v>MARIA TERESA JADA LOYES</v>
      </c>
      <c r="K1534" s="33">
        <f ca="1">IFERROR(__xludf.DUMMYFUNCTION("""COMPUTED_VALUE"""),2)</f>
        <v>2</v>
      </c>
      <c r="L1534" s="203">
        <f ca="1">IFERROR(__xludf.DUMMYFUNCTION("""COMPUTED_VALUE"""),2718.18)</f>
        <v>2718.18</v>
      </c>
      <c r="M1534" s="33" t="str">
        <f ca="1">IFERROR(__xludf.DUMMYFUNCTION("""COMPUTED_VALUE"""),"03 ORL")</f>
        <v>03 ORL</v>
      </c>
      <c r="N1534" s="33" t="str">
        <f ca="1">IFERROR(__xludf.DUMMYFUNCTION("""COMPUTED_VALUE"""),"06 ORL")</f>
        <v>06 ORL</v>
      </c>
      <c r="O1534" s="33" t="str">
        <f ca="1">IFERROR(__xludf.DUMMYFUNCTION("""COMPUTED_VALUE"""),"Dra, Isabel Polo Tomás")</f>
        <v>Dra, Isabel Polo Tomás</v>
      </c>
      <c r="P1534" s="33" t="str">
        <f ca="1">IFERROR(__xludf.DUMMYFUNCTION("""COMPUTED_VALUE"""),"Ramon Ferrando(Valencia)")</f>
        <v>Ramon Ferrando(Valencia)</v>
      </c>
    </row>
    <row r="1535" spans="2:16">
      <c r="B1535" s="33">
        <f ca="1">IFERROR(__xludf.DUMMYFUNCTION("""COMPUTED_VALUE"""),2025)</f>
        <v>2025</v>
      </c>
      <c r="C1535" s="33">
        <f ca="1">IFERROR(__xludf.DUMMYFUNCTION("""COMPUTED_VALUE"""),11)</f>
        <v>11</v>
      </c>
      <c r="D1535" s="33" t="str">
        <f ca="1">IFERROR(__xludf.DUMMYFUNCTION("""COMPUTED_VALUE"""),"NO")</f>
        <v>NO</v>
      </c>
      <c r="E1535" s="33" t="str">
        <f ca="1">IFERROR(__xludf.DUMMYFUNCTION("""COMPUTED_VALUE"""),"Fuenlabrada")</f>
        <v>Fuenlabrada</v>
      </c>
      <c r="F1535" s="57">
        <f ca="1">IFERROR(__xludf.DUMMYFUNCTION("""COMPUTED_VALUE"""),45986)</f>
        <v>45986</v>
      </c>
      <c r="G1535" s="57">
        <f ca="1">IFERROR(__xludf.DUMMYFUNCTION("""COMPUTED_VALUE"""),45926)</f>
        <v>45926</v>
      </c>
      <c r="H1535" s="33" t="str">
        <f ca="1">IFERROR(__xludf.DUMMYFUNCTION("""COMPUTED_VALUE"""),"Fuenlabrada")</f>
        <v>Fuenlabrada</v>
      </c>
      <c r="I1535" s="33" t="str">
        <f ca="1">IFERROR(__xludf.DUMMYFUNCTION("""COMPUTED_VALUE"""),"C2025930143152986")</f>
        <v>C2025930143152986</v>
      </c>
      <c r="J1535" s="33" t="str">
        <f ca="1">IFERROR(__xludf.DUMMYFUNCTION("""COMPUTED_VALUE"""),"JULIA OLGA MARTINEZ POMAREDA")</f>
        <v>JULIA OLGA MARTINEZ POMAREDA</v>
      </c>
      <c r="K1535" s="33">
        <f ca="1">IFERROR(__xludf.DUMMYFUNCTION("""COMPUTED_VALUE"""),2)</f>
        <v>2</v>
      </c>
      <c r="L1535" s="203">
        <f ca="1">IFERROR(__xludf.DUMMYFUNCTION("""COMPUTED_VALUE"""),4136.36)</f>
        <v>4136.3599999999997</v>
      </c>
      <c r="M1535" s="33" t="str">
        <f ca="1">IFERROR(__xludf.DUMMYFUNCTION("""COMPUTED_VALUE"""),"03 ORL")</f>
        <v>03 ORL</v>
      </c>
      <c r="N1535" s="33" t="str">
        <f ca="1">IFERROR(__xludf.DUMMYFUNCTION("""COMPUTED_VALUE"""),"06 ORL")</f>
        <v>06 ORL</v>
      </c>
      <c r="O1535" s="33" t="str">
        <f ca="1">IFERROR(__xludf.DUMMYFUNCTION("""COMPUTED_VALUE"""),"Dra, Ithzel Maria Villarreal Patiño")</f>
        <v>Dra, Ithzel Maria Villarreal Patiño</v>
      </c>
      <c r="P1535" s="33" t="str">
        <f ca="1">IFERROR(__xludf.DUMMYFUNCTION("""COMPUTED_VALUE"""),"Maika Blázquez (Madrid)")</f>
        <v>Maika Blázquez (Madrid)</v>
      </c>
    </row>
    <row r="1536" spans="2:16">
      <c r="B1536" s="33">
        <f ca="1">IFERROR(__xludf.DUMMYFUNCTION("""COMPUTED_VALUE"""),2025)</f>
        <v>2025</v>
      </c>
      <c r="C1536" s="33">
        <f ca="1">IFERROR(__xludf.DUMMYFUNCTION("""COMPUTED_VALUE"""),11)</f>
        <v>11</v>
      </c>
      <c r="D1536" s="33" t="str">
        <f ca="1">IFERROR(__xludf.DUMMYFUNCTION("""COMPUTED_VALUE"""),"NO")</f>
        <v>NO</v>
      </c>
      <c r="E1536" s="33" t="str">
        <f ca="1">IFERROR(__xludf.DUMMYFUNCTION("""COMPUTED_VALUE"""),"Alicante")</f>
        <v>Alicante</v>
      </c>
      <c r="F1536" s="57">
        <f ca="1">IFERROR(__xludf.DUMMYFUNCTION("""COMPUTED_VALUE"""),45986)</f>
        <v>45986</v>
      </c>
      <c r="G1536" s="57">
        <f ca="1">IFERROR(__xludf.DUMMYFUNCTION("""COMPUTED_VALUE"""),45964)</f>
        <v>45964</v>
      </c>
      <c r="H1536" s="33" t="str">
        <f ca="1">IFERROR(__xludf.DUMMYFUNCTION("""COMPUTED_VALUE"""),"Alicante")</f>
        <v>Alicante</v>
      </c>
      <c r="I1536" s="33" t="str">
        <f ca="1">IFERROR(__xludf.DUMMYFUNCTION("""COMPUTED_VALUE"""),"C202511393536538842")</f>
        <v>C202511393536538842</v>
      </c>
      <c r="J1536" s="33" t="str">
        <f ca="1">IFERROR(__xludf.DUMMYFUNCTION("""COMPUTED_VALUE"""),"LETICIA FUENTES SANCHEZ")</f>
        <v>LETICIA FUENTES SANCHEZ</v>
      </c>
      <c r="K1536" s="33">
        <f ca="1">IFERROR(__xludf.DUMMYFUNCTION("""COMPUTED_VALUE"""),1)</f>
        <v>1</v>
      </c>
      <c r="L1536" s="203">
        <f ca="1">IFERROR(__xludf.DUMMYFUNCTION("""COMPUTED_VALUE"""),1631.82)</f>
        <v>1631.82</v>
      </c>
      <c r="M1536" s="33" t="str">
        <f ca="1">IFERROR(__xludf.DUMMYFUNCTION("""COMPUTED_VALUE"""),"03 ORL")</f>
        <v>03 ORL</v>
      </c>
      <c r="N1536" s="33" t="str">
        <f ca="1">IFERROR(__xludf.DUMMYFUNCTION("""COMPUTED_VALUE"""),"06 ORL")</f>
        <v>06 ORL</v>
      </c>
      <c r="O1536" s="33" t="str">
        <f ca="1">IFERROR(__xludf.DUMMYFUNCTION("""COMPUTED_VALUE"""),"Dr, Félix Ruíz de la Cuesta Juste")</f>
        <v>Dr, Félix Ruíz de la Cuesta Juste</v>
      </c>
      <c r="P1536" s="33" t="str">
        <f ca="1">IFERROR(__xludf.DUMMYFUNCTION("""COMPUTED_VALUE"""),"Iván Sánchez (Levante Y Albacete)")</f>
        <v>Iván Sánchez (Levante Y Albacete)</v>
      </c>
    </row>
    <row r="1537" spans="2:16">
      <c r="B1537" s="33">
        <f ca="1">IFERROR(__xludf.DUMMYFUNCTION("""COMPUTED_VALUE"""),2025)</f>
        <v>2025</v>
      </c>
      <c r="C1537" s="33">
        <f ca="1">IFERROR(__xludf.DUMMYFUNCTION("""COMPUTED_VALUE"""),11)</f>
        <v>11</v>
      </c>
      <c r="D1537" s="33" t="str">
        <f ca="1">IFERROR(__xludf.DUMMYFUNCTION("""COMPUTED_VALUE"""),"NO")</f>
        <v>NO</v>
      </c>
      <c r="E1537" s="33" t="str">
        <f ca="1">IFERROR(__xludf.DUMMYFUNCTION("""COMPUTED_VALUE"""),"Madrid- Monforte de Lemos")</f>
        <v>Madrid- Monforte de Lemos</v>
      </c>
      <c r="F1537" s="57">
        <f ca="1">IFERROR(__xludf.DUMMYFUNCTION("""COMPUTED_VALUE"""),45986)</f>
        <v>45986</v>
      </c>
      <c r="G1537" s="57">
        <f ca="1">IFERROR(__xludf.DUMMYFUNCTION("""COMPUTED_VALUE"""),45945)</f>
        <v>45945</v>
      </c>
      <c r="H1537" s="33" t="str">
        <f ca="1">IFERROR(__xludf.DUMMYFUNCTION("""COMPUTED_VALUE"""),"La Vaguada")</f>
        <v>La Vaguada</v>
      </c>
      <c r="I1537" s="33" t="str">
        <f ca="1">IFERROR(__xludf.DUMMYFUNCTION("""COMPUTED_VALUE"""),"C202510151431264919")</f>
        <v>C202510151431264919</v>
      </c>
      <c r="J1537" s="33" t="str">
        <f ca="1">IFERROR(__xludf.DUMMYFUNCTION("""COMPUTED_VALUE"""),"TOMASA PICATOSTE TEJADO")</f>
        <v>TOMASA PICATOSTE TEJADO</v>
      </c>
      <c r="K1537" s="33">
        <f ca="1">IFERROR(__xludf.DUMMYFUNCTION("""COMPUTED_VALUE"""),2)</f>
        <v>2</v>
      </c>
      <c r="L1537" s="203">
        <f ca="1">IFERROR(__xludf.DUMMYFUNCTION("""COMPUTED_VALUE"""),3516.36)</f>
        <v>3516.36</v>
      </c>
      <c r="M1537" s="33" t="str">
        <f ca="1">IFERROR(__xludf.DUMMYFUNCTION("""COMPUTED_VALUE"""),"03 ORL")</f>
        <v>03 ORL</v>
      </c>
      <c r="N1537" s="33" t="str">
        <f ca="1">IFERROR(__xludf.DUMMYFUNCTION("""COMPUTED_VALUE"""),"06 ORL")</f>
        <v>06 ORL</v>
      </c>
      <c r="O1537" s="33" t="str">
        <f ca="1">IFERROR(__xludf.DUMMYFUNCTION("""COMPUTED_VALUE"""),"Dra, Beatriz Arana Fernández")</f>
        <v>Dra, Beatriz Arana Fernández</v>
      </c>
      <c r="P1537" s="33" t="str">
        <f ca="1">IFERROR(__xludf.DUMMYFUNCTION("""COMPUTED_VALUE"""),"Maika Blázquez (Madrid)")</f>
        <v>Maika Blázquez (Madrid)</v>
      </c>
    </row>
    <row r="1538" spans="2:16">
      <c r="B1538" s="33">
        <f ca="1">IFERROR(__xludf.DUMMYFUNCTION("""COMPUTED_VALUE"""),2025)</f>
        <v>2025</v>
      </c>
      <c r="C1538" s="33">
        <f ca="1">IFERROR(__xludf.DUMMYFUNCTION("""COMPUTED_VALUE"""),11)</f>
        <v>11</v>
      </c>
      <c r="D1538" s="33" t="str">
        <f ca="1">IFERROR(__xludf.DUMMYFUNCTION("""COMPUTED_VALUE"""),"NO")</f>
        <v>NO</v>
      </c>
      <c r="E1538" s="33" t="str">
        <f ca="1">IFERROR(__xludf.DUMMYFUNCTION("""COMPUTED_VALUE"""),"Valencia- Parra")</f>
        <v>Valencia- Parra</v>
      </c>
      <c r="F1538" s="57">
        <f ca="1">IFERROR(__xludf.DUMMYFUNCTION("""COMPUTED_VALUE"""),45986)</f>
        <v>45986</v>
      </c>
      <c r="G1538" s="57">
        <f ca="1">IFERROR(__xludf.DUMMYFUNCTION("""COMPUTED_VALUE"""),45945)</f>
        <v>45945</v>
      </c>
      <c r="H1538" s="33" t="str">
        <f ca="1">IFERROR(__xludf.DUMMYFUNCTION("""COMPUTED_VALUE"""),"Valencia- Parra")</f>
        <v>Valencia- Parra</v>
      </c>
      <c r="I1538" s="33" t="str">
        <f ca="1">IFERROR(__xludf.DUMMYFUNCTION("""COMPUTED_VALUE"""),"C202510151426572668")</f>
        <v>C202510151426572668</v>
      </c>
      <c r="J1538" s="33" t="str">
        <f ca="1">IFERROR(__xludf.DUMMYFUNCTION("""COMPUTED_VALUE"""),"MARIA LUISA GUTIERREZ ROMAN")</f>
        <v>MARIA LUISA GUTIERREZ ROMAN</v>
      </c>
      <c r="K1538" s="33">
        <f ca="1">IFERROR(__xludf.DUMMYFUNCTION("""COMPUTED_VALUE"""),2)</f>
        <v>2</v>
      </c>
      <c r="L1538" s="203">
        <f ca="1">IFERROR(__xludf.DUMMYFUNCTION("""COMPUTED_VALUE"""),2718.18)</f>
        <v>2718.18</v>
      </c>
      <c r="M1538" s="33" t="str">
        <f ca="1">IFERROR(__xludf.DUMMYFUNCTION("""COMPUTED_VALUE"""),"03 ORL")</f>
        <v>03 ORL</v>
      </c>
      <c r="N1538" s="33" t="str">
        <f ca="1">IFERROR(__xludf.DUMMYFUNCTION("""COMPUTED_VALUE"""),"06 ORL")</f>
        <v>06 ORL</v>
      </c>
      <c r="O1538" s="33" t="str">
        <f ca="1">IFERROR(__xludf.DUMMYFUNCTION("""COMPUTED_VALUE"""),"No recuerda ORL")</f>
        <v>No recuerda ORL</v>
      </c>
      <c r="P1538" s="33" t="str">
        <f ca="1">IFERROR(__xludf.DUMMYFUNCTION("""COMPUTED_VALUE"""),"Ramon Ferrando(Valencia)")</f>
        <v>Ramon Ferrando(Valencia)</v>
      </c>
    </row>
    <row r="1539" spans="2:16">
      <c r="B1539" s="33">
        <f ca="1">IFERROR(__xludf.DUMMYFUNCTION("""COMPUTED_VALUE"""),2025)</f>
        <v>2025</v>
      </c>
      <c r="C1539" s="33">
        <f ca="1">IFERROR(__xludf.DUMMYFUNCTION("""COMPUTED_VALUE"""),11)</f>
        <v>11</v>
      </c>
      <c r="D1539" s="33" t="str">
        <f ca="1">IFERROR(__xludf.DUMMYFUNCTION("""COMPUTED_VALUE"""),"NO")</f>
        <v>NO</v>
      </c>
      <c r="E1539" s="33" t="str">
        <f ca="1">IFERROR(__xludf.DUMMYFUNCTION("""COMPUTED_VALUE"""),"Albacete")</f>
        <v>Albacete</v>
      </c>
      <c r="F1539" s="57">
        <f ca="1">IFERROR(__xludf.DUMMYFUNCTION("""COMPUTED_VALUE"""),45986)</f>
        <v>45986</v>
      </c>
      <c r="G1539" s="57">
        <f ca="1">IFERROR(__xludf.DUMMYFUNCTION("""COMPUTED_VALUE"""),45965)</f>
        <v>45965</v>
      </c>
      <c r="H1539" s="33" t="str">
        <f ca="1">IFERROR(__xludf.DUMMYFUNCTION("""COMPUTED_VALUE"""),"Albacete")</f>
        <v>Albacete</v>
      </c>
      <c r="I1539" s="33" t="str">
        <f ca="1">IFERROR(__xludf.DUMMYFUNCTION("""COMPUTED_VALUE"""),"C202511416103631777")</f>
        <v>C202511416103631777</v>
      </c>
      <c r="J1539" s="33" t="str">
        <f ca="1">IFERROR(__xludf.DUMMYFUNCTION("""COMPUTED_VALUE"""),"PEDRO LUIS TORNERO CANO")</f>
        <v>PEDRO LUIS TORNERO CANO</v>
      </c>
      <c r="K1539" s="33">
        <f ca="1">IFERROR(__xludf.DUMMYFUNCTION("""COMPUTED_VALUE"""),2)</f>
        <v>2</v>
      </c>
      <c r="L1539" s="203">
        <f ca="1">IFERROR(__xludf.DUMMYFUNCTION("""COMPUTED_VALUE"""),2718.18)</f>
        <v>2718.18</v>
      </c>
      <c r="M1539" s="33" t="str">
        <f ca="1">IFERROR(__xludf.DUMMYFUNCTION("""COMPUTED_VALUE"""),"03 ORL")</f>
        <v>03 ORL</v>
      </c>
      <c r="N1539" s="33" t="str">
        <f ca="1">IFERROR(__xludf.DUMMYFUNCTION("""COMPUTED_VALUE"""),"06 ORL")</f>
        <v>06 ORL</v>
      </c>
      <c r="O1539" s="33" t="str">
        <f ca="1">IFERROR(__xludf.DUMMYFUNCTION("""COMPUTED_VALUE"""),"Dr, Pedro Masegosa Zapata")</f>
        <v>Dr, Pedro Masegosa Zapata</v>
      </c>
      <c r="P1539" s="33" t="str">
        <f ca="1">IFERROR(__xludf.DUMMYFUNCTION("""COMPUTED_VALUE"""),"Iván Sánchez (Levante Y Albacete)")</f>
        <v>Iván Sánchez (Levante Y Albacete)</v>
      </c>
    </row>
    <row r="1540" spans="2:16">
      <c r="B1540" s="33">
        <f ca="1">IFERROR(__xludf.DUMMYFUNCTION("""COMPUTED_VALUE"""),2025)</f>
        <v>2025</v>
      </c>
      <c r="C1540" s="33">
        <f ca="1">IFERROR(__xludf.DUMMYFUNCTION("""COMPUTED_VALUE"""),11)</f>
        <v>11</v>
      </c>
      <c r="D1540" s="33" t="str">
        <f ca="1">IFERROR(__xludf.DUMMYFUNCTION("""COMPUTED_VALUE"""),"NO")</f>
        <v>NO</v>
      </c>
      <c r="E1540" s="33" t="str">
        <f ca="1">IFERROR(__xludf.DUMMYFUNCTION("""COMPUTED_VALUE"""),"Sevilla- Montoto")</f>
        <v>Sevilla- Montoto</v>
      </c>
      <c r="F1540" s="57">
        <f ca="1">IFERROR(__xludf.DUMMYFUNCTION("""COMPUTED_VALUE"""),45986)</f>
        <v>45986</v>
      </c>
      <c r="G1540" s="57">
        <f ca="1">IFERROR(__xludf.DUMMYFUNCTION("""COMPUTED_VALUE"""),45936)</f>
        <v>45936</v>
      </c>
      <c r="H1540" s="33" t="str">
        <f ca="1">IFERROR(__xludf.DUMMYFUNCTION("""COMPUTED_VALUE"""),"Montoto")</f>
        <v>Montoto</v>
      </c>
      <c r="I1540" s="33" t="str">
        <f ca="1">IFERROR(__xludf.DUMMYFUNCTION("""COMPUTED_VALUE"""),"C202510910503721")</f>
        <v>C202510910503721</v>
      </c>
      <c r="J1540" s="33" t="str">
        <f ca="1">IFERROR(__xludf.DUMMYFUNCTION("""COMPUTED_VALUE"""),"MANUEL SANCHEZ CARBONERO")</f>
        <v>MANUEL SANCHEZ CARBONERO</v>
      </c>
      <c r="K1540" s="33">
        <f ca="1">IFERROR(__xludf.DUMMYFUNCTION("""COMPUTED_VALUE"""),2)</f>
        <v>2</v>
      </c>
      <c r="L1540" s="203">
        <f ca="1">IFERROR(__xludf.DUMMYFUNCTION("""COMPUTED_VALUE"""),3631.82)</f>
        <v>3631.82</v>
      </c>
      <c r="M1540" s="33" t="str">
        <f ca="1">IFERROR(__xludf.DUMMYFUNCTION("""COMPUTED_VALUE"""),"03 ORL")</f>
        <v>03 ORL</v>
      </c>
      <c r="N1540" s="33" t="str">
        <f ca="1">IFERROR(__xludf.DUMMYFUNCTION("""COMPUTED_VALUE"""),"06 ORL")</f>
        <v>06 ORL</v>
      </c>
      <c r="O1540" s="33" t="str">
        <f ca="1">IFERROR(__xludf.DUMMYFUNCTION("""COMPUTED_VALUE"""),"Dr, Jesús Crovato Rojas")</f>
        <v>Dr, Jesús Crovato Rojas</v>
      </c>
      <c r="P1540" s="33" t="str">
        <f ca="1">IFERROR(__xludf.DUMMYFUNCTION("""COMPUTED_VALUE"""),"Luis Alberto Rodríguez (Andalucía y Badajoz)")</f>
        <v>Luis Alberto Rodríguez (Andalucía y Badajoz)</v>
      </c>
    </row>
    <row r="1541" spans="2:16">
      <c r="B1541" s="33">
        <f ca="1">IFERROR(__xludf.DUMMYFUNCTION("""COMPUTED_VALUE"""),2025)</f>
        <v>2025</v>
      </c>
      <c r="C1541" s="33">
        <f ca="1">IFERROR(__xludf.DUMMYFUNCTION("""COMPUTED_VALUE"""),11)</f>
        <v>11</v>
      </c>
      <c r="D1541" s="33" t="str">
        <f ca="1">IFERROR(__xludf.DUMMYFUNCTION("""COMPUTED_VALUE"""),"NO")</f>
        <v>NO</v>
      </c>
      <c r="E1541" s="33" t="str">
        <f ca="1">IFERROR(__xludf.DUMMYFUNCTION("""COMPUTED_VALUE"""),"Ponferrada")</f>
        <v>Ponferrada</v>
      </c>
      <c r="F1541" s="57">
        <f ca="1">IFERROR(__xludf.DUMMYFUNCTION("""COMPUTED_VALUE"""),45987)</f>
        <v>45987</v>
      </c>
      <c r="G1541" s="57">
        <f ca="1">IFERROR(__xludf.DUMMYFUNCTION("""COMPUTED_VALUE"""),45922)</f>
        <v>45922</v>
      </c>
      <c r="H1541" s="33" t="str">
        <f ca="1">IFERROR(__xludf.DUMMYFUNCTION("""COMPUTED_VALUE"""),"Ponferrada")</f>
        <v>Ponferrada</v>
      </c>
      <c r="I1541" s="33" t="str">
        <f ca="1">IFERROR(__xludf.DUMMYFUNCTION("""COMPUTED_VALUE"""),"PON-990")</f>
        <v>PON-990</v>
      </c>
      <c r="J1541" s="33" t="str">
        <f ca="1">IFERROR(__xludf.DUMMYFUNCTION("""COMPUTED_VALUE"""),"DOLORES LOPEZ CADAHIA")</f>
        <v>DOLORES LOPEZ CADAHIA</v>
      </c>
      <c r="K1541" s="33">
        <f ca="1">IFERROR(__xludf.DUMMYFUNCTION("""COMPUTED_VALUE"""),2)</f>
        <v>2</v>
      </c>
      <c r="L1541" s="203">
        <f ca="1">IFERROR(__xludf.DUMMYFUNCTION("""COMPUTED_VALUE"""),3318.18)</f>
        <v>3318.18</v>
      </c>
      <c r="M1541" s="33" t="str">
        <f ca="1">IFERROR(__xludf.DUMMYFUNCTION("""COMPUTED_VALUE"""),"03 ORL")</f>
        <v>03 ORL</v>
      </c>
      <c r="N1541" s="33" t="str">
        <f ca="1">IFERROR(__xludf.DUMMYFUNCTION("""COMPUTED_VALUE"""),"06 ORL")</f>
        <v>06 ORL</v>
      </c>
      <c r="O1541" s="33" t="str">
        <f ca="1">IFERROR(__xludf.DUMMYFUNCTION("""COMPUTED_VALUE"""),"Dra, Mónica Granda Rosales")</f>
        <v>Dra, Mónica Granda Rosales</v>
      </c>
      <c r="P1541" s="33" t="str">
        <f ca="1">IFERROR(__xludf.DUMMYFUNCTION("""COMPUTED_VALUE"""),"Alberto Moreno (Madrid)")</f>
        <v>Alberto Moreno (Madrid)</v>
      </c>
    </row>
    <row r="1542" spans="2:16">
      <c r="B1542" s="33">
        <f ca="1">IFERROR(__xludf.DUMMYFUNCTION("""COMPUTED_VALUE"""),2025)</f>
        <v>2025</v>
      </c>
      <c r="C1542" s="33">
        <f ca="1">IFERROR(__xludf.DUMMYFUNCTION("""COMPUTED_VALUE"""),11)</f>
        <v>11</v>
      </c>
      <c r="D1542" s="33" t="str">
        <f ca="1">IFERROR(__xludf.DUMMYFUNCTION("""COMPUTED_VALUE"""),"NO")</f>
        <v>NO</v>
      </c>
      <c r="E1542" s="33" t="str">
        <f ca="1">IFERROR(__xludf.DUMMYFUNCTION("""COMPUTED_VALUE"""),"Ponferrada")</f>
        <v>Ponferrada</v>
      </c>
      <c r="F1542" s="57">
        <f ca="1">IFERROR(__xludf.DUMMYFUNCTION("""COMPUTED_VALUE"""),45987)</f>
        <v>45987</v>
      </c>
      <c r="G1542" s="57">
        <f ca="1">IFERROR(__xludf.DUMMYFUNCTION("""COMPUTED_VALUE"""),45923)</f>
        <v>45923</v>
      </c>
      <c r="H1542" s="33" t="str">
        <f ca="1">IFERROR(__xludf.DUMMYFUNCTION("""COMPUTED_VALUE"""),"Ponferrada")</f>
        <v>Ponferrada</v>
      </c>
      <c r="I1542" s="33" t="str">
        <f ca="1">IFERROR(__xludf.DUMMYFUNCTION("""COMPUTED_VALUE"""),"PON-992")</f>
        <v>PON-992</v>
      </c>
      <c r="J1542" s="33" t="str">
        <f ca="1">IFERROR(__xludf.DUMMYFUNCTION("""COMPUTED_VALUE"""),"ANTONIO RODRIGUEZ BLANCO")</f>
        <v>ANTONIO RODRIGUEZ BLANCO</v>
      </c>
      <c r="K1542" s="33">
        <f ca="1">IFERROR(__xludf.DUMMYFUNCTION("""COMPUTED_VALUE"""),2)</f>
        <v>2</v>
      </c>
      <c r="L1542" s="203">
        <f ca="1">IFERROR(__xludf.DUMMYFUNCTION("""COMPUTED_VALUE"""),3318.18)</f>
        <v>3318.18</v>
      </c>
      <c r="M1542" s="33" t="str">
        <f ca="1">IFERROR(__xludf.DUMMYFUNCTION("""COMPUTED_VALUE"""),"03 ORL")</f>
        <v>03 ORL</v>
      </c>
      <c r="N1542" s="33" t="str">
        <f ca="1">IFERROR(__xludf.DUMMYFUNCTION("""COMPUTED_VALUE"""),"06 ORL")</f>
        <v>06 ORL</v>
      </c>
      <c r="O1542" s="33" t="str">
        <f ca="1">IFERROR(__xludf.DUMMYFUNCTION("""COMPUTED_VALUE"""),"Dra, Mónica Granda Rosales")</f>
        <v>Dra, Mónica Granda Rosales</v>
      </c>
      <c r="P1542" s="33" t="str">
        <f ca="1">IFERROR(__xludf.DUMMYFUNCTION("""COMPUTED_VALUE"""),"Alberto Moreno (Madrid)")</f>
        <v>Alberto Moreno (Madrid)</v>
      </c>
    </row>
    <row r="1543" spans="2:16">
      <c r="B1543" s="33">
        <f ca="1">IFERROR(__xludf.DUMMYFUNCTION("""COMPUTED_VALUE"""),2025)</f>
        <v>2025</v>
      </c>
      <c r="C1543" s="33">
        <f ca="1">IFERROR(__xludf.DUMMYFUNCTION("""COMPUTED_VALUE"""),11)</f>
        <v>11</v>
      </c>
      <c r="D1543" s="33" t="str">
        <f ca="1">IFERROR(__xludf.DUMMYFUNCTION("""COMPUTED_VALUE"""),"NO")</f>
        <v>NO</v>
      </c>
      <c r="E1543" s="33" t="str">
        <f ca="1">IFERROR(__xludf.DUMMYFUNCTION("""COMPUTED_VALUE"""),"Alicante")</f>
        <v>Alicante</v>
      </c>
      <c r="F1543" s="57">
        <f ca="1">IFERROR(__xludf.DUMMYFUNCTION("""COMPUTED_VALUE"""),45987)</f>
        <v>45987</v>
      </c>
      <c r="G1543" s="57">
        <f ca="1">IFERROR(__xludf.DUMMYFUNCTION("""COMPUTED_VALUE"""),45946)</f>
        <v>45946</v>
      </c>
      <c r="H1543" s="33" t="str">
        <f ca="1">IFERROR(__xludf.DUMMYFUNCTION("""COMPUTED_VALUE"""),"Alicante")</f>
        <v>Alicante</v>
      </c>
      <c r="I1543" s="33" t="str">
        <f ca="1">IFERROR(__xludf.DUMMYFUNCTION("""COMPUTED_VALUE"""),"C202510167425234141")</f>
        <v>C202510167425234141</v>
      </c>
      <c r="J1543" s="33" t="str">
        <f ca="1">IFERROR(__xludf.DUMMYFUNCTION("""COMPUTED_VALUE"""),"DOLORES LIEBANA GARCIA")</f>
        <v>DOLORES LIEBANA GARCIA</v>
      </c>
      <c r="K1543" s="33">
        <f ca="1">IFERROR(__xludf.DUMMYFUNCTION("""COMPUTED_VALUE"""),2)</f>
        <v>2</v>
      </c>
      <c r="L1543" s="203">
        <f ca="1">IFERROR(__xludf.DUMMYFUNCTION("""COMPUTED_VALUE"""),3450.23)</f>
        <v>3450.23</v>
      </c>
      <c r="M1543" s="33" t="str">
        <f ca="1">IFERROR(__xludf.DUMMYFUNCTION("""COMPUTED_VALUE"""),"03 ORL")</f>
        <v>03 ORL</v>
      </c>
      <c r="N1543" s="33" t="str">
        <f ca="1">IFERROR(__xludf.DUMMYFUNCTION("""COMPUTED_VALUE"""),"06 ORL")</f>
        <v>06 ORL</v>
      </c>
      <c r="O1543" s="33" t="str">
        <f ca="1">IFERROR(__xludf.DUMMYFUNCTION("""COMPUTED_VALUE"""),"Dr, Félix Ruíz de la Cuesta Juste")</f>
        <v>Dr, Félix Ruíz de la Cuesta Juste</v>
      </c>
      <c r="P1543" s="33" t="str">
        <f ca="1">IFERROR(__xludf.DUMMYFUNCTION("""COMPUTED_VALUE"""),"Iván Sánchez (Levante Y Albacete)")</f>
        <v>Iván Sánchez (Levante Y Albacete)</v>
      </c>
    </row>
    <row r="1544" spans="2:16">
      <c r="B1544" s="33">
        <f ca="1">IFERROR(__xludf.DUMMYFUNCTION("""COMPUTED_VALUE"""),2025)</f>
        <v>2025</v>
      </c>
      <c r="C1544" s="33">
        <f ca="1">IFERROR(__xludf.DUMMYFUNCTION("""COMPUTED_VALUE"""),11)</f>
        <v>11</v>
      </c>
      <c r="D1544" s="33" t="str">
        <f ca="1">IFERROR(__xludf.DUMMYFUNCTION("""COMPUTED_VALUE"""),"NO")</f>
        <v>NO</v>
      </c>
      <c r="E1544" s="33" t="str">
        <f ca="1">IFERROR(__xludf.DUMMYFUNCTION("""COMPUTED_VALUE"""),"Ourense")</f>
        <v>Ourense</v>
      </c>
      <c r="F1544" s="57">
        <f ca="1">IFERROR(__xludf.DUMMYFUNCTION("""COMPUTED_VALUE"""),45987)</f>
        <v>45987</v>
      </c>
      <c r="G1544" s="57">
        <f ca="1">IFERROR(__xludf.DUMMYFUNCTION("""COMPUTED_VALUE"""),45958)</f>
        <v>45958</v>
      </c>
      <c r="H1544" s="33" t="str">
        <f ca="1">IFERROR(__xludf.DUMMYFUNCTION("""COMPUTED_VALUE"""),"Orense")</f>
        <v>Orense</v>
      </c>
      <c r="I1544" s="33" t="str">
        <f ca="1">IFERROR(__xludf.DUMMYFUNCTION("""COMPUTED_VALUE"""),"C202510281139976833")</f>
        <v>C202510281139976833</v>
      </c>
      <c r="J1544" s="33" t="str">
        <f ca="1">IFERROR(__xludf.DUMMYFUNCTION("""COMPUTED_VALUE"""),"MARIA ASUNCIÓN FORMIGO MONTERO")</f>
        <v>MARIA ASUNCIÓN FORMIGO MONTERO</v>
      </c>
      <c r="K1544" s="33">
        <f ca="1">IFERROR(__xludf.DUMMYFUNCTION("""COMPUTED_VALUE"""),2)</f>
        <v>2</v>
      </c>
      <c r="L1544" s="203">
        <f ca="1">IFERROR(__xludf.DUMMYFUNCTION("""COMPUTED_VALUE"""),2718.18)</f>
        <v>2718.18</v>
      </c>
      <c r="M1544" s="33" t="str">
        <f ca="1">IFERROR(__xludf.DUMMYFUNCTION("""COMPUTED_VALUE"""),"03 ORL")</f>
        <v>03 ORL</v>
      </c>
      <c r="N1544" s="33" t="str">
        <f ca="1">IFERROR(__xludf.DUMMYFUNCTION("""COMPUTED_VALUE"""),"06 ORL")</f>
        <v>06 ORL</v>
      </c>
      <c r="O1544" s="33" t="str">
        <f ca="1">IFERROR(__xludf.DUMMYFUNCTION("""COMPUTED_VALUE"""),"Dr, Mohamed Al Rifal Al Masti")</f>
        <v>Dr, Mohamed Al Rifal Al Masti</v>
      </c>
      <c r="P1544" s="33" t="str">
        <f ca="1">IFERROR(__xludf.DUMMYFUNCTION("""COMPUTED_VALUE"""),"Roberto Pereira (Galicia)")</f>
        <v>Roberto Pereira (Galicia)</v>
      </c>
    </row>
    <row r="1545" spans="2:16">
      <c r="B1545" s="33">
        <f ca="1">IFERROR(__xludf.DUMMYFUNCTION("""COMPUTED_VALUE"""),2025)</f>
        <v>2025</v>
      </c>
      <c r="C1545" s="33">
        <f ca="1">IFERROR(__xludf.DUMMYFUNCTION("""COMPUTED_VALUE"""),11)</f>
        <v>11</v>
      </c>
      <c r="D1545" s="33" t="str">
        <f ca="1">IFERROR(__xludf.DUMMYFUNCTION("""COMPUTED_VALUE"""),"NO")</f>
        <v>NO</v>
      </c>
      <c r="E1545" s="33" t="str">
        <f ca="1">IFERROR(__xludf.DUMMYFUNCTION("""COMPUTED_VALUE"""),"Leganés")</f>
        <v>Leganés</v>
      </c>
      <c r="F1545" s="57">
        <f ca="1">IFERROR(__xludf.DUMMYFUNCTION("""COMPUTED_VALUE"""),45987)</f>
        <v>45987</v>
      </c>
      <c r="G1545" s="57">
        <f ca="1">IFERROR(__xludf.DUMMYFUNCTION("""COMPUTED_VALUE"""),45947)</f>
        <v>45947</v>
      </c>
      <c r="H1545" s="33" t="str">
        <f ca="1">IFERROR(__xludf.DUMMYFUNCTION("""COMPUTED_VALUE"""),"Leganés")</f>
        <v>Leganés</v>
      </c>
      <c r="I1545" s="33" t="str">
        <f ca="1">IFERROR(__xludf.DUMMYFUNCTION("""COMPUTED_VALUE"""),"C202510171019439504")</f>
        <v>C202510171019439504</v>
      </c>
      <c r="J1545" s="33" t="str">
        <f ca="1">IFERROR(__xludf.DUMMYFUNCTION("""COMPUTED_VALUE"""),"JOSE FUERTES GARCIA")</f>
        <v>JOSE FUERTES GARCIA</v>
      </c>
      <c r="K1545" s="33">
        <f ca="1">IFERROR(__xludf.DUMMYFUNCTION("""COMPUTED_VALUE"""),2)</f>
        <v>2</v>
      </c>
      <c r="L1545" s="203">
        <f ca="1">IFERROR(__xludf.DUMMYFUNCTION("""COMPUTED_VALUE"""),2717.31)</f>
        <v>2717.31</v>
      </c>
      <c r="M1545" s="33" t="str">
        <f ca="1">IFERROR(__xludf.DUMMYFUNCTION("""COMPUTED_VALUE"""),"03 ORL")</f>
        <v>03 ORL</v>
      </c>
      <c r="N1545" s="33" t="str">
        <f ca="1">IFERROR(__xludf.DUMMYFUNCTION("""COMPUTED_VALUE"""),"06 ORL")</f>
        <v>06 ORL</v>
      </c>
      <c r="O1545" s="33" t="str">
        <f ca="1">IFERROR(__xludf.DUMMYFUNCTION("""COMPUTED_VALUE"""),"Dra, Ana Ruiz Fornells Noreña")</f>
        <v>Dra, Ana Ruiz Fornells Noreña</v>
      </c>
      <c r="P1545" s="33" t="str">
        <f ca="1">IFERROR(__xludf.DUMMYFUNCTION("""COMPUTED_VALUE"""),"Maika Blázquez (Madrid)")</f>
        <v>Maika Blázquez (Madrid)</v>
      </c>
    </row>
    <row r="1546" spans="2:16">
      <c r="B1546" s="33">
        <f ca="1">IFERROR(__xludf.DUMMYFUNCTION("""COMPUTED_VALUE"""),2025)</f>
        <v>2025</v>
      </c>
      <c r="C1546" s="33">
        <f ca="1">IFERROR(__xludf.DUMMYFUNCTION("""COMPUTED_VALUE"""),11)</f>
        <v>11</v>
      </c>
      <c r="D1546" s="33" t="str">
        <f ca="1">IFERROR(__xludf.DUMMYFUNCTION("""COMPUTED_VALUE"""),"NO")</f>
        <v>NO</v>
      </c>
      <c r="E1546" s="33" t="str">
        <f ca="1">IFERROR(__xludf.DUMMYFUNCTION("""COMPUTED_VALUE"""),"Leganés")</f>
        <v>Leganés</v>
      </c>
      <c r="F1546" s="57">
        <f ca="1">IFERROR(__xludf.DUMMYFUNCTION("""COMPUTED_VALUE"""),45987)</f>
        <v>45987</v>
      </c>
      <c r="G1546" s="57">
        <f ca="1">IFERROR(__xludf.DUMMYFUNCTION("""COMPUTED_VALUE"""),45965)</f>
        <v>45965</v>
      </c>
      <c r="H1546" s="33" t="str">
        <f ca="1">IFERROR(__xludf.DUMMYFUNCTION("""COMPUTED_VALUE"""),"Leganés")</f>
        <v>Leganés</v>
      </c>
      <c r="I1546" s="33" t="str">
        <f ca="1">IFERROR(__xludf.DUMMYFUNCTION("""COMPUTED_VALUE"""),"C202511417266401601")</f>
        <v>C202511417266401601</v>
      </c>
      <c r="J1546" s="33" t="str">
        <f ca="1">IFERROR(__xludf.DUMMYFUNCTION("""COMPUTED_VALUE"""),"JULIA VILLEGAS COBEÑO")</f>
        <v>JULIA VILLEGAS COBEÑO</v>
      </c>
      <c r="K1546" s="33">
        <f ca="1">IFERROR(__xludf.DUMMYFUNCTION("""COMPUTED_VALUE"""),1)</f>
        <v>1</v>
      </c>
      <c r="L1546" s="203">
        <f ca="1">IFERROR(__xludf.DUMMYFUNCTION("""COMPUTED_VALUE"""),2481.82)</f>
        <v>2481.8200000000002</v>
      </c>
      <c r="M1546" s="33" t="str">
        <f ca="1">IFERROR(__xludf.DUMMYFUNCTION("""COMPUTED_VALUE"""),"03 ORL")</f>
        <v>03 ORL</v>
      </c>
      <c r="N1546" s="33" t="str">
        <f ca="1">IFERROR(__xludf.DUMMYFUNCTION("""COMPUTED_VALUE"""),"06 ORL")</f>
        <v>06 ORL</v>
      </c>
      <c r="O1546" s="33" t="str">
        <f ca="1">IFERROR(__xludf.DUMMYFUNCTION("""COMPUTED_VALUE"""),"Dr, Carles Heredia Llinás")</f>
        <v>Dr, Carles Heredia Llinás</v>
      </c>
      <c r="P1546" s="33" t="str">
        <f ca="1">IFERROR(__xludf.DUMMYFUNCTION("""COMPUTED_VALUE"""),"Maika Blázquez (Madrid)")</f>
        <v>Maika Blázquez (Madrid)</v>
      </c>
    </row>
    <row r="1547" spans="2:16">
      <c r="B1547" s="33">
        <f ca="1">IFERROR(__xludf.DUMMYFUNCTION("""COMPUTED_VALUE"""),2025)</f>
        <v>2025</v>
      </c>
      <c r="C1547" s="33">
        <f ca="1">IFERROR(__xludf.DUMMYFUNCTION("""COMPUTED_VALUE"""),11)</f>
        <v>11</v>
      </c>
      <c r="D1547" s="33" t="str">
        <f ca="1">IFERROR(__xludf.DUMMYFUNCTION("""COMPUTED_VALUE"""),"NO")</f>
        <v>NO</v>
      </c>
      <c r="E1547" s="33" t="str">
        <f ca="1">IFERROR(__xludf.DUMMYFUNCTION("""COMPUTED_VALUE"""),"Huelva")</f>
        <v>Huelva</v>
      </c>
      <c r="F1547" s="57">
        <f ca="1">IFERROR(__xludf.DUMMYFUNCTION("""COMPUTED_VALUE"""),45987)</f>
        <v>45987</v>
      </c>
      <c r="G1547" s="57">
        <f ca="1">IFERROR(__xludf.DUMMYFUNCTION("""COMPUTED_VALUE"""),45909)</f>
        <v>45909</v>
      </c>
      <c r="H1547" s="33" t="str">
        <f ca="1">IFERROR(__xludf.DUMMYFUNCTION("""COMPUTED_VALUE"""),"Huelva")</f>
        <v>Huelva</v>
      </c>
      <c r="I1547" s="33" t="str">
        <f ca="1">IFERROR(__xludf.DUMMYFUNCTION("""COMPUTED_VALUE"""),"C2025912104549439")</f>
        <v>C2025912104549439</v>
      </c>
      <c r="J1547" s="33" t="str">
        <f ca="1">IFERROR(__xludf.DUMMYFUNCTION("""COMPUTED_VALUE"""),"RAFAEL REYES PALACIO")</f>
        <v>RAFAEL REYES PALACIO</v>
      </c>
      <c r="K1547" s="33">
        <f ca="1">IFERROR(__xludf.DUMMYFUNCTION("""COMPUTED_VALUE"""),1)</f>
        <v>1</v>
      </c>
      <c r="L1547" s="203">
        <f ca="1">IFERROR(__xludf.DUMMYFUNCTION("""COMPUTED_VALUE"""),2180.91)</f>
        <v>2180.91</v>
      </c>
      <c r="M1547" s="33" t="str">
        <f ca="1">IFERROR(__xludf.DUMMYFUNCTION("""COMPUTED_VALUE"""),"03 ORL")</f>
        <v>03 ORL</v>
      </c>
      <c r="N1547" s="33" t="str">
        <f ca="1">IFERROR(__xludf.DUMMYFUNCTION("""COMPUTED_VALUE"""),"06 ORL")</f>
        <v>06 ORL</v>
      </c>
      <c r="O1547" s="33" t="str">
        <f ca="1">IFERROR(__xludf.DUMMYFUNCTION("""COMPUTED_VALUE"""),"Dr, Jose María Cordoncillo Prieto")</f>
        <v>Dr, Jose María Cordoncillo Prieto</v>
      </c>
      <c r="P1547" s="33" t="str">
        <f ca="1">IFERROR(__xludf.DUMMYFUNCTION("""COMPUTED_VALUE"""),"Luis Alberto Rodríguez (Andalucía y Badajoz)")</f>
        <v>Luis Alberto Rodríguez (Andalucía y Badajoz)</v>
      </c>
    </row>
    <row r="1548" spans="2:16">
      <c r="B1548" s="33">
        <f ca="1">IFERROR(__xludf.DUMMYFUNCTION("""COMPUTED_VALUE"""),2025)</f>
        <v>2025</v>
      </c>
      <c r="C1548" s="33">
        <f ca="1">IFERROR(__xludf.DUMMYFUNCTION("""COMPUTED_VALUE"""),11)</f>
        <v>11</v>
      </c>
      <c r="D1548" s="33" t="str">
        <f ca="1">IFERROR(__xludf.DUMMYFUNCTION("""COMPUTED_VALUE"""),"NO")</f>
        <v>NO</v>
      </c>
      <c r="E1548" s="33" t="str">
        <f ca="1">IFERROR(__xludf.DUMMYFUNCTION("""COMPUTED_VALUE"""),"Albacete")</f>
        <v>Albacete</v>
      </c>
      <c r="F1548" s="57">
        <f ca="1">IFERROR(__xludf.DUMMYFUNCTION("""COMPUTED_VALUE"""),45987)</f>
        <v>45987</v>
      </c>
      <c r="G1548" s="57">
        <f ca="1">IFERROR(__xludf.DUMMYFUNCTION("""COMPUTED_VALUE"""),45951)</f>
        <v>45951</v>
      </c>
      <c r="H1548" s="33" t="str">
        <f ca="1">IFERROR(__xludf.DUMMYFUNCTION("""COMPUTED_VALUE"""),"Albacete")</f>
        <v>Albacete</v>
      </c>
      <c r="I1548" s="33" t="str">
        <f ca="1">IFERROR(__xludf.DUMMYFUNCTION("""COMPUTED_VALUE"""),"C202510211604656834")</f>
        <v>C202510211604656834</v>
      </c>
      <c r="J1548" s="33" t="str">
        <f ca="1">IFERROR(__xludf.DUMMYFUNCTION("""COMPUTED_VALUE"""),"FERNANDO LOZANO CORREOSO")</f>
        <v>FERNANDO LOZANO CORREOSO</v>
      </c>
      <c r="K1548" s="33">
        <f ca="1">IFERROR(__xludf.DUMMYFUNCTION("""COMPUTED_VALUE"""),2)</f>
        <v>2</v>
      </c>
      <c r="L1548" s="203">
        <f ca="1">IFERROR(__xludf.DUMMYFUNCTION("""COMPUTED_VALUE"""),2718.18)</f>
        <v>2718.18</v>
      </c>
      <c r="M1548" s="33" t="str">
        <f ca="1">IFERROR(__xludf.DUMMYFUNCTION("""COMPUTED_VALUE"""),"03 ORL")</f>
        <v>03 ORL</v>
      </c>
      <c r="N1548" s="33" t="str">
        <f ca="1">IFERROR(__xludf.DUMMYFUNCTION("""COMPUTED_VALUE"""),"22 AUDIOMETRIA CLINICA")</f>
        <v>22 AUDIOMETRIA CLINICA</v>
      </c>
      <c r="O1548" s="33" t="str">
        <f ca="1">IFERROR(__xludf.DUMMYFUNCTION("""COMPUTED_VALUE"""),"Dra, Alejandra Jara Maquilón")</f>
        <v>Dra, Alejandra Jara Maquilón</v>
      </c>
      <c r="P1548" s="33" t="str">
        <f ca="1">IFERROR(__xludf.DUMMYFUNCTION("""COMPUTED_VALUE"""),"Iván Sánchez (Levante Y Albacete)")</f>
        <v>Iván Sánchez (Levante Y Albacete)</v>
      </c>
    </row>
    <row r="1549" spans="2:16">
      <c r="B1549" s="33">
        <f ca="1">IFERROR(__xludf.DUMMYFUNCTION("""COMPUTED_VALUE"""),2025)</f>
        <v>2025</v>
      </c>
      <c r="C1549" s="33">
        <f ca="1">IFERROR(__xludf.DUMMYFUNCTION("""COMPUTED_VALUE"""),11)</f>
        <v>11</v>
      </c>
      <c r="D1549" s="33" t="str">
        <f ca="1">IFERROR(__xludf.DUMMYFUNCTION("""COMPUTED_VALUE"""),"SI")</f>
        <v>SI</v>
      </c>
      <c r="E1549" s="33" t="str">
        <f ca="1">IFERROR(__xludf.DUMMYFUNCTION("""COMPUTED_VALUE"""),"Madrid- Moratalaz")</f>
        <v>Madrid- Moratalaz</v>
      </c>
      <c r="F1549" s="57">
        <f ca="1">IFERROR(__xludf.DUMMYFUNCTION("""COMPUTED_VALUE"""),45987)</f>
        <v>45987</v>
      </c>
      <c r="G1549" s="57">
        <f ca="1">IFERROR(__xludf.DUMMYFUNCTION("""COMPUTED_VALUE"""),45965)</f>
        <v>45965</v>
      </c>
      <c r="H1549" s="33" t="str">
        <f ca="1">IFERROR(__xludf.DUMMYFUNCTION("""COMPUTED_VALUE"""),"Moratalaz")</f>
        <v>Moratalaz</v>
      </c>
      <c r="I1549" s="33" t="str">
        <f ca="1">IFERROR(__xludf.DUMMYFUNCTION("""COMPUTED_VALUE"""),"C202511412285989779")</f>
        <v>C202511412285989779</v>
      </c>
      <c r="J1549" s="33" t="str">
        <f ca="1">IFERROR(__xludf.DUMMYFUNCTION("""COMPUTED_VALUE"""),"MARIA DOLORES BARBERO BURON")</f>
        <v>MARIA DOLORES BARBERO BURON</v>
      </c>
      <c r="K1549" s="33">
        <f ca="1">IFERROR(__xludf.DUMMYFUNCTION("""COMPUTED_VALUE"""),2)</f>
        <v>2</v>
      </c>
      <c r="L1549" s="203">
        <f ca="1">IFERROR(__xludf.DUMMYFUNCTION("""COMPUTED_VALUE"""),4136.36)</f>
        <v>4136.3599999999997</v>
      </c>
      <c r="M1549" s="33" t="str">
        <f ca="1">IFERROR(__xludf.DUMMYFUNCTION("""COMPUTED_VALUE"""),"03 ORL")</f>
        <v>03 ORL</v>
      </c>
      <c r="N1549" s="33" t="str">
        <f ca="1">IFERROR(__xludf.DUMMYFUNCTION("""COMPUTED_VALUE"""),"06 ORL")</f>
        <v>06 ORL</v>
      </c>
      <c r="O1549" s="33" t="str">
        <f ca="1">IFERROR(__xludf.DUMMYFUNCTION("""COMPUTED_VALUE"""),"Dra, María Cecilia Scola Torres")</f>
        <v>Dra, María Cecilia Scola Torres</v>
      </c>
      <c r="P1549" s="33" t="str">
        <f ca="1">IFERROR(__xludf.DUMMYFUNCTION("""COMPUTED_VALUE"""),"Maika Blázquez (Madrid)")</f>
        <v>Maika Blázquez (Madrid)</v>
      </c>
    </row>
    <row r="1550" spans="2:16">
      <c r="B1550" s="33">
        <f ca="1">IFERROR(__xludf.DUMMYFUNCTION("""COMPUTED_VALUE"""),2025)</f>
        <v>2025</v>
      </c>
      <c r="C1550" s="33">
        <f ca="1">IFERROR(__xludf.DUMMYFUNCTION("""COMPUTED_VALUE"""),11)</f>
        <v>11</v>
      </c>
      <c r="D1550" s="33" t="str">
        <f ca="1">IFERROR(__xludf.DUMMYFUNCTION("""COMPUTED_VALUE"""),"NO")</f>
        <v>NO</v>
      </c>
      <c r="E1550" s="33" t="str">
        <f ca="1">IFERROR(__xludf.DUMMYFUNCTION("""COMPUTED_VALUE"""),"Orihuela")</f>
        <v>Orihuela</v>
      </c>
      <c r="F1550" s="57">
        <f ca="1">IFERROR(__xludf.DUMMYFUNCTION("""COMPUTED_VALUE"""),45987)</f>
        <v>45987</v>
      </c>
      <c r="G1550" s="57">
        <f ca="1">IFERROR(__xludf.DUMMYFUNCTION("""COMPUTED_VALUE"""),45944)</f>
        <v>45944</v>
      </c>
      <c r="H1550" s="33" t="str">
        <f ca="1">IFERROR(__xludf.DUMMYFUNCTION("""COMPUTED_VALUE"""),"La Zenia")</f>
        <v>La Zenia</v>
      </c>
      <c r="I1550" s="33" t="str">
        <f ca="1">IFERROR(__xludf.DUMMYFUNCTION("""COMPUTED_VALUE"""),"C202510141120174733")</f>
        <v>C202510141120174733</v>
      </c>
      <c r="J1550" s="33" t="str">
        <f ca="1">IFERROR(__xludf.DUMMYFUNCTION("""COMPUTED_VALUE"""),"WILLIAM CHARLES HENRY LEAVES")</f>
        <v>WILLIAM CHARLES HENRY LEAVES</v>
      </c>
      <c r="K1550" s="33">
        <f ca="1">IFERROR(__xludf.DUMMYFUNCTION("""COMPUTED_VALUE"""),2)</f>
        <v>2</v>
      </c>
      <c r="L1550" s="203">
        <f ca="1">IFERROR(__xludf.DUMMYFUNCTION("""COMPUTED_VALUE"""),2718.18)</f>
        <v>2718.18</v>
      </c>
      <c r="M1550" s="33" t="str">
        <f ca="1">IFERROR(__xludf.DUMMYFUNCTION("""COMPUTED_VALUE"""),"03 ORL")</f>
        <v>03 ORL</v>
      </c>
      <c r="N1550" s="33" t="str">
        <f ca="1">IFERROR(__xludf.DUMMYFUNCTION("""COMPUTED_VALUE"""),"06 ORL")</f>
        <v>06 ORL</v>
      </c>
      <c r="O1550" s="33" t="str">
        <f ca="1">IFERROR(__xludf.DUMMYFUNCTION("""COMPUTED_VALUE"""),"Dr, Santiago Moreno Paredes")</f>
        <v>Dr, Santiago Moreno Paredes</v>
      </c>
      <c r="P1550" s="33" t="str">
        <f ca="1">IFERROR(__xludf.DUMMYFUNCTION("""COMPUTED_VALUE"""),"Iván Sánchez (Levante Y Albacete)")</f>
        <v>Iván Sánchez (Levante Y Albacete)</v>
      </c>
    </row>
    <row r="1551" spans="2:16">
      <c r="B1551" s="33">
        <f ca="1">IFERROR(__xludf.DUMMYFUNCTION("""COMPUTED_VALUE"""),2025)</f>
        <v>2025</v>
      </c>
      <c r="C1551" s="33">
        <f ca="1">IFERROR(__xludf.DUMMYFUNCTION("""COMPUTED_VALUE"""),11)</f>
        <v>11</v>
      </c>
      <c r="D1551" s="33" t="str">
        <f ca="1">IFERROR(__xludf.DUMMYFUNCTION("""COMPUTED_VALUE"""),"NO")</f>
        <v>NO</v>
      </c>
      <c r="E1551" s="33" t="str">
        <f ca="1">IFERROR(__xludf.DUMMYFUNCTION("""COMPUTED_VALUE"""),"Madrid- Moratalaz")</f>
        <v>Madrid- Moratalaz</v>
      </c>
      <c r="F1551" s="57">
        <f ca="1">IFERROR(__xludf.DUMMYFUNCTION("""COMPUTED_VALUE"""),45987)</f>
        <v>45987</v>
      </c>
      <c r="G1551" s="57">
        <f ca="1">IFERROR(__xludf.DUMMYFUNCTION("""COMPUTED_VALUE"""),45957)</f>
        <v>45957</v>
      </c>
      <c r="H1551" s="33" t="str">
        <f ca="1">IFERROR(__xludf.DUMMYFUNCTION("""COMPUTED_VALUE"""),"Moratalaz")</f>
        <v>Moratalaz</v>
      </c>
      <c r="I1551" s="33" t="str">
        <f ca="1">IFERROR(__xludf.DUMMYFUNCTION("""COMPUTED_VALUE"""),"C202510271053598510")</f>
        <v>C202510271053598510</v>
      </c>
      <c r="J1551" s="33" t="str">
        <f ca="1">IFERROR(__xludf.DUMMYFUNCTION("""COMPUTED_VALUE"""),"MIGUEL ANGEL LANGA ALVAREZ")</f>
        <v>MIGUEL ANGEL LANGA ALVAREZ</v>
      </c>
      <c r="K1551" s="33">
        <f ca="1">IFERROR(__xludf.DUMMYFUNCTION("""COMPUTED_VALUE"""),2)</f>
        <v>2</v>
      </c>
      <c r="L1551" s="203">
        <f ca="1">IFERROR(__xludf.DUMMYFUNCTION("""COMPUTED_VALUE"""),4136.36)</f>
        <v>4136.3599999999997</v>
      </c>
      <c r="M1551" s="33" t="str">
        <f ca="1">IFERROR(__xludf.DUMMYFUNCTION("""COMPUTED_VALUE"""),"03 ORL")</f>
        <v>03 ORL</v>
      </c>
      <c r="N1551" s="33" t="str">
        <f ca="1">IFERROR(__xludf.DUMMYFUNCTION("""COMPUTED_VALUE"""),"06 ORL")</f>
        <v>06 ORL</v>
      </c>
      <c r="O1551" s="33" t="str">
        <f ca="1">IFERROR(__xludf.DUMMYFUNCTION("""COMPUTED_VALUE"""),"Dra, María Cecilia Scola Torres")</f>
        <v>Dra, María Cecilia Scola Torres</v>
      </c>
      <c r="P1551" s="33" t="str">
        <f ca="1">IFERROR(__xludf.DUMMYFUNCTION("""COMPUTED_VALUE"""),"Maika Blázquez (Madrid)")</f>
        <v>Maika Blázquez (Madrid)</v>
      </c>
    </row>
    <row r="1552" spans="2:16">
      <c r="B1552" s="33">
        <f ca="1">IFERROR(__xludf.DUMMYFUNCTION("""COMPUTED_VALUE"""),2025)</f>
        <v>2025</v>
      </c>
      <c r="C1552" s="33">
        <f ca="1">IFERROR(__xludf.DUMMYFUNCTION("""COMPUTED_VALUE"""),11)</f>
        <v>11</v>
      </c>
      <c r="D1552" s="33" t="str">
        <f ca="1">IFERROR(__xludf.DUMMYFUNCTION("""COMPUTED_VALUE"""),"NO")</f>
        <v>NO</v>
      </c>
      <c r="E1552" s="33" t="str">
        <f ca="1">IFERROR(__xludf.DUMMYFUNCTION("""COMPUTED_VALUE"""),"Madrid- La Oca")</f>
        <v>Madrid- La Oca</v>
      </c>
      <c r="F1552" s="57">
        <f ca="1">IFERROR(__xludf.DUMMYFUNCTION("""COMPUTED_VALUE"""),45987)</f>
        <v>45987</v>
      </c>
      <c r="G1552" s="57">
        <f ca="1">IFERROR(__xludf.DUMMYFUNCTION("""COMPUTED_VALUE"""),45982)</f>
        <v>45982</v>
      </c>
      <c r="H1552" s="33" t="str">
        <f ca="1">IFERROR(__xludf.DUMMYFUNCTION("""COMPUTED_VALUE"""),"La Oca")</f>
        <v>La Oca</v>
      </c>
      <c r="I1552" s="33" t="str">
        <f ca="1">IFERROR(__xludf.DUMMYFUNCTION("""COMPUTED_VALUE"""),"C202511211412391741")</f>
        <v>C202511211412391741</v>
      </c>
      <c r="J1552" s="33" t="str">
        <f ca="1">IFERROR(__xludf.DUMMYFUNCTION("""COMPUTED_VALUE"""),"MARIA TERESA LIGERO BERRIO")</f>
        <v>MARIA TERESA LIGERO BERRIO</v>
      </c>
      <c r="K1552" s="33">
        <f ca="1">IFERROR(__xludf.DUMMYFUNCTION("""COMPUTED_VALUE"""),2)</f>
        <v>2</v>
      </c>
      <c r="L1552" s="203">
        <f ca="1">IFERROR(__xludf.DUMMYFUNCTION("""COMPUTED_VALUE"""),4136.36)</f>
        <v>4136.3599999999997</v>
      </c>
      <c r="M1552" s="33" t="str">
        <f ca="1">IFERROR(__xludf.DUMMYFUNCTION("""COMPUTED_VALUE"""),"03 ORL")</f>
        <v>03 ORL</v>
      </c>
      <c r="N1552" s="33" t="str">
        <f ca="1">IFERROR(__xludf.DUMMYFUNCTION("""COMPUTED_VALUE"""),"06 ORL")</f>
        <v>06 ORL</v>
      </c>
      <c r="O1552" s="33" t="str">
        <f ca="1">IFERROR(__xludf.DUMMYFUNCTION("""COMPUTED_VALUE"""),"Dr, Félix Rodríguez Paz")</f>
        <v>Dr, Félix Rodríguez Paz</v>
      </c>
      <c r="P1552" s="33" t="str">
        <f ca="1">IFERROR(__xludf.DUMMYFUNCTION("""COMPUTED_VALUE"""),"Maika Blázquez (Madrid)")</f>
        <v>Maika Blázquez (Madrid)</v>
      </c>
    </row>
    <row r="1553" spans="2:16">
      <c r="B1553" s="33">
        <f ca="1">IFERROR(__xludf.DUMMYFUNCTION("""COMPUTED_VALUE"""),2025)</f>
        <v>2025</v>
      </c>
      <c r="C1553" s="33">
        <f ca="1">IFERROR(__xludf.DUMMYFUNCTION("""COMPUTED_VALUE"""),11)</f>
        <v>11</v>
      </c>
      <c r="D1553" s="33" t="str">
        <f ca="1">IFERROR(__xludf.DUMMYFUNCTION("""COMPUTED_VALUE"""),"NO")</f>
        <v>NO</v>
      </c>
      <c r="E1553" s="33" t="str">
        <f ca="1">IFERROR(__xludf.DUMMYFUNCTION("""COMPUTED_VALUE"""),"Alcorcón")</f>
        <v>Alcorcón</v>
      </c>
      <c r="F1553" s="57">
        <f ca="1">IFERROR(__xludf.DUMMYFUNCTION("""COMPUTED_VALUE"""),45987)</f>
        <v>45987</v>
      </c>
      <c r="G1553" s="57">
        <f ca="1">IFERROR(__xludf.DUMMYFUNCTION("""COMPUTED_VALUE"""),45950)</f>
        <v>45950</v>
      </c>
      <c r="H1553" s="33" t="str">
        <f ca="1">IFERROR(__xludf.DUMMYFUNCTION("""COMPUTED_VALUE"""),"Alcorcón")</f>
        <v>Alcorcón</v>
      </c>
      <c r="I1553" s="33" t="str">
        <f ca="1">IFERROR(__xludf.DUMMYFUNCTION("""COMPUTED_VALUE"""),"C202510201554428447")</f>
        <v>C202510201554428447</v>
      </c>
      <c r="J1553" s="33" t="str">
        <f ca="1">IFERROR(__xludf.DUMMYFUNCTION("""COMPUTED_VALUE"""),"JOSE JURADO SANTOS")</f>
        <v>JOSE JURADO SANTOS</v>
      </c>
      <c r="K1553" s="33">
        <f ca="1">IFERROR(__xludf.DUMMYFUNCTION("""COMPUTED_VALUE"""),2)</f>
        <v>2</v>
      </c>
      <c r="L1553" s="203">
        <f ca="1">IFERROR(__xludf.DUMMYFUNCTION("""COMPUTED_VALUE"""),2718.18)</f>
        <v>2718.18</v>
      </c>
      <c r="M1553" s="33" t="str">
        <f ca="1">IFERROR(__xludf.DUMMYFUNCTION("""COMPUTED_VALUE"""),"03 ORL")</f>
        <v>03 ORL</v>
      </c>
      <c r="N1553" s="33" t="str">
        <f ca="1">IFERROR(__xludf.DUMMYFUNCTION("""COMPUTED_VALUE"""),"06 ORL")</f>
        <v>06 ORL</v>
      </c>
      <c r="O1553" s="33" t="str">
        <f ca="1">IFERROR(__xludf.DUMMYFUNCTION("""COMPUTED_VALUE"""),"Dra, Esther Macon Liquete")</f>
        <v>Dra, Esther Macon Liquete</v>
      </c>
      <c r="P1553" s="33" t="str">
        <f ca="1">IFERROR(__xludf.DUMMYFUNCTION("""COMPUTED_VALUE"""),"Maika Blázquez (Madrid)")</f>
        <v>Maika Blázquez (Madrid)</v>
      </c>
    </row>
    <row r="1554" spans="2:16">
      <c r="B1554" s="33">
        <f ca="1">IFERROR(__xludf.DUMMYFUNCTION("""COMPUTED_VALUE"""),2025)</f>
        <v>2025</v>
      </c>
      <c r="C1554" s="33">
        <f ca="1">IFERROR(__xludf.DUMMYFUNCTION("""COMPUTED_VALUE"""),11)</f>
        <v>11</v>
      </c>
      <c r="D1554" s="33" t="str">
        <f ca="1">IFERROR(__xludf.DUMMYFUNCTION("""COMPUTED_VALUE"""),"NO")</f>
        <v>NO</v>
      </c>
      <c r="E1554" s="33" t="str">
        <f ca="1">IFERROR(__xludf.DUMMYFUNCTION("""COMPUTED_VALUE"""),"Valencia- Parra")</f>
        <v>Valencia- Parra</v>
      </c>
      <c r="F1554" s="57">
        <f ca="1">IFERROR(__xludf.DUMMYFUNCTION("""COMPUTED_VALUE"""),45987)</f>
        <v>45987</v>
      </c>
      <c r="G1554" s="57">
        <f ca="1">IFERROR(__xludf.DUMMYFUNCTION("""COMPUTED_VALUE"""),45951)</f>
        <v>45951</v>
      </c>
      <c r="H1554" s="33" t="str">
        <f ca="1">IFERROR(__xludf.DUMMYFUNCTION("""COMPUTED_VALUE"""),"Valencia- Parra")</f>
        <v>Valencia- Parra</v>
      </c>
      <c r="I1554" s="33" t="str">
        <f ca="1">IFERROR(__xludf.DUMMYFUNCTION("""COMPUTED_VALUE"""),"C202510211028552232")</f>
        <v>C202510211028552232</v>
      </c>
      <c r="J1554" s="1" t="str">
        <f ca="1">IFERROR(__xludf.DUMMYFUNCTION("""COMPUTED_VALUE"""),"SIEGFRIED JERATHE")</f>
        <v>SIEGFRIED JERATHE</v>
      </c>
      <c r="K1554" s="33">
        <f ca="1">IFERROR(__xludf.DUMMYFUNCTION("""COMPUTED_VALUE"""),2)</f>
        <v>2</v>
      </c>
      <c r="L1554" s="203">
        <f ca="1">IFERROR(__xludf.DUMMYFUNCTION("""COMPUTED_VALUE"""),3631.82)</f>
        <v>3631.82</v>
      </c>
      <c r="M1554" s="33" t="str">
        <f ca="1">IFERROR(__xludf.DUMMYFUNCTION("""COMPUTED_VALUE"""),"03 ORL")</f>
        <v>03 ORL</v>
      </c>
      <c r="N1554" s="33" t="str">
        <f ca="1">IFERROR(__xludf.DUMMYFUNCTION("""COMPUTED_VALUE"""),"06 ORL")</f>
        <v>06 ORL</v>
      </c>
      <c r="O1554" s="33" t="str">
        <f ca="1">IFERROR(__xludf.DUMMYFUNCTION("""COMPUTED_VALUE"""),"Dra, Celia López Molla")</f>
        <v>Dra, Celia López Molla</v>
      </c>
      <c r="P1554" s="33" t="str">
        <f ca="1">IFERROR(__xludf.DUMMYFUNCTION("""COMPUTED_VALUE"""),"Ramon Ferrando(Valencia)")</f>
        <v>Ramon Ferrando(Valencia)</v>
      </c>
    </row>
    <row r="1555" spans="2:16">
      <c r="B1555" s="33">
        <f ca="1">IFERROR(__xludf.DUMMYFUNCTION("""COMPUTED_VALUE"""),2025)</f>
        <v>2025</v>
      </c>
      <c r="C1555" s="33">
        <f ca="1">IFERROR(__xludf.DUMMYFUNCTION("""COMPUTED_VALUE"""),11)</f>
        <v>11</v>
      </c>
      <c r="D1555" s="33" t="str">
        <f ca="1">IFERROR(__xludf.DUMMYFUNCTION("""COMPUTED_VALUE"""),"NO")</f>
        <v>NO</v>
      </c>
      <c r="E1555" s="33" t="str">
        <f ca="1">IFERROR(__xludf.DUMMYFUNCTION("""COMPUTED_VALUE"""),"Jerez de la Frontera")</f>
        <v>Jerez de la Frontera</v>
      </c>
      <c r="F1555" s="57">
        <f ca="1">IFERROR(__xludf.DUMMYFUNCTION("""COMPUTED_VALUE"""),45987)</f>
        <v>45987</v>
      </c>
      <c r="G1555" s="57">
        <f ca="1">IFERROR(__xludf.DUMMYFUNCTION("""COMPUTED_VALUE"""),45961)</f>
        <v>45961</v>
      </c>
      <c r="H1555" s="33" t="str">
        <f ca="1">IFERROR(__xludf.DUMMYFUNCTION("""COMPUTED_VALUE"""),"Jerez")</f>
        <v>Jerez</v>
      </c>
      <c r="I1555" s="33" t="str">
        <f ca="1">IFERROR(__xludf.DUMMYFUNCTION("""COMPUTED_VALUE"""),"C202510311112769486")</f>
        <v>C202510311112769486</v>
      </c>
      <c r="J1555" s="33" t="str">
        <f ca="1">IFERROR(__xludf.DUMMYFUNCTION("""COMPUTED_VALUE"""),"MANUELA COLLANTES NARBONA")</f>
        <v>MANUELA COLLANTES NARBONA</v>
      </c>
      <c r="K1555" s="33">
        <f ca="1">IFERROR(__xludf.DUMMYFUNCTION("""COMPUTED_VALUE"""),2)</f>
        <v>2</v>
      </c>
      <c r="L1555" s="203">
        <f ca="1">IFERROR(__xludf.DUMMYFUNCTION("""COMPUTED_VALUE"""),2718.18)</f>
        <v>2718.18</v>
      </c>
      <c r="M1555" s="33" t="str">
        <f ca="1">IFERROR(__xludf.DUMMYFUNCTION("""COMPUTED_VALUE"""),"03 ORL")</f>
        <v>03 ORL</v>
      </c>
      <c r="N1555" s="33" t="str">
        <f ca="1">IFERROR(__xludf.DUMMYFUNCTION("""COMPUTED_VALUE"""),"06 ORL")</f>
        <v>06 ORL</v>
      </c>
      <c r="O1555" s="33" t="str">
        <f ca="1">IFERROR(__xludf.DUMMYFUNCTION("""COMPUTED_VALUE"""),"Dr, Guillermo Sierra Galera")</f>
        <v>Dr, Guillermo Sierra Galera</v>
      </c>
      <c r="P1555" s="33" t="str">
        <f ca="1">IFERROR(__xludf.DUMMYFUNCTION("""COMPUTED_VALUE"""),"Luis Alberto Rodríguez (Andalucía y Badajoz)")</f>
        <v>Luis Alberto Rodríguez (Andalucía y Badajoz)</v>
      </c>
    </row>
    <row r="1556" spans="2:16">
      <c r="B1556" s="33">
        <f ca="1">IFERROR(__xludf.DUMMYFUNCTION("""COMPUTED_VALUE"""),2025)</f>
        <v>2025</v>
      </c>
      <c r="C1556" s="33">
        <f ca="1">IFERROR(__xludf.DUMMYFUNCTION("""COMPUTED_VALUE"""),11)</f>
        <v>11</v>
      </c>
      <c r="D1556" s="33" t="str">
        <f ca="1">IFERROR(__xludf.DUMMYFUNCTION("""COMPUTED_VALUE"""),"NO")</f>
        <v>NO</v>
      </c>
      <c r="E1556" s="33" t="str">
        <f ca="1">IFERROR(__xludf.DUMMYFUNCTION("""COMPUTED_VALUE"""),"Alicante")</f>
        <v>Alicante</v>
      </c>
      <c r="F1556" s="57">
        <f ca="1">IFERROR(__xludf.DUMMYFUNCTION("""COMPUTED_VALUE"""),45988)</f>
        <v>45988</v>
      </c>
      <c r="G1556" s="57">
        <f ca="1">IFERROR(__xludf.DUMMYFUNCTION("""COMPUTED_VALUE"""),45943)</f>
        <v>45943</v>
      </c>
      <c r="H1556" s="33" t="str">
        <f ca="1">IFERROR(__xludf.DUMMYFUNCTION("""COMPUTED_VALUE"""),"Alicante")</f>
        <v>Alicante</v>
      </c>
      <c r="I1556" s="33" t="str">
        <f ca="1">IFERROR(__xludf.DUMMYFUNCTION("""COMPUTED_VALUE"""),"C202510137551555299")</f>
        <v>C202510137551555299</v>
      </c>
      <c r="J1556" s="33" t="str">
        <f ca="1">IFERROR(__xludf.DUMMYFUNCTION("""COMPUTED_VALUE"""),"ROSA DEL MAR NUÑEZ RODRIGUEZ")</f>
        <v>ROSA DEL MAR NUÑEZ RODRIGUEZ</v>
      </c>
      <c r="K1556" s="33">
        <f ca="1">IFERROR(__xludf.DUMMYFUNCTION("""COMPUTED_VALUE"""),2)</f>
        <v>2</v>
      </c>
      <c r="L1556" s="203">
        <f ca="1">IFERROR(__xludf.DUMMYFUNCTION("""COMPUTED_VALUE"""),3631.82)</f>
        <v>3631.82</v>
      </c>
      <c r="M1556" s="33" t="str">
        <f ca="1">IFERROR(__xludf.DUMMYFUNCTION("""COMPUTED_VALUE"""),"03 ORL")</f>
        <v>03 ORL</v>
      </c>
      <c r="N1556" s="33" t="str">
        <f ca="1">IFERROR(__xludf.DUMMYFUNCTION("""COMPUTED_VALUE"""),"06 ORL")</f>
        <v>06 ORL</v>
      </c>
      <c r="O1556" s="33" t="str">
        <f ca="1">IFERROR(__xludf.DUMMYFUNCTION("""COMPUTED_VALUE"""),"Dr, Francisco Javier Cerdán Baeza")</f>
        <v>Dr, Francisco Javier Cerdán Baeza</v>
      </c>
      <c r="P1556" s="33" t="str">
        <f ca="1">IFERROR(__xludf.DUMMYFUNCTION("""COMPUTED_VALUE"""),"Iván Sánchez (Levante Y Albacete)")</f>
        <v>Iván Sánchez (Levante Y Albacete)</v>
      </c>
    </row>
    <row r="1557" spans="2:16">
      <c r="B1557" s="33">
        <f ca="1">IFERROR(__xludf.DUMMYFUNCTION("""COMPUTED_VALUE"""),2025)</f>
        <v>2025</v>
      </c>
      <c r="C1557" s="33">
        <f ca="1">IFERROR(__xludf.DUMMYFUNCTION("""COMPUTED_VALUE"""),11)</f>
        <v>11</v>
      </c>
      <c r="D1557" s="33" t="str">
        <f ca="1">IFERROR(__xludf.DUMMYFUNCTION("""COMPUTED_VALUE"""),"NO")</f>
        <v>NO</v>
      </c>
      <c r="E1557" s="33" t="str">
        <f ca="1">IFERROR(__xludf.DUMMYFUNCTION("""COMPUTED_VALUE"""),"Valencia- Parra")</f>
        <v>Valencia- Parra</v>
      </c>
      <c r="F1557" s="57">
        <f ca="1">IFERROR(__xludf.DUMMYFUNCTION("""COMPUTED_VALUE"""),45988)</f>
        <v>45988</v>
      </c>
      <c r="G1557" s="57">
        <f ca="1">IFERROR(__xludf.DUMMYFUNCTION("""COMPUTED_VALUE"""),45943)</f>
        <v>45943</v>
      </c>
      <c r="H1557" s="33" t="str">
        <f ca="1">IFERROR(__xludf.DUMMYFUNCTION("""COMPUTED_VALUE"""),"Valencia- Parra")</f>
        <v>Valencia- Parra</v>
      </c>
      <c r="I1557" s="33" t="str">
        <f ca="1">IFERROR(__xludf.DUMMYFUNCTION("""COMPUTED_VALUE"""),"C202510139244288259")</f>
        <v>C202510139244288259</v>
      </c>
      <c r="J1557" s="33" t="str">
        <f ca="1">IFERROR(__xludf.DUMMYFUNCTION("""COMPUTED_VALUE"""),"AMPARO DIAZ GARRIDO")</f>
        <v>AMPARO DIAZ GARRIDO</v>
      </c>
      <c r="K1557" s="33">
        <f ca="1">IFERROR(__xludf.DUMMYFUNCTION("""COMPUTED_VALUE"""),2)</f>
        <v>2</v>
      </c>
      <c r="L1557" s="203">
        <f ca="1">IFERROR(__xludf.DUMMYFUNCTION("""COMPUTED_VALUE"""),4136.36)</f>
        <v>4136.3599999999997</v>
      </c>
      <c r="M1557" s="33" t="str">
        <f ca="1">IFERROR(__xludf.DUMMYFUNCTION("""COMPUTED_VALUE"""),"03 ORL")</f>
        <v>03 ORL</v>
      </c>
      <c r="N1557" s="33" t="str">
        <f ca="1">IFERROR(__xludf.DUMMYFUNCTION("""COMPUTED_VALUE"""),"06 ORL")</f>
        <v>06 ORL</v>
      </c>
      <c r="O1557" s="33" t="str">
        <f ca="1">IFERROR(__xludf.DUMMYFUNCTION("""COMPUTED_VALUE"""),"Dr, Álvaro Pérez Llinares")</f>
        <v>Dr, Álvaro Pérez Llinares</v>
      </c>
      <c r="P1557" s="33" t="str">
        <f ca="1">IFERROR(__xludf.DUMMYFUNCTION("""COMPUTED_VALUE"""),"Ramon Ferrando(Valencia)")</f>
        <v>Ramon Ferrando(Valencia)</v>
      </c>
    </row>
    <row r="1558" spans="2:16">
      <c r="B1558" s="33">
        <f ca="1">IFERROR(__xludf.DUMMYFUNCTION("""COMPUTED_VALUE"""),2025)</f>
        <v>2025</v>
      </c>
      <c r="C1558" s="33">
        <f ca="1">IFERROR(__xludf.DUMMYFUNCTION("""COMPUTED_VALUE"""),11)</f>
        <v>11</v>
      </c>
      <c r="D1558" s="33" t="str">
        <f ca="1">IFERROR(__xludf.DUMMYFUNCTION("""COMPUTED_VALUE"""),"NO")</f>
        <v>NO</v>
      </c>
      <c r="E1558" s="33" t="str">
        <f ca="1">IFERROR(__xludf.DUMMYFUNCTION("""COMPUTED_VALUE"""),"Murcia")</f>
        <v>Murcia</v>
      </c>
      <c r="F1558" s="57">
        <f ca="1">IFERROR(__xludf.DUMMYFUNCTION("""COMPUTED_VALUE"""),45988)</f>
        <v>45988</v>
      </c>
      <c r="G1558" s="57">
        <f ca="1">IFERROR(__xludf.DUMMYFUNCTION("""COMPUTED_VALUE"""),45951)</f>
        <v>45951</v>
      </c>
      <c r="H1558" s="33" t="str">
        <f ca="1">IFERROR(__xludf.DUMMYFUNCTION("""COMPUTED_VALUE"""),"Murcia")</f>
        <v>Murcia</v>
      </c>
      <c r="I1558" s="33" t="str">
        <f ca="1">IFERROR(__xludf.DUMMYFUNCTION("""COMPUTED_VALUE"""),"C202510211021449756")</f>
        <v>C202510211021449756</v>
      </c>
      <c r="J1558" s="33" t="str">
        <f ca="1">IFERROR(__xludf.DUMMYFUNCTION("""COMPUTED_VALUE"""),"JOSE NICOLAS SERRANO")</f>
        <v>JOSE NICOLAS SERRANO</v>
      </c>
      <c r="K1558" s="33">
        <f ca="1">IFERROR(__xludf.DUMMYFUNCTION("""COMPUTED_VALUE"""),1)</f>
        <v>1</v>
      </c>
      <c r="L1558" s="203">
        <f ca="1">IFERROR(__xludf.DUMMYFUNCTION("""COMPUTED_VALUE"""),2481.82)</f>
        <v>2481.8200000000002</v>
      </c>
      <c r="M1558" s="33" t="str">
        <f ca="1">IFERROR(__xludf.DUMMYFUNCTION("""COMPUTED_VALUE"""),"03 ORL")</f>
        <v>03 ORL</v>
      </c>
      <c r="N1558" s="33" t="str">
        <f ca="1">IFERROR(__xludf.DUMMYFUNCTION("""COMPUTED_VALUE"""),"06 ORL")</f>
        <v>06 ORL</v>
      </c>
      <c r="O1558" s="33" t="str">
        <f ca="1">IFERROR(__xludf.DUMMYFUNCTION("""COMPUTED_VALUE"""),"Dra, Laura Guillamon Vivancos")</f>
        <v>Dra, Laura Guillamon Vivancos</v>
      </c>
      <c r="P1558" s="33" t="str">
        <f ca="1">IFERROR(__xludf.DUMMYFUNCTION("""COMPUTED_VALUE"""),"Iván Sánchez (Levante Y Albacete)")</f>
        <v>Iván Sánchez (Levante Y Albacete)</v>
      </c>
    </row>
    <row r="1559" spans="2:16">
      <c r="B1559" s="33">
        <f ca="1">IFERROR(__xludf.DUMMYFUNCTION("""COMPUTED_VALUE"""),2025)</f>
        <v>2025</v>
      </c>
      <c r="C1559" s="33">
        <f ca="1">IFERROR(__xludf.DUMMYFUNCTION("""COMPUTED_VALUE"""),11)</f>
        <v>11</v>
      </c>
      <c r="D1559" s="33" t="str">
        <f ca="1">IFERROR(__xludf.DUMMYFUNCTION("""COMPUTED_VALUE"""),"SI")</f>
        <v>SI</v>
      </c>
      <c r="E1559" s="33" t="str">
        <f ca="1">IFERROR(__xludf.DUMMYFUNCTION("""COMPUTED_VALUE"""),"Leganés")</f>
        <v>Leganés</v>
      </c>
      <c r="F1559" s="57">
        <f ca="1">IFERROR(__xludf.DUMMYFUNCTION("""COMPUTED_VALUE"""),45988)</f>
        <v>45988</v>
      </c>
      <c r="G1559" s="57">
        <f ca="1">IFERROR(__xludf.DUMMYFUNCTION("""COMPUTED_VALUE"""),43683)</f>
        <v>43683</v>
      </c>
      <c r="H1559" s="33" t="str">
        <f ca="1">IFERROR(__xludf.DUMMYFUNCTION("""COMPUTED_VALUE"""),"Leganés")</f>
        <v>Leganés</v>
      </c>
      <c r="I1559" s="33" t="str">
        <f ca="1">IFERROR(__xludf.DUMMYFUNCTION("""COMPUTED_VALUE"""),"PQL-1102")</f>
        <v>PQL-1102</v>
      </c>
      <c r="J1559" s="33" t="str">
        <f ca="1">IFERROR(__xludf.DUMMYFUNCTION("""COMPUTED_VALUE"""),"JUAN FRANCISCO ALONSO PÉREZ")</f>
        <v>JUAN FRANCISCO ALONSO PÉREZ</v>
      </c>
      <c r="K1559" s="33">
        <f ca="1">IFERROR(__xludf.DUMMYFUNCTION("""COMPUTED_VALUE"""),1)</f>
        <v>1</v>
      </c>
      <c r="L1559" s="203">
        <f ca="1">IFERROR(__xludf.DUMMYFUNCTION("""COMPUTED_VALUE"""),2357.27)</f>
        <v>2357.27</v>
      </c>
      <c r="M1559" s="33" t="str">
        <f ca="1">IFERROR(__xludf.DUMMYFUNCTION("""COMPUTED_VALUE"""),"03 ORL")</f>
        <v>03 ORL</v>
      </c>
      <c r="N1559" s="33" t="str">
        <f ca="1">IFERROR(__xludf.DUMMYFUNCTION("""COMPUTED_VALUE"""),"06 ORL")</f>
        <v>06 ORL</v>
      </c>
      <c r="O1559" s="33" t="str">
        <f ca="1">IFERROR(__xludf.DUMMYFUNCTION("""COMPUTED_VALUE"""),"Dra, Mar Lasso de la Vega Zamora")</f>
        <v>Dra, Mar Lasso de la Vega Zamora</v>
      </c>
      <c r="P1559" s="33" t="str">
        <f ca="1">IFERROR(__xludf.DUMMYFUNCTION("""COMPUTED_VALUE"""),"Maika Blázquez (Madrid)")</f>
        <v>Maika Blázquez (Madrid)</v>
      </c>
    </row>
    <row r="1560" spans="2:16">
      <c r="B1560" s="33">
        <f ca="1">IFERROR(__xludf.DUMMYFUNCTION("""COMPUTED_VALUE"""),2025)</f>
        <v>2025</v>
      </c>
      <c r="C1560" s="33">
        <f ca="1">IFERROR(__xludf.DUMMYFUNCTION("""COMPUTED_VALUE"""),11)</f>
        <v>11</v>
      </c>
      <c r="D1560" s="33" t="str">
        <f ca="1">IFERROR(__xludf.DUMMYFUNCTION("""COMPUTED_VALUE"""),"NO")</f>
        <v>NO</v>
      </c>
      <c r="E1560" s="33" t="str">
        <f ca="1">IFERROR(__xludf.DUMMYFUNCTION("""COMPUTED_VALUE"""),"San Javier")</f>
        <v>San Javier</v>
      </c>
      <c r="F1560" s="57">
        <f ca="1">IFERROR(__xludf.DUMMYFUNCTION("""COMPUTED_VALUE"""),45988)</f>
        <v>45988</v>
      </c>
      <c r="G1560" s="57">
        <f ca="1">IFERROR(__xludf.DUMMYFUNCTION("""COMPUTED_VALUE"""),45959)</f>
        <v>45959</v>
      </c>
      <c r="H1560" s="33" t="str">
        <f ca="1">IFERROR(__xludf.DUMMYFUNCTION("""COMPUTED_VALUE"""),"San Javier")</f>
        <v>San Javier</v>
      </c>
      <c r="I1560" s="33" t="str">
        <f ca="1">IFERROR(__xludf.DUMMYFUNCTION("""COMPUTED_VALUE"""),"C202510291941602898")</f>
        <v>C202510291941602898</v>
      </c>
      <c r="J1560" s="33" t="str">
        <f ca="1">IFERROR(__xludf.DUMMYFUNCTION("""COMPUTED_VALUE"""),"ASBJORN SVERRE KROGTOFT")</f>
        <v>ASBJORN SVERRE KROGTOFT</v>
      </c>
      <c r="K1560" s="33">
        <f ca="1">IFERROR(__xludf.DUMMYFUNCTION("""COMPUTED_VALUE"""),2)</f>
        <v>2</v>
      </c>
      <c r="L1560" s="203">
        <f ca="1">IFERROR(__xludf.DUMMYFUNCTION("""COMPUTED_VALUE"""),4309.55)</f>
        <v>4309.55</v>
      </c>
      <c r="M1560" s="33" t="str">
        <f ca="1">IFERROR(__xludf.DUMMYFUNCTION("""COMPUTED_VALUE"""),"03 ORL")</f>
        <v>03 ORL</v>
      </c>
      <c r="N1560" s="33" t="str">
        <f ca="1">IFERROR(__xludf.DUMMYFUNCTION("""COMPUTED_VALUE"""),"06 ORL")</f>
        <v>06 ORL</v>
      </c>
      <c r="O1560" s="33" t="str">
        <f ca="1">IFERROR(__xludf.DUMMYFUNCTION("""COMPUTED_VALUE"""),"Dra, María Agustina Sevilla García")</f>
        <v>Dra, María Agustina Sevilla García</v>
      </c>
      <c r="P1560" s="33" t="str">
        <f ca="1">IFERROR(__xludf.DUMMYFUNCTION("""COMPUTED_VALUE"""),"Iván Sánchez (Levante Y Albacete)")</f>
        <v>Iván Sánchez (Levante Y Albacete)</v>
      </c>
    </row>
    <row r="1561" spans="2:16">
      <c r="B1561" s="33">
        <f ca="1">IFERROR(__xludf.DUMMYFUNCTION("""COMPUTED_VALUE"""),2025)</f>
        <v>2025</v>
      </c>
      <c r="C1561" s="33">
        <f ca="1">IFERROR(__xludf.DUMMYFUNCTION("""COMPUTED_VALUE"""),11)</f>
        <v>11</v>
      </c>
      <c r="D1561" s="33" t="str">
        <f ca="1">IFERROR(__xludf.DUMMYFUNCTION("""COMPUTED_VALUE"""),"NO")</f>
        <v>NO</v>
      </c>
      <c r="E1561" s="33" t="str">
        <f ca="1">IFERROR(__xludf.DUMMYFUNCTION("""COMPUTED_VALUE"""),"Jerez de la Frontera")</f>
        <v>Jerez de la Frontera</v>
      </c>
      <c r="F1561" s="57">
        <f ca="1">IFERROR(__xludf.DUMMYFUNCTION("""COMPUTED_VALUE"""),45988)</f>
        <v>45988</v>
      </c>
      <c r="G1561" s="57">
        <f ca="1">IFERROR(__xludf.DUMMYFUNCTION("""COMPUTED_VALUE"""),45973)</f>
        <v>45973</v>
      </c>
      <c r="H1561" s="33" t="str">
        <f ca="1">IFERROR(__xludf.DUMMYFUNCTION("""COMPUTED_VALUE"""),"Jerez")</f>
        <v>Jerez</v>
      </c>
      <c r="I1561" s="33" t="str">
        <f ca="1">IFERROR(__xludf.DUMMYFUNCTION("""COMPUTED_VALUE"""),"C202511121631512555")</f>
        <v>C202511121631512555</v>
      </c>
      <c r="J1561" s="33" t="str">
        <f ca="1">IFERROR(__xludf.DUMMYFUNCTION("""COMPUTED_VALUE"""),"RUTGERA VAN KRETSCHMAR VAN VEEN")</f>
        <v>RUTGERA VAN KRETSCHMAR VAN VEEN</v>
      </c>
      <c r="K1561" s="33">
        <f ca="1">IFERROR(__xludf.DUMMYFUNCTION("""COMPUTED_VALUE"""),2)</f>
        <v>2</v>
      </c>
      <c r="L1561" s="203">
        <f ca="1">IFERROR(__xludf.DUMMYFUNCTION("""COMPUTED_VALUE"""),4309.55)</f>
        <v>4309.55</v>
      </c>
      <c r="M1561" s="33" t="str">
        <f ca="1">IFERROR(__xludf.DUMMYFUNCTION("""COMPUTED_VALUE"""),"03 ORL")</f>
        <v>03 ORL</v>
      </c>
      <c r="N1561" s="33" t="str">
        <f ca="1">IFERROR(__xludf.DUMMYFUNCTION("""COMPUTED_VALUE"""),"06 ORL")</f>
        <v>06 ORL</v>
      </c>
      <c r="O1561" s="33" t="str">
        <f ca="1">IFERROR(__xludf.DUMMYFUNCTION("""COMPUTED_VALUE"""),"Dr, Manuel Tucciarone")</f>
        <v>Dr, Manuel Tucciarone</v>
      </c>
      <c r="P1561" s="33" t="str">
        <f ca="1">IFERROR(__xludf.DUMMYFUNCTION("""COMPUTED_VALUE"""),"Luis Alberto Rodríguez (Andalucía y Badajoz)")</f>
        <v>Luis Alberto Rodríguez (Andalucía y Badajoz)</v>
      </c>
    </row>
    <row r="1562" spans="2:16">
      <c r="B1562" s="33">
        <f ca="1">IFERROR(__xludf.DUMMYFUNCTION("""COMPUTED_VALUE"""),2025)</f>
        <v>2025</v>
      </c>
      <c r="C1562" s="33">
        <f ca="1">IFERROR(__xludf.DUMMYFUNCTION("""COMPUTED_VALUE"""),11)</f>
        <v>11</v>
      </c>
      <c r="D1562" s="33" t="str">
        <f ca="1">IFERROR(__xludf.DUMMYFUNCTION("""COMPUTED_VALUE"""),"NO")</f>
        <v>NO</v>
      </c>
      <c r="E1562" s="33" t="str">
        <f ca="1">IFERROR(__xludf.DUMMYFUNCTION("""COMPUTED_VALUE"""),"Orihuela")</f>
        <v>Orihuela</v>
      </c>
      <c r="F1562" s="57">
        <f ca="1">IFERROR(__xludf.DUMMYFUNCTION("""COMPUTED_VALUE"""),45988)</f>
        <v>45988</v>
      </c>
      <c r="G1562" s="57">
        <f ca="1">IFERROR(__xludf.DUMMYFUNCTION("""COMPUTED_VALUE"""),45968)</f>
        <v>45968</v>
      </c>
      <c r="H1562" s="33" t="str">
        <f ca="1">IFERROR(__xludf.DUMMYFUNCTION("""COMPUTED_VALUE"""),"La Zenia")</f>
        <v>La Zenia</v>
      </c>
      <c r="I1562" s="33" t="str">
        <f ca="1">IFERROR(__xludf.DUMMYFUNCTION("""COMPUTED_VALUE"""),"C202511713534908581")</f>
        <v>C202511713534908581</v>
      </c>
      <c r="J1562" s="33" t="str">
        <f ca="1">IFERROR(__xludf.DUMMYFUNCTION("""COMPUTED_VALUE"""),"JAMES WILLIAM NOEL SCOTT")</f>
        <v>JAMES WILLIAM NOEL SCOTT</v>
      </c>
      <c r="K1562" s="33">
        <f ca="1">IFERROR(__xludf.DUMMYFUNCTION("""COMPUTED_VALUE"""),2)</f>
        <v>2</v>
      </c>
      <c r="L1562" s="203">
        <f ca="1">IFERROR(__xludf.DUMMYFUNCTION("""COMPUTED_VALUE"""),3631.82)</f>
        <v>3631.82</v>
      </c>
      <c r="M1562" s="33" t="str">
        <f ca="1">IFERROR(__xludf.DUMMYFUNCTION("""COMPUTED_VALUE"""),"03 ORL")</f>
        <v>03 ORL</v>
      </c>
      <c r="N1562" s="33" t="str">
        <f ca="1">IFERROR(__xludf.DUMMYFUNCTION("""COMPUTED_VALUE"""),"06 ORL")</f>
        <v>06 ORL</v>
      </c>
      <c r="O1562" s="33" t="str">
        <f ca="1">IFERROR(__xludf.DUMMYFUNCTION("""COMPUTED_VALUE"""),"Dra, Aurora López Llames")</f>
        <v>Dra, Aurora López Llames</v>
      </c>
      <c r="P1562" s="33" t="str">
        <f ca="1">IFERROR(__xludf.DUMMYFUNCTION("""COMPUTED_VALUE"""),"Iván Sánchez (Levante Y Albacete)")</f>
        <v>Iván Sánchez (Levante Y Albacete)</v>
      </c>
    </row>
    <row r="1563" spans="2:16">
      <c r="B1563" s="33">
        <f ca="1">IFERROR(__xludf.DUMMYFUNCTION("""COMPUTED_VALUE"""),2025)</f>
        <v>2025</v>
      </c>
      <c r="C1563" s="33">
        <f ca="1">IFERROR(__xludf.DUMMYFUNCTION("""COMPUTED_VALUE"""),11)</f>
        <v>11</v>
      </c>
      <c r="D1563" s="33" t="str">
        <f ca="1">IFERROR(__xludf.DUMMYFUNCTION("""COMPUTED_VALUE"""),"NO")</f>
        <v>NO</v>
      </c>
      <c r="E1563" s="33" t="str">
        <f ca="1">IFERROR(__xludf.DUMMYFUNCTION("""COMPUTED_VALUE"""),"El Albir (Benidorm)")</f>
        <v>El Albir (Benidorm)</v>
      </c>
      <c r="F1563" s="57">
        <f ca="1">IFERROR(__xludf.DUMMYFUNCTION("""COMPUTED_VALUE"""),45988)</f>
        <v>45988</v>
      </c>
      <c r="G1563" s="57">
        <f ca="1">IFERROR(__xludf.DUMMYFUNCTION("""COMPUTED_VALUE"""),45960)</f>
        <v>45960</v>
      </c>
      <c r="H1563" s="33" t="str">
        <f ca="1">IFERROR(__xludf.DUMMYFUNCTION("""COMPUTED_VALUE"""),"El Albir (Benidorm)")</f>
        <v>El Albir (Benidorm)</v>
      </c>
      <c r="I1563" s="33" t="str">
        <f ca="1">IFERROR(__xludf.DUMMYFUNCTION("""COMPUTED_VALUE"""),"C202510301117255144")</f>
        <v>C202510301117255144</v>
      </c>
      <c r="J1563" s="33" t="str">
        <f ca="1">IFERROR(__xludf.DUMMYFUNCTION("""COMPUTED_VALUE"""),"MARIA ANGELES RIPOLL MONTALVO")</f>
        <v>MARIA ANGELES RIPOLL MONTALVO</v>
      </c>
      <c r="K1563" s="33">
        <f ca="1">IFERROR(__xludf.DUMMYFUNCTION("""COMPUTED_VALUE"""),2)</f>
        <v>2</v>
      </c>
      <c r="L1563" s="203">
        <f ca="1">IFERROR(__xludf.DUMMYFUNCTION("""COMPUTED_VALUE"""),3631.82)</f>
        <v>3631.82</v>
      </c>
      <c r="M1563" s="33" t="str">
        <f ca="1">IFERROR(__xludf.DUMMYFUNCTION("""COMPUTED_VALUE"""),"04 TIENDA")</f>
        <v>04 TIENDA</v>
      </c>
      <c r="N1563" s="33" t="str">
        <f ca="1">IFERROR(__xludf.DUMMYFUNCTION("""COMPUTED_VALUE"""),"07 BOCA/BOCA")</f>
        <v>07 BOCA/BOCA</v>
      </c>
      <c r="O1563" s="33" t="str">
        <f ca="1">IFERROR(__xludf.DUMMYFUNCTION("""COMPUTED_VALUE"""),"Dr, Atonio Burgos Sánchez")</f>
        <v>Dr, Atonio Burgos Sánchez</v>
      </c>
      <c r="P1563" s="33" t="str">
        <f ca="1">IFERROR(__xludf.DUMMYFUNCTION("""COMPUTED_VALUE"""),"Ramon Ferrando(Valencia)")</f>
        <v>Ramon Ferrando(Valencia)</v>
      </c>
    </row>
    <row r="1564" spans="2:16">
      <c r="B1564" s="33">
        <f ca="1">IFERROR(__xludf.DUMMYFUNCTION("""COMPUTED_VALUE"""),2025)</f>
        <v>2025</v>
      </c>
      <c r="C1564" s="33">
        <f ca="1">IFERROR(__xludf.DUMMYFUNCTION("""COMPUTED_VALUE"""),11)</f>
        <v>11</v>
      </c>
      <c r="D1564" s="33" t="str">
        <f ca="1">IFERROR(__xludf.DUMMYFUNCTION("""COMPUTED_VALUE"""),"NO")</f>
        <v>NO</v>
      </c>
      <c r="E1564" s="33" t="str">
        <f ca="1">IFERROR(__xludf.DUMMYFUNCTION("""COMPUTED_VALUE"""),"Vilanova")</f>
        <v>Vilanova</v>
      </c>
      <c r="F1564" s="57">
        <f ca="1">IFERROR(__xludf.DUMMYFUNCTION("""COMPUTED_VALUE"""),45988)</f>
        <v>45988</v>
      </c>
      <c r="G1564" s="57">
        <f ca="1">IFERROR(__xludf.DUMMYFUNCTION("""COMPUTED_VALUE"""),45933)</f>
        <v>45933</v>
      </c>
      <c r="H1564" s="33" t="str">
        <f ca="1">IFERROR(__xludf.DUMMYFUNCTION("""COMPUTED_VALUE"""),"Vilanova")</f>
        <v>Vilanova</v>
      </c>
      <c r="I1564" s="33" t="str">
        <f ca="1">IFERROR(__xludf.DUMMYFUNCTION("""COMPUTED_VALUE"""),"C20251010162115245")</f>
        <v>C20251010162115245</v>
      </c>
      <c r="J1564" s="33" t="str">
        <f ca="1">IFERROR(__xludf.DUMMYFUNCTION("""COMPUTED_VALUE"""),"MARIA ANTONIA CALERO JIMENEZ")</f>
        <v>MARIA ANTONIA CALERO JIMENEZ</v>
      </c>
      <c r="K1564" s="33">
        <f ca="1">IFERROR(__xludf.DUMMYFUNCTION("""COMPUTED_VALUE"""),2)</f>
        <v>2</v>
      </c>
      <c r="L1564" s="203">
        <f ca="1">IFERROR(__xludf.DUMMYFUNCTION("""COMPUTED_VALUE"""),2718.18)</f>
        <v>2718.18</v>
      </c>
      <c r="M1564" s="33" t="str">
        <f ca="1">IFERROR(__xludf.DUMMYFUNCTION("""COMPUTED_VALUE"""),"03 ORL")</f>
        <v>03 ORL</v>
      </c>
      <c r="N1564" s="33" t="str">
        <f ca="1">IFERROR(__xludf.DUMMYFUNCTION("""COMPUTED_VALUE"""),"06 ORL")</f>
        <v>06 ORL</v>
      </c>
      <c r="O1564" s="33" t="str">
        <f ca="1">IFERROR(__xludf.DUMMYFUNCTION("""COMPUTED_VALUE"""),"Dra, Dolores Romero Panadero")</f>
        <v>Dra, Dolores Romero Panadero</v>
      </c>
      <c r="P1564" s="33" t="str">
        <f ca="1">IFERROR(__xludf.DUMMYFUNCTION("""COMPUTED_VALUE"""),"Mercè Cabrera (Cataluña Y Baleares)")</f>
        <v>Mercè Cabrera (Cataluña Y Baleares)</v>
      </c>
    </row>
    <row r="1565" spans="2:16">
      <c r="B1565" s="33">
        <f ca="1">IFERROR(__xludf.DUMMYFUNCTION("""COMPUTED_VALUE"""),2025)</f>
        <v>2025</v>
      </c>
      <c r="C1565" s="33">
        <f ca="1">IFERROR(__xludf.DUMMYFUNCTION("""COMPUTED_VALUE"""),11)</f>
        <v>11</v>
      </c>
      <c r="D1565" s="33" t="str">
        <f ca="1">IFERROR(__xludf.DUMMYFUNCTION("""COMPUTED_VALUE"""),"NO")</f>
        <v>NO</v>
      </c>
      <c r="E1565" s="33" t="str">
        <f ca="1">IFERROR(__xludf.DUMMYFUNCTION("""COMPUTED_VALUE"""),"San Javier")</f>
        <v>San Javier</v>
      </c>
      <c r="F1565" s="57">
        <f ca="1">IFERROR(__xludf.DUMMYFUNCTION("""COMPUTED_VALUE"""),45988)</f>
        <v>45988</v>
      </c>
      <c r="G1565" s="57">
        <f ca="1">IFERROR(__xludf.DUMMYFUNCTION("""COMPUTED_VALUE"""),45950)</f>
        <v>45950</v>
      </c>
      <c r="H1565" s="33" t="str">
        <f ca="1">IFERROR(__xludf.DUMMYFUNCTION("""COMPUTED_VALUE"""),"San Javier")</f>
        <v>San Javier</v>
      </c>
      <c r="I1565" s="33" t="str">
        <f ca="1">IFERROR(__xludf.DUMMYFUNCTION("""COMPUTED_VALUE"""),"C202510201040595061")</f>
        <v>C202510201040595061</v>
      </c>
      <c r="J1565" s="33" t="str">
        <f ca="1">IFERROR(__xludf.DUMMYFUNCTION("""COMPUTED_VALUE"""),"CARMEN VILLAESCUSA JIMENEZ")</f>
        <v>CARMEN VILLAESCUSA JIMENEZ</v>
      </c>
      <c r="K1565" s="33">
        <f ca="1">IFERROR(__xludf.DUMMYFUNCTION("""COMPUTED_VALUE"""),2)</f>
        <v>2</v>
      </c>
      <c r="L1565" s="203">
        <f ca="1">IFERROR(__xludf.DUMMYFUNCTION("""COMPUTED_VALUE"""),3268.64)</f>
        <v>3268.64</v>
      </c>
      <c r="M1565" s="33" t="str">
        <f ca="1">IFERROR(__xludf.DUMMYFUNCTION("""COMPUTED_VALUE"""),"03 ORL")</f>
        <v>03 ORL</v>
      </c>
      <c r="N1565" s="33" t="str">
        <f ca="1">IFERROR(__xludf.DUMMYFUNCTION("""COMPUTED_VALUE"""),"06 ORL")</f>
        <v>06 ORL</v>
      </c>
      <c r="O1565" s="33" t="str">
        <f ca="1">IFERROR(__xludf.DUMMYFUNCTION("""COMPUTED_VALUE"""),"No recuerda ORL")</f>
        <v>No recuerda ORL</v>
      </c>
      <c r="P1565" s="33" t="str">
        <f ca="1">IFERROR(__xludf.DUMMYFUNCTION("""COMPUTED_VALUE"""),"Iván Sánchez (Levante Y Albacete)")</f>
        <v>Iván Sánchez (Levante Y Albacete)</v>
      </c>
    </row>
    <row r="1566" spans="2:16">
      <c r="B1566" s="33">
        <f ca="1">IFERROR(__xludf.DUMMYFUNCTION("""COMPUTED_VALUE"""),2025)</f>
        <v>2025</v>
      </c>
      <c r="C1566" s="33">
        <f ca="1">IFERROR(__xludf.DUMMYFUNCTION("""COMPUTED_VALUE"""),11)</f>
        <v>11</v>
      </c>
      <c r="D1566" s="33" t="str">
        <f ca="1">IFERROR(__xludf.DUMMYFUNCTION("""COMPUTED_VALUE"""),"NO")</f>
        <v>NO</v>
      </c>
      <c r="E1566" s="33" t="str">
        <f ca="1">IFERROR(__xludf.DUMMYFUNCTION("""COMPUTED_VALUE"""),"Albacete")</f>
        <v>Albacete</v>
      </c>
      <c r="F1566" s="57">
        <f ca="1">IFERROR(__xludf.DUMMYFUNCTION("""COMPUTED_VALUE"""),45988)</f>
        <v>45988</v>
      </c>
      <c r="G1566" s="57">
        <f ca="1">IFERROR(__xludf.DUMMYFUNCTION("""COMPUTED_VALUE"""),45971)</f>
        <v>45971</v>
      </c>
      <c r="H1566" s="33" t="str">
        <f ca="1">IFERROR(__xludf.DUMMYFUNCTION("""COMPUTED_VALUE"""),"Albacete")</f>
        <v>Albacete</v>
      </c>
      <c r="I1566" s="33" t="str">
        <f ca="1">IFERROR(__xludf.DUMMYFUNCTION("""COMPUTED_VALUE"""),"C202511109493561732")</f>
        <v>C202511109493561732</v>
      </c>
      <c r="J1566" s="33" t="str">
        <f ca="1">IFERROR(__xludf.DUMMYFUNCTION("""COMPUTED_VALUE"""),"MARIA CARMEN RABADAN PARDO")</f>
        <v>MARIA CARMEN RABADAN PARDO</v>
      </c>
      <c r="K1566" s="33">
        <f ca="1">IFERROR(__xludf.DUMMYFUNCTION("""COMPUTED_VALUE"""),2)</f>
        <v>2</v>
      </c>
      <c r="L1566" s="203">
        <f ca="1">IFERROR(__xludf.DUMMYFUNCTION("""COMPUTED_VALUE"""),4136.36)</f>
        <v>4136.3599999999997</v>
      </c>
      <c r="M1566" s="33" t="str">
        <f ca="1">IFERROR(__xludf.DUMMYFUNCTION("""COMPUTED_VALUE"""),"03 ORL")</f>
        <v>03 ORL</v>
      </c>
      <c r="N1566" s="33" t="str">
        <f ca="1">IFERROR(__xludf.DUMMYFUNCTION("""COMPUTED_VALUE"""),"06 ORL")</f>
        <v>06 ORL</v>
      </c>
      <c r="O1566" s="33" t="str">
        <f ca="1">IFERROR(__xludf.DUMMYFUNCTION("""COMPUTED_VALUE"""),"Dr, Javier García-Dueñas González")</f>
        <v>Dr, Javier García-Dueñas González</v>
      </c>
      <c r="P1566" s="33" t="str">
        <f ca="1">IFERROR(__xludf.DUMMYFUNCTION("""COMPUTED_VALUE"""),"Iván Sánchez (Levante Y Albacete)")</f>
        <v>Iván Sánchez (Levante Y Albacete)</v>
      </c>
    </row>
    <row r="1567" spans="2:16">
      <c r="B1567" s="33">
        <f ca="1">IFERROR(__xludf.DUMMYFUNCTION("""COMPUTED_VALUE"""),2025)</f>
        <v>2025</v>
      </c>
      <c r="C1567" s="33">
        <f ca="1">IFERROR(__xludf.DUMMYFUNCTION("""COMPUTED_VALUE"""),11)</f>
        <v>11</v>
      </c>
      <c r="D1567" s="33" t="str">
        <f ca="1">IFERROR(__xludf.DUMMYFUNCTION("""COMPUTED_VALUE"""),"NO")</f>
        <v>NO</v>
      </c>
      <c r="E1567" s="33" t="str">
        <f ca="1">IFERROR(__xludf.DUMMYFUNCTION("""COMPUTED_VALUE"""),"Sevilla- Montoto")</f>
        <v>Sevilla- Montoto</v>
      </c>
      <c r="F1567" s="57">
        <f ca="1">IFERROR(__xludf.DUMMYFUNCTION("""COMPUTED_VALUE"""),45988)</f>
        <v>45988</v>
      </c>
      <c r="G1567" s="57">
        <f ca="1">IFERROR(__xludf.DUMMYFUNCTION("""COMPUTED_VALUE"""),45967)</f>
        <v>45967</v>
      </c>
      <c r="H1567" s="33" t="str">
        <f ca="1">IFERROR(__xludf.DUMMYFUNCTION("""COMPUTED_VALUE"""),"Montoto")</f>
        <v>Montoto</v>
      </c>
      <c r="I1567" s="33" t="str">
        <f ca="1">IFERROR(__xludf.DUMMYFUNCTION("""COMPUTED_VALUE"""),"C202511612131520872")</f>
        <v>C202511612131520872</v>
      </c>
      <c r="J1567" s="33" t="str">
        <f ca="1">IFERROR(__xludf.DUMMYFUNCTION("""COMPUTED_VALUE"""),"JUAN IGLESIAS SALAS")</f>
        <v>JUAN IGLESIAS SALAS</v>
      </c>
      <c r="K1567" s="33">
        <f ca="1">IFERROR(__xludf.DUMMYFUNCTION("""COMPUTED_VALUE"""),1)</f>
        <v>1</v>
      </c>
      <c r="L1567" s="203">
        <f ca="1">IFERROR(__xludf.DUMMYFUNCTION("""COMPUTED_VALUE"""),1631.82)</f>
        <v>1631.82</v>
      </c>
      <c r="M1567" s="33" t="str">
        <f ca="1">IFERROR(__xludf.DUMMYFUNCTION("""COMPUTED_VALUE"""),"03 ORL")</f>
        <v>03 ORL</v>
      </c>
      <c r="N1567" s="33" t="str">
        <f ca="1">IFERROR(__xludf.DUMMYFUNCTION("""COMPUTED_VALUE"""),"06 ORL")</f>
        <v>06 ORL</v>
      </c>
      <c r="O1567" s="33" t="str">
        <f ca="1">IFERROR(__xludf.DUMMYFUNCTION("""COMPUTED_VALUE"""),"Dr, Jesús Crovato Rojas")</f>
        <v>Dr, Jesús Crovato Rojas</v>
      </c>
      <c r="P1567" s="33" t="str">
        <f ca="1">IFERROR(__xludf.DUMMYFUNCTION("""COMPUTED_VALUE"""),"Luis Alberto Rodríguez (Andalucía y Badajoz)")</f>
        <v>Luis Alberto Rodríguez (Andalucía y Badajoz)</v>
      </c>
    </row>
    <row r="1568" spans="2:16">
      <c r="B1568" s="33">
        <f ca="1">IFERROR(__xludf.DUMMYFUNCTION("""COMPUTED_VALUE"""),2025)</f>
        <v>2025</v>
      </c>
      <c r="C1568" s="33">
        <f ca="1">IFERROR(__xludf.DUMMYFUNCTION("""COMPUTED_VALUE"""),11)</f>
        <v>11</v>
      </c>
      <c r="D1568" s="33" t="str">
        <f ca="1">IFERROR(__xludf.DUMMYFUNCTION("""COMPUTED_VALUE"""),"NO")</f>
        <v>NO</v>
      </c>
      <c r="E1568" s="33" t="str">
        <f ca="1">IFERROR(__xludf.DUMMYFUNCTION("""COMPUTED_VALUE"""),"Valencia- Cádiz")</f>
        <v>Valencia- Cádiz</v>
      </c>
      <c r="F1568" s="57">
        <f ca="1">IFERROR(__xludf.DUMMYFUNCTION("""COMPUTED_VALUE"""),45988)</f>
        <v>45988</v>
      </c>
      <c r="G1568" s="57">
        <f ca="1">IFERROR(__xludf.DUMMYFUNCTION("""COMPUTED_VALUE"""),45958)</f>
        <v>45958</v>
      </c>
      <c r="H1568" s="33" t="str">
        <f ca="1">IFERROR(__xludf.DUMMYFUNCTION("""COMPUTED_VALUE"""),"Valencia- Cádiz")</f>
        <v>Valencia- Cádiz</v>
      </c>
      <c r="I1568" s="33" t="str">
        <f ca="1">IFERROR(__xludf.DUMMYFUNCTION("""COMPUTED_VALUE"""),"C202510281043398642")</f>
        <v>C202510281043398642</v>
      </c>
      <c r="J1568" s="33" t="str">
        <f ca="1">IFERROR(__xludf.DUMMYFUNCTION("""COMPUTED_VALUE"""),"CARMELO PEREZ HERNANDEZ")</f>
        <v>CARMELO PEREZ HERNANDEZ</v>
      </c>
      <c r="K1568" s="33">
        <f ca="1">IFERROR(__xludf.DUMMYFUNCTION("""COMPUTED_VALUE"""),2)</f>
        <v>2</v>
      </c>
      <c r="L1568" s="203">
        <f ca="1">IFERROR(__xludf.DUMMYFUNCTION("""COMPUTED_VALUE"""),3631.82)</f>
        <v>3631.82</v>
      </c>
      <c r="M1568" s="33" t="str">
        <f ca="1">IFERROR(__xludf.DUMMYFUNCTION("""COMPUTED_VALUE"""),"03 ORL")</f>
        <v>03 ORL</v>
      </c>
      <c r="N1568" s="33" t="str">
        <f ca="1">IFERROR(__xludf.DUMMYFUNCTION("""COMPUTED_VALUE"""),"06 ORL")</f>
        <v>06 ORL</v>
      </c>
      <c r="O1568" s="33" t="str">
        <f ca="1">IFERROR(__xludf.DUMMYFUNCTION("""COMPUTED_VALUE"""),"Dr, Abel Guzmán Calvete")</f>
        <v>Dr, Abel Guzmán Calvete</v>
      </c>
      <c r="P1568" s="33" t="str">
        <f ca="1">IFERROR(__xludf.DUMMYFUNCTION("""COMPUTED_VALUE"""),"Ramon Ferrando(Valencia)")</f>
        <v>Ramon Ferrando(Valencia)</v>
      </c>
    </row>
    <row r="1569" spans="2:16">
      <c r="B1569" s="33">
        <f ca="1">IFERROR(__xludf.DUMMYFUNCTION("""COMPUTED_VALUE"""),2025)</f>
        <v>2025</v>
      </c>
      <c r="C1569" s="33">
        <f ca="1">IFERROR(__xludf.DUMMYFUNCTION("""COMPUTED_VALUE"""),11)</f>
        <v>11</v>
      </c>
      <c r="D1569" s="33" t="str">
        <f ca="1">IFERROR(__xludf.DUMMYFUNCTION("""COMPUTED_VALUE"""),"NO")</f>
        <v>NO</v>
      </c>
      <c r="E1569" s="33" t="str">
        <f ca="1">IFERROR(__xludf.DUMMYFUNCTION("""COMPUTED_VALUE"""),"Barcelona- Fabra i Puig")</f>
        <v>Barcelona- Fabra i Puig</v>
      </c>
      <c r="F1569" s="57">
        <f ca="1">IFERROR(__xludf.DUMMYFUNCTION("""COMPUTED_VALUE"""),45988)</f>
        <v>45988</v>
      </c>
      <c r="G1569" s="57">
        <f ca="1">IFERROR(__xludf.DUMMYFUNCTION("""COMPUTED_VALUE"""),45937)</f>
        <v>45937</v>
      </c>
      <c r="H1569" s="33" t="str">
        <f ca="1">IFERROR(__xludf.DUMMYFUNCTION("""COMPUTED_VALUE"""),"Fabra")</f>
        <v>Fabra</v>
      </c>
      <c r="I1569" s="33" t="str">
        <f ca="1">IFERROR(__xludf.DUMMYFUNCTION("""COMPUTED_VALUE"""),"C2025101015021970")</f>
        <v>C2025101015021970</v>
      </c>
      <c r="J1569" s="33" t="str">
        <f ca="1">IFERROR(__xludf.DUMMYFUNCTION("""COMPUTED_VALUE"""),"NEUS GARRIDO MARTINEZ")</f>
        <v>NEUS GARRIDO MARTINEZ</v>
      </c>
      <c r="K1569" s="33">
        <f ca="1">IFERROR(__xludf.DUMMYFUNCTION("""COMPUTED_VALUE"""),2)</f>
        <v>2</v>
      </c>
      <c r="L1569" s="203">
        <f ca="1">IFERROR(__xludf.DUMMYFUNCTION("""COMPUTED_VALUE"""),2718.19)</f>
        <v>2718.19</v>
      </c>
      <c r="M1569" s="33" t="str">
        <f ca="1">IFERROR(__xludf.DUMMYFUNCTION("""COMPUTED_VALUE"""),"03 ORL")</f>
        <v>03 ORL</v>
      </c>
      <c r="N1569" s="33" t="str">
        <f ca="1">IFERROR(__xludf.DUMMYFUNCTION("""COMPUTED_VALUE"""),"06 ORL")</f>
        <v>06 ORL</v>
      </c>
      <c r="O1569" s="33" t="str">
        <f ca="1">IFERROR(__xludf.DUMMYFUNCTION("""COMPUTED_VALUE"""),"Dr, Pablo Vergés Fort")</f>
        <v>Dr, Pablo Vergés Fort</v>
      </c>
      <c r="P1569" s="33" t="str">
        <f ca="1">IFERROR(__xludf.DUMMYFUNCTION("""COMPUTED_VALUE"""),"Mercè Cabrera (Cataluña Y Baleares)")</f>
        <v>Mercè Cabrera (Cataluña Y Baleares)</v>
      </c>
    </row>
    <row r="1570" spans="2:16">
      <c r="B1570" s="33">
        <f ca="1">IFERROR(__xludf.DUMMYFUNCTION("""COMPUTED_VALUE"""),2025)</f>
        <v>2025</v>
      </c>
      <c r="C1570" s="33">
        <f ca="1">IFERROR(__xludf.DUMMYFUNCTION("""COMPUTED_VALUE"""),11)</f>
        <v>11</v>
      </c>
      <c r="D1570" s="33" t="str">
        <f ca="1">IFERROR(__xludf.DUMMYFUNCTION("""COMPUTED_VALUE"""),"NO")</f>
        <v>NO</v>
      </c>
      <c r="E1570" s="33" t="str">
        <f ca="1">IFERROR(__xludf.DUMMYFUNCTION("""COMPUTED_VALUE"""),"Madrid- Monforte de Lemos")</f>
        <v>Madrid- Monforte de Lemos</v>
      </c>
      <c r="F1570" s="57">
        <f ca="1">IFERROR(__xludf.DUMMYFUNCTION("""COMPUTED_VALUE"""),45988)</f>
        <v>45988</v>
      </c>
      <c r="G1570" s="57">
        <f ca="1">IFERROR(__xludf.DUMMYFUNCTION("""COMPUTED_VALUE"""),45926)</f>
        <v>45926</v>
      </c>
      <c r="H1570" s="33" t="str">
        <f ca="1">IFERROR(__xludf.DUMMYFUNCTION("""COMPUTED_VALUE"""),"La Vaguada")</f>
        <v>La Vaguada</v>
      </c>
      <c r="I1570" s="33" t="str">
        <f ca="1">IFERROR(__xludf.DUMMYFUNCTION("""COMPUTED_VALUE"""),"C2025108122025262")</f>
        <v>C2025108122025262</v>
      </c>
      <c r="J1570" s="33" t="str">
        <f ca="1">IFERROR(__xludf.DUMMYFUNCTION("""COMPUTED_VALUE"""),"MANUEL DE CABO PASCUAL")</f>
        <v>MANUEL DE CABO PASCUAL</v>
      </c>
      <c r="K1570" s="33">
        <f ca="1">IFERROR(__xludf.DUMMYFUNCTION("""COMPUTED_VALUE"""),2)</f>
        <v>2</v>
      </c>
      <c r="L1570" s="203">
        <f ca="1">IFERROR(__xludf.DUMMYFUNCTION("""COMPUTED_VALUE"""),3631.82)</f>
        <v>3631.82</v>
      </c>
      <c r="M1570" s="33" t="str">
        <f ca="1">IFERROR(__xludf.DUMMYFUNCTION("""COMPUTED_VALUE"""),"03 ORL")</f>
        <v>03 ORL</v>
      </c>
      <c r="N1570" s="33" t="str">
        <f ca="1">IFERROR(__xludf.DUMMYFUNCTION("""COMPUTED_VALUE"""),"06 ORL")</f>
        <v>06 ORL</v>
      </c>
      <c r="O1570" s="33" t="str">
        <f ca="1">IFERROR(__xludf.DUMMYFUNCTION("""COMPUTED_VALUE"""),"Dr, Manuel González Juliao")</f>
        <v>Dr, Manuel González Juliao</v>
      </c>
      <c r="P1570" s="33" t="str">
        <f ca="1">IFERROR(__xludf.DUMMYFUNCTION("""COMPUTED_VALUE"""),"Maika Blázquez (Madrid)")</f>
        <v>Maika Blázquez (Madrid)</v>
      </c>
    </row>
    <row r="1571" spans="2:16">
      <c r="B1571" s="33">
        <f ca="1">IFERROR(__xludf.DUMMYFUNCTION("""COMPUTED_VALUE"""),2025)</f>
        <v>2025</v>
      </c>
      <c r="C1571" s="33">
        <f ca="1">IFERROR(__xludf.DUMMYFUNCTION("""COMPUTED_VALUE"""),11)</f>
        <v>11</v>
      </c>
      <c r="D1571" s="33" t="str">
        <f ca="1">IFERROR(__xludf.DUMMYFUNCTION("""COMPUTED_VALUE"""),"NO")</f>
        <v>NO</v>
      </c>
      <c r="E1571" s="33" t="str">
        <f ca="1">IFERROR(__xludf.DUMMYFUNCTION("""COMPUTED_VALUE"""),"Torrejón de Ardoz")</f>
        <v>Torrejón de Ardoz</v>
      </c>
      <c r="F1571" s="57">
        <f ca="1">IFERROR(__xludf.DUMMYFUNCTION("""COMPUTED_VALUE"""),45989)</f>
        <v>45989</v>
      </c>
      <c r="G1571" s="57">
        <f ca="1">IFERROR(__xludf.DUMMYFUNCTION("""COMPUTED_VALUE"""),45951)</f>
        <v>45951</v>
      </c>
      <c r="H1571" s="33" t="str">
        <f ca="1">IFERROR(__xludf.DUMMYFUNCTION("""COMPUTED_VALUE"""),"Torrejón")</f>
        <v>Torrejón</v>
      </c>
      <c r="I1571" s="33" t="str">
        <f ca="1">IFERROR(__xludf.DUMMYFUNCTION("""COMPUTED_VALUE"""),"C202510211157545912")</f>
        <v>C202510211157545912</v>
      </c>
      <c r="J1571" s="33" t="str">
        <f ca="1">IFERROR(__xludf.DUMMYFUNCTION("""COMPUTED_VALUE"""),"JOSE MANUEL IBAÑEZ FERRER")</f>
        <v>JOSE MANUEL IBAÑEZ FERRER</v>
      </c>
      <c r="K1571" s="33">
        <f ca="1">IFERROR(__xludf.DUMMYFUNCTION("""COMPUTED_VALUE"""),2)</f>
        <v>2</v>
      </c>
      <c r="L1571" s="203">
        <f ca="1">IFERROR(__xludf.DUMMYFUNCTION("""COMPUTED_VALUE"""),3631.82)</f>
        <v>3631.82</v>
      </c>
      <c r="M1571" s="33" t="str">
        <f ca="1">IFERROR(__xludf.DUMMYFUNCTION("""COMPUTED_VALUE"""),"03 ORL")</f>
        <v>03 ORL</v>
      </c>
      <c r="N1571" s="33" t="str">
        <f ca="1">IFERROR(__xludf.DUMMYFUNCTION("""COMPUTED_VALUE"""),"06 ORL")</f>
        <v>06 ORL</v>
      </c>
      <c r="O1571" s="33" t="str">
        <f ca="1">IFERROR(__xludf.DUMMYFUNCTION("""COMPUTED_VALUE"""),"Dra, Marta Abad Pascual")</f>
        <v>Dra, Marta Abad Pascual</v>
      </c>
      <c r="P1571" s="33" t="str">
        <f ca="1">IFERROR(__xludf.DUMMYFUNCTION("""COMPUTED_VALUE"""),"Maika Blázquez (Madrid)")</f>
        <v>Maika Blázquez (Madrid)</v>
      </c>
    </row>
    <row r="1572" spans="2:16">
      <c r="B1572" s="33">
        <f ca="1">IFERROR(__xludf.DUMMYFUNCTION("""COMPUTED_VALUE"""),2025)</f>
        <v>2025</v>
      </c>
      <c r="C1572" s="33">
        <f ca="1">IFERROR(__xludf.DUMMYFUNCTION("""COMPUTED_VALUE"""),11)</f>
        <v>11</v>
      </c>
      <c r="D1572" s="33" t="str">
        <f ca="1">IFERROR(__xludf.DUMMYFUNCTION("""COMPUTED_VALUE"""),"NO")</f>
        <v>NO</v>
      </c>
      <c r="E1572" s="33" t="str">
        <f ca="1">IFERROR(__xludf.DUMMYFUNCTION("""COMPUTED_VALUE"""),"Orihuela")</f>
        <v>Orihuela</v>
      </c>
      <c r="F1572" s="57">
        <f ca="1">IFERROR(__xludf.DUMMYFUNCTION("""COMPUTED_VALUE"""),45989)</f>
        <v>45989</v>
      </c>
      <c r="G1572" s="57">
        <f ca="1">IFERROR(__xludf.DUMMYFUNCTION("""COMPUTED_VALUE"""),45933)</f>
        <v>45933</v>
      </c>
      <c r="H1572" s="33" t="str">
        <f ca="1">IFERROR(__xludf.DUMMYFUNCTION("""COMPUTED_VALUE"""),"La Zenia")</f>
        <v>La Zenia</v>
      </c>
      <c r="I1572" s="33" t="str">
        <f ca="1">IFERROR(__xludf.DUMMYFUNCTION("""COMPUTED_VALUE"""),"C20251016181036612")</f>
        <v>C20251016181036612</v>
      </c>
      <c r="J1572" s="33" t="str">
        <f ca="1">IFERROR(__xludf.DUMMYFUNCTION("""COMPUTED_VALUE"""),"MARIA ESMERALDA GARCIA MARTINEZ")</f>
        <v>MARIA ESMERALDA GARCIA MARTINEZ</v>
      </c>
      <c r="K1572" s="33">
        <f ca="1">IFERROR(__xludf.DUMMYFUNCTION("""COMPUTED_VALUE"""),2)</f>
        <v>2</v>
      </c>
      <c r="L1572" s="203">
        <f ca="1">IFERROR(__xludf.DUMMYFUNCTION("""COMPUTED_VALUE"""),4136.36)</f>
        <v>4136.3599999999997</v>
      </c>
      <c r="M1572" s="33" t="str">
        <f ca="1">IFERROR(__xludf.DUMMYFUNCTION("""COMPUTED_VALUE"""),"03 ORL")</f>
        <v>03 ORL</v>
      </c>
      <c r="N1572" s="33" t="str">
        <f ca="1">IFERROR(__xludf.DUMMYFUNCTION("""COMPUTED_VALUE"""),"06 ORL")</f>
        <v>06 ORL</v>
      </c>
      <c r="O1572" s="33" t="str">
        <f ca="1">IFERROR(__xludf.DUMMYFUNCTION("""COMPUTED_VALUE"""),"Dr, Carlos Velásquez Fermín")</f>
        <v>Dr, Carlos Velásquez Fermín</v>
      </c>
      <c r="P1572" s="33" t="str">
        <f ca="1">IFERROR(__xludf.DUMMYFUNCTION("""COMPUTED_VALUE"""),"Iván Sánchez (Levante Y Albacete)")</f>
        <v>Iván Sánchez (Levante Y Albacete)</v>
      </c>
    </row>
    <row r="1573" spans="2:16">
      <c r="B1573" s="33">
        <f ca="1">IFERROR(__xludf.DUMMYFUNCTION("""COMPUTED_VALUE"""),2025)</f>
        <v>2025</v>
      </c>
      <c r="C1573" s="33">
        <f ca="1">IFERROR(__xludf.DUMMYFUNCTION("""COMPUTED_VALUE"""),11)</f>
        <v>11</v>
      </c>
      <c r="D1573" s="33" t="str">
        <f ca="1">IFERROR(__xludf.DUMMYFUNCTION("""COMPUTED_VALUE"""),"NO")</f>
        <v>NO</v>
      </c>
      <c r="E1573" s="33" t="str">
        <f ca="1">IFERROR(__xludf.DUMMYFUNCTION("""COMPUTED_VALUE"""),"Madrid- Galileo")</f>
        <v>Madrid- Galileo</v>
      </c>
      <c r="F1573" s="57">
        <f ca="1">IFERROR(__xludf.DUMMYFUNCTION("""COMPUTED_VALUE"""),45989)</f>
        <v>45989</v>
      </c>
      <c r="G1573" s="57">
        <f ca="1">IFERROR(__xludf.DUMMYFUNCTION("""COMPUTED_VALUE"""),45937)</f>
        <v>45937</v>
      </c>
      <c r="H1573" s="33" t="str">
        <f ca="1">IFERROR(__xludf.DUMMYFUNCTION("""COMPUTED_VALUE"""),"Moncloa")</f>
        <v>Moncloa</v>
      </c>
      <c r="I1573" s="33" t="str">
        <f ca="1">IFERROR(__xludf.DUMMYFUNCTION("""COMPUTED_VALUE"""),"C20251016163113121")</f>
        <v>C20251016163113121</v>
      </c>
      <c r="J1573" s="33" t="str">
        <f ca="1">IFERROR(__xludf.DUMMYFUNCTION("""COMPUTED_VALUE"""),"BLANCA LAGE RUIZ")</f>
        <v>BLANCA LAGE RUIZ</v>
      </c>
      <c r="K1573" s="33">
        <f ca="1">IFERROR(__xludf.DUMMYFUNCTION("""COMPUTED_VALUE"""),1)</f>
        <v>1</v>
      </c>
      <c r="L1573" s="203">
        <f ca="1">IFERROR(__xludf.DUMMYFUNCTION("""COMPUTED_VALUE"""),2271.82)</f>
        <v>2271.8200000000002</v>
      </c>
      <c r="M1573" s="33" t="str">
        <f ca="1">IFERROR(__xludf.DUMMYFUNCTION("""COMPUTED_VALUE"""),"03 ORL")</f>
        <v>03 ORL</v>
      </c>
      <c r="N1573" s="33" t="str">
        <f ca="1">IFERROR(__xludf.DUMMYFUNCTION("""COMPUTED_VALUE"""),"06 ORL")</f>
        <v>06 ORL</v>
      </c>
      <c r="O1573" s="33" t="str">
        <f ca="1">IFERROR(__xludf.DUMMYFUNCTION("""COMPUTED_VALUE"""),"Dra, Sara Tanboura López")</f>
        <v>Dra, Sara Tanboura López</v>
      </c>
      <c r="P1573" s="33" t="str">
        <f ca="1">IFERROR(__xludf.DUMMYFUNCTION("""COMPUTED_VALUE"""),"Maika Blázquez (Madrid)")</f>
        <v>Maika Blázquez (Madrid)</v>
      </c>
    </row>
    <row r="1574" spans="2:16">
      <c r="B1574" s="33">
        <f ca="1">IFERROR(__xludf.DUMMYFUNCTION("""COMPUTED_VALUE"""),2025)</f>
        <v>2025</v>
      </c>
      <c r="C1574" s="33">
        <f ca="1">IFERROR(__xludf.DUMMYFUNCTION("""COMPUTED_VALUE"""),11)</f>
        <v>11</v>
      </c>
      <c r="D1574" s="33" t="str">
        <f ca="1">IFERROR(__xludf.DUMMYFUNCTION("""COMPUTED_VALUE"""),"NO")</f>
        <v>NO</v>
      </c>
      <c r="E1574" s="33" t="str">
        <f ca="1">IFERROR(__xludf.DUMMYFUNCTION("""COMPUTED_VALUE"""),"San Javier")</f>
        <v>San Javier</v>
      </c>
      <c r="F1574" s="57">
        <f ca="1">IFERROR(__xludf.DUMMYFUNCTION("""COMPUTED_VALUE"""),45989)</f>
        <v>45989</v>
      </c>
      <c r="G1574" s="57">
        <f ca="1">IFERROR(__xludf.DUMMYFUNCTION("""COMPUTED_VALUE"""),45957)</f>
        <v>45957</v>
      </c>
      <c r="H1574" s="33" t="str">
        <f ca="1">IFERROR(__xludf.DUMMYFUNCTION("""COMPUTED_VALUE"""),"San Javier")</f>
        <v>San Javier</v>
      </c>
      <c r="I1574" s="33" t="str">
        <f ca="1">IFERROR(__xludf.DUMMYFUNCTION("""COMPUTED_VALUE"""),"C202510271034807187")</f>
        <v>C202510271034807187</v>
      </c>
      <c r="J1574" s="33" t="str">
        <f ca="1">IFERROR(__xludf.DUMMYFUNCTION("""COMPUTED_VALUE"""),"SEGUNDO FRANCISCO CLEMENTE LONZANO")</f>
        <v>SEGUNDO FRANCISCO CLEMENTE LONZANO</v>
      </c>
      <c r="K1574" s="33">
        <f ca="1">IFERROR(__xludf.DUMMYFUNCTION("""COMPUTED_VALUE"""),2)</f>
        <v>2</v>
      </c>
      <c r="L1574" s="203">
        <f ca="1">IFERROR(__xludf.DUMMYFUNCTION("""COMPUTED_VALUE"""),4536.36)</f>
        <v>4536.3599999999997</v>
      </c>
      <c r="M1574" s="33" t="str">
        <f ca="1">IFERROR(__xludf.DUMMYFUNCTION("""COMPUTED_VALUE"""),"03 ORL")</f>
        <v>03 ORL</v>
      </c>
      <c r="N1574" s="33" t="str">
        <f ca="1">IFERROR(__xludf.DUMMYFUNCTION("""COMPUTED_VALUE"""),"06 ORL")</f>
        <v>06 ORL</v>
      </c>
      <c r="O1574" s="33" t="str">
        <f ca="1">IFERROR(__xludf.DUMMYFUNCTION("""COMPUTED_VALUE"""),"Dra, María Agustina Sevilla García")</f>
        <v>Dra, María Agustina Sevilla García</v>
      </c>
      <c r="P1574" s="33" t="str">
        <f ca="1">IFERROR(__xludf.DUMMYFUNCTION("""COMPUTED_VALUE"""),"Iván Sánchez (Levante Y Albacete)")</f>
        <v>Iván Sánchez (Levante Y Albacete)</v>
      </c>
    </row>
    <row r="1575" spans="2:16">
      <c r="B1575" s="33">
        <f ca="1">IFERROR(__xludf.DUMMYFUNCTION("""COMPUTED_VALUE"""),2025)</f>
        <v>2025</v>
      </c>
      <c r="C1575" s="33">
        <f ca="1">IFERROR(__xludf.DUMMYFUNCTION("""COMPUTED_VALUE"""),11)</f>
        <v>11</v>
      </c>
      <c r="D1575" s="33" t="str">
        <f ca="1">IFERROR(__xludf.DUMMYFUNCTION("""COMPUTED_VALUE"""),"NO")</f>
        <v>NO</v>
      </c>
      <c r="E1575" s="33" t="str">
        <f ca="1">IFERROR(__xludf.DUMMYFUNCTION("""COMPUTED_VALUE"""),"Fuenlabrada")</f>
        <v>Fuenlabrada</v>
      </c>
      <c r="F1575" s="57">
        <f ca="1">IFERROR(__xludf.DUMMYFUNCTION("""COMPUTED_VALUE"""),45989)</f>
        <v>45989</v>
      </c>
      <c r="G1575" s="57">
        <f ca="1">IFERROR(__xludf.DUMMYFUNCTION("""COMPUTED_VALUE"""),45959)</f>
        <v>45959</v>
      </c>
      <c r="H1575" s="33" t="str">
        <f ca="1">IFERROR(__xludf.DUMMYFUNCTION("""COMPUTED_VALUE"""),"Fuenlabrada")</f>
        <v>Fuenlabrada</v>
      </c>
      <c r="I1575" s="33" t="str">
        <f ca="1">IFERROR(__xludf.DUMMYFUNCTION("""COMPUTED_VALUE"""),"C202510291714461541")</f>
        <v>C202510291714461541</v>
      </c>
      <c r="J1575" s="33" t="str">
        <f ca="1">IFERROR(__xludf.DUMMYFUNCTION("""COMPUTED_VALUE"""),"SOLEDAD ALARCON TORRALBA")</f>
        <v>SOLEDAD ALARCON TORRALBA</v>
      </c>
      <c r="K1575" s="33">
        <f ca="1">IFERROR(__xludf.DUMMYFUNCTION("""COMPUTED_VALUE"""),2)</f>
        <v>2</v>
      </c>
      <c r="L1575" s="203">
        <f ca="1">IFERROR(__xludf.DUMMYFUNCTION("""COMPUTED_VALUE"""),2718.18)</f>
        <v>2718.18</v>
      </c>
      <c r="M1575" s="33" t="str">
        <f ca="1">IFERROR(__xludf.DUMMYFUNCTION("""COMPUTED_VALUE"""),"03 ORL")</f>
        <v>03 ORL</v>
      </c>
      <c r="N1575" s="33" t="str">
        <f ca="1">IFERROR(__xludf.DUMMYFUNCTION("""COMPUTED_VALUE"""),"06 ORL")</f>
        <v>06 ORL</v>
      </c>
      <c r="O1575" s="33" t="str">
        <f ca="1">IFERROR(__xludf.DUMMYFUNCTION("""COMPUTED_VALUE"""),"Dra, Cristina García García")</f>
        <v>Dra, Cristina García García</v>
      </c>
      <c r="P1575" s="33" t="str">
        <f ca="1">IFERROR(__xludf.DUMMYFUNCTION("""COMPUTED_VALUE"""),"Maika Blázquez (Madrid)")</f>
        <v>Maika Blázquez (Madrid)</v>
      </c>
    </row>
    <row r="1576" spans="2:16">
      <c r="B1576" s="33">
        <f ca="1">IFERROR(__xludf.DUMMYFUNCTION("""COMPUTED_VALUE"""),2025)</f>
        <v>2025</v>
      </c>
      <c r="C1576" s="33">
        <f ca="1">IFERROR(__xludf.DUMMYFUNCTION("""COMPUTED_VALUE"""),11)</f>
        <v>11</v>
      </c>
      <c r="D1576" s="33" t="str">
        <f ca="1">IFERROR(__xludf.DUMMYFUNCTION("""COMPUTED_VALUE"""),"NO")</f>
        <v>NO</v>
      </c>
      <c r="E1576" s="33" t="str">
        <f ca="1">IFERROR(__xludf.DUMMYFUNCTION("""COMPUTED_VALUE"""),"Valencia- Cádiz")</f>
        <v>Valencia- Cádiz</v>
      </c>
      <c r="F1576" s="57">
        <f ca="1">IFERROR(__xludf.DUMMYFUNCTION("""COMPUTED_VALUE"""),45989)</f>
        <v>45989</v>
      </c>
      <c r="G1576" s="57">
        <f ca="1">IFERROR(__xludf.DUMMYFUNCTION("""COMPUTED_VALUE"""),45931)</f>
        <v>45931</v>
      </c>
      <c r="H1576" s="33" t="str">
        <f ca="1">IFERROR(__xludf.DUMMYFUNCTION("""COMPUTED_VALUE"""),"Valencia- Cádiz")</f>
        <v>Valencia- Cádiz</v>
      </c>
      <c r="I1576" s="33" t="str">
        <f ca="1">IFERROR(__xludf.DUMMYFUNCTION("""COMPUTED_VALUE"""),"C20251016163259557")</f>
        <v>C20251016163259557</v>
      </c>
      <c r="J1576" s="33" t="str">
        <f ca="1">IFERROR(__xludf.DUMMYFUNCTION("""COMPUTED_VALUE"""),"CARMEN RUIZ SANCHEZ")</f>
        <v>CARMEN RUIZ SANCHEZ</v>
      </c>
      <c r="K1576" s="33">
        <f ca="1">IFERROR(__xludf.DUMMYFUNCTION("""COMPUTED_VALUE"""),1)</f>
        <v>1</v>
      </c>
      <c r="L1576" s="203">
        <f ca="1">IFERROR(__xludf.DUMMYFUNCTION("""COMPUTED_VALUE"""),2357.73)</f>
        <v>2357.73</v>
      </c>
      <c r="M1576" s="33" t="str">
        <f ca="1">IFERROR(__xludf.DUMMYFUNCTION("""COMPUTED_VALUE"""),"03 ORL")</f>
        <v>03 ORL</v>
      </c>
      <c r="N1576" s="33" t="str">
        <f ca="1">IFERROR(__xludf.DUMMYFUNCTION("""COMPUTED_VALUE"""),"06 ORL")</f>
        <v>06 ORL</v>
      </c>
      <c r="O1576" s="33" t="str">
        <f ca="1">IFERROR(__xludf.DUMMYFUNCTION("""COMPUTED_VALUE"""),"Dr, José Ramiro de León Lima")</f>
        <v>Dr, José Ramiro de León Lima</v>
      </c>
      <c r="P1576" s="33" t="str">
        <f ca="1">IFERROR(__xludf.DUMMYFUNCTION("""COMPUTED_VALUE"""),"Ramon Ferrando(Valencia)")</f>
        <v>Ramon Ferrando(Valencia)</v>
      </c>
    </row>
    <row r="1577" spans="2:16">
      <c r="B1577" s="33">
        <f ca="1">IFERROR(__xludf.DUMMYFUNCTION("""COMPUTED_VALUE"""),2025)</f>
        <v>2025</v>
      </c>
      <c r="C1577" s="33">
        <f ca="1">IFERROR(__xludf.DUMMYFUNCTION("""COMPUTED_VALUE"""),11)</f>
        <v>11</v>
      </c>
      <c r="D1577" s="33" t="str">
        <f ca="1">IFERROR(__xludf.DUMMYFUNCTION("""COMPUTED_VALUE"""),"NO")</f>
        <v>NO</v>
      </c>
      <c r="E1577" s="33" t="str">
        <f ca="1">IFERROR(__xludf.DUMMYFUNCTION("""COMPUTED_VALUE"""),"Fuenlabrada")</f>
        <v>Fuenlabrada</v>
      </c>
      <c r="F1577" s="57">
        <f ca="1">IFERROR(__xludf.DUMMYFUNCTION("""COMPUTED_VALUE"""),45989)</f>
        <v>45989</v>
      </c>
      <c r="G1577" s="57">
        <f ca="1">IFERROR(__xludf.DUMMYFUNCTION("""COMPUTED_VALUE"""),45975)</f>
        <v>45975</v>
      </c>
      <c r="H1577" s="33" t="str">
        <f ca="1">IFERROR(__xludf.DUMMYFUNCTION("""COMPUTED_VALUE"""),"Fuenlabrada")</f>
        <v>Fuenlabrada</v>
      </c>
      <c r="I1577" s="33" t="str">
        <f ca="1">IFERROR(__xludf.DUMMYFUNCTION("""COMPUTED_VALUE"""),"C202511149595126941")</f>
        <v>C202511149595126941</v>
      </c>
      <c r="J1577" s="33" t="str">
        <f ca="1">IFERROR(__xludf.DUMMYFUNCTION("""COMPUTED_VALUE"""),"LORENZO LEON CARMONA")</f>
        <v>LORENZO LEON CARMONA</v>
      </c>
      <c r="K1577" s="33">
        <f ca="1">IFERROR(__xludf.DUMMYFUNCTION("""COMPUTED_VALUE"""),2)</f>
        <v>2</v>
      </c>
      <c r="L1577" s="203">
        <f ca="1">IFERROR(__xludf.DUMMYFUNCTION("""COMPUTED_VALUE"""),2718.19)</f>
        <v>2718.19</v>
      </c>
      <c r="M1577" s="33" t="str">
        <f ca="1">IFERROR(__xludf.DUMMYFUNCTION("""COMPUTED_VALUE"""),"03 ORL")</f>
        <v>03 ORL</v>
      </c>
      <c r="N1577" s="33" t="str">
        <f ca="1">IFERROR(__xludf.DUMMYFUNCTION("""COMPUTED_VALUE"""),"06 ORL")</f>
        <v>06 ORL</v>
      </c>
      <c r="O1577" s="33" t="str">
        <f ca="1">IFERROR(__xludf.DUMMYFUNCTION("""COMPUTED_VALUE"""),"Dra, Cristina García García")</f>
        <v>Dra, Cristina García García</v>
      </c>
      <c r="P1577" s="33" t="str">
        <f ca="1">IFERROR(__xludf.DUMMYFUNCTION("""COMPUTED_VALUE"""),"Maika Blázquez (Madrid)")</f>
        <v>Maika Blázquez (Madrid)</v>
      </c>
    </row>
    <row r="1578" spans="2:16">
      <c r="B1578" s="33">
        <f ca="1">IFERROR(__xludf.DUMMYFUNCTION("""COMPUTED_VALUE"""),2025)</f>
        <v>2025</v>
      </c>
      <c r="C1578" s="33">
        <f ca="1">IFERROR(__xludf.DUMMYFUNCTION("""COMPUTED_VALUE"""),11)</f>
        <v>11</v>
      </c>
      <c r="D1578" s="33" t="str">
        <f ca="1">IFERROR(__xludf.DUMMYFUNCTION("""COMPUTED_VALUE"""),"NO")</f>
        <v>NO</v>
      </c>
      <c r="E1578" s="33" t="str">
        <f ca="1">IFERROR(__xludf.DUMMYFUNCTION("""COMPUTED_VALUE"""),"Getafe")</f>
        <v>Getafe</v>
      </c>
      <c r="F1578" s="57">
        <f ca="1">IFERROR(__xludf.DUMMYFUNCTION("""COMPUTED_VALUE"""),45989)</f>
        <v>45989</v>
      </c>
      <c r="G1578" s="57">
        <f ca="1">IFERROR(__xludf.DUMMYFUNCTION("""COMPUTED_VALUE"""),45958)</f>
        <v>45958</v>
      </c>
      <c r="H1578" s="33" t="str">
        <f ca="1">IFERROR(__xludf.DUMMYFUNCTION("""COMPUTED_VALUE"""),"Getafe")</f>
        <v>Getafe</v>
      </c>
      <c r="I1578" s="33" t="str">
        <f ca="1">IFERROR(__xludf.DUMMYFUNCTION("""COMPUTED_VALUE"""),"C202510281030204697")</f>
        <v>C202510281030204697</v>
      </c>
      <c r="J1578" s="33" t="str">
        <f ca="1">IFERROR(__xludf.DUMMYFUNCTION("""COMPUTED_VALUE"""),"BRÍGIDA ALMIÑANA GUTIERREZ")</f>
        <v>BRÍGIDA ALMIÑANA GUTIERREZ</v>
      </c>
      <c r="K1578" s="33">
        <f ca="1">IFERROR(__xludf.DUMMYFUNCTION("""COMPUTED_VALUE"""),2)</f>
        <v>2</v>
      </c>
      <c r="L1578" s="203">
        <f ca="1">IFERROR(__xludf.DUMMYFUNCTION("""COMPUTED_VALUE"""),2718.18)</f>
        <v>2718.18</v>
      </c>
      <c r="M1578" s="33" t="str">
        <f ca="1">IFERROR(__xludf.DUMMYFUNCTION("""COMPUTED_VALUE"""),"03 ORL")</f>
        <v>03 ORL</v>
      </c>
      <c r="N1578" s="33" t="str">
        <f ca="1">IFERROR(__xludf.DUMMYFUNCTION("""COMPUTED_VALUE"""),"06 ORL")</f>
        <v>06 ORL</v>
      </c>
      <c r="O1578" s="33" t="str">
        <f ca="1">IFERROR(__xludf.DUMMYFUNCTION("""COMPUTED_VALUE"""),"Dra, María Garrote Garrote")</f>
        <v>Dra, María Garrote Garrote</v>
      </c>
      <c r="P1578" s="33" t="str">
        <f ca="1">IFERROR(__xludf.DUMMYFUNCTION("""COMPUTED_VALUE"""),"Maika Blázquez (Madrid)")</f>
        <v>Maika Blázquez (Madrid)</v>
      </c>
    </row>
    <row r="1579" spans="2:16">
      <c r="B1579" s="33">
        <f ca="1">IFERROR(__xludf.DUMMYFUNCTION("""COMPUTED_VALUE"""),2025)</f>
        <v>2025</v>
      </c>
      <c r="C1579" s="33">
        <f ca="1">IFERROR(__xludf.DUMMYFUNCTION("""COMPUTED_VALUE"""),11)</f>
        <v>11</v>
      </c>
      <c r="D1579" s="33" t="str">
        <f ca="1">IFERROR(__xludf.DUMMYFUNCTION("""COMPUTED_VALUE"""),"SI")</f>
        <v>SI</v>
      </c>
      <c r="E1579" s="33" t="str">
        <f ca="1">IFERROR(__xludf.DUMMYFUNCTION("""COMPUTED_VALUE"""),"Ourense")</f>
        <v>Ourense</v>
      </c>
      <c r="F1579" s="57">
        <f ca="1">IFERROR(__xludf.DUMMYFUNCTION("""COMPUTED_VALUE"""),45989)</f>
        <v>45989</v>
      </c>
      <c r="G1579" s="57">
        <f ca="1">IFERROR(__xludf.DUMMYFUNCTION("""COMPUTED_VALUE"""),45959)</f>
        <v>45959</v>
      </c>
      <c r="H1579" s="33" t="str">
        <f ca="1">IFERROR(__xludf.DUMMYFUNCTION("""COMPUTED_VALUE"""),"Orense")</f>
        <v>Orense</v>
      </c>
      <c r="I1579" s="33" t="str">
        <f ca="1">IFERROR(__xludf.DUMMYFUNCTION("""COMPUTED_VALUE"""),"C202510291035179025")</f>
        <v>C202510291035179025</v>
      </c>
      <c r="J1579" s="33" t="str">
        <f ca="1">IFERROR(__xludf.DUMMYFUNCTION("""COMPUTED_VALUE"""),"SOFIA MOURE PEREZ")</f>
        <v>SOFIA MOURE PEREZ</v>
      </c>
      <c r="K1579" s="33">
        <f ca="1">IFERROR(__xludf.DUMMYFUNCTION("""COMPUTED_VALUE"""),1)</f>
        <v>1</v>
      </c>
      <c r="L1579" s="203">
        <f ca="1">IFERROR(__xludf.DUMMYFUNCTION("""COMPUTED_VALUE"""),2180.91)</f>
        <v>2180.91</v>
      </c>
      <c r="M1579" s="33" t="str">
        <f ca="1">IFERROR(__xludf.DUMMYFUNCTION("""COMPUTED_VALUE"""),"03 ORL")</f>
        <v>03 ORL</v>
      </c>
      <c r="N1579" s="33" t="str">
        <f ca="1">IFERROR(__xludf.DUMMYFUNCTION("""COMPUTED_VALUE"""),"06 ORL")</f>
        <v>06 ORL</v>
      </c>
      <c r="O1579" s="33" t="str">
        <f ca="1">IFERROR(__xludf.DUMMYFUNCTION("""COMPUTED_VALUE"""),"Dra, María Rey Marcos")</f>
        <v>Dra, María Rey Marcos</v>
      </c>
      <c r="P1579" s="33" t="str">
        <f ca="1">IFERROR(__xludf.DUMMYFUNCTION("""COMPUTED_VALUE"""),"Roberto Pereira (Galicia)")</f>
        <v>Roberto Pereira (Galicia)</v>
      </c>
    </row>
    <row r="1580" spans="2:16">
      <c r="B1580" s="33">
        <f ca="1">IFERROR(__xludf.DUMMYFUNCTION("""COMPUTED_VALUE"""),2025)</f>
        <v>2025</v>
      </c>
      <c r="C1580" s="33">
        <f ca="1">IFERROR(__xludf.DUMMYFUNCTION("""COMPUTED_VALUE"""),11)</f>
        <v>11</v>
      </c>
      <c r="D1580" s="33" t="str">
        <f ca="1">IFERROR(__xludf.DUMMYFUNCTION("""COMPUTED_VALUE"""),"NO")</f>
        <v>NO</v>
      </c>
      <c r="E1580" s="33" t="str">
        <f ca="1">IFERROR(__xludf.DUMMYFUNCTION("""COMPUTED_VALUE"""),"El Albir (Benidorm)")</f>
        <v>El Albir (Benidorm)</v>
      </c>
      <c r="F1580" s="57">
        <f ca="1">IFERROR(__xludf.DUMMYFUNCTION("""COMPUTED_VALUE"""),45989)</f>
        <v>45989</v>
      </c>
      <c r="G1580" s="57">
        <f ca="1">IFERROR(__xludf.DUMMYFUNCTION("""COMPUTED_VALUE"""),45967)</f>
        <v>45967</v>
      </c>
      <c r="H1580" s="33" t="str">
        <f ca="1">IFERROR(__xludf.DUMMYFUNCTION("""COMPUTED_VALUE"""),"El Albir (Benidorm)")</f>
        <v>El Albir (Benidorm)</v>
      </c>
      <c r="I1580" s="33" t="str">
        <f ca="1">IFERROR(__xludf.DUMMYFUNCTION("""COMPUTED_VALUE"""),"C202511610342706123")</f>
        <v>C202511610342706123</v>
      </c>
      <c r="J1580" s="33" t="str">
        <f ca="1">IFERROR(__xludf.DUMMYFUNCTION("""COMPUTED_VALUE"""),"JEAN CLAUDE")</f>
        <v>JEAN CLAUDE</v>
      </c>
      <c r="K1580" s="33">
        <f ca="1">IFERROR(__xludf.DUMMYFUNCTION("""COMPUTED_VALUE"""),2)</f>
        <v>2</v>
      </c>
      <c r="L1580" s="203">
        <f ca="1">IFERROR(__xludf.DUMMYFUNCTION("""COMPUTED_VALUE"""),2617.27)</f>
        <v>2617.27</v>
      </c>
      <c r="M1580" s="33" t="str">
        <f ca="1">IFERROR(__xludf.DUMMYFUNCTION("""COMPUTED_VALUE"""),"03 ORL")</f>
        <v>03 ORL</v>
      </c>
      <c r="N1580" s="33" t="str">
        <f ca="1">IFERROR(__xludf.DUMMYFUNCTION("""COMPUTED_VALUE"""),"06 ORL")</f>
        <v>06 ORL</v>
      </c>
      <c r="O1580" s="33" t="str">
        <f ca="1">IFERROR(__xludf.DUMMYFUNCTION("""COMPUTED_VALUE"""),"Dra, Isabel Polo Tomás")</f>
        <v>Dra, Isabel Polo Tomás</v>
      </c>
      <c r="P1580" s="33" t="str">
        <f ca="1">IFERROR(__xludf.DUMMYFUNCTION("""COMPUTED_VALUE"""),"Ramon Ferrando(Valencia)")</f>
        <v>Ramon Ferrando(Valencia)</v>
      </c>
    </row>
    <row r="1581" spans="2:16">
      <c r="B1581" s="33">
        <f ca="1">IFERROR(__xludf.DUMMYFUNCTION("""COMPUTED_VALUE"""),2025)</f>
        <v>2025</v>
      </c>
      <c r="C1581" s="33">
        <f ca="1">IFERROR(__xludf.DUMMYFUNCTION("""COMPUTED_VALUE"""),11)</f>
        <v>11</v>
      </c>
      <c r="D1581" s="33" t="str">
        <f ca="1">IFERROR(__xludf.DUMMYFUNCTION("""COMPUTED_VALUE"""),"NO")</f>
        <v>NO</v>
      </c>
      <c r="E1581" s="33" t="str">
        <f ca="1">IFERROR(__xludf.DUMMYFUNCTION("""COMPUTED_VALUE"""),"Fuenlabrada")</f>
        <v>Fuenlabrada</v>
      </c>
      <c r="F1581" s="57">
        <f ca="1">IFERROR(__xludf.DUMMYFUNCTION("""COMPUTED_VALUE"""),45989)</f>
        <v>45989</v>
      </c>
      <c r="G1581" s="57">
        <f ca="1">IFERROR(__xludf.DUMMYFUNCTION("""COMPUTED_VALUE"""),45950)</f>
        <v>45950</v>
      </c>
      <c r="H1581" s="33" t="str">
        <f ca="1">IFERROR(__xludf.DUMMYFUNCTION("""COMPUTED_VALUE"""),"Fuenlabrada")</f>
        <v>Fuenlabrada</v>
      </c>
      <c r="I1581" s="33" t="str">
        <f ca="1">IFERROR(__xludf.DUMMYFUNCTION("""COMPUTED_VALUE"""),"C202510201117383532")</f>
        <v>C202510201117383532</v>
      </c>
      <c r="J1581" s="33" t="str">
        <f ca="1">IFERROR(__xludf.DUMMYFUNCTION("""COMPUTED_VALUE"""),"ADORACION MIGUEL GOMEZ")</f>
        <v>ADORACION MIGUEL GOMEZ</v>
      </c>
      <c r="K1581" s="33">
        <f ca="1">IFERROR(__xludf.DUMMYFUNCTION("""COMPUTED_VALUE"""),2)</f>
        <v>2</v>
      </c>
      <c r="L1581" s="203">
        <f ca="1">IFERROR(__xludf.DUMMYFUNCTION("""COMPUTED_VALUE"""),2718.18)</f>
        <v>2718.18</v>
      </c>
      <c r="M1581" s="33" t="str">
        <f ca="1">IFERROR(__xludf.DUMMYFUNCTION("""COMPUTED_VALUE"""),"03 ORL")</f>
        <v>03 ORL</v>
      </c>
      <c r="N1581" s="33" t="str">
        <f ca="1">IFERROR(__xludf.DUMMYFUNCTION("""COMPUTED_VALUE"""),"06 ORL")</f>
        <v>06 ORL</v>
      </c>
      <c r="O1581" s="33" t="str">
        <f ca="1">IFERROR(__xludf.DUMMYFUNCTION("""COMPUTED_VALUE"""),"Dra, Estefania Miranda Sánchez")</f>
        <v>Dra, Estefania Miranda Sánchez</v>
      </c>
      <c r="P1581" s="33" t="str">
        <f ca="1">IFERROR(__xludf.DUMMYFUNCTION("""COMPUTED_VALUE"""),"Maika Blázquez (Madrid)")</f>
        <v>Maika Blázquez (Madrid)</v>
      </c>
    </row>
    <row r="1582" spans="2:16">
      <c r="B1582" s="33">
        <f ca="1">IFERROR(__xludf.DUMMYFUNCTION("""COMPUTED_VALUE"""),2025)</f>
        <v>2025</v>
      </c>
      <c r="C1582" s="33">
        <f ca="1">IFERROR(__xludf.DUMMYFUNCTION("""COMPUTED_VALUE"""),11)</f>
        <v>11</v>
      </c>
      <c r="D1582" s="33" t="str">
        <f ca="1">IFERROR(__xludf.DUMMYFUNCTION("""COMPUTED_VALUE"""),"NO")</f>
        <v>NO</v>
      </c>
      <c r="E1582" s="33" t="str">
        <f ca="1">IFERROR(__xludf.DUMMYFUNCTION("""COMPUTED_VALUE"""),"Sevilla- Montoto")</f>
        <v>Sevilla- Montoto</v>
      </c>
      <c r="F1582" s="57">
        <f ca="1">IFERROR(__xludf.DUMMYFUNCTION("""COMPUTED_VALUE"""),45989)</f>
        <v>45989</v>
      </c>
      <c r="G1582" s="57">
        <f ca="1">IFERROR(__xludf.DUMMYFUNCTION("""COMPUTED_VALUE"""),45951)</f>
        <v>45951</v>
      </c>
      <c r="H1582" s="33" t="str">
        <f ca="1">IFERROR(__xludf.DUMMYFUNCTION("""COMPUTED_VALUE"""),"Montoto")</f>
        <v>Montoto</v>
      </c>
      <c r="I1582" s="33" t="str">
        <f ca="1">IFERROR(__xludf.DUMMYFUNCTION("""COMPUTED_VALUE"""),"C202510211525313764")</f>
        <v>C202510211525313764</v>
      </c>
      <c r="J1582" s="33" t="str">
        <f ca="1">IFERROR(__xludf.DUMMYFUNCTION("""COMPUTED_VALUE"""),"MIGUEL VALLE LAÓ")</f>
        <v>MIGUEL VALLE LAÓ</v>
      </c>
      <c r="K1582" s="33">
        <f ca="1">IFERROR(__xludf.DUMMYFUNCTION("""COMPUTED_VALUE"""),2)</f>
        <v>2</v>
      </c>
      <c r="L1582" s="203">
        <f ca="1">IFERROR(__xludf.DUMMYFUNCTION("""COMPUTED_VALUE"""),3631.82)</f>
        <v>3631.82</v>
      </c>
      <c r="M1582" s="33" t="str">
        <f ca="1">IFERROR(__xludf.DUMMYFUNCTION("""COMPUTED_VALUE"""),"03 ORL")</f>
        <v>03 ORL</v>
      </c>
      <c r="N1582" s="33" t="str">
        <f ca="1">IFERROR(__xludf.DUMMYFUNCTION("""COMPUTED_VALUE"""),"06 ORL")</f>
        <v>06 ORL</v>
      </c>
      <c r="O1582" s="33" t="str">
        <f ca="1">IFERROR(__xludf.DUMMYFUNCTION("""COMPUTED_VALUE"""),"Dr, David Castro Gutiérrez de Agüero")</f>
        <v>Dr, David Castro Gutiérrez de Agüero</v>
      </c>
      <c r="P1582" s="33" t="str">
        <f ca="1">IFERROR(__xludf.DUMMYFUNCTION("""COMPUTED_VALUE"""),"Luis Alberto Rodríguez (Andalucía y Badajoz)")</f>
        <v>Luis Alberto Rodríguez (Andalucía y Badajoz)</v>
      </c>
    </row>
    <row r="1583" spans="2:16">
      <c r="B1583" s="33">
        <f ca="1">IFERROR(__xludf.DUMMYFUNCTION("""COMPUTED_VALUE"""),2025)</f>
        <v>2025</v>
      </c>
      <c r="C1583" s="33">
        <f ca="1">IFERROR(__xludf.DUMMYFUNCTION("""COMPUTED_VALUE"""),11)</f>
        <v>11</v>
      </c>
      <c r="D1583" s="33" t="str">
        <f ca="1">IFERROR(__xludf.DUMMYFUNCTION("""COMPUTED_VALUE"""),"NO")</f>
        <v>NO</v>
      </c>
      <c r="E1583" s="33" t="str">
        <f ca="1">IFERROR(__xludf.DUMMYFUNCTION("""COMPUTED_VALUE"""),"San Javier")</f>
        <v>San Javier</v>
      </c>
      <c r="F1583" s="57">
        <f ca="1">IFERROR(__xludf.DUMMYFUNCTION("""COMPUTED_VALUE"""),45989)</f>
        <v>45989</v>
      </c>
      <c r="G1583" s="57">
        <f ca="1">IFERROR(__xludf.DUMMYFUNCTION("""COMPUTED_VALUE"""),45953)</f>
        <v>45953</v>
      </c>
      <c r="H1583" s="33" t="str">
        <f ca="1">IFERROR(__xludf.DUMMYFUNCTION("""COMPUTED_VALUE"""),"San Javier")</f>
        <v>San Javier</v>
      </c>
      <c r="I1583" s="33" t="str">
        <f ca="1">IFERROR(__xludf.DUMMYFUNCTION("""COMPUTED_VALUE"""),"C202510231014551898")</f>
        <v>C202510231014551898</v>
      </c>
      <c r="J1583" s="33" t="str">
        <f ca="1">IFERROR(__xludf.DUMMYFUNCTION("""COMPUTED_VALUE"""),"BEGOÑA MENDEZ LOPEZ")</f>
        <v>BEGOÑA MENDEZ LOPEZ</v>
      </c>
      <c r="K1583" s="33">
        <f ca="1">IFERROR(__xludf.DUMMYFUNCTION("""COMPUTED_VALUE"""),2)</f>
        <v>2</v>
      </c>
      <c r="L1583" s="203">
        <f ca="1">IFERROR(__xludf.DUMMYFUNCTION("""COMPUTED_VALUE"""),3929.55)</f>
        <v>3929.55</v>
      </c>
      <c r="M1583" s="33" t="str">
        <f ca="1">IFERROR(__xludf.DUMMYFUNCTION("""COMPUTED_VALUE"""),"01 MARKETING ON LINE")</f>
        <v>01 MARKETING ON LINE</v>
      </c>
      <c r="N1583" s="33" t="str">
        <f ca="1">IFERROR(__xludf.DUMMYFUNCTION("""COMPUTED_VALUE"""),"04 AUDIFONO,ES")</f>
        <v>04 AUDIFONO,ES</v>
      </c>
      <c r="O1583" s="33" t="str">
        <f ca="1">IFERROR(__xludf.DUMMYFUNCTION("""COMPUTED_VALUE"""),"Dr, Alberto Raposo Jiménez")</f>
        <v>Dr, Alberto Raposo Jiménez</v>
      </c>
      <c r="P1583" s="33" t="str">
        <f ca="1">IFERROR(__xludf.DUMMYFUNCTION("""COMPUTED_VALUE"""),"Iván Sánchez (Levante Y Albacete)")</f>
        <v>Iván Sánchez (Levante Y Albacete)</v>
      </c>
    </row>
    <row r="1584" spans="2:16">
      <c r="B1584" s="33">
        <f ca="1">IFERROR(__xludf.DUMMYFUNCTION("""COMPUTED_VALUE"""),2025)</f>
        <v>2025</v>
      </c>
      <c r="C1584" s="33">
        <f ca="1">IFERROR(__xludf.DUMMYFUNCTION("""COMPUTED_VALUE"""),11)</f>
        <v>11</v>
      </c>
      <c r="D1584" s="33" t="str">
        <f ca="1">IFERROR(__xludf.DUMMYFUNCTION("""COMPUTED_VALUE"""),"NO")</f>
        <v>NO</v>
      </c>
      <c r="E1584" s="33" t="str">
        <f ca="1">IFERROR(__xludf.DUMMYFUNCTION("""COMPUTED_VALUE"""),"Murcia")</f>
        <v>Murcia</v>
      </c>
      <c r="F1584" s="57">
        <f ca="1">IFERROR(__xludf.DUMMYFUNCTION("""COMPUTED_VALUE"""),45989)</f>
        <v>45989</v>
      </c>
      <c r="G1584" s="57">
        <f ca="1">IFERROR(__xludf.DUMMYFUNCTION("""COMPUTED_VALUE"""),45960)</f>
        <v>45960</v>
      </c>
      <c r="H1584" s="33" t="str">
        <f ca="1">IFERROR(__xludf.DUMMYFUNCTION("""COMPUTED_VALUE"""),"Murcia")</f>
        <v>Murcia</v>
      </c>
      <c r="I1584" s="33" t="str">
        <f ca="1">IFERROR(__xludf.DUMMYFUNCTION("""COMPUTED_VALUE"""),"C202510301614594047")</f>
        <v>C202510301614594047</v>
      </c>
      <c r="J1584" s="33" t="str">
        <f ca="1">IFERROR(__xludf.DUMMYFUNCTION("""COMPUTED_VALUE"""),"ANTONIO LOPEZ CABANES")</f>
        <v>ANTONIO LOPEZ CABANES</v>
      </c>
      <c r="K1584" s="33">
        <f ca="1">IFERROR(__xludf.DUMMYFUNCTION("""COMPUTED_VALUE"""),2)</f>
        <v>2</v>
      </c>
      <c r="L1584" s="203">
        <f ca="1">IFERROR(__xludf.DUMMYFUNCTION("""COMPUTED_VALUE"""),3631.82)</f>
        <v>3631.82</v>
      </c>
      <c r="M1584" s="33" t="str">
        <f ca="1">IFERROR(__xludf.DUMMYFUNCTION("""COMPUTED_VALUE"""),"03 ORL")</f>
        <v>03 ORL</v>
      </c>
      <c r="N1584" s="33" t="str">
        <f ca="1">IFERROR(__xludf.DUMMYFUNCTION("""COMPUTED_VALUE"""),"06 ORL")</f>
        <v>06 ORL</v>
      </c>
      <c r="O1584" s="33" t="str">
        <f ca="1">IFERROR(__xludf.DUMMYFUNCTION("""COMPUTED_VALUE"""),"Dr, Enrique López Meseguer")</f>
        <v>Dr, Enrique López Meseguer</v>
      </c>
      <c r="P1584" s="33" t="str">
        <f ca="1">IFERROR(__xludf.DUMMYFUNCTION("""COMPUTED_VALUE"""),"Iván Sánchez (Levante Y Albacete)")</f>
        <v>Iván Sánchez (Levante Y Albacete)</v>
      </c>
    </row>
    <row r="1585" spans="2:16">
      <c r="B1585" s="33">
        <f ca="1">IFERROR(__xludf.DUMMYFUNCTION("""COMPUTED_VALUE"""),2025)</f>
        <v>2025</v>
      </c>
      <c r="C1585" s="33">
        <f ca="1">IFERROR(__xludf.DUMMYFUNCTION("""COMPUTED_VALUE"""),11)</f>
        <v>11</v>
      </c>
      <c r="D1585" s="33" t="str">
        <f ca="1">IFERROR(__xludf.DUMMYFUNCTION("""COMPUTED_VALUE"""),"NO")</f>
        <v>NO</v>
      </c>
      <c r="E1585" s="33" t="str">
        <f ca="1">IFERROR(__xludf.DUMMYFUNCTION("""COMPUTED_VALUE"""),"Madrid- Monforte de Lemos")</f>
        <v>Madrid- Monforte de Lemos</v>
      </c>
      <c r="F1585" s="57">
        <f ca="1">IFERROR(__xludf.DUMMYFUNCTION("""COMPUTED_VALUE"""),45989)</f>
        <v>45989</v>
      </c>
      <c r="G1585" s="57">
        <f ca="1">IFERROR(__xludf.DUMMYFUNCTION("""COMPUTED_VALUE"""),45960)</f>
        <v>45960</v>
      </c>
      <c r="H1585" s="33" t="str">
        <f ca="1">IFERROR(__xludf.DUMMYFUNCTION("""COMPUTED_VALUE"""),"La Vaguada")</f>
        <v>La Vaguada</v>
      </c>
      <c r="I1585" s="33" t="str">
        <f ca="1">IFERROR(__xludf.DUMMYFUNCTION("""COMPUTED_VALUE"""),"C202510301833155892")</f>
        <v>C202510301833155892</v>
      </c>
      <c r="J1585" s="33" t="str">
        <f ca="1">IFERROR(__xludf.DUMMYFUNCTION("""COMPUTED_VALUE"""),"PILAR SEGURA ESTEBAN")</f>
        <v>PILAR SEGURA ESTEBAN</v>
      </c>
      <c r="K1585" s="33">
        <f ca="1">IFERROR(__xludf.DUMMYFUNCTION("""COMPUTED_VALUE"""),2)</f>
        <v>2</v>
      </c>
      <c r="L1585" s="203">
        <f ca="1">IFERROR(__xludf.DUMMYFUNCTION("""COMPUTED_VALUE"""),3631.82)</f>
        <v>3631.82</v>
      </c>
      <c r="M1585" s="33" t="str">
        <f ca="1">IFERROR(__xludf.DUMMYFUNCTION("""COMPUTED_VALUE"""),"03 ORL")</f>
        <v>03 ORL</v>
      </c>
      <c r="N1585" s="33" t="str">
        <f ca="1">IFERROR(__xludf.DUMMYFUNCTION("""COMPUTED_VALUE"""),"06 ORL")</f>
        <v>06 ORL</v>
      </c>
      <c r="O1585" s="33" t="str">
        <f ca="1">IFERROR(__xludf.DUMMYFUNCTION("""COMPUTED_VALUE"""),"Dr, Alejandro Harguindey Antoli-Candela")</f>
        <v>Dr, Alejandro Harguindey Antoli-Candela</v>
      </c>
      <c r="P1585" s="33" t="str">
        <f ca="1">IFERROR(__xludf.DUMMYFUNCTION("""COMPUTED_VALUE"""),"Maika Blázquez (Madrid)")</f>
        <v>Maika Blázquez (Madrid)</v>
      </c>
    </row>
    <row r="1586" spans="2:16">
      <c r="B1586" s="33">
        <f ca="1">IFERROR(__xludf.DUMMYFUNCTION("""COMPUTED_VALUE"""),2025)</f>
        <v>2025</v>
      </c>
      <c r="C1586" s="33">
        <f ca="1">IFERROR(__xludf.DUMMYFUNCTION("""COMPUTED_VALUE"""),11)</f>
        <v>11</v>
      </c>
      <c r="D1586" s="33" t="str">
        <f ca="1">IFERROR(__xludf.DUMMYFUNCTION("""COMPUTED_VALUE"""),"NO")</f>
        <v>NO</v>
      </c>
      <c r="E1586" s="33" t="str">
        <f ca="1">IFERROR(__xludf.DUMMYFUNCTION("""COMPUTED_VALUE"""),"Valencia- Cádiz")</f>
        <v>Valencia- Cádiz</v>
      </c>
      <c r="F1586" s="57">
        <f ca="1">IFERROR(__xludf.DUMMYFUNCTION("""COMPUTED_VALUE"""),45989)</f>
        <v>45989</v>
      </c>
      <c r="G1586" s="57">
        <f ca="1">IFERROR(__xludf.DUMMYFUNCTION("""COMPUTED_VALUE"""),45951)</f>
        <v>45951</v>
      </c>
      <c r="H1586" s="33" t="str">
        <f ca="1">IFERROR(__xludf.DUMMYFUNCTION("""COMPUTED_VALUE"""),"Valencia- Cádiz")</f>
        <v>Valencia- Cádiz</v>
      </c>
      <c r="I1586" s="33" t="str">
        <f ca="1">IFERROR(__xludf.DUMMYFUNCTION("""COMPUTED_VALUE"""),"C202510211141200456")</f>
        <v>C202510211141200456</v>
      </c>
      <c r="J1586" s="33" t="str">
        <f ca="1">IFERROR(__xludf.DUMMYFUNCTION("""COMPUTED_VALUE"""),"JOSE AMAT NAVARRO")</f>
        <v>JOSE AMAT NAVARRO</v>
      </c>
      <c r="K1586" s="33">
        <f ca="1">IFERROR(__xludf.DUMMYFUNCTION("""COMPUTED_VALUE"""),2)</f>
        <v>2</v>
      </c>
      <c r="L1586" s="203">
        <f ca="1">IFERROR(__xludf.DUMMYFUNCTION("""COMPUTED_VALUE"""),3631.82)</f>
        <v>3631.82</v>
      </c>
      <c r="M1586" s="33" t="str">
        <f ca="1">IFERROR(__xludf.DUMMYFUNCTION("""COMPUTED_VALUE"""),"03 ORL")</f>
        <v>03 ORL</v>
      </c>
      <c r="N1586" s="33" t="str">
        <f ca="1">IFERROR(__xludf.DUMMYFUNCTION("""COMPUTED_VALUE"""),"06 ORL")</f>
        <v>06 ORL</v>
      </c>
      <c r="O1586" s="33" t="str">
        <f ca="1">IFERROR(__xludf.DUMMYFUNCTION("""COMPUTED_VALUE"""),"Dr, José Montalt Marco")</f>
        <v>Dr, José Montalt Marco</v>
      </c>
      <c r="P1586" s="33" t="str">
        <f ca="1">IFERROR(__xludf.DUMMYFUNCTION("""COMPUTED_VALUE"""),"Ramon Ferrando(Valencia)")</f>
        <v>Ramon Ferrando(Valencia)</v>
      </c>
    </row>
    <row r="1587" spans="2:16">
      <c r="B1587" s="33">
        <f ca="1">IFERROR(__xludf.DUMMYFUNCTION("""COMPUTED_VALUE"""),2025)</f>
        <v>2025</v>
      </c>
      <c r="C1587" s="33">
        <f ca="1">IFERROR(__xludf.DUMMYFUNCTION("""COMPUTED_VALUE"""),11)</f>
        <v>11</v>
      </c>
      <c r="D1587" s="33" t="str">
        <f ca="1">IFERROR(__xludf.DUMMYFUNCTION("""COMPUTED_VALUE"""),"NO")</f>
        <v>NO</v>
      </c>
      <c r="E1587" s="33" t="str">
        <f ca="1">IFERROR(__xludf.DUMMYFUNCTION("""COMPUTED_VALUE"""),"Orihuela")</f>
        <v>Orihuela</v>
      </c>
      <c r="F1587" s="57">
        <f ca="1">IFERROR(__xludf.DUMMYFUNCTION("""COMPUTED_VALUE"""),45989)</f>
        <v>45989</v>
      </c>
      <c r="G1587" s="57">
        <f ca="1">IFERROR(__xludf.DUMMYFUNCTION("""COMPUTED_VALUE"""),45989)</f>
        <v>45989</v>
      </c>
      <c r="H1587" s="33" t="str">
        <f ca="1">IFERROR(__xludf.DUMMYFUNCTION("""COMPUTED_VALUE"""),"La Zenia")</f>
        <v>La Zenia</v>
      </c>
      <c r="I1587" s="33" t="str">
        <f ca="1">IFERROR(__xludf.DUMMYFUNCTION("""COMPUTED_VALUE"""),"C20251128174543327")</f>
        <v>C20251128174543327</v>
      </c>
      <c r="J1587" s="33" t="str">
        <f ca="1">IFERROR(__xludf.DUMMYFUNCTION("""COMPUTED_VALUE"""),"COMERCIAL VIMARGA 2014,S,L [VICENTE MIGUEL MARTÍNEZ SERRADOR]")</f>
        <v>COMERCIAL VIMARGA 2014,S,L [VICENTE MIGUEL MARTÍNEZ SERRADOR]</v>
      </c>
      <c r="K1587" s="33">
        <f ca="1">IFERROR(__xludf.DUMMYFUNCTION("""COMPUTED_VALUE"""),2)</f>
        <v>2</v>
      </c>
      <c r="L1587" s="203">
        <f ca="1">IFERROR(__xludf.DUMMYFUNCTION("""COMPUTED_VALUE"""),4136.36)</f>
        <v>4136.3599999999997</v>
      </c>
      <c r="M1587" s="33" t="str">
        <f ca="1">IFERROR(__xludf.DUMMYFUNCTION("""COMPUTED_VALUE"""),"03 ORL")</f>
        <v>03 ORL</v>
      </c>
      <c r="N1587" s="33" t="str">
        <f ca="1">IFERROR(__xludf.DUMMYFUNCTION("""COMPUTED_VALUE"""),"06 ORL")</f>
        <v>06 ORL</v>
      </c>
      <c r="O1587" s="33" t="str">
        <f ca="1">IFERROR(__xludf.DUMMYFUNCTION("""COMPUTED_VALUE"""),"Dr, Carlos Velásquez Fermín")</f>
        <v>Dr, Carlos Velásquez Fermín</v>
      </c>
      <c r="P1587" s="33" t="str">
        <f ca="1">IFERROR(__xludf.DUMMYFUNCTION("""COMPUTED_VALUE"""),"Iván Sánchez (Levante Y Albacete)")</f>
        <v>Iván Sánchez (Levante Y Albacete)</v>
      </c>
    </row>
    <row r="1588" spans="2:16">
      <c r="B1588" s="33">
        <f ca="1">IFERROR(__xludf.DUMMYFUNCTION("""COMPUTED_VALUE"""),2025)</f>
        <v>2025</v>
      </c>
      <c r="C1588" s="33">
        <f ca="1">IFERROR(__xludf.DUMMYFUNCTION("""COMPUTED_VALUE"""),12)</f>
        <v>12</v>
      </c>
      <c r="D1588" s="33" t="str">
        <f ca="1">IFERROR(__xludf.DUMMYFUNCTION("""COMPUTED_VALUE"""),"NO")</f>
        <v>NO</v>
      </c>
      <c r="E1588" s="33" t="str">
        <f ca="1">IFERROR(__xludf.DUMMYFUNCTION("""COMPUTED_VALUE"""),"Hospitalet de Llobregat")</f>
        <v>Hospitalet de Llobregat</v>
      </c>
      <c r="F1588" s="57">
        <f ca="1">IFERROR(__xludf.DUMMYFUNCTION("""COMPUTED_VALUE"""),45992)</f>
        <v>45992</v>
      </c>
      <c r="G1588" s="57">
        <f ca="1">IFERROR(__xludf.DUMMYFUNCTION("""COMPUTED_VALUE"""),45952)</f>
        <v>45952</v>
      </c>
      <c r="H1588" s="33" t="str">
        <f ca="1">IFERROR(__xludf.DUMMYFUNCTION("""COMPUTED_VALUE"""),"Hospitalet")</f>
        <v>Hospitalet</v>
      </c>
      <c r="I1588" s="33" t="str">
        <f ca="1">IFERROR(__xludf.DUMMYFUNCTION("""COMPUTED_VALUE"""),"C202510221655496103")</f>
        <v>C202510221655496103</v>
      </c>
      <c r="J1588" s="33" t="str">
        <f ca="1">IFERROR(__xludf.DUMMYFUNCTION("""COMPUTED_VALUE"""),"Maria Elena Blesa")</f>
        <v>Maria Elena Blesa</v>
      </c>
      <c r="K1588" s="33">
        <f ca="1">IFERROR(__xludf.DUMMYFUNCTION("""COMPUTED_VALUE"""),2)</f>
        <v>2</v>
      </c>
      <c r="L1588" s="203">
        <f ca="1">IFERROR(__xludf.DUMMYFUNCTION("""COMPUTED_VALUE"""),3929.55)</f>
        <v>3929.55</v>
      </c>
      <c r="M1588" s="33" t="str">
        <f ca="1">IFERROR(__xludf.DUMMYFUNCTION("""COMPUTED_VALUE"""),"03 ORL")</f>
        <v>03 ORL</v>
      </c>
      <c r="N1588" s="33" t="str">
        <f ca="1">IFERROR(__xludf.DUMMYFUNCTION("""COMPUTED_VALUE"""),"06 ORL")</f>
        <v>06 ORL</v>
      </c>
      <c r="O1588" s="33" t="str">
        <f ca="1">IFERROR(__xludf.DUMMYFUNCTION("""COMPUTED_VALUE"""),"Dr, Camilo Rodríguez Van Strahle")</f>
        <v>Dr, Camilo Rodríguez Van Strahle</v>
      </c>
      <c r="P1588" s="33" t="str">
        <f ca="1">IFERROR(__xludf.DUMMYFUNCTION("""COMPUTED_VALUE"""),"Mercè Cabrera (Cataluña Y Baleares)")</f>
        <v>Mercè Cabrera (Cataluña Y Baleares)</v>
      </c>
    </row>
    <row r="1589" spans="2:16" ht="16.5" customHeight="1">
      <c r="B1589" s="33">
        <f ca="1">IFERROR(__xludf.DUMMYFUNCTION("""COMPUTED_VALUE"""),2025)</f>
        <v>2025</v>
      </c>
      <c r="C1589" s="33">
        <f ca="1">IFERROR(__xludf.DUMMYFUNCTION("""COMPUTED_VALUE"""),12)</f>
        <v>12</v>
      </c>
      <c r="D1589" s="33" t="str">
        <f ca="1">IFERROR(__xludf.DUMMYFUNCTION("""COMPUTED_VALUE"""),"NO")</f>
        <v>NO</v>
      </c>
      <c r="E1589" s="33" t="str">
        <f ca="1">IFERROR(__xludf.DUMMYFUNCTION("""COMPUTED_VALUE"""),"Barcelona- Fabra i Puig")</f>
        <v>Barcelona- Fabra i Puig</v>
      </c>
      <c r="F1589" s="57">
        <f ca="1">IFERROR(__xludf.DUMMYFUNCTION("""COMPUTED_VALUE"""),45992)</f>
        <v>45992</v>
      </c>
      <c r="G1589" s="57">
        <f ca="1">IFERROR(__xludf.DUMMYFUNCTION("""COMPUTED_VALUE"""),45960)</f>
        <v>45960</v>
      </c>
      <c r="H1589" s="33" t="str">
        <f ca="1">IFERROR(__xludf.DUMMYFUNCTION("""COMPUTED_VALUE"""),"Fabra")</f>
        <v>Fabra</v>
      </c>
      <c r="I1589" s="33" t="str">
        <f ca="1">IFERROR(__xludf.DUMMYFUNCTION("""COMPUTED_VALUE"""),"C202510301057200122")</f>
        <v>C202510301057200122</v>
      </c>
      <c r="J1589" s="33" t="str">
        <f ca="1">IFERROR(__xludf.DUMMYFUNCTION("""COMPUTED_VALUE"""),"BERNARDO ORAMAS VERA")</f>
        <v>BERNARDO ORAMAS VERA</v>
      </c>
      <c r="K1589" s="33">
        <f ca="1">IFERROR(__xludf.DUMMYFUNCTION("""COMPUTED_VALUE"""),2)</f>
        <v>2</v>
      </c>
      <c r="L1589" s="203">
        <f ca="1">IFERROR(__xludf.DUMMYFUNCTION("""COMPUTED_VALUE"""),3450.23)</f>
        <v>3450.23</v>
      </c>
      <c r="M1589" s="33" t="str">
        <f ca="1">IFERROR(__xludf.DUMMYFUNCTION("""COMPUTED_VALUE"""),"03 ORL")</f>
        <v>03 ORL</v>
      </c>
      <c r="N1589" s="33" t="str">
        <f ca="1">IFERROR(__xludf.DUMMYFUNCTION("""COMPUTED_VALUE"""),"06 ORL")</f>
        <v>06 ORL</v>
      </c>
      <c r="O1589" s="33" t="str">
        <f ca="1">IFERROR(__xludf.DUMMYFUNCTION("""COMPUTED_VALUE"""),"Dra, Anna Ferrer Guiu
")</f>
        <v xml:space="preserve">Dra, Anna Ferrer Guiu
</v>
      </c>
      <c r="P1589" s="33" t="str">
        <f ca="1">IFERROR(__xludf.DUMMYFUNCTION("""COMPUTED_VALUE"""),"Mercè Cabrera (Cataluña Y Baleares)")</f>
        <v>Mercè Cabrera (Cataluña Y Baleares)</v>
      </c>
    </row>
    <row r="1590" spans="2:16">
      <c r="B1590" s="33">
        <f ca="1">IFERROR(__xludf.DUMMYFUNCTION("""COMPUTED_VALUE"""),2025)</f>
        <v>2025</v>
      </c>
      <c r="C1590" s="33">
        <f ca="1">IFERROR(__xludf.DUMMYFUNCTION("""COMPUTED_VALUE"""),12)</f>
        <v>12</v>
      </c>
      <c r="D1590" s="33" t="str">
        <f ca="1">IFERROR(__xludf.DUMMYFUNCTION("""COMPUTED_VALUE"""),"NO")</f>
        <v>NO</v>
      </c>
      <c r="E1590" s="33" t="str">
        <f ca="1">IFERROR(__xludf.DUMMYFUNCTION("""COMPUTED_VALUE"""),"Barcelona- Fabra i Puig")</f>
        <v>Barcelona- Fabra i Puig</v>
      </c>
      <c r="F1590" s="57">
        <f ca="1">IFERROR(__xludf.DUMMYFUNCTION("""COMPUTED_VALUE"""),45992)</f>
        <v>45992</v>
      </c>
      <c r="G1590" s="57">
        <f ca="1">IFERROR(__xludf.DUMMYFUNCTION("""COMPUTED_VALUE"""),45966)</f>
        <v>45966</v>
      </c>
      <c r="H1590" s="33" t="str">
        <f ca="1">IFERROR(__xludf.DUMMYFUNCTION("""COMPUTED_VALUE"""),"Fabra")</f>
        <v>Fabra</v>
      </c>
      <c r="I1590" s="33" t="str">
        <f ca="1">IFERROR(__xludf.DUMMYFUNCTION("""COMPUTED_VALUE"""),"C202511510161949782")</f>
        <v>C202511510161949782</v>
      </c>
      <c r="J1590" s="33" t="str">
        <f ca="1">IFERROR(__xludf.DUMMYFUNCTION("""COMPUTED_VALUE"""),"JOSE FERNANDEZ ENRIQUEZ")</f>
        <v>JOSE FERNANDEZ ENRIQUEZ</v>
      </c>
      <c r="K1590" s="33">
        <f ca="1">IFERROR(__xludf.DUMMYFUNCTION("""COMPUTED_VALUE"""),1)</f>
        <v>1</v>
      </c>
      <c r="L1590" s="203">
        <f ca="1">IFERROR(__xludf.DUMMYFUNCTION("""COMPUTED_VALUE"""),2180.91)</f>
        <v>2180.91</v>
      </c>
      <c r="M1590" s="33" t="str">
        <f ca="1">IFERROR(__xludf.DUMMYFUNCTION("""COMPUTED_VALUE"""),"03 ORL")</f>
        <v>03 ORL</v>
      </c>
      <c r="N1590" s="33" t="str">
        <f ca="1">IFERROR(__xludf.DUMMYFUNCTION("""COMPUTED_VALUE"""),"06 ORL")</f>
        <v>06 ORL</v>
      </c>
      <c r="O1590" s="33" t="str">
        <f ca="1">IFERROR(__xludf.DUMMYFUNCTION("""COMPUTED_VALUE"""),"Dra, Paula López Mesa")</f>
        <v>Dra, Paula López Mesa</v>
      </c>
      <c r="P1590" s="33" t="str">
        <f ca="1">IFERROR(__xludf.DUMMYFUNCTION("""COMPUTED_VALUE"""),"Mercè Cabrera (Cataluña Y Baleares)")</f>
        <v>Mercè Cabrera (Cataluña Y Baleares)</v>
      </c>
    </row>
    <row r="1591" spans="2:16">
      <c r="B1591" s="33">
        <f ca="1">IFERROR(__xludf.DUMMYFUNCTION("""COMPUTED_VALUE"""),2025)</f>
        <v>2025</v>
      </c>
      <c r="C1591" s="33">
        <f ca="1">IFERROR(__xludf.DUMMYFUNCTION("""COMPUTED_VALUE"""),12)</f>
        <v>12</v>
      </c>
      <c r="D1591" s="33" t="str">
        <f ca="1">IFERROR(__xludf.DUMMYFUNCTION("""COMPUTED_VALUE"""),"NO")</f>
        <v>NO</v>
      </c>
      <c r="E1591" s="33" t="str">
        <f ca="1">IFERROR(__xludf.DUMMYFUNCTION("""COMPUTED_VALUE"""),"León")</f>
        <v>León</v>
      </c>
      <c r="F1591" s="57">
        <f ca="1">IFERROR(__xludf.DUMMYFUNCTION("""COMPUTED_VALUE"""),45993)</f>
        <v>45993</v>
      </c>
      <c r="G1591" s="57">
        <f ca="1">IFERROR(__xludf.DUMMYFUNCTION("""COMPUTED_VALUE"""),45954)</f>
        <v>45954</v>
      </c>
      <c r="H1591" s="33" t="str">
        <f ca="1">IFERROR(__xludf.DUMMYFUNCTION("""COMPUTED_VALUE"""),"León")</f>
        <v>León</v>
      </c>
      <c r="I1591" s="33" t="str">
        <f ca="1">IFERROR(__xludf.DUMMYFUNCTION("""COMPUTED_VALUE"""),"LEO-566")</f>
        <v>LEO-566</v>
      </c>
      <c r="J1591" s="33" t="str">
        <f ca="1">IFERROR(__xludf.DUMMYFUNCTION("""COMPUTED_VALUE"""),"MARIA ISABEL PEREZ SIMON")</f>
        <v>MARIA ISABEL PEREZ SIMON</v>
      </c>
      <c r="K1591" s="33">
        <f ca="1">IFERROR(__xludf.DUMMYFUNCTION("""COMPUTED_VALUE"""),2)</f>
        <v>2</v>
      </c>
      <c r="L1591" s="203">
        <f ca="1">IFERROR(__xludf.DUMMYFUNCTION("""COMPUTED_VALUE"""),4545.45)</f>
        <v>4545.45</v>
      </c>
      <c r="M1591" s="33" t="str">
        <f ca="1">IFERROR(__xludf.DUMMYFUNCTION("""COMPUTED_VALUE"""),"03 ORL")</f>
        <v>03 ORL</v>
      </c>
      <c r="N1591" s="33" t="str">
        <f ca="1">IFERROR(__xludf.DUMMYFUNCTION("""COMPUTED_VALUE"""),"06 ORL")</f>
        <v>06 ORL</v>
      </c>
      <c r="O1591" s="33" t="str">
        <f ca="1">IFERROR(__xludf.DUMMYFUNCTION("""COMPUTED_VALUE"""),"Dr. Carlos Barajas Del Rosal")</f>
        <v>Dr. Carlos Barajas Del Rosal</v>
      </c>
      <c r="P1591" s="33" t="str">
        <f ca="1">IFERROR(__xludf.DUMMYFUNCTION("""COMPUTED_VALUE"""),"Lisandro Russian (Madrid, Cáceres, Toledo, Talavera Y Logroño)")</f>
        <v>Lisandro Russian (Madrid, Cáceres, Toledo, Talavera Y Logroño)</v>
      </c>
    </row>
    <row r="1592" spans="2:16">
      <c r="B1592" s="33">
        <f ca="1">IFERROR(__xludf.DUMMYFUNCTION("""COMPUTED_VALUE"""),2025)</f>
        <v>2025</v>
      </c>
      <c r="C1592" s="33">
        <f ca="1">IFERROR(__xludf.DUMMYFUNCTION("""COMPUTED_VALUE"""),12)</f>
        <v>12</v>
      </c>
      <c r="D1592" s="33" t="str">
        <f ca="1">IFERROR(__xludf.DUMMYFUNCTION("""COMPUTED_VALUE"""),"NO")</f>
        <v>NO</v>
      </c>
      <c r="E1592" s="33" t="str">
        <f ca="1">IFERROR(__xludf.DUMMYFUNCTION("""COMPUTED_VALUE"""),"San Javier")</f>
        <v>San Javier</v>
      </c>
      <c r="F1592" s="57">
        <f ca="1">IFERROR(__xludf.DUMMYFUNCTION("""COMPUTED_VALUE"""),45993)</f>
        <v>45993</v>
      </c>
      <c r="G1592" s="57">
        <f ca="1">IFERROR(__xludf.DUMMYFUNCTION("""COMPUTED_VALUE"""),45408)</f>
        <v>45408</v>
      </c>
      <c r="H1592" s="33" t="str">
        <f ca="1">IFERROR(__xludf.DUMMYFUNCTION("""COMPUTED_VALUE"""),"San Javier")</f>
        <v>San Javier</v>
      </c>
      <c r="I1592" s="33" t="str">
        <f ca="1">IFERROR(__xludf.DUMMYFUNCTION("""COMPUTED_VALUE"""),"MSJ-363")</f>
        <v>MSJ-363</v>
      </c>
      <c r="J1592" s="33" t="str">
        <f ca="1">IFERROR(__xludf.DUMMYFUNCTION("""COMPUTED_VALUE"""),"MARIA DOLORES PEREZ BOLAÑOS")</f>
        <v>MARIA DOLORES PEREZ BOLAÑOS</v>
      </c>
      <c r="K1592" s="33">
        <f ca="1">IFERROR(__xludf.DUMMYFUNCTION("""COMPUTED_VALUE"""),2)</f>
        <v>2</v>
      </c>
      <c r="L1592" s="203">
        <f ca="1">IFERROR(__xludf.DUMMYFUNCTION("""COMPUTED_VALUE"""),3612.97)</f>
        <v>3612.97</v>
      </c>
      <c r="M1592" s="33" t="str">
        <f ca="1">IFERROR(__xludf.DUMMYFUNCTION("""COMPUTED_VALUE"""),"01 MARKETING ON LINE")</f>
        <v>01 MARKETING ON LINE</v>
      </c>
      <c r="N1592" s="33" t="str">
        <f ca="1">IFERROR(__xludf.DUMMYFUNCTION("""COMPUTED_VALUE"""),"04 AUDIFONO,ES")</f>
        <v>04 AUDIFONO,ES</v>
      </c>
      <c r="O1592" s="33" t="str">
        <f ca="1">IFERROR(__xludf.DUMMYFUNCTION("""COMPUTED_VALUE"""),"RAQUEL GARCÍA MENCHERO")</f>
        <v>RAQUEL GARCÍA MENCHERO</v>
      </c>
      <c r="P1592" s="33"/>
    </row>
    <row r="1593" spans="2:16">
      <c r="B1593" s="33">
        <f ca="1">IFERROR(__xludf.DUMMYFUNCTION("""COMPUTED_VALUE"""),2025)</f>
        <v>2025</v>
      </c>
      <c r="C1593" s="33">
        <f ca="1">IFERROR(__xludf.DUMMYFUNCTION("""COMPUTED_VALUE"""),12)</f>
        <v>12</v>
      </c>
      <c r="D1593" s="33" t="str">
        <f ca="1">IFERROR(__xludf.DUMMYFUNCTION("""COMPUTED_VALUE"""),"NO")</f>
        <v>NO</v>
      </c>
      <c r="E1593" s="33" t="str">
        <f ca="1">IFERROR(__xludf.DUMMYFUNCTION("""COMPUTED_VALUE"""),"Cáceres")</f>
        <v>Cáceres</v>
      </c>
      <c r="F1593" s="57">
        <f ca="1">IFERROR(__xludf.DUMMYFUNCTION("""COMPUTED_VALUE"""),45993)</f>
        <v>45993</v>
      </c>
      <c r="G1593" s="57">
        <f ca="1">IFERROR(__xludf.DUMMYFUNCTION("""COMPUTED_VALUE"""),45945)</f>
        <v>45945</v>
      </c>
      <c r="H1593" s="33" t="str">
        <f ca="1">IFERROR(__xludf.DUMMYFUNCTION("""COMPUTED_VALUE"""),"Cáceres")</f>
        <v>Cáceres</v>
      </c>
      <c r="I1593" s="33" t="str">
        <f ca="1">IFERROR(__xludf.DUMMYFUNCTION("""COMPUTED_VALUE"""),"CAC-422")</f>
        <v>CAC-422</v>
      </c>
      <c r="J1593" s="33" t="str">
        <f ca="1">IFERROR(__xludf.DUMMYFUNCTION("""COMPUTED_VALUE"""),"SIXTO IGLESIAS LUENGO")</f>
        <v>SIXTO IGLESIAS LUENGO</v>
      </c>
      <c r="K1593" s="33">
        <f ca="1">IFERROR(__xludf.DUMMYFUNCTION("""COMPUTED_VALUE"""),2)</f>
        <v>2</v>
      </c>
      <c r="L1593" s="203">
        <f ca="1">IFERROR(__xludf.DUMMYFUNCTION("""COMPUTED_VALUE"""),4990.91)</f>
        <v>4990.91</v>
      </c>
      <c r="M1593" s="33" t="str">
        <f ca="1">IFERROR(__xludf.DUMMYFUNCTION("""COMPUTED_VALUE"""),"03 ORL")</f>
        <v>03 ORL</v>
      </c>
      <c r="N1593" s="33" t="str">
        <f ca="1">IFERROR(__xludf.DUMMYFUNCTION("""COMPUTED_VALUE"""),"06 ORL")</f>
        <v>06 ORL</v>
      </c>
      <c r="O1593" s="33" t="str">
        <f ca="1">IFERROR(__xludf.DUMMYFUNCTION("""COMPUTED_VALUE"""),"Dr, Andrés Paulino Herrera")</f>
        <v>Dr, Andrés Paulino Herrera</v>
      </c>
      <c r="P1593" s="33" t="str">
        <f ca="1">IFERROR(__xludf.DUMMYFUNCTION("""COMPUTED_VALUE"""),"Lisandro Russian (Madrid, Cáceres, Toledo, Talavera Y Logroño)")</f>
        <v>Lisandro Russian (Madrid, Cáceres, Toledo, Talavera Y Logroño)</v>
      </c>
    </row>
    <row r="1594" spans="2:16">
      <c r="B1594" s="33">
        <f ca="1">IFERROR(__xludf.DUMMYFUNCTION("""COMPUTED_VALUE"""),2025)</f>
        <v>2025</v>
      </c>
      <c r="C1594" s="33">
        <f ca="1">IFERROR(__xludf.DUMMYFUNCTION("""COMPUTED_VALUE"""),12)</f>
        <v>12</v>
      </c>
      <c r="D1594" s="33" t="str">
        <f ca="1">IFERROR(__xludf.DUMMYFUNCTION("""COMPUTED_VALUE"""),"NO")</f>
        <v>NO</v>
      </c>
      <c r="E1594" s="33" t="str">
        <f ca="1">IFERROR(__xludf.DUMMYFUNCTION("""COMPUTED_VALUE"""),"Murcia")</f>
        <v>Murcia</v>
      </c>
      <c r="F1594" s="57">
        <f ca="1">IFERROR(__xludf.DUMMYFUNCTION("""COMPUTED_VALUE"""),45993)</f>
        <v>45993</v>
      </c>
      <c r="G1594" s="57">
        <f ca="1">IFERROR(__xludf.DUMMYFUNCTION("""COMPUTED_VALUE"""),45959)</f>
        <v>45959</v>
      </c>
      <c r="H1594" s="33" t="str">
        <f ca="1">IFERROR(__xludf.DUMMYFUNCTION("""COMPUTED_VALUE"""),"Murcia")</f>
        <v>Murcia</v>
      </c>
      <c r="I1594" s="33" t="str">
        <f ca="1">IFERROR(__xludf.DUMMYFUNCTION("""COMPUTED_VALUE"""),"C202510291623250008")</f>
        <v>C202510291623250008</v>
      </c>
      <c r="J1594" s="33" t="str">
        <f ca="1">IFERROR(__xludf.DUMMYFUNCTION("""COMPUTED_VALUE"""),"ADELINA CANDELA MARTINEZ")</f>
        <v>ADELINA CANDELA MARTINEZ</v>
      </c>
      <c r="K1594" s="33">
        <f ca="1">IFERROR(__xludf.DUMMYFUNCTION("""COMPUTED_VALUE"""),2)</f>
        <v>2</v>
      </c>
      <c r="L1594" s="203">
        <f ca="1">IFERROR(__xludf.DUMMYFUNCTION("""COMPUTED_VALUE"""),4309.55)</f>
        <v>4309.55</v>
      </c>
      <c r="M1594" s="33" t="str">
        <f ca="1">IFERROR(__xludf.DUMMYFUNCTION("""COMPUTED_VALUE"""),"03 ORL")</f>
        <v>03 ORL</v>
      </c>
      <c r="N1594" s="33" t="str">
        <f ca="1">IFERROR(__xludf.DUMMYFUNCTION("""COMPUTED_VALUE"""),"06 ORL")</f>
        <v>06 ORL</v>
      </c>
      <c r="O1594" s="33" t="str">
        <f ca="1">IFERROR(__xludf.DUMMYFUNCTION("""COMPUTED_VALUE"""),"Dra, María Agustina Sevilla García")</f>
        <v>Dra, María Agustina Sevilla García</v>
      </c>
      <c r="P1594" s="33" t="str">
        <f ca="1">IFERROR(__xludf.DUMMYFUNCTION("""COMPUTED_VALUE"""),"Iván Sánchez (Levante Y Albacete)")</f>
        <v>Iván Sánchez (Levante Y Albacete)</v>
      </c>
    </row>
    <row r="1595" spans="2:16">
      <c r="B1595" s="33">
        <f ca="1">IFERROR(__xludf.DUMMYFUNCTION("""COMPUTED_VALUE"""),2025)</f>
        <v>2025</v>
      </c>
      <c r="C1595" s="33">
        <f ca="1">IFERROR(__xludf.DUMMYFUNCTION("""COMPUTED_VALUE"""),12)</f>
        <v>12</v>
      </c>
      <c r="D1595" s="33" t="str">
        <f ca="1">IFERROR(__xludf.DUMMYFUNCTION("""COMPUTED_VALUE"""),"NO")</f>
        <v>NO</v>
      </c>
      <c r="E1595" s="33" t="str">
        <f ca="1">IFERROR(__xludf.DUMMYFUNCTION("""COMPUTED_VALUE"""),"Valladolid")</f>
        <v>Valladolid</v>
      </c>
      <c r="F1595" s="57">
        <f ca="1">IFERROR(__xludf.DUMMYFUNCTION("""COMPUTED_VALUE"""),45994)</f>
        <v>45994</v>
      </c>
      <c r="G1595" s="57">
        <f ca="1">IFERROR(__xludf.DUMMYFUNCTION("""COMPUTED_VALUE"""),45954)</f>
        <v>45954</v>
      </c>
      <c r="H1595" s="33" t="str">
        <f ca="1">IFERROR(__xludf.DUMMYFUNCTION("""COMPUTED_VALUE"""),"Valladolid")</f>
        <v>Valladolid</v>
      </c>
      <c r="I1595" s="33" t="str">
        <f ca="1">IFERROR(__xludf.DUMMYFUNCTION("""COMPUTED_VALUE"""),"VLL-466")</f>
        <v>VLL-466</v>
      </c>
      <c r="J1595" s="33" t="str">
        <f ca="1">IFERROR(__xludf.DUMMYFUNCTION("""COMPUTED_VALUE"""),"RAQUEL URRACA PEREZ")</f>
        <v>RAQUEL URRACA PEREZ</v>
      </c>
      <c r="K1595" s="33">
        <f ca="1">IFERROR(__xludf.DUMMYFUNCTION("""COMPUTED_VALUE"""),2)</f>
        <v>2</v>
      </c>
      <c r="L1595" s="203">
        <f ca="1">IFERROR(__xludf.DUMMYFUNCTION("""COMPUTED_VALUE"""),4431.82)</f>
        <v>4431.82</v>
      </c>
      <c r="M1595" s="33" t="str">
        <f ca="1">IFERROR(__xludf.DUMMYFUNCTION("""COMPUTED_VALUE"""),"03 ORL")</f>
        <v>03 ORL</v>
      </c>
      <c r="N1595" s="33" t="str">
        <f ca="1">IFERROR(__xludf.DUMMYFUNCTION("""COMPUTED_VALUE"""),"06 ORL")</f>
        <v>06 ORL</v>
      </c>
      <c r="O1595" s="33" t="str">
        <f ca="1">IFERROR(__xludf.DUMMYFUNCTION("""COMPUTED_VALUE"""),"Dr. Manuel Acuña García")</f>
        <v>Dr. Manuel Acuña García</v>
      </c>
      <c r="P1595" s="33" t="str">
        <f ca="1">IFERROR(__xludf.DUMMYFUNCTION("""COMPUTED_VALUE"""),"Alberto Moreno (Madrid)")</f>
        <v>Alberto Moreno (Madrid)</v>
      </c>
    </row>
    <row r="1596" spans="2:16">
      <c r="B1596" s="33">
        <f ca="1">IFERROR(__xludf.DUMMYFUNCTION("""COMPUTED_VALUE"""),2025)</f>
        <v>2025</v>
      </c>
      <c r="C1596" s="33">
        <f ca="1">IFERROR(__xludf.DUMMYFUNCTION("""COMPUTED_VALUE"""),12)</f>
        <v>12</v>
      </c>
      <c r="D1596" s="33" t="str">
        <f ca="1">IFERROR(__xludf.DUMMYFUNCTION("""COMPUTED_VALUE"""),"NO")</f>
        <v>NO</v>
      </c>
      <c r="E1596" s="33" t="str">
        <f ca="1">IFERROR(__xludf.DUMMYFUNCTION("""COMPUTED_VALUE"""),"Valencia- Cádiz")</f>
        <v>Valencia- Cádiz</v>
      </c>
      <c r="F1596" s="57">
        <f ca="1">IFERROR(__xludf.DUMMYFUNCTION("""COMPUTED_VALUE"""),45994)</f>
        <v>45994</v>
      </c>
      <c r="G1596" s="57">
        <f ca="1">IFERROR(__xludf.DUMMYFUNCTION("""COMPUTED_VALUE"""),45915)</f>
        <v>45915</v>
      </c>
      <c r="H1596" s="33" t="str">
        <f ca="1">IFERROR(__xludf.DUMMYFUNCTION("""COMPUTED_VALUE"""),"Valencia- Cádiz")</f>
        <v>Valencia- Cádiz</v>
      </c>
      <c r="I1596" s="33" t="str">
        <f ca="1">IFERROR(__xludf.DUMMYFUNCTION("""COMPUTED_VALUE"""),"C202592616346179")</f>
        <v>C202592616346179</v>
      </c>
      <c r="J1596" s="33" t="str">
        <f ca="1">IFERROR(__xludf.DUMMYFUNCTION("""COMPUTED_VALUE"""),"ANTONIO MARIN SIBAJAS")</f>
        <v>ANTONIO MARIN SIBAJAS</v>
      </c>
      <c r="K1596" s="33">
        <f ca="1">IFERROR(__xludf.DUMMYFUNCTION("""COMPUTED_VALUE"""),1)</f>
        <v>1</v>
      </c>
      <c r="L1596" s="203">
        <f ca="1">IFERROR(__xludf.DUMMYFUNCTION("""COMPUTED_VALUE"""),872.36)</f>
        <v>872.36</v>
      </c>
      <c r="M1596" s="33" t="str">
        <f ca="1">IFERROR(__xludf.DUMMYFUNCTION("""COMPUTED_VALUE"""),"03 ORL")</f>
        <v>03 ORL</v>
      </c>
      <c r="N1596" s="33" t="str">
        <f ca="1">IFERROR(__xludf.DUMMYFUNCTION("""COMPUTED_VALUE"""),"06 ORL")</f>
        <v>06 ORL</v>
      </c>
      <c r="O1596" s="33" t="str">
        <f ca="1">IFERROR(__xludf.DUMMYFUNCTION("""COMPUTED_VALUE"""),"Dr, José Ramiro de León Lima")</f>
        <v>Dr, José Ramiro de León Lima</v>
      </c>
      <c r="P1596" s="33" t="str">
        <f ca="1">IFERROR(__xludf.DUMMYFUNCTION("""COMPUTED_VALUE"""),"Ramon Ferrando(Valencia)")</f>
        <v>Ramon Ferrando(Valencia)</v>
      </c>
    </row>
    <row r="1597" spans="2:16">
      <c r="B1597" s="33">
        <f ca="1">IFERROR(__xludf.DUMMYFUNCTION("""COMPUTED_VALUE"""),2025)</f>
        <v>2025</v>
      </c>
      <c r="C1597" s="33">
        <f ca="1">IFERROR(__xludf.DUMMYFUNCTION("""COMPUTED_VALUE"""),12)</f>
        <v>12</v>
      </c>
      <c r="D1597" s="33" t="str">
        <f ca="1">IFERROR(__xludf.DUMMYFUNCTION("""COMPUTED_VALUE"""),"NO")</f>
        <v>NO</v>
      </c>
      <c r="E1597" s="33" t="str">
        <f ca="1">IFERROR(__xludf.DUMMYFUNCTION("""COMPUTED_VALUE"""),"Torrejón de Ardoz")</f>
        <v>Torrejón de Ardoz</v>
      </c>
      <c r="F1597" s="57">
        <f ca="1">IFERROR(__xludf.DUMMYFUNCTION("""COMPUTED_VALUE"""),45994)</f>
        <v>45994</v>
      </c>
      <c r="G1597" s="57">
        <f ca="1">IFERROR(__xludf.DUMMYFUNCTION("""COMPUTED_VALUE"""),45951)</f>
        <v>45951</v>
      </c>
      <c r="H1597" s="33" t="str">
        <f ca="1">IFERROR(__xludf.DUMMYFUNCTION("""COMPUTED_VALUE"""),"Torrejón")</f>
        <v>Torrejón</v>
      </c>
      <c r="I1597" s="33" t="str">
        <f ca="1">IFERROR(__xludf.DUMMYFUNCTION("""COMPUTED_VALUE"""),"C202510211642317790")</f>
        <v>C202510211642317790</v>
      </c>
      <c r="J1597" s="33" t="str">
        <f ca="1">IFERROR(__xludf.DUMMYFUNCTION("""COMPUTED_VALUE"""),"CARLOS TOME FABIAN")</f>
        <v>CARLOS TOME FABIAN</v>
      </c>
      <c r="K1597" s="33">
        <f ca="1">IFERROR(__xludf.DUMMYFUNCTION("""COMPUTED_VALUE"""),2)</f>
        <v>2</v>
      </c>
      <c r="L1597" s="203">
        <f ca="1">IFERROR(__xludf.DUMMYFUNCTION("""COMPUTED_VALUE"""),2718.18)</f>
        <v>2718.18</v>
      </c>
      <c r="M1597" s="33" t="str">
        <f ca="1">IFERROR(__xludf.DUMMYFUNCTION("""COMPUTED_VALUE"""),"03 ORL")</f>
        <v>03 ORL</v>
      </c>
      <c r="N1597" s="33" t="str">
        <f ca="1">IFERROR(__xludf.DUMMYFUNCTION("""COMPUTED_VALUE"""),"06 ORL")</f>
        <v>06 ORL</v>
      </c>
      <c r="O1597" s="33" t="str">
        <f ca="1">IFERROR(__xludf.DUMMYFUNCTION("""COMPUTED_VALUE"""),"Dra, Marta Abad Pascual")</f>
        <v>Dra, Marta Abad Pascual</v>
      </c>
      <c r="P1597" s="33" t="str">
        <f ca="1">IFERROR(__xludf.DUMMYFUNCTION("""COMPUTED_VALUE"""),"Maika Blázquez (Madrid)")</f>
        <v>Maika Blázquez (Madrid)</v>
      </c>
    </row>
    <row r="1598" spans="2:16">
      <c r="B1598" s="33">
        <f ca="1">IFERROR(__xludf.DUMMYFUNCTION("""COMPUTED_VALUE"""),2025)</f>
        <v>2025</v>
      </c>
      <c r="C1598" s="33">
        <f ca="1">IFERROR(__xludf.DUMMYFUNCTION("""COMPUTED_VALUE"""),12)</f>
        <v>12</v>
      </c>
      <c r="D1598" s="33" t="str">
        <f ca="1">IFERROR(__xludf.DUMMYFUNCTION("""COMPUTED_VALUE"""),"NO")</f>
        <v>NO</v>
      </c>
      <c r="E1598" s="33" t="str">
        <f ca="1">IFERROR(__xludf.DUMMYFUNCTION("""COMPUTED_VALUE"""),"Alcorcón")</f>
        <v>Alcorcón</v>
      </c>
      <c r="F1598" s="57">
        <f ca="1">IFERROR(__xludf.DUMMYFUNCTION("""COMPUTED_VALUE"""),45994)</f>
        <v>45994</v>
      </c>
      <c r="G1598" s="57">
        <f ca="1">IFERROR(__xludf.DUMMYFUNCTION("""COMPUTED_VALUE"""),45961)</f>
        <v>45961</v>
      </c>
      <c r="H1598" s="33" t="str">
        <f ca="1">IFERROR(__xludf.DUMMYFUNCTION("""COMPUTED_VALUE"""),"Alcorcón")</f>
        <v>Alcorcón</v>
      </c>
      <c r="I1598" s="33" t="str">
        <f ca="1">IFERROR(__xludf.DUMMYFUNCTION("""COMPUTED_VALUE"""),"C202510311213219541")</f>
        <v>C202510311213219541</v>
      </c>
      <c r="J1598" s="33" t="str">
        <f ca="1">IFERROR(__xludf.DUMMYFUNCTION("""COMPUTED_VALUE"""),"MARIA SOLEDAD GOMEZ RODRIGUEZ")</f>
        <v>MARIA SOLEDAD GOMEZ RODRIGUEZ</v>
      </c>
      <c r="K1598" s="33">
        <f ca="1">IFERROR(__xludf.DUMMYFUNCTION("""COMPUTED_VALUE"""),2)</f>
        <v>2</v>
      </c>
      <c r="L1598" s="203">
        <f ca="1">IFERROR(__xludf.DUMMYFUNCTION("""COMPUTED_VALUE"""),2718.18)</f>
        <v>2718.18</v>
      </c>
      <c r="M1598" s="33" t="str">
        <f ca="1">IFERROR(__xludf.DUMMYFUNCTION("""COMPUTED_VALUE"""),"03 ORL")</f>
        <v>03 ORL</v>
      </c>
      <c r="N1598" s="33" t="str">
        <f ca="1">IFERROR(__xludf.DUMMYFUNCTION("""COMPUTED_VALUE"""),"06 ORL")</f>
        <v>06 ORL</v>
      </c>
      <c r="O1598" s="33" t="str">
        <f ca="1">IFERROR(__xludf.DUMMYFUNCTION("""COMPUTED_VALUE"""),"Dra, Esther Macon Liquete")</f>
        <v>Dra, Esther Macon Liquete</v>
      </c>
      <c r="P1598" s="33" t="str">
        <f ca="1">IFERROR(__xludf.DUMMYFUNCTION("""COMPUTED_VALUE"""),"Maika Blázquez (Madrid)")</f>
        <v>Maika Blázquez (Madrid)</v>
      </c>
    </row>
    <row r="1599" spans="2:16">
      <c r="B1599" s="33">
        <f ca="1">IFERROR(__xludf.DUMMYFUNCTION("""COMPUTED_VALUE"""),2025)</f>
        <v>2025</v>
      </c>
      <c r="C1599" s="33">
        <f ca="1">IFERROR(__xludf.DUMMYFUNCTION("""COMPUTED_VALUE"""),12)</f>
        <v>12</v>
      </c>
      <c r="D1599" s="33" t="str">
        <f ca="1">IFERROR(__xludf.DUMMYFUNCTION("""COMPUTED_VALUE"""),"NO")</f>
        <v>NO</v>
      </c>
      <c r="E1599" s="33" t="str">
        <f ca="1">IFERROR(__xludf.DUMMYFUNCTION("""COMPUTED_VALUE"""),"Madrid- Juan Bravo")</f>
        <v>Madrid- Juan Bravo</v>
      </c>
      <c r="F1599" s="57">
        <f ca="1">IFERROR(__xludf.DUMMYFUNCTION("""COMPUTED_VALUE"""),45994)</f>
        <v>45994</v>
      </c>
      <c r="G1599" s="57">
        <f ca="1">IFERROR(__xludf.DUMMYFUNCTION("""COMPUTED_VALUE"""),45959)</f>
        <v>45959</v>
      </c>
      <c r="H1599" s="33" t="str">
        <f ca="1">IFERROR(__xludf.DUMMYFUNCTION("""COMPUTED_VALUE"""),"Juan Bravo")</f>
        <v>Juan Bravo</v>
      </c>
      <c r="I1599" s="33" t="str">
        <f ca="1">IFERROR(__xludf.DUMMYFUNCTION("""COMPUTED_VALUE"""),"C202510299444788378")</f>
        <v>C202510299444788378</v>
      </c>
      <c r="J1599" s="33" t="str">
        <f ca="1">IFERROR(__xludf.DUMMYFUNCTION("""COMPUTED_VALUE"""),"GLORIA GARCIA BERNARDO")</f>
        <v>GLORIA GARCIA BERNARDO</v>
      </c>
      <c r="K1599" s="33">
        <f ca="1">IFERROR(__xludf.DUMMYFUNCTION("""COMPUTED_VALUE"""),2)</f>
        <v>2</v>
      </c>
      <c r="L1599" s="203">
        <f ca="1">IFERROR(__xludf.DUMMYFUNCTION("""COMPUTED_VALUE"""),2718.18)</f>
        <v>2718.18</v>
      </c>
      <c r="M1599" s="33" t="str">
        <f ca="1">IFERROR(__xludf.DUMMYFUNCTION("""COMPUTED_VALUE"""),"03 ORL")</f>
        <v>03 ORL</v>
      </c>
      <c r="N1599" s="33" t="str">
        <f ca="1">IFERROR(__xludf.DUMMYFUNCTION("""COMPUTED_VALUE"""),"06 ORL")</f>
        <v>06 ORL</v>
      </c>
      <c r="O1599" s="33" t="str">
        <f ca="1">IFERROR(__xludf.DUMMYFUNCTION("""COMPUTED_VALUE"""),"Dra, María Antonia Rodríguez Castejón")</f>
        <v>Dra, María Antonia Rodríguez Castejón</v>
      </c>
      <c r="P1599" s="33" t="str">
        <f ca="1">IFERROR(__xludf.DUMMYFUNCTION("""COMPUTED_VALUE"""),"Maika Blázquez (Madrid)")</f>
        <v>Maika Blázquez (Madrid)</v>
      </c>
    </row>
    <row r="1600" spans="2:16">
      <c r="B1600" s="33">
        <f ca="1">IFERROR(__xludf.DUMMYFUNCTION("""COMPUTED_VALUE"""),2025)</f>
        <v>2025</v>
      </c>
      <c r="C1600" s="33">
        <f ca="1">IFERROR(__xludf.DUMMYFUNCTION("""COMPUTED_VALUE"""),12)</f>
        <v>12</v>
      </c>
      <c r="D1600" s="33" t="str">
        <f ca="1">IFERROR(__xludf.DUMMYFUNCTION("""COMPUTED_VALUE"""),"NO")</f>
        <v>NO</v>
      </c>
      <c r="E1600" s="33" t="str">
        <f ca="1">IFERROR(__xludf.DUMMYFUNCTION("""COMPUTED_VALUE"""),"Ourense")</f>
        <v>Ourense</v>
      </c>
      <c r="F1600" s="57">
        <f ca="1">IFERROR(__xludf.DUMMYFUNCTION("""COMPUTED_VALUE"""),45994)</f>
        <v>45994</v>
      </c>
      <c r="G1600" s="57">
        <f ca="1">IFERROR(__xludf.DUMMYFUNCTION("""COMPUTED_VALUE"""),45944)</f>
        <v>45944</v>
      </c>
      <c r="H1600" s="33" t="str">
        <f ca="1">IFERROR(__xludf.DUMMYFUNCTION("""COMPUTED_VALUE"""),"Orense")</f>
        <v>Orense</v>
      </c>
      <c r="I1600" s="33" t="str">
        <f ca="1">IFERROR(__xludf.DUMMYFUNCTION("""COMPUTED_VALUE"""),"C202510141115167942")</f>
        <v>C202510141115167942</v>
      </c>
      <c r="J1600" s="33" t="str">
        <f ca="1">IFERROR(__xludf.DUMMYFUNCTION("""COMPUTED_VALUE"""),"MANUEL NARANJO PEREZ")</f>
        <v>MANUEL NARANJO PEREZ</v>
      </c>
      <c r="K1600" s="33">
        <f ca="1">IFERROR(__xludf.DUMMYFUNCTION("""COMPUTED_VALUE"""),2)</f>
        <v>2</v>
      </c>
      <c r="L1600" s="203">
        <f ca="1">IFERROR(__xludf.DUMMYFUNCTION("""COMPUTED_VALUE"""),4136.36)</f>
        <v>4136.3599999999997</v>
      </c>
      <c r="M1600" s="33" t="str">
        <f ca="1">IFERROR(__xludf.DUMMYFUNCTION("""COMPUTED_VALUE"""),"03 ORL")</f>
        <v>03 ORL</v>
      </c>
      <c r="N1600" s="33" t="str">
        <f ca="1">IFERROR(__xludf.DUMMYFUNCTION("""COMPUTED_VALUE"""),"06 ORL")</f>
        <v>06 ORL</v>
      </c>
      <c r="O1600" s="33" t="str">
        <f ca="1">IFERROR(__xludf.DUMMYFUNCTION("""COMPUTED_VALUE"""),"Dra, María Rey Marcos")</f>
        <v>Dra, María Rey Marcos</v>
      </c>
      <c r="P1600" s="33" t="str">
        <f ca="1">IFERROR(__xludf.DUMMYFUNCTION("""COMPUTED_VALUE"""),"Roberto Pereira (Galicia)")</f>
        <v>Roberto Pereira (Galicia)</v>
      </c>
    </row>
    <row r="1601" spans="2:16">
      <c r="B1601" s="33">
        <f ca="1">IFERROR(__xludf.DUMMYFUNCTION("""COMPUTED_VALUE"""),2025)</f>
        <v>2025</v>
      </c>
      <c r="C1601" s="33">
        <f ca="1">IFERROR(__xludf.DUMMYFUNCTION("""COMPUTED_VALUE"""),12)</f>
        <v>12</v>
      </c>
      <c r="D1601" s="33" t="str">
        <f ca="1">IFERROR(__xludf.DUMMYFUNCTION("""COMPUTED_VALUE"""),"NO")</f>
        <v>NO</v>
      </c>
      <c r="E1601" s="33" t="str">
        <f ca="1">IFERROR(__xludf.DUMMYFUNCTION("""COMPUTED_VALUE"""),"Valencia- Cádiz")</f>
        <v>Valencia- Cádiz</v>
      </c>
      <c r="F1601" s="57">
        <f ca="1">IFERROR(__xludf.DUMMYFUNCTION("""COMPUTED_VALUE"""),45994)</f>
        <v>45994</v>
      </c>
      <c r="G1601" s="57">
        <f ca="1">IFERROR(__xludf.DUMMYFUNCTION("""COMPUTED_VALUE"""),45945)</f>
        <v>45945</v>
      </c>
      <c r="H1601" s="33" t="str">
        <f ca="1">IFERROR(__xludf.DUMMYFUNCTION("""COMPUTED_VALUE"""),"Valencia- Cádiz")</f>
        <v>Valencia- Cádiz</v>
      </c>
      <c r="I1601" s="33" t="str">
        <f ca="1">IFERROR(__xludf.DUMMYFUNCTION("""COMPUTED_VALUE"""),"C202510151714476751")</f>
        <v>C202510151714476751</v>
      </c>
      <c r="J1601" s="33" t="str">
        <f ca="1">IFERROR(__xludf.DUMMYFUNCTION("""COMPUTED_VALUE"""),"ENCARNACIÓN GOMEZ SECO")</f>
        <v>ENCARNACIÓN GOMEZ SECO</v>
      </c>
      <c r="K1601" s="33">
        <f ca="1">IFERROR(__xludf.DUMMYFUNCTION("""COMPUTED_VALUE"""),1)</f>
        <v>1</v>
      </c>
      <c r="L1601" s="203">
        <f ca="1">IFERROR(__xludf.DUMMYFUNCTION("""COMPUTED_VALUE"""),2180.91)</f>
        <v>2180.91</v>
      </c>
      <c r="M1601" s="33" t="str">
        <f ca="1">IFERROR(__xludf.DUMMYFUNCTION("""COMPUTED_VALUE"""),"03 ORL")</f>
        <v>03 ORL</v>
      </c>
      <c r="N1601" s="33" t="str">
        <f ca="1">IFERROR(__xludf.DUMMYFUNCTION("""COMPUTED_VALUE"""),"06 ORL")</f>
        <v>06 ORL</v>
      </c>
      <c r="O1601" s="33" t="str">
        <f ca="1">IFERROR(__xludf.DUMMYFUNCTION("""COMPUTED_VALUE"""),"Dra, Celia López Molla")</f>
        <v>Dra, Celia López Molla</v>
      </c>
      <c r="P1601" s="33" t="str">
        <f ca="1">IFERROR(__xludf.DUMMYFUNCTION("""COMPUTED_VALUE"""),"Ramon Ferrando(Valencia)")</f>
        <v>Ramon Ferrando(Valencia)</v>
      </c>
    </row>
    <row r="1602" spans="2:16">
      <c r="B1602" s="33">
        <f ca="1">IFERROR(__xludf.DUMMYFUNCTION("""COMPUTED_VALUE"""),2025)</f>
        <v>2025</v>
      </c>
      <c r="C1602" s="33">
        <f ca="1">IFERROR(__xludf.DUMMYFUNCTION("""COMPUTED_VALUE"""),12)</f>
        <v>12</v>
      </c>
      <c r="D1602" s="33" t="str">
        <f ca="1">IFERROR(__xludf.DUMMYFUNCTION("""COMPUTED_VALUE"""),"NO")</f>
        <v>NO</v>
      </c>
      <c r="E1602" s="33" t="str">
        <f ca="1">IFERROR(__xludf.DUMMYFUNCTION("""COMPUTED_VALUE"""),"Murcia")</f>
        <v>Murcia</v>
      </c>
      <c r="F1602" s="57">
        <f ca="1">IFERROR(__xludf.DUMMYFUNCTION("""COMPUTED_VALUE"""),45994)</f>
        <v>45994</v>
      </c>
      <c r="G1602" s="57">
        <f ca="1">IFERROR(__xludf.DUMMYFUNCTION("""COMPUTED_VALUE"""),45972)</f>
        <v>45972</v>
      </c>
      <c r="H1602" s="33" t="str">
        <f ca="1">IFERROR(__xludf.DUMMYFUNCTION("""COMPUTED_VALUE"""),"Murcia")</f>
        <v>Murcia</v>
      </c>
      <c r="I1602" s="33" t="str">
        <f ca="1">IFERROR(__xludf.DUMMYFUNCTION("""COMPUTED_VALUE"""),"C202511111013678445")</f>
        <v>C202511111013678445</v>
      </c>
      <c r="J1602" s="33" t="str">
        <f ca="1">IFERROR(__xludf.DUMMYFUNCTION("""COMPUTED_VALUE"""),"JOSEFA SAEZ MARTINEZ")</f>
        <v>JOSEFA SAEZ MARTINEZ</v>
      </c>
      <c r="K1602" s="33">
        <f ca="1">IFERROR(__xludf.DUMMYFUNCTION("""COMPUTED_VALUE"""),1)</f>
        <v>1</v>
      </c>
      <c r="L1602" s="203">
        <f ca="1">IFERROR(__xludf.DUMMYFUNCTION("""COMPUTED_VALUE"""),2180.91)</f>
        <v>2180.91</v>
      </c>
      <c r="M1602" s="33" t="str">
        <f ca="1">IFERROR(__xludf.DUMMYFUNCTION("""COMPUTED_VALUE"""),"03 ORL")</f>
        <v>03 ORL</v>
      </c>
      <c r="N1602" s="33" t="str">
        <f ca="1">IFERROR(__xludf.DUMMYFUNCTION("""COMPUTED_VALUE"""),"06 ORL")</f>
        <v>06 ORL</v>
      </c>
      <c r="O1602" s="33" t="str">
        <f ca="1">IFERROR(__xludf.DUMMYFUNCTION("""COMPUTED_VALUE"""),"No recuerda ORL")</f>
        <v>No recuerda ORL</v>
      </c>
      <c r="P1602" s="33" t="str">
        <f ca="1">IFERROR(__xludf.DUMMYFUNCTION("""COMPUTED_VALUE"""),"Iván Sánchez (Levante Y Albacete)")</f>
        <v>Iván Sánchez (Levante Y Albacete)</v>
      </c>
    </row>
    <row r="1603" spans="2:16">
      <c r="B1603" s="33">
        <f ca="1">IFERROR(__xludf.DUMMYFUNCTION("""COMPUTED_VALUE"""),2025)</f>
        <v>2025</v>
      </c>
      <c r="C1603" s="33">
        <f ca="1">IFERROR(__xludf.DUMMYFUNCTION("""COMPUTED_VALUE"""),12)</f>
        <v>12</v>
      </c>
      <c r="D1603" s="33" t="str">
        <f ca="1">IFERROR(__xludf.DUMMYFUNCTION("""COMPUTED_VALUE"""),"NO")</f>
        <v>NO</v>
      </c>
      <c r="E1603" s="33" t="str">
        <f ca="1">IFERROR(__xludf.DUMMYFUNCTION("""COMPUTED_VALUE"""),"Culleredo")</f>
        <v>Culleredo</v>
      </c>
      <c r="F1603" s="57">
        <f ca="1">IFERROR(__xludf.DUMMYFUNCTION("""COMPUTED_VALUE"""),45995)</f>
        <v>45995</v>
      </c>
      <c r="G1603" s="57">
        <f ca="1">IFERROR(__xludf.DUMMYFUNCTION("""COMPUTED_VALUE"""),45933)</f>
        <v>45933</v>
      </c>
      <c r="H1603" s="33" t="str">
        <f ca="1">IFERROR(__xludf.DUMMYFUNCTION("""COMPUTED_VALUE"""),"Culleredo")</f>
        <v>Culleredo</v>
      </c>
      <c r="I1603" s="33" t="str">
        <f ca="1">IFERROR(__xludf.DUMMYFUNCTION("""COMPUTED_VALUE"""),"CULL-260")</f>
        <v>CULL-260</v>
      </c>
      <c r="J1603" s="33" t="str">
        <f ca="1">IFERROR(__xludf.DUMMYFUNCTION("""COMPUTED_VALUE"""),"SALVADOR GONZALEZ RODRIGUEZ")</f>
        <v>SALVADOR GONZALEZ RODRIGUEZ</v>
      </c>
      <c r="K1603" s="33">
        <f ca="1">IFERROR(__xludf.DUMMYFUNCTION("""COMPUTED_VALUE"""),2)</f>
        <v>2</v>
      </c>
      <c r="L1603" s="203">
        <f ca="1">IFERROR(__xludf.DUMMYFUNCTION("""COMPUTED_VALUE"""),3545.45)</f>
        <v>3545.45</v>
      </c>
      <c r="M1603" s="33" t="str">
        <f ca="1">IFERROR(__xludf.DUMMYFUNCTION("""COMPUTED_VALUE"""),"03 ORL")</f>
        <v>03 ORL</v>
      </c>
      <c r="N1603" s="33" t="str">
        <f ca="1">IFERROR(__xludf.DUMMYFUNCTION("""COMPUTED_VALUE"""),"06 ORL")</f>
        <v>06 ORL</v>
      </c>
      <c r="O1603" s="33" t="str">
        <f ca="1">IFERROR(__xludf.DUMMYFUNCTION("""COMPUTED_VALUE"""),"Dr. Miguel Mayo Yáñez")</f>
        <v>Dr. Miguel Mayo Yáñez</v>
      </c>
      <c r="P1603" s="33" t="str">
        <f ca="1">IFERROR(__xludf.DUMMYFUNCTION("""COMPUTED_VALUE"""),"Roberto Pereira (Galicia)")</f>
        <v>Roberto Pereira (Galicia)</v>
      </c>
    </row>
    <row r="1604" spans="2:16">
      <c r="B1604" s="33">
        <f ca="1">IFERROR(__xludf.DUMMYFUNCTION("""COMPUTED_VALUE"""),2025)</f>
        <v>2025</v>
      </c>
      <c r="C1604" s="33">
        <f ca="1">IFERROR(__xludf.DUMMYFUNCTION("""COMPUTED_VALUE"""),12)</f>
        <v>12</v>
      </c>
      <c r="D1604" s="33" t="str">
        <f ca="1">IFERROR(__xludf.DUMMYFUNCTION("""COMPUTED_VALUE"""),"NO")</f>
        <v>NO</v>
      </c>
      <c r="E1604" s="33" t="str">
        <f ca="1">IFERROR(__xludf.DUMMYFUNCTION("""COMPUTED_VALUE"""),"Valladolid")</f>
        <v>Valladolid</v>
      </c>
      <c r="F1604" s="57">
        <f ca="1">IFERROR(__xludf.DUMMYFUNCTION("""COMPUTED_VALUE"""),45995)</f>
        <v>45995</v>
      </c>
      <c r="G1604" s="57">
        <f ca="1">IFERROR(__xludf.DUMMYFUNCTION("""COMPUTED_VALUE"""),45950)</f>
        <v>45950</v>
      </c>
      <c r="H1604" s="33" t="str">
        <f ca="1">IFERROR(__xludf.DUMMYFUNCTION("""COMPUTED_VALUE"""),"Valladolid")</f>
        <v>Valladolid</v>
      </c>
      <c r="I1604" s="33" t="str">
        <f ca="1">IFERROR(__xludf.DUMMYFUNCTION("""COMPUTED_VALUE"""),"VLL-462")</f>
        <v>VLL-462</v>
      </c>
      <c r="J1604" s="33" t="str">
        <f ca="1">IFERROR(__xludf.DUMMYFUNCTION("""COMPUTED_VALUE"""),"JOSE ANGEL CASADO GOMEZ")</f>
        <v>JOSE ANGEL CASADO GOMEZ</v>
      </c>
      <c r="K1604" s="33">
        <f ca="1">IFERROR(__xludf.DUMMYFUNCTION("""COMPUTED_VALUE"""),1)</f>
        <v>1</v>
      </c>
      <c r="L1604" s="203">
        <f ca="1">IFERROR(__xludf.DUMMYFUNCTION("""COMPUTED_VALUE"""),2080)</f>
        <v>2080</v>
      </c>
      <c r="M1604" s="33" t="str">
        <f ca="1">IFERROR(__xludf.DUMMYFUNCTION("""COMPUTED_VALUE"""),"03 ORL")</f>
        <v>03 ORL</v>
      </c>
      <c r="N1604" s="33" t="str">
        <f ca="1">IFERROR(__xludf.DUMMYFUNCTION("""COMPUTED_VALUE"""),"06 ORL")</f>
        <v>06 ORL</v>
      </c>
      <c r="O1604" s="33" t="str">
        <f ca="1">IFERROR(__xludf.DUMMYFUNCTION("""COMPUTED_VALUE"""),"Dr. Jesús Eduardo Ramírez Salas")</f>
        <v>Dr. Jesús Eduardo Ramírez Salas</v>
      </c>
      <c r="P1604" s="33" t="str">
        <f ca="1">IFERROR(__xludf.DUMMYFUNCTION("""COMPUTED_VALUE"""),"Alberto Moreno (Madrid)")</f>
        <v>Alberto Moreno (Madrid)</v>
      </c>
    </row>
    <row r="1605" spans="2:16">
      <c r="B1605" s="33">
        <f ca="1">IFERROR(__xludf.DUMMYFUNCTION("""COMPUTED_VALUE"""),2025)</f>
        <v>2025</v>
      </c>
      <c r="C1605" s="33">
        <f ca="1">IFERROR(__xludf.DUMMYFUNCTION("""COMPUTED_VALUE"""),12)</f>
        <v>12</v>
      </c>
      <c r="D1605" s="33" t="str">
        <f ca="1">IFERROR(__xludf.DUMMYFUNCTION("""COMPUTED_VALUE"""),"NO")</f>
        <v>NO</v>
      </c>
      <c r="E1605" s="33" t="str">
        <f ca="1">IFERROR(__xludf.DUMMYFUNCTION("""COMPUTED_VALUE"""),"Madrid- Monforte de Lemos")</f>
        <v>Madrid- Monforte de Lemos</v>
      </c>
      <c r="F1605" s="57">
        <f ca="1">IFERROR(__xludf.DUMMYFUNCTION("""COMPUTED_VALUE"""),45995)</f>
        <v>45995</v>
      </c>
      <c r="G1605" s="57">
        <f ca="1">IFERROR(__xludf.DUMMYFUNCTION("""COMPUTED_VALUE"""),45967)</f>
        <v>45967</v>
      </c>
      <c r="H1605" s="33" t="str">
        <f ca="1">IFERROR(__xludf.DUMMYFUNCTION("""COMPUTED_VALUE"""),"La Vaguada")</f>
        <v>La Vaguada</v>
      </c>
      <c r="I1605" s="33" t="str">
        <f ca="1">IFERROR(__xludf.DUMMYFUNCTION("""COMPUTED_VALUE"""),"C202511611529364302")</f>
        <v>C202511611529364302</v>
      </c>
      <c r="J1605" s="33" t="str">
        <f ca="1">IFERROR(__xludf.DUMMYFUNCTION("""COMPUTED_VALUE"""),"CIRO RAFAEL PEREZ RAMIREZ")</f>
        <v>CIRO RAFAEL PEREZ RAMIREZ</v>
      </c>
      <c r="K1605" s="33">
        <f ca="1">IFERROR(__xludf.DUMMYFUNCTION("""COMPUTED_VALUE"""),2)</f>
        <v>2</v>
      </c>
      <c r="L1605" s="203">
        <f ca="1">IFERROR(__xludf.DUMMYFUNCTION("""COMPUTED_VALUE"""),3631.82)</f>
        <v>3631.82</v>
      </c>
      <c r="M1605" s="33" t="str">
        <f ca="1">IFERROR(__xludf.DUMMYFUNCTION("""COMPUTED_VALUE"""),"03 ORL")</f>
        <v>03 ORL</v>
      </c>
      <c r="N1605" s="33" t="str">
        <f ca="1">IFERROR(__xludf.DUMMYFUNCTION("""COMPUTED_VALUE"""),"06 ORL")</f>
        <v>06 ORL</v>
      </c>
      <c r="O1605" s="33" t="str">
        <f ca="1">IFERROR(__xludf.DUMMYFUNCTION("""COMPUTED_VALUE"""),"Dr, Ignacio Sierra Arbide")</f>
        <v>Dr, Ignacio Sierra Arbide</v>
      </c>
      <c r="P1605" s="33" t="str">
        <f ca="1">IFERROR(__xludf.DUMMYFUNCTION("""COMPUTED_VALUE"""),"Lisandro Russian (Madrid, Cáceres, Toledo, Talavera Y Logroño)")</f>
        <v>Lisandro Russian (Madrid, Cáceres, Toledo, Talavera Y Logroño)</v>
      </c>
    </row>
    <row r="1606" spans="2:16">
      <c r="B1606" s="33">
        <f ca="1">IFERROR(__xludf.DUMMYFUNCTION("""COMPUTED_VALUE"""),2025)</f>
        <v>2025</v>
      </c>
      <c r="C1606" s="33">
        <f ca="1">IFERROR(__xludf.DUMMYFUNCTION("""COMPUTED_VALUE"""),12)</f>
        <v>12</v>
      </c>
      <c r="D1606" s="33" t="str">
        <f ca="1">IFERROR(__xludf.DUMMYFUNCTION("""COMPUTED_VALUE"""),"NO")</f>
        <v>NO</v>
      </c>
      <c r="E1606" s="33" t="str">
        <f ca="1">IFERROR(__xludf.DUMMYFUNCTION("""COMPUTED_VALUE"""),"Ponferrada")</f>
        <v>Ponferrada</v>
      </c>
      <c r="F1606" s="57">
        <f ca="1">IFERROR(__xludf.DUMMYFUNCTION("""COMPUTED_VALUE"""),45995)</f>
        <v>45995</v>
      </c>
      <c r="G1606" s="57">
        <f ca="1">IFERROR(__xludf.DUMMYFUNCTION("""COMPUTED_VALUE"""),45901)</f>
        <v>45901</v>
      </c>
      <c r="H1606" s="33" t="str">
        <f ca="1">IFERROR(__xludf.DUMMYFUNCTION("""COMPUTED_VALUE"""),"Ponferrada")</f>
        <v>Ponferrada</v>
      </c>
      <c r="I1606" s="33" t="str">
        <f ca="1">IFERROR(__xludf.DUMMYFUNCTION("""COMPUTED_VALUE"""),"PON-976")</f>
        <v>PON-976</v>
      </c>
      <c r="J1606" s="33" t="str">
        <f ca="1">IFERROR(__xludf.DUMMYFUNCTION("""COMPUTED_VALUE"""),"LUIS ALVAREZ MOURE")</f>
        <v>LUIS ALVAREZ MOURE</v>
      </c>
      <c r="K1606" s="33">
        <f ca="1">IFERROR(__xludf.DUMMYFUNCTION("""COMPUTED_VALUE"""),2)</f>
        <v>2</v>
      </c>
      <c r="L1606" s="203">
        <f ca="1">IFERROR(__xludf.DUMMYFUNCTION("""COMPUTED_VALUE"""),3618.18)</f>
        <v>3618.18</v>
      </c>
      <c r="M1606" s="33" t="str">
        <f ca="1">IFERROR(__xludf.DUMMYFUNCTION("""COMPUTED_VALUE"""),"03 ORL")</f>
        <v>03 ORL</v>
      </c>
      <c r="N1606" s="33" t="str">
        <f ca="1">IFERROR(__xludf.DUMMYFUNCTION("""COMPUTED_VALUE"""),"06 ORL")</f>
        <v>06 ORL</v>
      </c>
      <c r="O1606" s="33" t="str">
        <f ca="1">IFERROR(__xludf.DUMMYFUNCTION("""COMPUTED_VALUE"""),"Dra, Mónica Granda Rosales")</f>
        <v>Dra, Mónica Granda Rosales</v>
      </c>
      <c r="P1606" s="33" t="str">
        <f ca="1">IFERROR(__xludf.DUMMYFUNCTION("""COMPUTED_VALUE"""),"Alberto Moreno (Madrid)")</f>
        <v>Alberto Moreno (Madrid)</v>
      </c>
    </row>
    <row r="1607" spans="2:16">
      <c r="B1607" s="33">
        <f ca="1">IFERROR(__xludf.DUMMYFUNCTION("""COMPUTED_VALUE"""),2025)</f>
        <v>2025</v>
      </c>
      <c r="C1607" s="33">
        <f ca="1">IFERROR(__xludf.DUMMYFUNCTION("""COMPUTED_VALUE"""),12)</f>
        <v>12</v>
      </c>
      <c r="D1607" s="33" t="str">
        <f ca="1">IFERROR(__xludf.DUMMYFUNCTION("""COMPUTED_VALUE"""),"NO")</f>
        <v>NO</v>
      </c>
      <c r="E1607" s="33" t="str">
        <f ca="1">IFERROR(__xludf.DUMMYFUNCTION("""COMPUTED_VALUE"""),"Alicante")</f>
        <v>Alicante</v>
      </c>
      <c r="F1607" s="57">
        <f ca="1">IFERROR(__xludf.DUMMYFUNCTION("""COMPUTED_VALUE"""),45995)</f>
        <v>45995</v>
      </c>
      <c r="G1607" s="57">
        <f ca="1">IFERROR(__xludf.DUMMYFUNCTION("""COMPUTED_VALUE"""),45971)</f>
        <v>45971</v>
      </c>
      <c r="H1607" s="33" t="str">
        <f ca="1">IFERROR(__xludf.DUMMYFUNCTION("""COMPUTED_VALUE"""),"Alicante")</f>
        <v>Alicante</v>
      </c>
      <c r="I1607" s="33" t="str">
        <f ca="1">IFERROR(__xludf.DUMMYFUNCTION("""COMPUTED_VALUE"""),"C202511101132331111")</f>
        <v>C202511101132331111</v>
      </c>
      <c r="J1607" s="33" t="str">
        <f ca="1">IFERROR(__xludf.DUMMYFUNCTION("""COMPUTED_VALUE"""),"ESPERANZA CAÑIZARES GUTIERREZ")</f>
        <v>ESPERANZA CAÑIZARES GUTIERREZ</v>
      </c>
      <c r="K1607" s="33">
        <f ca="1">IFERROR(__xludf.DUMMYFUNCTION("""COMPUTED_VALUE"""),2)</f>
        <v>2</v>
      </c>
      <c r="L1607" s="203">
        <f ca="1">IFERROR(__xludf.DUMMYFUNCTION("""COMPUTED_VALUE"""),4309.55)</f>
        <v>4309.55</v>
      </c>
      <c r="M1607" s="33" t="str">
        <f ca="1">IFERROR(__xludf.DUMMYFUNCTION("""COMPUTED_VALUE"""),"03 ORL")</f>
        <v>03 ORL</v>
      </c>
      <c r="N1607" s="33" t="str">
        <f ca="1">IFERROR(__xludf.DUMMYFUNCTION("""COMPUTED_VALUE"""),"06 ORL")</f>
        <v>06 ORL</v>
      </c>
      <c r="O1607" s="33" t="str">
        <f ca="1">IFERROR(__xludf.DUMMYFUNCTION("""COMPUTED_VALUE"""),"Dr, Francisco Pastor Beviá")</f>
        <v>Dr, Francisco Pastor Beviá</v>
      </c>
      <c r="P1607" s="33" t="str">
        <f ca="1">IFERROR(__xludf.DUMMYFUNCTION("""COMPUTED_VALUE"""),"Iván Sánchez (Levante Y Albacete)")</f>
        <v>Iván Sánchez (Levante Y Albacete)</v>
      </c>
    </row>
    <row r="1608" spans="2:16">
      <c r="B1608" s="33">
        <f ca="1">IFERROR(__xludf.DUMMYFUNCTION("""COMPUTED_VALUE"""),2025)</f>
        <v>2025</v>
      </c>
      <c r="C1608" s="33">
        <f ca="1">IFERROR(__xludf.DUMMYFUNCTION("""COMPUTED_VALUE"""),12)</f>
        <v>12</v>
      </c>
      <c r="D1608" s="33" t="str">
        <f ca="1">IFERROR(__xludf.DUMMYFUNCTION("""COMPUTED_VALUE"""),"NO")</f>
        <v>NO</v>
      </c>
      <c r="E1608" s="33" t="str">
        <f ca="1">IFERROR(__xludf.DUMMYFUNCTION("""COMPUTED_VALUE"""),"Madrid- Juan Bravo")</f>
        <v>Madrid- Juan Bravo</v>
      </c>
      <c r="F1608" s="57">
        <f ca="1">IFERROR(__xludf.DUMMYFUNCTION("""COMPUTED_VALUE"""),45995)</f>
        <v>45995</v>
      </c>
      <c r="G1608" s="57">
        <f ca="1">IFERROR(__xludf.DUMMYFUNCTION("""COMPUTED_VALUE"""),45959)</f>
        <v>45959</v>
      </c>
      <c r="H1608" s="33" t="str">
        <f ca="1">IFERROR(__xludf.DUMMYFUNCTION("""COMPUTED_VALUE"""),"Juan Bravo")</f>
        <v>Juan Bravo</v>
      </c>
      <c r="I1608" s="33" t="str">
        <f ca="1">IFERROR(__xludf.DUMMYFUNCTION("""COMPUTED_VALUE"""),"C202510291228995143")</f>
        <v>C202510291228995143</v>
      </c>
      <c r="J1608" s="33" t="str">
        <f ca="1">IFERROR(__xludf.DUMMYFUNCTION("""COMPUTED_VALUE"""),"GUADALUPE MARTINEZ MARTIN")</f>
        <v>GUADALUPE MARTINEZ MARTIN</v>
      </c>
      <c r="K1608" s="33">
        <f ca="1">IFERROR(__xludf.DUMMYFUNCTION("""COMPUTED_VALUE"""),2)</f>
        <v>2</v>
      </c>
      <c r="L1608" s="203">
        <f ca="1">IFERROR(__xludf.DUMMYFUNCTION("""COMPUTED_VALUE"""),4136.36)</f>
        <v>4136.3599999999997</v>
      </c>
      <c r="M1608" s="33" t="str">
        <f ca="1">IFERROR(__xludf.DUMMYFUNCTION("""COMPUTED_VALUE"""),"03 ORL")</f>
        <v>03 ORL</v>
      </c>
      <c r="N1608" s="33" t="str">
        <f ca="1">IFERROR(__xludf.DUMMYFUNCTION("""COMPUTED_VALUE"""),"06 ORL")</f>
        <v>06 ORL</v>
      </c>
      <c r="O1608" s="33" t="str">
        <f ca="1">IFERROR(__xludf.DUMMYFUNCTION("""COMPUTED_VALUE"""),"Dra, Inés Pastor Basterra")</f>
        <v>Dra, Inés Pastor Basterra</v>
      </c>
      <c r="P1608" s="33" t="str">
        <f ca="1">IFERROR(__xludf.DUMMYFUNCTION("""COMPUTED_VALUE"""),"Maika Blázquez (Madrid)")</f>
        <v>Maika Blázquez (Madrid)</v>
      </c>
    </row>
    <row r="1609" spans="2:16">
      <c r="B1609" s="33">
        <f ca="1">IFERROR(__xludf.DUMMYFUNCTION("""COMPUTED_VALUE"""),2025)</f>
        <v>2025</v>
      </c>
      <c r="C1609" s="33">
        <f ca="1">IFERROR(__xludf.DUMMYFUNCTION("""COMPUTED_VALUE"""),12)</f>
        <v>12</v>
      </c>
      <c r="D1609" s="33" t="str">
        <f ca="1">IFERROR(__xludf.DUMMYFUNCTION("""COMPUTED_VALUE"""),"NO")</f>
        <v>NO</v>
      </c>
      <c r="E1609" s="33" t="str">
        <f ca="1">IFERROR(__xludf.DUMMYFUNCTION("""COMPUTED_VALUE"""),"Madrid- Juan Bravo")</f>
        <v>Madrid- Juan Bravo</v>
      </c>
      <c r="F1609" s="57">
        <f ca="1">IFERROR(__xludf.DUMMYFUNCTION("""COMPUTED_VALUE"""),45995)</f>
        <v>45995</v>
      </c>
      <c r="G1609" s="57">
        <f ca="1">IFERROR(__xludf.DUMMYFUNCTION("""COMPUTED_VALUE"""),45972)</f>
        <v>45972</v>
      </c>
      <c r="H1609" s="33" t="str">
        <f ca="1">IFERROR(__xludf.DUMMYFUNCTION("""COMPUTED_VALUE"""),"Juan Bravo")</f>
        <v>Juan Bravo</v>
      </c>
      <c r="I1609" s="33" t="str">
        <f ca="1">IFERROR(__xludf.DUMMYFUNCTION("""COMPUTED_VALUE"""),"C202511119590519307")</f>
        <v>C202511119590519307</v>
      </c>
      <c r="J1609" s="33" t="str">
        <f ca="1">IFERROR(__xludf.DUMMYFUNCTION("""COMPUTED_VALUE"""),"MARGARITA BELCHI CARRASCO")</f>
        <v>MARGARITA BELCHI CARRASCO</v>
      </c>
      <c r="K1609" s="33">
        <f ca="1">IFERROR(__xludf.DUMMYFUNCTION("""COMPUTED_VALUE"""),2)</f>
        <v>2</v>
      </c>
      <c r="L1609" s="203">
        <f ca="1">IFERROR(__xludf.DUMMYFUNCTION("""COMPUTED_VALUE"""),2582.27)</f>
        <v>2582.27</v>
      </c>
      <c r="M1609" s="33" t="str">
        <f ca="1">IFERROR(__xludf.DUMMYFUNCTION("""COMPUTED_VALUE"""),"03 ORL")</f>
        <v>03 ORL</v>
      </c>
      <c r="N1609" s="33" t="str">
        <f ca="1">IFERROR(__xludf.DUMMYFUNCTION("""COMPUTED_VALUE"""),"06 ORL")</f>
        <v>06 ORL</v>
      </c>
      <c r="O1609" s="33" t="str">
        <f ca="1">IFERROR(__xludf.DUMMYFUNCTION("""COMPUTED_VALUE"""),"Dr, Javier García Domínguez")</f>
        <v>Dr, Javier García Domínguez</v>
      </c>
      <c r="P1609" s="33" t="str">
        <f ca="1">IFERROR(__xludf.DUMMYFUNCTION("""COMPUTED_VALUE"""),"Maika Blázquez (Madrid)")</f>
        <v>Maika Blázquez (Madrid)</v>
      </c>
    </row>
    <row r="1610" spans="2:16">
      <c r="B1610" s="33">
        <f ca="1">IFERROR(__xludf.DUMMYFUNCTION("""COMPUTED_VALUE"""),2025)</f>
        <v>2025</v>
      </c>
      <c r="C1610" s="33">
        <f ca="1">IFERROR(__xludf.DUMMYFUNCTION("""COMPUTED_VALUE"""),12)</f>
        <v>12</v>
      </c>
      <c r="D1610" s="33" t="str">
        <f ca="1">IFERROR(__xludf.DUMMYFUNCTION("""COMPUTED_VALUE"""),"NO")</f>
        <v>NO</v>
      </c>
      <c r="E1610" s="33" t="str">
        <f ca="1">IFERROR(__xludf.DUMMYFUNCTION("""COMPUTED_VALUE"""),"Ourense")</f>
        <v>Ourense</v>
      </c>
      <c r="F1610" s="57">
        <f ca="1">IFERROR(__xludf.DUMMYFUNCTION("""COMPUTED_VALUE"""),45996)</f>
        <v>45996</v>
      </c>
      <c r="G1610" s="57">
        <f ca="1">IFERROR(__xludf.DUMMYFUNCTION("""COMPUTED_VALUE"""),45980)</f>
        <v>45980</v>
      </c>
      <c r="H1610" s="33" t="str">
        <f ca="1">IFERROR(__xludf.DUMMYFUNCTION("""COMPUTED_VALUE"""),"Orense")</f>
        <v>Orense</v>
      </c>
      <c r="I1610" s="33" t="str">
        <f ca="1">IFERROR(__xludf.DUMMYFUNCTION("""COMPUTED_VALUE"""),"C202511191035455379")</f>
        <v>C202511191035455379</v>
      </c>
      <c r="J1610" s="33" t="str">
        <f ca="1">IFERROR(__xludf.DUMMYFUNCTION("""COMPUTED_VALUE"""),"MARIA LIDIA FERNANDEZ RODRIGUEZ")</f>
        <v>MARIA LIDIA FERNANDEZ RODRIGUEZ</v>
      </c>
      <c r="K1610" s="33">
        <f ca="1">IFERROR(__xludf.DUMMYFUNCTION("""COMPUTED_VALUE"""),1)</f>
        <v>1</v>
      </c>
      <c r="L1610" s="203">
        <f ca="1">IFERROR(__xludf.DUMMYFUNCTION("""COMPUTED_VALUE"""),2180.91)</f>
        <v>2180.91</v>
      </c>
      <c r="M1610" s="33" t="str">
        <f ca="1">IFERROR(__xludf.DUMMYFUNCTION("""COMPUTED_VALUE"""),"03 ORL")</f>
        <v>03 ORL</v>
      </c>
      <c r="N1610" s="33" t="str">
        <f ca="1">IFERROR(__xludf.DUMMYFUNCTION("""COMPUTED_VALUE"""),"06 ORL")</f>
        <v>06 ORL</v>
      </c>
      <c r="O1610" s="33" t="str">
        <f ca="1">IFERROR(__xludf.DUMMYFUNCTION("""COMPUTED_VALUE"""),"Dra, María Rey Marcos")</f>
        <v>Dra, María Rey Marcos</v>
      </c>
      <c r="P1610" s="33" t="str">
        <f ca="1">IFERROR(__xludf.DUMMYFUNCTION("""COMPUTED_VALUE"""),"Roberto Pereira (Galicia)")</f>
        <v>Roberto Pereira (Galicia)</v>
      </c>
    </row>
    <row r="1611" spans="2:16">
      <c r="B1611" s="33">
        <f ca="1">IFERROR(__xludf.DUMMYFUNCTION("""COMPUTED_VALUE"""),2025)</f>
        <v>2025</v>
      </c>
      <c r="C1611" s="33">
        <f ca="1">IFERROR(__xludf.DUMMYFUNCTION("""COMPUTED_VALUE"""),12)</f>
        <v>12</v>
      </c>
      <c r="D1611" s="33" t="str">
        <f ca="1">IFERROR(__xludf.DUMMYFUNCTION("""COMPUTED_VALUE"""),"NO")</f>
        <v>NO</v>
      </c>
      <c r="E1611" s="33" t="str">
        <f ca="1">IFERROR(__xludf.DUMMYFUNCTION("""COMPUTED_VALUE"""),"Getafe")</f>
        <v>Getafe</v>
      </c>
      <c r="F1611" s="57">
        <f ca="1">IFERROR(__xludf.DUMMYFUNCTION("""COMPUTED_VALUE"""),45996)</f>
        <v>45996</v>
      </c>
      <c r="G1611" s="57">
        <f ca="1">IFERROR(__xludf.DUMMYFUNCTION("""COMPUTED_VALUE"""),45944)</f>
        <v>45944</v>
      </c>
      <c r="H1611" s="33" t="str">
        <f ca="1">IFERROR(__xludf.DUMMYFUNCTION("""COMPUTED_VALUE"""),"Getafe")</f>
        <v>Getafe</v>
      </c>
      <c r="I1611" s="33" t="str">
        <f ca="1">IFERROR(__xludf.DUMMYFUNCTION("""COMPUTED_VALUE"""),"C202510141139851465")</f>
        <v>C202510141139851465</v>
      </c>
      <c r="J1611" s="33" t="str">
        <f ca="1">IFERROR(__xludf.DUMMYFUNCTION("""COMPUTED_VALUE"""),"PILAR SÁNZ ÁLVAREZ")</f>
        <v>PILAR SÁNZ ÁLVAREZ</v>
      </c>
      <c r="K1611" s="33">
        <f ca="1">IFERROR(__xludf.DUMMYFUNCTION("""COMPUTED_VALUE"""),2)</f>
        <v>2</v>
      </c>
      <c r="L1611" s="203">
        <f ca="1">IFERROR(__xludf.DUMMYFUNCTION("""COMPUTED_VALUE"""),3363.64)</f>
        <v>3363.64</v>
      </c>
      <c r="M1611" s="33" t="str">
        <f ca="1">IFERROR(__xludf.DUMMYFUNCTION("""COMPUTED_VALUE"""),"03 ORL")</f>
        <v>03 ORL</v>
      </c>
      <c r="N1611" s="33" t="str">
        <f ca="1">IFERROR(__xludf.DUMMYFUNCTION("""COMPUTED_VALUE"""),"06 ORL")</f>
        <v>06 ORL</v>
      </c>
      <c r="O1611" s="33" t="str">
        <f ca="1">IFERROR(__xludf.DUMMYFUNCTION("""COMPUTED_VALUE"""),"Dra, María Garrote Garrote")</f>
        <v>Dra, María Garrote Garrote</v>
      </c>
      <c r="P1611" s="33" t="str">
        <f ca="1">IFERROR(__xludf.DUMMYFUNCTION("""COMPUTED_VALUE"""),"Maika Blázquez (Madrid)")</f>
        <v>Maika Blázquez (Madrid)</v>
      </c>
    </row>
    <row r="1612" spans="2:16">
      <c r="B1612" s="33">
        <f ca="1">IFERROR(__xludf.DUMMYFUNCTION("""COMPUTED_VALUE"""),2025)</f>
        <v>2025</v>
      </c>
      <c r="C1612" s="33">
        <f ca="1">IFERROR(__xludf.DUMMYFUNCTION("""COMPUTED_VALUE"""),12)</f>
        <v>12</v>
      </c>
      <c r="D1612" s="33" t="str">
        <f ca="1">IFERROR(__xludf.DUMMYFUNCTION("""COMPUTED_VALUE"""),"NO")</f>
        <v>NO</v>
      </c>
      <c r="E1612" s="33" t="str">
        <f ca="1">IFERROR(__xludf.DUMMYFUNCTION("""COMPUTED_VALUE"""),"Murcia")</f>
        <v>Murcia</v>
      </c>
      <c r="F1612" s="57">
        <f ca="1">IFERROR(__xludf.DUMMYFUNCTION("""COMPUTED_VALUE"""),45996)</f>
        <v>45996</v>
      </c>
      <c r="G1612" s="57">
        <f ca="1">IFERROR(__xludf.DUMMYFUNCTION("""COMPUTED_VALUE"""),45966)</f>
        <v>45966</v>
      </c>
      <c r="H1612" s="33" t="str">
        <f ca="1">IFERROR(__xludf.DUMMYFUNCTION("""COMPUTED_VALUE"""),"Murcia")</f>
        <v>Murcia</v>
      </c>
      <c r="I1612" s="33" t="str">
        <f ca="1">IFERROR(__xludf.DUMMYFUNCTION("""COMPUTED_VALUE"""),"C202511517111135123")</f>
        <v>C202511517111135123</v>
      </c>
      <c r="J1612" s="33" t="str">
        <f ca="1">IFERROR(__xludf.DUMMYFUNCTION("""COMPUTED_VALUE"""),"JOSE ANTONIO ABENZA PASTOR")</f>
        <v>JOSE ANTONIO ABENZA PASTOR</v>
      </c>
      <c r="K1612" s="33">
        <f ca="1">IFERROR(__xludf.DUMMYFUNCTION("""COMPUTED_VALUE"""),1)</f>
        <v>1</v>
      </c>
      <c r="L1612" s="203">
        <f ca="1">IFERROR(__xludf.DUMMYFUNCTION("""COMPUTED_VALUE"""),2180.91)</f>
        <v>2180.91</v>
      </c>
      <c r="M1612" s="33" t="str">
        <f ca="1">IFERROR(__xludf.DUMMYFUNCTION("""COMPUTED_VALUE"""),"03 ORL")</f>
        <v>03 ORL</v>
      </c>
      <c r="N1612" s="33" t="str">
        <f ca="1">IFERROR(__xludf.DUMMYFUNCTION("""COMPUTED_VALUE"""),"06 ORL")</f>
        <v>06 ORL</v>
      </c>
      <c r="O1612" s="33" t="str">
        <f ca="1">IFERROR(__xludf.DUMMYFUNCTION("""COMPUTED_VALUE"""),"Dra, María Agustina Sevilla García")</f>
        <v>Dra, María Agustina Sevilla García</v>
      </c>
      <c r="P1612" s="33" t="str">
        <f ca="1">IFERROR(__xludf.DUMMYFUNCTION("""COMPUTED_VALUE"""),"Iván Sánchez (Levante Y Albacete)")</f>
        <v>Iván Sánchez (Levante Y Albacete)</v>
      </c>
    </row>
    <row r="1613" spans="2:16">
      <c r="B1613" s="33">
        <f ca="1">IFERROR(__xludf.DUMMYFUNCTION("""COMPUTED_VALUE"""),2025)</f>
        <v>2025</v>
      </c>
      <c r="C1613" s="33">
        <f ca="1">IFERROR(__xludf.DUMMYFUNCTION("""COMPUTED_VALUE"""),12)</f>
        <v>12</v>
      </c>
      <c r="D1613" s="33" t="str">
        <f ca="1">IFERROR(__xludf.DUMMYFUNCTION("""COMPUTED_VALUE"""),"NO")</f>
        <v>NO</v>
      </c>
      <c r="E1613" s="33" t="str">
        <f ca="1">IFERROR(__xludf.DUMMYFUNCTION("""COMPUTED_VALUE"""),"León")</f>
        <v>León</v>
      </c>
      <c r="F1613" s="57">
        <f ca="1">IFERROR(__xludf.DUMMYFUNCTION("""COMPUTED_VALUE"""),46000)</f>
        <v>46000</v>
      </c>
      <c r="G1613" s="57">
        <f ca="1">IFERROR(__xludf.DUMMYFUNCTION("""COMPUTED_VALUE"""),45811)</f>
        <v>45811</v>
      </c>
      <c r="H1613" s="33" t="str">
        <f ca="1">IFERROR(__xludf.DUMMYFUNCTION("""COMPUTED_VALUE"""),"León")</f>
        <v>León</v>
      </c>
      <c r="I1613" s="33" t="str">
        <f ca="1">IFERROR(__xludf.DUMMYFUNCTION("""COMPUTED_VALUE"""),"LEO-483")</f>
        <v>LEO-483</v>
      </c>
      <c r="J1613" s="33" t="str">
        <f ca="1">IFERROR(__xludf.DUMMYFUNCTION("""COMPUTED_VALUE"""),"MARIA ELENA GONZALEZ DEL CANTO")</f>
        <v>MARIA ELENA GONZALEZ DEL CANTO</v>
      </c>
      <c r="K1613" s="33">
        <f ca="1">IFERROR(__xludf.DUMMYFUNCTION("""COMPUTED_VALUE"""),2)</f>
        <v>2</v>
      </c>
      <c r="L1613" s="203">
        <f ca="1">IFERROR(__xludf.DUMMYFUNCTION("""COMPUTED_VALUE"""),4134.62)</f>
        <v>4134.62</v>
      </c>
      <c r="M1613" s="33" t="str">
        <f ca="1">IFERROR(__xludf.DUMMYFUNCTION("""COMPUTED_VALUE"""),"03 ORL")</f>
        <v>03 ORL</v>
      </c>
      <c r="N1613" s="33" t="str">
        <f ca="1">IFERROR(__xludf.DUMMYFUNCTION("""COMPUTED_VALUE"""),"06 ORL")</f>
        <v>06 ORL</v>
      </c>
      <c r="O1613" s="33" t="str">
        <f ca="1">IFERROR(__xludf.DUMMYFUNCTION("""COMPUTED_VALUE"""),"Dr. Rafael Pérez González")</f>
        <v>Dr. Rafael Pérez González</v>
      </c>
      <c r="P1613" s="33" t="str">
        <f ca="1">IFERROR(__xludf.DUMMYFUNCTION("""COMPUTED_VALUE"""),"Patricia Solache (Castilla Y León)")</f>
        <v>Patricia Solache (Castilla Y León)</v>
      </c>
    </row>
    <row r="1614" spans="2:16">
      <c r="B1614" s="33">
        <f ca="1">IFERROR(__xludf.DUMMYFUNCTION("""COMPUTED_VALUE"""),2025)</f>
        <v>2025</v>
      </c>
      <c r="C1614" s="33">
        <f ca="1">IFERROR(__xludf.DUMMYFUNCTION("""COMPUTED_VALUE"""),12)</f>
        <v>12</v>
      </c>
      <c r="D1614" s="33" t="str">
        <f ca="1">IFERROR(__xludf.DUMMYFUNCTION("""COMPUTED_VALUE"""),"NO")</f>
        <v>NO</v>
      </c>
      <c r="E1614" s="33" t="str">
        <f ca="1">IFERROR(__xludf.DUMMYFUNCTION("""COMPUTED_VALUE"""),"Valencia- Cádiz")</f>
        <v>Valencia- Cádiz</v>
      </c>
      <c r="F1614" s="57">
        <f ca="1">IFERROR(__xludf.DUMMYFUNCTION("""COMPUTED_VALUE"""),46000)</f>
        <v>46000</v>
      </c>
      <c r="G1614" s="57">
        <f ca="1">IFERROR(__xludf.DUMMYFUNCTION("""COMPUTED_VALUE"""),45918)</f>
        <v>45918</v>
      </c>
      <c r="H1614" s="33" t="str">
        <f ca="1">IFERROR(__xludf.DUMMYFUNCTION("""COMPUTED_VALUE"""),"Valencia- Cádiz")</f>
        <v>Valencia- Cádiz</v>
      </c>
      <c r="I1614" s="33" t="str">
        <f ca="1">IFERROR(__xludf.DUMMYFUNCTION("""COMPUTED_VALUE"""),"C2025106123231664")</f>
        <v>C2025106123231664</v>
      </c>
      <c r="J1614" s="33" t="str">
        <f ca="1">IFERROR(__xludf.DUMMYFUNCTION("""COMPUTED_VALUE"""),"RAMON ALAPONT PLANELLS")</f>
        <v>RAMON ALAPONT PLANELLS</v>
      </c>
      <c r="K1614" s="33">
        <f ca="1">IFERROR(__xludf.DUMMYFUNCTION("""COMPUTED_VALUE"""),2)</f>
        <v>2</v>
      </c>
      <c r="L1614" s="203">
        <f ca="1">IFERROR(__xludf.DUMMYFUNCTION("""COMPUTED_VALUE"""),3450.23)</f>
        <v>3450.23</v>
      </c>
      <c r="M1614" s="33" t="str">
        <f ca="1">IFERROR(__xludf.DUMMYFUNCTION("""COMPUTED_VALUE"""),"03 ORL")</f>
        <v>03 ORL</v>
      </c>
      <c r="N1614" s="33" t="str">
        <f ca="1">IFERROR(__xludf.DUMMYFUNCTION("""COMPUTED_VALUE"""),"06 ORL")</f>
        <v>06 ORL</v>
      </c>
      <c r="O1614" s="33" t="str">
        <f ca="1">IFERROR(__xludf.DUMMYFUNCTION("""COMPUTED_VALUE"""),"Dr, Alfonso García Piñero")</f>
        <v>Dr, Alfonso García Piñero</v>
      </c>
      <c r="P1614" s="33" t="str">
        <f ca="1">IFERROR(__xludf.DUMMYFUNCTION("""COMPUTED_VALUE"""),"Iván Sánchez (Levante Y Albacete)")</f>
        <v>Iván Sánchez (Levante Y Albacete)</v>
      </c>
    </row>
    <row r="1615" spans="2:16">
      <c r="B1615" s="33">
        <f ca="1">IFERROR(__xludf.DUMMYFUNCTION("""COMPUTED_VALUE"""),2025)</f>
        <v>2025</v>
      </c>
      <c r="C1615" s="33">
        <f ca="1">IFERROR(__xludf.DUMMYFUNCTION("""COMPUTED_VALUE"""),12)</f>
        <v>12</v>
      </c>
      <c r="D1615" s="33" t="str">
        <f ca="1">IFERROR(__xludf.DUMMYFUNCTION("""COMPUTED_VALUE"""),"NO")</f>
        <v>NO</v>
      </c>
      <c r="E1615" s="33" t="str">
        <f ca="1">IFERROR(__xludf.DUMMYFUNCTION("""COMPUTED_VALUE"""),"Madrid- Costa Rica")</f>
        <v>Madrid- Costa Rica</v>
      </c>
      <c r="F1615" s="57">
        <f ca="1">IFERROR(__xludf.DUMMYFUNCTION("""COMPUTED_VALUE"""),46000)</f>
        <v>46000</v>
      </c>
      <c r="G1615" s="57">
        <f ca="1">IFERROR(__xludf.DUMMYFUNCTION("""COMPUTED_VALUE"""),45945)</f>
        <v>45945</v>
      </c>
      <c r="H1615" s="33" t="str">
        <f ca="1">IFERROR(__xludf.DUMMYFUNCTION("""COMPUTED_VALUE"""),"Costa Rica")</f>
        <v>Costa Rica</v>
      </c>
      <c r="I1615" s="33" t="str">
        <f ca="1">IFERROR(__xludf.DUMMYFUNCTION("""COMPUTED_VALUE"""),"C202510151420103828")</f>
        <v>C202510151420103828</v>
      </c>
      <c r="J1615" s="33" t="str">
        <f ca="1">IFERROR(__xludf.DUMMYFUNCTION("""COMPUTED_VALUE"""),"PILAR  DIEZ RAMOS")</f>
        <v>PILAR  DIEZ RAMOS</v>
      </c>
      <c r="K1615" s="33">
        <f ca="1">IFERROR(__xludf.DUMMYFUNCTION("""COMPUTED_VALUE"""),1)</f>
        <v>1</v>
      </c>
      <c r="L1615" s="203">
        <f ca="1">IFERROR(__xludf.DUMMYFUNCTION("""COMPUTED_VALUE"""),2162.73)</f>
        <v>2162.73</v>
      </c>
      <c r="M1615" s="33" t="str">
        <f ca="1">IFERROR(__xludf.DUMMYFUNCTION("""COMPUTED_VALUE"""),"03 ORL")</f>
        <v>03 ORL</v>
      </c>
      <c r="N1615" s="33" t="str">
        <f ca="1">IFERROR(__xludf.DUMMYFUNCTION("""COMPUTED_VALUE"""),"06 ORL")</f>
        <v>06 ORL</v>
      </c>
      <c r="O1615" s="33" t="str">
        <f ca="1">IFERROR(__xludf.DUMMYFUNCTION("""COMPUTED_VALUE"""),"Dra, Karla Natali Montaño Rueda")</f>
        <v>Dra, Karla Natali Montaño Rueda</v>
      </c>
      <c r="P1615" s="33" t="str">
        <f ca="1">IFERROR(__xludf.DUMMYFUNCTION("""COMPUTED_VALUE"""),"Maika Blázquez (Madrid)")</f>
        <v>Maika Blázquez (Madrid)</v>
      </c>
    </row>
    <row r="1616" spans="2:16">
      <c r="B1616" s="33">
        <f ca="1">IFERROR(__xludf.DUMMYFUNCTION("""COMPUTED_VALUE"""),2025)</f>
        <v>2025</v>
      </c>
      <c r="C1616" s="33">
        <f ca="1">IFERROR(__xludf.DUMMYFUNCTION("""COMPUTED_VALUE"""),12)</f>
        <v>12</v>
      </c>
      <c r="D1616" s="33" t="str">
        <f ca="1">IFERROR(__xludf.DUMMYFUNCTION("""COMPUTED_VALUE"""),"NO")</f>
        <v>NO</v>
      </c>
      <c r="E1616" s="33" t="str">
        <f ca="1">IFERROR(__xludf.DUMMYFUNCTION("""COMPUTED_VALUE"""),"Orihuela")</f>
        <v>Orihuela</v>
      </c>
      <c r="F1616" s="57">
        <f ca="1">IFERROR(__xludf.DUMMYFUNCTION("""COMPUTED_VALUE"""),46000)</f>
        <v>46000</v>
      </c>
      <c r="G1616" s="57">
        <f ca="1">IFERROR(__xludf.DUMMYFUNCTION("""COMPUTED_VALUE"""),45971)</f>
        <v>45971</v>
      </c>
      <c r="H1616" s="33" t="str">
        <f ca="1">IFERROR(__xludf.DUMMYFUNCTION("""COMPUTED_VALUE"""),"La Zenia")</f>
        <v>La Zenia</v>
      </c>
      <c r="I1616" s="33" t="str">
        <f ca="1">IFERROR(__xludf.DUMMYFUNCTION("""COMPUTED_VALUE"""),"C202511101140825794")</f>
        <v>C202511101140825794</v>
      </c>
      <c r="J1616" s="33" t="str">
        <f ca="1">IFERROR(__xludf.DUMMYFUNCTION("""COMPUTED_VALUE"""),"STUART WILLIAM HORROCKS")</f>
        <v>STUART WILLIAM HORROCKS</v>
      </c>
      <c r="K1616" s="33">
        <f ca="1">IFERROR(__xludf.DUMMYFUNCTION("""COMPUTED_VALUE"""),2)</f>
        <v>2</v>
      </c>
      <c r="L1616" s="203">
        <f ca="1">IFERROR(__xludf.DUMMYFUNCTION("""COMPUTED_VALUE"""),4136.36)</f>
        <v>4136.3599999999997</v>
      </c>
      <c r="M1616" s="33" t="str">
        <f ca="1">IFERROR(__xludf.DUMMYFUNCTION("""COMPUTED_VALUE"""),"03 ORL")</f>
        <v>03 ORL</v>
      </c>
      <c r="N1616" s="33" t="str">
        <f ca="1">IFERROR(__xludf.DUMMYFUNCTION("""COMPUTED_VALUE"""),"06 ORL")</f>
        <v>06 ORL</v>
      </c>
      <c r="O1616" s="33" t="str">
        <f ca="1">IFERROR(__xludf.DUMMYFUNCTION("""COMPUTED_VALUE"""),"Dr, Carlos Velásquez Fermín")</f>
        <v>Dr, Carlos Velásquez Fermín</v>
      </c>
      <c r="P1616" s="33" t="str">
        <f ca="1">IFERROR(__xludf.DUMMYFUNCTION("""COMPUTED_VALUE"""),"Iván Sánchez (Levante Y Albacete)")</f>
        <v>Iván Sánchez (Levante Y Albacete)</v>
      </c>
    </row>
    <row r="1617" spans="2:16">
      <c r="B1617" s="33">
        <f ca="1">IFERROR(__xludf.DUMMYFUNCTION("""COMPUTED_VALUE"""),2025)</f>
        <v>2025</v>
      </c>
      <c r="C1617" s="33">
        <f ca="1">IFERROR(__xludf.DUMMYFUNCTION("""COMPUTED_VALUE"""),12)</f>
        <v>12</v>
      </c>
      <c r="D1617" s="33" t="str">
        <f ca="1">IFERROR(__xludf.DUMMYFUNCTION("""COMPUTED_VALUE"""),"NO")</f>
        <v>NO</v>
      </c>
      <c r="E1617" s="33" t="str">
        <f ca="1">IFERROR(__xludf.DUMMYFUNCTION("""COMPUTED_VALUE"""),"Badajoz")</f>
        <v>Badajoz</v>
      </c>
      <c r="F1617" s="57">
        <f ca="1">IFERROR(__xludf.DUMMYFUNCTION("""COMPUTED_VALUE"""),46000)</f>
        <v>46000</v>
      </c>
      <c r="G1617" s="57">
        <f ca="1">IFERROR(__xludf.DUMMYFUNCTION("""COMPUTED_VALUE"""),45953)</f>
        <v>45953</v>
      </c>
      <c r="H1617" s="33" t="str">
        <f ca="1">IFERROR(__xludf.DUMMYFUNCTION("""COMPUTED_VALUE"""),"Badajoz")</f>
        <v>Badajoz</v>
      </c>
      <c r="I1617" s="33" t="str">
        <f ca="1">IFERROR(__xludf.DUMMYFUNCTION("""COMPUTED_VALUE"""),"BJZE-2536")</f>
        <v>BJZE-2536</v>
      </c>
      <c r="J1617" s="33" t="str">
        <f ca="1">IFERROR(__xludf.DUMMYFUNCTION("""COMPUTED_VALUE"""),"GREGORIA DOMINGUEZ PEREZ")</f>
        <v>GREGORIA DOMINGUEZ PEREZ</v>
      </c>
      <c r="K1617" s="33">
        <f ca="1">IFERROR(__xludf.DUMMYFUNCTION("""COMPUTED_VALUE"""),2)</f>
        <v>2</v>
      </c>
      <c r="L1617" s="203">
        <f ca="1">IFERROR(__xludf.DUMMYFUNCTION("""COMPUTED_VALUE"""),3263.64)</f>
        <v>3263.64</v>
      </c>
      <c r="M1617" s="33" t="str">
        <f ca="1">IFERROR(__xludf.DUMMYFUNCTION("""COMPUTED_VALUE"""),"03 ORL")</f>
        <v>03 ORL</v>
      </c>
      <c r="N1617" s="33" t="str">
        <f ca="1">IFERROR(__xludf.DUMMYFUNCTION("""COMPUTED_VALUE"""),"06 ORL")</f>
        <v>06 ORL</v>
      </c>
      <c r="O1617" s="33" t="str">
        <f ca="1">IFERROR(__xludf.DUMMYFUNCTION("""COMPUTED_VALUE"""),"Dr, Carlos Montero García")</f>
        <v>Dr, Carlos Montero García</v>
      </c>
      <c r="P1617" s="33" t="str">
        <f ca="1">IFERROR(__xludf.DUMMYFUNCTION("""COMPUTED_VALUE"""),"Luis Alberto Rodríguez (Andalucía y Badajoz)")</f>
        <v>Luis Alberto Rodríguez (Andalucía y Badajoz)</v>
      </c>
    </row>
    <row r="1618" spans="2:16">
      <c r="B1618" s="33">
        <f ca="1">IFERROR(__xludf.DUMMYFUNCTION("""COMPUTED_VALUE"""),2025)</f>
        <v>2025</v>
      </c>
      <c r="C1618" s="33">
        <f ca="1">IFERROR(__xludf.DUMMYFUNCTION("""COMPUTED_VALUE"""),12)</f>
        <v>12</v>
      </c>
      <c r="D1618" s="33" t="str">
        <f ca="1">IFERROR(__xludf.DUMMYFUNCTION("""COMPUTED_VALUE"""),"NO")</f>
        <v>NO</v>
      </c>
      <c r="E1618" s="33" t="str">
        <f ca="1">IFERROR(__xludf.DUMMYFUNCTION("""COMPUTED_VALUE"""),"Alicante")</f>
        <v>Alicante</v>
      </c>
      <c r="F1618" s="57">
        <f ca="1">IFERROR(__xludf.DUMMYFUNCTION("""COMPUTED_VALUE"""),46000)</f>
        <v>46000</v>
      </c>
      <c r="G1618" s="57">
        <f ca="1">IFERROR(__xludf.DUMMYFUNCTION("""COMPUTED_VALUE"""),45964)</f>
        <v>45964</v>
      </c>
      <c r="H1618" s="33" t="str">
        <f ca="1">IFERROR(__xludf.DUMMYFUNCTION("""COMPUTED_VALUE"""),"Alicante")</f>
        <v>Alicante</v>
      </c>
      <c r="I1618" s="33" t="str">
        <f ca="1">IFERROR(__xludf.DUMMYFUNCTION("""COMPUTED_VALUE"""),"C202511311355108852")</f>
        <v>C202511311355108852</v>
      </c>
      <c r="J1618" s="33" t="str">
        <f ca="1">IFERROR(__xludf.DUMMYFUNCTION("""COMPUTED_VALUE"""),"RAFAEL GARCIA CASANOVA")</f>
        <v>RAFAEL GARCIA CASANOVA</v>
      </c>
      <c r="K1618" s="33">
        <f ca="1">IFERROR(__xludf.DUMMYFUNCTION("""COMPUTED_VALUE"""),2)</f>
        <v>2</v>
      </c>
      <c r="L1618" s="203">
        <f ca="1">IFERROR(__xludf.DUMMYFUNCTION("""COMPUTED_VALUE"""),2718.18)</f>
        <v>2718.18</v>
      </c>
      <c r="M1618" s="33" t="str">
        <f ca="1">IFERROR(__xludf.DUMMYFUNCTION("""COMPUTED_VALUE"""),"03 ORL")</f>
        <v>03 ORL</v>
      </c>
      <c r="N1618" s="33" t="str">
        <f ca="1">IFERROR(__xludf.DUMMYFUNCTION("""COMPUTED_VALUE"""),"06 ORL")</f>
        <v>06 ORL</v>
      </c>
      <c r="O1618" s="33" t="str">
        <f ca="1">IFERROR(__xludf.DUMMYFUNCTION("""COMPUTED_VALUE"""),"Dr, Félix Ruíz de la Cuesta Juste")</f>
        <v>Dr, Félix Ruíz de la Cuesta Juste</v>
      </c>
      <c r="P1618" s="33" t="str">
        <f ca="1">IFERROR(__xludf.DUMMYFUNCTION("""COMPUTED_VALUE"""),"Iván Sánchez (Levante Y Albacete)")</f>
        <v>Iván Sánchez (Levante Y Albacete)</v>
      </c>
    </row>
    <row r="1619" spans="2:16">
      <c r="B1619" s="33">
        <f ca="1">IFERROR(__xludf.DUMMYFUNCTION("""COMPUTED_VALUE"""),2025)</f>
        <v>2025</v>
      </c>
      <c r="C1619" s="33">
        <f ca="1">IFERROR(__xludf.DUMMYFUNCTION("""COMPUTED_VALUE"""),12)</f>
        <v>12</v>
      </c>
      <c r="D1619" s="33" t="str">
        <f ca="1">IFERROR(__xludf.DUMMYFUNCTION("""COMPUTED_VALUE"""),"NO")</f>
        <v>NO</v>
      </c>
      <c r="E1619" s="33" t="str">
        <f ca="1">IFERROR(__xludf.DUMMYFUNCTION("""COMPUTED_VALUE"""),"Getafe")</f>
        <v>Getafe</v>
      </c>
      <c r="F1619" s="57">
        <f ca="1">IFERROR(__xludf.DUMMYFUNCTION("""COMPUTED_VALUE"""),46000)</f>
        <v>46000</v>
      </c>
      <c r="G1619" s="57">
        <f ca="1">IFERROR(__xludf.DUMMYFUNCTION("""COMPUTED_VALUE"""),45953)</f>
        <v>45953</v>
      </c>
      <c r="H1619" s="33" t="str">
        <f ca="1">IFERROR(__xludf.DUMMYFUNCTION("""COMPUTED_VALUE"""),"Getafe")</f>
        <v>Getafe</v>
      </c>
      <c r="I1619" s="33" t="str">
        <f ca="1">IFERROR(__xludf.DUMMYFUNCTION("""COMPUTED_VALUE"""),"C202510231749396501")</f>
        <v>C202510231749396501</v>
      </c>
      <c r="J1619" s="33" t="str">
        <f ca="1">IFERROR(__xludf.DUMMYFUNCTION("""COMPUTED_VALUE"""),"FELICIANO MARTÍNEZ MEGÍAS")</f>
        <v>FELICIANO MARTÍNEZ MEGÍAS</v>
      </c>
      <c r="K1619" s="33">
        <f ca="1">IFERROR(__xludf.DUMMYFUNCTION("""COMPUTED_VALUE"""),2)</f>
        <v>2</v>
      </c>
      <c r="L1619" s="203">
        <f ca="1">IFERROR(__xludf.DUMMYFUNCTION("""COMPUTED_VALUE"""),2718.18)</f>
        <v>2718.18</v>
      </c>
      <c r="M1619" s="33" t="str">
        <f ca="1">IFERROR(__xludf.DUMMYFUNCTION("""COMPUTED_VALUE"""),"03 ORL")</f>
        <v>03 ORL</v>
      </c>
      <c r="N1619" s="33" t="str">
        <f ca="1">IFERROR(__xludf.DUMMYFUNCTION("""COMPUTED_VALUE"""),"06 ORL")</f>
        <v>06 ORL</v>
      </c>
      <c r="O1619" s="33" t="str">
        <f ca="1">IFERROR(__xludf.DUMMYFUNCTION("""COMPUTED_VALUE"""),"Dra, Marta Colmenero Ruiz")</f>
        <v>Dra, Marta Colmenero Ruiz</v>
      </c>
      <c r="P1619" s="33" t="str">
        <f ca="1">IFERROR(__xludf.DUMMYFUNCTION("""COMPUTED_VALUE"""),"Maika Blázquez (Madrid)")</f>
        <v>Maika Blázquez (Madrid)</v>
      </c>
    </row>
    <row r="1620" spans="2:16">
      <c r="B1620" s="33">
        <f ca="1">IFERROR(__xludf.DUMMYFUNCTION("""COMPUTED_VALUE"""),2025)</f>
        <v>2025</v>
      </c>
      <c r="C1620" s="33">
        <f ca="1">IFERROR(__xludf.DUMMYFUNCTION("""COMPUTED_VALUE"""),12)</f>
        <v>12</v>
      </c>
      <c r="D1620" s="33" t="str">
        <f ca="1">IFERROR(__xludf.DUMMYFUNCTION("""COMPUTED_VALUE"""),"NO")</f>
        <v>NO</v>
      </c>
      <c r="E1620" s="33" t="str">
        <f ca="1">IFERROR(__xludf.DUMMYFUNCTION("""COMPUTED_VALUE"""),"León")</f>
        <v>León</v>
      </c>
      <c r="F1620" s="57">
        <f ca="1">IFERROR(__xludf.DUMMYFUNCTION("""COMPUTED_VALUE"""),46001)</f>
        <v>46001</v>
      </c>
      <c r="G1620" s="57">
        <f ca="1">IFERROR(__xludf.DUMMYFUNCTION("""COMPUTED_VALUE"""),45986)</f>
        <v>45986</v>
      </c>
      <c r="H1620" s="33" t="str">
        <f ca="1">IFERROR(__xludf.DUMMYFUNCTION("""COMPUTED_VALUE"""),"León")</f>
        <v>León</v>
      </c>
      <c r="I1620" s="33" t="str">
        <f ca="1">IFERROR(__xludf.DUMMYFUNCTION("""COMPUTED_VALUE"""),"LEO-593")</f>
        <v>LEO-593</v>
      </c>
      <c r="J1620" s="33" t="str">
        <f ca="1">IFERROR(__xludf.DUMMYFUNCTION("""COMPUTED_VALUE"""),"ALFREDO GONZALEZ FERNANDEZ")</f>
        <v>ALFREDO GONZALEZ FERNANDEZ</v>
      </c>
      <c r="K1620" s="33">
        <f ca="1">IFERROR(__xludf.DUMMYFUNCTION("""COMPUTED_VALUE"""),2)</f>
        <v>2</v>
      </c>
      <c r="L1620" s="203">
        <f ca="1">IFERROR(__xludf.DUMMYFUNCTION("""COMPUTED_VALUE"""),1818.18)</f>
        <v>1818.18</v>
      </c>
      <c r="M1620" s="33" t="str">
        <f ca="1">IFERROR(__xludf.DUMMYFUNCTION("""COMPUTED_VALUE"""),"03 ORL")</f>
        <v>03 ORL</v>
      </c>
      <c r="N1620" s="33" t="str">
        <f ca="1">IFERROR(__xludf.DUMMYFUNCTION("""COMPUTED_VALUE"""),"06 ORL")</f>
        <v>06 ORL</v>
      </c>
      <c r="O1620" s="33" t="str">
        <f ca="1">IFERROR(__xludf.DUMMYFUNCTION("""COMPUTED_VALUE"""),"Dra. Mónica Granda Rosales")</f>
        <v>Dra. Mónica Granda Rosales</v>
      </c>
      <c r="P1620" s="33" t="str">
        <f ca="1">IFERROR(__xludf.DUMMYFUNCTION("""COMPUTED_VALUE"""),"Alberto Moreno (Madrid)")</f>
        <v>Alberto Moreno (Madrid)</v>
      </c>
    </row>
    <row r="1621" spans="2:16">
      <c r="B1621" s="33">
        <f ca="1">IFERROR(__xludf.DUMMYFUNCTION("""COMPUTED_VALUE"""),2025)</f>
        <v>2025</v>
      </c>
      <c r="C1621" s="33">
        <f ca="1">IFERROR(__xludf.DUMMYFUNCTION("""COMPUTED_VALUE"""),12)</f>
        <v>12</v>
      </c>
      <c r="D1621" s="33" t="str">
        <f ca="1">IFERROR(__xludf.DUMMYFUNCTION("""COMPUTED_VALUE"""),"NO")</f>
        <v>NO</v>
      </c>
      <c r="E1621" s="33" t="str">
        <f ca="1">IFERROR(__xludf.DUMMYFUNCTION("""COMPUTED_VALUE"""),"Alicante")</f>
        <v>Alicante</v>
      </c>
      <c r="F1621" s="57">
        <f ca="1">IFERROR(__xludf.DUMMYFUNCTION("""COMPUTED_VALUE"""),46001)</f>
        <v>46001</v>
      </c>
      <c r="G1621" s="57">
        <f ca="1">IFERROR(__xludf.DUMMYFUNCTION("""COMPUTED_VALUE"""),45966)</f>
        <v>45966</v>
      </c>
      <c r="H1621" s="33" t="str">
        <f ca="1">IFERROR(__xludf.DUMMYFUNCTION("""COMPUTED_VALUE"""),"Alicante")</f>
        <v>Alicante</v>
      </c>
      <c r="I1621" s="33" t="str">
        <f ca="1">IFERROR(__xludf.DUMMYFUNCTION("""COMPUTED_VALUE"""),"C202511510201532322")</f>
        <v>C202511510201532322</v>
      </c>
      <c r="J1621" s="33" t="str">
        <f ca="1">IFERROR(__xludf.DUMMYFUNCTION("""COMPUTED_VALUE"""),"MARIA TERESA MEDINA SANTILLANA")</f>
        <v>MARIA TERESA MEDINA SANTILLANA</v>
      </c>
      <c r="K1621" s="33">
        <f ca="1">IFERROR(__xludf.DUMMYFUNCTION("""COMPUTED_VALUE"""),2)</f>
        <v>2</v>
      </c>
      <c r="L1621" s="203">
        <f ca="1">IFERROR(__xludf.DUMMYFUNCTION("""COMPUTED_VALUE"""),3631.82)</f>
        <v>3631.82</v>
      </c>
      <c r="M1621" s="33" t="str">
        <f ca="1">IFERROR(__xludf.DUMMYFUNCTION("""COMPUTED_VALUE"""),"03 ORL")</f>
        <v>03 ORL</v>
      </c>
      <c r="N1621" s="33" t="str">
        <f ca="1">IFERROR(__xludf.DUMMYFUNCTION("""COMPUTED_VALUE"""),"06 ORL")</f>
        <v>06 ORL</v>
      </c>
      <c r="O1621" s="33" t="str">
        <f ca="1">IFERROR(__xludf.DUMMYFUNCTION("""COMPUTED_VALUE"""),"Dra, Cristina Muñoz Pinto")</f>
        <v>Dra, Cristina Muñoz Pinto</v>
      </c>
      <c r="P1621" s="33" t="str">
        <f ca="1">IFERROR(__xludf.DUMMYFUNCTION("""COMPUTED_VALUE"""),"Iván Sánchez (Levante Y Albacete)")</f>
        <v>Iván Sánchez (Levante Y Albacete)</v>
      </c>
    </row>
    <row r="1622" spans="2:16">
      <c r="B1622" s="33">
        <f ca="1">IFERROR(__xludf.DUMMYFUNCTION("""COMPUTED_VALUE"""),2025)</f>
        <v>2025</v>
      </c>
      <c r="C1622" s="33">
        <f ca="1">IFERROR(__xludf.DUMMYFUNCTION("""COMPUTED_VALUE"""),12)</f>
        <v>12</v>
      </c>
      <c r="D1622" s="33" t="str">
        <f ca="1">IFERROR(__xludf.DUMMYFUNCTION("""COMPUTED_VALUE"""),"NO")</f>
        <v>NO</v>
      </c>
      <c r="E1622" s="33" t="str">
        <f ca="1">IFERROR(__xludf.DUMMYFUNCTION("""COMPUTED_VALUE"""),"Leganés")</f>
        <v>Leganés</v>
      </c>
      <c r="F1622" s="57">
        <f ca="1">IFERROR(__xludf.DUMMYFUNCTION("""COMPUTED_VALUE"""),46001)</f>
        <v>46001</v>
      </c>
      <c r="G1622" s="57">
        <f ca="1">IFERROR(__xludf.DUMMYFUNCTION("""COMPUTED_VALUE"""),45967)</f>
        <v>45967</v>
      </c>
      <c r="H1622" s="33" t="str">
        <f ca="1">IFERROR(__xludf.DUMMYFUNCTION("""COMPUTED_VALUE"""),"Leganés")</f>
        <v>Leganés</v>
      </c>
      <c r="I1622" s="33" t="str">
        <f ca="1">IFERROR(__xludf.DUMMYFUNCTION("""COMPUTED_VALUE"""),"C202511695723748573")</f>
        <v>C202511695723748573</v>
      </c>
      <c r="J1622" s="33" t="str">
        <f ca="1">IFERROR(__xludf.DUMMYFUNCTION("""COMPUTED_VALUE"""),"CRISTOBAL GARCIA LINARES")</f>
        <v>CRISTOBAL GARCIA LINARES</v>
      </c>
      <c r="K1622" s="33">
        <f ca="1">IFERROR(__xludf.DUMMYFUNCTION("""COMPUTED_VALUE"""),2)</f>
        <v>2</v>
      </c>
      <c r="L1622" s="203">
        <f ca="1">IFERROR(__xludf.DUMMYFUNCTION("""COMPUTED_VALUE"""),3450)</f>
        <v>3450</v>
      </c>
      <c r="M1622" s="33" t="str">
        <f ca="1">IFERROR(__xludf.DUMMYFUNCTION("""COMPUTED_VALUE"""),"03 ORL")</f>
        <v>03 ORL</v>
      </c>
      <c r="N1622" s="33" t="str">
        <f ca="1">IFERROR(__xludf.DUMMYFUNCTION("""COMPUTED_VALUE"""),"06 ORL")</f>
        <v>06 ORL</v>
      </c>
      <c r="O1622" s="33" t="str">
        <f ca="1">IFERROR(__xludf.DUMMYFUNCTION("""COMPUTED_VALUE"""),"Dra, Desirée Méndez Brenderbache")</f>
        <v>Dra, Desirée Méndez Brenderbache</v>
      </c>
      <c r="P1622" s="33" t="str">
        <f ca="1">IFERROR(__xludf.DUMMYFUNCTION("""COMPUTED_VALUE"""),"Maika Blázquez (Madrid)")</f>
        <v>Maika Blázquez (Madrid)</v>
      </c>
    </row>
    <row r="1623" spans="2:16">
      <c r="B1623" s="33">
        <f ca="1">IFERROR(__xludf.DUMMYFUNCTION("""COMPUTED_VALUE"""),2025)</f>
        <v>2025</v>
      </c>
      <c r="C1623" s="33">
        <f ca="1">IFERROR(__xludf.DUMMYFUNCTION("""COMPUTED_VALUE"""),12)</f>
        <v>12</v>
      </c>
      <c r="D1623" s="33" t="str">
        <f ca="1">IFERROR(__xludf.DUMMYFUNCTION("""COMPUTED_VALUE"""),"NO")</f>
        <v>NO</v>
      </c>
      <c r="E1623" s="33" t="str">
        <f ca="1">IFERROR(__xludf.DUMMYFUNCTION("""COMPUTED_VALUE"""),"Madrid- La Oca")</f>
        <v>Madrid- La Oca</v>
      </c>
      <c r="F1623" s="57">
        <f ca="1">IFERROR(__xludf.DUMMYFUNCTION("""COMPUTED_VALUE"""),46001)</f>
        <v>46001</v>
      </c>
      <c r="G1623" s="57">
        <f ca="1">IFERROR(__xludf.DUMMYFUNCTION("""COMPUTED_VALUE"""),45952)</f>
        <v>45952</v>
      </c>
      <c r="H1623" s="33" t="str">
        <f ca="1">IFERROR(__xludf.DUMMYFUNCTION("""COMPUTED_VALUE"""),"La Oca")</f>
        <v>La Oca</v>
      </c>
      <c r="I1623" s="33" t="str">
        <f ca="1">IFERROR(__xludf.DUMMYFUNCTION("""COMPUTED_VALUE"""),"C202510221040289161")</f>
        <v>C202510221040289161</v>
      </c>
      <c r="J1623" s="33" t="str">
        <f ca="1">IFERROR(__xludf.DUMMYFUNCTION("""COMPUTED_VALUE"""),"LUISA BORNES BLANCO")</f>
        <v>LUISA BORNES BLANCO</v>
      </c>
      <c r="K1623" s="33">
        <f ca="1">IFERROR(__xludf.DUMMYFUNCTION("""COMPUTED_VALUE"""),2)</f>
        <v>2</v>
      </c>
      <c r="L1623" s="203">
        <f ca="1">IFERROR(__xludf.DUMMYFUNCTION("""COMPUTED_VALUE"""),2582.27)</f>
        <v>2582.27</v>
      </c>
      <c r="M1623" s="33" t="str">
        <f ca="1">IFERROR(__xludf.DUMMYFUNCTION("""COMPUTED_VALUE"""),"03 ORL")</f>
        <v>03 ORL</v>
      </c>
      <c r="N1623" s="33" t="str">
        <f ca="1">IFERROR(__xludf.DUMMYFUNCTION("""COMPUTED_VALUE"""),"06 ORL")</f>
        <v>06 ORL</v>
      </c>
      <c r="O1623" s="33" t="str">
        <f ca="1">IFERROR(__xludf.DUMMYFUNCTION("""COMPUTED_VALUE"""),"Dr, Oscar A, Sánchez Valenzuela")</f>
        <v>Dr, Oscar A, Sánchez Valenzuela</v>
      </c>
      <c r="P1623" s="33" t="str">
        <f ca="1">IFERROR(__xludf.DUMMYFUNCTION("""COMPUTED_VALUE"""),"Maika Blázquez (Madrid)")</f>
        <v>Maika Blázquez (Madrid)</v>
      </c>
    </row>
    <row r="1624" spans="2:16">
      <c r="B1624" s="33">
        <f ca="1">IFERROR(__xludf.DUMMYFUNCTION("""COMPUTED_VALUE"""),2025)</f>
        <v>2025</v>
      </c>
      <c r="C1624" s="33">
        <f ca="1">IFERROR(__xludf.DUMMYFUNCTION("""COMPUTED_VALUE"""),12)</f>
        <v>12</v>
      </c>
      <c r="D1624" s="33" t="str">
        <f ca="1">IFERROR(__xludf.DUMMYFUNCTION("""COMPUTED_VALUE"""),"SI")</f>
        <v>SI</v>
      </c>
      <c r="E1624" s="33" t="str">
        <f ca="1">IFERROR(__xludf.DUMMYFUNCTION("""COMPUTED_VALUE"""),"Madrid- La Oca")</f>
        <v>Madrid- La Oca</v>
      </c>
      <c r="F1624" s="57">
        <f ca="1">IFERROR(__xludf.DUMMYFUNCTION("""COMPUTED_VALUE"""),46001)</f>
        <v>46001</v>
      </c>
      <c r="G1624" s="57">
        <f ca="1">IFERROR(__xludf.DUMMYFUNCTION("""COMPUTED_VALUE"""),45968)</f>
        <v>45968</v>
      </c>
      <c r="H1624" s="33" t="str">
        <f ca="1">IFERROR(__xludf.DUMMYFUNCTION("""COMPUTED_VALUE"""),"La Oca")</f>
        <v>La Oca</v>
      </c>
      <c r="I1624" s="33" t="str">
        <f ca="1">IFERROR(__xludf.DUMMYFUNCTION("""COMPUTED_VALUE"""),"C202511710421791714")</f>
        <v>C202511710421791714</v>
      </c>
      <c r="J1624" s="33" t="str">
        <f ca="1">IFERROR(__xludf.DUMMYFUNCTION("""COMPUTED_VALUE"""),"PAULA BLAZQUEZ GONZALEZ")</f>
        <v>PAULA BLAZQUEZ GONZALEZ</v>
      </c>
      <c r="K1624" s="33">
        <f ca="1">IFERROR(__xludf.DUMMYFUNCTION("""COMPUTED_VALUE"""),2)</f>
        <v>2</v>
      </c>
      <c r="L1624" s="203">
        <f ca="1">IFERROR(__xludf.DUMMYFUNCTION("""COMPUTED_VALUE"""),2718.18)</f>
        <v>2718.18</v>
      </c>
      <c r="M1624" s="33" t="str">
        <f ca="1">IFERROR(__xludf.DUMMYFUNCTION("""COMPUTED_VALUE"""),"03 ORL")</f>
        <v>03 ORL</v>
      </c>
      <c r="N1624" s="33" t="str">
        <f ca="1">IFERROR(__xludf.DUMMYFUNCTION("""COMPUTED_VALUE"""),"06 ORL")</f>
        <v>06 ORL</v>
      </c>
      <c r="O1624" s="33" t="str">
        <f ca="1">IFERROR(__xludf.DUMMYFUNCTION("""COMPUTED_VALUE"""),"Dra, Bárbara Castillo Ávila")</f>
        <v>Dra, Bárbara Castillo Ávila</v>
      </c>
      <c r="P1624" s="33" t="str">
        <f ca="1">IFERROR(__xludf.DUMMYFUNCTION("""COMPUTED_VALUE"""),"Maika Blázquez (Madrid)")</f>
        <v>Maika Blázquez (Madrid)</v>
      </c>
    </row>
    <row r="1625" spans="2:16">
      <c r="B1625" s="33">
        <f ca="1">IFERROR(__xludf.DUMMYFUNCTION("""COMPUTED_VALUE"""),2025)</f>
        <v>2025</v>
      </c>
      <c r="C1625" s="33">
        <f ca="1">IFERROR(__xludf.DUMMYFUNCTION("""COMPUTED_VALUE"""),12)</f>
        <v>12</v>
      </c>
      <c r="D1625" s="33" t="str">
        <f ca="1">IFERROR(__xludf.DUMMYFUNCTION("""COMPUTED_VALUE"""),"NO")</f>
        <v>NO</v>
      </c>
      <c r="E1625" s="33" t="str">
        <f ca="1">IFERROR(__xludf.DUMMYFUNCTION("""COMPUTED_VALUE"""),"El Albir (Benidorm)")</f>
        <v>El Albir (Benidorm)</v>
      </c>
      <c r="F1625" s="57">
        <f ca="1">IFERROR(__xludf.DUMMYFUNCTION("""COMPUTED_VALUE"""),46001)</f>
        <v>46001</v>
      </c>
      <c r="G1625" s="57">
        <f ca="1">IFERROR(__xludf.DUMMYFUNCTION("""COMPUTED_VALUE"""),45972)</f>
        <v>45972</v>
      </c>
      <c r="H1625" s="33" t="str">
        <f ca="1">IFERROR(__xludf.DUMMYFUNCTION("""COMPUTED_VALUE"""),"El Albir (Benidorm)")</f>
        <v>El Albir (Benidorm)</v>
      </c>
      <c r="I1625" s="33" t="str">
        <f ca="1">IFERROR(__xludf.DUMMYFUNCTION("""COMPUTED_VALUE"""),"C202511119134190486")</f>
        <v>C202511119134190486</v>
      </c>
      <c r="J1625" s="33" t="str">
        <f ca="1">IFERROR(__xludf.DUMMYFUNCTION("""COMPUTED_VALUE"""),"MARIA HILDA SALGADO ALVAREZ")</f>
        <v>MARIA HILDA SALGADO ALVAREZ</v>
      </c>
      <c r="K1625" s="33">
        <f ca="1">IFERROR(__xludf.DUMMYFUNCTION("""COMPUTED_VALUE"""),2)</f>
        <v>2</v>
      </c>
      <c r="L1625" s="203">
        <f ca="1">IFERROR(__xludf.DUMMYFUNCTION("""COMPUTED_VALUE"""),2718.18)</f>
        <v>2718.18</v>
      </c>
      <c r="M1625" s="33" t="str">
        <f ca="1">IFERROR(__xludf.DUMMYFUNCTION("""COMPUTED_VALUE"""),"03 ORL")</f>
        <v>03 ORL</v>
      </c>
      <c r="N1625" s="33" t="str">
        <f ca="1">IFERROR(__xludf.DUMMYFUNCTION("""COMPUTED_VALUE"""),"06 ORL")</f>
        <v>06 ORL</v>
      </c>
      <c r="O1625" s="33" t="str">
        <f ca="1">IFERROR(__xludf.DUMMYFUNCTION("""COMPUTED_VALUE"""),"Dra, Salwa Laraqui Hossini")</f>
        <v>Dra, Salwa Laraqui Hossini</v>
      </c>
      <c r="P1625" s="33" t="str">
        <f ca="1">IFERROR(__xludf.DUMMYFUNCTION("""COMPUTED_VALUE"""),"Iván Sánchez (Levante Y Albacete)")</f>
        <v>Iván Sánchez (Levante Y Albacete)</v>
      </c>
    </row>
    <row r="1626" spans="2:16">
      <c r="B1626" s="33">
        <f ca="1">IFERROR(__xludf.DUMMYFUNCTION("""COMPUTED_VALUE"""),2025)</f>
        <v>2025</v>
      </c>
      <c r="C1626" s="33">
        <f ca="1">IFERROR(__xludf.DUMMYFUNCTION("""COMPUTED_VALUE"""),12)</f>
        <v>12</v>
      </c>
      <c r="D1626" s="33" t="str">
        <f ca="1">IFERROR(__xludf.DUMMYFUNCTION("""COMPUTED_VALUE"""),"SI")</f>
        <v>SI</v>
      </c>
      <c r="E1626" s="33" t="str">
        <f ca="1">IFERROR(__xludf.DUMMYFUNCTION("""COMPUTED_VALUE"""),"Sevilla- Montoto")</f>
        <v>Sevilla- Montoto</v>
      </c>
      <c r="F1626" s="57">
        <f ca="1">IFERROR(__xludf.DUMMYFUNCTION("""COMPUTED_VALUE"""),46001)</f>
        <v>46001</v>
      </c>
      <c r="G1626" s="57">
        <f ca="1">IFERROR(__xludf.DUMMYFUNCTION("""COMPUTED_VALUE"""),45975)</f>
        <v>45975</v>
      </c>
      <c r="H1626" s="33" t="str">
        <f ca="1">IFERROR(__xludf.DUMMYFUNCTION("""COMPUTED_VALUE"""),"Montoto")</f>
        <v>Montoto</v>
      </c>
      <c r="I1626" s="33" t="str">
        <f ca="1">IFERROR(__xludf.DUMMYFUNCTION("""COMPUTED_VALUE"""),"C202511149364663635")</f>
        <v>C202511149364663635</v>
      </c>
      <c r="J1626" s="33" t="str">
        <f ca="1">IFERROR(__xludf.DUMMYFUNCTION("""COMPUTED_VALUE"""),"MARIA ANTONIA VIDARTE GUERRERO")</f>
        <v>MARIA ANTONIA VIDARTE GUERRERO</v>
      </c>
      <c r="K1626" s="33">
        <f ca="1">IFERROR(__xludf.DUMMYFUNCTION("""COMPUTED_VALUE"""),2)</f>
        <v>2</v>
      </c>
      <c r="L1626" s="203">
        <f ca="1">IFERROR(__xludf.DUMMYFUNCTION("""COMPUTED_VALUE"""),3631.82)</f>
        <v>3631.82</v>
      </c>
      <c r="M1626" s="33" t="str">
        <f ca="1">IFERROR(__xludf.DUMMYFUNCTION("""COMPUTED_VALUE"""),"03 ORL")</f>
        <v>03 ORL</v>
      </c>
      <c r="N1626" s="33" t="str">
        <f ca="1">IFERROR(__xludf.DUMMYFUNCTION("""COMPUTED_VALUE"""),"06 ORL")</f>
        <v>06 ORL</v>
      </c>
      <c r="O1626" s="33" t="str">
        <f ca="1">IFERROR(__xludf.DUMMYFUNCTION("""COMPUTED_VALUE"""),"Dr, Francisco José Estrada Molina")</f>
        <v>Dr, Francisco José Estrada Molina</v>
      </c>
      <c r="P1626" s="33" t="str">
        <f ca="1">IFERROR(__xludf.DUMMYFUNCTION("""COMPUTED_VALUE"""),"Luis Alberto Rodríguez (Andalucía y Badajoz)")</f>
        <v>Luis Alberto Rodríguez (Andalucía y Badajoz)</v>
      </c>
    </row>
    <row r="1627" spans="2:16">
      <c r="B1627" s="33">
        <f ca="1">IFERROR(__xludf.DUMMYFUNCTION("""COMPUTED_VALUE"""),2025)</f>
        <v>2025</v>
      </c>
      <c r="C1627" s="33">
        <f ca="1">IFERROR(__xludf.DUMMYFUNCTION("""COMPUTED_VALUE"""),12)</f>
        <v>12</v>
      </c>
      <c r="D1627" s="33" t="str">
        <f ca="1">IFERROR(__xludf.DUMMYFUNCTION("""COMPUTED_VALUE"""),"NO")</f>
        <v>NO</v>
      </c>
      <c r="E1627" s="33" t="str">
        <f ca="1">IFERROR(__xludf.DUMMYFUNCTION("""COMPUTED_VALUE"""),"Salamanca")</f>
        <v>Salamanca</v>
      </c>
      <c r="F1627" s="57">
        <f ca="1">IFERROR(__xludf.DUMMYFUNCTION("""COMPUTED_VALUE"""),46001)</f>
        <v>46001</v>
      </c>
      <c r="G1627" s="57">
        <f ca="1">IFERROR(__xludf.DUMMYFUNCTION("""COMPUTED_VALUE"""),45819)</f>
        <v>45819</v>
      </c>
      <c r="H1627" s="33" t="str">
        <f ca="1">IFERROR(__xludf.DUMMYFUNCTION("""COMPUTED_VALUE"""),"Salamanca")</f>
        <v>Salamanca</v>
      </c>
      <c r="I1627" s="33" t="str">
        <f ca="1">IFERROR(__xludf.DUMMYFUNCTION("""COMPUTED_VALUE"""),"SLM-567")</f>
        <v>SLM-567</v>
      </c>
      <c r="J1627" s="33" t="str">
        <f ca="1">IFERROR(__xludf.DUMMYFUNCTION("""COMPUTED_VALUE"""),"JUAN FRANCISCO ALBURQUERQUE VICENTE")</f>
        <v>JUAN FRANCISCO ALBURQUERQUE VICENTE</v>
      </c>
      <c r="K1627" s="33">
        <f ca="1">IFERROR(__xludf.DUMMYFUNCTION("""COMPUTED_VALUE"""),2)</f>
        <v>2</v>
      </c>
      <c r="L1627" s="203">
        <f ca="1">IFERROR(__xludf.DUMMYFUNCTION("""COMPUTED_VALUE"""),2974.55)</f>
        <v>2974.55</v>
      </c>
      <c r="M1627" s="33" t="str">
        <f ca="1">IFERROR(__xludf.DUMMYFUNCTION("""COMPUTED_VALUE"""),"03 ORL")</f>
        <v>03 ORL</v>
      </c>
      <c r="N1627" s="33" t="str">
        <f ca="1">IFERROR(__xludf.DUMMYFUNCTION("""COMPUTED_VALUE"""),"06 ORL")</f>
        <v>06 ORL</v>
      </c>
      <c r="O1627" s="33" t="str">
        <f ca="1">IFERROR(__xludf.DUMMYFUNCTION("""COMPUTED_VALUE"""),"No recuerda ORL")</f>
        <v>No recuerda ORL</v>
      </c>
      <c r="P1627" s="33" t="str">
        <f ca="1">IFERROR(__xludf.DUMMYFUNCTION("""COMPUTED_VALUE"""),"Alberto Moreno (Madrid)")</f>
        <v>Alberto Moreno (Madrid)</v>
      </c>
    </row>
    <row r="1628" spans="2:16">
      <c r="B1628" s="33">
        <f ca="1">IFERROR(__xludf.DUMMYFUNCTION("""COMPUTED_VALUE"""),2025)</f>
        <v>2025</v>
      </c>
      <c r="C1628" s="33">
        <f ca="1">IFERROR(__xludf.DUMMYFUNCTION("""COMPUTED_VALUE"""),12)</f>
        <v>12</v>
      </c>
      <c r="D1628" s="33" t="str">
        <f ca="1">IFERROR(__xludf.DUMMYFUNCTION("""COMPUTED_VALUE"""),"NO")</f>
        <v>NO</v>
      </c>
      <c r="E1628" s="33" t="str">
        <f ca="1">IFERROR(__xludf.DUMMYFUNCTION("""COMPUTED_VALUE"""),"Culleredo")</f>
        <v>Culleredo</v>
      </c>
      <c r="F1628" s="57">
        <f ca="1">IFERROR(__xludf.DUMMYFUNCTION("""COMPUTED_VALUE"""),46002)</f>
        <v>46002</v>
      </c>
      <c r="G1628" s="57">
        <f ca="1">IFERROR(__xludf.DUMMYFUNCTION("""COMPUTED_VALUE"""),45943)</f>
        <v>45943</v>
      </c>
      <c r="H1628" s="33" t="str">
        <f ca="1">IFERROR(__xludf.DUMMYFUNCTION("""COMPUTED_VALUE"""),"Culleredo")</f>
        <v>Culleredo</v>
      </c>
      <c r="I1628" s="33" t="str">
        <f ca="1">IFERROR(__xludf.DUMMYFUNCTION("""COMPUTED_VALUE"""),"CULL-267")</f>
        <v>CULL-267</v>
      </c>
      <c r="J1628" s="33" t="str">
        <f ca="1">IFERROR(__xludf.DUMMYFUNCTION("""COMPUTED_VALUE"""),"ALFONSO HERNANDEZ BORJA")</f>
        <v>ALFONSO HERNANDEZ BORJA</v>
      </c>
      <c r="K1628" s="33">
        <f ca="1">IFERROR(__xludf.DUMMYFUNCTION("""COMPUTED_VALUE"""),1)</f>
        <v>1</v>
      </c>
      <c r="L1628" s="203">
        <f ca="1">IFERROR(__xludf.DUMMYFUNCTION("""COMPUTED_VALUE"""),1090.91)</f>
        <v>1090.9100000000001</v>
      </c>
      <c r="M1628" s="33" t="str">
        <f ca="1">IFERROR(__xludf.DUMMYFUNCTION("""COMPUTED_VALUE"""),"03 ORL")</f>
        <v>03 ORL</v>
      </c>
      <c r="N1628" s="33" t="str">
        <f ca="1">IFERROR(__xludf.DUMMYFUNCTION("""COMPUTED_VALUE"""),"06 ORL")</f>
        <v>06 ORL</v>
      </c>
      <c r="O1628" s="33" t="str">
        <f ca="1">IFERROR(__xludf.DUMMYFUNCTION("""COMPUTED_VALUE"""),"Dr. Miguel Mayo Yáñez")</f>
        <v>Dr. Miguel Mayo Yáñez</v>
      </c>
      <c r="P1628" s="33" t="str">
        <f ca="1">IFERROR(__xludf.DUMMYFUNCTION("""COMPUTED_VALUE"""),"Roberto Pereira (Galicia)")</f>
        <v>Roberto Pereira (Galicia)</v>
      </c>
    </row>
    <row r="1629" spans="2:16">
      <c r="B1629" s="33">
        <f ca="1">IFERROR(__xludf.DUMMYFUNCTION("""COMPUTED_VALUE"""),2025)</f>
        <v>2025</v>
      </c>
      <c r="C1629" s="33">
        <f ca="1">IFERROR(__xludf.DUMMYFUNCTION("""COMPUTED_VALUE"""),12)</f>
        <v>12</v>
      </c>
      <c r="D1629" s="33" t="str">
        <f ca="1">IFERROR(__xludf.DUMMYFUNCTION("""COMPUTED_VALUE"""),"NO")</f>
        <v>NO</v>
      </c>
      <c r="E1629" s="33" t="str">
        <f ca="1">IFERROR(__xludf.DUMMYFUNCTION("""COMPUTED_VALUE"""),"Culleredo")</f>
        <v>Culleredo</v>
      </c>
      <c r="F1629" s="57">
        <f ca="1">IFERROR(__xludf.DUMMYFUNCTION("""COMPUTED_VALUE"""),46002)</f>
        <v>46002</v>
      </c>
      <c r="G1629" s="57">
        <f ca="1">IFERROR(__xludf.DUMMYFUNCTION("""COMPUTED_VALUE"""),45943)</f>
        <v>45943</v>
      </c>
      <c r="H1629" s="33" t="str">
        <f ca="1">IFERROR(__xludf.DUMMYFUNCTION("""COMPUTED_VALUE"""),"Culleredo")</f>
        <v>Culleredo</v>
      </c>
      <c r="I1629" s="33" t="str">
        <f ca="1">IFERROR(__xludf.DUMMYFUNCTION("""COMPUTED_VALUE"""),"CULL-268")</f>
        <v>CULL-268</v>
      </c>
      <c r="J1629" s="33" t="str">
        <f ca="1">IFERROR(__xludf.DUMMYFUNCTION("""COMPUTED_VALUE"""),"MANUEL LOPEZ LOSADA")</f>
        <v>MANUEL LOPEZ LOSADA</v>
      </c>
      <c r="K1629" s="33">
        <f ca="1">IFERROR(__xludf.DUMMYFUNCTION("""COMPUTED_VALUE"""),2)</f>
        <v>2</v>
      </c>
      <c r="L1629" s="203">
        <f ca="1">IFERROR(__xludf.DUMMYFUNCTION("""COMPUTED_VALUE"""),2136.36)</f>
        <v>2136.36</v>
      </c>
      <c r="M1629" s="33" t="str">
        <f ca="1">IFERROR(__xludf.DUMMYFUNCTION("""COMPUTED_VALUE"""),"03 ORL")</f>
        <v>03 ORL</v>
      </c>
      <c r="N1629" s="33" t="str">
        <f ca="1">IFERROR(__xludf.DUMMYFUNCTION("""COMPUTED_VALUE"""),"06 ORL")</f>
        <v>06 ORL</v>
      </c>
      <c r="O1629" s="33" t="str">
        <f ca="1">IFERROR(__xludf.DUMMYFUNCTION("""COMPUTED_VALUE"""),"Dr. Miguel Mayo Yáñez")</f>
        <v>Dr. Miguel Mayo Yáñez</v>
      </c>
      <c r="P1629" s="33" t="str">
        <f ca="1">IFERROR(__xludf.DUMMYFUNCTION("""COMPUTED_VALUE"""),"Roberto Pereira (Galicia)")</f>
        <v>Roberto Pereira (Galicia)</v>
      </c>
    </row>
    <row r="1630" spans="2:16">
      <c r="B1630" s="33">
        <f ca="1">IFERROR(__xludf.DUMMYFUNCTION("""COMPUTED_VALUE"""),2025)</f>
        <v>2025</v>
      </c>
      <c r="C1630" s="33">
        <f ca="1">IFERROR(__xludf.DUMMYFUNCTION("""COMPUTED_VALUE"""),12)</f>
        <v>12</v>
      </c>
      <c r="D1630" s="33" t="str">
        <f ca="1">IFERROR(__xludf.DUMMYFUNCTION("""COMPUTED_VALUE"""),"NO")</f>
        <v>NO</v>
      </c>
      <c r="E1630" s="33" t="str">
        <f ca="1">IFERROR(__xludf.DUMMYFUNCTION("""COMPUTED_VALUE"""),"Alicante")</f>
        <v>Alicante</v>
      </c>
      <c r="F1630" s="57">
        <f ca="1">IFERROR(__xludf.DUMMYFUNCTION("""COMPUTED_VALUE"""),46002)</f>
        <v>46002</v>
      </c>
      <c r="G1630" s="57">
        <f ca="1">IFERROR(__xludf.DUMMYFUNCTION("""COMPUTED_VALUE"""),45961)</f>
        <v>45961</v>
      </c>
      <c r="H1630" s="33" t="str">
        <f ca="1">IFERROR(__xludf.DUMMYFUNCTION("""COMPUTED_VALUE"""),"Alicante")</f>
        <v>Alicante</v>
      </c>
      <c r="I1630" s="33" t="str">
        <f ca="1">IFERROR(__xludf.DUMMYFUNCTION("""COMPUTED_VALUE"""),"C202510311043803817")</f>
        <v>C202510311043803817</v>
      </c>
      <c r="J1630" s="33" t="str">
        <f ca="1">IFERROR(__xludf.DUMMYFUNCTION("""COMPUTED_VALUE"""),"FRANCISCO RAMON PUERTO OLTRA")</f>
        <v>FRANCISCO RAMON PUERTO OLTRA</v>
      </c>
      <c r="K1630" s="33">
        <f ca="1">IFERROR(__xludf.DUMMYFUNCTION("""COMPUTED_VALUE"""),2)</f>
        <v>2</v>
      </c>
      <c r="L1630" s="203">
        <f ca="1">IFERROR(__xludf.DUMMYFUNCTION("""COMPUTED_VALUE"""),3631.82)</f>
        <v>3631.82</v>
      </c>
      <c r="M1630" s="33" t="str">
        <f ca="1">IFERROR(__xludf.DUMMYFUNCTION("""COMPUTED_VALUE"""),"03 ORL")</f>
        <v>03 ORL</v>
      </c>
      <c r="N1630" s="33" t="str">
        <f ca="1">IFERROR(__xludf.DUMMYFUNCTION("""COMPUTED_VALUE"""),"06 ORL")</f>
        <v>06 ORL</v>
      </c>
      <c r="O1630" s="33" t="str">
        <f ca="1">IFERROR(__xludf.DUMMYFUNCTION("""COMPUTED_VALUE"""),"Dr, Carlos Velásquez Fermín")</f>
        <v>Dr, Carlos Velásquez Fermín</v>
      </c>
      <c r="P1630" s="33" t="str">
        <f ca="1">IFERROR(__xludf.DUMMYFUNCTION("""COMPUTED_VALUE"""),"Iván Sánchez (Levante Y Albacete)")</f>
        <v>Iván Sánchez (Levante Y Albacete)</v>
      </c>
    </row>
    <row r="1631" spans="2:16">
      <c r="B1631" s="33">
        <f ca="1">IFERROR(__xludf.DUMMYFUNCTION("""COMPUTED_VALUE"""),2025)</f>
        <v>2025</v>
      </c>
      <c r="C1631" s="33">
        <f ca="1">IFERROR(__xludf.DUMMYFUNCTION("""COMPUTED_VALUE"""),12)</f>
        <v>12</v>
      </c>
      <c r="D1631" s="33" t="str">
        <f ca="1">IFERROR(__xludf.DUMMYFUNCTION("""COMPUTED_VALUE"""),"NO")</f>
        <v>NO</v>
      </c>
      <c r="E1631" s="33" t="str">
        <f ca="1">IFERROR(__xludf.DUMMYFUNCTION("""COMPUTED_VALUE"""),"Huelva")</f>
        <v>Huelva</v>
      </c>
      <c r="F1631" s="57">
        <f ca="1">IFERROR(__xludf.DUMMYFUNCTION("""COMPUTED_VALUE"""),46002)</f>
        <v>46002</v>
      </c>
      <c r="G1631" s="57">
        <f ca="1">IFERROR(__xludf.DUMMYFUNCTION("""COMPUTED_VALUE"""),45971)</f>
        <v>45971</v>
      </c>
      <c r="H1631" s="33" t="str">
        <f ca="1">IFERROR(__xludf.DUMMYFUNCTION("""COMPUTED_VALUE"""),"Huelva")</f>
        <v>Huelva</v>
      </c>
      <c r="I1631" s="33" t="str">
        <f ca="1">IFERROR(__xludf.DUMMYFUNCTION("""COMPUTED_VALUE"""),"C202511109184084367")</f>
        <v>C202511109184084367</v>
      </c>
      <c r="J1631" s="33" t="str">
        <f ca="1">IFERROR(__xludf.DUMMYFUNCTION("""COMPUTED_VALUE"""),"JONATHAN STIVEN RAMIREZ RAMIREZ")</f>
        <v>JONATHAN STIVEN RAMIREZ RAMIREZ</v>
      </c>
      <c r="K1631" s="33">
        <f ca="1">IFERROR(__xludf.DUMMYFUNCTION("""COMPUTED_VALUE"""),1)</f>
        <v>1</v>
      </c>
      <c r="L1631" s="203">
        <f ca="1">IFERROR(__xludf.DUMMYFUNCTION("""COMPUTED_VALUE"""),1818.18)</f>
        <v>1818.18</v>
      </c>
      <c r="M1631" s="33" t="str">
        <f ca="1">IFERROR(__xludf.DUMMYFUNCTION("""COMPUTED_VALUE"""),"03 ORL")</f>
        <v>03 ORL</v>
      </c>
      <c r="N1631" s="33" t="str">
        <f ca="1">IFERROR(__xludf.DUMMYFUNCTION("""COMPUTED_VALUE"""),"06 ORL")</f>
        <v>06 ORL</v>
      </c>
      <c r="O1631" s="33" t="str">
        <f ca="1">IFERROR(__xludf.DUMMYFUNCTION("""COMPUTED_VALUE"""),"Dr, Francisco Javier Aguilar Vera")</f>
        <v>Dr, Francisco Javier Aguilar Vera</v>
      </c>
      <c r="P1631" s="33" t="str">
        <f ca="1">IFERROR(__xludf.DUMMYFUNCTION("""COMPUTED_VALUE"""),"Luis Alberto Rodríguez (Andalucía y Badajoz)")</f>
        <v>Luis Alberto Rodríguez (Andalucía y Badajoz)</v>
      </c>
    </row>
    <row r="1632" spans="2:16">
      <c r="B1632" s="33">
        <f ca="1">IFERROR(__xludf.DUMMYFUNCTION("""COMPUTED_VALUE"""),2025)</f>
        <v>2025</v>
      </c>
      <c r="C1632" s="33">
        <f ca="1">IFERROR(__xludf.DUMMYFUNCTION("""COMPUTED_VALUE"""),12)</f>
        <v>12</v>
      </c>
      <c r="D1632" s="33" t="str">
        <f ca="1">IFERROR(__xludf.DUMMYFUNCTION("""COMPUTED_VALUE"""),"NO")</f>
        <v>NO</v>
      </c>
      <c r="E1632" s="33" t="str">
        <f ca="1">IFERROR(__xludf.DUMMYFUNCTION("""COMPUTED_VALUE"""),"Madrid- Juan Bravo")</f>
        <v>Madrid- Juan Bravo</v>
      </c>
      <c r="F1632" s="57">
        <f ca="1">IFERROR(__xludf.DUMMYFUNCTION("""COMPUTED_VALUE"""),46002)</f>
        <v>46002</v>
      </c>
      <c r="G1632" s="57">
        <f ca="1">IFERROR(__xludf.DUMMYFUNCTION("""COMPUTED_VALUE"""),45975)</f>
        <v>45975</v>
      </c>
      <c r="H1632" s="33" t="str">
        <f ca="1">IFERROR(__xludf.DUMMYFUNCTION("""COMPUTED_VALUE"""),"Juan Bravo")</f>
        <v>Juan Bravo</v>
      </c>
      <c r="I1632" s="33" t="str">
        <f ca="1">IFERROR(__xludf.DUMMYFUNCTION("""COMPUTED_VALUE"""),"C20251114988334669")</f>
        <v>C20251114988334669</v>
      </c>
      <c r="J1632" s="33" t="str">
        <f ca="1">IFERROR(__xludf.DUMMYFUNCTION("""COMPUTED_VALUE"""),"CARMEN SANCHEZ AYUSO")</f>
        <v>CARMEN SANCHEZ AYUSO</v>
      </c>
      <c r="K1632" s="33">
        <f ca="1">IFERROR(__xludf.DUMMYFUNCTION("""COMPUTED_VALUE"""),2)</f>
        <v>2</v>
      </c>
      <c r="L1632" s="203">
        <f ca="1">IFERROR(__xludf.DUMMYFUNCTION("""COMPUTED_VALUE"""),3631.82)</f>
        <v>3631.82</v>
      </c>
      <c r="M1632" s="33" t="str">
        <f ca="1">IFERROR(__xludf.DUMMYFUNCTION("""COMPUTED_VALUE"""),"03 ORL")</f>
        <v>03 ORL</v>
      </c>
      <c r="N1632" s="33" t="str">
        <f ca="1">IFERROR(__xludf.DUMMYFUNCTION("""COMPUTED_VALUE"""),"06 ORL")</f>
        <v>06 ORL</v>
      </c>
      <c r="O1632" s="33" t="str">
        <f ca="1">IFERROR(__xludf.DUMMYFUNCTION("""COMPUTED_VALUE"""),"Dr, Carlos Barajas del Rosal")</f>
        <v>Dr, Carlos Barajas del Rosal</v>
      </c>
      <c r="P1632" s="33" t="str">
        <f ca="1">IFERROR(__xludf.DUMMYFUNCTION("""COMPUTED_VALUE"""),"Lisandro Russian (Madrid, Cáceres, Toledo, Talavera Y Logroño)")</f>
        <v>Lisandro Russian (Madrid, Cáceres, Toledo, Talavera Y Logroño)</v>
      </c>
    </row>
    <row r="1633" spans="2:16">
      <c r="B1633" s="33">
        <f ca="1">IFERROR(__xludf.DUMMYFUNCTION("""COMPUTED_VALUE"""),2025)</f>
        <v>2025</v>
      </c>
      <c r="C1633" s="33">
        <f ca="1">IFERROR(__xludf.DUMMYFUNCTION("""COMPUTED_VALUE"""),12)</f>
        <v>12</v>
      </c>
      <c r="D1633" s="33" t="str">
        <f ca="1">IFERROR(__xludf.DUMMYFUNCTION("""COMPUTED_VALUE"""),"NO")</f>
        <v>NO</v>
      </c>
      <c r="E1633" s="33" t="str">
        <f ca="1">IFERROR(__xludf.DUMMYFUNCTION("""COMPUTED_VALUE"""),"Hospitalet de Llobregat")</f>
        <v>Hospitalet de Llobregat</v>
      </c>
      <c r="F1633" s="57">
        <f ca="1">IFERROR(__xludf.DUMMYFUNCTION("""COMPUTED_VALUE"""),46002)</f>
        <v>46002</v>
      </c>
      <c r="G1633" s="57">
        <f ca="1">IFERROR(__xludf.DUMMYFUNCTION("""COMPUTED_VALUE"""),45867)</f>
        <v>45867</v>
      </c>
      <c r="H1633" s="33" t="str">
        <f ca="1">IFERROR(__xludf.DUMMYFUNCTION("""COMPUTED_VALUE"""),"Hospitalet")</f>
        <v>Hospitalet</v>
      </c>
      <c r="I1633" s="33" t="str">
        <f ca="1">IFERROR(__xludf.DUMMYFUNCTION("""COMPUTED_VALUE"""),"C202512111368504")</f>
        <v>C202512111368504</v>
      </c>
      <c r="J1633" s="33" t="str">
        <f ca="1">IFERROR(__xludf.DUMMYFUNCTION("""COMPUTED_VALUE"""),"DARWIN  MERCHAN ZANBRANO")</f>
        <v>DARWIN  MERCHAN ZANBRANO</v>
      </c>
      <c r="K1633" s="33">
        <f ca="1">IFERROR(__xludf.DUMMYFUNCTION("""COMPUTED_VALUE"""),2)</f>
        <v>2</v>
      </c>
      <c r="L1633" s="203">
        <f ca="1">IFERROR(__xludf.DUMMYFUNCTION("""COMPUTED_VALUE"""),2718.18)</f>
        <v>2718.18</v>
      </c>
      <c r="M1633" s="33" t="str">
        <f ca="1">IFERROR(__xludf.DUMMYFUNCTION("""COMPUTED_VALUE"""),"03 ORL")</f>
        <v>03 ORL</v>
      </c>
      <c r="N1633" s="33" t="str">
        <f ca="1">IFERROR(__xludf.DUMMYFUNCTION("""COMPUTED_VALUE"""),"06 ORL")</f>
        <v>06 ORL</v>
      </c>
      <c r="O1633" s="33" t="str">
        <f ca="1">IFERROR(__xludf.DUMMYFUNCTION("""COMPUTED_VALUE"""),"Dr, Miguel F, García Wagner")</f>
        <v>Dr, Miguel F, García Wagner</v>
      </c>
      <c r="P1633" s="33" t="str">
        <f ca="1">IFERROR(__xludf.DUMMYFUNCTION("""COMPUTED_VALUE"""),"Mercè Cabrera (Cataluña Y Baleares)")</f>
        <v>Mercè Cabrera (Cataluña Y Baleares)</v>
      </c>
    </row>
    <row r="1634" spans="2:16">
      <c r="B1634" s="33">
        <f ca="1">IFERROR(__xludf.DUMMYFUNCTION("""COMPUTED_VALUE"""),2025)</f>
        <v>2025</v>
      </c>
      <c r="C1634" s="33">
        <f ca="1">IFERROR(__xludf.DUMMYFUNCTION("""COMPUTED_VALUE"""),12)</f>
        <v>12</v>
      </c>
      <c r="D1634" s="33" t="str">
        <f ca="1">IFERROR(__xludf.DUMMYFUNCTION("""COMPUTED_VALUE"""),"NO")</f>
        <v>NO</v>
      </c>
      <c r="E1634" s="33" t="str">
        <f ca="1">IFERROR(__xludf.DUMMYFUNCTION("""COMPUTED_VALUE"""),"Valencia- Parra")</f>
        <v>Valencia- Parra</v>
      </c>
      <c r="F1634" s="57">
        <f ca="1">IFERROR(__xludf.DUMMYFUNCTION("""COMPUTED_VALUE"""),46002)</f>
        <v>46002</v>
      </c>
      <c r="G1634" s="57">
        <f ca="1">IFERROR(__xludf.DUMMYFUNCTION("""COMPUTED_VALUE"""),45938)</f>
        <v>45938</v>
      </c>
      <c r="H1634" s="33" t="str">
        <f ca="1">IFERROR(__xludf.DUMMYFUNCTION("""COMPUTED_VALUE"""),"Valencia- Parra")</f>
        <v>Valencia- Parra</v>
      </c>
      <c r="I1634" s="33" t="str">
        <f ca="1">IFERROR(__xludf.DUMMYFUNCTION("""COMPUTED_VALUE"""),"C2025102211549387")</f>
        <v>C2025102211549387</v>
      </c>
      <c r="J1634" s="33" t="str">
        <f ca="1">IFERROR(__xludf.DUMMYFUNCTION("""COMPUTED_VALUE"""),"MIGUEL ANTONIO CHIRIVELLA PERIS")</f>
        <v>MIGUEL ANTONIO CHIRIVELLA PERIS</v>
      </c>
      <c r="K1634" s="33">
        <f ca="1">IFERROR(__xludf.DUMMYFUNCTION("""COMPUTED_VALUE"""),1)</f>
        <v>1</v>
      </c>
      <c r="L1634" s="203">
        <f ca="1">IFERROR(__xludf.DUMMYFUNCTION("""COMPUTED_VALUE"""),2481.82)</f>
        <v>2481.8200000000002</v>
      </c>
      <c r="M1634" s="33" t="str">
        <f ca="1">IFERROR(__xludf.DUMMYFUNCTION("""COMPUTED_VALUE"""),"03 ORL")</f>
        <v>03 ORL</v>
      </c>
      <c r="N1634" s="33" t="str">
        <f ca="1">IFERROR(__xludf.DUMMYFUNCTION("""COMPUTED_VALUE"""),"06 ORL")</f>
        <v>06 ORL</v>
      </c>
      <c r="O1634" s="33" t="str">
        <f ca="1">IFERROR(__xludf.DUMMYFUNCTION("""COMPUTED_VALUE"""),"Dra, Vanesa Pérez Guillén")</f>
        <v>Dra, Vanesa Pérez Guillén</v>
      </c>
      <c r="P1634" s="33" t="str">
        <f ca="1">IFERROR(__xludf.DUMMYFUNCTION("""COMPUTED_VALUE"""),"Ramon Ferrando(Valencia)")</f>
        <v>Ramon Ferrando(Valencia)</v>
      </c>
    </row>
    <row r="1635" spans="2:16">
      <c r="B1635" s="33">
        <f ca="1">IFERROR(__xludf.DUMMYFUNCTION("""COMPUTED_VALUE"""),2025)</f>
        <v>2025</v>
      </c>
      <c r="C1635" s="33">
        <f ca="1">IFERROR(__xludf.DUMMYFUNCTION("""COMPUTED_VALUE"""),12)</f>
        <v>12</v>
      </c>
      <c r="D1635" s="33" t="str">
        <f ca="1">IFERROR(__xludf.DUMMYFUNCTION("""COMPUTED_VALUE"""),"NO")</f>
        <v>NO</v>
      </c>
      <c r="E1635" s="33" t="str">
        <f ca="1">IFERROR(__xludf.DUMMYFUNCTION("""COMPUTED_VALUE"""),"Cáceres")</f>
        <v>Cáceres</v>
      </c>
      <c r="F1635" s="57">
        <f ca="1">IFERROR(__xludf.DUMMYFUNCTION("""COMPUTED_VALUE"""),46002)</f>
        <v>46002</v>
      </c>
      <c r="G1635" s="57">
        <f ca="1">IFERROR(__xludf.DUMMYFUNCTION("""COMPUTED_VALUE"""),45967)</f>
        <v>45967</v>
      </c>
      <c r="H1635" s="33" t="str">
        <f ca="1">IFERROR(__xludf.DUMMYFUNCTION("""COMPUTED_VALUE"""),"Cáceres")</f>
        <v>Cáceres</v>
      </c>
      <c r="I1635" s="33" t="str">
        <f ca="1">IFERROR(__xludf.DUMMYFUNCTION("""COMPUTED_VALUE"""),"CAC-440")</f>
        <v>CAC-440</v>
      </c>
      <c r="J1635" s="33" t="str">
        <f ca="1">IFERROR(__xludf.DUMMYFUNCTION("""COMPUTED_VALUE"""),"MARINA CANTERO CORCHERO")</f>
        <v>MARINA CANTERO CORCHERO</v>
      </c>
      <c r="K1635" s="33">
        <f ca="1">IFERROR(__xludf.DUMMYFUNCTION("""COMPUTED_VALUE"""),2)</f>
        <v>2</v>
      </c>
      <c r="L1635" s="203">
        <f ca="1">IFERROR(__xludf.DUMMYFUNCTION("""COMPUTED_VALUE"""),4718.18)</f>
        <v>4718.18</v>
      </c>
      <c r="M1635" s="33" t="str">
        <f ca="1">IFERROR(__xludf.DUMMYFUNCTION("""COMPUTED_VALUE"""),"03 ORL")</f>
        <v>03 ORL</v>
      </c>
      <c r="N1635" s="33" t="str">
        <f ca="1">IFERROR(__xludf.DUMMYFUNCTION("""COMPUTED_VALUE"""),"06 ORL")</f>
        <v>06 ORL</v>
      </c>
      <c r="O1635" s="33" t="str">
        <f ca="1">IFERROR(__xludf.DUMMYFUNCTION("""COMPUTED_VALUE"""),"Dra, Daniela Carolina Laguado Bulgheroni")</f>
        <v>Dra, Daniela Carolina Laguado Bulgheroni</v>
      </c>
      <c r="P1635" s="33" t="str">
        <f ca="1">IFERROR(__xludf.DUMMYFUNCTION("""COMPUTED_VALUE"""),"Lisandro Russian (Madrid, Cáceres, Toledo, Talavera Y Logroño)")</f>
        <v>Lisandro Russian (Madrid, Cáceres, Toledo, Talavera Y Logroño)</v>
      </c>
    </row>
    <row r="1636" spans="2:16">
      <c r="B1636" s="33">
        <f ca="1">IFERROR(__xludf.DUMMYFUNCTION("""COMPUTED_VALUE"""),2025)</f>
        <v>2025</v>
      </c>
      <c r="C1636" s="33">
        <f ca="1">IFERROR(__xludf.DUMMYFUNCTION("""COMPUTED_VALUE"""),12)</f>
        <v>12</v>
      </c>
      <c r="D1636" s="33" t="str">
        <f ca="1">IFERROR(__xludf.DUMMYFUNCTION("""COMPUTED_VALUE"""),"NO")</f>
        <v>NO</v>
      </c>
      <c r="E1636" s="33" t="str">
        <f ca="1">IFERROR(__xludf.DUMMYFUNCTION("""COMPUTED_VALUE"""),"Logroño")</f>
        <v>Logroño</v>
      </c>
      <c r="F1636" s="57">
        <f ca="1">IFERROR(__xludf.DUMMYFUNCTION("""COMPUTED_VALUE"""),46002)</f>
        <v>46002</v>
      </c>
      <c r="G1636" s="57">
        <f ca="1">IFERROR(__xludf.DUMMYFUNCTION("""COMPUTED_VALUE"""),45936)</f>
        <v>45936</v>
      </c>
      <c r="H1636" s="33" t="str">
        <f ca="1">IFERROR(__xludf.DUMMYFUNCTION("""COMPUTED_VALUE"""),"Logroño")</f>
        <v>Logroño</v>
      </c>
      <c r="I1636" s="33" t="str">
        <f ca="1">IFERROR(__xludf.DUMMYFUNCTION("""COMPUTED_VALUE"""),"C20251010114613393")</f>
        <v>C20251010114613393</v>
      </c>
      <c r="J1636" s="33" t="str">
        <f ca="1">IFERROR(__xludf.DUMMYFUNCTION("""COMPUTED_VALUE"""),"MILAGROS  DE LA VEGA BAÑOS")</f>
        <v>MILAGROS  DE LA VEGA BAÑOS</v>
      </c>
      <c r="K1636" s="33">
        <f ca="1">IFERROR(__xludf.DUMMYFUNCTION("""COMPUTED_VALUE"""),2)</f>
        <v>2</v>
      </c>
      <c r="L1636" s="203">
        <f ca="1">IFERROR(__xludf.DUMMYFUNCTION("""COMPUTED_VALUE"""),3631.82)</f>
        <v>3631.82</v>
      </c>
      <c r="M1636" s="33" t="str">
        <f ca="1">IFERROR(__xludf.DUMMYFUNCTION("""COMPUTED_VALUE"""),"03 ORL")</f>
        <v>03 ORL</v>
      </c>
      <c r="N1636" s="33" t="str">
        <f ca="1">IFERROR(__xludf.DUMMYFUNCTION("""COMPUTED_VALUE"""),"06 ORL")</f>
        <v>06 ORL</v>
      </c>
      <c r="O1636" s="33" t="str">
        <f ca="1">IFERROR(__xludf.DUMMYFUNCTION("""COMPUTED_VALUE"""),"No recuerda ORL")</f>
        <v>No recuerda ORL</v>
      </c>
      <c r="P1636" s="33"/>
    </row>
    <row r="1637" spans="2:16">
      <c r="B1637" s="33">
        <f ca="1">IFERROR(__xludf.DUMMYFUNCTION("""COMPUTED_VALUE"""),2025)</f>
        <v>2025</v>
      </c>
      <c r="C1637" s="33">
        <f ca="1">IFERROR(__xludf.DUMMYFUNCTION("""COMPUTED_VALUE"""),12)</f>
        <v>12</v>
      </c>
      <c r="D1637" s="33" t="str">
        <f ca="1">IFERROR(__xludf.DUMMYFUNCTION("""COMPUTED_VALUE"""),"NO")</f>
        <v>NO</v>
      </c>
      <c r="E1637" s="33" t="str">
        <f ca="1">IFERROR(__xludf.DUMMYFUNCTION("""COMPUTED_VALUE"""),"Murcia")</f>
        <v>Murcia</v>
      </c>
      <c r="F1637" s="57">
        <f ca="1">IFERROR(__xludf.DUMMYFUNCTION("""COMPUTED_VALUE"""),46002)</f>
        <v>46002</v>
      </c>
      <c r="G1637" s="57">
        <f ca="1">IFERROR(__xludf.DUMMYFUNCTION("""COMPUTED_VALUE"""),45960)</f>
        <v>45960</v>
      </c>
      <c r="H1637" s="33" t="str">
        <f ca="1">IFERROR(__xludf.DUMMYFUNCTION("""COMPUTED_VALUE"""),"Murcia")</f>
        <v>Murcia</v>
      </c>
      <c r="I1637" s="33" t="str">
        <f ca="1">IFERROR(__xludf.DUMMYFUNCTION("""COMPUTED_VALUE"""),"C202510301234496065")</f>
        <v>C202510301234496065</v>
      </c>
      <c r="J1637" s="33" t="str">
        <f ca="1">IFERROR(__xludf.DUMMYFUNCTION("""COMPUTED_VALUE"""),"VIRGINIA RIPOLL PEREZ DE LOS COBOS")</f>
        <v>VIRGINIA RIPOLL PEREZ DE LOS COBOS</v>
      </c>
      <c r="K1637" s="33">
        <f ca="1">IFERROR(__xludf.DUMMYFUNCTION("""COMPUTED_VALUE"""),1)</f>
        <v>1</v>
      </c>
      <c r="L1637" s="203">
        <f ca="1">IFERROR(__xludf.DUMMYFUNCTION("""COMPUTED_VALUE"""),2481.73)</f>
        <v>2481.73</v>
      </c>
      <c r="M1637" s="33" t="str">
        <f ca="1">IFERROR(__xludf.DUMMYFUNCTION("""COMPUTED_VALUE"""),"03 ORL")</f>
        <v>03 ORL</v>
      </c>
      <c r="N1637" s="33" t="str">
        <f ca="1">IFERROR(__xludf.DUMMYFUNCTION("""COMPUTED_VALUE"""),"06 ORL")</f>
        <v>06 ORL</v>
      </c>
      <c r="O1637" s="33" t="str">
        <f ca="1">IFERROR(__xludf.DUMMYFUNCTION("""COMPUTED_VALUE"""),"No recuerda ORL")</f>
        <v>No recuerda ORL</v>
      </c>
      <c r="P1637" s="33" t="str">
        <f ca="1">IFERROR(__xludf.DUMMYFUNCTION("""COMPUTED_VALUE"""),"Iván Sánchez (Levante Y Albacete)")</f>
        <v>Iván Sánchez (Levante Y Albacete)</v>
      </c>
    </row>
    <row r="1638" spans="2:16">
      <c r="B1638" s="33">
        <f ca="1">IFERROR(__xludf.DUMMYFUNCTION("""COMPUTED_VALUE"""),2025)</f>
        <v>2025</v>
      </c>
      <c r="C1638" s="33">
        <f ca="1">IFERROR(__xludf.DUMMYFUNCTION("""COMPUTED_VALUE"""),12)</f>
        <v>12</v>
      </c>
      <c r="D1638" s="33" t="str">
        <f ca="1">IFERROR(__xludf.DUMMYFUNCTION("""COMPUTED_VALUE"""),"NO")</f>
        <v>NO</v>
      </c>
      <c r="E1638" s="33" t="str">
        <f ca="1">IFERROR(__xludf.DUMMYFUNCTION("""COMPUTED_VALUE"""),"Alicante")</f>
        <v>Alicante</v>
      </c>
      <c r="F1638" s="57">
        <f ca="1">IFERROR(__xludf.DUMMYFUNCTION("""COMPUTED_VALUE"""),46003)</f>
        <v>46003</v>
      </c>
      <c r="G1638" s="57">
        <f ca="1">IFERROR(__xludf.DUMMYFUNCTION("""COMPUTED_VALUE"""),45988)</f>
        <v>45988</v>
      </c>
      <c r="H1638" s="33" t="str">
        <f ca="1">IFERROR(__xludf.DUMMYFUNCTION("""COMPUTED_VALUE"""),"Alicante")</f>
        <v>Alicante</v>
      </c>
      <c r="I1638" s="33" t="str">
        <f ca="1">IFERROR(__xludf.DUMMYFUNCTION("""COMPUTED_VALUE"""),"C202511279252138653")</f>
        <v>C202511279252138653</v>
      </c>
      <c r="J1638" s="33" t="str">
        <f ca="1">IFERROR(__xludf.DUMMYFUNCTION("""COMPUTED_VALUE"""),"LUBNA ALQUDSI")</f>
        <v>LUBNA ALQUDSI</v>
      </c>
      <c r="K1638" s="33">
        <f ca="1">IFERROR(__xludf.DUMMYFUNCTION("""COMPUTED_VALUE"""),2)</f>
        <v>2</v>
      </c>
      <c r="L1638" s="203">
        <f ca="1">IFERROR(__xludf.DUMMYFUNCTION("""COMPUTED_VALUE"""),2718.18)</f>
        <v>2718.18</v>
      </c>
      <c r="M1638" s="33" t="str">
        <f ca="1">IFERROR(__xludf.DUMMYFUNCTION("""COMPUTED_VALUE"""),"03 ORL")</f>
        <v>03 ORL</v>
      </c>
      <c r="N1638" s="33" t="str">
        <f ca="1">IFERROR(__xludf.DUMMYFUNCTION("""COMPUTED_VALUE"""),"06 ORL")</f>
        <v>06 ORL</v>
      </c>
      <c r="O1638" s="33" t="str">
        <f ca="1">IFERROR(__xludf.DUMMYFUNCTION("""COMPUTED_VALUE"""),"Dr, Carlos Velásquez Fermín")</f>
        <v>Dr, Carlos Velásquez Fermín</v>
      </c>
      <c r="P1638" s="33" t="str">
        <f ca="1">IFERROR(__xludf.DUMMYFUNCTION("""COMPUTED_VALUE"""),"Iván Sánchez (Levante Y Albacete)")</f>
        <v>Iván Sánchez (Levante Y Albacete)</v>
      </c>
    </row>
    <row r="1639" spans="2:16">
      <c r="B1639" s="33">
        <f ca="1">IFERROR(__xludf.DUMMYFUNCTION("""COMPUTED_VALUE"""),2025)</f>
        <v>2025</v>
      </c>
      <c r="C1639" s="33">
        <f ca="1">IFERROR(__xludf.DUMMYFUNCTION("""COMPUTED_VALUE"""),12)</f>
        <v>12</v>
      </c>
      <c r="D1639" s="33" t="str">
        <f ca="1">IFERROR(__xludf.DUMMYFUNCTION("""COMPUTED_VALUE"""),"SI")</f>
        <v>SI</v>
      </c>
      <c r="E1639" s="33" t="str">
        <f ca="1">IFERROR(__xludf.DUMMYFUNCTION("""COMPUTED_VALUE"""),"Jerez de la Frontera")</f>
        <v>Jerez de la Frontera</v>
      </c>
      <c r="F1639" s="57">
        <f ca="1">IFERROR(__xludf.DUMMYFUNCTION("""COMPUTED_VALUE"""),46003)</f>
        <v>46003</v>
      </c>
      <c r="G1639" s="57">
        <f ca="1">IFERROR(__xludf.DUMMYFUNCTION("""COMPUTED_VALUE"""),45978)</f>
        <v>45978</v>
      </c>
      <c r="H1639" s="33" t="str">
        <f ca="1">IFERROR(__xludf.DUMMYFUNCTION("""COMPUTED_VALUE"""),"Jerez")</f>
        <v>Jerez</v>
      </c>
      <c r="I1639" s="33" t="str">
        <f ca="1">IFERROR(__xludf.DUMMYFUNCTION("""COMPUTED_VALUE"""),"C202511171548726809")</f>
        <v>C202511171548726809</v>
      </c>
      <c r="J1639" s="33" t="str">
        <f ca="1">IFERROR(__xludf.DUMMYFUNCTION("""COMPUTED_VALUE"""),"JUAN RUIZ NEUPAVER")</f>
        <v>JUAN RUIZ NEUPAVER</v>
      </c>
      <c r="K1639" s="33">
        <f ca="1">IFERROR(__xludf.DUMMYFUNCTION("""COMPUTED_VALUE"""),2)</f>
        <v>2</v>
      </c>
      <c r="L1639" s="203">
        <f ca="1">IFERROR(__xludf.DUMMYFUNCTION("""COMPUTED_VALUE"""),3631.82)</f>
        <v>3631.82</v>
      </c>
      <c r="M1639" s="33" t="str">
        <f ca="1">IFERROR(__xludf.DUMMYFUNCTION("""COMPUTED_VALUE"""),"03 ORL")</f>
        <v>03 ORL</v>
      </c>
      <c r="N1639" s="33" t="str">
        <f ca="1">IFERROR(__xludf.DUMMYFUNCTION("""COMPUTED_VALUE"""),"06 ORL")</f>
        <v>06 ORL</v>
      </c>
      <c r="O1639" s="33" t="str">
        <f ca="1">IFERROR(__xludf.DUMMYFUNCTION("""COMPUTED_VALUE"""),"Dr, Guillermo Sierra Galera")</f>
        <v>Dr, Guillermo Sierra Galera</v>
      </c>
      <c r="P1639" s="33" t="str">
        <f ca="1">IFERROR(__xludf.DUMMYFUNCTION("""COMPUTED_VALUE"""),"Luis Alberto Rodríguez (Andalucía y Badajoz)")</f>
        <v>Luis Alberto Rodríguez (Andalucía y Badajoz)</v>
      </c>
    </row>
    <row r="1640" spans="2:16">
      <c r="B1640" s="33">
        <f ca="1">IFERROR(__xludf.DUMMYFUNCTION("""COMPUTED_VALUE"""),2025)</f>
        <v>2025</v>
      </c>
      <c r="C1640" s="33">
        <f ca="1">IFERROR(__xludf.DUMMYFUNCTION("""COMPUTED_VALUE"""),12)</f>
        <v>12</v>
      </c>
      <c r="D1640" s="33" t="str">
        <f ca="1">IFERROR(__xludf.DUMMYFUNCTION("""COMPUTED_VALUE"""),"NO")</f>
        <v>NO</v>
      </c>
      <c r="E1640" s="33" t="str">
        <f ca="1">IFERROR(__xludf.DUMMYFUNCTION("""COMPUTED_VALUE"""),"Ponferrada")</f>
        <v>Ponferrada</v>
      </c>
      <c r="F1640" s="57">
        <f ca="1">IFERROR(__xludf.DUMMYFUNCTION("""COMPUTED_VALUE"""),46005)</f>
        <v>46005</v>
      </c>
      <c r="G1640" s="57">
        <f ca="1">IFERROR(__xludf.DUMMYFUNCTION("""COMPUTED_VALUE"""),45644)</f>
        <v>45644</v>
      </c>
      <c r="H1640" s="33" t="str">
        <f ca="1">IFERROR(__xludf.DUMMYFUNCTION("""COMPUTED_VALUE"""),"Ponferrada")</f>
        <v>Ponferrada</v>
      </c>
      <c r="I1640" s="33" t="str">
        <f ca="1">IFERROR(__xludf.DUMMYFUNCTION("""COMPUTED_VALUE"""),"PON-848")</f>
        <v>PON-848</v>
      </c>
      <c r="J1640" s="33" t="str">
        <f ca="1">IFERROR(__xludf.DUMMYFUNCTION("""COMPUTED_VALUE"""),"CARLA RODERA MARTINEZ")</f>
        <v>CARLA RODERA MARTINEZ</v>
      </c>
      <c r="K1640" s="33">
        <f ca="1">IFERROR(__xludf.DUMMYFUNCTION("""COMPUTED_VALUE"""),2)</f>
        <v>2</v>
      </c>
      <c r="L1640" s="203">
        <f ca="1">IFERROR(__xludf.DUMMYFUNCTION("""COMPUTED_VALUE"""),3909.09)</f>
        <v>3909.09</v>
      </c>
      <c r="M1640" s="33" t="str">
        <f ca="1">IFERROR(__xludf.DUMMYFUNCTION("""COMPUTED_VALUE"""),"03 ORL")</f>
        <v>03 ORL</v>
      </c>
      <c r="N1640" s="33" t="str">
        <f ca="1">IFERROR(__xludf.DUMMYFUNCTION("""COMPUTED_VALUE"""),"06 ORL")</f>
        <v>06 ORL</v>
      </c>
      <c r="O1640" s="33" t="str">
        <f ca="1">IFERROR(__xludf.DUMMYFUNCTION("""COMPUTED_VALUE"""),"Dra, Diana Lysbeth Lourido Piedrahita")</f>
        <v>Dra, Diana Lysbeth Lourido Piedrahita</v>
      </c>
      <c r="P1640" s="33" t="str">
        <f ca="1">IFERROR(__xludf.DUMMYFUNCTION("""COMPUTED_VALUE"""),"Alberto Moreno (Madrid)")</f>
        <v>Alberto Moreno (Madrid)</v>
      </c>
    </row>
    <row r="1641" spans="2:16">
      <c r="B1641" s="33">
        <f ca="1">IFERROR(__xludf.DUMMYFUNCTION("""COMPUTED_VALUE"""),2025)</f>
        <v>2025</v>
      </c>
      <c r="C1641" s="33">
        <f ca="1">IFERROR(__xludf.DUMMYFUNCTION("""COMPUTED_VALUE"""),12)</f>
        <v>12</v>
      </c>
      <c r="D1641" s="33" t="str">
        <f ca="1">IFERROR(__xludf.DUMMYFUNCTION("""COMPUTED_VALUE"""),"NO")</f>
        <v>NO</v>
      </c>
      <c r="E1641" s="33" t="str">
        <f ca="1">IFERROR(__xludf.DUMMYFUNCTION("""COMPUTED_VALUE"""),"Cáceres")</f>
        <v>Cáceres</v>
      </c>
      <c r="F1641" s="57">
        <f ca="1">IFERROR(__xludf.DUMMYFUNCTION("""COMPUTED_VALUE"""),46006)</f>
        <v>46006</v>
      </c>
      <c r="G1641" s="57">
        <f ca="1">IFERROR(__xludf.DUMMYFUNCTION("""COMPUTED_VALUE"""),45940)</f>
        <v>45940</v>
      </c>
      <c r="H1641" s="33" t="str">
        <f ca="1">IFERROR(__xludf.DUMMYFUNCTION("""COMPUTED_VALUE"""),"Cáceres")</f>
        <v>Cáceres</v>
      </c>
      <c r="I1641" s="33" t="str">
        <f ca="1">IFERROR(__xludf.DUMMYFUNCTION("""COMPUTED_VALUE"""),"CAC-419")</f>
        <v>CAC-419</v>
      </c>
      <c r="J1641" s="33" t="str">
        <f ca="1">IFERROR(__xludf.DUMMYFUNCTION("""COMPUTED_VALUE"""),"CONSUELO RUBIO MARTIN")</f>
        <v>CONSUELO RUBIO MARTIN</v>
      </c>
      <c r="K1641" s="33">
        <f ca="1">IFERROR(__xludf.DUMMYFUNCTION("""COMPUTED_VALUE"""),2)</f>
        <v>2</v>
      </c>
      <c r="L1641" s="203">
        <f ca="1">IFERROR(__xludf.DUMMYFUNCTION("""COMPUTED_VALUE"""),3970.91)</f>
        <v>3970.91</v>
      </c>
      <c r="M1641" s="33" t="str">
        <f ca="1">IFERROR(__xludf.DUMMYFUNCTION("""COMPUTED_VALUE"""),"03 ORL")</f>
        <v>03 ORL</v>
      </c>
      <c r="N1641" s="33" t="str">
        <f ca="1">IFERROR(__xludf.DUMMYFUNCTION("""COMPUTED_VALUE"""),"06 ORL")</f>
        <v>06 ORL</v>
      </c>
      <c r="O1641" s="33" t="str">
        <f ca="1">IFERROR(__xludf.DUMMYFUNCTION("""COMPUTED_VALUE"""),"Dr, Javier García Gómez")</f>
        <v>Dr, Javier García Gómez</v>
      </c>
      <c r="P1641" s="33" t="str">
        <f ca="1">IFERROR(__xludf.DUMMYFUNCTION("""COMPUTED_VALUE"""),"Lisandro Russian (Madrid, Cáceres, Toledo, Talavera Y Logroño)")</f>
        <v>Lisandro Russian (Madrid, Cáceres, Toledo, Talavera Y Logroño)</v>
      </c>
    </row>
    <row r="1642" spans="2:16">
      <c r="B1642" s="33">
        <f ca="1">IFERROR(__xludf.DUMMYFUNCTION("""COMPUTED_VALUE"""),2025)</f>
        <v>2025</v>
      </c>
      <c r="C1642" s="33">
        <f ca="1">IFERROR(__xludf.DUMMYFUNCTION("""COMPUTED_VALUE"""),12)</f>
        <v>12</v>
      </c>
      <c r="D1642" s="33" t="str">
        <f ca="1">IFERROR(__xludf.DUMMYFUNCTION("""COMPUTED_VALUE"""),"NO")</f>
        <v>NO</v>
      </c>
      <c r="E1642" s="33" t="str">
        <f ca="1">IFERROR(__xludf.DUMMYFUNCTION("""COMPUTED_VALUE"""),"Salamanca")</f>
        <v>Salamanca</v>
      </c>
      <c r="F1642" s="57">
        <f ca="1">IFERROR(__xludf.DUMMYFUNCTION("""COMPUTED_VALUE"""),46006)</f>
        <v>46006</v>
      </c>
      <c r="G1642" s="57">
        <f ca="1">IFERROR(__xludf.DUMMYFUNCTION("""COMPUTED_VALUE"""),45964)</f>
        <v>45964</v>
      </c>
      <c r="H1642" s="33" t="str">
        <f ca="1">IFERROR(__xludf.DUMMYFUNCTION("""COMPUTED_VALUE"""),"Salamanca")</f>
        <v>Salamanca</v>
      </c>
      <c r="I1642" s="33" t="str">
        <f ca="1">IFERROR(__xludf.DUMMYFUNCTION("""COMPUTED_VALUE"""),"SLM-645")</f>
        <v>SLM-645</v>
      </c>
      <c r="J1642" s="33" t="str">
        <f ca="1">IFERROR(__xludf.DUMMYFUNCTION("""COMPUTED_VALUE"""),"ISABEL SANCHEZ MORAN")</f>
        <v>ISABEL SANCHEZ MORAN</v>
      </c>
      <c r="K1642" s="33">
        <f ca="1">IFERROR(__xludf.DUMMYFUNCTION("""COMPUTED_VALUE"""),2)</f>
        <v>2</v>
      </c>
      <c r="L1642" s="203">
        <f ca="1">IFERROR(__xludf.DUMMYFUNCTION("""COMPUTED_VALUE"""),4120)</f>
        <v>4120</v>
      </c>
      <c r="M1642" s="33" t="str">
        <f ca="1">IFERROR(__xludf.DUMMYFUNCTION("""COMPUTED_VALUE"""),"03 ORL")</f>
        <v>03 ORL</v>
      </c>
      <c r="N1642" s="33" t="str">
        <f ca="1">IFERROR(__xludf.DUMMYFUNCTION("""COMPUTED_VALUE"""),"06 ORL")</f>
        <v>06 ORL</v>
      </c>
      <c r="O1642" s="33" t="str">
        <f ca="1">IFERROR(__xludf.DUMMYFUNCTION("""COMPUTED_VALUE"""),"Dr, Luis Miguel Rincón Esteban")</f>
        <v>Dr, Luis Miguel Rincón Esteban</v>
      </c>
      <c r="P1642" s="33" t="str">
        <f ca="1">IFERROR(__xludf.DUMMYFUNCTION("""COMPUTED_VALUE"""),"Alberto Moreno (Madrid)")</f>
        <v>Alberto Moreno (Madrid)</v>
      </c>
    </row>
    <row r="1643" spans="2:16">
      <c r="B1643" s="33">
        <f ca="1">IFERROR(__xludf.DUMMYFUNCTION("""COMPUTED_VALUE"""),2025)</f>
        <v>2025</v>
      </c>
      <c r="C1643" s="33">
        <f ca="1">IFERROR(__xludf.DUMMYFUNCTION("""COMPUTED_VALUE"""),12)</f>
        <v>12</v>
      </c>
      <c r="D1643" s="33" t="str">
        <f ca="1">IFERROR(__xludf.DUMMYFUNCTION("""COMPUTED_VALUE"""),"NO")</f>
        <v>NO</v>
      </c>
      <c r="E1643" s="33" t="str">
        <f ca="1">IFERROR(__xludf.DUMMYFUNCTION("""COMPUTED_VALUE"""),"Jerez de la Frontera")</f>
        <v>Jerez de la Frontera</v>
      </c>
      <c r="F1643" s="57">
        <f ca="1">IFERROR(__xludf.DUMMYFUNCTION("""COMPUTED_VALUE"""),46006)</f>
        <v>46006</v>
      </c>
      <c r="G1643" s="57">
        <f ca="1">IFERROR(__xludf.DUMMYFUNCTION("""COMPUTED_VALUE"""),45981)</f>
        <v>45981</v>
      </c>
      <c r="H1643" s="33" t="str">
        <f ca="1">IFERROR(__xludf.DUMMYFUNCTION("""COMPUTED_VALUE"""),"Jerez")</f>
        <v>Jerez</v>
      </c>
      <c r="I1643" s="33" t="str">
        <f ca="1">IFERROR(__xludf.DUMMYFUNCTION("""COMPUTED_VALUE"""),"C202511201039178797")</f>
        <v>C202511201039178797</v>
      </c>
      <c r="J1643" s="33" t="str">
        <f ca="1">IFERROR(__xludf.DUMMYFUNCTION("""COMPUTED_VALUE"""),"MARIA CARAVACA GIL")</f>
        <v>MARIA CARAVACA GIL</v>
      </c>
      <c r="K1643" s="33">
        <f ca="1">IFERROR(__xludf.DUMMYFUNCTION("""COMPUTED_VALUE"""),2)</f>
        <v>2</v>
      </c>
      <c r="L1643" s="203">
        <f ca="1">IFERROR(__xludf.DUMMYFUNCTION("""COMPUTED_VALUE"""),4136.36)</f>
        <v>4136.3599999999997</v>
      </c>
      <c r="M1643" s="33" t="str">
        <f ca="1">IFERROR(__xludf.DUMMYFUNCTION("""COMPUTED_VALUE"""),"03 ORL")</f>
        <v>03 ORL</v>
      </c>
      <c r="N1643" s="33" t="str">
        <f ca="1">IFERROR(__xludf.DUMMYFUNCTION("""COMPUTED_VALUE"""),"06 ORL")</f>
        <v>06 ORL</v>
      </c>
      <c r="O1643" s="33" t="str">
        <f ca="1">IFERROR(__xludf.DUMMYFUNCTION("""COMPUTED_VALUE"""),"Dra, Maria Del Carmen Salom Coveñas")</f>
        <v>Dra, Maria Del Carmen Salom Coveñas</v>
      </c>
      <c r="P1643" s="33" t="str">
        <f ca="1">IFERROR(__xludf.DUMMYFUNCTION("""COMPUTED_VALUE"""),"Luis Alberto Rodríguez (Andalucía y Badajoz)")</f>
        <v>Luis Alberto Rodríguez (Andalucía y Badajoz)</v>
      </c>
    </row>
    <row r="1644" spans="2:16">
      <c r="B1644" s="33">
        <f ca="1">IFERROR(__xludf.DUMMYFUNCTION("""COMPUTED_VALUE"""),2025)</f>
        <v>2025</v>
      </c>
      <c r="C1644" s="33">
        <f ca="1">IFERROR(__xludf.DUMMYFUNCTION("""COMPUTED_VALUE"""),12)</f>
        <v>12</v>
      </c>
      <c r="D1644" s="33" t="str">
        <f ca="1">IFERROR(__xludf.DUMMYFUNCTION("""COMPUTED_VALUE"""),"SI")</f>
        <v>SI</v>
      </c>
      <c r="E1644" s="33" t="str">
        <f ca="1">IFERROR(__xludf.DUMMYFUNCTION("""COMPUTED_VALUE"""),"Jerez de la Frontera")</f>
        <v>Jerez de la Frontera</v>
      </c>
      <c r="F1644" s="57">
        <f ca="1">IFERROR(__xludf.DUMMYFUNCTION("""COMPUTED_VALUE"""),46006)</f>
        <v>46006</v>
      </c>
      <c r="G1644" s="57">
        <f ca="1">IFERROR(__xludf.DUMMYFUNCTION("""COMPUTED_VALUE"""),45974)</f>
        <v>45974</v>
      </c>
      <c r="H1644" s="33" t="str">
        <f ca="1">IFERROR(__xludf.DUMMYFUNCTION("""COMPUTED_VALUE"""),"Jerez")</f>
        <v>Jerez</v>
      </c>
      <c r="I1644" s="33" t="str">
        <f ca="1">IFERROR(__xludf.DUMMYFUNCTION("""COMPUTED_VALUE"""),"C202511131155509733")</f>
        <v>C202511131155509733</v>
      </c>
      <c r="J1644" s="33" t="str">
        <f ca="1">IFERROR(__xludf.DUMMYFUNCTION("""COMPUTED_VALUE"""),"SALVADOR SELVATICO SANCHEZ")</f>
        <v>SALVADOR SELVATICO SANCHEZ</v>
      </c>
      <c r="K1644" s="33">
        <f ca="1">IFERROR(__xludf.DUMMYFUNCTION("""COMPUTED_VALUE"""),2)</f>
        <v>2</v>
      </c>
      <c r="L1644" s="203">
        <f ca="1">IFERROR(__xludf.DUMMYFUNCTION("""COMPUTED_VALUE"""),4536.36)</f>
        <v>4536.3599999999997</v>
      </c>
      <c r="M1644" s="33" t="str">
        <f ca="1">IFERROR(__xludf.DUMMYFUNCTION("""COMPUTED_VALUE"""),"03 ORL")</f>
        <v>03 ORL</v>
      </c>
      <c r="N1644" s="33" t="str">
        <f ca="1">IFERROR(__xludf.DUMMYFUNCTION("""COMPUTED_VALUE"""),"06 ORL")</f>
        <v>06 ORL</v>
      </c>
      <c r="O1644" s="33" t="str">
        <f ca="1">IFERROR(__xludf.DUMMYFUNCTION("""COMPUTED_VALUE"""),"Dr, Manuel Tucciarone")</f>
        <v>Dr, Manuel Tucciarone</v>
      </c>
      <c r="P1644" s="33" t="str">
        <f ca="1">IFERROR(__xludf.DUMMYFUNCTION("""COMPUTED_VALUE"""),"Luis Alberto Rodríguez (Andalucía y Badajoz)")</f>
        <v>Luis Alberto Rodríguez (Andalucía y Badajoz)</v>
      </c>
    </row>
    <row r="1645" spans="2:16">
      <c r="B1645" s="33">
        <f ca="1">IFERROR(__xludf.DUMMYFUNCTION("""COMPUTED_VALUE"""),2025)</f>
        <v>2025</v>
      </c>
      <c r="C1645" s="33">
        <f ca="1">IFERROR(__xludf.DUMMYFUNCTION("""COMPUTED_VALUE"""),12)</f>
        <v>12</v>
      </c>
      <c r="D1645" s="33" t="str">
        <f ca="1">IFERROR(__xludf.DUMMYFUNCTION("""COMPUTED_VALUE"""),"NO")</f>
        <v>NO</v>
      </c>
      <c r="E1645" s="33" t="str">
        <f ca="1">IFERROR(__xludf.DUMMYFUNCTION("""COMPUTED_VALUE"""),"Ourense")</f>
        <v>Ourense</v>
      </c>
      <c r="F1645" s="57">
        <f ca="1">IFERROR(__xludf.DUMMYFUNCTION("""COMPUTED_VALUE"""),46006)</f>
        <v>46006</v>
      </c>
      <c r="G1645" s="57">
        <f ca="1">IFERROR(__xludf.DUMMYFUNCTION("""COMPUTED_VALUE"""),45974)</f>
        <v>45974</v>
      </c>
      <c r="H1645" s="33" t="str">
        <f ca="1">IFERROR(__xludf.DUMMYFUNCTION("""COMPUTED_VALUE"""),"Orense")</f>
        <v>Orense</v>
      </c>
      <c r="I1645" s="33" t="str">
        <f ca="1">IFERROR(__xludf.DUMMYFUNCTION("""COMPUTED_VALUE"""),"C202511138462062631")</f>
        <v>C202511138462062631</v>
      </c>
      <c r="J1645" s="33" t="str">
        <f ca="1">IFERROR(__xludf.DUMMYFUNCTION("""COMPUTED_VALUE"""),"JOSE LUIS GARCIA OLIVEIRA")</f>
        <v>JOSE LUIS GARCIA OLIVEIRA</v>
      </c>
      <c r="K1645" s="33">
        <f ca="1">IFERROR(__xludf.DUMMYFUNCTION("""COMPUTED_VALUE"""),1)</f>
        <v>1</v>
      </c>
      <c r="L1645" s="203">
        <f ca="1">IFERROR(__xludf.DUMMYFUNCTION("""COMPUTED_VALUE"""),2180.77)</f>
        <v>2180.77</v>
      </c>
      <c r="M1645" s="33" t="str">
        <f ca="1">IFERROR(__xludf.DUMMYFUNCTION("""COMPUTED_VALUE"""),"03 ORL")</f>
        <v>03 ORL</v>
      </c>
      <c r="N1645" s="33" t="str">
        <f ca="1">IFERROR(__xludf.DUMMYFUNCTION("""COMPUTED_VALUE"""),"06 ORL")</f>
        <v>06 ORL</v>
      </c>
      <c r="O1645" s="33" t="str">
        <f ca="1">IFERROR(__xludf.DUMMYFUNCTION("""COMPUTED_VALUE"""),"Dra, María Rey Marcos")</f>
        <v>Dra, María Rey Marcos</v>
      </c>
      <c r="P1645" s="33" t="str">
        <f ca="1">IFERROR(__xludf.DUMMYFUNCTION("""COMPUTED_VALUE"""),"Roberto Pereira (Galicia)")</f>
        <v>Roberto Pereira (Galicia)</v>
      </c>
    </row>
    <row r="1646" spans="2:16">
      <c r="B1646" s="33">
        <f ca="1">IFERROR(__xludf.DUMMYFUNCTION("""COMPUTED_VALUE"""),2025)</f>
        <v>2025</v>
      </c>
      <c r="C1646" s="33">
        <f ca="1">IFERROR(__xludf.DUMMYFUNCTION("""COMPUTED_VALUE"""),12)</f>
        <v>12</v>
      </c>
      <c r="D1646" s="33" t="str">
        <f ca="1">IFERROR(__xludf.DUMMYFUNCTION("""COMPUTED_VALUE"""),"NO")</f>
        <v>NO</v>
      </c>
      <c r="E1646" s="33" t="str">
        <f ca="1">IFERROR(__xludf.DUMMYFUNCTION("""COMPUTED_VALUE"""),"Cáceres")</f>
        <v>Cáceres</v>
      </c>
      <c r="F1646" s="57">
        <f ca="1">IFERROR(__xludf.DUMMYFUNCTION("""COMPUTED_VALUE"""),46007)</f>
        <v>46007</v>
      </c>
      <c r="G1646" s="57">
        <f ca="1">IFERROR(__xludf.DUMMYFUNCTION("""COMPUTED_VALUE"""),45978)</f>
        <v>45978</v>
      </c>
      <c r="H1646" s="33" t="str">
        <f ca="1">IFERROR(__xludf.DUMMYFUNCTION("""COMPUTED_VALUE"""),"Cáceres")</f>
        <v>Cáceres</v>
      </c>
      <c r="I1646" s="33" t="str">
        <f ca="1">IFERROR(__xludf.DUMMYFUNCTION("""COMPUTED_VALUE"""),"CAC-448")</f>
        <v>CAC-448</v>
      </c>
      <c r="J1646" s="33" t="str">
        <f ca="1">IFERROR(__xludf.DUMMYFUNCTION("""COMPUTED_VALUE"""),"MARIA LUISA BOCADULCE LOZANO")</f>
        <v>MARIA LUISA BOCADULCE LOZANO</v>
      </c>
      <c r="K1646" s="33">
        <f ca="1">IFERROR(__xludf.DUMMYFUNCTION("""COMPUTED_VALUE"""),2)</f>
        <v>2</v>
      </c>
      <c r="L1646" s="203">
        <f ca="1">IFERROR(__xludf.DUMMYFUNCTION("""COMPUTED_VALUE"""),4500)</f>
        <v>4500</v>
      </c>
      <c r="M1646" s="33" t="str">
        <f ca="1">IFERROR(__xludf.DUMMYFUNCTION("""COMPUTED_VALUE"""),"03 ORL")</f>
        <v>03 ORL</v>
      </c>
      <c r="N1646" s="33" t="str">
        <f ca="1">IFERROR(__xludf.DUMMYFUNCTION("""COMPUTED_VALUE"""),"06 ORL")</f>
        <v>06 ORL</v>
      </c>
      <c r="O1646" s="33" t="str">
        <f ca="1">IFERROR(__xludf.DUMMYFUNCTION("""COMPUTED_VALUE"""),"Dra, Esther De La O Corochano")</f>
        <v>Dra, Esther De La O Corochano</v>
      </c>
      <c r="P1646" s="33" t="str">
        <f ca="1">IFERROR(__xludf.DUMMYFUNCTION("""COMPUTED_VALUE"""),"Lisandro Russian (Madrid, Cáceres, Toledo, Talavera Y Logroño)")</f>
        <v>Lisandro Russian (Madrid, Cáceres, Toledo, Talavera Y Logroño)</v>
      </c>
    </row>
    <row r="1647" spans="2:16">
      <c r="B1647" s="33">
        <f ca="1">IFERROR(__xludf.DUMMYFUNCTION("""COMPUTED_VALUE"""),2025)</f>
        <v>2025</v>
      </c>
      <c r="C1647" s="33">
        <f ca="1">IFERROR(__xludf.DUMMYFUNCTION("""COMPUTED_VALUE"""),12)</f>
        <v>12</v>
      </c>
      <c r="D1647" s="33" t="str">
        <f ca="1">IFERROR(__xludf.DUMMYFUNCTION("""COMPUTED_VALUE"""),"NO")</f>
        <v>NO</v>
      </c>
      <c r="E1647" s="33" t="str">
        <f ca="1">IFERROR(__xludf.DUMMYFUNCTION("""COMPUTED_VALUE"""),"Toledo")</f>
        <v>Toledo</v>
      </c>
      <c r="F1647" s="57">
        <f ca="1">IFERROR(__xludf.DUMMYFUNCTION("""COMPUTED_VALUE"""),46007)</f>
        <v>46007</v>
      </c>
      <c r="G1647" s="57">
        <f ca="1">IFERROR(__xludf.DUMMYFUNCTION("""COMPUTED_VALUE"""),45957)</f>
        <v>45957</v>
      </c>
      <c r="H1647" s="33" t="str">
        <f ca="1">IFERROR(__xludf.DUMMYFUNCTION("""COMPUTED_VALUE"""),"Toledo")</f>
        <v>Toledo</v>
      </c>
      <c r="I1647" s="33" t="str">
        <f ca="1">IFERROR(__xludf.DUMMYFUNCTION("""COMPUTED_VALUE"""),"C202510271458189840")</f>
        <v>C202510271458189840</v>
      </c>
      <c r="J1647" s="33" t="str">
        <f ca="1">IFERROR(__xludf.DUMMYFUNCTION("""COMPUTED_VALUE"""),"Concepción Gil Sánchez")</f>
        <v>Concepción Gil Sánchez</v>
      </c>
      <c r="K1647" s="33">
        <f ca="1">IFERROR(__xludf.DUMMYFUNCTION("""COMPUTED_VALUE"""),2)</f>
        <v>2</v>
      </c>
      <c r="L1647" s="203">
        <f ca="1">IFERROR(__xludf.DUMMYFUNCTION("""COMPUTED_VALUE"""),2718.18)</f>
        <v>2718.18</v>
      </c>
      <c r="M1647" s="33" t="str">
        <f ca="1">IFERROR(__xludf.DUMMYFUNCTION("""COMPUTED_VALUE"""),"03 ORL")</f>
        <v>03 ORL</v>
      </c>
      <c r="N1647" s="33" t="str">
        <f ca="1">IFERROR(__xludf.DUMMYFUNCTION("""COMPUTED_VALUE"""),"06 ORL")</f>
        <v>06 ORL</v>
      </c>
      <c r="O1647" s="33" t="str">
        <f ca="1">IFERROR(__xludf.DUMMYFUNCTION("""COMPUTED_VALUE"""),"Dra, Mónica Rueda Vega")</f>
        <v>Dra, Mónica Rueda Vega</v>
      </c>
      <c r="P1647" s="33" t="str">
        <f ca="1">IFERROR(__xludf.DUMMYFUNCTION("""COMPUTED_VALUE"""),"Lisandro Russian (Madrid, Cáceres, Toledo, Talavera Y Logroño)")</f>
        <v>Lisandro Russian (Madrid, Cáceres, Toledo, Talavera Y Logroño)</v>
      </c>
    </row>
    <row r="1648" spans="2:16">
      <c r="B1648" s="33">
        <f ca="1">IFERROR(__xludf.DUMMYFUNCTION("""COMPUTED_VALUE"""),2025)</f>
        <v>2025</v>
      </c>
      <c r="C1648" s="33">
        <f ca="1">IFERROR(__xludf.DUMMYFUNCTION("""COMPUTED_VALUE"""),12)</f>
        <v>12</v>
      </c>
      <c r="D1648" s="33" t="str">
        <f ca="1">IFERROR(__xludf.DUMMYFUNCTION("""COMPUTED_VALUE"""),"NO")</f>
        <v>NO</v>
      </c>
      <c r="E1648" s="33" t="str">
        <f ca="1">IFERROR(__xludf.DUMMYFUNCTION("""COMPUTED_VALUE"""),"Getafe")</f>
        <v>Getafe</v>
      </c>
      <c r="F1648" s="57">
        <f ca="1">IFERROR(__xludf.DUMMYFUNCTION("""COMPUTED_VALUE"""),46007)</f>
        <v>46007</v>
      </c>
      <c r="G1648" s="57">
        <f ca="1">IFERROR(__xludf.DUMMYFUNCTION("""COMPUTED_VALUE"""),45973)</f>
        <v>45973</v>
      </c>
      <c r="H1648" s="33" t="str">
        <f ca="1">IFERROR(__xludf.DUMMYFUNCTION("""COMPUTED_VALUE"""),"Getafe")</f>
        <v>Getafe</v>
      </c>
      <c r="I1648" s="33" t="str">
        <f ca="1">IFERROR(__xludf.DUMMYFUNCTION("""COMPUTED_VALUE"""),"C202511121026471742")</f>
        <v>C202511121026471742</v>
      </c>
      <c r="J1648" s="33" t="str">
        <f ca="1">IFERROR(__xludf.DUMMYFUNCTION("""COMPUTED_VALUE"""),"LUCRECIA SORIA GÓMEZ")</f>
        <v>LUCRECIA SORIA GÓMEZ</v>
      </c>
      <c r="K1648" s="33">
        <f ca="1">IFERROR(__xludf.DUMMYFUNCTION("""COMPUTED_VALUE"""),2)</f>
        <v>2</v>
      </c>
      <c r="L1648" s="203">
        <f ca="1">IFERROR(__xludf.DUMMYFUNCTION("""COMPUTED_VALUE"""),2582.27)</f>
        <v>2582.27</v>
      </c>
      <c r="M1648" s="33" t="str">
        <f ca="1">IFERROR(__xludf.DUMMYFUNCTION("""COMPUTED_VALUE"""),"03 ORL")</f>
        <v>03 ORL</v>
      </c>
      <c r="N1648" s="33" t="str">
        <f ca="1">IFERROR(__xludf.DUMMYFUNCTION("""COMPUTED_VALUE"""),"06 ORL")</f>
        <v>06 ORL</v>
      </c>
      <c r="O1648" s="33" t="str">
        <f ca="1">IFERROR(__xludf.DUMMYFUNCTION("""COMPUTED_VALUE"""),"Dra, María Garrote Garrote")</f>
        <v>Dra, María Garrote Garrote</v>
      </c>
      <c r="P1648" s="33" t="str">
        <f ca="1">IFERROR(__xludf.DUMMYFUNCTION("""COMPUTED_VALUE"""),"Maika Blázquez (Madrid)")</f>
        <v>Maika Blázquez (Madrid)</v>
      </c>
    </row>
    <row r="1649" spans="2:16">
      <c r="B1649" s="33">
        <f ca="1">IFERROR(__xludf.DUMMYFUNCTION("""COMPUTED_VALUE"""),2025)</f>
        <v>2025</v>
      </c>
      <c r="C1649" s="33">
        <f ca="1">IFERROR(__xludf.DUMMYFUNCTION("""COMPUTED_VALUE"""),12)</f>
        <v>12</v>
      </c>
      <c r="D1649" s="33" t="str">
        <f ca="1">IFERROR(__xludf.DUMMYFUNCTION("""COMPUTED_VALUE"""),"NO")</f>
        <v>NO</v>
      </c>
      <c r="E1649" s="33" t="str">
        <f ca="1">IFERROR(__xludf.DUMMYFUNCTION("""COMPUTED_VALUE"""),"Cáceres")</f>
        <v>Cáceres</v>
      </c>
      <c r="F1649" s="57">
        <f ca="1">IFERROR(__xludf.DUMMYFUNCTION("""COMPUTED_VALUE"""),46007)</f>
        <v>46007</v>
      </c>
      <c r="G1649" s="57">
        <f ca="1">IFERROR(__xludf.DUMMYFUNCTION("""COMPUTED_VALUE"""),45972)</f>
        <v>45972</v>
      </c>
      <c r="H1649" s="33" t="str">
        <f ca="1">IFERROR(__xludf.DUMMYFUNCTION("""COMPUTED_VALUE"""),"Cáceres")</f>
        <v>Cáceres</v>
      </c>
      <c r="I1649" s="33" t="str">
        <f ca="1">IFERROR(__xludf.DUMMYFUNCTION("""COMPUTED_VALUE"""),"CAC-444")</f>
        <v>CAC-444</v>
      </c>
      <c r="J1649" s="33" t="str">
        <f ca="1">IFERROR(__xludf.DUMMYFUNCTION("""COMPUTED_VALUE"""),"EMILIA MARISCAL CASTRO")</f>
        <v>EMILIA MARISCAL CASTRO</v>
      </c>
      <c r="K1649" s="33">
        <f ca="1">IFERROR(__xludf.DUMMYFUNCTION("""COMPUTED_VALUE"""),2)</f>
        <v>2</v>
      </c>
      <c r="L1649" s="203">
        <f ca="1">IFERROR(__xludf.DUMMYFUNCTION("""COMPUTED_VALUE"""),4500)</f>
        <v>4500</v>
      </c>
      <c r="M1649" s="33" t="str">
        <f ca="1">IFERROR(__xludf.DUMMYFUNCTION("""COMPUTED_VALUE"""),"03 ORL")</f>
        <v>03 ORL</v>
      </c>
      <c r="N1649" s="33" t="str">
        <f ca="1">IFERROR(__xludf.DUMMYFUNCTION("""COMPUTED_VALUE"""),"06 ORL")</f>
        <v>06 ORL</v>
      </c>
      <c r="O1649" s="33" t="str">
        <f ca="1">IFERROR(__xludf.DUMMYFUNCTION("""COMPUTED_VALUE"""),"Dra, Marta García Jiménez")</f>
        <v>Dra, Marta García Jiménez</v>
      </c>
      <c r="P1649" s="33" t="str">
        <f ca="1">IFERROR(__xludf.DUMMYFUNCTION("""COMPUTED_VALUE"""),"Lisandro Russian (Madrid, Cáceres, Toledo, Talavera Y Logroño)")</f>
        <v>Lisandro Russian (Madrid, Cáceres, Toledo, Talavera Y Logroño)</v>
      </c>
    </row>
    <row r="1650" spans="2:16">
      <c r="B1650" s="33">
        <f ca="1">IFERROR(__xludf.DUMMYFUNCTION("""COMPUTED_VALUE"""),2025)</f>
        <v>2025</v>
      </c>
      <c r="C1650" s="33">
        <f ca="1">IFERROR(__xludf.DUMMYFUNCTION("""COMPUTED_VALUE"""),12)</f>
        <v>12</v>
      </c>
      <c r="D1650" s="33" t="str">
        <f ca="1">IFERROR(__xludf.DUMMYFUNCTION("""COMPUTED_VALUE"""),"NO")</f>
        <v>NO</v>
      </c>
      <c r="E1650" s="33" t="str">
        <f ca="1">IFERROR(__xludf.DUMMYFUNCTION("""COMPUTED_VALUE"""),"Almería")</f>
        <v>Almería</v>
      </c>
      <c r="F1650" s="57">
        <f ca="1">IFERROR(__xludf.DUMMYFUNCTION("""COMPUTED_VALUE"""),46007)</f>
        <v>46007</v>
      </c>
      <c r="G1650" s="57">
        <f ca="1">IFERROR(__xludf.DUMMYFUNCTION("""COMPUTED_VALUE"""),45967)</f>
        <v>45967</v>
      </c>
      <c r="H1650" s="33" t="str">
        <f ca="1">IFERROR(__xludf.DUMMYFUNCTION("""COMPUTED_VALUE"""),"Almería")</f>
        <v>Almería</v>
      </c>
      <c r="I1650" s="33" t="str">
        <f ca="1">IFERROR(__xludf.DUMMYFUNCTION("""COMPUTED_VALUE"""),"C202511611284381178")</f>
        <v>C202511611284381178</v>
      </c>
      <c r="J1650" s="33" t="str">
        <f ca="1">IFERROR(__xludf.DUMMYFUNCTION("""COMPUTED_VALUE"""),"GEMMA MONTOYA PORTILLO")</f>
        <v>GEMMA MONTOYA PORTILLO</v>
      </c>
      <c r="K1650" s="33">
        <f ca="1">IFERROR(__xludf.DUMMYFUNCTION("""COMPUTED_VALUE"""),2)</f>
        <v>2</v>
      </c>
      <c r="L1650" s="203">
        <f ca="1">IFERROR(__xludf.DUMMYFUNCTION("""COMPUTED_VALUE"""),2718.19)</f>
        <v>2718.19</v>
      </c>
      <c r="M1650" s="33" t="str">
        <f ca="1">IFERROR(__xludf.DUMMYFUNCTION("""COMPUTED_VALUE"""),"03 ORL")</f>
        <v>03 ORL</v>
      </c>
      <c r="N1650" s="33" t="str">
        <f ca="1">IFERROR(__xludf.DUMMYFUNCTION("""COMPUTED_VALUE"""),"06 ORL")</f>
        <v>06 ORL</v>
      </c>
      <c r="O1650" s="33" t="str">
        <f ca="1">IFERROR(__xludf.DUMMYFUNCTION("""COMPUTED_VALUE"""),"Dr, Manuel Segundo Gómez Fiñana")</f>
        <v>Dr, Manuel Segundo Gómez Fiñana</v>
      </c>
      <c r="P1650" s="33" t="str">
        <f ca="1">IFERROR(__xludf.DUMMYFUNCTION("""COMPUTED_VALUE"""),"Ramon Ferrando(Valencia)")</f>
        <v>Ramon Ferrando(Valencia)</v>
      </c>
    </row>
    <row r="1651" spans="2:16">
      <c r="B1651" s="33">
        <f ca="1">IFERROR(__xludf.DUMMYFUNCTION("""COMPUTED_VALUE"""),2025)</f>
        <v>2025</v>
      </c>
      <c r="C1651" s="33">
        <f ca="1">IFERROR(__xludf.DUMMYFUNCTION("""COMPUTED_VALUE"""),12)</f>
        <v>12</v>
      </c>
      <c r="D1651" s="33" t="str">
        <f ca="1">IFERROR(__xludf.DUMMYFUNCTION("""COMPUTED_VALUE"""),"NO")</f>
        <v>NO</v>
      </c>
      <c r="E1651" s="33" t="str">
        <f ca="1">IFERROR(__xludf.DUMMYFUNCTION("""COMPUTED_VALUE"""),"Salamanca")</f>
        <v>Salamanca</v>
      </c>
      <c r="F1651" s="57">
        <f ca="1">IFERROR(__xludf.DUMMYFUNCTION("""COMPUTED_VALUE"""),46007)</f>
        <v>46007</v>
      </c>
      <c r="G1651" s="57">
        <f ca="1">IFERROR(__xludf.DUMMYFUNCTION("""COMPUTED_VALUE"""),45953)</f>
        <v>45953</v>
      </c>
      <c r="H1651" s="33" t="str">
        <f ca="1">IFERROR(__xludf.DUMMYFUNCTION("""COMPUTED_VALUE"""),"Salamanca")</f>
        <v>Salamanca</v>
      </c>
      <c r="I1651" s="33" t="str">
        <f ca="1">IFERROR(__xludf.DUMMYFUNCTION("""COMPUTED_VALUE"""),"SLM-641")</f>
        <v>SLM-641</v>
      </c>
      <c r="J1651" s="33" t="str">
        <f ca="1">IFERROR(__xludf.DUMMYFUNCTION("""COMPUTED_VALUE"""),"MARIA ROSA IGLESIAS SANCHEZ")</f>
        <v>MARIA ROSA IGLESIAS SANCHEZ</v>
      </c>
      <c r="K1651" s="33">
        <f ca="1">IFERROR(__xludf.DUMMYFUNCTION("""COMPUTED_VALUE"""),2)</f>
        <v>2</v>
      </c>
      <c r="L1651" s="203">
        <f ca="1">IFERROR(__xludf.DUMMYFUNCTION("""COMPUTED_VALUE"""),3730)</f>
        <v>3730</v>
      </c>
      <c r="M1651" s="33" t="str">
        <f ca="1">IFERROR(__xludf.DUMMYFUNCTION("""COMPUTED_VALUE"""),"03 ORL")</f>
        <v>03 ORL</v>
      </c>
      <c r="N1651" s="33" t="str">
        <f ca="1">IFERROR(__xludf.DUMMYFUNCTION("""COMPUTED_VALUE"""),"06 ORL")</f>
        <v>06 ORL</v>
      </c>
      <c r="O1651" s="33" t="str">
        <f ca="1">IFERROR(__xludf.DUMMYFUNCTION("""COMPUTED_VALUE"""),"Dr, Luis Miguel Rincón Esteban")</f>
        <v>Dr, Luis Miguel Rincón Esteban</v>
      </c>
      <c r="P1651" s="33" t="str">
        <f ca="1">IFERROR(__xludf.DUMMYFUNCTION("""COMPUTED_VALUE"""),"Alberto Moreno (Madrid)")</f>
        <v>Alberto Moreno (Madrid)</v>
      </c>
    </row>
    <row r="1652" spans="2:16">
      <c r="B1652" s="33">
        <f ca="1">IFERROR(__xludf.DUMMYFUNCTION("""COMPUTED_VALUE"""),2025)</f>
        <v>2025</v>
      </c>
      <c r="C1652" s="33">
        <f ca="1">IFERROR(__xludf.DUMMYFUNCTION("""COMPUTED_VALUE"""),12)</f>
        <v>12</v>
      </c>
      <c r="D1652" s="33" t="str">
        <f ca="1">IFERROR(__xludf.DUMMYFUNCTION("""COMPUTED_VALUE"""),"NO")</f>
        <v>NO</v>
      </c>
      <c r="E1652" s="33" t="str">
        <f ca="1">IFERROR(__xludf.DUMMYFUNCTION("""COMPUTED_VALUE"""),"Ourense")</f>
        <v>Ourense</v>
      </c>
      <c r="F1652" s="57">
        <f ca="1">IFERROR(__xludf.DUMMYFUNCTION("""COMPUTED_VALUE"""),46007)</f>
        <v>46007</v>
      </c>
      <c r="G1652" s="57">
        <f ca="1">IFERROR(__xludf.DUMMYFUNCTION("""COMPUTED_VALUE"""),45965)</f>
        <v>45965</v>
      </c>
      <c r="H1652" s="33" t="str">
        <f ca="1">IFERROR(__xludf.DUMMYFUNCTION("""COMPUTED_VALUE"""),"Orense")</f>
        <v>Orense</v>
      </c>
      <c r="I1652" s="33" t="str">
        <f ca="1">IFERROR(__xludf.DUMMYFUNCTION("""COMPUTED_VALUE"""),"C202511416444006779")</f>
        <v>C202511416444006779</v>
      </c>
      <c r="J1652" s="33" t="str">
        <f ca="1">IFERROR(__xludf.DUMMYFUNCTION("""COMPUTED_VALUE"""),"ILDEFONSO SOBRINO VILA")</f>
        <v>ILDEFONSO SOBRINO VILA</v>
      </c>
      <c r="K1652" s="33">
        <f ca="1">IFERROR(__xludf.DUMMYFUNCTION("""COMPUTED_VALUE"""),1)</f>
        <v>1</v>
      </c>
      <c r="L1652" s="203">
        <f ca="1">IFERROR(__xludf.DUMMYFUNCTION("""COMPUTED_VALUE"""),1631.82)</f>
        <v>1631.82</v>
      </c>
      <c r="M1652" s="33" t="str">
        <f ca="1">IFERROR(__xludf.DUMMYFUNCTION("""COMPUTED_VALUE"""),"03 ORL")</f>
        <v>03 ORL</v>
      </c>
      <c r="N1652" s="33" t="str">
        <f ca="1">IFERROR(__xludf.DUMMYFUNCTION("""COMPUTED_VALUE"""),"06 ORL")</f>
        <v>06 ORL</v>
      </c>
      <c r="O1652" s="33" t="str">
        <f ca="1">IFERROR(__xludf.DUMMYFUNCTION("""COMPUTED_VALUE"""),"Dra, María Rey Marcos")</f>
        <v>Dra, María Rey Marcos</v>
      </c>
      <c r="P1652" s="33" t="str">
        <f ca="1">IFERROR(__xludf.DUMMYFUNCTION("""COMPUTED_VALUE"""),"Roberto Pereira (Galicia)")</f>
        <v>Roberto Pereira (Galicia)</v>
      </c>
    </row>
    <row r="1653" spans="2:16">
      <c r="B1653" s="33">
        <f ca="1">IFERROR(__xludf.DUMMYFUNCTION("""COMPUTED_VALUE"""),2025)</f>
        <v>2025</v>
      </c>
      <c r="C1653" s="33">
        <f ca="1">IFERROR(__xludf.DUMMYFUNCTION("""COMPUTED_VALUE"""),12)</f>
        <v>12</v>
      </c>
      <c r="D1653" s="33" t="str">
        <f ca="1">IFERROR(__xludf.DUMMYFUNCTION("""COMPUTED_VALUE"""),"NO")</f>
        <v>NO</v>
      </c>
      <c r="E1653" s="33" t="str">
        <f ca="1">IFERROR(__xludf.DUMMYFUNCTION("""COMPUTED_VALUE"""),"Ourense")</f>
        <v>Ourense</v>
      </c>
      <c r="F1653" s="57">
        <f ca="1">IFERROR(__xludf.DUMMYFUNCTION("""COMPUTED_VALUE"""),46007)</f>
        <v>46007</v>
      </c>
      <c r="G1653" s="57">
        <f ca="1">IFERROR(__xludf.DUMMYFUNCTION("""COMPUTED_VALUE"""),45965)</f>
        <v>45965</v>
      </c>
      <c r="H1653" s="33" t="str">
        <f ca="1">IFERROR(__xludf.DUMMYFUNCTION("""COMPUTED_VALUE"""),"Orense")</f>
        <v>Orense</v>
      </c>
      <c r="I1653" s="33" t="str">
        <f ca="1">IFERROR(__xludf.DUMMYFUNCTION("""COMPUTED_VALUE"""),"C202511416431155956")</f>
        <v>C202511416431155956</v>
      </c>
      <c r="J1653" s="33" t="str">
        <f ca="1">IFERROR(__xludf.DUMMYFUNCTION("""COMPUTED_VALUE"""),"CARMEN VILLE OTERO")</f>
        <v>CARMEN VILLE OTERO</v>
      </c>
      <c r="K1653" s="33">
        <f ca="1">IFERROR(__xludf.DUMMYFUNCTION("""COMPUTED_VALUE"""),1)</f>
        <v>1</v>
      </c>
      <c r="L1653" s="203">
        <f ca="1">IFERROR(__xludf.DUMMYFUNCTION("""COMPUTED_VALUE"""),1631.82)</f>
        <v>1631.82</v>
      </c>
      <c r="M1653" s="33" t="str">
        <f ca="1">IFERROR(__xludf.DUMMYFUNCTION("""COMPUTED_VALUE"""),"03 ORL")</f>
        <v>03 ORL</v>
      </c>
      <c r="N1653" s="33" t="str">
        <f ca="1">IFERROR(__xludf.DUMMYFUNCTION("""COMPUTED_VALUE"""),"06 ORL")</f>
        <v>06 ORL</v>
      </c>
      <c r="O1653" s="33" t="str">
        <f ca="1">IFERROR(__xludf.DUMMYFUNCTION("""COMPUTED_VALUE"""),"Dra, María Rey Marcos")</f>
        <v>Dra, María Rey Marcos</v>
      </c>
      <c r="P1653" s="33" t="str">
        <f ca="1">IFERROR(__xludf.DUMMYFUNCTION("""COMPUTED_VALUE"""),"Roberto Pereira (Galicia)")</f>
        <v>Roberto Pereira (Galicia)</v>
      </c>
    </row>
    <row r="1654" spans="2:16">
      <c r="B1654" s="33">
        <f ca="1">IFERROR(__xludf.DUMMYFUNCTION("""COMPUTED_VALUE"""),2025)</f>
        <v>2025</v>
      </c>
      <c r="C1654" s="33">
        <f ca="1">IFERROR(__xludf.DUMMYFUNCTION("""COMPUTED_VALUE"""),12)</f>
        <v>12</v>
      </c>
      <c r="D1654" s="33" t="str">
        <f ca="1">IFERROR(__xludf.DUMMYFUNCTION("""COMPUTED_VALUE"""),"NO")</f>
        <v>NO</v>
      </c>
      <c r="E1654" s="33" t="str">
        <f ca="1">IFERROR(__xludf.DUMMYFUNCTION("""COMPUTED_VALUE"""),"Sevilla- Montoto")</f>
        <v>Sevilla- Montoto</v>
      </c>
      <c r="F1654" s="57">
        <f ca="1">IFERROR(__xludf.DUMMYFUNCTION("""COMPUTED_VALUE"""),46007)</f>
        <v>46007</v>
      </c>
      <c r="G1654" s="57">
        <f ca="1">IFERROR(__xludf.DUMMYFUNCTION("""COMPUTED_VALUE"""),45972)</f>
        <v>45972</v>
      </c>
      <c r="H1654" s="33" t="str">
        <f ca="1">IFERROR(__xludf.DUMMYFUNCTION("""COMPUTED_VALUE"""),"Montoto")</f>
        <v>Montoto</v>
      </c>
      <c r="I1654" s="33" t="str">
        <f ca="1">IFERROR(__xludf.DUMMYFUNCTION("""COMPUTED_VALUE"""),"C202511111039390240")</f>
        <v>C202511111039390240</v>
      </c>
      <c r="J1654" s="33" t="str">
        <f ca="1">IFERROR(__xludf.DUMMYFUNCTION("""COMPUTED_VALUE"""),"SOLEDAD SANCHEZ DURÁ")</f>
        <v>SOLEDAD SANCHEZ DURÁ</v>
      </c>
      <c r="K1654" s="33">
        <f ca="1">IFERROR(__xludf.DUMMYFUNCTION("""COMPUTED_VALUE"""),2)</f>
        <v>2</v>
      </c>
      <c r="L1654" s="203">
        <f ca="1">IFERROR(__xludf.DUMMYFUNCTION("""COMPUTED_VALUE"""),2718.18)</f>
        <v>2718.18</v>
      </c>
      <c r="M1654" s="33" t="str">
        <f ca="1">IFERROR(__xludf.DUMMYFUNCTION("""COMPUTED_VALUE"""),"03 ORL")</f>
        <v>03 ORL</v>
      </c>
      <c r="N1654" s="33" t="str">
        <f ca="1">IFERROR(__xludf.DUMMYFUNCTION("""COMPUTED_VALUE"""),"06 ORL")</f>
        <v>06 ORL</v>
      </c>
      <c r="O1654" s="33" t="str">
        <f ca="1">IFERROR(__xludf.DUMMYFUNCTION("""COMPUTED_VALUE"""),"Dra, Lucia Prieto Sánchez de la Puerta")</f>
        <v>Dra, Lucia Prieto Sánchez de la Puerta</v>
      </c>
      <c r="P1654" s="33" t="str">
        <f ca="1">IFERROR(__xludf.DUMMYFUNCTION("""COMPUTED_VALUE"""),"Luis Alberto Rodríguez (Andalucía y Badajoz)")</f>
        <v>Luis Alberto Rodríguez (Andalucía y Badajoz)</v>
      </c>
    </row>
    <row r="1655" spans="2:16">
      <c r="B1655" s="33">
        <f ca="1">IFERROR(__xludf.DUMMYFUNCTION("""COMPUTED_VALUE"""),2025)</f>
        <v>2025</v>
      </c>
      <c r="C1655" s="33">
        <f ca="1">IFERROR(__xludf.DUMMYFUNCTION("""COMPUTED_VALUE"""),12)</f>
        <v>12</v>
      </c>
      <c r="D1655" s="33" t="str">
        <f ca="1">IFERROR(__xludf.DUMMYFUNCTION("""COMPUTED_VALUE"""),"NO")</f>
        <v>NO</v>
      </c>
      <c r="E1655" s="33" t="str">
        <f ca="1">IFERROR(__xludf.DUMMYFUNCTION("""COMPUTED_VALUE"""),"Madrid- Moratalaz")</f>
        <v>Madrid- Moratalaz</v>
      </c>
      <c r="F1655" s="57">
        <f ca="1">IFERROR(__xludf.DUMMYFUNCTION("""COMPUTED_VALUE"""),46007)</f>
        <v>46007</v>
      </c>
      <c r="G1655" s="57">
        <f ca="1">IFERROR(__xludf.DUMMYFUNCTION("""COMPUTED_VALUE"""),45925)</f>
        <v>45925</v>
      </c>
      <c r="H1655" s="33" t="str">
        <f ca="1">IFERROR(__xludf.DUMMYFUNCTION("""COMPUTED_VALUE"""),"Moratalaz")</f>
        <v>Moratalaz</v>
      </c>
      <c r="I1655" s="33" t="str">
        <f ca="1">IFERROR(__xludf.DUMMYFUNCTION("""COMPUTED_VALUE"""),"C202593016013322")</f>
        <v>C202593016013322</v>
      </c>
      <c r="J1655" s="33" t="str">
        <f ca="1">IFERROR(__xludf.DUMMYFUNCTION("""COMPUTED_VALUE"""),"REBECA BERNAL DE LA MATA")</f>
        <v>REBECA BERNAL DE LA MATA</v>
      </c>
      <c r="K1655" s="33">
        <f ca="1">IFERROR(__xludf.DUMMYFUNCTION("""COMPUTED_VALUE"""),1)</f>
        <v>1</v>
      </c>
      <c r="L1655" s="203">
        <f ca="1">IFERROR(__xludf.DUMMYFUNCTION("""COMPUTED_VALUE"""),2481.82)</f>
        <v>2481.8200000000002</v>
      </c>
      <c r="M1655" s="33" t="str">
        <f ca="1">IFERROR(__xludf.DUMMYFUNCTION("""COMPUTED_VALUE"""),"03 ORL")</f>
        <v>03 ORL</v>
      </c>
      <c r="N1655" s="33" t="str">
        <f ca="1">IFERROR(__xludf.DUMMYFUNCTION("""COMPUTED_VALUE"""),"06 ORL")</f>
        <v>06 ORL</v>
      </c>
      <c r="O1655" s="33" t="str">
        <f ca="1">IFERROR(__xludf.DUMMYFUNCTION("""COMPUTED_VALUE"""),"Dr, Julio López Moya")</f>
        <v>Dr, Julio López Moya</v>
      </c>
      <c r="P1655" s="33" t="str">
        <f ca="1">IFERROR(__xludf.DUMMYFUNCTION("""COMPUTED_VALUE"""),"Maika Blázquez (Madrid)")</f>
        <v>Maika Blázquez (Madrid)</v>
      </c>
    </row>
    <row r="1656" spans="2:16">
      <c r="B1656" s="33">
        <f ca="1">IFERROR(__xludf.DUMMYFUNCTION("""COMPUTED_VALUE"""),2025)</f>
        <v>2025</v>
      </c>
      <c r="C1656" s="33">
        <f ca="1">IFERROR(__xludf.DUMMYFUNCTION("""COMPUTED_VALUE"""),12)</f>
        <v>12</v>
      </c>
      <c r="D1656" s="33" t="str">
        <f ca="1">IFERROR(__xludf.DUMMYFUNCTION("""COMPUTED_VALUE"""),"NO")</f>
        <v>NO</v>
      </c>
      <c r="E1656" s="33" t="str">
        <f ca="1">IFERROR(__xludf.DUMMYFUNCTION("""COMPUTED_VALUE"""),"Cáceres")</f>
        <v>Cáceres</v>
      </c>
      <c r="F1656" s="57">
        <f ca="1">IFERROR(__xludf.DUMMYFUNCTION("""COMPUTED_VALUE"""),46008)</f>
        <v>46008</v>
      </c>
      <c r="G1656" s="57">
        <f ca="1">IFERROR(__xludf.DUMMYFUNCTION("""COMPUTED_VALUE"""),45968)</f>
        <v>45968</v>
      </c>
      <c r="H1656" s="33" t="str">
        <f ca="1">IFERROR(__xludf.DUMMYFUNCTION("""COMPUTED_VALUE"""),"Cáceres")</f>
        <v>Cáceres</v>
      </c>
      <c r="I1656" s="33" t="str">
        <f ca="1">IFERROR(__xludf.DUMMYFUNCTION("""COMPUTED_VALUE"""),"CAC-442")</f>
        <v>CAC-442</v>
      </c>
      <c r="J1656" s="33" t="str">
        <f ca="1">IFERROR(__xludf.DUMMYFUNCTION("""COMPUTED_VALUE"""),"FRANCISCO LUENGO PIZARRO")</f>
        <v>FRANCISCO LUENGO PIZARRO</v>
      </c>
      <c r="K1656" s="33">
        <f ca="1">IFERROR(__xludf.DUMMYFUNCTION("""COMPUTED_VALUE"""),2)</f>
        <v>2</v>
      </c>
      <c r="L1656" s="203">
        <f ca="1">IFERROR(__xludf.DUMMYFUNCTION("""COMPUTED_VALUE"""),3970.91)</f>
        <v>3970.91</v>
      </c>
      <c r="M1656" s="33" t="str">
        <f ca="1">IFERROR(__xludf.DUMMYFUNCTION("""COMPUTED_VALUE"""),"03 ORL")</f>
        <v>03 ORL</v>
      </c>
      <c r="N1656" s="33" t="str">
        <f ca="1">IFERROR(__xludf.DUMMYFUNCTION("""COMPUTED_VALUE"""),"06 ORL")</f>
        <v>06 ORL</v>
      </c>
      <c r="O1656" s="33" t="str">
        <f ca="1">IFERROR(__xludf.DUMMYFUNCTION("""COMPUTED_VALUE"""),"Dr, Rafael Sanz Trenado")</f>
        <v>Dr, Rafael Sanz Trenado</v>
      </c>
      <c r="P1656" s="33" t="str">
        <f ca="1">IFERROR(__xludf.DUMMYFUNCTION("""COMPUTED_VALUE"""),"Lisandro Russian (Madrid, Cáceres, Toledo, Talavera Y Logroño)")</f>
        <v>Lisandro Russian (Madrid, Cáceres, Toledo, Talavera Y Logroño)</v>
      </c>
    </row>
    <row r="1657" spans="2:16">
      <c r="B1657" s="33">
        <f ca="1">IFERROR(__xludf.DUMMYFUNCTION("""COMPUTED_VALUE"""),2025)</f>
        <v>2025</v>
      </c>
      <c r="C1657" s="33">
        <f ca="1">IFERROR(__xludf.DUMMYFUNCTION("""COMPUTED_VALUE"""),12)</f>
        <v>12</v>
      </c>
      <c r="D1657" s="33" t="str">
        <f ca="1">IFERROR(__xludf.DUMMYFUNCTION("""COMPUTED_VALUE"""),"NO")</f>
        <v>NO</v>
      </c>
      <c r="E1657" s="33" t="str">
        <f ca="1">IFERROR(__xludf.DUMMYFUNCTION("""COMPUTED_VALUE"""),"Fuenlabrada")</f>
        <v>Fuenlabrada</v>
      </c>
      <c r="F1657" s="57">
        <f ca="1">IFERROR(__xludf.DUMMYFUNCTION("""COMPUTED_VALUE"""),46008)</f>
        <v>46008</v>
      </c>
      <c r="G1657" s="57">
        <f ca="1">IFERROR(__xludf.DUMMYFUNCTION("""COMPUTED_VALUE"""),45986)</f>
        <v>45986</v>
      </c>
      <c r="H1657" s="33" t="str">
        <f ca="1">IFERROR(__xludf.DUMMYFUNCTION("""COMPUTED_VALUE"""),"Fuenlabrada")</f>
        <v>Fuenlabrada</v>
      </c>
      <c r="I1657" s="33" t="str">
        <f ca="1">IFERROR(__xludf.DUMMYFUNCTION("""COMPUTED_VALUE"""),"C202511251115338477")</f>
        <v>C202511251115338477</v>
      </c>
      <c r="J1657" s="33" t="str">
        <f ca="1">IFERROR(__xludf.DUMMYFUNCTION("""COMPUTED_VALUE"""),"RICARDO  DE LA POZA RODRIGUEZ")</f>
        <v>RICARDO  DE LA POZA RODRIGUEZ</v>
      </c>
      <c r="K1657" s="33">
        <f ca="1">IFERROR(__xludf.DUMMYFUNCTION("""COMPUTED_VALUE"""),1)</f>
        <v>1</v>
      </c>
      <c r="L1657" s="203">
        <f ca="1">IFERROR(__xludf.DUMMYFUNCTION("""COMPUTED_VALUE"""),1631.82)</f>
        <v>1631.82</v>
      </c>
      <c r="M1657" s="33" t="str">
        <f ca="1">IFERROR(__xludf.DUMMYFUNCTION("""COMPUTED_VALUE"""),"03 ORL")</f>
        <v>03 ORL</v>
      </c>
      <c r="N1657" s="33" t="str">
        <f ca="1">IFERROR(__xludf.DUMMYFUNCTION("""COMPUTED_VALUE"""),"06 ORL")</f>
        <v>06 ORL</v>
      </c>
      <c r="O1657" s="33" t="str">
        <f ca="1">IFERROR(__xludf.DUMMYFUNCTION("""COMPUTED_VALUE"""),"No recuerda ORL")</f>
        <v>No recuerda ORL</v>
      </c>
      <c r="P1657" s="33"/>
    </row>
    <row r="1658" spans="2:16">
      <c r="B1658" s="33">
        <f ca="1">IFERROR(__xludf.DUMMYFUNCTION("""COMPUTED_VALUE"""),2025)</f>
        <v>2025</v>
      </c>
      <c r="C1658" s="33">
        <f ca="1">IFERROR(__xludf.DUMMYFUNCTION("""COMPUTED_VALUE"""),12)</f>
        <v>12</v>
      </c>
      <c r="D1658" s="33" t="str">
        <f ca="1">IFERROR(__xludf.DUMMYFUNCTION("""COMPUTED_VALUE"""),"NO")</f>
        <v>NO</v>
      </c>
      <c r="E1658" s="33" t="str">
        <f ca="1">IFERROR(__xludf.DUMMYFUNCTION("""COMPUTED_VALUE"""),"Madrid- Monforte de Lemos")</f>
        <v>Madrid- Monforte de Lemos</v>
      </c>
      <c r="F1658" s="57">
        <f ca="1">IFERROR(__xludf.DUMMYFUNCTION("""COMPUTED_VALUE"""),46008)</f>
        <v>46008</v>
      </c>
      <c r="G1658" s="57">
        <f ca="1">IFERROR(__xludf.DUMMYFUNCTION("""COMPUTED_VALUE"""),45968)</f>
        <v>45968</v>
      </c>
      <c r="H1658" s="33" t="str">
        <f ca="1">IFERROR(__xludf.DUMMYFUNCTION("""COMPUTED_VALUE"""),"La Vaguada")</f>
        <v>La Vaguada</v>
      </c>
      <c r="I1658" s="33" t="str">
        <f ca="1">IFERROR(__xludf.DUMMYFUNCTION("""COMPUTED_VALUE"""),"C202511785735734534")</f>
        <v>C202511785735734534</v>
      </c>
      <c r="J1658" s="33" t="str">
        <f ca="1">IFERROR(__xludf.DUMMYFUNCTION("""COMPUTED_VALUE"""),"CONSUELO  SANTAMARIA SANZ")</f>
        <v>CONSUELO  SANTAMARIA SANZ</v>
      </c>
      <c r="K1658" s="33">
        <f ca="1">IFERROR(__xludf.DUMMYFUNCTION("""COMPUTED_VALUE"""),2)</f>
        <v>2</v>
      </c>
      <c r="L1658" s="203">
        <f ca="1">IFERROR(__xludf.DUMMYFUNCTION("""COMPUTED_VALUE"""),3631.82)</f>
        <v>3631.82</v>
      </c>
      <c r="M1658" s="33" t="str">
        <f ca="1">IFERROR(__xludf.DUMMYFUNCTION("""COMPUTED_VALUE"""),"03 ORL")</f>
        <v>03 ORL</v>
      </c>
      <c r="N1658" s="33" t="str">
        <f ca="1">IFERROR(__xludf.DUMMYFUNCTION("""COMPUTED_VALUE"""),"06 ORL")</f>
        <v>06 ORL</v>
      </c>
      <c r="O1658" s="33" t="str">
        <f ca="1">IFERROR(__xludf.DUMMYFUNCTION("""COMPUTED_VALUE"""),"Dr, Álvaro Sánchez de Arriba")</f>
        <v>Dr, Álvaro Sánchez de Arriba</v>
      </c>
      <c r="P1658" s="33" t="str">
        <f ca="1">IFERROR(__xludf.DUMMYFUNCTION("""COMPUTED_VALUE"""),"Lisandro Russian (Madrid, Cáceres, Toledo, Talavera Y Logroño)")</f>
        <v>Lisandro Russian (Madrid, Cáceres, Toledo, Talavera Y Logroño)</v>
      </c>
    </row>
    <row r="1659" spans="2:16">
      <c r="B1659" s="33">
        <f ca="1">IFERROR(__xludf.DUMMYFUNCTION("""COMPUTED_VALUE"""),2025)</f>
        <v>2025</v>
      </c>
      <c r="C1659" s="33">
        <f ca="1">IFERROR(__xludf.DUMMYFUNCTION("""COMPUTED_VALUE"""),12)</f>
        <v>12</v>
      </c>
      <c r="D1659" s="33" t="str">
        <f ca="1">IFERROR(__xludf.DUMMYFUNCTION("""COMPUTED_VALUE"""),"NO")</f>
        <v>NO</v>
      </c>
      <c r="E1659" s="33" t="str">
        <f ca="1">IFERROR(__xludf.DUMMYFUNCTION("""COMPUTED_VALUE"""),"Barcelona- Córcega")</f>
        <v>Barcelona- Córcega</v>
      </c>
      <c r="F1659" s="57">
        <f ca="1">IFERROR(__xludf.DUMMYFUNCTION("""COMPUTED_VALUE"""),46008)</f>
        <v>46008</v>
      </c>
      <c r="G1659" s="57">
        <f ca="1">IFERROR(__xludf.DUMMYFUNCTION("""COMPUTED_VALUE"""),45960)</f>
        <v>45960</v>
      </c>
      <c r="H1659" s="33" t="str">
        <f ca="1">IFERROR(__xludf.DUMMYFUNCTION("""COMPUTED_VALUE"""),"Córcega")</f>
        <v>Córcega</v>
      </c>
      <c r="I1659" s="33" t="str">
        <f ca="1">IFERROR(__xludf.DUMMYFUNCTION("""COMPUTED_VALUE"""),"C202510301719400985")</f>
        <v>C202510301719400985</v>
      </c>
      <c r="J1659" s="33" t="str">
        <f ca="1">IFERROR(__xludf.DUMMYFUNCTION("""COMPUTED_VALUE"""),"NIEVES CARRETERO RODRIGUEZ")</f>
        <v>NIEVES CARRETERO RODRIGUEZ</v>
      </c>
      <c r="K1659" s="33">
        <f ca="1">IFERROR(__xludf.DUMMYFUNCTION("""COMPUTED_VALUE"""),2)</f>
        <v>2</v>
      </c>
      <c r="L1659" s="203">
        <f ca="1">IFERROR(__xludf.DUMMYFUNCTION("""COMPUTED_VALUE"""),4536.36)</f>
        <v>4536.3599999999997</v>
      </c>
      <c r="M1659" s="33" t="str">
        <f ca="1">IFERROR(__xludf.DUMMYFUNCTION("""COMPUTED_VALUE"""),"03 ORL")</f>
        <v>03 ORL</v>
      </c>
      <c r="N1659" s="33" t="str">
        <f ca="1">IFERROR(__xludf.DUMMYFUNCTION("""COMPUTED_VALUE"""),"06 ORL")</f>
        <v>06 ORL</v>
      </c>
      <c r="O1659" s="33" t="str">
        <f ca="1">IFERROR(__xludf.DUMMYFUNCTION("""COMPUTED_VALUE"""),"Dr, Darío Agudelo García")</f>
        <v>Dr, Darío Agudelo García</v>
      </c>
      <c r="P1659" s="33" t="str">
        <f ca="1">IFERROR(__xludf.DUMMYFUNCTION("""COMPUTED_VALUE"""),"Mercè Cabrera (Cataluña Y Baleares)")</f>
        <v>Mercè Cabrera (Cataluña Y Baleares)</v>
      </c>
    </row>
    <row r="1660" spans="2:16">
      <c r="B1660" s="33">
        <f ca="1">IFERROR(__xludf.DUMMYFUNCTION("""COMPUTED_VALUE"""),2025)</f>
        <v>2025</v>
      </c>
      <c r="C1660" s="33">
        <f ca="1">IFERROR(__xludf.DUMMYFUNCTION("""COMPUTED_VALUE"""),12)</f>
        <v>12</v>
      </c>
      <c r="D1660" s="33" t="str">
        <f ca="1">IFERROR(__xludf.DUMMYFUNCTION("""COMPUTED_VALUE"""),"NO")</f>
        <v>NO</v>
      </c>
      <c r="E1660" s="33" t="str">
        <f ca="1">IFERROR(__xludf.DUMMYFUNCTION("""COMPUTED_VALUE"""),"Alcorcón")</f>
        <v>Alcorcón</v>
      </c>
      <c r="F1660" s="57">
        <f ca="1">IFERROR(__xludf.DUMMYFUNCTION("""COMPUTED_VALUE"""),46008)</f>
        <v>46008</v>
      </c>
      <c r="G1660" s="57">
        <f ca="1">IFERROR(__xludf.DUMMYFUNCTION("""COMPUTED_VALUE"""),45917)</f>
        <v>45917</v>
      </c>
      <c r="H1660" s="33" t="str">
        <f ca="1">IFERROR(__xludf.DUMMYFUNCTION("""COMPUTED_VALUE"""),"Alcorcón")</f>
        <v>Alcorcón</v>
      </c>
      <c r="I1660" s="33" t="str">
        <f ca="1">IFERROR(__xludf.DUMMYFUNCTION("""COMPUTED_VALUE"""),"C2025919155123890")</f>
        <v>C2025919155123890</v>
      </c>
      <c r="J1660" s="33" t="str">
        <f ca="1">IFERROR(__xludf.DUMMYFUNCTION("""COMPUTED_VALUE"""),"CONCEPCION RINCON VALVERDE")</f>
        <v>CONCEPCION RINCON VALVERDE</v>
      </c>
      <c r="K1660" s="33">
        <f ca="1">IFERROR(__xludf.DUMMYFUNCTION("""COMPUTED_VALUE"""),2)</f>
        <v>2</v>
      </c>
      <c r="L1660" s="203">
        <f ca="1">IFERROR(__xludf.DUMMYFUNCTION("""COMPUTED_VALUE"""),2446.36)</f>
        <v>2446.36</v>
      </c>
      <c r="M1660" s="33" t="str">
        <f ca="1">IFERROR(__xludf.DUMMYFUNCTION("""COMPUTED_VALUE"""),"03 ORL")</f>
        <v>03 ORL</v>
      </c>
      <c r="N1660" s="33" t="str">
        <f ca="1">IFERROR(__xludf.DUMMYFUNCTION("""COMPUTED_VALUE"""),"06 ORL")</f>
        <v>06 ORL</v>
      </c>
      <c r="O1660" s="33" t="str">
        <f ca="1">IFERROR(__xludf.DUMMYFUNCTION("""COMPUTED_VALUE"""),"Dr, José Miguel Aparicio Fernández")</f>
        <v>Dr, José Miguel Aparicio Fernández</v>
      </c>
      <c r="P1660" s="33" t="str">
        <f ca="1">IFERROR(__xludf.DUMMYFUNCTION("""COMPUTED_VALUE"""),"Lisandro Russian (Madrid, Cáceres, Toledo, Talavera Y Logroño)")</f>
        <v>Lisandro Russian (Madrid, Cáceres, Toledo, Talavera Y Logroño)</v>
      </c>
    </row>
    <row r="1661" spans="2:16">
      <c r="B1661" s="33">
        <f ca="1">IFERROR(__xludf.DUMMYFUNCTION("""COMPUTED_VALUE"""),2025)</f>
        <v>2025</v>
      </c>
      <c r="C1661" s="33">
        <f ca="1">IFERROR(__xludf.DUMMYFUNCTION("""COMPUTED_VALUE"""),12)</f>
        <v>12</v>
      </c>
      <c r="D1661" s="33" t="str">
        <f ca="1">IFERROR(__xludf.DUMMYFUNCTION("""COMPUTED_VALUE"""),"NO")</f>
        <v>NO</v>
      </c>
      <c r="E1661" s="33" t="str">
        <f ca="1">IFERROR(__xludf.DUMMYFUNCTION("""COMPUTED_VALUE"""),"Madrid- Juan Bravo")</f>
        <v>Madrid- Juan Bravo</v>
      </c>
      <c r="F1661" s="57">
        <f ca="1">IFERROR(__xludf.DUMMYFUNCTION("""COMPUTED_VALUE"""),46008)</f>
        <v>46008</v>
      </c>
      <c r="G1661" s="57">
        <f ca="1">IFERROR(__xludf.DUMMYFUNCTION("""COMPUTED_VALUE"""),45972)</f>
        <v>45972</v>
      </c>
      <c r="H1661" s="33" t="str">
        <f ca="1">IFERROR(__xludf.DUMMYFUNCTION("""COMPUTED_VALUE"""),"Juan Bravo")</f>
        <v>Juan Bravo</v>
      </c>
      <c r="I1661" s="33" t="str">
        <f ca="1">IFERROR(__xludf.DUMMYFUNCTION("""COMPUTED_VALUE"""),"C202511111839297239")</f>
        <v>C202511111839297239</v>
      </c>
      <c r="J1661" s="33" t="str">
        <f ca="1">IFERROR(__xludf.DUMMYFUNCTION("""COMPUTED_VALUE"""),"CECILIO  MARIN LAREQUI")</f>
        <v>CECILIO  MARIN LAREQUI</v>
      </c>
      <c r="K1661" s="33">
        <f ca="1">IFERROR(__xludf.DUMMYFUNCTION("""COMPUTED_VALUE"""),2)</f>
        <v>2</v>
      </c>
      <c r="L1661" s="203">
        <f ca="1">IFERROR(__xludf.DUMMYFUNCTION("""COMPUTED_VALUE"""),2718.18)</f>
        <v>2718.18</v>
      </c>
      <c r="M1661" s="33" t="str">
        <f ca="1">IFERROR(__xludf.DUMMYFUNCTION("""COMPUTED_VALUE"""),"03 ORL")</f>
        <v>03 ORL</v>
      </c>
      <c r="N1661" s="33" t="str">
        <f ca="1">IFERROR(__xludf.DUMMYFUNCTION("""COMPUTED_VALUE"""),"06 ORL")</f>
        <v>06 ORL</v>
      </c>
      <c r="O1661" s="33" t="str">
        <f ca="1">IFERROR(__xludf.DUMMYFUNCTION("""COMPUTED_VALUE"""),"Dr, Javier García Domínguez")</f>
        <v>Dr, Javier García Domínguez</v>
      </c>
      <c r="P1661" s="33" t="str">
        <f ca="1">IFERROR(__xludf.DUMMYFUNCTION("""COMPUTED_VALUE"""),"Maika Blázquez (Madrid)")</f>
        <v>Maika Blázquez (Madrid)</v>
      </c>
    </row>
    <row r="1662" spans="2:16">
      <c r="B1662" s="33">
        <f ca="1">IFERROR(__xludf.DUMMYFUNCTION("""COMPUTED_VALUE"""),2025)</f>
        <v>2025</v>
      </c>
      <c r="C1662" s="33">
        <f ca="1">IFERROR(__xludf.DUMMYFUNCTION("""COMPUTED_VALUE"""),12)</f>
        <v>12</v>
      </c>
      <c r="D1662" s="33" t="str">
        <f ca="1">IFERROR(__xludf.DUMMYFUNCTION("""COMPUTED_VALUE"""),"NO")</f>
        <v>NO</v>
      </c>
      <c r="E1662" s="33" t="str">
        <f ca="1">IFERROR(__xludf.DUMMYFUNCTION("""COMPUTED_VALUE"""),"Leganés")</f>
        <v>Leganés</v>
      </c>
      <c r="F1662" s="57">
        <f ca="1">IFERROR(__xludf.DUMMYFUNCTION("""COMPUTED_VALUE"""),46008)</f>
        <v>46008</v>
      </c>
      <c r="G1662" s="57">
        <f ca="1">IFERROR(__xludf.DUMMYFUNCTION("""COMPUTED_VALUE"""),45972)</f>
        <v>45972</v>
      </c>
      <c r="H1662" s="33" t="str">
        <f ca="1">IFERROR(__xludf.DUMMYFUNCTION("""COMPUTED_VALUE"""),"Leganés")</f>
        <v>Leganés</v>
      </c>
      <c r="I1662" s="33" t="str">
        <f ca="1">IFERROR(__xludf.DUMMYFUNCTION("""COMPUTED_VALUE"""),"C202511111620244882")</f>
        <v>C202511111620244882</v>
      </c>
      <c r="J1662" s="33" t="str">
        <f ca="1">IFERROR(__xludf.DUMMYFUNCTION("""COMPUTED_VALUE"""),"ANTONIO  ALFONSO RUBIO")</f>
        <v>ANTONIO  ALFONSO RUBIO</v>
      </c>
      <c r="K1662" s="33">
        <f ca="1">IFERROR(__xludf.DUMMYFUNCTION("""COMPUTED_VALUE"""),2)</f>
        <v>2</v>
      </c>
      <c r="L1662" s="203">
        <f ca="1">IFERROR(__xludf.DUMMYFUNCTION("""COMPUTED_VALUE"""),3631.82)</f>
        <v>3631.82</v>
      </c>
      <c r="M1662" s="33" t="str">
        <f ca="1">IFERROR(__xludf.DUMMYFUNCTION("""COMPUTED_VALUE"""),"03 ORL")</f>
        <v>03 ORL</v>
      </c>
      <c r="N1662" s="33" t="str">
        <f ca="1">IFERROR(__xludf.DUMMYFUNCTION("""COMPUTED_VALUE"""),"06 ORL")</f>
        <v>06 ORL</v>
      </c>
      <c r="O1662" s="33" t="str">
        <f ca="1">IFERROR(__xludf.DUMMYFUNCTION("""COMPUTED_VALUE"""),"Dra, Patricia García Vicente")</f>
        <v>Dra, Patricia García Vicente</v>
      </c>
      <c r="P1662" s="33" t="str">
        <f ca="1">IFERROR(__xludf.DUMMYFUNCTION("""COMPUTED_VALUE"""),"Maika Blázquez (Madrid)")</f>
        <v>Maika Blázquez (Madrid)</v>
      </c>
    </row>
    <row r="1663" spans="2:16">
      <c r="B1663" s="33">
        <f ca="1">IFERROR(__xludf.DUMMYFUNCTION("""COMPUTED_VALUE"""),2025)</f>
        <v>2025</v>
      </c>
      <c r="C1663" s="33">
        <f ca="1">IFERROR(__xludf.DUMMYFUNCTION("""COMPUTED_VALUE"""),12)</f>
        <v>12</v>
      </c>
      <c r="D1663" s="33" t="str">
        <f ca="1">IFERROR(__xludf.DUMMYFUNCTION("""COMPUTED_VALUE"""),"NO")</f>
        <v>NO</v>
      </c>
      <c r="E1663" s="33" t="str">
        <f ca="1">IFERROR(__xludf.DUMMYFUNCTION("""COMPUTED_VALUE"""),"Alicante")</f>
        <v>Alicante</v>
      </c>
      <c r="F1663" s="57">
        <f ca="1">IFERROR(__xludf.DUMMYFUNCTION("""COMPUTED_VALUE"""),46008)</f>
        <v>46008</v>
      </c>
      <c r="G1663" s="57">
        <f ca="1">IFERROR(__xludf.DUMMYFUNCTION("""COMPUTED_VALUE"""),45982)</f>
        <v>45982</v>
      </c>
      <c r="H1663" s="33" t="str">
        <f ca="1">IFERROR(__xludf.DUMMYFUNCTION("""COMPUTED_VALUE"""),"Alicante")</f>
        <v>Alicante</v>
      </c>
      <c r="I1663" s="33" t="str">
        <f ca="1">IFERROR(__xludf.DUMMYFUNCTION("""COMPUTED_VALUE"""),"C202511211559502036")</f>
        <v>C202511211559502036</v>
      </c>
      <c r="J1663" s="33" t="str">
        <f ca="1">IFERROR(__xludf.DUMMYFUNCTION("""COMPUTED_VALUE"""),"ANTONIO RAMIREZ GARCÍA")</f>
        <v>ANTONIO RAMIREZ GARCÍA</v>
      </c>
      <c r="K1663" s="33">
        <f ca="1">IFERROR(__xludf.DUMMYFUNCTION("""COMPUTED_VALUE"""),2)</f>
        <v>2</v>
      </c>
      <c r="L1663" s="203">
        <f ca="1">IFERROR(__xludf.DUMMYFUNCTION("""COMPUTED_VALUE"""),2718.18)</f>
        <v>2718.18</v>
      </c>
      <c r="M1663" s="33" t="str">
        <f ca="1">IFERROR(__xludf.DUMMYFUNCTION("""COMPUTED_VALUE"""),"03 ORL")</f>
        <v>03 ORL</v>
      </c>
      <c r="N1663" s="33" t="str">
        <f ca="1">IFERROR(__xludf.DUMMYFUNCTION("""COMPUTED_VALUE"""),"06 ORL")</f>
        <v>06 ORL</v>
      </c>
      <c r="O1663" s="33" t="str">
        <f ca="1">IFERROR(__xludf.DUMMYFUNCTION("""COMPUTED_VALUE"""),"Dra, Irene Monjas Canovas")</f>
        <v>Dra, Irene Monjas Canovas</v>
      </c>
      <c r="P1663" s="33" t="str">
        <f ca="1">IFERROR(__xludf.DUMMYFUNCTION("""COMPUTED_VALUE"""),"Iván Sánchez (Levante Y Albacete)")</f>
        <v>Iván Sánchez (Levante Y Albacete)</v>
      </c>
    </row>
    <row r="1664" spans="2:16">
      <c r="B1664" s="33">
        <f ca="1">IFERROR(__xludf.DUMMYFUNCTION("""COMPUTED_VALUE"""),2025)</f>
        <v>2025</v>
      </c>
      <c r="C1664" s="33">
        <f ca="1">IFERROR(__xludf.DUMMYFUNCTION("""COMPUTED_VALUE"""),12)</f>
        <v>12</v>
      </c>
      <c r="D1664" s="33" t="str">
        <f ca="1">IFERROR(__xludf.DUMMYFUNCTION("""COMPUTED_VALUE"""),"NO")</f>
        <v>NO</v>
      </c>
      <c r="E1664" s="33" t="str">
        <f ca="1">IFERROR(__xludf.DUMMYFUNCTION("""COMPUTED_VALUE"""),"Jerez de la Frontera")</f>
        <v>Jerez de la Frontera</v>
      </c>
      <c r="F1664" s="57">
        <f ca="1">IFERROR(__xludf.DUMMYFUNCTION("""COMPUTED_VALUE"""),46009)</f>
        <v>46009</v>
      </c>
      <c r="G1664" s="57">
        <f ca="1">IFERROR(__xludf.DUMMYFUNCTION("""COMPUTED_VALUE"""),45981)</f>
        <v>45981</v>
      </c>
      <c r="H1664" s="33" t="str">
        <f ca="1">IFERROR(__xludf.DUMMYFUNCTION("""COMPUTED_VALUE"""),"Jerez")</f>
        <v>Jerez</v>
      </c>
      <c r="I1664" s="33" t="str">
        <f ca="1">IFERROR(__xludf.DUMMYFUNCTION("""COMPUTED_VALUE"""),"C202511201228174337")</f>
        <v>C202511201228174337</v>
      </c>
      <c r="J1664" s="33" t="str">
        <f ca="1">IFERROR(__xludf.DUMMYFUNCTION("""COMPUTED_VALUE"""),"JOSE MARIA CARNERO CALDERON")</f>
        <v>JOSE MARIA CARNERO CALDERON</v>
      </c>
      <c r="K1664" s="33">
        <f ca="1">IFERROR(__xludf.DUMMYFUNCTION("""COMPUTED_VALUE"""),2)</f>
        <v>2</v>
      </c>
      <c r="L1664" s="203">
        <f ca="1">IFERROR(__xludf.DUMMYFUNCTION("""COMPUTED_VALUE"""),2718.18)</f>
        <v>2718.18</v>
      </c>
      <c r="M1664" s="33" t="str">
        <f ca="1">IFERROR(__xludf.DUMMYFUNCTION("""COMPUTED_VALUE"""),"03 ORL")</f>
        <v>03 ORL</v>
      </c>
      <c r="N1664" s="33" t="str">
        <f ca="1">IFERROR(__xludf.DUMMYFUNCTION("""COMPUTED_VALUE"""),"06 ORL")</f>
        <v>06 ORL</v>
      </c>
      <c r="O1664" s="33" t="str">
        <f ca="1">IFERROR(__xludf.DUMMYFUNCTION("""COMPUTED_VALUE"""),"Dr, Guillermo Sierra Galera")</f>
        <v>Dr, Guillermo Sierra Galera</v>
      </c>
      <c r="P1664" s="33" t="str">
        <f ca="1">IFERROR(__xludf.DUMMYFUNCTION("""COMPUTED_VALUE"""),"Luis Alberto Rodríguez (Andalucía y Badajoz)")</f>
        <v>Luis Alberto Rodríguez (Andalucía y Badajoz)</v>
      </c>
    </row>
    <row r="1665" spans="2:16">
      <c r="B1665" s="33">
        <f ca="1">IFERROR(__xludf.DUMMYFUNCTION("""COMPUTED_VALUE"""),2025)</f>
        <v>2025</v>
      </c>
      <c r="C1665" s="33">
        <f ca="1">IFERROR(__xludf.DUMMYFUNCTION("""COMPUTED_VALUE"""),12)</f>
        <v>12</v>
      </c>
      <c r="D1665" s="33" t="str">
        <f ca="1">IFERROR(__xludf.DUMMYFUNCTION("""COMPUTED_VALUE"""),"NO")</f>
        <v>NO</v>
      </c>
      <c r="E1665" s="33" t="str">
        <f ca="1">IFERROR(__xludf.DUMMYFUNCTION("""COMPUTED_VALUE"""),"San Javier")</f>
        <v>San Javier</v>
      </c>
      <c r="F1665" s="57">
        <f ca="1">IFERROR(__xludf.DUMMYFUNCTION("""COMPUTED_VALUE"""),46009)</f>
        <v>46009</v>
      </c>
      <c r="G1665" s="57">
        <f ca="1">IFERROR(__xludf.DUMMYFUNCTION("""COMPUTED_VALUE"""),45972)</f>
        <v>45972</v>
      </c>
      <c r="H1665" s="33" t="str">
        <f ca="1">IFERROR(__xludf.DUMMYFUNCTION("""COMPUTED_VALUE"""),"San Javier")</f>
        <v>San Javier</v>
      </c>
      <c r="I1665" s="33" t="str">
        <f ca="1">IFERROR(__xludf.DUMMYFUNCTION("""COMPUTED_VALUE"""),"C202511111749393786")</f>
        <v>C202511111749393786</v>
      </c>
      <c r="J1665" s="33" t="str">
        <f ca="1">IFERROR(__xludf.DUMMYFUNCTION("""COMPUTED_VALUE"""),"MARIA DOLORES CARRASCO BELMONTE")</f>
        <v>MARIA DOLORES CARRASCO BELMONTE</v>
      </c>
      <c r="K1665" s="33">
        <f ca="1">IFERROR(__xludf.DUMMYFUNCTION("""COMPUTED_VALUE"""),2)</f>
        <v>2</v>
      </c>
      <c r="L1665" s="203">
        <f ca="1">IFERROR(__xludf.DUMMYFUNCTION("""COMPUTED_VALUE"""),4136.36)</f>
        <v>4136.3599999999997</v>
      </c>
      <c r="M1665" s="33" t="str">
        <f ca="1">IFERROR(__xludf.DUMMYFUNCTION("""COMPUTED_VALUE"""),"03 ORL")</f>
        <v>03 ORL</v>
      </c>
      <c r="N1665" s="33" t="str">
        <f ca="1">IFERROR(__xludf.DUMMYFUNCTION("""COMPUTED_VALUE"""),"06 ORL")</f>
        <v>06 ORL</v>
      </c>
      <c r="O1665" s="33" t="str">
        <f ca="1">IFERROR(__xludf.DUMMYFUNCTION("""COMPUTED_VALUE"""),"Dr, Alberto Raposo Jiménez")</f>
        <v>Dr, Alberto Raposo Jiménez</v>
      </c>
      <c r="P1665" s="33" t="str">
        <f ca="1">IFERROR(__xludf.DUMMYFUNCTION("""COMPUTED_VALUE"""),"Iván Sánchez (Levante Y Albacete)")</f>
        <v>Iván Sánchez (Levante Y Albacete)</v>
      </c>
    </row>
    <row r="1666" spans="2:16">
      <c r="B1666" s="33">
        <f ca="1">IFERROR(__xludf.DUMMYFUNCTION("""COMPUTED_VALUE"""),2025)</f>
        <v>2025</v>
      </c>
      <c r="C1666" s="33">
        <f ca="1">IFERROR(__xludf.DUMMYFUNCTION("""COMPUTED_VALUE"""),12)</f>
        <v>12</v>
      </c>
      <c r="D1666" s="33" t="str">
        <f ca="1">IFERROR(__xludf.DUMMYFUNCTION("""COMPUTED_VALUE"""),"NO")</f>
        <v>NO</v>
      </c>
      <c r="E1666" s="33" t="str">
        <f ca="1">IFERROR(__xludf.DUMMYFUNCTION("""COMPUTED_VALUE"""),"Leganés")</f>
        <v>Leganés</v>
      </c>
      <c r="F1666" s="57">
        <f ca="1">IFERROR(__xludf.DUMMYFUNCTION("""COMPUTED_VALUE"""),46009)</f>
        <v>46009</v>
      </c>
      <c r="G1666" s="57">
        <f ca="1">IFERROR(__xludf.DUMMYFUNCTION("""COMPUTED_VALUE"""),45805)</f>
        <v>45805</v>
      </c>
      <c r="H1666" s="33" t="str">
        <f ca="1">IFERROR(__xludf.DUMMYFUNCTION("""COMPUTED_VALUE"""),"Leganés")</f>
        <v>Leganés</v>
      </c>
      <c r="I1666" s="33" t="str">
        <f ca="1">IFERROR(__xludf.DUMMYFUNCTION("""COMPUTED_VALUE"""),"C20256318282684")</f>
        <v>C20256318282684</v>
      </c>
      <c r="J1666" s="33" t="str">
        <f ca="1">IFERROR(__xludf.DUMMYFUNCTION("""COMPUTED_VALUE"""),"ROSALIA SANCHEZ PERONA")</f>
        <v>ROSALIA SANCHEZ PERONA</v>
      </c>
      <c r="K1666" s="33">
        <f ca="1">IFERROR(__xludf.DUMMYFUNCTION("""COMPUTED_VALUE"""),2)</f>
        <v>2</v>
      </c>
      <c r="L1666" s="203">
        <f ca="1">IFERROR(__xludf.DUMMYFUNCTION("""COMPUTED_VALUE"""),2718.18)</f>
        <v>2718.18</v>
      </c>
      <c r="M1666" s="33" t="str">
        <f ca="1">IFERROR(__xludf.DUMMYFUNCTION("""COMPUTED_VALUE"""),"03 ORL")</f>
        <v>03 ORL</v>
      </c>
      <c r="N1666" s="33" t="str">
        <f ca="1">IFERROR(__xludf.DUMMYFUNCTION("""COMPUTED_VALUE"""),"06 ORL")</f>
        <v>06 ORL</v>
      </c>
      <c r="O1666" s="33" t="str">
        <f ca="1">IFERROR(__xludf.DUMMYFUNCTION("""COMPUTED_VALUE"""),"Dra, Ana Ruiz Fornells Noreña")</f>
        <v>Dra, Ana Ruiz Fornells Noreña</v>
      </c>
      <c r="P1666" s="33" t="str">
        <f ca="1">IFERROR(__xludf.DUMMYFUNCTION("""COMPUTED_VALUE"""),"Maika Blázquez (Madrid)")</f>
        <v>Maika Blázquez (Madrid)</v>
      </c>
    </row>
    <row r="1667" spans="2:16">
      <c r="B1667" s="33">
        <f ca="1">IFERROR(__xludf.DUMMYFUNCTION("""COMPUTED_VALUE"""),2025)</f>
        <v>2025</v>
      </c>
      <c r="C1667" s="33">
        <f ca="1">IFERROR(__xludf.DUMMYFUNCTION("""COMPUTED_VALUE"""),12)</f>
        <v>12</v>
      </c>
      <c r="D1667" s="33" t="str">
        <f ca="1">IFERROR(__xludf.DUMMYFUNCTION("""COMPUTED_VALUE"""),"NO")</f>
        <v>NO</v>
      </c>
      <c r="E1667" s="33" t="str">
        <f ca="1">IFERROR(__xludf.DUMMYFUNCTION("""COMPUTED_VALUE"""),"Madrid- Moratalaz")</f>
        <v>Madrid- Moratalaz</v>
      </c>
      <c r="F1667" s="57">
        <f ca="1">IFERROR(__xludf.DUMMYFUNCTION("""COMPUTED_VALUE"""),46009)</f>
        <v>46009</v>
      </c>
      <c r="G1667" s="57">
        <f ca="1">IFERROR(__xludf.DUMMYFUNCTION("""COMPUTED_VALUE"""),45968)</f>
        <v>45968</v>
      </c>
      <c r="H1667" s="33" t="str">
        <f ca="1">IFERROR(__xludf.DUMMYFUNCTION("""COMPUTED_VALUE"""),"Moratalaz")</f>
        <v>Moratalaz</v>
      </c>
      <c r="I1667" s="33" t="str">
        <f ca="1">IFERROR(__xludf.DUMMYFUNCTION("""COMPUTED_VALUE"""),"C202511785520923292")</f>
        <v>C202511785520923292</v>
      </c>
      <c r="J1667" s="33" t="str">
        <f ca="1">IFERROR(__xludf.DUMMYFUNCTION("""COMPUTED_VALUE"""),"MARIA TERESA VELAZQUEZ MADRUGA")</f>
        <v>MARIA TERESA VELAZQUEZ MADRUGA</v>
      </c>
      <c r="K1667" s="33">
        <f ca="1">IFERROR(__xludf.DUMMYFUNCTION("""COMPUTED_VALUE"""),2)</f>
        <v>2</v>
      </c>
      <c r="L1667" s="203">
        <f ca="1">IFERROR(__xludf.DUMMYFUNCTION("""COMPUTED_VALUE"""),3631.82)</f>
        <v>3631.82</v>
      </c>
      <c r="M1667" s="33" t="str">
        <f ca="1">IFERROR(__xludf.DUMMYFUNCTION("""COMPUTED_VALUE"""),"03 ORL")</f>
        <v>03 ORL</v>
      </c>
      <c r="N1667" s="33" t="str">
        <f ca="1">IFERROR(__xludf.DUMMYFUNCTION("""COMPUTED_VALUE"""),"06 ORL")</f>
        <v>06 ORL</v>
      </c>
      <c r="O1667" s="33" t="str">
        <f ca="1">IFERROR(__xludf.DUMMYFUNCTION("""COMPUTED_VALUE"""),"Dr, Esteban Scola Pliego")</f>
        <v>Dr, Esteban Scola Pliego</v>
      </c>
      <c r="P1667" s="33" t="str">
        <f ca="1">IFERROR(__xludf.DUMMYFUNCTION("""COMPUTED_VALUE"""),"Maika Blázquez (Madrid)")</f>
        <v>Maika Blázquez (Madrid)</v>
      </c>
    </row>
    <row r="1668" spans="2:16">
      <c r="B1668" s="33">
        <f ca="1">IFERROR(__xludf.DUMMYFUNCTION("""COMPUTED_VALUE"""),2025)</f>
        <v>2025</v>
      </c>
      <c r="C1668" s="33">
        <f ca="1">IFERROR(__xludf.DUMMYFUNCTION("""COMPUTED_VALUE"""),12)</f>
        <v>12</v>
      </c>
      <c r="D1668" s="33" t="str">
        <f ca="1">IFERROR(__xludf.DUMMYFUNCTION("""COMPUTED_VALUE"""),"NO")</f>
        <v>NO</v>
      </c>
      <c r="E1668" s="33" t="str">
        <f ca="1">IFERROR(__xludf.DUMMYFUNCTION("""COMPUTED_VALUE"""),"Madrid- Galileo")</f>
        <v>Madrid- Galileo</v>
      </c>
      <c r="F1668" s="57">
        <f ca="1">IFERROR(__xludf.DUMMYFUNCTION("""COMPUTED_VALUE"""),46009)</f>
        <v>46009</v>
      </c>
      <c r="G1668" s="57">
        <f ca="1">IFERROR(__xludf.DUMMYFUNCTION("""COMPUTED_VALUE"""),45918)</f>
        <v>45918</v>
      </c>
      <c r="H1668" s="33" t="str">
        <f ca="1">IFERROR(__xludf.DUMMYFUNCTION("""COMPUTED_VALUE"""),"Moncloa")</f>
        <v>Moncloa</v>
      </c>
      <c r="I1668" s="33" t="str">
        <f ca="1">IFERROR(__xludf.DUMMYFUNCTION("""COMPUTED_VALUE"""),"C2025926102152562")</f>
        <v>C2025926102152562</v>
      </c>
      <c r="J1668" s="33" t="str">
        <f ca="1">IFERROR(__xludf.DUMMYFUNCTION("""COMPUTED_VALUE"""),"FRANCISCO ERNESTO RUIZ")</f>
        <v>FRANCISCO ERNESTO RUIZ</v>
      </c>
      <c r="K1668" s="33">
        <f ca="1">IFERROR(__xludf.DUMMYFUNCTION("""COMPUTED_VALUE"""),2)</f>
        <v>2</v>
      </c>
      <c r="L1668" s="203">
        <f ca="1">IFERROR(__xludf.DUMMYFUNCTION("""COMPUTED_VALUE"""),3710)</f>
        <v>3710</v>
      </c>
      <c r="M1668" s="33" t="str">
        <f ca="1">IFERROR(__xludf.DUMMYFUNCTION("""COMPUTED_VALUE"""),"03 ORL")</f>
        <v>03 ORL</v>
      </c>
      <c r="N1668" s="33" t="str">
        <f ca="1">IFERROR(__xludf.DUMMYFUNCTION("""COMPUTED_VALUE"""),"06 ORL")</f>
        <v>06 ORL</v>
      </c>
      <c r="O1668" s="33" t="str">
        <f ca="1">IFERROR(__xludf.DUMMYFUNCTION("""COMPUTED_VALUE"""),"Dr, José Gustavo Barroso Braojos")</f>
        <v>Dr, José Gustavo Barroso Braojos</v>
      </c>
      <c r="P1668" s="33" t="str">
        <f ca="1">IFERROR(__xludf.DUMMYFUNCTION("""COMPUTED_VALUE"""),"Maika Blázquez (Madrid)")</f>
        <v>Maika Blázquez (Madrid)</v>
      </c>
    </row>
    <row r="1669" spans="2:16">
      <c r="B1669" s="33">
        <f ca="1">IFERROR(__xludf.DUMMYFUNCTION("""COMPUTED_VALUE"""),2025)</f>
        <v>2025</v>
      </c>
      <c r="C1669" s="33">
        <f ca="1">IFERROR(__xludf.DUMMYFUNCTION("""COMPUTED_VALUE"""),12)</f>
        <v>12</v>
      </c>
      <c r="D1669" s="33" t="str">
        <f ca="1">IFERROR(__xludf.DUMMYFUNCTION("""COMPUTED_VALUE"""),"NO")</f>
        <v>NO</v>
      </c>
      <c r="E1669" s="33" t="str">
        <f ca="1">IFERROR(__xludf.DUMMYFUNCTION("""COMPUTED_VALUE"""),"Leganés")</f>
        <v>Leganés</v>
      </c>
      <c r="F1669" s="57">
        <f ca="1">IFERROR(__xludf.DUMMYFUNCTION("""COMPUTED_VALUE"""),46010)</f>
        <v>46010</v>
      </c>
      <c r="G1669" s="57">
        <f ca="1">IFERROR(__xludf.DUMMYFUNCTION("""COMPUTED_VALUE"""),45972)</f>
        <v>45972</v>
      </c>
      <c r="H1669" s="33" t="str">
        <f ca="1">IFERROR(__xludf.DUMMYFUNCTION("""COMPUTED_VALUE"""),"Leganés")</f>
        <v>Leganés</v>
      </c>
      <c r="I1669" s="33" t="str">
        <f ca="1">IFERROR(__xludf.DUMMYFUNCTION("""COMPUTED_VALUE"""),"C202511119184318475")</f>
        <v>C202511119184318475</v>
      </c>
      <c r="J1669" s="33" t="str">
        <f ca="1">IFERROR(__xludf.DUMMYFUNCTION("""COMPUTED_VALUE"""),"CARMEN LAFUENTE ROMERO")</f>
        <v>CARMEN LAFUENTE ROMERO</v>
      </c>
      <c r="K1669" s="33">
        <f ca="1">IFERROR(__xludf.DUMMYFUNCTION("""COMPUTED_VALUE"""),2)</f>
        <v>2</v>
      </c>
      <c r="L1669" s="203">
        <f ca="1">IFERROR(__xludf.DUMMYFUNCTION("""COMPUTED_VALUE"""),3450)</f>
        <v>3450</v>
      </c>
      <c r="M1669" s="33" t="str">
        <f ca="1">IFERROR(__xludf.DUMMYFUNCTION("""COMPUTED_VALUE"""),"03 ORL")</f>
        <v>03 ORL</v>
      </c>
      <c r="N1669" s="33" t="str">
        <f ca="1">IFERROR(__xludf.DUMMYFUNCTION("""COMPUTED_VALUE"""),"06 ORL")</f>
        <v>06 ORL</v>
      </c>
      <c r="O1669" s="33" t="str">
        <f ca="1">IFERROR(__xludf.DUMMYFUNCTION("""COMPUTED_VALUE"""),"Dra, Mar Lasso de la Vega Zamora")</f>
        <v>Dra, Mar Lasso de la Vega Zamora</v>
      </c>
      <c r="P1669" s="33" t="str">
        <f ca="1">IFERROR(__xludf.DUMMYFUNCTION("""COMPUTED_VALUE"""),"Maika Blázquez (Madrid)")</f>
        <v>Maika Blázquez (Madrid)</v>
      </c>
    </row>
    <row r="1670" spans="2:16">
      <c r="B1670" s="33">
        <f ca="1">IFERROR(__xludf.DUMMYFUNCTION("""COMPUTED_VALUE"""),2025)</f>
        <v>2025</v>
      </c>
      <c r="C1670" s="33">
        <f ca="1">IFERROR(__xludf.DUMMYFUNCTION("""COMPUTED_VALUE"""),12)</f>
        <v>12</v>
      </c>
      <c r="D1670" s="33" t="str">
        <f ca="1">IFERROR(__xludf.DUMMYFUNCTION("""COMPUTED_VALUE"""),"NO")</f>
        <v>NO</v>
      </c>
      <c r="E1670" s="33" t="str">
        <f ca="1">IFERROR(__xludf.DUMMYFUNCTION("""COMPUTED_VALUE"""),"Sevilla- Ciencias")</f>
        <v>Sevilla- Ciencias</v>
      </c>
      <c r="F1670" s="57">
        <f ca="1">IFERROR(__xludf.DUMMYFUNCTION("""COMPUTED_VALUE"""),46010)</f>
        <v>46010</v>
      </c>
      <c r="G1670" s="57">
        <f ca="1">IFERROR(__xludf.DUMMYFUNCTION("""COMPUTED_VALUE"""),45545)</f>
        <v>45545</v>
      </c>
      <c r="H1670" s="33" t="str">
        <f ca="1">IFERROR(__xludf.DUMMYFUNCTION("""COMPUTED_VALUE"""),"Sevilla Este")</f>
        <v>Sevilla Este</v>
      </c>
      <c r="I1670" s="33" t="str">
        <f ca="1">IFERROR(__xludf.DUMMYFUNCTION("""COMPUTED_VALUE"""),"SEVE-292")</f>
        <v>SEVE-292</v>
      </c>
      <c r="J1670" s="33" t="str">
        <f ca="1">IFERROR(__xludf.DUMMYFUNCTION("""COMPUTED_VALUE"""),"MANUEL CUBERO CASCAJOSA")</f>
        <v>MANUEL CUBERO CASCAJOSA</v>
      </c>
      <c r="K1670" s="33">
        <f ca="1">IFERROR(__xludf.DUMMYFUNCTION("""COMPUTED_VALUE"""),1)</f>
        <v>1</v>
      </c>
      <c r="L1670" s="203">
        <f ca="1">IFERROR(__xludf.DUMMYFUNCTION("""COMPUTED_VALUE"""),2000)</f>
        <v>2000</v>
      </c>
      <c r="M1670" s="33" t="str">
        <f ca="1">IFERROR(__xludf.DUMMYFUNCTION("""COMPUTED_VALUE"""),"01 MARKETING ON LINE")</f>
        <v>01 MARKETING ON LINE</v>
      </c>
      <c r="N1670" s="33" t="str">
        <f ca="1">IFERROR(__xludf.DUMMYFUNCTION("""COMPUTED_VALUE"""),"04 AUDIFONO,ES")</f>
        <v>04 AUDIFONO,ES</v>
      </c>
      <c r="O1670" s="33" t="str">
        <f ca="1">IFERROR(__xludf.DUMMYFUNCTION("""COMPUTED_VALUE"""),"Dra, Elena Molina Fernández")</f>
        <v>Dra, Elena Molina Fernández</v>
      </c>
      <c r="P1670" s="33" t="str">
        <f ca="1">IFERROR(__xludf.DUMMYFUNCTION("""COMPUTED_VALUE"""),"Luis Alberto Rodríguez (Andalucía y Badajoz)")</f>
        <v>Luis Alberto Rodríguez (Andalucía y Badajoz)</v>
      </c>
    </row>
    <row r="1671" spans="2:16">
      <c r="B1671" s="33">
        <f ca="1">IFERROR(__xludf.DUMMYFUNCTION("""COMPUTED_VALUE"""),2025)</f>
        <v>2025</v>
      </c>
      <c r="C1671" s="33">
        <f ca="1">IFERROR(__xludf.DUMMYFUNCTION("""COMPUTED_VALUE"""),12)</f>
        <v>12</v>
      </c>
      <c r="D1671" s="33" t="str">
        <f ca="1">IFERROR(__xludf.DUMMYFUNCTION("""COMPUTED_VALUE"""),"NO")</f>
        <v>NO</v>
      </c>
      <c r="E1671" s="33" t="str">
        <f ca="1">IFERROR(__xludf.DUMMYFUNCTION("""COMPUTED_VALUE"""),"Madrid- La Oca")</f>
        <v>Madrid- La Oca</v>
      </c>
      <c r="F1671" s="57">
        <f ca="1">IFERROR(__xludf.DUMMYFUNCTION("""COMPUTED_VALUE"""),46010)</f>
        <v>46010</v>
      </c>
      <c r="G1671" s="57">
        <f ca="1">IFERROR(__xludf.DUMMYFUNCTION("""COMPUTED_VALUE"""),45981)</f>
        <v>45981</v>
      </c>
      <c r="H1671" s="33" t="str">
        <f ca="1">IFERROR(__xludf.DUMMYFUNCTION("""COMPUTED_VALUE"""),"La Oca")</f>
        <v>La Oca</v>
      </c>
      <c r="I1671" s="33" t="str">
        <f ca="1">IFERROR(__xludf.DUMMYFUNCTION("""COMPUTED_VALUE"""),"C202511201641232702")</f>
        <v>C202511201641232702</v>
      </c>
      <c r="J1671" s="33" t="str">
        <f ca="1">IFERROR(__xludf.DUMMYFUNCTION("""COMPUTED_VALUE"""),"BENITO ANTOLIN SERRANO")</f>
        <v>BENITO ANTOLIN SERRANO</v>
      </c>
      <c r="K1671" s="33">
        <f ca="1">IFERROR(__xludf.DUMMYFUNCTION("""COMPUTED_VALUE"""),2)</f>
        <v>2</v>
      </c>
      <c r="L1671" s="203">
        <f ca="1">IFERROR(__xludf.DUMMYFUNCTION("""COMPUTED_VALUE"""),2582.27)</f>
        <v>2582.27</v>
      </c>
      <c r="M1671" s="33" t="str">
        <f ca="1">IFERROR(__xludf.DUMMYFUNCTION("""COMPUTED_VALUE"""),"03 ORL")</f>
        <v>03 ORL</v>
      </c>
      <c r="N1671" s="33" t="str">
        <f ca="1">IFERROR(__xludf.DUMMYFUNCTION("""COMPUTED_VALUE"""),"06 ORL")</f>
        <v>06 ORL</v>
      </c>
      <c r="O1671" s="33" t="str">
        <f ca="1">IFERROR(__xludf.DUMMYFUNCTION("""COMPUTED_VALUE"""),"Dr, Félix Rodríguez Paz")</f>
        <v>Dr, Félix Rodríguez Paz</v>
      </c>
      <c r="P1671" s="33" t="str">
        <f ca="1">IFERROR(__xludf.DUMMYFUNCTION("""COMPUTED_VALUE"""),"Maika Blázquez (Madrid)")</f>
        <v>Maika Blázquez (Madrid)</v>
      </c>
    </row>
    <row r="1672" spans="2:16">
      <c r="B1672" s="33">
        <f ca="1">IFERROR(__xludf.DUMMYFUNCTION("""COMPUTED_VALUE"""),2025)</f>
        <v>2025</v>
      </c>
      <c r="C1672" s="33">
        <f ca="1">IFERROR(__xludf.DUMMYFUNCTION("""COMPUTED_VALUE"""),12)</f>
        <v>12</v>
      </c>
      <c r="D1672" s="33" t="str">
        <f ca="1">IFERROR(__xludf.DUMMYFUNCTION("""COMPUTED_VALUE"""),"NO")</f>
        <v>NO</v>
      </c>
      <c r="E1672" s="33" t="str">
        <f ca="1">IFERROR(__xludf.DUMMYFUNCTION("""COMPUTED_VALUE"""),"Madrid- Canillas")</f>
        <v>Madrid- Canillas</v>
      </c>
      <c r="F1672" s="57">
        <f ca="1">IFERROR(__xludf.DUMMYFUNCTION("""COMPUTED_VALUE"""),46010)</f>
        <v>46010</v>
      </c>
      <c r="G1672" s="57">
        <f ca="1">IFERROR(__xludf.DUMMYFUNCTION("""COMPUTED_VALUE"""),45993)</f>
        <v>45993</v>
      </c>
      <c r="H1672" s="33" t="str">
        <f ca="1">IFERROR(__xludf.DUMMYFUNCTION("""COMPUTED_VALUE"""),"Canillas")</f>
        <v>Canillas</v>
      </c>
      <c r="I1672" s="33" t="str">
        <f ca="1">IFERROR(__xludf.DUMMYFUNCTION("""COMPUTED_VALUE"""),"C202512210375407030")</f>
        <v>C202512210375407030</v>
      </c>
      <c r="J1672" s="33" t="str">
        <f ca="1">IFERROR(__xludf.DUMMYFUNCTION("""COMPUTED_VALUE"""),"RAMIRO ANTÓN MARÍA")</f>
        <v>RAMIRO ANTÓN MARÍA</v>
      </c>
      <c r="K1672" s="33">
        <f ca="1">IFERROR(__xludf.DUMMYFUNCTION("""COMPUTED_VALUE"""),2)</f>
        <v>2</v>
      </c>
      <c r="L1672" s="203">
        <f ca="1">IFERROR(__xludf.DUMMYFUNCTION("""COMPUTED_VALUE"""),4136.36)</f>
        <v>4136.3599999999997</v>
      </c>
      <c r="M1672" s="33" t="str">
        <f ca="1">IFERROR(__xludf.DUMMYFUNCTION("""COMPUTED_VALUE"""),"03 ORL")</f>
        <v>03 ORL</v>
      </c>
      <c r="N1672" s="33" t="str">
        <f ca="1">IFERROR(__xludf.DUMMYFUNCTION("""COMPUTED_VALUE"""),"06 ORL")</f>
        <v>06 ORL</v>
      </c>
      <c r="O1672" s="33" t="str">
        <f ca="1">IFERROR(__xludf.DUMMYFUNCTION("""COMPUTED_VALUE"""),"Dr, José Gustavo Barroso Braojos")</f>
        <v>Dr, José Gustavo Barroso Braojos</v>
      </c>
      <c r="P1672" s="33" t="str">
        <f ca="1">IFERROR(__xludf.DUMMYFUNCTION("""COMPUTED_VALUE"""),"Maika Blázquez (Madrid)")</f>
        <v>Maika Blázquez (Madrid)</v>
      </c>
    </row>
    <row r="1673" spans="2:16">
      <c r="B1673" s="33">
        <f ca="1">IFERROR(__xludf.DUMMYFUNCTION("""COMPUTED_VALUE"""),2025)</f>
        <v>2025</v>
      </c>
      <c r="C1673" s="33">
        <f ca="1">IFERROR(__xludf.DUMMYFUNCTION("""COMPUTED_VALUE"""),12)</f>
        <v>12</v>
      </c>
      <c r="D1673" s="33" t="str">
        <f ca="1">IFERROR(__xludf.DUMMYFUNCTION("""COMPUTED_VALUE"""),"NO")</f>
        <v>NO</v>
      </c>
      <c r="E1673" s="33" t="str">
        <f ca="1">IFERROR(__xludf.DUMMYFUNCTION("""COMPUTED_VALUE"""),"Madrid- Canillas")</f>
        <v>Madrid- Canillas</v>
      </c>
      <c r="F1673" s="57">
        <f ca="1">IFERROR(__xludf.DUMMYFUNCTION("""COMPUTED_VALUE"""),46010)</f>
        <v>46010</v>
      </c>
      <c r="G1673" s="57">
        <f ca="1">IFERROR(__xludf.DUMMYFUNCTION("""COMPUTED_VALUE"""),45985)</f>
        <v>45985</v>
      </c>
      <c r="H1673" s="33" t="str">
        <f ca="1">IFERROR(__xludf.DUMMYFUNCTION("""COMPUTED_VALUE"""),"Canillas")</f>
        <v>Canillas</v>
      </c>
      <c r="I1673" s="33" t="str">
        <f ca="1">IFERROR(__xludf.DUMMYFUNCTION("""COMPUTED_VALUE"""),"C202511249411289262")</f>
        <v>C202511249411289262</v>
      </c>
      <c r="J1673" s="33" t="str">
        <f ca="1">IFERROR(__xludf.DUMMYFUNCTION("""COMPUTED_VALUE"""),"ÁNGELES ELSA MORO GAFO")</f>
        <v>ÁNGELES ELSA MORO GAFO</v>
      </c>
      <c r="K1673" s="33">
        <f ca="1">IFERROR(__xludf.DUMMYFUNCTION("""COMPUTED_VALUE"""),2)</f>
        <v>2</v>
      </c>
      <c r="L1673" s="203">
        <f ca="1">IFERROR(__xludf.DUMMYFUNCTION("""COMPUTED_VALUE"""),2718.18)</f>
        <v>2718.18</v>
      </c>
      <c r="M1673" s="33" t="str">
        <f ca="1">IFERROR(__xludf.DUMMYFUNCTION("""COMPUTED_VALUE"""),"03 ORL")</f>
        <v>03 ORL</v>
      </c>
      <c r="N1673" s="33" t="str">
        <f ca="1">IFERROR(__xludf.DUMMYFUNCTION("""COMPUTED_VALUE"""),"06 ORL")</f>
        <v>06 ORL</v>
      </c>
      <c r="O1673" s="33" t="str">
        <f ca="1">IFERROR(__xludf.DUMMYFUNCTION("""COMPUTED_VALUE"""),"Dr, José Gustavo Barroso Braojos")</f>
        <v>Dr, José Gustavo Barroso Braojos</v>
      </c>
      <c r="P1673" s="33" t="str">
        <f ca="1">IFERROR(__xludf.DUMMYFUNCTION("""COMPUTED_VALUE"""),"Maika Blázquez (Madrid)")</f>
        <v>Maika Blázquez (Madrid)</v>
      </c>
    </row>
    <row r="1674" spans="2:16">
      <c r="B1674" s="33">
        <f ca="1">IFERROR(__xludf.DUMMYFUNCTION("""COMPUTED_VALUE"""),2025)</f>
        <v>2025</v>
      </c>
      <c r="C1674" s="33">
        <f ca="1">IFERROR(__xludf.DUMMYFUNCTION("""COMPUTED_VALUE"""),12)</f>
        <v>12</v>
      </c>
      <c r="D1674" s="33" t="str">
        <f ca="1">IFERROR(__xludf.DUMMYFUNCTION("""COMPUTED_VALUE"""),"NO")</f>
        <v>NO</v>
      </c>
      <c r="E1674" s="33" t="str">
        <f ca="1">IFERROR(__xludf.DUMMYFUNCTION("""COMPUTED_VALUE"""),"Madrid- Monforte de Lemos")</f>
        <v>Madrid- Monforte de Lemos</v>
      </c>
      <c r="F1674" s="57">
        <f ca="1">IFERROR(__xludf.DUMMYFUNCTION("""COMPUTED_VALUE"""),46010)</f>
        <v>46010</v>
      </c>
      <c r="G1674" s="57">
        <f ca="1">IFERROR(__xludf.DUMMYFUNCTION("""COMPUTED_VALUE"""),46003)</f>
        <v>46003</v>
      </c>
      <c r="H1674" s="33" t="str">
        <f ca="1">IFERROR(__xludf.DUMMYFUNCTION("""COMPUTED_VALUE"""),"La Vaguada")</f>
        <v>La Vaguada</v>
      </c>
      <c r="I1674" s="33" t="str">
        <f ca="1">IFERROR(__xludf.DUMMYFUNCTION("""COMPUTED_VALUE"""),"C202512121230235851")</f>
        <v>C202512121230235851</v>
      </c>
      <c r="J1674" s="33" t="str">
        <f ca="1">IFERROR(__xludf.DUMMYFUNCTION("""COMPUTED_VALUE"""),"PEDRO CUMMINGS DONADIO")</f>
        <v>PEDRO CUMMINGS DONADIO</v>
      </c>
      <c r="K1674" s="33">
        <f ca="1">IFERROR(__xludf.DUMMYFUNCTION("""COMPUTED_VALUE"""),2)</f>
        <v>2</v>
      </c>
      <c r="L1674" s="203">
        <f ca="1">IFERROR(__xludf.DUMMYFUNCTION("""COMPUTED_VALUE"""),4136.36)</f>
        <v>4136.3599999999997</v>
      </c>
      <c r="M1674" s="33" t="str">
        <f ca="1">IFERROR(__xludf.DUMMYFUNCTION("""COMPUTED_VALUE"""),"03 ORL")</f>
        <v>03 ORL</v>
      </c>
      <c r="N1674" s="33" t="str">
        <f ca="1">IFERROR(__xludf.DUMMYFUNCTION("""COMPUTED_VALUE"""),"06 ORL")</f>
        <v>06 ORL</v>
      </c>
      <c r="O1674" s="33" t="str">
        <f ca="1">IFERROR(__xludf.DUMMYFUNCTION("""COMPUTED_VALUE"""),"Dra, Laura Gálvez Gazo")</f>
        <v>Dra, Laura Gálvez Gazo</v>
      </c>
      <c r="P1674" s="33" t="str">
        <f ca="1">IFERROR(__xludf.DUMMYFUNCTION("""COMPUTED_VALUE"""),"Maika Blázquez (Madrid)")</f>
        <v>Maika Blázquez (Madrid)</v>
      </c>
    </row>
    <row r="1675" spans="2:16">
      <c r="B1675" s="33">
        <f ca="1">IFERROR(__xludf.DUMMYFUNCTION("""COMPUTED_VALUE"""),2025)</f>
        <v>2025</v>
      </c>
      <c r="C1675" s="33">
        <f ca="1">IFERROR(__xludf.DUMMYFUNCTION("""COMPUTED_VALUE"""),12)</f>
        <v>12</v>
      </c>
      <c r="D1675" s="33" t="str">
        <f ca="1">IFERROR(__xludf.DUMMYFUNCTION("""COMPUTED_VALUE"""),"NO")</f>
        <v>NO</v>
      </c>
      <c r="E1675" s="33" t="str">
        <f ca="1">IFERROR(__xludf.DUMMYFUNCTION("""COMPUTED_VALUE"""),"Murcia")</f>
        <v>Murcia</v>
      </c>
      <c r="F1675" s="57">
        <f ca="1">IFERROR(__xludf.DUMMYFUNCTION("""COMPUTED_VALUE"""),46010)</f>
        <v>46010</v>
      </c>
      <c r="G1675" s="57">
        <f ca="1">IFERROR(__xludf.DUMMYFUNCTION("""COMPUTED_VALUE"""),45987)</f>
        <v>45987</v>
      </c>
      <c r="H1675" s="33" t="str">
        <f ca="1">IFERROR(__xludf.DUMMYFUNCTION("""COMPUTED_VALUE"""),"Murcia")</f>
        <v>Murcia</v>
      </c>
      <c r="I1675" s="33" t="str">
        <f ca="1">IFERROR(__xludf.DUMMYFUNCTION("""COMPUTED_VALUE"""),"C202511261112103448")</f>
        <v>C202511261112103448</v>
      </c>
      <c r="J1675" s="33" t="str">
        <f ca="1">IFERROR(__xludf.DUMMYFUNCTION("""COMPUTED_VALUE"""),"BRAHIM KIROUANE")</f>
        <v>BRAHIM KIROUANE</v>
      </c>
      <c r="K1675" s="33">
        <f ca="1">IFERROR(__xludf.DUMMYFUNCTION("""COMPUTED_VALUE"""),2)</f>
        <v>2</v>
      </c>
      <c r="L1675" s="203">
        <f ca="1">IFERROR(__xludf.DUMMYFUNCTION("""COMPUTED_VALUE"""),2718.18)</f>
        <v>2718.18</v>
      </c>
      <c r="M1675" s="33" t="str">
        <f ca="1">IFERROR(__xludf.DUMMYFUNCTION("""COMPUTED_VALUE"""),"03 ORL")</f>
        <v>03 ORL</v>
      </c>
      <c r="N1675" s="33" t="str">
        <f ca="1">IFERROR(__xludf.DUMMYFUNCTION("""COMPUTED_VALUE"""),"06 ORL")</f>
        <v>06 ORL</v>
      </c>
      <c r="O1675" s="33" t="str">
        <f ca="1">IFERROR(__xludf.DUMMYFUNCTION("""COMPUTED_VALUE"""),"Dr, Jesús Miguel Iniesta Turpín")</f>
        <v>Dr, Jesús Miguel Iniesta Turpín</v>
      </c>
      <c r="P1675" s="33" t="str">
        <f ca="1">IFERROR(__xludf.DUMMYFUNCTION("""COMPUTED_VALUE"""),"Iván Sánchez (Levante Y Albacete)")</f>
        <v>Iván Sánchez (Levante Y Albacete)</v>
      </c>
    </row>
    <row r="1676" spans="2:16">
      <c r="B1676" s="33">
        <f ca="1">IFERROR(__xludf.DUMMYFUNCTION("""COMPUTED_VALUE"""),2025)</f>
        <v>2025</v>
      </c>
      <c r="C1676" s="33">
        <f ca="1">IFERROR(__xludf.DUMMYFUNCTION("""COMPUTED_VALUE"""),12)</f>
        <v>12</v>
      </c>
      <c r="D1676" s="33" t="str">
        <f ca="1">IFERROR(__xludf.DUMMYFUNCTION("""COMPUTED_VALUE"""),"NO")</f>
        <v>NO</v>
      </c>
      <c r="E1676" s="33" t="str">
        <f ca="1">IFERROR(__xludf.DUMMYFUNCTION("""COMPUTED_VALUE"""),"Logroño")</f>
        <v>Logroño</v>
      </c>
      <c r="F1676" s="57">
        <f ca="1">IFERROR(__xludf.DUMMYFUNCTION("""COMPUTED_VALUE"""),46010)</f>
        <v>46010</v>
      </c>
      <c r="G1676" s="57">
        <f ca="1">IFERROR(__xludf.DUMMYFUNCTION("""COMPUTED_VALUE"""),45974)</f>
        <v>45974</v>
      </c>
      <c r="H1676" s="33" t="str">
        <f ca="1">IFERROR(__xludf.DUMMYFUNCTION("""COMPUTED_VALUE"""),"Logroño")</f>
        <v>Logroño</v>
      </c>
      <c r="I1676" s="33" t="str">
        <f ca="1">IFERROR(__xludf.DUMMYFUNCTION("""COMPUTED_VALUE"""),"C202511131422066053")</f>
        <v>C202511131422066053</v>
      </c>
      <c r="J1676" s="33" t="str">
        <f ca="1">IFERROR(__xludf.DUMMYFUNCTION("""COMPUTED_VALUE"""),"AGUSTIN GONZALEZ ELIAS")</f>
        <v>AGUSTIN GONZALEZ ELIAS</v>
      </c>
      <c r="K1676" s="33">
        <f ca="1">IFERROR(__xludf.DUMMYFUNCTION("""COMPUTED_VALUE"""),2)</f>
        <v>2</v>
      </c>
      <c r="L1676" s="203">
        <f ca="1">IFERROR(__xludf.DUMMYFUNCTION("""COMPUTED_VALUE"""),2718.18)</f>
        <v>2718.18</v>
      </c>
      <c r="M1676" s="33" t="str">
        <f ca="1">IFERROR(__xludf.DUMMYFUNCTION("""COMPUTED_VALUE"""),"03 ORL")</f>
        <v>03 ORL</v>
      </c>
      <c r="N1676" s="33" t="str">
        <f ca="1">IFERROR(__xludf.DUMMYFUNCTION("""COMPUTED_VALUE"""),"06 ORL")</f>
        <v>06 ORL</v>
      </c>
      <c r="O1676" s="33" t="str">
        <f ca="1">IFERROR(__xludf.DUMMYFUNCTION("""COMPUTED_VALUE"""),"No recuerda ORL")</f>
        <v>No recuerda ORL</v>
      </c>
      <c r="P1676" s="33"/>
    </row>
    <row r="1677" spans="2:16">
      <c r="B1677" s="33">
        <f ca="1">IFERROR(__xludf.DUMMYFUNCTION("""COMPUTED_VALUE"""),2025)</f>
        <v>2025</v>
      </c>
      <c r="C1677" s="33">
        <f ca="1">IFERROR(__xludf.DUMMYFUNCTION("""COMPUTED_VALUE"""),12)</f>
        <v>12</v>
      </c>
      <c r="D1677" s="33" t="str">
        <f ca="1">IFERROR(__xludf.DUMMYFUNCTION("""COMPUTED_VALUE"""),"SI")</f>
        <v>SI</v>
      </c>
      <c r="E1677" s="33" t="str">
        <f ca="1">IFERROR(__xludf.DUMMYFUNCTION("""COMPUTED_VALUE"""),"Madrid- Canillas")</f>
        <v>Madrid- Canillas</v>
      </c>
      <c r="F1677" s="57">
        <f ca="1">IFERROR(__xludf.DUMMYFUNCTION("""COMPUTED_VALUE"""),46010)</f>
        <v>46010</v>
      </c>
      <c r="G1677" s="57">
        <f ca="1">IFERROR(__xludf.DUMMYFUNCTION("""COMPUTED_VALUE"""),45973)</f>
        <v>45973</v>
      </c>
      <c r="H1677" s="33" t="str">
        <f ca="1">IFERROR(__xludf.DUMMYFUNCTION("""COMPUTED_VALUE"""),"Canillas")</f>
        <v>Canillas</v>
      </c>
      <c r="I1677" s="33" t="str">
        <f ca="1">IFERROR(__xludf.DUMMYFUNCTION("""COMPUTED_VALUE"""),"C202511121646140757")</f>
        <v>C202511121646140757</v>
      </c>
      <c r="J1677" s="33" t="str">
        <f ca="1">IFERROR(__xludf.DUMMYFUNCTION("""COMPUTED_VALUE"""),"JOSE MARIA  JIMENEZ HERNANDEZ")</f>
        <v>JOSE MARIA  JIMENEZ HERNANDEZ</v>
      </c>
      <c r="K1677" s="33">
        <f ca="1">IFERROR(__xludf.DUMMYFUNCTION("""COMPUTED_VALUE"""),2)</f>
        <v>2</v>
      </c>
      <c r="L1677" s="203">
        <f ca="1">IFERROR(__xludf.DUMMYFUNCTION("""COMPUTED_VALUE"""),4136.36)</f>
        <v>4136.3599999999997</v>
      </c>
      <c r="M1677" s="33" t="str">
        <f ca="1">IFERROR(__xludf.DUMMYFUNCTION("""COMPUTED_VALUE"""),"03 ORL")</f>
        <v>03 ORL</v>
      </c>
      <c r="N1677" s="33" t="str">
        <f ca="1">IFERROR(__xludf.DUMMYFUNCTION("""COMPUTED_VALUE"""),"06 ORL")</f>
        <v>06 ORL</v>
      </c>
      <c r="O1677" s="33" t="str">
        <f ca="1">IFERROR(__xludf.DUMMYFUNCTION("""COMPUTED_VALUE"""),"Dr, Alejandro Harguindey Antoli-Candela")</f>
        <v>Dr, Alejandro Harguindey Antoli-Candela</v>
      </c>
      <c r="P1677" s="33" t="str">
        <f ca="1">IFERROR(__xludf.DUMMYFUNCTION("""COMPUTED_VALUE"""),"Maika Blázquez (Madrid)")</f>
        <v>Maika Blázquez (Madrid)</v>
      </c>
    </row>
    <row r="1678" spans="2:16">
      <c r="B1678" s="33">
        <f ca="1">IFERROR(__xludf.DUMMYFUNCTION("""COMPUTED_VALUE"""),2025)</f>
        <v>2025</v>
      </c>
      <c r="C1678" s="33">
        <f ca="1">IFERROR(__xludf.DUMMYFUNCTION("""COMPUTED_VALUE"""),12)</f>
        <v>12</v>
      </c>
      <c r="D1678" s="33" t="str">
        <f ca="1">IFERROR(__xludf.DUMMYFUNCTION("""COMPUTED_VALUE"""),"NO")</f>
        <v>NO</v>
      </c>
      <c r="E1678" s="33" t="str">
        <f ca="1">IFERROR(__xludf.DUMMYFUNCTION("""COMPUTED_VALUE"""),"Jerez de la Frontera")</f>
        <v>Jerez de la Frontera</v>
      </c>
      <c r="F1678" s="57">
        <f ca="1">IFERROR(__xludf.DUMMYFUNCTION("""COMPUTED_VALUE"""),46013)</f>
        <v>46013</v>
      </c>
      <c r="G1678" s="57">
        <f ca="1">IFERROR(__xludf.DUMMYFUNCTION("""COMPUTED_VALUE"""),45982)</f>
        <v>45982</v>
      </c>
      <c r="H1678" s="33" t="str">
        <f ca="1">IFERROR(__xludf.DUMMYFUNCTION("""COMPUTED_VALUE"""),"Jerez")</f>
        <v>Jerez</v>
      </c>
      <c r="I1678" s="33" t="str">
        <f ca="1">IFERROR(__xludf.DUMMYFUNCTION("""COMPUTED_VALUE"""),"C202511211119163932")</f>
        <v>C202511211119163932</v>
      </c>
      <c r="J1678" s="33" t="str">
        <f ca="1">IFERROR(__xludf.DUMMYFUNCTION("""COMPUTED_VALUE"""),"MARIA ROSARIO ALVAREZ GONZALEZ")</f>
        <v>MARIA ROSARIO ALVAREZ GONZALEZ</v>
      </c>
      <c r="K1678" s="33">
        <f ca="1">IFERROR(__xludf.DUMMYFUNCTION("""COMPUTED_VALUE"""),2)</f>
        <v>2</v>
      </c>
      <c r="L1678" s="203">
        <f ca="1">IFERROR(__xludf.DUMMYFUNCTION("""COMPUTED_VALUE"""),2718.19)</f>
        <v>2718.19</v>
      </c>
      <c r="M1678" s="33" t="str">
        <f ca="1">IFERROR(__xludf.DUMMYFUNCTION("""COMPUTED_VALUE"""),"03 ORL")</f>
        <v>03 ORL</v>
      </c>
      <c r="N1678" s="33" t="str">
        <f ca="1">IFERROR(__xludf.DUMMYFUNCTION("""COMPUTED_VALUE"""),"06 ORL")</f>
        <v>06 ORL</v>
      </c>
      <c r="O1678" s="33" t="str">
        <f ca="1">IFERROR(__xludf.DUMMYFUNCTION("""COMPUTED_VALUE"""),"Dra, Maria Del Carmen Salom Coveñas")</f>
        <v>Dra, Maria Del Carmen Salom Coveñas</v>
      </c>
      <c r="P1678" s="33" t="str">
        <f ca="1">IFERROR(__xludf.DUMMYFUNCTION("""COMPUTED_VALUE"""),"Luis Alberto Rodríguez (Andalucía y Badajoz)")</f>
        <v>Luis Alberto Rodríguez (Andalucía y Badajoz)</v>
      </c>
    </row>
    <row r="1679" spans="2:16">
      <c r="B1679" s="33">
        <f ca="1">IFERROR(__xludf.DUMMYFUNCTION("""COMPUTED_VALUE"""),2025)</f>
        <v>2025</v>
      </c>
      <c r="C1679" s="33">
        <f ca="1">IFERROR(__xludf.DUMMYFUNCTION("""COMPUTED_VALUE"""),12)</f>
        <v>12</v>
      </c>
      <c r="D1679" s="33" t="str">
        <f ca="1">IFERROR(__xludf.DUMMYFUNCTION("""COMPUTED_VALUE"""),"NO")</f>
        <v>NO</v>
      </c>
      <c r="E1679" s="33" t="str">
        <f ca="1">IFERROR(__xludf.DUMMYFUNCTION("""COMPUTED_VALUE"""),"Torrejón de Ardoz")</f>
        <v>Torrejón de Ardoz</v>
      </c>
      <c r="F1679" s="57">
        <f ca="1">IFERROR(__xludf.DUMMYFUNCTION("""COMPUTED_VALUE"""),46013)</f>
        <v>46013</v>
      </c>
      <c r="G1679" s="57">
        <f ca="1">IFERROR(__xludf.DUMMYFUNCTION("""COMPUTED_VALUE"""),45981)</f>
        <v>45981</v>
      </c>
      <c r="H1679" s="33" t="str">
        <f ca="1">IFERROR(__xludf.DUMMYFUNCTION("""COMPUTED_VALUE"""),"Torrejón")</f>
        <v>Torrejón</v>
      </c>
      <c r="I1679" s="33" t="str">
        <f ca="1">IFERROR(__xludf.DUMMYFUNCTION("""COMPUTED_VALUE"""),"C202511201734355763")</f>
        <v>C202511201734355763</v>
      </c>
      <c r="J1679" s="33" t="str">
        <f ca="1">IFERROR(__xludf.DUMMYFUNCTION("""COMPUTED_VALUE"""),"JOSEFA SANCHEZ TENA")</f>
        <v>JOSEFA SANCHEZ TENA</v>
      </c>
      <c r="K1679" s="33">
        <f ca="1">IFERROR(__xludf.DUMMYFUNCTION("""COMPUTED_VALUE"""),2)</f>
        <v>2</v>
      </c>
      <c r="L1679" s="203">
        <f ca="1">IFERROR(__xludf.DUMMYFUNCTION("""COMPUTED_VALUE"""),2718.18)</f>
        <v>2718.18</v>
      </c>
      <c r="M1679" s="33" t="str">
        <f ca="1">IFERROR(__xludf.DUMMYFUNCTION("""COMPUTED_VALUE"""),"03 ORL")</f>
        <v>03 ORL</v>
      </c>
      <c r="N1679" s="33" t="str">
        <f ca="1">IFERROR(__xludf.DUMMYFUNCTION("""COMPUTED_VALUE"""),"06 ORL")</f>
        <v>06 ORL</v>
      </c>
      <c r="O1679" s="33" t="str">
        <f ca="1">IFERROR(__xludf.DUMMYFUNCTION("""COMPUTED_VALUE"""),"Dr, Abel Bogoya Castaño")</f>
        <v>Dr, Abel Bogoya Castaño</v>
      </c>
      <c r="P1679" s="33" t="str">
        <f ca="1">IFERROR(__xludf.DUMMYFUNCTION("""COMPUTED_VALUE"""),"Lisandro Russian (Madrid, Cáceres, Toledo, Talavera Y Logroño)")</f>
        <v>Lisandro Russian (Madrid, Cáceres, Toledo, Talavera Y Logroño)</v>
      </c>
    </row>
    <row r="1680" spans="2:16">
      <c r="B1680" s="33">
        <f ca="1">IFERROR(__xludf.DUMMYFUNCTION("""COMPUTED_VALUE"""),2025)</f>
        <v>2025</v>
      </c>
      <c r="C1680" s="33">
        <f ca="1">IFERROR(__xludf.DUMMYFUNCTION("""COMPUTED_VALUE"""),12)</f>
        <v>12</v>
      </c>
      <c r="D1680" s="33" t="str">
        <f ca="1">IFERROR(__xludf.DUMMYFUNCTION("""COMPUTED_VALUE"""),"NO")</f>
        <v>NO</v>
      </c>
      <c r="E1680" s="33" t="str">
        <f ca="1">IFERROR(__xludf.DUMMYFUNCTION("""COMPUTED_VALUE"""),"Madrid- Monforte de Lemos")</f>
        <v>Madrid- Monforte de Lemos</v>
      </c>
      <c r="F1680" s="57">
        <f ca="1">IFERROR(__xludf.DUMMYFUNCTION("""COMPUTED_VALUE"""),46013)</f>
        <v>46013</v>
      </c>
      <c r="G1680" s="57">
        <f ca="1">IFERROR(__xludf.DUMMYFUNCTION("""COMPUTED_VALUE"""),45996)</f>
        <v>45996</v>
      </c>
      <c r="H1680" s="33" t="str">
        <f ca="1">IFERROR(__xludf.DUMMYFUNCTION("""COMPUTED_VALUE"""),"La Vaguada")</f>
        <v>La Vaguada</v>
      </c>
      <c r="I1680" s="33" t="str">
        <f ca="1">IFERROR(__xludf.DUMMYFUNCTION("""COMPUTED_VALUE"""),"C202512514574325442")</f>
        <v>C202512514574325442</v>
      </c>
      <c r="J1680" s="33" t="str">
        <f ca="1">IFERROR(__xludf.DUMMYFUNCTION("""COMPUTED_VALUE"""),"ENCARNACION  DE PABLO RODRIGUEZ")</f>
        <v>ENCARNACION  DE PABLO RODRIGUEZ</v>
      </c>
      <c r="K1680" s="33">
        <f ca="1">IFERROR(__xludf.DUMMYFUNCTION("""COMPUTED_VALUE"""),2)</f>
        <v>2</v>
      </c>
      <c r="L1680" s="203">
        <f ca="1">IFERROR(__xludf.DUMMYFUNCTION("""COMPUTED_VALUE"""),2718.18)</f>
        <v>2718.18</v>
      </c>
      <c r="M1680" s="33" t="str">
        <f ca="1">IFERROR(__xludf.DUMMYFUNCTION("""COMPUTED_VALUE"""),"03 ORL")</f>
        <v>03 ORL</v>
      </c>
      <c r="N1680" s="33" t="str">
        <f ca="1">IFERROR(__xludf.DUMMYFUNCTION("""COMPUTED_VALUE"""),"06 ORL")</f>
        <v>06 ORL</v>
      </c>
      <c r="O1680" s="33" t="str">
        <f ca="1">IFERROR(__xludf.DUMMYFUNCTION("""COMPUTED_VALUE"""),"Dr, Álvaro Sánchez de Arriba")</f>
        <v>Dr, Álvaro Sánchez de Arriba</v>
      </c>
      <c r="P1680" s="33" t="str">
        <f ca="1">IFERROR(__xludf.DUMMYFUNCTION("""COMPUTED_VALUE"""),"Lisandro Russian (Madrid, Cáceres, Toledo, Talavera Y Logroño)")</f>
        <v>Lisandro Russian (Madrid, Cáceres, Toledo, Talavera Y Logroño)</v>
      </c>
    </row>
    <row r="1681" spans="2:16">
      <c r="B1681" s="33">
        <f ca="1">IFERROR(__xludf.DUMMYFUNCTION("""COMPUTED_VALUE"""),2025)</f>
        <v>2025</v>
      </c>
      <c r="C1681" s="33">
        <f ca="1">IFERROR(__xludf.DUMMYFUNCTION("""COMPUTED_VALUE"""),12)</f>
        <v>12</v>
      </c>
      <c r="D1681" s="33" t="str">
        <f ca="1">IFERROR(__xludf.DUMMYFUNCTION("""COMPUTED_VALUE"""),"NO")</f>
        <v>NO</v>
      </c>
      <c r="E1681" s="33" t="str">
        <f ca="1">IFERROR(__xludf.DUMMYFUNCTION("""COMPUTED_VALUE"""),"Salamanca")</f>
        <v>Salamanca</v>
      </c>
      <c r="F1681" s="57">
        <f ca="1">IFERROR(__xludf.DUMMYFUNCTION("""COMPUTED_VALUE"""),46013)</f>
        <v>46013</v>
      </c>
      <c r="G1681" s="57">
        <f ca="1">IFERROR(__xludf.DUMMYFUNCTION("""COMPUTED_VALUE"""),45971)</f>
        <v>45971</v>
      </c>
      <c r="H1681" s="33" t="str">
        <f ca="1">IFERROR(__xludf.DUMMYFUNCTION("""COMPUTED_VALUE"""),"Salamanca")</f>
        <v>Salamanca</v>
      </c>
      <c r="I1681" s="33" t="str">
        <f ca="1">IFERROR(__xludf.DUMMYFUNCTION("""COMPUTED_VALUE"""),"SLM-652")</f>
        <v>SLM-652</v>
      </c>
      <c r="J1681" s="33" t="str">
        <f ca="1">IFERROR(__xludf.DUMMYFUNCTION("""COMPUTED_VALUE"""),"JOAQUINA GUTIERREZ SANCHEZ")</f>
        <v>JOAQUINA GUTIERREZ SANCHEZ</v>
      </c>
      <c r="K1681" s="33">
        <f ca="1">IFERROR(__xludf.DUMMYFUNCTION("""COMPUTED_VALUE"""),2)</f>
        <v>2</v>
      </c>
      <c r="L1681" s="203">
        <f ca="1">IFERROR(__xludf.DUMMYFUNCTION("""COMPUTED_VALUE"""),3730)</f>
        <v>3730</v>
      </c>
      <c r="M1681" s="33" t="str">
        <f ca="1">IFERROR(__xludf.DUMMYFUNCTION("""COMPUTED_VALUE"""),"03 ORL")</f>
        <v>03 ORL</v>
      </c>
      <c r="N1681" s="33" t="str">
        <f ca="1">IFERROR(__xludf.DUMMYFUNCTION("""COMPUTED_VALUE"""),"06 ORL")</f>
        <v>06 ORL</v>
      </c>
      <c r="O1681" s="33" t="str">
        <f ca="1">IFERROR(__xludf.DUMMYFUNCTION("""COMPUTED_VALUE"""),"Dr, Ángel Muñoz Herrera")</f>
        <v>Dr, Ángel Muñoz Herrera</v>
      </c>
      <c r="P1681" s="33" t="str">
        <f ca="1">IFERROR(__xludf.DUMMYFUNCTION("""COMPUTED_VALUE"""),"Alberto Moreno (Madrid)")</f>
        <v>Alberto Moreno (Madrid)</v>
      </c>
    </row>
    <row r="1682" spans="2:16">
      <c r="B1682" s="33">
        <f ca="1">IFERROR(__xludf.DUMMYFUNCTION("""COMPUTED_VALUE"""),2025)</f>
        <v>2025</v>
      </c>
      <c r="C1682" s="33">
        <f ca="1">IFERROR(__xludf.DUMMYFUNCTION("""COMPUTED_VALUE"""),12)</f>
        <v>12</v>
      </c>
      <c r="D1682" s="33" t="str">
        <f ca="1">IFERROR(__xludf.DUMMYFUNCTION("""COMPUTED_VALUE"""),"NO")</f>
        <v>NO</v>
      </c>
      <c r="E1682" s="33" t="str">
        <f ca="1">IFERROR(__xludf.DUMMYFUNCTION("""COMPUTED_VALUE"""),"Madrid- Monforte de Lemos")</f>
        <v>Madrid- Monforte de Lemos</v>
      </c>
      <c r="F1682" s="57">
        <f ca="1">IFERROR(__xludf.DUMMYFUNCTION("""COMPUTED_VALUE"""),46013)</f>
        <v>46013</v>
      </c>
      <c r="G1682" s="57">
        <f ca="1">IFERROR(__xludf.DUMMYFUNCTION("""COMPUTED_VALUE"""),45958)</f>
        <v>45958</v>
      </c>
      <c r="H1682" s="33" t="str">
        <f ca="1">IFERROR(__xludf.DUMMYFUNCTION("""COMPUTED_VALUE"""),"La Vaguada")</f>
        <v>La Vaguada</v>
      </c>
      <c r="I1682" s="33" t="str">
        <f ca="1">IFERROR(__xludf.DUMMYFUNCTION("""COMPUTED_VALUE"""),"C202510281634456406")</f>
        <v>C202510281634456406</v>
      </c>
      <c r="J1682" s="33" t="str">
        <f ca="1">IFERROR(__xludf.DUMMYFUNCTION("""COMPUTED_VALUE"""),"CONCEPCION CATALAN SERRANO")</f>
        <v>CONCEPCION CATALAN SERRANO</v>
      </c>
      <c r="K1682" s="33">
        <f ca="1">IFERROR(__xludf.DUMMYFUNCTION("""COMPUTED_VALUE"""),2)</f>
        <v>2</v>
      </c>
      <c r="L1682" s="203">
        <f ca="1">IFERROR(__xludf.DUMMYFUNCTION("""COMPUTED_VALUE"""),3631.82)</f>
        <v>3631.82</v>
      </c>
      <c r="M1682" s="33" t="str">
        <f ca="1">IFERROR(__xludf.DUMMYFUNCTION("""COMPUTED_VALUE"""),"03 ORL")</f>
        <v>03 ORL</v>
      </c>
      <c r="N1682" s="33" t="str">
        <f ca="1">IFERROR(__xludf.DUMMYFUNCTION("""COMPUTED_VALUE"""),"06 ORL")</f>
        <v>06 ORL</v>
      </c>
      <c r="O1682" s="33" t="str">
        <f ca="1">IFERROR(__xludf.DUMMYFUNCTION("""COMPUTED_VALUE"""),"Dr, Guillermo San Juan de la Moreta")</f>
        <v>Dr, Guillermo San Juan de la Moreta</v>
      </c>
      <c r="P1682" s="33" t="str">
        <f ca="1">IFERROR(__xludf.DUMMYFUNCTION("""COMPUTED_VALUE"""),"Maika Blázquez (Madrid)")</f>
        <v>Maika Blázquez (Madrid)</v>
      </c>
    </row>
    <row r="1683" spans="2:16">
      <c r="B1683" s="33">
        <f ca="1">IFERROR(__xludf.DUMMYFUNCTION("""COMPUTED_VALUE"""),2025)</f>
        <v>2025</v>
      </c>
      <c r="C1683" s="33">
        <f ca="1">IFERROR(__xludf.DUMMYFUNCTION("""COMPUTED_VALUE"""),12)</f>
        <v>12</v>
      </c>
      <c r="D1683" s="33" t="str">
        <f ca="1">IFERROR(__xludf.DUMMYFUNCTION("""COMPUTED_VALUE"""),"NO")</f>
        <v>NO</v>
      </c>
      <c r="E1683" s="33" t="str">
        <f ca="1">IFERROR(__xludf.DUMMYFUNCTION("""COMPUTED_VALUE"""),"Vilanova")</f>
        <v>Vilanova</v>
      </c>
      <c r="F1683" s="57">
        <f ca="1">IFERROR(__xludf.DUMMYFUNCTION("""COMPUTED_VALUE"""),46013)</f>
        <v>46013</v>
      </c>
      <c r="G1683" s="57">
        <f ca="1">IFERROR(__xludf.DUMMYFUNCTION("""COMPUTED_VALUE"""),45972)</f>
        <v>45972</v>
      </c>
      <c r="H1683" s="33" t="str">
        <f ca="1">IFERROR(__xludf.DUMMYFUNCTION("""COMPUTED_VALUE"""),"Vilanova")</f>
        <v>Vilanova</v>
      </c>
      <c r="I1683" s="33" t="str">
        <f ca="1">IFERROR(__xludf.DUMMYFUNCTION("""COMPUTED_VALUE"""),"C202511118254330379")</f>
        <v>C202511118254330379</v>
      </c>
      <c r="J1683" s="33" t="str">
        <f ca="1">IFERROR(__xludf.DUMMYFUNCTION("""COMPUTED_VALUE"""),"FRANCISCA MARIA JESUS GONZALEZ MUÑOZ")</f>
        <v>FRANCISCA MARIA JESUS GONZALEZ MUÑOZ</v>
      </c>
      <c r="K1683" s="33">
        <f ca="1">IFERROR(__xludf.DUMMYFUNCTION("""COMPUTED_VALUE"""),2)</f>
        <v>2</v>
      </c>
      <c r="L1683" s="203">
        <f ca="1">IFERROR(__xludf.DUMMYFUNCTION("""COMPUTED_VALUE"""),4136.36)</f>
        <v>4136.3599999999997</v>
      </c>
      <c r="M1683" s="33" t="str">
        <f ca="1">IFERROR(__xludf.DUMMYFUNCTION("""COMPUTED_VALUE"""),"03 ORL")</f>
        <v>03 ORL</v>
      </c>
      <c r="N1683" s="33" t="str">
        <f ca="1">IFERROR(__xludf.DUMMYFUNCTION("""COMPUTED_VALUE"""),"06 ORL")</f>
        <v>06 ORL</v>
      </c>
      <c r="O1683" s="33" t="str">
        <f ca="1">IFERROR(__xludf.DUMMYFUNCTION("""COMPUTED_VALUE"""),"Dr, Enrique Romero Van Abeleen")</f>
        <v>Dr, Enrique Romero Van Abeleen</v>
      </c>
      <c r="P1683" s="33" t="str">
        <f ca="1">IFERROR(__xludf.DUMMYFUNCTION("""COMPUTED_VALUE"""),"Mercè Cabrera (Cataluña Y Baleares)")</f>
        <v>Mercè Cabrera (Cataluña Y Baleares)</v>
      </c>
    </row>
    <row r="1684" spans="2:16">
      <c r="B1684" s="33">
        <f ca="1">IFERROR(__xludf.DUMMYFUNCTION("""COMPUTED_VALUE"""),2025)</f>
        <v>2025</v>
      </c>
      <c r="C1684" s="33">
        <f ca="1">IFERROR(__xludf.DUMMYFUNCTION("""COMPUTED_VALUE"""),12)</f>
        <v>12</v>
      </c>
      <c r="D1684" s="33" t="str">
        <f ca="1">IFERROR(__xludf.DUMMYFUNCTION("""COMPUTED_VALUE"""),"NO")</f>
        <v>NO</v>
      </c>
      <c r="E1684" s="33" t="str">
        <f ca="1">IFERROR(__xludf.DUMMYFUNCTION("""COMPUTED_VALUE"""),"Valladolid")</f>
        <v>Valladolid</v>
      </c>
      <c r="F1684" s="57">
        <f ca="1">IFERROR(__xludf.DUMMYFUNCTION("""COMPUTED_VALUE"""),46013)</f>
        <v>46013</v>
      </c>
      <c r="G1684" s="57">
        <f ca="1">IFERROR(__xludf.DUMMYFUNCTION("""COMPUTED_VALUE"""),45960)</f>
        <v>45960</v>
      </c>
      <c r="H1684" s="33" t="str">
        <f ca="1">IFERROR(__xludf.DUMMYFUNCTION("""COMPUTED_VALUE"""),"Valladolid")</f>
        <v>Valladolid</v>
      </c>
      <c r="I1684" s="33" t="str">
        <f ca="1">IFERROR(__xludf.DUMMYFUNCTION("""COMPUTED_VALUE"""),"VLL-472")</f>
        <v>VLL-472</v>
      </c>
      <c r="J1684" s="33" t="str">
        <f ca="1">IFERROR(__xludf.DUMMYFUNCTION("""COMPUTED_VALUE"""),"MIGUEL LOPEZ ROBLES")</f>
        <v>MIGUEL LOPEZ ROBLES</v>
      </c>
      <c r="K1684" s="33">
        <f ca="1">IFERROR(__xludf.DUMMYFUNCTION("""COMPUTED_VALUE"""),2)</f>
        <v>2</v>
      </c>
      <c r="L1684" s="203">
        <f ca="1">IFERROR(__xludf.DUMMYFUNCTION("""COMPUTED_VALUE"""),4431.82)</f>
        <v>4431.82</v>
      </c>
      <c r="M1684" s="33" t="str">
        <f ca="1">IFERROR(__xludf.DUMMYFUNCTION("""COMPUTED_VALUE"""),"03 ORL")</f>
        <v>03 ORL</v>
      </c>
      <c r="N1684" s="33" t="str">
        <f ca="1">IFERROR(__xludf.DUMMYFUNCTION("""COMPUTED_VALUE"""),"06 ORL")</f>
        <v>06 ORL</v>
      </c>
      <c r="O1684" s="33" t="str">
        <f ca="1">IFERROR(__xludf.DUMMYFUNCTION("""COMPUTED_VALUE"""),"Dr, Carlos Miguel Salvador Martínez")</f>
        <v>Dr, Carlos Miguel Salvador Martínez</v>
      </c>
      <c r="P1684" s="33" t="str">
        <f ca="1">IFERROR(__xludf.DUMMYFUNCTION("""COMPUTED_VALUE"""),"Alberto Moreno (Madrid)")</f>
        <v>Alberto Moreno (Madrid)</v>
      </c>
    </row>
    <row r="1685" spans="2:16">
      <c r="B1685" s="33">
        <f ca="1">IFERROR(__xludf.DUMMYFUNCTION("""COMPUTED_VALUE"""),2025)</f>
        <v>2025</v>
      </c>
      <c r="C1685" s="33">
        <f ca="1">IFERROR(__xludf.DUMMYFUNCTION("""COMPUTED_VALUE"""),12)</f>
        <v>12</v>
      </c>
      <c r="D1685" s="33" t="str">
        <f ca="1">IFERROR(__xludf.DUMMYFUNCTION("""COMPUTED_VALUE"""),"NO")</f>
        <v>NO</v>
      </c>
      <c r="E1685" s="33" t="str">
        <f ca="1">IFERROR(__xludf.DUMMYFUNCTION("""COMPUTED_VALUE"""),"Jerez de la Frontera")</f>
        <v>Jerez de la Frontera</v>
      </c>
      <c r="F1685" s="57">
        <f ca="1">IFERROR(__xludf.DUMMYFUNCTION("""COMPUTED_VALUE"""),46013)</f>
        <v>46013</v>
      </c>
      <c r="G1685" s="57">
        <f ca="1">IFERROR(__xludf.DUMMYFUNCTION("""COMPUTED_VALUE"""),45980)</f>
        <v>45980</v>
      </c>
      <c r="H1685" s="33" t="str">
        <f ca="1">IFERROR(__xludf.DUMMYFUNCTION("""COMPUTED_VALUE"""),"Jerez")</f>
        <v>Jerez</v>
      </c>
      <c r="I1685" s="33" t="str">
        <f ca="1">IFERROR(__xludf.DUMMYFUNCTION("""COMPUTED_VALUE"""),"C202511191014344161")</f>
        <v>C202511191014344161</v>
      </c>
      <c r="J1685" s="33" t="str">
        <f ca="1">IFERROR(__xludf.DUMMYFUNCTION("""COMPUTED_VALUE"""),"DEBORA PINTEÑO ORTEGA")</f>
        <v>DEBORA PINTEÑO ORTEGA</v>
      </c>
      <c r="K1685" s="33">
        <f ca="1">IFERROR(__xludf.DUMMYFUNCTION("""COMPUTED_VALUE"""),2)</f>
        <v>2</v>
      </c>
      <c r="L1685" s="203">
        <f ca="1">IFERROR(__xludf.DUMMYFUNCTION("""COMPUTED_VALUE"""),4136.36)</f>
        <v>4136.3599999999997</v>
      </c>
      <c r="M1685" s="33" t="str">
        <f ca="1">IFERROR(__xludf.DUMMYFUNCTION("""COMPUTED_VALUE"""),"03 ORL")</f>
        <v>03 ORL</v>
      </c>
      <c r="N1685" s="33" t="str">
        <f ca="1">IFERROR(__xludf.DUMMYFUNCTION("""COMPUTED_VALUE"""),"06 ORL")</f>
        <v>06 ORL</v>
      </c>
      <c r="O1685" s="33" t="str">
        <f ca="1">IFERROR(__xludf.DUMMYFUNCTION("""COMPUTED_VALUE"""),"Dra, Maria Del Carmen Salom Coveñas")</f>
        <v>Dra, Maria Del Carmen Salom Coveñas</v>
      </c>
      <c r="P1685" s="33" t="str">
        <f ca="1">IFERROR(__xludf.DUMMYFUNCTION("""COMPUTED_VALUE"""),"Luis Alberto Rodríguez (Andalucía y Badajoz)")</f>
        <v>Luis Alberto Rodríguez (Andalucía y Badajoz)</v>
      </c>
    </row>
    <row r="1686" spans="2:16">
      <c r="B1686" s="33">
        <f ca="1">IFERROR(__xludf.DUMMYFUNCTION("""COMPUTED_VALUE"""),2025)</f>
        <v>2025</v>
      </c>
      <c r="C1686" s="33">
        <f ca="1">IFERROR(__xludf.DUMMYFUNCTION("""COMPUTED_VALUE"""),12)</f>
        <v>12</v>
      </c>
      <c r="D1686" s="33" t="str">
        <f ca="1">IFERROR(__xludf.DUMMYFUNCTION("""COMPUTED_VALUE"""),"NO")</f>
        <v>NO</v>
      </c>
      <c r="E1686" s="33" t="str">
        <f ca="1">IFERROR(__xludf.DUMMYFUNCTION("""COMPUTED_VALUE"""),"Ourense")</f>
        <v>Ourense</v>
      </c>
      <c r="F1686" s="57">
        <f ca="1">IFERROR(__xludf.DUMMYFUNCTION("""COMPUTED_VALUE"""),46013)</f>
        <v>46013</v>
      </c>
      <c r="G1686" s="57">
        <f ca="1">IFERROR(__xludf.DUMMYFUNCTION("""COMPUTED_VALUE"""),45978)</f>
        <v>45978</v>
      </c>
      <c r="H1686" s="33" t="str">
        <f ca="1">IFERROR(__xludf.DUMMYFUNCTION("""COMPUTED_VALUE"""),"Orense")</f>
        <v>Orense</v>
      </c>
      <c r="I1686" s="33" t="str">
        <f ca="1">IFERROR(__xludf.DUMMYFUNCTION("""COMPUTED_VALUE"""),"C202511171184946055")</f>
        <v>C202511171184946055</v>
      </c>
      <c r="J1686" s="33" t="str">
        <f ca="1">IFERROR(__xludf.DUMMYFUNCTION("""COMPUTED_VALUE"""),"MARIA LUISA GARRIDO PRIETO")</f>
        <v>MARIA LUISA GARRIDO PRIETO</v>
      </c>
      <c r="K1686" s="33">
        <f ca="1">IFERROR(__xludf.DUMMYFUNCTION("""COMPUTED_VALUE"""),2)</f>
        <v>2</v>
      </c>
      <c r="L1686" s="203">
        <f ca="1">IFERROR(__xludf.DUMMYFUNCTION("""COMPUTED_VALUE"""),3450)</f>
        <v>3450</v>
      </c>
      <c r="M1686" s="33" t="str">
        <f ca="1">IFERROR(__xludf.DUMMYFUNCTION("""COMPUTED_VALUE"""),"03 ORL")</f>
        <v>03 ORL</v>
      </c>
      <c r="N1686" s="33" t="str">
        <f ca="1">IFERROR(__xludf.DUMMYFUNCTION("""COMPUTED_VALUE"""),"06 ORL")</f>
        <v>06 ORL</v>
      </c>
      <c r="O1686" s="33" t="str">
        <f ca="1">IFERROR(__xludf.DUMMYFUNCTION("""COMPUTED_VALUE"""),"Dra, María Rey Marcos")</f>
        <v>Dra, María Rey Marcos</v>
      </c>
      <c r="P1686" s="33" t="str">
        <f ca="1">IFERROR(__xludf.DUMMYFUNCTION("""COMPUTED_VALUE"""),"Roberto Pereira (Galicia)")</f>
        <v>Roberto Pereira (Galicia)</v>
      </c>
    </row>
    <row r="1687" spans="2:16">
      <c r="B1687" s="33">
        <f ca="1">IFERROR(__xludf.DUMMYFUNCTION("""COMPUTED_VALUE"""),2025)</f>
        <v>2025</v>
      </c>
      <c r="C1687" s="33">
        <f ca="1">IFERROR(__xludf.DUMMYFUNCTION("""COMPUTED_VALUE"""),12)</f>
        <v>12</v>
      </c>
      <c r="D1687" s="33" t="str">
        <f ca="1">IFERROR(__xludf.DUMMYFUNCTION("""COMPUTED_VALUE"""),"NO")</f>
        <v>NO</v>
      </c>
      <c r="E1687" s="33" t="str">
        <f ca="1">IFERROR(__xludf.DUMMYFUNCTION("""COMPUTED_VALUE"""),"Alicante")</f>
        <v>Alicante</v>
      </c>
      <c r="F1687" s="57">
        <f ca="1">IFERROR(__xludf.DUMMYFUNCTION("""COMPUTED_VALUE"""),46013)</f>
        <v>46013</v>
      </c>
      <c r="G1687" s="57">
        <f ca="1">IFERROR(__xludf.DUMMYFUNCTION("""COMPUTED_VALUE"""),45985)</f>
        <v>45985</v>
      </c>
      <c r="H1687" s="33" t="str">
        <f ca="1">IFERROR(__xludf.DUMMYFUNCTION("""COMPUTED_VALUE"""),"Alicante")</f>
        <v>Alicante</v>
      </c>
      <c r="I1687" s="33" t="str">
        <f ca="1">IFERROR(__xludf.DUMMYFUNCTION("""COMPUTED_VALUE"""),"C202511241521418500")</f>
        <v>C202511241521418500</v>
      </c>
      <c r="J1687" s="33" t="str">
        <f ca="1">IFERROR(__xludf.DUMMYFUNCTION("""COMPUTED_VALUE"""),"EMILIO GARCIA SABOSIL")</f>
        <v>EMILIO GARCIA SABOSIL</v>
      </c>
      <c r="K1687" s="33">
        <f ca="1">IFERROR(__xludf.DUMMYFUNCTION("""COMPUTED_VALUE"""),1)</f>
        <v>1</v>
      </c>
      <c r="L1687" s="203">
        <f ca="1">IFERROR(__xludf.DUMMYFUNCTION("""COMPUTED_VALUE"""),1631.82)</f>
        <v>1631.82</v>
      </c>
      <c r="M1687" s="33" t="str">
        <f ca="1">IFERROR(__xludf.DUMMYFUNCTION("""COMPUTED_VALUE"""),"03 ORL")</f>
        <v>03 ORL</v>
      </c>
      <c r="N1687" s="33" t="str">
        <f ca="1">IFERROR(__xludf.DUMMYFUNCTION("""COMPUTED_VALUE"""),"06 ORL")</f>
        <v>06 ORL</v>
      </c>
      <c r="O1687" s="33" t="str">
        <f ca="1">IFERROR(__xludf.DUMMYFUNCTION("""COMPUTED_VALUE"""),"Dr, Guillermo Severá Ferrandiz")</f>
        <v>Dr, Guillermo Severá Ferrandiz</v>
      </c>
      <c r="P1687" s="33" t="str">
        <f ca="1">IFERROR(__xludf.DUMMYFUNCTION("""COMPUTED_VALUE"""),"Iván Sánchez (Levante Y Albacete)")</f>
        <v>Iván Sánchez (Levante Y Albacete)</v>
      </c>
    </row>
    <row r="1688" spans="2:16">
      <c r="B1688" s="33">
        <f ca="1">IFERROR(__xludf.DUMMYFUNCTION("""COMPUTED_VALUE"""),2025)</f>
        <v>2025</v>
      </c>
      <c r="C1688" s="33">
        <f ca="1">IFERROR(__xludf.DUMMYFUNCTION("""COMPUTED_VALUE"""),12)</f>
        <v>12</v>
      </c>
      <c r="D1688" s="33" t="str">
        <f ca="1">IFERROR(__xludf.DUMMYFUNCTION("""COMPUTED_VALUE"""),"NO")</f>
        <v>NO</v>
      </c>
      <c r="E1688" s="33" t="str">
        <f ca="1">IFERROR(__xludf.DUMMYFUNCTION("""COMPUTED_VALUE"""),"Logroño")</f>
        <v>Logroño</v>
      </c>
      <c r="F1688" s="57">
        <f ca="1">IFERROR(__xludf.DUMMYFUNCTION("""COMPUTED_VALUE"""),46013)</f>
        <v>46013</v>
      </c>
      <c r="G1688" s="57">
        <f ca="1">IFERROR(__xludf.DUMMYFUNCTION("""COMPUTED_VALUE"""),45951)</f>
        <v>45951</v>
      </c>
      <c r="H1688" s="33" t="str">
        <f ca="1">IFERROR(__xludf.DUMMYFUNCTION("""COMPUTED_VALUE"""),"Logroño")</f>
        <v>Logroño</v>
      </c>
      <c r="I1688" s="33" t="str">
        <f ca="1">IFERROR(__xludf.DUMMYFUNCTION("""COMPUTED_VALUE"""),"C202510211018174929")</f>
        <v>C202510211018174929</v>
      </c>
      <c r="J1688" s="33" t="str">
        <f ca="1">IFERROR(__xludf.DUMMYFUNCTION("""COMPUTED_VALUE"""),"ENRIQUE OYAGA SERRANO")</f>
        <v>ENRIQUE OYAGA SERRANO</v>
      </c>
      <c r="K1688" s="33">
        <f ca="1">IFERROR(__xludf.DUMMYFUNCTION("""COMPUTED_VALUE"""),2)</f>
        <v>2</v>
      </c>
      <c r="L1688" s="203">
        <f ca="1">IFERROR(__xludf.DUMMYFUNCTION("""COMPUTED_VALUE"""),3631.82)</f>
        <v>3631.82</v>
      </c>
      <c r="M1688" s="33" t="str">
        <f ca="1">IFERROR(__xludf.DUMMYFUNCTION("""COMPUTED_VALUE"""),"03 ORL")</f>
        <v>03 ORL</v>
      </c>
      <c r="N1688" s="33" t="str">
        <f ca="1">IFERROR(__xludf.DUMMYFUNCTION("""COMPUTED_VALUE"""),"06 ORL")</f>
        <v>06 ORL</v>
      </c>
      <c r="O1688" s="33" t="str">
        <f ca="1">IFERROR(__xludf.DUMMYFUNCTION("""COMPUTED_VALUE"""),"Dr, Garikoitz Calzada Uriondo")</f>
        <v>Dr, Garikoitz Calzada Uriondo</v>
      </c>
      <c r="P1688" s="33" t="str">
        <f ca="1">IFERROR(__xludf.DUMMYFUNCTION("""COMPUTED_VALUE"""),"Lisandro Russian (Madrid, Cáceres, Toledo, Talavera Y Logroño)")</f>
        <v>Lisandro Russian (Madrid, Cáceres, Toledo, Talavera Y Logroño)</v>
      </c>
    </row>
    <row r="1689" spans="2:16">
      <c r="B1689" s="33">
        <f ca="1">IFERROR(__xludf.DUMMYFUNCTION("""COMPUTED_VALUE"""),2025)</f>
        <v>2025</v>
      </c>
      <c r="C1689" s="33">
        <f ca="1">IFERROR(__xludf.DUMMYFUNCTION("""COMPUTED_VALUE"""),12)</f>
        <v>12</v>
      </c>
      <c r="D1689" s="33" t="str">
        <f ca="1">IFERROR(__xludf.DUMMYFUNCTION("""COMPUTED_VALUE"""),"NO")</f>
        <v>NO</v>
      </c>
      <c r="E1689" s="33" t="str">
        <f ca="1">IFERROR(__xludf.DUMMYFUNCTION("""COMPUTED_VALUE"""),"Murcia")</f>
        <v>Murcia</v>
      </c>
      <c r="F1689" s="57">
        <f ca="1">IFERROR(__xludf.DUMMYFUNCTION("""COMPUTED_VALUE"""),46013)</f>
        <v>46013</v>
      </c>
      <c r="G1689" s="57">
        <f ca="1">IFERROR(__xludf.DUMMYFUNCTION("""COMPUTED_VALUE"""),45966)</f>
        <v>45966</v>
      </c>
      <c r="H1689" s="33" t="str">
        <f ca="1">IFERROR(__xludf.DUMMYFUNCTION("""COMPUTED_VALUE"""),"Murcia")</f>
        <v>Murcia</v>
      </c>
      <c r="I1689" s="33" t="str">
        <f ca="1">IFERROR(__xludf.DUMMYFUNCTION("""COMPUTED_VALUE"""),"C202511517254180811")</f>
        <v>C202511517254180811</v>
      </c>
      <c r="J1689" s="33" t="str">
        <f ca="1">IFERROR(__xludf.DUMMYFUNCTION("""COMPUTED_VALUE"""),"JOSEFA HERRERO ORTIGOSA")</f>
        <v>JOSEFA HERRERO ORTIGOSA</v>
      </c>
      <c r="K1689" s="33">
        <f ca="1">IFERROR(__xludf.DUMMYFUNCTION("""COMPUTED_VALUE"""),1)</f>
        <v>1</v>
      </c>
      <c r="L1689" s="203">
        <f ca="1">IFERROR(__xludf.DUMMYFUNCTION("""COMPUTED_VALUE"""),1983.64)</f>
        <v>1983.64</v>
      </c>
      <c r="M1689" s="33" t="str">
        <f ca="1">IFERROR(__xludf.DUMMYFUNCTION("""COMPUTED_VALUE"""),"03 ORL")</f>
        <v>03 ORL</v>
      </c>
      <c r="N1689" s="33" t="str">
        <f ca="1">IFERROR(__xludf.DUMMYFUNCTION("""COMPUTED_VALUE"""),"06 ORL")</f>
        <v>06 ORL</v>
      </c>
      <c r="O1689" s="33" t="str">
        <f ca="1">IFERROR(__xludf.DUMMYFUNCTION("""COMPUTED_VALUE"""),"Dr, Alejandro Harguindey Antoli-Candela")</f>
        <v>Dr, Alejandro Harguindey Antoli-Candela</v>
      </c>
      <c r="P1689" s="33" t="str">
        <f ca="1">IFERROR(__xludf.DUMMYFUNCTION("""COMPUTED_VALUE"""),"Maika Blázquez (Madrid)")</f>
        <v>Maika Blázquez (Madrid)</v>
      </c>
    </row>
    <row r="1690" spans="2:16">
      <c r="B1690" s="33">
        <f ca="1">IFERROR(__xludf.DUMMYFUNCTION("""COMPUTED_VALUE"""),2025)</f>
        <v>2025</v>
      </c>
      <c r="C1690" s="33">
        <f ca="1">IFERROR(__xludf.DUMMYFUNCTION("""COMPUTED_VALUE"""),12)</f>
        <v>12</v>
      </c>
      <c r="D1690" s="33" t="str">
        <f ca="1">IFERROR(__xludf.DUMMYFUNCTION("""COMPUTED_VALUE"""),"NO")</f>
        <v>NO</v>
      </c>
      <c r="E1690" s="33" t="str">
        <f ca="1">IFERROR(__xludf.DUMMYFUNCTION("""COMPUTED_VALUE"""),"Salamanca")</f>
        <v>Salamanca</v>
      </c>
      <c r="F1690" s="57">
        <f ca="1">IFERROR(__xludf.DUMMYFUNCTION("""COMPUTED_VALUE"""),46013)</f>
        <v>46013</v>
      </c>
      <c r="G1690" s="57">
        <f ca="1">IFERROR(__xludf.DUMMYFUNCTION("""COMPUTED_VALUE"""),45975)</f>
        <v>45975</v>
      </c>
      <c r="H1690" s="33" t="str">
        <f ca="1">IFERROR(__xludf.DUMMYFUNCTION("""COMPUTED_VALUE"""),"Salamanca")</f>
        <v>Salamanca</v>
      </c>
      <c r="I1690" s="33" t="str">
        <f ca="1">IFERROR(__xludf.DUMMYFUNCTION("""COMPUTED_VALUE"""),"SLM-659")</f>
        <v>SLM-659</v>
      </c>
      <c r="J1690" s="33" t="str">
        <f ca="1">IFERROR(__xludf.DUMMYFUNCTION("""COMPUTED_VALUE"""),"MARIA DE LOS ANGELES AMIGO ROMERO")</f>
        <v>MARIA DE LOS ANGELES AMIGO ROMERO</v>
      </c>
      <c r="K1690" s="33">
        <f ca="1">IFERROR(__xludf.DUMMYFUNCTION("""COMPUTED_VALUE"""),2)</f>
        <v>2</v>
      </c>
      <c r="L1690" s="203">
        <f ca="1">IFERROR(__xludf.DUMMYFUNCTION("""COMPUTED_VALUE"""),2974.55)</f>
        <v>2974.55</v>
      </c>
      <c r="M1690" s="33" t="str">
        <f ca="1">IFERROR(__xludf.DUMMYFUNCTION("""COMPUTED_VALUE"""),"01 MARKETING ON LINE")</f>
        <v>01 MARKETING ON LINE</v>
      </c>
      <c r="N1690" s="33" t="str">
        <f ca="1">IFERROR(__xludf.DUMMYFUNCTION("""COMPUTED_VALUE"""),"01 WEB AUDICOST")</f>
        <v>01 WEB AUDICOST</v>
      </c>
      <c r="O1690" s="33" t="str">
        <f ca="1">IFERROR(__xludf.DUMMYFUNCTION("""COMPUTED_VALUE"""),"WEB RAQUEL GARCÍA")</f>
        <v>WEB RAQUEL GARCÍA</v>
      </c>
      <c r="P1690" s="33"/>
    </row>
    <row r="1691" spans="2:16">
      <c r="B1691" s="33">
        <f ca="1">IFERROR(__xludf.DUMMYFUNCTION("""COMPUTED_VALUE"""),2025)</f>
        <v>2025</v>
      </c>
      <c r="C1691" s="33">
        <f ca="1">IFERROR(__xludf.DUMMYFUNCTION("""COMPUTED_VALUE"""),12)</f>
        <v>12</v>
      </c>
      <c r="D1691" s="33" t="str">
        <f ca="1">IFERROR(__xludf.DUMMYFUNCTION("""COMPUTED_VALUE"""),"NO")</f>
        <v>NO</v>
      </c>
      <c r="E1691" s="33" t="str">
        <f ca="1">IFERROR(__xludf.DUMMYFUNCTION("""COMPUTED_VALUE"""),"León")</f>
        <v>León</v>
      </c>
      <c r="F1691" s="57">
        <f ca="1">IFERROR(__xludf.DUMMYFUNCTION("""COMPUTED_VALUE"""),46014)</f>
        <v>46014</v>
      </c>
      <c r="G1691" s="57">
        <f ca="1">IFERROR(__xludf.DUMMYFUNCTION("""COMPUTED_VALUE"""),46014)</f>
        <v>46014</v>
      </c>
      <c r="H1691" s="33" t="str">
        <f ca="1">IFERROR(__xludf.DUMMYFUNCTION("""COMPUTED_VALUE"""),"León")</f>
        <v>León</v>
      </c>
      <c r="I1691" s="33" t="str">
        <f ca="1">IFERROR(__xludf.DUMMYFUNCTION("""COMPUTED_VALUE"""),"LEO-597")</f>
        <v>LEO-597</v>
      </c>
      <c r="J1691" s="33" t="str">
        <f ca="1">IFERROR(__xludf.DUMMYFUNCTION("""COMPUTED_VALUE"""),"JOSEFA GORGOJO BORBUJO")</f>
        <v>JOSEFA GORGOJO BORBUJO</v>
      </c>
      <c r="K1691" s="33">
        <f ca="1">IFERROR(__xludf.DUMMYFUNCTION("""COMPUTED_VALUE"""),2)</f>
        <v>2</v>
      </c>
      <c r="L1691" s="203">
        <f ca="1">IFERROR(__xludf.DUMMYFUNCTION("""COMPUTED_VALUE"""),4090.91)</f>
        <v>4090.91</v>
      </c>
      <c r="M1691" s="33" t="str">
        <f ca="1">IFERROR(__xludf.DUMMYFUNCTION("""COMPUTED_VALUE"""),"03 ORL")</f>
        <v>03 ORL</v>
      </c>
      <c r="N1691" s="33" t="str">
        <f ca="1">IFERROR(__xludf.DUMMYFUNCTION("""COMPUTED_VALUE"""),"06 ORL")</f>
        <v>06 ORL</v>
      </c>
      <c r="O1691" s="33" t="str">
        <f ca="1">IFERROR(__xludf.DUMMYFUNCTION("""COMPUTED_VALUE"""),"No Recuerda Orl")</f>
        <v>No Recuerda Orl</v>
      </c>
      <c r="P1691" s="33" t="str">
        <f ca="1">IFERROR(__xludf.DUMMYFUNCTION("""COMPUTED_VALUE"""),"Alberto Moreno (Madrid)")</f>
        <v>Alberto Moreno (Madrid)</v>
      </c>
    </row>
    <row r="1692" spans="2:16">
      <c r="B1692" s="33">
        <f ca="1">IFERROR(__xludf.DUMMYFUNCTION("""COMPUTED_VALUE"""),2025)</f>
        <v>2025</v>
      </c>
      <c r="C1692" s="33">
        <f ca="1">IFERROR(__xludf.DUMMYFUNCTION("""COMPUTED_VALUE"""),12)</f>
        <v>12</v>
      </c>
      <c r="D1692" s="33" t="str">
        <f ca="1">IFERROR(__xludf.DUMMYFUNCTION("""COMPUTED_VALUE"""),"NO")</f>
        <v>NO</v>
      </c>
      <c r="E1692" s="33" t="str">
        <f ca="1">IFERROR(__xludf.DUMMYFUNCTION("""COMPUTED_VALUE"""),"Jerez de la Frontera")</f>
        <v>Jerez de la Frontera</v>
      </c>
      <c r="F1692" s="57">
        <f ca="1">IFERROR(__xludf.DUMMYFUNCTION("""COMPUTED_VALUE"""),46014)</f>
        <v>46014</v>
      </c>
      <c r="G1692" s="57">
        <f ca="1">IFERROR(__xludf.DUMMYFUNCTION("""COMPUTED_VALUE"""),45992)</f>
        <v>45992</v>
      </c>
      <c r="H1692" s="33" t="str">
        <f ca="1">IFERROR(__xludf.DUMMYFUNCTION("""COMPUTED_VALUE"""),"Jerez")</f>
        <v>Jerez</v>
      </c>
      <c r="I1692" s="33" t="str">
        <f ca="1">IFERROR(__xludf.DUMMYFUNCTION("""COMPUTED_VALUE"""),"C202512116342917389")</f>
        <v>C202512116342917389</v>
      </c>
      <c r="J1692" s="33" t="str">
        <f ca="1">IFERROR(__xludf.DUMMYFUNCTION("""COMPUTED_VALUE"""),"JUAN MIGUEL  MORALES FRANCO")</f>
        <v>JUAN MIGUEL  MORALES FRANCO</v>
      </c>
      <c r="K1692" s="33">
        <f ca="1">IFERROR(__xludf.DUMMYFUNCTION("""COMPUTED_VALUE"""),2)</f>
        <v>2</v>
      </c>
      <c r="L1692" s="203">
        <f ca="1">IFERROR(__xludf.DUMMYFUNCTION("""COMPUTED_VALUE"""),2718.18)</f>
        <v>2718.18</v>
      </c>
      <c r="M1692" s="33" t="str">
        <f ca="1">IFERROR(__xludf.DUMMYFUNCTION("""COMPUTED_VALUE"""),"03 ORL")</f>
        <v>03 ORL</v>
      </c>
      <c r="N1692" s="33" t="str">
        <f ca="1">IFERROR(__xludf.DUMMYFUNCTION("""COMPUTED_VALUE"""),"06 ORL")</f>
        <v>06 ORL</v>
      </c>
      <c r="O1692" s="33" t="str">
        <f ca="1">IFERROR(__xludf.DUMMYFUNCTION("""COMPUTED_VALUE"""),"Dr, Guillermo Sierra Galera")</f>
        <v>Dr, Guillermo Sierra Galera</v>
      </c>
      <c r="P1692" s="33" t="str">
        <f ca="1">IFERROR(__xludf.DUMMYFUNCTION("""COMPUTED_VALUE"""),"Luis Alberto Rodríguez (Andalucía y Badajoz)")</f>
        <v>Luis Alberto Rodríguez (Andalucía y Badajoz)</v>
      </c>
    </row>
    <row r="1693" spans="2:16">
      <c r="B1693" s="33">
        <f ca="1">IFERROR(__xludf.DUMMYFUNCTION("""COMPUTED_VALUE"""),2025)</f>
        <v>2025</v>
      </c>
      <c r="C1693" s="33">
        <f ca="1">IFERROR(__xludf.DUMMYFUNCTION("""COMPUTED_VALUE"""),12)</f>
        <v>12</v>
      </c>
      <c r="D1693" s="33" t="str">
        <f ca="1">IFERROR(__xludf.DUMMYFUNCTION("""COMPUTED_VALUE"""),"NO")</f>
        <v>NO</v>
      </c>
      <c r="E1693" s="33" t="str">
        <f ca="1">IFERROR(__xludf.DUMMYFUNCTION("""COMPUTED_VALUE"""),"Alicante")</f>
        <v>Alicante</v>
      </c>
      <c r="F1693" s="57">
        <f ca="1">IFERROR(__xludf.DUMMYFUNCTION("""COMPUTED_VALUE"""),46014)</f>
        <v>46014</v>
      </c>
      <c r="G1693" s="57">
        <f ca="1">IFERROR(__xludf.DUMMYFUNCTION("""COMPUTED_VALUE"""),45979)</f>
        <v>45979</v>
      </c>
      <c r="H1693" s="33" t="str">
        <f ca="1">IFERROR(__xludf.DUMMYFUNCTION("""COMPUTED_VALUE"""),"Alicante")</f>
        <v>Alicante</v>
      </c>
      <c r="I1693" s="33" t="str">
        <f ca="1">IFERROR(__xludf.DUMMYFUNCTION("""COMPUTED_VALUE"""),"C202511181130106575")</f>
        <v>C202511181130106575</v>
      </c>
      <c r="J1693" s="33" t="str">
        <f ca="1">IFERROR(__xludf.DUMMYFUNCTION("""COMPUTED_VALUE"""),"YAIR RODRIGUEZ YANCI")</f>
        <v>YAIR RODRIGUEZ YANCI</v>
      </c>
      <c r="K1693" s="33">
        <f ca="1">IFERROR(__xludf.DUMMYFUNCTION("""COMPUTED_VALUE"""),2)</f>
        <v>2</v>
      </c>
      <c r="L1693" s="203">
        <f ca="1">IFERROR(__xludf.DUMMYFUNCTION("""COMPUTED_VALUE"""),4000.91)</f>
        <v>4000.91</v>
      </c>
      <c r="M1693" s="33" t="str">
        <f ca="1">IFERROR(__xludf.DUMMYFUNCTION("""COMPUTED_VALUE"""),"03 ORL")</f>
        <v>03 ORL</v>
      </c>
      <c r="N1693" s="33" t="str">
        <f ca="1">IFERROR(__xludf.DUMMYFUNCTION("""COMPUTED_VALUE"""),"06 ORL")</f>
        <v>06 ORL</v>
      </c>
      <c r="O1693" s="33" t="str">
        <f ca="1">IFERROR(__xludf.DUMMYFUNCTION("""COMPUTED_VALUE"""),"Dra, Maria Rosario Ferrandiz García")</f>
        <v>Dra, Maria Rosario Ferrandiz García</v>
      </c>
      <c r="P1693" s="33" t="str">
        <f ca="1">IFERROR(__xludf.DUMMYFUNCTION("""COMPUTED_VALUE"""),"Iván Sánchez (Levante Y Albacete)")</f>
        <v>Iván Sánchez (Levante Y Albacete)</v>
      </c>
    </row>
    <row r="1694" spans="2:16">
      <c r="B1694" s="33">
        <f ca="1">IFERROR(__xludf.DUMMYFUNCTION("""COMPUTED_VALUE"""),2025)</f>
        <v>2025</v>
      </c>
      <c r="C1694" s="33">
        <f ca="1">IFERROR(__xludf.DUMMYFUNCTION("""COMPUTED_VALUE"""),12)</f>
        <v>12</v>
      </c>
      <c r="D1694" s="33" t="str">
        <f ca="1">IFERROR(__xludf.DUMMYFUNCTION("""COMPUTED_VALUE"""),"NO")</f>
        <v>NO</v>
      </c>
      <c r="E1694" s="33" t="str">
        <f ca="1">IFERROR(__xludf.DUMMYFUNCTION("""COMPUTED_VALUE"""),"Ponferrada")</f>
        <v>Ponferrada</v>
      </c>
      <c r="F1694" s="57">
        <f ca="1">IFERROR(__xludf.DUMMYFUNCTION("""COMPUTED_VALUE"""),46014)</f>
        <v>46014</v>
      </c>
      <c r="G1694" s="57">
        <f ca="1">IFERROR(__xludf.DUMMYFUNCTION("""COMPUTED_VALUE"""),45873)</f>
        <v>45873</v>
      </c>
      <c r="H1694" s="33" t="str">
        <f ca="1">IFERROR(__xludf.DUMMYFUNCTION("""COMPUTED_VALUE"""),"Ponferrada")</f>
        <v>Ponferrada</v>
      </c>
      <c r="I1694" s="33" t="str">
        <f ca="1">IFERROR(__xludf.DUMMYFUNCTION("""COMPUTED_VALUE"""),"PON-962")</f>
        <v>PON-962</v>
      </c>
      <c r="J1694" s="33" t="str">
        <f ca="1">IFERROR(__xludf.DUMMYFUNCTION("""COMPUTED_VALUE"""),"ELENA BELLO RAMOS")</f>
        <v>ELENA BELLO RAMOS</v>
      </c>
      <c r="K1694" s="33">
        <f ca="1">IFERROR(__xludf.DUMMYFUNCTION("""COMPUTED_VALUE"""),2)</f>
        <v>2</v>
      </c>
      <c r="L1694" s="203">
        <f ca="1">IFERROR(__xludf.DUMMYFUNCTION("""COMPUTED_VALUE"""),1923.08)</f>
        <v>1923.08</v>
      </c>
      <c r="M1694" s="33" t="str">
        <f ca="1">IFERROR(__xludf.DUMMYFUNCTION("""COMPUTED_VALUE"""),"03 ORL")</f>
        <v>03 ORL</v>
      </c>
      <c r="N1694" s="33" t="str">
        <f ca="1">IFERROR(__xludf.DUMMYFUNCTION("""COMPUTED_VALUE"""),"06 ORL")</f>
        <v>06 ORL</v>
      </c>
      <c r="O1694" s="33" t="str">
        <f ca="1">IFERROR(__xludf.DUMMYFUNCTION("""COMPUTED_VALUE"""),"No recuerda ORL")</f>
        <v>No recuerda ORL</v>
      </c>
      <c r="P1694" s="33" t="str">
        <f ca="1">IFERROR(__xludf.DUMMYFUNCTION("""COMPUTED_VALUE"""),"Alberto Moreno (Madrid)")</f>
        <v>Alberto Moreno (Madrid)</v>
      </c>
    </row>
    <row r="1695" spans="2:16">
      <c r="B1695" s="33">
        <f ca="1">IFERROR(__xludf.DUMMYFUNCTION("""COMPUTED_VALUE"""),2025)</f>
        <v>2025</v>
      </c>
      <c r="C1695" s="33">
        <f ca="1">IFERROR(__xludf.DUMMYFUNCTION("""COMPUTED_VALUE"""),12)</f>
        <v>12</v>
      </c>
      <c r="D1695" s="33" t="str">
        <f ca="1">IFERROR(__xludf.DUMMYFUNCTION("""COMPUTED_VALUE"""),"NO")</f>
        <v>NO</v>
      </c>
      <c r="E1695" s="33" t="str">
        <f ca="1">IFERROR(__xludf.DUMMYFUNCTION("""COMPUTED_VALUE"""),"Madrid- Moratalaz")</f>
        <v>Madrid- Moratalaz</v>
      </c>
      <c r="F1695" s="57">
        <f ca="1">IFERROR(__xludf.DUMMYFUNCTION("""COMPUTED_VALUE"""),46014)</f>
        <v>46014</v>
      </c>
      <c r="G1695" s="57">
        <f ca="1">IFERROR(__xludf.DUMMYFUNCTION("""COMPUTED_VALUE"""),45992)</f>
        <v>45992</v>
      </c>
      <c r="H1695" s="33" t="str">
        <f ca="1">IFERROR(__xludf.DUMMYFUNCTION("""COMPUTED_VALUE"""),"Moratalaz")</f>
        <v>Moratalaz</v>
      </c>
      <c r="I1695" s="33" t="str">
        <f ca="1">IFERROR(__xludf.DUMMYFUNCTION("""COMPUTED_VALUE"""),"C202512111279187347")</f>
        <v>C202512111279187347</v>
      </c>
      <c r="J1695" s="33" t="str">
        <f ca="1">IFERROR(__xludf.DUMMYFUNCTION("""COMPUTED_VALUE"""),"CARLOS HUMBERTO CALDERON JAVE")</f>
        <v>CARLOS HUMBERTO CALDERON JAVE</v>
      </c>
      <c r="K1695" s="33">
        <f ca="1">IFERROR(__xludf.DUMMYFUNCTION("""COMPUTED_VALUE"""),1)</f>
        <v>1</v>
      </c>
      <c r="L1695" s="203">
        <f ca="1">IFERROR(__xludf.DUMMYFUNCTION("""COMPUTED_VALUE"""),2722.73)</f>
        <v>2722.73</v>
      </c>
      <c r="M1695" s="33" t="str">
        <f ca="1">IFERROR(__xludf.DUMMYFUNCTION("""COMPUTED_VALUE"""),"03 ORL")</f>
        <v>03 ORL</v>
      </c>
      <c r="N1695" s="33" t="str">
        <f ca="1">IFERROR(__xludf.DUMMYFUNCTION("""COMPUTED_VALUE"""),"06 ORL")</f>
        <v>06 ORL</v>
      </c>
      <c r="O1695" s="33" t="str">
        <f ca="1">IFERROR(__xludf.DUMMYFUNCTION("""COMPUTED_VALUE"""),"Dr, Ignacio Aristegui Torrano")</f>
        <v>Dr, Ignacio Aristegui Torrano</v>
      </c>
      <c r="P1695" s="33" t="str">
        <f ca="1">IFERROR(__xludf.DUMMYFUNCTION("""COMPUTED_VALUE"""),"Maika Blázquez (Madrid)")</f>
        <v>Maika Blázquez (Madrid)</v>
      </c>
    </row>
    <row r="1696" spans="2:16">
      <c r="B1696" s="33">
        <f ca="1">IFERROR(__xludf.DUMMYFUNCTION("""COMPUTED_VALUE"""),2025)</f>
        <v>2025</v>
      </c>
      <c r="C1696" s="33">
        <f ca="1">IFERROR(__xludf.DUMMYFUNCTION("""COMPUTED_VALUE"""),12)</f>
        <v>12</v>
      </c>
      <c r="D1696" s="33" t="str">
        <f ca="1">IFERROR(__xludf.DUMMYFUNCTION("""COMPUTED_VALUE"""),"NO")</f>
        <v>NO</v>
      </c>
      <c r="E1696" s="33" t="str">
        <f ca="1">IFERROR(__xludf.DUMMYFUNCTION("""COMPUTED_VALUE"""),"Albacete")</f>
        <v>Albacete</v>
      </c>
      <c r="F1696" s="57">
        <f ca="1">IFERROR(__xludf.DUMMYFUNCTION("""COMPUTED_VALUE"""),46014)</f>
        <v>46014</v>
      </c>
      <c r="G1696" s="57">
        <f ca="1">IFERROR(__xludf.DUMMYFUNCTION("""COMPUTED_VALUE"""),45980)</f>
        <v>45980</v>
      </c>
      <c r="H1696" s="33" t="str">
        <f ca="1">IFERROR(__xludf.DUMMYFUNCTION("""COMPUTED_VALUE"""),"Albacete")</f>
        <v>Albacete</v>
      </c>
      <c r="I1696" s="33" t="str">
        <f ca="1">IFERROR(__xludf.DUMMYFUNCTION("""COMPUTED_VALUE"""),"C202511191128215519")</f>
        <v>C202511191128215519</v>
      </c>
      <c r="J1696" s="33" t="str">
        <f ca="1">IFERROR(__xludf.DUMMYFUNCTION("""COMPUTED_VALUE"""),"ANTONIO PUERTA BERNAD")</f>
        <v>ANTONIO PUERTA BERNAD</v>
      </c>
      <c r="K1696" s="33">
        <f ca="1">IFERROR(__xludf.DUMMYFUNCTION("""COMPUTED_VALUE"""),2)</f>
        <v>2</v>
      </c>
      <c r="L1696" s="203">
        <f ca="1">IFERROR(__xludf.DUMMYFUNCTION("""COMPUTED_VALUE"""),3631.82)</f>
        <v>3631.82</v>
      </c>
      <c r="M1696" s="33" t="str">
        <f ca="1">IFERROR(__xludf.DUMMYFUNCTION("""COMPUTED_VALUE"""),"04 TIENDA")</f>
        <v>04 TIENDA</v>
      </c>
      <c r="N1696" s="33" t="str">
        <f ca="1">IFERROR(__xludf.DUMMYFUNCTION("""COMPUTED_VALUE"""),"07 BOCA/BOCA")</f>
        <v>07 BOCA/BOCA</v>
      </c>
      <c r="O1696" s="33" t="str">
        <f ca="1">IFERROR(__xludf.DUMMYFUNCTION("""COMPUTED_VALUE"""),"Dra, Alejandra Jara Maquilón")</f>
        <v>Dra, Alejandra Jara Maquilón</v>
      </c>
      <c r="P1696" s="33" t="str">
        <f ca="1">IFERROR(__xludf.DUMMYFUNCTION("""COMPUTED_VALUE"""),"Iván Sánchez (Levante Y Albacete)")</f>
        <v>Iván Sánchez (Levante Y Albacete)</v>
      </c>
    </row>
    <row r="1697" spans="2:16">
      <c r="B1697" s="33">
        <f ca="1">IFERROR(__xludf.DUMMYFUNCTION("""COMPUTED_VALUE"""),2025)</f>
        <v>2025</v>
      </c>
      <c r="C1697" s="33">
        <f ca="1">IFERROR(__xludf.DUMMYFUNCTION("""COMPUTED_VALUE"""),12)</f>
        <v>12</v>
      </c>
      <c r="D1697" s="33" t="str">
        <f ca="1">IFERROR(__xludf.DUMMYFUNCTION("""COMPUTED_VALUE"""),"SI")</f>
        <v>SI</v>
      </c>
      <c r="E1697" s="33" t="str">
        <f ca="1">IFERROR(__xludf.DUMMYFUNCTION("""COMPUTED_VALUE"""),"Logroño")</f>
        <v>Logroño</v>
      </c>
      <c r="F1697" s="57">
        <f ca="1">IFERROR(__xludf.DUMMYFUNCTION("""COMPUTED_VALUE"""),46014)</f>
        <v>46014</v>
      </c>
      <c r="G1697" s="57">
        <f ca="1">IFERROR(__xludf.DUMMYFUNCTION("""COMPUTED_VALUE"""),45978)</f>
        <v>45978</v>
      </c>
      <c r="H1697" s="33" t="str">
        <f ca="1">IFERROR(__xludf.DUMMYFUNCTION("""COMPUTED_VALUE"""),"Logroño")</f>
        <v>Logroño</v>
      </c>
      <c r="I1697" s="33" t="str">
        <f ca="1">IFERROR(__xludf.DUMMYFUNCTION("""COMPUTED_VALUE"""),"C202511171085228584")</f>
        <v>C202511171085228584</v>
      </c>
      <c r="J1697" s="33" t="str">
        <f ca="1">IFERROR(__xludf.DUMMYFUNCTION("""COMPUTED_VALUE"""),"ANGELA VAL AUSEJO")</f>
        <v>ANGELA VAL AUSEJO</v>
      </c>
      <c r="K1697" s="33">
        <f ca="1">IFERROR(__xludf.DUMMYFUNCTION("""COMPUTED_VALUE"""),2)</f>
        <v>2</v>
      </c>
      <c r="L1697" s="203">
        <f ca="1">IFERROR(__xludf.DUMMYFUNCTION("""COMPUTED_VALUE"""),4309.55)</f>
        <v>4309.55</v>
      </c>
      <c r="M1697" s="33" t="str">
        <f ca="1">IFERROR(__xludf.DUMMYFUNCTION("""COMPUTED_VALUE"""),"03 ORL")</f>
        <v>03 ORL</v>
      </c>
      <c r="N1697" s="33" t="str">
        <f ca="1">IFERROR(__xludf.DUMMYFUNCTION("""COMPUTED_VALUE"""),"06 ORL")</f>
        <v>06 ORL</v>
      </c>
      <c r="O1697" s="33" t="str">
        <f ca="1">IFERROR(__xludf.DUMMYFUNCTION("""COMPUTED_VALUE"""),"Dr, Fernando Salazar Barcelona")</f>
        <v>Dr, Fernando Salazar Barcelona</v>
      </c>
      <c r="P1697" s="33" t="str">
        <f ca="1">IFERROR(__xludf.DUMMYFUNCTION("""COMPUTED_VALUE"""),"Lisandro Russian (Madrid, Cáceres, Toledo, Talavera Y Logroño)")</f>
        <v>Lisandro Russian (Madrid, Cáceres, Toledo, Talavera Y Logroño)</v>
      </c>
    </row>
    <row r="1698" spans="2:16">
      <c r="B1698" s="33">
        <f ca="1">IFERROR(__xludf.DUMMYFUNCTION("""COMPUTED_VALUE"""),2025)</f>
        <v>2025</v>
      </c>
      <c r="C1698" s="33">
        <f ca="1">IFERROR(__xludf.DUMMYFUNCTION("""COMPUTED_VALUE"""),12)</f>
        <v>12</v>
      </c>
      <c r="D1698" s="33" t="str">
        <f ca="1">IFERROR(__xludf.DUMMYFUNCTION("""COMPUTED_VALUE"""),"NO")</f>
        <v>NO</v>
      </c>
      <c r="E1698" s="33" t="str">
        <f ca="1">IFERROR(__xludf.DUMMYFUNCTION("""COMPUTED_VALUE"""),"Ponferrada")</f>
        <v>Ponferrada</v>
      </c>
      <c r="F1698" s="57">
        <f ca="1">IFERROR(__xludf.DUMMYFUNCTION("""COMPUTED_VALUE"""),46014)</f>
        <v>46014</v>
      </c>
      <c r="G1698" s="57">
        <f ca="1">IFERROR(__xludf.DUMMYFUNCTION("""COMPUTED_VALUE"""),45902)</f>
        <v>45902</v>
      </c>
      <c r="H1698" s="33" t="str">
        <f ca="1">IFERROR(__xludf.DUMMYFUNCTION("""COMPUTED_VALUE"""),"Ponferrada")</f>
        <v>Ponferrada</v>
      </c>
      <c r="I1698" s="33" t="str">
        <f ca="1">IFERROR(__xludf.DUMMYFUNCTION("""COMPUTED_VALUE"""),"PON-978")</f>
        <v>PON-978</v>
      </c>
      <c r="J1698" s="33" t="str">
        <f ca="1">IFERROR(__xludf.DUMMYFUNCTION("""COMPUTED_VALUE"""),"JUAN NORBERTO REIMONDEZ DIAZ QUIJANO")</f>
        <v>JUAN NORBERTO REIMONDEZ DIAZ QUIJANO</v>
      </c>
      <c r="K1698" s="33">
        <f ca="1">IFERROR(__xludf.DUMMYFUNCTION("""COMPUTED_VALUE"""),2)</f>
        <v>2</v>
      </c>
      <c r="L1698" s="203">
        <f ca="1">IFERROR(__xludf.DUMMYFUNCTION("""COMPUTED_VALUE"""),3545.45)</f>
        <v>3545.45</v>
      </c>
      <c r="M1698" s="33" t="str">
        <f ca="1">IFERROR(__xludf.DUMMYFUNCTION("""COMPUTED_VALUE"""),"03 ORL")</f>
        <v>03 ORL</v>
      </c>
      <c r="N1698" s="33" t="str">
        <f ca="1">IFERROR(__xludf.DUMMYFUNCTION("""COMPUTED_VALUE"""),"06 ORL")</f>
        <v>06 ORL</v>
      </c>
      <c r="O1698" s="33" t="str">
        <f ca="1">IFERROR(__xludf.DUMMYFUNCTION("""COMPUTED_VALUE"""),"Dra, Mónica Granda Rosales")</f>
        <v>Dra, Mónica Granda Rosales</v>
      </c>
      <c r="P1698" s="33" t="str">
        <f ca="1">IFERROR(__xludf.DUMMYFUNCTION("""COMPUTED_VALUE"""),"Alberto Moreno (Madrid)")</f>
        <v>Alberto Moreno (Madrid)</v>
      </c>
    </row>
    <row r="1699" spans="2:16">
      <c r="B1699" s="33">
        <f ca="1">IFERROR(__xludf.DUMMYFUNCTION("""COMPUTED_VALUE"""),2025)</f>
        <v>2025</v>
      </c>
      <c r="C1699" s="33">
        <f ca="1">IFERROR(__xludf.DUMMYFUNCTION("""COMPUTED_VALUE"""),12)</f>
        <v>12</v>
      </c>
      <c r="D1699" s="33" t="str">
        <f ca="1">IFERROR(__xludf.DUMMYFUNCTION("""COMPUTED_VALUE"""),"NO")</f>
        <v>NO</v>
      </c>
      <c r="E1699" s="33" t="str">
        <f ca="1">IFERROR(__xludf.DUMMYFUNCTION("""COMPUTED_VALUE"""),"Getafe")</f>
        <v>Getafe</v>
      </c>
      <c r="F1699" s="57">
        <f ca="1">IFERROR(__xludf.DUMMYFUNCTION("""COMPUTED_VALUE"""),46014)</f>
        <v>46014</v>
      </c>
      <c r="G1699" s="57">
        <f ca="1">IFERROR(__xludf.DUMMYFUNCTION("""COMPUTED_VALUE"""),45947)</f>
        <v>45947</v>
      </c>
      <c r="H1699" s="33" t="str">
        <f ca="1">IFERROR(__xludf.DUMMYFUNCTION("""COMPUTED_VALUE"""),"Getafe")</f>
        <v>Getafe</v>
      </c>
      <c r="I1699" s="33" t="str">
        <f ca="1">IFERROR(__xludf.DUMMYFUNCTION("""COMPUTED_VALUE"""),"C202510178333038599")</f>
        <v>C202510178333038599</v>
      </c>
      <c r="J1699" s="33" t="str">
        <f ca="1">IFERROR(__xludf.DUMMYFUNCTION("""COMPUTED_VALUE"""),"PETRA PÉREZ VAQUERO")</f>
        <v>PETRA PÉREZ VAQUERO</v>
      </c>
      <c r="K1699" s="33">
        <f ca="1">IFERROR(__xludf.DUMMYFUNCTION("""COMPUTED_VALUE"""),2)</f>
        <v>2</v>
      </c>
      <c r="L1699" s="203">
        <f ca="1">IFERROR(__xludf.DUMMYFUNCTION("""COMPUTED_VALUE"""),2718.18)</f>
        <v>2718.18</v>
      </c>
      <c r="M1699" s="33" t="str">
        <f ca="1">IFERROR(__xludf.DUMMYFUNCTION("""COMPUTED_VALUE"""),"03 ORL")</f>
        <v>03 ORL</v>
      </c>
      <c r="N1699" s="33" t="str">
        <f ca="1">IFERROR(__xludf.DUMMYFUNCTION("""COMPUTED_VALUE"""),"06 ORL")</f>
        <v>06 ORL</v>
      </c>
      <c r="O1699" s="33" t="str">
        <f ca="1">IFERROR(__xludf.DUMMYFUNCTION("""COMPUTED_VALUE"""),"Dr, Antonio Rodríguez Rivero")</f>
        <v>Dr, Antonio Rodríguez Rivero</v>
      </c>
      <c r="P1699" s="33" t="str">
        <f ca="1">IFERROR(__xludf.DUMMYFUNCTION("""COMPUTED_VALUE"""),"Maika Blázquez (Madrid)")</f>
        <v>Maika Blázquez (Madrid)</v>
      </c>
    </row>
    <row r="1700" spans="2:16">
      <c r="B1700" s="33">
        <f ca="1">IFERROR(__xludf.DUMMYFUNCTION("""COMPUTED_VALUE"""),2025)</f>
        <v>2025</v>
      </c>
      <c r="C1700" s="33">
        <f ca="1">IFERROR(__xludf.DUMMYFUNCTION("""COMPUTED_VALUE"""),12)</f>
        <v>12</v>
      </c>
      <c r="D1700" s="33" t="str">
        <f ca="1">IFERROR(__xludf.DUMMYFUNCTION("""COMPUTED_VALUE"""),"NO")</f>
        <v>NO</v>
      </c>
      <c r="E1700" s="33" t="str">
        <f ca="1">IFERROR(__xludf.DUMMYFUNCTION("""COMPUTED_VALUE"""),"Alicante")</f>
        <v>Alicante</v>
      </c>
      <c r="F1700" s="57">
        <f ca="1">IFERROR(__xludf.DUMMYFUNCTION("""COMPUTED_VALUE"""),46014)</f>
        <v>46014</v>
      </c>
      <c r="G1700" s="57">
        <f ca="1">IFERROR(__xludf.DUMMYFUNCTION("""COMPUTED_VALUE"""),45985)</f>
        <v>45985</v>
      </c>
      <c r="H1700" s="33" t="str">
        <f ca="1">IFERROR(__xludf.DUMMYFUNCTION("""COMPUTED_VALUE"""),"Alicante")</f>
        <v>Alicante</v>
      </c>
      <c r="I1700" s="33" t="str">
        <f ca="1">IFERROR(__xludf.DUMMYFUNCTION("""COMPUTED_VALUE"""),"C202511241134157908")</f>
        <v>C202511241134157908</v>
      </c>
      <c r="J1700" s="33" t="str">
        <f ca="1">IFERROR(__xludf.DUMMYFUNCTION("""COMPUTED_VALUE"""),"JUAN JOSE SANCHEZ MENARGUEZ")</f>
        <v>JUAN JOSE SANCHEZ MENARGUEZ</v>
      </c>
      <c r="K1700" s="33">
        <f ca="1">IFERROR(__xludf.DUMMYFUNCTION("""COMPUTED_VALUE"""),2)</f>
        <v>2</v>
      </c>
      <c r="L1700" s="203">
        <f ca="1">IFERROR(__xludf.DUMMYFUNCTION("""COMPUTED_VALUE"""),4536.36)</f>
        <v>4536.3599999999997</v>
      </c>
      <c r="M1700" s="33" t="str">
        <f ca="1">IFERROR(__xludf.DUMMYFUNCTION("""COMPUTED_VALUE"""),"03 ORL")</f>
        <v>03 ORL</v>
      </c>
      <c r="N1700" s="33" t="str">
        <f ca="1">IFERROR(__xludf.DUMMYFUNCTION("""COMPUTED_VALUE"""),"06 ORL")</f>
        <v>06 ORL</v>
      </c>
      <c r="O1700" s="33" t="str">
        <f ca="1">IFERROR(__xludf.DUMMYFUNCTION("""COMPUTED_VALUE"""),"Dra, Isabel Menaches Guardiola")</f>
        <v>Dra, Isabel Menaches Guardiola</v>
      </c>
      <c r="P1700" s="33" t="str">
        <f ca="1">IFERROR(__xludf.DUMMYFUNCTION("""COMPUTED_VALUE"""),"Iván Sánchez (Levante Y Albacete)")</f>
        <v>Iván Sánchez (Levante Y Albacete)</v>
      </c>
    </row>
    <row r="1701" spans="2:16">
      <c r="B1701" s="33">
        <f ca="1">IFERROR(__xludf.DUMMYFUNCTION("""COMPUTED_VALUE"""),2025)</f>
        <v>2025</v>
      </c>
      <c r="C1701" s="33">
        <f ca="1">IFERROR(__xludf.DUMMYFUNCTION("""COMPUTED_VALUE"""),12)</f>
        <v>12</v>
      </c>
      <c r="D1701" s="33" t="str">
        <f ca="1">IFERROR(__xludf.DUMMYFUNCTION("""COMPUTED_VALUE"""),"NO")</f>
        <v>NO</v>
      </c>
      <c r="E1701" s="33" t="str">
        <f ca="1">IFERROR(__xludf.DUMMYFUNCTION("""COMPUTED_VALUE"""),"Fuenlabrada")</f>
        <v>Fuenlabrada</v>
      </c>
      <c r="F1701" s="57">
        <f ca="1">IFERROR(__xludf.DUMMYFUNCTION("""COMPUTED_VALUE"""),46015)</f>
        <v>46015</v>
      </c>
      <c r="G1701" s="57">
        <f ca="1">IFERROR(__xludf.DUMMYFUNCTION("""COMPUTED_VALUE"""),45986)</f>
        <v>45986</v>
      </c>
      <c r="H1701" s="33" t="str">
        <f ca="1">IFERROR(__xludf.DUMMYFUNCTION("""COMPUTED_VALUE"""),"Fuenlabrada")</f>
        <v>Fuenlabrada</v>
      </c>
      <c r="I1701" s="33" t="str">
        <f ca="1">IFERROR(__xludf.DUMMYFUNCTION("""COMPUTED_VALUE"""),"C202511251025534008")</f>
        <v>C202511251025534008</v>
      </c>
      <c r="J1701" s="33" t="str">
        <f ca="1">IFERROR(__xludf.DUMMYFUNCTION("""COMPUTED_VALUE"""),"GERMAN JURADO CONDE")</f>
        <v>GERMAN JURADO CONDE</v>
      </c>
      <c r="K1701" s="33">
        <f ca="1">IFERROR(__xludf.DUMMYFUNCTION("""COMPUTED_VALUE"""),2)</f>
        <v>2</v>
      </c>
      <c r="L1701" s="203">
        <f ca="1">IFERROR(__xludf.DUMMYFUNCTION("""COMPUTED_VALUE"""),2363.64)</f>
        <v>2363.64</v>
      </c>
      <c r="M1701" s="33" t="str">
        <f ca="1">IFERROR(__xludf.DUMMYFUNCTION("""COMPUTED_VALUE"""),"03 ORL")</f>
        <v>03 ORL</v>
      </c>
      <c r="N1701" s="33" t="str">
        <f ca="1">IFERROR(__xludf.DUMMYFUNCTION("""COMPUTED_VALUE"""),"06 ORL")</f>
        <v>06 ORL</v>
      </c>
      <c r="O1701" s="33" t="str">
        <f ca="1">IFERROR(__xludf.DUMMYFUNCTION("""COMPUTED_VALUE"""),"Dra, Estefania Miranda Sánchez")</f>
        <v>Dra, Estefania Miranda Sánchez</v>
      </c>
      <c r="P1701" s="33" t="str">
        <f ca="1">IFERROR(__xludf.DUMMYFUNCTION("""COMPUTED_VALUE"""),"Maika Blázquez (Madrid)")</f>
        <v>Maika Blázquez (Madrid)</v>
      </c>
    </row>
    <row r="1702" spans="2:16">
      <c r="B1702" s="33">
        <f ca="1">IFERROR(__xludf.DUMMYFUNCTION("""COMPUTED_VALUE"""),2025)</f>
        <v>2025</v>
      </c>
      <c r="C1702" s="33">
        <f ca="1">IFERROR(__xludf.DUMMYFUNCTION("""COMPUTED_VALUE"""),12)</f>
        <v>12</v>
      </c>
      <c r="D1702" s="33" t="str">
        <f ca="1">IFERROR(__xludf.DUMMYFUNCTION("""COMPUTED_VALUE"""),"NO")</f>
        <v>NO</v>
      </c>
      <c r="E1702" s="33" t="str">
        <f ca="1">IFERROR(__xludf.DUMMYFUNCTION("""COMPUTED_VALUE"""),"Madrid- Costa Rica")</f>
        <v>Madrid- Costa Rica</v>
      </c>
      <c r="F1702" s="57">
        <f ca="1">IFERROR(__xludf.DUMMYFUNCTION("""COMPUTED_VALUE"""),46015)</f>
        <v>46015</v>
      </c>
      <c r="G1702" s="57">
        <f ca="1">IFERROR(__xludf.DUMMYFUNCTION("""COMPUTED_VALUE"""),45975)</f>
        <v>45975</v>
      </c>
      <c r="H1702" s="33" t="str">
        <f ca="1">IFERROR(__xludf.DUMMYFUNCTION("""COMPUTED_VALUE"""),"Costa Rica")</f>
        <v>Costa Rica</v>
      </c>
      <c r="I1702" s="33" t="str">
        <f ca="1">IFERROR(__xludf.DUMMYFUNCTION("""COMPUTED_VALUE"""),"C202511149312336389")</f>
        <v>C202511149312336389</v>
      </c>
      <c r="J1702" s="33" t="str">
        <f ca="1">IFERROR(__xludf.DUMMYFUNCTION("""COMPUTED_VALUE"""),"FRANCISCO FULGENCIO BUENDIA GOMEZ")</f>
        <v>FRANCISCO FULGENCIO BUENDIA GOMEZ</v>
      </c>
      <c r="K1702" s="33">
        <f ca="1">IFERROR(__xludf.DUMMYFUNCTION("""COMPUTED_VALUE"""),2)</f>
        <v>2</v>
      </c>
      <c r="L1702" s="203">
        <f ca="1">IFERROR(__xludf.DUMMYFUNCTION("""COMPUTED_VALUE"""),4136.36)</f>
        <v>4136.3599999999997</v>
      </c>
      <c r="M1702" s="33" t="str">
        <f ca="1">IFERROR(__xludf.DUMMYFUNCTION("""COMPUTED_VALUE"""),"03 ORL")</f>
        <v>03 ORL</v>
      </c>
      <c r="N1702" s="33" t="str">
        <f ca="1">IFERROR(__xludf.DUMMYFUNCTION("""COMPUTED_VALUE"""),"22 AUDIOMETRIA CLINICA")</f>
        <v>22 AUDIOMETRIA CLINICA</v>
      </c>
      <c r="O1702" s="33" t="str">
        <f ca="1">IFERROR(__xludf.DUMMYFUNCTION("""COMPUTED_VALUE"""),"Dr, Antonio Rodríguez Rivero")</f>
        <v>Dr, Antonio Rodríguez Rivero</v>
      </c>
      <c r="P1702" s="33" t="str">
        <f ca="1">IFERROR(__xludf.DUMMYFUNCTION("""COMPUTED_VALUE"""),"Maika Blázquez (Madrid)")</f>
        <v>Maika Blázquez (Madrid)</v>
      </c>
    </row>
    <row r="1703" spans="2:16">
      <c r="B1703" s="33">
        <f ca="1">IFERROR(__xludf.DUMMYFUNCTION("""COMPUTED_VALUE"""),2025)</f>
        <v>2025</v>
      </c>
      <c r="C1703" s="33">
        <f ca="1">IFERROR(__xludf.DUMMYFUNCTION("""COMPUTED_VALUE"""),12)</f>
        <v>12</v>
      </c>
      <c r="D1703" s="33" t="str">
        <f ca="1">IFERROR(__xludf.DUMMYFUNCTION("""COMPUTED_VALUE"""),"NO")</f>
        <v>NO</v>
      </c>
      <c r="E1703" s="33" t="str">
        <f ca="1">IFERROR(__xludf.DUMMYFUNCTION("""COMPUTED_VALUE"""),"Culleredo")</f>
        <v>Culleredo</v>
      </c>
      <c r="F1703" s="57">
        <f ca="1">IFERROR(__xludf.DUMMYFUNCTION("""COMPUTED_VALUE"""),46017)</f>
        <v>46017</v>
      </c>
      <c r="G1703" s="57">
        <f ca="1">IFERROR(__xludf.DUMMYFUNCTION("""COMPUTED_VALUE"""),45979)</f>
        <v>45979</v>
      </c>
      <c r="H1703" s="33" t="str">
        <f ca="1">IFERROR(__xludf.DUMMYFUNCTION("""COMPUTED_VALUE"""),"Culleredo")</f>
        <v>Culleredo</v>
      </c>
      <c r="I1703" s="33" t="str">
        <f ca="1">IFERROR(__xludf.DUMMYFUNCTION("""COMPUTED_VALUE"""),"CULL-122")</f>
        <v>CULL-122</v>
      </c>
      <c r="J1703" s="33" t="str">
        <f ca="1">IFERROR(__xludf.DUMMYFUNCTION("""COMPUTED_VALUE"""),"TANIA SEIJAS SOUTO")</f>
        <v>TANIA SEIJAS SOUTO</v>
      </c>
      <c r="K1703" s="33">
        <f ca="1">IFERROR(__xludf.DUMMYFUNCTION("""COMPUTED_VALUE"""),2)</f>
        <v>2</v>
      </c>
      <c r="L1703" s="203">
        <f ca="1">IFERROR(__xludf.DUMMYFUNCTION("""COMPUTED_VALUE"""),3545.45)</f>
        <v>3545.45</v>
      </c>
      <c r="M1703" s="33" t="str">
        <f ca="1">IFERROR(__xludf.DUMMYFUNCTION("""COMPUTED_VALUE"""),"03 ORL")</f>
        <v>03 ORL</v>
      </c>
      <c r="N1703" s="33" t="str">
        <f ca="1">IFERROR(__xludf.DUMMYFUNCTION("""COMPUTED_VALUE"""),"06 ORL")</f>
        <v>06 ORL</v>
      </c>
      <c r="O1703" s="33" t="str">
        <f ca="1">IFERROR(__xludf.DUMMYFUNCTION("""COMPUTED_VALUE"""),"Dr. Miguel Mayo Yáñez")</f>
        <v>Dr. Miguel Mayo Yáñez</v>
      </c>
      <c r="P1703" s="33" t="str">
        <f ca="1">IFERROR(__xludf.DUMMYFUNCTION("""COMPUTED_VALUE"""),"Roberto Pereira (Galicia)")</f>
        <v>Roberto Pereira (Galicia)</v>
      </c>
    </row>
    <row r="1704" spans="2:16">
      <c r="B1704" s="33">
        <f ca="1">IFERROR(__xludf.DUMMYFUNCTION("""COMPUTED_VALUE"""),2025)</f>
        <v>2025</v>
      </c>
      <c r="C1704" s="33">
        <f ca="1">IFERROR(__xludf.DUMMYFUNCTION("""COMPUTED_VALUE"""),12)</f>
        <v>12</v>
      </c>
      <c r="D1704" s="33" t="str">
        <f ca="1">IFERROR(__xludf.DUMMYFUNCTION("""COMPUTED_VALUE"""),"NO")</f>
        <v>NO</v>
      </c>
      <c r="E1704" s="33" t="str">
        <f ca="1">IFERROR(__xludf.DUMMYFUNCTION("""COMPUTED_VALUE"""),"Cáceres")</f>
        <v>Cáceres</v>
      </c>
      <c r="F1704" s="57">
        <f ca="1">IFERROR(__xludf.DUMMYFUNCTION("""COMPUTED_VALUE"""),46017)</f>
        <v>46017</v>
      </c>
      <c r="G1704" s="57">
        <f ca="1">IFERROR(__xludf.DUMMYFUNCTION("""COMPUTED_VALUE"""),45992)</f>
        <v>45992</v>
      </c>
      <c r="H1704" s="33" t="str">
        <f ca="1">IFERROR(__xludf.DUMMYFUNCTION("""COMPUTED_VALUE"""),"Cáceres")</f>
        <v>Cáceres</v>
      </c>
      <c r="I1704" s="33" t="str">
        <f ca="1">IFERROR(__xludf.DUMMYFUNCTION("""COMPUTED_VALUE"""),"C202512110554407508")</f>
        <v>C202512110554407508</v>
      </c>
      <c r="J1704" s="33" t="str">
        <f ca="1">IFERROR(__xludf.DUMMYFUNCTION("""COMPUTED_VALUE"""),"MARTIN DELGADO IZQUIERDO")</f>
        <v>MARTIN DELGADO IZQUIERDO</v>
      </c>
      <c r="K1704" s="33">
        <f ca="1">IFERROR(__xludf.DUMMYFUNCTION("""COMPUTED_VALUE"""),2)</f>
        <v>2</v>
      </c>
      <c r="L1704" s="203">
        <f ca="1">IFERROR(__xludf.DUMMYFUNCTION("""COMPUTED_VALUE"""),3440)</f>
        <v>3440</v>
      </c>
      <c r="M1704" s="33" t="str">
        <f ca="1">IFERROR(__xludf.DUMMYFUNCTION("""COMPUTED_VALUE"""),"03 ORL")</f>
        <v>03 ORL</v>
      </c>
      <c r="N1704" s="33" t="str">
        <f ca="1">IFERROR(__xludf.DUMMYFUNCTION("""COMPUTED_VALUE"""),"06 ORL")</f>
        <v>06 ORL</v>
      </c>
      <c r="O1704" s="33" t="str">
        <f ca="1">IFERROR(__xludf.DUMMYFUNCTION("""COMPUTED_VALUE"""),"Dr, Manuel Martí Peña")</f>
        <v>Dr, Manuel Martí Peña</v>
      </c>
      <c r="P1704" s="33" t="str">
        <f ca="1">IFERROR(__xludf.DUMMYFUNCTION("""COMPUTED_VALUE"""),"Lisandro Russian (Madrid, Cáceres, Toledo, Talavera Y Logroño)")</f>
        <v>Lisandro Russian (Madrid, Cáceres, Toledo, Talavera Y Logroño)</v>
      </c>
    </row>
    <row r="1705" spans="2:16">
      <c r="B1705" s="33">
        <f ca="1">IFERROR(__xludf.DUMMYFUNCTION("""COMPUTED_VALUE"""),2025)</f>
        <v>2025</v>
      </c>
      <c r="C1705" s="33">
        <f ca="1">IFERROR(__xludf.DUMMYFUNCTION("""COMPUTED_VALUE"""),12)</f>
        <v>12</v>
      </c>
      <c r="D1705" s="33" t="str">
        <f ca="1">IFERROR(__xludf.DUMMYFUNCTION("""COMPUTED_VALUE"""),"NO")</f>
        <v>NO</v>
      </c>
      <c r="E1705" s="33" t="str">
        <f ca="1">IFERROR(__xludf.DUMMYFUNCTION("""COMPUTED_VALUE"""),"Valladolid")</f>
        <v>Valladolid</v>
      </c>
      <c r="F1705" s="57">
        <f ca="1">IFERROR(__xludf.DUMMYFUNCTION("""COMPUTED_VALUE"""),46017)</f>
        <v>46017</v>
      </c>
      <c r="G1705" s="57">
        <f ca="1">IFERROR(__xludf.DUMMYFUNCTION("""COMPUTED_VALUE"""),45973)</f>
        <v>45973</v>
      </c>
      <c r="H1705" s="33" t="str">
        <f ca="1">IFERROR(__xludf.DUMMYFUNCTION("""COMPUTED_VALUE"""),"Valladolid")</f>
        <v>Valladolid</v>
      </c>
      <c r="I1705" s="33" t="str">
        <f ca="1">IFERROR(__xludf.DUMMYFUNCTION("""COMPUTED_VALUE"""),"VLL-481")</f>
        <v>VLL-481</v>
      </c>
      <c r="J1705" s="33" t="str">
        <f ca="1">IFERROR(__xludf.DUMMYFUNCTION("""COMPUTED_VALUE"""),"MARIA JESUS MIGUEL CASTRILLO")</f>
        <v>MARIA JESUS MIGUEL CASTRILLO</v>
      </c>
      <c r="K1705" s="33">
        <f ca="1">IFERROR(__xludf.DUMMYFUNCTION("""COMPUTED_VALUE"""),2)</f>
        <v>2</v>
      </c>
      <c r="L1705" s="203">
        <f ca="1">IFERROR(__xludf.DUMMYFUNCTION("""COMPUTED_VALUE"""),3522.73)</f>
        <v>3522.73</v>
      </c>
      <c r="M1705" s="33" t="str">
        <f ca="1">IFERROR(__xludf.DUMMYFUNCTION("""COMPUTED_VALUE"""),"03 ORL")</f>
        <v>03 ORL</v>
      </c>
      <c r="N1705" s="33" t="str">
        <f ca="1">IFERROR(__xludf.DUMMYFUNCTION("""COMPUTED_VALUE"""),"06 ORL")</f>
        <v>06 ORL</v>
      </c>
      <c r="O1705" s="33" t="str">
        <f ca="1">IFERROR(__xludf.DUMMYFUNCTION("""COMPUTED_VALUE"""),"Dra, Antonia Carranza Calleja")</f>
        <v>Dra, Antonia Carranza Calleja</v>
      </c>
      <c r="P1705" s="33" t="str">
        <f ca="1">IFERROR(__xludf.DUMMYFUNCTION("""COMPUTED_VALUE"""),"Alberto Moreno (Madrid)")</f>
        <v>Alberto Moreno (Madrid)</v>
      </c>
    </row>
    <row r="1706" spans="2:16">
      <c r="B1706" s="33">
        <f ca="1">IFERROR(__xludf.DUMMYFUNCTION("""COMPUTED_VALUE"""),2025)</f>
        <v>2025</v>
      </c>
      <c r="C1706" s="33">
        <f ca="1">IFERROR(__xludf.DUMMYFUNCTION("""COMPUTED_VALUE"""),12)</f>
        <v>12</v>
      </c>
      <c r="D1706" s="33" t="str">
        <f ca="1">IFERROR(__xludf.DUMMYFUNCTION("""COMPUTED_VALUE"""),"NO")</f>
        <v>NO</v>
      </c>
      <c r="E1706" s="33" t="str">
        <f ca="1">IFERROR(__xludf.DUMMYFUNCTION("""COMPUTED_VALUE"""),"Cáceres")</f>
        <v>Cáceres</v>
      </c>
      <c r="F1706" s="57">
        <f ca="1">IFERROR(__xludf.DUMMYFUNCTION("""COMPUTED_VALUE"""),46017)</f>
        <v>46017</v>
      </c>
      <c r="G1706" s="57">
        <f ca="1">IFERROR(__xludf.DUMMYFUNCTION("""COMPUTED_VALUE"""),45985)</f>
        <v>45985</v>
      </c>
      <c r="H1706" s="33" t="str">
        <f ca="1">IFERROR(__xludf.DUMMYFUNCTION("""COMPUTED_VALUE"""),"Cáceres")</f>
        <v>Cáceres</v>
      </c>
      <c r="I1706" s="33" t="str">
        <f ca="1">IFERROR(__xludf.DUMMYFUNCTION("""COMPUTED_VALUE"""),"C202511241735025505")</f>
        <v>C202511241735025505</v>
      </c>
      <c r="J1706" s="33" t="str">
        <f ca="1">IFERROR(__xludf.DUMMYFUNCTION("""COMPUTED_VALUE"""),"CARMEN ALONSO MANZANO")</f>
        <v>CARMEN ALONSO MANZANO</v>
      </c>
      <c r="K1706" s="33">
        <f ca="1">IFERROR(__xludf.DUMMYFUNCTION("""COMPUTED_VALUE"""),2)</f>
        <v>2</v>
      </c>
      <c r="L1706" s="203">
        <f ca="1">IFERROR(__xludf.DUMMYFUNCTION("""COMPUTED_VALUE"""),4990.91)</f>
        <v>4990.91</v>
      </c>
      <c r="M1706" s="33" t="str">
        <f ca="1">IFERROR(__xludf.DUMMYFUNCTION("""COMPUTED_VALUE"""),"03 ORL")</f>
        <v>03 ORL</v>
      </c>
      <c r="N1706" s="33" t="str">
        <f ca="1">IFERROR(__xludf.DUMMYFUNCTION("""COMPUTED_VALUE"""),"06 ORL")</f>
        <v>06 ORL</v>
      </c>
      <c r="O1706" s="33" t="str">
        <f ca="1">IFERROR(__xludf.DUMMYFUNCTION("""COMPUTED_VALUE"""),"Dr, Javier García Gómez")</f>
        <v>Dr, Javier García Gómez</v>
      </c>
      <c r="P1706" s="33" t="str">
        <f ca="1">IFERROR(__xludf.DUMMYFUNCTION("""COMPUTED_VALUE"""),"Lisandro Russian (Madrid, Cáceres, Toledo, Talavera Y Logroño)")</f>
        <v>Lisandro Russian (Madrid, Cáceres, Toledo, Talavera Y Logroño)</v>
      </c>
    </row>
    <row r="1707" spans="2:16">
      <c r="B1707" s="33">
        <f ca="1">IFERROR(__xludf.DUMMYFUNCTION("""COMPUTED_VALUE"""),2025)</f>
        <v>2025</v>
      </c>
      <c r="C1707" s="33">
        <f ca="1">IFERROR(__xludf.DUMMYFUNCTION("""COMPUTED_VALUE"""),12)</f>
        <v>12</v>
      </c>
      <c r="D1707" s="33" t="str">
        <f ca="1">IFERROR(__xludf.DUMMYFUNCTION("""COMPUTED_VALUE"""),"NO")</f>
        <v>NO</v>
      </c>
      <c r="E1707" s="33" t="str">
        <f ca="1">IFERROR(__xludf.DUMMYFUNCTION("""COMPUTED_VALUE"""),"Cáceres")</f>
        <v>Cáceres</v>
      </c>
      <c r="F1707" s="57">
        <f ca="1">IFERROR(__xludf.DUMMYFUNCTION("""COMPUTED_VALUE"""),46017)</f>
        <v>46017</v>
      </c>
      <c r="G1707" s="57">
        <f ca="1">IFERROR(__xludf.DUMMYFUNCTION("""COMPUTED_VALUE"""),45986)</f>
        <v>45986</v>
      </c>
      <c r="H1707" s="33" t="str">
        <f ca="1">IFERROR(__xludf.DUMMYFUNCTION("""COMPUTED_VALUE"""),"Cáceres")</f>
        <v>Cáceres</v>
      </c>
      <c r="I1707" s="33" t="str">
        <f ca="1">IFERROR(__xludf.DUMMYFUNCTION("""COMPUTED_VALUE"""),"C202511251212495621")</f>
        <v>C202511251212495621</v>
      </c>
      <c r="J1707" s="33" t="str">
        <f ca="1">IFERROR(__xludf.DUMMYFUNCTION("""COMPUTED_VALUE"""),"JOSE MANUEL FERNANDEZ SANCHEZ")</f>
        <v>JOSE MANUEL FERNANDEZ SANCHEZ</v>
      </c>
      <c r="K1707" s="33">
        <f ca="1">IFERROR(__xludf.DUMMYFUNCTION("""COMPUTED_VALUE"""),2)</f>
        <v>2</v>
      </c>
      <c r="L1707" s="203">
        <f ca="1">IFERROR(__xludf.DUMMYFUNCTION("""COMPUTED_VALUE"""),3940.91)</f>
        <v>3940.91</v>
      </c>
      <c r="M1707" s="33" t="str">
        <f ca="1">IFERROR(__xludf.DUMMYFUNCTION("""COMPUTED_VALUE"""),"03 ORL")</f>
        <v>03 ORL</v>
      </c>
      <c r="N1707" s="33" t="str">
        <f ca="1">IFERROR(__xludf.DUMMYFUNCTION("""COMPUTED_VALUE"""),"06 ORL")</f>
        <v>06 ORL</v>
      </c>
      <c r="O1707" s="33" t="str">
        <f ca="1">IFERROR(__xludf.DUMMYFUNCTION("""COMPUTED_VALUE"""),"Dr, Andrés Paulino Herrera")</f>
        <v>Dr, Andrés Paulino Herrera</v>
      </c>
      <c r="P1707" s="33" t="str">
        <f ca="1">IFERROR(__xludf.DUMMYFUNCTION("""COMPUTED_VALUE"""),"Lisandro Russian (Madrid, Cáceres, Toledo, Talavera Y Logroño)")</f>
        <v>Lisandro Russian (Madrid, Cáceres, Toledo, Talavera Y Logroño)</v>
      </c>
    </row>
    <row r="1708" spans="2:16">
      <c r="B1708" s="33">
        <f ca="1">IFERROR(__xludf.DUMMYFUNCTION("""COMPUTED_VALUE"""),2025)</f>
        <v>2025</v>
      </c>
      <c r="C1708" s="33">
        <f ca="1">IFERROR(__xludf.DUMMYFUNCTION("""COMPUTED_VALUE"""),12)</f>
        <v>12</v>
      </c>
      <c r="D1708" s="33" t="str">
        <f ca="1">IFERROR(__xludf.DUMMYFUNCTION("""COMPUTED_VALUE"""),"NO")</f>
        <v>NO</v>
      </c>
      <c r="E1708" s="33" t="str">
        <f ca="1">IFERROR(__xludf.DUMMYFUNCTION("""COMPUTED_VALUE"""),"Leganés")</f>
        <v>Leganés</v>
      </c>
      <c r="F1708" s="57">
        <f ca="1">IFERROR(__xludf.DUMMYFUNCTION("""COMPUTED_VALUE"""),46017)</f>
        <v>46017</v>
      </c>
      <c r="G1708" s="57">
        <f ca="1">IFERROR(__xludf.DUMMYFUNCTION("""COMPUTED_VALUE"""),45975)</f>
        <v>45975</v>
      </c>
      <c r="H1708" s="33" t="str">
        <f ca="1">IFERROR(__xludf.DUMMYFUNCTION("""COMPUTED_VALUE"""),"Leganés")</f>
        <v>Leganés</v>
      </c>
      <c r="I1708" s="33" t="str">
        <f ca="1">IFERROR(__xludf.DUMMYFUNCTION("""COMPUTED_VALUE"""),"C202511148554597075")</f>
        <v>C202511148554597075</v>
      </c>
      <c r="J1708" s="33" t="str">
        <f ca="1">IFERROR(__xludf.DUMMYFUNCTION("""COMPUTED_VALUE"""),"LUISA DORREGO TAPIA")</f>
        <v>LUISA DORREGO TAPIA</v>
      </c>
      <c r="K1708" s="33">
        <f ca="1">IFERROR(__xludf.DUMMYFUNCTION("""COMPUTED_VALUE"""),2)</f>
        <v>2</v>
      </c>
      <c r="L1708" s="203">
        <f ca="1">IFERROR(__xludf.DUMMYFUNCTION("""COMPUTED_VALUE"""),2581.82)</f>
        <v>2581.8200000000002</v>
      </c>
      <c r="M1708" s="33" t="str">
        <f ca="1">IFERROR(__xludf.DUMMYFUNCTION("""COMPUTED_VALUE"""),"03 ORL")</f>
        <v>03 ORL</v>
      </c>
      <c r="N1708" s="33" t="str">
        <f ca="1">IFERROR(__xludf.DUMMYFUNCTION("""COMPUTED_VALUE"""),"06 ORL")</f>
        <v>06 ORL</v>
      </c>
      <c r="O1708" s="33" t="str">
        <f ca="1">IFERROR(__xludf.DUMMYFUNCTION("""COMPUTED_VALUE"""),"Dra, Mar Lasso de la Vega Zamora")</f>
        <v>Dra, Mar Lasso de la Vega Zamora</v>
      </c>
      <c r="P1708" s="33" t="str">
        <f ca="1">IFERROR(__xludf.DUMMYFUNCTION("""COMPUTED_VALUE"""),"Maika Blázquez (Madrid)")</f>
        <v>Maika Blázquez (Madrid)</v>
      </c>
    </row>
    <row r="1709" spans="2:16">
      <c r="B1709" s="33">
        <f ca="1">IFERROR(__xludf.DUMMYFUNCTION("""COMPUTED_VALUE"""),2025)</f>
        <v>2025</v>
      </c>
      <c r="C1709" s="33">
        <f ca="1">IFERROR(__xludf.DUMMYFUNCTION("""COMPUTED_VALUE"""),12)</f>
        <v>12</v>
      </c>
      <c r="D1709" s="33" t="str">
        <f ca="1">IFERROR(__xludf.DUMMYFUNCTION("""COMPUTED_VALUE"""),"NO")</f>
        <v>NO</v>
      </c>
      <c r="E1709" s="33" t="str">
        <f ca="1">IFERROR(__xludf.DUMMYFUNCTION("""COMPUTED_VALUE"""),"Leganés")</f>
        <v>Leganés</v>
      </c>
      <c r="F1709" s="57">
        <f ca="1">IFERROR(__xludf.DUMMYFUNCTION("""COMPUTED_VALUE"""),46017)</f>
        <v>46017</v>
      </c>
      <c r="G1709" s="57">
        <f ca="1">IFERROR(__xludf.DUMMYFUNCTION("""COMPUTED_VALUE"""),45987)</f>
        <v>45987</v>
      </c>
      <c r="H1709" s="33" t="str">
        <f ca="1">IFERROR(__xludf.DUMMYFUNCTION("""COMPUTED_VALUE"""),"Leganés")</f>
        <v>Leganés</v>
      </c>
      <c r="I1709" s="33" t="str">
        <f ca="1">IFERROR(__xludf.DUMMYFUNCTION("""COMPUTED_VALUE"""),"C202511269295490696")</f>
        <v>C202511269295490696</v>
      </c>
      <c r="J1709" s="33" t="str">
        <f ca="1">IFERROR(__xludf.DUMMYFUNCTION("""COMPUTED_VALUE"""),"ADELA DE LA MATA FERNÁNDEZ")</f>
        <v>ADELA DE LA MATA FERNÁNDEZ</v>
      </c>
      <c r="K1709" s="33">
        <f ca="1">IFERROR(__xludf.DUMMYFUNCTION("""COMPUTED_VALUE"""),1)</f>
        <v>1</v>
      </c>
      <c r="L1709" s="203">
        <f ca="1">IFERROR(__xludf.DUMMYFUNCTION("""COMPUTED_VALUE"""),2233.64)</f>
        <v>2233.64</v>
      </c>
      <c r="M1709" s="33" t="str">
        <f ca="1">IFERROR(__xludf.DUMMYFUNCTION("""COMPUTED_VALUE"""),"03 ORL")</f>
        <v>03 ORL</v>
      </c>
      <c r="N1709" s="33" t="str">
        <f ca="1">IFERROR(__xludf.DUMMYFUNCTION("""COMPUTED_VALUE"""),"06 ORL")</f>
        <v>06 ORL</v>
      </c>
      <c r="O1709" s="33" t="str">
        <f ca="1">IFERROR(__xludf.DUMMYFUNCTION("""COMPUTED_VALUE"""),"Dr, Fabio Fernández Mateos")</f>
        <v>Dr, Fabio Fernández Mateos</v>
      </c>
      <c r="P1709" s="33" t="str">
        <f ca="1">IFERROR(__xludf.DUMMYFUNCTION("""COMPUTED_VALUE"""),"Maika Blázquez (Madrid)")</f>
        <v>Maika Blázquez (Madrid)</v>
      </c>
    </row>
    <row r="1710" spans="2:16">
      <c r="B1710" s="33">
        <f ca="1">IFERROR(__xludf.DUMMYFUNCTION("""COMPUTED_VALUE"""),2025)</f>
        <v>2025</v>
      </c>
      <c r="C1710" s="33">
        <f ca="1">IFERROR(__xludf.DUMMYFUNCTION("""COMPUTED_VALUE"""),12)</f>
        <v>12</v>
      </c>
      <c r="D1710" s="33" t="str">
        <f ca="1">IFERROR(__xludf.DUMMYFUNCTION("""COMPUTED_VALUE"""),"NO")</f>
        <v>NO</v>
      </c>
      <c r="E1710" s="33" t="str">
        <f ca="1">IFERROR(__xludf.DUMMYFUNCTION("""COMPUTED_VALUE"""),"Murcia")</f>
        <v>Murcia</v>
      </c>
      <c r="F1710" s="57">
        <f ca="1">IFERROR(__xludf.DUMMYFUNCTION("""COMPUTED_VALUE"""),46017)</f>
        <v>46017</v>
      </c>
      <c r="G1710" s="57">
        <f ca="1">IFERROR(__xludf.DUMMYFUNCTION("""COMPUTED_VALUE"""),45943)</f>
        <v>45943</v>
      </c>
      <c r="H1710" s="33" t="str">
        <f ca="1">IFERROR(__xludf.DUMMYFUNCTION("""COMPUTED_VALUE"""),"Murcia")</f>
        <v>Murcia</v>
      </c>
      <c r="I1710" s="33" t="str">
        <f ca="1">IFERROR(__xludf.DUMMYFUNCTION("""COMPUTED_VALUE"""),"C202510131053415806")</f>
        <v>C202510131053415806</v>
      </c>
      <c r="J1710" s="33" t="str">
        <f ca="1">IFERROR(__xludf.DUMMYFUNCTION("""COMPUTED_VALUE"""),"JOSE MARTINEZ GARCERAN")</f>
        <v>JOSE MARTINEZ GARCERAN</v>
      </c>
      <c r="K1710" s="33">
        <f ca="1">IFERROR(__xludf.DUMMYFUNCTION("""COMPUTED_VALUE"""),2)</f>
        <v>2</v>
      </c>
      <c r="L1710" s="203">
        <f ca="1">IFERROR(__xludf.DUMMYFUNCTION("""COMPUTED_VALUE"""),3631.82)</f>
        <v>3631.82</v>
      </c>
      <c r="M1710" s="33" t="str">
        <f ca="1">IFERROR(__xludf.DUMMYFUNCTION("""COMPUTED_VALUE"""),"03 ORL")</f>
        <v>03 ORL</v>
      </c>
      <c r="N1710" s="33" t="str">
        <f ca="1">IFERROR(__xludf.DUMMYFUNCTION("""COMPUTED_VALUE"""),"06 ORL")</f>
        <v>06 ORL</v>
      </c>
      <c r="O1710" s="33" t="str">
        <f ca="1">IFERROR(__xludf.DUMMYFUNCTION("""COMPUTED_VALUE"""),"Dra, María López Robles")</f>
        <v>Dra, María López Robles</v>
      </c>
      <c r="P1710" s="33" t="str">
        <f ca="1">IFERROR(__xludf.DUMMYFUNCTION("""COMPUTED_VALUE"""),"Iván Sánchez (Levante Y Albacete)")</f>
        <v>Iván Sánchez (Levante Y Albacete)</v>
      </c>
    </row>
    <row r="1711" spans="2:16">
      <c r="B1711" s="33">
        <f ca="1">IFERROR(__xludf.DUMMYFUNCTION("""COMPUTED_VALUE"""),2025)</f>
        <v>2025</v>
      </c>
      <c r="C1711" s="33">
        <f ca="1">IFERROR(__xludf.DUMMYFUNCTION("""COMPUTED_VALUE"""),12)</f>
        <v>12</v>
      </c>
      <c r="D1711" s="33" t="str">
        <f ca="1">IFERROR(__xludf.DUMMYFUNCTION("""COMPUTED_VALUE"""),"SI")</f>
        <v>SI</v>
      </c>
      <c r="E1711" s="33" t="str">
        <f ca="1">IFERROR(__xludf.DUMMYFUNCTION("""COMPUTED_VALUE"""),"Alicante")</f>
        <v>Alicante</v>
      </c>
      <c r="F1711" s="57">
        <f ca="1">IFERROR(__xludf.DUMMYFUNCTION("""COMPUTED_VALUE"""),46017)</f>
        <v>46017</v>
      </c>
      <c r="G1711" s="57">
        <f ca="1">IFERROR(__xludf.DUMMYFUNCTION("""COMPUTED_VALUE"""),45981)</f>
        <v>45981</v>
      </c>
      <c r="H1711" s="33" t="str">
        <f ca="1">IFERROR(__xludf.DUMMYFUNCTION("""COMPUTED_VALUE"""),"Alicante")</f>
        <v>Alicante</v>
      </c>
      <c r="I1711" s="33" t="str">
        <f ca="1">IFERROR(__xludf.DUMMYFUNCTION("""COMPUTED_VALUE"""),"C202511201240300206")</f>
        <v>C202511201240300206</v>
      </c>
      <c r="J1711" s="33" t="str">
        <f ca="1">IFERROR(__xludf.DUMMYFUNCTION("""COMPUTED_VALUE"""),"FATIMA LAZARO LOPEZ")</f>
        <v>FATIMA LAZARO LOPEZ</v>
      </c>
      <c r="K1711" s="33">
        <f ca="1">IFERROR(__xludf.DUMMYFUNCTION("""COMPUTED_VALUE"""),2)</f>
        <v>2</v>
      </c>
      <c r="L1711" s="203">
        <f ca="1">IFERROR(__xludf.DUMMYFUNCTION("""COMPUTED_VALUE"""),4536.36)</f>
        <v>4536.3599999999997</v>
      </c>
      <c r="M1711" s="33" t="str">
        <f ca="1">IFERROR(__xludf.DUMMYFUNCTION("""COMPUTED_VALUE"""),"03 ORL")</f>
        <v>03 ORL</v>
      </c>
      <c r="N1711" s="33" t="str">
        <f ca="1">IFERROR(__xludf.DUMMYFUNCTION("""COMPUTED_VALUE"""),"06 ORL")</f>
        <v>06 ORL</v>
      </c>
      <c r="O1711" s="33" t="str">
        <f ca="1">IFERROR(__xludf.DUMMYFUNCTION("""COMPUTED_VALUE"""),"Dra, Irene Monjas Canovas")</f>
        <v>Dra, Irene Monjas Canovas</v>
      </c>
      <c r="P1711" s="33" t="str">
        <f ca="1">IFERROR(__xludf.DUMMYFUNCTION("""COMPUTED_VALUE"""),"Iván Sánchez (Levante Y Albacete)")</f>
        <v>Iván Sánchez (Levante Y Albacete)</v>
      </c>
    </row>
    <row r="1712" spans="2:16">
      <c r="B1712" s="33">
        <f ca="1">IFERROR(__xludf.DUMMYFUNCTION("""COMPUTED_VALUE"""),2025)</f>
        <v>2025</v>
      </c>
      <c r="C1712" s="33">
        <f ca="1">IFERROR(__xludf.DUMMYFUNCTION("""COMPUTED_VALUE"""),12)</f>
        <v>12</v>
      </c>
      <c r="D1712" s="33" t="str">
        <f ca="1">IFERROR(__xludf.DUMMYFUNCTION("""COMPUTED_VALUE"""),"NO")</f>
        <v>NO</v>
      </c>
      <c r="E1712" s="33" t="str">
        <f ca="1">IFERROR(__xludf.DUMMYFUNCTION("""COMPUTED_VALUE"""),"Leganés")</f>
        <v>Leganés</v>
      </c>
      <c r="F1712" s="57">
        <f ca="1">IFERROR(__xludf.DUMMYFUNCTION("""COMPUTED_VALUE"""),46020)</f>
        <v>46020</v>
      </c>
      <c r="G1712" s="57">
        <f ca="1">IFERROR(__xludf.DUMMYFUNCTION("""COMPUTED_VALUE"""),45951)</f>
        <v>45951</v>
      </c>
      <c r="H1712" s="33" t="str">
        <f ca="1">IFERROR(__xludf.DUMMYFUNCTION("""COMPUTED_VALUE"""),"Leganés")</f>
        <v>Leganés</v>
      </c>
      <c r="I1712" s="33" t="str">
        <f ca="1">IFERROR(__xludf.DUMMYFUNCTION("""COMPUTED_VALUE"""),"C202510211014295809")</f>
        <v>C202510211014295809</v>
      </c>
      <c r="J1712" s="33" t="str">
        <f ca="1">IFERROR(__xludf.DUMMYFUNCTION("""COMPUTED_VALUE"""),"MARIANO GARCIA GARCIA")</f>
        <v>MARIANO GARCIA GARCIA</v>
      </c>
      <c r="K1712" s="33">
        <f ca="1">IFERROR(__xludf.DUMMYFUNCTION("""COMPUTED_VALUE"""),1)</f>
        <v>1</v>
      </c>
      <c r="L1712" s="203">
        <f ca="1">IFERROR(__xludf.DUMMYFUNCTION("""COMPUTED_VALUE"""),1036.36)</f>
        <v>1036.3599999999999</v>
      </c>
      <c r="M1712" s="33" t="str">
        <f ca="1">IFERROR(__xludf.DUMMYFUNCTION("""COMPUTED_VALUE"""),"03 ORL")</f>
        <v>03 ORL</v>
      </c>
      <c r="N1712" s="33" t="str">
        <f ca="1">IFERROR(__xludf.DUMMYFUNCTION("""COMPUTED_VALUE"""),"06 ORL")</f>
        <v>06 ORL</v>
      </c>
      <c r="O1712" s="33" t="str">
        <f ca="1">IFERROR(__xludf.DUMMYFUNCTION("""COMPUTED_VALUE"""),"Dra, Elena Martín Bejerano")</f>
        <v>Dra, Elena Martín Bejerano</v>
      </c>
      <c r="P1712" s="33" t="str">
        <f ca="1">IFERROR(__xludf.DUMMYFUNCTION("""COMPUTED_VALUE"""),"Maika Blázquez (Madrid)")</f>
        <v>Maika Blázquez (Madrid)</v>
      </c>
    </row>
    <row r="1713" spans="2:16">
      <c r="B1713" s="33">
        <f ca="1">IFERROR(__xludf.DUMMYFUNCTION("""COMPUTED_VALUE"""),2025)</f>
        <v>2025</v>
      </c>
      <c r="C1713" s="33">
        <f ca="1">IFERROR(__xludf.DUMMYFUNCTION("""COMPUTED_VALUE"""),12)</f>
        <v>12</v>
      </c>
      <c r="D1713" s="33" t="str">
        <f ca="1">IFERROR(__xludf.DUMMYFUNCTION("""COMPUTED_VALUE"""),"NO")</f>
        <v>NO</v>
      </c>
      <c r="E1713" s="33" t="str">
        <f ca="1">IFERROR(__xludf.DUMMYFUNCTION("""COMPUTED_VALUE"""),"Alicante")</f>
        <v>Alicante</v>
      </c>
      <c r="F1713" s="57">
        <f ca="1">IFERROR(__xludf.DUMMYFUNCTION("""COMPUTED_VALUE"""),46020)</f>
        <v>46020</v>
      </c>
      <c r="G1713" s="57">
        <f ca="1">IFERROR(__xludf.DUMMYFUNCTION("""COMPUTED_VALUE"""),45980)</f>
        <v>45980</v>
      </c>
      <c r="H1713" s="33" t="str">
        <f ca="1">IFERROR(__xludf.DUMMYFUNCTION("""COMPUTED_VALUE"""),"Alicante")</f>
        <v>Alicante</v>
      </c>
      <c r="I1713" s="33" t="str">
        <f ca="1">IFERROR(__xludf.DUMMYFUNCTION("""COMPUTED_VALUE"""),"C202511191611779531")</f>
        <v>C202511191611779531</v>
      </c>
      <c r="J1713" s="33" t="str">
        <f ca="1">IFERROR(__xludf.DUMMYFUNCTION("""COMPUTED_VALUE"""),"MARIA JOSE  DELGADO PICAZO")</f>
        <v>MARIA JOSE  DELGADO PICAZO</v>
      </c>
      <c r="K1713" s="33">
        <f ca="1">IFERROR(__xludf.DUMMYFUNCTION("""COMPUTED_VALUE"""),2)</f>
        <v>2</v>
      </c>
      <c r="L1713" s="203">
        <f ca="1">IFERROR(__xludf.DUMMYFUNCTION("""COMPUTED_VALUE"""),4136.36)</f>
        <v>4136.3599999999997</v>
      </c>
      <c r="M1713" s="33" t="str">
        <f ca="1">IFERROR(__xludf.DUMMYFUNCTION("""COMPUTED_VALUE"""),"03 ORL")</f>
        <v>03 ORL</v>
      </c>
      <c r="N1713" s="33" t="str">
        <f ca="1">IFERROR(__xludf.DUMMYFUNCTION("""COMPUTED_VALUE"""),"06 ORL")</f>
        <v>06 ORL</v>
      </c>
      <c r="O1713" s="33" t="str">
        <f ca="1">IFERROR(__xludf.DUMMYFUNCTION("""COMPUTED_VALUE"""),"Dra, Irene Monjas Canovas")</f>
        <v>Dra, Irene Monjas Canovas</v>
      </c>
      <c r="P1713" s="33" t="str">
        <f ca="1">IFERROR(__xludf.DUMMYFUNCTION("""COMPUTED_VALUE"""),"Iván Sánchez (Levante Y Albacete)")</f>
        <v>Iván Sánchez (Levante Y Albacete)</v>
      </c>
    </row>
    <row r="1714" spans="2:16">
      <c r="B1714" s="33">
        <f ca="1">IFERROR(__xludf.DUMMYFUNCTION("""COMPUTED_VALUE"""),2025)</f>
        <v>2025</v>
      </c>
      <c r="C1714" s="33">
        <f ca="1">IFERROR(__xludf.DUMMYFUNCTION("""COMPUTED_VALUE"""),12)</f>
        <v>12</v>
      </c>
      <c r="D1714" s="33" t="str">
        <f ca="1">IFERROR(__xludf.DUMMYFUNCTION("""COMPUTED_VALUE"""),"NO")</f>
        <v>NO</v>
      </c>
      <c r="E1714" s="33" t="str">
        <f ca="1">IFERROR(__xludf.DUMMYFUNCTION("""COMPUTED_VALUE"""),"Leganés")</f>
        <v>Leganés</v>
      </c>
      <c r="F1714" s="57">
        <f ca="1">IFERROR(__xludf.DUMMYFUNCTION("""COMPUTED_VALUE"""),46020)</f>
        <v>46020</v>
      </c>
      <c r="G1714" s="57">
        <f ca="1">IFERROR(__xludf.DUMMYFUNCTION("""COMPUTED_VALUE"""),45978)</f>
        <v>45978</v>
      </c>
      <c r="H1714" s="33" t="str">
        <f ca="1">IFERROR(__xludf.DUMMYFUNCTION("""COMPUTED_VALUE"""),"Leganés")</f>
        <v>Leganés</v>
      </c>
      <c r="I1714" s="33" t="str">
        <f ca="1">IFERROR(__xludf.DUMMYFUNCTION("""COMPUTED_VALUE"""),"C202511171044490999")</f>
        <v>C202511171044490999</v>
      </c>
      <c r="J1714" s="33" t="str">
        <f ca="1">IFERROR(__xludf.DUMMYFUNCTION("""COMPUTED_VALUE"""),"FRANCISCA MIJARRA SANCHEZ")</f>
        <v>FRANCISCA MIJARRA SANCHEZ</v>
      </c>
      <c r="K1714" s="33">
        <f ca="1">IFERROR(__xludf.DUMMYFUNCTION("""COMPUTED_VALUE"""),2)</f>
        <v>2</v>
      </c>
      <c r="L1714" s="203">
        <f ca="1">IFERROR(__xludf.DUMMYFUNCTION("""COMPUTED_VALUE"""),2718.18)</f>
        <v>2718.18</v>
      </c>
      <c r="M1714" s="33" t="str">
        <f ca="1">IFERROR(__xludf.DUMMYFUNCTION("""COMPUTED_VALUE"""),"03 ORL")</f>
        <v>03 ORL</v>
      </c>
      <c r="N1714" s="33" t="str">
        <f ca="1">IFERROR(__xludf.DUMMYFUNCTION("""COMPUTED_VALUE"""),"06 ORL")</f>
        <v>06 ORL</v>
      </c>
      <c r="O1714" s="33" t="str">
        <f ca="1">IFERROR(__xludf.DUMMYFUNCTION("""COMPUTED_VALUE"""),"Dra, Desirée Méndez Brenderbache")</f>
        <v>Dra, Desirée Méndez Brenderbache</v>
      </c>
      <c r="P1714" s="33" t="str">
        <f ca="1">IFERROR(__xludf.DUMMYFUNCTION("""COMPUTED_VALUE"""),"Maika Blázquez (Madrid)")</f>
        <v>Maika Blázquez (Madrid)</v>
      </c>
    </row>
    <row r="1715" spans="2:16">
      <c r="B1715" s="33">
        <f ca="1">IFERROR(__xludf.DUMMYFUNCTION("""COMPUTED_VALUE"""),2025)</f>
        <v>2025</v>
      </c>
      <c r="C1715" s="33">
        <f ca="1">IFERROR(__xludf.DUMMYFUNCTION("""COMPUTED_VALUE"""),12)</f>
        <v>12</v>
      </c>
      <c r="D1715" s="33" t="str">
        <f ca="1">IFERROR(__xludf.DUMMYFUNCTION("""COMPUTED_VALUE"""),"NO")</f>
        <v>NO</v>
      </c>
      <c r="E1715" s="33" t="str">
        <f ca="1">IFERROR(__xludf.DUMMYFUNCTION("""COMPUTED_VALUE"""),"Torrejón de Ardoz")</f>
        <v>Torrejón de Ardoz</v>
      </c>
      <c r="F1715" s="57">
        <f ca="1">IFERROR(__xludf.DUMMYFUNCTION("""COMPUTED_VALUE"""),46020)</f>
        <v>46020</v>
      </c>
      <c r="G1715" s="57">
        <f ca="1">IFERROR(__xludf.DUMMYFUNCTION("""COMPUTED_VALUE"""),45965)</f>
        <v>45965</v>
      </c>
      <c r="H1715" s="33" t="str">
        <f ca="1">IFERROR(__xludf.DUMMYFUNCTION("""COMPUTED_VALUE"""),"Torrejón")</f>
        <v>Torrejón</v>
      </c>
      <c r="I1715" s="33" t="str">
        <f ca="1">IFERROR(__xludf.DUMMYFUNCTION("""COMPUTED_VALUE"""),"C202511418582072340")</f>
        <v>C202511418582072340</v>
      </c>
      <c r="J1715" s="33" t="str">
        <f ca="1">IFERROR(__xludf.DUMMYFUNCTION("""COMPUTED_VALUE"""),"MARI CARMEN SALAZAR PEREZ")</f>
        <v>MARI CARMEN SALAZAR PEREZ</v>
      </c>
      <c r="K1715" s="33">
        <f ca="1">IFERROR(__xludf.DUMMYFUNCTION("""COMPUTED_VALUE"""),2)</f>
        <v>2</v>
      </c>
      <c r="L1715" s="203">
        <f ca="1">IFERROR(__xludf.DUMMYFUNCTION("""COMPUTED_VALUE"""),3631.82)</f>
        <v>3631.82</v>
      </c>
      <c r="M1715" s="33" t="str">
        <f ca="1">IFERROR(__xludf.DUMMYFUNCTION("""COMPUTED_VALUE"""),"03 ORL")</f>
        <v>03 ORL</v>
      </c>
      <c r="N1715" s="33" t="str">
        <f ca="1">IFERROR(__xludf.DUMMYFUNCTION("""COMPUTED_VALUE"""),"06 ORL")</f>
        <v>06 ORL</v>
      </c>
      <c r="O1715" s="33" t="str">
        <f ca="1">IFERROR(__xludf.DUMMYFUNCTION("""COMPUTED_VALUE"""),"Dra, Lorena Sanz López")</f>
        <v>Dra, Lorena Sanz López</v>
      </c>
      <c r="P1715" s="33" t="str">
        <f ca="1">IFERROR(__xludf.DUMMYFUNCTION("""COMPUTED_VALUE"""),"Maika Blázquez (Madrid)")</f>
        <v>Maika Blázquez (Madrid)</v>
      </c>
    </row>
    <row r="1716" spans="2:16">
      <c r="B1716" s="33">
        <f ca="1">IFERROR(__xludf.DUMMYFUNCTION("""COMPUTED_VALUE"""),2025)</f>
        <v>2025</v>
      </c>
      <c r="C1716" s="33">
        <f ca="1">IFERROR(__xludf.DUMMYFUNCTION("""COMPUTED_VALUE"""),12)</f>
        <v>12</v>
      </c>
      <c r="D1716" s="33" t="str">
        <f ca="1">IFERROR(__xludf.DUMMYFUNCTION("""COMPUTED_VALUE"""),"NO")</f>
        <v>NO</v>
      </c>
      <c r="E1716" s="33" t="str">
        <f ca="1">IFERROR(__xludf.DUMMYFUNCTION("""COMPUTED_VALUE"""),"Valencia- Parra")</f>
        <v>Valencia- Parra</v>
      </c>
      <c r="F1716" s="57">
        <f ca="1">IFERROR(__xludf.DUMMYFUNCTION("""COMPUTED_VALUE"""),46020)</f>
        <v>46020</v>
      </c>
      <c r="G1716" s="57">
        <f ca="1">IFERROR(__xludf.DUMMYFUNCTION("""COMPUTED_VALUE"""),45966)</f>
        <v>45966</v>
      </c>
      <c r="H1716" s="33" t="str">
        <f ca="1">IFERROR(__xludf.DUMMYFUNCTION("""COMPUTED_VALUE"""),"Valencia- Parra")</f>
        <v>Valencia- Parra</v>
      </c>
      <c r="I1716" s="33" t="str">
        <f ca="1">IFERROR(__xludf.DUMMYFUNCTION("""COMPUTED_VALUE"""),"C202511593338529474")</f>
        <v>C202511593338529474</v>
      </c>
      <c r="J1716" s="33" t="str">
        <f ca="1">IFERROR(__xludf.DUMMYFUNCTION("""COMPUTED_VALUE"""),"CARLOS ALBERTO MADRID MARCHISIO")</f>
        <v>CARLOS ALBERTO MADRID MARCHISIO</v>
      </c>
      <c r="K1716" s="33">
        <f ca="1">IFERROR(__xludf.DUMMYFUNCTION("""COMPUTED_VALUE"""),2)</f>
        <v>2</v>
      </c>
      <c r="L1716" s="203">
        <f ca="1">IFERROR(__xludf.DUMMYFUNCTION("""COMPUTED_VALUE"""),3631.82)</f>
        <v>3631.82</v>
      </c>
      <c r="M1716" s="33" t="str">
        <f ca="1">IFERROR(__xludf.DUMMYFUNCTION("""COMPUTED_VALUE"""),"03 ORL")</f>
        <v>03 ORL</v>
      </c>
      <c r="N1716" s="33" t="str">
        <f ca="1">IFERROR(__xludf.DUMMYFUNCTION("""COMPUTED_VALUE"""),"06 ORL")</f>
        <v>06 ORL</v>
      </c>
      <c r="O1716" s="33" t="str">
        <f ca="1">IFERROR(__xludf.DUMMYFUNCTION("""COMPUTED_VALUE"""),"Dr, Abel Guzmán Calvete")</f>
        <v>Dr, Abel Guzmán Calvete</v>
      </c>
      <c r="P1716" s="33" t="str">
        <f ca="1">IFERROR(__xludf.DUMMYFUNCTION("""COMPUTED_VALUE"""),"Ramon Ferrando(Valencia)")</f>
        <v>Ramon Ferrando(Valencia)</v>
      </c>
    </row>
    <row r="1717" spans="2:16">
      <c r="B1717" s="33">
        <f ca="1">IFERROR(__xludf.DUMMYFUNCTION("""COMPUTED_VALUE"""),2025)</f>
        <v>2025</v>
      </c>
      <c r="C1717" s="33">
        <f ca="1">IFERROR(__xludf.DUMMYFUNCTION("""COMPUTED_VALUE"""),12)</f>
        <v>12</v>
      </c>
      <c r="D1717" s="33" t="str">
        <f ca="1">IFERROR(__xludf.DUMMYFUNCTION("""COMPUTED_VALUE"""),"NO")</f>
        <v>NO</v>
      </c>
      <c r="E1717" s="33" t="str">
        <f ca="1">IFERROR(__xludf.DUMMYFUNCTION("""COMPUTED_VALUE"""),"Cáceres")</f>
        <v>Cáceres</v>
      </c>
      <c r="F1717" s="57">
        <f ca="1">IFERROR(__xludf.DUMMYFUNCTION("""COMPUTED_VALUE"""),46020)</f>
        <v>46020</v>
      </c>
      <c r="G1717" s="57">
        <f ca="1">IFERROR(__xludf.DUMMYFUNCTION("""COMPUTED_VALUE"""),45986)</f>
        <v>45986</v>
      </c>
      <c r="H1717" s="33" t="str">
        <f ca="1">IFERROR(__xludf.DUMMYFUNCTION("""COMPUTED_VALUE"""),"Cáceres")</f>
        <v>Cáceres</v>
      </c>
      <c r="I1717" s="33" t="str">
        <f ca="1">IFERROR(__xludf.DUMMYFUNCTION("""COMPUTED_VALUE"""),"C202511251126246042")</f>
        <v>C202511251126246042</v>
      </c>
      <c r="J1717" s="33" t="str">
        <f ca="1">IFERROR(__xludf.DUMMYFUNCTION("""COMPUTED_VALUE"""),"JOSEFA RECIO FERNANDEZ")</f>
        <v>JOSEFA RECIO FERNANDEZ</v>
      </c>
      <c r="K1717" s="33">
        <f ca="1">IFERROR(__xludf.DUMMYFUNCTION("""COMPUTED_VALUE"""),2)</f>
        <v>2</v>
      </c>
      <c r="L1717" s="203">
        <f ca="1">IFERROR(__xludf.DUMMYFUNCTION("""COMPUTED_VALUE"""),3678.18)</f>
        <v>3678.18</v>
      </c>
      <c r="M1717" s="33" t="str">
        <f ca="1">IFERROR(__xludf.DUMMYFUNCTION("""COMPUTED_VALUE"""),"03 ORL")</f>
        <v>03 ORL</v>
      </c>
      <c r="N1717" s="33" t="str">
        <f ca="1">IFERROR(__xludf.DUMMYFUNCTION("""COMPUTED_VALUE"""),"06 ORL")</f>
        <v>06 ORL</v>
      </c>
      <c r="O1717" s="33" t="str">
        <f ca="1">IFERROR(__xludf.DUMMYFUNCTION("""COMPUTED_VALUE"""),"Dr, Manuel Cañete Domínguez")</f>
        <v>Dr, Manuel Cañete Domínguez</v>
      </c>
      <c r="P1717" s="33" t="str">
        <f ca="1">IFERROR(__xludf.DUMMYFUNCTION("""COMPUTED_VALUE"""),"Lisandro Russian (Madrid, Cáceres, Toledo, Talavera Y Logroño)")</f>
        <v>Lisandro Russian (Madrid, Cáceres, Toledo, Talavera Y Logroño)</v>
      </c>
    </row>
    <row r="1718" spans="2:16">
      <c r="B1718" s="33">
        <f ca="1">IFERROR(__xludf.DUMMYFUNCTION("""COMPUTED_VALUE"""),2025)</f>
        <v>2025</v>
      </c>
      <c r="C1718" s="33">
        <f ca="1">IFERROR(__xludf.DUMMYFUNCTION("""COMPUTED_VALUE"""),12)</f>
        <v>12</v>
      </c>
      <c r="D1718" s="33" t="str">
        <f ca="1">IFERROR(__xludf.DUMMYFUNCTION("""COMPUTED_VALUE"""),"NO")</f>
        <v>NO</v>
      </c>
      <c r="E1718" s="33" t="str">
        <f ca="1">IFERROR(__xludf.DUMMYFUNCTION("""COMPUTED_VALUE"""),"Cáceres")</f>
        <v>Cáceres</v>
      </c>
      <c r="F1718" s="57">
        <f ca="1">IFERROR(__xludf.DUMMYFUNCTION("""COMPUTED_VALUE"""),46020)</f>
        <v>46020</v>
      </c>
      <c r="G1718" s="57">
        <f ca="1">IFERROR(__xludf.DUMMYFUNCTION("""COMPUTED_VALUE"""),45986)</f>
        <v>45986</v>
      </c>
      <c r="H1718" s="33" t="str">
        <f ca="1">IFERROR(__xludf.DUMMYFUNCTION("""COMPUTED_VALUE"""),"Cáceres")</f>
        <v>Cáceres</v>
      </c>
      <c r="I1718" s="33" t="str">
        <f ca="1">IFERROR(__xludf.DUMMYFUNCTION("""COMPUTED_VALUE"""),"C202511251046053377")</f>
        <v>C202511251046053377</v>
      </c>
      <c r="J1718" s="33" t="str">
        <f ca="1">IFERROR(__xludf.DUMMYFUNCTION("""COMPUTED_VALUE"""),"ELENA POLO MARTIN")</f>
        <v>ELENA POLO MARTIN</v>
      </c>
      <c r="K1718" s="33">
        <f ca="1">IFERROR(__xludf.DUMMYFUNCTION("""COMPUTED_VALUE"""),2)</f>
        <v>2</v>
      </c>
      <c r="L1718" s="203">
        <f ca="1">IFERROR(__xludf.DUMMYFUNCTION("""COMPUTED_VALUE"""),3640.91)</f>
        <v>3640.91</v>
      </c>
      <c r="M1718" s="33" t="str">
        <f ca="1">IFERROR(__xludf.DUMMYFUNCTION("""COMPUTED_VALUE"""),"03 ORL")</f>
        <v>03 ORL</v>
      </c>
      <c r="N1718" s="33" t="str">
        <f ca="1">IFERROR(__xludf.DUMMYFUNCTION("""COMPUTED_VALUE"""),"06 ORL")</f>
        <v>06 ORL</v>
      </c>
      <c r="O1718" s="33" t="str">
        <f ca="1">IFERROR(__xludf.DUMMYFUNCTION("""COMPUTED_VALUE"""),"Dra, María Romero Marchante")</f>
        <v>Dra, María Romero Marchante</v>
      </c>
      <c r="P1718" s="33" t="str">
        <f ca="1">IFERROR(__xludf.DUMMYFUNCTION("""COMPUTED_VALUE"""),"Lisandro Russian (Madrid, Cáceres, Toledo, Talavera Y Logroño)")</f>
        <v>Lisandro Russian (Madrid, Cáceres, Toledo, Talavera Y Logroño)</v>
      </c>
    </row>
    <row r="1719" spans="2:16">
      <c r="B1719" s="33">
        <f ca="1">IFERROR(__xludf.DUMMYFUNCTION("""COMPUTED_VALUE"""),2025)</f>
        <v>2025</v>
      </c>
      <c r="C1719" s="33">
        <f ca="1">IFERROR(__xludf.DUMMYFUNCTION("""COMPUTED_VALUE"""),12)</f>
        <v>12</v>
      </c>
      <c r="D1719" s="33" t="str">
        <f ca="1">IFERROR(__xludf.DUMMYFUNCTION("""COMPUTED_VALUE"""),"NO")</f>
        <v>NO</v>
      </c>
      <c r="E1719" s="33" t="str">
        <f ca="1">IFERROR(__xludf.DUMMYFUNCTION("""COMPUTED_VALUE"""),"Sevilla- Montoto")</f>
        <v>Sevilla- Montoto</v>
      </c>
      <c r="F1719" s="57">
        <f ca="1">IFERROR(__xludf.DUMMYFUNCTION("""COMPUTED_VALUE"""),46020)</f>
        <v>46020</v>
      </c>
      <c r="G1719" s="57">
        <f ca="1">IFERROR(__xludf.DUMMYFUNCTION("""COMPUTED_VALUE"""),45987)</f>
        <v>45987</v>
      </c>
      <c r="H1719" s="33" t="str">
        <f ca="1">IFERROR(__xludf.DUMMYFUNCTION("""COMPUTED_VALUE"""),"Montoto")</f>
        <v>Montoto</v>
      </c>
      <c r="I1719" s="33" t="str">
        <f ca="1">IFERROR(__xludf.DUMMYFUNCTION("""COMPUTED_VALUE"""),"C202511261758146117")</f>
        <v>C202511261758146117</v>
      </c>
      <c r="J1719" s="33" t="str">
        <f ca="1">IFERROR(__xludf.DUMMYFUNCTION("""COMPUTED_VALUE"""),"DOLORES DIAZ HERRERA")</f>
        <v>DOLORES DIAZ HERRERA</v>
      </c>
      <c r="K1719" s="33">
        <f ca="1">IFERROR(__xludf.DUMMYFUNCTION("""COMPUTED_VALUE"""),2)</f>
        <v>2</v>
      </c>
      <c r="L1719" s="203">
        <f ca="1">IFERROR(__xludf.DUMMYFUNCTION("""COMPUTED_VALUE"""),2581.82)</f>
        <v>2581.8200000000002</v>
      </c>
      <c r="M1719" s="33" t="str">
        <f ca="1">IFERROR(__xludf.DUMMYFUNCTION("""COMPUTED_VALUE"""),"03 ORL")</f>
        <v>03 ORL</v>
      </c>
      <c r="N1719" s="33" t="str">
        <f ca="1">IFERROR(__xludf.DUMMYFUNCTION("""COMPUTED_VALUE"""),"06 ORL")</f>
        <v>06 ORL</v>
      </c>
      <c r="O1719" s="33" t="str">
        <f ca="1">IFERROR(__xludf.DUMMYFUNCTION("""COMPUTED_VALUE"""),"Dra, Estefanía Berrocal Postigo")</f>
        <v>Dra, Estefanía Berrocal Postigo</v>
      </c>
      <c r="P1719" s="33" t="str">
        <f ca="1">IFERROR(__xludf.DUMMYFUNCTION("""COMPUTED_VALUE"""),"Luis Alberto Rodríguez (Andalucía y Badajoz)")</f>
        <v>Luis Alberto Rodríguez (Andalucía y Badajoz)</v>
      </c>
    </row>
    <row r="1720" spans="2:16">
      <c r="B1720" s="33">
        <f ca="1">IFERROR(__xludf.DUMMYFUNCTION("""COMPUTED_VALUE"""),2025)</f>
        <v>2025</v>
      </c>
      <c r="C1720" s="33">
        <f ca="1">IFERROR(__xludf.DUMMYFUNCTION("""COMPUTED_VALUE"""),12)</f>
        <v>12</v>
      </c>
      <c r="D1720" s="33" t="str">
        <f ca="1">IFERROR(__xludf.DUMMYFUNCTION("""COMPUTED_VALUE"""),"NO")</f>
        <v>NO</v>
      </c>
      <c r="E1720" s="33" t="str">
        <f ca="1">IFERROR(__xludf.DUMMYFUNCTION("""COMPUTED_VALUE"""),"Getafe")</f>
        <v>Getafe</v>
      </c>
      <c r="F1720" s="57">
        <f ca="1">IFERROR(__xludf.DUMMYFUNCTION("""COMPUTED_VALUE"""),46020)</f>
        <v>46020</v>
      </c>
      <c r="G1720" s="57">
        <f ca="1">IFERROR(__xludf.DUMMYFUNCTION("""COMPUTED_VALUE"""),45986)</f>
        <v>45986</v>
      </c>
      <c r="H1720" s="33" t="str">
        <f ca="1">IFERROR(__xludf.DUMMYFUNCTION("""COMPUTED_VALUE"""),"Getafe")</f>
        <v>Getafe</v>
      </c>
      <c r="I1720" s="33" t="str">
        <f ca="1">IFERROR(__xludf.DUMMYFUNCTION("""COMPUTED_VALUE"""),"C202511251446166226")</f>
        <v>C202511251446166226</v>
      </c>
      <c r="J1720" s="33" t="str">
        <f ca="1">IFERROR(__xludf.DUMMYFUNCTION("""COMPUTED_VALUE"""),"AGUSTÍN ORTUETA ROCA")</f>
        <v>AGUSTÍN ORTUETA ROCA</v>
      </c>
      <c r="K1720" s="33">
        <f ca="1">IFERROR(__xludf.DUMMYFUNCTION("""COMPUTED_VALUE"""),1)</f>
        <v>1</v>
      </c>
      <c r="L1720" s="203">
        <f ca="1">IFERROR(__xludf.DUMMYFUNCTION("""COMPUTED_VALUE"""),2180.91)</f>
        <v>2180.91</v>
      </c>
      <c r="M1720" s="33" t="str">
        <f ca="1">IFERROR(__xludf.DUMMYFUNCTION("""COMPUTED_VALUE"""),"03 ORL")</f>
        <v>03 ORL</v>
      </c>
      <c r="N1720" s="33" t="str">
        <f ca="1">IFERROR(__xludf.DUMMYFUNCTION("""COMPUTED_VALUE"""),"06 ORL")</f>
        <v>06 ORL</v>
      </c>
      <c r="O1720" s="33" t="str">
        <f ca="1">IFERROR(__xludf.DUMMYFUNCTION("""COMPUTED_VALUE"""),"Dr, Jonathan Esteban Sánchez")</f>
        <v>Dr, Jonathan Esteban Sánchez</v>
      </c>
      <c r="P1720" s="33" t="str">
        <f ca="1">IFERROR(__xludf.DUMMYFUNCTION("""COMPUTED_VALUE"""),"Maika Blázquez (Madrid)")</f>
        <v>Maika Blázquez (Madrid)</v>
      </c>
    </row>
    <row r="1721" spans="2:16">
      <c r="B1721" s="33">
        <f ca="1">IFERROR(__xludf.DUMMYFUNCTION("""COMPUTED_VALUE"""),2025)</f>
        <v>2025</v>
      </c>
      <c r="C1721" s="33">
        <f ca="1">IFERROR(__xludf.DUMMYFUNCTION("""COMPUTED_VALUE"""),12)</f>
        <v>12</v>
      </c>
      <c r="D1721" s="33" t="str">
        <f ca="1">IFERROR(__xludf.DUMMYFUNCTION("""COMPUTED_VALUE"""),"NO")</f>
        <v>NO</v>
      </c>
      <c r="E1721" s="33" t="str">
        <f ca="1">IFERROR(__xludf.DUMMYFUNCTION("""COMPUTED_VALUE"""),"Madrid- Juan Bravo")</f>
        <v>Madrid- Juan Bravo</v>
      </c>
      <c r="F1721" s="57">
        <f ca="1">IFERROR(__xludf.DUMMYFUNCTION("""COMPUTED_VALUE"""),46020)</f>
        <v>46020</v>
      </c>
      <c r="G1721" s="57">
        <f ca="1">IFERROR(__xludf.DUMMYFUNCTION("""COMPUTED_VALUE"""),45987)</f>
        <v>45987</v>
      </c>
      <c r="H1721" s="33" t="str">
        <f ca="1">IFERROR(__xludf.DUMMYFUNCTION("""COMPUTED_VALUE"""),"Juan Bravo")</f>
        <v>Juan Bravo</v>
      </c>
      <c r="I1721" s="33" t="str">
        <f ca="1">IFERROR(__xludf.DUMMYFUNCTION("""COMPUTED_VALUE"""),"C202511261511281165")</f>
        <v>C202511261511281165</v>
      </c>
      <c r="J1721" s="33" t="str">
        <f ca="1">IFERROR(__xludf.DUMMYFUNCTION("""COMPUTED_VALUE"""),"CAROLINA CUENCA CASAIS")</f>
        <v>CAROLINA CUENCA CASAIS</v>
      </c>
      <c r="K1721" s="33">
        <f ca="1">IFERROR(__xludf.DUMMYFUNCTION("""COMPUTED_VALUE"""),1)</f>
        <v>1</v>
      </c>
      <c r="L1721" s="203">
        <f ca="1">IFERROR(__xludf.DUMMYFUNCTION("""COMPUTED_VALUE"""),2180.91)</f>
        <v>2180.91</v>
      </c>
      <c r="M1721" s="33" t="str">
        <f ca="1">IFERROR(__xludf.DUMMYFUNCTION("""COMPUTED_VALUE"""),"03 ORL")</f>
        <v>03 ORL</v>
      </c>
      <c r="N1721" s="33" t="str">
        <f ca="1">IFERROR(__xludf.DUMMYFUNCTION("""COMPUTED_VALUE"""),"06 ORL")</f>
        <v>06 ORL</v>
      </c>
      <c r="O1721" s="33" t="str">
        <f ca="1">IFERROR(__xludf.DUMMYFUNCTION("""COMPUTED_VALUE"""),"Dr, Carlos Barajas del Rosal")</f>
        <v>Dr, Carlos Barajas del Rosal</v>
      </c>
      <c r="P1721" s="33" t="str">
        <f ca="1">IFERROR(__xludf.DUMMYFUNCTION("""COMPUTED_VALUE"""),"Lisandro Russian (Madrid, Cáceres, Toledo, Talavera Y Logroño)")</f>
        <v>Lisandro Russian (Madrid, Cáceres, Toledo, Talavera Y Logroño)</v>
      </c>
    </row>
    <row r="1722" spans="2:16">
      <c r="B1722" s="33">
        <f ca="1">IFERROR(__xludf.DUMMYFUNCTION("""COMPUTED_VALUE"""),2025)</f>
        <v>2025</v>
      </c>
      <c r="C1722" s="33">
        <f ca="1">IFERROR(__xludf.DUMMYFUNCTION("""COMPUTED_VALUE"""),12)</f>
        <v>12</v>
      </c>
      <c r="D1722" s="33" t="str">
        <f ca="1">IFERROR(__xludf.DUMMYFUNCTION("""COMPUTED_VALUE"""),"NO")</f>
        <v>NO</v>
      </c>
      <c r="E1722" s="33" t="str">
        <f ca="1">IFERROR(__xludf.DUMMYFUNCTION("""COMPUTED_VALUE"""),"Albacete")</f>
        <v>Albacete</v>
      </c>
      <c r="F1722" s="57">
        <f ca="1">IFERROR(__xludf.DUMMYFUNCTION("""COMPUTED_VALUE"""),46020)</f>
        <v>46020</v>
      </c>
      <c r="G1722" s="57">
        <f ca="1">IFERROR(__xludf.DUMMYFUNCTION("""COMPUTED_VALUE"""),45973)</f>
        <v>45973</v>
      </c>
      <c r="H1722" s="33" t="str">
        <f ca="1">IFERROR(__xludf.DUMMYFUNCTION("""COMPUTED_VALUE"""),"Albacete")</f>
        <v>Albacete</v>
      </c>
      <c r="I1722" s="33" t="str">
        <f ca="1">IFERROR(__xludf.DUMMYFUNCTION("""COMPUTED_VALUE"""),"C202511121263086318")</f>
        <v>C202511121263086318</v>
      </c>
      <c r="J1722" s="33" t="str">
        <f ca="1">IFERROR(__xludf.DUMMYFUNCTION("""COMPUTED_VALUE"""),"AITOR CUADRADO GÓMEZ")</f>
        <v>AITOR CUADRADO GÓMEZ</v>
      </c>
      <c r="K1722" s="33">
        <f ca="1">IFERROR(__xludf.DUMMYFUNCTION("""COMPUTED_VALUE"""),1)</f>
        <v>1</v>
      </c>
      <c r="L1722" s="203">
        <f ca="1">IFERROR(__xludf.DUMMYFUNCTION("""COMPUTED_VALUE"""),2463.64)</f>
        <v>2463.64</v>
      </c>
      <c r="M1722" s="33" t="str">
        <f ca="1">IFERROR(__xludf.DUMMYFUNCTION("""COMPUTED_VALUE"""),"03 ORL")</f>
        <v>03 ORL</v>
      </c>
      <c r="N1722" s="33" t="str">
        <f ca="1">IFERROR(__xludf.DUMMYFUNCTION("""COMPUTED_VALUE"""),"06 ORL")</f>
        <v>06 ORL</v>
      </c>
      <c r="O1722" s="33" t="str">
        <f ca="1">IFERROR(__xludf.DUMMYFUNCTION("""COMPUTED_VALUE"""),"Dra, Alejandra Jara Maquilón")</f>
        <v>Dra, Alejandra Jara Maquilón</v>
      </c>
      <c r="P1722" s="33" t="str">
        <f ca="1">IFERROR(__xludf.DUMMYFUNCTION("""COMPUTED_VALUE"""),"Iván Sánchez (Levante Y Albacete)")</f>
        <v>Iván Sánchez (Levante Y Albacete)</v>
      </c>
    </row>
    <row r="1723" spans="2:16">
      <c r="B1723" s="33">
        <f ca="1">IFERROR(__xludf.DUMMYFUNCTION("""COMPUTED_VALUE"""),2025)</f>
        <v>2025</v>
      </c>
      <c r="C1723" s="33">
        <f ca="1">IFERROR(__xludf.DUMMYFUNCTION("""COMPUTED_VALUE"""),12)</f>
        <v>12</v>
      </c>
      <c r="D1723" s="33" t="str">
        <f ca="1">IFERROR(__xludf.DUMMYFUNCTION("""COMPUTED_VALUE"""),"NO")</f>
        <v>NO</v>
      </c>
      <c r="E1723" s="33" t="str">
        <f ca="1">IFERROR(__xludf.DUMMYFUNCTION("""COMPUTED_VALUE"""),"Huelva")</f>
        <v>Huelva</v>
      </c>
      <c r="F1723" s="57">
        <f ca="1">IFERROR(__xludf.DUMMYFUNCTION("""COMPUTED_VALUE"""),46020)</f>
        <v>46020</v>
      </c>
      <c r="G1723" s="57">
        <f ca="1">IFERROR(__xludf.DUMMYFUNCTION("""COMPUTED_VALUE"""),45973)</f>
        <v>45973</v>
      </c>
      <c r="H1723" s="33" t="str">
        <f ca="1">IFERROR(__xludf.DUMMYFUNCTION("""COMPUTED_VALUE"""),"Huelva")</f>
        <v>Huelva</v>
      </c>
      <c r="I1723" s="33" t="str">
        <f ca="1">IFERROR(__xludf.DUMMYFUNCTION("""COMPUTED_VALUE"""),"C202511121537579266")</f>
        <v>C202511121537579266</v>
      </c>
      <c r="J1723" s="33" t="str">
        <f ca="1">IFERROR(__xludf.DUMMYFUNCTION("""COMPUTED_VALUE"""),"MANUELA CAMACHO CANDELA")</f>
        <v>MANUELA CAMACHO CANDELA</v>
      </c>
      <c r="K1723" s="33">
        <f ca="1">IFERROR(__xludf.DUMMYFUNCTION("""COMPUTED_VALUE"""),2)</f>
        <v>2</v>
      </c>
      <c r="L1723" s="203">
        <f ca="1">IFERROR(__xludf.DUMMYFUNCTION("""COMPUTED_VALUE"""),2718.18)</f>
        <v>2718.18</v>
      </c>
      <c r="M1723" s="33" t="str">
        <f ca="1">IFERROR(__xludf.DUMMYFUNCTION("""COMPUTED_VALUE"""),"03 ORL")</f>
        <v>03 ORL</v>
      </c>
      <c r="N1723" s="33" t="str">
        <f ca="1">IFERROR(__xludf.DUMMYFUNCTION("""COMPUTED_VALUE"""),"06 ORL")</f>
        <v>06 ORL</v>
      </c>
      <c r="O1723" s="33" t="str">
        <f ca="1">IFERROR(__xludf.DUMMYFUNCTION("""COMPUTED_VALUE"""),"Dr, Antonio Cortés Lladó")</f>
        <v>Dr, Antonio Cortés Lladó</v>
      </c>
      <c r="P1723" s="33" t="str">
        <f ca="1">IFERROR(__xludf.DUMMYFUNCTION("""COMPUTED_VALUE"""),"Luis Alberto Rodríguez (Andalucía y Badajoz)")</f>
        <v>Luis Alberto Rodríguez (Andalucía y Badajoz)</v>
      </c>
    </row>
    <row r="1724" spans="2:16">
      <c r="B1724" s="33">
        <f ca="1">IFERROR(__xludf.DUMMYFUNCTION("""COMPUTED_VALUE"""),2025)</f>
        <v>2025</v>
      </c>
      <c r="C1724" s="33">
        <f ca="1">IFERROR(__xludf.DUMMYFUNCTION("""COMPUTED_VALUE"""),12)</f>
        <v>12</v>
      </c>
      <c r="D1724" s="33" t="str">
        <f ca="1">IFERROR(__xludf.DUMMYFUNCTION("""COMPUTED_VALUE"""),"SI")</f>
        <v>SI</v>
      </c>
      <c r="E1724" s="33" t="str">
        <f ca="1">IFERROR(__xludf.DUMMYFUNCTION("""COMPUTED_VALUE"""),"Almería")</f>
        <v>Almería</v>
      </c>
      <c r="F1724" s="57">
        <f ca="1">IFERROR(__xludf.DUMMYFUNCTION("""COMPUTED_VALUE"""),46020)</f>
        <v>46020</v>
      </c>
      <c r="G1724" s="57">
        <f ca="1">IFERROR(__xludf.DUMMYFUNCTION("""COMPUTED_VALUE"""),45972)</f>
        <v>45972</v>
      </c>
      <c r="H1724" s="33" t="str">
        <f ca="1">IFERROR(__xludf.DUMMYFUNCTION("""COMPUTED_VALUE"""),"Almería")</f>
        <v>Almería</v>
      </c>
      <c r="I1724" s="33" t="str">
        <f ca="1">IFERROR(__xludf.DUMMYFUNCTION("""COMPUTED_VALUE"""),"C202511111117495526")</f>
        <v>C202511111117495526</v>
      </c>
      <c r="J1724" s="33" t="str">
        <f ca="1">IFERROR(__xludf.DUMMYFUNCTION("""COMPUTED_VALUE"""),"JESUS GARRIDO CASTRO")</f>
        <v>JESUS GARRIDO CASTRO</v>
      </c>
      <c r="K1724" s="33">
        <f ca="1">IFERROR(__xludf.DUMMYFUNCTION("""COMPUTED_VALUE"""),1)</f>
        <v>1</v>
      </c>
      <c r="L1724" s="203">
        <f ca="1">IFERROR(__xludf.DUMMYFUNCTION("""COMPUTED_VALUE"""),2180.91)</f>
        <v>2180.91</v>
      </c>
      <c r="M1724" s="33" t="str">
        <f ca="1">IFERROR(__xludf.DUMMYFUNCTION("""COMPUTED_VALUE"""),"03 ORL")</f>
        <v>03 ORL</v>
      </c>
      <c r="N1724" s="33" t="str">
        <f ca="1">IFERROR(__xludf.DUMMYFUNCTION("""COMPUTED_VALUE"""),"06 ORL")</f>
        <v>06 ORL</v>
      </c>
      <c r="O1724" s="33" t="str">
        <f ca="1">IFERROR(__xludf.DUMMYFUNCTION("""COMPUTED_VALUE"""),"Dr, Javier Padilla Cabello")</f>
        <v>Dr, Javier Padilla Cabello</v>
      </c>
      <c r="P1724" s="33" t="str">
        <f ca="1">IFERROR(__xludf.DUMMYFUNCTION("""COMPUTED_VALUE"""),"Ramon Ferrando(Valencia)")</f>
        <v>Ramon Ferrando(Valencia)</v>
      </c>
    </row>
    <row r="1725" spans="2:16">
      <c r="B1725" s="33">
        <f ca="1">IFERROR(__xludf.DUMMYFUNCTION("""COMPUTED_VALUE"""),2025)</f>
        <v>2025</v>
      </c>
      <c r="C1725" s="33">
        <f ca="1">IFERROR(__xludf.DUMMYFUNCTION("""COMPUTED_VALUE"""),12)</f>
        <v>12</v>
      </c>
      <c r="D1725" s="33" t="str">
        <f ca="1">IFERROR(__xludf.DUMMYFUNCTION("""COMPUTED_VALUE"""),"NO")</f>
        <v>NO</v>
      </c>
      <c r="E1725" s="33" t="str">
        <f ca="1">IFERROR(__xludf.DUMMYFUNCTION("""COMPUTED_VALUE"""),"Cáceres")</f>
        <v>Cáceres</v>
      </c>
      <c r="F1725" s="57">
        <f ca="1">IFERROR(__xludf.DUMMYFUNCTION("""COMPUTED_VALUE"""),46020)</f>
        <v>46020</v>
      </c>
      <c r="G1725" s="57">
        <f ca="1">IFERROR(__xludf.DUMMYFUNCTION("""COMPUTED_VALUE"""),45993)</f>
        <v>45993</v>
      </c>
      <c r="H1725" s="33" t="str">
        <f ca="1">IFERROR(__xludf.DUMMYFUNCTION("""COMPUTED_VALUE"""),"Cáceres")</f>
        <v>Cáceres</v>
      </c>
      <c r="I1725" s="33" t="str">
        <f ca="1">IFERROR(__xludf.DUMMYFUNCTION("""COMPUTED_VALUE"""),"C202512212557837550")</f>
        <v>C202512212557837550</v>
      </c>
      <c r="J1725" s="33" t="str">
        <f ca="1">IFERROR(__xludf.DUMMYFUNCTION("""COMPUTED_VALUE"""),"ANGEL SANDIN MORA")</f>
        <v>ANGEL SANDIN MORA</v>
      </c>
      <c r="K1725" s="33">
        <f ca="1">IFERROR(__xludf.DUMMYFUNCTION("""COMPUTED_VALUE"""),2)</f>
        <v>2</v>
      </c>
      <c r="L1725" s="203">
        <f ca="1">IFERROR(__xludf.DUMMYFUNCTION("""COMPUTED_VALUE"""),3440)</f>
        <v>3440</v>
      </c>
      <c r="M1725" s="33" t="str">
        <f ca="1">IFERROR(__xludf.DUMMYFUNCTION("""COMPUTED_VALUE"""),"03 ORL")</f>
        <v>03 ORL</v>
      </c>
      <c r="N1725" s="33" t="str">
        <f ca="1">IFERROR(__xludf.DUMMYFUNCTION("""COMPUTED_VALUE"""),"06 ORL")</f>
        <v>06 ORL</v>
      </c>
      <c r="O1725" s="33" t="str">
        <f ca="1">IFERROR(__xludf.DUMMYFUNCTION("""COMPUTED_VALUE"""),"Dr, Andrés Paulino Herrera")</f>
        <v>Dr, Andrés Paulino Herrera</v>
      </c>
      <c r="P1725" s="33" t="str">
        <f ca="1">IFERROR(__xludf.DUMMYFUNCTION("""COMPUTED_VALUE"""),"Lisandro Russian (Madrid, Cáceres, Toledo, Talavera Y Logroño)")</f>
        <v>Lisandro Russian (Madrid, Cáceres, Toledo, Talavera Y Logroño)</v>
      </c>
    </row>
    <row r="1726" spans="2:16">
      <c r="B1726" s="33">
        <f ca="1">IFERROR(__xludf.DUMMYFUNCTION("""COMPUTED_VALUE"""),2025)</f>
        <v>2025</v>
      </c>
      <c r="C1726" s="33">
        <f ca="1">IFERROR(__xludf.DUMMYFUNCTION("""COMPUTED_VALUE"""),12)</f>
        <v>12</v>
      </c>
      <c r="D1726" s="33" t="str">
        <f ca="1">IFERROR(__xludf.DUMMYFUNCTION("""COMPUTED_VALUE"""),"NO")</f>
        <v>NO</v>
      </c>
      <c r="E1726" s="33" t="str">
        <f ca="1">IFERROR(__xludf.DUMMYFUNCTION("""COMPUTED_VALUE"""),"Cáceres")</f>
        <v>Cáceres</v>
      </c>
      <c r="F1726" s="57">
        <f ca="1">IFERROR(__xludf.DUMMYFUNCTION("""COMPUTED_VALUE"""),46021)</f>
        <v>46021</v>
      </c>
      <c r="G1726" s="57">
        <f ca="1">IFERROR(__xludf.DUMMYFUNCTION("""COMPUTED_VALUE"""),45992)</f>
        <v>45992</v>
      </c>
      <c r="H1726" s="33" t="str">
        <f ca="1">IFERROR(__xludf.DUMMYFUNCTION("""COMPUTED_VALUE"""),"Cáceres")</f>
        <v>Cáceres</v>
      </c>
      <c r="I1726" s="33" t="str">
        <f ca="1">IFERROR(__xludf.DUMMYFUNCTION("""COMPUTED_VALUE"""),"C202512193859345294")</f>
        <v>C202512193859345294</v>
      </c>
      <c r="J1726" s="33" t="str">
        <f ca="1">IFERROR(__xludf.DUMMYFUNCTION("""COMPUTED_VALUE"""),"REMEDIOS  MARTIN ORDIALES")</f>
        <v>REMEDIOS  MARTIN ORDIALES</v>
      </c>
      <c r="K1726" s="33">
        <f ca="1">IFERROR(__xludf.DUMMYFUNCTION("""COMPUTED_VALUE"""),1)</f>
        <v>1</v>
      </c>
      <c r="L1726" s="203">
        <f ca="1">IFERROR(__xludf.DUMMYFUNCTION("""COMPUTED_VALUE"""),1881.82)</f>
        <v>1881.82</v>
      </c>
      <c r="M1726" s="33" t="str">
        <f ca="1">IFERROR(__xludf.DUMMYFUNCTION("""COMPUTED_VALUE"""),"03 ORL")</f>
        <v>03 ORL</v>
      </c>
      <c r="N1726" s="33" t="str">
        <f ca="1">IFERROR(__xludf.DUMMYFUNCTION("""COMPUTED_VALUE"""),"06 ORL")</f>
        <v>06 ORL</v>
      </c>
      <c r="O1726" s="33" t="str">
        <f ca="1">IFERROR(__xludf.DUMMYFUNCTION("""COMPUTED_VALUE"""),"Dra, Daniela Carolina Laguado Bulgheroni")</f>
        <v>Dra, Daniela Carolina Laguado Bulgheroni</v>
      </c>
      <c r="P1726" s="33" t="str">
        <f ca="1">IFERROR(__xludf.DUMMYFUNCTION("""COMPUTED_VALUE"""),"Lisandro Russian (Madrid, Cáceres, Toledo, Talavera Y Logroño)")</f>
        <v>Lisandro Russian (Madrid, Cáceres, Toledo, Talavera Y Logroño)</v>
      </c>
    </row>
    <row r="1727" spans="2:16">
      <c r="B1727" s="33">
        <f ca="1">IFERROR(__xludf.DUMMYFUNCTION("""COMPUTED_VALUE"""),2025)</f>
        <v>2025</v>
      </c>
      <c r="C1727" s="33">
        <f ca="1">IFERROR(__xludf.DUMMYFUNCTION("""COMPUTED_VALUE"""),12)</f>
        <v>12</v>
      </c>
      <c r="D1727" s="33" t="str">
        <f ca="1">IFERROR(__xludf.DUMMYFUNCTION("""COMPUTED_VALUE"""),"NO")</f>
        <v>NO</v>
      </c>
      <c r="E1727" s="33" t="str">
        <f ca="1">IFERROR(__xludf.DUMMYFUNCTION("""COMPUTED_VALUE"""),"Leganés")</f>
        <v>Leganés</v>
      </c>
      <c r="F1727" s="57">
        <f ca="1">IFERROR(__xludf.DUMMYFUNCTION("""COMPUTED_VALUE"""),46021)</f>
        <v>46021</v>
      </c>
      <c r="G1727" s="57">
        <f ca="1">IFERROR(__xludf.DUMMYFUNCTION("""COMPUTED_VALUE"""),45957)</f>
        <v>45957</v>
      </c>
      <c r="H1727" s="33" t="str">
        <f ca="1">IFERROR(__xludf.DUMMYFUNCTION("""COMPUTED_VALUE"""),"Leganés")</f>
        <v>Leganés</v>
      </c>
      <c r="I1727" s="33" t="str">
        <f ca="1">IFERROR(__xludf.DUMMYFUNCTION("""COMPUTED_VALUE"""),"C202510271625891811")</f>
        <v>C202510271625891811</v>
      </c>
      <c r="J1727" s="33" t="str">
        <f ca="1">IFERROR(__xludf.DUMMYFUNCTION("""COMPUTED_VALUE"""),"JOSEFA SOLIS MENA")</f>
        <v>JOSEFA SOLIS MENA</v>
      </c>
      <c r="K1727" s="33">
        <f ca="1">IFERROR(__xludf.DUMMYFUNCTION("""COMPUTED_VALUE"""),2)</f>
        <v>2</v>
      </c>
      <c r="L1727" s="203">
        <f ca="1">IFERROR(__xludf.DUMMYFUNCTION("""COMPUTED_VALUE"""),3631.82)</f>
        <v>3631.82</v>
      </c>
      <c r="M1727" s="33" t="str">
        <f ca="1">IFERROR(__xludf.DUMMYFUNCTION("""COMPUTED_VALUE"""),"03 ORL")</f>
        <v>03 ORL</v>
      </c>
      <c r="N1727" s="33" t="str">
        <f ca="1">IFERROR(__xludf.DUMMYFUNCTION("""COMPUTED_VALUE"""),"06 ORL")</f>
        <v>06 ORL</v>
      </c>
      <c r="O1727" s="33" t="str">
        <f ca="1">IFERROR(__xludf.DUMMYFUNCTION("""COMPUTED_VALUE"""),"Dra, Ana Ruiz Fornells Noreña")</f>
        <v>Dra, Ana Ruiz Fornells Noreña</v>
      </c>
      <c r="P1727" s="33" t="str">
        <f ca="1">IFERROR(__xludf.DUMMYFUNCTION("""COMPUTED_VALUE"""),"Maika Blázquez (Madrid)")</f>
        <v>Maika Blázquez (Madrid)</v>
      </c>
    </row>
    <row r="1728" spans="2:16">
      <c r="B1728" s="33">
        <f ca="1">IFERROR(__xludf.DUMMYFUNCTION("""COMPUTED_VALUE"""),2025)</f>
        <v>2025</v>
      </c>
      <c r="C1728" s="33">
        <f ca="1">IFERROR(__xludf.DUMMYFUNCTION("""COMPUTED_VALUE"""),12)</f>
        <v>12</v>
      </c>
      <c r="D1728" s="33" t="str">
        <f ca="1">IFERROR(__xludf.DUMMYFUNCTION("""COMPUTED_VALUE"""),"NO")</f>
        <v>NO</v>
      </c>
      <c r="E1728" s="33" t="str">
        <f ca="1">IFERROR(__xludf.DUMMYFUNCTION("""COMPUTED_VALUE"""),"Valencia- Cádiz")</f>
        <v>Valencia- Cádiz</v>
      </c>
      <c r="F1728" s="57">
        <f ca="1">IFERROR(__xludf.DUMMYFUNCTION("""COMPUTED_VALUE"""),46021)</f>
        <v>46021</v>
      </c>
      <c r="G1728" s="57">
        <f ca="1">IFERROR(__xludf.DUMMYFUNCTION("""COMPUTED_VALUE"""),45973)</f>
        <v>45973</v>
      </c>
      <c r="H1728" s="33" t="str">
        <f ca="1">IFERROR(__xludf.DUMMYFUNCTION("""COMPUTED_VALUE"""),"Valencia- Cádiz")</f>
        <v>Valencia- Cádiz</v>
      </c>
      <c r="I1728" s="33" t="str">
        <f ca="1">IFERROR(__xludf.DUMMYFUNCTION("""COMPUTED_VALUE"""),"C202511121752841356")</f>
        <v>C202511121752841356</v>
      </c>
      <c r="J1728" s="33" t="str">
        <f ca="1">IFERROR(__xludf.DUMMYFUNCTION("""COMPUTED_VALUE"""),"JUAN IGNACIO GRAU DICENTA")</f>
        <v>JUAN IGNACIO GRAU DICENTA</v>
      </c>
      <c r="K1728" s="33">
        <f ca="1">IFERROR(__xludf.DUMMYFUNCTION("""COMPUTED_VALUE"""),2)</f>
        <v>2</v>
      </c>
      <c r="L1728" s="203">
        <f ca="1">IFERROR(__xludf.DUMMYFUNCTION("""COMPUTED_VALUE"""),4536.36)</f>
        <v>4536.3599999999997</v>
      </c>
      <c r="M1728" s="33" t="str">
        <f ca="1">IFERROR(__xludf.DUMMYFUNCTION("""COMPUTED_VALUE"""),"03 ORL")</f>
        <v>03 ORL</v>
      </c>
      <c r="N1728" s="33" t="str">
        <f ca="1">IFERROR(__xludf.DUMMYFUNCTION("""COMPUTED_VALUE"""),"06 ORL")</f>
        <v>06 ORL</v>
      </c>
      <c r="O1728" s="33" t="str">
        <f ca="1">IFERROR(__xludf.DUMMYFUNCTION("""COMPUTED_VALUE"""),"Dra, Inmaculada Puíg González")</f>
        <v>Dra, Inmaculada Puíg González</v>
      </c>
      <c r="P1728" s="33" t="str">
        <f ca="1">IFERROR(__xludf.DUMMYFUNCTION("""COMPUTED_VALUE"""),"Iván Sánchez (Levante Y Albacete)")</f>
        <v>Iván Sánchez (Levante Y Albacete)</v>
      </c>
    </row>
    <row r="1729" spans="2:16">
      <c r="B1729" s="33">
        <f ca="1">IFERROR(__xludf.DUMMYFUNCTION("""COMPUTED_VALUE"""),2025)</f>
        <v>2025</v>
      </c>
      <c r="C1729" s="33">
        <f ca="1">IFERROR(__xludf.DUMMYFUNCTION("""COMPUTED_VALUE"""),12)</f>
        <v>12</v>
      </c>
      <c r="D1729" s="33" t="str">
        <f ca="1">IFERROR(__xludf.DUMMYFUNCTION("""COMPUTED_VALUE"""),"NO")</f>
        <v>NO</v>
      </c>
      <c r="E1729" s="33" t="str">
        <f ca="1">IFERROR(__xludf.DUMMYFUNCTION("""COMPUTED_VALUE"""),"Madrid- Juan Bravo")</f>
        <v>Madrid- Juan Bravo</v>
      </c>
      <c r="F1729" s="57">
        <f ca="1">IFERROR(__xludf.DUMMYFUNCTION("""COMPUTED_VALUE"""),46021)</f>
        <v>46021</v>
      </c>
      <c r="G1729" s="57">
        <f ca="1">IFERROR(__xludf.DUMMYFUNCTION("""COMPUTED_VALUE"""),45992)</f>
        <v>45992</v>
      </c>
      <c r="H1729" s="33" t="str">
        <f ca="1">IFERROR(__xludf.DUMMYFUNCTION("""COMPUTED_VALUE"""),"Juan Bravo")</f>
        <v>Juan Bravo</v>
      </c>
      <c r="I1729" s="33" t="str">
        <f ca="1">IFERROR(__xludf.DUMMYFUNCTION("""COMPUTED_VALUE"""),"C202512116345827671")</f>
        <v>C202512116345827671</v>
      </c>
      <c r="J1729" s="33" t="str">
        <f ca="1">IFERROR(__xludf.DUMMYFUNCTION("""COMPUTED_VALUE"""),"ISIDORO MARBAN PABON")</f>
        <v>ISIDORO MARBAN PABON</v>
      </c>
      <c r="K1729" s="33">
        <f ca="1">IFERROR(__xludf.DUMMYFUNCTION("""COMPUTED_VALUE"""),2)</f>
        <v>2</v>
      </c>
      <c r="L1729" s="203">
        <f ca="1">IFERROR(__xludf.DUMMYFUNCTION("""COMPUTED_VALUE"""),2582.27)</f>
        <v>2582.27</v>
      </c>
      <c r="M1729" s="33" t="str">
        <f ca="1">IFERROR(__xludf.DUMMYFUNCTION("""COMPUTED_VALUE"""),"03 ORL")</f>
        <v>03 ORL</v>
      </c>
      <c r="N1729" s="33" t="str">
        <f ca="1">IFERROR(__xludf.DUMMYFUNCTION("""COMPUTED_VALUE"""),"06 ORL")</f>
        <v>06 ORL</v>
      </c>
      <c r="O1729" s="33" t="str">
        <f ca="1">IFERROR(__xludf.DUMMYFUNCTION("""COMPUTED_VALUE"""),"Dr, Carlos Barajas del Rosal")</f>
        <v>Dr, Carlos Barajas del Rosal</v>
      </c>
      <c r="P1729" s="33" t="str">
        <f ca="1">IFERROR(__xludf.DUMMYFUNCTION("""COMPUTED_VALUE"""),"Lisandro Russian (Madrid, Cáceres, Toledo, Talavera Y Logroño)")</f>
        <v>Lisandro Russian (Madrid, Cáceres, Toledo, Talavera Y Logroño)</v>
      </c>
    </row>
    <row r="1730" spans="2:16">
      <c r="B1730" s="33">
        <f ca="1">IFERROR(__xludf.DUMMYFUNCTION("""COMPUTED_VALUE"""),2025)</f>
        <v>2025</v>
      </c>
      <c r="C1730" s="33">
        <f ca="1">IFERROR(__xludf.DUMMYFUNCTION("""COMPUTED_VALUE"""),12)</f>
        <v>12</v>
      </c>
      <c r="D1730" s="33" t="str">
        <f ca="1">IFERROR(__xludf.DUMMYFUNCTION("""COMPUTED_VALUE"""),"NO")</f>
        <v>NO</v>
      </c>
      <c r="E1730" s="33" t="str">
        <f ca="1">IFERROR(__xludf.DUMMYFUNCTION("""COMPUTED_VALUE"""),"Logroño")</f>
        <v>Logroño</v>
      </c>
      <c r="F1730" s="57">
        <f ca="1">IFERROR(__xludf.DUMMYFUNCTION("""COMPUTED_VALUE"""),46021)</f>
        <v>46021</v>
      </c>
      <c r="G1730" s="57">
        <f ca="1">IFERROR(__xludf.DUMMYFUNCTION("""COMPUTED_VALUE"""),45588)</f>
        <v>45588</v>
      </c>
      <c r="H1730" s="33" t="str">
        <f ca="1">IFERROR(__xludf.DUMMYFUNCTION("""COMPUTED_VALUE"""),"Logroño")</f>
        <v>Logroño</v>
      </c>
      <c r="I1730" s="33" t="str">
        <f ca="1">IFERROR(__xludf.DUMMYFUNCTION("""COMPUTED_VALUE"""),"LOG-1420")</f>
        <v>LOG-1420</v>
      </c>
      <c r="J1730" s="33" t="str">
        <f ca="1">IFERROR(__xludf.DUMMYFUNCTION("""COMPUTED_VALUE"""),"EDUARDO ARISTE AISA")</f>
        <v>EDUARDO ARISTE AISA</v>
      </c>
      <c r="K1730" s="33">
        <f ca="1">IFERROR(__xludf.DUMMYFUNCTION("""COMPUTED_VALUE"""),2)</f>
        <v>2</v>
      </c>
      <c r="L1730" s="203">
        <f ca="1">IFERROR(__xludf.DUMMYFUNCTION("""COMPUTED_VALUE"""),2718.18)</f>
        <v>2718.18</v>
      </c>
      <c r="M1730" s="33" t="str">
        <f ca="1">IFERROR(__xludf.DUMMYFUNCTION("""COMPUTED_VALUE"""),"03 ORL")</f>
        <v>03 ORL</v>
      </c>
      <c r="N1730" s="33" t="str">
        <f ca="1">IFERROR(__xludf.DUMMYFUNCTION("""COMPUTED_VALUE"""),"06 ORL")</f>
        <v>06 ORL</v>
      </c>
      <c r="O1730" s="33" t="str">
        <f ca="1">IFERROR(__xludf.DUMMYFUNCTION("""COMPUTED_VALUE"""),"Dr, Fernando Salazar Barcelona")</f>
        <v>Dr, Fernando Salazar Barcelona</v>
      </c>
      <c r="P1730" s="33" t="str">
        <f ca="1">IFERROR(__xludf.DUMMYFUNCTION("""COMPUTED_VALUE"""),"Lisandro Russian (Madrid, Cáceres, Toledo, Talavera Y Logroño)")</f>
        <v>Lisandro Russian (Madrid, Cáceres, Toledo, Talavera Y Logroño)</v>
      </c>
    </row>
    <row r="1731" spans="2:16">
      <c r="B1731" s="33">
        <f ca="1">IFERROR(__xludf.DUMMYFUNCTION("""COMPUTED_VALUE"""),2025)</f>
        <v>2025</v>
      </c>
      <c r="C1731" s="33">
        <f ca="1">IFERROR(__xludf.DUMMYFUNCTION("""COMPUTED_VALUE"""),12)</f>
        <v>12</v>
      </c>
      <c r="D1731" s="33" t="str">
        <f ca="1">IFERROR(__xludf.DUMMYFUNCTION("""COMPUTED_VALUE"""),"NO")</f>
        <v>NO</v>
      </c>
      <c r="E1731" s="33" t="str">
        <f ca="1">IFERROR(__xludf.DUMMYFUNCTION("""COMPUTED_VALUE"""),"Alicante")</f>
        <v>Alicante</v>
      </c>
      <c r="F1731" s="57">
        <f ca="1">IFERROR(__xludf.DUMMYFUNCTION("""COMPUTED_VALUE"""),46021)</f>
        <v>46021</v>
      </c>
      <c r="G1731" s="57">
        <f ca="1">IFERROR(__xludf.DUMMYFUNCTION("""COMPUTED_VALUE"""),45989)</f>
        <v>45989</v>
      </c>
      <c r="H1731" s="33" t="str">
        <f ca="1">IFERROR(__xludf.DUMMYFUNCTION("""COMPUTED_VALUE"""),"Alicante")</f>
        <v>Alicante</v>
      </c>
      <c r="I1731" s="33" t="str">
        <f ca="1">IFERROR(__xludf.DUMMYFUNCTION("""COMPUTED_VALUE"""),"C202511281155475652")</f>
        <v>C202511281155475652</v>
      </c>
      <c r="J1731" s="33" t="str">
        <f ca="1">IFERROR(__xludf.DUMMYFUNCTION("""COMPUTED_VALUE"""),"MARIA DEL CARMEN ORTIZ GARCIA")</f>
        <v>MARIA DEL CARMEN ORTIZ GARCIA</v>
      </c>
      <c r="K1731" s="33">
        <f ca="1">IFERROR(__xludf.DUMMYFUNCTION("""COMPUTED_VALUE"""),1)</f>
        <v>1</v>
      </c>
      <c r="L1731" s="203">
        <f ca="1">IFERROR(__xludf.DUMMYFUNCTION("""COMPUTED_VALUE"""),2180.91)</f>
        <v>2180.91</v>
      </c>
      <c r="M1731" s="33" t="str">
        <f ca="1">IFERROR(__xludf.DUMMYFUNCTION("""COMPUTED_VALUE"""),"03 ORL")</f>
        <v>03 ORL</v>
      </c>
      <c r="N1731" s="33" t="str">
        <f ca="1">IFERROR(__xludf.DUMMYFUNCTION("""COMPUTED_VALUE"""),"06 ORL")</f>
        <v>06 ORL</v>
      </c>
      <c r="O1731" s="33" t="str">
        <f ca="1">IFERROR(__xludf.DUMMYFUNCTION("""COMPUTED_VALUE"""),"Dr, Francisco Pastor Beviá")</f>
        <v>Dr, Francisco Pastor Beviá</v>
      </c>
      <c r="P1731" s="33" t="str">
        <f ca="1">IFERROR(__xludf.DUMMYFUNCTION("""COMPUTED_VALUE"""),"Iván Sánchez (Levante Y Albacete)")</f>
        <v>Iván Sánchez (Levante Y Albacete)</v>
      </c>
    </row>
    <row r="1732" spans="2:16">
      <c r="B1732" s="33">
        <f ca="1">IFERROR(__xludf.DUMMYFUNCTION("""COMPUTED_VALUE"""),2025)</f>
        <v>2025</v>
      </c>
      <c r="C1732" s="33">
        <f ca="1">IFERROR(__xludf.DUMMYFUNCTION("""COMPUTED_VALUE"""),12)</f>
        <v>12</v>
      </c>
      <c r="D1732" s="33" t="str">
        <f ca="1">IFERROR(__xludf.DUMMYFUNCTION("""COMPUTED_VALUE"""),"NO")</f>
        <v>NO</v>
      </c>
      <c r="E1732" s="33" t="str">
        <f ca="1">IFERROR(__xludf.DUMMYFUNCTION("""COMPUTED_VALUE"""),"Albacete")</f>
        <v>Albacete</v>
      </c>
      <c r="F1732" s="57">
        <f ca="1">IFERROR(__xludf.DUMMYFUNCTION("""COMPUTED_VALUE"""),46021)</f>
        <v>46021</v>
      </c>
      <c r="G1732" s="57">
        <f ca="1">IFERROR(__xludf.DUMMYFUNCTION("""COMPUTED_VALUE"""),45994)</f>
        <v>45994</v>
      </c>
      <c r="H1732" s="33" t="str">
        <f ca="1">IFERROR(__xludf.DUMMYFUNCTION("""COMPUTED_VALUE"""),"Albacete")</f>
        <v>Albacete</v>
      </c>
      <c r="I1732" s="33" t="str">
        <f ca="1">IFERROR(__xludf.DUMMYFUNCTION("""COMPUTED_VALUE"""),"C202512317323185359")</f>
        <v>C202512317323185359</v>
      </c>
      <c r="J1732" s="33" t="str">
        <f ca="1">IFERROR(__xludf.DUMMYFUNCTION("""COMPUTED_VALUE"""),"JOSE VICENTE MARTINEZ JARABO")</f>
        <v>JOSE VICENTE MARTINEZ JARABO</v>
      </c>
      <c r="K1732" s="33">
        <f ca="1">IFERROR(__xludf.DUMMYFUNCTION("""COMPUTED_VALUE"""),2)</f>
        <v>2</v>
      </c>
      <c r="L1732" s="203">
        <f ca="1">IFERROR(__xludf.DUMMYFUNCTION("""COMPUTED_VALUE"""),3631.82)</f>
        <v>3631.82</v>
      </c>
      <c r="M1732" s="33" t="str">
        <f ca="1">IFERROR(__xludf.DUMMYFUNCTION("""COMPUTED_VALUE"""),"03 ORL")</f>
        <v>03 ORL</v>
      </c>
      <c r="N1732" s="33" t="str">
        <f ca="1">IFERROR(__xludf.DUMMYFUNCTION("""COMPUTED_VALUE"""),"06 ORL")</f>
        <v>06 ORL</v>
      </c>
      <c r="O1732" s="33" t="str">
        <f ca="1">IFERROR(__xludf.DUMMYFUNCTION("""COMPUTED_VALUE"""),"Dr, Pedro Seguí Moya")</f>
        <v>Dr, Pedro Seguí Moya</v>
      </c>
      <c r="P1732" s="33" t="str">
        <f ca="1">IFERROR(__xludf.DUMMYFUNCTION("""COMPUTED_VALUE"""),"Iván Sánchez (Levante Y Albacete)")</f>
        <v>Iván Sánchez (Levante Y Albacete)</v>
      </c>
    </row>
    <row r="1733" spans="2:16">
      <c r="B1733" s="33">
        <f ca="1">IFERROR(__xludf.DUMMYFUNCTION("""COMPUTED_VALUE"""),2025)</f>
        <v>2025</v>
      </c>
      <c r="C1733" s="33">
        <f ca="1">IFERROR(__xludf.DUMMYFUNCTION("""COMPUTED_VALUE"""),12)</f>
        <v>12</v>
      </c>
      <c r="D1733" s="33" t="str">
        <f ca="1">IFERROR(__xludf.DUMMYFUNCTION("""COMPUTED_VALUE"""),"NO")</f>
        <v>NO</v>
      </c>
      <c r="E1733" s="33" t="str">
        <f ca="1">IFERROR(__xludf.DUMMYFUNCTION("""COMPUTED_VALUE"""),"Murcia")</f>
        <v>Murcia</v>
      </c>
      <c r="F1733" s="57">
        <f ca="1">IFERROR(__xludf.DUMMYFUNCTION("""COMPUTED_VALUE"""),46021)</f>
        <v>46021</v>
      </c>
      <c r="G1733" s="57">
        <f ca="1">IFERROR(__xludf.DUMMYFUNCTION("""COMPUTED_VALUE"""),45982)</f>
        <v>45982</v>
      </c>
      <c r="H1733" s="33" t="str">
        <f ca="1">IFERROR(__xludf.DUMMYFUNCTION("""COMPUTED_VALUE"""),"Murcia")</f>
        <v>Murcia</v>
      </c>
      <c r="I1733" s="33" t="str">
        <f ca="1">IFERROR(__xludf.DUMMYFUNCTION("""COMPUTED_VALUE"""),"C202511211112637430")</f>
        <v>C202511211112637430</v>
      </c>
      <c r="J1733" s="33" t="str">
        <f ca="1">IFERROR(__xludf.DUMMYFUNCTION("""COMPUTED_VALUE"""),"ASCENSION LOSA RODRIGUEZ")</f>
        <v>ASCENSION LOSA RODRIGUEZ</v>
      </c>
      <c r="K1733" s="33">
        <f ca="1">IFERROR(__xludf.DUMMYFUNCTION("""COMPUTED_VALUE"""),2)</f>
        <v>2</v>
      </c>
      <c r="L1733" s="203">
        <f ca="1">IFERROR(__xludf.DUMMYFUNCTION("""COMPUTED_VALUE"""),2718.19)</f>
        <v>2718.19</v>
      </c>
      <c r="M1733" s="33" t="str">
        <f ca="1">IFERROR(__xludf.DUMMYFUNCTION("""COMPUTED_VALUE"""),"03 ORL")</f>
        <v>03 ORL</v>
      </c>
      <c r="N1733" s="33" t="str">
        <f ca="1">IFERROR(__xludf.DUMMYFUNCTION("""COMPUTED_VALUE"""),"06 ORL")</f>
        <v>06 ORL</v>
      </c>
      <c r="O1733" s="33" t="str">
        <f ca="1">IFERROR(__xludf.DUMMYFUNCTION("""COMPUTED_VALUE"""),"Dra, María Agustina Sevilla García")</f>
        <v>Dra, María Agustina Sevilla García</v>
      </c>
      <c r="P1733" s="33" t="str">
        <f ca="1">IFERROR(__xludf.DUMMYFUNCTION("""COMPUTED_VALUE"""),"Iván Sánchez (Levante Y Albacete)")</f>
        <v>Iván Sánchez (Levante Y Albacete)</v>
      </c>
    </row>
    <row r="1734" spans="2:16">
      <c r="B1734" s="33">
        <f ca="1">IFERROR(__xludf.DUMMYFUNCTION("""COMPUTED_VALUE"""),2025)</f>
        <v>2025</v>
      </c>
      <c r="C1734" s="33">
        <f ca="1">IFERROR(__xludf.DUMMYFUNCTION("""COMPUTED_VALUE"""),12)</f>
        <v>12</v>
      </c>
      <c r="D1734" s="33" t="str">
        <f ca="1">IFERROR(__xludf.DUMMYFUNCTION("""COMPUTED_VALUE"""),"NO")</f>
        <v>NO</v>
      </c>
      <c r="E1734" s="33" t="str">
        <f ca="1">IFERROR(__xludf.DUMMYFUNCTION("""COMPUTED_VALUE"""),"Murcia")</f>
        <v>Murcia</v>
      </c>
      <c r="F1734" s="57">
        <f ca="1">IFERROR(__xludf.DUMMYFUNCTION("""COMPUTED_VALUE"""),46021)</f>
        <v>46021</v>
      </c>
      <c r="G1734" s="57">
        <f ca="1">IFERROR(__xludf.DUMMYFUNCTION("""COMPUTED_VALUE"""),45994)</f>
        <v>45994</v>
      </c>
      <c r="H1734" s="33" t="str">
        <f ca="1">IFERROR(__xludf.DUMMYFUNCTION("""COMPUTED_VALUE"""),"Murcia")</f>
        <v>Murcia</v>
      </c>
      <c r="I1734" s="33" t="str">
        <f ca="1">IFERROR(__xludf.DUMMYFUNCTION("""COMPUTED_VALUE"""),"C202512310464231022")</f>
        <v>C202512310464231022</v>
      </c>
      <c r="J1734" s="33" t="str">
        <f ca="1">IFERROR(__xludf.DUMMYFUNCTION("""COMPUTED_VALUE"""),"OMAIRA ANDREA HIDALGO SANCHEZ")</f>
        <v>OMAIRA ANDREA HIDALGO SANCHEZ</v>
      </c>
      <c r="K1734" s="33">
        <f ca="1">IFERROR(__xludf.DUMMYFUNCTION("""COMPUTED_VALUE"""),1)</f>
        <v>1</v>
      </c>
      <c r="L1734" s="203">
        <f ca="1">IFERROR(__xludf.DUMMYFUNCTION("""COMPUTED_VALUE"""),2357.73)</f>
        <v>2357.73</v>
      </c>
      <c r="M1734" s="33" t="str">
        <f ca="1">IFERROR(__xludf.DUMMYFUNCTION("""COMPUTED_VALUE"""),"03 ORL")</f>
        <v>03 ORL</v>
      </c>
      <c r="N1734" s="33" t="str">
        <f ca="1">IFERROR(__xludf.DUMMYFUNCTION("""COMPUTED_VALUE"""),"06 ORL")</f>
        <v>06 ORL</v>
      </c>
      <c r="O1734" s="33" t="str">
        <f ca="1">IFERROR(__xludf.DUMMYFUNCTION("""COMPUTED_VALUE"""),"Dra, Laura Guillamon Vivancos")</f>
        <v>Dra, Laura Guillamon Vivancos</v>
      </c>
      <c r="P1734" s="33" t="str">
        <f ca="1">IFERROR(__xludf.DUMMYFUNCTION("""COMPUTED_VALUE"""),"Iván Sánchez (Levante Y Albacete)")</f>
        <v>Iván Sánchez (Levante Y Albacete)</v>
      </c>
    </row>
    <row r="1735" spans="2:16">
      <c r="B1735" s="33">
        <f ca="1">IFERROR(__xludf.DUMMYFUNCTION("""COMPUTED_VALUE"""),2025)</f>
        <v>2025</v>
      </c>
      <c r="C1735" s="33">
        <f ca="1">IFERROR(__xludf.DUMMYFUNCTION("""COMPUTED_VALUE"""),12)</f>
        <v>12</v>
      </c>
      <c r="D1735" s="33" t="str">
        <f ca="1">IFERROR(__xludf.DUMMYFUNCTION("""COMPUTED_VALUE"""),"NO")</f>
        <v>NO</v>
      </c>
      <c r="E1735" s="33" t="str">
        <f ca="1">IFERROR(__xludf.DUMMYFUNCTION("""COMPUTED_VALUE"""),"Valencia- Cádiz")</f>
        <v>Valencia- Cádiz</v>
      </c>
      <c r="F1735" s="57">
        <f ca="1">IFERROR(__xludf.DUMMYFUNCTION("""COMPUTED_VALUE"""),46021)</f>
        <v>46021</v>
      </c>
      <c r="G1735" s="57">
        <f ca="1">IFERROR(__xludf.DUMMYFUNCTION("""COMPUTED_VALUE"""),45978)</f>
        <v>45978</v>
      </c>
      <c r="H1735" s="33" t="str">
        <f ca="1">IFERROR(__xludf.DUMMYFUNCTION("""COMPUTED_VALUE"""),"Valencia- Cádiz")</f>
        <v>Valencia- Cádiz</v>
      </c>
      <c r="I1735" s="33" t="str">
        <f ca="1">IFERROR(__xludf.DUMMYFUNCTION("""COMPUTED_VALUE"""),"C202511179265857428")</f>
        <v>C202511179265857428</v>
      </c>
      <c r="J1735" s="33" t="str">
        <f ca="1">IFERROR(__xludf.DUMMYFUNCTION("""COMPUTED_VALUE"""),"AGUSTINA CANO RUIZ")</f>
        <v>AGUSTINA CANO RUIZ</v>
      </c>
      <c r="K1735" s="33">
        <f ca="1">IFERROR(__xludf.DUMMYFUNCTION("""COMPUTED_VALUE"""),2)</f>
        <v>2</v>
      </c>
      <c r="L1735" s="203">
        <f ca="1">IFERROR(__xludf.DUMMYFUNCTION("""COMPUTED_VALUE"""),2718.18)</f>
        <v>2718.18</v>
      </c>
      <c r="M1735" s="33" t="str">
        <f ca="1">IFERROR(__xludf.DUMMYFUNCTION("""COMPUTED_VALUE"""),"03 ORL")</f>
        <v>03 ORL</v>
      </c>
      <c r="N1735" s="33" t="str">
        <f ca="1">IFERROR(__xludf.DUMMYFUNCTION("""COMPUTED_VALUE"""),"06 ORL")</f>
        <v>06 ORL</v>
      </c>
      <c r="O1735" s="33" t="str">
        <f ca="1">IFERROR(__xludf.DUMMYFUNCTION("""COMPUTED_VALUE"""),"Dra, Paula Martínez-Ruiz De Apocada")</f>
        <v>Dra, Paula Martínez-Ruiz De Apocada</v>
      </c>
      <c r="P1735" s="33" t="str">
        <f ca="1">IFERROR(__xludf.DUMMYFUNCTION("""COMPUTED_VALUE"""),"Ramon Ferrando(Valencia)")</f>
        <v>Ramon Ferrando(Valencia)</v>
      </c>
    </row>
    <row r="1736" spans="2:16">
      <c r="B1736" s="33">
        <f ca="1">IFERROR(__xludf.DUMMYFUNCTION("""COMPUTED_VALUE"""),2025)</f>
        <v>2025</v>
      </c>
      <c r="C1736" s="33">
        <f ca="1">IFERROR(__xludf.DUMMYFUNCTION("""COMPUTED_VALUE"""),12)</f>
        <v>12</v>
      </c>
      <c r="D1736" s="33" t="str">
        <f ca="1">IFERROR(__xludf.DUMMYFUNCTION("""COMPUTED_VALUE"""),"NO")</f>
        <v>NO</v>
      </c>
      <c r="E1736" s="33" t="str">
        <f ca="1">IFERROR(__xludf.DUMMYFUNCTION("""COMPUTED_VALUE"""),"Logroño")</f>
        <v>Logroño</v>
      </c>
      <c r="F1736" s="57">
        <f ca="1">IFERROR(__xludf.DUMMYFUNCTION("""COMPUTED_VALUE"""),46021)</f>
        <v>46021</v>
      </c>
      <c r="G1736" s="57">
        <f ca="1">IFERROR(__xludf.DUMMYFUNCTION("""COMPUTED_VALUE"""),45982)</f>
        <v>45982</v>
      </c>
      <c r="H1736" s="33" t="str">
        <f ca="1">IFERROR(__xludf.DUMMYFUNCTION("""COMPUTED_VALUE"""),"Logroño")</f>
        <v>Logroño</v>
      </c>
      <c r="I1736" s="33" t="str">
        <f ca="1">IFERROR(__xludf.DUMMYFUNCTION("""COMPUTED_VALUE"""),"C202511211413372148")</f>
        <v>C202511211413372148</v>
      </c>
      <c r="J1736" s="33" t="str">
        <f ca="1">IFERROR(__xludf.DUMMYFUNCTION("""COMPUTED_VALUE"""),"ASUNCION GONZALEZ IBAÑEZ")</f>
        <v>ASUNCION GONZALEZ IBAÑEZ</v>
      </c>
      <c r="K1736" s="33">
        <f ca="1">IFERROR(__xludf.DUMMYFUNCTION("""COMPUTED_VALUE"""),2)</f>
        <v>2</v>
      </c>
      <c r="L1736" s="203">
        <f ca="1">IFERROR(__xludf.DUMMYFUNCTION("""COMPUTED_VALUE"""),3450.23)</f>
        <v>3450.23</v>
      </c>
      <c r="M1736" s="33" t="str">
        <f ca="1">IFERROR(__xludf.DUMMYFUNCTION("""COMPUTED_VALUE"""),"04 TIENDA")</f>
        <v>04 TIENDA</v>
      </c>
      <c r="N1736" s="33" t="str">
        <f ca="1">IFERROR(__xludf.DUMMYFUNCTION("""COMPUTED_VALUE"""),"07 BOCA/BOCA")</f>
        <v>07 BOCA/BOCA</v>
      </c>
      <c r="O1736" s="33" t="str">
        <f ca="1">IFERROR(__xludf.DUMMYFUNCTION("""COMPUTED_VALUE"""),"Dra, Cristina Ibañez Muñoz")</f>
        <v>Dra, Cristina Ibañez Muñoz</v>
      </c>
      <c r="P1736" s="33" t="str">
        <f ca="1">IFERROR(__xludf.DUMMYFUNCTION("""COMPUTED_VALUE"""),"Lisandro Russian (Madrid, Cáceres, Toledo, Talavera Y Logroño)")</f>
        <v>Lisandro Russian (Madrid, Cáceres, Toledo, Talavera Y Logroño)</v>
      </c>
    </row>
    <row r="1737" spans="2:16">
      <c r="B1737" s="33">
        <f ca="1">IFERROR(__xludf.DUMMYFUNCTION("""COMPUTED_VALUE"""),2025)</f>
        <v>2025</v>
      </c>
      <c r="C1737" s="33">
        <f ca="1">IFERROR(__xludf.DUMMYFUNCTION("""COMPUTED_VALUE"""),12)</f>
        <v>12</v>
      </c>
      <c r="D1737" s="33" t="str">
        <f ca="1">IFERROR(__xludf.DUMMYFUNCTION("""COMPUTED_VALUE"""),"NO")</f>
        <v>NO</v>
      </c>
      <c r="E1737" s="33" t="str">
        <f ca="1">IFERROR(__xludf.DUMMYFUNCTION("""COMPUTED_VALUE"""),"Logroño")</f>
        <v>Logroño</v>
      </c>
      <c r="F1737" s="57">
        <f ca="1">IFERROR(__xludf.DUMMYFUNCTION("""COMPUTED_VALUE"""),46021)</f>
        <v>46021</v>
      </c>
      <c r="G1737" s="57">
        <f ca="1">IFERROR(__xludf.DUMMYFUNCTION("""COMPUTED_VALUE"""),45951)</f>
        <v>45951</v>
      </c>
      <c r="H1737" s="33" t="str">
        <f ca="1">IFERROR(__xludf.DUMMYFUNCTION("""COMPUTED_VALUE"""),"Logroño")</f>
        <v>Logroño</v>
      </c>
      <c r="I1737" s="33" t="str">
        <f ca="1">IFERROR(__xludf.DUMMYFUNCTION("""COMPUTED_VALUE"""),"C202510211735269943")</f>
        <v>C202510211735269943</v>
      </c>
      <c r="J1737" s="33" t="str">
        <f ca="1">IFERROR(__xludf.DUMMYFUNCTION("""COMPUTED_VALUE"""),"CARMEN CHACON JIMENEZ")</f>
        <v>CARMEN CHACON JIMENEZ</v>
      </c>
      <c r="K1737" s="33">
        <f ca="1">IFERROR(__xludf.DUMMYFUNCTION("""COMPUTED_VALUE"""),2)</f>
        <v>2</v>
      </c>
      <c r="L1737" s="203">
        <f ca="1">IFERROR(__xludf.DUMMYFUNCTION("""COMPUTED_VALUE"""),3929.55)</f>
        <v>3929.55</v>
      </c>
      <c r="M1737" s="33" t="str">
        <f ca="1">IFERROR(__xludf.DUMMYFUNCTION("""COMPUTED_VALUE"""),"03 ORL")</f>
        <v>03 ORL</v>
      </c>
      <c r="N1737" s="33" t="str">
        <f ca="1">IFERROR(__xludf.DUMMYFUNCTION("""COMPUTED_VALUE"""),"06 ORL")</f>
        <v>06 ORL</v>
      </c>
      <c r="O1737" s="33" t="str">
        <f ca="1">IFERROR(__xludf.DUMMYFUNCTION("""COMPUTED_VALUE"""),"Dr, Garikoitz Calzada Uriondo")</f>
        <v>Dr, Garikoitz Calzada Uriondo</v>
      </c>
      <c r="P1737" s="33" t="str">
        <f ca="1">IFERROR(__xludf.DUMMYFUNCTION("""COMPUTED_VALUE"""),"Lisandro Russian (Madrid, Cáceres, Toledo, Talavera Y Logroño)")</f>
        <v>Lisandro Russian (Madrid, Cáceres, Toledo, Talavera Y Logroño)</v>
      </c>
    </row>
    <row r="1738" spans="2:16">
      <c r="B1738" s="33">
        <f ca="1">IFERROR(__xludf.DUMMYFUNCTION("""COMPUTED_VALUE"""),2025)</f>
        <v>2025</v>
      </c>
      <c r="C1738" s="33">
        <f ca="1">IFERROR(__xludf.DUMMYFUNCTION("""COMPUTED_VALUE"""),12)</f>
        <v>12</v>
      </c>
      <c r="D1738" s="33" t="str">
        <f ca="1">IFERROR(__xludf.DUMMYFUNCTION("""COMPUTED_VALUE"""),"NO")</f>
        <v>NO</v>
      </c>
      <c r="E1738" s="33" t="str">
        <f ca="1">IFERROR(__xludf.DUMMYFUNCTION("""COMPUTED_VALUE"""),"Madrid- Galileo")</f>
        <v>Madrid- Galileo</v>
      </c>
      <c r="F1738" s="57">
        <f ca="1">IFERROR(__xludf.DUMMYFUNCTION("""COMPUTED_VALUE"""),46021)</f>
        <v>46021</v>
      </c>
      <c r="G1738" s="57">
        <f ca="1">IFERROR(__xludf.DUMMYFUNCTION("""COMPUTED_VALUE"""),45978)</f>
        <v>45978</v>
      </c>
      <c r="H1738" s="33" t="str">
        <f ca="1">IFERROR(__xludf.DUMMYFUNCTION("""COMPUTED_VALUE"""),"Moncloa")</f>
        <v>Moncloa</v>
      </c>
      <c r="I1738" s="33" t="str">
        <f ca="1">IFERROR(__xludf.DUMMYFUNCTION("""COMPUTED_VALUE"""),"C202511171133555602")</f>
        <v>C202511171133555602</v>
      </c>
      <c r="J1738" s="33" t="str">
        <f ca="1">IFERROR(__xludf.DUMMYFUNCTION("""COMPUTED_VALUE"""),"MARIA NIEVES GARCIA DE LAS PEÑAS")</f>
        <v>MARIA NIEVES GARCIA DE LAS PEÑAS</v>
      </c>
      <c r="K1738" s="33">
        <f ca="1">IFERROR(__xludf.DUMMYFUNCTION("""COMPUTED_VALUE"""),2)</f>
        <v>2</v>
      </c>
      <c r="L1738" s="203">
        <f ca="1">IFERROR(__xludf.DUMMYFUNCTION("""COMPUTED_VALUE"""),2718.18)</f>
        <v>2718.18</v>
      </c>
      <c r="M1738" s="33" t="str">
        <f ca="1">IFERROR(__xludf.DUMMYFUNCTION("""COMPUTED_VALUE"""),"03 ORL")</f>
        <v>03 ORL</v>
      </c>
      <c r="N1738" s="33" t="str">
        <f ca="1">IFERROR(__xludf.DUMMYFUNCTION("""COMPUTED_VALUE"""),"06 ORL")</f>
        <v>06 ORL</v>
      </c>
      <c r="O1738" s="33" t="str">
        <f ca="1">IFERROR(__xludf.DUMMYFUNCTION("""COMPUTED_VALUE"""),"Dr, Iván Muerte Moreno")</f>
        <v>Dr, Iván Muerte Moreno</v>
      </c>
      <c r="P1738" s="33" t="str">
        <f ca="1">IFERROR(__xludf.DUMMYFUNCTION("""COMPUTED_VALUE"""),"Lisandro Russian (Madrid, Cáceres, Toledo, Talavera Y Logroño)")</f>
        <v>Lisandro Russian (Madrid, Cáceres, Toledo, Talavera Y Logroño)</v>
      </c>
    </row>
    <row r="1739" spans="2:16">
      <c r="B1739" s="33">
        <f ca="1">IFERROR(__xludf.DUMMYFUNCTION("""COMPUTED_VALUE"""),2025)</f>
        <v>2025</v>
      </c>
      <c r="C1739" s="33">
        <f ca="1">IFERROR(__xludf.DUMMYFUNCTION("""COMPUTED_VALUE"""),12)</f>
        <v>12</v>
      </c>
      <c r="D1739" s="33" t="str">
        <f ca="1">IFERROR(__xludf.DUMMYFUNCTION("""COMPUTED_VALUE"""),"NO")</f>
        <v>NO</v>
      </c>
      <c r="E1739" s="33" t="str">
        <f ca="1">IFERROR(__xludf.DUMMYFUNCTION("""COMPUTED_VALUE"""),"Madrid- Galileo")</f>
        <v>Madrid- Galileo</v>
      </c>
      <c r="F1739" s="57">
        <f ca="1">IFERROR(__xludf.DUMMYFUNCTION("""COMPUTED_VALUE"""),46021)</f>
        <v>46021</v>
      </c>
      <c r="G1739" s="57">
        <f ca="1">IFERROR(__xludf.DUMMYFUNCTION("""COMPUTED_VALUE"""),45964)</f>
        <v>45964</v>
      </c>
      <c r="H1739" s="33" t="str">
        <f ca="1">IFERROR(__xludf.DUMMYFUNCTION("""COMPUTED_VALUE"""),"Moncloa")</f>
        <v>Moncloa</v>
      </c>
      <c r="I1739" s="33" t="str">
        <f ca="1">IFERROR(__xludf.DUMMYFUNCTION("""COMPUTED_VALUE"""),"C20251131118208418")</f>
        <v>C20251131118208418</v>
      </c>
      <c r="J1739" s="33" t="str">
        <f ca="1">IFERROR(__xludf.DUMMYFUNCTION("""COMPUTED_VALUE"""),"ANGEL ALEJANDRO ESTRADA CHIRINOS")</f>
        <v>ANGEL ALEJANDRO ESTRADA CHIRINOS</v>
      </c>
      <c r="K1739" s="33">
        <f ca="1">IFERROR(__xludf.DUMMYFUNCTION("""COMPUTED_VALUE"""),2)</f>
        <v>2</v>
      </c>
      <c r="L1739" s="203">
        <f ca="1">IFERROR(__xludf.DUMMYFUNCTION("""COMPUTED_VALUE"""),3631.82)</f>
        <v>3631.82</v>
      </c>
      <c r="M1739" s="33" t="str">
        <f ca="1">IFERROR(__xludf.DUMMYFUNCTION("""COMPUTED_VALUE"""),"03 ORL")</f>
        <v>03 ORL</v>
      </c>
      <c r="N1739" s="33" t="str">
        <f ca="1">IFERROR(__xludf.DUMMYFUNCTION("""COMPUTED_VALUE"""),"06 ORL")</f>
        <v>06 ORL</v>
      </c>
      <c r="O1739" s="33" t="str">
        <f ca="1">IFERROR(__xludf.DUMMYFUNCTION("""COMPUTED_VALUE"""),"Dra, Beatriz Arana Fernández")</f>
        <v>Dra, Beatriz Arana Fernández</v>
      </c>
      <c r="P1739" s="33" t="str">
        <f ca="1">IFERROR(__xludf.DUMMYFUNCTION("""COMPUTED_VALUE"""),"Maika Blázquez (Madrid)")</f>
        <v>Maika Blázquez (Madrid)</v>
      </c>
    </row>
    <row r="1740" spans="2:16">
      <c r="B1740" s="33">
        <f ca="1">IFERROR(__xludf.DUMMYFUNCTION("""COMPUTED_VALUE"""),2025)</f>
        <v>2025</v>
      </c>
      <c r="C1740" s="33">
        <f ca="1">IFERROR(__xludf.DUMMYFUNCTION("""COMPUTED_VALUE"""),12)</f>
        <v>12</v>
      </c>
      <c r="D1740" s="33" t="str">
        <f ca="1">IFERROR(__xludf.DUMMYFUNCTION("""COMPUTED_VALUE"""),"NO")</f>
        <v>NO</v>
      </c>
      <c r="E1740" s="33" t="str">
        <f ca="1">IFERROR(__xludf.DUMMYFUNCTION("""COMPUTED_VALUE"""),"Fuenlabrada")</f>
        <v>Fuenlabrada</v>
      </c>
      <c r="F1740" s="57">
        <f ca="1">IFERROR(__xludf.DUMMYFUNCTION("""COMPUTED_VALUE"""),46022)</f>
        <v>46022</v>
      </c>
      <c r="G1740" s="57">
        <f ca="1">IFERROR(__xludf.DUMMYFUNCTION("""COMPUTED_VALUE"""),45946)</f>
        <v>45946</v>
      </c>
      <c r="H1740" s="33" t="str">
        <f ca="1">IFERROR(__xludf.DUMMYFUNCTION("""COMPUTED_VALUE"""),"Fuenlabrada")</f>
        <v>Fuenlabrada</v>
      </c>
      <c r="I1740" s="33" t="str">
        <f ca="1">IFERROR(__xludf.DUMMYFUNCTION("""COMPUTED_VALUE"""),"C202510161191942907")</f>
        <v>C202510161191942907</v>
      </c>
      <c r="J1740" s="33" t="str">
        <f ca="1">IFERROR(__xludf.DUMMYFUNCTION("""COMPUTED_VALUE"""),"MARIA DEL CARMEN LAPAZ BARBA")</f>
        <v>MARIA DEL CARMEN LAPAZ BARBA</v>
      </c>
      <c r="K1740" s="33">
        <f ca="1">IFERROR(__xludf.DUMMYFUNCTION("""COMPUTED_VALUE"""),1)</f>
        <v>1</v>
      </c>
      <c r="L1740" s="203">
        <f ca="1">IFERROR(__xludf.DUMMYFUNCTION("""COMPUTED_VALUE"""),1359.09)</f>
        <v>1359.09</v>
      </c>
      <c r="M1740" s="33" t="str">
        <f ca="1">IFERROR(__xludf.DUMMYFUNCTION("""COMPUTED_VALUE"""),"03 ORL")</f>
        <v>03 ORL</v>
      </c>
      <c r="N1740" s="33" t="str">
        <f ca="1">IFERROR(__xludf.DUMMYFUNCTION("""COMPUTED_VALUE"""),"06 ORL")</f>
        <v>06 ORL</v>
      </c>
      <c r="O1740" s="33" t="str">
        <f ca="1">IFERROR(__xludf.DUMMYFUNCTION("""COMPUTED_VALUE"""),"Dra, Estefania Miranda Sánchez")</f>
        <v>Dra, Estefania Miranda Sánchez</v>
      </c>
      <c r="P1740" s="33" t="str">
        <f ca="1">IFERROR(__xludf.DUMMYFUNCTION("""COMPUTED_VALUE"""),"Maika Blázquez (Madrid)")</f>
        <v>Maika Blázquez (Madrid)</v>
      </c>
    </row>
    <row r="1741" spans="2:16">
      <c r="B1741" s="33">
        <f ca="1">IFERROR(__xludf.DUMMYFUNCTION("""COMPUTED_VALUE"""),2025)</f>
        <v>2025</v>
      </c>
      <c r="C1741" s="33">
        <f ca="1">IFERROR(__xludf.DUMMYFUNCTION("""COMPUTED_VALUE"""),12)</f>
        <v>12</v>
      </c>
      <c r="D1741" s="33" t="str">
        <f ca="1">IFERROR(__xludf.DUMMYFUNCTION("""COMPUTED_VALUE"""),"NO")</f>
        <v>NO</v>
      </c>
      <c r="E1741" s="33" t="str">
        <f ca="1">IFERROR(__xludf.DUMMYFUNCTION("""COMPUTED_VALUE"""),"Cáceres")</f>
        <v>Cáceres</v>
      </c>
      <c r="F1741" s="57">
        <f ca="1">IFERROR(__xludf.DUMMYFUNCTION("""COMPUTED_VALUE"""),46022)</f>
        <v>46022</v>
      </c>
      <c r="G1741" s="57">
        <f ca="1">IFERROR(__xludf.DUMMYFUNCTION("""COMPUTED_VALUE"""),45986)</f>
        <v>45986</v>
      </c>
      <c r="H1741" s="33" t="str">
        <f ca="1">IFERROR(__xludf.DUMMYFUNCTION("""COMPUTED_VALUE"""),"Cáceres")</f>
        <v>Cáceres</v>
      </c>
      <c r="I1741" s="33" t="str">
        <f ca="1">IFERROR(__xludf.DUMMYFUNCTION("""COMPUTED_VALUE"""),"C202511251231359232")</f>
        <v>C202511251231359232</v>
      </c>
      <c r="J1741" s="33" t="str">
        <f ca="1">IFERROR(__xludf.DUMMYFUNCTION("""COMPUTED_VALUE"""),"JOSE MIGUEL RODILLA SANCHEZ")</f>
        <v>JOSE MIGUEL RODILLA SANCHEZ</v>
      </c>
      <c r="K1741" s="33">
        <f ca="1">IFERROR(__xludf.DUMMYFUNCTION("""COMPUTED_VALUE"""),2)</f>
        <v>2</v>
      </c>
      <c r="L1741" s="203">
        <f ca="1">IFERROR(__xludf.DUMMYFUNCTION("""COMPUTED_VALUE"""),4045.45)</f>
        <v>4045.45</v>
      </c>
      <c r="M1741" s="33" t="str">
        <f ca="1">IFERROR(__xludf.DUMMYFUNCTION("""COMPUTED_VALUE"""),"03 ORL")</f>
        <v>03 ORL</v>
      </c>
      <c r="N1741" s="33" t="str">
        <f ca="1">IFERROR(__xludf.DUMMYFUNCTION("""COMPUTED_VALUE"""),"06 ORL")</f>
        <v>06 ORL</v>
      </c>
      <c r="O1741" s="33" t="str">
        <f ca="1">IFERROR(__xludf.DUMMYFUNCTION("""COMPUTED_VALUE"""),"Dra, Isabel Bustillo García")</f>
        <v>Dra, Isabel Bustillo García</v>
      </c>
      <c r="P1741" s="33" t="str">
        <f ca="1">IFERROR(__xludf.DUMMYFUNCTION("""COMPUTED_VALUE"""),"Lisandro Russian (Madrid, Cáceres, Toledo, Talavera Y Logroño)")</f>
        <v>Lisandro Russian (Madrid, Cáceres, Toledo, Talavera Y Logroño)</v>
      </c>
    </row>
    <row r="1742" spans="2:16">
      <c r="B1742" s="33">
        <f ca="1">IFERROR(__xludf.DUMMYFUNCTION("""COMPUTED_VALUE"""),2025)</f>
        <v>2025</v>
      </c>
      <c r="C1742" s="33">
        <f ca="1">IFERROR(__xludf.DUMMYFUNCTION("""COMPUTED_VALUE"""),12)</f>
        <v>12</v>
      </c>
      <c r="D1742" s="33" t="str">
        <f ca="1">IFERROR(__xludf.DUMMYFUNCTION("""COMPUTED_VALUE"""),"NO")</f>
        <v>NO</v>
      </c>
      <c r="E1742" s="33" t="str">
        <f ca="1">IFERROR(__xludf.DUMMYFUNCTION("""COMPUTED_VALUE"""),"San Javier")</f>
        <v>San Javier</v>
      </c>
      <c r="F1742" s="57">
        <f ca="1">IFERROR(__xludf.DUMMYFUNCTION("""COMPUTED_VALUE"""),46022)</f>
        <v>46022</v>
      </c>
      <c r="G1742" s="57">
        <f ca="1">IFERROR(__xludf.DUMMYFUNCTION("""COMPUTED_VALUE"""),45965)</f>
        <v>45965</v>
      </c>
      <c r="H1742" s="33" t="str">
        <f ca="1">IFERROR(__xludf.DUMMYFUNCTION("""COMPUTED_VALUE"""),"San Javier")</f>
        <v>San Javier</v>
      </c>
      <c r="I1742" s="33" t="str">
        <f ca="1">IFERROR(__xludf.DUMMYFUNCTION("""COMPUTED_VALUE"""),"C202511492022679732")</f>
        <v>C202511492022679732</v>
      </c>
      <c r="J1742" s="33" t="str">
        <f ca="1">IFERROR(__xludf.DUMMYFUNCTION("""COMPUTED_VALUE"""),"MIGUEL MOLINA HEREDIA")</f>
        <v>MIGUEL MOLINA HEREDIA</v>
      </c>
      <c r="K1742" s="33">
        <f ca="1">IFERROR(__xludf.DUMMYFUNCTION("""COMPUTED_VALUE"""),1)</f>
        <v>1</v>
      </c>
      <c r="L1742" s="203">
        <f ca="1">IFERROR(__xludf.DUMMYFUNCTION("""COMPUTED_VALUE"""),2162.73)</f>
        <v>2162.73</v>
      </c>
      <c r="M1742" s="33" t="str">
        <f ca="1">IFERROR(__xludf.DUMMYFUNCTION("""COMPUTED_VALUE"""),"03 ORL")</f>
        <v>03 ORL</v>
      </c>
      <c r="N1742" s="33" t="str">
        <f ca="1">IFERROR(__xludf.DUMMYFUNCTION("""COMPUTED_VALUE"""),"06 ORL")</f>
        <v>06 ORL</v>
      </c>
      <c r="O1742" s="33" t="str">
        <f ca="1">IFERROR(__xludf.DUMMYFUNCTION("""COMPUTED_VALUE"""),"Dra, Alba Molina Moreno")</f>
        <v>Dra, Alba Molina Moreno</v>
      </c>
      <c r="P1742" s="33" t="str">
        <f ca="1">IFERROR(__xludf.DUMMYFUNCTION("""COMPUTED_VALUE"""),"Iván Sánchez (Levante Y Albacete)")</f>
        <v>Iván Sánchez (Levante Y Albacete)</v>
      </c>
    </row>
    <row r="1743" spans="2:16">
      <c r="B1743" s="33">
        <f ca="1">IFERROR(__xludf.DUMMYFUNCTION("""COMPUTED_VALUE"""),2025)</f>
        <v>2025</v>
      </c>
      <c r="C1743" s="33">
        <f ca="1">IFERROR(__xludf.DUMMYFUNCTION("""COMPUTED_VALUE"""),12)</f>
        <v>12</v>
      </c>
      <c r="D1743" s="33" t="str">
        <f ca="1">IFERROR(__xludf.DUMMYFUNCTION("""COMPUTED_VALUE"""),"NO")</f>
        <v>NO</v>
      </c>
      <c r="E1743" s="33" t="str">
        <f ca="1">IFERROR(__xludf.DUMMYFUNCTION("""COMPUTED_VALUE"""),"Sevilla- Montoto")</f>
        <v>Sevilla- Montoto</v>
      </c>
      <c r="F1743" s="57">
        <f ca="1">IFERROR(__xludf.DUMMYFUNCTION("""COMPUTED_VALUE"""),46022)</f>
        <v>46022</v>
      </c>
      <c r="G1743" s="57">
        <f ca="1">IFERROR(__xludf.DUMMYFUNCTION("""COMPUTED_VALUE"""),45958)</f>
        <v>45958</v>
      </c>
      <c r="H1743" s="33" t="str">
        <f ca="1">IFERROR(__xludf.DUMMYFUNCTION("""COMPUTED_VALUE"""),"Montoto")</f>
        <v>Montoto</v>
      </c>
      <c r="I1743" s="33" t="str">
        <f ca="1">IFERROR(__xludf.DUMMYFUNCTION("""COMPUTED_VALUE"""),"C202510281722132524")</f>
        <v>C202510281722132524</v>
      </c>
      <c r="J1743" s="33" t="str">
        <f ca="1">IFERROR(__xludf.DUMMYFUNCTION("""COMPUTED_VALUE"""),"FRANCISCO LORA ZAMORA")</f>
        <v>FRANCISCO LORA ZAMORA</v>
      </c>
      <c r="K1743" s="33">
        <f ca="1">IFERROR(__xludf.DUMMYFUNCTION("""COMPUTED_VALUE"""),2)</f>
        <v>2</v>
      </c>
      <c r="L1743" s="203">
        <f ca="1">IFERROR(__xludf.DUMMYFUNCTION("""COMPUTED_VALUE"""),3800)</f>
        <v>3800</v>
      </c>
      <c r="M1743" s="33" t="str">
        <f ca="1">IFERROR(__xludf.DUMMYFUNCTION("""COMPUTED_VALUE"""),"03 ORL")</f>
        <v>03 ORL</v>
      </c>
      <c r="N1743" s="33" t="str">
        <f ca="1">IFERROR(__xludf.DUMMYFUNCTION("""COMPUTED_VALUE"""),"06 ORL")</f>
        <v>06 ORL</v>
      </c>
      <c r="O1743" s="33" t="str">
        <f ca="1">IFERROR(__xludf.DUMMYFUNCTION("""COMPUTED_VALUE"""),"Dra, Estefanía Berrocal Postigo")</f>
        <v>Dra, Estefanía Berrocal Postigo</v>
      </c>
      <c r="P1743" s="33" t="str">
        <f ca="1">IFERROR(__xludf.DUMMYFUNCTION("""COMPUTED_VALUE"""),"Luis Alberto Rodríguez (Andalucía y Badajoz)")</f>
        <v>Luis Alberto Rodríguez (Andalucía y Badajoz)</v>
      </c>
    </row>
    <row r="1744" spans="2:16">
      <c r="B1744" s="33">
        <f ca="1">IFERROR(__xludf.DUMMYFUNCTION("""COMPUTED_VALUE"""),2025)</f>
        <v>2025</v>
      </c>
      <c r="C1744" s="33">
        <f ca="1">IFERROR(__xludf.DUMMYFUNCTION("""COMPUTED_VALUE"""),12)</f>
        <v>12</v>
      </c>
      <c r="D1744" s="33" t="str">
        <f ca="1">IFERROR(__xludf.DUMMYFUNCTION("""COMPUTED_VALUE"""),"NO")</f>
        <v>NO</v>
      </c>
      <c r="E1744" s="33" t="str">
        <f ca="1">IFERROR(__xludf.DUMMYFUNCTION("""COMPUTED_VALUE"""),"Madrid- La Oca")</f>
        <v>Madrid- La Oca</v>
      </c>
      <c r="F1744" s="57">
        <f ca="1">IFERROR(__xludf.DUMMYFUNCTION("""COMPUTED_VALUE"""),46022)</f>
        <v>46022</v>
      </c>
      <c r="G1744" s="57">
        <f ca="1">IFERROR(__xludf.DUMMYFUNCTION("""COMPUTED_VALUE"""),46002)</f>
        <v>46002</v>
      </c>
      <c r="H1744" s="33" t="str">
        <f ca="1">IFERROR(__xludf.DUMMYFUNCTION("""COMPUTED_VALUE"""),"La Oca")</f>
        <v>La Oca</v>
      </c>
      <c r="I1744" s="33" t="str">
        <f ca="1">IFERROR(__xludf.DUMMYFUNCTION("""COMPUTED_VALUE"""),"C202512111233575181")</f>
        <v>C202512111233575181</v>
      </c>
      <c r="J1744" s="33" t="str">
        <f ca="1">IFERROR(__xludf.DUMMYFUNCTION("""COMPUTED_VALUE"""),"DIMITRANKA PETKOVA TODOROVA")</f>
        <v>DIMITRANKA PETKOVA TODOROVA</v>
      </c>
      <c r="K1744" s="33">
        <f ca="1">IFERROR(__xludf.DUMMYFUNCTION("""COMPUTED_VALUE"""),2)</f>
        <v>2</v>
      </c>
      <c r="L1744" s="203">
        <f ca="1">IFERROR(__xludf.DUMMYFUNCTION("""COMPUTED_VALUE"""),2718.18)</f>
        <v>2718.18</v>
      </c>
      <c r="M1744" s="33" t="str">
        <f ca="1">IFERROR(__xludf.DUMMYFUNCTION("""COMPUTED_VALUE"""),"03 ORL")</f>
        <v>03 ORL</v>
      </c>
      <c r="N1744" s="33" t="str">
        <f ca="1">IFERROR(__xludf.DUMMYFUNCTION("""COMPUTED_VALUE"""),"06 ORL")</f>
        <v>06 ORL</v>
      </c>
      <c r="O1744" s="33" t="str">
        <f ca="1">IFERROR(__xludf.DUMMYFUNCTION("""COMPUTED_VALUE"""),"Dr, Félix Rodríguez Paz")</f>
        <v>Dr, Félix Rodríguez Paz</v>
      </c>
      <c r="P1744" s="33" t="str">
        <f ca="1">IFERROR(__xludf.DUMMYFUNCTION("""COMPUTED_VALUE"""),"Maika Blázquez (Madrid)")</f>
        <v>Maika Blázquez (Madrid)</v>
      </c>
    </row>
    <row r="1745" spans="2:16">
      <c r="B1745" s="33">
        <f ca="1">IFERROR(__xludf.DUMMYFUNCTION("""COMPUTED_VALUE"""),2025)</f>
        <v>2025</v>
      </c>
      <c r="C1745" s="33">
        <f ca="1">IFERROR(__xludf.DUMMYFUNCTION("""COMPUTED_VALUE"""),12)</f>
        <v>12</v>
      </c>
      <c r="D1745" s="33" t="str">
        <f ca="1">IFERROR(__xludf.DUMMYFUNCTION("""COMPUTED_VALUE"""),"NO")</f>
        <v>NO</v>
      </c>
      <c r="E1745" s="33" t="str">
        <f ca="1">IFERROR(__xludf.DUMMYFUNCTION("""COMPUTED_VALUE"""),"Madrid- Monforte de Lemos")</f>
        <v>Madrid- Monforte de Lemos</v>
      </c>
      <c r="F1745" s="57">
        <f ca="1">IFERROR(__xludf.DUMMYFUNCTION("""COMPUTED_VALUE"""),46022)</f>
        <v>46022</v>
      </c>
      <c r="G1745" s="57">
        <f ca="1">IFERROR(__xludf.DUMMYFUNCTION("""COMPUTED_VALUE"""),46003)</f>
        <v>46003</v>
      </c>
      <c r="H1745" s="33" t="str">
        <f ca="1">IFERROR(__xludf.DUMMYFUNCTION("""COMPUTED_VALUE"""),"La Vaguada")</f>
        <v>La Vaguada</v>
      </c>
      <c r="I1745" s="33" t="str">
        <f ca="1">IFERROR(__xludf.DUMMYFUNCTION("""COMPUTED_VALUE"""),"C202512121059282488")</f>
        <v>C202512121059282488</v>
      </c>
      <c r="J1745" s="33" t="str">
        <f ca="1">IFERROR(__xludf.DUMMYFUNCTION("""COMPUTED_VALUE"""),"TOMAS COBO OLVERA")</f>
        <v>TOMAS COBO OLVERA</v>
      </c>
      <c r="K1745" s="33">
        <f ca="1">IFERROR(__xludf.DUMMYFUNCTION("""COMPUTED_VALUE"""),2)</f>
        <v>2</v>
      </c>
      <c r="L1745" s="203">
        <f ca="1">IFERROR(__xludf.DUMMYFUNCTION("""COMPUTED_VALUE"""),4136.36)</f>
        <v>4136.3599999999997</v>
      </c>
      <c r="M1745" s="33" t="str">
        <f ca="1">IFERROR(__xludf.DUMMYFUNCTION("""COMPUTED_VALUE"""),"03 ORL")</f>
        <v>03 ORL</v>
      </c>
      <c r="N1745" s="33" t="str">
        <f ca="1">IFERROR(__xludf.DUMMYFUNCTION("""COMPUTED_VALUE"""),"06 ORL")</f>
        <v>06 ORL</v>
      </c>
      <c r="O1745" s="33" t="str">
        <f ca="1">IFERROR(__xludf.DUMMYFUNCTION("""COMPUTED_VALUE"""),"Dr, Guillermo San Juan de la Moreta")</f>
        <v>Dr, Guillermo San Juan de la Moreta</v>
      </c>
      <c r="P1745" s="33" t="str">
        <f ca="1">IFERROR(__xludf.DUMMYFUNCTION("""COMPUTED_VALUE"""),"Maika Blázquez (Madrid)")</f>
        <v>Maika Blázquez (Madrid)</v>
      </c>
    </row>
    <row r="1746" spans="2:16">
      <c r="B1746" s="33">
        <f ca="1">IFERROR(__xludf.DUMMYFUNCTION("""COMPUTED_VALUE"""),2025)</f>
        <v>2025</v>
      </c>
      <c r="C1746" s="33">
        <f ca="1">IFERROR(__xludf.DUMMYFUNCTION("""COMPUTED_VALUE"""),12)</f>
        <v>12</v>
      </c>
      <c r="D1746" s="33" t="str">
        <f ca="1">IFERROR(__xludf.DUMMYFUNCTION("""COMPUTED_VALUE"""),"NO")</f>
        <v>NO</v>
      </c>
      <c r="E1746" s="33" t="str">
        <f ca="1">IFERROR(__xludf.DUMMYFUNCTION("""COMPUTED_VALUE"""),"Salamanca")</f>
        <v>Salamanca</v>
      </c>
      <c r="F1746" s="57">
        <f ca="1">IFERROR(__xludf.DUMMYFUNCTION("""COMPUTED_VALUE"""),46022)</f>
        <v>46022</v>
      </c>
      <c r="G1746" s="57">
        <f ca="1">IFERROR(__xludf.DUMMYFUNCTION("""COMPUTED_VALUE"""),45971)</f>
        <v>45971</v>
      </c>
      <c r="H1746" s="33" t="str">
        <f ca="1">IFERROR(__xludf.DUMMYFUNCTION("""COMPUTED_VALUE"""),"Salamanca")</f>
        <v>Salamanca</v>
      </c>
      <c r="I1746" s="33" t="str">
        <f ca="1">IFERROR(__xludf.DUMMYFUNCTION("""COMPUTED_VALUE"""),"SLM-655")</f>
        <v>SLM-655</v>
      </c>
      <c r="J1746" s="33" t="str">
        <f ca="1">IFERROR(__xludf.DUMMYFUNCTION("""COMPUTED_VALUE"""),"JOSE RAMON SERRANO PIEDECASAS")</f>
        <v>JOSE RAMON SERRANO PIEDECASAS</v>
      </c>
      <c r="K1746" s="33">
        <f ca="1">IFERROR(__xludf.DUMMYFUNCTION("""COMPUTED_VALUE"""),2)</f>
        <v>2</v>
      </c>
      <c r="L1746" s="203">
        <f ca="1">IFERROR(__xludf.DUMMYFUNCTION("""COMPUTED_VALUE"""),3730)</f>
        <v>3730</v>
      </c>
      <c r="M1746" s="33" t="str">
        <f ca="1">IFERROR(__xludf.DUMMYFUNCTION("""COMPUTED_VALUE"""),"03 ORL")</f>
        <v>03 ORL</v>
      </c>
      <c r="N1746" s="33" t="str">
        <f ca="1">IFERROR(__xludf.DUMMYFUNCTION("""COMPUTED_VALUE"""),"06 ORL")</f>
        <v>06 ORL</v>
      </c>
      <c r="O1746" s="33" t="str">
        <f ca="1">IFERROR(__xludf.DUMMYFUNCTION("""COMPUTED_VALUE"""),"Dr, Ángel Muñoz Herrera")</f>
        <v>Dr, Ángel Muñoz Herrera</v>
      </c>
      <c r="P1746" s="33" t="str">
        <f ca="1">IFERROR(__xludf.DUMMYFUNCTION("""COMPUTED_VALUE"""),"Alberto Moreno (Madrid)")</f>
        <v>Alberto Moreno (Madrid)</v>
      </c>
    </row>
    <row r="1747" spans="2:16">
      <c r="B1747" s="33">
        <f ca="1">IFERROR(__xludf.DUMMYFUNCTION("""COMPUTED_VALUE"""),2025)</f>
        <v>2025</v>
      </c>
      <c r="C1747" s="33">
        <f ca="1">IFERROR(__xludf.DUMMYFUNCTION("""COMPUTED_VALUE"""),12)</f>
        <v>12</v>
      </c>
      <c r="D1747" s="33" t="str">
        <f ca="1">IFERROR(__xludf.DUMMYFUNCTION("""COMPUTED_VALUE"""),"NO")</f>
        <v>NO</v>
      </c>
      <c r="E1747" s="33" t="str">
        <f ca="1">IFERROR(__xludf.DUMMYFUNCTION("""COMPUTED_VALUE"""),"Logroño")</f>
        <v>Logroño</v>
      </c>
      <c r="F1747" s="57">
        <f ca="1">IFERROR(__xludf.DUMMYFUNCTION("""COMPUTED_VALUE"""),46022)</f>
        <v>46022</v>
      </c>
      <c r="G1747" s="57">
        <f ca="1">IFERROR(__xludf.DUMMYFUNCTION("""COMPUTED_VALUE"""),45995)</f>
        <v>45995</v>
      </c>
      <c r="H1747" s="33" t="str">
        <f ca="1">IFERROR(__xludf.DUMMYFUNCTION("""COMPUTED_VALUE"""),"Logroño")</f>
        <v>Logroño</v>
      </c>
      <c r="I1747" s="33" t="str">
        <f ca="1">IFERROR(__xludf.DUMMYFUNCTION("""COMPUTED_VALUE"""),"C202512493338206635")</f>
        <v>C202512493338206635</v>
      </c>
      <c r="J1747" s="33" t="str">
        <f ca="1">IFERROR(__xludf.DUMMYFUNCTION("""COMPUTED_VALUE"""),"ANA OROSIA JIMENEZ JIMENEZ")</f>
        <v>ANA OROSIA JIMENEZ JIMENEZ</v>
      </c>
      <c r="K1747" s="33">
        <f ca="1">IFERROR(__xludf.DUMMYFUNCTION("""COMPUTED_VALUE"""),2)</f>
        <v>2</v>
      </c>
      <c r="L1747" s="203">
        <f ca="1">IFERROR(__xludf.DUMMYFUNCTION("""COMPUTED_VALUE"""),4000)</f>
        <v>4000</v>
      </c>
      <c r="M1747" s="33" t="str">
        <f ca="1">IFERROR(__xludf.DUMMYFUNCTION("""COMPUTED_VALUE"""),"02 MARKETING OFF LINE")</f>
        <v>02 MARKETING OFF LINE</v>
      </c>
      <c r="N1747" s="33" t="str">
        <f ca="1">IFERROR(__xludf.DUMMYFUNCTION("""COMPUTED_VALUE"""),"08 TELEMARKETING LISTADO EXTERNO")</f>
        <v>08 TELEMARKETING LISTADO EXTERNO</v>
      </c>
      <c r="O1747" s="33" t="str">
        <f ca="1">IFERROR(__xludf.DUMMYFUNCTION("""COMPUTED_VALUE"""),"Dr, Garikoitz Calzada Uriondo")</f>
        <v>Dr, Garikoitz Calzada Uriondo</v>
      </c>
      <c r="P1747" s="33" t="str">
        <f ca="1">IFERROR(__xludf.DUMMYFUNCTION("""COMPUTED_VALUE"""),"Lisandro Russian (Madrid, Cáceres, Toledo, Talavera Y Logroño)")</f>
        <v>Lisandro Russian (Madrid, Cáceres, Toledo, Talavera Y Logroño)</v>
      </c>
    </row>
    <row r="1748" spans="2:16">
      <c r="B1748" s="33">
        <f ca="1">IFERROR(__xludf.DUMMYFUNCTION("""COMPUTED_VALUE"""),2025)</f>
        <v>2025</v>
      </c>
      <c r="C1748" s="33">
        <f ca="1">IFERROR(__xludf.DUMMYFUNCTION("""COMPUTED_VALUE"""),12)</f>
        <v>12</v>
      </c>
      <c r="D1748" s="33" t="str">
        <f ca="1">IFERROR(__xludf.DUMMYFUNCTION("""COMPUTED_VALUE"""),"NO")</f>
        <v>NO</v>
      </c>
      <c r="E1748" s="33" t="str">
        <f ca="1">IFERROR(__xludf.DUMMYFUNCTION("""COMPUTED_VALUE"""),"Madrid- La Oca")</f>
        <v>Madrid- La Oca</v>
      </c>
      <c r="F1748" s="57">
        <f ca="1">IFERROR(__xludf.DUMMYFUNCTION("""COMPUTED_VALUE"""),46008)</f>
        <v>46008</v>
      </c>
      <c r="G1748" s="57">
        <f ca="1">IFERROR(__xludf.DUMMYFUNCTION("""COMPUTED_VALUE"""),45939)</f>
        <v>45939</v>
      </c>
      <c r="H1748" s="33" t="str">
        <f ca="1">IFERROR(__xludf.DUMMYFUNCTION("""COMPUTED_VALUE"""),"La Oca")</f>
        <v>La Oca</v>
      </c>
      <c r="I1748" s="33" t="str">
        <f ca="1">IFERROR(__xludf.DUMMYFUNCTION("""COMPUTED_VALUE"""),"C202511715351412")</f>
        <v>C202511715351412</v>
      </c>
      <c r="J1748" s="33" t="str">
        <f ca="1">IFERROR(__xludf.DUMMYFUNCTION("""COMPUTED_VALUE"""),"MIGUEL ANGEL GOMEZ OREJANA")</f>
        <v>MIGUEL ANGEL GOMEZ OREJANA</v>
      </c>
      <c r="K1748" s="33">
        <f ca="1">IFERROR(__xludf.DUMMYFUNCTION("""COMPUTED_VALUE"""),2)</f>
        <v>2</v>
      </c>
      <c r="L1748" s="203">
        <f ca="1">IFERROR(__xludf.DUMMYFUNCTION("""COMPUTED_VALUE"""),2718.18)</f>
        <v>2718.18</v>
      </c>
      <c r="M1748" s="33" t="str">
        <f ca="1">IFERROR(__xludf.DUMMYFUNCTION("""COMPUTED_VALUE"""),"03 ORL")</f>
        <v>03 ORL</v>
      </c>
      <c r="N1748" s="33" t="str">
        <f ca="1">IFERROR(__xludf.DUMMYFUNCTION("""COMPUTED_VALUE"""),"06 ORL")</f>
        <v>06 ORL</v>
      </c>
      <c r="O1748" s="33" t="str">
        <f ca="1">IFERROR(__xludf.DUMMYFUNCTION("""COMPUTED_VALUE"""),"Dr, Joaquín Alacio Casero")</f>
        <v>Dr, Joaquín Alacio Casero</v>
      </c>
      <c r="P1748" s="33" t="str">
        <f ca="1">IFERROR(__xludf.DUMMYFUNCTION("""COMPUTED_VALUE"""),"Maika Blázquez (Madrid)")</f>
        <v>Maika Blázquez (Madrid)</v>
      </c>
    </row>
    <row r="1749" spans="2:16">
      <c r="B1749" s="33">
        <f ca="1">IFERROR(__xludf.DUMMYFUNCTION("""COMPUTED_VALUE"""),2025)</f>
        <v>2025</v>
      </c>
      <c r="C1749" s="33">
        <f ca="1">IFERROR(__xludf.DUMMYFUNCTION("""COMPUTED_VALUE"""),12)</f>
        <v>12</v>
      </c>
      <c r="D1749" s="33" t="str">
        <f ca="1">IFERROR(__xludf.DUMMYFUNCTION("""COMPUTED_VALUE"""),"NO")</f>
        <v>NO</v>
      </c>
      <c r="E1749" s="33" t="str">
        <f ca="1">IFERROR(__xludf.DUMMYFUNCTION("""COMPUTED_VALUE"""),"Torrejón de Ardoz")</f>
        <v>Torrejón de Ardoz</v>
      </c>
      <c r="F1749" s="57">
        <f ca="1">IFERROR(__xludf.DUMMYFUNCTION("""COMPUTED_VALUE"""),46020)</f>
        <v>46020</v>
      </c>
      <c r="G1749" s="57">
        <f ca="1">IFERROR(__xludf.DUMMYFUNCTION("""COMPUTED_VALUE"""),45946)</f>
        <v>45946</v>
      </c>
      <c r="H1749" s="33" t="str">
        <f ca="1">IFERROR(__xludf.DUMMYFUNCTION("""COMPUTED_VALUE"""),"Torrejón")</f>
        <v>Torrejón</v>
      </c>
      <c r="I1749" s="33" t="str">
        <f ca="1">IFERROR(__xludf.DUMMYFUNCTION("""COMPUTED_VALUE"""),"C202510161727576979")</f>
        <v>C202510161727576979</v>
      </c>
      <c r="J1749" s="33" t="str">
        <f ca="1">IFERROR(__xludf.DUMMYFUNCTION("""COMPUTED_VALUE"""),"ISABEL CASTILLO ALMENDROTE")</f>
        <v>ISABEL CASTILLO ALMENDROTE</v>
      </c>
      <c r="K1749" s="33">
        <f ca="1">IFERROR(__xludf.DUMMYFUNCTION("""COMPUTED_VALUE"""),2)</f>
        <v>2</v>
      </c>
      <c r="L1749" s="203">
        <f ca="1">IFERROR(__xludf.DUMMYFUNCTION("""COMPUTED_VALUE"""),4136.36)</f>
        <v>4136.3599999999997</v>
      </c>
      <c r="M1749" s="33" t="str">
        <f ca="1">IFERROR(__xludf.DUMMYFUNCTION("""COMPUTED_VALUE"""),"03 ORL")</f>
        <v>03 ORL</v>
      </c>
      <c r="N1749" s="33" t="str">
        <f ca="1">IFERROR(__xludf.DUMMYFUNCTION("""COMPUTED_VALUE"""),"06 ORL")</f>
        <v>06 ORL</v>
      </c>
      <c r="O1749" s="33" t="str">
        <f ca="1">IFERROR(__xludf.DUMMYFUNCTION("""COMPUTED_VALUE"""),"Dra, María Garrote Garrote")</f>
        <v>Dra, María Garrote Garrote</v>
      </c>
      <c r="P1749" s="33" t="str">
        <f ca="1">IFERROR(__xludf.DUMMYFUNCTION("""COMPUTED_VALUE"""),"Maika Blázquez (Madrid)")</f>
        <v>Maika Blázquez (Madrid)</v>
      </c>
    </row>
  </sheetData>
  <conditionalFormatting sqref="J1:J3848">
    <cfRule type="cellIs" dxfId="1" priority="1" operator="lessThan">
      <formula>0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J6327"/>
  <sheetViews>
    <sheetView showGridLines="0" workbookViewId="0"/>
  </sheetViews>
  <sheetFormatPr baseColWidth="10" defaultColWidth="12.6640625" defaultRowHeight="15" customHeight="1"/>
  <cols>
    <col min="1" max="1" width="12.83203125" customWidth="1"/>
    <col min="2" max="2" width="22.1640625" customWidth="1"/>
    <col min="3" max="3" width="21.1640625" customWidth="1"/>
    <col min="4" max="4" width="20.1640625" customWidth="1"/>
    <col min="5" max="5" width="15.6640625" customWidth="1"/>
    <col min="6" max="6" width="13.6640625" customWidth="1"/>
    <col min="7" max="7" width="17" customWidth="1"/>
  </cols>
  <sheetData>
    <row r="1" spans="1:10">
      <c r="A1" s="172"/>
      <c r="D1" s="56"/>
      <c r="E1" s="204"/>
      <c r="F1" s="205"/>
      <c r="G1" s="206"/>
      <c r="H1" s="207"/>
      <c r="J1" s="76"/>
    </row>
    <row r="2" spans="1:10">
      <c r="A2" s="172"/>
      <c r="D2" s="56"/>
      <c r="E2" s="204"/>
      <c r="F2" s="205"/>
      <c r="G2" s="206"/>
      <c r="H2" s="207"/>
      <c r="J2" s="76"/>
    </row>
    <row r="3" spans="1:10">
      <c r="A3" s="172"/>
      <c r="D3" s="56"/>
      <c r="E3" s="204"/>
      <c r="F3" s="205"/>
      <c r="G3" s="206"/>
      <c r="H3" s="207"/>
      <c r="J3" s="76"/>
    </row>
    <row r="4" spans="1:10">
      <c r="G4" s="206"/>
      <c r="H4" s="207"/>
      <c r="J4" s="76"/>
    </row>
    <row r="5" spans="1:10">
      <c r="G5" s="206"/>
      <c r="H5" s="207"/>
      <c r="J5" s="76"/>
    </row>
    <row r="6" spans="1:10">
      <c r="G6" s="206"/>
      <c r="H6" s="207"/>
      <c r="J6" s="76"/>
    </row>
    <row r="7" spans="1:10">
      <c r="G7" s="206"/>
      <c r="H7" s="207"/>
      <c r="J7" s="76"/>
    </row>
    <row r="8" spans="1:10">
      <c r="G8" s="206"/>
      <c r="H8" s="207"/>
      <c r="J8" s="76"/>
    </row>
    <row r="9" spans="1:10">
      <c r="G9" s="206"/>
      <c r="H9" s="207"/>
      <c r="J9" s="76"/>
    </row>
    <row r="10" spans="1:10">
      <c r="G10" s="206"/>
      <c r="H10" s="207"/>
      <c r="J10" s="76"/>
    </row>
    <row r="11" spans="1:10">
      <c r="G11" s="206"/>
      <c r="H11" s="207"/>
      <c r="J11" s="76"/>
    </row>
    <row r="12" spans="1:10">
      <c r="G12" s="206"/>
      <c r="H12" s="207"/>
      <c r="J12" s="76"/>
    </row>
    <row r="13" spans="1:10">
      <c r="G13" s="206"/>
      <c r="H13" s="207"/>
      <c r="J13" s="76"/>
    </row>
    <row r="14" spans="1:10">
      <c r="G14" s="206"/>
      <c r="H14" s="207"/>
      <c r="J14" s="76"/>
    </row>
    <row r="15" spans="1:10">
      <c r="G15" s="206"/>
      <c r="H15" s="207"/>
      <c r="J15" s="76"/>
    </row>
    <row r="16" spans="1:10">
      <c r="G16" s="206"/>
      <c r="H16" s="207"/>
      <c r="J16" s="76"/>
    </row>
    <row r="17" spans="1:10">
      <c r="G17" s="206"/>
      <c r="H17" s="207"/>
      <c r="J17" s="76"/>
    </row>
    <row r="18" spans="1:10">
      <c r="G18" s="206"/>
      <c r="H18" s="207"/>
      <c r="J18" s="76"/>
    </row>
    <row r="19" spans="1:10">
      <c r="A19" s="172"/>
      <c r="D19" s="56"/>
      <c r="E19" s="204"/>
      <c r="F19" s="205"/>
      <c r="G19" s="206"/>
      <c r="H19" s="207"/>
      <c r="J19" s="76"/>
    </row>
    <row r="20" spans="1:10">
      <c r="A20" s="172"/>
      <c r="D20" s="56"/>
      <c r="E20" s="204"/>
      <c r="F20" s="205"/>
      <c r="G20" s="206"/>
      <c r="H20" s="207"/>
      <c r="J20" s="76"/>
    </row>
    <row r="21" spans="1:10">
      <c r="A21" s="172"/>
      <c r="D21" s="56"/>
      <c r="E21" s="204"/>
      <c r="F21" s="205"/>
      <c r="G21" s="206"/>
      <c r="H21" s="207"/>
      <c r="J21" s="76"/>
    </row>
    <row r="22" spans="1:10">
      <c r="A22" s="172"/>
      <c r="D22" s="56"/>
      <c r="E22" s="204"/>
      <c r="F22" s="205"/>
      <c r="G22" s="206"/>
      <c r="H22" s="207"/>
      <c r="J22" s="76"/>
    </row>
    <row r="23" spans="1:10" ht="16.5" customHeight="1">
      <c r="A23" s="172"/>
      <c r="D23" s="56"/>
      <c r="E23" s="204"/>
      <c r="F23" s="205"/>
      <c r="G23" s="206"/>
      <c r="H23" s="207"/>
      <c r="J23" s="76"/>
    </row>
    <row r="24" spans="1:10" ht="15.75" customHeight="1">
      <c r="A24" s="172"/>
      <c r="D24" s="56"/>
      <c r="E24" s="204"/>
      <c r="F24" s="205"/>
      <c r="G24" s="206"/>
      <c r="H24" s="207"/>
      <c r="J24" s="76"/>
    </row>
    <row r="25" spans="1:10">
      <c r="A25" s="172"/>
      <c r="D25" s="56"/>
      <c r="E25" s="204"/>
      <c r="F25" s="205"/>
      <c r="G25" s="206"/>
      <c r="H25" s="207"/>
      <c r="J25" s="76"/>
    </row>
    <row r="26" spans="1:10">
      <c r="A26" s="172"/>
      <c r="D26" s="56"/>
      <c r="E26" s="204"/>
      <c r="F26" s="205"/>
      <c r="G26" s="206"/>
      <c r="H26" s="207"/>
      <c r="J26" s="76"/>
    </row>
    <row r="27" spans="1:10" ht="14.25" customHeight="1">
      <c r="A27" s="172"/>
      <c r="D27" s="56"/>
      <c r="E27" s="204"/>
      <c r="F27" s="205"/>
      <c r="G27" s="206"/>
      <c r="H27" s="207"/>
      <c r="J27" s="76"/>
    </row>
    <row r="28" spans="1:10">
      <c r="A28" s="172"/>
      <c r="D28" s="56"/>
      <c r="E28" s="204"/>
      <c r="F28" s="205"/>
      <c r="G28" s="206"/>
      <c r="H28" s="207"/>
      <c r="J28" s="76"/>
    </row>
    <row r="29" spans="1:10">
      <c r="A29" s="172"/>
      <c r="D29" s="56"/>
      <c r="E29" s="204"/>
      <c r="F29" s="205"/>
      <c r="G29" s="206"/>
      <c r="H29" s="207"/>
      <c r="J29" s="76"/>
    </row>
    <row r="30" spans="1:10">
      <c r="A30" s="172"/>
      <c r="D30" s="56"/>
      <c r="E30" s="204"/>
      <c r="F30" s="205"/>
      <c r="G30" s="206"/>
      <c r="H30" s="207"/>
      <c r="J30" s="76"/>
    </row>
    <row r="31" spans="1:10">
      <c r="A31" s="172"/>
      <c r="D31" s="56"/>
      <c r="E31" s="204"/>
      <c r="F31" s="205"/>
      <c r="G31" s="206"/>
      <c r="H31" s="207"/>
      <c r="J31" s="76"/>
    </row>
    <row r="32" spans="1:10">
      <c r="A32" s="172"/>
      <c r="D32" s="56"/>
      <c r="E32" s="204"/>
      <c r="F32" s="205"/>
      <c r="G32" s="206"/>
      <c r="H32" s="207"/>
      <c r="J32" s="76"/>
    </row>
    <row r="33" spans="1:10">
      <c r="A33" s="172"/>
      <c r="D33" s="56"/>
      <c r="E33" s="204"/>
      <c r="F33" s="205"/>
      <c r="G33" s="206"/>
      <c r="H33" s="207"/>
      <c r="J33" s="76"/>
    </row>
    <row r="34" spans="1:10">
      <c r="A34" s="172"/>
      <c r="D34" s="56"/>
      <c r="E34" s="204"/>
      <c r="F34" s="205"/>
      <c r="G34" s="206"/>
      <c r="H34" s="207"/>
      <c r="J34" s="76"/>
    </row>
    <row r="35" spans="1:10">
      <c r="A35" s="172"/>
      <c r="D35" s="56"/>
      <c r="E35" s="204"/>
      <c r="F35" s="205"/>
      <c r="G35" s="206"/>
      <c r="H35" s="207"/>
      <c r="J35" s="76"/>
    </row>
    <row r="36" spans="1:10">
      <c r="A36" s="172"/>
      <c r="D36" s="56"/>
      <c r="E36" s="204"/>
      <c r="F36" s="205"/>
      <c r="G36" s="206"/>
      <c r="H36" s="207"/>
      <c r="J36" s="76"/>
    </row>
    <row r="37" spans="1:10">
      <c r="A37" s="172"/>
      <c r="D37" s="56"/>
      <c r="E37" s="204"/>
      <c r="F37" s="205"/>
      <c r="G37" s="206"/>
      <c r="H37" s="207"/>
      <c r="J37" s="76"/>
    </row>
    <row r="38" spans="1:10">
      <c r="A38" s="172"/>
      <c r="D38" s="56"/>
      <c r="E38" s="204"/>
      <c r="F38" s="205"/>
      <c r="G38" s="206"/>
      <c r="H38" s="207"/>
      <c r="J38" s="76"/>
    </row>
    <row r="39" spans="1:10">
      <c r="A39" s="172"/>
      <c r="D39" s="56"/>
      <c r="E39" s="204"/>
      <c r="F39" s="205"/>
      <c r="G39" s="206"/>
      <c r="H39" s="207"/>
      <c r="J39" s="76"/>
    </row>
    <row r="40" spans="1:10">
      <c r="A40" s="172"/>
      <c r="D40" s="56"/>
      <c r="E40" s="204"/>
      <c r="F40" s="205"/>
      <c r="G40" s="206"/>
      <c r="H40" s="207"/>
      <c r="J40" s="76"/>
    </row>
    <row r="41" spans="1:10">
      <c r="A41" s="172"/>
      <c r="D41" s="56"/>
      <c r="E41" s="204"/>
      <c r="F41" s="205"/>
      <c r="G41" s="206"/>
      <c r="H41" s="207"/>
      <c r="J41" s="76"/>
    </row>
    <row r="42" spans="1:10">
      <c r="A42" s="172"/>
      <c r="D42" s="56"/>
      <c r="E42" s="204"/>
      <c r="F42" s="205"/>
      <c r="G42" s="206"/>
      <c r="H42" s="207"/>
      <c r="J42" s="76"/>
    </row>
    <row r="43" spans="1:10">
      <c r="A43" s="172"/>
      <c r="D43" s="56"/>
      <c r="E43" s="204"/>
      <c r="F43" s="205"/>
      <c r="G43" s="206"/>
      <c r="H43" s="207"/>
      <c r="J43" s="76"/>
    </row>
    <row r="44" spans="1:10">
      <c r="A44" s="172"/>
      <c r="D44" s="56"/>
      <c r="E44" s="204"/>
      <c r="F44" s="205"/>
      <c r="G44" s="206"/>
      <c r="H44" s="207"/>
      <c r="J44" s="76"/>
    </row>
    <row r="45" spans="1:10">
      <c r="A45" s="172"/>
      <c r="D45" s="56"/>
      <c r="E45" s="204"/>
      <c r="F45" s="205"/>
      <c r="G45" s="206"/>
      <c r="H45" s="207"/>
      <c r="J45" s="76"/>
    </row>
    <row r="46" spans="1:10">
      <c r="A46" s="172"/>
      <c r="D46" s="56"/>
      <c r="E46" s="204"/>
      <c r="F46" s="205"/>
      <c r="G46" s="206"/>
      <c r="H46" s="207"/>
      <c r="J46" s="76"/>
    </row>
    <row r="47" spans="1:10">
      <c r="A47" s="172"/>
      <c r="D47" s="56"/>
      <c r="E47" s="204"/>
      <c r="F47" s="205"/>
      <c r="G47" s="206"/>
      <c r="H47" s="207"/>
      <c r="J47" s="76"/>
    </row>
    <row r="48" spans="1:10">
      <c r="A48" s="172"/>
      <c r="D48" s="56"/>
      <c r="E48" s="204"/>
      <c r="F48" s="205"/>
      <c r="G48" s="206"/>
      <c r="H48" s="207"/>
      <c r="J48" s="76"/>
    </row>
    <row r="49" spans="1:10">
      <c r="A49" s="172"/>
      <c r="D49" s="56"/>
      <c r="E49" s="204"/>
      <c r="F49" s="205"/>
      <c r="G49" s="206"/>
      <c r="H49" s="207"/>
      <c r="J49" s="76"/>
    </row>
    <row r="50" spans="1:10">
      <c r="A50" s="172"/>
      <c r="D50" s="56"/>
      <c r="E50" s="204"/>
      <c r="F50" s="205"/>
      <c r="G50" s="206"/>
      <c r="H50" s="207"/>
      <c r="J50" s="76"/>
    </row>
    <row r="51" spans="1:10">
      <c r="A51" s="172"/>
      <c r="D51" s="56"/>
      <c r="E51" s="204"/>
      <c r="F51" s="205"/>
      <c r="G51" s="206"/>
      <c r="H51" s="207"/>
      <c r="J51" s="76"/>
    </row>
    <row r="52" spans="1:10">
      <c r="A52" s="172"/>
      <c r="D52" s="56"/>
      <c r="E52" s="204"/>
      <c r="F52" s="205"/>
      <c r="G52" s="206"/>
      <c r="H52" s="207"/>
      <c r="J52" s="76"/>
    </row>
    <row r="53" spans="1:10">
      <c r="A53" s="172"/>
      <c r="D53" s="56"/>
      <c r="E53" s="204"/>
      <c r="F53" s="205"/>
      <c r="G53" s="206"/>
      <c r="H53" s="207"/>
      <c r="J53" s="76"/>
    </row>
    <row r="54" spans="1:10">
      <c r="A54" s="172"/>
      <c r="D54" s="56"/>
      <c r="E54" s="204"/>
      <c r="F54" s="205"/>
      <c r="G54" s="206"/>
      <c r="H54" s="207"/>
      <c r="J54" s="76"/>
    </row>
    <row r="55" spans="1:10">
      <c r="A55" s="172"/>
      <c r="D55" s="56"/>
      <c r="E55" s="204"/>
      <c r="F55" s="205"/>
      <c r="G55" s="206"/>
      <c r="H55" s="207"/>
      <c r="J55" s="76"/>
    </row>
    <row r="56" spans="1:10">
      <c r="A56" s="172"/>
      <c r="D56" s="56"/>
      <c r="E56" s="204"/>
      <c r="F56" s="205"/>
      <c r="G56" s="206"/>
      <c r="H56" s="207"/>
      <c r="J56" s="76"/>
    </row>
    <row r="57" spans="1:10">
      <c r="A57" s="172"/>
      <c r="D57" s="56"/>
      <c r="E57" s="204"/>
      <c r="F57" s="205"/>
      <c r="G57" s="206"/>
      <c r="H57" s="207"/>
      <c r="J57" s="76"/>
    </row>
    <row r="58" spans="1:10">
      <c r="A58" s="172"/>
      <c r="D58" s="56"/>
      <c r="E58" s="204"/>
      <c r="F58" s="205"/>
      <c r="G58" s="206"/>
      <c r="H58" s="207"/>
      <c r="J58" s="76"/>
    </row>
    <row r="59" spans="1:10">
      <c r="A59" s="172"/>
      <c r="D59" s="56"/>
      <c r="E59" s="204"/>
      <c r="F59" s="205"/>
      <c r="G59" s="206"/>
      <c r="H59" s="207"/>
      <c r="J59" s="76"/>
    </row>
    <row r="60" spans="1:10">
      <c r="A60" s="172"/>
      <c r="D60" s="56"/>
      <c r="E60" s="204"/>
      <c r="F60" s="205"/>
      <c r="G60" s="206"/>
      <c r="H60" s="207"/>
      <c r="J60" s="76"/>
    </row>
    <row r="61" spans="1:10">
      <c r="A61" s="172"/>
      <c r="D61" s="56"/>
      <c r="E61" s="204"/>
      <c r="F61" s="205"/>
      <c r="G61" s="206"/>
      <c r="H61" s="207"/>
      <c r="J61" s="76"/>
    </row>
    <row r="62" spans="1:10">
      <c r="A62" s="172"/>
      <c r="D62" s="56"/>
      <c r="E62" s="204"/>
      <c r="F62" s="205"/>
      <c r="G62" s="206"/>
      <c r="H62" s="207"/>
      <c r="J62" s="76"/>
    </row>
    <row r="63" spans="1:10">
      <c r="A63" s="172"/>
      <c r="D63" s="56"/>
      <c r="E63" s="204"/>
      <c r="F63" s="205"/>
      <c r="G63" s="206"/>
      <c r="H63" s="207"/>
      <c r="J63" s="76"/>
    </row>
    <row r="64" spans="1:10">
      <c r="A64" s="172"/>
      <c r="D64" s="56"/>
      <c r="E64" s="204"/>
      <c r="F64" s="205"/>
      <c r="G64" s="206"/>
      <c r="H64" s="207"/>
      <c r="J64" s="76"/>
    </row>
    <row r="65" spans="1:10">
      <c r="A65" s="172"/>
      <c r="D65" s="56"/>
      <c r="E65" s="204"/>
      <c r="F65" s="205"/>
      <c r="G65" s="206"/>
      <c r="H65" s="207"/>
      <c r="J65" s="76"/>
    </row>
    <row r="66" spans="1:10">
      <c r="A66" s="172"/>
      <c r="D66" s="56"/>
      <c r="E66" s="204"/>
      <c r="F66" s="205"/>
      <c r="G66" s="206"/>
      <c r="H66" s="207"/>
      <c r="J66" s="76"/>
    </row>
    <row r="67" spans="1:10">
      <c r="A67" s="172"/>
      <c r="D67" s="56"/>
      <c r="E67" s="204"/>
      <c r="F67" s="205"/>
      <c r="G67" s="206"/>
      <c r="H67" s="207"/>
      <c r="J67" s="76"/>
    </row>
    <row r="68" spans="1:10">
      <c r="A68" s="172"/>
      <c r="D68" s="56"/>
      <c r="E68" s="204"/>
      <c r="F68" s="205"/>
      <c r="G68" s="206"/>
      <c r="H68" s="207"/>
      <c r="J68" s="76"/>
    </row>
    <row r="69" spans="1:10">
      <c r="A69" s="172"/>
      <c r="D69" s="56"/>
      <c r="E69" s="204"/>
      <c r="F69" s="205"/>
      <c r="G69" s="206"/>
      <c r="H69" s="207"/>
      <c r="J69" s="76"/>
    </row>
    <row r="70" spans="1:10">
      <c r="A70" s="172"/>
      <c r="D70" s="56"/>
      <c r="E70" s="204"/>
      <c r="F70" s="205"/>
      <c r="G70" s="206"/>
      <c r="H70" s="207"/>
      <c r="J70" s="76"/>
    </row>
    <row r="71" spans="1:10">
      <c r="A71" s="172"/>
      <c r="D71" s="56"/>
      <c r="E71" s="204"/>
      <c r="F71" s="205"/>
      <c r="G71" s="206"/>
      <c r="H71" s="207"/>
      <c r="J71" s="76"/>
    </row>
    <row r="72" spans="1:10">
      <c r="A72" s="172"/>
      <c r="D72" s="56"/>
      <c r="E72" s="204"/>
      <c r="F72" s="205"/>
      <c r="G72" s="206"/>
      <c r="H72" s="207"/>
      <c r="J72" s="76"/>
    </row>
    <row r="73" spans="1:10">
      <c r="A73" s="172"/>
      <c r="D73" s="56"/>
      <c r="E73" s="204"/>
      <c r="F73" s="205"/>
      <c r="G73" s="206"/>
      <c r="H73" s="207"/>
      <c r="J73" s="76"/>
    </row>
    <row r="74" spans="1:10">
      <c r="A74" s="172"/>
      <c r="D74" s="56"/>
      <c r="E74" s="204"/>
      <c r="F74" s="205"/>
      <c r="G74" s="206"/>
      <c r="H74" s="207"/>
      <c r="J74" s="76"/>
    </row>
    <row r="75" spans="1:10">
      <c r="A75" s="172"/>
      <c r="D75" s="56"/>
      <c r="E75" s="204"/>
      <c r="F75" s="205"/>
      <c r="G75" s="206"/>
      <c r="H75" s="207"/>
      <c r="J75" s="76"/>
    </row>
    <row r="76" spans="1:10">
      <c r="A76" s="172"/>
      <c r="D76" s="56"/>
      <c r="E76" s="204"/>
      <c r="F76" s="205"/>
      <c r="G76" s="206"/>
      <c r="H76" s="207"/>
      <c r="J76" s="76"/>
    </row>
    <row r="77" spans="1:10">
      <c r="A77" s="172"/>
      <c r="D77" s="56"/>
      <c r="E77" s="204"/>
      <c r="F77" s="205"/>
      <c r="G77" s="206"/>
      <c r="H77" s="207"/>
      <c r="J77" s="76"/>
    </row>
    <row r="78" spans="1:10">
      <c r="A78" s="172"/>
      <c r="D78" s="56"/>
      <c r="E78" s="204"/>
      <c r="F78" s="205"/>
      <c r="G78" s="206"/>
      <c r="H78" s="207"/>
      <c r="J78" s="76"/>
    </row>
    <row r="79" spans="1:10">
      <c r="A79" s="172"/>
      <c r="D79" s="56"/>
      <c r="E79" s="204"/>
      <c r="F79" s="205"/>
      <c r="G79" s="206"/>
      <c r="H79" s="207"/>
      <c r="J79" s="76"/>
    </row>
    <row r="80" spans="1:10">
      <c r="A80" s="172"/>
      <c r="D80" s="56"/>
      <c r="E80" s="204"/>
      <c r="F80" s="205"/>
      <c r="G80" s="206"/>
      <c r="H80" s="207"/>
      <c r="J80" s="76"/>
    </row>
    <row r="81" spans="1:10">
      <c r="A81" s="172"/>
      <c r="D81" s="56"/>
      <c r="E81" s="204"/>
      <c r="F81" s="205"/>
      <c r="G81" s="206"/>
      <c r="H81" s="207"/>
      <c r="J81" s="76"/>
    </row>
    <row r="82" spans="1:10">
      <c r="A82" s="172"/>
      <c r="D82" s="56"/>
      <c r="E82" s="204"/>
      <c r="F82" s="205"/>
      <c r="G82" s="206"/>
      <c r="H82" s="207"/>
      <c r="J82" s="76"/>
    </row>
    <row r="83" spans="1:10">
      <c r="A83" s="172"/>
      <c r="D83" s="56"/>
      <c r="E83" s="204"/>
      <c r="F83" s="205"/>
      <c r="G83" s="206"/>
      <c r="H83" s="207"/>
      <c r="J83" s="76"/>
    </row>
    <row r="84" spans="1:10">
      <c r="A84" s="172"/>
      <c r="D84" s="56"/>
      <c r="E84" s="204"/>
      <c r="F84" s="205"/>
      <c r="G84" s="206"/>
      <c r="H84" s="207"/>
      <c r="J84" s="76"/>
    </row>
    <row r="85" spans="1:10">
      <c r="A85" s="172"/>
      <c r="D85" s="56"/>
      <c r="E85" s="204"/>
      <c r="F85" s="205"/>
      <c r="G85" s="206"/>
      <c r="H85" s="207"/>
      <c r="J85" s="76"/>
    </row>
    <row r="86" spans="1:10">
      <c r="A86" s="172"/>
      <c r="D86" s="56"/>
      <c r="E86" s="204"/>
      <c r="F86" s="205"/>
      <c r="G86" s="206"/>
      <c r="H86" s="207"/>
      <c r="J86" s="76"/>
    </row>
    <row r="87" spans="1:10">
      <c r="A87" s="172"/>
      <c r="D87" s="56"/>
      <c r="E87" s="204"/>
      <c r="F87" s="205"/>
      <c r="G87" s="206"/>
      <c r="H87" s="207"/>
      <c r="J87" s="76"/>
    </row>
    <row r="88" spans="1:10">
      <c r="A88" s="172"/>
      <c r="D88" s="56"/>
      <c r="E88" s="204"/>
      <c r="F88" s="205"/>
      <c r="G88" s="206"/>
      <c r="H88" s="207"/>
      <c r="J88" s="76"/>
    </row>
    <row r="89" spans="1:10">
      <c r="A89" s="172"/>
      <c r="D89" s="56"/>
      <c r="E89" s="204"/>
      <c r="F89" s="205"/>
      <c r="G89" s="206"/>
      <c r="H89" s="207"/>
      <c r="J89" s="76"/>
    </row>
    <row r="90" spans="1:10">
      <c r="A90" s="172"/>
      <c r="D90" s="56"/>
      <c r="E90" s="204"/>
      <c r="F90" s="205"/>
      <c r="G90" s="206"/>
      <c r="H90" s="207"/>
      <c r="J90" s="76"/>
    </row>
    <row r="91" spans="1:10">
      <c r="A91" s="172"/>
      <c r="D91" s="56"/>
      <c r="E91" s="204"/>
      <c r="F91" s="205"/>
      <c r="G91" s="206"/>
      <c r="H91" s="207"/>
      <c r="J91" s="76"/>
    </row>
    <row r="92" spans="1:10">
      <c r="A92" s="172"/>
      <c r="D92" s="56"/>
      <c r="E92" s="204"/>
      <c r="F92" s="205"/>
      <c r="G92" s="206"/>
      <c r="H92" s="207"/>
      <c r="J92" s="76"/>
    </row>
    <row r="93" spans="1:10">
      <c r="A93" s="172"/>
      <c r="D93" s="56"/>
      <c r="E93" s="204"/>
      <c r="F93" s="205"/>
      <c r="G93" s="206"/>
      <c r="H93" s="207"/>
      <c r="J93" s="76"/>
    </row>
    <row r="94" spans="1:10">
      <c r="A94" s="172"/>
      <c r="D94" s="56"/>
      <c r="E94" s="204"/>
      <c r="F94" s="205"/>
      <c r="G94" s="206"/>
      <c r="H94" s="207"/>
      <c r="J94" s="76"/>
    </row>
    <row r="95" spans="1:10">
      <c r="A95" s="172"/>
      <c r="D95" s="56"/>
      <c r="E95" s="204"/>
      <c r="F95" s="205"/>
      <c r="G95" s="206"/>
      <c r="H95" s="207"/>
      <c r="J95" s="76"/>
    </row>
    <row r="96" spans="1:10">
      <c r="A96" s="172"/>
      <c r="D96" s="56"/>
      <c r="E96" s="204"/>
      <c r="F96" s="205"/>
      <c r="G96" s="206"/>
      <c r="H96" s="207"/>
      <c r="J96" s="76"/>
    </row>
    <row r="97" spans="1:10">
      <c r="A97" s="172"/>
      <c r="D97" s="56"/>
      <c r="E97" s="204"/>
      <c r="F97" s="205"/>
      <c r="G97" s="206"/>
      <c r="H97" s="207"/>
      <c r="J97" s="76"/>
    </row>
    <row r="98" spans="1:10">
      <c r="A98" s="172"/>
      <c r="D98" s="56"/>
      <c r="E98" s="204"/>
      <c r="F98" s="205"/>
      <c r="G98" s="206"/>
      <c r="H98" s="207"/>
      <c r="J98" s="76"/>
    </row>
    <row r="99" spans="1:10">
      <c r="A99" s="172"/>
      <c r="D99" s="56"/>
      <c r="E99" s="204"/>
      <c r="F99" s="205"/>
      <c r="G99" s="206"/>
      <c r="H99" s="207"/>
      <c r="J99" s="76"/>
    </row>
    <row r="100" spans="1:10">
      <c r="A100" s="172"/>
      <c r="D100" s="56"/>
      <c r="E100" s="204"/>
      <c r="F100" s="205"/>
      <c r="G100" s="206"/>
      <c r="H100" s="207"/>
      <c r="J100" s="76"/>
    </row>
    <row r="101" spans="1:10">
      <c r="A101" s="172"/>
      <c r="D101" s="56"/>
      <c r="E101" s="204"/>
      <c r="F101" s="205"/>
      <c r="G101" s="206"/>
      <c r="H101" s="207"/>
      <c r="J101" s="76"/>
    </row>
    <row r="102" spans="1:10">
      <c r="A102" s="172"/>
      <c r="D102" s="56"/>
      <c r="E102" s="204"/>
      <c r="F102" s="205"/>
      <c r="G102" s="206"/>
      <c r="H102" s="207"/>
      <c r="J102" s="76"/>
    </row>
    <row r="103" spans="1:10">
      <c r="A103" s="172"/>
      <c r="D103" s="56"/>
      <c r="E103" s="204"/>
      <c r="F103" s="205"/>
      <c r="G103" s="206"/>
      <c r="H103" s="207"/>
      <c r="J103" s="76"/>
    </row>
    <row r="104" spans="1:10">
      <c r="A104" s="172"/>
      <c r="D104" s="56"/>
      <c r="E104" s="204"/>
      <c r="F104" s="205"/>
      <c r="G104" s="206"/>
      <c r="H104" s="207"/>
      <c r="J104" s="76"/>
    </row>
    <row r="105" spans="1:10">
      <c r="A105" s="172"/>
      <c r="D105" s="56"/>
      <c r="E105" s="204"/>
      <c r="F105" s="205"/>
      <c r="G105" s="206"/>
      <c r="H105" s="207"/>
      <c r="J105" s="76"/>
    </row>
    <row r="106" spans="1:10">
      <c r="A106" s="172"/>
      <c r="D106" s="56"/>
      <c r="E106" s="204"/>
      <c r="F106" s="205"/>
      <c r="G106" s="206"/>
      <c r="H106" s="207"/>
      <c r="J106" s="76"/>
    </row>
    <row r="107" spans="1:10">
      <c r="A107" s="172"/>
      <c r="D107" s="56"/>
      <c r="E107" s="204"/>
      <c r="F107" s="205"/>
      <c r="G107" s="206"/>
      <c r="H107" s="207"/>
      <c r="J107" s="76"/>
    </row>
    <row r="108" spans="1:10">
      <c r="A108" s="172"/>
      <c r="D108" s="56"/>
      <c r="E108" s="204"/>
      <c r="F108" s="205"/>
      <c r="G108" s="206"/>
      <c r="H108" s="207"/>
      <c r="J108" s="76"/>
    </row>
    <row r="109" spans="1:10">
      <c r="A109" s="172"/>
      <c r="D109" s="56"/>
      <c r="E109" s="204"/>
      <c r="F109" s="205"/>
      <c r="G109" s="206"/>
      <c r="H109" s="207"/>
      <c r="J109" s="76"/>
    </row>
    <row r="110" spans="1:10">
      <c r="A110" s="172"/>
      <c r="D110" s="56"/>
      <c r="E110" s="204"/>
      <c r="F110" s="205"/>
      <c r="G110" s="206"/>
      <c r="H110" s="207"/>
      <c r="J110" s="76"/>
    </row>
    <row r="111" spans="1:10">
      <c r="A111" s="172"/>
      <c r="D111" s="56"/>
      <c r="E111" s="204"/>
      <c r="F111" s="205"/>
      <c r="G111" s="206"/>
      <c r="H111" s="207"/>
      <c r="J111" s="76"/>
    </row>
    <row r="112" spans="1:10">
      <c r="A112" s="172"/>
      <c r="D112" s="56"/>
      <c r="E112" s="204"/>
      <c r="F112" s="205"/>
      <c r="G112" s="206"/>
      <c r="H112" s="207"/>
      <c r="J112" s="76"/>
    </row>
    <row r="113" spans="1:10">
      <c r="A113" s="172"/>
      <c r="D113" s="56"/>
      <c r="E113" s="204"/>
      <c r="F113" s="205"/>
      <c r="G113" s="206"/>
      <c r="H113" s="207"/>
      <c r="J113" s="76"/>
    </row>
    <row r="114" spans="1:10">
      <c r="A114" s="172"/>
      <c r="D114" s="56"/>
      <c r="E114" s="204"/>
      <c r="F114" s="205"/>
      <c r="G114" s="206"/>
      <c r="H114" s="207"/>
      <c r="J114" s="76"/>
    </row>
    <row r="115" spans="1:10">
      <c r="A115" s="172"/>
      <c r="D115" s="56"/>
      <c r="E115" s="204"/>
      <c r="F115" s="205"/>
      <c r="G115" s="206"/>
      <c r="H115" s="207"/>
      <c r="J115" s="76"/>
    </row>
    <row r="116" spans="1:10">
      <c r="A116" s="172"/>
      <c r="D116" s="56"/>
      <c r="E116" s="204"/>
      <c r="F116" s="205"/>
      <c r="G116" s="206"/>
      <c r="H116" s="207"/>
      <c r="J116" s="76"/>
    </row>
    <row r="117" spans="1:10">
      <c r="A117" s="172"/>
      <c r="D117" s="56"/>
      <c r="E117" s="204"/>
      <c r="F117" s="205"/>
      <c r="G117" s="206"/>
      <c r="H117" s="207"/>
      <c r="J117" s="76"/>
    </row>
    <row r="118" spans="1:10">
      <c r="A118" s="172"/>
      <c r="D118" s="56"/>
      <c r="E118" s="204"/>
      <c r="F118" s="205"/>
      <c r="G118" s="206"/>
      <c r="H118" s="207"/>
      <c r="J118" s="76"/>
    </row>
    <row r="119" spans="1:10">
      <c r="A119" s="172"/>
      <c r="D119" s="56"/>
      <c r="E119" s="204"/>
      <c r="F119" s="205"/>
      <c r="G119" s="206"/>
      <c r="H119" s="207"/>
      <c r="J119" s="76"/>
    </row>
    <row r="120" spans="1:10">
      <c r="A120" s="172"/>
      <c r="D120" s="56"/>
      <c r="E120" s="204"/>
      <c r="F120" s="205"/>
      <c r="G120" s="206"/>
      <c r="H120" s="207"/>
      <c r="J120" s="76"/>
    </row>
    <row r="121" spans="1:10">
      <c r="A121" s="172"/>
      <c r="D121" s="56"/>
      <c r="E121" s="204"/>
      <c r="F121" s="205"/>
      <c r="G121" s="206"/>
      <c r="H121" s="207"/>
      <c r="J121" s="76"/>
    </row>
    <row r="122" spans="1:10">
      <c r="A122" s="172"/>
      <c r="D122" s="56"/>
      <c r="E122" s="204"/>
      <c r="F122" s="205"/>
      <c r="G122" s="206"/>
      <c r="H122" s="207"/>
      <c r="J122" s="76"/>
    </row>
    <row r="123" spans="1:10">
      <c r="A123" s="172"/>
      <c r="D123" s="56"/>
      <c r="E123" s="204"/>
      <c r="F123" s="205"/>
      <c r="G123" s="206"/>
      <c r="H123" s="207"/>
      <c r="J123" s="76"/>
    </row>
    <row r="124" spans="1:10">
      <c r="A124" s="172"/>
      <c r="D124" s="56"/>
      <c r="E124" s="204"/>
      <c r="F124" s="205"/>
      <c r="G124" s="206"/>
      <c r="H124" s="207"/>
      <c r="J124" s="76"/>
    </row>
    <row r="125" spans="1:10">
      <c r="A125" s="172"/>
      <c r="D125" s="56"/>
      <c r="E125" s="204"/>
      <c r="F125" s="205"/>
      <c r="G125" s="206"/>
      <c r="H125" s="207"/>
      <c r="J125" s="76"/>
    </row>
    <row r="126" spans="1:10">
      <c r="A126" s="172"/>
      <c r="D126" s="56"/>
      <c r="E126" s="204"/>
      <c r="F126" s="205"/>
      <c r="G126" s="206"/>
      <c r="H126" s="207"/>
      <c r="J126" s="76"/>
    </row>
    <row r="127" spans="1:10">
      <c r="A127" s="172"/>
      <c r="D127" s="56"/>
      <c r="E127" s="204"/>
      <c r="F127" s="205"/>
      <c r="G127" s="206"/>
      <c r="H127" s="207"/>
      <c r="J127" s="76"/>
    </row>
    <row r="128" spans="1:10">
      <c r="A128" s="172"/>
      <c r="D128" s="56"/>
      <c r="E128" s="204"/>
      <c r="F128" s="205"/>
      <c r="G128" s="206"/>
      <c r="H128" s="207"/>
      <c r="J128" s="76"/>
    </row>
    <row r="129" spans="1:10">
      <c r="A129" s="172"/>
      <c r="D129" s="56"/>
      <c r="E129" s="204"/>
      <c r="F129" s="205"/>
      <c r="G129" s="206"/>
      <c r="H129" s="207"/>
      <c r="J129" s="76"/>
    </row>
    <row r="130" spans="1:10">
      <c r="A130" s="172"/>
      <c r="D130" s="56"/>
      <c r="E130" s="204"/>
      <c r="F130" s="205"/>
      <c r="G130" s="206"/>
      <c r="H130" s="207"/>
      <c r="J130" s="76"/>
    </row>
    <row r="131" spans="1:10">
      <c r="A131" s="172"/>
      <c r="D131" s="56"/>
      <c r="E131" s="204"/>
      <c r="F131" s="205"/>
      <c r="G131" s="206"/>
      <c r="H131" s="207"/>
      <c r="J131" s="76"/>
    </row>
    <row r="132" spans="1:10">
      <c r="A132" s="172"/>
      <c r="D132" s="56"/>
      <c r="E132" s="204"/>
      <c r="F132" s="205"/>
      <c r="G132" s="206"/>
      <c r="H132" s="207"/>
      <c r="J132" s="76"/>
    </row>
    <row r="133" spans="1:10">
      <c r="A133" s="172"/>
      <c r="D133" s="56"/>
      <c r="E133" s="204"/>
      <c r="F133" s="205"/>
      <c r="G133" s="206"/>
      <c r="H133" s="207"/>
      <c r="J133" s="76"/>
    </row>
    <row r="134" spans="1:10">
      <c r="A134" s="172"/>
      <c r="D134" s="56"/>
      <c r="E134" s="204"/>
      <c r="F134" s="205"/>
      <c r="G134" s="206"/>
      <c r="H134" s="207"/>
      <c r="J134" s="76"/>
    </row>
    <row r="135" spans="1:10">
      <c r="A135" s="172"/>
      <c r="D135" s="56"/>
      <c r="E135" s="204"/>
      <c r="F135" s="205"/>
      <c r="G135" s="206"/>
      <c r="H135" s="207"/>
      <c r="J135" s="76"/>
    </row>
    <row r="136" spans="1:10">
      <c r="A136" s="172"/>
      <c r="D136" s="56"/>
      <c r="E136" s="204"/>
      <c r="F136" s="205"/>
      <c r="G136" s="206"/>
      <c r="H136" s="207"/>
      <c r="J136" s="76"/>
    </row>
    <row r="137" spans="1:10">
      <c r="A137" s="172"/>
      <c r="D137" s="56"/>
      <c r="E137" s="204"/>
      <c r="F137" s="205"/>
      <c r="G137" s="206"/>
      <c r="H137" s="207"/>
      <c r="J137" s="76"/>
    </row>
    <row r="138" spans="1:10">
      <c r="A138" s="172"/>
      <c r="D138" s="56"/>
      <c r="E138" s="204"/>
      <c r="F138" s="205"/>
      <c r="G138" s="206"/>
      <c r="H138" s="207"/>
      <c r="J138" s="76"/>
    </row>
    <row r="139" spans="1:10">
      <c r="A139" s="172"/>
      <c r="D139" s="56"/>
      <c r="E139" s="204"/>
      <c r="F139" s="205"/>
      <c r="G139" s="206"/>
      <c r="H139" s="207"/>
      <c r="J139" s="76"/>
    </row>
    <row r="140" spans="1:10">
      <c r="A140" s="172"/>
      <c r="D140" s="56"/>
      <c r="E140" s="204"/>
      <c r="F140" s="205"/>
      <c r="G140" s="206"/>
      <c r="H140" s="207"/>
      <c r="J140" s="76"/>
    </row>
    <row r="141" spans="1:10">
      <c r="A141" s="172"/>
      <c r="D141" s="56"/>
      <c r="E141" s="204"/>
      <c r="F141" s="205"/>
      <c r="G141" s="206"/>
      <c r="H141" s="207"/>
      <c r="J141" s="76"/>
    </row>
    <row r="142" spans="1:10">
      <c r="A142" s="172"/>
      <c r="D142" s="56"/>
      <c r="E142" s="204"/>
      <c r="F142" s="205"/>
      <c r="G142" s="206"/>
      <c r="H142" s="207"/>
      <c r="J142" s="76"/>
    </row>
    <row r="143" spans="1:10">
      <c r="A143" s="172"/>
      <c r="D143" s="56"/>
      <c r="E143" s="204"/>
      <c r="F143" s="205"/>
      <c r="G143" s="206"/>
      <c r="H143" s="207"/>
      <c r="J143" s="76"/>
    </row>
    <row r="144" spans="1:10">
      <c r="A144" s="172"/>
      <c r="D144" s="56"/>
      <c r="E144" s="204"/>
      <c r="F144" s="205"/>
      <c r="G144" s="206"/>
      <c r="H144" s="207"/>
      <c r="J144" s="76"/>
    </row>
    <row r="145" spans="1:10">
      <c r="A145" s="172"/>
      <c r="D145" s="56"/>
      <c r="E145" s="204"/>
      <c r="F145" s="205"/>
      <c r="G145" s="206"/>
      <c r="H145" s="207"/>
      <c r="J145" s="76"/>
    </row>
    <row r="146" spans="1:10">
      <c r="A146" s="172"/>
      <c r="D146" s="56"/>
      <c r="E146" s="204"/>
      <c r="F146" s="205"/>
      <c r="G146" s="206"/>
      <c r="H146" s="207"/>
      <c r="J146" s="76"/>
    </row>
    <row r="147" spans="1:10">
      <c r="A147" s="172"/>
      <c r="D147" s="56"/>
      <c r="E147" s="204"/>
      <c r="F147" s="205"/>
      <c r="G147" s="206"/>
      <c r="H147" s="207"/>
      <c r="J147" s="76"/>
    </row>
    <row r="148" spans="1:10">
      <c r="A148" s="172"/>
      <c r="D148" s="56"/>
      <c r="E148" s="204"/>
      <c r="F148" s="205"/>
      <c r="G148" s="206"/>
      <c r="H148" s="207"/>
      <c r="J148" s="76"/>
    </row>
    <row r="149" spans="1:10">
      <c r="A149" s="172"/>
      <c r="D149" s="56"/>
      <c r="E149" s="204"/>
      <c r="F149" s="205"/>
      <c r="G149" s="206"/>
      <c r="H149" s="207"/>
      <c r="J149" s="76"/>
    </row>
    <row r="150" spans="1:10">
      <c r="A150" s="172"/>
      <c r="D150" s="56"/>
      <c r="E150" s="204"/>
      <c r="F150" s="205"/>
      <c r="G150" s="206"/>
      <c r="H150" s="207"/>
      <c r="J150" s="76"/>
    </row>
    <row r="151" spans="1:10">
      <c r="A151" s="172"/>
      <c r="D151" s="56"/>
      <c r="E151" s="204"/>
      <c r="F151" s="205"/>
      <c r="G151" s="206"/>
      <c r="H151" s="207"/>
      <c r="J151" s="76"/>
    </row>
    <row r="152" spans="1:10">
      <c r="A152" s="172"/>
      <c r="D152" s="56"/>
      <c r="E152" s="204"/>
      <c r="F152" s="205"/>
      <c r="G152" s="206"/>
      <c r="H152" s="207"/>
      <c r="J152" s="76"/>
    </row>
    <row r="153" spans="1:10">
      <c r="A153" s="172"/>
      <c r="D153" s="56"/>
      <c r="E153" s="204"/>
      <c r="F153" s="205"/>
      <c r="G153" s="206"/>
      <c r="H153" s="207"/>
      <c r="J153" s="76"/>
    </row>
    <row r="154" spans="1:10">
      <c r="A154" s="172"/>
      <c r="D154" s="56"/>
      <c r="E154" s="204"/>
      <c r="F154" s="205"/>
      <c r="G154" s="206"/>
      <c r="H154" s="207"/>
      <c r="J154" s="76"/>
    </row>
    <row r="155" spans="1:10">
      <c r="A155" s="172"/>
      <c r="D155" s="56"/>
      <c r="E155" s="204"/>
      <c r="F155" s="205"/>
      <c r="G155" s="206"/>
      <c r="H155" s="207"/>
      <c r="J155" s="76"/>
    </row>
    <row r="156" spans="1:10">
      <c r="A156" s="172"/>
      <c r="D156" s="56"/>
      <c r="E156" s="204"/>
      <c r="F156" s="205"/>
      <c r="G156" s="206"/>
      <c r="H156" s="207"/>
      <c r="J156" s="76"/>
    </row>
    <row r="157" spans="1:10">
      <c r="A157" s="172"/>
      <c r="D157" s="56"/>
      <c r="E157" s="204"/>
      <c r="F157" s="205"/>
      <c r="G157" s="206"/>
      <c r="H157" s="207"/>
      <c r="J157" s="76"/>
    </row>
    <row r="158" spans="1:10">
      <c r="A158" s="172"/>
      <c r="D158" s="56"/>
      <c r="E158" s="204"/>
      <c r="F158" s="205"/>
      <c r="G158" s="206"/>
      <c r="H158" s="207"/>
      <c r="J158" s="76"/>
    </row>
    <row r="159" spans="1:10">
      <c r="A159" s="172"/>
      <c r="D159" s="56"/>
      <c r="E159" s="204"/>
      <c r="F159" s="205"/>
      <c r="G159" s="206"/>
      <c r="H159" s="207"/>
      <c r="J159" s="76"/>
    </row>
    <row r="160" spans="1:10">
      <c r="A160" s="172"/>
      <c r="D160" s="56"/>
      <c r="E160" s="204"/>
      <c r="F160" s="205"/>
      <c r="G160" s="206"/>
      <c r="H160" s="207"/>
      <c r="J160" s="76"/>
    </row>
    <row r="161" spans="1:10">
      <c r="A161" s="172"/>
      <c r="D161" s="56"/>
      <c r="E161" s="204"/>
      <c r="F161" s="205"/>
      <c r="G161" s="206"/>
      <c r="H161" s="207"/>
      <c r="J161" s="76"/>
    </row>
    <row r="162" spans="1:10">
      <c r="A162" s="172"/>
      <c r="D162" s="56"/>
      <c r="E162" s="204"/>
      <c r="F162" s="205"/>
      <c r="G162" s="206"/>
      <c r="H162" s="207"/>
      <c r="J162" s="76"/>
    </row>
    <row r="163" spans="1:10">
      <c r="A163" s="172"/>
      <c r="D163" s="56"/>
      <c r="E163" s="204"/>
      <c r="F163" s="205"/>
      <c r="G163" s="206"/>
      <c r="H163" s="207"/>
      <c r="J163" s="76"/>
    </row>
    <row r="164" spans="1:10">
      <c r="A164" s="172"/>
      <c r="D164" s="56"/>
      <c r="E164" s="204"/>
      <c r="F164" s="205"/>
      <c r="G164" s="206"/>
      <c r="H164" s="207"/>
      <c r="J164" s="76"/>
    </row>
    <row r="165" spans="1:10">
      <c r="A165" s="172"/>
      <c r="D165" s="56"/>
      <c r="E165" s="204"/>
      <c r="F165" s="205"/>
      <c r="G165" s="206"/>
      <c r="H165" s="207"/>
      <c r="J165" s="76"/>
    </row>
    <row r="166" spans="1:10">
      <c r="A166" s="172"/>
      <c r="D166" s="56"/>
      <c r="E166" s="204"/>
      <c r="F166" s="205"/>
      <c r="G166" s="206"/>
      <c r="H166" s="207"/>
      <c r="J166" s="76"/>
    </row>
    <row r="167" spans="1:10">
      <c r="A167" s="172"/>
      <c r="D167" s="56"/>
      <c r="E167" s="204"/>
      <c r="F167" s="205"/>
      <c r="G167" s="206"/>
      <c r="H167" s="207"/>
      <c r="J167" s="76"/>
    </row>
    <row r="168" spans="1:10">
      <c r="A168" s="172"/>
      <c r="D168" s="56"/>
      <c r="E168" s="204"/>
      <c r="F168" s="205"/>
      <c r="G168" s="206"/>
      <c r="H168" s="207"/>
      <c r="J168" s="76"/>
    </row>
    <row r="169" spans="1:10">
      <c r="A169" s="172"/>
      <c r="D169" s="56"/>
      <c r="E169" s="204"/>
      <c r="F169" s="205"/>
      <c r="G169" s="206"/>
      <c r="H169" s="207"/>
      <c r="J169" s="76"/>
    </row>
    <row r="170" spans="1:10">
      <c r="A170" s="172"/>
      <c r="D170" s="56"/>
      <c r="E170" s="204"/>
      <c r="F170" s="205"/>
      <c r="G170" s="206"/>
      <c r="H170" s="207"/>
      <c r="J170" s="76"/>
    </row>
    <row r="171" spans="1:10">
      <c r="A171" s="172"/>
      <c r="D171" s="56"/>
      <c r="E171" s="204"/>
      <c r="F171" s="205"/>
      <c r="G171" s="206"/>
      <c r="H171" s="207"/>
      <c r="J171" s="76"/>
    </row>
    <row r="172" spans="1:10">
      <c r="A172" s="172"/>
      <c r="D172" s="56"/>
      <c r="E172" s="204"/>
      <c r="F172" s="205"/>
      <c r="G172" s="206"/>
      <c r="H172" s="207"/>
      <c r="J172" s="76"/>
    </row>
    <row r="173" spans="1:10">
      <c r="A173" s="172"/>
      <c r="D173" s="56"/>
      <c r="E173" s="204"/>
      <c r="F173" s="205"/>
      <c r="G173" s="206"/>
      <c r="H173" s="207"/>
      <c r="J173" s="76"/>
    </row>
    <row r="174" spans="1:10">
      <c r="A174" s="172"/>
      <c r="D174" s="56"/>
      <c r="E174" s="204"/>
      <c r="F174" s="205"/>
      <c r="G174" s="206"/>
      <c r="H174" s="207"/>
      <c r="J174" s="76"/>
    </row>
    <row r="175" spans="1:10">
      <c r="A175" s="172"/>
      <c r="D175" s="56"/>
      <c r="E175" s="204"/>
      <c r="F175" s="205"/>
      <c r="G175" s="206"/>
      <c r="H175" s="207"/>
      <c r="J175" s="76"/>
    </row>
    <row r="176" spans="1:10">
      <c r="A176" s="172"/>
      <c r="D176" s="56"/>
      <c r="E176" s="204"/>
      <c r="F176" s="205"/>
      <c r="G176" s="206"/>
      <c r="H176" s="207"/>
      <c r="J176" s="76"/>
    </row>
    <row r="177" spans="1:10">
      <c r="A177" s="172"/>
      <c r="D177" s="56"/>
      <c r="E177" s="204"/>
      <c r="F177" s="205"/>
      <c r="G177" s="206"/>
      <c r="H177" s="207"/>
      <c r="J177" s="76"/>
    </row>
    <row r="178" spans="1:10">
      <c r="A178" s="172"/>
      <c r="D178" s="56"/>
      <c r="E178" s="204"/>
      <c r="F178" s="205"/>
      <c r="G178" s="206"/>
      <c r="H178" s="207"/>
      <c r="J178" s="76"/>
    </row>
    <row r="179" spans="1:10">
      <c r="A179" s="172"/>
      <c r="D179" s="56"/>
      <c r="E179" s="204"/>
      <c r="F179" s="205"/>
      <c r="G179" s="206"/>
      <c r="H179" s="207"/>
      <c r="J179" s="76"/>
    </row>
    <row r="180" spans="1:10">
      <c r="A180" s="172"/>
      <c r="D180" s="56"/>
      <c r="E180" s="204"/>
      <c r="F180" s="205"/>
      <c r="G180" s="206"/>
      <c r="H180" s="207"/>
      <c r="J180" s="76"/>
    </row>
    <row r="181" spans="1:10">
      <c r="A181" s="172"/>
      <c r="D181" s="56"/>
      <c r="E181" s="204"/>
      <c r="F181" s="205"/>
      <c r="G181" s="206"/>
      <c r="H181" s="207"/>
      <c r="J181" s="76"/>
    </row>
    <row r="182" spans="1:10">
      <c r="A182" s="172"/>
      <c r="D182" s="56"/>
      <c r="E182" s="204"/>
      <c r="F182" s="205"/>
      <c r="G182" s="206"/>
      <c r="H182" s="207"/>
      <c r="J182" s="76"/>
    </row>
    <row r="183" spans="1:10">
      <c r="A183" s="172"/>
      <c r="D183" s="56"/>
      <c r="E183" s="204"/>
      <c r="F183" s="205"/>
      <c r="G183" s="206"/>
      <c r="H183" s="207"/>
      <c r="J183" s="76"/>
    </row>
    <row r="184" spans="1:10">
      <c r="A184" s="172"/>
      <c r="D184" s="56"/>
      <c r="E184" s="204"/>
      <c r="F184" s="205"/>
      <c r="G184" s="206"/>
      <c r="H184" s="207"/>
      <c r="J184" s="76"/>
    </row>
    <row r="185" spans="1:10">
      <c r="A185" s="172"/>
      <c r="D185" s="56"/>
      <c r="E185" s="204"/>
      <c r="F185" s="205"/>
      <c r="G185" s="206"/>
      <c r="H185" s="207"/>
      <c r="J185" s="76"/>
    </row>
    <row r="186" spans="1:10">
      <c r="A186" s="172"/>
      <c r="D186" s="56"/>
      <c r="E186" s="204"/>
      <c r="F186" s="205"/>
      <c r="G186" s="206"/>
      <c r="H186" s="207"/>
      <c r="J186" s="76"/>
    </row>
    <row r="187" spans="1:10">
      <c r="A187" s="172"/>
      <c r="D187" s="56"/>
      <c r="E187" s="204"/>
      <c r="F187" s="205"/>
      <c r="G187" s="206"/>
      <c r="H187" s="207"/>
      <c r="J187" s="76"/>
    </row>
    <row r="188" spans="1:10">
      <c r="A188" s="172"/>
      <c r="D188" s="56"/>
      <c r="E188" s="204"/>
      <c r="F188" s="205"/>
      <c r="G188" s="206"/>
      <c r="H188" s="207"/>
      <c r="J188" s="76"/>
    </row>
    <row r="189" spans="1:10">
      <c r="A189" s="172"/>
      <c r="D189" s="56"/>
      <c r="E189" s="204"/>
      <c r="F189" s="205"/>
      <c r="G189" s="206"/>
      <c r="H189" s="207"/>
      <c r="J189" s="76"/>
    </row>
    <row r="190" spans="1:10">
      <c r="A190" s="172"/>
      <c r="D190" s="56"/>
      <c r="E190" s="204"/>
      <c r="F190" s="205"/>
      <c r="G190" s="206"/>
      <c r="H190" s="207"/>
      <c r="J190" s="76"/>
    </row>
    <row r="191" spans="1:10">
      <c r="A191" s="172"/>
      <c r="D191" s="56"/>
      <c r="E191" s="204"/>
      <c r="F191" s="205"/>
      <c r="G191" s="206"/>
      <c r="H191" s="207"/>
      <c r="J191" s="76"/>
    </row>
    <row r="192" spans="1:10">
      <c r="A192" s="172"/>
      <c r="D192" s="56"/>
      <c r="E192" s="204"/>
      <c r="F192" s="205"/>
      <c r="G192" s="206"/>
      <c r="H192" s="207"/>
      <c r="J192" s="76"/>
    </row>
    <row r="193" spans="1:10">
      <c r="A193" s="172"/>
      <c r="D193" s="56"/>
      <c r="E193" s="204"/>
      <c r="F193" s="205"/>
      <c r="G193" s="206"/>
      <c r="H193" s="207"/>
      <c r="J193" s="76"/>
    </row>
    <row r="194" spans="1:10">
      <c r="A194" s="172"/>
      <c r="D194" s="56"/>
      <c r="E194" s="204"/>
      <c r="F194" s="205"/>
      <c r="G194" s="206"/>
      <c r="H194" s="207"/>
      <c r="J194" s="76"/>
    </row>
    <row r="195" spans="1:10">
      <c r="A195" s="172"/>
      <c r="D195" s="56"/>
      <c r="E195" s="204"/>
      <c r="F195" s="205"/>
      <c r="G195" s="206"/>
      <c r="H195" s="207"/>
      <c r="J195" s="76"/>
    </row>
    <row r="196" spans="1:10">
      <c r="A196" s="172"/>
      <c r="D196" s="56"/>
      <c r="E196" s="204"/>
      <c r="F196" s="205"/>
      <c r="G196" s="206"/>
      <c r="H196" s="207"/>
      <c r="J196" s="76"/>
    </row>
    <row r="197" spans="1:10">
      <c r="A197" s="172"/>
      <c r="D197" s="56"/>
      <c r="E197" s="204"/>
      <c r="F197" s="205"/>
      <c r="G197" s="206"/>
      <c r="H197" s="207"/>
      <c r="J197" s="76"/>
    </row>
    <row r="198" spans="1:10">
      <c r="A198" s="172"/>
      <c r="D198" s="56"/>
      <c r="E198" s="204"/>
      <c r="F198" s="205"/>
      <c r="G198" s="206"/>
      <c r="H198" s="207"/>
      <c r="J198" s="76"/>
    </row>
    <row r="199" spans="1:10">
      <c r="A199" s="172"/>
      <c r="D199" s="56"/>
      <c r="E199" s="204"/>
      <c r="F199" s="205"/>
      <c r="G199" s="206"/>
      <c r="H199" s="207"/>
      <c r="J199" s="76"/>
    </row>
    <row r="200" spans="1:10">
      <c r="A200" s="172"/>
      <c r="D200" s="56"/>
      <c r="E200" s="204"/>
      <c r="F200" s="205"/>
      <c r="G200" s="206"/>
      <c r="H200" s="207"/>
      <c r="J200" s="76"/>
    </row>
    <row r="201" spans="1:10">
      <c r="A201" s="172"/>
      <c r="D201" s="56"/>
      <c r="E201" s="204"/>
      <c r="F201" s="205"/>
      <c r="G201" s="206"/>
      <c r="H201" s="207"/>
      <c r="J201" s="76"/>
    </row>
    <row r="202" spans="1:10">
      <c r="A202" s="172"/>
      <c r="D202" s="56"/>
      <c r="E202" s="204"/>
      <c r="F202" s="205"/>
      <c r="G202" s="206"/>
      <c r="H202" s="207"/>
      <c r="J202" s="76"/>
    </row>
    <row r="203" spans="1:10">
      <c r="A203" s="172"/>
      <c r="D203" s="56"/>
      <c r="E203" s="204"/>
      <c r="F203" s="205"/>
      <c r="G203" s="206"/>
      <c r="H203" s="207"/>
      <c r="J203" s="76"/>
    </row>
    <row r="204" spans="1:10">
      <c r="A204" s="172"/>
      <c r="D204" s="56"/>
      <c r="E204" s="204"/>
      <c r="F204" s="205"/>
      <c r="G204" s="206"/>
      <c r="H204" s="207"/>
      <c r="J204" s="76"/>
    </row>
    <row r="205" spans="1:10">
      <c r="A205" s="172"/>
      <c r="D205" s="56"/>
      <c r="E205" s="204"/>
      <c r="F205" s="205"/>
      <c r="G205" s="206"/>
      <c r="H205" s="207"/>
      <c r="J205" s="76"/>
    </row>
    <row r="206" spans="1:10">
      <c r="A206" s="172"/>
      <c r="D206" s="56"/>
      <c r="E206" s="204"/>
      <c r="F206" s="205"/>
      <c r="G206" s="206"/>
      <c r="H206" s="207"/>
      <c r="J206" s="76"/>
    </row>
    <row r="207" spans="1:10">
      <c r="A207" s="172"/>
      <c r="D207" s="56"/>
      <c r="E207" s="204"/>
      <c r="F207" s="205"/>
      <c r="G207" s="206"/>
      <c r="H207" s="207"/>
      <c r="J207" s="76"/>
    </row>
    <row r="208" spans="1:10">
      <c r="A208" s="172"/>
      <c r="D208" s="56"/>
      <c r="E208" s="204"/>
      <c r="F208" s="205"/>
      <c r="G208" s="206"/>
      <c r="H208" s="207"/>
      <c r="J208" s="76"/>
    </row>
    <row r="209" spans="1:10">
      <c r="A209" s="172"/>
      <c r="D209" s="56"/>
      <c r="E209" s="204"/>
      <c r="F209" s="205"/>
      <c r="G209" s="206"/>
      <c r="H209" s="207"/>
      <c r="J209" s="76"/>
    </row>
    <row r="210" spans="1:10">
      <c r="A210" s="172"/>
      <c r="D210" s="56"/>
      <c r="E210" s="204"/>
      <c r="F210" s="205"/>
      <c r="G210" s="206"/>
      <c r="H210" s="207"/>
      <c r="J210" s="76"/>
    </row>
    <row r="211" spans="1:10">
      <c r="A211" s="172"/>
      <c r="D211" s="56"/>
      <c r="E211" s="204"/>
      <c r="F211" s="205"/>
      <c r="G211" s="206"/>
      <c r="H211" s="207"/>
      <c r="J211" s="76"/>
    </row>
    <row r="212" spans="1:10">
      <c r="A212" s="172"/>
      <c r="D212" s="56"/>
      <c r="E212" s="204"/>
      <c r="F212" s="205"/>
      <c r="G212" s="206"/>
      <c r="H212" s="207"/>
      <c r="J212" s="76"/>
    </row>
    <row r="213" spans="1:10">
      <c r="A213" s="172"/>
      <c r="D213" s="56"/>
      <c r="E213" s="204"/>
      <c r="F213" s="205"/>
      <c r="G213" s="206"/>
      <c r="H213" s="207"/>
      <c r="J213" s="76"/>
    </row>
    <row r="214" spans="1:10">
      <c r="A214" s="172"/>
      <c r="D214" s="56"/>
      <c r="E214" s="204"/>
      <c r="F214" s="205"/>
      <c r="G214" s="206"/>
      <c r="H214" s="207"/>
      <c r="J214" s="76"/>
    </row>
    <row r="215" spans="1:10">
      <c r="A215" s="172"/>
      <c r="D215" s="56"/>
      <c r="E215" s="204"/>
      <c r="F215" s="205"/>
      <c r="G215" s="206"/>
      <c r="H215" s="207"/>
      <c r="J215" s="76"/>
    </row>
    <row r="216" spans="1:10">
      <c r="A216" s="172"/>
      <c r="D216" s="56"/>
      <c r="E216" s="204"/>
      <c r="F216" s="205"/>
      <c r="G216" s="206"/>
      <c r="H216" s="207"/>
      <c r="J216" s="76"/>
    </row>
    <row r="217" spans="1:10">
      <c r="A217" s="172"/>
      <c r="D217" s="56"/>
      <c r="E217" s="204"/>
      <c r="F217" s="205"/>
      <c r="G217" s="206"/>
      <c r="H217" s="207"/>
      <c r="J217" s="76"/>
    </row>
    <row r="218" spans="1:10">
      <c r="A218" s="172"/>
      <c r="D218" s="56"/>
      <c r="E218" s="204"/>
      <c r="F218" s="205"/>
      <c r="G218" s="206"/>
      <c r="H218" s="207"/>
      <c r="J218" s="76"/>
    </row>
    <row r="219" spans="1:10">
      <c r="A219" s="172"/>
      <c r="D219" s="56"/>
      <c r="E219" s="204"/>
      <c r="F219" s="205"/>
      <c r="G219" s="206"/>
      <c r="H219" s="207"/>
      <c r="J219" s="76"/>
    </row>
    <row r="220" spans="1:10">
      <c r="A220" s="172"/>
      <c r="D220" s="56"/>
      <c r="E220" s="204"/>
      <c r="F220" s="205"/>
      <c r="G220" s="206"/>
      <c r="H220" s="207"/>
      <c r="J220" s="76"/>
    </row>
    <row r="221" spans="1:10">
      <c r="A221" s="172"/>
      <c r="D221" s="56"/>
      <c r="E221" s="204"/>
      <c r="F221" s="205"/>
      <c r="G221" s="206"/>
      <c r="H221" s="207"/>
      <c r="J221" s="76"/>
    </row>
    <row r="222" spans="1:10">
      <c r="A222" s="172"/>
      <c r="D222" s="56"/>
      <c r="E222" s="204"/>
      <c r="F222" s="205"/>
      <c r="G222" s="206"/>
      <c r="H222" s="207"/>
      <c r="J222" s="76"/>
    </row>
    <row r="223" spans="1:10">
      <c r="A223" s="172"/>
      <c r="D223" s="56"/>
      <c r="E223" s="204"/>
      <c r="F223" s="205"/>
      <c r="G223" s="206"/>
      <c r="H223" s="207"/>
      <c r="J223" s="76"/>
    </row>
    <row r="224" spans="1:10">
      <c r="A224" s="172"/>
      <c r="D224" s="56"/>
      <c r="E224" s="204"/>
      <c r="F224" s="205"/>
      <c r="G224" s="206"/>
      <c r="H224" s="207"/>
      <c r="J224" s="76"/>
    </row>
    <row r="225" spans="1:10">
      <c r="A225" s="172"/>
      <c r="D225" s="56"/>
      <c r="E225" s="204"/>
      <c r="F225" s="205"/>
      <c r="G225" s="206"/>
      <c r="H225" s="207"/>
      <c r="J225" s="76"/>
    </row>
    <row r="226" spans="1:10">
      <c r="A226" s="172"/>
      <c r="D226" s="56"/>
      <c r="E226" s="204"/>
      <c r="F226" s="205"/>
      <c r="G226" s="206"/>
      <c r="H226" s="207"/>
      <c r="J226" s="76"/>
    </row>
    <row r="227" spans="1:10">
      <c r="A227" s="172"/>
      <c r="D227" s="56"/>
      <c r="E227" s="204"/>
      <c r="F227" s="205"/>
      <c r="G227" s="206"/>
      <c r="H227" s="207"/>
      <c r="J227" s="76"/>
    </row>
    <row r="228" spans="1:10">
      <c r="A228" s="172"/>
      <c r="D228" s="56"/>
      <c r="E228" s="204"/>
      <c r="F228" s="205"/>
      <c r="G228" s="206"/>
      <c r="H228" s="207"/>
      <c r="J228" s="76"/>
    </row>
    <row r="229" spans="1:10">
      <c r="A229" s="172"/>
      <c r="D229" s="56"/>
      <c r="E229" s="204"/>
      <c r="F229" s="205"/>
      <c r="G229" s="206"/>
      <c r="H229" s="207"/>
      <c r="J229" s="76"/>
    </row>
    <row r="230" spans="1:10">
      <c r="A230" s="172"/>
      <c r="D230" s="56"/>
      <c r="E230" s="204"/>
      <c r="F230" s="205"/>
      <c r="G230" s="206"/>
      <c r="H230" s="207"/>
      <c r="J230" s="76"/>
    </row>
    <row r="231" spans="1:10">
      <c r="A231" s="172"/>
      <c r="D231" s="56"/>
      <c r="E231" s="204"/>
      <c r="F231" s="205"/>
      <c r="G231" s="206"/>
      <c r="H231" s="207"/>
      <c r="J231" s="76"/>
    </row>
    <row r="232" spans="1:10">
      <c r="A232" s="172"/>
      <c r="D232" s="56"/>
      <c r="E232" s="204"/>
      <c r="F232" s="205"/>
      <c r="G232" s="206"/>
      <c r="H232" s="207"/>
      <c r="J232" s="76"/>
    </row>
    <row r="233" spans="1:10">
      <c r="A233" s="172"/>
      <c r="D233" s="56"/>
      <c r="E233" s="204"/>
      <c r="F233" s="205"/>
      <c r="G233" s="206"/>
      <c r="H233" s="207"/>
      <c r="J233" s="76"/>
    </row>
    <row r="234" spans="1:10">
      <c r="A234" s="172"/>
      <c r="D234" s="56"/>
      <c r="E234" s="204"/>
      <c r="F234" s="205"/>
      <c r="G234" s="206"/>
      <c r="H234" s="207"/>
      <c r="J234" s="76"/>
    </row>
    <row r="235" spans="1:10">
      <c r="A235" s="172"/>
      <c r="D235" s="56"/>
      <c r="E235" s="204"/>
      <c r="F235" s="205"/>
      <c r="G235" s="206"/>
      <c r="H235" s="207"/>
      <c r="J235" s="76"/>
    </row>
    <row r="236" spans="1:10">
      <c r="A236" s="172"/>
      <c r="D236" s="56"/>
      <c r="E236" s="204"/>
      <c r="F236" s="205"/>
      <c r="G236" s="206"/>
      <c r="H236" s="207"/>
      <c r="J236" s="76"/>
    </row>
    <row r="237" spans="1:10">
      <c r="A237" s="172"/>
      <c r="D237" s="56"/>
      <c r="E237" s="204"/>
      <c r="F237" s="205"/>
      <c r="G237" s="206"/>
      <c r="H237" s="207"/>
      <c r="J237" s="76"/>
    </row>
    <row r="238" spans="1:10">
      <c r="A238" s="172"/>
      <c r="D238" s="56"/>
      <c r="E238" s="204"/>
      <c r="F238" s="205"/>
      <c r="G238" s="206"/>
      <c r="H238" s="207"/>
      <c r="J238" s="76"/>
    </row>
    <row r="239" spans="1:10">
      <c r="A239" s="172"/>
      <c r="D239" s="56"/>
      <c r="E239" s="204"/>
      <c r="F239" s="205"/>
      <c r="G239" s="206"/>
      <c r="H239" s="207"/>
      <c r="J239" s="76"/>
    </row>
    <row r="240" spans="1:10">
      <c r="A240" s="172"/>
      <c r="D240" s="56"/>
      <c r="E240" s="204"/>
      <c r="F240" s="205"/>
      <c r="G240" s="206"/>
      <c r="H240" s="207"/>
      <c r="J240" s="76"/>
    </row>
    <row r="241" spans="1:10">
      <c r="A241" s="172"/>
      <c r="D241" s="56"/>
      <c r="E241" s="204"/>
      <c r="F241" s="205"/>
      <c r="G241" s="206"/>
      <c r="H241" s="207"/>
      <c r="J241" s="76"/>
    </row>
    <row r="242" spans="1:10">
      <c r="A242" s="172"/>
      <c r="D242" s="56"/>
      <c r="E242" s="204"/>
      <c r="F242" s="205"/>
      <c r="G242" s="206"/>
      <c r="H242" s="207"/>
      <c r="J242" s="76"/>
    </row>
    <row r="243" spans="1:10">
      <c r="A243" s="172"/>
      <c r="D243" s="56"/>
      <c r="E243" s="204"/>
      <c r="F243" s="205"/>
      <c r="G243" s="206"/>
      <c r="H243" s="207"/>
      <c r="J243" s="76"/>
    </row>
    <row r="244" spans="1:10">
      <c r="A244" s="172"/>
      <c r="D244" s="56"/>
      <c r="E244" s="204"/>
      <c r="F244" s="205"/>
      <c r="G244" s="206"/>
      <c r="H244" s="207"/>
      <c r="J244" s="76"/>
    </row>
    <row r="245" spans="1:10">
      <c r="A245" s="172"/>
      <c r="D245" s="56"/>
      <c r="E245" s="204"/>
      <c r="F245" s="205"/>
      <c r="G245" s="206"/>
      <c r="H245" s="207"/>
      <c r="J245" s="76"/>
    </row>
    <row r="246" spans="1:10">
      <c r="A246" s="172"/>
      <c r="D246" s="56"/>
      <c r="E246" s="204"/>
      <c r="F246" s="205"/>
      <c r="G246" s="206"/>
      <c r="H246" s="207"/>
      <c r="J246" s="76"/>
    </row>
    <row r="247" spans="1:10">
      <c r="A247" s="172"/>
      <c r="D247" s="56"/>
      <c r="E247" s="204"/>
      <c r="F247" s="205"/>
      <c r="G247" s="206"/>
      <c r="H247" s="207"/>
      <c r="J247" s="76"/>
    </row>
    <row r="248" spans="1:10">
      <c r="A248" s="172"/>
      <c r="D248" s="56"/>
      <c r="E248" s="204"/>
      <c r="F248" s="205"/>
      <c r="G248" s="206"/>
      <c r="H248" s="207"/>
      <c r="J248" s="76"/>
    </row>
    <row r="249" spans="1:10">
      <c r="A249" s="172"/>
      <c r="D249" s="56"/>
      <c r="E249" s="204"/>
      <c r="F249" s="205"/>
      <c r="G249" s="206"/>
      <c r="H249" s="207"/>
      <c r="J249" s="76"/>
    </row>
    <row r="250" spans="1:10">
      <c r="A250" s="172"/>
      <c r="D250" s="56"/>
      <c r="E250" s="204"/>
      <c r="F250" s="205"/>
      <c r="G250" s="206"/>
      <c r="H250" s="207"/>
      <c r="J250" s="76"/>
    </row>
    <row r="251" spans="1:10">
      <c r="A251" s="172"/>
      <c r="D251" s="56"/>
      <c r="E251" s="204"/>
      <c r="F251" s="205"/>
      <c r="G251" s="206"/>
      <c r="H251" s="207"/>
      <c r="J251" s="76"/>
    </row>
    <row r="252" spans="1:10">
      <c r="A252" s="172"/>
      <c r="D252" s="56"/>
      <c r="E252" s="204"/>
      <c r="F252" s="205"/>
      <c r="G252" s="206"/>
      <c r="H252" s="207"/>
      <c r="J252" s="76"/>
    </row>
    <row r="253" spans="1:10">
      <c r="A253" s="172"/>
      <c r="D253" s="56"/>
      <c r="E253" s="204"/>
      <c r="F253" s="205"/>
      <c r="G253" s="206"/>
      <c r="H253" s="207"/>
      <c r="J253" s="76"/>
    </row>
    <row r="254" spans="1:10">
      <c r="A254" s="172"/>
      <c r="D254" s="56"/>
      <c r="E254" s="204"/>
      <c r="F254" s="205"/>
      <c r="G254" s="206"/>
      <c r="H254" s="207"/>
      <c r="J254" s="76"/>
    </row>
    <row r="255" spans="1:10">
      <c r="A255" s="172"/>
      <c r="D255" s="56"/>
      <c r="E255" s="204"/>
      <c r="F255" s="205"/>
      <c r="G255" s="206"/>
      <c r="H255" s="207"/>
      <c r="J255" s="76"/>
    </row>
    <row r="256" spans="1:10">
      <c r="A256" s="172"/>
      <c r="D256" s="56"/>
      <c r="E256" s="204"/>
      <c r="F256" s="205"/>
      <c r="G256" s="206"/>
      <c r="H256" s="207"/>
      <c r="J256" s="76"/>
    </row>
    <row r="257" spans="1:10">
      <c r="A257" s="172"/>
      <c r="D257" s="56"/>
      <c r="E257" s="204"/>
      <c r="F257" s="205"/>
      <c r="G257" s="206"/>
      <c r="H257" s="207"/>
      <c r="J257" s="76"/>
    </row>
    <row r="258" spans="1:10">
      <c r="A258" s="172"/>
      <c r="D258" s="56"/>
      <c r="E258" s="204"/>
      <c r="F258" s="205"/>
      <c r="G258" s="206"/>
      <c r="H258" s="207"/>
      <c r="J258" s="76"/>
    </row>
    <row r="259" spans="1:10">
      <c r="A259" s="172"/>
      <c r="D259" s="56"/>
      <c r="E259" s="204"/>
      <c r="F259" s="205"/>
      <c r="G259" s="206"/>
      <c r="H259" s="207"/>
      <c r="J259" s="76"/>
    </row>
    <row r="260" spans="1:10">
      <c r="A260" s="172"/>
      <c r="D260" s="56"/>
      <c r="E260" s="204"/>
      <c r="F260" s="205"/>
      <c r="G260" s="206"/>
      <c r="H260" s="207"/>
      <c r="J260" s="76"/>
    </row>
    <row r="261" spans="1:10">
      <c r="A261" s="172"/>
      <c r="D261" s="56"/>
      <c r="E261" s="204"/>
      <c r="F261" s="205"/>
      <c r="G261" s="206"/>
      <c r="H261" s="207"/>
      <c r="J261" s="76"/>
    </row>
    <row r="262" spans="1:10" ht="13.5" customHeight="1">
      <c r="A262" s="172"/>
      <c r="D262" s="56"/>
      <c r="E262" s="204"/>
      <c r="F262" s="205"/>
      <c r="G262" s="206"/>
      <c r="H262" s="207"/>
      <c r="J262" s="76"/>
    </row>
    <row r="263" spans="1:10" ht="15.75" customHeight="1">
      <c r="A263" s="172"/>
      <c r="D263" s="56"/>
      <c r="E263" s="204"/>
      <c r="F263" s="205"/>
      <c r="G263" s="206"/>
      <c r="H263" s="207"/>
      <c r="J263" s="76"/>
    </row>
    <row r="264" spans="1:10">
      <c r="A264" s="172"/>
      <c r="D264" s="56"/>
      <c r="E264" s="204"/>
      <c r="F264" s="205"/>
      <c r="G264" s="206"/>
      <c r="H264" s="207"/>
      <c r="J264" s="76"/>
    </row>
    <row r="265" spans="1:10">
      <c r="A265" s="172"/>
      <c r="D265" s="56"/>
      <c r="E265" s="204"/>
      <c r="F265" s="205"/>
      <c r="G265" s="206"/>
      <c r="H265" s="207"/>
      <c r="J265" s="76"/>
    </row>
    <row r="266" spans="1:10">
      <c r="A266" s="172"/>
      <c r="D266" s="56"/>
      <c r="E266" s="204"/>
      <c r="F266" s="205"/>
      <c r="G266" s="206"/>
      <c r="H266" s="207"/>
      <c r="J266" s="76"/>
    </row>
    <row r="267" spans="1:10">
      <c r="A267" s="172"/>
      <c r="D267" s="56"/>
      <c r="E267" s="204"/>
      <c r="F267" s="205"/>
      <c r="G267" s="206"/>
      <c r="H267" s="207"/>
      <c r="J267" s="76"/>
    </row>
    <row r="268" spans="1:10" ht="16.5" customHeight="1">
      <c r="A268" s="172"/>
      <c r="D268" s="56"/>
      <c r="E268" s="204"/>
      <c r="F268" s="205"/>
      <c r="G268" s="206"/>
      <c r="H268" s="207"/>
      <c r="J268" s="76"/>
    </row>
    <row r="269" spans="1:10">
      <c r="A269" s="172"/>
      <c r="D269" s="56"/>
      <c r="E269" s="204"/>
      <c r="F269" s="205"/>
      <c r="G269" s="206"/>
      <c r="H269" s="207"/>
      <c r="J269" s="76"/>
    </row>
    <row r="270" spans="1:10">
      <c r="A270" s="172"/>
      <c r="D270" s="56"/>
      <c r="E270" s="204"/>
      <c r="F270" s="205"/>
      <c r="G270" s="206"/>
      <c r="H270" s="207"/>
      <c r="J270" s="76"/>
    </row>
    <row r="271" spans="1:10">
      <c r="A271" s="172"/>
      <c r="D271" s="56"/>
      <c r="E271" s="204"/>
      <c r="F271" s="205"/>
      <c r="G271" s="206"/>
      <c r="H271" s="207"/>
      <c r="J271" s="76"/>
    </row>
    <row r="272" spans="1:10">
      <c r="A272" s="172"/>
      <c r="D272" s="56"/>
      <c r="E272" s="204"/>
      <c r="F272" s="205"/>
      <c r="G272" s="206"/>
      <c r="H272" s="207"/>
      <c r="J272" s="76"/>
    </row>
    <row r="273" spans="1:10">
      <c r="A273" s="172"/>
      <c r="D273" s="56"/>
      <c r="E273" s="204"/>
      <c r="F273" s="205"/>
      <c r="G273" s="206"/>
      <c r="H273" s="207"/>
      <c r="J273" s="76"/>
    </row>
    <row r="274" spans="1:10">
      <c r="A274" s="172"/>
      <c r="D274" s="56"/>
      <c r="E274" s="204"/>
      <c r="F274" s="205"/>
      <c r="G274" s="206"/>
      <c r="H274" s="207"/>
      <c r="J274" s="76"/>
    </row>
    <row r="275" spans="1:10">
      <c r="A275" s="172"/>
      <c r="D275" s="56"/>
      <c r="E275" s="204"/>
      <c r="F275" s="205"/>
      <c r="G275" s="206"/>
      <c r="H275" s="207"/>
      <c r="J275" s="76"/>
    </row>
    <row r="276" spans="1:10">
      <c r="A276" s="172"/>
      <c r="D276" s="56"/>
      <c r="E276" s="204"/>
      <c r="F276" s="205"/>
      <c r="G276" s="206"/>
      <c r="H276" s="207"/>
      <c r="J276" s="76"/>
    </row>
    <row r="277" spans="1:10">
      <c r="A277" s="172"/>
      <c r="D277" s="56"/>
      <c r="E277" s="204"/>
      <c r="F277" s="205"/>
      <c r="G277" s="206"/>
      <c r="H277" s="207"/>
      <c r="J277" s="76"/>
    </row>
    <row r="278" spans="1:10">
      <c r="A278" s="172"/>
      <c r="D278" s="56"/>
      <c r="E278" s="204"/>
      <c r="F278" s="205"/>
      <c r="G278" s="206"/>
      <c r="H278" s="207"/>
      <c r="J278" s="76"/>
    </row>
    <row r="279" spans="1:10">
      <c r="A279" s="172"/>
      <c r="D279" s="56"/>
      <c r="E279" s="204"/>
      <c r="F279" s="205"/>
      <c r="G279" s="206"/>
      <c r="H279" s="207"/>
      <c r="J279" s="76"/>
    </row>
    <row r="280" spans="1:10">
      <c r="A280" s="172"/>
      <c r="D280" s="56"/>
      <c r="E280" s="204"/>
      <c r="F280" s="205"/>
      <c r="G280" s="206"/>
      <c r="H280" s="207"/>
      <c r="J280" s="76"/>
    </row>
    <row r="281" spans="1:10">
      <c r="A281" s="172"/>
      <c r="D281" s="56"/>
      <c r="E281" s="204"/>
      <c r="F281" s="205"/>
      <c r="G281" s="206"/>
      <c r="H281" s="207"/>
      <c r="J281" s="76"/>
    </row>
    <row r="282" spans="1:10">
      <c r="A282" s="172"/>
      <c r="D282" s="56"/>
      <c r="E282" s="204"/>
      <c r="F282" s="205"/>
      <c r="G282" s="206"/>
      <c r="H282" s="207"/>
      <c r="J282" s="76"/>
    </row>
    <row r="283" spans="1:10">
      <c r="A283" s="172"/>
      <c r="D283" s="56"/>
      <c r="E283" s="204"/>
      <c r="F283" s="205"/>
      <c r="G283" s="206"/>
      <c r="H283" s="207"/>
      <c r="J283" s="76"/>
    </row>
    <row r="284" spans="1:10">
      <c r="A284" s="172"/>
      <c r="D284" s="56"/>
      <c r="E284" s="204"/>
      <c r="F284" s="205"/>
      <c r="G284" s="206"/>
      <c r="H284" s="207"/>
      <c r="J284" s="76"/>
    </row>
    <row r="285" spans="1:10">
      <c r="A285" s="172"/>
      <c r="D285" s="56"/>
      <c r="E285" s="204"/>
      <c r="F285" s="205"/>
      <c r="G285" s="206"/>
      <c r="H285" s="207"/>
      <c r="J285" s="76"/>
    </row>
    <row r="286" spans="1:10">
      <c r="A286" s="172"/>
      <c r="D286" s="56"/>
      <c r="E286" s="204"/>
      <c r="F286" s="205"/>
      <c r="G286" s="206"/>
      <c r="H286" s="207"/>
      <c r="J286" s="76"/>
    </row>
    <row r="287" spans="1:10">
      <c r="A287" s="172"/>
      <c r="D287" s="56"/>
      <c r="E287" s="204"/>
      <c r="F287" s="205"/>
      <c r="G287" s="206"/>
      <c r="H287" s="207"/>
      <c r="J287" s="76"/>
    </row>
    <row r="288" spans="1:10">
      <c r="A288" s="172"/>
      <c r="D288" s="56"/>
      <c r="E288" s="204"/>
      <c r="F288" s="205"/>
      <c r="G288" s="206"/>
      <c r="H288" s="207"/>
      <c r="J288" s="76"/>
    </row>
    <row r="289" spans="1:10">
      <c r="A289" s="172"/>
      <c r="D289" s="56"/>
      <c r="E289" s="204"/>
      <c r="F289" s="205"/>
      <c r="G289" s="206"/>
      <c r="H289" s="207"/>
      <c r="J289" s="76"/>
    </row>
    <row r="290" spans="1:10">
      <c r="A290" s="172"/>
      <c r="D290" s="56"/>
      <c r="E290" s="204"/>
      <c r="F290" s="205"/>
      <c r="G290" s="206"/>
      <c r="H290" s="207"/>
      <c r="J290" s="76"/>
    </row>
    <row r="291" spans="1:10">
      <c r="A291" s="172"/>
      <c r="D291" s="56"/>
      <c r="E291" s="204"/>
      <c r="F291" s="205"/>
      <c r="G291" s="206"/>
      <c r="H291" s="207"/>
      <c r="J291" s="76"/>
    </row>
    <row r="292" spans="1:10">
      <c r="A292" s="172"/>
      <c r="D292" s="56"/>
      <c r="E292" s="204"/>
      <c r="F292" s="205"/>
      <c r="G292" s="206"/>
      <c r="H292" s="207"/>
      <c r="J292" s="76"/>
    </row>
    <row r="293" spans="1:10">
      <c r="A293" s="172"/>
      <c r="D293" s="56"/>
      <c r="E293" s="204"/>
      <c r="F293" s="205"/>
      <c r="G293" s="206"/>
      <c r="H293" s="207"/>
      <c r="J293" s="76"/>
    </row>
    <row r="294" spans="1:10">
      <c r="A294" s="172"/>
      <c r="D294" s="56"/>
      <c r="E294" s="204"/>
      <c r="F294" s="205"/>
      <c r="G294" s="206"/>
      <c r="H294" s="207"/>
      <c r="J294" s="76"/>
    </row>
    <row r="295" spans="1:10">
      <c r="A295" s="172"/>
      <c r="D295" s="56"/>
      <c r="E295" s="204"/>
      <c r="F295" s="205"/>
      <c r="G295" s="206"/>
      <c r="H295" s="207"/>
      <c r="J295" s="76"/>
    </row>
    <row r="296" spans="1:10">
      <c r="A296" s="172"/>
      <c r="D296" s="56"/>
      <c r="E296" s="204"/>
      <c r="F296" s="205"/>
      <c r="G296" s="206"/>
      <c r="H296" s="207"/>
      <c r="J296" s="76"/>
    </row>
    <row r="297" spans="1:10">
      <c r="A297" s="172"/>
      <c r="D297" s="56"/>
      <c r="E297" s="204"/>
      <c r="F297" s="205"/>
      <c r="G297" s="206"/>
      <c r="H297" s="207"/>
      <c r="J297" s="76"/>
    </row>
    <row r="298" spans="1:10">
      <c r="A298" s="172"/>
      <c r="D298" s="56"/>
      <c r="E298" s="204"/>
      <c r="F298" s="205"/>
      <c r="G298" s="206"/>
      <c r="H298" s="207"/>
      <c r="J298" s="76"/>
    </row>
    <row r="299" spans="1:10">
      <c r="A299" s="172"/>
      <c r="D299" s="56"/>
      <c r="E299" s="204"/>
      <c r="F299" s="205"/>
      <c r="G299" s="206"/>
      <c r="H299" s="207"/>
      <c r="J299" s="76"/>
    </row>
    <row r="300" spans="1:10">
      <c r="A300" s="172"/>
      <c r="D300" s="56"/>
      <c r="E300" s="204"/>
      <c r="F300" s="205"/>
      <c r="G300" s="206"/>
      <c r="H300" s="207"/>
      <c r="J300" s="76"/>
    </row>
    <row r="301" spans="1:10">
      <c r="A301" s="172"/>
      <c r="D301" s="56"/>
      <c r="E301" s="204"/>
      <c r="F301" s="205"/>
      <c r="G301" s="206"/>
      <c r="H301" s="207"/>
      <c r="J301" s="76"/>
    </row>
    <row r="302" spans="1:10">
      <c r="A302" s="172"/>
      <c r="D302" s="56"/>
      <c r="E302" s="204"/>
      <c r="F302" s="205"/>
      <c r="G302" s="206"/>
      <c r="H302" s="207"/>
      <c r="J302" s="76"/>
    </row>
    <row r="303" spans="1:10">
      <c r="A303" s="172"/>
      <c r="D303" s="56"/>
      <c r="E303" s="204"/>
      <c r="F303" s="205"/>
      <c r="G303" s="206"/>
      <c r="H303" s="207"/>
      <c r="J303" s="76"/>
    </row>
    <row r="304" spans="1:10">
      <c r="A304" s="172"/>
      <c r="D304" s="56"/>
      <c r="E304" s="204"/>
      <c r="F304" s="205"/>
      <c r="G304" s="206"/>
      <c r="H304" s="207"/>
      <c r="J304" s="76"/>
    </row>
    <row r="305" spans="1:10">
      <c r="A305" s="172"/>
      <c r="D305" s="56"/>
      <c r="E305" s="204"/>
      <c r="F305" s="205"/>
      <c r="G305" s="206"/>
      <c r="H305" s="207"/>
      <c r="J305" s="76"/>
    </row>
    <row r="306" spans="1:10">
      <c r="A306" s="172"/>
      <c r="D306" s="56"/>
      <c r="E306" s="204"/>
      <c r="F306" s="205"/>
      <c r="G306" s="206"/>
      <c r="H306" s="207"/>
      <c r="J306" s="76"/>
    </row>
    <row r="307" spans="1:10">
      <c r="A307" s="172"/>
      <c r="D307" s="56"/>
      <c r="E307" s="204"/>
      <c r="F307" s="205"/>
      <c r="G307" s="206"/>
      <c r="H307" s="207"/>
      <c r="J307" s="76"/>
    </row>
    <row r="308" spans="1:10">
      <c r="A308" s="172"/>
      <c r="D308" s="56"/>
      <c r="E308" s="204"/>
      <c r="F308" s="205"/>
      <c r="G308" s="206"/>
      <c r="H308" s="207"/>
      <c r="J308" s="76"/>
    </row>
    <row r="309" spans="1:10">
      <c r="A309" s="172"/>
      <c r="D309" s="56"/>
      <c r="E309" s="204"/>
      <c r="F309" s="205"/>
      <c r="G309" s="206"/>
      <c r="H309" s="207"/>
      <c r="J309" s="76"/>
    </row>
    <row r="310" spans="1:10">
      <c r="A310" s="172"/>
      <c r="D310" s="56"/>
      <c r="E310" s="204"/>
      <c r="F310" s="205"/>
      <c r="G310" s="206"/>
      <c r="H310" s="207"/>
      <c r="J310" s="76"/>
    </row>
    <row r="311" spans="1:10">
      <c r="A311" s="172"/>
      <c r="D311" s="56"/>
      <c r="E311" s="204"/>
      <c r="F311" s="205"/>
      <c r="G311" s="206"/>
      <c r="H311" s="207"/>
      <c r="J311" s="76"/>
    </row>
    <row r="312" spans="1:10">
      <c r="A312" s="172"/>
      <c r="D312" s="56"/>
      <c r="E312" s="204"/>
      <c r="F312" s="205"/>
      <c r="G312" s="206"/>
      <c r="H312" s="207"/>
      <c r="J312" s="76"/>
    </row>
    <row r="313" spans="1:10">
      <c r="A313" s="172"/>
      <c r="D313" s="56"/>
      <c r="E313" s="204"/>
      <c r="F313" s="205"/>
      <c r="G313" s="206"/>
      <c r="H313" s="207"/>
      <c r="J313" s="76"/>
    </row>
    <row r="314" spans="1:10">
      <c r="A314" s="172"/>
      <c r="D314" s="56"/>
      <c r="E314" s="204"/>
      <c r="F314" s="205"/>
      <c r="G314" s="206"/>
      <c r="H314" s="207"/>
      <c r="J314" s="76"/>
    </row>
    <row r="315" spans="1:10">
      <c r="A315" s="172"/>
      <c r="D315" s="56"/>
      <c r="E315" s="204"/>
      <c r="F315" s="205"/>
      <c r="G315" s="206"/>
      <c r="H315" s="207"/>
      <c r="J315" s="76"/>
    </row>
    <row r="316" spans="1:10">
      <c r="A316" s="172"/>
      <c r="D316" s="56"/>
      <c r="E316" s="204"/>
      <c r="F316" s="205"/>
      <c r="G316" s="206"/>
      <c r="H316" s="207"/>
      <c r="J316" s="76"/>
    </row>
    <row r="317" spans="1:10">
      <c r="A317" s="172"/>
      <c r="D317" s="56"/>
      <c r="E317" s="204"/>
      <c r="F317" s="205"/>
      <c r="G317" s="206"/>
      <c r="H317" s="207"/>
      <c r="J317" s="76"/>
    </row>
    <row r="318" spans="1:10">
      <c r="A318" s="172"/>
      <c r="D318" s="56"/>
      <c r="E318" s="204"/>
      <c r="F318" s="205"/>
      <c r="G318" s="206"/>
      <c r="H318" s="207"/>
      <c r="J318" s="76"/>
    </row>
    <row r="319" spans="1:10">
      <c r="A319" s="172"/>
      <c r="D319" s="56"/>
      <c r="E319" s="204"/>
      <c r="F319" s="205"/>
      <c r="G319" s="206"/>
      <c r="H319" s="207"/>
      <c r="J319" s="76"/>
    </row>
    <row r="320" spans="1:10">
      <c r="A320" s="172"/>
      <c r="D320" s="56"/>
      <c r="E320" s="204"/>
      <c r="F320" s="205"/>
      <c r="G320" s="206"/>
      <c r="H320" s="207"/>
      <c r="J320" s="76"/>
    </row>
    <row r="321" spans="1:10">
      <c r="A321" s="172"/>
      <c r="D321" s="56"/>
      <c r="E321" s="204"/>
      <c r="F321" s="205"/>
      <c r="G321" s="206"/>
      <c r="H321" s="207"/>
      <c r="J321" s="76"/>
    </row>
    <row r="322" spans="1:10">
      <c r="A322" s="172"/>
      <c r="D322" s="56"/>
      <c r="E322" s="204"/>
      <c r="F322" s="205"/>
      <c r="G322" s="206"/>
      <c r="H322" s="207"/>
      <c r="J322" s="76"/>
    </row>
    <row r="323" spans="1:10">
      <c r="A323" s="172"/>
      <c r="D323" s="56"/>
      <c r="E323" s="204"/>
      <c r="F323" s="205"/>
      <c r="G323" s="206"/>
      <c r="H323" s="207"/>
      <c r="J323" s="76"/>
    </row>
    <row r="324" spans="1:10">
      <c r="A324" s="172"/>
      <c r="D324" s="56"/>
      <c r="E324" s="204"/>
      <c r="F324" s="205"/>
      <c r="G324" s="206"/>
      <c r="H324" s="207"/>
      <c r="J324" s="76"/>
    </row>
    <row r="325" spans="1:10">
      <c r="A325" s="172"/>
      <c r="D325" s="56"/>
      <c r="E325" s="204"/>
      <c r="F325" s="205"/>
      <c r="G325" s="206"/>
      <c r="H325" s="207"/>
      <c r="J325" s="76"/>
    </row>
    <row r="326" spans="1:10">
      <c r="A326" s="172"/>
      <c r="D326" s="56"/>
      <c r="E326" s="204"/>
      <c r="F326" s="205"/>
      <c r="G326" s="206"/>
      <c r="H326" s="207"/>
      <c r="J326" s="76"/>
    </row>
    <row r="327" spans="1:10">
      <c r="A327" s="172"/>
      <c r="D327" s="56"/>
      <c r="E327" s="204"/>
      <c r="F327" s="205"/>
      <c r="G327" s="206"/>
      <c r="H327" s="207"/>
      <c r="J327" s="76"/>
    </row>
    <row r="328" spans="1:10">
      <c r="A328" s="172"/>
      <c r="D328" s="56"/>
      <c r="E328" s="204"/>
      <c r="F328" s="205"/>
      <c r="G328" s="206"/>
      <c r="H328" s="207"/>
      <c r="J328" s="76"/>
    </row>
    <row r="329" spans="1:10">
      <c r="A329" s="172"/>
      <c r="D329" s="56"/>
      <c r="E329" s="204"/>
      <c r="F329" s="205"/>
      <c r="G329" s="206"/>
      <c r="H329" s="207"/>
      <c r="J329" s="76"/>
    </row>
    <row r="330" spans="1:10">
      <c r="A330" s="172"/>
      <c r="D330" s="56"/>
      <c r="E330" s="204"/>
      <c r="F330" s="205"/>
      <c r="G330" s="206"/>
      <c r="H330" s="207"/>
      <c r="J330" s="76"/>
    </row>
    <row r="331" spans="1:10">
      <c r="A331" s="172"/>
      <c r="D331" s="56"/>
      <c r="E331" s="204"/>
      <c r="F331" s="205"/>
      <c r="G331" s="206"/>
      <c r="H331" s="207"/>
      <c r="J331" s="76"/>
    </row>
    <row r="332" spans="1:10">
      <c r="A332" s="172"/>
      <c r="D332" s="56"/>
      <c r="E332" s="204"/>
      <c r="F332" s="205"/>
      <c r="G332" s="206"/>
      <c r="H332" s="207"/>
      <c r="J332" s="76"/>
    </row>
    <row r="333" spans="1:10">
      <c r="A333" s="172"/>
      <c r="D333" s="56"/>
      <c r="E333" s="204"/>
      <c r="F333" s="205"/>
      <c r="G333" s="206"/>
      <c r="H333" s="207"/>
      <c r="J333" s="76"/>
    </row>
    <row r="334" spans="1:10">
      <c r="A334" s="172"/>
      <c r="D334" s="56"/>
      <c r="E334" s="204"/>
      <c r="F334" s="205"/>
      <c r="G334" s="206"/>
      <c r="H334" s="207"/>
      <c r="J334" s="76"/>
    </row>
    <row r="335" spans="1:10">
      <c r="A335" s="172"/>
      <c r="D335" s="56"/>
      <c r="E335" s="204"/>
      <c r="F335" s="205"/>
      <c r="G335" s="206"/>
      <c r="H335" s="207"/>
      <c r="J335" s="76"/>
    </row>
    <row r="336" spans="1:10">
      <c r="A336" s="172"/>
      <c r="D336" s="56"/>
      <c r="E336" s="204"/>
      <c r="F336" s="205"/>
      <c r="G336" s="206"/>
      <c r="H336" s="207"/>
      <c r="J336" s="76"/>
    </row>
    <row r="337" spans="1:10">
      <c r="A337" s="172"/>
      <c r="D337" s="56"/>
      <c r="E337" s="204"/>
      <c r="F337" s="205"/>
      <c r="G337" s="206"/>
      <c r="H337" s="207"/>
      <c r="J337" s="76"/>
    </row>
    <row r="338" spans="1:10">
      <c r="A338" s="172"/>
      <c r="D338" s="56"/>
      <c r="E338" s="204"/>
      <c r="F338" s="205"/>
      <c r="G338" s="206"/>
      <c r="H338" s="207"/>
      <c r="J338" s="76"/>
    </row>
    <row r="339" spans="1:10">
      <c r="A339" s="172"/>
      <c r="D339" s="56"/>
      <c r="E339" s="204"/>
      <c r="F339" s="205"/>
      <c r="G339" s="206"/>
      <c r="H339" s="207"/>
      <c r="J339" s="76"/>
    </row>
    <row r="340" spans="1:10">
      <c r="A340" s="172"/>
      <c r="D340" s="56"/>
      <c r="E340" s="204"/>
      <c r="F340" s="205"/>
      <c r="G340" s="206"/>
      <c r="H340" s="207"/>
      <c r="J340" s="76"/>
    </row>
    <row r="341" spans="1:10">
      <c r="A341" s="172"/>
      <c r="D341" s="56"/>
      <c r="E341" s="204"/>
      <c r="F341" s="205"/>
      <c r="G341" s="206"/>
      <c r="H341" s="207"/>
      <c r="J341" s="76"/>
    </row>
    <row r="342" spans="1:10">
      <c r="A342" s="172"/>
      <c r="D342" s="56"/>
      <c r="E342" s="204"/>
      <c r="F342" s="205"/>
      <c r="G342" s="206"/>
      <c r="H342" s="207"/>
      <c r="J342" s="76"/>
    </row>
    <row r="343" spans="1:10">
      <c r="A343" s="172"/>
      <c r="D343" s="56"/>
      <c r="E343" s="204"/>
      <c r="F343" s="205"/>
      <c r="G343" s="206"/>
      <c r="H343" s="207"/>
      <c r="J343" s="76"/>
    </row>
    <row r="344" spans="1:10">
      <c r="A344" s="172"/>
      <c r="D344" s="56"/>
      <c r="E344" s="204"/>
      <c r="F344" s="205"/>
      <c r="G344" s="206"/>
      <c r="H344" s="207"/>
      <c r="J344" s="76"/>
    </row>
    <row r="345" spans="1:10">
      <c r="A345" s="172"/>
      <c r="D345" s="56"/>
      <c r="E345" s="204"/>
      <c r="F345" s="205"/>
      <c r="G345" s="206"/>
      <c r="H345" s="207"/>
      <c r="J345" s="76"/>
    </row>
    <row r="346" spans="1:10">
      <c r="A346" s="172"/>
      <c r="D346" s="56"/>
      <c r="E346" s="204"/>
      <c r="F346" s="205"/>
      <c r="G346" s="206"/>
      <c r="H346" s="207"/>
      <c r="J346" s="76"/>
    </row>
    <row r="347" spans="1:10">
      <c r="A347" s="172"/>
      <c r="D347" s="56"/>
      <c r="E347" s="204"/>
      <c r="F347" s="205"/>
      <c r="G347" s="206"/>
      <c r="H347" s="207"/>
      <c r="J347" s="76"/>
    </row>
    <row r="348" spans="1:10">
      <c r="A348" s="172"/>
      <c r="D348" s="56"/>
      <c r="E348" s="204"/>
      <c r="F348" s="205"/>
      <c r="G348" s="206"/>
      <c r="H348" s="207"/>
      <c r="J348" s="76"/>
    </row>
    <row r="349" spans="1:10">
      <c r="A349" s="172"/>
      <c r="D349" s="56"/>
      <c r="E349" s="204"/>
      <c r="F349" s="205"/>
      <c r="G349" s="206"/>
      <c r="H349" s="207"/>
      <c r="J349" s="76"/>
    </row>
    <row r="350" spans="1:10">
      <c r="A350" s="172"/>
      <c r="D350" s="56"/>
      <c r="E350" s="204"/>
      <c r="F350" s="205"/>
      <c r="G350" s="206"/>
      <c r="H350" s="207"/>
      <c r="J350" s="76"/>
    </row>
    <row r="351" spans="1:10">
      <c r="A351" s="172"/>
      <c r="D351" s="56"/>
      <c r="E351" s="204"/>
      <c r="F351" s="205"/>
      <c r="G351" s="206"/>
      <c r="H351" s="207"/>
      <c r="J351" s="76"/>
    </row>
    <row r="352" spans="1:10">
      <c r="A352" s="172"/>
      <c r="D352" s="56"/>
      <c r="E352" s="204"/>
      <c r="F352" s="205"/>
      <c r="G352" s="206"/>
      <c r="H352" s="207"/>
      <c r="J352" s="76"/>
    </row>
    <row r="353" spans="1:10">
      <c r="A353" s="172"/>
      <c r="D353" s="56"/>
      <c r="E353" s="204"/>
      <c r="F353" s="205"/>
      <c r="G353" s="206"/>
      <c r="H353" s="207"/>
      <c r="J353" s="76"/>
    </row>
    <row r="354" spans="1:10">
      <c r="A354" s="172"/>
      <c r="D354" s="56"/>
      <c r="E354" s="204"/>
      <c r="F354" s="205"/>
      <c r="G354" s="206"/>
      <c r="H354" s="207"/>
      <c r="J354" s="76"/>
    </row>
    <row r="355" spans="1:10">
      <c r="A355" s="172"/>
      <c r="D355" s="56"/>
      <c r="E355" s="204"/>
      <c r="F355" s="205"/>
      <c r="G355" s="206"/>
      <c r="H355" s="207"/>
      <c r="J355" s="76"/>
    </row>
    <row r="356" spans="1:10">
      <c r="A356" s="172"/>
      <c r="D356" s="56"/>
      <c r="E356" s="204"/>
      <c r="F356" s="205"/>
      <c r="G356" s="206"/>
      <c r="H356" s="207"/>
      <c r="J356" s="76"/>
    </row>
    <row r="357" spans="1:10">
      <c r="A357" s="172"/>
      <c r="D357" s="56"/>
      <c r="E357" s="204"/>
      <c r="F357" s="205"/>
      <c r="G357" s="206"/>
      <c r="H357" s="207"/>
      <c r="J357" s="76"/>
    </row>
    <row r="358" spans="1:10">
      <c r="A358" s="172"/>
      <c r="D358" s="56"/>
      <c r="E358" s="204"/>
      <c r="F358" s="205"/>
      <c r="G358" s="206"/>
      <c r="H358" s="207"/>
      <c r="J358" s="76"/>
    </row>
    <row r="359" spans="1:10">
      <c r="A359" s="172"/>
      <c r="D359" s="56"/>
      <c r="E359" s="204"/>
      <c r="F359" s="205"/>
      <c r="G359" s="206"/>
      <c r="H359" s="207"/>
      <c r="J359" s="76"/>
    </row>
    <row r="360" spans="1:10">
      <c r="A360" s="172"/>
      <c r="D360" s="56"/>
      <c r="E360" s="204"/>
      <c r="F360" s="205"/>
      <c r="G360" s="206"/>
      <c r="H360" s="207"/>
      <c r="J360" s="76"/>
    </row>
    <row r="361" spans="1:10">
      <c r="A361" s="172"/>
      <c r="D361" s="56"/>
      <c r="E361" s="204"/>
      <c r="F361" s="205"/>
      <c r="G361" s="206"/>
      <c r="H361" s="207"/>
      <c r="J361" s="76"/>
    </row>
    <row r="362" spans="1:10">
      <c r="A362" s="172"/>
      <c r="D362" s="56"/>
      <c r="E362" s="204"/>
      <c r="F362" s="205"/>
      <c r="G362" s="206"/>
      <c r="H362" s="207"/>
      <c r="J362" s="76"/>
    </row>
    <row r="363" spans="1:10">
      <c r="A363" s="172"/>
      <c r="D363" s="56"/>
      <c r="E363" s="204"/>
      <c r="F363" s="205"/>
      <c r="G363" s="206"/>
      <c r="H363" s="207"/>
      <c r="J363" s="76"/>
    </row>
    <row r="364" spans="1:10">
      <c r="A364" s="172"/>
      <c r="D364" s="56"/>
      <c r="E364" s="204"/>
      <c r="F364" s="205"/>
      <c r="G364" s="206"/>
      <c r="H364" s="207"/>
      <c r="J364" s="76"/>
    </row>
    <row r="365" spans="1:10">
      <c r="A365" s="172"/>
      <c r="D365" s="56"/>
      <c r="E365" s="204"/>
      <c r="F365" s="205"/>
      <c r="G365" s="206"/>
      <c r="H365" s="207"/>
      <c r="J365" s="76"/>
    </row>
    <row r="366" spans="1:10">
      <c r="A366" s="172"/>
      <c r="D366" s="56"/>
      <c r="E366" s="204"/>
      <c r="F366" s="205"/>
      <c r="G366" s="206"/>
      <c r="H366" s="207"/>
      <c r="J366" s="76"/>
    </row>
    <row r="367" spans="1:10">
      <c r="A367" s="172"/>
      <c r="D367" s="56"/>
      <c r="E367" s="204"/>
      <c r="F367" s="205"/>
      <c r="G367" s="206"/>
      <c r="H367" s="207"/>
      <c r="J367" s="76"/>
    </row>
    <row r="368" spans="1:10">
      <c r="A368" s="172"/>
      <c r="D368" s="56"/>
      <c r="E368" s="204"/>
      <c r="F368" s="205"/>
      <c r="G368" s="206"/>
      <c r="H368" s="207"/>
      <c r="J368" s="76"/>
    </row>
    <row r="369" spans="1:10">
      <c r="A369" s="172"/>
      <c r="D369" s="56"/>
      <c r="E369" s="204"/>
      <c r="F369" s="205"/>
      <c r="G369" s="206"/>
      <c r="H369" s="207"/>
      <c r="J369" s="76"/>
    </row>
    <row r="370" spans="1:10">
      <c r="A370" s="172"/>
      <c r="D370" s="56"/>
      <c r="E370" s="204"/>
      <c r="F370" s="205"/>
      <c r="G370" s="206"/>
      <c r="H370" s="207"/>
      <c r="J370" s="76"/>
    </row>
    <row r="371" spans="1:10">
      <c r="A371" s="172"/>
      <c r="D371" s="56"/>
      <c r="E371" s="204"/>
      <c r="F371" s="205"/>
      <c r="G371" s="206"/>
      <c r="H371" s="207"/>
      <c r="J371" s="76"/>
    </row>
    <row r="372" spans="1:10">
      <c r="A372" s="172"/>
      <c r="D372" s="56"/>
      <c r="E372" s="204"/>
      <c r="F372" s="205"/>
      <c r="G372" s="206"/>
      <c r="H372" s="207"/>
      <c r="J372" s="76"/>
    </row>
    <row r="373" spans="1:10">
      <c r="A373" s="172"/>
      <c r="D373" s="56"/>
      <c r="E373" s="204"/>
      <c r="F373" s="205"/>
      <c r="G373" s="206"/>
      <c r="H373" s="207"/>
      <c r="J373" s="76"/>
    </row>
    <row r="374" spans="1:10">
      <c r="A374" s="172"/>
      <c r="D374" s="56"/>
      <c r="E374" s="204"/>
      <c r="F374" s="205"/>
      <c r="G374" s="206"/>
      <c r="H374" s="207"/>
      <c r="J374" s="76"/>
    </row>
    <row r="375" spans="1:10">
      <c r="A375" s="172"/>
      <c r="D375" s="56"/>
      <c r="E375" s="204"/>
      <c r="F375" s="205"/>
      <c r="G375" s="206"/>
      <c r="H375" s="207"/>
      <c r="J375" s="76"/>
    </row>
    <row r="376" spans="1:10">
      <c r="A376" s="172"/>
      <c r="D376" s="56"/>
      <c r="E376" s="204"/>
      <c r="F376" s="205"/>
      <c r="G376" s="206"/>
      <c r="H376" s="207"/>
      <c r="J376" s="76"/>
    </row>
    <row r="377" spans="1:10">
      <c r="A377" s="172"/>
      <c r="D377" s="56"/>
      <c r="E377" s="204"/>
      <c r="F377" s="205"/>
      <c r="G377" s="206"/>
      <c r="H377" s="207"/>
      <c r="J377" s="76"/>
    </row>
    <row r="378" spans="1:10">
      <c r="A378" s="172"/>
      <c r="D378" s="56"/>
      <c r="E378" s="204"/>
      <c r="F378" s="205"/>
      <c r="G378" s="206"/>
      <c r="H378" s="207"/>
      <c r="J378" s="76"/>
    </row>
    <row r="379" spans="1:10">
      <c r="A379" s="172"/>
      <c r="D379" s="56"/>
      <c r="E379" s="204"/>
      <c r="F379" s="205"/>
      <c r="G379" s="206"/>
      <c r="H379" s="207"/>
      <c r="J379" s="76"/>
    </row>
    <row r="380" spans="1:10">
      <c r="A380" s="172"/>
      <c r="D380" s="56"/>
      <c r="E380" s="204"/>
      <c r="F380" s="205"/>
      <c r="G380" s="206"/>
      <c r="H380" s="207"/>
      <c r="J380" s="76"/>
    </row>
    <row r="381" spans="1:10">
      <c r="A381" s="172"/>
      <c r="D381" s="56"/>
      <c r="E381" s="204"/>
      <c r="F381" s="205"/>
      <c r="G381" s="206"/>
      <c r="H381" s="207"/>
      <c r="J381" s="76"/>
    </row>
    <row r="382" spans="1:10">
      <c r="A382" s="172"/>
      <c r="D382" s="56"/>
      <c r="E382" s="204"/>
      <c r="F382" s="205"/>
      <c r="G382" s="206"/>
      <c r="H382" s="207"/>
      <c r="J382" s="76"/>
    </row>
    <row r="383" spans="1:10">
      <c r="A383" s="172"/>
      <c r="D383" s="56"/>
      <c r="E383" s="204"/>
      <c r="F383" s="205"/>
      <c r="G383" s="206"/>
      <c r="H383" s="207"/>
      <c r="J383" s="76"/>
    </row>
    <row r="384" spans="1:10">
      <c r="A384" s="172"/>
      <c r="D384" s="56"/>
      <c r="E384" s="204"/>
      <c r="F384" s="205"/>
      <c r="G384" s="206"/>
      <c r="H384" s="207"/>
      <c r="J384" s="76"/>
    </row>
    <row r="385" spans="1:10">
      <c r="A385" s="172"/>
      <c r="D385" s="56"/>
      <c r="E385" s="204"/>
      <c r="F385" s="205"/>
      <c r="G385" s="206"/>
      <c r="H385" s="207"/>
      <c r="J385" s="76"/>
    </row>
    <row r="386" spans="1:10">
      <c r="A386" s="172"/>
      <c r="D386" s="56"/>
      <c r="E386" s="204"/>
      <c r="F386" s="205"/>
      <c r="G386" s="206"/>
      <c r="H386" s="207"/>
      <c r="J386" s="76"/>
    </row>
    <row r="387" spans="1:10">
      <c r="A387" s="172"/>
      <c r="D387" s="56"/>
      <c r="E387" s="204"/>
      <c r="F387" s="205"/>
      <c r="G387" s="206"/>
      <c r="H387" s="207"/>
      <c r="J387" s="76"/>
    </row>
    <row r="388" spans="1:10">
      <c r="A388" s="172"/>
      <c r="D388" s="56"/>
      <c r="E388" s="204"/>
      <c r="F388" s="205"/>
      <c r="G388" s="206"/>
      <c r="H388" s="207"/>
      <c r="J388" s="76"/>
    </row>
    <row r="389" spans="1:10">
      <c r="A389" s="172"/>
      <c r="D389" s="56"/>
      <c r="E389" s="204"/>
      <c r="F389" s="205"/>
      <c r="G389" s="206"/>
      <c r="H389" s="207"/>
      <c r="J389" s="76"/>
    </row>
    <row r="390" spans="1:10">
      <c r="A390" s="172"/>
      <c r="D390" s="56"/>
      <c r="E390" s="204"/>
      <c r="F390" s="205"/>
      <c r="G390" s="206"/>
      <c r="H390" s="207"/>
      <c r="J390" s="76"/>
    </row>
    <row r="391" spans="1:10">
      <c r="A391" s="172"/>
      <c r="D391" s="56"/>
      <c r="E391" s="204"/>
      <c r="F391" s="205"/>
      <c r="G391" s="206"/>
      <c r="H391" s="207"/>
      <c r="J391" s="76"/>
    </row>
    <row r="392" spans="1:10">
      <c r="A392" s="172"/>
      <c r="D392" s="56"/>
      <c r="E392" s="204"/>
      <c r="F392" s="205"/>
      <c r="G392" s="206"/>
      <c r="H392" s="207"/>
      <c r="J392" s="76"/>
    </row>
    <row r="393" spans="1:10">
      <c r="A393" s="172"/>
      <c r="D393" s="56"/>
      <c r="E393" s="204"/>
      <c r="F393" s="205"/>
      <c r="G393" s="206"/>
      <c r="H393" s="207"/>
      <c r="J393" s="76"/>
    </row>
    <row r="394" spans="1:10">
      <c r="A394" s="172"/>
      <c r="D394" s="56"/>
      <c r="E394" s="204"/>
      <c r="F394" s="205"/>
      <c r="G394" s="206"/>
      <c r="H394" s="207"/>
      <c r="J394" s="76"/>
    </row>
    <row r="395" spans="1:10">
      <c r="A395" s="172"/>
      <c r="D395" s="56"/>
      <c r="E395" s="204"/>
      <c r="F395" s="205"/>
      <c r="G395" s="206"/>
      <c r="H395" s="207"/>
      <c r="J395" s="76"/>
    </row>
    <row r="396" spans="1:10">
      <c r="A396" s="172"/>
      <c r="D396" s="56"/>
      <c r="E396" s="204"/>
      <c r="F396" s="205"/>
      <c r="G396" s="206"/>
      <c r="H396" s="207"/>
      <c r="J396" s="76"/>
    </row>
    <row r="397" spans="1:10">
      <c r="A397" s="172"/>
      <c r="D397" s="56"/>
      <c r="E397" s="204"/>
      <c r="F397" s="205"/>
      <c r="G397" s="206"/>
      <c r="H397" s="207"/>
      <c r="J397" s="76"/>
    </row>
    <row r="398" spans="1:10">
      <c r="A398" s="172"/>
      <c r="D398" s="56"/>
      <c r="E398" s="204"/>
      <c r="F398" s="205"/>
      <c r="G398" s="206"/>
      <c r="H398" s="207"/>
      <c r="J398" s="76"/>
    </row>
    <row r="399" spans="1:10">
      <c r="A399" s="172"/>
      <c r="D399" s="56"/>
      <c r="E399" s="204"/>
      <c r="F399" s="205"/>
      <c r="G399" s="206"/>
      <c r="H399" s="207"/>
      <c r="J399" s="76"/>
    </row>
    <row r="400" spans="1:10">
      <c r="A400" s="172"/>
      <c r="D400" s="56"/>
      <c r="E400" s="204"/>
      <c r="F400" s="205"/>
      <c r="G400" s="206"/>
      <c r="H400" s="207"/>
      <c r="J400" s="76"/>
    </row>
    <row r="401" spans="1:10">
      <c r="A401" s="172"/>
      <c r="D401" s="56"/>
      <c r="E401" s="204"/>
      <c r="F401" s="205"/>
      <c r="G401" s="206"/>
      <c r="H401" s="207"/>
      <c r="J401" s="76"/>
    </row>
    <row r="402" spans="1:10">
      <c r="A402" s="172"/>
      <c r="D402" s="56"/>
      <c r="E402" s="204"/>
      <c r="F402" s="205"/>
      <c r="G402" s="206"/>
      <c r="H402" s="207"/>
      <c r="J402" s="76"/>
    </row>
    <row r="403" spans="1:10">
      <c r="A403" s="172"/>
      <c r="D403" s="56"/>
      <c r="E403" s="204"/>
      <c r="F403" s="205"/>
      <c r="G403" s="206"/>
      <c r="H403" s="207"/>
      <c r="J403" s="76"/>
    </row>
    <row r="404" spans="1:10">
      <c r="A404" s="172"/>
      <c r="D404" s="56"/>
      <c r="E404" s="204"/>
      <c r="F404" s="205"/>
      <c r="G404" s="206"/>
      <c r="H404" s="207"/>
      <c r="J404" s="76"/>
    </row>
    <row r="405" spans="1:10">
      <c r="A405" s="172"/>
      <c r="D405" s="56"/>
      <c r="E405" s="204"/>
      <c r="F405" s="205"/>
      <c r="G405" s="206"/>
      <c r="H405" s="207"/>
      <c r="J405" s="76"/>
    </row>
    <row r="406" spans="1:10">
      <c r="A406" s="172"/>
      <c r="D406" s="56"/>
      <c r="E406" s="204"/>
      <c r="F406" s="205"/>
      <c r="G406" s="206"/>
      <c r="H406" s="207"/>
      <c r="J406" s="76"/>
    </row>
    <row r="407" spans="1:10">
      <c r="A407" s="172"/>
      <c r="D407" s="56"/>
      <c r="E407" s="204"/>
      <c r="F407" s="205"/>
      <c r="G407" s="206"/>
      <c r="H407" s="207"/>
      <c r="J407" s="76"/>
    </row>
    <row r="408" spans="1:10">
      <c r="A408" s="172"/>
      <c r="D408" s="56"/>
      <c r="E408" s="204"/>
      <c r="F408" s="205"/>
      <c r="G408" s="206"/>
      <c r="H408" s="207"/>
      <c r="J408" s="76"/>
    </row>
    <row r="409" spans="1:10">
      <c r="A409" s="172"/>
      <c r="D409" s="56"/>
      <c r="E409" s="204"/>
      <c r="F409" s="205"/>
      <c r="G409" s="206"/>
      <c r="H409" s="207"/>
      <c r="J409" s="76"/>
    </row>
    <row r="410" spans="1:10">
      <c r="A410" s="172"/>
      <c r="D410" s="56"/>
      <c r="E410" s="204"/>
      <c r="F410" s="205"/>
      <c r="G410" s="206"/>
      <c r="H410" s="207"/>
      <c r="J410" s="76"/>
    </row>
    <row r="411" spans="1:10">
      <c r="A411" s="172"/>
      <c r="D411" s="56"/>
      <c r="E411" s="204"/>
      <c r="F411" s="205"/>
      <c r="G411" s="206"/>
      <c r="H411" s="207"/>
      <c r="J411" s="76"/>
    </row>
    <row r="412" spans="1:10">
      <c r="A412" s="172"/>
      <c r="D412" s="56"/>
      <c r="E412" s="204"/>
      <c r="F412" s="205"/>
      <c r="G412" s="206"/>
      <c r="H412" s="207"/>
      <c r="J412" s="76"/>
    </row>
    <row r="413" spans="1:10">
      <c r="A413" s="172"/>
      <c r="D413" s="56"/>
      <c r="E413" s="204"/>
      <c r="F413" s="205"/>
      <c r="G413" s="206"/>
      <c r="H413" s="207"/>
      <c r="J413" s="76"/>
    </row>
    <row r="414" spans="1:10">
      <c r="A414" s="172"/>
      <c r="D414" s="56"/>
      <c r="E414" s="204"/>
      <c r="F414" s="205"/>
      <c r="G414" s="206"/>
      <c r="H414" s="207"/>
      <c r="J414" s="76"/>
    </row>
    <row r="415" spans="1:10">
      <c r="A415" s="172"/>
      <c r="D415" s="56"/>
      <c r="E415" s="204"/>
      <c r="F415" s="205"/>
      <c r="G415" s="206"/>
      <c r="H415" s="207"/>
      <c r="J415" s="76"/>
    </row>
    <row r="416" spans="1:10">
      <c r="A416" s="172"/>
      <c r="D416" s="56"/>
      <c r="E416" s="204"/>
      <c r="F416" s="205"/>
      <c r="G416" s="206"/>
      <c r="H416" s="207"/>
      <c r="J416" s="76"/>
    </row>
    <row r="417" spans="1:10">
      <c r="A417" s="172"/>
      <c r="D417" s="56"/>
      <c r="E417" s="204"/>
      <c r="F417" s="205"/>
      <c r="G417" s="206"/>
      <c r="H417" s="207"/>
      <c r="J417" s="76"/>
    </row>
    <row r="418" spans="1:10">
      <c r="A418" s="172"/>
      <c r="D418" s="56"/>
      <c r="E418" s="204"/>
      <c r="F418" s="205"/>
      <c r="G418" s="206"/>
      <c r="H418" s="207"/>
      <c r="J418" s="76"/>
    </row>
    <row r="419" spans="1:10">
      <c r="A419" s="172"/>
      <c r="D419" s="56"/>
      <c r="E419" s="204"/>
      <c r="F419" s="205"/>
      <c r="G419" s="206"/>
      <c r="H419" s="207"/>
      <c r="J419" s="76"/>
    </row>
    <row r="420" spans="1:10">
      <c r="A420" s="172"/>
      <c r="D420" s="56"/>
      <c r="E420" s="204"/>
      <c r="F420" s="205"/>
      <c r="G420" s="206"/>
      <c r="H420" s="207"/>
      <c r="J420" s="76"/>
    </row>
    <row r="421" spans="1:10">
      <c r="A421" s="172"/>
      <c r="D421" s="56"/>
      <c r="E421" s="204"/>
      <c r="F421" s="205"/>
      <c r="G421" s="206"/>
      <c r="H421" s="207"/>
      <c r="J421" s="76"/>
    </row>
    <row r="422" spans="1:10">
      <c r="A422" s="172"/>
      <c r="D422" s="56"/>
      <c r="E422" s="204"/>
      <c r="F422" s="205"/>
      <c r="G422" s="206"/>
      <c r="H422" s="207"/>
      <c r="J422" s="76"/>
    </row>
    <row r="423" spans="1:10">
      <c r="A423" s="172"/>
      <c r="D423" s="56"/>
      <c r="E423" s="204"/>
      <c r="F423" s="205"/>
      <c r="G423" s="206"/>
      <c r="H423" s="207"/>
      <c r="J423" s="76"/>
    </row>
    <row r="424" spans="1:10">
      <c r="A424" s="172"/>
      <c r="D424" s="56"/>
      <c r="E424" s="204"/>
      <c r="F424" s="205"/>
      <c r="G424" s="206"/>
      <c r="H424" s="207"/>
      <c r="J424" s="76"/>
    </row>
    <row r="425" spans="1:10">
      <c r="A425" s="172"/>
      <c r="D425" s="56"/>
      <c r="E425" s="204"/>
      <c r="F425" s="205"/>
      <c r="G425" s="206"/>
      <c r="H425" s="207"/>
      <c r="J425" s="76"/>
    </row>
    <row r="426" spans="1:10">
      <c r="A426" s="172"/>
      <c r="D426" s="56"/>
      <c r="E426" s="204"/>
      <c r="F426" s="205"/>
      <c r="G426" s="206"/>
      <c r="H426" s="207"/>
      <c r="J426" s="76"/>
    </row>
    <row r="427" spans="1:10">
      <c r="A427" s="172"/>
      <c r="D427" s="56"/>
      <c r="E427" s="204"/>
      <c r="F427" s="205"/>
      <c r="G427" s="206"/>
      <c r="H427" s="207"/>
      <c r="J427" s="76"/>
    </row>
    <row r="428" spans="1:10">
      <c r="A428" s="172"/>
      <c r="D428" s="56"/>
      <c r="E428" s="204"/>
      <c r="F428" s="205"/>
      <c r="G428" s="206"/>
      <c r="H428" s="207"/>
      <c r="J428" s="76"/>
    </row>
    <row r="429" spans="1:10">
      <c r="A429" s="172"/>
      <c r="D429" s="56"/>
      <c r="E429" s="204"/>
      <c r="F429" s="205"/>
      <c r="G429" s="206"/>
      <c r="H429" s="207"/>
      <c r="J429" s="76"/>
    </row>
    <row r="430" spans="1:10">
      <c r="A430" s="172"/>
      <c r="D430" s="56"/>
      <c r="E430" s="204"/>
      <c r="F430" s="205"/>
      <c r="G430" s="206"/>
      <c r="H430" s="207"/>
      <c r="J430" s="76"/>
    </row>
    <row r="431" spans="1:10">
      <c r="A431" s="172"/>
      <c r="D431" s="56"/>
      <c r="E431" s="204"/>
      <c r="F431" s="205"/>
      <c r="G431" s="206"/>
      <c r="H431" s="207"/>
      <c r="J431" s="76"/>
    </row>
    <row r="432" spans="1:10">
      <c r="A432" s="172"/>
      <c r="D432" s="56"/>
      <c r="E432" s="204"/>
      <c r="F432" s="205"/>
      <c r="G432" s="206"/>
      <c r="H432" s="207"/>
      <c r="J432" s="76"/>
    </row>
    <row r="433" spans="1:10">
      <c r="A433" s="172"/>
      <c r="D433" s="56"/>
      <c r="E433" s="204"/>
      <c r="F433" s="205"/>
      <c r="G433" s="206"/>
      <c r="H433" s="207"/>
      <c r="J433" s="76"/>
    </row>
    <row r="434" spans="1:10">
      <c r="A434" s="172"/>
      <c r="D434" s="56"/>
      <c r="E434" s="204"/>
      <c r="F434" s="205"/>
      <c r="G434" s="206"/>
      <c r="H434" s="207"/>
      <c r="J434" s="76"/>
    </row>
    <row r="435" spans="1:10">
      <c r="A435" s="172"/>
      <c r="D435" s="56"/>
      <c r="E435" s="204"/>
      <c r="F435" s="205"/>
      <c r="G435" s="206"/>
      <c r="H435" s="207"/>
      <c r="J435" s="76"/>
    </row>
    <row r="436" spans="1:10">
      <c r="A436" s="172"/>
      <c r="D436" s="56"/>
      <c r="E436" s="204"/>
      <c r="F436" s="205"/>
      <c r="G436" s="206"/>
      <c r="H436" s="207"/>
      <c r="J436" s="76"/>
    </row>
    <row r="437" spans="1:10">
      <c r="A437" s="172"/>
      <c r="D437" s="56"/>
      <c r="E437" s="204"/>
      <c r="F437" s="205"/>
      <c r="G437" s="206"/>
      <c r="H437" s="207"/>
      <c r="J437" s="76"/>
    </row>
    <row r="438" spans="1:10">
      <c r="A438" s="172"/>
      <c r="D438" s="56"/>
      <c r="E438" s="204"/>
      <c r="F438" s="205"/>
      <c r="G438" s="206"/>
      <c r="H438" s="207"/>
      <c r="J438" s="76"/>
    </row>
    <row r="439" spans="1:10">
      <c r="A439" s="172"/>
      <c r="D439" s="56"/>
      <c r="E439" s="204"/>
      <c r="F439" s="205"/>
      <c r="G439" s="206"/>
      <c r="H439" s="207"/>
      <c r="J439" s="76"/>
    </row>
    <row r="440" spans="1:10">
      <c r="A440" s="172"/>
      <c r="D440" s="56"/>
      <c r="E440" s="204"/>
      <c r="F440" s="205"/>
      <c r="G440" s="206"/>
      <c r="H440" s="207"/>
      <c r="J440" s="76"/>
    </row>
    <row r="441" spans="1:10">
      <c r="A441" s="172"/>
      <c r="D441" s="56"/>
      <c r="E441" s="204"/>
      <c r="F441" s="205"/>
      <c r="G441" s="206"/>
      <c r="H441" s="207"/>
      <c r="J441" s="76"/>
    </row>
    <row r="442" spans="1:10">
      <c r="A442" s="172"/>
      <c r="D442" s="56"/>
      <c r="E442" s="204"/>
      <c r="F442" s="205"/>
      <c r="G442" s="206"/>
      <c r="H442" s="207"/>
      <c r="J442" s="76"/>
    </row>
    <row r="443" spans="1:10">
      <c r="A443" s="172"/>
      <c r="D443" s="56"/>
      <c r="E443" s="204"/>
      <c r="F443" s="205"/>
      <c r="G443" s="206"/>
      <c r="H443" s="207"/>
      <c r="J443" s="76"/>
    </row>
    <row r="444" spans="1:10">
      <c r="A444" s="172"/>
      <c r="D444" s="56"/>
      <c r="E444" s="204"/>
      <c r="F444" s="205"/>
      <c r="G444" s="206"/>
      <c r="H444" s="207"/>
      <c r="J444" s="76"/>
    </row>
    <row r="445" spans="1:10">
      <c r="A445" s="172"/>
      <c r="D445" s="56"/>
      <c r="E445" s="204"/>
      <c r="F445" s="205"/>
      <c r="G445" s="206"/>
      <c r="H445" s="207"/>
      <c r="J445" s="76"/>
    </row>
    <row r="446" spans="1:10">
      <c r="A446" s="172"/>
      <c r="D446" s="56"/>
      <c r="E446" s="204"/>
      <c r="F446" s="205"/>
      <c r="G446" s="206"/>
      <c r="H446" s="207"/>
      <c r="J446" s="76"/>
    </row>
    <row r="447" spans="1:10">
      <c r="A447" s="172"/>
      <c r="D447" s="56"/>
      <c r="E447" s="204"/>
      <c r="F447" s="205"/>
      <c r="G447" s="206"/>
      <c r="H447" s="207"/>
      <c r="J447" s="76"/>
    </row>
    <row r="448" spans="1:10">
      <c r="A448" s="172"/>
      <c r="D448" s="56"/>
      <c r="E448" s="204"/>
      <c r="F448" s="205"/>
      <c r="G448" s="206"/>
      <c r="H448" s="207"/>
      <c r="J448" s="76"/>
    </row>
    <row r="449" spans="1:10">
      <c r="A449" s="172"/>
      <c r="D449" s="56"/>
      <c r="E449" s="204"/>
      <c r="F449" s="205"/>
      <c r="G449" s="206"/>
      <c r="H449" s="207"/>
      <c r="J449" s="76"/>
    </row>
    <row r="450" spans="1:10">
      <c r="A450" s="172"/>
      <c r="D450" s="56"/>
      <c r="E450" s="204"/>
      <c r="F450" s="205"/>
      <c r="G450" s="206"/>
      <c r="H450" s="207"/>
      <c r="J450" s="76"/>
    </row>
    <row r="451" spans="1:10">
      <c r="A451" s="172"/>
      <c r="D451" s="56"/>
      <c r="E451" s="204"/>
      <c r="F451" s="205"/>
      <c r="G451" s="206"/>
      <c r="H451" s="207"/>
      <c r="J451" s="76"/>
    </row>
    <row r="452" spans="1:10">
      <c r="A452" s="172"/>
      <c r="D452" s="56"/>
      <c r="E452" s="204"/>
      <c r="F452" s="205"/>
      <c r="G452" s="206"/>
      <c r="H452" s="207"/>
      <c r="J452" s="76"/>
    </row>
    <row r="453" spans="1:10">
      <c r="A453" s="172"/>
      <c r="D453" s="56"/>
      <c r="E453" s="204"/>
      <c r="F453" s="205"/>
      <c r="G453" s="206"/>
      <c r="H453" s="207"/>
      <c r="J453" s="76"/>
    </row>
    <row r="454" spans="1:10">
      <c r="A454" s="172"/>
      <c r="D454" s="56"/>
      <c r="E454" s="204"/>
      <c r="F454" s="205"/>
      <c r="G454" s="206"/>
      <c r="H454" s="207"/>
      <c r="J454" s="76"/>
    </row>
    <row r="455" spans="1:10">
      <c r="A455" s="172"/>
      <c r="D455" s="56"/>
      <c r="E455" s="204"/>
      <c r="F455" s="205"/>
      <c r="G455" s="206"/>
      <c r="H455" s="207"/>
      <c r="J455" s="76"/>
    </row>
    <row r="456" spans="1:10">
      <c r="A456" s="172"/>
      <c r="D456" s="56"/>
      <c r="E456" s="204"/>
      <c r="F456" s="205"/>
      <c r="G456" s="206"/>
      <c r="H456" s="207"/>
      <c r="J456" s="76"/>
    </row>
    <row r="457" spans="1:10">
      <c r="A457" s="172"/>
      <c r="D457" s="56"/>
      <c r="E457" s="204"/>
      <c r="F457" s="205"/>
      <c r="G457" s="206"/>
      <c r="H457" s="207"/>
      <c r="J457" s="76"/>
    </row>
    <row r="458" spans="1:10">
      <c r="A458" s="172"/>
      <c r="D458" s="56"/>
      <c r="E458" s="204"/>
      <c r="F458" s="205"/>
      <c r="G458" s="206"/>
      <c r="H458" s="207"/>
      <c r="J458" s="76"/>
    </row>
    <row r="459" spans="1:10">
      <c r="A459" s="172"/>
      <c r="D459" s="56"/>
      <c r="E459" s="204"/>
      <c r="F459" s="205"/>
      <c r="G459" s="206"/>
      <c r="H459" s="207"/>
      <c r="J459" s="76"/>
    </row>
    <row r="460" spans="1:10">
      <c r="A460" s="172"/>
      <c r="D460" s="56"/>
      <c r="E460" s="204"/>
      <c r="F460" s="205"/>
      <c r="G460" s="206"/>
      <c r="H460" s="207"/>
      <c r="J460" s="76"/>
    </row>
    <row r="461" spans="1:10">
      <c r="A461" s="172"/>
      <c r="D461" s="56"/>
      <c r="E461" s="204"/>
      <c r="F461" s="205"/>
      <c r="G461" s="206"/>
      <c r="H461" s="207"/>
      <c r="J461" s="76"/>
    </row>
    <row r="462" spans="1:10">
      <c r="A462" s="172"/>
      <c r="D462" s="56"/>
      <c r="E462" s="204"/>
      <c r="F462" s="205"/>
      <c r="G462" s="206"/>
      <c r="H462" s="207"/>
      <c r="J462" s="76"/>
    </row>
    <row r="463" spans="1:10">
      <c r="A463" s="172"/>
      <c r="D463" s="56"/>
      <c r="E463" s="204"/>
      <c r="F463" s="205"/>
      <c r="G463" s="206"/>
      <c r="H463" s="207"/>
      <c r="J463" s="76"/>
    </row>
    <row r="464" spans="1:10">
      <c r="A464" s="172"/>
      <c r="D464" s="56"/>
      <c r="E464" s="204"/>
      <c r="F464" s="205"/>
      <c r="G464" s="206"/>
      <c r="H464" s="207"/>
      <c r="J464" s="76"/>
    </row>
    <row r="465" spans="1:10">
      <c r="A465" s="172"/>
      <c r="D465" s="56"/>
      <c r="E465" s="204"/>
      <c r="F465" s="205"/>
      <c r="G465" s="206"/>
      <c r="H465" s="207"/>
      <c r="J465" s="76"/>
    </row>
    <row r="466" spans="1:10">
      <c r="A466" s="172"/>
      <c r="D466" s="56"/>
      <c r="E466" s="204"/>
      <c r="F466" s="205"/>
      <c r="G466" s="206"/>
      <c r="H466" s="207"/>
      <c r="J466" s="76"/>
    </row>
    <row r="467" spans="1:10">
      <c r="A467" s="172"/>
      <c r="D467" s="56"/>
      <c r="E467" s="204"/>
      <c r="F467" s="205"/>
      <c r="G467" s="206"/>
      <c r="H467" s="207"/>
      <c r="J467" s="76"/>
    </row>
    <row r="468" spans="1:10">
      <c r="A468" s="172"/>
      <c r="D468" s="56"/>
      <c r="E468" s="204"/>
      <c r="F468" s="205"/>
      <c r="G468" s="206"/>
      <c r="H468" s="207"/>
      <c r="J468" s="76"/>
    </row>
    <row r="469" spans="1:10">
      <c r="A469" s="172"/>
      <c r="D469" s="56"/>
      <c r="E469" s="204"/>
      <c r="F469" s="205"/>
      <c r="G469" s="206"/>
      <c r="H469" s="207"/>
      <c r="J469" s="76"/>
    </row>
    <row r="470" spans="1:10">
      <c r="A470" s="172"/>
      <c r="D470" s="56"/>
      <c r="E470" s="204"/>
      <c r="F470" s="205"/>
      <c r="G470" s="206"/>
      <c r="H470" s="207"/>
      <c r="J470" s="76"/>
    </row>
    <row r="471" spans="1:10">
      <c r="A471" s="172"/>
      <c r="D471" s="56"/>
      <c r="E471" s="204"/>
      <c r="F471" s="205"/>
      <c r="G471" s="206"/>
      <c r="H471" s="207"/>
      <c r="J471" s="76"/>
    </row>
    <row r="472" spans="1:10">
      <c r="A472" s="172"/>
      <c r="D472" s="56"/>
      <c r="E472" s="204"/>
      <c r="F472" s="205"/>
      <c r="G472" s="206"/>
      <c r="H472" s="207"/>
      <c r="J472" s="76"/>
    </row>
    <row r="473" spans="1:10">
      <c r="A473" s="172"/>
      <c r="D473" s="56"/>
      <c r="E473" s="204"/>
      <c r="F473" s="205"/>
      <c r="G473" s="206"/>
      <c r="H473" s="207"/>
      <c r="J473" s="76"/>
    </row>
    <row r="474" spans="1:10">
      <c r="A474" s="172"/>
      <c r="D474" s="56"/>
      <c r="E474" s="204"/>
      <c r="F474" s="205"/>
      <c r="G474" s="206"/>
      <c r="H474" s="207"/>
      <c r="J474" s="76"/>
    </row>
    <row r="475" spans="1:10">
      <c r="A475" s="172"/>
      <c r="D475" s="56"/>
      <c r="E475" s="204"/>
      <c r="F475" s="205"/>
      <c r="G475" s="206"/>
      <c r="H475" s="207"/>
      <c r="J475" s="76"/>
    </row>
    <row r="476" spans="1:10">
      <c r="A476" s="172"/>
      <c r="D476" s="56"/>
      <c r="E476" s="204"/>
      <c r="F476" s="205"/>
      <c r="G476" s="206"/>
      <c r="H476" s="207"/>
      <c r="J476" s="76"/>
    </row>
    <row r="477" spans="1:10">
      <c r="A477" s="172"/>
      <c r="D477" s="56"/>
      <c r="E477" s="204"/>
      <c r="F477" s="205"/>
      <c r="G477" s="206"/>
      <c r="H477" s="207"/>
      <c r="J477" s="76"/>
    </row>
    <row r="478" spans="1:10">
      <c r="A478" s="172"/>
      <c r="D478" s="56"/>
      <c r="E478" s="204"/>
      <c r="F478" s="205"/>
      <c r="G478" s="206"/>
      <c r="H478" s="207"/>
      <c r="J478" s="76"/>
    </row>
    <row r="479" spans="1:10">
      <c r="A479" s="172"/>
      <c r="D479" s="56"/>
      <c r="E479" s="204"/>
      <c r="F479" s="205"/>
      <c r="G479" s="206"/>
      <c r="H479" s="207"/>
      <c r="J479" s="76"/>
    </row>
    <row r="480" spans="1:10">
      <c r="A480" s="172"/>
      <c r="D480" s="56"/>
      <c r="E480" s="204"/>
      <c r="F480" s="205"/>
      <c r="G480" s="206"/>
      <c r="H480" s="207"/>
      <c r="J480" s="76"/>
    </row>
    <row r="481" spans="1:10">
      <c r="A481" s="172"/>
      <c r="D481" s="56"/>
      <c r="E481" s="204"/>
      <c r="F481" s="205"/>
      <c r="G481" s="206"/>
      <c r="H481" s="207"/>
      <c r="J481" s="76"/>
    </row>
    <row r="482" spans="1:10">
      <c r="A482" s="172"/>
      <c r="D482" s="56"/>
      <c r="E482" s="204"/>
      <c r="F482" s="205"/>
      <c r="G482" s="206"/>
      <c r="H482" s="207"/>
      <c r="J482" s="76"/>
    </row>
    <row r="483" spans="1:10">
      <c r="A483" s="172"/>
      <c r="D483" s="56"/>
      <c r="E483" s="204"/>
      <c r="F483" s="205"/>
      <c r="G483" s="206"/>
      <c r="H483" s="207"/>
      <c r="J483" s="76"/>
    </row>
    <row r="484" spans="1:10">
      <c r="A484" s="172"/>
      <c r="D484" s="56"/>
      <c r="E484" s="204"/>
      <c r="F484" s="205"/>
      <c r="G484" s="206"/>
      <c r="H484" s="207"/>
      <c r="J484" s="76"/>
    </row>
    <row r="485" spans="1:10">
      <c r="A485" s="172"/>
      <c r="D485" s="56"/>
      <c r="E485" s="204"/>
      <c r="F485" s="205"/>
      <c r="G485" s="206"/>
      <c r="H485" s="207"/>
      <c r="J485" s="76"/>
    </row>
    <row r="486" spans="1:10">
      <c r="A486" s="172"/>
      <c r="D486" s="56"/>
      <c r="E486" s="204"/>
      <c r="F486" s="205"/>
      <c r="G486" s="206"/>
      <c r="H486" s="207"/>
      <c r="J486" s="76"/>
    </row>
    <row r="487" spans="1:10">
      <c r="A487" s="172"/>
      <c r="D487" s="56"/>
      <c r="E487" s="204"/>
      <c r="F487" s="205"/>
      <c r="G487" s="206"/>
      <c r="H487" s="207"/>
      <c r="J487" s="76"/>
    </row>
    <row r="488" spans="1:10">
      <c r="A488" s="172"/>
      <c r="D488" s="56"/>
      <c r="E488" s="204"/>
      <c r="F488" s="205"/>
      <c r="G488" s="206"/>
      <c r="H488" s="207"/>
      <c r="J488" s="76"/>
    </row>
    <row r="489" spans="1:10">
      <c r="A489" s="172"/>
      <c r="D489" s="56"/>
      <c r="E489" s="204"/>
      <c r="F489" s="205"/>
      <c r="G489" s="206"/>
      <c r="H489" s="207"/>
      <c r="J489" s="76"/>
    </row>
    <row r="490" spans="1:10">
      <c r="A490" s="172"/>
      <c r="D490" s="56"/>
      <c r="E490" s="204"/>
      <c r="F490" s="205"/>
      <c r="G490" s="206"/>
      <c r="H490" s="207"/>
      <c r="J490" s="76"/>
    </row>
    <row r="491" spans="1:10">
      <c r="A491" s="172"/>
      <c r="D491" s="56"/>
      <c r="E491" s="204"/>
      <c r="F491" s="205"/>
      <c r="G491" s="206"/>
      <c r="H491" s="207"/>
      <c r="J491" s="76"/>
    </row>
    <row r="492" spans="1:10">
      <c r="A492" s="172"/>
      <c r="D492" s="56"/>
      <c r="E492" s="204"/>
      <c r="F492" s="205"/>
      <c r="G492" s="206"/>
      <c r="H492" s="207"/>
      <c r="J492" s="76"/>
    </row>
    <row r="493" spans="1:10">
      <c r="A493" s="172"/>
      <c r="D493" s="56"/>
      <c r="E493" s="204"/>
      <c r="F493" s="205"/>
      <c r="G493" s="206"/>
      <c r="H493" s="207"/>
      <c r="J493" s="76"/>
    </row>
    <row r="494" spans="1:10">
      <c r="A494" s="172"/>
      <c r="D494" s="56"/>
      <c r="E494" s="204"/>
      <c r="F494" s="205"/>
      <c r="G494" s="206"/>
      <c r="H494" s="207"/>
      <c r="J494" s="76"/>
    </row>
    <row r="495" spans="1:10">
      <c r="A495" s="172"/>
      <c r="D495" s="56"/>
      <c r="E495" s="204"/>
      <c r="F495" s="205"/>
      <c r="G495" s="206"/>
      <c r="H495" s="207"/>
      <c r="J495" s="76"/>
    </row>
    <row r="496" spans="1:10">
      <c r="A496" s="172"/>
      <c r="D496" s="56"/>
      <c r="E496" s="204"/>
      <c r="F496" s="205"/>
      <c r="G496" s="206"/>
      <c r="H496" s="207"/>
      <c r="J496" s="76"/>
    </row>
    <row r="497" spans="1:10">
      <c r="A497" s="172"/>
      <c r="D497" s="56"/>
      <c r="E497" s="204"/>
      <c r="F497" s="205"/>
      <c r="G497" s="206"/>
      <c r="H497" s="207"/>
      <c r="J497" s="76"/>
    </row>
    <row r="498" spans="1:10">
      <c r="A498" s="172"/>
      <c r="D498" s="56"/>
      <c r="E498" s="204"/>
      <c r="F498" s="205"/>
      <c r="G498" s="206"/>
      <c r="H498" s="207"/>
      <c r="J498" s="76"/>
    </row>
    <row r="499" spans="1:10">
      <c r="A499" s="172"/>
      <c r="D499" s="56"/>
      <c r="E499" s="204"/>
      <c r="F499" s="205"/>
      <c r="G499" s="206"/>
      <c r="H499" s="207"/>
      <c r="J499" s="76"/>
    </row>
    <row r="500" spans="1:10">
      <c r="A500" s="172"/>
      <c r="D500" s="56"/>
      <c r="E500" s="204"/>
      <c r="F500" s="205"/>
      <c r="G500" s="206"/>
      <c r="H500" s="207"/>
      <c r="J500" s="76"/>
    </row>
    <row r="501" spans="1:10">
      <c r="A501" s="172"/>
      <c r="D501" s="56"/>
      <c r="E501" s="204"/>
      <c r="F501" s="205"/>
      <c r="G501" s="206"/>
      <c r="H501" s="207"/>
      <c r="J501" s="76"/>
    </row>
    <row r="502" spans="1:10">
      <c r="A502" s="172"/>
      <c r="D502" s="56"/>
      <c r="E502" s="204"/>
      <c r="F502" s="205"/>
      <c r="G502" s="206"/>
      <c r="H502" s="207"/>
      <c r="J502" s="76"/>
    </row>
    <row r="503" spans="1:10">
      <c r="A503" s="172"/>
      <c r="D503" s="56"/>
      <c r="E503" s="204"/>
      <c r="F503" s="205"/>
      <c r="G503" s="206"/>
      <c r="H503" s="207"/>
      <c r="J503" s="76"/>
    </row>
    <row r="504" spans="1:10">
      <c r="A504" s="172"/>
      <c r="D504" s="56"/>
      <c r="E504" s="204"/>
      <c r="F504" s="205"/>
      <c r="G504" s="206"/>
      <c r="H504" s="207"/>
      <c r="J504" s="76"/>
    </row>
    <row r="505" spans="1:10">
      <c r="A505" s="172"/>
      <c r="D505" s="56"/>
      <c r="E505" s="204"/>
      <c r="F505" s="205"/>
      <c r="G505" s="206"/>
      <c r="H505" s="207"/>
      <c r="J505" s="76"/>
    </row>
    <row r="506" spans="1:10">
      <c r="A506" s="172"/>
      <c r="D506" s="56"/>
      <c r="E506" s="204"/>
      <c r="F506" s="205"/>
      <c r="G506" s="206"/>
      <c r="H506" s="207"/>
      <c r="J506" s="76"/>
    </row>
    <row r="507" spans="1:10">
      <c r="A507" s="172"/>
      <c r="D507" s="56"/>
      <c r="E507" s="204"/>
      <c r="F507" s="205"/>
      <c r="G507" s="206"/>
      <c r="H507" s="207"/>
      <c r="J507" s="76"/>
    </row>
    <row r="508" spans="1:10">
      <c r="A508" s="172"/>
      <c r="D508" s="56"/>
      <c r="E508" s="204"/>
      <c r="F508" s="205"/>
      <c r="G508" s="206"/>
      <c r="H508" s="207"/>
      <c r="J508" s="76"/>
    </row>
    <row r="509" spans="1:10">
      <c r="A509" s="172"/>
      <c r="D509" s="56"/>
      <c r="E509" s="204"/>
      <c r="F509" s="205"/>
      <c r="G509" s="206"/>
      <c r="H509" s="207"/>
      <c r="J509" s="76"/>
    </row>
    <row r="510" spans="1:10">
      <c r="A510" s="172"/>
      <c r="D510" s="56"/>
      <c r="E510" s="204"/>
      <c r="F510" s="205"/>
      <c r="G510" s="206"/>
      <c r="H510" s="207"/>
      <c r="J510" s="76"/>
    </row>
    <row r="511" spans="1:10">
      <c r="A511" s="172"/>
      <c r="D511" s="56"/>
      <c r="E511" s="204"/>
      <c r="F511" s="205"/>
      <c r="G511" s="206"/>
      <c r="H511" s="207"/>
      <c r="J511" s="76"/>
    </row>
    <row r="512" spans="1:10">
      <c r="A512" s="172"/>
      <c r="D512" s="56"/>
      <c r="E512" s="204"/>
      <c r="F512" s="205"/>
      <c r="G512" s="206"/>
      <c r="H512" s="207"/>
      <c r="J512" s="76"/>
    </row>
    <row r="513" spans="1:10">
      <c r="A513" s="172"/>
      <c r="D513" s="56"/>
      <c r="E513" s="204"/>
      <c r="F513" s="205"/>
      <c r="G513" s="206"/>
      <c r="H513" s="207"/>
      <c r="J513" s="76"/>
    </row>
    <row r="514" spans="1:10">
      <c r="A514" s="172"/>
      <c r="D514" s="56"/>
      <c r="E514" s="204"/>
      <c r="F514" s="205"/>
      <c r="G514" s="206"/>
      <c r="H514" s="207"/>
      <c r="J514" s="76"/>
    </row>
    <row r="515" spans="1:10">
      <c r="A515" s="172"/>
      <c r="D515" s="56"/>
      <c r="E515" s="204"/>
      <c r="F515" s="205"/>
      <c r="G515" s="206"/>
      <c r="H515" s="207"/>
      <c r="J515" s="76"/>
    </row>
    <row r="516" spans="1:10">
      <c r="A516" s="172"/>
      <c r="D516" s="56"/>
      <c r="E516" s="204"/>
      <c r="F516" s="205"/>
      <c r="G516" s="206"/>
      <c r="H516" s="207"/>
      <c r="J516" s="76"/>
    </row>
    <row r="517" spans="1:10">
      <c r="A517" s="172"/>
      <c r="D517" s="56"/>
      <c r="E517" s="204"/>
      <c r="F517" s="205"/>
      <c r="G517" s="206"/>
      <c r="H517" s="207"/>
      <c r="J517" s="76"/>
    </row>
    <row r="518" spans="1:10">
      <c r="A518" s="172"/>
      <c r="D518" s="56"/>
      <c r="E518" s="204"/>
      <c r="F518" s="205"/>
      <c r="G518" s="206"/>
      <c r="H518" s="207"/>
      <c r="J518" s="76"/>
    </row>
    <row r="519" spans="1:10">
      <c r="A519" s="172"/>
      <c r="D519" s="56"/>
      <c r="E519" s="204"/>
      <c r="F519" s="205"/>
      <c r="G519" s="206"/>
      <c r="H519" s="207"/>
      <c r="J519" s="76"/>
    </row>
    <row r="520" spans="1:10">
      <c r="A520" s="172"/>
      <c r="D520" s="56"/>
      <c r="E520" s="204"/>
      <c r="F520" s="205"/>
      <c r="G520" s="206"/>
      <c r="H520" s="207"/>
      <c r="J520" s="76"/>
    </row>
    <row r="521" spans="1:10">
      <c r="A521" s="172"/>
      <c r="D521" s="56"/>
      <c r="E521" s="204"/>
      <c r="F521" s="205"/>
      <c r="G521" s="206"/>
      <c r="H521" s="207"/>
      <c r="J521" s="76"/>
    </row>
    <row r="522" spans="1:10">
      <c r="A522" s="172"/>
      <c r="D522" s="56"/>
      <c r="E522" s="204"/>
      <c r="F522" s="205"/>
      <c r="G522" s="206"/>
      <c r="H522" s="207"/>
      <c r="J522" s="76"/>
    </row>
    <row r="523" spans="1:10">
      <c r="A523" s="172"/>
      <c r="D523" s="56"/>
      <c r="E523" s="204"/>
      <c r="F523" s="205"/>
      <c r="G523" s="206"/>
      <c r="H523" s="207"/>
      <c r="J523" s="76"/>
    </row>
    <row r="524" spans="1:10">
      <c r="A524" s="172"/>
      <c r="D524" s="56"/>
      <c r="E524" s="204"/>
      <c r="F524" s="205"/>
      <c r="G524" s="206"/>
      <c r="H524" s="207"/>
      <c r="J524" s="76"/>
    </row>
    <row r="525" spans="1:10">
      <c r="A525" s="172"/>
      <c r="D525" s="56"/>
      <c r="E525" s="204"/>
      <c r="F525" s="205"/>
      <c r="G525" s="206"/>
      <c r="H525" s="207"/>
      <c r="J525" s="76"/>
    </row>
    <row r="526" spans="1:10">
      <c r="A526" s="172"/>
      <c r="D526" s="56"/>
      <c r="E526" s="204"/>
      <c r="F526" s="205"/>
      <c r="G526" s="206"/>
      <c r="H526" s="207"/>
      <c r="J526" s="76"/>
    </row>
    <row r="527" spans="1:10">
      <c r="A527" s="172"/>
      <c r="D527" s="56"/>
      <c r="E527" s="204"/>
      <c r="F527" s="205"/>
      <c r="G527" s="206"/>
      <c r="H527" s="207"/>
      <c r="J527" s="76"/>
    </row>
    <row r="528" spans="1:10">
      <c r="A528" s="172"/>
      <c r="D528" s="56"/>
      <c r="E528" s="204"/>
      <c r="F528" s="205"/>
      <c r="G528" s="206"/>
      <c r="H528" s="207"/>
      <c r="J528" s="76"/>
    </row>
    <row r="529" spans="1:10">
      <c r="A529" s="172"/>
      <c r="D529" s="56"/>
      <c r="E529" s="204"/>
      <c r="F529" s="205"/>
      <c r="G529" s="206"/>
      <c r="H529" s="207"/>
      <c r="J529" s="76"/>
    </row>
    <row r="530" spans="1:10">
      <c r="A530" s="172"/>
      <c r="D530" s="56"/>
      <c r="E530" s="204"/>
      <c r="F530" s="205"/>
      <c r="G530" s="206"/>
      <c r="H530" s="207"/>
      <c r="J530" s="76"/>
    </row>
    <row r="531" spans="1:10">
      <c r="A531" s="172"/>
      <c r="D531" s="56"/>
      <c r="E531" s="204"/>
      <c r="F531" s="205"/>
      <c r="G531" s="206"/>
      <c r="H531" s="207"/>
      <c r="J531" s="76"/>
    </row>
    <row r="532" spans="1:10">
      <c r="A532" s="172"/>
      <c r="D532" s="56"/>
      <c r="E532" s="204"/>
      <c r="F532" s="205"/>
      <c r="G532" s="206"/>
      <c r="H532" s="207"/>
      <c r="J532" s="76"/>
    </row>
    <row r="533" spans="1:10">
      <c r="A533" s="172"/>
      <c r="D533" s="56"/>
      <c r="E533" s="204"/>
      <c r="F533" s="205"/>
      <c r="G533" s="206"/>
      <c r="H533" s="207"/>
      <c r="J533" s="76"/>
    </row>
    <row r="534" spans="1:10">
      <c r="A534" s="172"/>
      <c r="D534" s="56"/>
      <c r="E534" s="204"/>
      <c r="F534" s="205"/>
      <c r="G534" s="206"/>
      <c r="H534" s="207"/>
      <c r="J534" s="76"/>
    </row>
    <row r="535" spans="1:10">
      <c r="A535" s="172"/>
      <c r="D535" s="56"/>
      <c r="E535" s="204"/>
      <c r="F535" s="205"/>
      <c r="G535" s="206"/>
      <c r="H535" s="207"/>
      <c r="J535" s="76"/>
    </row>
    <row r="536" spans="1:10">
      <c r="A536" s="172"/>
      <c r="D536" s="56"/>
      <c r="E536" s="204"/>
      <c r="F536" s="205"/>
      <c r="G536" s="206"/>
      <c r="H536" s="207"/>
      <c r="J536" s="76"/>
    </row>
    <row r="537" spans="1:10">
      <c r="A537" s="172"/>
      <c r="D537" s="56"/>
      <c r="E537" s="204"/>
      <c r="F537" s="205"/>
      <c r="G537" s="206"/>
      <c r="H537" s="207"/>
      <c r="J537" s="76"/>
    </row>
    <row r="538" spans="1:10">
      <c r="A538" s="172"/>
      <c r="D538" s="56"/>
      <c r="E538" s="204"/>
      <c r="F538" s="205"/>
      <c r="G538" s="206"/>
      <c r="H538" s="207"/>
      <c r="J538" s="76"/>
    </row>
    <row r="539" spans="1:10">
      <c r="A539" s="172"/>
      <c r="D539" s="56"/>
      <c r="E539" s="204"/>
      <c r="F539" s="205"/>
      <c r="G539" s="206"/>
      <c r="H539" s="207"/>
      <c r="J539" s="76"/>
    </row>
    <row r="540" spans="1:10">
      <c r="A540" s="172"/>
      <c r="D540" s="56"/>
      <c r="E540" s="204"/>
      <c r="F540" s="205"/>
      <c r="G540" s="206"/>
      <c r="H540" s="207"/>
      <c r="J540" s="76"/>
    </row>
    <row r="541" spans="1:10">
      <c r="A541" s="172"/>
      <c r="D541" s="56"/>
      <c r="E541" s="204"/>
      <c r="F541" s="205"/>
      <c r="G541" s="206"/>
      <c r="H541" s="207"/>
      <c r="J541" s="76"/>
    </row>
    <row r="542" spans="1:10">
      <c r="A542" s="172"/>
      <c r="D542" s="56"/>
      <c r="E542" s="204"/>
      <c r="F542" s="205"/>
      <c r="G542" s="206"/>
      <c r="H542" s="207"/>
      <c r="J542" s="76"/>
    </row>
    <row r="543" spans="1:10">
      <c r="A543" s="172"/>
      <c r="D543" s="56"/>
      <c r="E543" s="204"/>
      <c r="F543" s="205"/>
      <c r="G543" s="206"/>
      <c r="H543" s="207"/>
      <c r="J543" s="76"/>
    </row>
    <row r="544" spans="1:10">
      <c r="A544" s="172"/>
      <c r="D544" s="56"/>
      <c r="E544" s="204"/>
      <c r="F544" s="205"/>
      <c r="G544" s="206"/>
      <c r="H544" s="207"/>
      <c r="J544" s="76"/>
    </row>
    <row r="545" spans="1:10">
      <c r="A545" s="172"/>
      <c r="D545" s="56"/>
      <c r="E545" s="204"/>
      <c r="F545" s="205"/>
      <c r="G545" s="206"/>
      <c r="H545" s="207"/>
      <c r="J545" s="76"/>
    </row>
    <row r="546" spans="1:10">
      <c r="A546" s="172"/>
      <c r="D546" s="56"/>
      <c r="E546" s="204"/>
      <c r="F546" s="205"/>
      <c r="G546" s="206"/>
      <c r="H546" s="207"/>
      <c r="J546" s="76"/>
    </row>
    <row r="547" spans="1:10">
      <c r="A547" s="172"/>
      <c r="D547" s="56"/>
      <c r="E547" s="204"/>
      <c r="F547" s="205"/>
      <c r="G547" s="206"/>
      <c r="H547" s="207"/>
      <c r="J547" s="76"/>
    </row>
    <row r="548" spans="1:10">
      <c r="A548" s="172"/>
      <c r="D548" s="56"/>
      <c r="E548" s="204"/>
      <c r="F548" s="205"/>
      <c r="G548" s="206"/>
      <c r="H548" s="207"/>
      <c r="J548" s="76"/>
    </row>
    <row r="549" spans="1:10">
      <c r="A549" s="172"/>
      <c r="D549" s="56"/>
      <c r="E549" s="204"/>
      <c r="F549" s="205"/>
      <c r="G549" s="206"/>
      <c r="H549" s="207"/>
      <c r="J549" s="76"/>
    </row>
    <row r="550" spans="1:10">
      <c r="A550" s="172"/>
      <c r="D550" s="56"/>
      <c r="E550" s="204"/>
      <c r="F550" s="205"/>
      <c r="G550" s="206"/>
      <c r="H550" s="207"/>
      <c r="J550" s="76"/>
    </row>
    <row r="551" spans="1:10">
      <c r="A551" s="172"/>
      <c r="D551" s="56"/>
      <c r="E551" s="204"/>
      <c r="F551" s="205"/>
      <c r="G551" s="206"/>
      <c r="H551" s="207"/>
      <c r="J551" s="76"/>
    </row>
    <row r="552" spans="1:10">
      <c r="A552" s="172"/>
      <c r="D552" s="56"/>
      <c r="E552" s="204"/>
      <c r="F552" s="205"/>
      <c r="G552" s="206"/>
      <c r="H552" s="207"/>
      <c r="J552" s="76"/>
    </row>
    <row r="553" spans="1:10">
      <c r="A553" s="172"/>
      <c r="D553" s="56"/>
      <c r="E553" s="204"/>
      <c r="F553" s="205"/>
      <c r="G553" s="206"/>
      <c r="H553" s="207"/>
      <c r="J553" s="76"/>
    </row>
    <row r="554" spans="1:10">
      <c r="A554" s="172"/>
      <c r="D554" s="56"/>
      <c r="E554" s="204"/>
      <c r="F554" s="205"/>
      <c r="G554" s="206"/>
      <c r="H554" s="207"/>
      <c r="J554" s="76"/>
    </row>
    <row r="555" spans="1:10">
      <c r="A555" s="172"/>
      <c r="D555" s="56"/>
      <c r="E555" s="204"/>
      <c r="F555" s="205"/>
      <c r="G555" s="206"/>
      <c r="H555" s="207"/>
      <c r="J555" s="76"/>
    </row>
    <row r="556" spans="1:10">
      <c r="A556" s="172"/>
      <c r="D556" s="56"/>
      <c r="E556" s="204"/>
      <c r="F556" s="205"/>
      <c r="G556" s="206"/>
      <c r="H556" s="207"/>
      <c r="J556" s="76"/>
    </row>
    <row r="557" spans="1:10">
      <c r="A557" s="172"/>
      <c r="D557" s="56"/>
      <c r="E557" s="204"/>
      <c r="F557" s="205"/>
      <c r="G557" s="206"/>
      <c r="H557" s="207"/>
      <c r="J557" s="76"/>
    </row>
    <row r="558" spans="1:10">
      <c r="A558" s="172"/>
      <c r="D558" s="56"/>
      <c r="E558" s="204"/>
      <c r="F558" s="205"/>
      <c r="G558" s="206"/>
      <c r="H558" s="207"/>
      <c r="J558" s="76"/>
    </row>
    <row r="559" spans="1:10">
      <c r="A559" s="172"/>
      <c r="D559" s="56"/>
      <c r="E559" s="204"/>
      <c r="F559" s="205"/>
      <c r="G559" s="206"/>
      <c r="H559" s="207"/>
      <c r="J559" s="76"/>
    </row>
    <row r="560" spans="1:10">
      <c r="A560" s="172"/>
      <c r="D560" s="56"/>
      <c r="E560" s="204"/>
      <c r="F560" s="205"/>
      <c r="G560" s="206"/>
      <c r="H560" s="207"/>
      <c r="J560" s="76"/>
    </row>
    <row r="561" spans="1:10">
      <c r="A561" s="172"/>
      <c r="D561" s="56"/>
      <c r="E561" s="204"/>
      <c r="F561" s="205"/>
      <c r="G561" s="206"/>
      <c r="H561" s="207"/>
      <c r="J561" s="76"/>
    </row>
    <row r="562" spans="1:10">
      <c r="A562" s="172"/>
      <c r="D562" s="56"/>
      <c r="E562" s="204"/>
      <c r="F562" s="205"/>
      <c r="G562" s="206"/>
      <c r="H562" s="207"/>
      <c r="J562" s="76"/>
    </row>
    <row r="563" spans="1:10">
      <c r="A563" s="172"/>
      <c r="D563" s="56"/>
      <c r="E563" s="204"/>
      <c r="F563" s="205"/>
      <c r="G563" s="206"/>
      <c r="H563" s="207"/>
      <c r="J563" s="76"/>
    </row>
    <row r="564" spans="1:10">
      <c r="A564" s="172"/>
      <c r="D564" s="56"/>
      <c r="E564" s="204"/>
      <c r="F564" s="205"/>
      <c r="G564" s="206"/>
      <c r="H564" s="207"/>
      <c r="J564" s="76"/>
    </row>
    <row r="565" spans="1:10">
      <c r="A565" s="172"/>
      <c r="D565" s="56"/>
      <c r="E565" s="204"/>
      <c r="F565" s="205"/>
      <c r="G565" s="206"/>
      <c r="H565" s="207"/>
      <c r="J565" s="76"/>
    </row>
    <row r="566" spans="1:10">
      <c r="A566" s="172"/>
      <c r="D566" s="56"/>
      <c r="E566" s="204"/>
      <c r="F566" s="205"/>
      <c r="G566" s="206"/>
      <c r="H566" s="207"/>
      <c r="J566" s="76"/>
    </row>
    <row r="567" spans="1:10">
      <c r="A567" s="172"/>
      <c r="D567" s="56"/>
      <c r="E567" s="204"/>
      <c r="F567" s="205"/>
      <c r="G567" s="206"/>
      <c r="H567" s="207"/>
      <c r="J567" s="76"/>
    </row>
    <row r="568" spans="1:10">
      <c r="A568" s="172"/>
      <c r="D568" s="56"/>
      <c r="E568" s="204"/>
      <c r="F568" s="205"/>
      <c r="G568" s="206"/>
      <c r="H568" s="207"/>
      <c r="J568" s="76"/>
    </row>
    <row r="569" spans="1:10">
      <c r="A569" s="172"/>
      <c r="D569" s="56"/>
      <c r="E569" s="204"/>
      <c r="F569" s="205"/>
      <c r="G569" s="206"/>
      <c r="H569" s="207"/>
      <c r="J569" s="76"/>
    </row>
    <row r="570" spans="1:10">
      <c r="A570" s="172"/>
      <c r="D570" s="56"/>
      <c r="E570" s="204"/>
      <c r="F570" s="205"/>
      <c r="G570" s="206"/>
      <c r="H570" s="207"/>
      <c r="J570" s="76"/>
    </row>
    <row r="571" spans="1:10">
      <c r="A571" s="172"/>
      <c r="D571" s="56"/>
      <c r="E571" s="204"/>
      <c r="F571" s="205"/>
      <c r="G571" s="206"/>
      <c r="H571" s="207"/>
      <c r="J571" s="76"/>
    </row>
    <row r="572" spans="1:10">
      <c r="A572" s="172"/>
      <c r="D572" s="56"/>
      <c r="E572" s="204"/>
      <c r="F572" s="205"/>
      <c r="G572" s="206"/>
      <c r="H572" s="207"/>
      <c r="J572" s="76"/>
    </row>
    <row r="573" spans="1:10">
      <c r="A573" s="172"/>
      <c r="D573" s="56"/>
      <c r="E573" s="204"/>
      <c r="F573" s="205"/>
      <c r="G573" s="206"/>
      <c r="H573" s="207"/>
      <c r="J573" s="76"/>
    </row>
    <row r="574" spans="1:10">
      <c r="A574" s="172"/>
      <c r="D574" s="56"/>
      <c r="E574" s="204"/>
      <c r="F574" s="205"/>
      <c r="G574" s="206"/>
      <c r="H574" s="207"/>
      <c r="J574" s="76"/>
    </row>
    <row r="575" spans="1:10">
      <c r="A575" s="172"/>
      <c r="D575" s="56"/>
      <c r="E575" s="204"/>
      <c r="F575" s="205"/>
      <c r="G575" s="206"/>
      <c r="H575" s="207"/>
      <c r="J575" s="76"/>
    </row>
    <row r="576" spans="1:10">
      <c r="A576" s="172"/>
      <c r="D576" s="56"/>
      <c r="E576" s="204"/>
      <c r="F576" s="205"/>
      <c r="G576" s="206"/>
      <c r="H576" s="207"/>
      <c r="J576" s="76"/>
    </row>
    <row r="577" spans="1:10">
      <c r="A577" s="172"/>
      <c r="D577" s="56"/>
      <c r="E577" s="204"/>
      <c r="F577" s="205"/>
      <c r="G577" s="206"/>
      <c r="H577" s="207"/>
      <c r="J577" s="76"/>
    </row>
    <row r="578" spans="1:10">
      <c r="A578" s="172"/>
      <c r="D578" s="56"/>
      <c r="E578" s="204"/>
      <c r="F578" s="205"/>
      <c r="G578" s="206"/>
      <c r="H578" s="207"/>
      <c r="J578" s="76"/>
    </row>
    <row r="579" spans="1:10">
      <c r="A579" s="172"/>
      <c r="D579" s="56"/>
      <c r="E579" s="204"/>
      <c r="F579" s="205"/>
      <c r="G579" s="206"/>
      <c r="H579" s="207"/>
      <c r="J579" s="76"/>
    </row>
    <row r="580" spans="1:10">
      <c r="A580" s="172"/>
      <c r="D580" s="56"/>
      <c r="E580" s="204"/>
      <c r="F580" s="205"/>
      <c r="G580" s="206"/>
      <c r="H580" s="207"/>
      <c r="J580" s="76"/>
    </row>
    <row r="581" spans="1:10">
      <c r="A581" s="172"/>
      <c r="D581" s="56"/>
      <c r="E581" s="204"/>
      <c r="F581" s="205"/>
      <c r="G581" s="206"/>
      <c r="H581" s="207"/>
      <c r="J581" s="76"/>
    </row>
    <row r="582" spans="1:10">
      <c r="A582" s="172"/>
      <c r="D582" s="56"/>
      <c r="E582" s="204"/>
      <c r="F582" s="205"/>
      <c r="G582" s="206"/>
      <c r="H582" s="207"/>
      <c r="J582" s="76"/>
    </row>
    <row r="583" spans="1:10">
      <c r="A583" s="172"/>
      <c r="D583" s="56"/>
      <c r="E583" s="204"/>
      <c r="F583" s="205"/>
      <c r="G583" s="206"/>
      <c r="H583" s="207"/>
      <c r="J583" s="76"/>
    </row>
    <row r="584" spans="1:10">
      <c r="A584" s="172"/>
      <c r="D584" s="56"/>
      <c r="E584" s="204"/>
      <c r="F584" s="205"/>
      <c r="G584" s="206"/>
      <c r="H584" s="207"/>
      <c r="J584" s="76"/>
    </row>
    <row r="585" spans="1:10">
      <c r="A585" s="172"/>
      <c r="D585" s="56"/>
      <c r="E585" s="204"/>
      <c r="F585" s="205"/>
      <c r="G585" s="206"/>
      <c r="H585" s="207"/>
      <c r="J585" s="76"/>
    </row>
    <row r="586" spans="1:10">
      <c r="A586" s="172"/>
      <c r="D586" s="56"/>
      <c r="E586" s="204"/>
      <c r="F586" s="205"/>
      <c r="G586" s="206"/>
      <c r="H586" s="207"/>
      <c r="J586" s="76"/>
    </row>
    <row r="587" spans="1:10">
      <c r="A587" s="172"/>
      <c r="D587" s="56"/>
      <c r="E587" s="204"/>
      <c r="F587" s="205"/>
      <c r="G587" s="206"/>
      <c r="H587" s="207"/>
      <c r="J587" s="76"/>
    </row>
    <row r="588" spans="1:10">
      <c r="A588" s="172"/>
      <c r="D588" s="56"/>
      <c r="E588" s="204"/>
      <c r="F588" s="205"/>
      <c r="G588" s="206"/>
      <c r="H588" s="207"/>
      <c r="J588" s="76"/>
    </row>
    <row r="589" spans="1:10">
      <c r="A589" s="172"/>
      <c r="D589" s="56"/>
      <c r="E589" s="204"/>
      <c r="F589" s="205"/>
      <c r="G589" s="206"/>
      <c r="H589" s="207"/>
      <c r="J589" s="76"/>
    </row>
    <row r="590" spans="1:10">
      <c r="A590" s="172"/>
      <c r="D590" s="56"/>
      <c r="E590" s="204"/>
      <c r="F590" s="205"/>
      <c r="G590" s="206"/>
      <c r="H590" s="207"/>
      <c r="J590" s="76"/>
    </row>
    <row r="591" spans="1:10">
      <c r="A591" s="172"/>
      <c r="D591" s="56"/>
      <c r="E591" s="204"/>
      <c r="F591" s="205"/>
      <c r="G591" s="206"/>
      <c r="H591" s="207"/>
      <c r="J591" s="76"/>
    </row>
    <row r="592" spans="1:10">
      <c r="A592" s="172"/>
      <c r="D592" s="56"/>
      <c r="E592" s="204"/>
      <c r="F592" s="205"/>
      <c r="G592" s="206"/>
      <c r="H592" s="207"/>
      <c r="J592" s="76"/>
    </row>
    <row r="593" spans="1:10">
      <c r="A593" s="172"/>
      <c r="D593" s="56"/>
      <c r="E593" s="204"/>
      <c r="F593" s="205"/>
      <c r="G593" s="206"/>
      <c r="H593" s="207"/>
      <c r="J593" s="76"/>
    </row>
    <row r="594" spans="1:10">
      <c r="A594" s="172"/>
      <c r="D594" s="56"/>
      <c r="E594" s="204"/>
      <c r="F594" s="205"/>
      <c r="G594" s="206"/>
      <c r="H594" s="207"/>
      <c r="J594" s="76"/>
    </row>
    <row r="595" spans="1:10">
      <c r="A595" s="172"/>
      <c r="D595" s="56"/>
      <c r="E595" s="204"/>
      <c r="F595" s="205"/>
      <c r="G595" s="206"/>
      <c r="H595" s="207"/>
      <c r="J595" s="76"/>
    </row>
    <row r="596" spans="1:10">
      <c r="A596" s="172"/>
      <c r="D596" s="56"/>
      <c r="E596" s="204"/>
      <c r="F596" s="205"/>
      <c r="G596" s="206"/>
      <c r="H596" s="207"/>
      <c r="J596" s="76"/>
    </row>
    <row r="597" spans="1:10">
      <c r="A597" s="172"/>
      <c r="D597" s="56"/>
      <c r="E597" s="204"/>
      <c r="F597" s="205"/>
      <c r="G597" s="206"/>
      <c r="H597" s="207"/>
      <c r="J597" s="76"/>
    </row>
    <row r="598" spans="1:10">
      <c r="A598" s="172"/>
      <c r="D598" s="56"/>
      <c r="E598" s="204"/>
      <c r="F598" s="205"/>
      <c r="G598" s="206"/>
      <c r="H598" s="207"/>
      <c r="J598" s="76"/>
    </row>
    <row r="599" spans="1:10">
      <c r="A599" s="172"/>
      <c r="D599" s="56"/>
      <c r="E599" s="204"/>
      <c r="F599" s="205"/>
      <c r="G599" s="206"/>
      <c r="H599" s="207"/>
      <c r="J599" s="76"/>
    </row>
    <row r="600" spans="1:10">
      <c r="A600" s="172"/>
      <c r="D600" s="56"/>
      <c r="E600" s="204"/>
      <c r="F600" s="205"/>
      <c r="G600" s="206"/>
      <c r="H600" s="207"/>
      <c r="J600" s="76"/>
    </row>
    <row r="601" spans="1:10">
      <c r="A601" s="172"/>
      <c r="D601" s="56"/>
      <c r="E601" s="204"/>
      <c r="F601" s="205"/>
      <c r="G601" s="206"/>
      <c r="H601" s="207"/>
      <c r="J601" s="76"/>
    </row>
    <row r="602" spans="1:10">
      <c r="A602" s="172"/>
      <c r="D602" s="56"/>
      <c r="E602" s="204"/>
      <c r="F602" s="205"/>
      <c r="G602" s="206"/>
      <c r="H602" s="207"/>
      <c r="J602" s="76"/>
    </row>
    <row r="603" spans="1:10">
      <c r="A603" s="172"/>
      <c r="D603" s="56"/>
      <c r="E603" s="204"/>
      <c r="F603" s="205"/>
      <c r="G603" s="206"/>
      <c r="H603" s="207"/>
      <c r="J603" s="76"/>
    </row>
    <row r="604" spans="1:10">
      <c r="A604" s="172"/>
      <c r="D604" s="56"/>
      <c r="E604" s="204"/>
      <c r="F604" s="205"/>
      <c r="G604" s="206"/>
      <c r="H604" s="207"/>
      <c r="J604" s="76"/>
    </row>
    <row r="605" spans="1:10">
      <c r="A605" s="172"/>
      <c r="D605" s="56"/>
      <c r="E605" s="204"/>
      <c r="F605" s="205"/>
      <c r="G605" s="206"/>
      <c r="H605" s="207"/>
      <c r="J605" s="76"/>
    </row>
    <row r="606" spans="1:10">
      <c r="A606" s="172"/>
      <c r="D606" s="56"/>
      <c r="E606" s="204"/>
      <c r="F606" s="205"/>
      <c r="G606" s="206"/>
      <c r="H606" s="207"/>
      <c r="J606" s="76"/>
    </row>
    <row r="607" spans="1:10">
      <c r="A607" s="172"/>
      <c r="D607" s="56"/>
      <c r="E607" s="204"/>
      <c r="F607" s="205"/>
      <c r="G607" s="206"/>
      <c r="H607" s="207"/>
      <c r="J607" s="76"/>
    </row>
    <row r="608" spans="1:10">
      <c r="A608" s="172"/>
      <c r="D608" s="56"/>
      <c r="E608" s="204"/>
      <c r="F608" s="205"/>
      <c r="G608" s="206"/>
      <c r="H608" s="207"/>
      <c r="J608" s="76"/>
    </row>
    <row r="609" spans="1:10">
      <c r="A609" s="172"/>
      <c r="D609" s="56"/>
      <c r="E609" s="204"/>
      <c r="F609" s="205"/>
      <c r="G609" s="206"/>
      <c r="H609" s="207"/>
      <c r="J609" s="76"/>
    </row>
    <row r="610" spans="1:10">
      <c r="A610" s="172"/>
      <c r="D610" s="56"/>
      <c r="E610" s="204"/>
      <c r="F610" s="205"/>
      <c r="G610" s="206"/>
      <c r="H610" s="207"/>
      <c r="J610" s="76"/>
    </row>
    <row r="611" spans="1:10">
      <c r="A611" s="172"/>
      <c r="D611" s="56"/>
      <c r="E611" s="204"/>
      <c r="F611" s="205"/>
      <c r="G611" s="206"/>
      <c r="H611" s="207"/>
      <c r="J611" s="76"/>
    </row>
    <row r="612" spans="1:10">
      <c r="A612" s="172"/>
      <c r="D612" s="56"/>
      <c r="E612" s="204"/>
      <c r="F612" s="205"/>
      <c r="G612" s="206"/>
      <c r="H612" s="207"/>
      <c r="J612" s="76"/>
    </row>
    <row r="613" spans="1:10">
      <c r="A613" s="172"/>
      <c r="D613" s="56"/>
      <c r="E613" s="204"/>
      <c r="F613" s="205"/>
      <c r="G613" s="206"/>
      <c r="H613" s="207"/>
      <c r="J613" s="76"/>
    </row>
    <row r="614" spans="1:10">
      <c r="A614" s="172"/>
      <c r="D614" s="56"/>
      <c r="E614" s="204"/>
      <c r="F614" s="205"/>
      <c r="G614" s="206"/>
      <c r="H614" s="207"/>
      <c r="J614" s="76"/>
    </row>
    <row r="615" spans="1:10">
      <c r="A615" s="172"/>
      <c r="D615" s="56"/>
      <c r="E615" s="204"/>
      <c r="F615" s="205"/>
      <c r="G615" s="206"/>
      <c r="H615" s="207"/>
      <c r="J615" s="76"/>
    </row>
    <row r="616" spans="1:10">
      <c r="A616" s="172"/>
      <c r="D616" s="56"/>
      <c r="E616" s="204"/>
      <c r="F616" s="205"/>
      <c r="G616" s="206"/>
      <c r="H616" s="207"/>
      <c r="J616" s="76"/>
    </row>
    <row r="617" spans="1:10">
      <c r="A617" s="172"/>
      <c r="D617" s="56"/>
      <c r="E617" s="204"/>
      <c r="F617" s="205"/>
      <c r="G617" s="206"/>
      <c r="H617" s="207"/>
      <c r="J617" s="76"/>
    </row>
    <row r="618" spans="1:10">
      <c r="A618" s="172"/>
      <c r="D618" s="56"/>
      <c r="E618" s="204"/>
      <c r="F618" s="205"/>
      <c r="G618" s="206"/>
      <c r="H618" s="207"/>
      <c r="J618" s="76"/>
    </row>
    <row r="619" spans="1:10">
      <c r="A619" s="172"/>
      <c r="D619" s="56"/>
      <c r="E619" s="204"/>
      <c r="F619" s="205"/>
      <c r="G619" s="206"/>
      <c r="H619" s="207"/>
      <c r="J619" s="76"/>
    </row>
    <row r="620" spans="1:10">
      <c r="A620" s="172"/>
      <c r="D620" s="56"/>
      <c r="E620" s="204"/>
      <c r="F620" s="205"/>
      <c r="G620" s="206"/>
      <c r="H620" s="207"/>
      <c r="J620" s="76"/>
    </row>
    <row r="621" spans="1:10">
      <c r="A621" s="172"/>
      <c r="D621" s="56"/>
      <c r="E621" s="204"/>
      <c r="F621" s="205"/>
      <c r="G621" s="206"/>
      <c r="H621" s="207"/>
      <c r="J621" s="76"/>
    </row>
    <row r="622" spans="1:10">
      <c r="A622" s="172"/>
      <c r="D622" s="56"/>
      <c r="E622" s="204"/>
      <c r="F622" s="205"/>
      <c r="G622" s="206"/>
      <c r="H622" s="207"/>
      <c r="J622" s="76"/>
    </row>
    <row r="623" spans="1:10">
      <c r="A623" s="172"/>
      <c r="D623" s="56"/>
      <c r="E623" s="204"/>
      <c r="F623" s="205"/>
      <c r="G623" s="206"/>
      <c r="H623" s="207"/>
      <c r="J623" s="76"/>
    </row>
    <row r="624" spans="1:10">
      <c r="A624" s="172"/>
      <c r="D624" s="56"/>
      <c r="E624" s="204"/>
      <c r="F624" s="205"/>
      <c r="G624" s="206"/>
      <c r="H624" s="207"/>
      <c r="J624" s="76"/>
    </row>
    <row r="625" spans="1:10">
      <c r="A625" s="172"/>
      <c r="D625" s="56"/>
      <c r="E625" s="204"/>
      <c r="F625" s="205"/>
      <c r="G625" s="206"/>
      <c r="H625" s="207"/>
      <c r="J625" s="76"/>
    </row>
    <row r="626" spans="1:10">
      <c r="A626" s="172"/>
      <c r="D626" s="56"/>
      <c r="E626" s="204"/>
      <c r="F626" s="205"/>
      <c r="G626" s="206"/>
      <c r="H626" s="207"/>
      <c r="J626" s="76"/>
    </row>
    <row r="627" spans="1:10">
      <c r="A627" s="172"/>
      <c r="D627" s="56"/>
      <c r="E627" s="204"/>
      <c r="F627" s="205"/>
      <c r="G627" s="206"/>
      <c r="H627" s="207"/>
      <c r="J627" s="76"/>
    </row>
    <row r="628" spans="1:10">
      <c r="A628" s="172"/>
      <c r="D628" s="56"/>
      <c r="E628" s="204"/>
      <c r="F628" s="205"/>
      <c r="G628" s="206"/>
      <c r="H628" s="207"/>
      <c r="J628" s="76"/>
    </row>
    <row r="629" spans="1:10">
      <c r="A629" s="172"/>
      <c r="D629" s="56"/>
      <c r="E629" s="204"/>
      <c r="F629" s="205"/>
      <c r="G629" s="206"/>
      <c r="H629" s="207"/>
      <c r="J629" s="76"/>
    </row>
    <row r="630" spans="1:10">
      <c r="A630" s="172"/>
      <c r="D630" s="56"/>
      <c r="E630" s="204"/>
      <c r="F630" s="205"/>
      <c r="G630" s="206"/>
      <c r="H630" s="207"/>
      <c r="J630" s="76"/>
    </row>
    <row r="631" spans="1:10">
      <c r="A631" s="172"/>
      <c r="D631" s="56"/>
      <c r="E631" s="204"/>
      <c r="F631" s="205"/>
      <c r="G631" s="206"/>
      <c r="H631" s="207"/>
      <c r="J631" s="76"/>
    </row>
    <row r="632" spans="1:10">
      <c r="A632" s="172"/>
      <c r="D632" s="56"/>
      <c r="E632" s="204"/>
      <c r="F632" s="205"/>
      <c r="G632" s="206"/>
      <c r="H632" s="207"/>
      <c r="J632" s="76"/>
    </row>
    <row r="633" spans="1:10">
      <c r="A633" s="172"/>
      <c r="D633" s="56"/>
      <c r="E633" s="204"/>
      <c r="F633" s="205"/>
      <c r="G633" s="206"/>
      <c r="H633" s="207"/>
      <c r="J633" s="76"/>
    </row>
    <row r="634" spans="1:10">
      <c r="A634" s="172"/>
      <c r="D634" s="56"/>
      <c r="E634" s="204"/>
      <c r="F634" s="205"/>
      <c r="G634" s="206"/>
      <c r="H634" s="207"/>
      <c r="J634" s="76"/>
    </row>
    <row r="635" spans="1:10">
      <c r="A635" s="172"/>
      <c r="D635" s="56"/>
      <c r="E635" s="204"/>
      <c r="F635" s="205"/>
      <c r="G635" s="206"/>
      <c r="H635" s="207"/>
      <c r="J635" s="76"/>
    </row>
    <row r="636" spans="1:10">
      <c r="A636" s="172"/>
      <c r="D636" s="56"/>
      <c r="E636" s="204"/>
      <c r="F636" s="205"/>
      <c r="G636" s="206"/>
      <c r="H636" s="207"/>
      <c r="J636" s="76"/>
    </row>
    <row r="637" spans="1:10">
      <c r="A637" s="172"/>
      <c r="D637" s="56"/>
      <c r="E637" s="204"/>
      <c r="F637" s="205"/>
      <c r="G637" s="206"/>
      <c r="H637" s="207"/>
      <c r="J637" s="76"/>
    </row>
    <row r="638" spans="1:10">
      <c r="A638" s="172"/>
      <c r="D638" s="56"/>
      <c r="E638" s="204"/>
      <c r="F638" s="205"/>
      <c r="G638" s="206"/>
      <c r="H638" s="207"/>
      <c r="J638" s="76"/>
    </row>
    <row r="639" spans="1:10">
      <c r="A639" s="172"/>
      <c r="D639" s="56"/>
      <c r="E639" s="204"/>
      <c r="F639" s="205"/>
      <c r="G639" s="206"/>
      <c r="H639" s="207"/>
      <c r="J639" s="76"/>
    </row>
    <row r="640" spans="1:10">
      <c r="A640" s="172"/>
      <c r="D640" s="56"/>
      <c r="E640" s="204"/>
      <c r="F640" s="205"/>
      <c r="G640" s="206"/>
      <c r="H640" s="207"/>
      <c r="J640" s="76"/>
    </row>
    <row r="641" spans="1:10">
      <c r="A641" s="172"/>
      <c r="D641" s="56"/>
      <c r="E641" s="204"/>
      <c r="F641" s="205"/>
      <c r="G641" s="206"/>
      <c r="H641" s="207"/>
      <c r="J641" s="76"/>
    </row>
    <row r="642" spans="1:10">
      <c r="A642" s="172"/>
      <c r="D642" s="56"/>
      <c r="E642" s="204"/>
      <c r="F642" s="205"/>
      <c r="G642" s="206"/>
      <c r="H642" s="207"/>
      <c r="J642" s="76"/>
    </row>
    <row r="643" spans="1:10">
      <c r="A643" s="172"/>
      <c r="D643" s="56"/>
      <c r="E643" s="204"/>
      <c r="F643" s="205"/>
      <c r="G643" s="206"/>
      <c r="H643" s="207"/>
      <c r="J643" s="76"/>
    </row>
    <row r="644" spans="1:10">
      <c r="A644" s="172"/>
      <c r="D644" s="56"/>
      <c r="E644" s="204"/>
      <c r="F644" s="205"/>
      <c r="G644" s="206"/>
      <c r="H644" s="207"/>
      <c r="J644" s="76"/>
    </row>
    <row r="645" spans="1:10">
      <c r="A645" s="172"/>
      <c r="D645" s="56"/>
      <c r="E645" s="204"/>
      <c r="F645" s="205"/>
      <c r="G645" s="206"/>
      <c r="H645" s="207"/>
      <c r="J645" s="76"/>
    </row>
    <row r="646" spans="1:10">
      <c r="A646" s="172"/>
      <c r="D646" s="56"/>
      <c r="E646" s="204"/>
      <c r="F646" s="205"/>
      <c r="G646" s="206"/>
      <c r="H646" s="207"/>
      <c r="J646" s="76"/>
    </row>
    <row r="647" spans="1:10">
      <c r="A647" s="172"/>
      <c r="D647" s="56"/>
      <c r="E647" s="204"/>
      <c r="F647" s="205"/>
      <c r="G647" s="206"/>
      <c r="H647" s="207"/>
      <c r="J647" s="76"/>
    </row>
    <row r="648" spans="1:10">
      <c r="A648" s="172"/>
      <c r="D648" s="56"/>
      <c r="E648" s="204"/>
      <c r="F648" s="205"/>
      <c r="G648" s="206"/>
      <c r="H648" s="207"/>
      <c r="J648" s="76"/>
    </row>
    <row r="649" spans="1:10">
      <c r="A649" s="172"/>
      <c r="D649" s="56"/>
      <c r="E649" s="204"/>
      <c r="F649" s="205"/>
      <c r="G649" s="206"/>
      <c r="H649" s="207"/>
      <c r="J649" s="76"/>
    </row>
    <row r="650" spans="1:10">
      <c r="A650" s="172"/>
      <c r="D650" s="56"/>
      <c r="E650" s="204"/>
      <c r="F650" s="205"/>
      <c r="G650" s="206"/>
      <c r="H650" s="207"/>
      <c r="J650" s="76"/>
    </row>
    <row r="651" spans="1:10">
      <c r="A651" s="172"/>
      <c r="D651" s="56"/>
      <c r="E651" s="204"/>
      <c r="F651" s="205"/>
      <c r="G651" s="206"/>
      <c r="H651" s="207"/>
      <c r="J651" s="76"/>
    </row>
    <row r="652" spans="1:10">
      <c r="A652" s="172"/>
      <c r="D652" s="56"/>
      <c r="E652" s="204"/>
      <c r="F652" s="205"/>
      <c r="G652" s="206"/>
      <c r="H652" s="207"/>
      <c r="J652" s="76"/>
    </row>
    <row r="653" spans="1:10">
      <c r="A653" s="172"/>
      <c r="D653" s="56"/>
      <c r="E653" s="204"/>
      <c r="F653" s="205"/>
      <c r="G653" s="206"/>
      <c r="H653" s="207"/>
      <c r="J653" s="76"/>
    </row>
    <row r="654" spans="1:10">
      <c r="A654" s="172"/>
      <c r="D654" s="56"/>
      <c r="E654" s="204"/>
      <c r="F654" s="205"/>
      <c r="G654" s="206"/>
      <c r="H654" s="207"/>
      <c r="J654" s="76"/>
    </row>
    <row r="655" spans="1:10">
      <c r="A655" s="172"/>
      <c r="D655" s="56"/>
      <c r="E655" s="204"/>
      <c r="F655" s="205"/>
      <c r="G655" s="206"/>
      <c r="H655" s="207"/>
      <c r="J655" s="76"/>
    </row>
    <row r="656" spans="1:10">
      <c r="A656" s="172"/>
      <c r="D656" s="56"/>
      <c r="E656" s="204"/>
      <c r="F656" s="205"/>
      <c r="G656" s="206"/>
      <c r="H656" s="207"/>
      <c r="J656" s="76"/>
    </row>
    <row r="657" spans="1:10">
      <c r="A657" s="172"/>
      <c r="D657" s="56"/>
      <c r="E657" s="204"/>
      <c r="F657" s="205"/>
      <c r="G657" s="206"/>
      <c r="H657" s="207"/>
      <c r="J657" s="76"/>
    </row>
    <row r="658" spans="1:10">
      <c r="A658" s="172"/>
      <c r="D658" s="56"/>
      <c r="E658" s="204"/>
      <c r="F658" s="205"/>
      <c r="G658" s="206"/>
      <c r="H658" s="207"/>
      <c r="J658" s="76"/>
    </row>
    <row r="659" spans="1:10">
      <c r="A659" s="172"/>
      <c r="D659" s="56"/>
      <c r="E659" s="204"/>
      <c r="F659" s="205"/>
      <c r="G659" s="206"/>
      <c r="H659" s="207"/>
      <c r="J659" s="76"/>
    </row>
    <row r="660" spans="1:10">
      <c r="A660" s="172"/>
      <c r="D660" s="56"/>
      <c r="E660" s="204"/>
      <c r="F660" s="205"/>
      <c r="G660" s="206"/>
      <c r="H660" s="207"/>
      <c r="J660" s="76"/>
    </row>
    <row r="661" spans="1:10">
      <c r="A661" s="172"/>
      <c r="D661" s="56"/>
      <c r="E661" s="204"/>
      <c r="F661" s="205"/>
      <c r="G661" s="206"/>
      <c r="H661" s="207"/>
      <c r="J661" s="76"/>
    </row>
    <row r="662" spans="1:10">
      <c r="A662" s="172"/>
      <c r="D662" s="56"/>
      <c r="E662" s="204"/>
      <c r="F662" s="205"/>
      <c r="G662" s="206"/>
      <c r="H662" s="207"/>
      <c r="J662" s="76"/>
    </row>
    <row r="663" spans="1:10">
      <c r="A663" s="172"/>
      <c r="D663" s="56"/>
      <c r="E663" s="204"/>
      <c r="F663" s="205"/>
      <c r="G663" s="206"/>
      <c r="H663" s="207"/>
      <c r="J663" s="76"/>
    </row>
    <row r="664" spans="1:10">
      <c r="A664" s="172"/>
      <c r="D664" s="56"/>
      <c r="E664" s="204"/>
      <c r="F664" s="205"/>
      <c r="G664" s="206"/>
      <c r="H664" s="207"/>
      <c r="J664" s="76"/>
    </row>
    <row r="665" spans="1:10">
      <c r="A665" s="172"/>
      <c r="D665" s="56"/>
      <c r="E665" s="204"/>
      <c r="F665" s="205"/>
      <c r="G665" s="206"/>
      <c r="H665" s="207"/>
      <c r="J665" s="76"/>
    </row>
    <row r="666" spans="1:10">
      <c r="A666" s="172"/>
      <c r="D666" s="56"/>
      <c r="E666" s="204"/>
      <c r="F666" s="205"/>
      <c r="G666" s="206"/>
      <c r="H666" s="207"/>
      <c r="J666" s="76"/>
    </row>
    <row r="667" spans="1:10">
      <c r="A667" s="172"/>
      <c r="D667" s="56"/>
      <c r="E667" s="204"/>
      <c r="F667" s="205"/>
      <c r="G667" s="206"/>
      <c r="H667" s="207"/>
      <c r="J667" s="76"/>
    </row>
    <row r="668" spans="1:10">
      <c r="A668" s="172"/>
      <c r="D668" s="56"/>
      <c r="E668" s="204"/>
      <c r="F668" s="205"/>
      <c r="G668" s="206"/>
      <c r="H668" s="207"/>
      <c r="J668" s="76"/>
    </row>
    <row r="669" spans="1:10">
      <c r="A669" s="172"/>
      <c r="D669" s="56"/>
      <c r="E669" s="204"/>
      <c r="F669" s="205"/>
      <c r="G669" s="206"/>
      <c r="H669" s="207"/>
      <c r="J669" s="76"/>
    </row>
    <row r="670" spans="1:10">
      <c r="A670" s="172"/>
      <c r="D670" s="56"/>
      <c r="E670" s="204"/>
      <c r="F670" s="205"/>
      <c r="G670" s="206"/>
      <c r="H670" s="207"/>
      <c r="J670" s="76"/>
    </row>
    <row r="671" spans="1:10">
      <c r="A671" s="172"/>
      <c r="D671" s="56"/>
      <c r="E671" s="204"/>
      <c r="F671" s="205"/>
      <c r="G671" s="206"/>
      <c r="H671" s="207"/>
      <c r="J671" s="76"/>
    </row>
    <row r="672" spans="1:10">
      <c r="A672" s="172"/>
      <c r="D672" s="56"/>
      <c r="E672" s="204"/>
      <c r="F672" s="205"/>
      <c r="G672" s="206"/>
      <c r="H672" s="207"/>
      <c r="J672" s="76"/>
    </row>
    <row r="673" spans="1:10">
      <c r="A673" s="172"/>
      <c r="D673" s="56"/>
      <c r="E673" s="204"/>
      <c r="F673" s="205"/>
      <c r="G673" s="206"/>
      <c r="H673" s="207"/>
      <c r="J673" s="76"/>
    </row>
    <row r="674" spans="1:10">
      <c r="A674" s="172"/>
      <c r="D674" s="56"/>
      <c r="E674" s="204"/>
      <c r="F674" s="205"/>
      <c r="G674" s="206"/>
      <c r="H674" s="207"/>
      <c r="J674" s="76"/>
    </row>
    <row r="675" spans="1:10">
      <c r="A675" s="172"/>
      <c r="D675" s="56"/>
      <c r="E675" s="204"/>
      <c r="F675" s="205"/>
      <c r="G675" s="206"/>
      <c r="H675" s="207"/>
      <c r="J675" s="76"/>
    </row>
    <row r="676" spans="1:10">
      <c r="A676" s="172"/>
      <c r="D676" s="56"/>
      <c r="E676" s="204"/>
      <c r="F676" s="205"/>
      <c r="G676" s="206"/>
      <c r="H676" s="207"/>
      <c r="J676" s="76"/>
    </row>
    <row r="677" spans="1:10">
      <c r="A677" s="172"/>
      <c r="D677" s="56"/>
      <c r="E677" s="204"/>
      <c r="F677" s="205"/>
      <c r="G677" s="206"/>
      <c r="H677" s="207"/>
      <c r="J677" s="76"/>
    </row>
    <row r="678" spans="1:10">
      <c r="A678" s="172"/>
      <c r="D678" s="56"/>
      <c r="E678" s="204"/>
      <c r="F678" s="205"/>
      <c r="G678" s="206"/>
      <c r="H678" s="207"/>
      <c r="J678" s="76"/>
    </row>
    <row r="679" spans="1:10">
      <c r="A679" s="172"/>
      <c r="D679" s="56"/>
      <c r="E679" s="204"/>
      <c r="F679" s="205"/>
      <c r="G679" s="206"/>
      <c r="H679" s="207"/>
      <c r="J679" s="76"/>
    </row>
    <row r="680" spans="1:10">
      <c r="A680" s="172"/>
      <c r="D680" s="56"/>
      <c r="E680" s="204"/>
      <c r="F680" s="205"/>
      <c r="G680" s="206"/>
      <c r="H680" s="207"/>
      <c r="J680" s="76"/>
    </row>
    <row r="681" spans="1:10">
      <c r="A681" s="172"/>
      <c r="D681" s="56"/>
      <c r="E681" s="204"/>
      <c r="F681" s="205"/>
      <c r="G681" s="206"/>
      <c r="H681" s="207"/>
      <c r="J681" s="76"/>
    </row>
    <row r="682" spans="1:10">
      <c r="A682" s="172"/>
      <c r="D682" s="56"/>
      <c r="E682" s="204"/>
      <c r="F682" s="205"/>
      <c r="G682" s="206"/>
      <c r="H682" s="207"/>
      <c r="J682" s="76"/>
    </row>
    <row r="683" spans="1:10">
      <c r="A683" s="172"/>
      <c r="D683" s="56"/>
      <c r="E683" s="204"/>
      <c r="F683" s="205"/>
      <c r="G683" s="206"/>
      <c r="H683" s="207"/>
      <c r="J683" s="76"/>
    </row>
    <row r="684" spans="1:10">
      <c r="A684" s="172"/>
      <c r="D684" s="56"/>
      <c r="E684" s="204"/>
      <c r="F684" s="205"/>
      <c r="G684" s="206"/>
      <c r="H684" s="207"/>
      <c r="J684" s="76"/>
    </row>
    <row r="685" spans="1:10">
      <c r="A685" s="172"/>
      <c r="D685" s="56"/>
      <c r="E685" s="204"/>
      <c r="F685" s="205"/>
      <c r="G685" s="206"/>
      <c r="H685" s="207"/>
      <c r="J685" s="76"/>
    </row>
    <row r="686" spans="1:10">
      <c r="A686" s="172"/>
      <c r="D686" s="56"/>
      <c r="E686" s="204"/>
      <c r="F686" s="205"/>
      <c r="G686" s="206"/>
      <c r="H686" s="207"/>
      <c r="J686" s="76"/>
    </row>
    <row r="687" spans="1:10">
      <c r="A687" s="172"/>
      <c r="D687" s="56"/>
      <c r="E687" s="204"/>
      <c r="F687" s="205"/>
      <c r="G687" s="206"/>
      <c r="H687" s="207"/>
      <c r="J687" s="76"/>
    </row>
    <row r="688" spans="1:10">
      <c r="A688" s="172"/>
      <c r="D688" s="56"/>
      <c r="E688" s="204"/>
      <c r="F688" s="205"/>
      <c r="G688" s="206"/>
      <c r="H688" s="207"/>
      <c r="J688" s="76"/>
    </row>
    <row r="689" spans="1:10">
      <c r="A689" s="172"/>
      <c r="D689" s="56"/>
      <c r="E689" s="204"/>
      <c r="F689" s="205"/>
      <c r="G689" s="206"/>
      <c r="H689" s="207"/>
      <c r="J689" s="76"/>
    </row>
    <row r="690" spans="1:10">
      <c r="A690" s="172"/>
      <c r="D690" s="56"/>
      <c r="E690" s="204"/>
      <c r="F690" s="205"/>
      <c r="G690" s="206"/>
      <c r="H690" s="207"/>
      <c r="J690" s="76"/>
    </row>
    <row r="691" spans="1:10">
      <c r="A691" s="172"/>
      <c r="D691" s="56"/>
      <c r="E691" s="204"/>
      <c r="F691" s="205"/>
      <c r="G691" s="206"/>
      <c r="H691" s="207"/>
      <c r="J691" s="76"/>
    </row>
    <row r="692" spans="1:10">
      <c r="A692" s="172"/>
      <c r="D692" s="56"/>
      <c r="E692" s="204"/>
      <c r="F692" s="205"/>
      <c r="G692" s="206"/>
      <c r="H692" s="207"/>
      <c r="J692" s="76"/>
    </row>
    <row r="693" spans="1:10">
      <c r="A693" s="172"/>
      <c r="D693" s="56"/>
      <c r="E693" s="204"/>
      <c r="F693" s="205"/>
      <c r="G693" s="206"/>
      <c r="H693" s="207"/>
      <c r="J693" s="76"/>
    </row>
    <row r="694" spans="1:10">
      <c r="A694" s="172"/>
      <c r="D694" s="56"/>
      <c r="E694" s="204"/>
      <c r="F694" s="205"/>
      <c r="G694" s="206"/>
      <c r="H694" s="207"/>
      <c r="J694" s="76"/>
    </row>
    <row r="695" spans="1:10">
      <c r="A695" s="172"/>
      <c r="D695" s="56"/>
      <c r="E695" s="204"/>
      <c r="F695" s="205"/>
      <c r="G695" s="206"/>
      <c r="H695" s="207"/>
      <c r="J695" s="76"/>
    </row>
    <row r="696" spans="1:10">
      <c r="A696" s="172"/>
      <c r="D696" s="56"/>
      <c r="E696" s="204"/>
      <c r="F696" s="205"/>
      <c r="G696" s="206"/>
      <c r="H696" s="207"/>
      <c r="J696" s="76"/>
    </row>
    <row r="697" spans="1:10">
      <c r="A697" s="172"/>
      <c r="D697" s="56"/>
      <c r="E697" s="204"/>
      <c r="F697" s="205"/>
      <c r="G697" s="206"/>
      <c r="H697" s="207"/>
      <c r="J697" s="76"/>
    </row>
    <row r="698" spans="1:10">
      <c r="A698" s="172"/>
      <c r="D698" s="56"/>
      <c r="E698" s="204"/>
      <c r="F698" s="205"/>
      <c r="G698" s="206"/>
      <c r="H698" s="207"/>
      <c r="J698" s="76"/>
    </row>
    <row r="699" spans="1:10">
      <c r="A699" s="172"/>
      <c r="D699" s="56"/>
      <c r="E699" s="204"/>
      <c r="F699" s="205"/>
      <c r="G699" s="206"/>
      <c r="H699" s="207"/>
      <c r="J699" s="76"/>
    </row>
    <row r="700" spans="1:10">
      <c r="A700" s="172"/>
      <c r="D700" s="56"/>
      <c r="E700" s="204"/>
      <c r="F700" s="205"/>
      <c r="G700" s="206"/>
      <c r="H700" s="207"/>
      <c r="J700" s="76"/>
    </row>
    <row r="701" spans="1:10">
      <c r="A701" s="172"/>
      <c r="D701" s="56"/>
      <c r="E701" s="204"/>
      <c r="F701" s="205"/>
      <c r="G701" s="206"/>
      <c r="H701" s="207"/>
      <c r="J701" s="76"/>
    </row>
    <row r="702" spans="1:10">
      <c r="A702" s="172"/>
      <c r="D702" s="56"/>
      <c r="E702" s="204"/>
      <c r="F702" s="205"/>
      <c r="G702" s="206"/>
      <c r="H702" s="207"/>
      <c r="J702" s="76"/>
    </row>
    <row r="703" spans="1:10">
      <c r="A703" s="172"/>
      <c r="D703" s="56"/>
      <c r="E703" s="204"/>
      <c r="F703" s="205"/>
      <c r="G703" s="206"/>
      <c r="H703" s="207"/>
      <c r="J703" s="76"/>
    </row>
    <row r="704" spans="1:10">
      <c r="A704" s="172"/>
      <c r="D704" s="56"/>
      <c r="E704" s="204"/>
      <c r="F704" s="205"/>
      <c r="G704" s="206"/>
      <c r="H704" s="207"/>
      <c r="J704" s="76"/>
    </row>
    <row r="705" spans="1:10">
      <c r="A705" s="172"/>
      <c r="D705" s="56"/>
      <c r="E705" s="204"/>
      <c r="F705" s="205"/>
      <c r="G705" s="206"/>
      <c r="H705" s="207"/>
      <c r="J705" s="76"/>
    </row>
    <row r="706" spans="1:10">
      <c r="A706" s="172"/>
      <c r="D706" s="56"/>
      <c r="E706" s="204"/>
      <c r="F706" s="205"/>
      <c r="G706" s="206"/>
      <c r="H706" s="207"/>
      <c r="J706" s="76"/>
    </row>
    <row r="707" spans="1:10">
      <c r="A707" s="172"/>
      <c r="D707" s="56"/>
      <c r="E707" s="204"/>
      <c r="F707" s="205"/>
      <c r="G707" s="206"/>
      <c r="H707" s="207"/>
      <c r="J707" s="76"/>
    </row>
    <row r="708" spans="1:10">
      <c r="A708" s="172"/>
      <c r="D708" s="56"/>
      <c r="E708" s="204"/>
      <c r="F708" s="205"/>
      <c r="G708" s="206"/>
      <c r="H708" s="207"/>
      <c r="J708" s="76"/>
    </row>
    <row r="709" spans="1:10">
      <c r="A709" s="172"/>
      <c r="D709" s="56"/>
      <c r="E709" s="204"/>
      <c r="F709" s="205"/>
      <c r="G709" s="206"/>
      <c r="H709" s="207"/>
      <c r="J709" s="76"/>
    </row>
    <row r="710" spans="1:10">
      <c r="A710" s="172"/>
      <c r="D710" s="56"/>
      <c r="E710" s="204"/>
      <c r="F710" s="205"/>
      <c r="G710" s="206"/>
      <c r="H710" s="207"/>
      <c r="J710" s="76"/>
    </row>
    <row r="711" spans="1:10">
      <c r="A711" s="172"/>
      <c r="D711" s="56"/>
      <c r="E711" s="204"/>
      <c r="F711" s="205"/>
      <c r="G711" s="206"/>
      <c r="H711" s="207"/>
      <c r="J711" s="76"/>
    </row>
    <row r="712" spans="1:10">
      <c r="A712" s="172"/>
      <c r="D712" s="56"/>
      <c r="E712" s="204"/>
      <c r="F712" s="205"/>
      <c r="G712" s="206"/>
      <c r="H712" s="207"/>
      <c r="J712" s="76"/>
    </row>
    <row r="713" spans="1:10">
      <c r="A713" s="172"/>
      <c r="D713" s="56"/>
      <c r="E713" s="204"/>
      <c r="F713" s="205"/>
      <c r="G713" s="206"/>
      <c r="H713" s="207"/>
      <c r="J713" s="76"/>
    </row>
    <row r="714" spans="1:10">
      <c r="A714" s="172"/>
      <c r="D714" s="56"/>
      <c r="E714" s="204"/>
      <c r="F714" s="205"/>
      <c r="G714" s="206"/>
      <c r="H714" s="207"/>
      <c r="J714" s="76"/>
    </row>
    <row r="715" spans="1:10">
      <c r="A715" s="172"/>
      <c r="D715" s="56"/>
      <c r="E715" s="204"/>
      <c r="F715" s="205"/>
      <c r="G715" s="206"/>
      <c r="H715" s="207"/>
      <c r="J715" s="76"/>
    </row>
    <row r="716" spans="1:10">
      <c r="A716" s="172"/>
      <c r="D716" s="56"/>
      <c r="E716" s="204"/>
      <c r="F716" s="205"/>
      <c r="G716" s="206"/>
      <c r="H716" s="207"/>
      <c r="J716" s="76"/>
    </row>
    <row r="717" spans="1:10">
      <c r="A717" s="172"/>
      <c r="D717" s="56"/>
      <c r="E717" s="204"/>
      <c r="F717" s="205"/>
      <c r="G717" s="206"/>
      <c r="H717" s="207"/>
      <c r="J717" s="76"/>
    </row>
    <row r="718" spans="1:10">
      <c r="A718" s="172"/>
      <c r="D718" s="56"/>
      <c r="E718" s="204"/>
      <c r="F718" s="205"/>
      <c r="G718" s="206"/>
      <c r="H718" s="207"/>
      <c r="J718" s="76"/>
    </row>
    <row r="719" spans="1:10">
      <c r="A719" s="172"/>
      <c r="D719" s="56"/>
      <c r="E719" s="204"/>
      <c r="F719" s="205"/>
      <c r="G719" s="206"/>
      <c r="H719" s="207"/>
      <c r="J719" s="76"/>
    </row>
    <row r="720" spans="1:10">
      <c r="A720" s="172"/>
      <c r="D720" s="56"/>
      <c r="E720" s="204"/>
      <c r="F720" s="205"/>
      <c r="G720" s="206"/>
      <c r="H720" s="207"/>
      <c r="J720" s="76"/>
    </row>
    <row r="721" spans="1:10">
      <c r="A721" s="172"/>
      <c r="D721" s="56"/>
      <c r="E721" s="204"/>
      <c r="F721" s="205"/>
      <c r="G721" s="206"/>
      <c r="H721" s="207"/>
      <c r="J721" s="76"/>
    </row>
    <row r="722" spans="1:10">
      <c r="A722" s="172"/>
      <c r="D722" s="56"/>
      <c r="E722" s="204"/>
      <c r="F722" s="205"/>
      <c r="G722" s="206"/>
      <c r="H722" s="207"/>
      <c r="J722" s="76"/>
    </row>
    <row r="723" spans="1:10">
      <c r="A723" s="172"/>
      <c r="D723" s="56"/>
      <c r="E723" s="204"/>
      <c r="F723" s="205"/>
      <c r="G723" s="206"/>
      <c r="H723" s="207"/>
      <c r="J723" s="76"/>
    </row>
    <row r="724" spans="1:10">
      <c r="A724" s="172"/>
      <c r="D724" s="56"/>
      <c r="E724" s="204"/>
      <c r="F724" s="205"/>
      <c r="G724" s="206"/>
      <c r="H724" s="207"/>
      <c r="J724" s="76"/>
    </row>
    <row r="725" spans="1:10">
      <c r="A725" s="172"/>
      <c r="D725" s="56"/>
      <c r="E725" s="204"/>
      <c r="F725" s="205"/>
      <c r="G725" s="206"/>
      <c r="H725" s="207"/>
      <c r="J725" s="76"/>
    </row>
    <row r="726" spans="1:10">
      <c r="A726" s="172"/>
      <c r="D726" s="56"/>
      <c r="E726" s="204"/>
      <c r="F726" s="205"/>
      <c r="G726" s="206"/>
      <c r="H726" s="207"/>
      <c r="J726" s="76"/>
    </row>
    <row r="727" spans="1:10">
      <c r="A727" s="172"/>
      <c r="D727" s="56"/>
      <c r="E727" s="204"/>
      <c r="F727" s="205"/>
      <c r="G727" s="206"/>
      <c r="H727" s="207"/>
      <c r="J727" s="76"/>
    </row>
    <row r="728" spans="1:10">
      <c r="A728" s="172"/>
      <c r="D728" s="56"/>
      <c r="E728" s="204"/>
      <c r="F728" s="205"/>
      <c r="G728" s="206"/>
      <c r="H728" s="207"/>
      <c r="J728" s="76"/>
    </row>
    <row r="729" spans="1:10">
      <c r="A729" s="172"/>
      <c r="D729" s="56"/>
      <c r="E729" s="204"/>
      <c r="F729" s="205"/>
      <c r="G729" s="206"/>
      <c r="H729" s="207"/>
      <c r="J729" s="76"/>
    </row>
    <row r="730" spans="1:10">
      <c r="A730" s="172"/>
      <c r="D730" s="56"/>
      <c r="E730" s="204"/>
      <c r="F730" s="205"/>
      <c r="G730" s="206"/>
      <c r="H730" s="207"/>
      <c r="J730" s="76"/>
    </row>
    <row r="731" spans="1:10">
      <c r="A731" s="172"/>
      <c r="D731" s="56"/>
      <c r="E731" s="204"/>
      <c r="F731" s="205"/>
      <c r="G731" s="206"/>
      <c r="H731" s="207"/>
      <c r="J731" s="76"/>
    </row>
    <row r="732" spans="1:10">
      <c r="A732" s="172"/>
      <c r="D732" s="56"/>
      <c r="E732" s="204"/>
      <c r="F732" s="205"/>
      <c r="G732" s="206"/>
      <c r="H732" s="207"/>
      <c r="J732" s="76"/>
    </row>
    <row r="733" spans="1:10">
      <c r="A733" s="172"/>
      <c r="D733" s="56"/>
      <c r="E733" s="204"/>
      <c r="F733" s="205"/>
      <c r="G733" s="206"/>
      <c r="H733" s="207"/>
      <c r="J733" s="76"/>
    </row>
    <row r="734" spans="1:10">
      <c r="A734" s="172"/>
      <c r="D734" s="56"/>
      <c r="E734" s="204"/>
      <c r="F734" s="205"/>
      <c r="G734" s="206"/>
      <c r="H734" s="207"/>
      <c r="J734" s="76"/>
    </row>
    <row r="735" spans="1:10">
      <c r="A735" s="172"/>
      <c r="D735" s="56"/>
      <c r="E735" s="204"/>
      <c r="F735" s="205"/>
      <c r="G735" s="206"/>
      <c r="H735" s="207"/>
      <c r="J735" s="76"/>
    </row>
    <row r="736" spans="1:10">
      <c r="A736" s="172"/>
      <c r="D736" s="56"/>
      <c r="E736" s="204"/>
      <c r="F736" s="205"/>
      <c r="G736" s="206"/>
      <c r="H736" s="207"/>
      <c r="J736" s="76"/>
    </row>
    <row r="737" spans="1:10">
      <c r="A737" s="172"/>
      <c r="D737" s="56"/>
      <c r="E737" s="204"/>
      <c r="F737" s="205"/>
      <c r="G737" s="206"/>
      <c r="H737" s="207"/>
      <c r="J737" s="76"/>
    </row>
    <row r="738" spans="1:10">
      <c r="A738" s="172"/>
      <c r="D738" s="56"/>
      <c r="E738" s="204"/>
      <c r="F738" s="205"/>
      <c r="G738" s="206"/>
      <c r="H738" s="207"/>
      <c r="J738" s="76"/>
    </row>
    <row r="739" spans="1:10">
      <c r="A739" s="172"/>
      <c r="D739" s="56"/>
      <c r="E739" s="204"/>
      <c r="F739" s="205"/>
      <c r="G739" s="206"/>
      <c r="H739" s="207"/>
      <c r="J739" s="76"/>
    </row>
    <row r="740" spans="1:10">
      <c r="A740" s="172"/>
      <c r="D740" s="56"/>
      <c r="E740" s="204"/>
      <c r="F740" s="205"/>
      <c r="G740" s="206"/>
      <c r="H740" s="207"/>
      <c r="J740" s="76"/>
    </row>
    <row r="741" spans="1:10">
      <c r="A741" s="172"/>
      <c r="D741" s="56"/>
      <c r="E741" s="204"/>
      <c r="F741" s="205"/>
      <c r="G741" s="206"/>
      <c r="H741" s="207"/>
      <c r="J741" s="76"/>
    </row>
    <row r="742" spans="1:10">
      <c r="A742" s="172"/>
      <c r="D742" s="56"/>
      <c r="E742" s="204"/>
      <c r="F742" s="205"/>
      <c r="G742" s="206"/>
      <c r="H742" s="207"/>
      <c r="J742" s="76"/>
    </row>
    <row r="743" spans="1:10">
      <c r="A743" s="172"/>
      <c r="D743" s="56"/>
      <c r="E743" s="204"/>
      <c r="F743" s="205"/>
      <c r="G743" s="206"/>
      <c r="H743" s="207"/>
      <c r="J743" s="76"/>
    </row>
    <row r="744" spans="1:10">
      <c r="A744" s="172"/>
      <c r="D744" s="56"/>
      <c r="E744" s="204"/>
      <c r="F744" s="205"/>
      <c r="G744" s="206"/>
      <c r="H744" s="207"/>
      <c r="J744" s="76"/>
    </row>
    <row r="745" spans="1:10">
      <c r="A745" s="172"/>
      <c r="D745" s="56"/>
      <c r="E745" s="204"/>
      <c r="F745" s="205"/>
      <c r="G745" s="206"/>
      <c r="H745" s="207"/>
      <c r="J745" s="76"/>
    </row>
    <row r="746" spans="1:10">
      <c r="A746" s="172"/>
      <c r="D746" s="56"/>
      <c r="E746" s="204"/>
      <c r="F746" s="205"/>
      <c r="G746" s="206"/>
      <c r="H746" s="207"/>
      <c r="J746" s="76"/>
    </row>
    <row r="747" spans="1:10">
      <c r="A747" s="172"/>
      <c r="D747" s="56"/>
      <c r="E747" s="204"/>
      <c r="F747" s="205"/>
      <c r="G747" s="206"/>
      <c r="H747" s="207"/>
      <c r="J747" s="76"/>
    </row>
    <row r="748" spans="1:10">
      <c r="A748" s="172"/>
      <c r="D748" s="56"/>
      <c r="E748" s="204"/>
      <c r="F748" s="205"/>
      <c r="G748" s="206"/>
      <c r="H748" s="207"/>
      <c r="J748" s="76"/>
    </row>
    <row r="749" spans="1:10">
      <c r="A749" s="172"/>
      <c r="D749" s="56"/>
      <c r="E749" s="204"/>
      <c r="F749" s="205"/>
      <c r="G749" s="206"/>
      <c r="H749" s="207"/>
      <c r="J749" s="76"/>
    </row>
    <row r="750" spans="1:10">
      <c r="A750" s="172"/>
      <c r="D750" s="56"/>
      <c r="E750" s="204"/>
      <c r="F750" s="205"/>
      <c r="G750" s="206"/>
      <c r="H750" s="207"/>
      <c r="J750" s="76"/>
    </row>
    <row r="751" spans="1:10">
      <c r="A751" s="172"/>
      <c r="D751" s="56"/>
      <c r="E751" s="204"/>
      <c r="F751" s="205"/>
      <c r="G751" s="206"/>
      <c r="H751" s="207"/>
      <c r="J751" s="76"/>
    </row>
    <row r="752" spans="1:10">
      <c r="A752" s="172"/>
      <c r="D752" s="56"/>
      <c r="E752" s="204"/>
      <c r="F752" s="205"/>
      <c r="G752" s="206"/>
      <c r="H752" s="207"/>
      <c r="J752" s="76"/>
    </row>
    <row r="753" spans="1:10">
      <c r="A753" s="172"/>
      <c r="D753" s="56"/>
      <c r="E753" s="204"/>
      <c r="F753" s="205"/>
      <c r="G753" s="206"/>
      <c r="H753" s="207"/>
      <c r="J753" s="76"/>
    </row>
    <row r="754" spans="1:10">
      <c r="A754" s="172"/>
      <c r="D754" s="56"/>
      <c r="E754" s="204"/>
      <c r="F754" s="205"/>
      <c r="G754" s="206"/>
      <c r="H754" s="207"/>
      <c r="J754" s="76"/>
    </row>
    <row r="755" spans="1:10">
      <c r="A755" s="172"/>
      <c r="D755" s="56"/>
      <c r="E755" s="204"/>
      <c r="F755" s="205"/>
      <c r="G755" s="206"/>
      <c r="H755" s="207"/>
      <c r="J755" s="76"/>
    </row>
    <row r="756" spans="1:10">
      <c r="A756" s="172"/>
      <c r="D756" s="56"/>
      <c r="E756" s="204"/>
      <c r="F756" s="205"/>
      <c r="G756" s="206"/>
      <c r="H756" s="207"/>
      <c r="J756" s="76"/>
    </row>
    <row r="757" spans="1:10">
      <c r="A757" s="172"/>
      <c r="D757" s="56"/>
      <c r="E757" s="204"/>
      <c r="F757" s="205"/>
      <c r="G757" s="206"/>
      <c r="H757" s="207"/>
      <c r="J757" s="76"/>
    </row>
    <row r="758" spans="1:10">
      <c r="A758" s="172"/>
      <c r="D758" s="56"/>
      <c r="E758" s="204"/>
      <c r="F758" s="205"/>
      <c r="G758" s="206"/>
      <c r="H758" s="207"/>
      <c r="J758" s="76"/>
    </row>
    <row r="759" spans="1:10">
      <c r="A759" s="172"/>
      <c r="D759" s="56"/>
      <c r="E759" s="204"/>
      <c r="F759" s="205"/>
      <c r="G759" s="206"/>
      <c r="H759" s="207"/>
      <c r="J759" s="76"/>
    </row>
    <row r="760" spans="1:10">
      <c r="A760" s="172"/>
      <c r="D760" s="56"/>
      <c r="E760" s="204"/>
      <c r="F760" s="205"/>
      <c r="G760" s="206"/>
      <c r="H760" s="207"/>
      <c r="J760" s="76"/>
    </row>
    <row r="761" spans="1:10">
      <c r="A761" s="172"/>
      <c r="D761" s="56"/>
      <c r="E761" s="204"/>
      <c r="F761" s="205"/>
      <c r="G761" s="206"/>
      <c r="H761" s="207"/>
      <c r="J761" s="76"/>
    </row>
    <row r="762" spans="1:10">
      <c r="A762" s="172"/>
      <c r="D762" s="56"/>
      <c r="E762" s="204"/>
      <c r="F762" s="205"/>
      <c r="G762" s="206"/>
      <c r="H762" s="207"/>
      <c r="J762" s="76"/>
    </row>
    <row r="763" spans="1:10">
      <c r="A763" s="172"/>
      <c r="D763" s="56"/>
      <c r="E763" s="204"/>
      <c r="F763" s="205"/>
      <c r="G763" s="206"/>
      <c r="H763" s="207"/>
      <c r="J763" s="76"/>
    </row>
    <row r="764" spans="1:10">
      <c r="A764" s="172"/>
      <c r="D764" s="56"/>
      <c r="E764" s="204"/>
      <c r="F764" s="205"/>
      <c r="G764" s="206"/>
      <c r="H764" s="207"/>
      <c r="J764" s="76"/>
    </row>
    <row r="765" spans="1:10">
      <c r="A765" s="172"/>
      <c r="D765" s="56"/>
      <c r="E765" s="204"/>
      <c r="F765" s="205"/>
      <c r="G765" s="206"/>
      <c r="H765" s="207"/>
      <c r="J765" s="76"/>
    </row>
    <row r="766" spans="1:10">
      <c r="A766" s="172"/>
      <c r="D766" s="56"/>
      <c r="E766" s="204"/>
      <c r="F766" s="205"/>
      <c r="G766" s="206"/>
      <c r="H766" s="207"/>
      <c r="J766" s="76"/>
    </row>
    <row r="767" spans="1:10">
      <c r="A767" s="172"/>
      <c r="D767" s="56"/>
      <c r="E767" s="204"/>
      <c r="F767" s="205"/>
      <c r="G767" s="206"/>
      <c r="H767" s="207"/>
      <c r="J767" s="76"/>
    </row>
    <row r="768" spans="1:10">
      <c r="A768" s="172"/>
      <c r="D768" s="56"/>
      <c r="E768" s="204"/>
      <c r="F768" s="205"/>
      <c r="G768" s="206"/>
      <c r="H768" s="207"/>
      <c r="J768" s="76"/>
    </row>
    <row r="769" spans="1:10">
      <c r="A769" s="172"/>
      <c r="D769" s="56"/>
      <c r="E769" s="204"/>
      <c r="F769" s="205"/>
      <c r="G769" s="206"/>
      <c r="H769" s="207"/>
      <c r="J769" s="76"/>
    </row>
    <row r="770" spans="1:10">
      <c r="A770" s="172"/>
      <c r="D770" s="56"/>
      <c r="E770" s="204"/>
      <c r="F770" s="205"/>
      <c r="G770" s="206"/>
      <c r="H770" s="207"/>
      <c r="J770" s="76"/>
    </row>
    <row r="771" spans="1:10">
      <c r="A771" s="172"/>
      <c r="D771" s="56"/>
      <c r="E771" s="204"/>
      <c r="F771" s="205"/>
      <c r="G771" s="206"/>
      <c r="H771" s="207"/>
      <c r="J771" s="76"/>
    </row>
    <row r="772" spans="1:10">
      <c r="A772" s="172"/>
      <c r="D772" s="56"/>
      <c r="E772" s="204"/>
      <c r="F772" s="205"/>
      <c r="G772" s="206"/>
      <c r="H772" s="207"/>
      <c r="J772" s="76"/>
    </row>
    <row r="773" spans="1:10">
      <c r="A773" s="172"/>
      <c r="D773" s="56"/>
      <c r="E773" s="204"/>
      <c r="F773" s="205"/>
      <c r="G773" s="206"/>
      <c r="H773" s="207"/>
      <c r="J773" s="76"/>
    </row>
    <row r="774" spans="1:10">
      <c r="A774" s="172"/>
      <c r="D774" s="56"/>
      <c r="E774" s="204"/>
      <c r="F774" s="205"/>
      <c r="G774" s="206"/>
      <c r="H774" s="207"/>
      <c r="J774" s="76"/>
    </row>
    <row r="775" spans="1:10">
      <c r="A775" s="172"/>
      <c r="D775" s="56"/>
      <c r="E775" s="204"/>
      <c r="F775" s="205"/>
      <c r="G775" s="206"/>
      <c r="H775" s="207"/>
      <c r="J775" s="76"/>
    </row>
    <row r="776" spans="1:10">
      <c r="A776" s="172"/>
      <c r="D776" s="56"/>
      <c r="E776" s="204"/>
      <c r="F776" s="205"/>
      <c r="G776" s="206"/>
      <c r="H776" s="207"/>
      <c r="J776" s="76"/>
    </row>
    <row r="777" spans="1:10">
      <c r="A777" s="172"/>
      <c r="D777" s="56"/>
      <c r="E777" s="204"/>
      <c r="F777" s="205"/>
      <c r="G777" s="206"/>
      <c r="H777" s="207"/>
      <c r="J777" s="76"/>
    </row>
    <row r="778" spans="1:10">
      <c r="A778" s="172"/>
      <c r="D778" s="56"/>
      <c r="E778" s="204"/>
      <c r="F778" s="205"/>
      <c r="G778" s="206"/>
      <c r="H778" s="207"/>
      <c r="J778" s="76"/>
    </row>
    <row r="779" spans="1:10">
      <c r="A779" s="172"/>
      <c r="D779" s="56"/>
      <c r="E779" s="204"/>
      <c r="F779" s="205"/>
      <c r="G779" s="206"/>
      <c r="H779" s="207"/>
      <c r="J779" s="76"/>
    </row>
    <row r="780" spans="1:10">
      <c r="A780" s="172"/>
      <c r="D780" s="56"/>
      <c r="E780" s="204"/>
      <c r="F780" s="205"/>
      <c r="G780" s="206"/>
      <c r="H780" s="207"/>
      <c r="J780" s="76"/>
    </row>
    <row r="781" spans="1:10">
      <c r="A781" s="172"/>
      <c r="D781" s="56"/>
      <c r="E781" s="204"/>
      <c r="F781" s="205"/>
      <c r="G781" s="206"/>
      <c r="H781" s="207"/>
      <c r="J781" s="76"/>
    </row>
    <row r="782" spans="1:10">
      <c r="A782" s="172"/>
      <c r="D782" s="56"/>
      <c r="E782" s="204"/>
      <c r="F782" s="205"/>
      <c r="G782" s="206"/>
      <c r="H782" s="207"/>
      <c r="J782" s="76"/>
    </row>
    <row r="783" spans="1:10">
      <c r="A783" s="172"/>
      <c r="D783" s="56"/>
      <c r="E783" s="204"/>
      <c r="F783" s="205"/>
      <c r="G783" s="206"/>
      <c r="H783" s="207"/>
      <c r="J783" s="76"/>
    </row>
    <row r="784" spans="1:10">
      <c r="A784" s="172"/>
      <c r="D784" s="56"/>
      <c r="E784" s="204"/>
      <c r="F784" s="205"/>
      <c r="G784" s="206"/>
      <c r="H784" s="207"/>
      <c r="J784" s="76"/>
    </row>
    <row r="785" spans="1:10">
      <c r="A785" s="172"/>
      <c r="D785" s="56"/>
      <c r="E785" s="204"/>
      <c r="F785" s="205"/>
      <c r="G785" s="206"/>
      <c r="H785" s="207"/>
      <c r="J785" s="76"/>
    </row>
    <row r="786" spans="1:10">
      <c r="A786" s="172"/>
      <c r="D786" s="56"/>
      <c r="E786" s="204"/>
      <c r="F786" s="205"/>
      <c r="G786" s="206"/>
      <c r="H786" s="207"/>
      <c r="J786" s="76"/>
    </row>
    <row r="787" spans="1:10">
      <c r="A787" s="172"/>
      <c r="D787" s="56"/>
      <c r="E787" s="204"/>
      <c r="F787" s="205"/>
      <c r="G787" s="206"/>
      <c r="H787" s="207"/>
      <c r="J787" s="76"/>
    </row>
    <row r="788" spans="1:10">
      <c r="A788" s="172"/>
      <c r="D788" s="56"/>
      <c r="E788" s="204"/>
      <c r="F788" s="205"/>
      <c r="G788" s="206"/>
      <c r="H788" s="207"/>
      <c r="J788" s="76"/>
    </row>
    <row r="789" spans="1:10">
      <c r="A789" s="172"/>
      <c r="D789" s="56"/>
      <c r="E789" s="204"/>
      <c r="F789" s="205"/>
      <c r="G789" s="206"/>
      <c r="H789" s="207"/>
      <c r="J789" s="76"/>
    </row>
    <row r="790" spans="1:10">
      <c r="A790" s="172"/>
      <c r="D790" s="56"/>
      <c r="E790" s="204"/>
      <c r="F790" s="205"/>
      <c r="G790" s="206"/>
      <c r="H790" s="207"/>
      <c r="J790" s="76"/>
    </row>
    <row r="791" spans="1:10">
      <c r="A791" s="172"/>
      <c r="D791" s="56"/>
      <c r="E791" s="204"/>
      <c r="F791" s="205"/>
      <c r="G791" s="206"/>
      <c r="H791" s="207"/>
      <c r="J791" s="76"/>
    </row>
    <row r="792" spans="1:10">
      <c r="A792" s="172"/>
      <c r="D792" s="56"/>
      <c r="E792" s="204"/>
      <c r="F792" s="205"/>
      <c r="G792" s="206"/>
      <c r="H792" s="207"/>
      <c r="J792" s="76"/>
    </row>
    <row r="793" spans="1:10">
      <c r="A793" s="172"/>
      <c r="D793" s="56"/>
      <c r="E793" s="204"/>
      <c r="F793" s="205"/>
      <c r="G793" s="206"/>
      <c r="H793" s="207"/>
      <c r="J793" s="76"/>
    </row>
    <row r="794" spans="1:10">
      <c r="A794" s="172"/>
      <c r="D794" s="56"/>
      <c r="E794" s="204"/>
      <c r="F794" s="205"/>
      <c r="G794" s="206"/>
      <c r="H794" s="207"/>
      <c r="J794" s="76"/>
    </row>
    <row r="795" spans="1:10">
      <c r="A795" s="172"/>
      <c r="D795" s="56"/>
      <c r="E795" s="204"/>
      <c r="F795" s="205"/>
      <c r="G795" s="206"/>
      <c r="H795" s="207"/>
      <c r="J795" s="76"/>
    </row>
    <row r="796" spans="1:10">
      <c r="A796" s="172"/>
      <c r="D796" s="56"/>
      <c r="E796" s="204"/>
      <c r="F796" s="205"/>
      <c r="G796" s="206"/>
      <c r="H796" s="207"/>
      <c r="J796" s="76"/>
    </row>
    <row r="797" spans="1:10">
      <c r="A797" s="172"/>
      <c r="D797" s="56"/>
      <c r="E797" s="204"/>
      <c r="F797" s="205"/>
      <c r="G797" s="206"/>
      <c r="H797" s="207"/>
      <c r="J797" s="76"/>
    </row>
    <row r="798" spans="1:10">
      <c r="A798" s="172"/>
      <c r="D798" s="56"/>
      <c r="E798" s="204"/>
      <c r="F798" s="205"/>
      <c r="G798" s="206"/>
      <c r="H798" s="207"/>
      <c r="J798" s="76"/>
    </row>
    <row r="799" spans="1:10">
      <c r="A799" s="172"/>
      <c r="D799" s="56"/>
      <c r="E799" s="204"/>
      <c r="F799" s="205"/>
      <c r="G799" s="206"/>
      <c r="H799" s="207"/>
      <c r="J799" s="76"/>
    </row>
    <row r="800" spans="1:10">
      <c r="A800" s="172"/>
      <c r="D800" s="56"/>
      <c r="E800" s="204"/>
      <c r="F800" s="205"/>
      <c r="G800" s="206"/>
      <c r="H800" s="207"/>
      <c r="J800" s="76"/>
    </row>
    <row r="801" spans="1:10">
      <c r="A801" s="172"/>
      <c r="D801" s="56"/>
      <c r="E801" s="204"/>
      <c r="F801" s="205"/>
      <c r="G801" s="206"/>
      <c r="H801" s="207"/>
      <c r="J801" s="76"/>
    </row>
    <row r="802" spans="1:10">
      <c r="A802" s="172"/>
      <c r="D802" s="56"/>
      <c r="E802" s="204"/>
      <c r="F802" s="205"/>
      <c r="G802" s="206"/>
      <c r="H802" s="207"/>
      <c r="J802" s="76"/>
    </row>
    <row r="803" spans="1:10">
      <c r="A803" s="172"/>
      <c r="D803" s="56"/>
      <c r="E803" s="204"/>
      <c r="F803" s="205"/>
      <c r="G803" s="206"/>
      <c r="H803" s="207"/>
      <c r="J803" s="76"/>
    </row>
    <row r="804" spans="1:10">
      <c r="A804" s="172"/>
      <c r="D804" s="56"/>
      <c r="E804" s="204"/>
      <c r="F804" s="205"/>
      <c r="G804" s="206"/>
      <c r="H804" s="207"/>
      <c r="J804" s="76"/>
    </row>
    <row r="805" spans="1:10">
      <c r="A805" s="172"/>
      <c r="D805" s="56"/>
      <c r="E805" s="204"/>
      <c r="F805" s="205"/>
      <c r="G805" s="206"/>
      <c r="H805" s="207"/>
      <c r="J805" s="76"/>
    </row>
    <row r="806" spans="1:10">
      <c r="A806" s="172"/>
      <c r="D806" s="56"/>
      <c r="E806" s="204"/>
      <c r="F806" s="205"/>
      <c r="G806" s="206"/>
      <c r="H806" s="207"/>
      <c r="J806" s="76"/>
    </row>
    <row r="807" spans="1:10">
      <c r="A807" s="172"/>
      <c r="D807" s="56"/>
      <c r="E807" s="204"/>
      <c r="F807" s="205"/>
      <c r="G807" s="206"/>
      <c r="H807" s="207"/>
      <c r="J807" s="76"/>
    </row>
    <row r="808" spans="1:10">
      <c r="A808" s="172"/>
      <c r="D808" s="56"/>
      <c r="E808" s="204"/>
      <c r="F808" s="205"/>
      <c r="G808" s="206"/>
      <c r="H808" s="207"/>
      <c r="J808" s="76"/>
    </row>
    <row r="809" spans="1:10">
      <c r="A809" s="172"/>
      <c r="D809" s="56"/>
      <c r="E809" s="204"/>
      <c r="F809" s="205"/>
      <c r="G809" s="206"/>
      <c r="H809" s="207"/>
      <c r="J809" s="76"/>
    </row>
    <row r="810" spans="1:10">
      <c r="A810" s="172"/>
      <c r="D810" s="56"/>
      <c r="E810" s="204"/>
      <c r="F810" s="205"/>
      <c r="G810" s="206"/>
      <c r="H810" s="207"/>
      <c r="J810" s="76"/>
    </row>
    <row r="811" spans="1:10">
      <c r="A811" s="172"/>
      <c r="D811" s="56"/>
      <c r="E811" s="204"/>
      <c r="F811" s="205"/>
      <c r="G811" s="206"/>
      <c r="H811" s="207"/>
      <c r="J811" s="76"/>
    </row>
    <row r="812" spans="1:10">
      <c r="A812" s="172"/>
      <c r="D812" s="56"/>
      <c r="E812" s="204"/>
      <c r="F812" s="205"/>
      <c r="G812" s="206"/>
      <c r="H812" s="207"/>
      <c r="J812" s="76"/>
    </row>
    <row r="813" spans="1:10">
      <c r="A813" s="172"/>
      <c r="D813" s="56"/>
      <c r="E813" s="204"/>
      <c r="F813" s="205"/>
      <c r="G813" s="206"/>
      <c r="H813" s="207"/>
      <c r="J813" s="76"/>
    </row>
    <row r="814" spans="1:10">
      <c r="A814" s="172"/>
      <c r="D814" s="56"/>
      <c r="E814" s="204"/>
      <c r="F814" s="205"/>
      <c r="G814" s="206"/>
      <c r="H814" s="207"/>
      <c r="J814" s="76"/>
    </row>
    <row r="815" spans="1:10">
      <c r="A815" s="172"/>
      <c r="D815" s="56"/>
      <c r="E815" s="204"/>
      <c r="F815" s="205"/>
      <c r="G815" s="206"/>
      <c r="H815" s="207"/>
      <c r="J815" s="76"/>
    </row>
    <row r="816" spans="1:10">
      <c r="A816" s="172"/>
      <c r="D816" s="56"/>
      <c r="E816" s="204"/>
      <c r="F816" s="205"/>
      <c r="G816" s="206"/>
      <c r="H816" s="207"/>
      <c r="J816" s="76"/>
    </row>
    <row r="817" spans="1:10">
      <c r="A817" s="172"/>
      <c r="D817" s="56"/>
      <c r="E817" s="204"/>
      <c r="F817" s="205"/>
      <c r="G817" s="206"/>
      <c r="H817" s="207"/>
      <c r="J817" s="76"/>
    </row>
    <row r="818" spans="1:10">
      <c r="A818" s="172"/>
      <c r="D818" s="56"/>
      <c r="E818" s="204"/>
      <c r="F818" s="205"/>
      <c r="G818" s="206"/>
      <c r="H818" s="207"/>
      <c r="J818" s="76"/>
    </row>
    <row r="819" spans="1:10">
      <c r="A819" s="172"/>
      <c r="D819" s="56"/>
      <c r="E819" s="204"/>
      <c r="F819" s="205"/>
      <c r="G819" s="206"/>
      <c r="H819" s="207"/>
      <c r="J819" s="76"/>
    </row>
    <row r="820" spans="1:10">
      <c r="A820" s="172"/>
      <c r="D820" s="56"/>
      <c r="E820" s="204"/>
      <c r="F820" s="205"/>
      <c r="G820" s="206"/>
      <c r="H820" s="207"/>
      <c r="J820" s="76"/>
    </row>
    <row r="821" spans="1:10">
      <c r="A821" s="172"/>
      <c r="D821" s="56"/>
      <c r="E821" s="204"/>
      <c r="F821" s="205"/>
      <c r="G821" s="206"/>
      <c r="H821" s="207"/>
      <c r="J821" s="76"/>
    </row>
    <row r="822" spans="1:10">
      <c r="A822" s="172"/>
      <c r="D822" s="56"/>
      <c r="E822" s="204"/>
      <c r="F822" s="205"/>
      <c r="G822" s="206"/>
      <c r="H822" s="207"/>
      <c r="J822" s="76"/>
    </row>
    <row r="823" spans="1:10">
      <c r="A823" s="172"/>
      <c r="D823" s="56"/>
      <c r="E823" s="204"/>
      <c r="F823" s="205"/>
      <c r="G823" s="206"/>
      <c r="H823" s="207"/>
      <c r="J823" s="76"/>
    </row>
    <row r="824" spans="1:10">
      <c r="A824" s="172"/>
      <c r="D824" s="56"/>
      <c r="E824" s="204"/>
      <c r="F824" s="205"/>
      <c r="G824" s="206"/>
      <c r="H824" s="207"/>
      <c r="J824" s="76"/>
    </row>
    <row r="825" spans="1:10">
      <c r="A825" s="172"/>
      <c r="D825" s="56"/>
      <c r="E825" s="204"/>
      <c r="F825" s="205"/>
      <c r="G825" s="206"/>
      <c r="H825" s="207"/>
      <c r="J825" s="76"/>
    </row>
    <row r="826" spans="1:10">
      <c r="A826" s="172"/>
      <c r="D826" s="56"/>
      <c r="E826" s="204"/>
      <c r="F826" s="205"/>
      <c r="G826" s="206"/>
      <c r="H826" s="207"/>
      <c r="J826" s="76"/>
    </row>
    <row r="827" spans="1:10">
      <c r="A827" s="172"/>
      <c r="D827" s="56"/>
      <c r="E827" s="204"/>
      <c r="F827" s="205"/>
      <c r="G827" s="206"/>
      <c r="H827" s="207"/>
      <c r="J827" s="76"/>
    </row>
    <row r="828" spans="1:10">
      <c r="A828" s="172"/>
      <c r="D828" s="56"/>
      <c r="E828" s="204"/>
      <c r="F828" s="205"/>
      <c r="G828" s="206"/>
      <c r="H828" s="207"/>
      <c r="J828" s="76"/>
    </row>
    <row r="829" spans="1:10">
      <c r="A829" s="172"/>
      <c r="D829" s="56"/>
      <c r="E829" s="204"/>
      <c r="F829" s="205"/>
      <c r="G829" s="206"/>
      <c r="H829" s="207"/>
      <c r="J829" s="76"/>
    </row>
    <row r="830" spans="1:10">
      <c r="A830" s="172"/>
      <c r="D830" s="56"/>
      <c r="E830" s="204"/>
      <c r="F830" s="205"/>
      <c r="G830" s="206"/>
      <c r="H830" s="207"/>
      <c r="J830" s="76"/>
    </row>
    <row r="831" spans="1:10">
      <c r="A831" s="172"/>
      <c r="D831" s="56"/>
      <c r="E831" s="204"/>
      <c r="F831" s="205"/>
      <c r="G831" s="206"/>
      <c r="H831" s="207"/>
      <c r="J831" s="76"/>
    </row>
    <row r="832" spans="1:10">
      <c r="A832" s="172"/>
      <c r="D832" s="56"/>
      <c r="E832" s="204"/>
      <c r="F832" s="205"/>
      <c r="G832" s="206"/>
      <c r="H832" s="207"/>
      <c r="J832" s="76"/>
    </row>
    <row r="833" spans="1:10">
      <c r="A833" s="172"/>
      <c r="D833" s="56"/>
      <c r="E833" s="204"/>
      <c r="F833" s="205"/>
      <c r="G833" s="206"/>
      <c r="H833" s="207"/>
      <c r="J833" s="76"/>
    </row>
    <row r="834" spans="1:10">
      <c r="A834" s="172"/>
      <c r="D834" s="56"/>
      <c r="E834" s="204"/>
      <c r="F834" s="205"/>
      <c r="G834" s="206"/>
      <c r="H834" s="207"/>
      <c r="J834" s="76"/>
    </row>
    <row r="835" spans="1:10">
      <c r="A835" s="172"/>
      <c r="D835" s="56"/>
      <c r="E835" s="204"/>
      <c r="F835" s="205"/>
      <c r="G835" s="206"/>
      <c r="H835" s="207"/>
      <c r="J835" s="76"/>
    </row>
    <row r="836" spans="1:10">
      <c r="A836" s="172"/>
      <c r="D836" s="56"/>
      <c r="E836" s="204"/>
      <c r="F836" s="205"/>
      <c r="G836" s="206"/>
      <c r="H836" s="207"/>
      <c r="J836" s="76"/>
    </row>
    <row r="837" spans="1:10">
      <c r="A837" s="172"/>
      <c r="D837" s="56"/>
      <c r="E837" s="204"/>
      <c r="F837" s="205"/>
      <c r="G837" s="206"/>
      <c r="H837" s="207"/>
      <c r="J837" s="76"/>
    </row>
    <row r="838" spans="1:10">
      <c r="A838" s="172"/>
      <c r="D838" s="56"/>
      <c r="E838" s="204"/>
      <c r="F838" s="205"/>
      <c r="G838" s="206"/>
      <c r="H838" s="207"/>
      <c r="J838" s="76"/>
    </row>
    <row r="839" spans="1:10">
      <c r="A839" s="172"/>
      <c r="D839" s="56"/>
      <c r="E839" s="204"/>
      <c r="F839" s="205"/>
      <c r="G839" s="206"/>
      <c r="H839" s="207"/>
      <c r="J839" s="76"/>
    </row>
    <row r="840" spans="1:10">
      <c r="A840" s="172"/>
      <c r="D840" s="56"/>
      <c r="E840" s="204"/>
      <c r="F840" s="205"/>
      <c r="G840" s="206"/>
      <c r="H840" s="207"/>
      <c r="J840" s="76"/>
    </row>
    <row r="841" spans="1:10">
      <c r="A841" s="172"/>
      <c r="D841" s="56"/>
      <c r="E841" s="204"/>
      <c r="F841" s="205"/>
      <c r="G841" s="206"/>
      <c r="H841" s="207"/>
      <c r="J841" s="76"/>
    </row>
    <row r="842" spans="1:10">
      <c r="A842" s="172"/>
      <c r="D842" s="56"/>
      <c r="E842" s="204"/>
      <c r="F842" s="205"/>
      <c r="G842" s="206"/>
      <c r="H842" s="207"/>
      <c r="J842" s="76"/>
    </row>
    <row r="843" spans="1:10">
      <c r="A843" s="172"/>
      <c r="D843" s="56"/>
      <c r="E843" s="204"/>
      <c r="F843" s="205"/>
      <c r="G843" s="206"/>
      <c r="H843" s="207"/>
      <c r="J843" s="76"/>
    </row>
    <row r="844" spans="1:10">
      <c r="A844" s="172"/>
      <c r="D844" s="56"/>
      <c r="E844" s="204"/>
      <c r="F844" s="205"/>
      <c r="G844" s="206"/>
      <c r="H844" s="207"/>
      <c r="J844" s="76"/>
    </row>
    <row r="845" spans="1:10">
      <c r="A845" s="172"/>
      <c r="D845" s="56"/>
      <c r="E845" s="204"/>
      <c r="F845" s="205"/>
      <c r="G845" s="206"/>
      <c r="H845" s="207"/>
      <c r="J845" s="76"/>
    </row>
    <row r="846" spans="1:10">
      <c r="A846" s="172"/>
      <c r="D846" s="56"/>
      <c r="E846" s="204"/>
      <c r="F846" s="205"/>
      <c r="G846" s="206"/>
      <c r="H846" s="207"/>
      <c r="J846" s="76"/>
    </row>
    <row r="847" spans="1:10">
      <c r="A847" s="172"/>
      <c r="D847" s="56"/>
      <c r="E847" s="204"/>
      <c r="F847" s="205"/>
      <c r="G847" s="206"/>
      <c r="H847" s="207"/>
      <c r="J847" s="76"/>
    </row>
    <row r="848" spans="1:10">
      <c r="A848" s="172"/>
      <c r="D848" s="56"/>
      <c r="E848" s="204"/>
      <c r="F848" s="205"/>
      <c r="G848" s="206"/>
      <c r="H848" s="207"/>
      <c r="J848" s="76"/>
    </row>
    <row r="849" spans="1:10">
      <c r="A849" s="172"/>
      <c r="D849" s="56"/>
      <c r="E849" s="204"/>
      <c r="F849" s="205"/>
      <c r="G849" s="206"/>
      <c r="H849" s="207"/>
      <c r="J849" s="76"/>
    </row>
    <row r="850" spans="1:10">
      <c r="A850" s="172"/>
      <c r="D850" s="56"/>
      <c r="E850" s="204"/>
      <c r="F850" s="205"/>
      <c r="G850" s="206"/>
      <c r="H850" s="207"/>
      <c r="J850" s="76"/>
    </row>
    <row r="851" spans="1:10">
      <c r="A851" s="172"/>
      <c r="D851" s="56"/>
      <c r="E851" s="204"/>
      <c r="F851" s="205"/>
      <c r="G851" s="206"/>
      <c r="H851" s="207"/>
      <c r="J851" s="76"/>
    </row>
    <row r="852" spans="1:10">
      <c r="A852" s="172"/>
      <c r="D852" s="56"/>
      <c r="E852" s="204"/>
      <c r="F852" s="205"/>
      <c r="G852" s="206"/>
      <c r="H852" s="207"/>
      <c r="J852" s="76"/>
    </row>
    <row r="853" spans="1:10">
      <c r="A853" s="172"/>
      <c r="D853" s="56"/>
      <c r="E853" s="204"/>
      <c r="F853" s="205"/>
      <c r="G853" s="206"/>
      <c r="H853" s="207"/>
      <c r="J853" s="76"/>
    </row>
    <row r="854" spans="1:10">
      <c r="A854" s="172"/>
      <c r="D854" s="56"/>
      <c r="E854" s="204"/>
      <c r="F854" s="205"/>
      <c r="G854" s="206"/>
      <c r="H854" s="207"/>
      <c r="J854" s="76"/>
    </row>
    <row r="855" spans="1:10">
      <c r="A855" s="172"/>
      <c r="D855" s="56"/>
      <c r="E855" s="204"/>
      <c r="F855" s="205"/>
      <c r="G855" s="206"/>
      <c r="H855" s="207"/>
      <c r="J855" s="76"/>
    </row>
    <row r="856" spans="1:10">
      <c r="A856" s="172"/>
      <c r="D856" s="56"/>
      <c r="E856" s="204"/>
      <c r="F856" s="205"/>
      <c r="G856" s="206"/>
      <c r="H856" s="207"/>
      <c r="J856" s="76"/>
    </row>
    <row r="857" spans="1:10">
      <c r="A857" s="172"/>
      <c r="D857" s="56"/>
      <c r="E857" s="204"/>
      <c r="F857" s="205"/>
      <c r="G857" s="206"/>
      <c r="H857" s="207"/>
      <c r="J857" s="76"/>
    </row>
    <row r="858" spans="1:10">
      <c r="A858" s="172"/>
      <c r="D858" s="56"/>
      <c r="E858" s="204"/>
      <c r="F858" s="205"/>
      <c r="G858" s="206"/>
      <c r="H858" s="207"/>
      <c r="J858" s="76"/>
    </row>
    <row r="859" spans="1:10">
      <c r="A859" s="172"/>
      <c r="D859" s="56"/>
      <c r="E859" s="204"/>
      <c r="F859" s="205"/>
      <c r="G859" s="206"/>
      <c r="H859" s="207"/>
      <c r="J859" s="76"/>
    </row>
    <row r="860" spans="1:10">
      <c r="A860" s="172"/>
      <c r="D860" s="56"/>
      <c r="E860" s="204"/>
      <c r="F860" s="205"/>
      <c r="G860" s="206"/>
      <c r="H860" s="207"/>
      <c r="J860" s="76"/>
    </row>
    <row r="861" spans="1:10">
      <c r="A861" s="172"/>
      <c r="D861" s="56"/>
      <c r="E861" s="204"/>
      <c r="F861" s="205"/>
      <c r="G861" s="206"/>
      <c r="H861" s="207"/>
      <c r="J861" s="76"/>
    </row>
    <row r="862" spans="1:10">
      <c r="A862" s="172"/>
      <c r="D862" s="56"/>
      <c r="E862" s="204"/>
      <c r="F862" s="205"/>
      <c r="G862" s="206"/>
      <c r="H862" s="207"/>
      <c r="J862" s="76"/>
    </row>
    <row r="863" spans="1:10">
      <c r="A863" s="172"/>
      <c r="D863" s="56"/>
      <c r="E863" s="204"/>
      <c r="F863" s="205"/>
      <c r="G863" s="206"/>
      <c r="H863" s="207"/>
      <c r="J863" s="76"/>
    </row>
    <row r="864" spans="1:10">
      <c r="A864" s="172"/>
      <c r="D864" s="56"/>
      <c r="E864" s="204"/>
      <c r="F864" s="205"/>
      <c r="G864" s="206"/>
      <c r="H864" s="207"/>
      <c r="J864" s="76"/>
    </row>
    <row r="865" spans="1:10">
      <c r="A865" s="172"/>
      <c r="D865" s="56"/>
      <c r="E865" s="204"/>
      <c r="F865" s="205"/>
      <c r="G865" s="206"/>
      <c r="H865" s="207"/>
      <c r="J865" s="76"/>
    </row>
    <row r="866" spans="1:10">
      <c r="A866" s="172"/>
      <c r="D866" s="56"/>
      <c r="E866" s="204"/>
      <c r="F866" s="205"/>
      <c r="G866" s="206"/>
      <c r="H866" s="207"/>
      <c r="J866" s="76"/>
    </row>
    <row r="867" spans="1:10">
      <c r="A867" s="172"/>
      <c r="D867" s="56"/>
      <c r="E867" s="204"/>
      <c r="F867" s="205"/>
      <c r="G867" s="206"/>
      <c r="H867" s="207"/>
      <c r="J867" s="76"/>
    </row>
    <row r="868" spans="1:10">
      <c r="A868" s="172"/>
      <c r="D868" s="56"/>
      <c r="E868" s="204"/>
      <c r="F868" s="205"/>
      <c r="G868" s="206"/>
      <c r="H868" s="207"/>
      <c r="J868" s="76"/>
    </row>
    <row r="869" spans="1:10">
      <c r="A869" s="172"/>
      <c r="D869" s="56"/>
      <c r="E869" s="204"/>
      <c r="F869" s="205"/>
      <c r="G869" s="206"/>
      <c r="H869" s="207"/>
      <c r="J869" s="76"/>
    </row>
    <row r="870" spans="1:10">
      <c r="A870" s="172"/>
      <c r="D870" s="56"/>
      <c r="E870" s="204"/>
      <c r="F870" s="205"/>
      <c r="G870" s="206"/>
      <c r="H870" s="207"/>
      <c r="J870" s="76"/>
    </row>
    <row r="871" spans="1:10">
      <c r="A871" s="172"/>
      <c r="D871" s="56"/>
      <c r="E871" s="204"/>
      <c r="F871" s="205"/>
      <c r="G871" s="206"/>
      <c r="H871" s="207"/>
      <c r="J871" s="76"/>
    </row>
    <row r="872" spans="1:10">
      <c r="A872" s="172"/>
      <c r="D872" s="56"/>
      <c r="E872" s="204"/>
      <c r="F872" s="205"/>
      <c r="G872" s="206"/>
      <c r="H872" s="207"/>
      <c r="J872" s="76"/>
    </row>
    <row r="873" spans="1:10">
      <c r="A873" s="172"/>
      <c r="D873" s="56"/>
      <c r="E873" s="204"/>
      <c r="F873" s="205"/>
      <c r="G873" s="206"/>
      <c r="H873" s="207"/>
      <c r="J873" s="76"/>
    </row>
    <row r="874" spans="1:10">
      <c r="A874" s="172"/>
      <c r="D874" s="56"/>
      <c r="E874" s="204"/>
      <c r="F874" s="205"/>
      <c r="G874" s="206"/>
      <c r="H874" s="207"/>
      <c r="J874" s="76"/>
    </row>
    <row r="875" spans="1:10">
      <c r="A875" s="172"/>
      <c r="D875" s="56"/>
      <c r="E875" s="204"/>
      <c r="F875" s="205"/>
      <c r="G875" s="206"/>
      <c r="H875" s="207"/>
      <c r="J875" s="76"/>
    </row>
    <row r="876" spans="1:10">
      <c r="A876" s="172"/>
      <c r="D876" s="56"/>
      <c r="E876" s="204"/>
      <c r="F876" s="205"/>
      <c r="G876" s="206"/>
      <c r="H876" s="207"/>
      <c r="J876" s="76"/>
    </row>
    <row r="877" spans="1:10">
      <c r="A877" s="172"/>
      <c r="D877" s="56"/>
      <c r="E877" s="204"/>
      <c r="F877" s="205"/>
      <c r="G877" s="206"/>
      <c r="H877" s="207"/>
      <c r="J877" s="76"/>
    </row>
    <row r="878" spans="1:10">
      <c r="A878" s="172"/>
      <c r="D878" s="56"/>
      <c r="E878" s="204"/>
      <c r="F878" s="205"/>
      <c r="G878" s="206"/>
      <c r="H878" s="207"/>
      <c r="J878" s="76"/>
    </row>
    <row r="879" spans="1:10">
      <c r="A879" s="172"/>
      <c r="D879" s="56"/>
      <c r="E879" s="204"/>
      <c r="F879" s="205"/>
      <c r="G879" s="206"/>
      <c r="H879" s="207"/>
      <c r="J879" s="76"/>
    </row>
    <row r="880" spans="1:10">
      <c r="A880" s="172"/>
      <c r="D880" s="56"/>
      <c r="E880" s="204"/>
      <c r="F880" s="205"/>
      <c r="G880" s="206"/>
      <c r="H880" s="207"/>
      <c r="J880" s="76"/>
    </row>
    <row r="881" spans="1:10">
      <c r="A881" s="172"/>
      <c r="D881" s="56"/>
      <c r="E881" s="204"/>
      <c r="F881" s="205"/>
      <c r="G881" s="206"/>
      <c r="H881" s="207"/>
      <c r="J881" s="76"/>
    </row>
    <row r="882" spans="1:10">
      <c r="A882" s="172"/>
      <c r="D882" s="56"/>
      <c r="E882" s="204"/>
      <c r="F882" s="205"/>
      <c r="G882" s="206"/>
      <c r="H882" s="207"/>
      <c r="J882" s="76"/>
    </row>
    <row r="883" spans="1:10">
      <c r="A883" s="172"/>
      <c r="D883" s="56"/>
      <c r="E883" s="204"/>
      <c r="F883" s="205"/>
      <c r="G883" s="206"/>
      <c r="H883" s="207"/>
      <c r="J883" s="76"/>
    </row>
    <row r="884" spans="1:10">
      <c r="A884" s="172"/>
      <c r="D884" s="56"/>
      <c r="E884" s="204"/>
      <c r="F884" s="205"/>
      <c r="G884" s="206"/>
      <c r="H884" s="207"/>
      <c r="J884" s="76"/>
    </row>
    <row r="885" spans="1:10">
      <c r="A885" s="172"/>
      <c r="D885" s="56"/>
      <c r="E885" s="204"/>
      <c r="F885" s="205"/>
      <c r="G885" s="206"/>
      <c r="H885" s="207"/>
      <c r="J885" s="76"/>
    </row>
    <row r="886" spans="1:10">
      <c r="A886" s="172"/>
      <c r="D886" s="56"/>
      <c r="E886" s="204"/>
      <c r="F886" s="205"/>
      <c r="G886" s="206"/>
      <c r="H886" s="207"/>
      <c r="J886" s="76"/>
    </row>
    <row r="887" spans="1:10">
      <c r="A887" s="172"/>
      <c r="D887" s="56"/>
      <c r="E887" s="204"/>
      <c r="F887" s="205"/>
      <c r="G887" s="206"/>
      <c r="H887" s="207"/>
      <c r="J887" s="76"/>
    </row>
    <row r="888" spans="1:10">
      <c r="A888" s="172"/>
      <c r="D888" s="56"/>
      <c r="E888" s="204"/>
      <c r="F888" s="205"/>
      <c r="G888" s="206"/>
      <c r="H888" s="207"/>
      <c r="J888" s="76"/>
    </row>
    <row r="889" spans="1:10">
      <c r="A889" s="172"/>
      <c r="D889" s="56"/>
      <c r="E889" s="204"/>
      <c r="F889" s="205"/>
      <c r="G889" s="206"/>
      <c r="H889" s="207"/>
      <c r="J889" s="76"/>
    </row>
    <row r="890" spans="1:10">
      <c r="A890" s="172"/>
      <c r="D890" s="56"/>
      <c r="E890" s="204"/>
      <c r="F890" s="205"/>
      <c r="G890" s="206"/>
      <c r="H890" s="207"/>
      <c r="J890" s="76"/>
    </row>
    <row r="891" spans="1:10">
      <c r="A891" s="172"/>
      <c r="D891" s="56"/>
      <c r="E891" s="204"/>
      <c r="F891" s="205"/>
      <c r="G891" s="206"/>
      <c r="H891" s="207"/>
      <c r="J891" s="76"/>
    </row>
    <row r="892" spans="1:10">
      <c r="A892" s="172"/>
      <c r="D892" s="56"/>
      <c r="E892" s="204"/>
      <c r="F892" s="205"/>
      <c r="G892" s="206"/>
      <c r="H892" s="207"/>
      <c r="J892" s="76"/>
    </row>
    <row r="893" spans="1:10">
      <c r="A893" s="172"/>
      <c r="D893" s="56"/>
      <c r="E893" s="204"/>
      <c r="F893" s="205"/>
      <c r="G893" s="206"/>
      <c r="H893" s="207"/>
      <c r="J893" s="76"/>
    </row>
    <row r="894" spans="1:10">
      <c r="A894" s="172"/>
      <c r="D894" s="56"/>
      <c r="E894" s="204"/>
      <c r="F894" s="205"/>
      <c r="G894" s="206"/>
      <c r="H894" s="207"/>
      <c r="J894" s="76"/>
    </row>
    <row r="895" spans="1:10">
      <c r="A895" s="172"/>
      <c r="D895" s="56"/>
      <c r="E895" s="204"/>
      <c r="F895" s="205"/>
      <c r="G895" s="206"/>
      <c r="H895" s="207"/>
      <c r="J895" s="76"/>
    </row>
    <row r="896" spans="1:10">
      <c r="A896" s="172"/>
      <c r="D896" s="56"/>
      <c r="E896" s="204"/>
      <c r="F896" s="205"/>
      <c r="G896" s="206"/>
      <c r="H896" s="207"/>
      <c r="J896" s="76"/>
    </row>
    <row r="897" spans="1:10">
      <c r="A897" s="172"/>
      <c r="D897" s="56"/>
      <c r="E897" s="204"/>
      <c r="F897" s="205"/>
      <c r="G897" s="206"/>
      <c r="H897" s="207"/>
      <c r="J897" s="76"/>
    </row>
    <row r="898" spans="1:10">
      <c r="A898" s="172"/>
      <c r="D898" s="56"/>
      <c r="E898" s="204"/>
      <c r="F898" s="205"/>
      <c r="G898" s="206"/>
      <c r="H898" s="207"/>
      <c r="J898" s="76"/>
    </row>
    <row r="899" spans="1:10">
      <c r="A899" s="172"/>
      <c r="D899" s="56"/>
      <c r="E899" s="204"/>
      <c r="F899" s="205"/>
      <c r="G899" s="206"/>
      <c r="H899" s="207"/>
      <c r="J899" s="76"/>
    </row>
    <row r="900" spans="1:10">
      <c r="A900" s="172"/>
      <c r="D900" s="56"/>
      <c r="E900" s="204"/>
      <c r="F900" s="205"/>
      <c r="G900" s="206"/>
      <c r="H900" s="207"/>
      <c r="J900" s="76"/>
    </row>
    <row r="901" spans="1:10">
      <c r="A901" s="172"/>
      <c r="D901" s="56"/>
      <c r="E901" s="204"/>
      <c r="F901" s="205"/>
      <c r="G901" s="206"/>
      <c r="H901" s="207"/>
      <c r="J901" s="76"/>
    </row>
    <row r="902" spans="1:10">
      <c r="A902" s="172"/>
      <c r="D902" s="56"/>
      <c r="E902" s="204"/>
      <c r="F902" s="205"/>
      <c r="G902" s="206"/>
      <c r="H902" s="207"/>
      <c r="J902" s="76"/>
    </row>
    <row r="903" spans="1:10">
      <c r="A903" s="172"/>
      <c r="D903" s="56"/>
      <c r="E903" s="204"/>
      <c r="F903" s="205"/>
      <c r="G903" s="206"/>
      <c r="H903" s="207"/>
      <c r="J903" s="76"/>
    </row>
    <row r="904" spans="1:10">
      <c r="A904" s="172"/>
      <c r="D904" s="56"/>
      <c r="E904" s="204"/>
      <c r="F904" s="205"/>
      <c r="G904" s="206"/>
      <c r="H904" s="207"/>
      <c r="J904" s="76"/>
    </row>
    <row r="905" spans="1:10">
      <c r="A905" s="172"/>
      <c r="D905" s="56"/>
      <c r="E905" s="204"/>
      <c r="F905" s="205"/>
      <c r="G905" s="206"/>
      <c r="H905" s="207"/>
      <c r="J905" s="76"/>
    </row>
    <row r="906" spans="1:10">
      <c r="A906" s="172"/>
      <c r="D906" s="56"/>
      <c r="E906" s="204"/>
      <c r="F906" s="205"/>
      <c r="G906" s="206"/>
      <c r="H906" s="207"/>
      <c r="J906" s="76"/>
    </row>
    <row r="907" spans="1:10">
      <c r="A907" s="172"/>
      <c r="D907" s="56"/>
      <c r="E907" s="204"/>
      <c r="F907" s="205"/>
      <c r="G907" s="206"/>
      <c r="H907" s="207"/>
      <c r="J907" s="76"/>
    </row>
    <row r="908" spans="1:10">
      <c r="A908" s="172"/>
      <c r="D908" s="56"/>
      <c r="E908" s="204"/>
      <c r="F908" s="205"/>
      <c r="G908" s="206"/>
      <c r="H908" s="207"/>
      <c r="J908" s="76"/>
    </row>
    <row r="909" spans="1:10">
      <c r="A909" s="172"/>
      <c r="D909" s="56"/>
      <c r="E909" s="204"/>
      <c r="F909" s="205"/>
      <c r="G909" s="206"/>
      <c r="H909" s="207"/>
      <c r="J909" s="76"/>
    </row>
    <row r="910" spans="1:10">
      <c r="A910" s="172"/>
      <c r="D910" s="56"/>
      <c r="E910" s="204"/>
      <c r="F910" s="205"/>
      <c r="G910" s="206"/>
      <c r="H910" s="207"/>
      <c r="J910" s="76"/>
    </row>
    <row r="911" spans="1:10">
      <c r="A911" s="172"/>
      <c r="D911" s="56"/>
      <c r="E911" s="204"/>
      <c r="F911" s="205"/>
      <c r="G911" s="206"/>
      <c r="H911" s="207"/>
      <c r="J911" s="76"/>
    </row>
    <row r="912" spans="1:10">
      <c r="A912" s="172"/>
      <c r="D912" s="56"/>
      <c r="E912" s="204"/>
      <c r="F912" s="205"/>
      <c r="G912" s="206"/>
      <c r="H912" s="207"/>
      <c r="J912" s="76"/>
    </row>
    <row r="913" spans="1:10">
      <c r="A913" s="172"/>
      <c r="D913" s="56"/>
      <c r="E913" s="204"/>
      <c r="F913" s="205"/>
      <c r="G913" s="206"/>
      <c r="H913" s="207"/>
      <c r="J913" s="76"/>
    </row>
    <row r="914" spans="1:10">
      <c r="A914" s="172"/>
      <c r="D914" s="56"/>
      <c r="E914" s="204"/>
      <c r="F914" s="205"/>
      <c r="G914" s="206"/>
      <c r="H914" s="207"/>
      <c r="J914" s="76"/>
    </row>
    <row r="915" spans="1:10">
      <c r="A915" s="172"/>
      <c r="D915" s="56"/>
      <c r="E915" s="204"/>
      <c r="F915" s="205"/>
      <c r="G915" s="206"/>
      <c r="H915" s="207"/>
      <c r="J915" s="76"/>
    </row>
    <row r="916" spans="1:10">
      <c r="A916" s="172"/>
      <c r="D916" s="56"/>
      <c r="E916" s="204"/>
      <c r="F916" s="205"/>
      <c r="G916" s="206"/>
      <c r="H916" s="207"/>
      <c r="J916" s="76"/>
    </row>
    <row r="917" spans="1:10">
      <c r="A917" s="172"/>
      <c r="D917" s="56"/>
      <c r="E917" s="204"/>
      <c r="F917" s="205"/>
      <c r="G917" s="206"/>
      <c r="H917" s="207"/>
      <c r="J917" s="76"/>
    </row>
    <row r="918" spans="1:10">
      <c r="A918" s="172"/>
      <c r="D918" s="56"/>
      <c r="E918" s="204"/>
      <c r="F918" s="205"/>
      <c r="G918" s="206"/>
      <c r="H918" s="207"/>
      <c r="J918" s="76"/>
    </row>
    <row r="919" spans="1:10">
      <c r="A919" s="172"/>
      <c r="D919" s="56"/>
      <c r="E919" s="204"/>
      <c r="F919" s="205"/>
      <c r="G919" s="206"/>
      <c r="H919" s="207"/>
      <c r="J919" s="76"/>
    </row>
    <row r="920" spans="1:10">
      <c r="A920" s="172"/>
      <c r="D920" s="56"/>
      <c r="E920" s="204"/>
      <c r="F920" s="205"/>
      <c r="G920" s="206"/>
      <c r="H920" s="207"/>
      <c r="J920" s="76"/>
    </row>
    <row r="921" spans="1:10">
      <c r="A921" s="172"/>
      <c r="D921" s="56"/>
      <c r="E921" s="204"/>
      <c r="F921" s="205"/>
      <c r="G921" s="206"/>
      <c r="H921" s="207"/>
      <c r="J921" s="76"/>
    </row>
    <row r="922" spans="1:10">
      <c r="A922" s="172"/>
      <c r="D922" s="56"/>
      <c r="E922" s="204"/>
      <c r="F922" s="205"/>
      <c r="G922" s="206"/>
      <c r="H922" s="207"/>
      <c r="J922" s="76"/>
    </row>
    <row r="923" spans="1:10">
      <c r="A923" s="172"/>
      <c r="D923" s="56"/>
      <c r="E923" s="204"/>
      <c r="F923" s="205"/>
      <c r="G923" s="206"/>
      <c r="H923" s="207"/>
      <c r="J923" s="76"/>
    </row>
    <row r="924" spans="1:10">
      <c r="A924" s="172"/>
      <c r="D924" s="56"/>
      <c r="E924" s="204"/>
      <c r="F924" s="205"/>
      <c r="G924" s="206"/>
      <c r="H924" s="207"/>
      <c r="J924" s="76"/>
    </row>
    <row r="925" spans="1:10">
      <c r="A925" s="172"/>
      <c r="D925" s="56"/>
      <c r="E925" s="204"/>
      <c r="F925" s="205"/>
      <c r="G925" s="206"/>
      <c r="H925" s="207"/>
      <c r="J925" s="76"/>
    </row>
    <row r="926" spans="1:10">
      <c r="A926" s="172"/>
      <c r="D926" s="56"/>
      <c r="E926" s="204"/>
      <c r="F926" s="205"/>
      <c r="G926" s="206"/>
      <c r="H926" s="207"/>
      <c r="J926" s="76"/>
    </row>
    <row r="927" spans="1:10">
      <c r="A927" s="172"/>
      <c r="D927" s="56"/>
      <c r="E927" s="204"/>
      <c r="F927" s="205"/>
      <c r="G927" s="206"/>
      <c r="H927" s="207"/>
      <c r="J927" s="76"/>
    </row>
    <row r="928" spans="1:10">
      <c r="A928" s="172"/>
      <c r="D928" s="56"/>
      <c r="E928" s="204"/>
      <c r="F928" s="205"/>
      <c r="G928" s="206"/>
      <c r="H928" s="207"/>
      <c r="J928" s="76"/>
    </row>
    <row r="929" spans="1:10">
      <c r="A929" s="172"/>
      <c r="D929" s="56"/>
      <c r="E929" s="204"/>
      <c r="F929" s="205"/>
      <c r="G929" s="206"/>
      <c r="H929" s="207"/>
      <c r="J929" s="76"/>
    </row>
    <row r="930" spans="1:10">
      <c r="A930" s="172"/>
      <c r="D930" s="56"/>
      <c r="E930" s="204"/>
      <c r="F930" s="205"/>
      <c r="G930" s="206"/>
      <c r="H930" s="207"/>
      <c r="J930" s="76"/>
    </row>
    <row r="931" spans="1:10">
      <c r="A931" s="172"/>
      <c r="D931" s="56"/>
      <c r="E931" s="204"/>
      <c r="F931" s="205"/>
      <c r="G931" s="206"/>
      <c r="H931" s="207"/>
      <c r="J931" s="76"/>
    </row>
    <row r="932" spans="1:10">
      <c r="A932" s="172"/>
      <c r="D932" s="56"/>
      <c r="E932" s="204"/>
      <c r="F932" s="205"/>
      <c r="G932" s="206"/>
      <c r="H932" s="207"/>
      <c r="J932" s="76"/>
    </row>
    <row r="933" spans="1:10">
      <c r="A933" s="172"/>
      <c r="D933" s="56"/>
      <c r="E933" s="204"/>
      <c r="F933" s="205"/>
      <c r="G933" s="206"/>
      <c r="H933" s="207"/>
      <c r="J933" s="76"/>
    </row>
    <row r="934" spans="1:10">
      <c r="A934" s="172"/>
      <c r="D934" s="56"/>
      <c r="E934" s="204"/>
      <c r="F934" s="205"/>
      <c r="G934" s="206"/>
      <c r="H934" s="207"/>
      <c r="J934" s="76"/>
    </row>
    <row r="935" spans="1:10">
      <c r="A935" s="172"/>
      <c r="D935" s="56"/>
      <c r="E935" s="204"/>
      <c r="F935" s="205"/>
      <c r="G935" s="206"/>
      <c r="H935" s="207"/>
      <c r="J935" s="76"/>
    </row>
    <row r="936" spans="1:10">
      <c r="A936" s="172"/>
      <c r="D936" s="56"/>
      <c r="E936" s="204"/>
      <c r="F936" s="205"/>
      <c r="G936" s="206"/>
      <c r="H936" s="207"/>
      <c r="J936" s="76"/>
    </row>
    <row r="937" spans="1:10">
      <c r="A937" s="172"/>
      <c r="D937" s="56"/>
      <c r="E937" s="204"/>
      <c r="F937" s="205"/>
      <c r="G937" s="206"/>
      <c r="H937" s="207"/>
      <c r="J937" s="76"/>
    </row>
    <row r="938" spans="1:10">
      <c r="A938" s="172"/>
      <c r="D938" s="56"/>
      <c r="E938" s="204"/>
      <c r="F938" s="205"/>
      <c r="G938" s="206"/>
      <c r="H938" s="207"/>
      <c r="J938" s="76"/>
    </row>
    <row r="939" spans="1:10">
      <c r="A939" s="172"/>
      <c r="D939" s="56"/>
      <c r="E939" s="204"/>
      <c r="F939" s="205"/>
      <c r="G939" s="206"/>
      <c r="H939" s="207"/>
      <c r="J939" s="76"/>
    </row>
    <row r="940" spans="1:10">
      <c r="A940" s="172"/>
      <c r="D940" s="56"/>
      <c r="E940" s="204"/>
      <c r="F940" s="205"/>
      <c r="G940" s="206"/>
      <c r="H940" s="207"/>
      <c r="J940" s="76"/>
    </row>
    <row r="941" spans="1:10">
      <c r="A941" s="172"/>
      <c r="D941" s="56"/>
      <c r="E941" s="204"/>
      <c r="F941" s="205"/>
      <c r="G941" s="206"/>
      <c r="H941" s="207"/>
      <c r="J941" s="76"/>
    </row>
    <row r="942" spans="1:10">
      <c r="A942" s="172"/>
      <c r="D942" s="56"/>
      <c r="E942" s="204"/>
      <c r="F942" s="205"/>
      <c r="G942" s="206"/>
      <c r="H942" s="207"/>
      <c r="J942" s="76"/>
    </row>
    <row r="943" spans="1:10">
      <c r="A943" s="172"/>
      <c r="D943" s="56"/>
      <c r="E943" s="204"/>
      <c r="F943" s="205"/>
      <c r="G943" s="206"/>
      <c r="H943" s="207"/>
      <c r="J943" s="76"/>
    </row>
    <row r="944" spans="1:10">
      <c r="A944" s="172"/>
      <c r="D944" s="56"/>
      <c r="E944" s="204"/>
      <c r="F944" s="205"/>
      <c r="G944" s="206"/>
      <c r="H944" s="207"/>
      <c r="J944" s="76"/>
    </row>
    <row r="945" spans="1:10">
      <c r="A945" s="172"/>
      <c r="D945" s="56"/>
      <c r="E945" s="204"/>
      <c r="F945" s="205"/>
      <c r="G945" s="206"/>
      <c r="H945" s="207"/>
      <c r="J945" s="76"/>
    </row>
    <row r="946" spans="1:10">
      <c r="A946" s="172"/>
      <c r="D946" s="56"/>
      <c r="E946" s="204"/>
      <c r="F946" s="205"/>
      <c r="G946" s="206"/>
      <c r="H946" s="207"/>
      <c r="J946" s="76"/>
    </row>
    <row r="947" spans="1:10">
      <c r="A947" s="172"/>
      <c r="D947" s="56"/>
      <c r="E947" s="204"/>
      <c r="F947" s="205"/>
      <c r="G947" s="206"/>
      <c r="H947" s="207"/>
      <c r="J947" s="76"/>
    </row>
    <row r="948" spans="1:10">
      <c r="A948" s="172"/>
      <c r="D948" s="56"/>
      <c r="E948" s="204"/>
      <c r="F948" s="205"/>
      <c r="G948" s="206"/>
      <c r="H948" s="207"/>
      <c r="J948" s="76"/>
    </row>
    <row r="949" spans="1:10">
      <c r="A949" s="172"/>
      <c r="D949" s="56"/>
      <c r="E949" s="204"/>
      <c r="F949" s="205"/>
      <c r="G949" s="206"/>
      <c r="H949" s="207"/>
      <c r="J949" s="76"/>
    </row>
    <row r="950" spans="1:10">
      <c r="A950" s="172"/>
      <c r="D950" s="56"/>
      <c r="E950" s="204"/>
      <c r="F950" s="205"/>
      <c r="G950" s="206"/>
      <c r="H950" s="207"/>
      <c r="J950" s="76"/>
    </row>
    <row r="951" spans="1:10">
      <c r="A951" s="172"/>
      <c r="D951" s="56"/>
      <c r="E951" s="204"/>
      <c r="F951" s="205"/>
      <c r="G951" s="206"/>
      <c r="H951" s="207"/>
      <c r="J951" s="76"/>
    </row>
    <row r="952" spans="1:10">
      <c r="A952" s="172"/>
      <c r="D952" s="56"/>
      <c r="E952" s="204"/>
      <c r="F952" s="205"/>
      <c r="G952" s="206"/>
      <c r="H952" s="207"/>
      <c r="J952" s="76"/>
    </row>
    <row r="953" spans="1:10">
      <c r="A953" s="172"/>
      <c r="D953" s="56"/>
      <c r="E953" s="204"/>
      <c r="F953" s="205"/>
      <c r="G953" s="206"/>
      <c r="H953" s="207"/>
      <c r="J953" s="76"/>
    </row>
    <row r="954" spans="1:10">
      <c r="A954" s="172"/>
      <c r="D954" s="56"/>
      <c r="E954" s="204"/>
      <c r="F954" s="205"/>
      <c r="G954" s="206"/>
      <c r="H954" s="207"/>
      <c r="J954" s="76"/>
    </row>
    <row r="955" spans="1:10">
      <c r="A955" s="172"/>
      <c r="D955" s="56"/>
      <c r="E955" s="204"/>
      <c r="F955" s="205"/>
      <c r="G955" s="206"/>
      <c r="H955" s="207"/>
      <c r="J955" s="76"/>
    </row>
    <row r="956" spans="1:10">
      <c r="A956" s="172"/>
      <c r="D956" s="56"/>
      <c r="E956" s="204"/>
      <c r="F956" s="205"/>
      <c r="G956" s="206"/>
      <c r="H956" s="207"/>
      <c r="J956" s="76"/>
    </row>
    <row r="957" spans="1:10">
      <c r="A957" s="172"/>
      <c r="D957" s="56"/>
      <c r="E957" s="204"/>
      <c r="F957" s="205"/>
      <c r="G957" s="206"/>
      <c r="H957" s="207"/>
      <c r="J957" s="76"/>
    </row>
    <row r="958" spans="1:10">
      <c r="A958" s="172"/>
      <c r="D958" s="56"/>
      <c r="E958" s="204"/>
      <c r="F958" s="205"/>
      <c r="G958" s="206"/>
      <c r="H958" s="207"/>
      <c r="J958" s="76"/>
    </row>
    <row r="959" spans="1:10">
      <c r="A959" s="172"/>
      <c r="D959" s="56"/>
      <c r="E959" s="204"/>
      <c r="F959" s="205"/>
      <c r="G959" s="206"/>
      <c r="H959" s="207"/>
      <c r="J959" s="76"/>
    </row>
    <row r="960" spans="1:10">
      <c r="A960" s="172"/>
      <c r="D960" s="56"/>
      <c r="E960" s="204"/>
      <c r="F960" s="205"/>
      <c r="G960" s="206"/>
      <c r="H960" s="207"/>
      <c r="J960" s="76"/>
    </row>
    <row r="961" spans="1:10">
      <c r="A961" s="172"/>
      <c r="D961" s="56"/>
      <c r="E961" s="204"/>
      <c r="F961" s="205"/>
      <c r="G961" s="206"/>
      <c r="H961" s="207"/>
      <c r="J961" s="76"/>
    </row>
    <row r="962" spans="1:10">
      <c r="A962" s="172"/>
      <c r="D962" s="56"/>
      <c r="E962" s="204"/>
      <c r="F962" s="205"/>
      <c r="G962" s="206"/>
      <c r="H962" s="207"/>
      <c r="J962" s="76"/>
    </row>
    <row r="963" spans="1:10">
      <c r="A963" s="172"/>
      <c r="D963" s="56"/>
      <c r="E963" s="204"/>
      <c r="F963" s="205"/>
      <c r="G963" s="206"/>
      <c r="H963" s="207"/>
      <c r="J963" s="76"/>
    </row>
    <row r="964" spans="1:10">
      <c r="A964" s="172"/>
      <c r="D964" s="56"/>
      <c r="E964" s="204"/>
      <c r="F964" s="205"/>
      <c r="G964" s="206"/>
      <c r="H964" s="207"/>
      <c r="J964" s="76"/>
    </row>
    <row r="965" spans="1:10">
      <c r="A965" s="172"/>
      <c r="D965" s="56"/>
      <c r="E965" s="204"/>
      <c r="F965" s="205"/>
      <c r="G965" s="206"/>
      <c r="H965" s="207"/>
      <c r="J965" s="76"/>
    </row>
    <row r="966" spans="1:10">
      <c r="A966" s="172"/>
      <c r="D966" s="56"/>
      <c r="E966" s="204"/>
      <c r="F966" s="205"/>
      <c r="G966" s="206"/>
      <c r="H966" s="207"/>
      <c r="J966" s="76"/>
    </row>
    <row r="967" spans="1:10">
      <c r="A967" s="172"/>
      <c r="D967" s="56"/>
      <c r="E967" s="204"/>
      <c r="F967" s="205"/>
      <c r="G967" s="206"/>
      <c r="H967" s="207"/>
      <c r="J967" s="76"/>
    </row>
    <row r="968" spans="1:10">
      <c r="A968" s="172"/>
      <c r="D968" s="56"/>
      <c r="E968" s="204"/>
      <c r="F968" s="205"/>
      <c r="G968" s="206"/>
      <c r="H968" s="207"/>
      <c r="J968" s="76"/>
    </row>
    <row r="969" spans="1:10">
      <c r="A969" s="172"/>
      <c r="D969" s="56"/>
      <c r="E969" s="204"/>
      <c r="F969" s="205"/>
      <c r="G969" s="206"/>
      <c r="H969" s="207"/>
      <c r="J969" s="76"/>
    </row>
    <row r="970" spans="1:10">
      <c r="A970" s="172"/>
      <c r="D970" s="56"/>
      <c r="E970" s="204"/>
      <c r="F970" s="205"/>
      <c r="G970" s="206"/>
      <c r="H970" s="207"/>
      <c r="J970" s="76"/>
    </row>
    <row r="971" spans="1:10">
      <c r="A971" s="172"/>
      <c r="D971" s="56"/>
      <c r="E971" s="204"/>
      <c r="F971" s="205"/>
      <c r="G971" s="206"/>
      <c r="H971" s="207"/>
      <c r="J971" s="76"/>
    </row>
    <row r="972" spans="1:10">
      <c r="A972" s="172"/>
      <c r="D972" s="56"/>
      <c r="E972" s="204"/>
      <c r="F972" s="205"/>
      <c r="G972" s="206"/>
      <c r="H972" s="207"/>
      <c r="J972" s="76"/>
    </row>
    <row r="973" spans="1:10">
      <c r="A973" s="172"/>
      <c r="D973" s="56"/>
      <c r="E973" s="204"/>
      <c r="F973" s="205"/>
      <c r="G973" s="206"/>
      <c r="H973" s="207"/>
      <c r="J973" s="76"/>
    </row>
    <row r="974" spans="1:10">
      <c r="A974" s="172"/>
      <c r="D974" s="56"/>
      <c r="E974" s="204"/>
      <c r="F974" s="205"/>
      <c r="G974" s="206"/>
      <c r="H974" s="207"/>
      <c r="J974" s="76"/>
    </row>
    <row r="975" spans="1:10">
      <c r="A975" s="172"/>
      <c r="D975" s="56"/>
      <c r="E975" s="204"/>
      <c r="F975" s="205"/>
      <c r="G975" s="206"/>
      <c r="H975" s="207"/>
      <c r="J975" s="76"/>
    </row>
    <row r="976" spans="1:10">
      <c r="A976" s="172"/>
      <c r="D976" s="56"/>
      <c r="E976" s="204"/>
      <c r="F976" s="205"/>
      <c r="G976" s="206"/>
      <c r="H976" s="207"/>
      <c r="J976" s="76"/>
    </row>
    <row r="977" spans="1:10">
      <c r="A977" s="172"/>
      <c r="D977" s="56"/>
      <c r="E977" s="204"/>
      <c r="F977" s="205"/>
      <c r="G977" s="206"/>
      <c r="H977" s="207"/>
      <c r="J977" s="76"/>
    </row>
    <row r="978" spans="1:10">
      <c r="A978" s="172"/>
      <c r="D978" s="56"/>
      <c r="E978" s="204"/>
      <c r="F978" s="205"/>
      <c r="G978" s="206"/>
      <c r="H978" s="207"/>
      <c r="J978" s="76"/>
    </row>
    <row r="979" spans="1:10">
      <c r="A979" s="172"/>
      <c r="D979" s="56"/>
      <c r="E979" s="204"/>
      <c r="F979" s="205"/>
      <c r="G979" s="206"/>
      <c r="H979" s="207"/>
      <c r="J979" s="76"/>
    </row>
    <row r="980" spans="1:10">
      <c r="A980" s="172"/>
      <c r="D980" s="56"/>
      <c r="E980" s="204"/>
      <c r="F980" s="205"/>
      <c r="G980" s="206"/>
      <c r="H980" s="207"/>
      <c r="J980" s="76"/>
    </row>
    <row r="981" spans="1:10">
      <c r="A981" s="172"/>
      <c r="D981" s="56"/>
      <c r="E981" s="204"/>
      <c r="F981" s="205"/>
      <c r="G981" s="206"/>
      <c r="H981" s="207"/>
      <c r="J981" s="76"/>
    </row>
    <row r="982" spans="1:10">
      <c r="A982" s="172"/>
      <c r="D982" s="56"/>
      <c r="E982" s="204"/>
      <c r="F982" s="205"/>
      <c r="G982" s="206"/>
      <c r="H982" s="207"/>
      <c r="J982" s="76"/>
    </row>
    <row r="983" spans="1:10">
      <c r="A983" s="172"/>
      <c r="D983" s="56"/>
      <c r="E983" s="204"/>
      <c r="F983" s="205"/>
      <c r="G983" s="206"/>
      <c r="H983" s="207"/>
      <c r="J983" s="76"/>
    </row>
    <row r="984" spans="1:10">
      <c r="A984" s="172"/>
      <c r="D984" s="56"/>
      <c r="E984" s="204"/>
      <c r="F984" s="205"/>
      <c r="G984" s="206"/>
      <c r="H984" s="207"/>
      <c r="J984" s="76"/>
    </row>
    <row r="985" spans="1:10">
      <c r="A985" s="172"/>
      <c r="D985" s="56"/>
      <c r="E985" s="204"/>
      <c r="F985" s="205"/>
      <c r="G985" s="206"/>
      <c r="H985" s="207"/>
      <c r="J985" s="76"/>
    </row>
    <row r="986" spans="1:10">
      <c r="A986" s="172"/>
      <c r="D986" s="56"/>
      <c r="E986" s="204"/>
      <c r="F986" s="205"/>
      <c r="G986" s="206"/>
      <c r="H986" s="207"/>
      <c r="J986" s="76"/>
    </row>
    <row r="987" spans="1:10">
      <c r="A987" s="172"/>
      <c r="D987" s="56"/>
      <c r="E987" s="204"/>
      <c r="F987" s="205"/>
      <c r="G987" s="206"/>
      <c r="H987" s="207"/>
      <c r="J987" s="76"/>
    </row>
    <row r="988" spans="1:10">
      <c r="A988" s="172"/>
      <c r="D988" s="56"/>
      <c r="E988" s="204"/>
      <c r="F988" s="205"/>
      <c r="G988" s="206"/>
      <c r="H988" s="207"/>
      <c r="J988" s="76"/>
    </row>
    <row r="989" spans="1:10">
      <c r="A989" s="172"/>
      <c r="D989" s="56"/>
      <c r="E989" s="204"/>
      <c r="F989" s="205"/>
      <c r="G989" s="206"/>
      <c r="H989" s="207"/>
      <c r="J989" s="76"/>
    </row>
    <row r="990" spans="1:10">
      <c r="A990" s="172"/>
      <c r="D990" s="56"/>
      <c r="E990" s="204"/>
      <c r="F990" s="205"/>
      <c r="G990" s="206"/>
      <c r="H990" s="207"/>
      <c r="J990" s="76"/>
    </row>
    <row r="991" spans="1:10">
      <c r="A991" s="172"/>
      <c r="D991" s="56"/>
      <c r="E991" s="204"/>
      <c r="F991" s="205"/>
      <c r="G991" s="206"/>
      <c r="H991" s="207"/>
      <c r="J991" s="76"/>
    </row>
    <row r="992" spans="1:10">
      <c r="A992" s="172"/>
      <c r="D992" s="56"/>
      <c r="E992" s="204"/>
      <c r="F992" s="205"/>
      <c r="G992" s="206"/>
      <c r="H992" s="207"/>
      <c r="J992" s="76"/>
    </row>
    <row r="993" spans="1:10">
      <c r="A993" s="172"/>
      <c r="D993" s="56"/>
      <c r="E993" s="204"/>
      <c r="F993" s="205"/>
      <c r="G993" s="206"/>
      <c r="H993" s="207"/>
      <c r="J993" s="76"/>
    </row>
    <row r="994" spans="1:10">
      <c r="A994" s="172"/>
      <c r="D994" s="56"/>
      <c r="E994" s="204"/>
      <c r="F994" s="205"/>
      <c r="G994" s="206"/>
      <c r="H994" s="207"/>
      <c r="J994" s="76"/>
    </row>
    <row r="995" spans="1:10">
      <c r="A995" s="172"/>
      <c r="D995" s="56"/>
      <c r="E995" s="204"/>
      <c r="F995" s="205"/>
      <c r="G995" s="206"/>
      <c r="H995" s="207"/>
      <c r="J995" s="76"/>
    </row>
    <row r="996" spans="1:10">
      <c r="A996" s="172"/>
      <c r="D996" s="56"/>
      <c r="E996" s="204"/>
      <c r="F996" s="205"/>
      <c r="G996" s="206"/>
      <c r="H996" s="207"/>
      <c r="J996" s="76"/>
    </row>
    <row r="997" spans="1:10">
      <c r="A997" s="172"/>
      <c r="D997" s="56"/>
      <c r="E997" s="204"/>
      <c r="F997" s="205"/>
      <c r="G997" s="206"/>
      <c r="H997" s="207"/>
      <c r="J997" s="76"/>
    </row>
    <row r="998" spans="1:10">
      <c r="A998" s="172"/>
      <c r="D998" s="56"/>
      <c r="E998" s="204"/>
      <c r="F998" s="205"/>
      <c r="G998" s="206"/>
      <c r="H998" s="207"/>
      <c r="J998" s="76"/>
    </row>
    <row r="999" spans="1:10">
      <c r="A999" s="172"/>
      <c r="D999" s="56"/>
      <c r="E999" s="204"/>
      <c r="F999" s="205"/>
      <c r="G999" s="206"/>
      <c r="H999" s="207"/>
      <c r="J999" s="76"/>
    </row>
    <row r="1000" spans="1:10">
      <c r="A1000" s="172"/>
      <c r="D1000" s="56"/>
      <c r="E1000" s="204"/>
      <c r="F1000" s="205"/>
      <c r="G1000" s="206"/>
      <c r="H1000" s="207"/>
      <c r="J1000" s="76"/>
    </row>
    <row r="1001" spans="1:10">
      <c r="A1001" s="172"/>
      <c r="D1001" s="56"/>
      <c r="E1001" s="204"/>
      <c r="F1001" s="205"/>
      <c r="G1001" s="206"/>
      <c r="H1001" s="207"/>
      <c r="J1001" s="76"/>
    </row>
    <row r="1002" spans="1:10">
      <c r="A1002" s="172"/>
      <c r="D1002" s="56"/>
      <c r="E1002" s="204"/>
      <c r="F1002" s="205"/>
      <c r="G1002" s="206"/>
      <c r="H1002" s="207"/>
      <c r="J1002" s="76"/>
    </row>
    <row r="1003" spans="1:10">
      <c r="A1003" s="172"/>
      <c r="D1003" s="56"/>
      <c r="E1003" s="204"/>
      <c r="F1003" s="205"/>
      <c r="G1003" s="206"/>
      <c r="H1003" s="207"/>
      <c r="J1003" s="76"/>
    </row>
    <row r="1004" spans="1:10">
      <c r="A1004" s="172"/>
      <c r="D1004" s="56"/>
      <c r="E1004" s="204"/>
      <c r="F1004" s="205"/>
      <c r="G1004" s="206"/>
      <c r="H1004" s="207"/>
      <c r="J1004" s="76"/>
    </row>
    <row r="1005" spans="1:10">
      <c r="A1005" s="172"/>
      <c r="D1005" s="56"/>
      <c r="E1005" s="204"/>
      <c r="F1005" s="205"/>
      <c r="G1005" s="206"/>
      <c r="H1005" s="207"/>
      <c r="J1005" s="76"/>
    </row>
    <row r="1006" spans="1:10">
      <c r="A1006" s="172"/>
      <c r="D1006" s="56"/>
      <c r="E1006" s="204"/>
      <c r="F1006" s="205"/>
      <c r="G1006" s="206"/>
      <c r="H1006" s="207"/>
      <c r="J1006" s="76"/>
    </row>
    <row r="1007" spans="1:10">
      <c r="A1007" s="172"/>
      <c r="D1007" s="56"/>
      <c r="E1007" s="204"/>
      <c r="F1007" s="205"/>
      <c r="G1007" s="206"/>
      <c r="H1007" s="207"/>
      <c r="J1007" s="76"/>
    </row>
    <row r="1008" spans="1:10">
      <c r="A1008" s="172"/>
      <c r="D1008" s="56"/>
      <c r="E1008" s="204"/>
      <c r="F1008" s="205"/>
      <c r="G1008" s="206"/>
      <c r="H1008" s="207"/>
      <c r="J1008" s="76"/>
    </row>
    <row r="1009" spans="1:10">
      <c r="A1009" s="172"/>
      <c r="D1009" s="56"/>
      <c r="E1009" s="204"/>
      <c r="F1009" s="205"/>
      <c r="G1009" s="206"/>
      <c r="H1009" s="207"/>
      <c r="J1009" s="76"/>
    </row>
    <row r="1010" spans="1:10">
      <c r="A1010" s="172"/>
      <c r="D1010" s="56"/>
      <c r="E1010" s="204"/>
      <c r="F1010" s="205"/>
      <c r="G1010" s="206"/>
      <c r="H1010" s="207"/>
      <c r="J1010" s="76"/>
    </row>
    <row r="1011" spans="1:10">
      <c r="A1011" s="172"/>
      <c r="D1011" s="56"/>
      <c r="E1011" s="204"/>
      <c r="F1011" s="205"/>
      <c r="G1011" s="206"/>
      <c r="H1011" s="207"/>
      <c r="J1011" s="76"/>
    </row>
    <row r="1012" spans="1:10">
      <c r="A1012" s="172"/>
      <c r="D1012" s="56"/>
      <c r="E1012" s="204"/>
      <c r="F1012" s="205"/>
      <c r="G1012" s="206"/>
      <c r="H1012" s="207"/>
      <c r="J1012" s="76"/>
    </row>
    <row r="1013" spans="1:10">
      <c r="A1013" s="172"/>
      <c r="D1013" s="56"/>
      <c r="E1013" s="204"/>
      <c r="F1013" s="205"/>
      <c r="G1013" s="206"/>
      <c r="H1013" s="207"/>
      <c r="J1013" s="76"/>
    </row>
    <row r="1014" spans="1:10">
      <c r="A1014" s="172"/>
      <c r="D1014" s="56"/>
      <c r="E1014" s="204"/>
      <c r="F1014" s="205"/>
      <c r="G1014" s="206"/>
      <c r="H1014" s="207"/>
      <c r="J1014" s="76"/>
    </row>
    <row r="1015" spans="1:10">
      <c r="A1015" s="172"/>
      <c r="D1015" s="56"/>
      <c r="E1015" s="204"/>
      <c r="F1015" s="205"/>
      <c r="G1015" s="206"/>
      <c r="H1015" s="207"/>
      <c r="J1015" s="76"/>
    </row>
    <row r="1016" spans="1:10">
      <c r="A1016" s="172"/>
      <c r="D1016" s="56"/>
      <c r="E1016" s="204"/>
      <c r="F1016" s="205"/>
      <c r="G1016" s="206"/>
      <c r="H1016" s="207"/>
      <c r="J1016" s="76"/>
    </row>
    <row r="1017" spans="1:10">
      <c r="A1017" s="172"/>
      <c r="D1017" s="56"/>
      <c r="E1017" s="204"/>
      <c r="F1017" s="205"/>
      <c r="G1017" s="206"/>
      <c r="H1017" s="207"/>
      <c r="J1017" s="76"/>
    </row>
    <row r="1018" spans="1:10">
      <c r="A1018" s="172"/>
      <c r="D1018" s="56"/>
      <c r="E1018" s="204"/>
      <c r="F1018" s="205"/>
      <c r="G1018" s="206"/>
      <c r="H1018" s="207"/>
      <c r="J1018" s="76"/>
    </row>
    <row r="1019" spans="1:10">
      <c r="A1019" s="172"/>
      <c r="D1019" s="56"/>
      <c r="E1019" s="204"/>
      <c r="F1019" s="205"/>
      <c r="G1019" s="206"/>
      <c r="H1019" s="207"/>
      <c r="J1019" s="76"/>
    </row>
    <row r="1020" spans="1:10">
      <c r="A1020" s="172"/>
      <c r="D1020" s="56"/>
      <c r="E1020" s="204"/>
      <c r="F1020" s="205"/>
      <c r="G1020" s="206"/>
      <c r="H1020" s="207"/>
      <c r="J1020" s="76"/>
    </row>
    <row r="1021" spans="1:10">
      <c r="A1021" s="172"/>
      <c r="D1021" s="56"/>
      <c r="E1021" s="204"/>
      <c r="F1021" s="205"/>
      <c r="G1021" s="206"/>
      <c r="H1021" s="207"/>
      <c r="J1021" s="76"/>
    </row>
    <row r="1022" spans="1:10">
      <c r="A1022" s="172"/>
      <c r="D1022" s="56"/>
      <c r="E1022" s="204"/>
      <c r="F1022" s="205"/>
      <c r="G1022" s="206"/>
      <c r="H1022" s="207"/>
      <c r="J1022" s="76"/>
    </row>
    <row r="1023" spans="1:10">
      <c r="A1023" s="172"/>
      <c r="D1023" s="56"/>
      <c r="E1023" s="204"/>
      <c r="F1023" s="205"/>
      <c r="G1023" s="206"/>
      <c r="H1023" s="207"/>
      <c r="J1023" s="76"/>
    </row>
    <row r="1024" spans="1:10">
      <c r="A1024" s="172"/>
      <c r="D1024" s="56"/>
      <c r="E1024" s="204"/>
      <c r="F1024" s="205"/>
      <c r="G1024" s="206"/>
      <c r="H1024" s="207"/>
      <c r="J1024" s="76"/>
    </row>
    <row r="1025" spans="1:10">
      <c r="A1025" s="172"/>
      <c r="D1025" s="56"/>
      <c r="E1025" s="204"/>
      <c r="F1025" s="205"/>
      <c r="G1025" s="206"/>
      <c r="H1025" s="207"/>
      <c r="J1025" s="76"/>
    </row>
    <row r="1026" spans="1:10">
      <c r="A1026" s="172"/>
      <c r="D1026" s="56"/>
      <c r="E1026" s="204"/>
      <c r="F1026" s="205"/>
      <c r="G1026" s="206"/>
      <c r="H1026" s="207"/>
      <c r="J1026" s="76"/>
    </row>
    <row r="1027" spans="1:10">
      <c r="A1027" s="172"/>
      <c r="D1027" s="56"/>
      <c r="E1027" s="204"/>
      <c r="F1027" s="205"/>
      <c r="G1027" s="206"/>
      <c r="H1027" s="207"/>
      <c r="J1027" s="76"/>
    </row>
    <row r="1028" spans="1:10">
      <c r="A1028" s="172"/>
      <c r="D1028" s="56"/>
      <c r="E1028" s="204"/>
      <c r="F1028" s="205"/>
      <c r="G1028" s="206"/>
      <c r="H1028" s="207"/>
      <c r="J1028" s="76"/>
    </row>
    <row r="1029" spans="1:10">
      <c r="A1029" s="172"/>
      <c r="D1029" s="56"/>
      <c r="E1029" s="204"/>
      <c r="F1029" s="205"/>
      <c r="G1029" s="206"/>
      <c r="H1029" s="207"/>
      <c r="J1029" s="76"/>
    </row>
    <row r="1030" spans="1:10">
      <c r="A1030" s="172"/>
      <c r="D1030" s="56"/>
      <c r="E1030" s="204"/>
      <c r="F1030" s="205"/>
      <c r="G1030" s="206"/>
      <c r="H1030" s="207"/>
      <c r="J1030" s="76"/>
    </row>
    <row r="1031" spans="1:10">
      <c r="A1031" s="172"/>
      <c r="D1031" s="56"/>
      <c r="E1031" s="204"/>
      <c r="F1031" s="205"/>
      <c r="G1031" s="206"/>
      <c r="H1031" s="207"/>
      <c r="J1031" s="76"/>
    </row>
    <row r="1032" spans="1:10">
      <c r="A1032" s="172"/>
      <c r="D1032" s="56"/>
      <c r="E1032" s="204"/>
      <c r="F1032" s="205"/>
      <c r="G1032" s="206"/>
      <c r="H1032" s="207"/>
      <c r="J1032" s="76"/>
    </row>
    <row r="1033" spans="1:10">
      <c r="A1033" s="172"/>
      <c r="D1033" s="56"/>
      <c r="E1033" s="204"/>
      <c r="F1033" s="205"/>
      <c r="G1033" s="206"/>
      <c r="H1033" s="207"/>
      <c r="J1033" s="76"/>
    </row>
    <row r="1034" spans="1:10">
      <c r="A1034" s="172"/>
      <c r="D1034" s="56"/>
      <c r="E1034" s="204"/>
      <c r="F1034" s="205"/>
      <c r="G1034" s="206"/>
      <c r="H1034" s="207"/>
      <c r="J1034" s="76"/>
    </row>
    <row r="1035" spans="1:10">
      <c r="A1035" s="172"/>
      <c r="D1035" s="56"/>
      <c r="E1035" s="204"/>
      <c r="F1035" s="205"/>
      <c r="G1035" s="206"/>
      <c r="H1035" s="207"/>
      <c r="J1035" s="76"/>
    </row>
    <row r="1036" spans="1:10">
      <c r="A1036" s="172"/>
      <c r="D1036" s="56"/>
      <c r="E1036" s="204"/>
      <c r="F1036" s="205"/>
      <c r="G1036" s="206"/>
      <c r="H1036" s="207"/>
      <c r="J1036" s="76"/>
    </row>
    <row r="1037" spans="1:10">
      <c r="A1037" s="172"/>
      <c r="D1037" s="56"/>
      <c r="E1037" s="204"/>
      <c r="F1037" s="205"/>
      <c r="G1037" s="206"/>
      <c r="H1037" s="207"/>
      <c r="J1037" s="76"/>
    </row>
    <row r="1038" spans="1:10">
      <c r="A1038" s="172"/>
      <c r="D1038" s="56"/>
      <c r="E1038" s="204"/>
      <c r="F1038" s="205"/>
      <c r="G1038" s="206"/>
      <c r="H1038" s="207"/>
      <c r="J1038" s="76"/>
    </row>
    <row r="1039" spans="1:10">
      <c r="A1039" s="172"/>
      <c r="D1039" s="56"/>
      <c r="E1039" s="204"/>
      <c r="F1039" s="205"/>
      <c r="G1039" s="206"/>
      <c r="H1039" s="207"/>
      <c r="J1039" s="76"/>
    </row>
    <row r="1040" spans="1:10">
      <c r="A1040" s="172"/>
      <c r="D1040" s="56"/>
      <c r="E1040" s="204"/>
      <c r="F1040" s="205"/>
      <c r="G1040" s="206"/>
      <c r="H1040" s="207"/>
      <c r="J1040" s="76"/>
    </row>
    <row r="1041" spans="1:10">
      <c r="A1041" s="172"/>
      <c r="D1041" s="56"/>
      <c r="E1041" s="204"/>
      <c r="F1041" s="205"/>
      <c r="G1041" s="206"/>
      <c r="H1041" s="207"/>
      <c r="J1041" s="76"/>
    </row>
    <row r="1042" spans="1:10">
      <c r="A1042" s="172"/>
      <c r="D1042" s="56"/>
      <c r="E1042" s="204"/>
      <c r="F1042" s="205"/>
      <c r="G1042" s="206"/>
      <c r="H1042" s="207"/>
      <c r="J1042" s="76"/>
    </row>
    <row r="1043" spans="1:10">
      <c r="A1043" s="172"/>
      <c r="D1043" s="56"/>
      <c r="E1043" s="204"/>
      <c r="F1043" s="205"/>
      <c r="G1043" s="206"/>
      <c r="H1043" s="207"/>
      <c r="J1043" s="76"/>
    </row>
    <row r="1044" spans="1:10">
      <c r="A1044" s="172"/>
      <c r="D1044" s="56"/>
      <c r="E1044" s="204"/>
      <c r="F1044" s="205"/>
      <c r="G1044" s="206"/>
      <c r="H1044" s="207"/>
      <c r="J1044" s="76"/>
    </row>
    <row r="1045" spans="1:10">
      <c r="A1045" s="172"/>
      <c r="D1045" s="56"/>
      <c r="E1045" s="204"/>
      <c r="F1045" s="205"/>
      <c r="G1045" s="206"/>
      <c r="H1045" s="207"/>
      <c r="J1045" s="76"/>
    </row>
    <row r="1046" spans="1:10">
      <c r="A1046" s="172"/>
      <c r="D1046" s="56"/>
      <c r="E1046" s="204"/>
      <c r="F1046" s="205"/>
      <c r="G1046" s="206"/>
      <c r="H1046" s="207"/>
      <c r="J1046" s="76"/>
    </row>
    <row r="1047" spans="1:10">
      <c r="A1047" s="172"/>
      <c r="D1047" s="56"/>
      <c r="E1047" s="204"/>
      <c r="F1047" s="205"/>
      <c r="G1047" s="206"/>
      <c r="H1047" s="207"/>
      <c r="J1047" s="76"/>
    </row>
    <row r="1048" spans="1:10">
      <c r="A1048" s="172"/>
      <c r="D1048" s="56"/>
      <c r="E1048" s="204"/>
      <c r="F1048" s="205"/>
      <c r="G1048" s="206"/>
      <c r="H1048" s="207"/>
      <c r="J1048" s="76"/>
    </row>
    <row r="1049" spans="1:10">
      <c r="A1049" s="172"/>
      <c r="D1049" s="56"/>
      <c r="E1049" s="204"/>
      <c r="F1049" s="205"/>
      <c r="G1049" s="206"/>
      <c r="H1049" s="207"/>
      <c r="J1049" s="76"/>
    </row>
    <row r="1050" spans="1:10">
      <c r="A1050" s="172"/>
      <c r="D1050" s="56"/>
      <c r="E1050" s="204"/>
      <c r="F1050" s="205"/>
      <c r="G1050" s="206"/>
      <c r="H1050" s="207"/>
      <c r="J1050" s="76"/>
    </row>
    <row r="1051" spans="1:10">
      <c r="A1051" s="172"/>
      <c r="D1051" s="56"/>
      <c r="E1051" s="204"/>
      <c r="F1051" s="205"/>
      <c r="G1051" s="206"/>
      <c r="H1051" s="207"/>
      <c r="J1051" s="76"/>
    </row>
    <row r="1052" spans="1:10">
      <c r="A1052" s="172"/>
      <c r="D1052" s="56"/>
      <c r="E1052" s="204"/>
      <c r="F1052" s="205"/>
      <c r="G1052" s="206"/>
      <c r="H1052" s="207"/>
      <c r="J1052" s="76"/>
    </row>
    <row r="1053" spans="1:10">
      <c r="A1053" s="172"/>
      <c r="D1053" s="56"/>
      <c r="E1053" s="204"/>
      <c r="F1053" s="205"/>
      <c r="G1053" s="206"/>
      <c r="H1053" s="207"/>
      <c r="J1053" s="76"/>
    </row>
    <row r="1054" spans="1:10">
      <c r="A1054" s="172"/>
      <c r="D1054" s="56"/>
      <c r="E1054" s="204"/>
      <c r="F1054" s="205"/>
      <c r="G1054" s="206"/>
      <c r="H1054" s="207"/>
      <c r="J1054" s="76"/>
    </row>
    <row r="1055" spans="1:10">
      <c r="A1055" s="172"/>
      <c r="D1055" s="56"/>
      <c r="E1055" s="204"/>
      <c r="F1055" s="205"/>
      <c r="G1055" s="206"/>
      <c r="H1055" s="207"/>
      <c r="J1055" s="76"/>
    </row>
    <row r="1056" spans="1:10">
      <c r="A1056" s="172"/>
      <c r="D1056" s="56"/>
      <c r="E1056" s="204"/>
      <c r="F1056" s="205"/>
      <c r="G1056" s="206"/>
      <c r="H1056" s="207"/>
      <c r="J1056" s="76"/>
    </row>
    <row r="1057" spans="1:10">
      <c r="A1057" s="172"/>
      <c r="D1057" s="56"/>
      <c r="E1057" s="204"/>
      <c r="F1057" s="205"/>
      <c r="G1057" s="206"/>
      <c r="H1057" s="207"/>
      <c r="J1057" s="76"/>
    </row>
    <row r="1058" spans="1:10">
      <c r="A1058" s="172"/>
      <c r="D1058" s="56"/>
      <c r="E1058" s="204"/>
      <c r="F1058" s="205"/>
      <c r="G1058" s="206"/>
      <c r="H1058" s="207"/>
      <c r="J1058" s="76"/>
    </row>
    <row r="1059" spans="1:10">
      <c r="A1059" s="172"/>
      <c r="D1059" s="56"/>
      <c r="E1059" s="204"/>
      <c r="F1059" s="205"/>
      <c r="G1059" s="206"/>
      <c r="H1059" s="207"/>
      <c r="J1059" s="76"/>
    </row>
    <row r="1060" spans="1:10">
      <c r="A1060" s="172"/>
      <c r="D1060" s="56"/>
      <c r="E1060" s="204"/>
      <c r="F1060" s="205"/>
      <c r="G1060" s="206"/>
      <c r="H1060" s="207"/>
      <c r="J1060" s="76"/>
    </row>
    <row r="1061" spans="1:10">
      <c r="A1061" s="172"/>
      <c r="D1061" s="56"/>
      <c r="E1061" s="204"/>
      <c r="F1061" s="205"/>
      <c r="G1061" s="206"/>
      <c r="H1061" s="207"/>
      <c r="J1061" s="76"/>
    </row>
    <row r="1062" spans="1:10">
      <c r="A1062" s="172"/>
      <c r="D1062" s="56"/>
      <c r="E1062" s="204"/>
      <c r="F1062" s="205"/>
      <c r="G1062" s="206"/>
      <c r="H1062" s="207"/>
      <c r="J1062" s="76"/>
    </row>
    <row r="1063" spans="1:10">
      <c r="A1063" s="172"/>
      <c r="D1063" s="56"/>
      <c r="E1063" s="204"/>
      <c r="F1063" s="205"/>
      <c r="G1063" s="206"/>
      <c r="H1063" s="207"/>
      <c r="J1063" s="76"/>
    </row>
    <row r="1064" spans="1:10">
      <c r="A1064" s="172"/>
      <c r="D1064" s="56"/>
      <c r="E1064" s="204"/>
      <c r="F1064" s="205"/>
      <c r="G1064" s="206"/>
      <c r="H1064" s="207"/>
      <c r="J1064" s="76"/>
    </row>
    <row r="1065" spans="1:10">
      <c r="A1065" s="172"/>
      <c r="D1065" s="56"/>
      <c r="E1065" s="204"/>
      <c r="F1065" s="205"/>
      <c r="G1065" s="206"/>
      <c r="H1065" s="207"/>
      <c r="J1065" s="76"/>
    </row>
    <row r="1066" spans="1:10">
      <c r="A1066" s="172"/>
      <c r="D1066" s="56"/>
      <c r="E1066" s="204"/>
      <c r="F1066" s="205"/>
      <c r="G1066" s="206"/>
      <c r="H1066" s="207"/>
      <c r="J1066" s="76"/>
    </row>
    <row r="1067" spans="1:10">
      <c r="A1067" s="172"/>
      <c r="D1067" s="56"/>
      <c r="E1067" s="204"/>
      <c r="F1067" s="205"/>
      <c r="G1067" s="206"/>
      <c r="H1067" s="207"/>
      <c r="J1067" s="76"/>
    </row>
    <row r="1068" spans="1:10">
      <c r="A1068" s="172"/>
      <c r="D1068" s="56"/>
      <c r="E1068" s="204"/>
      <c r="F1068" s="205"/>
      <c r="G1068" s="206"/>
      <c r="H1068" s="207"/>
      <c r="J1068" s="76"/>
    </row>
    <row r="1069" spans="1:10">
      <c r="A1069" s="172"/>
      <c r="D1069" s="56"/>
      <c r="E1069" s="204"/>
      <c r="F1069" s="205"/>
      <c r="G1069" s="206"/>
      <c r="H1069" s="207"/>
      <c r="J1069" s="76"/>
    </row>
    <row r="1070" spans="1:10">
      <c r="A1070" s="172"/>
      <c r="D1070" s="56"/>
      <c r="E1070" s="204"/>
      <c r="F1070" s="205"/>
      <c r="G1070" s="206"/>
      <c r="H1070" s="207"/>
      <c r="J1070" s="76"/>
    </row>
    <row r="1071" spans="1:10">
      <c r="A1071" s="172"/>
      <c r="D1071" s="56"/>
      <c r="E1071" s="204"/>
      <c r="F1071" s="205"/>
      <c r="G1071" s="206"/>
      <c r="H1071" s="207"/>
      <c r="J1071" s="76"/>
    </row>
    <row r="1072" spans="1:10">
      <c r="A1072" s="172"/>
      <c r="D1072" s="56"/>
      <c r="E1072" s="204"/>
      <c r="F1072" s="205"/>
      <c r="G1072" s="206"/>
      <c r="H1072" s="207"/>
      <c r="J1072" s="76"/>
    </row>
    <row r="1073" spans="1:10">
      <c r="A1073" s="172"/>
      <c r="D1073" s="56"/>
      <c r="E1073" s="204"/>
      <c r="F1073" s="205"/>
      <c r="G1073" s="206"/>
      <c r="H1073" s="207"/>
      <c r="J1073" s="76"/>
    </row>
    <row r="1074" spans="1:10">
      <c r="A1074" s="172"/>
      <c r="D1074" s="56"/>
      <c r="E1074" s="204"/>
      <c r="F1074" s="205"/>
      <c r="G1074" s="206"/>
      <c r="H1074" s="207"/>
      <c r="J1074" s="76"/>
    </row>
    <row r="1075" spans="1:10">
      <c r="A1075" s="172"/>
      <c r="D1075" s="56"/>
      <c r="E1075" s="204"/>
      <c r="F1075" s="205"/>
      <c r="G1075" s="206"/>
      <c r="H1075" s="207"/>
      <c r="J1075" s="76"/>
    </row>
    <row r="1076" spans="1:10">
      <c r="A1076" s="172"/>
      <c r="D1076" s="56"/>
      <c r="E1076" s="204"/>
      <c r="F1076" s="205"/>
      <c r="G1076" s="206"/>
      <c r="H1076" s="207"/>
      <c r="J1076" s="76"/>
    </row>
    <row r="1077" spans="1:10">
      <c r="A1077" s="172"/>
      <c r="D1077" s="56"/>
      <c r="E1077" s="204"/>
      <c r="F1077" s="205"/>
      <c r="G1077" s="206"/>
      <c r="H1077" s="207"/>
      <c r="J1077" s="76"/>
    </row>
    <row r="1078" spans="1:10">
      <c r="A1078" s="172"/>
      <c r="D1078" s="56"/>
      <c r="E1078" s="204"/>
      <c r="F1078" s="205"/>
      <c r="G1078" s="206"/>
      <c r="H1078" s="207"/>
      <c r="J1078" s="76"/>
    </row>
    <row r="1079" spans="1:10">
      <c r="A1079" s="172"/>
      <c r="D1079" s="56"/>
      <c r="E1079" s="204"/>
      <c r="F1079" s="205"/>
      <c r="G1079" s="206"/>
      <c r="H1079" s="207"/>
      <c r="J1079" s="76"/>
    </row>
    <row r="1080" spans="1:10">
      <c r="A1080" s="172"/>
      <c r="D1080" s="56"/>
      <c r="E1080" s="204"/>
      <c r="F1080" s="205"/>
      <c r="G1080" s="206"/>
      <c r="H1080" s="207"/>
      <c r="J1080" s="76"/>
    </row>
    <row r="1081" spans="1:10">
      <c r="A1081" s="172"/>
      <c r="D1081" s="56"/>
      <c r="E1081" s="204"/>
      <c r="F1081" s="205"/>
      <c r="G1081" s="206"/>
      <c r="H1081" s="207"/>
      <c r="J1081" s="76"/>
    </row>
    <row r="1082" spans="1:10">
      <c r="A1082" s="172"/>
      <c r="D1082" s="56"/>
      <c r="E1082" s="204"/>
      <c r="F1082" s="205"/>
      <c r="G1082" s="206"/>
      <c r="H1082" s="207"/>
      <c r="J1082" s="76"/>
    </row>
    <row r="1083" spans="1:10">
      <c r="A1083" s="172"/>
      <c r="D1083" s="56"/>
      <c r="E1083" s="204"/>
      <c r="F1083" s="205"/>
      <c r="G1083" s="206"/>
      <c r="H1083" s="207"/>
      <c r="J1083" s="76"/>
    </row>
    <row r="1084" spans="1:10">
      <c r="A1084" s="172"/>
      <c r="D1084" s="56"/>
      <c r="E1084" s="204"/>
      <c r="F1084" s="205"/>
      <c r="G1084" s="206"/>
      <c r="H1084" s="207"/>
      <c r="J1084" s="76"/>
    </row>
    <row r="1085" spans="1:10">
      <c r="A1085" s="172"/>
      <c r="D1085" s="56"/>
      <c r="E1085" s="204"/>
      <c r="F1085" s="205"/>
      <c r="G1085" s="206"/>
      <c r="H1085" s="207"/>
      <c r="J1085" s="76"/>
    </row>
    <row r="1086" spans="1:10">
      <c r="A1086" s="172"/>
      <c r="D1086" s="56"/>
      <c r="E1086" s="204"/>
      <c r="F1086" s="205"/>
      <c r="G1086" s="206"/>
      <c r="H1086" s="207"/>
      <c r="J1086" s="76"/>
    </row>
    <row r="1087" spans="1:10">
      <c r="A1087" s="172"/>
      <c r="D1087" s="56"/>
      <c r="E1087" s="204"/>
      <c r="F1087" s="205"/>
      <c r="G1087" s="206"/>
      <c r="H1087" s="207"/>
      <c r="J1087" s="76"/>
    </row>
    <row r="1088" spans="1:10">
      <c r="A1088" s="172"/>
      <c r="D1088" s="56"/>
      <c r="E1088" s="204"/>
      <c r="F1088" s="205"/>
      <c r="G1088" s="206"/>
      <c r="H1088" s="207"/>
      <c r="J1088" s="76"/>
    </row>
    <row r="1089" spans="1:10">
      <c r="A1089" s="172"/>
      <c r="D1089" s="56"/>
      <c r="E1089" s="204"/>
      <c r="F1089" s="205"/>
      <c r="G1089" s="206"/>
      <c r="H1089" s="207"/>
      <c r="J1089" s="76"/>
    </row>
    <row r="1090" spans="1:10">
      <c r="A1090" s="172"/>
      <c r="D1090" s="56"/>
      <c r="E1090" s="204"/>
      <c r="F1090" s="205"/>
      <c r="G1090" s="206"/>
      <c r="H1090" s="207"/>
      <c r="J1090" s="76"/>
    </row>
    <row r="1091" spans="1:10">
      <c r="A1091" s="172"/>
      <c r="D1091" s="56"/>
      <c r="E1091" s="204"/>
      <c r="F1091" s="205"/>
      <c r="G1091" s="206"/>
      <c r="H1091" s="207"/>
      <c r="J1091" s="76"/>
    </row>
    <row r="1092" spans="1:10">
      <c r="A1092" s="172"/>
      <c r="D1092" s="56"/>
      <c r="E1092" s="204"/>
      <c r="F1092" s="205"/>
      <c r="G1092" s="206"/>
      <c r="H1092" s="207"/>
      <c r="J1092" s="76"/>
    </row>
    <row r="1093" spans="1:10">
      <c r="A1093" s="172"/>
      <c r="D1093" s="56"/>
      <c r="E1093" s="204"/>
      <c r="F1093" s="205"/>
      <c r="G1093" s="206"/>
      <c r="H1093" s="207"/>
      <c r="J1093" s="76"/>
    </row>
    <row r="1094" spans="1:10">
      <c r="A1094" s="172"/>
      <c r="D1094" s="56"/>
      <c r="E1094" s="204"/>
      <c r="F1094" s="205"/>
      <c r="G1094" s="206"/>
      <c r="H1094" s="207"/>
      <c r="J1094" s="76"/>
    </row>
    <row r="1095" spans="1:10">
      <c r="A1095" s="172"/>
      <c r="D1095" s="56"/>
      <c r="E1095" s="204"/>
      <c r="F1095" s="205"/>
      <c r="G1095" s="206"/>
      <c r="H1095" s="207"/>
      <c r="J1095" s="76"/>
    </row>
    <row r="1096" spans="1:10">
      <c r="A1096" s="172"/>
      <c r="D1096" s="56"/>
      <c r="E1096" s="204"/>
      <c r="F1096" s="205"/>
      <c r="G1096" s="206"/>
      <c r="H1096" s="207"/>
      <c r="J1096" s="76"/>
    </row>
    <row r="1097" spans="1:10">
      <c r="A1097" s="172"/>
      <c r="D1097" s="56"/>
      <c r="E1097" s="204"/>
      <c r="F1097" s="205"/>
      <c r="G1097" s="206"/>
      <c r="H1097" s="207"/>
      <c r="J1097" s="76"/>
    </row>
    <row r="1098" spans="1:10">
      <c r="A1098" s="172"/>
      <c r="D1098" s="56"/>
      <c r="E1098" s="204"/>
      <c r="F1098" s="205"/>
      <c r="G1098" s="206"/>
      <c r="H1098" s="207"/>
      <c r="J1098" s="76"/>
    </row>
    <row r="1099" spans="1:10">
      <c r="A1099" s="172"/>
      <c r="D1099" s="56"/>
      <c r="E1099" s="204"/>
      <c r="F1099" s="205"/>
      <c r="G1099" s="206"/>
      <c r="H1099" s="207"/>
      <c r="J1099" s="76"/>
    </row>
    <row r="1100" spans="1:10">
      <c r="A1100" s="172"/>
      <c r="D1100" s="56"/>
      <c r="E1100" s="204"/>
      <c r="F1100" s="205"/>
      <c r="G1100" s="206"/>
      <c r="H1100" s="207"/>
      <c r="J1100" s="76"/>
    </row>
    <row r="1101" spans="1:10">
      <c r="A1101" s="172"/>
      <c r="D1101" s="56"/>
      <c r="E1101" s="204"/>
      <c r="F1101" s="205"/>
      <c r="G1101" s="206"/>
      <c r="H1101" s="207"/>
      <c r="J1101" s="76"/>
    </row>
    <row r="1102" spans="1:10">
      <c r="A1102" s="172"/>
      <c r="D1102" s="56"/>
      <c r="E1102" s="204"/>
      <c r="F1102" s="205"/>
      <c r="G1102" s="206"/>
      <c r="H1102" s="207"/>
      <c r="J1102" s="76"/>
    </row>
    <row r="1103" spans="1:10">
      <c r="A1103" s="172"/>
      <c r="D1103" s="56"/>
      <c r="E1103" s="204"/>
      <c r="F1103" s="205"/>
      <c r="G1103" s="206"/>
      <c r="H1103" s="207"/>
      <c r="J1103" s="76"/>
    </row>
    <row r="1104" spans="1:10">
      <c r="A1104" s="172"/>
      <c r="D1104" s="56"/>
      <c r="E1104" s="204"/>
      <c r="F1104" s="205"/>
      <c r="G1104" s="206"/>
      <c r="H1104" s="207"/>
      <c r="J1104" s="76"/>
    </row>
    <row r="1105" spans="1:10">
      <c r="A1105" s="172"/>
      <c r="D1105" s="56"/>
      <c r="E1105" s="204"/>
      <c r="F1105" s="205"/>
      <c r="G1105" s="206"/>
      <c r="H1105" s="207"/>
      <c r="J1105" s="76"/>
    </row>
    <row r="1106" spans="1:10">
      <c r="A1106" s="172"/>
      <c r="D1106" s="56"/>
      <c r="E1106" s="204"/>
      <c r="F1106" s="205"/>
      <c r="G1106" s="206"/>
      <c r="H1106" s="207"/>
      <c r="J1106" s="76"/>
    </row>
    <row r="1107" spans="1:10">
      <c r="A1107" s="172"/>
      <c r="D1107" s="56"/>
      <c r="E1107" s="204"/>
      <c r="F1107" s="205"/>
      <c r="G1107" s="206"/>
      <c r="H1107" s="207"/>
      <c r="J1107" s="76"/>
    </row>
    <row r="1108" spans="1:10">
      <c r="A1108" s="172"/>
      <c r="D1108" s="56"/>
      <c r="E1108" s="204"/>
      <c r="F1108" s="205"/>
      <c r="G1108" s="206"/>
      <c r="H1108" s="207"/>
      <c r="J1108" s="76"/>
    </row>
    <row r="1109" spans="1:10">
      <c r="A1109" s="172"/>
      <c r="D1109" s="56"/>
      <c r="E1109" s="204"/>
      <c r="F1109" s="205"/>
      <c r="G1109" s="206"/>
      <c r="H1109" s="207"/>
      <c r="J1109" s="76"/>
    </row>
    <row r="1110" spans="1:10">
      <c r="A1110" s="172"/>
      <c r="D1110" s="56"/>
      <c r="E1110" s="204"/>
      <c r="F1110" s="205"/>
      <c r="G1110" s="206"/>
      <c r="H1110" s="207"/>
      <c r="J1110" s="76"/>
    </row>
    <row r="1111" spans="1:10">
      <c r="A1111" s="172"/>
      <c r="D1111" s="56"/>
      <c r="E1111" s="204"/>
      <c r="F1111" s="205"/>
      <c r="G1111" s="206"/>
      <c r="H1111" s="207"/>
      <c r="J1111" s="76"/>
    </row>
    <row r="1112" spans="1:10">
      <c r="A1112" s="172"/>
      <c r="D1112" s="56"/>
      <c r="E1112" s="204"/>
      <c r="F1112" s="205"/>
      <c r="G1112" s="206"/>
      <c r="H1112" s="207"/>
      <c r="J1112" s="76"/>
    </row>
    <row r="1113" spans="1:10">
      <c r="A1113" s="172"/>
      <c r="D1113" s="56"/>
      <c r="E1113" s="204"/>
      <c r="F1113" s="205"/>
      <c r="G1113" s="206"/>
      <c r="H1113" s="207"/>
      <c r="J1113" s="76"/>
    </row>
    <row r="1114" spans="1:10">
      <c r="A1114" s="172"/>
      <c r="D1114" s="56"/>
      <c r="E1114" s="204"/>
      <c r="F1114" s="205"/>
      <c r="G1114" s="206"/>
      <c r="H1114" s="207"/>
      <c r="J1114" s="76"/>
    </row>
    <row r="1115" spans="1:10">
      <c r="A1115" s="172"/>
      <c r="D1115" s="56"/>
      <c r="E1115" s="204"/>
      <c r="F1115" s="205"/>
      <c r="G1115" s="206"/>
      <c r="H1115" s="207"/>
      <c r="J1115" s="76"/>
    </row>
    <row r="1116" spans="1:10">
      <c r="A1116" s="172"/>
      <c r="D1116" s="56"/>
      <c r="E1116" s="204"/>
      <c r="F1116" s="205"/>
      <c r="G1116" s="206"/>
      <c r="H1116" s="207"/>
      <c r="J1116" s="76"/>
    </row>
    <row r="1117" spans="1:10">
      <c r="A1117" s="172"/>
      <c r="D1117" s="56"/>
      <c r="E1117" s="204"/>
      <c r="F1117" s="205"/>
      <c r="G1117" s="206"/>
      <c r="H1117" s="207"/>
      <c r="J1117" s="76"/>
    </row>
    <row r="1118" spans="1:10">
      <c r="A1118" s="172"/>
      <c r="D1118" s="56"/>
      <c r="E1118" s="204"/>
      <c r="F1118" s="205"/>
      <c r="G1118" s="206"/>
      <c r="H1118" s="207"/>
      <c r="J1118" s="76"/>
    </row>
    <row r="1119" spans="1:10">
      <c r="A1119" s="172"/>
      <c r="D1119" s="56"/>
      <c r="E1119" s="204"/>
      <c r="F1119" s="205"/>
      <c r="G1119" s="206"/>
      <c r="H1119" s="207"/>
      <c r="J1119" s="76"/>
    </row>
    <row r="1120" spans="1:10">
      <c r="A1120" s="172"/>
      <c r="D1120" s="56"/>
      <c r="E1120" s="204"/>
      <c r="F1120" s="205"/>
      <c r="G1120" s="206"/>
      <c r="H1120" s="207"/>
      <c r="J1120" s="76"/>
    </row>
    <row r="1121" spans="1:10">
      <c r="A1121" s="172"/>
      <c r="D1121" s="56"/>
      <c r="E1121" s="204"/>
      <c r="F1121" s="205"/>
      <c r="G1121" s="206"/>
      <c r="H1121" s="207"/>
      <c r="J1121" s="76"/>
    </row>
    <row r="1122" spans="1:10">
      <c r="A1122" s="172"/>
      <c r="D1122" s="56"/>
      <c r="E1122" s="204"/>
      <c r="F1122" s="205"/>
      <c r="G1122" s="206"/>
      <c r="H1122" s="207"/>
      <c r="J1122" s="76"/>
    </row>
    <row r="1123" spans="1:10">
      <c r="A1123" s="172"/>
      <c r="D1123" s="56"/>
      <c r="E1123" s="204"/>
      <c r="F1123" s="205"/>
      <c r="G1123" s="206"/>
      <c r="H1123" s="207"/>
      <c r="J1123" s="76"/>
    </row>
    <row r="1124" spans="1:10">
      <c r="A1124" s="172"/>
      <c r="D1124" s="56"/>
      <c r="E1124" s="204"/>
      <c r="F1124" s="205"/>
      <c r="G1124" s="206"/>
      <c r="H1124" s="207"/>
      <c r="J1124" s="76"/>
    </row>
    <row r="1125" spans="1:10">
      <c r="A1125" s="172"/>
      <c r="D1125" s="56"/>
      <c r="E1125" s="204"/>
      <c r="F1125" s="205"/>
      <c r="G1125" s="206"/>
      <c r="H1125" s="207"/>
      <c r="J1125" s="76"/>
    </row>
    <row r="1126" spans="1:10">
      <c r="A1126" s="172"/>
      <c r="D1126" s="56"/>
      <c r="E1126" s="204"/>
      <c r="F1126" s="205"/>
      <c r="G1126" s="206"/>
      <c r="H1126" s="207"/>
      <c r="J1126" s="76"/>
    </row>
    <row r="1127" spans="1:10">
      <c r="A1127" s="172"/>
      <c r="D1127" s="56"/>
      <c r="E1127" s="204"/>
      <c r="F1127" s="205"/>
      <c r="G1127" s="206"/>
      <c r="H1127" s="207"/>
      <c r="J1127" s="76"/>
    </row>
    <row r="1128" spans="1:10">
      <c r="A1128" s="172"/>
      <c r="D1128" s="56"/>
      <c r="E1128" s="204"/>
      <c r="F1128" s="205"/>
      <c r="G1128" s="206"/>
      <c r="H1128" s="207"/>
      <c r="J1128" s="76"/>
    </row>
    <row r="1129" spans="1:10">
      <c r="A1129" s="172"/>
      <c r="D1129" s="56"/>
      <c r="E1129" s="204"/>
      <c r="F1129" s="205"/>
      <c r="G1129" s="206"/>
      <c r="H1129" s="207"/>
      <c r="J1129" s="76"/>
    </row>
    <row r="1130" spans="1:10">
      <c r="A1130" s="172"/>
      <c r="D1130" s="56"/>
      <c r="E1130" s="204"/>
      <c r="F1130" s="205"/>
      <c r="G1130" s="206"/>
      <c r="H1130" s="207"/>
      <c r="J1130" s="76"/>
    </row>
    <row r="1131" spans="1:10">
      <c r="A1131" s="172"/>
      <c r="D1131" s="56"/>
      <c r="E1131" s="204"/>
      <c r="F1131" s="205"/>
      <c r="G1131" s="206"/>
      <c r="H1131" s="207"/>
      <c r="J1131" s="76"/>
    </row>
    <row r="1132" spans="1:10">
      <c r="A1132" s="172"/>
      <c r="D1132" s="56"/>
      <c r="E1132" s="204"/>
      <c r="F1132" s="205"/>
      <c r="G1132" s="206"/>
      <c r="H1132" s="207"/>
      <c r="J1132" s="76"/>
    </row>
    <row r="1133" spans="1:10">
      <c r="A1133" s="172"/>
      <c r="D1133" s="56"/>
      <c r="E1133" s="204"/>
      <c r="F1133" s="205"/>
      <c r="G1133" s="206"/>
      <c r="H1133" s="207"/>
      <c r="J1133" s="76"/>
    </row>
    <row r="1134" spans="1:10">
      <c r="A1134" s="172"/>
      <c r="D1134" s="56"/>
      <c r="E1134" s="204"/>
      <c r="F1134" s="205"/>
      <c r="G1134" s="206"/>
      <c r="H1134" s="207"/>
      <c r="J1134" s="76"/>
    </row>
    <row r="1135" spans="1:10">
      <c r="A1135" s="172"/>
      <c r="D1135" s="56"/>
      <c r="E1135" s="204"/>
      <c r="F1135" s="205"/>
      <c r="G1135" s="206"/>
      <c r="H1135" s="207"/>
      <c r="J1135" s="76"/>
    </row>
    <row r="1136" spans="1:10">
      <c r="A1136" s="172"/>
      <c r="D1136" s="56"/>
      <c r="E1136" s="204"/>
      <c r="F1136" s="205"/>
      <c r="G1136" s="206"/>
      <c r="H1136" s="207"/>
      <c r="J1136" s="76"/>
    </row>
    <row r="1137" spans="1:10">
      <c r="A1137" s="172"/>
      <c r="D1137" s="56"/>
      <c r="E1137" s="204"/>
      <c r="F1137" s="205"/>
      <c r="G1137" s="206"/>
      <c r="H1137" s="207"/>
      <c r="J1137" s="76"/>
    </row>
    <row r="1138" spans="1:10">
      <c r="A1138" s="172"/>
      <c r="D1138" s="56"/>
      <c r="E1138" s="204"/>
      <c r="F1138" s="205"/>
      <c r="G1138" s="206"/>
      <c r="H1138" s="207"/>
      <c r="J1138" s="76"/>
    </row>
    <row r="1139" spans="1:10">
      <c r="A1139" s="172"/>
      <c r="D1139" s="56"/>
      <c r="E1139" s="204"/>
      <c r="F1139" s="205"/>
      <c r="G1139" s="206"/>
      <c r="H1139" s="207"/>
      <c r="J1139" s="76"/>
    </row>
    <row r="1140" spans="1:10">
      <c r="A1140" s="172"/>
      <c r="D1140" s="56"/>
      <c r="E1140" s="204"/>
      <c r="F1140" s="205"/>
      <c r="G1140" s="206"/>
      <c r="H1140" s="207"/>
      <c r="J1140" s="76"/>
    </row>
    <row r="1141" spans="1:10">
      <c r="A1141" s="172"/>
      <c r="D1141" s="56"/>
      <c r="E1141" s="204"/>
      <c r="F1141" s="205"/>
      <c r="G1141" s="206"/>
      <c r="H1141" s="207"/>
      <c r="J1141" s="76"/>
    </row>
    <row r="1142" spans="1:10">
      <c r="A1142" s="172"/>
      <c r="D1142" s="56"/>
      <c r="E1142" s="204"/>
      <c r="F1142" s="205"/>
      <c r="G1142" s="206"/>
      <c r="H1142" s="207"/>
      <c r="J1142" s="76"/>
    </row>
    <row r="1143" spans="1:10">
      <c r="A1143" s="172"/>
      <c r="D1143" s="56"/>
      <c r="E1143" s="204"/>
      <c r="F1143" s="205"/>
      <c r="G1143" s="206"/>
      <c r="H1143" s="207"/>
      <c r="J1143" s="76"/>
    </row>
    <row r="1144" spans="1:10">
      <c r="A1144" s="172"/>
      <c r="D1144" s="56"/>
      <c r="E1144" s="204"/>
      <c r="F1144" s="205"/>
      <c r="G1144" s="206"/>
      <c r="H1144" s="207"/>
      <c r="J1144" s="76"/>
    </row>
    <row r="1145" spans="1:10">
      <c r="A1145" s="172"/>
      <c r="D1145" s="56"/>
      <c r="E1145" s="204"/>
      <c r="F1145" s="205"/>
      <c r="G1145" s="206"/>
      <c r="H1145" s="207"/>
      <c r="J1145" s="76"/>
    </row>
    <row r="1146" spans="1:10">
      <c r="A1146" s="172"/>
      <c r="D1146" s="56"/>
      <c r="E1146" s="204"/>
      <c r="F1146" s="205"/>
      <c r="G1146" s="206"/>
      <c r="H1146" s="207"/>
      <c r="J1146" s="76"/>
    </row>
    <row r="1147" spans="1:10">
      <c r="A1147" s="172"/>
      <c r="D1147" s="56"/>
      <c r="E1147" s="204"/>
      <c r="F1147" s="205"/>
      <c r="G1147" s="206"/>
      <c r="H1147" s="207"/>
      <c r="J1147" s="76"/>
    </row>
    <row r="1148" spans="1:10">
      <c r="A1148" s="172"/>
      <c r="D1148" s="56"/>
      <c r="E1148" s="204"/>
      <c r="F1148" s="205"/>
      <c r="G1148" s="206"/>
      <c r="H1148" s="207"/>
      <c r="J1148" s="76"/>
    </row>
    <row r="1149" spans="1:10">
      <c r="A1149" s="172"/>
      <c r="D1149" s="56"/>
      <c r="E1149" s="204"/>
      <c r="F1149" s="205"/>
      <c r="G1149" s="206"/>
      <c r="H1149" s="207"/>
      <c r="J1149" s="76"/>
    </row>
    <row r="1150" spans="1:10">
      <c r="A1150" s="172"/>
      <c r="D1150" s="56"/>
      <c r="E1150" s="204"/>
      <c r="F1150" s="205"/>
      <c r="G1150" s="206"/>
      <c r="H1150" s="207"/>
      <c r="J1150" s="76"/>
    </row>
    <row r="1151" spans="1:10">
      <c r="A1151" s="172"/>
      <c r="D1151" s="56"/>
      <c r="E1151" s="204"/>
      <c r="F1151" s="205"/>
      <c r="G1151" s="206"/>
      <c r="H1151" s="207"/>
      <c r="J1151" s="76"/>
    </row>
    <row r="1152" spans="1:10">
      <c r="A1152" s="172"/>
      <c r="D1152" s="56"/>
      <c r="E1152" s="204"/>
      <c r="F1152" s="205"/>
      <c r="G1152" s="206"/>
      <c r="H1152" s="207"/>
      <c r="J1152" s="76"/>
    </row>
    <row r="1153" spans="1:10">
      <c r="A1153" s="172"/>
      <c r="D1153" s="56"/>
      <c r="E1153" s="204"/>
      <c r="F1153" s="205"/>
      <c r="G1153" s="206"/>
      <c r="H1153" s="207"/>
      <c r="J1153" s="76"/>
    </row>
    <row r="1154" spans="1:10">
      <c r="A1154" s="172"/>
      <c r="D1154" s="56"/>
      <c r="E1154" s="204"/>
      <c r="F1154" s="205"/>
      <c r="G1154" s="206"/>
      <c r="H1154" s="207"/>
      <c r="J1154" s="76"/>
    </row>
    <row r="1155" spans="1:10">
      <c r="A1155" s="172"/>
      <c r="D1155" s="56"/>
      <c r="E1155" s="204"/>
      <c r="F1155" s="205"/>
      <c r="G1155" s="206"/>
      <c r="H1155" s="207"/>
      <c r="J1155" s="76"/>
    </row>
    <row r="1156" spans="1:10">
      <c r="A1156" s="172"/>
      <c r="D1156" s="56"/>
      <c r="E1156" s="204"/>
      <c r="F1156" s="205"/>
      <c r="G1156" s="206"/>
      <c r="H1156" s="207"/>
      <c r="J1156" s="76"/>
    </row>
    <row r="1157" spans="1:10">
      <c r="A1157" s="172"/>
      <c r="D1157" s="56"/>
      <c r="E1157" s="204"/>
      <c r="F1157" s="205"/>
      <c r="G1157" s="206"/>
      <c r="H1157" s="207"/>
      <c r="J1157" s="76"/>
    </row>
    <row r="1158" spans="1:10">
      <c r="A1158" s="172"/>
      <c r="D1158" s="56"/>
      <c r="E1158" s="204"/>
      <c r="F1158" s="205"/>
      <c r="G1158" s="206"/>
      <c r="H1158" s="207"/>
      <c r="J1158" s="76"/>
    </row>
    <row r="1159" spans="1:10">
      <c r="A1159" s="172"/>
      <c r="D1159" s="56"/>
      <c r="E1159" s="204"/>
      <c r="F1159" s="205"/>
      <c r="G1159" s="206"/>
      <c r="H1159" s="207"/>
      <c r="J1159" s="76"/>
    </row>
    <row r="1160" spans="1:10">
      <c r="A1160" s="172"/>
      <c r="D1160" s="56"/>
      <c r="E1160" s="204"/>
      <c r="F1160" s="205"/>
      <c r="G1160" s="206"/>
      <c r="H1160" s="207"/>
      <c r="J1160" s="76"/>
    </row>
    <row r="1161" spans="1:10">
      <c r="A1161" s="172"/>
      <c r="D1161" s="56"/>
      <c r="E1161" s="204"/>
      <c r="F1161" s="205"/>
      <c r="G1161" s="206"/>
      <c r="H1161" s="207"/>
      <c r="J1161" s="76"/>
    </row>
    <row r="1162" spans="1:10">
      <c r="A1162" s="172"/>
      <c r="D1162" s="56"/>
      <c r="E1162" s="204"/>
      <c r="F1162" s="205"/>
      <c r="G1162" s="206"/>
      <c r="H1162" s="207"/>
      <c r="J1162" s="76"/>
    </row>
    <row r="1163" spans="1:10">
      <c r="A1163" s="172"/>
      <c r="D1163" s="56"/>
      <c r="E1163" s="204"/>
      <c r="F1163" s="205"/>
      <c r="G1163" s="206"/>
      <c r="H1163" s="207"/>
      <c r="J1163" s="76"/>
    </row>
    <row r="1164" spans="1:10">
      <c r="A1164" s="172"/>
      <c r="D1164" s="56"/>
      <c r="E1164" s="204"/>
      <c r="F1164" s="205"/>
      <c r="G1164" s="206"/>
      <c r="H1164" s="207"/>
      <c r="J1164" s="76"/>
    </row>
    <row r="1165" spans="1:10">
      <c r="A1165" s="172"/>
      <c r="D1165" s="56"/>
      <c r="E1165" s="204"/>
      <c r="F1165" s="205"/>
      <c r="G1165" s="206"/>
      <c r="H1165" s="207"/>
      <c r="J1165" s="76"/>
    </row>
    <row r="1166" spans="1:10">
      <c r="A1166" s="172"/>
      <c r="D1166" s="56"/>
      <c r="E1166" s="204"/>
      <c r="F1166" s="205"/>
      <c r="G1166" s="206"/>
      <c r="H1166" s="207"/>
      <c r="J1166" s="76"/>
    </row>
    <row r="1167" spans="1:10">
      <c r="A1167" s="172"/>
      <c r="D1167" s="56"/>
      <c r="E1167" s="204"/>
      <c r="F1167" s="205"/>
      <c r="G1167" s="206"/>
      <c r="H1167" s="207"/>
      <c r="J1167" s="76"/>
    </row>
    <row r="1168" spans="1:10">
      <c r="A1168" s="172"/>
      <c r="D1168" s="56"/>
      <c r="E1168" s="204"/>
      <c r="F1168" s="205"/>
      <c r="G1168" s="206"/>
      <c r="H1168" s="207"/>
      <c r="J1168" s="76"/>
    </row>
    <row r="1169" spans="1:10">
      <c r="A1169" s="172"/>
      <c r="D1169" s="56"/>
      <c r="E1169" s="204"/>
      <c r="F1169" s="205"/>
      <c r="G1169" s="206"/>
      <c r="H1169" s="207"/>
      <c r="J1169" s="76"/>
    </row>
    <row r="1170" spans="1:10">
      <c r="A1170" s="172"/>
      <c r="D1170" s="56"/>
      <c r="E1170" s="204"/>
      <c r="F1170" s="205"/>
      <c r="G1170" s="206"/>
      <c r="H1170" s="207"/>
      <c r="J1170" s="76"/>
    </row>
    <row r="1171" spans="1:10">
      <c r="A1171" s="172"/>
      <c r="D1171" s="56"/>
      <c r="E1171" s="204"/>
      <c r="F1171" s="205"/>
      <c r="G1171" s="206"/>
      <c r="H1171" s="207"/>
      <c r="J1171" s="76"/>
    </row>
    <row r="1172" spans="1:10">
      <c r="A1172" s="172"/>
      <c r="D1172" s="56"/>
      <c r="E1172" s="204"/>
      <c r="F1172" s="205"/>
      <c r="G1172" s="206"/>
      <c r="H1172" s="207"/>
      <c r="J1172" s="76"/>
    </row>
    <row r="1173" spans="1:10">
      <c r="A1173" s="172"/>
      <c r="D1173" s="56"/>
      <c r="E1173" s="204"/>
      <c r="F1173" s="205"/>
      <c r="G1173" s="206"/>
      <c r="H1173" s="207"/>
      <c r="J1173" s="76"/>
    </row>
    <row r="1174" spans="1:10">
      <c r="A1174" s="172"/>
      <c r="D1174" s="56"/>
      <c r="E1174" s="204"/>
      <c r="F1174" s="205"/>
      <c r="G1174" s="206"/>
      <c r="H1174" s="207"/>
      <c r="J1174" s="76"/>
    </row>
    <row r="1175" spans="1:10">
      <c r="A1175" s="172"/>
      <c r="D1175" s="56"/>
      <c r="E1175" s="204"/>
      <c r="F1175" s="205"/>
      <c r="G1175" s="206"/>
      <c r="H1175" s="207"/>
      <c r="J1175" s="76"/>
    </row>
    <row r="1176" spans="1:10">
      <c r="A1176" s="172"/>
      <c r="D1176" s="56"/>
      <c r="E1176" s="204"/>
      <c r="F1176" s="205"/>
      <c r="G1176" s="206"/>
      <c r="H1176" s="207"/>
      <c r="J1176" s="76"/>
    </row>
    <row r="1177" spans="1:10">
      <c r="A1177" s="172"/>
      <c r="D1177" s="56"/>
      <c r="E1177" s="204"/>
      <c r="F1177" s="205"/>
      <c r="G1177" s="206"/>
      <c r="H1177" s="207"/>
      <c r="J1177" s="76"/>
    </row>
    <row r="1178" spans="1:10">
      <c r="A1178" s="172"/>
      <c r="D1178" s="56"/>
      <c r="E1178" s="204"/>
      <c r="F1178" s="205"/>
      <c r="G1178" s="206"/>
      <c r="H1178" s="207"/>
      <c r="J1178" s="76"/>
    </row>
    <row r="1179" spans="1:10">
      <c r="A1179" s="172"/>
      <c r="D1179" s="56"/>
      <c r="E1179" s="204"/>
      <c r="F1179" s="205"/>
      <c r="G1179" s="206"/>
      <c r="H1179" s="207"/>
      <c r="J1179" s="76"/>
    </row>
    <row r="1180" spans="1:10">
      <c r="A1180" s="172"/>
      <c r="D1180" s="56"/>
      <c r="E1180" s="204"/>
      <c r="F1180" s="205"/>
      <c r="G1180" s="206"/>
      <c r="H1180" s="207"/>
      <c r="J1180" s="76"/>
    </row>
    <row r="1181" spans="1:10">
      <c r="A1181" s="172"/>
      <c r="D1181" s="56"/>
      <c r="E1181" s="204"/>
      <c r="F1181" s="205"/>
      <c r="G1181" s="206"/>
      <c r="H1181" s="207"/>
      <c r="J1181" s="76"/>
    </row>
    <row r="1182" spans="1:10">
      <c r="A1182" s="172"/>
      <c r="D1182" s="56"/>
      <c r="E1182" s="204"/>
      <c r="F1182" s="205"/>
      <c r="G1182" s="206"/>
      <c r="H1182" s="207"/>
      <c r="J1182" s="76"/>
    </row>
    <row r="1183" spans="1:10">
      <c r="A1183" s="172"/>
      <c r="D1183" s="56"/>
      <c r="E1183" s="204"/>
      <c r="F1183" s="205"/>
      <c r="G1183" s="206"/>
      <c r="H1183" s="207"/>
      <c r="J1183" s="76"/>
    </row>
    <row r="1184" spans="1:10">
      <c r="A1184" s="172"/>
      <c r="D1184" s="56"/>
      <c r="E1184" s="204"/>
      <c r="F1184" s="205"/>
      <c r="G1184" s="206"/>
      <c r="H1184" s="207"/>
      <c r="J1184" s="76"/>
    </row>
    <row r="1185" spans="1:10">
      <c r="A1185" s="172"/>
      <c r="D1185" s="56"/>
      <c r="E1185" s="204"/>
      <c r="F1185" s="205"/>
      <c r="G1185" s="206"/>
      <c r="H1185" s="207"/>
      <c r="J1185" s="76"/>
    </row>
    <row r="1186" spans="1:10">
      <c r="A1186" s="172"/>
      <c r="D1186" s="56"/>
      <c r="E1186" s="204"/>
      <c r="F1186" s="205"/>
      <c r="G1186" s="206"/>
      <c r="H1186" s="207"/>
      <c r="J1186" s="76"/>
    </row>
    <row r="1187" spans="1:10">
      <c r="A1187" s="172"/>
      <c r="D1187" s="56"/>
      <c r="E1187" s="204"/>
      <c r="F1187" s="205"/>
      <c r="G1187" s="206"/>
      <c r="H1187" s="207"/>
      <c r="J1187" s="76"/>
    </row>
    <row r="1188" spans="1:10">
      <c r="A1188" s="172"/>
      <c r="D1188" s="56"/>
      <c r="E1188" s="204"/>
      <c r="F1188" s="205"/>
      <c r="G1188" s="206"/>
      <c r="H1188" s="207"/>
      <c r="J1188" s="76"/>
    </row>
    <row r="1189" spans="1:10">
      <c r="A1189" s="172"/>
      <c r="D1189" s="56"/>
      <c r="E1189" s="204"/>
      <c r="F1189" s="205"/>
      <c r="G1189" s="206"/>
      <c r="H1189" s="207"/>
      <c r="J1189" s="76"/>
    </row>
    <row r="1190" spans="1:10">
      <c r="A1190" s="172"/>
      <c r="D1190" s="56"/>
      <c r="E1190" s="204"/>
      <c r="F1190" s="205"/>
      <c r="G1190" s="206"/>
      <c r="H1190" s="207"/>
      <c r="J1190" s="76"/>
    </row>
    <row r="1191" spans="1:10">
      <c r="A1191" s="172"/>
      <c r="D1191" s="56"/>
      <c r="E1191" s="204"/>
      <c r="F1191" s="205"/>
      <c r="G1191" s="206"/>
      <c r="H1191" s="207"/>
      <c r="J1191" s="76"/>
    </row>
    <row r="1192" spans="1:10">
      <c r="A1192" s="172"/>
      <c r="D1192" s="56"/>
      <c r="E1192" s="204"/>
      <c r="F1192" s="205"/>
      <c r="G1192" s="206"/>
      <c r="H1192" s="207"/>
      <c r="J1192" s="76"/>
    </row>
    <row r="1193" spans="1:10">
      <c r="A1193" s="172"/>
      <c r="D1193" s="56"/>
      <c r="E1193" s="204"/>
      <c r="F1193" s="205"/>
      <c r="G1193" s="206"/>
      <c r="H1193" s="207"/>
      <c r="J1193" s="76"/>
    </row>
    <row r="1194" spans="1:10">
      <c r="A1194" s="172"/>
      <c r="D1194" s="56"/>
      <c r="E1194" s="204"/>
      <c r="F1194" s="205"/>
      <c r="G1194" s="206"/>
      <c r="H1194" s="207"/>
      <c r="J1194" s="76"/>
    </row>
    <row r="1195" spans="1:10">
      <c r="A1195" s="172"/>
      <c r="D1195" s="56"/>
      <c r="E1195" s="204"/>
      <c r="F1195" s="205"/>
      <c r="G1195" s="206"/>
      <c r="H1195" s="207"/>
      <c r="J1195" s="76"/>
    </row>
    <row r="1196" spans="1:10">
      <c r="A1196" s="172"/>
      <c r="D1196" s="56"/>
      <c r="E1196" s="204"/>
      <c r="F1196" s="205"/>
      <c r="G1196" s="206"/>
      <c r="H1196" s="207"/>
      <c r="J1196" s="76"/>
    </row>
    <row r="1197" spans="1:10">
      <c r="A1197" s="172"/>
      <c r="D1197" s="56"/>
      <c r="E1197" s="204"/>
      <c r="F1197" s="205"/>
      <c r="G1197" s="206"/>
      <c r="H1197" s="207"/>
      <c r="J1197" s="76"/>
    </row>
    <row r="1198" spans="1:10">
      <c r="A1198" s="172"/>
      <c r="D1198" s="56"/>
      <c r="E1198" s="204"/>
      <c r="F1198" s="205"/>
      <c r="G1198" s="206"/>
      <c r="H1198" s="207"/>
      <c r="J1198" s="76"/>
    </row>
    <row r="1199" spans="1:10">
      <c r="A1199" s="172"/>
      <c r="D1199" s="56"/>
      <c r="E1199" s="204"/>
      <c r="F1199" s="205"/>
      <c r="G1199" s="206"/>
      <c r="H1199" s="207"/>
      <c r="J1199" s="76"/>
    </row>
    <row r="1200" spans="1:10">
      <c r="A1200" s="172"/>
      <c r="D1200" s="56"/>
      <c r="E1200" s="204"/>
      <c r="F1200" s="205"/>
      <c r="G1200" s="206"/>
      <c r="H1200" s="207"/>
      <c r="J1200" s="76"/>
    </row>
    <row r="1201" spans="1:10">
      <c r="A1201" s="172"/>
      <c r="D1201" s="56"/>
      <c r="E1201" s="204"/>
      <c r="F1201" s="205"/>
      <c r="G1201" s="206"/>
      <c r="H1201" s="207"/>
      <c r="J1201" s="76"/>
    </row>
    <row r="1202" spans="1:10">
      <c r="A1202" s="172"/>
      <c r="D1202" s="56"/>
      <c r="E1202" s="204"/>
      <c r="F1202" s="205"/>
      <c r="G1202" s="206"/>
      <c r="H1202" s="207"/>
      <c r="J1202" s="76"/>
    </row>
    <row r="1203" spans="1:10">
      <c r="A1203" s="172"/>
      <c r="D1203" s="56"/>
      <c r="E1203" s="204"/>
      <c r="F1203" s="205"/>
      <c r="G1203" s="206"/>
      <c r="H1203" s="207"/>
      <c r="J1203" s="76"/>
    </row>
    <row r="1204" spans="1:10">
      <c r="A1204" s="172"/>
      <c r="D1204" s="56"/>
      <c r="E1204" s="204"/>
      <c r="F1204" s="205"/>
      <c r="G1204" s="206"/>
      <c r="H1204" s="207"/>
      <c r="J1204" s="76"/>
    </row>
    <row r="1205" spans="1:10">
      <c r="A1205" s="172"/>
      <c r="D1205" s="56"/>
      <c r="E1205" s="204"/>
      <c r="F1205" s="205"/>
      <c r="G1205" s="206"/>
      <c r="H1205" s="207"/>
      <c r="J1205" s="76"/>
    </row>
    <row r="1206" spans="1:10">
      <c r="A1206" s="172"/>
      <c r="D1206" s="56"/>
      <c r="E1206" s="204"/>
      <c r="F1206" s="205"/>
      <c r="G1206" s="206"/>
      <c r="H1206" s="207"/>
      <c r="J1206" s="76"/>
    </row>
    <row r="1207" spans="1:10">
      <c r="A1207" s="172"/>
      <c r="D1207" s="56"/>
      <c r="E1207" s="204"/>
      <c r="F1207" s="205"/>
      <c r="G1207" s="206"/>
      <c r="H1207" s="207"/>
      <c r="J1207" s="76"/>
    </row>
    <row r="1208" spans="1:10">
      <c r="A1208" s="172"/>
      <c r="D1208" s="56"/>
      <c r="E1208" s="204"/>
      <c r="F1208" s="205"/>
      <c r="G1208" s="206"/>
      <c r="H1208" s="207"/>
      <c r="J1208" s="76"/>
    </row>
    <row r="1209" spans="1:10">
      <c r="A1209" s="172"/>
      <c r="D1209" s="56"/>
      <c r="E1209" s="204"/>
      <c r="F1209" s="205"/>
      <c r="G1209" s="206"/>
      <c r="H1209" s="207"/>
      <c r="J1209" s="76"/>
    </row>
    <row r="1210" spans="1:10">
      <c r="A1210" s="172"/>
      <c r="D1210" s="56"/>
      <c r="E1210" s="204"/>
      <c r="F1210" s="205"/>
      <c r="G1210" s="206"/>
      <c r="H1210" s="207"/>
      <c r="J1210" s="76"/>
    </row>
    <row r="1211" spans="1:10">
      <c r="A1211" s="172"/>
      <c r="D1211" s="56"/>
      <c r="E1211" s="204"/>
      <c r="F1211" s="205"/>
      <c r="G1211" s="206"/>
      <c r="H1211" s="207"/>
      <c r="J1211" s="76"/>
    </row>
    <row r="1212" spans="1:10">
      <c r="A1212" s="172"/>
      <c r="D1212" s="56"/>
      <c r="E1212" s="204"/>
      <c r="F1212" s="205"/>
      <c r="G1212" s="206"/>
      <c r="H1212" s="207"/>
      <c r="J1212" s="76"/>
    </row>
    <row r="1213" spans="1:10">
      <c r="A1213" s="172"/>
      <c r="D1213" s="56"/>
      <c r="E1213" s="204"/>
      <c r="F1213" s="205"/>
      <c r="G1213" s="206"/>
      <c r="H1213" s="207"/>
      <c r="J1213" s="76"/>
    </row>
    <row r="1214" spans="1:10">
      <c r="A1214" s="172"/>
      <c r="D1214" s="56"/>
      <c r="E1214" s="204"/>
      <c r="F1214" s="205"/>
      <c r="G1214" s="206"/>
      <c r="H1214" s="207"/>
      <c r="J1214" s="76"/>
    </row>
    <row r="1215" spans="1:10">
      <c r="A1215" s="172"/>
      <c r="D1215" s="56"/>
      <c r="E1215" s="204"/>
      <c r="F1215" s="205"/>
      <c r="G1215" s="206"/>
      <c r="H1215" s="207"/>
      <c r="J1215" s="76"/>
    </row>
    <row r="1216" spans="1:10">
      <c r="A1216" s="172"/>
      <c r="D1216" s="56"/>
      <c r="E1216" s="204"/>
      <c r="F1216" s="205"/>
      <c r="G1216" s="206"/>
      <c r="H1216" s="207"/>
      <c r="J1216" s="76"/>
    </row>
    <row r="1217" spans="1:10">
      <c r="A1217" s="172"/>
      <c r="D1217" s="56"/>
      <c r="E1217" s="204"/>
      <c r="F1217" s="205"/>
      <c r="G1217" s="206"/>
      <c r="H1217" s="207"/>
      <c r="J1217" s="76"/>
    </row>
    <row r="1218" spans="1:10">
      <c r="A1218" s="172"/>
      <c r="D1218" s="56"/>
      <c r="E1218" s="204"/>
      <c r="F1218" s="205"/>
      <c r="G1218" s="206"/>
      <c r="H1218" s="207"/>
      <c r="J1218" s="76"/>
    </row>
    <row r="1219" spans="1:10">
      <c r="A1219" s="172"/>
      <c r="D1219" s="56"/>
      <c r="E1219" s="204"/>
      <c r="F1219" s="205"/>
      <c r="G1219" s="206"/>
      <c r="H1219" s="207"/>
      <c r="J1219" s="76"/>
    </row>
    <row r="1220" spans="1:10">
      <c r="A1220" s="172"/>
      <c r="D1220" s="56"/>
      <c r="E1220" s="204"/>
      <c r="F1220" s="205"/>
      <c r="G1220" s="206"/>
      <c r="H1220" s="207"/>
      <c r="J1220" s="76"/>
    </row>
    <row r="1221" spans="1:10">
      <c r="A1221" s="172"/>
      <c r="D1221" s="56"/>
      <c r="E1221" s="204"/>
      <c r="F1221" s="205"/>
      <c r="G1221" s="206"/>
      <c r="H1221" s="207"/>
      <c r="J1221" s="76"/>
    </row>
    <row r="1222" spans="1:10">
      <c r="A1222" s="172"/>
      <c r="D1222" s="56"/>
      <c r="E1222" s="204"/>
      <c r="F1222" s="205"/>
      <c r="G1222" s="206"/>
      <c r="H1222" s="207"/>
      <c r="J1222" s="76"/>
    </row>
    <row r="1223" spans="1:10">
      <c r="A1223" s="172"/>
      <c r="D1223" s="56"/>
      <c r="E1223" s="204"/>
      <c r="F1223" s="205"/>
      <c r="G1223" s="206"/>
      <c r="H1223" s="207"/>
      <c r="J1223" s="76"/>
    </row>
    <row r="1224" spans="1:10">
      <c r="A1224" s="172"/>
      <c r="D1224" s="56"/>
      <c r="E1224" s="204"/>
      <c r="F1224" s="205"/>
      <c r="G1224" s="206"/>
      <c r="H1224" s="207"/>
      <c r="J1224" s="76"/>
    </row>
    <row r="1225" spans="1:10">
      <c r="A1225" s="172"/>
      <c r="D1225" s="56"/>
      <c r="E1225" s="204"/>
      <c r="F1225" s="205"/>
      <c r="G1225" s="206"/>
      <c r="H1225" s="207"/>
      <c r="J1225" s="76"/>
    </row>
    <row r="1226" spans="1:10">
      <c r="A1226" s="172"/>
      <c r="D1226" s="56"/>
      <c r="E1226" s="204"/>
      <c r="F1226" s="205"/>
      <c r="G1226" s="206"/>
      <c r="H1226" s="207"/>
      <c r="J1226" s="76"/>
    </row>
    <row r="1227" spans="1:10">
      <c r="A1227" s="172"/>
      <c r="D1227" s="56"/>
      <c r="E1227" s="204"/>
      <c r="F1227" s="205"/>
      <c r="G1227" s="206"/>
      <c r="H1227" s="207"/>
      <c r="J1227" s="76"/>
    </row>
    <row r="1228" spans="1:10">
      <c r="A1228" s="172"/>
      <c r="D1228" s="56"/>
      <c r="E1228" s="204"/>
      <c r="F1228" s="205"/>
      <c r="G1228" s="206"/>
      <c r="H1228" s="207"/>
      <c r="J1228" s="76"/>
    </row>
    <row r="1229" spans="1:10">
      <c r="A1229" s="172"/>
      <c r="D1229" s="56"/>
      <c r="E1229" s="204"/>
      <c r="F1229" s="205"/>
      <c r="G1229" s="206"/>
      <c r="H1229" s="207"/>
      <c r="J1229" s="76"/>
    </row>
    <row r="1230" spans="1:10">
      <c r="A1230" s="172"/>
      <c r="D1230" s="56"/>
      <c r="E1230" s="204"/>
      <c r="F1230" s="205"/>
      <c r="G1230" s="206"/>
      <c r="H1230" s="207"/>
      <c r="J1230" s="76"/>
    </row>
    <row r="1231" spans="1:10">
      <c r="A1231" s="172"/>
      <c r="D1231" s="56"/>
      <c r="E1231" s="204"/>
      <c r="F1231" s="205"/>
      <c r="G1231" s="206"/>
      <c r="H1231" s="207"/>
      <c r="J1231" s="76"/>
    </row>
    <row r="1232" spans="1:10">
      <c r="A1232" s="172"/>
      <c r="D1232" s="56"/>
      <c r="E1232" s="204"/>
      <c r="F1232" s="205"/>
      <c r="G1232" s="206"/>
      <c r="H1232" s="207"/>
      <c r="J1232" s="76"/>
    </row>
    <row r="1233" spans="1:10">
      <c r="A1233" s="172"/>
      <c r="D1233" s="56"/>
      <c r="E1233" s="204"/>
      <c r="F1233" s="205"/>
      <c r="G1233" s="206"/>
      <c r="H1233" s="207"/>
      <c r="J1233" s="76"/>
    </row>
    <row r="1234" spans="1:10">
      <c r="A1234" s="172"/>
      <c r="D1234" s="56"/>
      <c r="E1234" s="204"/>
      <c r="F1234" s="205"/>
      <c r="G1234" s="206"/>
      <c r="H1234" s="207"/>
      <c r="J1234" s="76"/>
    </row>
    <row r="1235" spans="1:10">
      <c r="A1235" s="172"/>
      <c r="D1235" s="56"/>
      <c r="E1235" s="204"/>
      <c r="F1235" s="205"/>
      <c r="G1235" s="206"/>
      <c r="H1235" s="207"/>
      <c r="J1235" s="76"/>
    </row>
    <row r="1236" spans="1:10">
      <c r="A1236" s="172"/>
      <c r="D1236" s="56"/>
      <c r="E1236" s="204"/>
      <c r="F1236" s="205"/>
      <c r="G1236" s="206"/>
      <c r="H1236" s="207"/>
      <c r="J1236" s="76"/>
    </row>
    <row r="1237" spans="1:10">
      <c r="A1237" s="172"/>
      <c r="D1237" s="56"/>
      <c r="E1237" s="204"/>
      <c r="F1237" s="205"/>
      <c r="G1237" s="206"/>
      <c r="H1237" s="207"/>
      <c r="J1237" s="76"/>
    </row>
    <row r="1238" spans="1:10">
      <c r="A1238" s="172"/>
      <c r="D1238" s="56"/>
      <c r="E1238" s="204"/>
      <c r="F1238" s="205"/>
      <c r="G1238" s="206"/>
      <c r="H1238" s="207"/>
      <c r="J1238" s="76"/>
    </row>
    <row r="1239" spans="1:10">
      <c r="A1239" s="172"/>
      <c r="D1239" s="56"/>
      <c r="E1239" s="204"/>
      <c r="F1239" s="205"/>
      <c r="G1239" s="206"/>
      <c r="H1239" s="207"/>
      <c r="J1239" s="76"/>
    </row>
    <row r="1240" spans="1:10">
      <c r="A1240" s="172"/>
      <c r="D1240" s="56"/>
      <c r="E1240" s="204"/>
      <c r="F1240" s="205"/>
      <c r="G1240" s="206"/>
      <c r="H1240" s="207"/>
      <c r="J1240" s="76"/>
    </row>
    <row r="1241" spans="1:10">
      <c r="A1241" s="172"/>
      <c r="D1241" s="56"/>
      <c r="E1241" s="204"/>
      <c r="F1241" s="205"/>
      <c r="G1241" s="206"/>
      <c r="H1241" s="207"/>
      <c r="J1241" s="76"/>
    </row>
    <row r="1242" spans="1:10">
      <c r="A1242" s="172"/>
      <c r="D1242" s="56"/>
      <c r="E1242" s="204"/>
      <c r="F1242" s="205"/>
      <c r="G1242" s="206"/>
      <c r="H1242" s="207"/>
      <c r="J1242" s="76"/>
    </row>
    <row r="1243" spans="1:10">
      <c r="A1243" s="172"/>
      <c r="D1243" s="56"/>
      <c r="E1243" s="204"/>
      <c r="F1243" s="205"/>
      <c r="G1243" s="206"/>
      <c r="H1243" s="207"/>
      <c r="J1243" s="76"/>
    </row>
    <row r="1244" spans="1:10">
      <c r="A1244" s="172"/>
      <c r="D1244" s="56"/>
      <c r="E1244" s="204"/>
      <c r="F1244" s="205"/>
      <c r="G1244" s="206"/>
      <c r="H1244" s="207"/>
      <c r="J1244" s="76"/>
    </row>
    <row r="1245" spans="1:10">
      <c r="A1245" s="172"/>
      <c r="D1245" s="56"/>
      <c r="E1245" s="204"/>
      <c r="F1245" s="205"/>
      <c r="G1245" s="206"/>
      <c r="H1245" s="207"/>
      <c r="J1245" s="76"/>
    </row>
    <row r="1246" spans="1:10">
      <c r="A1246" s="172"/>
      <c r="D1246" s="56"/>
      <c r="E1246" s="204"/>
      <c r="F1246" s="205"/>
      <c r="G1246" s="206"/>
      <c r="H1246" s="207"/>
      <c r="J1246" s="76"/>
    </row>
    <row r="1247" spans="1:10">
      <c r="A1247" s="172"/>
      <c r="D1247" s="56"/>
      <c r="E1247" s="204"/>
      <c r="F1247" s="205"/>
      <c r="G1247" s="206"/>
      <c r="H1247" s="207"/>
      <c r="J1247" s="76"/>
    </row>
    <row r="1248" spans="1:10">
      <c r="A1248" s="172"/>
      <c r="D1248" s="56"/>
      <c r="E1248" s="204"/>
      <c r="F1248" s="205"/>
      <c r="G1248" s="206"/>
      <c r="H1248" s="207"/>
      <c r="J1248" s="76"/>
    </row>
    <row r="1249" spans="1:10">
      <c r="A1249" s="172"/>
      <c r="D1249" s="56"/>
      <c r="E1249" s="204"/>
      <c r="F1249" s="205"/>
      <c r="G1249" s="206"/>
      <c r="H1249" s="207"/>
      <c r="J1249" s="76"/>
    </row>
    <row r="1250" spans="1:10">
      <c r="A1250" s="172"/>
      <c r="D1250" s="56"/>
      <c r="E1250" s="204"/>
      <c r="F1250" s="205"/>
      <c r="G1250" s="206"/>
      <c r="H1250" s="207"/>
      <c r="J1250" s="76"/>
    </row>
    <row r="1251" spans="1:10">
      <c r="A1251" s="172"/>
      <c r="D1251" s="56"/>
      <c r="E1251" s="204"/>
      <c r="F1251" s="205"/>
      <c r="G1251" s="206"/>
      <c r="H1251" s="207"/>
      <c r="J1251" s="76"/>
    </row>
    <row r="1252" spans="1:10">
      <c r="A1252" s="172"/>
      <c r="D1252" s="56"/>
      <c r="E1252" s="204"/>
      <c r="F1252" s="205"/>
      <c r="G1252" s="206"/>
      <c r="H1252" s="207"/>
      <c r="J1252" s="76"/>
    </row>
    <row r="1253" spans="1:10">
      <c r="A1253" s="172"/>
      <c r="D1253" s="56"/>
      <c r="E1253" s="204"/>
      <c r="F1253" s="205"/>
      <c r="G1253" s="206"/>
      <c r="H1253" s="207"/>
      <c r="J1253" s="76"/>
    </row>
    <row r="1254" spans="1:10">
      <c r="A1254" s="172"/>
      <c r="D1254" s="56"/>
      <c r="E1254" s="204"/>
      <c r="F1254" s="205"/>
      <c r="G1254" s="206"/>
      <c r="H1254" s="207"/>
      <c r="J1254" s="76"/>
    </row>
    <row r="1255" spans="1:10">
      <c r="A1255" s="172"/>
      <c r="D1255" s="56"/>
      <c r="E1255" s="204"/>
      <c r="F1255" s="205"/>
      <c r="G1255" s="206"/>
      <c r="H1255" s="207"/>
      <c r="J1255" s="76"/>
    </row>
    <row r="1256" spans="1:10">
      <c r="A1256" s="172"/>
      <c r="D1256" s="56"/>
      <c r="E1256" s="204"/>
      <c r="F1256" s="205"/>
      <c r="G1256" s="206"/>
      <c r="H1256" s="207"/>
      <c r="J1256" s="76"/>
    </row>
    <row r="1257" spans="1:10">
      <c r="A1257" s="172"/>
      <c r="D1257" s="56"/>
      <c r="E1257" s="204"/>
      <c r="F1257" s="205"/>
      <c r="G1257" s="206"/>
      <c r="H1257" s="207"/>
      <c r="J1257" s="76"/>
    </row>
    <row r="1258" spans="1:10">
      <c r="A1258" s="172"/>
      <c r="D1258" s="56"/>
      <c r="E1258" s="204"/>
      <c r="F1258" s="205"/>
      <c r="G1258" s="206"/>
      <c r="H1258" s="207"/>
      <c r="J1258" s="76"/>
    </row>
    <row r="1259" spans="1:10">
      <c r="A1259" s="172"/>
      <c r="D1259" s="56"/>
      <c r="E1259" s="204"/>
      <c r="F1259" s="205"/>
      <c r="G1259" s="206"/>
      <c r="H1259" s="207"/>
      <c r="J1259" s="76"/>
    </row>
    <row r="1260" spans="1:10">
      <c r="A1260" s="172"/>
      <c r="D1260" s="56"/>
      <c r="E1260" s="204"/>
      <c r="F1260" s="205"/>
      <c r="G1260" s="206"/>
      <c r="H1260" s="207"/>
      <c r="J1260" s="76"/>
    </row>
    <row r="1261" spans="1:10">
      <c r="A1261" s="172"/>
      <c r="D1261" s="56"/>
      <c r="E1261" s="204"/>
      <c r="F1261" s="205"/>
      <c r="G1261" s="206"/>
      <c r="H1261" s="207"/>
      <c r="J1261" s="76"/>
    </row>
    <row r="1262" spans="1:10">
      <c r="A1262" s="172"/>
      <c r="D1262" s="56"/>
      <c r="E1262" s="204"/>
      <c r="F1262" s="205"/>
      <c r="G1262" s="206"/>
      <c r="H1262" s="207"/>
      <c r="J1262" s="76"/>
    </row>
    <row r="1263" spans="1:10">
      <c r="A1263" s="172"/>
      <c r="D1263" s="56"/>
      <c r="E1263" s="204"/>
      <c r="F1263" s="205"/>
      <c r="G1263" s="206"/>
      <c r="H1263" s="207"/>
      <c r="J1263" s="76"/>
    </row>
    <row r="1264" spans="1:10">
      <c r="A1264" s="172"/>
      <c r="D1264" s="56"/>
      <c r="E1264" s="204"/>
      <c r="F1264" s="205"/>
      <c r="G1264" s="206"/>
      <c r="H1264" s="207"/>
      <c r="J1264" s="76"/>
    </row>
    <row r="1265" spans="1:10">
      <c r="A1265" s="172"/>
      <c r="D1265" s="56"/>
      <c r="E1265" s="204"/>
      <c r="F1265" s="205"/>
      <c r="G1265" s="206"/>
      <c r="H1265" s="207"/>
      <c r="J1265" s="76"/>
    </row>
    <row r="1266" spans="1:10">
      <c r="A1266" s="172"/>
      <c r="D1266" s="56"/>
      <c r="E1266" s="204"/>
      <c r="F1266" s="205"/>
      <c r="G1266" s="206"/>
      <c r="H1266" s="207"/>
      <c r="J1266" s="76"/>
    </row>
    <row r="1267" spans="1:10">
      <c r="A1267" s="172"/>
      <c r="D1267" s="56"/>
      <c r="E1267" s="204"/>
      <c r="F1267" s="205"/>
      <c r="G1267" s="206"/>
      <c r="H1267" s="207"/>
      <c r="J1267" s="76"/>
    </row>
    <row r="1268" spans="1:10">
      <c r="A1268" s="172"/>
      <c r="D1268" s="56"/>
      <c r="E1268" s="204"/>
      <c r="F1268" s="205"/>
      <c r="G1268" s="206"/>
      <c r="H1268" s="207"/>
      <c r="J1268" s="76"/>
    </row>
    <row r="1269" spans="1:10">
      <c r="A1269" s="172"/>
      <c r="D1269" s="56"/>
      <c r="E1269" s="204"/>
      <c r="F1269" s="205"/>
      <c r="G1269" s="206"/>
      <c r="H1269" s="207"/>
      <c r="J1269" s="76"/>
    </row>
    <row r="1270" spans="1:10">
      <c r="A1270" s="172"/>
      <c r="D1270" s="56"/>
      <c r="E1270" s="204"/>
      <c r="F1270" s="205"/>
      <c r="G1270" s="206"/>
      <c r="H1270" s="207"/>
      <c r="J1270" s="76"/>
    </row>
    <row r="1271" spans="1:10">
      <c r="A1271" s="172"/>
      <c r="D1271" s="56"/>
      <c r="E1271" s="204"/>
      <c r="F1271" s="205"/>
      <c r="G1271" s="206"/>
      <c r="H1271" s="207"/>
      <c r="J1271" s="76"/>
    </row>
    <row r="1272" spans="1:10">
      <c r="A1272" s="172"/>
      <c r="D1272" s="56"/>
      <c r="E1272" s="204"/>
      <c r="F1272" s="205"/>
      <c r="G1272" s="206"/>
      <c r="H1272" s="207"/>
      <c r="J1272" s="76"/>
    </row>
    <row r="1273" spans="1:10">
      <c r="A1273" s="172"/>
      <c r="D1273" s="56"/>
      <c r="E1273" s="204"/>
      <c r="F1273" s="205"/>
      <c r="G1273" s="206"/>
      <c r="H1273" s="207"/>
      <c r="J1273" s="76"/>
    </row>
    <row r="1274" spans="1:10">
      <c r="A1274" s="172"/>
      <c r="D1274" s="56"/>
      <c r="E1274" s="204"/>
      <c r="F1274" s="205"/>
      <c r="G1274" s="206"/>
      <c r="H1274" s="207"/>
      <c r="J1274" s="76"/>
    </row>
    <row r="1275" spans="1:10">
      <c r="A1275" s="172"/>
      <c r="D1275" s="56"/>
      <c r="E1275" s="204"/>
      <c r="F1275" s="205"/>
      <c r="G1275" s="206"/>
      <c r="H1275" s="207"/>
      <c r="J1275" s="76"/>
    </row>
    <row r="1276" spans="1:10">
      <c r="A1276" s="172"/>
      <c r="D1276" s="56"/>
      <c r="E1276" s="204"/>
      <c r="F1276" s="205"/>
      <c r="G1276" s="206"/>
      <c r="H1276" s="207"/>
      <c r="J1276" s="76"/>
    </row>
    <row r="1277" spans="1:10">
      <c r="A1277" s="172"/>
      <c r="D1277" s="56"/>
      <c r="E1277" s="204"/>
      <c r="F1277" s="205"/>
      <c r="G1277" s="206"/>
      <c r="H1277" s="207"/>
      <c r="J1277" s="76"/>
    </row>
    <row r="1278" spans="1:10">
      <c r="A1278" s="172"/>
      <c r="D1278" s="56"/>
      <c r="E1278" s="204"/>
      <c r="F1278" s="205"/>
      <c r="G1278" s="206"/>
      <c r="H1278" s="207"/>
      <c r="J1278" s="76"/>
    </row>
    <row r="1279" spans="1:10">
      <c r="A1279" s="172"/>
      <c r="D1279" s="56"/>
      <c r="E1279" s="204"/>
      <c r="F1279" s="205"/>
      <c r="G1279" s="206"/>
      <c r="H1279" s="207"/>
      <c r="J1279" s="76"/>
    </row>
    <row r="1280" spans="1:10">
      <c r="A1280" s="172"/>
      <c r="D1280" s="56"/>
      <c r="E1280" s="204"/>
      <c r="F1280" s="205"/>
      <c r="G1280" s="206"/>
      <c r="H1280" s="207"/>
      <c r="J1280" s="76"/>
    </row>
    <row r="1281" spans="1:10">
      <c r="A1281" s="172"/>
      <c r="D1281" s="56"/>
      <c r="E1281" s="204"/>
      <c r="F1281" s="205"/>
      <c r="G1281" s="206"/>
      <c r="H1281" s="207"/>
      <c r="J1281" s="76"/>
    </row>
    <row r="1282" spans="1:10">
      <c r="A1282" s="172"/>
      <c r="D1282" s="56"/>
      <c r="E1282" s="204"/>
      <c r="F1282" s="205"/>
      <c r="G1282" s="206"/>
      <c r="H1282" s="207"/>
      <c r="J1282" s="76"/>
    </row>
    <row r="1283" spans="1:10">
      <c r="A1283" s="172"/>
      <c r="D1283" s="56"/>
      <c r="E1283" s="204"/>
      <c r="F1283" s="205"/>
      <c r="G1283" s="206"/>
      <c r="H1283" s="207"/>
      <c r="J1283" s="76"/>
    </row>
    <row r="1284" spans="1:10">
      <c r="A1284" s="172"/>
      <c r="D1284" s="56"/>
      <c r="E1284" s="204"/>
      <c r="F1284" s="205"/>
      <c r="G1284" s="206"/>
      <c r="H1284" s="207"/>
      <c r="J1284" s="76"/>
    </row>
    <row r="1285" spans="1:10">
      <c r="A1285" s="172"/>
      <c r="D1285" s="56"/>
      <c r="E1285" s="204"/>
      <c r="F1285" s="205"/>
      <c r="G1285" s="206"/>
      <c r="H1285" s="207"/>
      <c r="J1285" s="76"/>
    </row>
    <row r="1286" spans="1:10">
      <c r="A1286" s="172"/>
      <c r="D1286" s="56"/>
      <c r="E1286" s="204"/>
      <c r="F1286" s="205"/>
      <c r="G1286" s="206"/>
      <c r="H1286" s="207"/>
      <c r="J1286" s="76"/>
    </row>
    <row r="1287" spans="1:10">
      <c r="A1287" s="172"/>
      <c r="D1287" s="56"/>
      <c r="E1287" s="204"/>
      <c r="F1287" s="205"/>
      <c r="G1287" s="206"/>
      <c r="H1287" s="207"/>
      <c r="J1287" s="76"/>
    </row>
    <row r="1288" spans="1:10">
      <c r="A1288" s="172"/>
      <c r="D1288" s="56"/>
      <c r="E1288" s="204"/>
      <c r="F1288" s="205"/>
      <c r="G1288" s="206"/>
      <c r="H1288" s="207"/>
      <c r="J1288" s="76"/>
    </row>
    <row r="1289" spans="1:10">
      <c r="A1289" s="172"/>
      <c r="D1289" s="56"/>
      <c r="E1289" s="204"/>
      <c r="F1289" s="205"/>
      <c r="G1289" s="206"/>
      <c r="H1289" s="207"/>
      <c r="J1289" s="76"/>
    </row>
    <row r="1290" spans="1:10">
      <c r="A1290" s="172"/>
      <c r="D1290" s="56"/>
      <c r="E1290" s="204"/>
      <c r="F1290" s="205"/>
      <c r="G1290" s="206"/>
      <c r="H1290" s="207"/>
      <c r="J1290" s="76"/>
    </row>
    <row r="1291" spans="1:10">
      <c r="A1291" s="172"/>
      <c r="D1291" s="56"/>
      <c r="E1291" s="204"/>
      <c r="F1291" s="205"/>
      <c r="G1291" s="206"/>
      <c r="H1291" s="207"/>
      <c r="J1291" s="76"/>
    </row>
    <row r="1292" spans="1:10">
      <c r="A1292" s="172"/>
      <c r="D1292" s="56"/>
      <c r="E1292" s="204"/>
      <c r="F1292" s="205"/>
      <c r="G1292" s="206"/>
      <c r="H1292" s="207"/>
      <c r="J1292" s="76"/>
    </row>
    <row r="1293" spans="1:10">
      <c r="A1293" s="172"/>
      <c r="D1293" s="56"/>
      <c r="E1293" s="204"/>
      <c r="F1293" s="205"/>
      <c r="G1293" s="206"/>
      <c r="H1293" s="207"/>
      <c r="J1293" s="76"/>
    </row>
    <row r="1294" spans="1:10">
      <c r="A1294" s="172"/>
      <c r="D1294" s="56"/>
      <c r="E1294" s="204"/>
      <c r="F1294" s="205"/>
      <c r="G1294" s="206"/>
      <c r="H1294" s="207"/>
      <c r="J1294" s="76"/>
    </row>
    <row r="1295" spans="1:10">
      <c r="A1295" s="172"/>
      <c r="D1295" s="56"/>
      <c r="E1295" s="204"/>
      <c r="F1295" s="205"/>
      <c r="G1295" s="206"/>
      <c r="H1295" s="207"/>
      <c r="J1295" s="76"/>
    </row>
    <row r="1296" spans="1:10">
      <c r="A1296" s="172"/>
      <c r="D1296" s="56"/>
      <c r="E1296" s="204"/>
      <c r="F1296" s="205"/>
      <c r="G1296" s="206"/>
      <c r="H1296" s="207"/>
      <c r="J1296" s="76"/>
    </row>
    <row r="1297" spans="1:10">
      <c r="A1297" s="172"/>
      <c r="D1297" s="56"/>
      <c r="E1297" s="204"/>
      <c r="F1297" s="205"/>
      <c r="G1297" s="206"/>
      <c r="H1297" s="207"/>
      <c r="J1297" s="76"/>
    </row>
    <row r="1298" spans="1:10">
      <c r="A1298" s="172"/>
      <c r="D1298" s="56"/>
      <c r="E1298" s="204"/>
      <c r="F1298" s="205"/>
      <c r="G1298" s="206"/>
      <c r="H1298" s="207"/>
      <c r="J1298" s="76"/>
    </row>
    <row r="1299" spans="1:10">
      <c r="A1299" s="172"/>
      <c r="D1299" s="56"/>
      <c r="E1299" s="204"/>
      <c r="F1299" s="205"/>
      <c r="G1299" s="206"/>
      <c r="H1299" s="207"/>
      <c r="J1299" s="76"/>
    </row>
    <row r="1300" spans="1:10">
      <c r="A1300" s="172"/>
      <c r="D1300" s="56"/>
      <c r="E1300" s="204"/>
      <c r="F1300" s="205"/>
      <c r="G1300" s="206"/>
      <c r="H1300" s="207"/>
      <c r="J1300" s="76"/>
    </row>
    <row r="1301" spans="1:10">
      <c r="A1301" s="172"/>
      <c r="D1301" s="56"/>
      <c r="E1301" s="204"/>
      <c r="F1301" s="205"/>
      <c r="G1301" s="206"/>
      <c r="H1301" s="207"/>
      <c r="J1301" s="76"/>
    </row>
    <row r="1302" spans="1:10">
      <c r="A1302" s="172"/>
      <c r="D1302" s="56"/>
      <c r="E1302" s="204"/>
      <c r="F1302" s="205"/>
      <c r="G1302" s="206"/>
      <c r="H1302" s="207"/>
      <c r="J1302" s="76"/>
    </row>
    <row r="1303" spans="1:10">
      <c r="A1303" s="172"/>
      <c r="D1303" s="56"/>
      <c r="E1303" s="204"/>
      <c r="F1303" s="205"/>
      <c r="G1303" s="206"/>
      <c r="H1303" s="207"/>
      <c r="J1303" s="76"/>
    </row>
    <row r="1304" spans="1:10">
      <c r="A1304" s="172"/>
      <c r="D1304" s="56"/>
      <c r="E1304" s="204"/>
      <c r="F1304" s="205"/>
      <c r="G1304" s="206"/>
      <c r="H1304" s="207"/>
      <c r="J1304" s="76"/>
    </row>
    <row r="1305" spans="1:10">
      <c r="A1305" s="172"/>
      <c r="D1305" s="56"/>
      <c r="E1305" s="204"/>
      <c r="F1305" s="205"/>
      <c r="G1305" s="206"/>
      <c r="H1305" s="207"/>
      <c r="J1305" s="76"/>
    </row>
    <row r="1306" spans="1:10">
      <c r="A1306" s="172"/>
      <c r="D1306" s="56"/>
      <c r="E1306" s="204"/>
      <c r="F1306" s="205"/>
      <c r="G1306" s="206"/>
      <c r="H1306" s="207"/>
      <c r="J1306" s="76"/>
    </row>
    <row r="1307" spans="1:10">
      <c r="A1307" s="172"/>
      <c r="D1307" s="56"/>
      <c r="E1307" s="204"/>
      <c r="F1307" s="205"/>
      <c r="G1307" s="206"/>
      <c r="H1307" s="207"/>
      <c r="J1307" s="76"/>
    </row>
    <row r="1308" spans="1:10">
      <c r="A1308" s="172"/>
      <c r="D1308" s="56"/>
      <c r="E1308" s="204"/>
      <c r="F1308" s="205"/>
      <c r="G1308" s="206"/>
      <c r="H1308" s="207"/>
      <c r="J1308" s="76"/>
    </row>
    <row r="1309" spans="1:10">
      <c r="A1309" s="172"/>
      <c r="D1309" s="56"/>
      <c r="E1309" s="204"/>
      <c r="F1309" s="205"/>
      <c r="G1309" s="206"/>
      <c r="H1309" s="207"/>
      <c r="J1309" s="76"/>
    </row>
    <row r="1310" spans="1:10">
      <c r="A1310" s="172"/>
      <c r="D1310" s="56"/>
      <c r="E1310" s="204"/>
      <c r="F1310" s="205"/>
      <c r="G1310" s="206"/>
      <c r="H1310" s="207"/>
      <c r="J1310" s="76"/>
    </row>
    <row r="1311" spans="1:10">
      <c r="A1311" s="172"/>
      <c r="D1311" s="56"/>
      <c r="E1311" s="204"/>
      <c r="F1311" s="205"/>
      <c r="G1311" s="206"/>
      <c r="H1311" s="207"/>
      <c r="J1311" s="76"/>
    </row>
    <row r="1312" spans="1:10">
      <c r="A1312" s="172"/>
      <c r="D1312" s="56"/>
      <c r="E1312" s="204"/>
      <c r="F1312" s="205"/>
      <c r="G1312" s="206"/>
      <c r="H1312" s="207"/>
      <c r="J1312" s="76"/>
    </row>
    <row r="1313" spans="1:10">
      <c r="A1313" s="172"/>
      <c r="D1313" s="56"/>
      <c r="E1313" s="204"/>
      <c r="F1313" s="205"/>
      <c r="G1313" s="206"/>
      <c r="H1313" s="207"/>
      <c r="J1313" s="76"/>
    </row>
    <row r="1314" spans="1:10">
      <c r="A1314" s="172"/>
      <c r="D1314" s="56"/>
      <c r="E1314" s="204"/>
      <c r="F1314" s="205"/>
      <c r="G1314" s="206"/>
      <c r="H1314" s="207"/>
      <c r="J1314" s="76"/>
    </row>
    <row r="1315" spans="1:10">
      <c r="A1315" s="172"/>
      <c r="D1315" s="56"/>
      <c r="E1315" s="204"/>
      <c r="F1315" s="205"/>
      <c r="G1315" s="206"/>
      <c r="H1315" s="207"/>
      <c r="J1315" s="76"/>
    </row>
    <row r="1316" spans="1:10">
      <c r="A1316" s="172"/>
      <c r="D1316" s="56"/>
      <c r="E1316" s="204"/>
      <c r="F1316" s="205"/>
      <c r="G1316" s="206"/>
      <c r="H1316" s="207"/>
      <c r="J1316" s="76"/>
    </row>
    <row r="1317" spans="1:10">
      <c r="A1317" s="172"/>
      <c r="D1317" s="56"/>
      <c r="E1317" s="204"/>
      <c r="F1317" s="205"/>
      <c r="G1317" s="206"/>
      <c r="H1317" s="207"/>
      <c r="J1317" s="76"/>
    </row>
    <row r="1318" spans="1:10">
      <c r="A1318" s="172"/>
      <c r="D1318" s="56"/>
      <c r="E1318" s="204"/>
      <c r="F1318" s="205"/>
      <c r="G1318" s="206"/>
      <c r="H1318" s="207"/>
      <c r="J1318" s="76"/>
    </row>
    <row r="1319" spans="1:10">
      <c r="A1319" s="172"/>
      <c r="D1319" s="56"/>
      <c r="E1319" s="204"/>
      <c r="F1319" s="205"/>
      <c r="G1319" s="206"/>
      <c r="H1319" s="207"/>
      <c r="J1319" s="76"/>
    </row>
    <row r="1320" spans="1:10">
      <c r="A1320" s="172"/>
      <c r="D1320" s="56"/>
      <c r="E1320" s="204"/>
      <c r="F1320" s="205"/>
      <c r="G1320" s="206"/>
      <c r="H1320" s="207"/>
      <c r="J1320" s="76"/>
    </row>
    <row r="1321" spans="1:10">
      <c r="A1321" s="172"/>
      <c r="D1321" s="56"/>
      <c r="E1321" s="204"/>
      <c r="F1321" s="205"/>
      <c r="G1321" s="206"/>
      <c r="H1321" s="207"/>
      <c r="J1321" s="76"/>
    </row>
    <row r="1322" spans="1:10">
      <c r="A1322" s="172"/>
      <c r="D1322" s="56"/>
      <c r="E1322" s="204"/>
      <c r="F1322" s="205"/>
      <c r="G1322" s="206"/>
      <c r="H1322" s="207"/>
      <c r="J1322" s="76"/>
    </row>
    <row r="1323" spans="1:10">
      <c r="A1323" s="172"/>
      <c r="D1323" s="56"/>
      <c r="E1323" s="204"/>
      <c r="F1323" s="205"/>
      <c r="G1323" s="206"/>
      <c r="H1323" s="207"/>
      <c r="J1323" s="76"/>
    </row>
    <row r="1324" spans="1:10">
      <c r="A1324" s="172"/>
      <c r="D1324" s="56"/>
      <c r="E1324" s="204"/>
      <c r="F1324" s="205"/>
      <c r="G1324" s="206"/>
      <c r="H1324" s="207"/>
      <c r="J1324" s="76"/>
    </row>
    <row r="1325" spans="1:10">
      <c r="A1325" s="172"/>
      <c r="D1325" s="56"/>
      <c r="E1325" s="204"/>
      <c r="F1325" s="205"/>
      <c r="G1325" s="206"/>
      <c r="H1325" s="207"/>
      <c r="J1325" s="76"/>
    </row>
    <row r="1326" spans="1:10">
      <c r="A1326" s="172"/>
      <c r="D1326" s="56"/>
      <c r="E1326" s="204"/>
      <c r="F1326" s="205"/>
      <c r="G1326" s="206"/>
      <c r="H1326" s="207"/>
      <c r="J1326" s="76"/>
    </row>
    <row r="1327" spans="1:10">
      <c r="A1327" s="172"/>
      <c r="D1327" s="56"/>
      <c r="E1327" s="204"/>
      <c r="F1327" s="205"/>
      <c r="G1327" s="206"/>
      <c r="H1327" s="207"/>
      <c r="J1327" s="76"/>
    </row>
    <row r="1328" spans="1:10">
      <c r="A1328" s="172"/>
      <c r="D1328" s="56"/>
      <c r="E1328" s="204"/>
      <c r="F1328" s="205"/>
      <c r="G1328" s="206"/>
      <c r="H1328" s="207"/>
      <c r="J1328" s="76"/>
    </row>
    <row r="1329" spans="1:10">
      <c r="A1329" s="172"/>
      <c r="D1329" s="56"/>
      <c r="E1329" s="204"/>
      <c r="F1329" s="205"/>
      <c r="G1329" s="206"/>
      <c r="H1329" s="207"/>
      <c r="J1329" s="76"/>
    </row>
    <row r="1330" spans="1:10">
      <c r="A1330" s="172"/>
      <c r="D1330" s="56"/>
      <c r="E1330" s="204"/>
      <c r="F1330" s="205"/>
      <c r="G1330" s="206"/>
      <c r="H1330" s="207"/>
      <c r="J1330" s="76"/>
    </row>
    <row r="1331" spans="1:10">
      <c r="A1331" s="172"/>
      <c r="D1331" s="56"/>
      <c r="E1331" s="204"/>
      <c r="F1331" s="205"/>
      <c r="G1331" s="206"/>
      <c r="H1331" s="207"/>
      <c r="J1331" s="76"/>
    </row>
    <row r="1332" spans="1:10">
      <c r="A1332" s="172"/>
      <c r="D1332" s="56"/>
      <c r="E1332" s="204"/>
      <c r="F1332" s="205"/>
      <c r="G1332" s="206"/>
      <c r="H1332" s="207"/>
      <c r="J1332" s="76"/>
    </row>
    <row r="1333" spans="1:10">
      <c r="A1333" s="172"/>
      <c r="D1333" s="56"/>
      <c r="E1333" s="204"/>
      <c r="F1333" s="205"/>
      <c r="G1333" s="206"/>
      <c r="H1333" s="207"/>
      <c r="J1333" s="76"/>
    </row>
    <row r="1334" spans="1:10">
      <c r="A1334" s="172"/>
      <c r="D1334" s="56"/>
      <c r="E1334" s="204"/>
      <c r="F1334" s="205"/>
      <c r="G1334" s="206"/>
      <c r="H1334" s="207"/>
      <c r="J1334" s="76"/>
    </row>
    <row r="1335" spans="1:10">
      <c r="A1335" s="172"/>
      <c r="D1335" s="56"/>
      <c r="E1335" s="204"/>
      <c r="F1335" s="205"/>
      <c r="G1335" s="206"/>
      <c r="H1335" s="207"/>
      <c r="J1335" s="76"/>
    </row>
    <row r="1336" spans="1:10">
      <c r="A1336" s="172"/>
      <c r="D1336" s="56"/>
      <c r="E1336" s="204"/>
      <c r="F1336" s="205"/>
      <c r="G1336" s="206"/>
      <c r="H1336" s="207"/>
      <c r="J1336" s="76"/>
    </row>
    <row r="1337" spans="1:10">
      <c r="A1337" s="172"/>
      <c r="D1337" s="56"/>
      <c r="E1337" s="204"/>
      <c r="F1337" s="205"/>
      <c r="G1337" s="206"/>
      <c r="H1337" s="207"/>
      <c r="J1337" s="76"/>
    </row>
    <row r="1338" spans="1:10">
      <c r="A1338" s="172"/>
      <c r="D1338" s="56"/>
      <c r="E1338" s="204"/>
      <c r="F1338" s="205"/>
      <c r="G1338" s="206"/>
      <c r="H1338" s="207"/>
      <c r="J1338" s="76"/>
    </row>
    <row r="1339" spans="1:10">
      <c r="A1339" s="172"/>
      <c r="D1339" s="56"/>
      <c r="E1339" s="204"/>
      <c r="F1339" s="205"/>
      <c r="G1339" s="206"/>
      <c r="H1339" s="207"/>
      <c r="J1339" s="76"/>
    </row>
    <row r="1340" spans="1:10">
      <c r="A1340" s="172"/>
      <c r="D1340" s="56"/>
      <c r="E1340" s="204"/>
      <c r="F1340" s="205"/>
      <c r="G1340" s="206"/>
      <c r="H1340" s="207"/>
      <c r="J1340" s="76"/>
    </row>
    <row r="1341" spans="1:10">
      <c r="A1341" s="172"/>
      <c r="D1341" s="56"/>
      <c r="E1341" s="204"/>
      <c r="F1341" s="205"/>
      <c r="G1341" s="206"/>
      <c r="H1341" s="207"/>
      <c r="J1341" s="76"/>
    </row>
    <row r="1342" spans="1:10">
      <c r="A1342" s="172"/>
      <c r="D1342" s="56"/>
      <c r="E1342" s="204"/>
      <c r="F1342" s="205"/>
      <c r="G1342" s="206"/>
      <c r="H1342" s="207"/>
      <c r="J1342" s="76"/>
    </row>
    <row r="1343" spans="1:10">
      <c r="A1343" s="172"/>
      <c r="D1343" s="56"/>
      <c r="E1343" s="204"/>
      <c r="F1343" s="205"/>
      <c r="G1343" s="206"/>
      <c r="H1343" s="207"/>
      <c r="J1343" s="76"/>
    </row>
    <row r="1344" spans="1:10">
      <c r="A1344" s="172"/>
      <c r="D1344" s="56"/>
      <c r="E1344" s="204"/>
      <c r="F1344" s="205"/>
      <c r="G1344" s="206"/>
      <c r="H1344" s="207"/>
      <c r="J1344" s="76"/>
    </row>
    <row r="1345" spans="1:10">
      <c r="A1345" s="172"/>
      <c r="D1345" s="56"/>
      <c r="E1345" s="204"/>
      <c r="F1345" s="205"/>
      <c r="G1345" s="206"/>
      <c r="H1345" s="207"/>
      <c r="J1345" s="76"/>
    </row>
    <row r="1346" spans="1:10">
      <c r="A1346" s="172"/>
      <c r="D1346" s="56"/>
      <c r="E1346" s="204"/>
      <c r="F1346" s="205"/>
      <c r="G1346" s="206"/>
      <c r="H1346" s="207"/>
      <c r="J1346" s="76"/>
    </row>
    <row r="1347" spans="1:10">
      <c r="A1347" s="172"/>
      <c r="D1347" s="56"/>
      <c r="E1347" s="204"/>
      <c r="F1347" s="205"/>
      <c r="G1347" s="206"/>
      <c r="H1347" s="207"/>
      <c r="J1347" s="76"/>
    </row>
    <row r="1348" spans="1:10">
      <c r="A1348" s="172"/>
      <c r="D1348" s="56"/>
      <c r="E1348" s="204"/>
      <c r="F1348" s="205"/>
      <c r="G1348" s="206"/>
      <c r="H1348" s="207"/>
      <c r="J1348" s="76"/>
    </row>
    <row r="1349" spans="1:10">
      <c r="A1349" s="172"/>
      <c r="D1349" s="56"/>
      <c r="E1349" s="204"/>
      <c r="F1349" s="205"/>
      <c r="G1349" s="206"/>
      <c r="H1349" s="207"/>
      <c r="J1349" s="76"/>
    </row>
    <row r="1350" spans="1:10">
      <c r="A1350" s="172"/>
      <c r="D1350" s="56"/>
      <c r="E1350" s="204"/>
      <c r="F1350" s="205"/>
      <c r="G1350" s="206"/>
      <c r="H1350" s="207"/>
      <c r="J1350" s="76"/>
    </row>
    <row r="1351" spans="1:10">
      <c r="A1351" s="172"/>
      <c r="D1351" s="56"/>
      <c r="E1351" s="204"/>
      <c r="F1351" s="205"/>
      <c r="G1351" s="206"/>
      <c r="H1351" s="207"/>
      <c r="J1351" s="76"/>
    </row>
    <row r="1352" spans="1:10">
      <c r="A1352" s="172"/>
      <c r="D1352" s="56"/>
      <c r="E1352" s="204"/>
      <c r="F1352" s="205"/>
      <c r="G1352" s="206"/>
      <c r="H1352" s="207"/>
      <c r="J1352" s="76"/>
    </row>
    <row r="1353" spans="1:10">
      <c r="A1353" s="172"/>
      <c r="D1353" s="56"/>
      <c r="E1353" s="204"/>
      <c r="F1353" s="205"/>
      <c r="G1353" s="206"/>
      <c r="H1353" s="207"/>
      <c r="J1353" s="76"/>
    </row>
    <row r="1354" spans="1:10">
      <c r="A1354" s="172"/>
      <c r="D1354" s="56"/>
      <c r="E1354" s="204"/>
      <c r="F1354" s="205"/>
      <c r="G1354" s="206"/>
      <c r="H1354" s="207"/>
      <c r="J1354" s="76"/>
    </row>
    <row r="1355" spans="1:10">
      <c r="A1355" s="172"/>
      <c r="D1355" s="56"/>
      <c r="E1355" s="204"/>
      <c r="F1355" s="205"/>
      <c r="G1355" s="206"/>
      <c r="H1355" s="207"/>
      <c r="J1355" s="76"/>
    </row>
    <row r="1356" spans="1:10">
      <c r="A1356" s="172"/>
      <c r="D1356" s="56"/>
      <c r="E1356" s="204"/>
      <c r="F1356" s="205"/>
      <c r="G1356" s="206"/>
      <c r="H1356" s="207"/>
      <c r="J1356" s="76"/>
    </row>
    <row r="1357" spans="1:10">
      <c r="A1357" s="172"/>
      <c r="D1357" s="56"/>
      <c r="E1357" s="204"/>
      <c r="F1357" s="205"/>
      <c r="G1357" s="206"/>
      <c r="H1357" s="207"/>
      <c r="J1357" s="76"/>
    </row>
    <row r="1358" spans="1:10">
      <c r="A1358" s="172"/>
      <c r="D1358" s="56"/>
      <c r="E1358" s="204"/>
      <c r="F1358" s="205"/>
      <c r="G1358" s="206"/>
      <c r="H1358" s="207"/>
      <c r="J1358" s="76"/>
    </row>
    <row r="1359" spans="1:10">
      <c r="A1359" s="172"/>
      <c r="D1359" s="56"/>
      <c r="E1359" s="204"/>
      <c r="F1359" s="205"/>
      <c r="G1359" s="206"/>
      <c r="H1359" s="207"/>
      <c r="J1359" s="76"/>
    </row>
    <row r="1360" spans="1:10">
      <c r="A1360" s="172"/>
      <c r="D1360" s="56"/>
      <c r="E1360" s="204"/>
      <c r="F1360" s="205"/>
      <c r="G1360" s="206"/>
      <c r="H1360" s="207"/>
      <c r="J1360" s="76"/>
    </row>
    <row r="1361" spans="1:10">
      <c r="A1361" s="172"/>
      <c r="D1361" s="56"/>
      <c r="E1361" s="204"/>
      <c r="F1361" s="205"/>
      <c r="G1361" s="206"/>
      <c r="H1361" s="207"/>
      <c r="J1361" s="76"/>
    </row>
    <row r="1362" spans="1:10">
      <c r="A1362" s="172"/>
      <c r="D1362" s="56"/>
      <c r="E1362" s="204"/>
      <c r="F1362" s="205"/>
      <c r="G1362" s="206"/>
      <c r="H1362" s="207"/>
      <c r="J1362" s="76"/>
    </row>
    <row r="1363" spans="1:10">
      <c r="A1363" s="172"/>
      <c r="D1363" s="56"/>
      <c r="E1363" s="204"/>
      <c r="F1363" s="205"/>
      <c r="G1363" s="206"/>
      <c r="H1363" s="207"/>
      <c r="J1363" s="76"/>
    </row>
    <row r="1364" spans="1:10">
      <c r="A1364" s="172"/>
      <c r="D1364" s="56"/>
      <c r="E1364" s="204"/>
      <c r="F1364" s="205"/>
      <c r="G1364" s="206"/>
      <c r="H1364" s="207"/>
      <c r="J1364" s="76"/>
    </row>
    <row r="1365" spans="1:10">
      <c r="A1365" s="172"/>
      <c r="D1365" s="56"/>
      <c r="E1365" s="204"/>
      <c r="F1365" s="205"/>
      <c r="G1365" s="206"/>
      <c r="H1365" s="207"/>
      <c r="J1365" s="76"/>
    </row>
    <row r="1366" spans="1:10">
      <c r="A1366" s="172"/>
      <c r="D1366" s="56"/>
      <c r="E1366" s="204"/>
      <c r="F1366" s="205"/>
      <c r="G1366" s="206"/>
      <c r="H1366" s="207"/>
      <c r="J1366" s="76"/>
    </row>
    <row r="1367" spans="1:10">
      <c r="A1367" s="172"/>
      <c r="D1367" s="56"/>
      <c r="E1367" s="204"/>
      <c r="F1367" s="205"/>
      <c r="G1367" s="206"/>
      <c r="H1367" s="207"/>
      <c r="J1367" s="76"/>
    </row>
    <row r="1368" spans="1:10">
      <c r="A1368" s="172"/>
      <c r="D1368" s="56"/>
      <c r="E1368" s="204"/>
      <c r="F1368" s="205"/>
      <c r="G1368" s="206"/>
      <c r="H1368" s="207"/>
      <c r="J1368" s="76"/>
    </row>
    <row r="1369" spans="1:10">
      <c r="A1369" s="172"/>
      <c r="D1369" s="56"/>
      <c r="E1369" s="204"/>
      <c r="F1369" s="205"/>
      <c r="G1369" s="206"/>
      <c r="H1369" s="207"/>
      <c r="J1369" s="76"/>
    </row>
    <row r="1370" spans="1:10">
      <c r="A1370" s="172"/>
      <c r="D1370" s="56"/>
      <c r="E1370" s="204"/>
      <c r="F1370" s="205"/>
      <c r="G1370" s="206"/>
      <c r="H1370" s="207"/>
      <c r="J1370" s="76"/>
    </row>
    <row r="1371" spans="1:10">
      <c r="A1371" s="172"/>
      <c r="D1371" s="56"/>
      <c r="E1371" s="204"/>
      <c r="F1371" s="205"/>
      <c r="G1371" s="206"/>
      <c r="H1371" s="207"/>
      <c r="J1371" s="76"/>
    </row>
    <row r="1372" spans="1:10">
      <c r="A1372" s="172"/>
      <c r="D1372" s="56"/>
      <c r="E1372" s="204"/>
      <c r="F1372" s="205"/>
      <c r="G1372" s="206"/>
      <c r="H1372" s="207"/>
      <c r="J1372" s="76"/>
    </row>
    <row r="1373" spans="1:10">
      <c r="A1373" s="172"/>
      <c r="D1373" s="56"/>
      <c r="E1373" s="204"/>
      <c r="F1373" s="205"/>
      <c r="G1373" s="206"/>
      <c r="H1373" s="207"/>
      <c r="J1373" s="76"/>
    </row>
    <row r="1374" spans="1:10">
      <c r="A1374" s="172"/>
      <c r="D1374" s="56"/>
      <c r="E1374" s="204"/>
      <c r="F1374" s="205"/>
      <c r="G1374" s="206"/>
      <c r="H1374" s="207"/>
      <c r="J1374" s="76"/>
    </row>
    <row r="1375" spans="1:10">
      <c r="A1375" s="172"/>
      <c r="D1375" s="56"/>
      <c r="E1375" s="204"/>
      <c r="F1375" s="205"/>
      <c r="G1375" s="206"/>
      <c r="H1375" s="207"/>
      <c r="J1375" s="76"/>
    </row>
    <row r="1376" spans="1:10">
      <c r="A1376" s="172"/>
      <c r="D1376" s="56"/>
      <c r="E1376" s="204"/>
      <c r="F1376" s="205"/>
      <c r="G1376" s="206"/>
      <c r="H1376" s="207"/>
      <c r="J1376" s="76"/>
    </row>
    <row r="1377" spans="1:10">
      <c r="A1377" s="172"/>
      <c r="D1377" s="56"/>
      <c r="E1377" s="204"/>
      <c r="F1377" s="205"/>
      <c r="G1377" s="206"/>
      <c r="H1377" s="207"/>
      <c r="J1377" s="76"/>
    </row>
    <row r="1378" spans="1:10">
      <c r="A1378" s="172"/>
      <c r="D1378" s="56"/>
      <c r="E1378" s="204"/>
      <c r="F1378" s="205"/>
      <c r="G1378" s="206"/>
      <c r="H1378" s="207"/>
      <c r="J1378" s="76"/>
    </row>
    <row r="1379" spans="1:10">
      <c r="A1379" s="172"/>
      <c r="D1379" s="56"/>
      <c r="E1379" s="204"/>
      <c r="F1379" s="205"/>
      <c r="G1379" s="206"/>
      <c r="H1379" s="207"/>
      <c r="J1379" s="76"/>
    </row>
    <row r="1380" spans="1:10">
      <c r="A1380" s="172"/>
      <c r="D1380" s="56"/>
      <c r="E1380" s="204"/>
      <c r="F1380" s="205"/>
      <c r="G1380" s="206"/>
      <c r="H1380" s="207"/>
      <c r="J1380" s="76"/>
    </row>
    <row r="1381" spans="1:10">
      <c r="A1381" s="172"/>
      <c r="D1381" s="56"/>
      <c r="E1381" s="204"/>
      <c r="F1381" s="205"/>
      <c r="G1381" s="206"/>
      <c r="H1381" s="207"/>
      <c r="J1381" s="76"/>
    </row>
    <row r="1382" spans="1:10">
      <c r="A1382" s="172"/>
      <c r="D1382" s="56"/>
      <c r="E1382" s="204"/>
      <c r="F1382" s="205"/>
      <c r="G1382" s="206"/>
      <c r="H1382" s="207"/>
      <c r="J1382" s="76"/>
    </row>
    <row r="1383" spans="1:10">
      <c r="A1383" s="172"/>
      <c r="D1383" s="56"/>
      <c r="E1383" s="204"/>
      <c r="F1383" s="205"/>
      <c r="G1383" s="206"/>
      <c r="H1383" s="207"/>
      <c r="J1383" s="76"/>
    </row>
    <row r="1384" spans="1:10">
      <c r="A1384" s="172"/>
      <c r="D1384" s="56"/>
      <c r="E1384" s="204"/>
      <c r="F1384" s="205"/>
      <c r="G1384" s="206"/>
      <c r="H1384" s="207"/>
      <c r="J1384" s="76"/>
    </row>
    <row r="1385" spans="1:10">
      <c r="A1385" s="172"/>
      <c r="D1385" s="56"/>
      <c r="E1385" s="204"/>
      <c r="F1385" s="205"/>
      <c r="G1385" s="206"/>
      <c r="H1385" s="207"/>
      <c r="J1385" s="76"/>
    </row>
    <row r="1386" spans="1:10">
      <c r="A1386" s="172"/>
      <c r="D1386" s="56"/>
      <c r="E1386" s="204"/>
      <c r="F1386" s="205"/>
      <c r="G1386" s="206"/>
      <c r="H1386" s="207"/>
      <c r="J1386" s="76"/>
    </row>
    <row r="1387" spans="1:10">
      <c r="A1387" s="172"/>
      <c r="D1387" s="56"/>
      <c r="E1387" s="204"/>
      <c r="F1387" s="205"/>
      <c r="G1387" s="206"/>
      <c r="H1387" s="207"/>
      <c r="J1387" s="76"/>
    </row>
    <row r="1388" spans="1:10">
      <c r="A1388" s="172"/>
      <c r="D1388" s="56"/>
      <c r="E1388" s="204"/>
      <c r="F1388" s="205"/>
      <c r="G1388" s="206"/>
      <c r="H1388" s="207"/>
      <c r="J1388" s="76"/>
    </row>
    <row r="1389" spans="1:10">
      <c r="A1389" s="172"/>
      <c r="D1389" s="56"/>
      <c r="E1389" s="204"/>
      <c r="F1389" s="205"/>
      <c r="G1389" s="206"/>
      <c r="H1389" s="207"/>
      <c r="J1389" s="76"/>
    </row>
    <row r="1390" spans="1:10">
      <c r="A1390" s="172"/>
      <c r="D1390" s="56"/>
      <c r="E1390" s="204"/>
      <c r="F1390" s="205"/>
      <c r="G1390" s="206"/>
      <c r="H1390" s="207"/>
      <c r="J1390" s="76"/>
    </row>
    <row r="1391" spans="1:10">
      <c r="A1391" s="172"/>
      <c r="D1391" s="56"/>
      <c r="E1391" s="204"/>
      <c r="F1391" s="205"/>
      <c r="G1391" s="206"/>
      <c r="H1391" s="207"/>
      <c r="J1391" s="76"/>
    </row>
    <row r="1392" spans="1:10">
      <c r="A1392" s="172"/>
      <c r="D1392" s="56"/>
      <c r="E1392" s="204"/>
      <c r="F1392" s="205"/>
      <c r="G1392" s="206"/>
      <c r="H1392" s="207"/>
      <c r="J1392" s="76"/>
    </row>
    <row r="1393" spans="1:10">
      <c r="A1393" s="172"/>
      <c r="D1393" s="56"/>
      <c r="E1393" s="204"/>
      <c r="F1393" s="205"/>
      <c r="G1393" s="206"/>
      <c r="H1393" s="207"/>
      <c r="J1393" s="76"/>
    </row>
    <row r="1394" spans="1:10">
      <c r="A1394" s="172"/>
      <c r="D1394" s="56"/>
      <c r="E1394" s="204"/>
      <c r="F1394" s="205"/>
      <c r="G1394" s="206"/>
      <c r="H1394" s="207"/>
      <c r="J1394" s="76"/>
    </row>
    <row r="1395" spans="1:10">
      <c r="A1395" s="172"/>
      <c r="D1395" s="56"/>
      <c r="E1395" s="204"/>
      <c r="F1395" s="205"/>
      <c r="G1395" s="206"/>
      <c r="H1395" s="207"/>
      <c r="J1395" s="76"/>
    </row>
    <row r="1396" spans="1:10">
      <c r="A1396" s="172"/>
      <c r="D1396" s="56"/>
      <c r="E1396" s="204"/>
      <c r="F1396" s="205"/>
      <c r="G1396" s="206"/>
      <c r="H1396" s="207"/>
      <c r="J1396" s="76"/>
    </row>
    <row r="1397" spans="1:10">
      <c r="A1397" s="172"/>
      <c r="D1397" s="56"/>
      <c r="E1397" s="204"/>
      <c r="F1397" s="205"/>
      <c r="G1397" s="206"/>
      <c r="H1397" s="207"/>
      <c r="J1397" s="76"/>
    </row>
    <row r="1398" spans="1:10">
      <c r="A1398" s="172"/>
      <c r="D1398" s="56"/>
      <c r="E1398" s="204"/>
      <c r="F1398" s="205"/>
      <c r="G1398" s="206"/>
      <c r="H1398" s="207"/>
      <c r="J1398" s="76"/>
    </row>
    <row r="1399" spans="1:10">
      <c r="A1399" s="172"/>
      <c r="D1399" s="56"/>
      <c r="E1399" s="204"/>
      <c r="F1399" s="205"/>
      <c r="G1399" s="206"/>
      <c r="H1399" s="207"/>
      <c r="J1399" s="76"/>
    </row>
    <row r="1400" spans="1:10">
      <c r="A1400" s="172"/>
      <c r="D1400" s="56"/>
      <c r="E1400" s="204"/>
      <c r="F1400" s="205"/>
      <c r="G1400" s="206"/>
      <c r="H1400" s="207"/>
      <c r="J1400" s="76"/>
    </row>
    <row r="1401" spans="1:10">
      <c r="A1401" s="172"/>
      <c r="D1401" s="56"/>
      <c r="E1401" s="204"/>
      <c r="F1401" s="205"/>
      <c r="G1401" s="206"/>
      <c r="H1401" s="207"/>
      <c r="J1401" s="76"/>
    </row>
    <row r="1402" spans="1:10">
      <c r="A1402" s="172"/>
      <c r="D1402" s="56"/>
      <c r="E1402" s="204"/>
      <c r="F1402" s="205"/>
      <c r="G1402" s="206"/>
      <c r="H1402" s="207"/>
      <c r="J1402" s="76"/>
    </row>
    <row r="1403" spans="1:10">
      <c r="A1403" s="172"/>
      <c r="D1403" s="56"/>
      <c r="E1403" s="204"/>
      <c r="F1403" s="205"/>
      <c r="G1403" s="206"/>
      <c r="H1403" s="207"/>
      <c r="J1403" s="76"/>
    </row>
    <row r="1404" spans="1:10">
      <c r="A1404" s="172"/>
      <c r="D1404" s="56"/>
      <c r="E1404" s="204"/>
      <c r="F1404" s="205"/>
      <c r="G1404" s="206"/>
      <c r="H1404" s="207"/>
      <c r="J1404" s="76"/>
    </row>
    <row r="1405" spans="1:10">
      <c r="A1405" s="172"/>
      <c r="D1405" s="56"/>
      <c r="E1405" s="204"/>
      <c r="F1405" s="205"/>
      <c r="G1405" s="206"/>
      <c r="H1405" s="207"/>
      <c r="J1405" s="76"/>
    </row>
    <row r="1406" spans="1:10">
      <c r="A1406" s="172"/>
      <c r="D1406" s="56"/>
      <c r="E1406" s="204"/>
      <c r="F1406" s="205"/>
      <c r="G1406" s="206"/>
      <c r="H1406" s="207"/>
      <c r="J1406" s="76"/>
    </row>
    <row r="1407" spans="1:10">
      <c r="A1407" s="172"/>
      <c r="D1407" s="56"/>
      <c r="E1407" s="204"/>
      <c r="F1407" s="205"/>
      <c r="G1407" s="206"/>
      <c r="H1407" s="207"/>
      <c r="J1407" s="76"/>
    </row>
    <row r="1408" spans="1:10">
      <c r="A1408" s="172"/>
      <c r="D1408" s="56"/>
      <c r="E1408" s="204"/>
      <c r="F1408" s="205"/>
      <c r="G1408" s="206"/>
      <c r="H1408" s="207"/>
      <c r="J1408" s="76"/>
    </row>
    <row r="1409" spans="1:10">
      <c r="A1409" s="172"/>
      <c r="D1409" s="56"/>
      <c r="E1409" s="204"/>
      <c r="F1409" s="205"/>
      <c r="G1409" s="206"/>
      <c r="H1409" s="207"/>
      <c r="J1409" s="76"/>
    </row>
    <row r="1410" spans="1:10">
      <c r="A1410" s="172"/>
      <c r="D1410" s="56"/>
      <c r="E1410" s="204"/>
      <c r="F1410" s="205"/>
      <c r="G1410" s="206"/>
      <c r="H1410" s="207"/>
      <c r="J1410" s="76"/>
    </row>
    <row r="1411" spans="1:10">
      <c r="A1411" s="172"/>
      <c r="D1411" s="56"/>
      <c r="E1411" s="204"/>
      <c r="F1411" s="205"/>
      <c r="G1411" s="206"/>
      <c r="H1411" s="207"/>
      <c r="J1411" s="76"/>
    </row>
    <row r="1412" spans="1:10">
      <c r="A1412" s="172"/>
      <c r="D1412" s="56"/>
      <c r="E1412" s="204"/>
      <c r="F1412" s="205"/>
      <c r="G1412" s="206"/>
      <c r="H1412" s="207"/>
      <c r="J1412" s="76"/>
    </row>
    <row r="1413" spans="1:10">
      <c r="A1413" s="172"/>
      <c r="D1413" s="56"/>
      <c r="E1413" s="204"/>
      <c r="F1413" s="205"/>
      <c r="G1413" s="206"/>
      <c r="H1413" s="207"/>
      <c r="J1413" s="76"/>
    </row>
    <row r="1414" spans="1:10">
      <c r="A1414" s="172"/>
      <c r="D1414" s="56"/>
      <c r="E1414" s="204"/>
      <c r="F1414" s="205"/>
      <c r="G1414" s="206"/>
      <c r="H1414" s="207"/>
      <c r="J1414" s="76"/>
    </row>
    <row r="1415" spans="1:10">
      <c r="A1415" s="172"/>
      <c r="D1415" s="56"/>
      <c r="E1415" s="204"/>
      <c r="F1415" s="205"/>
      <c r="G1415" s="206"/>
      <c r="H1415" s="207"/>
      <c r="J1415" s="76"/>
    </row>
    <row r="1416" spans="1:10">
      <c r="A1416" s="172"/>
      <c r="D1416" s="56"/>
      <c r="E1416" s="204"/>
      <c r="F1416" s="205"/>
      <c r="G1416" s="206"/>
      <c r="H1416" s="207"/>
      <c r="J1416" s="76"/>
    </row>
    <row r="1417" spans="1:10">
      <c r="A1417" s="172"/>
      <c r="D1417" s="56"/>
      <c r="E1417" s="204"/>
      <c r="F1417" s="205"/>
      <c r="G1417" s="206"/>
      <c r="H1417" s="207"/>
      <c r="J1417" s="76"/>
    </row>
    <row r="1418" spans="1:10">
      <c r="A1418" s="172"/>
      <c r="D1418" s="56"/>
      <c r="E1418" s="204"/>
      <c r="F1418" s="205"/>
      <c r="G1418" s="206"/>
      <c r="H1418" s="207"/>
      <c r="J1418" s="76"/>
    </row>
    <row r="1419" spans="1:10">
      <c r="A1419" s="172"/>
      <c r="D1419" s="56"/>
      <c r="E1419" s="204"/>
      <c r="F1419" s="205"/>
      <c r="G1419" s="206"/>
      <c r="H1419" s="207"/>
      <c r="J1419" s="76"/>
    </row>
    <row r="1420" spans="1:10">
      <c r="A1420" s="172"/>
      <c r="D1420" s="56"/>
      <c r="E1420" s="204"/>
      <c r="F1420" s="205"/>
      <c r="G1420" s="206"/>
      <c r="H1420" s="207"/>
      <c r="J1420" s="76"/>
    </row>
    <row r="1421" spans="1:10">
      <c r="A1421" s="172"/>
      <c r="D1421" s="56"/>
      <c r="E1421" s="204"/>
      <c r="F1421" s="205"/>
      <c r="G1421" s="206"/>
      <c r="H1421" s="207"/>
      <c r="J1421" s="76"/>
    </row>
    <row r="1422" spans="1:10">
      <c r="A1422" s="172"/>
      <c r="D1422" s="56"/>
      <c r="E1422" s="204"/>
      <c r="F1422" s="205"/>
      <c r="G1422" s="206"/>
      <c r="H1422" s="207"/>
      <c r="J1422" s="76"/>
    </row>
    <row r="1423" spans="1:10">
      <c r="A1423" s="172"/>
      <c r="D1423" s="56"/>
      <c r="E1423" s="204"/>
      <c r="F1423" s="205"/>
      <c r="G1423" s="206"/>
      <c r="H1423" s="207"/>
      <c r="J1423" s="76"/>
    </row>
    <row r="1424" spans="1:10">
      <c r="A1424" s="172"/>
      <c r="D1424" s="56"/>
      <c r="E1424" s="204"/>
      <c r="F1424" s="205"/>
      <c r="G1424" s="206"/>
      <c r="H1424" s="207"/>
      <c r="J1424" s="76"/>
    </row>
    <row r="1425" spans="1:10">
      <c r="A1425" s="172"/>
      <c r="D1425" s="56"/>
      <c r="E1425" s="204"/>
      <c r="F1425" s="205"/>
      <c r="G1425" s="206"/>
      <c r="H1425" s="207"/>
      <c r="J1425" s="76"/>
    </row>
    <row r="1426" spans="1:10">
      <c r="A1426" s="172"/>
      <c r="D1426" s="56"/>
      <c r="E1426" s="204"/>
      <c r="F1426" s="205"/>
      <c r="G1426" s="206"/>
      <c r="H1426" s="207"/>
      <c r="J1426" s="76"/>
    </row>
    <row r="1427" spans="1:10">
      <c r="A1427" s="172"/>
      <c r="D1427" s="56"/>
      <c r="E1427" s="204"/>
      <c r="F1427" s="205"/>
      <c r="G1427" s="206"/>
      <c r="H1427" s="207"/>
      <c r="J1427" s="76"/>
    </row>
    <row r="1428" spans="1:10">
      <c r="A1428" s="172"/>
      <c r="D1428" s="56"/>
      <c r="E1428" s="204"/>
      <c r="F1428" s="205"/>
      <c r="G1428" s="206"/>
      <c r="H1428" s="207"/>
      <c r="J1428" s="76"/>
    </row>
    <row r="1429" spans="1:10">
      <c r="A1429" s="172"/>
      <c r="D1429" s="56"/>
      <c r="E1429" s="204"/>
      <c r="F1429" s="205"/>
      <c r="G1429" s="206"/>
      <c r="H1429" s="207"/>
      <c r="J1429" s="76"/>
    </row>
    <row r="1430" spans="1:10">
      <c r="A1430" s="172"/>
      <c r="D1430" s="56"/>
      <c r="E1430" s="204"/>
      <c r="F1430" s="205"/>
      <c r="G1430" s="206"/>
      <c r="H1430" s="207"/>
      <c r="J1430" s="76"/>
    </row>
    <row r="1431" spans="1:10">
      <c r="A1431" s="172"/>
      <c r="D1431" s="56"/>
      <c r="E1431" s="204"/>
      <c r="F1431" s="205"/>
      <c r="G1431" s="206"/>
      <c r="H1431" s="207"/>
      <c r="J1431" s="76"/>
    </row>
    <row r="1432" spans="1:10">
      <c r="A1432" s="172"/>
      <c r="D1432" s="56"/>
      <c r="E1432" s="204"/>
      <c r="F1432" s="205"/>
      <c r="G1432" s="206"/>
      <c r="H1432" s="207"/>
      <c r="J1432" s="76"/>
    </row>
    <row r="1433" spans="1:10">
      <c r="A1433" s="172"/>
      <c r="D1433" s="56"/>
      <c r="E1433" s="204"/>
      <c r="F1433" s="205"/>
      <c r="G1433" s="206"/>
      <c r="H1433" s="207"/>
      <c r="J1433" s="76"/>
    </row>
    <row r="1434" spans="1:10">
      <c r="A1434" s="172"/>
      <c r="D1434" s="56"/>
      <c r="E1434" s="204"/>
      <c r="F1434" s="205"/>
      <c r="G1434" s="206"/>
      <c r="H1434" s="207"/>
      <c r="J1434" s="76"/>
    </row>
    <row r="1435" spans="1:10">
      <c r="A1435" s="172"/>
      <c r="D1435" s="56"/>
      <c r="E1435" s="204"/>
      <c r="F1435" s="205"/>
      <c r="G1435" s="206"/>
      <c r="H1435" s="207"/>
      <c r="J1435" s="76"/>
    </row>
    <row r="1436" spans="1:10">
      <c r="A1436" s="172"/>
      <c r="D1436" s="56"/>
      <c r="E1436" s="204"/>
      <c r="F1436" s="205"/>
      <c r="G1436" s="206"/>
      <c r="H1436" s="207"/>
      <c r="J1436" s="76"/>
    </row>
    <row r="1437" spans="1:10">
      <c r="A1437" s="172"/>
      <c r="D1437" s="56"/>
      <c r="E1437" s="204"/>
      <c r="F1437" s="205"/>
      <c r="G1437" s="206"/>
      <c r="H1437" s="207"/>
      <c r="J1437" s="76"/>
    </row>
    <row r="1438" spans="1:10">
      <c r="A1438" s="172"/>
      <c r="D1438" s="56"/>
      <c r="E1438" s="204"/>
      <c r="F1438" s="205"/>
      <c r="G1438" s="206"/>
      <c r="H1438" s="207"/>
      <c r="J1438" s="76"/>
    </row>
    <row r="1439" spans="1:10">
      <c r="A1439" s="172"/>
      <c r="D1439" s="56"/>
      <c r="E1439" s="204"/>
      <c r="F1439" s="205"/>
      <c r="G1439" s="206"/>
      <c r="H1439" s="207"/>
      <c r="J1439" s="76"/>
    </row>
    <row r="1440" spans="1:10">
      <c r="A1440" s="172"/>
      <c r="D1440" s="56"/>
      <c r="E1440" s="204"/>
      <c r="F1440" s="205"/>
      <c r="G1440" s="206"/>
      <c r="H1440" s="207"/>
      <c r="J1440" s="76"/>
    </row>
    <row r="1441" spans="1:10">
      <c r="A1441" s="172"/>
      <c r="D1441" s="56"/>
      <c r="E1441" s="204"/>
      <c r="F1441" s="205"/>
      <c r="G1441" s="206"/>
      <c r="H1441" s="207"/>
      <c r="J1441" s="76"/>
    </row>
    <row r="1442" spans="1:10">
      <c r="A1442" s="172"/>
      <c r="D1442" s="56"/>
      <c r="E1442" s="204"/>
      <c r="F1442" s="205"/>
      <c r="G1442" s="206"/>
      <c r="H1442" s="207"/>
      <c r="J1442" s="76"/>
    </row>
    <row r="1443" spans="1:10">
      <c r="A1443" s="172"/>
      <c r="D1443" s="56"/>
      <c r="E1443" s="204"/>
      <c r="F1443" s="205"/>
      <c r="G1443" s="206"/>
      <c r="H1443" s="207"/>
      <c r="J1443" s="76"/>
    </row>
    <row r="1444" spans="1:10">
      <c r="A1444" s="172"/>
      <c r="D1444" s="56"/>
      <c r="E1444" s="204"/>
      <c r="F1444" s="205"/>
      <c r="G1444" s="206"/>
      <c r="H1444" s="207"/>
      <c r="J1444" s="76"/>
    </row>
    <row r="1445" spans="1:10">
      <c r="A1445" s="172"/>
      <c r="D1445" s="56"/>
      <c r="E1445" s="204"/>
      <c r="F1445" s="205"/>
      <c r="G1445" s="206"/>
      <c r="H1445" s="207"/>
      <c r="J1445" s="76"/>
    </row>
    <row r="1446" spans="1:10">
      <c r="A1446" s="172"/>
      <c r="D1446" s="56"/>
      <c r="E1446" s="204"/>
      <c r="F1446" s="205"/>
      <c r="G1446" s="206"/>
      <c r="H1446" s="207"/>
      <c r="J1446" s="76"/>
    </row>
    <row r="1447" spans="1:10">
      <c r="A1447" s="172"/>
      <c r="D1447" s="56"/>
      <c r="E1447" s="204"/>
      <c r="F1447" s="205"/>
      <c r="G1447" s="206"/>
      <c r="H1447" s="207"/>
      <c r="J1447" s="76"/>
    </row>
    <row r="1448" spans="1:10">
      <c r="A1448" s="172"/>
      <c r="D1448" s="56"/>
      <c r="E1448" s="204"/>
      <c r="F1448" s="205"/>
      <c r="G1448" s="206"/>
      <c r="H1448" s="207"/>
      <c r="J1448" s="76"/>
    </row>
    <row r="1449" spans="1:10">
      <c r="A1449" s="172"/>
      <c r="D1449" s="56"/>
      <c r="E1449" s="204"/>
      <c r="F1449" s="205"/>
      <c r="G1449" s="206"/>
      <c r="H1449" s="207"/>
      <c r="J1449" s="76"/>
    </row>
    <row r="1450" spans="1:10">
      <c r="A1450" s="172"/>
      <c r="D1450" s="56"/>
      <c r="E1450" s="204"/>
      <c r="F1450" s="205"/>
      <c r="G1450" s="206"/>
      <c r="H1450" s="207"/>
      <c r="J1450" s="76"/>
    </row>
    <row r="1451" spans="1:10">
      <c r="A1451" s="172"/>
      <c r="D1451" s="56"/>
      <c r="E1451" s="204"/>
      <c r="F1451" s="205"/>
      <c r="G1451" s="206"/>
      <c r="H1451" s="207"/>
      <c r="J1451" s="76"/>
    </row>
    <row r="1452" spans="1:10">
      <c r="A1452" s="172"/>
      <c r="D1452" s="56"/>
      <c r="E1452" s="204"/>
      <c r="F1452" s="205"/>
      <c r="G1452" s="206"/>
      <c r="H1452" s="207"/>
      <c r="J1452" s="76"/>
    </row>
    <row r="1453" spans="1:10">
      <c r="A1453" s="172"/>
      <c r="D1453" s="56"/>
      <c r="E1453" s="204"/>
      <c r="F1453" s="205"/>
      <c r="G1453" s="206"/>
      <c r="H1453" s="207"/>
      <c r="J1453" s="76"/>
    </row>
    <row r="1454" spans="1:10">
      <c r="A1454" s="172"/>
      <c r="D1454" s="56"/>
      <c r="E1454" s="204"/>
      <c r="F1454" s="205"/>
      <c r="G1454" s="206"/>
      <c r="H1454" s="207"/>
      <c r="J1454" s="76"/>
    </row>
    <row r="1455" spans="1:10">
      <c r="A1455" s="172"/>
      <c r="D1455" s="56"/>
      <c r="E1455" s="204"/>
      <c r="F1455" s="205"/>
      <c r="G1455" s="206"/>
      <c r="H1455" s="207"/>
      <c r="J1455" s="76"/>
    </row>
    <row r="1456" spans="1:10">
      <c r="A1456" s="172"/>
      <c r="D1456" s="56"/>
      <c r="E1456" s="204"/>
      <c r="F1456" s="205"/>
      <c r="G1456" s="206"/>
      <c r="H1456" s="207"/>
      <c r="J1456" s="76"/>
    </row>
    <row r="1457" spans="1:10">
      <c r="A1457" s="172"/>
      <c r="D1457" s="56"/>
      <c r="E1457" s="204"/>
      <c r="F1457" s="205"/>
      <c r="G1457" s="206"/>
      <c r="H1457" s="207"/>
      <c r="J1457" s="76"/>
    </row>
    <row r="1458" spans="1:10">
      <c r="A1458" s="172"/>
      <c r="D1458" s="56"/>
      <c r="E1458" s="204"/>
      <c r="F1458" s="205"/>
      <c r="G1458" s="206"/>
      <c r="H1458" s="207"/>
      <c r="J1458" s="76"/>
    </row>
    <row r="1459" spans="1:10">
      <c r="A1459" s="172"/>
      <c r="D1459" s="56"/>
      <c r="E1459" s="204"/>
      <c r="F1459" s="205"/>
      <c r="G1459" s="206"/>
      <c r="H1459" s="207"/>
      <c r="J1459" s="76"/>
    </row>
    <row r="1460" spans="1:10">
      <c r="A1460" s="172"/>
      <c r="D1460" s="56"/>
      <c r="E1460" s="204"/>
      <c r="F1460" s="205"/>
      <c r="G1460" s="206"/>
      <c r="H1460" s="207"/>
      <c r="J1460" s="76"/>
    </row>
    <row r="1461" spans="1:10">
      <c r="A1461" s="172"/>
      <c r="D1461" s="56"/>
      <c r="E1461" s="204"/>
      <c r="F1461" s="205"/>
      <c r="G1461" s="206"/>
      <c r="H1461" s="207"/>
      <c r="J1461" s="76"/>
    </row>
    <row r="1462" spans="1:10">
      <c r="A1462" s="172"/>
      <c r="D1462" s="56"/>
      <c r="E1462" s="204"/>
      <c r="F1462" s="205"/>
      <c r="G1462" s="206"/>
      <c r="H1462" s="207"/>
      <c r="J1462" s="76"/>
    </row>
    <row r="1463" spans="1:10">
      <c r="A1463" s="172"/>
      <c r="D1463" s="56"/>
      <c r="E1463" s="204"/>
      <c r="F1463" s="205"/>
      <c r="G1463" s="206"/>
      <c r="H1463" s="207"/>
      <c r="J1463" s="76"/>
    </row>
    <row r="1464" spans="1:10">
      <c r="A1464" s="172"/>
      <c r="D1464" s="56"/>
      <c r="E1464" s="204"/>
      <c r="F1464" s="205"/>
      <c r="G1464" s="206"/>
      <c r="H1464" s="207"/>
      <c r="J1464" s="76"/>
    </row>
    <row r="1465" spans="1:10">
      <c r="A1465" s="172"/>
      <c r="D1465" s="56"/>
      <c r="E1465" s="204"/>
      <c r="F1465" s="205"/>
      <c r="G1465" s="206"/>
      <c r="H1465" s="207"/>
      <c r="J1465" s="76"/>
    </row>
    <row r="1466" spans="1:10">
      <c r="A1466" s="172"/>
      <c r="D1466" s="56"/>
      <c r="E1466" s="204"/>
      <c r="F1466" s="205"/>
      <c r="G1466" s="206"/>
      <c r="H1466" s="207"/>
      <c r="J1466" s="76"/>
    </row>
    <row r="1467" spans="1:10">
      <c r="A1467" s="172"/>
      <c r="D1467" s="56"/>
      <c r="E1467" s="204"/>
      <c r="F1467" s="205"/>
      <c r="G1467" s="206"/>
      <c r="H1467" s="207"/>
      <c r="J1467" s="76"/>
    </row>
    <row r="1468" spans="1:10">
      <c r="A1468" s="172"/>
      <c r="D1468" s="56"/>
      <c r="E1468" s="204"/>
      <c r="F1468" s="205"/>
      <c r="G1468" s="206"/>
      <c r="H1468" s="207"/>
      <c r="J1468" s="76"/>
    </row>
    <row r="1469" spans="1:10">
      <c r="A1469" s="172"/>
      <c r="D1469" s="56"/>
      <c r="E1469" s="204"/>
      <c r="F1469" s="205"/>
      <c r="G1469" s="206"/>
      <c r="H1469" s="207"/>
      <c r="J1469" s="76"/>
    </row>
    <row r="1470" spans="1:10">
      <c r="A1470" s="172"/>
      <c r="D1470" s="56"/>
      <c r="E1470" s="204"/>
      <c r="F1470" s="205"/>
      <c r="G1470" s="206"/>
      <c r="H1470" s="207"/>
      <c r="J1470" s="76"/>
    </row>
    <row r="1471" spans="1:10">
      <c r="A1471" s="172"/>
      <c r="D1471" s="56"/>
      <c r="E1471" s="204"/>
      <c r="F1471" s="205"/>
      <c r="G1471" s="206"/>
      <c r="H1471" s="207"/>
      <c r="J1471" s="76"/>
    </row>
    <row r="1472" spans="1:10">
      <c r="A1472" s="172"/>
      <c r="D1472" s="56"/>
      <c r="E1472" s="204"/>
      <c r="F1472" s="205"/>
      <c r="G1472" s="206"/>
      <c r="H1472" s="207"/>
      <c r="J1472" s="76"/>
    </row>
    <row r="1473" spans="1:10">
      <c r="A1473" s="172"/>
      <c r="D1473" s="56"/>
      <c r="E1473" s="204"/>
      <c r="F1473" s="205"/>
      <c r="G1473" s="206"/>
      <c r="H1473" s="207"/>
      <c r="J1473" s="76"/>
    </row>
    <row r="1474" spans="1:10">
      <c r="A1474" s="172"/>
      <c r="D1474" s="56"/>
      <c r="E1474" s="204"/>
      <c r="F1474" s="205"/>
      <c r="G1474" s="206"/>
      <c r="H1474" s="207"/>
      <c r="J1474" s="76"/>
    </row>
    <row r="1475" spans="1:10">
      <c r="A1475" s="172"/>
      <c r="D1475" s="56"/>
      <c r="E1475" s="204"/>
      <c r="F1475" s="205"/>
      <c r="G1475" s="206"/>
      <c r="H1475" s="207"/>
      <c r="J1475" s="76"/>
    </row>
    <row r="1476" spans="1:10">
      <c r="A1476" s="172"/>
      <c r="D1476" s="56"/>
      <c r="E1476" s="204"/>
      <c r="F1476" s="205"/>
      <c r="G1476" s="206"/>
      <c r="H1476" s="207"/>
      <c r="J1476" s="76"/>
    </row>
    <row r="1477" spans="1:10">
      <c r="A1477" s="172"/>
      <c r="D1477" s="56"/>
      <c r="E1477" s="204"/>
      <c r="F1477" s="205"/>
      <c r="G1477" s="206"/>
      <c r="H1477" s="207"/>
      <c r="J1477" s="76"/>
    </row>
    <row r="1478" spans="1:10">
      <c r="A1478" s="172"/>
      <c r="D1478" s="56"/>
      <c r="E1478" s="204"/>
      <c r="F1478" s="205"/>
      <c r="G1478" s="206"/>
      <c r="H1478" s="207"/>
      <c r="J1478" s="76"/>
    </row>
    <row r="1479" spans="1:10">
      <c r="A1479" s="172"/>
      <c r="D1479" s="56"/>
      <c r="E1479" s="204"/>
      <c r="F1479" s="205"/>
      <c r="G1479" s="206"/>
      <c r="H1479" s="207"/>
      <c r="J1479" s="76"/>
    </row>
    <row r="1480" spans="1:10">
      <c r="A1480" s="172"/>
      <c r="D1480" s="56"/>
      <c r="E1480" s="204"/>
      <c r="F1480" s="205"/>
      <c r="G1480" s="206"/>
      <c r="H1480" s="207"/>
      <c r="J1480" s="76"/>
    </row>
    <row r="1481" spans="1:10">
      <c r="A1481" s="172"/>
      <c r="D1481" s="56"/>
      <c r="E1481" s="204"/>
      <c r="F1481" s="205"/>
      <c r="G1481" s="206"/>
      <c r="H1481" s="207"/>
      <c r="J1481" s="76"/>
    </row>
    <row r="1482" spans="1:10">
      <c r="A1482" s="172"/>
      <c r="D1482" s="56"/>
      <c r="E1482" s="204"/>
      <c r="F1482" s="205"/>
      <c r="G1482" s="206"/>
      <c r="H1482" s="207"/>
      <c r="J1482" s="76"/>
    </row>
    <row r="1483" spans="1:10">
      <c r="A1483" s="172"/>
      <c r="D1483" s="56"/>
      <c r="E1483" s="204"/>
      <c r="F1483" s="205"/>
      <c r="G1483" s="206"/>
      <c r="H1483" s="207"/>
      <c r="J1483" s="76"/>
    </row>
    <row r="1484" spans="1:10">
      <c r="A1484" s="172"/>
      <c r="D1484" s="56"/>
      <c r="E1484" s="204"/>
      <c r="F1484" s="205"/>
      <c r="G1484" s="206"/>
      <c r="H1484" s="207"/>
      <c r="J1484" s="76"/>
    </row>
    <row r="1485" spans="1:10">
      <c r="A1485" s="172"/>
      <c r="D1485" s="56"/>
      <c r="E1485" s="204"/>
      <c r="F1485" s="205"/>
      <c r="G1485" s="206"/>
      <c r="H1485" s="207"/>
      <c r="J1485" s="76"/>
    </row>
    <row r="1486" spans="1:10">
      <c r="A1486" s="172"/>
      <c r="D1486" s="56"/>
      <c r="E1486" s="204"/>
      <c r="F1486" s="205"/>
      <c r="G1486" s="206"/>
      <c r="H1486" s="207"/>
      <c r="J1486" s="76"/>
    </row>
    <row r="1487" spans="1:10">
      <c r="A1487" s="172"/>
      <c r="D1487" s="56"/>
      <c r="E1487" s="204"/>
      <c r="F1487" s="205"/>
      <c r="G1487" s="206"/>
      <c r="H1487" s="207"/>
      <c r="J1487" s="76"/>
    </row>
    <row r="1488" spans="1:10">
      <c r="A1488" s="172"/>
      <c r="D1488" s="56"/>
      <c r="E1488" s="204"/>
      <c r="F1488" s="205"/>
      <c r="G1488" s="206"/>
      <c r="H1488" s="207"/>
      <c r="J1488" s="76"/>
    </row>
    <row r="1489" spans="1:10">
      <c r="A1489" s="172"/>
      <c r="D1489" s="56"/>
      <c r="E1489" s="204"/>
      <c r="F1489" s="205"/>
      <c r="G1489" s="206"/>
      <c r="H1489" s="207"/>
      <c r="J1489" s="76"/>
    </row>
    <row r="1490" spans="1:10">
      <c r="A1490" s="172"/>
      <c r="D1490" s="56"/>
      <c r="E1490" s="204"/>
      <c r="F1490" s="205"/>
      <c r="G1490" s="206"/>
      <c r="H1490" s="207"/>
      <c r="J1490" s="76"/>
    </row>
    <row r="1491" spans="1:10">
      <c r="A1491" s="172"/>
      <c r="D1491" s="56"/>
      <c r="E1491" s="204"/>
      <c r="F1491" s="205"/>
      <c r="G1491" s="206"/>
      <c r="H1491" s="207"/>
      <c r="J1491" s="76"/>
    </row>
    <row r="1492" spans="1:10">
      <c r="A1492" s="172"/>
      <c r="D1492" s="56"/>
      <c r="E1492" s="204"/>
      <c r="F1492" s="205"/>
      <c r="G1492" s="206"/>
      <c r="H1492" s="207"/>
      <c r="J1492" s="76"/>
    </row>
    <row r="1493" spans="1:10">
      <c r="A1493" s="172"/>
      <c r="D1493" s="56"/>
      <c r="E1493" s="204"/>
      <c r="F1493" s="205"/>
      <c r="G1493" s="206"/>
      <c r="H1493" s="207"/>
      <c r="J1493" s="76"/>
    </row>
    <row r="1494" spans="1:10">
      <c r="A1494" s="172"/>
      <c r="D1494" s="56"/>
      <c r="E1494" s="204"/>
      <c r="F1494" s="205"/>
      <c r="G1494" s="206"/>
      <c r="H1494" s="207"/>
      <c r="J1494" s="76"/>
    </row>
    <row r="1495" spans="1:10">
      <c r="A1495" s="172"/>
      <c r="D1495" s="56"/>
      <c r="E1495" s="204"/>
      <c r="F1495" s="205"/>
      <c r="G1495" s="206"/>
      <c r="H1495" s="207"/>
      <c r="J1495" s="76"/>
    </row>
    <row r="1496" spans="1:10">
      <c r="A1496" s="172"/>
      <c r="D1496" s="56"/>
      <c r="E1496" s="204"/>
      <c r="F1496" s="205"/>
      <c r="G1496" s="206"/>
      <c r="H1496" s="207"/>
      <c r="J1496" s="76"/>
    </row>
    <row r="1497" spans="1:10">
      <c r="A1497" s="172"/>
      <c r="D1497" s="56"/>
      <c r="E1497" s="204"/>
      <c r="F1497" s="205"/>
      <c r="G1497" s="206"/>
      <c r="H1497" s="207"/>
      <c r="J1497" s="76"/>
    </row>
    <row r="1498" spans="1:10">
      <c r="A1498" s="172"/>
      <c r="D1498" s="56"/>
      <c r="E1498" s="204"/>
      <c r="F1498" s="205"/>
      <c r="G1498" s="206"/>
      <c r="H1498" s="207"/>
      <c r="J1498" s="76"/>
    </row>
    <row r="1499" spans="1:10">
      <c r="A1499" s="172"/>
      <c r="D1499" s="56"/>
      <c r="E1499" s="204"/>
      <c r="F1499" s="205"/>
      <c r="G1499" s="206"/>
      <c r="H1499" s="207"/>
      <c r="J1499" s="76"/>
    </row>
    <row r="1500" spans="1:10">
      <c r="A1500" s="172"/>
      <c r="D1500" s="56"/>
      <c r="E1500" s="204"/>
      <c r="F1500" s="205"/>
      <c r="G1500" s="206"/>
      <c r="H1500" s="207"/>
      <c r="J1500" s="76"/>
    </row>
    <row r="1501" spans="1:10">
      <c r="A1501" s="172"/>
      <c r="D1501" s="56"/>
      <c r="E1501" s="204"/>
      <c r="F1501" s="205"/>
      <c r="G1501" s="206"/>
      <c r="H1501" s="207"/>
      <c r="J1501" s="76"/>
    </row>
    <row r="1502" spans="1:10">
      <c r="A1502" s="172"/>
      <c r="D1502" s="56"/>
      <c r="E1502" s="204"/>
      <c r="F1502" s="205"/>
      <c r="G1502" s="206"/>
      <c r="H1502" s="207"/>
      <c r="J1502" s="76"/>
    </row>
    <row r="1503" spans="1:10">
      <c r="A1503" s="172"/>
      <c r="D1503" s="56"/>
      <c r="E1503" s="204"/>
      <c r="F1503" s="205"/>
      <c r="G1503" s="206"/>
      <c r="H1503" s="207"/>
      <c r="J1503" s="76"/>
    </row>
    <row r="1504" spans="1:10">
      <c r="A1504" s="172"/>
      <c r="D1504" s="56"/>
      <c r="E1504" s="204"/>
      <c r="F1504" s="205"/>
      <c r="G1504" s="206"/>
      <c r="H1504" s="207"/>
      <c r="J1504" s="76"/>
    </row>
    <row r="1505" spans="1:10">
      <c r="A1505" s="172"/>
      <c r="D1505" s="56"/>
      <c r="E1505" s="204"/>
      <c r="F1505" s="205"/>
      <c r="G1505" s="206"/>
      <c r="H1505" s="207"/>
      <c r="J1505" s="76"/>
    </row>
    <row r="1506" spans="1:10">
      <c r="A1506" s="172"/>
      <c r="D1506" s="56"/>
      <c r="E1506" s="204"/>
      <c r="F1506" s="205"/>
      <c r="G1506" s="206"/>
      <c r="H1506" s="207"/>
      <c r="J1506" s="76"/>
    </row>
    <row r="1507" spans="1:10">
      <c r="A1507" s="172"/>
      <c r="D1507" s="56"/>
      <c r="E1507" s="204"/>
      <c r="F1507" s="205"/>
      <c r="G1507" s="206"/>
      <c r="H1507" s="207"/>
      <c r="J1507" s="76"/>
    </row>
    <row r="1508" spans="1:10">
      <c r="A1508" s="172"/>
      <c r="D1508" s="56"/>
      <c r="E1508" s="204"/>
      <c r="F1508" s="205"/>
      <c r="G1508" s="206"/>
      <c r="H1508" s="207"/>
      <c r="J1508" s="76"/>
    </row>
    <row r="1509" spans="1:10">
      <c r="A1509" s="172"/>
      <c r="D1509" s="56"/>
      <c r="E1509" s="204"/>
      <c r="F1509" s="205"/>
      <c r="G1509" s="206"/>
      <c r="H1509" s="207"/>
      <c r="J1509" s="76"/>
    </row>
    <row r="1510" spans="1:10">
      <c r="A1510" s="172"/>
      <c r="D1510" s="56"/>
      <c r="E1510" s="204"/>
      <c r="F1510" s="205"/>
      <c r="G1510" s="206"/>
      <c r="H1510" s="207"/>
      <c r="J1510" s="76"/>
    </row>
    <row r="1511" spans="1:10">
      <c r="A1511" s="172"/>
      <c r="D1511" s="56"/>
      <c r="E1511" s="204"/>
      <c r="F1511" s="205"/>
      <c r="G1511" s="206"/>
      <c r="H1511" s="207"/>
      <c r="J1511" s="76"/>
    </row>
    <row r="1512" spans="1:10">
      <c r="A1512" s="172"/>
      <c r="D1512" s="56"/>
      <c r="E1512" s="204"/>
      <c r="F1512" s="205"/>
      <c r="G1512" s="206"/>
      <c r="H1512" s="207"/>
      <c r="J1512" s="76"/>
    </row>
    <row r="1513" spans="1:10">
      <c r="A1513" s="172"/>
      <c r="D1513" s="56"/>
      <c r="E1513" s="204"/>
      <c r="F1513" s="205"/>
      <c r="G1513" s="206"/>
      <c r="H1513" s="207"/>
      <c r="J1513" s="76"/>
    </row>
    <row r="1514" spans="1:10">
      <c r="A1514" s="172"/>
      <c r="D1514" s="56"/>
      <c r="E1514" s="204"/>
      <c r="F1514" s="205"/>
      <c r="G1514" s="206"/>
      <c r="H1514" s="207"/>
      <c r="J1514" s="76"/>
    </row>
    <row r="1515" spans="1:10">
      <c r="A1515" s="172"/>
      <c r="D1515" s="56"/>
      <c r="E1515" s="204"/>
      <c r="F1515" s="205"/>
      <c r="G1515" s="206"/>
      <c r="H1515" s="207"/>
      <c r="J1515" s="76"/>
    </row>
    <row r="1516" spans="1:10">
      <c r="A1516" s="172"/>
      <c r="D1516" s="56"/>
      <c r="E1516" s="204"/>
      <c r="F1516" s="205"/>
      <c r="G1516" s="206"/>
      <c r="H1516" s="207"/>
      <c r="J1516" s="76"/>
    </row>
    <row r="1517" spans="1:10">
      <c r="A1517" s="172"/>
      <c r="D1517" s="56"/>
      <c r="E1517" s="204"/>
      <c r="F1517" s="205"/>
      <c r="G1517" s="206"/>
      <c r="H1517" s="207"/>
      <c r="J1517" s="76"/>
    </row>
    <row r="1518" spans="1:10">
      <c r="A1518" s="172"/>
      <c r="D1518" s="56"/>
      <c r="E1518" s="204"/>
      <c r="F1518" s="205"/>
      <c r="G1518" s="206"/>
      <c r="H1518" s="207"/>
      <c r="J1518" s="76"/>
    </row>
    <row r="1519" spans="1:10">
      <c r="A1519" s="172"/>
      <c r="D1519" s="56"/>
      <c r="E1519" s="204"/>
      <c r="F1519" s="205"/>
      <c r="G1519" s="206"/>
      <c r="H1519" s="207"/>
      <c r="J1519" s="76"/>
    </row>
    <row r="1520" spans="1:10">
      <c r="A1520" s="172"/>
      <c r="D1520" s="56"/>
      <c r="E1520" s="204"/>
      <c r="F1520" s="205"/>
      <c r="G1520" s="206"/>
      <c r="H1520" s="207"/>
      <c r="J1520" s="76"/>
    </row>
    <row r="1521" spans="1:10">
      <c r="A1521" s="172"/>
      <c r="D1521" s="56"/>
      <c r="E1521" s="204"/>
      <c r="F1521" s="205"/>
      <c r="G1521" s="206"/>
      <c r="H1521" s="207"/>
      <c r="J1521" s="76"/>
    </row>
    <row r="1522" spans="1:10">
      <c r="A1522" s="172"/>
      <c r="D1522" s="56"/>
      <c r="E1522" s="204"/>
      <c r="F1522" s="205"/>
      <c r="G1522" s="206"/>
      <c r="H1522" s="207"/>
      <c r="J1522" s="76"/>
    </row>
    <row r="1523" spans="1:10">
      <c r="A1523" s="172"/>
      <c r="D1523" s="56"/>
      <c r="E1523" s="204"/>
      <c r="F1523" s="205"/>
      <c r="G1523" s="206"/>
      <c r="H1523" s="207"/>
      <c r="J1523" s="76"/>
    </row>
    <row r="1524" spans="1:10">
      <c r="A1524" s="172"/>
      <c r="D1524" s="56"/>
      <c r="E1524" s="204"/>
      <c r="F1524" s="205"/>
      <c r="G1524" s="206"/>
      <c r="H1524" s="207"/>
      <c r="J1524" s="76"/>
    </row>
    <row r="1525" spans="1:10">
      <c r="A1525" s="172"/>
      <c r="D1525" s="56"/>
      <c r="E1525" s="204"/>
      <c r="F1525" s="205"/>
      <c r="G1525" s="206"/>
      <c r="H1525" s="207"/>
      <c r="J1525" s="76"/>
    </row>
    <row r="1526" spans="1:10">
      <c r="A1526" s="172"/>
      <c r="D1526" s="56"/>
      <c r="E1526" s="204"/>
      <c r="F1526" s="205"/>
      <c r="G1526" s="206"/>
      <c r="H1526" s="207"/>
      <c r="J1526" s="76"/>
    </row>
    <row r="1527" spans="1:10">
      <c r="A1527" s="172"/>
      <c r="D1527" s="56"/>
      <c r="E1527" s="204"/>
      <c r="F1527" s="205"/>
      <c r="G1527" s="206"/>
      <c r="H1527" s="207"/>
      <c r="J1527" s="76"/>
    </row>
    <row r="1528" spans="1:10">
      <c r="A1528" s="172"/>
      <c r="D1528" s="56"/>
      <c r="E1528" s="204"/>
      <c r="F1528" s="205"/>
      <c r="G1528" s="206"/>
      <c r="H1528" s="207"/>
      <c r="J1528" s="76"/>
    </row>
    <row r="1529" spans="1:10">
      <c r="A1529" s="172"/>
      <c r="D1529" s="56"/>
      <c r="E1529" s="204"/>
      <c r="F1529" s="205"/>
      <c r="G1529" s="206"/>
      <c r="H1529" s="207"/>
      <c r="J1529" s="76"/>
    </row>
    <row r="1530" spans="1:10">
      <c r="A1530" s="172"/>
      <c r="D1530" s="56"/>
      <c r="E1530" s="204"/>
      <c r="F1530" s="205"/>
      <c r="G1530" s="206"/>
      <c r="H1530" s="207"/>
      <c r="J1530" s="76"/>
    </row>
    <row r="1531" spans="1:10">
      <c r="A1531" s="172"/>
      <c r="D1531" s="56"/>
      <c r="E1531" s="204"/>
      <c r="F1531" s="205"/>
      <c r="G1531" s="206"/>
      <c r="H1531" s="207"/>
      <c r="J1531" s="76"/>
    </row>
    <row r="1532" spans="1:10">
      <c r="A1532" s="172"/>
      <c r="D1532" s="56"/>
      <c r="E1532" s="204"/>
      <c r="F1532" s="205"/>
      <c r="G1532" s="206"/>
      <c r="H1532" s="207"/>
      <c r="J1532" s="76"/>
    </row>
    <row r="1533" spans="1:10">
      <c r="A1533" s="172"/>
      <c r="D1533" s="56"/>
      <c r="E1533" s="204"/>
      <c r="F1533" s="205"/>
      <c r="G1533" s="206"/>
      <c r="H1533" s="207"/>
      <c r="J1533" s="76"/>
    </row>
    <row r="1534" spans="1:10">
      <c r="A1534" s="172"/>
      <c r="D1534" s="56"/>
      <c r="E1534" s="204"/>
      <c r="F1534" s="205"/>
      <c r="G1534" s="206"/>
      <c r="H1534" s="207"/>
      <c r="J1534" s="76"/>
    </row>
    <row r="1535" spans="1:10">
      <c r="A1535" s="172"/>
      <c r="D1535" s="56"/>
      <c r="E1535" s="204"/>
      <c r="F1535" s="205"/>
      <c r="G1535" s="206"/>
      <c r="H1535" s="207"/>
      <c r="J1535" s="76"/>
    </row>
    <row r="1536" spans="1:10">
      <c r="A1536" s="172"/>
      <c r="D1536" s="56"/>
      <c r="E1536" s="204"/>
      <c r="F1536" s="205"/>
      <c r="G1536" s="206"/>
      <c r="H1536" s="207"/>
      <c r="J1536" s="76"/>
    </row>
    <row r="1537" spans="1:10">
      <c r="A1537" s="172"/>
      <c r="D1537" s="56"/>
      <c r="E1537" s="204"/>
      <c r="F1537" s="205"/>
      <c r="G1537" s="206"/>
      <c r="H1537" s="207"/>
      <c r="J1537" s="76"/>
    </row>
    <row r="1538" spans="1:10">
      <c r="A1538" s="172"/>
      <c r="D1538" s="56"/>
      <c r="E1538" s="204"/>
      <c r="F1538" s="205"/>
      <c r="G1538" s="206"/>
      <c r="H1538" s="207"/>
      <c r="J1538" s="76"/>
    </row>
    <row r="1539" spans="1:10">
      <c r="A1539" s="172"/>
      <c r="D1539" s="56"/>
      <c r="E1539" s="204"/>
      <c r="F1539" s="205"/>
      <c r="G1539" s="206"/>
      <c r="H1539" s="207"/>
      <c r="J1539" s="76"/>
    </row>
    <row r="1540" spans="1:10">
      <c r="A1540" s="172"/>
      <c r="D1540" s="56"/>
      <c r="E1540" s="204"/>
      <c r="F1540" s="205"/>
      <c r="G1540" s="206"/>
      <c r="H1540" s="207"/>
      <c r="J1540" s="76"/>
    </row>
    <row r="1541" spans="1:10">
      <c r="A1541" s="172"/>
      <c r="D1541" s="56"/>
      <c r="E1541" s="204"/>
      <c r="F1541" s="205"/>
      <c r="G1541" s="206"/>
      <c r="H1541" s="207"/>
      <c r="J1541" s="76"/>
    </row>
    <row r="1542" spans="1:10">
      <c r="A1542" s="172"/>
      <c r="D1542" s="56"/>
      <c r="E1542" s="204"/>
      <c r="F1542" s="205"/>
      <c r="G1542" s="206"/>
      <c r="H1542" s="207"/>
      <c r="J1542" s="76"/>
    </row>
    <row r="1543" spans="1:10">
      <c r="A1543" s="172"/>
      <c r="D1543" s="56"/>
      <c r="E1543" s="204"/>
      <c r="F1543" s="205"/>
      <c r="G1543" s="206"/>
      <c r="H1543" s="207"/>
      <c r="J1543" s="76"/>
    </row>
    <row r="1544" spans="1:10">
      <c r="A1544" s="172"/>
      <c r="D1544" s="56"/>
      <c r="E1544" s="204"/>
      <c r="F1544" s="205"/>
      <c r="G1544" s="206"/>
      <c r="H1544" s="207"/>
      <c r="J1544" s="76"/>
    </row>
    <row r="1545" spans="1:10">
      <c r="A1545" s="172"/>
      <c r="D1545" s="56"/>
      <c r="E1545" s="204"/>
      <c r="F1545" s="205"/>
      <c r="G1545" s="206"/>
      <c r="H1545" s="207"/>
      <c r="J1545" s="76"/>
    </row>
    <row r="1546" spans="1:10">
      <c r="A1546" s="172"/>
      <c r="D1546" s="56"/>
      <c r="E1546" s="204"/>
      <c r="F1546" s="205"/>
      <c r="G1546" s="206"/>
      <c r="H1546" s="207"/>
      <c r="J1546" s="76"/>
    </row>
    <row r="1547" spans="1:10">
      <c r="A1547" s="172"/>
      <c r="D1547" s="56"/>
      <c r="E1547" s="204"/>
      <c r="F1547" s="205"/>
      <c r="G1547" s="206"/>
      <c r="H1547" s="207"/>
      <c r="J1547" s="76"/>
    </row>
    <row r="1548" spans="1:10">
      <c r="A1548" s="172"/>
      <c r="D1548" s="56"/>
      <c r="E1548" s="204"/>
      <c r="F1548" s="205"/>
      <c r="G1548" s="206"/>
      <c r="H1548" s="207"/>
      <c r="J1548" s="76"/>
    </row>
    <row r="1549" spans="1:10">
      <c r="A1549" s="172"/>
      <c r="D1549" s="56"/>
      <c r="E1549" s="204"/>
      <c r="F1549" s="205"/>
      <c r="G1549" s="206"/>
      <c r="H1549" s="207"/>
      <c r="J1549" s="76"/>
    </row>
    <row r="1550" spans="1:10">
      <c r="A1550" s="172"/>
      <c r="D1550" s="56"/>
      <c r="E1550" s="204"/>
      <c r="F1550" s="205"/>
      <c r="G1550" s="206"/>
      <c r="H1550" s="207"/>
      <c r="J1550" s="76"/>
    </row>
    <row r="1551" spans="1:10">
      <c r="A1551" s="172"/>
      <c r="D1551" s="56"/>
      <c r="E1551" s="204"/>
      <c r="F1551" s="205"/>
      <c r="G1551" s="206"/>
      <c r="H1551" s="207"/>
      <c r="J1551" s="76"/>
    </row>
    <row r="1552" spans="1:10">
      <c r="A1552" s="172"/>
      <c r="D1552" s="56"/>
      <c r="E1552" s="204"/>
      <c r="F1552" s="205"/>
      <c r="G1552" s="206"/>
      <c r="H1552" s="207"/>
      <c r="J1552" s="76"/>
    </row>
    <row r="1553" spans="1:10">
      <c r="A1553" s="172"/>
      <c r="D1553" s="56"/>
      <c r="E1553" s="204"/>
      <c r="F1553" s="205"/>
      <c r="G1553" s="206"/>
      <c r="H1553" s="207"/>
      <c r="J1553" s="76"/>
    </row>
    <row r="1554" spans="1:10">
      <c r="A1554" s="172"/>
      <c r="D1554" s="56"/>
      <c r="E1554" s="204"/>
      <c r="F1554" s="205"/>
      <c r="G1554" s="206"/>
      <c r="H1554" s="207"/>
      <c r="J1554" s="76"/>
    </row>
    <row r="1555" spans="1:10">
      <c r="A1555" s="172"/>
      <c r="D1555" s="56"/>
      <c r="E1555" s="204"/>
      <c r="F1555" s="205"/>
      <c r="G1555" s="206"/>
      <c r="H1555" s="207"/>
      <c r="J1555" s="76"/>
    </row>
    <row r="1556" spans="1:10">
      <c r="A1556" s="172"/>
      <c r="D1556" s="56"/>
      <c r="E1556" s="204"/>
      <c r="F1556" s="205"/>
      <c r="G1556" s="206"/>
      <c r="H1556" s="207"/>
      <c r="J1556" s="76"/>
    </row>
    <row r="1557" spans="1:10">
      <c r="A1557" s="172"/>
      <c r="D1557" s="56"/>
      <c r="E1557" s="204"/>
      <c r="F1557" s="205"/>
      <c r="G1557" s="206"/>
      <c r="H1557" s="207"/>
      <c r="J1557" s="76"/>
    </row>
    <row r="1558" spans="1:10">
      <c r="A1558" s="172"/>
      <c r="D1558" s="56"/>
      <c r="E1558" s="204"/>
      <c r="F1558" s="205"/>
      <c r="G1558" s="206"/>
      <c r="H1558" s="207"/>
      <c r="J1558" s="76"/>
    </row>
    <row r="1559" spans="1:10">
      <c r="A1559" s="172"/>
      <c r="D1559" s="56"/>
      <c r="E1559" s="204"/>
      <c r="F1559" s="205"/>
      <c r="G1559" s="206"/>
      <c r="H1559" s="207"/>
      <c r="J1559" s="76"/>
    </row>
    <row r="1560" spans="1:10">
      <c r="A1560" s="172"/>
      <c r="D1560" s="56"/>
      <c r="E1560" s="204"/>
      <c r="F1560" s="205"/>
      <c r="G1560" s="206"/>
      <c r="H1560" s="207"/>
      <c r="J1560" s="76"/>
    </row>
    <row r="1561" spans="1:10">
      <c r="A1561" s="172"/>
      <c r="D1561" s="56"/>
      <c r="E1561" s="204"/>
      <c r="F1561" s="205"/>
      <c r="G1561" s="206"/>
      <c r="H1561" s="207"/>
      <c r="J1561" s="76"/>
    </row>
    <row r="1562" spans="1:10">
      <c r="A1562" s="172"/>
      <c r="D1562" s="56"/>
      <c r="E1562" s="204"/>
      <c r="F1562" s="205"/>
      <c r="G1562" s="206"/>
      <c r="H1562" s="207"/>
      <c r="J1562" s="76"/>
    </row>
    <row r="1563" spans="1:10">
      <c r="A1563" s="172"/>
      <c r="D1563" s="56"/>
      <c r="E1563" s="204"/>
      <c r="F1563" s="205"/>
      <c r="G1563" s="206"/>
      <c r="H1563" s="207"/>
      <c r="J1563" s="76"/>
    </row>
    <row r="1564" spans="1:10">
      <c r="A1564" s="172"/>
      <c r="D1564" s="56"/>
      <c r="E1564" s="204"/>
      <c r="F1564" s="205"/>
      <c r="G1564" s="206"/>
      <c r="H1564" s="207"/>
      <c r="J1564" s="76"/>
    </row>
    <row r="1565" spans="1:10">
      <c r="A1565" s="172"/>
      <c r="D1565" s="56"/>
      <c r="E1565" s="204"/>
      <c r="F1565" s="205"/>
      <c r="G1565" s="206"/>
      <c r="H1565" s="207"/>
      <c r="J1565" s="76"/>
    </row>
    <row r="1566" spans="1:10">
      <c r="A1566" s="172"/>
      <c r="D1566" s="56"/>
      <c r="E1566" s="204"/>
      <c r="F1566" s="205"/>
      <c r="G1566" s="206"/>
      <c r="H1566" s="207"/>
      <c r="J1566" s="76"/>
    </row>
    <row r="1567" spans="1:10">
      <c r="A1567" s="172"/>
      <c r="D1567" s="56"/>
      <c r="E1567" s="204"/>
      <c r="F1567" s="205"/>
      <c r="G1567" s="206"/>
      <c r="H1567" s="207"/>
      <c r="J1567" s="76"/>
    </row>
    <row r="1568" spans="1:10">
      <c r="A1568" s="172"/>
      <c r="D1568" s="56"/>
      <c r="E1568" s="204"/>
      <c r="F1568" s="205"/>
      <c r="G1568" s="206"/>
      <c r="H1568" s="207"/>
      <c r="J1568" s="76"/>
    </row>
    <row r="1569" spans="1:10">
      <c r="A1569" s="172"/>
      <c r="D1569" s="56"/>
      <c r="E1569" s="204"/>
      <c r="F1569" s="205"/>
      <c r="G1569" s="206"/>
      <c r="H1569" s="207"/>
      <c r="J1569" s="76"/>
    </row>
    <row r="1570" spans="1:10">
      <c r="A1570" s="172"/>
      <c r="D1570" s="56"/>
      <c r="E1570" s="204"/>
      <c r="F1570" s="205"/>
      <c r="G1570" s="206"/>
      <c r="H1570" s="207"/>
      <c r="J1570" s="76"/>
    </row>
    <row r="1571" spans="1:10">
      <c r="A1571" s="172"/>
      <c r="D1571" s="56"/>
      <c r="E1571" s="204"/>
      <c r="F1571" s="205"/>
      <c r="G1571" s="206"/>
      <c r="H1571" s="207"/>
      <c r="J1571" s="76"/>
    </row>
    <row r="1572" spans="1:10">
      <c r="A1572" s="172"/>
      <c r="D1572" s="56"/>
      <c r="E1572" s="204"/>
      <c r="F1572" s="205"/>
      <c r="G1572" s="206"/>
      <c r="H1572" s="207"/>
      <c r="J1572" s="76"/>
    </row>
    <row r="1573" spans="1:10">
      <c r="A1573" s="172"/>
      <c r="D1573" s="56"/>
      <c r="E1573" s="204"/>
      <c r="F1573" s="205"/>
      <c r="G1573" s="206"/>
      <c r="H1573" s="207"/>
      <c r="J1573" s="76"/>
    </row>
    <row r="1574" spans="1:10">
      <c r="A1574" s="172"/>
      <c r="D1574" s="56"/>
      <c r="E1574" s="204"/>
      <c r="F1574" s="205"/>
      <c r="G1574" s="206"/>
      <c r="H1574" s="207"/>
      <c r="J1574" s="76"/>
    </row>
    <row r="1575" spans="1:10">
      <c r="A1575" s="172"/>
      <c r="D1575" s="56"/>
      <c r="E1575" s="204"/>
      <c r="F1575" s="205"/>
      <c r="G1575" s="206"/>
      <c r="H1575" s="207"/>
      <c r="J1575" s="76"/>
    </row>
    <row r="1576" spans="1:10">
      <c r="A1576" s="172"/>
      <c r="D1576" s="56"/>
      <c r="E1576" s="204"/>
      <c r="F1576" s="205"/>
      <c r="G1576" s="206"/>
      <c r="H1576" s="207"/>
      <c r="J1576" s="76"/>
    </row>
    <row r="1577" spans="1:10">
      <c r="A1577" s="172"/>
      <c r="D1577" s="56"/>
      <c r="E1577" s="204"/>
      <c r="F1577" s="205"/>
      <c r="G1577" s="206"/>
      <c r="H1577" s="207"/>
      <c r="J1577" s="76"/>
    </row>
    <row r="1578" spans="1:10">
      <c r="A1578" s="172"/>
      <c r="D1578" s="56"/>
      <c r="E1578" s="204"/>
      <c r="F1578" s="205"/>
      <c r="G1578" s="206"/>
      <c r="H1578" s="207"/>
      <c r="J1578" s="76"/>
    </row>
    <row r="1579" spans="1:10">
      <c r="A1579" s="172"/>
      <c r="D1579" s="56"/>
      <c r="E1579" s="204"/>
      <c r="F1579" s="205"/>
      <c r="G1579" s="206"/>
      <c r="H1579" s="207"/>
      <c r="J1579" s="76"/>
    </row>
    <row r="1580" spans="1:10">
      <c r="A1580" s="172"/>
      <c r="D1580" s="56"/>
      <c r="E1580" s="204"/>
      <c r="F1580" s="205"/>
      <c r="G1580" s="206"/>
      <c r="H1580" s="207"/>
      <c r="J1580" s="76"/>
    </row>
    <row r="1581" spans="1:10">
      <c r="A1581" s="172"/>
      <c r="D1581" s="56"/>
      <c r="E1581" s="204"/>
      <c r="F1581" s="205"/>
      <c r="G1581" s="206"/>
      <c r="H1581" s="207"/>
      <c r="J1581" s="76"/>
    </row>
    <row r="1582" spans="1:10">
      <c r="A1582" s="172"/>
      <c r="D1582" s="56"/>
      <c r="E1582" s="204"/>
      <c r="F1582" s="205"/>
      <c r="G1582" s="206"/>
      <c r="H1582" s="207"/>
      <c r="J1582" s="76"/>
    </row>
    <row r="1583" spans="1:10">
      <c r="A1583" s="172"/>
      <c r="D1583" s="56"/>
      <c r="E1583" s="204"/>
      <c r="F1583" s="205"/>
      <c r="G1583" s="206"/>
      <c r="H1583" s="207"/>
      <c r="J1583" s="76"/>
    </row>
    <row r="1584" spans="1:10">
      <c r="A1584" s="172"/>
      <c r="D1584" s="56"/>
      <c r="E1584" s="204"/>
      <c r="F1584" s="205"/>
      <c r="G1584" s="206"/>
      <c r="H1584" s="207"/>
      <c r="J1584" s="76"/>
    </row>
    <row r="1585" spans="1:10">
      <c r="A1585" s="172"/>
      <c r="D1585" s="56"/>
      <c r="E1585" s="204"/>
      <c r="F1585" s="205"/>
      <c r="G1585" s="206"/>
      <c r="H1585" s="207"/>
      <c r="J1585" s="76"/>
    </row>
    <row r="1586" spans="1:10">
      <c r="A1586" s="172"/>
      <c r="D1586" s="56"/>
      <c r="E1586" s="204"/>
      <c r="F1586" s="205"/>
      <c r="G1586" s="206"/>
      <c r="H1586" s="207"/>
      <c r="J1586" s="76"/>
    </row>
    <row r="1587" spans="1:10">
      <c r="A1587" s="172"/>
      <c r="D1587" s="56"/>
      <c r="E1587" s="204"/>
      <c r="F1587" s="205"/>
      <c r="G1587" s="206"/>
      <c r="H1587" s="207"/>
      <c r="J1587" s="76"/>
    </row>
    <row r="1588" spans="1:10">
      <c r="A1588" s="172"/>
      <c r="D1588" s="56"/>
      <c r="E1588" s="204"/>
      <c r="F1588" s="205"/>
      <c r="G1588" s="206"/>
      <c r="H1588" s="207"/>
      <c r="J1588" s="76"/>
    </row>
    <row r="1589" spans="1:10">
      <c r="A1589" s="172"/>
      <c r="D1589" s="56"/>
      <c r="E1589" s="204"/>
      <c r="F1589" s="205"/>
      <c r="G1589" s="206"/>
      <c r="H1589" s="207"/>
      <c r="J1589" s="76"/>
    </row>
    <row r="1590" spans="1:10">
      <c r="A1590" s="172"/>
      <c r="D1590" s="56"/>
      <c r="E1590" s="204"/>
      <c r="F1590" s="205"/>
      <c r="G1590" s="206"/>
      <c r="H1590" s="207"/>
      <c r="J1590" s="76"/>
    </row>
    <row r="1591" spans="1:10">
      <c r="A1591" s="172"/>
      <c r="D1591" s="56"/>
      <c r="E1591" s="204"/>
      <c r="F1591" s="205"/>
      <c r="G1591" s="206"/>
      <c r="H1591" s="207"/>
      <c r="J1591" s="76"/>
    </row>
    <row r="1592" spans="1:10">
      <c r="A1592" s="172"/>
      <c r="D1592" s="56"/>
      <c r="E1592" s="204"/>
      <c r="F1592" s="205"/>
      <c r="G1592" s="206"/>
      <c r="H1592" s="207"/>
      <c r="J1592" s="76"/>
    </row>
    <row r="1593" spans="1:10">
      <c r="A1593" s="172"/>
      <c r="D1593" s="56"/>
      <c r="E1593" s="204"/>
      <c r="F1593" s="205"/>
      <c r="G1593" s="206"/>
      <c r="H1593" s="207"/>
      <c r="J1593" s="76"/>
    </row>
    <row r="1594" spans="1:10">
      <c r="A1594" s="172"/>
      <c r="D1594" s="56"/>
      <c r="E1594" s="204"/>
      <c r="F1594" s="205"/>
      <c r="G1594" s="206"/>
      <c r="H1594" s="207"/>
      <c r="J1594" s="76"/>
    </row>
    <row r="1595" spans="1:10">
      <c r="A1595" s="172"/>
      <c r="D1595" s="56"/>
      <c r="E1595" s="204"/>
      <c r="F1595" s="205"/>
      <c r="G1595" s="206"/>
      <c r="H1595" s="207"/>
      <c r="J1595" s="76"/>
    </row>
    <row r="1596" spans="1:10">
      <c r="A1596" s="172"/>
      <c r="D1596" s="56"/>
      <c r="E1596" s="204"/>
      <c r="F1596" s="205"/>
      <c r="G1596" s="206"/>
      <c r="H1596" s="207"/>
      <c r="J1596" s="76"/>
    </row>
    <row r="1597" spans="1:10">
      <c r="A1597" s="172"/>
      <c r="D1597" s="56"/>
      <c r="E1597" s="204"/>
      <c r="F1597" s="205"/>
      <c r="G1597" s="206"/>
      <c r="H1597" s="207"/>
      <c r="J1597" s="76"/>
    </row>
    <row r="1598" spans="1:10">
      <c r="A1598" s="172"/>
      <c r="D1598" s="56"/>
      <c r="E1598" s="204"/>
      <c r="F1598" s="205"/>
      <c r="G1598" s="206"/>
      <c r="H1598" s="207"/>
      <c r="J1598" s="76"/>
    </row>
    <row r="1599" spans="1:10">
      <c r="A1599" s="172"/>
      <c r="D1599" s="56"/>
      <c r="E1599" s="204"/>
      <c r="F1599" s="205"/>
      <c r="G1599" s="206"/>
      <c r="H1599" s="207"/>
      <c r="J1599" s="76"/>
    </row>
    <row r="1600" spans="1:10">
      <c r="A1600" s="172"/>
      <c r="D1600" s="56"/>
      <c r="E1600" s="204"/>
      <c r="F1600" s="205"/>
      <c r="G1600" s="206"/>
      <c r="H1600" s="207"/>
      <c r="J1600" s="76"/>
    </row>
    <row r="1601" spans="1:10">
      <c r="A1601" s="172"/>
      <c r="D1601" s="56"/>
      <c r="E1601" s="204"/>
      <c r="F1601" s="205"/>
      <c r="G1601" s="206"/>
      <c r="H1601" s="207"/>
      <c r="J1601" s="76"/>
    </row>
    <row r="1602" spans="1:10">
      <c r="A1602" s="172"/>
      <c r="D1602" s="56"/>
      <c r="E1602" s="204"/>
      <c r="F1602" s="205"/>
      <c r="G1602" s="206"/>
      <c r="H1602" s="207"/>
      <c r="J1602" s="76"/>
    </row>
    <row r="1603" spans="1:10">
      <c r="A1603" s="172"/>
      <c r="D1603" s="56"/>
      <c r="E1603" s="204"/>
      <c r="F1603" s="205"/>
      <c r="G1603" s="206"/>
      <c r="H1603" s="207"/>
      <c r="J1603" s="76"/>
    </row>
    <row r="1604" spans="1:10">
      <c r="A1604" s="172"/>
      <c r="D1604" s="56"/>
      <c r="E1604" s="204"/>
      <c r="F1604" s="205"/>
      <c r="G1604" s="206"/>
      <c r="H1604" s="207"/>
      <c r="J1604" s="76"/>
    </row>
    <row r="1605" spans="1:10">
      <c r="A1605" s="172"/>
      <c r="D1605" s="56"/>
      <c r="E1605" s="204"/>
      <c r="F1605" s="205"/>
      <c r="G1605" s="206"/>
      <c r="H1605" s="207"/>
      <c r="J1605" s="76"/>
    </row>
    <row r="1606" spans="1:10">
      <c r="A1606" s="172"/>
      <c r="D1606" s="56"/>
      <c r="E1606" s="204"/>
      <c r="F1606" s="205"/>
      <c r="G1606" s="206"/>
      <c r="H1606" s="207"/>
      <c r="J1606" s="76"/>
    </row>
    <row r="1607" spans="1:10">
      <c r="A1607" s="172"/>
      <c r="D1607" s="56"/>
      <c r="E1607" s="204"/>
      <c r="F1607" s="205"/>
      <c r="G1607" s="206"/>
      <c r="H1607" s="207"/>
      <c r="J1607" s="76"/>
    </row>
    <row r="1608" spans="1:10">
      <c r="A1608" s="172"/>
      <c r="D1608" s="56"/>
      <c r="E1608" s="204"/>
      <c r="F1608" s="205"/>
      <c r="G1608" s="206"/>
      <c r="H1608" s="207"/>
      <c r="J1608" s="76"/>
    </row>
    <row r="1609" spans="1:10">
      <c r="A1609" s="172"/>
      <c r="D1609" s="56"/>
      <c r="E1609" s="204"/>
      <c r="F1609" s="205"/>
      <c r="G1609" s="206"/>
      <c r="H1609" s="207"/>
      <c r="J1609" s="76"/>
    </row>
    <row r="1610" spans="1:10">
      <c r="A1610" s="172"/>
      <c r="D1610" s="56"/>
      <c r="E1610" s="204"/>
      <c r="F1610" s="205"/>
      <c r="G1610" s="206"/>
      <c r="H1610" s="207"/>
      <c r="J1610" s="76"/>
    </row>
    <row r="1611" spans="1:10">
      <c r="A1611" s="172"/>
      <c r="D1611" s="56"/>
      <c r="E1611" s="204"/>
      <c r="F1611" s="205"/>
      <c r="G1611" s="206"/>
      <c r="H1611" s="207"/>
      <c r="J1611" s="76"/>
    </row>
    <row r="1612" spans="1:10">
      <c r="A1612" s="172"/>
      <c r="D1612" s="56"/>
      <c r="E1612" s="204"/>
      <c r="F1612" s="205"/>
      <c r="G1612" s="206"/>
      <c r="H1612" s="207"/>
      <c r="J1612" s="76"/>
    </row>
    <row r="1613" spans="1:10">
      <c r="A1613" s="172"/>
      <c r="D1613" s="56"/>
      <c r="E1613" s="204"/>
      <c r="F1613" s="205"/>
      <c r="G1613" s="206"/>
      <c r="H1613" s="207"/>
      <c r="J1613" s="76"/>
    </row>
    <row r="1614" spans="1:10">
      <c r="A1614" s="172"/>
      <c r="D1614" s="56"/>
      <c r="E1614" s="204"/>
      <c r="F1614" s="205"/>
      <c r="G1614" s="206"/>
      <c r="H1614" s="207"/>
      <c r="J1614" s="76"/>
    </row>
    <row r="1615" spans="1:10">
      <c r="A1615" s="172"/>
      <c r="D1615" s="56"/>
      <c r="E1615" s="204"/>
      <c r="F1615" s="205"/>
      <c r="G1615" s="206"/>
      <c r="H1615" s="207"/>
      <c r="J1615" s="76"/>
    </row>
    <row r="1616" spans="1:10">
      <c r="A1616" s="172"/>
      <c r="D1616" s="56"/>
      <c r="E1616" s="204"/>
      <c r="F1616" s="205"/>
      <c r="G1616" s="206"/>
      <c r="H1616" s="207"/>
      <c r="J1616" s="76"/>
    </row>
    <row r="1617" spans="1:10">
      <c r="A1617" s="172"/>
      <c r="D1617" s="56"/>
      <c r="E1617" s="204"/>
      <c r="F1617" s="205"/>
      <c r="G1617" s="206"/>
      <c r="H1617" s="207"/>
      <c r="J1617" s="76"/>
    </row>
    <row r="1618" spans="1:10">
      <c r="A1618" s="172"/>
      <c r="D1618" s="56"/>
      <c r="E1618" s="204"/>
      <c r="F1618" s="205"/>
      <c r="G1618" s="206"/>
      <c r="H1618" s="207"/>
      <c r="J1618" s="76"/>
    </row>
    <row r="1619" spans="1:10">
      <c r="A1619" s="172"/>
      <c r="D1619" s="56"/>
      <c r="E1619" s="204"/>
      <c r="F1619" s="205"/>
      <c r="G1619" s="206"/>
      <c r="H1619" s="207"/>
      <c r="J1619" s="76"/>
    </row>
    <row r="1620" spans="1:10">
      <c r="A1620" s="172"/>
      <c r="D1620" s="56"/>
      <c r="E1620" s="204"/>
      <c r="F1620" s="205"/>
      <c r="G1620" s="206"/>
      <c r="H1620" s="207"/>
      <c r="J1620" s="76"/>
    </row>
    <row r="1621" spans="1:10">
      <c r="A1621" s="172"/>
      <c r="D1621" s="56"/>
      <c r="E1621" s="204"/>
      <c r="F1621" s="205"/>
      <c r="G1621" s="206"/>
      <c r="H1621" s="207"/>
      <c r="J1621" s="76"/>
    </row>
    <row r="1622" spans="1:10">
      <c r="A1622" s="172"/>
      <c r="D1622" s="56"/>
      <c r="E1622" s="204"/>
      <c r="F1622" s="205"/>
      <c r="G1622" s="206"/>
      <c r="H1622" s="207"/>
      <c r="J1622" s="76"/>
    </row>
    <row r="1623" spans="1:10">
      <c r="A1623" s="172"/>
      <c r="D1623" s="56"/>
      <c r="E1623" s="204"/>
      <c r="F1623" s="205"/>
      <c r="G1623" s="206"/>
      <c r="H1623" s="207"/>
      <c r="J1623" s="76"/>
    </row>
    <row r="1624" spans="1:10">
      <c r="A1624" s="172"/>
      <c r="D1624" s="56"/>
      <c r="E1624" s="204"/>
      <c r="F1624" s="205"/>
      <c r="G1624" s="206"/>
      <c r="H1624" s="207"/>
      <c r="J1624" s="76"/>
    </row>
    <row r="1625" spans="1:10">
      <c r="A1625" s="172"/>
      <c r="D1625" s="56"/>
      <c r="E1625" s="204"/>
      <c r="F1625" s="205"/>
      <c r="G1625" s="206"/>
      <c r="H1625" s="207"/>
      <c r="J1625" s="76"/>
    </row>
    <row r="1626" spans="1:10">
      <c r="A1626" s="172"/>
      <c r="D1626" s="56"/>
      <c r="E1626" s="204"/>
      <c r="F1626" s="205"/>
      <c r="G1626" s="206"/>
      <c r="H1626" s="207"/>
      <c r="J1626" s="76"/>
    </row>
    <row r="1627" spans="1:10">
      <c r="A1627" s="172"/>
      <c r="D1627" s="56"/>
      <c r="E1627" s="204"/>
      <c r="F1627" s="205"/>
      <c r="G1627" s="206"/>
      <c r="H1627" s="207"/>
      <c r="J1627" s="76"/>
    </row>
    <row r="1628" spans="1:10">
      <c r="A1628" s="172"/>
      <c r="D1628" s="56"/>
      <c r="E1628" s="204"/>
      <c r="F1628" s="205"/>
      <c r="G1628" s="206"/>
      <c r="H1628" s="207"/>
      <c r="J1628" s="76"/>
    </row>
    <row r="1629" spans="1:10">
      <c r="A1629" s="172"/>
      <c r="D1629" s="56"/>
      <c r="E1629" s="204"/>
      <c r="F1629" s="205"/>
      <c r="G1629" s="206"/>
      <c r="H1629" s="207"/>
      <c r="J1629" s="76"/>
    </row>
    <row r="1630" spans="1:10">
      <c r="A1630" s="172"/>
      <c r="D1630" s="56"/>
      <c r="E1630" s="204"/>
      <c r="F1630" s="205"/>
      <c r="G1630" s="206"/>
      <c r="H1630" s="207"/>
      <c r="J1630" s="76"/>
    </row>
    <row r="1631" spans="1:10">
      <c r="A1631" s="172"/>
      <c r="D1631" s="56"/>
      <c r="E1631" s="204"/>
      <c r="F1631" s="205"/>
      <c r="G1631" s="206"/>
      <c r="H1631" s="207"/>
      <c r="J1631" s="76"/>
    </row>
    <row r="1632" spans="1:10">
      <c r="A1632" s="172"/>
      <c r="D1632" s="56"/>
      <c r="E1632" s="204"/>
      <c r="F1632" s="205"/>
      <c r="G1632" s="206"/>
      <c r="H1632" s="207"/>
      <c r="J1632" s="76"/>
    </row>
    <row r="1633" spans="1:10">
      <c r="A1633" s="172"/>
      <c r="D1633" s="56"/>
      <c r="E1633" s="204"/>
      <c r="F1633" s="205"/>
      <c r="G1633" s="206"/>
      <c r="H1633" s="207"/>
      <c r="J1633" s="76"/>
    </row>
    <row r="1634" spans="1:10">
      <c r="A1634" s="172"/>
      <c r="D1634" s="56"/>
      <c r="E1634" s="204"/>
      <c r="F1634" s="205"/>
      <c r="G1634" s="206"/>
      <c r="H1634" s="207"/>
      <c r="J1634" s="76"/>
    </row>
    <row r="1635" spans="1:10">
      <c r="A1635" s="172"/>
      <c r="D1635" s="56"/>
      <c r="E1635" s="204"/>
      <c r="F1635" s="205"/>
      <c r="G1635" s="206"/>
      <c r="H1635" s="207"/>
      <c r="J1635" s="76"/>
    </row>
    <row r="1636" spans="1:10">
      <c r="A1636" s="172"/>
      <c r="D1636" s="56"/>
      <c r="E1636" s="204"/>
      <c r="F1636" s="205"/>
      <c r="G1636" s="206"/>
      <c r="H1636" s="207"/>
      <c r="J1636" s="76"/>
    </row>
    <row r="1637" spans="1:10">
      <c r="A1637" s="172"/>
      <c r="D1637" s="56"/>
      <c r="E1637" s="204"/>
      <c r="F1637" s="205"/>
      <c r="G1637" s="206"/>
      <c r="H1637" s="207"/>
      <c r="J1637" s="76"/>
    </row>
    <row r="1638" spans="1:10">
      <c r="A1638" s="172"/>
      <c r="D1638" s="56"/>
      <c r="E1638" s="204"/>
      <c r="F1638" s="205"/>
      <c r="G1638" s="206"/>
      <c r="H1638" s="207"/>
      <c r="J1638" s="76"/>
    </row>
    <row r="1639" spans="1:10">
      <c r="A1639" s="172"/>
      <c r="D1639" s="56"/>
      <c r="E1639" s="204"/>
      <c r="F1639" s="205"/>
      <c r="G1639" s="206"/>
      <c r="H1639" s="207"/>
      <c r="J1639" s="76"/>
    </row>
    <row r="1640" spans="1:10">
      <c r="A1640" s="172"/>
      <c r="D1640" s="56"/>
      <c r="E1640" s="204"/>
      <c r="F1640" s="205"/>
      <c r="G1640" s="206"/>
      <c r="H1640" s="207"/>
      <c r="J1640" s="76"/>
    </row>
    <row r="1641" spans="1:10">
      <c r="A1641" s="172"/>
      <c r="D1641" s="56"/>
      <c r="E1641" s="204"/>
      <c r="F1641" s="205"/>
      <c r="G1641" s="206"/>
      <c r="H1641" s="207"/>
      <c r="J1641" s="76"/>
    </row>
    <row r="1642" spans="1:10">
      <c r="A1642" s="172"/>
      <c r="D1642" s="56"/>
      <c r="E1642" s="204"/>
      <c r="F1642" s="205"/>
      <c r="G1642" s="206"/>
      <c r="H1642" s="207"/>
      <c r="J1642" s="76"/>
    </row>
    <row r="1643" spans="1:10">
      <c r="A1643" s="172"/>
      <c r="D1643" s="56"/>
      <c r="E1643" s="204"/>
      <c r="F1643" s="205"/>
      <c r="G1643" s="206"/>
      <c r="H1643" s="207"/>
      <c r="J1643" s="76"/>
    </row>
    <row r="1644" spans="1:10">
      <c r="A1644" s="172"/>
      <c r="D1644" s="56"/>
      <c r="E1644" s="204"/>
      <c r="F1644" s="205"/>
      <c r="G1644" s="206"/>
      <c r="H1644" s="207"/>
      <c r="J1644" s="76"/>
    </row>
    <row r="1645" spans="1:10">
      <c r="A1645" s="172"/>
      <c r="D1645" s="56"/>
      <c r="E1645" s="204"/>
      <c r="F1645" s="205"/>
      <c r="G1645" s="206"/>
      <c r="H1645" s="207"/>
      <c r="J1645" s="76"/>
    </row>
    <row r="1646" spans="1:10">
      <c r="A1646" s="172"/>
      <c r="D1646" s="56"/>
      <c r="E1646" s="204"/>
      <c r="F1646" s="205"/>
      <c r="G1646" s="206"/>
      <c r="H1646" s="207"/>
      <c r="J1646" s="76"/>
    </row>
    <row r="1647" spans="1:10">
      <c r="A1647" s="172"/>
      <c r="D1647" s="56"/>
      <c r="E1647" s="204"/>
      <c r="F1647" s="205"/>
      <c r="G1647" s="206"/>
      <c r="H1647" s="207"/>
      <c r="J1647" s="76"/>
    </row>
    <row r="1648" spans="1:10">
      <c r="A1648" s="172"/>
      <c r="D1648" s="56"/>
      <c r="E1648" s="204"/>
      <c r="F1648" s="205"/>
      <c r="G1648" s="206"/>
      <c r="H1648" s="207"/>
      <c r="J1648" s="76"/>
    </row>
    <row r="1649" spans="1:10">
      <c r="A1649" s="172"/>
      <c r="D1649" s="56"/>
      <c r="E1649" s="204"/>
      <c r="F1649" s="205"/>
      <c r="G1649" s="206"/>
      <c r="H1649" s="207"/>
      <c r="J1649" s="76"/>
    </row>
    <row r="1650" spans="1:10">
      <c r="A1650" s="172"/>
      <c r="D1650" s="56"/>
      <c r="E1650" s="204"/>
      <c r="F1650" s="205"/>
      <c r="G1650" s="206"/>
      <c r="H1650" s="207"/>
      <c r="J1650" s="76"/>
    </row>
    <row r="1651" spans="1:10">
      <c r="A1651" s="172"/>
      <c r="D1651" s="56"/>
      <c r="E1651" s="204"/>
      <c r="F1651" s="205"/>
      <c r="G1651" s="206"/>
      <c r="H1651" s="207"/>
      <c r="J1651" s="76"/>
    </row>
    <row r="1652" spans="1:10">
      <c r="A1652" s="172"/>
      <c r="D1652" s="56"/>
      <c r="E1652" s="204"/>
      <c r="F1652" s="205"/>
      <c r="G1652" s="206"/>
      <c r="H1652" s="207"/>
      <c r="J1652" s="76"/>
    </row>
    <row r="1653" spans="1:10">
      <c r="A1653" s="172"/>
      <c r="D1653" s="56"/>
      <c r="E1653" s="204"/>
      <c r="F1653" s="205"/>
      <c r="G1653" s="206"/>
      <c r="H1653" s="207"/>
      <c r="J1653" s="76"/>
    </row>
    <row r="1654" spans="1:10">
      <c r="A1654" s="172"/>
      <c r="D1654" s="56"/>
      <c r="E1654" s="204"/>
      <c r="F1654" s="205"/>
      <c r="G1654" s="206"/>
      <c r="H1654" s="207"/>
      <c r="J1654" s="76"/>
    </row>
    <row r="1655" spans="1:10">
      <c r="A1655" s="172"/>
      <c r="D1655" s="56"/>
      <c r="E1655" s="204"/>
      <c r="F1655" s="205"/>
      <c r="G1655" s="206"/>
      <c r="H1655" s="207"/>
      <c r="J1655" s="76"/>
    </row>
    <row r="1656" spans="1:10">
      <c r="A1656" s="172"/>
      <c r="D1656" s="56"/>
      <c r="E1656" s="204"/>
      <c r="F1656" s="205"/>
      <c r="G1656" s="206"/>
      <c r="H1656" s="207"/>
      <c r="J1656" s="76"/>
    </row>
    <row r="1657" spans="1:10">
      <c r="A1657" s="172"/>
      <c r="D1657" s="56"/>
      <c r="E1657" s="204"/>
      <c r="F1657" s="205"/>
      <c r="G1657" s="206"/>
      <c r="H1657" s="207"/>
      <c r="J1657" s="76"/>
    </row>
    <row r="1658" spans="1:10">
      <c r="A1658" s="172"/>
      <c r="D1658" s="56"/>
      <c r="E1658" s="204"/>
      <c r="F1658" s="205"/>
      <c r="G1658" s="206"/>
      <c r="H1658" s="207"/>
      <c r="J1658" s="76"/>
    </row>
    <row r="1659" spans="1:10">
      <c r="A1659" s="172"/>
      <c r="D1659" s="56"/>
      <c r="E1659" s="204"/>
      <c r="F1659" s="205"/>
      <c r="G1659" s="206"/>
      <c r="H1659" s="207"/>
      <c r="J1659" s="76"/>
    </row>
    <row r="1660" spans="1:10">
      <c r="A1660" s="172"/>
      <c r="D1660" s="56"/>
      <c r="E1660" s="204"/>
      <c r="F1660" s="205"/>
      <c r="G1660" s="206"/>
      <c r="H1660" s="207"/>
      <c r="J1660" s="76"/>
    </row>
    <row r="1661" spans="1:10">
      <c r="A1661" s="172"/>
      <c r="D1661" s="56"/>
      <c r="E1661" s="204"/>
      <c r="F1661" s="205"/>
      <c r="G1661" s="206"/>
      <c r="H1661" s="207"/>
      <c r="J1661" s="76"/>
    </row>
    <row r="1662" spans="1:10">
      <c r="A1662" s="172"/>
      <c r="D1662" s="56"/>
      <c r="E1662" s="204"/>
      <c r="F1662" s="205"/>
      <c r="G1662" s="206"/>
      <c r="H1662" s="207"/>
      <c r="J1662" s="76"/>
    </row>
    <row r="1663" spans="1:10">
      <c r="A1663" s="172"/>
      <c r="D1663" s="56"/>
      <c r="E1663" s="204"/>
      <c r="F1663" s="205"/>
      <c r="G1663" s="206"/>
      <c r="H1663" s="207"/>
      <c r="J1663" s="76"/>
    </row>
    <row r="1664" spans="1:10">
      <c r="A1664" s="172"/>
      <c r="D1664" s="56"/>
      <c r="E1664" s="204"/>
      <c r="F1664" s="205"/>
      <c r="G1664" s="206"/>
      <c r="H1664" s="207"/>
      <c r="J1664" s="76"/>
    </row>
    <row r="1665" spans="1:10">
      <c r="A1665" s="172"/>
      <c r="D1665" s="56"/>
      <c r="E1665" s="204"/>
      <c r="F1665" s="205"/>
      <c r="G1665" s="206"/>
      <c r="H1665" s="207"/>
      <c r="J1665" s="76"/>
    </row>
    <row r="1666" spans="1:10">
      <c r="A1666" s="172"/>
      <c r="D1666" s="56"/>
      <c r="E1666" s="204"/>
      <c r="F1666" s="205"/>
      <c r="G1666" s="206"/>
      <c r="H1666" s="207"/>
      <c r="J1666" s="76"/>
    </row>
    <row r="1667" spans="1:10">
      <c r="A1667" s="172"/>
      <c r="D1667" s="56"/>
      <c r="E1667" s="204"/>
      <c r="F1667" s="205"/>
      <c r="G1667" s="206"/>
      <c r="H1667" s="207"/>
      <c r="J1667" s="76"/>
    </row>
    <row r="1668" spans="1:10">
      <c r="A1668" s="172"/>
      <c r="D1668" s="56"/>
      <c r="E1668" s="204"/>
      <c r="F1668" s="205"/>
      <c r="G1668" s="206"/>
      <c r="H1668" s="207"/>
      <c r="J1668" s="76"/>
    </row>
    <row r="1669" spans="1:10">
      <c r="A1669" s="172"/>
      <c r="D1669" s="56"/>
      <c r="E1669" s="204"/>
      <c r="F1669" s="205"/>
      <c r="G1669" s="206"/>
      <c r="H1669" s="207"/>
      <c r="J1669" s="76"/>
    </row>
    <row r="1670" spans="1:10">
      <c r="A1670" s="172"/>
      <c r="D1670" s="56"/>
      <c r="E1670" s="204"/>
      <c r="F1670" s="205"/>
      <c r="G1670" s="206"/>
      <c r="H1670" s="207"/>
      <c r="J1670" s="76"/>
    </row>
    <row r="1671" spans="1:10">
      <c r="A1671" s="172"/>
      <c r="D1671" s="56"/>
      <c r="E1671" s="204"/>
      <c r="F1671" s="205"/>
      <c r="G1671" s="206"/>
      <c r="H1671" s="207"/>
      <c r="J1671" s="76"/>
    </row>
    <row r="1672" spans="1:10">
      <c r="A1672" s="172"/>
      <c r="D1672" s="56"/>
      <c r="E1672" s="204"/>
      <c r="F1672" s="205"/>
      <c r="G1672" s="206"/>
      <c r="H1672" s="207"/>
      <c r="J1672" s="76"/>
    </row>
    <row r="1673" spans="1:10">
      <c r="A1673" s="172"/>
      <c r="D1673" s="56"/>
      <c r="E1673" s="204"/>
      <c r="F1673" s="205"/>
      <c r="G1673" s="206"/>
      <c r="H1673" s="207"/>
      <c r="J1673" s="76"/>
    </row>
    <row r="1674" spans="1:10">
      <c r="A1674" s="172"/>
      <c r="D1674" s="56"/>
      <c r="E1674" s="204"/>
      <c r="F1674" s="205"/>
      <c r="G1674" s="206"/>
      <c r="H1674" s="207"/>
      <c r="J1674" s="76"/>
    </row>
    <row r="1675" spans="1:10">
      <c r="A1675" s="172"/>
      <c r="D1675" s="56"/>
      <c r="E1675" s="204"/>
      <c r="F1675" s="205"/>
      <c r="G1675" s="206"/>
      <c r="H1675" s="207"/>
      <c r="J1675" s="76"/>
    </row>
    <row r="1676" spans="1:10">
      <c r="A1676" s="172"/>
      <c r="D1676" s="56"/>
      <c r="E1676" s="204"/>
      <c r="F1676" s="205"/>
      <c r="G1676" s="206"/>
      <c r="H1676" s="207"/>
      <c r="J1676" s="76"/>
    </row>
    <row r="1677" spans="1:10">
      <c r="A1677" s="172"/>
      <c r="D1677" s="56"/>
      <c r="E1677" s="204"/>
      <c r="F1677" s="205"/>
      <c r="G1677" s="206"/>
      <c r="H1677" s="207"/>
      <c r="J1677" s="76"/>
    </row>
    <row r="1678" spans="1:10">
      <c r="A1678" s="172"/>
      <c r="D1678" s="56"/>
      <c r="E1678" s="204"/>
      <c r="F1678" s="205"/>
      <c r="G1678" s="206"/>
      <c r="H1678" s="207"/>
      <c r="J1678" s="76"/>
    </row>
    <row r="1679" spans="1:10">
      <c r="A1679" s="172"/>
      <c r="D1679" s="56"/>
      <c r="E1679" s="204"/>
      <c r="F1679" s="205"/>
      <c r="G1679" s="206"/>
      <c r="H1679" s="207"/>
      <c r="J1679" s="76"/>
    </row>
    <row r="1680" spans="1:10">
      <c r="A1680" s="172"/>
      <c r="D1680" s="56"/>
      <c r="E1680" s="204"/>
      <c r="F1680" s="205"/>
      <c r="G1680" s="206"/>
      <c r="H1680" s="207"/>
      <c r="J1680" s="76"/>
    </row>
    <row r="1681" spans="1:10">
      <c r="A1681" s="172"/>
      <c r="D1681" s="56"/>
      <c r="E1681" s="204"/>
      <c r="F1681" s="205"/>
      <c r="G1681" s="206"/>
      <c r="H1681" s="207"/>
      <c r="J1681" s="76"/>
    </row>
    <row r="1682" spans="1:10">
      <c r="A1682" s="172"/>
      <c r="D1682" s="56"/>
      <c r="E1682" s="204"/>
      <c r="F1682" s="205"/>
      <c r="G1682" s="206"/>
      <c r="H1682" s="207"/>
      <c r="J1682" s="76"/>
    </row>
    <row r="1683" spans="1:10">
      <c r="A1683" s="172"/>
      <c r="D1683" s="56"/>
      <c r="E1683" s="204"/>
      <c r="F1683" s="205"/>
      <c r="G1683" s="206"/>
      <c r="H1683" s="207"/>
      <c r="J1683" s="76"/>
    </row>
    <row r="1684" spans="1:10">
      <c r="A1684" s="172"/>
      <c r="D1684" s="56"/>
      <c r="E1684" s="204"/>
      <c r="F1684" s="205"/>
      <c r="G1684" s="206"/>
      <c r="H1684" s="207"/>
      <c r="J1684" s="76"/>
    </row>
    <row r="1685" spans="1:10">
      <c r="A1685" s="172"/>
      <c r="D1685" s="56"/>
      <c r="E1685" s="204"/>
      <c r="F1685" s="205"/>
      <c r="G1685" s="206"/>
      <c r="H1685" s="207"/>
      <c r="J1685" s="76"/>
    </row>
    <row r="1686" spans="1:10">
      <c r="A1686" s="172"/>
      <c r="D1686" s="56"/>
      <c r="E1686" s="204"/>
      <c r="F1686" s="205"/>
      <c r="G1686" s="206"/>
      <c r="H1686" s="207"/>
      <c r="J1686" s="76"/>
    </row>
    <row r="1687" spans="1:10">
      <c r="A1687" s="172"/>
      <c r="D1687" s="56"/>
      <c r="E1687" s="204"/>
      <c r="F1687" s="205"/>
      <c r="G1687" s="206"/>
      <c r="H1687" s="207"/>
      <c r="J1687" s="76"/>
    </row>
    <row r="1688" spans="1:10">
      <c r="A1688" s="172"/>
      <c r="D1688" s="56"/>
      <c r="E1688" s="204"/>
      <c r="F1688" s="205"/>
      <c r="G1688" s="206"/>
      <c r="H1688" s="207"/>
      <c r="J1688" s="76"/>
    </row>
    <row r="1689" spans="1:10">
      <c r="A1689" s="172"/>
      <c r="D1689" s="56"/>
      <c r="E1689" s="204"/>
      <c r="F1689" s="205"/>
      <c r="G1689" s="206"/>
      <c r="H1689" s="207"/>
      <c r="J1689" s="76"/>
    </row>
    <row r="1690" spans="1:10">
      <c r="A1690" s="172"/>
      <c r="D1690" s="56"/>
      <c r="E1690" s="204"/>
      <c r="F1690" s="205"/>
      <c r="G1690" s="206"/>
      <c r="H1690" s="207"/>
      <c r="J1690" s="76"/>
    </row>
    <row r="1691" spans="1:10">
      <c r="A1691" s="172"/>
      <c r="D1691" s="56"/>
      <c r="E1691" s="204"/>
      <c r="F1691" s="205"/>
      <c r="G1691" s="206"/>
      <c r="H1691" s="207"/>
      <c r="J1691" s="76"/>
    </row>
    <row r="1692" spans="1:10">
      <c r="A1692" s="172"/>
      <c r="D1692" s="56"/>
      <c r="E1692" s="204"/>
      <c r="F1692" s="205"/>
      <c r="G1692" s="206"/>
      <c r="H1692" s="207"/>
      <c r="J1692" s="76"/>
    </row>
    <row r="1693" spans="1:10">
      <c r="A1693" s="172"/>
      <c r="D1693" s="56"/>
      <c r="E1693" s="204"/>
      <c r="F1693" s="205"/>
      <c r="G1693" s="206"/>
      <c r="H1693" s="207"/>
      <c r="J1693" s="76"/>
    </row>
    <row r="1694" spans="1:10">
      <c r="A1694" s="172"/>
      <c r="D1694" s="56"/>
      <c r="E1694" s="204"/>
      <c r="F1694" s="205"/>
      <c r="G1694" s="206"/>
      <c r="H1694" s="207"/>
      <c r="J1694" s="76"/>
    </row>
    <row r="1695" spans="1:10">
      <c r="A1695" s="172"/>
      <c r="D1695" s="56"/>
      <c r="E1695" s="204"/>
      <c r="F1695" s="205"/>
      <c r="G1695" s="206"/>
      <c r="H1695" s="207"/>
      <c r="J1695" s="76"/>
    </row>
    <row r="1696" spans="1:10">
      <c r="A1696" s="172"/>
      <c r="D1696" s="56"/>
      <c r="E1696" s="204"/>
      <c r="F1696" s="205"/>
      <c r="G1696" s="206"/>
      <c r="H1696" s="207"/>
      <c r="J1696" s="76"/>
    </row>
    <row r="1697" spans="1:10">
      <c r="A1697" s="172"/>
      <c r="D1697" s="56"/>
      <c r="E1697" s="204"/>
      <c r="F1697" s="205"/>
      <c r="G1697" s="206"/>
      <c r="H1697" s="207"/>
      <c r="J1697" s="76"/>
    </row>
    <row r="1698" spans="1:10">
      <c r="A1698" s="172"/>
      <c r="D1698" s="56"/>
      <c r="E1698" s="204"/>
      <c r="F1698" s="205"/>
      <c r="G1698" s="206"/>
      <c r="H1698" s="207"/>
      <c r="J1698" s="76"/>
    </row>
    <row r="1699" spans="1:10">
      <c r="A1699" s="172"/>
      <c r="D1699" s="56"/>
      <c r="E1699" s="204"/>
      <c r="F1699" s="205"/>
      <c r="G1699" s="206"/>
      <c r="H1699" s="207"/>
      <c r="J1699" s="76"/>
    </row>
    <row r="1700" spans="1:10">
      <c r="A1700" s="172"/>
      <c r="D1700" s="56"/>
      <c r="E1700" s="204"/>
      <c r="F1700" s="205"/>
      <c r="G1700" s="206"/>
      <c r="H1700" s="207"/>
      <c r="J1700" s="76"/>
    </row>
    <row r="1701" spans="1:10">
      <c r="A1701" s="172"/>
      <c r="D1701" s="56"/>
      <c r="E1701" s="204"/>
      <c r="F1701" s="205"/>
      <c r="G1701" s="206"/>
      <c r="H1701" s="207"/>
      <c r="J1701" s="76"/>
    </row>
    <row r="1702" spans="1:10">
      <c r="A1702" s="172"/>
      <c r="D1702" s="56"/>
      <c r="E1702" s="204"/>
      <c r="F1702" s="205"/>
      <c r="G1702" s="206"/>
      <c r="H1702" s="207"/>
      <c r="J1702" s="76"/>
    </row>
    <row r="1703" spans="1:10">
      <c r="A1703" s="172"/>
      <c r="D1703" s="56"/>
      <c r="E1703" s="204"/>
      <c r="F1703" s="205"/>
      <c r="G1703" s="206"/>
      <c r="H1703" s="207"/>
      <c r="J1703" s="76"/>
    </row>
    <row r="1704" spans="1:10">
      <c r="A1704" s="172"/>
      <c r="D1704" s="56"/>
      <c r="E1704" s="204"/>
      <c r="F1704" s="205"/>
      <c r="G1704" s="206"/>
      <c r="H1704" s="207"/>
      <c r="J1704" s="76"/>
    </row>
    <row r="1705" spans="1:10">
      <c r="A1705" s="172"/>
      <c r="D1705" s="56"/>
      <c r="E1705" s="204"/>
      <c r="F1705" s="205"/>
      <c r="G1705" s="206"/>
      <c r="H1705" s="207"/>
      <c r="J1705" s="76"/>
    </row>
    <row r="1706" spans="1:10">
      <c r="A1706" s="172"/>
      <c r="D1706" s="56"/>
      <c r="E1706" s="204"/>
      <c r="F1706" s="205"/>
      <c r="G1706" s="206"/>
      <c r="H1706" s="207"/>
      <c r="J1706" s="76"/>
    </row>
    <row r="1707" spans="1:10">
      <c r="A1707" s="172"/>
      <c r="D1707" s="56"/>
      <c r="E1707" s="204"/>
      <c r="F1707" s="205"/>
      <c r="G1707" s="206"/>
      <c r="H1707" s="207"/>
      <c r="J1707" s="76"/>
    </row>
    <row r="1708" spans="1:10">
      <c r="A1708" s="172"/>
      <c r="D1708" s="56"/>
      <c r="E1708" s="204"/>
      <c r="F1708" s="205"/>
      <c r="G1708" s="206"/>
      <c r="H1708" s="207"/>
      <c r="J1708" s="76"/>
    </row>
    <row r="1709" spans="1:10">
      <c r="A1709" s="172"/>
      <c r="D1709" s="56"/>
      <c r="E1709" s="204"/>
      <c r="F1709" s="205"/>
      <c r="G1709" s="206"/>
      <c r="H1709" s="207"/>
      <c r="J1709" s="76"/>
    </row>
    <row r="1710" spans="1:10">
      <c r="A1710" s="172"/>
      <c r="D1710" s="56"/>
      <c r="E1710" s="204"/>
      <c r="F1710" s="205"/>
      <c r="G1710" s="206"/>
      <c r="H1710" s="207"/>
      <c r="J1710" s="76"/>
    </row>
    <row r="1711" spans="1:10">
      <c r="A1711" s="172"/>
      <c r="D1711" s="56"/>
      <c r="E1711" s="204"/>
      <c r="F1711" s="205"/>
      <c r="G1711" s="206"/>
      <c r="H1711" s="207"/>
      <c r="J1711" s="76"/>
    </row>
    <row r="1712" spans="1:10">
      <c r="A1712" s="172"/>
      <c r="D1712" s="56"/>
      <c r="E1712" s="204"/>
      <c r="F1712" s="205"/>
      <c r="G1712" s="206"/>
      <c r="H1712" s="207"/>
      <c r="J1712" s="76"/>
    </row>
    <row r="1713" spans="1:10">
      <c r="A1713" s="172"/>
      <c r="D1713" s="56"/>
      <c r="E1713" s="204"/>
      <c r="F1713" s="205"/>
      <c r="G1713" s="206"/>
      <c r="H1713" s="207"/>
      <c r="J1713" s="76"/>
    </row>
    <row r="1714" spans="1:10">
      <c r="A1714" s="172"/>
      <c r="D1714" s="56"/>
      <c r="E1714" s="204"/>
      <c r="F1714" s="205"/>
      <c r="G1714" s="206"/>
      <c r="H1714" s="207"/>
      <c r="J1714" s="76"/>
    </row>
    <row r="1715" spans="1:10">
      <c r="A1715" s="172"/>
      <c r="D1715" s="56"/>
      <c r="E1715" s="204"/>
      <c r="F1715" s="205"/>
      <c r="G1715" s="206"/>
      <c r="H1715" s="207"/>
      <c r="J1715" s="76"/>
    </row>
    <row r="1716" spans="1:10">
      <c r="A1716" s="172"/>
      <c r="D1716" s="56"/>
      <c r="E1716" s="204"/>
      <c r="F1716" s="205"/>
      <c r="G1716" s="206"/>
      <c r="H1716" s="207"/>
      <c r="J1716" s="76"/>
    </row>
    <row r="1717" spans="1:10">
      <c r="A1717" s="172"/>
      <c r="D1717" s="56"/>
      <c r="E1717" s="204"/>
      <c r="F1717" s="205"/>
      <c r="G1717" s="206"/>
      <c r="H1717" s="207"/>
      <c r="J1717" s="76"/>
    </row>
    <row r="1718" spans="1:10">
      <c r="A1718" s="172"/>
      <c r="D1718" s="56"/>
      <c r="E1718" s="204"/>
      <c r="F1718" s="205"/>
      <c r="G1718" s="206"/>
      <c r="H1718" s="207"/>
      <c r="J1718" s="76"/>
    </row>
    <row r="1719" spans="1:10">
      <c r="A1719" s="172"/>
      <c r="D1719" s="56"/>
      <c r="E1719" s="204"/>
      <c r="F1719" s="205"/>
      <c r="G1719" s="206"/>
      <c r="H1719" s="207"/>
      <c r="J1719" s="76"/>
    </row>
    <row r="1720" spans="1:10">
      <c r="A1720" s="172"/>
      <c r="D1720" s="56"/>
      <c r="E1720" s="204"/>
      <c r="F1720" s="205"/>
      <c r="G1720" s="206"/>
      <c r="H1720" s="207"/>
      <c r="J1720" s="76"/>
    </row>
    <row r="1721" spans="1:10">
      <c r="A1721" s="172"/>
      <c r="D1721" s="56"/>
      <c r="E1721" s="204"/>
      <c r="F1721" s="205"/>
      <c r="G1721" s="206"/>
      <c r="H1721" s="207"/>
      <c r="J1721" s="76"/>
    </row>
    <row r="1722" spans="1:10">
      <c r="A1722" s="172"/>
      <c r="D1722" s="56"/>
      <c r="E1722" s="204"/>
      <c r="F1722" s="205"/>
      <c r="G1722" s="206"/>
      <c r="H1722" s="207"/>
      <c r="J1722" s="76"/>
    </row>
    <row r="1723" spans="1:10">
      <c r="A1723" s="172"/>
      <c r="D1723" s="56"/>
      <c r="E1723" s="204"/>
      <c r="F1723" s="205"/>
      <c r="G1723" s="206"/>
      <c r="H1723" s="207"/>
      <c r="J1723" s="76"/>
    </row>
    <row r="1724" spans="1:10">
      <c r="A1724" s="172"/>
      <c r="D1724" s="56"/>
      <c r="E1724" s="204"/>
      <c r="F1724" s="205"/>
      <c r="G1724" s="206"/>
      <c r="H1724" s="207"/>
      <c r="J1724" s="76"/>
    </row>
    <row r="1725" spans="1:10">
      <c r="A1725" s="172"/>
      <c r="D1725" s="56"/>
      <c r="E1725" s="204"/>
      <c r="F1725" s="205"/>
      <c r="G1725" s="206"/>
      <c r="H1725" s="207"/>
      <c r="J1725" s="76"/>
    </row>
    <row r="1726" spans="1:10">
      <c r="A1726" s="172"/>
      <c r="D1726" s="56"/>
      <c r="E1726" s="204"/>
      <c r="F1726" s="205"/>
      <c r="G1726" s="206"/>
      <c r="H1726" s="207"/>
      <c r="J1726" s="76"/>
    </row>
    <row r="1727" spans="1:10">
      <c r="A1727" s="172"/>
      <c r="D1727" s="56"/>
      <c r="E1727" s="204"/>
      <c r="F1727" s="205"/>
      <c r="G1727" s="206"/>
      <c r="H1727" s="207"/>
      <c r="J1727" s="76"/>
    </row>
    <row r="1728" spans="1:10">
      <c r="A1728" s="172"/>
      <c r="D1728" s="56"/>
      <c r="E1728" s="204"/>
      <c r="F1728" s="205"/>
      <c r="G1728" s="206"/>
      <c r="H1728" s="207"/>
      <c r="J1728" s="76"/>
    </row>
    <row r="1729" spans="1:10">
      <c r="A1729" s="172"/>
      <c r="D1729" s="56"/>
      <c r="E1729" s="204"/>
      <c r="F1729" s="205"/>
      <c r="G1729" s="206"/>
      <c r="H1729" s="207"/>
      <c r="J1729" s="76"/>
    </row>
    <row r="1730" spans="1:10">
      <c r="A1730" s="172"/>
      <c r="D1730" s="56"/>
      <c r="E1730" s="204"/>
      <c r="F1730" s="205"/>
      <c r="G1730" s="206"/>
      <c r="H1730" s="207"/>
      <c r="J1730" s="76"/>
    </row>
    <row r="1731" spans="1:10">
      <c r="A1731" s="172"/>
      <c r="D1731" s="56"/>
      <c r="E1731" s="204"/>
      <c r="F1731" s="205"/>
      <c r="G1731" s="206"/>
      <c r="H1731" s="207"/>
      <c r="J1731" s="76"/>
    </row>
    <row r="1732" spans="1:10">
      <c r="A1732" s="172"/>
      <c r="D1732" s="56"/>
      <c r="E1732" s="204"/>
      <c r="F1732" s="205"/>
      <c r="G1732" s="206"/>
      <c r="H1732" s="207"/>
      <c r="J1732" s="76"/>
    </row>
    <row r="1733" spans="1:10">
      <c r="A1733" s="172"/>
      <c r="D1733" s="56"/>
      <c r="E1733" s="204"/>
      <c r="F1733" s="205"/>
      <c r="G1733" s="206"/>
      <c r="H1733" s="207"/>
      <c r="J1733" s="76"/>
    </row>
    <row r="1734" spans="1:10">
      <c r="A1734" s="172"/>
      <c r="D1734" s="56"/>
      <c r="E1734" s="204"/>
      <c r="F1734" s="205"/>
      <c r="G1734" s="206"/>
      <c r="H1734" s="207"/>
      <c r="J1734" s="76"/>
    </row>
    <row r="1735" spans="1:10">
      <c r="A1735" s="172"/>
      <c r="D1735" s="56"/>
      <c r="E1735" s="204"/>
      <c r="F1735" s="205"/>
      <c r="G1735" s="206"/>
      <c r="H1735" s="207"/>
      <c r="J1735" s="76"/>
    </row>
    <row r="1736" spans="1:10">
      <c r="A1736" s="172"/>
      <c r="D1736" s="56"/>
      <c r="E1736" s="204"/>
      <c r="F1736" s="205"/>
      <c r="G1736" s="206"/>
      <c r="H1736" s="207"/>
      <c r="J1736" s="76"/>
    </row>
    <row r="1737" spans="1:10">
      <c r="A1737" s="172"/>
      <c r="D1737" s="56"/>
      <c r="E1737" s="204"/>
      <c r="F1737" s="205"/>
      <c r="G1737" s="206"/>
      <c r="H1737" s="207"/>
      <c r="J1737" s="76"/>
    </row>
    <row r="1738" spans="1:10">
      <c r="A1738" s="172"/>
      <c r="D1738" s="56"/>
      <c r="E1738" s="204"/>
      <c r="F1738" s="205"/>
      <c r="G1738" s="206"/>
      <c r="H1738" s="207"/>
      <c r="J1738" s="76"/>
    </row>
    <row r="1739" spans="1:10">
      <c r="A1739" s="172"/>
      <c r="D1739" s="56"/>
      <c r="E1739" s="204"/>
      <c r="F1739" s="205"/>
      <c r="G1739" s="206"/>
      <c r="H1739" s="207"/>
      <c r="J1739" s="76"/>
    </row>
    <row r="1740" spans="1:10">
      <c r="A1740" s="172"/>
      <c r="D1740" s="56"/>
      <c r="E1740" s="204"/>
      <c r="F1740" s="205"/>
      <c r="G1740" s="206"/>
      <c r="H1740" s="207"/>
      <c r="J1740" s="76"/>
    </row>
    <row r="1741" spans="1:10">
      <c r="A1741" s="172"/>
      <c r="D1741" s="56"/>
      <c r="E1741" s="204"/>
      <c r="F1741" s="205"/>
      <c r="G1741" s="206"/>
      <c r="H1741" s="207"/>
      <c r="J1741" s="76"/>
    </row>
    <row r="1742" spans="1:10">
      <c r="A1742" s="172"/>
      <c r="D1742" s="56"/>
      <c r="E1742" s="204"/>
      <c r="F1742" s="205"/>
      <c r="G1742" s="206"/>
      <c r="H1742" s="207"/>
      <c r="J1742" s="76"/>
    </row>
    <row r="1743" spans="1:10">
      <c r="A1743" s="172"/>
      <c r="D1743" s="56"/>
      <c r="E1743" s="204"/>
      <c r="F1743" s="205"/>
      <c r="G1743" s="206"/>
      <c r="H1743" s="207"/>
      <c r="J1743" s="76"/>
    </row>
    <row r="1744" spans="1:10">
      <c r="A1744" s="172"/>
      <c r="D1744" s="56"/>
      <c r="E1744" s="204"/>
      <c r="F1744" s="205"/>
      <c r="G1744" s="206"/>
      <c r="H1744" s="207"/>
      <c r="J1744" s="76"/>
    </row>
    <row r="1745" spans="1:10">
      <c r="A1745" s="172"/>
      <c r="D1745" s="56"/>
      <c r="E1745" s="204"/>
      <c r="F1745" s="205"/>
      <c r="G1745" s="206"/>
      <c r="H1745" s="207"/>
      <c r="J1745" s="76"/>
    </row>
    <row r="1746" spans="1:10">
      <c r="A1746" s="172"/>
      <c r="D1746" s="56"/>
      <c r="E1746" s="204"/>
      <c r="F1746" s="205"/>
      <c r="G1746" s="206"/>
      <c r="H1746" s="207"/>
      <c r="J1746" s="76"/>
    </row>
    <row r="1747" spans="1:10">
      <c r="A1747" s="172"/>
      <c r="D1747" s="56"/>
      <c r="E1747" s="204"/>
      <c r="F1747" s="205"/>
      <c r="G1747" s="206"/>
      <c r="H1747" s="207"/>
      <c r="J1747" s="76"/>
    </row>
    <row r="1748" spans="1:10">
      <c r="A1748" s="172"/>
      <c r="D1748" s="56"/>
      <c r="E1748" s="204"/>
      <c r="F1748" s="205"/>
      <c r="G1748" s="206"/>
      <c r="H1748" s="207"/>
      <c r="J1748" s="76"/>
    </row>
    <row r="1749" spans="1:10">
      <c r="A1749" s="172"/>
      <c r="D1749" s="56"/>
      <c r="E1749" s="204"/>
      <c r="F1749" s="205"/>
      <c r="G1749" s="206"/>
      <c r="H1749" s="207"/>
      <c r="J1749" s="76"/>
    </row>
    <row r="1750" spans="1:10">
      <c r="A1750" s="172"/>
      <c r="D1750" s="56"/>
      <c r="E1750" s="204"/>
      <c r="F1750" s="205"/>
      <c r="G1750" s="206"/>
      <c r="H1750" s="207"/>
      <c r="J1750" s="76"/>
    </row>
    <row r="1751" spans="1:10">
      <c r="A1751" s="172"/>
      <c r="D1751" s="56"/>
      <c r="E1751" s="204"/>
      <c r="F1751" s="205"/>
      <c r="G1751" s="206"/>
      <c r="H1751" s="207"/>
      <c r="J1751" s="76"/>
    </row>
    <row r="1752" spans="1:10">
      <c r="A1752" s="172"/>
      <c r="D1752" s="56"/>
      <c r="E1752" s="204"/>
      <c r="F1752" s="205"/>
      <c r="G1752" s="206"/>
      <c r="H1752" s="207"/>
      <c r="J1752" s="76"/>
    </row>
    <row r="1753" spans="1:10">
      <c r="A1753" s="172"/>
      <c r="D1753" s="56"/>
      <c r="E1753" s="204"/>
      <c r="F1753" s="205"/>
      <c r="G1753" s="206"/>
      <c r="H1753" s="207"/>
      <c r="J1753" s="76"/>
    </row>
    <row r="1754" spans="1:10">
      <c r="A1754" s="172"/>
      <c r="D1754" s="56"/>
      <c r="E1754" s="204"/>
      <c r="F1754" s="205"/>
      <c r="G1754" s="206"/>
      <c r="H1754" s="207"/>
      <c r="J1754" s="76"/>
    </row>
    <row r="1755" spans="1:10">
      <c r="A1755" s="172"/>
      <c r="D1755" s="56"/>
      <c r="E1755" s="204"/>
      <c r="F1755" s="205"/>
      <c r="G1755" s="206"/>
      <c r="H1755" s="207"/>
      <c r="J1755" s="76"/>
    </row>
    <row r="1756" spans="1:10">
      <c r="A1756" s="172"/>
      <c r="D1756" s="56"/>
      <c r="E1756" s="204"/>
      <c r="F1756" s="205"/>
      <c r="G1756" s="206"/>
      <c r="H1756" s="207"/>
      <c r="J1756" s="76"/>
    </row>
    <row r="1757" spans="1:10">
      <c r="A1757" s="172"/>
      <c r="D1757" s="56"/>
      <c r="E1757" s="204"/>
      <c r="F1757" s="205"/>
      <c r="G1757" s="206"/>
      <c r="H1757" s="207"/>
      <c r="J1757" s="76"/>
    </row>
    <row r="1758" spans="1:10">
      <c r="A1758" s="172"/>
      <c r="D1758" s="56"/>
      <c r="E1758" s="204"/>
      <c r="F1758" s="205"/>
      <c r="G1758" s="206"/>
      <c r="H1758" s="207"/>
      <c r="J1758" s="76"/>
    </row>
    <row r="1759" spans="1:10">
      <c r="A1759" s="172"/>
      <c r="D1759" s="56"/>
      <c r="E1759" s="204"/>
      <c r="F1759" s="205"/>
      <c r="G1759" s="206"/>
      <c r="H1759" s="207"/>
      <c r="J1759" s="76"/>
    </row>
    <row r="1760" spans="1:10">
      <c r="A1760" s="172"/>
      <c r="D1760" s="56"/>
      <c r="E1760" s="204"/>
      <c r="F1760" s="205"/>
      <c r="G1760" s="206"/>
      <c r="H1760" s="207"/>
      <c r="J1760" s="76"/>
    </row>
    <row r="1761" spans="1:10">
      <c r="A1761" s="172"/>
      <c r="D1761" s="56"/>
      <c r="E1761" s="204"/>
      <c r="F1761" s="205"/>
      <c r="G1761" s="206"/>
      <c r="H1761" s="207"/>
      <c r="J1761" s="76"/>
    </row>
    <row r="1762" spans="1:10">
      <c r="A1762" s="172"/>
      <c r="D1762" s="56"/>
      <c r="E1762" s="204"/>
      <c r="F1762" s="205"/>
      <c r="G1762" s="206"/>
      <c r="H1762" s="207"/>
      <c r="J1762" s="76"/>
    </row>
    <row r="1763" spans="1:10">
      <c r="A1763" s="172"/>
      <c r="D1763" s="56"/>
      <c r="E1763" s="204"/>
      <c r="F1763" s="205"/>
      <c r="G1763" s="206"/>
      <c r="H1763" s="207"/>
      <c r="J1763" s="76"/>
    </row>
    <row r="1764" spans="1:10">
      <c r="A1764" s="172"/>
      <c r="D1764" s="56"/>
      <c r="E1764" s="204"/>
      <c r="F1764" s="205"/>
      <c r="G1764" s="206"/>
      <c r="H1764" s="207"/>
      <c r="J1764" s="76"/>
    </row>
    <row r="1765" spans="1:10">
      <c r="A1765" s="172"/>
      <c r="D1765" s="56"/>
      <c r="E1765" s="204"/>
      <c r="F1765" s="205"/>
      <c r="G1765" s="206"/>
      <c r="H1765" s="207"/>
      <c r="J1765" s="76"/>
    </row>
    <row r="1766" spans="1:10">
      <c r="A1766" s="172"/>
      <c r="D1766" s="56"/>
      <c r="E1766" s="204"/>
      <c r="F1766" s="205"/>
      <c r="G1766" s="206"/>
      <c r="H1766" s="207"/>
      <c r="J1766" s="76"/>
    </row>
    <row r="1767" spans="1:10">
      <c r="A1767" s="172"/>
      <c r="D1767" s="56"/>
      <c r="E1767" s="204"/>
      <c r="F1767" s="205"/>
      <c r="G1767" s="206"/>
      <c r="H1767" s="207"/>
      <c r="J1767" s="76"/>
    </row>
    <row r="1768" spans="1:10">
      <c r="A1768" s="172"/>
      <c r="D1768" s="56"/>
      <c r="E1768" s="204"/>
      <c r="F1768" s="205"/>
      <c r="G1768" s="206"/>
      <c r="H1768" s="207"/>
      <c r="J1768" s="76"/>
    </row>
    <row r="1769" spans="1:10">
      <c r="A1769" s="172"/>
      <c r="D1769" s="56"/>
      <c r="E1769" s="204"/>
      <c r="F1769" s="205"/>
      <c r="G1769" s="206"/>
      <c r="H1769" s="207"/>
      <c r="J1769" s="76"/>
    </row>
    <row r="1770" spans="1:10">
      <c r="A1770" s="172"/>
      <c r="D1770" s="56"/>
      <c r="E1770" s="204"/>
      <c r="F1770" s="205"/>
      <c r="G1770" s="206"/>
      <c r="H1770" s="207"/>
      <c r="J1770" s="76"/>
    </row>
    <row r="1771" spans="1:10">
      <c r="A1771" s="172"/>
      <c r="D1771" s="56"/>
      <c r="E1771" s="204"/>
      <c r="F1771" s="205"/>
      <c r="G1771" s="206"/>
      <c r="H1771" s="207"/>
      <c r="J1771" s="76"/>
    </row>
    <row r="1772" spans="1:10">
      <c r="A1772" s="172"/>
      <c r="D1772" s="56"/>
      <c r="E1772" s="204"/>
      <c r="F1772" s="205"/>
      <c r="G1772" s="206"/>
      <c r="H1772" s="207"/>
      <c r="J1772" s="76"/>
    </row>
    <row r="1773" spans="1:10">
      <c r="A1773" s="172"/>
      <c r="D1773" s="56"/>
      <c r="E1773" s="204"/>
      <c r="F1773" s="205"/>
      <c r="G1773" s="206"/>
      <c r="H1773" s="207"/>
      <c r="J1773" s="76"/>
    </row>
    <row r="1774" spans="1:10">
      <c r="A1774" s="172"/>
      <c r="D1774" s="56"/>
      <c r="E1774" s="204"/>
      <c r="F1774" s="205"/>
      <c r="G1774" s="206"/>
      <c r="H1774" s="207"/>
      <c r="J1774" s="76"/>
    </row>
    <row r="1775" spans="1:10">
      <c r="A1775" s="172"/>
      <c r="D1775" s="56"/>
      <c r="E1775" s="204"/>
      <c r="F1775" s="205"/>
      <c r="G1775" s="206"/>
      <c r="H1775" s="207"/>
      <c r="J1775" s="76"/>
    </row>
    <row r="1776" spans="1:10">
      <c r="A1776" s="172"/>
      <c r="D1776" s="56"/>
      <c r="E1776" s="204"/>
      <c r="F1776" s="205"/>
      <c r="G1776" s="206"/>
      <c r="H1776" s="207"/>
      <c r="J1776" s="76"/>
    </row>
    <row r="1777" spans="1:10">
      <c r="A1777" s="172"/>
      <c r="D1777" s="56"/>
      <c r="E1777" s="204"/>
      <c r="F1777" s="205"/>
      <c r="G1777" s="206"/>
      <c r="H1777" s="207"/>
      <c r="J1777" s="76"/>
    </row>
    <row r="1778" spans="1:10">
      <c r="A1778" s="172"/>
      <c r="D1778" s="56"/>
      <c r="E1778" s="204"/>
      <c r="F1778" s="205"/>
      <c r="G1778" s="206"/>
      <c r="H1778" s="207"/>
      <c r="J1778" s="76"/>
    </row>
    <row r="1779" spans="1:10">
      <c r="A1779" s="172"/>
      <c r="D1779" s="56"/>
      <c r="E1779" s="204"/>
      <c r="F1779" s="205"/>
      <c r="G1779" s="206"/>
      <c r="H1779" s="207"/>
      <c r="J1779" s="76"/>
    </row>
    <row r="1780" spans="1:10">
      <c r="A1780" s="172"/>
      <c r="D1780" s="56"/>
      <c r="E1780" s="204"/>
      <c r="F1780" s="205"/>
      <c r="G1780" s="206"/>
      <c r="H1780" s="207"/>
      <c r="J1780" s="76"/>
    </row>
    <row r="1781" spans="1:10">
      <c r="A1781" s="172"/>
      <c r="D1781" s="56"/>
      <c r="E1781" s="204"/>
      <c r="F1781" s="205"/>
      <c r="G1781" s="206"/>
      <c r="H1781" s="207"/>
      <c r="J1781" s="76"/>
    </row>
    <row r="1782" spans="1:10">
      <c r="A1782" s="172"/>
      <c r="D1782" s="56"/>
      <c r="E1782" s="204"/>
      <c r="F1782" s="205"/>
      <c r="G1782" s="206"/>
      <c r="H1782" s="207"/>
      <c r="J1782" s="76"/>
    </row>
    <row r="1783" spans="1:10">
      <c r="A1783" s="172"/>
      <c r="D1783" s="56"/>
      <c r="E1783" s="204"/>
      <c r="F1783" s="205"/>
      <c r="G1783" s="206"/>
      <c r="H1783" s="207"/>
      <c r="J1783" s="76"/>
    </row>
    <row r="1784" spans="1:10">
      <c r="A1784" s="172"/>
      <c r="D1784" s="56"/>
      <c r="E1784" s="204"/>
      <c r="F1784" s="205"/>
      <c r="G1784" s="206"/>
      <c r="H1784" s="207"/>
      <c r="J1784" s="76"/>
    </row>
    <row r="1785" spans="1:10">
      <c r="A1785" s="172"/>
      <c r="D1785" s="56"/>
      <c r="E1785" s="204"/>
      <c r="F1785" s="205"/>
      <c r="G1785" s="206"/>
      <c r="H1785" s="207"/>
      <c r="J1785" s="76"/>
    </row>
    <row r="1786" spans="1:10">
      <c r="A1786" s="172"/>
      <c r="D1786" s="56"/>
      <c r="E1786" s="204"/>
      <c r="F1786" s="205"/>
      <c r="G1786" s="206"/>
      <c r="H1786" s="207"/>
      <c r="J1786" s="76"/>
    </row>
    <row r="1787" spans="1:10">
      <c r="A1787" s="172"/>
      <c r="D1787" s="56"/>
      <c r="E1787" s="204"/>
      <c r="F1787" s="205"/>
      <c r="G1787" s="206"/>
      <c r="H1787" s="207"/>
      <c r="J1787" s="76"/>
    </row>
    <row r="1788" spans="1:10">
      <c r="A1788" s="172"/>
      <c r="D1788" s="56"/>
      <c r="E1788" s="204"/>
      <c r="F1788" s="205"/>
      <c r="G1788" s="206"/>
      <c r="H1788" s="207"/>
      <c r="J1788" s="76"/>
    </row>
    <row r="1789" spans="1:10">
      <c r="A1789" s="172"/>
      <c r="D1789" s="56"/>
      <c r="E1789" s="204"/>
      <c r="F1789" s="205"/>
      <c r="G1789" s="206"/>
      <c r="H1789" s="207"/>
      <c r="J1789" s="76"/>
    </row>
    <row r="1790" spans="1:10">
      <c r="A1790" s="172"/>
      <c r="D1790" s="56"/>
      <c r="E1790" s="204"/>
      <c r="F1790" s="205"/>
      <c r="G1790" s="206"/>
      <c r="H1790" s="207"/>
      <c r="J1790" s="76"/>
    </row>
    <row r="1791" spans="1:10">
      <c r="A1791" s="172"/>
      <c r="D1791" s="56"/>
      <c r="E1791" s="204"/>
      <c r="F1791" s="205"/>
      <c r="G1791" s="206"/>
      <c r="H1791" s="207"/>
      <c r="J1791" s="76"/>
    </row>
    <row r="1792" spans="1:10">
      <c r="A1792" s="172"/>
      <c r="D1792" s="56"/>
      <c r="E1792" s="204"/>
      <c r="F1792" s="205"/>
      <c r="G1792" s="206"/>
      <c r="H1792" s="207"/>
      <c r="J1792" s="76"/>
    </row>
    <row r="1793" spans="1:10">
      <c r="A1793" s="172"/>
      <c r="D1793" s="56"/>
      <c r="E1793" s="204"/>
      <c r="F1793" s="205"/>
      <c r="G1793" s="206"/>
      <c r="H1793" s="207"/>
      <c r="J1793" s="76"/>
    </row>
    <row r="1794" spans="1:10">
      <c r="A1794" s="172"/>
      <c r="D1794" s="56"/>
      <c r="E1794" s="204"/>
      <c r="F1794" s="205"/>
      <c r="G1794" s="206"/>
      <c r="H1794" s="207"/>
      <c r="J1794" s="76"/>
    </row>
    <row r="1795" spans="1:10">
      <c r="A1795" s="172"/>
      <c r="D1795" s="56"/>
      <c r="E1795" s="204"/>
      <c r="F1795" s="205"/>
      <c r="G1795" s="206"/>
      <c r="H1795" s="207"/>
      <c r="J1795" s="76"/>
    </row>
    <row r="1796" spans="1:10">
      <c r="A1796" s="172"/>
      <c r="D1796" s="56"/>
      <c r="E1796" s="204"/>
      <c r="F1796" s="205"/>
      <c r="G1796" s="206"/>
      <c r="H1796" s="207"/>
      <c r="J1796" s="76"/>
    </row>
    <row r="1797" spans="1:10">
      <c r="A1797" s="172"/>
      <c r="D1797" s="56"/>
      <c r="E1797" s="204"/>
      <c r="F1797" s="205"/>
      <c r="G1797" s="206"/>
      <c r="H1797" s="207"/>
      <c r="J1797" s="76"/>
    </row>
    <row r="1798" spans="1:10">
      <c r="A1798" s="172"/>
      <c r="D1798" s="56"/>
      <c r="E1798" s="204"/>
      <c r="F1798" s="205"/>
      <c r="G1798" s="206"/>
      <c r="H1798" s="207"/>
      <c r="J1798" s="76"/>
    </row>
    <row r="1799" spans="1:10">
      <c r="A1799" s="172"/>
      <c r="D1799" s="56"/>
      <c r="E1799" s="204"/>
      <c r="F1799" s="205"/>
      <c r="G1799" s="206"/>
      <c r="H1799" s="207"/>
      <c r="J1799" s="76"/>
    </row>
    <row r="1800" spans="1:10">
      <c r="A1800" s="172"/>
      <c r="D1800" s="56"/>
      <c r="E1800" s="204"/>
      <c r="F1800" s="205"/>
      <c r="G1800" s="206"/>
      <c r="H1800" s="207"/>
      <c r="J1800" s="76"/>
    </row>
    <row r="1801" spans="1:10">
      <c r="A1801" s="172"/>
      <c r="D1801" s="56"/>
      <c r="E1801" s="204"/>
      <c r="F1801" s="205"/>
      <c r="G1801" s="206"/>
      <c r="H1801" s="207"/>
      <c r="J1801" s="76"/>
    </row>
    <row r="1802" spans="1:10">
      <c r="A1802" s="172"/>
      <c r="D1802" s="56"/>
      <c r="E1802" s="204"/>
      <c r="F1802" s="205"/>
      <c r="G1802" s="206"/>
      <c r="H1802" s="207"/>
      <c r="J1802" s="76"/>
    </row>
    <row r="1803" spans="1:10">
      <c r="A1803" s="172"/>
      <c r="D1803" s="56"/>
      <c r="E1803" s="204"/>
      <c r="F1803" s="205"/>
      <c r="G1803" s="206"/>
      <c r="H1803" s="207"/>
      <c r="J1803" s="76"/>
    </row>
    <row r="1804" spans="1:10">
      <c r="A1804" s="172"/>
      <c r="D1804" s="56"/>
      <c r="E1804" s="204"/>
      <c r="F1804" s="205"/>
      <c r="G1804" s="206"/>
      <c r="H1804" s="207"/>
      <c r="J1804" s="76"/>
    </row>
    <row r="1805" spans="1:10">
      <c r="A1805" s="172"/>
      <c r="D1805" s="56"/>
      <c r="E1805" s="204"/>
      <c r="F1805" s="205"/>
      <c r="G1805" s="206"/>
      <c r="H1805" s="207"/>
      <c r="J1805" s="76"/>
    </row>
    <row r="1806" spans="1:10">
      <c r="A1806" s="172"/>
      <c r="D1806" s="56"/>
      <c r="E1806" s="204"/>
      <c r="F1806" s="205"/>
      <c r="G1806" s="206"/>
      <c r="H1806" s="207"/>
      <c r="J1806" s="76"/>
    </row>
    <row r="1807" spans="1:10">
      <c r="A1807" s="172"/>
      <c r="D1807" s="56"/>
      <c r="E1807" s="204"/>
      <c r="F1807" s="205"/>
      <c r="G1807" s="206"/>
      <c r="H1807" s="207"/>
      <c r="J1807" s="76"/>
    </row>
    <row r="1808" spans="1:10">
      <c r="A1808" s="172"/>
      <c r="D1808" s="56"/>
      <c r="E1808" s="204"/>
      <c r="F1808" s="205"/>
      <c r="G1808" s="206"/>
      <c r="H1808" s="207"/>
      <c r="J1808" s="76"/>
    </row>
    <row r="1809" spans="1:10">
      <c r="A1809" s="172"/>
      <c r="D1809" s="56"/>
      <c r="E1809" s="204"/>
      <c r="F1809" s="205"/>
      <c r="G1809" s="206"/>
      <c r="H1809" s="207"/>
      <c r="J1809" s="76"/>
    </row>
    <row r="1810" spans="1:10">
      <c r="A1810" s="172"/>
      <c r="D1810" s="56"/>
      <c r="E1810" s="204"/>
      <c r="F1810" s="205"/>
      <c r="G1810" s="206"/>
      <c r="H1810" s="207"/>
      <c r="J1810" s="76"/>
    </row>
    <row r="1811" spans="1:10">
      <c r="A1811" s="172"/>
      <c r="D1811" s="56"/>
      <c r="E1811" s="204"/>
      <c r="F1811" s="205"/>
      <c r="G1811" s="206"/>
      <c r="H1811" s="207"/>
      <c r="J1811" s="76"/>
    </row>
    <row r="1812" spans="1:10">
      <c r="A1812" s="172"/>
      <c r="D1812" s="56"/>
      <c r="E1812" s="204"/>
      <c r="F1812" s="205"/>
      <c r="G1812" s="206"/>
      <c r="H1812" s="207"/>
      <c r="J1812" s="76"/>
    </row>
    <row r="1813" spans="1:10">
      <c r="A1813" s="172"/>
      <c r="D1813" s="56"/>
      <c r="E1813" s="204"/>
      <c r="F1813" s="205"/>
      <c r="G1813" s="206"/>
      <c r="H1813" s="207"/>
      <c r="J1813" s="76"/>
    </row>
    <row r="1814" spans="1:10">
      <c r="A1814" s="172"/>
      <c r="D1814" s="56"/>
      <c r="E1814" s="204"/>
      <c r="F1814" s="205"/>
      <c r="G1814" s="206"/>
      <c r="H1814" s="207"/>
      <c r="J1814" s="76"/>
    </row>
    <row r="1815" spans="1:10">
      <c r="A1815" s="172"/>
      <c r="D1815" s="56"/>
      <c r="E1815" s="204"/>
      <c r="F1815" s="205"/>
      <c r="G1815" s="206"/>
      <c r="H1815" s="207"/>
      <c r="J1815" s="76"/>
    </row>
    <row r="1816" spans="1:10">
      <c r="A1816" s="172"/>
      <c r="D1816" s="56"/>
      <c r="E1816" s="204"/>
      <c r="F1816" s="205"/>
      <c r="G1816" s="206"/>
      <c r="H1816" s="207"/>
      <c r="J1816" s="76"/>
    </row>
    <row r="1817" spans="1:10">
      <c r="A1817" s="172"/>
      <c r="D1817" s="56"/>
      <c r="E1817" s="204"/>
      <c r="F1817" s="205"/>
      <c r="G1817" s="206"/>
      <c r="H1817" s="207"/>
      <c r="J1817" s="76"/>
    </row>
    <row r="1818" spans="1:10">
      <c r="A1818" s="172"/>
      <c r="D1818" s="56"/>
      <c r="E1818" s="204"/>
      <c r="F1818" s="205"/>
      <c r="G1818" s="206"/>
      <c r="H1818" s="207"/>
      <c r="J1818" s="76"/>
    </row>
    <row r="1819" spans="1:10">
      <c r="A1819" s="172"/>
      <c r="D1819" s="56"/>
      <c r="E1819" s="204"/>
      <c r="F1819" s="205"/>
      <c r="G1819" s="206"/>
      <c r="H1819" s="207"/>
      <c r="J1819" s="76"/>
    </row>
    <row r="1820" spans="1:10">
      <c r="A1820" s="172"/>
      <c r="D1820" s="56"/>
      <c r="E1820" s="204"/>
      <c r="F1820" s="205"/>
      <c r="G1820" s="206"/>
      <c r="H1820" s="207"/>
      <c r="J1820" s="76"/>
    </row>
    <row r="1821" spans="1:10">
      <c r="A1821" s="172"/>
      <c r="D1821" s="56"/>
      <c r="E1821" s="204"/>
      <c r="F1821" s="205"/>
      <c r="G1821" s="206"/>
      <c r="H1821" s="207"/>
      <c r="J1821" s="76"/>
    </row>
    <row r="1822" spans="1:10">
      <c r="A1822" s="172"/>
      <c r="D1822" s="56"/>
      <c r="E1822" s="204"/>
      <c r="F1822" s="205"/>
      <c r="G1822" s="206"/>
      <c r="H1822" s="207"/>
      <c r="J1822" s="76"/>
    </row>
    <row r="1823" spans="1:10">
      <c r="A1823" s="172"/>
      <c r="D1823" s="56"/>
      <c r="E1823" s="204"/>
      <c r="F1823" s="205"/>
      <c r="G1823" s="206"/>
      <c r="H1823" s="207"/>
      <c r="J1823" s="76"/>
    </row>
    <row r="1824" spans="1:10">
      <c r="A1824" s="172"/>
      <c r="D1824" s="56"/>
      <c r="E1824" s="204"/>
      <c r="F1824" s="205"/>
      <c r="G1824" s="206"/>
      <c r="H1824" s="207"/>
      <c r="J1824" s="76"/>
    </row>
    <row r="1825" spans="1:10">
      <c r="A1825" s="172"/>
      <c r="D1825" s="56"/>
      <c r="E1825" s="204"/>
      <c r="F1825" s="205"/>
      <c r="G1825" s="206"/>
      <c r="H1825" s="207"/>
      <c r="J1825" s="76"/>
    </row>
    <row r="1826" spans="1:10">
      <c r="A1826" s="172"/>
      <c r="D1826" s="56"/>
      <c r="E1826" s="204"/>
      <c r="F1826" s="205"/>
      <c r="G1826" s="206"/>
      <c r="H1826" s="207"/>
      <c r="J1826" s="76"/>
    </row>
    <row r="1827" spans="1:10">
      <c r="A1827" s="172"/>
      <c r="D1827" s="56"/>
      <c r="E1827" s="204"/>
      <c r="F1827" s="205"/>
      <c r="G1827" s="206"/>
      <c r="H1827" s="207"/>
      <c r="J1827" s="76"/>
    </row>
    <row r="1828" spans="1:10">
      <c r="A1828" s="172"/>
      <c r="D1828" s="56"/>
      <c r="E1828" s="204"/>
      <c r="F1828" s="205"/>
      <c r="G1828" s="206"/>
      <c r="H1828" s="207"/>
      <c r="J1828" s="76"/>
    </row>
    <row r="1829" spans="1:10">
      <c r="A1829" s="172"/>
      <c r="D1829" s="56"/>
      <c r="E1829" s="204"/>
      <c r="F1829" s="205"/>
      <c r="G1829" s="206"/>
      <c r="H1829" s="207"/>
      <c r="J1829" s="76"/>
    </row>
    <row r="1830" spans="1:10">
      <c r="A1830" s="172"/>
      <c r="D1830" s="56"/>
      <c r="E1830" s="204"/>
      <c r="F1830" s="205"/>
      <c r="G1830" s="206"/>
      <c r="H1830" s="207"/>
      <c r="J1830" s="76"/>
    </row>
    <row r="1831" spans="1:10">
      <c r="A1831" s="172"/>
      <c r="D1831" s="56"/>
      <c r="E1831" s="204"/>
      <c r="F1831" s="205"/>
      <c r="G1831" s="206"/>
      <c r="H1831" s="207"/>
      <c r="J1831" s="76"/>
    </row>
    <row r="1832" spans="1:10">
      <c r="A1832" s="172"/>
      <c r="D1832" s="56"/>
      <c r="E1832" s="204"/>
      <c r="F1832" s="205"/>
      <c r="G1832" s="206"/>
      <c r="H1832" s="207"/>
      <c r="J1832" s="76"/>
    </row>
    <row r="1833" spans="1:10">
      <c r="A1833" s="172"/>
      <c r="D1833" s="56"/>
      <c r="E1833" s="204"/>
      <c r="F1833" s="205"/>
      <c r="G1833" s="206"/>
      <c r="H1833" s="207"/>
      <c r="J1833" s="76"/>
    </row>
    <row r="1834" spans="1:10">
      <c r="A1834" s="172"/>
      <c r="D1834" s="56"/>
      <c r="E1834" s="204"/>
      <c r="F1834" s="205"/>
      <c r="G1834" s="206"/>
      <c r="H1834" s="207"/>
      <c r="J1834" s="76"/>
    </row>
    <row r="1835" spans="1:10">
      <c r="A1835" s="172"/>
      <c r="D1835" s="56"/>
      <c r="E1835" s="204"/>
      <c r="F1835" s="205"/>
      <c r="G1835" s="206"/>
      <c r="H1835" s="207"/>
      <c r="J1835" s="76"/>
    </row>
    <row r="1836" spans="1:10">
      <c r="A1836" s="172"/>
      <c r="D1836" s="56"/>
      <c r="E1836" s="204"/>
      <c r="F1836" s="205"/>
      <c r="G1836" s="206"/>
      <c r="H1836" s="207"/>
      <c r="J1836" s="76"/>
    </row>
    <row r="1837" spans="1:10">
      <c r="A1837" s="172"/>
      <c r="D1837" s="56"/>
      <c r="E1837" s="204"/>
      <c r="F1837" s="205"/>
      <c r="G1837" s="206"/>
      <c r="H1837" s="207"/>
      <c r="J1837" s="76"/>
    </row>
    <row r="1838" spans="1:10">
      <c r="A1838" s="172"/>
      <c r="D1838" s="56"/>
      <c r="E1838" s="204"/>
      <c r="F1838" s="205"/>
      <c r="G1838" s="206"/>
      <c r="H1838" s="207"/>
      <c r="J1838" s="76"/>
    </row>
    <row r="1839" spans="1:10">
      <c r="A1839" s="172"/>
      <c r="D1839" s="56"/>
      <c r="E1839" s="204"/>
      <c r="F1839" s="205"/>
      <c r="G1839" s="206"/>
      <c r="H1839" s="207"/>
      <c r="J1839" s="76"/>
    </row>
    <row r="1840" spans="1:10">
      <c r="A1840" s="172"/>
      <c r="D1840" s="56"/>
      <c r="E1840" s="204"/>
      <c r="F1840" s="205"/>
      <c r="G1840" s="206"/>
      <c r="H1840" s="207"/>
      <c r="J1840" s="76"/>
    </row>
    <row r="1841" spans="1:10">
      <c r="A1841" s="172"/>
      <c r="D1841" s="56"/>
      <c r="E1841" s="204"/>
      <c r="F1841" s="205"/>
      <c r="G1841" s="206"/>
      <c r="H1841" s="207"/>
      <c r="J1841" s="76"/>
    </row>
    <row r="1842" spans="1:10">
      <c r="A1842" s="172"/>
      <c r="D1842" s="56"/>
      <c r="E1842" s="204"/>
      <c r="F1842" s="205"/>
      <c r="G1842" s="206"/>
      <c r="H1842" s="207"/>
      <c r="J1842" s="76"/>
    </row>
    <row r="1843" spans="1:10">
      <c r="A1843" s="172"/>
      <c r="D1843" s="56"/>
      <c r="E1843" s="204"/>
      <c r="F1843" s="205"/>
      <c r="G1843" s="206"/>
      <c r="H1843" s="207"/>
      <c r="J1843" s="76"/>
    </row>
    <row r="1844" spans="1:10">
      <c r="A1844" s="172"/>
      <c r="D1844" s="56"/>
      <c r="E1844" s="204"/>
      <c r="F1844" s="205"/>
      <c r="G1844" s="206"/>
      <c r="H1844" s="207"/>
      <c r="J1844" s="76"/>
    </row>
    <row r="1845" spans="1:10">
      <c r="A1845" s="172"/>
      <c r="D1845" s="56"/>
      <c r="E1845" s="204"/>
      <c r="F1845" s="205"/>
      <c r="G1845" s="206"/>
      <c r="H1845" s="207"/>
      <c r="J1845" s="76"/>
    </row>
    <row r="1846" spans="1:10">
      <c r="A1846" s="172"/>
      <c r="D1846" s="56"/>
      <c r="E1846" s="204"/>
      <c r="F1846" s="205"/>
      <c r="G1846" s="206"/>
      <c r="H1846" s="207"/>
      <c r="J1846" s="76"/>
    </row>
    <row r="1847" spans="1:10">
      <c r="A1847" s="172"/>
      <c r="D1847" s="56"/>
      <c r="E1847" s="204"/>
      <c r="F1847" s="205"/>
      <c r="G1847" s="206"/>
      <c r="H1847" s="207"/>
      <c r="J1847" s="76"/>
    </row>
    <row r="1848" spans="1:10">
      <c r="A1848" s="172"/>
      <c r="D1848" s="56"/>
      <c r="E1848" s="204"/>
      <c r="F1848" s="205"/>
      <c r="G1848" s="206"/>
      <c r="H1848" s="207"/>
      <c r="J1848" s="76"/>
    </row>
    <row r="1849" spans="1:10">
      <c r="A1849" s="172"/>
      <c r="D1849" s="56"/>
      <c r="E1849" s="204"/>
      <c r="F1849" s="205"/>
      <c r="G1849" s="206"/>
      <c r="H1849" s="207"/>
      <c r="J1849" s="76"/>
    </row>
    <row r="1850" spans="1:10">
      <c r="A1850" s="172"/>
      <c r="D1850" s="56"/>
      <c r="E1850" s="204"/>
      <c r="F1850" s="205"/>
      <c r="G1850" s="206"/>
      <c r="H1850" s="207"/>
      <c r="J1850" s="76"/>
    </row>
    <row r="1851" spans="1:10">
      <c r="A1851" s="172"/>
      <c r="D1851" s="56"/>
      <c r="E1851" s="204"/>
      <c r="F1851" s="205"/>
      <c r="G1851" s="206"/>
      <c r="H1851" s="207"/>
      <c r="J1851" s="76"/>
    </row>
    <row r="1852" spans="1:10">
      <c r="A1852" s="172"/>
      <c r="D1852" s="56"/>
      <c r="E1852" s="204"/>
      <c r="F1852" s="205"/>
      <c r="G1852" s="206"/>
      <c r="H1852" s="207"/>
      <c r="J1852" s="76"/>
    </row>
    <row r="1853" spans="1:10">
      <c r="A1853" s="172"/>
      <c r="D1853" s="56"/>
      <c r="E1853" s="204"/>
      <c r="F1853" s="205"/>
      <c r="G1853" s="206"/>
      <c r="H1853" s="207"/>
      <c r="J1853" s="76"/>
    </row>
    <row r="1854" spans="1:10">
      <c r="A1854" s="172"/>
      <c r="D1854" s="56"/>
      <c r="E1854" s="204"/>
      <c r="F1854" s="205"/>
      <c r="G1854" s="206"/>
      <c r="H1854" s="207"/>
      <c r="J1854" s="76"/>
    </row>
    <row r="1855" spans="1:10">
      <c r="A1855" s="172"/>
      <c r="D1855" s="56"/>
      <c r="E1855" s="204"/>
      <c r="F1855" s="205"/>
      <c r="G1855" s="206"/>
      <c r="H1855" s="207"/>
      <c r="J1855" s="76"/>
    </row>
    <row r="1856" spans="1:10">
      <c r="A1856" s="172"/>
      <c r="D1856" s="56"/>
      <c r="E1856" s="204"/>
      <c r="F1856" s="205"/>
      <c r="G1856" s="206"/>
      <c r="H1856" s="207"/>
      <c r="J1856" s="76"/>
    </row>
    <row r="1857" spans="1:10">
      <c r="A1857" s="172"/>
      <c r="D1857" s="56"/>
      <c r="E1857" s="204"/>
      <c r="F1857" s="205"/>
      <c r="G1857" s="206"/>
      <c r="H1857" s="207"/>
      <c r="J1857" s="76"/>
    </row>
    <row r="1858" spans="1:10">
      <c r="A1858" s="172"/>
      <c r="D1858" s="56"/>
      <c r="E1858" s="204"/>
      <c r="F1858" s="205"/>
      <c r="G1858" s="206"/>
      <c r="H1858" s="207"/>
      <c r="J1858" s="76"/>
    </row>
    <row r="1859" spans="1:10">
      <c r="A1859" s="172"/>
      <c r="D1859" s="56"/>
      <c r="E1859" s="204"/>
      <c r="F1859" s="205"/>
      <c r="G1859" s="206"/>
      <c r="H1859" s="207"/>
      <c r="J1859" s="76"/>
    </row>
    <row r="1860" spans="1:10">
      <c r="A1860" s="172"/>
      <c r="D1860" s="56"/>
      <c r="E1860" s="204"/>
      <c r="F1860" s="205"/>
      <c r="G1860" s="206"/>
      <c r="H1860" s="207"/>
      <c r="J1860" s="76"/>
    </row>
    <row r="1861" spans="1:10">
      <c r="A1861" s="172"/>
      <c r="D1861" s="56"/>
      <c r="E1861" s="204"/>
      <c r="F1861" s="205"/>
      <c r="G1861" s="206"/>
      <c r="H1861" s="207"/>
      <c r="J1861" s="76"/>
    </row>
    <row r="1862" spans="1:10">
      <c r="A1862" s="172"/>
      <c r="D1862" s="56"/>
      <c r="E1862" s="204"/>
      <c r="F1862" s="205"/>
      <c r="G1862" s="206"/>
      <c r="H1862" s="207"/>
      <c r="J1862" s="76"/>
    </row>
    <row r="1863" spans="1:10">
      <c r="A1863" s="172"/>
      <c r="D1863" s="56"/>
      <c r="E1863" s="204"/>
      <c r="F1863" s="205"/>
      <c r="G1863" s="206"/>
      <c r="H1863" s="207"/>
      <c r="J1863" s="76"/>
    </row>
    <row r="1864" spans="1:10">
      <c r="A1864" s="172"/>
      <c r="D1864" s="56"/>
      <c r="E1864" s="204"/>
      <c r="F1864" s="205"/>
      <c r="G1864" s="206"/>
      <c r="H1864" s="207"/>
      <c r="J1864" s="76"/>
    </row>
    <row r="1865" spans="1:10">
      <c r="A1865" s="172"/>
      <c r="D1865" s="56"/>
      <c r="E1865" s="204"/>
      <c r="F1865" s="205"/>
      <c r="G1865" s="206"/>
      <c r="H1865" s="207"/>
      <c r="J1865" s="76"/>
    </row>
    <row r="1866" spans="1:10">
      <c r="A1866" s="172"/>
      <c r="D1866" s="56"/>
      <c r="E1866" s="204"/>
      <c r="F1866" s="205"/>
      <c r="G1866" s="206"/>
      <c r="H1866" s="207"/>
      <c r="J1866" s="76"/>
    </row>
    <row r="1867" spans="1:10">
      <c r="A1867" s="172"/>
      <c r="D1867" s="56"/>
      <c r="E1867" s="204"/>
      <c r="F1867" s="205"/>
      <c r="G1867" s="206"/>
      <c r="H1867" s="207"/>
      <c r="J1867" s="76"/>
    </row>
    <row r="1868" spans="1:10">
      <c r="A1868" s="172"/>
      <c r="D1868" s="56"/>
      <c r="E1868" s="204"/>
      <c r="F1868" s="205"/>
      <c r="G1868" s="206"/>
      <c r="H1868" s="207"/>
      <c r="J1868" s="76"/>
    </row>
    <row r="1869" spans="1:10">
      <c r="A1869" s="172"/>
      <c r="D1869" s="56"/>
      <c r="E1869" s="204"/>
      <c r="F1869" s="205"/>
      <c r="G1869" s="206"/>
      <c r="H1869" s="207"/>
      <c r="J1869" s="76"/>
    </row>
    <row r="1870" spans="1:10">
      <c r="A1870" s="172"/>
      <c r="D1870" s="56"/>
      <c r="E1870" s="204"/>
      <c r="F1870" s="205"/>
      <c r="G1870" s="206"/>
      <c r="H1870" s="207"/>
      <c r="J1870" s="76"/>
    </row>
    <row r="1871" spans="1:10">
      <c r="A1871" s="172"/>
      <c r="D1871" s="56"/>
      <c r="E1871" s="204"/>
      <c r="F1871" s="205"/>
      <c r="G1871" s="206"/>
      <c r="H1871" s="207"/>
      <c r="J1871" s="76"/>
    </row>
    <row r="1872" spans="1:10">
      <c r="A1872" s="172"/>
      <c r="D1872" s="56"/>
      <c r="E1872" s="204"/>
      <c r="F1872" s="205"/>
      <c r="G1872" s="206"/>
      <c r="H1872" s="207"/>
      <c r="J1872" s="76"/>
    </row>
    <row r="1873" spans="1:10">
      <c r="A1873" s="172"/>
      <c r="D1873" s="56"/>
      <c r="E1873" s="204"/>
      <c r="F1873" s="205"/>
      <c r="G1873" s="206"/>
      <c r="H1873" s="207"/>
      <c r="J1873" s="76"/>
    </row>
    <row r="1874" spans="1:10">
      <c r="A1874" s="172"/>
      <c r="D1874" s="56"/>
      <c r="E1874" s="204"/>
      <c r="F1874" s="205"/>
      <c r="G1874" s="206"/>
      <c r="H1874" s="207"/>
      <c r="J1874" s="76"/>
    </row>
    <row r="1875" spans="1:10">
      <c r="A1875" s="172"/>
      <c r="D1875" s="56"/>
      <c r="E1875" s="204"/>
      <c r="F1875" s="205"/>
      <c r="G1875" s="206"/>
      <c r="H1875" s="207"/>
      <c r="J1875" s="76"/>
    </row>
    <row r="1876" spans="1:10">
      <c r="A1876" s="172"/>
      <c r="D1876" s="56"/>
      <c r="E1876" s="204"/>
      <c r="F1876" s="205"/>
      <c r="G1876" s="206"/>
      <c r="H1876" s="207"/>
      <c r="J1876" s="76"/>
    </row>
    <row r="1877" spans="1:10">
      <c r="A1877" s="172"/>
      <c r="D1877" s="56"/>
      <c r="E1877" s="204"/>
      <c r="F1877" s="205"/>
      <c r="G1877" s="206"/>
      <c r="H1877" s="207"/>
      <c r="J1877" s="76"/>
    </row>
    <row r="1878" spans="1:10">
      <c r="A1878" s="172"/>
      <c r="D1878" s="56"/>
      <c r="E1878" s="204"/>
      <c r="F1878" s="205"/>
      <c r="G1878" s="206"/>
      <c r="H1878" s="207"/>
      <c r="J1878" s="76"/>
    </row>
    <row r="1879" spans="1:10">
      <c r="A1879" s="172"/>
      <c r="D1879" s="56"/>
      <c r="E1879" s="204"/>
      <c r="F1879" s="205"/>
      <c r="G1879" s="206"/>
      <c r="H1879" s="207"/>
      <c r="J1879" s="76"/>
    </row>
    <row r="1880" spans="1:10">
      <c r="A1880" s="172"/>
      <c r="D1880" s="56"/>
      <c r="E1880" s="204"/>
      <c r="F1880" s="205"/>
      <c r="G1880" s="206"/>
      <c r="H1880" s="207"/>
      <c r="J1880" s="76"/>
    </row>
    <row r="1881" spans="1:10">
      <c r="A1881" s="172"/>
      <c r="D1881" s="56"/>
      <c r="E1881" s="204"/>
      <c r="F1881" s="205"/>
      <c r="G1881" s="206"/>
      <c r="H1881" s="207"/>
      <c r="J1881" s="76"/>
    </row>
    <row r="1882" spans="1:10">
      <c r="A1882" s="172"/>
      <c r="D1882" s="56"/>
      <c r="E1882" s="204"/>
      <c r="F1882" s="205"/>
      <c r="G1882" s="206"/>
      <c r="H1882" s="207"/>
      <c r="J1882" s="76"/>
    </row>
    <row r="1883" spans="1:10">
      <c r="A1883" s="172"/>
      <c r="D1883" s="56"/>
      <c r="E1883" s="204"/>
      <c r="F1883" s="205"/>
      <c r="G1883" s="206"/>
      <c r="H1883" s="207"/>
      <c r="J1883" s="76"/>
    </row>
    <row r="1884" spans="1:10">
      <c r="A1884" s="172"/>
      <c r="D1884" s="56"/>
      <c r="E1884" s="204"/>
      <c r="F1884" s="205"/>
      <c r="G1884" s="206"/>
      <c r="H1884" s="207"/>
      <c r="J1884" s="76"/>
    </row>
    <row r="1885" spans="1:10">
      <c r="A1885" s="172"/>
      <c r="D1885" s="56"/>
      <c r="E1885" s="204"/>
      <c r="F1885" s="205"/>
      <c r="G1885" s="206"/>
      <c r="H1885" s="207"/>
      <c r="J1885" s="76"/>
    </row>
    <row r="1886" spans="1:10">
      <c r="A1886" s="172"/>
      <c r="D1886" s="56"/>
      <c r="E1886" s="204"/>
      <c r="F1886" s="205"/>
      <c r="G1886" s="206"/>
      <c r="H1886" s="207"/>
      <c r="J1886" s="76"/>
    </row>
    <row r="1887" spans="1:10">
      <c r="A1887" s="172"/>
      <c r="D1887" s="56"/>
      <c r="E1887" s="204"/>
      <c r="F1887" s="205"/>
      <c r="G1887" s="206"/>
      <c r="H1887" s="207"/>
      <c r="J1887" s="76"/>
    </row>
    <row r="1888" spans="1:10">
      <c r="A1888" s="172"/>
      <c r="D1888" s="56"/>
      <c r="E1888" s="204"/>
      <c r="F1888" s="205"/>
      <c r="G1888" s="206"/>
      <c r="H1888" s="207"/>
      <c r="J1888" s="76"/>
    </row>
    <row r="1889" spans="1:10">
      <c r="A1889" s="172"/>
      <c r="D1889" s="56"/>
      <c r="E1889" s="204"/>
      <c r="F1889" s="205"/>
      <c r="G1889" s="206"/>
      <c r="H1889" s="207"/>
      <c r="J1889" s="76"/>
    </row>
    <row r="1890" spans="1:10">
      <c r="A1890" s="172"/>
      <c r="D1890" s="56"/>
      <c r="E1890" s="204"/>
      <c r="F1890" s="205"/>
      <c r="G1890" s="206"/>
      <c r="H1890" s="207"/>
      <c r="J1890" s="76"/>
    </row>
    <row r="1891" spans="1:10">
      <c r="A1891" s="172"/>
      <c r="D1891" s="56"/>
      <c r="E1891" s="204"/>
      <c r="F1891" s="205"/>
      <c r="G1891" s="206"/>
      <c r="H1891" s="207"/>
      <c r="J1891" s="76"/>
    </row>
    <row r="1892" spans="1:10">
      <c r="A1892" s="172"/>
      <c r="D1892" s="56"/>
      <c r="E1892" s="204"/>
      <c r="F1892" s="205"/>
      <c r="G1892" s="206"/>
      <c r="H1892" s="207"/>
      <c r="J1892" s="76"/>
    </row>
    <row r="1893" spans="1:10">
      <c r="A1893" s="172"/>
      <c r="D1893" s="56"/>
      <c r="E1893" s="204"/>
      <c r="F1893" s="205"/>
      <c r="G1893" s="206"/>
      <c r="H1893" s="207"/>
      <c r="J1893" s="76"/>
    </row>
    <row r="1894" spans="1:10">
      <c r="A1894" s="172"/>
      <c r="D1894" s="56"/>
      <c r="E1894" s="204"/>
      <c r="F1894" s="205"/>
      <c r="G1894" s="206"/>
      <c r="H1894" s="207"/>
      <c r="J1894" s="76"/>
    </row>
    <row r="1895" spans="1:10">
      <c r="A1895" s="172"/>
      <c r="D1895" s="56"/>
      <c r="E1895" s="204"/>
      <c r="F1895" s="205"/>
      <c r="G1895" s="206"/>
      <c r="H1895" s="207"/>
      <c r="J1895" s="76"/>
    </row>
    <row r="1896" spans="1:10">
      <c r="A1896" s="172"/>
      <c r="D1896" s="56"/>
      <c r="E1896" s="204"/>
      <c r="F1896" s="205"/>
      <c r="G1896" s="206"/>
      <c r="H1896" s="207"/>
      <c r="J1896" s="76"/>
    </row>
    <row r="1897" spans="1:10">
      <c r="A1897" s="172"/>
      <c r="D1897" s="56"/>
      <c r="E1897" s="204"/>
      <c r="F1897" s="205"/>
      <c r="G1897" s="206"/>
      <c r="H1897" s="207"/>
      <c r="J1897" s="76"/>
    </row>
    <row r="1898" spans="1:10">
      <c r="A1898" s="172"/>
      <c r="D1898" s="56"/>
      <c r="E1898" s="204"/>
      <c r="F1898" s="205"/>
      <c r="G1898" s="206"/>
      <c r="H1898" s="207"/>
      <c r="J1898" s="76"/>
    </row>
    <row r="1899" spans="1:10">
      <c r="A1899" s="172"/>
      <c r="D1899" s="56"/>
      <c r="E1899" s="204"/>
      <c r="F1899" s="205"/>
      <c r="G1899" s="206"/>
      <c r="H1899" s="207"/>
      <c r="J1899" s="76"/>
    </row>
    <row r="1900" spans="1:10">
      <c r="A1900" s="172"/>
      <c r="D1900" s="56"/>
      <c r="E1900" s="204"/>
      <c r="F1900" s="205"/>
      <c r="G1900" s="206"/>
      <c r="H1900" s="207"/>
      <c r="J1900" s="76"/>
    </row>
    <row r="1901" spans="1:10">
      <c r="A1901" s="172"/>
      <c r="D1901" s="56"/>
      <c r="E1901" s="204"/>
      <c r="F1901" s="205"/>
      <c r="G1901" s="206"/>
      <c r="H1901" s="207"/>
      <c r="J1901" s="76"/>
    </row>
    <row r="1902" spans="1:10">
      <c r="A1902" s="172"/>
      <c r="D1902" s="56"/>
      <c r="E1902" s="204"/>
      <c r="F1902" s="205"/>
      <c r="G1902" s="206"/>
      <c r="H1902" s="207"/>
      <c r="J1902" s="76"/>
    </row>
    <row r="1903" spans="1:10">
      <c r="A1903" s="172"/>
      <c r="D1903" s="56"/>
      <c r="E1903" s="204"/>
      <c r="F1903" s="205"/>
      <c r="G1903" s="206"/>
      <c r="H1903" s="207"/>
      <c r="J1903" s="76"/>
    </row>
    <row r="1904" spans="1:10">
      <c r="A1904" s="172"/>
      <c r="D1904" s="56"/>
      <c r="E1904" s="204"/>
      <c r="F1904" s="205"/>
      <c r="G1904" s="206"/>
      <c r="H1904" s="207"/>
      <c r="J1904" s="76"/>
    </row>
    <row r="1905" spans="1:10">
      <c r="A1905" s="172"/>
      <c r="D1905" s="56"/>
      <c r="E1905" s="204"/>
      <c r="F1905" s="205"/>
      <c r="G1905" s="206"/>
      <c r="H1905" s="207"/>
      <c r="J1905" s="76"/>
    </row>
    <row r="1906" spans="1:10">
      <c r="A1906" s="172"/>
      <c r="D1906" s="56"/>
      <c r="E1906" s="204"/>
      <c r="F1906" s="205"/>
      <c r="G1906" s="206"/>
      <c r="H1906" s="207"/>
      <c r="J1906" s="76"/>
    </row>
    <row r="1907" spans="1:10">
      <c r="A1907" s="172"/>
      <c r="D1907" s="56"/>
      <c r="E1907" s="204"/>
      <c r="F1907" s="205"/>
      <c r="G1907" s="206"/>
      <c r="H1907" s="207"/>
      <c r="J1907" s="76"/>
    </row>
    <row r="1908" spans="1:10">
      <c r="A1908" s="172"/>
      <c r="D1908" s="56"/>
      <c r="E1908" s="204"/>
      <c r="F1908" s="205"/>
      <c r="G1908" s="206"/>
      <c r="H1908" s="207"/>
      <c r="J1908" s="76"/>
    </row>
    <row r="1909" spans="1:10">
      <c r="A1909" s="172"/>
      <c r="D1909" s="56"/>
      <c r="E1909" s="204"/>
      <c r="F1909" s="205"/>
      <c r="G1909" s="206"/>
      <c r="H1909" s="207"/>
      <c r="J1909" s="76"/>
    </row>
    <row r="1910" spans="1:10">
      <c r="A1910" s="172"/>
      <c r="D1910" s="56"/>
      <c r="E1910" s="204"/>
      <c r="F1910" s="205"/>
      <c r="G1910" s="206"/>
      <c r="H1910" s="207"/>
      <c r="J1910" s="76"/>
    </row>
    <row r="1911" spans="1:10">
      <c r="A1911" s="172"/>
      <c r="D1911" s="56"/>
      <c r="E1911" s="204"/>
      <c r="F1911" s="205"/>
      <c r="G1911" s="206"/>
      <c r="H1911" s="207"/>
      <c r="J1911" s="76"/>
    </row>
    <row r="1912" spans="1:10">
      <c r="A1912" s="172"/>
      <c r="D1912" s="56"/>
      <c r="E1912" s="204"/>
      <c r="F1912" s="205"/>
      <c r="G1912" s="206"/>
      <c r="H1912" s="207"/>
      <c r="J1912" s="76"/>
    </row>
    <row r="1913" spans="1:10">
      <c r="A1913" s="172"/>
      <c r="D1913" s="56"/>
      <c r="E1913" s="204"/>
      <c r="F1913" s="205"/>
      <c r="G1913" s="206"/>
      <c r="H1913" s="207"/>
      <c r="J1913" s="76"/>
    </row>
    <row r="1914" spans="1:10">
      <c r="A1914" s="172"/>
      <c r="D1914" s="56"/>
      <c r="E1914" s="204"/>
      <c r="F1914" s="205"/>
      <c r="G1914" s="206"/>
      <c r="H1914" s="207"/>
      <c r="J1914" s="76"/>
    </row>
    <row r="1915" spans="1:10">
      <c r="A1915" s="172"/>
      <c r="D1915" s="56"/>
      <c r="E1915" s="204"/>
      <c r="F1915" s="205"/>
      <c r="G1915" s="206"/>
      <c r="H1915" s="207"/>
      <c r="J1915" s="76"/>
    </row>
    <row r="1916" spans="1:10">
      <c r="A1916" s="172"/>
      <c r="D1916" s="56"/>
      <c r="E1916" s="204"/>
      <c r="F1916" s="205"/>
      <c r="G1916" s="206"/>
      <c r="H1916" s="207"/>
      <c r="J1916" s="76"/>
    </row>
    <row r="1917" spans="1:10">
      <c r="A1917" s="172"/>
      <c r="D1917" s="56"/>
      <c r="E1917" s="204"/>
      <c r="F1917" s="205"/>
      <c r="G1917" s="206"/>
      <c r="H1917" s="207"/>
      <c r="J1917" s="76"/>
    </row>
    <row r="1918" spans="1:10">
      <c r="A1918" s="172"/>
      <c r="D1918" s="56"/>
      <c r="E1918" s="204"/>
      <c r="F1918" s="205"/>
      <c r="G1918" s="206"/>
      <c r="H1918" s="207"/>
      <c r="J1918" s="76"/>
    </row>
    <row r="1919" spans="1:10">
      <c r="A1919" s="172"/>
      <c r="D1919" s="56"/>
      <c r="E1919" s="204"/>
      <c r="F1919" s="205"/>
      <c r="G1919" s="206"/>
      <c r="H1919" s="207"/>
      <c r="J1919" s="76"/>
    </row>
    <row r="1920" spans="1:10">
      <c r="A1920" s="172"/>
      <c r="D1920" s="56"/>
      <c r="E1920" s="204"/>
      <c r="F1920" s="205"/>
      <c r="G1920" s="206"/>
      <c r="H1920" s="207"/>
      <c r="J1920" s="76"/>
    </row>
    <row r="1921" spans="1:10">
      <c r="A1921" s="172"/>
      <c r="D1921" s="56"/>
      <c r="E1921" s="204"/>
      <c r="F1921" s="205"/>
      <c r="G1921" s="206"/>
      <c r="H1921" s="207"/>
      <c r="J1921" s="76"/>
    </row>
    <row r="1922" spans="1:10">
      <c r="A1922" s="172"/>
      <c r="D1922" s="56"/>
      <c r="E1922" s="204"/>
      <c r="F1922" s="205"/>
      <c r="G1922" s="206"/>
      <c r="H1922" s="207"/>
      <c r="J1922" s="76"/>
    </row>
    <row r="1923" spans="1:10">
      <c r="A1923" s="172"/>
      <c r="D1923" s="56"/>
      <c r="E1923" s="204"/>
      <c r="F1923" s="205"/>
      <c r="G1923" s="206"/>
      <c r="H1923" s="207"/>
      <c r="J1923" s="76"/>
    </row>
    <row r="1924" spans="1:10">
      <c r="A1924" s="172"/>
      <c r="D1924" s="56"/>
      <c r="E1924" s="204"/>
      <c r="F1924" s="205"/>
      <c r="G1924" s="206"/>
      <c r="H1924" s="207"/>
      <c r="J1924" s="76"/>
    </row>
    <row r="1925" spans="1:10">
      <c r="A1925" s="172"/>
      <c r="D1925" s="56"/>
      <c r="E1925" s="204"/>
      <c r="F1925" s="205"/>
      <c r="G1925" s="206"/>
      <c r="H1925" s="207"/>
      <c r="J1925" s="76"/>
    </row>
    <row r="1926" spans="1:10">
      <c r="A1926" s="172"/>
      <c r="D1926" s="56"/>
      <c r="E1926" s="204"/>
      <c r="F1926" s="205"/>
      <c r="G1926" s="206"/>
      <c r="H1926" s="207"/>
      <c r="J1926" s="76"/>
    </row>
    <row r="1927" spans="1:10">
      <c r="A1927" s="172"/>
      <c r="D1927" s="56"/>
      <c r="E1927" s="204"/>
      <c r="F1927" s="205"/>
      <c r="G1927" s="206"/>
      <c r="H1927" s="207"/>
      <c r="J1927" s="76"/>
    </row>
    <row r="1928" spans="1:10">
      <c r="A1928" s="172"/>
      <c r="D1928" s="56"/>
      <c r="E1928" s="204"/>
      <c r="F1928" s="205"/>
      <c r="G1928" s="206"/>
      <c r="H1928" s="207"/>
      <c r="J1928" s="76"/>
    </row>
    <row r="1929" spans="1:10">
      <c r="A1929" s="172"/>
      <c r="D1929" s="56"/>
      <c r="E1929" s="204"/>
      <c r="F1929" s="205"/>
      <c r="G1929" s="206"/>
      <c r="H1929" s="207"/>
      <c r="J1929" s="76"/>
    </row>
    <row r="1930" spans="1:10">
      <c r="A1930" s="172"/>
      <c r="D1930" s="56"/>
      <c r="E1930" s="204"/>
      <c r="F1930" s="205"/>
      <c r="G1930" s="206"/>
      <c r="H1930" s="207"/>
      <c r="J1930" s="76"/>
    </row>
    <row r="1931" spans="1:10">
      <c r="A1931" s="172"/>
      <c r="D1931" s="56"/>
      <c r="E1931" s="204"/>
      <c r="F1931" s="205"/>
      <c r="G1931" s="206"/>
      <c r="H1931" s="207"/>
      <c r="J1931" s="76"/>
    </row>
    <row r="1932" spans="1:10">
      <c r="A1932" s="172"/>
      <c r="D1932" s="56"/>
      <c r="E1932" s="204"/>
      <c r="F1932" s="205"/>
      <c r="G1932" s="206"/>
      <c r="H1932" s="207"/>
      <c r="J1932" s="76"/>
    </row>
    <row r="1933" spans="1:10">
      <c r="A1933" s="172"/>
      <c r="D1933" s="56"/>
      <c r="E1933" s="204"/>
      <c r="F1933" s="205"/>
      <c r="G1933" s="206"/>
      <c r="H1933" s="207"/>
      <c r="J1933" s="76"/>
    </row>
    <row r="1934" spans="1:10">
      <c r="A1934" s="172"/>
      <c r="D1934" s="56"/>
      <c r="E1934" s="204"/>
      <c r="F1934" s="205"/>
      <c r="G1934" s="206"/>
      <c r="H1934" s="207"/>
      <c r="J1934" s="76"/>
    </row>
    <row r="1935" spans="1:10">
      <c r="A1935" s="172"/>
      <c r="D1935" s="56"/>
      <c r="E1935" s="204"/>
      <c r="F1935" s="205"/>
      <c r="G1935" s="206"/>
      <c r="H1935" s="207"/>
      <c r="J1935" s="76"/>
    </row>
    <row r="1936" spans="1:10">
      <c r="A1936" s="172"/>
      <c r="D1936" s="56"/>
      <c r="E1936" s="204"/>
      <c r="F1936" s="205"/>
      <c r="G1936" s="206"/>
      <c r="H1936" s="207"/>
      <c r="J1936" s="76"/>
    </row>
    <row r="1937" spans="1:10">
      <c r="A1937" s="172"/>
      <c r="D1937" s="56"/>
      <c r="E1937" s="204"/>
      <c r="F1937" s="205"/>
      <c r="G1937" s="206"/>
      <c r="H1937" s="207"/>
      <c r="J1937" s="76"/>
    </row>
    <row r="1938" spans="1:10">
      <c r="A1938" s="172"/>
      <c r="D1938" s="56"/>
      <c r="E1938" s="204"/>
      <c r="F1938" s="205"/>
      <c r="G1938" s="206"/>
      <c r="H1938" s="207"/>
      <c r="J1938" s="76"/>
    </row>
    <row r="1939" spans="1:10">
      <c r="A1939" s="172"/>
      <c r="D1939" s="56"/>
      <c r="E1939" s="204"/>
      <c r="F1939" s="205"/>
      <c r="G1939" s="206"/>
      <c r="H1939" s="207"/>
      <c r="J1939" s="76"/>
    </row>
    <row r="1940" spans="1:10">
      <c r="A1940" s="172"/>
      <c r="D1940" s="56"/>
      <c r="E1940" s="204"/>
      <c r="F1940" s="205"/>
      <c r="G1940" s="206"/>
      <c r="H1940" s="207"/>
      <c r="J1940" s="76"/>
    </row>
    <row r="1941" spans="1:10">
      <c r="A1941" s="172"/>
      <c r="D1941" s="56"/>
      <c r="E1941" s="204"/>
      <c r="F1941" s="205"/>
      <c r="G1941" s="206"/>
      <c r="H1941" s="207"/>
      <c r="J1941" s="76"/>
    </row>
    <row r="1942" spans="1:10">
      <c r="A1942" s="172"/>
      <c r="D1942" s="56"/>
      <c r="E1942" s="204"/>
      <c r="F1942" s="205"/>
      <c r="G1942" s="206"/>
      <c r="H1942" s="207"/>
      <c r="J1942" s="76"/>
    </row>
    <row r="1943" spans="1:10">
      <c r="A1943" s="172"/>
      <c r="D1943" s="56"/>
      <c r="E1943" s="204"/>
      <c r="F1943" s="205"/>
      <c r="G1943" s="206"/>
      <c r="H1943" s="207"/>
      <c r="J1943" s="76"/>
    </row>
    <row r="1944" spans="1:10">
      <c r="A1944" s="172"/>
      <c r="D1944" s="56"/>
      <c r="E1944" s="204"/>
      <c r="F1944" s="205"/>
      <c r="G1944" s="206"/>
      <c r="H1944" s="207"/>
      <c r="J1944" s="76"/>
    </row>
    <row r="1945" spans="1:10">
      <c r="A1945" s="172"/>
      <c r="D1945" s="56"/>
      <c r="E1945" s="204"/>
      <c r="F1945" s="205"/>
      <c r="G1945" s="206"/>
      <c r="H1945" s="207"/>
      <c r="J1945" s="76"/>
    </row>
    <row r="1946" spans="1:10">
      <c r="A1946" s="172"/>
      <c r="D1946" s="56"/>
      <c r="E1946" s="204"/>
      <c r="F1946" s="205"/>
      <c r="G1946" s="206"/>
      <c r="H1946" s="207"/>
      <c r="J1946" s="76"/>
    </row>
    <row r="1947" spans="1:10">
      <c r="A1947" s="172"/>
      <c r="D1947" s="56"/>
      <c r="E1947" s="204"/>
      <c r="F1947" s="205"/>
      <c r="G1947" s="206"/>
      <c r="H1947" s="207"/>
      <c r="J1947" s="76"/>
    </row>
    <row r="1948" spans="1:10">
      <c r="A1948" s="172"/>
      <c r="D1948" s="56"/>
      <c r="E1948" s="204"/>
      <c r="F1948" s="205"/>
      <c r="G1948" s="206"/>
      <c r="H1948" s="207"/>
      <c r="J1948" s="76"/>
    </row>
    <row r="1949" spans="1:10">
      <c r="A1949" s="172"/>
      <c r="D1949" s="56"/>
      <c r="E1949" s="204"/>
      <c r="F1949" s="205"/>
      <c r="G1949" s="206"/>
      <c r="H1949" s="207"/>
      <c r="J1949" s="76"/>
    </row>
    <row r="1950" spans="1:10">
      <c r="A1950" s="172"/>
      <c r="D1950" s="56"/>
      <c r="E1950" s="204"/>
      <c r="F1950" s="205"/>
      <c r="G1950" s="206"/>
      <c r="H1950" s="207"/>
      <c r="J1950" s="76"/>
    </row>
    <row r="1951" spans="1:10">
      <c r="A1951" s="172"/>
      <c r="D1951" s="56"/>
      <c r="E1951" s="204"/>
      <c r="F1951" s="205"/>
      <c r="G1951" s="206"/>
      <c r="H1951" s="207"/>
      <c r="J1951" s="76"/>
    </row>
    <row r="1952" spans="1:10">
      <c r="A1952" s="172"/>
      <c r="D1952" s="56"/>
      <c r="E1952" s="204"/>
      <c r="F1952" s="205"/>
      <c r="G1952" s="206"/>
      <c r="H1952" s="207"/>
      <c r="J1952" s="76"/>
    </row>
    <row r="1953" spans="1:10">
      <c r="A1953" s="172"/>
      <c r="D1953" s="56"/>
      <c r="E1953" s="204"/>
      <c r="F1953" s="205"/>
      <c r="G1953" s="206"/>
      <c r="H1953" s="207"/>
      <c r="J1953" s="76"/>
    </row>
    <row r="1954" spans="1:10">
      <c r="A1954" s="172"/>
      <c r="D1954" s="56"/>
      <c r="E1954" s="204"/>
      <c r="F1954" s="205"/>
      <c r="G1954" s="206"/>
      <c r="H1954" s="207"/>
      <c r="J1954" s="76"/>
    </row>
    <row r="1955" spans="1:10">
      <c r="A1955" s="172"/>
      <c r="D1955" s="56"/>
      <c r="E1955" s="204"/>
      <c r="F1955" s="205"/>
      <c r="G1955" s="206"/>
      <c r="H1955" s="207"/>
      <c r="J1955" s="76"/>
    </row>
    <row r="1956" spans="1:10">
      <c r="A1956" s="172"/>
      <c r="D1956" s="56"/>
      <c r="E1956" s="204"/>
      <c r="F1956" s="205"/>
      <c r="G1956" s="206"/>
      <c r="H1956" s="207"/>
      <c r="J1956" s="76"/>
    </row>
    <row r="1957" spans="1:10">
      <c r="A1957" s="172"/>
      <c r="D1957" s="56"/>
      <c r="E1957" s="204"/>
      <c r="F1957" s="205"/>
      <c r="G1957" s="206"/>
      <c r="H1957" s="207"/>
      <c r="J1957" s="76"/>
    </row>
    <row r="1958" spans="1:10">
      <c r="A1958" s="172"/>
      <c r="D1958" s="56"/>
      <c r="E1958" s="204"/>
      <c r="F1958" s="205"/>
      <c r="G1958" s="206"/>
      <c r="H1958" s="207"/>
      <c r="J1958" s="76"/>
    </row>
    <row r="1959" spans="1:10">
      <c r="A1959" s="172"/>
      <c r="D1959" s="56"/>
      <c r="E1959" s="204"/>
      <c r="F1959" s="205"/>
      <c r="G1959" s="206"/>
      <c r="H1959" s="207"/>
      <c r="J1959" s="76"/>
    </row>
    <row r="1960" spans="1:10">
      <c r="A1960" s="172"/>
      <c r="D1960" s="56"/>
      <c r="E1960" s="204"/>
      <c r="F1960" s="205"/>
      <c r="G1960" s="206"/>
      <c r="H1960" s="207"/>
      <c r="J1960" s="76"/>
    </row>
    <row r="1961" spans="1:10">
      <c r="A1961" s="172"/>
      <c r="D1961" s="56"/>
      <c r="E1961" s="204"/>
      <c r="F1961" s="205"/>
      <c r="G1961" s="206"/>
      <c r="H1961" s="207"/>
      <c r="J1961" s="76"/>
    </row>
    <row r="1962" spans="1:10">
      <c r="A1962" s="172"/>
      <c r="D1962" s="56"/>
      <c r="E1962" s="204"/>
      <c r="F1962" s="205"/>
      <c r="G1962" s="206"/>
      <c r="H1962" s="207"/>
      <c r="J1962" s="76"/>
    </row>
    <row r="1963" spans="1:10">
      <c r="A1963" s="172"/>
      <c r="D1963" s="56"/>
      <c r="E1963" s="204"/>
      <c r="F1963" s="205"/>
      <c r="G1963" s="206"/>
      <c r="H1963" s="207"/>
      <c r="J1963" s="76"/>
    </row>
    <row r="1964" spans="1:10">
      <c r="A1964" s="172"/>
      <c r="D1964" s="56"/>
      <c r="E1964" s="204"/>
      <c r="F1964" s="205"/>
      <c r="G1964" s="206"/>
      <c r="H1964" s="207"/>
      <c r="J1964" s="76"/>
    </row>
    <row r="1965" spans="1:10">
      <c r="A1965" s="172"/>
      <c r="D1965" s="56"/>
      <c r="E1965" s="204"/>
      <c r="F1965" s="205"/>
      <c r="G1965" s="206"/>
      <c r="H1965" s="207"/>
      <c r="J1965" s="76"/>
    </row>
    <row r="1966" spans="1:10">
      <c r="A1966" s="172"/>
      <c r="D1966" s="56"/>
      <c r="E1966" s="204"/>
      <c r="F1966" s="205"/>
      <c r="G1966" s="206"/>
      <c r="H1966" s="207"/>
      <c r="J1966" s="76"/>
    </row>
    <row r="1967" spans="1:10">
      <c r="A1967" s="172"/>
      <c r="D1967" s="56"/>
      <c r="E1967" s="204"/>
      <c r="F1967" s="205"/>
      <c r="G1967" s="206"/>
      <c r="H1967" s="207"/>
      <c r="J1967" s="76"/>
    </row>
    <row r="1968" spans="1:10">
      <c r="A1968" s="172"/>
      <c r="D1968" s="56"/>
      <c r="E1968" s="204"/>
      <c r="F1968" s="205"/>
      <c r="G1968" s="206"/>
      <c r="H1968" s="207"/>
      <c r="J1968" s="76"/>
    </row>
    <row r="1969" spans="1:10">
      <c r="A1969" s="172"/>
      <c r="D1969" s="56"/>
      <c r="E1969" s="204"/>
      <c r="F1969" s="205"/>
      <c r="G1969" s="206"/>
      <c r="H1969" s="207"/>
      <c r="J1969" s="76"/>
    </row>
    <row r="1970" spans="1:10">
      <c r="A1970" s="172"/>
      <c r="D1970" s="56"/>
      <c r="E1970" s="204"/>
      <c r="F1970" s="205"/>
      <c r="G1970" s="206"/>
      <c r="H1970" s="207"/>
      <c r="J1970" s="76"/>
    </row>
    <row r="1971" spans="1:10">
      <c r="A1971" s="172"/>
      <c r="D1971" s="56"/>
      <c r="E1971" s="204"/>
      <c r="F1971" s="205"/>
      <c r="G1971" s="206"/>
      <c r="H1971" s="207"/>
      <c r="J1971" s="76"/>
    </row>
    <row r="1972" spans="1:10">
      <c r="A1972" s="172"/>
      <c r="D1972" s="56"/>
      <c r="E1972" s="204"/>
      <c r="F1972" s="205"/>
      <c r="G1972" s="206"/>
      <c r="H1972" s="207"/>
      <c r="J1972" s="76"/>
    </row>
    <row r="1973" spans="1:10">
      <c r="A1973" s="172"/>
      <c r="D1973" s="56"/>
      <c r="E1973" s="204"/>
      <c r="F1973" s="205"/>
      <c r="G1973" s="206"/>
      <c r="H1973" s="207"/>
      <c r="J1973" s="76"/>
    </row>
    <row r="1974" spans="1:10">
      <c r="A1974" s="172"/>
      <c r="D1974" s="56"/>
      <c r="E1974" s="204"/>
      <c r="F1974" s="205"/>
      <c r="G1974" s="206"/>
      <c r="H1974" s="207"/>
      <c r="J1974" s="76"/>
    </row>
    <row r="1975" spans="1:10">
      <c r="A1975" s="172"/>
      <c r="D1975" s="56"/>
      <c r="E1975" s="204"/>
      <c r="F1975" s="205"/>
      <c r="G1975" s="206"/>
      <c r="H1975" s="207"/>
      <c r="J1975" s="76"/>
    </row>
    <row r="1976" spans="1:10">
      <c r="A1976" s="172"/>
      <c r="D1976" s="56"/>
      <c r="E1976" s="204"/>
      <c r="F1976" s="205"/>
      <c r="G1976" s="206"/>
      <c r="H1976" s="207"/>
      <c r="J1976" s="76"/>
    </row>
    <row r="1977" spans="1:10">
      <c r="A1977" s="172"/>
      <c r="D1977" s="56"/>
      <c r="E1977" s="204"/>
      <c r="F1977" s="205"/>
      <c r="G1977" s="206"/>
      <c r="H1977" s="207"/>
      <c r="J1977" s="76"/>
    </row>
    <row r="1978" spans="1:10">
      <c r="A1978" s="172"/>
      <c r="D1978" s="56"/>
      <c r="E1978" s="204"/>
      <c r="F1978" s="205"/>
      <c r="G1978" s="206"/>
      <c r="H1978" s="207"/>
      <c r="J1978" s="76"/>
    </row>
    <row r="1979" spans="1:10">
      <c r="A1979" s="172"/>
      <c r="D1979" s="56"/>
      <c r="E1979" s="204"/>
      <c r="F1979" s="205"/>
      <c r="G1979" s="206"/>
      <c r="H1979" s="207"/>
      <c r="J1979" s="76"/>
    </row>
    <row r="1980" spans="1:10">
      <c r="A1980" s="172"/>
      <c r="D1980" s="56"/>
      <c r="E1980" s="204"/>
      <c r="F1980" s="205"/>
      <c r="G1980" s="206"/>
      <c r="H1980" s="207"/>
      <c r="J1980" s="76"/>
    </row>
    <row r="1981" spans="1:10">
      <c r="A1981" s="172"/>
      <c r="D1981" s="56"/>
      <c r="E1981" s="204"/>
      <c r="F1981" s="205"/>
      <c r="G1981" s="206"/>
      <c r="H1981" s="207"/>
      <c r="J1981" s="76"/>
    </row>
    <row r="1982" spans="1:10">
      <c r="A1982" s="172"/>
      <c r="D1982" s="56"/>
      <c r="E1982" s="204"/>
      <c r="F1982" s="205"/>
      <c r="G1982" s="206"/>
      <c r="H1982" s="207"/>
      <c r="J1982" s="76"/>
    </row>
    <row r="1983" spans="1:10">
      <c r="A1983" s="172"/>
      <c r="D1983" s="56"/>
      <c r="E1983" s="204"/>
      <c r="F1983" s="205"/>
      <c r="G1983" s="206"/>
      <c r="H1983" s="207"/>
      <c r="J1983" s="76"/>
    </row>
    <row r="1984" spans="1:10">
      <c r="A1984" s="172"/>
      <c r="D1984" s="56"/>
      <c r="E1984" s="204"/>
      <c r="F1984" s="205"/>
      <c r="G1984" s="206"/>
      <c r="H1984" s="207"/>
      <c r="J1984" s="76"/>
    </row>
    <row r="1985" spans="1:10">
      <c r="A1985" s="172"/>
      <c r="D1985" s="56"/>
      <c r="E1985" s="204"/>
      <c r="F1985" s="205"/>
      <c r="G1985" s="206"/>
      <c r="H1985" s="207"/>
      <c r="J1985" s="76"/>
    </row>
    <row r="1986" spans="1:10">
      <c r="A1986" s="172"/>
      <c r="D1986" s="56"/>
      <c r="E1986" s="204"/>
      <c r="F1986" s="205"/>
      <c r="G1986" s="206"/>
      <c r="H1986" s="207"/>
      <c r="J1986" s="76"/>
    </row>
    <row r="1987" spans="1:10">
      <c r="A1987" s="172"/>
      <c r="D1987" s="56"/>
      <c r="E1987" s="204"/>
      <c r="F1987" s="205"/>
      <c r="G1987" s="206"/>
      <c r="H1987" s="207"/>
      <c r="J1987" s="76"/>
    </row>
    <row r="1988" spans="1:10">
      <c r="A1988" s="172"/>
      <c r="D1988" s="56"/>
      <c r="E1988" s="204"/>
      <c r="F1988" s="205"/>
      <c r="G1988" s="206"/>
      <c r="H1988" s="207"/>
      <c r="J1988" s="76"/>
    </row>
    <row r="1989" spans="1:10">
      <c r="A1989" s="172"/>
      <c r="D1989" s="56"/>
      <c r="E1989" s="204"/>
      <c r="F1989" s="205"/>
      <c r="G1989" s="206"/>
      <c r="H1989" s="207"/>
      <c r="J1989" s="76"/>
    </row>
    <row r="1990" spans="1:10">
      <c r="A1990" s="172"/>
      <c r="D1990" s="56"/>
      <c r="E1990" s="204"/>
      <c r="F1990" s="205"/>
      <c r="G1990" s="206"/>
      <c r="H1990" s="207"/>
      <c r="J1990" s="76"/>
    </row>
    <row r="1991" spans="1:10">
      <c r="A1991" s="172"/>
      <c r="D1991" s="56"/>
      <c r="E1991" s="204"/>
      <c r="F1991" s="205"/>
      <c r="G1991" s="206"/>
      <c r="H1991" s="207"/>
      <c r="J1991" s="76"/>
    </row>
    <row r="1992" spans="1:10">
      <c r="A1992" s="172"/>
      <c r="D1992" s="56"/>
      <c r="E1992" s="204"/>
      <c r="F1992" s="205"/>
      <c r="G1992" s="206"/>
      <c r="H1992" s="207"/>
      <c r="J1992" s="76"/>
    </row>
    <row r="1993" spans="1:10">
      <c r="A1993" s="172"/>
      <c r="D1993" s="56"/>
      <c r="E1993" s="204"/>
      <c r="F1993" s="205"/>
      <c r="G1993" s="206"/>
      <c r="H1993" s="207"/>
      <c r="J1993" s="76"/>
    </row>
    <row r="1994" spans="1:10">
      <c r="A1994" s="172"/>
      <c r="D1994" s="56"/>
      <c r="E1994" s="204"/>
      <c r="F1994" s="205"/>
      <c r="G1994" s="206"/>
      <c r="H1994" s="207"/>
      <c r="J1994" s="76"/>
    </row>
    <row r="1995" spans="1:10">
      <c r="A1995" s="172"/>
      <c r="D1995" s="56"/>
      <c r="E1995" s="204"/>
      <c r="F1995" s="205"/>
      <c r="G1995" s="206"/>
      <c r="H1995" s="207"/>
      <c r="J1995" s="76"/>
    </row>
    <row r="1996" spans="1:10">
      <c r="A1996" s="172"/>
      <c r="D1996" s="56"/>
      <c r="E1996" s="204"/>
      <c r="F1996" s="205"/>
      <c r="G1996" s="206"/>
      <c r="H1996" s="207"/>
      <c r="J1996" s="76"/>
    </row>
    <row r="1997" spans="1:10">
      <c r="A1997" s="172"/>
      <c r="D1997" s="56"/>
      <c r="E1997" s="204"/>
      <c r="F1997" s="205"/>
      <c r="G1997" s="206"/>
      <c r="H1997" s="207"/>
      <c r="J1997" s="76"/>
    </row>
    <row r="1998" spans="1:10">
      <c r="A1998" s="172"/>
      <c r="D1998" s="56"/>
      <c r="E1998" s="204"/>
      <c r="F1998" s="205"/>
      <c r="G1998" s="206"/>
      <c r="H1998" s="207"/>
      <c r="J1998" s="76"/>
    </row>
    <row r="1999" spans="1:10">
      <c r="A1999" s="172"/>
      <c r="D1999" s="56"/>
      <c r="E1999" s="204"/>
      <c r="F1999" s="205"/>
      <c r="G1999" s="206"/>
      <c r="H1999" s="207"/>
      <c r="J1999" s="76"/>
    </row>
    <row r="2000" spans="1:10">
      <c r="A2000" s="172"/>
      <c r="D2000" s="56"/>
      <c r="E2000" s="204"/>
      <c r="F2000" s="205"/>
      <c r="G2000" s="206"/>
      <c r="H2000" s="207"/>
      <c r="J2000" s="76"/>
    </row>
    <row r="2001" spans="1:10">
      <c r="A2001" s="172"/>
      <c r="D2001" s="56"/>
      <c r="E2001" s="204"/>
      <c r="F2001" s="205"/>
      <c r="G2001" s="206"/>
      <c r="H2001" s="207"/>
      <c r="J2001" s="76"/>
    </row>
    <row r="2002" spans="1:10">
      <c r="A2002" s="172"/>
      <c r="D2002" s="56"/>
      <c r="E2002" s="204"/>
      <c r="F2002" s="205"/>
      <c r="G2002" s="206"/>
      <c r="H2002" s="207"/>
      <c r="J2002" s="76"/>
    </row>
    <row r="2003" spans="1:10">
      <c r="A2003" s="172"/>
      <c r="D2003" s="56"/>
      <c r="E2003" s="204"/>
      <c r="F2003" s="205"/>
      <c r="G2003" s="206"/>
      <c r="H2003" s="207"/>
      <c r="J2003" s="76"/>
    </row>
    <row r="2004" spans="1:10">
      <c r="A2004" s="172"/>
      <c r="D2004" s="56"/>
      <c r="E2004" s="204"/>
      <c r="F2004" s="205"/>
      <c r="G2004" s="206"/>
      <c r="H2004" s="207"/>
      <c r="J2004" s="76"/>
    </row>
    <row r="2005" spans="1:10">
      <c r="A2005" s="172"/>
      <c r="D2005" s="56"/>
      <c r="E2005" s="204"/>
      <c r="F2005" s="205"/>
      <c r="G2005" s="206"/>
      <c r="H2005" s="207"/>
      <c r="J2005" s="76"/>
    </row>
    <row r="2006" spans="1:10">
      <c r="A2006" s="172"/>
      <c r="D2006" s="56"/>
      <c r="E2006" s="204"/>
      <c r="F2006" s="205"/>
      <c r="G2006" s="206"/>
      <c r="H2006" s="207"/>
      <c r="J2006" s="76"/>
    </row>
    <row r="2007" spans="1:10">
      <c r="A2007" s="172"/>
      <c r="D2007" s="56"/>
      <c r="E2007" s="204"/>
      <c r="F2007" s="205"/>
      <c r="G2007" s="206"/>
      <c r="H2007" s="207"/>
      <c r="J2007" s="76"/>
    </row>
    <row r="2008" spans="1:10">
      <c r="A2008" s="172"/>
      <c r="D2008" s="56"/>
      <c r="E2008" s="204"/>
      <c r="F2008" s="205"/>
      <c r="G2008" s="206"/>
      <c r="H2008" s="207"/>
      <c r="J2008" s="76"/>
    </row>
    <row r="2009" spans="1:10">
      <c r="A2009" s="172"/>
      <c r="D2009" s="56"/>
      <c r="E2009" s="204"/>
      <c r="F2009" s="205"/>
      <c r="G2009" s="206"/>
      <c r="H2009" s="207"/>
      <c r="J2009" s="76"/>
    </row>
    <row r="2010" spans="1:10">
      <c r="A2010" s="172"/>
      <c r="D2010" s="56"/>
      <c r="E2010" s="204"/>
      <c r="F2010" s="205"/>
      <c r="G2010" s="206"/>
      <c r="H2010" s="207"/>
      <c r="J2010" s="76"/>
    </row>
    <row r="2011" spans="1:10">
      <c r="A2011" s="172"/>
      <c r="D2011" s="56"/>
      <c r="E2011" s="204"/>
      <c r="F2011" s="205"/>
      <c r="G2011" s="206"/>
      <c r="H2011" s="207"/>
      <c r="J2011" s="76"/>
    </row>
    <row r="2012" spans="1:10">
      <c r="A2012" s="172"/>
      <c r="D2012" s="56"/>
      <c r="E2012" s="204"/>
      <c r="F2012" s="205"/>
      <c r="G2012" s="206"/>
      <c r="H2012" s="207"/>
      <c r="J2012" s="76"/>
    </row>
    <row r="2013" spans="1:10">
      <c r="A2013" s="172"/>
      <c r="D2013" s="56"/>
      <c r="E2013" s="204"/>
      <c r="F2013" s="205"/>
      <c r="G2013" s="206"/>
      <c r="H2013" s="207"/>
      <c r="J2013" s="76"/>
    </row>
    <row r="2014" spans="1:10">
      <c r="A2014" s="172"/>
      <c r="D2014" s="56"/>
      <c r="E2014" s="204"/>
      <c r="F2014" s="205"/>
      <c r="G2014" s="206"/>
      <c r="H2014" s="207"/>
      <c r="J2014" s="76"/>
    </row>
    <row r="2015" spans="1:10">
      <c r="A2015" s="172"/>
      <c r="D2015" s="56"/>
      <c r="E2015" s="204"/>
      <c r="F2015" s="205"/>
      <c r="G2015" s="206"/>
      <c r="H2015" s="207"/>
      <c r="J2015" s="76"/>
    </row>
    <row r="2016" spans="1:10">
      <c r="A2016" s="172"/>
      <c r="D2016" s="56"/>
      <c r="E2016" s="204"/>
      <c r="F2016" s="205"/>
      <c r="G2016" s="206"/>
      <c r="H2016" s="207"/>
      <c r="J2016" s="76"/>
    </row>
    <row r="2017" spans="1:10">
      <c r="A2017" s="172"/>
      <c r="D2017" s="56"/>
      <c r="E2017" s="204"/>
      <c r="F2017" s="205"/>
      <c r="G2017" s="206"/>
      <c r="H2017" s="207"/>
      <c r="J2017" s="76"/>
    </row>
    <row r="2018" spans="1:10">
      <c r="A2018" s="172"/>
      <c r="D2018" s="56"/>
      <c r="E2018" s="204"/>
      <c r="F2018" s="205"/>
      <c r="G2018" s="206"/>
      <c r="H2018" s="207"/>
      <c r="J2018" s="76"/>
    </row>
    <row r="2019" spans="1:10">
      <c r="A2019" s="172"/>
      <c r="D2019" s="56"/>
      <c r="E2019" s="204"/>
      <c r="F2019" s="205"/>
      <c r="G2019" s="206"/>
      <c r="H2019" s="207"/>
      <c r="J2019" s="76"/>
    </row>
    <row r="2020" spans="1:10">
      <c r="A2020" s="172"/>
      <c r="D2020" s="56"/>
      <c r="E2020" s="204"/>
      <c r="F2020" s="205"/>
      <c r="G2020" s="206"/>
      <c r="H2020" s="207"/>
      <c r="J2020" s="76"/>
    </row>
    <row r="2021" spans="1:10">
      <c r="A2021" s="172"/>
      <c r="D2021" s="56"/>
      <c r="E2021" s="204"/>
      <c r="F2021" s="205"/>
      <c r="G2021" s="206"/>
      <c r="H2021" s="207"/>
      <c r="J2021" s="76"/>
    </row>
    <row r="2022" spans="1:10">
      <c r="A2022" s="172"/>
      <c r="D2022" s="56"/>
      <c r="E2022" s="204"/>
      <c r="F2022" s="205"/>
      <c r="G2022" s="206"/>
      <c r="H2022" s="207"/>
      <c r="J2022" s="76"/>
    </row>
    <row r="2023" spans="1:10">
      <c r="A2023" s="172"/>
      <c r="D2023" s="56"/>
      <c r="E2023" s="204"/>
      <c r="F2023" s="205"/>
      <c r="G2023" s="206"/>
      <c r="H2023" s="207"/>
      <c r="J2023" s="76"/>
    </row>
    <row r="2024" spans="1:10">
      <c r="A2024" s="172"/>
      <c r="D2024" s="56"/>
      <c r="E2024" s="204"/>
      <c r="F2024" s="205"/>
      <c r="G2024" s="206"/>
      <c r="H2024" s="207"/>
      <c r="J2024" s="76"/>
    </row>
    <row r="2025" spans="1:10">
      <c r="A2025" s="172"/>
      <c r="D2025" s="56"/>
      <c r="E2025" s="204"/>
      <c r="F2025" s="205"/>
      <c r="G2025" s="206"/>
      <c r="H2025" s="207"/>
      <c r="J2025" s="76"/>
    </row>
    <row r="2026" spans="1:10">
      <c r="A2026" s="172"/>
      <c r="D2026" s="56"/>
      <c r="E2026" s="204"/>
      <c r="F2026" s="205"/>
      <c r="G2026" s="206"/>
      <c r="H2026" s="207"/>
      <c r="J2026" s="76"/>
    </row>
    <row r="2027" spans="1:10">
      <c r="A2027" s="172"/>
      <c r="D2027" s="56"/>
      <c r="E2027" s="204"/>
      <c r="F2027" s="205"/>
      <c r="G2027" s="206"/>
      <c r="H2027" s="207"/>
      <c r="J2027" s="76"/>
    </row>
    <row r="2028" spans="1:10">
      <c r="A2028" s="172"/>
      <c r="D2028" s="56"/>
      <c r="E2028" s="204"/>
      <c r="F2028" s="205"/>
      <c r="G2028" s="206"/>
      <c r="H2028" s="207"/>
      <c r="J2028" s="76"/>
    </row>
    <row r="2029" spans="1:10">
      <c r="A2029" s="172"/>
      <c r="D2029" s="56"/>
      <c r="E2029" s="204"/>
      <c r="F2029" s="205"/>
      <c r="G2029" s="206"/>
      <c r="H2029" s="207"/>
      <c r="J2029" s="76"/>
    </row>
    <row r="2030" spans="1:10">
      <c r="A2030" s="172"/>
      <c r="D2030" s="56"/>
      <c r="E2030" s="204"/>
      <c r="F2030" s="205"/>
      <c r="G2030" s="206"/>
      <c r="H2030" s="207"/>
      <c r="J2030" s="76"/>
    </row>
    <row r="2031" spans="1:10">
      <c r="A2031" s="172"/>
      <c r="D2031" s="56"/>
      <c r="E2031" s="204"/>
      <c r="F2031" s="205"/>
      <c r="G2031" s="206"/>
      <c r="H2031" s="207"/>
      <c r="J2031" s="76"/>
    </row>
    <row r="2032" spans="1:10">
      <c r="A2032" s="172"/>
      <c r="D2032" s="56"/>
      <c r="E2032" s="204"/>
      <c r="F2032" s="205"/>
      <c r="G2032" s="206"/>
      <c r="H2032" s="207"/>
      <c r="J2032" s="76"/>
    </row>
    <row r="2033" spans="1:10">
      <c r="A2033" s="172"/>
      <c r="D2033" s="56"/>
      <c r="E2033" s="204"/>
      <c r="F2033" s="205"/>
      <c r="G2033" s="206"/>
      <c r="H2033" s="207"/>
      <c r="J2033" s="76"/>
    </row>
    <row r="2034" spans="1:10">
      <c r="A2034" s="172"/>
      <c r="D2034" s="56"/>
      <c r="E2034" s="204"/>
      <c r="F2034" s="205"/>
      <c r="G2034" s="206"/>
      <c r="H2034" s="207"/>
      <c r="J2034" s="76"/>
    </row>
    <row r="2035" spans="1:10">
      <c r="A2035" s="172"/>
      <c r="D2035" s="56"/>
      <c r="E2035" s="204"/>
      <c r="F2035" s="205"/>
      <c r="G2035" s="206"/>
      <c r="H2035" s="207"/>
      <c r="J2035" s="76"/>
    </row>
    <row r="2036" spans="1:10">
      <c r="A2036" s="172"/>
      <c r="D2036" s="56"/>
      <c r="E2036" s="204"/>
      <c r="F2036" s="205"/>
      <c r="G2036" s="206"/>
      <c r="H2036" s="207"/>
      <c r="J2036" s="76"/>
    </row>
    <row r="2037" spans="1:10">
      <c r="A2037" s="172"/>
      <c r="D2037" s="56"/>
      <c r="E2037" s="204"/>
      <c r="F2037" s="205"/>
      <c r="G2037" s="206"/>
      <c r="H2037" s="207"/>
      <c r="J2037" s="76"/>
    </row>
    <row r="2038" spans="1:10">
      <c r="A2038" s="172"/>
      <c r="D2038" s="56"/>
      <c r="E2038" s="204"/>
      <c r="F2038" s="205"/>
      <c r="G2038" s="206"/>
      <c r="H2038" s="207"/>
      <c r="J2038" s="76"/>
    </row>
    <row r="2039" spans="1:10">
      <c r="A2039" s="172"/>
      <c r="D2039" s="56"/>
      <c r="E2039" s="204"/>
      <c r="F2039" s="205"/>
      <c r="G2039" s="206"/>
      <c r="H2039" s="207"/>
      <c r="J2039" s="76"/>
    </row>
    <row r="2040" spans="1:10">
      <c r="A2040" s="172"/>
      <c r="D2040" s="56"/>
      <c r="E2040" s="204"/>
      <c r="F2040" s="205"/>
      <c r="G2040" s="206"/>
      <c r="H2040" s="207"/>
      <c r="J2040" s="76"/>
    </row>
    <row r="2041" spans="1:10">
      <c r="A2041" s="172"/>
      <c r="D2041" s="56"/>
      <c r="E2041" s="204"/>
      <c r="F2041" s="205"/>
      <c r="G2041" s="206"/>
      <c r="H2041" s="207"/>
      <c r="J2041" s="76"/>
    </row>
    <row r="2042" spans="1:10">
      <c r="A2042" s="172"/>
      <c r="D2042" s="56"/>
      <c r="E2042" s="204"/>
      <c r="F2042" s="205"/>
      <c r="G2042" s="206"/>
      <c r="H2042" s="207"/>
      <c r="J2042" s="76"/>
    </row>
    <row r="2043" spans="1:10">
      <c r="A2043" s="172"/>
      <c r="D2043" s="56"/>
      <c r="E2043" s="204"/>
      <c r="F2043" s="205"/>
      <c r="G2043" s="206"/>
      <c r="H2043" s="207"/>
      <c r="J2043" s="76"/>
    </row>
    <row r="2044" spans="1:10">
      <c r="A2044" s="172"/>
      <c r="D2044" s="56"/>
      <c r="E2044" s="204"/>
      <c r="F2044" s="205"/>
      <c r="G2044" s="206"/>
      <c r="H2044" s="207"/>
      <c r="J2044" s="76"/>
    </row>
    <row r="2045" spans="1:10">
      <c r="A2045" s="172"/>
      <c r="D2045" s="56"/>
      <c r="E2045" s="204"/>
      <c r="F2045" s="205"/>
      <c r="G2045" s="206"/>
      <c r="H2045" s="207"/>
      <c r="J2045" s="76"/>
    </row>
    <row r="2046" spans="1:10">
      <c r="A2046" s="172"/>
      <c r="D2046" s="56"/>
      <c r="E2046" s="204"/>
      <c r="F2046" s="205"/>
      <c r="G2046" s="206"/>
      <c r="H2046" s="207"/>
      <c r="J2046" s="76"/>
    </row>
    <row r="2047" spans="1:10">
      <c r="A2047" s="172"/>
      <c r="D2047" s="56"/>
      <c r="E2047" s="204"/>
      <c r="F2047" s="205"/>
      <c r="G2047" s="206"/>
      <c r="H2047" s="207"/>
      <c r="J2047" s="76"/>
    </row>
    <row r="2048" spans="1:10">
      <c r="A2048" s="172"/>
      <c r="D2048" s="56"/>
      <c r="E2048" s="204"/>
      <c r="F2048" s="205"/>
      <c r="G2048" s="206"/>
      <c r="H2048" s="207"/>
      <c r="J2048" s="76"/>
    </row>
    <row r="2049" spans="1:10">
      <c r="A2049" s="172"/>
      <c r="D2049" s="56"/>
      <c r="E2049" s="204"/>
      <c r="F2049" s="205"/>
      <c r="G2049" s="206"/>
      <c r="H2049" s="207"/>
      <c r="J2049" s="76"/>
    </row>
    <row r="2050" spans="1:10">
      <c r="A2050" s="172"/>
      <c r="D2050" s="56"/>
      <c r="E2050" s="204"/>
      <c r="F2050" s="205"/>
      <c r="G2050" s="206"/>
      <c r="H2050" s="207"/>
      <c r="J2050" s="76"/>
    </row>
    <row r="2051" spans="1:10">
      <c r="A2051" s="172"/>
      <c r="D2051" s="56"/>
      <c r="E2051" s="204"/>
      <c r="F2051" s="205"/>
      <c r="G2051" s="206"/>
      <c r="H2051" s="207"/>
      <c r="J2051" s="76"/>
    </row>
    <row r="2052" spans="1:10">
      <c r="A2052" s="172"/>
      <c r="D2052" s="56"/>
      <c r="E2052" s="204"/>
      <c r="F2052" s="205"/>
      <c r="G2052" s="206"/>
      <c r="H2052" s="207"/>
      <c r="J2052" s="76"/>
    </row>
    <row r="2053" spans="1:10">
      <c r="A2053" s="172"/>
      <c r="D2053" s="56"/>
      <c r="E2053" s="204"/>
      <c r="F2053" s="205"/>
      <c r="G2053" s="206"/>
      <c r="H2053" s="207"/>
      <c r="J2053" s="76"/>
    </row>
    <row r="2054" spans="1:10">
      <c r="A2054" s="172"/>
      <c r="D2054" s="56"/>
      <c r="E2054" s="204"/>
      <c r="F2054" s="205"/>
      <c r="G2054" s="206"/>
      <c r="H2054" s="207"/>
      <c r="J2054" s="76"/>
    </row>
    <row r="2055" spans="1:10">
      <c r="A2055" s="172"/>
      <c r="D2055" s="56"/>
      <c r="E2055" s="204"/>
      <c r="F2055" s="205"/>
      <c r="G2055" s="206"/>
      <c r="H2055" s="207"/>
      <c r="J2055" s="76"/>
    </row>
    <row r="2056" spans="1:10">
      <c r="A2056" s="172"/>
      <c r="D2056" s="56"/>
      <c r="E2056" s="204"/>
      <c r="F2056" s="205"/>
      <c r="G2056" s="206"/>
      <c r="H2056" s="207"/>
      <c r="J2056" s="76"/>
    </row>
    <row r="2057" spans="1:10">
      <c r="A2057" s="172"/>
      <c r="D2057" s="56"/>
      <c r="E2057" s="204"/>
      <c r="F2057" s="205"/>
      <c r="G2057" s="206"/>
      <c r="H2057" s="207"/>
      <c r="J2057" s="76"/>
    </row>
    <row r="2058" spans="1:10">
      <c r="A2058" s="172"/>
      <c r="D2058" s="56"/>
      <c r="E2058" s="204"/>
      <c r="F2058" s="205"/>
      <c r="G2058" s="206"/>
      <c r="H2058" s="207"/>
      <c r="J2058" s="76"/>
    </row>
    <row r="2059" spans="1:10">
      <c r="A2059" s="172"/>
      <c r="D2059" s="56"/>
      <c r="E2059" s="204"/>
      <c r="F2059" s="205"/>
      <c r="G2059" s="206"/>
      <c r="H2059" s="207"/>
      <c r="J2059" s="76"/>
    </row>
    <row r="2060" spans="1:10">
      <c r="A2060" s="172"/>
      <c r="D2060" s="56"/>
      <c r="E2060" s="204"/>
      <c r="F2060" s="205"/>
      <c r="G2060" s="206"/>
      <c r="H2060" s="207"/>
      <c r="J2060" s="76"/>
    </row>
    <row r="2061" spans="1:10">
      <c r="A2061" s="172"/>
      <c r="D2061" s="56"/>
      <c r="E2061" s="204"/>
      <c r="F2061" s="205"/>
      <c r="G2061" s="206"/>
      <c r="H2061" s="207"/>
      <c r="J2061" s="76"/>
    </row>
    <row r="2062" spans="1:10">
      <c r="A2062" s="172"/>
      <c r="D2062" s="56"/>
      <c r="E2062" s="204"/>
      <c r="F2062" s="205"/>
      <c r="G2062" s="206"/>
      <c r="H2062" s="207"/>
      <c r="J2062" s="76"/>
    </row>
    <row r="2063" spans="1:10">
      <c r="A2063" s="172"/>
      <c r="D2063" s="56"/>
      <c r="E2063" s="204"/>
      <c r="F2063" s="205"/>
      <c r="G2063" s="206"/>
      <c r="H2063" s="207"/>
      <c r="J2063" s="76"/>
    </row>
    <row r="2064" spans="1:10">
      <c r="A2064" s="172"/>
      <c r="D2064" s="56"/>
      <c r="E2064" s="204"/>
      <c r="F2064" s="205"/>
      <c r="G2064" s="206"/>
      <c r="H2064" s="207"/>
      <c r="J2064" s="76"/>
    </row>
    <row r="2065" spans="1:10">
      <c r="A2065" s="172"/>
      <c r="D2065" s="56"/>
      <c r="E2065" s="204"/>
      <c r="F2065" s="205"/>
      <c r="G2065" s="206"/>
      <c r="H2065" s="207"/>
      <c r="J2065" s="76"/>
    </row>
    <row r="2066" spans="1:10">
      <c r="A2066" s="172"/>
      <c r="D2066" s="56"/>
      <c r="E2066" s="204"/>
      <c r="F2066" s="205"/>
      <c r="G2066" s="206"/>
      <c r="H2066" s="207"/>
      <c r="J2066" s="76"/>
    </row>
    <row r="2067" spans="1:10">
      <c r="A2067" s="172"/>
      <c r="D2067" s="56"/>
      <c r="E2067" s="204"/>
      <c r="F2067" s="205"/>
      <c r="G2067" s="206"/>
      <c r="H2067" s="207"/>
      <c r="J2067" s="76"/>
    </row>
    <row r="2068" spans="1:10">
      <c r="A2068" s="172"/>
      <c r="D2068" s="56"/>
      <c r="E2068" s="204"/>
      <c r="F2068" s="205"/>
      <c r="G2068" s="206"/>
      <c r="H2068" s="207"/>
      <c r="J2068" s="76"/>
    </row>
    <row r="2069" spans="1:10">
      <c r="A2069" s="172"/>
      <c r="D2069" s="56"/>
      <c r="E2069" s="204"/>
      <c r="F2069" s="205"/>
      <c r="G2069" s="206"/>
      <c r="H2069" s="207"/>
      <c r="J2069" s="76"/>
    </row>
    <row r="2070" spans="1:10">
      <c r="A2070" s="172"/>
      <c r="D2070" s="56"/>
      <c r="E2070" s="204"/>
      <c r="F2070" s="205"/>
      <c r="G2070" s="206"/>
      <c r="H2070" s="207"/>
      <c r="J2070" s="76"/>
    </row>
    <row r="2071" spans="1:10">
      <c r="A2071" s="172"/>
      <c r="D2071" s="56"/>
      <c r="E2071" s="204"/>
      <c r="F2071" s="205"/>
      <c r="G2071" s="206"/>
      <c r="H2071" s="207"/>
      <c r="J2071" s="76"/>
    </row>
    <row r="2072" spans="1:10">
      <c r="A2072" s="172"/>
      <c r="D2072" s="56"/>
      <c r="E2072" s="204"/>
      <c r="F2072" s="205"/>
      <c r="G2072" s="206"/>
      <c r="H2072" s="207"/>
      <c r="J2072" s="76"/>
    </row>
    <row r="2073" spans="1:10">
      <c r="A2073" s="172"/>
      <c r="D2073" s="56"/>
      <c r="E2073" s="204"/>
      <c r="F2073" s="205"/>
      <c r="G2073" s="206"/>
      <c r="H2073" s="207"/>
      <c r="J2073" s="76"/>
    </row>
    <row r="2074" spans="1:10">
      <c r="A2074" s="172"/>
      <c r="D2074" s="56"/>
      <c r="E2074" s="204"/>
      <c r="F2074" s="205"/>
      <c r="G2074" s="206"/>
      <c r="H2074" s="207"/>
      <c r="J2074" s="76"/>
    </row>
    <row r="2075" spans="1:10">
      <c r="A2075" s="172"/>
      <c r="D2075" s="56"/>
      <c r="E2075" s="204"/>
      <c r="F2075" s="205"/>
      <c r="G2075" s="206"/>
      <c r="H2075" s="207"/>
      <c r="J2075" s="76"/>
    </row>
    <row r="2076" spans="1:10">
      <c r="A2076" s="172"/>
      <c r="D2076" s="56"/>
      <c r="E2076" s="204"/>
      <c r="F2076" s="205"/>
      <c r="G2076" s="206"/>
      <c r="H2076" s="207"/>
      <c r="J2076" s="76"/>
    </row>
    <row r="2077" spans="1:10">
      <c r="A2077" s="172"/>
      <c r="D2077" s="56"/>
      <c r="E2077" s="204"/>
      <c r="F2077" s="205"/>
      <c r="G2077" s="206"/>
      <c r="H2077" s="207"/>
      <c r="J2077" s="76"/>
    </row>
    <row r="2078" spans="1:10">
      <c r="A2078" s="172"/>
      <c r="D2078" s="56"/>
      <c r="E2078" s="204"/>
      <c r="F2078" s="205"/>
      <c r="G2078" s="206"/>
      <c r="H2078" s="207"/>
      <c r="J2078" s="76"/>
    </row>
    <row r="2079" spans="1:10">
      <c r="A2079" s="172"/>
      <c r="D2079" s="56"/>
      <c r="E2079" s="204"/>
      <c r="F2079" s="205"/>
      <c r="G2079" s="206"/>
      <c r="H2079" s="207"/>
      <c r="J2079" s="76"/>
    </row>
    <row r="2080" spans="1:10">
      <c r="A2080" s="172"/>
      <c r="D2080" s="56"/>
      <c r="E2080" s="204"/>
      <c r="F2080" s="205"/>
      <c r="G2080" s="206"/>
      <c r="H2080" s="207"/>
      <c r="J2080" s="76"/>
    </row>
    <row r="2081" spans="1:10">
      <c r="A2081" s="172"/>
      <c r="D2081" s="56"/>
      <c r="E2081" s="204"/>
      <c r="F2081" s="205"/>
      <c r="G2081" s="206"/>
      <c r="H2081" s="207"/>
      <c r="J2081" s="76"/>
    </row>
    <row r="2082" spans="1:10">
      <c r="A2082" s="172"/>
      <c r="D2082" s="56"/>
      <c r="E2082" s="204"/>
      <c r="F2082" s="205"/>
      <c r="G2082" s="206"/>
      <c r="H2082" s="207"/>
      <c r="J2082" s="76"/>
    </row>
    <row r="2083" spans="1:10">
      <c r="A2083" s="172"/>
      <c r="D2083" s="56"/>
      <c r="E2083" s="204"/>
      <c r="F2083" s="205"/>
      <c r="G2083" s="206"/>
      <c r="H2083" s="207"/>
      <c r="J2083" s="76"/>
    </row>
    <row r="2084" spans="1:10">
      <c r="A2084" s="172"/>
      <c r="D2084" s="56"/>
      <c r="E2084" s="204"/>
      <c r="F2084" s="205"/>
      <c r="G2084" s="206"/>
      <c r="H2084" s="207"/>
      <c r="J2084" s="76"/>
    </row>
    <row r="2085" spans="1:10">
      <c r="A2085" s="172"/>
      <c r="D2085" s="56"/>
      <c r="E2085" s="204"/>
      <c r="F2085" s="205"/>
      <c r="G2085" s="206"/>
      <c r="H2085" s="207"/>
      <c r="J2085" s="76"/>
    </row>
    <row r="2086" spans="1:10">
      <c r="A2086" s="172"/>
      <c r="D2086" s="56"/>
      <c r="E2086" s="204"/>
      <c r="F2086" s="205"/>
      <c r="G2086" s="206"/>
      <c r="H2086" s="207"/>
      <c r="J2086" s="76"/>
    </row>
    <row r="2087" spans="1:10">
      <c r="A2087" s="172"/>
      <c r="D2087" s="56"/>
      <c r="E2087" s="204"/>
      <c r="F2087" s="205"/>
      <c r="G2087" s="206"/>
      <c r="H2087" s="207"/>
      <c r="J2087" s="76"/>
    </row>
    <row r="2088" spans="1:10">
      <c r="A2088" s="172"/>
      <c r="D2088" s="56"/>
      <c r="E2088" s="204"/>
      <c r="F2088" s="205"/>
      <c r="G2088" s="206"/>
      <c r="H2088" s="207"/>
      <c r="J2088" s="76"/>
    </row>
    <row r="2089" spans="1:10">
      <c r="A2089" s="172"/>
      <c r="D2089" s="56"/>
      <c r="E2089" s="204"/>
      <c r="F2089" s="205"/>
      <c r="G2089" s="206"/>
      <c r="H2089" s="207"/>
      <c r="J2089" s="76"/>
    </row>
    <row r="2090" spans="1:10">
      <c r="A2090" s="172"/>
      <c r="D2090" s="56"/>
      <c r="E2090" s="204"/>
      <c r="F2090" s="205"/>
      <c r="G2090" s="206"/>
      <c r="H2090" s="207"/>
      <c r="J2090" s="76"/>
    </row>
    <row r="2091" spans="1:10">
      <c r="A2091" s="172"/>
      <c r="D2091" s="56"/>
      <c r="E2091" s="204"/>
      <c r="F2091" s="205"/>
      <c r="G2091" s="206"/>
      <c r="H2091" s="207"/>
      <c r="J2091" s="76"/>
    </row>
    <row r="2092" spans="1:10">
      <c r="A2092" s="172"/>
      <c r="D2092" s="56"/>
      <c r="E2092" s="204"/>
      <c r="F2092" s="205"/>
      <c r="G2092" s="206"/>
      <c r="H2092" s="207"/>
      <c r="J2092" s="76"/>
    </row>
    <row r="2093" spans="1:10">
      <c r="A2093" s="172"/>
      <c r="D2093" s="56"/>
      <c r="E2093" s="204"/>
      <c r="F2093" s="205"/>
      <c r="G2093" s="206"/>
      <c r="H2093" s="207"/>
      <c r="J2093" s="76"/>
    </row>
    <row r="2094" spans="1:10">
      <c r="A2094" s="172"/>
      <c r="D2094" s="56"/>
      <c r="E2094" s="204"/>
      <c r="F2094" s="205"/>
      <c r="G2094" s="206"/>
      <c r="H2094" s="207"/>
      <c r="J2094" s="76"/>
    </row>
    <row r="2095" spans="1:10">
      <c r="A2095" s="172"/>
      <c r="D2095" s="56"/>
      <c r="E2095" s="204"/>
      <c r="F2095" s="205"/>
      <c r="G2095" s="206"/>
      <c r="H2095" s="207"/>
      <c r="J2095" s="76"/>
    </row>
    <row r="2096" spans="1:10">
      <c r="A2096" s="172"/>
      <c r="D2096" s="56"/>
      <c r="E2096" s="204"/>
      <c r="F2096" s="205"/>
      <c r="G2096" s="206"/>
      <c r="H2096" s="207"/>
      <c r="J2096" s="76"/>
    </row>
    <row r="2097" spans="1:10">
      <c r="A2097" s="172"/>
      <c r="D2097" s="56"/>
      <c r="E2097" s="204"/>
      <c r="F2097" s="205"/>
      <c r="G2097" s="206"/>
      <c r="H2097" s="207"/>
      <c r="J2097" s="76"/>
    </row>
    <row r="2098" spans="1:10">
      <c r="A2098" s="172"/>
      <c r="D2098" s="56"/>
      <c r="E2098" s="204"/>
      <c r="F2098" s="205"/>
      <c r="G2098" s="206"/>
      <c r="H2098" s="207"/>
      <c r="J2098" s="76"/>
    </row>
    <row r="2099" spans="1:10">
      <c r="A2099" s="172"/>
      <c r="D2099" s="56"/>
      <c r="E2099" s="204"/>
      <c r="F2099" s="205"/>
      <c r="G2099" s="206"/>
      <c r="H2099" s="207"/>
      <c r="J2099" s="76"/>
    </row>
    <row r="2100" spans="1:10">
      <c r="A2100" s="172"/>
      <c r="D2100" s="56"/>
      <c r="E2100" s="204"/>
      <c r="F2100" s="205"/>
      <c r="G2100" s="206"/>
      <c r="H2100" s="207"/>
      <c r="J2100" s="76"/>
    </row>
    <row r="2101" spans="1:10">
      <c r="A2101" s="172"/>
      <c r="D2101" s="56"/>
      <c r="E2101" s="204"/>
      <c r="F2101" s="205"/>
      <c r="G2101" s="206"/>
      <c r="H2101" s="207"/>
      <c r="J2101" s="76"/>
    </row>
    <row r="2102" spans="1:10">
      <c r="A2102" s="172"/>
      <c r="D2102" s="56"/>
      <c r="E2102" s="204"/>
      <c r="F2102" s="205"/>
      <c r="G2102" s="206"/>
      <c r="H2102" s="207"/>
      <c r="J2102" s="76"/>
    </row>
    <row r="2103" spans="1:10">
      <c r="A2103" s="172"/>
      <c r="D2103" s="56"/>
      <c r="E2103" s="204"/>
      <c r="F2103" s="205"/>
      <c r="G2103" s="206"/>
      <c r="H2103" s="207"/>
      <c r="J2103" s="76"/>
    </row>
    <row r="2104" spans="1:10">
      <c r="A2104" s="172"/>
      <c r="D2104" s="56"/>
      <c r="E2104" s="204"/>
      <c r="F2104" s="205"/>
      <c r="G2104" s="206"/>
      <c r="H2104" s="207"/>
      <c r="J2104" s="76"/>
    </row>
    <row r="2105" spans="1:10">
      <c r="A2105" s="172"/>
      <c r="D2105" s="56"/>
      <c r="E2105" s="204"/>
      <c r="F2105" s="205"/>
      <c r="G2105" s="206"/>
      <c r="H2105" s="207"/>
      <c r="J2105" s="76"/>
    </row>
    <row r="2106" spans="1:10">
      <c r="A2106" s="172"/>
      <c r="D2106" s="56"/>
      <c r="E2106" s="204"/>
      <c r="F2106" s="205"/>
      <c r="G2106" s="206"/>
      <c r="H2106" s="207"/>
      <c r="J2106" s="76"/>
    </row>
    <row r="2107" spans="1:10">
      <c r="A2107" s="172"/>
      <c r="D2107" s="56"/>
      <c r="E2107" s="204"/>
      <c r="F2107" s="205"/>
      <c r="G2107" s="206"/>
      <c r="H2107" s="207"/>
      <c r="J2107" s="76"/>
    </row>
    <row r="2108" spans="1:10">
      <c r="A2108" s="172"/>
      <c r="D2108" s="56"/>
      <c r="E2108" s="204"/>
      <c r="F2108" s="205"/>
      <c r="G2108" s="206"/>
      <c r="H2108" s="207"/>
      <c r="J2108" s="76"/>
    </row>
    <row r="2109" spans="1:10">
      <c r="A2109" s="172"/>
      <c r="D2109" s="56"/>
      <c r="E2109" s="204"/>
      <c r="F2109" s="205"/>
      <c r="G2109" s="206"/>
      <c r="H2109" s="207"/>
      <c r="J2109" s="76"/>
    </row>
    <row r="2110" spans="1:10">
      <c r="A2110" s="172"/>
      <c r="D2110" s="56"/>
      <c r="E2110" s="204"/>
      <c r="F2110" s="205"/>
      <c r="G2110" s="206"/>
      <c r="H2110" s="207"/>
      <c r="J2110" s="76"/>
    </row>
    <row r="2111" spans="1:10">
      <c r="A2111" s="172"/>
      <c r="D2111" s="56"/>
      <c r="E2111" s="204"/>
      <c r="F2111" s="205"/>
      <c r="G2111" s="206"/>
      <c r="H2111" s="207"/>
      <c r="J2111" s="76"/>
    </row>
    <row r="2112" spans="1:10">
      <c r="A2112" s="172"/>
      <c r="D2112" s="56"/>
      <c r="E2112" s="204"/>
      <c r="F2112" s="205"/>
      <c r="G2112" s="206"/>
      <c r="H2112" s="207"/>
      <c r="J2112" s="76"/>
    </row>
    <row r="2113" spans="1:10">
      <c r="A2113" s="172"/>
      <c r="D2113" s="56"/>
      <c r="E2113" s="204"/>
      <c r="F2113" s="205"/>
      <c r="G2113" s="206"/>
      <c r="H2113" s="207"/>
      <c r="J2113" s="76"/>
    </row>
    <row r="2114" spans="1:10">
      <c r="A2114" s="172"/>
      <c r="D2114" s="56"/>
      <c r="E2114" s="204"/>
      <c r="F2114" s="205"/>
      <c r="G2114" s="206"/>
      <c r="H2114" s="207"/>
      <c r="J2114" s="76"/>
    </row>
    <row r="2115" spans="1:10">
      <c r="A2115" s="172"/>
      <c r="D2115" s="56"/>
      <c r="E2115" s="204"/>
      <c r="F2115" s="205"/>
      <c r="G2115" s="206"/>
      <c r="H2115" s="207"/>
      <c r="J2115" s="76"/>
    </row>
    <row r="2116" spans="1:10">
      <c r="A2116" s="172"/>
      <c r="D2116" s="56"/>
      <c r="E2116" s="204"/>
      <c r="F2116" s="205"/>
      <c r="G2116" s="206"/>
      <c r="H2116" s="207"/>
      <c r="J2116" s="76"/>
    </row>
    <row r="2117" spans="1:10">
      <c r="A2117" s="172"/>
      <c r="D2117" s="56"/>
      <c r="E2117" s="204"/>
      <c r="F2117" s="205"/>
      <c r="G2117" s="206"/>
      <c r="H2117" s="207"/>
      <c r="J2117" s="76"/>
    </row>
    <row r="2118" spans="1:10">
      <c r="A2118" s="172"/>
      <c r="D2118" s="56"/>
      <c r="E2118" s="204"/>
      <c r="F2118" s="205"/>
      <c r="G2118" s="206"/>
      <c r="H2118" s="207"/>
      <c r="J2118" s="76"/>
    </row>
    <row r="2119" spans="1:10">
      <c r="A2119" s="172"/>
      <c r="D2119" s="56"/>
      <c r="E2119" s="204"/>
      <c r="F2119" s="205"/>
      <c r="G2119" s="206"/>
      <c r="H2119" s="207"/>
      <c r="J2119" s="76"/>
    </row>
    <row r="2120" spans="1:10">
      <c r="A2120" s="172"/>
      <c r="D2120" s="56"/>
      <c r="E2120" s="204"/>
      <c r="F2120" s="205"/>
      <c r="G2120" s="206"/>
      <c r="H2120" s="207"/>
      <c r="J2120" s="76"/>
    </row>
    <row r="2121" spans="1:10">
      <c r="A2121" s="172"/>
      <c r="D2121" s="56"/>
      <c r="E2121" s="204"/>
      <c r="F2121" s="205"/>
      <c r="G2121" s="206"/>
      <c r="H2121" s="207"/>
      <c r="J2121" s="76"/>
    </row>
    <row r="2122" spans="1:10">
      <c r="A2122" s="172"/>
      <c r="D2122" s="56"/>
      <c r="E2122" s="204"/>
      <c r="F2122" s="205"/>
      <c r="G2122" s="206"/>
      <c r="H2122" s="207"/>
      <c r="J2122" s="76"/>
    </row>
    <row r="2123" spans="1:10">
      <c r="A2123" s="172"/>
      <c r="D2123" s="56"/>
      <c r="E2123" s="204"/>
      <c r="F2123" s="205"/>
      <c r="G2123" s="206"/>
      <c r="H2123" s="207"/>
      <c r="J2123" s="76"/>
    </row>
    <row r="2124" spans="1:10">
      <c r="A2124" s="172"/>
      <c r="D2124" s="56"/>
      <c r="E2124" s="204"/>
      <c r="F2124" s="205"/>
      <c r="G2124" s="206"/>
      <c r="H2124" s="207"/>
      <c r="J2124" s="76"/>
    </row>
    <row r="2125" spans="1:10">
      <c r="A2125" s="172"/>
      <c r="D2125" s="56"/>
      <c r="E2125" s="204"/>
      <c r="F2125" s="205"/>
      <c r="G2125" s="206"/>
      <c r="H2125" s="207"/>
      <c r="J2125" s="76"/>
    </row>
    <row r="2126" spans="1:10">
      <c r="A2126" s="172"/>
      <c r="D2126" s="56"/>
      <c r="E2126" s="204"/>
      <c r="F2126" s="205"/>
      <c r="G2126" s="206"/>
      <c r="H2126" s="207"/>
      <c r="J2126" s="76"/>
    </row>
    <row r="2127" spans="1:10">
      <c r="A2127" s="172"/>
      <c r="D2127" s="56"/>
      <c r="E2127" s="204"/>
      <c r="F2127" s="205"/>
      <c r="G2127" s="206"/>
      <c r="H2127" s="207"/>
      <c r="J2127" s="76"/>
    </row>
    <row r="2128" spans="1:10">
      <c r="A2128" s="172"/>
      <c r="D2128" s="56"/>
      <c r="E2128" s="204"/>
      <c r="F2128" s="205"/>
      <c r="G2128" s="206"/>
      <c r="H2128" s="207"/>
      <c r="J2128" s="76"/>
    </row>
    <row r="2129" spans="1:10">
      <c r="A2129" s="172"/>
      <c r="D2129" s="56"/>
      <c r="E2129" s="204"/>
      <c r="F2129" s="205"/>
      <c r="G2129" s="206"/>
      <c r="H2129" s="207"/>
      <c r="J2129" s="76"/>
    </row>
    <row r="2130" spans="1:10">
      <c r="A2130" s="172"/>
      <c r="D2130" s="56"/>
      <c r="E2130" s="204"/>
      <c r="F2130" s="205"/>
      <c r="G2130" s="206"/>
      <c r="H2130" s="207"/>
      <c r="J2130" s="76"/>
    </row>
    <row r="2131" spans="1:10">
      <c r="A2131" s="172"/>
      <c r="D2131" s="56"/>
      <c r="E2131" s="204"/>
      <c r="F2131" s="205"/>
      <c r="G2131" s="206"/>
      <c r="H2131" s="207"/>
      <c r="J2131" s="76"/>
    </row>
    <row r="2132" spans="1:10">
      <c r="A2132" s="172"/>
      <c r="D2132" s="56"/>
      <c r="E2132" s="204"/>
      <c r="F2132" s="205"/>
      <c r="G2132" s="206"/>
      <c r="H2132" s="207"/>
      <c r="J2132" s="76"/>
    </row>
    <row r="2133" spans="1:10">
      <c r="A2133" s="172"/>
      <c r="D2133" s="56"/>
      <c r="E2133" s="204"/>
      <c r="F2133" s="205"/>
      <c r="G2133" s="206"/>
      <c r="H2133" s="207"/>
      <c r="J2133" s="76"/>
    </row>
    <row r="2134" spans="1:10">
      <c r="A2134" s="172"/>
      <c r="D2134" s="56"/>
      <c r="E2134" s="204"/>
      <c r="F2134" s="205"/>
      <c r="G2134" s="206"/>
      <c r="H2134" s="207"/>
      <c r="J2134" s="76"/>
    </row>
    <row r="2135" spans="1:10">
      <c r="A2135" s="172"/>
      <c r="D2135" s="56"/>
      <c r="E2135" s="204"/>
      <c r="F2135" s="205"/>
      <c r="G2135" s="206"/>
      <c r="H2135" s="207"/>
      <c r="J2135" s="76"/>
    </row>
    <row r="2136" spans="1:10">
      <c r="A2136" s="172"/>
      <c r="D2136" s="56"/>
      <c r="E2136" s="204"/>
      <c r="F2136" s="205"/>
      <c r="G2136" s="206"/>
      <c r="H2136" s="207"/>
      <c r="J2136" s="76"/>
    </row>
    <row r="2137" spans="1:10">
      <c r="A2137" s="172"/>
      <c r="D2137" s="56"/>
      <c r="E2137" s="204"/>
      <c r="F2137" s="205"/>
      <c r="G2137" s="206"/>
      <c r="H2137" s="207"/>
      <c r="J2137" s="76"/>
    </row>
    <row r="2138" spans="1:10">
      <c r="A2138" s="172"/>
      <c r="D2138" s="56"/>
      <c r="E2138" s="204"/>
      <c r="F2138" s="205"/>
      <c r="G2138" s="206"/>
      <c r="H2138" s="207"/>
      <c r="J2138" s="76"/>
    </row>
    <row r="2139" spans="1:10">
      <c r="A2139" s="172"/>
      <c r="D2139" s="56"/>
      <c r="E2139" s="204"/>
      <c r="F2139" s="205"/>
      <c r="G2139" s="206"/>
      <c r="H2139" s="207"/>
      <c r="J2139" s="76"/>
    </row>
    <row r="2140" spans="1:10">
      <c r="A2140" s="172"/>
      <c r="D2140" s="56"/>
      <c r="E2140" s="204"/>
      <c r="F2140" s="205"/>
      <c r="G2140" s="206"/>
      <c r="H2140" s="207"/>
      <c r="J2140" s="76"/>
    </row>
    <row r="2141" spans="1:10">
      <c r="A2141" s="172"/>
      <c r="D2141" s="56"/>
      <c r="E2141" s="204"/>
      <c r="F2141" s="205"/>
      <c r="G2141" s="206"/>
      <c r="H2141" s="207"/>
      <c r="J2141" s="76"/>
    </row>
    <row r="2142" spans="1:10">
      <c r="A2142" s="172"/>
      <c r="D2142" s="56"/>
      <c r="E2142" s="204"/>
      <c r="F2142" s="205"/>
      <c r="G2142" s="206"/>
      <c r="H2142" s="207"/>
      <c r="J2142" s="76"/>
    </row>
    <row r="2143" spans="1:10">
      <c r="A2143" s="172"/>
      <c r="D2143" s="56"/>
      <c r="E2143" s="204"/>
      <c r="F2143" s="205"/>
      <c r="G2143" s="206"/>
      <c r="H2143" s="207"/>
      <c r="J2143" s="76"/>
    </row>
    <row r="2144" spans="1:10">
      <c r="A2144" s="172"/>
      <c r="D2144" s="56"/>
      <c r="E2144" s="204"/>
      <c r="F2144" s="205"/>
      <c r="G2144" s="206"/>
      <c r="H2144" s="207"/>
      <c r="J2144" s="76"/>
    </row>
    <row r="2145" spans="1:10">
      <c r="A2145" s="172"/>
      <c r="D2145" s="56"/>
      <c r="E2145" s="204"/>
      <c r="F2145" s="205"/>
      <c r="G2145" s="206"/>
      <c r="H2145" s="207"/>
      <c r="J2145" s="76"/>
    </row>
    <row r="2146" spans="1:10">
      <c r="A2146" s="172"/>
      <c r="D2146" s="56"/>
      <c r="E2146" s="204"/>
      <c r="F2146" s="205"/>
      <c r="G2146" s="206"/>
      <c r="H2146" s="207"/>
      <c r="J2146" s="76"/>
    </row>
    <row r="2147" spans="1:10">
      <c r="A2147" s="172"/>
      <c r="D2147" s="56"/>
      <c r="E2147" s="204"/>
      <c r="F2147" s="205"/>
      <c r="G2147" s="206"/>
      <c r="H2147" s="207"/>
      <c r="J2147" s="76"/>
    </row>
    <row r="2148" spans="1:10">
      <c r="A2148" s="172"/>
      <c r="D2148" s="56"/>
      <c r="E2148" s="204"/>
      <c r="F2148" s="205"/>
      <c r="G2148" s="206"/>
      <c r="H2148" s="207"/>
      <c r="J2148" s="76"/>
    </row>
    <row r="2149" spans="1:10">
      <c r="A2149" s="172"/>
      <c r="D2149" s="56"/>
      <c r="E2149" s="204"/>
      <c r="F2149" s="205"/>
      <c r="G2149" s="206"/>
      <c r="H2149" s="207"/>
      <c r="J2149" s="76"/>
    </row>
    <row r="2150" spans="1:10">
      <c r="A2150" s="172"/>
      <c r="D2150" s="56"/>
      <c r="E2150" s="204"/>
      <c r="F2150" s="205"/>
      <c r="G2150" s="206"/>
      <c r="H2150" s="207"/>
      <c r="J2150" s="76"/>
    </row>
    <row r="2151" spans="1:10">
      <c r="A2151" s="172"/>
      <c r="D2151" s="56"/>
      <c r="E2151" s="204"/>
      <c r="F2151" s="205"/>
      <c r="G2151" s="206"/>
      <c r="H2151" s="207"/>
      <c r="J2151" s="76"/>
    </row>
    <row r="2152" spans="1:10">
      <c r="A2152" s="172"/>
      <c r="D2152" s="56"/>
      <c r="E2152" s="204"/>
      <c r="F2152" s="205"/>
      <c r="G2152" s="206"/>
      <c r="H2152" s="207"/>
      <c r="J2152" s="76"/>
    </row>
    <row r="2153" spans="1:10">
      <c r="A2153" s="172"/>
      <c r="D2153" s="56"/>
      <c r="E2153" s="204"/>
      <c r="F2153" s="205"/>
      <c r="G2153" s="206"/>
      <c r="H2153" s="207"/>
      <c r="J2153" s="76"/>
    </row>
    <row r="2154" spans="1:10">
      <c r="A2154" s="172"/>
      <c r="D2154" s="56"/>
      <c r="E2154" s="204"/>
      <c r="F2154" s="205"/>
      <c r="G2154" s="206"/>
      <c r="H2154" s="207"/>
      <c r="J2154" s="76"/>
    </row>
    <row r="2155" spans="1:10">
      <c r="A2155" s="172"/>
      <c r="D2155" s="56"/>
      <c r="E2155" s="204"/>
      <c r="F2155" s="205"/>
      <c r="G2155" s="206"/>
      <c r="H2155" s="207"/>
      <c r="J2155" s="76"/>
    </row>
    <row r="2156" spans="1:10">
      <c r="A2156" s="172"/>
      <c r="D2156" s="56"/>
      <c r="E2156" s="204"/>
      <c r="F2156" s="205"/>
      <c r="G2156" s="206"/>
      <c r="H2156" s="207"/>
      <c r="J2156" s="76"/>
    </row>
    <row r="2157" spans="1:10">
      <c r="A2157" s="172"/>
      <c r="D2157" s="56"/>
      <c r="E2157" s="204"/>
      <c r="F2157" s="205"/>
      <c r="G2157" s="206"/>
      <c r="H2157" s="207"/>
      <c r="J2157" s="76"/>
    </row>
    <row r="2158" spans="1:10">
      <c r="A2158" s="172"/>
      <c r="D2158" s="56"/>
      <c r="E2158" s="204"/>
      <c r="F2158" s="205"/>
      <c r="G2158" s="206"/>
      <c r="H2158" s="207"/>
      <c r="J2158" s="76"/>
    </row>
    <row r="2159" spans="1:10">
      <c r="A2159" s="172"/>
      <c r="D2159" s="56"/>
      <c r="E2159" s="204"/>
      <c r="F2159" s="205"/>
      <c r="G2159" s="206"/>
      <c r="H2159" s="207"/>
      <c r="J2159" s="76"/>
    </row>
    <row r="2160" spans="1:10">
      <c r="A2160" s="172"/>
      <c r="D2160" s="56"/>
      <c r="E2160" s="204"/>
      <c r="F2160" s="205"/>
      <c r="G2160" s="206"/>
      <c r="H2160" s="207"/>
      <c r="J2160" s="76"/>
    </row>
    <row r="2161" spans="1:10">
      <c r="A2161" s="172"/>
      <c r="D2161" s="56"/>
      <c r="E2161" s="204"/>
      <c r="F2161" s="205"/>
      <c r="G2161" s="206"/>
      <c r="H2161" s="207"/>
      <c r="J2161" s="76"/>
    </row>
    <row r="2162" spans="1:10">
      <c r="A2162" s="172"/>
      <c r="D2162" s="56"/>
      <c r="E2162" s="204"/>
      <c r="F2162" s="205"/>
      <c r="G2162" s="206"/>
      <c r="H2162" s="207"/>
      <c r="J2162" s="76"/>
    </row>
    <row r="2163" spans="1:10">
      <c r="A2163" s="172"/>
      <c r="D2163" s="56"/>
      <c r="E2163" s="204"/>
      <c r="F2163" s="205"/>
      <c r="G2163" s="206"/>
      <c r="H2163" s="207"/>
      <c r="J2163" s="76"/>
    </row>
    <row r="2164" spans="1:10">
      <c r="A2164" s="172"/>
      <c r="D2164" s="56"/>
      <c r="E2164" s="204"/>
      <c r="F2164" s="205"/>
      <c r="G2164" s="206"/>
      <c r="H2164" s="207"/>
      <c r="J2164" s="76"/>
    </row>
    <row r="2165" spans="1:10">
      <c r="A2165" s="172"/>
      <c r="D2165" s="56"/>
      <c r="E2165" s="204"/>
      <c r="F2165" s="205"/>
      <c r="G2165" s="206"/>
      <c r="H2165" s="207"/>
      <c r="J2165" s="76"/>
    </row>
    <row r="2166" spans="1:10">
      <c r="A2166" s="172"/>
      <c r="D2166" s="56"/>
      <c r="E2166" s="204"/>
      <c r="F2166" s="205"/>
      <c r="G2166" s="206"/>
      <c r="H2166" s="207"/>
      <c r="J2166" s="76"/>
    </row>
    <row r="2167" spans="1:10">
      <c r="A2167" s="172"/>
      <c r="D2167" s="56"/>
      <c r="E2167" s="204"/>
      <c r="F2167" s="205"/>
      <c r="G2167" s="206"/>
      <c r="H2167" s="207"/>
      <c r="J2167" s="76"/>
    </row>
    <row r="2168" spans="1:10">
      <c r="A2168" s="172"/>
      <c r="D2168" s="56"/>
      <c r="E2168" s="204"/>
      <c r="F2168" s="205"/>
      <c r="G2168" s="206"/>
      <c r="H2168" s="207"/>
      <c r="J2168" s="76"/>
    </row>
    <row r="2169" spans="1:10">
      <c r="A2169" s="172"/>
      <c r="D2169" s="56"/>
      <c r="E2169" s="204"/>
      <c r="F2169" s="205"/>
      <c r="G2169" s="206"/>
      <c r="H2169" s="207"/>
      <c r="J2169" s="76"/>
    </row>
    <row r="2170" spans="1:10">
      <c r="A2170" s="172"/>
      <c r="D2170" s="56"/>
      <c r="E2170" s="204"/>
      <c r="F2170" s="205"/>
      <c r="G2170" s="206"/>
      <c r="H2170" s="207"/>
      <c r="J2170" s="76"/>
    </row>
    <row r="2171" spans="1:10">
      <c r="A2171" s="172"/>
      <c r="D2171" s="56"/>
      <c r="E2171" s="204"/>
      <c r="F2171" s="205"/>
      <c r="G2171" s="206"/>
      <c r="H2171" s="207"/>
      <c r="J2171" s="76"/>
    </row>
    <row r="2172" spans="1:10">
      <c r="A2172" s="172"/>
      <c r="D2172" s="56"/>
      <c r="E2172" s="204"/>
      <c r="F2172" s="205"/>
      <c r="G2172" s="206"/>
      <c r="H2172" s="207"/>
      <c r="J2172" s="76"/>
    </row>
    <row r="2173" spans="1:10">
      <c r="A2173" s="172"/>
      <c r="D2173" s="56"/>
      <c r="E2173" s="204"/>
      <c r="F2173" s="205"/>
      <c r="G2173" s="206"/>
      <c r="H2173" s="207"/>
      <c r="J2173" s="76"/>
    </row>
    <row r="2174" spans="1:10">
      <c r="A2174" s="172"/>
      <c r="D2174" s="56"/>
      <c r="E2174" s="204"/>
      <c r="F2174" s="205"/>
      <c r="G2174" s="206"/>
      <c r="H2174" s="207"/>
      <c r="J2174" s="76"/>
    </row>
    <row r="2175" spans="1:10">
      <c r="A2175" s="172"/>
      <c r="D2175" s="56"/>
      <c r="E2175" s="204"/>
      <c r="F2175" s="205"/>
      <c r="G2175" s="206"/>
      <c r="H2175" s="207"/>
      <c r="J2175" s="76"/>
    </row>
    <row r="2176" spans="1:10">
      <c r="A2176" s="172"/>
      <c r="D2176" s="56"/>
      <c r="E2176" s="204"/>
      <c r="F2176" s="205"/>
      <c r="G2176" s="206"/>
      <c r="H2176" s="207"/>
      <c r="J2176" s="76"/>
    </row>
    <row r="2177" spans="1:10">
      <c r="A2177" s="172"/>
      <c r="D2177" s="56"/>
      <c r="E2177" s="204"/>
      <c r="F2177" s="205"/>
      <c r="G2177" s="206"/>
      <c r="H2177" s="207"/>
      <c r="J2177" s="76"/>
    </row>
    <row r="2178" spans="1:10">
      <c r="A2178" s="172"/>
      <c r="D2178" s="56"/>
      <c r="E2178" s="204"/>
      <c r="F2178" s="205"/>
      <c r="G2178" s="206"/>
      <c r="H2178" s="207"/>
      <c r="J2178" s="76"/>
    </row>
    <row r="2179" spans="1:10">
      <c r="A2179" s="172"/>
      <c r="D2179" s="56"/>
      <c r="E2179" s="204"/>
      <c r="F2179" s="205"/>
      <c r="G2179" s="206"/>
      <c r="H2179" s="207"/>
      <c r="J2179" s="76"/>
    </row>
    <row r="2180" spans="1:10">
      <c r="A2180" s="172"/>
      <c r="D2180" s="56"/>
      <c r="E2180" s="204"/>
      <c r="F2180" s="205"/>
      <c r="G2180" s="206"/>
      <c r="H2180" s="207"/>
      <c r="J2180" s="76"/>
    </row>
    <row r="2181" spans="1:10">
      <c r="A2181" s="172"/>
      <c r="D2181" s="56"/>
      <c r="E2181" s="204"/>
      <c r="F2181" s="205"/>
      <c r="G2181" s="206"/>
      <c r="H2181" s="207"/>
      <c r="J2181" s="76"/>
    </row>
    <row r="2182" spans="1:10">
      <c r="A2182" s="172"/>
      <c r="D2182" s="56"/>
      <c r="E2182" s="204"/>
      <c r="F2182" s="205"/>
      <c r="G2182" s="206"/>
      <c r="H2182" s="207"/>
      <c r="J2182" s="76"/>
    </row>
    <row r="2183" spans="1:10">
      <c r="A2183" s="172"/>
      <c r="D2183" s="56"/>
      <c r="E2183" s="204"/>
      <c r="F2183" s="205"/>
      <c r="G2183" s="206"/>
      <c r="H2183" s="207"/>
      <c r="J2183" s="76"/>
    </row>
    <row r="2184" spans="1:10">
      <c r="A2184" s="172"/>
      <c r="D2184" s="56"/>
      <c r="E2184" s="204"/>
      <c r="F2184" s="205"/>
      <c r="G2184" s="206"/>
      <c r="H2184" s="207"/>
      <c r="J2184" s="76"/>
    </row>
    <row r="2185" spans="1:10">
      <c r="A2185" s="172"/>
      <c r="D2185" s="56"/>
      <c r="E2185" s="204"/>
      <c r="F2185" s="205"/>
      <c r="G2185" s="206"/>
      <c r="H2185" s="207"/>
      <c r="J2185" s="76"/>
    </row>
    <row r="2186" spans="1:10">
      <c r="A2186" s="172"/>
      <c r="D2186" s="56"/>
      <c r="E2186" s="204"/>
      <c r="F2186" s="205"/>
      <c r="G2186" s="206"/>
      <c r="H2186" s="207"/>
      <c r="J2186" s="76"/>
    </row>
    <row r="2187" spans="1:10">
      <c r="A2187" s="172"/>
      <c r="D2187" s="56"/>
      <c r="E2187" s="204"/>
      <c r="F2187" s="205"/>
      <c r="G2187" s="206"/>
      <c r="H2187" s="207"/>
      <c r="J2187" s="76"/>
    </row>
    <row r="2188" spans="1:10">
      <c r="A2188" s="172"/>
      <c r="D2188" s="56"/>
      <c r="E2188" s="204"/>
      <c r="F2188" s="205"/>
      <c r="G2188" s="206"/>
      <c r="H2188" s="207"/>
      <c r="J2188" s="76"/>
    </row>
    <row r="2189" spans="1:10">
      <c r="A2189" s="172"/>
      <c r="D2189" s="56"/>
      <c r="E2189" s="204"/>
      <c r="F2189" s="205"/>
      <c r="G2189" s="206"/>
      <c r="H2189" s="207"/>
      <c r="J2189" s="76"/>
    </row>
    <row r="2190" spans="1:10">
      <c r="A2190" s="172"/>
      <c r="D2190" s="56"/>
      <c r="E2190" s="204"/>
      <c r="F2190" s="205"/>
      <c r="G2190" s="206"/>
      <c r="H2190" s="207"/>
      <c r="J2190" s="76"/>
    </row>
    <row r="2191" spans="1:10">
      <c r="A2191" s="172"/>
      <c r="D2191" s="56"/>
      <c r="E2191" s="204"/>
      <c r="F2191" s="205"/>
      <c r="G2191" s="206"/>
      <c r="H2191" s="207"/>
      <c r="J2191" s="76"/>
    </row>
    <row r="2192" spans="1:10">
      <c r="A2192" s="172"/>
      <c r="D2192" s="56"/>
      <c r="E2192" s="204"/>
      <c r="F2192" s="205"/>
      <c r="G2192" s="206"/>
      <c r="H2192" s="207"/>
      <c r="J2192" s="76"/>
    </row>
    <row r="2193" spans="1:10">
      <c r="A2193" s="172"/>
      <c r="D2193" s="56"/>
      <c r="E2193" s="204"/>
      <c r="F2193" s="205"/>
      <c r="G2193" s="206"/>
      <c r="H2193" s="207"/>
      <c r="J2193" s="76"/>
    </row>
    <row r="2194" spans="1:10">
      <c r="A2194" s="172"/>
      <c r="D2194" s="56"/>
      <c r="E2194" s="204"/>
      <c r="F2194" s="205"/>
      <c r="G2194" s="206"/>
      <c r="H2194" s="207"/>
      <c r="J2194" s="76"/>
    </row>
    <row r="2195" spans="1:10">
      <c r="A2195" s="172"/>
      <c r="D2195" s="56"/>
      <c r="E2195" s="204"/>
      <c r="F2195" s="205"/>
      <c r="G2195" s="206"/>
      <c r="H2195" s="207"/>
      <c r="J2195" s="76"/>
    </row>
    <row r="2196" spans="1:10">
      <c r="A2196" s="172"/>
      <c r="D2196" s="56"/>
      <c r="E2196" s="204"/>
      <c r="F2196" s="205"/>
      <c r="G2196" s="206"/>
      <c r="H2196" s="207"/>
      <c r="J2196" s="76"/>
    </row>
    <row r="2197" spans="1:10">
      <c r="A2197" s="172"/>
      <c r="D2197" s="56"/>
      <c r="E2197" s="204"/>
      <c r="F2197" s="205"/>
      <c r="G2197" s="206"/>
      <c r="H2197" s="207"/>
      <c r="J2197" s="76"/>
    </row>
    <row r="2198" spans="1:10">
      <c r="A2198" s="172"/>
      <c r="D2198" s="56"/>
      <c r="E2198" s="204"/>
      <c r="F2198" s="205"/>
      <c r="G2198" s="206"/>
      <c r="H2198" s="207"/>
      <c r="J2198" s="76"/>
    </row>
    <row r="2199" spans="1:10">
      <c r="A2199" s="172"/>
      <c r="D2199" s="56"/>
      <c r="E2199" s="204"/>
      <c r="F2199" s="205"/>
      <c r="G2199" s="206"/>
      <c r="H2199" s="207"/>
      <c r="J2199" s="76"/>
    </row>
    <row r="2200" spans="1:10">
      <c r="A2200" s="172"/>
      <c r="D2200" s="56"/>
      <c r="E2200" s="204"/>
      <c r="F2200" s="205"/>
      <c r="G2200" s="206"/>
      <c r="H2200" s="207"/>
      <c r="J2200" s="76"/>
    </row>
    <row r="2201" spans="1:10">
      <c r="A2201" s="172"/>
      <c r="D2201" s="56"/>
      <c r="E2201" s="204"/>
      <c r="F2201" s="205"/>
      <c r="G2201" s="206"/>
      <c r="H2201" s="207"/>
      <c r="J2201" s="76"/>
    </row>
    <row r="2202" spans="1:10">
      <c r="A2202" s="172"/>
      <c r="D2202" s="56"/>
      <c r="E2202" s="204"/>
      <c r="F2202" s="205"/>
      <c r="G2202" s="206"/>
      <c r="H2202" s="207"/>
      <c r="J2202" s="76"/>
    </row>
    <row r="2203" spans="1:10">
      <c r="A2203" s="172"/>
      <c r="D2203" s="56"/>
      <c r="E2203" s="204"/>
      <c r="F2203" s="205"/>
      <c r="G2203" s="206"/>
      <c r="H2203" s="207"/>
      <c r="J2203" s="76"/>
    </row>
    <row r="2204" spans="1:10">
      <c r="A2204" s="172"/>
      <c r="D2204" s="56"/>
      <c r="E2204" s="204"/>
      <c r="F2204" s="205"/>
      <c r="G2204" s="206"/>
      <c r="H2204" s="207"/>
      <c r="J2204" s="76"/>
    </row>
    <row r="2205" spans="1:10">
      <c r="A2205" s="172"/>
      <c r="D2205" s="56"/>
      <c r="E2205" s="204"/>
      <c r="F2205" s="205"/>
      <c r="G2205" s="206"/>
      <c r="H2205" s="207"/>
      <c r="J2205" s="76"/>
    </row>
    <row r="2206" spans="1:10">
      <c r="A2206" s="172"/>
      <c r="D2206" s="56"/>
      <c r="E2206" s="204"/>
      <c r="F2206" s="205"/>
      <c r="G2206" s="206"/>
      <c r="H2206" s="207"/>
      <c r="J2206" s="76"/>
    </row>
    <row r="2207" spans="1:10">
      <c r="A2207" s="172"/>
      <c r="D2207" s="56"/>
      <c r="E2207" s="204"/>
      <c r="F2207" s="205"/>
      <c r="G2207" s="206"/>
      <c r="H2207" s="207"/>
      <c r="J2207" s="76"/>
    </row>
    <row r="2208" spans="1:10">
      <c r="A2208" s="172"/>
      <c r="D2208" s="56"/>
      <c r="E2208" s="204"/>
      <c r="F2208" s="205"/>
      <c r="G2208" s="206"/>
      <c r="H2208" s="207"/>
      <c r="J2208" s="76"/>
    </row>
    <row r="2209" spans="1:10">
      <c r="A2209" s="172"/>
      <c r="D2209" s="56"/>
      <c r="E2209" s="204"/>
      <c r="F2209" s="205"/>
      <c r="G2209" s="206"/>
      <c r="H2209" s="207"/>
      <c r="J2209" s="76"/>
    </row>
    <row r="2210" spans="1:10">
      <c r="A2210" s="172"/>
      <c r="D2210" s="56"/>
      <c r="E2210" s="204"/>
      <c r="F2210" s="205"/>
      <c r="G2210" s="206"/>
      <c r="H2210" s="207"/>
      <c r="J2210" s="76"/>
    </row>
    <row r="2211" spans="1:10">
      <c r="A2211" s="172"/>
      <c r="D2211" s="56"/>
      <c r="E2211" s="204"/>
      <c r="F2211" s="205"/>
      <c r="G2211" s="206"/>
      <c r="H2211" s="207"/>
      <c r="J2211" s="76"/>
    </row>
    <row r="2212" spans="1:10">
      <c r="A2212" s="172"/>
      <c r="D2212" s="56"/>
      <c r="E2212" s="204"/>
      <c r="F2212" s="205"/>
      <c r="G2212" s="206"/>
      <c r="H2212" s="207"/>
      <c r="J2212" s="76"/>
    </row>
    <row r="2213" spans="1:10">
      <c r="A2213" s="172"/>
      <c r="D2213" s="56"/>
      <c r="E2213" s="204"/>
      <c r="F2213" s="205"/>
      <c r="G2213" s="206"/>
      <c r="H2213" s="207"/>
      <c r="J2213" s="76"/>
    </row>
    <row r="2214" spans="1:10">
      <c r="A2214" s="172"/>
      <c r="D2214" s="56"/>
      <c r="E2214" s="204"/>
      <c r="F2214" s="205"/>
      <c r="G2214" s="206"/>
      <c r="H2214" s="207"/>
      <c r="J2214" s="76"/>
    </row>
    <row r="2215" spans="1:10">
      <c r="A2215" s="172"/>
      <c r="D2215" s="56"/>
      <c r="E2215" s="204"/>
      <c r="F2215" s="205"/>
      <c r="G2215" s="206"/>
      <c r="H2215" s="207"/>
      <c r="J2215" s="76"/>
    </row>
    <row r="2216" spans="1:10">
      <c r="A2216" s="172"/>
      <c r="D2216" s="56"/>
      <c r="E2216" s="204"/>
      <c r="F2216" s="205"/>
      <c r="G2216" s="206"/>
      <c r="H2216" s="207"/>
      <c r="J2216" s="76"/>
    </row>
    <row r="2217" spans="1:10">
      <c r="A2217" s="172"/>
      <c r="D2217" s="56"/>
      <c r="E2217" s="204"/>
      <c r="F2217" s="205"/>
      <c r="G2217" s="206"/>
      <c r="H2217" s="207"/>
      <c r="J2217" s="76"/>
    </row>
    <row r="2218" spans="1:10">
      <c r="A2218" s="172"/>
      <c r="D2218" s="56"/>
      <c r="E2218" s="204"/>
      <c r="F2218" s="205"/>
      <c r="G2218" s="206"/>
      <c r="H2218" s="207"/>
      <c r="J2218" s="76"/>
    </row>
    <row r="2219" spans="1:10">
      <c r="A2219" s="172"/>
      <c r="D2219" s="56"/>
      <c r="E2219" s="204"/>
      <c r="F2219" s="205"/>
      <c r="G2219" s="206"/>
      <c r="H2219" s="207"/>
      <c r="J2219" s="76"/>
    </row>
    <row r="2220" spans="1:10">
      <c r="A2220" s="172"/>
      <c r="D2220" s="56"/>
      <c r="E2220" s="204"/>
      <c r="F2220" s="205"/>
      <c r="G2220" s="206"/>
      <c r="H2220" s="207"/>
      <c r="J2220" s="76"/>
    </row>
    <row r="2221" spans="1:10">
      <c r="A2221" s="172"/>
      <c r="D2221" s="56"/>
      <c r="E2221" s="204"/>
      <c r="F2221" s="205"/>
      <c r="G2221" s="206"/>
      <c r="H2221" s="207"/>
      <c r="J2221" s="76"/>
    </row>
    <row r="2222" spans="1:10">
      <c r="A2222" s="172"/>
      <c r="D2222" s="56"/>
      <c r="E2222" s="204"/>
      <c r="F2222" s="205"/>
      <c r="G2222" s="206"/>
      <c r="H2222" s="207"/>
      <c r="J2222" s="76"/>
    </row>
    <row r="2223" spans="1:10">
      <c r="A2223" s="172"/>
      <c r="D2223" s="56"/>
      <c r="E2223" s="204"/>
      <c r="F2223" s="205"/>
      <c r="G2223" s="206"/>
      <c r="H2223" s="207"/>
      <c r="J2223" s="76"/>
    </row>
    <row r="2224" spans="1:10">
      <c r="A2224" s="172"/>
      <c r="D2224" s="56"/>
      <c r="E2224" s="204"/>
      <c r="F2224" s="205"/>
      <c r="G2224" s="206"/>
      <c r="H2224" s="207"/>
      <c r="J2224" s="76"/>
    </row>
    <row r="2225" spans="1:10">
      <c r="A2225" s="172"/>
      <c r="D2225" s="56"/>
      <c r="E2225" s="204"/>
      <c r="F2225" s="205"/>
      <c r="G2225" s="206"/>
      <c r="H2225" s="207"/>
      <c r="J2225" s="76"/>
    </row>
    <row r="2226" spans="1:10">
      <c r="A2226" s="172"/>
      <c r="D2226" s="56"/>
      <c r="E2226" s="204"/>
      <c r="F2226" s="205"/>
      <c r="G2226" s="206"/>
      <c r="H2226" s="207"/>
      <c r="J2226" s="76"/>
    </row>
    <row r="2227" spans="1:10">
      <c r="A2227" s="172"/>
      <c r="D2227" s="56"/>
      <c r="E2227" s="204"/>
      <c r="F2227" s="205"/>
      <c r="G2227" s="206"/>
      <c r="H2227" s="207"/>
      <c r="J2227" s="76"/>
    </row>
    <row r="2228" spans="1:10">
      <c r="A2228" s="172"/>
      <c r="D2228" s="56"/>
      <c r="E2228" s="204"/>
      <c r="F2228" s="205"/>
      <c r="G2228" s="206"/>
      <c r="H2228" s="207"/>
      <c r="J2228" s="76"/>
    </row>
    <row r="2229" spans="1:10">
      <c r="A2229" s="172"/>
      <c r="D2229" s="56"/>
      <c r="E2229" s="204"/>
      <c r="F2229" s="205"/>
      <c r="G2229" s="206"/>
      <c r="H2229" s="207"/>
      <c r="J2229" s="76"/>
    </row>
    <row r="2230" spans="1:10">
      <c r="A2230" s="172"/>
      <c r="D2230" s="56"/>
      <c r="E2230" s="204"/>
      <c r="F2230" s="205"/>
      <c r="G2230" s="206"/>
      <c r="H2230" s="207"/>
      <c r="J2230" s="76"/>
    </row>
    <row r="2231" spans="1:10">
      <c r="A2231" s="172"/>
      <c r="D2231" s="56"/>
      <c r="E2231" s="204"/>
      <c r="F2231" s="205"/>
      <c r="G2231" s="206"/>
      <c r="H2231" s="207"/>
      <c r="J2231" s="76"/>
    </row>
    <row r="2232" spans="1:10">
      <c r="A2232" s="172"/>
      <c r="D2232" s="56"/>
      <c r="E2232" s="204"/>
      <c r="F2232" s="205"/>
      <c r="G2232" s="206"/>
      <c r="H2232" s="207"/>
      <c r="J2232" s="76"/>
    </row>
    <row r="2233" spans="1:10">
      <c r="A2233" s="172"/>
      <c r="D2233" s="56"/>
      <c r="E2233" s="204"/>
      <c r="F2233" s="205"/>
      <c r="G2233" s="206"/>
      <c r="H2233" s="207"/>
      <c r="J2233" s="76"/>
    </row>
    <row r="2234" spans="1:10">
      <c r="A2234" s="172"/>
      <c r="D2234" s="56"/>
      <c r="E2234" s="204"/>
      <c r="F2234" s="205"/>
      <c r="G2234" s="206"/>
      <c r="H2234" s="207"/>
      <c r="J2234" s="76"/>
    </row>
    <row r="2235" spans="1:10">
      <c r="A2235" s="172"/>
      <c r="D2235" s="56"/>
      <c r="E2235" s="204"/>
      <c r="F2235" s="205"/>
      <c r="G2235" s="206"/>
      <c r="H2235" s="207"/>
      <c r="J2235" s="76"/>
    </row>
    <row r="2236" spans="1:10">
      <c r="A2236" s="172"/>
      <c r="D2236" s="56"/>
      <c r="E2236" s="204"/>
      <c r="F2236" s="205"/>
      <c r="G2236" s="206"/>
      <c r="H2236" s="207"/>
      <c r="J2236" s="76"/>
    </row>
    <row r="2237" spans="1:10">
      <c r="A2237" s="172"/>
      <c r="D2237" s="56"/>
      <c r="E2237" s="204"/>
      <c r="F2237" s="205"/>
      <c r="G2237" s="206"/>
      <c r="H2237" s="207"/>
      <c r="J2237" s="76"/>
    </row>
    <row r="2238" spans="1:10">
      <c r="A2238" s="172"/>
      <c r="D2238" s="56"/>
      <c r="E2238" s="204"/>
      <c r="F2238" s="205"/>
      <c r="G2238" s="206"/>
      <c r="H2238" s="207"/>
      <c r="J2238" s="76"/>
    </row>
    <row r="2239" spans="1:10">
      <c r="A2239" s="172"/>
      <c r="D2239" s="56"/>
      <c r="E2239" s="204"/>
      <c r="F2239" s="205"/>
      <c r="G2239" s="206"/>
      <c r="H2239" s="207"/>
      <c r="J2239" s="76"/>
    </row>
    <row r="2240" spans="1:10">
      <c r="A2240" s="172"/>
      <c r="D2240" s="56"/>
      <c r="E2240" s="204"/>
      <c r="F2240" s="205"/>
      <c r="G2240" s="206"/>
      <c r="H2240" s="207"/>
      <c r="J2240" s="76"/>
    </row>
    <row r="2241" spans="1:10">
      <c r="A2241" s="172"/>
      <c r="D2241" s="56"/>
      <c r="E2241" s="204"/>
      <c r="F2241" s="205"/>
      <c r="G2241" s="206"/>
      <c r="H2241" s="207"/>
      <c r="J2241" s="76"/>
    </row>
    <row r="2242" spans="1:10">
      <c r="A2242" s="172"/>
      <c r="D2242" s="56"/>
      <c r="E2242" s="204"/>
      <c r="F2242" s="205"/>
      <c r="G2242" s="206"/>
      <c r="H2242" s="207"/>
      <c r="J2242" s="76"/>
    </row>
    <row r="2243" spans="1:10">
      <c r="A2243" s="172"/>
      <c r="D2243" s="56"/>
      <c r="E2243" s="204"/>
      <c r="F2243" s="205"/>
      <c r="G2243" s="206"/>
      <c r="H2243" s="207"/>
      <c r="J2243" s="76"/>
    </row>
    <row r="2244" spans="1:10">
      <c r="A2244" s="172"/>
      <c r="D2244" s="56"/>
      <c r="E2244" s="204"/>
      <c r="F2244" s="205"/>
      <c r="G2244" s="206"/>
      <c r="H2244" s="207"/>
      <c r="J2244" s="76"/>
    </row>
    <row r="2245" spans="1:10">
      <c r="A2245" s="172"/>
      <c r="D2245" s="56"/>
      <c r="E2245" s="204"/>
      <c r="F2245" s="205"/>
      <c r="G2245" s="206"/>
      <c r="H2245" s="207"/>
      <c r="J2245" s="76"/>
    </row>
    <row r="2246" spans="1:10">
      <c r="A2246" s="172"/>
      <c r="D2246" s="56"/>
      <c r="E2246" s="204"/>
      <c r="F2246" s="205"/>
      <c r="G2246" s="206"/>
      <c r="H2246" s="207"/>
      <c r="J2246" s="76"/>
    </row>
    <row r="2247" spans="1:10">
      <c r="A2247" s="172"/>
      <c r="D2247" s="56"/>
      <c r="E2247" s="204"/>
      <c r="F2247" s="205"/>
      <c r="G2247" s="206"/>
      <c r="H2247" s="207"/>
      <c r="J2247" s="76"/>
    </row>
    <row r="2248" spans="1:10">
      <c r="A2248" s="172"/>
      <c r="D2248" s="56"/>
      <c r="E2248" s="204"/>
      <c r="F2248" s="205"/>
      <c r="G2248" s="206"/>
      <c r="H2248" s="207"/>
      <c r="J2248" s="76"/>
    </row>
    <row r="2249" spans="1:10">
      <c r="A2249" s="172"/>
      <c r="D2249" s="56"/>
      <c r="E2249" s="204"/>
      <c r="F2249" s="205"/>
      <c r="G2249" s="206"/>
      <c r="H2249" s="207"/>
      <c r="J2249" s="76"/>
    </row>
    <row r="2250" spans="1:10">
      <c r="A2250" s="172"/>
      <c r="D2250" s="56"/>
      <c r="E2250" s="204"/>
      <c r="F2250" s="205"/>
      <c r="G2250" s="206"/>
      <c r="H2250" s="207"/>
      <c r="J2250" s="76"/>
    </row>
    <row r="2251" spans="1:10">
      <c r="A2251" s="172"/>
      <c r="D2251" s="56"/>
      <c r="E2251" s="204"/>
      <c r="F2251" s="205"/>
      <c r="G2251" s="206"/>
      <c r="H2251" s="207"/>
      <c r="J2251" s="76"/>
    </row>
    <row r="2252" spans="1:10">
      <c r="A2252" s="172"/>
      <c r="D2252" s="56"/>
      <c r="E2252" s="204"/>
      <c r="F2252" s="205"/>
      <c r="G2252" s="206"/>
      <c r="H2252" s="207"/>
      <c r="J2252" s="76"/>
    </row>
    <row r="2253" spans="1:10">
      <c r="A2253" s="172"/>
      <c r="D2253" s="56"/>
      <c r="E2253" s="204"/>
      <c r="F2253" s="205"/>
      <c r="G2253" s="206"/>
      <c r="H2253" s="207"/>
      <c r="J2253" s="76"/>
    </row>
    <row r="2254" spans="1:10">
      <c r="A2254" s="172"/>
      <c r="D2254" s="56"/>
      <c r="E2254" s="204"/>
      <c r="F2254" s="205"/>
      <c r="G2254" s="206"/>
      <c r="H2254" s="207"/>
      <c r="J2254" s="76"/>
    </row>
    <row r="2255" spans="1:10">
      <c r="A2255" s="172"/>
      <c r="D2255" s="56"/>
      <c r="E2255" s="204"/>
      <c r="F2255" s="205"/>
      <c r="G2255" s="206"/>
      <c r="H2255" s="207"/>
      <c r="J2255" s="76"/>
    </row>
    <row r="2256" spans="1:10">
      <c r="A2256" s="172"/>
      <c r="D2256" s="56"/>
      <c r="E2256" s="204"/>
      <c r="F2256" s="205"/>
      <c r="G2256" s="206"/>
      <c r="H2256" s="207"/>
      <c r="J2256" s="76"/>
    </row>
    <row r="2257" spans="1:10">
      <c r="A2257" s="172"/>
      <c r="D2257" s="56"/>
      <c r="E2257" s="204"/>
      <c r="F2257" s="205"/>
      <c r="G2257" s="206"/>
      <c r="H2257" s="207"/>
      <c r="J2257" s="76"/>
    </row>
    <row r="2258" spans="1:10">
      <c r="A2258" s="172"/>
      <c r="D2258" s="56"/>
      <c r="E2258" s="204"/>
      <c r="F2258" s="205"/>
      <c r="G2258" s="206"/>
      <c r="H2258" s="207"/>
      <c r="J2258" s="76"/>
    </row>
    <row r="2259" spans="1:10">
      <c r="A2259" s="172"/>
      <c r="D2259" s="56"/>
      <c r="E2259" s="204"/>
      <c r="F2259" s="205"/>
      <c r="G2259" s="206"/>
      <c r="H2259" s="207"/>
      <c r="J2259" s="76"/>
    </row>
    <row r="2260" spans="1:10">
      <c r="A2260" s="172"/>
      <c r="D2260" s="56"/>
      <c r="E2260" s="204"/>
      <c r="F2260" s="205"/>
      <c r="G2260" s="206"/>
      <c r="H2260" s="207"/>
      <c r="J2260" s="76"/>
    </row>
    <row r="2261" spans="1:10">
      <c r="A2261" s="172"/>
      <c r="D2261" s="56"/>
      <c r="E2261" s="204"/>
      <c r="F2261" s="205"/>
      <c r="G2261" s="206"/>
      <c r="H2261" s="207"/>
      <c r="J2261" s="76"/>
    </row>
    <row r="2262" spans="1:10">
      <c r="A2262" s="172"/>
      <c r="D2262" s="56"/>
      <c r="E2262" s="204"/>
      <c r="F2262" s="205"/>
      <c r="G2262" s="206"/>
      <c r="H2262" s="207"/>
      <c r="J2262" s="76"/>
    </row>
    <row r="2263" spans="1:10">
      <c r="A2263" s="172"/>
      <c r="D2263" s="56"/>
      <c r="E2263" s="204"/>
      <c r="F2263" s="205"/>
      <c r="G2263" s="206"/>
      <c r="H2263" s="207"/>
      <c r="J2263" s="76"/>
    </row>
    <row r="2264" spans="1:10">
      <c r="A2264" s="172"/>
      <c r="D2264" s="56"/>
      <c r="E2264" s="204"/>
      <c r="F2264" s="205"/>
      <c r="G2264" s="206"/>
      <c r="H2264" s="207"/>
      <c r="J2264" s="76"/>
    </row>
    <row r="2265" spans="1:10">
      <c r="A2265" s="172"/>
      <c r="D2265" s="56"/>
      <c r="E2265" s="204"/>
      <c r="F2265" s="205"/>
      <c r="G2265" s="206"/>
      <c r="H2265" s="207"/>
      <c r="J2265" s="76"/>
    </row>
    <row r="2266" spans="1:10">
      <c r="A2266" s="172"/>
      <c r="D2266" s="56"/>
      <c r="E2266" s="204"/>
      <c r="F2266" s="205"/>
      <c r="G2266" s="206"/>
      <c r="H2266" s="207"/>
      <c r="J2266" s="76"/>
    </row>
    <row r="2267" spans="1:10">
      <c r="A2267" s="172"/>
      <c r="D2267" s="56"/>
      <c r="E2267" s="204"/>
      <c r="F2267" s="205"/>
      <c r="G2267" s="206"/>
      <c r="H2267" s="207"/>
      <c r="J2267" s="76"/>
    </row>
    <row r="2268" spans="1:10">
      <c r="A2268" s="172"/>
      <c r="D2268" s="56"/>
      <c r="E2268" s="204"/>
      <c r="F2268" s="205"/>
      <c r="G2268" s="206"/>
      <c r="H2268" s="207"/>
      <c r="J2268" s="76"/>
    </row>
    <row r="2269" spans="1:10">
      <c r="A2269" s="172"/>
      <c r="D2269" s="56"/>
      <c r="E2269" s="204"/>
      <c r="F2269" s="205"/>
      <c r="G2269" s="206"/>
      <c r="H2269" s="207"/>
      <c r="J2269" s="76"/>
    </row>
    <row r="2270" spans="1:10">
      <c r="A2270" s="172"/>
      <c r="D2270" s="56"/>
      <c r="E2270" s="204"/>
      <c r="F2270" s="205"/>
      <c r="G2270" s="206"/>
      <c r="H2270" s="207"/>
      <c r="J2270" s="76"/>
    </row>
    <row r="2271" spans="1:10">
      <c r="A2271" s="172"/>
      <c r="D2271" s="56"/>
      <c r="E2271" s="204"/>
      <c r="F2271" s="205"/>
      <c r="G2271" s="206"/>
      <c r="H2271" s="207"/>
      <c r="J2271" s="76"/>
    </row>
    <row r="2272" spans="1:10">
      <c r="A2272" s="172"/>
      <c r="D2272" s="56"/>
      <c r="E2272" s="204"/>
      <c r="F2272" s="205"/>
      <c r="G2272" s="206"/>
      <c r="H2272" s="207"/>
      <c r="J2272" s="76"/>
    </row>
    <row r="2273" spans="1:10">
      <c r="A2273" s="172"/>
      <c r="D2273" s="56"/>
      <c r="E2273" s="204"/>
      <c r="F2273" s="205"/>
      <c r="G2273" s="206"/>
      <c r="H2273" s="207"/>
      <c r="J2273" s="76"/>
    </row>
    <row r="2274" spans="1:10">
      <c r="A2274" s="172"/>
      <c r="D2274" s="56"/>
      <c r="E2274" s="204"/>
      <c r="F2274" s="205"/>
      <c r="G2274" s="206"/>
      <c r="H2274" s="207"/>
      <c r="J2274" s="76"/>
    </row>
    <row r="2275" spans="1:10">
      <c r="A2275" s="172"/>
      <c r="D2275" s="56"/>
      <c r="E2275" s="204"/>
      <c r="F2275" s="205"/>
      <c r="G2275" s="206"/>
      <c r="H2275" s="207"/>
      <c r="J2275" s="76"/>
    </row>
    <row r="2276" spans="1:10">
      <c r="A2276" s="172"/>
      <c r="D2276" s="56"/>
      <c r="E2276" s="204"/>
      <c r="F2276" s="205"/>
      <c r="G2276" s="206"/>
      <c r="H2276" s="207"/>
      <c r="J2276" s="76"/>
    </row>
    <row r="2277" spans="1:10">
      <c r="A2277" s="172"/>
      <c r="D2277" s="56"/>
      <c r="E2277" s="204"/>
      <c r="F2277" s="205"/>
      <c r="G2277" s="206"/>
      <c r="H2277" s="207"/>
      <c r="J2277" s="76"/>
    </row>
    <row r="2278" spans="1:10">
      <c r="A2278" s="172"/>
      <c r="D2278" s="56"/>
      <c r="E2278" s="204"/>
      <c r="F2278" s="205"/>
      <c r="G2278" s="206"/>
      <c r="H2278" s="207"/>
      <c r="J2278" s="76"/>
    </row>
    <row r="2279" spans="1:10">
      <c r="A2279" s="172"/>
      <c r="D2279" s="56"/>
      <c r="E2279" s="204"/>
      <c r="F2279" s="205"/>
      <c r="G2279" s="206"/>
      <c r="H2279" s="207"/>
      <c r="J2279" s="76"/>
    </row>
    <row r="2280" spans="1:10">
      <c r="A2280" s="172"/>
      <c r="D2280" s="56"/>
      <c r="E2280" s="204"/>
      <c r="F2280" s="205"/>
      <c r="G2280" s="206"/>
      <c r="H2280" s="207"/>
      <c r="J2280" s="76"/>
    </row>
    <row r="2281" spans="1:10">
      <c r="A2281" s="172"/>
      <c r="D2281" s="56"/>
      <c r="E2281" s="204"/>
      <c r="F2281" s="205"/>
      <c r="G2281" s="206"/>
      <c r="H2281" s="207"/>
      <c r="J2281" s="76"/>
    </row>
    <row r="2282" spans="1:10">
      <c r="A2282" s="172"/>
      <c r="D2282" s="56"/>
      <c r="E2282" s="204"/>
      <c r="F2282" s="205"/>
      <c r="G2282" s="206"/>
      <c r="H2282" s="207"/>
      <c r="J2282" s="76"/>
    </row>
    <row r="2283" spans="1:10">
      <c r="A2283" s="172"/>
      <c r="D2283" s="56"/>
      <c r="E2283" s="204"/>
      <c r="F2283" s="205"/>
      <c r="G2283" s="206"/>
      <c r="H2283" s="207"/>
      <c r="J2283" s="76"/>
    </row>
    <row r="2284" spans="1:10">
      <c r="A2284" s="172"/>
      <c r="D2284" s="56"/>
      <c r="E2284" s="204"/>
      <c r="F2284" s="205"/>
      <c r="G2284" s="206"/>
      <c r="H2284" s="207"/>
      <c r="J2284" s="76"/>
    </row>
    <row r="2285" spans="1:10">
      <c r="A2285" s="172"/>
      <c r="D2285" s="56"/>
      <c r="E2285" s="204"/>
      <c r="F2285" s="205"/>
      <c r="G2285" s="206"/>
      <c r="H2285" s="207"/>
      <c r="J2285" s="76"/>
    </row>
    <row r="2286" spans="1:10">
      <c r="A2286" s="172"/>
      <c r="D2286" s="56"/>
      <c r="E2286" s="204"/>
      <c r="F2286" s="205"/>
      <c r="G2286" s="206"/>
      <c r="H2286" s="207"/>
      <c r="J2286" s="76"/>
    </row>
    <row r="2287" spans="1:10">
      <c r="A2287" s="172"/>
      <c r="D2287" s="56"/>
      <c r="E2287" s="204"/>
      <c r="F2287" s="205"/>
      <c r="G2287" s="206"/>
      <c r="H2287" s="207"/>
      <c r="J2287" s="76"/>
    </row>
    <row r="2288" spans="1:10">
      <c r="A2288" s="172"/>
      <c r="D2288" s="56"/>
      <c r="E2288" s="204"/>
      <c r="F2288" s="205"/>
      <c r="G2288" s="206"/>
      <c r="H2288" s="207"/>
      <c r="J2288" s="76"/>
    </row>
    <row r="2289" spans="1:10">
      <c r="A2289" s="172"/>
      <c r="D2289" s="56"/>
      <c r="E2289" s="204"/>
      <c r="F2289" s="205"/>
      <c r="G2289" s="206"/>
      <c r="H2289" s="207"/>
      <c r="J2289" s="76"/>
    </row>
    <row r="2290" spans="1:10">
      <c r="A2290" s="172"/>
      <c r="D2290" s="56"/>
      <c r="E2290" s="204"/>
      <c r="F2290" s="205"/>
      <c r="G2290" s="206"/>
      <c r="H2290" s="207"/>
      <c r="J2290" s="76"/>
    </row>
    <row r="2291" spans="1:10">
      <c r="A2291" s="172"/>
      <c r="D2291" s="56"/>
      <c r="E2291" s="204"/>
      <c r="F2291" s="205"/>
      <c r="G2291" s="206"/>
      <c r="H2291" s="207"/>
      <c r="J2291" s="76"/>
    </row>
    <row r="2292" spans="1:10">
      <c r="A2292" s="172"/>
      <c r="D2292" s="56"/>
      <c r="E2292" s="204"/>
      <c r="F2292" s="205"/>
      <c r="G2292" s="206"/>
      <c r="H2292" s="207"/>
      <c r="J2292" s="76"/>
    </row>
    <row r="2293" spans="1:10">
      <c r="A2293" s="172"/>
      <c r="D2293" s="56"/>
      <c r="E2293" s="204"/>
      <c r="F2293" s="205"/>
      <c r="G2293" s="206"/>
      <c r="H2293" s="207"/>
      <c r="J2293" s="76"/>
    </row>
    <row r="2294" spans="1:10">
      <c r="A2294" s="172"/>
      <c r="D2294" s="56"/>
      <c r="E2294" s="204"/>
      <c r="F2294" s="205"/>
      <c r="G2294" s="206"/>
      <c r="H2294" s="207"/>
      <c r="J2294" s="76"/>
    </row>
    <row r="2295" spans="1:10">
      <c r="A2295" s="172"/>
      <c r="D2295" s="56"/>
      <c r="E2295" s="204"/>
      <c r="F2295" s="205"/>
      <c r="G2295" s="206"/>
      <c r="H2295" s="207"/>
      <c r="J2295" s="76"/>
    </row>
    <row r="2296" spans="1:10">
      <c r="A2296" s="172"/>
      <c r="D2296" s="56"/>
      <c r="E2296" s="204"/>
      <c r="F2296" s="205"/>
      <c r="G2296" s="206"/>
      <c r="H2296" s="207"/>
      <c r="J2296" s="76"/>
    </row>
    <row r="2297" spans="1:10">
      <c r="A2297" s="172"/>
      <c r="D2297" s="56"/>
      <c r="E2297" s="204"/>
      <c r="F2297" s="205"/>
      <c r="G2297" s="206"/>
      <c r="H2297" s="207"/>
      <c r="J2297" s="76"/>
    </row>
    <row r="2298" spans="1:10">
      <c r="A2298" s="172"/>
      <c r="D2298" s="56"/>
      <c r="E2298" s="204"/>
      <c r="F2298" s="205"/>
      <c r="G2298" s="206"/>
      <c r="H2298" s="207"/>
      <c r="J2298" s="76"/>
    </row>
    <row r="2299" spans="1:10">
      <c r="A2299" s="172"/>
      <c r="D2299" s="56"/>
      <c r="E2299" s="204"/>
      <c r="F2299" s="205"/>
      <c r="G2299" s="206"/>
      <c r="H2299" s="207"/>
      <c r="J2299" s="76"/>
    </row>
    <row r="2300" spans="1:10">
      <c r="A2300" s="172"/>
      <c r="D2300" s="56"/>
      <c r="E2300" s="204"/>
      <c r="F2300" s="205"/>
      <c r="G2300" s="206"/>
      <c r="H2300" s="207"/>
      <c r="J2300" s="76"/>
    </row>
    <row r="2301" spans="1:10">
      <c r="A2301" s="172"/>
      <c r="D2301" s="56"/>
      <c r="E2301" s="204"/>
      <c r="F2301" s="205"/>
      <c r="G2301" s="206"/>
      <c r="H2301" s="207"/>
      <c r="J2301" s="76"/>
    </row>
    <row r="2302" spans="1:10">
      <c r="A2302" s="172"/>
      <c r="D2302" s="56"/>
      <c r="E2302" s="204"/>
      <c r="F2302" s="205"/>
      <c r="G2302" s="206"/>
      <c r="H2302" s="207"/>
      <c r="J2302" s="76"/>
    </row>
    <row r="2303" spans="1:10">
      <c r="A2303" s="172"/>
      <c r="D2303" s="56"/>
      <c r="E2303" s="204"/>
      <c r="F2303" s="205"/>
      <c r="G2303" s="206"/>
      <c r="H2303" s="207"/>
      <c r="J2303" s="76"/>
    </row>
    <row r="2304" spans="1:10">
      <c r="A2304" s="172"/>
      <c r="D2304" s="56"/>
      <c r="E2304" s="204"/>
      <c r="F2304" s="205"/>
      <c r="G2304" s="206"/>
      <c r="H2304" s="207"/>
      <c r="J2304" s="76"/>
    </row>
    <row r="2305" spans="1:10">
      <c r="A2305" s="172"/>
      <c r="D2305" s="56"/>
      <c r="E2305" s="204"/>
      <c r="F2305" s="205"/>
      <c r="G2305" s="206"/>
      <c r="H2305" s="207"/>
      <c r="J2305" s="76"/>
    </row>
    <row r="2306" spans="1:10">
      <c r="A2306" s="172"/>
      <c r="D2306" s="56"/>
      <c r="E2306" s="204"/>
      <c r="F2306" s="205"/>
      <c r="G2306" s="206"/>
      <c r="H2306" s="207"/>
      <c r="J2306" s="76"/>
    </row>
    <row r="2307" spans="1:10">
      <c r="A2307" s="172"/>
      <c r="D2307" s="56"/>
      <c r="E2307" s="204"/>
      <c r="F2307" s="205"/>
      <c r="G2307" s="206"/>
      <c r="H2307" s="207"/>
      <c r="J2307" s="76"/>
    </row>
    <row r="2308" spans="1:10">
      <c r="A2308" s="172"/>
      <c r="D2308" s="56"/>
      <c r="E2308" s="204"/>
      <c r="F2308" s="205"/>
      <c r="G2308" s="206"/>
      <c r="H2308" s="207"/>
      <c r="J2308" s="76"/>
    </row>
    <row r="2309" spans="1:10">
      <c r="A2309" s="172"/>
      <c r="D2309" s="56"/>
      <c r="E2309" s="204"/>
      <c r="F2309" s="205"/>
      <c r="G2309" s="206"/>
      <c r="H2309" s="207"/>
      <c r="J2309" s="76"/>
    </row>
    <row r="2310" spans="1:10">
      <c r="A2310" s="172"/>
      <c r="D2310" s="56"/>
      <c r="E2310" s="204"/>
      <c r="F2310" s="205"/>
      <c r="G2310" s="206"/>
      <c r="H2310" s="207"/>
      <c r="J2310" s="76"/>
    </row>
    <row r="2311" spans="1:10">
      <c r="A2311" s="172"/>
      <c r="D2311" s="56"/>
      <c r="E2311" s="204"/>
      <c r="F2311" s="205"/>
      <c r="G2311" s="206"/>
      <c r="H2311" s="207"/>
      <c r="J2311" s="76"/>
    </row>
    <row r="2312" spans="1:10">
      <c r="A2312" s="172"/>
      <c r="D2312" s="56"/>
      <c r="E2312" s="204"/>
      <c r="F2312" s="205"/>
      <c r="G2312" s="206"/>
      <c r="H2312" s="207"/>
      <c r="J2312" s="76"/>
    </row>
    <row r="2313" spans="1:10">
      <c r="A2313" s="172"/>
      <c r="D2313" s="56"/>
      <c r="E2313" s="204"/>
      <c r="F2313" s="205"/>
      <c r="G2313" s="206"/>
      <c r="H2313" s="207"/>
      <c r="J2313" s="76"/>
    </row>
    <row r="2314" spans="1:10">
      <c r="A2314" s="172"/>
      <c r="D2314" s="56"/>
      <c r="E2314" s="204"/>
      <c r="F2314" s="205"/>
      <c r="G2314" s="206"/>
      <c r="H2314" s="207"/>
      <c r="J2314" s="76"/>
    </row>
    <row r="2315" spans="1:10">
      <c r="A2315" s="172"/>
      <c r="D2315" s="56"/>
      <c r="E2315" s="204"/>
      <c r="F2315" s="205"/>
      <c r="G2315" s="206"/>
      <c r="H2315" s="207"/>
      <c r="J2315" s="76"/>
    </row>
    <row r="2316" spans="1:10">
      <c r="A2316" s="172"/>
      <c r="D2316" s="56"/>
      <c r="E2316" s="204"/>
      <c r="F2316" s="205"/>
      <c r="G2316" s="206"/>
      <c r="H2316" s="207"/>
      <c r="J2316" s="76"/>
    </row>
    <row r="2317" spans="1:10">
      <c r="A2317" s="172"/>
      <c r="D2317" s="56"/>
      <c r="E2317" s="204"/>
      <c r="F2317" s="205"/>
      <c r="G2317" s="206"/>
      <c r="H2317" s="207"/>
      <c r="J2317" s="76"/>
    </row>
    <row r="2318" spans="1:10">
      <c r="A2318" s="172"/>
      <c r="D2318" s="56"/>
      <c r="E2318" s="204"/>
      <c r="F2318" s="205"/>
      <c r="G2318" s="206"/>
      <c r="H2318" s="207"/>
      <c r="J2318" s="76"/>
    </row>
    <row r="2319" spans="1:10">
      <c r="A2319" s="172"/>
      <c r="D2319" s="56"/>
      <c r="E2319" s="204"/>
      <c r="F2319" s="205"/>
      <c r="G2319" s="206"/>
      <c r="H2319" s="207"/>
      <c r="J2319" s="76"/>
    </row>
    <row r="2320" spans="1:10">
      <c r="A2320" s="172"/>
      <c r="D2320" s="56"/>
      <c r="E2320" s="204"/>
      <c r="F2320" s="205"/>
      <c r="G2320" s="206"/>
      <c r="H2320" s="207"/>
      <c r="J2320" s="76"/>
    </row>
    <row r="2321" spans="1:10">
      <c r="A2321" s="172"/>
      <c r="D2321" s="56"/>
      <c r="E2321" s="204"/>
      <c r="F2321" s="205"/>
      <c r="G2321" s="206"/>
      <c r="H2321" s="207"/>
      <c r="J2321" s="76"/>
    </row>
    <row r="2322" spans="1:10">
      <c r="A2322" s="172"/>
      <c r="D2322" s="56"/>
      <c r="E2322" s="204"/>
      <c r="F2322" s="205"/>
      <c r="G2322" s="206"/>
      <c r="H2322" s="207"/>
      <c r="J2322" s="76"/>
    </row>
    <row r="2323" spans="1:10">
      <c r="A2323" s="172"/>
      <c r="D2323" s="56"/>
      <c r="E2323" s="204"/>
      <c r="F2323" s="205"/>
      <c r="G2323" s="206"/>
      <c r="H2323" s="207"/>
      <c r="J2323" s="76"/>
    </row>
    <row r="2324" spans="1:10">
      <c r="A2324" s="172"/>
      <c r="D2324" s="56"/>
      <c r="E2324" s="204"/>
      <c r="F2324" s="205"/>
      <c r="G2324" s="206"/>
      <c r="H2324" s="207"/>
      <c r="J2324" s="76"/>
    </row>
    <row r="2325" spans="1:10">
      <c r="A2325" s="172"/>
      <c r="D2325" s="56"/>
      <c r="E2325" s="204"/>
      <c r="F2325" s="205"/>
      <c r="G2325" s="206"/>
      <c r="H2325" s="207"/>
      <c r="J2325" s="76"/>
    </row>
    <row r="2326" spans="1:10">
      <c r="A2326" s="172"/>
      <c r="D2326" s="56"/>
      <c r="E2326" s="204"/>
      <c r="F2326" s="205"/>
      <c r="G2326" s="206"/>
      <c r="H2326" s="207"/>
      <c r="J2326" s="76"/>
    </row>
    <row r="2327" spans="1:10">
      <c r="A2327" s="172"/>
      <c r="D2327" s="56"/>
      <c r="E2327" s="204"/>
      <c r="F2327" s="205"/>
      <c r="G2327" s="206"/>
      <c r="H2327" s="207"/>
      <c r="J2327" s="76"/>
    </row>
    <row r="2328" spans="1:10">
      <c r="A2328" s="172"/>
      <c r="D2328" s="56"/>
      <c r="E2328" s="204"/>
      <c r="F2328" s="205"/>
      <c r="G2328" s="206"/>
      <c r="H2328" s="207"/>
      <c r="J2328" s="76"/>
    </row>
    <row r="2329" spans="1:10">
      <c r="A2329" s="172"/>
      <c r="D2329" s="56"/>
      <c r="E2329" s="204"/>
      <c r="F2329" s="205"/>
      <c r="G2329" s="206"/>
      <c r="H2329" s="207"/>
      <c r="J2329" s="76"/>
    </row>
    <row r="2330" spans="1:10">
      <c r="A2330" s="172"/>
      <c r="D2330" s="56"/>
      <c r="E2330" s="204"/>
      <c r="F2330" s="205"/>
      <c r="G2330" s="206"/>
      <c r="H2330" s="207"/>
      <c r="J2330" s="76"/>
    </row>
    <row r="2331" spans="1:10">
      <c r="A2331" s="172"/>
      <c r="D2331" s="56"/>
      <c r="E2331" s="204"/>
      <c r="F2331" s="205"/>
      <c r="G2331" s="206"/>
      <c r="H2331" s="207"/>
      <c r="J2331" s="76"/>
    </row>
    <row r="2332" spans="1:10">
      <c r="A2332" s="172"/>
      <c r="D2332" s="56"/>
      <c r="E2332" s="204"/>
      <c r="F2332" s="205"/>
      <c r="G2332" s="206"/>
      <c r="H2332" s="207"/>
      <c r="J2332" s="76"/>
    </row>
    <row r="2333" spans="1:10">
      <c r="A2333" s="172"/>
      <c r="D2333" s="56"/>
      <c r="E2333" s="204"/>
      <c r="F2333" s="205"/>
      <c r="G2333" s="206"/>
      <c r="H2333" s="207"/>
      <c r="J2333" s="76"/>
    </row>
    <row r="2334" spans="1:10">
      <c r="A2334" s="172"/>
      <c r="D2334" s="56"/>
      <c r="E2334" s="204"/>
      <c r="F2334" s="205"/>
      <c r="G2334" s="206"/>
      <c r="H2334" s="207"/>
      <c r="J2334" s="76"/>
    </row>
    <row r="2335" spans="1:10">
      <c r="A2335" s="172"/>
      <c r="D2335" s="56"/>
      <c r="E2335" s="204"/>
      <c r="F2335" s="205"/>
      <c r="G2335" s="206"/>
      <c r="H2335" s="207"/>
      <c r="J2335" s="76"/>
    </row>
    <row r="2336" spans="1:10">
      <c r="A2336" s="172"/>
      <c r="D2336" s="56"/>
      <c r="E2336" s="204"/>
      <c r="F2336" s="205"/>
      <c r="G2336" s="206"/>
      <c r="H2336" s="207"/>
      <c r="J2336" s="76"/>
    </row>
    <row r="2337" spans="1:10">
      <c r="A2337" s="172"/>
      <c r="D2337" s="56"/>
      <c r="E2337" s="204"/>
      <c r="F2337" s="205"/>
      <c r="G2337" s="206"/>
      <c r="H2337" s="207"/>
      <c r="J2337" s="76"/>
    </row>
    <row r="2338" spans="1:10">
      <c r="A2338" s="172"/>
      <c r="D2338" s="56"/>
      <c r="E2338" s="204"/>
      <c r="F2338" s="205"/>
      <c r="G2338" s="206"/>
      <c r="H2338" s="207"/>
      <c r="J2338" s="76"/>
    </row>
    <row r="2339" spans="1:10">
      <c r="A2339" s="172"/>
      <c r="D2339" s="56"/>
      <c r="E2339" s="204"/>
      <c r="F2339" s="205"/>
      <c r="G2339" s="206"/>
      <c r="H2339" s="207"/>
      <c r="J2339" s="76"/>
    </row>
    <row r="2340" spans="1:10">
      <c r="A2340" s="172"/>
      <c r="D2340" s="56"/>
      <c r="E2340" s="204"/>
      <c r="F2340" s="205"/>
      <c r="G2340" s="206"/>
      <c r="H2340" s="207"/>
      <c r="J2340" s="76"/>
    </row>
    <row r="2341" spans="1:10">
      <c r="A2341" s="172"/>
      <c r="D2341" s="56"/>
      <c r="E2341" s="204"/>
      <c r="F2341" s="205"/>
      <c r="G2341" s="206"/>
      <c r="H2341" s="207"/>
      <c r="J2341" s="76"/>
    </row>
    <row r="2342" spans="1:10">
      <c r="A2342" s="172"/>
      <c r="D2342" s="56"/>
      <c r="E2342" s="204"/>
      <c r="F2342" s="205"/>
      <c r="G2342" s="206"/>
      <c r="H2342" s="207"/>
      <c r="J2342" s="76"/>
    </row>
    <row r="2343" spans="1:10">
      <c r="A2343" s="172"/>
      <c r="D2343" s="56"/>
      <c r="E2343" s="204"/>
      <c r="F2343" s="205"/>
      <c r="G2343" s="206"/>
      <c r="H2343" s="207"/>
      <c r="J2343" s="76"/>
    </row>
    <row r="2344" spans="1:10">
      <c r="A2344" s="172"/>
      <c r="D2344" s="56"/>
      <c r="E2344" s="204"/>
      <c r="F2344" s="205"/>
      <c r="G2344" s="206"/>
      <c r="H2344" s="207"/>
      <c r="J2344" s="76"/>
    </row>
    <row r="2345" spans="1:10">
      <c r="A2345" s="172"/>
      <c r="D2345" s="56"/>
      <c r="E2345" s="204"/>
      <c r="F2345" s="205"/>
      <c r="G2345" s="206"/>
      <c r="H2345" s="207"/>
      <c r="J2345" s="76"/>
    </row>
    <row r="2346" spans="1:10">
      <c r="A2346" s="172"/>
      <c r="D2346" s="56"/>
      <c r="E2346" s="204"/>
      <c r="F2346" s="205"/>
      <c r="G2346" s="206"/>
      <c r="H2346" s="207"/>
      <c r="J2346" s="76"/>
    </row>
    <row r="2347" spans="1:10">
      <c r="A2347" s="172"/>
      <c r="D2347" s="56"/>
      <c r="E2347" s="204"/>
      <c r="F2347" s="205"/>
      <c r="G2347" s="206"/>
      <c r="H2347" s="207"/>
      <c r="J2347" s="76"/>
    </row>
    <row r="2348" spans="1:10">
      <c r="A2348" s="172"/>
      <c r="D2348" s="56"/>
      <c r="E2348" s="204"/>
      <c r="F2348" s="205"/>
      <c r="G2348" s="206"/>
      <c r="H2348" s="207"/>
      <c r="J2348" s="76"/>
    </row>
    <row r="2349" spans="1:10">
      <c r="A2349" s="172"/>
      <c r="D2349" s="56"/>
      <c r="E2349" s="204"/>
      <c r="F2349" s="205"/>
      <c r="G2349" s="206"/>
      <c r="H2349" s="207"/>
      <c r="J2349" s="76"/>
    </row>
    <row r="2350" spans="1:10">
      <c r="A2350" s="172"/>
      <c r="D2350" s="56"/>
      <c r="E2350" s="204"/>
      <c r="F2350" s="205"/>
      <c r="G2350" s="206"/>
      <c r="H2350" s="207"/>
      <c r="J2350" s="76"/>
    </row>
    <row r="2351" spans="1:10">
      <c r="A2351" s="172"/>
      <c r="D2351" s="56"/>
      <c r="E2351" s="204"/>
      <c r="F2351" s="205"/>
      <c r="G2351" s="206"/>
      <c r="H2351" s="207"/>
      <c r="J2351" s="76"/>
    </row>
    <row r="2352" spans="1:10">
      <c r="A2352" s="172"/>
      <c r="D2352" s="56"/>
      <c r="E2352" s="204"/>
      <c r="F2352" s="205"/>
      <c r="G2352" s="206"/>
      <c r="H2352" s="207"/>
      <c r="J2352" s="76"/>
    </row>
    <row r="2353" spans="1:10">
      <c r="A2353" s="172"/>
      <c r="D2353" s="56"/>
      <c r="E2353" s="204"/>
      <c r="F2353" s="205"/>
      <c r="G2353" s="206"/>
      <c r="H2353" s="207"/>
      <c r="J2353" s="76"/>
    </row>
    <row r="2354" spans="1:10">
      <c r="A2354" s="172"/>
      <c r="D2354" s="56"/>
      <c r="E2354" s="204"/>
      <c r="F2354" s="205"/>
      <c r="G2354" s="206"/>
      <c r="H2354" s="207"/>
      <c r="J2354" s="76"/>
    </row>
    <row r="2355" spans="1:10">
      <c r="A2355" s="172"/>
      <c r="D2355" s="56"/>
      <c r="E2355" s="204"/>
      <c r="F2355" s="205"/>
      <c r="G2355" s="206"/>
      <c r="H2355" s="207"/>
      <c r="J2355" s="76"/>
    </row>
    <row r="2356" spans="1:10">
      <c r="A2356" s="172"/>
      <c r="D2356" s="56"/>
      <c r="E2356" s="204"/>
      <c r="F2356" s="205"/>
      <c r="G2356" s="206"/>
      <c r="H2356" s="207"/>
      <c r="J2356" s="76"/>
    </row>
    <row r="2357" spans="1:10">
      <c r="A2357" s="172"/>
      <c r="D2357" s="56"/>
      <c r="E2357" s="204"/>
      <c r="F2357" s="205"/>
      <c r="G2357" s="206"/>
      <c r="H2357" s="207"/>
      <c r="J2357" s="76"/>
    </row>
    <row r="2358" spans="1:10">
      <c r="A2358" s="172"/>
      <c r="D2358" s="56"/>
      <c r="E2358" s="204"/>
      <c r="F2358" s="205"/>
      <c r="G2358" s="206"/>
      <c r="H2358" s="207"/>
      <c r="J2358" s="76"/>
    </row>
    <row r="2359" spans="1:10">
      <c r="A2359" s="172"/>
      <c r="D2359" s="56"/>
      <c r="E2359" s="204"/>
      <c r="F2359" s="205"/>
      <c r="G2359" s="206"/>
      <c r="H2359" s="207"/>
      <c r="J2359" s="76"/>
    </row>
    <row r="2360" spans="1:10">
      <c r="A2360" s="172"/>
      <c r="D2360" s="56"/>
      <c r="E2360" s="204"/>
      <c r="F2360" s="205"/>
      <c r="G2360" s="206"/>
      <c r="H2360" s="207"/>
      <c r="J2360" s="76"/>
    </row>
    <row r="2361" spans="1:10">
      <c r="A2361" s="172"/>
      <c r="D2361" s="56"/>
      <c r="E2361" s="204"/>
      <c r="F2361" s="205"/>
      <c r="G2361" s="206"/>
      <c r="H2361" s="207"/>
      <c r="J2361" s="76"/>
    </row>
    <row r="2362" spans="1:10">
      <c r="A2362" s="172"/>
      <c r="D2362" s="56"/>
      <c r="E2362" s="204"/>
      <c r="F2362" s="205"/>
      <c r="G2362" s="206"/>
      <c r="H2362" s="207"/>
      <c r="J2362" s="76"/>
    </row>
    <row r="2363" spans="1:10">
      <c r="A2363" s="172"/>
      <c r="D2363" s="56"/>
      <c r="E2363" s="204"/>
      <c r="F2363" s="205"/>
      <c r="G2363" s="206"/>
      <c r="H2363" s="207"/>
      <c r="J2363" s="76"/>
    </row>
    <row r="2364" spans="1:10">
      <c r="A2364" s="172"/>
      <c r="D2364" s="56"/>
      <c r="E2364" s="204"/>
      <c r="F2364" s="205"/>
      <c r="G2364" s="206"/>
      <c r="H2364" s="207"/>
      <c r="J2364" s="76"/>
    </row>
    <row r="2365" spans="1:10">
      <c r="A2365" s="172"/>
      <c r="D2365" s="56"/>
      <c r="E2365" s="204"/>
      <c r="F2365" s="205"/>
      <c r="G2365" s="206"/>
      <c r="H2365" s="207"/>
      <c r="J2365" s="76"/>
    </row>
    <row r="2366" spans="1:10">
      <c r="A2366" s="172"/>
      <c r="D2366" s="56"/>
      <c r="E2366" s="204"/>
      <c r="F2366" s="205"/>
      <c r="G2366" s="206"/>
      <c r="H2366" s="207"/>
      <c r="J2366" s="76"/>
    </row>
    <row r="2367" spans="1:10">
      <c r="A2367" s="172"/>
      <c r="D2367" s="56"/>
      <c r="E2367" s="204"/>
      <c r="F2367" s="205"/>
      <c r="G2367" s="206"/>
      <c r="H2367" s="207"/>
      <c r="J2367" s="76"/>
    </row>
    <row r="2368" spans="1:10">
      <c r="A2368" s="172"/>
      <c r="D2368" s="56"/>
      <c r="E2368" s="204"/>
      <c r="F2368" s="205"/>
      <c r="G2368" s="206"/>
      <c r="H2368" s="207"/>
      <c r="J2368" s="76"/>
    </row>
    <row r="2369" spans="1:10">
      <c r="A2369" s="172"/>
      <c r="D2369" s="56"/>
      <c r="E2369" s="204"/>
      <c r="F2369" s="205"/>
      <c r="G2369" s="206"/>
      <c r="H2369" s="207"/>
      <c r="J2369" s="76"/>
    </row>
    <row r="2370" spans="1:10">
      <c r="A2370" s="172"/>
      <c r="D2370" s="56"/>
      <c r="E2370" s="204"/>
      <c r="F2370" s="205"/>
      <c r="G2370" s="206"/>
      <c r="H2370" s="207"/>
      <c r="J2370" s="76"/>
    </row>
    <row r="2371" spans="1:10">
      <c r="A2371" s="172"/>
      <c r="D2371" s="56"/>
      <c r="E2371" s="204"/>
      <c r="F2371" s="205"/>
      <c r="G2371" s="206"/>
      <c r="H2371" s="207"/>
      <c r="J2371" s="76"/>
    </row>
    <row r="2372" spans="1:10">
      <c r="A2372" s="172"/>
      <c r="D2372" s="56"/>
      <c r="E2372" s="204"/>
      <c r="F2372" s="205"/>
      <c r="G2372" s="206"/>
      <c r="H2372" s="207"/>
      <c r="J2372" s="76"/>
    </row>
    <row r="2373" spans="1:10">
      <c r="A2373" s="172"/>
      <c r="D2373" s="56"/>
      <c r="E2373" s="204"/>
      <c r="F2373" s="205"/>
      <c r="G2373" s="206"/>
      <c r="H2373" s="207"/>
      <c r="J2373" s="76"/>
    </row>
    <row r="2374" spans="1:10">
      <c r="A2374" s="172"/>
      <c r="D2374" s="56"/>
      <c r="E2374" s="204"/>
      <c r="F2374" s="205"/>
      <c r="G2374" s="206"/>
      <c r="H2374" s="207"/>
      <c r="J2374" s="76"/>
    </row>
    <row r="2375" spans="1:10">
      <c r="A2375" s="172"/>
      <c r="D2375" s="56"/>
      <c r="E2375" s="204"/>
      <c r="F2375" s="205"/>
      <c r="G2375" s="206"/>
      <c r="H2375" s="207"/>
      <c r="J2375" s="76"/>
    </row>
    <row r="2376" spans="1:10">
      <c r="A2376" s="172"/>
      <c r="D2376" s="56"/>
      <c r="E2376" s="204"/>
      <c r="F2376" s="205"/>
      <c r="G2376" s="206"/>
      <c r="H2376" s="207"/>
      <c r="J2376" s="76"/>
    </row>
    <row r="2377" spans="1:10">
      <c r="A2377" s="172"/>
      <c r="D2377" s="56"/>
      <c r="E2377" s="204"/>
      <c r="F2377" s="205"/>
      <c r="G2377" s="206"/>
      <c r="H2377" s="207"/>
      <c r="J2377" s="76"/>
    </row>
    <row r="2378" spans="1:10">
      <c r="A2378" s="172"/>
      <c r="D2378" s="56"/>
      <c r="E2378" s="204"/>
      <c r="F2378" s="205"/>
      <c r="G2378" s="206"/>
      <c r="H2378" s="207"/>
      <c r="J2378" s="76"/>
    </row>
    <row r="2379" spans="1:10">
      <c r="A2379" s="172"/>
      <c r="D2379" s="56"/>
      <c r="E2379" s="204"/>
      <c r="F2379" s="205"/>
      <c r="G2379" s="206"/>
      <c r="H2379" s="207"/>
      <c r="J2379" s="76"/>
    </row>
    <row r="2380" spans="1:10">
      <c r="A2380" s="172"/>
      <c r="D2380" s="56"/>
      <c r="E2380" s="204"/>
      <c r="F2380" s="205"/>
      <c r="G2380" s="206"/>
      <c r="H2380" s="207"/>
      <c r="J2380" s="76"/>
    </row>
    <row r="2381" spans="1:10">
      <c r="A2381" s="172"/>
      <c r="D2381" s="56"/>
      <c r="E2381" s="204"/>
      <c r="F2381" s="205"/>
      <c r="G2381" s="206"/>
      <c r="H2381" s="207"/>
      <c r="J2381" s="76"/>
    </row>
    <row r="2382" spans="1:10">
      <c r="A2382" s="172"/>
      <c r="D2382" s="56"/>
      <c r="E2382" s="204"/>
      <c r="F2382" s="205"/>
      <c r="G2382" s="206"/>
      <c r="H2382" s="207"/>
      <c r="J2382" s="76"/>
    </row>
    <row r="2383" spans="1:10">
      <c r="A2383" s="172"/>
      <c r="D2383" s="56"/>
      <c r="E2383" s="204"/>
      <c r="F2383" s="205"/>
      <c r="G2383" s="206"/>
      <c r="H2383" s="207"/>
      <c r="J2383" s="76"/>
    </row>
    <row r="2384" spans="1:10">
      <c r="A2384" s="172"/>
      <c r="D2384" s="56"/>
      <c r="E2384" s="204"/>
      <c r="F2384" s="205"/>
      <c r="G2384" s="206"/>
      <c r="H2384" s="207"/>
      <c r="J2384" s="76"/>
    </row>
    <row r="2385" spans="1:10">
      <c r="A2385" s="172"/>
      <c r="D2385" s="56"/>
      <c r="E2385" s="204"/>
      <c r="F2385" s="205"/>
      <c r="G2385" s="206"/>
      <c r="H2385" s="207"/>
      <c r="J2385" s="76"/>
    </row>
    <row r="2386" spans="1:10">
      <c r="A2386" s="172"/>
      <c r="D2386" s="56"/>
      <c r="E2386" s="204"/>
      <c r="F2386" s="205"/>
      <c r="G2386" s="206"/>
      <c r="H2386" s="207"/>
      <c r="J2386" s="76"/>
    </row>
    <row r="2387" spans="1:10">
      <c r="A2387" s="172"/>
      <c r="D2387" s="56"/>
      <c r="E2387" s="204"/>
      <c r="F2387" s="205"/>
      <c r="G2387" s="206"/>
      <c r="H2387" s="207"/>
      <c r="J2387" s="76"/>
    </row>
    <row r="2388" spans="1:10">
      <c r="A2388" s="172"/>
      <c r="D2388" s="56"/>
      <c r="E2388" s="204"/>
      <c r="F2388" s="205"/>
      <c r="G2388" s="206"/>
      <c r="H2388" s="207"/>
      <c r="J2388" s="76"/>
    </row>
    <row r="2389" spans="1:10">
      <c r="A2389" s="172"/>
      <c r="D2389" s="56"/>
      <c r="E2389" s="204"/>
      <c r="F2389" s="205"/>
      <c r="G2389" s="206"/>
      <c r="H2389" s="207"/>
      <c r="J2389" s="76"/>
    </row>
    <row r="2390" spans="1:10">
      <c r="A2390" s="172"/>
      <c r="D2390" s="56"/>
      <c r="E2390" s="204"/>
      <c r="F2390" s="205"/>
      <c r="G2390" s="206"/>
      <c r="H2390" s="207"/>
      <c r="J2390" s="76"/>
    </row>
    <row r="2391" spans="1:10">
      <c r="A2391" s="172"/>
      <c r="D2391" s="56"/>
      <c r="E2391" s="204"/>
      <c r="F2391" s="205"/>
      <c r="G2391" s="206"/>
      <c r="H2391" s="207"/>
      <c r="J2391" s="76"/>
    </row>
    <row r="2392" spans="1:10">
      <c r="A2392" s="172"/>
      <c r="D2392" s="56"/>
      <c r="E2392" s="204"/>
      <c r="F2392" s="205"/>
      <c r="G2392" s="206"/>
      <c r="H2392" s="207"/>
      <c r="J2392" s="76"/>
    </row>
    <row r="2393" spans="1:10">
      <c r="A2393" s="172"/>
      <c r="D2393" s="56"/>
      <c r="E2393" s="204"/>
      <c r="F2393" s="205"/>
      <c r="G2393" s="206"/>
      <c r="H2393" s="207"/>
      <c r="J2393" s="76"/>
    </row>
    <row r="2394" spans="1:10">
      <c r="A2394" s="172"/>
      <c r="D2394" s="56"/>
      <c r="E2394" s="204"/>
      <c r="F2394" s="205"/>
      <c r="G2394" s="206"/>
      <c r="H2394" s="207"/>
      <c r="J2394" s="76"/>
    </row>
    <row r="2395" spans="1:10">
      <c r="A2395" s="172"/>
      <c r="D2395" s="56"/>
      <c r="E2395" s="204"/>
      <c r="F2395" s="205"/>
      <c r="G2395" s="206"/>
      <c r="H2395" s="207"/>
      <c r="J2395" s="76"/>
    </row>
    <row r="2396" spans="1:10">
      <c r="A2396" s="172"/>
      <c r="D2396" s="56"/>
      <c r="E2396" s="204"/>
      <c r="F2396" s="205"/>
      <c r="G2396" s="206"/>
      <c r="H2396" s="207"/>
      <c r="J2396" s="76"/>
    </row>
    <row r="2397" spans="1:10">
      <c r="A2397" s="172"/>
      <c r="D2397" s="56"/>
      <c r="E2397" s="204"/>
      <c r="F2397" s="205"/>
      <c r="G2397" s="206"/>
      <c r="H2397" s="207"/>
      <c r="J2397" s="76"/>
    </row>
    <row r="2398" spans="1:10">
      <c r="A2398" s="172"/>
      <c r="D2398" s="56"/>
      <c r="E2398" s="204"/>
      <c r="F2398" s="205"/>
      <c r="G2398" s="206"/>
      <c r="H2398" s="207"/>
      <c r="J2398" s="76"/>
    </row>
    <row r="2399" spans="1:10">
      <c r="A2399" s="172"/>
      <c r="D2399" s="56"/>
      <c r="E2399" s="204"/>
      <c r="F2399" s="205"/>
      <c r="G2399" s="206"/>
      <c r="H2399" s="207"/>
      <c r="J2399" s="76"/>
    </row>
    <row r="2400" spans="1:10">
      <c r="A2400" s="172"/>
      <c r="D2400" s="56"/>
      <c r="E2400" s="204"/>
      <c r="F2400" s="205"/>
      <c r="G2400" s="206"/>
      <c r="H2400" s="207"/>
      <c r="J2400" s="76"/>
    </row>
    <row r="2401" spans="1:10">
      <c r="A2401" s="172"/>
      <c r="D2401" s="56"/>
      <c r="E2401" s="204"/>
      <c r="F2401" s="205"/>
      <c r="G2401" s="206"/>
      <c r="H2401" s="207"/>
      <c r="J2401" s="76"/>
    </row>
    <row r="2402" spans="1:10">
      <c r="A2402" s="172"/>
      <c r="D2402" s="56"/>
      <c r="E2402" s="204"/>
      <c r="F2402" s="205"/>
      <c r="G2402" s="206"/>
      <c r="H2402" s="207"/>
      <c r="J2402" s="76"/>
    </row>
    <row r="2403" spans="1:10">
      <c r="A2403" s="172"/>
      <c r="D2403" s="56"/>
      <c r="E2403" s="204"/>
      <c r="F2403" s="205"/>
      <c r="G2403" s="206"/>
      <c r="H2403" s="207"/>
      <c r="J2403" s="76"/>
    </row>
    <row r="2404" spans="1:10">
      <c r="A2404" s="172"/>
      <c r="D2404" s="56"/>
      <c r="E2404" s="204"/>
      <c r="F2404" s="205"/>
      <c r="G2404" s="206"/>
      <c r="H2404" s="207"/>
      <c r="J2404" s="76"/>
    </row>
    <row r="2405" spans="1:10">
      <c r="A2405" s="172"/>
      <c r="D2405" s="56"/>
      <c r="E2405" s="204"/>
      <c r="F2405" s="205"/>
      <c r="G2405" s="206"/>
      <c r="H2405" s="207"/>
      <c r="J2405" s="76"/>
    </row>
    <row r="2406" spans="1:10">
      <c r="A2406" s="172"/>
      <c r="D2406" s="56"/>
      <c r="E2406" s="204"/>
      <c r="F2406" s="205"/>
      <c r="G2406" s="206"/>
      <c r="H2406" s="207"/>
      <c r="J2406" s="76"/>
    </row>
    <row r="2407" spans="1:10">
      <c r="A2407" s="172"/>
      <c r="D2407" s="56"/>
      <c r="E2407" s="204"/>
      <c r="F2407" s="205"/>
      <c r="G2407" s="206"/>
      <c r="H2407" s="207"/>
      <c r="J2407" s="76"/>
    </row>
    <row r="2408" spans="1:10">
      <c r="A2408" s="172"/>
      <c r="D2408" s="56"/>
      <c r="E2408" s="204"/>
      <c r="F2408" s="205"/>
      <c r="G2408" s="206"/>
      <c r="H2408" s="207"/>
      <c r="J2408" s="76"/>
    </row>
    <row r="2409" spans="1:10">
      <c r="A2409" s="172"/>
      <c r="D2409" s="56"/>
      <c r="E2409" s="204"/>
      <c r="F2409" s="205"/>
      <c r="G2409" s="206"/>
      <c r="H2409" s="207"/>
      <c r="J2409" s="76"/>
    </row>
    <row r="2410" spans="1:10">
      <c r="A2410" s="172"/>
      <c r="D2410" s="56"/>
      <c r="E2410" s="204"/>
      <c r="F2410" s="205"/>
      <c r="G2410" s="206"/>
      <c r="H2410" s="207"/>
      <c r="J2410" s="76"/>
    </row>
    <row r="2411" spans="1:10">
      <c r="A2411" s="172"/>
      <c r="D2411" s="56"/>
      <c r="E2411" s="204"/>
      <c r="F2411" s="205"/>
      <c r="G2411" s="206"/>
      <c r="H2411" s="207"/>
      <c r="J2411" s="76"/>
    </row>
    <row r="2412" spans="1:10">
      <c r="A2412" s="172"/>
      <c r="D2412" s="56"/>
      <c r="E2412" s="204"/>
      <c r="F2412" s="205"/>
      <c r="G2412" s="206"/>
      <c r="H2412" s="207"/>
      <c r="J2412" s="76"/>
    </row>
    <row r="2413" spans="1:10">
      <c r="A2413" s="172"/>
      <c r="D2413" s="56"/>
      <c r="E2413" s="204"/>
      <c r="F2413" s="205"/>
      <c r="G2413" s="206"/>
      <c r="H2413" s="207"/>
      <c r="J2413" s="76"/>
    </row>
    <row r="2414" spans="1:10">
      <c r="A2414" s="172"/>
      <c r="D2414" s="56"/>
      <c r="E2414" s="204"/>
      <c r="F2414" s="205"/>
      <c r="G2414" s="206"/>
      <c r="H2414" s="207"/>
      <c r="J2414" s="76"/>
    </row>
    <row r="2415" spans="1:10">
      <c r="A2415" s="172"/>
      <c r="D2415" s="56"/>
      <c r="E2415" s="204"/>
      <c r="F2415" s="205"/>
      <c r="G2415" s="206"/>
      <c r="H2415" s="207"/>
      <c r="J2415" s="76"/>
    </row>
    <row r="2416" spans="1:10">
      <c r="A2416" s="172"/>
      <c r="D2416" s="56"/>
      <c r="E2416" s="204"/>
      <c r="F2416" s="205"/>
      <c r="G2416" s="206"/>
      <c r="H2416" s="207"/>
      <c r="J2416" s="76"/>
    </row>
    <row r="2417" spans="1:10">
      <c r="A2417" s="172"/>
      <c r="D2417" s="56"/>
      <c r="E2417" s="204"/>
      <c r="F2417" s="205"/>
      <c r="G2417" s="206"/>
      <c r="H2417" s="207"/>
      <c r="J2417" s="76"/>
    </row>
    <row r="2418" spans="1:10">
      <c r="A2418" s="172"/>
      <c r="D2418" s="56"/>
      <c r="E2418" s="204"/>
      <c r="F2418" s="205"/>
      <c r="G2418" s="206"/>
      <c r="H2418" s="207"/>
      <c r="J2418" s="76"/>
    </row>
    <row r="2419" spans="1:10">
      <c r="A2419" s="172"/>
      <c r="D2419" s="56"/>
      <c r="E2419" s="204"/>
      <c r="F2419" s="205"/>
      <c r="G2419" s="206"/>
      <c r="H2419" s="207"/>
      <c r="J2419" s="76"/>
    </row>
    <row r="2420" spans="1:10">
      <c r="A2420" s="172"/>
      <c r="D2420" s="56"/>
      <c r="E2420" s="204"/>
      <c r="F2420" s="205"/>
      <c r="G2420" s="206"/>
      <c r="H2420" s="207"/>
      <c r="J2420" s="76"/>
    </row>
    <row r="2421" spans="1:10">
      <c r="A2421" s="172"/>
      <c r="D2421" s="56"/>
      <c r="E2421" s="204"/>
      <c r="F2421" s="205"/>
      <c r="G2421" s="206"/>
      <c r="H2421" s="207"/>
      <c r="J2421" s="76"/>
    </row>
    <row r="2422" spans="1:10">
      <c r="A2422" s="172"/>
      <c r="D2422" s="56"/>
      <c r="E2422" s="204"/>
      <c r="F2422" s="205"/>
      <c r="G2422" s="206"/>
      <c r="H2422" s="207"/>
      <c r="J2422" s="76"/>
    </row>
    <row r="2423" spans="1:10">
      <c r="A2423" s="172"/>
      <c r="D2423" s="56"/>
      <c r="E2423" s="204"/>
      <c r="F2423" s="205"/>
      <c r="G2423" s="206"/>
      <c r="H2423" s="207"/>
      <c r="J2423" s="76"/>
    </row>
    <row r="2424" spans="1:10">
      <c r="A2424" s="172"/>
      <c r="D2424" s="56"/>
      <c r="E2424" s="204"/>
      <c r="F2424" s="205"/>
      <c r="G2424" s="206"/>
      <c r="H2424" s="207"/>
      <c r="J2424" s="76"/>
    </row>
    <row r="2425" spans="1:10">
      <c r="A2425" s="172"/>
      <c r="D2425" s="56"/>
      <c r="E2425" s="204"/>
      <c r="F2425" s="205"/>
      <c r="G2425" s="206"/>
      <c r="H2425" s="207"/>
      <c r="J2425" s="76"/>
    </row>
    <row r="2426" spans="1:10">
      <c r="A2426" s="172"/>
      <c r="D2426" s="56"/>
      <c r="E2426" s="204"/>
      <c r="F2426" s="205"/>
      <c r="G2426" s="206"/>
      <c r="H2426" s="207"/>
      <c r="J2426" s="76"/>
    </row>
    <row r="2427" spans="1:10">
      <c r="A2427" s="172"/>
      <c r="D2427" s="56"/>
      <c r="E2427" s="204"/>
      <c r="F2427" s="205"/>
      <c r="G2427" s="206"/>
      <c r="H2427" s="207"/>
      <c r="J2427" s="76"/>
    </row>
    <row r="2428" spans="1:10">
      <c r="A2428" s="172"/>
      <c r="D2428" s="56"/>
      <c r="E2428" s="204"/>
      <c r="F2428" s="205"/>
      <c r="G2428" s="206"/>
      <c r="H2428" s="207"/>
      <c r="J2428" s="76"/>
    </row>
    <row r="2429" spans="1:10">
      <c r="A2429" s="172"/>
      <c r="D2429" s="56"/>
      <c r="E2429" s="204"/>
      <c r="F2429" s="205"/>
      <c r="G2429" s="206"/>
      <c r="H2429" s="207"/>
      <c r="J2429" s="76"/>
    </row>
    <row r="2430" spans="1:10">
      <c r="A2430" s="172"/>
      <c r="D2430" s="56"/>
      <c r="E2430" s="204"/>
      <c r="F2430" s="205"/>
      <c r="G2430" s="206"/>
      <c r="H2430" s="207"/>
      <c r="J2430" s="76"/>
    </row>
    <row r="2431" spans="1:10">
      <c r="A2431" s="172"/>
      <c r="D2431" s="56"/>
      <c r="E2431" s="204"/>
      <c r="F2431" s="205"/>
      <c r="G2431" s="206"/>
      <c r="H2431" s="207"/>
      <c r="J2431" s="76"/>
    </row>
    <row r="2432" spans="1:10">
      <c r="A2432" s="172"/>
      <c r="D2432" s="56"/>
      <c r="E2432" s="204"/>
      <c r="F2432" s="205"/>
      <c r="G2432" s="206"/>
      <c r="H2432" s="207"/>
      <c r="J2432" s="76"/>
    </row>
    <row r="2433" spans="1:10">
      <c r="A2433" s="172"/>
      <c r="D2433" s="56"/>
      <c r="E2433" s="204"/>
      <c r="F2433" s="205"/>
      <c r="G2433" s="206"/>
      <c r="H2433" s="207"/>
      <c r="J2433" s="76"/>
    </row>
    <row r="2434" spans="1:10">
      <c r="A2434" s="172"/>
      <c r="D2434" s="56"/>
      <c r="E2434" s="204"/>
      <c r="F2434" s="205"/>
      <c r="G2434" s="206"/>
      <c r="H2434" s="207"/>
      <c r="J2434" s="76"/>
    </row>
    <row r="2435" spans="1:10">
      <c r="A2435" s="172"/>
      <c r="D2435" s="56"/>
      <c r="E2435" s="204"/>
      <c r="F2435" s="205"/>
      <c r="G2435" s="206"/>
      <c r="H2435" s="207"/>
      <c r="J2435" s="76"/>
    </row>
    <row r="2436" spans="1:10">
      <c r="A2436" s="172"/>
      <c r="D2436" s="56"/>
      <c r="E2436" s="204"/>
      <c r="F2436" s="205"/>
      <c r="G2436" s="206"/>
      <c r="H2436" s="207"/>
      <c r="J2436" s="76"/>
    </row>
    <row r="2437" spans="1:10">
      <c r="A2437" s="172"/>
      <c r="D2437" s="56"/>
      <c r="E2437" s="204"/>
      <c r="F2437" s="205"/>
      <c r="G2437" s="206"/>
      <c r="H2437" s="207"/>
      <c r="J2437" s="76"/>
    </row>
    <row r="2438" spans="1:10">
      <c r="A2438" s="172"/>
      <c r="D2438" s="56"/>
      <c r="E2438" s="204"/>
      <c r="F2438" s="205"/>
      <c r="G2438" s="206"/>
      <c r="H2438" s="207"/>
      <c r="J2438" s="76"/>
    </row>
    <row r="2439" spans="1:10">
      <c r="A2439" s="172"/>
      <c r="D2439" s="56"/>
      <c r="E2439" s="204"/>
      <c r="F2439" s="205"/>
      <c r="G2439" s="206"/>
      <c r="H2439" s="207"/>
      <c r="J2439" s="76"/>
    </row>
    <row r="2440" spans="1:10">
      <c r="A2440" s="172"/>
      <c r="D2440" s="56"/>
      <c r="E2440" s="204"/>
      <c r="F2440" s="205"/>
      <c r="G2440" s="206"/>
      <c r="H2440" s="207"/>
      <c r="J2440" s="76"/>
    </row>
    <row r="2441" spans="1:10">
      <c r="A2441" s="172"/>
      <c r="D2441" s="56"/>
      <c r="E2441" s="204"/>
      <c r="F2441" s="205"/>
      <c r="G2441" s="206"/>
      <c r="H2441" s="207"/>
      <c r="J2441" s="76"/>
    </row>
    <row r="2442" spans="1:10">
      <c r="A2442" s="172"/>
      <c r="D2442" s="56"/>
      <c r="E2442" s="204"/>
      <c r="F2442" s="205"/>
      <c r="G2442" s="206"/>
      <c r="H2442" s="207"/>
      <c r="J2442" s="76"/>
    </row>
    <row r="2443" spans="1:10">
      <c r="A2443" s="172"/>
      <c r="D2443" s="56"/>
      <c r="E2443" s="204"/>
      <c r="F2443" s="205"/>
      <c r="G2443" s="206"/>
      <c r="H2443" s="207"/>
      <c r="J2443" s="76"/>
    </row>
    <row r="2444" spans="1:10">
      <c r="A2444" s="172"/>
      <c r="D2444" s="56"/>
      <c r="E2444" s="204"/>
      <c r="F2444" s="205"/>
      <c r="G2444" s="206"/>
      <c r="H2444" s="207"/>
      <c r="J2444" s="76"/>
    </row>
    <row r="2445" spans="1:10">
      <c r="A2445" s="172"/>
      <c r="D2445" s="56"/>
      <c r="E2445" s="204"/>
      <c r="F2445" s="205"/>
      <c r="G2445" s="206"/>
      <c r="H2445" s="207"/>
      <c r="J2445" s="76"/>
    </row>
    <row r="2446" spans="1:10">
      <c r="A2446" s="172"/>
      <c r="D2446" s="56"/>
      <c r="E2446" s="204"/>
      <c r="F2446" s="205"/>
      <c r="G2446" s="206"/>
      <c r="H2446" s="207"/>
      <c r="J2446" s="76"/>
    </row>
    <row r="2447" spans="1:10">
      <c r="A2447" s="172"/>
      <c r="D2447" s="56"/>
      <c r="E2447" s="204"/>
      <c r="F2447" s="205"/>
      <c r="G2447" s="206"/>
      <c r="H2447" s="207"/>
      <c r="J2447" s="76"/>
    </row>
    <row r="2448" spans="1:10">
      <c r="A2448" s="172"/>
      <c r="D2448" s="56"/>
      <c r="E2448" s="204"/>
      <c r="F2448" s="205"/>
      <c r="G2448" s="206"/>
      <c r="H2448" s="207"/>
      <c r="J2448" s="76"/>
    </row>
    <row r="2449" spans="1:10">
      <c r="A2449" s="172"/>
      <c r="D2449" s="56"/>
      <c r="E2449" s="204"/>
      <c r="F2449" s="205"/>
      <c r="G2449" s="206"/>
      <c r="H2449" s="207"/>
      <c r="J2449" s="76"/>
    </row>
    <row r="2450" spans="1:10">
      <c r="A2450" s="172"/>
      <c r="D2450" s="56"/>
      <c r="E2450" s="204"/>
      <c r="F2450" s="205"/>
      <c r="G2450" s="206"/>
      <c r="H2450" s="207"/>
      <c r="J2450" s="76"/>
    </row>
    <row r="2451" spans="1:10">
      <c r="A2451" s="172"/>
      <c r="D2451" s="56"/>
      <c r="E2451" s="204"/>
      <c r="F2451" s="205"/>
      <c r="G2451" s="206"/>
      <c r="H2451" s="207"/>
      <c r="J2451" s="76"/>
    </row>
    <row r="2452" spans="1:10">
      <c r="A2452" s="172"/>
      <c r="D2452" s="56"/>
      <c r="E2452" s="204"/>
      <c r="F2452" s="205"/>
      <c r="G2452" s="206"/>
      <c r="H2452" s="207"/>
      <c r="J2452" s="76"/>
    </row>
    <row r="2453" spans="1:10">
      <c r="A2453" s="172"/>
      <c r="D2453" s="56"/>
      <c r="E2453" s="204"/>
      <c r="F2453" s="205"/>
      <c r="G2453" s="206"/>
      <c r="H2453" s="207"/>
      <c r="J2453" s="76"/>
    </row>
    <row r="2454" spans="1:10">
      <c r="A2454" s="172"/>
      <c r="D2454" s="56"/>
      <c r="E2454" s="204"/>
      <c r="F2454" s="205"/>
      <c r="G2454" s="206"/>
      <c r="H2454" s="207"/>
      <c r="J2454" s="76"/>
    </row>
    <row r="2455" spans="1:10">
      <c r="A2455" s="172"/>
      <c r="D2455" s="56"/>
      <c r="E2455" s="204"/>
      <c r="F2455" s="205"/>
      <c r="G2455" s="206"/>
      <c r="H2455" s="207"/>
      <c r="J2455" s="76"/>
    </row>
    <row r="2456" spans="1:10">
      <c r="A2456" s="172"/>
      <c r="D2456" s="56"/>
      <c r="E2456" s="204"/>
      <c r="F2456" s="205"/>
      <c r="G2456" s="206"/>
      <c r="H2456" s="207"/>
      <c r="J2456" s="76"/>
    </row>
    <row r="2457" spans="1:10">
      <c r="A2457" s="172"/>
      <c r="D2457" s="56"/>
      <c r="E2457" s="204"/>
      <c r="F2457" s="205"/>
      <c r="G2457" s="206"/>
      <c r="H2457" s="207"/>
      <c r="J2457" s="76"/>
    </row>
    <row r="2458" spans="1:10">
      <c r="A2458" s="172"/>
      <c r="D2458" s="56"/>
      <c r="E2458" s="204"/>
      <c r="F2458" s="205"/>
      <c r="G2458" s="206"/>
      <c r="H2458" s="207"/>
      <c r="J2458" s="76"/>
    </row>
    <row r="2459" spans="1:10">
      <c r="A2459" s="172"/>
      <c r="D2459" s="56"/>
      <c r="E2459" s="204"/>
      <c r="F2459" s="205"/>
      <c r="G2459" s="206"/>
      <c r="H2459" s="207"/>
      <c r="J2459" s="76"/>
    </row>
    <row r="2460" spans="1:10">
      <c r="A2460" s="172"/>
      <c r="D2460" s="56"/>
      <c r="E2460" s="204"/>
      <c r="F2460" s="205"/>
      <c r="G2460" s="206"/>
      <c r="H2460" s="207"/>
      <c r="J2460" s="76"/>
    </row>
    <row r="2461" spans="1:10">
      <c r="A2461" s="172"/>
      <c r="D2461" s="56"/>
      <c r="E2461" s="204"/>
      <c r="F2461" s="205"/>
      <c r="G2461" s="206"/>
      <c r="H2461" s="207"/>
      <c r="J2461" s="76"/>
    </row>
    <row r="2462" spans="1:10">
      <c r="A2462" s="172"/>
      <c r="D2462" s="56"/>
      <c r="E2462" s="204"/>
      <c r="F2462" s="205"/>
      <c r="G2462" s="206"/>
      <c r="H2462" s="207"/>
      <c r="J2462" s="76"/>
    </row>
    <row r="2463" spans="1:10">
      <c r="A2463" s="172"/>
      <c r="D2463" s="56"/>
      <c r="E2463" s="204"/>
      <c r="F2463" s="205"/>
      <c r="G2463" s="206"/>
      <c r="H2463" s="207"/>
      <c r="J2463" s="76"/>
    </row>
    <row r="2464" spans="1:10">
      <c r="A2464" s="172"/>
      <c r="D2464" s="56"/>
      <c r="E2464" s="204"/>
      <c r="F2464" s="205"/>
      <c r="G2464" s="206"/>
      <c r="H2464" s="207"/>
      <c r="J2464" s="76"/>
    </row>
    <row r="2465" spans="1:10">
      <c r="A2465" s="172"/>
      <c r="D2465" s="56"/>
      <c r="E2465" s="204"/>
      <c r="F2465" s="205"/>
      <c r="G2465" s="206"/>
      <c r="H2465" s="207"/>
      <c r="J2465" s="76"/>
    </row>
    <row r="2466" spans="1:10">
      <c r="A2466" s="172"/>
      <c r="D2466" s="56"/>
      <c r="E2466" s="204"/>
      <c r="F2466" s="205"/>
      <c r="G2466" s="206"/>
      <c r="H2466" s="207"/>
      <c r="J2466" s="76"/>
    </row>
    <row r="2467" spans="1:10">
      <c r="A2467" s="172"/>
      <c r="D2467" s="56"/>
      <c r="E2467" s="204"/>
      <c r="F2467" s="205"/>
      <c r="G2467" s="206"/>
      <c r="H2467" s="207"/>
      <c r="J2467" s="76"/>
    </row>
    <row r="2468" spans="1:10">
      <c r="A2468" s="172"/>
      <c r="D2468" s="56"/>
      <c r="E2468" s="204"/>
      <c r="F2468" s="205"/>
      <c r="G2468" s="206"/>
      <c r="H2468" s="207"/>
      <c r="J2468" s="76"/>
    </row>
    <row r="2469" spans="1:10">
      <c r="A2469" s="172"/>
      <c r="D2469" s="56"/>
      <c r="E2469" s="204"/>
      <c r="F2469" s="205"/>
      <c r="G2469" s="206"/>
      <c r="H2469" s="207"/>
      <c r="J2469" s="76"/>
    </row>
    <row r="2470" spans="1:10">
      <c r="A2470" s="172"/>
      <c r="D2470" s="56"/>
      <c r="E2470" s="204"/>
      <c r="F2470" s="205"/>
      <c r="G2470" s="206"/>
      <c r="H2470" s="207"/>
      <c r="J2470" s="76"/>
    </row>
    <row r="2471" spans="1:10">
      <c r="A2471" s="172"/>
      <c r="D2471" s="56"/>
      <c r="E2471" s="204"/>
      <c r="F2471" s="205"/>
      <c r="G2471" s="206"/>
      <c r="H2471" s="207"/>
      <c r="J2471" s="76"/>
    </row>
    <row r="2472" spans="1:10">
      <c r="A2472" s="172"/>
      <c r="D2472" s="56"/>
      <c r="E2472" s="204"/>
      <c r="F2472" s="205"/>
      <c r="G2472" s="206"/>
      <c r="H2472" s="207"/>
      <c r="J2472" s="76"/>
    </row>
    <row r="2473" spans="1:10">
      <c r="A2473" s="172"/>
      <c r="D2473" s="56"/>
      <c r="E2473" s="204"/>
      <c r="F2473" s="205"/>
      <c r="G2473" s="206"/>
      <c r="H2473" s="207"/>
      <c r="J2473" s="76"/>
    </row>
    <row r="2474" spans="1:10">
      <c r="A2474" s="172"/>
      <c r="D2474" s="56"/>
      <c r="E2474" s="204"/>
      <c r="F2474" s="205"/>
      <c r="G2474" s="206"/>
      <c r="H2474" s="207"/>
      <c r="J2474" s="76"/>
    </row>
    <row r="2475" spans="1:10">
      <c r="A2475" s="172"/>
      <c r="D2475" s="56"/>
      <c r="E2475" s="204"/>
      <c r="F2475" s="205"/>
      <c r="G2475" s="206"/>
      <c r="H2475" s="207"/>
      <c r="J2475" s="76"/>
    </row>
    <row r="2476" spans="1:10">
      <c r="A2476" s="172"/>
      <c r="D2476" s="56"/>
      <c r="E2476" s="204"/>
      <c r="F2476" s="205"/>
      <c r="G2476" s="206"/>
      <c r="H2476" s="207"/>
      <c r="J2476" s="76"/>
    </row>
    <row r="2477" spans="1:10">
      <c r="A2477" s="172"/>
      <c r="D2477" s="56"/>
      <c r="E2477" s="204"/>
      <c r="F2477" s="205"/>
      <c r="G2477" s="206"/>
      <c r="H2477" s="207"/>
      <c r="J2477" s="76"/>
    </row>
    <row r="2478" spans="1:10">
      <c r="A2478" s="172"/>
      <c r="D2478" s="56"/>
      <c r="E2478" s="204"/>
      <c r="F2478" s="205"/>
      <c r="G2478" s="206"/>
      <c r="H2478" s="207"/>
      <c r="J2478" s="76"/>
    </row>
    <row r="2479" spans="1:10">
      <c r="A2479" s="172"/>
      <c r="D2479" s="56"/>
      <c r="E2479" s="204"/>
      <c r="F2479" s="205"/>
      <c r="G2479" s="206"/>
      <c r="H2479" s="207"/>
      <c r="J2479" s="76"/>
    </row>
    <row r="2480" spans="1:10">
      <c r="A2480" s="172"/>
      <c r="D2480" s="56"/>
      <c r="E2480" s="204"/>
      <c r="F2480" s="205"/>
      <c r="G2480" s="206"/>
      <c r="H2480" s="207"/>
      <c r="J2480" s="76"/>
    </row>
    <row r="2481" spans="1:10">
      <c r="A2481" s="172"/>
      <c r="D2481" s="56"/>
      <c r="E2481" s="204"/>
      <c r="F2481" s="205"/>
      <c r="G2481" s="206"/>
      <c r="H2481" s="207"/>
      <c r="J2481" s="76"/>
    </row>
    <row r="2482" spans="1:10">
      <c r="A2482" s="172"/>
      <c r="D2482" s="56"/>
      <c r="E2482" s="204"/>
      <c r="F2482" s="205"/>
      <c r="G2482" s="206"/>
      <c r="H2482" s="207"/>
      <c r="J2482" s="76"/>
    </row>
    <row r="2483" spans="1:10">
      <c r="A2483" s="172"/>
      <c r="D2483" s="56"/>
      <c r="E2483" s="204"/>
      <c r="F2483" s="205"/>
      <c r="G2483" s="206"/>
      <c r="H2483" s="207"/>
      <c r="J2483" s="76"/>
    </row>
    <row r="2484" spans="1:10">
      <c r="A2484" s="172"/>
      <c r="D2484" s="56"/>
      <c r="E2484" s="204"/>
      <c r="F2484" s="205"/>
      <c r="G2484" s="206"/>
      <c r="H2484" s="207"/>
      <c r="J2484" s="76"/>
    </row>
    <row r="2485" spans="1:10">
      <c r="A2485" s="172"/>
      <c r="D2485" s="56"/>
      <c r="E2485" s="204"/>
      <c r="F2485" s="205"/>
      <c r="G2485" s="206"/>
      <c r="H2485" s="207"/>
      <c r="J2485" s="76"/>
    </row>
    <row r="2486" spans="1:10">
      <c r="A2486" s="172"/>
      <c r="D2486" s="56"/>
      <c r="E2486" s="204"/>
      <c r="F2486" s="205"/>
      <c r="G2486" s="206"/>
      <c r="H2486" s="207"/>
      <c r="J2486" s="76"/>
    </row>
    <row r="2487" spans="1:10">
      <c r="A2487" s="172"/>
      <c r="D2487" s="56"/>
      <c r="E2487" s="204"/>
      <c r="F2487" s="205"/>
      <c r="G2487" s="206"/>
      <c r="H2487" s="207"/>
      <c r="J2487" s="76"/>
    </row>
    <row r="2488" spans="1:10">
      <c r="A2488" s="172"/>
      <c r="D2488" s="56"/>
      <c r="E2488" s="204"/>
      <c r="F2488" s="205"/>
      <c r="G2488" s="206"/>
      <c r="H2488" s="207"/>
      <c r="J2488" s="76"/>
    </row>
    <row r="2489" spans="1:10">
      <c r="A2489" s="172"/>
      <c r="D2489" s="56"/>
      <c r="E2489" s="204"/>
      <c r="F2489" s="205"/>
      <c r="G2489" s="206"/>
      <c r="H2489" s="207"/>
      <c r="J2489" s="76"/>
    </row>
    <row r="2490" spans="1:10">
      <c r="A2490" s="172"/>
      <c r="D2490" s="56"/>
      <c r="E2490" s="204"/>
      <c r="F2490" s="205"/>
      <c r="G2490" s="206"/>
      <c r="H2490" s="207"/>
      <c r="J2490" s="76"/>
    </row>
    <row r="2491" spans="1:10">
      <c r="A2491" s="172"/>
      <c r="D2491" s="56"/>
      <c r="E2491" s="204"/>
      <c r="F2491" s="205"/>
      <c r="G2491" s="206"/>
      <c r="H2491" s="207"/>
      <c r="J2491" s="76"/>
    </row>
    <row r="2492" spans="1:10">
      <c r="A2492" s="172"/>
      <c r="D2492" s="56"/>
      <c r="E2492" s="204"/>
      <c r="F2492" s="205"/>
      <c r="G2492" s="206"/>
      <c r="H2492" s="207"/>
      <c r="J2492" s="76"/>
    </row>
    <row r="2493" spans="1:10">
      <c r="A2493" s="172"/>
      <c r="D2493" s="56"/>
      <c r="E2493" s="204"/>
      <c r="F2493" s="205"/>
      <c r="G2493" s="206"/>
      <c r="H2493" s="207"/>
      <c r="J2493" s="76"/>
    </row>
    <row r="2494" spans="1:10">
      <c r="A2494" s="172"/>
      <c r="D2494" s="56"/>
      <c r="E2494" s="204"/>
      <c r="F2494" s="205"/>
      <c r="G2494" s="206"/>
      <c r="H2494" s="207"/>
      <c r="J2494" s="76"/>
    </row>
    <row r="2495" spans="1:10">
      <c r="A2495" s="172"/>
      <c r="D2495" s="56"/>
      <c r="E2495" s="204"/>
      <c r="F2495" s="205"/>
      <c r="G2495" s="206"/>
      <c r="H2495" s="207"/>
      <c r="J2495" s="76"/>
    </row>
    <row r="2496" spans="1:10">
      <c r="A2496" s="172"/>
      <c r="D2496" s="56"/>
      <c r="E2496" s="204"/>
      <c r="F2496" s="205"/>
      <c r="G2496" s="206"/>
      <c r="H2496" s="207"/>
      <c r="J2496" s="76"/>
    </row>
    <row r="2497" spans="1:10">
      <c r="A2497" s="172"/>
      <c r="D2497" s="56"/>
      <c r="E2497" s="204"/>
      <c r="F2497" s="205"/>
      <c r="G2497" s="206"/>
      <c r="H2497" s="207"/>
      <c r="J2497" s="76"/>
    </row>
    <row r="2498" spans="1:10">
      <c r="A2498" s="172"/>
      <c r="D2498" s="56"/>
      <c r="E2498" s="204"/>
      <c r="F2498" s="205"/>
      <c r="G2498" s="206"/>
      <c r="H2498" s="207"/>
      <c r="J2498" s="76"/>
    </row>
    <row r="2499" spans="1:10">
      <c r="A2499" s="172"/>
      <c r="D2499" s="56"/>
      <c r="E2499" s="204"/>
      <c r="F2499" s="205"/>
      <c r="G2499" s="206"/>
      <c r="H2499" s="207"/>
      <c r="J2499" s="76"/>
    </row>
    <row r="2500" spans="1:10">
      <c r="A2500" s="172"/>
      <c r="D2500" s="56"/>
      <c r="E2500" s="204"/>
      <c r="F2500" s="205"/>
      <c r="G2500" s="206"/>
      <c r="H2500" s="207"/>
      <c r="J2500" s="76"/>
    </row>
    <row r="2501" spans="1:10">
      <c r="A2501" s="172"/>
      <c r="D2501" s="56"/>
      <c r="E2501" s="204"/>
      <c r="F2501" s="205"/>
      <c r="G2501" s="206"/>
      <c r="H2501" s="207"/>
      <c r="J2501" s="76"/>
    </row>
    <row r="2502" spans="1:10">
      <c r="A2502" s="172"/>
      <c r="D2502" s="56"/>
      <c r="E2502" s="204"/>
      <c r="F2502" s="205"/>
      <c r="G2502" s="206"/>
      <c r="H2502" s="207"/>
      <c r="J2502" s="76"/>
    </row>
    <row r="2503" spans="1:10">
      <c r="A2503" s="172"/>
      <c r="D2503" s="56"/>
      <c r="E2503" s="204"/>
      <c r="F2503" s="205"/>
      <c r="G2503" s="206"/>
      <c r="H2503" s="207"/>
      <c r="J2503" s="76"/>
    </row>
    <row r="2504" spans="1:10">
      <c r="A2504" s="172"/>
      <c r="D2504" s="56"/>
      <c r="E2504" s="204"/>
      <c r="F2504" s="205"/>
      <c r="G2504" s="206"/>
      <c r="H2504" s="207"/>
      <c r="J2504" s="76"/>
    </row>
    <row r="2505" spans="1:10">
      <c r="A2505" s="172"/>
      <c r="D2505" s="56"/>
      <c r="E2505" s="204"/>
      <c r="F2505" s="205"/>
      <c r="G2505" s="206"/>
      <c r="H2505" s="207"/>
      <c r="J2505" s="76"/>
    </row>
    <row r="2506" spans="1:10">
      <c r="A2506" s="172"/>
      <c r="D2506" s="56"/>
      <c r="E2506" s="204"/>
      <c r="F2506" s="205"/>
      <c r="G2506" s="206"/>
      <c r="H2506" s="207"/>
      <c r="J2506" s="76"/>
    </row>
    <row r="2507" spans="1:10">
      <c r="A2507" s="172"/>
      <c r="D2507" s="56"/>
      <c r="E2507" s="204"/>
      <c r="F2507" s="205"/>
      <c r="G2507" s="206"/>
      <c r="H2507" s="207"/>
      <c r="J2507" s="76"/>
    </row>
    <row r="2508" spans="1:10">
      <c r="A2508" s="172"/>
      <c r="D2508" s="56"/>
      <c r="E2508" s="204"/>
      <c r="F2508" s="205"/>
      <c r="G2508" s="206"/>
      <c r="H2508" s="207"/>
      <c r="J2508" s="76"/>
    </row>
    <row r="2509" spans="1:10">
      <c r="A2509" s="172"/>
      <c r="D2509" s="56"/>
      <c r="E2509" s="204"/>
      <c r="F2509" s="205"/>
      <c r="G2509" s="206"/>
      <c r="H2509" s="207"/>
      <c r="J2509" s="76"/>
    </row>
    <row r="2510" spans="1:10">
      <c r="A2510" s="172"/>
      <c r="D2510" s="56"/>
      <c r="E2510" s="204"/>
      <c r="F2510" s="205"/>
      <c r="G2510" s="206"/>
      <c r="H2510" s="207"/>
      <c r="J2510" s="76"/>
    </row>
    <row r="2511" spans="1:10">
      <c r="A2511" s="172"/>
      <c r="D2511" s="56"/>
      <c r="E2511" s="204"/>
      <c r="F2511" s="205"/>
      <c r="G2511" s="206"/>
      <c r="H2511" s="207"/>
      <c r="J2511" s="76"/>
    </row>
    <row r="2512" spans="1:10">
      <c r="A2512" s="172"/>
      <c r="D2512" s="56"/>
      <c r="E2512" s="204"/>
      <c r="F2512" s="205"/>
      <c r="G2512" s="206"/>
      <c r="H2512" s="207"/>
      <c r="J2512" s="76"/>
    </row>
    <row r="2513" spans="1:10">
      <c r="A2513" s="172"/>
      <c r="D2513" s="56"/>
      <c r="E2513" s="204"/>
      <c r="F2513" s="205"/>
      <c r="G2513" s="206"/>
      <c r="H2513" s="207"/>
      <c r="J2513" s="76"/>
    </row>
    <row r="2514" spans="1:10">
      <c r="A2514" s="172"/>
      <c r="D2514" s="56"/>
      <c r="E2514" s="204"/>
      <c r="F2514" s="205"/>
      <c r="G2514" s="206"/>
      <c r="H2514" s="207"/>
      <c r="J2514" s="76"/>
    </row>
    <row r="2515" spans="1:10">
      <c r="A2515" s="172"/>
      <c r="D2515" s="56"/>
      <c r="E2515" s="204"/>
      <c r="F2515" s="205"/>
      <c r="G2515" s="206"/>
      <c r="H2515" s="207"/>
      <c r="J2515" s="76"/>
    </row>
    <row r="2516" spans="1:10">
      <c r="A2516" s="172"/>
      <c r="D2516" s="56"/>
      <c r="E2516" s="204"/>
      <c r="F2516" s="205"/>
      <c r="G2516" s="206"/>
      <c r="H2516" s="207"/>
      <c r="J2516" s="76"/>
    </row>
    <row r="2517" spans="1:10">
      <c r="A2517" s="172"/>
      <c r="D2517" s="56"/>
      <c r="E2517" s="204"/>
      <c r="F2517" s="205"/>
      <c r="G2517" s="206"/>
      <c r="H2517" s="207"/>
      <c r="J2517" s="76"/>
    </row>
    <row r="2518" spans="1:10">
      <c r="A2518" s="172"/>
      <c r="D2518" s="56"/>
      <c r="E2518" s="204"/>
      <c r="F2518" s="205"/>
      <c r="G2518" s="206"/>
      <c r="H2518" s="207"/>
      <c r="J2518" s="76"/>
    </row>
    <row r="2519" spans="1:10">
      <c r="A2519" s="172"/>
      <c r="D2519" s="56"/>
      <c r="E2519" s="204"/>
      <c r="F2519" s="205"/>
      <c r="G2519" s="206"/>
      <c r="H2519" s="207"/>
      <c r="J2519" s="76"/>
    </row>
    <row r="2520" spans="1:10">
      <c r="A2520" s="172"/>
      <c r="D2520" s="56"/>
      <c r="E2520" s="204"/>
      <c r="F2520" s="205"/>
      <c r="G2520" s="206"/>
      <c r="H2520" s="207"/>
      <c r="J2520" s="76"/>
    </row>
    <row r="2521" spans="1:10">
      <c r="A2521" s="172"/>
      <c r="D2521" s="56"/>
      <c r="E2521" s="204"/>
      <c r="F2521" s="205"/>
      <c r="G2521" s="206"/>
      <c r="H2521" s="207"/>
      <c r="J2521" s="76"/>
    </row>
    <row r="2522" spans="1:10">
      <c r="A2522" s="172"/>
      <c r="D2522" s="56"/>
      <c r="E2522" s="204"/>
      <c r="F2522" s="205"/>
      <c r="G2522" s="206"/>
      <c r="H2522" s="207"/>
      <c r="J2522" s="76"/>
    </row>
    <row r="2523" spans="1:10">
      <c r="A2523" s="172"/>
      <c r="D2523" s="56"/>
      <c r="E2523" s="204"/>
      <c r="F2523" s="205"/>
      <c r="G2523" s="206"/>
      <c r="H2523" s="207"/>
      <c r="J2523" s="76"/>
    </row>
    <row r="2524" spans="1:10">
      <c r="A2524" s="172"/>
      <c r="D2524" s="56"/>
      <c r="E2524" s="204"/>
      <c r="F2524" s="205"/>
      <c r="G2524" s="206"/>
      <c r="H2524" s="207"/>
      <c r="J2524" s="76"/>
    </row>
    <row r="2525" spans="1:10">
      <c r="A2525" s="172"/>
      <c r="D2525" s="56"/>
      <c r="E2525" s="204"/>
      <c r="F2525" s="205"/>
      <c r="G2525" s="206"/>
      <c r="H2525" s="207"/>
      <c r="J2525" s="76"/>
    </row>
    <row r="2526" spans="1:10">
      <c r="A2526" s="172"/>
      <c r="D2526" s="56"/>
      <c r="E2526" s="204"/>
      <c r="F2526" s="205"/>
      <c r="G2526" s="206"/>
      <c r="H2526" s="207"/>
      <c r="J2526" s="76"/>
    </row>
    <row r="2527" spans="1:10">
      <c r="A2527" s="172"/>
      <c r="D2527" s="56"/>
      <c r="E2527" s="204"/>
      <c r="F2527" s="205"/>
      <c r="G2527" s="206"/>
      <c r="H2527" s="207"/>
      <c r="J2527" s="76"/>
    </row>
    <row r="2528" spans="1:10">
      <c r="A2528" s="172"/>
      <c r="D2528" s="56"/>
      <c r="E2528" s="204"/>
      <c r="F2528" s="205"/>
      <c r="G2528" s="206"/>
      <c r="H2528" s="207"/>
      <c r="J2528" s="76"/>
    </row>
    <row r="2529" spans="1:10">
      <c r="A2529" s="172"/>
      <c r="D2529" s="56"/>
      <c r="E2529" s="204"/>
      <c r="F2529" s="205"/>
      <c r="G2529" s="206"/>
      <c r="H2529" s="207"/>
      <c r="J2529" s="76"/>
    </row>
    <row r="2530" spans="1:10">
      <c r="A2530" s="172"/>
      <c r="D2530" s="56"/>
      <c r="E2530" s="204"/>
      <c r="F2530" s="205"/>
      <c r="G2530" s="206"/>
      <c r="H2530" s="207"/>
      <c r="J2530" s="76"/>
    </row>
    <row r="2531" spans="1:10">
      <c r="A2531" s="172"/>
      <c r="D2531" s="56"/>
      <c r="E2531" s="204"/>
      <c r="F2531" s="205"/>
      <c r="G2531" s="206"/>
      <c r="H2531" s="207"/>
      <c r="J2531" s="76"/>
    </row>
    <row r="2532" spans="1:10">
      <c r="A2532" s="172"/>
      <c r="D2532" s="56"/>
      <c r="E2532" s="204"/>
      <c r="F2532" s="205"/>
      <c r="G2532" s="206"/>
      <c r="H2532" s="207"/>
      <c r="J2532" s="76"/>
    </row>
    <row r="2533" spans="1:10">
      <c r="A2533" s="172"/>
      <c r="D2533" s="56"/>
      <c r="E2533" s="204"/>
      <c r="F2533" s="205"/>
      <c r="G2533" s="206"/>
      <c r="H2533" s="207"/>
      <c r="J2533" s="76"/>
    </row>
    <row r="2534" spans="1:10">
      <c r="A2534" s="172"/>
      <c r="D2534" s="56"/>
      <c r="E2534" s="204"/>
      <c r="F2534" s="205"/>
      <c r="G2534" s="206"/>
      <c r="H2534" s="207"/>
      <c r="J2534" s="76"/>
    </row>
    <row r="2535" spans="1:10">
      <c r="A2535" s="172"/>
      <c r="D2535" s="56"/>
      <c r="E2535" s="204"/>
      <c r="F2535" s="205"/>
      <c r="G2535" s="206"/>
      <c r="H2535" s="207"/>
      <c r="J2535" s="76"/>
    </row>
    <row r="2536" spans="1:10">
      <c r="A2536" s="172"/>
      <c r="D2536" s="56"/>
      <c r="E2536" s="204"/>
      <c r="F2536" s="205"/>
      <c r="G2536" s="206"/>
      <c r="H2536" s="207"/>
      <c r="J2536" s="76"/>
    </row>
    <row r="2537" spans="1:10">
      <c r="A2537" s="172"/>
      <c r="D2537" s="56"/>
      <c r="E2537" s="204"/>
      <c r="F2537" s="205"/>
      <c r="G2537" s="206"/>
      <c r="H2537" s="207"/>
      <c r="J2537" s="76"/>
    </row>
    <row r="2538" spans="1:10">
      <c r="A2538" s="172"/>
      <c r="D2538" s="56"/>
      <c r="E2538" s="204"/>
      <c r="F2538" s="205"/>
      <c r="G2538" s="206"/>
      <c r="H2538" s="207"/>
      <c r="J2538" s="76"/>
    </row>
    <row r="2539" spans="1:10">
      <c r="A2539" s="172"/>
      <c r="D2539" s="56"/>
      <c r="E2539" s="204"/>
      <c r="F2539" s="205"/>
      <c r="G2539" s="206"/>
      <c r="H2539" s="207"/>
      <c r="J2539" s="76"/>
    </row>
    <row r="2540" spans="1:10">
      <c r="A2540" s="172"/>
      <c r="D2540" s="56"/>
      <c r="E2540" s="204"/>
      <c r="F2540" s="205"/>
      <c r="G2540" s="206"/>
      <c r="H2540" s="207"/>
      <c r="J2540" s="76"/>
    </row>
    <row r="2541" spans="1:10">
      <c r="A2541" s="172"/>
      <c r="D2541" s="56"/>
      <c r="E2541" s="204"/>
      <c r="F2541" s="205"/>
      <c r="G2541" s="206"/>
      <c r="H2541" s="207"/>
      <c r="J2541" s="76"/>
    </row>
    <row r="2542" spans="1:10">
      <c r="A2542" s="172"/>
      <c r="D2542" s="56"/>
      <c r="E2542" s="204"/>
      <c r="F2542" s="205"/>
      <c r="G2542" s="206"/>
      <c r="H2542" s="207"/>
      <c r="J2542" s="76"/>
    </row>
    <row r="2543" spans="1:10">
      <c r="A2543" s="172"/>
      <c r="D2543" s="56"/>
      <c r="E2543" s="204"/>
      <c r="F2543" s="205"/>
      <c r="G2543" s="206"/>
      <c r="H2543" s="207"/>
      <c r="J2543" s="76"/>
    </row>
    <row r="2544" spans="1:10">
      <c r="A2544" s="172"/>
      <c r="D2544" s="56"/>
      <c r="E2544" s="204"/>
      <c r="F2544" s="205"/>
      <c r="G2544" s="206"/>
      <c r="H2544" s="207"/>
      <c r="J2544" s="76"/>
    </row>
    <row r="2545" spans="1:10">
      <c r="A2545" s="172"/>
      <c r="D2545" s="56"/>
      <c r="E2545" s="204"/>
      <c r="F2545" s="205"/>
      <c r="G2545" s="206"/>
      <c r="H2545" s="207"/>
      <c r="J2545" s="76"/>
    </row>
    <row r="2546" spans="1:10">
      <c r="A2546" s="172"/>
      <c r="D2546" s="56"/>
      <c r="E2546" s="204"/>
      <c r="F2546" s="205"/>
      <c r="G2546" s="206"/>
      <c r="H2546" s="207"/>
      <c r="J2546" s="76"/>
    </row>
    <row r="2547" spans="1:10">
      <c r="A2547" s="172"/>
      <c r="D2547" s="56"/>
      <c r="E2547" s="204"/>
      <c r="F2547" s="205"/>
      <c r="G2547" s="206"/>
      <c r="H2547" s="207"/>
      <c r="J2547" s="76"/>
    </row>
    <row r="2548" spans="1:10">
      <c r="A2548" s="172"/>
      <c r="D2548" s="56"/>
      <c r="E2548" s="204"/>
      <c r="F2548" s="205"/>
      <c r="G2548" s="206"/>
      <c r="H2548" s="207"/>
      <c r="J2548" s="76"/>
    </row>
    <row r="2549" spans="1:10">
      <c r="A2549" s="172"/>
      <c r="D2549" s="56"/>
      <c r="E2549" s="204"/>
      <c r="F2549" s="205"/>
      <c r="G2549" s="206"/>
      <c r="H2549" s="207"/>
      <c r="J2549" s="76"/>
    </row>
    <row r="2550" spans="1:10">
      <c r="A2550" s="172"/>
      <c r="D2550" s="56"/>
      <c r="E2550" s="204"/>
      <c r="F2550" s="205"/>
      <c r="G2550" s="206"/>
      <c r="H2550" s="207"/>
      <c r="J2550" s="76"/>
    </row>
    <row r="2551" spans="1:10">
      <c r="A2551" s="172"/>
      <c r="D2551" s="56"/>
      <c r="E2551" s="204"/>
      <c r="F2551" s="205"/>
      <c r="G2551" s="206"/>
      <c r="H2551" s="207"/>
      <c r="J2551" s="76"/>
    </row>
    <row r="2552" spans="1:10">
      <c r="A2552" s="172"/>
      <c r="D2552" s="56"/>
      <c r="E2552" s="204"/>
      <c r="F2552" s="205"/>
      <c r="G2552" s="206"/>
      <c r="H2552" s="207"/>
      <c r="J2552" s="76"/>
    </row>
    <row r="2553" spans="1:10">
      <c r="A2553" s="172"/>
      <c r="D2553" s="56"/>
      <c r="E2553" s="204"/>
      <c r="F2553" s="205"/>
      <c r="G2553" s="206"/>
      <c r="H2553" s="207"/>
      <c r="J2553" s="76"/>
    </row>
    <row r="2554" spans="1:10">
      <c r="A2554" s="172"/>
      <c r="D2554" s="56"/>
      <c r="E2554" s="204"/>
      <c r="F2554" s="205"/>
      <c r="G2554" s="206"/>
      <c r="H2554" s="207"/>
      <c r="J2554" s="76"/>
    </row>
    <row r="2555" spans="1:10">
      <c r="A2555" s="172"/>
      <c r="D2555" s="56"/>
      <c r="E2555" s="204"/>
      <c r="F2555" s="205"/>
      <c r="G2555" s="206"/>
      <c r="H2555" s="207"/>
      <c r="J2555" s="76"/>
    </row>
    <row r="2556" spans="1:10">
      <c r="A2556" s="172"/>
      <c r="D2556" s="56"/>
      <c r="E2556" s="204"/>
      <c r="F2556" s="205"/>
      <c r="G2556" s="206"/>
      <c r="H2556" s="207"/>
      <c r="J2556" s="76"/>
    </row>
    <row r="2557" spans="1:10">
      <c r="A2557" s="172"/>
      <c r="D2557" s="56"/>
      <c r="E2557" s="204"/>
      <c r="F2557" s="205"/>
      <c r="G2557" s="206"/>
      <c r="H2557" s="207"/>
      <c r="J2557" s="76"/>
    </row>
    <row r="2558" spans="1:10">
      <c r="A2558" s="172"/>
      <c r="D2558" s="56"/>
      <c r="E2558" s="204"/>
      <c r="F2558" s="205"/>
      <c r="G2558" s="206"/>
      <c r="H2558" s="207"/>
      <c r="J2558" s="76"/>
    </row>
    <row r="2559" spans="1:10">
      <c r="A2559" s="172"/>
      <c r="D2559" s="56"/>
      <c r="E2559" s="204"/>
      <c r="F2559" s="205"/>
      <c r="G2559" s="206"/>
      <c r="H2559" s="207"/>
      <c r="J2559" s="76"/>
    </row>
    <row r="2560" spans="1:10">
      <c r="A2560" s="172"/>
      <c r="D2560" s="56"/>
      <c r="E2560" s="204"/>
      <c r="F2560" s="205"/>
      <c r="G2560" s="206"/>
      <c r="H2560" s="207"/>
      <c r="J2560" s="76"/>
    </row>
    <row r="2561" spans="1:10">
      <c r="A2561" s="172"/>
      <c r="D2561" s="56"/>
      <c r="E2561" s="204"/>
      <c r="F2561" s="205"/>
      <c r="G2561" s="206"/>
      <c r="H2561" s="207"/>
      <c r="J2561" s="76"/>
    </row>
    <row r="2562" spans="1:10">
      <c r="A2562" s="172"/>
      <c r="D2562" s="56"/>
      <c r="E2562" s="204"/>
      <c r="F2562" s="205"/>
      <c r="G2562" s="206"/>
      <c r="H2562" s="207"/>
      <c r="J2562" s="76"/>
    </row>
    <row r="2563" spans="1:10">
      <c r="A2563" s="172"/>
      <c r="D2563" s="56"/>
      <c r="E2563" s="204"/>
      <c r="F2563" s="205"/>
      <c r="G2563" s="206"/>
      <c r="H2563" s="207"/>
      <c r="J2563" s="76"/>
    </row>
    <row r="2564" spans="1:10">
      <c r="A2564" s="172"/>
      <c r="D2564" s="56"/>
      <c r="E2564" s="204"/>
      <c r="F2564" s="205"/>
      <c r="G2564" s="206"/>
      <c r="H2564" s="207"/>
      <c r="J2564" s="76"/>
    </row>
    <row r="2565" spans="1:10">
      <c r="A2565" s="172"/>
      <c r="D2565" s="56"/>
      <c r="E2565" s="204"/>
      <c r="F2565" s="205"/>
      <c r="G2565" s="206"/>
      <c r="H2565" s="207"/>
      <c r="J2565" s="76"/>
    </row>
    <row r="2566" spans="1:10">
      <c r="A2566" s="172"/>
      <c r="D2566" s="56"/>
      <c r="E2566" s="204"/>
      <c r="F2566" s="205"/>
      <c r="G2566" s="206"/>
      <c r="H2566" s="207"/>
      <c r="J2566" s="76"/>
    </row>
    <row r="2567" spans="1:10">
      <c r="A2567" s="172"/>
      <c r="D2567" s="56"/>
      <c r="E2567" s="204"/>
      <c r="F2567" s="205"/>
      <c r="G2567" s="206"/>
      <c r="H2567" s="207"/>
      <c r="J2567" s="76"/>
    </row>
    <row r="2568" spans="1:10">
      <c r="A2568" s="172"/>
      <c r="D2568" s="56"/>
      <c r="E2568" s="204"/>
      <c r="F2568" s="205"/>
      <c r="G2568" s="206"/>
      <c r="H2568" s="207"/>
      <c r="J2568" s="76"/>
    </row>
    <row r="2569" spans="1:10">
      <c r="A2569" s="172"/>
      <c r="D2569" s="56"/>
      <c r="E2569" s="204"/>
      <c r="F2569" s="205"/>
      <c r="G2569" s="206"/>
      <c r="H2569" s="207"/>
      <c r="J2569" s="76"/>
    </row>
    <row r="2570" spans="1:10">
      <c r="A2570" s="172"/>
      <c r="D2570" s="56"/>
      <c r="E2570" s="204"/>
      <c r="F2570" s="205"/>
      <c r="G2570" s="206"/>
      <c r="H2570" s="207"/>
      <c r="J2570" s="76"/>
    </row>
    <row r="2571" spans="1:10">
      <c r="A2571" s="172"/>
      <c r="D2571" s="56"/>
      <c r="E2571" s="204"/>
      <c r="F2571" s="205"/>
      <c r="G2571" s="206"/>
      <c r="H2571" s="207"/>
      <c r="J2571" s="76"/>
    </row>
    <row r="2572" spans="1:10">
      <c r="A2572" s="172"/>
      <c r="D2572" s="56"/>
      <c r="E2572" s="204"/>
      <c r="F2572" s="205"/>
      <c r="G2572" s="206"/>
      <c r="H2572" s="207"/>
      <c r="J2572" s="76"/>
    </row>
    <row r="2573" spans="1:10">
      <c r="A2573" s="172"/>
      <c r="D2573" s="56"/>
      <c r="E2573" s="204"/>
      <c r="F2573" s="205"/>
      <c r="G2573" s="206"/>
      <c r="H2573" s="207"/>
      <c r="J2573" s="76"/>
    </row>
    <row r="2574" spans="1:10">
      <c r="A2574" s="172"/>
      <c r="D2574" s="56"/>
      <c r="E2574" s="204"/>
      <c r="F2574" s="205"/>
      <c r="G2574" s="206"/>
      <c r="H2574" s="207"/>
      <c r="J2574" s="76"/>
    </row>
    <row r="2575" spans="1:10">
      <c r="A2575" s="172"/>
      <c r="D2575" s="56"/>
      <c r="E2575" s="204"/>
      <c r="F2575" s="205"/>
      <c r="G2575" s="206"/>
      <c r="H2575" s="207"/>
      <c r="J2575" s="76"/>
    </row>
    <row r="2576" spans="1:10">
      <c r="A2576" s="172"/>
      <c r="D2576" s="56"/>
      <c r="E2576" s="204"/>
      <c r="F2576" s="205"/>
      <c r="G2576" s="206"/>
      <c r="H2576" s="207"/>
      <c r="J2576" s="76"/>
    </row>
    <row r="2577" spans="1:10">
      <c r="A2577" s="172"/>
      <c r="D2577" s="56"/>
      <c r="E2577" s="204"/>
      <c r="F2577" s="205"/>
      <c r="G2577" s="206"/>
      <c r="H2577" s="207"/>
      <c r="J2577" s="76"/>
    </row>
    <row r="2578" spans="1:10">
      <c r="A2578" s="172"/>
      <c r="D2578" s="56"/>
      <c r="E2578" s="204"/>
      <c r="F2578" s="205"/>
      <c r="G2578" s="206"/>
      <c r="H2578" s="207"/>
      <c r="J2578" s="76"/>
    </row>
    <row r="2579" spans="1:10">
      <c r="A2579" s="172"/>
      <c r="D2579" s="56"/>
      <c r="E2579" s="204"/>
      <c r="F2579" s="205"/>
      <c r="G2579" s="206"/>
      <c r="H2579" s="207"/>
      <c r="J2579" s="76"/>
    </row>
    <row r="2580" spans="1:10">
      <c r="A2580" s="172"/>
      <c r="D2580" s="56"/>
      <c r="E2580" s="204"/>
      <c r="F2580" s="205"/>
      <c r="G2580" s="206"/>
      <c r="H2580" s="207"/>
      <c r="J2580" s="76"/>
    </row>
    <row r="2581" spans="1:10">
      <c r="A2581" s="172"/>
      <c r="D2581" s="56"/>
      <c r="E2581" s="204"/>
      <c r="F2581" s="205"/>
      <c r="G2581" s="206"/>
      <c r="H2581" s="207"/>
      <c r="J2581" s="76"/>
    </row>
    <row r="2582" spans="1:10">
      <c r="A2582" s="172"/>
      <c r="D2582" s="56"/>
      <c r="E2582" s="204"/>
      <c r="F2582" s="205"/>
      <c r="G2582" s="206"/>
      <c r="H2582" s="207"/>
      <c r="J2582" s="76"/>
    </row>
    <row r="2583" spans="1:10">
      <c r="A2583" s="172"/>
      <c r="D2583" s="56"/>
      <c r="E2583" s="204"/>
      <c r="F2583" s="205"/>
      <c r="G2583" s="206"/>
      <c r="H2583" s="207"/>
      <c r="J2583" s="76"/>
    </row>
    <row r="2584" spans="1:10">
      <c r="A2584" s="172"/>
      <c r="D2584" s="56"/>
      <c r="E2584" s="204"/>
      <c r="F2584" s="205"/>
      <c r="G2584" s="206"/>
      <c r="H2584" s="207"/>
      <c r="J2584" s="76"/>
    </row>
    <row r="2585" spans="1:10">
      <c r="A2585" s="172"/>
      <c r="D2585" s="56"/>
      <c r="E2585" s="204"/>
      <c r="F2585" s="205"/>
      <c r="G2585" s="206"/>
      <c r="H2585" s="207"/>
      <c r="J2585" s="76"/>
    </row>
    <row r="2586" spans="1:10">
      <c r="A2586" s="172"/>
      <c r="D2586" s="56"/>
      <c r="E2586" s="204"/>
      <c r="F2586" s="205"/>
      <c r="G2586" s="206"/>
      <c r="H2586" s="207"/>
      <c r="J2586" s="76"/>
    </row>
    <row r="2587" spans="1:10">
      <c r="A2587" s="172"/>
      <c r="D2587" s="56"/>
      <c r="E2587" s="204"/>
      <c r="F2587" s="205"/>
      <c r="G2587" s="206"/>
      <c r="H2587" s="207"/>
      <c r="J2587" s="76"/>
    </row>
    <row r="2588" spans="1:10">
      <c r="A2588" s="172"/>
      <c r="D2588" s="56"/>
      <c r="E2588" s="204"/>
      <c r="F2588" s="205"/>
      <c r="G2588" s="206"/>
      <c r="H2588" s="207"/>
      <c r="J2588" s="76"/>
    </row>
    <row r="2589" spans="1:10">
      <c r="A2589" s="172"/>
      <c r="D2589" s="56"/>
      <c r="E2589" s="204"/>
      <c r="F2589" s="205"/>
      <c r="G2589" s="206"/>
      <c r="H2589" s="207"/>
      <c r="J2589" s="76"/>
    </row>
    <row r="2590" spans="1:10">
      <c r="A2590" s="172"/>
      <c r="D2590" s="56"/>
      <c r="E2590" s="204"/>
      <c r="F2590" s="205"/>
      <c r="G2590" s="206"/>
      <c r="H2590" s="207"/>
      <c r="J2590" s="76"/>
    </row>
    <row r="2591" spans="1:10">
      <c r="A2591" s="172"/>
      <c r="D2591" s="56"/>
      <c r="E2591" s="204"/>
      <c r="F2591" s="205"/>
      <c r="G2591" s="206"/>
      <c r="H2591" s="207"/>
      <c r="J2591" s="76"/>
    </row>
    <row r="2592" spans="1:10">
      <c r="A2592" s="172"/>
      <c r="D2592" s="56"/>
      <c r="E2592" s="204"/>
      <c r="F2592" s="205"/>
      <c r="G2592" s="206"/>
      <c r="H2592" s="207"/>
      <c r="J2592" s="76"/>
    </row>
    <row r="2593" spans="1:10">
      <c r="A2593" s="172"/>
      <c r="D2593" s="56"/>
      <c r="E2593" s="204"/>
      <c r="F2593" s="205"/>
      <c r="G2593" s="206"/>
      <c r="H2593" s="207"/>
      <c r="J2593" s="76"/>
    </row>
    <row r="2594" spans="1:10">
      <c r="A2594" s="172"/>
      <c r="D2594" s="56"/>
      <c r="E2594" s="204"/>
      <c r="F2594" s="205"/>
      <c r="G2594" s="206"/>
      <c r="H2594" s="207"/>
      <c r="J2594" s="76"/>
    </row>
    <row r="2595" spans="1:10">
      <c r="A2595" s="172"/>
      <c r="D2595" s="56"/>
      <c r="E2595" s="204"/>
      <c r="F2595" s="205"/>
      <c r="G2595" s="206"/>
      <c r="H2595" s="207"/>
      <c r="J2595" s="76"/>
    </row>
    <row r="2596" spans="1:10">
      <c r="A2596" s="172"/>
      <c r="D2596" s="56"/>
      <c r="E2596" s="204"/>
      <c r="F2596" s="205"/>
      <c r="G2596" s="206"/>
      <c r="H2596" s="207"/>
      <c r="J2596" s="76"/>
    </row>
    <row r="2597" spans="1:10">
      <c r="A2597" s="172"/>
      <c r="D2597" s="56"/>
      <c r="E2597" s="204"/>
      <c r="F2597" s="205"/>
      <c r="G2597" s="206"/>
      <c r="H2597" s="207"/>
      <c r="J2597" s="76"/>
    </row>
    <row r="2598" spans="1:10">
      <c r="A2598" s="172"/>
      <c r="D2598" s="56"/>
      <c r="E2598" s="204"/>
      <c r="F2598" s="205"/>
      <c r="G2598" s="206"/>
      <c r="H2598" s="207"/>
      <c r="J2598" s="76"/>
    </row>
    <row r="2599" spans="1:10">
      <c r="A2599" s="172"/>
      <c r="D2599" s="56"/>
      <c r="E2599" s="204"/>
      <c r="F2599" s="205"/>
      <c r="G2599" s="206"/>
      <c r="H2599" s="207"/>
      <c r="J2599" s="76"/>
    </row>
    <row r="2600" spans="1:10">
      <c r="A2600" s="172"/>
      <c r="D2600" s="56"/>
      <c r="E2600" s="204"/>
      <c r="F2600" s="205"/>
      <c r="G2600" s="206"/>
      <c r="H2600" s="207"/>
      <c r="J2600" s="76"/>
    </row>
    <row r="2601" spans="1:10">
      <c r="A2601" s="172"/>
      <c r="D2601" s="56"/>
      <c r="E2601" s="204"/>
      <c r="F2601" s="205"/>
      <c r="G2601" s="206"/>
      <c r="H2601" s="207"/>
      <c r="J2601" s="76"/>
    </row>
    <row r="2602" spans="1:10">
      <c r="A2602" s="172"/>
      <c r="D2602" s="56"/>
      <c r="E2602" s="204"/>
      <c r="F2602" s="205"/>
      <c r="G2602" s="206"/>
      <c r="H2602" s="207"/>
      <c r="J2602" s="76"/>
    </row>
    <row r="2603" spans="1:10">
      <c r="A2603" s="172"/>
      <c r="D2603" s="56"/>
      <c r="E2603" s="204"/>
      <c r="F2603" s="205"/>
      <c r="G2603" s="206"/>
      <c r="H2603" s="207"/>
      <c r="J2603" s="76"/>
    </row>
    <row r="2604" spans="1:10">
      <c r="A2604" s="172"/>
      <c r="D2604" s="56"/>
      <c r="E2604" s="204"/>
      <c r="F2604" s="205"/>
      <c r="G2604" s="206"/>
      <c r="H2604" s="207"/>
      <c r="J2604" s="76"/>
    </row>
    <row r="2605" spans="1:10">
      <c r="A2605" s="172"/>
      <c r="D2605" s="56"/>
      <c r="E2605" s="204"/>
      <c r="F2605" s="205"/>
      <c r="G2605" s="206"/>
      <c r="H2605" s="207"/>
      <c r="J2605" s="76"/>
    </row>
    <row r="2606" spans="1:10">
      <c r="A2606" s="172"/>
      <c r="D2606" s="56"/>
      <c r="E2606" s="204"/>
      <c r="F2606" s="205"/>
      <c r="G2606" s="206"/>
      <c r="H2606" s="207"/>
      <c r="J2606" s="76"/>
    </row>
    <row r="2607" spans="1:10">
      <c r="A2607" s="172"/>
      <c r="D2607" s="56"/>
      <c r="E2607" s="204"/>
      <c r="F2607" s="205"/>
      <c r="G2607" s="206"/>
      <c r="H2607" s="207"/>
      <c r="J2607" s="76"/>
    </row>
    <row r="2608" spans="1:10">
      <c r="A2608" s="172"/>
      <c r="D2608" s="56"/>
      <c r="E2608" s="204"/>
      <c r="F2608" s="205"/>
      <c r="G2608" s="206"/>
      <c r="H2608" s="207"/>
      <c r="J2608" s="76"/>
    </row>
    <row r="2609" spans="1:10">
      <c r="A2609" s="172"/>
      <c r="D2609" s="56"/>
      <c r="E2609" s="204"/>
      <c r="F2609" s="205"/>
      <c r="G2609" s="206"/>
      <c r="H2609" s="207"/>
      <c r="J2609" s="76"/>
    </row>
    <row r="2610" spans="1:10">
      <c r="A2610" s="172"/>
      <c r="D2610" s="56"/>
      <c r="E2610" s="204"/>
      <c r="F2610" s="205"/>
      <c r="G2610" s="206"/>
      <c r="H2610" s="207"/>
      <c r="J2610" s="76"/>
    </row>
    <row r="2611" spans="1:10">
      <c r="A2611" s="172"/>
      <c r="D2611" s="56"/>
      <c r="E2611" s="204"/>
      <c r="F2611" s="205"/>
      <c r="G2611" s="206"/>
      <c r="H2611" s="207"/>
      <c r="J2611" s="76"/>
    </row>
    <row r="2612" spans="1:10">
      <c r="A2612" s="172"/>
      <c r="D2612" s="56"/>
      <c r="E2612" s="204"/>
      <c r="F2612" s="205"/>
      <c r="G2612" s="206"/>
      <c r="H2612" s="207"/>
      <c r="J2612" s="76"/>
    </row>
    <row r="2613" spans="1:10">
      <c r="A2613" s="172"/>
      <c r="D2613" s="56"/>
      <c r="E2613" s="204"/>
      <c r="F2613" s="205"/>
      <c r="G2613" s="206"/>
      <c r="H2613" s="207"/>
      <c r="J2613" s="76"/>
    </row>
    <row r="2614" spans="1:10">
      <c r="A2614" s="172"/>
      <c r="D2614" s="56"/>
      <c r="E2614" s="204"/>
      <c r="F2614" s="205"/>
      <c r="G2614" s="206"/>
      <c r="H2614" s="207"/>
      <c r="J2614" s="76"/>
    </row>
    <row r="2615" spans="1:10">
      <c r="A2615" s="172"/>
      <c r="D2615" s="56"/>
      <c r="E2615" s="204"/>
      <c r="F2615" s="205"/>
      <c r="G2615" s="206"/>
      <c r="H2615" s="207"/>
      <c r="J2615" s="76"/>
    </row>
    <row r="2616" spans="1:10">
      <c r="A2616" s="172"/>
      <c r="D2616" s="56"/>
      <c r="E2616" s="204"/>
      <c r="F2616" s="205"/>
      <c r="G2616" s="206"/>
      <c r="H2616" s="207"/>
      <c r="J2616" s="76"/>
    </row>
    <row r="2617" spans="1:10">
      <c r="A2617" s="172"/>
      <c r="D2617" s="56"/>
      <c r="E2617" s="204"/>
      <c r="F2617" s="205"/>
      <c r="G2617" s="206"/>
      <c r="H2617" s="207"/>
      <c r="J2617" s="76"/>
    </row>
    <row r="2618" spans="1:10">
      <c r="A2618" s="172"/>
      <c r="D2618" s="56"/>
      <c r="E2618" s="204"/>
      <c r="F2618" s="205"/>
      <c r="G2618" s="206"/>
      <c r="H2618" s="207"/>
      <c r="J2618" s="76"/>
    </row>
    <row r="2619" spans="1:10">
      <c r="A2619" s="172"/>
      <c r="D2619" s="56"/>
      <c r="E2619" s="204"/>
      <c r="F2619" s="205"/>
      <c r="G2619" s="206"/>
      <c r="H2619" s="207"/>
      <c r="J2619" s="76"/>
    </row>
    <row r="2620" spans="1:10">
      <c r="A2620" s="172"/>
      <c r="D2620" s="56"/>
      <c r="E2620" s="204"/>
      <c r="F2620" s="205"/>
      <c r="G2620" s="206"/>
      <c r="H2620" s="207"/>
      <c r="J2620" s="76"/>
    </row>
    <row r="2621" spans="1:10">
      <c r="A2621" s="172"/>
      <c r="D2621" s="56"/>
      <c r="E2621" s="204"/>
      <c r="F2621" s="205"/>
      <c r="G2621" s="206"/>
      <c r="H2621" s="207"/>
      <c r="J2621" s="76"/>
    </row>
    <row r="2622" spans="1:10">
      <c r="A2622" s="172"/>
      <c r="D2622" s="56"/>
      <c r="E2622" s="204"/>
      <c r="F2622" s="205"/>
      <c r="G2622" s="206"/>
      <c r="H2622" s="207"/>
      <c r="J2622" s="76"/>
    </row>
    <row r="2623" spans="1:10">
      <c r="A2623" s="172"/>
      <c r="D2623" s="56"/>
      <c r="E2623" s="204"/>
      <c r="F2623" s="205"/>
      <c r="G2623" s="206"/>
      <c r="H2623" s="207"/>
      <c r="J2623" s="76"/>
    </row>
    <row r="2624" spans="1:10">
      <c r="A2624" s="172"/>
      <c r="D2624" s="56"/>
      <c r="E2624" s="204"/>
      <c r="F2624" s="205"/>
      <c r="G2624" s="206"/>
      <c r="H2624" s="207"/>
      <c r="J2624" s="76"/>
    </row>
    <row r="2625" spans="1:10">
      <c r="A2625" s="172"/>
      <c r="D2625" s="56"/>
      <c r="E2625" s="204"/>
      <c r="F2625" s="205"/>
      <c r="G2625" s="206"/>
      <c r="H2625" s="207"/>
      <c r="J2625" s="76"/>
    </row>
    <row r="2626" spans="1:10">
      <c r="A2626" s="172"/>
      <c r="D2626" s="56"/>
      <c r="E2626" s="204"/>
      <c r="F2626" s="205"/>
      <c r="G2626" s="206"/>
      <c r="H2626" s="207"/>
      <c r="J2626" s="76"/>
    </row>
    <row r="2627" spans="1:10">
      <c r="A2627" s="172"/>
      <c r="D2627" s="56"/>
      <c r="E2627" s="204"/>
      <c r="F2627" s="205"/>
      <c r="G2627" s="206"/>
      <c r="H2627" s="207"/>
      <c r="J2627" s="76"/>
    </row>
    <row r="2628" spans="1:10">
      <c r="A2628" s="172"/>
      <c r="D2628" s="56"/>
      <c r="E2628" s="204"/>
      <c r="F2628" s="205"/>
      <c r="G2628" s="206"/>
      <c r="H2628" s="207"/>
      <c r="J2628" s="76"/>
    </row>
    <row r="2629" spans="1:10">
      <c r="A2629" s="172"/>
      <c r="D2629" s="56"/>
      <c r="E2629" s="204"/>
      <c r="F2629" s="205"/>
      <c r="G2629" s="206"/>
      <c r="H2629" s="207"/>
      <c r="J2629" s="76"/>
    </row>
    <row r="2630" spans="1:10">
      <c r="A2630" s="172"/>
      <c r="D2630" s="56"/>
      <c r="E2630" s="204"/>
      <c r="F2630" s="205"/>
      <c r="G2630" s="206"/>
      <c r="H2630" s="207"/>
      <c r="J2630" s="76"/>
    </row>
    <row r="2631" spans="1:10">
      <c r="A2631" s="172"/>
      <c r="D2631" s="56"/>
      <c r="E2631" s="204"/>
      <c r="F2631" s="205"/>
      <c r="G2631" s="206"/>
      <c r="H2631" s="207"/>
      <c r="J2631" s="76"/>
    </row>
    <row r="2632" spans="1:10">
      <c r="A2632" s="172"/>
      <c r="D2632" s="56"/>
      <c r="E2632" s="204"/>
      <c r="F2632" s="205"/>
      <c r="G2632" s="206"/>
      <c r="H2632" s="207"/>
      <c r="J2632" s="76"/>
    </row>
    <row r="2633" spans="1:10">
      <c r="A2633" s="172"/>
      <c r="D2633" s="56"/>
      <c r="E2633" s="204"/>
      <c r="F2633" s="205"/>
      <c r="G2633" s="206"/>
      <c r="H2633" s="207"/>
      <c r="J2633" s="76"/>
    </row>
    <row r="2634" spans="1:10">
      <c r="A2634" s="172"/>
      <c r="D2634" s="56"/>
      <c r="E2634" s="204"/>
      <c r="F2634" s="205"/>
      <c r="G2634" s="206"/>
      <c r="H2634" s="207"/>
      <c r="J2634" s="76"/>
    </row>
    <row r="2635" spans="1:10">
      <c r="A2635" s="172"/>
      <c r="D2635" s="56"/>
      <c r="E2635" s="204"/>
      <c r="F2635" s="205"/>
      <c r="G2635" s="206"/>
      <c r="H2635" s="207"/>
      <c r="J2635" s="76"/>
    </row>
    <row r="2636" spans="1:10">
      <c r="A2636" s="172"/>
      <c r="D2636" s="56"/>
      <c r="E2636" s="204"/>
      <c r="F2636" s="205"/>
      <c r="G2636" s="206"/>
      <c r="H2636" s="207"/>
      <c r="J2636" s="76"/>
    </row>
    <row r="2637" spans="1:10">
      <c r="A2637" s="172"/>
      <c r="D2637" s="56"/>
      <c r="E2637" s="204"/>
      <c r="F2637" s="205"/>
      <c r="G2637" s="206"/>
      <c r="H2637" s="207"/>
      <c r="J2637" s="76"/>
    </row>
    <row r="2638" spans="1:10">
      <c r="A2638" s="172"/>
      <c r="D2638" s="56"/>
      <c r="E2638" s="204"/>
      <c r="F2638" s="205"/>
      <c r="G2638" s="206"/>
      <c r="H2638" s="207"/>
      <c r="J2638" s="76"/>
    </row>
    <row r="2639" spans="1:10">
      <c r="A2639" s="172"/>
      <c r="D2639" s="56"/>
      <c r="E2639" s="204"/>
      <c r="F2639" s="205"/>
      <c r="G2639" s="206"/>
      <c r="H2639" s="207"/>
      <c r="J2639" s="76"/>
    </row>
    <row r="2640" spans="1:10">
      <c r="A2640" s="172"/>
      <c r="D2640" s="56"/>
      <c r="E2640" s="204"/>
      <c r="F2640" s="205"/>
      <c r="G2640" s="206"/>
      <c r="H2640" s="207"/>
      <c r="J2640" s="76"/>
    </row>
    <row r="2641" spans="1:10">
      <c r="A2641" s="172"/>
      <c r="D2641" s="56"/>
      <c r="E2641" s="204"/>
      <c r="F2641" s="205"/>
      <c r="G2641" s="206"/>
      <c r="H2641" s="207"/>
      <c r="J2641" s="76"/>
    </row>
    <row r="2642" spans="1:10">
      <c r="A2642" s="172"/>
      <c r="D2642" s="56"/>
      <c r="E2642" s="204"/>
      <c r="F2642" s="205"/>
      <c r="G2642" s="206"/>
      <c r="H2642" s="207"/>
      <c r="J2642" s="76"/>
    </row>
    <row r="2643" spans="1:10">
      <c r="A2643" s="172"/>
      <c r="D2643" s="56"/>
      <c r="E2643" s="204"/>
      <c r="F2643" s="205"/>
      <c r="G2643" s="206"/>
      <c r="H2643" s="207"/>
      <c r="J2643" s="76"/>
    </row>
    <row r="2644" spans="1:10">
      <c r="A2644" s="172"/>
      <c r="D2644" s="56"/>
      <c r="E2644" s="204"/>
      <c r="F2644" s="205"/>
      <c r="G2644" s="206"/>
      <c r="H2644" s="207"/>
      <c r="J2644" s="76"/>
    </row>
    <row r="2645" spans="1:10">
      <c r="A2645" s="172"/>
      <c r="D2645" s="56"/>
      <c r="E2645" s="204"/>
      <c r="F2645" s="205"/>
      <c r="G2645" s="206"/>
      <c r="H2645" s="207"/>
      <c r="J2645" s="76"/>
    </row>
    <row r="2646" spans="1:10">
      <c r="A2646" s="172"/>
      <c r="D2646" s="56"/>
      <c r="E2646" s="204"/>
      <c r="F2646" s="205"/>
      <c r="G2646" s="206"/>
      <c r="H2646" s="207"/>
      <c r="J2646" s="76"/>
    </row>
    <row r="2647" spans="1:10">
      <c r="A2647" s="172"/>
      <c r="D2647" s="56"/>
      <c r="E2647" s="204"/>
      <c r="F2647" s="205"/>
      <c r="G2647" s="206"/>
      <c r="H2647" s="207"/>
      <c r="J2647" s="76"/>
    </row>
    <row r="2648" spans="1:10">
      <c r="A2648" s="172"/>
      <c r="D2648" s="56"/>
      <c r="E2648" s="204"/>
      <c r="F2648" s="205"/>
      <c r="G2648" s="206"/>
      <c r="H2648" s="207"/>
      <c r="J2648" s="76"/>
    </row>
    <row r="2649" spans="1:10">
      <c r="A2649" s="172"/>
      <c r="D2649" s="56"/>
      <c r="E2649" s="204"/>
      <c r="F2649" s="205"/>
      <c r="G2649" s="206"/>
      <c r="H2649" s="207"/>
      <c r="J2649" s="76"/>
    </row>
    <row r="2650" spans="1:10">
      <c r="A2650" s="172"/>
      <c r="D2650" s="56"/>
      <c r="E2650" s="204"/>
      <c r="F2650" s="205"/>
      <c r="G2650" s="206"/>
      <c r="H2650" s="207"/>
      <c r="J2650" s="76"/>
    </row>
    <row r="2651" spans="1:10">
      <c r="A2651" s="172"/>
      <c r="D2651" s="56"/>
      <c r="E2651" s="204"/>
      <c r="F2651" s="205"/>
      <c r="G2651" s="206"/>
      <c r="H2651" s="207"/>
      <c r="J2651" s="76"/>
    </row>
    <row r="2652" spans="1:10">
      <c r="A2652" s="172"/>
      <c r="D2652" s="56"/>
      <c r="E2652" s="204"/>
      <c r="F2652" s="205"/>
      <c r="G2652" s="206"/>
      <c r="H2652" s="207"/>
      <c r="J2652" s="76"/>
    </row>
    <row r="2653" spans="1:10">
      <c r="A2653" s="172"/>
      <c r="D2653" s="56"/>
      <c r="E2653" s="204"/>
      <c r="F2653" s="205"/>
      <c r="G2653" s="206"/>
      <c r="H2653" s="207"/>
      <c r="J2653" s="76"/>
    </row>
    <row r="2654" spans="1:10">
      <c r="A2654" s="172"/>
      <c r="D2654" s="56"/>
      <c r="E2654" s="204"/>
      <c r="F2654" s="205"/>
      <c r="G2654" s="206"/>
      <c r="H2654" s="207"/>
      <c r="J2654" s="76"/>
    </row>
    <row r="2655" spans="1:10">
      <c r="A2655" s="172"/>
      <c r="D2655" s="56"/>
      <c r="E2655" s="204"/>
      <c r="F2655" s="205"/>
      <c r="G2655" s="206"/>
      <c r="H2655" s="207"/>
      <c r="J2655" s="76"/>
    </row>
    <row r="2656" spans="1:10">
      <c r="A2656" s="172"/>
      <c r="D2656" s="56"/>
      <c r="E2656" s="204"/>
      <c r="F2656" s="205"/>
      <c r="G2656" s="206"/>
      <c r="H2656" s="207"/>
      <c r="J2656" s="76"/>
    </row>
    <row r="2657" spans="1:10">
      <c r="A2657" s="172"/>
      <c r="D2657" s="56"/>
      <c r="E2657" s="204"/>
      <c r="F2657" s="205"/>
      <c r="G2657" s="206"/>
      <c r="H2657" s="207"/>
      <c r="J2657" s="76"/>
    </row>
    <row r="2658" spans="1:10">
      <c r="A2658" s="172"/>
      <c r="D2658" s="56"/>
      <c r="E2658" s="204"/>
      <c r="F2658" s="205"/>
      <c r="G2658" s="206"/>
      <c r="H2658" s="207"/>
      <c r="J2658" s="76"/>
    </row>
    <row r="2659" spans="1:10">
      <c r="A2659" s="172"/>
      <c r="D2659" s="56"/>
      <c r="E2659" s="204"/>
      <c r="F2659" s="205"/>
      <c r="G2659" s="206"/>
      <c r="H2659" s="207"/>
      <c r="J2659" s="76"/>
    </row>
    <row r="2660" spans="1:10">
      <c r="A2660" s="172"/>
      <c r="D2660" s="56"/>
      <c r="E2660" s="204"/>
      <c r="F2660" s="205"/>
      <c r="G2660" s="206"/>
      <c r="H2660" s="207"/>
      <c r="J2660" s="76"/>
    </row>
    <row r="2661" spans="1:10">
      <c r="A2661" s="172"/>
      <c r="D2661" s="56"/>
      <c r="E2661" s="204"/>
      <c r="F2661" s="205"/>
      <c r="G2661" s="206"/>
      <c r="H2661" s="207"/>
      <c r="J2661" s="76"/>
    </row>
    <row r="2662" spans="1:10">
      <c r="A2662" s="172"/>
      <c r="D2662" s="56"/>
      <c r="E2662" s="204"/>
      <c r="F2662" s="205"/>
      <c r="G2662" s="206"/>
      <c r="H2662" s="207"/>
      <c r="J2662" s="76"/>
    </row>
    <row r="2663" spans="1:10">
      <c r="A2663" s="172"/>
      <c r="D2663" s="56"/>
      <c r="E2663" s="204"/>
      <c r="F2663" s="205"/>
      <c r="G2663" s="206"/>
      <c r="H2663" s="207"/>
      <c r="J2663" s="76"/>
    </row>
    <row r="2664" spans="1:10">
      <c r="A2664" s="172"/>
      <c r="D2664" s="56"/>
      <c r="E2664" s="204"/>
      <c r="F2664" s="205"/>
      <c r="G2664" s="206"/>
      <c r="H2664" s="207"/>
      <c r="J2664" s="76"/>
    </row>
    <row r="2665" spans="1:10">
      <c r="A2665" s="172"/>
      <c r="D2665" s="56"/>
      <c r="E2665" s="204"/>
      <c r="F2665" s="205"/>
      <c r="G2665" s="206"/>
      <c r="H2665" s="207"/>
      <c r="J2665" s="76"/>
    </row>
    <row r="2666" spans="1:10">
      <c r="A2666" s="172"/>
      <c r="D2666" s="56"/>
      <c r="E2666" s="204"/>
      <c r="F2666" s="205"/>
      <c r="G2666" s="206"/>
      <c r="H2666" s="207"/>
      <c r="J2666" s="76"/>
    </row>
    <row r="2667" spans="1:10">
      <c r="A2667" s="172"/>
      <c r="D2667" s="56"/>
      <c r="E2667" s="204"/>
      <c r="F2667" s="205"/>
      <c r="G2667" s="206"/>
      <c r="H2667" s="207"/>
      <c r="J2667" s="76"/>
    </row>
    <row r="2668" spans="1:10">
      <c r="A2668" s="172"/>
      <c r="D2668" s="56"/>
      <c r="E2668" s="204"/>
      <c r="F2668" s="205"/>
      <c r="G2668" s="206"/>
      <c r="H2668" s="207"/>
      <c r="J2668" s="76"/>
    </row>
    <row r="2669" spans="1:10">
      <c r="A2669" s="172"/>
      <c r="D2669" s="56"/>
      <c r="E2669" s="204"/>
      <c r="F2669" s="205"/>
      <c r="G2669" s="206"/>
      <c r="H2669" s="207"/>
      <c r="J2669" s="76"/>
    </row>
    <row r="2670" spans="1:10">
      <c r="A2670" s="172"/>
      <c r="D2670" s="56"/>
      <c r="E2670" s="204"/>
      <c r="F2670" s="205"/>
      <c r="G2670" s="206"/>
      <c r="H2670" s="207"/>
      <c r="J2670" s="76"/>
    </row>
    <row r="2671" spans="1:10">
      <c r="A2671" s="172"/>
      <c r="D2671" s="56"/>
      <c r="E2671" s="204"/>
      <c r="F2671" s="205"/>
      <c r="G2671" s="206"/>
      <c r="H2671" s="207"/>
      <c r="J2671" s="76"/>
    </row>
    <row r="2672" spans="1:10">
      <c r="A2672" s="172"/>
      <c r="D2672" s="56"/>
      <c r="E2672" s="204"/>
      <c r="F2672" s="205"/>
      <c r="G2672" s="206"/>
      <c r="H2672" s="207"/>
      <c r="J2672" s="76"/>
    </row>
    <row r="2673" spans="1:10">
      <c r="A2673" s="172"/>
      <c r="D2673" s="56"/>
      <c r="E2673" s="204"/>
      <c r="F2673" s="205"/>
      <c r="G2673" s="206"/>
      <c r="H2673" s="207"/>
      <c r="J2673" s="76"/>
    </row>
    <row r="2674" spans="1:10">
      <c r="A2674" s="172"/>
      <c r="D2674" s="56"/>
      <c r="E2674" s="204"/>
      <c r="F2674" s="205"/>
      <c r="G2674" s="206"/>
      <c r="H2674" s="207"/>
      <c r="J2674" s="76"/>
    </row>
    <row r="2675" spans="1:10">
      <c r="A2675" s="172"/>
      <c r="D2675" s="56"/>
      <c r="E2675" s="204"/>
      <c r="F2675" s="205"/>
      <c r="G2675" s="206"/>
      <c r="H2675" s="207"/>
      <c r="J2675" s="76"/>
    </row>
    <row r="2676" spans="1:10">
      <c r="A2676" s="172"/>
      <c r="D2676" s="56"/>
      <c r="E2676" s="204"/>
      <c r="F2676" s="205"/>
      <c r="G2676" s="206"/>
      <c r="H2676" s="207"/>
      <c r="J2676" s="76"/>
    </row>
    <row r="2677" spans="1:10">
      <c r="A2677" s="172"/>
      <c r="D2677" s="56"/>
      <c r="E2677" s="204"/>
      <c r="F2677" s="205"/>
      <c r="G2677" s="206"/>
      <c r="H2677" s="207"/>
      <c r="J2677" s="76"/>
    </row>
    <row r="2678" spans="1:10">
      <c r="A2678" s="172"/>
      <c r="D2678" s="56"/>
      <c r="E2678" s="204"/>
      <c r="F2678" s="205"/>
      <c r="G2678" s="206"/>
      <c r="H2678" s="207"/>
      <c r="J2678" s="76"/>
    </row>
    <row r="2679" spans="1:10">
      <c r="A2679" s="172"/>
      <c r="D2679" s="56"/>
      <c r="E2679" s="204"/>
      <c r="F2679" s="205"/>
      <c r="G2679" s="206"/>
      <c r="H2679" s="207"/>
      <c r="J2679" s="76"/>
    </row>
    <row r="2680" spans="1:10">
      <c r="A2680" s="172"/>
      <c r="D2680" s="56"/>
      <c r="E2680" s="204"/>
      <c r="F2680" s="205"/>
      <c r="G2680" s="206"/>
      <c r="H2680" s="207"/>
      <c r="J2680" s="76"/>
    </row>
    <row r="2681" spans="1:10">
      <c r="A2681" s="172"/>
      <c r="D2681" s="56"/>
      <c r="E2681" s="204"/>
      <c r="F2681" s="205"/>
      <c r="G2681" s="206"/>
      <c r="H2681" s="207"/>
      <c r="J2681" s="76"/>
    </row>
    <row r="2682" spans="1:10">
      <c r="A2682" s="172"/>
      <c r="D2682" s="56"/>
      <c r="E2682" s="204"/>
      <c r="F2682" s="205"/>
      <c r="G2682" s="206"/>
      <c r="H2682" s="207"/>
      <c r="J2682" s="76"/>
    </row>
    <row r="2683" spans="1:10">
      <c r="A2683" s="172"/>
      <c r="D2683" s="56"/>
      <c r="E2683" s="204"/>
      <c r="F2683" s="205"/>
      <c r="G2683" s="206"/>
      <c r="H2683" s="207"/>
      <c r="J2683" s="76"/>
    </row>
    <row r="2684" spans="1:10">
      <c r="A2684" s="172"/>
      <c r="D2684" s="56"/>
      <c r="E2684" s="204"/>
      <c r="F2684" s="205"/>
      <c r="G2684" s="206"/>
      <c r="H2684" s="207"/>
      <c r="J2684" s="76"/>
    </row>
    <row r="2685" spans="1:10">
      <c r="A2685" s="172"/>
      <c r="D2685" s="56"/>
      <c r="E2685" s="204"/>
      <c r="F2685" s="205"/>
      <c r="G2685" s="206"/>
      <c r="H2685" s="207"/>
      <c r="J2685" s="76"/>
    </row>
    <row r="2686" spans="1:10">
      <c r="A2686" s="172"/>
      <c r="D2686" s="56"/>
      <c r="E2686" s="204"/>
      <c r="F2686" s="205"/>
      <c r="G2686" s="206"/>
      <c r="H2686" s="207"/>
      <c r="J2686" s="76"/>
    </row>
    <row r="2687" spans="1:10">
      <c r="A2687" s="172"/>
      <c r="D2687" s="56"/>
      <c r="E2687" s="204"/>
      <c r="F2687" s="205"/>
      <c r="G2687" s="206"/>
      <c r="H2687" s="207"/>
      <c r="J2687" s="76"/>
    </row>
    <row r="2688" spans="1:10">
      <c r="A2688" s="172"/>
      <c r="D2688" s="56"/>
      <c r="E2688" s="204"/>
      <c r="F2688" s="205"/>
      <c r="G2688" s="206"/>
      <c r="H2688" s="207"/>
      <c r="J2688" s="76"/>
    </row>
    <row r="2689" spans="1:10">
      <c r="A2689" s="172"/>
      <c r="D2689" s="56"/>
      <c r="E2689" s="204"/>
      <c r="F2689" s="205"/>
      <c r="G2689" s="206"/>
      <c r="H2689" s="207"/>
      <c r="J2689" s="76"/>
    </row>
    <row r="2690" spans="1:10">
      <c r="A2690" s="172"/>
      <c r="D2690" s="56"/>
      <c r="E2690" s="204"/>
      <c r="F2690" s="205"/>
      <c r="G2690" s="206"/>
      <c r="H2690" s="207"/>
      <c r="J2690" s="76"/>
    </row>
    <row r="2691" spans="1:10">
      <c r="A2691" s="172"/>
      <c r="D2691" s="56"/>
      <c r="E2691" s="204"/>
      <c r="F2691" s="205"/>
      <c r="G2691" s="206"/>
      <c r="H2691" s="207"/>
      <c r="J2691" s="76"/>
    </row>
    <row r="2692" spans="1:10">
      <c r="A2692" s="172"/>
      <c r="D2692" s="56"/>
      <c r="E2692" s="204"/>
      <c r="F2692" s="205"/>
      <c r="G2692" s="206"/>
      <c r="H2692" s="207"/>
      <c r="J2692" s="76"/>
    </row>
    <row r="2693" spans="1:10">
      <c r="A2693" s="172"/>
      <c r="D2693" s="56"/>
      <c r="E2693" s="204"/>
      <c r="F2693" s="205"/>
      <c r="G2693" s="206"/>
      <c r="H2693" s="207"/>
      <c r="J2693" s="76"/>
    </row>
    <row r="2694" spans="1:10">
      <c r="A2694" s="172"/>
      <c r="D2694" s="56"/>
      <c r="E2694" s="204"/>
      <c r="F2694" s="205"/>
      <c r="G2694" s="206"/>
      <c r="H2694" s="207"/>
      <c r="J2694" s="76"/>
    </row>
    <row r="2695" spans="1:10">
      <c r="A2695" s="172"/>
      <c r="D2695" s="56"/>
      <c r="E2695" s="204"/>
      <c r="F2695" s="205"/>
      <c r="G2695" s="206"/>
      <c r="H2695" s="207"/>
      <c r="J2695" s="76"/>
    </row>
    <row r="2696" spans="1:10">
      <c r="A2696" s="172"/>
      <c r="D2696" s="56"/>
      <c r="E2696" s="204"/>
      <c r="F2696" s="205"/>
      <c r="G2696" s="206"/>
      <c r="H2696" s="207"/>
      <c r="J2696" s="76"/>
    </row>
    <row r="2697" spans="1:10">
      <c r="A2697" s="172"/>
      <c r="D2697" s="56"/>
      <c r="E2697" s="204"/>
      <c r="F2697" s="205"/>
      <c r="G2697" s="206"/>
      <c r="H2697" s="207"/>
      <c r="J2697" s="76"/>
    </row>
    <row r="2698" spans="1:10">
      <c r="A2698" s="172"/>
      <c r="D2698" s="56"/>
      <c r="E2698" s="204"/>
      <c r="F2698" s="205"/>
      <c r="G2698" s="206"/>
      <c r="H2698" s="207"/>
      <c r="J2698" s="76"/>
    </row>
    <row r="2699" spans="1:10">
      <c r="A2699" s="172"/>
      <c r="D2699" s="56"/>
      <c r="E2699" s="204"/>
      <c r="F2699" s="205"/>
      <c r="G2699" s="206"/>
      <c r="H2699" s="207"/>
      <c r="J2699" s="76"/>
    </row>
    <row r="2700" spans="1:10">
      <c r="A2700" s="172"/>
      <c r="D2700" s="56"/>
      <c r="E2700" s="204"/>
      <c r="F2700" s="205"/>
      <c r="G2700" s="206"/>
      <c r="H2700" s="207"/>
      <c r="J2700" s="76"/>
    </row>
    <row r="2701" spans="1:10">
      <c r="A2701" s="172"/>
      <c r="D2701" s="56"/>
      <c r="E2701" s="204"/>
      <c r="F2701" s="205"/>
      <c r="G2701" s="206"/>
      <c r="H2701" s="207"/>
      <c r="J2701" s="76"/>
    </row>
    <row r="2702" spans="1:10">
      <c r="A2702" s="172"/>
      <c r="D2702" s="56"/>
      <c r="E2702" s="204"/>
      <c r="F2702" s="205"/>
      <c r="G2702" s="206"/>
      <c r="H2702" s="207"/>
      <c r="J2702" s="76"/>
    </row>
    <row r="2703" spans="1:10">
      <c r="A2703" s="172"/>
      <c r="D2703" s="56"/>
      <c r="E2703" s="204"/>
      <c r="F2703" s="205"/>
      <c r="G2703" s="206"/>
      <c r="H2703" s="207"/>
      <c r="J2703" s="76"/>
    </row>
    <row r="2704" spans="1:10">
      <c r="A2704" s="172"/>
      <c r="D2704" s="56"/>
      <c r="E2704" s="204"/>
      <c r="F2704" s="205"/>
      <c r="G2704" s="206"/>
      <c r="H2704" s="207"/>
      <c r="J2704" s="76"/>
    </row>
    <row r="2705" spans="1:10">
      <c r="A2705" s="172"/>
      <c r="D2705" s="56"/>
      <c r="E2705" s="204"/>
      <c r="F2705" s="205"/>
      <c r="G2705" s="206"/>
      <c r="H2705" s="207"/>
      <c r="J2705" s="76"/>
    </row>
    <row r="2706" spans="1:10">
      <c r="A2706" s="172"/>
      <c r="D2706" s="56"/>
      <c r="E2706" s="204"/>
      <c r="F2706" s="205"/>
      <c r="G2706" s="206"/>
      <c r="H2706" s="207"/>
      <c r="J2706" s="76"/>
    </row>
    <row r="2707" spans="1:10">
      <c r="A2707" s="172"/>
      <c r="D2707" s="56"/>
      <c r="E2707" s="204"/>
      <c r="F2707" s="205"/>
      <c r="G2707" s="206"/>
      <c r="H2707" s="207"/>
      <c r="J2707" s="76"/>
    </row>
    <row r="2708" spans="1:10">
      <c r="A2708" s="172"/>
      <c r="D2708" s="56"/>
      <c r="E2708" s="204"/>
      <c r="F2708" s="205"/>
      <c r="G2708" s="206"/>
      <c r="H2708" s="207"/>
      <c r="J2708" s="76"/>
    </row>
    <row r="2709" spans="1:10">
      <c r="A2709" s="172"/>
      <c r="D2709" s="56"/>
      <c r="E2709" s="204"/>
      <c r="F2709" s="205"/>
      <c r="G2709" s="206"/>
      <c r="H2709" s="207"/>
      <c r="J2709" s="76"/>
    </row>
    <row r="2710" spans="1:10">
      <c r="A2710" s="172"/>
      <c r="D2710" s="56"/>
      <c r="E2710" s="204"/>
      <c r="F2710" s="205"/>
      <c r="G2710" s="206"/>
      <c r="H2710" s="207"/>
      <c r="J2710" s="76"/>
    </row>
    <row r="2711" spans="1:10">
      <c r="A2711" s="172"/>
      <c r="D2711" s="56"/>
      <c r="E2711" s="204"/>
      <c r="F2711" s="205"/>
      <c r="G2711" s="206"/>
      <c r="H2711" s="207"/>
      <c r="J2711" s="76"/>
    </row>
    <row r="2712" spans="1:10">
      <c r="A2712" s="172"/>
      <c r="D2712" s="56"/>
      <c r="E2712" s="204"/>
      <c r="F2712" s="205"/>
      <c r="G2712" s="206"/>
      <c r="H2712" s="207"/>
      <c r="J2712" s="76"/>
    </row>
    <row r="2713" spans="1:10">
      <c r="A2713" s="172"/>
      <c r="D2713" s="56"/>
      <c r="E2713" s="204"/>
      <c r="F2713" s="205"/>
      <c r="G2713" s="206"/>
      <c r="H2713" s="207"/>
      <c r="J2713" s="76"/>
    </row>
    <row r="2714" spans="1:10">
      <c r="A2714" s="172"/>
      <c r="D2714" s="56"/>
      <c r="E2714" s="204"/>
      <c r="F2714" s="205"/>
      <c r="G2714" s="206"/>
      <c r="H2714" s="207"/>
      <c r="J2714" s="76"/>
    </row>
    <row r="2715" spans="1:10">
      <c r="A2715" s="172"/>
      <c r="D2715" s="56"/>
      <c r="E2715" s="204"/>
      <c r="F2715" s="205"/>
      <c r="G2715" s="206"/>
      <c r="H2715" s="207"/>
      <c r="J2715" s="76"/>
    </row>
    <row r="2716" spans="1:10">
      <c r="A2716" s="172"/>
      <c r="D2716" s="56"/>
      <c r="E2716" s="204"/>
      <c r="F2716" s="205"/>
      <c r="G2716" s="206"/>
      <c r="H2716" s="207"/>
      <c r="J2716" s="76"/>
    </row>
    <row r="2717" spans="1:10">
      <c r="A2717" s="172"/>
      <c r="D2717" s="56"/>
      <c r="E2717" s="204"/>
      <c r="F2717" s="205"/>
      <c r="G2717" s="206"/>
      <c r="H2717" s="207"/>
      <c r="J2717" s="76"/>
    </row>
    <row r="2718" spans="1:10">
      <c r="A2718" s="172"/>
      <c r="D2718" s="56"/>
      <c r="E2718" s="204"/>
      <c r="F2718" s="205"/>
      <c r="G2718" s="206"/>
      <c r="H2718" s="207"/>
      <c r="J2718" s="76"/>
    </row>
    <row r="2719" spans="1:10">
      <c r="A2719" s="172"/>
      <c r="D2719" s="56"/>
      <c r="E2719" s="204"/>
      <c r="F2719" s="205"/>
      <c r="G2719" s="206"/>
      <c r="H2719" s="207"/>
      <c r="J2719" s="76"/>
    </row>
    <row r="2720" spans="1:10">
      <c r="A2720" s="172"/>
      <c r="D2720" s="56"/>
      <c r="E2720" s="204"/>
      <c r="F2720" s="205"/>
      <c r="G2720" s="206"/>
      <c r="H2720" s="207"/>
      <c r="J2720" s="76"/>
    </row>
    <row r="2721" spans="1:10">
      <c r="A2721" s="172"/>
      <c r="D2721" s="56"/>
      <c r="E2721" s="204"/>
      <c r="F2721" s="205"/>
      <c r="G2721" s="206"/>
      <c r="H2721" s="207"/>
      <c r="J2721" s="76"/>
    </row>
    <row r="2722" spans="1:10">
      <c r="A2722" s="172"/>
      <c r="D2722" s="56"/>
      <c r="E2722" s="204"/>
      <c r="F2722" s="205"/>
      <c r="G2722" s="206"/>
      <c r="H2722" s="207"/>
      <c r="J2722" s="76"/>
    </row>
    <row r="2723" spans="1:10">
      <c r="A2723" s="172"/>
      <c r="D2723" s="56"/>
      <c r="E2723" s="204"/>
      <c r="F2723" s="205"/>
      <c r="G2723" s="206"/>
      <c r="H2723" s="207"/>
      <c r="J2723" s="76"/>
    </row>
    <row r="2724" spans="1:10">
      <c r="A2724" s="172"/>
      <c r="D2724" s="56"/>
      <c r="E2724" s="204"/>
      <c r="F2724" s="205"/>
      <c r="G2724" s="206"/>
      <c r="H2724" s="207"/>
      <c r="J2724" s="76"/>
    </row>
    <row r="2725" spans="1:10">
      <c r="A2725" s="172"/>
      <c r="D2725" s="56"/>
      <c r="E2725" s="204"/>
      <c r="F2725" s="205"/>
      <c r="G2725" s="206"/>
      <c r="H2725" s="207"/>
      <c r="J2725" s="76"/>
    </row>
    <row r="2726" spans="1:10">
      <c r="A2726" s="172"/>
      <c r="D2726" s="56"/>
      <c r="E2726" s="204"/>
      <c r="F2726" s="205"/>
      <c r="G2726" s="206"/>
      <c r="H2726" s="207"/>
      <c r="J2726" s="76"/>
    </row>
    <row r="2727" spans="1:10">
      <c r="A2727" s="172"/>
      <c r="D2727" s="56"/>
      <c r="E2727" s="204"/>
      <c r="F2727" s="205"/>
      <c r="G2727" s="206"/>
      <c r="H2727" s="207"/>
      <c r="J2727" s="76"/>
    </row>
    <row r="2728" spans="1:10">
      <c r="A2728" s="172"/>
      <c r="D2728" s="56"/>
      <c r="E2728" s="204"/>
      <c r="F2728" s="205"/>
      <c r="G2728" s="206"/>
      <c r="H2728" s="207"/>
      <c r="J2728" s="76"/>
    </row>
    <row r="2729" spans="1:10">
      <c r="A2729" s="172"/>
      <c r="D2729" s="56"/>
      <c r="E2729" s="204"/>
      <c r="F2729" s="205"/>
      <c r="G2729" s="206"/>
      <c r="H2729" s="207"/>
      <c r="J2729" s="76"/>
    </row>
    <row r="2730" spans="1:10">
      <c r="A2730" s="172"/>
      <c r="D2730" s="56"/>
      <c r="E2730" s="204"/>
      <c r="F2730" s="205"/>
      <c r="G2730" s="206"/>
      <c r="H2730" s="207"/>
      <c r="J2730" s="76"/>
    </row>
    <row r="2731" spans="1:10">
      <c r="A2731" s="172"/>
      <c r="D2731" s="56"/>
      <c r="E2731" s="204"/>
      <c r="F2731" s="205"/>
      <c r="G2731" s="206"/>
      <c r="H2731" s="207"/>
      <c r="J2731" s="76"/>
    </row>
    <row r="2732" spans="1:10">
      <c r="A2732" s="172"/>
      <c r="D2732" s="56"/>
      <c r="E2732" s="204"/>
      <c r="F2732" s="205"/>
      <c r="G2732" s="206"/>
      <c r="H2732" s="207"/>
      <c r="J2732" s="76"/>
    </row>
    <row r="2733" spans="1:10">
      <c r="A2733" s="172"/>
      <c r="D2733" s="56"/>
      <c r="E2733" s="204"/>
      <c r="F2733" s="205"/>
      <c r="G2733" s="206"/>
      <c r="H2733" s="207"/>
      <c r="J2733" s="76"/>
    </row>
    <row r="2734" spans="1:10">
      <c r="A2734" s="172"/>
      <c r="D2734" s="56"/>
      <c r="E2734" s="204"/>
      <c r="F2734" s="205"/>
      <c r="G2734" s="206"/>
      <c r="H2734" s="207"/>
      <c r="J2734" s="76"/>
    </row>
    <row r="2735" spans="1:10">
      <c r="A2735" s="172"/>
      <c r="D2735" s="56"/>
      <c r="E2735" s="204"/>
      <c r="F2735" s="205"/>
      <c r="G2735" s="206"/>
      <c r="H2735" s="207"/>
      <c r="J2735" s="76"/>
    </row>
    <row r="2736" spans="1:10">
      <c r="A2736" s="172"/>
      <c r="D2736" s="56"/>
      <c r="E2736" s="204"/>
      <c r="F2736" s="205"/>
      <c r="G2736" s="206"/>
      <c r="H2736" s="207"/>
      <c r="J2736" s="76"/>
    </row>
    <row r="2737" spans="1:10">
      <c r="A2737" s="172"/>
      <c r="D2737" s="56"/>
      <c r="E2737" s="204"/>
      <c r="F2737" s="205"/>
      <c r="G2737" s="206"/>
      <c r="H2737" s="207"/>
      <c r="J2737" s="76"/>
    </row>
    <row r="2738" spans="1:10">
      <c r="A2738" s="172"/>
      <c r="D2738" s="56"/>
      <c r="E2738" s="204"/>
      <c r="F2738" s="205"/>
      <c r="G2738" s="206"/>
      <c r="H2738" s="207"/>
      <c r="J2738" s="76"/>
    </row>
    <row r="2739" spans="1:10">
      <c r="A2739" s="172"/>
      <c r="D2739" s="56"/>
      <c r="E2739" s="204"/>
      <c r="F2739" s="205"/>
      <c r="G2739" s="206"/>
      <c r="H2739" s="207"/>
      <c r="J2739" s="76"/>
    </row>
    <row r="2740" spans="1:10">
      <c r="A2740" s="172"/>
      <c r="D2740" s="56"/>
      <c r="E2740" s="204"/>
      <c r="F2740" s="205"/>
      <c r="G2740" s="206"/>
      <c r="H2740" s="207"/>
      <c r="J2740" s="76"/>
    </row>
    <row r="2741" spans="1:10">
      <c r="A2741" s="172"/>
      <c r="D2741" s="56"/>
      <c r="E2741" s="204"/>
      <c r="F2741" s="205"/>
      <c r="G2741" s="206"/>
      <c r="H2741" s="207"/>
      <c r="J2741" s="76"/>
    </row>
    <row r="2742" spans="1:10">
      <c r="A2742" s="172"/>
      <c r="D2742" s="56"/>
      <c r="E2742" s="204"/>
      <c r="F2742" s="205"/>
      <c r="G2742" s="206"/>
      <c r="H2742" s="207"/>
      <c r="J2742" s="76"/>
    </row>
    <row r="2743" spans="1:10">
      <c r="A2743" s="172"/>
      <c r="D2743" s="56"/>
      <c r="E2743" s="204"/>
      <c r="F2743" s="205"/>
      <c r="G2743" s="206"/>
      <c r="H2743" s="207"/>
      <c r="J2743" s="76"/>
    </row>
    <row r="2744" spans="1:10">
      <c r="A2744" s="172"/>
      <c r="D2744" s="56"/>
      <c r="E2744" s="204"/>
      <c r="F2744" s="205"/>
      <c r="G2744" s="206"/>
      <c r="H2744" s="207"/>
      <c r="J2744" s="76"/>
    </row>
    <row r="2745" spans="1:10">
      <c r="A2745" s="172"/>
      <c r="D2745" s="56"/>
      <c r="E2745" s="204"/>
      <c r="F2745" s="205"/>
      <c r="G2745" s="206"/>
      <c r="H2745" s="207"/>
      <c r="J2745" s="76"/>
    </row>
    <row r="2746" spans="1:10">
      <c r="A2746" s="172"/>
      <c r="D2746" s="56"/>
      <c r="E2746" s="204"/>
      <c r="F2746" s="205"/>
      <c r="G2746" s="206"/>
      <c r="H2746" s="207"/>
      <c r="J2746" s="76"/>
    </row>
    <row r="2747" spans="1:10">
      <c r="A2747" s="172"/>
      <c r="D2747" s="56"/>
      <c r="E2747" s="204"/>
      <c r="F2747" s="205"/>
      <c r="G2747" s="206"/>
      <c r="H2747" s="207"/>
      <c r="J2747" s="76"/>
    </row>
    <row r="2748" spans="1:10">
      <c r="A2748" s="172"/>
      <c r="D2748" s="56"/>
      <c r="E2748" s="204"/>
      <c r="F2748" s="205"/>
      <c r="G2748" s="206"/>
      <c r="H2748" s="207"/>
      <c r="J2748" s="76"/>
    </row>
    <row r="2749" spans="1:10">
      <c r="A2749" s="172"/>
      <c r="D2749" s="56"/>
      <c r="E2749" s="204"/>
      <c r="F2749" s="205"/>
      <c r="G2749" s="206"/>
      <c r="H2749" s="207"/>
      <c r="J2749" s="76"/>
    </row>
    <row r="2750" spans="1:10">
      <c r="A2750" s="172"/>
      <c r="D2750" s="56"/>
      <c r="E2750" s="204"/>
      <c r="F2750" s="205"/>
      <c r="G2750" s="206"/>
      <c r="H2750" s="207"/>
      <c r="J2750" s="76"/>
    </row>
    <row r="2751" spans="1:10">
      <c r="A2751" s="172"/>
      <c r="D2751" s="56"/>
      <c r="E2751" s="204"/>
      <c r="F2751" s="205"/>
      <c r="G2751" s="206"/>
      <c r="H2751" s="207"/>
      <c r="J2751" s="76"/>
    </row>
    <row r="2752" spans="1:10">
      <c r="A2752" s="172"/>
      <c r="D2752" s="56"/>
      <c r="E2752" s="204"/>
      <c r="F2752" s="205"/>
      <c r="G2752" s="206"/>
      <c r="H2752" s="207"/>
      <c r="J2752" s="76"/>
    </row>
    <row r="2753" spans="1:10">
      <c r="A2753" s="172"/>
      <c r="D2753" s="56"/>
      <c r="E2753" s="204"/>
      <c r="F2753" s="205"/>
      <c r="G2753" s="206"/>
      <c r="H2753" s="207"/>
      <c r="J2753" s="76"/>
    </row>
    <row r="2754" spans="1:10">
      <c r="A2754" s="172"/>
      <c r="D2754" s="56"/>
      <c r="E2754" s="204"/>
      <c r="F2754" s="205"/>
      <c r="G2754" s="206"/>
      <c r="H2754" s="207"/>
      <c r="J2754" s="76"/>
    </row>
    <row r="2755" spans="1:10">
      <c r="A2755" s="172"/>
      <c r="D2755" s="56"/>
      <c r="E2755" s="204"/>
      <c r="F2755" s="205"/>
      <c r="G2755" s="206"/>
      <c r="H2755" s="207"/>
      <c r="J2755" s="76"/>
    </row>
    <row r="2756" spans="1:10">
      <c r="A2756" s="172"/>
      <c r="D2756" s="56"/>
      <c r="E2756" s="204"/>
      <c r="F2756" s="205"/>
      <c r="G2756" s="206"/>
      <c r="H2756" s="207"/>
      <c r="J2756" s="76"/>
    </row>
    <row r="2757" spans="1:10">
      <c r="A2757" s="172"/>
      <c r="D2757" s="56"/>
      <c r="E2757" s="204"/>
      <c r="F2757" s="205"/>
      <c r="G2757" s="206"/>
      <c r="H2757" s="207"/>
      <c r="J2757" s="76"/>
    </row>
    <row r="2758" spans="1:10">
      <c r="A2758" s="172"/>
      <c r="D2758" s="56"/>
      <c r="E2758" s="204"/>
      <c r="F2758" s="205"/>
      <c r="G2758" s="206"/>
      <c r="H2758" s="207"/>
      <c r="J2758" s="76"/>
    </row>
    <row r="2759" spans="1:10">
      <c r="A2759" s="172"/>
      <c r="D2759" s="56"/>
      <c r="E2759" s="204"/>
      <c r="F2759" s="205"/>
      <c r="G2759" s="206"/>
      <c r="H2759" s="207"/>
      <c r="J2759" s="76"/>
    </row>
    <row r="2760" spans="1:10">
      <c r="A2760" s="172"/>
      <c r="D2760" s="56"/>
      <c r="E2760" s="204"/>
      <c r="F2760" s="205"/>
      <c r="G2760" s="206"/>
      <c r="H2760" s="207"/>
      <c r="J2760" s="76"/>
    </row>
    <row r="2761" spans="1:10">
      <c r="A2761" s="172"/>
      <c r="D2761" s="56"/>
      <c r="E2761" s="204"/>
      <c r="F2761" s="205"/>
      <c r="G2761" s="206"/>
      <c r="H2761" s="207"/>
      <c r="J2761" s="76"/>
    </row>
    <row r="2762" spans="1:10">
      <c r="A2762" s="172"/>
      <c r="D2762" s="56"/>
      <c r="E2762" s="204"/>
      <c r="F2762" s="205"/>
      <c r="G2762" s="206"/>
      <c r="H2762" s="207"/>
      <c r="J2762" s="76"/>
    </row>
    <row r="2763" spans="1:10">
      <c r="A2763" s="172"/>
      <c r="D2763" s="56"/>
      <c r="E2763" s="204"/>
      <c r="F2763" s="205"/>
      <c r="G2763" s="206"/>
      <c r="H2763" s="207"/>
      <c r="J2763" s="76"/>
    </row>
    <row r="2764" spans="1:10">
      <c r="A2764" s="172"/>
      <c r="D2764" s="56"/>
      <c r="E2764" s="204"/>
      <c r="F2764" s="205"/>
      <c r="G2764" s="206"/>
      <c r="H2764" s="207"/>
      <c r="J2764" s="76"/>
    </row>
    <row r="2765" spans="1:10">
      <c r="A2765" s="172"/>
      <c r="D2765" s="56"/>
      <c r="E2765" s="204"/>
      <c r="F2765" s="205"/>
      <c r="G2765" s="206"/>
      <c r="H2765" s="207"/>
      <c r="J2765" s="76"/>
    </row>
    <row r="2766" spans="1:10">
      <c r="A2766" s="172"/>
      <c r="D2766" s="56"/>
      <c r="E2766" s="204"/>
      <c r="F2766" s="205"/>
      <c r="G2766" s="206"/>
      <c r="H2766" s="207"/>
      <c r="J2766" s="76"/>
    </row>
    <row r="2767" spans="1:10">
      <c r="A2767" s="172"/>
      <c r="D2767" s="56"/>
      <c r="E2767" s="204"/>
      <c r="F2767" s="205"/>
      <c r="G2767" s="206"/>
      <c r="H2767" s="207"/>
      <c r="J2767" s="76"/>
    </row>
    <row r="2768" spans="1:10">
      <c r="A2768" s="172"/>
      <c r="D2768" s="56"/>
      <c r="E2768" s="204"/>
      <c r="F2768" s="205"/>
      <c r="G2768" s="206"/>
      <c r="H2768" s="207"/>
      <c r="J2768" s="76"/>
    </row>
    <row r="2769" spans="1:10">
      <c r="A2769" s="172"/>
      <c r="D2769" s="56"/>
      <c r="E2769" s="204"/>
      <c r="F2769" s="205"/>
      <c r="G2769" s="206"/>
      <c r="H2769" s="207"/>
      <c r="J2769" s="76"/>
    </row>
    <row r="2770" spans="1:10">
      <c r="A2770" s="172"/>
      <c r="D2770" s="56"/>
      <c r="E2770" s="204"/>
      <c r="F2770" s="205"/>
      <c r="G2770" s="206"/>
      <c r="H2770" s="207"/>
      <c r="J2770" s="76"/>
    </row>
    <row r="2771" spans="1:10">
      <c r="A2771" s="172"/>
      <c r="D2771" s="56"/>
      <c r="E2771" s="204"/>
      <c r="F2771" s="205"/>
      <c r="G2771" s="206"/>
      <c r="H2771" s="207"/>
      <c r="J2771" s="76"/>
    </row>
    <row r="2772" spans="1:10">
      <c r="A2772" s="172"/>
      <c r="D2772" s="56"/>
      <c r="E2772" s="204"/>
      <c r="F2772" s="205"/>
      <c r="G2772" s="206"/>
      <c r="H2772" s="207"/>
      <c r="J2772" s="76"/>
    </row>
    <row r="2773" spans="1:10">
      <c r="A2773" s="172"/>
      <c r="D2773" s="56"/>
      <c r="E2773" s="204"/>
      <c r="F2773" s="205"/>
      <c r="G2773" s="206"/>
      <c r="H2773" s="207"/>
      <c r="J2773" s="76"/>
    </row>
    <row r="2774" spans="1:10">
      <c r="A2774" s="172"/>
      <c r="D2774" s="56"/>
      <c r="E2774" s="204"/>
      <c r="F2774" s="205"/>
      <c r="G2774" s="206"/>
      <c r="H2774" s="207"/>
      <c r="J2774" s="76"/>
    </row>
    <row r="2775" spans="1:10">
      <c r="A2775" s="172"/>
      <c r="D2775" s="56"/>
      <c r="E2775" s="204"/>
      <c r="F2775" s="205"/>
      <c r="G2775" s="206"/>
      <c r="H2775" s="207"/>
      <c r="J2775" s="76"/>
    </row>
    <row r="2776" spans="1:10">
      <c r="A2776" s="172"/>
      <c r="D2776" s="56"/>
      <c r="E2776" s="204"/>
      <c r="F2776" s="205"/>
      <c r="G2776" s="206"/>
      <c r="H2776" s="207"/>
      <c r="J2776" s="76"/>
    </row>
    <row r="2777" spans="1:10">
      <c r="A2777" s="172"/>
      <c r="D2777" s="56"/>
      <c r="E2777" s="204"/>
      <c r="F2777" s="205"/>
      <c r="G2777" s="206"/>
      <c r="H2777" s="207"/>
      <c r="J2777" s="76"/>
    </row>
    <row r="2778" spans="1:10">
      <c r="A2778" s="172"/>
      <c r="D2778" s="56"/>
      <c r="E2778" s="204"/>
      <c r="F2778" s="205"/>
      <c r="G2778" s="206"/>
      <c r="H2778" s="207"/>
      <c r="J2778" s="76"/>
    </row>
    <row r="2779" spans="1:10">
      <c r="A2779" s="172"/>
      <c r="D2779" s="56"/>
      <c r="E2779" s="204"/>
      <c r="F2779" s="205"/>
      <c r="G2779" s="206"/>
      <c r="H2779" s="207"/>
      <c r="J2779" s="76"/>
    </row>
    <row r="2780" spans="1:10">
      <c r="A2780" s="172"/>
      <c r="D2780" s="56"/>
      <c r="E2780" s="204"/>
      <c r="F2780" s="205"/>
      <c r="G2780" s="206"/>
      <c r="H2780" s="207"/>
      <c r="J2780" s="76"/>
    </row>
    <row r="2781" spans="1:10">
      <c r="A2781" s="172"/>
      <c r="D2781" s="56"/>
      <c r="E2781" s="204"/>
      <c r="F2781" s="205"/>
      <c r="G2781" s="206"/>
      <c r="H2781" s="207"/>
      <c r="J2781" s="76"/>
    </row>
    <row r="2782" spans="1:10">
      <c r="A2782" s="172"/>
      <c r="D2782" s="56"/>
      <c r="E2782" s="204"/>
      <c r="F2782" s="205"/>
      <c r="G2782" s="206"/>
      <c r="H2782" s="207"/>
      <c r="J2782" s="76"/>
    </row>
    <row r="2783" spans="1:10">
      <c r="A2783" s="172"/>
      <c r="D2783" s="56"/>
      <c r="E2783" s="204"/>
      <c r="F2783" s="205"/>
      <c r="G2783" s="206"/>
      <c r="H2783" s="207"/>
      <c r="J2783" s="76"/>
    </row>
    <row r="2784" spans="1:10">
      <c r="A2784" s="172"/>
      <c r="D2784" s="56"/>
      <c r="E2784" s="204"/>
      <c r="F2784" s="205"/>
      <c r="G2784" s="206"/>
      <c r="H2784" s="207"/>
      <c r="J2784" s="76"/>
    </row>
    <row r="2785" spans="1:10">
      <c r="A2785" s="172"/>
      <c r="D2785" s="56"/>
      <c r="E2785" s="204"/>
      <c r="F2785" s="205"/>
      <c r="G2785" s="206"/>
      <c r="H2785" s="207"/>
      <c r="J2785" s="76"/>
    </row>
    <row r="2786" spans="1:10">
      <c r="A2786" s="172"/>
      <c r="D2786" s="56"/>
      <c r="E2786" s="204"/>
      <c r="F2786" s="205"/>
      <c r="G2786" s="206"/>
      <c r="H2786" s="207"/>
      <c r="J2786" s="76"/>
    </row>
    <row r="2787" spans="1:10">
      <c r="A2787" s="172"/>
      <c r="D2787" s="56"/>
      <c r="E2787" s="204"/>
      <c r="F2787" s="205"/>
      <c r="G2787" s="206"/>
      <c r="H2787" s="207"/>
      <c r="J2787" s="76"/>
    </row>
    <row r="2788" spans="1:10">
      <c r="A2788" s="172"/>
      <c r="D2788" s="56"/>
      <c r="E2788" s="204"/>
      <c r="F2788" s="205"/>
      <c r="G2788" s="206"/>
      <c r="H2788" s="207"/>
      <c r="J2788" s="76"/>
    </row>
    <row r="2789" spans="1:10">
      <c r="A2789" s="172"/>
      <c r="D2789" s="56"/>
      <c r="E2789" s="204"/>
      <c r="F2789" s="205"/>
      <c r="G2789" s="206"/>
      <c r="H2789" s="207"/>
      <c r="J2789" s="76"/>
    </row>
    <row r="2790" spans="1:10">
      <c r="A2790" s="172"/>
      <c r="D2790" s="56"/>
      <c r="E2790" s="204"/>
      <c r="F2790" s="205"/>
      <c r="G2790" s="206"/>
      <c r="H2790" s="207"/>
      <c r="J2790" s="76"/>
    </row>
    <row r="2791" spans="1:10">
      <c r="A2791" s="172"/>
      <c r="D2791" s="56"/>
      <c r="E2791" s="204"/>
      <c r="F2791" s="205"/>
      <c r="G2791" s="206"/>
      <c r="H2791" s="207"/>
      <c r="J2791" s="76"/>
    </row>
    <row r="2792" spans="1:10">
      <c r="A2792" s="172"/>
      <c r="D2792" s="56"/>
      <c r="E2792" s="204"/>
      <c r="F2792" s="205"/>
      <c r="G2792" s="206"/>
      <c r="H2792" s="207"/>
      <c r="J2792" s="76"/>
    </row>
    <row r="2793" spans="1:10">
      <c r="A2793" s="172"/>
      <c r="D2793" s="56"/>
      <c r="E2793" s="204"/>
      <c r="F2793" s="205"/>
      <c r="G2793" s="206"/>
      <c r="H2793" s="207"/>
      <c r="J2793" s="76"/>
    </row>
    <row r="2794" spans="1:10">
      <c r="A2794" s="172"/>
      <c r="D2794" s="56"/>
      <c r="E2794" s="204"/>
      <c r="F2794" s="205"/>
      <c r="G2794" s="206"/>
      <c r="H2794" s="207"/>
      <c r="J2794" s="76"/>
    </row>
    <row r="2795" spans="1:10">
      <c r="A2795" s="172"/>
      <c r="D2795" s="56"/>
      <c r="E2795" s="204"/>
      <c r="F2795" s="205"/>
      <c r="G2795" s="206"/>
      <c r="H2795" s="207"/>
      <c r="J2795" s="76"/>
    </row>
    <row r="2796" spans="1:10">
      <c r="A2796" s="172"/>
      <c r="D2796" s="56"/>
      <c r="E2796" s="204"/>
      <c r="F2796" s="205"/>
      <c r="G2796" s="206"/>
      <c r="H2796" s="207"/>
      <c r="J2796" s="76"/>
    </row>
    <row r="2797" spans="1:10">
      <c r="A2797" s="172"/>
      <c r="D2797" s="56"/>
      <c r="E2797" s="204"/>
      <c r="F2797" s="205"/>
      <c r="G2797" s="206"/>
      <c r="H2797" s="207"/>
      <c r="J2797" s="76"/>
    </row>
    <row r="2798" spans="1:10">
      <c r="A2798" s="172"/>
      <c r="D2798" s="56"/>
      <c r="E2798" s="204"/>
      <c r="F2798" s="205"/>
      <c r="G2798" s="206"/>
      <c r="H2798" s="207"/>
      <c r="J2798" s="76"/>
    </row>
    <row r="2799" spans="1:10">
      <c r="A2799" s="172"/>
      <c r="D2799" s="56"/>
      <c r="E2799" s="204"/>
      <c r="F2799" s="205"/>
      <c r="G2799" s="206"/>
      <c r="H2799" s="207"/>
      <c r="J2799" s="76"/>
    </row>
    <row r="2800" spans="1:10">
      <c r="A2800" s="172"/>
      <c r="D2800" s="56"/>
      <c r="E2800" s="204"/>
      <c r="F2800" s="205"/>
      <c r="G2800" s="206"/>
      <c r="H2800" s="207"/>
      <c r="J2800" s="76"/>
    </row>
    <row r="2801" spans="1:10">
      <c r="A2801" s="172"/>
      <c r="D2801" s="56"/>
      <c r="E2801" s="204"/>
      <c r="F2801" s="205"/>
      <c r="G2801" s="206"/>
      <c r="H2801" s="207"/>
      <c r="J2801" s="76"/>
    </row>
    <row r="2802" spans="1:10">
      <c r="A2802" s="172"/>
      <c r="D2802" s="56"/>
      <c r="E2802" s="204"/>
      <c r="F2802" s="205"/>
      <c r="G2802" s="206"/>
      <c r="H2802" s="207"/>
      <c r="J2802" s="76"/>
    </row>
    <row r="2803" spans="1:10">
      <c r="A2803" s="172"/>
      <c r="D2803" s="56"/>
      <c r="E2803" s="204"/>
      <c r="F2803" s="205"/>
      <c r="G2803" s="206"/>
      <c r="H2803" s="207"/>
      <c r="J2803" s="76"/>
    </row>
    <row r="2804" spans="1:10">
      <c r="A2804" s="172"/>
      <c r="D2804" s="56"/>
      <c r="E2804" s="204"/>
      <c r="F2804" s="205"/>
      <c r="G2804" s="206"/>
      <c r="H2804" s="207"/>
      <c r="J2804" s="76"/>
    </row>
    <row r="2805" spans="1:10">
      <c r="A2805" s="172"/>
      <c r="D2805" s="56"/>
      <c r="E2805" s="204"/>
      <c r="F2805" s="205"/>
      <c r="G2805" s="206"/>
      <c r="H2805" s="207"/>
      <c r="J2805" s="76"/>
    </row>
    <row r="2806" spans="1:10">
      <c r="A2806" s="172"/>
      <c r="D2806" s="56"/>
      <c r="E2806" s="204"/>
      <c r="F2806" s="205"/>
      <c r="G2806" s="206"/>
      <c r="H2806" s="207"/>
      <c r="J2806" s="76"/>
    </row>
    <row r="2807" spans="1:10">
      <c r="A2807" s="172"/>
      <c r="D2807" s="56"/>
      <c r="E2807" s="204"/>
      <c r="F2807" s="205"/>
      <c r="G2807" s="206"/>
      <c r="H2807" s="207"/>
      <c r="J2807" s="76"/>
    </row>
    <row r="2808" spans="1:10">
      <c r="A2808" s="172"/>
      <c r="D2808" s="56"/>
      <c r="E2808" s="204"/>
      <c r="F2808" s="205"/>
      <c r="G2808" s="206"/>
      <c r="H2808" s="207"/>
      <c r="J2808" s="76"/>
    </row>
    <row r="2809" spans="1:10">
      <c r="A2809" s="172"/>
      <c r="D2809" s="56"/>
      <c r="E2809" s="204"/>
      <c r="F2809" s="205"/>
      <c r="G2809" s="206"/>
      <c r="H2809" s="207"/>
      <c r="J2809" s="76"/>
    </row>
    <row r="2810" spans="1:10">
      <c r="A2810" s="172"/>
      <c r="D2810" s="56"/>
      <c r="E2810" s="204"/>
      <c r="F2810" s="205"/>
      <c r="G2810" s="206"/>
      <c r="H2810" s="207"/>
      <c r="J2810" s="76"/>
    </row>
    <row r="2811" spans="1:10">
      <c r="A2811" s="172"/>
      <c r="D2811" s="56"/>
      <c r="E2811" s="204"/>
      <c r="F2811" s="205"/>
      <c r="G2811" s="206"/>
      <c r="H2811" s="207"/>
      <c r="J2811" s="76"/>
    </row>
    <row r="2812" spans="1:10">
      <c r="A2812" s="172"/>
      <c r="D2812" s="56"/>
      <c r="E2812" s="204"/>
      <c r="F2812" s="205"/>
      <c r="G2812" s="206"/>
      <c r="H2812" s="207"/>
      <c r="J2812" s="76"/>
    </row>
    <row r="2813" spans="1:10">
      <c r="A2813" s="172"/>
      <c r="D2813" s="56"/>
      <c r="E2813" s="204"/>
      <c r="F2813" s="205"/>
      <c r="G2813" s="206"/>
      <c r="H2813" s="207"/>
      <c r="J2813" s="76"/>
    </row>
    <row r="2814" spans="1:10">
      <c r="A2814" s="172"/>
      <c r="D2814" s="56"/>
      <c r="E2814" s="204"/>
      <c r="F2814" s="205"/>
      <c r="G2814" s="206"/>
      <c r="H2814" s="207"/>
      <c r="J2814" s="76"/>
    </row>
    <row r="2815" spans="1:10">
      <c r="A2815" s="172"/>
      <c r="D2815" s="56"/>
      <c r="E2815" s="204"/>
      <c r="F2815" s="205"/>
      <c r="G2815" s="206"/>
      <c r="H2815" s="207"/>
      <c r="J2815" s="76"/>
    </row>
    <row r="2816" spans="1:10">
      <c r="A2816" s="172"/>
      <c r="D2816" s="56"/>
      <c r="E2816" s="204"/>
      <c r="F2816" s="205"/>
      <c r="G2816" s="206"/>
      <c r="H2816" s="207"/>
      <c r="J2816" s="76"/>
    </row>
    <row r="2817" spans="1:10">
      <c r="A2817" s="172"/>
      <c r="D2817" s="56"/>
      <c r="E2817" s="204"/>
      <c r="F2817" s="205"/>
      <c r="G2817" s="206"/>
      <c r="H2817" s="207"/>
      <c r="J2817" s="76"/>
    </row>
    <row r="2818" spans="1:10">
      <c r="A2818" s="172"/>
      <c r="D2818" s="56"/>
      <c r="E2818" s="204"/>
      <c r="F2818" s="205"/>
      <c r="G2818" s="206"/>
      <c r="H2818" s="207"/>
      <c r="J2818" s="76"/>
    </row>
    <row r="2819" spans="1:10">
      <c r="A2819" s="172"/>
      <c r="D2819" s="56"/>
      <c r="E2819" s="204"/>
      <c r="F2819" s="205"/>
      <c r="G2819" s="206"/>
      <c r="H2819" s="207"/>
      <c r="J2819" s="76"/>
    </row>
    <row r="2820" spans="1:10">
      <c r="A2820" s="172"/>
      <c r="D2820" s="56"/>
      <c r="E2820" s="204"/>
      <c r="F2820" s="205"/>
      <c r="G2820" s="206"/>
      <c r="H2820" s="207"/>
      <c r="J2820" s="76"/>
    </row>
    <row r="2821" spans="1:10">
      <c r="A2821" s="172"/>
      <c r="D2821" s="56"/>
      <c r="E2821" s="204"/>
      <c r="F2821" s="205"/>
      <c r="G2821" s="206"/>
      <c r="H2821" s="207"/>
      <c r="J2821" s="76"/>
    </row>
    <row r="2822" spans="1:10">
      <c r="A2822" s="172"/>
      <c r="D2822" s="56"/>
      <c r="E2822" s="204"/>
      <c r="F2822" s="205"/>
      <c r="G2822" s="206"/>
      <c r="H2822" s="207"/>
      <c r="J2822" s="76"/>
    </row>
    <row r="2823" spans="1:10">
      <c r="A2823" s="172"/>
      <c r="D2823" s="56"/>
      <c r="E2823" s="204"/>
      <c r="F2823" s="205"/>
      <c r="G2823" s="206"/>
      <c r="H2823" s="207"/>
      <c r="J2823" s="76"/>
    </row>
    <row r="2824" spans="1:10">
      <c r="A2824" s="172"/>
      <c r="D2824" s="56"/>
      <c r="E2824" s="204"/>
      <c r="F2824" s="205"/>
      <c r="G2824" s="206"/>
      <c r="H2824" s="207"/>
      <c r="J2824" s="76"/>
    </row>
    <row r="2825" spans="1:10">
      <c r="A2825" s="172"/>
      <c r="D2825" s="56"/>
      <c r="E2825" s="204"/>
      <c r="F2825" s="205"/>
      <c r="G2825" s="206"/>
      <c r="H2825" s="207"/>
      <c r="J2825" s="76"/>
    </row>
    <row r="2826" spans="1:10">
      <c r="A2826" s="172"/>
      <c r="D2826" s="56"/>
      <c r="E2826" s="204"/>
      <c r="F2826" s="205"/>
      <c r="G2826" s="206"/>
      <c r="H2826" s="207"/>
      <c r="J2826" s="76"/>
    </row>
    <row r="2827" spans="1:10">
      <c r="A2827" s="172"/>
      <c r="D2827" s="56"/>
      <c r="E2827" s="204"/>
      <c r="F2827" s="205"/>
      <c r="G2827" s="206"/>
      <c r="H2827" s="207"/>
      <c r="J2827" s="76"/>
    </row>
    <row r="2828" spans="1:10">
      <c r="A2828" s="172"/>
      <c r="D2828" s="56"/>
      <c r="E2828" s="204"/>
      <c r="F2828" s="205"/>
      <c r="G2828" s="206"/>
      <c r="H2828" s="207"/>
      <c r="J2828" s="76"/>
    </row>
    <row r="2829" spans="1:10">
      <c r="A2829" s="172"/>
      <c r="D2829" s="56"/>
      <c r="E2829" s="204"/>
      <c r="F2829" s="205"/>
      <c r="G2829" s="206"/>
      <c r="H2829" s="207"/>
      <c r="J2829" s="76"/>
    </row>
    <row r="2830" spans="1:10">
      <c r="A2830" s="172"/>
      <c r="D2830" s="56"/>
      <c r="E2830" s="204"/>
      <c r="F2830" s="205"/>
      <c r="G2830" s="206"/>
      <c r="H2830" s="207"/>
      <c r="J2830" s="76"/>
    </row>
    <row r="2831" spans="1:10">
      <c r="A2831" s="172"/>
      <c r="D2831" s="56"/>
      <c r="E2831" s="204"/>
      <c r="F2831" s="205"/>
      <c r="G2831" s="206"/>
      <c r="H2831" s="207"/>
      <c r="J2831" s="76"/>
    </row>
    <row r="2832" spans="1:10">
      <c r="A2832" s="172"/>
      <c r="D2832" s="56"/>
      <c r="E2832" s="204"/>
      <c r="F2832" s="205"/>
      <c r="G2832" s="206"/>
      <c r="H2832" s="207"/>
      <c r="J2832" s="76"/>
    </row>
    <row r="2833" spans="1:10">
      <c r="A2833" s="172"/>
      <c r="D2833" s="56"/>
      <c r="E2833" s="204"/>
      <c r="F2833" s="205"/>
      <c r="G2833" s="206"/>
      <c r="H2833" s="207"/>
      <c r="J2833" s="76"/>
    </row>
    <row r="2834" spans="1:10">
      <c r="A2834" s="172"/>
      <c r="D2834" s="56"/>
      <c r="E2834" s="204"/>
      <c r="F2834" s="205"/>
      <c r="G2834" s="206"/>
      <c r="H2834" s="207"/>
      <c r="J2834" s="76"/>
    </row>
    <row r="2835" spans="1:10">
      <c r="A2835" s="172"/>
      <c r="D2835" s="56"/>
      <c r="E2835" s="204"/>
      <c r="F2835" s="205"/>
      <c r="G2835" s="206"/>
      <c r="H2835" s="207"/>
      <c r="J2835" s="76"/>
    </row>
    <row r="2836" spans="1:10">
      <c r="A2836" s="172"/>
      <c r="D2836" s="56"/>
      <c r="E2836" s="204"/>
      <c r="F2836" s="205"/>
      <c r="G2836" s="206"/>
      <c r="H2836" s="207"/>
      <c r="J2836" s="76"/>
    </row>
    <row r="2837" spans="1:10">
      <c r="A2837" s="172"/>
      <c r="D2837" s="56"/>
      <c r="E2837" s="204"/>
      <c r="F2837" s="205"/>
      <c r="G2837" s="206"/>
      <c r="H2837" s="207"/>
      <c r="J2837" s="76"/>
    </row>
    <row r="2838" spans="1:10">
      <c r="A2838" s="172"/>
      <c r="D2838" s="56"/>
      <c r="E2838" s="204"/>
      <c r="F2838" s="205"/>
      <c r="G2838" s="206"/>
      <c r="H2838" s="207"/>
      <c r="J2838" s="76"/>
    </row>
    <row r="2839" spans="1:10">
      <c r="A2839" s="172"/>
      <c r="D2839" s="56"/>
      <c r="E2839" s="204"/>
      <c r="F2839" s="205"/>
      <c r="G2839" s="206"/>
      <c r="H2839" s="207"/>
      <c r="J2839" s="76"/>
    </row>
    <row r="2840" spans="1:10">
      <c r="A2840" s="172"/>
      <c r="D2840" s="56"/>
      <c r="E2840" s="204"/>
      <c r="F2840" s="205"/>
      <c r="G2840" s="206"/>
      <c r="H2840" s="207"/>
      <c r="J2840" s="76"/>
    </row>
    <row r="2841" spans="1:10">
      <c r="A2841" s="172"/>
      <c r="D2841" s="56"/>
      <c r="E2841" s="204"/>
      <c r="F2841" s="205"/>
      <c r="G2841" s="206"/>
      <c r="H2841" s="207"/>
      <c r="J2841" s="76"/>
    </row>
    <row r="2842" spans="1:10">
      <c r="A2842" s="172"/>
      <c r="D2842" s="56"/>
      <c r="E2842" s="204"/>
      <c r="F2842" s="205"/>
      <c r="G2842" s="206"/>
      <c r="H2842" s="207"/>
      <c r="J2842" s="76"/>
    </row>
    <row r="2843" spans="1:10">
      <c r="A2843" s="172"/>
      <c r="D2843" s="56"/>
      <c r="E2843" s="204"/>
      <c r="F2843" s="205"/>
      <c r="G2843" s="206"/>
      <c r="H2843" s="207"/>
      <c r="J2843" s="76"/>
    </row>
    <row r="2844" spans="1:10">
      <c r="A2844" s="172"/>
      <c r="D2844" s="56"/>
      <c r="E2844" s="204"/>
      <c r="F2844" s="205"/>
      <c r="G2844" s="206"/>
      <c r="H2844" s="207"/>
      <c r="J2844" s="76"/>
    </row>
    <row r="2845" spans="1:10">
      <c r="A2845" s="172"/>
      <c r="D2845" s="56"/>
      <c r="E2845" s="204"/>
      <c r="F2845" s="205"/>
      <c r="G2845" s="206"/>
      <c r="H2845" s="207"/>
      <c r="J2845" s="76"/>
    </row>
    <row r="2846" spans="1:10">
      <c r="A2846" s="172"/>
      <c r="D2846" s="56"/>
      <c r="E2846" s="204"/>
      <c r="F2846" s="205"/>
      <c r="G2846" s="206"/>
      <c r="H2846" s="207"/>
      <c r="J2846" s="76"/>
    </row>
    <row r="2847" spans="1:10">
      <c r="A2847" s="172"/>
      <c r="D2847" s="56"/>
      <c r="E2847" s="204"/>
      <c r="F2847" s="205"/>
      <c r="G2847" s="206"/>
      <c r="H2847" s="207"/>
      <c r="J2847" s="76"/>
    </row>
    <row r="2848" spans="1:10">
      <c r="A2848" s="172"/>
      <c r="D2848" s="56"/>
      <c r="E2848" s="204"/>
      <c r="F2848" s="205"/>
      <c r="G2848" s="206"/>
      <c r="H2848" s="207"/>
      <c r="J2848" s="76"/>
    </row>
    <row r="2849" spans="1:10">
      <c r="A2849" s="172"/>
      <c r="D2849" s="56"/>
      <c r="E2849" s="204"/>
      <c r="F2849" s="205"/>
      <c r="G2849" s="206"/>
      <c r="H2849" s="207"/>
      <c r="J2849" s="76"/>
    </row>
    <row r="2850" spans="1:10">
      <c r="A2850" s="172"/>
      <c r="D2850" s="56"/>
      <c r="E2850" s="204"/>
      <c r="F2850" s="205"/>
      <c r="G2850" s="206"/>
      <c r="H2850" s="207"/>
      <c r="J2850" s="76"/>
    </row>
    <row r="2851" spans="1:10">
      <c r="A2851" s="172"/>
      <c r="D2851" s="56"/>
      <c r="E2851" s="204"/>
      <c r="F2851" s="205"/>
      <c r="G2851" s="206"/>
      <c r="H2851" s="207"/>
      <c r="J2851" s="76"/>
    </row>
    <row r="2852" spans="1:10">
      <c r="A2852" s="172"/>
      <c r="D2852" s="56"/>
      <c r="E2852" s="204"/>
      <c r="F2852" s="205"/>
      <c r="G2852" s="206"/>
      <c r="H2852" s="207"/>
      <c r="J2852" s="76"/>
    </row>
    <row r="2853" spans="1:10">
      <c r="A2853" s="172"/>
      <c r="D2853" s="56"/>
      <c r="E2853" s="204"/>
      <c r="F2853" s="205"/>
      <c r="G2853" s="206"/>
      <c r="H2853" s="207"/>
      <c r="J2853" s="76"/>
    </row>
    <row r="2854" spans="1:10">
      <c r="A2854" s="172"/>
      <c r="D2854" s="56"/>
      <c r="E2854" s="204"/>
      <c r="F2854" s="205"/>
      <c r="G2854" s="206"/>
      <c r="H2854" s="207"/>
      <c r="J2854" s="76"/>
    </row>
    <row r="2855" spans="1:10">
      <c r="A2855" s="172"/>
      <c r="D2855" s="56"/>
      <c r="E2855" s="204"/>
      <c r="F2855" s="205"/>
      <c r="G2855" s="206"/>
      <c r="H2855" s="207"/>
      <c r="J2855" s="76"/>
    </row>
    <row r="2856" spans="1:10">
      <c r="A2856" s="172"/>
      <c r="D2856" s="56"/>
      <c r="E2856" s="204"/>
      <c r="F2856" s="205"/>
      <c r="G2856" s="206"/>
      <c r="H2856" s="207"/>
      <c r="J2856" s="76"/>
    </row>
    <row r="2857" spans="1:10">
      <c r="A2857" s="172"/>
      <c r="D2857" s="56"/>
      <c r="E2857" s="204"/>
      <c r="F2857" s="205"/>
      <c r="G2857" s="206"/>
      <c r="H2857" s="207"/>
      <c r="J2857" s="76"/>
    </row>
    <row r="2858" spans="1:10">
      <c r="A2858" s="172"/>
      <c r="D2858" s="56"/>
      <c r="E2858" s="204"/>
      <c r="F2858" s="205"/>
      <c r="G2858" s="206"/>
      <c r="H2858" s="207"/>
      <c r="J2858" s="76"/>
    </row>
    <row r="2859" spans="1:10">
      <c r="A2859" s="172"/>
      <c r="D2859" s="56"/>
      <c r="E2859" s="204"/>
      <c r="F2859" s="205"/>
      <c r="G2859" s="206"/>
      <c r="H2859" s="207"/>
      <c r="J2859" s="76"/>
    </row>
    <row r="2860" spans="1:10">
      <c r="A2860" s="172"/>
      <c r="D2860" s="56"/>
      <c r="E2860" s="204"/>
      <c r="F2860" s="205"/>
      <c r="G2860" s="206"/>
      <c r="H2860" s="207"/>
      <c r="J2860" s="76"/>
    </row>
    <row r="2861" spans="1:10">
      <c r="A2861" s="172"/>
      <c r="D2861" s="56"/>
      <c r="E2861" s="204"/>
      <c r="F2861" s="205"/>
      <c r="G2861" s="206"/>
      <c r="H2861" s="207"/>
      <c r="J2861" s="76"/>
    </row>
    <row r="2862" spans="1:10">
      <c r="A2862" s="172"/>
      <c r="D2862" s="56"/>
      <c r="E2862" s="204"/>
      <c r="F2862" s="205"/>
      <c r="G2862" s="206"/>
      <c r="H2862" s="207"/>
      <c r="J2862" s="76"/>
    </row>
    <row r="2863" spans="1:10">
      <c r="A2863" s="172"/>
      <c r="D2863" s="56"/>
      <c r="E2863" s="204"/>
      <c r="F2863" s="205"/>
      <c r="G2863" s="206"/>
      <c r="H2863" s="207"/>
      <c r="J2863" s="76"/>
    </row>
    <row r="2864" spans="1:10">
      <c r="A2864" s="172"/>
      <c r="D2864" s="56"/>
      <c r="E2864" s="204"/>
      <c r="F2864" s="205"/>
      <c r="G2864" s="206"/>
      <c r="H2864" s="207"/>
      <c r="J2864" s="76"/>
    </row>
    <row r="2865" spans="1:10">
      <c r="A2865" s="172"/>
      <c r="D2865" s="56"/>
      <c r="E2865" s="204"/>
      <c r="F2865" s="205"/>
      <c r="G2865" s="206"/>
      <c r="H2865" s="207"/>
      <c r="J2865" s="76"/>
    </row>
    <row r="2866" spans="1:10">
      <c r="A2866" s="172"/>
      <c r="D2866" s="56"/>
      <c r="E2866" s="204"/>
      <c r="F2866" s="205"/>
      <c r="G2866" s="206"/>
      <c r="H2866" s="207"/>
      <c r="J2866" s="76"/>
    </row>
    <row r="2867" spans="1:10">
      <c r="A2867" s="172"/>
      <c r="D2867" s="56"/>
      <c r="E2867" s="204"/>
      <c r="F2867" s="205"/>
      <c r="G2867" s="206"/>
      <c r="H2867" s="207"/>
      <c r="J2867" s="76"/>
    </row>
    <row r="2868" spans="1:10">
      <c r="A2868" s="172"/>
      <c r="D2868" s="56"/>
      <c r="E2868" s="204"/>
      <c r="F2868" s="205"/>
      <c r="G2868" s="206"/>
      <c r="H2868" s="207"/>
      <c r="J2868" s="76"/>
    </row>
    <row r="2869" spans="1:10">
      <c r="A2869" s="172"/>
      <c r="D2869" s="56"/>
      <c r="E2869" s="204"/>
      <c r="F2869" s="205"/>
      <c r="G2869" s="206"/>
      <c r="H2869" s="207"/>
      <c r="J2869" s="76"/>
    </row>
    <row r="2870" spans="1:10">
      <c r="A2870" s="172"/>
      <c r="D2870" s="56"/>
      <c r="E2870" s="204"/>
      <c r="F2870" s="205"/>
      <c r="G2870" s="206"/>
      <c r="H2870" s="207"/>
      <c r="J2870" s="76"/>
    </row>
    <row r="2871" spans="1:10">
      <c r="A2871" s="172"/>
      <c r="D2871" s="56"/>
      <c r="E2871" s="204"/>
      <c r="F2871" s="205"/>
      <c r="G2871" s="206"/>
      <c r="H2871" s="207"/>
      <c r="J2871" s="76"/>
    </row>
    <row r="2872" spans="1:10">
      <c r="A2872" s="172"/>
      <c r="D2872" s="56"/>
      <c r="E2872" s="204"/>
      <c r="F2872" s="205"/>
      <c r="G2872" s="206"/>
      <c r="H2872" s="207"/>
      <c r="J2872" s="76"/>
    </row>
    <row r="2873" spans="1:10">
      <c r="A2873" s="172"/>
      <c r="D2873" s="56"/>
      <c r="E2873" s="204"/>
      <c r="F2873" s="205"/>
      <c r="G2873" s="206"/>
      <c r="H2873" s="207"/>
      <c r="J2873" s="76"/>
    </row>
    <row r="2874" spans="1:10">
      <c r="A2874" s="172"/>
      <c r="D2874" s="56"/>
      <c r="E2874" s="204"/>
      <c r="F2874" s="205"/>
      <c r="G2874" s="206"/>
      <c r="H2874" s="207"/>
      <c r="J2874" s="76"/>
    </row>
    <row r="2875" spans="1:10">
      <c r="A2875" s="172"/>
      <c r="D2875" s="56"/>
      <c r="E2875" s="204"/>
      <c r="F2875" s="205"/>
      <c r="G2875" s="206"/>
      <c r="H2875" s="207"/>
      <c r="J2875" s="76"/>
    </row>
    <row r="2876" spans="1:10">
      <c r="A2876" s="172"/>
      <c r="D2876" s="56"/>
      <c r="E2876" s="204"/>
      <c r="F2876" s="205"/>
      <c r="G2876" s="206"/>
      <c r="H2876" s="207"/>
      <c r="J2876" s="76"/>
    </row>
    <row r="2877" spans="1:10">
      <c r="A2877" s="172"/>
      <c r="D2877" s="56"/>
      <c r="E2877" s="204"/>
      <c r="F2877" s="205"/>
      <c r="G2877" s="206"/>
      <c r="H2877" s="207"/>
      <c r="J2877" s="76"/>
    </row>
    <row r="2878" spans="1:10">
      <c r="A2878" s="172"/>
      <c r="D2878" s="56"/>
      <c r="E2878" s="204"/>
      <c r="F2878" s="205"/>
      <c r="G2878" s="206"/>
      <c r="H2878" s="207"/>
      <c r="J2878" s="76"/>
    </row>
    <row r="2879" spans="1:10">
      <c r="A2879" s="172"/>
      <c r="D2879" s="56"/>
      <c r="E2879" s="204"/>
      <c r="F2879" s="205"/>
      <c r="G2879" s="206"/>
      <c r="H2879" s="207"/>
      <c r="J2879" s="76"/>
    </row>
    <row r="2880" spans="1:10">
      <c r="A2880" s="172"/>
      <c r="D2880" s="56"/>
      <c r="E2880" s="204"/>
      <c r="F2880" s="205"/>
      <c r="G2880" s="206"/>
      <c r="H2880" s="207"/>
      <c r="J2880" s="76"/>
    </row>
    <row r="2881" spans="1:10">
      <c r="A2881" s="172"/>
      <c r="D2881" s="56"/>
      <c r="E2881" s="204"/>
      <c r="F2881" s="205"/>
      <c r="G2881" s="206"/>
      <c r="H2881" s="207"/>
      <c r="J2881" s="76"/>
    </row>
    <row r="2882" spans="1:10">
      <c r="A2882" s="172"/>
      <c r="D2882" s="56"/>
      <c r="E2882" s="204"/>
      <c r="F2882" s="205"/>
      <c r="G2882" s="206"/>
      <c r="H2882" s="207"/>
      <c r="J2882" s="76"/>
    </row>
    <row r="2883" spans="1:10">
      <c r="A2883" s="172"/>
      <c r="D2883" s="56"/>
      <c r="E2883" s="204"/>
      <c r="F2883" s="205"/>
      <c r="G2883" s="206"/>
      <c r="H2883" s="207"/>
      <c r="J2883" s="76"/>
    </row>
    <row r="2884" spans="1:10">
      <c r="A2884" s="172"/>
      <c r="D2884" s="56"/>
      <c r="E2884" s="204"/>
      <c r="F2884" s="205"/>
      <c r="G2884" s="206"/>
      <c r="H2884" s="207"/>
      <c r="J2884" s="76"/>
    </row>
    <row r="2885" spans="1:10">
      <c r="A2885" s="172"/>
      <c r="D2885" s="56"/>
      <c r="E2885" s="204"/>
      <c r="F2885" s="205"/>
      <c r="G2885" s="206"/>
      <c r="H2885" s="207"/>
      <c r="J2885" s="76"/>
    </row>
    <row r="2886" spans="1:10">
      <c r="A2886" s="172"/>
      <c r="D2886" s="56"/>
      <c r="E2886" s="204"/>
      <c r="F2886" s="205"/>
      <c r="G2886" s="206"/>
      <c r="H2886" s="207"/>
      <c r="J2886" s="76"/>
    </row>
    <row r="2887" spans="1:10">
      <c r="A2887" s="172"/>
      <c r="D2887" s="56"/>
      <c r="E2887" s="204"/>
      <c r="F2887" s="205"/>
      <c r="G2887" s="206"/>
      <c r="H2887" s="207"/>
      <c r="J2887" s="76"/>
    </row>
    <row r="2888" spans="1:10">
      <c r="A2888" s="172"/>
      <c r="D2888" s="56"/>
      <c r="E2888" s="204"/>
      <c r="F2888" s="205"/>
      <c r="G2888" s="206"/>
      <c r="H2888" s="207"/>
      <c r="J2888" s="76"/>
    </row>
    <row r="2889" spans="1:10">
      <c r="A2889" s="172"/>
      <c r="D2889" s="56"/>
      <c r="E2889" s="204"/>
      <c r="F2889" s="205"/>
      <c r="G2889" s="206"/>
      <c r="H2889" s="207"/>
      <c r="J2889" s="76"/>
    </row>
    <row r="2890" spans="1:10">
      <c r="A2890" s="172"/>
      <c r="D2890" s="56"/>
      <c r="E2890" s="204"/>
      <c r="F2890" s="205"/>
      <c r="G2890" s="206"/>
      <c r="H2890" s="207"/>
      <c r="J2890" s="76"/>
    </row>
    <row r="2891" spans="1:10">
      <c r="A2891" s="172"/>
      <c r="D2891" s="56"/>
      <c r="E2891" s="204"/>
      <c r="F2891" s="205"/>
      <c r="G2891" s="206"/>
      <c r="H2891" s="207"/>
      <c r="J2891" s="76"/>
    </row>
    <row r="2892" spans="1:10">
      <c r="A2892" s="172"/>
      <c r="D2892" s="56"/>
      <c r="E2892" s="204"/>
      <c r="F2892" s="205"/>
      <c r="G2892" s="206"/>
      <c r="H2892" s="207"/>
      <c r="J2892" s="76"/>
    </row>
    <row r="2893" spans="1:10">
      <c r="A2893" s="172"/>
      <c r="D2893" s="56"/>
      <c r="E2893" s="204"/>
      <c r="F2893" s="205"/>
      <c r="G2893" s="206"/>
      <c r="H2893" s="207"/>
      <c r="J2893" s="76"/>
    </row>
    <row r="2894" spans="1:10">
      <c r="A2894" s="172"/>
      <c r="D2894" s="56"/>
      <c r="E2894" s="204"/>
      <c r="F2894" s="205"/>
      <c r="G2894" s="206"/>
      <c r="H2894" s="207"/>
      <c r="J2894" s="76"/>
    </row>
    <row r="2895" spans="1:10">
      <c r="A2895" s="172"/>
      <c r="D2895" s="56"/>
      <c r="E2895" s="204"/>
      <c r="F2895" s="205"/>
      <c r="G2895" s="206"/>
      <c r="H2895" s="207"/>
      <c r="J2895" s="76"/>
    </row>
    <row r="2896" spans="1:10">
      <c r="A2896" s="172"/>
      <c r="D2896" s="56"/>
      <c r="E2896" s="204"/>
      <c r="F2896" s="205"/>
      <c r="G2896" s="206"/>
      <c r="H2896" s="207"/>
      <c r="J2896" s="76"/>
    </row>
    <row r="2897" spans="1:10">
      <c r="A2897" s="172"/>
      <c r="D2897" s="56"/>
      <c r="E2897" s="204"/>
      <c r="F2897" s="205"/>
      <c r="G2897" s="206"/>
      <c r="H2897" s="207"/>
      <c r="J2897" s="76"/>
    </row>
    <row r="2898" spans="1:10">
      <c r="A2898" s="172"/>
      <c r="D2898" s="56"/>
      <c r="E2898" s="204"/>
      <c r="F2898" s="205"/>
      <c r="G2898" s="206"/>
      <c r="H2898" s="207"/>
      <c r="J2898" s="76"/>
    </row>
    <row r="2899" spans="1:10">
      <c r="A2899" s="172"/>
      <c r="D2899" s="56"/>
      <c r="E2899" s="204"/>
      <c r="F2899" s="205"/>
      <c r="G2899" s="206"/>
      <c r="H2899" s="207"/>
      <c r="J2899" s="76"/>
    </row>
    <row r="2900" spans="1:10">
      <c r="A2900" s="172"/>
      <c r="D2900" s="56"/>
      <c r="E2900" s="204"/>
      <c r="F2900" s="205"/>
      <c r="G2900" s="206"/>
      <c r="H2900" s="207"/>
      <c r="J2900" s="76"/>
    </row>
    <row r="2901" spans="1:10">
      <c r="A2901" s="172"/>
      <c r="D2901" s="56"/>
      <c r="E2901" s="204"/>
      <c r="F2901" s="205"/>
      <c r="G2901" s="206"/>
      <c r="H2901" s="207"/>
      <c r="J2901" s="76"/>
    </row>
    <row r="2902" spans="1:10">
      <c r="A2902" s="172"/>
      <c r="D2902" s="56"/>
      <c r="E2902" s="204"/>
      <c r="F2902" s="205"/>
      <c r="G2902" s="206"/>
      <c r="H2902" s="207"/>
      <c r="J2902" s="76"/>
    </row>
    <row r="2903" spans="1:10">
      <c r="A2903" s="172"/>
      <c r="D2903" s="56"/>
      <c r="E2903" s="204"/>
      <c r="F2903" s="205"/>
      <c r="G2903" s="206"/>
      <c r="H2903" s="207"/>
      <c r="J2903" s="76"/>
    </row>
    <row r="2904" spans="1:10">
      <c r="A2904" s="172"/>
      <c r="D2904" s="56"/>
      <c r="E2904" s="204"/>
      <c r="F2904" s="205"/>
      <c r="G2904" s="206"/>
      <c r="H2904" s="207"/>
      <c r="J2904" s="76"/>
    </row>
    <row r="2905" spans="1:10">
      <c r="A2905" s="172"/>
      <c r="D2905" s="56"/>
      <c r="E2905" s="204"/>
      <c r="F2905" s="205"/>
      <c r="G2905" s="206"/>
      <c r="H2905" s="207"/>
      <c r="J2905" s="76"/>
    </row>
    <row r="2906" spans="1:10">
      <c r="A2906" s="172"/>
      <c r="D2906" s="56"/>
      <c r="E2906" s="204"/>
      <c r="F2906" s="205"/>
      <c r="G2906" s="206"/>
      <c r="H2906" s="207"/>
      <c r="J2906" s="76"/>
    </row>
    <row r="2907" spans="1:10">
      <c r="A2907" s="172"/>
      <c r="D2907" s="56"/>
      <c r="E2907" s="204"/>
      <c r="F2907" s="205"/>
      <c r="G2907" s="206"/>
      <c r="H2907" s="207"/>
      <c r="J2907" s="76"/>
    </row>
    <row r="2908" spans="1:10">
      <c r="A2908" s="172"/>
      <c r="D2908" s="56"/>
      <c r="E2908" s="204"/>
      <c r="F2908" s="205"/>
      <c r="G2908" s="206"/>
      <c r="H2908" s="207"/>
      <c r="J2908" s="76"/>
    </row>
    <row r="2909" spans="1:10">
      <c r="A2909" s="172"/>
      <c r="D2909" s="56"/>
      <c r="E2909" s="204"/>
      <c r="F2909" s="205"/>
      <c r="G2909" s="206"/>
      <c r="H2909" s="207"/>
      <c r="J2909" s="76"/>
    </row>
    <row r="2910" spans="1:10">
      <c r="A2910" s="172"/>
      <c r="D2910" s="56"/>
      <c r="E2910" s="204"/>
      <c r="F2910" s="205"/>
      <c r="G2910" s="206"/>
      <c r="H2910" s="207"/>
      <c r="J2910" s="76"/>
    </row>
    <row r="2911" spans="1:10">
      <c r="A2911" s="172"/>
      <c r="D2911" s="56"/>
      <c r="E2911" s="204"/>
      <c r="F2911" s="205"/>
      <c r="G2911" s="206"/>
      <c r="H2911" s="207"/>
      <c r="J2911" s="76"/>
    </row>
    <row r="2912" spans="1:10">
      <c r="A2912" s="172"/>
      <c r="D2912" s="56"/>
      <c r="E2912" s="204"/>
      <c r="F2912" s="205"/>
      <c r="G2912" s="206"/>
      <c r="H2912" s="207"/>
      <c r="J2912" s="76"/>
    </row>
    <row r="2913" spans="1:10">
      <c r="A2913" s="172"/>
      <c r="D2913" s="56"/>
      <c r="E2913" s="204"/>
      <c r="F2913" s="205"/>
      <c r="G2913" s="206"/>
      <c r="H2913" s="207"/>
      <c r="J2913" s="76"/>
    </row>
    <row r="2914" spans="1:10">
      <c r="A2914" s="172"/>
      <c r="D2914" s="56"/>
      <c r="E2914" s="204"/>
      <c r="F2914" s="205"/>
      <c r="G2914" s="206"/>
      <c r="H2914" s="207"/>
      <c r="J2914" s="76"/>
    </row>
    <row r="2915" spans="1:10">
      <c r="A2915" s="172"/>
      <c r="D2915" s="56"/>
      <c r="E2915" s="204"/>
      <c r="F2915" s="205"/>
      <c r="G2915" s="206"/>
      <c r="H2915" s="207"/>
      <c r="J2915" s="76"/>
    </row>
    <row r="2916" spans="1:10">
      <c r="A2916" s="172"/>
      <c r="D2916" s="56"/>
      <c r="E2916" s="204"/>
      <c r="F2916" s="205"/>
      <c r="G2916" s="206"/>
      <c r="H2916" s="207"/>
      <c r="J2916" s="76"/>
    </row>
    <row r="2917" spans="1:10">
      <c r="A2917" s="172"/>
      <c r="D2917" s="56"/>
      <c r="E2917" s="204"/>
      <c r="F2917" s="205"/>
      <c r="G2917" s="206"/>
      <c r="H2917" s="207"/>
      <c r="J2917" s="76"/>
    </row>
    <row r="2918" spans="1:10">
      <c r="A2918" s="172"/>
      <c r="D2918" s="56"/>
      <c r="E2918" s="204"/>
      <c r="F2918" s="205"/>
      <c r="G2918" s="206"/>
      <c r="H2918" s="207"/>
      <c r="J2918" s="76"/>
    </row>
    <row r="2919" spans="1:10">
      <c r="A2919" s="172"/>
      <c r="D2919" s="56"/>
      <c r="E2919" s="204"/>
      <c r="F2919" s="205"/>
      <c r="G2919" s="206"/>
      <c r="H2919" s="207"/>
      <c r="J2919" s="76"/>
    </row>
    <row r="2920" spans="1:10">
      <c r="A2920" s="172"/>
      <c r="D2920" s="56"/>
      <c r="E2920" s="204"/>
      <c r="F2920" s="205"/>
      <c r="G2920" s="206"/>
      <c r="H2920" s="207"/>
      <c r="J2920" s="76"/>
    </row>
    <row r="2921" spans="1:10">
      <c r="A2921" s="172"/>
      <c r="D2921" s="56"/>
      <c r="E2921" s="204"/>
      <c r="F2921" s="205"/>
      <c r="G2921" s="206"/>
      <c r="H2921" s="207"/>
      <c r="J2921" s="76"/>
    </row>
    <row r="2922" spans="1:10">
      <c r="A2922" s="172"/>
      <c r="D2922" s="56"/>
      <c r="E2922" s="204"/>
      <c r="F2922" s="205"/>
      <c r="G2922" s="206"/>
      <c r="H2922" s="207"/>
      <c r="J2922" s="76"/>
    </row>
    <row r="2923" spans="1:10">
      <c r="A2923" s="172"/>
      <c r="D2923" s="56"/>
      <c r="E2923" s="204"/>
      <c r="F2923" s="205"/>
      <c r="G2923" s="206"/>
      <c r="H2923" s="207"/>
      <c r="J2923" s="76"/>
    </row>
    <row r="2924" spans="1:10">
      <c r="A2924" s="172"/>
      <c r="D2924" s="56"/>
      <c r="E2924" s="204"/>
      <c r="F2924" s="205"/>
      <c r="G2924" s="206"/>
      <c r="H2924" s="207"/>
      <c r="J2924" s="76"/>
    </row>
    <row r="2925" spans="1:10">
      <c r="A2925" s="172"/>
      <c r="D2925" s="56"/>
      <c r="E2925" s="204"/>
      <c r="F2925" s="205"/>
      <c r="G2925" s="206"/>
      <c r="H2925" s="207"/>
      <c r="J2925" s="76"/>
    </row>
    <row r="2926" spans="1:10">
      <c r="A2926" s="172"/>
      <c r="D2926" s="56"/>
      <c r="E2926" s="204"/>
      <c r="F2926" s="205"/>
      <c r="G2926" s="206"/>
      <c r="H2926" s="207"/>
      <c r="J2926" s="76"/>
    </row>
    <row r="2927" spans="1:10">
      <c r="A2927" s="172"/>
      <c r="D2927" s="56"/>
      <c r="E2927" s="204"/>
      <c r="F2927" s="205"/>
      <c r="G2927" s="206"/>
      <c r="H2927" s="207"/>
      <c r="J2927" s="76"/>
    </row>
    <row r="2928" spans="1:10">
      <c r="A2928" s="172"/>
      <c r="D2928" s="56"/>
      <c r="E2928" s="204"/>
      <c r="F2928" s="205"/>
      <c r="G2928" s="206"/>
      <c r="H2928" s="207"/>
      <c r="J2928" s="76"/>
    </row>
    <row r="2929" spans="1:10">
      <c r="A2929" s="172"/>
      <c r="D2929" s="56"/>
      <c r="E2929" s="204"/>
      <c r="F2929" s="205"/>
      <c r="G2929" s="206"/>
      <c r="H2929" s="207"/>
      <c r="J2929" s="76"/>
    </row>
    <row r="2930" spans="1:10">
      <c r="A2930" s="172"/>
      <c r="D2930" s="56"/>
      <c r="E2930" s="204"/>
      <c r="F2930" s="205"/>
      <c r="G2930" s="206"/>
      <c r="H2930" s="207"/>
      <c r="J2930" s="76"/>
    </row>
    <row r="2931" spans="1:10">
      <c r="A2931" s="172"/>
      <c r="D2931" s="56"/>
      <c r="E2931" s="204"/>
      <c r="F2931" s="205"/>
      <c r="G2931" s="206"/>
      <c r="H2931" s="207"/>
      <c r="J2931" s="76"/>
    </row>
    <row r="2932" spans="1:10">
      <c r="A2932" s="172"/>
      <c r="D2932" s="56"/>
      <c r="E2932" s="204"/>
      <c r="F2932" s="205"/>
      <c r="G2932" s="206"/>
      <c r="H2932" s="207"/>
      <c r="J2932" s="76"/>
    </row>
    <row r="2933" spans="1:10">
      <c r="A2933" s="172"/>
      <c r="D2933" s="56"/>
      <c r="E2933" s="204"/>
      <c r="F2933" s="205"/>
      <c r="G2933" s="206"/>
      <c r="H2933" s="207"/>
      <c r="J2933" s="76"/>
    </row>
    <row r="2934" spans="1:10">
      <c r="A2934" s="172"/>
      <c r="D2934" s="56"/>
      <c r="E2934" s="204"/>
      <c r="F2934" s="205"/>
      <c r="G2934" s="206"/>
      <c r="H2934" s="207"/>
      <c r="J2934" s="76"/>
    </row>
    <row r="2935" spans="1:10">
      <c r="A2935" s="172"/>
      <c r="D2935" s="56"/>
      <c r="E2935" s="204"/>
      <c r="F2935" s="205"/>
      <c r="G2935" s="206"/>
      <c r="H2935" s="207"/>
      <c r="J2935" s="76"/>
    </row>
    <row r="2936" spans="1:10">
      <c r="A2936" s="172"/>
      <c r="D2936" s="56"/>
      <c r="E2936" s="204"/>
      <c r="F2936" s="205"/>
      <c r="G2936" s="206"/>
      <c r="H2936" s="207"/>
      <c r="J2936" s="76"/>
    </row>
    <row r="2937" spans="1:10">
      <c r="A2937" s="172"/>
      <c r="D2937" s="56"/>
      <c r="E2937" s="204"/>
      <c r="F2937" s="205"/>
      <c r="G2937" s="206"/>
      <c r="H2937" s="207"/>
      <c r="J2937" s="76"/>
    </row>
    <row r="2938" spans="1:10">
      <c r="A2938" s="172"/>
      <c r="D2938" s="56"/>
      <c r="E2938" s="204"/>
      <c r="F2938" s="205"/>
      <c r="G2938" s="206"/>
      <c r="H2938" s="207"/>
      <c r="J2938" s="76"/>
    </row>
    <row r="2939" spans="1:10">
      <c r="A2939" s="172"/>
      <c r="D2939" s="56"/>
      <c r="E2939" s="204"/>
      <c r="F2939" s="205"/>
      <c r="G2939" s="206"/>
      <c r="H2939" s="207"/>
      <c r="J2939" s="76"/>
    </row>
    <row r="2940" spans="1:10">
      <c r="A2940" s="172"/>
      <c r="D2940" s="56"/>
      <c r="E2940" s="204"/>
      <c r="F2940" s="205"/>
      <c r="G2940" s="206"/>
      <c r="H2940" s="207"/>
      <c r="J2940" s="76"/>
    </row>
    <row r="2941" spans="1:10">
      <c r="A2941" s="172"/>
      <c r="D2941" s="56"/>
      <c r="E2941" s="204"/>
      <c r="F2941" s="205"/>
      <c r="G2941" s="206"/>
      <c r="H2941" s="207"/>
      <c r="J2941" s="76"/>
    </row>
    <row r="2942" spans="1:10">
      <c r="A2942" s="172"/>
      <c r="D2942" s="56"/>
      <c r="E2942" s="204"/>
      <c r="F2942" s="205"/>
      <c r="G2942" s="206"/>
      <c r="H2942" s="207"/>
      <c r="J2942" s="76"/>
    </row>
    <row r="2943" spans="1:10">
      <c r="A2943" s="172"/>
      <c r="D2943" s="56"/>
      <c r="E2943" s="204"/>
      <c r="F2943" s="205"/>
      <c r="G2943" s="206"/>
      <c r="H2943" s="207"/>
      <c r="J2943" s="76"/>
    </row>
    <row r="2944" spans="1:10">
      <c r="A2944" s="172"/>
      <c r="D2944" s="56"/>
      <c r="E2944" s="204"/>
      <c r="F2944" s="205"/>
      <c r="G2944" s="206"/>
      <c r="H2944" s="207"/>
      <c r="J2944" s="76"/>
    </row>
    <row r="2945" spans="1:10">
      <c r="A2945" s="172"/>
      <c r="D2945" s="56"/>
      <c r="E2945" s="204"/>
      <c r="F2945" s="205"/>
      <c r="G2945" s="206"/>
      <c r="H2945" s="207"/>
      <c r="J2945" s="76"/>
    </row>
    <row r="2946" spans="1:10">
      <c r="A2946" s="172"/>
      <c r="D2946" s="56"/>
      <c r="E2946" s="204"/>
      <c r="F2946" s="205"/>
      <c r="G2946" s="206"/>
      <c r="H2946" s="207"/>
      <c r="J2946" s="76"/>
    </row>
    <row r="2947" spans="1:10">
      <c r="A2947" s="172"/>
      <c r="D2947" s="56"/>
      <c r="E2947" s="204"/>
      <c r="F2947" s="205"/>
      <c r="G2947" s="206"/>
      <c r="H2947" s="207"/>
      <c r="J2947" s="76"/>
    </row>
    <row r="2948" spans="1:10">
      <c r="A2948" s="172"/>
      <c r="D2948" s="56"/>
      <c r="E2948" s="204"/>
      <c r="F2948" s="205"/>
      <c r="G2948" s="206"/>
      <c r="H2948" s="207"/>
      <c r="J2948" s="76"/>
    </row>
    <row r="2949" spans="1:10">
      <c r="A2949" s="172"/>
      <c r="D2949" s="56"/>
      <c r="E2949" s="204"/>
      <c r="F2949" s="205"/>
      <c r="G2949" s="206"/>
      <c r="H2949" s="207"/>
      <c r="J2949" s="76"/>
    </row>
    <row r="2950" spans="1:10">
      <c r="A2950" s="172"/>
      <c r="D2950" s="56"/>
      <c r="E2950" s="204"/>
      <c r="F2950" s="205"/>
      <c r="G2950" s="206"/>
      <c r="H2950" s="207"/>
      <c r="J2950" s="76"/>
    </row>
    <row r="2951" spans="1:10">
      <c r="A2951" s="172"/>
      <c r="D2951" s="56"/>
      <c r="E2951" s="204"/>
      <c r="F2951" s="205"/>
      <c r="G2951" s="206"/>
      <c r="H2951" s="207"/>
      <c r="J2951" s="76"/>
    </row>
    <row r="2952" spans="1:10">
      <c r="A2952" s="172"/>
      <c r="D2952" s="56"/>
      <c r="E2952" s="204"/>
      <c r="F2952" s="205"/>
      <c r="G2952" s="206"/>
      <c r="H2952" s="207"/>
      <c r="J2952" s="76"/>
    </row>
    <row r="2953" spans="1:10">
      <c r="A2953" s="172"/>
      <c r="D2953" s="56"/>
      <c r="E2953" s="204"/>
      <c r="F2953" s="205"/>
      <c r="G2953" s="206"/>
      <c r="H2953" s="207"/>
      <c r="J2953" s="76"/>
    </row>
    <row r="2954" spans="1:10">
      <c r="A2954" s="172"/>
      <c r="D2954" s="56"/>
      <c r="E2954" s="204"/>
      <c r="F2954" s="205"/>
      <c r="G2954" s="206"/>
      <c r="H2954" s="207"/>
      <c r="J2954" s="76"/>
    </row>
    <row r="2955" spans="1:10">
      <c r="A2955" s="172"/>
      <c r="D2955" s="56"/>
      <c r="E2955" s="204"/>
      <c r="F2955" s="205"/>
      <c r="G2955" s="206"/>
      <c r="H2955" s="207"/>
      <c r="J2955" s="76"/>
    </row>
    <row r="2956" spans="1:10">
      <c r="A2956" s="172"/>
      <c r="D2956" s="56"/>
      <c r="E2956" s="204"/>
      <c r="F2956" s="205"/>
      <c r="G2956" s="206"/>
      <c r="H2956" s="207"/>
      <c r="J2956" s="76"/>
    </row>
    <row r="2957" spans="1:10">
      <c r="A2957" s="172"/>
      <c r="D2957" s="56"/>
      <c r="E2957" s="204"/>
      <c r="F2957" s="205"/>
      <c r="G2957" s="206"/>
      <c r="H2957" s="207"/>
      <c r="J2957" s="76"/>
    </row>
    <row r="2958" spans="1:10">
      <c r="A2958" s="172"/>
      <c r="D2958" s="56"/>
      <c r="E2958" s="204"/>
      <c r="F2958" s="205"/>
      <c r="G2958" s="206"/>
      <c r="H2958" s="207"/>
      <c r="J2958" s="76"/>
    </row>
    <row r="2959" spans="1:10">
      <c r="A2959" s="172"/>
      <c r="D2959" s="56"/>
      <c r="E2959" s="204"/>
      <c r="F2959" s="205"/>
      <c r="G2959" s="206"/>
      <c r="H2959" s="207"/>
      <c r="J2959" s="76"/>
    </row>
    <row r="2960" spans="1:10">
      <c r="A2960" s="172"/>
      <c r="D2960" s="56"/>
      <c r="E2960" s="204"/>
      <c r="F2960" s="205"/>
      <c r="G2960" s="206"/>
      <c r="H2960" s="207"/>
      <c r="J2960" s="76"/>
    </row>
    <row r="2961" spans="1:10">
      <c r="A2961" s="172"/>
      <c r="D2961" s="56"/>
      <c r="E2961" s="204"/>
      <c r="F2961" s="205"/>
      <c r="G2961" s="206"/>
      <c r="H2961" s="207"/>
      <c r="J2961" s="76"/>
    </row>
    <row r="2962" spans="1:10">
      <c r="A2962" s="172"/>
      <c r="D2962" s="56"/>
      <c r="E2962" s="204"/>
      <c r="F2962" s="205"/>
      <c r="G2962" s="206"/>
      <c r="H2962" s="207"/>
      <c r="J2962" s="76"/>
    </row>
    <row r="2963" spans="1:10">
      <c r="A2963" s="172"/>
      <c r="D2963" s="56"/>
      <c r="E2963" s="204"/>
      <c r="F2963" s="205"/>
      <c r="G2963" s="206"/>
      <c r="H2963" s="207"/>
      <c r="J2963" s="76"/>
    </row>
    <row r="2964" spans="1:10">
      <c r="A2964" s="172"/>
      <c r="D2964" s="56"/>
      <c r="E2964" s="204"/>
      <c r="F2964" s="205"/>
      <c r="G2964" s="206"/>
      <c r="H2964" s="207"/>
      <c r="J2964" s="76"/>
    </row>
    <row r="2965" spans="1:10">
      <c r="A2965" s="172"/>
      <c r="D2965" s="56"/>
      <c r="E2965" s="204"/>
      <c r="F2965" s="205"/>
      <c r="G2965" s="206"/>
      <c r="H2965" s="207"/>
      <c r="J2965" s="76"/>
    </row>
    <row r="2966" spans="1:10">
      <c r="A2966" s="172"/>
      <c r="D2966" s="56"/>
      <c r="E2966" s="204"/>
      <c r="F2966" s="205"/>
      <c r="G2966" s="206"/>
      <c r="H2966" s="207"/>
      <c r="J2966" s="76"/>
    </row>
    <row r="2967" spans="1:10">
      <c r="A2967" s="172"/>
      <c r="D2967" s="56"/>
      <c r="E2967" s="204"/>
      <c r="F2967" s="205"/>
      <c r="G2967" s="206"/>
      <c r="H2967" s="207"/>
      <c r="J2967" s="76"/>
    </row>
    <row r="2968" spans="1:10">
      <c r="A2968" s="172"/>
      <c r="D2968" s="56"/>
      <c r="E2968" s="204"/>
      <c r="F2968" s="205"/>
      <c r="G2968" s="206"/>
      <c r="H2968" s="207"/>
      <c r="J2968" s="76"/>
    </row>
    <row r="2969" spans="1:10">
      <c r="A2969" s="172"/>
      <c r="D2969" s="56"/>
      <c r="E2969" s="204"/>
      <c r="F2969" s="205"/>
      <c r="G2969" s="206"/>
      <c r="H2969" s="207"/>
      <c r="J2969" s="76"/>
    </row>
    <row r="2970" spans="1:10">
      <c r="A2970" s="172"/>
      <c r="D2970" s="56"/>
      <c r="E2970" s="204"/>
      <c r="F2970" s="205"/>
      <c r="G2970" s="206"/>
      <c r="H2970" s="207"/>
      <c r="J2970" s="76"/>
    </row>
    <row r="2971" spans="1:10">
      <c r="A2971" s="172"/>
      <c r="D2971" s="56"/>
      <c r="E2971" s="204"/>
      <c r="F2971" s="205"/>
      <c r="G2971" s="206"/>
      <c r="H2971" s="207"/>
      <c r="J2971" s="76"/>
    </row>
    <row r="2972" spans="1:10">
      <c r="A2972" s="172"/>
      <c r="D2972" s="56"/>
      <c r="E2972" s="204"/>
      <c r="F2972" s="205"/>
      <c r="G2972" s="206"/>
      <c r="H2972" s="207"/>
      <c r="J2972" s="76"/>
    </row>
    <row r="2973" spans="1:10">
      <c r="A2973" s="172"/>
      <c r="D2973" s="56"/>
      <c r="E2973" s="204"/>
      <c r="F2973" s="205"/>
      <c r="G2973" s="206"/>
      <c r="H2973" s="207"/>
      <c r="J2973" s="76"/>
    </row>
    <row r="2974" spans="1:10">
      <c r="A2974" s="172"/>
      <c r="D2974" s="56"/>
      <c r="E2974" s="204"/>
      <c r="F2974" s="205"/>
      <c r="G2974" s="206"/>
      <c r="H2974" s="207"/>
      <c r="J2974" s="76"/>
    </row>
    <row r="2975" spans="1:10">
      <c r="A2975" s="172"/>
      <c r="D2975" s="56"/>
      <c r="E2975" s="204"/>
      <c r="F2975" s="205"/>
      <c r="G2975" s="206"/>
      <c r="H2975" s="207"/>
      <c r="J2975" s="76"/>
    </row>
    <row r="2976" spans="1:10">
      <c r="A2976" s="172"/>
      <c r="D2976" s="56"/>
      <c r="E2976" s="204"/>
      <c r="F2976" s="205"/>
      <c r="G2976" s="206"/>
      <c r="H2976" s="207"/>
      <c r="J2976" s="76"/>
    </row>
    <row r="2977" spans="1:10">
      <c r="A2977" s="172"/>
      <c r="D2977" s="56"/>
      <c r="E2977" s="204"/>
      <c r="F2977" s="205"/>
      <c r="G2977" s="206"/>
      <c r="H2977" s="207"/>
      <c r="J2977" s="76"/>
    </row>
    <row r="2978" spans="1:10">
      <c r="A2978" s="172"/>
      <c r="D2978" s="56"/>
      <c r="E2978" s="204"/>
      <c r="F2978" s="205"/>
      <c r="G2978" s="206"/>
      <c r="H2978" s="207"/>
      <c r="J2978" s="76"/>
    </row>
    <row r="2979" spans="1:10">
      <c r="A2979" s="172"/>
      <c r="D2979" s="56"/>
      <c r="E2979" s="204"/>
      <c r="F2979" s="205"/>
      <c r="G2979" s="206"/>
      <c r="H2979" s="207"/>
      <c r="J2979" s="76"/>
    </row>
    <row r="2980" spans="1:10">
      <c r="A2980" s="172"/>
      <c r="D2980" s="56"/>
      <c r="E2980" s="204"/>
      <c r="F2980" s="205"/>
      <c r="G2980" s="206"/>
      <c r="H2980" s="207"/>
      <c r="J2980" s="76"/>
    </row>
    <row r="2981" spans="1:10">
      <c r="A2981" s="172"/>
      <c r="D2981" s="56"/>
      <c r="E2981" s="204"/>
      <c r="F2981" s="205"/>
      <c r="G2981" s="206"/>
      <c r="H2981" s="207"/>
      <c r="J2981" s="76"/>
    </row>
    <row r="2982" spans="1:10">
      <c r="A2982" s="172"/>
      <c r="D2982" s="56"/>
      <c r="E2982" s="204"/>
      <c r="F2982" s="205"/>
      <c r="G2982" s="206"/>
      <c r="H2982" s="207"/>
      <c r="J2982" s="76"/>
    </row>
    <row r="2983" spans="1:10">
      <c r="A2983" s="172"/>
      <c r="D2983" s="56"/>
      <c r="E2983" s="204"/>
      <c r="F2983" s="205"/>
      <c r="G2983" s="206"/>
      <c r="H2983" s="207"/>
      <c r="J2983" s="76"/>
    </row>
    <row r="2984" spans="1:10">
      <c r="A2984" s="172"/>
      <c r="D2984" s="56"/>
      <c r="E2984" s="204"/>
      <c r="F2984" s="205"/>
      <c r="G2984" s="206"/>
      <c r="H2984" s="207"/>
      <c r="J2984" s="76"/>
    </row>
    <row r="2985" spans="1:10">
      <c r="A2985" s="172"/>
      <c r="D2985" s="56"/>
      <c r="E2985" s="204"/>
      <c r="F2985" s="205"/>
      <c r="G2985" s="206"/>
      <c r="H2985" s="207"/>
      <c r="J2985" s="76"/>
    </row>
    <row r="2986" spans="1:10">
      <c r="A2986" s="172"/>
      <c r="D2986" s="56"/>
      <c r="E2986" s="204"/>
      <c r="F2986" s="205"/>
      <c r="G2986" s="206"/>
      <c r="H2986" s="207"/>
      <c r="J2986" s="76"/>
    </row>
    <row r="2987" spans="1:10">
      <c r="A2987" s="172"/>
      <c r="D2987" s="56"/>
      <c r="E2987" s="204"/>
      <c r="F2987" s="205"/>
      <c r="G2987" s="206"/>
      <c r="H2987" s="207"/>
      <c r="J2987" s="76"/>
    </row>
    <row r="2988" spans="1:10">
      <c r="A2988" s="172"/>
      <c r="D2988" s="56"/>
      <c r="E2988" s="204"/>
      <c r="F2988" s="205"/>
      <c r="G2988" s="206"/>
      <c r="H2988" s="207"/>
      <c r="J2988" s="76"/>
    </row>
    <row r="2989" spans="1:10">
      <c r="A2989" s="172"/>
      <c r="D2989" s="56"/>
      <c r="E2989" s="204"/>
      <c r="F2989" s="205"/>
      <c r="G2989" s="206"/>
      <c r="H2989" s="207"/>
      <c r="J2989" s="76"/>
    </row>
    <row r="2990" spans="1:10">
      <c r="A2990" s="172"/>
      <c r="D2990" s="56"/>
      <c r="E2990" s="204"/>
      <c r="F2990" s="205"/>
      <c r="G2990" s="206"/>
      <c r="H2990" s="207"/>
      <c r="J2990" s="76"/>
    </row>
    <row r="2991" spans="1:10">
      <c r="A2991" s="172"/>
      <c r="D2991" s="56"/>
      <c r="E2991" s="204"/>
      <c r="F2991" s="205"/>
      <c r="G2991" s="206"/>
      <c r="H2991" s="207"/>
      <c r="J2991" s="76"/>
    </row>
    <row r="2992" spans="1:10">
      <c r="A2992" s="172"/>
      <c r="D2992" s="56"/>
      <c r="E2992" s="204"/>
      <c r="F2992" s="205"/>
      <c r="G2992" s="206"/>
      <c r="H2992" s="207"/>
      <c r="J2992" s="76"/>
    </row>
    <row r="2993" spans="1:10">
      <c r="A2993" s="172"/>
      <c r="D2993" s="56"/>
      <c r="E2993" s="204"/>
      <c r="F2993" s="205"/>
      <c r="G2993" s="206"/>
      <c r="H2993" s="207"/>
      <c r="J2993" s="76"/>
    </row>
    <row r="2994" spans="1:10">
      <c r="A2994" s="172"/>
      <c r="D2994" s="56"/>
      <c r="E2994" s="204"/>
      <c r="F2994" s="205"/>
      <c r="G2994" s="206"/>
      <c r="H2994" s="207"/>
      <c r="J2994" s="76"/>
    </row>
    <row r="2995" spans="1:10">
      <c r="A2995" s="172"/>
      <c r="D2995" s="56"/>
      <c r="E2995" s="204"/>
      <c r="F2995" s="205"/>
      <c r="G2995" s="206"/>
      <c r="H2995" s="207"/>
      <c r="J2995" s="76"/>
    </row>
    <row r="2996" spans="1:10">
      <c r="A2996" s="172"/>
      <c r="D2996" s="56"/>
      <c r="E2996" s="204"/>
      <c r="F2996" s="205"/>
      <c r="G2996" s="206"/>
      <c r="H2996" s="207"/>
      <c r="J2996" s="76"/>
    </row>
    <row r="2997" spans="1:10">
      <c r="A2997" s="172"/>
      <c r="D2997" s="56"/>
      <c r="E2997" s="204"/>
      <c r="F2997" s="205"/>
      <c r="G2997" s="206"/>
      <c r="H2997" s="207"/>
      <c r="J2997" s="76"/>
    </row>
    <row r="2998" spans="1:10">
      <c r="A2998" s="172"/>
      <c r="D2998" s="56"/>
      <c r="E2998" s="204"/>
      <c r="F2998" s="205"/>
      <c r="G2998" s="206"/>
      <c r="H2998" s="207"/>
      <c r="J2998" s="76"/>
    </row>
    <row r="2999" spans="1:10">
      <c r="A2999" s="172"/>
      <c r="D2999" s="56"/>
      <c r="E2999" s="204"/>
      <c r="F2999" s="205"/>
      <c r="G2999" s="206"/>
      <c r="H2999" s="207"/>
      <c r="J2999" s="76"/>
    </row>
    <row r="3000" spans="1:10">
      <c r="A3000" s="172"/>
      <c r="D3000" s="56"/>
      <c r="E3000" s="204"/>
      <c r="F3000" s="205"/>
      <c r="G3000" s="206"/>
      <c r="H3000" s="207"/>
      <c r="J3000" s="76"/>
    </row>
    <row r="3001" spans="1:10">
      <c r="A3001" s="172"/>
      <c r="D3001" s="56"/>
      <c r="E3001" s="204"/>
      <c r="F3001" s="205"/>
      <c r="G3001" s="206"/>
      <c r="H3001" s="207"/>
      <c r="J3001" s="76"/>
    </row>
    <row r="3002" spans="1:10">
      <c r="A3002" s="172"/>
      <c r="D3002" s="56"/>
      <c r="E3002" s="204"/>
      <c r="F3002" s="205"/>
      <c r="G3002" s="206"/>
      <c r="H3002" s="207"/>
      <c r="J3002" s="76"/>
    </row>
    <row r="3003" spans="1:10">
      <c r="A3003" s="172"/>
      <c r="D3003" s="56"/>
      <c r="E3003" s="204"/>
      <c r="F3003" s="205"/>
      <c r="G3003" s="206"/>
      <c r="H3003" s="207"/>
      <c r="J3003" s="76"/>
    </row>
    <row r="3004" spans="1:10">
      <c r="A3004" s="172"/>
      <c r="D3004" s="56"/>
      <c r="E3004" s="204"/>
      <c r="F3004" s="205"/>
      <c r="G3004" s="206"/>
      <c r="H3004" s="207"/>
      <c r="J3004" s="76"/>
    </row>
    <row r="3005" spans="1:10">
      <c r="A3005" s="172"/>
      <c r="D3005" s="56"/>
      <c r="E3005" s="204"/>
      <c r="F3005" s="205"/>
      <c r="G3005" s="206"/>
      <c r="H3005" s="207"/>
      <c r="J3005" s="76"/>
    </row>
    <row r="3006" spans="1:10">
      <c r="A3006" s="172"/>
      <c r="D3006" s="56"/>
      <c r="E3006" s="204"/>
      <c r="F3006" s="205"/>
      <c r="G3006" s="206"/>
      <c r="H3006" s="207"/>
      <c r="J3006" s="76"/>
    </row>
    <row r="3007" spans="1:10">
      <c r="A3007" s="172"/>
      <c r="D3007" s="56"/>
      <c r="E3007" s="204"/>
      <c r="F3007" s="205"/>
      <c r="G3007" s="206"/>
      <c r="H3007" s="207"/>
      <c r="J3007" s="76"/>
    </row>
    <row r="3008" spans="1:10">
      <c r="A3008" s="172"/>
      <c r="D3008" s="56"/>
      <c r="E3008" s="204"/>
      <c r="F3008" s="205"/>
      <c r="G3008" s="206"/>
      <c r="H3008" s="207"/>
      <c r="J3008" s="76"/>
    </row>
    <row r="3009" spans="1:10">
      <c r="A3009" s="172"/>
      <c r="D3009" s="56"/>
      <c r="E3009" s="204"/>
      <c r="F3009" s="205"/>
      <c r="G3009" s="206"/>
      <c r="H3009" s="207"/>
      <c r="J3009" s="76"/>
    </row>
    <row r="3010" spans="1:10">
      <c r="A3010" s="172"/>
      <c r="D3010" s="56"/>
      <c r="E3010" s="204"/>
      <c r="F3010" s="205"/>
      <c r="G3010" s="206"/>
      <c r="H3010" s="207"/>
      <c r="J3010" s="76"/>
    </row>
    <row r="3011" spans="1:10">
      <c r="A3011" s="172"/>
      <c r="D3011" s="56"/>
      <c r="E3011" s="204"/>
      <c r="F3011" s="205"/>
      <c r="G3011" s="206"/>
      <c r="H3011" s="207"/>
      <c r="J3011" s="76"/>
    </row>
    <row r="3012" spans="1:10">
      <c r="A3012" s="172"/>
      <c r="D3012" s="56"/>
      <c r="E3012" s="204"/>
      <c r="F3012" s="205"/>
      <c r="G3012" s="206"/>
      <c r="H3012" s="207"/>
      <c r="J3012" s="76"/>
    </row>
    <row r="3013" spans="1:10">
      <c r="A3013" s="172"/>
      <c r="D3013" s="56"/>
      <c r="E3013" s="204"/>
      <c r="F3013" s="205"/>
      <c r="G3013" s="206"/>
      <c r="H3013" s="207"/>
      <c r="J3013" s="76"/>
    </row>
    <row r="3014" spans="1:10">
      <c r="A3014" s="172"/>
      <c r="D3014" s="56"/>
      <c r="E3014" s="204"/>
      <c r="F3014" s="205"/>
      <c r="G3014" s="206"/>
      <c r="H3014" s="207"/>
      <c r="J3014" s="76"/>
    </row>
    <row r="3015" spans="1:10">
      <c r="A3015" s="172"/>
      <c r="D3015" s="56"/>
      <c r="E3015" s="204"/>
      <c r="F3015" s="205"/>
      <c r="G3015" s="206"/>
      <c r="H3015" s="207"/>
      <c r="J3015" s="76"/>
    </row>
    <row r="3016" spans="1:10">
      <c r="A3016" s="172"/>
      <c r="D3016" s="56"/>
      <c r="E3016" s="204"/>
      <c r="F3016" s="205"/>
      <c r="G3016" s="206"/>
      <c r="H3016" s="207"/>
      <c r="J3016" s="76"/>
    </row>
    <row r="3017" spans="1:10">
      <c r="A3017" s="172"/>
      <c r="D3017" s="56"/>
      <c r="E3017" s="204"/>
      <c r="F3017" s="205"/>
      <c r="G3017" s="206"/>
      <c r="H3017" s="207"/>
      <c r="J3017" s="76"/>
    </row>
    <row r="3018" spans="1:10">
      <c r="A3018" s="172"/>
      <c r="D3018" s="56"/>
      <c r="E3018" s="204"/>
      <c r="F3018" s="205"/>
      <c r="G3018" s="206"/>
      <c r="H3018" s="207"/>
      <c r="J3018" s="76"/>
    </row>
    <row r="3019" spans="1:10">
      <c r="A3019" s="172"/>
      <c r="D3019" s="56"/>
      <c r="E3019" s="204"/>
      <c r="F3019" s="205"/>
      <c r="G3019" s="206"/>
      <c r="H3019" s="207"/>
      <c r="J3019" s="76"/>
    </row>
    <row r="3020" spans="1:10">
      <c r="A3020" s="172"/>
      <c r="D3020" s="56"/>
      <c r="E3020" s="204"/>
      <c r="F3020" s="205"/>
      <c r="G3020" s="206"/>
      <c r="H3020" s="207"/>
      <c r="J3020" s="76"/>
    </row>
    <row r="3021" spans="1:10">
      <c r="A3021" s="172"/>
      <c r="D3021" s="56"/>
      <c r="E3021" s="204"/>
      <c r="F3021" s="205"/>
      <c r="G3021" s="206"/>
      <c r="H3021" s="207"/>
      <c r="J3021" s="76"/>
    </row>
    <row r="3022" spans="1:10">
      <c r="A3022" s="172"/>
      <c r="D3022" s="56"/>
      <c r="E3022" s="204"/>
      <c r="F3022" s="205"/>
      <c r="G3022" s="206"/>
      <c r="H3022" s="207"/>
      <c r="J3022" s="76"/>
    </row>
    <row r="3023" spans="1:10">
      <c r="A3023" s="172"/>
      <c r="D3023" s="56"/>
      <c r="E3023" s="204"/>
      <c r="F3023" s="205"/>
      <c r="G3023" s="206"/>
      <c r="H3023" s="207"/>
      <c r="J3023" s="76"/>
    </row>
    <row r="3024" spans="1:10">
      <c r="A3024" s="172"/>
      <c r="D3024" s="56"/>
      <c r="E3024" s="204"/>
      <c r="F3024" s="205"/>
      <c r="G3024" s="206"/>
      <c r="H3024" s="207"/>
      <c r="J3024" s="76"/>
    </row>
    <row r="3025" spans="1:10">
      <c r="A3025" s="172"/>
      <c r="D3025" s="56"/>
      <c r="E3025" s="204"/>
      <c r="F3025" s="205"/>
      <c r="G3025" s="206"/>
      <c r="H3025" s="207"/>
      <c r="J3025" s="76"/>
    </row>
    <row r="3026" spans="1:10">
      <c r="A3026" s="172"/>
      <c r="D3026" s="56"/>
      <c r="E3026" s="204"/>
      <c r="F3026" s="205"/>
      <c r="G3026" s="206"/>
      <c r="H3026" s="207"/>
      <c r="J3026" s="76"/>
    </row>
    <row r="3027" spans="1:10">
      <c r="A3027" s="172"/>
      <c r="D3027" s="56"/>
      <c r="E3027" s="204"/>
      <c r="F3027" s="205"/>
      <c r="G3027" s="206"/>
      <c r="H3027" s="207"/>
      <c r="J3027" s="76"/>
    </row>
    <row r="3028" spans="1:10">
      <c r="A3028" s="172"/>
      <c r="D3028" s="56"/>
      <c r="E3028" s="204"/>
      <c r="F3028" s="205"/>
      <c r="G3028" s="206"/>
      <c r="H3028" s="207"/>
      <c r="J3028" s="76"/>
    </row>
    <row r="3029" spans="1:10">
      <c r="A3029" s="172"/>
      <c r="D3029" s="56"/>
      <c r="E3029" s="204"/>
      <c r="F3029" s="205"/>
      <c r="G3029" s="206"/>
      <c r="H3029" s="207"/>
      <c r="J3029" s="76"/>
    </row>
    <row r="3030" spans="1:10">
      <c r="A3030" s="172"/>
      <c r="D3030" s="56"/>
      <c r="E3030" s="204"/>
      <c r="F3030" s="205"/>
      <c r="G3030" s="206"/>
      <c r="H3030" s="207"/>
      <c r="J3030" s="76"/>
    </row>
    <row r="3031" spans="1:10">
      <c r="A3031" s="172"/>
      <c r="D3031" s="56"/>
      <c r="E3031" s="204"/>
      <c r="F3031" s="205"/>
      <c r="G3031" s="206"/>
      <c r="H3031" s="207"/>
      <c r="J3031" s="76"/>
    </row>
    <row r="3032" spans="1:10">
      <c r="A3032" s="172"/>
      <c r="D3032" s="56"/>
      <c r="E3032" s="204"/>
      <c r="F3032" s="205"/>
      <c r="G3032" s="206"/>
      <c r="H3032" s="207"/>
      <c r="J3032" s="76"/>
    </row>
    <row r="3033" spans="1:10">
      <c r="A3033" s="172"/>
      <c r="D3033" s="56"/>
      <c r="E3033" s="204"/>
      <c r="F3033" s="205"/>
      <c r="G3033" s="206"/>
      <c r="H3033" s="207"/>
      <c r="J3033" s="76"/>
    </row>
    <row r="3034" spans="1:10">
      <c r="A3034" s="172"/>
      <c r="D3034" s="56"/>
      <c r="E3034" s="204"/>
      <c r="F3034" s="205"/>
      <c r="G3034" s="206"/>
      <c r="H3034" s="207"/>
      <c r="J3034" s="76"/>
    </row>
    <row r="3035" spans="1:10">
      <c r="A3035" s="172"/>
      <c r="D3035" s="56"/>
      <c r="E3035" s="204"/>
      <c r="F3035" s="205"/>
      <c r="G3035" s="206"/>
      <c r="H3035" s="207"/>
      <c r="J3035" s="76"/>
    </row>
    <row r="3036" spans="1:10">
      <c r="A3036" s="172"/>
      <c r="D3036" s="56"/>
      <c r="E3036" s="204"/>
      <c r="F3036" s="205"/>
      <c r="G3036" s="206"/>
      <c r="H3036" s="207"/>
      <c r="J3036" s="76"/>
    </row>
    <row r="3037" spans="1:10">
      <c r="A3037" s="172"/>
      <c r="D3037" s="56"/>
      <c r="E3037" s="204"/>
      <c r="F3037" s="205"/>
      <c r="G3037" s="206"/>
      <c r="H3037" s="207"/>
      <c r="J3037" s="76"/>
    </row>
    <row r="3038" spans="1:10">
      <c r="A3038" s="172"/>
      <c r="D3038" s="56"/>
      <c r="E3038" s="204"/>
      <c r="F3038" s="205"/>
      <c r="G3038" s="206"/>
      <c r="H3038" s="207"/>
      <c r="J3038" s="76"/>
    </row>
    <row r="3039" spans="1:10">
      <c r="A3039" s="172"/>
      <c r="D3039" s="56"/>
      <c r="E3039" s="204"/>
      <c r="F3039" s="205"/>
      <c r="G3039" s="206"/>
      <c r="H3039" s="207"/>
      <c r="J3039" s="76"/>
    </row>
    <row r="3040" spans="1:10">
      <c r="A3040" s="172"/>
      <c r="D3040" s="56"/>
      <c r="E3040" s="204"/>
      <c r="F3040" s="205"/>
      <c r="G3040" s="206"/>
      <c r="H3040" s="207"/>
      <c r="J3040" s="76"/>
    </row>
    <row r="3041" spans="1:10">
      <c r="A3041" s="172"/>
      <c r="D3041" s="56"/>
      <c r="E3041" s="204"/>
      <c r="F3041" s="205"/>
      <c r="G3041" s="206"/>
      <c r="H3041" s="207"/>
      <c r="J3041" s="76"/>
    </row>
    <row r="3042" spans="1:10">
      <c r="A3042" s="172"/>
      <c r="D3042" s="56"/>
      <c r="E3042" s="204"/>
      <c r="F3042" s="205"/>
      <c r="G3042" s="206"/>
      <c r="H3042" s="207"/>
      <c r="J3042" s="76"/>
    </row>
    <row r="3043" spans="1:10">
      <c r="A3043" s="172"/>
      <c r="D3043" s="56"/>
      <c r="E3043" s="204"/>
      <c r="F3043" s="205"/>
      <c r="G3043" s="206"/>
      <c r="H3043" s="207"/>
      <c r="J3043" s="76"/>
    </row>
    <row r="3044" spans="1:10">
      <c r="A3044" s="172"/>
      <c r="D3044" s="56"/>
      <c r="E3044" s="204"/>
      <c r="F3044" s="205"/>
      <c r="G3044" s="206"/>
      <c r="H3044" s="207"/>
      <c r="J3044" s="76"/>
    </row>
    <row r="3045" spans="1:10">
      <c r="A3045" s="172"/>
      <c r="D3045" s="56"/>
      <c r="E3045" s="204"/>
      <c r="F3045" s="205"/>
      <c r="G3045" s="206"/>
      <c r="H3045" s="207"/>
      <c r="J3045" s="76"/>
    </row>
    <row r="3046" spans="1:10">
      <c r="A3046" s="172"/>
      <c r="D3046" s="56"/>
      <c r="E3046" s="204"/>
      <c r="F3046" s="205"/>
      <c r="G3046" s="206"/>
      <c r="H3046" s="207"/>
      <c r="J3046" s="76"/>
    </row>
    <row r="3047" spans="1:10">
      <c r="A3047" s="172"/>
      <c r="D3047" s="56"/>
      <c r="E3047" s="204"/>
      <c r="F3047" s="205"/>
      <c r="G3047" s="206"/>
      <c r="H3047" s="207"/>
      <c r="J3047" s="76"/>
    </row>
    <row r="3048" spans="1:10">
      <c r="A3048" s="172"/>
      <c r="D3048" s="56"/>
      <c r="E3048" s="204"/>
      <c r="F3048" s="205"/>
      <c r="G3048" s="206"/>
      <c r="H3048" s="207"/>
      <c r="J3048" s="76"/>
    </row>
    <row r="3049" spans="1:10">
      <c r="A3049" s="172"/>
      <c r="D3049" s="56"/>
      <c r="E3049" s="204"/>
      <c r="F3049" s="205"/>
      <c r="G3049" s="206"/>
      <c r="H3049" s="207"/>
      <c r="J3049" s="76"/>
    </row>
    <row r="3050" spans="1:10">
      <c r="A3050" s="172"/>
      <c r="D3050" s="56"/>
      <c r="E3050" s="204"/>
      <c r="F3050" s="205"/>
      <c r="G3050" s="206"/>
      <c r="H3050" s="207"/>
      <c r="J3050" s="76"/>
    </row>
    <row r="3051" spans="1:10">
      <c r="A3051" s="172"/>
      <c r="D3051" s="56"/>
      <c r="E3051" s="204"/>
      <c r="F3051" s="205"/>
      <c r="G3051" s="206"/>
      <c r="H3051" s="207"/>
      <c r="J3051" s="76"/>
    </row>
    <row r="3052" spans="1:10">
      <c r="A3052" s="172"/>
      <c r="D3052" s="56"/>
      <c r="E3052" s="204"/>
      <c r="F3052" s="205"/>
      <c r="G3052" s="206"/>
      <c r="H3052" s="207"/>
      <c r="J3052" s="76"/>
    </row>
    <row r="3053" spans="1:10">
      <c r="A3053" s="172"/>
      <c r="D3053" s="56"/>
      <c r="E3053" s="204"/>
      <c r="F3053" s="205"/>
      <c r="G3053" s="206"/>
      <c r="H3053" s="207"/>
      <c r="J3053" s="76"/>
    </row>
    <row r="3054" spans="1:10">
      <c r="A3054" s="172"/>
      <c r="D3054" s="56"/>
      <c r="E3054" s="204"/>
      <c r="F3054" s="205"/>
      <c r="G3054" s="206"/>
      <c r="H3054" s="207"/>
      <c r="J3054" s="76"/>
    </row>
    <row r="3055" spans="1:10">
      <c r="A3055" s="172"/>
      <c r="D3055" s="56"/>
      <c r="E3055" s="204"/>
      <c r="F3055" s="205"/>
      <c r="G3055" s="206"/>
      <c r="H3055" s="207"/>
      <c r="J3055" s="76"/>
    </row>
    <row r="3056" spans="1:10">
      <c r="A3056" s="172"/>
      <c r="D3056" s="56"/>
      <c r="E3056" s="204"/>
      <c r="F3056" s="205"/>
      <c r="G3056" s="206"/>
      <c r="H3056" s="207"/>
      <c r="J3056" s="76"/>
    </row>
    <row r="3057" spans="1:10">
      <c r="A3057" s="172"/>
      <c r="D3057" s="56"/>
      <c r="E3057" s="204"/>
      <c r="F3057" s="205"/>
      <c r="G3057" s="206"/>
      <c r="H3057" s="207"/>
      <c r="J3057" s="76"/>
    </row>
    <row r="3058" spans="1:10">
      <c r="A3058" s="172"/>
      <c r="D3058" s="56"/>
      <c r="E3058" s="204"/>
      <c r="F3058" s="205"/>
      <c r="G3058" s="206"/>
      <c r="H3058" s="207"/>
      <c r="J3058" s="76"/>
    </row>
    <row r="3059" spans="1:10">
      <c r="A3059" s="172"/>
      <c r="D3059" s="56"/>
      <c r="E3059" s="204"/>
      <c r="F3059" s="205"/>
      <c r="G3059" s="206"/>
      <c r="H3059" s="207"/>
      <c r="J3059" s="76"/>
    </row>
    <row r="3060" spans="1:10">
      <c r="A3060" s="172"/>
      <c r="D3060" s="56"/>
      <c r="E3060" s="204"/>
      <c r="F3060" s="205"/>
      <c r="G3060" s="206"/>
      <c r="H3060" s="207"/>
      <c r="J3060" s="76"/>
    </row>
    <row r="3061" spans="1:10">
      <c r="A3061" s="172"/>
      <c r="D3061" s="56"/>
      <c r="E3061" s="204"/>
      <c r="F3061" s="205"/>
      <c r="G3061" s="206"/>
      <c r="H3061" s="207"/>
      <c r="J3061" s="76"/>
    </row>
    <row r="3062" spans="1:10">
      <c r="A3062" s="172"/>
      <c r="D3062" s="56"/>
      <c r="E3062" s="204"/>
      <c r="F3062" s="205"/>
      <c r="G3062" s="206"/>
      <c r="H3062" s="207"/>
      <c r="J3062" s="76"/>
    </row>
    <row r="3063" spans="1:10">
      <c r="A3063" s="172"/>
      <c r="D3063" s="56"/>
      <c r="E3063" s="204"/>
      <c r="F3063" s="205"/>
      <c r="G3063" s="206"/>
      <c r="H3063" s="207"/>
      <c r="J3063" s="76"/>
    </row>
    <row r="3064" spans="1:10">
      <c r="A3064" s="172"/>
      <c r="D3064" s="56"/>
      <c r="E3064" s="204"/>
      <c r="F3064" s="205"/>
      <c r="G3064" s="206"/>
      <c r="H3064" s="207"/>
      <c r="J3064" s="76"/>
    </row>
    <row r="3065" spans="1:10">
      <c r="A3065" s="172"/>
      <c r="D3065" s="56"/>
      <c r="E3065" s="204"/>
      <c r="F3065" s="205"/>
      <c r="G3065" s="206"/>
      <c r="H3065" s="207"/>
      <c r="J3065" s="76"/>
    </row>
    <row r="3066" spans="1:10">
      <c r="A3066" s="172"/>
      <c r="D3066" s="56"/>
      <c r="E3066" s="204"/>
      <c r="F3066" s="205"/>
      <c r="G3066" s="206"/>
      <c r="H3066" s="207"/>
      <c r="J3066" s="76"/>
    </row>
    <row r="3067" spans="1:10">
      <c r="A3067" s="172"/>
      <c r="D3067" s="56"/>
      <c r="E3067" s="204"/>
      <c r="F3067" s="205"/>
      <c r="G3067" s="206"/>
      <c r="H3067" s="207"/>
      <c r="J3067" s="76"/>
    </row>
    <row r="3068" spans="1:10">
      <c r="A3068" s="172"/>
      <c r="D3068" s="56"/>
      <c r="E3068" s="204"/>
      <c r="F3068" s="205"/>
      <c r="G3068" s="206"/>
      <c r="H3068" s="207"/>
      <c r="J3068" s="76"/>
    </row>
    <row r="3069" spans="1:10">
      <c r="A3069" s="172"/>
      <c r="D3069" s="56"/>
      <c r="E3069" s="204"/>
      <c r="F3069" s="205"/>
      <c r="G3069" s="206"/>
      <c r="H3069" s="207"/>
      <c r="J3069" s="76"/>
    </row>
    <row r="3070" spans="1:10">
      <c r="A3070" s="172"/>
      <c r="D3070" s="56"/>
      <c r="E3070" s="204"/>
      <c r="F3070" s="205"/>
      <c r="G3070" s="206"/>
      <c r="H3070" s="207"/>
      <c r="J3070" s="76"/>
    </row>
    <row r="3071" spans="1:10">
      <c r="A3071" s="172"/>
      <c r="D3071" s="56"/>
      <c r="E3071" s="204"/>
      <c r="F3071" s="205"/>
      <c r="G3071" s="206"/>
      <c r="H3071" s="207"/>
      <c r="J3071" s="76"/>
    </row>
    <row r="3072" spans="1:10">
      <c r="A3072" s="172"/>
      <c r="D3072" s="56"/>
      <c r="E3072" s="204"/>
      <c r="F3072" s="205"/>
      <c r="G3072" s="206"/>
      <c r="H3072" s="207"/>
      <c r="J3072" s="76"/>
    </row>
    <row r="3073" spans="1:10">
      <c r="A3073" s="172"/>
      <c r="D3073" s="56"/>
      <c r="E3073" s="204"/>
      <c r="F3073" s="205"/>
      <c r="G3073" s="206"/>
      <c r="H3073" s="207"/>
      <c r="J3073" s="76"/>
    </row>
    <row r="3074" spans="1:10">
      <c r="A3074" s="172"/>
      <c r="D3074" s="56"/>
      <c r="E3074" s="204"/>
      <c r="F3074" s="205"/>
      <c r="G3074" s="206"/>
      <c r="H3074" s="207"/>
      <c r="J3074" s="76"/>
    </row>
    <row r="3075" spans="1:10">
      <c r="A3075" s="172"/>
      <c r="D3075" s="56"/>
      <c r="E3075" s="204"/>
      <c r="F3075" s="205"/>
      <c r="G3075" s="206"/>
      <c r="H3075" s="207"/>
      <c r="J3075" s="76"/>
    </row>
    <row r="3076" spans="1:10">
      <c r="A3076" s="172"/>
      <c r="D3076" s="56"/>
      <c r="E3076" s="204"/>
      <c r="F3076" s="205"/>
      <c r="G3076" s="206"/>
      <c r="H3076" s="207"/>
      <c r="J3076" s="76"/>
    </row>
    <row r="3077" spans="1:10">
      <c r="A3077" s="172"/>
      <c r="D3077" s="56"/>
      <c r="E3077" s="204"/>
      <c r="F3077" s="205"/>
      <c r="G3077" s="206"/>
      <c r="H3077" s="207"/>
      <c r="J3077" s="76"/>
    </row>
    <row r="3078" spans="1:10">
      <c r="A3078" s="172"/>
      <c r="D3078" s="56"/>
      <c r="E3078" s="204"/>
      <c r="F3078" s="205"/>
      <c r="G3078" s="206"/>
      <c r="H3078" s="207"/>
      <c r="J3078" s="76"/>
    </row>
    <row r="3079" spans="1:10">
      <c r="A3079" s="172"/>
      <c r="D3079" s="56"/>
      <c r="E3079" s="204"/>
      <c r="F3079" s="205"/>
      <c r="G3079" s="206"/>
      <c r="H3079" s="207"/>
      <c r="J3079" s="76"/>
    </row>
    <row r="3080" spans="1:10">
      <c r="A3080" s="172"/>
      <c r="D3080" s="56"/>
      <c r="E3080" s="204"/>
      <c r="F3080" s="205"/>
      <c r="G3080" s="206"/>
      <c r="H3080" s="207"/>
      <c r="J3080" s="76"/>
    </row>
    <row r="3081" spans="1:10">
      <c r="A3081" s="172"/>
      <c r="D3081" s="56"/>
      <c r="E3081" s="204"/>
      <c r="F3081" s="205"/>
      <c r="G3081" s="206"/>
      <c r="H3081" s="207"/>
      <c r="J3081" s="76"/>
    </row>
    <row r="3082" spans="1:10">
      <c r="A3082" s="172"/>
      <c r="D3082" s="56"/>
      <c r="E3082" s="204"/>
      <c r="F3082" s="205"/>
      <c r="G3082" s="206"/>
      <c r="H3082" s="207"/>
      <c r="J3082" s="76"/>
    </row>
    <row r="3083" spans="1:10">
      <c r="A3083" s="172"/>
      <c r="D3083" s="56"/>
      <c r="E3083" s="204"/>
      <c r="F3083" s="205"/>
      <c r="G3083" s="206"/>
      <c r="H3083" s="207"/>
      <c r="J3083" s="76"/>
    </row>
    <row r="3084" spans="1:10">
      <c r="A3084" s="172"/>
      <c r="D3084" s="56"/>
      <c r="E3084" s="204"/>
      <c r="F3084" s="205"/>
      <c r="G3084" s="206"/>
      <c r="H3084" s="207"/>
      <c r="J3084" s="76"/>
    </row>
    <row r="3085" spans="1:10">
      <c r="A3085" s="172"/>
      <c r="D3085" s="56"/>
      <c r="E3085" s="204"/>
      <c r="F3085" s="205"/>
      <c r="G3085" s="206"/>
      <c r="H3085" s="207"/>
      <c r="J3085" s="76"/>
    </row>
    <row r="3086" spans="1:10">
      <c r="A3086" s="172"/>
      <c r="D3086" s="56"/>
      <c r="E3086" s="204"/>
      <c r="F3086" s="205"/>
      <c r="G3086" s="206"/>
      <c r="H3086" s="207"/>
      <c r="J3086" s="76"/>
    </row>
    <row r="3087" spans="1:10">
      <c r="A3087" s="172"/>
      <c r="D3087" s="56"/>
      <c r="E3087" s="204"/>
      <c r="F3087" s="205"/>
      <c r="G3087" s="206"/>
      <c r="H3087" s="207"/>
      <c r="J3087" s="76"/>
    </row>
    <row r="3088" spans="1:10">
      <c r="A3088" s="172"/>
      <c r="D3088" s="56"/>
      <c r="E3088" s="204"/>
      <c r="F3088" s="205"/>
      <c r="G3088" s="206"/>
      <c r="H3088" s="207"/>
      <c r="J3088" s="76"/>
    </row>
    <row r="3089" spans="1:10">
      <c r="A3089" s="172"/>
      <c r="D3089" s="56"/>
      <c r="E3089" s="204"/>
      <c r="F3089" s="205"/>
      <c r="G3089" s="206"/>
      <c r="H3089" s="207"/>
      <c r="J3089" s="76"/>
    </row>
    <row r="3090" spans="1:10">
      <c r="A3090" s="172"/>
      <c r="D3090" s="56"/>
      <c r="E3090" s="204"/>
      <c r="F3090" s="205"/>
      <c r="G3090" s="206"/>
      <c r="H3090" s="207"/>
      <c r="J3090" s="76"/>
    </row>
    <row r="3091" spans="1:10">
      <c r="A3091" s="172"/>
      <c r="D3091" s="56"/>
      <c r="E3091" s="204"/>
      <c r="F3091" s="205"/>
      <c r="G3091" s="206"/>
      <c r="H3091" s="207"/>
      <c r="J3091" s="76"/>
    </row>
    <row r="3092" spans="1:10">
      <c r="A3092" s="172"/>
      <c r="D3092" s="56"/>
      <c r="E3092" s="204"/>
      <c r="F3092" s="205"/>
      <c r="G3092" s="206"/>
      <c r="H3092" s="207"/>
      <c r="J3092" s="76"/>
    </row>
    <row r="3093" spans="1:10">
      <c r="A3093" s="172"/>
      <c r="D3093" s="56"/>
      <c r="E3093" s="204"/>
      <c r="F3093" s="205"/>
      <c r="G3093" s="206"/>
      <c r="H3093" s="207"/>
      <c r="J3093" s="76"/>
    </row>
    <row r="3094" spans="1:10">
      <c r="A3094" s="172"/>
      <c r="D3094" s="56"/>
      <c r="E3094" s="204"/>
      <c r="F3094" s="205"/>
      <c r="G3094" s="206"/>
      <c r="H3094" s="207"/>
      <c r="J3094" s="76"/>
    </row>
    <row r="3095" spans="1:10">
      <c r="A3095" s="172"/>
      <c r="D3095" s="56"/>
      <c r="E3095" s="204"/>
      <c r="F3095" s="205"/>
      <c r="G3095" s="206"/>
      <c r="H3095" s="207"/>
      <c r="J3095" s="76"/>
    </row>
    <row r="3096" spans="1:10">
      <c r="A3096" s="172"/>
      <c r="D3096" s="56"/>
      <c r="E3096" s="204"/>
      <c r="F3096" s="205"/>
      <c r="G3096" s="206"/>
      <c r="H3096" s="207"/>
      <c r="J3096" s="76"/>
    </row>
    <row r="3097" spans="1:10">
      <c r="A3097" s="172"/>
      <c r="D3097" s="56"/>
      <c r="E3097" s="204"/>
      <c r="F3097" s="205"/>
      <c r="G3097" s="206"/>
      <c r="H3097" s="207"/>
      <c r="J3097" s="76"/>
    </row>
    <row r="3098" spans="1:10">
      <c r="A3098" s="172"/>
      <c r="D3098" s="56"/>
      <c r="E3098" s="204"/>
      <c r="F3098" s="205"/>
      <c r="G3098" s="206"/>
      <c r="H3098" s="207"/>
      <c r="J3098" s="76"/>
    </row>
    <row r="3099" spans="1:10">
      <c r="A3099" s="172"/>
      <c r="D3099" s="56"/>
      <c r="E3099" s="204"/>
      <c r="F3099" s="205"/>
      <c r="G3099" s="206"/>
      <c r="H3099" s="207"/>
      <c r="J3099" s="76"/>
    </row>
    <row r="3100" spans="1:10">
      <c r="A3100" s="172"/>
      <c r="D3100" s="56"/>
      <c r="E3100" s="204"/>
      <c r="F3100" s="205"/>
      <c r="G3100" s="206"/>
      <c r="H3100" s="207"/>
      <c r="J3100" s="76"/>
    </row>
    <row r="3101" spans="1:10">
      <c r="A3101" s="172"/>
      <c r="D3101" s="56"/>
      <c r="E3101" s="204"/>
      <c r="F3101" s="205"/>
      <c r="G3101" s="206"/>
      <c r="H3101" s="207"/>
      <c r="J3101" s="76"/>
    </row>
    <row r="3102" spans="1:10">
      <c r="A3102" s="172"/>
      <c r="D3102" s="56"/>
      <c r="E3102" s="204"/>
      <c r="F3102" s="205"/>
      <c r="G3102" s="206"/>
      <c r="H3102" s="207"/>
      <c r="J3102" s="76"/>
    </row>
    <row r="3103" spans="1:10">
      <c r="A3103" s="172"/>
      <c r="D3103" s="56"/>
      <c r="E3103" s="204"/>
      <c r="F3103" s="205"/>
      <c r="G3103" s="206"/>
      <c r="H3103" s="207"/>
      <c r="J3103" s="76"/>
    </row>
    <row r="3104" spans="1:10">
      <c r="A3104" s="172"/>
      <c r="D3104" s="56"/>
      <c r="E3104" s="204"/>
      <c r="F3104" s="205"/>
      <c r="G3104" s="206"/>
      <c r="H3104" s="207"/>
      <c r="J3104" s="76"/>
    </row>
    <row r="3105" spans="1:10">
      <c r="A3105" s="172"/>
      <c r="D3105" s="56"/>
      <c r="E3105" s="204"/>
      <c r="F3105" s="205"/>
      <c r="G3105" s="206"/>
      <c r="H3105" s="207"/>
      <c r="J3105" s="76"/>
    </row>
    <row r="3106" spans="1:10">
      <c r="A3106" s="172"/>
      <c r="D3106" s="56"/>
      <c r="E3106" s="204"/>
      <c r="F3106" s="205"/>
      <c r="G3106" s="206"/>
      <c r="H3106" s="207"/>
      <c r="J3106" s="76"/>
    </row>
    <row r="3107" spans="1:10">
      <c r="A3107" s="172"/>
      <c r="D3107" s="56"/>
      <c r="E3107" s="204"/>
      <c r="F3107" s="205"/>
      <c r="G3107" s="206"/>
      <c r="H3107" s="207"/>
      <c r="J3107" s="76"/>
    </row>
    <row r="3108" spans="1:10">
      <c r="A3108" s="172"/>
      <c r="D3108" s="56"/>
      <c r="E3108" s="204"/>
      <c r="F3108" s="205"/>
      <c r="G3108" s="206"/>
      <c r="H3108" s="207"/>
      <c r="J3108" s="76"/>
    </row>
    <row r="3109" spans="1:10">
      <c r="A3109" s="172"/>
      <c r="D3109" s="56"/>
      <c r="E3109" s="204"/>
      <c r="F3109" s="205"/>
      <c r="G3109" s="206"/>
      <c r="H3109" s="207"/>
      <c r="J3109" s="76"/>
    </row>
    <row r="3110" spans="1:10">
      <c r="A3110" s="172"/>
      <c r="D3110" s="56"/>
      <c r="E3110" s="204"/>
      <c r="F3110" s="205"/>
      <c r="G3110" s="206"/>
      <c r="H3110" s="207"/>
      <c r="J3110" s="76"/>
    </row>
    <row r="3111" spans="1:10">
      <c r="A3111" s="172"/>
      <c r="D3111" s="56"/>
      <c r="E3111" s="204"/>
      <c r="F3111" s="205"/>
      <c r="G3111" s="206"/>
      <c r="H3111" s="207"/>
      <c r="J3111" s="76"/>
    </row>
    <row r="3112" spans="1:10">
      <c r="A3112" s="172"/>
      <c r="D3112" s="56"/>
      <c r="E3112" s="204"/>
      <c r="F3112" s="205"/>
      <c r="G3112" s="206"/>
      <c r="H3112" s="207"/>
      <c r="J3112" s="76"/>
    </row>
    <row r="3113" spans="1:10">
      <c r="A3113" s="172"/>
      <c r="D3113" s="56"/>
      <c r="E3113" s="204"/>
      <c r="F3113" s="205"/>
      <c r="G3113" s="206"/>
      <c r="H3113" s="207"/>
      <c r="J3113" s="76"/>
    </row>
    <row r="3114" spans="1:10">
      <c r="A3114" s="172"/>
      <c r="D3114" s="56"/>
      <c r="E3114" s="204"/>
      <c r="F3114" s="205"/>
      <c r="G3114" s="206"/>
      <c r="H3114" s="207"/>
      <c r="J3114" s="76"/>
    </row>
    <row r="3115" spans="1:10">
      <c r="A3115" s="172"/>
      <c r="D3115" s="56"/>
      <c r="E3115" s="204"/>
      <c r="F3115" s="205"/>
      <c r="G3115" s="206"/>
      <c r="H3115" s="207"/>
      <c r="J3115" s="76"/>
    </row>
    <row r="3116" spans="1:10">
      <c r="A3116" s="172"/>
      <c r="D3116" s="56"/>
      <c r="E3116" s="204"/>
      <c r="F3116" s="205"/>
      <c r="G3116" s="206"/>
      <c r="H3116" s="207"/>
      <c r="J3116" s="76"/>
    </row>
    <row r="3117" spans="1:10">
      <c r="A3117" s="172"/>
      <c r="D3117" s="56"/>
      <c r="E3117" s="204"/>
      <c r="F3117" s="205"/>
      <c r="G3117" s="206"/>
      <c r="H3117" s="207"/>
      <c r="J3117" s="76"/>
    </row>
    <row r="3118" spans="1:10">
      <c r="A3118" s="172"/>
      <c r="D3118" s="56"/>
      <c r="E3118" s="204"/>
      <c r="F3118" s="205"/>
      <c r="G3118" s="206"/>
      <c r="H3118" s="207"/>
      <c r="J3118" s="76"/>
    </row>
    <row r="3119" spans="1:10">
      <c r="A3119" s="172"/>
      <c r="D3119" s="56"/>
      <c r="E3119" s="204"/>
      <c r="F3119" s="205"/>
      <c r="G3119" s="206"/>
      <c r="H3119" s="207"/>
      <c r="J3119" s="76"/>
    </row>
    <row r="3120" spans="1:10">
      <c r="A3120" s="172"/>
      <c r="D3120" s="56"/>
      <c r="E3120" s="204"/>
      <c r="F3120" s="205"/>
      <c r="G3120" s="206"/>
      <c r="H3120" s="207"/>
      <c r="J3120" s="76"/>
    </row>
    <row r="3121" spans="1:10">
      <c r="A3121" s="172"/>
      <c r="D3121" s="56"/>
      <c r="E3121" s="204"/>
      <c r="F3121" s="205"/>
      <c r="G3121" s="206"/>
      <c r="H3121" s="207"/>
      <c r="J3121" s="76"/>
    </row>
    <row r="3122" spans="1:10">
      <c r="A3122" s="172"/>
      <c r="D3122" s="56"/>
      <c r="E3122" s="204"/>
      <c r="F3122" s="205"/>
      <c r="G3122" s="206"/>
      <c r="H3122" s="207"/>
      <c r="J3122" s="76"/>
    </row>
    <row r="3123" spans="1:10">
      <c r="A3123" s="172"/>
      <c r="D3123" s="56"/>
      <c r="E3123" s="204"/>
      <c r="F3123" s="205"/>
      <c r="G3123" s="206"/>
      <c r="H3123" s="207"/>
      <c r="J3123" s="76"/>
    </row>
    <row r="3124" spans="1:10">
      <c r="A3124" s="172"/>
      <c r="D3124" s="56"/>
      <c r="E3124" s="204"/>
      <c r="F3124" s="205"/>
      <c r="G3124" s="206"/>
      <c r="H3124" s="207"/>
      <c r="J3124" s="76"/>
    </row>
    <row r="3125" spans="1:10">
      <c r="A3125" s="172"/>
      <c r="D3125" s="56"/>
      <c r="E3125" s="204"/>
      <c r="F3125" s="205"/>
      <c r="G3125" s="206"/>
      <c r="H3125" s="207"/>
      <c r="J3125" s="76"/>
    </row>
    <row r="3126" spans="1:10">
      <c r="A3126" s="172"/>
      <c r="D3126" s="56"/>
      <c r="E3126" s="204"/>
      <c r="F3126" s="205"/>
      <c r="G3126" s="206"/>
      <c r="H3126" s="207"/>
      <c r="J3126" s="76"/>
    </row>
    <row r="3127" spans="1:10">
      <c r="A3127" s="172"/>
      <c r="D3127" s="56"/>
      <c r="E3127" s="204"/>
      <c r="F3127" s="205"/>
      <c r="G3127" s="206"/>
      <c r="H3127" s="207"/>
      <c r="J3127" s="76"/>
    </row>
    <row r="3128" spans="1:10">
      <c r="A3128" s="172"/>
      <c r="D3128" s="56"/>
      <c r="E3128" s="204"/>
      <c r="F3128" s="205"/>
      <c r="G3128" s="206"/>
      <c r="H3128" s="207"/>
      <c r="J3128" s="76"/>
    </row>
    <row r="3129" spans="1:10">
      <c r="A3129" s="172"/>
      <c r="D3129" s="56"/>
      <c r="E3129" s="204"/>
      <c r="F3129" s="205"/>
      <c r="G3129" s="206"/>
      <c r="H3129" s="207"/>
      <c r="J3129" s="76"/>
    </row>
    <row r="3130" spans="1:10">
      <c r="A3130" s="172"/>
      <c r="D3130" s="56"/>
      <c r="E3130" s="204"/>
      <c r="F3130" s="205"/>
      <c r="G3130" s="206"/>
      <c r="H3130" s="207"/>
      <c r="J3130" s="76"/>
    </row>
    <row r="3131" spans="1:10">
      <c r="A3131" s="172"/>
      <c r="D3131" s="56"/>
      <c r="E3131" s="204"/>
      <c r="F3131" s="205"/>
      <c r="G3131" s="206"/>
      <c r="H3131" s="207"/>
      <c r="J3131" s="76"/>
    </row>
    <row r="3132" spans="1:10">
      <c r="A3132" s="172"/>
      <c r="D3132" s="56"/>
      <c r="E3132" s="204"/>
      <c r="F3132" s="205"/>
      <c r="G3132" s="206"/>
      <c r="H3132" s="207"/>
      <c r="J3132" s="76"/>
    </row>
    <row r="3133" spans="1:10">
      <c r="A3133" s="172"/>
      <c r="D3133" s="56"/>
      <c r="E3133" s="204"/>
      <c r="F3133" s="205"/>
      <c r="G3133" s="206"/>
      <c r="H3133" s="207"/>
      <c r="J3133" s="76"/>
    </row>
    <row r="3134" spans="1:10">
      <c r="A3134" s="172"/>
      <c r="D3134" s="56"/>
      <c r="E3134" s="204"/>
      <c r="F3134" s="205"/>
      <c r="G3134" s="206"/>
      <c r="H3134" s="207"/>
      <c r="J3134" s="76"/>
    </row>
    <row r="3135" spans="1:10">
      <c r="A3135" s="172"/>
      <c r="D3135" s="56"/>
      <c r="E3135" s="204"/>
      <c r="F3135" s="205"/>
      <c r="G3135" s="206"/>
      <c r="H3135" s="207"/>
      <c r="J3135" s="76"/>
    </row>
    <row r="3136" spans="1:10">
      <c r="A3136" s="172"/>
      <c r="D3136" s="56"/>
      <c r="E3136" s="204"/>
      <c r="F3136" s="205"/>
      <c r="G3136" s="206"/>
      <c r="H3136" s="207"/>
      <c r="J3136" s="76"/>
    </row>
    <row r="3137" spans="1:10">
      <c r="A3137" s="172"/>
      <c r="D3137" s="56"/>
      <c r="E3137" s="204"/>
      <c r="F3137" s="205"/>
      <c r="G3137" s="206"/>
      <c r="H3137" s="207"/>
      <c r="J3137" s="76"/>
    </row>
    <row r="3138" spans="1:10">
      <c r="A3138" s="172"/>
      <c r="D3138" s="56"/>
      <c r="E3138" s="204"/>
      <c r="F3138" s="205"/>
      <c r="G3138" s="206"/>
      <c r="H3138" s="207"/>
      <c r="J3138" s="76"/>
    </row>
    <row r="3139" spans="1:10">
      <c r="A3139" s="172"/>
      <c r="D3139" s="56"/>
      <c r="E3139" s="204"/>
      <c r="F3139" s="205"/>
      <c r="G3139" s="206"/>
      <c r="H3139" s="207"/>
      <c r="J3139" s="76"/>
    </row>
    <row r="3140" spans="1:10">
      <c r="A3140" s="172"/>
      <c r="D3140" s="56"/>
      <c r="E3140" s="204"/>
      <c r="F3140" s="205"/>
      <c r="G3140" s="206"/>
      <c r="H3140" s="207"/>
      <c r="J3140" s="76"/>
    </row>
    <row r="3141" spans="1:10">
      <c r="A3141" s="172"/>
      <c r="D3141" s="56"/>
      <c r="E3141" s="204"/>
      <c r="F3141" s="205"/>
      <c r="G3141" s="206"/>
      <c r="H3141" s="207"/>
      <c r="J3141" s="76"/>
    </row>
    <row r="3142" spans="1:10">
      <c r="A3142" s="172"/>
      <c r="D3142" s="56"/>
      <c r="E3142" s="204"/>
      <c r="F3142" s="205"/>
      <c r="G3142" s="206"/>
      <c r="H3142" s="207"/>
      <c r="J3142" s="76"/>
    </row>
    <row r="3143" spans="1:10">
      <c r="A3143" s="172"/>
      <c r="D3143" s="56"/>
      <c r="E3143" s="204"/>
      <c r="F3143" s="205"/>
      <c r="G3143" s="206"/>
      <c r="H3143" s="207"/>
      <c r="J3143" s="76"/>
    </row>
    <row r="3144" spans="1:10">
      <c r="A3144" s="172"/>
      <c r="D3144" s="56"/>
      <c r="E3144" s="204"/>
      <c r="F3144" s="205"/>
      <c r="G3144" s="206"/>
      <c r="H3144" s="207"/>
      <c r="J3144" s="76"/>
    </row>
    <row r="3145" spans="1:10">
      <c r="A3145" s="172"/>
      <c r="D3145" s="56"/>
      <c r="E3145" s="204"/>
      <c r="F3145" s="205"/>
      <c r="G3145" s="206"/>
      <c r="H3145" s="207"/>
      <c r="J3145" s="76"/>
    </row>
    <row r="3146" spans="1:10">
      <c r="A3146" s="172"/>
      <c r="D3146" s="56"/>
      <c r="E3146" s="204"/>
      <c r="F3146" s="205"/>
      <c r="G3146" s="206"/>
      <c r="H3146" s="207"/>
      <c r="J3146" s="76"/>
    </row>
    <row r="3147" spans="1:10">
      <c r="A3147" s="172"/>
      <c r="D3147" s="56"/>
      <c r="E3147" s="204"/>
      <c r="F3147" s="205"/>
      <c r="G3147" s="206"/>
      <c r="H3147" s="207"/>
      <c r="J3147" s="76"/>
    </row>
    <row r="3148" spans="1:10">
      <c r="A3148" s="172"/>
      <c r="D3148" s="56"/>
      <c r="E3148" s="204"/>
      <c r="F3148" s="205"/>
      <c r="G3148" s="206"/>
      <c r="H3148" s="207"/>
      <c r="J3148" s="76"/>
    </row>
    <row r="3149" spans="1:10">
      <c r="A3149" s="172"/>
      <c r="D3149" s="56"/>
      <c r="E3149" s="204"/>
      <c r="F3149" s="205"/>
      <c r="G3149" s="206"/>
      <c r="H3149" s="207"/>
      <c r="J3149" s="76"/>
    </row>
    <row r="3150" spans="1:10">
      <c r="A3150" s="172"/>
      <c r="D3150" s="56"/>
      <c r="E3150" s="204"/>
      <c r="F3150" s="205"/>
      <c r="G3150" s="206"/>
      <c r="H3150" s="207"/>
      <c r="J3150" s="76"/>
    </row>
    <row r="3151" spans="1:10">
      <c r="A3151" s="172"/>
      <c r="D3151" s="56"/>
      <c r="E3151" s="204"/>
      <c r="F3151" s="205"/>
      <c r="G3151" s="206"/>
      <c r="H3151" s="207"/>
      <c r="J3151" s="76"/>
    </row>
    <row r="3152" spans="1:10">
      <c r="A3152" s="172"/>
      <c r="D3152" s="56"/>
      <c r="E3152" s="204"/>
      <c r="F3152" s="205"/>
      <c r="G3152" s="206"/>
      <c r="H3152" s="207"/>
      <c r="J3152" s="76"/>
    </row>
    <row r="3153" spans="1:10">
      <c r="A3153" s="172"/>
      <c r="D3153" s="56"/>
      <c r="E3153" s="204"/>
      <c r="F3153" s="205"/>
      <c r="G3153" s="206"/>
      <c r="H3153" s="207"/>
      <c r="J3153" s="76"/>
    </row>
    <row r="3154" spans="1:10">
      <c r="A3154" s="172"/>
      <c r="D3154" s="56"/>
      <c r="E3154" s="204"/>
      <c r="F3154" s="205"/>
      <c r="G3154" s="206"/>
      <c r="H3154" s="207"/>
      <c r="J3154" s="76"/>
    </row>
    <row r="3155" spans="1:10">
      <c r="A3155" s="172"/>
      <c r="D3155" s="56"/>
      <c r="E3155" s="204"/>
      <c r="F3155" s="205"/>
      <c r="G3155" s="206"/>
      <c r="H3155" s="207"/>
      <c r="J3155" s="76"/>
    </row>
    <row r="3156" spans="1:10">
      <c r="A3156" s="172"/>
      <c r="D3156" s="56"/>
      <c r="E3156" s="204"/>
      <c r="F3156" s="205"/>
      <c r="G3156" s="206"/>
      <c r="H3156" s="207"/>
      <c r="J3156" s="76"/>
    </row>
    <row r="3157" spans="1:10">
      <c r="A3157" s="172"/>
      <c r="D3157" s="56"/>
      <c r="E3157" s="204"/>
      <c r="F3157" s="205"/>
      <c r="G3157" s="206"/>
      <c r="H3157" s="207"/>
      <c r="J3157" s="76"/>
    </row>
    <row r="3158" spans="1:10">
      <c r="A3158" s="172"/>
      <c r="D3158" s="56"/>
      <c r="E3158" s="204"/>
      <c r="F3158" s="205"/>
      <c r="G3158" s="206"/>
      <c r="H3158" s="207"/>
      <c r="J3158" s="76"/>
    </row>
    <row r="3159" spans="1:10">
      <c r="A3159" s="172"/>
      <c r="D3159" s="56"/>
      <c r="E3159" s="204"/>
      <c r="F3159" s="205"/>
      <c r="G3159" s="206"/>
      <c r="H3159" s="207"/>
      <c r="J3159" s="76"/>
    </row>
    <row r="3160" spans="1:10">
      <c r="A3160" s="172"/>
      <c r="D3160" s="56"/>
      <c r="E3160" s="204"/>
      <c r="F3160" s="205"/>
      <c r="G3160" s="206"/>
      <c r="H3160" s="207"/>
      <c r="J3160" s="76"/>
    </row>
    <row r="3161" spans="1:10">
      <c r="A3161" s="172"/>
      <c r="D3161" s="56"/>
      <c r="E3161" s="204"/>
      <c r="F3161" s="205"/>
      <c r="G3161" s="206"/>
      <c r="H3161" s="207"/>
      <c r="J3161" s="76"/>
    </row>
    <row r="3162" spans="1:10">
      <c r="A3162" s="172"/>
      <c r="D3162" s="56"/>
      <c r="E3162" s="204"/>
      <c r="F3162" s="205"/>
      <c r="G3162" s="206"/>
      <c r="H3162" s="207"/>
      <c r="J3162" s="76"/>
    </row>
    <row r="3163" spans="1:10">
      <c r="A3163" s="172"/>
      <c r="D3163" s="56"/>
      <c r="E3163" s="204"/>
      <c r="F3163" s="205"/>
      <c r="G3163" s="206"/>
      <c r="H3163" s="207"/>
      <c r="J3163" s="76"/>
    </row>
    <row r="3164" spans="1:10">
      <c r="A3164" s="172"/>
      <c r="D3164" s="56"/>
      <c r="E3164" s="204"/>
      <c r="F3164" s="205"/>
      <c r="G3164" s="206"/>
      <c r="H3164" s="207"/>
      <c r="J3164" s="76"/>
    </row>
    <row r="3165" spans="1:10">
      <c r="A3165" s="172"/>
      <c r="D3165" s="56"/>
      <c r="E3165" s="204"/>
      <c r="F3165" s="205"/>
      <c r="G3165" s="206"/>
      <c r="H3165" s="207"/>
      <c r="J3165" s="76"/>
    </row>
    <row r="3166" spans="1:10">
      <c r="A3166" s="172"/>
      <c r="D3166" s="56"/>
      <c r="E3166" s="204"/>
      <c r="F3166" s="205"/>
      <c r="G3166" s="206"/>
      <c r="H3166" s="207"/>
      <c r="J3166" s="76"/>
    </row>
    <row r="3167" spans="1:10">
      <c r="A3167" s="172"/>
      <c r="D3167" s="56"/>
      <c r="E3167" s="204"/>
      <c r="F3167" s="205"/>
      <c r="G3167" s="206"/>
      <c r="H3167" s="207"/>
      <c r="J3167" s="76"/>
    </row>
    <row r="3168" spans="1:10">
      <c r="A3168" s="172"/>
      <c r="D3168" s="56"/>
      <c r="E3168" s="204"/>
      <c r="F3168" s="205"/>
      <c r="G3168" s="206"/>
      <c r="H3168" s="207"/>
      <c r="J3168" s="76"/>
    </row>
    <row r="3169" spans="1:10">
      <c r="A3169" s="172"/>
      <c r="D3169" s="56"/>
      <c r="E3169" s="204"/>
      <c r="F3169" s="205"/>
      <c r="G3169" s="206"/>
      <c r="H3169" s="207"/>
      <c r="J3169" s="76"/>
    </row>
    <row r="3170" spans="1:10">
      <c r="A3170" s="172"/>
      <c r="D3170" s="56"/>
      <c r="E3170" s="204"/>
      <c r="F3170" s="205"/>
      <c r="G3170" s="206"/>
      <c r="H3170" s="207"/>
      <c r="J3170" s="76"/>
    </row>
    <row r="3171" spans="1:10">
      <c r="A3171" s="172"/>
      <c r="D3171" s="56"/>
      <c r="E3171" s="204"/>
      <c r="F3171" s="205"/>
      <c r="G3171" s="206"/>
      <c r="H3171" s="207"/>
      <c r="J3171" s="76"/>
    </row>
    <row r="3172" spans="1:10">
      <c r="A3172" s="172"/>
      <c r="D3172" s="56"/>
      <c r="E3172" s="204"/>
      <c r="F3172" s="205"/>
      <c r="G3172" s="206"/>
      <c r="H3172" s="207"/>
      <c r="J3172" s="76"/>
    </row>
    <row r="3173" spans="1:10">
      <c r="A3173" s="172"/>
      <c r="D3173" s="56"/>
      <c r="E3173" s="204"/>
      <c r="F3173" s="205"/>
      <c r="G3173" s="206"/>
      <c r="H3173" s="207"/>
      <c r="J3173" s="76"/>
    </row>
    <row r="3174" spans="1:10">
      <c r="A3174" s="172"/>
      <c r="D3174" s="56"/>
      <c r="E3174" s="204"/>
      <c r="F3174" s="205"/>
      <c r="G3174" s="206"/>
      <c r="H3174" s="207"/>
      <c r="J3174" s="76"/>
    </row>
    <row r="3175" spans="1:10">
      <c r="A3175" s="172"/>
      <c r="D3175" s="56"/>
      <c r="E3175" s="204"/>
      <c r="F3175" s="205"/>
      <c r="G3175" s="206"/>
      <c r="H3175" s="207"/>
      <c r="J3175" s="76"/>
    </row>
    <row r="3176" spans="1:10">
      <c r="A3176" s="172"/>
      <c r="D3176" s="56"/>
      <c r="E3176" s="204"/>
      <c r="F3176" s="205"/>
      <c r="G3176" s="206"/>
      <c r="H3176" s="207"/>
      <c r="J3176" s="76"/>
    </row>
    <row r="3177" spans="1:10">
      <c r="A3177" s="172"/>
      <c r="D3177" s="56"/>
      <c r="E3177" s="204"/>
      <c r="F3177" s="205"/>
      <c r="G3177" s="206"/>
      <c r="H3177" s="207"/>
      <c r="J3177" s="76"/>
    </row>
    <row r="3178" spans="1:10">
      <c r="A3178" s="172"/>
      <c r="D3178" s="56"/>
      <c r="E3178" s="204"/>
      <c r="F3178" s="205"/>
      <c r="G3178" s="206"/>
      <c r="H3178" s="207"/>
      <c r="J3178" s="76"/>
    </row>
    <row r="3179" spans="1:10">
      <c r="A3179" s="172"/>
      <c r="D3179" s="56"/>
      <c r="E3179" s="204"/>
      <c r="F3179" s="205"/>
      <c r="G3179" s="206"/>
      <c r="H3179" s="207"/>
      <c r="J3179" s="76"/>
    </row>
    <row r="3180" spans="1:10">
      <c r="A3180" s="172"/>
      <c r="D3180" s="56"/>
      <c r="E3180" s="204"/>
      <c r="F3180" s="205"/>
      <c r="G3180" s="206"/>
      <c r="H3180" s="207"/>
      <c r="J3180" s="76"/>
    </row>
    <row r="3181" spans="1:10">
      <c r="A3181" s="172"/>
      <c r="D3181" s="56"/>
      <c r="E3181" s="204"/>
      <c r="F3181" s="205"/>
      <c r="G3181" s="206"/>
      <c r="H3181" s="207"/>
      <c r="J3181" s="76"/>
    </row>
    <row r="3182" spans="1:10">
      <c r="A3182" s="172"/>
      <c r="D3182" s="56"/>
      <c r="E3182" s="204"/>
      <c r="F3182" s="205"/>
      <c r="G3182" s="206"/>
      <c r="H3182" s="207"/>
      <c r="J3182" s="76"/>
    </row>
    <row r="3183" spans="1:10">
      <c r="A3183" s="172"/>
      <c r="D3183" s="56"/>
      <c r="E3183" s="204"/>
      <c r="F3183" s="205"/>
      <c r="G3183" s="206"/>
      <c r="H3183" s="207"/>
      <c r="J3183" s="76"/>
    </row>
    <row r="3184" spans="1:10">
      <c r="A3184" s="172"/>
      <c r="D3184" s="56"/>
      <c r="E3184" s="204"/>
      <c r="F3184" s="205"/>
      <c r="G3184" s="206"/>
      <c r="H3184" s="207"/>
      <c r="J3184" s="76"/>
    </row>
    <row r="3185" spans="1:10">
      <c r="A3185" s="172"/>
      <c r="D3185" s="56"/>
      <c r="E3185" s="204"/>
      <c r="F3185" s="205"/>
      <c r="G3185" s="206"/>
      <c r="H3185" s="207"/>
      <c r="J3185" s="76"/>
    </row>
    <row r="3186" spans="1:10">
      <c r="A3186" s="172"/>
      <c r="D3186" s="56"/>
      <c r="E3186" s="204"/>
      <c r="F3186" s="205"/>
      <c r="G3186" s="206"/>
      <c r="H3186" s="207"/>
      <c r="J3186" s="76"/>
    </row>
    <row r="3187" spans="1:10">
      <c r="A3187" s="172"/>
      <c r="D3187" s="56"/>
      <c r="E3187" s="204"/>
      <c r="F3187" s="205"/>
      <c r="G3187" s="206"/>
      <c r="H3187" s="207"/>
      <c r="J3187" s="76"/>
    </row>
    <row r="3188" spans="1:10">
      <c r="A3188" s="172"/>
      <c r="D3188" s="56"/>
      <c r="E3188" s="204"/>
      <c r="F3188" s="205"/>
      <c r="G3188" s="206"/>
      <c r="H3188" s="207"/>
      <c r="J3188" s="76"/>
    </row>
    <row r="3189" spans="1:10">
      <c r="A3189" s="172"/>
      <c r="D3189" s="56"/>
      <c r="E3189" s="204"/>
      <c r="F3189" s="205"/>
      <c r="G3189" s="206"/>
      <c r="H3189" s="207"/>
      <c r="J3189" s="76"/>
    </row>
    <row r="3190" spans="1:10">
      <c r="A3190" s="172"/>
      <c r="D3190" s="56"/>
      <c r="E3190" s="204"/>
      <c r="F3190" s="205"/>
      <c r="G3190" s="206"/>
      <c r="H3190" s="207"/>
      <c r="J3190" s="76"/>
    </row>
    <row r="3191" spans="1:10">
      <c r="A3191" s="172"/>
      <c r="D3191" s="56"/>
      <c r="E3191" s="204"/>
      <c r="F3191" s="205"/>
      <c r="G3191" s="206"/>
      <c r="H3191" s="207"/>
      <c r="J3191" s="76"/>
    </row>
    <row r="3192" spans="1:10">
      <c r="A3192" s="172"/>
      <c r="D3192" s="56"/>
      <c r="E3192" s="204"/>
      <c r="F3192" s="205"/>
      <c r="G3192" s="206"/>
      <c r="H3192" s="207"/>
      <c r="J3192" s="76"/>
    </row>
    <row r="3193" spans="1:10">
      <c r="A3193" s="172"/>
      <c r="D3193" s="56"/>
      <c r="E3193" s="204"/>
      <c r="F3193" s="205"/>
      <c r="G3193" s="206"/>
      <c r="H3193" s="207"/>
      <c r="J3193" s="76"/>
    </row>
    <row r="3194" spans="1:10">
      <c r="A3194" s="172"/>
      <c r="D3194" s="56"/>
      <c r="E3194" s="204"/>
      <c r="F3194" s="205"/>
      <c r="G3194" s="206"/>
      <c r="H3194" s="207"/>
      <c r="J3194" s="76"/>
    </row>
    <row r="3195" spans="1:10">
      <c r="A3195" s="172"/>
      <c r="D3195" s="56"/>
      <c r="E3195" s="204"/>
      <c r="F3195" s="205"/>
      <c r="G3195" s="206"/>
      <c r="H3195" s="207"/>
      <c r="J3195" s="76"/>
    </row>
    <row r="3196" spans="1:10">
      <c r="A3196" s="172"/>
      <c r="D3196" s="56"/>
      <c r="E3196" s="204"/>
      <c r="F3196" s="205"/>
      <c r="G3196" s="206"/>
      <c r="H3196" s="207"/>
      <c r="J3196" s="76"/>
    </row>
    <row r="3197" spans="1:10">
      <c r="A3197" s="172"/>
      <c r="D3197" s="56"/>
      <c r="E3197" s="204"/>
      <c r="F3197" s="205"/>
      <c r="G3197" s="206"/>
      <c r="H3197" s="207"/>
      <c r="J3197" s="76"/>
    </row>
    <row r="3198" spans="1:10">
      <c r="A3198" s="172"/>
      <c r="D3198" s="56"/>
      <c r="E3198" s="204"/>
      <c r="F3198" s="205"/>
      <c r="G3198" s="206"/>
      <c r="H3198" s="207"/>
      <c r="J3198" s="76"/>
    </row>
    <row r="3199" spans="1:10">
      <c r="A3199" s="172"/>
      <c r="D3199" s="56"/>
      <c r="E3199" s="204"/>
      <c r="F3199" s="205"/>
      <c r="G3199" s="206"/>
      <c r="H3199" s="207"/>
      <c r="J3199" s="76"/>
    </row>
    <row r="3200" spans="1:10">
      <c r="A3200" s="172"/>
      <c r="D3200" s="56"/>
      <c r="E3200" s="204"/>
      <c r="F3200" s="205"/>
      <c r="G3200" s="206"/>
      <c r="H3200" s="207"/>
      <c r="J3200" s="76"/>
    </row>
    <row r="3201" spans="1:10">
      <c r="A3201" s="172"/>
      <c r="D3201" s="56"/>
      <c r="E3201" s="204"/>
      <c r="F3201" s="205"/>
      <c r="G3201" s="206"/>
      <c r="H3201" s="207"/>
      <c r="J3201" s="76"/>
    </row>
    <row r="3202" spans="1:10">
      <c r="A3202" s="172"/>
      <c r="D3202" s="56"/>
      <c r="E3202" s="204"/>
      <c r="F3202" s="205"/>
      <c r="G3202" s="206"/>
      <c r="H3202" s="207"/>
      <c r="J3202" s="76"/>
    </row>
    <row r="3203" spans="1:10">
      <c r="A3203" s="172"/>
      <c r="D3203" s="56"/>
      <c r="E3203" s="204"/>
      <c r="F3203" s="205"/>
      <c r="G3203" s="206"/>
      <c r="H3203" s="207"/>
      <c r="J3203" s="76"/>
    </row>
    <row r="3204" spans="1:10">
      <c r="A3204" s="172"/>
      <c r="D3204" s="56"/>
      <c r="E3204" s="204"/>
      <c r="F3204" s="205"/>
      <c r="G3204" s="206"/>
      <c r="H3204" s="207"/>
      <c r="J3204" s="76"/>
    </row>
    <row r="3205" spans="1:10">
      <c r="A3205" s="172"/>
      <c r="D3205" s="56"/>
      <c r="E3205" s="204"/>
      <c r="F3205" s="205"/>
      <c r="G3205" s="206"/>
      <c r="H3205" s="207"/>
      <c r="J3205" s="76"/>
    </row>
    <row r="3206" spans="1:10">
      <c r="A3206" s="172"/>
      <c r="D3206" s="56"/>
      <c r="E3206" s="204"/>
      <c r="F3206" s="205"/>
      <c r="G3206" s="206"/>
      <c r="H3206" s="207"/>
      <c r="J3206" s="76"/>
    </row>
    <row r="3207" spans="1:10">
      <c r="A3207" s="172"/>
      <c r="D3207" s="56"/>
      <c r="E3207" s="204"/>
      <c r="F3207" s="205"/>
      <c r="G3207" s="206"/>
      <c r="H3207" s="207"/>
      <c r="J3207" s="76"/>
    </row>
    <row r="3208" spans="1:10">
      <c r="A3208" s="172"/>
      <c r="D3208" s="56"/>
      <c r="E3208" s="204"/>
      <c r="F3208" s="205"/>
      <c r="G3208" s="206"/>
      <c r="H3208" s="207"/>
      <c r="J3208" s="76"/>
    </row>
    <row r="3209" spans="1:10">
      <c r="A3209" s="172"/>
      <c r="D3209" s="56"/>
      <c r="E3209" s="204"/>
      <c r="F3209" s="205"/>
      <c r="G3209" s="206"/>
      <c r="H3209" s="207"/>
      <c r="J3209" s="76"/>
    </row>
    <row r="3210" spans="1:10">
      <c r="A3210" s="172"/>
      <c r="D3210" s="56"/>
      <c r="E3210" s="204"/>
      <c r="F3210" s="205"/>
      <c r="G3210" s="206"/>
      <c r="H3210" s="207"/>
      <c r="J3210" s="76"/>
    </row>
    <row r="3211" spans="1:10">
      <c r="A3211" s="172"/>
      <c r="D3211" s="56"/>
      <c r="E3211" s="204"/>
      <c r="F3211" s="205"/>
      <c r="G3211" s="206"/>
      <c r="H3211" s="207"/>
      <c r="J3211" s="76"/>
    </row>
    <row r="3212" spans="1:10">
      <c r="A3212" s="172"/>
      <c r="D3212" s="56"/>
      <c r="E3212" s="204"/>
      <c r="F3212" s="205"/>
      <c r="G3212" s="206"/>
      <c r="H3212" s="207"/>
      <c r="J3212" s="76"/>
    </row>
    <row r="3213" spans="1:10">
      <c r="A3213" s="172"/>
      <c r="D3213" s="56"/>
      <c r="E3213" s="204"/>
      <c r="F3213" s="205"/>
      <c r="G3213" s="206"/>
      <c r="H3213" s="207"/>
      <c r="J3213" s="76"/>
    </row>
    <row r="3214" spans="1:10">
      <c r="A3214" s="172"/>
      <c r="D3214" s="56"/>
      <c r="E3214" s="204"/>
      <c r="F3214" s="205"/>
      <c r="G3214" s="206"/>
      <c r="H3214" s="207"/>
      <c r="J3214" s="76"/>
    </row>
    <row r="3215" spans="1:10">
      <c r="A3215" s="172"/>
      <c r="D3215" s="56"/>
      <c r="E3215" s="204"/>
      <c r="F3215" s="205"/>
      <c r="G3215" s="206"/>
      <c r="H3215" s="207"/>
      <c r="J3215" s="76"/>
    </row>
    <row r="3216" spans="1:10">
      <c r="A3216" s="172"/>
      <c r="D3216" s="56"/>
      <c r="E3216" s="204"/>
      <c r="F3216" s="205"/>
      <c r="G3216" s="206"/>
      <c r="H3216" s="207"/>
      <c r="J3216" s="76"/>
    </row>
    <row r="3217" spans="1:10">
      <c r="A3217" s="172"/>
      <c r="D3217" s="56"/>
      <c r="E3217" s="204"/>
      <c r="F3217" s="205"/>
      <c r="G3217" s="206"/>
      <c r="H3217" s="207"/>
      <c r="J3217" s="76"/>
    </row>
    <row r="3218" spans="1:10">
      <c r="A3218" s="172"/>
      <c r="D3218" s="56"/>
      <c r="E3218" s="204"/>
      <c r="F3218" s="205"/>
      <c r="G3218" s="206"/>
      <c r="H3218" s="207"/>
      <c r="J3218" s="76"/>
    </row>
    <row r="3219" spans="1:10">
      <c r="A3219" s="172"/>
      <c r="D3219" s="56"/>
      <c r="E3219" s="204"/>
      <c r="F3219" s="205"/>
      <c r="G3219" s="206"/>
      <c r="H3219" s="207"/>
      <c r="J3219" s="76"/>
    </row>
    <row r="3220" spans="1:10">
      <c r="A3220" s="172"/>
      <c r="D3220" s="56"/>
      <c r="E3220" s="204"/>
      <c r="F3220" s="205"/>
      <c r="G3220" s="206"/>
      <c r="H3220" s="207"/>
      <c r="J3220" s="76"/>
    </row>
    <row r="3221" spans="1:10">
      <c r="A3221" s="172"/>
      <c r="D3221" s="56"/>
      <c r="E3221" s="204"/>
      <c r="F3221" s="205"/>
      <c r="G3221" s="206"/>
      <c r="H3221" s="207"/>
      <c r="J3221" s="76"/>
    </row>
    <row r="3222" spans="1:10">
      <c r="A3222" s="172"/>
      <c r="D3222" s="56"/>
      <c r="E3222" s="204"/>
      <c r="F3222" s="205"/>
      <c r="G3222" s="206"/>
      <c r="H3222" s="207"/>
      <c r="J3222" s="76"/>
    </row>
    <row r="3223" spans="1:10">
      <c r="A3223" s="172"/>
      <c r="D3223" s="56"/>
      <c r="E3223" s="204"/>
      <c r="F3223" s="205"/>
      <c r="G3223" s="206"/>
      <c r="H3223" s="207"/>
      <c r="J3223" s="76"/>
    </row>
    <row r="3224" spans="1:10">
      <c r="A3224" s="172"/>
      <c r="D3224" s="56"/>
      <c r="E3224" s="204"/>
      <c r="F3224" s="205"/>
      <c r="G3224" s="206"/>
      <c r="H3224" s="207"/>
      <c r="J3224" s="76"/>
    </row>
    <row r="3225" spans="1:10">
      <c r="A3225" s="172"/>
      <c r="D3225" s="56"/>
      <c r="E3225" s="204"/>
      <c r="F3225" s="205"/>
      <c r="G3225" s="206"/>
      <c r="H3225" s="207"/>
      <c r="J3225" s="76"/>
    </row>
    <row r="3226" spans="1:10">
      <c r="A3226" s="172"/>
      <c r="D3226" s="56"/>
      <c r="E3226" s="204"/>
      <c r="F3226" s="205"/>
      <c r="G3226" s="206"/>
      <c r="H3226" s="207"/>
      <c r="J3226" s="76"/>
    </row>
    <row r="3227" spans="1:10">
      <c r="A3227" s="172"/>
      <c r="D3227" s="56"/>
      <c r="E3227" s="204"/>
      <c r="F3227" s="205"/>
      <c r="G3227" s="206"/>
      <c r="H3227" s="207"/>
      <c r="J3227" s="76"/>
    </row>
    <row r="3228" spans="1:10">
      <c r="A3228" s="172"/>
      <c r="D3228" s="56"/>
      <c r="E3228" s="204"/>
      <c r="F3228" s="205"/>
      <c r="G3228" s="206"/>
      <c r="H3228" s="207"/>
      <c r="J3228" s="76"/>
    </row>
    <row r="3229" spans="1:10">
      <c r="A3229" s="172"/>
      <c r="D3229" s="56"/>
      <c r="E3229" s="204"/>
      <c r="F3229" s="205"/>
      <c r="G3229" s="206"/>
      <c r="H3229" s="207"/>
      <c r="J3229" s="76"/>
    </row>
    <row r="3230" spans="1:10">
      <c r="A3230" s="172"/>
      <c r="D3230" s="56"/>
      <c r="E3230" s="204"/>
      <c r="F3230" s="205"/>
      <c r="G3230" s="206"/>
      <c r="H3230" s="207"/>
      <c r="J3230" s="76"/>
    </row>
    <row r="3231" spans="1:10">
      <c r="A3231" s="172"/>
      <c r="D3231" s="56"/>
      <c r="E3231" s="204"/>
      <c r="F3231" s="205"/>
      <c r="G3231" s="206"/>
      <c r="H3231" s="207"/>
      <c r="J3231" s="76"/>
    </row>
    <row r="3232" spans="1:10">
      <c r="A3232" s="172"/>
      <c r="D3232" s="56"/>
      <c r="E3232" s="204"/>
      <c r="F3232" s="205"/>
      <c r="G3232" s="206"/>
      <c r="H3232" s="207"/>
      <c r="J3232" s="76"/>
    </row>
    <row r="3233" spans="1:10">
      <c r="A3233" s="172"/>
      <c r="D3233" s="56"/>
      <c r="E3233" s="204"/>
      <c r="F3233" s="205"/>
      <c r="G3233" s="206"/>
      <c r="H3233" s="207"/>
      <c r="J3233" s="76"/>
    </row>
    <row r="3234" spans="1:10">
      <c r="A3234" s="172"/>
      <c r="D3234" s="56"/>
      <c r="E3234" s="204"/>
      <c r="F3234" s="205"/>
      <c r="G3234" s="206"/>
      <c r="H3234" s="207"/>
      <c r="J3234" s="76"/>
    </row>
    <row r="3235" spans="1:10">
      <c r="A3235" s="172"/>
      <c r="D3235" s="56"/>
      <c r="E3235" s="204"/>
      <c r="F3235" s="205"/>
      <c r="G3235" s="206"/>
      <c r="H3235" s="207"/>
      <c r="J3235" s="76"/>
    </row>
    <row r="3236" spans="1:10">
      <c r="A3236" s="172"/>
      <c r="D3236" s="56"/>
      <c r="E3236" s="204"/>
      <c r="F3236" s="205"/>
      <c r="G3236" s="206"/>
      <c r="H3236" s="207"/>
      <c r="J3236" s="76"/>
    </row>
    <row r="3237" spans="1:10">
      <c r="A3237" s="172"/>
      <c r="D3237" s="56"/>
      <c r="E3237" s="204"/>
      <c r="F3237" s="205"/>
      <c r="G3237" s="206"/>
      <c r="H3237" s="207"/>
      <c r="J3237" s="76"/>
    </row>
    <row r="3238" spans="1:10">
      <c r="A3238" s="172"/>
      <c r="D3238" s="56"/>
      <c r="E3238" s="204"/>
      <c r="F3238" s="205"/>
      <c r="G3238" s="206"/>
      <c r="H3238" s="207"/>
      <c r="J3238" s="76"/>
    </row>
    <row r="3239" spans="1:10">
      <c r="A3239" s="172"/>
      <c r="D3239" s="56"/>
      <c r="E3239" s="204"/>
      <c r="F3239" s="205"/>
      <c r="G3239" s="206"/>
      <c r="H3239" s="207"/>
      <c r="J3239" s="76"/>
    </row>
    <row r="3240" spans="1:10">
      <c r="A3240" s="172"/>
      <c r="D3240" s="56"/>
      <c r="E3240" s="204"/>
      <c r="F3240" s="205"/>
      <c r="G3240" s="206"/>
      <c r="H3240" s="207"/>
      <c r="J3240" s="76"/>
    </row>
    <row r="3241" spans="1:10">
      <c r="A3241" s="172"/>
      <c r="D3241" s="56"/>
      <c r="E3241" s="204"/>
      <c r="F3241" s="205"/>
      <c r="G3241" s="206"/>
      <c r="H3241" s="207"/>
      <c r="J3241" s="76"/>
    </row>
    <row r="3242" spans="1:10">
      <c r="A3242" s="172"/>
      <c r="D3242" s="56"/>
      <c r="E3242" s="204"/>
      <c r="F3242" s="205"/>
      <c r="G3242" s="206"/>
      <c r="H3242" s="207"/>
      <c r="J3242" s="76"/>
    </row>
    <row r="3243" spans="1:10">
      <c r="A3243" s="172"/>
      <c r="D3243" s="56"/>
      <c r="E3243" s="204"/>
      <c r="F3243" s="205"/>
      <c r="G3243" s="206"/>
      <c r="H3243" s="207"/>
      <c r="J3243" s="76"/>
    </row>
    <row r="3244" spans="1:10">
      <c r="A3244" s="172"/>
      <c r="D3244" s="56"/>
      <c r="E3244" s="204"/>
      <c r="F3244" s="205"/>
      <c r="G3244" s="206"/>
      <c r="H3244" s="207"/>
      <c r="J3244" s="76"/>
    </row>
    <row r="3245" spans="1:10">
      <c r="A3245" s="172"/>
      <c r="D3245" s="56"/>
      <c r="E3245" s="204"/>
      <c r="F3245" s="205"/>
      <c r="G3245" s="206"/>
      <c r="H3245" s="207"/>
      <c r="J3245" s="76"/>
    </row>
    <row r="3246" spans="1:10">
      <c r="A3246" s="172"/>
      <c r="D3246" s="56"/>
      <c r="E3246" s="204"/>
      <c r="F3246" s="205"/>
      <c r="G3246" s="206"/>
      <c r="H3246" s="207"/>
      <c r="J3246" s="76"/>
    </row>
    <row r="3247" spans="1:10">
      <c r="A3247" s="172"/>
      <c r="D3247" s="56"/>
      <c r="E3247" s="204"/>
      <c r="F3247" s="205"/>
      <c r="G3247" s="206"/>
      <c r="H3247" s="207"/>
      <c r="J3247" s="76"/>
    </row>
    <row r="3248" spans="1:10">
      <c r="A3248" s="172"/>
      <c r="D3248" s="56"/>
      <c r="E3248" s="204"/>
      <c r="F3248" s="205"/>
      <c r="G3248" s="206"/>
      <c r="H3248" s="207"/>
      <c r="J3248" s="76"/>
    </row>
    <row r="3249" spans="1:10">
      <c r="A3249" s="172"/>
      <c r="D3249" s="56"/>
      <c r="E3249" s="204"/>
      <c r="F3249" s="205"/>
      <c r="G3249" s="206"/>
      <c r="H3249" s="207"/>
      <c r="J3249" s="76"/>
    </row>
    <row r="3250" spans="1:10">
      <c r="A3250" s="172"/>
      <c r="D3250" s="56"/>
      <c r="E3250" s="204"/>
      <c r="F3250" s="205"/>
      <c r="G3250" s="206"/>
      <c r="H3250" s="207"/>
      <c r="J3250" s="76"/>
    </row>
    <row r="3251" spans="1:10">
      <c r="A3251" s="172"/>
      <c r="D3251" s="56"/>
      <c r="E3251" s="204"/>
      <c r="F3251" s="205"/>
      <c r="G3251" s="206"/>
      <c r="H3251" s="207"/>
      <c r="J3251" s="76"/>
    </row>
    <row r="3252" spans="1:10">
      <c r="A3252" s="172"/>
      <c r="D3252" s="56"/>
      <c r="E3252" s="204"/>
      <c r="F3252" s="205"/>
      <c r="G3252" s="206"/>
      <c r="H3252" s="207"/>
      <c r="J3252" s="76"/>
    </row>
    <row r="3253" spans="1:10">
      <c r="A3253" s="172"/>
      <c r="D3253" s="56"/>
      <c r="E3253" s="204"/>
      <c r="F3253" s="205"/>
      <c r="G3253" s="206"/>
      <c r="H3253" s="207"/>
      <c r="J3253" s="76"/>
    </row>
    <row r="3254" spans="1:10">
      <c r="A3254" s="172"/>
      <c r="D3254" s="56"/>
      <c r="E3254" s="204"/>
      <c r="F3254" s="205"/>
      <c r="G3254" s="206"/>
      <c r="H3254" s="207"/>
      <c r="J3254" s="76"/>
    </row>
    <row r="3255" spans="1:10">
      <c r="A3255" s="172"/>
      <c r="D3255" s="56"/>
      <c r="E3255" s="204"/>
      <c r="F3255" s="205"/>
      <c r="G3255" s="206"/>
      <c r="H3255" s="207"/>
      <c r="J3255" s="76"/>
    </row>
    <row r="3256" spans="1:10">
      <c r="A3256" s="172"/>
      <c r="D3256" s="56"/>
      <c r="E3256" s="204"/>
      <c r="F3256" s="205"/>
      <c r="G3256" s="206"/>
      <c r="H3256" s="207"/>
      <c r="J3256" s="76"/>
    </row>
    <row r="3257" spans="1:10">
      <c r="A3257" s="172"/>
      <c r="D3257" s="56"/>
      <c r="E3257" s="204"/>
      <c r="F3257" s="205"/>
      <c r="G3257" s="206"/>
      <c r="H3257" s="207"/>
      <c r="J3257" s="76"/>
    </row>
    <row r="3258" spans="1:10">
      <c r="A3258" s="172"/>
      <c r="D3258" s="56"/>
      <c r="E3258" s="204"/>
      <c r="F3258" s="205"/>
      <c r="G3258" s="206"/>
      <c r="H3258" s="207"/>
      <c r="J3258" s="76"/>
    </row>
    <row r="3259" spans="1:10">
      <c r="A3259" s="172"/>
      <c r="D3259" s="56"/>
      <c r="E3259" s="204"/>
      <c r="F3259" s="205"/>
      <c r="G3259" s="206"/>
      <c r="H3259" s="207"/>
      <c r="J3259" s="76"/>
    </row>
    <row r="3260" spans="1:10">
      <c r="A3260" s="172"/>
      <c r="D3260" s="56"/>
      <c r="E3260" s="204"/>
      <c r="F3260" s="205"/>
      <c r="G3260" s="206"/>
      <c r="H3260" s="207"/>
      <c r="J3260" s="76"/>
    </row>
    <row r="3261" spans="1:10">
      <c r="A3261" s="172"/>
      <c r="D3261" s="56"/>
      <c r="E3261" s="204"/>
      <c r="F3261" s="205"/>
      <c r="G3261" s="206"/>
      <c r="H3261" s="207"/>
      <c r="J3261" s="76"/>
    </row>
    <row r="3262" spans="1:10">
      <c r="A3262" s="172"/>
      <c r="D3262" s="56"/>
      <c r="E3262" s="204"/>
      <c r="F3262" s="205"/>
      <c r="G3262" s="206"/>
      <c r="H3262" s="207"/>
      <c r="J3262" s="76"/>
    </row>
    <row r="3263" spans="1:10">
      <c r="A3263" s="172"/>
      <c r="D3263" s="56"/>
      <c r="E3263" s="204"/>
      <c r="F3263" s="205"/>
      <c r="G3263" s="206"/>
      <c r="H3263" s="207"/>
      <c r="J3263" s="76"/>
    </row>
    <row r="3264" spans="1:10">
      <c r="A3264" s="172"/>
      <c r="D3264" s="56"/>
      <c r="E3264" s="204"/>
      <c r="F3264" s="205"/>
      <c r="G3264" s="206"/>
      <c r="H3264" s="207"/>
      <c r="J3264" s="76"/>
    </row>
    <row r="3265" spans="1:10">
      <c r="A3265" s="172"/>
      <c r="D3265" s="56"/>
      <c r="E3265" s="204"/>
      <c r="F3265" s="205"/>
      <c r="G3265" s="206"/>
      <c r="H3265" s="207"/>
      <c r="J3265" s="76"/>
    </row>
    <row r="3266" spans="1:10">
      <c r="A3266" s="172"/>
      <c r="D3266" s="56"/>
      <c r="E3266" s="204"/>
      <c r="F3266" s="205"/>
      <c r="G3266" s="206"/>
      <c r="H3266" s="207"/>
      <c r="J3266" s="76"/>
    </row>
    <row r="3267" spans="1:10">
      <c r="A3267" s="172"/>
      <c r="D3267" s="56"/>
      <c r="E3267" s="204"/>
      <c r="F3267" s="205"/>
      <c r="G3267" s="206"/>
      <c r="H3267" s="207"/>
      <c r="J3267" s="76"/>
    </row>
    <row r="3268" spans="1:10">
      <c r="A3268" s="172"/>
      <c r="D3268" s="56"/>
      <c r="E3268" s="204"/>
      <c r="F3268" s="205"/>
      <c r="G3268" s="206"/>
      <c r="H3268" s="207"/>
      <c r="J3268" s="76"/>
    </row>
    <row r="3269" spans="1:10">
      <c r="A3269" s="172"/>
      <c r="D3269" s="56"/>
      <c r="E3269" s="204"/>
      <c r="F3269" s="205"/>
      <c r="G3269" s="206"/>
      <c r="H3269" s="207"/>
      <c r="J3269" s="76"/>
    </row>
    <row r="3270" spans="1:10">
      <c r="A3270" s="172"/>
      <c r="D3270" s="56"/>
      <c r="E3270" s="204"/>
      <c r="F3270" s="205"/>
      <c r="G3270" s="206"/>
      <c r="H3270" s="207"/>
      <c r="J3270" s="76"/>
    </row>
    <row r="3271" spans="1:10">
      <c r="A3271" s="172"/>
      <c r="D3271" s="56"/>
      <c r="E3271" s="204"/>
      <c r="F3271" s="205"/>
      <c r="G3271" s="206"/>
      <c r="H3271" s="207"/>
      <c r="J3271" s="76"/>
    </row>
    <row r="3272" spans="1:10">
      <c r="A3272" s="172"/>
      <c r="D3272" s="56"/>
      <c r="E3272" s="204"/>
      <c r="F3272" s="205"/>
      <c r="G3272" s="206"/>
      <c r="H3272" s="207"/>
      <c r="J3272" s="76"/>
    </row>
    <row r="3273" spans="1:10">
      <c r="A3273" s="172"/>
      <c r="D3273" s="56"/>
      <c r="E3273" s="204"/>
      <c r="F3273" s="205"/>
      <c r="G3273" s="206"/>
      <c r="H3273" s="207"/>
      <c r="J3273" s="76"/>
    </row>
    <row r="3274" spans="1:10">
      <c r="A3274" s="172"/>
      <c r="D3274" s="56"/>
      <c r="E3274" s="204"/>
      <c r="F3274" s="205"/>
      <c r="G3274" s="206"/>
      <c r="H3274" s="207"/>
      <c r="J3274" s="76"/>
    </row>
    <row r="3275" spans="1:10">
      <c r="A3275" s="172"/>
      <c r="D3275" s="56"/>
      <c r="E3275" s="204"/>
      <c r="F3275" s="205"/>
      <c r="G3275" s="206"/>
      <c r="H3275" s="207"/>
      <c r="J3275" s="76"/>
    </row>
    <row r="3276" spans="1:10">
      <c r="A3276" s="172"/>
      <c r="D3276" s="56"/>
      <c r="E3276" s="204"/>
      <c r="F3276" s="205"/>
      <c r="G3276" s="206"/>
      <c r="H3276" s="207"/>
      <c r="J3276" s="76"/>
    </row>
    <row r="3277" spans="1:10">
      <c r="A3277" s="172"/>
      <c r="D3277" s="56"/>
      <c r="E3277" s="204"/>
      <c r="F3277" s="205"/>
      <c r="G3277" s="206"/>
      <c r="H3277" s="207"/>
      <c r="J3277" s="76"/>
    </row>
    <row r="3278" spans="1:10">
      <c r="A3278" s="172"/>
      <c r="D3278" s="56"/>
      <c r="E3278" s="204"/>
      <c r="F3278" s="205"/>
      <c r="G3278" s="206"/>
      <c r="H3278" s="207"/>
      <c r="J3278" s="76"/>
    </row>
    <row r="3279" spans="1:10">
      <c r="A3279" s="172"/>
      <c r="D3279" s="56"/>
      <c r="E3279" s="204"/>
      <c r="F3279" s="205"/>
      <c r="G3279" s="206"/>
      <c r="H3279" s="207"/>
      <c r="J3279" s="76"/>
    </row>
    <row r="3280" spans="1:10">
      <c r="A3280" s="172"/>
      <c r="D3280" s="56"/>
      <c r="E3280" s="204"/>
      <c r="F3280" s="205"/>
      <c r="G3280" s="206"/>
      <c r="H3280" s="207"/>
      <c r="J3280" s="76"/>
    </row>
    <row r="3281" spans="1:10">
      <c r="A3281" s="172"/>
      <c r="D3281" s="56"/>
      <c r="E3281" s="204"/>
      <c r="F3281" s="205"/>
      <c r="G3281" s="206"/>
      <c r="H3281" s="207"/>
      <c r="J3281" s="76"/>
    </row>
    <row r="3282" spans="1:10">
      <c r="A3282" s="172"/>
      <c r="D3282" s="56"/>
      <c r="E3282" s="204"/>
      <c r="F3282" s="205"/>
      <c r="G3282" s="206"/>
      <c r="H3282" s="207"/>
      <c r="J3282" s="76"/>
    </row>
    <row r="3283" spans="1:10">
      <c r="A3283" s="172"/>
      <c r="D3283" s="56"/>
      <c r="E3283" s="204"/>
      <c r="F3283" s="205"/>
      <c r="G3283" s="206"/>
      <c r="H3283" s="207"/>
      <c r="J3283" s="76"/>
    </row>
    <row r="3284" spans="1:10">
      <c r="A3284" s="172"/>
      <c r="D3284" s="56"/>
      <c r="E3284" s="204"/>
      <c r="F3284" s="205"/>
      <c r="G3284" s="206"/>
      <c r="H3284" s="207"/>
      <c r="J3284" s="76"/>
    </row>
    <row r="3285" spans="1:10">
      <c r="A3285" s="172"/>
      <c r="D3285" s="56"/>
      <c r="E3285" s="204"/>
      <c r="F3285" s="205"/>
      <c r="G3285" s="206"/>
      <c r="H3285" s="207"/>
      <c r="J3285" s="76"/>
    </row>
    <row r="3286" spans="1:10">
      <c r="A3286" s="172"/>
      <c r="D3286" s="56"/>
      <c r="E3286" s="204"/>
      <c r="F3286" s="205"/>
      <c r="G3286" s="206"/>
      <c r="H3286" s="207"/>
      <c r="J3286" s="76"/>
    </row>
    <row r="3287" spans="1:10">
      <c r="A3287" s="172"/>
      <c r="D3287" s="56"/>
      <c r="E3287" s="204"/>
      <c r="F3287" s="205"/>
      <c r="G3287" s="206"/>
      <c r="H3287" s="207"/>
      <c r="J3287" s="76"/>
    </row>
    <row r="3288" spans="1:10">
      <c r="A3288" s="172"/>
      <c r="D3288" s="56"/>
      <c r="E3288" s="204"/>
      <c r="F3288" s="205"/>
      <c r="G3288" s="206"/>
      <c r="H3288" s="207"/>
      <c r="J3288" s="76"/>
    </row>
    <row r="3289" spans="1:10">
      <c r="A3289" s="172"/>
      <c r="D3289" s="56"/>
      <c r="E3289" s="204"/>
      <c r="F3289" s="205"/>
      <c r="G3289" s="206"/>
      <c r="H3289" s="207"/>
      <c r="J3289" s="76"/>
    </row>
    <row r="3290" spans="1:10">
      <c r="A3290" s="172"/>
      <c r="D3290" s="56"/>
      <c r="E3290" s="204"/>
      <c r="F3290" s="205"/>
      <c r="G3290" s="206"/>
      <c r="H3290" s="207"/>
      <c r="J3290" s="76"/>
    </row>
    <row r="3291" spans="1:10">
      <c r="A3291" s="172"/>
      <c r="D3291" s="56"/>
      <c r="E3291" s="204"/>
      <c r="F3291" s="205"/>
      <c r="G3291" s="206"/>
      <c r="H3291" s="207"/>
      <c r="J3291" s="76"/>
    </row>
    <row r="3292" spans="1:10">
      <c r="A3292" s="172"/>
      <c r="D3292" s="56"/>
      <c r="E3292" s="204"/>
      <c r="F3292" s="205"/>
      <c r="G3292" s="206"/>
      <c r="H3292" s="207"/>
      <c r="J3292" s="76"/>
    </row>
    <row r="3293" spans="1:10">
      <c r="A3293" s="172"/>
      <c r="D3293" s="56"/>
      <c r="E3293" s="204"/>
      <c r="F3293" s="205"/>
      <c r="G3293" s="206"/>
      <c r="H3293" s="207"/>
      <c r="J3293" s="76"/>
    </row>
    <row r="3294" spans="1:10">
      <c r="A3294" s="172"/>
      <c r="D3294" s="56"/>
      <c r="E3294" s="204"/>
      <c r="F3294" s="205"/>
      <c r="G3294" s="206"/>
      <c r="H3294" s="207"/>
      <c r="J3294" s="76"/>
    </row>
    <row r="3295" spans="1:10">
      <c r="A3295" s="172"/>
      <c r="D3295" s="56"/>
      <c r="E3295" s="204"/>
      <c r="F3295" s="205"/>
      <c r="G3295" s="206"/>
      <c r="H3295" s="207"/>
      <c r="J3295" s="76"/>
    </row>
    <row r="3296" spans="1:10">
      <c r="A3296" s="172"/>
      <c r="D3296" s="56"/>
      <c r="E3296" s="204"/>
      <c r="F3296" s="205"/>
      <c r="G3296" s="206"/>
      <c r="H3296" s="207"/>
      <c r="J3296" s="76"/>
    </row>
    <row r="3297" spans="1:10">
      <c r="A3297" s="172"/>
      <c r="D3297" s="56"/>
      <c r="E3297" s="204"/>
      <c r="F3297" s="205"/>
      <c r="G3297" s="206"/>
      <c r="H3297" s="207"/>
      <c r="J3297" s="76"/>
    </row>
    <row r="3298" spans="1:10">
      <c r="A3298" s="172"/>
      <c r="D3298" s="56"/>
      <c r="E3298" s="204"/>
      <c r="F3298" s="205"/>
      <c r="G3298" s="206"/>
      <c r="H3298" s="207"/>
      <c r="J3298" s="76"/>
    </row>
    <row r="3299" spans="1:10">
      <c r="A3299" s="172"/>
      <c r="D3299" s="56"/>
      <c r="E3299" s="204"/>
      <c r="F3299" s="205"/>
      <c r="G3299" s="206"/>
      <c r="H3299" s="207"/>
      <c r="J3299" s="76"/>
    </row>
    <row r="3300" spans="1:10">
      <c r="A3300" s="172"/>
      <c r="D3300" s="56"/>
      <c r="E3300" s="204"/>
      <c r="F3300" s="205"/>
      <c r="G3300" s="206"/>
      <c r="H3300" s="207"/>
      <c r="J3300" s="76"/>
    </row>
    <row r="3301" spans="1:10">
      <c r="A3301" s="172"/>
      <c r="D3301" s="56"/>
      <c r="E3301" s="204"/>
      <c r="F3301" s="205"/>
      <c r="G3301" s="206"/>
      <c r="H3301" s="207"/>
      <c r="J3301" s="76"/>
    </row>
    <row r="3302" spans="1:10">
      <c r="A3302" s="172"/>
      <c r="D3302" s="56"/>
      <c r="E3302" s="204"/>
      <c r="F3302" s="205"/>
      <c r="G3302" s="206"/>
      <c r="H3302" s="207"/>
      <c r="J3302" s="76"/>
    </row>
    <row r="3303" spans="1:10">
      <c r="A3303" s="172"/>
      <c r="D3303" s="56"/>
      <c r="E3303" s="204"/>
      <c r="F3303" s="205"/>
      <c r="G3303" s="206"/>
      <c r="H3303" s="207"/>
      <c r="J3303" s="76"/>
    </row>
    <row r="3304" spans="1:10">
      <c r="A3304" s="172"/>
      <c r="D3304" s="56"/>
      <c r="E3304" s="204"/>
      <c r="F3304" s="205"/>
      <c r="G3304" s="206"/>
      <c r="H3304" s="207"/>
      <c r="J3304" s="76"/>
    </row>
    <row r="3305" spans="1:10">
      <c r="A3305" s="172"/>
      <c r="D3305" s="56"/>
      <c r="E3305" s="204"/>
      <c r="F3305" s="205"/>
      <c r="G3305" s="206"/>
      <c r="H3305" s="207"/>
      <c r="J3305" s="76"/>
    </row>
    <row r="3306" spans="1:10">
      <c r="A3306" s="172"/>
      <c r="D3306" s="56"/>
      <c r="E3306" s="204"/>
      <c r="F3306" s="205"/>
      <c r="G3306" s="206"/>
      <c r="H3306" s="207"/>
      <c r="J3306" s="76"/>
    </row>
    <row r="3307" spans="1:10">
      <c r="A3307" s="172"/>
      <c r="D3307" s="56"/>
      <c r="E3307" s="204"/>
      <c r="F3307" s="205"/>
      <c r="G3307" s="206"/>
      <c r="H3307" s="207"/>
      <c r="J3307" s="76"/>
    </row>
    <row r="3308" spans="1:10">
      <c r="A3308" s="172"/>
      <c r="D3308" s="56"/>
      <c r="E3308" s="204"/>
      <c r="F3308" s="205"/>
      <c r="G3308" s="206"/>
      <c r="H3308" s="207"/>
      <c r="J3308" s="76"/>
    </row>
    <row r="3309" spans="1:10">
      <c r="A3309" s="172"/>
      <c r="D3309" s="56"/>
      <c r="E3309" s="204"/>
      <c r="F3309" s="205"/>
      <c r="G3309" s="206"/>
      <c r="H3309" s="207"/>
      <c r="J3309" s="76"/>
    </row>
    <row r="3310" spans="1:10">
      <c r="A3310" s="172"/>
      <c r="D3310" s="56"/>
      <c r="E3310" s="204"/>
      <c r="F3310" s="205"/>
      <c r="G3310" s="206"/>
      <c r="H3310" s="207"/>
      <c r="J3310" s="76"/>
    </row>
    <row r="3311" spans="1:10">
      <c r="A3311" s="172"/>
      <c r="D3311" s="56"/>
      <c r="E3311" s="204"/>
      <c r="F3311" s="205"/>
      <c r="G3311" s="206"/>
      <c r="H3311" s="207"/>
      <c r="J3311" s="76"/>
    </row>
    <row r="3312" spans="1:10">
      <c r="A3312" s="172"/>
      <c r="D3312" s="56"/>
      <c r="E3312" s="204"/>
      <c r="F3312" s="205"/>
      <c r="G3312" s="206"/>
      <c r="H3312" s="207"/>
      <c r="J3312" s="76"/>
    </row>
    <row r="3313" spans="1:10">
      <c r="A3313" s="172"/>
      <c r="D3313" s="56"/>
      <c r="E3313" s="204"/>
      <c r="F3313" s="205"/>
      <c r="G3313" s="206"/>
      <c r="H3313" s="207"/>
      <c r="J3313" s="76"/>
    </row>
    <row r="3314" spans="1:10">
      <c r="A3314" s="172"/>
      <c r="D3314" s="56"/>
      <c r="E3314" s="204"/>
      <c r="F3314" s="205"/>
      <c r="G3314" s="206"/>
      <c r="H3314" s="207"/>
      <c r="J3314" s="76"/>
    </row>
    <row r="3315" spans="1:10">
      <c r="A3315" s="172"/>
      <c r="D3315" s="56"/>
      <c r="E3315" s="204"/>
      <c r="F3315" s="205"/>
      <c r="G3315" s="206"/>
      <c r="H3315" s="207"/>
      <c r="J3315" s="76"/>
    </row>
    <row r="3316" spans="1:10">
      <c r="A3316" s="172"/>
      <c r="D3316" s="56"/>
      <c r="E3316" s="204"/>
      <c r="F3316" s="205"/>
      <c r="G3316" s="206"/>
      <c r="H3316" s="207"/>
      <c r="J3316" s="76"/>
    </row>
    <row r="3317" spans="1:10">
      <c r="A3317" s="172"/>
      <c r="D3317" s="56"/>
      <c r="E3317" s="204"/>
      <c r="F3317" s="205"/>
      <c r="G3317" s="206"/>
      <c r="H3317" s="207"/>
      <c r="J3317" s="76"/>
    </row>
    <row r="3318" spans="1:10">
      <c r="A3318" s="172"/>
      <c r="D3318" s="56"/>
      <c r="E3318" s="204"/>
      <c r="F3318" s="205"/>
      <c r="G3318" s="206"/>
      <c r="H3318" s="207"/>
      <c r="J3318" s="76"/>
    </row>
    <row r="3319" spans="1:10">
      <c r="A3319" s="172"/>
      <c r="D3319" s="56"/>
      <c r="E3319" s="204"/>
      <c r="F3319" s="205"/>
      <c r="G3319" s="206"/>
      <c r="H3319" s="207"/>
      <c r="J3319" s="76"/>
    </row>
    <row r="3320" spans="1:10">
      <c r="A3320" s="172"/>
      <c r="D3320" s="56"/>
      <c r="E3320" s="204"/>
      <c r="F3320" s="205"/>
      <c r="G3320" s="206"/>
      <c r="H3320" s="207"/>
      <c r="J3320" s="76"/>
    </row>
    <row r="3321" spans="1:10">
      <c r="A3321" s="172"/>
      <c r="D3321" s="56"/>
      <c r="E3321" s="204"/>
      <c r="F3321" s="205"/>
      <c r="G3321" s="206"/>
      <c r="H3321" s="207"/>
      <c r="J3321" s="76"/>
    </row>
    <row r="3322" spans="1:10">
      <c r="A3322" s="172"/>
      <c r="D3322" s="56"/>
      <c r="E3322" s="204"/>
      <c r="F3322" s="205"/>
      <c r="G3322" s="206"/>
      <c r="H3322" s="207"/>
      <c r="J3322" s="76"/>
    </row>
    <row r="3323" spans="1:10">
      <c r="A3323" s="172"/>
      <c r="D3323" s="56"/>
      <c r="E3323" s="204"/>
      <c r="F3323" s="205"/>
      <c r="G3323" s="206"/>
      <c r="H3323" s="207"/>
      <c r="J3323" s="76"/>
    </row>
    <row r="3324" spans="1:10">
      <c r="A3324" s="172"/>
      <c r="D3324" s="56"/>
      <c r="E3324" s="204"/>
      <c r="F3324" s="205"/>
      <c r="G3324" s="206"/>
      <c r="H3324" s="207"/>
      <c r="J3324" s="76"/>
    </row>
    <row r="3325" spans="1:10">
      <c r="A3325" s="172"/>
      <c r="D3325" s="56"/>
      <c r="E3325" s="204"/>
      <c r="F3325" s="205"/>
      <c r="G3325" s="206"/>
      <c r="H3325" s="207"/>
      <c r="J3325" s="76"/>
    </row>
    <row r="3326" spans="1:10">
      <c r="A3326" s="172"/>
      <c r="D3326" s="56"/>
      <c r="E3326" s="204"/>
      <c r="F3326" s="205"/>
      <c r="G3326" s="206"/>
      <c r="H3326" s="207"/>
      <c r="J3326" s="76"/>
    </row>
    <row r="3327" spans="1:10">
      <c r="A3327" s="172"/>
      <c r="D3327" s="56"/>
      <c r="E3327" s="204"/>
      <c r="F3327" s="205"/>
      <c r="G3327" s="206"/>
      <c r="H3327" s="207"/>
      <c r="J3327" s="76"/>
    </row>
    <row r="3328" spans="1:10">
      <c r="A3328" s="172"/>
      <c r="D3328" s="56"/>
      <c r="E3328" s="204"/>
      <c r="F3328" s="205"/>
      <c r="G3328" s="206"/>
      <c r="H3328" s="207"/>
      <c r="J3328" s="76"/>
    </row>
    <row r="3329" spans="1:10">
      <c r="A3329" s="172"/>
      <c r="D3329" s="56"/>
      <c r="E3329" s="204"/>
      <c r="F3329" s="205"/>
      <c r="G3329" s="206"/>
      <c r="H3329" s="207"/>
      <c r="J3329" s="76"/>
    </row>
    <row r="3330" spans="1:10">
      <c r="A3330" s="172"/>
      <c r="D3330" s="56"/>
      <c r="E3330" s="204"/>
      <c r="F3330" s="205"/>
      <c r="G3330" s="206"/>
      <c r="H3330" s="207"/>
      <c r="J3330" s="76"/>
    </row>
    <row r="3331" spans="1:10">
      <c r="A3331" s="172"/>
      <c r="D3331" s="56"/>
      <c r="E3331" s="204"/>
      <c r="F3331" s="205"/>
      <c r="G3331" s="206"/>
      <c r="H3331" s="207"/>
      <c r="J3331" s="76"/>
    </row>
    <row r="3332" spans="1:10">
      <c r="A3332" s="172"/>
      <c r="D3332" s="56"/>
      <c r="E3332" s="204"/>
      <c r="F3332" s="205"/>
      <c r="G3332" s="206"/>
      <c r="H3332" s="207"/>
      <c r="J3332" s="76"/>
    </row>
    <row r="3333" spans="1:10">
      <c r="A3333" s="172"/>
      <c r="D3333" s="56"/>
      <c r="E3333" s="204"/>
      <c r="F3333" s="205"/>
      <c r="G3333" s="206"/>
      <c r="H3333" s="207"/>
      <c r="J3333" s="76"/>
    </row>
    <row r="3334" spans="1:10">
      <c r="A3334" s="172"/>
      <c r="D3334" s="56"/>
      <c r="E3334" s="204"/>
      <c r="F3334" s="205"/>
      <c r="G3334" s="206"/>
      <c r="H3334" s="207"/>
      <c r="J3334" s="76"/>
    </row>
    <row r="3335" spans="1:10">
      <c r="A3335" s="172"/>
      <c r="D3335" s="56"/>
      <c r="E3335" s="204"/>
      <c r="F3335" s="205"/>
      <c r="G3335" s="206"/>
      <c r="H3335" s="207"/>
      <c r="J3335" s="76"/>
    </row>
    <row r="3336" spans="1:10">
      <c r="A3336" s="172"/>
      <c r="D3336" s="56"/>
      <c r="E3336" s="204"/>
      <c r="F3336" s="205"/>
      <c r="G3336" s="206"/>
      <c r="H3336" s="207"/>
      <c r="J3336" s="76"/>
    </row>
    <row r="3337" spans="1:10">
      <c r="A3337" s="172"/>
      <c r="D3337" s="56"/>
      <c r="E3337" s="204"/>
      <c r="F3337" s="205"/>
      <c r="G3337" s="206"/>
      <c r="H3337" s="207"/>
      <c r="J3337" s="76"/>
    </row>
    <row r="3338" spans="1:10">
      <c r="A3338" s="172"/>
      <c r="D3338" s="56"/>
      <c r="E3338" s="204"/>
      <c r="F3338" s="205"/>
      <c r="G3338" s="206"/>
      <c r="H3338" s="207"/>
      <c r="J3338" s="76"/>
    </row>
    <row r="3339" spans="1:10">
      <c r="A3339" s="172"/>
      <c r="D3339" s="56"/>
      <c r="E3339" s="204"/>
      <c r="F3339" s="205"/>
      <c r="G3339" s="206"/>
      <c r="H3339" s="207"/>
      <c r="J3339" s="76"/>
    </row>
    <row r="3340" spans="1:10">
      <c r="A3340" s="172"/>
      <c r="D3340" s="56"/>
      <c r="E3340" s="204"/>
      <c r="F3340" s="205"/>
      <c r="G3340" s="206"/>
      <c r="H3340" s="207"/>
      <c r="J3340" s="76"/>
    </row>
    <row r="3341" spans="1:10">
      <c r="A3341" s="172"/>
      <c r="D3341" s="56"/>
      <c r="E3341" s="204"/>
      <c r="F3341" s="205"/>
      <c r="G3341" s="206"/>
      <c r="H3341" s="207"/>
      <c r="J3341" s="76"/>
    </row>
    <row r="3342" spans="1:10">
      <c r="A3342" s="172"/>
      <c r="D3342" s="56"/>
      <c r="E3342" s="204"/>
      <c r="F3342" s="205"/>
      <c r="G3342" s="206"/>
      <c r="H3342" s="207"/>
      <c r="J3342" s="76"/>
    </row>
    <row r="3343" spans="1:10">
      <c r="A3343" s="172"/>
      <c r="D3343" s="56"/>
      <c r="E3343" s="204"/>
      <c r="F3343" s="205"/>
      <c r="G3343" s="206"/>
      <c r="H3343" s="207"/>
      <c r="J3343" s="76"/>
    </row>
    <row r="3344" spans="1:10">
      <c r="A3344" s="172"/>
      <c r="D3344" s="56"/>
      <c r="E3344" s="204"/>
      <c r="F3344" s="205"/>
      <c r="G3344" s="206"/>
      <c r="H3344" s="207"/>
      <c r="J3344" s="76"/>
    </row>
    <row r="3345" spans="1:10">
      <c r="A3345" s="172"/>
      <c r="D3345" s="56"/>
      <c r="E3345" s="204"/>
      <c r="F3345" s="205"/>
      <c r="G3345" s="206"/>
      <c r="H3345" s="207"/>
      <c r="J3345" s="76"/>
    </row>
    <row r="3346" spans="1:10">
      <c r="A3346" s="172"/>
      <c r="D3346" s="56"/>
      <c r="E3346" s="204"/>
      <c r="F3346" s="205"/>
      <c r="G3346" s="206"/>
      <c r="H3346" s="207"/>
      <c r="J3346" s="76"/>
    </row>
    <row r="3347" spans="1:10">
      <c r="A3347" s="172"/>
      <c r="D3347" s="56"/>
      <c r="E3347" s="204"/>
      <c r="F3347" s="205"/>
      <c r="G3347" s="206"/>
      <c r="H3347" s="207"/>
      <c r="J3347" s="76"/>
    </row>
    <row r="3348" spans="1:10">
      <c r="A3348" s="172"/>
      <c r="D3348" s="56"/>
      <c r="E3348" s="204"/>
      <c r="F3348" s="205"/>
      <c r="G3348" s="206"/>
      <c r="H3348" s="207"/>
      <c r="J3348" s="76"/>
    </row>
    <row r="3349" spans="1:10">
      <c r="A3349" s="172"/>
      <c r="D3349" s="56"/>
      <c r="E3349" s="204"/>
      <c r="F3349" s="205"/>
      <c r="G3349" s="206"/>
      <c r="H3349" s="207"/>
      <c r="J3349" s="76"/>
    </row>
    <row r="3350" spans="1:10">
      <c r="A3350" s="172"/>
      <c r="D3350" s="56"/>
      <c r="E3350" s="204"/>
      <c r="F3350" s="205"/>
      <c r="G3350" s="206"/>
      <c r="H3350" s="207"/>
      <c r="J3350" s="76"/>
    </row>
    <row r="3351" spans="1:10">
      <c r="A3351" s="172"/>
      <c r="D3351" s="56"/>
      <c r="E3351" s="204"/>
      <c r="F3351" s="205"/>
      <c r="G3351" s="206"/>
      <c r="H3351" s="207"/>
      <c r="J3351" s="76"/>
    </row>
    <row r="3352" spans="1:10">
      <c r="A3352" s="172"/>
      <c r="D3352" s="56"/>
      <c r="E3352" s="204"/>
      <c r="F3352" s="205"/>
      <c r="G3352" s="206"/>
      <c r="H3352" s="207"/>
      <c r="J3352" s="76"/>
    </row>
    <row r="3353" spans="1:10">
      <c r="A3353" s="172"/>
      <c r="D3353" s="56"/>
      <c r="E3353" s="204"/>
      <c r="F3353" s="205"/>
      <c r="G3353" s="206"/>
      <c r="H3353" s="207"/>
      <c r="J3353" s="76"/>
    </row>
    <row r="3354" spans="1:10">
      <c r="A3354" s="172"/>
      <c r="D3354" s="56"/>
      <c r="E3354" s="204"/>
      <c r="F3354" s="205"/>
      <c r="G3354" s="206"/>
      <c r="H3354" s="207"/>
      <c r="J3354" s="76"/>
    </row>
    <row r="3355" spans="1:10">
      <c r="A3355" s="172"/>
      <c r="D3355" s="56"/>
      <c r="E3355" s="204"/>
      <c r="F3355" s="205"/>
      <c r="G3355" s="206"/>
      <c r="H3355" s="207"/>
      <c r="J3355" s="76"/>
    </row>
    <row r="3356" spans="1:10">
      <c r="A3356" s="172"/>
      <c r="D3356" s="56"/>
      <c r="E3356" s="204"/>
      <c r="F3356" s="205"/>
      <c r="G3356" s="206"/>
      <c r="H3356" s="207"/>
      <c r="J3356" s="76"/>
    </row>
    <row r="3357" spans="1:10">
      <c r="A3357" s="172"/>
      <c r="D3357" s="56"/>
      <c r="E3357" s="204"/>
      <c r="F3357" s="205"/>
      <c r="G3357" s="206"/>
      <c r="H3357" s="207"/>
      <c r="J3357" s="76"/>
    </row>
    <row r="3358" spans="1:10">
      <c r="A3358" s="172"/>
      <c r="D3358" s="56"/>
      <c r="E3358" s="204"/>
      <c r="F3358" s="205"/>
      <c r="G3358" s="206"/>
      <c r="H3358" s="207"/>
      <c r="J3358" s="76"/>
    </row>
    <row r="3359" spans="1:10">
      <c r="A3359" s="172"/>
      <c r="D3359" s="56"/>
      <c r="E3359" s="204"/>
      <c r="F3359" s="205"/>
      <c r="G3359" s="206"/>
      <c r="H3359" s="207"/>
      <c r="J3359" s="76"/>
    </row>
    <row r="3360" spans="1:10">
      <c r="A3360" s="172"/>
      <c r="D3360" s="56"/>
      <c r="E3360" s="204"/>
      <c r="F3360" s="205"/>
      <c r="G3360" s="206"/>
      <c r="H3360" s="207"/>
      <c r="J3360" s="76"/>
    </row>
    <row r="3361" spans="1:10">
      <c r="A3361" s="172"/>
      <c r="D3361" s="56"/>
      <c r="E3361" s="204"/>
      <c r="F3361" s="205"/>
      <c r="G3361" s="206"/>
      <c r="H3361" s="207"/>
      <c r="J3361" s="76"/>
    </row>
    <row r="3362" spans="1:10">
      <c r="A3362" s="172"/>
      <c r="D3362" s="56"/>
      <c r="E3362" s="204"/>
      <c r="F3362" s="205"/>
      <c r="G3362" s="206"/>
      <c r="H3362" s="207"/>
      <c r="J3362" s="76"/>
    </row>
    <row r="3363" spans="1:10">
      <c r="A3363" s="172"/>
      <c r="D3363" s="56"/>
      <c r="E3363" s="204"/>
      <c r="F3363" s="205"/>
      <c r="G3363" s="206"/>
      <c r="H3363" s="207"/>
      <c r="J3363" s="76"/>
    </row>
    <row r="3364" spans="1:10">
      <c r="A3364" s="172"/>
      <c r="D3364" s="56"/>
      <c r="E3364" s="204"/>
      <c r="F3364" s="205"/>
      <c r="G3364" s="206"/>
      <c r="H3364" s="207"/>
      <c r="J3364" s="76"/>
    </row>
    <row r="3365" spans="1:10">
      <c r="A3365" s="172"/>
      <c r="D3365" s="56"/>
      <c r="E3365" s="204"/>
      <c r="F3365" s="205"/>
      <c r="G3365" s="206"/>
      <c r="H3365" s="207"/>
      <c r="J3365" s="76"/>
    </row>
    <row r="3366" spans="1:10">
      <c r="A3366" s="172"/>
      <c r="D3366" s="56"/>
      <c r="E3366" s="204"/>
      <c r="F3366" s="205"/>
      <c r="G3366" s="206"/>
      <c r="H3366" s="207"/>
      <c r="J3366" s="76"/>
    </row>
    <row r="3367" spans="1:10">
      <c r="A3367" s="172"/>
      <c r="D3367" s="56"/>
      <c r="E3367" s="204"/>
      <c r="F3367" s="205"/>
      <c r="G3367" s="206"/>
      <c r="H3367" s="207"/>
      <c r="J3367" s="76"/>
    </row>
    <row r="3368" spans="1:10">
      <c r="A3368" s="172"/>
      <c r="D3368" s="56"/>
      <c r="E3368" s="204"/>
      <c r="F3368" s="205"/>
      <c r="G3368" s="206"/>
      <c r="H3368" s="207"/>
      <c r="J3368" s="76"/>
    </row>
    <row r="3369" spans="1:10">
      <c r="A3369" s="172"/>
      <c r="D3369" s="56"/>
      <c r="E3369" s="204"/>
      <c r="F3369" s="205"/>
      <c r="G3369" s="206"/>
      <c r="H3369" s="207"/>
      <c r="J3369" s="76"/>
    </row>
    <row r="3370" spans="1:10">
      <c r="A3370" s="172"/>
      <c r="D3370" s="56"/>
      <c r="E3370" s="204"/>
      <c r="F3370" s="205"/>
      <c r="G3370" s="206"/>
      <c r="H3370" s="207"/>
      <c r="J3370" s="76"/>
    </row>
    <row r="3371" spans="1:10">
      <c r="A3371" s="172"/>
      <c r="D3371" s="56"/>
      <c r="E3371" s="204"/>
      <c r="F3371" s="205"/>
      <c r="G3371" s="206"/>
      <c r="H3371" s="207"/>
      <c r="J3371" s="76"/>
    </row>
    <row r="3372" spans="1:10">
      <c r="A3372" s="172"/>
      <c r="D3372" s="56"/>
      <c r="E3372" s="204"/>
      <c r="F3372" s="205"/>
      <c r="G3372" s="206"/>
      <c r="H3372" s="207"/>
      <c r="J3372" s="76"/>
    </row>
    <row r="3373" spans="1:10">
      <c r="A3373" s="172"/>
      <c r="D3373" s="56"/>
      <c r="E3373" s="204"/>
      <c r="F3373" s="205"/>
      <c r="G3373" s="206"/>
      <c r="H3373" s="207"/>
      <c r="J3373" s="76"/>
    </row>
    <row r="3374" spans="1:10">
      <c r="A3374" s="172"/>
      <c r="D3374" s="56"/>
      <c r="E3374" s="204"/>
      <c r="F3374" s="205"/>
      <c r="G3374" s="206"/>
      <c r="H3374" s="207"/>
      <c r="J3374" s="76"/>
    </row>
    <row r="3375" spans="1:10">
      <c r="A3375" s="172"/>
      <c r="D3375" s="56"/>
      <c r="E3375" s="204"/>
      <c r="F3375" s="205"/>
      <c r="G3375" s="206"/>
      <c r="H3375" s="207"/>
      <c r="J3375" s="76"/>
    </row>
    <row r="3376" spans="1:10">
      <c r="A3376" s="172"/>
      <c r="D3376" s="56"/>
      <c r="E3376" s="204"/>
      <c r="F3376" s="205"/>
      <c r="G3376" s="206"/>
      <c r="H3376" s="207"/>
      <c r="J3376" s="76"/>
    </row>
    <row r="3377" spans="1:10">
      <c r="A3377" s="172"/>
      <c r="D3377" s="56"/>
      <c r="E3377" s="204"/>
      <c r="F3377" s="205"/>
      <c r="G3377" s="206"/>
      <c r="H3377" s="207"/>
      <c r="J3377" s="76"/>
    </row>
    <row r="3378" spans="1:10">
      <c r="A3378" s="172"/>
      <c r="D3378" s="56"/>
      <c r="E3378" s="204"/>
      <c r="F3378" s="205"/>
      <c r="G3378" s="206"/>
      <c r="H3378" s="207"/>
      <c r="J3378" s="76"/>
    </row>
    <row r="3379" spans="1:10">
      <c r="A3379" s="172"/>
      <c r="D3379" s="56"/>
      <c r="E3379" s="204"/>
      <c r="F3379" s="205"/>
      <c r="G3379" s="206"/>
      <c r="H3379" s="207"/>
      <c r="J3379" s="76"/>
    </row>
    <row r="3380" spans="1:10">
      <c r="A3380" s="172"/>
      <c r="D3380" s="56"/>
      <c r="E3380" s="204"/>
      <c r="F3380" s="205"/>
      <c r="G3380" s="206"/>
      <c r="H3380" s="207"/>
      <c r="J3380" s="76"/>
    </row>
    <row r="3381" spans="1:10">
      <c r="A3381" s="172"/>
      <c r="D3381" s="56"/>
      <c r="E3381" s="204"/>
      <c r="F3381" s="205"/>
      <c r="G3381" s="206"/>
      <c r="H3381" s="207"/>
      <c r="J3381" s="76"/>
    </row>
    <row r="3382" spans="1:10">
      <c r="A3382" s="172"/>
      <c r="D3382" s="56"/>
      <c r="E3382" s="204"/>
      <c r="F3382" s="205"/>
      <c r="G3382" s="206"/>
      <c r="H3382" s="207"/>
      <c r="J3382" s="76"/>
    </row>
    <row r="3383" spans="1:10">
      <c r="A3383" s="172"/>
      <c r="D3383" s="56"/>
      <c r="E3383" s="204"/>
      <c r="F3383" s="205"/>
      <c r="G3383" s="206"/>
      <c r="H3383" s="207"/>
      <c r="J3383" s="76"/>
    </row>
    <row r="3384" spans="1:10">
      <c r="A3384" s="172"/>
      <c r="D3384" s="56"/>
      <c r="E3384" s="204"/>
      <c r="F3384" s="205"/>
      <c r="G3384" s="206"/>
      <c r="H3384" s="207"/>
      <c r="J3384" s="76"/>
    </row>
    <row r="3385" spans="1:10">
      <c r="A3385" s="172"/>
      <c r="D3385" s="56"/>
      <c r="E3385" s="204"/>
      <c r="F3385" s="205"/>
      <c r="G3385" s="206"/>
      <c r="H3385" s="207"/>
      <c r="J3385" s="76"/>
    </row>
    <row r="3386" spans="1:10">
      <c r="A3386" s="172"/>
      <c r="D3386" s="56"/>
      <c r="E3386" s="204"/>
      <c r="F3386" s="205"/>
      <c r="G3386" s="206"/>
      <c r="H3386" s="207"/>
      <c r="J3386" s="76"/>
    </row>
    <row r="3387" spans="1:10">
      <c r="A3387" s="172"/>
      <c r="D3387" s="56"/>
      <c r="E3387" s="204"/>
      <c r="F3387" s="205"/>
      <c r="G3387" s="206"/>
      <c r="H3387" s="207"/>
      <c r="J3387" s="76"/>
    </row>
    <row r="3388" spans="1:10">
      <c r="A3388" s="172"/>
      <c r="D3388" s="56"/>
      <c r="E3388" s="204"/>
      <c r="F3388" s="205"/>
      <c r="G3388" s="206"/>
      <c r="H3388" s="207"/>
      <c r="J3388" s="76"/>
    </row>
    <row r="3389" spans="1:10">
      <c r="A3389" s="172"/>
      <c r="D3389" s="56"/>
      <c r="E3389" s="204"/>
      <c r="F3389" s="205"/>
      <c r="G3389" s="206"/>
      <c r="H3389" s="207"/>
      <c r="J3389" s="76"/>
    </row>
    <row r="3390" spans="1:10">
      <c r="A3390" s="172"/>
      <c r="D3390" s="56"/>
      <c r="E3390" s="204"/>
      <c r="F3390" s="205"/>
      <c r="G3390" s="206"/>
      <c r="H3390" s="207"/>
      <c r="J3390" s="76"/>
    </row>
    <row r="3391" spans="1:10">
      <c r="A3391" s="172"/>
      <c r="D3391" s="56"/>
      <c r="E3391" s="204"/>
      <c r="F3391" s="205"/>
      <c r="G3391" s="206"/>
      <c r="H3391" s="207"/>
      <c r="J3391" s="76"/>
    </row>
    <row r="3392" spans="1:10">
      <c r="A3392" s="172"/>
      <c r="D3392" s="56"/>
      <c r="E3392" s="204"/>
      <c r="F3392" s="205"/>
      <c r="G3392" s="206"/>
      <c r="H3392" s="207"/>
      <c r="J3392" s="76"/>
    </row>
    <row r="3393" spans="1:10">
      <c r="A3393" s="172"/>
      <c r="D3393" s="56"/>
      <c r="E3393" s="204"/>
      <c r="F3393" s="205"/>
      <c r="G3393" s="206"/>
      <c r="H3393" s="207"/>
      <c r="J3393" s="76"/>
    </row>
    <row r="3394" spans="1:10">
      <c r="A3394" s="172"/>
      <c r="D3394" s="56"/>
      <c r="E3394" s="204"/>
      <c r="F3394" s="205"/>
      <c r="G3394" s="206"/>
      <c r="H3394" s="207"/>
      <c r="J3394" s="76"/>
    </row>
    <row r="3395" spans="1:10">
      <c r="A3395" s="172"/>
      <c r="D3395" s="56"/>
      <c r="E3395" s="204"/>
      <c r="F3395" s="205"/>
      <c r="G3395" s="206"/>
      <c r="H3395" s="207"/>
      <c r="J3395" s="76"/>
    </row>
    <row r="3396" spans="1:10">
      <c r="A3396" s="172"/>
      <c r="D3396" s="56"/>
      <c r="E3396" s="204"/>
      <c r="F3396" s="205"/>
      <c r="G3396" s="206"/>
      <c r="H3396" s="207"/>
      <c r="J3396" s="76"/>
    </row>
    <row r="3397" spans="1:10">
      <c r="A3397" s="172"/>
      <c r="D3397" s="56"/>
      <c r="E3397" s="204"/>
      <c r="F3397" s="205"/>
      <c r="G3397" s="206"/>
      <c r="H3397" s="207"/>
      <c r="J3397" s="76"/>
    </row>
    <row r="3398" spans="1:10">
      <c r="A3398" s="172"/>
      <c r="D3398" s="56"/>
      <c r="E3398" s="204"/>
      <c r="F3398" s="205"/>
      <c r="G3398" s="206"/>
      <c r="H3398" s="207"/>
      <c r="J3398" s="76"/>
    </row>
    <row r="3399" spans="1:10">
      <c r="A3399" s="172"/>
      <c r="D3399" s="56"/>
      <c r="E3399" s="204"/>
      <c r="F3399" s="205"/>
      <c r="G3399" s="206"/>
      <c r="H3399" s="207"/>
      <c r="J3399" s="76"/>
    </row>
    <row r="3400" spans="1:10">
      <c r="A3400" s="172"/>
      <c r="D3400" s="56"/>
      <c r="E3400" s="204"/>
      <c r="F3400" s="205"/>
      <c r="G3400" s="206"/>
      <c r="H3400" s="207"/>
      <c r="J3400" s="76"/>
    </row>
    <row r="3401" spans="1:10">
      <c r="A3401" s="172"/>
      <c r="D3401" s="56"/>
      <c r="E3401" s="204"/>
      <c r="F3401" s="205"/>
      <c r="G3401" s="206"/>
      <c r="H3401" s="207"/>
      <c r="J3401" s="76"/>
    </row>
    <row r="3402" spans="1:10">
      <c r="A3402" s="172"/>
      <c r="D3402" s="56"/>
      <c r="E3402" s="204"/>
      <c r="F3402" s="205"/>
      <c r="G3402" s="206"/>
      <c r="H3402" s="207"/>
      <c r="J3402" s="76"/>
    </row>
    <row r="3403" spans="1:10">
      <c r="A3403" s="172"/>
      <c r="D3403" s="56"/>
      <c r="E3403" s="204"/>
      <c r="F3403" s="205"/>
      <c r="G3403" s="206"/>
      <c r="H3403" s="207"/>
      <c r="J3403" s="76"/>
    </row>
    <row r="3404" spans="1:10">
      <c r="A3404" s="172"/>
      <c r="D3404" s="56"/>
      <c r="E3404" s="204"/>
      <c r="F3404" s="205"/>
      <c r="G3404" s="206"/>
      <c r="H3404" s="207"/>
      <c r="J3404" s="76"/>
    </row>
    <row r="3405" spans="1:10">
      <c r="A3405" s="172"/>
      <c r="D3405" s="56"/>
      <c r="E3405" s="204"/>
      <c r="F3405" s="205"/>
      <c r="G3405" s="206"/>
      <c r="H3405" s="207"/>
      <c r="J3405" s="76"/>
    </row>
    <row r="3406" spans="1:10">
      <c r="A3406" s="172"/>
      <c r="D3406" s="56"/>
      <c r="E3406" s="204"/>
      <c r="F3406" s="205"/>
      <c r="G3406" s="206"/>
      <c r="H3406" s="207"/>
      <c r="J3406" s="76"/>
    </row>
    <row r="3407" spans="1:10">
      <c r="A3407" s="172"/>
      <c r="D3407" s="56"/>
      <c r="E3407" s="204"/>
      <c r="F3407" s="205"/>
      <c r="G3407" s="206"/>
      <c r="H3407" s="207"/>
      <c r="J3407" s="76"/>
    </row>
    <row r="3408" spans="1:10">
      <c r="A3408" s="172"/>
      <c r="D3408" s="56"/>
      <c r="E3408" s="204"/>
      <c r="F3408" s="205"/>
      <c r="G3408" s="206"/>
      <c r="H3408" s="207"/>
      <c r="J3408" s="76"/>
    </row>
    <row r="3409" spans="1:10">
      <c r="A3409" s="172"/>
      <c r="D3409" s="56"/>
      <c r="E3409" s="204"/>
      <c r="F3409" s="205"/>
      <c r="G3409" s="206"/>
      <c r="H3409" s="207"/>
      <c r="J3409" s="76"/>
    </row>
    <row r="3410" spans="1:10">
      <c r="A3410" s="172"/>
      <c r="D3410" s="56"/>
      <c r="E3410" s="204"/>
      <c r="F3410" s="205"/>
      <c r="G3410" s="206"/>
      <c r="H3410" s="207"/>
      <c r="J3410" s="76"/>
    </row>
    <row r="3411" spans="1:10">
      <c r="A3411" s="172"/>
      <c r="D3411" s="56"/>
      <c r="E3411" s="204"/>
      <c r="F3411" s="205"/>
      <c r="G3411" s="206"/>
      <c r="H3411" s="207"/>
      <c r="J3411" s="76"/>
    </row>
    <row r="3412" spans="1:10">
      <c r="A3412" s="172"/>
      <c r="D3412" s="56"/>
      <c r="E3412" s="204"/>
      <c r="F3412" s="205"/>
      <c r="G3412" s="206"/>
      <c r="H3412" s="207"/>
      <c r="J3412" s="76"/>
    </row>
    <row r="3413" spans="1:10">
      <c r="A3413" s="172"/>
      <c r="D3413" s="56"/>
      <c r="E3413" s="204"/>
      <c r="F3413" s="205"/>
      <c r="G3413" s="206"/>
      <c r="H3413" s="207"/>
      <c r="J3413" s="76"/>
    </row>
    <row r="3414" spans="1:10">
      <c r="A3414" s="172"/>
      <c r="D3414" s="56"/>
      <c r="E3414" s="204"/>
      <c r="F3414" s="205"/>
      <c r="G3414" s="206"/>
      <c r="H3414" s="207"/>
      <c r="J3414" s="76"/>
    </row>
    <row r="3415" spans="1:10">
      <c r="A3415" s="172"/>
      <c r="D3415" s="56"/>
      <c r="E3415" s="204"/>
      <c r="F3415" s="205"/>
      <c r="G3415" s="206"/>
      <c r="H3415" s="207"/>
      <c r="J3415" s="76"/>
    </row>
    <row r="3416" spans="1:10">
      <c r="A3416" s="172"/>
      <c r="D3416" s="56"/>
      <c r="E3416" s="204"/>
      <c r="F3416" s="205"/>
      <c r="G3416" s="206"/>
      <c r="H3416" s="207"/>
      <c r="J3416" s="76"/>
    </row>
    <row r="3417" spans="1:10">
      <c r="A3417" s="172"/>
      <c r="D3417" s="56"/>
      <c r="E3417" s="204"/>
      <c r="F3417" s="205"/>
      <c r="G3417" s="206"/>
      <c r="H3417" s="207"/>
      <c r="J3417" s="76"/>
    </row>
    <row r="3418" spans="1:10">
      <c r="A3418" s="172"/>
      <c r="D3418" s="56"/>
      <c r="E3418" s="204"/>
      <c r="F3418" s="205"/>
      <c r="G3418" s="206"/>
      <c r="H3418" s="207"/>
      <c r="J3418" s="76"/>
    </row>
    <row r="3419" spans="1:10">
      <c r="A3419" s="172"/>
      <c r="D3419" s="56"/>
      <c r="E3419" s="204"/>
      <c r="F3419" s="205"/>
      <c r="G3419" s="206"/>
      <c r="H3419" s="207"/>
      <c r="J3419" s="76"/>
    </row>
    <row r="3420" spans="1:10">
      <c r="A3420" s="172"/>
      <c r="D3420" s="56"/>
      <c r="E3420" s="204"/>
      <c r="F3420" s="205"/>
      <c r="G3420" s="206"/>
      <c r="H3420" s="207"/>
      <c r="J3420" s="76"/>
    </row>
    <row r="3421" spans="1:10">
      <c r="A3421" s="172"/>
      <c r="D3421" s="56"/>
      <c r="E3421" s="204"/>
      <c r="F3421" s="205"/>
      <c r="G3421" s="206"/>
      <c r="H3421" s="207"/>
      <c r="J3421" s="76"/>
    </row>
    <row r="3422" spans="1:10">
      <c r="A3422" s="172"/>
      <c r="D3422" s="56"/>
      <c r="E3422" s="204"/>
      <c r="F3422" s="205"/>
      <c r="G3422" s="206"/>
      <c r="H3422" s="207"/>
      <c r="J3422" s="76"/>
    </row>
    <row r="3423" spans="1:10">
      <c r="A3423" s="172"/>
      <c r="D3423" s="56"/>
      <c r="E3423" s="204"/>
      <c r="F3423" s="205"/>
      <c r="G3423" s="206"/>
      <c r="H3423" s="207"/>
      <c r="J3423" s="76"/>
    </row>
    <row r="3424" spans="1:10">
      <c r="A3424" s="172"/>
      <c r="D3424" s="56"/>
      <c r="E3424" s="204"/>
      <c r="F3424" s="205"/>
      <c r="G3424" s="206"/>
      <c r="H3424" s="207"/>
      <c r="J3424" s="76"/>
    </row>
    <row r="3425" spans="1:10">
      <c r="A3425" s="172"/>
      <c r="D3425" s="56"/>
      <c r="E3425" s="204"/>
      <c r="F3425" s="205"/>
      <c r="G3425" s="206"/>
      <c r="H3425" s="207"/>
      <c r="J3425" s="76"/>
    </row>
    <row r="3426" spans="1:10">
      <c r="A3426" s="172"/>
      <c r="D3426" s="56"/>
      <c r="E3426" s="204"/>
      <c r="F3426" s="205"/>
      <c r="G3426" s="206"/>
      <c r="H3426" s="207"/>
      <c r="J3426" s="76"/>
    </row>
    <row r="3427" spans="1:10">
      <c r="A3427" s="172"/>
      <c r="D3427" s="56"/>
      <c r="E3427" s="204"/>
      <c r="F3427" s="205"/>
      <c r="G3427" s="206"/>
      <c r="H3427" s="207"/>
      <c r="J3427" s="76"/>
    </row>
    <row r="3428" spans="1:10">
      <c r="A3428" s="172"/>
      <c r="D3428" s="56"/>
      <c r="E3428" s="204"/>
      <c r="F3428" s="205"/>
      <c r="G3428" s="206"/>
      <c r="H3428" s="207"/>
      <c r="J3428" s="76"/>
    </row>
    <row r="3429" spans="1:10">
      <c r="A3429" s="172"/>
      <c r="D3429" s="56"/>
      <c r="E3429" s="204"/>
      <c r="F3429" s="205"/>
      <c r="G3429" s="206"/>
      <c r="H3429" s="207"/>
      <c r="J3429" s="76"/>
    </row>
    <row r="3430" spans="1:10">
      <c r="A3430" s="172"/>
      <c r="D3430" s="56"/>
      <c r="E3430" s="204"/>
      <c r="F3430" s="205"/>
      <c r="G3430" s="206"/>
      <c r="H3430" s="207"/>
      <c r="J3430" s="76"/>
    </row>
    <row r="3431" spans="1:10">
      <c r="A3431" s="172"/>
      <c r="D3431" s="56"/>
      <c r="E3431" s="204"/>
      <c r="F3431" s="205"/>
      <c r="G3431" s="206"/>
      <c r="H3431" s="207"/>
      <c r="J3431" s="76"/>
    </row>
    <row r="3432" spans="1:10">
      <c r="A3432" s="172"/>
      <c r="D3432" s="56"/>
      <c r="E3432" s="204"/>
      <c r="F3432" s="205"/>
      <c r="G3432" s="206"/>
      <c r="H3432" s="207"/>
      <c r="J3432" s="76"/>
    </row>
    <row r="3433" spans="1:10">
      <c r="A3433" s="172"/>
      <c r="D3433" s="56"/>
      <c r="E3433" s="204"/>
      <c r="F3433" s="205"/>
      <c r="G3433" s="206"/>
      <c r="H3433" s="207"/>
      <c r="J3433" s="76"/>
    </row>
    <row r="3434" spans="1:10">
      <c r="A3434" s="172"/>
      <c r="D3434" s="56"/>
      <c r="E3434" s="204"/>
      <c r="F3434" s="205"/>
      <c r="G3434" s="206"/>
      <c r="H3434" s="207"/>
      <c r="J3434" s="76"/>
    </row>
    <row r="3435" spans="1:10">
      <c r="A3435" s="172"/>
      <c r="D3435" s="56"/>
      <c r="E3435" s="204"/>
      <c r="F3435" s="205"/>
      <c r="G3435" s="206"/>
      <c r="H3435" s="207"/>
      <c r="J3435" s="76"/>
    </row>
    <row r="3436" spans="1:10">
      <c r="A3436" s="172"/>
      <c r="D3436" s="56"/>
      <c r="E3436" s="204"/>
      <c r="F3436" s="205"/>
      <c r="G3436" s="206"/>
      <c r="H3436" s="207"/>
      <c r="J3436" s="76"/>
    </row>
    <row r="3437" spans="1:10">
      <c r="A3437" s="172"/>
      <c r="D3437" s="56"/>
      <c r="E3437" s="204"/>
      <c r="F3437" s="205"/>
      <c r="G3437" s="206"/>
      <c r="H3437" s="207"/>
      <c r="J3437" s="76"/>
    </row>
    <row r="3438" spans="1:10">
      <c r="A3438" s="172"/>
      <c r="D3438" s="56"/>
      <c r="E3438" s="204"/>
      <c r="F3438" s="205"/>
      <c r="G3438" s="206"/>
      <c r="H3438" s="207"/>
      <c r="J3438" s="76"/>
    </row>
    <row r="3439" spans="1:10">
      <c r="A3439" s="172"/>
      <c r="D3439" s="56"/>
      <c r="E3439" s="204"/>
      <c r="F3439" s="205"/>
      <c r="G3439" s="206"/>
      <c r="H3439" s="207"/>
      <c r="J3439" s="76"/>
    </row>
    <row r="3440" spans="1:10">
      <c r="A3440" s="172"/>
      <c r="D3440" s="56"/>
      <c r="E3440" s="204"/>
      <c r="F3440" s="205"/>
      <c r="G3440" s="206"/>
      <c r="H3440" s="207"/>
      <c r="J3440" s="76"/>
    </row>
    <row r="3441" spans="1:10">
      <c r="A3441" s="172"/>
      <c r="D3441" s="56"/>
      <c r="E3441" s="204"/>
      <c r="F3441" s="205"/>
      <c r="G3441" s="206"/>
      <c r="H3441" s="207"/>
      <c r="J3441" s="76"/>
    </row>
    <row r="3442" spans="1:10">
      <c r="A3442" s="172"/>
      <c r="D3442" s="56"/>
      <c r="E3442" s="204"/>
      <c r="F3442" s="205"/>
      <c r="G3442" s="206"/>
      <c r="H3442" s="207"/>
      <c r="J3442" s="76"/>
    </row>
    <row r="3443" spans="1:10">
      <c r="A3443" s="172"/>
      <c r="D3443" s="56"/>
      <c r="E3443" s="204"/>
      <c r="F3443" s="205"/>
      <c r="G3443" s="206"/>
      <c r="H3443" s="207"/>
      <c r="J3443" s="76"/>
    </row>
    <row r="3444" spans="1:10">
      <c r="A3444" s="172"/>
      <c r="D3444" s="56"/>
      <c r="E3444" s="204"/>
      <c r="F3444" s="205"/>
      <c r="G3444" s="206"/>
      <c r="H3444" s="207"/>
      <c r="J3444" s="76"/>
    </row>
    <row r="3445" spans="1:10">
      <c r="A3445" s="172"/>
      <c r="D3445" s="56"/>
      <c r="E3445" s="204"/>
      <c r="F3445" s="205"/>
      <c r="G3445" s="206"/>
      <c r="H3445" s="207"/>
      <c r="J3445" s="76"/>
    </row>
    <row r="3446" spans="1:10">
      <c r="A3446" s="172"/>
      <c r="D3446" s="56"/>
      <c r="E3446" s="204"/>
      <c r="F3446" s="205"/>
      <c r="G3446" s="206"/>
      <c r="H3446" s="207"/>
      <c r="J3446" s="76"/>
    </row>
    <row r="3447" spans="1:10">
      <c r="A3447" s="172"/>
      <c r="D3447" s="56"/>
      <c r="E3447" s="204"/>
      <c r="F3447" s="205"/>
      <c r="G3447" s="206"/>
      <c r="H3447" s="207"/>
      <c r="J3447" s="76"/>
    </row>
    <row r="3448" spans="1:10">
      <c r="A3448" s="172"/>
      <c r="D3448" s="56"/>
      <c r="E3448" s="204"/>
      <c r="F3448" s="205"/>
      <c r="G3448" s="206"/>
      <c r="H3448" s="207"/>
      <c r="J3448" s="76"/>
    </row>
    <row r="3449" spans="1:10">
      <c r="A3449" s="172"/>
      <c r="D3449" s="56"/>
      <c r="E3449" s="204"/>
      <c r="F3449" s="205"/>
      <c r="G3449" s="206"/>
      <c r="H3449" s="207"/>
      <c r="J3449" s="76"/>
    </row>
    <row r="3450" spans="1:10">
      <c r="A3450" s="172"/>
      <c r="D3450" s="56"/>
      <c r="E3450" s="204"/>
      <c r="F3450" s="205"/>
      <c r="G3450" s="206"/>
      <c r="H3450" s="207"/>
      <c r="J3450" s="76"/>
    </row>
    <row r="3451" spans="1:10">
      <c r="A3451" s="172"/>
      <c r="D3451" s="56"/>
      <c r="E3451" s="204"/>
      <c r="F3451" s="205"/>
      <c r="G3451" s="206"/>
      <c r="H3451" s="207"/>
      <c r="J3451" s="76"/>
    </row>
    <row r="3452" spans="1:10">
      <c r="A3452" s="172"/>
      <c r="D3452" s="56"/>
      <c r="E3452" s="204"/>
      <c r="F3452" s="205"/>
      <c r="G3452" s="206"/>
      <c r="H3452" s="207"/>
      <c r="J3452" s="76"/>
    </row>
    <row r="3453" spans="1:10">
      <c r="A3453" s="172"/>
      <c r="D3453" s="56"/>
      <c r="E3453" s="204"/>
      <c r="F3453" s="205"/>
      <c r="G3453" s="206"/>
      <c r="H3453" s="207"/>
      <c r="J3453" s="76"/>
    </row>
    <row r="3454" spans="1:10">
      <c r="A3454" s="172"/>
      <c r="D3454" s="56"/>
      <c r="E3454" s="204"/>
      <c r="F3454" s="205"/>
      <c r="G3454" s="206"/>
      <c r="H3454" s="207"/>
      <c r="J3454" s="76"/>
    </row>
    <row r="3455" spans="1:10">
      <c r="A3455" s="172"/>
      <c r="D3455" s="56"/>
      <c r="E3455" s="204"/>
      <c r="F3455" s="205"/>
      <c r="G3455" s="206"/>
      <c r="H3455" s="207"/>
      <c r="J3455" s="76"/>
    </row>
    <row r="3456" spans="1:10">
      <c r="A3456" s="172"/>
      <c r="D3456" s="56"/>
      <c r="E3456" s="204"/>
      <c r="F3456" s="205"/>
      <c r="G3456" s="206"/>
      <c r="H3456" s="207"/>
      <c r="J3456" s="76"/>
    </row>
    <row r="3457" spans="1:10">
      <c r="A3457" s="172"/>
      <c r="D3457" s="56"/>
      <c r="E3457" s="204"/>
      <c r="F3457" s="205"/>
      <c r="G3457" s="206"/>
      <c r="H3457" s="207"/>
      <c r="J3457" s="76"/>
    </row>
    <row r="3458" spans="1:10">
      <c r="A3458" s="172"/>
      <c r="D3458" s="56"/>
      <c r="E3458" s="204"/>
      <c r="F3458" s="205"/>
      <c r="G3458" s="206"/>
      <c r="H3458" s="207"/>
      <c r="J3458" s="76"/>
    </row>
    <row r="3459" spans="1:10">
      <c r="A3459" s="172"/>
      <c r="D3459" s="56"/>
      <c r="E3459" s="204"/>
      <c r="F3459" s="205"/>
      <c r="G3459" s="206"/>
      <c r="H3459" s="207"/>
      <c r="J3459" s="76"/>
    </row>
    <row r="3460" spans="1:10">
      <c r="A3460" s="172"/>
      <c r="D3460" s="56"/>
      <c r="E3460" s="204"/>
      <c r="F3460" s="205"/>
      <c r="G3460" s="206"/>
      <c r="H3460" s="207"/>
      <c r="J3460" s="76"/>
    </row>
    <row r="3461" spans="1:10">
      <c r="A3461" s="172"/>
      <c r="D3461" s="56"/>
      <c r="E3461" s="204"/>
      <c r="F3461" s="205"/>
      <c r="G3461" s="206"/>
      <c r="H3461" s="207"/>
      <c r="J3461" s="76"/>
    </row>
    <row r="3462" spans="1:10">
      <c r="A3462" s="172"/>
      <c r="D3462" s="56"/>
      <c r="E3462" s="204"/>
      <c r="F3462" s="205"/>
      <c r="G3462" s="206"/>
      <c r="H3462" s="207"/>
      <c r="J3462" s="76"/>
    </row>
    <row r="3463" spans="1:10">
      <c r="A3463" s="172"/>
      <c r="D3463" s="56"/>
      <c r="E3463" s="204"/>
      <c r="F3463" s="205"/>
      <c r="G3463" s="206"/>
      <c r="H3463" s="207"/>
      <c r="J3463" s="76"/>
    </row>
    <row r="3464" spans="1:10">
      <c r="A3464" s="172"/>
      <c r="D3464" s="56"/>
      <c r="E3464" s="204"/>
      <c r="F3464" s="205"/>
      <c r="G3464" s="206"/>
      <c r="H3464" s="207"/>
      <c r="J3464" s="76"/>
    </row>
    <row r="3465" spans="1:10">
      <c r="A3465" s="172"/>
      <c r="D3465" s="56"/>
      <c r="E3465" s="204"/>
      <c r="F3465" s="205"/>
      <c r="G3465" s="206"/>
      <c r="H3465" s="207"/>
      <c r="J3465" s="76"/>
    </row>
    <row r="3466" spans="1:10">
      <c r="A3466" s="172"/>
      <c r="D3466" s="56"/>
      <c r="E3466" s="204"/>
      <c r="F3466" s="205"/>
      <c r="G3466" s="206"/>
      <c r="H3466" s="207"/>
      <c r="J3466" s="76"/>
    </row>
    <row r="3467" spans="1:10">
      <c r="A3467" s="172"/>
      <c r="D3467" s="56"/>
      <c r="E3467" s="204"/>
      <c r="F3467" s="205"/>
      <c r="G3467" s="206"/>
      <c r="H3467" s="207"/>
      <c r="J3467" s="76"/>
    </row>
    <row r="3468" spans="1:10">
      <c r="A3468" s="172"/>
      <c r="D3468" s="56"/>
      <c r="E3468" s="204"/>
      <c r="F3468" s="205"/>
      <c r="G3468" s="206"/>
      <c r="H3468" s="207"/>
      <c r="J3468" s="76"/>
    </row>
    <row r="3469" spans="1:10">
      <c r="A3469" s="172"/>
      <c r="D3469" s="56"/>
      <c r="E3469" s="204"/>
      <c r="F3469" s="205"/>
      <c r="G3469" s="206"/>
      <c r="H3469" s="207"/>
      <c r="J3469" s="76"/>
    </row>
    <row r="3470" spans="1:10">
      <c r="A3470" s="172"/>
      <c r="D3470" s="56"/>
      <c r="E3470" s="204"/>
      <c r="F3470" s="205"/>
      <c r="G3470" s="206"/>
      <c r="H3470" s="207"/>
      <c r="J3470" s="76"/>
    </row>
    <row r="3471" spans="1:10">
      <c r="A3471" s="172"/>
      <c r="D3471" s="56"/>
      <c r="E3471" s="204"/>
      <c r="F3471" s="205"/>
      <c r="G3471" s="206"/>
      <c r="H3471" s="207"/>
      <c r="J3471" s="76"/>
    </row>
    <row r="3472" spans="1:10">
      <c r="A3472" s="172"/>
      <c r="D3472" s="56"/>
      <c r="E3472" s="204"/>
      <c r="F3472" s="205"/>
      <c r="G3472" s="206"/>
      <c r="H3472" s="207"/>
      <c r="J3472" s="76"/>
    </row>
    <row r="3473" spans="1:10">
      <c r="A3473" s="172"/>
      <c r="D3473" s="56"/>
      <c r="E3473" s="204"/>
      <c r="F3473" s="205"/>
      <c r="G3473" s="206"/>
      <c r="H3473" s="207"/>
      <c r="J3473" s="76"/>
    </row>
    <row r="3474" spans="1:10">
      <c r="A3474" s="172"/>
      <c r="D3474" s="56"/>
      <c r="E3474" s="204"/>
      <c r="F3474" s="205"/>
      <c r="G3474" s="206"/>
      <c r="H3474" s="207"/>
      <c r="J3474" s="76"/>
    </row>
    <row r="3475" spans="1:10">
      <c r="A3475" s="172"/>
      <c r="D3475" s="56"/>
      <c r="E3475" s="204"/>
      <c r="F3475" s="205"/>
      <c r="G3475" s="206"/>
      <c r="H3475" s="207"/>
      <c r="J3475" s="76"/>
    </row>
    <row r="3476" spans="1:10">
      <c r="A3476" s="172"/>
      <c r="D3476" s="56"/>
      <c r="E3476" s="204"/>
      <c r="F3476" s="205"/>
      <c r="G3476" s="206"/>
      <c r="H3476" s="207"/>
      <c r="J3476" s="76"/>
    </row>
    <row r="3477" spans="1:10">
      <c r="A3477" s="172"/>
      <c r="D3477" s="56"/>
      <c r="E3477" s="204"/>
      <c r="F3477" s="205"/>
      <c r="G3477" s="206"/>
      <c r="H3477" s="207"/>
      <c r="J3477" s="76"/>
    </row>
    <row r="3478" spans="1:10">
      <c r="A3478" s="172"/>
      <c r="D3478" s="56"/>
      <c r="E3478" s="204"/>
      <c r="F3478" s="205"/>
      <c r="G3478" s="206"/>
      <c r="H3478" s="207"/>
      <c r="J3478" s="76"/>
    </row>
    <row r="3479" spans="1:10">
      <c r="A3479" s="172"/>
      <c r="D3479" s="56"/>
      <c r="E3479" s="204"/>
      <c r="F3479" s="205"/>
      <c r="G3479" s="206"/>
      <c r="H3479" s="207"/>
      <c r="J3479" s="76"/>
    </row>
    <row r="3480" spans="1:10">
      <c r="A3480" s="172"/>
      <c r="D3480" s="56"/>
      <c r="E3480" s="204"/>
      <c r="F3480" s="205"/>
      <c r="G3480" s="206"/>
      <c r="H3480" s="207"/>
      <c r="J3480" s="76"/>
    </row>
    <row r="3481" spans="1:10">
      <c r="A3481" s="172"/>
      <c r="D3481" s="56"/>
      <c r="E3481" s="204"/>
      <c r="F3481" s="205"/>
      <c r="G3481" s="206"/>
      <c r="H3481" s="207"/>
      <c r="J3481" s="76"/>
    </row>
    <row r="3482" spans="1:10">
      <c r="A3482" s="172"/>
      <c r="D3482" s="56"/>
      <c r="E3482" s="204"/>
      <c r="F3482" s="205"/>
      <c r="G3482" s="206"/>
      <c r="H3482" s="207"/>
      <c r="J3482" s="76"/>
    </row>
    <row r="3483" spans="1:10">
      <c r="A3483" s="172"/>
      <c r="D3483" s="56"/>
      <c r="E3483" s="204"/>
      <c r="F3483" s="205"/>
      <c r="G3483" s="206"/>
      <c r="H3483" s="207"/>
      <c r="J3483" s="76"/>
    </row>
    <row r="3484" spans="1:10">
      <c r="A3484" s="172"/>
      <c r="D3484" s="56"/>
      <c r="E3484" s="204"/>
      <c r="F3484" s="205"/>
      <c r="G3484" s="206"/>
      <c r="H3484" s="207"/>
      <c r="J3484" s="76"/>
    </row>
    <row r="3485" spans="1:10">
      <c r="A3485" s="172"/>
      <c r="D3485" s="56"/>
      <c r="E3485" s="204"/>
      <c r="F3485" s="205"/>
      <c r="G3485" s="206"/>
      <c r="H3485" s="207"/>
      <c r="J3485" s="76"/>
    </row>
    <row r="3486" spans="1:10">
      <c r="A3486" s="172"/>
      <c r="D3486" s="56"/>
      <c r="E3486" s="204"/>
      <c r="F3486" s="205"/>
      <c r="G3486" s="206"/>
      <c r="H3486" s="207"/>
      <c r="J3486" s="76"/>
    </row>
    <row r="3487" spans="1:10">
      <c r="A3487" s="172"/>
      <c r="D3487" s="56"/>
      <c r="E3487" s="204"/>
      <c r="F3487" s="205"/>
      <c r="G3487" s="206"/>
      <c r="H3487" s="207"/>
      <c r="J3487" s="76"/>
    </row>
    <row r="3488" spans="1:10">
      <c r="A3488" s="172"/>
      <c r="D3488" s="56"/>
      <c r="E3488" s="204"/>
      <c r="F3488" s="205"/>
      <c r="G3488" s="206"/>
      <c r="H3488" s="207"/>
      <c r="J3488" s="76"/>
    </row>
    <row r="3489" spans="1:10">
      <c r="A3489" s="172"/>
      <c r="D3489" s="56"/>
      <c r="E3489" s="204"/>
      <c r="F3489" s="205"/>
      <c r="G3489" s="206"/>
      <c r="H3489" s="207"/>
      <c r="J3489" s="76"/>
    </row>
    <row r="3490" spans="1:10">
      <c r="A3490" s="172"/>
      <c r="D3490" s="56"/>
      <c r="E3490" s="204"/>
      <c r="F3490" s="205"/>
      <c r="G3490" s="206"/>
      <c r="H3490" s="207"/>
      <c r="J3490" s="76"/>
    </row>
    <row r="3491" spans="1:10">
      <c r="A3491" s="172"/>
      <c r="D3491" s="56"/>
      <c r="E3491" s="204"/>
      <c r="F3491" s="205"/>
      <c r="G3491" s="206"/>
      <c r="H3491" s="207"/>
      <c r="J3491" s="76"/>
    </row>
    <row r="3492" spans="1:10">
      <c r="A3492" s="172"/>
      <c r="D3492" s="56"/>
      <c r="E3492" s="204"/>
      <c r="F3492" s="205"/>
      <c r="G3492" s="206"/>
      <c r="H3492" s="207"/>
      <c r="J3492" s="76"/>
    </row>
    <row r="3493" spans="1:10">
      <c r="A3493" s="172"/>
      <c r="D3493" s="56"/>
      <c r="E3493" s="204"/>
      <c r="F3493" s="205"/>
      <c r="G3493" s="206"/>
      <c r="H3493" s="207"/>
      <c r="J3493" s="76"/>
    </row>
    <row r="3494" spans="1:10">
      <c r="A3494" s="172"/>
      <c r="D3494" s="56"/>
      <c r="E3494" s="204"/>
      <c r="F3494" s="205"/>
      <c r="G3494" s="206"/>
      <c r="H3494" s="207"/>
      <c r="J3494" s="76"/>
    </row>
    <row r="3495" spans="1:10">
      <c r="A3495" s="172"/>
      <c r="D3495" s="56"/>
      <c r="E3495" s="204"/>
      <c r="F3495" s="205"/>
      <c r="G3495" s="206"/>
      <c r="H3495" s="207"/>
      <c r="J3495" s="76"/>
    </row>
    <row r="3496" spans="1:10">
      <c r="A3496" s="172"/>
      <c r="D3496" s="56"/>
      <c r="E3496" s="204"/>
      <c r="F3496" s="205"/>
      <c r="G3496" s="206"/>
      <c r="H3496" s="207"/>
      <c r="J3496" s="76"/>
    </row>
    <row r="3497" spans="1:10">
      <c r="A3497" s="172"/>
      <c r="D3497" s="56"/>
      <c r="E3497" s="204"/>
      <c r="F3497" s="205"/>
      <c r="G3497" s="206"/>
      <c r="H3497" s="207"/>
      <c r="J3497" s="76"/>
    </row>
    <row r="3498" spans="1:10">
      <c r="A3498" s="172"/>
      <c r="D3498" s="56"/>
      <c r="E3498" s="204"/>
      <c r="F3498" s="205"/>
      <c r="G3498" s="206"/>
      <c r="H3498" s="207"/>
      <c r="J3498" s="76"/>
    </row>
    <row r="3499" spans="1:10">
      <c r="A3499" s="172"/>
      <c r="D3499" s="56"/>
      <c r="E3499" s="204"/>
      <c r="F3499" s="205"/>
      <c r="G3499" s="206"/>
      <c r="H3499" s="207"/>
      <c r="J3499" s="76"/>
    </row>
    <row r="3500" spans="1:10">
      <c r="A3500" s="172"/>
      <c r="D3500" s="56"/>
      <c r="E3500" s="204"/>
      <c r="F3500" s="205"/>
      <c r="G3500" s="206"/>
      <c r="H3500" s="207"/>
      <c r="J3500" s="76"/>
    </row>
    <row r="3501" spans="1:10">
      <c r="A3501" s="172"/>
      <c r="D3501" s="56"/>
      <c r="E3501" s="204"/>
      <c r="F3501" s="205"/>
      <c r="G3501" s="206"/>
      <c r="H3501" s="207"/>
      <c r="J3501" s="76"/>
    </row>
    <row r="3502" spans="1:10">
      <c r="A3502" s="172"/>
      <c r="D3502" s="56"/>
      <c r="E3502" s="204"/>
      <c r="F3502" s="205"/>
      <c r="G3502" s="206"/>
      <c r="H3502" s="207"/>
      <c r="J3502" s="76"/>
    </row>
    <row r="3503" spans="1:10">
      <c r="A3503" s="172"/>
      <c r="D3503" s="56"/>
      <c r="E3503" s="204"/>
      <c r="F3503" s="205"/>
      <c r="G3503" s="206"/>
      <c r="H3503" s="207"/>
      <c r="J3503" s="76"/>
    </row>
    <row r="3504" spans="1:10">
      <c r="A3504" s="172"/>
      <c r="D3504" s="56"/>
      <c r="E3504" s="204"/>
      <c r="F3504" s="205"/>
      <c r="G3504" s="206"/>
      <c r="H3504" s="207"/>
      <c r="J3504" s="76"/>
    </row>
    <row r="3505" spans="1:10">
      <c r="A3505" s="172"/>
      <c r="D3505" s="56"/>
      <c r="E3505" s="204"/>
      <c r="F3505" s="205"/>
      <c r="G3505" s="206"/>
      <c r="H3505" s="207"/>
      <c r="J3505" s="76"/>
    </row>
    <row r="3506" spans="1:10">
      <c r="A3506" s="172"/>
      <c r="D3506" s="56"/>
      <c r="E3506" s="204"/>
      <c r="F3506" s="205"/>
      <c r="G3506" s="206"/>
      <c r="H3506" s="207"/>
      <c r="J3506" s="76"/>
    </row>
    <row r="3507" spans="1:10">
      <c r="A3507" s="172"/>
      <c r="D3507" s="56"/>
      <c r="E3507" s="204"/>
      <c r="F3507" s="205"/>
      <c r="G3507" s="206"/>
      <c r="H3507" s="207"/>
      <c r="J3507" s="76"/>
    </row>
    <row r="3508" spans="1:10">
      <c r="A3508" s="172"/>
      <c r="D3508" s="56"/>
      <c r="E3508" s="204"/>
      <c r="F3508" s="205"/>
      <c r="G3508" s="206"/>
      <c r="H3508" s="207"/>
      <c r="J3508" s="76"/>
    </row>
    <row r="3509" spans="1:10">
      <c r="A3509" s="172"/>
      <c r="D3509" s="56"/>
      <c r="E3509" s="204"/>
      <c r="F3509" s="205"/>
      <c r="G3509" s="206"/>
      <c r="H3509" s="207"/>
      <c r="J3509" s="76"/>
    </row>
    <row r="3510" spans="1:10">
      <c r="A3510" s="172"/>
      <c r="D3510" s="56"/>
      <c r="E3510" s="204"/>
      <c r="F3510" s="205"/>
      <c r="G3510" s="206"/>
      <c r="H3510" s="207"/>
      <c r="J3510" s="76"/>
    </row>
    <row r="3511" spans="1:10">
      <c r="A3511" s="172"/>
      <c r="D3511" s="56"/>
      <c r="E3511" s="204"/>
      <c r="F3511" s="205"/>
      <c r="G3511" s="206"/>
      <c r="H3511" s="207"/>
      <c r="J3511" s="76"/>
    </row>
    <row r="3512" spans="1:10">
      <c r="A3512" s="172"/>
      <c r="D3512" s="56"/>
      <c r="E3512" s="204"/>
      <c r="F3512" s="205"/>
      <c r="G3512" s="206"/>
      <c r="H3512" s="207"/>
      <c r="J3512" s="76"/>
    </row>
    <row r="3513" spans="1:10">
      <c r="A3513" s="172"/>
      <c r="D3513" s="56"/>
      <c r="E3513" s="204"/>
      <c r="F3513" s="205"/>
      <c r="G3513" s="206"/>
      <c r="H3513" s="207"/>
      <c r="J3513" s="76"/>
    </row>
    <row r="3514" spans="1:10">
      <c r="A3514" s="172"/>
      <c r="D3514" s="56"/>
      <c r="E3514" s="204"/>
      <c r="F3514" s="205"/>
      <c r="G3514" s="206"/>
      <c r="H3514" s="207"/>
      <c r="J3514" s="76"/>
    </row>
    <row r="3515" spans="1:10">
      <c r="A3515" s="172"/>
      <c r="D3515" s="56"/>
      <c r="E3515" s="204"/>
      <c r="F3515" s="205"/>
      <c r="G3515" s="206"/>
      <c r="H3515" s="207"/>
      <c r="J3515" s="76"/>
    </row>
    <row r="3516" spans="1:10">
      <c r="A3516" s="172"/>
      <c r="D3516" s="56"/>
      <c r="E3516" s="204"/>
      <c r="F3516" s="205"/>
      <c r="G3516" s="206"/>
      <c r="H3516" s="207"/>
      <c r="J3516" s="76"/>
    </row>
    <row r="3517" spans="1:10">
      <c r="A3517" s="172"/>
      <c r="D3517" s="56"/>
      <c r="E3517" s="204"/>
      <c r="F3517" s="205"/>
      <c r="G3517" s="206"/>
      <c r="H3517" s="207"/>
      <c r="J3517" s="76"/>
    </row>
    <row r="3518" spans="1:10">
      <c r="A3518" s="172"/>
      <c r="D3518" s="56"/>
      <c r="E3518" s="204"/>
      <c r="F3518" s="205"/>
      <c r="G3518" s="206"/>
      <c r="H3518" s="207"/>
      <c r="J3518" s="76"/>
    </row>
    <row r="3519" spans="1:10">
      <c r="A3519" s="172"/>
      <c r="D3519" s="56"/>
      <c r="E3519" s="204"/>
      <c r="F3519" s="205"/>
      <c r="G3519" s="206"/>
      <c r="H3519" s="207"/>
      <c r="J3519" s="76"/>
    </row>
    <row r="3520" spans="1:10">
      <c r="A3520" s="172"/>
      <c r="D3520" s="56"/>
      <c r="E3520" s="204"/>
      <c r="F3520" s="205"/>
      <c r="G3520" s="206"/>
      <c r="H3520" s="207"/>
      <c r="J3520" s="76"/>
    </row>
    <row r="3521" spans="1:10">
      <c r="A3521" s="172"/>
      <c r="D3521" s="56"/>
      <c r="E3521" s="204"/>
      <c r="F3521" s="205"/>
      <c r="G3521" s="206"/>
      <c r="H3521" s="207"/>
      <c r="J3521" s="76"/>
    </row>
    <row r="3522" spans="1:10">
      <c r="A3522" s="172"/>
      <c r="D3522" s="56"/>
      <c r="E3522" s="204"/>
      <c r="F3522" s="205"/>
      <c r="G3522" s="206"/>
      <c r="H3522" s="207"/>
      <c r="J3522" s="76"/>
    </row>
    <row r="3523" spans="1:10">
      <c r="A3523" s="172"/>
      <c r="D3523" s="56"/>
      <c r="E3523" s="204"/>
      <c r="F3523" s="205"/>
      <c r="G3523" s="206"/>
      <c r="H3523" s="207"/>
      <c r="J3523" s="76"/>
    </row>
    <row r="3524" spans="1:10">
      <c r="A3524" s="172"/>
      <c r="D3524" s="56"/>
      <c r="E3524" s="204"/>
      <c r="F3524" s="205"/>
      <c r="G3524" s="206"/>
      <c r="H3524" s="207"/>
      <c r="J3524" s="76"/>
    </row>
    <row r="3525" spans="1:10">
      <c r="A3525" s="172"/>
      <c r="D3525" s="56"/>
      <c r="E3525" s="204"/>
      <c r="F3525" s="205"/>
      <c r="G3525" s="206"/>
      <c r="H3525" s="207"/>
      <c r="J3525" s="76"/>
    </row>
    <row r="3526" spans="1:10">
      <c r="A3526" s="172"/>
      <c r="D3526" s="56"/>
      <c r="E3526" s="204"/>
      <c r="F3526" s="205"/>
      <c r="G3526" s="206"/>
      <c r="H3526" s="207"/>
      <c r="J3526" s="76"/>
    </row>
    <row r="3527" spans="1:10">
      <c r="A3527" s="172"/>
      <c r="D3527" s="56"/>
      <c r="E3527" s="204"/>
      <c r="F3527" s="205"/>
      <c r="G3527" s="206"/>
      <c r="H3527" s="207"/>
      <c r="J3527" s="76"/>
    </row>
    <row r="3528" spans="1:10">
      <c r="A3528" s="172"/>
      <c r="D3528" s="56"/>
      <c r="E3528" s="204"/>
      <c r="F3528" s="205"/>
      <c r="G3528" s="206"/>
      <c r="H3528" s="207"/>
      <c r="J3528" s="76"/>
    </row>
    <row r="3529" spans="1:10">
      <c r="A3529" s="172"/>
      <c r="D3529" s="56"/>
      <c r="E3529" s="204"/>
      <c r="F3529" s="205"/>
      <c r="G3529" s="206"/>
      <c r="H3529" s="207"/>
      <c r="J3529" s="76"/>
    </row>
    <row r="3530" spans="1:10">
      <c r="A3530" s="172"/>
      <c r="D3530" s="56"/>
      <c r="E3530" s="204"/>
      <c r="F3530" s="205"/>
      <c r="G3530" s="206"/>
      <c r="H3530" s="207"/>
      <c r="J3530" s="76"/>
    </row>
    <row r="3531" spans="1:10">
      <c r="A3531" s="172"/>
      <c r="D3531" s="56"/>
      <c r="E3531" s="204"/>
      <c r="F3531" s="205"/>
      <c r="G3531" s="206"/>
      <c r="H3531" s="207"/>
      <c r="J3531" s="76"/>
    </row>
    <row r="3532" spans="1:10">
      <c r="A3532" s="172"/>
      <c r="D3532" s="56"/>
      <c r="E3532" s="204"/>
      <c r="F3532" s="205"/>
      <c r="G3532" s="206"/>
      <c r="H3532" s="207"/>
      <c r="J3532" s="76"/>
    </row>
    <row r="3533" spans="1:10">
      <c r="A3533" s="172"/>
      <c r="D3533" s="56"/>
      <c r="E3533" s="204"/>
      <c r="F3533" s="205"/>
      <c r="G3533" s="206"/>
      <c r="H3533" s="207"/>
      <c r="J3533" s="76"/>
    </row>
    <row r="3534" spans="1:10">
      <c r="A3534" s="172"/>
      <c r="D3534" s="56"/>
      <c r="E3534" s="204"/>
      <c r="F3534" s="205"/>
      <c r="G3534" s="206"/>
      <c r="H3534" s="207"/>
      <c r="J3534" s="76"/>
    </row>
    <row r="3535" spans="1:10">
      <c r="A3535" s="172"/>
      <c r="D3535" s="56"/>
      <c r="E3535" s="204"/>
      <c r="F3535" s="205"/>
      <c r="G3535" s="206"/>
      <c r="H3535" s="207"/>
      <c r="J3535" s="76"/>
    </row>
    <row r="3536" spans="1:10">
      <c r="A3536" s="172"/>
      <c r="D3536" s="56"/>
      <c r="E3536" s="204"/>
      <c r="F3536" s="205"/>
      <c r="G3536" s="206"/>
      <c r="H3536" s="207"/>
      <c r="J3536" s="76"/>
    </row>
    <row r="3537" spans="1:10">
      <c r="A3537" s="172"/>
      <c r="D3537" s="56"/>
      <c r="E3537" s="204"/>
      <c r="F3537" s="205"/>
      <c r="G3537" s="206"/>
      <c r="H3537" s="207"/>
      <c r="J3537" s="76"/>
    </row>
    <row r="3538" spans="1:10">
      <c r="A3538" s="172"/>
      <c r="D3538" s="56"/>
      <c r="E3538" s="204"/>
      <c r="F3538" s="205"/>
      <c r="G3538" s="206"/>
      <c r="H3538" s="207"/>
      <c r="J3538" s="76"/>
    </row>
    <row r="3539" spans="1:10">
      <c r="A3539" s="172"/>
      <c r="D3539" s="56"/>
      <c r="E3539" s="204"/>
      <c r="F3539" s="205"/>
      <c r="G3539" s="206"/>
      <c r="H3539" s="207"/>
      <c r="J3539" s="76"/>
    </row>
    <row r="3540" spans="1:10">
      <c r="A3540" s="172"/>
      <c r="D3540" s="56"/>
      <c r="E3540" s="204"/>
      <c r="F3540" s="205"/>
      <c r="G3540" s="206"/>
      <c r="H3540" s="207"/>
      <c r="J3540" s="76"/>
    </row>
    <row r="3541" spans="1:10">
      <c r="A3541" s="172"/>
      <c r="D3541" s="56"/>
      <c r="E3541" s="204"/>
      <c r="F3541" s="205"/>
      <c r="G3541" s="206"/>
      <c r="H3541" s="207"/>
      <c r="J3541" s="76"/>
    </row>
    <row r="3542" spans="1:10">
      <c r="A3542" s="172"/>
      <c r="D3542" s="56"/>
      <c r="E3542" s="204"/>
      <c r="F3542" s="205"/>
      <c r="G3542" s="206"/>
      <c r="H3542" s="207"/>
      <c r="J3542" s="76"/>
    </row>
    <row r="3543" spans="1:10">
      <c r="A3543" s="172"/>
      <c r="D3543" s="56"/>
      <c r="E3543" s="204"/>
      <c r="F3543" s="205"/>
      <c r="G3543" s="206"/>
      <c r="H3543" s="207"/>
      <c r="J3543" s="76"/>
    </row>
    <row r="3544" spans="1:10">
      <c r="A3544" s="172"/>
      <c r="D3544" s="56"/>
      <c r="E3544" s="204"/>
      <c r="F3544" s="205"/>
      <c r="G3544" s="206"/>
      <c r="H3544" s="207"/>
      <c r="J3544" s="76"/>
    </row>
    <row r="3545" spans="1:10">
      <c r="A3545" s="172"/>
      <c r="D3545" s="56"/>
      <c r="E3545" s="204"/>
      <c r="F3545" s="205"/>
      <c r="G3545" s="206"/>
      <c r="H3545" s="207"/>
      <c r="J3545" s="76"/>
    </row>
    <row r="3546" spans="1:10">
      <c r="A3546" s="172"/>
      <c r="D3546" s="56"/>
      <c r="E3546" s="204"/>
      <c r="F3546" s="205"/>
      <c r="G3546" s="206"/>
      <c r="H3546" s="207"/>
      <c r="J3546" s="76"/>
    </row>
    <row r="3547" spans="1:10">
      <c r="A3547" s="172"/>
      <c r="D3547" s="56"/>
      <c r="E3547" s="204"/>
      <c r="F3547" s="205"/>
      <c r="G3547" s="206"/>
      <c r="H3547" s="207"/>
      <c r="J3547" s="76"/>
    </row>
    <row r="3548" spans="1:10">
      <c r="A3548" s="172"/>
      <c r="D3548" s="56"/>
      <c r="E3548" s="204"/>
      <c r="F3548" s="205"/>
      <c r="G3548" s="206"/>
      <c r="H3548" s="207"/>
      <c r="J3548" s="76"/>
    </row>
    <row r="3549" spans="1:10">
      <c r="A3549" s="172"/>
      <c r="D3549" s="56"/>
      <c r="E3549" s="204"/>
      <c r="F3549" s="205"/>
      <c r="G3549" s="206"/>
      <c r="H3549" s="207"/>
      <c r="J3549" s="76"/>
    </row>
    <row r="3550" spans="1:10">
      <c r="A3550" s="172"/>
      <c r="D3550" s="56"/>
      <c r="E3550" s="204"/>
      <c r="F3550" s="205"/>
      <c r="G3550" s="206"/>
      <c r="H3550" s="207"/>
      <c r="J3550" s="76"/>
    </row>
    <row r="3551" spans="1:10">
      <c r="A3551" s="172"/>
      <c r="D3551" s="56"/>
      <c r="E3551" s="204"/>
      <c r="F3551" s="205"/>
      <c r="G3551" s="206"/>
      <c r="H3551" s="207"/>
      <c r="J3551" s="76"/>
    </row>
    <row r="3552" spans="1:10">
      <c r="A3552" s="172"/>
      <c r="D3552" s="56"/>
      <c r="E3552" s="204"/>
      <c r="F3552" s="205"/>
      <c r="G3552" s="206"/>
      <c r="H3552" s="207"/>
      <c r="J3552" s="76"/>
    </row>
    <row r="3553" spans="1:10">
      <c r="A3553" s="172"/>
      <c r="D3553" s="56"/>
      <c r="E3553" s="204"/>
      <c r="F3553" s="205"/>
      <c r="G3553" s="206"/>
      <c r="H3553" s="207"/>
      <c r="J3553" s="76"/>
    </row>
    <row r="3554" spans="1:10">
      <c r="A3554" s="172"/>
      <c r="D3554" s="56"/>
      <c r="E3554" s="204"/>
      <c r="F3554" s="205"/>
      <c r="G3554" s="206"/>
      <c r="H3554" s="207"/>
      <c r="J3554" s="76"/>
    </row>
    <row r="3555" spans="1:10">
      <c r="A3555" s="172"/>
      <c r="D3555" s="56"/>
      <c r="E3555" s="204"/>
      <c r="F3555" s="205"/>
      <c r="G3555" s="206"/>
      <c r="H3555" s="207"/>
      <c r="J3555" s="76"/>
    </row>
    <row r="3556" spans="1:10">
      <c r="A3556" s="172"/>
      <c r="D3556" s="56"/>
      <c r="E3556" s="204"/>
      <c r="F3556" s="205"/>
      <c r="G3556" s="206"/>
      <c r="H3556" s="207"/>
      <c r="J3556" s="76"/>
    </row>
    <row r="3557" spans="1:10">
      <c r="A3557" s="172"/>
      <c r="D3557" s="56"/>
      <c r="E3557" s="204"/>
      <c r="F3557" s="205"/>
      <c r="G3557" s="206"/>
      <c r="H3557" s="207"/>
      <c r="J3557" s="76"/>
    </row>
    <row r="3558" spans="1:10">
      <c r="A3558" s="172"/>
      <c r="D3558" s="56"/>
      <c r="E3558" s="204"/>
      <c r="F3558" s="205"/>
      <c r="G3558" s="206"/>
      <c r="H3558" s="207"/>
      <c r="J3558" s="76"/>
    </row>
    <row r="3559" spans="1:10">
      <c r="A3559" s="172"/>
      <c r="D3559" s="56"/>
      <c r="E3559" s="204"/>
      <c r="F3559" s="205"/>
      <c r="G3559" s="206"/>
      <c r="H3559" s="207"/>
      <c r="J3559" s="76"/>
    </row>
    <row r="3560" spans="1:10">
      <c r="A3560" s="172"/>
      <c r="D3560" s="56"/>
      <c r="E3560" s="204"/>
      <c r="F3560" s="205"/>
      <c r="G3560" s="206"/>
      <c r="H3560" s="207"/>
      <c r="J3560" s="76"/>
    </row>
    <row r="3561" spans="1:10">
      <c r="A3561" s="172"/>
      <c r="D3561" s="56"/>
      <c r="E3561" s="204"/>
      <c r="F3561" s="205"/>
      <c r="G3561" s="206"/>
      <c r="H3561" s="207"/>
      <c r="J3561" s="76"/>
    </row>
    <row r="3562" spans="1:10">
      <c r="A3562" s="172"/>
      <c r="D3562" s="56"/>
      <c r="E3562" s="204"/>
      <c r="F3562" s="205"/>
      <c r="G3562" s="206"/>
      <c r="H3562" s="207"/>
      <c r="J3562" s="76"/>
    </row>
    <row r="3563" spans="1:10">
      <c r="A3563" s="172"/>
      <c r="D3563" s="56"/>
      <c r="E3563" s="204"/>
      <c r="F3563" s="205"/>
      <c r="G3563" s="206"/>
      <c r="H3563" s="207"/>
      <c r="J3563" s="76"/>
    </row>
    <row r="3564" spans="1:10">
      <c r="A3564" s="172"/>
      <c r="D3564" s="56"/>
      <c r="E3564" s="204"/>
      <c r="F3564" s="205"/>
      <c r="G3564" s="206"/>
      <c r="H3564" s="207"/>
      <c r="J3564" s="76"/>
    </row>
    <row r="3565" spans="1:10">
      <c r="A3565" s="172"/>
      <c r="D3565" s="56"/>
      <c r="E3565" s="204"/>
      <c r="F3565" s="205"/>
      <c r="G3565" s="206"/>
      <c r="H3565" s="207"/>
      <c r="J3565" s="76"/>
    </row>
    <row r="3566" spans="1:10">
      <c r="A3566" s="172"/>
      <c r="D3566" s="56"/>
      <c r="E3566" s="204"/>
      <c r="F3566" s="205"/>
      <c r="G3566" s="206"/>
      <c r="H3566" s="207"/>
      <c r="J3566" s="76"/>
    </row>
    <row r="3567" spans="1:10">
      <c r="A3567" s="172"/>
      <c r="D3567" s="56"/>
      <c r="E3567" s="204"/>
      <c r="F3567" s="205"/>
      <c r="G3567" s="206"/>
      <c r="H3567" s="207"/>
      <c r="J3567" s="76"/>
    </row>
    <row r="3568" spans="1:10">
      <c r="A3568" s="172"/>
      <c r="D3568" s="56"/>
      <c r="E3568" s="204"/>
      <c r="F3568" s="205"/>
      <c r="G3568" s="206"/>
      <c r="H3568" s="207"/>
      <c r="J3568" s="76"/>
    </row>
    <row r="3569" spans="1:10">
      <c r="A3569" s="172"/>
      <c r="D3569" s="56"/>
      <c r="E3569" s="204"/>
      <c r="F3569" s="205"/>
      <c r="G3569" s="206"/>
      <c r="H3569" s="207"/>
      <c r="J3569" s="76"/>
    </row>
    <row r="3570" spans="1:10">
      <c r="A3570" s="172"/>
      <c r="D3570" s="56"/>
      <c r="E3570" s="204"/>
      <c r="F3570" s="205"/>
      <c r="G3570" s="206"/>
      <c r="H3570" s="207"/>
      <c r="J3570" s="76"/>
    </row>
    <row r="3571" spans="1:10">
      <c r="A3571" s="172"/>
      <c r="D3571" s="56"/>
      <c r="E3571" s="204"/>
      <c r="F3571" s="205"/>
      <c r="G3571" s="206"/>
      <c r="H3571" s="207"/>
      <c r="J3571" s="76"/>
    </row>
    <row r="3572" spans="1:10">
      <c r="A3572" s="172"/>
      <c r="D3572" s="56"/>
      <c r="E3572" s="204"/>
      <c r="F3572" s="205"/>
      <c r="G3572" s="206"/>
      <c r="H3572" s="207"/>
      <c r="J3572" s="76"/>
    </row>
    <row r="3573" spans="1:10">
      <c r="A3573" s="172"/>
      <c r="D3573" s="56"/>
      <c r="E3573" s="204"/>
      <c r="F3573" s="205"/>
      <c r="G3573" s="206"/>
      <c r="H3573" s="207"/>
      <c r="J3573" s="76"/>
    </row>
    <row r="3574" spans="1:10">
      <c r="A3574" s="172"/>
      <c r="D3574" s="56"/>
      <c r="E3574" s="204"/>
      <c r="F3574" s="205"/>
      <c r="G3574" s="206"/>
      <c r="H3574" s="207"/>
      <c r="J3574" s="76"/>
    </row>
    <row r="3575" spans="1:10">
      <c r="A3575" s="172"/>
      <c r="D3575" s="56"/>
      <c r="E3575" s="204"/>
      <c r="F3575" s="205"/>
      <c r="G3575" s="206"/>
      <c r="H3575" s="207"/>
      <c r="J3575" s="76"/>
    </row>
    <row r="3576" spans="1:10">
      <c r="A3576" s="172"/>
      <c r="D3576" s="56"/>
      <c r="E3576" s="204"/>
      <c r="F3576" s="205"/>
      <c r="G3576" s="206"/>
      <c r="H3576" s="207"/>
      <c r="J3576" s="76"/>
    </row>
    <row r="3577" spans="1:10">
      <c r="A3577" s="172"/>
      <c r="D3577" s="56"/>
      <c r="E3577" s="204"/>
      <c r="F3577" s="205"/>
      <c r="G3577" s="206"/>
      <c r="H3577" s="207"/>
      <c r="J3577" s="76"/>
    </row>
    <row r="3578" spans="1:10">
      <c r="A3578" s="172"/>
      <c r="D3578" s="56"/>
      <c r="E3578" s="204"/>
      <c r="F3578" s="205"/>
      <c r="G3578" s="206"/>
      <c r="H3578" s="207"/>
      <c r="J3578" s="76"/>
    </row>
    <row r="3579" spans="1:10">
      <c r="A3579" s="172"/>
      <c r="D3579" s="56"/>
      <c r="E3579" s="204"/>
      <c r="F3579" s="205"/>
      <c r="G3579" s="206"/>
      <c r="H3579" s="207"/>
      <c r="J3579" s="76"/>
    </row>
    <row r="3580" spans="1:10">
      <c r="A3580" s="172"/>
      <c r="D3580" s="56"/>
      <c r="E3580" s="204"/>
      <c r="F3580" s="205"/>
      <c r="G3580" s="206"/>
      <c r="H3580" s="207"/>
      <c r="J3580" s="76"/>
    </row>
    <row r="3581" spans="1:10">
      <c r="A3581" s="172"/>
      <c r="D3581" s="56"/>
      <c r="E3581" s="204"/>
      <c r="F3581" s="205"/>
      <c r="G3581" s="206"/>
      <c r="H3581" s="207"/>
      <c r="J3581" s="76"/>
    </row>
    <row r="3582" spans="1:10">
      <c r="A3582" s="172"/>
      <c r="D3582" s="56"/>
      <c r="E3582" s="204"/>
      <c r="F3582" s="205"/>
      <c r="G3582" s="206"/>
      <c r="H3582" s="207"/>
      <c r="J3582" s="76"/>
    </row>
    <row r="3583" spans="1:10">
      <c r="A3583" s="172"/>
      <c r="D3583" s="56"/>
      <c r="E3583" s="204"/>
      <c r="F3583" s="205"/>
      <c r="G3583" s="206"/>
      <c r="H3583" s="207"/>
      <c r="J3583" s="76"/>
    </row>
    <row r="3584" spans="1:10">
      <c r="A3584" s="172"/>
      <c r="D3584" s="56"/>
      <c r="E3584" s="204"/>
      <c r="F3584" s="205"/>
      <c r="G3584" s="206"/>
      <c r="H3584" s="207"/>
      <c r="J3584" s="76"/>
    </row>
    <row r="3585" spans="1:10">
      <c r="A3585" s="172"/>
      <c r="D3585" s="56"/>
      <c r="E3585" s="204"/>
      <c r="F3585" s="205"/>
      <c r="G3585" s="206"/>
      <c r="H3585" s="207"/>
      <c r="J3585" s="76"/>
    </row>
    <row r="3586" spans="1:10">
      <c r="A3586" s="172"/>
      <c r="D3586" s="56"/>
      <c r="E3586" s="204"/>
      <c r="F3586" s="205"/>
      <c r="G3586" s="206"/>
      <c r="H3586" s="207"/>
      <c r="J3586" s="76"/>
    </row>
    <row r="3587" spans="1:10">
      <c r="A3587" s="172"/>
      <c r="D3587" s="56"/>
      <c r="E3587" s="204"/>
      <c r="F3587" s="205"/>
      <c r="G3587" s="206"/>
      <c r="H3587" s="207"/>
      <c r="J3587" s="76"/>
    </row>
    <row r="3588" spans="1:10">
      <c r="A3588" s="172"/>
      <c r="D3588" s="56"/>
      <c r="E3588" s="204"/>
      <c r="F3588" s="205"/>
      <c r="G3588" s="206"/>
      <c r="H3588" s="207"/>
      <c r="J3588" s="76"/>
    </row>
    <row r="3589" spans="1:10">
      <c r="A3589" s="172"/>
      <c r="D3589" s="56"/>
      <c r="E3589" s="204"/>
      <c r="F3589" s="205"/>
      <c r="G3589" s="206"/>
      <c r="H3589" s="207"/>
      <c r="J3589" s="76"/>
    </row>
    <row r="3590" spans="1:10">
      <c r="A3590" s="172"/>
      <c r="D3590" s="56"/>
      <c r="E3590" s="204"/>
      <c r="F3590" s="205"/>
      <c r="G3590" s="206"/>
      <c r="H3590" s="207"/>
      <c r="J3590" s="76"/>
    </row>
    <row r="3591" spans="1:10">
      <c r="A3591" s="172"/>
      <c r="D3591" s="56"/>
      <c r="E3591" s="204"/>
      <c r="F3591" s="205"/>
      <c r="G3591" s="206"/>
      <c r="H3591" s="207"/>
      <c r="J3591" s="76"/>
    </row>
    <row r="3592" spans="1:10">
      <c r="A3592" s="172"/>
      <c r="D3592" s="56"/>
      <c r="E3592" s="204"/>
      <c r="F3592" s="205"/>
      <c r="G3592" s="206"/>
      <c r="H3592" s="207"/>
      <c r="J3592" s="76"/>
    </row>
    <row r="3593" spans="1:10">
      <c r="A3593" s="172"/>
      <c r="D3593" s="56"/>
      <c r="E3593" s="204"/>
      <c r="F3593" s="205"/>
      <c r="G3593" s="206"/>
      <c r="H3593" s="207"/>
      <c r="J3593" s="76"/>
    </row>
    <row r="3594" spans="1:10">
      <c r="A3594" s="172"/>
      <c r="D3594" s="56"/>
      <c r="E3594" s="204"/>
      <c r="F3594" s="205"/>
      <c r="G3594" s="206"/>
      <c r="H3594" s="207"/>
      <c r="J3594" s="76"/>
    </row>
    <row r="3595" spans="1:10">
      <c r="A3595" s="172"/>
      <c r="D3595" s="56"/>
      <c r="E3595" s="204"/>
      <c r="F3595" s="205"/>
      <c r="G3595" s="206"/>
      <c r="H3595" s="207"/>
      <c r="J3595" s="76"/>
    </row>
    <row r="3596" spans="1:10">
      <c r="A3596" s="172"/>
      <c r="D3596" s="56"/>
      <c r="E3596" s="204"/>
      <c r="F3596" s="205"/>
      <c r="G3596" s="206"/>
      <c r="H3596" s="207"/>
      <c r="J3596" s="76"/>
    </row>
    <row r="3597" spans="1:10">
      <c r="A3597" s="172"/>
      <c r="D3597" s="56"/>
      <c r="E3597" s="204"/>
      <c r="F3597" s="205"/>
      <c r="G3597" s="206"/>
      <c r="H3597" s="207"/>
      <c r="J3597" s="76"/>
    </row>
    <row r="3598" spans="1:10">
      <c r="A3598" s="172"/>
      <c r="D3598" s="56"/>
      <c r="E3598" s="204"/>
      <c r="F3598" s="205"/>
      <c r="G3598" s="206"/>
      <c r="H3598" s="207"/>
      <c r="J3598" s="76"/>
    </row>
    <row r="3599" spans="1:10">
      <c r="A3599" s="172"/>
      <c r="D3599" s="56"/>
      <c r="E3599" s="204"/>
      <c r="F3599" s="205"/>
      <c r="G3599" s="206"/>
      <c r="H3599" s="207"/>
      <c r="J3599" s="76"/>
    </row>
    <row r="3600" spans="1:10">
      <c r="A3600" s="172"/>
      <c r="D3600" s="56"/>
      <c r="E3600" s="204"/>
      <c r="F3600" s="205"/>
      <c r="G3600" s="206"/>
      <c r="H3600" s="207"/>
      <c r="J3600" s="76"/>
    </row>
    <row r="3601" spans="1:10">
      <c r="A3601" s="172"/>
      <c r="D3601" s="56"/>
      <c r="E3601" s="204"/>
      <c r="F3601" s="205"/>
      <c r="G3601" s="206"/>
      <c r="H3601" s="207"/>
      <c r="J3601" s="76"/>
    </row>
    <row r="3602" spans="1:10">
      <c r="A3602" s="172"/>
      <c r="D3602" s="56"/>
      <c r="E3602" s="204"/>
      <c r="F3602" s="205"/>
      <c r="G3602" s="206"/>
      <c r="H3602" s="207"/>
      <c r="J3602" s="76"/>
    </row>
    <row r="3603" spans="1:10">
      <c r="A3603" s="172"/>
      <c r="D3603" s="56"/>
      <c r="E3603" s="204"/>
      <c r="F3603" s="205"/>
      <c r="G3603" s="206"/>
      <c r="H3603" s="207"/>
      <c r="J3603" s="76"/>
    </row>
    <row r="3604" spans="1:10">
      <c r="A3604" s="172"/>
      <c r="D3604" s="56"/>
      <c r="E3604" s="204"/>
      <c r="F3604" s="205"/>
      <c r="G3604" s="206"/>
      <c r="H3604" s="207"/>
      <c r="J3604" s="76"/>
    </row>
    <row r="3605" spans="1:10">
      <c r="A3605" s="172"/>
      <c r="D3605" s="56"/>
      <c r="E3605" s="204"/>
      <c r="F3605" s="205"/>
      <c r="G3605" s="206"/>
      <c r="H3605" s="207"/>
      <c r="J3605" s="76"/>
    </row>
    <row r="3606" spans="1:10">
      <c r="A3606" s="172"/>
      <c r="D3606" s="56"/>
      <c r="E3606" s="204"/>
      <c r="F3606" s="205"/>
      <c r="G3606" s="206"/>
      <c r="H3606" s="207"/>
      <c r="J3606" s="76"/>
    </row>
    <row r="3607" spans="1:10">
      <c r="A3607" s="172"/>
      <c r="D3607" s="56"/>
      <c r="E3607" s="204"/>
      <c r="F3607" s="205"/>
      <c r="G3607" s="206"/>
      <c r="H3607" s="207"/>
      <c r="J3607" s="76"/>
    </row>
    <row r="3608" spans="1:10">
      <c r="A3608" s="172"/>
      <c r="D3608" s="56"/>
      <c r="E3608" s="204"/>
      <c r="F3608" s="205"/>
      <c r="G3608" s="206"/>
      <c r="H3608" s="207"/>
      <c r="J3608" s="76"/>
    </row>
    <row r="3609" spans="1:10">
      <c r="A3609" s="172"/>
      <c r="D3609" s="56"/>
      <c r="E3609" s="204"/>
      <c r="F3609" s="205"/>
      <c r="G3609" s="206"/>
      <c r="H3609" s="207"/>
      <c r="J3609" s="76"/>
    </row>
    <row r="3610" spans="1:10">
      <c r="A3610" s="172"/>
      <c r="D3610" s="56"/>
      <c r="E3610" s="204"/>
      <c r="F3610" s="205"/>
      <c r="G3610" s="206"/>
      <c r="H3610" s="207"/>
      <c r="J3610" s="76"/>
    </row>
    <row r="3611" spans="1:10">
      <c r="A3611" s="172"/>
      <c r="D3611" s="56"/>
      <c r="E3611" s="204"/>
      <c r="F3611" s="205"/>
      <c r="G3611" s="206"/>
      <c r="H3611" s="207"/>
      <c r="J3611" s="76"/>
    </row>
    <row r="3612" spans="1:10">
      <c r="A3612" s="172"/>
      <c r="D3612" s="56"/>
      <c r="E3612" s="204"/>
      <c r="F3612" s="205"/>
      <c r="G3612" s="206"/>
      <c r="H3612" s="207"/>
      <c r="J3612" s="76"/>
    </row>
    <row r="3613" spans="1:10">
      <c r="A3613" s="172"/>
      <c r="D3613" s="56"/>
      <c r="E3613" s="204"/>
      <c r="F3613" s="205"/>
      <c r="G3613" s="206"/>
      <c r="H3613" s="207"/>
      <c r="J3613" s="76"/>
    </row>
    <row r="3614" spans="1:10">
      <c r="A3614" s="172"/>
      <c r="D3614" s="56"/>
      <c r="E3614" s="204"/>
      <c r="F3614" s="205"/>
      <c r="G3614" s="206"/>
      <c r="H3614" s="207"/>
      <c r="J3614" s="76"/>
    </row>
    <row r="3615" spans="1:10">
      <c r="A3615" s="172"/>
      <c r="D3615" s="56"/>
      <c r="E3615" s="204"/>
      <c r="F3615" s="205"/>
      <c r="G3615" s="206"/>
      <c r="H3615" s="207"/>
      <c r="J3615" s="76"/>
    </row>
    <row r="3616" spans="1:10">
      <c r="A3616" s="172"/>
      <c r="D3616" s="56"/>
      <c r="E3616" s="204"/>
      <c r="F3616" s="205"/>
      <c r="G3616" s="206"/>
      <c r="H3616" s="207"/>
      <c r="J3616" s="76"/>
    </row>
    <row r="3617" spans="1:10">
      <c r="A3617" s="172"/>
      <c r="D3617" s="56"/>
      <c r="E3617" s="204"/>
      <c r="F3617" s="205"/>
      <c r="G3617" s="206"/>
      <c r="H3617" s="207"/>
      <c r="J3617" s="76"/>
    </row>
    <row r="3618" spans="1:10">
      <c r="A3618" s="172"/>
      <c r="D3618" s="56"/>
      <c r="E3618" s="204"/>
      <c r="F3618" s="205"/>
      <c r="G3618" s="206"/>
      <c r="H3618" s="207"/>
      <c r="J3618" s="76"/>
    </row>
    <row r="3619" spans="1:10">
      <c r="A3619" s="172"/>
      <c r="D3619" s="56"/>
      <c r="E3619" s="204"/>
      <c r="F3619" s="205"/>
      <c r="G3619" s="206"/>
      <c r="H3619" s="207"/>
      <c r="J3619" s="76"/>
    </row>
    <row r="3620" spans="1:10">
      <c r="A3620" s="172"/>
      <c r="D3620" s="56"/>
      <c r="E3620" s="204"/>
      <c r="F3620" s="205"/>
      <c r="G3620" s="206"/>
      <c r="H3620" s="207"/>
      <c r="J3620" s="76"/>
    </row>
    <row r="3621" spans="1:10">
      <c r="A3621" s="172"/>
      <c r="D3621" s="56"/>
      <c r="E3621" s="204"/>
      <c r="F3621" s="205"/>
      <c r="G3621" s="206"/>
      <c r="H3621" s="207"/>
      <c r="J3621" s="76"/>
    </row>
    <row r="3622" spans="1:10">
      <c r="A3622" s="172"/>
      <c r="D3622" s="56"/>
      <c r="E3622" s="204"/>
      <c r="F3622" s="205"/>
      <c r="G3622" s="206"/>
      <c r="H3622" s="207"/>
      <c r="J3622" s="76"/>
    </row>
    <row r="3623" spans="1:10">
      <c r="A3623" s="172"/>
      <c r="D3623" s="56"/>
      <c r="E3623" s="204"/>
      <c r="F3623" s="205"/>
      <c r="G3623" s="206"/>
      <c r="H3623" s="207"/>
      <c r="J3623" s="76"/>
    </row>
    <row r="3624" spans="1:10">
      <c r="A3624" s="172"/>
      <c r="D3624" s="56"/>
      <c r="E3624" s="204"/>
      <c r="F3624" s="205"/>
      <c r="G3624" s="206"/>
      <c r="H3624" s="207"/>
      <c r="J3624" s="76"/>
    </row>
    <row r="3625" spans="1:10">
      <c r="A3625" s="172"/>
      <c r="D3625" s="56"/>
      <c r="E3625" s="204"/>
      <c r="F3625" s="205"/>
      <c r="G3625" s="206"/>
      <c r="H3625" s="207"/>
      <c r="J3625" s="76"/>
    </row>
    <row r="3626" spans="1:10">
      <c r="A3626" s="172"/>
      <c r="D3626" s="56"/>
      <c r="E3626" s="204"/>
      <c r="F3626" s="205"/>
      <c r="G3626" s="206"/>
      <c r="H3626" s="207"/>
      <c r="J3626" s="76"/>
    </row>
    <row r="3627" spans="1:10">
      <c r="A3627" s="172"/>
      <c r="D3627" s="56"/>
      <c r="E3627" s="204"/>
      <c r="F3627" s="205"/>
      <c r="G3627" s="206"/>
      <c r="H3627" s="207"/>
      <c r="J3627" s="76"/>
    </row>
    <row r="3628" spans="1:10">
      <c r="A3628" s="172"/>
      <c r="D3628" s="56"/>
      <c r="E3628" s="204"/>
      <c r="F3628" s="205"/>
      <c r="G3628" s="206"/>
      <c r="H3628" s="207"/>
      <c r="J3628" s="76"/>
    </row>
    <row r="3629" spans="1:10">
      <c r="A3629" s="172"/>
      <c r="D3629" s="56"/>
      <c r="E3629" s="204"/>
      <c r="F3629" s="205"/>
      <c r="G3629" s="206"/>
      <c r="H3629" s="207"/>
      <c r="J3629" s="76"/>
    </row>
    <row r="3630" spans="1:10">
      <c r="A3630" s="172"/>
      <c r="D3630" s="56"/>
      <c r="E3630" s="204"/>
      <c r="F3630" s="205"/>
      <c r="G3630" s="206"/>
      <c r="H3630" s="207"/>
      <c r="J3630" s="76"/>
    </row>
    <row r="3631" spans="1:10">
      <c r="A3631" s="172"/>
      <c r="D3631" s="56"/>
      <c r="E3631" s="204"/>
      <c r="F3631" s="205"/>
      <c r="G3631" s="206"/>
      <c r="H3631" s="207"/>
      <c r="J3631" s="76"/>
    </row>
    <row r="3632" spans="1:10">
      <c r="A3632" s="172"/>
      <c r="D3632" s="56"/>
      <c r="E3632" s="204"/>
      <c r="F3632" s="205"/>
      <c r="G3632" s="206"/>
      <c r="H3632" s="207"/>
      <c r="J3632" s="76"/>
    </row>
    <row r="3633" spans="1:10">
      <c r="A3633" s="172"/>
      <c r="D3633" s="56"/>
      <c r="E3633" s="204"/>
      <c r="F3633" s="205"/>
      <c r="G3633" s="206"/>
      <c r="H3633" s="207"/>
      <c r="J3633" s="76"/>
    </row>
    <row r="3634" spans="1:10">
      <c r="A3634" s="172"/>
      <c r="D3634" s="56"/>
      <c r="E3634" s="204"/>
      <c r="F3634" s="205"/>
      <c r="G3634" s="206"/>
      <c r="H3634" s="207"/>
      <c r="J3634" s="76"/>
    </row>
    <row r="3635" spans="1:10">
      <c r="A3635" s="172"/>
      <c r="D3635" s="56"/>
      <c r="E3635" s="204"/>
      <c r="F3635" s="205"/>
      <c r="G3635" s="206"/>
      <c r="H3635" s="207"/>
      <c r="J3635" s="76"/>
    </row>
    <row r="3636" spans="1:10">
      <c r="A3636" s="172"/>
      <c r="D3636" s="56"/>
      <c r="E3636" s="204"/>
      <c r="F3636" s="205"/>
      <c r="G3636" s="206"/>
      <c r="H3636" s="207"/>
      <c r="J3636" s="76"/>
    </row>
    <row r="3637" spans="1:10">
      <c r="A3637" s="172"/>
      <c r="D3637" s="56"/>
      <c r="E3637" s="204"/>
      <c r="F3637" s="205"/>
      <c r="G3637" s="206"/>
      <c r="H3637" s="207"/>
      <c r="J3637" s="76"/>
    </row>
    <row r="3638" spans="1:10">
      <c r="A3638" s="172"/>
      <c r="D3638" s="56"/>
      <c r="E3638" s="204"/>
      <c r="F3638" s="205"/>
      <c r="G3638" s="206"/>
      <c r="H3638" s="207"/>
      <c r="J3638" s="76"/>
    </row>
    <row r="3639" spans="1:10">
      <c r="A3639" s="172"/>
      <c r="D3639" s="56"/>
      <c r="E3639" s="204"/>
      <c r="F3639" s="205"/>
      <c r="G3639" s="206"/>
      <c r="H3639" s="207"/>
      <c r="J3639" s="76"/>
    </row>
    <row r="3640" spans="1:10">
      <c r="A3640" s="172"/>
      <c r="D3640" s="56"/>
      <c r="E3640" s="204"/>
      <c r="F3640" s="205"/>
      <c r="G3640" s="206"/>
      <c r="H3640" s="207"/>
      <c r="J3640" s="76"/>
    </row>
    <row r="3641" spans="1:10">
      <c r="A3641" s="172"/>
      <c r="D3641" s="56"/>
      <c r="E3641" s="204"/>
      <c r="F3641" s="205"/>
      <c r="G3641" s="206"/>
      <c r="H3641" s="207"/>
      <c r="J3641" s="76"/>
    </row>
    <row r="3642" spans="1:10">
      <c r="A3642" s="172"/>
      <c r="D3642" s="56"/>
      <c r="E3642" s="204"/>
      <c r="F3642" s="205"/>
      <c r="G3642" s="206"/>
      <c r="H3642" s="207"/>
      <c r="J3642" s="76"/>
    </row>
    <row r="3643" spans="1:10">
      <c r="A3643" s="172"/>
      <c r="D3643" s="56"/>
      <c r="E3643" s="204"/>
      <c r="F3643" s="205"/>
      <c r="G3643" s="206"/>
      <c r="H3643" s="207"/>
      <c r="J3643" s="76"/>
    </row>
    <row r="3644" spans="1:10">
      <c r="A3644" s="172"/>
      <c r="D3644" s="56"/>
      <c r="E3644" s="204"/>
      <c r="F3644" s="205"/>
      <c r="G3644" s="206"/>
      <c r="H3644" s="207"/>
      <c r="J3644" s="76"/>
    </row>
    <row r="3645" spans="1:10">
      <c r="A3645" s="172"/>
      <c r="D3645" s="56"/>
      <c r="E3645" s="204"/>
      <c r="F3645" s="205"/>
      <c r="G3645" s="206"/>
      <c r="H3645" s="207"/>
      <c r="J3645" s="76"/>
    </row>
    <row r="3646" spans="1:10">
      <c r="A3646" s="172"/>
      <c r="D3646" s="56"/>
      <c r="E3646" s="204"/>
      <c r="F3646" s="205"/>
      <c r="G3646" s="206"/>
      <c r="H3646" s="207"/>
      <c r="J3646" s="76"/>
    </row>
    <row r="3647" spans="1:10">
      <c r="A3647" s="172"/>
      <c r="D3647" s="56"/>
      <c r="E3647" s="204"/>
      <c r="F3647" s="205"/>
      <c r="G3647" s="206"/>
      <c r="H3647" s="207"/>
      <c r="J3647" s="76"/>
    </row>
    <row r="3648" spans="1:10">
      <c r="A3648" s="172"/>
      <c r="D3648" s="56"/>
      <c r="E3648" s="204"/>
      <c r="F3648" s="205"/>
      <c r="G3648" s="206"/>
      <c r="H3648" s="207"/>
      <c r="J3648" s="76"/>
    </row>
    <row r="3649" spans="1:10">
      <c r="A3649" s="172"/>
      <c r="D3649" s="56"/>
      <c r="E3649" s="204"/>
      <c r="F3649" s="205"/>
      <c r="G3649" s="206"/>
      <c r="H3649" s="207"/>
      <c r="J3649" s="76"/>
    </row>
    <row r="3650" spans="1:10">
      <c r="A3650" s="172"/>
      <c r="D3650" s="56"/>
      <c r="E3650" s="204"/>
      <c r="F3650" s="205"/>
      <c r="G3650" s="206"/>
      <c r="H3650" s="207"/>
      <c r="J3650" s="76"/>
    </row>
    <row r="3651" spans="1:10">
      <c r="A3651" s="172"/>
      <c r="D3651" s="56"/>
      <c r="E3651" s="204"/>
      <c r="F3651" s="205"/>
      <c r="G3651" s="206"/>
      <c r="H3651" s="207"/>
      <c r="J3651" s="76"/>
    </row>
    <row r="3652" spans="1:10">
      <c r="A3652" s="172"/>
      <c r="D3652" s="56"/>
      <c r="E3652" s="204"/>
      <c r="F3652" s="205"/>
      <c r="G3652" s="206"/>
      <c r="H3652" s="207"/>
      <c r="J3652" s="76"/>
    </row>
    <row r="3653" spans="1:10">
      <c r="A3653" s="172"/>
      <c r="D3653" s="56"/>
      <c r="E3653" s="204"/>
      <c r="F3653" s="205"/>
      <c r="G3653" s="206"/>
      <c r="H3653" s="207"/>
      <c r="J3653" s="76"/>
    </row>
    <row r="3654" spans="1:10">
      <c r="A3654" s="172"/>
      <c r="D3654" s="56"/>
      <c r="E3654" s="204"/>
      <c r="F3654" s="205"/>
      <c r="G3654" s="206"/>
      <c r="H3654" s="207"/>
      <c r="J3654" s="76"/>
    </row>
    <row r="3655" spans="1:10">
      <c r="A3655" s="172"/>
      <c r="D3655" s="56"/>
      <c r="E3655" s="204"/>
      <c r="F3655" s="205"/>
      <c r="G3655" s="206"/>
      <c r="H3655" s="207"/>
      <c r="J3655" s="76"/>
    </row>
    <row r="3656" spans="1:10">
      <c r="A3656" s="172"/>
      <c r="D3656" s="56"/>
      <c r="E3656" s="204"/>
      <c r="F3656" s="205"/>
      <c r="G3656" s="206"/>
      <c r="H3656" s="207"/>
      <c r="J3656" s="76"/>
    </row>
    <row r="3657" spans="1:10">
      <c r="A3657" s="172"/>
      <c r="D3657" s="56"/>
      <c r="E3657" s="204"/>
      <c r="F3657" s="205"/>
      <c r="G3657" s="206"/>
      <c r="H3657" s="207"/>
      <c r="J3657" s="76"/>
    </row>
    <row r="3658" spans="1:10">
      <c r="A3658" s="172"/>
      <c r="D3658" s="56"/>
      <c r="E3658" s="204"/>
      <c r="F3658" s="205"/>
      <c r="G3658" s="206"/>
      <c r="H3658" s="207"/>
      <c r="J3658" s="76"/>
    </row>
    <row r="3659" spans="1:10">
      <c r="A3659" s="172"/>
      <c r="D3659" s="56"/>
      <c r="E3659" s="204"/>
      <c r="F3659" s="205"/>
      <c r="G3659" s="206"/>
      <c r="H3659" s="207"/>
      <c r="J3659" s="76"/>
    </row>
    <row r="3660" spans="1:10">
      <c r="A3660" s="172"/>
      <c r="D3660" s="56"/>
      <c r="E3660" s="204"/>
      <c r="F3660" s="205"/>
      <c r="G3660" s="206"/>
      <c r="H3660" s="207"/>
      <c r="J3660" s="76"/>
    </row>
    <row r="3661" spans="1:10">
      <c r="A3661" s="172"/>
      <c r="D3661" s="56"/>
      <c r="E3661" s="204"/>
      <c r="F3661" s="205"/>
      <c r="G3661" s="206"/>
      <c r="H3661" s="207"/>
      <c r="J3661" s="76"/>
    </row>
    <row r="3662" spans="1:10">
      <c r="A3662" s="172"/>
      <c r="D3662" s="56"/>
      <c r="E3662" s="204"/>
      <c r="F3662" s="205"/>
      <c r="G3662" s="206"/>
      <c r="H3662" s="207"/>
      <c r="J3662" s="76"/>
    </row>
    <row r="3663" spans="1:10">
      <c r="A3663" s="172"/>
      <c r="D3663" s="56"/>
      <c r="E3663" s="204"/>
      <c r="F3663" s="205"/>
      <c r="G3663" s="206"/>
      <c r="H3663" s="207"/>
      <c r="J3663" s="76"/>
    </row>
    <row r="3664" spans="1:10">
      <c r="A3664" s="172"/>
      <c r="D3664" s="56"/>
      <c r="E3664" s="204"/>
      <c r="F3664" s="205"/>
      <c r="G3664" s="206"/>
      <c r="H3664" s="207"/>
      <c r="J3664" s="76"/>
    </row>
    <row r="3665" spans="1:10">
      <c r="A3665" s="172"/>
      <c r="D3665" s="56"/>
      <c r="E3665" s="204"/>
      <c r="F3665" s="205"/>
      <c r="G3665" s="206"/>
      <c r="H3665" s="207"/>
      <c r="J3665" s="76"/>
    </row>
    <row r="3666" spans="1:10">
      <c r="A3666" s="172"/>
      <c r="D3666" s="56"/>
      <c r="E3666" s="204"/>
      <c r="F3666" s="205"/>
      <c r="G3666" s="206"/>
      <c r="H3666" s="207"/>
      <c r="J3666" s="76"/>
    </row>
    <row r="3667" spans="1:10">
      <c r="A3667" s="172"/>
      <c r="D3667" s="56"/>
      <c r="E3667" s="204"/>
      <c r="F3667" s="205"/>
      <c r="G3667" s="206"/>
      <c r="H3667" s="207"/>
      <c r="J3667" s="76"/>
    </row>
    <row r="3668" spans="1:10">
      <c r="A3668" s="172"/>
      <c r="D3668" s="56"/>
      <c r="E3668" s="204"/>
      <c r="F3668" s="205"/>
      <c r="G3668" s="206"/>
      <c r="H3668" s="207"/>
      <c r="J3668" s="76"/>
    </row>
    <row r="3669" spans="1:10">
      <c r="A3669" s="172"/>
      <c r="D3669" s="56"/>
      <c r="E3669" s="204"/>
      <c r="F3669" s="205"/>
      <c r="G3669" s="206"/>
      <c r="H3669" s="207"/>
      <c r="J3669" s="76"/>
    </row>
    <row r="3670" spans="1:10">
      <c r="A3670" s="172"/>
      <c r="D3670" s="56"/>
      <c r="E3670" s="204"/>
      <c r="F3670" s="205"/>
      <c r="G3670" s="206"/>
      <c r="H3670" s="207"/>
      <c r="J3670" s="76"/>
    </row>
    <row r="3671" spans="1:10">
      <c r="A3671" s="172"/>
      <c r="D3671" s="56"/>
      <c r="E3671" s="204"/>
      <c r="F3671" s="205"/>
      <c r="G3671" s="206"/>
      <c r="H3671" s="207"/>
      <c r="J3671" s="76"/>
    </row>
    <row r="3672" spans="1:10">
      <c r="A3672" s="172"/>
      <c r="D3672" s="56"/>
      <c r="E3672" s="204"/>
      <c r="F3672" s="205"/>
      <c r="G3672" s="206"/>
      <c r="H3672" s="207"/>
      <c r="J3672" s="76"/>
    </row>
    <row r="3673" spans="1:10">
      <c r="A3673" s="172"/>
      <c r="D3673" s="56"/>
      <c r="E3673" s="204"/>
      <c r="F3673" s="205"/>
      <c r="G3673" s="206"/>
      <c r="H3673" s="207"/>
      <c r="J3673" s="76"/>
    </row>
    <row r="3674" spans="1:10">
      <c r="A3674" s="172"/>
      <c r="D3674" s="56"/>
      <c r="E3674" s="204"/>
      <c r="F3674" s="205"/>
      <c r="G3674" s="206"/>
      <c r="H3674" s="207"/>
      <c r="J3674" s="76"/>
    </row>
    <row r="3675" spans="1:10">
      <c r="A3675" s="172"/>
      <c r="D3675" s="56"/>
      <c r="E3675" s="204"/>
      <c r="F3675" s="205"/>
      <c r="G3675" s="206"/>
      <c r="H3675" s="207"/>
      <c r="J3675" s="76"/>
    </row>
    <row r="3676" spans="1:10">
      <c r="A3676" s="172"/>
      <c r="D3676" s="56"/>
      <c r="E3676" s="204"/>
      <c r="F3676" s="205"/>
      <c r="G3676" s="206"/>
      <c r="H3676" s="207"/>
      <c r="J3676" s="76"/>
    </row>
    <row r="3677" spans="1:10">
      <c r="A3677" s="172"/>
      <c r="D3677" s="56"/>
      <c r="E3677" s="204"/>
      <c r="F3677" s="205"/>
      <c r="G3677" s="206"/>
      <c r="H3677" s="207"/>
      <c r="J3677" s="76"/>
    </row>
    <row r="3678" spans="1:10">
      <c r="A3678" s="172"/>
      <c r="D3678" s="56"/>
      <c r="E3678" s="204"/>
      <c r="F3678" s="205"/>
      <c r="G3678" s="206"/>
      <c r="H3678" s="207"/>
      <c r="J3678" s="76"/>
    </row>
    <row r="3679" spans="1:10">
      <c r="A3679" s="172"/>
      <c r="D3679" s="56"/>
      <c r="E3679" s="204"/>
      <c r="F3679" s="205"/>
      <c r="G3679" s="206"/>
      <c r="H3679" s="207"/>
      <c r="J3679" s="76"/>
    </row>
    <row r="3680" spans="1:10">
      <c r="A3680" s="172"/>
      <c r="D3680" s="56"/>
      <c r="E3680" s="204"/>
      <c r="F3680" s="205"/>
      <c r="G3680" s="206"/>
      <c r="H3680" s="207"/>
      <c r="J3680" s="76"/>
    </row>
    <row r="3681" spans="1:10">
      <c r="A3681" s="172"/>
      <c r="D3681" s="56"/>
      <c r="E3681" s="204"/>
      <c r="F3681" s="205"/>
      <c r="G3681" s="206"/>
      <c r="H3681" s="207"/>
      <c r="J3681" s="76"/>
    </row>
    <row r="3682" spans="1:10">
      <c r="A3682" s="172"/>
      <c r="D3682" s="56"/>
      <c r="E3682" s="204"/>
      <c r="F3682" s="205"/>
      <c r="G3682" s="206"/>
      <c r="H3682" s="207"/>
      <c r="J3682" s="76"/>
    </row>
    <row r="3683" spans="1:10">
      <c r="A3683" s="172"/>
      <c r="D3683" s="56"/>
      <c r="E3683" s="204"/>
      <c r="F3683" s="205"/>
      <c r="G3683" s="206"/>
      <c r="H3683" s="207"/>
      <c r="J3683" s="76"/>
    </row>
    <row r="3684" spans="1:10">
      <c r="A3684" s="172"/>
      <c r="D3684" s="56"/>
      <c r="E3684" s="204"/>
      <c r="F3684" s="205"/>
      <c r="G3684" s="206"/>
      <c r="H3684" s="207"/>
      <c r="J3684" s="76"/>
    </row>
    <row r="3685" spans="1:10">
      <c r="A3685" s="172"/>
      <c r="D3685" s="56"/>
      <c r="E3685" s="204"/>
      <c r="F3685" s="205"/>
      <c r="G3685" s="206"/>
      <c r="H3685" s="207"/>
      <c r="J3685" s="76"/>
    </row>
    <row r="3686" spans="1:10">
      <c r="A3686" s="172"/>
      <c r="D3686" s="56"/>
      <c r="E3686" s="204"/>
      <c r="F3686" s="205"/>
      <c r="G3686" s="206"/>
      <c r="H3686" s="207"/>
      <c r="J3686" s="76"/>
    </row>
    <row r="3687" spans="1:10">
      <c r="A3687" s="172"/>
      <c r="D3687" s="56"/>
      <c r="E3687" s="204"/>
      <c r="F3687" s="205"/>
      <c r="G3687" s="206"/>
      <c r="H3687" s="207"/>
      <c r="J3687" s="76"/>
    </row>
    <row r="3688" spans="1:10">
      <c r="A3688" s="172"/>
      <c r="D3688" s="56"/>
      <c r="E3688" s="204"/>
      <c r="F3688" s="205"/>
      <c r="G3688" s="206"/>
      <c r="H3688" s="207"/>
      <c r="J3688" s="76"/>
    </row>
    <row r="3689" spans="1:10">
      <c r="A3689" s="172"/>
      <c r="D3689" s="56"/>
      <c r="E3689" s="204"/>
      <c r="F3689" s="205"/>
      <c r="G3689" s="206"/>
      <c r="H3689" s="207"/>
      <c r="J3689" s="76"/>
    </row>
    <row r="3690" spans="1:10">
      <c r="A3690" s="172"/>
      <c r="D3690" s="56"/>
      <c r="E3690" s="204"/>
      <c r="F3690" s="205"/>
      <c r="G3690" s="206"/>
      <c r="H3690" s="207"/>
      <c r="J3690" s="76"/>
    </row>
    <row r="3691" spans="1:10">
      <c r="A3691" s="172"/>
      <c r="D3691" s="56"/>
      <c r="E3691" s="204"/>
      <c r="F3691" s="205"/>
      <c r="G3691" s="206"/>
      <c r="H3691" s="207"/>
      <c r="J3691" s="76"/>
    </row>
    <row r="3692" spans="1:10">
      <c r="A3692" s="172"/>
      <c r="D3692" s="56"/>
      <c r="E3692" s="204"/>
      <c r="F3692" s="205"/>
      <c r="G3692" s="206"/>
      <c r="H3692" s="207"/>
      <c r="J3692" s="76"/>
    </row>
    <row r="3693" spans="1:10">
      <c r="A3693" s="172"/>
      <c r="D3693" s="56"/>
      <c r="E3693" s="204"/>
      <c r="F3693" s="205"/>
      <c r="G3693" s="206"/>
      <c r="H3693" s="207"/>
      <c r="J3693" s="76"/>
    </row>
    <row r="3694" spans="1:10">
      <c r="A3694" s="172"/>
      <c r="D3694" s="56"/>
      <c r="E3694" s="204"/>
      <c r="F3694" s="205"/>
      <c r="G3694" s="206"/>
      <c r="H3694" s="207"/>
      <c r="J3694" s="76"/>
    </row>
    <row r="3695" spans="1:10">
      <c r="A3695" s="172"/>
      <c r="D3695" s="56"/>
      <c r="E3695" s="204"/>
      <c r="F3695" s="205"/>
      <c r="G3695" s="206"/>
      <c r="H3695" s="207"/>
      <c r="J3695" s="76"/>
    </row>
    <row r="3696" spans="1:10">
      <c r="A3696" s="172"/>
      <c r="D3696" s="56"/>
      <c r="E3696" s="204"/>
      <c r="F3696" s="205"/>
      <c r="G3696" s="206"/>
      <c r="H3696" s="207"/>
      <c r="J3696" s="76"/>
    </row>
    <row r="3697" spans="1:10">
      <c r="A3697" s="172"/>
      <c r="D3697" s="56"/>
      <c r="E3697" s="204"/>
      <c r="F3697" s="205"/>
      <c r="G3697" s="206"/>
      <c r="H3697" s="207"/>
      <c r="J3697" s="76"/>
    </row>
    <row r="3698" spans="1:10">
      <c r="A3698" s="172"/>
      <c r="D3698" s="56"/>
      <c r="E3698" s="204"/>
      <c r="F3698" s="205"/>
      <c r="G3698" s="206"/>
      <c r="H3698" s="207"/>
      <c r="J3698" s="76"/>
    </row>
    <row r="3699" spans="1:10">
      <c r="A3699" s="172"/>
      <c r="D3699" s="56"/>
      <c r="E3699" s="204"/>
      <c r="F3699" s="205"/>
      <c r="G3699" s="206"/>
      <c r="H3699" s="207"/>
      <c r="J3699" s="76"/>
    </row>
    <row r="3700" spans="1:10">
      <c r="A3700" s="172"/>
      <c r="D3700" s="56"/>
      <c r="E3700" s="204"/>
      <c r="F3700" s="205"/>
      <c r="G3700" s="206"/>
      <c r="H3700" s="207"/>
      <c r="J3700" s="76"/>
    </row>
    <row r="3701" spans="1:10">
      <c r="A3701" s="172"/>
      <c r="D3701" s="56"/>
      <c r="E3701" s="204"/>
      <c r="F3701" s="205"/>
      <c r="G3701" s="206"/>
      <c r="H3701" s="207"/>
      <c r="J3701" s="76"/>
    </row>
    <row r="3702" spans="1:10">
      <c r="A3702" s="172"/>
      <c r="D3702" s="56"/>
      <c r="E3702" s="204"/>
      <c r="F3702" s="205"/>
      <c r="G3702" s="206"/>
      <c r="H3702" s="207"/>
      <c r="J3702" s="76"/>
    </row>
    <row r="3703" spans="1:10">
      <c r="A3703" s="172"/>
      <c r="D3703" s="56"/>
      <c r="E3703" s="204"/>
      <c r="F3703" s="205"/>
      <c r="G3703" s="206"/>
      <c r="H3703" s="207"/>
      <c r="J3703" s="76"/>
    </row>
    <row r="3704" spans="1:10">
      <c r="A3704" s="172"/>
      <c r="D3704" s="56"/>
      <c r="E3704" s="204"/>
      <c r="F3704" s="205"/>
      <c r="G3704" s="206"/>
      <c r="H3704" s="207"/>
      <c r="J3704" s="76"/>
    </row>
    <row r="3705" spans="1:10">
      <c r="A3705" s="172"/>
      <c r="D3705" s="56"/>
      <c r="E3705" s="204"/>
      <c r="F3705" s="205"/>
      <c r="G3705" s="206"/>
      <c r="H3705" s="207"/>
      <c r="J3705" s="76"/>
    </row>
    <row r="3706" spans="1:10">
      <c r="A3706" s="172"/>
      <c r="D3706" s="56"/>
      <c r="E3706" s="204"/>
      <c r="F3706" s="205"/>
      <c r="G3706" s="206"/>
      <c r="H3706" s="207"/>
      <c r="J3706" s="76"/>
    </row>
    <row r="3707" spans="1:10">
      <c r="A3707" s="172"/>
      <c r="D3707" s="56"/>
      <c r="E3707" s="204"/>
      <c r="F3707" s="205"/>
      <c r="G3707" s="206"/>
      <c r="H3707" s="207"/>
      <c r="J3707" s="76"/>
    </row>
    <row r="3708" spans="1:10">
      <c r="A3708" s="172"/>
      <c r="D3708" s="56"/>
      <c r="E3708" s="204"/>
      <c r="F3708" s="205"/>
      <c r="G3708" s="206"/>
      <c r="H3708" s="207"/>
      <c r="J3708" s="76"/>
    </row>
    <row r="3709" spans="1:10">
      <c r="A3709" s="172"/>
      <c r="D3709" s="56"/>
      <c r="E3709" s="204"/>
      <c r="F3709" s="205"/>
      <c r="G3709" s="206"/>
      <c r="H3709" s="207"/>
      <c r="J3709" s="76"/>
    </row>
    <row r="3710" spans="1:10">
      <c r="A3710" s="172"/>
      <c r="D3710" s="56"/>
      <c r="E3710" s="204"/>
      <c r="F3710" s="205"/>
      <c r="G3710" s="206"/>
      <c r="H3710" s="207"/>
      <c r="J3710" s="76"/>
    </row>
    <row r="3711" spans="1:10">
      <c r="A3711" s="172"/>
      <c r="D3711" s="56"/>
      <c r="E3711" s="204"/>
      <c r="F3711" s="205"/>
      <c r="G3711" s="206"/>
      <c r="H3711" s="207"/>
      <c r="J3711" s="76"/>
    </row>
    <row r="3712" spans="1:10">
      <c r="A3712" s="172"/>
      <c r="D3712" s="56"/>
      <c r="E3712" s="204"/>
      <c r="F3712" s="205"/>
      <c r="G3712" s="206"/>
      <c r="H3712" s="207"/>
      <c r="J3712" s="76"/>
    </row>
    <row r="3713" spans="1:10">
      <c r="A3713" s="172"/>
      <c r="D3713" s="56"/>
      <c r="E3713" s="204"/>
      <c r="F3713" s="205"/>
      <c r="G3713" s="206"/>
      <c r="H3713" s="207"/>
      <c r="J3713" s="76"/>
    </row>
    <row r="3714" spans="1:10">
      <c r="A3714" s="172"/>
      <c r="D3714" s="56"/>
      <c r="E3714" s="204"/>
      <c r="F3714" s="205"/>
      <c r="G3714" s="206"/>
      <c r="H3714" s="207"/>
      <c r="J3714" s="76"/>
    </row>
    <row r="3715" spans="1:10">
      <c r="A3715" s="172"/>
      <c r="D3715" s="56"/>
      <c r="E3715" s="204"/>
      <c r="F3715" s="205"/>
      <c r="G3715" s="206"/>
      <c r="H3715" s="207"/>
      <c r="J3715" s="76"/>
    </row>
    <row r="3716" spans="1:10">
      <c r="A3716" s="172"/>
      <c r="D3716" s="56"/>
      <c r="E3716" s="204"/>
      <c r="F3716" s="205"/>
      <c r="G3716" s="206"/>
      <c r="H3716" s="207"/>
      <c r="J3716" s="76"/>
    </row>
    <row r="3717" spans="1:10">
      <c r="A3717" s="172"/>
      <c r="D3717" s="56"/>
      <c r="E3717" s="204"/>
      <c r="F3717" s="205"/>
      <c r="G3717" s="206"/>
      <c r="H3717" s="207"/>
      <c r="J3717" s="76"/>
    </row>
    <row r="3718" spans="1:10">
      <c r="A3718" s="172"/>
      <c r="D3718" s="56"/>
      <c r="E3718" s="204"/>
      <c r="F3718" s="205"/>
      <c r="G3718" s="206"/>
      <c r="H3718" s="207"/>
      <c r="J3718" s="76"/>
    </row>
    <row r="3719" spans="1:10">
      <c r="A3719" s="172"/>
      <c r="D3719" s="56"/>
      <c r="E3719" s="204"/>
      <c r="F3719" s="205"/>
      <c r="G3719" s="206"/>
      <c r="H3719" s="207"/>
      <c r="J3719" s="76"/>
    </row>
    <row r="3720" spans="1:10">
      <c r="A3720" s="172"/>
      <c r="D3720" s="56"/>
      <c r="E3720" s="204"/>
      <c r="F3720" s="205"/>
      <c r="G3720" s="206"/>
      <c r="H3720" s="207"/>
      <c r="J3720" s="76"/>
    </row>
    <row r="3721" spans="1:10">
      <c r="A3721" s="172"/>
      <c r="D3721" s="56"/>
      <c r="E3721" s="204"/>
      <c r="F3721" s="205"/>
      <c r="G3721" s="206"/>
      <c r="H3721" s="207"/>
      <c r="J3721" s="76"/>
    </row>
    <row r="3722" spans="1:10">
      <c r="A3722" s="172"/>
      <c r="D3722" s="56"/>
      <c r="E3722" s="204"/>
      <c r="F3722" s="205"/>
      <c r="G3722" s="206"/>
      <c r="H3722" s="207"/>
      <c r="J3722" s="76"/>
    </row>
    <row r="3723" spans="1:10">
      <c r="A3723" s="172"/>
      <c r="D3723" s="56"/>
      <c r="E3723" s="204"/>
      <c r="F3723" s="205"/>
      <c r="G3723" s="206"/>
      <c r="H3723" s="207"/>
      <c r="J3723" s="76"/>
    </row>
    <row r="3724" spans="1:10">
      <c r="A3724" s="172"/>
      <c r="D3724" s="56"/>
      <c r="E3724" s="204"/>
      <c r="F3724" s="205"/>
      <c r="G3724" s="206"/>
      <c r="H3724" s="207"/>
      <c r="J3724" s="76"/>
    </row>
    <row r="3725" spans="1:10">
      <c r="A3725" s="172"/>
      <c r="D3725" s="56"/>
      <c r="E3725" s="204"/>
      <c r="F3725" s="205"/>
      <c r="G3725" s="206"/>
      <c r="H3725" s="207"/>
      <c r="J3725" s="76"/>
    </row>
    <row r="3726" spans="1:10">
      <c r="A3726" s="172"/>
      <c r="D3726" s="56"/>
      <c r="E3726" s="204"/>
      <c r="F3726" s="205"/>
      <c r="G3726" s="206"/>
      <c r="H3726" s="207"/>
      <c r="J3726" s="76"/>
    </row>
    <row r="3727" spans="1:10">
      <c r="A3727" s="172"/>
      <c r="D3727" s="56"/>
      <c r="E3727" s="204"/>
      <c r="F3727" s="205"/>
      <c r="G3727" s="206"/>
      <c r="H3727" s="207"/>
      <c r="J3727" s="76"/>
    </row>
    <row r="3728" spans="1:10">
      <c r="A3728" s="172"/>
      <c r="D3728" s="56"/>
      <c r="E3728" s="204"/>
      <c r="F3728" s="205"/>
      <c r="G3728" s="206"/>
      <c r="H3728" s="207"/>
      <c r="J3728" s="76"/>
    </row>
    <row r="3729" spans="1:10">
      <c r="A3729" s="172"/>
      <c r="D3729" s="56"/>
      <c r="E3729" s="204"/>
      <c r="F3729" s="205"/>
      <c r="G3729" s="206"/>
      <c r="H3729" s="207"/>
      <c r="J3729" s="76"/>
    </row>
    <row r="3730" spans="1:10">
      <c r="A3730" s="172"/>
      <c r="D3730" s="56"/>
      <c r="E3730" s="204"/>
      <c r="F3730" s="205"/>
      <c r="G3730" s="206"/>
      <c r="H3730" s="207"/>
      <c r="J3730" s="76"/>
    </row>
    <row r="3731" spans="1:10">
      <c r="A3731" s="172"/>
      <c r="D3731" s="56"/>
      <c r="E3731" s="204"/>
      <c r="F3731" s="205"/>
      <c r="G3731" s="206"/>
      <c r="H3731" s="207"/>
      <c r="J3731" s="76"/>
    </row>
    <row r="3732" spans="1:10">
      <c r="A3732" s="172"/>
      <c r="D3732" s="56"/>
      <c r="E3732" s="204"/>
      <c r="F3732" s="205"/>
      <c r="G3732" s="206"/>
      <c r="H3732" s="207"/>
      <c r="J3732" s="76"/>
    </row>
    <row r="3733" spans="1:10">
      <c r="A3733" s="172"/>
      <c r="D3733" s="56"/>
      <c r="E3733" s="204"/>
      <c r="F3733" s="205"/>
      <c r="G3733" s="206"/>
      <c r="H3733" s="207"/>
      <c r="J3733" s="76"/>
    </row>
    <row r="3734" spans="1:10">
      <c r="A3734" s="172"/>
      <c r="D3734" s="56"/>
      <c r="E3734" s="204"/>
      <c r="F3734" s="205"/>
      <c r="G3734" s="206"/>
      <c r="H3734" s="207"/>
      <c r="J3734" s="76"/>
    </row>
    <row r="3735" spans="1:10">
      <c r="A3735" s="172"/>
      <c r="D3735" s="56"/>
      <c r="E3735" s="204"/>
      <c r="F3735" s="205"/>
      <c r="G3735" s="206"/>
      <c r="H3735" s="207"/>
      <c r="J3735" s="76"/>
    </row>
    <row r="3736" spans="1:10">
      <c r="A3736" s="172"/>
      <c r="D3736" s="56"/>
      <c r="E3736" s="204"/>
      <c r="F3736" s="205"/>
      <c r="G3736" s="206"/>
      <c r="H3736" s="207"/>
      <c r="J3736" s="76"/>
    </row>
    <row r="3737" spans="1:10">
      <c r="A3737" s="172"/>
      <c r="D3737" s="56"/>
      <c r="E3737" s="204"/>
      <c r="F3737" s="205"/>
      <c r="G3737" s="206"/>
      <c r="H3737" s="207"/>
      <c r="J3737" s="76"/>
    </row>
    <row r="3738" spans="1:10">
      <c r="A3738" s="172"/>
      <c r="D3738" s="56"/>
      <c r="E3738" s="204"/>
      <c r="F3738" s="205"/>
      <c r="G3738" s="206"/>
      <c r="H3738" s="207"/>
      <c r="J3738" s="76"/>
    </row>
    <row r="3739" spans="1:10">
      <c r="A3739" s="172"/>
      <c r="D3739" s="56"/>
      <c r="E3739" s="204"/>
      <c r="F3739" s="205"/>
      <c r="G3739" s="206"/>
      <c r="H3739" s="207"/>
      <c r="J3739" s="76"/>
    </row>
    <row r="3740" spans="1:10">
      <c r="A3740" s="172"/>
      <c r="D3740" s="56"/>
      <c r="E3740" s="204"/>
      <c r="F3740" s="205"/>
      <c r="G3740" s="206"/>
      <c r="H3740" s="207"/>
      <c r="J3740" s="76"/>
    </row>
    <row r="3741" spans="1:10">
      <c r="A3741" s="172"/>
      <c r="D3741" s="56"/>
      <c r="E3741" s="204"/>
      <c r="F3741" s="205"/>
      <c r="G3741" s="206"/>
      <c r="H3741" s="207"/>
      <c r="J3741" s="76"/>
    </row>
    <row r="3742" spans="1:10">
      <c r="A3742" s="172"/>
      <c r="D3742" s="56"/>
      <c r="E3742" s="204"/>
      <c r="F3742" s="205"/>
      <c r="G3742" s="206"/>
      <c r="H3742" s="207"/>
      <c r="J3742" s="76"/>
    </row>
    <row r="3743" spans="1:10">
      <c r="A3743" s="172"/>
      <c r="D3743" s="56"/>
      <c r="E3743" s="204"/>
      <c r="F3743" s="205"/>
      <c r="G3743" s="206"/>
      <c r="H3743" s="207"/>
      <c r="J3743" s="76"/>
    </row>
    <row r="3744" spans="1:10">
      <c r="A3744" s="172"/>
      <c r="D3744" s="56"/>
      <c r="E3744" s="204"/>
      <c r="F3744" s="205"/>
      <c r="G3744" s="206"/>
      <c r="H3744" s="207"/>
      <c r="J3744" s="76"/>
    </row>
    <row r="3745" spans="1:10">
      <c r="A3745" s="172"/>
      <c r="D3745" s="56"/>
      <c r="E3745" s="204"/>
      <c r="F3745" s="205"/>
      <c r="G3745" s="206"/>
      <c r="H3745" s="207"/>
      <c r="J3745" s="76"/>
    </row>
    <row r="3746" spans="1:10">
      <c r="A3746" s="172"/>
      <c r="D3746" s="56"/>
      <c r="E3746" s="204"/>
      <c r="F3746" s="205"/>
      <c r="G3746" s="206"/>
      <c r="H3746" s="207"/>
      <c r="J3746" s="76"/>
    </row>
    <row r="3747" spans="1:10">
      <c r="A3747" s="172"/>
      <c r="D3747" s="56"/>
      <c r="E3747" s="204"/>
      <c r="F3747" s="205"/>
      <c r="G3747" s="206"/>
      <c r="H3747" s="207"/>
      <c r="J3747" s="76"/>
    </row>
    <row r="3748" spans="1:10">
      <c r="A3748" s="172"/>
      <c r="D3748" s="56"/>
      <c r="E3748" s="204"/>
      <c r="F3748" s="205"/>
      <c r="G3748" s="206"/>
      <c r="H3748" s="207"/>
      <c r="J3748" s="76"/>
    </row>
    <row r="3749" spans="1:10">
      <c r="A3749" s="172"/>
      <c r="D3749" s="56"/>
      <c r="E3749" s="204"/>
      <c r="F3749" s="205"/>
      <c r="G3749" s="206"/>
      <c r="H3749" s="207"/>
      <c r="J3749" s="76"/>
    </row>
    <row r="3750" spans="1:10">
      <c r="A3750" s="172"/>
      <c r="D3750" s="56"/>
      <c r="E3750" s="204"/>
      <c r="F3750" s="205"/>
      <c r="G3750" s="206"/>
      <c r="H3750" s="207"/>
      <c r="J3750" s="76"/>
    </row>
    <row r="3751" spans="1:10">
      <c r="A3751" s="172"/>
      <c r="D3751" s="56"/>
      <c r="E3751" s="204"/>
      <c r="F3751" s="205"/>
      <c r="G3751" s="206"/>
      <c r="H3751" s="207"/>
      <c r="J3751" s="76"/>
    </row>
    <row r="3752" spans="1:10">
      <c r="A3752" s="172"/>
      <c r="D3752" s="56"/>
      <c r="E3752" s="204"/>
      <c r="F3752" s="205"/>
      <c r="G3752" s="206"/>
      <c r="H3752" s="207"/>
      <c r="J3752" s="76"/>
    </row>
    <row r="3753" spans="1:10">
      <c r="A3753" s="172"/>
      <c r="D3753" s="56"/>
      <c r="E3753" s="204"/>
      <c r="F3753" s="205"/>
      <c r="G3753" s="206"/>
      <c r="H3753" s="207"/>
      <c r="J3753" s="76"/>
    </row>
    <row r="3754" spans="1:10">
      <c r="A3754" s="172"/>
      <c r="D3754" s="56"/>
      <c r="E3754" s="204"/>
      <c r="F3754" s="205"/>
      <c r="G3754" s="206"/>
      <c r="H3754" s="207"/>
      <c r="J3754" s="76"/>
    </row>
    <row r="3755" spans="1:10">
      <c r="A3755" s="172"/>
      <c r="D3755" s="56"/>
      <c r="E3755" s="204"/>
      <c r="F3755" s="205"/>
      <c r="G3755" s="206"/>
      <c r="H3755" s="207"/>
      <c r="J3755" s="76"/>
    </row>
    <row r="3756" spans="1:10">
      <c r="A3756" s="172"/>
      <c r="D3756" s="56"/>
      <c r="E3756" s="204"/>
      <c r="F3756" s="205"/>
      <c r="G3756" s="206"/>
      <c r="H3756" s="207"/>
      <c r="J3756" s="76"/>
    </row>
    <row r="3757" spans="1:10">
      <c r="A3757" s="172"/>
      <c r="D3757" s="56"/>
      <c r="E3757" s="204"/>
      <c r="F3757" s="205"/>
      <c r="G3757" s="206"/>
      <c r="H3757" s="207"/>
      <c r="J3757" s="76"/>
    </row>
    <row r="3758" spans="1:10">
      <c r="A3758" s="172"/>
      <c r="D3758" s="56"/>
      <c r="E3758" s="204"/>
      <c r="F3758" s="205"/>
      <c r="G3758" s="206"/>
      <c r="H3758" s="207"/>
      <c r="J3758" s="76"/>
    </row>
    <row r="3759" spans="1:10">
      <c r="A3759" s="172"/>
      <c r="D3759" s="56"/>
      <c r="E3759" s="204"/>
      <c r="F3759" s="205"/>
      <c r="G3759" s="206"/>
      <c r="H3759" s="207"/>
      <c r="J3759" s="76"/>
    </row>
    <row r="3760" spans="1:10">
      <c r="A3760" s="172"/>
      <c r="D3760" s="56"/>
      <c r="E3760" s="204"/>
      <c r="F3760" s="205"/>
      <c r="G3760" s="206"/>
      <c r="H3760" s="207"/>
      <c r="J3760" s="76"/>
    </row>
    <row r="3761" spans="1:10">
      <c r="A3761" s="172"/>
      <c r="D3761" s="56"/>
      <c r="E3761" s="204"/>
      <c r="F3761" s="205"/>
      <c r="G3761" s="206"/>
      <c r="H3761" s="207"/>
      <c r="J3761" s="76"/>
    </row>
    <row r="3762" spans="1:10">
      <c r="A3762" s="172"/>
      <c r="D3762" s="56"/>
      <c r="E3762" s="204"/>
      <c r="F3762" s="205"/>
      <c r="G3762" s="206"/>
      <c r="H3762" s="207"/>
      <c r="J3762" s="76"/>
    </row>
    <row r="3763" spans="1:10">
      <c r="A3763" s="172"/>
      <c r="D3763" s="56"/>
      <c r="E3763" s="204"/>
      <c r="F3763" s="205"/>
      <c r="G3763" s="206"/>
      <c r="H3763" s="207"/>
      <c r="J3763" s="76"/>
    </row>
    <row r="3764" spans="1:10">
      <c r="A3764" s="172"/>
      <c r="D3764" s="56"/>
      <c r="E3764" s="204"/>
      <c r="F3764" s="205"/>
      <c r="G3764" s="206"/>
      <c r="H3764" s="207"/>
      <c r="J3764" s="76"/>
    </row>
    <row r="3765" spans="1:10">
      <c r="A3765" s="172"/>
      <c r="D3765" s="56"/>
      <c r="E3765" s="204"/>
      <c r="F3765" s="205"/>
      <c r="G3765" s="206"/>
      <c r="H3765" s="207"/>
      <c r="J3765" s="76"/>
    </row>
    <row r="3766" spans="1:10">
      <c r="A3766" s="172"/>
      <c r="D3766" s="56"/>
      <c r="E3766" s="204"/>
      <c r="F3766" s="205"/>
      <c r="G3766" s="206"/>
      <c r="H3766" s="207"/>
      <c r="J3766" s="76"/>
    </row>
    <row r="3767" spans="1:10">
      <c r="A3767" s="172"/>
      <c r="D3767" s="56"/>
      <c r="E3767" s="204"/>
      <c r="F3767" s="205"/>
      <c r="G3767" s="206"/>
      <c r="H3767" s="207"/>
      <c r="J3767" s="76"/>
    </row>
    <row r="3768" spans="1:10">
      <c r="A3768" s="172"/>
      <c r="D3768" s="56"/>
      <c r="E3768" s="204"/>
      <c r="F3768" s="205"/>
      <c r="G3768" s="206"/>
      <c r="H3768" s="207"/>
      <c r="J3768" s="76"/>
    </row>
    <row r="3769" spans="1:10">
      <c r="A3769" s="172"/>
      <c r="D3769" s="56"/>
      <c r="E3769" s="204"/>
      <c r="F3769" s="205"/>
      <c r="G3769" s="206"/>
      <c r="H3769" s="207"/>
      <c r="J3769" s="76"/>
    </row>
    <row r="3770" spans="1:10">
      <c r="A3770" s="172"/>
      <c r="D3770" s="56"/>
      <c r="E3770" s="204"/>
      <c r="F3770" s="205"/>
      <c r="G3770" s="206"/>
      <c r="H3770" s="207"/>
      <c r="J3770" s="76"/>
    </row>
    <row r="3771" spans="1:10">
      <c r="A3771" s="172"/>
      <c r="D3771" s="56"/>
      <c r="E3771" s="204"/>
      <c r="F3771" s="205"/>
      <c r="G3771" s="206"/>
      <c r="H3771" s="207"/>
      <c r="J3771" s="76"/>
    </row>
    <row r="3772" spans="1:10">
      <c r="A3772" s="172"/>
      <c r="D3772" s="56"/>
      <c r="E3772" s="204"/>
      <c r="F3772" s="205"/>
      <c r="G3772" s="206"/>
      <c r="H3772" s="207"/>
      <c r="J3772" s="76"/>
    </row>
    <row r="3773" spans="1:10">
      <c r="A3773" s="172"/>
      <c r="D3773" s="56"/>
      <c r="E3773" s="204"/>
      <c r="F3773" s="205"/>
      <c r="G3773" s="206"/>
      <c r="H3773" s="207"/>
      <c r="J3773" s="76"/>
    </row>
    <row r="3774" spans="1:10">
      <c r="A3774" s="172"/>
      <c r="D3774" s="56"/>
      <c r="E3774" s="204"/>
      <c r="F3774" s="205"/>
      <c r="G3774" s="206"/>
      <c r="H3774" s="207"/>
      <c r="J3774" s="76"/>
    </row>
    <row r="3775" spans="1:10">
      <c r="A3775" s="172"/>
      <c r="D3775" s="56"/>
      <c r="E3775" s="204"/>
      <c r="F3775" s="205"/>
      <c r="G3775" s="206"/>
      <c r="H3775" s="207"/>
      <c r="J3775" s="76"/>
    </row>
    <row r="3776" spans="1:10">
      <c r="A3776" s="172"/>
      <c r="D3776" s="56"/>
      <c r="E3776" s="204"/>
      <c r="F3776" s="205"/>
      <c r="G3776" s="206"/>
      <c r="H3776" s="207"/>
      <c r="J3776" s="76"/>
    </row>
    <row r="3777" spans="1:10">
      <c r="A3777" s="172"/>
      <c r="D3777" s="56"/>
      <c r="E3777" s="204"/>
      <c r="F3777" s="205"/>
      <c r="G3777" s="206"/>
      <c r="H3777" s="207"/>
      <c r="J3777" s="76"/>
    </row>
    <row r="3778" spans="1:10">
      <c r="A3778" s="172"/>
      <c r="D3778" s="56"/>
      <c r="E3778" s="204"/>
      <c r="F3778" s="205"/>
      <c r="G3778" s="206"/>
      <c r="H3778" s="207"/>
      <c r="J3778" s="76"/>
    </row>
    <row r="3779" spans="1:10">
      <c r="A3779" s="172"/>
      <c r="D3779" s="56"/>
      <c r="E3779" s="204"/>
      <c r="F3779" s="205"/>
      <c r="G3779" s="206"/>
      <c r="H3779" s="207"/>
      <c r="J3779" s="76"/>
    </row>
    <row r="3780" spans="1:10">
      <c r="A3780" s="172"/>
      <c r="D3780" s="56"/>
      <c r="E3780" s="204"/>
      <c r="F3780" s="205"/>
      <c r="G3780" s="206"/>
      <c r="H3780" s="207"/>
      <c r="J3780" s="76"/>
    </row>
    <row r="3781" spans="1:10">
      <c r="A3781" s="172"/>
      <c r="D3781" s="56"/>
      <c r="E3781" s="204"/>
      <c r="F3781" s="205"/>
      <c r="G3781" s="206"/>
      <c r="H3781" s="207"/>
      <c r="J3781" s="76"/>
    </row>
    <row r="3782" spans="1:10">
      <c r="A3782" s="172"/>
      <c r="D3782" s="56"/>
      <c r="E3782" s="204"/>
      <c r="F3782" s="205"/>
      <c r="G3782" s="206"/>
      <c r="H3782" s="207"/>
      <c r="J3782" s="76"/>
    </row>
    <row r="3783" spans="1:10">
      <c r="A3783" s="172"/>
      <c r="D3783" s="56"/>
      <c r="E3783" s="204"/>
      <c r="F3783" s="205"/>
      <c r="G3783" s="206"/>
      <c r="H3783" s="207"/>
      <c r="J3783" s="76"/>
    </row>
    <row r="3784" spans="1:10">
      <c r="A3784" s="172"/>
      <c r="D3784" s="56"/>
      <c r="E3784" s="204"/>
      <c r="F3784" s="205"/>
      <c r="G3784" s="206"/>
      <c r="H3784" s="207"/>
      <c r="J3784" s="76"/>
    </row>
    <row r="3785" spans="1:10">
      <c r="A3785" s="172"/>
      <c r="D3785" s="56"/>
      <c r="E3785" s="204"/>
      <c r="F3785" s="205"/>
      <c r="G3785" s="206"/>
      <c r="H3785" s="207"/>
      <c r="J3785" s="76"/>
    </row>
    <row r="3786" spans="1:10">
      <c r="A3786" s="172"/>
      <c r="D3786" s="56"/>
      <c r="E3786" s="204"/>
      <c r="F3786" s="205"/>
      <c r="G3786" s="206"/>
      <c r="H3786" s="207"/>
      <c r="J3786" s="76"/>
    </row>
    <row r="3787" spans="1:10">
      <c r="A3787" s="172"/>
      <c r="D3787" s="56"/>
      <c r="E3787" s="204"/>
      <c r="F3787" s="205"/>
      <c r="G3787" s="206"/>
      <c r="H3787" s="207"/>
      <c r="J3787" s="76"/>
    </row>
    <row r="3788" spans="1:10">
      <c r="A3788" s="172"/>
      <c r="D3788" s="56"/>
      <c r="E3788" s="204"/>
      <c r="F3788" s="205"/>
      <c r="G3788" s="206"/>
      <c r="H3788" s="207"/>
      <c r="J3788" s="76"/>
    </row>
    <row r="3789" spans="1:10">
      <c r="A3789" s="172"/>
      <c r="D3789" s="56"/>
      <c r="E3789" s="204"/>
      <c r="F3789" s="205"/>
      <c r="G3789" s="206"/>
      <c r="H3789" s="207"/>
      <c r="J3789" s="76"/>
    </row>
    <row r="3790" spans="1:10">
      <c r="A3790" s="172"/>
      <c r="D3790" s="56"/>
      <c r="E3790" s="204"/>
      <c r="F3790" s="205"/>
      <c r="G3790" s="206"/>
      <c r="H3790" s="207"/>
      <c r="J3790" s="76"/>
    </row>
    <row r="3791" spans="1:10">
      <c r="A3791" s="172"/>
      <c r="D3791" s="56"/>
      <c r="E3791" s="204"/>
      <c r="F3791" s="205"/>
      <c r="G3791" s="206"/>
      <c r="H3791" s="207"/>
      <c r="J3791" s="76"/>
    </row>
    <row r="3792" spans="1:10">
      <c r="A3792" s="172"/>
      <c r="D3792" s="56"/>
      <c r="E3792" s="204"/>
      <c r="F3792" s="205"/>
      <c r="G3792" s="206"/>
      <c r="H3792" s="207"/>
      <c r="J3792" s="76"/>
    </row>
    <row r="3793" spans="1:10">
      <c r="A3793" s="172"/>
      <c r="D3793" s="56"/>
      <c r="E3793" s="204"/>
      <c r="F3793" s="205"/>
      <c r="G3793" s="206"/>
      <c r="H3793" s="207"/>
      <c r="J3793" s="76"/>
    </row>
    <row r="3794" spans="1:10">
      <c r="A3794" s="172"/>
      <c r="D3794" s="56"/>
      <c r="E3794" s="204"/>
      <c r="F3794" s="205"/>
      <c r="G3794" s="206"/>
      <c r="H3794" s="207"/>
      <c r="J3794" s="76"/>
    </row>
    <row r="3795" spans="1:10">
      <c r="A3795" s="172"/>
      <c r="D3795" s="56"/>
      <c r="E3795" s="204"/>
      <c r="F3795" s="205"/>
      <c r="G3795" s="206"/>
      <c r="H3795" s="207"/>
      <c r="J3795" s="76"/>
    </row>
    <row r="3796" spans="1:10">
      <c r="A3796" s="172"/>
      <c r="D3796" s="56"/>
      <c r="E3796" s="204"/>
      <c r="F3796" s="205"/>
      <c r="G3796" s="206"/>
      <c r="H3796" s="207"/>
      <c r="J3796" s="76"/>
    </row>
    <row r="3797" spans="1:10">
      <c r="A3797" s="172"/>
      <c r="D3797" s="56"/>
      <c r="E3797" s="204"/>
      <c r="F3797" s="205"/>
      <c r="G3797" s="206"/>
      <c r="H3797" s="207"/>
      <c r="J3797" s="76"/>
    </row>
    <row r="3798" spans="1:10">
      <c r="A3798" s="172"/>
      <c r="D3798" s="56"/>
      <c r="E3798" s="204"/>
      <c r="F3798" s="205"/>
      <c r="G3798" s="206"/>
      <c r="H3798" s="207"/>
      <c r="J3798" s="76"/>
    </row>
    <row r="3799" spans="1:10">
      <c r="A3799" s="172"/>
      <c r="D3799" s="56"/>
      <c r="E3799" s="204"/>
      <c r="F3799" s="205"/>
      <c r="G3799" s="206"/>
      <c r="H3799" s="207"/>
      <c r="J3799" s="76"/>
    </row>
    <row r="3800" spans="1:10">
      <c r="A3800" s="172"/>
      <c r="D3800" s="56"/>
      <c r="E3800" s="204"/>
      <c r="F3800" s="205"/>
      <c r="G3800" s="206"/>
      <c r="H3800" s="207"/>
      <c r="J3800" s="76"/>
    </row>
    <row r="3801" spans="1:10">
      <c r="A3801" s="172"/>
      <c r="D3801" s="56"/>
      <c r="E3801" s="204"/>
      <c r="F3801" s="205"/>
      <c r="G3801" s="206"/>
      <c r="H3801" s="207"/>
      <c r="J3801" s="76"/>
    </row>
    <row r="3802" spans="1:10">
      <c r="A3802" s="172"/>
      <c r="D3802" s="56"/>
      <c r="E3802" s="204"/>
      <c r="F3802" s="205"/>
      <c r="G3802" s="206"/>
      <c r="H3802" s="207"/>
      <c r="J3802" s="76"/>
    </row>
    <row r="3803" spans="1:10">
      <c r="A3803" s="172"/>
      <c r="D3803" s="56"/>
      <c r="E3803" s="204"/>
      <c r="F3803" s="205"/>
      <c r="G3803" s="206"/>
      <c r="H3803" s="207"/>
      <c r="J3803" s="76"/>
    </row>
    <row r="3804" spans="1:10">
      <c r="A3804" s="172"/>
      <c r="D3804" s="56"/>
      <c r="E3804" s="204"/>
      <c r="F3804" s="205"/>
      <c r="G3804" s="206"/>
      <c r="H3804" s="207"/>
      <c r="J3804" s="76"/>
    </row>
    <row r="3805" spans="1:10">
      <c r="A3805" s="172"/>
      <c r="D3805" s="56"/>
      <c r="E3805" s="204"/>
      <c r="F3805" s="205"/>
      <c r="G3805" s="206"/>
      <c r="H3805" s="207"/>
      <c r="J3805" s="76"/>
    </row>
    <row r="3806" spans="1:10">
      <c r="A3806" s="172"/>
      <c r="D3806" s="56"/>
      <c r="E3806" s="204"/>
      <c r="F3806" s="205"/>
      <c r="G3806" s="206"/>
      <c r="H3806" s="207"/>
      <c r="J3806" s="76"/>
    </row>
    <row r="3807" spans="1:10">
      <c r="A3807" s="172"/>
      <c r="D3807" s="56"/>
      <c r="E3807" s="204"/>
      <c r="F3807" s="205"/>
      <c r="G3807" s="206"/>
      <c r="H3807" s="207"/>
      <c r="J3807" s="76"/>
    </row>
    <row r="3808" spans="1:10">
      <c r="A3808" s="172"/>
      <c r="D3808" s="56"/>
      <c r="E3808" s="204"/>
      <c r="F3808" s="205"/>
      <c r="G3808" s="206"/>
      <c r="H3808" s="207"/>
      <c r="J3808" s="76"/>
    </row>
    <row r="3809" spans="1:10">
      <c r="A3809" s="172"/>
      <c r="D3809" s="56"/>
      <c r="E3809" s="204"/>
      <c r="F3809" s="205"/>
      <c r="G3809" s="206"/>
      <c r="H3809" s="207"/>
      <c r="J3809" s="76"/>
    </row>
    <row r="3810" spans="1:10">
      <c r="A3810" s="172"/>
      <c r="D3810" s="56"/>
      <c r="E3810" s="204"/>
      <c r="F3810" s="205"/>
      <c r="G3810" s="206"/>
      <c r="H3810" s="207"/>
      <c r="J3810" s="76"/>
    </row>
    <row r="3811" spans="1:10">
      <c r="A3811" s="172"/>
      <c r="D3811" s="56"/>
      <c r="E3811" s="204"/>
      <c r="F3811" s="205"/>
      <c r="G3811" s="206"/>
      <c r="H3811" s="207"/>
      <c r="J3811" s="76"/>
    </row>
    <row r="3812" spans="1:10">
      <c r="A3812" s="172"/>
      <c r="D3812" s="56"/>
      <c r="E3812" s="204"/>
      <c r="F3812" s="205"/>
      <c r="G3812" s="206"/>
      <c r="H3812" s="207"/>
      <c r="J3812" s="76"/>
    </row>
    <row r="3813" spans="1:10">
      <c r="A3813" s="172"/>
      <c r="D3813" s="56"/>
      <c r="E3813" s="204"/>
      <c r="F3813" s="205"/>
      <c r="G3813" s="206"/>
      <c r="H3813" s="207"/>
      <c r="J3813" s="76"/>
    </row>
    <row r="3814" spans="1:10">
      <c r="A3814" s="172"/>
      <c r="D3814" s="56"/>
      <c r="E3814" s="204"/>
      <c r="F3814" s="205"/>
      <c r="G3814" s="206"/>
      <c r="H3814" s="207"/>
      <c r="J3814" s="76"/>
    </row>
    <row r="3815" spans="1:10">
      <c r="A3815" s="172"/>
      <c r="D3815" s="56"/>
      <c r="E3815" s="204"/>
      <c r="F3815" s="205"/>
      <c r="G3815" s="206"/>
      <c r="H3815" s="207"/>
      <c r="J3815" s="76"/>
    </row>
    <row r="3816" spans="1:10">
      <c r="A3816" s="172"/>
      <c r="D3816" s="56"/>
      <c r="E3816" s="204"/>
      <c r="F3816" s="205"/>
      <c r="G3816" s="206"/>
      <c r="H3816" s="207"/>
      <c r="J3816" s="76"/>
    </row>
    <row r="3817" spans="1:10">
      <c r="A3817" s="172"/>
      <c r="D3817" s="56"/>
      <c r="E3817" s="204"/>
      <c r="F3817" s="205"/>
      <c r="G3817" s="206"/>
      <c r="H3817" s="207"/>
      <c r="J3817" s="76"/>
    </row>
    <row r="3818" spans="1:10">
      <c r="A3818" s="172"/>
      <c r="D3818" s="56"/>
      <c r="E3818" s="204"/>
      <c r="F3818" s="205"/>
      <c r="G3818" s="206"/>
      <c r="H3818" s="207"/>
      <c r="J3818" s="76"/>
    </row>
    <row r="3819" spans="1:10">
      <c r="A3819" s="172"/>
      <c r="D3819" s="56"/>
      <c r="E3819" s="204"/>
      <c r="F3819" s="205"/>
      <c r="G3819" s="206"/>
      <c r="H3819" s="207"/>
      <c r="J3819" s="76"/>
    </row>
    <row r="3820" spans="1:10">
      <c r="A3820" s="172"/>
      <c r="D3820" s="56"/>
      <c r="E3820" s="204"/>
      <c r="F3820" s="205"/>
      <c r="G3820" s="206"/>
      <c r="H3820" s="207"/>
      <c r="J3820" s="76"/>
    </row>
    <row r="3821" spans="1:10">
      <c r="A3821" s="172"/>
      <c r="D3821" s="56"/>
      <c r="E3821" s="204"/>
      <c r="F3821" s="205"/>
      <c r="G3821" s="206"/>
      <c r="H3821" s="207"/>
      <c r="J3821" s="76"/>
    </row>
    <row r="3822" spans="1:10">
      <c r="A3822" s="172"/>
      <c r="D3822" s="56"/>
      <c r="E3822" s="204"/>
      <c r="F3822" s="205"/>
      <c r="G3822" s="206"/>
      <c r="H3822" s="207"/>
      <c r="J3822" s="76"/>
    </row>
    <row r="3823" spans="1:10">
      <c r="A3823" s="172"/>
      <c r="D3823" s="56"/>
      <c r="E3823" s="204"/>
      <c r="F3823" s="205"/>
      <c r="G3823" s="206"/>
      <c r="H3823" s="207"/>
      <c r="J3823" s="76"/>
    </row>
    <row r="3824" spans="1:10">
      <c r="A3824" s="172"/>
      <c r="D3824" s="56"/>
      <c r="E3824" s="204"/>
      <c r="F3824" s="205"/>
      <c r="G3824" s="206"/>
      <c r="H3824" s="207"/>
      <c r="J3824" s="76"/>
    </row>
    <row r="3825" spans="1:10">
      <c r="A3825" s="172"/>
      <c r="D3825" s="56"/>
      <c r="E3825" s="204"/>
      <c r="F3825" s="205"/>
      <c r="G3825" s="206"/>
      <c r="H3825" s="207"/>
      <c r="J3825" s="76"/>
    </row>
    <row r="3826" spans="1:10">
      <c r="A3826" s="172"/>
      <c r="D3826" s="56"/>
      <c r="E3826" s="204"/>
      <c r="F3826" s="205"/>
      <c r="G3826" s="206"/>
      <c r="H3826" s="207"/>
      <c r="J3826" s="76"/>
    </row>
    <row r="3827" spans="1:10">
      <c r="A3827" s="172"/>
      <c r="D3827" s="56"/>
      <c r="E3827" s="204"/>
      <c r="F3827" s="205"/>
      <c r="G3827" s="206"/>
      <c r="H3827" s="207"/>
      <c r="J3827" s="76"/>
    </row>
    <row r="3828" spans="1:10">
      <c r="A3828" s="172"/>
      <c r="D3828" s="56"/>
      <c r="E3828" s="204"/>
      <c r="F3828" s="205"/>
      <c r="G3828" s="206"/>
      <c r="H3828" s="207"/>
      <c r="J3828" s="76"/>
    </row>
    <row r="3829" spans="1:10">
      <c r="A3829" s="172"/>
      <c r="D3829" s="56"/>
      <c r="E3829" s="204"/>
      <c r="F3829" s="205"/>
      <c r="G3829" s="206"/>
      <c r="H3829" s="207"/>
      <c r="J3829" s="76"/>
    </row>
    <row r="3830" spans="1:10">
      <c r="A3830" s="172"/>
      <c r="D3830" s="56"/>
      <c r="E3830" s="204"/>
      <c r="F3830" s="205"/>
      <c r="G3830" s="206"/>
      <c r="H3830" s="207"/>
      <c r="J3830" s="76"/>
    </row>
    <row r="3831" spans="1:10">
      <c r="A3831" s="172"/>
      <c r="D3831" s="56"/>
      <c r="E3831" s="204"/>
      <c r="F3831" s="205"/>
      <c r="G3831" s="206"/>
      <c r="H3831" s="207"/>
      <c r="J3831" s="76"/>
    </row>
    <row r="3832" spans="1:10">
      <c r="A3832" s="172"/>
      <c r="D3832" s="56"/>
      <c r="E3832" s="204"/>
      <c r="F3832" s="205"/>
      <c r="G3832" s="206"/>
      <c r="H3832" s="207"/>
      <c r="J3832" s="76"/>
    </row>
    <row r="3833" spans="1:10">
      <c r="A3833" s="172"/>
      <c r="D3833" s="56"/>
      <c r="E3833" s="204"/>
      <c r="F3833" s="205"/>
      <c r="G3833" s="206"/>
      <c r="H3833" s="207"/>
      <c r="J3833" s="76"/>
    </row>
    <row r="3834" spans="1:10">
      <c r="A3834" s="172"/>
      <c r="D3834" s="56"/>
      <c r="E3834" s="204"/>
      <c r="F3834" s="205"/>
      <c r="G3834" s="206"/>
      <c r="H3834" s="207"/>
      <c r="J3834" s="76"/>
    </row>
    <row r="3835" spans="1:10">
      <c r="A3835" s="172"/>
      <c r="D3835" s="56"/>
      <c r="E3835" s="204"/>
      <c r="F3835" s="205"/>
      <c r="G3835" s="206"/>
      <c r="H3835" s="207"/>
      <c r="J3835" s="76"/>
    </row>
    <row r="3836" spans="1:10">
      <c r="A3836" s="172"/>
      <c r="D3836" s="56"/>
      <c r="E3836" s="204"/>
      <c r="F3836" s="205"/>
      <c r="G3836" s="206"/>
      <c r="H3836" s="207"/>
      <c r="J3836" s="76"/>
    </row>
    <row r="3837" spans="1:10">
      <c r="A3837" s="172"/>
      <c r="D3837" s="56"/>
      <c r="E3837" s="204"/>
      <c r="F3837" s="205"/>
      <c r="G3837" s="206"/>
      <c r="H3837" s="207"/>
      <c r="J3837" s="76"/>
    </row>
    <row r="3838" spans="1:10">
      <c r="A3838" s="172"/>
      <c r="D3838" s="56"/>
      <c r="E3838" s="204"/>
      <c r="F3838" s="205"/>
      <c r="G3838" s="206"/>
      <c r="H3838" s="207"/>
      <c r="J3838" s="76"/>
    </row>
    <row r="3839" spans="1:10">
      <c r="A3839" s="172"/>
      <c r="D3839" s="56"/>
      <c r="E3839" s="204"/>
      <c r="F3839" s="205"/>
      <c r="G3839" s="206"/>
      <c r="H3839" s="207"/>
      <c r="J3839" s="76"/>
    </row>
    <row r="3840" spans="1:10">
      <c r="A3840" s="172"/>
      <c r="D3840" s="56"/>
      <c r="E3840" s="204"/>
      <c r="F3840" s="205"/>
      <c r="G3840" s="206"/>
      <c r="H3840" s="207"/>
      <c r="J3840" s="76"/>
    </row>
    <row r="3841" spans="1:10">
      <c r="A3841" s="172"/>
      <c r="D3841" s="56"/>
      <c r="E3841" s="204"/>
      <c r="F3841" s="205"/>
      <c r="G3841" s="206"/>
      <c r="H3841" s="207"/>
      <c r="J3841" s="76"/>
    </row>
    <row r="3842" spans="1:10">
      <c r="A3842" s="172"/>
      <c r="D3842" s="56"/>
      <c r="E3842" s="204"/>
      <c r="F3842" s="205"/>
      <c r="G3842" s="206"/>
      <c r="H3842" s="207"/>
      <c r="J3842" s="76"/>
    </row>
    <row r="3843" spans="1:10">
      <c r="A3843" s="172"/>
      <c r="D3843" s="56"/>
      <c r="E3843" s="204"/>
      <c r="F3843" s="205"/>
      <c r="G3843" s="206"/>
      <c r="H3843" s="207"/>
      <c r="J3843" s="76"/>
    </row>
    <row r="3844" spans="1:10">
      <c r="A3844" s="172"/>
      <c r="D3844" s="56"/>
      <c r="E3844" s="204"/>
      <c r="F3844" s="205"/>
      <c r="G3844" s="206"/>
      <c r="H3844" s="207"/>
      <c r="J3844" s="76"/>
    </row>
    <row r="3845" spans="1:10">
      <c r="A3845" s="172"/>
      <c r="D3845" s="56"/>
      <c r="E3845" s="204"/>
      <c r="F3845" s="205"/>
      <c r="G3845" s="206"/>
      <c r="H3845" s="207"/>
      <c r="J3845" s="76"/>
    </row>
    <row r="3846" spans="1:10">
      <c r="A3846" s="172"/>
      <c r="D3846" s="56"/>
      <c r="E3846" s="204"/>
      <c r="F3846" s="205"/>
      <c r="G3846" s="206"/>
      <c r="H3846" s="207"/>
      <c r="J3846" s="76"/>
    </row>
    <row r="3847" spans="1:10">
      <c r="A3847" s="172"/>
      <c r="D3847" s="56"/>
      <c r="E3847" s="204"/>
      <c r="F3847" s="205"/>
      <c r="G3847" s="206"/>
      <c r="H3847" s="207"/>
      <c r="J3847" s="76"/>
    </row>
    <row r="3848" spans="1:10">
      <c r="A3848" s="172"/>
      <c r="D3848" s="56"/>
      <c r="E3848" s="204"/>
      <c r="F3848" s="205"/>
      <c r="G3848" s="206"/>
      <c r="H3848" s="207"/>
      <c r="J3848" s="76"/>
    </row>
    <row r="3849" spans="1:10">
      <c r="A3849" s="172"/>
      <c r="D3849" s="56"/>
      <c r="E3849" s="204"/>
      <c r="F3849" s="205"/>
      <c r="G3849" s="206"/>
      <c r="H3849" s="207"/>
      <c r="J3849" s="76"/>
    </row>
    <row r="3850" spans="1:10">
      <c r="A3850" s="172"/>
      <c r="D3850" s="56"/>
      <c r="E3850" s="204"/>
      <c r="F3850" s="205"/>
      <c r="G3850" s="206"/>
      <c r="H3850" s="207"/>
      <c r="J3850" s="76"/>
    </row>
    <row r="3851" spans="1:10">
      <c r="A3851" s="172"/>
      <c r="D3851" s="56"/>
      <c r="E3851" s="204"/>
      <c r="F3851" s="205"/>
      <c r="G3851" s="206"/>
      <c r="H3851" s="207"/>
      <c r="J3851" s="76"/>
    </row>
    <row r="3852" spans="1:10">
      <c r="A3852" s="172"/>
      <c r="D3852" s="56"/>
      <c r="E3852" s="204"/>
      <c r="F3852" s="205"/>
      <c r="G3852" s="206"/>
      <c r="H3852" s="207"/>
      <c r="J3852" s="76"/>
    </row>
    <row r="3853" spans="1:10">
      <c r="A3853" s="172"/>
      <c r="D3853" s="56"/>
      <c r="E3853" s="204"/>
      <c r="F3853" s="205"/>
      <c r="G3853" s="206"/>
      <c r="H3853" s="207"/>
      <c r="J3853" s="76"/>
    </row>
    <row r="3854" spans="1:10">
      <c r="A3854" s="172"/>
      <c r="D3854" s="56"/>
      <c r="E3854" s="204"/>
      <c r="F3854" s="205"/>
      <c r="G3854" s="206"/>
      <c r="H3854" s="207"/>
      <c r="J3854" s="76"/>
    </row>
    <row r="3855" spans="1:10">
      <c r="A3855" s="172"/>
      <c r="D3855" s="56"/>
      <c r="E3855" s="204"/>
      <c r="F3855" s="205"/>
      <c r="G3855" s="206"/>
      <c r="H3855" s="207"/>
      <c r="J3855" s="76"/>
    </row>
    <row r="3856" spans="1:10">
      <c r="A3856" s="172"/>
      <c r="D3856" s="56"/>
      <c r="E3856" s="204"/>
      <c r="F3856" s="205"/>
      <c r="G3856" s="206"/>
      <c r="H3856" s="207"/>
      <c r="J3856" s="76"/>
    </row>
    <row r="3857" spans="1:10">
      <c r="A3857" s="172"/>
      <c r="D3857" s="56"/>
      <c r="E3857" s="204"/>
      <c r="F3857" s="205"/>
      <c r="G3857" s="206"/>
      <c r="H3857" s="207"/>
      <c r="J3857" s="76"/>
    </row>
    <row r="3858" spans="1:10">
      <c r="A3858" s="172"/>
      <c r="D3858" s="56"/>
      <c r="E3858" s="204"/>
      <c r="F3858" s="205"/>
      <c r="G3858" s="206"/>
      <c r="H3858" s="207"/>
      <c r="J3858" s="76"/>
    </row>
    <row r="3859" spans="1:10">
      <c r="A3859" s="172"/>
      <c r="D3859" s="56"/>
      <c r="E3859" s="204"/>
      <c r="F3859" s="205"/>
      <c r="G3859" s="206"/>
      <c r="H3859" s="207"/>
      <c r="J3859" s="76"/>
    </row>
    <row r="3860" spans="1:10">
      <c r="A3860" s="172"/>
      <c r="D3860" s="56"/>
      <c r="E3860" s="204"/>
      <c r="F3860" s="205"/>
      <c r="G3860" s="206"/>
      <c r="H3860" s="207"/>
      <c r="J3860" s="76"/>
    </row>
    <row r="3861" spans="1:10">
      <c r="A3861" s="172"/>
      <c r="D3861" s="56"/>
      <c r="E3861" s="204"/>
      <c r="F3861" s="205"/>
      <c r="G3861" s="206"/>
      <c r="H3861" s="207"/>
      <c r="J3861" s="76"/>
    </row>
    <row r="3862" spans="1:10">
      <c r="A3862" s="172"/>
      <c r="D3862" s="56"/>
      <c r="E3862" s="204"/>
      <c r="F3862" s="205"/>
      <c r="G3862" s="206"/>
      <c r="H3862" s="207"/>
      <c r="J3862" s="76"/>
    </row>
    <row r="3863" spans="1:10">
      <c r="A3863" s="172"/>
      <c r="D3863" s="56"/>
      <c r="E3863" s="204"/>
      <c r="F3863" s="205"/>
      <c r="G3863" s="206"/>
      <c r="H3863" s="207"/>
      <c r="J3863" s="76"/>
    </row>
    <row r="3864" spans="1:10">
      <c r="A3864" s="172"/>
      <c r="D3864" s="56"/>
      <c r="E3864" s="204"/>
      <c r="F3864" s="205"/>
      <c r="G3864" s="206"/>
      <c r="H3864" s="207"/>
      <c r="J3864" s="76"/>
    </row>
    <row r="3865" spans="1:10">
      <c r="A3865" s="172"/>
      <c r="D3865" s="56"/>
      <c r="E3865" s="204"/>
      <c r="F3865" s="205"/>
      <c r="G3865" s="206"/>
      <c r="H3865" s="207"/>
      <c r="J3865" s="76"/>
    </row>
    <row r="3866" spans="1:10">
      <c r="A3866" s="172"/>
      <c r="D3866" s="56"/>
      <c r="E3866" s="204"/>
      <c r="F3866" s="205"/>
      <c r="G3866" s="206"/>
      <c r="H3866" s="207"/>
      <c r="J3866" s="76"/>
    </row>
    <row r="3867" spans="1:10">
      <c r="A3867" s="172"/>
      <c r="D3867" s="56"/>
      <c r="E3867" s="204"/>
      <c r="F3867" s="205"/>
      <c r="G3867" s="206"/>
      <c r="H3867" s="207"/>
      <c r="J3867" s="76"/>
    </row>
    <row r="3868" spans="1:10">
      <c r="A3868" s="172"/>
      <c r="D3868" s="56"/>
      <c r="E3868" s="204"/>
      <c r="F3868" s="205"/>
      <c r="G3868" s="206"/>
      <c r="H3868" s="207"/>
      <c r="J3868" s="76"/>
    </row>
    <row r="3869" spans="1:10">
      <c r="A3869" s="172"/>
      <c r="D3869" s="56"/>
      <c r="E3869" s="204"/>
      <c r="F3869" s="205"/>
      <c r="G3869" s="206"/>
      <c r="H3869" s="207"/>
      <c r="J3869" s="76"/>
    </row>
    <row r="3870" spans="1:10">
      <c r="A3870" s="172"/>
      <c r="D3870" s="56"/>
      <c r="E3870" s="204"/>
      <c r="F3870" s="205"/>
      <c r="G3870" s="206"/>
      <c r="H3870" s="207"/>
      <c r="J3870" s="76"/>
    </row>
    <row r="3871" spans="1:10">
      <c r="A3871" s="172"/>
      <c r="D3871" s="56"/>
      <c r="E3871" s="204"/>
      <c r="F3871" s="205"/>
      <c r="G3871" s="206"/>
      <c r="H3871" s="207"/>
      <c r="J3871" s="76"/>
    </row>
    <row r="3872" spans="1:10">
      <c r="A3872" s="172"/>
      <c r="D3872" s="56"/>
      <c r="E3872" s="204"/>
      <c r="F3872" s="205"/>
      <c r="G3872" s="206"/>
      <c r="H3872" s="207"/>
      <c r="J3872" s="76"/>
    </row>
    <row r="3873" spans="1:10">
      <c r="A3873" s="172"/>
      <c r="D3873" s="56"/>
      <c r="E3873" s="204"/>
      <c r="F3873" s="205"/>
      <c r="G3873" s="206"/>
      <c r="H3873" s="207"/>
      <c r="J3873" s="76"/>
    </row>
    <row r="3874" spans="1:10">
      <c r="A3874" s="172"/>
      <c r="D3874" s="56"/>
      <c r="E3874" s="204"/>
      <c r="F3874" s="205"/>
      <c r="G3874" s="206"/>
      <c r="H3874" s="207"/>
      <c r="J3874" s="76"/>
    </row>
    <row r="3875" spans="1:10">
      <c r="A3875" s="172"/>
      <c r="D3875" s="56"/>
      <c r="E3875" s="204"/>
      <c r="F3875" s="205"/>
      <c r="G3875" s="206"/>
      <c r="H3875" s="207"/>
      <c r="J3875" s="76"/>
    </row>
    <row r="3876" spans="1:10">
      <c r="A3876" s="172"/>
      <c r="D3876" s="56"/>
      <c r="E3876" s="204"/>
      <c r="F3876" s="205"/>
      <c r="G3876" s="206"/>
      <c r="H3876" s="207"/>
      <c r="J3876" s="76"/>
    </row>
    <row r="3877" spans="1:10">
      <c r="A3877" s="172"/>
      <c r="D3877" s="56"/>
      <c r="E3877" s="204"/>
      <c r="F3877" s="205"/>
      <c r="G3877" s="206"/>
      <c r="H3877" s="207"/>
      <c r="J3877" s="76"/>
    </row>
    <row r="3878" spans="1:10">
      <c r="A3878" s="172"/>
      <c r="D3878" s="56"/>
      <c r="E3878" s="204"/>
      <c r="F3878" s="205"/>
      <c r="G3878" s="206"/>
      <c r="H3878" s="207"/>
      <c r="J3878" s="76"/>
    </row>
    <row r="3879" spans="1:10">
      <c r="A3879" s="172"/>
      <c r="D3879" s="56"/>
      <c r="E3879" s="204"/>
      <c r="F3879" s="205"/>
      <c r="G3879" s="206"/>
      <c r="H3879" s="207"/>
      <c r="J3879" s="76"/>
    </row>
    <row r="3880" spans="1:10">
      <c r="A3880" s="172"/>
      <c r="D3880" s="56"/>
      <c r="E3880" s="204"/>
      <c r="F3880" s="205"/>
      <c r="G3880" s="206"/>
      <c r="H3880" s="207"/>
      <c r="J3880" s="76"/>
    </row>
    <row r="3881" spans="1:10">
      <c r="A3881" s="172"/>
      <c r="D3881" s="56"/>
      <c r="E3881" s="204"/>
      <c r="F3881" s="205"/>
      <c r="G3881" s="206"/>
      <c r="H3881" s="207"/>
      <c r="J3881" s="76"/>
    </row>
    <row r="3882" spans="1:10">
      <c r="A3882" s="172"/>
      <c r="D3882" s="56"/>
      <c r="E3882" s="204"/>
      <c r="F3882" s="205"/>
      <c r="G3882" s="206"/>
      <c r="H3882" s="207"/>
      <c r="J3882" s="76"/>
    </row>
    <row r="3883" spans="1:10">
      <c r="A3883" s="172"/>
      <c r="D3883" s="56"/>
      <c r="E3883" s="204"/>
      <c r="F3883" s="205"/>
      <c r="G3883" s="206"/>
      <c r="H3883" s="207"/>
      <c r="J3883" s="76"/>
    </row>
    <row r="3884" spans="1:10">
      <c r="A3884" s="172"/>
      <c r="D3884" s="56"/>
      <c r="E3884" s="204"/>
      <c r="F3884" s="205"/>
      <c r="G3884" s="206"/>
      <c r="H3884" s="207"/>
      <c r="J3884" s="76"/>
    </row>
    <row r="3885" spans="1:10">
      <c r="A3885" s="172"/>
      <c r="D3885" s="56"/>
      <c r="E3885" s="204"/>
      <c r="F3885" s="205"/>
      <c r="G3885" s="206"/>
      <c r="H3885" s="207"/>
      <c r="J3885" s="76"/>
    </row>
    <row r="3886" spans="1:10">
      <c r="A3886" s="172"/>
      <c r="D3886" s="56"/>
      <c r="E3886" s="204"/>
      <c r="F3886" s="205"/>
      <c r="G3886" s="206"/>
      <c r="H3886" s="207"/>
      <c r="J3886" s="76"/>
    </row>
    <row r="3887" spans="1:10">
      <c r="A3887" s="172"/>
      <c r="D3887" s="56"/>
      <c r="E3887" s="204"/>
      <c r="F3887" s="205"/>
      <c r="G3887" s="206"/>
      <c r="H3887" s="207"/>
      <c r="J3887" s="76"/>
    </row>
    <row r="3888" spans="1:10">
      <c r="A3888" s="172"/>
      <c r="D3888" s="56"/>
      <c r="E3888" s="204"/>
      <c r="F3888" s="205"/>
      <c r="G3888" s="206"/>
      <c r="H3888" s="207"/>
      <c r="J3888" s="76"/>
    </row>
    <row r="3889" spans="1:10">
      <c r="A3889" s="172"/>
      <c r="D3889" s="56"/>
      <c r="E3889" s="204"/>
      <c r="F3889" s="205"/>
      <c r="G3889" s="206"/>
      <c r="H3889" s="207"/>
      <c r="J3889" s="76"/>
    </row>
    <row r="3890" spans="1:10">
      <c r="A3890" s="172"/>
      <c r="D3890" s="56"/>
      <c r="E3890" s="204"/>
      <c r="F3890" s="205"/>
      <c r="G3890" s="206"/>
      <c r="H3890" s="207"/>
      <c r="J3890" s="76"/>
    </row>
    <row r="3891" spans="1:10">
      <c r="A3891" s="172"/>
      <c r="D3891" s="56"/>
      <c r="E3891" s="204"/>
      <c r="F3891" s="205"/>
      <c r="G3891" s="206"/>
      <c r="H3891" s="207"/>
      <c r="J3891" s="76"/>
    </row>
    <row r="3892" spans="1:10">
      <c r="A3892" s="172"/>
      <c r="D3892" s="56"/>
      <c r="E3892" s="204"/>
      <c r="F3892" s="205"/>
      <c r="G3892" s="206"/>
      <c r="H3892" s="207"/>
      <c r="J3892" s="76"/>
    </row>
    <row r="3893" spans="1:10">
      <c r="A3893" s="172"/>
      <c r="D3893" s="56"/>
      <c r="E3893" s="204"/>
      <c r="F3893" s="205"/>
      <c r="G3893" s="206"/>
      <c r="H3893" s="207"/>
      <c r="J3893" s="76"/>
    </row>
    <row r="3894" spans="1:10">
      <c r="A3894" s="172"/>
      <c r="D3894" s="56"/>
      <c r="E3894" s="204"/>
      <c r="F3894" s="205"/>
      <c r="G3894" s="206"/>
      <c r="H3894" s="207"/>
      <c r="J3894" s="76"/>
    </row>
    <row r="3895" spans="1:10">
      <c r="A3895" s="172"/>
      <c r="D3895" s="56"/>
      <c r="E3895" s="204"/>
      <c r="F3895" s="205"/>
      <c r="G3895" s="206"/>
      <c r="H3895" s="207"/>
      <c r="J3895" s="76"/>
    </row>
    <row r="3896" spans="1:10">
      <c r="A3896" s="172"/>
      <c r="D3896" s="56"/>
      <c r="E3896" s="204"/>
      <c r="F3896" s="205"/>
      <c r="G3896" s="206"/>
      <c r="H3896" s="207"/>
      <c r="J3896" s="76"/>
    </row>
    <row r="3897" spans="1:10">
      <c r="A3897" s="172"/>
      <c r="D3897" s="56"/>
      <c r="E3897" s="204"/>
      <c r="F3897" s="205"/>
      <c r="G3897" s="206"/>
      <c r="H3897" s="207"/>
      <c r="J3897" s="76"/>
    </row>
    <row r="3898" spans="1:10">
      <c r="A3898" s="172"/>
      <c r="D3898" s="56"/>
      <c r="E3898" s="204"/>
      <c r="F3898" s="205"/>
      <c r="G3898" s="206"/>
      <c r="H3898" s="207"/>
      <c r="J3898" s="76"/>
    </row>
    <row r="3899" spans="1:10">
      <c r="A3899" s="172"/>
      <c r="D3899" s="56"/>
      <c r="E3899" s="204"/>
      <c r="F3899" s="205"/>
      <c r="G3899" s="206"/>
      <c r="H3899" s="207"/>
      <c r="J3899" s="76"/>
    </row>
    <row r="3900" spans="1:10">
      <c r="A3900" s="172"/>
      <c r="D3900" s="56"/>
      <c r="E3900" s="204"/>
      <c r="F3900" s="205"/>
      <c r="G3900" s="206"/>
      <c r="H3900" s="207"/>
      <c r="J3900" s="76"/>
    </row>
    <row r="3901" spans="1:10">
      <c r="A3901" s="172"/>
      <c r="D3901" s="56"/>
      <c r="E3901" s="204"/>
      <c r="F3901" s="205"/>
      <c r="G3901" s="206"/>
      <c r="H3901" s="207"/>
      <c r="J3901" s="76"/>
    </row>
    <row r="3902" spans="1:10">
      <c r="A3902" s="172"/>
      <c r="D3902" s="56"/>
      <c r="E3902" s="204"/>
      <c r="F3902" s="205"/>
      <c r="G3902" s="206"/>
      <c r="H3902" s="207"/>
      <c r="J3902" s="76"/>
    </row>
    <row r="3903" spans="1:10">
      <c r="A3903" s="172"/>
      <c r="D3903" s="56"/>
      <c r="E3903" s="204"/>
      <c r="F3903" s="205"/>
      <c r="G3903" s="206"/>
      <c r="H3903" s="207"/>
      <c r="J3903" s="76"/>
    </row>
    <row r="3904" spans="1:10">
      <c r="A3904" s="172"/>
      <c r="D3904" s="56"/>
      <c r="E3904" s="204"/>
      <c r="F3904" s="205"/>
      <c r="G3904" s="206"/>
      <c r="H3904" s="207"/>
      <c r="J3904" s="76"/>
    </row>
    <row r="3905" spans="1:10">
      <c r="A3905" s="172"/>
      <c r="D3905" s="56"/>
      <c r="E3905" s="204"/>
      <c r="F3905" s="205"/>
      <c r="G3905" s="206"/>
      <c r="H3905" s="207"/>
      <c r="J3905" s="76"/>
    </row>
    <row r="3906" spans="1:10">
      <c r="A3906" s="172"/>
      <c r="D3906" s="56"/>
      <c r="E3906" s="204"/>
      <c r="F3906" s="205"/>
      <c r="G3906" s="206"/>
      <c r="H3906" s="207"/>
      <c r="J3906" s="76"/>
    </row>
    <row r="3907" spans="1:10">
      <c r="A3907" s="172"/>
      <c r="D3907" s="56"/>
      <c r="E3907" s="204"/>
      <c r="F3907" s="205"/>
      <c r="G3907" s="206"/>
      <c r="H3907" s="207"/>
      <c r="J3907" s="76"/>
    </row>
    <row r="3908" spans="1:10">
      <c r="A3908" s="172"/>
      <c r="D3908" s="56"/>
      <c r="E3908" s="204"/>
      <c r="F3908" s="205"/>
      <c r="G3908" s="206"/>
      <c r="H3908" s="207"/>
      <c r="J3908" s="76"/>
    </row>
    <row r="3909" spans="1:10">
      <c r="A3909" s="172"/>
      <c r="D3909" s="56"/>
      <c r="E3909" s="204"/>
      <c r="F3909" s="205"/>
      <c r="G3909" s="206"/>
      <c r="H3909" s="207"/>
      <c r="J3909" s="76"/>
    </row>
    <row r="3910" spans="1:10">
      <c r="A3910" s="172"/>
      <c r="D3910" s="56"/>
      <c r="E3910" s="204"/>
      <c r="F3910" s="205"/>
      <c r="G3910" s="206"/>
      <c r="H3910" s="207"/>
      <c r="J3910" s="76"/>
    </row>
    <row r="3911" spans="1:10">
      <c r="A3911" s="172"/>
      <c r="D3911" s="56"/>
      <c r="E3911" s="204"/>
      <c r="F3911" s="205"/>
      <c r="G3911" s="206"/>
      <c r="H3911" s="207"/>
      <c r="J3911" s="76"/>
    </row>
    <row r="3912" spans="1:10">
      <c r="A3912" s="172"/>
      <c r="D3912" s="56"/>
      <c r="E3912" s="204"/>
      <c r="F3912" s="205"/>
      <c r="G3912" s="206"/>
      <c r="H3912" s="207"/>
      <c r="J3912" s="76"/>
    </row>
    <row r="3913" spans="1:10">
      <c r="A3913" s="172"/>
      <c r="D3913" s="56"/>
      <c r="E3913" s="204"/>
      <c r="F3913" s="205"/>
      <c r="G3913" s="206"/>
      <c r="H3913" s="207"/>
      <c r="J3913" s="76"/>
    </row>
    <row r="3914" spans="1:10">
      <c r="A3914" s="172"/>
      <c r="D3914" s="56"/>
      <c r="E3914" s="204"/>
      <c r="F3914" s="205"/>
      <c r="G3914" s="206"/>
      <c r="H3914" s="207"/>
      <c r="J3914" s="76"/>
    </row>
    <row r="3915" spans="1:10">
      <c r="A3915" s="172"/>
      <c r="D3915" s="56"/>
      <c r="E3915" s="204"/>
      <c r="F3915" s="205"/>
      <c r="G3915" s="206"/>
      <c r="H3915" s="207"/>
      <c r="J3915" s="76"/>
    </row>
    <row r="3916" spans="1:10">
      <c r="A3916" s="172"/>
      <c r="D3916" s="56"/>
      <c r="E3916" s="204"/>
      <c r="F3916" s="205"/>
      <c r="G3916" s="206"/>
      <c r="H3916" s="207"/>
      <c r="J3916" s="76"/>
    </row>
    <row r="3917" spans="1:10">
      <c r="A3917" s="172"/>
      <c r="D3917" s="56"/>
      <c r="E3917" s="204"/>
      <c r="F3917" s="205"/>
      <c r="G3917" s="206"/>
      <c r="H3917" s="207"/>
      <c r="J3917" s="76"/>
    </row>
    <row r="3918" spans="1:10">
      <c r="A3918" s="172"/>
      <c r="D3918" s="56"/>
      <c r="E3918" s="204"/>
      <c r="F3918" s="205"/>
      <c r="G3918" s="206"/>
      <c r="H3918" s="207"/>
      <c r="J3918" s="76"/>
    </row>
    <row r="3919" spans="1:10">
      <c r="A3919" s="172"/>
      <c r="D3919" s="56"/>
      <c r="E3919" s="204"/>
      <c r="F3919" s="205"/>
      <c r="G3919" s="206"/>
      <c r="H3919" s="207"/>
      <c r="J3919" s="76"/>
    </row>
    <row r="3920" spans="1:10">
      <c r="A3920" s="172"/>
      <c r="D3920" s="56"/>
      <c r="E3920" s="204"/>
      <c r="F3920" s="205"/>
      <c r="G3920" s="206"/>
      <c r="H3920" s="207"/>
      <c r="J3920" s="76"/>
    </row>
    <row r="3921" spans="1:10">
      <c r="A3921" s="172"/>
      <c r="D3921" s="56"/>
      <c r="E3921" s="204"/>
      <c r="F3921" s="205"/>
      <c r="G3921" s="206"/>
      <c r="H3921" s="207"/>
      <c r="J3921" s="76"/>
    </row>
    <row r="3922" spans="1:10">
      <c r="A3922" s="172"/>
      <c r="D3922" s="56"/>
      <c r="E3922" s="204"/>
      <c r="F3922" s="205"/>
      <c r="G3922" s="206"/>
      <c r="H3922" s="207"/>
      <c r="J3922" s="76"/>
    </row>
    <row r="3923" spans="1:10">
      <c r="A3923" s="172"/>
      <c r="D3923" s="56"/>
      <c r="E3923" s="204"/>
      <c r="F3923" s="205"/>
      <c r="G3923" s="206"/>
      <c r="H3923" s="207"/>
      <c r="J3923" s="76"/>
    </row>
    <row r="3924" spans="1:10">
      <c r="A3924" s="172"/>
      <c r="D3924" s="56"/>
      <c r="E3924" s="204"/>
      <c r="F3924" s="205"/>
      <c r="G3924" s="206"/>
      <c r="H3924" s="207"/>
      <c r="J3924" s="76"/>
    </row>
    <row r="3925" spans="1:10">
      <c r="A3925" s="172"/>
      <c r="D3925" s="56"/>
      <c r="E3925" s="204"/>
      <c r="F3925" s="205"/>
      <c r="G3925" s="206"/>
      <c r="H3925" s="207"/>
      <c r="J3925" s="76"/>
    </row>
    <row r="3926" spans="1:10">
      <c r="A3926" s="172"/>
      <c r="D3926" s="56"/>
      <c r="E3926" s="204"/>
      <c r="F3926" s="205"/>
      <c r="G3926" s="206"/>
      <c r="H3926" s="207"/>
      <c r="J3926" s="76"/>
    </row>
    <row r="3927" spans="1:10">
      <c r="A3927" s="172"/>
      <c r="D3927" s="56"/>
      <c r="E3927" s="204"/>
      <c r="F3927" s="205"/>
      <c r="G3927" s="206"/>
      <c r="H3927" s="207"/>
      <c r="J3927" s="76"/>
    </row>
    <row r="3928" spans="1:10">
      <c r="A3928" s="172"/>
      <c r="D3928" s="56"/>
      <c r="E3928" s="204"/>
      <c r="F3928" s="205"/>
      <c r="G3928" s="206"/>
      <c r="H3928" s="207"/>
      <c r="J3928" s="76"/>
    </row>
    <row r="3929" spans="1:10">
      <c r="A3929" s="172"/>
      <c r="D3929" s="56"/>
      <c r="E3929" s="204"/>
      <c r="F3929" s="205"/>
      <c r="G3929" s="206"/>
      <c r="H3929" s="207"/>
      <c r="J3929" s="76"/>
    </row>
    <row r="3930" spans="1:10">
      <c r="A3930" s="172"/>
      <c r="D3930" s="56"/>
      <c r="E3930" s="204"/>
      <c r="F3930" s="205"/>
      <c r="G3930" s="206"/>
      <c r="H3930" s="207"/>
      <c r="J3930" s="76"/>
    </row>
    <row r="3931" spans="1:10">
      <c r="A3931" s="172"/>
      <c r="D3931" s="56"/>
      <c r="E3931" s="204"/>
      <c r="F3931" s="205"/>
      <c r="G3931" s="206"/>
      <c r="H3931" s="207"/>
      <c r="J3931" s="76"/>
    </row>
    <row r="3932" spans="1:10">
      <c r="A3932" s="172"/>
      <c r="D3932" s="56"/>
      <c r="E3932" s="204"/>
      <c r="F3932" s="205"/>
      <c r="G3932" s="206"/>
      <c r="H3932" s="207"/>
      <c r="J3932" s="76"/>
    </row>
    <row r="3933" spans="1:10">
      <c r="A3933" s="172"/>
      <c r="D3933" s="56"/>
      <c r="E3933" s="204"/>
      <c r="F3933" s="205"/>
      <c r="G3933" s="206"/>
      <c r="H3933" s="207"/>
      <c r="J3933" s="76"/>
    </row>
    <row r="3934" spans="1:10">
      <c r="A3934" s="172"/>
      <c r="D3934" s="56"/>
      <c r="E3934" s="204"/>
      <c r="F3934" s="205"/>
      <c r="G3934" s="206"/>
      <c r="H3934" s="207"/>
      <c r="J3934" s="76"/>
    </row>
    <row r="3935" spans="1:10">
      <c r="A3935" s="172"/>
      <c r="D3935" s="56"/>
      <c r="E3935" s="204"/>
      <c r="F3935" s="205"/>
      <c r="G3935" s="206"/>
      <c r="H3935" s="207"/>
      <c r="J3935" s="76"/>
    </row>
    <row r="3936" spans="1:10">
      <c r="A3936" s="172"/>
      <c r="D3936" s="56"/>
      <c r="E3936" s="204"/>
      <c r="F3936" s="205"/>
      <c r="G3936" s="206"/>
      <c r="H3936" s="207"/>
      <c r="J3936" s="76"/>
    </row>
    <row r="3937" spans="1:10">
      <c r="A3937" s="172"/>
      <c r="D3937" s="56"/>
      <c r="E3937" s="204"/>
      <c r="F3937" s="205"/>
      <c r="G3937" s="206"/>
      <c r="H3937" s="207"/>
      <c r="J3937" s="76"/>
    </row>
    <row r="3938" spans="1:10">
      <c r="A3938" s="172"/>
      <c r="D3938" s="56"/>
      <c r="E3938" s="204"/>
      <c r="F3938" s="205"/>
      <c r="G3938" s="206"/>
      <c r="H3938" s="207"/>
      <c r="J3938" s="76"/>
    </row>
    <row r="3939" spans="1:10">
      <c r="A3939" s="172"/>
      <c r="D3939" s="56"/>
      <c r="E3939" s="204"/>
      <c r="F3939" s="205"/>
      <c r="G3939" s="206"/>
      <c r="H3939" s="207"/>
      <c r="J3939" s="76"/>
    </row>
    <row r="3940" spans="1:10">
      <c r="A3940" s="172"/>
      <c r="D3940" s="56"/>
      <c r="E3940" s="204"/>
      <c r="F3940" s="205"/>
      <c r="G3940" s="206"/>
      <c r="H3940" s="207"/>
      <c r="J3940" s="76"/>
    </row>
    <row r="3941" spans="1:10">
      <c r="A3941" s="172"/>
      <c r="D3941" s="56"/>
      <c r="E3941" s="204"/>
      <c r="F3941" s="205"/>
      <c r="G3941" s="206"/>
      <c r="H3941" s="207"/>
      <c r="J3941" s="76"/>
    </row>
    <row r="3942" spans="1:10">
      <c r="A3942" s="172"/>
      <c r="D3942" s="56"/>
      <c r="E3942" s="204"/>
      <c r="F3942" s="205"/>
      <c r="G3942" s="206"/>
      <c r="H3942" s="207"/>
      <c r="J3942" s="76"/>
    </row>
    <row r="3943" spans="1:10">
      <c r="A3943" s="172"/>
      <c r="D3943" s="56"/>
      <c r="E3943" s="204"/>
      <c r="F3943" s="205"/>
      <c r="G3943" s="206"/>
      <c r="H3943" s="207"/>
      <c r="J3943" s="76"/>
    </row>
    <row r="3944" spans="1:10">
      <c r="A3944" s="172"/>
      <c r="D3944" s="56"/>
      <c r="E3944" s="204"/>
      <c r="F3944" s="205"/>
      <c r="G3944" s="206"/>
      <c r="H3944" s="207"/>
      <c r="J3944" s="76"/>
    </row>
    <row r="3945" spans="1:10">
      <c r="A3945" s="172"/>
      <c r="D3945" s="56"/>
      <c r="E3945" s="204"/>
      <c r="F3945" s="205"/>
      <c r="G3945" s="206"/>
      <c r="H3945" s="207"/>
      <c r="J3945" s="76"/>
    </row>
    <row r="3946" spans="1:10">
      <c r="A3946" s="172"/>
      <c r="D3946" s="56"/>
      <c r="E3946" s="204"/>
      <c r="F3946" s="205"/>
      <c r="G3946" s="206"/>
      <c r="H3946" s="207"/>
      <c r="J3946" s="76"/>
    </row>
    <row r="3947" spans="1:10">
      <c r="A3947" s="172"/>
      <c r="D3947" s="56"/>
      <c r="E3947" s="204"/>
      <c r="F3947" s="205"/>
      <c r="G3947" s="206"/>
      <c r="H3947" s="207"/>
      <c r="J3947" s="76"/>
    </row>
    <row r="3948" spans="1:10">
      <c r="A3948" s="172"/>
      <c r="D3948" s="56"/>
      <c r="E3948" s="204"/>
      <c r="F3948" s="205"/>
      <c r="G3948" s="206"/>
      <c r="H3948" s="207"/>
      <c r="J3948" s="76"/>
    </row>
    <row r="3949" spans="1:10">
      <c r="A3949" s="172"/>
      <c r="D3949" s="56"/>
      <c r="E3949" s="204"/>
      <c r="F3949" s="205"/>
      <c r="G3949" s="206"/>
      <c r="H3949" s="207"/>
      <c r="J3949" s="76"/>
    </row>
    <row r="3950" spans="1:10">
      <c r="A3950" s="172"/>
      <c r="D3950" s="56"/>
      <c r="E3950" s="204"/>
      <c r="F3950" s="205"/>
      <c r="G3950" s="206"/>
      <c r="H3950" s="207"/>
      <c r="J3950" s="76"/>
    </row>
    <row r="3951" spans="1:10">
      <c r="A3951" s="172"/>
      <c r="D3951" s="56"/>
      <c r="E3951" s="204"/>
      <c r="F3951" s="205"/>
      <c r="G3951" s="206"/>
      <c r="H3951" s="207"/>
      <c r="J3951" s="76"/>
    </row>
    <row r="3952" spans="1:10">
      <c r="A3952" s="172"/>
      <c r="D3952" s="56"/>
      <c r="E3952" s="204"/>
      <c r="F3952" s="205"/>
      <c r="G3952" s="206"/>
      <c r="H3952" s="207"/>
      <c r="J3952" s="76"/>
    </row>
    <row r="3953" spans="1:10">
      <c r="A3953" s="172"/>
      <c r="D3953" s="56"/>
      <c r="E3953" s="204"/>
      <c r="F3953" s="205"/>
      <c r="G3953" s="206"/>
      <c r="H3953" s="207"/>
      <c r="J3953" s="76"/>
    </row>
    <row r="3954" spans="1:10">
      <c r="A3954" s="172"/>
      <c r="D3954" s="56"/>
      <c r="E3954" s="204"/>
      <c r="F3954" s="205"/>
      <c r="G3954" s="206"/>
      <c r="H3954" s="207"/>
      <c r="J3954" s="76"/>
    </row>
    <row r="3955" spans="1:10">
      <c r="A3955" s="172"/>
      <c r="D3955" s="56"/>
      <c r="E3955" s="204"/>
      <c r="F3955" s="205"/>
      <c r="G3955" s="206"/>
      <c r="H3955" s="207"/>
      <c r="J3955" s="76"/>
    </row>
    <row r="3956" spans="1:10">
      <c r="A3956" s="172"/>
      <c r="D3956" s="56"/>
      <c r="E3956" s="204"/>
      <c r="F3956" s="205"/>
      <c r="G3956" s="206"/>
      <c r="H3956" s="207"/>
      <c r="J3956" s="76"/>
    </row>
    <row r="3957" spans="1:10">
      <c r="A3957" s="172"/>
      <c r="D3957" s="56"/>
      <c r="E3957" s="204"/>
      <c r="F3957" s="205"/>
      <c r="G3957" s="206"/>
      <c r="H3957" s="207"/>
      <c r="J3957" s="76"/>
    </row>
    <row r="3958" spans="1:10">
      <c r="A3958" s="172"/>
      <c r="D3958" s="56"/>
      <c r="E3958" s="204"/>
      <c r="F3958" s="205"/>
      <c r="G3958" s="206"/>
      <c r="H3958" s="207"/>
      <c r="J3958" s="76"/>
    </row>
    <row r="3959" spans="1:10">
      <c r="A3959" s="172"/>
      <c r="D3959" s="56"/>
      <c r="E3959" s="204"/>
      <c r="F3959" s="205"/>
      <c r="G3959" s="206"/>
      <c r="H3959" s="207"/>
      <c r="J3959" s="76"/>
    </row>
    <row r="3960" spans="1:10">
      <c r="A3960" s="172"/>
      <c r="D3960" s="56"/>
      <c r="E3960" s="204"/>
      <c r="F3960" s="205"/>
      <c r="G3960" s="206"/>
      <c r="H3960" s="207"/>
      <c r="J3960" s="76"/>
    </row>
    <row r="3961" spans="1:10">
      <c r="A3961" s="172"/>
      <c r="D3961" s="56"/>
      <c r="E3961" s="204"/>
      <c r="F3961" s="205"/>
      <c r="G3961" s="206"/>
      <c r="H3961" s="207"/>
      <c r="J3961" s="76"/>
    </row>
    <row r="3962" spans="1:10">
      <c r="A3962" s="172"/>
      <c r="D3962" s="56"/>
      <c r="E3962" s="204"/>
      <c r="F3962" s="205"/>
      <c r="G3962" s="206"/>
      <c r="H3962" s="207"/>
      <c r="J3962" s="76"/>
    </row>
    <row r="3963" spans="1:10">
      <c r="A3963" s="172"/>
      <c r="D3963" s="56"/>
      <c r="E3963" s="204"/>
      <c r="F3963" s="205"/>
      <c r="G3963" s="206"/>
      <c r="H3963" s="207"/>
      <c r="J3963" s="76"/>
    </row>
    <row r="3964" spans="1:10">
      <c r="A3964" s="172"/>
      <c r="D3964" s="56"/>
      <c r="E3964" s="204"/>
      <c r="F3964" s="205"/>
      <c r="G3964" s="206"/>
      <c r="H3964" s="207"/>
      <c r="J3964" s="76"/>
    </row>
    <row r="3965" spans="1:10">
      <c r="A3965" s="172"/>
      <c r="D3965" s="56"/>
      <c r="E3965" s="204"/>
      <c r="F3965" s="205"/>
      <c r="G3965" s="206"/>
      <c r="H3965" s="207"/>
      <c r="J3965" s="76"/>
    </row>
    <row r="3966" spans="1:10">
      <c r="A3966" s="172"/>
      <c r="D3966" s="56"/>
      <c r="E3966" s="204"/>
      <c r="F3966" s="205"/>
      <c r="G3966" s="206"/>
      <c r="H3966" s="207"/>
      <c r="J3966" s="76"/>
    </row>
    <row r="3967" spans="1:10">
      <c r="A3967" s="172"/>
      <c r="D3967" s="56"/>
      <c r="E3967" s="204"/>
      <c r="F3967" s="205"/>
      <c r="G3967" s="206"/>
      <c r="H3967" s="207"/>
      <c r="J3967" s="76"/>
    </row>
    <row r="3968" spans="1:10">
      <c r="A3968" s="172"/>
      <c r="D3968" s="56"/>
      <c r="E3968" s="204"/>
      <c r="F3968" s="205"/>
      <c r="G3968" s="206"/>
      <c r="H3968" s="207"/>
      <c r="J3968" s="76"/>
    </row>
    <row r="3969" spans="1:10">
      <c r="A3969" s="172"/>
      <c r="D3969" s="56"/>
      <c r="E3969" s="204"/>
      <c r="F3969" s="205"/>
      <c r="G3969" s="206"/>
      <c r="H3969" s="207"/>
      <c r="J3969" s="76"/>
    </row>
    <row r="3970" spans="1:10">
      <c r="A3970" s="172"/>
      <c r="D3970" s="56"/>
      <c r="E3970" s="204"/>
      <c r="F3970" s="205"/>
      <c r="G3970" s="206"/>
      <c r="H3970" s="207"/>
      <c r="J3970" s="76"/>
    </row>
    <row r="3971" spans="1:10">
      <c r="A3971" s="172"/>
      <c r="D3971" s="56"/>
      <c r="E3971" s="204"/>
      <c r="F3971" s="205"/>
      <c r="G3971" s="206"/>
      <c r="H3971" s="207"/>
      <c r="J3971" s="76"/>
    </row>
    <row r="3972" spans="1:10">
      <c r="A3972" s="172"/>
      <c r="D3972" s="56"/>
      <c r="E3972" s="204"/>
      <c r="F3972" s="205"/>
      <c r="G3972" s="206"/>
      <c r="H3972" s="207"/>
      <c r="J3972" s="76"/>
    </row>
    <row r="3973" spans="1:10">
      <c r="A3973" s="172"/>
      <c r="D3973" s="56"/>
      <c r="E3973" s="204"/>
      <c r="F3973" s="205"/>
      <c r="G3973" s="206"/>
      <c r="H3973" s="207"/>
      <c r="J3973" s="76"/>
    </row>
    <row r="3974" spans="1:10">
      <c r="A3974" s="172"/>
      <c r="D3974" s="56"/>
      <c r="E3974" s="204"/>
      <c r="F3974" s="205"/>
      <c r="G3974" s="206"/>
      <c r="H3974" s="207"/>
      <c r="J3974" s="76"/>
    </row>
    <row r="3975" spans="1:10">
      <c r="A3975" s="172"/>
      <c r="D3975" s="56"/>
      <c r="E3975" s="204"/>
      <c r="F3975" s="205"/>
      <c r="G3975" s="206"/>
      <c r="H3975" s="207"/>
      <c r="J3975" s="76"/>
    </row>
    <row r="3976" spans="1:10">
      <c r="A3976" s="172"/>
      <c r="D3976" s="56"/>
      <c r="E3976" s="204"/>
      <c r="F3976" s="205"/>
      <c r="G3976" s="206"/>
      <c r="H3976" s="207"/>
      <c r="J3976" s="76"/>
    </row>
    <row r="3977" spans="1:10">
      <c r="A3977" s="172"/>
      <c r="D3977" s="56"/>
      <c r="E3977" s="204"/>
      <c r="F3977" s="205"/>
      <c r="G3977" s="206"/>
      <c r="H3977" s="207"/>
      <c r="J3977" s="76"/>
    </row>
    <row r="3978" spans="1:10">
      <c r="A3978" s="172"/>
      <c r="D3978" s="56"/>
      <c r="E3978" s="204"/>
      <c r="F3978" s="205"/>
      <c r="G3978" s="206"/>
      <c r="H3978" s="207"/>
      <c r="J3978" s="76"/>
    </row>
    <row r="3979" spans="1:10">
      <c r="A3979" s="172"/>
      <c r="D3979" s="56"/>
      <c r="E3979" s="204"/>
      <c r="F3979" s="205"/>
      <c r="G3979" s="206"/>
      <c r="H3979" s="207"/>
      <c r="J3979" s="76"/>
    </row>
    <row r="3980" spans="1:10">
      <c r="A3980" s="172"/>
      <c r="D3980" s="56"/>
      <c r="E3980" s="204"/>
      <c r="F3980" s="205"/>
      <c r="G3980" s="206"/>
      <c r="H3980" s="207"/>
      <c r="J3980" s="76"/>
    </row>
    <row r="3981" spans="1:10">
      <c r="A3981" s="172"/>
      <c r="D3981" s="56"/>
      <c r="E3981" s="204"/>
      <c r="F3981" s="205"/>
      <c r="G3981" s="206"/>
      <c r="H3981" s="207"/>
      <c r="J3981" s="76"/>
    </row>
    <row r="3982" spans="1:10">
      <c r="A3982" s="172"/>
      <c r="D3982" s="56"/>
      <c r="E3982" s="204"/>
      <c r="F3982" s="205"/>
      <c r="G3982" s="206"/>
      <c r="H3982" s="207"/>
      <c r="J3982" s="76"/>
    </row>
    <row r="3983" spans="1:10">
      <c r="A3983" s="172"/>
      <c r="D3983" s="56"/>
      <c r="E3983" s="204"/>
      <c r="F3983" s="205"/>
      <c r="G3983" s="206"/>
      <c r="H3983" s="207"/>
      <c r="J3983" s="76"/>
    </row>
    <row r="3984" spans="1:10">
      <c r="A3984" s="172"/>
      <c r="D3984" s="56"/>
      <c r="E3984" s="204"/>
      <c r="F3984" s="205"/>
      <c r="G3984" s="206"/>
      <c r="H3984" s="207"/>
      <c r="J3984" s="76"/>
    </row>
    <row r="3985" spans="1:10">
      <c r="A3985" s="172"/>
      <c r="D3985" s="56"/>
      <c r="E3985" s="204"/>
      <c r="F3985" s="205"/>
      <c r="G3985" s="206"/>
      <c r="H3985" s="207"/>
      <c r="J3985" s="76"/>
    </row>
    <row r="3986" spans="1:10">
      <c r="A3986" s="172"/>
      <c r="D3986" s="56"/>
      <c r="E3986" s="204"/>
      <c r="F3986" s="205"/>
      <c r="G3986" s="206"/>
      <c r="H3986" s="207"/>
      <c r="J3986" s="76"/>
    </row>
    <row r="3987" spans="1:10">
      <c r="A3987" s="172"/>
      <c r="D3987" s="56"/>
      <c r="E3987" s="204"/>
      <c r="F3987" s="205"/>
      <c r="G3987" s="206"/>
      <c r="H3987" s="207"/>
      <c r="J3987" s="76"/>
    </row>
    <row r="3988" spans="1:10">
      <c r="A3988" s="172"/>
      <c r="D3988" s="56"/>
      <c r="E3988" s="204"/>
      <c r="F3988" s="205"/>
      <c r="G3988" s="206"/>
      <c r="H3988" s="207"/>
      <c r="J3988" s="76"/>
    </row>
    <row r="3989" spans="1:10">
      <c r="A3989" s="172"/>
      <c r="D3989" s="56"/>
      <c r="E3989" s="204"/>
      <c r="F3989" s="205"/>
      <c r="G3989" s="206"/>
      <c r="H3989" s="207"/>
      <c r="J3989" s="76"/>
    </row>
    <row r="3990" spans="1:10">
      <c r="A3990" s="172"/>
      <c r="D3990" s="56"/>
      <c r="E3990" s="204"/>
      <c r="F3990" s="205"/>
      <c r="G3990" s="206"/>
      <c r="H3990" s="207"/>
      <c r="J3990" s="76"/>
    </row>
    <row r="3991" spans="1:10">
      <c r="A3991" s="172"/>
      <c r="D3991" s="56"/>
      <c r="E3991" s="204"/>
      <c r="F3991" s="205"/>
      <c r="G3991" s="206"/>
      <c r="H3991" s="207"/>
      <c r="J3991" s="76"/>
    </row>
    <row r="3992" spans="1:10">
      <c r="A3992" s="172"/>
      <c r="D3992" s="56"/>
      <c r="E3992" s="204"/>
      <c r="F3992" s="205"/>
      <c r="G3992" s="206"/>
      <c r="H3992" s="207"/>
      <c r="J3992" s="76"/>
    </row>
    <row r="3993" spans="1:10">
      <c r="A3993" s="172"/>
      <c r="D3993" s="56"/>
      <c r="E3993" s="204"/>
      <c r="F3993" s="205"/>
      <c r="G3993" s="206"/>
      <c r="H3993" s="207"/>
      <c r="J3993" s="76"/>
    </row>
    <row r="3994" spans="1:10">
      <c r="A3994" s="172"/>
      <c r="D3994" s="56"/>
      <c r="E3994" s="204"/>
      <c r="F3994" s="205"/>
      <c r="G3994" s="206"/>
      <c r="H3994" s="207"/>
      <c r="J3994" s="76"/>
    </row>
    <row r="3995" spans="1:10">
      <c r="A3995" s="172"/>
      <c r="D3995" s="56"/>
      <c r="E3995" s="204"/>
      <c r="F3995" s="205"/>
      <c r="G3995" s="206"/>
      <c r="H3995" s="207"/>
      <c r="J3995" s="76"/>
    </row>
    <row r="3996" spans="1:10">
      <c r="A3996" s="172"/>
      <c r="D3996" s="56"/>
      <c r="E3996" s="204"/>
      <c r="F3996" s="205"/>
      <c r="G3996" s="206"/>
      <c r="H3996" s="207"/>
      <c r="J3996" s="76"/>
    </row>
    <row r="3997" spans="1:10">
      <c r="A3997" s="172"/>
      <c r="D3997" s="56"/>
      <c r="E3997" s="204"/>
      <c r="F3997" s="205"/>
      <c r="G3997" s="206"/>
      <c r="H3997" s="207"/>
      <c r="J3997" s="76"/>
    </row>
    <row r="3998" spans="1:10">
      <c r="A3998" s="172"/>
      <c r="D3998" s="56"/>
      <c r="E3998" s="204"/>
      <c r="F3998" s="205"/>
      <c r="G3998" s="206"/>
      <c r="H3998" s="207"/>
      <c r="J3998" s="76"/>
    </row>
    <row r="3999" spans="1:10">
      <c r="A3999" s="172"/>
      <c r="D3999" s="56"/>
      <c r="E3999" s="204"/>
      <c r="F3999" s="205"/>
      <c r="G3999" s="206"/>
      <c r="H3999" s="207"/>
      <c r="J3999" s="76"/>
    </row>
    <row r="4000" spans="1:10">
      <c r="A4000" s="172"/>
      <c r="D4000" s="56"/>
      <c r="E4000" s="204"/>
      <c r="F4000" s="205"/>
      <c r="G4000" s="206"/>
      <c r="H4000" s="207"/>
      <c r="J4000" s="76"/>
    </row>
    <row r="4001" spans="1:10">
      <c r="A4001" s="172"/>
      <c r="D4001" s="56"/>
      <c r="E4001" s="204"/>
      <c r="F4001" s="205"/>
      <c r="G4001" s="206"/>
      <c r="H4001" s="207"/>
      <c r="J4001" s="76"/>
    </row>
    <row r="4002" spans="1:10">
      <c r="A4002" s="172"/>
      <c r="D4002" s="56"/>
      <c r="E4002" s="204"/>
      <c r="F4002" s="205"/>
      <c r="G4002" s="206"/>
      <c r="H4002" s="207"/>
      <c r="J4002" s="76"/>
    </row>
    <row r="4003" spans="1:10">
      <c r="A4003" s="172"/>
      <c r="D4003" s="56"/>
      <c r="E4003" s="204"/>
      <c r="F4003" s="205"/>
      <c r="G4003" s="206"/>
      <c r="H4003" s="207"/>
      <c r="J4003" s="76"/>
    </row>
    <row r="4004" spans="1:10">
      <c r="A4004" s="172"/>
      <c r="D4004" s="56"/>
      <c r="E4004" s="204"/>
      <c r="F4004" s="205"/>
      <c r="G4004" s="206"/>
      <c r="H4004" s="207"/>
      <c r="J4004" s="76"/>
    </row>
    <row r="4005" spans="1:10">
      <c r="A4005" s="172"/>
      <c r="D4005" s="56"/>
      <c r="E4005" s="204"/>
      <c r="F4005" s="205"/>
      <c r="G4005" s="206"/>
      <c r="H4005" s="207"/>
      <c r="J4005" s="76"/>
    </row>
    <row r="4006" spans="1:10">
      <c r="A4006" s="172"/>
      <c r="D4006" s="56"/>
      <c r="E4006" s="204"/>
      <c r="F4006" s="205"/>
      <c r="G4006" s="206"/>
      <c r="H4006" s="207"/>
      <c r="J4006" s="76"/>
    </row>
    <row r="4007" spans="1:10">
      <c r="A4007" s="172"/>
      <c r="D4007" s="56"/>
      <c r="E4007" s="204"/>
      <c r="F4007" s="205"/>
      <c r="G4007" s="206"/>
      <c r="H4007" s="207"/>
      <c r="J4007" s="76"/>
    </row>
    <row r="4008" spans="1:10">
      <c r="A4008" s="172"/>
      <c r="D4008" s="56"/>
      <c r="E4008" s="204"/>
      <c r="F4008" s="205"/>
      <c r="G4008" s="206"/>
      <c r="H4008" s="207"/>
      <c r="J4008" s="76"/>
    </row>
    <row r="4009" spans="1:10">
      <c r="A4009" s="172"/>
      <c r="D4009" s="56"/>
      <c r="E4009" s="204"/>
      <c r="F4009" s="205"/>
      <c r="G4009" s="206"/>
      <c r="H4009" s="207"/>
      <c r="J4009" s="76"/>
    </row>
    <row r="4010" spans="1:10">
      <c r="A4010" s="172"/>
      <c r="D4010" s="56"/>
      <c r="E4010" s="204"/>
      <c r="F4010" s="205"/>
      <c r="G4010" s="206"/>
      <c r="H4010" s="207"/>
      <c r="J4010" s="76"/>
    </row>
    <row r="4011" spans="1:10">
      <c r="A4011" s="172"/>
      <c r="D4011" s="56"/>
      <c r="E4011" s="204"/>
      <c r="F4011" s="205"/>
      <c r="G4011" s="206"/>
      <c r="H4011" s="207"/>
      <c r="J4011" s="76"/>
    </row>
    <row r="4012" spans="1:10">
      <c r="A4012" s="172"/>
      <c r="D4012" s="56"/>
      <c r="E4012" s="204"/>
      <c r="F4012" s="205"/>
      <c r="G4012" s="206"/>
      <c r="H4012" s="207"/>
      <c r="J4012" s="76"/>
    </row>
    <row r="4013" spans="1:10">
      <c r="A4013" s="172"/>
      <c r="D4013" s="56"/>
      <c r="E4013" s="204"/>
      <c r="F4013" s="205"/>
      <c r="G4013" s="206"/>
      <c r="H4013" s="207"/>
      <c r="J4013" s="76"/>
    </row>
    <row r="4014" spans="1:10">
      <c r="A4014" s="172"/>
      <c r="D4014" s="56"/>
      <c r="E4014" s="204"/>
      <c r="F4014" s="205"/>
      <c r="G4014" s="206"/>
      <c r="H4014" s="207"/>
      <c r="J4014" s="76"/>
    </row>
    <row r="4015" spans="1:10">
      <c r="A4015" s="172"/>
      <c r="D4015" s="56"/>
      <c r="E4015" s="204"/>
      <c r="F4015" s="205"/>
      <c r="G4015" s="206"/>
      <c r="H4015" s="207"/>
      <c r="J4015" s="76"/>
    </row>
    <row r="4016" spans="1:10">
      <c r="A4016" s="172"/>
      <c r="D4016" s="56"/>
      <c r="E4016" s="204"/>
      <c r="F4016" s="205"/>
      <c r="G4016" s="206"/>
      <c r="H4016" s="207"/>
      <c r="J4016" s="76"/>
    </row>
    <row r="4017" spans="1:10">
      <c r="A4017" s="172"/>
      <c r="D4017" s="56"/>
      <c r="E4017" s="204"/>
      <c r="F4017" s="205"/>
      <c r="G4017" s="206"/>
      <c r="H4017" s="207"/>
      <c r="J4017" s="76"/>
    </row>
    <row r="4018" spans="1:10">
      <c r="A4018" s="172"/>
      <c r="D4018" s="56"/>
      <c r="E4018" s="204"/>
      <c r="F4018" s="205"/>
      <c r="G4018" s="206"/>
      <c r="H4018" s="207"/>
      <c r="J4018" s="76"/>
    </row>
    <row r="4019" spans="1:10">
      <c r="A4019" s="172"/>
      <c r="D4019" s="56"/>
      <c r="E4019" s="204"/>
      <c r="F4019" s="205"/>
      <c r="G4019" s="206"/>
      <c r="H4019" s="207"/>
      <c r="J4019" s="76"/>
    </row>
    <row r="4020" spans="1:10">
      <c r="A4020" s="172"/>
      <c r="D4020" s="56"/>
      <c r="E4020" s="204"/>
      <c r="F4020" s="205"/>
      <c r="G4020" s="206"/>
      <c r="H4020" s="207"/>
      <c r="J4020" s="76"/>
    </row>
    <row r="4021" spans="1:10">
      <c r="A4021" s="172"/>
      <c r="D4021" s="56"/>
      <c r="E4021" s="204"/>
      <c r="F4021" s="205"/>
      <c r="G4021" s="206"/>
      <c r="H4021" s="207"/>
      <c r="J4021" s="76"/>
    </row>
    <row r="4022" spans="1:10">
      <c r="A4022" s="172"/>
      <c r="D4022" s="56"/>
      <c r="E4022" s="204"/>
      <c r="F4022" s="205"/>
      <c r="G4022" s="206"/>
      <c r="H4022" s="207"/>
      <c r="J4022" s="76"/>
    </row>
    <row r="4023" spans="1:10">
      <c r="A4023" s="172"/>
      <c r="D4023" s="56"/>
      <c r="E4023" s="204"/>
      <c r="F4023" s="205"/>
      <c r="G4023" s="206"/>
      <c r="H4023" s="207"/>
      <c r="J4023" s="76"/>
    </row>
    <row r="4024" spans="1:10">
      <c r="A4024" s="172"/>
      <c r="D4024" s="56"/>
      <c r="E4024" s="204"/>
      <c r="F4024" s="205"/>
      <c r="G4024" s="206"/>
      <c r="H4024" s="207"/>
      <c r="J4024" s="76"/>
    </row>
    <row r="4025" spans="1:10">
      <c r="A4025" s="172"/>
      <c r="D4025" s="56"/>
      <c r="E4025" s="204"/>
      <c r="F4025" s="205"/>
      <c r="G4025" s="206"/>
      <c r="H4025" s="207"/>
      <c r="J4025" s="76"/>
    </row>
    <row r="4026" spans="1:10">
      <c r="A4026" s="172"/>
      <c r="D4026" s="56"/>
      <c r="E4026" s="204"/>
      <c r="F4026" s="205"/>
      <c r="G4026" s="206"/>
      <c r="H4026" s="207"/>
      <c r="J4026" s="76"/>
    </row>
    <row r="4027" spans="1:10">
      <c r="A4027" s="172"/>
      <c r="D4027" s="56"/>
      <c r="E4027" s="204"/>
      <c r="F4027" s="205"/>
      <c r="G4027" s="206"/>
      <c r="H4027" s="207"/>
      <c r="J4027" s="76"/>
    </row>
    <row r="4028" spans="1:10">
      <c r="A4028" s="172"/>
      <c r="D4028" s="56"/>
      <c r="E4028" s="204"/>
      <c r="F4028" s="205"/>
      <c r="G4028" s="206"/>
      <c r="H4028" s="207"/>
      <c r="J4028" s="76"/>
    </row>
    <row r="4029" spans="1:10">
      <c r="A4029" s="172"/>
      <c r="D4029" s="56"/>
      <c r="E4029" s="204"/>
      <c r="F4029" s="205"/>
      <c r="G4029" s="206"/>
      <c r="H4029" s="207"/>
      <c r="J4029" s="76"/>
    </row>
    <row r="4030" spans="1:10">
      <c r="A4030" s="172"/>
      <c r="D4030" s="56"/>
      <c r="E4030" s="204"/>
      <c r="F4030" s="205"/>
      <c r="G4030" s="206"/>
      <c r="H4030" s="207"/>
      <c r="J4030" s="76"/>
    </row>
    <row r="4031" spans="1:10">
      <c r="A4031" s="172"/>
      <c r="D4031" s="56"/>
      <c r="E4031" s="204"/>
      <c r="F4031" s="205"/>
      <c r="G4031" s="206"/>
      <c r="H4031" s="207"/>
      <c r="J4031" s="76"/>
    </row>
    <row r="4032" spans="1:10">
      <c r="A4032" s="172"/>
      <c r="D4032" s="56"/>
      <c r="E4032" s="204"/>
      <c r="F4032" s="205"/>
      <c r="G4032" s="206"/>
      <c r="H4032" s="207"/>
      <c r="J4032" s="76"/>
    </row>
    <row r="4033" spans="1:10">
      <c r="A4033" s="172"/>
      <c r="D4033" s="56"/>
      <c r="E4033" s="204"/>
      <c r="F4033" s="205"/>
      <c r="G4033" s="206"/>
      <c r="H4033" s="207"/>
      <c r="J4033" s="76"/>
    </row>
    <row r="4034" spans="1:10">
      <c r="A4034" s="172"/>
      <c r="D4034" s="56"/>
      <c r="E4034" s="204"/>
      <c r="F4034" s="205"/>
      <c r="G4034" s="206"/>
      <c r="H4034" s="207"/>
      <c r="J4034" s="76"/>
    </row>
    <row r="4035" spans="1:10">
      <c r="A4035" s="172"/>
      <c r="D4035" s="56"/>
      <c r="E4035" s="204"/>
      <c r="F4035" s="205"/>
      <c r="G4035" s="206"/>
      <c r="H4035" s="207"/>
      <c r="J4035" s="76"/>
    </row>
    <row r="4036" spans="1:10">
      <c r="A4036" s="172"/>
      <c r="D4036" s="56"/>
      <c r="E4036" s="204"/>
      <c r="F4036" s="205"/>
      <c r="G4036" s="206"/>
      <c r="H4036" s="207"/>
      <c r="J4036" s="76"/>
    </row>
    <row r="4037" spans="1:10">
      <c r="A4037" s="172"/>
      <c r="D4037" s="56"/>
      <c r="E4037" s="204"/>
      <c r="F4037" s="205"/>
      <c r="G4037" s="206"/>
      <c r="H4037" s="207"/>
      <c r="J4037" s="76"/>
    </row>
    <row r="4038" spans="1:10">
      <c r="A4038" s="172"/>
      <c r="D4038" s="56"/>
      <c r="E4038" s="204"/>
      <c r="F4038" s="205"/>
      <c r="G4038" s="206"/>
      <c r="H4038" s="207"/>
      <c r="J4038" s="76"/>
    </row>
    <row r="4039" spans="1:10">
      <c r="A4039" s="172"/>
      <c r="D4039" s="56"/>
      <c r="E4039" s="204"/>
      <c r="F4039" s="205"/>
      <c r="G4039" s="206"/>
      <c r="H4039" s="207"/>
      <c r="J4039" s="76"/>
    </row>
    <row r="4040" spans="1:10">
      <c r="A4040" s="172"/>
      <c r="D4040" s="56"/>
      <c r="E4040" s="204"/>
      <c r="F4040" s="205"/>
      <c r="G4040" s="206"/>
      <c r="H4040" s="207"/>
      <c r="J4040" s="76"/>
    </row>
    <row r="4041" spans="1:10">
      <c r="A4041" s="172"/>
      <c r="D4041" s="56"/>
      <c r="E4041" s="204"/>
      <c r="F4041" s="205"/>
      <c r="G4041" s="206"/>
      <c r="H4041" s="207"/>
      <c r="J4041" s="76"/>
    </row>
    <row r="4042" spans="1:10">
      <c r="A4042" s="172"/>
      <c r="D4042" s="56"/>
      <c r="E4042" s="204"/>
      <c r="F4042" s="205"/>
      <c r="G4042" s="206"/>
      <c r="H4042" s="207"/>
      <c r="J4042" s="76"/>
    </row>
    <row r="4043" spans="1:10">
      <c r="A4043" s="172"/>
      <c r="D4043" s="56"/>
      <c r="E4043" s="204"/>
      <c r="F4043" s="205"/>
      <c r="G4043" s="206"/>
      <c r="H4043" s="207"/>
      <c r="J4043" s="76"/>
    </row>
    <row r="4044" spans="1:10">
      <c r="A4044" s="172"/>
      <c r="D4044" s="56"/>
      <c r="E4044" s="204"/>
      <c r="F4044" s="205"/>
      <c r="G4044" s="206"/>
      <c r="H4044" s="207"/>
      <c r="J4044" s="76"/>
    </row>
    <row r="4045" spans="1:10">
      <c r="A4045" s="172"/>
      <c r="D4045" s="56"/>
      <c r="E4045" s="204"/>
      <c r="F4045" s="205"/>
      <c r="G4045" s="206"/>
      <c r="H4045" s="207"/>
      <c r="J4045" s="76"/>
    </row>
    <row r="4046" spans="1:10">
      <c r="A4046" s="172"/>
      <c r="D4046" s="56"/>
      <c r="E4046" s="204"/>
      <c r="F4046" s="205"/>
      <c r="G4046" s="206"/>
      <c r="H4046" s="207"/>
      <c r="J4046" s="76"/>
    </row>
    <row r="4047" spans="1:10">
      <c r="A4047" s="172"/>
      <c r="D4047" s="56"/>
      <c r="E4047" s="204"/>
      <c r="F4047" s="205"/>
      <c r="G4047" s="206"/>
      <c r="H4047" s="207"/>
      <c r="J4047" s="76"/>
    </row>
    <row r="4048" spans="1:10">
      <c r="A4048" s="172"/>
      <c r="D4048" s="56"/>
      <c r="E4048" s="204"/>
      <c r="F4048" s="205"/>
      <c r="G4048" s="206"/>
      <c r="H4048" s="207"/>
      <c r="J4048" s="76"/>
    </row>
    <row r="4049" spans="1:10">
      <c r="A4049" s="172"/>
      <c r="D4049" s="56"/>
      <c r="E4049" s="204"/>
      <c r="F4049" s="205"/>
      <c r="G4049" s="206"/>
      <c r="H4049" s="207"/>
      <c r="J4049" s="76"/>
    </row>
    <row r="4050" spans="1:10">
      <c r="A4050" s="172"/>
      <c r="D4050" s="56"/>
      <c r="E4050" s="204"/>
      <c r="F4050" s="205"/>
      <c r="G4050" s="206"/>
      <c r="H4050" s="207"/>
      <c r="J4050" s="76"/>
    </row>
    <row r="4051" spans="1:10">
      <c r="A4051" s="172"/>
      <c r="D4051" s="56"/>
      <c r="E4051" s="204"/>
      <c r="F4051" s="205"/>
      <c r="G4051" s="206"/>
      <c r="H4051" s="207"/>
      <c r="J4051" s="76"/>
    </row>
    <row r="4052" spans="1:10">
      <c r="A4052" s="172"/>
      <c r="D4052" s="56"/>
      <c r="E4052" s="204"/>
      <c r="F4052" s="205"/>
      <c r="G4052" s="206"/>
      <c r="H4052" s="207"/>
      <c r="J4052" s="76"/>
    </row>
    <row r="4053" spans="1:10">
      <c r="A4053" s="172"/>
      <c r="D4053" s="56"/>
      <c r="E4053" s="204"/>
      <c r="F4053" s="205"/>
      <c r="G4053" s="206"/>
      <c r="H4053" s="207"/>
      <c r="J4053" s="76"/>
    </row>
    <row r="4054" spans="1:10">
      <c r="A4054" s="172"/>
      <c r="D4054" s="56"/>
      <c r="E4054" s="204"/>
      <c r="F4054" s="205"/>
      <c r="G4054" s="206"/>
      <c r="H4054" s="207"/>
      <c r="J4054" s="76"/>
    </row>
    <row r="4055" spans="1:10">
      <c r="A4055" s="172"/>
      <c r="D4055" s="56"/>
      <c r="E4055" s="204"/>
      <c r="F4055" s="205"/>
      <c r="G4055" s="206"/>
      <c r="H4055" s="207"/>
      <c r="J4055" s="76"/>
    </row>
    <row r="4056" spans="1:10">
      <c r="A4056" s="172"/>
      <c r="D4056" s="56"/>
      <c r="E4056" s="204"/>
      <c r="F4056" s="205"/>
      <c r="G4056" s="206"/>
      <c r="H4056" s="207"/>
      <c r="J4056" s="76"/>
    </row>
    <row r="4057" spans="1:10">
      <c r="A4057" s="172"/>
      <c r="D4057" s="56"/>
      <c r="E4057" s="204"/>
      <c r="F4057" s="205"/>
      <c r="G4057" s="206"/>
      <c r="H4057" s="207"/>
      <c r="J4057" s="76"/>
    </row>
    <row r="4058" spans="1:10">
      <c r="A4058" s="172"/>
      <c r="D4058" s="56"/>
      <c r="E4058" s="204"/>
      <c r="F4058" s="205"/>
      <c r="G4058" s="206"/>
      <c r="H4058" s="207"/>
      <c r="J4058" s="76"/>
    </row>
    <row r="4059" spans="1:10">
      <c r="A4059" s="172"/>
      <c r="D4059" s="56"/>
      <c r="E4059" s="204"/>
      <c r="F4059" s="205"/>
      <c r="G4059" s="206"/>
      <c r="H4059" s="207"/>
      <c r="J4059" s="76"/>
    </row>
    <row r="4060" spans="1:10">
      <c r="A4060" s="172"/>
      <c r="D4060" s="56"/>
      <c r="E4060" s="204"/>
      <c r="F4060" s="205"/>
      <c r="G4060" s="206"/>
      <c r="H4060" s="207"/>
      <c r="J4060" s="76"/>
    </row>
    <row r="4061" spans="1:10">
      <c r="A4061" s="172"/>
      <c r="D4061" s="56"/>
      <c r="E4061" s="204"/>
      <c r="F4061" s="205"/>
      <c r="G4061" s="206"/>
      <c r="H4061" s="207"/>
      <c r="J4061" s="76"/>
    </row>
    <row r="4062" spans="1:10">
      <c r="A4062" s="172"/>
      <c r="D4062" s="56"/>
      <c r="E4062" s="204"/>
      <c r="F4062" s="205"/>
      <c r="G4062" s="206"/>
      <c r="H4062" s="207"/>
      <c r="J4062" s="76"/>
    </row>
    <row r="4063" spans="1:10">
      <c r="A4063" s="172"/>
      <c r="D4063" s="56"/>
      <c r="E4063" s="204"/>
      <c r="F4063" s="205"/>
      <c r="G4063" s="206"/>
      <c r="H4063" s="207"/>
      <c r="J4063" s="76"/>
    </row>
    <row r="4064" spans="1:10">
      <c r="A4064" s="172"/>
      <c r="D4064" s="56"/>
      <c r="E4064" s="204"/>
      <c r="F4064" s="205"/>
      <c r="G4064" s="206"/>
      <c r="H4064" s="207"/>
      <c r="J4064" s="76"/>
    </row>
    <row r="4065" spans="1:10">
      <c r="A4065" s="172"/>
      <c r="D4065" s="56"/>
      <c r="E4065" s="204"/>
      <c r="F4065" s="205"/>
      <c r="G4065" s="206"/>
      <c r="H4065" s="207"/>
      <c r="J4065" s="76"/>
    </row>
    <row r="4066" spans="1:10">
      <c r="A4066" s="172"/>
      <c r="D4066" s="56"/>
      <c r="E4066" s="204"/>
      <c r="F4066" s="205"/>
      <c r="G4066" s="206"/>
      <c r="H4066" s="207"/>
      <c r="J4066" s="76"/>
    </row>
    <row r="4067" spans="1:10">
      <c r="A4067" s="172"/>
      <c r="D4067" s="56"/>
      <c r="E4067" s="204"/>
      <c r="F4067" s="205"/>
      <c r="G4067" s="206"/>
      <c r="H4067" s="207"/>
      <c r="J4067" s="76"/>
    </row>
    <row r="4068" spans="1:10">
      <c r="A4068" s="172"/>
      <c r="D4068" s="56"/>
      <c r="E4068" s="204"/>
      <c r="F4068" s="205"/>
      <c r="G4068" s="206"/>
      <c r="H4068" s="207"/>
      <c r="J4068" s="76"/>
    </row>
    <row r="4069" spans="1:10">
      <c r="A4069" s="172"/>
      <c r="D4069" s="56"/>
      <c r="E4069" s="204"/>
      <c r="F4069" s="205"/>
      <c r="G4069" s="206"/>
      <c r="H4069" s="207"/>
      <c r="J4069" s="76"/>
    </row>
    <row r="4070" spans="1:10">
      <c r="A4070" s="172"/>
      <c r="D4070" s="56"/>
      <c r="E4070" s="204"/>
      <c r="F4070" s="205"/>
      <c r="G4070" s="206"/>
      <c r="H4070" s="207"/>
      <c r="J4070" s="76"/>
    </row>
    <row r="4071" spans="1:10">
      <c r="A4071" s="172"/>
      <c r="D4071" s="56"/>
      <c r="E4071" s="204"/>
      <c r="F4071" s="205"/>
      <c r="G4071" s="206"/>
      <c r="H4071" s="207"/>
      <c r="J4071" s="76"/>
    </row>
    <row r="4072" spans="1:10">
      <c r="A4072" s="172"/>
      <c r="D4072" s="56"/>
      <c r="E4072" s="204"/>
      <c r="F4072" s="205"/>
      <c r="G4072" s="206"/>
      <c r="H4072" s="207"/>
      <c r="J4072" s="76"/>
    </row>
    <row r="4073" spans="1:10">
      <c r="A4073" s="172"/>
      <c r="D4073" s="56"/>
      <c r="E4073" s="204"/>
      <c r="F4073" s="205"/>
      <c r="G4073" s="206"/>
      <c r="H4073" s="207"/>
      <c r="J4073" s="76"/>
    </row>
    <row r="4074" spans="1:10">
      <c r="A4074" s="172"/>
      <c r="D4074" s="56"/>
      <c r="E4074" s="204"/>
      <c r="F4074" s="205"/>
      <c r="G4074" s="206"/>
      <c r="H4074" s="207"/>
      <c r="J4074" s="76"/>
    </row>
    <row r="4075" spans="1:10">
      <c r="A4075" s="172"/>
      <c r="D4075" s="56"/>
      <c r="E4075" s="204"/>
      <c r="F4075" s="205"/>
      <c r="G4075" s="206"/>
      <c r="H4075" s="207"/>
      <c r="J4075" s="76"/>
    </row>
    <row r="4076" spans="1:10">
      <c r="A4076" s="172"/>
      <c r="D4076" s="56"/>
      <c r="E4076" s="204"/>
      <c r="F4076" s="205"/>
      <c r="G4076" s="206"/>
      <c r="H4076" s="207"/>
      <c r="J4076" s="76"/>
    </row>
    <row r="4077" spans="1:10">
      <c r="A4077" s="172"/>
      <c r="D4077" s="56"/>
      <c r="E4077" s="204"/>
      <c r="F4077" s="205"/>
      <c r="G4077" s="206"/>
      <c r="H4077" s="207"/>
      <c r="J4077" s="76"/>
    </row>
    <row r="4078" spans="1:10">
      <c r="A4078" s="172"/>
      <c r="D4078" s="56"/>
      <c r="E4078" s="204"/>
      <c r="F4078" s="205"/>
      <c r="G4078" s="206"/>
      <c r="H4078" s="207"/>
      <c r="J4078" s="76"/>
    </row>
    <row r="4079" spans="1:10">
      <c r="A4079" s="172"/>
      <c r="D4079" s="56"/>
      <c r="E4079" s="204"/>
      <c r="F4079" s="205"/>
      <c r="G4079" s="206"/>
      <c r="H4079" s="207"/>
      <c r="J4079" s="76"/>
    </row>
    <row r="4080" spans="1:10">
      <c r="A4080" s="172"/>
      <c r="D4080" s="56"/>
      <c r="E4080" s="204"/>
      <c r="F4080" s="205"/>
      <c r="G4080" s="206"/>
      <c r="H4080" s="207"/>
      <c r="J4080" s="76"/>
    </row>
    <row r="4081" spans="1:10">
      <c r="A4081" s="172"/>
      <c r="D4081" s="56"/>
      <c r="E4081" s="204"/>
      <c r="F4081" s="205"/>
      <c r="G4081" s="206"/>
      <c r="H4081" s="207"/>
      <c r="J4081" s="76"/>
    </row>
    <row r="4082" spans="1:10">
      <c r="A4082" s="172"/>
      <c r="D4082" s="56"/>
      <c r="E4082" s="204"/>
      <c r="F4082" s="205"/>
      <c r="G4082" s="206"/>
      <c r="H4082" s="207"/>
      <c r="J4082" s="76"/>
    </row>
    <row r="4083" spans="1:10">
      <c r="A4083" s="172"/>
      <c r="D4083" s="56"/>
      <c r="E4083" s="204"/>
      <c r="F4083" s="205"/>
      <c r="G4083" s="206"/>
      <c r="H4083" s="207"/>
      <c r="J4083" s="76"/>
    </row>
    <row r="4084" spans="1:10">
      <c r="A4084" s="172"/>
      <c r="D4084" s="56"/>
      <c r="E4084" s="204"/>
      <c r="F4084" s="205"/>
      <c r="G4084" s="206"/>
      <c r="H4084" s="207"/>
      <c r="J4084" s="76"/>
    </row>
    <row r="4085" spans="1:10">
      <c r="A4085" s="172"/>
      <c r="D4085" s="56"/>
      <c r="E4085" s="204"/>
      <c r="F4085" s="205"/>
      <c r="G4085" s="206"/>
      <c r="H4085" s="207"/>
      <c r="J4085" s="76"/>
    </row>
    <row r="4086" spans="1:10">
      <c r="A4086" s="172"/>
      <c r="D4086" s="56"/>
      <c r="E4086" s="204"/>
      <c r="F4086" s="205"/>
      <c r="G4086" s="206"/>
      <c r="H4086" s="207"/>
      <c r="J4086" s="76"/>
    </row>
    <row r="4087" spans="1:10">
      <c r="A4087" s="172"/>
      <c r="D4087" s="56"/>
      <c r="E4087" s="204"/>
      <c r="F4087" s="205"/>
      <c r="G4087" s="206"/>
      <c r="H4087" s="207"/>
      <c r="J4087" s="76"/>
    </row>
    <row r="4088" spans="1:10">
      <c r="A4088" s="172"/>
      <c r="D4088" s="56"/>
      <c r="E4088" s="204"/>
      <c r="F4088" s="205"/>
      <c r="G4088" s="206"/>
      <c r="H4088" s="207"/>
      <c r="J4088" s="76"/>
    </row>
    <row r="4089" spans="1:10">
      <c r="A4089" s="172"/>
      <c r="D4089" s="56"/>
      <c r="E4089" s="204"/>
      <c r="F4089" s="205"/>
      <c r="G4089" s="206"/>
      <c r="H4089" s="207"/>
      <c r="J4089" s="76"/>
    </row>
    <row r="4090" spans="1:10">
      <c r="A4090" s="172"/>
      <c r="D4090" s="56"/>
      <c r="E4090" s="204"/>
      <c r="F4090" s="205"/>
      <c r="G4090" s="206"/>
      <c r="H4090" s="207"/>
      <c r="J4090" s="76"/>
    </row>
    <row r="4091" spans="1:10">
      <c r="A4091" s="172"/>
      <c r="D4091" s="56"/>
      <c r="E4091" s="204"/>
      <c r="F4091" s="205"/>
      <c r="G4091" s="206"/>
      <c r="H4091" s="207"/>
      <c r="J4091" s="76"/>
    </row>
    <row r="4092" spans="1:10">
      <c r="A4092" s="172"/>
      <c r="D4092" s="56"/>
      <c r="E4092" s="204"/>
      <c r="F4092" s="205"/>
      <c r="G4092" s="206"/>
      <c r="H4092" s="207"/>
      <c r="J4092" s="76"/>
    </row>
    <row r="4093" spans="1:10">
      <c r="A4093" s="172"/>
      <c r="D4093" s="56"/>
      <c r="E4093" s="204"/>
      <c r="F4093" s="205"/>
      <c r="G4093" s="206"/>
      <c r="H4093" s="207"/>
      <c r="J4093" s="76"/>
    </row>
    <row r="4094" spans="1:10">
      <c r="A4094" s="172"/>
      <c r="D4094" s="56"/>
      <c r="E4094" s="204"/>
      <c r="F4094" s="205"/>
      <c r="G4094" s="206"/>
      <c r="H4094" s="207"/>
      <c r="J4094" s="76"/>
    </row>
    <row r="4095" spans="1:10">
      <c r="A4095" s="172"/>
      <c r="D4095" s="56"/>
      <c r="E4095" s="204"/>
      <c r="F4095" s="205"/>
      <c r="G4095" s="206"/>
      <c r="H4095" s="207"/>
      <c r="J4095" s="76"/>
    </row>
    <row r="4096" spans="1:10">
      <c r="A4096" s="172"/>
      <c r="D4096" s="56"/>
      <c r="E4096" s="204"/>
      <c r="F4096" s="205"/>
      <c r="G4096" s="206"/>
      <c r="H4096" s="207"/>
      <c r="J4096" s="76"/>
    </row>
    <row r="4097" spans="1:10">
      <c r="A4097" s="172"/>
      <c r="D4097" s="56"/>
      <c r="E4097" s="204"/>
      <c r="F4097" s="205"/>
      <c r="G4097" s="206"/>
      <c r="H4097" s="207"/>
      <c r="J4097" s="76"/>
    </row>
    <row r="4098" spans="1:10">
      <c r="A4098" s="172"/>
      <c r="D4098" s="56"/>
      <c r="E4098" s="204"/>
      <c r="F4098" s="205"/>
      <c r="G4098" s="206"/>
      <c r="H4098" s="207"/>
      <c r="J4098" s="76"/>
    </row>
    <row r="4099" spans="1:10">
      <c r="A4099" s="172"/>
      <c r="D4099" s="56"/>
      <c r="E4099" s="204"/>
      <c r="F4099" s="205"/>
      <c r="G4099" s="206"/>
      <c r="H4099" s="207"/>
      <c r="J4099" s="76"/>
    </row>
    <row r="4100" spans="1:10">
      <c r="A4100" s="172"/>
      <c r="D4100" s="56"/>
      <c r="E4100" s="204"/>
      <c r="F4100" s="205"/>
      <c r="G4100" s="206"/>
      <c r="H4100" s="207"/>
      <c r="J4100" s="76"/>
    </row>
    <row r="4101" spans="1:10">
      <c r="A4101" s="172"/>
      <c r="D4101" s="56"/>
      <c r="E4101" s="204"/>
      <c r="F4101" s="205"/>
      <c r="G4101" s="206"/>
      <c r="H4101" s="207"/>
      <c r="J4101" s="76"/>
    </row>
    <row r="4102" spans="1:10">
      <c r="A4102" s="172"/>
      <c r="D4102" s="56"/>
      <c r="E4102" s="204"/>
      <c r="F4102" s="205"/>
      <c r="G4102" s="206"/>
      <c r="H4102" s="207"/>
      <c r="J4102" s="76"/>
    </row>
    <row r="4103" spans="1:10">
      <c r="A4103" s="172"/>
      <c r="D4103" s="56"/>
      <c r="E4103" s="204"/>
      <c r="F4103" s="205"/>
      <c r="G4103" s="206"/>
      <c r="H4103" s="207"/>
      <c r="J4103" s="76"/>
    </row>
    <row r="4104" spans="1:10">
      <c r="A4104" s="172"/>
      <c r="D4104" s="56"/>
      <c r="E4104" s="204"/>
      <c r="F4104" s="205"/>
      <c r="G4104" s="206"/>
      <c r="H4104" s="207"/>
      <c r="J4104" s="76"/>
    </row>
    <row r="4105" spans="1:10">
      <c r="A4105" s="172"/>
      <c r="D4105" s="56"/>
      <c r="E4105" s="204"/>
      <c r="F4105" s="205"/>
      <c r="G4105" s="206"/>
      <c r="H4105" s="207"/>
      <c r="J4105" s="76"/>
    </row>
    <row r="4106" spans="1:10">
      <c r="A4106" s="172"/>
      <c r="D4106" s="56"/>
      <c r="E4106" s="204"/>
      <c r="F4106" s="205"/>
      <c r="G4106" s="206"/>
      <c r="H4106" s="207"/>
      <c r="J4106" s="76"/>
    </row>
    <row r="4107" spans="1:10">
      <c r="A4107" s="172"/>
      <c r="D4107" s="56"/>
      <c r="E4107" s="204"/>
      <c r="F4107" s="205"/>
      <c r="G4107" s="206"/>
      <c r="H4107" s="207"/>
      <c r="J4107" s="76"/>
    </row>
    <row r="4108" spans="1:10">
      <c r="A4108" s="172"/>
      <c r="D4108" s="56"/>
      <c r="E4108" s="204"/>
      <c r="F4108" s="205"/>
      <c r="G4108" s="206"/>
      <c r="H4108" s="207"/>
      <c r="J4108" s="76"/>
    </row>
    <row r="4109" spans="1:10">
      <c r="A4109" s="172"/>
      <c r="D4109" s="56"/>
      <c r="E4109" s="204"/>
      <c r="F4109" s="205"/>
      <c r="G4109" s="206"/>
      <c r="H4109" s="207"/>
      <c r="J4109" s="76"/>
    </row>
    <row r="4110" spans="1:10">
      <c r="A4110" s="172"/>
      <c r="D4110" s="56"/>
      <c r="E4110" s="204"/>
      <c r="F4110" s="205"/>
      <c r="G4110" s="206"/>
      <c r="H4110" s="207"/>
      <c r="J4110" s="76"/>
    </row>
    <row r="4111" spans="1:10">
      <c r="A4111" s="172"/>
      <c r="D4111" s="56"/>
      <c r="E4111" s="204"/>
      <c r="F4111" s="205"/>
      <c r="G4111" s="206"/>
      <c r="H4111" s="207"/>
      <c r="J4111" s="76"/>
    </row>
    <row r="4112" spans="1:10">
      <c r="A4112" s="172"/>
      <c r="D4112" s="56"/>
      <c r="E4112" s="204"/>
      <c r="F4112" s="205"/>
      <c r="G4112" s="206"/>
      <c r="H4112" s="207"/>
      <c r="J4112" s="76"/>
    </row>
    <row r="4113" spans="1:10">
      <c r="A4113" s="172"/>
      <c r="D4113" s="56"/>
      <c r="E4113" s="204"/>
      <c r="F4113" s="205"/>
      <c r="G4113" s="206"/>
      <c r="H4113" s="207"/>
      <c r="J4113" s="76"/>
    </row>
    <row r="4114" spans="1:10">
      <c r="A4114" s="172"/>
      <c r="D4114" s="56"/>
      <c r="E4114" s="204"/>
      <c r="F4114" s="205"/>
      <c r="G4114" s="206"/>
      <c r="H4114" s="207"/>
      <c r="J4114" s="76"/>
    </row>
    <row r="4115" spans="1:10">
      <c r="A4115" s="172"/>
      <c r="D4115" s="56"/>
      <c r="E4115" s="204"/>
      <c r="F4115" s="205"/>
      <c r="G4115" s="206"/>
      <c r="H4115" s="207"/>
      <c r="J4115" s="76"/>
    </row>
    <row r="4116" spans="1:10">
      <c r="A4116" s="172"/>
      <c r="D4116" s="56"/>
      <c r="E4116" s="204"/>
      <c r="F4116" s="205"/>
      <c r="G4116" s="206"/>
      <c r="H4116" s="207"/>
      <c r="J4116" s="76"/>
    </row>
    <row r="4117" spans="1:10">
      <c r="A4117" s="172"/>
      <c r="D4117" s="56"/>
      <c r="E4117" s="204"/>
      <c r="F4117" s="205"/>
      <c r="G4117" s="206"/>
      <c r="H4117" s="207"/>
      <c r="J4117" s="76"/>
    </row>
    <row r="4118" spans="1:10">
      <c r="A4118" s="172"/>
      <c r="D4118" s="56"/>
      <c r="E4118" s="204"/>
      <c r="F4118" s="205"/>
      <c r="G4118" s="206"/>
      <c r="H4118" s="207"/>
      <c r="J4118" s="76"/>
    </row>
    <row r="4119" spans="1:10">
      <c r="A4119" s="172"/>
      <c r="D4119" s="56"/>
      <c r="E4119" s="204"/>
      <c r="F4119" s="205"/>
      <c r="G4119" s="206"/>
      <c r="H4119" s="207"/>
      <c r="J4119" s="76"/>
    </row>
    <row r="4120" spans="1:10">
      <c r="A4120" s="172"/>
      <c r="D4120" s="56"/>
      <c r="E4120" s="204"/>
      <c r="F4120" s="205"/>
      <c r="G4120" s="206"/>
      <c r="H4120" s="207"/>
      <c r="J4120" s="76"/>
    </row>
    <row r="4121" spans="1:10">
      <c r="A4121" s="172"/>
      <c r="D4121" s="56"/>
      <c r="E4121" s="204"/>
      <c r="F4121" s="205"/>
      <c r="G4121" s="206"/>
      <c r="H4121" s="207"/>
      <c r="J4121" s="76"/>
    </row>
    <row r="4122" spans="1:10">
      <c r="A4122" s="172"/>
      <c r="D4122" s="56"/>
      <c r="E4122" s="204"/>
      <c r="F4122" s="205"/>
      <c r="G4122" s="206"/>
      <c r="H4122" s="207"/>
      <c r="J4122" s="76"/>
    </row>
    <row r="4123" spans="1:10">
      <c r="A4123" s="172"/>
      <c r="D4123" s="56"/>
      <c r="E4123" s="204"/>
      <c r="F4123" s="205"/>
      <c r="G4123" s="206"/>
      <c r="H4123" s="207"/>
      <c r="J4123" s="76"/>
    </row>
    <row r="4124" spans="1:10">
      <c r="A4124" s="172"/>
      <c r="D4124" s="56"/>
      <c r="E4124" s="204"/>
      <c r="F4124" s="205"/>
      <c r="G4124" s="206"/>
      <c r="H4124" s="207"/>
      <c r="J4124" s="76"/>
    </row>
    <row r="4125" spans="1:10">
      <c r="A4125" s="172"/>
      <c r="D4125" s="56"/>
      <c r="E4125" s="204"/>
      <c r="F4125" s="205"/>
      <c r="G4125" s="206"/>
      <c r="H4125" s="207"/>
      <c r="J4125" s="76"/>
    </row>
    <row r="4126" spans="1:10">
      <c r="A4126" s="172"/>
      <c r="D4126" s="56"/>
      <c r="E4126" s="204"/>
      <c r="F4126" s="205"/>
      <c r="G4126" s="206"/>
      <c r="H4126" s="207"/>
      <c r="J4126" s="76"/>
    </row>
    <row r="4127" spans="1:10">
      <c r="A4127" s="172"/>
      <c r="D4127" s="56"/>
      <c r="E4127" s="204"/>
      <c r="F4127" s="205"/>
      <c r="G4127" s="206"/>
      <c r="H4127" s="207"/>
      <c r="J4127" s="76"/>
    </row>
    <row r="4128" spans="1:10">
      <c r="A4128" s="172"/>
      <c r="D4128" s="56"/>
      <c r="E4128" s="204"/>
      <c r="F4128" s="205"/>
      <c r="G4128" s="206"/>
      <c r="H4128" s="207"/>
      <c r="J4128" s="76"/>
    </row>
    <row r="4129" spans="1:10">
      <c r="A4129" s="172"/>
      <c r="D4129" s="56"/>
      <c r="E4129" s="204"/>
      <c r="F4129" s="205"/>
      <c r="G4129" s="206"/>
      <c r="H4129" s="207"/>
      <c r="J4129" s="76"/>
    </row>
    <row r="4130" spans="1:10">
      <c r="A4130" s="172"/>
      <c r="D4130" s="56"/>
      <c r="E4130" s="204"/>
      <c r="F4130" s="205"/>
      <c r="G4130" s="206"/>
      <c r="H4130" s="207"/>
      <c r="J4130" s="76"/>
    </row>
    <row r="4131" spans="1:10">
      <c r="A4131" s="172"/>
      <c r="D4131" s="56"/>
      <c r="E4131" s="204"/>
      <c r="F4131" s="205"/>
      <c r="G4131" s="206"/>
      <c r="H4131" s="207"/>
      <c r="J4131" s="76"/>
    </row>
    <row r="4132" spans="1:10">
      <c r="A4132" s="172"/>
      <c r="D4132" s="56"/>
      <c r="E4132" s="204"/>
      <c r="F4132" s="205"/>
      <c r="G4132" s="206"/>
      <c r="H4132" s="207"/>
      <c r="J4132" s="76"/>
    </row>
    <row r="4133" spans="1:10">
      <c r="A4133" s="172"/>
      <c r="D4133" s="56"/>
      <c r="E4133" s="204"/>
      <c r="F4133" s="205"/>
      <c r="G4133" s="206"/>
      <c r="H4133" s="207"/>
      <c r="J4133" s="76"/>
    </row>
    <row r="4134" spans="1:10">
      <c r="A4134" s="172"/>
      <c r="D4134" s="56"/>
      <c r="E4134" s="204"/>
      <c r="F4134" s="205"/>
      <c r="G4134" s="206"/>
      <c r="H4134" s="207"/>
      <c r="J4134" s="76"/>
    </row>
    <row r="4135" spans="1:10">
      <c r="A4135" s="172"/>
      <c r="D4135" s="56"/>
      <c r="E4135" s="204"/>
      <c r="F4135" s="205"/>
      <c r="G4135" s="206"/>
      <c r="H4135" s="207"/>
      <c r="J4135" s="76"/>
    </row>
    <row r="4136" spans="1:10">
      <c r="A4136" s="172"/>
      <c r="D4136" s="56"/>
      <c r="E4136" s="204"/>
      <c r="F4136" s="205"/>
      <c r="G4136" s="206"/>
      <c r="H4136" s="207"/>
      <c r="J4136" s="76"/>
    </row>
    <row r="4137" spans="1:10">
      <c r="A4137" s="172"/>
      <c r="D4137" s="56"/>
      <c r="E4137" s="204"/>
      <c r="F4137" s="205"/>
      <c r="G4137" s="206"/>
      <c r="H4137" s="207"/>
      <c r="J4137" s="76"/>
    </row>
    <row r="4138" spans="1:10">
      <c r="A4138" s="172"/>
      <c r="D4138" s="56"/>
      <c r="E4138" s="204"/>
      <c r="F4138" s="205"/>
      <c r="G4138" s="206"/>
      <c r="H4138" s="207"/>
      <c r="J4138" s="76"/>
    </row>
    <row r="4139" spans="1:10">
      <c r="A4139" s="172"/>
      <c r="D4139" s="56"/>
      <c r="E4139" s="204"/>
      <c r="F4139" s="205"/>
      <c r="G4139" s="206"/>
      <c r="H4139" s="207"/>
      <c r="J4139" s="76"/>
    </row>
    <row r="4140" spans="1:10">
      <c r="A4140" s="172"/>
      <c r="D4140" s="56"/>
      <c r="E4140" s="204"/>
      <c r="F4140" s="205"/>
      <c r="G4140" s="206"/>
      <c r="H4140" s="207"/>
      <c r="J4140" s="76"/>
    </row>
    <row r="4141" spans="1:10">
      <c r="A4141" s="172"/>
      <c r="D4141" s="56"/>
      <c r="E4141" s="204"/>
      <c r="F4141" s="205"/>
      <c r="G4141" s="206"/>
      <c r="H4141" s="207"/>
      <c r="J4141" s="76"/>
    </row>
    <row r="4142" spans="1:10">
      <c r="A4142" s="172"/>
      <c r="D4142" s="56"/>
      <c r="E4142" s="204"/>
      <c r="F4142" s="205"/>
      <c r="G4142" s="206"/>
      <c r="H4142" s="207"/>
      <c r="J4142" s="76"/>
    </row>
    <row r="4143" spans="1:10">
      <c r="A4143" s="172"/>
      <c r="D4143" s="56"/>
      <c r="E4143" s="204"/>
      <c r="F4143" s="205"/>
      <c r="G4143" s="206"/>
      <c r="H4143" s="207"/>
      <c r="J4143" s="76"/>
    </row>
    <row r="4144" spans="1:10">
      <c r="A4144" s="172"/>
      <c r="D4144" s="56"/>
      <c r="E4144" s="204"/>
      <c r="F4144" s="205"/>
      <c r="G4144" s="206"/>
      <c r="H4144" s="207"/>
      <c r="J4144" s="76"/>
    </row>
    <row r="4145" spans="1:10">
      <c r="A4145" s="172"/>
      <c r="D4145" s="56"/>
      <c r="E4145" s="204"/>
      <c r="F4145" s="205"/>
      <c r="G4145" s="206"/>
      <c r="H4145" s="207"/>
      <c r="J4145" s="76"/>
    </row>
    <row r="4146" spans="1:10">
      <c r="A4146" s="172"/>
      <c r="D4146" s="56"/>
      <c r="E4146" s="204"/>
      <c r="F4146" s="205"/>
      <c r="G4146" s="206"/>
      <c r="H4146" s="207"/>
      <c r="J4146" s="76"/>
    </row>
    <row r="4147" spans="1:10">
      <c r="A4147" s="172"/>
      <c r="D4147" s="56"/>
      <c r="E4147" s="204"/>
      <c r="F4147" s="205"/>
      <c r="G4147" s="206"/>
      <c r="H4147" s="207"/>
      <c r="J4147" s="76"/>
    </row>
    <row r="4148" spans="1:10">
      <c r="A4148" s="172"/>
      <c r="D4148" s="56"/>
      <c r="E4148" s="204"/>
      <c r="F4148" s="205"/>
      <c r="G4148" s="206"/>
      <c r="H4148" s="207"/>
      <c r="J4148" s="76"/>
    </row>
    <row r="4149" spans="1:10">
      <c r="A4149" s="172"/>
      <c r="D4149" s="56"/>
      <c r="E4149" s="204"/>
      <c r="F4149" s="205"/>
      <c r="G4149" s="206"/>
      <c r="H4149" s="207"/>
      <c r="J4149" s="76"/>
    </row>
    <row r="4150" spans="1:10">
      <c r="A4150" s="172"/>
      <c r="D4150" s="56"/>
      <c r="E4150" s="204"/>
      <c r="F4150" s="205"/>
      <c r="G4150" s="206"/>
      <c r="H4150" s="207"/>
      <c r="J4150" s="76"/>
    </row>
    <row r="4151" spans="1:10">
      <c r="A4151" s="172"/>
      <c r="D4151" s="56"/>
      <c r="E4151" s="204"/>
      <c r="F4151" s="205"/>
      <c r="G4151" s="206"/>
      <c r="H4151" s="207"/>
      <c r="J4151" s="76"/>
    </row>
    <row r="4152" spans="1:10">
      <c r="A4152" s="172"/>
      <c r="D4152" s="56"/>
      <c r="E4152" s="204"/>
      <c r="F4152" s="205"/>
      <c r="G4152" s="206"/>
      <c r="H4152" s="207"/>
      <c r="J4152" s="76"/>
    </row>
    <row r="4153" spans="1:10">
      <c r="A4153" s="172"/>
      <c r="D4153" s="56"/>
      <c r="E4153" s="204"/>
      <c r="F4153" s="205"/>
      <c r="G4153" s="206"/>
      <c r="H4153" s="207"/>
      <c r="J4153" s="76"/>
    </row>
    <row r="4154" spans="1:10">
      <c r="A4154" s="172"/>
      <c r="D4154" s="56"/>
      <c r="E4154" s="204"/>
      <c r="F4154" s="205"/>
      <c r="G4154" s="206"/>
      <c r="H4154" s="207"/>
      <c r="J4154" s="76"/>
    </row>
    <row r="4155" spans="1:10">
      <c r="A4155" s="172"/>
      <c r="D4155" s="56"/>
      <c r="E4155" s="204"/>
      <c r="F4155" s="205"/>
      <c r="G4155" s="206"/>
      <c r="H4155" s="207"/>
      <c r="J4155" s="76"/>
    </row>
    <row r="4156" spans="1:10">
      <c r="A4156" s="172"/>
      <c r="D4156" s="56"/>
      <c r="E4156" s="204"/>
      <c r="F4156" s="205"/>
      <c r="G4156" s="206"/>
      <c r="H4156" s="207"/>
      <c r="J4156" s="76"/>
    </row>
    <row r="4157" spans="1:10">
      <c r="A4157" s="172"/>
      <c r="D4157" s="56"/>
      <c r="E4157" s="204"/>
      <c r="F4157" s="205"/>
      <c r="G4157" s="206"/>
      <c r="H4157" s="207"/>
      <c r="J4157" s="76"/>
    </row>
    <row r="4158" spans="1:10">
      <c r="A4158" s="172"/>
      <c r="D4158" s="56"/>
      <c r="E4158" s="204"/>
      <c r="F4158" s="205"/>
      <c r="G4158" s="206"/>
      <c r="H4158" s="207"/>
      <c r="J4158" s="76"/>
    </row>
    <row r="4159" spans="1:10">
      <c r="A4159" s="172"/>
      <c r="D4159" s="56"/>
      <c r="E4159" s="204"/>
      <c r="F4159" s="205"/>
      <c r="G4159" s="206"/>
      <c r="H4159" s="207"/>
      <c r="J4159" s="76"/>
    </row>
    <row r="4160" spans="1:10">
      <c r="A4160" s="172"/>
      <c r="D4160" s="56"/>
      <c r="E4160" s="204"/>
      <c r="F4160" s="205"/>
      <c r="G4160" s="206"/>
      <c r="H4160" s="207"/>
      <c r="J4160" s="76"/>
    </row>
    <row r="4161" spans="1:10">
      <c r="A4161" s="172"/>
      <c r="D4161" s="56"/>
      <c r="E4161" s="204"/>
      <c r="F4161" s="205"/>
      <c r="G4161" s="206"/>
      <c r="H4161" s="207"/>
      <c r="J4161" s="76"/>
    </row>
    <row r="4162" spans="1:10">
      <c r="A4162" s="172"/>
      <c r="D4162" s="56"/>
      <c r="E4162" s="204"/>
      <c r="F4162" s="205"/>
      <c r="G4162" s="206"/>
      <c r="H4162" s="207"/>
      <c r="J4162" s="76"/>
    </row>
    <row r="4163" spans="1:10">
      <c r="A4163" s="172"/>
      <c r="D4163" s="56"/>
      <c r="E4163" s="204"/>
      <c r="F4163" s="205"/>
      <c r="G4163" s="206"/>
      <c r="H4163" s="207"/>
      <c r="J4163" s="76"/>
    </row>
    <row r="4164" spans="1:10">
      <c r="A4164" s="172"/>
      <c r="D4164" s="56"/>
      <c r="E4164" s="204"/>
      <c r="F4164" s="205"/>
      <c r="G4164" s="206"/>
      <c r="H4164" s="207"/>
      <c r="J4164" s="76"/>
    </row>
    <row r="4165" spans="1:10">
      <c r="A4165" s="172"/>
      <c r="D4165" s="56"/>
      <c r="E4165" s="204"/>
      <c r="F4165" s="205"/>
      <c r="G4165" s="206"/>
      <c r="H4165" s="207"/>
      <c r="J4165" s="76"/>
    </row>
    <row r="4166" spans="1:10">
      <c r="A4166" s="172"/>
      <c r="D4166" s="56"/>
      <c r="E4166" s="204"/>
      <c r="F4166" s="205"/>
      <c r="G4166" s="206"/>
      <c r="H4166" s="207"/>
      <c r="J4166" s="76"/>
    </row>
    <row r="4167" spans="1:10">
      <c r="A4167" s="172"/>
      <c r="D4167" s="56"/>
      <c r="E4167" s="204"/>
      <c r="F4167" s="205"/>
      <c r="G4167" s="206"/>
      <c r="H4167" s="207"/>
      <c r="J4167" s="76"/>
    </row>
    <row r="4168" spans="1:10">
      <c r="A4168" s="172"/>
      <c r="D4168" s="56"/>
      <c r="E4168" s="204"/>
      <c r="F4168" s="205"/>
      <c r="G4168" s="206"/>
      <c r="H4168" s="207"/>
      <c r="J4168" s="76"/>
    </row>
    <row r="4169" spans="1:10">
      <c r="A4169" s="172"/>
      <c r="D4169" s="56"/>
      <c r="E4169" s="204"/>
      <c r="F4169" s="205"/>
      <c r="G4169" s="206"/>
      <c r="H4169" s="207"/>
      <c r="J4169" s="76"/>
    </row>
    <row r="4170" spans="1:10">
      <c r="A4170" s="172"/>
      <c r="D4170" s="56"/>
      <c r="E4170" s="204"/>
      <c r="F4170" s="205"/>
      <c r="G4170" s="206"/>
      <c r="H4170" s="207"/>
      <c r="J4170" s="76"/>
    </row>
    <row r="4171" spans="1:10">
      <c r="A4171" s="172"/>
      <c r="D4171" s="56"/>
      <c r="E4171" s="204"/>
      <c r="F4171" s="205"/>
      <c r="G4171" s="206"/>
      <c r="H4171" s="207"/>
      <c r="J4171" s="76"/>
    </row>
    <row r="4172" spans="1:10">
      <c r="A4172" s="172"/>
      <c r="D4172" s="56"/>
      <c r="E4172" s="204"/>
      <c r="F4172" s="205"/>
      <c r="G4172" s="206"/>
      <c r="H4172" s="207"/>
      <c r="J4172" s="76"/>
    </row>
    <row r="4173" spans="1:10">
      <c r="A4173" s="172"/>
      <c r="D4173" s="56"/>
      <c r="E4173" s="204"/>
      <c r="F4173" s="205"/>
      <c r="G4173" s="206"/>
      <c r="H4173" s="207"/>
      <c r="J4173" s="76"/>
    </row>
    <row r="4174" spans="1:10">
      <c r="A4174" s="172"/>
      <c r="D4174" s="56"/>
      <c r="E4174" s="204"/>
      <c r="F4174" s="205"/>
      <c r="G4174" s="206"/>
      <c r="H4174" s="207"/>
      <c r="J4174" s="76"/>
    </row>
    <row r="4175" spans="1:10">
      <c r="A4175" s="172"/>
      <c r="D4175" s="56"/>
      <c r="E4175" s="204"/>
      <c r="F4175" s="205"/>
      <c r="G4175" s="206"/>
      <c r="H4175" s="207"/>
      <c r="J4175" s="76"/>
    </row>
    <row r="4176" spans="1:10">
      <c r="A4176" s="172"/>
      <c r="D4176" s="56"/>
      <c r="E4176" s="204"/>
      <c r="F4176" s="205"/>
      <c r="G4176" s="206"/>
      <c r="H4176" s="207"/>
      <c r="J4176" s="76"/>
    </row>
    <row r="4177" spans="1:10">
      <c r="A4177" s="172"/>
      <c r="D4177" s="56"/>
      <c r="E4177" s="204"/>
      <c r="F4177" s="205"/>
      <c r="G4177" s="206"/>
      <c r="H4177" s="207"/>
      <c r="J4177" s="76"/>
    </row>
    <row r="4178" spans="1:10">
      <c r="A4178" s="172"/>
      <c r="D4178" s="56"/>
      <c r="E4178" s="204"/>
      <c r="F4178" s="205"/>
      <c r="G4178" s="206"/>
      <c r="H4178" s="207"/>
      <c r="J4178" s="76"/>
    </row>
    <row r="4179" spans="1:10">
      <c r="A4179" s="172"/>
      <c r="D4179" s="56"/>
      <c r="E4179" s="204"/>
      <c r="F4179" s="205"/>
      <c r="G4179" s="206"/>
      <c r="H4179" s="207"/>
      <c r="J4179" s="76"/>
    </row>
    <row r="4180" spans="1:10">
      <c r="A4180" s="172"/>
      <c r="D4180" s="56"/>
      <c r="E4180" s="204"/>
      <c r="F4180" s="205"/>
      <c r="G4180" s="206"/>
      <c r="H4180" s="207"/>
      <c r="J4180" s="76"/>
    </row>
    <row r="4181" spans="1:10">
      <c r="A4181" s="172"/>
      <c r="D4181" s="56"/>
      <c r="E4181" s="204"/>
      <c r="F4181" s="205"/>
      <c r="G4181" s="206"/>
      <c r="H4181" s="207"/>
      <c r="J4181" s="76"/>
    </row>
    <row r="4182" spans="1:10">
      <c r="A4182" s="172"/>
      <c r="D4182" s="56"/>
      <c r="E4182" s="204"/>
      <c r="F4182" s="205"/>
      <c r="G4182" s="206"/>
      <c r="H4182" s="207"/>
      <c r="J4182" s="76"/>
    </row>
    <row r="4183" spans="1:10">
      <c r="A4183" s="172"/>
      <c r="D4183" s="56"/>
      <c r="E4183" s="204"/>
      <c r="F4183" s="205"/>
      <c r="G4183" s="206"/>
      <c r="H4183" s="207"/>
      <c r="J4183" s="76"/>
    </row>
    <row r="4184" spans="1:10">
      <c r="A4184" s="172"/>
      <c r="D4184" s="56"/>
      <c r="E4184" s="204"/>
      <c r="F4184" s="205"/>
      <c r="G4184" s="206"/>
      <c r="H4184" s="207"/>
      <c r="J4184" s="76"/>
    </row>
    <row r="4185" spans="1:10">
      <c r="A4185" s="172"/>
      <c r="D4185" s="56"/>
      <c r="E4185" s="204"/>
      <c r="F4185" s="205"/>
      <c r="G4185" s="206"/>
      <c r="H4185" s="207"/>
      <c r="J4185" s="76"/>
    </row>
    <row r="4186" spans="1:10">
      <c r="A4186" s="172"/>
      <c r="D4186" s="56"/>
      <c r="E4186" s="204"/>
      <c r="F4186" s="205"/>
      <c r="G4186" s="206"/>
      <c r="H4186" s="207"/>
      <c r="J4186" s="76"/>
    </row>
    <row r="4187" spans="1:10">
      <c r="A4187" s="172"/>
      <c r="D4187" s="56"/>
      <c r="E4187" s="204"/>
      <c r="F4187" s="205"/>
      <c r="G4187" s="206"/>
      <c r="H4187" s="207"/>
      <c r="J4187" s="76"/>
    </row>
    <row r="4188" spans="1:10">
      <c r="A4188" s="172"/>
      <c r="D4188" s="56"/>
      <c r="E4188" s="204"/>
      <c r="F4188" s="205"/>
      <c r="G4188" s="206"/>
      <c r="H4188" s="207"/>
      <c r="J4188" s="76"/>
    </row>
    <row r="4189" spans="1:10">
      <c r="A4189" s="172"/>
      <c r="D4189" s="56"/>
      <c r="E4189" s="204"/>
      <c r="F4189" s="205"/>
      <c r="G4189" s="206"/>
      <c r="H4189" s="207"/>
      <c r="J4189" s="76"/>
    </row>
    <row r="4190" spans="1:10">
      <c r="A4190" s="172"/>
      <c r="D4190" s="56"/>
      <c r="E4190" s="204"/>
      <c r="F4190" s="205"/>
      <c r="G4190" s="206"/>
      <c r="H4190" s="207"/>
      <c r="J4190" s="76"/>
    </row>
    <row r="4191" spans="1:10">
      <c r="A4191" s="172"/>
      <c r="D4191" s="56"/>
      <c r="E4191" s="204"/>
      <c r="F4191" s="205"/>
      <c r="G4191" s="206"/>
      <c r="H4191" s="207"/>
      <c r="J4191" s="76"/>
    </row>
    <row r="4192" spans="1:10">
      <c r="A4192" s="172"/>
      <c r="D4192" s="56"/>
      <c r="E4192" s="204"/>
      <c r="F4192" s="205"/>
      <c r="G4192" s="206"/>
      <c r="H4192" s="207"/>
      <c r="J4192" s="76"/>
    </row>
    <row r="4193" spans="1:10">
      <c r="A4193" s="172"/>
      <c r="D4193" s="56"/>
      <c r="E4193" s="204"/>
      <c r="F4193" s="205"/>
      <c r="G4193" s="206"/>
      <c r="H4193" s="207"/>
      <c r="J4193" s="76"/>
    </row>
    <row r="4194" spans="1:10">
      <c r="A4194" s="172"/>
      <c r="D4194" s="56"/>
      <c r="E4194" s="204"/>
      <c r="F4194" s="205"/>
      <c r="G4194" s="206"/>
      <c r="H4194" s="207"/>
      <c r="J4194" s="76"/>
    </row>
    <row r="4195" spans="1:10">
      <c r="A4195" s="172"/>
      <c r="D4195" s="56"/>
      <c r="E4195" s="204"/>
      <c r="F4195" s="205"/>
      <c r="G4195" s="206"/>
      <c r="H4195" s="207"/>
      <c r="J4195" s="76"/>
    </row>
    <row r="4196" spans="1:10">
      <c r="A4196" s="172"/>
      <c r="D4196" s="56"/>
      <c r="E4196" s="204"/>
      <c r="F4196" s="205"/>
      <c r="G4196" s="206"/>
      <c r="H4196" s="207"/>
      <c r="J4196" s="76"/>
    </row>
    <row r="4197" spans="1:10">
      <c r="A4197" s="172"/>
      <c r="D4197" s="56"/>
      <c r="E4197" s="204"/>
      <c r="F4197" s="205"/>
      <c r="G4197" s="206"/>
      <c r="H4197" s="207"/>
      <c r="J4197" s="76"/>
    </row>
    <row r="4198" spans="1:10">
      <c r="A4198" s="172"/>
      <c r="D4198" s="56"/>
      <c r="E4198" s="204"/>
      <c r="F4198" s="205"/>
      <c r="G4198" s="206"/>
      <c r="H4198" s="207"/>
      <c r="J4198" s="76"/>
    </row>
    <row r="4199" spans="1:10">
      <c r="A4199" s="172"/>
      <c r="D4199" s="56"/>
      <c r="E4199" s="204"/>
      <c r="F4199" s="205"/>
      <c r="G4199" s="206"/>
      <c r="H4199" s="207"/>
      <c r="J4199" s="76"/>
    </row>
    <row r="4200" spans="1:10">
      <c r="A4200" s="172"/>
      <c r="D4200" s="56"/>
      <c r="E4200" s="204"/>
      <c r="F4200" s="205"/>
      <c r="G4200" s="206"/>
      <c r="H4200" s="207"/>
      <c r="J4200" s="76"/>
    </row>
    <row r="4201" spans="1:10">
      <c r="A4201" s="172"/>
      <c r="D4201" s="56"/>
      <c r="E4201" s="204"/>
      <c r="F4201" s="205"/>
      <c r="G4201" s="206"/>
      <c r="H4201" s="207"/>
      <c r="J4201" s="76"/>
    </row>
    <row r="4202" spans="1:10">
      <c r="A4202" s="172"/>
      <c r="D4202" s="56"/>
      <c r="E4202" s="204"/>
      <c r="F4202" s="205"/>
      <c r="G4202" s="206"/>
      <c r="H4202" s="207"/>
      <c r="J4202" s="76"/>
    </row>
    <row r="4203" spans="1:10">
      <c r="A4203" s="172"/>
      <c r="D4203" s="56"/>
      <c r="E4203" s="204"/>
      <c r="F4203" s="205"/>
      <c r="G4203" s="206"/>
      <c r="H4203" s="207"/>
      <c r="J4203" s="76"/>
    </row>
    <row r="4204" spans="1:10">
      <c r="A4204" s="172"/>
      <c r="D4204" s="56"/>
      <c r="E4204" s="204"/>
      <c r="F4204" s="205"/>
      <c r="G4204" s="206"/>
      <c r="H4204" s="207"/>
      <c r="J4204" s="76"/>
    </row>
    <row r="4205" spans="1:10">
      <c r="A4205" s="172"/>
      <c r="D4205" s="56"/>
      <c r="E4205" s="204"/>
      <c r="F4205" s="205"/>
      <c r="G4205" s="206"/>
      <c r="H4205" s="207"/>
      <c r="J4205" s="76"/>
    </row>
    <row r="4206" spans="1:10">
      <c r="A4206" s="172"/>
      <c r="D4206" s="56"/>
      <c r="E4206" s="204"/>
      <c r="F4206" s="205"/>
      <c r="G4206" s="206"/>
      <c r="H4206" s="207"/>
      <c r="J4206" s="76"/>
    </row>
    <row r="4207" spans="1:10">
      <c r="A4207" s="172"/>
      <c r="D4207" s="56"/>
      <c r="E4207" s="204"/>
      <c r="F4207" s="205"/>
      <c r="G4207" s="206"/>
      <c r="H4207" s="207"/>
      <c r="J4207" s="76"/>
    </row>
    <row r="4208" spans="1:10">
      <c r="A4208" s="172"/>
      <c r="D4208" s="56"/>
      <c r="E4208" s="204"/>
      <c r="F4208" s="205"/>
      <c r="G4208" s="206"/>
      <c r="H4208" s="207"/>
      <c r="J4208" s="76"/>
    </row>
    <row r="4209" spans="1:10">
      <c r="A4209" s="172"/>
      <c r="D4209" s="56"/>
      <c r="E4209" s="204"/>
      <c r="F4209" s="205"/>
      <c r="G4209" s="206"/>
      <c r="H4209" s="207"/>
      <c r="J4209" s="76"/>
    </row>
    <row r="4210" spans="1:10">
      <c r="A4210" s="172"/>
      <c r="D4210" s="56"/>
      <c r="E4210" s="204"/>
      <c r="F4210" s="205"/>
      <c r="G4210" s="206"/>
      <c r="H4210" s="207"/>
      <c r="J4210" s="76"/>
    </row>
    <row r="4211" spans="1:10">
      <c r="A4211" s="172"/>
      <c r="D4211" s="56"/>
      <c r="E4211" s="204"/>
      <c r="F4211" s="205"/>
      <c r="G4211" s="206"/>
      <c r="H4211" s="207"/>
      <c r="J4211" s="76"/>
    </row>
    <row r="4212" spans="1:10">
      <c r="A4212" s="172"/>
      <c r="D4212" s="56"/>
      <c r="E4212" s="204"/>
      <c r="F4212" s="205"/>
      <c r="G4212" s="206"/>
      <c r="H4212" s="207"/>
      <c r="J4212" s="76"/>
    </row>
    <row r="4213" spans="1:10">
      <c r="A4213" s="172"/>
      <c r="D4213" s="56"/>
      <c r="E4213" s="204"/>
      <c r="F4213" s="205"/>
      <c r="G4213" s="206"/>
      <c r="H4213" s="207"/>
      <c r="J4213" s="76"/>
    </row>
    <row r="4214" spans="1:10">
      <c r="A4214" s="172"/>
      <c r="D4214" s="56"/>
      <c r="E4214" s="204"/>
      <c r="F4214" s="205"/>
      <c r="G4214" s="206"/>
      <c r="H4214" s="207"/>
      <c r="J4214" s="76"/>
    </row>
    <row r="4215" spans="1:10">
      <c r="A4215" s="172"/>
      <c r="D4215" s="56"/>
      <c r="E4215" s="204"/>
      <c r="F4215" s="205"/>
      <c r="G4215" s="206"/>
      <c r="H4215" s="207"/>
      <c r="J4215" s="76"/>
    </row>
    <row r="4216" spans="1:10">
      <c r="A4216" s="172"/>
      <c r="D4216" s="56"/>
      <c r="E4216" s="204"/>
      <c r="F4216" s="205"/>
      <c r="G4216" s="206"/>
      <c r="H4216" s="207"/>
      <c r="J4216" s="76"/>
    </row>
    <row r="4217" spans="1:10">
      <c r="A4217" s="172"/>
      <c r="D4217" s="56"/>
      <c r="E4217" s="204"/>
      <c r="F4217" s="205"/>
      <c r="G4217" s="206"/>
      <c r="H4217" s="207"/>
      <c r="J4217" s="76"/>
    </row>
    <row r="4218" spans="1:10">
      <c r="A4218" s="172"/>
      <c r="D4218" s="56"/>
      <c r="E4218" s="204"/>
      <c r="F4218" s="205"/>
      <c r="G4218" s="206"/>
      <c r="H4218" s="207"/>
      <c r="J4218" s="76"/>
    </row>
    <row r="4219" spans="1:10">
      <c r="A4219" s="172"/>
      <c r="D4219" s="56"/>
      <c r="E4219" s="204"/>
      <c r="F4219" s="205"/>
      <c r="G4219" s="206"/>
      <c r="H4219" s="207"/>
      <c r="J4219" s="76"/>
    </row>
    <row r="4220" spans="1:10">
      <c r="A4220" s="172"/>
      <c r="D4220" s="56"/>
      <c r="E4220" s="204"/>
      <c r="F4220" s="205"/>
      <c r="G4220" s="206"/>
      <c r="H4220" s="207"/>
      <c r="J4220" s="76"/>
    </row>
    <row r="4221" spans="1:10">
      <c r="A4221" s="172"/>
      <c r="D4221" s="56"/>
      <c r="E4221" s="204"/>
      <c r="F4221" s="205"/>
      <c r="G4221" s="206"/>
      <c r="H4221" s="207"/>
      <c r="J4221" s="76"/>
    </row>
    <row r="4222" spans="1:10">
      <c r="A4222" s="172"/>
      <c r="D4222" s="56"/>
      <c r="E4222" s="204"/>
      <c r="F4222" s="205"/>
      <c r="G4222" s="206"/>
      <c r="H4222" s="207"/>
      <c r="J4222" s="76"/>
    </row>
    <row r="4223" spans="1:10">
      <c r="A4223" s="172"/>
      <c r="D4223" s="56"/>
      <c r="E4223" s="204"/>
      <c r="F4223" s="205"/>
      <c r="G4223" s="206"/>
      <c r="H4223" s="207"/>
      <c r="J4223" s="76"/>
    </row>
    <row r="4224" spans="1:10">
      <c r="A4224" s="172"/>
      <c r="D4224" s="56"/>
      <c r="E4224" s="204"/>
      <c r="F4224" s="205"/>
      <c r="G4224" s="206"/>
      <c r="H4224" s="207"/>
      <c r="J4224" s="76"/>
    </row>
    <row r="4225" spans="1:10">
      <c r="A4225" s="172"/>
      <c r="D4225" s="56"/>
      <c r="E4225" s="204"/>
      <c r="F4225" s="205"/>
      <c r="G4225" s="206"/>
      <c r="H4225" s="207"/>
      <c r="J4225" s="76"/>
    </row>
    <row r="4226" spans="1:10">
      <c r="A4226" s="172"/>
      <c r="D4226" s="56"/>
      <c r="E4226" s="204"/>
      <c r="F4226" s="205"/>
      <c r="G4226" s="206"/>
      <c r="H4226" s="207"/>
      <c r="J4226" s="76"/>
    </row>
    <row r="4227" spans="1:10">
      <c r="A4227" s="172"/>
      <c r="D4227" s="56"/>
      <c r="E4227" s="204"/>
      <c r="F4227" s="205"/>
      <c r="G4227" s="206"/>
      <c r="H4227" s="207"/>
      <c r="J4227" s="76"/>
    </row>
    <row r="4228" spans="1:10">
      <c r="A4228" s="172"/>
      <c r="D4228" s="56"/>
      <c r="E4228" s="204"/>
      <c r="F4228" s="205"/>
      <c r="G4228" s="206"/>
      <c r="H4228" s="207"/>
      <c r="J4228" s="76"/>
    </row>
    <row r="4229" spans="1:10">
      <c r="A4229" s="172"/>
      <c r="D4229" s="56"/>
      <c r="E4229" s="204"/>
      <c r="F4229" s="205"/>
      <c r="G4229" s="206"/>
      <c r="H4229" s="207"/>
      <c r="J4229" s="76"/>
    </row>
    <row r="4230" spans="1:10">
      <c r="A4230" s="172"/>
      <c r="D4230" s="56"/>
      <c r="E4230" s="204"/>
      <c r="F4230" s="205"/>
      <c r="G4230" s="206"/>
      <c r="H4230" s="207"/>
      <c r="J4230" s="76"/>
    </row>
    <row r="4231" spans="1:10">
      <c r="A4231" s="172"/>
      <c r="D4231" s="56"/>
      <c r="E4231" s="204"/>
      <c r="F4231" s="205"/>
      <c r="G4231" s="206"/>
      <c r="H4231" s="207"/>
      <c r="J4231" s="76"/>
    </row>
    <row r="4232" spans="1:10">
      <c r="A4232" s="172"/>
      <c r="D4232" s="56"/>
      <c r="E4232" s="204"/>
      <c r="F4232" s="205"/>
      <c r="G4232" s="206"/>
      <c r="H4232" s="207"/>
      <c r="J4232" s="76"/>
    </row>
    <row r="4233" spans="1:10">
      <c r="A4233" s="172"/>
      <c r="D4233" s="56"/>
      <c r="E4233" s="204"/>
      <c r="F4233" s="205"/>
      <c r="G4233" s="206"/>
      <c r="H4233" s="207"/>
      <c r="J4233" s="76"/>
    </row>
    <row r="4234" spans="1:10">
      <c r="A4234" s="172"/>
      <c r="D4234" s="56"/>
      <c r="E4234" s="204"/>
      <c r="F4234" s="205"/>
      <c r="G4234" s="206"/>
      <c r="H4234" s="207"/>
      <c r="J4234" s="76"/>
    </row>
    <row r="4235" spans="1:10">
      <c r="A4235" s="172"/>
      <c r="D4235" s="56"/>
      <c r="E4235" s="204"/>
      <c r="F4235" s="205"/>
      <c r="G4235" s="206"/>
      <c r="H4235" s="207"/>
      <c r="J4235" s="76"/>
    </row>
    <row r="4236" spans="1:10">
      <c r="A4236" s="172"/>
      <c r="D4236" s="56"/>
      <c r="E4236" s="204"/>
      <c r="F4236" s="205"/>
      <c r="G4236" s="206"/>
      <c r="H4236" s="207"/>
      <c r="J4236" s="76"/>
    </row>
    <row r="4237" spans="1:10">
      <c r="A4237" s="172"/>
      <c r="D4237" s="56"/>
      <c r="E4237" s="204"/>
      <c r="F4237" s="205"/>
      <c r="G4237" s="206"/>
      <c r="H4237" s="207"/>
      <c r="J4237" s="76"/>
    </row>
    <row r="4238" spans="1:10">
      <c r="A4238" s="172"/>
      <c r="D4238" s="56"/>
      <c r="E4238" s="204"/>
      <c r="F4238" s="205"/>
      <c r="G4238" s="206"/>
      <c r="H4238" s="207"/>
      <c r="J4238" s="76"/>
    </row>
    <row r="4239" spans="1:10">
      <c r="A4239" s="172"/>
      <c r="D4239" s="56"/>
      <c r="E4239" s="204"/>
      <c r="F4239" s="205"/>
      <c r="G4239" s="206"/>
      <c r="H4239" s="207"/>
      <c r="J4239" s="76"/>
    </row>
    <row r="4240" spans="1:10">
      <c r="A4240" s="172"/>
      <c r="D4240" s="56"/>
      <c r="E4240" s="204"/>
      <c r="F4240" s="205"/>
      <c r="G4240" s="206"/>
      <c r="H4240" s="207"/>
      <c r="J4240" s="76"/>
    </row>
    <row r="4241" spans="1:10">
      <c r="A4241" s="172"/>
      <c r="D4241" s="56"/>
      <c r="E4241" s="204"/>
      <c r="F4241" s="205"/>
      <c r="G4241" s="206"/>
      <c r="H4241" s="207"/>
      <c r="J4241" s="76"/>
    </row>
    <row r="4242" spans="1:10">
      <c r="A4242" s="172"/>
      <c r="D4242" s="56"/>
      <c r="E4242" s="204"/>
      <c r="F4242" s="205"/>
      <c r="G4242" s="206"/>
      <c r="H4242" s="207"/>
      <c r="J4242" s="76"/>
    </row>
    <row r="4243" spans="1:10">
      <c r="A4243" s="172"/>
      <c r="D4243" s="56"/>
      <c r="E4243" s="204"/>
      <c r="F4243" s="205"/>
      <c r="G4243" s="206"/>
      <c r="H4243" s="207"/>
      <c r="J4243" s="76"/>
    </row>
    <row r="4244" spans="1:10">
      <c r="A4244" s="172"/>
      <c r="D4244" s="56"/>
      <c r="E4244" s="204"/>
      <c r="F4244" s="205"/>
      <c r="G4244" s="206"/>
      <c r="H4244" s="207"/>
      <c r="J4244" s="76"/>
    </row>
    <row r="4245" spans="1:10">
      <c r="A4245" s="172"/>
      <c r="D4245" s="56"/>
      <c r="E4245" s="204"/>
      <c r="F4245" s="205"/>
      <c r="G4245" s="206"/>
      <c r="H4245" s="207"/>
      <c r="J4245" s="76"/>
    </row>
    <row r="4246" spans="1:10">
      <c r="A4246" s="172"/>
      <c r="D4246" s="56"/>
      <c r="E4246" s="204"/>
      <c r="F4246" s="205"/>
      <c r="G4246" s="206"/>
      <c r="H4246" s="207"/>
      <c r="J4246" s="76"/>
    </row>
    <row r="4247" spans="1:10">
      <c r="A4247" s="172"/>
      <c r="D4247" s="56"/>
      <c r="E4247" s="204"/>
      <c r="F4247" s="205"/>
      <c r="G4247" s="206"/>
      <c r="H4247" s="207"/>
      <c r="J4247" s="76"/>
    </row>
    <row r="4248" spans="1:10">
      <c r="A4248" s="172"/>
      <c r="D4248" s="56"/>
      <c r="E4248" s="204"/>
      <c r="F4248" s="205"/>
      <c r="G4248" s="206"/>
      <c r="H4248" s="207"/>
      <c r="J4248" s="76"/>
    </row>
    <row r="4249" spans="1:10">
      <c r="A4249" s="172"/>
      <c r="D4249" s="56"/>
      <c r="E4249" s="204"/>
      <c r="F4249" s="205"/>
      <c r="G4249" s="206"/>
      <c r="H4249" s="207"/>
      <c r="J4249" s="76"/>
    </row>
    <row r="4250" spans="1:10">
      <c r="A4250" s="172"/>
      <c r="D4250" s="56"/>
      <c r="E4250" s="204"/>
      <c r="F4250" s="205"/>
      <c r="G4250" s="206"/>
      <c r="H4250" s="207"/>
      <c r="J4250" s="76"/>
    </row>
    <row r="4251" spans="1:10">
      <c r="A4251" s="172"/>
      <c r="D4251" s="56"/>
      <c r="E4251" s="204"/>
      <c r="F4251" s="205"/>
      <c r="G4251" s="206"/>
      <c r="H4251" s="207"/>
      <c r="J4251" s="76"/>
    </row>
    <row r="4252" spans="1:10">
      <c r="A4252" s="172"/>
      <c r="D4252" s="56"/>
      <c r="E4252" s="204"/>
      <c r="F4252" s="205"/>
      <c r="G4252" s="206"/>
      <c r="H4252" s="207"/>
      <c r="J4252" s="76"/>
    </row>
    <row r="4253" spans="1:10">
      <c r="A4253" s="172"/>
      <c r="D4253" s="56"/>
      <c r="E4253" s="204"/>
      <c r="F4253" s="205"/>
      <c r="G4253" s="206"/>
      <c r="H4253" s="207"/>
      <c r="J4253" s="76"/>
    </row>
    <row r="4254" spans="1:10">
      <c r="A4254" s="172"/>
      <c r="D4254" s="56"/>
      <c r="E4254" s="204"/>
      <c r="F4254" s="205"/>
      <c r="G4254" s="206"/>
      <c r="H4254" s="207"/>
      <c r="J4254" s="76"/>
    </row>
    <row r="4255" spans="1:10">
      <c r="A4255" s="172"/>
      <c r="D4255" s="56"/>
      <c r="E4255" s="204"/>
      <c r="F4255" s="205"/>
      <c r="G4255" s="206"/>
      <c r="H4255" s="207"/>
      <c r="J4255" s="76"/>
    </row>
    <row r="4256" spans="1:10">
      <c r="A4256" s="172"/>
      <c r="D4256" s="56"/>
      <c r="E4256" s="204"/>
      <c r="F4256" s="205"/>
      <c r="G4256" s="206"/>
      <c r="H4256" s="207"/>
      <c r="J4256" s="76"/>
    </row>
    <row r="4257" spans="1:10">
      <c r="A4257" s="172"/>
      <c r="D4257" s="56"/>
      <c r="E4257" s="204"/>
      <c r="F4257" s="205"/>
      <c r="G4257" s="206"/>
      <c r="H4257" s="207"/>
      <c r="J4257" s="76"/>
    </row>
    <row r="4258" spans="1:10">
      <c r="A4258" s="172"/>
      <c r="D4258" s="56"/>
      <c r="E4258" s="204"/>
      <c r="F4258" s="205"/>
      <c r="G4258" s="206"/>
      <c r="H4258" s="207"/>
      <c r="J4258" s="76"/>
    </row>
    <row r="4259" spans="1:10">
      <c r="A4259" s="172"/>
      <c r="D4259" s="56"/>
      <c r="E4259" s="204"/>
      <c r="F4259" s="205"/>
      <c r="G4259" s="206"/>
      <c r="H4259" s="207"/>
      <c r="J4259" s="76"/>
    </row>
    <row r="4260" spans="1:10">
      <c r="A4260" s="172"/>
      <c r="D4260" s="56"/>
      <c r="E4260" s="204"/>
      <c r="F4260" s="205"/>
      <c r="G4260" s="206"/>
      <c r="H4260" s="207"/>
      <c r="J4260" s="76"/>
    </row>
    <row r="4261" spans="1:10">
      <c r="A4261" s="172"/>
      <c r="D4261" s="56"/>
      <c r="E4261" s="204"/>
      <c r="F4261" s="205"/>
      <c r="G4261" s="206"/>
      <c r="H4261" s="207"/>
      <c r="J4261" s="76"/>
    </row>
    <row r="4262" spans="1:10">
      <c r="A4262" s="172"/>
      <c r="D4262" s="56"/>
      <c r="E4262" s="204"/>
      <c r="F4262" s="205"/>
      <c r="G4262" s="206"/>
      <c r="H4262" s="207"/>
      <c r="J4262" s="76"/>
    </row>
    <row r="4263" spans="1:10">
      <c r="A4263" s="172"/>
      <c r="D4263" s="56"/>
      <c r="E4263" s="204"/>
      <c r="F4263" s="205"/>
      <c r="G4263" s="206"/>
      <c r="H4263" s="207"/>
      <c r="J4263" s="76"/>
    </row>
    <row r="4264" spans="1:10">
      <c r="A4264" s="172"/>
      <c r="D4264" s="56"/>
      <c r="E4264" s="204"/>
      <c r="F4264" s="205"/>
      <c r="G4264" s="206"/>
      <c r="H4264" s="207"/>
      <c r="J4264" s="76"/>
    </row>
    <row r="4265" spans="1:10">
      <c r="A4265" s="172"/>
      <c r="D4265" s="56"/>
      <c r="E4265" s="204"/>
      <c r="F4265" s="205"/>
      <c r="G4265" s="206"/>
      <c r="H4265" s="207"/>
      <c r="J4265" s="76"/>
    </row>
    <row r="4266" spans="1:10">
      <c r="A4266" s="172"/>
      <c r="D4266" s="56"/>
      <c r="E4266" s="204"/>
      <c r="F4266" s="205"/>
      <c r="G4266" s="206"/>
      <c r="H4266" s="207"/>
      <c r="J4266" s="76"/>
    </row>
    <row r="4267" spans="1:10">
      <c r="A4267" s="172"/>
      <c r="D4267" s="56"/>
      <c r="E4267" s="204"/>
      <c r="F4267" s="205"/>
      <c r="G4267" s="206"/>
      <c r="H4267" s="207"/>
      <c r="J4267" s="76"/>
    </row>
    <row r="4268" spans="1:10">
      <c r="A4268" s="172"/>
      <c r="D4268" s="56"/>
      <c r="E4268" s="204"/>
      <c r="F4268" s="205"/>
      <c r="G4268" s="206"/>
      <c r="H4268" s="207"/>
      <c r="J4268" s="76"/>
    </row>
    <row r="4269" spans="1:10">
      <c r="A4269" s="172"/>
      <c r="D4269" s="56"/>
      <c r="E4269" s="204"/>
      <c r="F4269" s="205"/>
      <c r="G4269" s="206"/>
      <c r="H4269" s="207"/>
      <c r="J4269" s="76"/>
    </row>
    <row r="4270" spans="1:10">
      <c r="A4270" s="172"/>
      <c r="D4270" s="56"/>
      <c r="E4270" s="204"/>
      <c r="F4270" s="205"/>
      <c r="G4270" s="206"/>
      <c r="H4270" s="207"/>
      <c r="J4270" s="76"/>
    </row>
    <row r="4271" spans="1:10">
      <c r="A4271" s="172"/>
      <c r="D4271" s="56"/>
      <c r="E4271" s="204"/>
      <c r="F4271" s="205"/>
      <c r="G4271" s="206"/>
      <c r="H4271" s="207"/>
      <c r="J4271" s="76"/>
    </row>
    <row r="4272" spans="1:10">
      <c r="A4272" s="172"/>
      <c r="D4272" s="56"/>
      <c r="E4272" s="204"/>
      <c r="F4272" s="205"/>
      <c r="G4272" s="206"/>
      <c r="H4272" s="207"/>
      <c r="J4272" s="76"/>
    </row>
    <row r="4273" spans="1:10">
      <c r="A4273" s="172"/>
      <c r="D4273" s="56"/>
      <c r="E4273" s="204"/>
      <c r="F4273" s="205"/>
      <c r="G4273" s="206"/>
      <c r="H4273" s="207"/>
      <c r="J4273" s="76"/>
    </row>
    <row r="4274" spans="1:10">
      <c r="A4274" s="172"/>
      <c r="D4274" s="56"/>
      <c r="E4274" s="204"/>
      <c r="F4274" s="205"/>
      <c r="G4274" s="206"/>
      <c r="H4274" s="207"/>
      <c r="J4274" s="76"/>
    </row>
    <row r="4275" spans="1:10">
      <c r="A4275" s="172"/>
      <c r="D4275" s="56"/>
      <c r="E4275" s="204"/>
      <c r="F4275" s="205"/>
      <c r="G4275" s="206"/>
      <c r="H4275" s="207"/>
      <c r="J4275" s="76"/>
    </row>
    <row r="4276" spans="1:10">
      <c r="A4276" s="172"/>
      <c r="D4276" s="56"/>
      <c r="E4276" s="204"/>
      <c r="F4276" s="205"/>
      <c r="G4276" s="206"/>
      <c r="H4276" s="207"/>
      <c r="J4276" s="76"/>
    </row>
    <row r="4277" spans="1:10">
      <c r="A4277" s="172"/>
      <c r="D4277" s="56"/>
      <c r="E4277" s="204"/>
      <c r="F4277" s="205"/>
      <c r="G4277" s="206"/>
      <c r="H4277" s="207"/>
      <c r="J4277" s="76"/>
    </row>
    <row r="4278" spans="1:10">
      <c r="A4278" s="172"/>
      <c r="D4278" s="56"/>
      <c r="E4278" s="204"/>
      <c r="F4278" s="205"/>
      <c r="G4278" s="206"/>
      <c r="H4278" s="207"/>
      <c r="J4278" s="76"/>
    </row>
    <row r="4279" spans="1:10">
      <c r="A4279" s="172"/>
      <c r="D4279" s="56"/>
      <c r="E4279" s="204"/>
      <c r="F4279" s="205"/>
      <c r="G4279" s="206"/>
      <c r="H4279" s="207"/>
      <c r="J4279" s="76"/>
    </row>
    <row r="4280" spans="1:10">
      <c r="A4280" s="172"/>
      <c r="D4280" s="56"/>
      <c r="E4280" s="204"/>
      <c r="F4280" s="205"/>
      <c r="G4280" s="206"/>
      <c r="H4280" s="207"/>
      <c r="J4280" s="76"/>
    </row>
    <row r="4281" spans="1:10">
      <c r="A4281" s="172"/>
      <c r="D4281" s="56"/>
      <c r="E4281" s="204"/>
      <c r="F4281" s="205"/>
      <c r="G4281" s="206"/>
      <c r="H4281" s="207"/>
      <c r="J4281" s="76"/>
    </row>
    <row r="4282" spans="1:10">
      <c r="A4282" s="172"/>
      <c r="D4282" s="56"/>
      <c r="E4282" s="204"/>
      <c r="F4282" s="205"/>
      <c r="G4282" s="206"/>
      <c r="H4282" s="207"/>
      <c r="J4282" s="76"/>
    </row>
    <row r="4283" spans="1:10">
      <c r="A4283" s="172"/>
      <c r="D4283" s="56"/>
      <c r="E4283" s="204"/>
      <c r="F4283" s="205"/>
      <c r="G4283" s="206"/>
      <c r="H4283" s="207"/>
      <c r="J4283" s="76"/>
    </row>
    <row r="4284" spans="1:10">
      <c r="A4284" s="172"/>
      <c r="D4284" s="56"/>
      <c r="E4284" s="204"/>
      <c r="F4284" s="205"/>
      <c r="G4284" s="206"/>
      <c r="H4284" s="207"/>
      <c r="J4284" s="76"/>
    </row>
    <row r="4285" spans="1:10">
      <c r="A4285" s="172"/>
      <c r="D4285" s="56"/>
      <c r="E4285" s="204"/>
      <c r="F4285" s="205"/>
      <c r="G4285" s="206"/>
      <c r="H4285" s="207"/>
      <c r="J4285" s="76"/>
    </row>
    <row r="4286" spans="1:10">
      <c r="A4286" s="172"/>
      <c r="D4286" s="56"/>
      <c r="E4286" s="204"/>
      <c r="F4286" s="205"/>
      <c r="G4286" s="206"/>
      <c r="H4286" s="207"/>
      <c r="J4286" s="76"/>
    </row>
    <row r="4287" spans="1:10">
      <c r="A4287" s="172"/>
      <c r="D4287" s="56"/>
      <c r="E4287" s="204"/>
      <c r="F4287" s="205"/>
      <c r="G4287" s="206"/>
      <c r="H4287" s="207"/>
      <c r="J4287" s="76"/>
    </row>
    <row r="4288" spans="1:10">
      <c r="A4288" s="172"/>
      <c r="D4288" s="56"/>
      <c r="E4288" s="204"/>
      <c r="F4288" s="205"/>
      <c r="G4288" s="206"/>
      <c r="H4288" s="207"/>
      <c r="J4288" s="76"/>
    </row>
    <row r="4289" spans="1:10">
      <c r="A4289" s="172"/>
      <c r="D4289" s="56"/>
      <c r="E4289" s="204"/>
      <c r="F4289" s="205"/>
      <c r="G4289" s="206"/>
      <c r="H4289" s="207"/>
      <c r="J4289" s="76"/>
    </row>
    <row r="4290" spans="1:10">
      <c r="A4290" s="172"/>
      <c r="D4290" s="56"/>
      <c r="E4290" s="204"/>
      <c r="F4290" s="205"/>
      <c r="G4290" s="206"/>
      <c r="H4290" s="207"/>
      <c r="J4290" s="76"/>
    </row>
    <row r="4291" spans="1:10">
      <c r="A4291" s="172"/>
      <c r="D4291" s="56"/>
      <c r="E4291" s="204"/>
      <c r="F4291" s="205"/>
      <c r="G4291" s="206"/>
      <c r="H4291" s="207"/>
      <c r="J4291" s="76"/>
    </row>
    <row r="4292" spans="1:10">
      <c r="A4292" s="172"/>
      <c r="D4292" s="56"/>
      <c r="E4292" s="204"/>
      <c r="F4292" s="205"/>
      <c r="G4292" s="206"/>
      <c r="H4292" s="207"/>
      <c r="J4292" s="76"/>
    </row>
    <row r="4293" spans="1:10">
      <c r="A4293" s="172"/>
      <c r="D4293" s="56"/>
      <c r="E4293" s="204"/>
      <c r="F4293" s="205"/>
      <c r="G4293" s="206"/>
      <c r="H4293" s="207"/>
      <c r="J4293" s="76"/>
    </row>
    <row r="4294" spans="1:10">
      <c r="A4294" s="172"/>
      <c r="D4294" s="56"/>
      <c r="E4294" s="204"/>
      <c r="F4294" s="205"/>
      <c r="G4294" s="206"/>
      <c r="H4294" s="207"/>
      <c r="J4294" s="76"/>
    </row>
    <row r="4295" spans="1:10">
      <c r="A4295" s="172"/>
      <c r="D4295" s="56"/>
      <c r="E4295" s="204"/>
      <c r="F4295" s="205"/>
      <c r="G4295" s="206"/>
      <c r="H4295" s="207"/>
      <c r="J4295" s="76"/>
    </row>
    <row r="4296" spans="1:10">
      <c r="A4296" s="172"/>
      <c r="D4296" s="56"/>
      <c r="E4296" s="204"/>
      <c r="F4296" s="205"/>
      <c r="G4296" s="206"/>
      <c r="H4296" s="207"/>
      <c r="J4296" s="76"/>
    </row>
    <row r="4297" spans="1:10">
      <c r="A4297" s="172"/>
      <c r="D4297" s="56"/>
      <c r="E4297" s="204"/>
      <c r="F4297" s="205"/>
      <c r="G4297" s="206"/>
      <c r="H4297" s="207"/>
      <c r="J4297" s="76"/>
    </row>
    <row r="4298" spans="1:10">
      <c r="A4298" s="172"/>
      <c r="D4298" s="56"/>
      <c r="E4298" s="204"/>
      <c r="F4298" s="205"/>
      <c r="G4298" s="206"/>
      <c r="H4298" s="207"/>
      <c r="J4298" s="76"/>
    </row>
    <row r="4299" spans="1:10">
      <c r="A4299" s="172"/>
      <c r="D4299" s="56"/>
      <c r="E4299" s="204"/>
      <c r="F4299" s="205"/>
      <c r="G4299" s="206"/>
      <c r="H4299" s="207"/>
      <c r="J4299" s="76"/>
    </row>
    <row r="4300" spans="1:10">
      <c r="A4300" s="172"/>
      <c r="D4300" s="56"/>
      <c r="E4300" s="204"/>
      <c r="F4300" s="205"/>
      <c r="G4300" s="206"/>
      <c r="H4300" s="207"/>
      <c r="J4300" s="76"/>
    </row>
    <row r="4301" spans="1:10">
      <c r="A4301" s="172"/>
      <c r="D4301" s="56"/>
      <c r="E4301" s="204"/>
      <c r="F4301" s="205"/>
      <c r="G4301" s="206"/>
      <c r="H4301" s="207"/>
      <c r="J4301" s="76"/>
    </row>
    <row r="4302" spans="1:10">
      <c r="A4302" s="172"/>
      <c r="D4302" s="56"/>
      <c r="E4302" s="204"/>
      <c r="F4302" s="205"/>
      <c r="G4302" s="206"/>
      <c r="H4302" s="207"/>
      <c r="J4302" s="76"/>
    </row>
    <row r="4303" spans="1:10">
      <c r="A4303" s="172"/>
      <c r="D4303" s="56"/>
      <c r="E4303" s="204"/>
      <c r="F4303" s="205"/>
      <c r="G4303" s="206"/>
      <c r="H4303" s="207"/>
      <c r="J4303" s="76"/>
    </row>
    <row r="4304" spans="1:10">
      <c r="A4304" s="172"/>
      <c r="D4304" s="56"/>
      <c r="E4304" s="204"/>
      <c r="F4304" s="205"/>
      <c r="G4304" s="206"/>
      <c r="H4304" s="207"/>
      <c r="J4304" s="76"/>
    </row>
    <row r="4305" spans="1:10">
      <c r="A4305" s="172"/>
      <c r="D4305" s="56"/>
      <c r="E4305" s="204"/>
      <c r="F4305" s="205"/>
      <c r="G4305" s="206"/>
      <c r="H4305" s="207"/>
      <c r="J4305" s="76"/>
    </row>
    <row r="4306" spans="1:10">
      <c r="A4306" s="172"/>
      <c r="D4306" s="56"/>
      <c r="E4306" s="204"/>
      <c r="F4306" s="205"/>
      <c r="G4306" s="206"/>
      <c r="H4306" s="207"/>
      <c r="J4306" s="76"/>
    </row>
    <row r="4307" spans="1:10">
      <c r="A4307" s="172"/>
      <c r="D4307" s="56"/>
      <c r="E4307" s="204"/>
      <c r="F4307" s="205"/>
      <c r="G4307" s="206"/>
      <c r="H4307" s="207"/>
      <c r="J4307" s="76"/>
    </row>
    <row r="4308" spans="1:10">
      <c r="A4308" s="172"/>
      <c r="D4308" s="56"/>
      <c r="E4308" s="204"/>
      <c r="F4308" s="205"/>
      <c r="G4308" s="206"/>
      <c r="H4308" s="207"/>
      <c r="J4308" s="76"/>
    </row>
    <row r="4309" spans="1:10">
      <c r="A4309" s="172"/>
      <c r="D4309" s="56"/>
      <c r="E4309" s="204"/>
      <c r="F4309" s="205"/>
      <c r="G4309" s="206"/>
      <c r="H4309" s="207"/>
      <c r="J4309" s="76"/>
    </row>
    <row r="4310" spans="1:10">
      <c r="A4310" s="172"/>
      <c r="D4310" s="56"/>
      <c r="E4310" s="204"/>
      <c r="F4310" s="205"/>
      <c r="G4310" s="206"/>
      <c r="H4310" s="207"/>
      <c r="J4310" s="76"/>
    </row>
    <row r="4311" spans="1:10">
      <c r="A4311" s="172"/>
      <c r="D4311" s="56"/>
      <c r="E4311" s="204"/>
      <c r="F4311" s="205"/>
      <c r="G4311" s="206"/>
      <c r="H4311" s="207"/>
      <c r="J4311" s="76"/>
    </row>
    <row r="4312" spans="1:10">
      <c r="A4312" s="172"/>
      <c r="D4312" s="56"/>
      <c r="E4312" s="204"/>
      <c r="F4312" s="205"/>
      <c r="G4312" s="206"/>
      <c r="H4312" s="207"/>
      <c r="J4312" s="76"/>
    </row>
    <row r="4313" spans="1:10">
      <c r="A4313" s="172"/>
      <c r="D4313" s="56"/>
      <c r="E4313" s="204"/>
      <c r="F4313" s="205"/>
      <c r="G4313" s="206"/>
      <c r="H4313" s="207"/>
      <c r="J4313" s="76"/>
    </row>
    <row r="4314" spans="1:10">
      <c r="A4314" s="172"/>
      <c r="D4314" s="56"/>
      <c r="E4314" s="204"/>
      <c r="F4314" s="205"/>
      <c r="G4314" s="206"/>
      <c r="H4314" s="207"/>
      <c r="J4314" s="76"/>
    </row>
    <row r="4315" spans="1:10">
      <c r="A4315" s="172"/>
      <c r="D4315" s="56"/>
      <c r="E4315" s="204"/>
      <c r="F4315" s="205"/>
      <c r="G4315" s="206"/>
      <c r="H4315" s="207"/>
      <c r="J4315" s="76"/>
    </row>
    <row r="4316" spans="1:10">
      <c r="A4316" s="172"/>
      <c r="D4316" s="56"/>
      <c r="E4316" s="204"/>
      <c r="F4316" s="205"/>
      <c r="G4316" s="206"/>
      <c r="H4316" s="207"/>
      <c r="J4316" s="76"/>
    </row>
    <row r="4317" spans="1:10">
      <c r="A4317" s="172"/>
      <c r="D4317" s="56"/>
      <c r="E4317" s="204"/>
      <c r="F4317" s="205"/>
      <c r="G4317" s="206"/>
      <c r="H4317" s="207"/>
      <c r="J4317" s="76"/>
    </row>
    <row r="4318" spans="1:10">
      <c r="A4318" s="172"/>
      <c r="D4318" s="56"/>
      <c r="E4318" s="204"/>
      <c r="F4318" s="205"/>
      <c r="G4318" s="206"/>
      <c r="H4318" s="207"/>
      <c r="J4318" s="76"/>
    </row>
    <row r="4319" spans="1:10">
      <c r="A4319" s="172"/>
      <c r="D4319" s="56"/>
      <c r="E4319" s="204"/>
      <c r="F4319" s="205"/>
      <c r="G4319" s="206"/>
      <c r="H4319" s="207"/>
      <c r="J4319" s="76"/>
    </row>
    <row r="4320" spans="1:10">
      <c r="A4320" s="172"/>
      <c r="D4320" s="56"/>
      <c r="E4320" s="204"/>
      <c r="F4320" s="205"/>
      <c r="G4320" s="206"/>
      <c r="H4320" s="207"/>
      <c r="J4320" s="76"/>
    </row>
    <row r="4321" spans="1:10">
      <c r="A4321" s="172"/>
      <c r="D4321" s="56"/>
      <c r="E4321" s="204"/>
      <c r="F4321" s="205"/>
      <c r="G4321" s="206"/>
      <c r="H4321" s="207"/>
      <c r="J4321" s="76"/>
    </row>
    <row r="4322" spans="1:10">
      <c r="A4322" s="172"/>
      <c r="D4322" s="56"/>
      <c r="E4322" s="204"/>
      <c r="F4322" s="205"/>
      <c r="G4322" s="206"/>
      <c r="H4322" s="207"/>
      <c r="J4322" s="76"/>
    </row>
    <row r="4323" spans="1:10">
      <c r="A4323" s="172"/>
      <c r="D4323" s="56"/>
      <c r="E4323" s="204"/>
      <c r="F4323" s="205"/>
      <c r="G4323" s="206"/>
      <c r="H4323" s="207"/>
      <c r="J4323" s="76"/>
    </row>
    <row r="4324" spans="1:10">
      <c r="A4324" s="172"/>
      <c r="D4324" s="56"/>
      <c r="E4324" s="204"/>
      <c r="F4324" s="205"/>
      <c r="G4324" s="206"/>
      <c r="H4324" s="207"/>
      <c r="J4324" s="76"/>
    </row>
    <row r="4325" spans="1:10">
      <c r="A4325" s="172"/>
      <c r="D4325" s="56"/>
      <c r="E4325" s="204"/>
      <c r="F4325" s="205"/>
      <c r="G4325" s="206"/>
      <c r="H4325" s="207"/>
      <c r="J4325" s="76"/>
    </row>
    <row r="4326" spans="1:10">
      <c r="A4326" s="172"/>
      <c r="D4326" s="56"/>
      <c r="E4326" s="204"/>
      <c r="F4326" s="205"/>
      <c r="G4326" s="206"/>
      <c r="H4326" s="207"/>
      <c r="J4326" s="76"/>
    </row>
    <row r="4327" spans="1:10">
      <c r="A4327" s="172"/>
      <c r="D4327" s="56"/>
      <c r="E4327" s="204"/>
      <c r="F4327" s="205"/>
      <c r="G4327" s="206"/>
      <c r="H4327" s="207"/>
      <c r="J4327" s="76"/>
    </row>
    <row r="4328" spans="1:10">
      <c r="A4328" s="172"/>
      <c r="D4328" s="56"/>
      <c r="E4328" s="204"/>
      <c r="F4328" s="205"/>
      <c r="G4328" s="206"/>
      <c r="H4328" s="207"/>
      <c r="J4328" s="76"/>
    </row>
    <row r="4329" spans="1:10">
      <c r="A4329" s="172"/>
      <c r="D4329" s="56"/>
      <c r="E4329" s="204"/>
      <c r="F4329" s="205"/>
      <c r="G4329" s="206"/>
      <c r="H4329" s="207"/>
      <c r="J4329" s="76"/>
    </row>
    <row r="4330" spans="1:10">
      <c r="A4330" s="172"/>
      <c r="D4330" s="56"/>
      <c r="E4330" s="204"/>
      <c r="F4330" s="205"/>
      <c r="G4330" s="206"/>
      <c r="H4330" s="207"/>
      <c r="J4330" s="76"/>
    </row>
    <row r="4331" spans="1:10">
      <c r="A4331" s="172"/>
      <c r="D4331" s="56"/>
      <c r="E4331" s="204"/>
      <c r="F4331" s="205"/>
      <c r="G4331" s="206"/>
      <c r="H4331" s="207"/>
      <c r="J4331" s="76"/>
    </row>
    <row r="4332" spans="1:10">
      <c r="A4332" s="172"/>
      <c r="D4332" s="56"/>
      <c r="E4332" s="204"/>
      <c r="F4332" s="205"/>
      <c r="G4332" s="206"/>
      <c r="H4332" s="207"/>
      <c r="J4332" s="76"/>
    </row>
    <row r="4333" spans="1:10">
      <c r="A4333" s="172"/>
      <c r="D4333" s="56"/>
      <c r="E4333" s="204"/>
      <c r="F4333" s="205"/>
      <c r="G4333" s="206"/>
      <c r="H4333" s="207"/>
      <c r="J4333" s="76"/>
    </row>
    <row r="4334" spans="1:10">
      <c r="A4334" s="172"/>
      <c r="D4334" s="56"/>
      <c r="E4334" s="204"/>
      <c r="F4334" s="205"/>
      <c r="G4334" s="206"/>
      <c r="H4334" s="207"/>
      <c r="J4334" s="76"/>
    </row>
    <row r="4335" spans="1:10">
      <c r="A4335" s="172"/>
      <c r="D4335" s="56"/>
      <c r="E4335" s="204"/>
      <c r="F4335" s="205"/>
      <c r="G4335" s="206"/>
      <c r="H4335" s="207"/>
      <c r="J4335" s="76"/>
    </row>
    <row r="4336" spans="1:10">
      <c r="A4336" s="172"/>
      <c r="D4336" s="56"/>
      <c r="E4336" s="204"/>
      <c r="F4336" s="205"/>
      <c r="G4336" s="206"/>
      <c r="H4336" s="207"/>
      <c r="J4336" s="76"/>
    </row>
    <row r="4337" spans="1:10">
      <c r="A4337" s="172"/>
      <c r="D4337" s="56"/>
      <c r="E4337" s="204"/>
      <c r="F4337" s="205"/>
      <c r="G4337" s="206"/>
      <c r="H4337" s="207"/>
      <c r="J4337" s="76"/>
    </row>
    <row r="4338" spans="1:10">
      <c r="A4338" s="172"/>
      <c r="D4338" s="56"/>
      <c r="E4338" s="204"/>
      <c r="F4338" s="205"/>
      <c r="G4338" s="206"/>
      <c r="H4338" s="207"/>
      <c r="J4338" s="76"/>
    </row>
    <row r="4339" spans="1:10">
      <c r="A4339" s="172"/>
      <c r="D4339" s="56"/>
      <c r="E4339" s="204"/>
      <c r="F4339" s="205"/>
      <c r="G4339" s="206"/>
      <c r="H4339" s="207"/>
      <c r="J4339" s="76"/>
    </row>
    <row r="4340" spans="1:10">
      <c r="A4340" s="172"/>
      <c r="D4340" s="56"/>
      <c r="E4340" s="204"/>
      <c r="F4340" s="205"/>
      <c r="G4340" s="206"/>
      <c r="H4340" s="207"/>
      <c r="J4340" s="76"/>
    </row>
    <row r="4341" spans="1:10">
      <c r="A4341" s="172"/>
      <c r="D4341" s="56"/>
      <c r="E4341" s="204"/>
      <c r="F4341" s="205"/>
      <c r="G4341" s="206"/>
      <c r="H4341" s="207"/>
      <c r="J4341" s="76"/>
    </row>
    <row r="4342" spans="1:10">
      <c r="A4342" s="172"/>
      <c r="D4342" s="56"/>
      <c r="E4342" s="204"/>
      <c r="F4342" s="205"/>
      <c r="G4342" s="206"/>
      <c r="H4342" s="207"/>
      <c r="J4342" s="76"/>
    </row>
    <row r="4343" spans="1:10">
      <c r="A4343" s="172"/>
      <c r="D4343" s="56"/>
      <c r="E4343" s="204"/>
      <c r="F4343" s="205"/>
      <c r="G4343" s="206"/>
      <c r="H4343" s="207"/>
      <c r="J4343" s="76"/>
    </row>
    <row r="4344" spans="1:10">
      <c r="A4344" s="172"/>
      <c r="D4344" s="56"/>
      <c r="E4344" s="204"/>
      <c r="F4344" s="205"/>
      <c r="G4344" s="206"/>
      <c r="H4344" s="207"/>
      <c r="J4344" s="76"/>
    </row>
    <row r="4345" spans="1:10">
      <c r="A4345" s="172"/>
      <c r="D4345" s="56"/>
      <c r="E4345" s="204"/>
      <c r="F4345" s="205"/>
      <c r="G4345" s="206"/>
      <c r="H4345" s="207"/>
      <c r="J4345" s="76"/>
    </row>
    <row r="4346" spans="1:10">
      <c r="A4346" s="172"/>
      <c r="D4346" s="56"/>
      <c r="E4346" s="204"/>
      <c r="F4346" s="205"/>
      <c r="G4346" s="206"/>
      <c r="H4346" s="207"/>
      <c r="J4346" s="76"/>
    </row>
    <row r="4347" spans="1:10">
      <c r="A4347" s="172"/>
      <c r="D4347" s="56"/>
      <c r="E4347" s="204"/>
      <c r="F4347" s="205"/>
      <c r="G4347" s="206"/>
      <c r="H4347" s="207"/>
      <c r="J4347" s="76"/>
    </row>
    <row r="4348" spans="1:10">
      <c r="A4348" s="172"/>
      <c r="D4348" s="56"/>
      <c r="E4348" s="204"/>
      <c r="F4348" s="205"/>
      <c r="G4348" s="206"/>
      <c r="H4348" s="207"/>
      <c r="J4348" s="76"/>
    </row>
    <row r="4349" spans="1:10">
      <c r="A4349" s="172"/>
      <c r="D4349" s="56"/>
      <c r="E4349" s="204"/>
      <c r="F4349" s="205"/>
      <c r="G4349" s="206"/>
      <c r="H4349" s="207"/>
      <c r="J4349" s="76"/>
    </row>
    <row r="4350" spans="1:10">
      <c r="A4350" s="172"/>
      <c r="D4350" s="56"/>
      <c r="E4350" s="204"/>
      <c r="F4350" s="205"/>
      <c r="G4350" s="206"/>
      <c r="H4350" s="207"/>
      <c r="J4350" s="76"/>
    </row>
    <row r="4351" spans="1:10">
      <c r="A4351" s="172"/>
      <c r="D4351" s="56"/>
      <c r="E4351" s="204"/>
      <c r="F4351" s="205"/>
      <c r="G4351" s="206"/>
      <c r="H4351" s="207"/>
      <c r="J4351" s="76"/>
    </row>
    <row r="4352" spans="1:10">
      <c r="A4352" s="172"/>
      <c r="D4352" s="56"/>
      <c r="E4352" s="204"/>
      <c r="F4352" s="205"/>
      <c r="G4352" s="206"/>
      <c r="H4352" s="207"/>
      <c r="J4352" s="76"/>
    </row>
    <row r="4353" spans="1:10">
      <c r="A4353" s="172"/>
      <c r="D4353" s="56"/>
      <c r="E4353" s="204"/>
      <c r="F4353" s="205"/>
      <c r="G4353" s="206"/>
      <c r="H4353" s="207"/>
      <c r="J4353" s="76"/>
    </row>
    <row r="4354" spans="1:10">
      <c r="A4354" s="172"/>
      <c r="D4354" s="56"/>
      <c r="E4354" s="204"/>
      <c r="F4354" s="205"/>
      <c r="G4354" s="206"/>
      <c r="H4354" s="207"/>
      <c r="J4354" s="76"/>
    </row>
    <row r="4355" spans="1:10">
      <c r="A4355" s="172"/>
      <c r="D4355" s="56"/>
      <c r="E4355" s="204"/>
      <c r="F4355" s="205"/>
      <c r="G4355" s="206"/>
      <c r="H4355" s="207"/>
      <c r="J4355" s="76"/>
    </row>
    <row r="4356" spans="1:10">
      <c r="A4356" s="172"/>
      <c r="D4356" s="56"/>
      <c r="E4356" s="204"/>
      <c r="F4356" s="205"/>
      <c r="G4356" s="206"/>
      <c r="H4356" s="207"/>
      <c r="J4356" s="76"/>
    </row>
    <row r="4357" spans="1:10">
      <c r="A4357" s="172"/>
      <c r="D4357" s="56"/>
      <c r="E4357" s="204"/>
      <c r="F4357" s="205"/>
      <c r="G4357" s="206"/>
      <c r="H4357" s="207"/>
      <c r="J4357" s="76"/>
    </row>
    <row r="4358" spans="1:10">
      <c r="A4358" s="172"/>
      <c r="D4358" s="56"/>
      <c r="E4358" s="204"/>
      <c r="F4358" s="205"/>
      <c r="G4358" s="206"/>
      <c r="H4358" s="207"/>
      <c r="J4358" s="76"/>
    </row>
    <row r="4359" spans="1:10">
      <c r="A4359" s="172"/>
      <c r="D4359" s="56"/>
      <c r="E4359" s="204"/>
      <c r="F4359" s="205"/>
      <c r="G4359" s="206"/>
      <c r="H4359" s="207"/>
      <c r="J4359" s="76"/>
    </row>
    <row r="4360" spans="1:10">
      <c r="A4360" s="172"/>
      <c r="D4360" s="56"/>
      <c r="E4360" s="204"/>
      <c r="F4360" s="205"/>
      <c r="G4360" s="206"/>
      <c r="H4360" s="207"/>
      <c r="J4360" s="76"/>
    </row>
    <row r="4361" spans="1:10">
      <c r="A4361" s="172"/>
      <c r="D4361" s="56"/>
      <c r="E4361" s="204"/>
      <c r="F4361" s="205"/>
      <c r="G4361" s="206"/>
      <c r="H4361" s="207"/>
      <c r="J4361" s="76"/>
    </row>
    <row r="4362" spans="1:10">
      <c r="A4362" s="172"/>
      <c r="D4362" s="56"/>
      <c r="E4362" s="204"/>
      <c r="F4362" s="205"/>
      <c r="G4362" s="206"/>
      <c r="H4362" s="207"/>
      <c r="J4362" s="76"/>
    </row>
    <row r="4363" spans="1:10">
      <c r="A4363" s="172"/>
      <c r="D4363" s="56"/>
      <c r="E4363" s="204"/>
      <c r="F4363" s="205"/>
      <c r="G4363" s="206"/>
      <c r="H4363" s="207"/>
      <c r="J4363" s="76"/>
    </row>
    <row r="4364" spans="1:10">
      <c r="A4364" s="172"/>
      <c r="D4364" s="56"/>
      <c r="E4364" s="204"/>
      <c r="F4364" s="205"/>
      <c r="G4364" s="206"/>
      <c r="H4364" s="207"/>
      <c r="J4364" s="76"/>
    </row>
    <row r="4365" spans="1:10">
      <c r="A4365" s="172"/>
      <c r="D4365" s="56"/>
      <c r="E4365" s="204"/>
      <c r="F4365" s="205"/>
      <c r="G4365" s="206"/>
      <c r="H4365" s="207"/>
      <c r="J4365" s="76"/>
    </row>
    <row r="4366" spans="1:10">
      <c r="A4366" s="172"/>
      <c r="D4366" s="56"/>
      <c r="E4366" s="204"/>
      <c r="F4366" s="205"/>
      <c r="G4366" s="206"/>
      <c r="H4366" s="207"/>
      <c r="J4366" s="76"/>
    </row>
    <row r="4367" spans="1:10">
      <c r="A4367" s="172"/>
      <c r="D4367" s="56"/>
      <c r="E4367" s="204"/>
      <c r="F4367" s="205"/>
      <c r="G4367" s="206"/>
      <c r="H4367" s="207"/>
      <c r="J4367" s="76"/>
    </row>
    <row r="4368" spans="1:10">
      <c r="A4368" s="172"/>
      <c r="D4368" s="56"/>
      <c r="E4368" s="204"/>
      <c r="F4368" s="205"/>
      <c r="G4368" s="206"/>
      <c r="H4368" s="207"/>
      <c r="J4368" s="76"/>
    </row>
    <row r="4369" spans="1:10">
      <c r="A4369" s="172"/>
      <c r="D4369" s="56"/>
      <c r="E4369" s="204"/>
      <c r="F4369" s="205"/>
      <c r="G4369" s="206"/>
      <c r="H4369" s="207"/>
      <c r="J4369" s="76"/>
    </row>
    <row r="4370" spans="1:10">
      <c r="A4370" s="172"/>
      <c r="D4370" s="56"/>
      <c r="E4370" s="204"/>
      <c r="F4370" s="205"/>
      <c r="G4370" s="206"/>
      <c r="H4370" s="207"/>
      <c r="J4370" s="76"/>
    </row>
    <row r="4371" spans="1:10">
      <c r="A4371" s="172"/>
      <c r="D4371" s="56"/>
      <c r="E4371" s="204"/>
      <c r="F4371" s="205"/>
      <c r="G4371" s="206"/>
      <c r="H4371" s="207"/>
      <c r="J4371" s="76"/>
    </row>
    <row r="4372" spans="1:10">
      <c r="A4372" s="172"/>
      <c r="D4372" s="56"/>
      <c r="E4372" s="204"/>
      <c r="F4372" s="205"/>
      <c r="G4372" s="206"/>
      <c r="H4372" s="207"/>
      <c r="J4372" s="76"/>
    </row>
    <row r="4373" spans="1:10">
      <c r="A4373" s="172"/>
      <c r="D4373" s="56"/>
      <c r="E4373" s="204"/>
      <c r="F4373" s="205"/>
      <c r="G4373" s="206"/>
      <c r="H4373" s="207"/>
      <c r="J4373" s="76"/>
    </row>
    <row r="4374" spans="1:10">
      <c r="A4374" s="172"/>
      <c r="D4374" s="56"/>
      <c r="E4374" s="204"/>
      <c r="F4374" s="205"/>
      <c r="G4374" s="206"/>
      <c r="H4374" s="207"/>
      <c r="J4374" s="76"/>
    </row>
    <row r="4375" spans="1:10">
      <c r="A4375" s="172"/>
      <c r="D4375" s="56"/>
      <c r="E4375" s="204"/>
      <c r="F4375" s="205"/>
      <c r="G4375" s="206"/>
      <c r="H4375" s="207"/>
      <c r="J4375" s="76"/>
    </row>
    <row r="4376" spans="1:10">
      <c r="A4376" s="172"/>
      <c r="D4376" s="56"/>
      <c r="E4376" s="204"/>
      <c r="F4376" s="205"/>
      <c r="G4376" s="206"/>
      <c r="H4376" s="207"/>
      <c r="J4376" s="76"/>
    </row>
    <row r="4377" spans="1:10">
      <c r="A4377" s="172"/>
      <c r="D4377" s="56"/>
      <c r="E4377" s="204"/>
      <c r="F4377" s="205"/>
      <c r="G4377" s="206"/>
      <c r="H4377" s="207"/>
      <c r="J4377" s="76"/>
    </row>
    <row r="4378" spans="1:10">
      <c r="A4378" s="172"/>
      <c r="D4378" s="56"/>
      <c r="E4378" s="204"/>
      <c r="F4378" s="205"/>
      <c r="G4378" s="206"/>
      <c r="H4378" s="207"/>
      <c r="J4378" s="76"/>
    </row>
    <row r="4379" spans="1:10">
      <c r="A4379" s="172"/>
      <c r="D4379" s="56"/>
      <c r="E4379" s="204"/>
      <c r="F4379" s="205"/>
      <c r="G4379" s="206"/>
      <c r="H4379" s="207"/>
      <c r="J4379" s="76"/>
    </row>
    <row r="4380" spans="1:10">
      <c r="A4380" s="172"/>
      <c r="D4380" s="56"/>
      <c r="E4380" s="204"/>
      <c r="F4380" s="205"/>
      <c r="G4380" s="206"/>
      <c r="H4380" s="207"/>
      <c r="J4380" s="76"/>
    </row>
    <row r="4381" spans="1:10">
      <c r="A4381" s="172"/>
      <c r="D4381" s="56"/>
      <c r="E4381" s="204"/>
      <c r="F4381" s="205"/>
      <c r="G4381" s="206"/>
      <c r="H4381" s="207"/>
      <c r="J4381" s="76"/>
    </row>
    <row r="4382" spans="1:10">
      <c r="A4382" s="172"/>
      <c r="D4382" s="56"/>
      <c r="E4382" s="204"/>
      <c r="F4382" s="205"/>
      <c r="G4382" s="206"/>
      <c r="H4382" s="207"/>
      <c r="J4382" s="76"/>
    </row>
    <row r="4383" spans="1:10">
      <c r="A4383" s="172"/>
      <c r="D4383" s="56"/>
      <c r="E4383" s="204"/>
      <c r="F4383" s="205"/>
      <c r="G4383" s="206"/>
      <c r="H4383" s="207"/>
      <c r="J4383" s="76"/>
    </row>
    <row r="4384" spans="1:10">
      <c r="A4384" s="172"/>
      <c r="D4384" s="56"/>
      <c r="E4384" s="204"/>
      <c r="F4384" s="205"/>
      <c r="G4384" s="206"/>
      <c r="H4384" s="207"/>
      <c r="J4384" s="76"/>
    </row>
    <row r="4385" spans="1:10">
      <c r="A4385" s="172"/>
      <c r="D4385" s="56"/>
      <c r="E4385" s="204"/>
      <c r="F4385" s="205"/>
      <c r="G4385" s="206"/>
      <c r="H4385" s="207"/>
      <c r="J4385" s="76"/>
    </row>
    <row r="4386" spans="1:10">
      <c r="A4386" s="172"/>
      <c r="D4386" s="56"/>
      <c r="E4386" s="204"/>
      <c r="F4386" s="205"/>
      <c r="G4386" s="206"/>
      <c r="H4386" s="207"/>
      <c r="J4386" s="76"/>
    </row>
    <row r="4387" spans="1:10">
      <c r="A4387" s="172"/>
      <c r="D4387" s="56"/>
      <c r="E4387" s="204"/>
      <c r="F4387" s="205"/>
      <c r="G4387" s="206"/>
      <c r="H4387" s="207"/>
      <c r="J4387" s="76"/>
    </row>
    <row r="4388" spans="1:10">
      <c r="A4388" s="172"/>
      <c r="D4388" s="56"/>
      <c r="E4388" s="204"/>
      <c r="F4388" s="205"/>
      <c r="G4388" s="206"/>
      <c r="H4388" s="207"/>
      <c r="J4388" s="76"/>
    </row>
    <row r="4389" spans="1:10">
      <c r="A4389" s="172"/>
      <c r="D4389" s="56"/>
      <c r="E4389" s="204"/>
      <c r="F4389" s="205"/>
      <c r="G4389" s="206"/>
      <c r="H4389" s="207"/>
      <c r="J4389" s="76"/>
    </row>
    <row r="4390" spans="1:10">
      <c r="A4390" s="172"/>
      <c r="D4390" s="56"/>
      <c r="E4390" s="204"/>
      <c r="F4390" s="205"/>
      <c r="G4390" s="206"/>
      <c r="H4390" s="207"/>
      <c r="J4390" s="76"/>
    </row>
    <row r="4391" spans="1:10">
      <c r="A4391" s="172"/>
      <c r="D4391" s="56"/>
      <c r="E4391" s="204"/>
      <c r="F4391" s="205"/>
      <c r="G4391" s="206"/>
      <c r="H4391" s="207"/>
      <c r="J4391" s="76"/>
    </row>
    <row r="4392" spans="1:10">
      <c r="A4392" s="172"/>
      <c r="D4392" s="56"/>
      <c r="E4392" s="204"/>
      <c r="F4392" s="205"/>
      <c r="G4392" s="206"/>
      <c r="H4392" s="207"/>
      <c r="J4392" s="76"/>
    </row>
    <row r="4393" spans="1:10">
      <c r="A4393" s="172"/>
      <c r="D4393" s="56"/>
      <c r="E4393" s="204"/>
      <c r="F4393" s="205"/>
      <c r="G4393" s="206"/>
      <c r="H4393" s="207"/>
      <c r="J4393" s="76"/>
    </row>
    <row r="4394" spans="1:10">
      <c r="A4394" s="172"/>
      <c r="D4394" s="56"/>
      <c r="E4394" s="204"/>
      <c r="F4394" s="205"/>
      <c r="G4394" s="206"/>
      <c r="H4394" s="207"/>
      <c r="J4394" s="76"/>
    </row>
    <row r="4395" spans="1:10">
      <c r="A4395" s="172"/>
      <c r="D4395" s="56"/>
      <c r="E4395" s="204"/>
      <c r="F4395" s="205"/>
      <c r="G4395" s="206"/>
      <c r="H4395" s="207"/>
      <c r="J4395" s="76"/>
    </row>
    <row r="4396" spans="1:10">
      <c r="A4396" s="172"/>
      <c r="D4396" s="56"/>
      <c r="E4396" s="204"/>
      <c r="F4396" s="205"/>
      <c r="G4396" s="206"/>
      <c r="H4396" s="207"/>
      <c r="J4396" s="76"/>
    </row>
    <row r="4397" spans="1:10">
      <c r="A4397" s="172"/>
      <c r="D4397" s="56"/>
      <c r="E4397" s="204"/>
      <c r="F4397" s="205"/>
      <c r="G4397" s="206"/>
      <c r="H4397" s="207"/>
      <c r="J4397" s="76"/>
    </row>
    <row r="4398" spans="1:10">
      <c r="A4398" s="172"/>
      <c r="D4398" s="56"/>
      <c r="E4398" s="204"/>
      <c r="F4398" s="205"/>
      <c r="G4398" s="206"/>
      <c r="H4398" s="207"/>
      <c r="J4398" s="76"/>
    </row>
    <row r="4399" spans="1:10">
      <c r="A4399" s="172"/>
      <c r="D4399" s="56"/>
      <c r="E4399" s="204"/>
      <c r="F4399" s="205"/>
      <c r="G4399" s="206"/>
      <c r="H4399" s="207"/>
      <c r="J4399" s="76"/>
    </row>
    <row r="4400" spans="1:10">
      <c r="A4400" s="172"/>
      <c r="D4400" s="56"/>
      <c r="E4400" s="204"/>
      <c r="F4400" s="205"/>
      <c r="G4400" s="206"/>
      <c r="H4400" s="207"/>
      <c r="J4400" s="76"/>
    </row>
    <row r="4401" spans="1:10">
      <c r="A4401" s="172"/>
      <c r="D4401" s="56"/>
      <c r="E4401" s="204"/>
      <c r="F4401" s="205"/>
      <c r="G4401" s="206"/>
      <c r="H4401" s="207"/>
      <c r="J4401" s="76"/>
    </row>
    <row r="4402" spans="1:10">
      <c r="A4402" s="172"/>
      <c r="D4402" s="56"/>
      <c r="E4402" s="204"/>
      <c r="F4402" s="205"/>
      <c r="G4402" s="206"/>
      <c r="H4402" s="207"/>
      <c r="J4402" s="76"/>
    </row>
    <row r="4403" spans="1:10">
      <c r="A4403" s="172"/>
      <c r="D4403" s="56"/>
      <c r="E4403" s="204"/>
      <c r="F4403" s="205"/>
      <c r="G4403" s="206"/>
      <c r="H4403" s="207"/>
      <c r="J4403" s="76"/>
    </row>
    <row r="4404" spans="1:10">
      <c r="A4404" s="172"/>
      <c r="D4404" s="56"/>
      <c r="E4404" s="204"/>
      <c r="F4404" s="205"/>
      <c r="G4404" s="206"/>
      <c r="H4404" s="207"/>
      <c r="J4404" s="76"/>
    </row>
    <row r="4405" spans="1:10">
      <c r="A4405" s="172"/>
      <c r="D4405" s="56"/>
      <c r="E4405" s="204"/>
      <c r="F4405" s="205"/>
      <c r="G4405" s="206"/>
      <c r="H4405" s="207"/>
      <c r="J4405" s="76"/>
    </row>
    <row r="4406" spans="1:10">
      <c r="A4406" s="172"/>
      <c r="D4406" s="56"/>
      <c r="E4406" s="204"/>
      <c r="F4406" s="205"/>
      <c r="G4406" s="206"/>
      <c r="H4406" s="207"/>
      <c r="J4406" s="76"/>
    </row>
    <row r="4407" spans="1:10">
      <c r="A4407" s="172"/>
      <c r="D4407" s="56"/>
      <c r="E4407" s="204"/>
      <c r="F4407" s="205"/>
      <c r="G4407" s="206"/>
      <c r="H4407" s="207"/>
      <c r="J4407" s="76"/>
    </row>
    <row r="4408" spans="1:10">
      <c r="A4408" s="172"/>
      <c r="D4408" s="56"/>
      <c r="E4408" s="204"/>
      <c r="F4408" s="205"/>
      <c r="G4408" s="206"/>
      <c r="H4408" s="207"/>
      <c r="J4408" s="76"/>
    </row>
    <row r="4409" spans="1:10">
      <c r="A4409" s="172"/>
      <c r="D4409" s="56"/>
      <c r="E4409" s="204"/>
      <c r="F4409" s="205"/>
      <c r="G4409" s="206"/>
      <c r="H4409" s="207"/>
      <c r="J4409" s="76"/>
    </row>
    <row r="4410" spans="1:10">
      <c r="A4410" s="172"/>
      <c r="D4410" s="56"/>
      <c r="E4410" s="204"/>
      <c r="F4410" s="205"/>
      <c r="G4410" s="206"/>
      <c r="H4410" s="207"/>
      <c r="J4410" s="76"/>
    </row>
    <row r="4411" spans="1:10">
      <c r="A4411" s="172"/>
      <c r="D4411" s="56"/>
      <c r="E4411" s="204"/>
      <c r="F4411" s="205"/>
      <c r="G4411" s="206"/>
      <c r="H4411" s="207"/>
      <c r="J4411" s="76"/>
    </row>
    <row r="4412" spans="1:10">
      <c r="A4412" s="172"/>
      <c r="D4412" s="56"/>
      <c r="E4412" s="204"/>
      <c r="F4412" s="205"/>
      <c r="G4412" s="206"/>
      <c r="H4412" s="207"/>
      <c r="J4412" s="76"/>
    </row>
    <row r="4413" spans="1:10">
      <c r="A4413" s="172"/>
      <c r="D4413" s="56"/>
      <c r="E4413" s="204"/>
      <c r="F4413" s="205"/>
      <c r="G4413" s="206"/>
      <c r="H4413" s="207"/>
      <c r="J4413" s="76"/>
    </row>
    <row r="4414" spans="1:10">
      <c r="A4414" s="172"/>
      <c r="D4414" s="56"/>
      <c r="E4414" s="204"/>
      <c r="F4414" s="205"/>
      <c r="G4414" s="206"/>
      <c r="H4414" s="207"/>
      <c r="J4414" s="76"/>
    </row>
    <row r="4415" spans="1:10">
      <c r="A4415" s="172"/>
      <c r="D4415" s="56"/>
      <c r="E4415" s="204"/>
      <c r="F4415" s="205"/>
      <c r="G4415" s="206"/>
      <c r="H4415" s="207"/>
      <c r="J4415" s="76"/>
    </row>
    <row r="4416" spans="1:10">
      <c r="A4416" s="172"/>
      <c r="D4416" s="56"/>
      <c r="E4416" s="204"/>
      <c r="F4416" s="205"/>
      <c r="G4416" s="206"/>
      <c r="H4416" s="207"/>
      <c r="J4416" s="76"/>
    </row>
    <row r="4417" spans="1:10">
      <c r="A4417" s="172"/>
      <c r="D4417" s="56"/>
      <c r="E4417" s="204"/>
      <c r="F4417" s="205"/>
      <c r="G4417" s="206"/>
      <c r="H4417" s="207"/>
      <c r="J4417" s="76"/>
    </row>
    <row r="4418" spans="1:10">
      <c r="A4418" s="172"/>
      <c r="D4418" s="56"/>
      <c r="E4418" s="204"/>
      <c r="F4418" s="205"/>
      <c r="G4418" s="206"/>
      <c r="H4418" s="207"/>
      <c r="J4418" s="76"/>
    </row>
    <row r="4419" spans="1:10">
      <c r="A4419" s="172"/>
      <c r="D4419" s="56"/>
      <c r="E4419" s="204"/>
      <c r="F4419" s="205"/>
      <c r="G4419" s="206"/>
      <c r="H4419" s="207"/>
      <c r="J4419" s="76"/>
    </row>
    <row r="4420" spans="1:10">
      <c r="A4420" s="172"/>
      <c r="D4420" s="56"/>
      <c r="E4420" s="204"/>
      <c r="F4420" s="205"/>
      <c r="G4420" s="206"/>
      <c r="H4420" s="207"/>
      <c r="J4420" s="76"/>
    </row>
    <row r="4421" spans="1:10">
      <c r="A4421" s="172"/>
      <c r="D4421" s="56"/>
      <c r="E4421" s="204"/>
      <c r="F4421" s="205"/>
      <c r="G4421" s="206"/>
      <c r="H4421" s="207"/>
      <c r="J4421" s="76"/>
    </row>
    <row r="4422" spans="1:10">
      <c r="A4422" s="172"/>
      <c r="D4422" s="56"/>
      <c r="E4422" s="204"/>
      <c r="F4422" s="205"/>
      <c r="G4422" s="206"/>
      <c r="H4422" s="207"/>
      <c r="J4422" s="76"/>
    </row>
    <row r="4423" spans="1:10">
      <c r="A4423" s="172"/>
      <c r="D4423" s="56"/>
      <c r="E4423" s="204"/>
      <c r="F4423" s="205"/>
      <c r="G4423" s="206"/>
      <c r="H4423" s="207"/>
      <c r="J4423" s="76"/>
    </row>
    <row r="4424" spans="1:10">
      <c r="A4424" s="172"/>
      <c r="D4424" s="56"/>
      <c r="E4424" s="204"/>
      <c r="F4424" s="205"/>
      <c r="G4424" s="206"/>
      <c r="H4424" s="207"/>
      <c r="J4424" s="76"/>
    </row>
    <row r="4425" spans="1:10">
      <c r="A4425" s="172"/>
      <c r="D4425" s="56"/>
      <c r="E4425" s="204"/>
      <c r="F4425" s="205"/>
      <c r="G4425" s="206"/>
      <c r="H4425" s="207"/>
      <c r="J4425" s="76"/>
    </row>
    <row r="4426" spans="1:10">
      <c r="A4426" s="172"/>
      <c r="D4426" s="56"/>
      <c r="E4426" s="204"/>
      <c r="F4426" s="205"/>
      <c r="G4426" s="206"/>
      <c r="H4426" s="207"/>
      <c r="J4426" s="76"/>
    </row>
    <row r="4427" spans="1:10">
      <c r="A4427" s="172"/>
      <c r="D4427" s="56"/>
      <c r="E4427" s="204"/>
      <c r="F4427" s="205"/>
      <c r="G4427" s="206"/>
      <c r="H4427" s="207"/>
      <c r="J4427" s="76"/>
    </row>
    <row r="4428" spans="1:10">
      <c r="A4428" s="172"/>
      <c r="D4428" s="56"/>
      <c r="E4428" s="204"/>
      <c r="F4428" s="205"/>
      <c r="G4428" s="206"/>
      <c r="H4428" s="207"/>
      <c r="J4428" s="76"/>
    </row>
    <row r="4429" spans="1:10">
      <c r="A4429" s="172"/>
      <c r="D4429" s="56"/>
      <c r="E4429" s="204"/>
      <c r="F4429" s="205"/>
      <c r="G4429" s="206"/>
      <c r="H4429" s="207"/>
      <c r="J4429" s="76"/>
    </row>
    <row r="4430" spans="1:10">
      <c r="A4430" s="172"/>
      <c r="D4430" s="56"/>
      <c r="E4430" s="204"/>
      <c r="F4430" s="205"/>
      <c r="G4430" s="206"/>
      <c r="H4430" s="207"/>
      <c r="J4430" s="76"/>
    </row>
    <row r="4431" spans="1:10">
      <c r="A4431" s="172"/>
      <c r="D4431" s="56"/>
      <c r="E4431" s="204"/>
      <c r="F4431" s="205"/>
      <c r="G4431" s="206"/>
      <c r="H4431" s="207"/>
      <c r="J4431" s="76"/>
    </row>
    <row r="4432" spans="1:10">
      <c r="A4432" s="172"/>
      <c r="D4432" s="56"/>
      <c r="E4432" s="204"/>
      <c r="F4432" s="205"/>
      <c r="G4432" s="206"/>
      <c r="H4432" s="207"/>
      <c r="J4432" s="76"/>
    </row>
    <row r="4433" spans="1:10">
      <c r="A4433" s="172"/>
      <c r="D4433" s="56"/>
      <c r="E4433" s="204"/>
      <c r="F4433" s="205"/>
      <c r="G4433" s="206"/>
      <c r="H4433" s="207"/>
      <c r="J4433" s="76"/>
    </row>
    <row r="4434" spans="1:10">
      <c r="A4434" s="172"/>
      <c r="D4434" s="56"/>
      <c r="E4434" s="204"/>
      <c r="F4434" s="205"/>
      <c r="G4434" s="206"/>
      <c r="H4434" s="207"/>
      <c r="J4434" s="76"/>
    </row>
    <row r="4435" spans="1:10">
      <c r="A4435" s="172"/>
      <c r="D4435" s="56"/>
      <c r="E4435" s="204"/>
      <c r="F4435" s="205"/>
      <c r="G4435" s="206"/>
      <c r="H4435" s="207"/>
      <c r="J4435" s="76"/>
    </row>
    <row r="4436" spans="1:10">
      <c r="A4436" s="172"/>
      <c r="D4436" s="56"/>
      <c r="E4436" s="204"/>
      <c r="F4436" s="205"/>
      <c r="G4436" s="206"/>
      <c r="H4436" s="207"/>
      <c r="J4436" s="76"/>
    </row>
    <row r="4437" spans="1:10">
      <c r="A4437" s="172"/>
      <c r="D4437" s="56"/>
      <c r="E4437" s="204"/>
      <c r="F4437" s="205"/>
      <c r="G4437" s="206"/>
      <c r="H4437" s="207"/>
      <c r="J4437" s="76"/>
    </row>
    <row r="4438" spans="1:10">
      <c r="A4438" s="172"/>
      <c r="D4438" s="56"/>
      <c r="E4438" s="204"/>
      <c r="F4438" s="205"/>
      <c r="G4438" s="206"/>
      <c r="H4438" s="207"/>
      <c r="J4438" s="76"/>
    </row>
    <row r="4439" spans="1:10">
      <c r="A4439" s="172"/>
      <c r="D4439" s="56"/>
      <c r="E4439" s="204"/>
      <c r="F4439" s="205"/>
      <c r="G4439" s="206"/>
      <c r="H4439" s="207"/>
      <c r="J4439" s="76"/>
    </row>
    <row r="4440" spans="1:10">
      <c r="A4440" s="172"/>
      <c r="D4440" s="56"/>
      <c r="E4440" s="204"/>
      <c r="F4440" s="205"/>
      <c r="G4440" s="206"/>
      <c r="H4440" s="207"/>
      <c r="J4440" s="76"/>
    </row>
    <row r="4441" spans="1:10">
      <c r="A4441" s="172"/>
      <c r="D4441" s="56"/>
      <c r="E4441" s="204"/>
      <c r="F4441" s="205"/>
      <c r="G4441" s="206"/>
      <c r="H4441" s="207"/>
      <c r="J4441" s="76"/>
    </row>
    <row r="4442" spans="1:10">
      <c r="A4442" s="172"/>
      <c r="D4442" s="56"/>
      <c r="E4442" s="204"/>
      <c r="F4442" s="205"/>
      <c r="G4442" s="206"/>
      <c r="H4442" s="207"/>
      <c r="J4442" s="76"/>
    </row>
    <row r="4443" spans="1:10">
      <c r="A4443" s="172"/>
      <c r="D4443" s="56"/>
      <c r="E4443" s="204"/>
      <c r="F4443" s="205"/>
      <c r="G4443" s="206"/>
      <c r="H4443" s="207"/>
      <c r="J4443" s="76"/>
    </row>
    <row r="4444" spans="1:10">
      <c r="A4444" s="172"/>
      <c r="D4444" s="56"/>
      <c r="E4444" s="204"/>
      <c r="F4444" s="205"/>
      <c r="G4444" s="206"/>
      <c r="H4444" s="207"/>
      <c r="J4444" s="76"/>
    </row>
    <row r="4445" spans="1:10">
      <c r="A4445" s="172"/>
      <c r="D4445" s="56"/>
      <c r="E4445" s="204"/>
      <c r="F4445" s="205"/>
      <c r="G4445" s="206"/>
      <c r="H4445" s="207"/>
      <c r="J4445" s="76"/>
    </row>
    <row r="4446" spans="1:10">
      <c r="A4446" s="172"/>
      <c r="D4446" s="56"/>
      <c r="E4446" s="204"/>
      <c r="F4446" s="205"/>
      <c r="G4446" s="206"/>
      <c r="H4446" s="207"/>
      <c r="J4446" s="76"/>
    </row>
    <row r="4447" spans="1:10">
      <c r="A4447" s="172"/>
      <c r="D4447" s="56"/>
      <c r="E4447" s="204"/>
      <c r="F4447" s="205"/>
      <c r="G4447" s="206"/>
      <c r="H4447" s="207"/>
      <c r="J4447" s="76"/>
    </row>
    <row r="4448" spans="1:10">
      <c r="A4448" s="172"/>
      <c r="D4448" s="56"/>
      <c r="E4448" s="204"/>
      <c r="F4448" s="205"/>
      <c r="G4448" s="206"/>
      <c r="H4448" s="207"/>
      <c r="J4448" s="76"/>
    </row>
    <row r="4449" spans="1:10">
      <c r="A4449" s="172"/>
      <c r="D4449" s="56"/>
      <c r="E4449" s="204"/>
      <c r="F4449" s="205"/>
      <c r="G4449" s="206"/>
      <c r="H4449" s="207"/>
      <c r="J4449" s="76"/>
    </row>
    <row r="4450" spans="1:10">
      <c r="A4450" s="172"/>
      <c r="D4450" s="56"/>
      <c r="E4450" s="204"/>
      <c r="F4450" s="205"/>
      <c r="G4450" s="206"/>
      <c r="H4450" s="207"/>
      <c r="J4450" s="76"/>
    </row>
    <row r="4451" spans="1:10">
      <c r="A4451" s="172"/>
      <c r="D4451" s="56"/>
      <c r="E4451" s="204"/>
      <c r="F4451" s="205"/>
      <c r="G4451" s="206"/>
      <c r="H4451" s="207"/>
      <c r="J4451" s="76"/>
    </row>
    <row r="4452" spans="1:10">
      <c r="A4452" s="172"/>
      <c r="D4452" s="56"/>
      <c r="E4452" s="204"/>
      <c r="F4452" s="205"/>
      <c r="G4452" s="206"/>
      <c r="H4452" s="207"/>
      <c r="J4452" s="76"/>
    </row>
    <row r="4453" spans="1:10">
      <c r="A4453" s="172"/>
      <c r="D4453" s="56"/>
      <c r="E4453" s="204"/>
      <c r="F4453" s="205"/>
      <c r="G4453" s="206"/>
      <c r="H4453" s="207"/>
      <c r="J4453" s="76"/>
    </row>
    <row r="4454" spans="1:10">
      <c r="A4454" s="172"/>
      <c r="D4454" s="56"/>
      <c r="E4454" s="204"/>
      <c r="F4454" s="205"/>
      <c r="G4454" s="206"/>
      <c r="H4454" s="207"/>
      <c r="J4454" s="76"/>
    </row>
    <row r="4455" spans="1:10">
      <c r="A4455" s="172"/>
      <c r="D4455" s="56"/>
      <c r="E4455" s="204"/>
      <c r="F4455" s="205"/>
      <c r="G4455" s="206"/>
      <c r="H4455" s="207"/>
      <c r="J4455" s="76"/>
    </row>
    <row r="4456" spans="1:10">
      <c r="A4456" s="172"/>
      <c r="D4456" s="56"/>
      <c r="E4456" s="204"/>
      <c r="F4456" s="205"/>
      <c r="G4456" s="206"/>
      <c r="H4456" s="207"/>
      <c r="J4456" s="76"/>
    </row>
    <row r="4457" spans="1:10">
      <c r="A4457" s="172"/>
      <c r="D4457" s="56"/>
      <c r="E4457" s="204"/>
      <c r="F4457" s="205"/>
      <c r="G4457" s="206"/>
      <c r="H4457" s="207"/>
      <c r="J4457" s="76"/>
    </row>
    <row r="4458" spans="1:10">
      <c r="A4458" s="172"/>
      <c r="D4458" s="56"/>
      <c r="E4458" s="204"/>
      <c r="F4458" s="205"/>
      <c r="G4458" s="206"/>
      <c r="H4458" s="207"/>
      <c r="J4458" s="76"/>
    </row>
    <row r="4459" spans="1:10">
      <c r="A4459" s="172"/>
      <c r="D4459" s="56"/>
      <c r="E4459" s="204"/>
      <c r="F4459" s="205"/>
      <c r="G4459" s="206"/>
      <c r="H4459" s="207"/>
      <c r="J4459" s="76"/>
    </row>
    <row r="4460" spans="1:10">
      <c r="A4460" s="172"/>
      <c r="D4460" s="56"/>
      <c r="E4460" s="204"/>
      <c r="F4460" s="205"/>
      <c r="G4460" s="206"/>
      <c r="H4460" s="207"/>
      <c r="J4460" s="76"/>
    </row>
    <row r="4461" spans="1:10">
      <c r="A4461" s="172"/>
      <c r="D4461" s="56"/>
      <c r="E4461" s="204"/>
      <c r="F4461" s="205"/>
      <c r="G4461" s="206"/>
      <c r="H4461" s="207"/>
      <c r="J4461" s="76"/>
    </row>
    <row r="4462" spans="1:10">
      <c r="A4462" s="172"/>
      <c r="D4462" s="56"/>
      <c r="E4462" s="204"/>
      <c r="F4462" s="205"/>
      <c r="G4462" s="206"/>
      <c r="H4462" s="207"/>
      <c r="J4462" s="76"/>
    </row>
    <row r="4463" spans="1:10">
      <c r="A4463" s="172"/>
      <c r="D4463" s="56"/>
      <c r="E4463" s="204"/>
      <c r="F4463" s="205"/>
      <c r="G4463" s="206"/>
      <c r="H4463" s="207"/>
      <c r="J4463" s="76"/>
    </row>
    <row r="4464" spans="1:10">
      <c r="A4464" s="172"/>
      <c r="D4464" s="56"/>
      <c r="E4464" s="204"/>
      <c r="F4464" s="205"/>
      <c r="G4464" s="206"/>
      <c r="H4464" s="207"/>
      <c r="J4464" s="76"/>
    </row>
    <row r="4465" spans="1:10">
      <c r="A4465" s="172"/>
      <c r="D4465" s="56"/>
      <c r="E4465" s="204"/>
      <c r="F4465" s="205"/>
      <c r="G4465" s="206"/>
      <c r="H4465" s="207"/>
      <c r="J4465" s="76"/>
    </row>
    <row r="4466" spans="1:10">
      <c r="A4466" s="172"/>
      <c r="D4466" s="56"/>
      <c r="E4466" s="204"/>
      <c r="F4466" s="205"/>
      <c r="G4466" s="206"/>
      <c r="H4466" s="207"/>
      <c r="J4466" s="76"/>
    </row>
    <row r="4467" spans="1:10">
      <c r="A4467" s="172"/>
      <c r="D4467" s="56"/>
      <c r="E4467" s="204"/>
      <c r="F4467" s="205"/>
      <c r="G4467" s="206"/>
      <c r="H4467" s="207"/>
      <c r="J4467" s="76"/>
    </row>
    <row r="4468" spans="1:10">
      <c r="A4468" s="172"/>
      <c r="D4468" s="56"/>
      <c r="E4468" s="204"/>
      <c r="F4468" s="205"/>
      <c r="G4468" s="206"/>
      <c r="H4468" s="207"/>
      <c r="J4468" s="76"/>
    </row>
    <row r="4469" spans="1:10">
      <c r="A4469" s="172"/>
      <c r="D4469" s="56"/>
      <c r="E4469" s="204"/>
      <c r="F4469" s="205"/>
      <c r="G4469" s="206"/>
      <c r="H4469" s="207"/>
      <c r="J4469" s="76"/>
    </row>
    <row r="4470" spans="1:10">
      <c r="A4470" s="172"/>
      <c r="D4470" s="56"/>
      <c r="E4470" s="204"/>
      <c r="F4470" s="205"/>
      <c r="G4470" s="206"/>
      <c r="H4470" s="207"/>
      <c r="J4470" s="76"/>
    </row>
    <row r="4471" spans="1:10">
      <c r="A4471" s="172"/>
      <c r="D4471" s="56"/>
      <c r="E4471" s="204"/>
      <c r="F4471" s="205"/>
      <c r="G4471" s="206"/>
      <c r="H4471" s="207"/>
      <c r="J4471" s="76"/>
    </row>
    <row r="4472" spans="1:10">
      <c r="A4472" s="172"/>
      <c r="D4472" s="56"/>
      <c r="E4472" s="204"/>
      <c r="F4472" s="205"/>
      <c r="G4472" s="206"/>
      <c r="H4472" s="207"/>
      <c r="J4472" s="76"/>
    </row>
    <row r="4473" spans="1:10">
      <c r="A4473" s="172"/>
      <c r="D4473" s="56"/>
      <c r="E4473" s="204"/>
      <c r="F4473" s="205"/>
      <c r="G4473" s="206"/>
      <c r="H4473" s="207"/>
      <c r="J4473" s="76"/>
    </row>
    <row r="4474" spans="1:10">
      <c r="A4474" s="172"/>
      <c r="D4474" s="56"/>
      <c r="E4474" s="204"/>
      <c r="F4474" s="205"/>
      <c r="G4474" s="206"/>
      <c r="H4474" s="207"/>
      <c r="J4474" s="76"/>
    </row>
    <row r="4475" spans="1:10">
      <c r="A4475" s="172"/>
      <c r="D4475" s="56"/>
      <c r="E4475" s="204"/>
      <c r="F4475" s="205"/>
      <c r="G4475" s="206"/>
      <c r="H4475" s="207"/>
      <c r="J4475" s="76"/>
    </row>
    <row r="4476" spans="1:10">
      <c r="A4476" s="172"/>
      <c r="D4476" s="56"/>
      <c r="E4476" s="204"/>
      <c r="F4476" s="205"/>
      <c r="G4476" s="206"/>
      <c r="H4476" s="207"/>
      <c r="J4476" s="76"/>
    </row>
    <row r="4477" spans="1:10">
      <c r="A4477" s="172"/>
      <c r="D4477" s="56"/>
      <c r="E4477" s="204"/>
      <c r="F4477" s="205"/>
      <c r="G4477" s="206"/>
      <c r="H4477" s="207"/>
      <c r="J4477" s="76"/>
    </row>
    <row r="4478" spans="1:10">
      <c r="A4478" s="172"/>
      <c r="D4478" s="56"/>
      <c r="E4478" s="204"/>
      <c r="F4478" s="205"/>
      <c r="G4478" s="206"/>
      <c r="H4478" s="207"/>
      <c r="J4478" s="76"/>
    </row>
    <row r="4479" spans="1:10">
      <c r="A4479" s="172"/>
      <c r="D4479" s="56"/>
      <c r="E4479" s="204"/>
      <c r="F4479" s="205"/>
      <c r="G4479" s="206"/>
      <c r="H4479" s="207"/>
      <c r="J4479" s="76"/>
    </row>
    <row r="4480" spans="1:10">
      <c r="A4480" s="172"/>
      <c r="D4480" s="56"/>
      <c r="E4480" s="204"/>
      <c r="F4480" s="205"/>
      <c r="G4480" s="206"/>
      <c r="H4480" s="207"/>
      <c r="J4480" s="76"/>
    </row>
    <row r="4481" spans="1:10">
      <c r="A4481" s="172"/>
      <c r="D4481" s="56"/>
      <c r="E4481" s="204"/>
      <c r="F4481" s="205"/>
      <c r="G4481" s="206"/>
      <c r="H4481" s="207"/>
      <c r="J4481" s="76"/>
    </row>
    <row r="4482" spans="1:10">
      <c r="A4482" s="172"/>
      <c r="D4482" s="56"/>
      <c r="E4482" s="204"/>
      <c r="F4482" s="205"/>
      <c r="G4482" s="206"/>
      <c r="H4482" s="207"/>
      <c r="J4482" s="76"/>
    </row>
    <row r="4483" spans="1:10">
      <c r="A4483" s="172"/>
      <c r="D4483" s="56"/>
      <c r="E4483" s="204"/>
      <c r="F4483" s="205"/>
      <c r="G4483" s="206"/>
      <c r="H4483" s="207"/>
      <c r="J4483" s="76"/>
    </row>
    <row r="4484" spans="1:10">
      <c r="A4484" s="172"/>
      <c r="D4484" s="56"/>
      <c r="E4484" s="204"/>
      <c r="F4484" s="205"/>
      <c r="G4484" s="206"/>
      <c r="H4484" s="207"/>
      <c r="J4484" s="76"/>
    </row>
    <row r="4485" spans="1:10">
      <c r="A4485" s="172"/>
      <c r="D4485" s="56"/>
      <c r="E4485" s="204"/>
      <c r="F4485" s="205"/>
      <c r="G4485" s="206"/>
      <c r="H4485" s="207"/>
      <c r="J4485" s="76"/>
    </row>
    <row r="4486" spans="1:10">
      <c r="A4486" s="172"/>
      <c r="D4486" s="56"/>
      <c r="E4486" s="204"/>
      <c r="F4486" s="205"/>
      <c r="G4486" s="206"/>
      <c r="H4486" s="207"/>
      <c r="J4486" s="76"/>
    </row>
    <row r="4487" spans="1:10">
      <c r="A4487" s="172"/>
      <c r="D4487" s="56"/>
      <c r="E4487" s="204"/>
      <c r="F4487" s="205"/>
      <c r="G4487" s="206"/>
      <c r="H4487" s="207"/>
      <c r="J4487" s="76"/>
    </row>
    <row r="4488" spans="1:10">
      <c r="A4488" s="172"/>
      <c r="D4488" s="56"/>
      <c r="E4488" s="204"/>
      <c r="F4488" s="205"/>
      <c r="G4488" s="206"/>
      <c r="H4488" s="207"/>
      <c r="J4488" s="76"/>
    </row>
    <row r="4489" spans="1:10">
      <c r="A4489" s="172"/>
      <c r="D4489" s="56"/>
      <c r="E4489" s="204"/>
      <c r="F4489" s="205"/>
      <c r="G4489" s="206"/>
      <c r="H4489" s="207"/>
      <c r="J4489" s="76"/>
    </row>
    <row r="4490" spans="1:10">
      <c r="A4490" s="172"/>
      <c r="D4490" s="56"/>
      <c r="E4490" s="204"/>
      <c r="F4490" s="205"/>
      <c r="G4490" s="206"/>
      <c r="H4490" s="207"/>
      <c r="J4490" s="76"/>
    </row>
    <row r="4491" spans="1:10">
      <c r="A4491" s="172"/>
      <c r="D4491" s="56"/>
      <c r="E4491" s="204"/>
      <c r="F4491" s="205"/>
      <c r="G4491" s="206"/>
      <c r="H4491" s="207"/>
      <c r="J4491" s="76"/>
    </row>
    <row r="4492" spans="1:10">
      <c r="A4492" s="172"/>
      <c r="D4492" s="56"/>
      <c r="E4492" s="204"/>
      <c r="F4492" s="205"/>
      <c r="G4492" s="206"/>
      <c r="H4492" s="207"/>
      <c r="J4492" s="76"/>
    </row>
    <row r="4493" spans="1:10">
      <c r="A4493" s="172"/>
      <c r="D4493" s="56"/>
      <c r="E4493" s="204"/>
      <c r="F4493" s="205"/>
      <c r="G4493" s="206"/>
      <c r="H4493" s="207"/>
      <c r="J4493" s="76"/>
    </row>
    <row r="4494" spans="1:10">
      <c r="A4494" s="172"/>
      <c r="D4494" s="56"/>
      <c r="E4494" s="204"/>
      <c r="F4494" s="205"/>
      <c r="G4494" s="206"/>
      <c r="H4494" s="207"/>
      <c r="J4494" s="76"/>
    </row>
    <row r="4495" spans="1:10">
      <c r="A4495" s="172"/>
      <c r="D4495" s="56"/>
      <c r="E4495" s="204"/>
      <c r="F4495" s="205"/>
      <c r="G4495" s="206"/>
      <c r="H4495" s="207"/>
      <c r="J4495" s="76"/>
    </row>
    <row r="4496" spans="1:10">
      <c r="A4496" s="172"/>
      <c r="D4496" s="56"/>
      <c r="E4496" s="204"/>
      <c r="F4496" s="205"/>
      <c r="G4496" s="206"/>
      <c r="H4496" s="207"/>
      <c r="J4496" s="76"/>
    </row>
    <row r="4497" spans="1:10">
      <c r="A4497" s="172"/>
      <c r="D4497" s="56"/>
      <c r="E4497" s="204"/>
      <c r="F4497" s="205"/>
      <c r="G4497" s="206"/>
      <c r="H4497" s="207"/>
      <c r="J4497" s="76"/>
    </row>
    <row r="4498" spans="1:10">
      <c r="A4498" s="172"/>
      <c r="D4498" s="56"/>
      <c r="E4498" s="204"/>
      <c r="F4498" s="205"/>
      <c r="G4498" s="206"/>
      <c r="H4498" s="207"/>
      <c r="J4498" s="76"/>
    </row>
    <row r="4499" spans="1:10">
      <c r="A4499" s="172"/>
      <c r="D4499" s="56"/>
      <c r="E4499" s="204"/>
      <c r="F4499" s="205"/>
      <c r="G4499" s="206"/>
      <c r="H4499" s="207"/>
      <c r="J4499" s="76"/>
    </row>
    <row r="4500" spans="1:10">
      <c r="A4500" s="172"/>
      <c r="D4500" s="56"/>
      <c r="E4500" s="204"/>
      <c r="F4500" s="205"/>
      <c r="G4500" s="206"/>
      <c r="H4500" s="207"/>
      <c r="J4500" s="76"/>
    </row>
    <row r="4501" spans="1:10">
      <c r="A4501" s="172"/>
      <c r="D4501" s="56"/>
      <c r="E4501" s="204"/>
      <c r="F4501" s="205"/>
      <c r="G4501" s="206"/>
      <c r="H4501" s="207"/>
      <c r="J4501" s="76"/>
    </row>
    <row r="4502" spans="1:10">
      <c r="A4502" s="172"/>
      <c r="D4502" s="56"/>
      <c r="E4502" s="204"/>
      <c r="F4502" s="205"/>
      <c r="G4502" s="206"/>
      <c r="H4502" s="207"/>
      <c r="J4502" s="76"/>
    </row>
    <row r="4503" spans="1:10">
      <c r="A4503" s="172"/>
      <c r="D4503" s="56"/>
      <c r="E4503" s="204"/>
      <c r="F4503" s="205"/>
      <c r="G4503" s="206"/>
      <c r="H4503" s="207"/>
      <c r="J4503" s="76"/>
    </row>
    <row r="4504" spans="1:10">
      <c r="A4504" s="172"/>
      <c r="D4504" s="56"/>
      <c r="E4504" s="204"/>
      <c r="F4504" s="205"/>
      <c r="G4504" s="206"/>
      <c r="H4504" s="207"/>
      <c r="J4504" s="76"/>
    </row>
    <row r="4505" spans="1:10">
      <c r="A4505" s="172"/>
      <c r="D4505" s="56"/>
      <c r="E4505" s="204"/>
      <c r="F4505" s="205"/>
      <c r="G4505" s="206"/>
      <c r="H4505" s="207"/>
      <c r="J4505" s="76"/>
    </row>
    <row r="4506" spans="1:10">
      <c r="A4506" s="172"/>
      <c r="D4506" s="56"/>
      <c r="E4506" s="204"/>
      <c r="F4506" s="205"/>
      <c r="G4506" s="206"/>
      <c r="H4506" s="207"/>
      <c r="J4506" s="76"/>
    </row>
    <row r="4507" spans="1:10">
      <c r="A4507" s="172"/>
      <c r="D4507" s="56"/>
      <c r="E4507" s="204"/>
      <c r="F4507" s="205"/>
      <c r="G4507" s="206"/>
      <c r="H4507" s="207"/>
      <c r="J4507" s="76"/>
    </row>
    <row r="4508" spans="1:10">
      <c r="A4508" s="172"/>
      <c r="D4508" s="56"/>
      <c r="E4508" s="204"/>
      <c r="F4508" s="205"/>
      <c r="G4508" s="206"/>
      <c r="H4508" s="207"/>
      <c r="J4508" s="76"/>
    </row>
    <row r="4509" spans="1:10">
      <c r="A4509" s="172"/>
      <c r="D4509" s="56"/>
      <c r="E4509" s="204"/>
      <c r="F4509" s="205"/>
      <c r="G4509" s="206"/>
      <c r="H4509" s="207"/>
      <c r="J4509" s="76"/>
    </row>
    <row r="4510" spans="1:10">
      <c r="A4510" s="172"/>
      <c r="D4510" s="56"/>
      <c r="E4510" s="204"/>
      <c r="F4510" s="205"/>
      <c r="G4510" s="206"/>
      <c r="H4510" s="207"/>
      <c r="J4510" s="76"/>
    </row>
    <row r="4511" spans="1:10">
      <c r="A4511" s="172"/>
      <c r="D4511" s="56"/>
      <c r="E4511" s="204"/>
      <c r="F4511" s="205"/>
      <c r="G4511" s="206"/>
      <c r="H4511" s="207"/>
      <c r="J4511" s="76"/>
    </row>
    <row r="4512" spans="1:10">
      <c r="A4512" s="172"/>
      <c r="D4512" s="56"/>
      <c r="E4512" s="204"/>
      <c r="F4512" s="205"/>
      <c r="G4512" s="206"/>
      <c r="H4512" s="207"/>
      <c r="J4512" s="76"/>
    </row>
    <row r="4513" spans="1:10">
      <c r="A4513" s="172"/>
      <c r="D4513" s="56"/>
      <c r="E4513" s="204"/>
      <c r="F4513" s="205"/>
      <c r="G4513" s="206"/>
      <c r="H4513" s="207"/>
      <c r="J4513" s="76"/>
    </row>
    <row r="4514" spans="1:10">
      <c r="A4514" s="172"/>
      <c r="D4514" s="56"/>
      <c r="E4514" s="204"/>
      <c r="F4514" s="205"/>
      <c r="G4514" s="206"/>
      <c r="H4514" s="207"/>
      <c r="J4514" s="76"/>
    </row>
    <row r="4515" spans="1:10">
      <c r="A4515" s="172"/>
      <c r="D4515" s="56"/>
      <c r="E4515" s="204"/>
      <c r="F4515" s="205"/>
      <c r="G4515" s="206"/>
      <c r="H4515" s="207"/>
      <c r="J4515" s="76"/>
    </row>
    <row r="4516" spans="1:10">
      <c r="A4516" s="172"/>
      <c r="D4516" s="56"/>
      <c r="E4516" s="204"/>
      <c r="F4516" s="205"/>
      <c r="G4516" s="206"/>
      <c r="H4516" s="207"/>
      <c r="J4516" s="76"/>
    </row>
    <row r="4517" spans="1:10">
      <c r="A4517" s="172"/>
      <c r="D4517" s="56"/>
      <c r="E4517" s="204"/>
      <c r="F4517" s="205"/>
      <c r="G4517" s="206"/>
      <c r="H4517" s="207"/>
      <c r="J4517" s="76"/>
    </row>
    <row r="4518" spans="1:10">
      <c r="A4518" s="172"/>
      <c r="D4518" s="56"/>
      <c r="E4518" s="204"/>
      <c r="F4518" s="205"/>
      <c r="G4518" s="206"/>
      <c r="H4518" s="207"/>
      <c r="J4518" s="76"/>
    </row>
    <row r="4519" spans="1:10">
      <c r="A4519" s="172"/>
      <c r="D4519" s="56"/>
      <c r="E4519" s="204"/>
      <c r="F4519" s="205"/>
      <c r="G4519" s="206"/>
      <c r="H4519" s="207"/>
      <c r="J4519" s="76"/>
    </row>
    <row r="4520" spans="1:10">
      <c r="A4520" s="172"/>
      <c r="D4520" s="56"/>
      <c r="E4520" s="204"/>
      <c r="F4520" s="205"/>
      <c r="G4520" s="206"/>
      <c r="H4520" s="207"/>
      <c r="J4520" s="76"/>
    </row>
    <row r="4521" spans="1:10">
      <c r="A4521" s="172"/>
      <c r="D4521" s="56"/>
      <c r="E4521" s="204"/>
      <c r="F4521" s="205"/>
      <c r="G4521" s="206"/>
      <c r="H4521" s="207"/>
      <c r="J4521" s="76"/>
    </row>
    <row r="4522" spans="1:10">
      <c r="A4522" s="172"/>
      <c r="D4522" s="56"/>
      <c r="E4522" s="204"/>
      <c r="F4522" s="205"/>
      <c r="G4522" s="206"/>
      <c r="H4522" s="207"/>
      <c r="J4522" s="76"/>
    </row>
    <row r="4523" spans="1:10">
      <c r="A4523" s="172"/>
      <c r="D4523" s="56"/>
      <c r="E4523" s="204"/>
      <c r="F4523" s="205"/>
      <c r="G4523" s="206"/>
      <c r="H4523" s="207"/>
      <c r="J4523" s="76"/>
    </row>
    <row r="4524" spans="1:10">
      <c r="A4524" s="172"/>
      <c r="D4524" s="56"/>
      <c r="E4524" s="204"/>
      <c r="F4524" s="205"/>
      <c r="G4524" s="206"/>
      <c r="H4524" s="207"/>
      <c r="J4524" s="76"/>
    </row>
    <row r="4525" spans="1:10">
      <c r="A4525" s="172"/>
      <c r="D4525" s="56"/>
      <c r="E4525" s="204"/>
      <c r="F4525" s="205"/>
      <c r="G4525" s="206"/>
      <c r="H4525" s="207"/>
      <c r="J4525" s="76"/>
    </row>
    <row r="4526" spans="1:10">
      <c r="A4526" s="172"/>
      <c r="D4526" s="56"/>
      <c r="E4526" s="204"/>
      <c r="F4526" s="205"/>
      <c r="G4526" s="206"/>
      <c r="H4526" s="207"/>
      <c r="J4526" s="76"/>
    </row>
    <row r="4527" spans="1:10">
      <c r="A4527" s="172"/>
      <c r="D4527" s="56"/>
      <c r="E4527" s="204"/>
      <c r="F4527" s="205"/>
      <c r="G4527" s="206"/>
      <c r="H4527" s="207"/>
      <c r="J4527" s="76"/>
    </row>
    <row r="4528" spans="1:10">
      <c r="A4528" s="172"/>
      <c r="D4528" s="56"/>
      <c r="E4528" s="204"/>
      <c r="F4528" s="205"/>
      <c r="G4528" s="206"/>
      <c r="H4528" s="207"/>
      <c r="J4528" s="76"/>
    </row>
    <row r="4529" spans="1:10">
      <c r="A4529" s="172"/>
      <c r="D4529" s="56"/>
      <c r="E4529" s="204"/>
      <c r="F4529" s="205"/>
      <c r="G4529" s="206"/>
      <c r="H4529" s="207"/>
      <c r="J4529" s="76"/>
    </row>
    <row r="4530" spans="1:10">
      <c r="A4530" s="172"/>
      <c r="D4530" s="56"/>
      <c r="E4530" s="204"/>
      <c r="F4530" s="205"/>
      <c r="G4530" s="206"/>
      <c r="H4530" s="207"/>
      <c r="J4530" s="76"/>
    </row>
    <row r="4531" spans="1:10">
      <c r="A4531" s="172"/>
      <c r="D4531" s="56"/>
      <c r="E4531" s="204"/>
      <c r="F4531" s="205"/>
      <c r="G4531" s="206"/>
      <c r="H4531" s="207"/>
      <c r="J4531" s="76"/>
    </row>
    <row r="4532" spans="1:10">
      <c r="A4532" s="172"/>
      <c r="D4532" s="56"/>
      <c r="E4532" s="204"/>
      <c r="F4532" s="205"/>
      <c r="G4532" s="206"/>
      <c r="H4532" s="207"/>
      <c r="J4532" s="76"/>
    </row>
    <row r="4533" spans="1:10">
      <c r="A4533" s="172"/>
      <c r="D4533" s="56"/>
      <c r="E4533" s="204"/>
      <c r="F4533" s="205"/>
      <c r="G4533" s="206"/>
      <c r="H4533" s="207"/>
      <c r="J4533" s="76"/>
    </row>
    <row r="4534" spans="1:10">
      <c r="A4534" s="172"/>
      <c r="D4534" s="56"/>
      <c r="E4534" s="204"/>
      <c r="F4534" s="205"/>
      <c r="G4534" s="206"/>
      <c r="H4534" s="207"/>
      <c r="J4534" s="76"/>
    </row>
    <row r="4535" spans="1:10">
      <c r="A4535" s="172"/>
      <c r="D4535" s="56"/>
      <c r="E4535" s="204"/>
      <c r="F4535" s="205"/>
      <c r="G4535" s="206"/>
      <c r="H4535" s="207"/>
      <c r="J4535" s="76"/>
    </row>
    <row r="4536" spans="1:10">
      <c r="A4536" s="172"/>
      <c r="D4536" s="56"/>
      <c r="E4536" s="204"/>
      <c r="F4536" s="205"/>
      <c r="G4536" s="206"/>
      <c r="H4536" s="207"/>
      <c r="J4536" s="76"/>
    </row>
    <row r="4537" spans="1:10">
      <c r="A4537" s="172"/>
      <c r="D4537" s="56"/>
      <c r="E4537" s="204"/>
      <c r="F4537" s="205"/>
      <c r="G4537" s="206"/>
      <c r="H4537" s="207"/>
      <c r="J4537" s="76"/>
    </row>
    <row r="4538" spans="1:10">
      <c r="A4538" s="172"/>
      <c r="D4538" s="56"/>
      <c r="E4538" s="204"/>
      <c r="F4538" s="205"/>
      <c r="G4538" s="206"/>
      <c r="H4538" s="207"/>
      <c r="J4538" s="76"/>
    </row>
    <row r="4539" spans="1:10">
      <c r="A4539" s="172"/>
      <c r="D4539" s="56"/>
      <c r="E4539" s="204"/>
      <c r="F4539" s="205"/>
      <c r="G4539" s="206"/>
      <c r="H4539" s="207"/>
      <c r="J4539" s="76"/>
    </row>
    <row r="4540" spans="1:10">
      <c r="A4540" s="172"/>
      <c r="D4540" s="56"/>
      <c r="E4540" s="204"/>
      <c r="F4540" s="205"/>
      <c r="G4540" s="206"/>
      <c r="H4540" s="207"/>
      <c r="J4540" s="76"/>
    </row>
    <row r="4541" spans="1:10">
      <c r="A4541" s="172"/>
      <c r="D4541" s="56"/>
      <c r="E4541" s="204"/>
      <c r="F4541" s="205"/>
      <c r="G4541" s="206"/>
      <c r="H4541" s="207"/>
      <c r="J4541" s="76"/>
    </row>
    <row r="4542" spans="1:10">
      <c r="A4542" s="172"/>
      <c r="D4542" s="56"/>
      <c r="E4542" s="204"/>
      <c r="F4542" s="205"/>
      <c r="G4542" s="206"/>
      <c r="H4542" s="207"/>
      <c r="J4542" s="76"/>
    </row>
    <row r="4543" spans="1:10">
      <c r="A4543" s="172"/>
      <c r="D4543" s="56"/>
      <c r="E4543" s="204"/>
      <c r="F4543" s="205"/>
      <c r="G4543" s="206"/>
      <c r="H4543" s="207"/>
      <c r="J4543" s="76"/>
    </row>
    <row r="4544" spans="1:10">
      <c r="A4544" s="172"/>
      <c r="D4544" s="56"/>
      <c r="E4544" s="204"/>
      <c r="F4544" s="205"/>
      <c r="G4544" s="206"/>
      <c r="H4544" s="207"/>
      <c r="J4544" s="76"/>
    </row>
    <row r="4545" spans="1:10">
      <c r="A4545" s="172"/>
      <c r="D4545" s="56"/>
      <c r="E4545" s="204"/>
      <c r="F4545" s="205"/>
      <c r="G4545" s="206"/>
      <c r="H4545" s="207"/>
      <c r="J4545" s="76"/>
    </row>
    <row r="4546" spans="1:10">
      <c r="A4546" s="172"/>
      <c r="D4546" s="56"/>
      <c r="E4546" s="204"/>
      <c r="F4546" s="205"/>
      <c r="G4546" s="206"/>
      <c r="H4546" s="207"/>
      <c r="J4546" s="76"/>
    </row>
    <row r="4547" spans="1:10">
      <c r="A4547" s="172"/>
      <c r="D4547" s="56"/>
      <c r="E4547" s="204"/>
      <c r="F4547" s="205"/>
      <c r="G4547" s="206"/>
      <c r="H4547" s="207"/>
      <c r="J4547" s="76"/>
    </row>
    <row r="4548" spans="1:10">
      <c r="A4548" s="172"/>
      <c r="D4548" s="56"/>
      <c r="E4548" s="204"/>
      <c r="F4548" s="205"/>
      <c r="G4548" s="206"/>
      <c r="H4548" s="207"/>
      <c r="J4548" s="76"/>
    </row>
    <row r="4549" spans="1:10">
      <c r="A4549" s="172"/>
      <c r="D4549" s="56"/>
      <c r="E4549" s="204"/>
      <c r="F4549" s="205"/>
      <c r="G4549" s="206"/>
      <c r="H4549" s="207"/>
      <c r="J4549" s="76"/>
    </row>
    <row r="4550" spans="1:10">
      <c r="A4550" s="172"/>
      <c r="D4550" s="56"/>
      <c r="E4550" s="204"/>
      <c r="F4550" s="205"/>
      <c r="G4550" s="206"/>
      <c r="H4550" s="207"/>
      <c r="J4550" s="76"/>
    </row>
    <row r="4551" spans="1:10">
      <c r="A4551" s="172"/>
      <c r="D4551" s="56"/>
      <c r="E4551" s="204"/>
      <c r="F4551" s="205"/>
      <c r="G4551" s="206"/>
      <c r="H4551" s="207"/>
      <c r="J4551" s="76"/>
    </row>
    <row r="4552" spans="1:10">
      <c r="A4552" s="172"/>
      <c r="D4552" s="56"/>
      <c r="E4552" s="204"/>
      <c r="F4552" s="205"/>
      <c r="G4552" s="206"/>
      <c r="H4552" s="207"/>
      <c r="J4552" s="76"/>
    </row>
    <row r="4553" spans="1:10">
      <c r="A4553" s="172"/>
      <c r="D4553" s="56"/>
      <c r="E4553" s="204"/>
      <c r="F4553" s="205"/>
      <c r="G4553" s="206"/>
      <c r="H4553" s="207"/>
      <c r="J4553" s="76"/>
    </row>
    <row r="4554" spans="1:10">
      <c r="A4554" s="172"/>
      <c r="D4554" s="56"/>
      <c r="E4554" s="204"/>
      <c r="F4554" s="205"/>
      <c r="G4554" s="206"/>
      <c r="H4554" s="207"/>
      <c r="J4554" s="76"/>
    </row>
    <row r="4555" spans="1:10">
      <c r="A4555" s="172"/>
      <c r="D4555" s="56"/>
      <c r="E4555" s="204"/>
      <c r="F4555" s="205"/>
      <c r="G4555" s="206"/>
      <c r="H4555" s="207"/>
      <c r="J4555" s="76"/>
    </row>
    <row r="4556" spans="1:10">
      <c r="A4556" s="172"/>
      <c r="D4556" s="56"/>
      <c r="E4556" s="204"/>
      <c r="F4556" s="205"/>
      <c r="G4556" s="206"/>
      <c r="H4556" s="207"/>
      <c r="J4556" s="76"/>
    </row>
    <row r="4557" spans="1:10">
      <c r="A4557" s="172"/>
      <c r="D4557" s="56"/>
      <c r="E4557" s="204"/>
      <c r="F4557" s="205"/>
      <c r="G4557" s="206"/>
      <c r="H4557" s="207"/>
      <c r="J4557" s="76"/>
    </row>
    <row r="4558" spans="1:10">
      <c r="A4558" s="172"/>
      <c r="D4558" s="56"/>
      <c r="E4558" s="204"/>
      <c r="F4558" s="205"/>
      <c r="G4558" s="206"/>
      <c r="H4558" s="207"/>
      <c r="J4558" s="76"/>
    </row>
    <row r="4559" spans="1:10">
      <c r="A4559" s="172"/>
      <c r="D4559" s="56"/>
      <c r="E4559" s="204"/>
      <c r="F4559" s="205"/>
      <c r="G4559" s="206"/>
      <c r="H4559" s="207"/>
      <c r="J4559" s="76"/>
    </row>
    <row r="4560" spans="1:10">
      <c r="A4560" s="172"/>
      <c r="D4560" s="56"/>
      <c r="E4560" s="204"/>
      <c r="F4560" s="205"/>
      <c r="G4560" s="206"/>
      <c r="H4560" s="207"/>
      <c r="J4560" s="76"/>
    </row>
    <row r="4561" spans="1:10">
      <c r="A4561" s="172"/>
      <c r="D4561" s="56"/>
      <c r="E4561" s="204"/>
      <c r="F4561" s="205"/>
      <c r="G4561" s="206"/>
      <c r="H4561" s="207"/>
      <c r="J4561" s="76"/>
    </row>
    <row r="4562" spans="1:10">
      <c r="A4562" s="172"/>
      <c r="D4562" s="56"/>
      <c r="E4562" s="204"/>
      <c r="F4562" s="205"/>
      <c r="G4562" s="206"/>
      <c r="H4562" s="207"/>
      <c r="J4562" s="76"/>
    </row>
    <row r="4563" spans="1:10">
      <c r="A4563" s="172"/>
      <c r="D4563" s="56"/>
      <c r="E4563" s="204"/>
      <c r="F4563" s="205"/>
      <c r="G4563" s="206"/>
      <c r="H4563" s="207"/>
      <c r="J4563" s="76"/>
    </row>
    <row r="4564" spans="1:10">
      <c r="A4564" s="172"/>
      <c r="D4564" s="56"/>
      <c r="E4564" s="204"/>
      <c r="F4564" s="205"/>
      <c r="G4564" s="206"/>
      <c r="H4564" s="207"/>
      <c r="J4564" s="76"/>
    </row>
    <row r="4565" spans="1:10">
      <c r="A4565" s="172"/>
      <c r="D4565" s="56"/>
      <c r="E4565" s="204"/>
      <c r="F4565" s="205"/>
      <c r="G4565" s="206"/>
      <c r="H4565" s="207"/>
      <c r="J4565" s="76"/>
    </row>
    <row r="4566" spans="1:10">
      <c r="A4566" s="172"/>
      <c r="D4566" s="56"/>
      <c r="E4566" s="204"/>
      <c r="F4566" s="205"/>
      <c r="G4566" s="206"/>
      <c r="H4566" s="207"/>
      <c r="J4566" s="76"/>
    </row>
    <row r="4567" spans="1:10">
      <c r="A4567" s="172"/>
      <c r="D4567" s="56"/>
      <c r="E4567" s="204"/>
      <c r="F4567" s="205"/>
      <c r="G4567" s="206"/>
      <c r="H4567" s="207"/>
      <c r="J4567" s="76"/>
    </row>
    <row r="4568" spans="1:10">
      <c r="A4568" s="172"/>
      <c r="D4568" s="56"/>
      <c r="E4568" s="204"/>
      <c r="F4568" s="205"/>
      <c r="G4568" s="206"/>
      <c r="H4568" s="207"/>
      <c r="J4568" s="76"/>
    </row>
    <row r="4569" spans="1:10">
      <c r="A4569" s="172"/>
      <c r="D4569" s="56"/>
      <c r="E4569" s="204"/>
      <c r="F4569" s="205"/>
      <c r="G4569" s="206"/>
      <c r="H4569" s="207"/>
      <c r="J4569" s="76"/>
    </row>
    <row r="4570" spans="1:10">
      <c r="A4570" s="172"/>
      <c r="D4570" s="56"/>
      <c r="E4570" s="204"/>
      <c r="F4570" s="205"/>
      <c r="G4570" s="206"/>
      <c r="H4570" s="207"/>
      <c r="J4570" s="76"/>
    </row>
    <row r="4571" spans="1:10">
      <c r="A4571" s="172"/>
      <c r="D4571" s="56"/>
      <c r="E4571" s="204"/>
      <c r="F4571" s="205"/>
      <c r="G4571" s="206"/>
      <c r="H4571" s="207"/>
      <c r="J4571" s="76"/>
    </row>
    <row r="4572" spans="1:10">
      <c r="A4572" s="172"/>
      <c r="D4572" s="56"/>
      <c r="E4572" s="204"/>
      <c r="F4572" s="205"/>
      <c r="G4572" s="206"/>
      <c r="H4572" s="207"/>
      <c r="J4572" s="76"/>
    </row>
    <row r="4573" spans="1:10">
      <c r="A4573" s="172"/>
      <c r="D4573" s="56"/>
      <c r="E4573" s="204"/>
      <c r="F4573" s="205"/>
      <c r="G4573" s="206"/>
      <c r="H4573" s="207"/>
      <c r="J4573" s="76"/>
    </row>
    <row r="4574" spans="1:10">
      <c r="A4574" s="172"/>
      <c r="D4574" s="56"/>
      <c r="E4574" s="204"/>
      <c r="F4574" s="205"/>
      <c r="G4574" s="206"/>
      <c r="H4574" s="207"/>
      <c r="J4574" s="76"/>
    </row>
    <row r="4575" spans="1:10">
      <c r="A4575" s="172"/>
      <c r="D4575" s="56"/>
      <c r="E4575" s="204"/>
      <c r="F4575" s="205"/>
      <c r="G4575" s="206"/>
      <c r="H4575" s="207"/>
      <c r="J4575" s="76"/>
    </row>
    <row r="4576" spans="1:10">
      <c r="A4576" s="172"/>
      <c r="D4576" s="56"/>
      <c r="E4576" s="204"/>
      <c r="F4576" s="205"/>
      <c r="G4576" s="206"/>
      <c r="H4576" s="207"/>
      <c r="J4576" s="76"/>
    </row>
    <row r="4577" spans="1:10">
      <c r="A4577" s="172"/>
      <c r="D4577" s="56"/>
      <c r="E4577" s="204"/>
      <c r="F4577" s="205"/>
      <c r="G4577" s="206"/>
      <c r="H4577" s="207"/>
      <c r="J4577" s="76"/>
    </row>
    <row r="4578" spans="1:10">
      <c r="A4578" s="172"/>
      <c r="D4578" s="56"/>
      <c r="E4578" s="204"/>
      <c r="F4578" s="205"/>
      <c r="G4578" s="206"/>
      <c r="H4578" s="207"/>
      <c r="J4578" s="76"/>
    </row>
    <row r="4579" spans="1:10">
      <c r="A4579" s="172"/>
      <c r="D4579" s="56"/>
      <c r="E4579" s="204"/>
      <c r="F4579" s="205"/>
      <c r="G4579" s="206"/>
      <c r="H4579" s="207"/>
      <c r="J4579" s="76"/>
    </row>
    <row r="4580" spans="1:10">
      <c r="A4580" s="172"/>
      <c r="D4580" s="56"/>
      <c r="E4580" s="204"/>
      <c r="F4580" s="205"/>
      <c r="G4580" s="206"/>
      <c r="H4580" s="207"/>
      <c r="J4580" s="76"/>
    </row>
    <row r="4581" spans="1:10">
      <c r="A4581" s="172"/>
      <c r="D4581" s="56"/>
      <c r="E4581" s="204"/>
      <c r="F4581" s="205"/>
      <c r="G4581" s="206"/>
      <c r="H4581" s="207"/>
      <c r="J4581" s="76"/>
    </row>
    <row r="4582" spans="1:10">
      <c r="A4582" s="172"/>
      <c r="D4582" s="56"/>
      <c r="E4582" s="204"/>
      <c r="F4582" s="205"/>
      <c r="G4582" s="206"/>
      <c r="H4582" s="207"/>
      <c r="J4582" s="76"/>
    </row>
    <row r="4583" spans="1:10">
      <c r="A4583" s="172"/>
      <c r="D4583" s="56"/>
      <c r="E4583" s="204"/>
      <c r="F4583" s="205"/>
      <c r="G4583" s="206"/>
      <c r="H4583" s="207"/>
      <c r="J4583" s="76"/>
    </row>
    <row r="4584" spans="1:10">
      <c r="A4584" s="172"/>
      <c r="D4584" s="56"/>
      <c r="E4584" s="204"/>
      <c r="F4584" s="205"/>
      <c r="G4584" s="206"/>
      <c r="H4584" s="207"/>
      <c r="J4584" s="76"/>
    </row>
    <row r="4585" spans="1:10">
      <c r="A4585" s="172"/>
      <c r="D4585" s="56"/>
      <c r="E4585" s="204"/>
      <c r="F4585" s="205"/>
      <c r="G4585" s="206"/>
      <c r="H4585" s="207"/>
      <c r="J4585" s="76"/>
    </row>
    <row r="4586" spans="1:10">
      <c r="A4586" s="172"/>
      <c r="D4586" s="56"/>
      <c r="E4586" s="204"/>
      <c r="F4586" s="205"/>
      <c r="G4586" s="206"/>
      <c r="H4586" s="207"/>
      <c r="J4586" s="76"/>
    </row>
    <row r="4587" spans="1:10">
      <c r="A4587" s="172"/>
      <c r="D4587" s="56"/>
      <c r="E4587" s="204"/>
      <c r="F4587" s="205"/>
      <c r="G4587" s="206"/>
      <c r="H4587" s="207"/>
      <c r="J4587" s="76"/>
    </row>
    <row r="4588" spans="1:10">
      <c r="A4588" s="172"/>
      <c r="D4588" s="56"/>
      <c r="E4588" s="204"/>
      <c r="F4588" s="205"/>
      <c r="G4588" s="206"/>
      <c r="H4588" s="207"/>
      <c r="J4588" s="76"/>
    </row>
    <row r="4589" spans="1:10">
      <c r="A4589" s="172"/>
      <c r="D4589" s="56"/>
      <c r="E4589" s="204"/>
      <c r="F4589" s="205"/>
      <c r="G4589" s="206"/>
      <c r="H4589" s="207"/>
      <c r="J4589" s="76"/>
    </row>
    <row r="4590" spans="1:10">
      <c r="A4590" s="172"/>
      <c r="D4590" s="56"/>
      <c r="E4590" s="204"/>
      <c r="F4590" s="205"/>
      <c r="G4590" s="206"/>
      <c r="H4590" s="207"/>
      <c r="J4590" s="76"/>
    </row>
    <row r="4591" spans="1:10">
      <c r="A4591" s="172"/>
      <c r="D4591" s="56"/>
      <c r="E4591" s="204"/>
      <c r="F4591" s="205"/>
      <c r="G4591" s="206"/>
      <c r="H4591" s="207"/>
      <c r="J4591" s="76"/>
    </row>
    <row r="4592" spans="1:10">
      <c r="A4592" s="172"/>
      <c r="D4592" s="56"/>
      <c r="E4592" s="204"/>
      <c r="F4592" s="205"/>
      <c r="G4592" s="206"/>
      <c r="H4592" s="207"/>
      <c r="J4592" s="76"/>
    </row>
    <row r="4593" spans="1:10">
      <c r="A4593" s="172"/>
      <c r="D4593" s="56"/>
      <c r="E4593" s="204"/>
      <c r="F4593" s="205"/>
      <c r="G4593" s="206"/>
      <c r="H4593" s="207"/>
      <c r="J4593" s="76"/>
    </row>
    <row r="4594" spans="1:10">
      <c r="A4594" s="172"/>
      <c r="D4594" s="56"/>
      <c r="E4594" s="204"/>
      <c r="F4594" s="205"/>
      <c r="G4594" s="206"/>
      <c r="H4594" s="207"/>
      <c r="J4594" s="76"/>
    </row>
    <row r="4595" spans="1:10">
      <c r="A4595" s="172"/>
      <c r="D4595" s="56"/>
      <c r="E4595" s="204"/>
      <c r="F4595" s="205"/>
      <c r="G4595" s="206"/>
      <c r="H4595" s="207"/>
      <c r="J4595" s="76"/>
    </row>
    <row r="4596" spans="1:10">
      <c r="A4596" s="172"/>
      <c r="D4596" s="56"/>
      <c r="E4596" s="204"/>
      <c r="F4596" s="205"/>
      <c r="G4596" s="206"/>
      <c r="H4596" s="207"/>
      <c r="J4596" s="76"/>
    </row>
    <row r="4597" spans="1:10">
      <c r="A4597" s="172"/>
      <c r="D4597" s="56"/>
      <c r="E4597" s="204"/>
      <c r="F4597" s="205"/>
      <c r="G4597" s="206"/>
      <c r="H4597" s="207"/>
      <c r="J4597" s="76"/>
    </row>
    <row r="4598" spans="1:10">
      <c r="A4598" s="172"/>
      <c r="D4598" s="56"/>
      <c r="E4598" s="204"/>
      <c r="F4598" s="205"/>
      <c r="G4598" s="206"/>
      <c r="H4598" s="207"/>
      <c r="J4598" s="76"/>
    </row>
    <row r="4599" spans="1:10">
      <c r="A4599" s="172"/>
      <c r="D4599" s="56"/>
      <c r="E4599" s="204"/>
      <c r="F4599" s="205"/>
      <c r="G4599" s="206"/>
      <c r="H4599" s="207"/>
      <c r="J4599" s="76"/>
    </row>
    <row r="4600" spans="1:10">
      <c r="A4600" s="172"/>
      <c r="D4600" s="56"/>
      <c r="E4600" s="204"/>
      <c r="F4600" s="205"/>
      <c r="G4600" s="206"/>
      <c r="H4600" s="207"/>
      <c r="J4600" s="76"/>
    </row>
    <row r="4601" spans="1:10">
      <c r="A4601" s="172"/>
      <c r="D4601" s="56"/>
      <c r="E4601" s="204"/>
      <c r="F4601" s="205"/>
      <c r="G4601" s="206"/>
      <c r="H4601" s="207"/>
      <c r="J4601" s="76"/>
    </row>
    <row r="4602" spans="1:10">
      <c r="A4602" s="172"/>
      <c r="D4602" s="56"/>
      <c r="E4602" s="204"/>
      <c r="F4602" s="205"/>
      <c r="G4602" s="206"/>
      <c r="H4602" s="207"/>
      <c r="J4602" s="76"/>
    </row>
    <row r="4603" spans="1:10">
      <c r="A4603" s="172"/>
      <c r="D4603" s="56"/>
      <c r="E4603" s="204"/>
      <c r="F4603" s="205"/>
      <c r="G4603" s="206"/>
      <c r="H4603" s="207"/>
      <c r="J4603" s="76"/>
    </row>
    <row r="4604" spans="1:10">
      <c r="A4604" s="172"/>
      <c r="D4604" s="56"/>
      <c r="E4604" s="204"/>
      <c r="F4604" s="205"/>
      <c r="G4604" s="206"/>
      <c r="H4604" s="207"/>
      <c r="J4604" s="76"/>
    </row>
    <row r="4605" spans="1:10">
      <c r="A4605" s="172"/>
      <c r="D4605" s="56"/>
      <c r="E4605" s="204"/>
      <c r="F4605" s="205"/>
      <c r="G4605" s="206"/>
      <c r="H4605" s="207"/>
      <c r="J4605" s="76"/>
    </row>
    <row r="4606" spans="1:10">
      <c r="A4606" s="172"/>
      <c r="D4606" s="56"/>
      <c r="E4606" s="204"/>
      <c r="F4606" s="205"/>
      <c r="G4606" s="206"/>
      <c r="H4606" s="207"/>
      <c r="J4606" s="76"/>
    </row>
    <row r="4607" spans="1:10">
      <c r="A4607" s="172"/>
      <c r="D4607" s="56"/>
      <c r="E4607" s="204"/>
      <c r="F4607" s="205"/>
      <c r="G4607" s="206"/>
      <c r="H4607" s="207"/>
      <c r="J4607" s="76"/>
    </row>
    <row r="4608" spans="1:10">
      <c r="A4608" s="172"/>
      <c r="D4608" s="56"/>
      <c r="E4608" s="204"/>
      <c r="F4608" s="205"/>
      <c r="G4608" s="206"/>
      <c r="H4608" s="207"/>
      <c r="J4608" s="76"/>
    </row>
    <row r="4609" spans="1:10">
      <c r="A4609" s="172"/>
      <c r="D4609" s="56"/>
      <c r="E4609" s="204"/>
      <c r="F4609" s="205"/>
      <c r="G4609" s="206"/>
      <c r="H4609" s="207"/>
      <c r="J4609" s="76"/>
    </row>
    <row r="4610" spans="1:10">
      <c r="A4610" s="172"/>
      <c r="D4610" s="56"/>
      <c r="E4610" s="204"/>
      <c r="F4610" s="205"/>
      <c r="G4610" s="206"/>
      <c r="H4610" s="207"/>
      <c r="J4610" s="76"/>
    </row>
    <row r="4611" spans="1:10">
      <c r="A4611" s="172"/>
      <c r="D4611" s="56"/>
      <c r="E4611" s="204"/>
      <c r="F4611" s="205"/>
      <c r="G4611" s="206"/>
      <c r="H4611" s="207"/>
      <c r="J4611" s="76"/>
    </row>
    <row r="4612" spans="1:10">
      <c r="A4612" s="172"/>
      <c r="D4612" s="56"/>
      <c r="E4612" s="204"/>
      <c r="F4612" s="205"/>
      <c r="G4612" s="206"/>
      <c r="H4612" s="207"/>
      <c r="J4612" s="76"/>
    </row>
    <row r="4613" spans="1:10">
      <c r="A4613" s="172"/>
      <c r="D4613" s="56"/>
      <c r="E4613" s="204"/>
      <c r="F4613" s="205"/>
      <c r="G4613" s="206"/>
      <c r="H4613" s="207"/>
      <c r="J4613" s="76"/>
    </row>
    <row r="4614" spans="1:10">
      <c r="A4614" s="172"/>
      <c r="D4614" s="56"/>
      <c r="E4614" s="204"/>
      <c r="F4614" s="205"/>
      <c r="G4614" s="206"/>
      <c r="H4614" s="207"/>
      <c r="J4614" s="76"/>
    </row>
    <row r="4615" spans="1:10">
      <c r="A4615" s="172"/>
      <c r="D4615" s="56"/>
      <c r="E4615" s="204"/>
      <c r="F4615" s="205"/>
      <c r="G4615" s="206"/>
      <c r="H4615" s="207"/>
      <c r="J4615" s="76"/>
    </row>
    <row r="4616" spans="1:10">
      <c r="A4616" s="172"/>
      <c r="D4616" s="56"/>
      <c r="E4616" s="204"/>
      <c r="F4616" s="205"/>
      <c r="G4616" s="206"/>
      <c r="H4616" s="207"/>
      <c r="J4616" s="76"/>
    </row>
    <row r="4617" spans="1:10">
      <c r="A4617" s="172"/>
      <c r="D4617" s="56"/>
      <c r="E4617" s="204"/>
      <c r="F4617" s="205"/>
      <c r="G4617" s="206"/>
      <c r="H4617" s="207"/>
      <c r="J4617" s="76"/>
    </row>
    <row r="4618" spans="1:10">
      <c r="A4618" s="172"/>
      <c r="D4618" s="56"/>
      <c r="E4618" s="204"/>
      <c r="F4618" s="205"/>
      <c r="G4618" s="206"/>
      <c r="H4618" s="207"/>
      <c r="J4618" s="76"/>
    </row>
    <row r="4619" spans="1:10">
      <c r="A4619" s="172"/>
      <c r="D4619" s="56"/>
      <c r="E4619" s="204"/>
      <c r="F4619" s="205"/>
      <c r="G4619" s="206"/>
      <c r="H4619" s="207"/>
      <c r="J4619" s="76"/>
    </row>
    <row r="4620" spans="1:10">
      <c r="A4620" s="172"/>
      <c r="D4620" s="56"/>
      <c r="E4620" s="204"/>
      <c r="F4620" s="205"/>
      <c r="G4620" s="206"/>
      <c r="H4620" s="207"/>
      <c r="J4620" s="76"/>
    </row>
    <row r="4621" spans="1:10">
      <c r="A4621" s="172"/>
      <c r="D4621" s="56"/>
      <c r="E4621" s="204"/>
      <c r="F4621" s="205"/>
      <c r="G4621" s="206"/>
      <c r="H4621" s="207"/>
      <c r="J4621" s="76"/>
    </row>
    <row r="4622" spans="1:10">
      <c r="A4622" s="172"/>
      <c r="D4622" s="56"/>
      <c r="E4622" s="204"/>
      <c r="F4622" s="205"/>
      <c r="G4622" s="206"/>
      <c r="H4622" s="207"/>
      <c r="J4622" s="76"/>
    </row>
    <row r="4623" spans="1:10">
      <c r="A4623" s="172"/>
      <c r="D4623" s="56"/>
      <c r="E4623" s="204"/>
      <c r="F4623" s="205"/>
      <c r="G4623" s="206"/>
      <c r="H4623" s="207"/>
      <c r="J4623" s="76"/>
    </row>
    <row r="4624" spans="1:10">
      <c r="A4624" s="172"/>
      <c r="D4624" s="56"/>
      <c r="E4624" s="204"/>
      <c r="F4624" s="205"/>
      <c r="G4624" s="206"/>
      <c r="H4624" s="207"/>
      <c r="J4624" s="76"/>
    </row>
    <row r="4625" spans="1:10">
      <c r="A4625" s="172"/>
      <c r="D4625" s="56"/>
      <c r="E4625" s="204"/>
      <c r="F4625" s="205"/>
      <c r="G4625" s="206"/>
      <c r="H4625" s="207"/>
      <c r="J4625" s="76"/>
    </row>
    <row r="4626" spans="1:10">
      <c r="A4626" s="172"/>
      <c r="D4626" s="56"/>
      <c r="E4626" s="204"/>
      <c r="F4626" s="205"/>
      <c r="G4626" s="206"/>
      <c r="H4626" s="207"/>
      <c r="J4626" s="76"/>
    </row>
    <row r="4627" spans="1:10">
      <c r="A4627" s="172"/>
      <c r="D4627" s="56"/>
      <c r="E4627" s="204"/>
      <c r="F4627" s="205"/>
      <c r="G4627" s="206"/>
      <c r="H4627" s="207"/>
      <c r="J4627" s="76"/>
    </row>
    <row r="4628" spans="1:10">
      <c r="A4628" s="172"/>
      <c r="D4628" s="56"/>
      <c r="E4628" s="204"/>
      <c r="F4628" s="205"/>
      <c r="G4628" s="206"/>
      <c r="H4628" s="207"/>
      <c r="J4628" s="76"/>
    </row>
    <row r="4629" spans="1:10">
      <c r="A4629" s="172"/>
      <c r="D4629" s="56"/>
      <c r="E4629" s="204"/>
      <c r="F4629" s="205"/>
      <c r="G4629" s="206"/>
      <c r="H4629" s="207"/>
      <c r="J4629" s="76"/>
    </row>
    <row r="4630" spans="1:10">
      <c r="A4630" s="172"/>
      <c r="D4630" s="56"/>
      <c r="E4630" s="204"/>
      <c r="F4630" s="205"/>
      <c r="G4630" s="206"/>
      <c r="H4630" s="207"/>
      <c r="J4630" s="76"/>
    </row>
    <row r="4631" spans="1:10">
      <c r="A4631" s="172"/>
      <c r="D4631" s="56"/>
      <c r="E4631" s="204"/>
      <c r="F4631" s="205"/>
      <c r="G4631" s="206"/>
      <c r="H4631" s="207"/>
      <c r="J4631" s="76"/>
    </row>
    <row r="4632" spans="1:10">
      <c r="A4632" s="172"/>
      <c r="D4632" s="56"/>
      <c r="E4632" s="204"/>
      <c r="F4632" s="205"/>
      <c r="G4632" s="206"/>
      <c r="H4632" s="207"/>
      <c r="J4632" s="76"/>
    </row>
    <row r="4633" spans="1:10">
      <c r="A4633" s="172"/>
      <c r="D4633" s="56"/>
      <c r="E4633" s="204"/>
      <c r="F4633" s="205"/>
      <c r="G4633" s="206"/>
      <c r="H4633" s="207"/>
      <c r="J4633" s="76"/>
    </row>
    <row r="4634" spans="1:10">
      <c r="A4634" s="172"/>
      <c r="D4634" s="56"/>
      <c r="E4634" s="204"/>
      <c r="F4634" s="205"/>
      <c r="G4634" s="206"/>
      <c r="H4634" s="207"/>
      <c r="J4634" s="76"/>
    </row>
    <row r="4635" spans="1:10">
      <c r="A4635" s="172"/>
      <c r="D4635" s="56"/>
      <c r="E4635" s="204"/>
      <c r="F4635" s="205"/>
      <c r="G4635" s="206"/>
      <c r="H4635" s="207"/>
      <c r="J4635" s="76"/>
    </row>
    <row r="4636" spans="1:10">
      <c r="A4636" s="172"/>
      <c r="D4636" s="56"/>
      <c r="E4636" s="204"/>
      <c r="F4636" s="205"/>
      <c r="G4636" s="206"/>
      <c r="H4636" s="207"/>
      <c r="J4636" s="76"/>
    </row>
    <row r="4637" spans="1:10">
      <c r="A4637" s="172"/>
      <c r="D4637" s="56"/>
      <c r="E4637" s="204"/>
      <c r="F4637" s="205"/>
      <c r="G4637" s="206"/>
      <c r="H4637" s="207"/>
      <c r="J4637" s="76"/>
    </row>
    <row r="4638" spans="1:10">
      <c r="A4638" s="172"/>
      <c r="D4638" s="56"/>
      <c r="E4638" s="204"/>
      <c r="F4638" s="205"/>
      <c r="G4638" s="206"/>
      <c r="H4638" s="207"/>
      <c r="J4638" s="76"/>
    </row>
    <row r="4639" spans="1:10">
      <c r="A4639" s="172"/>
      <c r="D4639" s="56"/>
      <c r="E4639" s="204"/>
      <c r="F4639" s="205"/>
      <c r="G4639" s="206"/>
      <c r="H4639" s="207"/>
      <c r="J4639" s="76"/>
    </row>
    <row r="4640" spans="1:10">
      <c r="A4640" s="172"/>
      <c r="D4640" s="56"/>
      <c r="E4640" s="204"/>
      <c r="F4640" s="205"/>
      <c r="G4640" s="206"/>
      <c r="H4640" s="207"/>
      <c r="J4640" s="76"/>
    </row>
    <row r="4641" spans="1:10">
      <c r="A4641" s="172"/>
      <c r="D4641" s="56"/>
      <c r="E4641" s="204"/>
      <c r="F4641" s="205"/>
      <c r="G4641" s="206"/>
      <c r="H4641" s="207"/>
      <c r="J4641" s="76"/>
    </row>
    <row r="4642" spans="1:10">
      <c r="A4642" s="172"/>
      <c r="D4642" s="56"/>
      <c r="E4642" s="204"/>
      <c r="F4642" s="205"/>
      <c r="G4642" s="206"/>
      <c r="H4642" s="207"/>
      <c r="J4642" s="76"/>
    </row>
    <row r="4643" spans="1:10">
      <c r="A4643" s="172"/>
      <c r="D4643" s="56"/>
      <c r="E4643" s="204"/>
      <c r="F4643" s="205"/>
      <c r="G4643" s="206"/>
      <c r="H4643" s="207"/>
      <c r="J4643" s="76"/>
    </row>
    <row r="4644" spans="1:10">
      <c r="A4644" s="172"/>
      <c r="D4644" s="56"/>
      <c r="E4644" s="204"/>
      <c r="F4644" s="205"/>
      <c r="G4644" s="206"/>
      <c r="H4644" s="207"/>
      <c r="J4644" s="76"/>
    </row>
    <row r="4645" spans="1:10">
      <c r="A4645" s="172"/>
      <c r="D4645" s="56"/>
      <c r="E4645" s="204"/>
      <c r="F4645" s="205"/>
      <c r="G4645" s="206"/>
      <c r="H4645" s="207"/>
      <c r="J4645" s="76"/>
    </row>
    <row r="4646" spans="1:10">
      <c r="A4646" s="172"/>
      <c r="D4646" s="56"/>
      <c r="E4646" s="204"/>
      <c r="F4646" s="205"/>
      <c r="G4646" s="206"/>
      <c r="H4646" s="207"/>
      <c r="J4646" s="76"/>
    </row>
    <row r="4647" spans="1:10">
      <c r="A4647" s="172"/>
      <c r="D4647" s="56"/>
      <c r="E4647" s="204"/>
      <c r="F4647" s="205"/>
      <c r="G4647" s="206"/>
      <c r="H4647" s="207"/>
      <c r="J4647" s="76"/>
    </row>
    <row r="4648" spans="1:10">
      <c r="A4648" s="172"/>
      <c r="D4648" s="56"/>
      <c r="E4648" s="204"/>
      <c r="F4648" s="205"/>
      <c r="G4648" s="206"/>
      <c r="H4648" s="207"/>
      <c r="J4648" s="76"/>
    </row>
    <row r="4649" spans="1:10">
      <c r="A4649" s="172"/>
      <c r="D4649" s="56"/>
      <c r="E4649" s="204"/>
      <c r="F4649" s="205"/>
      <c r="G4649" s="206"/>
      <c r="H4649" s="207"/>
      <c r="J4649" s="76"/>
    </row>
    <row r="4650" spans="1:10">
      <c r="A4650" s="172"/>
      <c r="D4650" s="56"/>
      <c r="E4650" s="204"/>
      <c r="F4650" s="205"/>
      <c r="G4650" s="206"/>
      <c r="H4650" s="207"/>
      <c r="J4650" s="76"/>
    </row>
    <row r="4651" spans="1:10">
      <c r="A4651" s="172"/>
      <c r="D4651" s="56"/>
      <c r="E4651" s="204"/>
      <c r="F4651" s="205"/>
      <c r="G4651" s="206"/>
      <c r="H4651" s="207"/>
      <c r="J4651" s="76"/>
    </row>
    <row r="4652" spans="1:10">
      <c r="A4652" s="172"/>
      <c r="D4652" s="56"/>
      <c r="E4652" s="204"/>
      <c r="F4652" s="205"/>
      <c r="G4652" s="206"/>
      <c r="H4652" s="207"/>
      <c r="J4652" s="76"/>
    </row>
    <row r="4653" spans="1:10">
      <c r="A4653" s="172"/>
      <c r="D4653" s="56"/>
      <c r="E4653" s="204"/>
      <c r="F4653" s="205"/>
      <c r="G4653" s="206"/>
      <c r="H4653" s="207"/>
      <c r="J4653" s="76"/>
    </row>
    <row r="4654" spans="1:10">
      <c r="A4654" s="172"/>
      <c r="D4654" s="56"/>
      <c r="E4654" s="204"/>
      <c r="F4654" s="205"/>
      <c r="G4654" s="206"/>
      <c r="H4654" s="207"/>
      <c r="J4654" s="76"/>
    </row>
    <row r="4655" spans="1:10">
      <c r="A4655" s="172"/>
      <c r="D4655" s="56"/>
      <c r="E4655" s="204"/>
      <c r="F4655" s="205"/>
      <c r="G4655" s="206"/>
      <c r="H4655" s="207"/>
      <c r="J4655" s="76"/>
    </row>
    <row r="4656" spans="1:10">
      <c r="A4656" s="172"/>
      <c r="D4656" s="56"/>
      <c r="E4656" s="204"/>
      <c r="F4656" s="205"/>
      <c r="G4656" s="206"/>
      <c r="H4656" s="207"/>
      <c r="J4656" s="76"/>
    </row>
    <row r="4657" spans="1:10">
      <c r="A4657" s="172"/>
      <c r="D4657" s="56"/>
      <c r="E4657" s="204"/>
      <c r="F4657" s="205"/>
      <c r="G4657" s="206"/>
      <c r="H4657" s="207"/>
      <c r="J4657" s="76"/>
    </row>
    <row r="4658" spans="1:10">
      <c r="A4658" s="172"/>
      <c r="D4658" s="56"/>
      <c r="E4658" s="204"/>
      <c r="F4658" s="205"/>
      <c r="G4658" s="206"/>
      <c r="H4658" s="207"/>
      <c r="J4658" s="76"/>
    </row>
    <row r="4659" spans="1:10">
      <c r="A4659" s="172"/>
      <c r="D4659" s="56"/>
      <c r="E4659" s="204"/>
      <c r="F4659" s="205"/>
      <c r="G4659" s="206"/>
      <c r="H4659" s="207"/>
      <c r="J4659" s="76"/>
    </row>
    <row r="4660" spans="1:10">
      <c r="A4660" s="172"/>
      <c r="D4660" s="56"/>
      <c r="E4660" s="204"/>
      <c r="F4660" s="205"/>
      <c r="G4660" s="206"/>
      <c r="H4660" s="207"/>
      <c r="J4660" s="76"/>
    </row>
    <row r="4661" spans="1:10">
      <c r="A4661" s="172"/>
      <c r="D4661" s="56"/>
      <c r="E4661" s="204"/>
      <c r="F4661" s="205"/>
      <c r="G4661" s="206"/>
      <c r="H4661" s="207"/>
      <c r="J4661" s="76"/>
    </row>
    <row r="4662" spans="1:10">
      <c r="A4662" s="172"/>
      <c r="D4662" s="56"/>
      <c r="E4662" s="204"/>
      <c r="F4662" s="205"/>
      <c r="G4662" s="206"/>
      <c r="H4662" s="207"/>
      <c r="J4662" s="76"/>
    </row>
    <row r="4663" spans="1:10">
      <c r="A4663" s="172"/>
      <c r="D4663" s="56"/>
      <c r="E4663" s="204"/>
      <c r="F4663" s="205"/>
      <c r="G4663" s="206"/>
      <c r="H4663" s="207"/>
      <c r="J4663" s="76"/>
    </row>
    <row r="4664" spans="1:10">
      <c r="A4664" s="172"/>
      <c r="D4664" s="56"/>
      <c r="E4664" s="204"/>
      <c r="F4664" s="205"/>
      <c r="G4664" s="206"/>
      <c r="H4664" s="207"/>
      <c r="J4664" s="76"/>
    </row>
    <row r="4665" spans="1:10">
      <c r="A4665" s="172"/>
      <c r="D4665" s="56"/>
      <c r="E4665" s="204"/>
      <c r="F4665" s="205"/>
      <c r="G4665" s="206"/>
      <c r="H4665" s="207"/>
      <c r="J4665" s="76"/>
    </row>
    <row r="4666" spans="1:10">
      <c r="A4666" s="172"/>
      <c r="D4666" s="56"/>
      <c r="E4666" s="204"/>
      <c r="F4666" s="205"/>
      <c r="G4666" s="206"/>
      <c r="H4666" s="207"/>
      <c r="J4666" s="76"/>
    </row>
    <row r="4667" spans="1:10">
      <c r="A4667" s="172"/>
      <c r="D4667" s="56"/>
      <c r="E4667" s="204"/>
      <c r="F4667" s="205"/>
      <c r="G4667" s="206"/>
      <c r="H4667" s="207"/>
      <c r="J4667" s="76"/>
    </row>
    <row r="4668" spans="1:10">
      <c r="A4668" s="172"/>
      <c r="D4668" s="56"/>
      <c r="E4668" s="204"/>
      <c r="F4668" s="205"/>
      <c r="G4668" s="206"/>
      <c r="H4668" s="207"/>
      <c r="J4668" s="76"/>
    </row>
    <row r="4669" spans="1:10">
      <c r="A4669" s="172"/>
      <c r="D4669" s="56"/>
      <c r="E4669" s="204"/>
      <c r="F4669" s="205"/>
      <c r="G4669" s="206"/>
      <c r="H4669" s="207"/>
      <c r="J4669" s="76"/>
    </row>
    <row r="4670" spans="1:10">
      <c r="A4670" s="172"/>
      <c r="D4670" s="56"/>
      <c r="E4670" s="204"/>
      <c r="F4670" s="205"/>
      <c r="G4670" s="206"/>
      <c r="H4670" s="207"/>
      <c r="J4670" s="76"/>
    </row>
    <row r="4671" spans="1:10">
      <c r="A4671" s="172"/>
      <c r="D4671" s="56"/>
      <c r="E4671" s="204"/>
      <c r="F4671" s="205"/>
      <c r="G4671" s="206"/>
      <c r="H4671" s="207"/>
      <c r="J4671" s="76"/>
    </row>
    <row r="4672" spans="1:10">
      <c r="A4672" s="172"/>
      <c r="D4672" s="56"/>
      <c r="E4672" s="204"/>
      <c r="F4672" s="205"/>
      <c r="G4672" s="206"/>
      <c r="H4672" s="207"/>
      <c r="J4672" s="76"/>
    </row>
    <row r="4673" spans="1:10">
      <c r="A4673" s="172"/>
      <c r="D4673" s="56"/>
      <c r="E4673" s="204"/>
      <c r="F4673" s="205"/>
      <c r="G4673" s="206"/>
      <c r="H4673" s="207"/>
      <c r="J4673" s="76"/>
    </row>
    <row r="4674" spans="1:10">
      <c r="A4674" s="172"/>
      <c r="D4674" s="56"/>
      <c r="E4674" s="204"/>
      <c r="F4674" s="205"/>
      <c r="G4674" s="206"/>
      <c r="H4674" s="207"/>
      <c r="J4674" s="76"/>
    </row>
    <row r="4675" spans="1:10">
      <c r="A4675" s="172"/>
      <c r="D4675" s="56"/>
      <c r="E4675" s="204"/>
      <c r="F4675" s="205"/>
      <c r="G4675" s="206"/>
      <c r="H4675" s="207"/>
      <c r="J4675" s="76"/>
    </row>
    <row r="4676" spans="1:10">
      <c r="A4676" s="172"/>
      <c r="D4676" s="56"/>
      <c r="E4676" s="204"/>
      <c r="F4676" s="205"/>
      <c r="G4676" s="206"/>
      <c r="H4676" s="207"/>
      <c r="J4676" s="76"/>
    </row>
    <row r="4677" spans="1:10">
      <c r="A4677" s="172"/>
      <c r="D4677" s="56"/>
      <c r="E4677" s="204"/>
      <c r="F4677" s="205"/>
      <c r="G4677" s="206"/>
      <c r="H4677" s="207"/>
      <c r="J4677" s="76"/>
    </row>
    <row r="4678" spans="1:10">
      <c r="A4678" s="172"/>
      <c r="D4678" s="56"/>
      <c r="E4678" s="204"/>
      <c r="F4678" s="205"/>
      <c r="G4678" s="206"/>
      <c r="H4678" s="207"/>
      <c r="J4678" s="76"/>
    </row>
    <row r="4679" spans="1:10">
      <c r="A4679" s="172"/>
      <c r="D4679" s="56"/>
      <c r="E4679" s="204"/>
      <c r="F4679" s="205"/>
      <c r="G4679" s="206"/>
      <c r="H4679" s="207"/>
      <c r="J4679" s="76"/>
    </row>
    <row r="4680" spans="1:10">
      <c r="A4680" s="172"/>
      <c r="D4680" s="56"/>
      <c r="E4680" s="204"/>
      <c r="F4680" s="205"/>
      <c r="G4680" s="206"/>
      <c r="H4680" s="207"/>
      <c r="J4680" s="76"/>
    </row>
    <row r="4681" spans="1:10">
      <c r="A4681" s="172"/>
      <c r="D4681" s="56"/>
      <c r="E4681" s="204"/>
      <c r="F4681" s="205"/>
      <c r="G4681" s="206"/>
      <c r="H4681" s="207"/>
      <c r="J4681" s="76"/>
    </row>
    <row r="4682" spans="1:10">
      <c r="A4682" s="172"/>
      <c r="D4682" s="56"/>
      <c r="E4682" s="204"/>
      <c r="F4682" s="205"/>
      <c r="G4682" s="206"/>
      <c r="H4682" s="207"/>
      <c r="J4682" s="76"/>
    </row>
    <row r="4683" spans="1:10">
      <c r="A4683" s="172"/>
      <c r="D4683" s="56"/>
      <c r="E4683" s="204"/>
      <c r="F4683" s="205"/>
      <c r="G4683" s="206"/>
      <c r="H4683" s="207"/>
      <c r="J4683" s="76"/>
    </row>
    <row r="4684" spans="1:10">
      <c r="A4684" s="172"/>
      <c r="D4684" s="56"/>
      <c r="E4684" s="204"/>
      <c r="F4684" s="205"/>
      <c r="G4684" s="206"/>
      <c r="H4684" s="207"/>
      <c r="J4684" s="76"/>
    </row>
    <row r="4685" spans="1:10">
      <c r="A4685" s="172"/>
      <c r="D4685" s="56"/>
      <c r="E4685" s="204"/>
      <c r="F4685" s="205"/>
      <c r="G4685" s="206"/>
      <c r="H4685" s="207"/>
      <c r="J4685" s="76"/>
    </row>
    <row r="4686" spans="1:10">
      <c r="A4686" s="172"/>
      <c r="D4686" s="56"/>
      <c r="E4686" s="204"/>
      <c r="F4686" s="205"/>
      <c r="G4686" s="206"/>
      <c r="H4686" s="207"/>
      <c r="J4686" s="76"/>
    </row>
    <row r="4687" spans="1:10">
      <c r="A4687" s="172"/>
      <c r="D4687" s="56"/>
      <c r="E4687" s="204"/>
      <c r="F4687" s="205"/>
      <c r="G4687" s="206"/>
      <c r="H4687" s="207"/>
      <c r="J4687" s="76"/>
    </row>
    <row r="4688" spans="1:10">
      <c r="A4688" s="172"/>
      <c r="D4688" s="56"/>
      <c r="E4688" s="204"/>
      <c r="F4688" s="205"/>
      <c r="G4688" s="206"/>
      <c r="H4688" s="207"/>
      <c r="J4688" s="76"/>
    </row>
    <row r="4689" spans="1:10">
      <c r="A4689" s="172"/>
      <c r="D4689" s="56"/>
      <c r="E4689" s="204"/>
      <c r="F4689" s="205"/>
      <c r="G4689" s="206"/>
      <c r="H4689" s="207"/>
      <c r="J4689" s="76"/>
    </row>
    <row r="4690" spans="1:10">
      <c r="A4690" s="172"/>
      <c r="D4690" s="56"/>
      <c r="E4690" s="204"/>
      <c r="F4690" s="205"/>
      <c r="G4690" s="206"/>
      <c r="H4690" s="207"/>
      <c r="J4690" s="76"/>
    </row>
    <row r="4691" spans="1:10">
      <c r="A4691" s="172"/>
      <c r="D4691" s="56"/>
      <c r="E4691" s="204"/>
      <c r="F4691" s="205"/>
      <c r="G4691" s="206"/>
      <c r="H4691" s="207"/>
      <c r="J4691" s="76"/>
    </row>
    <row r="4692" spans="1:10">
      <c r="A4692" s="172"/>
      <c r="D4692" s="56"/>
      <c r="E4692" s="204"/>
      <c r="F4692" s="205"/>
      <c r="G4692" s="206"/>
      <c r="H4692" s="207"/>
      <c r="J4692" s="76"/>
    </row>
    <row r="4693" spans="1:10">
      <c r="A4693" s="172"/>
      <c r="D4693" s="56"/>
      <c r="E4693" s="204"/>
      <c r="F4693" s="205"/>
      <c r="G4693" s="206"/>
      <c r="H4693" s="207"/>
      <c r="J4693" s="76"/>
    </row>
    <row r="4694" spans="1:10">
      <c r="A4694" s="172"/>
      <c r="D4694" s="56"/>
      <c r="E4694" s="204"/>
      <c r="F4694" s="205"/>
      <c r="G4694" s="206"/>
      <c r="H4694" s="207"/>
      <c r="J4694" s="76"/>
    </row>
    <row r="4695" spans="1:10">
      <c r="A4695" s="172"/>
      <c r="D4695" s="56"/>
      <c r="E4695" s="204"/>
      <c r="F4695" s="205"/>
      <c r="G4695" s="206"/>
      <c r="H4695" s="207"/>
      <c r="J4695" s="76"/>
    </row>
    <row r="4696" spans="1:10">
      <c r="A4696" s="172"/>
      <c r="D4696" s="56"/>
      <c r="E4696" s="204"/>
      <c r="F4696" s="205"/>
      <c r="G4696" s="206"/>
      <c r="H4696" s="207"/>
      <c r="J4696" s="76"/>
    </row>
    <row r="4697" spans="1:10">
      <c r="A4697" s="172"/>
      <c r="D4697" s="56"/>
      <c r="E4697" s="204"/>
      <c r="F4697" s="205"/>
      <c r="G4697" s="206"/>
      <c r="H4697" s="207"/>
      <c r="J4697" s="76"/>
    </row>
    <row r="4698" spans="1:10">
      <c r="A4698" s="172"/>
      <c r="D4698" s="56"/>
      <c r="E4698" s="204"/>
      <c r="F4698" s="205"/>
      <c r="G4698" s="206"/>
      <c r="H4698" s="207"/>
      <c r="J4698" s="76"/>
    </row>
    <row r="4699" spans="1:10">
      <c r="A4699" s="172"/>
      <c r="D4699" s="56"/>
      <c r="E4699" s="204"/>
      <c r="F4699" s="205"/>
      <c r="G4699" s="206"/>
      <c r="H4699" s="207"/>
      <c r="J4699" s="76"/>
    </row>
    <row r="4700" spans="1:10">
      <c r="A4700" s="172"/>
      <c r="D4700" s="56"/>
      <c r="E4700" s="204"/>
      <c r="F4700" s="205"/>
      <c r="G4700" s="206"/>
      <c r="H4700" s="207"/>
      <c r="J4700" s="76"/>
    </row>
    <row r="4701" spans="1:10">
      <c r="A4701" s="172"/>
      <c r="D4701" s="56"/>
      <c r="E4701" s="204"/>
      <c r="F4701" s="205"/>
      <c r="G4701" s="206"/>
      <c r="H4701" s="207"/>
      <c r="J4701" s="76"/>
    </row>
    <row r="4702" spans="1:10">
      <c r="A4702" s="172"/>
      <c r="D4702" s="56"/>
      <c r="E4702" s="204"/>
      <c r="F4702" s="205"/>
      <c r="G4702" s="206"/>
      <c r="H4702" s="207"/>
      <c r="J4702" s="76"/>
    </row>
    <row r="4703" spans="1:10">
      <c r="A4703" s="172"/>
      <c r="D4703" s="56"/>
      <c r="E4703" s="204"/>
      <c r="F4703" s="205"/>
      <c r="G4703" s="206"/>
      <c r="H4703" s="207"/>
      <c r="J4703" s="76"/>
    </row>
    <row r="4704" spans="1:10">
      <c r="A4704" s="172"/>
      <c r="D4704" s="56"/>
      <c r="E4704" s="204"/>
      <c r="F4704" s="205"/>
      <c r="G4704" s="206"/>
      <c r="H4704" s="207"/>
      <c r="J4704" s="76"/>
    </row>
    <row r="4705" spans="1:10">
      <c r="A4705" s="172"/>
      <c r="D4705" s="56"/>
      <c r="E4705" s="204"/>
      <c r="F4705" s="205"/>
      <c r="G4705" s="206"/>
      <c r="H4705" s="207"/>
      <c r="J4705" s="76"/>
    </row>
    <row r="4706" spans="1:10">
      <c r="A4706" s="172"/>
      <c r="D4706" s="56"/>
      <c r="E4706" s="204"/>
      <c r="F4706" s="205"/>
      <c r="G4706" s="206"/>
      <c r="H4706" s="207"/>
      <c r="J4706" s="76"/>
    </row>
    <row r="4707" spans="1:10">
      <c r="A4707" s="172"/>
      <c r="D4707" s="56"/>
      <c r="E4707" s="204"/>
      <c r="F4707" s="205"/>
      <c r="G4707" s="206"/>
      <c r="H4707" s="207"/>
      <c r="J4707" s="76"/>
    </row>
    <row r="4708" spans="1:10">
      <c r="A4708" s="172"/>
      <c r="D4708" s="56"/>
      <c r="E4708" s="204"/>
      <c r="F4708" s="205"/>
      <c r="G4708" s="206"/>
      <c r="H4708" s="207"/>
      <c r="J4708" s="76"/>
    </row>
    <row r="4709" spans="1:10">
      <c r="A4709" s="172"/>
      <c r="D4709" s="56"/>
      <c r="E4709" s="204"/>
      <c r="F4709" s="205"/>
      <c r="G4709" s="206"/>
      <c r="H4709" s="207"/>
      <c r="J4709" s="76"/>
    </row>
    <row r="4710" spans="1:10">
      <c r="A4710" s="172"/>
      <c r="D4710" s="56"/>
      <c r="E4710" s="204"/>
      <c r="F4710" s="205"/>
      <c r="G4710" s="206"/>
      <c r="H4710" s="207"/>
      <c r="J4710" s="76"/>
    </row>
    <row r="4711" spans="1:10">
      <c r="A4711" s="172"/>
      <c r="D4711" s="56"/>
      <c r="E4711" s="204"/>
      <c r="F4711" s="205"/>
      <c r="G4711" s="206"/>
      <c r="H4711" s="207"/>
      <c r="J4711" s="76"/>
    </row>
    <row r="4712" spans="1:10">
      <c r="A4712" s="172"/>
      <c r="D4712" s="56"/>
      <c r="E4712" s="204"/>
      <c r="F4712" s="205"/>
      <c r="G4712" s="206"/>
      <c r="H4712" s="207"/>
      <c r="J4712" s="76"/>
    </row>
    <row r="4713" spans="1:10">
      <c r="A4713" s="172"/>
      <c r="D4713" s="56"/>
      <c r="E4713" s="204"/>
      <c r="F4713" s="205"/>
      <c r="G4713" s="206"/>
      <c r="H4713" s="207"/>
      <c r="J4713" s="76"/>
    </row>
    <row r="4714" spans="1:10">
      <c r="A4714" s="172"/>
      <c r="D4714" s="56"/>
      <c r="E4714" s="204"/>
      <c r="F4714" s="205"/>
      <c r="G4714" s="206"/>
      <c r="H4714" s="207"/>
      <c r="J4714" s="76"/>
    </row>
    <row r="4715" spans="1:10">
      <c r="A4715" s="172"/>
      <c r="D4715" s="56"/>
      <c r="E4715" s="204"/>
      <c r="F4715" s="205"/>
      <c r="G4715" s="206"/>
      <c r="H4715" s="207"/>
      <c r="J4715" s="76"/>
    </row>
    <row r="4716" spans="1:10">
      <c r="A4716" s="172"/>
      <c r="D4716" s="56"/>
      <c r="E4716" s="204"/>
      <c r="F4716" s="205"/>
      <c r="G4716" s="206"/>
      <c r="H4716" s="207"/>
      <c r="J4716" s="76"/>
    </row>
    <row r="4717" spans="1:10">
      <c r="A4717" s="172"/>
      <c r="D4717" s="56"/>
      <c r="E4717" s="204"/>
      <c r="F4717" s="205"/>
      <c r="G4717" s="206"/>
      <c r="H4717" s="207"/>
      <c r="J4717" s="76"/>
    </row>
    <row r="4718" spans="1:10">
      <c r="A4718" s="172"/>
      <c r="D4718" s="56"/>
      <c r="E4718" s="204"/>
      <c r="F4718" s="205"/>
      <c r="G4718" s="206"/>
      <c r="H4718" s="207"/>
      <c r="J4718" s="76"/>
    </row>
    <row r="4719" spans="1:10">
      <c r="A4719" s="172"/>
      <c r="D4719" s="56"/>
      <c r="E4719" s="204"/>
      <c r="F4719" s="205"/>
      <c r="G4719" s="206"/>
      <c r="H4719" s="207"/>
      <c r="J4719" s="76"/>
    </row>
    <row r="4720" spans="1:10">
      <c r="A4720" s="172"/>
      <c r="D4720" s="56"/>
      <c r="E4720" s="204"/>
      <c r="F4720" s="205"/>
      <c r="G4720" s="206"/>
      <c r="H4720" s="207"/>
      <c r="J4720" s="76"/>
    </row>
    <row r="4721" spans="1:10">
      <c r="A4721" s="172"/>
      <c r="D4721" s="56"/>
      <c r="E4721" s="204"/>
      <c r="F4721" s="205"/>
      <c r="G4721" s="206"/>
      <c r="H4721" s="207"/>
      <c r="J4721" s="76"/>
    </row>
    <row r="4722" spans="1:10">
      <c r="A4722" s="172"/>
      <c r="D4722" s="56"/>
      <c r="E4722" s="204"/>
      <c r="F4722" s="205"/>
      <c r="G4722" s="206"/>
      <c r="H4722" s="207"/>
      <c r="J4722" s="76"/>
    </row>
    <row r="4723" spans="1:10">
      <c r="A4723" s="172"/>
      <c r="D4723" s="56"/>
      <c r="E4723" s="204"/>
      <c r="F4723" s="205"/>
      <c r="G4723" s="206"/>
      <c r="H4723" s="207"/>
      <c r="J4723" s="76"/>
    </row>
    <row r="4724" spans="1:10">
      <c r="A4724" s="172"/>
      <c r="D4724" s="56"/>
      <c r="E4724" s="204"/>
      <c r="F4724" s="205"/>
      <c r="G4724" s="206"/>
      <c r="H4724" s="207"/>
      <c r="J4724" s="76"/>
    </row>
    <row r="4725" spans="1:10">
      <c r="A4725" s="172"/>
      <c r="D4725" s="56"/>
      <c r="E4725" s="204"/>
      <c r="F4725" s="205"/>
      <c r="G4725" s="206"/>
      <c r="H4725" s="207"/>
      <c r="J4725" s="76"/>
    </row>
    <row r="4726" spans="1:10">
      <c r="A4726" s="172"/>
      <c r="D4726" s="56"/>
      <c r="E4726" s="204"/>
      <c r="F4726" s="205"/>
      <c r="G4726" s="206"/>
      <c r="H4726" s="207"/>
      <c r="J4726" s="76"/>
    </row>
    <row r="4727" spans="1:10">
      <c r="A4727" s="172"/>
      <c r="D4727" s="56"/>
      <c r="E4727" s="204"/>
      <c r="F4727" s="205"/>
      <c r="G4727" s="206"/>
      <c r="H4727" s="207"/>
      <c r="J4727" s="76"/>
    </row>
    <row r="4728" spans="1:10">
      <c r="A4728" s="172"/>
      <c r="D4728" s="56"/>
      <c r="E4728" s="204"/>
      <c r="F4728" s="205"/>
      <c r="G4728" s="206"/>
      <c r="H4728" s="207"/>
      <c r="J4728" s="76"/>
    </row>
    <row r="4729" spans="1:10">
      <c r="A4729" s="172"/>
      <c r="D4729" s="56"/>
      <c r="E4729" s="204"/>
      <c r="F4729" s="205"/>
      <c r="G4729" s="206"/>
      <c r="H4729" s="207"/>
      <c r="J4729" s="76"/>
    </row>
    <row r="4730" spans="1:10">
      <c r="A4730" s="172"/>
      <c r="D4730" s="56"/>
      <c r="E4730" s="204"/>
      <c r="F4730" s="205"/>
      <c r="G4730" s="206"/>
      <c r="H4730" s="207"/>
      <c r="J4730" s="76"/>
    </row>
    <row r="4731" spans="1:10">
      <c r="A4731" s="172"/>
      <c r="D4731" s="56"/>
      <c r="E4731" s="204"/>
      <c r="F4731" s="205"/>
      <c r="G4731" s="206"/>
      <c r="H4731" s="207"/>
      <c r="J4731" s="76"/>
    </row>
    <row r="4732" spans="1:10">
      <c r="A4732" s="172"/>
      <c r="D4732" s="56"/>
      <c r="E4732" s="204"/>
      <c r="F4732" s="205"/>
      <c r="G4732" s="206"/>
      <c r="H4732" s="207"/>
      <c r="J4732" s="76"/>
    </row>
    <row r="4733" spans="1:10">
      <c r="A4733" s="172"/>
      <c r="D4733" s="56"/>
      <c r="E4733" s="204"/>
      <c r="F4733" s="205"/>
      <c r="G4733" s="206"/>
      <c r="H4733" s="207"/>
      <c r="J4733" s="76"/>
    </row>
    <row r="4734" spans="1:10">
      <c r="A4734" s="172"/>
      <c r="D4734" s="56"/>
      <c r="E4734" s="204"/>
      <c r="F4734" s="205"/>
      <c r="G4734" s="206"/>
      <c r="H4734" s="207"/>
      <c r="J4734" s="76"/>
    </row>
    <row r="4735" spans="1:10">
      <c r="A4735" s="172"/>
      <c r="D4735" s="56"/>
      <c r="E4735" s="204"/>
      <c r="F4735" s="205"/>
      <c r="G4735" s="206"/>
      <c r="H4735" s="207"/>
      <c r="J4735" s="76"/>
    </row>
    <row r="4736" spans="1:10">
      <c r="A4736" s="172"/>
      <c r="D4736" s="56"/>
      <c r="E4736" s="204"/>
      <c r="F4736" s="205"/>
      <c r="G4736" s="206"/>
      <c r="H4736" s="207"/>
      <c r="J4736" s="76"/>
    </row>
    <row r="4737" spans="1:10">
      <c r="A4737" s="172"/>
      <c r="D4737" s="56"/>
      <c r="E4737" s="204"/>
      <c r="F4737" s="205"/>
      <c r="G4737" s="206"/>
      <c r="H4737" s="207"/>
      <c r="J4737" s="76"/>
    </row>
    <row r="4738" spans="1:10">
      <c r="A4738" s="172"/>
      <c r="D4738" s="56"/>
      <c r="E4738" s="204"/>
      <c r="F4738" s="205"/>
      <c r="G4738" s="206"/>
      <c r="H4738" s="207"/>
      <c r="J4738" s="76"/>
    </row>
    <row r="4739" spans="1:10">
      <c r="A4739" s="172"/>
      <c r="D4739" s="56"/>
      <c r="E4739" s="204"/>
      <c r="F4739" s="205"/>
      <c r="G4739" s="206"/>
      <c r="H4739" s="207"/>
      <c r="J4739" s="76"/>
    </row>
    <row r="4740" spans="1:10">
      <c r="A4740" s="172"/>
      <c r="D4740" s="56"/>
      <c r="E4740" s="204"/>
      <c r="F4740" s="205"/>
      <c r="G4740" s="206"/>
      <c r="H4740" s="207"/>
      <c r="J4740" s="76"/>
    </row>
    <row r="4741" spans="1:10">
      <c r="A4741" s="172"/>
      <c r="D4741" s="56"/>
      <c r="E4741" s="204"/>
      <c r="F4741" s="205"/>
      <c r="G4741" s="206"/>
      <c r="H4741" s="207"/>
      <c r="J4741" s="76"/>
    </row>
    <row r="4742" spans="1:10">
      <c r="A4742" s="172"/>
      <c r="D4742" s="56"/>
      <c r="E4742" s="204"/>
      <c r="F4742" s="205"/>
      <c r="G4742" s="206"/>
      <c r="H4742" s="207"/>
      <c r="J4742" s="76"/>
    </row>
    <row r="4743" spans="1:10">
      <c r="A4743" s="172"/>
      <c r="D4743" s="56"/>
      <c r="E4743" s="204"/>
      <c r="F4743" s="205"/>
      <c r="G4743" s="206"/>
      <c r="H4743" s="207"/>
      <c r="J4743" s="76"/>
    </row>
    <row r="4744" spans="1:10">
      <c r="A4744" s="172"/>
      <c r="D4744" s="56"/>
      <c r="E4744" s="204"/>
      <c r="F4744" s="205"/>
      <c r="G4744" s="206"/>
      <c r="H4744" s="207"/>
      <c r="J4744" s="76"/>
    </row>
    <row r="4745" spans="1:10">
      <c r="A4745" s="172"/>
      <c r="D4745" s="56"/>
      <c r="E4745" s="204"/>
      <c r="F4745" s="205"/>
      <c r="G4745" s="206"/>
      <c r="H4745" s="207"/>
      <c r="J4745" s="76"/>
    </row>
    <row r="4746" spans="1:10">
      <c r="A4746" s="172"/>
      <c r="D4746" s="56"/>
      <c r="E4746" s="204"/>
      <c r="F4746" s="205"/>
      <c r="G4746" s="206"/>
      <c r="H4746" s="207"/>
      <c r="J4746" s="76"/>
    </row>
    <row r="4747" spans="1:10">
      <c r="A4747" s="172"/>
      <c r="D4747" s="56"/>
      <c r="E4747" s="204"/>
      <c r="F4747" s="205"/>
      <c r="G4747" s="206"/>
      <c r="H4747" s="207"/>
      <c r="J4747" s="76"/>
    </row>
    <row r="4748" spans="1:10">
      <c r="A4748" s="172"/>
      <c r="D4748" s="56"/>
      <c r="E4748" s="204"/>
      <c r="F4748" s="205"/>
      <c r="G4748" s="206"/>
      <c r="H4748" s="207"/>
      <c r="J4748" s="76"/>
    </row>
    <row r="4749" spans="1:10">
      <c r="A4749" s="172"/>
      <c r="D4749" s="56"/>
      <c r="E4749" s="204"/>
      <c r="F4749" s="205"/>
      <c r="G4749" s="206"/>
      <c r="H4749" s="207"/>
      <c r="J4749" s="76"/>
    </row>
    <row r="4750" spans="1:10">
      <c r="A4750" s="172"/>
      <c r="D4750" s="56"/>
      <c r="E4750" s="204"/>
      <c r="F4750" s="205"/>
      <c r="G4750" s="206"/>
      <c r="H4750" s="207"/>
      <c r="J4750" s="76"/>
    </row>
    <row r="4751" spans="1:10">
      <c r="A4751" s="172"/>
      <c r="D4751" s="56"/>
      <c r="E4751" s="204"/>
      <c r="F4751" s="205"/>
      <c r="G4751" s="206"/>
      <c r="H4751" s="207"/>
      <c r="J4751" s="76"/>
    </row>
    <row r="4752" spans="1:10">
      <c r="A4752" s="172"/>
      <c r="D4752" s="56"/>
      <c r="E4752" s="204"/>
      <c r="F4752" s="205"/>
      <c r="G4752" s="206"/>
      <c r="H4752" s="207"/>
      <c r="J4752" s="76"/>
    </row>
    <row r="4753" spans="1:10">
      <c r="A4753" s="172"/>
      <c r="D4753" s="56"/>
      <c r="E4753" s="204"/>
      <c r="F4753" s="205"/>
      <c r="G4753" s="206"/>
      <c r="H4753" s="207"/>
      <c r="J4753" s="76"/>
    </row>
    <row r="4754" spans="1:10">
      <c r="A4754" s="172"/>
      <c r="D4754" s="56"/>
      <c r="E4754" s="204"/>
      <c r="F4754" s="205"/>
      <c r="G4754" s="206"/>
      <c r="H4754" s="207"/>
      <c r="J4754" s="76"/>
    </row>
    <row r="4755" spans="1:10">
      <c r="A4755" s="172"/>
      <c r="D4755" s="56"/>
      <c r="E4755" s="204"/>
      <c r="F4755" s="205"/>
      <c r="G4755" s="206"/>
      <c r="H4755" s="207"/>
      <c r="J4755" s="76"/>
    </row>
    <row r="4756" spans="1:10">
      <c r="A4756" s="172"/>
      <c r="D4756" s="56"/>
      <c r="E4756" s="204"/>
      <c r="F4756" s="205"/>
      <c r="G4756" s="206"/>
      <c r="H4756" s="207"/>
      <c r="J4756" s="76"/>
    </row>
    <row r="4757" spans="1:10">
      <c r="A4757" s="172"/>
      <c r="D4757" s="56"/>
      <c r="E4757" s="204"/>
      <c r="F4757" s="205"/>
      <c r="G4757" s="206"/>
      <c r="H4757" s="207"/>
      <c r="J4757" s="76"/>
    </row>
    <row r="4758" spans="1:10">
      <c r="A4758" s="172"/>
      <c r="D4758" s="56"/>
      <c r="E4758" s="204"/>
      <c r="F4758" s="205"/>
      <c r="G4758" s="206"/>
      <c r="H4758" s="207"/>
      <c r="J4758" s="76"/>
    </row>
    <row r="4759" spans="1:10">
      <c r="A4759" s="172"/>
      <c r="D4759" s="56"/>
      <c r="E4759" s="204"/>
      <c r="F4759" s="205"/>
      <c r="G4759" s="206"/>
      <c r="H4759" s="207"/>
      <c r="J4759" s="76"/>
    </row>
    <row r="4760" spans="1:10">
      <c r="A4760" s="172"/>
      <c r="D4760" s="56"/>
      <c r="E4760" s="204"/>
      <c r="F4760" s="205"/>
      <c r="G4760" s="206"/>
      <c r="H4760" s="207"/>
      <c r="J4760" s="76"/>
    </row>
    <row r="4761" spans="1:10">
      <c r="A4761" s="172"/>
      <c r="D4761" s="56"/>
      <c r="E4761" s="204"/>
      <c r="F4761" s="205"/>
      <c r="G4761" s="206"/>
      <c r="H4761" s="207"/>
      <c r="J4761" s="76"/>
    </row>
    <row r="4762" spans="1:10">
      <c r="A4762" s="172"/>
      <c r="D4762" s="56"/>
      <c r="E4762" s="204"/>
      <c r="F4762" s="205"/>
      <c r="G4762" s="206"/>
      <c r="H4762" s="207"/>
      <c r="J4762" s="76"/>
    </row>
    <row r="4763" spans="1:10">
      <c r="A4763" s="172"/>
      <c r="D4763" s="56"/>
      <c r="E4763" s="204"/>
      <c r="F4763" s="205"/>
      <c r="G4763" s="206"/>
      <c r="H4763" s="207"/>
      <c r="J4763" s="76"/>
    </row>
    <row r="4764" spans="1:10">
      <c r="A4764" s="172"/>
      <c r="D4764" s="56"/>
      <c r="E4764" s="204"/>
      <c r="F4764" s="205"/>
      <c r="G4764" s="206"/>
      <c r="H4764" s="207"/>
      <c r="J4764" s="76"/>
    </row>
    <row r="4765" spans="1:10">
      <c r="A4765" s="172"/>
      <c r="D4765" s="56"/>
      <c r="E4765" s="204"/>
      <c r="F4765" s="205"/>
      <c r="G4765" s="206"/>
      <c r="H4765" s="207"/>
      <c r="J4765" s="76"/>
    </row>
    <row r="4766" spans="1:10">
      <c r="A4766" s="172"/>
      <c r="D4766" s="56"/>
      <c r="E4766" s="204"/>
      <c r="F4766" s="205"/>
      <c r="G4766" s="206"/>
      <c r="H4766" s="207"/>
      <c r="J4766" s="76"/>
    </row>
    <row r="4767" spans="1:10">
      <c r="A4767" s="172"/>
      <c r="D4767" s="56"/>
      <c r="E4767" s="204"/>
      <c r="F4767" s="205"/>
      <c r="G4767" s="206"/>
      <c r="H4767" s="207"/>
      <c r="J4767" s="76"/>
    </row>
    <row r="4768" spans="1:10">
      <c r="A4768" s="172"/>
      <c r="D4768" s="56"/>
      <c r="E4768" s="204"/>
      <c r="F4768" s="205"/>
      <c r="G4768" s="206"/>
      <c r="H4768" s="207"/>
      <c r="J4768" s="76"/>
    </row>
    <row r="4769" spans="1:10">
      <c r="A4769" s="172"/>
      <c r="D4769" s="56"/>
      <c r="E4769" s="204"/>
      <c r="F4769" s="205"/>
      <c r="G4769" s="206"/>
      <c r="H4769" s="207"/>
      <c r="J4769" s="76"/>
    </row>
    <row r="4770" spans="1:10">
      <c r="A4770" s="172"/>
      <c r="D4770" s="56"/>
      <c r="E4770" s="204"/>
      <c r="F4770" s="205"/>
      <c r="G4770" s="206"/>
      <c r="H4770" s="207"/>
      <c r="J4770" s="76"/>
    </row>
    <row r="4771" spans="1:10">
      <c r="A4771" s="172"/>
      <c r="D4771" s="56"/>
      <c r="E4771" s="204"/>
      <c r="F4771" s="205"/>
      <c r="G4771" s="206"/>
      <c r="H4771" s="207"/>
      <c r="J4771" s="76"/>
    </row>
    <row r="4772" spans="1:10">
      <c r="A4772" s="172"/>
      <c r="D4772" s="56"/>
      <c r="E4772" s="204"/>
      <c r="F4772" s="205"/>
      <c r="G4772" s="206"/>
      <c r="H4772" s="207"/>
      <c r="J4772" s="76"/>
    </row>
    <row r="4773" spans="1:10">
      <c r="A4773" s="172"/>
      <c r="D4773" s="56"/>
      <c r="E4773" s="204"/>
      <c r="F4773" s="205"/>
      <c r="G4773" s="206"/>
      <c r="H4773" s="207"/>
      <c r="J4773" s="76"/>
    </row>
    <row r="4774" spans="1:10">
      <c r="A4774" s="172"/>
      <c r="D4774" s="56"/>
      <c r="E4774" s="204"/>
      <c r="F4774" s="205"/>
      <c r="G4774" s="206"/>
      <c r="H4774" s="207"/>
      <c r="J4774" s="76"/>
    </row>
    <row r="4775" spans="1:10">
      <c r="A4775" s="172"/>
      <c r="D4775" s="56"/>
      <c r="E4775" s="204"/>
      <c r="F4775" s="205"/>
      <c r="G4775" s="206"/>
      <c r="H4775" s="207"/>
      <c r="J4775" s="76"/>
    </row>
    <row r="4776" spans="1:10">
      <c r="A4776" s="172"/>
      <c r="D4776" s="56"/>
      <c r="E4776" s="204"/>
      <c r="F4776" s="205"/>
      <c r="G4776" s="206"/>
      <c r="H4776" s="207"/>
      <c r="J4776" s="76"/>
    </row>
    <row r="4777" spans="1:10">
      <c r="A4777" s="172"/>
      <c r="D4777" s="56"/>
      <c r="E4777" s="204"/>
      <c r="F4777" s="205"/>
      <c r="G4777" s="206"/>
      <c r="H4777" s="207"/>
      <c r="J4777" s="76"/>
    </row>
    <row r="4778" spans="1:10">
      <c r="A4778" s="172"/>
      <c r="D4778" s="56"/>
      <c r="E4778" s="204"/>
      <c r="F4778" s="205"/>
      <c r="G4778" s="206"/>
      <c r="H4778" s="207"/>
      <c r="J4778" s="76"/>
    </row>
    <row r="4779" spans="1:10">
      <c r="A4779" s="172"/>
      <c r="D4779" s="56"/>
      <c r="E4779" s="204"/>
      <c r="F4779" s="205"/>
      <c r="G4779" s="206"/>
      <c r="H4779" s="207"/>
      <c r="J4779" s="76"/>
    </row>
    <row r="4780" spans="1:10">
      <c r="A4780" s="172"/>
      <c r="D4780" s="56"/>
      <c r="E4780" s="204"/>
      <c r="F4780" s="205"/>
      <c r="G4780" s="206"/>
      <c r="H4780" s="207"/>
      <c r="J4780" s="76"/>
    </row>
    <row r="4781" spans="1:10">
      <c r="A4781" s="172"/>
      <c r="D4781" s="56"/>
      <c r="E4781" s="204"/>
      <c r="F4781" s="205"/>
      <c r="G4781" s="206"/>
      <c r="H4781" s="207"/>
      <c r="J4781" s="76"/>
    </row>
    <row r="4782" spans="1:10">
      <c r="A4782" s="172"/>
      <c r="D4782" s="56"/>
      <c r="E4782" s="204"/>
      <c r="F4782" s="205"/>
      <c r="G4782" s="206"/>
      <c r="H4782" s="207"/>
      <c r="J4782" s="76"/>
    </row>
    <row r="4783" spans="1:10">
      <c r="A4783" s="172"/>
      <c r="D4783" s="56"/>
      <c r="E4783" s="204"/>
      <c r="F4783" s="205"/>
      <c r="G4783" s="206"/>
      <c r="H4783" s="207"/>
      <c r="J4783" s="76"/>
    </row>
    <row r="4784" spans="1:10">
      <c r="A4784" s="172"/>
      <c r="D4784" s="56"/>
      <c r="E4784" s="204"/>
      <c r="F4784" s="205"/>
      <c r="G4784" s="206"/>
      <c r="H4784" s="207"/>
      <c r="J4784" s="76"/>
    </row>
    <row r="4785" spans="1:10">
      <c r="A4785" s="172"/>
      <c r="D4785" s="56"/>
      <c r="E4785" s="204"/>
      <c r="F4785" s="205"/>
      <c r="G4785" s="206"/>
      <c r="H4785" s="207"/>
      <c r="J4785" s="76"/>
    </row>
    <row r="4786" spans="1:10">
      <c r="A4786" s="172"/>
      <c r="D4786" s="56"/>
      <c r="E4786" s="204"/>
      <c r="F4786" s="205"/>
      <c r="G4786" s="206"/>
      <c r="H4786" s="207"/>
      <c r="J4786" s="76"/>
    </row>
    <row r="4787" spans="1:10">
      <c r="A4787" s="172"/>
      <c r="D4787" s="56"/>
      <c r="E4787" s="204"/>
      <c r="F4787" s="205"/>
      <c r="G4787" s="206"/>
      <c r="H4787" s="207"/>
      <c r="J4787" s="76"/>
    </row>
    <row r="4788" spans="1:10">
      <c r="A4788" s="172"/>
      <c r="D4788" s="56"/>
      <c r="E4788" s="204"/>
      <c r="F4788" s="205"/>
      <c r="G4788" s="206"/>
      <c r="H4788" s="207"/>
      <c r="J4788" s="76"/>
    </row>
    <row r="4789" spans="1:10">
      <c r="A4789" s="172"/>
      <c r="D4789" s="56"/>
      <c r="E4789" s="204"/>
      <c r="F4789" s="205"/>
      <c r="G4789" s="206"/>
      <c r="H4789" s="207"/>
      <c r="J4789" s="76"/>
    </row>
    <row r="4790" spans="1:10">
      <c r="A4790" s="172"/>
      <c r="D4790" s="56"/>
      <c r="E4790" s="204"/>
      <c r="F4790" s="205"/>
      <c r="G4790" s="206"/>
      <c r="H4790" s="207"/>
      <c r="J4790" s="76"/>
    </row>
    <row r="4791" spans="1:10">
      <c r="A4791" s="172"/>
      <c r="D4791" s="56"/>
      <c r="E4791" s="204"/>
      <c r="F4791" s="205"/>
      <c r="G4791" s="206"/>
      <c r="H4791" s="207"/>
      <c r="J4791" s="76"/>
    </row>
    <row r="4792" spans="1:10">
      <c r="A4792" s="172"/>
      <c r="D4792" s="56"/>
      <c r="E4792" s="204"/>
      <c r="F4792" s="205"/>
      <c r="G4792" s="206"/>
      <c r="H4792" s="207"/>
      <c r="J4792" s="76"/>
    </row>
    <row r="4793" spans="1:10">
      <c r="A4793" s="172"/>
      <c r="D4793" s="56"/>
      <c r="E4793" s="204"/>
      <c r="F4793" s="205"/>
      <c r="G4793" s="206"/>
      <c r="H4793" s="207"/>
      <c r="J4793" s="76"/>
    </row>
    <row r="4794" spans="1:10">
      <c r="A4794" s="172"/>
      <c r="D4794" s="56"/>
      <c r="E4794" s="204"/>
      <c r="F4794" s="205"/>
      <c r="G4794" s="206"/>
      <c r="H4794" s="207"/>
      <c r="J4794" s="76"/>
    </row>
    <row r="4795" spans="1:10">
      <c r="A4795" s="172"/>
      <c r="D4795" s="56"/>
      <c r="E4795" s="204"/>
      <c r="F4795" s="205"/>
      <c r="G4795" s="206"/>
      <c r="H4795" s="207"/>
      <c r="J4795" s="76"/>
    </row>
    <row r="4796" spans="1:10">
      <c r="A4796" s="172"/>
      <c r="D4796" s="56"/>
      <c r="E4796" s="204"/>
      <c r="F4796" s="205"/>
      <c r="G4796" s="206"/>
      <c r="H4796" s="207"/>
      <c r="J4796" s="76"/>
    </row>
    <row r="4797" spans="1:10">
      <c r="A4797" s="172"/>
      <c r="D4797" s="56"/>
      <c r="E4797" s="204"/>
      <c r="F4797" s="205"/>
      <c r="G4797" s="206"/>
      <c r="H4797" s="207"/>
      <c r="J4797" s="76"/>
    </row>
    <row r="4798" spans="1:10">
      <c r="A4798" s="172"/>
      <c r="D4798" s="56"/>
      <c r="E4798" s="204"/>
      <c r="F4798" s="205"/>
      <c r="G4798" s="206"/>
      <c r="H4798" s="207"/>
      <c r="J4798" s="76"/>
    </row>
    <row r="4799" spans="1:10">
      <c r="A4799" s="172"/>
      <c r="D4799" s="56"/>
      <c r="E4799" s="204"/>
      <c r="F4799" s="205"/>
      <c r="G4799" s="206"/>
      <c r="H4799" s="207"/>
      <c r="J4799" s="76"/>
    </row>
    <row r="4800" spans="1:10">
      <c r="A4800" s="172"/>
      <c r="D4800" s="56"/>
      <c r="E4800" s="204"/>
      <c r="F4800" s="205"/>
      <c r="G4800" s="206"/>
      <c r="H4800" s="207"/>
      <c r="J4800" s="76"/>
    </row>
    <row r="4801" spans="1:10">
      <c r="A4801" s="172"/>
      <c r="D4801" s="56"/>
      <c r="E4801" s="204"/>
      <c r="F4801" s="205"/>
      <c r="G4801" s="206"/>
      <c r="H4801" s="207"/>
      <c r="J4801" s="76"/>
    </row>
    <row r="4802" spans="1:10">
      <c r="A4802" s="172"/>
      <c r="D4802" s="56"/>
      <c r="E4802" s="204"/>
      <c r="F4802" s="205"/>
      <c r="G4802" s="206"/>
      <c r="H4802" s="207"/>
      <c r="J4802" s="76"/>
    </row>
    <row r="4803" spans="1:10">
      <c r="A4803" s="172"/>
      <c r="D4803" s="56"/>
      <c r="E4803" s="204"/>
      <c r="F4803" s="205"/>
      <c r="G4803" s="206"/>
      <c r="H4803" s="207"/>
      <c r="J4803" s="76"/>
    </row>
    <row r="4804" spans="1:10">
      <c r="A4804" s="172"/>
      <c r="D4804" s="56"/>
      <c r="E4804" s="204"/>
      <c r="F4804" s="205"/>
      <c r="G4804" s="206"/>
      <c r="H4804" s="207"/>
      <c r="J4804" s="76"/>
    </row>
    <row r="4805" spans="1:10">
      <c r="A4805" s="172"/>
      <c r="D4805" s="56"/>
      <c r="E4805" s="204"/>
      <c r="F4805" s="205"/>
      <c r="G4805" s="206"/>
      <c r="H4805" s="207"/>
      <c r="J4805" s="76"/>
    </row>
    <row r="4806" spans="1:10">
      <c r="A4806" s="172"/>
      <c r="D4806" s="56"/>
      <c r="E4806" s="204"/>
      <c r="F4806" s="205"/>
      <c r="G4806" s="206"/>
      <c r="H4806" s="207"/>
      <c r="J4806" s="76"/>
    </row>
    <row r="4807" spans="1:10">
      <c r="A4807" s="172"/>
      <c r="D4807" s="56"/>
      <c r="E4807" s="204"/>
      <c r="F4807" s="205"/>
      <c r="G4807" s="206"/>
      <c r="H4807" s="207"/>
      <c r="J4807" s="76"/>
    </row>
    <row r="4808" spans="1:10">
      <c r="A4808" s="172"/>
      <c r="D4808" s="56"/>
      <c r="E4808" s="204"/>
      <c r="F4808" s="205"/>
      <c r="G4808" s="206"/>
      <c r="H4808" s="207"/>
      <c r="J4808" s="76"/>
    </row>
    <row r="4809" spans="1:10">
      <c r="A4809" s="172"/>
      <c r="D4809" s="56"/>
      <c r="E4809" s="204"/>
      <c r="F4809" s="205"/>
      <c r="G4809" s="206"/>
      <c r="H4809" s="207"/>
      <c r="J4809" s="76"/>
    </row>
    <row r="4810" spans="1:10">
      <c r="A4810" s="172"/>
      <c r="D4810" s="56"/>
      <c r="E4810" s="204"/>
      <c r="F4810" s="205"/>
      <c r="G4810" s="206"/>
      <c r="H4810" s="207"/>
      <c r="J4810" s="76"/>
    </row>
    <row r="4811" spans="1:10">
      <c r="A4811" s="172"/>
      <c r="D4811" s="56"/>
      <c r="E4811" s="204"/>
      <c r="F4811" s="205"/>
      <c r="G4811" s="206"/>
      <c r="H4811" s="207"/>
      <c r="J4811" s="76"/>
    </row>
    <row r="4812" spans="1:10">
      <c r="A4812" s="172"/>
      <c r="D4812" s="56"/>
      <c r="E4812" s="204"/>
      <c r="F4812" s="205"/>
      <c r="G4812" s="206"/>
      <c r="H4812" s="207"/>
      <c r="J4812" s="76"/>
    </row>
    <row r="4813" spans="1:10">
      <c r="A4813" s="172"/>
      <c r="D4813" s="56"/>
      <c r="E4813" s="204"/>
      <c r="F4813" s="205"/>
      <c r="G4813" s="206"/>
      <c r="H4813" s="207"/>
      <c r="J4813" s="76"/>
    </row>
    <row r="4814" spans="1:10">
      <c r="A4814" s="172"/>
      <c r="D4814" s="56"/>
      <c r="E4814" s="204"/>
      <c r="F4814" s="205"/>
      <c r="G4814" s="206"/>
      <c r="H4814" s="207"/>
      <c r="J4814" s="76"/>
    </row>
    <row r="4815" spans="1:10">
      <c r="A4815" s="172"/>
      <c r="D4815" s="56"/>
      <c r="E4815" s="204"/>
      <c r="F4815" s="205"/>
      <c r="G4815" s="206"/>
      <c r="H4815" s="207"/>
      <c r="J4815" s="76"/>
    </row>
    <row r="4816" spans="1:10">
      <c r="A4816" s="172"/>
      <c r="D4816" s="56"/>
      <c r="E4816" s="204"/>
      <c r="F4816" s="205"/>
      <c r="G4816" s="206"/>
      <c r="H4816" s="207"/>
      <c r="J4816" s="76"/>
    </row>
    <row r="4817" spans="1:10">
      <c r="A4817" s="172"/>
      <c r="D4817" s="56"/>
      <c r="E4817" s="204"/>
      <c r="F4817" s="205"/>
      <c r="G4817" s="206"/>
      <c r="H4817" s="207"/>
      <c r="J4817" s="76"/>
    </row>
    <row r="4818" spans="1:10">
      <c r="A4818" s="172"/>
      <c r="D4818" s="56"/>
      <c r="E4818" s="204"/>
      <c r="F4818" s="205"/>
      <c r="G4818" s="206"/>
      <c r="H4818" s="207"/>
      <c r="J4818" s="76"/>
    </row>
    <row r="4819" spans="1:10">
      <c r="A4819" s="172"/>
      <c r="D4819" s="56"/>
      <c r="E4819" s="204"/>
      <c r="F4819" s="205"/>
      <c r="G4819" s="206"/>
      <c r="H4819" s="207"/>
      <c r="J4819" s="76"/>
    </row>
    <row r="4820" spans="1:10">
      <c r="A4820" s="172"/>
      <c r="D4820" s="56"/>
      <c r="E4820" s="204"/>
      <c r="F4820" s="205"/>
      <c r="G4820" s="206"/>
      <c r="H4820" s="207"/>
      <c r="J4820" s="76"/>
    </row>
    <row r="4821" spans="1:10">
      <c r="A4821" s="172"/>
      <c r="D4821" s="56"/>
      <c r="E4821" s="204"/>
      <c r="F4821" s="205"/>
      <c r="G4821" s="206"/>
      <c r="H4821" s="207"/>
      <c r="J4821" s="76"/>
    </row>
    <row r="4822" spans="1:10">
      <c r="A4822" s="172"/>
      <c r="D4822" s="56"/>
      <c r="E4822" s="204"/>
      <c r="F4822" s="205"/>
      <c r="G4822" s="206"/>
      <c r="H4822" s="207"/>
      <c r="J4822" s="76"/>
    </row>
    <row r="4823" spans="1:10">
      <c r="A4823" s="172"/>
      <c r="D4823" s="56"/>
      <c r="E4823" s="204"/>
      <c r="F4823" s="205"/>
      <c r="G4823" s="206"/>
      <c r="H4823" s="207"/>
      <c r="J4823" s="76"/>
    </row>
    <row r="4824" spans="1:10">
      <c r="A4824" s="172"/>
      <c r="D4824" s="56"/>
      <c r="E4824" s="204"/>
      <c r="F4824" s="205"/>
      <c r="G4824" s="206"/>
      <c r="H4824" s="207"/>
      <c r="J4824" s="76"/>
    </row>
    <row r="4825" spans="1:10">
      <c r="A4825" s="172"/>
      <c r="D4825" s="56"/>
      <c r="E4825" s="204"/>
      <c r="F4825" s="205"/>
      <c r="G4825" s="206"/>
      <c r="H4825" s="207"/>
      <c r="J4825" s="76"/>
    </row>
    <row r="4826" spans="1:10">
      <c r="A4826" s="172"/>
      <c r="D4826" s="56"/>
      <c r="E4826" s="204"/>
      <c r="F4826" s="205"/>
      <c r="G4826" s="206"/>
      <c r="H4826" s="207"/>
      <c r="J4826" s="76"/>
    </row>
    <row r="4827" spans="1:10">
      <c r="A4827" s="172"/>
      <c r="D4827" s="56"/>
      <c r="E4827" s="204"/>
      <c r="F4827" s="205"/>
      <c r="G4827" s="206"/>
      <c r="H4827" s="207"/>
      <c r="J4827" s="76"/>
    </row>
    <row r="4828" spans="1:10">
      <c r="A4828" s="172"/>
      <c r="D4828" s="56"/>
      <c r="E4828" s="204"/>
      <c r="F4828" s="205"/>
      <c r="G4828" s="206"/>
      <c r="H4828" s="207"/>
      <c r="J4828" s="76"/>
    </row>
    <row r="4829" spans="1:10">
      <c r="A4829" s="172"/>
      <c r="D4829" s="56"/>
      <c r="E4829" s="204"/>
      <c r="F4829" s="205"/>
      <c r="G4829" s="206"/>
      <c r="H4829" s="207"/>
      <c r="J4829" s="76"/>
    </row>
    <row r="4830" spans="1:10">
      <c r="A4830" s="172"/>
      <c r="D4830" s="56"/>
      <c r="E4830" s="204"/>
      <c r="F4830" s="205"/>
      <c r="G4830" s="206"/>
      <c r="H4830" s="207"/>
      <c r="J4830" s="76"/>
    </row>
    <row r="4831" spans="1:10">
      <c r="A4831" s="172"/>
      <c r="D4831" s="56"/>
      <c r="E4831" s="204"/>
      <c r="F4831" s="205"/>
      <c r="G4831" s="206"/>
      <c r="H4831" s="207"/>
      <c r="J4831" s="76"/>
    </row>
    <row r="4832" spans="1:10">
      <c r="A4832" s="172"/>
      <c r="D4832" s="56"/>
      <c r="E4832" s="204"/>
      <c r="F4832" s="205"/>
      <c r="G4832" s="206"/>
      <c r="H4832" s="207"/>
      <c r="J4832" s="76"/>
    </row>
    <row r="4833" spans="1:10">
      <c r="A4833" s="172"/>
      <c r="D4833" s="56"/>
      <c r="E4833" s="204"/>
      <c r="F4833" s="205"/>
      <c r="G4833" s="206"/>
      <c r="H4833" s="207"/>
      <c r="J4833" s="76"/>
    </row>
    <row r="4834" spans="1:10">
      <c r="A4834" s="172"/>
      <c r="D4834" s="56"/>
      <c r="E4834" s="204"/>
      <c r="F4834" s="205"/>
      <c r="G4834" s="206"/>
      <c r="H4834" s="207"/>
      <c r="J4834" s="76"/>
    </row>
    <row r="4835" spans="1:10">
      <c r="A4835" s="172"/>
      <c r="D4835" s="56"/>
      <c r="E4835" s="204"/>
      <c r="F4835" s="205"/>
      <c r="G4835" s="206"/>
      <c r="H4835" s="207"/>
      <c r="J4835" s="76"/>
    </row>
    <row r="4836" spans="1:10">
      <c r="A4836" s="172"/>
      <c r="D4836" s="56"/>
      <c r="E4836" s="204"/>
      <c r="F4836" s="205"/>
      <c r="G4836" s="206"/>
      <c r="H4836" s="207"/>
      <c r="J4836" s="76"/>
    </row>
    <row r="4837" spans="1:10">
      <c r="A4837" s="172"/>
      <c r="D4837" s="56"/>
      <c r="E4837" s="204"/>
      <c r="F4837" s="205"/>
      <c r="G4837" s="206"/>
      <c r="H4837" s="207"/>
      <c r="J4837" s="76"/>
    </row>
    <row r="4838" spans="1:10">
      <c r="A4838" s="172"/>
      <c r="D4838" s="56"/>
      <c r="E4838" s="204"/>
      <c r="F4838" s="205"/>
      <c r="G4838" s="206"/>
      <c r="H4838" s="207"/>
      <c r="J4838" s="76"/>
    </row>
    <row r="4839" spans="1:10">
      <c r="A4839" s="172"/>
      <c r="D4839" s="56"/>
      <c r="E4839" s="204"/>
      <c r="F4839" s="205"/>
      <c r="G4839" s="206"/>
      <c r="H4839" s="207"/>
      <c r="J4839" s="76"/>
    </row>
    <row r="4840" spans="1:10">
      <c r="A4840" s="172"/>
      <c r="D4840" s="56"/>
      <c r="E4840" s="204"/>
      <c r="F4840" s="205"/>
      <c r="G4840" s="206"/>
      <c r="H4840" s="207"/>
      <c r="J4840" s="76"/>
    </row>
    <row r="4841" spans="1:10">
      <c r="A4841" s="172"/>
      <c r="D4841" s="56"/>
      <c r="E4841" s="204"/>
      <c r="F4841" s="205"/>
      <c r="G4841" s="206"/>
      <c r="H4841" s="207"/>
      <c r="J4841" s="76"/>
    </row>
    <row r="4842" spans="1:10">
      <c r="A4842" s="172"/>
      <c r="D4842" s="56"/>
      <c r="E4842" s="204"/>
      <c r="F4842" s="205"/>
      <c r="G4842" s="206"/>
      <c r="H4842" s="207"/>
      <c r="J4842" s="76"/>
    </row>
    <row r="4843" spans="1:10">
      <c r="A4843" s="172"/>
      <c r="D4843" s="56"/>
      <c r="E4843" s="204"/>
      <c r="F4843" s="205"/>
      <c r="G4843" s="206"/>
      <c r="H4843" s="207"/>
      <c r="J4843" s="76"/>
    </row>
    <row r="4844" spans="1:10">
      <c r="A4844" s="172"/>
      <c r="D4844" s="56"/>
      <c r="E4844" s="204"/>
      <c r="F4844" s="205"/>
      <c r="G4844" s="206"/>
      <c r="H4844" s="207"/>
      <c r="J4844" s="76"/>
    </row>
    <row r="4845" spans="1:10">
      <c r="A4845" s="172"/>
      <c r="D4845" s="56"/>
      <c r="E4845" s="204"/>
      <c r="F4845" s="205"/>
      <c r="G4845" s="206"/>
      <c r="H4845" s="207"/>
      <c r="J4845" s="76"/>
    </row>
    <row r="4846" spans="1:10">
      <c r="A4846" s="172"/>
      <c r="D4846" s="56"/>
      <c r="E4846" s="204"/>
      <c r="F4846" s="205"/>
      <c r="G4846" s="206"/>
      <c r="H4846" s="207"/>
      <c r="J4846" s="76"/>
    </row>
    <row r="4847" spans="1:10">
      <c r="A4847" s="172"/>
      <c r="D4847" s="56"/>
      <c r="E4847" s="204"/>
      <c r="F4847" s="205"/>
      <c r="G4847" s="206"/>
      <c r="H4847" s="207"/>
      <c r="J4847" s="76"/>
    </row>
    <row r="4848" spans="1:10">
      <c r="A4848" s="172"/>
      <c r="D4848" s="56"/>
      <c r="E4848" s="204"/>
      <c r="F4848" s="205"/>
      <c r="G4848" s="206"/>
      <c r="H4848" s="207"/>
      <c r="J4848" s="76"/>
    </row>
    <row r="4849" spans="1:10">
      <c r="A4849" s="172"/>
      <c r="D4849" s="56"/>
      <c r="E4849" s="204"/>
      <c r="F4849" s="205"/>
      <c r="G4849" s="206"/>
      <c r="H4849" s="207"/>
      <c r="J4849" s="76"/>
    </row>
    <row r="4850" spans="1:10">
      <c r="A4850" s="172"/>
      <c r="D4850" s="56"/>
      <c r="E4850" s="204"/>
      <c r="F4850" s="205"/>
      <c r="G4850" s="206"/>
      <c r="H4850" s="207"/>
      <c r="J4850" s="76"/>
    </row>
    <row r="4851" spans="1:10">
      <c r="A4851" s="172"/>
      <c r="D4851" s="56"/>
      <c r="E4851" s="204"/>
      <c r="F4851" s="205"/>
      <c r="G4851" s="206"/>
      <c r="H4851" s="207"/>
      <c r="J4851" s="76"/>
    </row>
    <row r="4852" spans="1:10">
      <c r="A4852" s="172"/>
      <c r="D4852" s="56"/>
      <c r="E4852" s="204"/>
      <c r="F4852" s="205"/>
      <c r="G4852" s="206"/>
      <c r="H4852" s="207"/>
      <c r="J4852" s="76"/>
    </row>
    <row r="4853" spans="1:10">
      <c r="A4853" s="172"/>
      <c r="D4853" s="56"/>
      <c r="E4853" s="204"/>
      <c r="F4853" s="205"/>
      <c r="G4853" s="206"/>
      <c r="H4853" s="207"/>
      <c r="J4853" s="76"/>
    </row>
    <row r="4854" spans="1:10">
      <c r="A4854" s="172"/>
      <c r="D4854" s="56"/>
      <c r="E4854" s="204"/>
      <c r="F4854" s="205"/>
      <c r="G4854" s="206"/>
      <c r="H4854" s="207"/>
      <c r="J4854" s="76"/>
    </row>
    <row r="4855" spans="1:10">
      <c r="A4855" s="172"/>
      <c r="D4855" s="56"/>
      <c r="E4855" s="204"/>
      <c r="F4855" s="205"/>
      <c r="G4855" s="206"/>
      <c r="H4855" s="207"/>
      <c r="J4855" s="76"/>
    </row>
    <row r="4856" spans="1:10">
      <c r="A4856" s="172"/>
      <c r="D4856" s="56"/>
      <c r="E4856" s="204"/>
      <c r="F4856" s="205"/>
      <c r="G4856" s="206"/>
      <c r="H4856" s="207"/>
      <c r="J4856" s="76"/>
    </row>
    <row r="4857" spans="1:10">
      <c r="A4857" s="172"/>
      <c r="D4857" s="56"/>
      <c r="E4857" s="204"/>
      <c r="F4857" s="205"/>
      <c r="G4857" s="206"/>
      <c r="H4857" s="207"/>
      <c r="J4857" s="76"/>
    </row>
    <row r="4858" spans="1:10">
      <c r="A4858" s="172"/>
      <c r="D4858" s="56"/>
      <c r="E4858" s="204"/>
      <c r="F4858" s="205"/>
      <c r="G4858" s="206"/>
      <c r="H4858" s="207"/>
      <c r="J4858" s="76"/>
    </row>
    <row r="4859" spans="1:10">
      <c r="A4859" s="172"/>
      <c r="D4859" s="56"/>
      <c r="E4859" s="204"/>
      <c r="F4859" s="205"/>
      <c r="G4859" s="206"/>
      <c r="H4859" s="207"/>
      <c r="J4859" s="76"/>
    </row>
    <row r="4860" spans="1:10">
      <c r="A4860" s="172"/>
      <c r="D4860" s="56"/>
      <c r="E4860" s="204"/>
      <c r="F4860" s="205"/>
      <c r="G4860" s="206"/>
      <c r="H4860" s="207"/>
      <c r="J4860" s="76"/>
    </row>
    <row r="4861" spans="1:10">
      <c r="A4861" s="172"/>
      <c r="D4861" s="56"/>
      <c r="E4861" s="204"/>
      <c r="F4861" s="205"/>
      <c r="G4861" s="206"/>
      <c r="H4861" s="207"/>
      <c r="J4861" s="76"/>
    </row>
    <row r="4862" spans="1:10">
      <c r="A4862" s="172"/>
      <c r="D4862" s="56"/>
      <c r="E4862" s="204"/>
      <c r="F4862" s="205"/>
      <c r="G4862" s="206"/>
      <c r="H4862" s="207"/>
      <c r="J4862" s="76"/>
    </row>
    <row r="4863" spans="1:10">
      <c r="A4863" s="172"/>
      <c r="D4863" s="56"/>
      <c r="E4863" s="204"/>
      <c r="F4863" s="205"/>
      <c r="G4863" s="206"/>
      <c r="H4863" s="207"/>
      <c r="J4863" s="76"/>
    </row>
    <row r="4864" spans="1:10">
      <c r="A4864" s="172"/>
      <c r="D4864" s="56"/>
      <c r="E4864" s="204"/>
      <c r="F4864" s="205"/>
      <c r="G4864" s="206"/>
      <c r="H4864" s="207"/>
      <c r="J4864" s="76"/>
    </row>
    <row r="4865" spans="1:10">
      <c r="A4865" s="172"/>
      <c r="D4865" s="56"/>
      <c r="E4865" s="204"/>
      <c r="F4865" s="205"/>
      <c r="G4865" s="206"/>
      <c r="H4865" s="207"/>
      <c r="J4865" s="76"/>
    </row>
    <row r="4866" spans="1:10">
      <c r="A4866" s="172"/>
      <c r="D4866" s="56"/>
      <c r="E4866" s="204"/>
      <c r="F4866" s="205"/>
      <c r="G4866" s="206"/>
      <c r="H4866" s="207"/>
      <c r="J4866" s="76"/>
    </row>
    <row r="4867" spans="1:10">
      <c r="A4867" s="172"/>
      <c r="D4867" s="56"/>
      <c r="E4867" s="204"/>
      <c r="F4867" s="205"/>
      <c r="G4867" s="206"/>
      <c r="H4867" s="207"/>
      <c r="J4867" s="76"/>
    </row>
    <row r="4868" spans="1:10">
      <c r="A4868" s="172"/>
      <c r="D4868" s="56"/>
      <c r="E4868" s="204"/>
      <c r="F4868" s="205"/>
      <c r="G4868" s="206"/>
      <c r="H4868" s="207"/>
      <c r="J4868" s="76"/>
    </row>
    <row r="4869" spans="1:10">
      <c r="A4869" s="172"/>
      <c r="D4869" s="56"/>
      <c r="E4869" s="204"/>
      <c r="F4869" s="205"/>
      <c r="G4869" s="206"/>
      <c r="H4869" s="207"/>
      <c r="J4869" s="76"/>
    </row>
    <row r="4870" spans="1:10">
      <c r="A4870" s="172"/>
      <c r="D4870" s="56"/>
      <c r="E4870" s="204"/>
      <c r="F4870" s="205"/>
      <c r="G4870" s="206"/>
      <c r="H4870" s="207"/>
      <c r="J4870" s="76"/>
    </row>
    <row r="4871" spans="1:10">
      <c r="A4871" s="172"/>
      <c r="D4871" s="56"/>
      <c r="E4871" s="204"/>
      <c r="F4871" s="205"/>
      <c r="G4871" s="206"/>
      <c r="H4871" s="207"/>
      <c r="J4871" s="76"/>
    </row>
    <row r="4872" spans="1:10">
      <c r="A4872" s="172"/>
      <c r="D4872" s="56"/>
      <c r="E4872" s="204"/>
      <c r="F4872" s="205"/>
      <c r="G4872" s="206"/>
      <c r="H4872" s="207"/>
      <c r="J4872" s="76"/>
    </row>
    <row r="4873" spans="1:10">
      <c r="A4873" s="172"/>
      <c r="D4873" s="56"/>
      <c r="E4873" s="204"/>
      <c r="F4873" s="205"/>
      <c r="G4873" s="206"/>
      <c r="H4873" s="207"/>
      <c r="J4873" s="76"/>
    </row>
    <row r="4874" spans="1:10">
      <c r="A4874" s="172"/>
      <c r="D4874" s="56"/>
      <c r="E4874" s="204"/>
      <c r="F4874" s="205"/>
      <c r="G4874" s="206"/>
      <c r="H4874" s="207"/>
      <c r="J4874" s="76"/>
    </row>
    <row r="4875" spans="1:10">
      <c r="A4875" s="172"/>
      <c r="D4875" s="56"/>
      <c r="E4875" s="204"/>
      <c r="F4875" s="205"/>
      <c r="G4875" s="206"/>
      <c r="H4875" s="207"/>
      <c r="J4875" s="76"/>
    </row>
    <row r="4876" spans="1:10">
      <c r="A4876" s="172"/>
      <c r="D4876" s="56"/>
      <c r="E4876" s="204"/>
      <c r="F4876" s="205"/>
      <c r="G4876" s="206"/>
      <c r="H4876" s="207"/>
      <c r="J4876" s="76"/>
    </row>
    <row r="4877" spans="1:10">
      <c r="A4877" s="172"/>
      <c r="D4877" s="56"/>
      <c r="E4877" s="204"/>
      <c r="F4877" s="205"/>
      <c r="G4877" s="206"/>
      <c r="H4877" s="207"/>
      <c r="J4877" s="76"/>
    </row>
    <row r="4878" spans="1:10">
      <c r="A4878" s="172"/>
      <c r="D4878" s="56"/>
      <c r="E4878" s="204"/>
      <c r="F4878" s="205"/>
      <c r="G4878" s="206"/>
      <c r="H4878" s="207"/>
      <c r="J4878" s="76"/>
    </row>
    <row r="4879" spans="1:10">
      <c r="A4879" s="172"/>
      <c r="D4879" s="56"/>
      <c r="E4879" s="204"/>
      <c r="F4879" s="205"/>
      <c r="G4879" s="206"/>
      <c r="H4879" s="207"/>
      <c r="J4879" s="76"/>
    </row>
    <row r="4880" spans="1:10">
      <c r="A4880" s="172"/>
      <c r="D4880" s="56"/>
      <c r="E4880" s="204"/>
      <c r="F4880" s="205"/>
      <c r="G4880" s="206"/>
      <c r="H4880" s="207"/>
      <c r="J4880" s="76"/>
    </row>
    <row r="4881" spans="1:10">
      <c r="A4881" s="172"/>
      <c r="D4881" s="56"/>
      <c r="E4881" s="204"/>
      <c r="F4881" s="205"/>
      <c r="G4881" s="206"/>
      <c r="H4881" s="207"/>
      <c r="J4881" s="76"/>
    </row>
    <row r="4882" spans="1:10">
      <c r="A4882" s="172"/>
      <c r="D4882" s="56"/>
      <c r="E4882" s="204"/>
      <c r="F4882" s="205"/>
      <c r="G4882" s="206"/>
      <c r="H4882" s="207"/>
      <c r="J4882" s="76"/>
    </row>
    <row r="4883" spans="1:10">
      <c r="A4883" s="172"/>
      <c r="D4883" s="56"/>
      <c r="E4883" s="204"/>
      <c r="F4883" s="205"/>
      <c r="G4883" s="206"/>
      <c r="H4883" s="207"/>
      <c r="J4883" s="76"/>
    </row>
    <row r="4884" spans="1:10">
      <c r="A4884" s="172"/>
      <c r="D4884" s="56"/>
      <c r="E4884" s="204"/>
      <c r="F4884" s="205"/>
      <c r="G4884" s="206"/>
      <c r="H4884" s="207"/>
      <c r="J4884" s="76"/>
    </row>
    <row r="4885" spans="1:10">
      <c r="A4885" s="172"/>
      <c r="D4885" s="56"/>
      <c r="E4885" s="204"/>
      <c r="F4885" s="205"/>
      <c r="G4885" s="206"/>
      <c r="H4885" s="207"/>
      <c r="J4885" s="76"/>
    </row>
    <row r="4886" spans="1:10">
      <c r="A4886" s="172"/>
      <c r="D4886" s="56"/>
      <c r="E4886" s="204"/>
      <c r="F4886" s="205"/>
      <c r="G4886" s="206"/>
      <c r="H4886" s="207"/>
      <c r="J4886" s="76"/>
    </row>
    <row r="4887" spans="1:10">
      <c r="A4887" s="172"/>
      <c r="D4887" s="56"/>
      <c r="E4887" s="204"/>
      <c r="F4887" s="205"/>
      <c r="G4887" s="206"/>
      <c r="H4887" s="207"/>
      <c r="J4887" s="76"/>
    </row>
    <row r="4888" spans="1:10">
      <c r="A4888" s="172"/>
      <c r="D4888" s="56"/>
      <c r="E4888" s="204"/>
      <c r="F4888" s="205"/>
      <c r="G4888" s="206"/>
      <c r="H4888" s="207"/>
      <c r="J4888" s="76"/>
    </row>
    <row r="4889" spans="1:10">
      <c r="A4889" s="172"/>
      <c r="D4889" s="56"/>
      <c r="E4889" s="204"/>
      <c r="F4889" s="205"/>
      <c r="G4889" s="206"/>
      <c r="H4889" s="207"/>
      <c r="J4889" s="76"/>
    </row>
    <row r="4890" spans="1:10">
      <c r="A4890" s="172"/>
      <c r="D4890" s="56"/>
      <c r="E4890" s="204"/>
      <c r="F4890" s="205"/>
      <c r="G4890" s="206"/>
      <c r="H4890" s="207"/>
      <c r="J4890" s="76"/>
    </row>
    <row r="4891" spans="1:10">
      <c r="A4891" s="172"/>
      <c r="D4891" s="56"/>
      <c r="E4891" s="204"/>
      <c r="F4891" s="205"/>
      <c r="G4891" s="206"/>
      <c r="H4891" s="207"/>
      <c r="J4891" s="76"/>
    </row>
    <row r="4892" spans="1:10">
      <c r="A4892" s="172"/>
      <c r="D4892" s="56"/>
      <c r="E4892" s="204"/>
      <c r="F4892" s="205"/>
      <c r="G4892" s="206"/>
      <c r="H4892" s="207"/>
      <c r="J4892" s="76"/>
    </row>
    <row r="4893" spans="1:10">
      <c r="A4893" s="172"/>
      <c r="D4893" s="56"/>
      <c r="E4893" s="204"/>
      <c r="F4893" s="205"/>
      <c r="G4893" s="206"/>
      <c r="H4893" s="207"/>
      <c r="J4893" s="76"/>
    </row>
    <row r="4894" spans="1:10">
      <c r="A4894" s="172"/>
      <c r="D4894" s="56"/>
      <c r="E4894" s="204"/>
      <c r="F4894" s="205"/>
      <c r="G4894" s="206"/>
      <c r="H4894" s="207"/>
      <c r="J4894" s="76"/>
    </row>
    <row r="4895" spans="1:10">
      <c r="A4895" s="172"/>
      <c r="D4895" s="56"/>
      <c r="E4895" s="204"/>
      <c r="F4895" s="205"/>
      <c r="G4895" s="206"/>
      <c r="H4895" s="207"/>
      <c r="J4895" s="76"/>
    </row>
    <row r="4896" spans="1:10">
      <c r="A4896" s="172"/>
      <c r="D4896" s="56"/>
      <c r="E4896" s="204"/>
      <c r="F4896" s="205"/>
      <c r="G4896" s="206"/>
      <c r="H4896" s="207"/>
      <c r="J4896" s="76"/>
    </row>
    <row r="4897" spans="1:10">
      <c r="A4897" s="172"/>
      <c r="D4897" s="56"/>
      <c r="E4897" s="204"/>
      <c r="F4897" s="205"/>
      <c r="G4897" s="206"/>
      <c r="H4897" s="207"/>
      <c r="J4897" s="76"/>
    </row>
    <row r="4898" spans="1:10">
      <c r="A4898" s="172"/>
      <c r="D4898" s="56"/>
      <c r="E4898" s="204"/>
      <c r="F4898" s="205"/>
      <c r="G4898" s="206"/>
      <c r="H4898" s="207"/>
      <c r="J4898" s="76"/>
    </row>
    <row r="4899" spans="1:10">
      <c r="A4899" s="172"/>
      <c r="D4899" s="56"/>
      <c r="E4899" s="204"/>
      <c r="F4899" s="205"/>
      <c r="G4899" s="206"/>
      <c r="H4899" s="207"/>
      <c r="J4899" s="76"/>
    </row>
    <row r="4900" spans="1:10">
      <c r="A4900" s="172"/>
      <c r="D4900" s="56"/>
      <c r="E4900" s="204"/>
      <c r="F4900" s="205"/>
      <c r="G4900" s="206"/>
      <c r="H4900" s="207"/>
      <c r="J4900" s="76"/>
    </row>
    <row r="4901" spans="1:10">
      <c r="A4901" s="172"/>
      <c r="D4901" s="56"/>
      <c r="E4901" s="204"/>
      <c r="F4901" s="205"/>
      <c r="G4901" s="206"/>
      <c r="H4901" s="207"/>
      <c r="J4901" s="76"/>
    </row>
    <row r="4902" spans="1:10">
      <c r="A4902" s="172"/>
      <c r="D4902" s="56"/>
      <c r="E4902" s="204"/>
      <c r="F4902" s="205"/>
      <c r="G4902" s="206"/>
      <c r="H4902" s="207"/>
      <c r="J4902" s="76"/>
    </row>
    <row r="4903" spans="1:10">
      <c r="A4903" s="172"/>
      <c r="D4903" s="56"/>
      <c r="E4903" s="204"/>
      <c r="F4903" s="205"/>
      <c r="G4903" s="206"/>
      <c r="H4903" s="207"/>
      <c r="J4903" s="76"/>
    </row>
    <row r="4904" spans="1:10">
      <c r="A4904" s="172"/>
      <c r="D4904" s="56"/>
      <c r="E4904" s="204"/>
      <c r="F4904" s="205"/>
      <c r="G4904" s="206"/>
      <c r="H4904" s="207"/>
      <c r="J4904" s="76"/>
    </row>
    <row r="4905" spans="1:10">
      <c r="A4905" s="172"/>
      <c r="D4905" s="56"/>
      <c r="E4905" s="204"/>
      <c r="F4905" s="205"/>
      <c r="G4905" s="206"/>
      <c r="H4905" s="207"/>
      <c r="J4905" s="76"/>
    </row>
    <row r="4906" spans="1:10">
      <c r="A4906" s="172"/>
      <c r="D4906" s="56"/>
      <c r="E4906" s="204"/>
      <c r="F4906" s="205"/>
      <c r="G4906" s="206"/>
      <c r="H4906" s="207"/>
      <c r="J4906" s="76"/>
    </row>
    <row r="4907" spans="1:10">
      <c r="A4907" s="172"/>
      <c r="D4907" s="56"/>
      <c r="E4907" s="204"/>
      <c r="F4907" s="205"/>
      <c r="G4907" s="206"/>
      <c r="H4907" s="207"/>
      <c r="J4907" s="76"/>
    </row>
    <row r="4908" spans="1:10">
      <c r="A4908" s="172"/>
      <c r="D4908" s="56"/>
      <c r="E4908" s="204"/>
      <c r="F4908" s="205"/>
      <c r="G4908" s="206"/>
      <c r="H4908" s="207"/>
      <c r="J4908" s="76"/>
    </row>
    <row r="4909" spans="1:10">
      <c r="A4909" s="172"/>
      <c r="D4909" s="56"/>
      <c r="E4909" s="204"/>
      <c r="F4909" s="205"/>
      <c r="G4909" s="206"/>
      <c r="H4909" s="207"/>
      <c r="J4909" s="76"/>
    </row>
    <row r="4910" spans="1:10">
      <c r="A4910" s="172"/>
      <c r="D4910" s="56"/>
      <c r="E4910" s="204"/>
      <c r="F4910" s="205"/>
      <c r="G4910" s="206"/>
      <c r="H4910" s="207"/>
      <c r="J4910" s="76"/>
    </row>
    <row r="4911" spans="1:10">
      <c r="A4911" s="172"/>
      <c r="D4911" s="56"/>
      <c r="E4911" s="204"/>
      <c r="F4911" s="205"/>
      <c r="G4911" s="206"/>
      <c r="H4911" s="207"/>
      <c r="J4911" s="76"/>
    </row>
    <row r="4912" spans="1:10">
      <c r="A4912" s="172"/>
      <c r="D4912" s="56"/>
      <c r="E4912" s="204"/>
      <c r="F4912" s="205"/>
      <c r="G4912" s="206"/>
      <c r="H4912" s="207"/>
      <c r="J4912" s="76"/>
    </row>
    <row r="4913" spans="1:10">
      <c r="A4913" s="172"/>
      <c r="D4913" s="56"/>
      <c r="E4913" s="204"/>
      <c r="F4913" s="205"/>
      <c r="G4913" s="206"/>
      <c r="H4913" s="207"/>
      <c r="J4913" s="76"/>
    </row>
    <row r="4914" spans="1:10">
      <c r="A4914" s="172"/>
      <c r="D4914" s="56"/>
      <c r="E4914" s="204"/>
      <c r="F4914" s="205"/>
      <c r="G4914" s="206"/>
      <c r="H4914" s="207"/>
      <c r="J4914" s="76"/>
    </row>
    <row r="4915" spans="1:10">
      <c r="A4915" s="172"/>
      <c r="D4915" s="56"/>
      <c r="E4915" s="204"/>
      <c r="F4915" s="205"/>
      <c r="G4915" s="206"/>
      <c r="H4915" s="207"/>
      <c r="J4915" s="76"/>
    </row>
    <row r="4916" spans="1:10">
      <c r="A4916" s="172"/>
      <c r="D4916" s="56"/>
      <c r="E4916" s="204"/>
      <c r="F4916" s="205"/>
      <c r="G4916" s="206"/>
      <c r="H4916" s="207"/>
      <c r="J4916" s="76"/>
    </row>
    <row r="4917" spans="1:10">
      <c r="A4917" s="172"/>
      <c r="D4917" s="56"/>
      <c r="E4917" s="204"/>
      <c r="F4917" s="205"/>
      <c r="G4917" s="206"/>
      <c r="H4917" s="207"/>
      <c r="J4917" s="76"/>
    </row>
    <row r="4918" spans="1:10">
      <c r="A4918" s="172"/>
      <c r="D4918" s="56"/>
      <c r="E4918" s="204"/>
      <c r="F4918" s="205"/>
      <c r="G4918" s="206"/>
      <c r="H4918" s="207"/>
      <c r="J4918" s="76"/>
    </row>
    <row r="4919" spans="1:10">
      <c r="A4919" s="172"/>
      <c r="D4919" s="56"/>
      <c r="E4919" s="204"/>
      <c r="F4919" s="205"/>
      <c r="G4919" s="206"/>
      <c r="H4919" s="207"/>
      <c r="J4919" s="76"/>
    </row>
    <row r="4920" spans="1:10">
      <c r="A4920" s="172"/>
      <c r="D4920" s="56"/>
      <c r="E4920" s="204"/>
      <c r="F4920" s="205"/>
      <c r="G4920" s="206"/>
      <c r="H4920" s="207"/>
      <c r="J4920" s="76"/>
    </row>
    <row r="4921" spans="1:10">
      <c r="A4921" s="172"/>
      <c r="D4921" s="56"/>
      <c r="E4921" s="204"/>
      <c r="F4921" s="205"/>
      <c r="G4921" s="206"/>
      <c r="H4921" s="207"/>
      <c r="J4921" s="76"/>
    </row>
    <row r="4922" spans="1:10">
      <c r="A4922" s="172"/>
      <c r="D4922" s="56"/>
      <c r="E4922" s="204"/>
      <c r="F4922" s="205"/>
      <c r="G4922" s="206"/>
      <c r="H4922" s="207"/>
      <c r="J4922" s="76"/>
    </row>
    <row r="4923" spans="1:10">
      <c r="A4923" s="172"/>
      <c r="D4923" s="56"/>
      <c r="E4923" s="204"/>
      <c r="F4923" s="205"/>
      <c r="G4923" s="206"/>
      <c r="H4923" s="207"/>
      <c r="J4923" s="76"/>
    </row>
    <row r="4924" spans="1:10">
      <c r="A4924" s="172"/>
      <c r="D4924" s="56"/>
      <c r="E4924" s="204"/>
      <c r="F4924" s="205"/>
      <c r="G4924" s="206"/>
      <c r="H4924" s="207"/>
      <c r="J4924" s="76"/>
    </row>
    <row r="4925" spans="1:10">
      <c r="A4925" s="172"/>
      <c r="D4925" s="56"/>
      <c r="E4925" s="204"/>
      <c r="F4925" s="205"/>
      <c r="G4925" s="206"/>
      <c r="H4925" s="207"/>
      <c r="J4925" s="76"/>
    </row>
    <row r="4926" spans="1:10">
      <c r="A4926" s="172"/>
      <c r="D4926" s="56"/>
      <c r="E4926" s="204"/>
      <c r="F4926" s="205"/>
      <c r="G4926" s="206"/>
      <c r="H4926" s="207"/>
      <c r="J4926" s="76"/>
    </row>
    <row r="4927" spans="1:10">
      <c r="A4927" s="172"/>
      <c r="D4927" s="56"/>
      <c r="E4927" s="204"/>
      <c r="F4927" s="205"/>
      <c r="G4927" s="206"/>
      <c r="H4927" s="207"/>
      <c r="J4927" s="76"/>
    </row>
    <row r="4928" spans="1:10">
      <c r="A4928" s="172"/>
      <c r="D4928" s="56"/>
      <c r="E4928" s="204"/>
      <c r="F4928" s="205"/>
      <c r="G4928" s="206"/>
      <c r="H4928" s="207"/>
      <c r="J4928" s="76"/>
    </row>
    <row r="4929" spans="1:10">
      <c r="A4929" s="172"/>
      <c r="D4929" s="56"/>
      <c r="E4929" s="204"/>
      <c r="F4929" s="205"/>
      <c r="G4929" s="206"/>
      <c r="H4929" s="207"/>
      <c r="J4929" s="76"/>
    </row>
    <row r="4930" spans="1:10">
      <c r="A4930" s="172"/>
      <c r="D4930" s="56"/>
      <c r="E4930" s="204"/>
      <c r="F4930" s="205"/>
      <c r="G4930" s="206"/>
      <c r="H4930" s="207"/>
      <c r="J4930" s="76"/>
    </row>
    <row r="4931" spans="1:10">
      <c r="A4931" s="172"/>
      <c r="D4931" s="56"/>
      <c r="E4931" s="204"/>
      <c r="F4931" s="205"/>
      <c r="G4931" s="206"/>
      <c r="H4931" s="207"/>
      <c r="J4931" s="76"/>
    </row>
    <row r="4932" spans="1:10">
      <c r="A4932" s="172"/>
      <c r="D4932" s="56"/>
      <c r="E4932" s="204"/>
      <c r="F4932" s="205"/>
      <c r="G4932" s="206"/>
      <c r="H4932" s="207"/>
      <c r="J4932" s="76"/>
    </row>
    <row r="4933" spans="1:10">
      <c r="A4933" s="172"/>
      <c r="D4933" s="56"/>
      <c r="E4933" s="204"/>
      <c r="F4933" s="205"/>
      <c r="G4933" s="206"/>
      <c r="H4933" s="207"/>
      <c r="J4933" s="76"/>
    </row>
    <row r="4934" spans="1:10">
      <c r="A4934" s="172"/>
      <c r="D4934" s="56"/>
      <c r="E4934" s="204"/>
      <c r="F4934" s="205"/>
      <c r="G4934" s="206"/>
      <c r="H4934" s="207"/>
      <c r="J4934" s="76"/>
    </row>
    <row r="4935" spans="1:10">
      <c r="A4935" s="172"/>
      <c r="D4935" s="56"/>
      <c r="E4935" s="204"/>
      <c r="F4935" s="205"/>
      <c r="G4935" s="206"/>
      <c r="H4935" s="207"/>
      <c r="J4935" s="76"/>
    </row>
    <row r="4936" spans="1:10">
      <c r="A4936" s="172"/>
      <c r="D4936" s="56"/>
      <c r="E4936" s="204"/>
      <c r="F4936" s="205"/>
      <c r="G4936" s="206"/>
      <c r="H4936" s="207"/>
      <c r="J4936" s="76"/>
    </row>
    <row r="4937" spans="1:10">
      <c r="A4937" s="172"/>
      <c r="D4937" s="56"/>
      <c r="E4937" s="204"/>
      <c r="F4937" s="205"/>
      <c r="G4937" s="206"/>
      <c r="H4937" s="207"/>
      <c r="J4937" s="76"/>
    </row>
    <row r="4938" spans="1:10">
      <c r="A4938" s="172"/>
      <c r="D4938" s="56"/>
      <c r="E4938" s="204"/>
      <c r="F4938" s="205"/>
      <c r="G4938" s="206"/>
      <c r="H4938" s="207"/>
      <c r="J4938" s="76"/>
    </row>
    <row r="4939" spans="1:10">
      <c r="A4939" s="172"/>
      <c r="D4939" s="56"/>
      <c r="E4939" s="204"/>
      <c r="F4939" s="205"/>
      <c r="G4939" s="206"/>
      <c r="H4939" s="207"/>
      <c r="J4939" s="76"/>
    </row>
    <row r="4940" spans="1:10">
      <c r="A4940" s="172"/>
      <c r="D4940" s="56"/>
      <c r="E4940" s="204"/>
      <c r="F4940" s="205"/>
      <c r="G4940" s="206"/>
      <c r="H4940" s="207"/>
      <c r="J4940" s="76"/>
    </row>
    <row r="4941" spans="1:10">
      <c r="A4941" s="172"/>
      <c r="D4941" s="56"/>
      <c r="E4941" s="204"/>
      <c r="F4941" s="205"/>
      <c r="G4941" s="206"/>
      <c r="H4941" s="207"/>
      <c r="J4941" s="76"/>
    </row>
    <row r="4942" spans="1:10">
      <c r="A4942" s="172"/>
      <c r="D4942" s="56"/>
      <c r="E4942" s="204"/>
      <c r="F4942" s="205"/>
      <c r="G4942" s="206"/>
      <c r="H4942" s="207"/>
      <c r="J4942" s="76"/>
    </row>
    <row r="4943" spans="1:10">
      <c r="A4943" s="172"/>
      <c r="D4943" s="56"/>
      <c r="E4943" s="204"/>
      <c r="F4943" s="205"/>
      <c r="G4943" s="206"/>
      <c r="H4943" s="207"/>
      <c r="J4943" s="76"/>
    </row>
    <row r="4944" spans="1:10">
      <c r="A4944" s="172"/>
      <c r="D4944" s="56"/>
      <c r="E4944" s="204"/>
      <c r="F4944" s="205"/>
      <c r="G4944" s="206"/>
      <c r="H4944" s="207"/>
      <c r="J4944" s="76"/>
    </row>
    <row r="4945" spans="1:10">
      <c r="A4945" s="172"/>
      <c r="D4945" s="56"/>
      <c r="E4945" s="204"/>
      <c r="F4945" s="205"/>
      <c r="G4945" s="206"/>
      <c r="H4945" s="207"/>
      <c r="J4945" s="76"/>
    </row>
    <row r="4946" spans="1:10">
      <c r="A4946" s="172"/>
      <c r="D4946" s="56"/>
      <c r="E4946" s="204"/>
      <c r="F4946" s="205"/>
      <c r="G4946" s="206"/>
      <c r="H4946" s="207"/>
      <c r="J4946" s="76"/>
    </row>
    <row r="4947" spans="1:10">
      <c r="A4947" s="172"/>
      <c r="D4947" s="56"/>
      <c r="E4947" s="204"/>
      <c r="F4947" s="205"/>
      <c r="G4947" s="206"/>
      <c r="H4947" s="207"/>
      <c r="J4947" s="76"/>
    </row>
    <row r="4948" spans="1:10">
      <c r="A4948" s="172"/>
      <c r="D4948" s="56"/>
      <c r="E4948" s="204"/>
      <c r="F4948" s="205"/>
      <c r="G4948" s="206"/>
      <c r="H4948" s="207"/>
      <c r="J4948" s="76"/>
    </row>
    <row r="4949" spans="1:10">
      <c r="A4949" s="172"/>
      <c r="D4949" s="56"/>
      <c r="E4949" s="204"/>
      <c r="F4949" s="205"/>
      <c r="G4949" s="206"/>
      <c r="H4949" s="207"/>
      <c r="J4949" s="76"/>
    </row>
    <row r="4950" spans="1:10">
      <c r="A4950" s="172"/>
      <c r="D4950" s="56"/>
      <c r="E4950" s="204"/>
      <c r="F4950" s="205"/>
      <c r="G4950" s="206"/>
      <c r="H4950" s="207"/>
      <c r="J4950" s="76"/>
    </row>
    <row r="4951" spans="1:10">
      <c r="A4951" s="172"/>
      <c r="D4951" s="56"/>
      <c r="E4951" s="204"/>
      <c r="F4951" s="205"/>
      <c r="G4951" s="206"/>
      <c r="H4951" s="207"/>
      <c r="J4951" s="76"/>
    </row>
    <row r="4952" spans="1:10">
      <c r="A4952" s="172"/>
      <c r="D4952" s="56"/>
      <c r="E4952" s="204"/>
      <c r="F4952" s="205"/>
      <c r="G4952" s="206"/>
      <c r="H4952" s="207"/>
      <c r="J4952" s="76"/>
    </row>
    <row r="4953" spans="1:10">
      <c r="A4953" s="172"/>
      <c r="D4953" s="56"/>
      <c r="E4953" s="204"/>
      <c r="F4953" s="205"/>
      <c r="G4953" s="206"/>
      <c r="H4953" s="207"/>
      <c r="J4953" s="76"/>
    </row>
    <row r="4954" spans="1:10">
      <c r="A4954" s="172"/>
      <c r="D4954" s="56"/>
      <c r="E4954" s="204"/>
      <c r="F4954" s="205"/>
      <c r="G4954" s="206"/>
      <c r="H4954" s="207"/>
      <c r="J4954" s="76"/>
    </row>
    <row r="4955" spans="1:10">
      <c r="A4955" s="172"/>
      <c r="D4955" s="56"/>
      <c r="E4955" s="204"/>
      <c r="F4955" s="205"/>
      <c r="G4955" s="206"/>
      <c r="H4955" s="207"/>
      <c r="J4955" s="76"/>
    </row>
    <row r="4956" spans="1:10">
      <c r="A4956" s="172"/>
      <c r="D4956" s="56"/>
      <c r="E4956" s="204"/>
      <c r="F4956" s="205"/>
      <c r="G4956" s="206"/>
      <c r="H4956" s="207"/>
      <c r="J4956" s="76"/>
    </row>
    <row r="4957" spans="1:10">
      <c r="A4957" s="172"/>
      <c r="D4957" s="56"/>
      <c r="E4957" s="204"/>
      <c r="F4957" s="205"/>
      <c r="G4957" s="206"/>
      <c r="H4957" s="207"/>
      <c r="J4957" s="76"/>
    </row>
    <row r="4958" spans="1:10">
      <c r="A4958" s="172"/>
      <c r="D4958" s="56"/>
      <c r="E4958" s="204"/>
      <c r="F4958" s="205"/>
      <c r="G4958" s="206"/>
      <c r="H4958" s="207"/>
      <c r="J4958" s="76"/>
    </row>
    <row r="4959" spans="1:10">
      <c r="A4959" s="172"/>
      <c r="D4959" s="56"/>
      <c r="E4959" s="204"/>
      <c r="F4959" s="205"/>
      <c r="G4959" s="206"/>
      <c r="H4959" s="207"/>
      <c r="J4959" s="76"/>
    </row>
    <row r="4960" spans="1:10">
      <c r="A4960" s="172"/>
      <c r="D4960" s="56"/>
      <c r="E4960" s="204"/>
      <c r="F4960" s="205"/>
      <c r="G4960" s="206"/>
      <c r="H4960" s="207"/>
      <c r="J4960" s="76"/>
    </row>
    <row r="4961" spans="1:10">
      <c r="A4961" s="172"/>
      <c r="D4961" s="56"/>
      <c r="E4961" s="204"/>
      <c r="F4961" s="205"/>
      <c r="G4961" s="206"/>
      <c r="H4961" s="207"/>
      <c r="J4961" s="76"/>
    </row>
    <row r="4962" spans="1:10">
      <c r="A4962" s="172"/>
      <c r="D4962" s="56"/>
      <c r="E4962" s="204"/>
      <c r="F4962" s="205"/>
      <c r="G4962" s="206"/>
      <c r="H4962" s="207"/>
      <c r="J4962" s="76"/>
    </row>
    <row r="4963" spans="1:10">
      <c r="A4963" s="172"/>
      <c r="D4963" s="56"/>
      <c r="E4963" s="204"/>
      <c r="F4963" s="205"/>
      <c r="G4963" s="206"/>
      <c r="H4963" s="207"/>
      <c r="J4963" s="76"/>
    </row>
    <row r="4964" spans="1:10">
      <c r="A4964" s="172"/>
      <c r="D4964" s="56"/>
      <c r="E4964" s="204"/>
      <c r="F4964" s="205"/>
      <c r="G4964" s="206"/>
      <c r="H4964" s="207"/>
      <c r="J4964" s="76"/>
    </row>
    <row r="4965" spans="1:10">
      <c r="A4965" s="172"/>
      <c r="D4965" s="56"/>
      <c r="E4965" s="204"/>
      <c r="F4965" s="205"/>
      <c r="G4965" s="206"/>
      <c r="H4965" s="207"/>
      <c r="J4965" s="76"/>
    </row>
    <row r="4966" spans="1:10">
      <c r="A4966" s="172"/>
      <c r="D4966" s="56"/>
      <c r="E4966" s="204"/>
      <c r="F4966" s="205"/>
      <c r="G4966" s="206"/>
      <c r="H4966" s="207"/>
      <c r="J4966" s="76"/>
    </row>
    <row r="4967" spans="1:10">
      <c r="A4967" s="172"/>
      <c r="D4967" s="56"/>
      <c r="E4967" s="204"/>
      <c r="F4967" s="205"/>
      <c r="G4967" s="206"/>
      <c r="H4967" s="207"/>
      <c r="J4967" s="76"/>
    </row>
    <row r="4968" spans="1:10">
      <c r="A4968" s="172"/>
      <c r="D4968" s="56"/>
      <c r="E4968" s="204"/>
      <c r="F4968" s="205"/>
      <c r="G4968" s="206"/>
      <c r="H4968" s="207"/>
      <c r="J4968" s="76"/>
    </row>
    <row r="4969" spans="1:10">
      <c r="A4969" s="172"/>
      <c r="D4969" s="56"/>
      <c r="E4969" s="204"/>
      <c r="F4969" s="205"/>
      <c r="G4969" s="206"/>
      <c r="H4969" s="207"/>
      <c r="J4969" s="76"/>
    </row>
    <row r="4970" spans="1:10">
      <c r="A4970" s="172"/>
      <c r="D4970" s="56"/>
      <c r="E4970" s="204"/>
      <c r="F4970" s="205"/>
      <c r="G4970" s="206"/>
      <c r="H4970" s="207"/>
      <c r="J4970" s="76"/>
    </row>
    <row r="4971" spans="1:10">
      <c r="A4971" s="172"/>
      <c r="D4971" s="56"/>
      <c r="E4971" s="204"/>
      <c r="F4971" s="205"/>
      <c r="G4971" s="206"/>
      <c r="H4971" s="207"/>
      <c r="J4971" s="76"/>
    </row>
    <row r="4972" spans="1:10">
      <c r="A4972" s="172"/>
      <c r="D4972" s="56"/>
      <c r="E4972" s="204"/>
      <c r="F4972" s="205"/>
      <c r="G4972" s="206"/>
      <c r="H4972" s="207"/>
      <c r="J4972" s="76"/>
    </row>
    <row r="4973" spans="1:10">
      <c r="A4973" s="172"/>
      <c r="D4973" s="56"/>
      <c r="E4973" s="204"/>
      <c r="F4973" s="205"/>
      <c r="G4973" s="206"/>
      <c r="H4973" s="207"/>
      <c r="J4973" s="76"/>
    </row>
    <row r="4974" spans="1:10">
      <c r="A4974" s="172"/>
      <c r="D4974" s="56"/>
      <c r="E4974" s="204"/>
      <c r="F4974" s="205"/>
      <c r="G4974" s="206"/>
      <c r="H4974" s="207"/>
      <c r="J4974" s="76"/>
    </row>
    <row r="4975" spans="1:10">
      <c r="A4975" s="172"/>
      <c r="D4975" s="56"/>
      <c r="E4975" s="204"/>
      <c r="F4975" s="205"/>
      <c r="G4975" s="206"/>
      <c r="H4975" s="207"/>
      <c r="J4975" s="76"/>
    </row>
    <row r="4976" spans="1:10">
      <c r="A4976" s="172"/>
      <c r="D4976" s="56"/>
      <c r="E4976" s="204"/>
      <c r="F4976" s="205"/>
      <c r="G4976" s="206"/>
      <c r="H4976" s="207"/>
      <c r="J4976" s="76"/>
    </row>
    <row r="4977" spans="1:10">
      <c r="A4977" s="172"/>
      <c r="D4977" s="56"/>
      <c r="E4977" s="204"/>
      <c r="F4977" s="205"/>
      <c r="G4977" s="206"/>
      <c r="H4977" s="207"/>
      <c r="J4977" s="76"/>
    </row>
    <row r="4978" spans="1:10">
      <c r="A4978" s="172"/>
      <c r="D4978" s="56"/>
      <c r="E4978" s="204"/>
      <c r="F4978" s="205"/>
      <c r="G4978" s="206"/>
      <c r="H4978" s="207"/>
      <c r="J4978" s="76"/>
    </row>
    <row r="4979" spans="1:10">
      <c r="A4979" s="172"/>
      <c r="D4979" s="56"/>
      <c r="E4979" s="204"/>
      <c r="F4979" s="205"/>
      <c r="G4979" s="206"/>
      <c r="H4979" s="207"/>
      <c r="J4979" s="76"/>
    </row>
    <row r="4980" spans="1:10">
      <c r="A4980" s="172"/>
      <c r="D4980" s="56"/>
      <c r="E4980" s="204"/>
      <c r="F4980" s="205"/>
      <c r="G4980" s="206"/>
      <c r="H4980" s="207"/>
      <c r="J4980" s="76"/>
    </row>
    <row r="4981" spans="1:10">
      <c r="A4981" s="172"/>
      <c r="D4981" s="56"/>
      <c r="E4981" s="204"/>
      <c r="F4981" s="205"/>
      <c r="G4981" s="206"/>
      <c r="H4981" s="207"/>
      <c r="J4981" s="76"/>
    </row>
    <row r="4982" spans="1:10">
      <c r="A4982" s="172"/>
      <c r="D4982" s="56"/>
      <c r="E4982" s="204"/>
      <c r="F4982" s="205"/>
      <c r="G4982" s="206"/>
      <c r="H4982" s="207"/>
      <c r="J4982" s="76"/>
    </row>
    <row r="4983" spans="1:10">
      <c r="A4983" s="172"/>
      <c r="D4983" s="56"/>
      <c r="E4983" s="204"/>
      <c r="F4983" s="205"/>
      <c r="G4983" s="206"/>
      <c r="H4983" s="207"/>
      <c r="J4983" s="76"/>
    </row>
    <row r="4984" spans="1:10">
      <c r="A4984" s="172"/>
      <c r="D4984" s="56"/>
      <c r="E4984" s="204"/>
      <c r="F4984" s="205"/>
      <c r="G4984" s="206"/>
      <c r="H4984" s="207"/>
      <c r="J4984" s="76"/>
    </row>
    <row r="4985" spans="1:10">
      <c r="A4985" s="172"/>
      <c r="D4985" s="56"/>
      <c r="E4985" s="204"/>
      <c r="F4985" s="205"/>
      <c r="G4985" s="206"/>
      <c r="H4985" s="207"/>
      <c r="J4985" s="76"/>
    </row>
    <row r="4986" spans="1:10">
      <c r="A4986" s="172"/>
      <c r="D4986" s="56"/>
      <c r="E4986" s="204"/>
      <c r="F4986" s="205"/>
      <c r="G4986" s="206"/>
      <c r="H4986" s="207"/>
      <c r="J4986" s="76"/>
    </row>
    <row r="4987" spans="1:10">
      <c r="A4987" s="172"/>
      <c r="D4987" s="56"/>
      <c r="E4987" s="204"/>
      <c r="F4987" s="205"/>
      <c r="G4987" s="206"/>
      <c r="H4987" s="207"/>
      <c r="J4987" s="76"/>
    </row>
    <row r="4988" spans="1:10">
      <c r="A4988" s="172"/>
      <c r="D4988" s="56"/>
      <c r="E4988" s="204"/>
      <c r="F4988" s="205"/>
      <c r="G4988" s="206"/>
      <c r="H4988" s="207"/>
      <c r="J4988" s="76"/>
    </row>
    <row r="4989" spans="1:10">
      <c r="A4989" s="172"/>
      <c r="D4989" s="56"/>
      <c r="E4989" s="204"/>
      <c r="F4989" s="205"/>
      <c r="G4989" s="206"/>
      <c r="H4989" s="207"/>
      <c r="J4989" s="76"/>
    </row>
    <row r="4990" spans="1:10">
      <c r="A4990" s="172"/>
      <c r="D4990" s="56"/>
      <c r="E4990" s="204"/>
      <c r="F4990" s="205"/>
      <c r="G4990" s="206"/>
      <c r="H4990" s="207"/>
      <c r="J4990" s="76"/>
    </row>
    <row r="4991" spans="1:10">
      <c r="A4991" s="172"/>
      <c r="D4991" s="56"/>
      <c r="E4991" s="204"/>
      <c r="F4991" s="205"/>
      <c r="G4991" s="206"/>
      <c r="H4991" s="207"/>
      <c r="J4991" s="76"/>
    </row>
    <row r="4992" spans="1:10">
      <c r="A4992" s="172"/>
      <c r="D4992" s="56"/>
      <c r="E4992" s="204"/>
      <c r="F4992" s="205"/>
      <c r="G4992" s="206"/>
      <c r="H4992" s="207"/>
      <c r="J4992" s="76"/>
    </row>
    <row r="4993" spans="1:10">
      <c r="A4993" s="172"/>
      <c r="D4993" s="56"/>
      <c r="E4993" s="204"/>
      <c r="F4993" s="205"/>
      <c r="G4993" s="206"/>
      <c r="H4993" s="207"/>
      <c r="J4993" s="76"/>
    </row>
    <row r="4994" spans="1:10">
      <c r="A4994" s="172"/>
      <c r="D4994" s="56"/>
      <c r="E4994" s="204"/>
      <c r="F4994" s="205"/>
      <c r="G4994" s="206"/>
      <c r="H4994" s="207"/>
      <c r="J4994" s="76"/>
    </row>
    <row r="4995" spans="1:10">
      <c r="A4995" s="172"/>
      <c r="D4995" s="56"/>
      <c r="E4995" s="204"/>
      <c r="F4995" s="205"/>
      <c r="G4995" s="206"/>
      <c r="H4995" s="207"/>
      <c r="J4995" s="76"/>
    </row>
    <row r="4996" spans="1:10">
      <c r="A4996" s="172"/>
      <c r="D4996" s="56"/>
      <c r="E4996" s="204"/>
      <c r="F4996" s="205"/>
      <c r="G4996" s="206"/>
      <c r="H4996" s="207"/>
      <c r="J4996" s="76"/>
    </row>
    <row r="4997" spans="1:10">
      <c r="A4997" s="172"/>
      <c r="D4997" s="56"/>
      <c r="E4997" s="204"/>
      <c r="F4997" s="205"/>
      <c r="G4997" s="206"/>
      <c r="H4997" s="207"/>
      <c r="J4997" s="76"/>
    </row>
    <row r="4998" spans="1:10">
      <c r="A4998" s="172"/>
      <c r="D4998" s="56"/>
      <c r="E4998" s="204"/>
      <c r="F4998" s="205"/>
      <c r="G4998" s="206"/>
      <c r="H4998" s="207"/>
      <c r="J4998" s="76"/>
    </row>
    <row r="4999" spans="1:10">
      <c r="A4999" s="172"/>
      <c r="D4999" s="56"/>
      <c r="E4999" s="204"/>
      <c r="F4999" s="205"/>
      <c r="G4999" s="206"/>
      <c r="H4999" s="207"/>
      <c r="J4999" s="76"/>
    </row>
    <row r="5000" spans="1:10">
      <c r="A5000" s="172"/>
      <c r="D5000" s="56"/>
      <c r="E5000" s="204"/>
      <c r="F5000" s="205"/>
      <c r="G5000" s="206"/>
      <c r="H5000" s="207"/>
      <c r="J5000" s="76"/>
    </row>
    <row r="5001" spans="1:10">
      <c r="A5001" s="172"/>
      <c r="D5001" s="56"/>
      <c r="E5001" s="204"/>
      <c r="F5001" s="205"/>
      <c r="G5001" s="206"/>
      <c r="H5001" s="207"/>
      <c r="J5001" s="76"/>
    </row>
    <row r="5002" spans="1:10">
      <c r="A5002" s="172"/>
      <c r="D5002" s="56"/>
      <c r="E5002" s="204"/>
      <c r="F5002" s="205"/>
      <c r="G5002" s="206"/>
      <c r="H5002" s="207"/>
      <c r="J5002" s="76"/>
    </row>
    <row r="5003" spans="1:10">
      <c r="A5003" s="172"/>
      <c r="D5003" s="56"/>
      <c r="E5003" s="204"/>
      <c r="F5003" s="205"/>
      <c r="G5003" s="206"/>
      <c r="H5003" s="207"/>
      <c r="J5003" s="76"/>
    </row>
    <row r="5004" spans="1:10">
      <c r="A5004" s="172"/>
      <c r="D5004" s="56"/>
      <c r="E5004" s="204"/>
      <c r="F5004" s="205"/>
      <c r="G5004" s="206"/>
      <c r="H5004" s="207"/>
      <c r="J5004" s="76"/>
    </row>
    <row r="5005" spans="1:10">
      <c r="A5005" s="172"/>
      <c r="D5005" s="56"/>
      <c r="E5005" s="204"/>
      <c r="F5005" s="205"/>
      <c r="G5005" s="206"/>
      <c r="H5005" s="207"/>
      <c r="J5005" s="76"/>
    </row>
    <row r="5006" spans="1:10">
      <c r="A5006" s="172"/>
      <c r="D5006" s="56"/>
      <c r="E5006" s="204"/>
      <c r="F5006" s="205"/>
      <c r="G5006" s="206"/>
      <c r="H5006" s="207"/>
      <c r="J5006" s="76"/>
    </row>
    <row r="5007" spans="1:10">
      <c r="A5007" s="172"/>
      <c r="D5007" s="56"/>
      <c r="E5007" s="204"/>
      <c r="F5007" s="205"/>
      <c r="G5007" s="206"/>
      <c r="H5007" s="207"/>
      <c r="J5007" s="76"/>
    </row>
    <row r="5008" spans="1:10">
      <c r="A5008" s="172"/>
      <c r="D5008" s="56"/>
      <c r="E5008" s="204"/>
      <c r="F5008" s="205"/>
      <c r="G5008" s="206"/>
      <c r="H5008" s="207"/>
      <c r="J5008" s="76"/>
    </row>
    <row r="5009" spans="1:10">
      <c r="A5009" s="172"/>
      <c r="D5009" s="56"/>
      <c r="E5009" s="204"/>
      <c r="F5009" s="205"/>
      <c r="G5009" s="206"/>
      <c r="H5009" s="207"/>
      <c r="J5009" s="76"/>
    </row>
    <row r="5010" spans="1:10">
      <c r="A5010" s="172"/>
      <c r="D5010" s="56"/>
      <c r="E5010" s="204"/>
      <c r="F5010" s="205"/>
      <c r="G5010" s="206"/>
      <c r="H5010" s="207"/>
      <c r="J5010" s="76"/>
    </row>
    <row r="5011" spans="1:10">
      <c r="A5011" s="172"/>
      <c r="D5011" s="56"/>
      <c r="E5011" s="204"/>
      <c r="F5011" s="205"/>
      <c r="G5011" s="206"/>
      <c r="H5011" s="207"/>
      <c r="J5011" s="76"/>
    </row>
    <row r="5012" spans="1:10">
      <c r="A5012" s="172"/>
      <c r="D5012" s="56"/>
      <c r="E5012" s="204"/>
      <c r="F5012" s="205"/>
      <c r="G5012" s="206"/>
      <c r="H5012" s="207"/>
      <c r="J5012" s="76"/>
    </row>
    <row r="5013" spans="1:10">
      <c r="A5013" s="172"/>
      <c r="D5013" s="56"/>
      <c r="E5013" s="204"/>
      <c r="F5013" s="205"/>
      <c r="G5013" s="206"/>
      <c r="H5013" s="207"/>
      <c r="J5013" s="76"/>
    </row>
    <row r="5014" spans="1:10">
      <c r="A5014" s="172"/>
      <c r="D5014" s="56"/>
      <c r="E5014" s="204"/>
      <c r="F5014" s="205"/>
      <c r="G5014" s="206"/>
      <c r="H5014" s="207"/>
      <c r="J5014" s="76"/>
    </row>
    <row r="5015" spans="1:10">
      <c r="A5015" s="172"/>
      <c r="D5015" s="56"/>
      <c r="E5015" s="204"/>
      <c r="F5015" s="205"/>
      <c r="G5015" s="206"/>
      <c r="H5015" s="207"/>
      <c r="J5015" s="76"/>
    </row>
    <row r="5016" spans="1:10">
      <c r="A5016" s="172"/>
      <c r="D5016" s="56"/>
      <c r="E5016" s="204"/>
      <c r="F5016" s="205"/>
      <c r="G5016" s="206"/>
      <c r="H5016" s="207"/>
      <c r="J5016" s="76"/>
    </row>
    <row r="5017" spans="1:10">
      <c r="A5017" s="172"/>
      <c r="D5017" s="56"/>
      <c r="E5017" s="204"/>
      <c r="F5017" s="205"/>
      <c r="G5017" s="206"/>
      <c r="H5017" s="207"/>
      <c r="J5017" s="76"/>
    </row>
    <row r="5018" spans="1:10">
      <c r="A5018" s="172"/>
      <c r="D5018" s="56"/>
      <c r="E5018" s="204"/>
      <c r="F5018" s="205"/>
      <c r="G5018" s="206"/>
      <c r="H5018" s="207"/>
      <c r="J5018" s="76"/>
    </row>
    <row r="5019" spans="1:10">
      <c r="A5019" s="172"/>
      <c r="D5019" s="56"/>
      <c r="E5019" s="204"/>
      <c r="F5019" s="205"/>
      <c r="G5019" s="206"/>
      <c r="H5019" s="207"/>
      <c r="J5019" s="76"/>
    </row>
    <row r="5020" spans="1:10">
      <c r="A5020" s="172"/>
      <c r="D5020" s="56"/>
      <c r="E5020" s="204"/>
      <c r="F5020" s="205"/>
      <c r="G5020" s="206"/>
      <c r="H5020" s="207"/>
      <c r="J5020" s="76"/>
    </row>
    <row r="5021" spans="1:10">
      <c r="A5021" s="172"/>
      <c r="D5021" s="56"/>
      <c r="E5021" s="204"/>
      <c r="F5021" s="205"/>
      <c r="G5021" s="206"/>
      <c r="H5021" s="207"/>
      <c r="J5021" s="76"/>
    </row>
    <row r="5022" spans="1:10">
      <c r="A5022" s="172"/>
      <c r="D5022" s="56"/>
      <c r="E5022" s="204"/>
      <c r="F5022" s="205"/>
      <c r="G5022" s="206"/>
      <c r="H5022" s="207"/>
      <c r="J5022" s="76"/>
    </row>
    <row r="5023" spans="1:10">
      <c r="A5023" s="172"/>
      <c r="D5023" s="56"/>
      <c r="E5023" s="204"/>
      <c r="F5023" s="205"/>
      <c r="G5023" s="206"/>
      <c r="H5023" s="207"/>
      <c r="J5023" s="76"/>
    </row>
    <row r="5024" spans="1:10">
      <c r="A5024" s="172"/>
      <c r="D5024" s="56"/>
      <c r="E5024" s="204"/>
      <c r="F5024" s="205"/>
      <c r="G5024" s="206"/>
      <c r="H5024" s="207"/>
      <c r="J5024" s="76"/>
    </row>
    <row r="5025" spans="1:10">
      <c r="A5025" s="172"/>
      <c r="D5025" s="56"/>
      <c r="E5025" s="204"/>
      <c r="F5025" s="205"/>
      <c r="G5025" s="206"/>
      <c r="H5025" s="207"/>
      <c r="J5025" s="76"/>
    </row>
    <row r="5026" spans="1:10">
      <c r="A5026" s="172"/>
      <c r="D5026" s="56"/>
      <c r="E5026" s="204"/>
      <c r="F5026" s="205"/>
      <c r="G5026" s="206"/>
      <c r="H5026" s="207"/>
      <c r="J5026" s="76"/>
    </row>
    <row r="5027" spans="1:10">
      <c r="A5027" s="172"/>
      <c r="D5027" s="56"/>
      <c r="E5027" s="204"/>
      <c r="F5027" s="205"/>
      <c r="G5027" s="206"/>
      <c r="H5027" s="207"/>
      <c r="J5027" s="76"/>
    </row>
    <row r="5028" spans="1:10">
      <c r="A5028" s="172"/>
      <c r="D5028" s="56"/>
      <c r="E5028" s="204"/>
      <c r="F5028" s="205"/>
      <c r="G5028" s="206"/>
      <c r="H5028" s="207"/>
      <c r="J5028" s="76"/>
    </row>
    <row r="5029" spans="1:10">
      <c r="A5029" s="172"/>
      <c r="D5029" s="56"/>
      <c r="E5029" s="204"/>
      <c r="F5029" s="205"/>
      <c r="G5029" s="206"/>
      <c r="H5029" s="207"/>
      <c r="J5029" s="76"/>
    </row>
    <row r="5030" spans="1:10">
      <c r="A5030" s="172"/>
      <c r="D5030" s="56"/>
      <c r="E5030" s="204"/>
      <c r="F5030" s="205"/>
      <c r="G5030" s="206"/>
      <c r="H5030" s="207"/>
      <c r="J5030" s="76"/>
    </row>
    <row r="5031" spans="1:10">
      <c r="A5031" s="172"/>
      <c r="D5031" s="56"/>
      <c r="E5031" s="204"/>
      <c r="F5031" s="205"/>
      <c r="G5031" s="206"/>
      <c r="H5031" s="207"/>
      <c r="J5031" s="76"/>
    </row>
    <row r="5032" spans="1:10">
      <c r="A5032" s="172"/>
      <c r="D5032" s="56"/>
      <c r="E5032" s="204"/>
      <c r="F5032" s="205"/>
      <c r="G5032" s="206"/>
      <c r="H5032" s="207"/>
      <c r="J5032" s="76"/>
    </row>
    <row r="5033" spans="1:10">
      <c r="A5033" s="172"/>
      <c r="D5033" s="56"/>
      <c r="E5033" s="204"/>
      <c r="F5033" s="205"/>
      <c r="G5033" s="206"/>
      <c r="H5033" s="207"/>
      <c r="J5033" s="76"/>
    </row>
    <row r="5034" spans="1:10">
      <c r="A5034" s="172"/>
      <c r="D5034" s="56"/>
      <c r="E5034" s="204"/>
      <c r="F5034" s="205"/>
      <c r="G5034" s="206"/>
      <c r="H5034" s="207"/>
      <c r="J5034" s="76"/>
    </row>
    <row r="5035" spans="1:10">
      <c r="A5035" s="172"/>
      <c r="D5035" s="56"/>
      <c r="E5035" s="204"/>
      <c r="F5035" s="205"/>
      <c r="G5035" s="206"/>
      <c r="H5035" s="207"/>
      <c r="J5035" s="76"/>
    </row>
    <row r="5036" spans="1:10">
      <c r="A5036" s="172"/>
      <c r="D5036" s="56"/>
      <c r="E5036" s="204"/>
      <c r="F5036" s="205"/>
      <c r="G5036" s="206"/>
      <c r="H5036" s="207"/>
      <c r="J5036" s="76"/>
    </row>
    <row r="5037" spans="1:10">
      <c r="A5037" s="172"/>
      <c r="D5037" s="56"/>
      <c r="E5037" s="204"/>
      <c r="F5037" s="205"/>
      <c r="G5037" s="206"/>
      <c r="H5037" s="207"/>
      <c r="J5037" s="76"/>
    </row>
    <row r="5038" spans="1:10">
      <c r="A5038" s="172"/>
      <c r="D5038" s="56"/>
      <c r="E5038" s="204"/>
      <c r="F5038" s="205"/>
      <c r="G5038" s="206"/>
      <c r="H5038" s="207"/>
      <c r="J5038" s="76"/>
    </row>
    <row r="5039" spans="1:10">
      <c r="A5039" s="172"/>
      <c r="D5039" s="56"/>
      <c r="E5039" s="204"/>
      <c r="F5039" s="205"/>
      <c r="G5039" s="206"/>
      <c r="H5039" s="207"/>
      <c r="J5039" s="76"/>
    </row>
    <row r="5040" spans="1:10">
      <c r="A5040" s="172"/>
      <c r="D5040" s="56"/>
      <c r="E5040" s="204"/>
      <c r="F5040" s="205"/>
      <c r="G5040" s="206"/>
      <c r="H5040" s="207"/>
      <c r="J5040" s="76"/>
    </row>
    <row r="5041" spans="1:10">
      <c r="A5041" s="172"/>
      <c r="D5041" s="56"/>
      <c r="E5041" s="204"/>
      <c r="F5041" s="205"/>
      <c r="G5041" s="206"/>
      <c r="H5041" s="207"/>
      <c r="J5041" s="76"/>
    </row>
    <row r="5042" spans="1:10">
      <c r="A5042" s="172"/>
      <c r="D5042" s="56"/>
      <c r="E5042" s="204"/>
      <c r="F5042" s="205"/>
      <c r="G5042" s="206"/>
      <c r="H5042" s="207"/>
      <c r="J5042" s="76"/>
    </row>
    <row r="5043" spans="1:10">
      <c r="A5043" s="172"/>
      <c r="D5043" s="56"/>
      <c r="E5043" s="204"/>
      <c r="F5043" s="205"/>
      <c r="G5043" s="206"/>
      <c r="H5043" s="207"/>
      <c r="J5043" s="76"/>
    </row>
    <row r="5044" spans="1:10">
      <c r="A5044" s="172"/>
      <c r="D5044" s="56"/>
      <c r="E5044" s="204"/>
      <c r="F5044" s="205"/>
      <c r="G5044" s="206"/>
      <c r="H5044" s="207"/>
      <c r="J5044" s="76"/>
    </row>
    <row r="5045" spans="1:10">
      <c r="A5045" s="172"/>
      <c r="D5045" s="56"/>
      <c r="E5045" s="204"/>
      <c r="F5045" s="205"/>
      <c r="G5045" s="206"/>
      <c r="H5045" s="207"/>
      <c r="J5045" s="76"/>
    </row>
    <row r="5046" spans="1:10">
      <c r="A5046" s="172"/>
      <c r="D5046" s="56"/>
      <c r="E5046" s="204"/>
      <c r="F5046" s="205"/>
      <c r="G5046" s="206"/>
      <c r="H5046" s="207"/>
      <c r="J5046" s="76"/>
    </row>
    <row r="5047" spans="1:10">
      <c r="A5047" s="172"/>
      <c r="D5047" s="56"/>
      <c r="E5047" s="204"/>
      <c r="F5047" s="205"/>
      <c r="G5047" s="206"/>
      <c r="H5047" s="207"/>
      <c r="J5047" s="76"/>
    </row>
    <row r="5048" spans="1:10">
      <c r="A5048" s="172"/>
      <c r="D5048" s="56"/>
      <c r="E5048" s="204"/>
      <c r="F5048" s="205"/>
      <c r="G5048" s="206"/>
      <c r="H5048" s="207"/>
      <c r="J5048" s="76"/>
    </row>
    <row r="5049" spans="1:10">
      <c r="A5049" s="172"/>
      <c r="D5049" s="56"/>
      <c r="E5049" s="204"/>
      <c r="F5049" s="205"/>
      <c r="G5049" s="206"/>
      <c r="H5049" s="207"/>
      <c r="J5049" s="76"/>
    </row>
    <row r="5050" spans="1:10">
      <c r="A5050" s="172"/>
      <c r="D5050" s="56"/>
      <c r="E5050" s="204"/>
      <c r="F5050" s="205"/>
      <c r="G5050" s="206"/>
      <c r="H5050" s="207"/>
      <c r="J5050" s="76"/>
    </row>
    <row r="5051" spans="1:10">
      <c r="A5051" s="172"/>
      <c r="D5051" s="56"/>
      <c r="E5051" s="204"/>
      <c r="F5051" s="205"/>
      <c r="G5051" s="206"/>
      <c r="H5051" s="207"/>
      <c r="J5051" s="76"/>
    </row>
    <row r="5052" spans="1:10">
      <c r="A5052" s="172"/>
      <c r="D5052" s="56"/>
      <c r="E5052" s="204"/>
      <c r="F5052" s="205"/>
      <c r="G5052" s="206"/>
      <c r="H5052" s="207"/>
      <c r="J5052" s="76"/>
    </row>
    <row r="5053" spans="1:10">
      <c r="A5053" s="172"/>
      <c r="D5053" s="56"/>
      <c r="E5053" s="204"/>
      <c r="F5053" s="205"/>
      <c r="G5053" s="206"/>
      <c r="H5053" s="207"/>
      <c r="J5053" s="76"/>
    </row>
    <row r="5054" spans="1:10">
      <c r="A5054" s="172"/>
      <c r="D5054" s="56"/>
      <c r="E5054" s="204"/>
      <c r="F5054" s="205"/>
      <c r="G5054" s="206"/>
      <c r="H5054" s="207"/>
      <c r="J5054" s="76"/>
    </row>
    <row r="5055" spans="1:10">
      <c r="A5055" s="172"/>
      <c r="D5055" s="56"/>
      <c r="E5055" s="204"/>
      <c r="F5055" s="205"/>
      <c r="G5055" s="206"/>
      <c r="H5055" s="207"/>
      <c r="J5055" s="76"/>
    </row>
    <row r="5056" spans="1:10">
      <c r="A5056" s="172"/>
      <c r="D5056" s="56"/>
      <c r="E5056" s="204"/>
      <c r="F5056" s="205"/>
      <c r="G5056" s="206"/>
      <c r="H5056" s="207"/>
      <c r="J5056" s="76"/>
    </row>
    <row r="5057" spans="1:10">
      <c r="A5057" s="172"/>
      <c r="D5057" s="56"/>
      <c r="E5057" s="204"/>
      <c r="F5057" s="205"/>
      <c r="G5057" s="206"/>
      <c r="H5057" s="207"/>
      <c r="J5057" s="76"/>
    </row>
    <row r="5058" spans="1:10">
      <c r="A5058" s="172"/>
      <c r="D5058" s="56"/>
      <c r="E5058" s="204"/>
      <c r="F5058" s="205"/>
      <c r="G5058" s="206"/>
      <c r="H5058" s="207"/>
      <c r="J5058" s="76"/>
    </row>
    <row r="5059" spans="1:10">
      <c r="A5059" s="172"/>
      <c r="D5059" s="56"/>
      <c r="E5059" s="204"/>
      <c r="F5059" s="205"/>
      <c r="G5059" s="206"/>
      <c r="H5059" s="207"/>
      <c r="J5059" s="76"/>
    </row>
    <row r="5060" spans="1:10">
      <c r="A5060" s="172"/>
      <c r="D5060" s="56"/>
      <c r="E5060" s="204"/>
      <c r="F5060" s="205"/>
      <c r="G5060" s="206"/>
      <c r="H5060" s="207"/>
      <c r="J5060" s="76"/>
    </row>
    <row r="5061" spans="1:10">
      <c r="A5061" s="172"/>
      <c r="D5061" s="56"/>
      <c r="E5061" s="204"/>
      <c r="F5061" s="205"/>
      <c r="G5061" s="206"/>
      <c r="H5061" s="207"/>
      <c r="J5061" s="76"/>
    </row>
    <row r="5062" spans="1:10">
      <c r="A5062" s="172"/>
      <c r="D5062" s="56"/>
      <c r="E5062" s="204"/>
      <c r="F5062" s="205"/>
      <c r="G5062" s="206"/>
      <c r="H5062" s="207"/>
      <c r="J5062" s="76"/>
    </row>
    <row r="5063" spans="1:10">
      <c r="A5063" s="172"/>
      <c r="D5063" s="56"/>
      <c r="E5063" s="204"/>
      <c r="F5063" s="205"/>
      <c r="G5063" s="206"/>
      <c r="H5063" s="207"/>
      <c r="J5063" s="76"/>
    </row>
    <row r="5064" spans="1:10">
      <c r="A5064" s="172"/>
      <c r="D5064" s="56"/>
      <c r="E5064" s="204"/>
      <c r="F5064" s="205"/>
      <c r="G5064" s="206"/>
      <c r="H5064" s="207"/>
      <c r="J5064" s="76"/>
    </row>
    <row r="5065" spans="1:10">
      <c r="A5065" s="172"/>
      <c r="D5065" s="56"/>
      <c r="E5065" s="204"/>
      <c r="F5065" s="205"/>
      <c r="G5065" s="206"/>
      <c r="H5065" s="207"/>
      <c r="J5065" s="76"/>
    </row>
    <row r="5066" spans="1:10">
      <c r="A5066" s="172"/>
      <c r="D5066" s="56"/>
      <c r="E5066" s="204"/>
      <c r="F5066" s="205"/>
      <c r="G5066" s="206"/>
      <c r="H5066" s="207"/>
      <c r="J5066" s="76"/>
    </row>
    <row r="5067" spans="1:10">
      <c r="A5067" s="172"/>
      <c r="D5067" s="56"/>
      <c r="E5067" s="204"/>
      <c r="F5067" s="205"/>
      <c r="G5067" s="206"/>
      <c r="H5067" s="207"/>
      <c r="J5067" s="76"/>
    </row>
    <row r="5068" spans="1:10">
      <c r="A5068" s="172"/>
      <c r="D5068" s="56"/>
      <c r="E5068" s="204"/>
      <c r="F5068" s="205"/>
      <c r="G5068" s="206"/>
      <c r="H5068" s="207"/>
      <c r="J5068" s="76"/>
    </row>
    <row r="5069" spans="1:10">
      <c r="A5069" s="172"/>
      <c r="D5069" s="56"/>
      <c r="E5069" s="204"/>
      <c r="F5069" s="205"/>
      <c r="G5069" s="206"/>
      <c r="H5069" s="207"/>
      <c r="J5069" s="76"/>
    </row>
    <row r="5070" spans="1:10">
      <c r="A5070" s="172"/>
      <c r="D5070" s="56"/>
      <c r="E5070" s="204"/>
      <c r="F5070" s="205"/>
      <c r="G5070" s="206"/>
      <c r="H5070" s="207"/>
      <c r="J5070" s="76"/>
    </row>
    <row r="5071" spans="1:10">
      <c r="A5071" s="172"/>
      <c r="D5071" s="56"/>
      <c r="E5071" s="204"/>
      <c r="F5071" s="205"/>
      <c r="G5071" s="206"/>
      <c r="H5071" s="207"/>
      <c r="J5071" s="76"/>
    </row>
    <row r="5072" spans="1:10">
      <c r="A5072" s="172"/>
      <c r="D5072" s="56"/>
      <c r="E5072" s="204"/>
      <c r="F5072" s="205"/>
      <c r="G5072" s="206"/>
      <c r="H5072" s="207"/>
      <c r="J5072" s="76"/>
    </row>
    <row r="5073" spans="1:10">
      <c r="A5073" s="172"/>
      <c r="D5073" s="56"/>
      <c r="E5073" s="204"/>
      <c r="F5073" s="205"/>
      <c r="G5073" s="206"/>
      <c r="H5073" s="207"/>
      <c r="J5073" s="76"/>
    </row>
    <row r="5074" spans="1:10">
      <c r="A5074" s="172"/>
      <c r="D5074" s="56"/>
      <c r="E5074" s="204"/>
      <c r="F5074" s="205"/>
      <c r="G5074" s="206"/>
      <c r="H5074" s="207"/>
      <c r="J5074" s="76"/>
    </row>
    <row r="5075" spans="1:10">
      <c r="A5075" s="172"/>
      <c r="D5075" s="56"/>
      <c r="E5075" s="204"/>
      <c r="F5075" s="205"/>
      <c r="G5075" s="206"/>
      <c r="H5075" s="207"/>
      <c r="J5075" s="76"/>
    </row>
    <row r="5076" spans="1:10">
      <c r="A5076" s="172"/>
      <c r="D5076" s="56"/>
      <c r="E5076" s="204"/>
      <c r="F5076" s="205"/>
      <c r="G5076" s="206"/>
      <c r="H5076" s="207"/>
      <c r="J5076" s="76"/>
    </row>
    <row r="5077" spans="1:10">
      <c r="A5077" s="172"/>
      <c r="D5077" s="56"/>
      <c r="E5077" s="204"/>
      <c r="F5077" s="205"/>
      <c r="G5077" s="206"/>
      <c r="H5077" s="207"/>
      <c r="J5077" s="76"/>
    </row>
    <row r="5078" spans="1:10">
      <c r="A5078" s="172"/>
      <c r="D5078" s="56"/>
      <c r="E5078" s="204"/>
      <c r="F5078" s="205"/>
      <c r="G5078" s="206"/>
      <c r="H5078" s="207"/>
      <c r="J5078" s="76"/>
    </row>
    <row r="5079" spans="1:10">
      <c r="A5079" s="172"/>
      <c r="D5079" s="56"/>
      <c r="E5079" s="204"/>
      <c r="F5079" s="205"/>
      <c r="G5079" s="206"/>
      <c r="H5079" s="207"/>
      <c r="J5079" s="76"/>
    </row>
    <row r="5080" spans="1:10">
      <c r="A5080" s="172"/>
      <c r="D5080" s="56"/>
      <c r="E5080" s="204"/>
      <c r="F5080" s="205"/>
      <c r="G5080" s="206"/>
      <c r="H5080" s="207"/>
      <c r="J5080" s="76"/>
    </row>
    <row r="5081" spans="1:10">
      <c r="A5081" s="172"/>
      <c r="D5081" s="56"/>
      <c r="E5081" s="204"/>
      <c r="F5081" s="205"/>
      <c r="G5081" s="206"/>
      <c r="H5081" s="207"/>
      <c r="J5081" s="76"/>
    </row>
    <row r="5082" spans="1:10">
      <c r="A5082" s="172"/>
      <c r="D5082" s="56"/>
      <c r="E5082" s="204"/>
      <c r="F5082" s="205"/>
      <c r="G5082" s="206"/>
      <c r="H5082" s="207"/>
      <c r="J5082" s="76"/>
    </row>
    <row r="5083" spans="1:10">
      <c r="A5083" s="172"/>
      <c r="D5083" s="56"/>
      <c r="E5083" s="204"/>
      <c r="F5083" s="205"/>
      <c r="G5083" s="206"/>
      <c r="H5083" s="207"/>
      <c r="J5083" s="76"/>
    </row>
    <row r="5084" spans="1:10">
      <c r="A5084" s="172"/>
      <c r="D5084" s="56"/>
      <c r="E5084" s="204"/>
      <c r="F5084" s="205"/>
      <c r="G5084" s="206"/>
      <c r="H5084" s="207"/>
      <c r="J5084" s="76"/>
    </row>
    <row r="5085" spans="1:10">
      <c r="A5085" s="172"/>
      <c r="D5085" s="56"/>
      <c r="E5085" s="204"/>
      <c r="F5085" s="205"/>
      <c r="G5085" s="206"/>
      <c r="H5085" s="207"/>
      <c r="J5085" s="76"/>
    </row>
    <row r="5086" spans="1:10">
      <c r="A5086" s="172"/>
      <c r="D5086" s="56"/>
      <c r="E5086" s="204"/>
      <c r="F5086" s="205"/>
      <c r="G5086" s="206"/>
      <c r="H5086" s="207"/>
      <c r="J5086" s="76"/>
    </row>
    <row r="5087" spans="1:10">
      <c r="A5087" s="172"/>
      <c r="D5087" s="56"/>
      <c r="E5087" s="204"/>
      <c r="F5087" s="205"/>
      <c r="G5087" s="206"/>
      <c r="H5087" s="207"/>
      <c r="J5087" s="76"/>
    </row>
    <row r="5088" spans="1:10">
      <c r="A5088" s="172"/>
      <c r="D5088" s="56"/>
      <c r="E5088" s="204"/>
      <c r="F5088" s="205"/>
      <c r="G5088" s="206"/>
      <c r="H5088" s="207"/>
      <c r="J5088" s="76"/>
    </row>
    <row r="5089" spans="1:10">
      <c r="A5089" s="172"/>
      <c r="D5089" s="56"/>
      <c r="E5089" s="204"/>
      <c r="F5089" s="205"/>
      <c r="G5089" s="206"/>
      <c r="H5089" s="207"/>
      <c r="J5089" s="76"/>
    </row>
    <row r="5090" spans="1:10">
      <c r="A5090" s="172"/>
      <c r="D5090" s="56"/>
      <c r="E5090" s="204"/>
      <c r="F5090" s="205"/>
      <c r="G5090" s="206"/>
      <c r="H5090" s="207"/>
      <c r="J5090" s="76"/>
    </row>
    <row r="5091" spans="1:10">
      <c r="A5091" s="172"/>
      <c r="D5091" s="56"/>
      <c r="E5091" s="204"/>
      <c r="F5091" s="205"/>
      <c r="G5091" s="206"/>
      <c r="H5091" s="207"/>
      <c r="J5091" s="76"/>
    </row>
    <row r="5092" spans="1:10">
      <c r="A5092" s="172"/>
      <c r="D5092" s="56"/>
      <c r="E5092" s="204"/>
      <c r="F5092" s="205"/>
      <c r="G5092" s="206"/>
      <c r="H5092" s="207"/>
      <c r="J5092" s="76"/>
    </row>
    <row r="5093" spans="1:10">
      <c r="A5093" s="172"/>
      <c r="D5093" s="56"/>
      <c r="E5093" s="204"/>
      <c r="F5093" s="205"/>
      <c r="G5093" s="206"/>
      <c r="H5093" s="207"/>
      <c r="J5093" s="76"/>
    </row>
    <row r="5094" spans="1:10">
      <c r="A5094" s="172"/>
      <c r="D5094" s="56"/>
      <c r="E5094" s="204"/>
      <c r="F5094" s="205"/>
      <c r="G5094" s="206"/>
      <c r="H5094" s="207"/>
      <c r="J5094" s="76"/>
    </row>
    <row r="5095" spans="1:10">
      <c r="A5095" s="172"/>
      <c r="D5095" s="56"/>
      <c r="E5095" s="204"/>
      <c r="F5095" s="205"/>
      <c r="G5095" s="206"/>
      <c r="H5095" s="207"/>
      <c r="J5095" s="76"/>
    </row>
    <row r="5096" spans="1:10">
      <c r="A5096" s="172"/>
      <c r="D5096" s="56"/>
      <c r="E5096" s="204"/>
      <c r="F5096" s="205"/>
      <c r="G5096" s="206"/>
      <c r="H5096" s="207"/>
      <c r="J5096" s="76"/>
    </row>
    <row r="5097" spans="1:10">
      <c r="A5097" s="172"/>
      <c r="D5097" s="56"/>
      <c r="E5097" s="204"/>
      <c r="F5097" s="205"/>
      <c r="G5097" s="206"/>
      <c r="H5097" s="207"/>
      <c r="J5097" s="76"/>
    </row>
    <row r="5098" spans="1:10">
      <c r="A5098" s="172"/>
      <c r="D5098" s="56"/>
      <c r="E5098" s="204"/>
      <c r="F5098" s="205"/>
      <c r="G5098" s="206"/>
      <c r="H5098" s="207"/>
      <c r="J5098" s="76"/>
    </row>
    <row r="5099" spans="1:10">
      <c r="A5099" s="172"/>
      <c r="D5099" s="56"/>
      <c r="E5099" s="204"/>
      <c r="F5099" s="205"/>
      <c r="G5099" s="206"/>
      <c r="H5099" s="207"/>
      <c r="J5099" s="76"/>
    </row>
    <row r="5100" spans="1:10">
      <c r="A5100" s="172"/>
      <c r="D5100" s="56"/>
      <c r="E5100" s="204"/>
      <c r="F5100" s="205"/>
      <c r="G5100" s="206"/>
      <c r="H5100" s="207"/>
      <c r="J5100" s="76"/>
    </row>
    <row r="5101" spans="1:10">
      <c r="A5101" s="172"/>
      <c r="D5101" s="56"/>
      <c r="E5101" s="204"/>
      <c r="F5101" s="205"/>
      <c r="G5101" s="206"/>
      <c r="H5101" s="207"/>
      <c r="J5101" s="76"/>
    </row>
    <row r="5102" spans="1:10">
      <c r="A5102" s="172"/>
      <c r="D5102" s="56"/>
      <c r="E5102" s="204"/>
      <c r="F5102" s="205"/>
      <c r="G5102" s="206"/>
      <c r="H5102" s="207"/>
      <c r="J5102" s="76"/>
    </row>
    <row r="5103" spans="1:10">
      <c r="A5103" s="172"/>
      <c r="D5103" s="56"/>
      <c r="E5103" s="204"/>
      <c r="F5103" s="205"/>
      <c r="G5103" s="206"/>
      <c r="H5103" s="207"/>
      <c r="J5103" s="76"/>
    </row>
    <row r="5104" spans="1:10">
      <c r="A5104" s="172"/>
      <c r="D5104" s="56"/>
      <c r="E5104" s="204"/>
      <c r="F5104" s="205"/>
      <c r="G5104" s="206"/>
      <c r="H5104" s="207"/>
      <c r="J5104" s="76"/>
    </row>
    <row r="5105" spans="1:10">
      <c r="A5105" s="172"/>
      <c r="D5105" s="56"/>
      <c r="E5105" s="204"/>
      <c r="F5105" s="205"/>
      <c r="G5105" s="206"/>
      <c r="H5105" s="207"/>
      <c r="J5105" s="76"/>
    </row>
    <row r="5106" spans="1:10">
      <c r="A5106" s="172"/>
      <c r="D5106" s="56"/>
      <c r="E5106" s="204"/>
      <c r="F5106" s="205"/>
      <c r="G5106" s="206"/>
      <c r="H5106" s="207"/>
      <c r="J5106" s="76"/>
    </row>
    <row r="5107" spans="1:10">
      <c r="A5107" s="172"/>
      <c r="D5107" s="56"/>
      <c r="E5107" s="204"/>
      <c r="F5107" s="205"/>
      <c r="G5107" s="206"/>
      <c r="H5107" s="207"/>
      <c r="J5107" s="76"/>
    </row>
    <row r="5108" spans="1:10">
      <c r="A5108" s="172"/>
      <c r="D5108" s="56"/>
      <c r="E5108" s="204"/>
      <c r="F5108" s="205"/>
      <c r="G5108" s="206"/>
      <c r="H5108" s="207"/>
      <c r="J5108" s="76"/>
    </row>
    <row r="5109" spans="1:10">
      <c r="A5109" s="172"/>
      <c r="D5109" s="56"/>
      <c r="E5109" s="204"/>
      <c r="F5109" s="205"/>
      <c r="G5109" s="206"/>
      <c r="H5109" s="207"/>
      <c r="J5109" s="76"/>
    </row>
    <row r="5110" spans="1:10">
      <c r="A5110" s="172"/>
      <c r="D5110" s="56"/>
      <c r="E5110" s="204"/>
      <c r="F5110" s="205"/>
      <c r="G5110" s="206"/>
      <c r="H5110" s="207"/>
      <c r="J5110" s="76"/>
    </row>
    <row r="5111" spans="1:10">
      <c r="A5111" s="172"/>
      <c r="D5111" s="56"/>
      <c r="E5111" s="204"/>
      <c r="F5111" s="205"/>
      <c r="G5111" s="206"/>
      <c r="H5111" s="207"/>
      <c r="J5111" s="76"/>
    </row>
    <row r="5112" spans="1:10">
      <c r="A5112" s="172"/>
      <c r="D5112" s="56"/>
      <c r="E5112" s="204"/>
      <c r="F5112" s="205"/>
      <c r="G5112" s="206"/>
      <c r="H5112" s="207"/>
      <c r="J5112" s="76"/>
    </row>
    <row r="5113" spans="1:10">
      <c r="A5113" s="172"/>
      <c r="D5113" s="56"/>
      <c r="E5113" s="204"/>
      <c r="F5113" s="205"/>
      <c r="G5113" s="206"/>
      <c r="H5113" s="207"/>
      <c r="J5113" s="76"/>
    </row>
    <row r="5114" spans="1:10">
      <c r="A5114" s="172"/>
      <c r="D5114" s="56"/>
      <c r="E5114" s="204"/>
      <c r="F5114" s="205"/>
      <c r="G5114" s="206"/>
      <c r="H5114" s="207"/>
      <c r="J5114" s="76"/>
    </row>
    <row r="5115" spans="1:10">
      <c r="A5115" s="172"/>
      <c r="D5115" s="56"/>
      <c r="E5115" s="204"/>
      <c r="F5115" s="205"/>
      <c r="G5115" s="206"/>
      <c r="H5115" s="207"/>
      <c r="J5115" s="76"/>
    </row>
    <row r="5116" spans="1:10">
      <c r="A5116" s="172"/>
      <c r="D5116" s="56"/>
      <c r="E5116" s="204"/>
      <c r="F5116" s="205"/>
      <c r="G5116" s="206"/>
      <c r="H5116" s="207"/>
      <c r="J5116" s="76"/>
    </row>
    <row r="5117" spans="1:10">
      <c r="A5117" s="172"/>
      <c r="D5117" s="56"/>
      <c r="E5117" s="204"/>
      <c r="F5117" s="205"/>
      <c r="G5117" s="206"/>
      <c r="H5117" s="207"/>
      <c r="J5117" s="76"/>
    </row>
    <row r="5118" spans="1:10">
      <c r="A5118" s="172"/>
      <c r="D5118" s="56"/>
      <c r="E5118" s="204"/>
      <c r="F5118" s="205"/>
      <c r="G5118" s="206"/>
      <c r="H5118" s="207"/>
      <c r="J5118" s="76"/>
    </row>
    <row r="5119" spans="1:10">
      <c r="A5119" s="172"/>
      <c r="D5119" s="56"/>
      <c r="E5119" s="204"/>
      <c r="F5119" s="205"/>
      <c r="G5119" s="206"/>
      <c r="H5119" s="207"/>
      <c r="J5119" s="76"/>
    </row>
    <row r="5120" spans="1:10">
      <c r="A5120" s="172"/>
      <c r="D5120" s="56"/>
      <c r="E5120" s="204"/>
      <c r="F5120" s="205"/>
      <c r="G5120" s="206"/>
      <c r="H5120" s="207"/>
      <c r="J5120" s="76"/>
    </row>
    <row r="5121" spans="1:10">
      <c r="A5121" s="172"/>
      <c r="D5121" s="56"/>
      <c r="E5121" s="204"/>
      <c r="F5121" s="205"/>
      <c r="G5121" s="206"/>
      <c r="H5121" s="207"/>
      <c r="J5121" s="76"/>
    </row>
    <row r="5122" spans="1:10">
      <c r="A5122" s="172"/>
      <c r="D5122" s="56"/>
      <c r="E5122" s="204"/>
      <c r="F5122" s="205"/>
      <c r="G5122" s="206"/>
      <c r="H5122" s="207"/>
      <c r="J5122" s="76"/>
    </row>
    <row r="5123" spans="1:10">
      <c r="A5123" s="172"/>
      <c r="D5123" s="56"/>
      <c r="E5123" s="204"/>
      <c r="F5123" s="205"/>
      <c r="G5123" s="206"/>
      <c r="H5123" s="207"/>
      <c r="J5123" s="76"/>
    </row>
    <row r="5124" spans="1:10">
      <c r="A5124" s="172"/>
      <c r="D5124" s="56"/>
      <c r="E5124" s="204"/>
      <c r="F5124" s="205"/>
      <c r="G5124" s="206"/>
      <c r="H5124" s="207"/>
      <c r="J5124" s="76"/>
    </row>
    <row r="5125" spans="1:10">
      <c r="A5125" s="172"/>
      <c r="D5125" s="56"/>
      <c r="E5125" s="204"/>
      <c r="F5125" s="205"/>
      <c r="G5125" s="206"/>
      <c r="H5125" s="207"/>
      <c r="J5125" s="76"/>
    </row>
    <row r="5126" spans="1:10">
      <c r="A5126" s="172"/>
      <c r="D5126" s="56"/>
      <c r="E5126" s="204"/>
      <c r="F5126" s="205"/>
      <c r="G5126" s="206"/>
      <c r="H5126" s="207"/>
      <c r="J5126" s="76"/>
    </row>
    <row r="5127" spans="1:10">
      <c r="A5127" s="172"/>
      <c r="D5127" s="56"/>
      <c r="E5127" s="204"/>
      <c r="F5127" s="205"/>
      <c r="G5127" s="206"/>
      <c r="H5127" s="207"/>
      <c r="J5127" s="76"/>
    </row>
    <row r="5128" spans="1:10">
      <c r="A5128" s="172"/>
      <c r="D5128" s="56"/>
      <c r="E5128" s="204"/>
      <c r="F5128" s="205"/>
      <c r="G5128" s="206"/>
      <c r="H5128" s="207"/>
      <c r="J5128" s="76"/>
    </row>
    <row r="5129" spans="1:10">
      <c r="A5129" s="172"/>
      <c r="D5129" s="56"/>
      <c r="E5129" s="204"/>
      <c r="F5129" s="205"/>
      <c r="G5129" s="206"/>
      <c r="H5129" s="207"/>
      <c r="J5129" s="76"/>
    </row>
    <row r="5130" spans="1:10">
      <c r="A5130" s="172"/>
      <c r="D5130" s="56"/>
      <c r="E5130" s="204"/>
      <c r="F5130" s="205"/>
      <c r="G5130" s="206"/>
      <c r="H5130" s="207"/>
      <c r="J5130" s="76"/>
    </row>
    <row r="5131" spans="1:10">
      <c r="A5131" s="172"/>
      <c r="D5131" s="56"/>
      <c r="E5131" s="204"/>
      <c r="F5131" s="205"/>
      <c r="G5131" s="206"/>
      <c r="H5131" s="207"/>
      <c r="J5131" s="76"/>
    </row>
    <row r="5132" spans="1:10">
      <c r="A5132" s="172"/>
      <c r="D5132" s="56"/>
      <c r="E5132" s="204"/>
      <c r="F5132" s="205"/>
      <c r="G5132" s="206"/>
      <c r="H5132" s="207"/>
      <c r="J5132" s="76"/>
    </row>
    <row r="5133" spans="1:10">
      <c r="A5133" s="172"/>
      <c r="D5133" s="56"/>
      <c r="E5133" s="204"/>
      <c r="F5133" s="205"/>
      <c r="G5133" s="206"/>
      <c r="H5133" s="207"/>
      <c r="J5133" s="76"/>
    </row>
    <row r="5134" spans="1:10">
      <c r="A5134" s="172"/>
      <c r="D5134" s="56"/>
      <c r="E5134" s="204"/>
      <c r="F5134" s="205"/>
      <c r="G5134" s="206"/>
      <c r="H5134" s="207"/>
      <c r="J5134" s="76"/>
    </row>
    <row r="5135" spans="1:10">
      <c r="A5135" s="172"/>
      <c r="D5135" s="56"/>
      <c r="E5135" s="204"/>
      <c r="F5135" s="205"/>
      <c r="G5135" s="206"/>
      <c r="H5135" s="207"/>
      <c r="J5135" s="76"/>
    </row>
    <row r="5136" spans="1:10">
      <c r="A5136" s="172"/>
      <c r="D5136" s="56"/>
      <c r="E5136" s="204"/>
      <c r="F5136" s="205"/>
      <c r="G5136" s="206"/>
      <c r="H5136" s="207"/>
      <c r="J5136" s="76"/>
    </row>
    <row r="5137" spans="1:10">
      <c r="A5137" s="172"/>
      <c r="D5137" s="56"/>
      <c r="E5137" s="204"/>
      <c r="F5137" s="205"/>
      <c r="G5137" s="206"/>
      <c r="H5137" s="207"/>
      <c r="J5137" s="76"/>
    </row>
    <row r="5138" spans="1:10">
      <c r="A5138" s="172"/>
      <c r="D5138" s="56"/>
      <c r="E5138" s="204"/>
      <c r="F5138" s="205"/>
      <c r="G5138" s="206"/>
      <c r="H5138" s="207"/>
      <c r="J5138" s="76"/>
    </row>
    <row r="5139" spans="1:10">
      <c r="A5139" s="172"/>
      <c r="D5139" s="56"/>
      <c r="E5139" s="204"/>
      <c r="F5139" s="205"/>
      <c r="G5139" s="206"/>
      <c r="H5139" s="207"/>
      <c r="J5139" s="76"/>
    </row>
    <row r="5140" spans="1:10">
      <c r="A5140" s="172"/>
      <c r="D5140" s="56"/>
      <c r="E5140" s="204"/>
      <c r="F5140" s="205"/>
      <c r="G5140" s="206"/>
      <c r="H5140" s="207"/>
      <c r="J5140" s="76"/>
    </row>
    <row r="5141" spans="1:10">
      <c r="A5141" s="172"/>
      <c r="D5141" s="56"/>
      <c r="E5141" s="204"/>
      <c r="F5141" s="205"/>
      <c r="G5141" s="206"/>
      <c r="H5141" s="207"/>
      <c r="J5141" s="76"/>
    </row>
    <row r="5142" spans="1:10">
      <c r="A5142" s="172"/>
      <c r="D5142" s="56"/>
      <c r="E5142" s="204"/>
      <c r="F5142" s="205"/>
      <c r="G5142" s="206"/>
      <c r="H5142" s="207"/>
      <c r="J5142" s="76"/>
    </row>
    <row r="5143" spans="1:10">
      <c r="A5143" s="172"/>
      <c r="D5143" s="56"/>
      <c r="E5143" s="204"/>
      <c r="F5143" s="205"/>
      <c r="G5143" s="206"/>
      <c r="H5143" s="207"/>
      <c r="J5143" s="76"/>
    </row>
    <row r="5144" spans="1:10">
      <c r="A5144" s="172"/>
      <c r="D5144" s="56"/>
      <c r="E5144" s="204"/>
      <c r="F5144" s="205"/>
      <c r="G5144" s="206"/>
      <c r="H5144" s="207"/>
      <c r="J5144" s="76"/>
    </row>
    <row r="5145" spans="1:10">
      <c r="A5145" s="172"/>
      <c r="D5145" s="56"/>
      <c r="E5145" s="204"/>
      <c r="F5145" s="205"/>
      <c r="G5145" s="206"/>
      <c r="H5145" s="207"/>
      <c r="J5145" s="76"/>
    </row>
    <row r="5146" spans="1:10">
      <c r="A5146" s="172"/>
      <c r="D5146" s="56"/>
      <c r="E5146" s="204"/>
      <c r="F5146" s="205"/>
      <c r="G5146" s="206"/>
      <c r="H5146" s="207"/>
      <c r="J5146" s="76"/>
    </row>
    <row r="5147" spans="1:10">
      <c r="A5147" s="172"/>
      <c r="D5147" s="56"/>
      <c r="E5147" s="204"/>
      <c r="F5147" s="205"/>
      <c r="G5147" s="206"/>
      <c r="H5147" s="207"/>
      <c r="J5147" s="76"/>
    </row>
    <row r="5148" spans="1:10">
      <c r="A5148" s="172"/>
      <c r="D5148" s="56"/>
      <c r="E5148" s="204"/>
      <c r="F5148" s="205"/>
      <c r="G5148" s="206"/>
      <c r="H5148" s="207"/>
      <c r="J5148" s="76"/>
    </row>
    <row r="5149" spans="1:10">
      <c r="A5149" s="172"/>
      <c r="D5149" s="56"/>
      <c r="E5149" s="204"/>
      <c r="F5149" s="205"/>
      <c r="G5149" s="206"/>
      <c r="H5149" s="207"/>
      <c r="J5149" s="76"/>
    </row>
    <row r="5150" spans="1:10">
      <c r="A5150" s="172"/>
      <c r="D5150" s="56"/>
      <c r="E5150" s="204"/>
      <c r="F5150" s="205"/>
      <c r="G5150" s="206"/>
      <c r="H5150" s="207"/>
      <c r="J5150" s="76"/>
    </row>
    <row r="5151" spans="1:10">
      <c r="A5151" s="172"/>
      <c r="D5151" s="56"/>
      <c r="E5151" s="204"/>
      <c r="F5151" s="205"/>
      <c r="G5151" s="206"/>
      <c r="H5151" s="207"/>
      <c r="J5151" s="76"/>
    </row>
    <row r="5152" spans="1:10">
      <c r="A5152" s="172"/>
      <c r="D5152" s="56"/>
      <c r="E5152" s="204"/>
      <c r="F5152" s="205"/>
      <c r="G5152" s="206"/>
      <c r="H5152" s="207"/>
      <c r="J5152" s="76"/>
    </row>
    <row r="5153" spans="1:10">
      <c r="A5153" s="172"/>
      <c r="D5153" s="56"/>
      <c r="E5153" s="204"/>
      <c r="F5153" s="205"/>
      <c r="G5153" s="206"/>
      <c r="H5153" s="207"/>
      <c r="J5153" s="76"/>
    </row>
    <row r="5154" spans="1:10">
      <c r="A5154" s="172"/>
      <c r="D5154" s="56"/>
      <c r="E5154" s="204"/>
      <c r="F5154" s="205"/>
      <c r="G5154" s="206"/>
      <c r="H5154" s="207"/>
      <c r="J5154" s="76"/>
    </row>
    <row r="5155" spans="1:10">
      <c r="A5155" s="172"/>
      <c r="D5155" s="56"/>
      <c r="E5155" s="204"/>
      <c r="F5155" s="205"/>
      <c r="G5155" s="206"/>
      <c r="H5155" s="207"/>
      <c r="J5155" s="76"/>
    </row>
    <row r="5156" spans="1:10">
      <c r="A5156" s="172"/>
      <c r="D5156" s="56"/>
      <c r="E5156" s="204"/>
      <c r="F5156" s="205"/>
      <c r="G5156" s="206"/>
      <c r="H5156" s="207"/>
      <c r="J5156" s="76"/>
    </row>
    <row r="5157" spans="1:10">
      <c r="A5157" s="172"/>
      <c r="D5157" s="56"/>
      <c r="E5157" s="204"/>
      <c r="F5157" s="205"/>
      <c r="G5157" s="206"/>
      <c r="H5157" s="207"/>
      <c r="J5157" s="76"/>
    </row>
    <row r="5158" spans="1:10">
      <c r="A5158" s="172"/>
      <c r="D5158" s="56"/>
      <c r="E5158" s="204"/>
      <c r="F5158" s="205"/>
      <c r="G5158" s="206"/>
      <c r="H5158" s="207"/>
      <c r="J5158" s="76"/>
    </row>
    <row r="5159" spans="1:10">
      <c r="A5159" s="172"/>
      <c r="D5159" s="56"/>
      <c r="E5159" s="204"/>
      <c r="F5159" s="205"/>
      <c r="G5159" s="206"/>
      <c r="H5159" s="207"/>
      <c r="J5159" s="76"/>
    </row>
    <row r="5160" spans="1:10">
      <c r="A5160" s="172"/>
      <c r="D5160" s="56"/>
      <c r="E5160" s="204"/>
      <c r="F5160" s="205"/>
      <c r="G5160" s="206"/>
      <c r="H5160" s="207"/>
      <c r="J5160" s="76"/>
    </row>
    <row r="5161" spans="1:10">
      <c r="A5161" s="172"/>
      <c r="D5161" s="56"/>
      <c r="E5161" s="204"/>
      <c r="F5161" s="205"/>
      <c r="G5161" s="206"/>
      <c r="H5161" s="207"/>
      <c r="J5161" s="76"/>
    </row>
    <row r="5162" spans="1:10">
      <c r="A5162" s="172"/>
      <c r="D5162" s="56"/>
      <c r="E5162" s="204"/>
      <c r="F5162" s="205"/>
      <c r="G5162" s="206"/>
      <c r="H5162" s="207"/>
      <c r="J5162" s="76"/>
    </row>
    <row r="5163" spans="1:10">
      <c r="A5163" s="172"/>
      <c r="D5163" s="56"/>
      <c r="E5163" s="204"/>
      <c r="F5163" s="205"/>
      <c r="G5163" s="206"/>
      <c r="H5163" s="207"/>
      <c r="J5163" s="76"/>
    </row>
    <row r="5164" spans="1:10">
      <c r="A5164" s="172"/>
      <c r="D5164" s="56"/>
      <c r="E5164" s="204"/>
      <c r="F5164" s="205"/>
      <c r="G5164" s="206"/>
      <c r="H5164" s="207"/>
      <c r="J5164" s="76"/>
    </row>
    <row r="5165" spans="1:10">
      <c r="A5165" s="172"/>
      <c r="D5165" s="56"/>
      <c r="E5165" s="204"/>
      <c r="F5165" s="205"/>
      <c r="G5165" s="206"/>
      <c r="H5165" s="207"/>
      <c r="J5165" s="76"/>
    </row>
    <row r="5166" spans="1:10">
      <c r="A5166" s="172"/>
      <c r="D5166" s="56"/>
      <c r="E5166" s="204"/>
      <c r="F5166" s="205"/>
      <c r="G5166" s="206"/>
      <c r="H5166" s="207"/>
      <c r="J5166" s="76"/>
    </row>
    <row r="5167" spans="1:10">
      <c r="A5167" s="172"/>
      <c r="D5167" s="56"/>
      <c r="E5167" s="204"/>
      <c r="F5167" s="205"/>
      <c r="G5167" s="206"/>
      <c r="H5167" s="207"/>
      <c r="J5167" s="76"/>
    </row>
    <row r="5168" spans="1:10">
      <c r="A5168" s="172"/>
      <c r="D5168" s="56"/>
      <c r="E5168" s="204"/>
      <c r="F5168" s="205"/>
      <c r="G5168" s="206"/>
      <c r="H5168" s="207"/>
      <c r="J5168" s="76"/>
    </row>
    <row r="5169" spans="1:10">
      <c r="A5169" s="172"/>
      <c r="D5169" s="56"/>
      <c r="E5169" s="204"/>
      <c r="F5169" s="205"/>
      <c r="G5169" s="206"/>
      <c r="H5169" s="207"/>
      <c r="J5169" s="76"/>
    </row>
    <row r="5170" spans="1:10">
      <c r="A5170" s="172"/>
      <c r="D5170" s="56"/>
      <c r="E5170" s="204"/>
      <c r="F5170" s="205"/>
      <c r="G5170" s="206"/>
      <c r="H5170" s="207"/>
      <c r="J5170" s="76"/>
    </row>
    <row r="5171" spans="1:10">
      <c r="A5171" s="172"/>
      <c r="D5171" s="56"/>
      <c r="E5171" s="204"/>
      <c r="F5171" s="205"/>
      <c r="G5171" s="206"/>
      <c r="H5171" s="207"/>
      <c r="J5171" s="76"/>
    </row>
    <row r="5172" spans="1:10">
      <c r="A5172" s="172"/>
      <c r="D5172" s="56"/>
      <c r="E5172" s="204"/>
      <c r="F5172" s="205"/>
      <c r="G5172" s="206"/>
      <c r="H5172" s="207"/>
      <c r="J5172" s="76"/>
    </row>
    <row r="5173" spans="1:10">
      <c r="A5173" s="172"/>
      <c r="D5173" s="56"/>
      <c r="E5173" s="204"/>
      <c r="F5173" s="205"/>
      <c r="G5173" s="206"/>
      <c r="H5173" s="207"/>
      <c r="J5173" s="76"/>
    </row>
    <row r="5174" spans="1:10">
      <c r="A5174" s="172"/>
      <c r="D5174" s="56"/>
      <c r="E5174" s="204"/>
      <c r="F5174" s="205"/>
      <c r="G5174" s="206"/>
      <c r="H5174" s="207"/>
      <c r="J5174" s="76"/>
    </row>
    <row r="5175" spans="1:10">
      <c r="A5175" s="172"/>
      <c r="D5175" s="56"/>
      <c r="E5175" s="204"/>
      <c r="F5175" s="205"/>
      <c r="G5175" s="206"/>
      <c r="H5175" s="207"/>
      <c r="J5175" s="76"/>
    </row>
    <row r="5176" spans="1:10">
      <c r="A5176" s="172"/>
      <c r="D5176" s="56"/>
      <c r="E5176" s="204"/>
      <c r="F5176" s="205"/>
      <c r="G5176" s="206"/>
      <c r="H5176" s="207"/>
      <c r="J5176" s="76"/>
    </row>
    <row r="5177" spans="1:10">
      <c r="A5177" s="172"/>
      <c r="D5177" s="56"/>
      <c r="E5177" s="204"/>
      <c r="F5177" s="205"/>
      <c r="G5177" s="206"/>
      <c r="H5177" s="207"/>
      <c r="J5177" s="76"/>
    </row>
    <row r="5178" spans="1:10">
      <c r="A5178" s="172"/>
      <c r="D5178" s="56"/>
      <c r="E5178" s="204"/>
      <c r="F5178" s="205"/>
      <c r="G5178" s="206"/>
      <c r="H5178" s="207"/>
      <c r="J5178" s="76"/>
    </row>
    <row r="5179" spans="1:10">
      <c r="A5179" s="172"/>
      <c r="D5179" s="56"/>
      <c r="E5179" s="204"/>
      <c r="F5179" s="205"/>
      <c r="G5179" s="206"/>
      <c r="H5179" s="207"/>
      <c r="J5179" s="76"/>
    </row>
    <row r="5180" spans="1:10">
      <c r="A5180" s="172"/>
      <c r="D5180" s="56"/>
      <c r="E5180" s="204"/>
      <c r="F5180" s="205"/>
      <c r="G5180" s="206"/>
      <c r="H5180" s="207"/>
      <c r="J5180" s="76"/>
    </row>
    <row r="5181" spans="1:10">
      <c r="A5181" s="172"/>
      <c r="D5181" s="56"/>
      <c r="E5181" s="204"/>
      <c r="F5181" s="205"/>
      <c r="G5181" s="206"/>
      <c r="H5181" s="207"/>
      <c r="J5181" s="76"/>
    </row>
    <row r="5182" spans="1:10">
      <c r="A5182" s="172"/>
      <c r="D5182" s="56"/>
      <c r="E5182" s="204"/>
      <c r="F5182" s="205"/>
      <c r="G5182" s="206"/>
      <c r="H5182" s="207"/>
      <c r="J5182" s="76"/>
    </row>
    <row r="5183" spans="1:10">
      <c r="A5183" s="172"/>
      <c r="D5183" s="56"/>
      <c r="E5183" s="204"/>
      <c r="F5183" s="205"/>
      <c r="G5183" s="206"/>
      <c r="H5183" s="207"/>
      <c r="J5183" s="76"/>
    </row>
    <row r="5184" spans="1:10">
      <c r="A5184" s="172"/>
      <c r="D5184" s="56"/>
      <c r="E5184" s="204"/>
      <c r="F5184" s="205"/>
      <c r="G5184" s="206"/>
      <c r="H5184" s="207"/>
      <c r="J5184" s="76"/>
    </row>
    <row r="5185" spans="1:10">
      <c r="A5185" s="172"/>
      <c r="D5185" s="56"/>
      <c r="E5185" s="204"/>
      <c r="F5185" s="205"/>
      <c r="G5185" s="206"/>
      <c r="H5185" s="207"/>
      <c r="J5185" s="76"/>
    </row>
    <row r="5186" spans="1:10">
      <c r="A5186" s="172"/>
      <c r="D5186" s="56"/>
      <c r="E5186" s="204"/>
      <c r="F5186" s="205"/>
      <c r="G5186" s="206"/>
      <c r="H5186" s="207"/>
      <c r="J5186" s="76"/>
    </row>
    <row r="5187" spans="1:10">
      <c r="A5187" s="172"/>
      <c r="D5187" s="56"/>
      <c r="E5187" s="204"/>
      <c r="F5187" s="205"/>
      <c r="G5187" s="206"/>
      <c r="H5187" s="207"/>
      <c r="J5187" s="76"/>
    </row>
    <row r="5188" spans="1:10">
      <c r="A5188" s="172"/>
      <c r="D5188" s="56"/>
      <c r="E5188" s="204"/>
      <c r="F5188" s="205"/>
      <c r="G5188" s="206"/>
      <c r="H5188" s="207"/>
      <c r="J5188" s="76"/>
    </row>
    <row r="5189" spans="1:10">
      <c r="A5189" s="172"/>
      <c r="D5189" s="56"/>
      <c r="E5189" s="204"/>
      <c r="F5189" s="205"/>
      <c r="G5189" s="206"/>
      <c r="H5189" s="207"/>
      <c r="J5189" s="76"/>
    </row>
    <row r="5190" spans="1:10">
      <c r="A5190" s="172"/>
      <c r="D5190" s="56"/>
      <c r="E5190" s="204"/>
      <c r="F5190" s="205"/>
      <c r="G5190" s="206"/>
      <c r="H5190" s="207"/>
      <c r="J5190" s="76"/>
    </row>
    <row r="5191" spans="1:10">
      <c r="A5191" s="172"/>
      <c r="D5191" s="56"/>
      <c r="E5191" s="204"/>
      <c r="F5191" s="205"/>
      <c r="G5191" s="206"/>
      <c r="H5191" s="207"/>
      <c r="J5191" s="76"/>
    </row>
    <row r="5192" spans="1:10">
      <c r="A5192" s="172"/>
      <c r="D5192" s="56"/>
      <c r="E5192" s="204"/>
      <c r="F5192" s="205"/>
      <c r="G5192" s="206"/>
      <c r="H5192" s="207"/>
      <c r="J5192" s="76"/>
    </row>
    <row r="5193" spans="1:10">
      <c r="A5193" s="172"/>
      <c r="D5193" s="56"/>
      <c r="E5193" s="204"/>
      <c r="F5193" s="205"/>
      <c r="G5193" s="206"/>
      <c r="H5193" s="207"/>
      <c r="J5193" s="76"/>
    </row>
    <row r="5194" spans="1:10">
      <c r="A5194" s="172"/>
      <c r="D5194" s="56"/>
      <c r="E5194" s="204"/>
      <c r="F5194" s="205"/>
      <c r="G5194" s="206"/>
      <c r="H5194" s="207"/>
      <c r="J5194" s="76"/>
    </row>
    <row r="5195" spans="1:10">
      <c r="A5195" s="172"/>
      <c r="D5195" s="56"/>
      <c r="E5195" s="204"/>
      <c r="F5195" s="205"/>
      <c r="G5195" s="206"/>
      <c r="H5195" s="207"/>
      <c r="J5195" s="76"/>
    </row>
    <row r="5196" spans="1:10">
      <c r="A5196" s="172"/>
      <c r="D5196" s="56"/>
      <c r="E5196" s="204"/>
      <c r="F5196" s="205"/>
      <c r="G5196" s="206"/>
      <c r="H5196" s="207"/>
      <c r="J5196" s="76"/>
    </row>
    <row r="5197" spans="1:10">
      <c r="A5197" s="172"/>
      <c r="D5197" s="56"/>
      <c r="E5197" s="204"/>
      <c r="F5197" s="205"/>
      <c r="G5197" s="206"/>
      <c r="H5197" s="207"/>
      <c r="J5197" s="76"/>
    </row>
    <row r="5198" spans="1:10">
      <c r="A5198" s="172"/>
      <c r="D5198" s="56"/>
      <c r="E5198" s="204"/>
      <c r="F5198" s="205"/>
      <c r="G5198" s="206"/>
      <c r="H5198" s="207"/>
      <c r="J5198" s="76"/>
    </row>
    <row r="5199" spans="1:10">
      <c r="A5199" s="172"/>
      <c r="D5199" s="56"/>
      <c r="E5199" s="204"/>
      <c r="F5199" s="205"/>
      <c r="G5199" s="206"/>
      <c r="H5199" s="207"/>
      <c r="J5199" s="76"/>
    </row>
    <row r="5200" spans="1:10">
      <c r="A5200" s="172"/>
      <c r="D5200" s="56"/>
      <c r="E5200" s="204"/>
      <c r="F5200" s="205"/>
      <c r="G5200" s="206"/>
      <c r="H5200" s="207"/>
      <c r="J5200" s="76"/>
    </row>
    <row r="5201" spans="1:10">
      <c r="A5201" s="172"/>
      <c r="D5201" s="56"/>
      <c r="E5201" s="204"/>
      <c r="F5201" s="205"/>
      <c r="G5201" s="206"/>
      <c r="H5201" s="207"/>
      <c r="J5201" s="76"/>
    </row>
    <row r="5202" spans="1:10">
      <c r="A5202" s="172"/>
      <c r="D5202" s="56"/>
      <c r="E5202" s="204"/>
      <c r="F5202" s="205"/>
      <c r="G5202" s="206"/>
      <c r="H5202" s="207"/>
      <c r="J5202" s="76"/>
    </row>
    <row r="5203" spans="1:10">
      <c r="A5203" s="172"/>
      <c r="D5203" s="56"/>
      <c r="E5203" s="204"/>
      <c r="F5203" s="205"/>
      <c r="G5203" s="206"/>
      <c r="H5203" s="207"/>
      <c r="J5203" s="76"/>
    </row>
    <row r="5204" spans="1:10">
      <c r="A5204" s="172"/>
      <c r="D5204" s="56"/>
      <c r="E5204" s="204"/>
      <c r="F5204" s="205"/>
      <c r="G5204" s="206"/>
      <c r="H5204" s="207"/>
      <c r="J5204" s="76"/>
    </row>
    <row r="5205" spans="1:10">
      <c r="A5205" s="172"/>
      <c r="D5205" s="56"/>
      <c r="E5205" s="204"/>
      <c r="F5205" s="205"/>
      <c r="G5205" s="206"/>
      <c r="H5205" s="207"/>
      <c r="J5205" s="76"/>
    </row>
    <row r="5206" spans="1:10">
      <c r="A5206" s="172"/>
      <c r="D5206" s="56"/>
      <c r="E5206" s="204"/>
      <c r="F5206" s="205"/>
      <c r="G5206" s="206"/>
      <c r="H5206" s="207"/>
      <c r="J5206" s="76"/>
    </row>
    <row r="5207" spans="1:10">
      <c r="A5207" s="172"/>
      <c r="D5207" s="56"/>
      <c r="E5207" s="204"/>
      <c r="F5207" s="205"/>
      <c r="G5207" s="206"/>
      <c r="H5207" s="207"/>
      <c r="J5207" s="76"/>
    </row>
    <row r="5208" spans="1:10">
      <c r="A5208" s="172"/>
      <c r="D5208" s="56"/>
      <c r="E5208" s="204"/>
      <c r="F5208" s="205"/>
      <c r="G5208" s="206"/>
      <c r="H5208" s="207"/>
      <c r="J5208" s="76"/>
    </row>
    <row r="5209" spans="1:10">
      <c r="A5209" s="172"/>
      <c r="D5209" s="56"/>
      <c r="E5209" s="204"/>
      <c r="F5209" s="205"/>
      <c r="G5209" s="206"/>
      <c r="H5209" s="207"/>
      <c r="J5209" s="76"/>
    </row>
    <row r="5210" spans="1:10">
      <c r="A5210" s="172"/>
      <c r="D5210" s="56"/>
      <c r="E5210" s="204"/>
      <c r="F5210" s="205"/>
      <c r="G5210" s="206"/>
      <c r="H5210" s="207"/>
      <c r="J5210" s="76"/>
    </row>
    <row r="5211" spans="1:10">
      <c r="A5211" s="172"/>
      <c r="D5211" s="56"/>
      <c r="E5211" s="204"/>
      <c r="F5211" s="205"/>
      <c r="G5211" s="206"/>
      <c r="H5211" s="207"/>
      <c r="J5211" s="76"/>
    </row>
    <row r="5212" spans="1:10">
      <c r="A5212" s="172"/>
      <c r="D5212" s="56"/>
      <c r="E5212" s="204"/>
      <c r="F5212" s="205"/>
      <c r="G5212" s="206"/>
      <c r="H5212" s="207"/>
      <c r="J5212" s="76"/>
    </row>
    <row r="5213" spans="1:10">
      <c r="A5213" s="172"/>
      <c r="D5213" s="56"/>
      <c r="E5213" s="204"/>
      <c r="F5213" s="205"/>
      <c r="G5213" s="206"/>
      <c r="H5213" s="207"/>
      <c r="J5213" s="76"/>
    </row>
    <row r="5214" spans="1:10">
      <c r="A5214" s="172"/>
      <c r="D5214" s="56"/>
      <c r="E5214" s="204"/>
      <c r="F5214" s="205"/>
      <c r="G5214" s="206"/>
      <c r="H5214" s="207"/>
      <c r="J5214" s="76"/>
    </row>
    <row r="5215" spans="1:10">
      <c r="A5215" s="172"/>
      <c r="D5215" s="56"/>
      <c r="E5215" s="204"/>
      <c r="F5215" s="205"/>
      <c r="G5215" s="206"/>
      <c r="H5215" s="207"/>
      <c r="J5215" s="76"/>
    </row>
    <row r="5216" spans="1:10">
      <c r="A5216" s="172"/>
      <c r="D5216" s="56"/>
      <c r="E5216" s="204"/>
      <c r="F5216" s="205"/>
      <c r="G5216" s="206"/>
      <c r="H5216" s="207"/>
      <c r="J5216" s="76"/>
    </row>
    <row r="5217" spans="1:10">
      <c r="A5217" s="172"/>
      <c r="D5217" s="56"/>
      <c r="E5217" s="204"/>
      <c r="F5217" s="205"/>
      <c r="G5217" s="206"/>
      <c r="H5217" s="207"/>
      <c r="J5217" s="76"/>
    </row>
    <row r="5218" spans="1:10">
      <c r="A5218" s="172"/>
      <c r="D5218" s="56"/>
      <c r="E5218" s="204"/>
      <c r="F5218" s="205"/>
      <c r="G5218" s="206"/>
      <c r="H5218" s="207"/>
      <c r="J5218" s="76"/>
    </row>
    <row r="5219" spans="1:10">
      <c r="A5219" s="172"/>
      <c r="D5219" s="56"/>
      <c r="E5219" s="204"/>
      <c r="F5219" s="205"/>
      <c r="G5219" s="206"/>
      <c r="H5219" s="207"/>
      <c r="J5219" s="76"/>
    </row>
    <row r="5220" spans="1:10">
      <c r="A5220" s="172"/>
      <c r="D5220" s="56"/>
      <c r="E5220" s="204"/>
      <c r="F5220" s="205"/>
      <c r="G5220" s="206"/>
      <c r="H5220" s="207"/>
      <c r="J5220" s="76"/>
    </row>
    <row r="5221" spans="1:10">
      <c r="A5221" s="172"/>
      <c r="D5221" s="56"/>
      <c r="E5221" s="204"/>
      <c r="F5221" s="205"/>
      <c r="G5221" s="206"/>
      <c r="H5221" s="207"/>
      <c r="J5221" s="76"/>
    </row>
    <row r="5222" spans="1:10">
      <c r="A5222" s="172"/>
      <c r="D5222" s="56"/>
      <c r="E5222" s="204"/>
      <c r="F5222" s="205"/>
      <c r="G5222" s="206"/>
      <c r="H5222" s="207"/>
      <c r="J5222" s="76"/>
    </row>
    <row r="5223" spans="1:10">
      <c r="A5223" s="172"/>
      <c r="D5223" s="56"/>
      <c r="E5223" s="204"/>
      <c r="F5223" s="205"/>
      <c r="G5223" s="206"/>
      <c r="H5223" s="207"/>
      <c r="J5223" s="76"/>
    </row>
    <row r="5224" spans="1:10">
      <c r="A5224" s="172"/>
      <c r="D5224" s="56"/>
      <c r="E5224" s="204"/>
      <c r="F5224" s="205"/>
      <c r="G5224" s="206"/>
      <c r="H5224" s="207"/>
      <c r="J5224" s="76"/>
    </row>
    <row r="5225" spans="1:10">
      <c r="A5225" s="172"/>
      <c r="D5225" s="56"/>
      <c r="E5225" s="204"/>
      <c r="F5225" s="205"/>
      <c r="G5225" s="206"/>
      <c r="H5225" s="207"/>
      <c r="J5225" s="76"/>
    </row>
    <row r="5226" spans="1:10">
      <c r="A5226" s="172"/>
      <c r="D5226" s="56"/>
      <c r="E5226" s="204"/>
      <c r="F5226" s="205"/>
      <c r="G5226" s="206"/>
      <c r="H5226" s="207"/>
      <c r="J5226" s="76"/>
    </row>
    <row r="5227" spans="1:10">
      <c r="A5227" s="172"/>
      <c r="D5227" s="56"/>
      <c r="E5227" s="204"/>
      <c r="F5227" s="205"/>
      <c r="G5227" s="206"/>
      <c r="H5227" s="207"/>
      <c r="J5227" s="76"/>
    </row>
    <row r="5228" spans="1:10">
      <c r="A5228" s="172"/>
      <c r="D5228" s="56"/>
      <c r="E5228" s="204"/>
      <c r="F5228" s="205"/>
      <c r="G5228" s="206"/>
      <c r="H5228" s="207"/>
      <c r="J5228" s="76"/>
    </row>
    <row r="5229" spans="1:10">
      <c r="A5229" s="172"/>
      <c r="D5229" s="56"/>
      <c r="E5229" s="204"/>
      <c r="F5229" s="205"/>
      <c r="G5229" s="206"/>
      <c r="H5229" s="207"/>
      <c r="J5229" s="76"/>
    </row>
    <row r="5230" spans="1:10">
      <c r="A5230" s="172"/>
      <c r="D5230" s="56"/>
      <c r="E5230" s="204"/>
      <c r="F5230" s="205"/>
      <c r="G5230" s="206"/>
      <c r="H5230" s="207"/>
      <c r="J5230" s="76"/>
    </row>
    <row r="5231" spans="1:10">
      <c r="A5231" s="172"/>
      <c r="D5231" s="56"/>
      <c r="E5231" s="204"/>
      <c r="F5231" s="205"/>
      <c r="G5231" s="206"/>
      <c r="H5231" s="207"/>
      <c r="J5231" s="76"/>
    </row>
    <row r="5232" spans="1:10">
      <c r="A5232" s="172"/>
      <c r="D5232" s="56"/>
      <c r="E5232" s="204"/>
      <c r="F5232" s="205"/>
      <c r="G5232" s="206"/>
      <c r="H5232" s="207"/>
      <c r="J5232" s="76"/>
    </row>
    <row r="5233" spans="1:10">
      <c r="A5233" s="172"/>
      <c r="D5233" s="56"/>
      <c r="E5233" s="204"/>
      <c r="F5233" s="205"/>
      <c r="G5233" s="206"/>
      <c r="H5233" s="207"/>
      <c r="J5233" s="76"/>
    </row>
    <row r="5234" spans="1:10">
      <c r="A5234" s="172"/>
      <c r="D5234" s="56"/>
      <c r="E5234" s="204"/>
      <c r="F5234" s="205"/>
      <c r="G5234" s="206"/>
      <c r="H5234" s="207"/>
      <c r="J5234" s="76"/>
    </row>
    <row r="5235" spans="1:10">
      <c r="A5235" s="172"/>
      <c r="D5235" s="56"/>
      <c r="E5235" s="204"/>
      <c r="F5235" s="205"/>
      <c r="G5235" s="206"/>
      <c r="H5235" s="207"/>
      <c r="J5235" s="76"/>
    </row>
    <row r="5236" spans="1:10">
      <c r="A5236" s="172"/>
      <c r="D5236" s="56"/>
      <c r="E5236" s="204"/>
      <c r="F5236" s="205"/>
      <c r="G5236" s="206"/>
      <c r="H5236" s="207"/>
      <c r="J5236" s="76"/>
    </row>
    <row r="5237" spans="1:10">
      <c r="A5237" s="172"/>
      <c r="D5237" s="56"/>
      <c r="E5237" s="204"/>
      <c r="F5237" s="205"/>
      <c r="G5237" s="206"/>
      <c r="H5237" s="207"/>
      <c r="J5237" s="76"/>
    </row>
    <row r="5238" spans="1:10">
      <c r="A5238" s="172"/>
      <c r="D5238" s="56"/>
      <c r="E5238" s="204"/>
      <c r="F5238" s="205"/>
      <c r="G5238" s="206"/>
      <c r="H5238" s="207"/>
      <c r="J5238" s="76"/>
    </row>
    <row r="5239" spans="1:10">
      <c r="A5239" s="172"/>
      <c r="D5239" s="56"/>
      <c r="E5239" s="204"/>
      <c r="F5239" s="205"/>
      <c r="G5239" s="206"/>
      <c r="H5239" s="207"/>
      <c r="J5239" s="76"/>
    </row>
    <row r="5240" spans="1:10">
      <c r="A5240" s="172"/>
      <c r="D5240" s="56"/>
      <c r="E5240" s="204"/>
      <c r="F5240" s="205"/>
      <c r="G5240" s="206"/>
      <c r="H5240" s="207"/>
      <c r="J5240" s="76"/>
    </row>
    <row r="5241" spans="1:10">
      <c r="A5241" s="172"/>
      <c r="D5241" s="56"/>
      <c r="E5241" s="204"/>
      <c r="F5241" s="205"/>
      <c r="G5241" s="206"/>
      <c r="H5241" s="207"/>
      <c r="J5241" s="76"/>
    </row>
    <row r="5242" spans="1:10">
      <c r="A5242" s="172"/>
      <c r="D5242" s="56"/>
      <c r="E5242" s="204"/>
      <c r="F5242" s="205"/>
      <c r="G5242" s="206"/>
      <c r="H5242" s="207"/>
      <c r="J5242" s="76"/>
    </row>
    <row r="5243" spans="1:10">
      <c r="A5243" s="172"/>
      <c r="D5243" s="56"/>
      <c r="E5243" s="204"/>
      <c r="F5243" s="205"/>
      <c r="G5243" s="206"/>
      <c r="H5243" s="207"/>
      <c r="J5243" s="76"/>
    </row>
    <row r="5244" spans="1:10">
      <c r="A5244" s="172"/>
      <c r="D5244" s="56"/>
      <c r="E5244" s="204"/>
      <c r="F5244" s="205"/>
      <c r="G5244" s="206"/>
      <c r="H5244" s="207"/>
      <c r="J5244" s="76"/>
    </row>
    <row r="5245" spans="1:10">
      <c r="A5245" s="172"/>
      <c r="D5245" s="56"/>
      <c r="E5245" s="204"/>
      <c r="F5245" s="205"/>
      <c r="G5245" s="206"/>
      <c r="H5245" s="207"/>
      <c r="J5245" s="76"/>
    </row>
    <row r="5246" spans="1:10">
      <c r="A5246" s="172"/>
      <c r="D5246" s="56"/>
      <c r="E5246" s="204"/>
      <c r="F5246" s="205"/>
      <c r="G5246" s="206"/>
      <c r="H5246" s="207"/>
      <c r="J5246" s="76"/>
    </row>
    <row r="5247" spans="1:10">
      <c r="A5247" s="172"/>
      <c r="D5247" s="56"/>
      <c r="E5247" s="204"/>
      <c r="F5247" s="205"/>
      <c r="G5247" s="206"/>
      <c r="H5247" s="207"/>
      <c r="J5247" s="76"/>
    </row>
    <row r="5248" spans="1:10">
      <c r="A5248" s="172"/>
      <c r="D5248" s="56"/>
      <c r="E5248" s="204"/>
      <c r="F5248" s="205"/>
      <c r="G5248" s="206"/>
      <c r="H5248" s="207"/>
      <c r="J5248" s="76"/>
    </row>
    <row r="5249" spans="1:10">
      <c r="A5249" s="172"/>
      <c r="D5249" s="56"/>
      <c r="E5249" s="204"/>
      <c r="F5249" s="205"/>
      <c r="G5249" s="206"/>
      <c r="H5249" s="207"/>
      <c r="J5249" s="76"/>
    </row>
    <row r="5250" spans="1:10">
      <c r="A5250" s="172"/>
      <c r="D5250" s="56"/>
      <c r="E5250" s="204"/>
      <c r="F5250" s="205"/>
      <c r="G5250" s="206"/>
      <c r="H5250" s="207"/>
      <c r="J5250" s="76"/>
    </row>
    <row r="5251" spans="1:10">
      <c r="A5251" s="172"/>
      <c r="D5251" s="56"/>
      <c r="E5251" s="204"/>
      <c r="F5251" s="205"/>
      <c r="G5251" s="206"/>
      <c r="H5251" s="207"/>
      <c r="J5251" s="76"/>
    </row>
    <row r="5252" spans="1:10">
      <c r="A5252" s="172"/>
      <c r="D5252" s="56"/>
      <c r="E5252" s="204"/>
      <c r="F5252" s="205"/>
      <c r="G5252" s="206"/>
      <c r="H5252" s="207"/>
      <c r="J5252" s="76"/>
    </row>
    <row r="5253" spans="1:10">
      <c r="A5253" s="172"/>
      <c r="D5253" s="56"/>
      <c r="E5253" s="204"/>
      <c r="F5253" s="205"/>
      <c r="G5253" s="206"/>
      <c r="H5253" s="207"/>
      <c r="J5253" s="76"/>
    </row>
    <row r="5254" spans="1:10">
      <c r="A5254" s="172"/>
      <c r="D5254" s="56"/>
      <c r="E5254" s="204"/>
      <c r="F5254" s="205"/>
      <c r="G5254" s="206"/>
      <c r="H5254" s="207"/>
      <c r="J5254" s="76"/>
    </row>
    <row r="5255" spans="1:10">
      <c r="A5255" s="172"/>
      <c r="D5255" s="56"/>
      <c r="E5255" s="204"/>
      <c r="F5255" s="205"/>
      <c r="G5255" s="206"/>
      <c r="H5255" s="207"/>
      <c r="J5255" s="76"/>
    </row>
    <row r="5256" spans="1:10">
      <c r="A5256" s="172"/>
      <c r="D5256" s="56"/>
      <c r="E5256" s="204"/>
      <c r="F5256" s="205"/>
      <c r="G5256" s="206"/>
      <c r="H5256" s="207"/>
      <c r="J5256" s="76"/>
    </row>
    <row r="5257" spans="1:10">
      <c r="A5257" s="172"/>
      <c r="D5257" s="56"/>
      <c r="E5257" s="204"/>
      <c r="F5257" s="205"/>
      <c r="G5257" s="206"/>
      <c r="H5257" s="207"/>
      <c r="J5257" s="76"/>
    </row>
    <row r="5258" spans="1:10">
      <c r="A5258" s="172"/>
      <c r="D5258" s="56"/>
      <c r="E5258" s="204"/>
      <c r="F5258" s="205"/>
      <c r="G5258" s="206"/>
      <c r="H5258" s="207"/>
      <c r="J5258" s="76"/>
    </row>
    <row r="5259" spans="1:10">
      <c r="A5259" s="172"/>
      <c r="D5259" s="56"/>
      <c r="E5259" s="204"/>
      <c r="F5259" s="205"/>
      <c r="G5259" s="206"/>
      <c r="H5259" s="207"/>
      <c r="J5259" s="76"/>
    </row>
    <row r="5260" spans="1:10">
      <c r="A5260" s="172"/>
      <c r="D5260" s="56"/>
      <c r="E5260" s="204"/>
      <c r="F5260" s="205"/>
      <c r="G5260" s="206"/>
      <c r="H5260" s="207"/>
      <c r="J5260" s="76"/>
    </row>
    <row r="5261" spans="1:10">
      <c r="A5261" s="172"/>
      <c r="D5261" s="56"/>
      <c r="E5261" s="204"/>
      <c r="F5261" s="205"/>
      <c r="G5261" s="206"/>
      <c r="H5261" s="207"/>
      <c r="J5261" s="76"/>
    </row>
    <row r="5262" spans="1:10">
      <c r="A5262" s="172"/>
      <c r="D5262" s="56"/>
      <c r="E5262" s="204"/>
      <c r="F5262" s="205"/>
      <c r="G5262" s="206"/>
      <c r="H5262" s="207"/>
      <c r="J5262" s="76"/>
    </row>
    <row r="5263" spans="1:10">
      <c r="A5263" s="172"/>
      <c r="D5263" s="56"/>
      <c r="E5263" s="204"/>
      <c r="F5263" s="205"/>
      <c r="G5263" s="206"/>
      <c r="H5263" s="207"/>
      <c r="J5263" s="76"/>
    </row>
    <row r="5264" spans="1:10">
      <c r="A5264" s="172"/>
      <c r="D5264" s="56"/>
      <c r="E5264" s="204"/>
      <c r="F5264" s="205"/>
      <c r="G5264" s="206"/>
      <c r="H5264" s="207"/>
      <c r="J5264" s="76"/>
    </row>
    <row r="5265" spans="1:10">
      <c r="A5265" s="172"/>
      <c r="D5265" s="56"/>
      <c r="E5265" s="204"/>
      <c r="F5265" s="205"/>
      <c r="G5265" s="206"/>
      <c r="H5265" s="207"/>
      <c r="J5265" s="76"/>
    </row>
    <row r="5266" spans="1:10">
      <c r="A5266" s="172"/>
      <c r="D5266" s="56"/>
      <c r="E5266" s="204"/>
      <c r="F5266" s="205"/>
      <c r="G5266" s="206"/>
      <c r="H5266" s="207"/>
      <c r="J5266" s="76"/>
    </row>
    <row r="5267" spans="1:10">
      <c r="A5267" s="172"/>
      <c r="D5267" s="56"/>
      <c r="E5267" s="204"/>
      <c r="F5267" s="205"/>
      <c r="G5267" s="206"/>
      <c r="H5267" s="207"/>
      <c r="J5267" s="76"/>
    </row>
    <row r="5268" spans="1:10">
      <c r="A5268" s="172"/>
      <c r="D5268" s="56"/>
      <c r="E5268" s="204"/>
      <c r="F5268" s="205"/>
      <c r="G5268" s="206"/>
      <c r="H5268" s="207"/>
      <c r="J5268" s="76"/>
    </row>
    <row r="5269" spans="1:10">
      <c r="A5269" s="172"/>
      <c r="D5269" s="56"/>
      <c r="E5269" s="204"/>
      <c r="F5269" s="205"/>
      <c r="G5269" s="206"/>
      <c r="H5269" s="207"/>
      <c r="J5269" s="76"/>
    </row>
    <row r="5270" spans="1:10">
      <c r="A5270" s="172"/>
      <c r="D5270" s="56"/>
      <c r="E5270" s="204"/>
      <c r="F5270" s="205"/>
      <c r="G5270" s="206"/>
      <c r="H5270" s="207"/>
      <c r="J5270" s="76"/>
    </row>
    <row r="5271" spans="1:10">
      <c r="A5271" s="172"/>
      <c r="D5271" s="56"/>
      <c r="E5271" s="204"/>
      <c r="F5271" s="205"/>
      <c r="G5271" s="206"/>
      <c r="H5271" s="207"/>
      <c r="J5271" s="76"/>
    </row>
    <row r="5272" spans="1:10">
      <c r="A5272" s="172"/>
      <c r="D5272" s="56"/>
      <c r="E5272" s="204"/>
      <c r="F5272" s="205"/>
      <c r="G5272" s="206"/>
      <c r="H5272" s="207"/>
      <c r="J5272" s="76"/>
    </row>
    <row r="5273" spans="1:10">
      <c r="A5273" s="172"/>
      <c r="D5273" s="56"/>
      <c r="E5273" s="204"/>
      <c r="F5273" s="205"/>
      <c r="G5273" s="206"/>
      <c r="H5273" s="207"/>
      <c r="J5273" s="76"/>
    </row>
    <row r="5274" spans="1:10">
      <c r="A5274" s="172"/>
      <c r="D5274" s="56"/>
      <c r="E5274" s="204"/>
      <c r="F5274" s="205"/>
      <c r="G5274" s="206"/>
      <c r="H5274" s="207"/>
      <c r="J5274" s="76"/>
    </row>
    <row r="5275" spans="1:10">
      <c r="A5275" s="172"/>
      <c r="D5275" s="56"/>
      <c r="E5275" s="204"/>
      <c r="F5275" s="205"/>
      <c r="G5275" s="206"/>
      <c r="H5275" s="207"/>
      <c r="J5275" s="76"/>
    </row>
    <row r="5276" spans="1:10">
      <c r="A5276" s="172"/>
      <c r="D5276" s="56"/>
      <c r="E5276" s="204"/>
      <c r="F5276" s="205"/>
      <c r="G5276" s="206"/>
      <c r="H5276" s="207"/>
      <c r="J5276" s="76"/>
    </row>
    <row r="5277" spans="1:10">
      <c r="A5277" s="172"/>
      <c r="D5277" s="56"/>
      <c r="E5277" s="204"/>
      <c r="F5277" s="205"/>
      <c r="G5277" s="206"/>
      <c r="H5277" s="207"/>
      <c r="J5277" s="76"/>
    </row>
    <row r="5278" spans="1:10">
      <c r="A5278" s="172"/>
      <c r="D5278" s="56"/>
      <c r="E5278" s="204"/>
      <c r="F5278" s="205"/>
      <c r="G5278" s="206"/>
      <c r="H5278" s="207"/>
      <c r="J5278" s="76"/>
    </row>
    <row r="5279" spans="1:10">
      <c r="A5279" s="172"/>
      <c r="D5279" s="56"/>
      <c r="E5279" s="204"/>
      <c r="F5279" s="205"/>
      <c r="G5279" s="206"/>
      <c r="H5279" s="207"/>
      <c r="J5279" s="76"/>
    </row>
    <row r="5280" spans="1:10">
      <c r="A5280" s="172"/>
      <c r="D5280" s="56"/>
      <c r="E5280" s="204"/>
      <c r="F5280" s="205"/>
      <c r="G5280" s="206"/>
      <c r="H5280" s="207"/>
      <c r="J5280" s="76"/>
    </row>
    <row r="5281" spans="1:10">
      <c r="A5281" s="172"/>
      <c r="D5281" s="56"/>
      <c r="E5281" s="204"/>
      <c r="F5281" s="205"/>
      <c r="G5281" s="206"/>
      <c r="H5281" s="207"/>
      <c r="J5281" s="76"/>
    </row>
    <row r="5282" spans="1:10">
      <c r="A5282" s="172"/>
      <c r="D5282" s="56"/>
      <c r="E5282" s="204"/>
      <c r="F5282" s="205"/>
      <c r="G5282" s="206"/>
      <c r="H5282" s="207"/>
      <c r="J5282" s="76"/>
    </row>
    <row r="5283" spans="1:10">
      <c r="A5283" s="172"/>
      <c r="D5283" s="56"/>
      <c r="E5283" s="204"/>
      <c r="F5283" s="205"/>
      <c r="G5283" s="206"/>
      <c r="H5283" s="207"/>
      <c r="J5283" s="76"/>
    </row>
    <row r="5284" spans="1:10">
      <c r="A5284" s="172"/>
      <c r="D5284" s="56"/>
      <c r="E5284" s="204"/>
      <c r="F5284" s="205"/>
      <c r="G5284" s="206"/>
      <c r="H5284" s="207"/>
      <c r="J5284" s="76"/>
    </row>
    <row r="5285" spans="1:10">
      <c r="A5285" s="172"/>
      <c r="D5285" s="56"/>
      <c r="E5285" s="204"/>
      <c r="F5285" s="205"/>
      <c r="G5285" s="206"/>
      <c r="H5285" s="207"/>
      <c r="J5285" s="76"/>
    </row>
    <row r="5286" spans="1:10">
      <c r="A5286" s="172"/>
      <c r="D5286" s="56"/>
      <c r="E5286" s="204"/>
      <c r="F5286" s="205"/>
      <c r="G5286" s="206"/>
      <c r="H5286" s="207"/>
      <c r="J5286" s="76"/>
    </row>
    <row r="5287" spans="1:10">
      <c r="A5287" s="172"/>
      <c r="D5287" s="56"/>
      <c r="E5287" s="204"/>
      <c r="F5287" s="205"/>
      <c r="G5287" s="206"/>
      <c r="H5287" s="207"/>
      <c r="J5287" s="76"/>
    </row>
    <row r="5288" spans="1:10">
      <c r="A5288" s="172"/>
      <c r="D5288" s="56"/>
      <c r="E5288" s="204"/>
      <c r="F5288" s="205"/>
      <c r="G5288" s="206"/>
      <c r="H5288" s="207"/>
      <c r="J5288" s="76"/>
    </row>
    <row r="5289" spans="1:10">
      <c r="A5289" s="172"/>
      <c r="D5289" s="56"/>
      <c r="E5289" s="204"/>
      <c r="F5289" s="205"/>
      <c r="G5289" s="206"/>
      <c r="H5289" s="207"/>
      <c r="J5289" s="76"/>
    </row>
    <row r="5290" spans="1:10">
      <c r="A5290" s="172"/>
      <c r="D5290" s="56"/>
      <c r="E5290" s="204"/>
      <c r="F5290" s="205"/>
      <c r="G5290" s="206"/>
      <c r="H5290" s="207"/>
      <c r="J5290" s="76"/>
    </row>
    <row r="5291" spans="1:10">
      <c r="A5291" s="172"/>
      <c r="D5291" s="56"/>
      <c r="E5291" s="204"/>
      <c r="F5291" s="205"/>
      <c r="G5291" s="206"/>
      <c r="H5291" s="207"/>
      <c r="J5291" s="76"/>
    </row>
    <row r="5292" spans="1:10">
      <c r="A5292" s="172"/>
      <c r="D5292" s="56"/>
      <c r="E5292" s="204"/>
      <c r="F5292" s="205"/>
      <c r="G5292" s="206"/>
      <c r="H5292" s="207"/>
      <c r="J5292" s="76"/>
    </row>
    <row r="5293" spans="1:10">
      <c r="A5293" s="172"/>
      <c r="D5293" s="56"/>
      <c r="E5293" s="204"/>
      <c r="F5293" s="205"/>
      <c r="G5293" s="206"/>
      <c r="H5293" s="207"/>
      <c r="J5293" s="76"/>
    </row>
    <row r="5294" spans="1:10">
      <c r="A5294" s="172"/>
      <c r="D5294" s="56"/>
      <c r="E5294" s="204"/>
      <c r="F5294" s="205"/>
      <c r="G5294" s="206"/>
      <c r="H5294" s="207"/>
      <c r="J5294" s="76"/>
    </row>
    <row r="5295" spans="1:10">
      <c r="A5295" s="172"/>
      <c r="D5295" s="56"/>
      <c r="E5295" s="204"/>
      <c r="F5295" s="205"/>
      <c r="G5295" s="206"/>
      <c r="H5295" s="207"/>
      <c r="J5295" s="76"/>
    </row>
    <row r="5296" spans="1:10">
      <c r="A5296" s="172"/>
      <c r="D5296" s="56"/>
      <c r="E5296" s="204"/>
      <c r="F5296" s="205"/>
      <c r="G5296" s="206"/>
      <c r="H5296" s="207"/>
      <c r="J5296" s="76"/>
    </row>
    <row r="5297" spans="1:10">
      <c r="A5297" s="172"/>
      <c r="D5297" s="56"/>
      <c r="E5297" s="204"/>
      <c r="F5297" s="205"/>
      <c r="G5297" s="206"/>
      <c r="H5297" s="207"/>
      <c r="J5297" s="76"/>
    </row>
    <row r="5298" spans="1:10">
      <c r="A5298" s="172"/>
      <c r="D5298" s="56"/>
      <c r="E5298" s="204"/>
      <c r="F5298" s="205"/>
      <c r="G5298" s="206"/>
      <c r="H5298" s="207"/>
      <c r="J5298" s="76"/>
    </row>
    <row r="5299" spans="1:10">
      <c r="A5299" s="172"/>
      <c r="D5299" s="56"/>
      <c r="E5299" s="204"/>
      <c r="F5299" s="205"/>
      <c r="G5299" s="206"/>
      <c r="H5299" s="207"/>
      <c r="J5299" s="76"/>
    </row>
    <row r="5300" spans="1:10">
      <c r="A5300" s="172"/>
      <c r="D5300" s="56"/>
      <c r="E5300" s="204"/>
      <c r="F5300" s="205"/>
      <c r="G5300" s="206"/>
      <c r="H5300" s="207"/>
      <c r="J5300" s="76"/>
    </row>
    <row r="5301" spans="1:10">
      <c r="A5301" s="172"/>
      <c r="D5301" s="56"/>
      <c r="E5301" s="204"/>
      <c r="F5301" s="205"/>
      <c r="G5301" s="206"/>
      <c r="H5301" s="207"/>
      <c r="J5301" s="76"/>
    </row>
    <row r="5302" spans="1:10">
      <c r="A5302" s="172"/>
      <c r="D5302" s="56"/>
      <c r="E5302" s="204"/>
      <c r="F5302" s="205"/>
      <c r="G5302" s="206"/>
      <c r="H5302" s="207"/>
      <c r="J5302" s="76"/>
    </row>
    <row r="5303" spans="1:10">
      <c r="A5303" s="172"/>
      <c r="D5303" s="56"/>
      <c r="E5303" s="204"/>
      <c r="F5303" s="205"/>
      <c r="G5303" s="206"/>
      <c r="H5303" s="207"/>
      <c r="J5303" s="76"/>
    </row>
    <row r="5304" spans="1:10">
      <c r="A5304" s="172"/>
      <c r="D5304" s="56"/>
      <c r="E5304" s="204"/>
      <c r="F5304" s="205"/>
      <c r="G5304" s="206"/>
      <c r="H5304" s="207"/>
      <c r="J5304" s="76"/>
    </row>
    <row r="5305" spans="1:10">
      <c r="A5305" s="172"/>
      <c r="D5305" s="56"/>
      <c r="E5305" s="204"/>
      <c r="F5305" s="205"/>
      <c r="G5305" s="206"/>
      <c r="H5305" s="207"/>
      <c r="J5305" s="76"/>
    </row>
    <row r="5306" spans="1:10">
      <c r="A5306" s="172"/>
      <c r="D5306" s="56"/>
      <c r="E5306" s="204"/>
      <c r="F5306" s="205"/>
      <c r="G5306" s="206"/>
      <c r="H5306" s="207"/>
      <c r="J5306" s="76"/>
    </row>
    <row r="5307" spans="1:10">
      <c r="A5307" s="172"/>
      <c r="D5307" s="56"/>
      <c r="E5307" s="204"/>
      <c r="F5307" s="205"/>
      <c r="G5307" s="206"/>
      <c r="H5307" s="207"/>
      <c r="J5307" s="76"/>
    </row>
    <row r="5308" spans="1:10">
      <c r="A5308" s="172"/>
      <c r="D5308" s="56"/>
      <c r="E5308" s="204"/>
      <c r="F5308" s="205"/>
      <c r="G5308" s="206"/>
      <c r="H5308" s="207"/>
      <c r="J5308" s="76"/>
    </row>
    <row r="5309" spans="1:10">
      <c r="A5309" s="172"/>
      <c r="D5309" s="56"/>
      <c r="E5309" s="204"/>
      <c r="F5309" s="205"/>
      <c r="G5309" s="206"/>
      <c r="H5309" s="207"/>
      <c r="J5309" s="76"/>
    </row>
    <row r="5310" spans="1:10">
      <c r="A5310" s="172"/>
      <c r="D5310" s="56"/>
      <c r="E5310" s="204"/>
      <c r="F5310" s="205"/>
      <c r="G5310" s="206"/>
      <c r="H5310" s="207"/>
      <c r="J5310" s="76"/>
    </row>
    <row r="5311" spans="1:10">
      <c r="A5311" s="172"/>
      <c r="D5311" s="56"/>
      <c r="E5311" s="204"/>
      <c r="F5311" s="205"/>
      <c r="G5311" s="206"/>
      <c r="H5311" s="207"/>
      <c r="J5311" s="76"/>
    </row>
    <row r="5312" spans="1:10">
      <c r="A5312" s="172"/>
      <c r="D5312" s="56"/>
      <c r="E5312" s="204"/>
      <c r="F5312" s="205"/>
      <c r="G5312" s="206"/>
      <c r="H5312" s="207"/>
      <c r="J5312" s="76"/>
    </row>
    <row r="5313" spans="1:10">
      <c r="A5313" s="172"/>
      <c r="D5313" s="56"/>
      <c r="E5313" s="204"/>
      <c r="F5313" s="205"/>
      <c r="G5313" s="206"/>
      <c r="H5313" s="207"/>
      <c r="J5313" s="76"/>
    </row>
    <row r="5314" spans="1:10">
      <c r="A5314" s="172"/>
      <c r="D5314" s="56"/>
      <c r="E5314" s="204"/>
      <c r="F5314" s="205"/>
      <c r="G5314" s="206"/>
      <c r="H5314" s="207"/>
      <c r="J5314" s="76"/>
    </row>
    <row r="5315" spans="1:10">
      <c r="A5315" s="172"/>
      <c r="D5315" s="56"/>
      <c r="E5315" s="204"/>
      <c r="F5315" s="205"/>
      <c r="G5315" s="206"/>
      <c r="H5315" s="207"/>
      <c r="J5315" s="76"/>
    </row>
    <row r="5316" spans="1:10">
      <c r="A5316" s="172"/>
      <c r="D5316" s="56"/>
      <c r="E5316" s="204"/>
      <c r="F5316" s="205"/>
      <c r="G5316" s="206"/>
      <c r="H5316" s="207"/>
      <c r="J5316" s="76"/>
    </row>
    <row r="5317" spans="1:10">
      <c r="A5317" s="172"/>
      <c r="D5317" s="56"/>
      <c r="E5317" s="204"/>
      <c r="F5317" s="205"/>
      <c r="G5317" s="206"/>
      <c r="H5317" s="207"/>
      <c r="J5317" s="76"/>
    </row>
    <row r="5318" spans="1:10">
      <c r="A5318" s="172"/>
      <c r="D5318" s="56"/>
      <c r="E5318" s="204"/>
      <c r="F5318" s="205"/>
      <c r="G5318" s="206"/>
      <c r="H5318" s="207"/>
      <c r="J5318" s="76"/>
    </row>
    <row r="5319" spans="1:10">
      <c r="A5319" s="172"/>
      <c r="D5319" s="56"/>
      <c r="E5319" s="204"/>
      <c r="F5319" s="205"/>
      <c r="G5319" s="206"/>
      <c r="H5319" s="207"/>
      <c r="J5319" s="76"/>
    </row>
    <row r="5320" spans="1:10">
      <c r="A5320" s="172"/>
      <c r="D5320" s="56"/>
      <c r="E5320" s="204"/>
      <c r="F5320" s="205"/>
      <c r="G5320" s="206"/>
      <c r="H5320" s="207"/>
      <c r="J5320" s="76"/>
    </row>
    <row r="5321" spans="1:10">
      <c r="A5321" s="172"/>
      <c r="D5321" s="56"/>
      <c r="E5321" s="204"/>
      <c r="F5321" s="205"/>
      <c r="G5321" s="206"/>
      <c r="H5321" s="207"/>
      <c r="J5321" s="76"/>
    </row>
    <row r="5322" spans="1:10">
      <c r="A5322" s="172"/>
      <c r="D5322" s="56"/>
      <c r="E5322" s="204"/>
      <c r="F5322" s="205"/>
      <c r="G5322" s="206"/>
      <c r="H5322" s="207"/>
      <c r="J5322" s="76"/>
    </row>
    <row r="5323" spans="1:10">
      <c r="A5323" s="172"/>
      <c r="D5323" s="56"/>
      <c r="E5323" s="204"/>
      <c r="F5323" s="205"/>
      <c r="G5323" s="206"/>
      <c r="H5323" s="207"/>
      <c r="J5323" s="76"/>
    </row>
    <row r="5324" spans="1:10">
      <c r="A5324" s="172"/>
      <c r="D5324" s="56"/>
      <c r="E5324" s="204"/>
      <c r="F5324" s="205"/>
      <c r="G5324" s="206"/>
      <c r="H5324" s="207"/>
      <c r="J5324" s="76"/>
    </row>
    <row r="5325" spans="1:10">
      <c r="A5325" s="172"/>
      <c r="D5325" s="56"/>
      <c r="E5325" s="204"/>
      <c r="F5325" s="205"/>
      <c r="G5325" s="206"/>
      <c r="H5325" s="207"/>
      <c r="J5325" s="76"/>
    </row>
    <row r="5326" spans="1:10">
      <c r="A5326" s="172"/>
      <c r="D5326" s="56"/>
      <c r="E5326" s="204"/>
      <c r="F5326" s="205"/>
      <c r="G5326" s="206"/>
      <c r="H5326" s="207"/>
      <c r="J5326" s="76"/>
    </row>
    <row r="5327" spans="1:10">
      <c r="A5327" s="172"/>
      <c r="D5327" s="56"/>
      <c r="E5327" s="204"/>
      <c r="F5327" s="205"/>
      <c r="G5327" s="206"/>
      <c r="H5327" s="207"/>
      <c r="J5327" s="76"/>
    </row>
    <row r="5328" spans="1:10">
      <c r="A5328" s="172"/>
      <c r="D5328" s="56"/>
      <c r="E5328" s="204"/>
      <c r="F5328" s="205"/>
      <c r="G5328" s="206"/>
      <c r="H5328" s="207"/>
      <c r="J5328" s="76"/>
    </row>
    <row r="5329" spans="1:10">
      <c r="A5329" s="172"/>
      <c r="D5329" s="56"/>
      <c r="E5329" s="204"/>
      <c r="F5329" s="205"/>
      <c r="G5329" s="206"/>
      <c r="H5329" s="207"/>
      <c r="J5329" s="76"/>
    </row>
    <row r="5330" spans="1:10">
      <c r="A5330" s="172"/>
      <c r="D5330" s="56"/>
      <c r="E5330" s="204"/>
      <c r="F5330" s="205"/>
      <c r="G5330" s="206"/>
      <c r="H5330" s="207"/>
      <c r="J5330" s="76"/>
    </row>
    <row r="5331" spans="1:10">
      <c r="A5331" s="172"/>
      <c r="D5331" s="56"/>
      <c r="E5331" s="204"/>
      <c r="F5331" s="205"/>
      <c r="G5331" s="206"/>
      <c r="H5331" s="207"/>
      <c r="J5331" s="76"/>
    </row>
    <row r="5332" spans="1:10">
      <c r="A5332" s="172"/>
      <c r="D5332" s="56"/>
      <c r="E5332" s="204"/>
      <c r="F5332" s="205"/>
      <c r="G5332" s="206"/>
      <c r="H5332" s="207"/>
      <c r="J5332" s="76"/>
    </row>
    <row r="5333" spans="1:10">
      <c r="A5333" s="172"/>
      <c r="D5333" s="56"/>
      <c r="E5333" s="204"/>
      <c r="F5333" s="205"/>
      <c r="G5333" s="206"/>
      <c r="H5333" s="207"/>
      <c r="J5333" s="76"/>
    </row>
    <row r="5334" spans="1:10">
      <c r="A5334" s="172"/>
      <c r="D5334" s="56"/>
      <c r="E5334" s="204"/>
      <c r="F5334" s="205"/>
      <c r="G5334" s="206"/>
      <c r="H5334" s="207"/>
      <c r="J5334" s="76"/>
    </row>
    <row r="5335" spans="1:10">
      <c r="A5335" s="172"/>
      <c r="D5335" s="56"/>
      <c r="E5335" s="204"/>
      <c r="F5335" s="205"/>
      <c r="G5335" s="206"/>
      <c r="H5335" s="207"/>
      <c r="J5335" s="76"/>
    </row>
    <row r="5336" spans="1:10">
      <c r="A5336" s="172"/>
      <c r="D5336" s="56"/>
      <c r="E5336" s="204"/>
      <c r="F5336" s="205"/>
      <c r="G5336" s="206"/>
      <c r="H5336" s="207"/>
      <c r="J5336" s="76"/>
    </row>
    <row r="5337" spans="1:10">
      <c r="A5337" s="172"/>
      <c r="D5337" s="56"/>
      <c r="E5337" s="204"/>
      <c r="F5337" s="205"/>
      <c r="G5337" s="206"/>
      <c r="H5337" s="207"/>
      <c r="J5337" s="76"/>
    </row>
    <row r="5338" spans="1:10">
      <c r="A5338" s="172"/>
      <c r="D5338" s="56"/>
      <c r="E5338" s="204"/>
      <c r="F5338" s="205"/>
      <c r="G5338" s="206"/>
      <c r="H5338" s="207"/>
      <c r="J5338" s="76"/>
    </row>
    <row r="5339" spans="1:10">
      <c r="A5339" s="172"/>
      <c r="D5339" s="56"/>
      <c r="E5339" s="204"/>
      <c r="F5339" s="205"/>
      <c r="G5339" s="206"/>
      <c r="H5339" s="207"/>
      <c r="J5339" s="76"/>
    </row>
    <row r="5340" spans="1:10">
      <c r="A5340" s="172"/>
      <c r="D5340" s="56"/>
      <c r="E5340" s="204"/>
      <c r="F5340" s="205"/>
      <c r="G5340" s="206"/>
      <c r="H5340" s="207"/>
      <c r="J5340" s="76"/>
    </row>
    <row r="5341" spans="1:10">
      <c r="A5341" s="172"/>
      <c r="D5341" s="56"/>
      <c r="E5341" s="204"/>
      <c r="F5341" s="205"/>
      <c r="G5341" s="206"/>
      <c r="H5341" s="207"/>
      <c r="J5341" s="76"/>
    </row>
    <row r="5342" spans="1:10">
      <c r="A5342" s="172"/>
      <c r="D5342" s="56"/>
      <c r="E5342" s="204"/>
      <c r="F5342" s="205"/>
      <c r="G5342" s="206"/>
      <c r="H5342" s="207"/>
      <c r="J5342" s="76"/>
    </row>
    <row r="5343" spans="1:10">
      <c r="A5343" s="172"/>
      <c r="D5343" s="56"/>
      <c r="E5343" s="204"/>
      <c r="F5343" s="205"/>
      <c r="G5343" s="206"/>
      <c r="H5343" s="207"/>
      <c r="J5343" s="76"/>
    </row>
    <row r="5344" spans="1:10">
      <c r="A5344" s="172"/>
      <c r="D5344" s="56"/>
      <c r="E5344" s="204"/>
      <c r="F5344" s="205"/>
      <c r="G5344" s="206"/>
      <c r="H5344" s="207"/>
      <c r="J5344" s="76"/>
    </row>
    <row r="5345" spans="1:10">
      <c r="A5345" s="172"/>
      <c r="D5345" s="56"/>
      <c r="E5345" s="204"/>
      <c r="F5345" s="205"/>
      <c r="G5345" s="206"/>
      <c r="H5345" s="207"/>
      <c r="J5345" s="76"/>
    </row>
    <row r="5346" spans="1:10">
      <c r="A5346" s="172"/>
      <c r="D5346" s="56"/>
      <c r="E5346" s="204"/>
      <c r="F5346" s="205"/>
      <c r="G5346" s="206"/>
      <c r="H5346" s="207"/>
      <c r="J5346" s="76"/>
    </row>
    <row r="5347" spans="1:10">
      <c r="A5347" s="172"/>
      <c r="D5347" s="56"/>
      <c r="E5347" s="204"/>
      <c r="F5347" s="205"/>
      <c r="G5347" s="206"/>
      <c r="H5347" s="207"/>
      <c r="J5347" s="76"/>
    </row>
    <row r="5348" spans="1:10">
      <c r="A5348" s="172"/>
      <c r="D5348" s="56"/>
      <c r="E5348" s="204"/>
      <c r="F5348" s="205"/>
      <c r="G5348" s="206"/>
      <c r="H5348" s="207"/>
      <c r="J5348" s="76"/>
    </row>
    <row r="5349" spans="1:10">
      <c r="A5349" s="172"/>
      <c r="D5349" s="56"/>
      <c r="E5349" s="204"/>
      <c r="F5349" s="205"/>
      <c r="G5349" s="206"/>
      <c r="H5349" s="207"/>
      <c r="J5349" s="76"/>
    </row>
    <row r="5350" spans="1:10">
      <c r="A5350" s="172"/>
      <c r="D5350" s="56"/>
      <c r="E5350" s="204"/>
      <c r="F5350" s="205"/>
      <c r="G5350" s="206"/>
      <c r="H5350" s="207"/>
      <c r="J5350" s="76"/>
    </row>
    <row r="5351" spans="1:10">
      <c r="A5351" s="172"/>
      <c r="D5351" s="56"/>
      <c r="E5351" s="204"/>
      <c r="F5351" s="205"/>
      <c r="G5351" s="206"/>
      <c r="H5351" s="207"/>
      <c r="J5351" s="76"/>
    </row>
    <row r="5352" spans="1:10">
      <c r="A5352" s="172"/>
      <c r="D5352" s="56"/>
      <c r="E5352" s="204"/>
      <c r="F5352" s="205"/>
      <c r="G5352" s="206"/>
      <c r="H5352" s="207"/>
      <c r="J5352" s="76"/>
    </row>
    <row r="5353" spans="1:10">
      <c r="A5353" s="172"/>
      <c r="D5353" s="56"/>
      <c r="E5353" s="204"/>
      <c r="F5353" s="205"/>
      <c r="G5353" s="206"/>
      <c r="H5353" s="207"/>
      <c r="J5353" s="76"/>
    </row>
    <row r="5354" spans="1:10">
      <c r="A5354" s="172"/>
      <c r="D5354" s="56"/>
      <c r="E5354" s="204"/>
      <c r="F5354" s="205"/>
      <c r="G5354" s="206"/>
      <c r="H5354" s="207"/>
      <c r="J5354" s="76"/>
    </row>
    <row r="5355" spans="1:10">
      <c r="A5355" s="172"/>
      <c r="D5355" s="56"/>
      <c r="E5355" s="204"/>
      <c r="F5355" s="205"/>
      <c r="G5355" s="206"/>
      <c r="H5355" s="207"/>
      <c r="J5355" s="76"/>
    </row>
    <row r="5356" spans="1:10">
      <c r="A5356" s="172"/>
      <c r="D5356" s="56"/>
      <c r="E5356" s="204"/>
      <c r="F5356" s="205"/>
      <c r="G5356" s="206"/>
      <c r="H5356" s="207"/>
      <c r="J5356" s="76"/>
    </row>
    <row r="5357" spans="1:10">
      <c r="A5357" s="172"/>
      <c r="D5357" s="56"/>
      <c r="E5357" s="204"/>
      <c r="F5357" s="205"/>
      <c r="G5357" s="206"/>
      <c r="H5357" s="207"/>
      <c r="J5357" s="76"/>
    </row>
    <row r="5358" spans="1:10">
      <c r="A5358" s="172"/>
      <c r="D5358" s="56"/>
      <c r="E5358" s="204"/>
      <c r="F5358" s="205"/>
      <c r="G5358" s="206"/>
      <c r="H5358" s="207"/>
      <c r="J5358" s="76"/>
    </row>
    <row r="5359" spans="1:10">
      <c r="A5359" s="172"/>
      <c r="D5359" s="56"/>
      <c r="E5359" s="204"/>
      <c r="F5359" s="205"/>
      <c r="G5359" s="206"/>
      <c r="H5359" s="207"/>
      <c r="J5359" s="76"/>
    </row>
    <row r="5360" spans="1:10">
      <c r="A5360" s="172"/>
      <c r="D5360" s="56"/>
      <c r="E5360" s="204"/>
      <c r="F5360" s="205"/>
      <c r="G5360" s="206"/>
      <c r="H5360" s="207"/>
      <c r="J5360" s="76"/>
    </row>
    <row r="5361" spans="1:10">
      <c r="A5361" s="172"/>
      <c r="D5361" s="56"/>
      <c r="E5361" s="204"/>
      <c r="F5361" s="205"/>
      <c r="G5361" s="206"/>
      <c r="H5361" s="207"/>
      <c r="J5361" s="76"/>
    </row>
    <row r="5362" spans="1:10">
      <c r="A5362" s="172"/>
      <c r="D5362" s="56"/>
      <c r="E5362" s="204"/>
      <c r="F5362" s="205"/>
      <c r="G5362" s="206"/>
      <c r="H5362" s="207"/>
      <c r="J5362" s="76"/>
    </row>
    <row r="5363" spans="1:10">
      <c r="A5363" s="172"/>
      <c r="D5363" s="56"/>
      <c r="E5363" s="204"/>
      <c r="F5363" s="205"/>
      <c r="G5363" s="206"/>
      <c r="H5363" s="207"/>
      <c r="J5363" s="76"/>
    </row>
    <row r="5364" spans="1:10">
      <c r="A5364" s="172"/>
      <c r="D5364" s="56"/>
      <c r="E5364" s="204"/>
      <c r="F5364" s="205"/>
      <c r="G5364" s="206"/>
      <c r="H5364" s="207"/>
      <c r="J5364" s="76"/>
    </row>
    <row r="5365" spans="1:10">
      <c r="A5365" s="172"/>
      <c r="D5365" s="56"/>
      <c r="E5365" s="204"/>
      <c r="F5365" s="205"/>
      <c r="G5365" s="206"/>
      <c r="H5365" s="207"/>
      <c r="J5365" s="76"/>
    </row>
    <row r="5366" spans="1:10">
      <c r="A5366" s="172"/>
      <c r="D5366" s="56"/>
      <c r="E5366" s="204"/>
      <c r="F5366" s="205"/>
      <c r="G5366" s="206"/>
      <c r="H5366" s="207"/>
      <c r="J5366" s="76"/>
    </row>
    <row r="5367" spans="1:10">
      <c r="A5367" s="172"/>
      <c r="D5367" s="56"/>
      <c r="E5367" s="204"/>
      <c r="F5367" s="205"/>
      <c r="G5367" s="206"/>
      <c r="H5367" s="207"/>
      <c r="J5367" s="76"/>
    </row>
    <row r="5368" spans="1:10">
      <c r="A5368" s="172"/>
      <c r="D5368" s="56"/>
      <c r="E5368" s="204"/>
      <c r="F5368" s="205"/>
      <c r="G5368" s="206"/>
      <c r="H5368" s="207"/>
      <c r="J5368" s="76"/>
    </row>
    <row r="5369" spans="1:10">
      <c r="A5369" s="172"/>
      <c r="D5369" s="56"/>
      <c r="E5369" s="204"/>
      <c r="F5369" s="205"/>
      <c r="G5369" s="206"/>
      <c r="H5369" s="207"/>
      <c r="J5369" s="76"/>
    </row>
    <row r="5370" spans="1:10">
      <c r="A5370" s="172"/>
      <c r="D5370" s="56"/>
      <c r="E5370" s="204"/>
      <c r="F5370" s="205"/>
      <c r="G5370" s="206"/>
      <c r="H5370" s="207"/>
      <c r="J5370" s="76"/>
    </row>
    <row r="5371" spans="1:10">
      <c r="A5371" s="172"/>
      <c r="D5371" s="56"/>
      <c r="E5371" s="204"/>
      <c r="F5371" s="205"/>
      <c r="G5371" s="206"/>
      <c r="H5371" s="207"/>
      <c r="J5371" s="76"/>
    </row>
    <row r="5372" spans="1:10">
      <c r="A5372" s="172"/>
      <c r="D5372" s="56"/>
      <c r="E5372" s="204"/>
      <c r="F5372" s="205"/>
      <c r="G5372" s="206"/>
      <c r="H5372" s="207"/>
      <c r="J5372" s="76"/>
    </row>
    <row r="5373" spans="1:10">
      <c r="A5373" s="172"/>
      <c r="D5373" s="56"/>
      <c r="E5373" s="204"/>
      <c r="F5373" s="205"/>
      <c r="G5373" s="206"/>
      <c r="H5373" s="207"/>
      <c r="J5373" s="76"/>
    </row>
    <row r="5374" spans="1:10">
      <c r="A5374" s="172"/>
      <c r="D5374" s="56"/>
      <c r="E5374" s="204"/>
      <c r="F5374" s="205"/>
      <c r="G5374" s="206"/>
      <c r="H5374" s="207"/>
      <c r="J5374" s="76"/>
    </row>
    <row r="5375" spans="1:10">
      <c r="A5375" s="172"/>
      <c r="D5375" s="56"/>
      <c r="E5375" s="204"/>
      <c r="F5375" s="205"/>
      <c r="G5375" s="206"/>
      <c r="H5375" s="207"/>
      <c r="J5375" s="76"/>
    </row>
    <row r="5376" spans="1:10">
      <c r="A5376" s="172"/>
      <c r="D5376" s="56"/>
      <c r="E5376" s="204"/>
      <c r="F5376" s="205"/>
      <c r="G5376" s="206"/>
      <c r="H5376" s="207"/>
      <c r="J5376" s="76"/>
    </row>
    <row r="5377" spans="1:10">
      <c r="A5377" s="172"/>
      <c r="D5377" s="56"/>
      <c r="E5377" s="204"/>
      <c r="F5377" s="205"/>
      <c r="G5377" s="206"/>
      <c r="H5377" s="207"/>
      <c r="J5377" s="76"/>
    </row>
    <row r="5378" spans="1:10">
      <c r="A5378" s="172"/>
      <c r="D5378" s="56"/>
      <c r="E5378" s="204"/>
      <c r="F5378" s="205"/>
      <c r="G5378" s="206"/>
      <c r="H5378" s="207"/>
      <c r="J5378" s="76"/>
    </row>
    <row r="5379" spans="1:10">
      <c r="A5379" s="172"/>
      <c r="D5379" s="56"/>
      <c r="E5379" s="204"/>
      <c r="F5379" s="205"/>
      <c r="G5379" s="206"/>
      <c r="H5379" s="207"/>
      <c r="J5379" s="76"/>
    </row>
    <row r="5380" spans="1:10">
      <c r="A5380" s="172"/>
      <c r="D5380" s="56"/>
      <c r="E5380" s="204"/>
      <c r="F5380" s="205"/>
      <c r="G5380" s="206"/>
      <c r="H5380" s="207"/>
      <c r="J5380" s="76"/>
    </row>
    <row r="5381" spans="1:10">
      <c r="A5381" s="172"/>
      <c r="D5381" s="56"/>
      <c r="E5381" s="204"/>
      <c r="F5381" s="205"/>
      <c r="G5381" s="206"/>
      <c r="H5381" s="207"/>
      <c r="J5381" s="76"/>
    </row>
    <row r="5382" spans="1:10">
      <c r="A5382" s="172"/>
      <c r="D5382" s="56"/>
      <c r="E5382" s="204"/>
      <c r="F5382" s="205"/>
      <c r="G5382" s="206"/>
      <c r="H5382" s="207"/>
      <c r="J5382" s="76"/>
    </row>
    <row r="5383" spans="1:10">
      <c r="A5383" s="172"/>
      <c r="D5383" s="56"/>
      <c r="E5383" s="204"/>
      <c r="F5383" s="205"/>
      <c r="G5383" s="206"/>
      <c r="H5383" s="207"/>
      <c r="J5383" s="76"/>
    </row>
    <row r="5384" spans="1:10">
      <c r="A5384" s="172"/>
      <c r="D5384" s="56"/>
      <c r="E5384" s="204"/>
      <c r="F5384" s="205"/>
      <c r="G5384" s="206"/>
      <c r="H5384" s="207"/>
      <c r="J5384" s="76"/>
    </row>
    <row r="5385" spans="1:10">
      <c r="A5385" s="172"/>
      <c r="D5385" s="56"/>
      <c r="E5385" s="204"/>
      <c r="F5385" s="205"/>
      <c r="G5385" s="206"/>
      <c r="H5385" s="207"/>
      <c r="J5385" s="76"/>
    </row>
    <row r="5386" spans="1:10">
      <c r="A5386" s="172"/>
      <c r="D5386" s="56"/>
      <c r="E5386" s="204"/>
      <c r="F5386" s="205"/>
      <c r="G5386" s="206"/>
      <c r="H5386" s="207"/>
      <c r="J5386" s="76"/>
    </row>
    <row r="5387" spans="1:10">
      <c r="A5387" s="172"/>
      <c r="D5387" s="56"/>
      <c r="E5387" s="204"/>
      <c r="F5387" s="205"/>
      <c r="G5387" s="206"/>
      <c r="H5387" s="207"/>
      <c r="J5387" s="76"/>
    </row>
    <row r="5388" spans="1:10">
      <c r="A5388" s="172"/>
      <c r="D5388" s="56"/>
      <c r="E5388" s="204"/>
      <c r="F5388" s="205"/>
      <c r="G5388" s="206"/>
      <c r="H5388" s="207"/>
      <c r="J5388" s="76"/>
    </row>
    <row r="5389" spans="1:10">
      <c r="A5389" s="172"/>
      <c r="D5389" s="56"/>
      <c r="E5389" s="204"/>
      <c r="F5389" s="205"/>
      <c r="G5389" s="206"/>
      <c r="H5389" s="207"/>
      <c r="J5389" s="76"/>
    </row>
    <row r="5390" spans="1:10">
      <c r="A5390" s="172"/>
      <c r="D5390" s="56"/>
      <c r="E5390" s="204"/>
      <c r="F5390" s="205"/>
      <c r="G5390" s="206"/>
      <c r="H5390" s="207"/>
      <c r="J5390" s="76"/>
    </row>
    <row r="5391" spans="1:10">
      <c r="A5391" s="172"/>
      <c r="D5391" s="56"/>
      <c r="E5391" s="204"/>
      <c r="F5391" s="205"/>
      <c r="G5391" s="206"/>
      <c r="H5391" s="207"/>
      <c r="J5391" s="76"/>
    </row>
    <row r="5392" spans="1:10">
      <c r="A5392" s="172"/>
      <c r="D5392" s="56"/>
      <c r="E5392" s="204"/>
      <c r="F5392" s="205"/>
      <c r="G5392" s="206"/>
      <c r="H5392" s="207"/>
      <c r="J5392" s="76"/>
    </row>
    <row r="5393" spans="1:10">
      <c r="A5393" s="172"/>
      <c r="D5393" s="56"/>
      <c r="E5393" s="204"/>
      <c r="F5393" s="205"/>
      <c r="G5393" s="206"/>
      <c r="H5393" s="207"/>
      <c r="J5393" s="76"/>
    </row>
    <row r="5394" spans="1:10">
      <c r="A5394" s="172"/>
      <c r="D5394" s="56"/>
      <c r="E5394" s="204"/>
      <c r="F5394" s="205"/>
      <c r="G5394" s="206"/>
      <c r="H5394" s="207"/>
      <c r="J5394" s="76"/>
    </row>
    <row r="5395" spans="1:10">
      <c r="A5395" s="172"/>
      <c r="D5395" s="56"/>
      <c r="E5395" s="204"/>
      <c r="F5395" s="205"/>
      <c r="G5395" s="206"/>
      <c r="H5395" s="207"/>
      <c r="J5395" s="76"/>
    </row>
    <row r="5396" spans="1:10">
      <c r="A5396" s="172"/>
      <c r="D5396" s="56"/>
      <c r="E5396" s="204"/>
      <c r="F5396" s="205"/>
      <c r="G5396" s="206"/>
      <c r="H5396" s="207"/>
      <c r="J5396" s="76"/>
    </row>
    <row r="5397" spans="1:10">
      <c r="A5397" s="172"/>
      <c r="D5397" s="56"/>
      <c r="E5397" s="204"/>
      <c r="F5397" s="205"/>
      <c r="G5397" s="206"/>
      <c r="H5397" s="207"/>
      <c r="J5397" s="76"/>
    </row>
    <row r="5398" spans="1:10">
      <c r="A5398" s="172"/>
      <c r="D5398" s="56"/>
      <c r="E5398" s="204"/>
      <c r="F5398" s="205"/>
      <c r="G5398" s="206"/>
      <c r="H5398" s="207"/>
      <c r="J5398" s="76"/>
    </row>
    <row r="5399" spans="1:10">
      <c r="A5399" s="172"/>
      <c r="D5399" s="56"/>
      <c r="E5399" s="204"/>
      <c r="F5399" s="205"/>
      <c r="G5399" s="206"/>
      <c r="H5399" s="207"/>
      <c r="J5399" s="76"/>
    </row>
    <row r="5400" spans="1:10">
      <c r="A5400" s="172"/>
      <c r="D5400" s="56"/>
      <c r="E5400" s="204"/>
      <c r="F5400" s="205"/>
      <c r="G5400" s="206"/>
      <c r="H5400" s="207"/>
      <c r="J5400" s="76"/>
    </row>
    <row r="5401" spans="1:10">
      <c r="A5401" s="172"/>
      <c r="D5401" s="56"/>
      <c r="E5401" s="204"/>
      <c r="F5401" s="205"/>
      <c r="G5401" s="206"/>
      <c r="H5401" s="207"/>
      <c r="J5401" s="76"/>
    </row>
    <row r="5402" spans="1:10">
      <c r="A5402" s="172"/>
      <c r="D5402" s="56"/>
      <c r="E5402" s="204"/>
      <c r="F5402" s="205"/>
      <c r="G5402" s="206"/>
      <c r="H5402" s="207"/>
      <c r="J5402" s="76"/>
    </row>
    <row r="5403" spans="1:10">
      <c r="A5403" s="172"/>
      <c r="D5403" s="56"/>
      <c r="E5403" s="204"/>
      <c r="F5403" s="205"/>
      <c r="G5403" s="206"/>
      <c r="H5403" s="207"/>
      <c r="J5403" s="76"/>
    </row>
    <row r="5404" spans="1:10">
      <c r="A5404" s="172"/>
      <c r="D5404" s="56"/>
      <c r="E5404" s="204"/>
      <c r="F5404" s="205"/>
      <c r="G5404" s="206"/>
      <c r="H5404" s="207"/>
      <c r="J5404" s="76"/>
    </row>
    <row r="5405" spans="1:10">
      <c r="A5405" s="172"/>
      <c r="D5405" s="56"/>
      <c r="E5405" s="204"/>
      <c r="F5405" s="205"/>
      <c r="G5405" s="206"/>
      <c r="H5405" s="207"/>
      <c r="J5405" s="76"/>
    </row>
    <row r="5406" spans="1:10">
      <c r="A5406" s="172"/>
      <c r="D5406" s="56"/>
      <c r="E5406" s="204"/>
      <c r="F5406" s="205"/>
      <c r="G5406" s="206"/>
      <c r="H5406" s="207"/>
      <c r="J5406" s="76"/>
    </row>
    <row r="5407" spans="1:10">
      <c r="A5407" s="172"/>
      <c r="D5407" s="56"/>
      <c r="E5407" s="204"/>
      <c r="F5407" s="205"/>
      <c r="G5407" s="206"/>
      <c r="H5407" s="207"/>
      <c r="J5407" s="76"/>
    </row>
    <row r="5408" spans="1:10">
      <c r="A5408" s="172"/>
      <c r="D5408" s="56"/>
      <c r="E5408" s="204"/>
      <c r="F5408" s="205"/>
      <c r="G5408" s="206"/>
      <c r="H5408" s="207"/>
      <c r="J5408" s="76"/>
    </row>
    <row r="5409" spans="1:10">
      <c r="A5409" s="172"/>
      <c r="D5409" s="56"/>
      <c r="E5409" s="204"/>
      <c r="F5409" s="205"/>
      <c r="G5409" s="206"/>
      <c r="H5409" s="207"/>
      <c r="J5409" s="76"/>
    </row>
    <row r="5410" spans="1:10">
      <c r="A5410" s="172"/>
      <c r="D5410" s="56"/>
      <c r="E5410" s="204"/>
      <c r="F5410" s="205"/>
      <c r="G5410" s="206"/>
      <c r="H5410" s="207"/>
      <c r="J5410" s="76"/>
    </row>
    <row r="5411" spans="1:10">
      <c r="A5411" s="172"/>
      <c r="D5411" s="56"/>
      <c r="E5411" s="204"/>
      <c r="F5411" s="205"/>
      <c r="G5411" s="206"/>
      <c r="H5411" s="207"/>
      <c r="J5411" s="76"/>
    </row>
    <row r="5412" spans="1:10">
      <c r="A5412" s="172"/>
      <c r="D5412" s="56"/>
      <c r="E5412" s="204"/>
      <c r="F5412" s="205"/>
      <c r="G5412" s="206"/>
      <c r="H5412" s="207"/>
      <c r="J5412" s="76"/>
    </row>
    <row r="5413" spans="1:10">
      <c r="A5413" s="172"/>
      <c r="D5413" s="56"/>
      <c r="E5413" s="204"/>
      <c r="F5413" s="205"/>
      <c r="G5413" s="206"/>
      <c r="H5413" s="207"/>
      <c r="J5413" s="76"/>
    </row>
    <row r="5414" spans="1:10">
      <c r="A5414" s="172"/>
      <c r="D5414" s="56"/>
      <c r="E5414" s="204"/>
      <c r="F5414" s="205"/>
      <c r="G5414" s="206"/>
      <c r="H5414" s="207"/>
      <c r="J5414" s="76"/>
    </row>
    <row r="5415" spans="1:10">
      <c r="A5415" s="172"/>
      <c r="D5415" s="56"/>
      <c r="E5415" s="204"/>
      <c r="F5415" s="205"/>
      <c r="G5415" s="206"/>
      <c r="H5415" s="207"/>
      <c r="J5415" s="76"/>
    </row>
    <row r="5416" spans="1:10">
      <c r="A5416" s="172"/>
      <c r="D5416" s="56"/>
      <c r="E5416" s="204"/>
      <c r="F5416" s="205"/>
      <c r="G5416" s="206"/>
      <c r="H5416" s="207"/>
      <c r="J5416" s="76"/>
    </row>
    <row r="5417" spans="1:10">
      <c r="A5417" s="172"/>
      <c r="D5417" s="56"/>
      <c r="E5417" s="204"/>
      <c r="F5417" s="205"/>
      <c r="G5417" s="206"/>
      <c r="H5417" s="207"/>
      <c r="J5417" s="76"/>
    </row>
    <row r="5418" spans="1:10">
      <c r="A5418" s="172"/>
      <c r="D5418" s="56"/>
      <c r="E5418" s="204"/>
      <c r="F5418" s="205"/>
      <c r="G5418" s="206"/>
      <c r="H5418" s="207"/>
      <c r="J5418" s="76"/>
    </row>
    <row r="5419" spans="1:10">
      <c r="A5419" s="172"/>
      <c r="D5419" s="56"/>
      <c r="E5419" s="204"/>
      <c r="F5419" s="205"/>
      <c r="G5419" s="206"/>
      <c r="H5419" s="207"/>
      <c r="J5419" s="76"/>
    </row>
    <row r="5420" spans="1:10">
      <c r="A5420" s="172"/>
      <c r="D5420" s="56"/>
      <c r="E5420" s="204"/>
      <c r="F5420" s="205"/>
      <c r="G5420" s="206"/>
      <c r="H5420" s="207"/>
      <c r="J5420" s="76"/>
    </row>
    <row r="5421" spans="1:10">
      <c r="A5421" s="172"/>
      <c r="D5421" s="56"/>
      <c r="E5421" s="204"/>
      <c r="F5421" s="205"/>
      <c r="G5421" s="206"/>
      <c r="H5421" s="207"/>
      <c r="J5421" s="76"/>
    </row>
    <row r="5422" spans="1:10">
      <c r="A5422" s="172"/>
      <c r="D5422" s="56"/>
      <c r="E5422" s="204"/>
      <c r="F5422" s="205"/>
      <c r="G5422" s="206"/>
      <c r="H5422" s="207"/>
      <c r="J5422" s="76"/>
    </row>
    <row r="5423" spans="1:10">
      <c r="A5423" s="172"/>
      <c r="D5423" s="56"/>
      <c r="E5423" s="204"/>
      <c r="F5423" s="205"/>
      <c r="G5423" s="206"/>
      <c r="H5423" s="207"/>
      <c r="J5423" s="76"/>
    </row>
    <row r="5424" spans="1:10">
      <c r="A5424" s="172"/>
      <c r="D5424" s="56"/>
      <c r="E5424" s="204"/>
      <c r="F5424" s="205"/>
      <c r="G5424" s="206"/>
      <c r="H5424" s="207"/>
      <c r="J5424" s="76"/>
    </row>
    <row r="5425" spans="1:10">
      <c r="A5425" s="172"/>
      <c r="D5425" s="56"/>
      <c r="E5425" s="204"/>
      <c r="F5425" s="205"/>
      <c r="G5425" s="206"/>
      <c r="H5425" s="207"/>
      <c r="J5425" s="76"/>
    </row>
    <row r="5426" spans="1:10">
      <c r="A5426" s="172"/>
      <c r="D5426" s="56"/>
      <c r="E5426" s="204"/>
      <c r="F5426" s="205"/>
      <c r="G5426" s="206"/>
      <c r="H5426" s="207"/>
      <c r="J5426" s="76"/>
    </row>
    <row r="5427" spans="1:10">
      <c r="A5427" s="172"/>
      <c r="D5427" s="56"/>
      <c r="E5427" s="204"/>
      <c r="F5427" s="205"/>
      <c r="G5427" s="206"/>
      <c r="H5427" s="207"/>
      <c r="J5427" s="76"/>
    </row>
    <row r="5428" spans="1:10">
      <c r="A5428" s="172"/>
      <c r="D5428" s="56"/>
      <c r="E5428" s="204"/>
      <c r="F5428" s="205"/>
      <c r="G5428" s="206"/>
      <c r="H5428" s="207"/>
      <c r="J5428" s="76"/>
    </row>
    <row r="5429" spans="1:10">
      <c r="A5429" s="172"/>
      <c r="D5429" s="56"/>
      <c r="E5429" s="204"/>
      <c r="F5429" s="205"/>
      <c r="G5429" s="206"/>
      <c r="H5429" s="207"/>
      <c r="J5429" s="76"/>
    </row>
    <row r="5430" spans="1:10">
      <c r="A5430" s="172"/>
      <c r="D5430" s="56"/>
      <c r="E5430" s="204"/>
      <c r="F5430" s="205"/>
      <c r="G5430" s="206"/>
      <c r="H5430" s="207"/>
      <c r="J5430" s="76"/>
    </row>
    <row r="5431" spans="1:10">
      <c r="A5431" s="172"/>
      <c r="D5431" s="56"/>
      <c r="E5431" s="204"/>
      <c r="F5431" s="205"/>
      <c r="G5431" s="206"/>
      <c r="H5431" s="207"/>
      <c r="J5431" s="76"/>
    </row>
    <row r="5432" spans="1:10">
      <c r="A5432" s="172"/>
      <c r="D5432" s="56"/>
      <c r="E5432" s="204"/>
      <c r="F5432" s="205"/>
      <c r="G5432" s="206"/>
      <c r="H5432" s="207"/>
      <c r="J5432" s="76"/>
    </row>
    <row r="5433" spans="1:10">
      <c r="A5433" s="172"/>
      <c r="D5433" s="56"/>
      <c r="E5433" s="204"/>
      <c r="F5433" s="205"/>
      <c r="G5433" s="206"/>
      <c r="H5433" s="207"/>
      <c r="J5433" s="76"/>
    </row>
    <row r="5434" spans="1:10">
      <c r="A5434" s="172"/>
      <c r="D5434" s="56"/>
      <c r="E5434" s="204"/>
      <c r="F5434" s="205"/>
      <c r="G5434" s="206"/>
      <c r="H5434" s="207"/>
      <c r="J5434" s="76"/>
    </row>
    <row r="5435" spans="1:10">
      <c r="A5435" s="172"/>
      <c r="D5435" s="56"/>
      <c r="E5435" s="204"/>
      <c r="F5435" s="205"/>
      <c r="G5435" s="206"/>
      <c r="H5435" s="207"/>
      <c r="J5435" s="76"/>
    </row>
    <row r="5436" spans="1:10">
      <c r="A5436" s="172"/>
      <c r="D5436" s="56"/>
      <c r="E5436" s="204"/>
      <c r="F5436" s="205"/>
      <c r="G5436" s="206"/>
      <c r="H5436" s="207"/>
      <c r="J5436" s="76"/>
    </row>
    <row r="5437" spans="1:10">
      <c r="A5437" s="172"/>
      <c r="D5437" s="56"/>
      <c r="E5437" s="204"/>
      <c r="F5437" s="205"/>
      <c r="G5437" s="206"/>
      <c r="H5437" s="207"/>
      <c r="J5437" s="76"/>
    </row>
    <row r="5438" spans="1:10">
      <c r="A5438" s="172"/>
      <c r="D5438" s="56"/>
      <c r="E5438" s="204"/>
      <c r="F5438" s="205"/>
      <c r="G5438" s="206"/>
      <c r="H5438" s="207"/>
      <c r="J5438" s="76"/>
    </row>
    <row r="5439" spans="1:10">
      <c r="A5439" s="172"/>
      <c r="D5439" s="56"/>
      <c r="E5439" s="204"/>
      <c r="F5439" s="205"/>
      <c r="G5439" s="206"/>
      <c r="H5439" s="207"/>
      <c r="J5439" s="76"/>
    </row>
    <row r="5440" spans="1:10">
      <c r="A5440" s="172"/>
      <c r="D5440" s="56"/>
      <c r="E5440" s="204"/>
      <c r="F5440" s="205"/>
      <c r="G5440" s="206"/>
      <c r="H5440" s="207"/>
      <c r="J5440" s="76"/>
    </row>
    <row r="5441" spans="1:10">
      <c r="A5441" s="172"/>
      <c r="D5441" s="56"/>
      <c r="E5441" s="204"/>
      <c r="F5441" s="205"/>
      <c r="G5441" s="206"/>
      <c r="H5441" s="207"/>
      <c r="J5441" s="76"/>
    </row>
    <row r="5442" spans="1:10">
      <c r="A5442" s="172"/>
      <c r="D5442" s="56"/>
      <c r="E5442" s="204"/>
      <c r="F5442" s="205"/>
      <c r="G5442" s="206"/>
      <c r="H5442" s="207"/>
      <c r="J5442" s="76"/>
    </row>
    <row r="5443" spans="1:10">
      <c r="A5443" s="172"/>
      <c r="D5443" s="56"/>
      <c r="E5443" s="204"/>
      <c r="F5443" s="205"/>
      <c r="G5443" s="206"/>
      <c r="H5443" s="207"/>
      <c r="J5443" s="76"/>
    </row>
    <row r="5444" spans="1:10">
      <c r="A5444" s="172"/>
      <c r="D5444" s="56"/>
      <c r="E5444" s="204"/>
      <c r="F5444" s="205"/>
      <c r="G5444" s="206"/>
      <c r="H5444" s="207"/>
      <c r="J5444" s="76"/>
    </row>
    <row r="5445" spans="1:10">
      <c r="A5445" s="172"/>
      <c r="D5445" s="56"/>
      <c r="E5445" s="204"/>
      <c r="F5445" s="205"/>
      <c r="G5445" s="206"/>
      <c r="H5445" s="207"/>
      <c r="J5445" s="76"/>
    </row>
    <row r="5446" spans="1:10">
      <c r="A5446" s="172"/>
      <c r="D5446" s="56"/>
      <c r="E5446" s="204"/>
      <c r="F5446" s="205"/>
      <c r="G5446" s="206"/>
      <c r="H5446" s="207"/>
      <c r="J5446" s="76"/>
    </row>
    <row r="5447" spans="1:10">
      <c r="A5447" s="172"/>
      <c r="D5447" s="56"/>
      <c r="E5447" s="204"/>
      <c r="F5447" s="205"/>
      <c r="G5447" s="206"/>
      <c r="H5447" s="207"/>
      <c r="J5447" s="76"/>
    </row>
    <row r="5448" spans="1:10">
      <c r="A5448" s="172"/>
      <c r="D5448" s="56"/>
      <c r="E5448" s="204"/>
      <c r="F5448" s="205"/>
      <c r="G5448" s="206"/>
      <c r="H5448" s="207"/>
      <c r="J5448" s="76"/>
    </row>
    <row r="5449" spans="1:10">
      <c r="A5449" s="172"/>
      <c r="D5449" s="56"/>
      <c r="E5449" s="204"/>
      <c r="F5449" s="205"/>
      <c r="G5449" s="206"/>
      <c r="H5449" s="207"/>
      <c r="J5449" s="76"/>
    </row>
    <row r="5450" spans="1:10">
      <c r="A5450" s="172"/>
      <c r="D5450" s="56"/>
      <c r="E5450" s="204"/>
      <c r="F5450" s="205"/>
      <c r="G5450" s="206"/>
      <c r="H5450" s="207"/>
      <c r="J5450" s="76"/>
    </row>
    <row r="5451" spans="1:10">
      <c r="A5451" s="172"/>
      <c r="D5451" s="56"/>
      <c r="E5451" s="204"/>
      <c r="F5451" s="205"/>
      <c r="G5451" s="206"/>
      <c r="H5451" s="207"/>
      <c r="J5451" s="76"/>
    </row>
    <row r="5452" spans="1:10">
      <c r="A5452" s="172"/>
      <c r="D5452" s="56"/>
      <c r="E5452" s="204"/>
      <c r="F5452" s="205"/>
      <c r="G5452" s="206"/>
      <c r="H5452" s="207"/>
      <c r="J5452" s="76"/>
    </row>
    <row r="5453" spans="1:10">
      <c r="A5453" s="172"/>
      <c r="D5453" s="56"/>
      <c r="E5453" s="204"/>
      <c r="F5453" s="205"/>
      <c r="G5453" s="206"/>
      <c r="H5453" s="207"/>
      <c r="J5453" s="76"/>
    </row>
    <row r="5454" spans="1:10">
      <c r="A5454" s="172"/>
      <c r="D5454" s="56"/>
      <c r="E5454" s="204"/>
      <c r="F5454" s="205"/>
      <c r="G5454" s="206"/>
      <c r="H5454" s="207"/>
      <c r="J5454" s="76"/>
    </row>
    <row r="5455" spans="1:10">
      <c r="A5455" s="172"/>
      <c r="D5455" s="56"/>
      <c r="E5455" s="204"/>
      <c r="F5455" s="205"/>
      <c r="G5455" s="206"/>
      <c r="H5455" s="207"/>
      <c r="J5455" s="76"/>
    </row>
    <row r="5456" spans="1:10">
      <c r="A5456" s="172"/>
      <c r="D5456" s="56"/>
      <c r="E5456" s="204"/>
      <c r="F5456" s="205"/>
      <c r="G5456" s="206"/>
      <c r="H5456" s="207"/>
      <c r="J5456" s="76"/>
    </row>
    <row r="5457" spans="1:10">
      <c r="A5457" s="172"/>
      <c r="D5457" s="56"/>
      <c r="E5457" s="204"/>
      <c r="F5457" s="205"/>
      <c r="G5457" s="206"/>
      <c r="H5457" s="207"/>
      <c r="J5457" s="76"/>
    </row>
    <row r="5458" spans="1:10">
      <c r="A5458" s="172"/>
      <c r="D5458" s="56"/>
      <c r="E5458" s="204"/>
      <c r="F5458" s="205"/>
      <c r="G5458" s="206"/>
      <c r="H5458" s="207"/>
      <c r="J5458" s="76"/>
    </row>
    <row r="5459" spans="1:10">
      <c r="A5459" s="172"/>
      <c r="D5459" s="56"/>
      <c r="E5459" s="204"/>
      <c r="F5459" s="205"/>
      <c r="G5459" s="206"/>
      <c r="H5459" s="207"/>
      <c r="J5459" s="76"/>
    </row>
    <row r="5460" spans="1:10">
      <c r="A5460" s="172"/>
      <c r="D5460" s="56"/>
      <c r="E5460" s="204"/>
      <c r="F5460" s="205"/>
      <c r="G5460" s="206"/>
      <c r="H5460" s="207"/>
      <c r="J5460" s="76"/>
    </row>
    <row r="5461" spans="1:10">
      <c r="A5461" s="172"/>
      <c r="D5461" s="56"/>
      <c r="E5461" s="204"/>
      <c r="F5461" s="205"/>
      <c r="G5461" s="206"/>
      <c r="H5461" s="207"/>
      <c r="J5461" s="76"/>
    </row>
    <row r="5462" spans="1:10">
      <c r="A5462" s="172"/>
      <c r="D5462" s="56"/>
      <c r="E5462" s="204"/>
      <c r="F5462" s="205"/>
      <c r="G5462" s="206"/>
      <c r="H5462" s="207"/>
      <c r="J5462" s="76"/>
    </row>
    <row r="5463" spans="1:10">
      <c r="A5463" s="172"/>
      <c r="D5463" s="56"/>
      <c r="E5463" s="204"/>
      <c r="F5463" s="205"/>
      <c r="G5463" s="206"/>
      <c r="H5463" s="207"/>
      <c r="J5463" s="76"/>
    </row>
    <row r="5464" spans="1:10">
      <c r="A5464" s="172"/>
      <c r="D5464" s="56"/>
      <c r="E5464" s="204"/>
      <c r="F5464" s="205"/>
      <c r="G5464" s="206"/>
      <c r="H5464" s="207"/>
      <c r="J5464" s="76"/>
    </row>
    <row r="5465" spans="1:10">
      <c r="A5465" s="172"/>
      <c r="D5465" s="56"/>
      <c r="E5465" s="204"/>
      <c r="F5465" s="205"/>
      <c r="G5465" s="206"/>
      <c r="H5465" s="207"/>
      <c r="J5465" s="76"/>
    </row>
    <row r="5466" spans="1:10">
      <c r="A5466" s="172"/>
      <c r="D5466" s="56"/>
      <c r="E5466" s="204"/>
      <c r="F5466" s="205"/>
      <c r="G5466" s="206"/>
      <c r="H5466" s="207"/>
      <c r="J5466" s="76"/>
    </row>
    <row r="5467" spans="1:10">
      <c r="A5467" s="172"/>
      <c r="D5467" s="56"/>
      <c r="E5467" s="204"/>
      <c r="F5467" s="205"/>
      <c r="G5467" s="206"/>
      <c r="H5467" s="207"/>
      <c r="J5467" s="76"/>
    </row>
    <row r="5468" spans="1:10">
      <c r="A5468" s="172"/>
      <c r="D5468" s="56"/>
      <c r="E5468" s="204"/>
      <c r="F5468" s="205"/>
      <c r="G5468" s="206"/>
      <c r="H5468" s="207"/>
      <c r="J5468" s="76"/>
    </row>
    <row r="5469" spans="1:10">
      <c r="A5469" s="172"/>
      <c r="D5469" s="56"/>
      <c r="E5469" s="204"/>
      <c r="F5469" s="205"/>
      <c r="G5469" s="206"/>
      <c r="H5469" s="207"/>
      <c r="J5469" s="76"/>
    </row>
    <row r="5470" spans="1:10">
      <c r="A5470" s="172"/>
      <c r="D5470" s="56"/>
      <c r="E5470" s="204"/>
      <c r="F5470" s="205"/>
      <c r="G5470" s="206"/>
      <c r="H5470" s="207"/>
      <c r="J5470" s="76"/>
    </row>
    <row r="5471" spans="1:10">
      <c r="A5471" s="172"/>
      <c r="D5471" s="56"/>
      <c r="E5471" s="204"/>
      <c r="F5471" s="205"/>
      <c r="G5471" s="206"/>
      <c r="H5471" s="207"/>
      <c r="J5471" s="76"/>
    </row>
    <row r="5472" spans="1:10">
      <c r="A5472" s="172"/>
      <c r="D5472" s="56"/>
      <c r="E5472" s="204"/>
      <c r="F5472" s="205"/>
      <c r="G5472" s="206"/>
      <c r="H5472" s="207"/>
      <c r="J5472" s="76"/>
    </row>
    <row r="5473" spans="1:10">
      <c r="A5473" s="172"/>
      <c r="D5473" s="56"/>
      <c r="E5473" s="204"/>
      <c r="F5473" s="205"/>
      <c r="G5473" s="206"/>
      <c r="H5473" s="207"/>
      <c r="J5473" s="76"/>
    </row>
    <row r="5474" spans="1:10">
      <c r="A5474" s="172"/>
      <c r="D5474" s="56"/>
      <c r="E5474" s="204"/>
      <c r="F5474" s="205"/>
      <c r="G5474" s="206"/>
      <c r="H5474" s="207"/>
      <c r="J5474" s="76"/>
    </row>
    <row r="5475" spans="1:10">
      <c r="A5475" s="172"/>
      <c r="D5475" s="56"/>
      <c r="E5475" s="204"/>
      <c r="F5475" s="205"/>
      <c r="G5475" s="206"/>
      <c r="H5475" s="207"/>
      <c r="J5475" s="76"/>
    </row>
    <row r="5476" spans="1:10">
      <c r="A5476" s="172"/>
      <c r="D5476" s="56"/>
      <c r="E5476" s="204"/>
      <c r="F5476" s="205"/>
      <c r="G5476" s="206"/>
      <c r="H5476" s="207"/>
      <c r="J5476" s="76"/>
    </row>
    <row r="5477" spans="1:10">
      <c r="A5477" s="172"/>
      <c r="D5477" s="56"/>
      <c r="E5477" s="204"/>
      <c r="F5477" s="205"/>
      <c r="G5477" s="206"/>
      <c r="H5477" s="207"/>
      <c r="J5477" s="76"/>
    </row>
    <row r="5478" spans="1:10">
      <c r="A5478" s="172"/>
      <c r="D5478" s="56"/>
      <c r="E5478" s="204"/>
      <c r="F5478" s="205"/>
      <c r="G5478" s="206"/>
      <c r="H5478" s="207"/>
      <c r="J5478" s="76"/>
    </row>
    <row r="5479" spans="1:10">
      <c r="A5479" s="172"/>
      <c r="D5479" s="56"/>
      <c r="E5479" s="204"/>
      <c r="F5479" s="205"/>
      <c r="G5479" s="206"/>
      <c r="H5479" s="207"/>
      <c r="J5479" s="76"/>
    </row>
    <row r="5480" spans="1:10">
      <c r="A5480" s="172"/>
      <c r="D5480" s="56"/>
      <c r="E5480" s="204"/>
      <c r="F5480" s="205"/>
      <c r="G5480" s="206"/>
      <c r="H5480" s="207"/>
      <c r="J5480" s="76"/>
    </row>
    <row r="5481" spans="1:10">
      <c r="A5481" s="172"/>
      <c r="D5481" s="56"/>
      <c r="E5481" s="204"/>
      <c r="F5481" s="205"/>
      <c r="G5481" s="206"/>
      <c r="H5481" s="207"/>
      <c r="J5481" s="76"/>
    </row>
    <row r="5482" spans="1:10">
      <c r="A5482" s="172"/>
      <c r="D5482" s="56"/>
      <c r="E5482" s="204"/>
      <c r="F5482" s="205"/>
      <c r="G5482" s="206"/>
      <c r="H5482" s="207"/>
      <c r="J5482" s="76"/>
    </row>
    <row r="5483" spans="1:10">
      <c r="A5483" s="172"/>
      <c r="D5483" s="56"/>
      <c r="E5483" s="204"/>
      <c r="F5483" s="205"/>
      <c r="G5483" s="206"/>
      <c r="H5483" s="207"/>
      <c r="J5483" s="76"/>
    </row>
    <row r="5484" spans="1:10">
      <c r="A5484" s="172"/>
      <c r="D5484" s="56"/>
      <c r="E5484" s="204"/>
      <c r="F5484" s="205"/>
      <c r="G5484" s="206"/>
      <c r="H5484" s="207"/>
      <c r="J5484" s="76"/>
    </row>
    <row r="5485" spans="1:10">
      <c r="A5485" s="172"/>
      <c r="D5485" s="56"/>
      <c r="E5485" s="204"/>
      <c r="F5485" s="205"/>
      <c r="G5485" s="206"/>
      <c r="H5485" s="207"/>
      <c r="J5485" s="76"/>
    </row>
    <row r="5486" spans="1:10">
      <c r="A5486" s="172"/>
      <c r="D5486" s="56"/>
      <c r="E5486" s="204"/>
      <c r="F5486" s="205"/>
      <c r="G5486" s="206"/>
      <c r="H5486" s="207"/>
      <c r="J5486" s="76"/>
    </row>
    <row r="5487" spans="1:10">
      <c r="A5487" s="172"/>
      <c r="D5487" s="56"/>
      <c r="E5487" s="204"/>
      <c r="F5487" s="205"/>
      <c r="G5487" s="206"/>
      <c r="H5487" s="207"/>
      <c r="J5487" s="76"/>
    </row>
    <row r="5488" spans="1:10">
      <c r="A5488" s="172"/>
      <c r="D5488" s="56"/>
      <c r="E5488" s="204"/>
      <c r="F5488" s="205"/>
      <c r="G5488" s="206"/>
      <c r="H5488" s="207"/>
      <c r="J5488" s="76"/>
    </row>
    <row r="5489" spans="1:10">
      <c r="A5489" s="172"/>
      <c r="D5489" s="56"/>
      <c r="E5489" s="204"/>
      <c r="F5489" s="205"/>
      <c r="G5489" s="206"/>
      <c r="H5489" s="207"/>
      <c r="J5489" s="76"/>
    </row>
    <row r="5490" spans="1:10">
      <c r="A5490" s="172"/>
      <c r="D5490" s="56"/>
      <c r="E5490" s="204"/>
      <c r="F5490" s="205"/>
      <c r="G5490" s="206"/>
      <c r="H5490" s="207"/>
      <c r="J5490" s="76"/>
    </row>
    <row r="5491" spans="1:10">
      <c r="A5491" s="172"/>
      <c r="D5491" s="56"/>
      <c r="E5491" s="204"/>
      <c r="F5491" s="205"/>
      <c r="G5491" s="206"/>
      <c r="H5491" s="207"/>
      <c r="J5491" s="76"/>
    </row>
    <row r="5492" spans="1:10">
      <c r="A5492" s="172"/>
      <c r="D5492" s="56"/>
      <c r="E5492" s="204"/>
      <c r="F5492" s="205"/>
      <c r="G5492" s="206"/>
      <c r="H5492" s="207"/>
      <c r="J5492" s="76"/>
    </row>
    <row r="5493" spans="1:10">
      <c r="A5493" s="172"/>
      <c r="D5493" s="56"/>
      <c r="E5493" s="204"/>
      <c r="F5493" s="205"/>
      <c r="G5493" s="206"/>
      <c r="H5493" s="207"/>
      <c r="J5493" s="76"/>
    </row>
    <row r="5494" spans="1:10">
      <c r="A5494" s="172"/>
      <c r="D5494" s="56"/>
      <c r="E5494" s="204"/>
      <c r="F5494" s="205"/>
      <c r="G5494" s="206"/>
      <c r="H5494" s="207"/>
      <c r="J5494" s="76"/>
    </row>
    <row r="5495" spans="1:10">
      <c r="A5495" s="172"/>
      <c r="D5495" s="56"/>
      <c r="E5495" s="204"/>
      <c r="F5495" s="205"/>
      <c r="G5495" s="206"/>
      <c r="H5495" s="207"/>
      <c r="J5495" s="76"/>
    </row>
    <row r="5496" spans="1:10">
      <c r="A5496" s="172"/>
      <c r="D5496" s="56"/>
      <c r="E5496" s="204"/>
      <c r="F5496" s="205"/>
      <c r="G5496" s="206"/>
      <c r="H5496" s="207"/>
      <c r="J5496" s="76"/>
    </row>
    <row r="5497" spans="1:10">
      <c r="A5497" s="172"/>
      <c r="D5497" s="56"/>
      <c r="E5497" s="204"/>
      <c r="F5497" s="205"/>
      <c r="G5497" s="206"/>
      <c r="H5497" s="207"/>
      <c r="J5497" s="76"/>
    </row>
    <row r="5498" spans="1:10">
      <c r="A5498" s="172"/>
      <c r="D5498" s="56"/>
      <c r="E5498" s="204"/>
      <c r="F5498" s="205"/>
      <c r="G5498" s="206"/>
      <c r="H5498" s="207"/>
      <c r="J5498" s="76"/>
    </row>
    <row r="5499" spans="1:10">
      <c r="A5499" s="172"/>
      <c r="D5499" s="56"/>
      <c r="E5499" s="204"/>
      <c r="F5499" s="205"/>
      <c r="G5499" s="206"/>
      <c r="H5499" s="207"/>
      <c r="J5499" s="76"/>
    </row>
    <row r="5500" spans="1:10">
      <c r="A5500" s="172"/>
      <c r="D5500" s="56"/>
      <c r="E5500" s="204"/>
      <c r="F5500" s="205"/>
      <c r="G5500" s="206"/>
      <c r="H5500" s="207"/>
      <c r="J5500" s="76"/>
    </row>
    <row r="5501" spans="1:10">
      <c r="A5501" s="172"/>
      <c r="D5501" s="56"/>
      <c r="E5501" s="204"/>
      <c r="F5501" s="205"/>
      <c r="G5501" s="206"/>
      <c r="H5501" s="207"/>
      <c r="J5501" s="76"/>
    </row>
    <row r="5502" spans="1:10">
      <c r="A5502" s="172"/>
      <c r="D5502" s="56"/>
      <c r="E5502" s="204"/>
      <c r="F5502" s="205"/>
      <c r="G5502" s="206"/>
      <c r="H5502" s="207"/>
      <c r="J5502" s="76"/>
    </row>
    <row r="5503" spans="1:10">
      <c r="A5503" s="172"/>
      <c r="D5503" s="56"/>
      <c r="E5503" s="204"/>
      <c r="F5503" s="205"/>
      <c r="G5503" s="206"/>
      <c r="H5503" s="207"/>
      <c r="J5503" s="76"/>
    </row>
    <row r="5504" spans="1:10">
      <c r="A5504" s="172"/>
      <c r="D5504" s="56"/>
      <c r="E5504" s="204"/>
      <c r="F5504" s="205"/>
      <c r="G5504" s="206"/>
      <c r="H5504" s="207"/>
      <c r="J5504" s="76"/>
    </row>
    <row r="5505" spans="1:10">
      <c r="A5505" s="172"/>
      <c r="D5505" s="56"/>
      <c r="E5505" s="204"/>
      <c r="F5505" s="205"/>
      <c r="G5505" s="206"/>
      <c r="H5505" s="207"/>
      <c r="J5505" s="76"/>
    </row>
    <row r="5506" spans="1:10">
      <c r="A5506" s="172"/>
      <c r="D5506" s="56"/>
      <c r="E5506" s="204"/>
      <c r="F5506" s="205"/>
      <c r="G5506" s="206"/>
      <c r="H5506" s="207"/>
      <c r="J5506" s="76"/>
    </row>
    <row r="5507" spans="1:10">
      <c r="A5507" s="172"/>
      <c r="D5507" s="56"/>
      <c r="E5507" s="204"/>
      <c r="F5507" s="205"/>
      <c r="G5507" s="206"/>
      <c r="H5507" s="207"/>
      <c r="J5507" s="76"/>
    </row>
    <row r="5508" spans="1:10">
      <c r="A5508" s="172"/>
      <c r="D5508" s="56"/>
      <c r="E5508" s="204"/>
      <c r="F5508" s="205"/>
      <c r="G5508" s="206"/>
      <c r="H5508" s="207"/>
      <c r="J5508" s="76"/>
    </row>
    <row r="5509" spans="1:10">
      <c r="A5509" s="172"/>
      <c r="D5509" s="56"/>
      <c r="E5509" s="204"/>
      <c r="F5509" s="205"/>
      <c r="G5509" s="206"/>
      <c r="H5509" s="207"/>
      <c r="J5509" s="76"/>
    </row>
    <row r="5510" spans="1:10">
      <c r="A5510" s="172"/>
      <c r="D5510" s="56"/>
      <c r="E5510" s="204"/>
      <c r="F5510" s="205"/>
      <c r="G5510" s="206"/>
      <c r="H5510" s="207"/>
      <c r="J5510" s="76"/>
    </row>
    <row r="5511" spans="1:10">
      <c r="A5511" s="172"/>
      <c r="D5511" s="56"/>
      <c r="E5511" s="204"/>
      <c r="F5511" s="205"/>
      <c r="G5511" s="206"/>
      <c r="H5511" s="207"/>
      <c r="J5511" s="76"/>
    </row>
    <row r="5512" spans="1:10">
      <c r="A5512" s="172"/>
      <c r="D5512" s="56"/>
      <c r="E5512" s="204"/>
      <c r="F5512" s="205"/>
      <c r="G5512" s="206"/>
      <c r="H5512" s="207"/>
      <c r="J5512" s="76"/>
    </row>
    <row r="5513" spans="1:10">
      <c r="A5513" s="172"/>
      <c r="D5513" s="56"/>
      <c r="E5513" s="204"/>
      <c r="F5513" s="205"/>
      <c r="G5513" s="206"/>
      <c r="H5513" s="207"/>
      <c r="J5513" s="76"/>
    </row>
    <row r="5514" spans="1:10">
      <c r="A5514" s="172"/>
      <c r="D5514" s="56"/>
      <c r="E5514" s="204"/>
      <c r="F5514" s="205"/>
      <c r="G5514" s="206"/>
      <c r="H5514" s="207"/>
      <c r="J5514" s="76"/>
    </row>
    <row r="5515" spans="1:10">
      <c r="A5515" s="172"/>
      <c r="D5515" s="56"/>
      <c r="E5515" s="204"/>
      <c r="F5515" s="205"/>
      <c r="G5515" s="206"/>
      <c r="H5515" s="207"/>
      <c r="J5515" s="76"/>
    </row>
    <row r="5516" spans="1:10">
      <c r="A5516" s="172"/>
      <c r="D5516" s="56"/>
      <c r="E5516" s="204"/>
      <c r="F5516" s="205"/>
      <c r="G5516" s="206"/>
      <c r="H5516" s="207"/>
      <c r="J5516" s="76"/>
    </row>
    <row r="5517" spans="1:10">
      <c r="A5517" s="172"/>
      <c r="D5517" s="56"/>
      <c r="E5517" s="204"/>
      <c r="F5517" s="205"/>
      <c r="G5517" s="206"/>
      <c r="H5517" s="207"/>
      <c r="J5517" s="76"/>
    </row>
    <row r="5518" spans="1:10">
      <c r="A5518" s="172"/>
      <c r="D5518" s="56"/>
      <c r="E5518" s="204"/>
      <c r="F5518" s="205"/>
      <c r="G5518" s="206"/>
      <c r="H5518" s="207"/>
      <c r="J5518" s="76"/>
    </row>
    <row r="5519" spans="1:10">
      <c r="A5519" s="172"/>
      <c r="D5519" s="56"/>
      <c r="E5519" s="204"/>
      <c r="F5519" s="205"/>
      <c r="G5519" s="206"/>
      <c r="H5519" s="207"/>
      <c r="J5519" s="76"/>
    </row>
    <row r="5520" spans="1:10">
      <c r="A5520" s="172"/>
      <c r="D5520" s="56"/>
      <c r="E5520" s="204"/>
      <c r="F5520" s="205"/>
      <c r="G5520" s="206"/>
      <c r="H5520" s="207"/>
      <c r="J5520" s="76"/>
    </row>
    <row r="5521" spans="1:10">
      <c r="A5521" s="172"/>
      <c r="D5521" s="56"/>
      <c r="E5521" s="204"/>
      <c r="F5521" s="205"/>
      <c r="G5521" s="206"/>
      <c r="H5521" s="207"/>
      <c r="J5521" s="76"/>
    </row>
    <row r="5522" spans="1:10">
      <c r="A5522" s="172"/>
      <c r="D5522" s="56"/>
      <c r="E5522" s="204"/>
      <c r="F5522" s="205"/>
      <c r="G5522" s="206"/>
      <c r="H5522" s="207"/>
      <c r="J5522" s="76"/>
    </row>
    <row r="5523" spans="1:10">
      <c r="A5523" s="172"/>
      <c r="D5523" s="56"/>
      <c r="E5523" s="204"/>
      <c r="F5523" s="205"/>
      <c r="G5523" s="206"/>
      <c r="H5523" s="207"/>
      <c r="J5523" s="76"/>
    </row>
    <row r="5524" spans="1:10">
      <c r="A5524" s="172"/>
      <c r="D5524" s="56"/>
      <c r="E5524" s="204"/>
      <c r="F5524" s="205"/>
      <c r="G5524" s="206"/>
      <c r="H5524" s="207"/>
      <c r="J5524" s="76"/>
    </row>
    <row r="5525" spans="1:10">
      <c r="A5525" s="172"/>
      <c r="D5525" s="56"/>
      <c r="E5525" s="204"/>
      <c r="F5525" s="205"/>
      <c r="G5525" s="206"/>
      <c r="H5525" s="207"/>
      <c r="J5525" s="76"/>
    </row>
    <row r="5526" spans="1:10">
      <c r="A5526" s="172"/>
      <c r="D5526" s="56"/>
      <c r="E5526" s="204"/>
      <c r="F5526" s="205"/>
      <c r="G5526" s="206"/>
      <c r="H5526" s="207"/>
      <c r="J5526" s="76"/>
    </row>
    <row r="5527" spans="1:10">
      <c r="A5527" s="172"/>
      <c r="D5527" s="56"/>
      <c r="E5527" s="204"/>
      <c r="F5527" s="205"/>
      <c r="G5527" s="206"/>
      <c r="H5527" s="207"/>
      <c r="J5527" s="76"/>
    </row>
    <row r="5528" spans="1:10">
      <c r="A5528" s="172"/>
      <c r="D5528" s="56"/>
      <c r="E5528" s="204"/>
      <c r="F5528" s="205"/>
      <c r="G5528" s="206"/>
      <c r="H5528" s="207"/>
      <c r="J5528" s="76"/>
    </row>
    <row r="5529" spans="1:10">
      <c r="A5529" s="172"/>
      <c r="D5529" s="56"/>
      <c r="E5529" s="204"/>
      <c r="F5529" s="205"/>
      <c r="G5529" s="206"/>
      <c r="H5529" s="207"/>
      <c r="J5529" s="76"/>
    </row>
    <row r="5530" spans="1:10">
      <c r="A5530" s="172"/>
      <c r="D5530" s="56"/>
      <c r="E5530" s="204"/>
      <c r="F5530" s="205"/>
      <c r="G5530" s="206"/>
      <c r="H5530" s="207"/>
      <c r="J5530" s="76"/>
    </row>
    <row r="5531" spans="1:10">
      <c r="A5531" s="172"/>
      <c r="D5531" s="56"/>
      <c r="E5531" s="204"/>
      <c r="F5531" s="205"/>
      <c r="G5531" s="206"/>
      <c r="H5531" s="207"/>
      <c r="J5531" s="76"/>
    </row>
    <row r="5532" spans="1:10">
      <c r="A5532" s="172"/>
      <c r="D5532" s="56"/>
      <c r="E5532" s="204"/>
      <c r="F5532" s="205"/>
      <c r="G5532" s="206"/>
      <c r="H5532" s="207"/>
      <c r="J5532" s="76"/>
    </row>
    <row r="5533" spans="1:10">
      <c r="A5533" s="172"/>
      <c r="D5533" s="56"/>
      <c r="E5533" s="204"/>
      <c r="F5533" s="205"/>
      <c r="G5533" s="206"/>
      <c r="H5533" s="207"/>
      <c r="J5533" s="76"/>
    </row>
    <row r="5534" spans="1:10">
      <c r="A5534" s="172"/>
      <c r="D5534" s="56"/>
      <c r="E5534" s="204"/>
      <c r="F5534" s="205"/>
      <c r="G5534" s="206"/>
      <c r="H5534" s="207"/>
      <c r="J5534" s="76"/>
    </row>
    <row r="5535" spans="1:10">
      <c r="A5535" s="172"/>
      <c r="D5535" s="56"/>
      <c r="E5535" s="204"/>
      <c r="F5535" s="205"/>
      <c r="G5535" s="206"/>
      <c r="H5535" s="207"/>
      <c r="J5535" s="76"/>
    </row>
    <row r="5536" spans="1:10">
      <c r="A5536" s="172"/>
      <c r="D5536" s="56"/>
      <c r="E5536" s="204"/>
      <c r="F5536" s="205"/>
      <c r="G5536" s="206"/>
      <c r="H5536" s="207"/>
      <c r="J5536" s="76"/>
    </row>
    <row r="5537" spans="1:10">
      <c r="A5537" s="172"/>
      <c r="D5537" s="56"/>
      <c r="E5537" s="204"/>
      <c r="F5537" s="205"/>
      <c r="G5537" s="206"/>
      <c r="H5537" s="207"/>
      <c r="J5537" s="76"/>
    </row>
    <row r="5538" spans="1:10">
      <c r="A5538" s="172"/>
      <c r="D5538" s="56"/>
      <c r="E5538" s="204"/>
      <c r="F5538" s="205"/>
      <c r="G5538" s="206"/>
      <c r="H5538" s="207"/>
      <c r="J5538" s="76"/>
    </row>
    <row r="5539" spans="1:10">
      <c r="A5539" s="172"/>
      <c r="D5539" s="56"/>
      <c r="E5539" s="204"/>
      <c r="F5539" s="205"/>
      <c r="G5539" s="206"/>
      <c r="H5539" s="207"/>
      <c r="J5539" s="76"/>
    </row>
    <row r="5540" spans="1:10">
      <c r="A5540" s="172"/>
      <c r="D5540" s="56"/>
      <c r="E5540" s="204"/>
      <c r="F5540" s="205"/>
      <c r="G5540" s="206"/>
      <c r="H5540" s="207"/>
      <c r="J5540" s="76"/>
    </row>
    <row r="5541" spans="1:10">
      <c r="A5541" s="172"/>
      <c r="D5541" s="56"/>
      <c r="E5541" s="204"/>
      <c r="F5541" s="205"/>
      <c r="G5541" s="206"/>
      <c r="H5541" s="207"/>
      <c r="J5541" s="76"/>
    </row>
    <row r="5542" spans="1:10">
      <c r="A5542" s="172"/>
      <c r="D5542" s="56"/>
      <c r="E5542" s="204"/>
      <c r="F5542" s="205"/>
      <c r="G5542" s="206"/>
      <c r="H5542" s="207"/>
      <c r="J5542" s="76"/>
    </row>
    <row r="5543" spans="1:10">
      <c r="A5543" s="172"/>
      <c r="D5543" s="56"/>
      <c r="E5543" s="204"/>
      <c r="F5543" s="205"/>
      <c r="G5543" s="206"/>
      <c r="H5543" s="207"/>
      <c r="J5543" s="76"/>
    </row>
    <row r="5544" spans="1:10">
      <c r="A5544" s="172"/>
      <c r="D5544" s="56"/>
      <c r="E5544" s="204"/>
      <c r="F5544" s="205"/>
      <c r="G5544" s="206"/>
      <c r="H5544" s="207"/>
      <c r="J5544" s="76"/>
    </row>
    <row r="5545" spans="1:10">
      <c r="A5545" s="172"/>
      <c r="D5545" s="56"/>
      <c r="E5545" s="204"/>
      <c r="F5545" s="205"/>
      <c r="G5545" s="206"/>
      <c r="H5545" s="207"/>
      <c r="J5545" s="76"/>
    </row>
    <row r="5546" spans="1:10">
      <c r="A5546" s="172"/>
      <c r="D5546" s="56"/>
      <c r="E5546" s="204"/>
      <c r="F5546" s="205"/>
      <c r="G5546" s="206"/>
      <c r="H5546" s="207"/>
      <c r="J5546" s="76"/>
    </row>
    <row r="5547" spans="1:10">
      <c r="A5547" s="172"/>
      <c r="D5547" s="56"/>
      <c r="E5547" s="204"/>
      <c r="F5547" s="205"/>
      <c r="G5547" s="206"/>
      <c r="H5547" s="207"/>
      <c r="J5547" s="76"/>
    </row>
    <row r="5548" spans="1:10">
      <c r="A5548" s="172"/>
      <c r="D5548" s="56"/>
      <c r="E5548" s="204"/>
      <c r="F5548" s="205"/>
      <c r="G5548" s="206"/>
      <c r="H5548" s="207"/>
      <c r="J5548" s="76"/>
    </row>
    <row r="5549" spans="1:10">
      <c r="A5549" s="172"/>
      <c r="D5549" s="56"/>
      <c r="E5549" s="204"/>
      <c r="F5549" s="205"/>
      <c r="G5549" s="206"/>
      <c r="H5549" s="207"/>
      <c r="J5549" s="76"/>
    </row>
    <row r="5550" spans="1:10">
      <c r="A5550" s="172"/>
      <c r="D5550" s="56"/>
      <c r="E5550" s="204"/>
      <c r="F5550" s="205"/>
      <c r="G5550" s="206"/>
      <c r="H5550" s="207"/>
      <c r="J5550" s="76"/>
    </row>
    <row r="5551" spans="1:10">
      <c r="A5551" s="172"/>
      <c r="D5551" s="56"/>
      <c r="E5551" s="204"/>
      <c r="F5551" s="205"/>
      <c r="G5551" s="206"/>
      <c r="H5551" s="207"/>
      <c r="J5551" s="76"/>
    </row>
    <row r="5552" spans="1:10">
      <c r="A5552" s="172"/>
      <c r="D5552" s="56"/>
      <c r="E5552" s="204"/>
      <c r="F5552" s="205"/>
      <c r="G5552" s="206"/>
      <c r="H5552" s="207"/>
      <c r="J5552" s="76"/>
    </row>
    <row r="5553" spans="1:10">
      <c r="A5553" s="172"/>
      <c r="D5553" s="56"/>
      <c r="E5553" s="204"/>
      <c r="F5553" s="205"/>
      <c r="G5553" s="206"/>
      <c r="H5553" s="207"/>
      <c r="J5553" s="76"/>
    </row>
    <row r="5554" spans="1:10">
      <c r="A5554" s="172"/>
      <c r="D5554" s="56"/>
      <c r="E5554" s="204"/>
      <c r="F5554" s="205"/>
      <c r="G5554" s="206"/>
      <c r="H5554" s="207"/>
      <c r="J5554" s="76"/>
    </row>
    <row r="5555" spans="1:10">
      <c r="A5555" s="172"/>
      <c r="D5555" s="56"/>
      <c r="E5555" s="204"/>
      <c r="F5555" s="205"/>
      <c r="G5555" s="206"/>
      <c r="H5555" s="207"/>
      <c r="J5555" s="76"/>
    </row>
    <row r="5556" spans="1:10">
      <c r="A5556" s="172"/>
      <c r="D5556" s="56"/>
      <c r="E5556" s="204"/>
      <c r="F5556" s="205"/>
      <c r="G5556" s="206"/>
      <c r="H5556" s="207"/>
      <c r="J5556" s="76"/>
    </row>
    <row r="5557" spans="1:10">
      <c r="A5557" s="172"/>
      <c r="D5557" s="56"/>
      <c r="E5557" s="204"/>
      <c r="F5557" s="205"/>
      <c r="G5557" s="206"/>
      <c r="H5557" s="207"/>
      <c r="J5557" s="76"/>
    </row>
    <row r="5558" spans="1:10">
      <c r="A5558" s="172"/>
      <c r="D5558" s="56"/>
      <c r="E5558" s="204"/>
      <c r="F5558" s="205"/>
      <c r="G5558" s="206"/>
      <c r="H5558" s="207"/>
      <c r="J5558" s="76"/>
    </row>
    <row r="5559" spans="1:10">
      <c r="A5559" s="172"/>
      <c r="D5559" s="56"/>
      <c r="E5559" s="204"/>
      <c r="F5559" s="205"/>
      <c r="G5559" s="206"/>
      <c r="H5559" s="207"/>
      <c r="J5559" s="76"/>
    </row>
    <row r="5560" spans="1:10">
      <c r="A5560" s="172"/>
      <c r="D5560" s="56"/>
      <c r="E5560" s="204"/>
      <c r="F5560" s="205"/>
      <c r="G5560" s="206"/>
      <c r="H5560" s="207"/>
      <c r="J5560" s="76"/>
    </row>
    <row r="5561" spans="1:10">
      <c r="A5561" s="172"/>
      <c r="D5561" s="56"/>
      <c r="E5561" s="204"/>
      <c r="F5561" s="205"/>
      <c r="G5561" s="206"/>
      <c r="H5561" s="207"/>
      <c r="J5561" s="76"/>
    </row>
    <row r="5562" spans="1:10">
      <c r="A5562" s="172"/>
      <c r="D5562" s="56"/>
      <c r="E5562" s="204"/>
      <c r="F5562" s="205"/>
      <c r="G5562" s="206"/>
      <c r="H5562" s="207"/>
      <c r="J5562" s="76"/>
    </row>
    <row r="5563" spans="1:10">
      <c r="A5563" s="172"/>
      <c r="D5563" s="56"/>
      <c r="E5563" s="204"/>
      <c r="F5563" s="205"/>
      <c r="G5563" s="206"/>
      <c r="H5563" s="207"/>
      <c r="J5563" s="76"/>
    </row>
    <row r="5564" spans="1:10">
      <c r="A5564" s="172"/>
      <c r="D5564" s="56"/>
      <c r="E5564" s="204"/>
      <c r="F5564" s="205"/>
      <c r="G5564" s="206"/>
      <c r="H5564" s="207"/>
      <c r="J5564" s="76"/>
    </row>
    <row r="5565" spans="1:10">
      <c r="A5565" s="172"/>
      <c r="D5565" s="56"/>
      <c r="E5565" s="204"/>
      <c r="F5565" s="205"/>
      <c r="G5565" s="206"/>
      <c r="H5565" s="207"/>
      <c r="J5565" s="76"/>
    </row>
    <row r="5566" spans="1:10">
      <c r="A5566" s="172"/>
      <c r="D5566" s="56"/>
      <c r="E5566" s="204"/>
      <c r="F5566" s="205"/>
      <c r="G5566" s="206"/>
      <c r="H5566" s="207"/>
      <c r="J5566" s="76"/>
    </row>
    <row r="5567" spans="1:10">
      <c r="A5567" s="172"/>
      <c r="D5567" s="56"/>
      <c r="E5567" s="204"/>
      <c r="F5567" s="205"/>
      <c r="G5567" s="206"/>
      <c r="H5567" s="207"/>
      <c r="J5567" s="76"/>
    </row>
    <row r="5568" spans="1:10">
      <c r="A5568" s="172"/>
      <c r="D5568" s="56"/>
      <c r="E5568" s="204"/>
      <c r="F5568" s="205"/>
      <c r="G5568" s="206"/>
      <c r="H5568" s="207"/>
      <c r="J5568" s="76"/>
    </row>
    <row r="5569" spans="1:10">
      <c r="A5569" s="172"/>
      <c r="D5569" s="56"/>
      <c r="E5569" s="204"/>
      <c r="F5569" s="205"/>
      <c r="G5569" s="206"/>
      <c r="H5569" s="207"/>
      <c r="J5569" s="76"/>
    </row>
    <row r="5570" spans="1:10">
      <c r="A5570" s="172"/>
      <c r="D5570" s="56"/>
      <c r="E5570" s="204"/>
      <c r="F5570" s="205"/>
      <c r="G5570" s="206"/>
      <c r="H5570" s="207"/>
      <c r="J5570" s="76"/>
    </row>
    <row r="5571" spans="1:10">
      <c r="A5571" s="172"/>
      <c r="D5571" s="56"/>
      <c r="E5571" s="204"/>
      <c r="F5571" s="205"/>
      <c r="G5571" s="206"/>
      <c r="H5571" s="207"/>
      <c r="J5571" s="76"/>
    </row>
    <row r="5572" spans="1:10">
      <c r="A5572" s="172"/>
      <c r="D5572" s="56"/>
      <c r="E5572" s="204"/>
      <c r="F5572" s="205"/>
      <c r="G5572" s="206"/>
      <c r="H5572" s="207"/>
      <c r="J5572" s="76"/>
    </row>
    <row r="5573" spans="1:10">
      <c r="A5573" s="172"/>
      <c r="D5573" s="56"/>
      <c r="E5573" s="204"/>
      <c r="F5573" s="205"/>
      <c r="G5573" s="206"/>
      <c r="H5573" s="207"/>
      <c r="J5573" s="76"/>
    </row>
    <row r="5574" spans="1:10">
      <c r="A5574" s="172"/>
      <c r="D5574" s="56"/>
      <c r="E5574" s="204"/>
      <c r="F5574" s="205"/>
      <c r="G5574" s="206"/>
      <c r="H5574" s="207"/>
      <c r="J5574" s="76"/>
    </row>
    <row r="5575" spans="1:10">
      <c r="A5575" s="172"/>
      <c r="D5575" s="56"/>
      <c r="E5575" s="204"/>
      <c r="F5575" s="205"/>
      <c r="G5575" s="206"/>
      <c r="H5575" s="207"/>
      <c r="J5575" s="76"/>
    </row>
    <row r="5576" spans="1:10">
      <c r="A5576" s="172"/>
      <c r="D5576" s="56"/>
      <c r="E5576" s="204"/>
      <c r="F5576" s="205"/>
      <c r="G5576" s="206"/>
      <c r="H5576" s="207"/>
      <c r="J5576" s="76"/>
    </row>
    <row r="5577" spans="1:10">
      <c r="A5577" s="172"/>
      <c r="D5577" s="56"/>
      <c r="E5577" s="204"/>
      <c r="F5577" s="205"/>
      <c r="G5577" s="206"/>
      <c r="H5577" s="207"/>
      <c r="J5577" s="76"/>
    </row>
    <row r="5578" spans="1:10">
      <c r="A5578" s="172"/>
      <c r="D5578" s="56"/>
      <c r="E5578" s="204"/>
      <c r="F5578" s="205"/>
      <c r="G5578" s="206"/>
      <c r="H5578" s="207"/>
      <c r="J5578" s="76"/>
    </row>
    <row r="5579" spans="1:10">
      <c r="A5579" s="172"/>
      <c r="D5579" s="56"/>
      <c r="E5579" s="204"/>
      <c r="F5579" s="205"/>
      <c r="G5579" s="206"/>
      <c r="H5579" s="207"/>
      <c r="J5579" s="76"/>
    </row>
    <row r="5580" spans="1:10">
      <c r="A5580" s="172"/>
      <c r="D5580" s="56"/>
      <c r="E5580" s="204"/>
      <c r="F5580" s="205"/>
      <c r="G5580" s="206"/>
      <c r="H5580" s="207"/>
      <c r="J5580" s="76"/>
    </row>
    <row r="5581" spans="1:10">
      <c r="A5581" s="172"/>
      <c r="D5581" s="56"/>
      <c r="E5581" s="204"/>
      <c r="F5581" s="205"/>
      <c r="G5581" s="206"/>
      <c r="H5581" s="207"/>
      <c r="J5581" s="76"/>
    </row>
    <row r="5582" spans="1:10">
      <c r="A5582" s="172"/>
      <c r="D5582" s="56"/>
      <c r="E5582" s="204"/>
      <c r="F5582" s="205"/>
      <c r="G5582" s="206"/>
      <c r="H5582" s="207"/>
      <c r="J5582" s="76"/>
    </row>
    <row r="5583" spans="1:10">
      <c r="A5583" s="172"/>
      <c r="D5583" s="56"/>
      <c r="E5583" s="204"/>
      <c r="F5583" s="205"/>
      <c r="G5583" s="206"/>
      <c r="H5583" s="207"/>
      <c r="J5583" s="76"/>
    </row>
    <row r="5584" spans="1:10">
      <c r="A5584" s="172"/>
      <c r="D5584" s="56"/>
      <c r="E5584" s="204"/>
      <c r="F5584" s="205"/>
      <c r="G5584" s="206"/>
      <c r="H5584" s="207"/>
      <c r="J5584" s="76"/>
    </row>
    <row r="5585" spans="1:10">
      <c r="A5585" s="172"/>
      <c r="D5585" s="56"/>
      <c r="E5585" s="204"/>
      <c r="F5585" s="205"/>
      <c r="G5585" s="206"/>
      <c r="H5585" s="207"/>
      <c r="J5585" s="76"/>
    </row>
    <row r="5586" spans="1:10">
      <c r="A5586" s="172"/>
      <c r="D5586" s="56"/>
      <c r="E5586" s="204"/>
      <c r="F5586" s="205"/>
      <c r="G5586" s="206"/>
      <c r="H5586" s="207"/>
      <c r="J5586" s="76"/>
    </row>
    <row r="5587" spans="1:10">
      <c r="A5587" s="172"/>
      <c r="D5587" s="56"/>
      <c r="E5587" s="204"/>
      <c r="F5587" s="205"/>
      <c r="G5587" s="206"/>
      <c r="H5587" s="207"/>
      <c r="J5587" s="76"/>
    </row>
    <row r="5588" spans="1:10">
      <c r="A5588" s="172"/>
      <c r="D5588" s="56"/>
      <c r="E5588" s="204"/>
      <c r="F5588" s="205"/>
      <c r="G5588" s="206"/>
      <c r="H5588" s="207"/>
      <c r="J5588" s="76"/>
    </row>
    <row r="5589" spans="1:10">
      <c r="A5589" s="172"/>
      <c r="D5589" s="56"/>
      <c r="E5589" s="204"/>
      <c r="F5589" s="205"/>
      <c r="G5589" s="206"/>
      <c r="H5589" s="207"/>
      <c r="J5589" s="76"/>
    </row>
    <row r="5590" spans="1:10">
      <c r="A5590" s="172"/>
      <c r="D5590" s="56"/>
      <c r="E5590" s="204"/>
      <c r="F5590" s="205"/>
      <c r="G5590" s="206"/>
      <c r="H5590" s="207"/>
      <c r="J5590" s="76"/>
    </row>
    <row r="5591" spans="1:10">
      <c r="A5591" s="172"/>
      <c r="D5591" s="56"/>
      <c r="E5591" s="204"/>
      <c r="F5591" s="205"/>
      <c r="G5591" s="206"/>
      <c r="H5591" s="207"/>
      <c r="J5591" s="76"/>
    </row>
    <row r="5592" spans="1:10">
      <c r="A5592" s="172"/>
      <c r="D5592" s="56"/>
      <c r="E5592" s="204"/>
      <c r="F5592" s="205"/>
      <c r="G5592" s="206"/>
      <c r="H5592" s="207"/>
      <c r="J5592" s="76"/>
    </row>
    <row r="5593" spans="1:10">
      <c r="A5593" s="172"/>
      <c r="D5593" s="56"/>
      <c r="E5593" s="204"/>
      <c r="F5593" s="205"/>
      <c r="G5593" s="206"/>
      <c r="H5593" s="207"/>
      <c r="J5593" s="76"/>
    </row>
    <row r="5594" spans="1:10">
      <c r="A5594" s="172"/>
      <c r="D5594" s="56"/>
      <c r="E5594" s="204"/>
      <c r="F5594" s="205"/>
      <c r="G5594" s="206"/>
      <c r="H5594" s="207"/>
      <c r="J5594" s="76"/>
    </row>
    <row r="5595" spans="1:10">
      <c r="A5595" s="172"/>
      <c r="D5595" s="56"/>
      <c r="E5595" s="204"/>
      <c r="F5595" s="205"/>
      <c r="G5595" s="206"/>
      <c r="H5595" s="207"/>
      <c r="J5595" s="76"/>
    </row>
    <row r="5596" spans="1:10">
      <c r="A5596" s="172"/>
      <c r="D5596" s="56"/>
      <c r="E5596" s="204"/>
      <c r="F5596" s="205"/>
      <c r="G5596" s="206"/>
      <c r="H5596" s="207"/>
      <c r="J5596" s="76"/>
    </row>
    <row r="5597" spans="1:10">
      <c r="A5597" s="172"/>
      <c r="D5597" s="56"/>
      <c r="E5597" s="204"/>
      <c r="F5597" s="205"/>
      <c r="G5597" s="206"/>
      <c r="H5597" s="207"/>
      <c r="J5597" s="76"/>
    </row>
    <row r="5598" spans="1:10">
      <c r="A5598" s="172"/>
      <c r="D5598" s="56"/>
      <c r="E5598" s="204"/>
      <c r="F5598" s="205"/>
      <c r="G5598" s="206"/>
      <c r="H5598" s="207"/>
      <c r="J5598" s="76"/>
    </row>
    <row r="5599" spans="1:10">
      <c r="A5599" s="172"/>
      <c r="D5599" s="56"/>
      <c r="E5599" s="204"/>
      <c r="F5599" s="205"/>
      <c r="G5599" s="206"/>
      <c r="H5599" s="207"/>
      <c r="J5599" s="76"/>
    </row>
    <row r="5600" spans="1:10">
      <c r="A5600" s="172"/>
      <c r="D5600" s="56"/>
      <c r="E5600" s="204"/>
      <c r="F5600" s="205"/>
      <c r="G5600" s="206"/>
      <c r="H5600" s="207"/>
      <c r="J5600" s="76"/>
    </row>
    <row r="5601" spans="1:10">
      <c r="A5601" s="172"/>
      <c r="D5601" s="56"/>
      <c r="E5601" s="204"/>
      <c r="F5601" s="205"/>
      <c r="G5601" s="206"/>
      <c r="H5601" s="207"/>
      <c r="J5601" s="76"/>
    </row>
    <row r="5602" spans="1:10">
      <c r="A5602" s="172"/>
      <c r="D5602" s="56"/>
      <c r="E5602" s="204"/>
      <c r="F5602" s="205"/>
      <c r="G5602" s="206"/>
      <c r="H5602" s="207"/>
      <c r="J5602" s="76"/>
    </row>
    <row r="5603" spans="1:10">
      <c r="A5603" s="172"/>
      <c r="D5603" s="56"/>
      <c r="E5603" s="204"/>
      <c r="F5603" s="205"/>
      <c r="G5603" s="206"/>
      <c r="H5603" s="207"/>
      <c r="J5603" s="76"/>
    </row>
    <row r="5604" spans="1:10">
      <c r="A5604" s="172"/>
      <c r="D5604" s="56"/>
      <c r="E5604" s="204"/>
      <c r="F5604" s="205"/>
      <c r="G5604" s="206"/>
      <c r="H5604" s="207"/>
      <c r="J5604" s="76"/>
    </row>
    <row r="5605" spans="1:10">
      <c r="A5605" s="172"/>
      <c r="D5605" s="56"/>
      <c r="E5605" s="204"/>
      <c r="F5605" s="205"/>
      <c r="G5605" s="206"/>
      <c r="H5605" s="207"/>
      <c r="J5605" s="76"/>
    </row>
    <row r="5606" spans="1:10">
      <c r="A5606" s="172"/>
      <c r="D5606" s="56"/>
      <c r="E5606" s="204"/>
      <c r="F5606" s="205"/>
      <c r="G5606" s="206"/>
      <c r="H5606" s="207"/>
      <c r="J5606" s="76"/>
    </row>
    <row r="5607" spans="1:10">
      <c r="A5607" s="172"/>
      <c r="D5607" s="56"/>
      <c r="E5607" s="204"/>
      <c r="F5607" s="205"/>
      <c r="G5607" s="206"/>
      <c r="H5607" s="207"/>
      <c r="J5607" s="76"/>
    </row>
    <row r="5608" spans="1:10">
      <c r="A5608" s="172"/>
      <c r="D5608" s="56"/>
      <c r="E5608" s="204"/>
      <c r="F5608" s="205"/>
      <c r="G5608" s="206"/>
      <c r="H5608" s="207"/>
      <c r="J5608" s="76"/>
    </row>
    <row r="5609" spans="1:10">
      <c r="A5609" s="172"/>
      <c r="D5609" s="56"/>
      <c r="E5609" s="204"/>
      <c r="F5609" s="205"/>
      <c r="G5609" s="206"/>
      <c r="H5609" s="207"/>
      <c r="J5609" s="76"/>
    </row>
    <row r="5610" spans="1:10">
      <c r="A5610" s="172"/>
      <c r="D5610" s="56"/>
      <c r="E5610" s="204"/>
      <c r="F5610" s="205"/>
      <c r="G5610" s="206"/>
      <c r="H5610" s="207"/>
      <c r="J5610" s="76"/>
    </row>
    <row r="5611" spans="1:10">
      <c r="A5611" s="172"/>
      <c r="D5611" s="56"/>
      <c r="E5611" s="204"/>
      <c r="F5611" s="205"/>
      <c r="G5611" s="206"/>
      <c r="H5611" s="207"/>
      <c r="J5611" s="76"/>
    </row>
    <row r="5612" spans="1:10">
      <c r="A5612" s="172"/>
      <c r="D5612" s="56"/>
      <c r="E5612" s="204"/>
      <c r="F5612" s="205"/>
      <c r="G5612" s="206"/>
      <c r="H5612" s="207"/>
      <c r="J5612" s="76"/>
    </row>
    <row r="5613" spans="1:10">
      <c r="A5613" s="172"/>
      <c r="D5613" s="56"/>
      <c r="E5613" s="204"/>
      <c r="F5613" s="205"/>
      <c r="G5613" s="206"/>
      <c r="H5613" s="207"/>
      <c r="J5613" s="76"/>
    </row>
    <row r="5614" spans="1:10">
      <c r="A5614" s="172"/>
      <c r="D5614" s="56"/>
      <c r="E5614" s="204"/>
      <c r="F5614" s="205"/>
      <c r="G5614" s="206"/>
      <c r="H5614" s="207"/>
      <c r="J5614" s="76"/>
    </row>
    <row r="5615" spans="1:10">
      <c r="A5615" s="172"/>
      <c r="D5615" s="56"/>
      <c r="E5615" s="204"/>
      <c r="F5615" s="205"/>
      <c r="G5615" s="206"/>
      <c r="H5615" s="207"/>
      <c r="J5615" s="76"/>
    </row>
    <row r="5616" spans="1:10">
      <c r="A5616" s="172"/>
      <c r="D5616" s="56"/>
      <c r="E5616" s="204"/>
      <c r="F5616" s="205"/>
      <c r="G5616" s="206"/>
      <c r="H5616" s="207"/>
      <c r="J5616" s="76"/>
    </row>
    <row r="5617" spans="1:10">
      <c r="A5617" s="172"/>
      <c r="D5617" s="56"/>
      <c r="E5617" s="204"/>
      <c r="F5617" s="205"/>
      <c r="G5617" s="206"/>
      <c r="H5617" s="207"/>
      <c r="J5617" s="76"/>
    </row>
    <row r="5618" spans="1:10">
      <c r="A5618" s="172"/>
      <c r="D5618" s="56"/>
      <c r="E5618" s="204"/>
      <c r="F5618" s="205"/>
      <c r="G5618" s="206"/>
      <c r="H5618" s="207"/>
      <c r="J5618" s="76"/>
    </row>
    <row r="5619" spans="1:10">
      <c r="A5619" s="172"/>
      <c r="D5619" s="56"/>
      <c r="E5619" s="204"/>
      <c r="F5619" s="205"/>
      <c r="G5619" s="206"/>
      <c r="H5619" s="207"/>
      <c r="J5619" s="76"/>
    </row>
    <row r="5620" spans="1:10">
      <c r="A5620" s="172"/>
      <c r="D5620" s="56"/>
      <c r="E5620" s="204"/>
      <c r="F5620" s="205"/>
      <c r="G5620" s="206"/>
      <c r="H5620" s="207"/>
      <c r="J5620" s="76"/>
    </row>
    <row r="5621" spans="1:10">
      <c r="A5621" s="172"/>
      <c r="D5621" s="56"/>
      <c r="E5621" s="204"/>
      <c r="F5621" s="205"/>
      <c r="G5621" s="206"/>
      <c r="H5621" s="207"/>
      <c r="J5621" s="76"/>
    </row>
    <row r="5622" spans="1:10">
      <c r="A5622" s="172"/>
      <c r="D5622" s="56"/>
      <c r="E5622" s="204"/>
      <c r="F5622" s="205"/>
      <c r="G5622" s="206"/>
      <c r="H5622" s="207"/>
      <c r="J5622" s="76"/>
    </row>
    <row r="5623" spans="1:10">
      <c r="A5623" s="172"/>
      <c r="D5623" s="56"/>
      <c r="E5623" s="204"/>
      <c r="F5623" s="205"/>
      <c r="G5623" s="206"/>
      <c r="H5623" s="207"/>
      <c r="J5623" s="76"/>
    </row>
    <row r="5624" spans="1:10">
      <c r="A5624" s="172"/>
      <c r="D5624" s="56"/>
      <c r="E5624" s="204"/>
      <c r="F5624" s="205"/>
      <c r="G5624" s="206"/>
      <c r="H5624" s="207"/>
      <c r="J5624" s="76"/>
    </row>
    <row r="5625" spans="1:10">
      <c r="A5625" s="172"/>
      <c r="D5625" s="56"/>
      <c r="E5625" s="204"/>
      <c r="F5625" s="205"/>
      <c r="G5625" s="206"/>
      <c r="H5625" s="207"/>
      <c r="J5625" s="76"/>
    </row>
    <row r="5626" spans="1:10">
      <c r="A5626" s="172"/>
      <c r="D5626" s="56"/>
      <c r="E5626" s="204"/>
      <c r="F5626" s="205"/>
      <c r="G5626" s="206"/>
      <c r="H5626" s="207"/>
      <c r="J5626" s="76"/>
    </row>
    <row r="5627" spans="1:10">
      <c r="A5627" s="172"/>
      <c r="D5627" s="56"/>
      <c r="E5627" s="204"/>
      <c r="F5627" s="205"/>
      <c r="G5627" s="206"/>
      <c r="H5627" s="207"/>
      <c r="J5627" s="76"/>
    </row>
    <row r="5628" spans="1:10">
      <c r="A5628" s="172"/>
      <c r="D5628" s="56"/>
      <c r="E5628" s="204"/>
      <c r="F5628" s="205"/>
      <c r="G5628" s="206"/>
      <c r="H5628" s="207"/>
      <c r="J5628" s="76"/>
    </row>
    <row r="5629" spans="1:10">
      <c r="A5629" s="172"/>
      <c r="D5629" s="56"/>
      <c r="E5629" s="204"/>
      <c r="F5629" s="205"/>
      <c r="G5629" s="206"/>
      <c r="H5629" s="207"/>
      <c r="J5629" s="76"/>
    </row>
    <row r="5630" spans="1:10">
      <c r="A5630" s="172"/>
      <c r="D5630" s="56"/>
      <c r="E5630" s="204"/>
      <c r="F5630" s="205"/>
      <c r="G5630" s="206"/>
      <c r="H5630" s="207"/>
      <c r="J5630" s="76"/>
    </row>
    <row r="5631" spans="1:10">
      <c r="A5631" s="172"/>
      <c r="D5631" s="56"/>
      <c r="E5631" s="204"/>
      <c r="F5631" s="205"/>
      <c r="G5631" s="206"/>
      <c r="H5631" s="207"/>
      <c r="J5631" s="76"/>
    </row>
    <row r="5632" spans="1:10">
      <c r="A5632" s="172"/>
      <c r="D5632" s="56"/>
      <c r="E5632" s="204"/>
      <c r="F5632" s="205"/>
      <c r="G5632" s="206"/>
      <c r="H5632" s="207"/>
      <c r="J5632" s="76"/>
    </row>
    <row r="5633" spans="1:10">
      <c r="A5633" s="172"/>
      <c r="D5633" s="56"/>
      <c r="E5633" s="204"/>
      <c r="F5633" s="205"/>
      <c r="G5633" s="206"/>
      <c r="H5633" s="207"/>
      <c r="J5633" s="76"/>
    </row>
    <row r="5634" spans="1:10">
      <c r="A5634" s="172"/>
      <c r="D5634" s="56"/>
      <c r="E5634" s="204"/>
      <c r="F5634" s="205"/>
      <c r="G5634" s="206"/>
      <c r="H5634" s="207"/>
      <c r="J5634" s="76"/>
    </row>
    <row r="5635" spans="1:10">
      <c r="A5635" s="172"/>
      <c r="D5635" s="56"/>
      <c r="E5635" s="204"/>
      <c r="F5635" s="205"/>
      <c r="G5635" s="206"/>
      <c r="H5635" s="207"/>
      <c r="J5635" s="76"/>
    </row>
    <row r="5636" spans="1:10">
      <c r="A5636" s="172"/>
      <c r="D5636" s="56"/>
      <c r="E5636" s="204"/>
      <c r="F5636" s="205"/>
      <c r="G5636" s="206"/>
      <c r="H5636" s="207"/>
      <c r="J5636" s="76"/>
    </row>
    <row r="5637" spans="1:10">
      <c r="A5637" s="172"/>
      <c r="D5637" s="56"/>
      <c r="E5637" s="204"/>
      <c r="F5637" s="205"/>
      <c r="G5637" s="206"/>
      <c r="H5637" s="207"/>
      <c r="J5637" s="76"/>
    </row>
    <row r="5638" spans="1:10">
      <c r="A5638" s="172"/>
      <c r="D5638" s="56"/>
      <c r="E5638" s="204"/>
      <c r="F5638" s="205"/>
      <c r="G5638" s="206"/>
      <c r="H5638" s="207"/>
      <c r="J5638" s="76"/>
    </row>
    <row r="5639" spans="1:10">
      <c r="A5639" s="172"/>
      <c r="D5639" s="56"/>
      <c r="E5639" s="204"/>
      <c r="F5639" s="205"/>
      <c r="G5639" s="206"/>
      <c r="H5639" s="207"/>
      <c r="J5639" s="76"/>
    </row>
    <row r="5640" spans="1:10">
      <c r="A5640" s="172"/>
      <c r="D5640" s="56"/>
      <c r="E5640" s="204"/>
      <c r="F5640" s="205"/>
      <c r="G5640" s="206"/>
      <c r="H5640" s="207"/>
      <c r="J5640" s="76"/>
    </row>
    <row r="5641" spans="1:10">
      <c r="A5641" s="172"/>
      <c r="D5641" s="56"/>
      <c r="E5641" s="204"/>
      <c r="F5641" s="205"/>
      <c r="G5641" s="206"/>
      <c r="H5641" s="207"/>
      <c r="J5641" s="76"/>
    </row>
    <row r="5642" spans="1:10">
      <c r="A5642" s="172"/>
      <c r="D5642" s="56"/>
      <c r="E5642" s="204"/>
      <c r="F5642" s="205"/>
      <c r="G5642" s="206"/>
      <c r="H5642" s="207"/>
      <c r="J5642" s="76"/>
    </row>
    <row r="5643" spans="1:10">
      <c r="A5643" s="172"/>
      <c r="D5643" s="56"/>
      <c r="E5643" s="204"/>
      <c r="F5643" s="205"/>
      <c r="G5643" s="206"/>
      <c r="H5643" s="207"/>
      <c r="J5643" s="76"/>
    </row>
    <row r="5644" spans="1:10">
      <c r="A5644" s="172"/>
      <c r="D5644" s="56"/>
      <c r="E5644" s="204"/>
      <c r="F5644" s="205"/>
      <c r="G5644" s="206"/>
      <c r="H5644" s="207"/>
      <c r="J5644" s="76"/>
    </row>
    <row r="5645" spans="1:10">
      <c r="A5645" s="172"/>
      <c r="D5645" s="56"/>
      <c r="E5645" s="204"/>
      <c r="F5645" s="205"/>
      <c r="G5645" s="206"/>
      <c r="H5645" s="207"/>
      <c r="J5645" s="76"/>
    </row>
    <row r="5646" spans="1:10">
      <c r="A5646" s="172"/>
      <c r="D5646" s="56"/>
      <c r="E5646" s="204"/>
      <c r="F5646" s="205"/>
      <c r="G5646" s="206"/>
      <c r="H5646" s="207"/>
      <c r="J5646" s="76"/>
    </row>
    <row r="5647" spans="1:10">
      <c r="A5647" s="172"/>
      <c r="D5647" s="56"/>
      <c r="E5647" s="204"/>
      <c r="F5647" s="205"/>
      <c r="G5647" s="206"/>
      <c r="H5647" s="207"/>
      <c r="J5647" s="76"/>
    </row>
    <row r="5648" spans="1:10">
      <c r="A5648" s="172"/>
      <c r="D5648" s="56"/>
      <c r="E5648" s="204"/>
      <c r="F5648" s="205"/>
      <c r="G5648" s="206"/>
      <c r="H5648" s="207"/>
      <c r="J5648" s="76"/>
    </row>
    <row r="5649" spans="1:10">
      <c r="A5649" s="172"/>
      <c r="D5649" s="56"/>
      <c r="E5649" s="204"/>
      <c r="F5649" s="205"/>
      <c r="G5649" s="206"/>
      <c r="H5649" s="207"/>
      <c r="J5649" s="76"/>
    </row>
    <row r="5650" spans="1:10">
      <c r="A5650" s="172"/>
      <c r="D5650" s="56"/>
      <c r="E5650" s="204"/>
      <c r="F5650" s="205"/>
      <c r="G5650" s="206"/>
      <c r="H5650" s="207"/>
      <c r="J5650" s="76"/>
    </row>
    <row r="5651" spans="1:10">
      <c r="A5651" s="172"/>
      <c r="D5651" s="56"/>
      <c r="E5651" s="204"/>
      <c r="F5651" s="205"/>
      <c r="G5651" s="206"/>
      <c r="H5651" s="207"/>
      <c r="J5651" s="76"/>
    </row>
    <row r="5652" spans="1:10">
      <c r="A5652" s="172"/>
      <c r="D5652" s="56"/>
      <c r="E5652" s="204"/>
      <c r="F5652" s="205"/>
      <c r="G5652" s="206"/>
      <c r="H5652" s="207"/>
      <c r="J5652" s="76"/>
    </row>
    <row r="5653" spans="1:10">
      <c r="A5653" s="172"/>
      <c r="D5653" s="56"/>
      <c r="E5653" s="204"/>
      <c r="F5653" s="205"/>
      <c r="G5653" s="206"/>
      <c r="H5653" s="207"/>
      <c r="J5653" s="76"/>
    </row>
    <row r="5654" spans="1:10">
      <c r="A5654" s="172"/>
      <c r="D5654" s="56"/>
      <c r="E5654" s="204"/>
      <c r="F5654" s="205"/>
      <c r="G5654" s="206"/>
      <c r="H5654" s="207"/>
      <c r="J5654" s="76"/>
    </row>
    <row r="5655" spans="1:10">
      <c r="A5655" s="172"/>
      <c r="D5655" s="56"/>
      <c r="E5655" s="204"/>
      <c r="F5655" s="205"/>
      <c r="G5655" s="206"/>
      <c r="H5655" s="207"/>
      <c r="J5655" s="76"/>
    </row>
    <row r="5656" spans="1:10">
      <c r="A5656" s="172"/>
      <c r="D5656" s="56"/>
      <c r="E5656" s="204"/>
      <c r="F5656" s="205"/>
      <c r="G5656" s="206"/>
      <c r="H5656" s="207"/>
      <c r="J5656" s="76"/>
    </row>
    <row r="5657" spans="1:10">
      <c r="A5657" s="172"/>
      <c r="D5657" s="56"/>
      <c r="E5657" s="204"/>
      <c r="F5657" s="205"/>
      <c r="G5657" s="206"/>
      <c r="H5657" s="207"/>
      <c r="J5657" s="76"/>
    </row>
    <row r="5658" spans="1:10">
      <c r="A5658" s="172"/>
      <c r="D5658" s="56"/>
      <c r="E5658" s="204"/>
      <c r="F5658" s="205"/>
      <c r="G5658" s="206"/>
      <c r="H5658" s="207"/>
      <c r="J5658" s="76"/>
    </row>
    <row r="5659" spans="1:10">
      <c r="A5659" s="172"/>
      <c r="D5659" s="56"/>
      <c r="E5659" s="204"/>
      <c r="F5659" s="205"/>
      <c r="G5659" s="206"/>
      <c r="H5659" s="207"/>
      <c r="J5659" s="76"/>
    </row>
    <row r="5660" spans="1:10">
      <c r="A5660" s="172"/>
      <c r="D5660" s="56"/>
      <c r="E5660" s="204"/>
      <c r="F5660" s="205"/>
      <c r="G5660" s="206"/>
      <c r="H5660" s="207"/>
      <c r="J5660" s="76"/>
    </row>
    <row r="5661" spans="1:10">
      <c r="A5661" s="172"/>
      <c r="D5661" s="56"/>
      <c r="E5661" s="204"/>
      <c r="F5661" s="205"/>
      <c r="G5661" s="206"/>
      <c r="H5661" s="207"/>
      <c r="J5661" s="76"/>
    </row>
    <row r="5662" spans="1:10">
      <c r="A5662" s="172"/>
      <c r="D5662" s="56"/>
      <c r="E5662" s="204"/>
      <c r="F5662" s="205"/>
      <c r="G5662" s="206"/>
      <c r="H5662" s="207"/>
      <c r="J5662" s="76"/>
    </row>
    <row r="5663" spans="1:10">
      <c r="A5663" s="172"/>
      <c r="D5663" s="56"/>
      <c r="E5663" s="204"/>
      <c r="F5663" s="205"/>
      <c r="G5663" s="206"/>
      <c r="H5663" s="207"/>
      <c r="J5663" s="76"/>
    </row>
    <row r="5664" spans="1:10">
      <c r="A5664" s="172"/>
      <c r="D5664" s="56"/>
      <c r="E5664" s="204"/>
      <c r="F5664" s="205"/>
      <c r="G5664" s="206"/>
      <c r="H5664" s="207"/>
      <c r="J5664" s="76"/>
    </row>
    <row r="5665" spans="1:10">
      <c r="A5665" s="172"/>
      <c r="D5665" s="56"/>
      <c r="E5665" s="204"/>
      <c r="F5665" s="205"/>
      <c r="G5665" s="206"/>
      <c r="H5665" s="207"/>
      <c r="J5665" s="76"/>
    </row>
    <row r="5666" spans="1:10">
      <c r="A5666" s="172"/>
      <c r="D5666" s="56"/>
      <c r="E5666" s="204"/>
      <c r="F5666" s="205"/>
      <c r="G5666" s="206"/>
      <c r="H5666" s="207"/>
      <c r="J5666" s="76"/>
    </row>
    <row r="5667" spans="1:10">
      <c r="A5667" s="172"/>
      <c r="D5667" s="56"/>
      <c r="E5667" s="204"/>
      <c r="F5667" s="205"/>
      <c r="G5667" s="206"/>
      <c r="H5667" s="207"/>
      <c r="J5667" s="76"/>
    </row>
    <row r="5668" spans="1:10">
      <c r="A5668" s="172"/>
      <c r="D5668" s="56"/>
      <c r="E5668" s="204"/>
      <c r="F5668" s="205"/>
      <c r="G5668" s="206"/>
      <c r="H5668" s="207"/>
      <c r="J5668" s="76"/>
    </row>
    <row r="5669" spans="1:10">
      <c r="A5669" s="172"/>
      <c r="D5669" s="56"/>
      <c r="E5669" s="204"/>
      <c r="F5669" s="205"/>
      <c r="G5669" s="206"/>
      <c r="H5669" s="207"/>
      <c r="J5669" s="76"/>
    </row>
    <row r="5670" spans="1:10">
      <c r="A5670" s="172"/>
      <c r="D5670" s="56"/>
      <c r="E5670" s="204"/>
      <c r="F5670" s="205"/>
      <c r="G5670" s="206"/>
      <c r="H5670" s="207"/>
      <c r="J5670" s="76"/>
    </row>
    <row r="5671" spans="1:10">
      <c r="A5671" s="172"/>
      <c r="D5671" s="56"/>
      <c r="E5671" s="204"/>
      <c r="F5671" s="205"/>
      <c r="G5671" s="206"/>
      <c r="H5671" s="207"/>
      <c r="J5671" s="76"/>
    </row>
    <row r="5672" spans="1:10">
      <c r="A5672" s="172"/>
      <c r="D5672" s="56"/>
      <c r="E5672" s="204"/>
      <c r="F5672" s="205"/>
      <c r="G5672" s="206"/>
      <c r="H5672" s="207"/>
      <c r="J5672" s="76"/>
    </row>
    <row r="5673" spans="1:10">
      <c r="A5673" s="172"/>
      <c r="D5673" s="56"/>
      <c r="E5673" s="204"/>
      <c r="F5673" s="205"/>
      <c r="G5673" s="206"/>
      <c r="H5673" s="207"/>
      <c r="J5673" s="76"/>
    </row>
    <row r="5674" spans="1:10">
      <c r="A5674" s="172"/>
      <c r="D5674" s="56"/>
      <c r="E5674" s="204"/>
      <c r="F5674" s="205"/>
      <c r="G5674" s="206"/>
      <c r="H5674" s="207"/>
      <c r="J5674" s="76"/>
    </row>
    <row r="5675" spans="1:10">
      <c r="A5675" s="172"/>
      <c r="D5675" s="56"/>
      <c r="E5675" s="204"/>
      <c r="F5675" s="205"/>
      <c r="G5675" s="206"/>
      <c r="H5675" s="207"/>
      <c r="J5675" s="76"/>
    </row>
    <row r="5676" spans="1:10">
      <c r="A5676" s="172"/>
      <c r="D5676" s="56"/>
      <c r="E5676" s="204"/>
      <c r="F5676" s="205"/>
      <c r="G5676" s="206"/>
      <c r="H5676" s="207"/>
      <c r="J5676" s="76"/>
    </row>
    <row r="5677" spans="1:10">
      <c r="A5677" s="172"/>
      <c r="D5677" s="56"/>
      <c r="E5677" s="204"/>
      <c r="F5677" s="205"/>
      <c r="G5677" s="206"/>
      <c r="H5677" s="207"/>
      <c r="J5677" s="76"/>
    </row>
    <row r="5678" spans="1:10">
      <c r="A5678" s="172"/>
      <c r="D5678" s="56"/>
      <c r="E5678" s="204"/>
      <c r="F5678" s="205"/>
      <c r="G5678" s="206"/>
      <c r="H5678" s="207"/>
      <c r="J5678" s="76"/>
    </row>
    <row r="5679" spans="1:10">
      <c r="A5679" s="172"/>
      <c r="D5679" s="56"/>
      <c r="E5679" s="204"/>
      <c r="F5679" s="205"/>
      <c r="G5679" s="206"/>
      <c r="H5679" s="207"/>
      <c r="J5679" s="76"/>
    </row>
    <row r="5680" spans="1:10">
      <c r="A5680" s="172"/>
      <c r="D5680" s="56"/>
      <c r="E5680" s="204"/>
      <c r="F5680" s="205"/>
      <c r="G5680" s="206"/>
      <c r="H5680" s="207"/>
      <c r="J5680" s="76"/>
    </row>
    <row r="5681" spans="1:10">
      <c r="A5681" s="172"/>
      <c r="D5681" s="56"/>
      <c r="E5681" s="204"/>
      <c r="F5681" s="205"/>
      <c r="G5681" s="206"/>
      <c r="H5681" s="207"/>
      <c r="J5681" s="76"/>
    </row>
    <row r="5682" spans="1:10">
      <c r="A5682" s="172"/>
      <c r="D5682" s="56"/>
      <c r="E5682" s="204"/>
      <c r="F5682" s="205"/>
      <c r="G5682" s="206"/>
      <c r="H5682" s="207"/>
      <c r="J5682" s="76"/>
    </row>
    <row r="5683" spans="1:10">
      <c r="A5683" s="172"/>
      <c r="D5683" s="56"/>
      <c r="E5683" s="204"/>
      <c r="F5683" s="205"/>
      <c r="G5683" s="206"/>
      <c r="H5683" s="207"/>
      <c r="J5683" s="76"/>
    </row>
    <row r="5684" spans="1:10">
      <c r="A5684" s="172"/>
      <c r="D5684" s="56"/>
      <c r="E5684" s="204"/>
      <c r="F5684" s="205"/>
      <c r="G5684" s="206"/>
      <c r="H5684" s="207"/>
      <c r="J5684" s="76"/>
    </row>
    <row r="5685" spans="1:10">
      <c r="A5685" s="172"/>
      <c r="D5685" s="56"/>
      <c r="E5685" s="204"/>
      <c r="F5685" s="205"/>
      <c r="G5685" s="206"/>
      <c r="H5685" s="207"/>
      <c r="J5685" s="76"/>
    </row>
    <row r="5686" spans="1:10">
      <c r="A5686" s="172"/>
      <c r="D5686" s="56"/>
      <c r="E5686" s="204"/>
      <c r="F5686" s="205"/>
      <c r="G5686" s="206"/>
      <c r="H5686" s="207"/>
      <c r="J5686" s="76"/>
    </row>
    <row r="5687" spans="1:10">
      <c r="A5687" s="172"/>
      <c r="D5687" s="56"/>
      <c r="E5687" s="204"/>
      <c r="F5687" s="205"/>
      <c r="G5687" s="206"/>
      <c r="H5687" s="207"/>
      <c r="J5687" s="76"/>
    </row>
    <row r="5688" spans="1:10">
      <c r="A5688" s="172"/>
      <c r="D5688" s="56"/>
      <c r="E5688" s="204"/>
      <c r="F5688" s="205"/>
      <c r="G5688" s="206"/>
      <c r="H5688" s="207"/>
      <c r="J5688" s="76"/>
    </row>
    <row r="5689" spans="1:10">
      <c r="A5689" s="172"/>
      <c r="D5689" s="56"/>
      <c r="E5689" s="204"/>
      <c r="F5689" s="205"/>
      <c r="G5689" s="206"/>
      <c r="H5689" s="207"/>
      <c r="J5689" s="76"/>
    </row>
    <row r="5690" spans="1:10">
      <c r="A5690" s="172"/>
      <c r="D5690" s="56"/>
      <c r="E5690" s="204"/>
      <c r="F5690" s="205"/>
      <c r="G5690" s="206"/>
      <c r="H5690" s="207"/>
      <c r="J5690" s="76"/>
    </row>
    <row r="5691" spans="1:10">
      <c r="A5691" s="172"/>
      <c r="D5691" s="56"/>
      <c r="E5691" s="204"/>
      <c r="F5691" s="205"/>
      <c r="G5691" s="206"/>
      <c r="H5691" s="207"/>
      <c r="J5691" s="76"/>
    </row>
    <row r="5692" spans="1:10">
      <c r="A5692" s="172"/>
      <c r="D5692" s="56"/>
      <c r="E5692" s="204"/>
      <c r="F5692" s="205"/>
      <c r="G5692" s="206"/>
      <c r="H5692" s="207"/>
      <c r="J5692" s="76"/>
    </row>
    <row r="5693" spans="1:10">
      <c r="A5693" s="172"/>
      <c r="D5693" s="56"/>
      <c r="E5693" s="204"/>
      <c r="F5693" s="205"/>
      <c r="G5693" s="206"/>
      <c r="H5693" s="207"/>
      <c r="J5693" s="76"/>
    </row>
    <row r="5694" spans="1:10">
      <c r="A5694" s="172"/>
      <c r="D5694" s="56"/>
      <c r="E5694" s="204"/>
      <c r="F5694" s="205"/>
      <c r="G5694" s="206"/>
      <c r="H5694" s="207"/>
      <c r="J5694" s="76"/>
    </row>
    <row r="5695" spans="1:10">
      <c r="A5695" s="172"/>
      <c r="D5695" s="56"/>
      <c r="E5695" s="204"/>
      <c r="F5695" s="205"/>
      <c r="G5695" s="206"/>
      <c r="H5695" s="207"/>
      <c r="J5695" s="76"/>
    </row>
    <row r="5696" spans="1:10">
      <c r="A5696" s="172"/>
      <c r="D5696" s="56"/>
      <c r="E5696" s="204"/>
      <c r="F5696" s="205"/>
      <c r="G5696" s="206"/>
      <c r="H5696" s="207"/>
      <c r="J5696" s="76"/>
    </row>
    <row r="5697" spans="1:10">
      <c r="A5697" s="172"/>
      <c r="D5697" s="56"/>
      <c r="E5697" s="204"/>
      <c r="F5697" s="205"/>
      <c r="G5697" s="206"/>
      <c r="H5697" s="207"/>
      <c r="J5697" s="76"/>
    </row>
    <row r="5698" spans="1:10">
      <c r="A5698" s="172"/>
      <c r="D5698" s="56"/>
      <c r="E5698" s="204"/>
      <c r="F5698" s="205"/>
      <c r="G5698" s="206"/>
      <c r="H5698" s="207"/>
      <c r="J5698" s="76"/>
    </row>
    <row r="5699" spans="1:10">
      <c r="A5699" s="172"/>
      <c r="D5699" s="56"/>
      <c r="E5699" s="204"/>
      <c r="F5699" s="205"/>
      <c r="G5699" s="206"/>
      <c r="H5699" s="207"/>
      <c r="J5699" s="76"/>
    </row>
    <row r="5700" spans="1:10">
      <c r="A5700" s="172"/>
      <c r="D5700" s="56"/>
      <c r="E5700" s="204"/>
      <c r="F5700" s="205"/>
      <c r="G5700" s="206"/>
      <c r="H5700" s="207"/>
      <c r="J5700" s="76"/>
    </row>
    <row r="5701" spans="1:10">
      <c r="A5701" s="172"/>
      <c r="D5701" s="56"/>
      <c r="E5701" s="204"/>
      <c r="F5701" s="205"/>
      <c r="G5701" s="206"/>
      <c r="H5701" s="207"/>
      <c r="J5701" s="76"/>
    </row>
    <row r="5702" spans="1:10">
      <c r="A5702" s="172"/>
      <c r="D5702" s="56"/>
      <c r="E5702" s="204"/>
      <c r="F5702" s="205"/>
      <c r="G5702" s="206"/>
      <c r="H5702" s="207"/>
      <c r="J5702" s="76"/>
    </row>
    <row r="5703" spans="1:10">
      <c r="A5703" s="172"/>
      <c r="D5703" s="56"/>
      <c r="E5703" s="204"/>
      <c r="F5703" s="205"/>
      <c r="G5703" s="206"/>
      <c r="H5703" s="207"/>
      <c r="J5703" s="76"/>
    </row>
    <row r="5704" spans="1:10">
      <c r="A5704" s="172"/>
      <c r="D5704" s="56"/>
      <c r="E5704" s="204"/>
      <c r="F5704" s="205"/>
      <c r="G5704" s="206"/>
      <c r="H5704" s="207"/>
      <c r="J5704" s="76"/>
    </row>
    <row r="5705" spans="1:10">
      <c r="A5705" s="172"/>
      <c r="D5705" s="56"/>
      <c r="E5705" s="204"/>
      <c r="F5705" s="205"/>
      <c r="G5705" s="206"/>
      <c r="H5705" s="207"/>
      <c r="J5705" s="76"/>
    </row>
    <row r="5706" spans="1:10">
      <c r="A5706" s="172"/>
      <c r="D5706" s="56"/>
      <c r="E5706" s="204"/>
      <c r="F5706" s="205"/>
      <c r="G5706" s="206"/>
      <c r="H5706" s="207"/>
      <c r="J5706" s="76"/>
    </row>
    <row r="5707" spans="1:10">
      <c r="A5707" s="172"/>
      <c r="D5707" s="56"/>
      <c r="E5707" s="204"/>
      <c r="F5707" s="205"/>
      <c r="G5707" s="206"/>
      <c r="H5707" s="207"/>
      <c r="J5707" s="76"/>
    </row>
    <row r="5708" spans="1:10">
      <c r="A5708" s="172"/>
      <c r="D5708" s="56"/>
      <c r="E5708" s="204"/>
      <c r="F5708" s="205"/>
      <c r="G5708" s="206"/>
      <c r="H5708" s="207"/>
      <c r="J5708" s="76"/>
    </row>
    <row r="5709" spans="1:10">
      <c r="A5709" s="172"/>
      <c r="D5709" s="56"/>
      <c r="E5709" s="204"/>
      <c r="F5709" s="205"/>
      <c r="G5709" s="206"/>
      <c r="H5709" s="207"/>
      <c r="J5709" s="76"/>
    </row>
    <row r="5710" spans="1:10">
      <c r="A5710" s="172"/>
      <c r="D5710" s="56"/>
      <c r="E5710" s="204"/>
      <c r="F5710" s="205"/>
      <c r="G5710" s="206"/>
      <c r="H5710" s="207"/>
      <c r="J5710" s="76"/>
    </row>
    <row r="5711" spans="1:10">
      <c r="A5711" s="172"/>
      <c r="D5711" s="56"/>
      <c r="E5711" s="204"/>
      <c r="F5711" s="205"/>
      <c r="G5711" s="206"/>
      <c r="H5711" s="207"/>
      <c r="J5711" s="76"/>
    </row>
    <row r="5712" spans="1:10">
      <c r="A5712" s="172"/>
      <c r="D5712" s="56"/>
      <c r="E5712" s="204"/>
      <c r="F5712" s="205"/>
      <c r="G5712" s="206"/>
      <c r="H5712" s="207"/>
      <c r="J5712" s="76"/>
    </row>
    <row r="5713" spans="1:10">
      <c r="A5713" s="172"/>
      <c r="D5713" s="56"/>
      <c r="E5713" s="204"/>
      <c r="F5713" s="205"/>
      <c r="G5713" s="206"/>
      <c r="H5713" s="207"/>
      <c r="J5713" s="76"/>
    </row>
    <row r="5714" spans="1:10">
      <c r="A5714" s="172"/>
      <c r="D5714" s="56"/>
      <c r="E5714" s="204"/>
      <c r="F5714" s="205"/>
      <c r="G5714" s="206"/>
      <c r="H5714" s="207"/>
      <c r="J5714" s="76"/>
    </row>
    <row r="5715" spans="1:10">
      <c r="A5715" s="172"/>
      <c r="D5715" s="56"/>
      <c r="E5715" s="204"/>
      <c r="F5715" s="205"/>
      <c r="G5715" s="206"/>
      <c r="H5715" s="207"/>
      <c r="J5715" s="76"/>
    </row>
    <row r="5716" spans="1:10">
      <c r="A5716" s="172"/>
      <c r="D5716" s="56"/>
      <c r="E5716" s="204"/>
      <c r="F5716" s="205"/>
      <c r="G5716" s="206"/>
      <c r="H5716" s="207"/>
      <c r="J5716" s="76"/>
    </row>
    <row r="5717" spans="1:10">
      <c r="A5717" s="172"/>
      <c r="D5717" s="56"/>
      <c r="E5717" s="204"/>
      <c r="F5717" s="205"/>
      <c r="G5717" s="206"/>
      <c r="H5717" s="207"/>
      <c r="J5717" s="76"/>
    </row>
    <row r="5718" spans="1:10">
      <c r="A5718" s="172"/>
      <c r="D5718" s="56"/>
      <c r="E5718" s="204"/>
      <c r="F5718" s="205"/>
      <c r="G5718" s="206"/>
      <c r="H5718" s="207"/>
      <c r="J5718" s="76"/>
    </row>
    <row r="5719" spans="1:10">
      <c r="A5719" s="172"/>
      <c r="D5719" s="56"/>
      <c r="E5719" s="204"/>
      <c r="F5719" s="205"/>
      <c r="G5719" s="206"/>
      <c r="H5719" s="207"/>
      <c r="J5719" s="76"/>
    </row>
    <row r="5720" spans="1:10">
      <c r="A5720" s="172"/>
      <c r="D5720" s="56"/>
      <c r="E5720" s="204"/>
      <c r="F5720" s="205"/>
      <c r="G5720" s="206"/>
      <c r="H5720" s="207"/>
      <c r="J5720" s="76"/>
    </row>
    <row r="5721" spans="1:10">
      <c r="A5721" s="172"/>
      <c r="D5721" s="56"/>
      <c r="E5721" s="204"/>
      <c r="F5721" s="205"/>
      <c r="G5721" s="206"/>
      <c r="H5721" s="207"/>
      <c r="J5721" s="76"/>
    </row>
    <row r="5722" spans="1:10">
      <c r="A5722" s="172"/>
      <c r="D5722" s="56"/>
      <c r="E5722" s="204"/>
      <c r="F5722" s="205"/>
      <c r="G5722" s="206"/>
      <c r="H5722" s="207"/>
      <c r="J5722" s="76"/>
    </row>
    <row r="5723" spans="1:10">
      <c r="A5723" s="172"/>
      <c r="D5723" s="56"/>
      <c r="E5723" s="204"/>
      <c r="F5723" s="205"/>
      <c r="G5723" s="206"/>
      <c r="H5723" s="207"/>
      <c r="J5723" s="76"/>
    </row>
    <row r="5724" spans="1:10">
      <c r="A5724" s="172"/>
      <c r="D5724" s="56"/>
      <c r="E5724" s="204"/>
      <c r="F5724" s="205"/>
      <c r="G5724" s="206"/>
      <c r="H5724" s="207"/>
      <c r="J5724" s="76"/>
    </row>
    <row r="5725" spans="1:10">
      <c r="A5725" s="172"/>
      <c r="D5725" s="56"/>
      <c r="E5725" s="204"/>
      <c r="F5725" s="205"/>
      <c r="G5725" s="206"/>
      <c r="H5725" s="207"/>
      <c r="J5725" s="76"/>
    </row>
    <row r="5726" spans="1:10">
      <c r="A5726" s="172"/>
      <c r="D5726" s="56"/>
      <c r="E5726" s="204"/>
      <c r="F5726" s="205"/>
      <c r="G5726" s="206"/>
      <c r="H5726" s="207"/>
      <c r="J5726" s="76"/>
    </row>
    <row r="5727" spans="1:10">
      <c r="A5727" s="172"/>
      <c r="D5727" s="56"/>
      <c r="E5727" s="204"/>
      <c r="F5727" s="205"/>
      <c r="G5727" s="206"/>
      <c r="H5727" s="207"/>
      <c r="J5727" s="76"/>
    </row>
    <row r="5728" spans="1:10">
      <c r="A5728" s="172"/>
      <c r="D5728" s="56"/>
      <c r="E5728" s="204"/>
      <c r="F5728" s="205"/>
      <c r="G5728" s="206"/>
      <c r="H5728" s="207"/>
      <c r="J5728" s="76"/>
    </row>
    <row r="5729" spans="1:10">
      <c r="A5729" s="172"/>
      <c r="D5729" s="56"/>
      <c r="E5729" s="204"/>
      <c r="F5729" s="205"/>
      <c r="G5729" s="206"/>
      <c r="H5729" s="207"/>
      <c r="J5729" s="76"/>
    </row>
    <row r="5730" spans="1:10">
      <c r="A5730" s="172"/>
      <c r="D5730" s="56"/>
      <c r="E5730" s="204"/>
      <c r="F5730" s="205"/>
      <c r="G5730" s="206"/>
      <c r="H5730" s="207"/>
      <c r="J5730" s="76"/>
    </row>
    <row r="5731" spans="1:10">
      <c r="A5731" s="172"/>
      <c r="D5731" s="56"/>
      <c r="E5731" s="204"/>
      <c r="F5731" s="205"/>
      <c r="G5731" s="206"/>
      <c r="H5731" s="207"/>
      <c r="J5731" s="76"/>
    </row>
    <row r="5732" spans="1:10">
      <c r="A5732" s="172"/>
      <c r="D5732" s="56"/>
      <c r="E5732" s="204"/>
      <c r="F5732" s="205"/>
      <c r="G5732" s="206"/>
      <c r="H5732" s="207"/>
      <c r="J5732" s="76"/>
    </row>
    <row r="5733" spans="1:10">
      <c r="A5733" s="172"/>
      <c r="D5733" s="56"/>
      <c r="E5733" s="204"/>
      <c r="F5733" s="205"/>
      <c r="G5733" s="206"/>
      <c r="H5733" s="207"/>
      <c r="J5733" s="76"/>
    </row>
    <row r="5734" spans="1:10">
      <c r="A5734" s="172"/>
      <c r="D5734" s="56"/>
      <c r="E5734" s="204"/>
      <c r="F5734" s="205"/>
      <c r="G5734" s="206"/>
      <c r="H5734" s="207"/>
      <c r="J5734" s="76"/>
    </row>
    <row r="5735" spans="1:10">
      <c r="A5735" s="172"/>
      <c r="D5735" s="56"/>
      <c r="E5735" s="204"/>
      <c r="F5735" s="205"/>
      <c r="G5735" s="206"/>
      <c r="H5735" s="207"/>
      <c r="J5735" s="76"/>
    </row>
    <row r="5736" spans="1:10">
      <c r="A5736" s="172"/>
      <c r="D5736" s="56"/>
      <c r="E5736" s="204"/>
      <c r="F5736" s="205"/>
      <c r="G5736" s="206"/>
      <c r="H5736" s="207"/>
      <c r="J5736" s="76"/>
    </row>
    <row r="5737" spans="1:10">
      <c r="A5737" s="172"/>
      <c r="D5737" s="56"/>
      <c r="E5737" s="204"/>
      <c r="F5737" s="205"/>
      <c r="G5737" s="206"/>
      <c r="H5737" s="207"/>
      <c r="J5737" s="76"/>
    </row>
    <row r="5738" spans="1:10">
      <c r="A5738" s="172"/>
      <c r="D5738" s="56"/>
      <c r="E5738" s="204"/>
      <c r="F5738" s="205"/>
      <c r="G5738" s="206"/>
      <c r="H5738" s="207"/>
      <c r="J5738" s="76"/>
    </row>
    <row r="5739" spans="1:10">
      <c r="A5739" s="172"/>
      <c r="D5739" s="56"/>
      <c r="E5739" s="204"/>
      <c r="F5739" s="205"/>
      <c r="G5739" s="206"/>
      <c r="H5739" s="207"/>
      <c r="J5739" s="76"/>
    </row>
    <row r="5740" spans="1:10">
      <c r="A5740" s="172"/>
      <c r="D5740" s="56"/>
      <c r="E5740" s="204"/>
      <c r="F5740" s="205"/>
      <c r="G5740" s="206"/>
      <c r="H5740" s="207"/>
      <c r="J5740" s="76"/>
    </row>
    <row r="5741" spans="1:10">
      <c r="A5741" s="172"/>
      <c r="D5741" s="56"/>
      <c r="E5741" s="204"/>
      <c r="F5741" s="205"/>
      <c r="G5741" s="206"/>
      <c r="H5741" s="207"/>
      <c r="J5741" s="76"/>
    </row>
    <row r="5742" spans="1:10">
      <c r="A5742" s="172"/>
      <c r="D5742" s="56"/>
      <c r="E5742" s="204"/>
      <c r="F5742" s="205"/>
      <c r="G5742" s="206"/>
      <c r="H5742" s="207"/>
      <c r="J5742" s="76"/>
    </row>
    <row r="5743" spans="1:10">
      <c r="A5743" s="172"/>
      <c r="D5743" s="56"/>
      <c r="E5743" s="204"/>
      <c r="F5743" s="205"/>
      <c r="G5743" s="206"/>
      <c r="H5743" s="207"/>
      <c r="J5743" s="76"/>
    </row>
    <row r="5744" spans="1:10">
      <c r="A5744" s="172"/>
      <c r="D5744" s="56"/>
      <c r="E5744" s="204"/>
      <c r="F5744" s="205"/>
      <c r="G5744" s="206"/>
      <c r="H5744" s="207"/>
      <c r="J5744" s="76"/>
    </row>
    <row r="5745" spans="1:10">
      <c r="A5745" s="172"/>
      <c r="D5745" s="56"/>
      <c r="E5745" s="204"/>
      <c r="F5745" s="205"/>
      <c r="G5745" s="206"/>
      <c r="H5745" s="207"/>
      <c r="J5745" s="76"/>
    </row>
    <row r="5746" spans="1:10">
      <c r="A5746" s="172"/>
      <c r="D5746" s="56"/>
      <c r="E5746" s="204"/>
      <c r="F5746" s="205"/>
      <c r="G5746" s="206"/>
      <c r="H5746" s="207"/>
      <c r="J5746" s="76"/>
    </row>
    <row r="5747" spans="1:10">
      <c r="A5747" s="172"/>
      <c r="D5747" s="56"/>
      <c r="E5747" s="204"/>
      <c r="F5747" s="205"/>
      <c r="G5747" s="206"/>
      <c r="H5747" s="207"/>
      <c r="J5747" s="76"/>
    </row>
    <row r="5748" spans="1:10">
      <c r="A5748" s="172"/>
      <c r="D5748" s="56"/>
      <c r="E5748" s="204"/>
      <c r="F5748" s="205"/>
      <c r="G5748" s="206"/>
      <c r="H5748" s="207"/>
      <c r="J5748" s="76"/>
    </row>
    <row r="5749" spans="1:10">
      <c r="A5749" s="172"/>
      <c r="D5749" s="56"/>
      <c r="E5749" s="204"/>
      <c r="F5749" s="205"/>
      <c r="G5749" s="206"/>
      <c r="H5749" s="207"/>
      <c r="J5749" s="76"/>
    </row>
    <row r="5750" spans="1:10">
      <c r="A5750" s="172"/>
      <c r="D5750" s="56"/>
      <c r="E5750" s="204"/>
      <c r="F5750" s="205"/>
      <c r="G5750" s="206"/>
      <c r="H5750" s="207"/>
      <c r="J5750" s="76"/>
    </row>
    <row r="5751" spans="1:10">
      <c r="A5751" s="172"/>
      <c r="D5751" s="56"/>
      <c r="E5751" s="204"/>
      <c r="F5751" s="205"/>
      <c r="G5751" s="206"/>
      <c r="H5751" s="207"/>
      <c r="J5751" s="76"/>
    </row>
    <row r="5752" spans="1:10">
      <c r="A5752" s="172"/>
      <c r="D5752" s="56"/>
      <c r="E5752" s="204"/>
      <c r="F5752" s="205"/>
      <c r="G5752" s="206"/>
      <c r="H5752" s="207"/>
      <c r="J5752" s="76"/>
    </row>
    <row r="5753" spans="1:10">
      <c r="A5753" s="172"/>
      <c r="D5753" s="56"/>
      <c r="E5753" s="204"/>
      <c r="F5753" s="205"/>
      <c r="G5753" s="206"/>
      <c r="H5753" s="207"/>
      <c r="J5753" s="76"/>
    </row>
    <row r="5754" spans="1:10">
      <c r="A5754" s="172"/>
      <c r="D5754" s="56"/>
      <c r="E5754" s="204"/>
      <c r="F5754" s="205"/>
      <c r="G5754" s="206"/>
      <c r="H5754" s="207"/>
      <c r="J5754" s="76"/>
    </row>
    <row r="5755" spans="1:10">
      <c r="A5755" s="172"/>
      <c r="D5755" s="56"/>
      <c r="E5755" s="204"/>
      <c r="F5755" s="205"/>
      <c r="G5755" s="206"/>
      <c r="H5755" s="207"/>
      <c r="J5755" s="76"/>
    </row>
    <row r="5756" spans="1:10">
      <c r="A5756" s="172"/>
      <c r="D5756" s="56"/>
      <c r="E5756" s="204"/>
      <c r="F5756" s="205"/>
      <c r="G5756" s="206"/>
      <c r="H5756" s="207"/>
      <c r="J5756" s="76"/>
    </row>
    <row r="5757" spans="1:10">
      <c r="A5757" s="172"/>
      <c r="D5757" s="56"/>
      <c r="E5757" s="204"/>
      <c r="F5757" s="205"/>
      <c r="G5757" s="206"/>
      <c r="H5757" s="207"/>
      <c r="J5757" s="76"/>
    </row>
    <row r="5758" spans="1:10">
      <c r="A5758" s="172"/>
      <c r="D5758" s="56"/>
      <c r="E5758" s="204"/>
      <c r="F5758" s="205"/>
      <c r="G5758" s="206"/>
      <c r="H5758" s="207"/>
      <c r="J5758" s="76"/>
    </row>
    <row r="5759" spans="1:10">
      <c r="A5759" s="172"/>
      <c r="D5759" s="56"/>
      <c r="E5759" s="204"/>
      <c r="F5759" s="205"/>
      <c r="G5759" s="206"/>
      <c r="H5759" s="207"/>
      <c r="J5759" s="76"/>
    </row>
    <row r="5760" spans="1:10">
      <c r="A5760" s="172"/>
      <c r="D5760" s="56"/>
      <c r="E5760" s="204"/>
      <c r="F5760" s="205"/>
      <c r="G5760" s="206"/>
      <c r="H5760" s="207"/>
      <c r="J5760" s="76"/>
    </row>
    <row r="5761" spans="1:10">
      <c r="A5761" s="172"/>
      <c r="D5761" s="56"/>
      <c r="E5761" s="204"/>
      <c r="F5761" s="205"/>
      <c r="G5761" s="206"/>
      <c r="H5761" s="207"/>
      <c r="J5761" s="76"/>
    </row>
    <row r="5762" spans="1:10">
      <c r="A5762" s="172"/>
      <c r="D5762" s="56"/>
      <c r="E5762" s="204"/>
      <c r="F5762" s="205"/>
      <c r="G5762" s="206"/>
      <c r="H5762" s="207"/>
      <c r="J5762" s="76"/>
    </row>
    <row r="5763" spans="1:10">
      <c r="A5763" s="172"/>
      <c r="D5763" s="56"/>
      <c r="E5763" s="204"/>
      <c r="F5763" s="205"/>
      <c r="G5763" s="206"/>
      <c r="H5763" s="207"/>
      <c r="J5763" s="76"/>
    </row>
    <row r="5764" spans="1:10">
      <c r="A5764" s="172"/>
      <c r="D5764" s="56"/>
      <c r="E5764" s="204"/>
      <c r="F5764" s="205"/>
      <c r="G5764" s="206"/>
      <c r="H5764" s="207"/>
      <c r="J5764" s="76"/>
    </row>
    <row r="5765" spans="1:10">
      <c r="A5765" s="172"/>
      <c r="D5765" s="56"/>
      <c r="E5765" s="204"/>
      <c r="F5765" s="205"/>
      <c r="G5765" s="206"/>
      <c r="H5765" s="207"/>
      <c r="J5765" s="76"/>
    </row>
    <row r="5766" spans="1:10">
      <c r="A5766" s="172"/>
      <c r="D5766" s="56"/>
      <c r="E5766" s="204"/>
      <c r="F5766" s="205"/>
      <c r="G5766" s="206"/>
      <c r="H5766" s="207"/>
      <c r="J5766" s="76"/>
    </row>
    <row r="5767" spans="1:10">
      <c r="A5767" s="172"/>
      <c r="D5767" s="56"/>
      <c r="E5767" s="204"/>
      <c r="F5767" s="205"/>
      <c r="G5767" s="206"/>
      <c r="H5767" s="207"/>
      <c r="J5767" s="76"/>
    </row>
    <row r="5768" spans="1:10">
      <c r="A5768" s="172"/>
      <c r="D5768" s="56"/>
      <c r="E5768" s="204"/>
      <c r="F5768" s="205"/>
      <c r="G5768" s="206"/>
      <c r="H5768" s="207"/>
      <c r="J5768" s="76"/>
    </row>
    <row r="5769" spans="1:10">
      <c r="A5769" s="172"/>
      <c r="D5769" s="56"/>
      <c r="E5769" s="204"/>
      <c r="F5769" s="205"/>
      <c r="G5769" s="206"/>
      <c r="H5769" s="207"/>
      <c r="J5769" s="76"/>
    </row>
    <row r="5770" spans="1:10">
      <c r="A5770" s="172"/>
      <c r="D5770" s="56"/>
      <c r="E5770" s="204"/>
      <c r="F5770" s="205"/>
      <c r="G5770" s="206"/>
      <c r="H5770" s="207"/>
      <c r="J5770" s="76"/>
    </row>
    <row r="5771" spans="1:10">
      <c r="A5771" s="172"/>
      <c r="D5771" s="56"/>
      <c r="E5771" s="204"/>
      <c r="F5771" s="205"/>
      <c r="G5771" s="206"/>
      <c r="H5771" s="207"/>
      <c r="J5771" s="76"/>
    </row>
    <row r="5772" spans="1:10">
      <c r="A5772" s="172"/>
      <c r="D5772" s="56"/>
      <c r="E5772" s="204"/>
      <c r="F5772" s="205"/>
      <c r="G5772" s="206"/>
      <c r="H5772" s="207"/>
      <c r="J5772" s="76"/>
    </row>
    <row r="5773" spans="1:10">
      <c r="A5773" s="172"/>
      <c r="D5773" s="56"/>
      <c r="E5773" s="204"/>
      <c r="F5773" s="205"/>
      <c r="G5773" s="206"/>
      <c r="H5773" s="207"/>
      <c r="J5773" s="76"/>
    </row>
    <row r="5774" spans="1:10">
      <c r="A5774" s="172"/>
      <c r="D5774" s="56"/>
      <c r="E5774" s="204"/>
      <c r="F5774" s="205"/>
      <c r="G5774" s="206"/>
      <c r="H5774" s="207"/>
      <c r="J5774" s="76"/>
    </row>
    <row r="5775" spans="1:10">
      <c r="A5775" s="172"/>
      <c r="D5775" s="56"/>
      <c r="E5775" s="204"/>
      <c r="F5775" s="205"/>
      <c r="G5775" s="206"/>
      <c r="H5775" s="207"/>
      <c r="J5775" s="76"/>
    </row>
    <row r="5776" spans="1:10">
      <c r="A5776" s="172"/>
      <c r="D5776" s="56"/>
      <c r="E5776" s="204"/>
      <c r="F5776" s="205"/>
      <c r="G5776" s="206"/>
      <c r="H5776" s="207"/>
      <c r="J5776" s="76"/>
    </row>
    <row r="5777" spans="1:10">
      <c r="A5777" s="172"/>
      <c r="D5777" s="56"/>
      <c r="E5777" s="204"/>
      <c r="F5777" s="205"/>
      <c r="G5777" s="206"/>
      <c r="H5777" s="207"/>
      <c r="J5777" s="76"/>
    </row>
    <row r="5778" spans="1:10">
      <c r="A5778" s="172"/>
      <c r="D5778" s="56"/>
      <c r="E5778" s="204"/>
      <c r="F5778" s="205"/>
      <c r="G5778" s="206"/>
      <c r="H5778" s="207"/>
      <c r="J5778" s="76"/>
    </row>
    <row r="5779" spans="1:10">
      <c r="A5779" s="172"/>
      <c r="D5779" s="56"/>
      <c r="E5779" s="204"/>
      <c r="F5779" s="205"/>
      <c r="G5779" s="206"/>
      <c r="H5779" s="207"/>
      <c r="J5779" s="76"/>
    </row>
    <row r="5780" spans="1:10">
      <c r="A5780" s="172"/>
      <c r="D5780" s="56"/>
      <c r="E5780" s="204"/>
      <c r="F5780" s="205"/>
      <c r="G5780" s="206"/>
      <c r="H5780" s="207"/>
      <c r="J5780" s="76"/>
    </row>
    <row r="5781" spans="1:10">
      <c r="A5781" s="172"/>
      <c r="D5781" s="56"/>
      <c r="E5781" s="204"/>
      <c r="F5781" s="205"/>
      <c r="G5781" s="206"/>
      <c r="H5781" s="207"/>
      <c r="J5781" s="76"/>
    </row>
    <row r="5782" spans="1:10">
      <c r="A5782" s="172"/>
      <c r="D5782" s="56"/>
      <c r="E5782" s="204"/>
      <c r="F5782" s="205"/>
      <c r="G5782" s="206"/>
      <c r="H5782" s="207"/>
      <c r="J5782" s="76"/>
    </row>
    <row r="5783" spans="1:10">
      <c r="A5783" s="172"/>
      <c r="D5783" s="56"/>
      <c r="E5783" s="204"/>
      <c r="F5783" s="205"/>
      <c r="G5783" s="206"/>
      <c r="H5783" s="207"/>
      <c r="J5783" s="76"/>
    </row>
    <row r="5784" spans="1:10">
      <c r="A5784" s="172"/>
      <c r="D5784" s="56"/>
      <c r="E5784" s="204"/>
      <c r="F5784" s="205"/>
      <c r="G5784" s="206"/>
      <c r="H5784" s="207"/>
      <c r="J5784" s="76"/>
    </row>
    <row r="5785" spans="1:10">
      <c r="A5785" s="172"/>
      <c r="D5785" s="56"/>
      <c r="E5785" s="204"/>
      <c r="F5785" s="205"/>
      <c r="G5785" s="206"/>
      <c r="H5785" s="207"/>
      <c r="J5785" s="76"/>
    </row>
    <row r="5786" spans="1:10">
      <c r="A5786" s="172"/>
      <c r="D5786" s="56"/>
      <c r="E5786" s="204"/>
      <c r="F5786" s="205"/>
      <c r="G5786" s="206"/>
      <c r="H5786" s="207"/>
      <c r="J5786" s="76"/>
    </row>
    <row r="5787" spans="1:10">
      <c r="A5787" s="172"/>
      <c r="D5787" s="56"/>
      <c r="E5787" s="204"/>
      <c r="F5787" s="205"/>
      <c r="G5787" s="206"/>
      <c r="H5787" s="207"/>
      <c r="J5787" s="76"/>
    </row>
    <row r="5788" spans="1:10">
      <c r="A5788" s="172"/>
      <c r="D5788" s="56"/>
      <c r="E5788" s="204"/>
      <c r="F5788" s="205"/>
      <c r="G5788" s="206"/>
      <c r="H5788" s="207"/>
      <c r="J5788" s="76"/>
    </row>
    <row r="5789" spans="1:10">
      <c r="A5789" s="172"/>
      <c r="D5789" s="56"/>
      <c r="E5789" s="204"/>
      <c r="F5789" s="205"/>
      <c r="G5789" s="206"/>
      <c r="H5789" s="207"/>
      <c r="J5789" s="76"/>
    </row>
    <row r="5790" spans="1:10">
      <c r="A5790" s="172"/>
      <c r="D5790" s="56"/>
      <c r="E5790" s="204"/>
      <c r="F5790" s="205"/>
      <c r="G5790" s="206"/>
      <c r="H5790" s="207"/>
      <c r="J5790" s="76"/>
    </row>
    <row r="5791" spans="1:10">
      <c r="A5791" s="172"/>
      <c r="D5791" s="56"/>
      <c r="E5791" s="204"/>
      <c r="F5791" s="205"/>
      <c r="G5791" s="206"/>
      <c r="H5791" s="207"/>
      <c r="J5791" s="76"/>
    </row>
    <row r="5792" spans="1:10">
      <c r="A5792" s="172"/>
      <c r="D5792" s="56"/>
      <c r="E5792" s="204"/>
      <c r="F5792" s="205"/>
      <c r="G5792" s="206"/>
      <c r="H5792" s="207"/>
      <c r="J5792" s="76"/>
    </row>
    <row r="5793" spans="1:10">
      <c r="A5793" s="172"/>
      <c r="D5793" s="56"/>
      <c r="E5793" s="204"/>
      <c r="F5793" s="205"/>
      <c r="G5793" s="206"/>
      <c r="H5793" s="207"/>
      <c r="J5793" s="76"/>
    </row>
    <row r="5794" spans="1:10">
      <c r="A5794" s="172"/>
      <c r="D5794" s="56"/>
      <c r="E5794" s="204"/>
      <c r="F5794" s="205"/>
      <c r="G5794" s="206"/>
      <c r="H5794" s="207"/>
      <c r="J5794" s="76"/>
    </row>
    <row r="5795" spans="1:10">
      <c r="A5795" s="172"/>
      <c r="D5795" s="56"/>
      <c r="E5795" s="204"/>
      <c r="F5795" s="205"/>
      <c r="G5795" s="206"/>
      <c r="H5795" s="207"/>
      <c r="J5795" s="76"/>
    </row>
    <row r="5796" spans="1:10">
      <c r="A5796" s="172"/>
      <c r="D5796" s="56"/>
      <c r="E5796" s="204"/>
      <c r="F5796" s="205"/>
      <c r="G5796" s="206"/>
      <c r="H5796" s="207"/>
      <c r="J5796" s="76"/>
    </row>
    <row r="5797" spans="1:10">
      <c r="A5797" s="172"/>
      <c r="D5797" s="56"/>
      <c r="E5797" s="204"/>
      <c r="F5797" s="205"/>
      <c r="G5797" s="206"/>
      <c r="H5797" s="207"/>
      <c r="J5797" s="76"/>
    </row>
    <row r="5798" spans="1:10">
      <c r="A5798" s="172"/>
      <c r="D5798" s="56"/>
      <c r="E5798" s="204"/>
      <c r="F5798" s="205"/>
      <c r="G5798" s="206"/>
      <c r="H5798" s="207"/>
      <c r="J5798" s="76"/>
    </row>
    <row r="5799" spans="1:10">
      <c r="A5799" s="172"/>
      <c r="D5799" s="56"/>
      <c r="E5799" s="204"/>
      <c r="F5799" s="205"/>
      <c r="G5799" s="206"/>
      <c r="H5799" s="207"/>
      <c r="J5799" s="76"/>
    </row>
    <row r="5800" spans="1:10">
      <c r="A5800" s="172"/>
      <c r="D5800" s="56"/>
      <c r="E5800" s="204"/>
      <c r="F5800" s="205"/>
      <c r="G5800" s="206"/>
      <c r="H5800" s="207"/>
      <c r="J5800" s="76"/>
    </row>
    <row r="5801" spans="1:10">
      <c r="A5801" s="172"/>
      <c r="D5801" s="56"/>
      <c r="E5801" s="204"/>
      <c r="F5801" s="205"/>
      <c r="G5801" s="206"/>
      <c r="H5801" s="207"/>
      <c r="J5801" s="76"/>
    </row>
    <row r="5802" spans="1:10">
      <c r="A5802" s="172"/>
      <c r="D5802" s="56"/>
      <c r="E5802" s="204"/>
      <c r="F5802" s="205"/>
      <c r="G5802" s="206"/>
      <c r="H5802" s="207"/>
      <c r="J5802" s="76"/>
    </row>
    <row r="5803" spans="1:10">
      <c r="A5803" s="172"/>
      <c r="D5803" s="56"/>
      <c r="E5803" s="204"/>
      <c r="F5803" s="205"/>
      <c r="G5803" s="206"/>
      <c r="H5803" s="207"/>
      <c r="J5803" s="76"/>
    </row>
    <row r="5804" spans="1:10">
      <c r="A5804" s="172"/>
      <c r="D5804" s="56"/>
      <c r="E5804" s="204"/>
      <c r="F5804" s="205"/>
      <c r="G5804" s="206"/>
      <c r="H5804" s="207"/>
      <c r="J5804" s="76"/>
    </row>
    <row r="5805" spans="1:10">
      <c r="A5805" s="172"/>
      <c r="D5805" s="56"/>
      <c r="E5805" s="204"/>
      <c r="F5805" s="205"/>
      <c r="G5805" s="206"/>
      <c r="H5805" s="207"/>
      <c r="J5805" s="76"/>
    </row>
    <row r="5806" spans="1:10">
      <c r="A5806" s="172"/>
      <c r="D5806" s="56"/>
      <c r="E5806" s="204"/>
      <c r="F5806" s="205"/>
      <c r="G5806" s="206"/>
      <c r="H5806" s="207"/>
      <c r="J5806" s="76"/>
    </row>
    <row r="5807" spans="1:10">
      <c r="A5807" s="172"/>
      <c r="D5807" s="56"/>
      <c r="E5807" s="204"/>
      <c r="F5807" s="205"/>
      <c r="G5807" s="206"/>
      <c r="H5807" s="207"/>
      <c r="J5807" s="76"/>
    </row>
    <row r="5808" spans="1:10">
      <c r="A5808" s="172"/>
      <c r="D5808" s="56"/>
      <c r="E5808" s="204"/>
      <c r="F5808" s="205"/>
      <c r="G5808" s="206"/>
      <c r="H5808" s="207"/>
      <c r="J5808" s="76"/>
    </row>
    <row r="5809" spans="1:10">
      <c r="A5809" s="172"/>
      <c r="D5809" s="56"/>
      <c r="E5809" s="204"/>
      <c r="F5809" s="205"/>
      <c r="G5809" s="206"/>
      <c r="H5809" s="207"/>
      <c r="J5809" s="76"/>
    </row>
    <row r="5810" spans="1:10">
      <c r="A5810" s="172"/>
      <c r="D5810" s="56"/>
      <c r="E5810" s="204"/>
      <c r="F5810" s="205"/>
      <c r="G5810" s="206"/>
      <c r="H5810" s="207"/>
      <c r="J5810" s="76"/>
    </row>
    <row r="5811" spans="1:10">
      <c r="A5811" s="172"/>
      <c r="D5811" s="56"/>
      <c r="E5811" s="204"/>
      <c r="F5811" s="205"/>
      <c r="G5811" s="206"/>
      <c r="H5811" s="207"/>
      <c r="J5811" s="76"/>
    </row>
    <row r="5812" spans="1:10">
      <c r="A5812" s="172"/>
      <c r="D5812" s="56"/>
      <c r="E5812" s="204"/>
      <c r="F5812" s="205"/>
      <c r="G5812" s="206"/>
      <c r="H5812" s="207"/>
      <c r="J5812" s="76"/>
    </row>
    <row r="5813" spans="1:10">
      <c r="A5813" s="172"/>
      <c r="D5813" s="56"/>
      <c r="E5813" s="204"/>
      <c r="F5813" s="205"/>
      <c r="G5813" s="206"/>
      <c r="H5813" s="207"/>
      <c r="J5813" s="76"/>
    </row>
    <row r="5814" spans="1:10">
      <c r="A5814" s="172"/>
      <c r="D5814" s="56"/>
      <c r="E5814" s="204"/>
      <c r="F5814" s="205"/>
      <c r="G5814" s="206"/>
      <c r="H5814" s="207"/>
      <c r="J5814" s="76"/>
    </row>
    <row r="5815" spans="1:10">
      <c r="A5815" s="172"/>
      <c r="D5815" s="56"/>
      <c r="E5815" s="204"/>
      <c r="F5815" s="205"/>
      <c r="G5815" s="206"/>
      <c r="H5815" s="207"/>
      <c r="J5815" s="76"/>
    </row>
    <row r="5816" spans="1:10">
      <c r="A5816" s="172"/>
      <c r="D5816" s="56"/>
      <c r="E5816" s="204"/>
      <c r="F5816" s="205"/>
      <c r="G5816" s="206"/>
      <c r="H5816" s="207"/>
      <c r="J5816" s="76"/>
    </row>
    <row r="5817" spans="1:10">
      <c r="A5817" s="172"/>
      <c r="D5817" s="56"/>
      <c r="E5817" s="204"/>
      <c r="F5817" s="205"/>
      <c r="G5817" s="206"/>
      <c r="H5817" s="207"/>
      <c r="J5817" s="76"/>
    </row>
    <row r="5818" spans="1:10">
      <c r="A5818" s="172"/>
      <c r="D5818" s="56"/>
      <c r="E5818" s="204"/>
      <c r="F5818" s="205"/>
      <c r="G5818" s="206"/>
      <c r="H5818" s="207"/>
      <c r="J5818" s="76"/>
    </row>
    <row r="5819" spans="1:10">
      <c r="A5819" s="172"/>
      <c r="D5819" s="56"/>
      <c r="E5819" s="204"/>
      <c r="F5819" s="205"/>
      <c r="G5819" s="206"/>
      <c r="H5819" s="207"/>
      <c r="J5819" s="76"/>
    </row>
    <row r="5820" spans="1:10">
      <c r="A5820" s="172"/>
      <c r="D5820" s="56"/>
      <c r="E5820" s="204"/>
      <c r="F5820" s="205"/>
      <c r="G5820" s="206"/>
      <c r="H5820" s="207"/>
      <c r="J5820" s="76"/>
    </row>
    <row r="5821" spans="1:10">
      <c r="A5821" s="172"/>
      <c r="D5821" s="56"/>
      <c r="E5821" s="204"/>
      <c r="F5821" s="205"/>
      <c r="G5821" s="206"/>
      <c r="H5821" s="207"/>
      <c r="J5821" s="76"/>
    </row>
    <row r="5822" spans="1:10">
      <c r="A5822" s="172"/>
      <c r="D5822" s="56"/>
      <c r="E5822" s="204"/>
      <c r="F5822" s="205"/>
      <c r="G5822" s="206"/>
      <c r="H5822" s="207"/>
      <c r="J5822" s="76"/>
    </row>
    <row r="5823" spans="1:10">
      <c r="A5823" s="172"/>
      <c r="D5823" s="56"/>
      <c r="E5823" s="204"/>
      <c r="F5823" s="205"/>
      <c r="G5823" s="206"/>
      <c r="H5823" s="207"/>
      <c r="J5823" s="76"/>
    </row>
    <row r="5824" spans="1:10">
      <c r="A5824" s="172"/>
      <c r="D5824" s="56"/>
      <c r="E5824" s="204"/>
      <c r="F5824" s="205"/>
      <c r="G5824" s="206"/>
      <c r="H5824" s="207"/>
      <c r="J5824" s="76"/>
    </row>
    <row r="5825" spans="1:10">
      <c r="A5825" s="172"/>
      <c r="D5825" s="56"/>
      <c r="E5825" s="204"/>
      <c r="F5825" s="205"/>
      <c r="G5825" s="206"/>
      <c r="H5825" s="207"/>
      <c r="J5825" s="76"/>
    </row>
    <row r="5826" spans="1:10">
      <c r="A5826" s="172"/>
      <c r="D5826" s="56"/>
      <c r="E5826" s="204"/>
      <c r="F5826" s="205"/>
      <c r="G5826" s="206"/>
      <c r="H5826" s="207"/>
      <c r="J5826" s="76"/>
    </row>
    <row r="5827" spans="1:10">
      <c r="A5827" s="172"/>
      <c r="D5827" s="56"/>
      <c r="E5827" s="204"/>
      <c r="F5827" s="205"/>
      <c r="G5827" s="206"/>
      <c r="H5827" s="207"/>
      <c r="J5827" s="76"/>
    </row>
    <row r="5828" spans="1:10">
      <c r="A5828" s="172"/>
      <c r="D5828" s="56"/>
      <c r="E5828" s="204"/>
      <c r="F5828" s="205"/>
      <c r="G5828" s="206"/>
      <c r="H5828" s="207"/>
      <c r="J5828" s="76"/>
    </row>
    <row r="5829" spans="1:10">
      <c r="A5829" s="172"/>
      <c r="D5829" s="56"/>
      <c r="E5829" s="204"/>
      <c r="F5829" s="205"/>
      <c r="G5829" s="206"/>
      <c r="H5829" s="207"/>
      <c r="J5829" s="76"/>
    </row>
    <row r="5830" spans="1:10">
      <c r="A5830" s="172"/>
      <c r="D5830" s="56"/>
      <c r="E5830" s="204"/>
      <c r="F5830" s="205"/>
      <c r="G5830" s="206"/>
      <c r="H5830" s="207"/>
      <c r="J5830" s="76"/>
    </row>
    <row r="5831" spans="1:10">
      <c r="A5831" s="172"/>
      <c r="D5831" s="56"/>
      <c r="E5831" s="204"/>
      <c r="F5831" s="205"/>
      <c r="G5831" s="206"/>
      <c r="H5831" s="207"/>
      <c r="J5831" s="76"/>
    </row>
    <row r="5832" spans="1:10">
      <c r="A5832" s="172"/>
      <c r="D5832" s="56"/>
      <c r="E5832" s="204"/>
      <c r="F5832" s="205"/>
      <c r="G5832" s="206"/>
      <c r="H5832" s="207"/>
      <c r="J5832" s="76"/>
    </row>
    <row r="5833" spans="1:10">
      <c r="A5833" s="172"/>
      <c r="D5833" s="56"/>
      <c r="E5833" s="204"/>
      <c r="F5833" s="205"/>
      <c r="G5833" s="206"/>
      <c r="H5833" s="207"/>
      <c r="J5833" s="76"/>
    </row>
    <row r="5834" spans="1:10">
      <c r="A5834" s="172"/>
      <c r="D5834" s="56"/>
      <c r="E5834" s="204"/>
      <c r="F5834" s="205"/>
      <c r="G5834" s="206"/>
      <c r="H5834" s="207"/>
      <c r="J5834" s="76"/>
    </row>
    <row r="5835" spans="1:10">
      <c r="A5835" s="172"/>
      <c r="D5835" s="56"/>
      <c r="E5835" s="204"/>
      <c r="F5835" s="205"/>
      <c r="G5835" s="206"/>
      <c r="H5835" s="207"/>
      <c r="J5835" s="76"/>
    </row>
    <row r="5836" spans="1:10">
      <c r="A5836" s="172"/>
      <c r="D5836" s="56"/>
      <c r="E5836" s="204"/>
      <c r="F5836" s="205"/>
      <c r="G5836" s="206"/>
      <c r="H5836" s="207"/>
      <c r="J5836" s="76"/>
    </row>
    <row r="5837" spans="1:10">
      <c r="A5837" s="172"/>
      <c r="D5837" s="56"/>
      <c r="E5837" s="204"/>
      <c r="F5837" s="205"/>
      <c r="G5837" s="206"/>
      <c r="H5837" s="207"/>
      <c r="J5837" s="76"/>
    </row>
    <row r="5838" spans="1:10">
      <c r="A5838" s="172"/>
      <c r="D5838" s="56"/>
      <c r="E5838" s="204"/>
      <c r="F5838" s="205"/>
      <c r="G5838" s="206"/>
      <c r="H5838" s="207"/>
      <c r="J5838" s="76"/>
    </row>
    <row r="5839" spans="1:10">
      <c r="A5839" s="172"/>
      <c r="D5839" s="56"/>
      <c r="E5839" s="204"/>
      <c r="F5839" s="205"/>
      <c r="G5839" s="206"/>
      <c r="H5839" s="207"/>
      <c r="J5839" s="76"/>
    </row>
    <row r="5840" spans="1:10">
      <c r="A5840" s="172"/>
      <c r="D5840" s="56"/>
      <c r="E5840" s="204"/>
      <c r="F5840" s="205"/>
      <c r="G5840" s="206"/>
      <c r="H5840" s="207"/>
      <c r="J5840" s="76"/>
    </row>
    <row r="5841" spans="1:10">
      <c r="A5841" s="172"/>
      <c r="D5841" s="56"/>
      <c r="E5841" s="204"/>
      <c r="F5841" s="205"/>
      <c r="G5841" s="206"/>
      <c r="H5841" s="207"/>
      <c r="J5841" s="76"/>
    </row>
    <row r="5842" spans="1:10">
      <c r="A5842" s="172"/>
      <c r="D5842" s="56"/>
      <c r="E5842" s="204"/>
      <c r="F5842" s="205"/>
      <c r="G5842" s="206"/>
      <c r="H5842" s="207"/>
      <c r="J5842" s="76"/>
    </row>
    <row r="5843" spans="1:10">
      <c r="A5843" s="172"/>
      <c r="D5843" s="56"/>
      <c r="E5843" s="204"/>
      <c r="F5843" s="205"/>
      <c r="G5843" s="206"/>
      <c r="H5843" s="207"/>
      <c r="J5843" s="76"/>
    </row>
    <row r="5844" spans="1:10">
      <c r="A5844" s="172"/>
      <c r="D5844" s="56"/>
      <c r="E5844" s="204"/>
      <c r="F5844" s="205"/>
      <c r="G5844" s="206"/>
      <c r="H5844" s="207"/>
      <c r="J5844" s="76"/>
    </row>
    <row r="5845" spans="1:10">
      <c r="A5845" s="172"/>
      <c r="D5845" s="56"/>
      <c r="E5845" s="204"/>
      <c r="F5845" s="205"/>
      <c r="G5845" s="206"/>
      <c r="H5845" s="207"/>
      <c r="J5845" s="76"/>
    </row>
    <row r="5846" spans="1:10">
      <c r="A5846" s="172"/>
      <c r="D5846" s="56"/>
      <c r="E5846" s="204"/>
      <c r="F5846" s="205"/>
      <c r="G5846" s="206"/>
      <c r="H5846" s="207"/>
      <c r="J5846" s="76"/>
    </row>
    <row r="5847" spans="1:10">
      <c r="A5847" s="172"/>
      <c r="D5847" s="56"/>
      <c r="E5847" s="204"/>
      <c r="F5847" s="205"/>
      <c r="G5847" s="206"/>
      <c r="H5847" s="207"/>
      <c r="J5847" s="76"/>
    </row>
    <row r="5848" spans="1:10">
      <c r="A5848" s="172"/>
      <c r="D5848" s="56"/>
      <c r="E5848" s="204"/>
      <c r="F5848" s="205"/>
      <c r="G5848" s="206"/>
      <c r="H5848" s="207"/>
      <c r="J5848" s="76"/>
    </row>
    <row r="5849" spans="1:10">
      <c r="A5849" s="172"/>
      <c r="D5849" s="56"/>
      <c r="E5849" s="204"/>
      <c r="F5849" s="205"/>
      <c r="G5849" s="206"/>
      <c r="H5849" s="207"/>
      <c r="J5849" s="76"/>
    </row>
    <row r="5850" spans="1:10">
      <c r="A5850" s="172"/>
      <c r="D5850" s="56"/>
      <c r="E5850" s="204"/>
      <c r="F5850" s="205"/>
      <c r="G5850" s="206"/>
      <c r="H5850" s="207"/>
      <c r="J5850" s="76"/>
    </row>
    <row r="5851" spans="1:10">
      <c r="A5851" s="172"/>
      <c r="D5851" s="56"/>
      <c r="E5851" s="204"/>
      <c r="F5851" s="205"/>
      <c r="G5851" s="206"/>
      <c r="H5851" s="207"/>
      <c r="J5851" s="76"/>
    </row>
    <row r="5852" spans="1:10">
      <c r="A5852" s="172"/>
      <c r="D5852" s="56"/>
      <c r="E5852" s="204"/>
      <c r="F5852" s="205"/>
      <c r="G5852" s="206"/>
      <c r="H5852" s="207"/>
      <c r="J5852" s="76"/>
    </row>
    <row r="5853" spans="1:10">
      <c r="A5853" s="172"/>
      <c r="D5853" s="56"/>
      <c r="E5853" s="204"/>
      <c r="F5853" s="205"/>
      <c r="G5853" s="206"/>
      <c r="H5853" s="207"/>
      <c r="J5853" s="76"/>
    </row>
    <row r="5854" spans="1:10">
      <c r="A5854" s="172"/>
      <c r="D5854" s="56"/>
      <c r="E5854" s="204"/>
      <c r="F5854" s="205"/>
      <c r="G5854" s="206"/>
      <c r="H5854" s="207"/>
      <c r="J5854" s="76"/>
    </row>
    <row r="5855" spans="1:10">
      <c r="A5855" s="172"/>
      <c r="D5855" s="56"/>
      <c r="E5855" s="204"/>
      <c r="F5855" s="205"/>
      <c r="G5855" s="206"/>
      <c r="H5855" s="207"/>
      <c r="J5855" s="76"/>
    </row>
    <row r="5856" spans="1:10">
      <c r="A5856" s="172"/>
      <c r="D5856" s="56"/>
      <c r="E5856" s="204"/>
      <c r="F5856" s="205"/>
      <c r="G5856" s="206"/>
      <c r="H5856" s="207"/>
      <c r="J5856" s="76"/>
    </row>
    <row r="5857" spans="1:10">
      <c r="A5857" s="172"/>
      <c r="D5857" s="56"/>
      <c r="E5857" s="204"/>
      <c r="F5857" s="205"/>
      <c r="G5857" s="206"/>
      <c r="H5857" s="207"/>
      <c r="J5857" s="76"/>
    </row>
    <row r="5858" spans="1:10">
      <c r="A5858" s="172"/>
      <c r="D5858" s="56"/>
      <c r="E5858" s="204"/>
      <c r="F5858" s="205"/>
      <c r="G5858" s="206"/>
      <c r="H5858" s="207"/>
      <c r="J5858" s="76"/>
    </row>
    <row r="5859" spans="1:10">
      <c r="A5859" s="172"/>
      <c r="D5859" s="56"/>
      <c r="E5859" s="204"/>
      <c r="F5859" s="205"/>
      <c r="G5859" s="206"/>
      <c r="H5859" s="207"/>
      <c r="J5859" s="76"/>
    </row>
    <row r="5860" spans="1:10">
      <c r="A5860" s="172"/>
      <c r="D5860" s="56"/>
      <c r="E5860" s="204"/>
      <c r="F5860" s="205"/>
      <c r="G5860" s="206"/>
      <c r="H5860" s="207"/>
      <c r="J5860" s="76"/>
    </row>
    <row r="5861" spans="1:10">
      <c r="A5861" s="172"/>
      <c r="D5861" s="56"/>
      <c r="E5861" s="204"/>
      <c r="F5861" s="205"/>
      <c r="G5861" s="206"/>
      <c r="H5861" s="207"/>
      <c r="J5861" s="76"/>
    </row>
    <row r="5862" spans="1:10">
      <c r="A5862" s="172"/>
      <c r="D5862" s="56"/>
      <c r="E5862" s="204"/>
      <c r="F5862" s="205"/>
      <c r="G5862" s="206"/>
      <c r="H5862" s="207"/>
      <c r="J5862" s="76"/>
    </row>
    <row r="5863" spans="1:10">
      <c r="A5863" s="172"/>
      <c r="D5863" s="56"/>
      <c r="E5863" s="204"/>
      <c r="F5863" s="205"/>
      <c r="G5863" s="206"/>
      <c r="H5863" s="207"/>
      <c r="J5863" s="76"/>
    </row>
    <row r="5864" spans="1:10">
      <c r="A5864" s="172"/>
      <c r="D5864" s="56"/>
      <c r="E5864" s="204"/>
      <c r="F5864" s="205"/>
      <c r="G5864" s="206"/>
      <c r="H5864" s="207"/>
      <c r="J5864" s="76"/>
    </row>
    <row r="5865" spans="1:10">
      <c r="A5865" s="172"/>
      <c r="D5865" s="56"/>
      <c r="E5865" s="204"/>
      <c r="F5865" s="205"/>
      <c r="G5865" s="206"/>
      <c r="H5865" s="207"/>
      <c r="J5865" s="76"/>
    </row>
    <row r="5866" spans="1:10">
      <c r="A5866" s="172"/>
      <c r="D5866" s="56"/>
      <c r="E5866" s="204"/>
      <c r="F5866" s="205"/>
      <c r="G5866" s="206"/>
      <c r="H5866" s="207"/>
      <c r="J5866" s="76"/>
    </row>
    <row r="5867" spans="1:10">
      <c r="A5867" s="172"/>
      <c r="D5867" s="56"/>
      <c r="E5867" s="204"/>
      <c r="F5867" s="205"/>
      <c r="G5867" s="206"/>
      <c r="H5867" s="207"/>
      <c r="J5867" s="76"/>
    </row>
    <row r="5868" spans="1:10">
      <c r="A5868" s="172"/>
      <c r="D5868" s="56"/>
      <c r="E5868" s="204"/>
      <c r="F5868" s="205"/>
      <c r="G5868" s="206"/>
      <c r="H5868" s="207"/>
      <c r="J5868" s="76"/>
    </row>
    <row r="5869" spans="1:10">
      <c r="A5869" s="172"/>
      <c r="D5869" s="56"/>
      <c r="E5869" s="204"/>
      <c r="F5869" s="205"/>
      <c r="G5869" s="206"/>
      <c r="H5869" s="207"/>
      <c r="J5869" s="76"/>
    </row>
    <row r="5870" spans="1:10">
      <c r="A5870" s="172"/>
      <c r="D5870" s="56"/>
      <c r="E5870" s="204"/>
      <c r="F5870" s="205"/>
      <c r="G5870" s="206"/>
      <c r="H5870" s="207"/>
      <c r="J5870" s="76"/>
    </row>
    <row r="5871" spans="1:10">
      <c r="A5871" s="172"/>
      <c r="D5871" s="56"/>
      <c r="E5871" s="204"/>
      <c r="F5871" s="205"/>
      <c r="G5871" s="206"/>
      <c r="H5871" s="207"/>
      <c r="J5871" s="76"/>
    </row>
    <row r="5872" spans="1:10">
      <c r="A5872" s="172"/>
      <c r="D5872" s="56"/>
      <c r="E5872" s="204"/>
      <c r="F5872" s="205"/>
      <c r="G5872" s="206"/>
      <c r="H5872" s="207"/>
      <c r="J5872" s="76"/>
    </row>
    <row r="5873" spans="1:10">
      <c r="A5873" s="172"/>
      <c r="D5873" s="56"/>
      <c r="E5873" s="204"/>
      <c r="F5873" s="205"/>
      <c r="G5873" s="206"/>
      <c r="H5873" s="207"/>
      <c r="J5873" s="76"/>
    </row>
    <row r="5874" spans="1:10">
      <c r="A5874" s="172"/>
      <c r="D5874" s="56"/>
      <c r="E5874" s="204"/>
      <c r="F5874" s="205"/>
      <c r="G5874" s="206"/>
      <c r="H5874" s="207"/>
      <c r="J5874" s="76"/>
    </row>
    <row r="5875" spans="1:10">
      <c r="A5875" s="172"/>
      <c r="D5875" s="56"/>
      <c r="E5875" s="204"/>
      <c r="F5875" s="205"/>
      <c r="G5875" s="206"/>
      <c r="H5875" s="207"/>
      <c r="J5875" s="76"/>
    </row>
    <row r="5876" spans="1:10">
      <c r="A5876" s="172"/>
      <c r="D5876" s="56"/>
      <c r="E5876" s="204"/>
      <c r="F5876" s="205"/>
      <c r="G5876" s="206"/>
      <c r="H5876" s="207"/>
      <c r="J5876" s="76"/>
    </row>
    <row r="5877" spans="1:10">
      <c r="A5877" s="172"/>
      <c r="D5877" s="56"/>
      <c r="E5877" s="204"/>
      <c r="F5877" s="205"/>
      <c r="G5877" s="206"/>
      <c r="H5877" s="207"/>
      <c r="J5877" s="76"/>
    </row>
    <row r="5878" spans="1:10">
      <c r="A5878" s="172"/>
      <c r="D5878" s="56"/>
      <c r="E5878" s="204"/>
      <c r="F5878" s="205"/>
      <c r="G5878" s="206"/>
      <c r="H5878" s="207"/>
      <c r="J5878" s="76"/>
    </row>
    <row r="5879" spans="1:10">
      <c r="A5879" s="172"/>
      <c r="D5879" s="56"/>
      <c r="E5879" s="204"/>
      <c r="F5879" s="205"/>
      <c r="G5879" s="206"/>
      <c r="H5879" s="207"/>
      <c r="J5879" s="76"/>
    </row>
    <row r="5880" spans="1:10">
      <c r="A5880" s="172"/>
      <c r="D5880" s="56"/>
      <c r="E5880" s="204"/>
      <c r="F5880" s="205"/>
      <c r="G5880" s="206"/>
      <c r="H5880" s="207"/>
      <c r="J5880" s="76"/>
    </row>
    <row r="5881" spans="1:10">
      <c r="A5881" s="172"/>
      <c r="D5881" s="56"/>
      <c r="E5881" s="204"/>
      <c r="F5881" s="205"/>
      <c r="G5881" s="206"/>
      <c r="H5881" s="207"/>
      <c r="J5881" s="76"/>
    </row>
    <row r="5882" spans="1:10">
      <c r="A5882" s="172"/>
      <c r="D5882" s="56"/>
      <c r="E5882" s="204"/>
      <c r="F5882" s="205"/>
      <c r="G5882" s="206"/>
      <c r="H5882" s="207"/>
      <c r="J5882" s="76"/>
    </row>
    <row r="5883" spans="1:10">
      <c r="A5883" s="172"/>
      <c r="D5883" s="56"/>
      <c r="E5883" s="204"/>
      <c r="F5883" s="205"/>
      <c r="G5883" s="206"/>
      <c r="H5883" s="207"/>
      <c r="J5883" s="76"/>
    </row>
    <row r="5884" spans="1:10">
      <c r="A5884" s="172"/>
      <c r="D5884" s="56"/>
      <c r="E5884" s="204"/>
      <c r="F5884" s="205"/>
      <c r="G5884" s="206"/>
      <c r="H5884" s="207"/>
      <c r="J5884" s="76"/>
    </row>
    <row r="5885" spans="1:10">
      <c r="A5885" s="172"/>
      <c r="D5885" s="56"/>
      <c r="E5885" s="204"/>
      <c r="F5885" s="205"/>
      <c r="G5885" s="206"/>
      <c r="H5885" s="207"/>
      <c r="J5885" s="76"/>
    </row>
    <row r="5886" spans="1:10">
      <c r="A5886" s="172"/>
      <c r="D5886" s="56"/>
      <c r="E5886" s="204"/>
      <c r="F5886" s="205"/>
      <c r="G5886" s="206"/>
      <c r="H5886" s="207"/>
      <c r="J5886" s="76"/>
    </row>
    <row r="5887" spans="1:10">
      <c r="A5887" s="172"/>
      <c r="D5887" s="56"/>
      <c r="E5887" s="204"/>
      <c r="F5887" s="205"/>
      <c r="G5887" s="206"/>
      <c r="H5887" s="207"/>
      <c r="J5887" s="76"/>
    </row>
    <row r="5888" spans="1:10">
      <c r="A5888" s="172"/>
      <c r="D5888" s="56"/>
      <c r="E5888" s="204"/>
      <c r="F5888" s="205"/>
      <c r="G5888" s="206"/>
      <c r="H5888" s="207"/>
      <c r="J5888" s="76"/>
    </row>
    <row r="5889" spans="1:10">
      <c r="A5889" s="172"/>
      <c r="D5889" s="56"/>
      <c r="E5889" s="204"/>
      <c r="F5889" s="205"/>
      <c r="G5889" s="206"/>
      <c r="H5889" s="207"/>
      <c r="J5889" s="76"/>
    </row>
    <row r="5890" spans="1:10">
      <c r="A5890" s="172"/>
      <c r="D5890" s="56"/>
      <c r="E5890" s="204"/>
      <c r="F5890" s="205"/>
      <c r="G5890" s="206"/>
      <c r="H5890" s="207"/>
      <c r="J5890" s="76"/>
    </row>
    <row r="5891" spans="1:10">
      <c r="A5891" s="172"/>
      <c r="D5891" s="56"/>
      <c r="E5891" s="204"/>
      <c r="F5891" s="205"/>
      <c r="G5891" s="206"/>
      <c r="H5891" s="207"/>
      <c r="J5891" s="76"/>
    </row>
    <row r="5892" spans="1:10">
      <c r="A5892" s="172"/>
      <c r="D5892" s="56"/>
      <c r="E5892" s="204"/>
      <c r="F5892" s="205"/>
      <c r="G5892" s="206"/>
      <c r="H5892" s="207"/>
      <c r="J5892" s="76"/>
    </row>
    <row r="5893" spans="1:10">
      <c r="A5893" s="172"/>
      <c r="D5893" s="56"/>
      <c r="E5893" s="204"/>
      <c r="F5893" s="205"/>
      <c r="G5893" s="206"/>
      <c r="H5893" s="207"/>
      <c r="J5893" s="76"/>
    </row>
    <row r="5894" spans="1:10">
      <c r="A5894" s="172"/>
      <c r="D5894" s="56"/>
      <c r="E5894" s="204"/>
      <c r="F5894" s="205"/>
      <c r="G5894" s="206"/>
      <c r="H5894" s="207"/>
      <c r="J5894" s="76"/>
    </row>
    <row r="5895" spans="1:10">
      <c r="A5895" s="172"/>
      <c r="D5895" s="56"/>
      <c r="E5895" s="204"/>
      <c r="F5895" s="205"/>
      <c r="G5895" s="206"/>
      <c r="H5895" s="207"/>
      <c r="J5895" s="76"/>
    </row>
    <row r="5896" spans="1:10">
      <c r="A5896" s="172"/>
      <c r="D5896" s="56"/>
      <c r="E5896" s="204"/>
      <c r="F5896" s="205"/>
      <c r="G5896" s="206"/>
      <c r="H5896" s="207"/>
      <c r="J5896" s="76"/>
    </row>
    <row r="5897" spans="1:10">
      <c r="A5897" s="172"/>
      <c r="D5897" s="56"/>
      <c r="E5897" s="204"/>
      <c r="F5897" s="205"/>
      <c r="G5897" s="206"/>
      <c r="H5897" s="207"/>
      <c r="J5897" s="76"/>
    </row>
    <row r="5898" spans="1:10">
      <c r="A5898" s="172"/>
      <c r="D5898" s="56"/>
      <c r="E5898" s="204"/>
      <c r="F5898" s="205"/>
      <c r="G5898" s="206"/>
      <c r="H5898" s="207"/>
      <c r="J5898" s="76"/>
    </row>
    <row r="5899" spans="1:10">
      <c r="A5899" s="172"/>
      <c r="D5899" s="56"/>
      <c r="E5899" s="204"/>
      <c r="F5899" s="205"/>
      <c r="G5899" s="206"/>
      <c r="H5899" s="207"/>
      <c r="J5899" s="76"/>
    </row>
    <row r="5900" spans="1:10">
      <c r="A5900" s="172"/>
      <c r="D5900" s="56"/>
      <c r="E5900" s="204"/>
      <c r="F5900" s="205"/>
      <c r="G5900" s="206"/>
      <c r="H5900" s="207"/>
      <c r="J5900" s="76"/>
    </row>
    <row r="5901" spans="1:10">
      <c r="A5901" s="172"/>
      <c r="D5901" s="56"/>
      <c r="E5901" s="204"/>
      <c r="F5901" s="205"/>
      <c r="G5901" s="206"/>
      <c r="H5901" s="207"/>
      <c r="J5901" s="76"/>
    </row>
    <row r="5902" spans="1:10">
      <c r="A5902" s="172"/>
      <c r="D5902" s="56"/>
      <c r="E5902" s="204"/>
      <c r="F5902" s="205"/>
      <c r="G5902" s="206"/>
      <c r="H5902" s="207"/>
      <c r="J5902" s="76"/>
    </row>
    <row r="5903" spans="1:10">
      <c r="A5903" s="172"/>
      <c r="D5903" s="56"/>
      <c r="E5903" s="204"/>
      <c r="F5903" s="205"/>
      <c r="G5903" s="206"/>
      <c r="H5903" s="207"/>
      <c r="J5903" s="76"/>
    </row>
    <row r="5904" spans="1:10">
      <c r="A5904" s="172"/>
      <c r="D5904" s="56"/>
      <c r="E5904" s="204"/>
      <c r="F5904" s="205"/>
      <c r="G5904" s="206"/>
      <c r="H5904" s="207"/>
      <c r="J5904" s="76"/>
    </row>
    <row r="5905" spans="1:10">
      <c r="A5905" s="172"/>
      <c r="D5905" s="56"/>
      <c r="E5905" s="204"/>
      <c r="F5905" s="205"/>
      <c r="G5905" s="206"/>
      <c r="H5905" s="207"/>
      <c r="J5905" s="76"/>
    </row>
    <row r="5906" spans="1:10">
      <c r="A5906" s="172"/>
      <c r="D5906" s="56"/>
      <c r="E5906" s="204"/>
      <c r="F5906" s="205"/>
      <c r="G5906" s="206"/>
      <c r="H5906" s="207"/>
      <c r="J5906" s="76"/>
    </row>
    <row r="5907" spans="1:10">
      <c r="A5907" s="172"/>
      <c r="D5907" s="56"/>
      <c r="E5907" s="204"/>
      <c r="F5907" s="205"/>
      <c r="G5907" s="206"/>
      <c r="H5907" s="207"/>
      <c r="J5907" s="76"/>
    </row>
    <row r="5908" spans="1:10">
      <c r="A5908" s="172"/>
      <c r="D5908" s="56"/>
      <c r="E5908" s="204"/>
      <c r="F5908" s="205"/>
      <c r="G5908" s="206"/>
      <c r="H5908" s="207"/>
      <c r="J5908" s="76"/>
    </row>
    <row r="5909" spans="1:10">
      <c r="A5909" s="172"/>
      <c r="D5909" s="56"/>
      <c r="E5909" s="204"/>
      <c r="F5909" s="205"/>
      <c r="G5909" s="206"/>
      <c r="H5909" s="207"/>
      <c r="J5909" s="76"/>
    </row>
    <row r="5910" spans="1:10">
      <c r="A5910" s="172"/>
      <c r="D5910" s="56"/>
      <c r="E5910" s="204"/>
      <c r="F5910" s="205"/>
      <c r="G5910" s="206"/>
      <c r="H5910" s="207"/>
      <c r="J5910" s="76"/>
    </row>
    <row r="5911" spans="1:10">
      <c r="A5911" s="172"/>
      <c r="D5911" s="56"/>
      <c r="E5911" s="204"/>
      <c r="F5911" s="205"/>
      <c r="G5911" s="206"/>
      <c r="H5911" s="207"/>
      <c r="J5911" s="76"/>
    </row>
    <row r="5912" spans="1:10">
      <c r="A5912" s="172"/>
      <c r="D5912" s="56"/>
      <c r="E5912" s="204"/>
      <c r="F5912" s="205"/>
      <c r="G5912" s="206"/>
      <c r="H5912" s="207"/>
      <c r="J5912" s="76"/>
    </row>
    <row r="5913" spans="1:10">
      <c r="A5913" s="172"/>
      <c r="D5913" s="56"/>
      <c r="E5913" s="204"/>
      <c r="F5913" s="205"/>
      <c r="G5913" s="206"/>
      <c r="H5913" s="207"/>
      <c r="J5913" s="76"/>
    </row>
    <row r="5914" spans="1:10">
      <c r="A5914" s="172"/>
      <c r="D5914" s="56"/>
      <c r="E5914" s="204"/>
      <c r="F5914" s="205"/>
      <c r="G5914" s="206"/>
      <c r="H5914" s="207"/>
      <c r="J5914" s="76"/>
    </row>
    <row r="5915" spans="1:10">
      <c r="A5915" s="172"/>
      <c r="D5915" s="56"/>
      <c r="E5915" s="204"/>
      <c r="F5915" s="205"/>
      <c r="G5915" s="206"/>
      <c r="H5915" s="207"/>
      <c r="J5915" s="76"/>
    </row>
    <row r="5916" spans="1:10">
      <c r="A5916" s="172"/>
      <c r="D5916" s="56"/>
      <c r="E5916" s="204"/>
      <c r="F5916" s="205"/>
      <c r="G5916" s="206"/>
      <c r="H5916" s="207"/>
      <c r="J5916" s="76"/>
    </row>
    <row r="5917" spans="1:10">
      <c r="A5917" s="172"/>
      <c r="D5917" s="56"/>
      <c r="E5917" s="204"/>
      <c r="F5917" s="205"/>
      <c r="G5917" s="206"/>
      <c r="H5917" s="207"/>
      <c r="J5917" s="76"/>
    </row>
    <row r="5918" spans="1:10">
      <c r="A5918" s="172"/>
      <c r="D5918" s="56"/>
      <c r="E5918" s="204"/>
      <c r="F5918" s="205"/>
      <c r="G5918" s="206"/>
      <c r="H5918" s="207"/>
      <c r="J5918" s="76"/>
    </row>
    <row r="5919" spans="1:10">
      <c r="A5919" s="172"/>
      <c r="D5919" s="56"/>
      <c r="E5919" s="204"/>
      <c r="F5919" s="205"/>
      <c r="G5919" s="206"/>
      <c r="H5919" s="207"/>
      <c r="J5919" s="76"/>
    </row>
    <row r="5920" spans="1:10">
      <c r="A5920" s="172"/>
      <c r="D5920" s="56"/>
      <c r="E5920" s="204"/>
      <c r="F5920" s="205"/>
      <c r="G5920" s="206"/>
      <c r="H5920" s="207"/>
      <c r="J5920" s="76"/>
    </row>
    <row r="5921" spans="1:10">
      <c r="A5921" s="172"/>
      <c r="D5921" s="56"/>
      <c r="E5921" s="204"/>
      <c r="F5921" s="205"/>
      <c r="G5921" s="206"/>
      <c r="H5921" s="207"/>
      <c r="J5921" s="76"/>
    </row>
    <row r="5922" spans="1:10">
      <c r="A5922" s="172"/>
      <c r="D5922" s="56"/>
      <c r="E5922" s="204"/>
      <c r="F5922" s="205"/>
      <c r="G5922" s="206"/>
      <c r="H5922" s="207"/>
      <c r="J5922" s="76"/>
    </row>
    <row r="5923" spans="1:10">
      <c r="A5923" s="172"/>
      <c r="D5923" s="56"/>
      <c r="E5923" s="204"/>
      <c r="F5923" s="205"/>
      <c r="G5923" s="206"/>
      <c r="H5923" s="207"/>
      <c r="J5923" s="76"/>
    </row>
    <row r="5924" spans="1:10">
      <c r="A5924" s="172"/>
      <c r="D5924" s="56"/>
      <c r="E5924" s="204"/>
      <c r="F5924" s="205"/>
      <c r="G5924" s="206"/>
      <c r="H5924" s="207"/>
      <c r="J5924" s="76"/>
    </row>
    <row r="5925" spans="1:10">
      <c r="A5925" s="172"/>
      <c r="D5925" s="56"/>
      <c r="E5925" s="204"/>
      <c r="F5925" s="205"/>
      <c r="G5925" s="206"/>
      <c r="H5925" s="207"/>
      <c r="J5925" s="76"/>
    </row>
    <row r="5926" spans="1:10">
      <c r="A5926" s="172"/>
      <c r="D5926" s="56"/>
      <c r="E5926" s="204"/>
      <c r="F5926" s="205"/>
      <c r="G5926" s="206"/>
      <c r="H5926" s="207"/>
      <c r="J5926" s="76"/>
    </row>
    <row r="5927" spans="1:10">
      <c r="A5927" s="172"/>
      <c r="D5927" s="56"/>
      <c r="E5927" s="204"/>
      <c r="F5927" s="205"/>
      <c r="G5927" s="206"/>
      <c r="H5927" s="207"/>
      <c r="J5927" s="76"/>
    </row>
    <row r="5928" spans="1:10">
      <c r="A5928" s="172"/>
      <c r="D5928" s="56"/>
      <c r="E5928" s="204"/>
      <c r="F5928" s="205"/>
      <c r="G5928" s="206"/>
      <c r="H5928" s="207"/>
      <c r="J5928" s="76"/>
    </row>
    <row r="5929" spans="1:10">
      <c r="A5929" s="172"/>
      <c r="D5929" s="56"/>
      <c r="E5929" s="204"/>
      <c r="F5929" s="205"/>
      <c r="G5929" s="206"/>
      <c r="H5929" s="207"/>
      <c r="J5929" s="76"/>
    </row>
    <row r="5930" spans="1:10">
      <c r="A5930" s="172"/>
      <c r="D5930" s="56"/>
      <c r="E5930" s="204"/>
      <c r="F5930" s="205"/>
      <c r="G5930" s="206"/>
      <c r="H5930" s="207"/>
      <c r="J5930" s="76"/>
    </row>
    <row r="5931" spans="1:10">
      <c r="A5931" s="172"/>
      <c r="D5931" s="56"/>
      <c r="E5931" s="204"/>
      <c r="F5931" s="205"/>
      <c r="G5931" s="206"/>
      <c r="H5931" s="207"/>
      <c r="J5931" s="76"/>
    </row>
    <row r="5932" spans="1:10">
      <c r="A5932" s="172"/>
      <c r="D5932" s="56"/>
      <c r="E5932" s="204"/>
      <c r="F5932" s="205"/>
      <c r="G5932" s="206"/>
      <c r="H5932" s="207"/>
      <c r="J5932" s="76"/>
    </row>
    <row r="5933" spans="1:10">
      <c r="A5933" s="172"/>
      <c r="D5933" s="56"/>
      <c r="E5933" s="204"/>
      <c r="F5933" s="205"/>
      <c r="G5933" s="206"/>
      <c r="H5933" s="207"/>
      <c r="J5933" s="76"/>
    </row>
    <row r="5934" spans="1:10">
      <c r="A5934" s="172"/>
      <c r="D5934" s="56"/>
      <c r="E5934" s="204"/>
      <c r="F5934" s="205"/>
      <c r="G5934" s="206"/>
      <c r="H5934" s="207"/>
      <c r="J5934" s="76"/>
    </row>
    <row r="5935" spans="1:10">
      <c r="A5935" s="172"/>
      <c r="D5935" s="56"/>
      <c r="E5935" s="204"/>
      <c r="F5935" s="205"/>
      <c r="G5935" s="206"/>
      <c r="H5935" s="207"/>
      <c r="J5935" s="76"/>
    </row>
    <row r="5936" spans="1:10">
      <c r="A5936" s="172"/>
      <c r="D5936" s="56"/>
      <c r="E5936" s="204"/>
      <c r="F5936" s="205"/>
      <c r="G5936" s="206"/>
      <c r="H5936" s="207"/>
      <c r="J5936" s="76"/>
    </row>
    <row r="5937" spans="1:10">
      <c r="A5937" s="172"/>
      <c r="D5937" s="56"/>
      <c r="E5937" s="204"/>
      <c r="F5937" s="205"/>
      <c r="G5937" s="206"/>
      <c r="H5937" s="207"/>
      <c r="J5937" s="76"/>
    </row>
    <row r="5938" spans="1:10">
      <c r="A5938" s="172"/>
      <c r="D5938" s="56"/>
      <c r="E5938" s="204"/>
      <c r="F5938" s="205"/>
      <c r="G5938" s="206"/>
      <c r="H5938" s="207"/>
      <c r="J5938" s="76"/>
    </row>
    <row r="5939" spans="1:10">
      <c r="A5939" s="172"/>
      <c r="D5939" s="56"/>
      <c r="E5939" s="204"/>
      <c r="F5939" s="205"/>
      <c r="G5939" s="206"/>
      <c r="H5939" s="207"/>
      <c r="J5939" s="76"/>
    </row>
    <row r="5940" spans="1:10">
      <c r="A5940" s="172"/>
      <c r="D5940" s="56"/>
      <c r="E5940" s="204"/>
      <c r="F5940" s="205"/>
      <c r="G5940" s="206"/>
      <c r="H5940" s="207"/>
      <c r="J5940" s="76"/>
    </row>
    <row r="5941" spans="1:10">
      <c r="A5941" s="172"/>
      <c r="D5941" s="56"/>
      <c r="E5941" s="204"/>
      <c r="F5941" s="205"/>
      <c r="G5941" s="206"/>
      <c r="H5941" s="207"/>
      <c r="J5941" s="76"/>
    </row>
    <row r="5942" spans="1:10">
      <c r="A5942" s="172"/>
      <c r="D5942" s="56"/>
      <c r="E5942" s="204"/>
      <c r="F5942" s="205"/>
      <c r="G5942" s="206"/>
      <c r="H5942" s="207"/>
      <c r="J5942" s="76"/>
    </row>
    <row r="5943" spans="1:10">
      <c r="A5943" s="172"/>
      <c r="D5943" s="56"/>
      <c r="E5943" s="204"/>
      <c r="F5943" s="205"/>
      <c r="G5943" s="206"/>
      <c r="H5943" s="207"/>
      <c r="J5943" s="76"/>
    </row>
    <row r="5944" spans="1:10">
      <c r="A5944" s="172"/>
      <c r="D5944" s="56"/>
      <c r="E5944" s="204"/>
      <c r="F5944" s="205"/>
      <c r="G5944" s="206"/>
      <c r="H5944" s="207"/>
      <c r="J5944" s="76"/>
    </row>
    <row r="5945" spans="1:10">
      <c r="A5945" s="172"/>
      <c r="D5945" s="56"/>
      <c r="E5945" s="204"/>
      <c r="F5945" s="205"/>
      <c r="G5945" s="206"/>
      <c r="H5945" s="207"/>
      <c r="J5945" s="76"/>
    </row>
    <row r="5946" spans="1:10">
      <c r="A5946" s="172"/>
      <c r="D5946" s="56"/>
      <c r="E5946" s="204"/>
      <c r="F5946" s="205"/>
      <c r="G5946" s="206"/>
      <c r="H5946" s="207"/>
      <c r="J5946" s="76"/>
    </row>
    <row r="5947" spans="1:10">
      <c r="A5947" s="172"/>
      <c r="D5947" s="56"/>
      <c r="E5947" s="204"/>
      <c r="F5947" s="205"/>
      <c r="G5947" s="206"/>
      <c r="H5947" s="207"/>
      <c r="J5947" s="76"/>
    </row>
    <row r="5948" spans="1:10">
      <c r="A5948" s="172"/>
      <c r="D5948" s="56"/>
      <c r="E5948" s="204"/>
      <c r="F5948" s="205"/>
      <c r="G5948" s="206"/>
      <c r="H5948" s="207"/>
      <c r="J5948" s="76"/>
    </row>
    <row r="5949" spans="1:10">
      <c r="A5949" s="172"/>
      <c r="D5949" s="56"/>
      <c r="E5949" s="204"/>
      <c r="F5949" s="205"/>
      <c r="G5949" s="206"/>
      <c r="H5949" s="207"/>
      <c r="J5949" s="76"/>
    </row>
    <row r="5950" spans="1:10">
      <c r="A5950" s="172"/>
      <c r="D5950" s="56"/>
      <c r="E5950" s="204"/>
      <c r="F5950" s="205"/>
      <c r="G5950" s="206"/>
      <c r="H5950" s="207"/>
      <c r="J5950" s="76"/>
    </row>
    <row r="5951" spans="1:10">
      <c r="A5951" s="172"/>
      <c r="D5951" s="56"/>
      <c r="E5951" s="204"/>
      <c r="F5951" s="205"/>
      <c r="G5951" s="206"/>
      <c r="H5951" s="207"/>
      <c r="J5951" s="76"/>
    </row>
    <row r="5952" spans="1:10">
      <c r="A5952" s="172"/>
      <c r="D5952" s="56"/>
      <c r="E5952" s="204"/>
      <c r="F5952" s="205"/>
      <c r="G5952" s="206"/>
      <c r="H5952" s="207"/>
      <c r="J5952" s="76"/>
    </row>
    <row r="5953" spans="1:10">
      <c r="A5953" s="172"/>
      <c r="D5953" s="56"/>
      <c r="E5953" s="204"/>
      <c r="F5953" s="205"/>
      <c r="G5953" s="206"/>
      <c r="H5953" s="207"/>
      <c r="J5953" s="76"/>
    </row>
    <row r="5954" spans="1:10">
      <c r="A5954" s="172"/>
      <c r="D5954" s="56"/>
      <c r="E5954" s="204"/>
      <c r="F5954" s="205"/>
      <c r="G5954" s="206"/>
      <c r="H5954" s="207"/>
      <c r="J5954" s="76"/>
    </row>
    <row r="5955" spans="1:10">
      <c r="A5955" s="172"/>
      <c r="D5955" s="56"/>
      <c r="E5955" s="204"/>
      <c r="F5955" s="205"/>
      <c r="G5955" s="206"/>
      <c r="H5955" s="207"/>
      <c r="J5955" s="76"/>
    </row>
    <row r="5956" spans="1:10">
      <c r="A5956" s="172"/>
      <c r="D5956" s="56"/>
      <c r="E5956" s="204"/>
      <c r="F5956" s="205"/>
      <c r="G5956" s="206"/>
      <c r="H5956" s="207"/>
      <c r="J5956" s="76"/>
    </row>
    <row r="5957" spans="1:10">
      <c r="A5957" s="172"/>
      <c r="D5957" s="56"/>
      <c r="E5957" s="204"/>
      <c r="F5957" s="205"/>
      <c r="G5957" s="206"/>
      <c r="H5957" s="207"/>
      <c r="J5957" s="76"/>
    </row>
    <row r="5958" spans="1:10">
      <c r="A5958" s="172"/>
      <c r="D5958" s="56"/>
      <c r="E5958" s="204"/>
      <c r="F5958" s="205"/>
      <c r="G5958" s="206"/>
      <c r="H5958" s="207"/>
      <c r="J5958" s="76"/>
    </row>
    <row r="5959" spans="1:10">
      <c r="A5959" s="172"/>
      <c r="D5959" s="56"/>
      <c r="E5959" s="204"/>
      <c r="F5959" s="205"/>
      <c r="G5959" s="206"/>
      <c r="H5959" s="207"/>
      <c r="J5959" s="76"/>
    </row>
    <row r="5960" spans="1:10">
      <c r="A5960" s="172"/>
      <c r="D5960" s="56"/>
      <c r="E5960" s="204"/>
      <c r="F5960" s="205"/>
      <c r="G5960" s="206"/>
      <c r="H5960" s="207"/>
      <c r="J5960" s="76"/>
    </row>
    <row r="5961" spans="1:10">
      <c r="A5961" s="172"/>
      <c r="D5961" s="56"/>
      <c r="E5961" s="204"/>
      <c r="F5961" s="205"/>
      <c r="G5961" s="206"/>
      <c r="H5961" s="207"/>
      <c r="J5961" s="76"/>
    </row>
    <row r="5962" spans="1:10">
      <c r="A5962" s="172"/>
      <c r="D5962" s="56"/>
      <c r="E5962" s="204"/>
      <c r="F5962" s="205"/>
      <c r="G5962" s="206"/>
      <c r="H5962" s="207"/>
      <c r="J5962" s="76"/>
    </row>
    <row r="5963" spans="1:10">
      <c r="A5963" s="172"/>
      <c r="D5963" s="56"/>
      <c r="E5963" s="204"/>
      <c r="F5963" s="205"/>
      <c r="G5963" s="206"/>
      <c r="H5963" s="207"/>
      <c r="J5963" s="76"/>
    </row>
    <row r="5964" spans="1:10">
      <c r="A5964" s="172"/>
      <c r="D5964" s="56"/>
      <c r="E5964" s="204"/>
      <c r="F5964" s="205"/>
      <c r="G5964" s="206"/>
      <c r="H5964" s="207"/>
      <c r="J5964" s="76"/>
    </row>
    <row r="5965" spans="1:10">
      <c r="A5965" s="172"/>
      <c r="D5965" s="56"/>
      <c r="E5965" s="204"/>
      <c r="F5965" s="205"/>
      <c r="G5965" s="206"/>
      <c r="H5965" s="207"/>
      <c r="J5965" s="76"/>
    </row>
    <row r="5966" spans="1:10">
      <c r="A5966" s="172"/>
      <c r="D5966" s="56"/>
      <c r="E5966" s="204"/>
      <c r="F5966" s="205"/>
      <c r="G5966" s="206"/>
      <c r="H5966" s="207"/>
      <c r="J5966" s="76"/>
    </row>
    <row r="5967" spans="1:10">
      <c r="A5967" s="172"/>
      <c r="D5967" s="56"/>
      <c r="E5967" s="204"/>
      <c r="F5967" s="205"/>
      <c r="G5967" s="206"/>
      <c r="H5967" s="207"/>
      <c r="J5967" s="76"/>
    </row>
    <row r="5968" spans="1:10">
      <c r="A5968" s="172"/>
      <c r="D5968" s="56"/>
      <c r="E5968" s="204"/>
      <c r="F5968" s="205"/>
      <c r="G5968" s="206"/>
      <c r="H5968" s="207"/>
      <c r="J5968" s="76"/>
    </row>
    <row r="5969" spans="1:10">
      <c r="A5969" s="172"/>
      <c r="D5969" s="56"/>
      <c r="E5969" s="204"/>
      <c r="F5969" s="205"/>
      <c r="G5969" s="206"/>
      <c r="H5969" s="207"/>
      <c r="J5969" s="76"/>
    </row>
    <row r="5970" spans="1:10">
      <c r="A5970" s="172"/>
      <c r="D5970" s="56"/>
      <c r="E5970" s="204"/>
      <c r="F5970" s="205"/>
      <c r="G5970" s="206"/>
      <c r="H5970" s="207"/>
      <c r="J5970" s="76"/>
    </row>
    <row r="5971" spans="1:10">
      <c r="A5971" s="172"/>
      <c r="D5971" s="56"/>
      <c r="E5971" s="204"/>
      <c r="F5971" s="205"/>
      <c r="G5971" s="206"/>
      <c r="H5971" s="207"/>
      <c r="J5971" s="76"/>
    </row>
    <row r="5972" spans="1:10">
      <c r="A5972" s="172"/>
      <c r="D5972" s="56"/>
      <c r="E5972" s="204"/>
      <c r="F5972" s="205"/>
      <c r="G5972" s="206"/>
      <c r="H5972" s="207"/>
      <c r="J5972" s="76"/>
    </row>
    <row r="5973" spans="1:10">
      <c r="A5973" s="172"/>
      <c r="D5973" s="56"/>
      <c r="E5973" s="204"/>
      <c r="F5973" s="205"/>
      <c r="G5973" s="206"/>
      <c r="H5973" s="207"/>
      <c r="J5973" s="76"/>
    </row>
    <row r="5974" spans="1:10">
      <c r="A5974" s="172"/>
      <c r="D5974" s="56"/>
      <c r="E5974" s="204"/>
      <c r="F5974" s="205"/>
      <c r="G5974" s="206"/>
      <c r="H5974" s="207"/>
      <c r="J5974" s="76"/>
    </row>
    <row r="5975" spans="1:10">
      <c r="A5975" s="172"/>
      <c r="D5975" s="56"/>
      <c r="E5975" s="204"/>
      <c r="F5975" s="205"/>
      <c r="G5975" s="206"/>
      <c r="H5975" s="207"/>
      <c r="J5975" s="76"/>
    </row>
    <row r="5976" spans="1:10">
      <c r="A5976" s="172"/>
      <c r="D5976" s="56"/>
      <c r="E5976" s="204"/>
      <c r="F5976" s="205"/>
      <c r="G5976" s="206"/>
      <c r="H5976" s="207"/>
      <c r="J5976" s="76"/>
    </row>
    <row r="5977" spans="1:10">
      <c r="A5977" s="172"/>
      <c r="D5977" s="56"/>
      <c r="E5977" s="204"/>
      <c r="F5977" s="205"/>
      <c r="G5977" s="206"/>
      <c r="H5977" s="207"/>
      <c r="J5977" s="76"/>
    </row>
    <row r="5978" spans="1:10">
      <c r="A5978" s="172"/>
      <c r="D5978" s="56"/>
      <c r="E5978" s="204"/>
      <c r="F5978" s="205"/>
      <c r="G5978" s="206"/>
      <c r="H5978" s="207"/>
      <c r="J5978" s="76"/>
    </row>
    <row r="5979" spans="1:10">
      <c r="A5979" s="172"/>
      <c r="D5979" s="56"/>
      <c r="E5979" s="204"/>
      <c r="F5979" s="205"/>
      <c r="G5979" s="206"/>
      <c r="H5979" s="207"/>
      <c r="J5979" s="76"/>
    </row>
    <row r="5980" spans="1:10">
      <c r="A5980" s="172"/>
      <c r="D5980" s="56"/>
      <c r="E5980" s="204"/>
      <c r="F5980" s="205"/>
      <c r="G5980" s="206"/>
      <c r="H5980" s="207"/>
      <c r="J5980" s="76"/>
    </row>
    <row r="5981" spans="1:10">
      <c r="A5981" s="172"/>
      <c r="D5981" s="56"/>
      <c r="E5981" s="204"/>
      <c r="F5981" s="205"/>
      <c r="G5981" s="206"/>
      <c r="H5981" s="207"/>
      <c r="J5981" s="76"/>
    </row>
    <row r="5982" spans="1:10">
      <c r="A5982" s="172"/>
      <c r="D5982" s="56"/>
      <c r="E5982" s="204"/>
      <c r="F5982" s="205"/>
      <c r="G5982" s="206"/>
      <c r="H5982" s="207"/>
      <c r="J5982" s="76"/>
    </row>
    <row r="5983" spans="1:10">
      <c r="A5983" s="172"/>
      <c r="D5983" s="56"/>
      <c r="E5983" s="204"/>
      <c r="F5983" s="205"/>
      <c r="G5983" s="206"/>
      <c r="H5983" s="207"/>
      <c r="J5983" s="76"/>
    </row>
    <row r="5984" spans="1:10">
      <c r="A5984" s="172"/>
      <c r="D5984" s="56"/>
      <c r="E5984" s="204"/>
      <c r="F5984" s="205"/>
      <c r="G5984" s="206"/>
      <c r="H5984" s="207"/>
      <c r="J5984" s="76"/>
    </row>
    <row r="5985" spans="1:10">
      <c r="A5985" s="172"/>
      <c r="D5985" s="56"/>
      <c r="E5985" s="204"/>
      <c r="F5985" s="205"/>
      <c r="G5985" s="206"/>
      <c r="H5985" s="207"/>
      <c r="J5985" s="76"/>
    </row>
    <row r="5986" spans="1:10">
      <c r="A5986" s="172"/>
      <c r="D5986" s="56"/>
      <c r="E5986" s="204"/>
      <c r="F5986" s="205"/>
      <c r="G5986" s="206"/>
      <c r="H5986" s="207"/>
      <c r="J5986" s="76"/>
    </row>
    <row r="5987" spans="1:10">
      <c r="A5987" s="172"/>
      <c r="D5987" s="56"/>
      <c r="E5987" s="204"/>
      <c r="F5987" s="205"/>
      <c r="G5987" s="206"/>
      <c r="H5987" s="207"/>
      <c r="J5987" s="76"/>
    </row>
    <row r="5988" spans="1:10">
      <c r="A5988" s="172"/>
      <c r="D5988" s="56"/>
      <c r="E5988" s="204"/>
      <c r="F5988" s="205"/>
      <c r="G5988" s="206"/>
      <c r="H5988" s="207"/>
      <c r="J5988" s="76"/>
    </row>
    <row r="5989" spans="1:10">
      <c r="A5989" s="172"/>
      <c r="D5989" s="56"/>
      <c r="E5989" s="204"/>
      <c r="F5989" s="205"/>
      <c r="G5989" s="206"/>
      <c r="H5989" s="207"/>
      <c r="J5989" s="76"/>
    </row>
    <row r="5990" spans="1:10">
      <c r="A5990" s="172"/>
      <c r="D5990" s="56"/>
      <c r="E5990" s="204"/>
      <c r="F5990" s="205"/>
      <c r="G5990" s="206"/>
      <c r="H5990" s="207"/>
      <c r="J5990" s="76"/>
    </row>
    <row r="5991" spans="1:10">
      <c r="A5991" s="172"/>
      <c r="D5991" s="56"/>
      <c r="E5991" s="204"/>
      <c r="F5991" s="205"/>
      <c r="G5991" s="206"/>
      <c r="H5991" s="207"/>
      <c r="J5991" s="76"/>
    </row>
    <row r="5992" spans="1:10">
      <c r="A5992" s="172"/>
      <c r="D5992" s="56"/>
      <c r="E5992" s="204"/>
      <c r="F5992" s="205"/>
      <c r="G5992" s="206"/>
      <c r="H5992" s="207"/>
      <c r="J5992" s="76"/>
    </row>
    <row r="5993" spans="1:10">
      <c r="A5993" s="172"/>
      <c r="D5993" s="56"/>
      <c r="E5993" s="204"/>
      <c r="F5993" s="205"/>
      <c r="G5993" s="206"/>
      <c r="H5993" s="207"/>
      <c r="J5993" s="76"/>
    </row>
    <row r="5994" spans="1:10">
      <c r="A5994" s="172"/>
      <c r="D5994" s="56"/>
      <c r="E5994" s="204"/>
      <c r="F5994" s="205"/>
      <c r="G5994" s="206"/>
      <c r="H5994" s="207"/>
      <c r="J5994" s="76"/>
    </row>
    <row r="5995" spans="1:10">
      <c r="A5995" s="172"/>
      <c r="D5995" s="56"/>
      <c r="E5995" s="204"/>
      <c r="F5995" s="205"/>
      <c r="G5995" s="206"/>
      <c r="H5995" s="207"/>
      <c r="J5995" s="76"/>
    </row>
    <row r="5996" spans="1:10">
      <c r="A5996" s="172"/>
      <c r="D5996" s="56"/>
      <c r="E5996" s="204"/>
      <c r="F5996" s="205"/>
      <c r="G5996" s="206"/>
      <c r="H5996" s="207"/>
      <c r="J5996" s="76"/>
    </row>
    <row r="5997" spans="1:10">
      <c r="A5997" s="172"/>
      <c r="D5997" s="56"/>
      <c r="E5997" s="204"/>
      <c r="F5997" s="205"/>
      <c r="G5997" s="206"/>
      <c r="H5997" s="207"/>
      <c r="J5997" s="76"/>
    </row>
    <row r="5998" spans="1:10">
      <c r="A5998" s="172"/>
      <c r="D5998" s="56"/>
      <c r="E5998" s="204"/>
      <c r="F5998" s="205"/>
      <c r="G5998" s="206"/>
      <c r="H5998" s="207"/>
      <c r="J5998" s="76"/>
    </row>
    <row r="5999" spans="1:10">
      <c r="A5999" s="172"/>
      <c r="D5999" s="56"/>
      <c r="E5999" s="204"/>
      <c r="F5999" s="205"/>
      <c r="G5999" s="206"/>
      <c r="H5999" s="207"/>
      <c r="J5999" s="76"/>
    </row>
    <row r="6000" spans="1:10">
      <c r="A6000" s="172"/>
      <c r="D6000" s="56"/>
      <c r="E6000" s="204"/>
      <c r="F6000" s="205"/>
      <c r="G6000" s="206"/>
      <c r="H6000" s="207"/>
      <c r="J6000" s="76"/>
    </row>
    <row r="6001" spans="1:10">
      <c r="A6001" s="172"/>
      <c r="D6001" s="56"/>
      <c r="E6001" s="204"/>
      <c r="F6001" s="205"/>
      <c r="G6001" s="206"/>
      <c r="H6001" s="207"/>
      <c r="J6001" s="76"/>
    </row>
    <row r="6002" spans="1:10">
      <c r="A6002" s="172"/>
      <c r="D6002" s="56"/>
      <c r="E6002" s="204"/>
      <c r="F6002" s="205"/>
      <c r="G6002" s="206"/>
      <c r="H6002" s="207"/>
      <c r="J6002" s="76"/>
    </row>
    <row r="6003" spans="1:10">
      <c r="A6003" s="172"/>
      <c r="D6003" s="56"/>
      <c r="E6003" s="204"/>
      <c r="F6003" s="205"/>
      <c r="G6003" s="206"/>
      <c r="H6003" s="207"/>
      <c r="J6003" s="76"/>
    </row>
    <row r="6004" spans="1:10">
      <c r="A6004" s="172"/>
      <c r="D6004" s="56"/>
      <c r="E6004" s="204"/>
      <c r="F6004" s="205"/>
      <c r="G6004" s="206"/>
      <c r="H6004" s="207"/>
      <c r="J6004" s="76"/>
    </row>
    <row r="6005" spans="1:10">
      <c r="A6005" s="172"/>
      <c r="D6005" s="56"/>
      <c r="E6005" s="204"/>
      <c r="F6005" s="205"/>
      <c r="G6005" s="206"/>
      <c r="H6005" s="207"/>
      <c r="J6005" s="76"/>
    </row>
    <row r="6006" spans="1:10">
      <c r="A6006" s="172"/>
      <c r="D6006" s="56"/>
      <c r="E6006" s="204"/>
      <c r="F6006" s="205"/>
      <c r="G6006" s="206"/>
      <c r="H6006" s="207"/>
      <c r="J6006" s="76"/>
    </row>
    <row r="6007" spans="1:10">
      <c r="A6007" s="172"/>
      <c r="D6007" s="56"/>
      <c r="E6007" s="204"/>
      <c r="F6007" s="205"/>
      <c r="G6007" s="206"/>
      <c r="H6007" s="207"/>
      <c r="J6007" s="76"/>
    </row>
    <row r="6008" spans="1:10">
      <c r="A6008" s="172"/>
      <c r="D6008" s="56"/>
      <c r="E6008" s="204"/>
      <c r="F6008" s="205"/>
      <c r="G6008" s="206"/>
      <c r="H6008" s="207"/>
      <c r="J6008" s="76"/>
    </row>
    <row r="6009" spans="1:10">
      <c r="A6009" s="172"/>
      <c r="D6009" s="56"/>
      <c r="E6009" s="204"/>
      <c r="F6009" s="205"/>
      <c r="G6009" s="206"/>
      <c r="H6009" s="207"/>
      <c r="J6009" s="76"/>
    </row>
    <row r="6010" spans="1:10">
      <c r="A6010" s="172"/>
      <c r="D6010" s="56"/>
      <c r="E6010" s="204"/>
      <c r="F6010" s="205"/>
      <c r="G6010" s="206"/>
      <c r="H6010" s="207"/>
      <c r="J6010" s="76"/>
    </row>
    <row r="6011" spans="1:10">
      <c r="A6011" s="172"/>
      <c r="D6011" s="56"/>
      <c r="E6011" s="204"/>
      <c r="F6011" s="205"/>
      <c r="G6011" s="206"/>
      <c r="H6011" s="207"/>
      <c r="J6011" s="76"/>
    </row>
    <row r="6012" spans="1:10">
      <c r="A6012" s="172"/>
      <c r="D6012" s="56"/>
      <c r="E6012" s="204"/>
      <c r="F6012" s="205"/>
      <c r="G6012" s="206"/>
      <c r="H6012" s="207"/>
      <c r="J6012" s="76"/>
    </row>
    <row r="6013" spans="1:10">
      <c r="A6013" s="172"/>
      <c r="D6013" s="56"/>
      <c r="E6013" s="204"/>
      <c r="F6013" s="205"/>
      <c r="G6013" s="206"/>
      <c r="H6013" s="207"/>
      <c r="J6013" s="76"/>
    </row>
    <row r="6014" spans="1:10">
      <c r="A6014" s="172"/>
      <c r="D6014" s="56"/>
      <c r="E6014" s="204"/>
      <c r="F6014" s="205"/>
      <c r="G6014" s="206"/>
      <c r="H6014" s="207"/>
      <c r="J6014" s="76"/>
    </row>
    <row r="6015" spans="1:10">
      <c r="A6015" s="172"/>
      <c r="D6015" s="56"/>
      <c r="E6015" s="204"/>
      <c r="F6015" s="205"/>
      <c r="G6015" s="206"/>
      <c r="H6015" s="207"/>
      <c r="J6015" s="76"/>
    </row>
    <row r="6016" spans="1:10">
      <c r="A6016" s="172"/>
      <c r="D6016" s="56"/>
      <c r="E6016" s="204"/>
      <c r="F6016" s="205"/>
      <c r="G6016" s="206"/>
      <c r="H6016" s="207"/>
      <c r="J6016" s="76"/>
    </row>
    <row r="6017" spans="1:10">
      <c r="A6017" s="172"/>
      <c r="D6017" s="56"/>
      <c r="E6017" s="204"/>
      <c r="F6017" s="205"/>
      <c r="G6017" s="206"/>
      <c r="H6017" s="207"/>
      <c r="J6017" s="76"/>
    </row>
    <row r="6018" spans="1:10">
      <c r="A6018" s="172"/>
      <c r="D6018" s="56"/>
      <c r="E6018" s="204"/>
      <c r="F6018" s="205"/>
      <c r="G6018" s="206"/>
      <c r="H6018" s="207"/>
      <c r="J6018" s="76"/>
    </row>
    <row r="6019" spans="1:10">
      <c r="A6019" s="172"/>
      <c r="D6019" s="56"/>
      <c r="E6019" s="204"/>
      <c r="F6019" s="205"/>
      <c r="G6019" s="206"/>
      <c r="H6019" s="207"/>
      <c r="J6019" s="76"/>
    </row>
    <row r="6020" spans="1:10">
      <c r="A6020" s="172"/>
      <c r="D6020" s="56"/>
      <c r="E6020" s="204"/>
      <c r="F6020" s="205"/>
      <c r="G6020" s="206"/>
      <c r="H6020" s="207"/>
      <c r="J6020" s="76"/>
    </row>
    <row r="6021" spans="1:10">
      <c r="A6021" s="172"/>
      <c r="D6021" s="56"/>
      <c r="E6021" s="204"/>
      <c r="F6021" s="205"/>
      <c r="G6021" s="206"/>
      <c r="H6021" s="207"/>
      <c r="J6021" s="76"/>
    </row>
    <row r="6022" spans="1:10">
      <c r="A6022" s="172"/>
      <c r="D6022" s="56"/>
      <c r="E6022" s="204"/>
      <c r="F6022" s="205"/>
      <c r="G6022" s="206"/>
      <c r="H6022" s="207"/>
      <c r="J6022" s="76"/>
    </row>
    <row r="6023" spans="1:10">
      <c r="A6023" s="172"/>
      <c r="D6023" s="56"/>
      <c r="E6023" s="204"/>
      <c r="F6023" s="205"/>
      <c r="G6023" s="206"/>
      <c r="H6023" s="207"/>
      <c r="J6023" s="76"/>
    </row>
    <row r="6024" spans="1:10">
      <c r="A6024" s="172"/>
      <c r="D6024" s="56"/>
      <c r="E6024" s="204"/>
      <c r="F6024" s="205"/>
      <c r="G6024" s="206"/>
      <c r="H6024" s="207"/>
      <c r="J6024" s="76"/>
    </row>
    <row r="6025" spans="1:10">
      <c r="A6025" s="172"/>
      <c r="D6025" s="56"/>
      <c r="E6025" s="204"/>
      <c r="F6025" s="205"/>
      <c r="G6025" s="206"/>
      <c r="H6025" s="207"/>
      <c r="J6025" s="76"/>
    </row>
    <row r="6026" spans="1:10">
      <c r="A6026" s="172"/>
      <c r="D6026" s="56"/>
      <c r="E6026" s="204"/>
      <c r="F6026" s="205"/>
      <c r="G6026" s="206"/>
      <c r="H6026" s="207"/>
      <c r="J6026" s="76"/>
    </row>
    <row r="6027" spans="1:10">
      <c r="A6027" s="172"/>
      <c r="D6027" s="56"/>
      <c r="E6027" s="204"/>
      <c r="F6027" s="205"/>
      <c r="G6027" s="206"/>
      <c r="H6027" s="207"/>
      <c r="J6027" s="76"/>
    </row>
    <row r="6028" spans="1:10">
      <c r="A6028" s="172"/>
      <c r="D6028" s="56"/>
      <c r="E6028" s="204"/>
      <c r="F6028" s="205"/>
      <c r="G6028" s="206"/>
      <c r="H6028" s="207"/>
      <c r="J6028" s="76"/>
    </row>
    <row r="6029" spans="1:10">
      <c r="A6029" s="172"/>
      <c r="D6029" s="56"/>
      <c r="E6029" s="204"/>
      <c r="F6029" s="205"/>
      <c r="G6029" s="206"/>
      <c r="H6029" s="207"/>
      <c r="J6029" s="76"/>
    </row>
    <row r="6030" spans="1:10">
      <c r="A6030" s="172"/>
      <c r="D6030" s="56"/>
      <c r="E6030" s="204"/>
      <c r="F6030" s="205"/>
      <c r="G6030" s="206"/>
      <c r="H6030" s="207"/>
      <c r="J6030" s="76"/>
    </row>
    <row r="6031" spans="1:10">
      <c r="A6031" s="172"/>
      <c r="D6031" s="56"/>
      <c r="E6031" s="204"/>
      <c r="F6031" s="205"/>
      <c r="G6031" s="206"/>
      <c r="H6031" s="207"/>
      <c r="J6031" s="76"/>
    </row>
    <row r="6032" spans="1:10">
      <c r="A6032" s="172"/>
      <c r="D6032" s="56"/>
      <c r="E6032" s="204"/>
      <c r="F6032" s="205"/>
      <c r="G6032" s="206"/>
      <c r="H6032" s="207"/>
      <c r="J6032" s="76"/>
    </row>
    <row r="6033" spans="1:10">
      <c r="A6033" s="172"/>
      <c r="D6033" s="56"/>
      <c r="E6033" s="204"/>
      <c r="F6033" s="205"/>
      <c r="G6033" s="206"/>
      <c r="H6033" s="207"/>
      <c r="J6033" s="76"/>
    </row>
    <row r="6034" spans="1:10">
      <c r="A6034" s="172"/>
      <c r="D6034" s="56"/>
      <c r="E6034" s="204"/>
      <c r="F6034" s="205"/>
      <c r="G6034" s="206"/>
      <c r="H6034" s="207"/>
      <c r="J6034" s="76"/>
    </row>
    <row r="6035" spans="1:10">
      <c r="A6035" s="172"/>
      <c r="D6035" s="56"/>
      <c r="E6035" s="204"/>
      <c r="F6035" s="205"/>
      <c r="G6035" s="206"/>
      <c r="H6035" s="207"/>
      <c r="J6035" s="76"/>
    </row>
    <row r="6036" spans="1:10">
      <c r="A6036" s="172"/>
      <c r="D6036" s="56"/>
      <c r="E6036" s="204"/>
      <c r="F6036" s="205"/>
      <c r="G6036" s="206"/>
      <c r="H6036" s="207"/>
      <c r="J6036" s="76"/>
    </row>
    <row r="6037" spans="1:10">
      <c r="A6037" s="172"/>
      <c r="D6037" s="56"/>
      <c r="E6037" s="204"/>
      <c r="F6037" s="205"/>
      <c r="G6037" s="206"/>
      <c r="H6037" s="207"/>
      <c r="J6037" s="76"/>
    </row>
    <row r="6038" spans="1:10">
      <c r="A6038" s="172"/>
      <c r="D6038" s="56"/>
      <c r="E6038" s="204"/>
      <c r="F6038" s="205"/>
      <c r="G6038" s="206"/>
      <c r="H6038" s="207"/>
      <c r="J6038" s="76"/>
    </row>
    <row r="6039" spans="1:10">
      <c r="A6039" s="172"/>
      <c r="D6039" s="56"/>
      <c r="E6039" s="204"/>
      <c r="F6039" s="205"/>
      <c r="G6039" s="206"/>
      <c r="H6039" s="207"/>
      <c r="J6039" s="76"/>
    </row>
    <row r="6040" spans="1:10">
      <c r="A6040" s="172"/>
      <c r="D6040" s="56"/>
      <c r="E6040" s="204"/>
      <c r="F6040" s="205"/>
      <c r="G6040" s="206"/>
      <c r="H6040" s="207"/>
      <c r="J6040" s="76"/>
    </row>
    <row r="6041" spans="1:10">
      <c r="A6041" s="172"/>
      <c r="D6041" s="56"/>
      <c r="E6041" s="204"/>
      <c r="F6041" s="205"/>
      <c r="G6041" s="206"/>
      <c r="H6041" s="207"/>
      <c r="J6041" s="76"/>
    </row>
    <row r="6042" spans="1:10">
      <c r="A6042" s="172"/>
      <c r="D6042" s="56"/>
      <c r="E6042" s="204"/>
      <c r="F6042" s="205"/>
      <c r="G6042" s="206"/>
      <c r="H6042" s="207"/>
      <c r="J6042" s="76"/>
    </row>
    <row r="6043" spans="1:10">
      <c r="A6043" s="172"/>
      <c r="D6043" s="56"/>
      <c r="E6043" s="204"/>
      <c r="F6043" s="205"/>
      <c r="G6043" s="206"/>
      <c r="H6043" s="207"/>
      <c r="J6043" s="76"/>
    </row>
    <row r="6044" spans="1:10">
      <c r="A6044" s="172"/>
      <c r="D6044" s="56"/>
      <c r="E6044" s="204"/>
      <c r="F6044" s="205"/>
      <c r="G6044" s="206"/>
      <c r="H6044" s="207"/>
      <c r="J6044" s="76"/>
    </row>
    <row r="6045" spans="1:10">
      <c r="A6045" s="172"/>
      <c r="D6045" s="56"/>
      <c r="E6045" s="204"/>
      <c r="F6045" s="205"/>
      <c r="G6045" s="206"/>
      <c r="H6045" s="207"/>
      <c r="J6045" s="76"/>
    </row>
    <row r="6046" spans="1:10">
      <c r="A6046" s="172"/>
      <c r="D6046" s="56"/>
      <c r="E6046" s="204"/>
      <c r="F6046" s="205"/>
      <c r="G6046" s="206"/>
      <c r="H6046" s="207"/>
      <c r="J6046" s="76"/>
    </row>
    <row r="6047" spans="1:10">
      <c r="A6047" s="172"/>
      <c r="D6047" s="56"/>
      <c r="E6047" s="204"/>
      <c r="F6047" s="205"/>
      <c r="G6047" s="206"/>
      <c r="H6047" s="207"/>
      <c r="J6047" s="76"/>
    </row>
    <row r="6048" spans="1:10">
      <c r="A6048" s="172"/>
      <c r="D6048" s="56"/>
      <c r="E6048" s="204"/>
      <c r="F6048" s="205"/>
      <c r="G6048" s="206"/>
      <c r="H6048" s="207"/>
      <c r="J6048" s="76"/>
    </row>
    <row r="6049" spans="1:10">
      <c r="A6049" s="172"/>
      <c r="D6049" s="56"/>
      <c r="E6049" s="204"/>
      <c r="F6049" s="205"/>
      <c r="G6049" s="206"/>
      <c r="H6049" s="207"/>
      <c r="J6049" s="76"/>
    </row>
    <row r="6050" spans="1:10">
      <c r="A6050" s="172"/>
      <c r="D6050" s="56"/>
      <c r="E6050" s="204"/>
      <c r="F6050" s="205"/>
      <c r="G6050" s="206"/>
      <c r="H6050" s="207"/>
      <c r="J6050" s="76"/>
    </row>
    <row r="6051" spans="1:10">
      <c r="A6051" s="172"/>
      <c r="D6051" s="56"/>
      <c r="E6051" s="204"/>
      <c r="F6051" s="205"/>
      <c r="G6051" s="206"/>
      <c r="H6051" s="207"/>
      <c r="J6051" s="76"/>
    </row>
    <row r="6052" spans="1:10">
      <c r="A6052" s="172"/>
      <c r="D6052" s="56"/>
      <c r="E6052" s="204"/>
      <c r="F6052" s="205"/>
      <c r="G6052" s="206"/>
      <c r="H6052" s="207"/>
      <c r="J6052" s="76"/>
    </row>
    <row r="6053" spans="1:10">
      <c r="A6053" s="172"/>
      <c r="D6053" s="56"/>
      <c r="E6053" s="204"/>
      <c r="F6053" s="205"/>
      <c r="G6053" s="206"/>
      <c r="H6053" s="207"/>
      <c r="J6053" s="76"/>
    </row>
    <row r="6054" spans="1:10">
      <c r="A6054" s="172"/>
      <c r="D6054" s="56"/>
      <c r="E6054" s="204"/>
      <c r="F6054" s="205"/>
      <c r="G6054" s="206"/>
      <c r="H6054" s="207"/>
      <c r="J6054" s="76"/>
    </row>
    <row r="6055" spans="1:10">
      <c r="A6055" s="172"/>
      <c r="D6055" s="56"/>
      <c r="E6055" s="204"/>
      <c r="F6055" s="205"/>
      <c r="G6055" s="206"/>
      <c r="H6055" s="207"/>
      <c r="J6055" s="76"/>
    </row>
    <row r="6056" spans="1:10">
      <c r="A6056" s="172"/>
      <c r="D6056" s="56"/>
      <c r="E6056" s="204"/>
      <c r="F6056" s="205"/>
      <c r="G6056" s="206"/>
      <c r="H6056" s="207"/>
      <c r="J6056" s="76"/>
    </row>
    <row r="6057" spans="1:10">
      <c r="A6057" s="172"/>
      <c r="D6057" s="56"/>
      <c r="E6057" s="204"/>
      <c r="F6057" s="205"/>
      <c r="G6057" s="206"/>
      <c r="H6057" s="207"/>
      <c r="J6057" s="76"/>
    </row>
    <row r="6058" spans="1:10">
      <c r="A6058" s="172"/>
      <c r="D6058" s="56"/>
      <c r="E6058" s="204"/>
      <c r="F6058" s="205"/>
      <c r="G6058" s="206"/>
      <c r="H6058" s="207"/>
      <c r="J6058" s="76"/>
    </row>
    <row r="6059" spans="1:10">
      <c r="A6059" s="172"/>
      <c r="D6059" s="56"/>
      <c r="E6059" s="204"/>
      <c r="F6059" s="205"/>
      <c r="G6059" s="206"/>
      <c r="H6059" s="207"/>
      <c r="J6059" s="76"/>
    </row>
    <row r="6060" spans="1:10">
      <c r="A6060" s="172"/>
      <c r="D6060" s="56"/>
      <c r="E6060" s="204"/>
      <c r="F6060" s="205"/>
      <c r="G6060" s="206"/>
      <c r="H6060" s="207"/>
      <c r="J6060" s="76"/>
    </row>
    <row r="6061" spans="1:10">
      <c r="A6061" s="172"/>
      <c r="D6061" s="56"/>
      <c r="E6061" s="204"/>
      <c r="F6061" s="205"/>
      <c r="G6061" s="206"/>
      <c r="H6061" s="207"/>
      <c r="J6061" s="76"/>
    </row>
    <row r="6062" spans="1:10">
      <c r="A6062" s="172"/>
      <c r="D6062" s="56"/>
      <c r="E6062" s="204"/>
      <c r="F6062" s="205"/>
      <c r="G6062" s="206"/>
      <c r="H6062" s="207"/>
      <c r="J6062" s="76"/>
    </row>
    <row r="6063" spans="1:10">
      <c r="A6063" s="172"/>
      <c r="D6063" s="56"/>
      <c r="E6063" s="204"/>
      <c r="F6063" s="205"/>
      <c r="G6063" s="206"/>
      <c r="H6063" s="207"/>
      <c r="J6063" s="76"/>
    </row>
    <row r="6064" spans="1:10">
      <c r="A6064" s="172"/>
      <c r="D6064" s="56"/>
      <c r="E6064" s="204"/>
      <c r="F6064" s="205"/>
      <c r="G6064" s="206"/>
      <c r="H6064" s="207"/>
      <c r="J6064" s="76"/>
    </row>
    <row r="6065" spans="1:10">
      <c r="A6065" s="172"/>
      <c r="D6065" s="56"/>
      <c r="E6065" s="204"/>
      <c r="F6065" s="205"/>
      <c r="G6065" s="206"/>
      <c r="H6065" s="207"/>
      <c r="J6065" s="76"/>
    </row>
    <row r="6066" spans="1:10">
      <c r="A6066" s="172"/>
      <c r="D6066" s="56"/>
      <c r="E6066" s="204"/>
      <c r="F6066" s="205"/>
      <c r="G6066" s="206"/>
      <c r="H6066" s="207"/>
      <c r="J6066" s="76"/>
    </row>
    <row r="6067" spans="1:10">
      <c r="A6067" s="172"/>
      <c r="D6067" s="56"/>
      <c r="E6067" s="204"/>
      <c r="F6067" s="205"/>
      <c r="G6067" s="206"/>
      <c r="H6067" s="207"/>
      <c r="J6067" s="76"/>
    </row>
    <row r="6068" spans="1:10">
      <c r="A6068" s="172"/>
      <c r="D6068" s="56"/>
      <c r="E6068" s="204"/>
      <c r="F6068" s="205"/>
      <c r="G6068" s="206"/>
      <c r="H6068" s="207"/>
      <c r="J6068" s="76"/>
    </row>
    <row r="6069" spans="1:10">
      <c r="A6069" s="172"/>
      <c r="D6069" s="56"/>
      <c r="E6069" s="204"/>
      <c r="F6069" s="205"/>
      <c r="G6069" s="206"/>
      <c r="H6069" s="207"/>
      <c r="J6069" s="76"/>
    </row>
    <row r="6070" spans="1:10">
      <c r="A6070" s="172"/>
      <c r="D6070" s="56"/>
      <c r="E6070" s="204"/>
      <c r="F6070" s="205"/>
      <c r="G6070" s="206"/>
      <c r="H6070" s="207"/>
      <c r="J6070" s="76"/>
    </row>
    <row r="6071" spans="1:10">
      <c r="A6071" s="172"/>
      <c r="D6071" s="56"/>
      <c r="E6071" s="204"/>
      <c r="F6071" s="205"/>
      <c r="G6071" s="206"/>
      <c r="H6071" s="207"/>
      <c r="J6071" s="76"/>
    </row>
    <row r="6072" spans="1:10">
      <c r="A6072" s="172"/>
      <c r="D6072" s="56"/>
      <c r="E6072" s="204"/>
      <c r="F6072" s="205"/>
      <c r="G6072" s="206"/>
      <c r="H6072" s="207"/>
      <c r="J6072" s="76"/>
    </row>
    <row r="6073" spans="1:10">
      <c r="A6073" s="172"/>
      <c r="D6073" s="56"/>
      <c r="E6073" s="204"/>
      <c r="F6073" s="205"/>
      <c r="G6073" s="206"/>
      <c r="H6073" s="207"/>
      <c r="J6073" s="76"/>
    </row>
    <row r="6074" spans="1:10">
      <c r="A6074" s="172"/>
      <c r="D6074" s="56"/>
      <c r="E6074" s="204"/>
      <c r="F6074" s="205"/>
      <c r="G6074" s="206"/>
      <c r="H6074" s="207"/>
      <c r="J6074" s="76"/>
    </row>
    <row r="6075" spans="1:10">
      <c r="A6075" s="172"/>
      <c r="D6075" s="56"/>
      <c r="E6075" s="204"/>
      <c r="F6075" s="205"/>
      <c r="G6075" s="206"/>
      <c r="H6075" s="207"/>
      <c r="J6075" s="76"/>
    </row>
    <row r="6076" spans="1:10">
      <c r="A6076" s="172"/>
      <c r="D6076" s="56"/>
      <c r="E6076" s="204"/>
      <c r="F6076" s="205"/>
      <c r="G6076" s="206"/>
      <c r="H6076" s="207"/>
      <c r="J6076" s="76"/>
    </row>
    <row r="6077" spans="1:10">
      <c r="A6077" s="172"/>
      <c r="D6077" s="56"/>
      <c r="E6077" s="204"/>
      <c r="F6077" s="205"/>
      <c r="G6077" s="206"/>
      <c r="H6077" s="207"/>
      <c r="J6077" s="76"/>
    </row>
    <row r="6078" spans="1:10">
      <c r="A6078" s="172"/>
      <c r="D6078" s="56"/>
      <c r="E6078" s="204"/>
      <c r="F6078" s="205"/>
      <c r="G6078" s="206"/>
      <c r="H6078" s="207"/>
      <c r="J6078" s="76"/>
    </row>
    <row r="6079" spans="1:10">
      <c r="A6079" s="172"/>
      <c r="D6079" s="56"/>
      <c r="E6079" s="204"/>
      <c r="F6079" s="205"/>
      <c r="G6079" s="206"/>
      <c r="H6079" s="207"/>
      <c r="J6079" s="76"/>
    </row>
    <row r="6080" spans="1:10">
      <c r="A6080" s="172"/>
      <c r="D6080" s="56"/>
      <c r="E6080" s="204"/>
      <c r="F6080" s="205"/>
      <c r="G6080" s="206"/>
      <c r="H6080" s="207"/>
      <c r="J6080" s="76"/>
    </row>
    <row r="6081" spans="1:10">
      <c r="A6081" s="172"/>
      <c r="D6081" s="56"/>
      <c r="E6081" s="204"/>
      <c r="F6081" s="205"/>
      <c r="G6081" s="206"/>
      <c r="H6081" s="207"/>
      <c r="J6081" s="76"/>
    </row>
    <row r="6082" spans="1:10">
      <c r="A6082" s="172"/>
      <c r="D6082" s="56"/>
      <c r="E6082" s="204"/>
      <c r="F6082" s="205"/>
      <c r="G6082" s="206"/>
      <c r="H6082" s="207"/>
      <c r="J6082" s="76"/>
    </row>
    <row r="6083" spans="1:10">
      <c r="A6083" s="172"/>
      <c r="D6083" s="56"/>
      <c r="E6083" s="204"/>
      <c r="F6083" s="205"/>
      <c r="G6083" s="206"/>
      <c r="H6083" s="207"/>
      <c r="J6083" s="76"/>
    </row>
    <row r="6084" spans="1:10">
      <c r="A6084" s="172"/>
      <c r="D6084" s="56"/>
      <c r="E6084" s="204"/>
      <c r="F6084" s="205"/>
      <c r="G6084" s="206"/>
      <c r="H6084" s="207"/>
      <c r="J6084" s="76"/>
    </row>
    <row r="6085" spans="1:10">
      <c r="A6085" s="172"/>
      <c r="D6085" s="56"/>
      <c r="E6085" s="204"/>
      <c r="F6085" s="205"/>
      <c r="G6085" s="206"/>
      <c r="H6085" s="207"/>
      <c r="J6085" s="76"/>
    </row>
    <row r="6086" spans="1:10">
      <c r="A6086" s="172"/>
      <c r="D6086" s="56"/>
      <c r="E6086" s="204"/>
      <c r="F6086" s="205"/>
      <c r="G6086" s="206"/>
      <c r="H6086" s="207"/>
      <c r="J6086" s="76"/>
    </row>
    <row r="6087" spans="1:10">
      <c r="A6087" s="172"/>
      <c r="D6087" s="56"/>
      <c r="E6087" s="204"/>
      <c r="F6087" s="205"/>
      <c r="G6087" s="206"/>
      <c r="H6087" s="207"/>
      <c r="J6087" s="76"/>
    </row>
    <row r="6088" spans="1:10">
      <c r="A6088" s="172"/>
      <c r="D6088" s="56"/>
      <c r="E6088" s="204"/>
      <c r="F6088" s="205"/>
      <c r="G6088" s="206"/>
      <c r="H6088" s="207"/>
      <c r="J6088" s="76"/>
    </row>
    <row r="6089" spans="1:10">
      <c r="A6089" s="172"/>
      <c r="D6089" s="56"/>
      <c r="E6089" s="204"/>
      <c r="F6089" s="205"/>
      <c r="G6089" s="206"/>
      <c r="H6089" s="207"/>
      <c r="J6089" s="76"/>
    </row>
    <row r="6090" spans="1:10">
      <c r="A6090" s="172"/>
      <c r="D6090" s="56"/>
      <c r="E6090" s="204"/>
      <c r="F6090" s="205"/>
      <c r="G6090" s="206"/>
      <c r="H6090" s="207"/>
      <c r="J6090" s="76"/>
    </row>
    <row r="6091" spans="1:10">
      <c r="A6091" s="172"/>
      <c r="D6091" s="56"/>
      <c r="E6091" s="204"/>
      <c r="F6091" s="205"/>
      <c r="G6091" s="206"/>
      <c r="H6091" s="207"/>
      <c r="J6091" s="76"/>
    </row>
    <row r="6092" spans="1:10">
      <c r="A6092" s="172"/>
      <c r="D6092" s="56"/>
      <c r="E6092" s="204"/>
      <c r="F6092" s="205"/>
      <c r="G6092" s="206"/>
      <c r="H6092" s="207"/>
      <c r="J6092" s="76"/>
    </row>
    <row r="6093" spans="1:10">
      <c r="A6093" s="172"/>
      <c r="D6093" s="56"/>
      <c r="E6093" s="204"/>
      <c r="F6093" s="205"/>
      <c r="G6093" s="206"/>
      <c r="H6093" s="207"/>
      <c r="J6093" s="76"/>
    </row>
    <row r="6094" spans="1:10">
      <c r="A6094" s="172"/>
      <c r="D6094" s="56"/>
      <c r="E6094" s="204"/>
      <c r="F6094" s="205"/>
      <c r="G6094" s="206"/>
      <c r="H6094" s="207"/>
      <c r="J6094" s="76"/>
    </row>
    <row r="6095" spans="1:10">
      <c r="A6095" s="172"/>
      <c r="D6095" s="56"/>
      <c r="E6095" s="204"/>
      <c r="F6095" s="205"/>
      <c r="G6095" s="206"/>
      <c r="H6095" s="207"/>
      <c r="J6095" s="76"/>
    </row>
    <row r="6096" spans="1:10">
      <c r="A6096" s="172"/>
      <c r="D6096" s="56"/>
      <c r="E6096" s="204"/>
      <c r="F6096" s="205"/>
      <c r="G6096" s="206"/>
      <c r="H6096" s="207"/>
      <c r="J6096" s="76"/>
    </row>
    <row r="6097" spans="1:10">
      <c r="A6097" s="172"/>
      <c r="D6097" s="56"/>
      <c r="E6097" s="204"/>
      <c r="F6097" s="205"/>
      <c r="G6097" s="206"/>
      <c r="H6097" s="207"/>
      <c r="J6097" s="76"/>
    </row>
    <row r="6098" spans="1:10">
      <c r="A6098" s="172"/>
      <c r="D6098" s="56"/>
      <c r="E6098" s="204"/>
      <c r="F6098" s="205"/>
      <c r="G6098" s="206"/>
      <c r="H6098" s="207"/>
      <c r="J6098" s="76"/>
    </row>
    <row r="6099" spans="1:10">
      <c r="A6099" s="172"/>
      <c r="D6099" s="56"/>
      <c r="E6099" s="204"/>
      <c r="F6099" s="205"/>
      <c r="G6099" s="206"/>
      <c r="H6099" s="207"/>
      <c r="J6099" s="76"/>
    </row>
    <row r="6100" spans="1:10">
      <c r="A6100" s="172"/>
      <c r="D6100" s="56"/>
      <c r="E6100" s="204"/>
      <c r="F6100" s="205"/>
      <c r="G6100" s="206"/>
      <c r="H6100" s="207"/>
      <c r="J6100" s="76"/>
    </row>
    <row r="6101" spans="1:10">
      <c r="A6101" s="172"/>
      <c r="D6101" s="56"/>
      <c r="E6101" s="204"/>
      <c r="F6101" s="205"/>
      <c r="G6101" s="206"/>
      <c r="H6101" s="207"/>
      <c r="J6101" s="76"/>
    </row>
    <row r="6102" spans="1:10">
      <c r="A6102" s="172"/>
      <c r="D6102" s="56"/>
      <c r="E6102" s="204"/>
      <c r="F6102" s="205"/>
      <c r="G6102" s="206"/>
      <c r="H6102" s="207"/>
      <c r="J6102" s="76"/>
    </row>
    <row r="6103" spans="1:10">
      <c r="A6103" s="172"/>
      <c r="D6103" s="56"/>
      <c r="E6103" s="204"/>
      <c r="F6103" s="205"/>
      <c r="G6103" s="206"/>
      <c r="H6103" s="207"/>
      <c r="J6103" s="76"/>
    </row>
    <row r="6104" spans="1:10">
      <c r="A6104" s="172"/>
      <c r="D6104" s="56"/>
      <c r="E6104" s="204"/>
      <c r="F6104" s="205"/>
      <c r="G6104" s="206"/>
      <c r="H6104" s="207"/>
      <c r="J6104" s="76"/>
    </row>
    <row r="6105" spans="1:10">
      <c r="A6105" s="172"/>
      <c r="D6105" s="56"/>
      <c r="E6105" s="204"/>
      <c r="F6105" s="205"/>
      <c r="G6105" s="206"/>
      <c r="H6105" s="207"/>
      <c r="J6105" s="76"/>
    </row>
    <row r="6106" spans="1:10">
      <c r="A6106" s="172"/>
      <c r="D6106" s="56"/>
      <c r="E6106" s="204"/>
      <c r="F6106" s="205"/>
      <c r="G6106" s="206"/>
      <c r="H6106" s="207"/>
      <c r="J6106" s="76"/>
    </row>
    <row r="6107" spans="1:10">
      <c r="A6107" s="172"/>
      <c r="D6107" s="56"/>
      <c r="E6107" s="204"/>
      <c r="F6107" s="205"/>
      <c r="G6107" s="206"/>
      <c r="H6107" s="207"/>
      <c r="J6107" s="76"/>
    </row>
    <row r="6108" spans="1:10">
      <c r="A6108" s="172"/>
      <c r="D6108" s="56"/>
      <c r="E6108" s="204"/>
      <c r="F6108" s="205"/>
      <c r="G6108" s="206"/>
      <c r="H6108" s="207"/>
      <c r="J6108" s="76"/>
    </row>
    <row r="6109" spans="1:10">
      <c r="A6109" s="172"/>
      <c r="D6109" s="56"/>
      <c r="E6109" s="204"/>
      <c r="F6109" s="205"/>
      <c r="G6109" s="206"/>
      <c r="H6109" s="207"/>
      <c r="J6109" s="76"/>
    </row>
    <row r="6110" spans="1:10">
      <c r="A6110" s="172"/>
      <c r="D6110" s="56"/>
      <c r="E6110" s="204"/>
      <c r="F6110" s="205"/>
      <c r="G6110" s="206"/>
      <c r="H6110" s="207"/>
      <c r="J6110" s="76"/>
    </row>
    <row r="6111" spans="1:10">
      <c r="A6111" s="172"/>
      <c r="D6111" s="56"/>
      <c r="E6111" s="204"/>
      <c r="F6111" s="205"/>
      <c r="G6111" s="206"/>
      <c r="H6111" s="207"/>
      <c r="J6111" s="76"/>
    </row>
    <row r="6112" spans="1:10">
      <c r="A6112" s="172"/>
      <c r="D6112" s="56"/>
      <c r="E6112" s="204"/>
      <c r="F6112" s="205"/>
      <c r="G6112" s="206"/>
      <c r="H6112" s="207"/>
      <c r="J6112" s="76"/>
    </row>
    <row r="6113" spans="1:10">
      <c r="A6113" s="172"/>
      <c r="D6113" s="56"/>
      <c r="E6113" s="204"/>
      <c r="F6113" s="205"/>
      <c r="G6113" s="206"/>
      <c r="H6113" s="207"/>
      <c r="J6113" s="76"/>
    </row>
    <row r="6114" spans="1:10">
      <c r="A6114" s="172"/>
      <c r="D6114" s="56"/>
      <c r="E6114" s="204"/>
      <c r="F6114" s="205"/>
      <c r="G6114" s="206"/>
      <c r="H6114" s="207"/>
      <c r="J6114" s="76"/>
    </row>
    <row r="6115" spans="1:10">
      <c r="A6115" s="172"/>
      <c r="D6115" s="56"/>
      <c r="E6115" s="204"/>
      <c r="F6115" s="205"/>
      <c r="G6115" s="206"/>
      <c r="H6115" s="207"/>
      <c r="J6115" s="76"/>
    </row>
    <row r="6116" spans="1:10">
      <c r="A6116" s="172"/>
      <c r="D6116" s="56"/>
      <c r="E6116" s="204"/>
      <c r="F6116" s="205"/>
      <c r="G6116" s="206"/>
      <c r="H6116" s="207"/>
      <c r="J6116" s="76"/>
    </row>
    <row r="6117" spans="1:10">
      <c r="A6117" s="172"/>
      <c r="D6117" s="56"/>
      <c r="E6117" s="204"/>
      <c r="F6117" s="205"/>
      <c r="G6117" s="206"/>
      <c r="H6117" s="207"/>
      <c r="J6117" s="76"/>
    </row>
    <row r="6118" spans="1:10">
      <c r="A6118" s="172"/>
      <c r="D6118" s="56"/>
      <c r="E6118" s="204"/>
      <c r="F6118" s="205"/>
      <c r="G6118" s="206"/>
      <c r="H6118" s="207"/>
      <c r="J6118" s="76"/>
    </row>
    <row r="6119" spans="1:10">
      <c r="A6119" s="172"/>
      <c r="D6119" s="56"/>
      <c r="E6119" s="204"/>
      <c r="F6119" s="205"/>
      <c r="G6119" s="206"/>
      <c r="H6119" s="207"/>
      <c r="J6119" s="76"/>
    </row>
    <row r="6120" spans="1:10">
      <c r="A6120" s="172"/>
      <c r="D6120" s="56"/>
      <c r="E6120" s="204"/>
      <c r="F6120" s="205"/>
      <c r="G6120" s="206"/>
      <c r="H6120" s="207"/>
      <c r="J6120" s="76"/>
    </row>
    <row r="6121" spans="1:10">
      <c r="A6121" s="172"/>
      <c r="D6121" s="56"/>
      <c r="E6121" s="204"/>
      <c r="F6121" s="205"/>
      <c r="G6121" s="206"/>
      <c r="H6121" s="207"/>
      <c r="J6121" s="76"/>
    </row>
    <row r="6122" spans="1:10">
      <c r="A6122" s="172"/>
      <c r="D6122" s="56"/>
      <c r="E6122" s="204"/>
      <c r="F6122" s="205"/>
      <c r="G6122" s="206"/>
      <c r="H6122" s="207"/>
      <c r="J6122" s="76"/>
    </row>
    <row r="6123" spans="1:10">
      <c r="A6123" s="172"/>
      <c r="D6123" s="56"/>
      <c r="E6123" s="204"/>
      <c r="F6123" s="205"/>
      <c r="G6123" s="206"/>
      <c r="H6123" s="207"/>
      <c r="J6123" s="76"/>
    </row>
    <row r="6124" spans="1:10">
      <c r="A6124" s="172"/>
      <c r="D6124" s="56"/>
      <c r="E6124" s="204"/>
      <c r="F6124" s="205"/>
      <c r="G6124" s="206"/>
      <c r="H6124" s="207"/>
      <c r="J6124" s="76"/>
    </row>
    <row r="6125" spans="1:10">
      <c r="A6125" s="172"/>
      <c r="D6125" s="56"/>
      <c r="E6125" s="204"/>
      <c r="F6125" s="205"/>
      <c r="G6125" s="206"/>
      <c r="H6125" s="207"/>
      <c r="J6125" s="76"/>
    </row>
    <row r="6126" spans="1:10">
      <c r="A6126" s="172"/>
      <c r="D6126" s="56"/>
      <c r="E6126" s="204"/>
      <c r="F6126" s="205"/>
      <c r="G6126" s="206"/>
      <c r="H6126" s="207"/>
      <c r="J6126" s="76"/>
    </row>
    <row r="6127" spans="1:10">
      <c r="A6127" s="172"/>
      <c r="D6127" s="56"/>
      <c r="E6127" s="204"/>
      <c r="F6127" s="205"/>
      <c r="G6127" s="206"/>
      <c r="H6127" s="207"/>
      <c r="J6127" s="76"/>
    </row>
    <row r="6128" spans="1:10">
      <c r="A6128" s="172"/>
      <c r="D6128" s="56"/>
      <c r="E6128" s="204"/>
      <c r="F6128" s="205"/>
      <c r="G6128" s="206"/>
      <c r="H6128" s="207"/>
      <c r="J6128" s="76"/>
    </row>
    <row r="6129" spans="1:10">
      <c r="A6129" s="172"/>
      <c r="D6129" s="56"/>
      <c r="E6129" s="204"/>
      <c r="F6129" s="205"/>
      <c r="G6129" s="206"/>
      <c r="H6129" s="207"/>
      <c r="J6129" s="76"/>
    </row>
    <row r="6130" spans="1:10">
      <c r="A6130" s="172"/>
      <c r="D6130" s="56"/>
      <c r="E6130" s="204"/>
      <c r="F6130" s="205"/>
      <c r="G6130" s="206"/>
      <c r="H6130" s="207"/>
      <c r="J6130" s="76"/>
    </row>
    <row r="6131" spans="1:10">
      <c r="A6131" s="172"/>
      <c r="D6131" s="56"/>
      <c r="E6131" s="204"/>
      <c r="F6131" s="205"/>
      <c r="G6131" s="206"/>
      <c r="H6131" s="207"/>
      <c r="J6131" s="76"/>
    </row>
    <row r="6132" spans="1:10">
      <c r="A6132" s="172"/>
      <c r="D6132" s="56"/>
      <c r="E6132" s="204"/>
      <c r="F6132" s="205"/>
      <c r="G6132" s="206"/>
      <c r="H6132" s="207"/>
      <c r="J6132" s="76"/>
    </row>
    <row r="6133" spans="1:10">
      <c r="A6133" s="172"/>
      <c r="D6133" s="56"/>
      <c r="E6133" s="204"/>
      <c r="F6133" s="205"/>
      <c r="G6133" s="206"/>
      <c r="H6133" s="207"/>
      <c r="J6133" s="76"/>
    </row>
    <row r="6134" spans="1:10">
      <c r="A6134" s="172"/>
      <c r="D6134" s="56"/>
      <c r="E6134" s="204"/>
      <c r="F6134" s="205"/>
      <c r="G6134" s="206"/>
      <c r="H6134" s="207"/>
      <c r="J6134" s="76"/>
    </row>
    <row r="6135" spans="1:10">
      <c r="A6135" s="172"/>
      <c r="D6135" s="56"/>
      <c r="E6135" s="204"/>
      <c r="F6135" s="205"/>
      <c r="G6135" s="206"/>
      <c r="H6135" s="207"/>
      <c r="J6135" s="76"/>
    </row>
    <row r="6136" spans="1:10">
      <c r="A6136" s="172"/>
      <c r="D6136" s="56"/>
      <c r="E6136" s="204"/>
      <c r="F6136" s="205"/>
      <c r="G6136" s="206"/>
      <c r="H6136" s="207"/>
      <c r="J6136" s="76"/>
    </row>
    <row r="6137" spans="1:10">
      <c r="A6137" s="172"/>
      <c r="D6137" s="56"/>
      <c r="E6137" s="204"/>
      <c r="F6137" s="205"/>
      <c r="G6137" s="206"/>
      <c r="H6137" s="207"/>
      <c r="J6137" s="76"/>
    </row>
    <row r="6138" spans="1:10">
      <c r="A6138" s="172"/>
      <c r="D6138" s="56"/>
      <c r="E6138" s="204"/>
      <c r="F6138" s="205"/>
      <c r="G6138" s="206"/>
      <c r="H6138" s="207"/>
      <c r="J6138" s="76"/>
    </row>
    <row r="6139" spans="1:10">
      <c r="A6139" s="172"/>
      <c r="D6139" s="56"/>
      <c r="E6139" s="204"/>
      <c r="F6139" s="205"/>
      <c r="G6139" s="206"/>
      <c r="H6139" s="207"/>
      <c r="J6139" s="76"/>
    </row>
    <row r="6140" spans="1:10">
      <c r="A6140" s="172"/>
      <c r="D6140" s="56"/>
      <c r="E6140" s="204"/>
      <c r="F6140" s="205"/>
      <c r="G6140" s="206"/>
      <c r="H6140" s="207"/>
      <c r="J6140" s="76"/>
    </row>
    <row r="6141" spans="1:10">
      <c r="A6141" s="172"/>
      <c r="D6141" s="56"/>
      <c r="E6141" s="204"/>
      <c r="F6141" s="205"/>
      <c r="G6141" s="206"/>
      <c r="H6141" s="207"/>
      <c r="J6141" s="76"/>
    </row>
    <row r="6142" spans="1:10">
      <c r="A6142" s="172"/>
      <c r="D6142" s="56"/>
      <c r="E6142" s="204"/>
      <c r="F6142" s="205"/>
      <c r="G6142" s="206"/>
      <c r="H6142" s="207"/>
      <c r="J6142" s="76"/>
    </row>
    <row r="6143" spans="1:10">
      <c r="A6143" s="172"/>
      <c r="D6143" s="56"/>
      <c r="E6143" s="204"/>
      <c r="F6143" s="205"/>
      <c r="G6143" s="206"/>
      <c r="H6143" s="207"/>
      <c r="J6143" s="76"/>
    </row>
    <row r="6144" spans="1:10">
      <c r="A6144" s="172"/>
      <c r="D6144" s="56"/>
      <c r="E6144" s="204"/>
      <c r="F6144" s="205"/>
      <c r="G6144" s="206"/>
      <c r="H6144" s="207"/>
      <c r="J6144" s="76"/>
    </row>
    <row r="6145" spans="1:10">
      <c r="A6145" s="172"/>
      <c r="D6145" s="56"/>
      <c r="E6145" s="204"/>
      <c r="F6145" s="205"/>
      <c r="G6145" s="206"/>
      <c r="H6145" s="207"/>
      <c r="J6145" s="76"/>
    </row>
    <row r="6146" spans="1:10">
      <c r="A6146" s="172"/>
      <c r="D6146" s="56"/>
      <c r="E6146" s="204"/>
      <c r="F6146" s="205"/>
      <c r="G6146" s="206"/>
      <c r="H6146" s="207"/>
      <c r="J6146" s="76"/>
    </row>
    <row r="6147" spans="1:10">
      <c r="A6147" s="172"/>
      <c r="D6147" s="56"/>
      <c r="E6147" s="204"/>
      <c r="F6147" s="205"/>
      <c r="G6147" s="206"/>
      <c r="H6147" s="207"/>
      <c r="J6147" s="76"/>
    </row>
    <row r="6148" spans="1:10">
      <c r="A6148" s="172"/>
      <c r="D6148" s="56"/>
      <c r="E6148" s="204"/>
      <c r="F6148" s="205"/>
      <c r="G6148" s="206"/>
      <c r="H6148" s="207"/>
      <c r="J6148" s="76"/>
    </row>
    <row r="6149" spans="1:10">
      <c r="A6149" s="172"/>
      <c r="D6149" s="56"/>
      <c r="E6149" s="204"/>
      <c r="F6149" s="205"/>
      <c r="G6149" s="206"/>
      <c r="H6149" s="207"/>
      <c r="J6149" s="76"/>
    </row>
    <row r="6150" spans="1:10">
      <c r="A6150" s="172"/>
      <c r="D6150" s="56"/>
      <c r="E6150" s="204"/>
      <c r="F6150" s="205"/>
      <c r="G6150" s="206"/>
      <c r="H6150" s="207"/>
      <c r="J6150" s="76"/>
    </row>
    <row r="6151" spans="1:10">
      <c r="A6151" s="172"/>
      <c r="D6151" s="56"/>
      <c r="E6151" s="204"/>
      <c r="F6151" s="205"/>
      <c r="G6151" s="206"/>
      <c r="H6151" s="207"/>
      <c r="J6151" s="76"/>
    </row>
    <row r="6152" spans="1:10">
      <c r="A6152" s="172"/>
      <c r="D6152" s="56"/>
      <c r="E6152" s="204"/>
      <c r="F6152" s="205"/>
      <c r="G6152" s="206"/>
      <c r="H6152" s="207"/>
      <c r="J6152" s="76"/>
    </row>
    <row r="6153" spans="1:10">
      <c r="A6153" s="172"/>
      <c r="D6153" s="56"/>
      <c r="E6153" s="204"/>
      <c r="F6153" s="205"/>
      <c r="G6153" s="206"/>
      <c r="H6153" s="207"/>
      <c r="J6153" s="76"/>
    </row>
    <row r="6154" spans="1:10">
      <c r="A6154" s="172"/>
      <c r="D6154" s="56"/>
      <c r="E6154" s="204"/>
      <c r="F6154" s="205"/>
      <c r="G6154" s="206"/>
      <c r="H6154" s="207"/>
      <c r="J6154" s="76"/>
    </row>
    <row r="6155" spans="1:10">
      <c r="A6155" s="172"/>
      <c r="D6155" s="56"/>
      <c r="E6155" s="204"/>
      <c r="F6155" s="205"/>
      <c r="G6155" s="206"/>
      <c r="H6155" s="207"/>
      <c r="J6155" s="76"/>
    </row>
    <row r="6156" spans="1:10">
      <c r="A6156" s="172"/>
      <c r="D6156" s="56"/>
      <c r="E6156" s="204"/>
      <c r="F6156" s="205"/>
      <c r="G6156" s="206"/>
      <c r="H6156" s="207"/>
      <c r="J6156" s="76"/>
    </row>
    <row r="6157" spans="1:10">
      <c r="A6157" s="172"/>
      <c r="D6157" s="56"/>
      <c r="E6157" s="204"/>
      <c r="F6157" s="205"/>
      <c r="G6157" s="206"/>
      <c r="H6157" s="207"/>
      <c r="J6157" s="76"/>
    </row>
    <row r="6158" spans="1:10">
      <c r="A6158" s="172"/>
      <c r="D6158" s="56"/>
      <c r="E6158" s="204"/>
      <c r="F6158" s="205"/>
      <c r="G6158" s="206"/>
      <c r="H6158" s="207"/>
      <c r="J6158" s="76"/>
    </row>
    <row r="6159" spans="1:10">
      <c r="A6159" s="172"/>
      <c r="D6159" s="56"/>
      <c r="E6159" s="204"/>
      <c r="F6159" s="205"/>
      <c r="G6159" s="206"/>
      <c r="H6159" s="207"/>
      <c r="J6159" s="76"/>
    </row>
    <row r="6160" spans="1:10">
      <c r="A6160" s="172"/>
      <c r="D6160" s="56"/>
      <c r="E6160" s="204"/>
      <c r="F6160" s="205"/>
      <c r="G6160" s="206"/>
      <c r="H6160" s="207"/>
      <c r="J6160" s="76"/>
    </row>
    <row r="6161" spans="1:10">
      <c r="A6161" s="172"/>
      <c r="D6161" s="56"/>
      <c r="E6161" s="204"/>
      <c r="F6161" s="205"/>
      <c r="G6161" s="206"/>
      <c r="H6161" s="207"/>
      <c r="J6161" s="76"/>
    </row>
    <row r="6162" spans="1:10">
      <c r="A6162" s="172"/>
      <c r="D6162" s="56"/>
      <c r="E6162" s="204"/>
      <c r="F6162" s="205"/>
      <c r="G6162" s="206"/>
      <c r="H6162" s="207"/>
      <c r="J6162" s="76"/>
    </row>
    <row r="6163" spans="1:10">
      <c r="A6163" s="172"/>
      <c r="D6163" s="56"/>
      <c r="E6163" s="204"/>
      <c r="F6163" s="205"/>
      <c r="G6163" s="206"/>
      <c r="H6163" s="207"/>
      <c r="J6163" s="76"/>
    </row>
    <row r="6164" spans="1:10">
      <c r="A6164" s="172"/>
      <c r="D6164" s="56"/>
      <c r="E6164" s="204"/>
      <c r="F6164" s="205"/>
      <c r="G6164" s="206"/>
      <c r="H6164" s="207"/>
      <c r="J6164" s="76"/>
    </row>
    <row r="6165" spans="1:10">
      <c r="A6165" s="172"/>
      <c r="D6165" s="56"/>
      <c r="E6165" s="204"/>
      <c r="F6165" s="205"/>
      <c r="G6165" s="206"/>
      <c r="H6165" s="207"/>
      <c r="J6165" s="76"/>
    </row>
    <row r="6166" spans="1:10">
      <c r="A6166" s="172"/>
      <c r="D6166" s="56"/>
      <c r="E6166" s="204"/>
      <c r="F6166" s="205"/>
      <c r="G6166" s="206"/>
      <c r="H6166" s="207"/>
      <c r="J6166" s="76"/>
    </row>
    <row r="6167" spans="1:10">
      <c r="A6167" s="172"/>
      <c r="D6167" s="56"/>
      <c r="E6167" s="204"/>
      <c r="F6167" s="205"/>
      <c r="G6167" s="206"/>
      <c r="H6167" s="207"/>
      <c r="J6167" s="76"/>
    </row>
    <row r="6168" spans="1:10">
      <c r="A6168" s="172"/>
      <c r="D6168" s="56"/>
      <c r="E6168" s="204"/>
      <c r="F6168" s="205"/>
      <c r="G6168" s="206"/>
      <c r="H6168" s="207"/>
      <c r="J6168" s="76"/>
    </row>
    <row r="6169" spans="1:10">
      <c r="A6169" s="172"/>
      <c r="D6169" s="56"/>
      <c r="E6169" s="204"/>
      <c r="F6169" s="205"/>
      <c r="G6169" s="206"/>
      <c r="H6169" s="207"/>
      <c r="J6169" s="76"/>
    </row>
    <row r="6170" spans="1:10">
      <c r="A6170" s="172"/>
      <c r="D6170" s="56"/>
      <c r="E6170" s="204"/>
      <c r="F6170" s="205"/>
      <c r="G6170" s="206"/>
      <c r="H6170" s="207"/>
      <c r="J6170" s="76"/>
    </row>
    <row r="6171" spans="1:10">
      <c r="A6171" s="172"/>
      <c r="D6171" s="56"/>
      <c r="E6171" s="204"/>
      <c r="F6171" s="205"/>
      <c r="G6171" s="206"/>
      <c r="H6171" s="207"/>
      <c r="J6171" s="76"/>
    </row>
    <row r="6172" spans="1:10">
      <c r="A6172" s="172"/>
      <c r="D6172" s="56"/>
      <c r="E6172" s="204"/>
      <c r="F6172" s="205"/>
      <c r="G6172" s="206"/>
      <c r="H6172" s="207"/>
      <c r="J6172" s="76"/>
    </row>
    <row r="6173" spans="1:10">
      <c r="A6173" s="172"/>
      <c r="D6173" s="56"/>
      <c r="E6173" s="204"/>
      <c r="F6173" s="205"/>
      <c r="G6173" s="206"/>
      <c r="H6173" s="207"/>
      <c r="J6173" s="76"/>
    </row>
    <row r="6174" spans="1:10">
      <c r="A6174" s="172"/>
      <c r="D6174" s="56"/>
      <c r="E6174" s="204"/>
      <c r="F6174" s="205"/>
      <c r="G6174" s="206"/>
      <c r="H6174" s="207"/>
      <c r="J6174" s="76"/>
    </row>
    <row r="6175" spans="1:10">
      <c r="A6175" s="172"/>
      <c r="D6175" s="56"/>
      <c r="E6175" s="204"/>
      <c r="F6175" s="205"/>
      <c r="G6175" s="206"/>
      <c r="H6175" s="207"/>
      <c r="J6175" s="76"/>
    </row>
    <row r="6176" spans="1:10">
      <c r="A6176" s="172"/>
      <c r="D6176" s="56"/>
      <c r="E6176" s="204"/>
      <c r="F6176" s="205"/>
      <c r="G6176" s="206"/>
      <c r="H6176" s="207"/>
      <c r="J6176" s="76"/>
    </row>
    <row r="6177" spans="1:10">
      <c r="A6177" s="172"/>
      <c r="D6177" s="56"/>
      <c r="E6177" s="204"/>
      <c r="F6177" s="205"/>
      <c r="G6177" s="206"/>
      <c r="H6177" s="207"/>
      <c r="J6177" s="76"/>
    </row>
    <row r="6178" spans="1:10">
      <c r="A6178" s="172"/>
      <c r="D6178" s="56"/>
      <c r="E6178" s="204"/>
      <c r="F6178" s="205"/>
      <c r="G6178" s="206"/>
      <c r="H6178" s="207"/>
      <c r="J6178" s="76"/>
    </row>
    <row r="6179" spans="1:10">
      <c r="A6179" s="172"/>
      <c r="D6179" s="56"/>
      <c r="E6179" s="204"/>
      <c r="F6179" s="205"/>
      <c r="G6179" s="206"/>
      <c r="H6179" s="207"/>
      <c r="J6179" s="76"/>
    </row>
    <row r="6180" spans="1:10">
      <c r="A6180" s="172"/>
      <c r="D6180" s="56"/>
      <c r="E6180" s="204"/>
      <c r="F6180" s="205"/>
      <c r="G6180" s="206"/>
      <c r="H6180" s="207"/>
      <c r="J6180" s="76"/>
    </row>
    <row r="6181" spans="1:10">
      <c r="A6181" s="172"/>
      <c r="D6181" s="56"/>
      <c r="E6181" s="204"/>
      <c r="F6181" s="205"/>
      <c r="G6181" s="206"/>
      <c r="H6181" s="207"/>
      <c r="J6181" s="76"/>
    </row>
    <row r="6182" spans="1:10">
      <c r="A6182" s="172"/>
      <c r="D6182" s="56"/>
      <c r="E6182" s="204"/>
      <c r="F6182" s="205"/>
      <c r="G6182" s="206"/>
      <c r="H6182" s="207"/>
      <c r="J6182" s="76"/>
    </row>
    <row r="6183" spans="1:10">
      <c r="A6183" s="172"/>
      <c r="D6183" s="56"/>
      <c r="E6183" s="204"/>
      <c r="F6183" s="205"/>
      <c r="G6183" s="206"/>
      <c r="H6183" s="207"/>
      <c r="J6183" s="76"/>
    </row>
    <row r="6184" spans="1:10">
      <c r="A6184" s="172"/>
      <c r="D6184" s="56"/>
      <c r="E6184" s="204"/>
      <c r="F6184" s="205"/>
      <c r="G6184" s="206"/>
      <c r="H6184" s="207"/>
      <c r="J6184" s="76"/>
    </row>
    <row r="6185" spans="1:10">
      <c r="A6185" s="172"/>
      <c r="D6185" s="56"/>
      <c r="E6185" s="204"/>
      <c r="F6185" s="205"/>
      <c r="G6185" s="206"/>
      <c r="H6185" s="207"/>
      <c r="J6185" s="76"/>
    </row>
    <row r="6186" spans="1:10">
      <c r="A6186" s="172"/>
      <c r="D6186" s="56"/>
      <c r="E6186" s="204"/>
      <c r="F6186" s="205"/>
      <c r="G6186" s="206"/>
      <c r="H6186" s="207"/>
      <c r="J6186" s="76"/>
    </row>
    <row r="6187" spans="1:10">
      <c r="A6187" s="172"/>
      <c r="D6187" s="56"/>
      <c r="E6187" s="204"/>
      <c r="F6187" s="205"/>
      <c r="G6187" s="206"/>
      <c r="H6187" s="207"/>
      <c r="J6187" s="76"/>
    </row>
    <row r="6188" spans="1:10">
      <c r="A6188" s="172"/>
      <c r="D6188" s="56"/>
      <c r="E6188" s="204"/>
      <c r="F6188" s="205"/>
      <c r="G6188" s="206"/>
      <c r="H6188" s="207"/>
      <c r="J6188" s="76"/>
    </row>
    <row r="6189" spans="1:10">
      <c r="A6189" s="172"/>
      <c r="D6189" s="56"/>
      <c r="E6189" s="204"/>
      <c r="F6189" s="205"/>
      <c r="G6189" s="206"/>
      <c r="H6189" s="207"/>
      <c r="J6189" s="76"/>
    </row>
    <row r="6190" spans="1:10">
      <c r="A6190" s="172"/>
      <c r="D6190" s="56"/>
      <c r="E6190" s="204"/>
      <c r="F6190" s="205"/>
      <c r="G6190" s="206"/>
      <c r="H6190" s="207"/>
      <c r="J6190" s="76"/>
    </row>
    <row r="6191" spans="1:10">
      <c r="A6191" s="172"/>
      <c r="D6191" s="56"/>
      <c r="E6191" s="204"/>
      <c r="F6191" s="205"/>
      <c r="G6191" s="206"/>
      <c r="H6191" s="207"/>
      <c r="J6191" s="76"/>
    </row>
    <row r="6192" spans="1:10">
      <c r="A6192" s="172"/>
      <c r="D6192" s="56"/>
      <c r="E6192" s="204"/>
      <c r="F6192" s="205"/>
      <c r="G6192" s="206"/>
      <c r="H6192" s="207"/>
      <c r="J6192" s="76"/>
    </row>
    <row r="6193" spans="1:10">
      <c r="A6193" s="172"/>
      <c r="D6193" s="56"/>
      <c r="E6193" s="204"/>
      <c r="F6193" s="205"/>
      <c r="G6193" s="206"/>
      <c r="H6193" s="207"/>
      <c r="J6193" s="76"/>
    </row>
    <row r="6194" spans="1:10">
      <c r="A6194" s="172"/>
      <c r="D6194" s="56"/>
      <c r="E6194" s="204"/>
      <c r="F6194" s="205"/>
      <c r="G6194" s="206"/>
      <c r="H6194" s="207"/>
      <c r="J6194" s="76"/>
    </row>
    <row r="6195" spans="1:10">
      <c r="A6195" s="172"/>
      <c r="D6195" s="56"/>
      <c r="E6195" s="204"/>
      <c r="F6195" s="205"/>
      <c r="G6195" s="206"/>
      <c r="H6195" s="207"/>
      <c r="J6195" s="76"/>
    </row>
    <row r="6196" spans="1:10">
      <c r="A6196" s="172"/>
      <c r="D6196" s="56"/>
      <c r="E6196" s="204"/>
      <c r="F6196" s="205"/>
      <c r="G6196" s="206"/>
      <c r="H6196" s="207"/>
      <c r="J6196" s="76"/>
    </row>
    <row r="6197" spans="1:10">
      <c r="A6197" s="172"/>
      <c r="D6197" s="56"/>
      <c r="E6197" s="204"/>
      <c r="F6197" s="205"/>
      <c r="G6197" s="206"/>
      <c r="H6197" s="207"/>
      <c r="J6197" s="76"/>
    </row>
    <row r="6198" spans="1:10">
      <c r="A6198" s="172"/>
      <c r="D6198" s="56"/>
      <c r="E6198" s="204"/>
      <c r="F6198" s="205"/>
      <c r="G6198" s="206"/>
      <c r="H6198" s="207"/>
      <c r="J6198" s="76"/>
    </row>
    <row r="6199" spans="1:10">
      <c r="A6199" s="172"/>
      <c r="D6199" s="56"/>
      <c r="E6199" s="204"/>
      <c r="F6199" s="205"/>
      <c r="G6199" s="206"/>
      <c r="H6199" s="207"/>
      <c r="J6199" s="76"/>
    </row>
    <row r="6200" spans="1:10">
      <c r="A6200" s="172"/>
      <c r="D6200" s="56"/>
      <c r="E6200" s="204"/>
      <c r="F6200" s="205"/>
      <c r="G6200" s="206"/>
      <c r="H6200" s="207"/>
      <c r="J6200" s="76"/>
    </row>
    <row r="6201" spans="1:10">
      <c r="A6201" s="172"/>
      <c r="D6201" s="56"/>
      <c r="E6201" s="204"/>
      <c r="F6201" s="205"/>
      <c r="G6201" s="206"/>
      <c r="H6201" s="207"/>
      <c r="J6201" s="76"/>
    </row>
    <row r="6202" spans="1:10">
      <c r="A6202" s="172"/>
      <c r="D6202" s="56"/>
      <c r="E6202" s="204"/>
      <c r="F6202" s="205"/>
      <c r="G6202" s="206"/>
      <c r="H6202" s="207"/>
      <c r="J6202" s="76"/>
    </row>
    <row r="6203" spans="1:10">
      <c r="A6203" s="172"/>
      <c r="D6203" s="56"/>
      <c r="E6203" s="204"/>
      <c r="F6203" s="205"/>
      <c r="G6203" s="206"/>
      <c r="H6203" s="207"/>
      <c r="J6203" s="76"/>
    </row>
    <row r="6204" spans="1:10">
      <c r="A6204" s="172"/>
      <c r="D6204" s="56"/>
      <c r="E6204" s="204"/>
      <c r="F6204" s="205"/>
      <c r="G6204" s="206"/>
      <c r="H6204" s="207"/>
      <c r="J6204" s="76"/>
    </row>
    <row r="6205" spans="1:10">
      <c r="A6205" s="172"/>
      <c r="D6205" s="56"/>
      <c r="E6205" s="204"/>
      <c r="F6205" s="205"/>
      <c r="G6205" s="206"/>
      <c r="H6205" s="207"/>
      <c r="J6205" s="76"/>
    </row>
    <row r="6206" spans="1:10">
      <c r="A6206" s="172"/>
      <c r="D6206" s="56"/>
      <c r="E6206" s="204"/>
      <c r="F6206" s="205"/>
      <c r="G6206" s="206"/>
      <c r="H6206" s="207"/>
      <c r="J6206" s="76"/>
    </row>
    <row r="6207" spans="1:10">
      <c r="A6207" s="172"/>
      <c r="D6207" s="56"/>
      <c r="E6207" s="204"/>
      <c r="F6207" s="205"/>
      <c r="G6207" s="206"/>
      <c r="H6207" s="207"/>
      <c r="J6207" s="76"/>
    </row>
    <row r="6208" spans="1:10">
      <c r="A6208" s="172"/>
      <c r="D6208" s="56"/>
      <c r="E6208" s="204"/>
      <c r="F6208" s="205"/>
      <c r="G6208" s="206"/>
      <c r="H6208" s="207"/>
      <c r="J6208" s="76"/>
    </row>
    <row r="6209" spans="1:10">
      <c r="A6209" s="172"/>
      <c r="D6209" s="56"/>
      <c r="E6209" s="204"/>
      <c r="F6209" s="205"/>
      <c r="G6209" s="206"/>
      <c r="H6209" s="207"/>
      <c r="J6209" s="76"/>
    </row>
    <row r="6210" spans="1:10">
      <c r="A6210" s="172"/>
      <c r="D6210" s="56"/>
      <c r="E6210" s="204"/>
      <c r="F6210" s="205"/>
      <c r="G6210" s="206"/>
      <c r="H6210" s="207"/>
      <c r="J6210" s="76"/>
    </row>
    <row r="6211" spans="1:10">
      <c r="A6211" s="172"/>
      <c r="D6211" s="56"/>
      <c r="E6211" s="204"/>
      <c r="F6211" s="205"/>
      <c r="G6211" s="206"/>
      <c r="H6211" s="207"/>
      <c r="J6211" s="76"/>
    </row>
    <row r="6212" spans="1:10">
      <c r="A6212" s="172"/>
      <c r="D6212" s="56"/>
      <c r="E6212" s="204"/>
      <c r="F6212" s="205"/>
      <c r="G6212" s="206"/>
      <c r="H6212" s="207"/>
      <c r="J6212" s="76"/>
    </row>
    <row r="6213" spans="1:10">
      <c r="A6213" s="172"/>
      <c r="D6213" s="56"/>
      <c r="E6213" s="204"/>
      <c r="F6213" s="205"/>
      <c r="G6213" s="206"/>
      <c r="H6213" s="207"/>
      <c r="J6213" s="76"/>
    </row>
    <row r="6214" spans="1:10">
      <c r="A6214" s="172"/>
      <c r="D6214" s="56"/>
      <c r="E6214" s="204"/>
      <c r="F6214" s="205"/>
      <c r="G6214" s="206"/>
      <c r="H6214" s="207"/>
      <c r="J6214" s="76"/>
    </row>
    <row r="6215" spans="1:10">
      <c r="A6215" s="172"/>
      <c r="D6215" s="56"/>
      <c r="E6215" s="204"/>
      <c r="F6215" s="205"/>
      <c r="G6215" s="206"/>
      <c r="H6215" s="207"/>
      <c r="J6215" s="76"/>
    </row>
    <row r="6216" spans="1:10">
      <c r="A6216" s="172"/>
      <c r="D6216" s="56"/>
      <c r="E6216" s="204"/>
      <c r="F6216" s="205"/>
      <c r="G6216" s="206"/>
      <c r="H6216" s="207"/>
      <c r="J6216" s="76"/>
    </row>
    <row r="6217" spans="1:10">
      <c r="A6217" s="172"/>
      <c r="D6217" s="56"/>
      <c r="E6217" s="204"/>
      <c r="F6217" s="205"/>
      <c r="G6217" s="206"/>
      <c r="H6217" s="207"/>
      <c r="J6217" s="76"/>
    </row>
    <row r="6218" spans="1:10">
      <c r="A6218" s="172"/>
      <c r="D6218" s="56"/>
      <c r="E6218" s="204"/>
      <c r="F6218" s="205"/>
      <c r="G6218" s="206"/>
      <c r="H6218" s="207"/>
      <c r="J6218" s="76"/>
    </row>
    <row r="6219" spans="1:10">
      <c r="A6219" s="172"/>
      <c r="D6219" s="56"/>
      <c r="E6219" s="204"/>
      <c r="F6219" s="205"/>
      <c r="G6219" s="206"/>
      <c r="H6219" s="207"/>
      <c r="J6219" s="76"/>
    </row>
    <row r="6220" spans="1:10">
      <c r="A6220" s="172"/>
      <c r="D6220" s="56"/>
      <c r="E6220" s="204"/>
      <c r="F6220" s="205"/>
      <c r="G6220" s="206"/>
      <c r="H6220" s="207"/>
      <c r="J6220" s="76"/>
    </row>
    <row r="6221" spans="1:10">
      <c r="A6221" s="172"/>
      <c r="D6221" s="56"/>
      <c r="E6221" s="204"/>
      <c r="F6221" s="205"/>
      <c r="G6221" s="206"/>
      <c r="H6221" s="207"/>
      <c r="J6221" s="76"/>
    </row>
    <row r="6222" spans="1:10">
      <c r="A6222" s="172"/>
      <c r="D6222" s="56"/>
      <c r="E6222" s="204"/>
      <c r="F6222" s="205"/>
      <c r="G6222" s="206"/>
      <c r="H6222" s="207"/>
      <c r="J6222" s="76"/>
    </row>
    <row r="6223" spans="1:10">
      <c r="A6223" s="172"/>
      <c r="D6223" s="56"/>
      <c r="E6223" s="204"/>
      <c r="F6223" s="205"/>
      <c r="G6223" s="206"/>
      <c r="H6223" s="207"/>
      <c r="J6223" s="76"/>
    </row>
    <row r="6224" spans="1:10">
      <c r="A6224" s="172"/>
      <c r="D6224" s="56"/>
      <c r="E6224" s="204"/>
      <c r="F6224" s="205"/>
      <c r="G6224" s="206"/>
      <c r="H6224" s="207"/>
      <c r="J6224" s="76"/>
    </row>
    <row r="6225" spans="1:10">
      <c r="A6225" s="172"/>
      <c r="D6225" s="56"/>
      <c r="E6225" s="204"/>
      <c r="F6225" s="205"/>
      <c r="G6225" s="206"/>
      <c r="H6225" s="207"/>
      <c r="J6225" s="76"/>
    </row>
    <row r="6226" spans="1:10">
      <c r="A6226" s="172"/>
      <c r="D6226" s="56"/>
      <c r="E6226" s="204"/>
      <c r="F6226" s="205"/>
      <c r="G6226" s="206"/>
      <c r="H6226" s="207"/>
      <c r="J6226" s="76"/>
    </row>
    <row r="6227" spans="1:10">
      <c r="A6227" s="172"/>
      <c r="D6227" s="56"/>
      <c r="E6227" s="204"/>
      <c r="F6227" s="205"/>
      <c r="G6227" s="206"/>
      <c r="H6227" s="207"/>
      <c r="J6227" s="76"/>
    </row>
    <row r="6228" spans="1:10">
      <c r="A6228" s="172"/>
      <c r="D6228" s="56"/>
      <c r="E6228" s="204"/>
      <c r="F6228" s="205"/>
      <c r="G6228" s="206"/>
      <c r="H6228" s="207"/>
      <c r="J6228" s="76"/>
    </row>
    <row r="6229" spans="1:10">
      <c r="A6229" s="172"/>
      <c r="D6229" s="56"/>
      <c r="E6229" s="204"/>
      <c r="F6229" s="205"/>
      <c r="G6229" s="206"/>
      <c r="H6229" s="207"/>
      <c r="J6229" s="76"/>
    </row>
    <row r="6230" spans="1:10">
      <c r="A6230" s="172"/>
      <c r="D6230" s="56"/>
      <c r="E6230" s="204"/>
      <c r="F6230" s="205"/>
      <c r="G6230" s="206"/>
      <c r="H6230" s="207"/>
      <c r="J6230" s="76"/>
    </row>
    <row r="6231" spans="1:10">
      <c r="A6231" s="172"/>
      <c r="D6231" s="56"/>
      <c r="E6231" s="204"/>
      <c r="F6231" s="205"/>
      <c r="G6231" s="206"/>
      <c r="H6231" s="207"/>
      <c r="J6231" s="76"/>
    </row>
    <row r="6232" spans="1:10">
      <c r="A6232" s="172"/>
      <c r="D6232" s="56"/>
      <c r="E6232" s="204"/>
      <c r="F6232" s="205"/>
      <c r="G6232" s="206"/>
      <c r="H6232" s="207"/>
      <c r="J6232" s="76"/>
    </row>
    <row r="6233" spans="1:10">
      <c r="A6233" s="172"/>
      <c r="D6233" s="56"/>
      <c r="E6233" s="204"/>
      <c r="F6233" s="205"/>
      <c r="G6233" s="206"/>
      <c r="H6233" s="207"/>
      <c r="J6233" s="76"/>
    </row>
    <row r="6234" spans="1:10">
      <c r="A6234" s="172"/>
      <c r="D6234" s="56"/>
      <c r="E6234" s="204"/>
      <c r="F6234" s="205"/>
      <c r="G6234" s="206"/>
      <c r="H6234" s="207"/>
      <c r="J6234" s="76"/>
    </row>
    <row r="6235" spans="1:10">
      <c r="A6235" s="172"/>
      <c r="D6235" s="56"/>
      <c r="E6235" s="204"/>
      <c r="F6235" s="205"/>
      <c r="G6235" s="206"/>
      <c r="H6235" s="207"/>
      <c r="J6235" s="76"/>
    </row>
    <row r="6236" spans="1:10">
      <c r="A6236" s="172"/>
      <c r="D6236" s="56"/>
      <c r="E6236" s="204"/>
      <c r="F6236" s="205"/>
      <c r="G6236" s="206"/>
      <c r="H6236" s="207"/>
      <c r="J6236" s="76"/>
    </row>
    <row r="6237" spans="1:10">
      <c r="A6237" s="172"/>
      <c r="D6237" s="56"/>
      <c r="E6237" s="204"/>
      <c r="F6237" s="205"/>
      <c r="G6237" s="206"/>
      <c r="H6237" s="207"/>
      <c r="J6237" s="76"/>
    </row>
    <row r="6238" spans="1:10">
      <c r="A6238" s="172"/>
      <c r="D6238" s="56"/>
      <c r="E6238" s="204"/>
      <c r="F6238" s="205"/>
      <c r="G6238" s="206"/>
      <c r="H6238" s="207"/>
      <c r="J6238" s="76"/>
    </row>
    <row r="6239" spans="1:10">
      <c r="A6239" s="172"/>
      <c r="D6239" s="56"/>
      <c r="E6239" s="204"/>
      <c r="F6239" s="205"/>
      <c r="G6239" s="206"/>
      <c r="H6239" s="207"/>
      <c r="J6239" s="76"/>
    </row>
    <row r="6240" spans="1:10">
      <c r="A6240" s="172"/>
      <c r="D6240" s="56"/>
      <c r="E6240" s="204"/>
      <c r="F6240" s="205"/>
      <c r="G6240" s="206"/>
      <c r="H6240" s="207"/>
      <c r="J6240" s="76"/>
    </row>
    <row r="6241" spans="1:10">
      <c r="A6241" s="172"/>
      <c r="D6241" s="56"/>
      <c r="E6241" s="204"/>
      <c r="F6241" s="205"/>
      <c r="G6241" s="206"/>
      <c r="H6241" s="207"/>
      <c r="J6241" s="76"/>
    </row>
    <row r="6242" spans="1:10">
      <c r="A6242" s="172"/>
      <c r="D6242" s="56"/>
      <c r="E6242" s="204"/>
      <c r="F6242" s="205"/>
      <c r="G6242" s="206"/>
      <c r="H6242" s="207"/>
      <c r="J6242" s="76"/>
    </row>
    <row r="6243" spans="1:10">
      <c r="A6243" s="172"/>
      <c r="D6243" s="56"/>
      <c r="E6243" s="204"/>
      <c r="F6243" s="205"/>
      <c r="G6243" s="206"/>
      <c r="H6243" s="207"/>
      <c r="J6243" s="76"/>
    </row>
    <row r="6244" spans="1:10">
      <c r="A6244" s="172"/>
      <c r="D6244" s="56"/>
      <c r="E6244" s="204"/>
      <c r="F6244" s="205"/>
      <c r="G6244" s="206"/>
      <c r="H6244" s="207"/>
      <c r="J6244" s="76"/>
    </row>
    <row r="6245" spans="1:10">
      <c r="A6245" s="172"/>
      <c r="D6245" s="56"/>
      <c r="E6245" s="204"/>
      <c r="F6245" s="205"/>
      <c r="G6245" s="206"/>
      <c r="H6245" s="207"/>
      <c r="J6245" s="76"/>
    </row>
    <row r="6246" spans="1:10">
      <c r="A6246" s="172"/>
      <c r="D6246" s="56"/>
      <c r="E6246" s="204"/>
      <c r="F6246" s="205"/>
      <c r="G6246" s="206"/>
      <c r="H6246" s="207"/>
      <c r="J6246" s="76"/>
    </row>
    <row r="6247" spans="1:10">
      <c r="A6247" s="172"/>
      <c r="D6247" s="56"/>
      <c r="E6247" s="204"/>
      <c r="F6247" s="205"/>
      <c r="G6247" s="206"/>
      <c r="H6247" s="207"/>
      <c r="J6247" s="76"/>
    </row>
    <row r="6248" spans="1:10">
      <c r="A6248" s="172"/>
      <c r="D6248" s="56"/>
      <c r="E6248" s="204"/>
      <c r="F6248" s="205"/>
      <c r="G6248" s="206"/>
      <c r="H6248" s="207"/>
      <c r="J6248" s="76"/>
    </row>
    <row r="6249" spans="1:10">
      <c r="A6249" s="172"/>
      <c r="D6249" s="56"/>
      <c r="E6249" s="204"/>
      <c r="F6249" s="205"/>
      <c r="G6249" s="206"/>
      <c r="H6249" s="207"/>
      <c r="J6249" s="76"/>
    </row>
    <row r="6250" spans="1:10">
      <c r="A6250" s="172"/>
      <c r="D6250" s="56"/>
      <c r="E6250" s="204"/>
      <c r="F6250" s="205"/>
      <c r="G6250" s="206"/>
      <c r="H6250" s="207"/>
      <c r="J6250" s="76"/>
    </row>
    <row r="6251" spans="1:10">
      <c r="A6251" s="172"/>
      <c r="D6251" s="56"/>
      <c r="E6251" s="204"/>
      <c r="F6251" s="205"/>
      <c r="G6251" s="206"/>
      <c r="H6251" s="207"/>
      <c r="J6251" s="76"/>
    </row>
    <row r="6252" spans="1:10">
      <c r="A6252" s="172"/>
      <c r="D6252" s="56"/>
      <c r="E6252" s="204"/>
      <c r="F6252" s="205"/>
      <c r="G6252" s="206"/>
      <c r="H6252" s="207"/>
      <c r="J6252" s="76"/>
    </row>
    <row r="6253" spans="1:10">
      <c r="A6253" s="172"/>
      <c r="D6253" s="56"/>
      <c r="E6253" s="204"/>
      <c r="F6253" s="205"/>
      <c r="G6253" s="206"/>
      <c r="H6253" s="207"/>
      <c r="J6253" s="76"/>
    </row>
    <row r="6254" spans="1:10">
      <c r="A6254" s="172"/>
      <c r="D6254" s="56"/>
      <c r="E6254" s="204"/>
      <c r="F6254" s="205"/>
      <c r="G6254" s="206"/>
      <c r="H6254" s="207"/>
      <c r="J6254" s="76"/>
    </row>
    <row r="6255" spans="1:10">
      <c r="A6255" s="172"/>
      <c r="D6255" s="56"/>
      <c r="E6255" s="204"/>
      <c r="F6255" s="205"/>
      <c r="G6255" s="206"/>
      <c r="H6255" s="207"/>
      <c r="J6255" s="76"/>
    </row>
    <row r="6256" spans="1:10">
      <c r="A6256" s="172"/>
      <c r="D6256" s="56"/>
      <c r="E6256" s="204"/>
      <c r="F6256" s="205"/>
      <c r="G6256" s="206"/>
      <c r="H6256" s="207"/>
      <c r="J6256" s="76"/>
    </row>
    <row r="6257" spans="1:10">
      <c r="A6257" s="172"/>
      <c r="D6257" s="56"/>
      <c r="E6257" s="204"/>
      <c r="F6257" s="205"/>
      <c r="G6257" s="206"/>
      <c r="H6257" s="207"/>
      <c r="J6257" s="76"/>
    </row>
    <row r="6258" spans="1:10">
      <c r="A6258" s="172"/>
      <c r="D6258" s="56"/>
      <c r="E6258" s="204"/>
      <c r="F6258" s="205"/>
      <c r="G6258" s="206"/>
      <c r="H6258" s="207"/>
      <c r="J6258" s="76"/>
    </row>
    <row r="6259" spans="1:10">
      <c r="A6259" s="172"/>
      <c r="D6259" s="56"/>
      <c r="E6259" s="204"/>
      <c r="F6259" s="205"/>
      <c r="G6259" s="206"/>
      <c r="H6259" s="207"/>
      <c r="J6259" s="76"/>
    </row>
    <row r="6260" spans="1:10">
      <c r="A6260" s="172"/>
      <c r="D6260" s="56"/>
      <c r="E6260" s="204"/>
      <c r="F6260" s="205"/>
      <c r="G6260" s="206"/>
      <c r="H6260" s="207"/>
      <c r="J6260" s="76"/>
    </row>
    <row r="6261" spans="1:10">
      <c r="A6261" s="172"/>
      <c r="D6261" s="56"/>
      <c r="E6261" s="204"/>
      <c r="F6261" s="205"/>
      <c r="G6261" s="206"/>
      <c r="H6261" s="207"/>
      <c r="J6261" s="76"/>
    </row>
    <row r="6262" spans="1:10">
      <c r="A6262" s="172"/>
      <c r="D6262" s="56"/>
      <c r="E6262" s="204"/>
      <c r="F6262" s="205"/>
      <c r="G6262" s="206"/>
      <c r="H6262" s="207"/>
      <c r="J6262" s="76"/>
    </row>
    <row r="6263" spans="1:10">
      <c r="A6263" s="172"/>
      <c r="D6263" s="56"/>
      <c r="E6263" s="204"/>
      <c r="F6263" s="205"/>
      <c r="G6263" s="206"/>
      <c r="H6263" s="207"/>
      <c r="J6263" s="76"/>
    </row>
    <row r="6264" spans="1:10">
      <c r="A6264" s="172"/>
      <c r="D6264" s="56"/>
      <c r="E6264" s="204"/>
      <c r="F6264" s="205"/>
      <c r="G6264" s="206"/>
      <c r="H6264" s="207"/>
      <c r="J6264" s="76"/>
    </row>
    <row r="6265" spans="1:10">
      <c r="A6265" s="172"/>
      <c r="D6265" s="56"/>
      <c r="E6265" s="204"/>
      <c r="F6265" s="205"/>
      <c r="G6265" s="206"/>
      <c r="H6265" s="207"/>
      <c r="J6265" s="76"/>
    </row>
    <row r="6266" spans="1:10">
      <c r="A6266" s="172"/>
      <c r="D6266" s="56"/>
      <c r="E6266" s="204"/>
      <c r="F6266" s="205"/>
      <c r="G6266" s="206"/>
      <c r="H6266" s="207"/>
      <c r="J6266" s="76"/>
    </row>
    <row r="6267" spans="1:10">
      <c r="A6267" s="172"/>
      <c r="D6267" s="56"/>
      <c r="E6267" s="204"/>
      <c r="F6267" s="205"/>
      <c r="G6267" s="206"/>
      <c r="H6267" s="207"/>
      <c r="J6267" s="76"/>
    </row>
    <row r="6268" spans="1:10">
      <c r="A6268" s="172"/>
      <c r="D6268" s="56"/>
      <c r="E6268" s="204"/>
      <c r="F6268" s="205"/>
      <c r="G6268" s="206"/>
      <c r="H6268" s="207"/>
      <c r="J6268" s="76"/>
    </row>
    <row r="6269" spans="1:10">
      <c r="A6269" s="172"/>
      <c r="D6269" s="56"/>
      <c r="E6269" s="204"/>
      <c r="F6269" s="205"/>
      <c r="G6269" s="206"/>
      <c r="H6269" s="207"/>
      <c r="J6269" s="76"/>
    </row>
    <row r="6270" spans="1:10">
      <c r="A6270" s="172"/>
      <c r="D6270" s="56"/>
      <c r="E6270" s="204"/>
      <c r="F6270" s="205"/>
      <c r="G6270" s="206"/>
      <c r="H6270" s="207"/>
      <c r="J6270" s="76"/>
    </row>
    <row r="6271" spans="1:10">
      <c r="A6271" s="172"/>
      <c r="D6271" s="56"/>
      <c r="E6271" s="204"/>
      <c r="F6271" s="205"/>
      <c r="G6271" s="206"/>
      <c r="H6271" s="207"/>
      <c r="J6271" s="76"/>
    </row>
    <row r="6272" spans="1:10">
      <c r="A6272" s="172"/>
      <c r="D6272" s="56"/>
      <c r="E6272" s="204"/>
      <c r="F6272" s="205"/>
      <c r="G6272" s="206"/>
      <c r="H6272" s="207"/>
      <c r="J6272" s="76"/>
    </row>
    <row r="6273" spans="1:10">
      <c r="A6273" s="172"/>
      <c r="D6273" s="56"/>
      <c r="E6273" s="204"/>
      <c r="F6273" s="205"/>
      <c r="G6273" s="206"/>
      <c r="H6273" s="207"/>
      <c r="J6273" s="76"/>
    </row>
    <row r="6274" spans="1:10">
      <c r="A6274" s="172"/>
      <c r="D6274" s="56"/>
      <c r="E6274" s="204"/>
      <c r="F6274" s="205"/>
      <c r="G6274" s="206"/>
      <c r="H6274" s="207"/>
      <c r="J6274" s="76"/>
    </row>
    <row r="6275" spans="1:10">
      <c r="A6275" s="172"/>
      <c r="D6275" s="56"/>
      <c r="E6275" s="204"/>
      <c r="F6275" s="205"/>
      <c r="G6275" s="206"/>
      <c r="H6275" s="207"/>
      <c r="J6275" s="76"/>
    </row>
    <row r="6276" spans="1:10">
      <c r="A6276" s="172"/>
      <c r="D6276" s="56"/>
      <c r="E6276" s="204"/>
      <c r="F6276" s="205"/>
      <c r="G6276" s="206"/>
      <c r="H6276" s="207"/>
      <c r="J6276" s="76"/>
    </row>
    <row r="6277" spans="1:10">
      <c r="A6277" s="172"/>
      <c r="D6277" s="56"/>
      <c r="E6277" s="204"/>
      <c r="F6277" s="205"/>
      <c r="G6277" s="206"/>
      <c r="H6277" s="207"/>
      <c r="J6277" s="76"/>
    </row>
    <row r="6278" spans="1:10">
      <c r="A6278" s="172"/>
      <c r="D6278" s="56"/>
      <c r="E6278" s="204"/>
      <c r="F6278" s="205"/>
      <c r="G6278" s="206"/>
      <c r="H6278" s="207"/>
      <c r="J6278" s="76"/>
    </row>
    <row r="6279" spans="1:10">
      <c r="A6279" s="172"/>
      <c r="D6279" s="56"/>
      <c r="E6279" s="204"/>
      <c r="F6279" s="205"/>
      <c r="G6279" s="206"/>
      <c r="H6279" s="207"/>
      <c r="J6279" s="76"/>
    </row>
    <row r="6280" spans="1:10">
      <c r="A6280" s="172"/>
      <c r="D6280" s="56"/>
      <c r="E6280" s="204"/>
      <c r="F6280" s="205"/>
      <c r="G6280" s="206"/>
      <c r="H6280" s="207"/>
      <c r="J6280" s="76"/>
    </row>
    <row r="6281" spans="1:10">
      <c r="A6281" s="172"/>
      <c r="D6281" s="56"/>
      <c r="E6281" s="204"/>
      <c r="F6281" s="205"/>
      <c r="G6281" s="206"/>
      <c r="H6281" s="207"/>
      <c r="J6281" s="76"/>
    </row>
    <row r="6282" spans="1:10">
      <c r="A6282" s="172"/>
      <c r="D6282" s="56"/>
      <c r="E6282" s="204"/>
      <c r="F6282" s="205"/>
      <c r="G6282" s="206"/>
      <c r="H6282" s="207"/>
      <c r="J6282" s="76"/>
    </row>
    <row r="6283" spans="1:10">
      <c r="A6283" s="172"/>
      <c r="D6283" s="56"/>
      <c r="E6283" s="204"/>
      <c r="F6283" s="205"/>
      <c r="G6283" s="206"/>
      <c r="H6283" s="207"/>
      <c r="J6283" s="76"/>
    </row>
    <row r="6284" spans="1:10">
      <c r="A6284" s="172"/>
      <c r="D6284" s="56"/>
      <c r="E6284" s="204"/>
      <c r="F6284" s="205"/>
      <c r="G6284" s="206"/>
      <c r="H6284" s="207"/>
      <c r="J6284" s="76"/>
    </row>
    <row r="6285" spans="1:10">
      <c r="A6285" s="172"/>
      <c r="D6285" s="56"/>
      <c r="E6285" s="204"/>
      <c r="F6285" s="205"/>
      <c r="G6285" s="206"/>
      <c r="H6285" s="207"/>
      <c r="J6285" s="76"/>
    </row>
    <row r="6286" spans="1:10">
      <c r="A6286" s="172"/>
      <c r="D6286" s="56"/>
      <c r="E6286" s="204"/>
      <c r="F6286" s="205"/>
      <c r="G6286" s="206"/>
      <c r="H6286" s="207"/>
      <c r="J6286" s="76"/>
    </row>
    <row r="6287" spans="1:10">
      <c r="A6287" s="172"/>
      <c r="D6287" s="56"/>
      <c r="E6287" s="204"/>
      <c r="F6287" s="205"/>
      <c r="G6287" s="206"/>
      <c r="H6287" s="207"/>
      <c r="J6287" s="76"/>
    </row>
    <row r="6288" spans="1:10">
      <c r="A6288" s="172"/>
      <c r="D6288" s="56"/>
      <c r="E6288" s="204"/>
      <c r="F6288" s="205"/>
      <c r="G6288" s="206"/>
      <c r="H6288" s="207"/>
      <c r="J6288" s="76"/>
    </row>
    <row r="6289" spans="1:10">
      <c r="A6289" s="172"/>
      <c r="D6289" s="56"/>
      <c r="E6289" s="204"/>
      <c r="F6289" s="205"/>
      <c r="G6289" s="206"/>
      <c r="H6289" s="207"/>
      <c r="J6289" s="76"/>
    </row>
    <row r="6290" spans="1:10">
      <c r="A6290" s="172"/>
      <c r="D6290" s="56"/>
      <c r="E6290" s="204"/>
      <c r="F6290" s="205"/>
      <c r="G6290" s="206"/>
      <c r="H6290" s="207"/>
      <c r="J6290" s="76"/>
    </row>
    <row r="6291" spans="1:10">
      <c r="A6291" s="172"/>
      <c r="D6291" s="56"/>
      <c r="E6291" s="204"/>
      <c r="F6291" s="205"/>
      <c r="G6291" s="206"/>
      <c r="H6291" s="207"/>
      <c r="J6291" s="76"/>
    </row>
    <row r="6292" spans="1:10">
      <c r="A6292" s="172"/>
      <c r="D6292" s="56"/>
      <c r="E6292" s="204"/>
      <c r="F6292" s="205"/>
      <c r="G6292" s="206"/>
      <c r="H6292" s="207"/>
      <c r="J6292" s="76"/>
    </row>
    <row r="6293" spans="1:10">
      <c r="A6293" s="172"/>
      <c r="D6293" s="56"/>
      <c r="E6293" s="204"/>
      <c r="F6293" s="205"/>
      <c r="G6293" s="206"/>
      <c r="H6293" s="207"/>
      <c r="J6293" s="76"/>
    </row>
    <row r="6294" spans="1:10">
      <c r="A6294" s="172"/>
      <c r="D6294" s="56"/>
      <c r="E6294" s="204"/>
      <c r="F6294" s="205"/>
      <c r="G6294" s="206"/>
      <c r="H6294" s="207"/>
      <c r="J6294" s="76"/>
    </row>
    <row r="6295" spans="1:10">
      <c r="A6295" s="172"/>
      <c r="D6295" s="56"/>
      <c r="E6295" s="204"/>
      <c r="F6295" s="205"/>
      <c r="G6295" s="206"/>
      <c r="H6295" s="207"/>
      <c r="J6295" s="76"/>
    </row>
    <row r="6296" spans="1:10">
      <c r="A6296" s="172"/>
      <c r="D6296" s="56"/>
      <c r="E6296" s="204"/>
      <c r="F6296" s="205"/>
      <c r="G6296" s="206"/>
      <c r="H6296" s="207"/>
      <c r="J6296" s="76"/>
    </row>
    <row r="6297" spans="1:10">
      <c r="A6297" s="172"/>
      <c r="D6297" s="56"/>
      <c r="E6297" s="204"/>
      <c r="F6297" s="205"/>
      <c r="G6297" s="206"/>
      <c r="H6297" s="207"/>
      <c r="J6297" s="76"/>
    </row>
    <row r="6298" spans="1:10">
      <c r="A6298" s="172"/>
      <c r="D6298" s="56"/>
      <c r="E6298" s="204"/>
      <c r="F6298" s="205"/>
      <c r="G6298" s="206"/>
      <c r="H6298" s="207"/>
      <c r="J6298" s="76"/>
    </row>
    <row r="6299" spans="1:10">
      <c r="A6299" s="172"/>
      <c r="D6299" s="56"/>
      <c r="E6299" s="204"/>
      <c r="F6299" s="205"/>
      <c r="G6299" s="206"/>
      <c r="H6299" s="207"/>
      <c r="J6299" s="76"/>
    </row>
    <row r="6300" spans="1:10">
      <c r="A6300" s="172"/>
      <c r="D6300" s="56"/>
      <c r="E6300" s="204"/>
      <c r="F6300" s="205"/>
      <c r="G6300" s="206"/>
      <c r="H6300" s="207"/>
      <c r="J6300" s="76"/>
    </row>
    <row r="6301" spans="1:10">
      <c r="A6301" s="172"/>
      <c r="D6301" s="56"/>
      <c r="E6301" s="204"/>
      <c r="F6301" s="205"/>
      <c r="G6301" s="206"/>
      <c r="H6301" s="207"/>
      <c r="J6301" s="76"/>
    </row>
    <row r="6302" spans="1:10">
      <c r="A6302" s="172"/>
      <c r="D6302" s="56"/>
      <c r="E6302" s="204"/>
      <c r="F6302" s="205"/>
      <c r="G6302" s="206"/>
      <c r="H6302" s="207"/>
      <c r="J6302" s="76"/>
    </row>
    <row r="6303" spans="1:10">
      <c r="A6303" s="172"/>
      <c r="D6303" s="56"/>
      <c r="E6303" s="204"/>
      <c r="F6303" s="205"/>
      <c r="G6303" s="206"/>
      <c r="H6303" s="207"/>
      <c r="J6303" s="76"/>
    </row>
    <row r="6304" spans="1:10">
      <c r="A6304" s="172"/>
      <c r="D6304" s="56"/>
      <c r="E6304" s="204"/>
      <c r="F6304" s="205"/>
      <c r="G6304" s="206"/>
      <c r="H6304" s="207"/>
      <c r="J6304" s="76"/>
    </row>
    <row r="6305" spans="1:10">
      <c r="A6305" s="172"/>
      <c r="D6305" s="56"/>
      <c r="E6305" s="204"/>
      <c r="F6305" s="205"/>
      <c r="G6305" s="206"/>
      <c r="H6305" s="207"/>
      <c r="J6305" s="76"/>
    </row>
    <row r="6306" spans="1:10">
      <c r="A6306" s="172"/>
      <c r="D6306" s="56"/>
      <c r="E6306" s="204"/>
      <c r="F6306" s="205"/>
      <c r="G6306" s="206"/>
      <c r="H6306" s="207"/>
      <c r="J6306" s="76"/>
    </row>
    <row r="6307" spans="1:10">
      <c r="A6307" s="172"/>
      <c r="D6307" s="56"/>
      <c r="E6307" s="204"/>
      <c r="F6307" s="205"/>
      <c r="G6307" s="206"/>
      <c r="H6307" s="207"/>
      <c r="J6307" s="76"/>
    </row>
    <row r="6308" spans="1:10">
      <c r="A6308" s="172"/>
      <c r="D6308" s="56"/>
      <c r="E6308" s="204"/>
      <c r="F6308" s="205"/>
      <c r="G6308" s="206"/>
      <c r="H6308" s="207"/>
      <c r="J6308" s="76"/>
    </row>
    <row r="6309" spans="1:10">
      <c r="A6309" s="172"/>
      <c r="D6309" s="56"/>
      <c r="E6309" s="204"/>
      <c r="F6309" s="205"/>
      <c r="G6309" s="206"/>
      <c r="H6309" s="207"/>
      <c r="J6309" s="76"/>
    </row>
    <row r="6310" spans="1:10">
      <c r="A6310" s="172"/>
      <c r="D6310" s="56"/>
      <c r="E6310" s="204"/>
      <c r="F6310" s="205"/>
      <c r="G6310" s="206"/>
      <c r="H6310" s="207"/>
      <c r="J6310" s="76"/>
    </row>
    <row r="6311" spans="1:10">
      <c r="A6311" s="172"/>
      <c r="D6311" s="56"/>
      <c r="E6311" s="204"/>
      <c r="F6311" s="205"/>
      <c r="G6311" s="206"/>
      <c r="H6311" s="207"/>
      <c r="J6311" s="76"/>
    </row>
    <row r="6312" spans="1:10">
      <c r="A6312" s="172"/>
      <c r="D6312" s="56"/>
      <c r="E6312" s="204"/>
      <c r="F6312" s="205"/>
      <c r="G6312" s="206"/>
      <c r="H6312" s="207"/>
      <c r="J6312" s="76"/>
    </row>
    <row r="6313" spans="1:10">
      <c r="A6313" s="172"/>
      <c r="D6313" s="56"/>
      <c r="E6313" s="204"/>
      <c r="F6313" s="205"/>
      <c r="G6313" s="206"/>
      <c r="H6313" s="207"/>
      <c r="J6313" s="76"/>
    </row>
    <row r="6314" spans="1:10">
      <c r="A6314" s="172"/>
      <c r="D6314" s="56"/>
      <c r="E6314" s="204"/>
      <c r="F6314" s="205"/>
      <c r="G6314" s="206"/>
      <c r="H6314" s="207"/>
      <c r="J6314" s="76"/>
    </row>
    <row r="6315" spans="1:10">
      <c r="A6315" s="172"/>
      <c r="D6315" s="56"/>
      <c r="E6315" s="204"/>
      <c r="F6315" s="205"/>
      <c r="G6315" s="206"/>
      <c r="H6315" s="207"/>
      <c r="J6315" s="76"/>
    </row>
    <row r="6316" spans="1:10">
      <c r="A6316" s="172"/>
      <c r="D6316" s="56"/>
      <c r="E6316" s="204"/>
      <c r="F6316" s="205"/>
      <c r="G6316" s="206"/>
      <c r="H6316" s="207"/>
      <c r="J6316" s="76"/>
    </row>
    <row r="6317" spans="1:10">
      <c r="A6317" s="172"/>
      <c r="D6317" s="56"/>
      <c r="E6317" s="204"/>
      <c r="F6317" s="205"/>
      <c r="G6317" s="206"/>
      <c r="H6317" s="207"/>
      <c r="J6317" s="76"/>
    </row>
    <row r="6318" spans="1:10">
      <c r="A6318" s="172"/>
      <c r="D6318" s="56"/>
      <c r="E6318" s="204"/>
      <c r="F6318" s="205"/>
      <c r="G6318" s="206"/>
      <c r="H6318" s="207"/>
      <c r="J6318" s="76"/>
    </row>
    <row r="6319" spans="1:10">
      <c r="A6319" s="172"/>
      <c r="D6319" s="56"/>
      <c r="E6319" s="204"/>
      <c r="F6319" s="205"/>
      <c r="G6319" s="206"/>
      <c r="H6319" s="207"/>
      <c r="J6319" s="76"/>
    </row>
    <row r="6320" spans="1:10">
      <c r="A6320" s="172"/>
      <c r="D6320" s="56"/>
      <c r="E6320" s="204"/>
      <c r="F6320" s="205"/>
      <c r="G6320" s="206"/>
      <c r="H6320" s="207"/>
      <c r="J6320" s="76"/>
    </row>
    <row r="6321" spans="1:10">
      <c r="A6321" s="172"/>
      <c r="D6321" s="56"/>
      <c r="E6321" s="204"/>
      <c r="F6321" s="205"/>
      <c r="G6321" s="206"/>
      <c r="H6321" s="207"/>
      <c r="J6321" s="76"/>
    </row>
    <row r="6322" spans="1:10">
      <c r="A6322" s="172"/>
      <c r="D6322" s="56"/>
      <c r="E6322" s="204"/>
      <c r="F6322" s="205"/>
      <c r="G6322" s="206"/>
      <c r="H6322" s="207"/>
      <c r="J6322" s="76"/>
    </row>
    <row r="6323" spans="1:10">
      <c r="A6323" s="172"/>
      <c r="D6323" s="56"/>
      <c r="E6323" s="204"/>
      <c r="F6323" s="205"/>
      <c r="G6323" s="206"/>
      <c r="H6323" s="207"/>
      <c r="J6323" s="76"/>
    </row>
    <row r="6324" spans="1:10">
      <c r="A6324" s="172"/>
      <c r="D6324" s="56"/>
      <c r="E6324" s="204"/>
      <c r="F6324" s="205"/>
      <c r="G6324" s="206"/>
      <c r="H6324" s="207"/>
      <c r="J6324" s="76"/>
    </row>
    <row r="6325" spans="1:10">
      <c r="A6325" s="172"/>
      <c r="D6325" s="56"/>
      <c r="E6325" s="204"/>
      <c r="F6325" s="205"/>
      <c r="G6325" s="206"/>
      <c r="H6325" s="207"/>
      <c r="J6325" s="76"/>
    </row>
    <row r="6326" spans="1:10">
      <c r="A6326" s="172"/>
      <c r="D6326" s="56"/>
      <c r="E6326" s="204"/>
      <c r="F6326" s="205"/>
      <c r="G6326" s="206"/>
      <c r="H6326" s="207"/>
      <c r="J6326" s="76"/>
    </row>
    <row r="6327" spans="1:10">
      <c r="A6327" s="172"/>
      <c r="D6327" s="56"/>
      <c r="E6327" s="204"/>
      <c r="F6327" s="205"/>
      <c r="G6327" s="206"/>
      <c r="H6327" s="207"/>
      <c r="J6327" s="7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540"/>
  <sheetViews>
    <sheetView showGridLines="0" workbookViewId="0"/>
  </sheetViews>
  <sheetFormatPr baseColWidth="10" defaultColWidth="12.6640625" defaultRowHeight="15" customHeight="1"/>
  <cols>
    <col min="1" max="1" width="18" customWidth="1"/>
    <col min="2" max="2" width="34.83203125" customWidth="1"/>
    <col min="3" max="3" width="27.33203125" customWidth="1"/>
  </cols>
  <sheetData>
    <row r="1" spans="1:4"/>
    <row r="2" spans="1:4"/>
    <row r="3" spans="1:4"/>
    <row r="4" spans="1:4"/>
    <row r="5" spans="1:4"/>
    <row r="6" spans="1:4"/>
    <row r="7" spans="1:4"/>
    <row r="8" spans="1:4"/>
    <row r="9" spans="1:4"/>
    <row r="10" spans="1:4"/>
    <row r="11" spans="1:4"/>
    <row r="12" spans="1:4"/>
    <row r="13" spans="1:4"/>
    <row r="14" spans="1:4"/>
    <row r="15" spans="1:4">
      <c r="A15" s="208"/>
      <c r="B15" s="208"/>
      <c r="C15" s="208"/>
      <c r="D15" s="208"/>
    </row>
    <row r="16" spans="1:4">
      <c r="A16" s="208"/>
      <c r="B16" s="208"/>
      <c r="C16" s="208"/>
      <c r="D16" s="208"/>
    </row>
    <row r="17" spans="1:4">
      <c r="A17" s="208"/>
      <c r="B17" s="208"/>
      <c r="C17" s="208"/>
      <c r="D17" s="208"/>
    </row>
    <row r="18" spans="1:4">
      <c r="A18" s="208"/>
      <c r="B18" s="208"/>
      <c r="C18" s="208"/>
      <c r="D18" s="208"/>
    </row>
    <row r="19" spans="1:4">
      <c r="A19" s="208"/>
      <c r="B19" s="208"/>
      <c r="C19" s="208"/>
      <c r="D19" s="208"/>
    </row>
    <row r="20" spans="1:4">
      <c r="A20" s="208"/>
      <c r="B20" s="208"/>
      <c r="C20" s="208"/>
      <c r="D20" s="208"/>
    </row>
    <row r="21" spans="1:4">
      <c r="A21" s="208"/>
      <c r="B21" s="208"/>
      <c r="C21" s="208"/>
      <c r="D21" s="208"/>
    </row>
    <row r="22" spans="1:4">
      <c r="A22" s="208"/>
      <c r="B22" s="208"/>
      <c r="C22" s="208"/>
      <c r="D22" s="208"/>
    </row>
    <row r="23" spans="1:4">
      <c r="A23" s="208"/>
      <c r="B23" s="208"/>
      <c r="C23" s="208"/>
      <c r="D23" s="208"/>
    </row>
    <row r="24" spans="1:4">
      <c r="A24" s="208"/>
      <c r="B24" s="208"/>
      <c r="C24" s="208"/>
      <c r="D24" s="208"/>
    </row>
    <row r="25" spans="1:4">
      <c r="A25" s="208"/>
      <c r="B25" s="208"/>
      <c r="C25" s="208"/>
      <c r="D25" s="208"/>
    </row>
    <row r="26" spans="1:4">
      <c r="A26" s="208"/>
      <c r="B26" s="208"/>
      <c r="C26" s="208"/>
      <c r="D26" s="208"/>
    </row>
    <row r="27" spans="1:4">
      <c r="A27" s="208"/>
      <c r="B27" s="208"/>
      <c r="C27" s="208"/>
      <c r="D27" s="208"/>
    </row>
    <row r="28" spans="1:4">
      <c r="A28" s="208"/>
      <c r="B28" s="208"/>
      <c r="C28" s="208"/>
      <c r="D28" s="208"/>
    </row>
    <row r="29" spans="1:4">
      <c r="A29" s="208"/>
      <c r="B29" s="208"/>
      <c r="C29" s="208"/>
      <c r="D29" s="208"/>
    </row>
    <row r="30" spans="1:4">
      <c r="A30" s="208"/>
      <c r="B30" s="208"/>
      <c r="C30" s="208"/>
      <c r="D30" s="208"/>
    </row>
    <row r="31" spans="1:4">
      <c r="A31" s="208"/>
      <c r="B31" s="208"/>
      <c r="C31" s="208"/>
      <c r="D31" s="208"/>
    </row>
    <row r="32" spans="1:4">
      <c r="A32" s="208"/>
      <c r="B32" s="208"/>
      <c r="C32" s="208"/>
      <c r="D32" s="208"/>
    </row>
    <row r="33" spans="1:4">
      <c r="A33" s="208"/>
      <c r="B33" s="208"/>
      <c r="C33" s="208"/>
      <c r="D33" s="208"/>
    </row>
    <row r="34" spans="1:4">
      <c r="A34" s="208"/>
      <c r="B34" s="208"/>
      <c r="C34" s="208"/>
      <c r="D34" s="208"/>
    </row>
    <row r="35" spans="1:4">
      <c r="A35" s="208"/>
      <c r="B35" s="208"/>
      <c r="C35" s="208"/>
      <c r="D35" s="208"/>
    </row>
    <row r="36" spans="1:4">
      <c r="A36" s="208"/>
      <c r="B36" s="208"/>
      <c r="C36" s="208"/>
      <c r="D36" s="208"/>
    </row>
    <row r="37" spans="1:4">
      <c r="A37" s="208"/>
      <c r="B37" s="208"/>
      <c r="C37" s="208"/>
      <c r="D37" s="208"/>
    </row>
    <row r="38" spans="1:4">
      <c r="A38" s="208"/>
      <c r="B38" s="208"/>
      <c r="C38" s="208"/>
      <c r="D38" s="208"/>
    </row>
    <row r="39" spans="1:4">
      <c r="A39" s="208"/>
      <c r="B39" s="208"/>
      <c r="C39" s="208"/>
      <c r="D39" s="208"/>
    </row>
    <row r="40" spans="1:4">
      <c r="A40" s="208"/>
      <c r="B40" s="208"/>
      <c r="C40" s="208"/>
      <c r="D40" s="208"/>
    </row>
    <row r="41" spans="1:4">
      <c r="A41" s="208"/>
      <c r="B41" s="208"/>
      <c r="C41" s="208"/>
      <c r="D41" s="208"/>
    </row>
    <row r="42" spans="1:4">
      <c r="A42" s="208"/>
      <c r="B42" s="208"/>
      <c r="C42" s="208"/>
      <c r="D42" s="208"/>
    </row>
    <row r="43" spans="1:4">
      <c r="A43" s="208"/>
      <c r="B43" s="208"/>
      <c r="C43" s="208"/>
      <c r="D43" s="208"/>
    </row>
    <row r="44" spans="1:4">
      <c r="A44" s="208"/>
      <c r="B44" s="208"/>
      <c r="C44" s="208"/>
      <c r="D44" s="208"/>
    </row>
    <row r="45" spans="1:4">
      <c r="A45" s="208"/>
      <c r="B45" s="208"/>
      <c r="C45" s="208"/>
      <c r="D45" s="208"/>
    </row>
    <row r="46" spans="1:4">
      <c r="A46" s="208"/>
      <c r="B46" s="208"/>
      <c r="C46" s="208"/>
      <c r="D46" s="208"/>
    </row>
    <row r="47" spans="1:4">
      <c r="A47" s="208"/>
      <c r="B47" s="208"/>
      <c r="C47" s="208"/>
      <c r="D47" s="208"/>
    </row>
    <row r="48" spans="1:4">
      <c r="A48" s="208"/>
      <c r="B48" s="208"/>
      <c r="C48" s="208"/>
      <c r="D48" s="208"/>
    </row>
    <row r="49" spans="1:4">
      <c r="A49" s="208"/>
      <c r="B49" s="208"/>
      <c r="C49" s="208"/>
      <c r="D49" s="208"/>
    </row>
    <row r="50" spans="1:4">
      <c r="A50" s="208"/>
      <c r="B50" s="208"/>
      <c r="C50" s="208"/>
      <c r="D50" s="208"/>
    </row>
    <row r="51" spans="1:4">
      <c r="A51" s="208"/>
      <c r="B51" s="208"/>
      <c r="C51" s="208"/>
      <c r="D51" s="208"/>
    </row>
    <row r="52" spans="1:4">
      <c r="A52" s="208"/>
      <c r="B52" s="208"/>
      <c r="C52" s="208"/>
      <c r="D52" s="208"/>
    </row>
    <row r="53" spans="1:4">
      <c r="A53" s="208"/>
      <c r="B53" s="208"/>
      <c r="C53" s="208"/>
      <c r="D53" s="208"/>
    </row>
    <row r="54" spans="1:4">
      <c r="A54" s="208"/>
      <c r="B54" s="208"/>
      <c r="C54" s="208"/>
      <c r="D54" s="208"/>
    </row>
    <row r="55" spans="1:4">
      <c r="A55" s="208"/>
      <c r="B55" s="208"/>
      <c r="C55" s="208"/>
      <c r="D55" s="208"/>
    </row>
    <row r="56" spans="1:4">
      <c r="A56" s="208"/>
      <c r="B56" s="208"/>
      <c r="C56" s="208"/>
      <c r="D56" s="208"/>
    </row>
    <row r="57" spans="1:4">
      <c r="A57" s="208"/>
      <c r="B57" s="208"/>
      <c r="C57" s="208"/>
      <c r="D57" s="208"/>
    </row>
    <row r="58" spans="1:4">
      <c r="A58" s="208"/>
      <c r="B58" s="208"/>
      <c r="C58" s="208"/>
      <c r="D58" s="208"/>
    </row>
    <row r="59" spans="1:4">
      <c r="A59" s="208"/>
      <c r="B59" s="208"/>
      <c r="C59" s="208"/>
      <c r="D59" s="208"/>
    </row>
    <row r="60" spans="1:4">
      <c r="A60" s="208"/>
      <c r="B60" s="208"/>
      <c r="C60" s="208"/>
      <c r="D60" s="208"/>
    </row>
    <row r="61" spans="1:4">
      <c r="A61" s="208"/>
      <c r="B61" s="208"/>
      <c r="C61" s="208"/>
      <c r="D61" s="208"/>
    </row>
    <row r="62" spans="1:4">
      <c r="A62" s="208"/>
      <c r="B62" s="208"/>
      <c r="C62" s="208"/>
      <c r="D62" s="208"/>
    </row>
    <row r="63" spans="1:4">
      <c r="A63" s="208"/>
      <c r="B63" s="208"/>
      <c r="C63" s="208"/>
      <c r="D63" s="208"/>
    </row>
    <row r="64" spans="1:4">
      <c r="A64" s="208"/>
      <c r="B64" s="208"/>
      <c r="C64" s="208"/>
      <c r="D64" s="208"/>
    </row>
    <row r="65" spans="1:4">
      <c r="A65" s="208"/>
      <c r="B65" s="208"/>
      <c r="C65" s="208"/>
      <c r="D65" s="208"/>
    </row>
    <row r="66" spans="1:4">
      <c r="A66" s="208"/>
      <c r="B66" s="208"/>
      <c r="C66" s="208"/>
      <c r="D66" s="208"/>
    </row>
    <row r="67" spans="1:4">
      <c r="A67" s="208"/>
      <c r="B67" s="208"/>
      <c r="C67" s="208"/>
      <c r="D67" s="208"/>
    </row>
    <row r="68" spans="1:4">
      <c r="A68" s="208"/>
      <c r="B68" s="208"/>
      <c r="C68" s="208"/>
      <c r="D68" s="208"/>
    </row>
    <row r="69" spans="1:4">
      <c r="A69" s="208"/>
      <c r="B69" s="208"/>
      <c r="C69" s="208"/>
      <c r="D69" s="208"/>
    </row>
    <row r="70" spans="1:4">
      <c r="A70" s="208"/>
      <c r="B70" s="208"/>
      <c r="C70" s="208"/>
      <c r="D70" s="208"/>
    </row>
    <row r="71" spans="1:4">
      <c r="A71" s="208"/>
      <c r="B71" s="208"/>
      <c r="C71" s="208"/>
      <c r="D71" s="208"/>
    </row>
    <row r="72" spans="1:4">
      <c r="A72" s="208"/>
      <c r="B72" s="208"/>
      <c r="C72" s="208"/>
      <c r="D72" s="208"/>
    </row>
    <row r="73" spans="1:4">
      <c r="A73" s="208"/>
      <c r="B73" s="208"/>
      <c r="C73" s="208"/>
      <c r="D73" s="208"/>
    </row>
    <row r="74" spans="1:4">
      <c r="A74" s="208"/>
      <c r="B74" s="208"/>
      <c r="C74" s="208"/>
      <c r="D74" s="208"/>
    </row>
    <row r="75" spans="1:4">
      <c r="A75" s="208"/>
      <c r="B75" s="208"/>
      <c r="C75" s="208"/>
      <c r="D75" s="208"/>
    </row>
    <row r="76" spans="1:4">
      <c r="A76" s="208"/>
      <c r="B76" s="208"/>
      <c r="C76" s="208"/>
      <c r="D76" s="208"/>
    </row>
    <row r="77" spans="1:4">
      <c r="A77" s="208"/>
      <c r="B77" s="208"/>
      <c r="C77" s="208"/>
      <c r="D77" s="208"/>
    </row>
    <row r="78" spans="1:4">
      <c r="A78" s="208"/>
      <c r="B78" s="208"/>
      <c r="C78" s="208"/>
      <c r="D78" s="208"/>
    </row>
    <row r="79" spans="1:4">
      <c r="A79" s="208"/>
      <c r="B79" s="208"/>
      <c r="C79" s="208"/>
      <c r="D79" s="208"/>
    </row>
    <row r="80" spans="1:4">
      <c r="A80" s="208"/>
      <c r="B80" s="208"/>
      <c r="C80" s="208"/>
      <c r="D80" s="208"/>
    </row>
    <row r="81" spans="1:4">
      <c r="A81" s="208"/>
      <c r="B81" s="208"/>
      <c r="C81" s="208"/>
      <c r="D81" s="208"/>
    </row>
    <row r="82" spans="1:4">
      <c r="A82" s="208"/>
      <c r="B82" s="208"/>
      <c r="C82" s="208"/>
      <c r="D82" s="208"/>
    </row>
    <row r="83" spans="1:4">
      <c r="A83" s="208"/>
      <c r="B83" s="208"/>
      <c r="C83" s="208"/>
      <c r="D83" s="208"/>
    </row>
    <row r="84" spans="1:4">
      <c r="A84" s="208"/>
      <c r="B84" s="208"/>
      <c r="C84" s="208"/>
      <c r="D84" s="208"/>
    </row>
    <row r="85" spans="1:4">
      <c r="A85" s="208"/>
      <c r="B85" s="208"/>
      <c r="C85" s="208"/>
      <c r="D85" s="208"/>
    </row>
    <row r="86" spans="1:4">
      <c r="A86" s="208"/>
      <c r="B86" s="208"/>
      <c r="C86" s="208"/>
      <c r="D86" s="208"/>
    </row>
    <row r="87" spans="1:4">
      <c r="A87" s="208"/>
      <c r="B87" s="208"/>
      <c r="C87" s="208"/>
      <c r="D87" s="208"/>
    </row>
    <row r="88" spans="1:4">
      <c r="A88" s="208"/>
      <c r="B88" s="208"/>
      <c r="C88" s="208"/>
      <c r="D88" s="208"/>
    </row>
    <row r="89" spans="1:4">
      <c r="A89" s="208"/>
      <c r="B89" s="208"/>
      <c r="C89" s="208"/>
      <c r="D89" s="208"/>
    </row>
    <row r="90" spans="1:4">
      <c r="A90" s="208"/>
      <c r="B90" s="208"/>
      <c r="C90" s="208"/>
      <c r="D90" s="208"/>
    </row>
    <row r="91" spans="1:4">
      <c r="A91" s="208"/>
      <c r="B91" s="208"/>
      <c r="C91" s="208"/>
      <c r="D91" s="208"/>
    </row>
    <row r="92" spans="1:4">
      <c r="A92" s="208"/>
      <c r="B92" s="208"/>
      <c r="C92" s="208"/>
      <c r="D92" s="208"/>
    </row>
    <row r="93" spans="1:4">
      <c r="A93" s="208"/>
      <c r="B93" s="208"/>
      <c r="C93" s="208"/>
      <c r="D93" s="208"/>
    </row>
    <row r="94" spans="1:4">
      <c r="A94" s="208"/>
      <c r="B94" s="208"/>
      <c r="C94" s="208"/>
      <c r="D94" s="208"/>
    </row>
    <row r="95" spans="1:4">
      <c r="A95" s="208"/>
      <c r="B95" s="208"/>
      <c r="C95" s="208"/>
      <c r="D95" s="208"/>
    </row>
    <row r="96" spans="1:4">
      <c r="A96" s="208"/>
      <c r="B96" s="208"/>
      <c r="C96" s="208"/>
      <c r="D96" s="208"/>
    </row>
    <row r="97" spans="1:4">
      <c r="A97" s="208"/>
      <c r="B97" s="208"/>
      <c r="C97" s="208"/>
      <c r="D97" s="208"/>
    </row>
    <row r="98" spans="1:4">
      <c r="A98" s="208"/>
      <c r="B98" s="208"/>
      <c r="C98" s="208"/>
      <c r="D98" s="208"/>
    </row>
    <row r="99" spans="1:4">
      <c r="A99" s="208"/>
      <c r="B99" s="208"/>
      <c r="C99" s="208"/>
      <c r="D99" s="208"/>
    </row>
    <row r="100" spans="1:4">
      <c r="A100" s="208"/>
      <c r="B100" s="208"/>
      <c r="C100" s="208"/>
      <c r="D100" s="208"/>
    </row>
    <row r="101" spans="1:4">
      <c r="A101" s="208"/>
      <c r="B101" s="208"/>
      <c r="C101" s="208"/>
      <c r="D101" s="208"/>
    </row>
    <row r="102" spans="1:4">
      <c r="A102" s="208"/>
      <c r="B102" s="208"/>
      <c r="C102" s="208"/>
      <c r="D102" s="208"/>
    </row>
    <row r="103" spans="1:4">
      <c r="A103" s="208"/>
      <c r="B103" s="208"/>
      <c r="C103" s="208"/>
      <c r="D103" s="208"/>
    </row>
    <row r="104" spans="1:4">
      <c r="A104" s="208"/>
      <c r="B104" s="208"/>
      <c r="C104" s="208"/>
      <c r="D104" s="208"/>
    </row>
    <row r="105" spans="1:4">
      <c r="A105" s="208"/>
      <c r="B105" s="208"/>
      <c r="C105" s="208"/>
      <c r="D105" s="208"/>
    </row>
    <row r="106" spans="1:4">
      <c r="A106" s="208"/>
      <c r="B106" s="208"/>
      <c r="C106" s="208"/>
      <c r="D106" s="208"/>
    </row>
    <row r="107" spans="1:4">
      <c r="A107" s="208"/>
      <c r="B107" s="208"/>
      <c r="C107" s="208"/>
      <c r="D107" s="208"/>
    </row>
    <row r="108" spans="1:4">
      <c r="A108" s="208"/>
      <c r="B108" s="208"/>
      <c r="C108" s="208"/>
      <c r="D108" s="208"/>
    </row>
    <row r="109" spans="1:4">
      <c r="A109" s="208"/>
      <c r="B109" s="208"/>
      <c r="C109" s="208"/>
      <c r="D109" s="208"/>
    </row>
    <row r="110" spans="1:4">
      <c r="A110" s="208"/>
      <c r="B110" s="208"/>
      <c r="C110" s="208"/>
      <c r="D110" s="208"/>
    </row>
    <row r="111" spans="1:4">
      <c r="A111" s="208"/>
      <c r="B111" s="208"/>
      <c r="C111" s="208"/>
      <c r="D111" s="208"/>
    </row>
    <row r="112" spans="1:4">
      <c r="A112" s="208"/>
      <c r="B112" s="208"/>
      <c r="C112" s="208"/>
      <c r="D112" s="208"/>
    </row>
    <row r="113" spans="1:4">
      <c r="A113" s="208"/>
      <c r="B113" s="208"/>
      <c r="C113" s="208"/>
      <c r="D113" s="208"/>
    </row>
    <row r="114" spans="1:4">
      <c r="A114" s="208"/>
      <c r="B114" s="208"/>
      <c r="C114" s="208"/>
      <c r="D114" s="208"/>
    </row>
    <row r="115" spans="1:4">
      <c r="A115" s="208"/>
      <c r="B115" s="208"/>
      <c r="C115" s="208"/>
      <c r="D115" s="208"/>
    </row>
    <row r="116" spans="1:4">
      <c r="A116" s="208"/>
      <c r="B116" s="208"/>
      <c r="C116" s="208"/>
      <c r="D116" s="208"/>
    </row>
    <row r="117" spans="1:4">
      <c r="A117" s="208"/>
      <c r="B117" s="208"/>
      <c r="C117" s="208"/>
      <c r="D117" s="208"/>
    </row>
    <row r="118" spans="1:4">
      <c r="A118" s="208"/>
      <c r="B118" s="208"/>
      <c r="C118" s="208"/>
      <c r="D118" s="208"/>
    </row>
    <row r="119" spans="1:4">
      <c r="A119" s="208"/>
      <c r="B119" s="208"/>
      <c r="C119" s="208"/>
      <c r="D119" s="208"/>
    </row>
    <row r="120" spans="1:4">
      <c r="A120" s="208"/>
      <c r="B120" s="208"/>
      <c r="C120" s="208"/>
      <c r="D120" s="208"/>
    </row>
    <row r="121" spans="1:4">
      <c r="A121" s="208"/>
      <c r="B121" s="208"/>
      <c r="C121" s="208"/>
      <c r="D121" s="208"/>
    </row>
    <row r="122" spans="1:4">
      <c r="A122" s="208"/>
      <c r="B122" s="208"/>
      <c r="C122" s="208"/>
      <c r="D122" s="208"/>
    </row>
    <row r="123" spans="1:4">
      <c r="A123" s="208"/>
      <c r="B123" s="208"/>
      <c r="C123" s="208"/>
      <c r="D123" s="208"/>
    </row>
    <row r="124" spans="1:4">
      <c r="A124" s="208"/>
      <c r="B124" s="208"/>
      <c r="C124" s="208"/>
      <c r="D124" s="208"/>
    </row>
    <row r="125" spans="1:4">
      <c r="A125" s="208"/>
      <c r="B125" s="208"/>
      <c r="C125" s="208"/>
      <c r="D125" s="208"/>
    </row>
    <row r="126" spans="1:4">
      <c r="A126" s="208"/>
      <c r="B126" s="208"/>
      <c r="C126" s="208"/>
      <c r="D126" s="208"/>
    </row>
    <row r="127" spans="1:4">
      <c r="A127" s="208"/>
      <c r="B127" s="208"/>
      <c r="C127" s="208"/>
      <c r="D127" s="208"/>
    </row>
    <row r="128" spans="1:4">
      <c r="A128" s="208"/>
      <c r="B128" s="208"/>
      <c r="C128" s="208"/>
      <c r="D128" s="208"/>
    </row>
    <row r="129" spans="1:4">
      <c r="A129" s="208"/>
      <c r="B129" s="208"/>
      <c r="C129" s="208"/>
      <c r="D129" s="208"/>
    </row>
    <row r="130" spans="1:4">
      <c r="A130" s="208"/>
      <c r="B130" s="208"/>
      <c r="C130" s="208"/>
      <c r="D130" s="208"/>
    </row>
    <row r="131" spans="1:4">
      <c r="A131" s="208"/>
      <c r="B131" s="208"/>
      <c r="C131" s="208"/>
      <c r="D131" s="208"/>
    </row>
    <row r="132" spans="1:4">
      <c r="A132" s="208"/>
      <c r="B132" s="208"/>
      <c r="C132" s="208"/>
      <c r="D132" s="208"/>
    </row>
    <row r="133" spans="1:4">
      <c r="A133" s="208"/>
      <c r="B133" s="208"/>
      <c r="C133" s="208"/>
      <c r="D133" s="208"/>
    </row>
    <row r="134" spans="1:4">
      <c r="A134" s="208"/>
      <c r="B134" s="208"/>
      <c r="C134" s="208"/>
      <c r="D134" s="208"/>
    </row>
    <row r="135" spans="1:4">
      <c r="A135" s="208"/>
      <c r="B135" s="208"/>
      <c r="C135" s="208"/>
      <c r="D135" s="208"/>
    </row>
    <row r="136" spans="1:4">
      <c r="A136" s="208"/>
      <c r="B136" s="208"/>
      <c r="C136" s="208"/>
      <c r="D136" s="208"/>
    </row>
    <row r="137" spans="1:4">
      <c r="A137" s="208"/>
      <c r="B137" s="208"/>
      <c r="C137" s="208"/>
      <c r="D137" s="208"/>
    </row>
    <row r="138" spans="1:4">
      <c r="A138" s="208"/>
      <c r="B138" s="208"/>
      <c r="C138" s="208"/>
      <c r="D138" s="208"/>
    </row>
    <row r="139" spans="1:4">
      <c r="A139" s="208"/>
      <c r="B139" s="208"/>
      <c r="C139" s="208"/>
      <c r="D139" s="208"/>
    </row>
    <row r="140" spans="1:4">
      <c r="A140" s="208"/>
      <c r="B140" s="208"/>
      <c r="C140" s="208"/>
      <c r="D140" s="208"/>
    </row>
    <row r="141" spans="1:4">
      <c r="A141" s="208"/>
      <c r="B141" s="208"/>
      <c r="C141" s="208"/>
      <c r="D141" s="208"/>
    </row>
    <row r="142" spans="1:4">
      <c r="A142" s="208"/>
      <c r="B142" s="208"/>
      <c r="C142" s="208"/>
      <c r="D142" s="208"/>
    </row>
    <row r="143" spans="1:4">
      <c r="A143" s="208"/>
      <c r="B143" s="208"/>
      <c r="C143" s="208"/>
      <c r="D143" s="208"/>
    </row>
    <row r="144" spans="1:4">
      <c r="A144" s="208"/>
      <c r="B144" s="208"/>
      <c r="C144" s="208"/>
      <c r="D144" s="208"/>
    </row>
    <row r="145" spans="1:4">
      <c r="A145" s="208"/>
      <c r="B145" s="208"/>
      <c r="C145" s="208"/>
      <c r="D145" s="208"/>
    </row>
    <row r="146" spans="1:4">
      <c r="A146" s="208"/>
      <c r="B146" s="208"/>
      <c r="C146" s="208"/>
      <c r="D146" s="208"/>
    </row>
    <row r="147" spans="1:4">
      <c r="A147" s="208"/>
      <c r="B147" s="208"/>
      <c r="C147" s="208"/>
      <c r="D147" s="208"/>
    </row>
    <row r="148" spans="1:4">
      <c r="A148" s="208"/>
      <c r="B148" s="208"/>
      <c r="C148" s="208"/>
      <c r="D148" s="208"/>
    </row>
    <row r="149" spans="1:4">
      <c r="A149" s="208"/>
      <c r="B149" s="208"/>
      <c r="C149" s="208"/>
      <c r="D149" s="208"/>
    </row>
    <row r="150" spans="1:4">
      <c r="A150" s="208"/>
      <c r="B150" s="208"/>
      <c r="C150" s="208"/>
      <c r="D150" s="208"/>
    </row>
    <row r="151" spans="1:4">
      <c r="A151" s="208"/>
      <c r="B151" s="208"/>
      <c r="C151" s="208"/>
      <c r="D151" s="208"/>
    </row>
    <row r="152" spans="1:4">
      <c r="A152" s="208"/>
      <c r="B152" s="208"/>
      <c r="C152" s="208"/>
      <c r="D152" s="208"/>
    </row>
    <row r="153" spans="1:4">
      <c r="A153" s="208"/>
      <c r="B153" s="208"/>
      <c r="C153" s="208"/>
      <c r="D153" s="208"/>
    </row>
    <row r="154" spans="1:4">
      <c r="A154" s="208"/>
      <c r="B154" s="208"/>
      <c r="C154" s="208"/>
      <c r="D154" s="208"/>
    </row>
    <row r="155" spans="1:4">
      <c r="A155" s="208"/>
      <c r="B155" s="208"/>
      <c r="C155" s="208"/>
      <c r="D155" s="208"/>
    </row>
    <row r="156" spans="1:4">
      <c r="A156" s="208"/>
      <c r="B156" s="208"/>
      <c r="C156" s="208"/>
      <c r="D156" s="208"/>
    </row>
    <row r="157" spans="1:4">
      <c r="A157" s="208"/>
      <c r="B157" s="208"/>
      <c r="C157" s="208"/>
      <c r="D157" s="208"/>
    </row>
    <row r="158" spans="1:4">
      <c r="A158" s="208"/>
      <c r="B158" s="208"/>
      <c r="C158" s="208"/>
      <c r="D158" s="208"/>
    </row>
    <row r="159" spans="1:4">
      <c r="A159" s="208"/>
      <c r="B159" s="208"/>
      <c r="C159" s="208"/>
      <c r="D159" s="208"/>
    </row>
    <row r="160" spans="1:4">
      <c r="A160" s="208"/>
      <c r="B160" s="208"/>
      <c r="C160" s="208"/>
      <c r="D160" s="208"/>
    </row>
    <row r="161" spans="1:4">
      <c r="A161" s="208"/>
      <c r="B161" s="208"/>
      <c r="C161" s="208"/>
      <c r="D161" s="208"/>
    </row>
    <row r="162" spans="1:4">
      <c r="A162" s="208"/>
      <c r="B162" s="208"/>
      <c r="C162" s="208"/>
      <c r="D162" s="208"/>
    </row>
    <row r="163" spans="1:4">
      <c r="A163" s="208"/>
      <c r="B163" s="208"/>
      <c r="C163" s="208"/>
      <c r="D163" s="208"/>
    </row>
    <row r="164" spans="1:4">
      <c r="A164" s="208"/>
      <c r="B164" s="208"/>
      <c r="C164" s="208"/>
      <c r="D164" s="208"/>
    </row>
    <row r="165" spans="1:4">
      <c r="A165" s="208"/>
      <c r="B165" s="208"/>
      <c r="C165" s="208"/>
      <c r="D165" s="208"/>
    </row>
    <row r="166" spans="1:4">
      <c r="A166" s="208"/>
      <c r="B166" s="208"/>
      <c r="C166" s="208"/>
      <c r="D166" s="208"/>
    </row>
    <row r="167" spans="1:4">
      <c r="A167" s="208"/>
      <c r="B167" s="208"/>
      <c r="C167" s="208"/>
      <c r="D167" s="208"/>
    </row>
    <row r="168" spans="1:4">
      <c r="A168" s="208"/>
      <c r="B168" s="208"/>
      <c r="C168" s="208"/>
      <c r="D168" s="208"/>
    </row>
    <row r="169" spans="1:4">
      <c r="A169" s="208"/>
      <c r="B169" s="208"/>
      <c r="C169" s="208"/>
      <c r="D169" s="208"/>
    </row>
    <row r="170" spans="1:4">
      <c r="A170" s="208"/>
      <c r="B170" s="208"/>
      <c r="C170" s="208"/>
      <c r="D170" s="208"/>
    </row>
    <row r="171" spans="1:4">
      <c r="A171" s="208"/>
      <c r="B171" s="208"/>
      <c r="C171" s="208"/>
      <c r="D171" s="208"/>
    </row>
    <row r="172" spans="1:4">
      <c r="A172" s="208"/>
      <c r="B172" s="208"/>
      <c r="C172" s="208"/>
      <c r="D172" s="208"/>
    </row>
    <row r="173" spans="1:4">
      <c r="A173" s="208"/>
      <c r="B173" s="208"/>
      <c r="C173" s="208"/>
      <c r="D173" s="208"/>
    </row>
    <row r="174" spans="1:4">
      <c r="A174" s="208"/>
      <c r="B174" s="208"/>
      <c r="C174" s="208"/>
      <c r="D174" s="208"/>
    </row>
    <row r="175" spans="1:4">
      <c r="A175" s="208"/>
      <c r="B175" s="208"/>
      <c r="C175" s="208"/>
      <c r="D175" s="208"/>
    </row>
    <row r="176" spans="1:4">
      <c r="A176" s="208"/>
      <c r="B176" s="208"/>
      <c r="C176" s="208"/>
      <c r="D176" s="208"/>
    </row>
    <row r="177" spans="1:4">
      <c r="A177" s="208"/>
      <c r="B177" s="208"/>
      <c r="C177" s="208"/>
      <c r="D177" s="208"/>
    </row>
    <row r="178" spans="1:4">
      <c r="A178" s="208"/>
      <c r="B178" s="208"/>
      <c r="C178" s="208"/>
      <c r="D178" s="208"/>
    </row>
    <row r="179" spans="1:4">
      <c r="A179" s="208"/>
      <c r="B179" s="208"/>
      <c r="C179" s="208"/>
      <c r="D179" s="208"/>
    </row>
    <row r="180" spans="1:4">
      <c r="A180" s="208"/>
      <c r="B180" s="208"/>
      <c r="C180" s="208"/>
      <c r="D180" s="208"/>
    </row>
    <row r="181" spans="1:4">
      <c r="A181" s="208"/>
      <c r="B181" s="208"/>
      <c r="C181" s="208"/>
      <c r="D181" s="208"/>
    </row>
    <row r="182" spans="1:4">
      <c r="A182" s="208"/>
      <c r="B182" s="208"/>
      <c r="C182" s="208"/>
      <c r="D182" s="208"/>
    </row>
    <row r="183" spans="1:4">
      <c r="A183" s="208"/>
      <c r="B183" s="208"/>
      <c r="C183" s="208"/>
      <c r="D183" s="208"/>
    </row>
    <row r="184" spans="1:4">
      <c r="A184" s="208"/>
      <c r="B184" s="208"/>
      <c r="C184" s="208"/>
      <c r="D184" s="208"/>
    </row>
    <row r="185" spans="1:4">
      <c r="A185" s="208"/>
      <c r="B185" s="208"/>
      <c r="C185" s="208"/>
      <c r="D185" s="208"/>
    </row>
    <row r="186" spans="1:4">
      <c r="A186" s="208"/>
      <c r="B186" s="208"/>
      <c r="C186" s="208"/>
      <c r="D186" s="208"/>
    </row>
    <row r="187" spans="1:4">
      <c r="A187" s="208"/>
      <c r="B187" s="208"/>
      <c r="C187" s="208"/>
      <c r="D187" s="208"/>
    </row>
    <row r="188" spans="1:4">
      <c r="A188" s="208"/>
      <c r="B188" s="208"/>
      <c r="C188" s="208"/>
      <c r="D188" s="208"/>
    </row>
    <row r="189" spans="1:4">
      <c r="A189" s="208"/>
      <c r="B189" s="208"/>
      <c r="C189" s="208"/>
      <c r="D189" s="208"/>
    </row>
    <row r="190" spans="1:4">
      <c r="A190" s="208"/>
      <c r="B190" s="208"/>
      <c r="C190" s="208"/>
      <c r="D190" s="208"/>
    </row>
    <row r="191" spans="1:4">
      <c r="A191" s="208"/>
      <c r="B191" s="208"/>
      <c r="C191" s="208"/>
      <c r="D191" s="208"/>
    </row>
    <row r="192" spans="1:4">
      <c r="A192" s="208"/>
      <c r="B192" s="208"/>
      <c r="C192" s="208"/>
      <c r="D192" s="208"/>
    </row>
    <row r="193" spans="1:4">
      <c r="A193" s="208"/>
      <c r="B193" s="208"/>
      <c r="C193" s="208"/>
      <c r="D193" s="208"/>
    </row>
    <row r="194" spans="1:4">
      <c r="A194" s="208"/>
      <c r="B194" s="208"/>
      <c r="C194" s="208"/>
      <c r="D194" s="208"/>
    </row>
    <row r="195" spans="1:4">
      <c r="A195" s="208"/>
      <c r="B195" s="208"/>
      <c r="C195" s="208"/>
      <c r="D195" s="208"/>
    </row>
    <row r="196" spans="1:4">
      <c r="A196" s="208"/>
      <c r="B196" s="208"/>
      <c r="C196" s="208"/>
      <c r="D196" s="208"/>
    </row>
    <row r="197" spans="1:4">
      <c r="A197" s="208"/>
      <c r="B197" s="208"/>
      <c r="C197" s="208"/>
      <c r="D197" s="208"/>
    </row>
    <row r="198" spans="1:4">
      <c r="A198" s="208"/>
      <c r="B198" s="208"/>
      <c r="C198" s="208"/>
      <c r="D198" s="208"/>
    </row>
    <row r="199" spans="1:4">
      <c r="A199" s="208"/>
      <c r="B199" s="208"/>
      <c r="C199" s="208"/>
      <c r="D199" s="208"/>
    </row>
    <row r="200" spans="1:4">
      <c r="A200" s="208"/>
      <c r="B200" s="208"/>
      <c r="C200" s="208"/>
      <c r="D200" s="208"/>
    </row>
    <row r="201" spans="1:4">
      <c r="A201" s="208"/>
      <c r="B201" s="208"/>
      <c r="C201" s="208"/>
      <c r="D201" s="208"/>
    </row>
    <row r="202" spans="1:4">
      <c r="A202" s="208"/>
      <c r="B202" s="208"/>
      <c r="C202" s="208"/>
      <c r="D202" s="208"/>
    </row>
    <row r="203" spans="1:4">
      <c r="A203" s="208"/>
      <c r="B203" s="208"/>
      <c r="C203" s="208"/>
      <c r="D203" s="208"/>
    </row>
    <row r="204" spans="1:4">
      <c r="A204" s="208"/>
      <c r="B204" s="208"/>
      <c r="C204" s="208"/>
      <c r="D204" s="208"/>
    </row>
    <row r="205" spans="1:4">
      <c r="A205" s="208"/>
      <c r="B205" s="208"/>
      <c r="C205" s="208"/>
      <c r="D205" s="208"/>
    </row>
    <row r="206" spans="1:4">
      <c r="A206" s="208"/>
      <c r="B206" s="208"/>
      <c r="C206" s="208"/>
      <c r="D206" s="208"/>
    </row>
    <row r="207" spans="1:4">
      <c r="A207" s="208"/>
      <c r="B207" s="208"/>
      <c r="C207" s="208"/>
      <c r="D207" s="208"/>
    </row>
    <row r="208" spans="1:4">
      <c r="A208" s="208"/>
      <c r="B208" s="208"/>
      <c r="C208" s="208"/>
      <c r="D208" s="208"/>
    </row>
    <row r="209" spans="1:4">
      <c r="A209" s="208"/>
      <c r="B209" s="208"/>
      <c r="C209" s="208"/>
      <c r="D209" s="208"/>
    </row>
    <row r="210" spans="1:4">
      <c r="A210" s="208"/>
      <c r="B210" s="208"/>
      <c r="C210" s="208"/>
      <c r="D210" s="208"/>
    </row>
    <row r="211" spans="1:4">
      <c r="A211" s="208"/>
      <c r="B211" s="208"/>
      <c r="C211" s="208"/>
      <c r="D211" s="208"/>
    </row>
    <row r="212" spans="1:4">
      <c r="A212" s="208"/>
      <c r="B212" s="208"/>
      <c r="C212" s="208"/>
      <c r="D212" s="208"/>
    </row>
    <row r="213" spans="1:4">
      <c r="A213" s="208"/>
      <c r="B213" s="208"/>
      <c r="C213" s="208"/>
      <c r="D213" s="208"/>
    </row>
    <row r="214" spans="1:4">
      <c r="A214" s="208"/>
      <c r="B214" s="208"/>
      <c r="C214" s="208"/>
      <c r="D214" s="208"/>
    </row>
    <row r="215" spans="1:4">
      <c r="A215" s="208"/>
      <c r="B215" s="208"/>
      <c r="C215" s="208"/>
      <c r="D215" s="208"/>
    </row>
    <row r="216" spans="1:4">
      <c r="A216" s="208"/>
      <c r="B216" s="208"/>
      <c r="C216" s="208"/>
      <c r="D216" s="208"/>
    </row>
    <row r="217" spans="1:4">
      <c r="A217" s="208"/>
      <c r="B217" s="208"/>
      <c r="C217" s="208"/>
      <c r="D217" s="208"/>
    </row>
    <row r="218" spans="1:4">
      <c r="A218" s="208"/>
      <c r="B218" s="208"/>
      <c r="C218" s="208"/>
      <c r="D218" s="208"/>
    </row>
    <row r="219" spans="1:4">
      <c r="A219" s="208"/>
      <c r="B219" s="208"/>
      <c r="C219" s="208"/>
      <c r="D219" s="208"/>
    </row>
    <row r="220" spans="1:4">
      <c r="A220" s="208"/>
      <c r="B220" s="208"/>
      <c r="C220" s="208"/>
      <c r="D220" s="208"/>
    </row>
    <row r="221" spans="1:4">
      <c r="A221" s="208"/>
      <c r="B221" s="208"/>
      <c r="C221" s="208"/>
      <c r="D221" s="208"/>
    </row>
    <row r="222" spans="1:4">
      <c r="A222" s="208"/>
      <c r="B222" s="208"/>
      <c r="C222" s="208"/>
      <c r="D222" s="208"/>
    </row>
    <row r="223" spans="1:4">
      <c r="A223" s="208"/>
      <c r="B223" s="208"/>
      <c r="C223" s="208"/>
      <c r="D223" s="208"/>
    </row>
    <row r="224" spans="1:4">
      <c r="A224" s="208"/>
      <c r="B224" s="208"/>
      <c r="C224" s="208"/>
      <c r="D224" s="208"/>
    </row>
    <row r="225" spans="1:4">
      <c r="A225" s="208"/>
      <c r="B225" s="208"/>
      <c r="C225" s="208"/>
      <c r="D225" s="208"/>
    </row>
    <row r="226" spans="1:4">
      <c r="A226" s="208"/>
      <c r="B226" s="208"/>
      <c r="C226" s="208"/>
      <c r="D226" s="208"/>
    </row>
    <row r="227" spans="1:4">
      <c r="A227" s="208"/>
      <c r="B227" s="208"/>
      <c r="C227" s="208"/>
      <c r="D227" s="208"/>
    </row>
    <row r="228" spans="1:4">
      <c r="A228" s="208"/>
      <c r="B228" s="208"/>
      <c r="C228" s="208"/>
      <c r="D228" s="208"/>
    </row>
    <row r="229" spans="1:4">
      <c r="A229" s="208"/>
      <c r="B229" s="208"/>
      <c r="C229" s="208"/>
      <c r="D229" s="208"/>
    </row>
    <row r="230" spans="1:4">
      <c r="A230" s="208"/>
      <c r="B230" s="208"/>
      <c r="C230" s="208"/>
      <c r="D230" s="208"/>
    </row>
    <row r="231" spans="1:4">
      <c r="A231" s="208"/>
      <c r="B231" s="208"/>
      <c r="C231" s="208"/>
      <c r="D231" s="208"/>
    </row>
    <row r="232" spans="1:4">
      <c r="A232" s="208"/>
      <c r="B232" s="208"/>
      <c r="C232" s="208"/>
      <c r="D232" s="208"/>
    </row>
    <row r="233" spans="1:4">
      <c r="A233" s="208"/>
      <c r="B233" s="208"/>
      <c r="C233" s="208"/>
      <c r="D233" s="208"/>
    </row>
    <row r="234" spans="1:4">
      <c r="A234" s="208"/>
      <c r="B234" s="208"/>
      <c r="C234" s="208"/>
      <c r="D234" s="208"/>
    </row>
    <row r="235" spans="1:4">
      <c r="A235" s="208"/>
      <c r="B235" s="208"/>
      <c r="C235" s="208"/>
      <c r="D235" s="208"/>
    </row>
    <row r="236" spans="1:4">
      <c r="A236" s="208"/>
      <c r="B236" s="208"/>
      <c r="C236" s="208"/>
      <c r="D236" s="208"/>
    </row>
    <row r="237" spans="1:4">
      <c r="A237" s="208"/>
      <c r="B237" s="208"/>
      <c r="C237" s="208"/>
      <c r="D237" s="208"/>
    </row>
    <row r="238" spans="1:4">
      <c r="A238" s="208"/>
      <c r="B238" s="208"/>
      <c r="C238" s="208"/>
      <c r="D238" s="208"/>
    </row>
    <row r="239" spans="1:4">
      <c r="A239" s="208"/>
      <c r="B239" s="208"/>
      <c r="C239" s="208"/>
      <c r="D239" s="208"/>
    </row>
    <row r="240" spans="1:4">
      <c r="A240" s="208"/>
      <c r="B240" s="208"/>
      <c r="C240" s="208"/>
      <c r="D240" s="208"/>
    </row>
    <row r="241" spans="1:4">
      <c r="A241" s="208"/>
      <c r="B241" s="208"/>
      <c r="C241" s="208"/>
      <c r="D241" s="208"/>
    </row>
    <row r="242" spans="1:4">
      <c r="A242" s="208"/>
      <c r="B242" s="208"/>
      <c r="C242" s="208"/>
      <c r="D242" s="208"/>
    </row>
    <row r="243" spans="1:4">
      <c r="A243" s="208"/>
      <c r="B243" s="208"/>
      <c r="C243" s="208"/>
      <c r="D243" s="208"/>
    </row>
    <row r="244" spans="1:4">
      <c r="A244" s="208"/>
      <c r="B244" s="208"/>
      <c r="C244" s="208"/>
      <c r="D244" s="208"/>
    </row>
    <row r="245" spans="1:4">
      <c r="A245" s="208"/>
      <c r="B245" s="208"/>
      <c r="C245" s="208"/>
      <c r="D245" s="208"/>
    </row>
    <row r="246" spans="1:4">
      <c r="A246" s="208"/>
      <c r="B246" s="208"/>
      <c r="C246" s="208"/>
      <c r="D246" s="208"/>
    </row>
    <row r="247" spans="1:4">
      <c r="A247" s="208"/>
      <c r="B247" s="208"/>
      <c r="C247" s="208"/>
      <c r="D247" s="208"/>
    </row>
    <row r="248" spans="1:4">
      <c r="A248" s="208"/>
      <c r="B248" s="208"/>
      <c r="C248" s="208"/>
      <c r="D248" s="208"/>
    </row>
    <row r="249" spans="1:4">
      <c r="A249" s="208"/>
      <c r="B249" s="208"/>
      <c r="C249" s="208"/>
      <c r="D249" s="208"/>
    </row>
    <row r="250" spans="1:4">
      <c r="A250" s="208"/>
      <c r="B250" s="208"/>
      <c r="C250" s="208"/>
      <c r="D250" s="208"/>
    </row>
    <row r="251" spans="1:4">
      <c r="A251" s="208"/>
      <c r="B251" s="208"/>
      <c r="C251" s="208"/>
      <c r="D251" s="208"/>
    </row>
    <row r="252" spans="1:4">
      <c r="A252" s="208"/>
      <c r="B252" s="208"/>
      <c r="C252" s="208"/>
      <c r="D252" s="208"/>
    </row>
    <row r="253" spans="1:4">
      <c r="A253" s="208"/>
      <c r="B253" s="208"/>
      <c r="C253" s="208"/>
      <c r="D253" s="208"/>
    </row>
    <row r="254" spans="1:4">
      <c r="A254" s="208"/>
      <c r="B254" s="208"/>
      <c r="C254" s="208"/>
      <c r="D254" s="208"/>
    </row>
    <row r="255" spans="1:4">
      <c r="A255" s="208"/>
      <c r="B255" s="208"/>
      <c r="C255" s="208"/>
      <c r="D255" s="208"/>
    </row>
    <row r="256" spans="1:4">
      <c r="A256" s="208"/>
      <c r="B256" s="208"/>
      <c r="C256" s="208"/>
      <c r="D256" s="208"/>
    </row>
    <row r="257" spans="1:4">
      <c r="A257" s="208"/>
      <c r="B257" s="208"/>
      <c r="C257" s="208"/>
      <c r="D257" s="208"/>
    </row>
    <row r="258" spans="1:4">
      <c r="A258" s="208"/>
      <c r="B258" s="208"/>
      <c r="C258" s="208"/>
      <c r="D258" s="208"/>
    </row>
    <row r="259" spans="1:4">
      <c r="A259" s="208"/>
      <c r="B259" s="208"/>
      <c r="C259" s="208"/>
      <c r="D259" s="208"/>
    </row>
    <row r="260" spans="1:4">
      <c r="A260" s="208"/>
      <c r="B260" s="208"/>
      <c r="C260" s="208"/>
      <c r="D260" s="208"/>
    </row>
    <row r="261" spans="1:4">
      <c r="A261" s="208"/>
      <c r="B261" s="208"/>
      <c r="C261" s="208"/>
      <c r="D261" s="208"/>
    </row>
    <row r="262" spans="1:4">
      <c r="A262" s="208"/>
      <c r="B262" s="208"/>
      <c r="C262" s="208"/>
      <c r="D262" s="208"/>
    </row>
    <row r="263" spans="1:4">
      <c r="A263" s="208"/>
      <c r="B263" s="208"/>
      <c r="C263" s="208"/>
      <c r="D263" s="208"/>
    </row>
    <row r="264" spans="1:4">
      <c r="A264" s="208"/>
      <c r="B264" s="208"/>
      <c r="C264" s="208"/>
      <c r="D264" s="208"/>
    </row>
    <row r="265" spans="1:4">
      <c r="A265" s="208"/>
      <c r="B265" s="208"/>
      <c r="C265" s="208"/>
      <c r="D265" s="208"/>
    </row>
    <row r="266" spans="1:4">
      <c r="A266" s="208"/>
      <c r="B266" s="208"/>
      <c r="C266" s="208"/>
      <c r="D266" s="208"/>
    </row>
    <row r="267" spans="1:4">
      <c r="A267" s="208"/>
      <c r="B267" s="208"/>
      <c r="C267" s="208"/>
      <c r="D267" s="208"/>
    </row>
    <row r="268" spans="1:4">
      <c r="A268" s="208"/>
      <c r="B268" s="208"/>
      <c r="C268" s="208"/>
      <c r="D268" s="208"/>
    </row>
    <row r="269" spans="1:4">
      <c r="A269" s="208"/>
      <c r="B269" s="208"/>
      <c r="C269" s="208"/>
      <c r="D269" s="208"/>
    </row>
    <row r="270" spans="1:4">
      <c r="A270" s="208"/>
      <c r="B270" s="208"/>
      <c r="C270" s="208"/>
      <c r="D270" s="208"/>
    </row>
    <row r="271" spans="1:4">
      <c r="A271" s="208"/>
      <c r="B271" s="208"/>
      <c r="C271" s="208"/>
      <c r="D271" s="208"/>
    </row>
    <row r="272" spans="1:4">
      <c r="A272" s="208"/>
      <c r="B272" s="208"/>
      <c r="C272" s="208"/>
      <c r="D272" s="208"/>
    </row>
    <row r="273" spans="1:4">
      <c r="A273" s="208"/>
      <c r="B273" s="208"/>
      <c r="C273" s="208"/>
      <c r="D273" s="208"/>
    </row>
    <row r="274" spans="1:4">
      <c r="A274" s="208"/>
      <c r="B274" s="208"/>
      <c r="C274" s="208"/>
      <c r="D274" s="208"/>
    </row>
    <row r="275" spans="1:4">
      <c r="A275" s="208"/>
      <c r="B275" s="208"/>
      <c r="C275" s="208"/>
      <c r="D275" s="208"/>
    </row>
    <row r="276" spans="1:4">
      <c r="A276" s="208"/>
      <c r="B276" s="208"/>
      <c r="C276" s="208"/>
      <c r="D276" s="208"/>
    </row>
    <row r="277" spans="1:4">
      <c r="A277" s="208"/>
      <c r="B277" s="208"/>
      <c r="C277" s="208"/>
      <c r="D277" s="208"/>
    </row>
    <row r="278" spans="1:4">
      <c r="A278" s="208"/>
      <c r="B278" s="208"/>
      <c r="C278" s="208"/>
      <c r="D278" s="208"/>
    </row>
    <row r="279" spans="1:4">
      <c r="A279" s="208"/>
      <c r="B279" s="208"/>
      <c r="C279" s="208"/>
      <c r="D279" s="208"/>
    </row>
    <row r="280" spans="1:4">
      <c r="A280" s="208"/>
      <c r="B280" s="208"/>
      <c r="C280" s="208"/>
      <c r="D280" s="208"/>
    </row>
    <row r="281" spans="1:4">
      <c r="A281" s="208"/>
      <c r="B281" s="208"/>
      <c r="C281" s="208"/>
      <c r="D281" s="208"/>
    </row>
    <row r="282" spans="1:4">
      <c r="A282" s="208"/>
      <c r="B282" s="208"/>
      <c r="C282" s="208"/>
      <c r="D282" s="208"/>
    </row>
    <row r="283" spans="1:4">
      <c r="A283" s="208"/>
      <c r="B283" s="208"/>
      <c r="C283" s="208"/>
      <c r="D283" s="208"/>
    </row>
    <row r="284" spans="1:4">
      <c r="A284" s="208"/>
      <c r="B284" s="208"/>
      <c r="C284" s="208"/>
      <c r="D284" s="208"/>
    </row>
    <row r="285" spans="1:4">
      <c r="A285" s="208"/>
      <c r="B285" s="208"/>
      <c r="C285" s="208"/>
      <c r="D285" s="208"/>
    </row>
    <row r="286" spans="1:4">
      <c r="A286" s="208"/>
      <c r="B286" s="208"/>
      <c r="C286" s="208"/>
      <c r="D286" s="208"/>
    </row>
    <row r="287" spans="1:4">
      <c r="A287" s="208"/>
      <c r="B287" s="208"/>
      <c r="C287" s="208"/>
      <c r="D287" s="208"/>
    </row>
    <row r="288" spans="1:4">
      <c r="A288" s="208"/>
      <c r="B288" s="208"/>
      <c r="C288" s="208"/>
      <c r="D288" s="208"/>
    </row>
    <row r="289" spans="1:4">
      <c r="A289" s="208"/>
      <c r="B289" s="208"/>
      <c r="C289" s="208"/>
      <c r="D289" s="208"/>
    </row>
    <row r="290" spans="1:4">
      <c r="A290" s="208"/>
      <c r="B290" s="208"/>
      <c r="C290" s="208"/>
      <c r="D290" s="208"/>
    </row>
    <row r="291" spans="1:4">
      <c r="A291" s="208"/>
      <c r="B291" s="208"/>
      <c r="C291" s="208"/>
      <c r="D291" s="208"/>
    </row>
    <row r="292" spans="1:4">
      <c r="A292" s="208"/>
      <c r="B292" s="208"/>
      <c r="C292" s="208"/>
      <c r="D292" s="208"/>
    </row>
    <row r="293" spans="1:4">
      <c r="A293" s="208"/>
      <c r="B293" s="208"/>
      <c r="C293" s="208"/>
      <c r="D293" s="208"/>
    </row>
    <row r="294" spans="1:4">
      <c r="A294" s="208"/>
      <c r="B294" s="208"/>
      <c r="C294" s="208"/>
      <c r="D294" s="208"/>
    </row>
    <row r="295" spans="1:4">
      <c r="A295" s="208"/>
      <c r="B295" s="208"/>
      <c r="C295" s="208"/>
      <c r="D295" s="208"/>
    </row>
    <row r="296" spans="1:4">
      <c r="A296" s="208"/>
      <c r="B296" s="208"/>
      <c r="C296" s="208"/>
      <c r="D296" s="208"/>
    </row>
    <row r="297" spans="1:4">
      <c r="A297" s="208"/>
      <c r="B297" s="208"/>
      <c r="C297" s="208"/>
      <c r="D297" s="208"/>
    </row>
    <row r="298" spans="1:4">
      <c r="A298" s="208"/>
      <c r="B298" s="208"/>
      <c r="C298" s="208"/>
      <c r="D298" s="208"/>
    </row>
    <row r="299" spans="1:4">
      <c r="A299" s="208"/>
      <c r="B299" s="208"/>
      <c r="C299" s="208"/>
      <c r="D299" s="208"/>
    </row>
    <row r="300" spans="1:4">
      <c r="A300" s="208"/>
      <c r="B300" s="208"/>
      <c r="C300" s="208"/>
      <c r="D300" s="208"/>
    </row>
    <row r="301" spans="1:4">
      <c r="A301" s="208"/>
      <c r="B301" s="208"/>
      <c r="C301" s="208"/>
      <c r="D301" s="208"/>
    </row>
    <row r="302" spans="1:4">
      <c r="A302" s="208"/>
      <c r="B302" s="208"/>
      <c r="C302" s="208"/>
      <c r="D302" s="208"/>
    </row>
    <row r="303" spans="1:4">
      <c r="A303" s="208"/>
      <c r="B303" s="208"/>
      <c r="C303" s="208"/>
      <c r="D303" s="208"/>
    </row>
    <row r="304" spans="1:4">
      <c r="A304" s="208"/>
      <c r="B304" s="208"/>
      <c r="C304" s="208"/>
      <c r="D304" s="208"/>
    </row>
    <row r="305" spans="1:4">
      <c r="A305" s="208"/>
      <c r="B305" s="208"/>
      <c r="C305" s="208"/>
      <c r="D305" s="208"/>
    </row>
    <row r="306" spans="1:4">
      <c r="A306" s="208"/>
      <c r="B306" s="208"/>
      <c r="C306" s="208"/>
      <c r="D306" s="208"/>
    </row>
    <row r="307" spans="1:4">
      <c r="A307" s="208"/>
      <c r="B307" s="208"/>
      <c r="C307" s="208"/>
      <c r="D307" s="208"/>
    </row>
    <row r="308" spans="1:4">
      <c r="A308" s="208"/>
      <c r="B308" s="208"/>
      <c r="C308" s="208"/>
      <c r="D308" s="208"/>
    </row>
    <row r="309" spans="1:4">
      <c r="A309" s="208"/>
      <c r="B309" s="208"/>
      <c r="C309" s="208"/>
      <c r="D309" s="208"/>
    </row>
    <row r="310" spans="1:4">
      <c r="A310" s="208"/>
      <c r="B310" s="208"/>
      <c r="C310" s="208"/>
      <c r="D310" s="208"/>
    </row>
    <row r="311" spans="1:4">
      <c r="A311" s="208"/>
      <c r="B311" s="208"/>
      <c r="C311" s="208"/>
      <c r="D311" s="208"/>
    </row>
    <row r="312" spans="1:4">
      <c r="A312" s="208"/>
      <c r="B312" s="208"/>
      <c r="C312" s="208"/>
      <c r="D312" s="208"/>
    </row>
    <row r="313" spans="1:4">
      <c r="A313" s="208"/>
      <c r="B313" s="208"/>
      <c r="C313" s="208"/>
      <c r="D313" s="208"/>
    </row>
    <row r="314" spans="1:4">
      <c r="A314" s="208"/>
      <c r="B314" s="208"/>
      <c r="C314" s="208"/>
      <c r="D314" s="208"/>
    </row>
    <row r="315" spans="1:4">
      <c r="A315" s="208"/>
      <c r="B315" s="208"/>
      <c r="C315" s="208"/>
      <c r="D315" s="208"/>
    </row>
    <row r="316" spans="1:4">
      <c r="A316" s="208"/>
      <c r="B316" s="208"/>
      <c r="C316" s="208"/>
      <c r="D316" s="208"/>
    </row>
    <row r="317" spans="1:4">
      <c r="A317" s="208"/>
      <c r="B317" s="208"/>
      <c r="C317" s="208"/>
      <c r="D317" s="208"/>
    </row>
    <row r="318" spans="1:4">
      <c r="A318" s="208"/>
      <c r="B318" s="208"/>
      <c r="C318" s="208"/>
      <c r="D318" s="208"/>
    </row>
    <row r="319" spans="1:4">
      <c r="A319" s="208"/>
      <c r="B319" s="208"/>
      <c r="C319" s="208"/>
      <c r="D319" s="208"/>
    </row>
    <row r="320" spans="1:4">
      <c r="A320" s="208"/>
      <c r="B320" s="208"/>
      <c r="C320" s="208"/>
      <c r="D320" s="208"/>
    </row>
    <row r="321" spans="1:4">
      <c r="A321" s="208"/>
      <c r="B321" s="208"/>
      <c r="C321" s="208"/>
      <c r="D321" s="208"/>
    </row>
    <row r="322" spans="1:4">
      <c r="A322" s="208"/>
      <c r="B322" s="208"/>
      <c r="C322" s="208"/>
      <c r="D322" s="208"/>
    </row>
    <row r="323" spans="1:4">
      <c r="A323" s="208"/>
      <c r="B323" s="208"/>
      <c r="C323" s="208"/>
      <c r="D323" s="208"/>
    </row>
    <row r="324" spans="1:4">
      <c r="A324" s="208"/>
      <c r="B324" s="208"/>
      <c r="C324" s="208"/>
      <c r="D324" s="208"/>
    </row>
    <row r="325" spans="1:4">
      <c r="A325" s="208"/>
      <c r="B325" s="208"/>
      <c r="C325" s="208"/>
      <c r="D325" s="208"/>
    </row>
    <row r="326" spans="1:4">
      <c r="A326" s="208"/>
      <c r="B326" s="208"/>
      <c r="C326" s="208"/>
      <c r="D326" s="208"/>
    </row>
    <row r="327" spans="1:4">
      <c r="A327" s="208"/>
      <c r="B327" s="208"/>
      <c r="C327" s="208"/>
      <c r="D327" s="208"/>
    </row>
    <row r="328" spans="1:4">
      <c r="A328" s="208"/>
      <c r="B328" s="208"/>
      <c r="C328" s="208"/>
      <c r="D328" s="208"/>
    </row>
    <row r="329" spans="1:4">
      <c r="A329" s="208"/>
      <c r="B329" s="208"/>
      <c r="C329" s="208"/>
      <c r="D329" s="208"/>
    </row>
    <row r="330" spans="1:4">
      <c r="A330" s="208"/>
      <c r="B330" s="208"/>
      <c r="C330" s="208"/>
      <c r="D330" s="208"/>
    </row>
    <row r="331" spans="1:4">
      <c r="A331" s="208"/>
      <c r="B331" s="208"/>
      <c r="C331" s="208"/>
      <c r="D331" s="208"/>
    </row>
    <row r="332" spans="1:4">
      <c r="A332" s="208"/>
      <c r="B332" s="208"/>
      <c r="C332" s="208"/>
      <c r="D332" s="208"/>
    </row>
    <row r="333" spans="1:4">
      <c r="A333" s="208"/>
      <c r="B333" s="208"/>
      <c r="C333" s="208"/>
      <c r="D333" s="208"/>
    </row>
    <row r="334" spans="1:4">
      <c r="A334" s="208"/>
      <c r="B334" s="208"/>
      <c r="C334" s="208"/>
      <c r="D334" s="208"/>
    </row>
    <row r="335" spans="1:4">
      <c r="A335" s="208"/>
      <c r="B335" s="208"/>
      <c r="C335" s="208"/>
      <c r="D335" s="208"/>
    </row>
    <row r="336" spans="1:4">
      <c r="A336" s="208"/>
      <c r="B336" s="208"/>
      <c r="C336" s="208"/>
      <c r="D336" s="208"/>
    </row>
    <row r="337" spans="1:4">
      <c r="A337" s="208"/>
      <c r="B337" s="208"/>
      <c r="C337" s="208"/>
      <c r="D337" s="208"/>
    </row>
    <row r="338" spans="1:4">
      <c r="A338" s="208"/>
      <c r="B338" s="208"/>
      <c r="C338" s="208"/>
      <c r="D338" s="208"/>
    </row>
    <row r="339" spans="1:4">
      <c r="A339" s="208"/>
      <c r="B339" s="208"/>
      <c r="C339" s="208"/>
      <c r="D339" s="208"/>
    </row>
    <row r="340" spans="1:4">
      <c r="A340" s="208"/>
      <c r="B340" s="208"/>
      <c r="C340" s="208"/>
      <c r="D340" s="208"/>
    </row>
    <row r="341" spans="1:4">
      <c r="A341" s="208"/>
      <c r="B341" s="208"/>
      <c r="C341" s="208"/>
      <c r="D341" s="208"/>
    </row>
    <row r="342" spans="1:4">
      <c r="A342" s="208"/>
      <c r="B342" s="208"/>
      <c r="C342" s="208"/>
      <c r="D342" s="208"/>
    </row>
    <row r="343" spans="1:4">
      <c r="A343" s="208"/>
      <c r="B343" s="208"/>
      <c r="C343" s="208"/>
      <c r="D343" s="208"/>
    </row>
    <row r="344" spans="1:4">
      <c r="A344" s="208"/>
      <c r="B344" s="208"/>
      <c r="C344" s="208"/>
      <c r="D344" s="208"/>
    </row>
    <row r="345" spans="1:4">
      <c r="A345" s="208"/>
      <c r="B345" s="208"/>
      <c r="C345" s="208"/>
      <c r="D345" s="208"/>
    </row>
    <row r="346" spans="1:4">
      <c r="A346" s="208"/>
      <c r="B346" s="208"/>
      <c r="C346" s="208"/>
      <c r="D346" s="208"/>
    </row>
    <row r="347" spans="1:4">
      <c r="A347" s="208"/>
      <c r="B347" s="208"/>
      <c r="C347" s="208"/>
      <c r="D347" s="208"/>
    </row>
    <row r="348" spans="1:4">
      <c r="A348" s="208"/>
      <c r="B348" s="208"/>
      <c r="C348" s="208"/>
      <c r="D348" s="208"/>
    </row>
    <row r="349" spans="1:4">
      <c r="A349" s="208"/>
      <c r="B349" s="208"/>
      <c r="C349" s="208"/>
      <c r="D349" s="208"/>
    </row>
    <row r="350" spans="1:4">
      <c r="A350" s="208"/>
      <c r="B350" s="208"/>
      <c r="C350" s="208"/>
      <c r="D350" s="208"/>
    </row>
    <row r="351" spans="1:4">
      <c r="A351" s="208"/>
      <c r="B351" s="208"/>
      <c r="C351" s="208"/>
      <c r="D351" s="208"/>
    </row>
    <row r="352" spans="1:4">
      <c r="A352" s="208"/>
      <c r="B352" s="208"/>
      <c r="C352" s="208"/>
      <c r="D352" s="208"/>
    </row>
    <row r="353" spans="1:4">
      <c r="A353" s="208"/>
      <c r="B353" s="208"/>
      <c r="C353" s="208"/>
      <c r="D353" s="208"/>
    </row>
    <row r="354" spans="1:4">
      <c r="A354" s="208"/>
      <c r="B354" s="208"/>
      <c r="C354" s="208"/>
      <c r="D354" s="208"/>
    </row>
    <row r="355" spans="1:4">
      <c r="A355" s="208"/>
      <c r="B355" s="208"/>
      <c r="C355" s="208"/>
      <c r="D355" s="208"/>
    </row>
    <row r="356" spans="1:4">
      <c r="A356" s="208"/>
      <c r="B356" s="208"/>
      <c r="C356" s="208"/>
      <c r="D356" s="208"/>
    </row>
    <row r="357" spans="1:4">
      <c r="A357" s="208"/>
      <c r="B357" s="208"/>
      <c r="C357" s="208"/>
      <c r="D357" s="208"/>
    </row>
    <row r="358" spans="1:4">
      <c r="A358" s="208"/>
      <c r="B358" s="208"/>
      <c r="C358" s="208"/>
      <c r="D358" s="208"/>
    </row>
    <row r="359" spans="1:4">
      <c r="A359" s="208"/>
      <c r="B359" s="208"/>
      <c r="C359" s="208"/>
      <c r="D359" s="208"/>
    </row>
    <row r="360" spans="1:4">
      <c r="A360" s="208"/>
      <c r="B360" s="208"/>
      <c r="C360" s="208"/>
      <c r="D360" s="208"/>
    </row>
    <row r="361" spans="1:4">
      <c r="A361" s="208"/>
      <c r="B361" s="208"/>
      <c r="C361" s="208"/>
      <c r="D361" s="208"/>
    </row>
    <row r="362" spans="1:4">
      <c r="A362" s="208"/>
      <c r="B362" s="208"/>
      <c r="C362" s="208"/>
      <c r="D362" s="208"/>
    </row>
    <row r="363" spans="1:4">
      <c r="A363" s="208"/>
      <c r="B363" s="208"/>
      <c r="C363" s="208"/>
      <c r="D363" s="208"/>
    </row>
    <row r="364" spans="1:4">
      <c r="A364" s="208"/>
      <c r="B364" s="208"/>
      <c r="C364" s="208"/>
      <c r="D364" s="208"/>
    </row>
    <row r="365" spans="1:4">
      <c r="A365" s="208"/>
      <c r="B365" s="208"/>
      <c r="C365" s="208"/>
      <c r="D365" s="208"/>
    </row>
    <row r="366" spans="1:4">
      <c r="A366" s="208"/>
      <c r="B366" s="208"/>
      <c r="C366" s="208"/>
      <c r="D366" s="208"/>
    </row>
    <row r="367" spans="1:4">
      <c r="A367" s="208"/>
      <c r="B367" s="208"/>
      <c r="C367" s="208"/>
      <c r="D367" s="208"/>
    </row>
    <row r="368" spans="1:4">
      <c r="A368" s="208"/>
      <c r="B368" s="208"/>
      <c r="C368" s="208"/>
      <c r="D368" s="208"/>
    </row>
    <row r="369" spans="1:4">
      <c r="A369" s="208"/>
      <c r="B369" s="208"/>
      <c r="C369" s="208"/>
      <c r="D369" s="208"/>
    </row>
    <row r="370" spans="1:4">
      <c r="A370" s="208"/>
      <c r="B370" s="208"/>
      <c r="C370" s="208"/>
      <c r="D370" s="208"/>
    </row>
    <row r="371" spans="1:4">
      <c r="A371" s="208"/>
      <c r="B371" s="208"/>
      <c r="C371" s="208"/>
      <c r="D371" s="208"/>
    </row>
    <row r="372" spans="1:4">
      <c r="A372" s="208"/>
      <c r="B372" s="208"/>
      <c r="C372" s="208"/>
      <c r="D372" s="208"/>
    </row>
    <row r="373" spans="1:4">
      <c r="A373" s="208"/>
      <c r="B373" s="208"/>
      <c r="C373" s="208"/>
      <c r="D373" s="208"/>
    </row>
    <row r="374" spans="1:4">
      <c r="A374" s="208"/>
      <c r="B374" s="208"/>
      <c r="C374" s="208"/>
      <c r="D374" s="208"/>
    </row>
    <row r="375" spans="1:4">
      <c r="A375" s="208"/>
      <c r="B375" s="208"/>
      <c r="C375" s="208"/>
      <c r="D375" s="208"/>
    </row>
    <row r="376" spans="1:4">
      <c r="A376" s="208"/>
      <c r="B376" s="208"/>
      <c r="C376" s="208"/>
      <c r="D376" s="208"/>
    </row>
    <row r="377" spans="1:4">
      <c r="A377" s="208"/>
      <c r="B377" s="208"/>
      <c r="C377" s="208"/>
      <c r="D377" s="208"/>
    </row>
    <row r="378" spans="1:4">
      <c r="A378" s="208"/>
      <c r="B378" s="208"/>
      <c r="C378" s="208"/>
      <c r="D378" s="208"/>
    </row>
    <row r="379" spans="1:4">
      <c r="A379" s="208"/>
      <c r="B379" s="208"/>
      <c r="C379" s="208"/>
      <c r="D379" s="208"/>
    </row>
    <row r="380" spans="1:4">
      <c r="A380" s="208"/>
      <c r="B380" s="208"/>
      <c r="C380" s="208"/>
      <c r="D380" s="208"/>
    </row>
    <row r="381" spans="1:4">
      <c r="A381" s="208"/>
      <c r="B381" s="208"/>
      <c r="C381" s="208"/>
      <c r="D381" s="208"/>
    </row>
    <row r="382" spans="1:4">
      <c r="A382" s="208"/>
      <c r="B382" s="208"/>
      <c r="C382" s="208"/>
      <c r="D382" s="208"/>
    </row>
    <row r="383" spans="1:4">
      <c r="A383" s="208"/>
      <c r="B383" s="208"/>
      <c r="C383" s="208"/>
      <c r="D383" s="208"/>
    </row>
    <row r="384" spans="1:4">
      <c r="A384" s="208"/>
      <c r="B384" s="208"/>
      <c r="C384" s="208"/>
      <c r="D384" s="208"/>
    </row>
    <row r="385" spans="1:4">
      <c r="A385" s="208"/>
      <c r="B385" s="208"/>
      <c r="C385" s="208"/>
      <c r="D385" s="208"/>
    </row>
    <row r="386" spans="1:4">
      <c r="A386" s="208"/>
      <c r="B386" s="208"/>
      <c r="C386" s="208"/>
      <c r="D386" s="208"/>
    </row>
    <row r="387" spans="1:4">
      <c r="A387" s="208"/>
      <c r="B387" s="208"/>
      <c r="C387" s="208"/>
      <c r="D387" s="208"/>
    </row>
    <row r="388" spans="1:4">
      <c r="A388" s="208"/>
      <c r="B388" s="208"/>
      <c r="C388" s="208"/>
      <c r="D388" s="208"/>
    </row>
    <row r="389" spans="1:4">
      <c r="A389" s="208"/>
      <c r="B389" s="208"/>
      <c r="C389" s="208"/>
      <c r="D389" s="208"/>
    </row>
    <row r="390" spans="1:4">
      <c r="A390" s="208"/>
      <c r="B390" s="208"/>
      <c r="C390" s="208"/>
      <c r="D390" s="208"/>
    </row>
    <row r="391" spans="1:4">
      <c r="A391" s="208"/>
      <c r="B391" s="208"/>
      <c r="C391" s="208"/>
      <c r="D391" s="208"/>
    </row>
    <row r="392" spans="1:4">
      <c r="A392" s="208"/>
      <c r="B392" s="208"/>
      <c r="C392" s="208"/>
      <c r="D392" s="208"/>
    </row>
    <row r="393" spans="1:4">
      <c r="A393" s="208"/>
      <c r="B393" s="208"/>
      <c r="C393" s="208"/>
      <c r="D393" s="208"/>
    </row>
    <row r="394" spans="1:4">
      <c r="A394" s="208"/>
      <c r="B394" s="208"/>
      <c r="C394" s="208"/>
      <c r="D394" s="208"/>
    </row>
    <row r="395" spans="1:4">
      <c r="A395" s="208"/>
      <c r="B395" s="208"/>
      <c r="C395" s="208"/>
      <c r="D395" s="208"/>
    </row>
    <row r="396" spans="1:4">
      <c r="A396" s="208"/>
      <c r="B396" s="208"/>
      <c r="C396" s="208"/>
      <c r="D396" s="208"/>
    </row>
    <row r="397" spans="1:4">
      <c r="A397" s="208"/>
      <c r="B397" s="208"/>
      <c r="C397" s="208"/>
      <c r="D397" s="208"/>
    </row>
    <row r="398" spans="1:4">
      <c r="A398" s="208"/>
      <c r="B398" s="208"/>
      <c r="C398" s="208"/>
      <c r="D398" s="208"/>
    </row>
    <row r="399" spans="1:4">
      <c r="A399" s="208"/>
      <c r="B399" s="208"/>
      <c r="C399" s="208"/>
      <c r="D399" s="208"/>
    </row>
    <row r="400" spans="1:4">
      <c r="A400" s="208"/>
      <c r="B400" s="208"/>
      <c r="C400" s="208"/>
      <c r="D400" s="208"/>
    </row>
    <row r="401" spans="1:4">
      <c r="A401" s="208"/>
      <c r="B401" s="208"/>
      <c r="C401" s="208"/>
      <c r="D401" s="208"/>
    </row>
    <row r="402" spans="1:4">
      <c r="A402" s="208"/>
      <c r="B402" s="208"/>
      <c r="C402" s="208"/>
      <c r="D402" s="208"/>
    </row>
    <row r="403" spans="1:4">
      <c r="A403" s="208"/>
      <c r="B403" s="208"/>
      <c r="C403" s="208"/>
      <c r="D403" s="208"/>
    </row>
    <row r="404" spans="1:4">
      <c r="A404" s="208"/>
      <c r="B404" s="208"/>
      <c r="C404" s="208"/>
      <c r="D404" s="208"/>
    </row>
    <row r="405" spans="1:4">
      <c r="A405" s="208"/>
      <c r="B405" s="208"/>
      <c r="C405" s="208"/>
      <c r="D405" s="208"/>
    </row>
    <row r="406" spans="1:4">
      <c r="A406" s="208"/>
      <c r="B406" s="208"/>
      <c r="C406" s="208"/>
      <c r="D406" s="208"/>
    </row>
    <row r="407" spans="1:4">
      <c r="A407" s="208"/>
      <c r="B407" s="208"/>
      <c r="C407" s="208"/>
      <c r="D407" s="208"/>
    </row>
    <row r="408" spans="1:4">
      <c r="A408" s="208"/>
      <c r="B408" s="208"/>
      <c r="C408" s="208"/>
      <c r="D408" s="208"/>
    </row>
    <row r="409" spans="1:4">
      <c r="A409" s="208"/>
      <c r="B409" s="208"/>
      <c r="C409" s="208"/>
      <c r="D409" s="208"/>
    </row>
    <row r="410" spans="1:4">
      <c r="A410" s="208"/>
      <c r="B410" s="208"/>
      <c r="C410" s="208"/>
      <c r="D410" s="208"/>
    </row>
    <row r="411" spans="1:4">
      <c r="A411" s="208"/>
      <c r="B411" s="208"/>
      <c r="C411" s="208"/>
      <c r="D411" s="208"/>
    </row>
    <row r="412" spans="1:4">
      <c r="A412" s="208"/>
      <c r="B412" s="208"/>
      <c r="C412" s="208"/>
      <c r="D412" s="208"/>
    </row>
    <row r="413" spans="1:4">
      <c r="A413" s="208"/>
      <c r="B413" s="208"/>
      <c r="C413" s="208"/>
      <c r="D413" s="208"/>
    </row>
    <row r="414" spans="1:4">
      <c r="A414" s="208"/>
      <c r="B414" s="208"/>
      <c r="C414" s="208"/>
      <c r="D414" s="208"/>
    </row>
    <row r="415" spans="1:4">
      <c r="A415" s="208"/>
      <c r="B415" s="208"/>
      <c r="C415" s="208"/>
      <c r="D415" s="208"/>
    </row>
    <row r="416" spans="1:4">
      <c r="A416" s="208"/>
      <c r="B416" s="208"/>
      <c r="C416" s="208"/>
      <c r="D416" s="208"/>
    </row>
    <row r="417" spans="1:4">
      <c r="A417" s="208"/>
      <c r="B417" s="208"/>
      <c r="C417" s="208"/>
      <c r="D417" s="208"/>
    </row>
    <row r="418" spans="1:4">
      <c r="A418" s="208"/>
      <c r="B418" s="208"/>
      <c r="C418" s="208"/>
      <c r="D418" s="208"/>
    </row>
    <row r="419" spans="1:4">
      <c r="A419" s="208"/>
      <c r="B419" s="208"/>
      <c r="C419" s="208"/>
      <c r="D419" s="208"/>
    </row>
    <row r="420" spans="1:4">
      <c r="A420" s="208"/>
      <c r="B420" s="208"/>
      <c r="C420" s="208"/>
      <c r="D420" s="208"/>
    </row>
    <row r="421" spans="1:4">
      <c r="A421" s="208"/>
      <c r="B421" s="208"/>
      <c r="C421" s="208"/>
      <c r="D421" s="208"/>
    </row>
    <row r="422" spans="1:4">
      <c r="A422" s="208"/>
      <c r="B422" s="208"/>
      <c r="C422" s="208"/>
      <c r="D422" s="208"/>
    </row>
    <row r="423" spans="1:4">
      <c r="A423" s="208"/>
      <c r="B423" s="208"/>
      <c r="C423" s="208"/>
      <c r="D423" s="208"/>
    </row>
    <row r="424" spans="1:4">
      <c r="A424" s="208"/>
      <c r="B424" s="208"/>
      <c r="C424" s="208"/>
      <c r="D424" s="208"/>
    </row>
    <row r="425" spans="1:4">
      <c r="A425" s="208"/>
      <c r="B425" s="208"/>
      <c r="C425" s="208"/>
      <c r="D425" s="208"/>
    </row>
    <row r="426" spans="1:4">
      <c r="A426" s="208"/>
      <c r="B426" s="208"/>
      <c r="C426" s="208"/>
      <c r="D426" s="208"/>
    </row>
    <row r="427" spans="1:4">
      <c r="A427" s="208"/>
      <c r="B427" s="208"/>
      <c r="C427" s="208"/>
      <c r="D427" s="208"/>
    </row>
    <row r="428" spans="1:4">
      <c r="A428" s="208"/>
      <c r="B428" s="208"/>
      <c r="C428" s="208"/>
      <c r="D428" s="208"/>
    </row>
    <row r="429" spans="1:4">
      <c r="A429" s="208"/>
      <c r="B429" s="208"/>
      <c r="C429" s="208"/>
      <c r="D429" s="208"/>
    </row>
    <row r="430" spans="1:4">
      <c r="A430" s="208"/>
      <c r="B430" s="208"/>
      <c r="C430" s="208"/>
      <c r="D430" s="208"/>
    </row>
    <row r="431" spans="1:4">
      <c r="A431" s="208"/>
      <c r="B431" s="208"/>
      <c r="C431" s="208"/>
      <c r="D431" s="208"/>
    </row>
    <row r="432" spans="1:4">
      <c r="A432" s="208"/>
      <c r="B432" s="208"/>
      <c r="C432" s="208"/>
      <c r="D432" s="208"/>
    </row>
    <row r="433" spans="1:4">
      <c r="A433" s="208"/>
      <c r="B433" s="208"/>
      <c r="C433" s="208"/>
      <c r="D433" s="208"/>
    </row>
    <row r="434" spans="1:4">
      <c r="A434" s="208"/>
      <c r="B434" s="208"/>
      <c r="C434" s="208"/>
      <c r="D434" s="208"/>
    </row>
    <row r="435" spans="1:4">
      <c r="A435" s="208"/>
      <c r="B435" s="208"/>
      <c r="C435" s="208"/>
      <c r="D435" s="208"/>
    </row>
    <row r="436" spans="1:4">
      <c r="A436" s="208"/>
      <c r="B436" s="208"/>
      <c r="C436" s="208"/>
      <c r="D436" s="208"/>
    </row>
    <row r="437" spans="1:4">
      <c r="A437" s="208"/>
      <c r="B437" s="208"/>
      <c r="C437" s="208"/>
      <c r="D437" s="208"/>
    </row>
    <row r="438" spans="1:4">
      <c r="A438" s="208"/>
      <c r="B438" s="208"/>
      <c r="C438" s="208"/>
      <c r="D438" s="208"/>
    </row>
    <row r="439" spans="1:4">
      <c r="A439" s="208"/>
      <c r="B439" s="208"/>
      <c r="C439" s="208"/>
      <c r="D439" s="208"/>
    </row>
    <row r="440" spans="1:4">
      <c r="A440" s="208"/>
      <c r="B440" s="208"/>
      <c r="C440" s="208"/>
      <c r="D440" s="208"/>
    </row>
    <row r="441" spans="1:4">
      <c r="A441" s="208"/>
      <c r="B441" s="208"/>
      <c r="C441" s="208"/>
      <c r="D441" s="208"/>
    </row>
    <row r="442" spans="1:4">
      <c r="A442" s="208"/>
      <c r="B442" s="208"/>
      <c r="C442" s="208"/>
      <c r="D442" s="208"/>
    </row>
    <row r="443" spans="1:4">
      <c r="A443" s="208"/>
      <c r="B443" s="208"/>
      <c r="C443" s="208"/>
      <c r="D443" s="208"/>
    </row>
    <row r="444" spans="1:4">
      <c r="A444" s="208"/>
      <c r="B444" s="208"/>
      <c r="C444" s="208"/>
      <c r="D444" s="208"/>
    </row>
    <row r="445" spans="1:4">
      <c r="A445" s="208"/>
      <c r="B445" s="208"/>
      <c r="C445" s="208"/>
      <c r="D445" s="208"/>
    </row>
    <row r="446" spans="1:4">
      <c r="A446" s="208"/>
      <c r="B446" s="208"/>
      <c r="C446" s="208"/>
      <c r="D446" s="208"/>
    </row>
    <row r="447" spans="1:4">
      <c r="A447" s="208"/>
      <c r="B447" s="208"/>
      <c r="C447" s="208"/>
      <c r="D447" s="208"/>
    </row>
    <row r="448" spans="1:4">
      <c r="A448" s="208"/>
      <c r="B448" s="208"/>
      <c r="C448" s="208"/>
      <c r="D448" s="208"/>
    </row>
    <row r="449" spans="1:4">
      <c r="A449" s="208"/>
      <c r="B449" s="208"/>
      <c r="C449" s="208"/>
      <c r="D449" s="208"/>
    </row>
    <row r="450" spans="1:4">
      <c r="A450" s="208"/>
      <c r="B450" s="208"/>
      <c r="C450" s="208"/>
      <c r="D450" s="208"/>
    </row>
    <row r="451" spans="1:4">
      <c r="A451" s="208"/>
      <c r="B451" s="208"/>
      <c r="C451" s="208"/>
      <c r="D451" s="208"/>
    </row>
    <row r="452" spans="1:4">
      <c r="A452" s="208"/>
      <c r="B452" s="208"/>
      <c r="C452" s="208"/>
      <c r="D452" s="208"/>
    </row>
    <row r="453" spans="1:4">
      <c r="A453" s="208"/>
      <c r="B453" s="208"/>
      <c r="C453" s="208"/>
      <c r="D453" s="208"/>
    </row>
    <row r="454" spans="1:4">
      <c r="A454" s="208"/>
      <c r="B454" s="208"/>
      <c r="C454" s="208"/>
      <c r="D454" s="208"/>
    </row>
    <row r="455" spans="1:4">
      <c r="A455" s="208"/>
      <c r="B455" s="208"/>
      <c r="C455" s="208"/>
      <c r="D455" s="208"/>
    </row>
    <row r="456" spans="1:4">
      <c r="A456" s="208"/>
      <c r="B456" s="208"/>
      <c r="C456" s="208"/>
      <c r="D456" s="208"/>
    </row>
    <row r="457" spans="1:4">
      <c r="A457" s="208"/>
      <c r="B457" s="208"/>
      <c r="C457" s="208"/>
      <c r="D457" s="208"/>
    </row>
    <row r="458" spans="1:4">
      <c r="A458" s="208"/>
      <c r="B458" s="208"/>
      <c r="C458" s="208"/>
      <c r="D458" s="208"/>
    </row>
    <row r="459" spans="1:4">
      <c r="A459" s="208"/>
      <c r="B459" s="208"/>
      <c r="C459" s="208"/>
      <c r="D459" s="208"/>
    </row>
    <row r="460" spans="1:4">
      <c r="A460" s="208"/>
      <c r="B460" s="208"/>
      <c r="C460" s="208"/>
      <c r="D460" s="208"/>
    </row>
    <row r="461" spans="1:4">
      <c r="A461" s="208"/>
      <c r="B461" s="208"/>
      <c r="C461" s="208"/>
      <c r="D461" s="208"/>
    </row>
    <row r="462" spans="1:4">
      <c r="A462" s="208"/>
      <c r="B462" s="208"/>
      <c r="C462" s="208"/>
      <c r="D462" s="208"/>
    </row>
    <row r="463" spans="1:4">
      <c r="A463" s="208"/>
      <c r="B463" s="208"/>
      <c r="C463" s="208"/>
      <c r="D463" s="208"/>
    </row>
    <row r="464" spans="1:4">
      <c r="A464" s="208"/>
      <c r="B464" s="208"/>
      <c r="C464" s="208"/>
      <c r="D464" s="208"/>
    </row>
    <row r="465" spans="1:4">
      <c r="A465" s="208"/>
      <c r="B465" s="208"/>
      <c r="C465" s="208"/>
      <c r="D465" s="208"/>
    </row>
    <row r="466" spans="1:4">
      <c r="A466" s="208"/>
      <c r="B466" s="208"/>
      <c r="C466" s="208"/>
      <c r="D466" s="208"/>
    </row>
    <row r="467" spans="1:4">
      <c r="A467" s="208"/>
      <c r="B467" s="208"/>
      <c r="C467" s="208"/>
      <c r="D467" s="208"/>
    </row>
    <row r="468" spans="1:4">
      <c r="A468" s="208"/>
      <c r="B468" s="208"/>
      <c r="C468" s="208"/>
      <c r="D468" s="208"/>
    </row>
    <row r="469" spans="1:4">
      <c r="A469" s="208"/>
      <c r="B469" s="208"/>
      <c r="C469" s="208"/>
      <c r="D469" s="208"/>
    </row>
    <row r="470" spans="1:4">
      <c r="A470" s="208"/>
      <c r="B470" s="208"/>
      <c r="C470" s="208"/>
      <c r="D470" s="208"/>
    </row>
    <row r="471" spans="1:4">
      <c r="A471" s="208"/>
      <c r="B471" s="208"/>
      <c r="C471" s="208"/>
      <c r="D471" s="208"/>
    </row>
    <row r="472" spans="1:4">
      <c r="A472" s="208"/>
      <c r="B472" s="208"/>
      <c r="C472" s="208"/>
      <c r="D472" s="208"/>
    </row>
    <row r="473" spans="1:4">
      <c r="A473" s="208"/>
      <c r="B473" s="208"/>
      <c r="C473" s="208"/>
      <c r="D473" s="208"/>
    </row>
    <row r="474" spans="1:4">
      <c r="A474" s="208"/>
      <c r="B474" s="208"/>
      <c r="C474" s="208"/>
      <c r="D474" s="208"/>
    </row>
    <row r="475" spans="1:4">
      <c r="A475" s="208"/>
      <c r="B475" s="208"/>
      <c r="C475" s="208"/>
      <c r="D475" s="208"/>
    </row>
    <row r="476" spans="1:4">
      <c r="A476" s="208"/>
      <c r="B476" s="208"/>
      <c r="C476" s="208"/>
      <c r="D476" s="208"/>
    </row>
    <row r="477" spans="1:4">
      <c r="A477" s="208"/>
      <c r="B477" s="208"/>
      <c r="C477" s="208"/>
      <c r="D477" s="208"/>
    </row>
    <row r="478" spans="1:4">
      <c r="A478" s="208"/>
      <c r="B478" s="208"/>
      <c r="C478" s="208"/>
      <c r="D478" s="208"/>
    </row>
    <row r="479" spans="1:4">
      <c r="A479" s="208"/>
      <c r="B479" s="208"/>
      <c r="C479" s="208"/>
      <c r="D479" s="208"/>
    </row>
    <row r="480" spans="1:4">
      <c r="A480" s="208"/>
      <c r="B480" s="208"/>
      <c r="C480" s="208"/>
      <c r="D480" s="208"/>
    </row>
    <row r="481" spans="1:4">
      <c r="A481" s="208"/>
      <c r="B481" s="208"/>
      <c r="C481" s="208"/>
      <c r="D481" s="208"/>
    </row>
    <row r="482" spans="1:4">
      <c r="A482" s="208"/>
      <c r="B482" s="208"/>
      <c r="C482" s="208"/>
      <c r="D482" s="208"/>
    </row>
    <row r="483" spans="1:4">
      <c r="A483" s="208"/>
      <c r="B483" s="208"/>
      <c r="C483" s="208"/>
      <c r="D483" s="208"/>
    </row>
    <row r="484" spans="1:4">
      <c r="A484" s="208"/>
      <c r="B484" s="208"/>
      <c r="C484" s="208"/>
      <c r="D484" s="208"/>
    </row>
    <row r="485" spans="1:4">
      <c r="A485" s="208"/>
      <c r="B485" s="208"/>
      <c r="C485" s="208"/>
      <c r="D485" s="208"/>
    </row>
    <row r="486" spans="1:4">
      <c r="A486" s="208"/>
      <c r="B486" s="208"/>
      <c r="C486" s="208"/>
      <c r="D486" s="208"/>
    </row>
    <row r="487" spans="1:4">
      <c r="A487" s="208"/>
      <c r="B487" s="208"/>
      <c r="C487" s="208"/>
      <c r="D487" s="208"/>
    </row>
    <row r="488" spans="1:4">
      <c r="A488" s="208"/>
      <c r="B488" s="208"/>
      <c r="C488" s="208"/>
      <c r="D488" s="208"/>
    </row>
    <row r="489" spans="1:4">
      <c r="A489" s="208"/>
      <c r="B489" s="208"/>
      <c r="C489" s="208"/>
      <c r="D489" s="208"/>
    </row>
    <row r="490" spans="1:4">
      <c r="A490" s="208"/>
      <c r="B490" s="208"/>
      <c r="C490" s="208"/>
      <c r="D490" s="208"/>
    </row>
    <row r="491" spans="1:4">
      <c r="A491" s="208"/>
      <c r="B491" s="208"/>
      <c r="C491" s="208"/>
      <c r="D491" s="208"/>
    </row>
    <row r="492" spans="1:4">
      <c r="A492" s="208"/>
      <c r="B492" s="208"/>
      <c r="C492" s="208"/>
      <c r="D492" s="208"/>
    </row>
    <row r="493" spans="1:4">
      <c r="A493" s="208"/>
      <c r="B493" s="208"/>
      <c r="C493" s="208"/>
      <c r="D493" s="208"/>
    </row>
    <row r="494" spans="1:4">
      <c r="A494" s="208"/>
      <c r="B494" s="208"/>
      <c r="C494" s="208"/>
      <c r="D494" s="208"/>
    </row>
    <row r="495" spans="1:4">
      <c r="A495" s="208"/>
      <c r="B495" s="208"/>
      <c r="C495" s="208"/>
      <c r="D495" s="208"/>
    </row>
    <row r="496" spans="1:4">
      <c r="A496" s="208"/>
      <c r="B496" s="208"/>
      <c r="C496" s="208"/>
      <c r="D496" s="208"/>
    </row>
    <row r="497" spans="1:4">
      <c r="A497" s="208"/>
      <c r="B497" s="208"/>
      <c r="C497" s="208"/>
      <c r="D497" s="208"/>
    </row>
    <row r="498" spans="1:4">
      <c r="A498" s="208"/>
      <c r="B498" s="208"/>
      <c r="C498" s="208"/>
      <c r="D498" s="208"/>
    </row>
    <row r="499" spans="1:4">
      <c r="A499" s="208"/>
      <c r="B499" s="208"/>
      <c r="C499" s="208"/>
      <c r="D499" s="208"/>
    </row>
    <row r="500" spans="1:4">
      <c r="A500" s="208"/>
      <c r="B500" s="208"/>
      <c r="C500" s="208"/>
      <c r="D500" s="208"/>
    </row>
    <row r="501" spans="1:4">
      <c r="A501" s="208"/>
      <c r="B501" s="208"/>
      <c r="C501" s="208"/>
      <c r="D501" s="208"/>
    </row>
    <row r="502" spans="1:4">
      <c r="A502" s="208"/>
      <c r="B502" s="208"/>
      <c r="C502" s="208"/>
      <c r="D502" s="208"/>
    </row>
    <row r="503" spans="1:4">
      <c r="A503" s="208"/>
      <c r="B503" s="208"/>
      <c r="C503" s="208"/>
      <c r="D503" s="208"/>
    </row>
    <row r="504" spans="1:4">
      <c r="A504" s="208"/>
      <c r="B504" s="208"/>
      <c r="C504" s="208"/>
      <c r="D504" s="208"/>
    </row>
    <row r="505" spans="1:4">
      <c r="A505" s="208"/>
      <c r="B505" s="208"/>
      <c r="C505" s="208"/>
      <c r="D505" s="208"/>
    </row>
    <row r="506" spans="1:4">
      <c r="A506" s="208"/>
      <c r="B506" s="208"/>
      <c r="C506" s="208"/>
      <c r="D506" s="208"/>
    </row>
    <row r="507" spans="1:4">
      <c r="A507" s="208"/>
      <c r="B507" s="208"/>
      <c r="C507" s="208"/>
      <c r="D507" s="208"/>
    </row>
    <row r="508" spans="1:4">
      <c r="A508" s="208"/>
      <c r="B508" s="208"/>
      <c r="C508" s="208"/>
      <c r="D508" s="208"/>
    </row>
    <row r="509" spans="1:4">
      <c r="A509" s="208"/>
      <c r="B509" s="208"/>
      <c r="C509" s="208"/>
      <c r="D509" s="208"/>
    </row>
    <row r="510" spans="1:4">
      <c r="A510" s="208"/>
      <c r="B510" s="208"/>
      <c r="C510" s="208"/>
      <c r="D510" s="208"/>
    </row>
    <row r="511" spans="1:4">
      <c r="A511" s="208"/>
      <c r="B511" s="208"/>
      <c r="C511" s="208"/>
      <c r="D511" s="208"/>
    </row>
    <row r="512" spans="1:4">
      <c r="A512" s="208"/>
      <c r="B512" s="208"/>
      <c r="C512" s="208"/>
      <c r="D512" s="208"/>
    </row>
    <row r="513" spans="1:4">
      <c r="A513" s="208"/>
      <c r="B513" s="208"/>
      <c r="C513" s="208"/>
      <c r="D513" s="208"/>
    </row>
    <row r="514" spans="1:4">
      <c r="A514" s="208"/>
      <c r="B514" s="208"/>
      <c r="C514" s="208"/>
      <c r="D514" s="208"/>
    </row>
    <row r="515" spans="1:4">
      <c r="A515" s="208"/>
      <c r="B515" s="208"/>
      <c r="C515" s="208"/>
      <c r="D515" s="208"/>
    </row>
    <row r="516" spans="1:4">
      <c r="A516" s="208"/>
      <c r="B516" s="208"/>
      <c r="C516" s="208"/>
      <c r="D516" s="208"/>
    </row>
    <row r="517" spans="1:4">
      <c r="A517" s="208"/>
      <c r="B517" s="208"/>
      <c r="C517" s="208"/>
      <c r="D517" s="208"/>
    </row>
    <row r="518" spans="1:4">
      <c r="A518" s="208"/>
      <c r="B518" s="208"/>
      <c r="C518" s="208"/>
      <c r="D518" s="208"/>
    </row>
    <row r="519" spans="1:4">
      <c r="A519" s="208"/>
      <c r="B519" s="208"/>
      <c r="C519" s="208"/>
      <c r="D519" s="208"/>
    </row>
    <row r="520" spans="1:4">
      <c r="A520" s="208"/>
      <c r="B520" s="208"/>
      <c r="C520" s="208"/>
      <c r="D520" s="208"/>
    </row>
    <row r="521" spans="1:4">
      <c r="A521" s="208"/>
      <c r="B521" s="208"/>
      <c r="C521" s="208"/>
      <c r="D521" s="208"/>
    </row>
    <row r="522" spans="1:4">
      <c r="A522" s="208"/>
      <c r="B522" s="208"/>
      <c r="C522" s="208"/>
      <c r="D522" s="208"/>
    </row>
    <row r="523" spans="1:4">
      <c r="A523" s="208"/>
      <c r="B523" s="208"/>
      <c r="C523" s="208"/>
      <c r="D523" s="208"/>
    </row>
    <row r="524" spans="1:4">
      <c r="A524" s="208"/>
      <c r="B524" s="208"/>
      <c r="C524" s="208"/>
      <c r="D524" s="208"/>
    </row>
    <row r="525" spans="1:4">
      <c r="A525" s="208"/>
      <c r="B525" s="208"/>
      <c r="C525" s="208"/>
      <c r="D525" s="208"/>
    </row>
    <row r="526" spans="1:4">
      <c r="A526" s="208"/>
      <c r="B526" s="208"/>
      <c r="C526" s="208"/>
      <c r="D526" s="208"/>
    </row>
    <row r="527" spans="1:4">
      <c r="A527" s="208"/>
      <c r="B527" s="208"/>
      <c r="C527" s="208"/>
      <c r="D527" s="208"/>
    </row>
    <row r="528" spans="1:4">
      <c r="A528" s="208"/>
      <c r="B528" s="208"/>
      <c r="C528" s="208"/>
      <c r="D528" s="208"/>
    </row>
    <row r="529" spans="1:4">
      <c r="A529" s="208"/>
      <c r="B529" s="208"/>
      <c r="C529" s="208"/>
      <c r="D529" s="208"/>
    </row>
    <row r="530" spans="1:4">
      <c r="A530" s="208"/>
      <c r="B530" s="208"/>
      <c r="C530" s="208"/>
      <c r="D530" s="208"/>
    </row>
    <row r="531" spans="1:4">
      <c r="A531" s="208"/>
      <c r="B531" s="208"/>
      <c r="C531" s="208"/>
      <c r="D531" s="208"/>
    </row>
    <row r="532" spans="1:4">
      <c r="A532" s="208"/>
      <c r="B532" s="208"/>
      <c r="C532" s="208"/>
      <c r="D532" s="208"/>
    </row>
    <row r="533" spans="1:4">
      <c r="A533" s="208"/>
      <c r="B533" s="208"/>
      <c r="C533" s="208"/>
      <c r="D533" s="208"/>
    </row>
    <row r="534" spans="1:4">
      <c r="A534" s="208"/>
      <c r="B534" s="208"/>
      <c r="C534" s="208"/>
      <c r="D534" s="208"/>
    </row>
    <row r="535" spans="1:4">
      <c r="A535" s="208"/>
      <c r="B535" s="208"/>
      <c r="C535" s="208"/>
      <c r="D535" s="208"/>
    </row>
    <row r="536" spans="1:4">
      <c r="A536" s="208"/>
      <c r="B536" s="208"/>
      <c r="C536" s="208"/>
      <c r="D536" s="208"/>
    </row>
    <row r="537" spans="1:4">
      <c r="A537" s="208"/>
      <c r="B537" s="208"/>
      <c r="C537" s="208"/>
      <c r="D537" s="208"/>
    </row>
    <row r="538" spans="1:4">
      <c r="A538" s="208"/>
      <c r="B538" s="208"/>
      <c r="C538" s="208"/>
      <c r="D538" s="208"/>
    </row>
    <row r="539" spans="1:4">
      <c r="A539" s="208"/>
      <c r="B539" s="208"/>
      <c r="C539" s="208"/>
      <c r="D539" s="208"/>
    </row>
    <row r="540" spans="1:4">
      <c r="A540" s="208"/>
      <c r="B540" s="208"/>
      <c r="C540" s="208"/>
      <c r="D540" s="20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"/>
  <sheetViews>
    <sheetView workbookViewId="0"/>
  </sheetViews>
  <sheetFormatPr baseColWidth="10" defaultColWidth="12.6640625" defaultRowHeight="15" customHeight="1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Z982"/>
  <sheetViews>
    <sheetView workbookViewId="0"/>
  </sheetViews>
  <sheetFormatPr baseColWidth="10" defaultColWidth="12.6640625" defaultRowHeight="15" customHeight="1"/>
  <cols>
    <col min="1" max="1" width="21.1640625" customWidth="1"/>
    <col min="2" max="2" width="5.6640625" customWidth="1"/>
    <col min="3" max="3" width="10.5" customWidth="1"/>
    <col min="4" max="5" width="21.6640625" customWidth="1"/>
    <col min="10" max="10" width="23.6640625" customWidth="1"/>
    <col min="11" max="11" width="31" customWidth="1"/>
    <col min="12" max="12" width="34.6640625" customWidth="1"/>
    <col min="27" max="27" width="22.1640625" customWidth="1"/>
    <col min="30" max="30" width="17.5" customWidth="1"/>
  </cols>
  <sheetData>
    <row r="1" spans="1:52">
      <c r="A1" s="209" t="s">
        <v>3953</v>
      </c>
      <c r="B1" s="209" t="s">
        <v>2823</v>
      </c>
      <c r="C1" s="210" t="s">
        <v>2829</v>
      </c>
      <c r="D1" s="209" t="s">
        <v>2831</v>
      </c>
      <c r="E1" s="209" t="s">
        <v>3954</v>
      </c>
      <c r="F1" s="211" t="s">
        <v>3955</v>
      </c>
      <c r="G1" s="212" t="s">
        <v>3956</v>
      </c>
      <c r="H1" s="212" t="s">
        <v>3957</v>
      </c>
      <c r="I1" s="212" t="s">
        <v>3958</v>
      </c>
      <c r="J1" s="209" t="s">
        <v>3959</v>
      </c>
      <c r="K1" s="209" t="s">
        <v>3960</v>
      </c>
      <c r="L1" s="209" t="s">
        <v>3961</v>
      </c>
      <c r="M1" s="209" t="s">
        <v>3962</v>
      </c>
      <c r="N1" s="209" t="s">
        <v>3963</v>
      </c>
      <c r="O1" s="209" t="s">
        <v>3964</v>
      </c>
      <c r="P1" s="209" t="s">
        <v>3965</v>
      </c>
      <c r="Q1" s="209" t="s">
        <v>3966</v>
      </c>
      <c r="R1" s="209" t="s">
        <v>3967</v>
      </c>
      <c r="S1" s="209" t="s">
        <v>3968</v>
      </c>
      <c r="T1" s="209" t="s">
        <v>3969</v>
      </c>
      <c r="U1" s="209" t="s">
        <v>3970</v>
      </c>
      <c r="V1" s="209" t="s">
        <v>3971</v>
      </c>
      <c r="W1" s="209" t="s">
        <v>3972</v>
      </c>
      <c r="X1" s="209" t="s">
        <v>3973</v>
      </c>
      <c r="Y1" s="213" t="s">
        <v>3974</v>
      </c>
      <c r="Z1" s="209" t="s">
        <v>3975</v>
      </c>
      <c r="AA1" s="214" t="s">
        <v>3976</v>
      </c>
      <c r="AB1" s="215" t="s">
        <v>3977</v>
      </c>
      <c r="AC1" s="215" t="s">
        <v>3978</v>
      </c>
      <c r="AD1" s="215" t="s">
        <v>3979</v>
      </c>
      <c r="AE1" s="211" t="s">
        <v>3980</v>
      </c>
      <c r="AF1" s="213" t="s">
        <v>3981</v>
      </c>
      <c r="AG1" s="209" t="s">
        <v>3982</v>
      </c>
      <c r="AH1" s="209" t="s">
        <v>3983</v>
      </c>
      <c r="AI1" s="209" t="s">
        <v>3984</v>
      </c>
      <c r="AJ1" s="209"/>
      <c r="AK1" s="209"/>
      <c r="AL1" s="209"/>
      <c r="AM1" s="209"/>
      <c r="AN1" s="209"/>
      <c r="AO1" s="209"/>
      <c r="AP1" s="209"/>
      <c r="AQ1" s="209"/>
      <c r="AR1" s="209"/>
      <c r="AS1" s="209"/>
      <c r="AT1" s="209"/>
      <c r="AU1" s="209"/>
      <c r="AV1" s="209"/>
      <c r="AW1" s="209"/>
      <c r="AX1" s="209"/>
      <c r="AY1" s="209"/>
      <c r="AZ1" s="209"/>
    </row>
    <row r="2" spans="1:52">
      <c r="A2" s="216" t="str">
        <f ca="1">IF(D2="","",VLOOKUP(G2,códigosORL!$H:$J,3,FALSE))</f>
        <v>Cristina Molina Martínez</v>
      </c>
      <c r="B2" s="216" t="str">
        <f t="shared" ref="B2:B58" si="0">MID(C2,6,2)</f>
        <v>01</v>
      </c>
      <c r="C2" s="217" t="str">
        <f t="shared" ref="C2:C66" si="1">LEFT(O2,10)</f>
        <v>2025-01-31</v>
      </c>
      <c r="D2" s="216" t="str">
        <f t="shared" ref="D2:D7" si="2">L2</f>
        <v>Cristina Molina Martínez</v>
      </c>
      <c r="E2" s="216" t="str">
        <f t="shared" ref="E2:E7" si="3">AA2</f>
        <v>Cristina Molina Martínez</v>
      </c>
      <c r="F2" s="211" t="s">
        <v>3985</v>
      </c>
      <c r="G2" s="218" t="s">
        <v>614</v>
      </c>
      <c r="H2" s="218" t="s">
        <v>3986</v>
      </c>
      <c r="I2" s="218" t="s">
        <v>3987</v>
      </c>
      <c r="J2" s="218" t="s">
        <v>3988</v>
      </c>
      <c r="K2" s="219" t="s">
        <v>3989</v>
      </c>
      <c r="L2" s="218" t="s">
        <v>616</v>
      </c>
      <c r="M2" s="220"/>
      <c r="N2" s="218" t="s">
        <v>3990</v>
      </c>
      <c r="O2" s="218" t="s">
        <v>3991</v>
      </c>
      <c r="P2" s="218" t="s">
        <v>3992</v>
      </c>
      <c r="Q2" s="218" t="s">
        <v>3993</v>
      </c>
      <c r="R2" s="218" t="s">
        <v>3993</v>
      </c>
      <c r="S2" s="220"/>
      <c r="T2" s="220"/>
      <c r="U2" s="218" t="s">
        <v>3994</v>
      </c>
      <c r="V2" s="219" t="s">
        <v>3995</v>
      </c>
      <c r="W2" s="218" t="s">
        <v>3996</v>
      </c>
      <c r="X2" s="220" t="s">
        <v>3092</v>
      </c>
      <c r="Y2" s="128" t="s">
        <v>3997</v>
      </c>
      <c r="Z2" s="218">
        <v>37396</v>
      </c>
      <c r="AA2" s="221" t="s">
        <v>616</v>
      </c>
      <c r="AB2" s="130">
        <v>8860</v>
      </c>
      <c r="AC2" s="130" t="s">
        <v>3090</v>
      </c>
      <c r="AD2" s="130" t="s">
        <v>3998</v>
      </c>
      <c r="AE2" s="133"/>
      <c r="AF2" s="128" t="s">
        <v>3999</v>
      </c>
      <c r="AG2" s="218" t="s">
        <v>4000</v>
      </c>
      <c r="AH2" s="220"/>
      <c r="AI2" s="218" t="s">
        <v>4001</v>
      </c>
      <c r="AJ2" s="218"/>
      <c r="AK2" s="218"/>
      <c r="AL2" s="218"/>
      <c r="AM2" s="218"/>
      <c r="AN2" s="218"/>
      <c r="AO2" s="218"/>
      <c r="AP2" s="218"/>
      <c r="AQ2" s="218"/>
      <c r="AR2" s="218"/>
      <c r="AS2" s="218"/>
      <c r="AT2" s="218"/>
      <c r="AU2" s="218"/>
      <c r="AV2" s="218"/>
      <c r="AW2" s="218"/>
      <c r="AX2" s="218"/>
      <c r="AY2" s="218"/>
      <c r="AZ2" s="218"/>
    </row>
    <row r="3" spans="1:52">
      <c r="A3" s="216" t="str">
        <f ca="1">IF(D3="","",VLOOKUP(G3,códigosORL!$H:$J,3,FALSE))</f>
        <v>Luis Martínez Bernabeu</v>
      </c>
      <c r="B3" s="216" t="str">
        <f t="shared" si="0"/>
        <v>01</v>
      </c>
      <c r="C3" s="217" t="str">
        <f t="shared" si="1"/>
        <v>2025-01-10</v>
      </c>
      <c r="D3" s="216" t="str">
        <f t="shared" si="2"/>
        <v>Luis Martínez Bernabeu</v>
      </c>
      <c r="E3" s="216" t="str">
        <f t="shared" si="3"/>
        <v>Luis Martínez Bernabeu</v>
      </c>
      <c r="F3" s="211" t="s">
        <v>4002</v>
      </c>
      <c r="G3" s="218" t="s">
        <v>1791</v>
      </c>
      <c r="H3" s="218" t="s">
        <v>3986</v>
      </c>
      <c r="I3" s="218" t="s">
        <v>4003</v>
      </c>
      <c r="J3" s="218" t="s">
        <v>4004</v>
      </c>
      <c r="K3" s="219" t="s">
        <v>4005</v>
      </c>
      <c r="L3" s="218" t="s">
        <v>4006</v>
      </c>
      <c r="M3" s="220"/>
      <c r="N3" s="218" t="s">
        <v>3990</v>
      </c>
      <c r="O3" s="218" t="s">
        <v>4007</v>
      </c>
      <c r="P3" s="218" t="s">
        <v>4008</v>
      </c>
      <c r="Q3" s="218" t="s">
        <v>3993</v>
      </c>
      <c r="R3" s="218" t="s">
        <v>3993</v>
      </c>
      <c r="S3" s="220"/>
      <c r="T3" s="220"/>
      <c r="U3" s="218" t="s">
        <v>3994</v>
      </c>
      <c r="V3" s="219" t="s">
        <v>4009</v>
      </c>
      <c r="W3" s="218" t="s">
        <v>3996</v>
      </c>
      <c r="X3" s="220"/>
      <c r="Y3" s="222"/>
      <c r="Z3" s="220"/>
      <c r="AA3" s="223" t="s">
        <v>4006</v>
      </c>
      <c r="AB3" s="222"/>
      <c r="AC3" s="222"/>
      <c r="AD3" s="222"/>
      <c r="AE3" s="224"/>
      <c r="AF3" s="225"/>
      <c r="AG3" s="220"/>
      <c r="AH3" s="220"/>
      <c r="AI3" s="220"/>
      <c r="AJ3" s="220"/>
      <c r="AK3" s="220"/>
      <c r="AL3" s="220"/>
      <c r="AM3" s="220"/>
      <c r="AN3" s="220"/>
      <c r="AO3" s="220"/>
      <c r="AP3" s="220"/>
      <c r="AQ3" s="220"/>
      <c r="AR3" s="220"/>
      <c r="AS3" s="220"/>
      <c r="AT3" s="220"/>
      <c r="AU3" s="220"/>
      <c r="AV3" s="220"/>
      <c r="AW3" s="220"/>
      <c r="AX3" s="220"/>
      <c r="AY3" s="220"/>
      <c r="AZ3" s="220"/>
    </row>
    <row r="4" spans="1:52">
      <c r="A4" s="216" t="str">
        <f ca="1">IF(D4="","",VLOOKUP(G4,códigosORL!$H:$J,3,FALSE))</f>
        <v>Luis Fidel Nieto Hernández</v>
      </c>
      <c r="B4" s="216" t="str">
        <f t="shared" si="0"/>
        <v>01</v>
      </c>
      <c r="C4" s="217" t="str">
        <f t="shared" si="1"/>
        <v>2025-01-30</v>
      </c>
      <c r="D4" s="216" t="str">
        <f t="shared" si="2"/>
        <v>Luis Fidel Nieto Hernández</v>
      </c>
      <c r="E4" s="216" t="str">
        <f t="shared" si="3"/>
        <v>Luis Fidel Nieto Hernandez</v>
      </c>
      <c r="F4" s="211" t="s">
        <v>4010</v>
      </c>
      <c r="G4" s="218" t="s">
        <v>1773</v>
      </c>
      <c r="H4" s="218" t="s">
        <v>3986</v>
      </c>
      <c r="I4" s="218" t="s">
        <v>4011</v>
      </c>
      <c r="J4" s="218" t="s">
        <v>3988</v>
      </c>
      <c r="K4" s="219" t="s">
        <v>4012</v>
      </c>
      <c r="L4" s="220" t="s">
        <v>4013</v>
      </c>
      <c r="M4" s="220"/>
      <c r="N4" s="218" t="s">
        <v>3990</v>
      </c>
      <c r="O4" s="218" t="s">
        <v>4014</v>
      </c>
      <c r="P4" s="218" t="s">
        <v>4015</v>
      </c>
      <c r="Q4" s="218" t="s">
        <v>3993</v>
      </c>
      <c r="R4" s="218" t="s">
        <v>3993</v>
      </c>
      <c r="S4" s="220"/>
      <c r="T4" s="220"/>
      <c r="U4" s="218" t="s">
        <v>3994</v>
      </c>
      <c r="V4" s="219" t="s">
        <v>4016</v>
      </c>
      <c r="W4" s="218" t="s">
        <v>3996</v>
      </c>
      <c r="X4" s="218" t="s">
        <v>4017</v>
      </c>
      <c r="Y4" s="128" t="s">
        <v>4018</v>
      </c>
      <c r="Z4" s="218">
        <v>41005</v>
      </c>
      <c r="AA4" s="221" t="s">
        <v>3125</v>
      </c>
      <c r="AB4" s="130">
        <v>41005</v>
      </c>
      <c r="AC4" s="130" t="s">
        <v>3126</v>
      </c>
      <c r="AD4" s="130" t="s">
        <v>3125</v>
      </c>
      <c r="AE4" s="133" t="s">
        <v>4019</v>
      </c>
      <c r="AF4" s="128" t="s">
        <v>4019</v>
      </c>
      <c r="AG4" s="218" t="s">
        <v>3125</v>
      </c>
      <c r="AH4" s="220"/>
      <c r="AI4" s="218" t="s">
        <v>4019</v>
      </c>
      <c r="AJ4" s="218"/>
      <c r="AK4" s="218"/>
      <c r="AL4" s="218"/>
      <c r="AM4" s="218"/>
      <c r="AN4" s="218"/>
      <c r="AO4" s="218"/>
      <c r="AP4" s="218"/>
      <c r="AQ4" s="218"/>
      <c r="AR4" s="218"/>
      <c r="AS4" s="218"/>
      <c r="AT4" s="218"/>
      <c r="AU4" s="218"/>
      <c r="AV4" s="218"/>
      <c r="AW4" s="218"/>
      <c r="AX4" s="218"/>
      <c r="AY4" s="218"/>
      <c r="AZ4" s="218"/>
    </row>
    <row r="5" spans="1:52">
      <c r="A5" s="216" t="str">
        <f ca="1">IF(D5="","",VLOOKUP(G5,códigosORL!$H:$J,3,FALSE))</f>
        <v>Manuel González Juliao</v>
      </c>
      <c r="B5" s="216" t="str">
        <f t="shared" si="0"/>
        <v>01</v>
      </c>
      <c r="C5" s="217" t="str">
        <f t="shared" si="1"/>
        <v>2025-01-20</v>
      </c>
      <c r="D5" s="216" t="str">
        <f t="shared" si="2"/>
        <v>Manuel González Juliao</v>
      </c>
      <c r="E5" s="216" t="str">
        <f t="shared" si="3"/>
        <v>Manuel González</v>
      </c>
      <c r="F5" s="211" t="s">
        <v>4020</v>
      </c>
      <c r="G5" s="218" t="s">
        <v>1848</v>
      </c>
      <c r="H5" s="218" t="s">
        <v>3986</v>
      </c>
      <c r="I5" s="218" t="s">
        <v>4021</v>
      </c>
      <c r="J5" s="218" t="s">
        <v>4022</v>
      </c>
      <c r="K5" s="219" t="s">
        <v>4023</v>
      </c>
      <c r="L5" s="218" t="s">
        <v>1850</v>
      </c>
      <c r="M5" s="220"/>
      <c r="N5" s="218" t="s">
        <v>3990</v>
      </c>
      <c r="O5" s="218" t="s">
        <v>4024</v>
      </c>
      <c r="P5" s="218" t="s">
        <v>4025</v>
      </c>
      <c r="Q5" s="218" t="s">
        <v>3993</v>
      </c>
      <c r="R5" s="218" t="s">
        <v>3993</v>
      </c>
      <c r="S5" s="220"/>
      <c r="T5" s="220"/>
      <c r="U5" s="218" t="s">
        <v>3994</v>
      </c>
      <c r="V5" s="219" t="s">
        <v>4026</v>
      </c>
      <c r="W5" s="218" t="s">
        <v>3996</v>
      </c>
      <c r="X5" s="218" t="s">
        <v>4027</v>
      </c>
      <c r="Y5" s="128" t="s">
        <v>4028</v>
      </c>
      <c r="Z5" s="218">
        <v>2864549</v>
      </c>
      <c r="AA5" s="221" t="s">
        <v>4029</v>
      </c>
      <c r="AB5" s="130">
        <v>2864549</v>
      </c>
      <c r="AC5" s="130" t="s">
        <v>4030</v>
      </c>
      <c r="AD5" s="130" t="s">
        <v>4029</v>
      </c>
      <c r="AE5" s="133" t="s">
        <v>4031</v>
      </c>
      <c r="AF5" s="225" t="s">
        <v>4031</v>
      </c>
      <c r="AG5" s="218" t="s">
        <v>4029</v>
      </c>
      <c r="AH5" s="220"/>
      <c r="AI5" s="220"/>
      <c r="AJ5" s="220"/>
      <c r="AK5" s="220"/>
      <c r="AL5" s="220"/>
      <c r="AM5" s="220"/>
      <c r="AN5" s="220"/>
      <c r="AO5" s="220"/>
      <c r="AP5" s="220"/>
      <c r="AQ5" s="220"/>
      <c r="AR5" s="220"/>
      <c r="AS5" s="220"/>
      <c r="AT5" s="220"/>
      <c r="AU5" s="220"/>
      <c r="AV5" s="220"/>
      <c r="AW5" s="220"/>
      <c r="AX5" s="220"/>
      <c r="AY5" s="220"/>
      <c r="AZ5" s="220"/>
    </row>
    <row r="6" spans="1:52">
      <c r="A6" s="216" t="str">
        <f ca="1">IF(D6="","",VLOOKUP(G6,códigosORL!$H:$J,3,FALSE))</f>
        <v>Alejandra Jara Maquilón</v>
      </c>
      <c r="B6" s="216" t="str">
        <f t="shared" si="0"/>
        <v>01</v>
      </c>
      <c r="C6" s="217" t="str">
        <f t="shared" si="1"/>
        <v>2025-01-10</v>
      </c>
      <c r="D6" s="216" t="str">
        <f t="shared" si="2"/>
        <v>Alejandra Jara Maquilon</v>
      </c>
      <c r="E6" s="216" t="str">
        <f t="shared" si="3"/>
        <v>Alejandra Jara Maquilon</v>
      </c>
      <c r="F6" s="211" t="s">
        <v>4032</v>
      </c>
      <c r="G6" s="218" t="s">
        <v>99</v>
      </c>
      <c r="H6" s="218" t="s">
        <v>3986</v>
      </c>
      <c r="I6" s="218" t="s">
        <v>4033</v>
      </c>
      <c r="J6" s="218" t="s">
        <v>4034</v>
      </c>
      <c r="K6" s="226" t="s">
        <v>4035</v>
      </c>
      <c r="L6" s="218" t="s">
        <v>4036</v>
      </c>
      <c r="M6" s="220"/>
      <c r="N6" s="218" t="s">
        <v>3990</v>
      </c>
      <c r="O6" s="218" t="s">
        <v>4037</v>
      </c>
      <c r="P6" s="218" t="s">
        <v>4038</v>
      </c>
      <c r="Q6" s="218" t="s">
        <v>3993</v>
      </c>
      <c r="R6" s="218" t="s">
        <v>3993</v>
      </c>
      <c r="S6" s="220"/>
      <c r="T6" s="220"/>
      <c r="U6" s="218" t="s">
        <v>3994</v>
      </c>
      <c r="V6" s="219" t="s">
        <v>4039</v>
      </c>
      <c r="W6" s="218" t="s">
        <v>3996</v>
      </c>
      <c r="X6" s="220" t="s">
        <v>2866</v>
      </c>
      <c r="Y6" s="222" t="s">
        <v>4040</v>
      </c>
      <c r="Z6" s="220"/>
      <c r="AA6" s="223" t="s">
        <v>4036</v>
      </c>
      <c r="AB6" s="222">
        <v>30003</v>
      </c>
      <c r="AC6" s="222" t="s">
        <v>4041</v>
      </c>
      <c r="AD6" s="222"/>
      <c r="AE6" s="224" t="s">
        <v>2869</v>
      </c>
      <c r="AF6" s="225" t="s">
        <v>2869</v>
      </c>
      <c r="AG6" s="220"/>
      <c r="AH6" s="220"/>
      <c r="AI6" s="220"/>
      <c r="AJ6" s="220"/>
      <c r="AK6" s="220"/>
      <c r="AL6" s="220"/>
      <c r="AM6" s="220"/>
      <c r="AN6" s="220"/>
      <c r="AO6" s="220"/>
      <c r="AP6" s="220"/>
      <c r="AQ6" s="220"/>
      <c r="AR6" s="220"/>
      <c r="AS6" s="220"/>
      <c r="AT6" s="220"/>
      <c r="AU6" s="220"/>
      <c r="AV6" s="220"/>
      <c r="AW6" s="220"/>
      <c r="AX6" s="220"/>
      <c r="AY6" s="220"/>
      <c r="AZ6" s="220"/>
    </row>
    <row r="7" spans="1:52">
      <c r="A7" s="216" t="str">
        <f ca="1">IF(D7="","",VLOOKUP(G7,códigosORL!$H:$J,3,FALSE))</f>
        <v>Enrique Gómez Aldaz</v>
      </c>
      <c r="B7" s="216" t="str">
        <f t="shared" si="0"/>
        <v>01</v>
      </c>
      <c r="C7" s="217" t="str">
        <f t="shared" si="1"/>
        <v>2025-01-15</v>
      </c>
      <c r="D7" s="216" t="str">
        <f t="shared" si="2"/>
        <v>Enrique Gómez Aldaz</v>
      </c>
      <c r="E7" s="216" t="str">
        <f t="shared" si="3"/>
        <v>Enrique Gómez Aldaz</v>
      </c>
      <c r="F7" s="211" t="s">
        <v>4042</v>
      </c>
      <c r="G7" s="218" t="s">
        <v>762</v>
      </c>
      <c r="H7" s="218" t="s">
        <v>3986</v>
      </c>
      <c r="I7" s="218" t="s">
        <v>4043</v>
      </c>
      <c r="J7" s="218" t="s">
        <v>4022</v>
      </c>
      <c r="K7" s="227" t="s">
        <v>4044</v>
      </c>
      <c r="L7" s="218" t="s">
        <v>764</v>
      </c>
      <c r="M7" s="220"/>
      <c r="N7" s="218" t="s">
        <v>3990</v>
      </c>
      <c r="O7" s="218" t="s">
        <v>4045</v>
      </c>
      <c r="P7" s="218" t="s">
        <v>4046</v>
      </c>
      <c r="Q7" s="218" t="s">
        <v>3993</v>
      </c>
      <c r="R7" s="218" t="s">
        <v>3993</v>
      </c>
      <c r="S7" s="220"/>
      <c r="T7" s="220"/>
      <c r="U7" s="218" t="s">
        <v>3994</v>
      </c>
      <c r="V7" s="219" t="s">
        <v>4047</v>
      </c>
      <c r="W7" s="218" t="s">
        <v>3996</v>
      </c>
      <c r="X7" s="218" t="s">
        <v>3135</v>
      </c>
      <c r="Y7" s="128" t="s">
        <v>4048</v>
      </c>
      <c r="Z7" s="218">
        <v>4114254</v>
      </c>
      <c r="AA7" s="221" t="s">
        <v>764</v>
      </c>
      <c r="AB7" s="130">
        <v>4114254</v>
      </c>
      <c r="AC7" s="130" t="s">
        <v>4049</v>
      </c>
      <c r="AD7" s="130" t="s">
        <v>764</v>
      </c>
      <c r="AE7" s="133" t="s">
        <v>4019</v>
      </c>
      <c r="AF7" s="225" t="s">
        <v>4019</v>
      </c>
      <c r="AG7" s="218" t="s">
        <v>764</v>
      </c>
      <c r="AH7" s="220"/>
      <c r="AI7" s="220"/>
      <c r="AJ7" s="220"/>
      <c r="AK7" s="220"/>
      <c r="AL7" s="220"/>
      <c r="AM7" s="220"/>
      <c r="AN7" s="220"/>
      <c r="AO7" s="220"/>
      <c r="AP7" s="220"/>
      <c r="AQ7" s="220"/>
      <c r="AR7" s="220"/>
      <c r="AS7" s="220"/>
      <c r="AT7" s="220"/>
      <c r="AU7" s="220"/>
      <c r="AV7" s="220"/>
      <c r="AW7" s="220"/>
      <c r="AX7" s="220"/>
      <c r="AY7" s="220"/>
      <c r="AZ7" s="220"/>
    </row>
    <row r="8" spans="1:52">
      <c r="A8" s="216" t="str">
        <f>IF(D8="","",VLOOKUP(G8,códigosORL!$H:$J,3,FALSE))</f>
        <v/>
      </c>
      <c r="B8" s="228" t="str">
        <f t="shared" si="0"/>
        <v/>
      </c>
      <c r="C8" s="229" t="str">
        <f t="shared" si="1"/>
        <v/>
      </c>
      <c r="D8" s="228"/>
      <c r="E8" s="216"/>
      <c r="F8" s="230" t="s">
        <v>4050</v>
      </c>
      <c r="G8" s="231" t="s">
        <v>4051</v>
      </c>
      <c r="H8" s="231" t="s">
        <v>3986</v>
      </c>
      <c r="I8" s="231" t="s">
        <v>4052</v>
      </c>
      <c r="J8" s="231" t="s">
        <v>4022</v>
      </c>
      <c r="K8" s="232" t="s">
        <v>4053</v>
      </c>
      <c r="L8" s="231" t="s">
        <v>764</v>
      </c>
      <c r="M8" s="231"/>
      <c r="N8" s="231" t="s">
        <v>3990</v>
      </c>
      <c r="O8" s="231"/>
      <c r="P8" s="231" t="s">
        <v>4054</v>
      </c>
      <c r="Q8" s="231" t="s">
        <v>3993</v>
      </c>
      <c r="R8" s="231" t="s">
        <v>3993</v>
      </c>
      <c r="S8" s="231"/>
      <c r="T8" s="231"/>
      <c r="U8" s="231" t="s">
        <v>3994</v>
      </c>
      <c r="V8" s="232" t="s">
        <v>4055</v>
      </c>
      <c r="W8" s="231" t="s">
        <v>3996</v>
      </c>
      <c r="X8" s="231" t="s">
        <v>4056</v>
      </c>
      <c r="Y8" s="233" t="s">
        <v>4057</v>
      </c>
      <c r="Z8" s="231" t="s">
        <v>4058</v>
      </c>
      <c r="AA8" s="234" t="s">
        <v>4059</v>
      </c>
      <c r="AB8" s="235" t="s">
        <v>4060</v>
      </c>
      <c r="AC8" s="235"/>
      <c r="AD8" s="235" t="s">
        <v>4061</v>
      </c>
      <c r="AE8" s="236" t="s">
        <v>4062</v>
      </c>
      <c r="AF8" s="233"/>
      <c r="AG8" s="231" t="s">
        <v>4061</v>
      </c>
      <c r="AH8" s="231"/>
      <c r="AI8" s="231"/>
      <c r="AJ8" s="231"/>
      <c r="AK8" s="231"/>
      <c r="AL8" s="231"/>
      <c r="AM8" s="231"/>
      <c r="AN8" s="231"/>
      <c r="AO8" s="231"/>
      <c r="AP8" s="231"/>
      <c r="AQ8" s="231"/>
      <c r="AR8" s="231"/>
      <c r="AS8" s="231"/>
      <c r="AT8" s="231"/>
      <c r="AU8" s="231"/>
      <c r="AV8" s="231"/>
      <c r="AW8" s="231"/>
      <c r="AX8" s="231"/>
      <c r="AY8" s="231"/>
      <c r="AZ8" s="231"/>
    </row>
    <row r="9" spans="1:52">
      <c r="A9" s="216" t="str">
        <f ca="1">IF(D9="","",VLOOKUP(G9,códigosORL!$H:$J,3,FALSE))</f>
        <v>María Rey Marcos</v>
      </c>
      <c r="B9" s="216" t="str">
        <f t="shared" si="0"/>
        <v>01</v>
      </c>
      <c r="C9" s="217" t="str">
        <f t="shared" si="1"/>
        <v>2025-01-16</v>
      </c>
      <c r="D9" s="216" t="str">
        <f t="shared" ref="D9:D66" si="4">L9</f>
        <v>María Rey Marcos</v>
      </c>
      <c r="E9" s="216" t="str">
        <f t="shared" ref="E9:E66" si="5">AA9</f>
        <v>María Rey Marcos</v>
      </c>
      <c r="F9" s="211" t="s">
        <v>4063</v>
      </c>
      <c r="G9" s="218" t="s">
        <v>2078</v>
      </c>
      <c r="H9" s="218" t="s">
        <v>3986</v>
      </c>
      <c r="I9" s="218" t="s">
        <v>4064</v>
      </c>
      <c r="J9" s="218" t="s">
        <v>4065</v>
      </c>
      <c r="K9" s="219" t="s">
        <v>4066</v>
      </c>
      <c r="L9" s="218" t="s">
        <v>2080</v>
      </c>
      <c r="M9" s="220"/>
      <c r="N9" s="218" t="s">
        <v>3990</v>
      </c>
      <c r="O9" s="218" t="s">
        <v>4067</v>
      </c>
      <c r="P9" s="218" t="s">
        <v>4068</v>
      </c>
      <c r="Q9" s="218" t="s">
        <v>3993</v>
      </c>
      <c r="R9" s="218" t="s">
        <v>3993</v>
      </c>
      <c r="S9" s="220"/>
      <c r="T9" s="220"/>
      <c r="U9" s="218" t="s">
        <v>3994</v>
      </c>
      <c r="V9" s="219" t="s">
        <v>4069</v>
      </c>
      <c r="W9" s="218" t="s">
        <v>3996</v>
      </c>
      <c r="X9" s="220" t="s">
        <v>2903</v>
      </c>
      <c r="Y9" s="225" t="s">
        <v>4070</v>
      </c>
      <c r="Z9" s="220"/>
      <c r="AA9" s="223" t="s">
        <v>2080</v>
      </c>
      <c r="AB9" s="237">
        <v>32005</v>
      </c>
      <c r="AC9" s="237" t="s">
        <v>2901</v>
      </c>
      <c r="AD9" s="237" t="s">
        <v>2080</v>
      </c>
      <c r="AE9" s="224" t="s">
        <v>4071</v>
      </c>
      <c r="AF9" s="225" t="s">
        <v>4071</v>
      </c>
      <c r="AG9" s="220"/>
      <c r="AH9" s="220"/>
      <c r="AI9" s="220" t="s">
        <v>4071</v>
      </c>
      <c r="AJ9" s="220"/>
      <c r="AK9" s="220"/>
      <c r="AL9" s="220"/>
      <c r="AM9" s="220"/>
      <c r="AN9" s="220"/>
      <c r="AO9" s="220"/>
      <c r="AP9" s="220"/>
      <c r="AQ9" s="220"/>
      <c r="AR9" s="220"/>
      <c r="AS9" s="220"/>
      <c r="AT9" s="220"/>
      <c r="AU9" s="220"/>
      <c r="AV9" s="220"/>
      <c r="AW9" s="220"/>
      <c r="AX9" s="220"/>
      <c r="AY9" s="220"/>
      <c r="AZ9" s="220"/>
    </row>
    <row r="10" spans="1:52">
      <c r="A10" s="216" t="str">
        <f ca="1">IF(D10="","",VLOOKUP(G10,códigosORL!$H:$J,3,FALSE))</f>
        <v>Darío Agudelo García</v>
      </c>
      <c r="B10" s="216" t="str">
        <f t="shared" si="0"/>
        <v>01</v>
      </c>
      <c r="C10" s="217" t="str">
        <f t="shared" si="1"/>
        <v>2025-01-23</v>
      </c>
      <c r="D10" s="216" t="str">
        <f t="shared" si="4"/>
        <v>Darío Agudelo García</v>
      </c>
      <c r="E10" s="216" t="str">
        <f t="shared" si="5"/>
        <v>DARIO AGUDELO GARCIA</v>
      </c>
      <c r="F10" s="211" t="s">
        <v>4072</v>
      </c>
      <c r="G10" s="218" t="s">
        <v>650</v>
      </c>
      <c r="H10" s="218" t="s">
        <v>3986</v>
      </c>
      <c r="I10" s="218" t="s">
        <v>4073</v>
      </c>
      <c r="J10" s="218" t="s">
        <v>4022</v>
      </c>
      <c r="K10" s="226" t="s">
        <v>4074</v>
      </c>
      <c r="L10" s="218" t="s">
        <v>652</v>
      </c>
      <c r="M10" s="220"/>
      <c r="N10" s="218" t="s">
        <v>3990</v>
      </c>
      <c r="O10" s="218" t="s">
        <v>4075</v>
      </c>
      <c r="P10" s="218" t="s">
        <v>4076</v>
      </c>
      <c r="Q10" s="218" t="s">
        <v>3993</v>
      </c>
      <c r="R10" s="218" t="s">
        <v>3993</v>
      </c>
      <c r="S10" s="220"/>
      <c r="T10" s="220"/>
      <c r="U10" s="218" t="s">
        <v>3994</v>
      </c>
      <c r="V10" s="219" t="s">
        <v>4077</v>
      </c>
      <c r="W10" s="218" t="s">
        <v>3996</v>
      </c>
      <c r="X10" s="218" t="s">
        <v>4078</v>
      </c>
      <c r="Y10" s="128" t="s">
        <v>4079</v>
      </c>
      <c r="Z10" s="218" t="s">
        <v>4080</v>
      </c>
      <c r="AA10" s="221" t="s">
        <v>4080</v>
      </c>
      <c r="AB10" s="130" t="s">
        <v>4081</v>
      </c>
      <c r="AC10" s="130" t="s">
        <v>3719</v>
      </c>
      <c r="AD10" s="130" t="s">
        <v>4080</v>
      </c>
      <c r="AE10" s="133" t="s">
        <v>4082</v>
      </c>
      <c r="AF10" s="225" t="s">
        <v>4083</v>
      </c>
      <c r="AG10" s="218" t="s">
        <v>4080</v>
      </c>
      <c r="AH10" s="220"/>
      <c r="AI10" s="220"/>
      <c r="AJ10" s="220"/>
      <c r="AK10" s="220"/>
      <c r="AL10" s="220"/>
      <c r="AM10" s="220"/>
      <c r="AN10" s="220"/>
      <c r="AO10" s="220"/>
      <c r="AP10" s="220"/>
      <c r="AQ10" s="220"/>
      <c r="AR10" s="220"/>
      <c r="AS10" s="220"/>
      <c r="AT10" s="220"/>
      <c r="AU10" s="220"/>
      <c r="AV10" s="220"/>
      <c r="AW10" s="220"/>
      <c r="AX10" s="220"/>
      <c r="AY10" s="220"/>
      <c r="AZ10" s="220"/>
    </row>
    <row r="11" spans="1:52">
      <c r="A11" s="216" t="str">
        <f ca="1">IF(D11="","",VLOOKUP(G11,códigosORL!$H:$J,3,FALSE))</f>
        <v>María Agustina Sevilla García</v>
      </c>
      <c r="B11" s="216" t="str">
        <f t="shared" si="0"/>
        <v>01</v>
      </c>
      <c r="C11" s="217" t="str">
        <f t="shared" si="1"/>
        <v>2025-01-09</v>
      </c>
      <c r="D11" s="216" t="str">
        <f t="shared" si="4"/>
        <v>María Agustina Sevilla García</v>
      </c>
      <c r="E11" s="216" t="str">
        <f t="shared" si="5"/>
        <v>HONESTITAS SALUD, SLP</v>
      </c>
      <c r="F11" s="211" t="s">
        <v>4084</v>
      </c>
      <c r="G11" s="218" t="s">
        <v>1896</v>
      </c>
      <c r="H11" s="218" t="s">
        <v>3986</v>
      </c>
      <c r="I11" s="218" t="s">
        <v>4085</v>
      </c>
      <c r="J11" s="218" t="s">
        <v>4086</v>
      </c>
      <c r="K11" s="226" t="s">
        <v>4087</v>
      </c>
      <c r="L11" s="216" t="s">
        <v>1898</v>
      </c>
      <c r="M11" s="220"/>
      <c r="N11" s="218" t="s">
        <v>3990</v>
      </c>
      <c r="O11" s="218" t="s">
        <v>4088</v>
      </c>
      <c r="P11" s="218" t="s">
        <v>4089</v>
      </c>
      <c r="Q11" s="218" t="s">
        <v>3993</v>
      </c>
      <c r="R11" s="218" t="s">
        <v>3993</v>
      </c>
      <c r="S11" s="220"/>
      <c r="T11" s="220"/>
      <c r="U11" s="218" t="s">
        <v>3994</v>
      </c>
      <c r="V11" s="219" t="s">
        <v>4090</v>
      </c>
      <c r="W11" s="218" t="s">
        <v>3996</v>
      </c>
      <c r="X11" s="220" t="s">
        <v>2955</v>
      </c>
      <c r="Y11" s="225" t="s">
        <v>4091</v>
      </c>
      <c r="Z11" s="220"/>
      <c r="AA11" s="223" t="s">
        <v>2952</v>
      </c>
      <c r="AB11" s="237">
        <v>39005</v>
      </c>
      <c r="AC11" s="237" t="s">
        <v>2953</v>
      </c>
      <c r="AD11" s="216" t="s">
        <v>1898</v>
      </c>
      <c r="AE11" s="224"/>
      <c r="AF11" s="222"/>
      <c r="AG11" s="220" t="s">
        <v>2952</v>
      </c>
      <c r="AH11" s="220"/>
      <c r="AI11" s="220"/>
      <c r="AJ11" s="220"/>
      <c r="AK11" s="220"/>
      <c r="AL11" s="220"/>
      <c r="AM11" s="220"/>
      <c r="AN11" s="220"/>
      <c r="AO11" s="220"/>
      <c r="AP11" s="220"/>
      <c r="AQ11" s="220"/>
      <c r="AR11" s="220"/>
      <c r="AS11" s="220"/>
      <c r="AT11" s="220"/>
      <c r="AU11" s="220"/>
      <c r="AV11" s="220"/>
      <c r="AW11" s="220"/>
      <c r="AX11" s="220"/>
      <c r="AY11" s="220"/>
      <c r="AZ11" s="220"/>
    </row>
    <row r="12" spans="1:52">
      <c r="A12" s="216" t="str">
        <f ca="1">IF(D12="","",VLOOKUP(G12,códigosORL!$H:$J,3,FALSE))</f>
        <v>José Ramiro De León Lima</v>
      </c>
      <c r="B12" s="216" t="str">
        <f t="shared" si="0"/>
        <v>01</v>
      </c>
      <c r="C12" s="217" t="str">
        <f t="shared" si="1"/>
        <v>2025-01-23</v>
      </c>
      <c r="D12" s="216" t="str">
        <f t="shared" si="4"/>
        <v>José Ramiro de León Lima</v>
      </c>
      <c r="E12" s="216" t="str">
        <f t="shared" si="5"/>
        <v>José Ramiro de León Lima</v>
      </c>
      <c r="F12" s="211" t="s">
        <v>4092</v>
      </c>
      <c r="G12" s="218" t="s">
        <v>1527</v>
      </c>
      <c r="H12" s="218" t="s">
        <v>3986</v>
      </c>
      <c r="I12" s="218" t="s">
        <v>4093</v>
      </c>
      <c r="J12" s="218" t="s">
        <v>4022</v>
      </c>
      <c r="K12" s="226" t="s">
        <v>4094</v>
      </c>
      <c r="L12" s="218" t="s">
        <v>1529</v>
      </c>
      <c r="M12" s="220"/>
      <c r="N12" s="218" t="s">
        <v>3990</v>
      </c>
      <c r="O12" s="218" t="s">
        <v>4095</v>
      </c>
      <c r="P12" s="218" t="s">
        <v>4096</v>
      </c>
      <c r="Q12" s="218" t="s">
        <v>3993</v>
      </c>
      <c r="R12" s="218" t="s">
        <v>3993</v>
      </c>
      <c r="S12" s="220"/>
      <c r="T12" s="220"/>
      <c r="U12" s="218" t="s">
        <v>3994</v>
      </c>
      <c r="V12" s="219" t="s">
        <v>4097</v>
      </c>
      <c r="W12" s="218" t="s">
        <v>3996</v>
      </c>
      <c r="X12" s="218" t="s">
        <v>3170</v>
      </c>
      <c r="Y12" s="128" t="s">
        <v>4098</v>
      </c>
      <c r="Z12" s="218" t="s">
        <v>1529</v>
      </c>
      <c r="AA12" s="221" t="s">
        <v>1529</v>
      </c>
      <c r="AB12" s="130">
        <v>4399</v>
      </c>
      <c r="AC12" s="130" t="s">
        <v>3168</v>
      </c>
      <c r="AD12" s="130" t="s">
        <v>1529</v>
      </c>
      <c r="AE12" s="133" t="s">
        <v>4099</v>
      </c>
      <c r="AF12" s="128" t="s">
        <v>4099</v>
      </c>
      <c r="AG12" s="218" t="s">
        <v>1529</v>
      </c>
      <c r="AH12" s="220"/>
      <c r="AI12" s="220"/>
      <c r="AJ12" s="220"/>
      <c r="AK12" s="220"/>
      <c r="AL12" s="220"/>
      <c r="AM12" s="220"/>
      <c r="AN12" s="220"/>
      <c r="AO12" s="220"/>
      <c r="AP12" s="220"/>
      <c r="AQ12" s="220"/>
      <c r="AR12" s="220"/>
      <c r="AS12" s="220"/>
      <c r="AT12" s="220"/>
      <c r="AU12" s="220"/>
      <c r="AV12" s="220"/>
      <c r="AW12" s="220"/>
      <c r="AX12" s="220"/>
      <c r="AY12" s="220"/>
      <c r="AZ12" s="220"/>
    </row>
    <row r="13" spans="1:52">
      <c r="A13" s="216" t="str">
        <f ca="1">IF(D13="","",VLOOKUP(G13,códigosORL!$H:$J,3,FALSE))</f>
        <v>Enric Cisa Lluis</v>
      </c>
      <c r="B13" s="216" t="str">
        <f t="shared" si="0"/>
        <v>01</v>
      </c>
      <c r="C13" s="217" t="str">
        <f t="shared" si="1"/>
        <v>2025-01-20</v>
      </c>
      <c r="D13" s="216" t="str">
        <f t="shared" si="4"/>
        <v>Enric Cisa Lluis</v>
      </c>
      <c r="E13" s="216" t="str">
        <f t="shared" si="5"/>
        <v>ENRIC CISA LLUIS</v>
      </c>
      <c r="F13" s="211" t="s">
        <v>4100</v>
      </c>
      <c r="G13" s="218" t="s">
        <v>750</v>
      </c>
      <c r="H13" s="218" t="s">
        <v>3986</v>
      </c>
      <c r="I13" s="218" t="s">
        <v>4101</v>
      </c>
      <c r="J13" s="218" t="s">
        <v>4022</v>
      </c>
      <c r="K13" s="219" t="s">
        <v>4102</v>
      </c>
      <c r="L13" s="218" t="s">
        <v>752</v>
      </c>
      <c r="M13" s="220"/>
      <c r="N13" s="218" t="s">
        <v>3990</v>
      </c>
      <c r="O13" s="218" t="s">
        <v>4103</v>
      </c>
      <c r="P13" s="218" t="s">
        <v>4104</v>
      </c>
      <c r="Q13" s="218" t="s">
        <v>3993</v>
      </c>
      <c r="R13" s="218" t="s">
        <v>3993</v>
      </c>
      <c r="S13" s="220"/>
      <c r="T13" s="220"/>
      <c r="U13" s="218" t="s">
        <v>3994</v>
      </c>
      <c r="V13" s="219" t="s">
        <v>4105</v>
      </c>
      <c r="W13" s="218" t="s">
        <v>3996</v>
      </c>
      <c r="X13" s="218" t="s">
        <v>3540</v>
      </c>
      <c r="Y13" s="128" t="s">
        <v>4106</v>
      </c>
      <c r="Z13" s="218" t="s">
        <v>4107</v>
      </c>
      <c r="AA13" s="221" t="s">
        <v>4107</v>
      </c>
      <c r="AB13" s="130">
        <v>24047</v>
      </c>
      <c r="AC13" s="130" t="s">
        <v>3099</v>
      </c>
      <c r="AD13" s="130" t="s">
        <v>4107</v>
      </c>
      <c r="AE13" s="133" t="s">
        <v>4001</v>
      </c>
      <c r="AF13" s="225"/>
      <c r="AG13" s="218" t="s">
        <v>4107</v>
      </c>
      <c r="AH13" s="220"/>
      <c r="AI13" s="220"/>
      <c r="AJ13" s="220"/>
      <c r="AK13" s="220"/>
      <c r="AL13" s="220"/>
      <c r="AM13" s="220"/>
      <c r="AN13" s="220"/>
      <c r="AO13" s="220"/>
      <c r="AP13" s="220"/>
      <c r="AQ13" s="220"/>
      <c r="AR13" s="220"/>
      <c r="AS13" s="220"/>
      <c r="AT13" s="220"/>
      <c r="AU13" s="220"/>
      <c r="AV13" s="220"/>
      <c r="AW13" s="220"/>
      <c r="AX13" s="220"/>
      <c r="AY13" s="220"/>
      <c r="AZ13" s="220"/>
    </row>
    <row r="14" spans="1:52">
      <c r="A14" s="216" t="str">
        <f ca="1">IF(D14="","",VLOOKUP(G14,códigosORL!$H:$J,3,FALSE))</f>
        <v>Laura Garrido García</v>
      </c>
      <c r="B14" s="216" t="str">
        <f t="shared" si="0"/>
        <v>02</v>
      </c>
      <c r="C14" s="217" t="str">
        <f t="shared" si="1"/>
        <v>2025-02-24</v>
      </c>
      <c r="D14" s="216" t="str">
        <f t="shared" si="4"/>
        <v>Laura Garrido García</v>
      </c>
      <c r="E14" s="216" t="str">
        <f t="shared" si="5"/>
        <v>LAURA GARRIDO GARCIA</v>
      </c>
      <c r="F14" s="211" t="s">
        <v>4108</v>
      </c>
      <c r="G14" s="218" t="s">
        <v>1704</v>
      </c>
      <c r="H14" s="218" t="s">
        <v>3986</v>
      </c>
      <c r="I14" s="218" t="s">
        <v>4109</v>
      </c>
      <c r="J14" s="218" t="s">
        <v>3988</v>
      </c>
      <c r="K14" s="219" t="s">
        <v>4110</v>
      </c>
      <c r="L14" s="218" t="s">
        <v>1706</v>
      </c>
      <c r="M14" s="220"/>
      <c r="N14" s="218" t="s">
        <v>3990</v>
      </c>
      <c r="O14" s="218" t="s">
        <v>4111</v>
      </c>
      <c r="P14" s="218" t="s">
        <v>4112</v>
      </c>
      <c r="Q14" s="218" t="s">
        <v>3993</v>
      </c>
      <c r="R14" s="218" t="s">
        <v>3993</v>
      </c>
      <c r="S14" s="220"/>
      <c r="T14" s="220"/>
      <c r="U14" s="218" t="s">
        <v>3994</v>
      </c>
      <c r="V14" s="219" t="s">
        <v>4113</v>
      </c>
      <c r="W14" s="218" t="s">
        <v>3996</v>
      </c>
      <c r="X14" s="218" t="s">
        <v>3287</v>
      </c>
      <c r="Y14" s="128" t="s">
        <v>4114</v>
      </c>
      <c r="Z14" s="218">
        <v>282862804</v>
      </c>
      <c r="AA14" s="221" t="s">
        <v>4115</v>
      </c>
      <c r="AB14" s="130">
        <v>28015</v>
      </c>
      <c r="AC14" s="130" t="s">
        <v>3285</v>
      </c>
      <c r="AD14" s="130" t="s">
        <v>4115</v>
      </c>
      <c r="AE14" s="133" t="s">
        <v>4116</v>
      </c>
      <c r="AF14" s="128" t="s">
        <v>4116</v>
      </c>
      <c r="AG14" s="218" t="s">
        <v>4115</v>
      </c>
      <c r="AH14" s="220"/>
      <c r="AI14" s="218" t="s">
        <v>4116</v>
      </c>
      <c r="AJ14" s="218"/>
      <c r="AK14" s="218"/>
      <c r="AL14" s="218"/>
      <c r="AM14" s="218"/>
      <c r="AN14" s="218"/>
      <c r="AO14" s="218"/>
      <c r="AP14" s="218"/>
      <c r="AQ14" s="218"/>
      <c r="AR14" s="218"/>
      <c r="AS14" s="218"/>
      <c r="AT14" s="218"/>
      <c r="AU14" s="218"/>
      <c r="AV14" s="218"/>
      <c r="AW14" s="218"/>
      <c r="AX14" s="218"/>
      <c r="AY14" s="218"/>
      <c r="AZ14" s="218"/>
    </row>
    <row r="15" spans="1:52">
      <c r="A15" s="216" t="str">
        <f ca="1">IF(D15="","",VLOOKUP(G15,códigosORL!$H:$J,3,FALSE))</f>
        <v>Paula Martínez-Ruiz De Apocada</v>
      </c>
      <c r="B15" s="216" t="str">
        <f t="shared" si="0"/>
        <v>02</v>
      </c>
      <c r="C15" s="217" t="str">
        <f t="shared" si="1"/>
        <v>2025-02-13</v>
      </c>
      <c r="D15" s="216" t="str">
        <f t="shared" si="4"/>
        <v>Paula Martínez-Ruiz De Apocada</v>
      </c>
      <c r="E15" s="216" t="str">
        <f t="shared" si="5"/>
        <v>Paula Martínez Ruiz de Apodaca</v>
      </c>
      <c r="F15" s="211" t="s">
        <v>4117</v>
      </c>
      <c r="G15" s="218" t="s">
        <v>2454</v>
      </c>
      <c r="H15" s="218" t="s">
        <v>3986</v>
      </c>
      <c r="I15" s="218" t="s">
        <v>4118</v>
      </c>
      <c r="J15" s="218" t="s">
        <v>3988</v>
      </c>
      <c r="K15" s="219" t="s">
        <v>4119</v>
      </c>
      <c r="L15" s="218" t="s">
        <v>2456</v>
      </c>
      <c r="M15" s="220"/>
      <c r="N15" s="218" t="s">
        <v>3990</v>
      </c>
      <c r="O15" s="218" t="s">
        <v>4120</v>
      </c>
      <c r="P15" s="218" t="s">
        <v>4121</v>
      </c>
      <c r="Q15" s="218" t="s">
        <v>3993</v>
      </c>
      <c r="R15" s="218" t="s">
        <v>3993</v>
      </c>
      <c r="S15" s="220"/>
      <c r="T15" s="220"/>
      <c r="U15" s="218" t="s">
        <v>3994</v>
      </c>
      <c r="V15" s="219" t="s">
        <v>4122</v>
      </c>
      <c r="W15" s="218" t="s">
        <v>3996</v>
      </c>
      <c r="X15" s="218" t="s">
        <v>4123</v>
      </c>
      <c r="Y15" s="128" t="s">
        <v>4124</v>
      </c>
      <c r="Z15" s="218">
        <v>464623904</v>
      </c>
      <c r="AA15" s="221" t="s">
        <v>3227</v>
      </c>
      <c r="AB15" s="238">
        <v>46014</v>
      </c>
      <c r="AC15" s="130" t="s">
        <v>2922</v>
      </c>
      <c r="AD15" s="130" t="s">
        <v>4125</v>
      </c>
      <c r="AE15" s="133" t="s">
        <v>4099</v>
      </c>
      <c r="AF15" s="128" t="s">
        <v>4099</v>
      </c>
      <c r="AG15" s="218" t="s">
        <v>3227</v>
      </c>
      <c r="AH15" s="220"/>
      <c r="AI15" s="218" t="s">
        <v>4099</v>
      </c>
      <c r="AJ15" s="218"/>
      <c r="AK15" s="218"/>
      <c r="AL15" s="218"/>
      <c r="AM15" s="218"/>
      <c r="AN15" s="218"/>
      <c r="AO15" s="218"/>
      <c r="AP15" s="218"/>
      <c r="AQ15" s="218"/>
      <c r="AR15" s="218"/>
      <c r="AS15" s="218"/>
      <c r="AT15" s="218"/>
      <c r="AU15" s="218"/>
      <c r="AV15" s="218"/>
      <c r="AW15" s="218"/>
      <c r="AX15" s="218"/>
      <c r="AY15" s="218"/>
      <c r="AZ15" s="218"/>
    </row>
    <row r="16" spans="1:52">
      <c r="A16" s="216" t="str">
        <f ca="1">IF(D16="","",VLOOKUP(G16,códigosORL!$H:$J,3,FALSE))</f>
        <v>Esther García López</v>
      </c>
      <c r="B16" s="216" t="str">
        <f t="shared" si="0"/>
        <v>02</v>
      </c>
      <c r="C16" s="217" t="str">
        <f t="shared" si="1"/>
        <v>2025-02-05</v>
      </c>
      <c r="D16" s="216" t="str">
        <f t="shared" si="4"/>
        <v>Esther García López</v>
      </c>
      <c r="E16" s="216" t="str">
        <f t="shared" si="5"/>
        <v>esther garcia gonzalez</v>
      </c>
      <c r="F16" s="211" t="s">
        <v>4126</v>
      </c>
      <c r="G16" s="218" t="s">
        <v>804</v>
      </c>
      <c r="H16" s="218" t="s">
        <v>3986</v>
      </c>
      <c r="I16" s="218" t="s">
        <v>4127</v>
      </c>
      <c r="J16" s="218" t="s">
        <v>3988</v>
      </c>
      <c r="K16" s="219" t="s">
        <v>4128</v>
      </c>
      <c r="L16" s="218" t="s">
        <v>806</v>
      </c>
      <c r="M16" s="220"/>
      <c r="N16" s="218" t="s">
        <v>3990</v>
      </c>
      <c r="O16" s="218" t="s">
        <v>4129</v>
      </c>
      <c r="P16" s="218" t="s">
        <v>4130</v>
      </c>
      <c r="Q16" s="218" t="s">
        <v>3993</v>
      </c>
      <c r="R16" s="218" t="s">
        <v>3993</v>
      </c>
      <c r="S16" s="220"/>
      <c r="T16" s="220"/>
      <c r="U16" s="218" t="s">
        <v>3994</v>
      </c>
      <c r="V16" s="219" t="s">
        <v>4131</v>
      </c>
      <c r="W16" s="218" t="s">
        <v>3996</v>
      </c>
      <c r="X16" s="218" t="s">
        <v>4132</v>
      </c>
      <c r="Y16" s="128" t="s">
        <v>4133</v>
      </c>
      <c r="Z16" s="218">
        <v>28661117</v>
      </c>
      <c r="AA16" s="221" t="s">
        <v>4134</v>
      </c>
      <c r="AB16" s="130">
        <v>28003</v>
      </c>
      <c r="AC16" s="130" t="s">
        <v>2937</v>
      </c>
      <c r="AD16" s="130" t="s">
        <v>4135</v>
      </c>
      <c r="AE16" s="133" t="s">
        <v>4136</v>
      </c>
      <c r="AF16" s="128" t="s">
        <v>4136</v>
      </c>
      <c r="AG16" s="218" t="s">
        <v>4134</v>
      </c>
      <c r="AH16" s="220"/>
      <c r="AI16" s="218" t="s">
        <v>4136</v>
      </c>
      <c r="AJ16" s="218"/>
      <c r="AK16" s="218"/>
      <c r="AL16" s="218"/>
      <c r="AM16" s="218"/>
      <c r="AN16" s="218"/>
      <c r="AO16" s="218"/>
      <c r="AP16" s="218"/>
      <c r="AQ16" s="218"/>
      <c r="AR16" s="218"/>
      <c r="AS16" s="218"/>
      <c r="AT16" s="218"/>
      <c r="AU16" s="218"/>
      <c r="AV16" s="218"/>
      <c r="AW16" s="218"/>
      <c r="AX16" s="218"/>
      <c r="AY16" s="218"/>
      <c r="AZ16" s="218"/>
    </row>
    <row r="17" spans="1:52">
      <c r="A17" s="216" t="str">
        <f ca="1">IF(D17="","",VLOOKUP(G17,códigosORL!$H:$J,3,FALSE))</f>
        <v>Desirée Méndez Brenderbache</v>
      </c>
      <c r="B17" s="216" t="str">
        <f t="shared" si="0"/>
        <v>02</v>
      </c>
      <c r="C17" s="217" t="str">
        <f t="shared" si="1"/>
        <v>2025-02-20</v>
      </c>
      <c r="D17" s="216" t="str">
        <f t="shared" si="4"/>
        <v>Desirée Méndez Brenderbache</v>
      </c>
      <c r="E17" s="216" t="str">
        <f t="shared" si="5"/>
        <v>Desiree Méndez Brenderbache</v>
      </c>
      <c r="F17" s="211" t="s">
        <v>4137</v>
      </c>
      <c r="G17" s="218" t="s">
        <v>665</v>
      </c>
      <c r="H17" s="218" t="s">
        <v>3986</v>
      </c>
      <c r="I17" s="218" t="s">
        <v>4138</v>
      </c>
      <c r="J17" s="218" t="s">
        <v>3988</v>
      </c>
      <c r="K17" s="219" t="s">
        <v>4139</v>
      </c>
      <c r="L17" s="218" t="s">
        <v>667</v>
      </c>
      <c r="M17" s="220"/>
      <c r="N17" s="218" t="s">
        <v>3990</v>
      </c>
      <c r="O17" s="218" t="s">
        <v>4140</v>
      </c>
      <c r="P17" s="218" t="s">
        <v>4141</v>
      </c>
      <c r="Q17" s="218" t="s">
        <v>3993</v>
      </c>
      <c r="R17" s="218" t="s">
        <v>3993</v>
      </c>
      <c r="S17" s="220"/>
      <c r="T17" s="220"/>
      <c r="U17" s="218" t="s">
        <v>3994</v>
      </c>
      <c r="V17" s="219" t="s">
        <v>4142</v>
      </c>
      <c r="W17" s="218" t="s">
        <v>3996</v>
      </c>
      <c r="X17" s="218" t="s">
        <v>2896</v>
      </c>
      <c r="Y17" s="128" t="s">
        <v>4143</v>
      </c>
      <c r="Z17" s="218">
        <v>282868332</v>
      </c>
      <c r="AA17" s="221" t="s">
        <v>4144</v>
      </c>
      <c r="AB17" s="130">
        <v>28055</v>
      </c>
      <c r="AC17" s="130" t="s">
        <v>2894</v>
      </c>
      <c r="AD17" s="130" t="s">
        <v>4145</v>
      </c>
      <c r="AE17" s="133" t="s">
        <v>4031</v>
      </c>
      <c r="AF17" s="128" t="s">
        <v>4031</v>
      </c>
      <c r="AG17" s="218" t="s">
        <v>4144</v>
      </c>
      <c r="AH17" s="220"/>
      <c r="AI17" s="218" t="s">
        <v>4031</v>
      </c>
      <c r="AJ17" s="218"/>
      <c r="AK17" s="218"/>
      <c r="AL17" s="218"/>
      <c r="AM17" s="218"/>
      <c r="AN17" s="218"/>
      <c r="AO17" s="218"/>
      <c r="AP17" s="218"/>
      <c r="AQ17" s="218"/>
      <c r="AR17" s="218"/>
      <c r="AS17" s="218"/>
      <c r="AT17" s="218"/>
      <c r="AU17" s="218"/>
      <c r="AV17" s="218"/>
      <c r="AW17" s="218"/>
      <c r="AX17" s="218"/>
      <c r="AY17" s="218"/>
      <c r="AZ17" s="218"/>
    </row>
    <row r="18" spans="1:52">
      <c r="A18" s="216" t="str">
        <f ca="1">IF(D18="","",VLOOKUP(G18,códigosORL!$H:$J,3,FALSE))</f>
        <v>Juan Manuel Maza Solano</v>
      </c>
      <c r="B18" s="216" t="str">
        <f t="shared" si="0"/>
        <v>02</v>
      </c>
      <c r="C18" s="217" t="str">
        <f t="shared" si="1"/>
        <v>2025-02-10</v>
      </c>
      <c r="D18" s="216" t="str">
        <f t="shared" si="4"/>
        <v>Juan Manuel Maza Solano</v>
      </c>
      <c r="E18" s="216" t="str">
        <f t="shared" si="5"/>
        <v>Juan Manuel Maza Solano</v>
      </c>
      <c r="F18" s="211" t="s">
        <v>4146</v>
      </c>
      <c r="G18" s="218" t="s">
        <v>1602</v>
      </c>
      <c r="H18" s="218" t="s">
        <v>3986</v>
      </c>
      <c r="I18" s="218" t="s">
        <v>4147</v>
      </c>
      <c r="J18" s="218" t="s">
        <v>3988</v>
      </c>
      <c r="K18" s="219" t="s">
        <v>4148</v>
      </c>
      <c r="L18" s="218" t="s">
        <v>1604</v>
      </c>
      <c r="M18" s="220"/>
      <c r="N18" s="218" t="s">
        <v>3990</v>
      </c>
      <c r="O18" s="218" t="s">
        <v>4149</v>
      </c>
      <c r="P18" s="218" t="s">
        <v>4150</v>
      </c>
      <c r="Q18" s="218" t="s">
        <v>3993</v>
      </c>
      <c r="R18" s="218" t="s">
        <v>3993</v>
      </c>
      <c r="S18" s="220"/>
      <c r="T18" s="220"/>
      <c r="U18" s="218" t="s">
        <v>3994</v>
      </c>
      <c r="V18" s="219" t="s">
        <v>4151</v>
      </c>
      <c r="W18" s="218" t="s">
        <v>3996</v>
      </c>
      <c r="X18" s="218" t="s">
        <v>3214</v>
      </c>
      <c r="Y18" s="128" t="s">
        <v>4152</v>
      </c>
      <c r="Z18" s="239">
        <v>411108826</v>
      </c>
      <c r="AA18" s="221" t="s">
        <v>1604</v>
      </c>
      <c r="AB18" s="130">
        <v>41003</v>
      </c>
      <c r="AC18" s="130" t="s">
        <v>3212</v>
      </c>
      <c r="AD18" s="130" t="s">
        <v>1604</v>
      </c>
      <c r="AE18" s="133" t="s">
        <v>4019</v>
      </c>
      <c r="AF18" s="128" t="s">
        <v>4019</v>
      </c>
      <c r="AG18" s="218" t="s">
        <v>1604</v>
      </c>
      <c r="AH18" s="220"/>
      <c r="AI18" s="218" t="s">
        <v>4019</v>
      </c>
      <c r="AJ18" s="218"/>
      <c r="AK18" s="218"/>
      <c r="AL18" s="218"/>
      <c r="AM18" s="218"/>
      <c r="AN18" s="218"/>
      <c r="AO18" s="218"/>
      <c r="AP18" s="218"/>
      <c r="AQ18" s="218"/>
      <c r="AR18" s="218"/>
      <c r="AS18" s="218"/>
      <c r="AT18" s="218"/>
      <c r="AU18" s="218"/>
      <c r="AV18" s="218"/>
      <c r="AW18" s="218"/>
      <c r="AX18" s="218"/>
      <c r="AY18" s="218"/>
      <c r="AZ18" s="218"/>
    </row>
    <row r="19" spans="1:52">
      <c r="A19" s="216" t="str">
        <f ca="1">IF(D19="","",VLOOKUP(G19,códigosORL!$H:$J,3,FALSE))</f>
        <v>Felipe López Hernández</v>
      </c>
      <c r="B19" s="216" t="str">
        <f t="shared" si="0"/>
        <v>02</v>
      </c>
      <c r="C19" s="217" t="str">
        <f t="shared" si="1"/>
        <v>2025-02-24</v>
      </c>
      <c r="D19" s="216" t="str">
        <f t="shared" si="4"/>
        <v>Felipe López Hernández</v>
      </c>
      <c r="E19" s="216" t="str">
        <f t="shared" si="5"/>
        <v>Felipe López Hernández</v>
      </c>
      <c r="F19" s="211" t="s">
        <v>4153</v>
      </c>
      <c r="G19" s="218" t="s">
        <v>861</v>
      </c>
      <c r="H19" s="218" t="s">
        <v>3986</v>
      </c>
      <c r="I19" s="218" t="s">
        <v>4154</v>
      </c>
      <c r="J19" s="218" t="s">
        <v>3988</v>
      </c>
      <c r="K19" s="219" t="s">
        <v>4155</v>
      </c>
      <c r="L19" s="218" t="s">
        <v>863</v>
      </c>
      <c r="M19" s="220"/>
      <c r="N19" s="218" t="s">
        <v>3990</v>
      </c>
      <c r="O19" s="218" t="s">
        <v>4156</v>
      </c>
      <c r="P19" s="218" t="s">
        <v>4157</v>
      </c>
      <c r="Q19" s="218" t="s">
        <v>3993</v>
      </c>
      <c r="R19" s="218" t="s">
        <v>3993</v>
      </c>
      <c r="S19" s="220"/>
      <c r="T19" s="220"/>
      <c r="U19" s="218" t="s">
        <v>3994</v>
      </c>
      <c r="V19" s="219" t="s">
        <v>4158</v>
      </c>
      <c r="W19" s="218" t="s">
        <v>3996</v>
      </c>
      <c r="X19" s="218" t="s">
        <v>3280</v>
      </c>
      <c r="Y19" s="128" t="s">
        <v>4159</v>
      </c>
      <c r="Z19" s="218">
        <v>4585</v>
      </c>
      <c r="AA19" s="221" t="s">
        <v>863</v>
      </c>
      <c r="AB19" s="130">
        <v>8027</v>
      </c>
      <c r="AC19" s="130" t="s">
        <v>3278</v>
      </c>
      <c r="AD19" s="130" t="s">
        <v>863</v>
      </c>
      <c r="AE19" s="133" t="s">
        <v>4160</v>
      </c>
      <c r="AF19" s="128" t="s">
        <v>4001</v>
      </c>
      <c r="AG19" s="218" t="s">
        <v>863</v>
      </c>
      <c r="AH19" s="220"/>
      <c r="AI19" s="218" t="s">
        <v>4160</v>
      </c>
      <c r="AJ19" s="218"/>
      <c r="AK19" s="218"/>
      <c r="AL19" s="218"/>
      <c r="AM19" s="218"/>
      <c r="AN19" s="218"/>
      <c r="AO19" s="218"/>
      <c r="AP19" s="218"/>
      <c r="AQ19" s="218"/>
      <c r="AR19" s="218"/>
      <c r="AS19" s="218"/>
      <c r="AT19" s="218"/>
      <c r="AU19" s="218"/>
      <c r="AV19" s="218"/>
      <c r="AW19" s="218"/>
      <c r="AX19" s="218"/>
      <c r="AY19" s="218"/>
      <c r="AZ19" s="218"/>
    </row>
    <row r="20" spans="1:52">
      <c r="A20" s="216" t="str">
        <f ca="1">IF(D20="","",VLOOKUP(G20,códigosORL!$H:$J,3,FALSE))</f>
        <v>juan Ignacio Riestra Ayora</v>
      </c>
      <c r="B20" s="216" t="str">
        <f t="shared" si="0"/>
        <v>02</v>
      </c>
      <c r="C20" s="217" t="str">
        <f t="shared" si="1"/>
        <v>2025-02-17</v>
      </c>
      <c r="D20" s="216" t="str">
        <f t="shared" si="4"/>
        <v>Juan Ignacio Riestra Ayora</v>
      </c>
      <c r="E20" s="216" t="str">
        <f t="shared" si="5"/>
        <v>Juan Ignacio Riestra Ayora</v>
      </c>
      <c r="F20" s="211" t="s">
        <v>4161</v>
      </c>
      <c r="G20" s="218" t="s">
        <v>1578</v>
      </c>
      <c r="H20" s="218" t="s">
        <v>3986</v>
      </c>
      <c r="I20" s="218" t="s">
        <v>4162</v>
      </c>
      <c r="J20" s="218" t="s">
        <v>3988</v>
      </c>
      <c r="K20" s="219" t="s">
        <v>4163</v>
      </c>
      <c r="L20" s="218" t="s">
        <v>3254</v>
      </c>
      <c r="M20" s="220"/>
      <c r="N20" s="218" t="s">
        <v>3990</v>
      </c>
      <c r="O20" s="218" t="s">
        <v>4164</v>
      </c>
      <c r="P20" s="218" t="s">
        <v>4165</v>
      </c>
      <c r="Q20" s="218" t="s">
        <v>3993</v>
      </c>
      <c r="R20" s="218" t="s">
        <v>3993</v>
      </c>
      <c r="S20" s="220"/>
      <c r="T20" s="220"/>
      <c r="U20" s="218" t="s">
        <v>3994</v>
      </c>
      <c r="V20" s="219" t="s">
        <v>4166</v>
      </c>
      <c r="W20" s="218" t="s">
        <v>3996</v>
      </c>
      <c r="X20" s="218" t="s">
        <v>4167</v>
      </c>
      <c r="Y20" s="128" t="s">
        <v>4168</v>
      </c>
      <c r="Z20" s="218" t="s">
        <v>4169</v>
      </c>
      <c r="AA20" s="221" t="s">
        <v>3254</v>
      </c>
      <c r="AB20" s="130">
        <v>28006</v>
      </c>
      <c r="AC20" s="130" t="s">
        <v>3255</v>
      </c>
      <c r="AD20" s="130" t="s">
        <v>3254</v>
      </c>
      <c r="AE20" s="133" t="s">
        <v>4031</v>
      </c>
      <c r="AF20" s="128" t="s">
        <v>4031</v>
      </c>
      <c r="AG20" s="218" t="s">
        <v>3254</v>
      </c>
      <c r="AH20" s="220"/>
      <c r="AI20" s="218" t="s">
        <v>4031</v>
      </c>
      <c r="AJ20" s="218"/>
      <c r="AK20" s="218"/>
      <c r="AL20" s="218"/>
      <c r="AM20" s="218"/>
      <c r="AN20" s="218"/>
      <c r="AO20" s="218"/>
      <c r="AP20" s="218"/>
      <c r="AQ20" s="218"/>
      <c r="AR20" s="218"/>
      <c r="AS20" s="218"/>
      <c r="AT20" s="218"/>
      <c r="AU20" s="218"/>
      <c r="AV20" s="218"/>
      <c r="AW20" s="218"/>
      <c r="AX20" s="218"/>
      <c r="AY20" s="218"/>
      <c r="AZ20" s="218"/>
    </row>
    <row r="21" spans="1:52">
      <c r="A21" s="216" t="str">
        <f ca="1">IF(D21="","",VLOOKUP(G21,códigosORL!$H:$J,3,FALSE))</f>
        <v>Xavier González Compta</v>
      </c>
      <c r="B21" s="216" t="str">
        <f t="shared" si="0"/>
        <v>02</v>
      </c>
      <c r="C21" s="217" t="str">
        <f t="shared" si="1"/>
        <v>2025-02-13</v>
      </c>
      <c r="D21" s="216" t="str">
        <f t="shared" si="4"/>
        <v>Xavier González Compta</v>
      </c>
      <c r="E21" s="216" t="str">
        <f t="shared" si="5"/>
        <v>Xavier Gonzalez Compta</v>
      </c>
      <c r="F21" s="211" t="s">
        <v>4170</v>
      </c>
      <c r="G21" s="218" t="s">
        <v>2769</v>
      </c>
      <c r="H21" s="218" t="s">
        <v>3986</v>
      </c>
      <c r="I21" s="218" t="s">
        <v>4171</v>
      </c>
      <c r="J21" s="218" t="s">
        <v>3988</v>
      </c>
      <c r="K21" s="219" t="s">
        <v>4172</v>
      </c>
      <c r="L21" s="218" t="s">
        <v>2771</v>
      </c>
      <c r="M21" s="220"/>
      <c r="N21" s="218" t="s">
        <v>3990</v>
      </c>
      <c r="O21" s="218" t="s">
        <v>4173</v>
      </c>
      <c r="P21" s="218" t="s">
        <v>4174</v>
      </c>
      <c r="Q21" s="218" t="s">
        <v>3993</v>
      </c>
      <c r="R21" s="218" t="s">
        <v>3993</v>
      </c>
      <c r="S21" s="220"/>
      <c r="T21" s="220"/>
      <c r="U21" s="218" t="s">
        <v>3994</v>
      </c>
      <c r="V21" s="219" t="s">
        <v>4175</v>
      </c>
      <c r="W21" s="218" t="s">
        <v>3996</v>
      </c>
      <c r="X21" s="218" t="s">
        <v>3206</v>
      </c>
      <c r="Y21" s="128" t="s">
        <v>4176</v>
      </c>
      <c r="Z21" s="218">
        <v>27955</v>
      </c>
      <c r="AA21" s="221" t="s">
        <v>3204</v>
      </c>
      <c r="AB21" s="130">
        <v>8032</v>
      </c>
      <c r="AC21" s="130" t="s">
        <v>4177</v>
      </c>
      <c r="AD21" s="130" t="s">
        <v>2771</v>
      </c>
      <c r="AE21" s="133" t="s">
        <v>4001</v>
      </c>
      <c r="AF21" s="128" t="s">
        <v>4001</v>
      </c>
      <c r="AG21" s="218" t="s">
        <v>4178</v>
      </c>
      <c r="AH21" s="220"/>
      <c r="AI21" s="218" t="s">
        <v>4001</v>
      </c>
      <c r="AJ21" s="218"/>
      <c r="AK21" s="218"/>
      <c r="AL21" s="218"/>
      <c r="AM21" s="218"/>
      <c r="AN21" s="218"/>
      <c r="AO21" s="218"/>
      <c r="AP21" s="218"/>
      <c r="AQ21" s="218"/>
      <c r="AR21" s="218"/>
      <c r="AS21" s="218"/>
      <c r="AT21" s="218"/>
      <c r="AU21" s="218"/>
      <c r="AV21" s="218"/>
      <c r="AW21" s="218"/>
      <c r="AX21" s="218"/>
      <c r="AY21" s="218"/>
      <c r="AZ21" s="218"/>
    </row>
    <row r="22" spans="1:52">
      <c r="A22" s="216" t="str">
        <f ca="1">IF(D22="","",VLOOKUP(G22,códigosORL!$H:$J,3,FALSE))</f>
        <v>Rafael Alfonso Hurtado Ruzza</v>
      </c>
      <c r="B22" s="216" t="str">
        <f t="shared" si="0"/>
        <v>02</v>
      </c>
      <c r="C22" s="217" t="str">
        <f t="shared" si="1"/>
        <v>2025-02-08</v>
      </c>
      <c r="D22" s="216" t="str">
        <f t="shared" si="4"/>
        <v>Rafael Alfonso Hurtado Ruzza</v>
      </c>
      <c r="E22" s="216" t="str">
        <f t="shared" si="5"/>
        <v>Rafael Alfonso Hurtado Ruzza</v>
      </c>
      <c r="F22" s="211" t="s">
        <v>4179</v>
      </c>
      <c r="G22" s="218" t="s">
        <v>2514</v>
      </c>
      <c r="H22" s="218" t="s">
        <v>3986</v>
      </c>
      <c r="I22" s="218" t="s">
        <v>4180</v>
      </c>
      <c r="J22" s="218" t="s">
        <v>3988</v>
      </c>
      <c r="K22" s="219" t="s">
        <v>4181</v>
      </c>
      <c r="L22" s="218" t="s">
        <v>2516</v>
      </c>
      <c r="M22" s="220"/>
      <c r="N22" s="218" t="s">
        <v>3990</v>
      </c>
      <c r="O22" s="218" t="s">
        <v>4182</v>
      </c>
      <c r="P22" s="218" t="s">
        <v>4183</v>
      </c>
      <c r="Q22" s="218" t="s">
        <v>3993</v>
      </c>
      <c r="R22" s="218" t="s">
        <v>3993</v>
      </c>
      <c r="S22" s="220"/>
      <c r="T22" s="220"/>
      <c r="U22" s="218" t="s">
        <v>3994</v>
      </c>
      <c r="V22" s="219" t="s">
        <v>4184</v>
      </c>
      <c r="W22" s="218" t="s">
        <v>3996</v>
      </c>
      <c r="X22" s="218" t="s">
        <v>3433</v>
      </c>
      <c r="Y22" s="128" t="s">
        <v>4185</v>
      </c>
      <c r="Z22" s="218">
        <v>63504</v>
      </c>
      <c r="AA22" s="221" t="s">
        <v>2516</v>
      </c>
      <c r="AB22" s="130">
        <v>32003</v>
      </c>
      <c r="AC22" s="130" t="s">
        <v>3431</v>
      </c>
      <c r="AD22" s="130" t="s">
        <v>3430</v>
      </c>
      <c r="AE22" s="133" t="s">
        <v>2900</v>
      </c>
      <c r="AF22" s="128" t="s">
        <v>2900</v>
      </c>
      <c r="AG22" s="218" t="s">
        <v>4186</v>
      </c>
      <c r="AH22" s="220"/>
      <c r="AI22" s="218" t="s">
        <v>2900</v>
      </c>
      <c r="AJ22" s="218"/>
      <c r="AK22" s="218"/>
      <c r="AL22" s="218"/>
      <c r="AM22" s="218"/>
      <c r="AN22" s="218"/>
      <c r="AO22" s="218"/>
      <c r="AP22" s="218"/>
      <c r="AQ22" s="218"/>
      <c r="AR22" s="218"/>
      <c r="AS22" s="218"/>
      <c r="AT22" s="218"/>
      <c r="AU22" s="218"/>
      <c r="AV22" s="218"/>
      <c r="AW22" s="218"/>
      <c r="AX22" s="218"/>
      <c r="AY22" s="218"/>
      <c r="AZ22" s="218"/>
    </row>
    <row r="23" spans="1:52">
      <c r="A23" s="216" t="str">
        <f ca="1">IF(D23="","",VLOOKUP(G23,códigosORL!$H:$J,3,FALSE))</f>
        <v>Isabel Polo Tomás</v>
      </c>
      <c r="B23" s="216" t="str">
        <f t="shared" si="0"/>
        <v>02</v>
      </c>
      <c r="C23" s="217" t="str">
        <f t="shared" si="1"/>
        <v>2025-02-20</v>
      </c>
      <c r="D23" s="216" t="str">
        <f t="shared" si="4"/>
        <v>Isabel Polo Tomás</v>
      </c>
      <c r="E23" s="216" t="str">
        <f t="shared" si="5"/>
        <v>Isabel Polo Tomás</v>
      </c>
      <c r="F23" s="211" t="s">
        <v>4187</v>
      </c>
      <c r="G23" s="218" t="s">
        <v>1168</v>
      </c>
      <c r="H23" s="218" t="s">
        <v>3986</v>
      </c>
      <c r="I23" s="218" t="s">
        <v>4188</v>
      </c>
      <c r="J23" s="218" t="s">
        <v>3988</v>
      </c>
      <c r="K23" s="219" t="s">
        <v>4189</v>
      </c>
      <c r="L23" s="218" t="s">
        <v>1170</v>
      </c>
      <c r="M23" s="220"/>
      <c r="N23" s="218" t="s">
        <v>3990</v>
      </c>
      <c r="O23" s="218" t="s">
        <v>4190</v>
      </c>
      <c r="P23" s="218" t="s">
        <v>4191</v>
      </c>
      <c r="Q23" s="218" t="s">
        <v>3993</v>
      </c>
      <c r="R23" s="218" t="s">
        <v>3993</v>
      </c>
      <c r="S23" s="220"/>
      <c r="T23" s="220"/>
      <c r="U23" s="218" t="s">
        <v>3994</v>
      </c>
      <c r="V23" s="219" t="s">
        <v>4192</v>
      </c>
      <c r="W23" s="218" t="s">
        <v>3996</v>
      </c>
      <c r="X23" s="218" t="s">
        <v>3274</v>
      </c>
      <c r="Y23" s="128" t="s">
        <v>4193</v>
      </c>
      <c r="Z23" s="240">
        <v>1882858</v>
      </c>
      <c r="AA23" s="221" t="s">
        <v>1170</v>
      </c>
      <c r="AB23" s="130">
        <v>3590</v>
      </c>
      <c r="AC23" s="130" t="s">
        <v>3272</v>
      </c>
      <c r="AD23" s="130" t="s">
        <v>1170</v>
      </c>
      <c r="AE23" s="133" t="s">
        <v>4194</v>
      </c>
      <c r="AF23" s="128" t="s">
        <v>4195</v>
      </c>
      <c r="AG23" s="218" t="s">
        <v>1170</v>
      </c>
      <c r="AH23" s="220"/>
      <c r="AI23" s="218" t="s">
        <v>4194</v>
      </c>
      <c r="AJ23" s="218"/>
      <c r="AK23" s="218"/>
      <c r="AL23" s="218"/>
      <c r="AM23" s="218"/>
      <c r="AN23" s="218"/>
      <c r="AO23" s="218"/>
      <c r="AP23" s="218"/>
      <c r="AQ23" s="218"/>
      <c r="AR23" s="218"/>
      <c r="AS23" s="218"/>
      <c r="AT23" s="218"/>
      <c r="AU23" s="218"/>
      <c r="AV23" s="218"/>
      <c r="AW23" s="218"/>
      <c r="AX23" s="218"/>
      <c r="AY23" s="218"/>
      <c r="AZ23" s="218"/>
    </row>
    <row r="24" spans="1:52">
      <c r="A24" s="216" t="str">
        <f ca="1">IF(D24="","",VLOOKUP(G24,códigosORL!$H:$J,3,FALSE))</f>
        <v>José Luis Batlles Medina</v>
      </c>
      <c r="B24" s="216" t="str">
        <f t="shared" si="0"/>
        <v>02</v>
      </c>
      <c r="C24" s="217" t="str">
        <f t="shared" si="1"/>
        <v>2025-02-05</v>
      </c>
      <c r="D24" s="216" t="str">
        <f t="shared" si="4"/>
        <v>José Luis Batlles Medina</v>
      </c>
      <c r="E24" s="216" t="str">
        <f t="shared" si="5"/>
        <v>Jose Luis Batlles Medina</v>
      </c>
      <c r="F24" s="211" t="s">
        <v>4196</v>
      </c>
      <c r="G24" s="218" t="s">
        <v>1449</v>
      </c>
      <c r="H24" s="218" t="s">
        <v>3986</v>
      </c>
      <c r="I24" s="218" t="s">
        <v>4197</v>
      </c>
      <c r="J24" s="218" t="s">
        <v>3988</v>
      </c>
      <c r="K24" s="219" t="s">
        <v>4198</v>
      </c>
      <c r="L24" s="218" t="s">
        <v>1451</v>
      </c>
      <c r="M24" s="220"/>
      <c r="N24" s="218" t="s">
        <v>3990</v>
      </c>
      <c r="O24" s="218" t="s">
        <v>4199</v>
      </c>
      <c r="P24" s="218" t="s">
        <v>4200</v>
      </c>
      <c r="Q24" s="218" t="s">
        <v>3993</v>
      </c>
      <c r="R24" s="218" t="s">
        <v>3993</v>
      </c>
      <c r="S24" s="220"/>
      <c r="T24" s="220"/>
      <c r="U24" s="218" t="s">
        <v>3994</v>
      </c>
      <c r="V24" s="219" t="s">
        <v>4201</v>
      </c>
      <c r="W24" s="218" t="s">
        <v>3996</v>
      </c>
      <c r="X24" s="218" t="s">
        <v>3180</v>
      </c>
      <c r="Y24" s="128" t="s">
        <v>4202</v>
      </c>
      <c r="Z24" s="218">
        <v>4041648</v>
      </c>
      <c r="AA24" s="221" t="s">
        <v>3177</v>
      </c>
      <c r="AB24" s="130">
        <v>4001</v>
      </c>
      <c r="AC24" s="130" t="s">
        <v>3178</v>
      </c>
      <c r="AD24" s="130" t="s">
        <v>1451</v>
      </c>
      <c r="AE24" s="133" t="s">
        <v>4203</v>
      </c>
      <c r="AF24" s="128" t="s">
        <v>4203</v>
      </c>
      <c r="AG24" s="218" t="s">
        <v>1451</v>
      </c>
      <c r="AH24" s="220"/>
      <c r="AI24" s="218" t="s">
        <v>4203</v>
      </c>
      <c r="AJ24" s="218"/>
      <c r="AK24" s="218"/>
      <c r="AL24" s="218"/>
      <c r="AM24" s="218"/>
      <c r="AN24" s="218"/>
      <c r="AO24" s="218"/>
      <c r="AP24" s="218"/>
      <c r="AQ24" s="218"/>
      <c r="AR24" s="218"/>
      <c r="AS24" s="218"/>
      <c r="AT24" s="218"/>
      <c r="AU24" s="218"/>
      <c r="AV24" s="218"/>
      <c r="AW24" s="218"/>
      <c r="AX24" s="218"/>
      <c r="AY24" s="218"/>
      <c r="AZ24" s="218"/>
    </row>
    <row r="25" spans="1:52">
      <c r="A25" s="216" t="str">
        <f ca="1">IF(D25="","",VLOOKUP(G25,códigosORL!$H:$J,3,FALSE))</f>
        <v>Eviatar Friedlander</v>
      </c>
      <c r="B25" s="216" t="str">
        <f t="shared" si="0"/>
        <v>02</v>
      </c>
      <c r="C25" s="217" t="str">
        <f t="shared" si="1"/>
        <v>2025-02-13</v>
      </c>
      <c r="D25" s="216" t="str">
        <f t="shared" si="4"/>
        <v>Eviatar Friedlander</v>
      </c>
      <c r="E25" s="216" t="str">
        <f t="shared" si="5"/>
        <v>Eviatar Israel, Friedlander</v>
      </c>
      <c r="F25" s="211" t="s">
        <v>4204</v>
      </c>
      <c r="G25" s="218" t="s">
        <v>840</v>
      </c>
      <c r="H25" s="218" t="s">
        <v>3986</v>
      </c>
      <c r="I25" s="218" t="s">
        <v>4205</v>
      </c>
      <c r="J25" s="218" t="s">
        <v>3988</v>
      </c>
      <c r="K25" s="219" t="s">
        <v>4206</v>
      </c>
      <c r="L25" s="218" t="s">
        <v>842</v>
      </c>
      <c r="M25" s="220"/>
      <c r="N25" s="218" t="s">
        <v>3990</v>
      </c>
      <c r="O25" s="218" t="s">
        <v>4207</v>
      </c>
      <c r="P25" s="218" t="s">
        <v>4208</v>
      </c>
      <c r="Q25" s="218" t="s">
        <v>3993</v>
      </c>
      <c r="R25" s="218" t="s">
        <v>3993</v>
      </c>
      <c r="S25" s="220"/>
      <c r="T25" s="220"/>
      <c r="U25" s="218" t="s">
        <v>3994</v>
      </c>
      <c r="V25" s="219" t="s">
        <v>4209</v>
      </c>
      <c r="W25" s="218" t="s">
        <v>3996</v>
      </c>
      <c r="X25" s="218" t="s">
        <v>3236</v>
      </c>
      <c r="Y25" s="128" t="s">
        <v>4210</v>
      </c>
      <c r="Z25" s="218">
        <v>282868728</v>
      </c>
      <c r="AA25" s="221" t="s">
        <v>4211</v>
      </c>
      <c r="AB25" s="130">
        <v>28014</v>
      </c>
      <c r="AC25" s="130" t="s">
        <v>3234</v>
      </c>
      <c r="AD25" s="130" t="s">
        <v>4211</v>
      </c>
      <c r="AE25" s="133" t="s">
        <v>4116</v>
      </c>
      <c r="AF25" s="128" t="s">
        <v>4116</v>
      </c>
      <c r="AG25" s="218" t="s">
        <v>4211</v>
      </c>
      <c r="AH25" s="220"/>
      <c r="AI25" s="218" t="s">
        <v>4116</v>
      </c>
      <c r="AJ25" s="218"/>
      <c r="AK25" s="218"/>
      <c r="AL25" s="218"/>
      <c r="AM25" s="218"/>
      <c r="AN25" s="218"/>
      <c r="AO25" s="218"/>
      <c r="AP25" s="218"/>
      <c r="AQ25" s="218"/>
      <c r="AR25" s="218"/>
      <c r="AS25" s="218"/>
      <c r="AT25" s="218"/>
      <c r="AU25" s="218"/>
      <c r="AV25" s="218"/>
      <c r="AW25" s="218"/>
      <c r="AX25" s="218"/>
      <c r="AY25" s="218"/>
      <c r="AZ25" s="218"/>
    </row>
    <row r="26" spans="1:52">
      <c r="A26" s="216" t="str">
        <f ca="1">IF(D26="","",VLOOKUP(G26,códigosORL!$H:$J,3,FALSE))</f>
        <v>María Santillán Sánchez</v>
      </c>
      <c r="B26" s="216" t="str">
        <f t="shared" si="0"/>
        <v>02</v>
      </c>
      <c r="C26" s="217" t="str">
        <f t="shared" si="1"/>
        <v>2025-02-08</v>
      </c>
      <c r="D26" s="216" t="str">
        <f t="shared" si="4"/>
        <v>María Santillán Sánchez</v>
      </c>
      <c r="E26" s="216" t="str">
        <f t="shared" si="5"/>
        <v>María Santillán Sánchez</v>
      </c>
      <c r="F26" s="211" t="s">
        <v>4212</v>
      </c>
      <c r="G26" s="218" t="s">
        <v>2096</v>
      </c>
      <c r="H26" s="218" t="s">
        <v>3986</v>
      </c>
      <c r="I26" s="218" t="s">
        <v>4213</v>
      </c>
      <c r="J26" s="218" t="s">
        <v>3988</v>
      </c>
      <c r="K26" s="219" t="s">
        <v>4214</v>
      </c>
      <c r="L26" s="218" t="s">
        <v>2098</v>
      </c>
      <c r="M26" s="220"/>
      <c r="N26" s="218" t="s">
        <v>3990</v>
      </c>
      <c r="O26" s="218" t="s">
        <v>4215</v>
      </c>
      <c r="P26" s="218" t="s">
        <v>4216</v>
      </c>
      <c r="Q26" s="218" t="s">
        <v>3993</v>
      </c>
      <c r="R26" s="218" t="s">
        <v>3993</v>
      </c>
      <c r="S26" s="220"/>
      <c r="T26" s="220"/>
      <c r="U26" s="218" t="s">
        <v>3994</v>
      </c>
      <c r="V26" s="219" t="s">
        <v>4217</v>
      </c>
      <c r="W26" s="218" t="s">
        <v>3996</v>
      </c>
      <c r="X26" s="218" t="s">
        <v>3197</v>
      </c>
      <c r="Y26" s="128" t="s">
        <v>4218</v>
      </c>
      <c r="Z26" s="218">
        <v>282869180</v>
      </c>
      <c r="AA26" s="221" t="s">
        <v>2098</v>
      </c>
      <c r="AB26" s="130">
        <v>28007</v>
      </c>
      <c r="AC26" s="130" t="s">
        <v>3195</v>
      </c>
      <c r="AD26" s="130" t="s">
        <v>2098</v>
      </c>
      <c r="AE26" s="133" t="s">
        <v>4031</v>
      </c>
      <c r="AF26" s="128" t="s">
        <v>4031</v>
      </c>
      <c r="AG26" s="218" t="s">
        <v>2098</v>
      </c>
      <c r="AH26" s="220"/>
      <c r="AI26" s="218" t="s">
        <v>4031</v>
      </c>
      <c r="AJ26" s="218"/>
      <c r="AK26" s="218"/>
      <c r="AL26" s="218"/>
      <c r="AM26" s="218"/>
      <c r="AN26" s="218"/>
      <c r="AO26" s="218"/>
      <c r="AP26" s="218"/>
      <c r="AQ26" s="218"/>
      <c r="AR26" s="218"/>
      <c r="AS26" s="218"/>
      <c r="AT26" s="218"/>
      <c r="AU26" s="218"/>
      <c r="AV26" s="218"/>
      <c r="AW26" s="218"/>
      <c r="AX26" s="218"/>
      <c r="AY26" s="218"/>
      <c r="AZ26" s="218"/>
    </row>
    <row r="27" spans="1:52">
      <c r="A27" s="216" t="str">
        <f ca="1">IF(D27="","",VLOOKUP(G27,códigosORL!$H:$J,3,FALSE))</f>
        <v>Ana Moreno Valor</v>
      </c>
      <c r="B27" s="216" t="str">
        <f t="shared" si="0"/>
        <v>02</v>
      </c>
      <c r="C27" s="217" t="str">
        <f t="shared" si="1"/>
        <v>2025-02-13</v>
      </c>
      <c r="D27" s="216" t="str">
        <f t="shared" si="4"/>
        <v>Ana Moreno Valor</v>
      </c>
      <c r="E27" s="216" t="str">
        <f t="shared" si="5"/>
        <v>Ana Moreno Valor</v>
      </c>
      <c r="F27" s="211" t="s">
        <v>4219</v>
      </c>
      <c r="G27" s="218" t="s">
        <v>215</v>
      </c>
      <c r="H27" s="218" t="s">
        <v>3986</v>
      </c>
      <c r="I27" s="218" t="s">
        <v>4220</v>
      </c>
      <c r="J27" s="218" t="s">
        <v>3988</v>
      </c>
      <c r="K27" s="219" t="s">
        <v>4221</v>
      </c>
      <c r="L27" s="218" t="s">
        <v>217</v>
      </c>
      <c r="M27" s="220"/>
      <c r="N27" s="218" t="s">
        <v>3990</v>
      </c>
      <c r="O27" s="218" t="s">
        <v>4222</v>
      </c>
      <c r="P27" s="218" t="s">
        <v>4223</v>
      </c>
      <c r="Q27" s="218" t="s">
        <v>3993</v>
      </c>
      <c r="R27" s="218" t="s">
        <v>3993</v>
      </c>
      <c r="S27" s="220"/>
      <c r="T27" s="220"/>
      <c r="U27" s="218" t="s">
        <v>3994</v>
      </c>
      <c r="V27" s="219" t="s">
        <v>4224</v>
      </c>
      <c r="W27" s="218" t="s">
        <v>3996</v>
      </c>
      <c r="X27" s="218" t="s">
        <v>3221</v>
      </c>
      <c r="Y27" s="128" t="s">
        <v>4225</v>
      </c>
      <c r="Z27" s="218">
        <v>8023</v>
      </c>
      <c r="AA27" s="221" t="s">
        <v>217</v>
      </c>
      <c r="AB27" s="130">
        <v>8023</v>
      </c>
      <c r="AC27" s="130" t="s">
        <v>3219</v>
      </c>
      <c r="AD27" s="130" t="s">
        <v>217</v>
      </c>
      <c r="AE27" s="133" t="s">
        <v>4001</v>
      </c>
      <c r="AF27" s="128" t="s">
        <v>4001</v>
      </c>
      <c r="AG27" s="218" t="s">
        <v>217</v>
      </c>
      <c r="AH27" s="220"/>
      <c r="AI27" s="218" t="s">
        <v>4001</v>
      </c>
      <c r="AJ27" s="218"/>
      <c r="AK27" s="218"/>
      <c r="AL27" s="218"/>
      <c r="AM27" s="218"/>
      <c r="AN27" s="218"/>
      <c r="AO27" s="218"/>
      <c r="AP27" s="218"/>
      <c r="AQ27" s="218"/>
      <c r="AR27" s="218"/>
      <c r="AS27" s="218"/>
      <c r="AT27" s="218"/>
      <c r="AU27" s="218"/>
      <c r="AV27" s="218"/>
      <c r="AW27" s="218"/>
      <c r="AX27" s="218"/>
      <c r="AY27" s="218"/>
      <c r="AZ27" s="218"/>
    </row>
    <row r="28" spans="1:52">
      <c r="A28" s="216" t="str">
        <f ca="1">IF(D28="","",VLOOKUP(G28,códigosORL!$H:$J,3,FALSE))</f>
        <v>Marta Abad Pascual</v>
      </c>
      <c r="B28" s="216" t="str">
        <f t="shared" si="0"/>
        <v>03</v>
      </c>
      <c r="C28" s="217" t="str">
        <f t="shared" si="1"/>
        <v>2025-03-03</v>
      </c>
      <c r="D28" s="216" t="str">
        <f t="shared" si="4"/>
        <v>Marta Abad Pascual</v>
      </c>
      <c r="E28" s="216" t="str">
        <f t="shared" si="5"/>
        <v>Ana Marta Abad Pascual</v>
      </c>
      <c r="F28" s="211" t="s">
        <v>4226</v>
      </c>
      <c r="G28" s="218" t="s">
        <v>2156</v>
      </c>
      <c r="H28" s="218" t="s">
        <v>3986</v>
      </c>
      <c r="I28" s="218" t="s">
        <v>4227</v>
      </c>
      <c r="J28" s="218" t="s">
        <v>3988</v>
      </c>
      <c r="K28" s="227" t="s">
        <v>4228</v>
      </c>
      <c r="L28" s="218" t="s">
        <v>2158</v>
      </c>
      <c r="M28" s="220"/>
      <c r="N28" s="218" t="s">
        <v>3990</v>
      </c>
      <c r="O28" s="218" t="s">
        <v>4229</v>
      </c>
      <c r="P28" s="218" t="s">
        <v>4230</v>
      </c>
      <c r="Q28" s="218" t="s">
        <v>3993</v>
      </c>
      <c r="R28" s="218" t="s">
        <v>3993</v>
      </c>
      <c r="S28" s="220"/>
      <c r="T28" s="220"/>
      <c r="U28" s="218" t="s">
        <v>3994</v>
      </c>
      <c r="V28" s="219" t="s">
        <v>4231</v>
      </c>
      <c r="W28" s="218" t="s">
        <v>3996</v>
      </c>
      <c r="X28" s="218" t="s">
        <v>4232</v>
      </c>
      <c r="Y28" s="128" t="s">
        <v>4233</v>
      </c>
      <c r="Z28" s="218">
        <v>282849178</v>
      </c>
      <c r="AA28" s="221" t="s">
        <v>2887</v>
      </c>
      <c r="AB28" s="130">
        <v>28660</v>
      </c>
      <c r="AC28" s="130" t="s">
        <v>2888</v>
      </c>
      <c r="AD28" s="130" t="s">
        <v>2887</v>
      </c>
      <c r="AE28" s="133" t="s">
        <v>4031</v>
      </c>
      <c r="AF28" s="128" t="s">
        <v>4234</v>
      </c>
      <c r="AG28" s="218" t="s">
        <v>2887</v>
      </c>
      <c r="AH28" s="220"/>
      <c r="AI28" s="218" t="s">
        <v>4031</v>
      </c>
      <c r="AJ28" s="218"/>
      <c r="AK28" s="218"/>
      <c r="AL28" s="218"/>
      <c r="AM28" s="218"/>
      <c r="AN28" s="218"/>
      <c r="AO28" s="218"/>
      <c r="AP28" s="218"/>
      <c r="AQ28" s="218"/>
      <c r="AR28" s="218"/>
      <c r="AS28" s="218"/>
      <c r="AT28" s="218"/>
      <c r="AU28" s="218"/>
      <c r="AV28" s="218"/>
      <c r="AW28" s="218"/>
      <c r="AX28" s="218"/>
      <c r="AY28" s="218"/>
      <c r="AZ28" s="218"/>
    </row>
    <row r="29" spans="1:52">
      <c r="A29" s="216" t="str">
        <f ca="1">IF(D29="","",VLOOKUP(G29,códigosORL!$H:$J,3,FALSE))</f>
        <v>Marta Mesalles Ruiz</v>
      </c>
      <c r="B29" s="216" t="str">
        <f t="shared" si="0"/>
        <v>03</v>
      </c>
      <c r="C29" s="217" t="str">
        <f t="shared" si="1"/>
        <v>2025-03-11</v>
      </c>
      <c r="D29" s="216" t="str">
        <f t="shared" si="4"/>
        <v>Marta Mesalles Ruiz</v>
      </c>
      <c r="E29" s="216" t="str">
        <f t="shared" si="5"/>
        <v>Marta Mesalles Ruiz</v>
      </c>
      <c r="F29" s="211" t="s">
        <v>4235</v>
      </c>
      <c r="G29" s="218" t="s">
        <v>2195</v>
      </c>
      <c r="H29" s="218" t="s">
        <v>3986</v>
      </c>
      <c r="I29" s="218" t="s">
        <v>4236</v>
      </c>
      <c r="J29" s="218" t="s">
        <v>4237</v>
      </c>
      <c r="K29" s="219" t="s">
        <v>4238</v>
      </c>
      <c r="L29" s="218" t="s">
        <v>2197</v>
      </c>
      <c r="M29" s="220"/>
      <c r="N29" s="218" t="s">
        <v>3990</v>
      </c>
      <c r="O29" s="218" t="s">
        <v>4239</v>
      </c>
      <c r="P29" s="218" t="s">
        <v>4240</v>
      </c>
      <c r="Q29" s="218" t="s">
        <v>3993</v>
      </c>
      <c r="R29" s="218" t="s">
        <v>3993</v>
      </c>
      <c r="S29" s="220"/>
      <c r="T29" s="220"/>
      <c r="U29" s="218" t="s">
        <v>3994</v>
      </c>
      <c r="V29" s="219" t="s">
        <v>4241</v>
      </c>
      <c r="W29" s="218" t="s">
        <v>3996</v>
      </c>
      <c r="X29" s="218" t="s">
        <v>3426</v>
      </c>
      <c r="Y29" s="128" t="s">
        <v>4242</v>
      </c>
      <c r="Z29" s="218">
        <v>52110</v>
      </c>
      <c r="AA29" s="221" t="s">
        <v>2197</v>
      </c>
      <c r="AB29" s="130">
        <v>8330</v>
      </c>
      <c r="AC29" s="130" t="s">
        <v>3424</v>
      </c>
      <c r="AD29" s="130" t="s">
        <v>2197</v>
      </c>
      <c r="AE29" s="133" t="s">
        <v>4001</v>
      </c>
      <c r="AF29" s="128" t="s">
        <v>4243</v>
      </c>
      <c r="AG29" s="218" t="s">
        <v>2197</v>
      </c>
      <c r="AH29" s="219" t="s">
        <v>4244</v>
      </c>
      <c r="AI29" s="218" t="s">
        <v>4001</v>
      </c>
      <c r="AJ29" s="218"/>
      <c r="AK29" s="218"/>
      <c r="AL29" s="218"/>
      <c r="AM29" s="218"/>
      <c r="AN29" s="218"/>
      <c r="AO29" s="218"/>
      <c r="AP29" s="218"/>
      <c r="AQ29" s="218"/>
      <c r="AR29" s="218"/>
      <c r="AS29" s="218"/>
      <c r="AT29" s="218"/>
      <c r="AU29" s="218"/>
      <c r="AV29" s="218"/>
      <c r="AW29" s="218"/>
      <c r="AX29" s="218"/>
      <c r="AY29" s="218"/>
      <c r="AZ29" s="218"/>
    </row>
    <row r="30" spans="1:52">
      <c r="A30" s="216" t="str">
        <f ca="1">IF(D30="","",VLOOKUP(G30,códigosORL!$H:$J,3,FALSE))</f>
        <v>García González</v>
      </c>
      <c r="B30" s="216" t="str">
        <f t="shared" si="0"/>
        <v>03</v>
      </c>
      <c r="C30" s="217" t="str">
        <f t="shared" si="1"/>
        <v>2025-03-19</v>
      </c>
      <c r="D30" s="216" t="str">
        <f t="shared" si="4"/>
        <v>Abel Bogoya Castaño</v>
      </c>
      <c r="E30" s="216" t="str">
        <f t="shared" si="5"/>
        <v>Abel Bogoya Castaño</v>
      </c>
      <c r="F30" s="211" t="s">
        <v>4245</v>
      </c>
      <c r="G30" s="218" t="s">
        <v>1006</v>
      </c>
      <c r="H30" s="218" t="s">
        <v>3986</v>
      </c>
      <c r="I30" s="218" t="s">
        <v>4246</v>
      </c>
      <c r="J30" s="218" t="s">
        <v>4237</v>
      </c>
      <c r="K30" s="219" t="s">
        <v>4247</v>
      </c>
      <c r="L30" s="218" t="s">
        <v>13</v>
      </c>
      <c r="M30" s="220"/>
      <c r="N30" s="218" t="s">
        <v>3990</v>
      </c>
      <c r="O30" s="218" t="s">
        <v>4248</v>
      </c>
      <c r="P30" s="218" t="s">
        <v>4249</v>
      </c>
      <c r="Q30" s="218" t="s">
        <v>3993</v>
      </c>
      <c r="R30" s="218" t="s">
        <v>3993</v>
      </c>
      <c r="S30" s="220"/>
      <c r="T30" s="220"/>
      <c r="U30" s="218" t="s">
        <v>3994</v>
      </c>
      <c r="V30" s="219" t="s">
        <v>4250</v>
      </c>
      <c r="W30" s="218" t="s">
        <v>3996</v>
      </c>
      <c r="X30" s="218" t="s">
        <v>3319</v>
      </c>
      <c r="Y30" s="128" t="s">
        <v>4251</v>
      </c>
      <c r="Z30" s="218">
        <v>282881263</v>
      </c>
      <c r="AA30" s="221" t="s">
        <v>13</v>
      </c>
      <c r="AB30" s="130">
        <v>28005</v>
      </c>
      <c r="AC30" s="130" t="s">
        <v>3317</v>
      </c>
      <c r="AD30" s="130" t="s">
        <v>13</v>
      </c>
      <c r="AE30" s="133" t="s">
        <v>4031</v>
      </c>
      <c r="AF30" s="128" t="s">
        <v>4031</v>
      </c>
      <c r="AG30" s="218" t="s">
        <v>13</v>
      </c>
      <c r="AH30" s="219" t="s">
        <v>4252</v>
      </c>
      <c r="AI30" s="218" t="s">
        <v>4031</v>
      </c>
      <c r="AJ30" s="218"/>
      <c r="AK30" s="218"/>
      <c r="AL30" s="218"/>
      <c r="AM30" s="218"/>
      <c r="AN30" s="218"/>
      <c r="AO30" s="218"/>
      <c r="AP30" s="218"/>
      <c r="AQ30" s="218"/>
      <c r="AR30" s="218"/>
      <c r="AS30" s="218"/>
      <c r="AT30" s="218"/>
      <c r="AU30" s="218"/>
      <c r="AV30" s="218"/>
      <c r="AW30" s="218"/>
      <c r="AX30" s="218"/>
      <c r="AY30" s="218"/>
      <c r="AZ30" s="218"/>
    </row>
    <row r="31" spans="1:52">
      <c r="A31" s="216" t="str">
        <f ca="1">IF(D31="","",VLOOKUP(G31,códigosORL!$H:$J,3,FALSE))</f>
        <v>Laura Grau de Diego</v>
      </c>
      <c r="B31" s="216" t="str">
        <f t="shared" si="0"/>
        <v>03</v>
      </c>
      <c r="C31" s="217" t="str">
        <f t="shared" si="1"/>
        <v>2025-03-13</v>
      </c>
      <c r="D31" s="216" t="str">
        <f t="shared" si="4"/>
        <v>Laura Grau de Diego</v>
      </c>
      <c r="E31" s="216" t="str">
        <f t="shared" si="5"/>
        <v>Laura Grau</v>
      </c>
      <c r="F31" s="211" t="s">
        <v>4253</v>
      </c>
      <c r="G31" s="218" t="s">
        <v>1707</v>
      </c>
      <c r="H31" s="218" t="s">
        <v>3986</v>
      </c>
      <c r="I31" s="218" t="s">
        <v>4254</v>
      </c>
      <c r="J31" s="218" t="s">
        <v>4237</v>
      </c>
      <c r="K31" s="219" t="s">
        <v>4255</v>
      </c>
      <c r="L31" s="218" t="s">
        <v>1709</v>
      </c>
      <c r="M31" s="220"/>
      <c r="N31" s="218" t="s">
        <v>3990</v>
      </c>
      <c r="O31" s="218" t="s">
        <v>4256</v>
      </c>
      <c r="P31" s="218" t="s">
        <v>4257</v>
      </c>
      <c r="Q31" s="218" t="s">
        <v>3993</v>
      </c>
      <c r="R31" s="218" t="s">
        <v>3993</v>
      </c>
      <c r="S31" s="220"/>
      <c r="T31" s="220"/>
      <c r="U31" s="218" t="s">
        <v>3994</v>
      </c>
      <c r="V31" s="219" t="s">
        <v>4258</v>
      </c>
      <c r="W31" s="218" t="s">
        <v>3996</v>
      </c>
      <c r="X31" s="218" t="s">
        <v>4259</v>
      </c>
      <c r="Y31" s="128" t="s">
        <v>4260</v>
      </c>
      <c r="Z31" s="218">
        <v>67606</v>
      </c>
      <c r="AA31" s="221" t="s">
        <v>4261</v>
      </c>
      <c r="AB31" s="130">
        <v>8013</v>
      </c>
      <c r="AC31" s="130" t="s">
        <v>4262</v>
      </c>
      <c r="AD31" s="130" t="s">
        <v>4261</v>
      </c>
      <c r="AE31" s="133" t="s">
        <v>4001</v>
      </c>
      <c r="AF31" s="128" t="s">
        <v>4001</v>
      </c>
      <c r="AG31" s="218" t="s">
        <v>4261</v>
      </c>
      <c r="AH31" s="219" t="s">
        <v>4263</v>
      </c>
      <c r="AI31" s="218" t="s">
        <v>4001</v>
      </c>
      <c r="AJ31" s="218"/>
      <c r="AK31" s="218"/>
      <c r="AL31" s="218"/>
      <c r="AM31" s="218"/>
      <c r="AN31" s="218"/>
      <c r="AO31" s="218"/>
      <c r="AP31" s="218"/>
      <c r="AQ31" s="218"/>
      <c r="AR31" s="218"/>
      <c r="AS31" s="218"/>
      <c r="AT31" s="218"/>
      <c r="AU31" s="218"/>
      <c r="AV31" s="218"/>
      <c r="AW31" s="218"/>
      <c r="AX31" s="218"/>
      <c r="AY31" s="218"/>
      <c r="AZ31" s="218"/>
    </row>
    <row r="32" spans="1:52">
      <c r="A32" s="216" t="str">
        <f ca="1">IF(D32="","",VLOOKUP(G32,códigosORL!$H:$J,3,FALSE))</f>
        <v>Raimundo Gómez-Blasi</v>
      </c>
      <c r="B32" s="216" t="str">
        <f t="shared" si="0"/>
        <v>03</v>
      </c>
      <c r="C32" s="217" t="str">
        <f t="shared" si="1"/>
        <v>2025-03-26</v>
      </c>
      <c r="D32" s="216" t="str">
        <f t="shared" si="4"/>
        <v>Raimundo Gómez-Blasi</v>
      </c>
      <c r="E32" s="216" t="str">
        <f t="shared" si="5"/>
        <v>Raimundo Gómez-Blasi Camacho</v>
      </c>
      <c r="F32" s="211" t="s">
        <v>4264</v>
      </c>
      <c r="G32" s="218" t="s">
        <v>2559</v>
      </c>
      <c r="H32" s="218" t="s">
        <v>3986</v>
      </c>
      <c r="I32" s="218" t="s">
        <v>4265</v>
      </c>
      <c r="J32" s="218" t="s">
        <v>4237</v>
      </c>
      <c r="K32" s="241" t="s">
        <v>4266</v>
      </c>
      <c r="L32" s="218" t="s">
        <v>2561</v>
      </c>
      <c r="M32" s="218"/>
      <c r="N32" s="218" t="s">
        <v>3990</v>
      </c>
      <c r="O32" s="218" t="s">
        <v>4267</v>
      </c>
      <c r="P32" s="218" t="s">
        <v>4268</v>
      </c>
      <c r="Q32" s="218" t="s">
        <v>3993</v>
      </c>
      <c r="R32" s="218" t="s">
        <v>3993</v>
      </c>
      <c r="S32" s="218"/>
      <c r="T32" s="218"/>
      <c r="U32" s="218" t="s">
        <v>3994</v>
      </c>
      <c r="V32" s="241" t="s">
        <v>4269</v>
      </c>
      <c r="W32" s="218" t="s">
        <v>3996</v>
      </c>
      <c r="X32" s="218" t="s">
        <v>4270</v>
      </c>
      <c r="Y32" s="128" t="s">
        <v>4271</v>
      </c>
      <c r="Z32" s="218">
        <v>282872334</v>
      </c>
      <c r="AA32" s="221" t="s">
        <v>3437</v>
      </c>
      <c r="AB32" s="130">
        <v>28850</v>
      </c>
      <c r="AC32" s="130" t="s">
        <v>3438</v>
      </c>
      <c r="AD32" s="130" t="s">
        <v>3437</v>
      </c>
      <c r="AE32" s="133" t="s">
        <v>4031</v>
      </c>
      <c r="AF32" s="128" t="s">
        <v>4272</v>
      </c>
      <c r="AG32" s="218" t="s">
        <v>3437</v>
      </c>
      <c r="AH32" s="241" t="s">
        <v>4273</v>
      </c>
      <c r="AI32" s="218" t="s">
        <v>4031</v>
      </c>
      <c r="AJ32" s="218"/>
      <c r="AK32" s="218"/>
      <c r="AL32" s="218"/>
      <c r="AM32" s="218"/>
      <c r="AN32" s="218"/>
      <c r="AO32" s="218"/>
      <c r="AP32" s="218"/>
      <c r="AQ32" s="218"/>
      <c r="AR32" s="218"/>
      <c r="AS32" s="218"/>
      <c r="AT32" s="218"/>
      <c r="AU32" s="218"/>
      <c r="AV32" s="218"/>
      <c r="AW32" s="218"/>
      <c r="AX32" s="218"/>
      <c r="AY32" s="218"/>
      <c r="AZ32" s="218"/>
    </row>
    <row r="33" spans="1:52">
      <c r="A33" s="216" t="str">
        <f ca="1">IF(D33="","",VLOOKUP(G33,códigosORL!$H:$J,3,FALSE))</f>
        <v>Fernando García Alcántara</v>
      </c>
      <c r="B33" s="216" t="str">
        <f t="shared" si="0"/>
        <v>03</v>
      </c>
      <c r="C33" s="217" t="str">
        <f t="shared" si="1"/>
        <v>2025-03-11</v>
      </c>
      <c r="D33" s="216" t="str">
        <f t="shared" si="4"/>
        <v>Fernando García Alcántara</v>
      </c>
      <c r="E33" s="216" t="str">
        <f t="shared" si="5"/>
        <v>Fernando García Alcántara</v>
      </c>
      <c r="F33" s="211" t="s">
        <v>4274</v>
      </c>
      <c r="G33" s="218" t="s">
        <v>895</v>
      </c>
      <c r="H33" s="218" t="s">
        <v>3986</v>
      </c>
      <c r="I33" s="218" t="s">
        <v>4275</v>
      </c>
      <c r="J33" s="218" t="s">
        <v>4237</v>
      </c>
      <c r="K33" s="219" t="s">
        <v>4276</v>
      </c>
      <c r="L33" s="218" t="s">
        <v>897</v>
      </c>
      <c r="M33" s="220"/>
      <c r="N33" s="218" t="s">
        <v>3990</v>
      </c>
      <c r="O33" s="218" t="s">
        <v>4277</v>
      </c>
      <c r="P33" s="218" t="s">
        <v>4278</v>
      </c>
      <c r="Q33" s="218" t="s">
        <v>3993</v>
      </c>
      <c r="R33" s="218" t="s">
        <v>3993</v>
      </c>
      <c r="S33" s="220"/>
      <c r="T33" s="220"/>
      <c r="U33" s="218" t="s">
        <v>3994</v>
      </c>
      <c r="V33" s="219" t="s">
        <v>4279</v>
      </c>
      <c r="W33" s="218" t="s">
        <v>3996</v>
      </c>
      <c r="X33" s="218" t="s">
        <v>3377</v>
      </c>
      <c r="Y33" s="128" t="s">
        <v>4280</v>
      </c>
      <c r="Z33" s="218">
        <v>282852083</v>
      </c>
      <c r="AA33" s="221" t="s">
        <v>897</v>
      </c>
      <c r="AB33" s="130">
        <v>28022</v>
      </c>
      <c r="AC33" s="130" t="s">
        <v>3375</v>
      </c>
      <c r="AD33" s="130" t="s">
        <v>897</v>
      </c>
      <c r="AE33" s="133" t="s">
        <v>4031</v>
      </c>
      <c r="AF33" s="128" t="s">
        <v>4031</v>
      </c>
      <c r="AG33" s="218" t="s">
        <v>897</v>
      </c>
      <c r="AH33" s="219" t="s">
        <v>4281</v>
      </c>
      <c r="AI33" s="218" t="s">
        <v>4031</v>
      </c>
      <c r="AJ33" s="218"/>
      <c r="AK33" s="218"/>
      <c r="AL33" s="218"/>
      <c r="AM33" s="218"/>
      <c r="AN33" s="218"/>
      <c r="AO33" s="218"/>
      <c r="AP33" s="218"/>
      <c r="AQ33" s="218"/>
      <c r="AR33" s="218"/>
      <c r="AS33" s="218"/>
      <c r="AT33" s="218"/>
      <c r="AU33" s="218"/>
      <c r="AV33" s="218"/>
      <c r="AW33" s="218"/>
      <c r="AX33" s="218"/>
      <c r="AY33" s="218"/>
      <c r="AZ33" s="218"/>
    </row>
    <row r="34" spans="1:52">
      <c r="A34" s="216" t="str">
        <f ca="1">IF(D34="","",VLOOKUP(G34,códigosORL!$H:$J,3,FALSE))</f>
        <v>Antonio Rodríguez Rivero</v>
      </c>
      <c r="B34" s="216" t="str">
        <f t="shared" si="0"/>
        <v>03</v>
      </c>
      <c r="C34" s="217" t="str">
        <f t="shared" si="1"/>
        <v>2025-03-14</v>
      </c>
      <c r="D34" s="216" t="str">
        <f t="shared" si="4"/>
        <v>Antonio Rodríguez Rivero</v>
      </c>
      <c r="E34" s="216" t="str">
        <f t="shared" si="5"/>
        <v>Antonio Rodriguez Rivero</v>
      </c>
      <c r="F34" s="211" t="s">
        <v>4282</v>
      </c>
      <c r="G34" s="218" t="s">
        <v>356</v>
      </c>
      <c r="H34" s="218" t="s">
        <v>3986</v>
      </c>
      <c r="I34" s="218" t="s">
        <v>4283</v>
      </c>
      <c r="J34" s="218" t="s">
        <v>4237</v>
      </c>
      <c r="K34" s="219" t="s">
        <v>4284</v>
      </c>
      <c r="L34" s="218" t="s">
        <v>358</v>
      </c>
      <c r="M34" s="220"/>
      <c r="N34" s="218" t="s">
        <v>3990</v>
      </c>
      <c r="O34" s="218" t="s">
        <v>4285</v>
      </c>
      <c r="P34" s="218" t="s">
        <v>4286</v>
      </c>
      <c r="Q34" s="218" t="s">
        <v>3993</v>
      </c>
      <c r="R34" s="218" t="s">
        <v>3993</v>
      </c>
      <c r="S34" s="220"/>
      <c r="T34" s="220"/>
      <c r="U34" s="218" t="s">
        <v>3994</v>
      </c>
      <c r="V34" s="219" t="s">
        <v>4287</v>
      </c>
      <c r="W34" s="218" t="s">
        <v>3996</v>
      </c>
      <c r="X34" s="218" t="s">
        <v>4288</v>
      </c>
      <c r="Y34" s="128" t="s">
        <v>4289</v>
      </c>
      <c r="Z34" s="218">
        <v>282839013</v>
      </c>
      <c r="AA34" s="221" t="s">
        <v>2990</v>
      </c>
      <c r="AB34" s="130">
        <v>28028</v>
      </c>
      <c r="AC34" s="130" t="s">
        <v>2881</v>
      </c>
      <c r="AD34" s="130" t="s">
        <v>2990</v>
      </c>
      <c r="AE34" s="133" t="s">
        <v>4031</v>
      </c>
      <c r="AF34" s="128" t="s">
        <v>4031</v>
      </c>
      <c r="AG34" s="218" t="s">
        <v>2990</v>
      </c>
      <c r="AH34" s="218" t="s">
        <v>3952</v>
      </c>
      <c r="AI34" s="218" t="s">
        <v>4031</v>
      </c>
      <c r="AJ34" s="218"/>
      <c r="AK34" s="218"/>
      <c r="AL34" s="218"/>
      <c r="AM34" s="218"/>
      <c r="AN34" s="218"/>
      <c r="AO34" s="218"/>
      <c r="AP34" s="218"/>
      <c r="AQ34" s="218"/>
      <c r="AR34" s="218"/>
      <c r="AS34" s="218"/>
      <c r="AT34" s="218"/>
      <c r="AU34" s="218"/>
      <c r="AV34" s="218"/>
      <c r="AW34" s="218"/>
      <c r="AX34" s="218"/>
      <c r="AY34" s="218"/>
      <c r="AZ34" s="218"/>
    </row>
    <row r="35" spans="1:52">
      <c r="A35" s="216" t="str">
        <f ca="1">IF(D35="","",VLOOKUP(G35,códigosORL!$H:$J,3,FALSE))</f>
        <v>Blanca Maria Martinez Duro</v>
      </c>
      <c r="B35" s="216" t="str">
        <f t="shared" si="0"/>
        <v>03</v>
      </c>
      <c r="C35" s="217" t="str">
        <f t="shared" si="1"/>
        <v>2025-03-28</v>
      </c>
      <c r="D35" s="216" t="str">
        <f t="shared" si="4"/>
        <v>Blanca Maria Martinez Duro</v>
      </c>
      <c r="E35" s="216" t="str">
        <f t="shared" si="5"/>
        <v>Blanca Martínez Duro</v>
      </c>
      <c r="F35" s="211" t="s">
        <v>4290</v>
      </c>
      <c r="G35" s="218" t="s">
        <v>416</v>
      </c>
      <c r="H35" s="218" t="s">
        <v>3986</v>
      </c>
      <c r="I35" s="218" t="s">
        <v>4291</v>
      </c>
      <c r="J35" s="218" t="s">
        <v>4237</v>
      </c>
      <c r="K35" s="219" t="s">
        <v>4292</v>
      </c>
      <c r="L35" s="218" t="s">
        <v>418</v>
      </c>
      <c r="M35" s="220"/>
      <c r="N35" s="218" t="s">
        <v>3990</v>
      </c>
      <c r="O35" s="218" t="s">
        <v>4293</v>
      </c>
      <c r="P35" s="218" t="s">
        <v>4294</v>
      </c>
      <c r="Q35" s="218" t="s">
        <v>3993</v>
      </c>
      <c r="R35" s="218" t="s">
        <v>3993</v>
      </c>
      <c r="S35" s="220"/>
      <c r="T35" s="220"/>
      <c r="U35" s="218" t="s">
        <v>3994</v>
      </c>
      <c r="V35" s="219" t="s">
        <v>4295</v>
      </c>
      <c r="W35" s="218" t="s">
        <v>3996</v>
      </c>
      <c r="X35" s="218" t="s">
        <v>3609</v>
      </c>
      <c r="Y35" s="128" t="s">
        <v>4296</v>
      </c>
      <c r="Z35" s="218"/>
      <c r="AA35" s="221" t="s">
        <v>4297</v>
      </c>
      <c r="AB35" s="130">
        <v>2004</v>
      </c>
      <c r="AC35" s="130" t="s">
        <v>3368</v>
      </c>
      <c r="AD35" s="130" t="s">
        <v>4298</v>
      </c>
      <c r="AE35" s="133" t="s">
        <v>2863</v>
      </c>
      <c r="AF35" s="128" t="s">
        <v>2863</v>
      </c>
      <c r="AG35" s="218" t="s">
        <v>4297</v>
      </c>
      <c r="AH35" s="219" t="s">
        <v>4299</v>
      </c>
      <c r="AI35" s="218" t="s">
        <v>2863</v>
      </c>
      <c r="AJ35" s="218"/>
      <c r="AK35" s="218"/>
      <c r="AL35" s="218"/>
      <c r="AM35" s="218"/>
      <c r="AN35" s="218"/>
      <c r="AO35" s="218"/>
      <c r="AP35" s="218"/>
      <c r="AQ35" s="218"/>
      <c r="AR35" s="218"/>
      <c r="AS35" s="218"/>
      <c r="AT35" s="218"/>
      <c r="AU35" s="218"/>
      <c r="AV35" s="218"/>
      <c r="AW35" s="218"/>
      <c r="AX35" s="218"/>
      <c r="AY35" s="218"/>
      <c r="AZ35" s="218"/>
    </row>
    <row r="36" spans="1:52">
      <c r="A36" s="216" t="str">
        <f ca="1">IF(D36="","",VLOOKUP(G36,códigosORL!$H:$J,3,FALSE))</f>
        <v>Javier Gavilanes Plasencia</v>
      </c>
      <c r="B36" s="216" t="str">
        <f t="shared" si="0"/>
        <v>03</v>
      </c>
      <c r="C36" s="217" t="str">
        <f t="shared" si="1"/>
        <v>2025-03-25</v>
      </c>
      <c r="D36" s="216" t="str">
        <f t="shared" si="4"/>
        <v>Javier Gavilanes Plasencia</v>
      </c>
      <c r="E36" s="216" t="str">
        <f t="shared" si="5"/>
        <v>Javier Gavilanes Plasencia</v>
      </c>
      <c r="F36" s="211" t="s">
        <v>4300</v>
      </c>
      <c r="G36" s="218" t="s">
        <v>1234</v>
      </c>
      <c r="H36" s="218" t="s">
        <v>3986</v>
      </c>
      <c r="I36" s="218" t="s">
        <v>4301</v>
      </c>
      <c r="J36" s="218" t="s">
        <v>4237</v>
      </c>
      <c r="K36" s="219" t="s">
        <v>4302</v>
      </c>
      <c r="L36" s="218" t="s">
        <v>1236</v>
      </c>
      <c r="M36" s="220"/>
      <c r="N36" s="218" t="s">
        <v>3990</v>
      </c>
      <c r="O36" s="218" t="s">
        <v>4303</v>
      </c>
      <c r="P36" s="218" t="s">
        <v>4304</v>
      </c>
      <c r="Q36" s="218" t="s">
        <v>3993</v>
      </c>
      <c r="R36" s="218" t="s">
        <v>3993</v>
      </c>
      <c r="S36" s="220"/>
      <c r="T36" s="220"/>
      <c r="U36" s="218" t="s">
        <v>3994</v>
      </c>
      <c r="V36" s="219" t="s">
        <v>4305</v>
      </c>
      <c r="W36" s="218" t="s">
        <v>3996</v>
      </c>
      <c r="X36" s="218" t="s">
        <v>4306</v>
      </c>
      <c r="Y36" s="128" t="s">
        <v>4307</v>
      </c>
      <c r="Z36" s="218"/>
      <c r="AA36" s="221" t="s">
        <v>1236</v>
      </c>
      <c r="AB36" s="130">
        <v>28691</v>
      </c>
      <c r="AC36" s="130" t="s">
        <v>3391</v>
      </c>
      <c r="AD36" s="130" t="s">
        <v>1236</v>
      </c>
      <c r="AE36" s="133" t="s">
        <v>4031</v>
      </c>
      <c r="AF36" s="128" t="s">
        <v>4031</v>
      </c>
      <c r="AG36" s="218" t="s">
        <v>1236</v>
      </c>
      <c r="AH36" s="219" t="s">
        <v>4308</v>
      </c>
      <c r="AI36" s="218" t="s">
        <v>4031</v>
      </c>
      <c r="AJ36" s="218"/>
      <c r="AK36" s="218"/>
      <c r="AL36" s="218"/>
      <c r="AM36" s="218"/>
      <c r="AN36" s="218"/>
      <c r="AO36" s="218"/>
      <c r="AP36" s="218"/>
      <c r="AQ36" s="218"/>
      <c r="AR36" s="218"/>
      <c r="AS36" s="218"/>
      <c r="AT36" s="218"/>
      <c r="AU36" s="218"/>
      <c r="AV36" s="218"/>
      <c r="AW36" s="218"/>
      <c r="AX36" s="218"/>
      <c r="AY36" s="218"/>
      <c r="AZ36" s="218"/>
    </row>
    <row r="37" spans="1:52">
      <c r="A37" s="216" t="str">
        <f ca="1">IF(D37="","",VLOOKUP(G37,códigosORL!$H:$J,3,FALSE))</f>
        <v>Maria Del Rocío Lobato Pérez</v>
      </c>
      <c r="B37" s="216" t="str">
        <f t="shared" si="0"/>
        <v>03</v>
      </c>
      <c r="C37" s="217" t="str">
        <f t="shared" si="1"/>
        <v>2025-03-31</v>
      </c>
      <c r="D37" s="216" t="str">
        <f t="shared" si="4"/>
        <v>María Rocío Lobato Pérez</v>
      </c>
      <c r="E37" s="216" t="str">
        <f t="shared" si="5"/>
        <v>María del Rocío Lobato</v>
      </c>
      <c r="F37" s="211" t="s">
        <v>4309</v>
      </c>
      <c r="G37" s="218" t="s">
        <v>1958</v>
      </c>
      <c r="H37" s="218" t="s">
        <v>3986</v>
      </c>
      <c r="I37" s="218" t="s">
        <v>4310</v>
      </c>
      <c r="J37" s="218" t="s">
        <v>4237</v>
      </c>
      <c r="K37" s="219" t="s">
        <v>4311</v>
      </c>
      <c r="L37" s="218" t="s">
        <v>4312</v>
      </c>
      <c r="M37" s="220"/>
      <c r="N37" s="218" t="s">
        <v>3990</v>
      </c>
      <c r="O37" s="218" t="s">
        <v>4313</v>
      </c>
      <c r="P37" s="218" t="s">
        <v>4314</v>
      </c>
      <c r="Q37" s="218" t="s">
        <v>3993</v>
      </c>
      <c r="R37" s="218" t="s">
        <v>3993</v>
      </c>
      <c r="S37" s="220"/>
      <c r="T37" s="220"/>
      <c r="U37" s="218" t="s">
        <v>3994</v>
      </c>
      <c r="V37" s="219" t="s">
        <v>4315</v>
      </c>
      <c r="W37" s="218" t="s">
        <v>3996</v>
      </c>
      <c r="X37" s="218" t="s">
        <v>3049</v>
      </c>
      <c r="Y37" s="128" t="s">
        <v>4316</v>
      </c>
      <c r="Z37" s="218"/>
      <c r="AA37" s="221" t="s">
        <v>3046</v>
      </c>
      <c r="AB37" s="130">
        <v>45600</v>
      </c>
      <c r="AC37" s="130" t="s">
        <v>3047</v>
      </c>
      <c r="AD37" s="130" t="s">
        <v>4317</v>
      </c>
      <c r="AE37" s="133" t="s">
        <v>4318</v>
      </c>
      <c r="AF37" s="128" t="s">
        <v>4319</v>
      </c>
      <c r="AG37" s="218" t="s">
        <v>3046</v>
      </c>
      <c r="AH37" s="219" t="s">
        <v>4320</v>
      </c>
      <c r="AI37" s="218" t="s">
        <v>4318</v>
      </c>
      <c r="AJ37" s="218"/>
      <c r="AK37" s="218"/>
      <c r="AL37" s="218"/>
      <c r="AM37" s="218"/>
      <c r="AN37" s="218"/>
      <c r="AO37" s="218"/>
      <c r="AP37" s="218"/>
      <c r="AQ37" s="218"/>
      <c r="AR37" s="218"/>
      <c r="AS37" s="218"/>
      <c r="AT37" s="218"/>
      <c r="AU37" s="218"/>
      <c r="AV37" s="218"/>
      <c r="AW37" s="218"/>
      <c r="AX37" s="218"/>
      <c r="AY37" s="218"/>
      <c r="AZ37" s="218"/>
    </row>
    <row r="38" spans="1:52">
      <c r="A38" s="216" t="str">
        <f ca="1">IF(D38="","",VLOOKUP(G38,códigosORL!$H:$J,3,FALSE))</f>
        <v>Ainhoa Moreno Bravo</v>
      </c>
      <c r="B38" s="216" t="str">
        <f t="shared" si="0"/>
        <v>03</v>
      </c>
      <c r="C38" s="217" t="str">
        <f t="shared" si="1"/>
        <v>2025-03-26</v>
      </c>
      <c r="D38" s="216" t="str">
        <f t="shared" si="4"/>
        <v>Ainhoa Moreno Bravo</v>
      </c>
      <c r="E38" s="216" t="str">
        <f t="shared" si="5"/>
        <v>Ainhoa Moreno Bravo</v>
      </c>
      <c r="F38" s="211" t="s">
        <v>4321</v>
      </c>
      <c r="G38" s="218" t="s">
        <v>69</v>
      </c>
      <c r="H38" s="218" t="s">
        <v>3986</v>
      </c>
      <c r="I38" s="218" t="s">
        <v>4322</v>
      </c>
      <c r="J38" s="218" t="s">
        <v>4237</v>
      </c>
      <c r="K38" s="219" t="s">
        <v>4323</v>
      </c>
      <c r="L38" s="220" t="s">
        <v>71</v>
      </c>
      <c r="M38" s="220"/>
      <c r="N38" s="218" t="s">
        <v>3990</v>
      </c>
      <c r="O38" s="218" t="s">
        <v>4324</v>
      </c>
      <c r="P38" s="218" t="s">
        <v>4325</v>
      </c>
      <c r="Q38" s="218" t="s">
        <v>3993</v>
      </c>
      <c r="R38" s="218" t="s">
        <v>3993</v>
      </c>
      <c r="S38" s="220"/>
      <c r="T38" s="220"/>
      <c r="U38" s="218" t="s">
        <v>3994</v>
      </c>
      <c r="V38" s="219" t="s">
        <v>4326</v>
      </c>
      <c r="W38" s="218" t="s">
        <v>3996</v>
      </c>
      <c r="X38" s="218" t="s">
        <v>4327</v>
      </c>
      <c r="Y38" s="128" t="s">
        <v>4328</v>
      </c>
      <c r="Z38" s="218">
        <v>60606659</v>
      </c>
      <c r="AA38" s="223" t="s">
        <v>71</v>
      </c>
      <c r="AB38" s="130">
        <v>10290</v>
      </c>
      <c r="AC38" s="130" t="s">
        <v>2973</v>
      </c>
      <c r="AD38" s="130" t="s">
        <v>71</v>
      </c>
      <c r="AE38" s="133" t="s">
        <v>4318</v>
      </c>
      <c r="AF38" s="128" t="s">
        <v>4329</v>
      </c>
      <c r="AG38" s="218" t="s">
        <v>4330</v>
      </c>
      <c r="AH38" s="219" t="s">
        <v>4331</v>
      </c>
      <c r="AI38" s="218" t="s">
        <v>4318</v>
      </c>
      <c r="AJ38" s="218"/>
      <c r="AK38" s="218"/>
      <c r="AL38" s="218"/>
      <c r="AM38" s="218"/>
      <c r="AN38" s="218"/>
      <c r="AO38" s="218"/>
      <c r="AP38" s="218"/>
      <c r="AQ38" s="218"/>
      <c r="AR38" s="218"/>
      <c r="AS38" s="218"/>
      <c r="AT38" s="218"/>
      <c r="AU38" s="218"/>
      <c r="AV38" s="218"/>
      <c r="AW38" s="218"/>
      <c r="AX38" s="218"/>
      <c r="AY38" s="218"/>
      <c r="AZ38" s="218"/>
    </row>
    <row r="39" spans="1:52">
      <c r="A39" s="216" t="str">
        <f ca="1">IF(D39="","",VLOOKUP(G39,códigosORL!$H:$J,3,FALSE))</f>
        <v>Miquel Guirao Cano</v>
      </c>
      <c r="B39" s="216" t="str">
        <f t="shared" si="0"/>
        <v>04</v>
      </c>
      <c r="C39" s="217" t="str">
        <f t="shared" si="1"/>
        <v>2025-04-24</v>
      </c>
      <c r="D39" s="216" t="str">
        <f t="shared" si="4"/>
        <v>Miquel Guirao Cano</v>
      </c>
      <c r="E39" s="216" t="str">
        <f t="shared" si="5"/>
        <v>MIQUEL GUIRAO CANO</v>
      </c>
      <c r="F39" s="211" t="s">
        <v>4332</v>
      </c>
      <c r="G39" s="218" t="s">
        <v>2282</v>
      </c>
      <c r="H39" s="218" t="s">
        <v>3986</v>
      </c>
      <c r="I39" s="218" t="s">
        <v>4333</v>
      </c>
      <c r="J39" s="218" t="s">
        <v>4237</v>
      </c>
      <c r="K39" s="219" t="s">
        <v>4334</v>
      </c>
      <c r="L39" s="218" t="s">
        <v>2284</v>
      </c>
      <c r="M39" s="220"/>
      <c r="N39" s="218" t="s">
        <v>3990</v>
      </c>
      <c r="O39" s="218" t="s">
        <v>4335</v>
      </c>
      <c r="P39" s="218" t="s">
        <v>4336</v>
      </c>
      <c r="Q39" s="218" t="s">
        <v>3993</v>
      </c>
      <c r="R39" s="218" t="s">
        <v>3993</v>
      </c>
      <c r="S39" s="220"/>
      <c r="T39" s="220"/>
      <c r="U39" s="218" t="s">
        <v>3994</v>
      </c>
      <c r="V39" s="219" t="s">
        <v>4337</v>
      </c>
      <c r="W39" s="218" t="s">
        <v>3996</v>
      </c>
      <c r="X39" s="218" t="s">
        <v>4338</v>
      </c>
      <c r="Y39" s="128" t="s">
        <v>4339</v>
      </c>
      <c r="Z39" s="218"/>
      <c r="AA39" s="221" t="s">
        <v>4340</v>
      </c>
      <c r="AB39" s="130">
        <v>8810</v>
      </c>
      <c r="AC39" s="130" t="s">
        <v>3567</v>
      </c>
      <c r="AD39" s="130" t="s">
        <v>4340</v>
      </c>
      <c r="AE39" s="133" t="s">
        <v>4082</v>
      </c>
      <c r="AF39" s="128" t="s">
        <v>4082</v>
      </c>
      <c r="AG39" s="218" t="s">
        <v>4340</v>
      </c>
      <c r="AH39" s="219" t="s">
        <v>4341</v>
      </c>
      <c r="AI39" s="218" t="s">
        <v>4082</v>
      </c>
      <c r="AJ39" s="218"/>
      <c r="AK39" s="218"/>
      <c r="AL39" s="218"/>
      <c r="AM39" s="218"/>
      <c r="AN39" s="218"/>
      <c r="AO39" s="218"/>
      <c r="AP39" s="218"/>
      <c r="AQ39" s="218"/>
      <c r="AR39" s="218"/>
      <c r="AS39" s="218"/>
      <c r="AT39" s="218"/>
      <c r="AU39" s="218"/>
      <c r="AV39" s="218"/>
      <c r="AW39" s="218"/>
      <c r="AX39" s="218"/>
      <c r="AY39" s="218"/>
      <c r="AZ39" s="218"/>
    </row>
    <row r="40" spans="1:52">
      <c r="A40" s="216" t="str">
        <f ca="1">IF(D40="","",VLOOKUP(G40,códigosORL!$H:$J,3,FALSE))</f>
        <v>Javier Olarieta Soto</v>
      </c>
      <c r="B40" s="216" t="str">
        <f t="shared" si="0"/>
        <v>04</v>
      </c>
      <c r="C40" s="217" t="str">
        <f t="shared" si="1"/>
        <v>2025-04-02</v>
      </c>
      <c r="D40" s="216" t="str">
        <f t="shared" si="4"/>
        <v>Javier Olarieta Soto</v>
      </c>
      <c r="E40" s="216" t="str">
        <f t="shared" si="5"/>
        <v>Fco javier olarieta soto</v>
      </c>
      <c r="F40" s="211" t="s">
        <v>4342</v>
      </c>
      <c r="G40" s="218" t="s">
        <v>1252</v>
      </c>
      <c r="H40" s="218" t="s">
        <v>3986</v>
      </c>
      <c r="I40" s="218" t="s">
        <v>4343</v>
      </c>
      <c r="J40" s="218" t="s">
        <v>4237</v>
      </c>
      <c r="K40" s="219" t="s">
        <v>4344</v>
      </c>
      <c r="L40" s="218" t="s">
        <v>1254</v>
      </c>
      <c r="M40" s="220"/>
      <c r="N40" s="218" t="s">
        <v>3990</v>
      </c>
      <c r="O40" s="218" t="s">
        <v>4345</v>
      </c>
      <c r="P40" s="218" t="s">
        <v>4346</v>
      </c>
      <c r="Q40" s="218" t="s">
        <v>3993</v>
      </c>
      <c r="R40" s="218" t="s">
        <v>3993</v>
      </c>
      <c r="S40" s="220"/>
      <c r="T40" s="220"/>
      <c r="U40" s="218" t="s">
        <v>3994</v>
      </c>
      <c r="V40" s="219" t="s">
        <v>4347</v>
      </c>
      <c r="W40" s="218" t="s">
        <v>3996</v>
      </c>
      <c r="X40" s="218" t="s">
        <v>3472</v>
      </c>
      <c r="Y40" s="128" t="s">
        <v>4348</v>
      </c>
      <c r="Z40" s="218"/>
      <c r="AA40" s="221" t="s">
        <v>4349</v>
      </c>
      <c r="AB40" s="130">
        <v>28001</v>
      </c>
      <c r="AC40" s="130" t="s">
        <v>3470</v>
      </c>
      <c r="AD40" s="130" t="s">
        <v>4350</v>
      </c>
      <c r="AE40" s="133" t="s">
        <v>4031</v>
      </c>
      <c r="AF40" s="128" t="s">
        <v>4031</v>
      </c>
      <c r="AG40" s="218" t="s">
        <v>4349</v>
      </c>
      <c r="AH40" s="219" t="s">
        <v>4351</v>
      </c>
      <c r="AI40" s="218" t="s">
        <v>4031</v>
      </c>
      <c r="AJ40" s="218"/>
      <c r="AK40" s="218"/>
      <c r="AL40" s="218"/>
      <c r="AM40" s="218"/>
      <c r="AN40" s="218"/>
      <c r="AO40" s="218"/>
      <c r="AP40" s="218"/>
      <c r="AQ40" s="218"/>
      <c r="AR40" s="218"/>
      <c r="AS40" s="218"/>
      <c r="AT40" s="218"/>
      <c r="AU40" s="218"/>
      <c r="AV40" s="218"/>
      <c r="AW40" s="218"/>
      <c r="AX40" s="218"/>
      <c r="AY40" s="218"/>
      <c r="AZ40" s="218"/>
    </row>
    <row r="41" spans="1:52">
      <c r="A41" s="216" t="str">
        <f ca="1">IF(D41="","",VLOOKUP(G41,códigosORL!$H:$J,3,FALSE))</f>
        <v>Natalia Gisseth Pulido Fonseca</v>
      </c>
      <c r="B41" s="216" t="str">
        <f t="shared" si="0"/>
        <v>04</v>
      </c>
      <c r="C41" s="217" t="str">
        <f t="shared" si="1"/>
        <v>2025-04-15</v>
      </c>
      <c r="D41" s="216" t="str">
        <f t="shared" si="4"/>
        <v>Natalia Gisseth Pulido Fonseca</v>
      </c>
      <c r="E41" s="216" t="str">
        <f t="shared" si="5"/>
        <v>Natalia Gisseth Pulido Fonseca</v>
      </c>
      <c r="F41" s="211" t="s">
        <v>4352</v>
      </c>
      <c r="G41" s="218" t="s">
        <v>2327</v>
      </c>
      <c r="H41" s="218" t="s">
        <v>3986</v>
      </c>
      <c r="I41" s="218" t="s">
        <v>4353</v>
      </c>
      <c r="J41" s="218" t="s">
        <v>4237</v>
      </c>
      <c r="K41" s="219" t="s">
        <v>4354</v>
      </c>
      <c r="L41" s="218" t="s">
        <v>2329</v>
      </c>
      <c r="M41" s="220"/>
      <c r="N41" s="218" t="s">
        <v>3990</v>
      </c>
      <c r="O41" s="218" t="s">
        <v>4355</v>
      </c>
      <c r="P41" s="218" t="s">
        <v>4356</v>
      </c>
      <c r="Q41" s="218" t="s">
        <v>3993</v>
      </c>
      <c r="R41" s="218" t="s">
        <v>3993</v>
      </c>
      <c r="S41" s="220"/>
      <c r="T41" s="220"/>
      <c r="U41" s="218" t="s">
        <v>3994</v>
      </c>
      <c r="V41" s="219" t="s">
        <v>4357</v>
      </c>
      <c r="W41" s="218" t="s">
        <v>3996</v>
      </c>
      <c r="X41" s="131" t="s">
        <v>4358</v>
      </c>
      <c r="Y41" s="128" t="s">
        <v>4359</v>
      </c>
      <c r="Z41" s="218" t="s">
        <v>4360</v>
      </c>
      <c r="AA41" s="221" t="s">
        <v>2329</v>
      </c>
      <c r="AB41" s="130">
        <v>45600</v>
      </c>
      <c r="AC41" s="130" t="s">
        <v>3492</v>
      </c>
      <c r="AD41" s="130" t="s">
        <v>2329</v>
      </c>
      <c r="AE41" s="133" t="s">
        <v>4318</v>
      </c>
      <c r="AF41" s="128" t="s">
        <v>4361</v>
      </c>
      <c r="AG41" s="218" t="s">
        <v>2329</v>
      </c>
      <c r="AH41" s="219" t="s">
        <v>4362</v>
      </c>
      <c r="AI41" s="218" t="s">
        <v>4318</v>
      </c>
      <c r="AJ41" s="218"/>
      <c r="AK41" s="218"/>
      <c r="AL41" s="218"/>
      <c r="AM41" s="218"/>
      <c r="AN41" s="218"/>
      <c r="AO41" s="218"/>
      <c r="AP41" s="218"/>
      <c r="AQ41" s="218"/>
      <c r="AR41" s="218"/>
      <c r="AS41" s="218"/>
      <c r="AT41" s="218"/>
      <c r="AU41" s="218"/>
      <c r="AV41" s="218"/>
      <c r="AW41" s="218"/>
      <c r="AX41" s="218"/>
      <c r="AY41" s="218"/>
      <c r="AZ41" s="218"/>
    </row>
    <row r="42" spans="1:52">
      <c r="A42" s="216" t="str">
        <f ca="1">IF(D42="","",VLOOKUP(G42,códigosORL!$H:$J,3,FALSE))</f>
        <v>Carlos Velásquez Fermín</v>
      </c>
      <c r="B42" s="216" t="str">
        <f t="shared" si="0"/>
        <v>04</v>
      </c>
      <c r="C42" s="217" t="str">
        <f t="shared" si="1"/>
        <v>2025-04-30</v>
      </c>
      <c r="D42" s="216" t="str">
        <f t="shared" si="4"/>
        <v>Carlos Velásquez Fermín</v>
      </c>
      <c r="E42" s="216" t="str">
        <f t="shared" si="5"/>
        <v>Carlos velasquez fermin</v>
      </c>
      <c r="F42" s="211" t="s">
        <v>4363</v>
      </c>
      <c r="G42" s="218" t="s">
        <v>485</v>
      </c>
      <c r="H42" s="218" t="s">
        <v>3986</v>
      </c>
      <c r="I42" s="218" t="s">
        <v>4364</v>
      </c>
      <c r="J42" s="218" t="s">
        <v>4237</v>
      </c>
      <c r="K42" s="219" t="s">
        <v>4365</v>
      </c>
      <c r="L42" s="218" t="s">
        <v>487</v>
      </c>
      <c r="M42" s="220"/>
      <c r="N42" s="218" t="s">
        <v>3990</v>
      </c>
      <c r="O42" s="218" t="s">
        <v>4366</v>
      </c>
      <c r="P42" s="218" t="s">
        <v>4367</v>
      </c>
      <c r="Q42" s="218" t="s">
        <v>3993</v>
      </c>
      <c r="R42" s="218" t="s">
        <v>3993</v>
      </c>
      <c r="S42" s="220"/>
      <c r="T42" s="220"/>
      <c r="U42" s="218" t="s">
        <v>3994</v>
      </c>
      <c r="V42" s="219" t="s">
        <v>4368</v>
      </c>
      <c r="W42" s="218" t="s">
        <v>3996</v>
      </c>
      <c r="X42" s="242" t="s">
        <v>3576</v>
      </c>
      <c r="Y42" s="128" t="s">
        <v>4369</v>
      </c>
      <c r="Z42" s="218"/>
      <c r="AA42" s="221" t="s">
        <v>3573</v>
      </c>
      <c r="AB42" s="130">
        <v>3005</v>
      </c>
      <c r="AC42" s="130" t="s">
        <v>3574</v>
      </c>
      <c r="AD42" s="130" t="s">
        <v>4370</v>
      </c>
      <c r="AE42" s="133" t="s">
        <v>4194</v>
      </c>
      <c r="AF42" s="128" t="s">
        <v>4194</v>
      </c>
      <c r="AG42" s="218" t="s">
        <v>3573</v>
      </c>
      <c r="AH42" s="219" t="s">
        <v>4371</v>
      </c>
      <c r="AI42" s="218" t="s">
        <v>4194</v>
      </c>
      <c r="AJ42" s="218"/>
      <c r="AK42" s="218"/>
      <c r="AL42" s="218"/>
      <c r="AM42" s="218"/>
      <c r="AN42" s="218"/>
      <c r="AO42" s="218"/>
      <c r="AP42" s="218"/>
      <c r="AQ42" s="218"/>
      <c r="AR42" s="218"/>
      <c r="AS42" s="218"/>
      <c r="AT42" s="218"/>
      <c r="AU42" s="218"/>
      <c r="AV42" s="218"/>
      <c r="AW42" s="218"/>
      <c r="AX42" s="218"/>
      <c r="AY42" s="218"/>
      <c r="AZ42" s="218"/>
    </row>
    <row r="43" spans="1:52">
      <c r="A43" s="216" t="str">
        <f ca="1">IF(D43="","",VLOOKUP(G43,códigosORL!$H:$J,3,FALSE))</f>
        <v>Itziar Álvarez Palacios</v>
      </c>
      <c r="B43" s="216" t="str">
        <f t="shared" si="0"/>
        <v>04</v>
      </c>
      <c r="C43" s="217" t="str">
        <f t="shared" si="1"/>
        <v>2025-04-08</v>
      </c>
      <c r="D43" s="216" t="str">
        <f t="shared" si="4"/>
        <v>Itziar Álvarez Palacios</v>
      </c>
      <c r="E43" s="216" t="str">
        <f t="shared" si="5"/>
        <v>Itziar Álvarez Palacios</v>
      </c>
      <c r="F43" s="211" t="s">
        <v>4372</v>
      </c>
      <c r="G43" s="218" t="s">
        <v>1186</v>
      </c>
      <c r="H43" s="218" t="s">
        <v>3986</v>
      </c>
      <c r="I43" s="218" t="s">
        <v>4373</v>
      </c>
      <c r="J43" s="218" t="s">
        <v>4237</v>
      </c>
      <c r="K43" s="219" t="s">
        <v>4374</v>
      </c>
      <c r="L43" s="218" t="s">
        <v>1188</v>
      </c>
      <c r="M43" s="220"/>
      <c r="N43" s="218" t="s">
        <v>3990</v>
      </c>
      <c r="O43" s="218" t="s">
        <v>4375</v>
      </c>
      <c r="P43" s="218" t="s">
        <v>4376</v>
      </c>
      <c r="Q43" s="218" t="s">
        <v>3993</v>
      </c>
      <c r="R43" s="218" t="s">
        <v>3993</v>
      </c>
      <c r="S43" s="220"/>
      <c r="T43" s="220"/>
      <c r="U43" s="218" t="s">
        <v>3994</v>
      </c>
      <c r="V43" s="219" t="s">
        <v>4377</v>
      </c>
      <c r="W43" s="218" t="s">
        <v>3996</v>
      </c>
      <c r="X43" s="131" t="s">
        <v>3484</v>
      </c>
      <c r="Y43" s="128" t="s">
        <v>4378</v>
      </c>
      <c r="Z43" s="218"/>
      <c r="AA43" s="221" t="s">
        <v>1188</v>
      </c>
      <c r="AB43" s="130">
        <v>28028</v>
      </c>
      <c r="AC43" s="130" t="s">
        <v>3482</v>
      </c>
      <c r="AD43" s="130" t="s">
        <v>1188</v>
      </c>
      <c r="AE43" s="133" t="s">
        <v>4031</v>
      </c>
      <c r="AF43" s="128" t="s">
        <v>4031</v>
      </c>
      <c r="AG43" s="218" t="s">
        <v>1188</v>
      </c>
      <c r="AH43" s="219" t="s">
        <v>4379</v>
      </c>
      <c r="AI43" s="218" t="s">
        <v>4031</v>
      </c>
      <c r="AJ43" s="218"/>
      <c r="AK43" s="218"/>
      <c r="AL43" s="218"/>
      <c r="AM43" s="218"/>
      <c r="AN43" s="218"/>
      <c r="AO43" s="218"/>
      <c r="AP43" s="218"/>
      <c r="AQ43" s="218"/>
      <c r="AR43" s="218"/>
      <c r="AS43" s="218"/>
      <c r="AT43" s="218"/>
      <c r="AU43" s="218"/>
      <c r="AV43" s="218"/>
      <c r="AW43" s="218"/>
      <c r="AX43" s="218"/>
      <c r="AY43" s="218"/>
      <c r="AZ43" s="218"/>
    </row>
    <row r="44" spans="1:52">
      <c r="A44" s="216" t="str">
        <f ca="1">IF(D44="","",VLOOKUP(G44,códigosORL!$H:$J,3,FALSE))</f>
        <v>Oreana Carolina Camacaro González</v>
      </c>
      <c r="B44" s="216" t="str">
        <f t="shared" si="0"/>
        <v>04</v>
      </c>
      <c r="C44" s="217" t="str">
        <f t="shared" si="1"/>
        <v>2025-04-23</v>
      </c>
      <c r="D44" s="216" t="str">
        <f t="shared" si="4"/>
        <v>Oreana Carolina Camacaro González</v>
      </c>
      <c r="E44" s="216" t="str">
        <f t="shared" si="5"/>
        <v>Oreana Camacaro</v>
      </c>
      <c r="F44" s="211" t="s">
        <v>4380</v>
      </c>
      <c r="G44" s="218" t="s">
        <v>2379</v>
      </c>
      <c r="H44" s="218" t="s">
        <v>3986</v>
      </c>
      <c r="I44" s="218" t="s">
        <v>4381</v>
      </c>
      <c r="J44" s="218" t="s">
        <v>4237</v>
      </c>
      <c r="K44" s="219" t="s">
        <v>4382</v>
      </c>
      <c r="L44" s="218" t="s">
        <v>2381</v>
      </c>
      <c r="M44" s="220"/>
      <c r="N44" s="218" t="s">
        <v>3990</v>
      </c>
      <c r="O44" s="218" t="s">
        <v>4383</v>
      </c>
      <c r="P44" s="218" t="s">
        <v>4384</v>
      </c>
      <c r="Q44" s="218" t="s">
        <v>3993</v>
      </c>
      <c r="R44" s="218" t="s">
        <v>3993</v>
      </c>
      <c r="S44" s="220"/>
      <c r="T44" s="220"/>
      <c r="U44" s="218" t="s">
        <v>3994</v>
      </c>
      <c r="V44" s="219" t="s">
        <v>4385</v>
      </c>
      <c r="W44" s="218" t="s">
        <v>3996</v>
      </c>
      <c r="X44" s="242" t="s">
        <v>2877</v>
      </c>
      <c r="Y44" s="128" t="s">
        <v>4386</v>
      </c>
      <c r="Z44" s="218"/>
      <c r="AA44" s="221" t="s">
        <v>4387</v>
      </c>
      <c r="AB44" s="130">
        <v>3194</v>
      </c>
      <c r="AC44" s="130" t="s">
        <v>3584</v>
      </c>
      <c r="AD44" s="130" t="s">
        <v>4387</v>
      </c>
      <c r="AE44" s="133" t="s">
        <v>4194</v>
      </c>
      <c r="AF44" s="128" t="s">
        <v>4388</v>
      </c>
      <c r="AG44" s="218" t="s">
        <v>4387</v>
      </c>
      <c r="AH44" s="219" t="s">
        <v>4389</v>
      </c>
      <c r="AI44" s="218" t="s">
        <v>4194</v>
      </c>
      <c r="AJ44" s="218"/>
      <c r="AK44" s="218"/>
      <c r="AL44" s="218"/>
      <c r="AM44" s="218"/>
      <c r="AN44" s="218"/>
      <c r="AO44" s="218"/>
      <c r="AP44" s="218"/>
      <c r="AQ44" s="218"/>
      <c r="AR44" s="218"/>
      <c r="AS44" s="218"/>
      <c r="AT44" s="218"/>
      <c r="AU44" s="218"/>
      <c r="AV44" s="218"/>
      <c r="AW44" s="218"/>
      <c r="AX44" s="218"/>
      <c r="AY44" s="218"/>
      <c r="AZ44" s="218"/>
    </row>
    <row r="45" spans="1:52">
      <c r="A45" s="216" t="str">
        <f ca="1">IF(D45="","",VLOOKUP(G45,códigosORL!$H:$J,3,FALSE))</f>
        <v>Julissa Vizcarra</v>
      </c>
      <c r="B45" s="216" t="str">
        <f t="shared" si="0"/>
        <v>04</v>
      </c>
      <c r="C45" s="217" t="str">
        <f t="shared" si="1"/>
        <v>2025-04-15</v>
      </c>
      <c r="D45" s="216" t="str">
        <f t="shared" si="4"/>
        <v>Julissa Vizcarra</v>
      </c>
      <c r="E45" s="216" t="str">
        <f t="shared" si="5"/>
        <v>Julissa Vizcarra Melgar</v>
      </c>
      <c r="F45" s="211" t="s">
        <v>4390</v>
      </c>
      <c r="G45" s="218" t="s">
        <v>1662</v>
      </c>
      <c r="H45" s="218" t="s">
        <v>3986</v>
      </c>
      <c r="I45" s="218" t="s">
        <v>4391</v>
      </c>
      <c r="J45" s="218" t="s">
        <v>4237</v>
      </c>
      <c r="K45" s="219" t="s">
        <v>4392</v>
      </c>
      <c r="L45" s="218" t="s">
        <v>1664</v>
      </c>
      <c r="M45" s="220"/>
      <c r="N45" s="218" t="s">
        <v>3990</v>
      </c>
      <c r="O45" s="218" t="s">
        <v>4393</v>
      </c>
      <c r="P45" s="218" t="s">
        <v>4394</v>
      </c>
      <c r="Q45" s="218" t="s">
        <v>3993</v>
      </c>
      <c r="R45" s="218" t="s">
        <v>3993</v>
      </c>
      <c r="S45" s="220"/>
      <c r="T45" s="220"/>
      <c r="U45" s="218" t="s">
        <v>3994</v>
      </c>
      <c r="V45" s="219" t="s">
        <v>4395</v>
      </c>
      <c r="W45" s="218" t="s">
        <v>3996</v>
      </c>
      <c r="X45" s="218"/>
      <c r="Y45" s="128" t="s">
        <v>4396</v>
      </c>
      <c r="Z45" s="218"/>
      <c r="AA45" s="221" t="s">
        <v>4397</v>
      </c>
      <c r="AB45" s="130">
        <v>8021</v>
      </c>
      <c r="AC45" s="130" t="s">
        <v>4398</v>
      </c>
      <c r="AD45" s="130" t="s">
        <v>4399</v>
      </c>
      <c r="AE45" s="133" t="s">
        <v>4400</v>
      </c>
      <c r="AF45" s="128" t="s">
        <v>4400</v>
      </c>
      <c r="AG45" s="218" t="s">
        <v>4401</v>
      </c>
      <c r="AH45" s="219" t="s">
        <v>4402</v>
      </c>
      <c r="AI45" s="218" t="s">
        <v>4400</v>
      </c>
      <c r="AJ45" s="218"/>
      <c r="AK45" s="218"/>
      <c r="AL45" s="218"/>
      <c r="AM45" s="218"/>
      <c r="AN45" s="218"/>
      <c r="AO45" s="218"/>
      <c r="AP45" s="218"/>
      <c r="AQ45" s="218"/>
      <c r="AR45" s="218"/>
      <c r="AS45" s="218"/>
      <c r="AT45" s="218"/>
      <c r="AU45" s="218"/>
      <c r="AV45" s="218"/>
      <c r="AW45" s="218"/>
      <c r="AX45" s="218"/>
      <c r="AY45" s="218"/>
      <c r="AZ45" s="218"/>
    </row>
    <row r="46" spans="1:52">
      <c r="A46" s="216" t="str">
        <f ca="1">IF(D46="","",VLOOKUP(G46,códigosORL!$H:$J,3,FALSE))</f>
        <v>Pedro Masegosa Zapata</v>
      </c>
      <c r="B46" s="216" t="str">
        <f t="shared" si="0"/>
        <v>05</v>
      </c>
      <c r="C46" s="217" t="str">
        <f t="shared" si="1"/>
        <v>2025-05-16</v>
      </c>
      <c r="D46" s="216" t="str">
        <f t="shared" si="4"/>
        <v>Pedro Masegosa Zapata</v>
      </c>
      <c r="E46" s="216" t="str">
        <f t="shared" si="5"/>
        <v>Pedro Masegosa Zapata</v>
      </c>
      <c r="F46" s="211" t="s">
        <v>4403</v>
      </c>
      <c r="G46" s="218" t="s">
        <v>2490</v>
      </c>
      <c r="H46" s="218" t="s">
        <v>3986</v>
      </c>
      <c r="I46" s="218" t="s">
        <v>4404</v>
      </c>
      <c r="J46" s="218" t="s">
        <v>4237</v>
      </c>
      <c r="K46" s="219" t="s">
        <v>4405</v>
      </c>
      <c r="L46" s="218" t="s">
        <v>2492</v>
      </c>
      <c r="M46" s="243"/>
      <c r="N46" s="218" t="s">
        <v>3990</v>
      </c>
      <c r="O46" s="218" t="s">
        <v>4406</v>
      </c>
      <c r="P46" s="218" t="s">
        <v>4407</v>
      </c>
      <c r="Q46" s="243"/>
      <c r="R46" s="243"/>
      <c r="S46" s="243"/>
      <c r="T46" s="243"/>
      <c r="U46" s="218" t="s">
        <v>3994</v>
      </c>
      <c r="V46" s="219" t="s">
        <v>4408</v>
      </c>
      <c r="W46" s="218" t="s">
        <v>3996</v>
      </c>
      <c r="X46" s="218" t="s">
        <v>2969</v>
      </c>
      <c r="Y46" s="128" t="s">
        <v>4409</v>
      </c>
      <c r="Z46" s="243"/>
      <c r="AA46" s="221" t="s">
        <v>2492</v>
      </c>
      <c r="AB46" s="130">
        <v>2008</v>
      </c>
      <c r="AC46" s="130" t="s">
        <v>2967</v>
      </c>
      <c r="AD46" s="130" t="s">
        <v>2492</v>
      </c>
      <c r="AE46" s="133" t="s">
        <v>2863</v>
      </c>
      <c r="AF46" s="128" t="s">
        <v>2863</v>
      </c>
      <c r="AG46" s="218" t="s">
        <v>4410</v>
      </c>
      <c r="AH46" s="219" t="s">
        <v>4411</v>
      </c>
      <c r="AI46" s="218" t="s">
        <v>2863</v>
      </c>
      <c r="AJ46" s="218"/>
      <c r="AK46" s="218"/>
      <c r="AL46" s="218"/>
      <c r="AM46" s="218"/>
      <c r="AN46" s="218"/>
      <c r="AO46" s="218"/>
      <c r="AP46" s="218"/>
      <c r="AQ46" s="218"/>
      <c r="AR46" s="218"/>
      <c r="AS46" s="218"/>
      <c r="AT46" s="218"/>
      <c r="AU46" s="218"/>
      <c r="AV46" s="218"/>
      <c r="AW46" s="218"/>
      <c r="AX46" s="218"/>
      <c r="AY46" s="218"/>
      <c r="AZ46" s="218"/>
    </row>
    <row r="47" spans="1:52">
      <c r="A47" s="216" t="str">
        <f ca="1">IF(D47="","",VLOOKUP(G47,códigosORL!$H:$J,3,FALSE))</f>
        <v>Patricia Ezcurra Hernández</v>
      </c>
      <c r="B47" s="216" t="str">
        <f t="shared" si="0"/>
        <v>05</v>
      </c>
      <c r="C47" s="217" t="str">
        <f t="shared" si="1"/>
        <v>2025-05-22</v>
      </c>
      <c r="D47" s="216" t="str">
        <f t="shared" si="4"/>
        <v>Patricia Ezcurra Hernández</v>
      </c>
      <c r="E47" s="216" t="str">
        <f t="shared" si="5"/>
        <v>Patricia Ezcurra Hernández</v>
      </c>
      <c r="F47" s="211" t="s">
        <v>4412</v>
      </c>
      <c r="G47" s="218" t="s">
        <v>2421</v>
      </c>
      <c r="H47" s="218" t="s">
        <v>3986</v>
      </c>
      <c r="I47" s="218" t="s">
        <v>4413</v>
      </c>
      <c r="J47" s="218" t="s">
        <v>4237</v>
      </c>
      <c r="K47" s="219" t="s">
        <v>4414</v>
      </c>
      <c r="L47" s="131" t="s">
        <v>2423</v>
      </c>
      <c r="M47" s="218"/>
      <c r="N47" s="218" t="s">
        <v>3990</v>
      </c>
      <c r="O47" s="218" t="s">
        <v>4415</v>
      </c>
      <c r="P47" s="218" t="s">
        <v>4416</v>
      </c>
      <c r="Q47" s="243"/>
      <c r="R47" s="243"/>
      <c r="S47" s="243"/>
      <c r="T47" s="243"/>
      <c r="U47" s="218" t="s">
        <v>3994</v>
      </c>
      <c r="V47" s="219" t="s">
        <v>4417</v>
      </c>
      <c r="W47" s="218" t="s">
        <v>3996</v>
      </c>
      <c r="X47" s="218" t="s">
        <v>4418</v>
      </c>
      <c r="Y47" s="128" t="s">
        <v>4419</v>
      </c>
      <c r="Z47" s="243"/>
      <c r="AA47" s="221" t="s">
        <v>2423</v>
      </c>
      <c r="AB47" s="130">
        <v>45600</v>
      </c>
      <c r="AC47" s="130" t="s">
        <v>4420</v>
      </c>
      <c r="AD47" s="130" t="s">
        <v>2423</v>
      </c>
      <c r="AE47" s="133" t="s">
        <v>4421</v>
      </c>
      <c r="AF47" s="128" t="s">
        <v>4318</v>
      </c>
      <c r="AG47" s="218" t="s">
        <v>2423</v>
      </c>
      <c r="AH47" s="219" t="s">
        <v>4422</v>
      </c>
      <c r="AI47" s="218" t="s">
        <v>4318</v>
      </c>
      <c r="AJ47" s="218"/>
      <c r="AK47" s="218"/>
      <c r="AL47" s="218"/>
      <c r="AM47" s="218"/>
      <c r="AN47" s="218"/>
      <c r="AO47" s="218"/>
      <c r="AP47" s="218"/>
      <c r="AQ47" s="218"/>
      <c r="AR47" s="218"/>
      <c r="AS47" s="218"/>
      <c r="AT47" s="218"/>
      <c r="AU47" s="218"/>
      <c r="AV47" s="218"/>
      <c r="AW47" s="218"/>
      <c r="AX47" s="218"/>
      <c r="AY47" s="218"/>
      <c r="AZ47" s="218"/>
    </row>
    <row r="48" spans="1:52">
      <c r="A48" s="216" t="str">
        <f ca="1">IF(D48="","",VLOOKUP(G48,códigosORL!$H:$J,3,FALSE))</f>
        <v>Cristina Marín Garrido</v>
      </c>
      <c r="B48" s="216" t="str">
        <f t="shared" si="0"/>
        <v>06</v>
      </c>
      <c r="C48" s="217" t="str">
        <f t="shared" si="1"/>
        <v>2025-06-18</v>
      </c>
      <c r="D48" s="216" t="str">
        <f t="shared" si="4"/>
        <v>Cristina Marín Garrido</v>
      </c>
      <c r="E48" s="216" t="str">
        <f t="shared" si="5"/>
        <v>Cristina Marín Garrido</v>
      </c>
      <c r="F48" s="211" t="s">
        <v>4423</v>
      </c>
      <c r="G48" s="133" t="s">
        <v>608</v>
      </c>
      <c r="H48" s="133" t="s">
        <v>3986</v>
      </c>
      <c r="I48" s="133" t="s">
        <v>4424</v>
      </c>
      <c r="J48" s="131" t="s">
        <v>4237</v>
      </c>
      <c r="K48" s="131" t="s">
        <v>4425</v>
      </c>
      <c r="L48" s="131" t="s">
        <v>610</v>
      </c>
      <c r="M48" s="131"/>
      <c r="N48" s="131" t="s">
        <v>3990</v>
      </c>
      <c r="O48" s="131" t="s">
        <v>4426</v>
      </c>
      <c r="P48" s="131" t="s">
        <v>4427</v>
      </c>
      <c r="Q48" s="131" t="s">
        <v>3993</v>
      </c>
      <c r="R48" s="131" t="s">
        <v>3993</v>
      </c>
      <c r="S48" s="131"/>
      <c r="T48" s="131"/>
      <c r="U48" s="131" t="s">
        <v>3994</v>
      </c>
      <c r="V48" s="131" t="s">
        <v>4428</v>
      </c>
      <c r="W48" s="131" t="s">
        <v>3996</v>
      </c>
      <c r="X48" s="131" t="s">
        <v>3688</v>
      </c>
      <c r="Y48" s="244" t="s">
        <v>4429</v>
      </c>
      <c r="Z48" s="131">
        <v>39049</v>
      </c>
      <c r="AA48" s="245" t="s">
        <v>610</v>
      </c>
      <c r="AB48" s="246">
        <v>8960</v>
      </c>
      <c r="AC48" s="246" t="s">
        <v>3686</v>
      </c>
      <c r="AD48" s="246" t="s">
        <v>610</v>
      </c>
      <c r="AE48" s="131" t="s">
        <v>4430</v>
      </c>
      <c r="AF48" s="244" t="s">
        <v>4001</v>
      </c>
      <c r="AG48" s="131" t="s">
        <v>610</v>
      </c>
      <c r="AH48" s="131" t="s">
        <v>4425</v>
      </c>
      <c r="AI48" s="131" t="s">
        <v>4001</v>
      </c>
      <c r="AJ48" s="131"/>
      <c r="AK48" s="243"/>
      <c r="AL48" s="243"/>
      <c r="AM48" s="243"/>
      <c r="AN48" s="243"/>
      <c r="AO48" s="243"/>
      <c r="AP48" s="243"/>
      <c r="AQ48" s="243"/>
      <c r="AR48" s="243"/>
      <c r="AS48" s="243"/>
      <c r="AT48" s="243"/>
      <c r="AU48" s="243"/>
      <c r="AV48" s="243"/>
      <c r="AW48" s="243"/>
      <c r="AX48" s="243"/>
      <c r="AY48" s="243"/>
      <c r="AZ48" s="243"/>
    </row>
    <row r="49" spans="1:52">
      <c r="A49" s="216" t="str">
        <f ca="1">IF(D49="","",VLOOKUP(G49,códigosORL!$H:$J,3,FALSE))</f>
        <v>Celia López Molla</v>
      </c>
      <c r="B49" s="216" t="str">
        <f t="shared" si="0"/>
        <v>06</v>
      </c>
      <c r="C49" s="217" t="str">
        <f t="shared" si="1"/>
        <v>2025-06-02</v>
      </c>
      <c r="D49" s="216" t="str">
        <f t="shared" si="4"/>
        <v>Celia Lopez Molla</v>
      </c>
      <c r="E49" s="216" t="str">
        <f t="shared" si="5"/>
        <v>Celia López Molla</v>
      </c>
      <c r="F49" s="247" t="s">
        <v>4431</v>
      </c>
      <c r="G49" s="131" t="s">
        <v>545</v>
      </c>
      <c r="H49" s="131" t="s">
        <v>3986</v>
      </c>
      <c r="I49" s="131" t="s">
        <v>4432</v>
      </c>
      <c r="J49" s="131" t="s">
        <v>4237</v>
      </c>
      <c r="K49" s="131" t="s">
        <v>4433</v>
      </c>
      <c r="L49" s="131" t="s">
        <v>3052</v>
      </c>
      <c r="M49" s="224"/>
      <c r="N49" s="131" t="s">
        <v>3990</v>
      </c>
      <c r="O49" s="131" t="s">
        <v>4434</v>
      </c>
      <c r="P49" s="131" t="s">
        <v>4435</v>
      </c>
      <c r="Q49" s="133" t="s">
        <v>3993</v>
      </c>
      <c r="R49" s="133" t="s">
        <v>3993</v>
      </c>
      <c r="S49" s="224"/>
      <c r="T49" s="224"/>
      <c r="U49" s="131" t="s">
        <v>3994</v>
      </c>
      <c r="V49" s="131" t="s">
        <v>4428</v>
      </c>
      <c r="W49" s="131" t="s">
        <v>3996</v>
      </c>
      <c r="X49" s="131" t="s">
        <v>3055</v>
      </c>
      <c r="Y49" s="244" t="s">
        <v>4436</v>
      </c>
      <c r="Z49" s="131">
        <v>464618511</v>
      </c>
      <c r="AA49" s="245" t="s">
        <v>547</v>
      </c>
      <c r="AB49" s="246">
        <v>46008</v>
      </c>
      <c r="AC49" s="246" t="s">
        <v>3053</v>
      </c>
      <c r="AD49" s="246" t="s">
        <v>4437</v>
      </c>
      <c r="AE49" s="131" t="s">
        <v>4099</v>
      </c>
      <c r="AF49" s="244" t="s">
        <v>4099</v>
      </c>
      <c r="AG49" s="131" t="s">
        <v>547</v>
      </c>
      <c r="AH49" s="131" t="s">
        <v>4433</v>
      </c>
      <c r="AI49" s="131" t="s">
        <v>4099</v>
      </c>
      <c r="AJ49" s="131"/>
      <c r="AK49" s="243"/>
      <c r="AL49" s="243"/>
      <c r="AM49" s="243"/>
      <c r="AN49" s="243"/>
      <c r="AO49" s="243"/>
      <c r="AP49" s="243"/>
      <c r="AQ49" s="243"/>
      <c r="AR49" s="243"/>
      <c r="AS49" s="243"/>
      <c r="AT49" s="243"/>
      <c r="AU49" s="243"/>
      <c r="AV49" s="243"/>
      <c r="AW49" s="243"/>
      <c r="AX49" s="243"/>
      <c r="AY49" s="243"/>
      <c r="AZ49" s="243"/>
    </row>
    <row r="50" spans="1:52">
      <c r="A50" s="216" t="str">
        <f ca="1">IF(D50="","",VLOOKUP(G50,códigosORL!$H:$J,3,FALSE))</f>
        <v>Miriam Ileana Hamdan Zavarce</v>
      </c>
      <c r="B50" s="216" t="str">
        <f t="shared" si="0"/>
        <v>06</v>
      </c>
      <c r="C50" s="217" t="str">
        <f t="shared" si="1"/>
        <v>2025-06-25</v>
      </c>
      <c r="D50" s="216" t="str">
        <f t="shared" si="4"/>
        <v>MIRIAM ILEANA HAMDAN ZAVARCE</v>
      </c>
      <c r="E50" s="216" t="str">
        <f t="shared" si="5"/>
        <v>MIRIAM ILEANA HAMDAN ZAVARCE</v>
      </c>
      <c r="F50" s="211" t="s">
        <v>4438</v>
      </c>
      <c r="G50" s="131" t="s">
        <v>2300</v>
      </c>
      <c r="H50" s="218" t="s">
        <v>3986</v>
      </c>
      <c r="I50" s="218" t="s">
        <v>4439</v>
      </c>
      <c r="J50" s="218" t="s">
        <v>4237</v>
      </c>
      <c r="K50" s="226" t="s">
        <v>4440</v>
      </c>
      <c r="L50" s="218" t="s">
        <v>4441</v>
      </c>
      <c r="M50" s="220"/>
      <c r="N50" s="218" t="s">
        <v>3990</v>
      </c>
      <c r="O50" s="218" t="s">
        <v>4442</v>
      </c>
      <c r="P50" s="218" t="s">
        <v>4443</v>
      </c>
      <c r="Q50" s="218" t="s">
        <v>3993</v>
      </c>
      <c r="R50" s="218" t="s">
        <v>3993</v>
      </c>
      <c r="S50" s="220"/>
      <c r="T50" s="220"/>
      <c r="U50" s="218" t="s">
        <v>3994</v>
      </c>
      <c r="V50" s="219" t="s">
        <v>4444</v>
      </c>
      <c r="W50" s="218" t="s">
        <v>3996</v>
      </c>
      <c r="X50" s="218" t="s">
        <v>3697</v>
      </c>
      <c r="Y50" s="128" t="s">
        <v>4445</v>
      </c>
      <c r="Z50" s="218">
        <v>50364</v>
      </c>
      <c r="AA50" s="221" t="s">
        <v>4441</v>
      </c>
      <c r="AB50" s="130">
        <v>8034</v>
      </c>
      <c r="AC50" s="130" t="s">
        <v>3695</v>
      </c>
      <c r="AD50" s="130" t="s">
        <v>2302</v>
      </c>
      <c r="AE50" s="218" t="s">
        <v>4082</v>
      </c>
      <c r="AF50" s="128" t="s">
        <v>4082</v>
      </c>
      <c r="AG50" s="218" t="s">
        <v>4441</v>
      </c>
      <c r="AH50" s="219" t="s">
        <v>4446</v>
      </c>
      <c r="AI50" s="218" t="s">
        <v>4082</v>
      </c>
      <c r="AJ50" s="131"/>
      <c r="AK50" s="131"/>
      <c r="AL50" s="131"/>
      <c r="AM50" s="131"/>
      <c r="AN50" s="131"/>
      <c r="AO50" s="131"/>
      <c r="AP50" s="131"/>
      <c r="AQ50" s="131"/>
      <c r="AR50" s="131"/>
      <c r="AS50" s="131"/>
      <c r="AT50" s="131"/>
      <c r="AU50" s="131"/>
      <c r="AV50" s="131"/>
      <c r="AW50" s="131"/>
      <c r="AX50" s="131"/>
      <c r="AY50" s="131"/>
      <c r="AZ50" s="131"/>
    </row>
    <row r="51" spans="1:52">
      <c r="A51" s="248" t="s">
        <v>4447</v>
      </c>
      <c r="B51" s="216" t="str">
        <f t="shared" si="0"/>
        <v>06</v>
      </c>
      <c r="C51" s="217" t="str">
        <f t="shared" si="1"/>
        <v>2025-06-25</v>
      </c>
      <c r="D51" s="216" t="str">
        <f t="shared" si="4"/>
        <v>MARIA DEL MAR MARTÍNEZ RUIZ-COELLO</v>
      </c>
      <c r="E51" s="216" t="str">
        <f t="shared" si="5"/>
        <v>MARIA DEL MAR MARTÍNEZ RUIZ-COELLO</v>
      </c>
      <c r="F51" s="211" t="s">
        <v>4448</v>
      </c>
      <c r="G51" s="218" t="s">
        <v>1949</v>
      </c>
      <c r="H51" s="218" t="s">
        <v>3986</v>
      </c>
      <c r="I51" s="218" t="s">
        <v>4449</v>
      </c>
      <c r="J51" s="218" t="s">
        <v>4237</v>
      </c>
      <c r="K51" s="219" t="s">
        <v>4450</v>
      </c>
      <c r="L51" s="218" t="s">
        <v>4451</v>
      </c>
      <c r="M51" s="220"/>
      <c r="N51" s="218" t="s">
        <v>3990</v>
      </c>
      <c r="O51" s="218" t="s">
        <v>4452</v>
      </c>
      <c r="P51" s="218" t="s">
        <v>4453</v>
      </c>
      <c r="Q51" s="218" t="s">
        <v>3993</v>
      </c>
      <c r="R51" s="218" t="s">
        <v>3993</v>
      </c>
      <c r="S51" s="220"/>
      <c r="T51" s="220"/>
      <c r="U51" s="218" t="s">
        <v>3994</v>
      </c>
      <c r="V51" s="219" t="s">
        <v>4454</v>
      </c>
      <c r="W51" s="218" t="s">
        <v>3996</v>
      </c>
      <c r="X51" s="218" t="s">
        <v>3703</v>
      </c>
      <c r="Y51" s="128" t="s">
        <v>4455</v>
      </c>
      <c r="Z51" s="218">
        <v>282879049</v>
      </c>
      <c r="AA51" s="221" t="s">
        <v>4451</v>
      </c>
      <c r="AB51" s="130">
        <v>28035</v>
      </c>
      <c r="AC51" s="130" t="s">
        <v>3701</v>
      </c>
      <c r="AD51" s="130" t="s">
        <v>4456</v>
      </c>
      <c r="AE51" s="218" t="s">
        <v>4031</v>
      </c>
      <c r="AF51" s="128" t="s">
        <v>4116</v>
      </c>
      <c r="AG51" s="218" t="s">
        <v>4451</v>
      </c>
      <c r="AH51" s="219" t="s">
        <v>4457</v>
      </c>
      <c r="AI51" s="218" t="s">
        <v>4116</v>
      </c>
      <c r="AJ51" s="131"/>
      <c r="AK51" s="131"/>
      <c r="AL51" s="131"/>
      <c r="AM51" s="131"/>
      <c r="AN51" s="131"/>
      <c r="AO51" s="131"/>
      <c r="AP51" s="131"/>
      <c r="AQ51" s="131"/>
      <c r="AR51" s="131"/>
      <c r="AS51" s="131"/>
      <c r="AT51" s="131"/>
      <c r="AU51" s="131"/>
      <c r="AV51" s="131"/>
      <c r="AW51" s="131"/>
      <c r="AX51" s="131"/>
      <c r="AY51" s="131"/>
      <c r="AZ51" s="131"/>
    </row>
    <row r="52" spans="1:52">
      <c r="A52" s="216" t="str">
        <f ca="1">IF(D52="","",VLOOKUP(G52,códigosORL!$H:$J,3,FALSE))</f>
        <v>Jaime Martín Carranza</v>
      </c>
      <c r="B52" s="216" t="str">
        <f t="shared" si="0"/>
        <v>07</v>
      </c>
      <c r="C52" s="217" t="str">
        <f t="shared" si="1"/>
        <v>2025-07-21</v>
      </c>
      <c r="D52" s="216" t="str">
        <f t="shared" si="4"/>
        <v>Jaime Martin Carranza</v>
      </c>
      <c r="E52" s="216" t="str">
        <f t="shared" si="5"/>
        <v>Jaime Martin Carranza</v>
      </c>
      <c r="F52" s="247" t="s">
        <v>4458</v>
      </c>
      <c r="G52" s="131" t="s">
        <v>1207</v>
      </c>
      <c r="H52" s="131" t="s">
        <v>3986</v>
      </c>
      <c r="I52" s="131" t="s">
        <v>4458</v>
      </c>
      <c r="J52" s="131" t="s">
        <v>4237</v>
      </c>
      <c r="K52" s="131" t="s">
        <v>4459</v>
      </c>
      <c r="L52" s="131" t="s">
        <v>3728</v>
      </c>
      <c r="M52" s="131"/>
      <c r="N52" s="131" t="s">
        <v>3990</v>
      </c>
      <c r="O52" s="131" t="s">
        <v>4460</v>
      </c>
      <c r="P52" s="131" t="s">
        <v>4461</v>
      </c>
      <c r="Q52" s="218" t="s">
        <v>3993</v>
      </c>
      <c r="R52" s="218" t="s">
        <v>3993</v>
      </c>
      <c r="S52" s="220"/>
      <c r="T52" s="220"/>
      <c r="U52" s="131" t="s">
        <v>3994</v>
      </c>
      <c r="V52" s="131" t="s">
        <v>4428</v>
      </c>
      <c r="W52" s="131" t="s">
        <v>3996</v>
      </c>
      <c r="X52" s="131" t="s">
        <v>3731</v>
      </c>
      <c r="Y52" s="244" t="s">
        <v>4462</v>
      </c>
      <c r="Z52" s="131">
        <v>282877491</v>
      </c>
      <c r="AA52" s="245" t="s">
        <v>3728</v>
      </c>
      <c r="AB52" s="246">
        <v>28939</v>
      </c>
      <c r="AC52" s="246" t="s">
        <v>3729</v>
      </c>
      <c r="AD52" s="246" t="s">
        <v>3728</v>
      </c>
      <c r="AE52" s="131" t="s">
        <v>4031</v>
      </c>
      <c r="AF52" s="244" t="s">
        <v>4031</v>
      </c>
      <c r="AG52" s="131" t="s">
        <v>3728</v>
      </c>
      <c r="AH52" s="131" t="s">
        <v>4459</v>
      </c>
      <c r="AI52" s="131" t="s">
        <v>4031</v>
      </c>
      <c r="AJ52" s="131"/>
      <c r="AK52" s="131"/>
      <c r="AL52" s="131"/>
      <c r="AM52" s="131"/>
      <c r="AN52" s="131"/>
      <c r="AO52" s="131"/>
      <c r="AP52" s="131"/>
      <c r="AQ52" s="131"/>
      <c r="AR52" s="131"/>
      <c r="AS52" s="131"/>
      <c r="AT52" s="131"/>
      <c r="AU52" s="131"/>
      <c r="AV52" s="131"/>
      <c r="AW52" s="131"/>
      <c r="AX52" s="131"/>
      <c r="AY52" s="131"/>
      <c r="AZ52" s="131"/>
    </row>
    <row r="53" spans="1:52">
      <c r="A53" s="216" t="str">
        <f ca="1">IF(D53="","",VLOOKUP(G53,códigosORL!$H:$J,3,FALSE))</f>
        <v>Martín Eduardo Marcano Acuña</v>
      </c>
      <c r="B53" s="216" t="str">
        <f t="shared" si="0"/>
        <v>07</v>
      </c>
      <c r="C53" s="217" t="str">
        <f t="shared" si="1"/>
        <v>2025-07-21</v>
      </c>
      <c r="D53" s="216" t="str">
        <f t="shared" si="4"/>
        <v>Martín Eduardo Marcano Acuña</v>
      </c>
      <c r="E53" s="216" t="str">
        <f t="shared" si="5"/>
        <v>Martín Marcano Acuña</v>
      </c>
      <c r="F53" s="247" t="s">
        <v>4463</v>
      </c>
      <c r="G53" s="131" t="s">
        <v>2213</v>
      </c>
      <c r="H53" s="131" t="s">
        <v>3986</v>
      </c>
      <c r="I53" s="131" t="s">
        <v>4463</v>
      </c>
      <c r="J53" s="131" t="s">
        <v>4237</v>
      </c>
      <c r="K53" s="131" t="s">
        <v>4464</v>
      </c>
      <c r="L53" s="131" t="s">
        <v>2215</v>
      </c>
      <c r="M53" s="131"/>
      <c r="N53" s="131" t="s">
        <v>3990</v>
      </c>
      <c r="O53" s="131" t="s">
        <v>4465</v>
      </c>
      <c r="P53" s="131" t="s">
        <v>4466</v>
      </c>
      <c r="Q53" s="218" t="s">
        <v>3993</v>
      </c>
      <c r="R53" s="218" t="s">
        <v>3993</v>
      </c>
      <c r="S53" s="220"/>
      <c r="T53" s="220"/>
      <c r="U53" s="131" t="s">
        <v>3994</v>
      </c>
      <c r="V53" s="131" t="s">
        <v>4428</v>
      </c>
      <c r="W53" s="131" t="s">
        <v>3996</v>
      </c>
      <c r="X53" s="131" t="s">
        <v>2980</v>
      </c>
      <c r="Y53" s="244" t="s">
        <v>4467</v>
      </c>
      <c r="Z53" s="131">
        <v>22138</v>
      </c>
      <c r="AA53" s="245" t="s">
        <v>4468</v>
      </c>
      <c r="AB53" s="246">
        <v>46015</v>
      </c>
      <c r="AC53" s="246" t="s">
        <v>2978</v>
      </c>
      <c r="AD53" s="246" t="s">
        <v>4468</v>
      </c>
      <c r="AE53" s="131" t="s">
        <v>4099</v>
      </c>
      <c r="AF53" s="244" t="s">
        <v>4099</v>
      </c>
      <c r="AG53" s="131" t="s">
        <v>4468</v>
      </c>
      <c r="AH53" s="131" t="s">
        <v>4464</v>
      </c>
      <c r="AI53" s="131" t="s">
        <v>4099</v>
      </c>
      <c r="AJ53" s="131"/>
      <c r="AK53" s="131"/>
      <c r="AL53" s="131"/>
      <c r="AM53" s="131"/>
      <c r="AN53" s="131"/>
      <c r="AO53" s="131"/>
      <c r="AP53" s="131"/>
      <c r="AQ53" s="131"/>
      <c r="AR53" s="131"/>
      <c r="AS53" s="131"/>
      <c r="AT53" s="131"/>
      <c r="AU53" s="131"/>
      <c r="AV53" s="131"/>
      <c r="AW53" s="131"/>
      <c r="AX53" s="131"/>
      <c r="AY53" s="131"/>
      <c r="AZ53" s="131"/>
    </row>
    <row r="54" spans="1:52">
      <c r="A54" s="216" t="str">
        <f ca="1">IF(D54="","",VLOOKUP(G54,códigosORL!$H:$J,3,FALSE))</f>
        <v>María Teresa Cervilla Martín</v>
      </c>
      <c r="B54" s="216" t="str">
        <f t="shared" si="0"/>
        <v>09</v>
      </c>
      <c r="C54" s="217" t="str">
        <f t="shared" si="1"/>
        <v>2025-09-12</v>
      </c>
      <c r="D54" s="216" t="str">
        <f t="shared" si="4"/>
        <v>María Teresa Cervilla Martín</v>
      </c>
      <c r="E54" s="216" t="str">
        <f t="shared" si="5"/>
        <v>Mari Teresa Cervilla Martin</v>
      </c>
      <c r="F54" s="211" t="s">
        <v>4469</v>
      </c>
      <c r="G54" s="243" t="s">
        <v>2108</v>
      </c>
      <c r="H54" s="218" t="s">
        <v>3986</v>
      </c>
      <c r="I54" s="218" t="s">
        <v>4470</v>
      </c>
      <c r="J54" s="218" t="s">
        <v>4237</v>
      </c>
      <c r="K54" s="219" t="s">
        <v>4471</v>
      </c>
      <c r="L54" s="243" t="s">
        <v>4472</v>
      </c>
      <c r="M54" s="220"/>
      <c r="N54" s="218" t="s">
        <v>3990</v>
      </c>
      <c r="O54" s="218" t="s">
        <v>4473</v>
      </c>
      <c r="P54" s="218" t="s">
        <v>4474</v>
      </c>
      <c r="Q54" s="218" t="s">
        <v>3993</v>
      </c>
      <c r="R54" s="218" t="s">
        <v>3993</v>
      </c>
      <c r="S54" s="220"/>
      <c r="T54" s="220"/>
      <c r="U54" s="218" t="s">
        <v>3994</v>
      </c>
      <c r="V54" s="219" t="s">
        <v>4475</v>
      </c>
      <c r="W54" s="218" t="s">
        <v>3996</v>
      </c>
      <c r="X54" s="218" t="s">
        <v>3787</v>
      </c>
      <c r="Y54" s="128" t="s">
        <v>4476</v>
      </c>
      <c r="Z54" s="218">
        <v>411004619</v>
      </c>
      <c r="AA54" s="245" t="s">
        <v>4477</v>
      </c>
      <c r="AB54" s="130">
        <v>41018</v>
      </c>
      <c r="AC54" s="130" t="s">
        <v>3785</v>
      </c>
      <c r="AD54" s="130" t="s">
        <v>4478</v>
      </c>
      <c r="AE54" s="243"/>
      <c r="AF54" s="128" t="s">
        <v>4019</v>
      </c>
      <c r="AG54" s="218" t="s">
        <v>4478</v>
      </c>
      <c r="AH54" s="219" t="s">
        <v>4479</v>
      </c>
      <c r="AI54" s="218" t="s">
        <v>4019</v>
      </c>
      <c r="AJ54" s="131"/>
      <c r="AK54" s="131"/>
      <c r="AL54" s="131"/>
      <c r="AM54" s="131"/>
      <c r="AN54" s="131"/>
      <c r="AO54" s="131"/>
      <c r="AP54" s="131"/>
      <c r="AQ54" s="131"/>
      <c r="AR54" s="131"/>
      <c r="AS54" s="131"/>
      <c r="AT54" s="131"/>
      <c r="AU54" s="131"/>
      <c r="AV54" s="131"/>
      <c r="AW54" s="131"/>
      <c r="AX54" s="131"/>
      <c r="AY54" s="131"/>
      <c r="AZ54" s="131"/>
    </row>
    <row r="55" spans="1:52">
      <c r="A55" s="216" t="str">
        <f ca="1">IF(D55="","",VLOOKUP(G55,códigosORL!$H:$J,3,FALSE))</f>
        <v>Manuel Mateos Fernández</v>
      </c>
      <c r="B55" s="216" t="str">
        <f t="shared" si="0"/>
        <v>09</v>
      </c>
      <c r="C55" s="217" t="str">
        <f t="shared" si="1"/>
        <v>2025-09-26</v>
      </c>
      <c r="D55" s="216" t="str">
        <f t="shared" si="4"/>
        <v>Manuel Mateo Fernández</v>
      </c>
      <c r="E55" s="216" t="str">
        <f t="shared" si="5"/>
        <v>Manuel Lucas Mateos Fernández</v>
      </c>
      <c r="F55" s="211" t="s">
        <v>4480</v>
      </c>
      <c r="G55" s="218" t="s">
        <v>1857</v>
      </c>
      <c r="H55" s="218" t="s">
        <v>3986</v>
      </c>
      <c r="I55" s="218" t="s">
        <v>4481</v>
      </c>
      <c r="J55" s="218" t="s">
        <v>4237</v>
      </c>
      <c r="K55" s="226" t="s">
        <v>4482</v>
      </c>
      <c r="L55" s="218" t="s">
        <v>4483</v>
      </c>
      <c r="M55" s="220"/>
      <c r="N55" s="218" t="s">
        <v>3990</v>
      </c>
      <c r="O55" s="218" t="s">
        <v>4484</v>
      </c>
      <c r="P55" s="218" t="s">
        <v>4485</v>
      </c>
      <c r="Q55" s="218" t="s">
        <v>3993</v>
      </c>
      <c r="R55" s="218" t="s">
        <v>3993</v>
      </c>
      <c r="S55" s="220"/>
      <c r="T55" s="220"/>
      <c r="U55" s="218" t="s">
        <v>3994</v>
      </c>
      <c r="V55" s="219" t="s">
        <v>4486</v>
      </c>
      <c r="W55" s="218" t="s">
        <v>3996</v>
      </c>
      <c r="X55" s="218" t="s">
        <v>4487</v>
      </c>
      <c r="Y55" s="128" t="s">
        <v>4488</v>
      </c>
      <c r="Z55" s="218">
        <v>17588</v>
      </c>
      <c r="AA55" s="245" t="s">
        <v>3773</v>
      </c>
      <c r="AB55" s="130">
        <v>46015</v>
      </c>
      <c r="AC55" s="130" t="s">
        <v>3774</v>
      </c>
      <c r="AD55" s="130" t="s">
        <v>3773</v>
      </c>
      <c r="AE55" s="218" t="s">
        <v>4099</v>
      </c>
      <c r="AF55" s="128" t="s">
        <v>4099</v>
      </c>
      <c r="AG55" s="218" t="s">
        <v>3773</v>
      </c>
      <c r="AH55" s="219" t="s">
        <v>4489</v>
      </c>
      <c r="AI55" s="218" t="s">
        <v>4099</v>
      </c>
      <c r="AJ55" s="131"/>
      <c r="AK55" s="131"/>
      <c r="AL55" s="131"/>
      <c r="AM55" s="131"/>
      <c r="AN55" s="131"/>
      <c r="AO55" s="131"/>
      <c r="AP55" s="131"/>
      <c r="AQ55" s="131"/>
      <c r="AR55" s="131"/>
      <c r="AS55" s="131"/>
      <c r="AT55" s="131"/>
      <c r="AU55" s="131"/>
      <c r="AV55" s="131"/>
      <c r="AW55" s="131"/>
      <c r="AX55" s="131"/>
      <c r="AY55" s="131"/>
      <c r="AZ55" s="131"/>
    </row>
    <row r="56" spans="1:52">
      <c r="A56" s="248" t="s">
        <v>4490</v>
      </c>
      <c r="B56" s="216" t="str">
        <f t="shared" si="0"/>
        <v>09</v>
      </c>
      <c r="C56" s="217" t="str">
        <f t="shared" si="1"/>
        <v>2025-09-25</v>
      </c>
      <c r="D56" s="216" t="str">
        <f t="shared" si="4"/>
        <v>Karla Natali Montaño Rueda</v>
      </c>
      <c r="E56" s="216" t="str">
        <f t="shared" si="5"/>
        <v>Karla Montaño Rueda</v>
      </c>
      <c r="F56" s="211" t="s">
        <v>4491</v>
      </c>
      <c r="G56" s="218" t="s">
        <v>1677</v>
      </c>
      <c r="H56" s="218" t="s">
        <v>3986</v>
      </c>
      <c r="I56" s="218" t="s">
        <v>4492</v>
      </c>
      <c r="J56" s="218" t="s">
        <v>4237</v>
      </c>
      <c r="K56" s="219" t="s">
        <v>4493</v>
      </c>
      <c r="L56" s="218" t="s">
        <v>1679</v>
      </c>
      <c r="M56" s="220"/>
      <c r="N56" s="218" t="s">
        <v>3990</v>
      </c>
      <c r="O56" s="218" t="s">
        <v>4494</v>
      </c>
      <c r="P56" s="218" t="s">
        <v>4495</v>
      </c>
      <c r="Q56" s="218" t="s">
        <v>3993</v>
      </c>
      <c r="R56" s="218" t="s">
        <v>3993</v>
      </c>
      <c r="S56" s="220"/>
      <c r="T56" s="220"/>
      <c r="U56" s="218" t="s">
        <v>3994</v>
      </c>
      <c r="V56" s="219" t="s">
        <v>4496</v>
      </c>
      <c r="W56" s="218" t="s">
        <v>3996</v>
      </c>
      <c r="X56" s="218" t="s">
        <v>4497</v>
      </c>
      <c r="Y56" s="128" t="s">
        <v>4498</v>
      </c>
      <c r="Z56" s="218">
        <v>284811889</v>
      </c>
      <c r="AA56" s="245" t="s">
        <v>4499</v>
      </c>
      <c r="AB56" s="130">
        <v>28033</v>
      </c>
      <c r="AC56" s="130" t="s">
        <v>2930</v>
      </c>
      <c r="AD56" s="130" t="s">
        <v>4499</v>
      </c>
      <c r="AE56" s="218" t="s">
        <v>4031</v>
      </c>
      <c r="AF56" s="128" t="s">
        <v>4031</v>
      </c>
      <c r="AG56" s="218" t="s">
        <v>4499</v>
      </c>
      <c r="AH56" s="219" t="s">
        <v>4500</v>
      </c>
      <c r="AI56" s="218" t="s">
        <v>4031</v>
      </c>
      <c r="AJ56" s="131"/>
      <c r="AK56" s="131"/>
      <c r="AL56" s="131"/>
      <c r="AM56" s="131"/>
      <c r="AN56" s="131"/>
      <c r="AO56" s="131"/>
      <c r="AP56" s="131"/>
      <c r="AQ56" s="131"/>
      <c r="AR56" s="131"/>
      <c r="AS56" s="131"/>
      <c r="AT56" s="131"/>
      <c r="AU56" s="131"/>
      <c r="AV56" s="131"/>
      <c r="AW56" s="131"/>
      <c r="AX56" s="131"/>
      <c r="AY56" s="131"/>
      <c r="AZ56" s="131"/>
    </row>
    <row r="57" spans="1:52">
      <c r="A57" s="216" t="str">
        <f ca="1">IF(D57="","",VLOOKUP(G57,códigosORL!$H:$J,3,FALSE))</f>
        <v>Jessica Aguilera García</v>
      </c>
      <c r="B57" s="216" t="str">
        <f t="shared" si="0"/>
        <v>09</v>
      </c>
      <c r="C57" s="217" t="str">
        <f t="shared" si="1"/>
        <v>2025-09-25</v>
      </c>
      <c r="D57" s="216" t="str">
        <f t="shared" si="4"/>
        <v>Jessica Aguilera</v>
      </c>
      <c r="E57" s="216" t="str">
        <f t="shared" si="5"/>
        <v>Jessica Aguilera Garcia</v>
      </c>
      <c r="F57" s="249" t="s">
        <v>4501</v>
      </c>
      <c r="G57" s="220" t="s">
        <v>4502</v>
      </c>
      <c r="H57" s="220" t="s">
        <v>3986</v>
      </c>
      <c r="I57" s="220" t="s">
        <v>4503</v>
      </c>
      <c r="J57" s="220" t="s">
        <v>4237</v>
      </c>
      <c r="K57" s="250" t="s">
        <v>4504</v>
      </c>
      <c r="L57" s="220" t="s">
        <v>4505</v>
      </c>
      <c r="M57" s="220"/>
      <c r="N57" s="220" t="s">
        <v>3990</v>
      </c>
      <c r="O57" s="220" t="s">
        <v>4506</v>
      </c>
      <c r="P57" s="220" t="s">
        <v>4507</v>
      </c>
      <c r="Q57" s="220" t="s">
        <v>3993</v>
      </c>
      <c r="R57" s="220" t="s">
        <v>3993</v>
      </c>
      <c r="S57" s="220"/>
      <c r="T57" s="220"/>
      <c r="U57" s="220" t="s">
        <v>3994</v>
      </c>
      <c r="V57" s="250" t="s">
        <v>4508</v>
      </c>
      <c r="W57" s="220" t="s">
        <v>3996</v>
      </c>
      <c r="X57" s="220" t="s">
        <v>4509</v>
      </c>
      <c r="Y57" s="225" t="s">
        <v>4510</v>
      </c>
      <c r="Z57" s="251">
        <v>10854904</v>
      </c>
      <c r="AA57" s="223" t="s">
        <v>4511</v>
      </c>
      <c r="AB57" s="252">
        <v>8290</v>
      </c>
      <c r="AC57" s="237" t="s">
        <v>4512</v>
      </c>
      <c r="AD57" s="237" t="s">
        <v>4511</v>
      </c>
      <c r="AE57" s="220" t="s">
        <v>4001</v>
      </c>
      <c r="AF57" s="225" t="s">
        <v>4513</v>
      </c>
      <c r="AG57" s="220" t="s">
        <v>4511</v>
      </c>
      <c r="AH57" s="250" t="s">
        <v>4514</v>
      </c>
      <c r="AI57" s="131"/>
      <c r="AJ57" s="131"/>
      <c r="AK57" s="131"/>
      <c r="AL57" s="243"/>
      <c r="AM57" s="243"/>
      <c r="AN57" s="243"/>
      <c r="AO57" s="243"/>
      <c r="AP57" s="243"/>
      <c r="AQ57" s="243"/>
      <c r="AR57" s="243"/>
      <c r="AS57" s="243"/>
      <c r="AT57" s="243"/>
      <c r="AU57" s="243"/>
      <c r="AV57" s="243"/>
      <c r="AW57" s="243"/>
      <c r="AX57" s="243"/>
      <c r="AY57" s="243"/>
      <c r="AZ57" s="243"/>
    </row>
    <row r="58" spans="1:52">
      <c r="A58" s="216" t="str">
        <f ca="1">IF(D58="","",VLOOKUP(G58,códigosORL!$H:$J,3,FALSE))</f>
        <v>Raimon García Chillerón</v>
      </c>
      <c r="B58" s="216" t="str">
        <f t="shared" si="0"/>
        <v>10</v>
      </c>
      <c r="C58" s="217" t="str">
        <f t="shared" si="1"/>
        <v>2025-10-13</v>
      </c>
      <c r="D58" s="216" t="str">
        <f t="shared" si="4"/>
        <v>Raimon García</v>
      </c>
      <c r="E58" s="216" t="str">
        <f t="shared" si="5"/>
        <v>RAIMON GARCIA CHILLERON</v>
      </c>
      <c r="F58" s="249" t="s">
        <v>4515</v>
      </c>
      <c r="G58" s="220" t="s">
        <v>2553</v>
      </c>
      <c r="H58" s="220" t="s">
        <v>3986</v>
      </c>
      <c r="I58" s="220" t="s">
        <v>4516</v>
      </c>
      <c r="J58" s="220" t="s">
        <v>4237</v>
      </c>
      <c r="K58" s="250" t="s">
        <v>4517</v>
      </c>
      <c r="L58" s="220" t="s">
        <v>4518</v>
      </c>
      <c r="M58" s="220"/>
      <c r="N58" s="220" t="s">
        <v>3990</v>
      </c>
      <c r="O58" s="220" t="s">
        <v>4519</v>
      </c>
      <c r="P58" s="220" t="s">
        <v>4520</v>
      </c>
      <c r="Q58" s="220" t="s">
        <v>3993</v>
      </c>
      <c r="R58" s="220" t="s">
        <v>3993</v>
      </c>
      <c r="S58" s="220"/>
      <c r="T58" s="220"/>
      <c r="U58" s="220" t="s">
        <v>3994</v>
      </c>
      <c r="V58" s="250" t="s">
        <v>4521</v>
      </c>
      <c r="W58" s="220" t="s">
        <v>3996</v>
      </c>
      <c r="X58" s="220" t="s">
        <v>4522</v>
      </c>
      <c r="Y58" s="225" t="s">
        <v>4523</v>
      </c>
      <c r="Z58" s="251">
        <v>460848927</v>
      </c>
      <c r="AA58" s="223" t="s">
        <v>4524</v>
      </c>
      <c r="AB58" s="252">
        <v>46008</v>
      </c>
      <c r="AC58" s="237" t="s">
        <v>3022</v>
      </c>
      <c r="AD58" s="237" t="s">
        <v>4525</v>
      </c>
      <c r="AE58" s="220" t="s">
        <v>4099</v>
      </c>
      <c r="AF58" s="225" t="s">
        <v>4526</v>
      </c>
      <c r="AG58" s="220" t="s">
        <v>4524</v>
      </c>
      <c r="AH58" s="250" t="s">
        <v>4527</v>
      </c>
      <c r="AI58" s="131"/>
      <c r="AJ58" s="131"/>
      <c r="AK58" s="131"/>
      <c r="AL58" s="243"/>
      <c r="AM58" s="243"/>
      <c r="AN58" s="243"/>
      <c r="AO58" s="243"/>
      <c r="AP58" s="243"/>
      <c r="AQ58" s="243"/>
      <c r="AR58" s="243"/>
      <c r="AS58" s="243"/>
      <c r="AT58" s="243"/>
      <c r="AU58" s="243"/>
      <c r="AV58" s="243"/>
      <c r="AW58" s="243"/>
      <c r="AX58" s="243"/>
      <c r="AY58" s="243"/>
      <c r="AZ58" s="243"/>
    </row>
    <row r="59" spans="1:52">
      <c r="A59" s="216" t="str">
        <f ca="1">IF(D59="","",VLOOKUP(G59,códigosORL!$H:$J,3,FALSE))</f>
        <v>Anna Sumarroca Trouboul</v>
      </c>
      <c r="B59" s="216" t="str">
        <f t="shared" ref="B59:B61" si="6">MID(C58,6,2)</f>
        <v>10</v>
      </c>
      <c r="C59" s="217" t="str">
        <f t="shared" si="1"/>
        <v>2025-10-13</v>
      </c>
      <c r="D59" s="216" t="str">
        <f t="shared" si="4"/>
        <v>Anna Sumarroca</v>
      </c>
      <c r="E59" s="216" t="str">
        <f t="shared" si="5"/>
        <v>Anna Sumarroca Trouboul</v>
      </c>
      <c r="F59" s="211" t="s">
        <v>4528</v>
      </c>
      <c r="G59" s="218" t="s">
        <v>293</v>
      </c>
      <c r="H59" s="218" t="s">
        <v>3986</v>
      </c>
      <c r="I59" s="218" t="s">
        <v>4529</v>
      </c>
      <c r="J59" s="218" t="s">
        <v>4237</v>
      </c>
      <c r="K59" s="226" t="s">
        <v>4530</v>
      </c>
      <c r="L59" s="218" t="s">
        <v>4531</v>
      </c>
      <c r="M59" s="220"/>
      <c r="N59" s="218" t="s">
        <v>3990</v>
      </c>
      <c r="O59" s="218" t="s">
        <v>4532</v>
      </c>
      <c r="P59" s="218" t="s">
        <v>4533</v>
      </c>
      <c r="Q59" s="218" t="s">
        <v>3993</v>
      </c>
      <c r="R59" s="218" t="s">
        <v>3993</v>
      </c>
      <c r="S59" s="220"/>
      <c r="T59" s="220"/>
      <c r="U59" s="218" t="s">
        <v>3994</v>
      </c>
      <c r="V59" s="219" t="s">
        <v>4534</v>
      </c>
      <c r="W59" s="218" t="s">
        <v>3996</v>
      </c>
      <c r="X59" s="218" t="s">
        <v>3800</v>
      </c>
      <c r="Y59" s="128" t="s">
        <v>4535</v>
      </c>
      <c r="Z59" s="218">
        <v>48233</v>
      </c>
      <c r="AA59" s="221" t="s">
        <v>295</v>
      </c>
      <c r="AB59" s="130">
        <v>8013</v>
      </c>
      <c r="AC59" s="130" t="s">
        <v>3798</v>
      </c>
      <c r="AD59" s="130" t="s">
        <v>295</v>
      </c>
      <c r="AE59" s="218" t="s">
        <v>4001</v>
      </c>
      <c r="AF59" s="128" t="s">
        <v>4001</v>
      </c>
      <c r="AG59" s="218" t="s">
        <v>295</v>
      </c>
      <c r="AH59" s="226" t="s">
        <v>4536</v>
      </c>
      <c r="AI59" s="243"/>
      <c r="AJ59" s="131"/>
      <c r="AK59" s="131"/>
      <c r="AL59" s="131"/>
      <c r="AM59" s="131"/>
      <c r="AN59" s="131"/>
      <c r="AO59" s="131"/>
      <c r="AP59" s="131"/>
      <c r="AQ59" s="131"/>
      <c r="AR59" s="131"/>
      <c r="AS59" s="131"/>
      <c r="AT59" s="131"/>
      <c r="AU59" s="131"/>
      <c r="AV59" s="131"/>
      <c r="AW59" s="131"/>
      <c r="AX59" s="131"/>
      <c r="AY59" s="131"/>
      <c r="AZ59" s="131"/>
    </row>
    <row r="60" spans="1:52">
      <c r="A60" s="216" t="str">
        <f ca="1">IF(D60="","",VLOOKUP(G60,códigosORL!$H:$J,3,FALSE))</f>
        <v>Alfonso Plaza López</v>
      </c>
      <c r="B60" s="216" t="str">
        <f t="shared" si="6"/>
        <v>10</v>
      </c>
      <c r="C60" s="217" t="str">
        <f t="shared" si="1"/>
        <v>2025-10-14</v>
      </c>
      <c r="D60" s="216" t="str">
        <f t="shared" si="4"/>
        <v>Alfonso Plaza López</v>
      </c>
      <c r="E60" s="216" t="str">
        <f t="shared" si="5"/>
        <v>JOSE ALFONSO PLAZA LOPEZ</v>
      </c>
      <c r="F60" s="211" t="s">
        <v>4537</v>
      </c>
      <c r="G60" s="218" t="s">
        <v>138</v>
      </c>
      <c r="H60" s="218" t="s">
        <v>3986</v>
      </c>
      <c r="I60" s="218" t="s">
        <v>4538</v>
      </c>
      <c r="J60" s="218" t="s">
        <v>4237</v>
      </c>
      <c r="K60" s="219" t="s">
        <v>4539</v>
      </c>
      <c r="L60" s="218" t="s">
        <v>140</v>
      </c>
      <c r="M60" s="220"/>
      <c r="N60" s="218" t="s">
        <v>3990</v>
      </c>
      <c r="O60" s="218" t="s">
        <v>4540</v>
      </c>
      <c r="P60" s="218" t="s">
        <v>4541</v>
      </c>
      <c r="Q60" s="218" t="s">
        <v>3993</v>
      </c>
      <c r="R60" s="218" t="s">
        <v>3993</v>
      </c>
      <c r="S60" s="220"/>
      <c r="T60" s="220"/>
      <c r="U60" s="218" t="s">
        <v>3994</v>
      </c>
      <c r="V60" s="219" t="s">
        <v>4542</v>
      </c>
      <c r="W60" s="218" t="s">
        <v>3996</v>
      </c>
      <c r="X60" s="218" t="s">
        <v>3827</v>
      </c>
      <c r="Y60" s="128" t="s">
        <v>4543</v>
      </c>
      <c r="Z60" s="218">
        <v>282835623</v>
      </c>
      <c r="AA60" s="221" t="s">
        <v>4544</v>
      </c>
      <c r="AB60" s="130">
        <v>28220</v>
      </c>
      <c r="AC60" s="130" t="s">
        <v>3825</v>
      </c>
      <c r="AD60" s="130" t="s">
        <v>4544</v>
      </c>
      <c r="AE60" s="218" t="s">
        <v>4136</v>
      </c>
      <c r="AF60" s="128" t="s">
        <v>4545</v>
      </c>
      <c r="AG60" s="218" t="s">
        <v>4544</v>
      </c>
      <c r="AH60" s="218" t="s">
        <v>4546</v>
      </c>
      <c r="AI60" s="218" t="s">
        <v>4116</v>
      </c>
      <c r="AJ60" s="131"/>
      <c r="AK60" s="131"/>
      <c r="AL60" s="131"/>
      <c r="AM60" s="131"/>
      <c r="AN60" s="131"/>
      <c r="AO60" s="131"/>
      <c r="AP60" s="131"/>
      <c r="AQ60" s="131"/>
      <c r="AR60" s="131"/>
      <c r="AS60" s="131"/>
      <c r="AT60" s="131"/>
      <c r="AU60" s="131"/>
      <c r="AV60" s="131"/>
      <c r="AW60" s="131"/>
      <c r="AX60" s="131"/>
      <c r="AY60" s="131"/>
      <c r="AZ60" s="131"/>
    </row>
    <row r="61" spans="1:52">
      <c r="A61" s="216" t="str">
        <f ca="1">IF(D61="","",VLOOKUP(G61,códigosORL!$H:$J,3,FALSE))</f>
        <v>Álvaro Pérez Llinares</v>
      </c>
      <c r="B61" s="216" t="str">
        <f t="shared" si="6"/>
        <v>10</v>
      </c>
      <c r="C61" s="217" t="str">
        <f t="shared" si="1"/>
        <v>2025-10-15</v>
      </c>
      <c r="D61" s="216" t="str">
        <f t="shared" si="4"/>
        <v>Álvaro Pérez Llinares</v>
      </c>
      <c r="E61" s="216" t="str">
        <f t="shared" si="5"/>
        <v>Álvaro Pérez Llinares</v>
      </c>
      <c r="F61" s="211" t="s">
        <v>4547</v>
      </c>
      <c r="G61" s="218" t="s">
        <v>159</v>
      </c>
      <c r="H61" s="218" t="s">
        <v>3986</v>
      </c>
      <c r="I61" s="218" t="s">
        <v>4548</v>
      </c>
      <c r="J61" s="218" t="s">
        <v>4237</v>
      </c>
      <c r="K61" s="219" t="s">
        <v>4549</v>
      </c>
      <c r="L61" s="218" t="s">
        <v>161</v>
      </c>
      <c r="M61" s="220"/>
      <c r="N61" s="218" t="s">
        <v>3990</v>
      </c>
      <c r="O61" s="218" t="s">
        <v>4550</v>
      </c>
      <c r="P61" s="218" t="s">
        <v>4551</v>
      </c>
      <c r="Q61" s="218" t="s">
        <v>3993</v>
      </c>
      <c r="R61" s="218" t="s">
        <v>3993</v>
      </c>
      <c r="S61" s="220"/>
      <c r="T61" s="220"/>
      <c r="U61" s="218" t="s">
        <v>3994</v>
      </c>
      <c r="V61" s="219" t="s">
        <v>4552</v>
      </c>
      <c r="W61" s="218" t="s">
        <v>3996</v>
      </c>
      <c r="X61" s="218" t="s">
        <v>3832</v>
      </c>
      <c r="Y61" s="128" t="s">
        <v>4553</v>
      </c>
      <c r="Z61" s="218">
        <v>46015</v>
      </c>
      <c r="AA61" s="221" t="s">
        <v>161</v>
      </c>
      <c r="AB61" s="130">
        <v>46015</v>
      </c>
      <c r="AC61" s="130" t="s">
        <v>3830</v>
      </c>
      <c r="AD61" s="130" t="s">
        <v>161</v>
      </c>
      <c r="AE61" s="243" t="s">
        <v>4099</v>
      </c>
      <c r="AF61" s="128" t="s">
        <v>4099</v>
      </c>
      <c r="AG61" s="218" t="s">
        <v>161</v>
      </c>
      <c r="AH61" s="219" t="s">
        <v>4554</v>
      </c>
      <c r="AI61" s="218" t="s">
        <v>4099</v>
      </c>
      <c r="AJ61" s="131"/>
      <c r="AK61" s="131"/>
      <c r="AL61" s="131"/>
      <c r="AM61" s="131"/>
      <c r="AN61" s="131"/>
      <c r="AO61" s="131"/>
      <c r="AP61" s="131"/>
      <c r="AQ61" s="131"/>
      <c r="AR61" s="131"/>
      <c r="AS61" s="131"/>
      <c r="AT61" s="131"/>
      <c r="AU61" s="131"/>
      <c r="AV61" s="131"/>
      <c r="AW61" s="131"/>
      <c r="AX61" s="131"/>
      <c r="AY61" s="131"/>
      <c r="AZ61" s="131"/>
    </row>
    <row r="62" spans="1:52">
      <c r="A62" s="216" t="str">
        <f ca="1">IF(D62="","",VLOOKUP(G62,códigosORL!$H:$J,3,FALSE))</f>
        <v>Mercedes Ceballos Cauto</v>
      </c>
      <c r="B62" s="216" t="str">
        <f>MID(C62,6,2)</f>
        <v>11</v>
      </c>
      <c r="C62" s="217" t="str">
        <f t="shared" si="1"/>
        <v>2025-11-06</v>
      </c>
      <c r="D62" s="216" t="str">
        <f t="shared" si="4"/>
        <v>Mercedes Ceballo</v>
      </c>
      <c r="E62" s="216" t="str">
        <f t="shared" si="5"/>
        <v>Mercedes Ceballos Cauto</v>
      </c>
      <c r="F62" s="211" t="s">
        <v>4555</v>
      </c>
      <c r="G62" s="131" t="s">
        <v>2231</v>
      </c>
      <c r="H62" s="218" t="s">
        <v>3986</v>
      </c>
      <c r="I62" s="218" t="s">
        <v>4556</v>
      </c>
      <c r="J62" s="218" t="s">
        <v>4237</v>
      </c>
      <c r="K62" s="226" t="s">
        <v>4557</v>
      </c>
      <c r="L62" s="218" t="s">
        <v>4558</v>
      </c>
      <c r="M62" s="131"/>
      <c r="N62" s="218" t="s">
        <v>3990</v>
      </c>
      <c r="O62" s="218" t="s">
        <v>4559</v>
      </c>
      <c r="P62" s="218" t="s">
        <v>4560</v>
      </c>
      <c r="Q62" s="218" t="s">
        <v>3993</v>
      </c>
      <c r="R62" s="218" t="s">
        <v>3993</v>
      </c>
      <c r="S62" s="220"/>
      <c r="T62" s="220"/>
      <c r="U62" s="218" t="s">
        <v>3994</v>
      </c>
      <c r="V62" s="219" t="s">
        <v>4561</v>
      </c>
      <c r="W62" s="218" t="s">
        <v>3996</v>
      </c>
      <c r="X62" s="218" t="s">
        <v>3014</v>
      </c>
      <c r="Y62" s="128" t="s">
        <v>4562</v>
      </c>
      <c r="Z62" s="218" t="s">
        <v>4563</v>
      </c>
      <c r="AA62" s="245" t="s">
        <v>2233</v>
      </c>
      <c r="AB62" s="130">
        <v>41013</v>
      </c>
      <c r="AC62" s="130" t="s">
        <v>3012</v>
      </c>
      <c r="AD62" s="130" t="s">
        <v>2233</v>
      </c>
      <c r="AE62" s="218" t="s">
        <v>4019</v>
      </c>
      <c r="AF62" s="130" t="s">
        <v>4019</v>
      </c>
      <c r="AG62" s="218" t="s">
        <v>2233</v>
      </c>
      <c r="AH62" s="219" t="s">
        <v>4564</v>
      </c>
      <c r="AI62" s="131"/>
      <c r="AJ62" s="131"/>
      <c r="AK62" s="131"/>
      <c r="AL62" s="131"/>
      <c r="AM62" s="131"/>
      <c r="AN62" s="131"/>
      <c r="AO62" s="131"/>
      <c r="AP62" s="131"/>
      <c r="AQ62" s="131"/>
      <c r="AR62" s="131"/>
      <c r="AS62" s="131"/>
      <c r="AT62" s="131"/>
      <c r="AU62" s="131"/>
      <c r="AV62" s="131"/>
      <c r="AW62" s="131"/>
      <c r="AX62" s="131"/>
      <c r="AY62" s="131"/>
      <c r="AZ62" s="131"/>
    </row>
    <row r="63" spans="1:52" ht="15.75" customHeight="1">
      <c r="A63" s="216" t="str">
        <f ca="1">IF(D63="","",VLOOKUP(G63,códigosORL!$H:$J,3,FALSE))</f>
        <v>Vicente Mira Escartí</v>
      </c>
      <c r="B63" s="216" t="str">
        <f>MID(C63,4,2)</f>
        <v>11</v>
      </c>
      <c r="C63" s="217" t="str">
        <f t="shared" si="1"/>
        <v>21/11/2025</v>
      </c>
      <c r="D63" s="216" t="str">
        <f t="shared" si="4"/>
        <v>Vicente Mira Escarti</v>
      </c>
      <c r="E63" s="216" t="str">
        <f t="shared" si="5"/>
        <v>Vicente Mira Escartí</v>
      </c>
      <c r="F63" s="243" t="s">
        <v>4565</v>
      </c>
      <c r="G63" s="131" t="s">
        <v>2733</v>
      </c>
      <c r="H63" s="218" t="s">
        <v>3986</v>
      </c>
      <c r="I63" s="243" t="s">
        <v>4566</v>
      </c>
      <c r="J63" s="218" t="s">
        <v>4237</v>
      </c>
      <c r="K63" s="243" t="s">
        <v>4567</v>
      </c>
      <c r="L63" s="243" t="s">
        <v>4568</v>
      </c>
      <c r="M63" s="131"/>
      <c r="N63" s="218" t="s">
        <v>3990</v>
      </c>
      <c r="O63" s="131" t="s">
        <v>4569</v>
      </c>
      <c r="P63" s="131" t="s">
        <v>4569</v>
      </c>
      <c r="Q63" s="218" t="s">
        <v>3993</v>
      </c>
      <c r="R63" s="218" t="s">
        <v>3993</v>
      </c>
      <c r="S63" s="220"/>
      <c r="T63" s="220"/>
      <c r="U63" s="218" t="s">
        <v>3994</v>
      </c>
      <c r="V63" s="219" t="s">
        <v>4570</v>
      </c>
      <c r="W63" s="218" t="s">
        <v>3996</v>
      </c>
      <c r="X63" s="243" t="s">
        <v>3008</v>
      </c>
      <c r="Y63" s="244" t="s">
        <v>4571</v>
      </c>
      <c r="Z63" s="243"/>
      <c r="AA63" s="245" t="s">
        <v>2735</v>
      </c>
      <c r="AB63" s="246">
        <v>11405</v>
      </c>
      <c r="AC63" s="246" t="s">
        <v>3006</v>
      </c>
      <c r="AD63" s="246" t="s">
        <v>2735</v>
      </c>
      <c r="AE63" s="131" t="s">
        <v>4572</v>
      </c>
      <c r="AF63" s="246" t="s">
        <v>3005</v>
      </c>
      <c r="AG63" s="131" t="s">
        <v>2735</v>
      </c>
      <c r="AH63" s="243" t="s">
        <v>4567</v>
      </c>
      <c r="AI63" s="131"/>
      <c r="AJ63" s="131"/>
      <c r="AK63" s="131"/>
      <c r="AL63" s="131"/>
      <c r="AM63" s="131"/>
      <c r="AN63" s="131"/>
      <c r="AO63" s="131"/>
      <c r="AP63" s="131"/>
      <c r="AQ63" s="131"/>
      <c r="AR63" s="131"/>
      <c r="AS63" s="131"/>
      <c r="AT63" s="131"/>
      <c r="AU63" s="131"/>
      <c r="AV63" s="131"/>
      <c r="AW63" s="131"/>
      <c r="AX63" s="131"/>
      <c r="AY63" s="131"/>
      <c r="AZ63" s="131"/>
    </row>
    <row r="64" spans="1:52">
      <c r="A64" s="216" t="s">
        <v>3895</v>
      </c>
      <c r="B64" s="253">
        <v>12</v>
      </c>
      <c r="C64" s="217" t="str">
        <f t="shared" si="1"/>
        <v>21/11/2025</v>
      </c>
      <c r="D64" s="216" t="str">
        <f t="shared" si="4"/>
        <v>Noelia Sanchez Cano</v>
      </c>
      <c r="E64" s="216" t="str">
        <f t="shared" si="5"/>
        <v>Noelia Sanchez Cano</v>
      </c>
      <c r="F64" s="211" t="s">
        <v>4573</v>
      </c>
      <c r="G64" s="131" t="s">
        <v>4574</v>
      </c>
      <c r="H64" s="218" t="s">
        <v>3986</v>
      </c>
      <c r="I64" s="218" t="s">
        <v>4575</v>
      </c>
      <c r="J64" s="218" t="s">
        <v>4237</v>
      </c>
      <c r="K64" s="254" t="s">
        <v>4576</v>
      </c>
      <c r="L64" s="218" t="s">
        <v>3895</v>
      </c>
      <c r="M64" s="131"/>
      <c r="N64" s="218" t="s">
        <v>3990</v>
      </c>
      <c r="O64" s="131" t="s">
        <v>4569</v>
      </c>
      <c r="P64" s="131" t="s">
        <v>4569</v>
      </c>
      <c r="Q64" s="218" t="s">
        <v>3993</v>
      </c>
      <c r="R64" s="218" t="s">
        <v>3993</v>
      </c>
      <c r="S64" s="220"/>
      <c r="T64" s="220"/>
      <c r="U64" s="218" t="s">
        <v>3994</v>
      </c>
      <c r="V64" s="219" t="s">
        <v>4577</v>
      </c>
      <c r="W64" s="218" t="s">
        <v>3996</v>
      </c>
      <c r="X64" s="218" t="s">
        <v>3898</v>
      </c>
      <c r="Y64" s="244" t="s">
        <v>4578</v>
      </c>
      <c r="Z64" s="243"/>
      <c r="AA64" s="245" t="s">
        <v>3895</v>
      </c>
      <c r="AB64" s="246">
        <v>45600</v>
      </c>
      <c r="AC64" s="246" t="s">
        <v>3896</v>
      </c>
      <c r="AD64" s="246" t="s">
        <v>3895</v>
      </c>
      <c r="AE64" s="131" t="s">
        <v>4318</v>
      </c>
      <c r="AF64" s="246" t="s">
        <v>4361</v>
      </c>
      <c r="AG64" s="131" t="s">
        <v>3895</v>
      </c>
      <c r="AH64" s="254" t="s">
        <v>4576</v>
      </c>
      <c r="AI64" s="131"/>
      <c r="AJ64" s="131"/>
      <c r="AK64" s="243"/>
      <c r="AL64" s="243"/>
      <c r="AM64" s="243"/>
      <c r="AN64" s="243"/>
      <c r="AO64" s="243"/>
      <c r="AP64" s="243"/>
      <c r="AQ64" s="243"/>
      <c r="AR64" s="243"/>
      <c r="AS64" s="243"/>
      <c r="AT64" s="243"/>
      <c r="AU64" s="243"/>
      <c r="AV64" s="243"/>
      <c r="AW64" s="243"/>
      <c r="AX64" s="243"/>
      <c r="AY64" s="243"/>
      <c r="AZ64" s="243"/>
    </row>
    <row r="65" spans="1:52">
      <c r="A65" s="216" t="str">
        <f ca="1">IF(D65="","",VLOOKUP(G65,códigosORL!$H:$J,3,FALSE))</f>
        <v>María José Lesmas Navarro</v>
      </c>
      <c r="B65" s="255">
        <v>12</v>
      </c>
      <c r="C65" s="217" t="str">
        <f t="shared" si="1"/>
        <v>21/11/2025</v>
      </c>
      <c r="D65" s="216" t="str">
        <f t="shared" si="4"/>
        <v>María José Lesmas Navarro</v>
      </c>
      <c r="E65" s="216" t="str">
        <f t="shared" si="5"/>
        <v>María José Lesmas Navarro</v>
      </c>
      <c r="F65" s="211" t="s">
        <v>4579</v>
      </c>
      <c r="G65" s="131" t="s">
        <v>2033</v>
      </c>
      <c r="H65" s="218" t="s">
        <v>3986</v>
      </c>
      <c r="I65" s="218" t="s">
        <v>4575</v>
      </c>
      <c r="J65" s="218" t="s">
        <v>4237</v>
      </c>
      <c r="K65" s="256" t="s">
        <v>4580</v>
      </c>
      <c r="L65" s="218" t="s">
        <v>2035</v>
      </c>
      <c r="M65" s="131"/>
      <c r="N65" s="218" t="s">
        <v>3990</v>
      </c>
      <c r="O65" s="131" t="s">
        <v>4569</v>
      </c>
      <c r="P65" s="131" t="s">
        <v>4569</v>
      </c>
      <c r="Q65" s="218" t="s">
        <v>3993</v>
      </c>
      <c r="R65" s="218" t="s">
        <v>3993</v>
      </c>
      <c r="S65" s="220"/>
      <c r="T65" s="220"/>
      <c r="U65" s="218" t="s">
        <v>3994</v>
      </c>
      <c r="V65" s="219" t="s">
        <v>4581</v>
      </c>
      <c r="W65" s="218" t="s">
        <v>3996</v>
      </c>
      <c r="X65" s="218" t="s">
        <v>2987</v>
      </c>
      <c r="Y65" s="128" t="s">
        <v>4582</v>
      </c>
      <c r="Z65" s="218">
        <v>4620760</v>
      </c>
      <c r="AA65" s="245" t="s">
        <v>2035</v>
      </c>
      <c r="AB65" s="130">
        <v>46009</v>
      </c>
      <c r="AC65" s="130" t="s">
        <v>2985</v>
      </c>
      <c r="AD65" s="246" t="s">
        <v>4583</v>
      </c>
      <c r="AE65" s="218" t="s">
        <v>4099</v>
      </c>
      <c r="AF65" s="130" t="s">
        <v>4099</v>
      </c>
      <c r="AG65" s="218" t="s">
        <v>4583</v>
      </c>
      <c r="AH65" s="219" t="s">
        <v>4584</v>
      </c>
      <c r="AI65" s="243"/>
      <c r="AJ65" s="243"/>
      <c r="AK65" s="131"/>
      <c r="AL65" s="131"/>
      <c r="AM65" s="131"/>
      <c r="AN65" s="131"/>
      <c r="AO65" s="131"/>
      <c r="AP65" s="131"/>
      <c r="AQ65" s="131"/>
      <c r="AR65" s="131"/>
      <c r="AS65" s="131"/>
      <c r="AT65" s="131"/>
      <c r="AU65" s="131"/>
      <c r="AV65" s="131"/>
      <c r="AW65" s="131"/>
      <c r="AX65" s="131"/>
      <c r="AY65" s="131"/>
      <c r="AZ65" s="131"/>
    </row>
    <row r="66" spans="1:52" ht="16">
      <c r="A66" s="216" t="str">
        <f ca="1">IF(D66="","",VLOOKUP(G66,códigosORL!$H:$J,3,FALSE))</f>
        <v>José María Hernández Hernández</v>
      </c>
      <c r="B66" s="255">
        <v>3</v>
      </c>
      <c r="C66" s="217" t="str">
        <f t="shared" si="1"/>
        <v>2026-03-26</v>
      </c>
      <c r="D66" s="216" t="str">
        <f t="shared" si="4"/>
        <v>José María Hernandez Hernández</v>
      </c>
      <c r="E66" s="216" t="str">
        <f t="shared" si="5"/>
        <v>José María Hernandez Hernández</v>
      </c>
      <c r="F66" s="131" t="s">
        <v>4585</v>
      </c>
      <c r="G66" s="257" t="s">
        <v>1485</v>
      </c>
      <c r="H66" s="131" t="s">
        <v>3986</v>
      </c>
      <c r="I66" s="131" t="s">
        <v>4586</v>
      </c>
      <c r="J66" s="131" t="s">
        <v>4237</v>
      </c>
      <c r="K66" s="131" t="s">
        <v>4587</v>
      </c>
      <c r="L66" s="243" t="s">
        <v>4588</v>
      </c>
      <c r="M66" s="131"/>
      <c r="N66" s="131" t="s">
        <v>3990</v>
      </c>
      <c r="O66" s="131" t="s">
        <v>4589</v>
      </c>
      <c r="P66" s="131" t="s">
        <v>4590</v>
      </c>
      <c r="Q66" s="131" t="s">
        <v>3993</v>
      </c>
      <c r="R66" s="131" t="s">
        <v>3993</v>
      </c>
      <c r="S66" s="131"/>
      <c r="T66" s="131"/>
      <c r="U66" s="131" t="s">
        <v>3994</v>
      </c>
      <c r="V66" s="131" t="s">
        <v>4428</v>
      </c>
      <c r="W66" s="243" t="s">
        <v>3996</v>
      </c>
      <c r="X66" s="131" t="s">
        <v>4591</v>
      </c>
      <c r="Y66" s="244" t="s">
        <v>4592</v>
      </c>
      <c r="Z66" s="131">
        <v>414118273</v>
      </c>
      <c r="AA66" s="245" t="s">
        <v>4588</v>
      </c>
      <c r="AB66" s="130">
        <v>41020</v>
      </c>
      <c r="AC66" s="246" t="s">
        <v>3038</v>
      </c>
      <c r="AD66" s="246" t="s">
        <v>4588</v>
      </c>
      <c r="AE66" s="243" t="s">
        <v>4019</v>
      </c>
      <c r="AF66" s="246" t="s">
        <v>4019</v>
      </c>
      <c r="AG66" s="243" t="s">
        <v>4588</v>
      </c>
      <c r="AH66" s="131" t="s">
        <v>4593</v>
      </c>
      <c r="AI66" s="131"/>
      <c r="AJ66" s="131"/>
      <c r="AK66" s="131"/>
      <c r="AL66" s="131"/>
      <c r="AM66" s="131"/>
      <c r="AN66" s="131"/>
      <c r="AO66" s="131"/>
      <c r="AP66" s="131"/>
      <c r="AQ66" s="131"/>
      <c r="AR66" s="131"/>
      <c r="AS66" s="131"/>
      <c r="AT66" s="131"/>
      <c r="AU66" s="131"/>
      <c r="AV66" s="131"/>
      <c r="AW66" s="131"/>
      <c r="AX66" s="131"/>
      <c r="AY66" s="131"/>
      <c r="AZ66" s="131"/>
    </row>
    <row r="67" spans="1:52">
      <c r="A67" s="216"/>
      <c r="B67" s="131"/>
      <c r="Y67" s="243"/>
      <c r="AA67" s="245"/>
      <c r="AI67" s="131"/>
      <c r="AJ67" s="131"/>
      <c r="AK67" s="131"/>
      <c r="AL67" s="131"/>
      <c r="AM67" s="131"/>
      <c r="AN67" s="131"/>
      <c r="AO67" s="131"/>
      <c r="AP67" s="131"/>
      <c r="AQ67" s="131"/>
      <c r="AR67" s="131"/>
      <c r="AS67" s="131"/>
      <c r="AT67" s="131"/>
      <c r="AU67" s="131"/>
      <c r="AV67" s="131"/>
      <c r="AW67" s="131"/>
      <c r="AX67" s="131"/>
      <c r="AY67" s="131"/>
      <c r="AZ67" s="131"/>
    </row>
    <row r="68" spans="1:52">
      <c r="A68" s="216" t="str">
        <f>IF(D68="","",VLOOKUP(G68,códigosORL!$H:$J,3,FALSE))</f>
        <v/>
      </c>
      <c r="B68" s="131"/>
      <c r="C68" s="131"/>
      <c r="D68" s="131"/>
      <c r="E68" s="131"/>
      <c r="F68" s="131"/>
      <c r="G68" s="131"/>
      <c r="H68" s="131"/>
      <c r="I68" s="131"/>
      <c r="J68" s="131"/>
      <c r="K68" s="131"/>
      <c r="L68" s="131"/>
      <c r="M68" s="131"/>
      <c r="N68" s="131"/>
      <c r="O68" s="131"/>
      <c r="P68" s="131"/>
      <c r="Q68" s="131"/>
      <c r="R68" s="131"/>
      <c r="S68" s="131"/>
      <c r="T68" s="131"/>
      <c r="U68" s="131"/>
      <c r="V68" s="131"/>
      <c r="W68" s="131"/>
      <c r="X68" s="131"/>
      <c r="Y68" s="131"/>
      <c r="Z68" s="131"/>
      <c r="AA68" s="245"/>
      <c r="AB68" s="131"/>
      <c r="AC68" s="131"/>
      <c r="AD68" s="131"/>
      <c r="AE68" s="131"/>
      <c r="AF68" s="131"/>
      <c r="AG68" s="131"/>
      <c r="AI68" s="131"/>
      <c r="AJ68" s="131"/>
      <c r="AK68" s="131"/>
      <c r="AL68" s="131"/>
      <c r="AM68" s="131"/>
      <c r="AN68" s="131"/>
      <c r="AO68" s="131"/>
      <c r="AP68" s="131"/>
      <c r="AQ68" s="131"/>
      <c r="AR68" s="131"/>
      <c r="AS68" s="131"/>
      <c r="AT68" s="131"/>
      <c r="AU68" s="131"/>
      <c r="AV68" s="131"/>
      <c r="AW68" s="131"/>
      <c r="AX68" s="131"/>
      <c r="AY68" s="131"/>
      <c r="AZ68" s="131"/>
    </row>
    <row r="69" spans="1:52">
      <c r="A69" s="216" t="str">
        <f>IF(D69="","",VLOOKUP(G69,códigosORL!$H:$J,3,FALSE))</f>
        <v/>
      </c>
      <c r="B69" s="131"/>
      <c r="C69" s="258"/>
      <c r="D69" s="131"/>
      <c r="E69" s="131"/>
      <c r="F69" s="247"/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  <c r="Z69" s="131"/>
      <c r="AA69" s="245"/>
      <c r="AB69" s="131"/>
      <c r="AC69" s="131"/>
      <c r="AD69" s="131"/>
      <c r="AE69" s="131"/>
      <c r="AF69" s="131"/>
      <c r="AG69" s="131"/>
      <c r="AH69" s="131"/>
      <c r="AI69" s="131"/>
      <c r="AJ69" s="131"/>
      <c r="AK69" s="131"/>
      <c r="AL69" s="131"/>
      <c r="AM69" s="131"/>
      <c r="AN69" s="131"/>
      <c r="AO69" s="131"/>
      <c r="AP69" s="131"/>
      <c r="AQ69" s="131"/>
      <c r="AR69" s="131"/>
      <c r="AS69" s="131"/>
      <c r="AT69" s="131"/>
      <c r="AU69" s="131"/>
      <c r="AV69" s="131"/>
      <c r="AW69" s="131"/>
      <c r="AX69" s="131"/>
      <c r="AY69" s="131"/>
      <c r="AZ69" s="131"/>
    </row>
    <row r="70" spans="1:52">
      <c r="A70" s="216" t="str">
        <f>IF(D70="","",VLOOKUP(G70,códigosORL!$H:$J,3,FALSE))</f>
        <v/>
      </c>
      <c r="B70" s="131"/>
      <c r="C70" s="258"/>
      <c r="D70" s="131"/>
      <c r="E70" s="131"/>
      <c r="F70" s="247"/>
      <c r="G70" s="131"/>
      <c r="H70" s="131"/>
      <c r="I70" s="131"/>
      <c r="J70" s="131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131"/>
      <c r="W70" s="131"/>
      <c r="X70" s="131"/>
      <c r="Y70" s="131"/>
      <c r="Z70" s="131"/>
      <c r="AA70" s="245"/>
      <c r="AB70" s="131"/>
      <c r="AC70" s="131"/>
      <c r="AD70" s="131"/>
      <c r="AE70" s="131"/>
      <c r="AF70" s="131"/>
      <c r="AG70" s="131"/>
      <c r="AH70" s="131"/>
      <c r="AI70" s="131"/>
      <c r="AJ70" s="131"/>
      <c r="AK70" s="131"/>
      <c r="AL70" s="131"/>
      <c r="AM70" s="131"/>
      <c r="AN70" s="131"/>
      <c r="AO70" s="131"/>
      <c r="AP70" s="131"/>
      <c r="AQ70" s="131"/>
      <c r="AR70" s="131"/>
      <c r="AS70" s="131"/>
      <c r="AT70" s="131"/>
      <c r="AU70" s="131"/>
      <c r="AV70" s="131"/>
      <c r="AW70" s="131"/>
      <c r="AX70" s="131"/>
      <c r="AY70" s="131"/>
      <c r="AZ70" s="131"/>
    </row>
    <row r="71" spans="1:52">
      <c r="A71" s="216" t="str">
        <f>IF(D71="","",VLOOKUP(G71,códigosORL!$H:$J,3,FALSE))</f>
        <v/>
      </c>
      <c r="B71" s="131"/>
      <c r="C71" s="258"/>
      <c r="D71" s="131"/>
      <c r="E71" s="131"/>
      <c r="F71" s="247"/>
      <c r="G71" s="131"/>
      <c r="H71" s="131"/>
      <c r="I71" s="131"/>
      <c r="J71" s="131"/>
      <c r="K71" s="131"/>
      <c r="L71" s="131"/>
      <c r="M71" s="131"/>
      <c r="N71" s="131"/>
      <c r="O71" s="131"/>
      <c r="P71" s="131"/>
      <c r="Q71" s="131"/>
      <c r="R71" s="131"/>
      <c r="S71" s="131"/>
      <c r="T71" s="131"/>
      <c r="U71" s="131"/>
      <c r="V71" s="131"/>
      <c r="W71" s="131"/>
      <c r="X71" s="131"/>
      <c r="Y71" s="131"/>
      <c r="Z71" s="131"/>
      <c r="AA71" s="245"/>
      <c r="AB71" s="131"/>
      <c r="AC71" s="131"/>
      <c r="AD71" s="131"/>
      <c r="AE71" s="131"/>
      <c r="AF71" s="131"/>
      <c r="AG71" s="131"/>
      <c r="AH71" s="131"/>
      <c r="AI71" s="131"/>
      <c r="AJ71" s="131"/>
      <c r="AK71" s="131"/>
      <c r="AL71" s="131"/>
      <c r="AM71" s="131"/>
      <c r="AN71" s="131"/>
      <c r="AO71" s="131"/>
      <c r="AP71" s="131"/>
      <c r="AQ71" s="131"/>
      <c r="AR71" s="131"/>
      <c r="AS71" s="131"/>
      <c r="AT71" s="131"/>
      <c r="AU71" s="131"/>
      <c r="AV71" s="131"/>
      <c r="AW71" s="131"/>
      <c r="AX71" s="131"/>
      <c r="AY71" s="131"/>
      <c r="AZ71" s="131"/>
    </row>
    <row r="72" spans="1:52">
      <c r="A72" s="216" t="str">
        <f>IF(D72="","",VLOOKUP(G72,códigosORL!$H:$J,3,FALSE))</f>
        <v/>
      </c>
      <c r="B72" s="131"/>
      <c r="C72" s="258"/>
      <c r="D72" s="131"/>
      <c r="E72" s="131"/>
      <c r="F72" s="247"/>
      <c r="G72" s="131"/>
      <c r="H72" s="131"/>
      <c r="I72" s="131"/>
      <c r="J72" s="131"/>
      <c r="K72" s="131"/>
      <c r="L72" s="131"/>
      <c r="M72" s="131"/>
      <c r="N72" s="131"/>
      <c r="O72" s="131"/>
      <c r="P72" s="131"/>
      <c r="Q72" s="131"/>
      <c r="R72" s="131"/>
      <c r="S72" s="131"/>
      <c r="T72" s="131"/>
      <c r="U72" s="131"/>
      <c r="V72" s="131"/>
      <c r="W72" s="131"/>
      <c r="X72" s="131"/>
      <c r="Y72" s="131"/>
      <c r="Z72" s="131"/>
      <c r="AA72" s="245"/>
      <c r="AB72" s="131"/>
      <c r="AC72" s="131"/>
      <c r="AD72" s="131"/>
      <c r="AE72" s="131"/>
      <c r="AF72" s="131"/>
      <c r="AG72" s="131"/>
      <c r="AH72" s="131"/>
      <c r="AI72" s="131"/>
      <c r="AJ72" s="131"/>
      <c r="AK72" s="131"/>
      <c r="AL72" s="131"/>
      <c r="AM72" s="131"/>
      <c r="AN72" s="131"/>
      <c r="AO72" s="131"/>
      <c r="AP72" s="131"/>
      <c r="AQ72" s="131"/>
      <c r="AR72" s="131"/>
      <c r="AS72" s="131"/>
      <c r="AT72" s="131"/>
      <c r="AU72" s="131"/>
      <c r="AV72" s="131"/>
      <c r="AW72" s="131"/>
      <c r="AX72" s="131"/>
      <c r="AY72" s="131"/>
      <c r="AZ72" s="131"/>
    </row>
    <row r="73" spans="1:52">
      <c r="A73" s="216" t="str">
        <f>IF(D73="","",VLOOKUP(G73,códigosORL!$H:$J,3,FALSE))</f>
        <v/>
      </c>
      <c r="B73" s="131"/>
      <c r="C73" s="258"/>
      <c r="D73" s="131"/>
      <c r="E73" s="131"/>
      <c r="F73" s="247"/>
      <c r="G73" s="131"/>
      <c r="H73" s="131"/>
      <c r="I73" s="131"/>
      <c r="J73" s="131"/>
      <c r="K73" s="131"/>
      <c r="L73" s="131"/>
      <c r="M73" s="131"/>
      <c r="N73" s="131"/>
      <c r="O73" s="131"/>
      <c r="P73" s="131"/>
      <c r="Q73" s="131"/>
      <c r="R73" s="131"/>
      <c r="S73" s="131"/>
      <c r="T73" s="131"/>
      <c r="U73" s="131"/>
      <c r="V73" s="131"/>
      <c r="W73" s="131"/>
      <c r="X73" s="131"/>
      <c r="Y73" s="131"/>
      <c r="Z73" s="131"/>
      <c r="AA73" s="245"/>
      <c r="AB73" s="131"/>
      <c r="AC73" s="131"/>
      <c r="AD73" s="131"/>
      <c r="AE73" s="131"/>
      <c r="AF73" s="131"/>
      <c r="AG73" s="131"/>
      <c r="AH73" s="131"/>
      <c r="AI73" s="131"/>
      <c r="AJ73" s="131"/>
      <c r="AK73" s="131"/>
      <c r="AL73" s="131"/>
      <c r="AM73" s="131"/>
      <c r="AN73" s="131"/>
      <c r="AO73" s="131"/>
      <c r="AP73" s="131"/>
      <c r="AQ73" s="131"/>
      <c r="AR73" s="131"/>
      <c r="AS73" s="131"/>
      <c r="AT73" s="131"/>
      <c r="AU73" s="131"/>
      <c r="AV73" s="131"/>
      <c r="AW73" s="131"/>
      <c r="AX73" s="131"/>
      <c r="AY73" s="131"/>
      <c r="AZ73" s="131"/>
    </row>
    <row r="74" spans="1:52">
      <c r="A74" s="216" t="str">
        <f>IF(D74="","",VLOOKUP(G74,códigosORL!$H:$J,3,FALSE))</f>
        <v/>
      </c>
      <c r="B74" s="131"/>
      <c r="C74" s="258"/>
      <c r="D74" s="131"/>
      <c r="E74" s="131"/>
      <c r="F74" s="247"/>
      <c r="G74" s="131"/>
      <c r="H74" s="131"/>
      <c r="I74" s="131"/>
      <c r="J74" s="131"/>
      <c r="K74" s="131"/>
      <c r="L74" s="131"/>
      <c r="M74" s="131"/>
      <c r="N74" s="131"/>
      <c r="O74" s="131"/>
      <c r="P74" s="131"/>
      <c r="Q74" s="131"/>
      <c r="R74" s="131"/>
      <c r="S74" s="131"/>
      <c r="T74" s="131"/>
      <c r="U74" s="131"/>
      <c r="V74" s="131"/>
      <c r="W74" s="131"/>
      <c r="X74" s="131"/>
      <c r="Y74" s="131"/>
      <c r="Z74" s="131"/>
      <c r="AA74" s="245"/>
      <c r="AB74" s="131"/>
      <c r="AC74" s="131"/>
      <c r="AD74" s="131"/>
      <c r="AE74" s="131"/>
      <c r="AF74" s="131"/>
      <c r="AG74" s="131"/>
      <c r="AH74" s="131"/>
      <c r="AI74" s="131"/>
      <c r="AJ74" s="131"/>
      <c r="AK74" s="131"/>
      <c r="AL74" s="131"/>
      <c r="AM74" s="131"/>
      <c r="AN74" s="131"/>
      <c r="AO74" s="131"/>
      <c r="AP74" s="131"/>
      <c r="AQ74" s="131"/>
      <c r="AR74" s="131"/>
      <c r="AS74" s="131"/>
      <c r="AT74" s="131"/>
      <c r="AU74" s="131"/>
      <c r="AV74" s="131"/>
      <c r="AW74" s="131"/>
      <c r="AX74" s="131"/>
      <c r="AY74" s="131"/>
      <c r="AZ74" s="131"/>
    </row>
    <row r="75" spans="1:52">
      <c r="A75" s="216" t="str">
        <f>IF(D75="","",VLOOKUP(G75,códigosORL!$H:$J,3,FALSE))</f>
        <v/>
      </c>
      <c r="B75" s="131"/>
      <c r="C75" s="258"/>
      <c r="D75" s="131"/>
      <c r="E75" s="131"/>
      <c r="F75" s="247"/>
      <c r="G75" s="131"/>
      <c r="H75" s="131"/>
      <c r="I75" s="131"/>
      <c r="J75" s="131"/>
      <c r="K75" s="131"/>
      <c r="L75" s="131"/>
      <c r="M75" s="131"/>
      <c r="N75" s="131"/>
      <c r="O75" s="131"/>
      <c r="P75" s="131"/>
      <c r="Q75" s="131"/>
      <c r="R75" s="131"/>
      <c r="S75" s="131"/>
      <c r="T75" s="131"/>
      <c r="U75" s="131"/>
      <c r="V75" s="131"/>
      <c r="W75" s="131"/>
      <c r="X75" s="131"/>
      <c r="Y75" s="131"/>
      <c r="Z75" s="131"/>
      <c r="AA75" s="245"/>
      <c r="AB75" s="131"/>
      <c r="AC75" s="131"/>
      <c r="AD75" s="131"/>
      <c r="AE75" s="131"/>
      <c r="AF75" s="131"/>
      <c r="AG75" s="131"/>
      <c r="AH75" s="131"/>
      <c r="AI75" s="131"/>
      <c r="AJ75" s="131"/>
      <c r="AK75" s="131"/>
      <c r="AL75" s="131"/>
      <c r="AM75" s="131"/>
      <c r="AN75" s="131"/>
      <c r="AO75" s="131"/>
      <c r="AP75" s="131"/>
      <c r="AQ75" s="131"/>
      <c r="AR75" s="131"/>
      <c r="AS75" s="131"/>
      <c r="AT75" s="131"/>
      <c r="AU75" s="131"/>
      <c r="AV75" s="131"/>
      <c r="AW75" s="131"/>
      <c r="AX75" s="131"/>
      <c r="AY75" s="131"/>
      <c r="AZ75" s="131"/>
    </row>
    <row r="76" spans="1:52">
      <c r="A76" s="216" t="str">
        <f>IF(D76="","",VLOOKUP(G76,códigosORL!$H:$J,3,FALSE))</f>
        <v/>
      </c>
      <c r="B76" s="131"/>
      <c r="C76" s="258"/>
      <c r="D76" s="131"/>
      <c r="E76" s="131"/>
      <c r="F76" s="247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  <c r="AA76" s="245"/>
      <c r="AB76" s="131"/>
      <c r="AC76" s="131"/>
      <c r="AD76" s="131"/>
      <c r="AE76" s="131"/>
      <c r="AF76" s="131"/>
      <c r="AG76" s="131"/>
      <c r="AH76" s="131"/>
      <c r="AI76" s="131"/>
      <c r="AJ76" s="131"/>
      <c r="AK76" s="131"/>
      <c r="AL76" s="131"/>
      <c r="AM76" s="131"/>
      <c r="AN76" s="131"/>
      <c r="AO76" s="131"/>
      <c r="AP76" s="131"/>
      <c r="AQ76" s="131"/>
      <c r="AR76" s="131"/>
      <c r="AS76" s="131"/>
      <c r="AT76" s="131"/>
      <c r="AU76" s="131"/>
      <c r="AV76" s="131"/>
      <c r="AW76" s="131"/>
      <c r="AX76" s="131"/>
      <c r="AY76" s="131"/>
      <c r="AZ76" s="131"/>
    </row>
    <row r="77" spans="1:52">
      <c r="A77" s="216" t="str">
        <f>IF(D77="","",VLOOKUP(G77,códigosORL!$H:$J,3,FALSE))</f>
        <v/>
      </c>
      <c r="B77" s="131"/>
      <c r="C77" s="258"/>
      <c r="D77" s="131"/>
      <c r="E77" s="131"/>
      <c r="F77" s="247"/>
      <c r="G77" s="131"/>
      <c r="H77" s="131"/>
      <c r="I77" s="131"/>
      <c r="J77" s="131"/>
      <c r="K77" s="131"/>
      <c r="L77" s="131"/>
      <c r="M77" s="131"/>
      <c r="N77" s="131"/>
      <c r="O77" s="131"/>
      <c r="P77" s="131"/>
      <c r="Q77" s="131"/>
      <c r="R77" s="131"/>
      <c r="S77" s="131"/>
      <c r="T77" s="131"/>
      <c r="U77" s="131"/>
      <c r="V77" s="131"/>
      <c r="W77" s="131"/>
      <c r="X77" s="131"/>
      <c r="Y77" s="131"/>
      <c r="Z77" s="131"/>
      <c r="AA77" s="245"/>
      <c r="AB77" s="131"/>
      <c r="AC77" s="131"/>
      <c r="AD77" s="131"/>
      <c r="AE77" s="131"/>
      <c r="AF77" s="131"/>
      <c r="AG77" s="131"/>
      <c r="AH77" s="131"/>
      <c r="AI77" s="131"/>
      <c r="AJ77" s="131"/>
      <c r="AK77" s="131"/>
      <c r="AL77" s="131"/>
      <c r="AM77" s="131"/>
      <c r="AN77" s="131"/>
      <c r="AO77" s="131"/>
      <c r="AP77" s="131"/>
      <c r="AQ77" s="131"/>
      <c r="AR77" s="131"/>
      <c r="AS77" s="131"/>
      <c r="AT77" s="131"/>
      <c r="AU77" s="131"/>
      <c r="AV77" s="131"/>
      <c r="AW77" s="131"/>
      <c r="AX77" s="131"/>
      <c r="AY77" s="131"/>
      <c r="AZ77" s="131"/>
    </row>
    <row r="78" spans="1:52">
      <c r="A78" s="216" t="str">
        <f>IF(D78="","",VLOOKUP(G78,códigosORL!$H:$J,3,FALSE))</f>
        <v/>
      </c>
      <c r="B78" s="131"/>
      <c r="C78" s="258"/>
      <c r="D78" s="131"/>
      <c r="E78" s="131"/>
      <c r="F78" s="247"/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131"/>
      <c r="V78" s="131"/>
      <c r="W78" s="131"/>
      <c r="X78" s="131"/>
      <c r="Y78" s="131"/>
      <c r="Z78" s="131"/>
      <c r="AA78" s="245"/>
      <c r="AB78" s="131"/>
      <c r="AC78" s="131"/>
      <c r="AD78" s="131"/>
      <c r="AE78" s="131"/>
      <c r="AF78" s="131"/>
      <c r="AG78" s="131"/>
      <c r="AH78" s="131"/>
      <c r="AI78" s="131"/>
      <c r="AJ78" s="131"/>
      <c r="AK78" s="131"/>
      <c r="AL78" s="131"/>
      <c r="AM78" s="131"/>
      <c r="AN78" s="131"/>
      <c r="AO78" s="131"/>
      <c r="AP78" s="131"/>
      <c r="AQ78" s="131"/>
      <c r="AR78" s="131"/>
      <c r="AS78" s="131"/>
      <c r="AT78" s="131"/>
      <c r="AU78" s="131"/>
      <c r="AV78" s="131"/>
      <c r="AW78" s="131"/>
      <c r="AX78" s="131"/>
      <c r="AY78" s="131"/>
      <c r="AZ78" s="131"/>
    </row>
    <row r="79" spans="1:52">
      <c r="A79" s="216" t="str">
        <f>IF(D79="","",VLOOKUP(G79,códigosORL!$H:$J,3,FALSE))</f>
        <v/>
      </c>
      <c r="B79" s="131"/>
      <c r="C79" s="258"/>
      <c r="D79" s="131"/>
      <c r="E79" s="131"/>
      <c r="F79" s="247"/>
      <c r="G79" s="131"/>
      <c r="H79" s="131"/>
      <c r="I79" s="131"/>
      <c r="J79" s="131"/>
      <c r="K79" s="131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1"/>
      <c r="W79" s="131"/>
      <c r="X79" s="131"/>
      <c r="Y79" s="131"/>
      <c r="Z79" s="131"/>
      <c r="AA79" s="245"/>
      <c r="AB79" s="131"/>
      <c r="AC79" s="131"/>
      <c r="AD79" s="131"/>
      <c r="AE79" s="131"/>
      <c r="AF79" s="131"/>
      <c r="AG79" s="131"/>
      <c r="AH79" s="131"/>
      <c r="AI79" s="131"/>
      <c r="AJ79" s="131"/>
      <c r="AK79" s="131"/>
      <c r="AL79" s="131"/>
      <c r="AM79" s="131"/>
      <c r="AN79" s="131"/>
      <c r="AO79" s="131"/>
      <c r="AP79" s="131"/>
      <c r="AQ79" s="131"/>
      <c r="AR79" s="131"/>
      <c r="AS79" s="131"/>
      <c r="AT79" s="131"/>
      <c r="AU79" s="131"/>
      <c r="AV79" s="131"/>
      <c r="AW79" s="131"/>
      <c r="AX79" s="131"/>
      <c r="AY79" s="131"/>
      <c r="AZ79" s="131"/>
    </row>
    <row r="80" spans="1:52">
      <c r="A80" s="216" t="str">
        <f>IF(D80="","",VLOOKUP(G80,códigosORL!$H:$J,3,FALSE))</f>
        <v/>
      </c>
      <c r="B80" s="131"/>
      <c r="C80" s="258"/>
      <c r="D80" s="131"/>
      <c r="E80" s="131"/>
      <c r="F80" s="247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  <c r="Z80" s="131"/>
      <c r="AA80" s="245"/>
      <c r="AB80" s="131"/>
      <c r="AC80" s="131"/>
      <c r="AD80" s="131"/>
      <c r="AE80" s="131"/>
      <c r="AF80" s="131"/>
      <c r="AG80" s="131"/>
      <c r="AH80" s="131"/>
      <c r="AI80" s="131"/>
      <c r="AJ80" s="131"/>
      <c r="AK80" s="131"/>
      <c r="AL80" s="131"/>
      <c r="AM80" s="131"/>
      <c r="AN80" s="131"/>
      <c r="AO80" s="131"/>
      <c r="AP80" s="131"/>
      <c r="AQ80" s="131"/>
      <c r="AR80" s="131"/>
      <c r="AS80" s="131"/>
      <c r="AT80" s="131"/>
      <c r="AU80" s="131"/>
      <c r="AV80" s="131"/>
      <c r="AW80" s="131"/>
      <c r="AX80" s="131"/>
      <c r="AY80" s="131"/>
      <c r="AZ80" s="131"/>
    </row>
    <row r="81" spans="1:52">
      <c r="A81" s="216" t="str">
        <f>IF(D81="","",VLOOKUP(G81,códigosORL!$H:$J,3,FALSE))</f>
        <v/>
      </c>
      <c r="B81" s="131"/>
      <c r="C81" s="258"/>
      <c r="D81" s="131"/>
      <c r="E81" s="131"/>
      <c r="F81" s="247"/>
      <c r="G81" s="131"/>
      <c r="H81" s="131"/>
      <c r="I81" s="131"/>
      <c r="J81" s="131"/>
      <c r="K81" s="131"/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131"/>
      <c r="W81" s="131"/>
      <c r="X81" s="131"/>
      <c r="Y81" s="131"/>
      <c r="Z81" s="131"/>
      <c r="AA81" s="245"/>
      <c r="AB81" s="131"/>
      <c r="AC81" s="131"/>
      <c r="AD81" s="131"/>
      <c r="AE81" s="131"/>
      <c r="AF81" s="131"/>
      <c r="AG81" s="131"/>
      <c r="AH81" s="131"/>
      <c r="AI81" s="131"/>
      <c r="AJ81" s="131"/>
      <c r="AK81" s="131"/>
      <c r="AL81" s="131"/>
      <c r="AM81" s="131"/>
      <c r="AN81" s="131"/>
      <c r="AO81" s="131"/>
      <c r="AP81" s="131"/>
      <c r="AQ81" s="131"/>
      <c r="AR81" s="131"/>
      <c r="AS81" s="131"/>
      <c r="AT81" s="131"/>
      <c r="AU81" s="131"/>
      <c r="AV81" s="131"/>
      <c r="AW81" s="131"/>
      <c r="AX81" s="131"/>
      <c r="AY81" s="131"/>
      <c r="AZ81" s="131"/>
    </row>
    <row r="82" spans="1:52">
      <c r="A82" s="216" t="str">
        <f>IF(D82="","",VLOOKUP(G82,códigosORL!$H:$J,3,FALSE))</f>
        <v/>
      </c>
      <c r="B82" s="131"/>
      <c r="C82" s="258"/>
      <c r="D82" s="131"/>
      <c r="E82" s="131"/>
      <c r="F82" s="247"/>
      <c r="G82" s="131"/>
      <c r="H82" s="131"/>
      <c r="I82" s="131"/>
      <c r="J82" s="131"/>
      <c r="K82" s="131"/>
      <c r="L82" s="131"/>
      <c r="M82" s="131"/>
      <c r="N82" s="131"/>
      <c r="O82" s="131"/>
      <c r="P82" s="131"/>
      <c r="Q82" s="131"/>
      <c r="R82" s="131"/>
      <c r="S82" s="131"/>
      <c r="T82" s="131"/>
      <c r="U82" s="131"/>
      <c r="V82" s="131"/>
      <c r="W82" s="131"/>
      <c r="X82" s="131"/>
      <c r="Y82" s="131"/>
      <c r="Z82" s="131"/>
      <c r="AA82" s="245"/>
      <c r="AB82" s="131"/>
      <c r="AC82" s="131"/>
      <c r="AD82" s="131"/>
      <c r="AE82" s="131"/>
      <c r="AF82" s="131"/>
      <c r="AG82" s="131"/>
      <c r="AH82" s="131"/>
      <c r="AI82" s="131"/>
      <c r="AJ82" s="131"/>
      <c r="AK82" s="131"/>
      <c r="AL82" s="131"/>
      <c r="AM82" s="131"/>
      <c r="AN82" s="131"/>
      <c r="AO82" s="131"/>
      <c r="AP82" s="131"/>
      <c r="AQ82" s="131"/>
      <c r="AR82" s="131"/>
      <c r="AS82" s="131"/>
      <c r="AT82" s="131"/>
      <c r="AU82" s="131"/>
      <c r="AV82" s="131"/>
      <c r="AW82" s="131"/>
      <c r="AX82" s="131"/>
      <c r="AY82" s="131"/>
      <c r="AZ82" s="131"/>
    </row>
    <row r="83" spans="1:52">
      <c r="A83" s="216" t="str">
        <f>IF(D83="","",VLOOKUP(G83,códigosORL!$H:$J,3,FALSE))</f>
        <v/>
      </c>
      <c r="B83" s="131"/>
      <c r="C83" s="258"/>
      <c r="D83" s="131"/>
      <c r="E83" s="131"/>
      <c r="F83" s="247"/>
      <c r="G83" s="131"/>
      <c r="H83" s="131"/>
      <c r="I83" s="131"/>
      <c r="J83" s="131"/>
      <c r="K83" s="131"/>
      <c r="L83" s="131"/>
      <c r="M83" s="131"/>
      <c r="N83" s="131"/>
      <c r="O83" s="131"/>
      <c r="P83" s="131"/>
      <c r="Q83" s="131"/>
      <c r="R83" s="131"/>
      <c r="S83" s="131"/>
      <c r="T83" s="131"/>
      <c r="U83" s="131"/>
      <c r="V83" s="131"/>
      <c r="W83" s="131"/>
      <c r="X83" s="131"/>
      <c r="Y83" s="131"/>
      <c r="Z83" s="131"/>
      <c r="AA83" s="245"/>
      <c r="AB83" s="131"/>
      <c r="AC83" s="131"/>
      <c r="AD83" s="131"/>
      <c r="AE83" s="131"/>
      <c r="AF83" s="131"/>
      <c r="AG83" s="131"/>
      <c r="AH83" s="131"/>
      <c r="AI83" s="131"/>
      <c r="AJ83" s="131"/>
      <c r="AK83" s="131"/>
      <c r="AL83" s="131"/>
      <c r="AM83" s="131"/>
      <c r="AN83" s="131"/>
      <c r="AO83" s="131"/>
      <c r="AP83" s="131"/>
      <c r="AQ83" s="131"/>
      <c r="AR83" s="131"/>
      <c r="AS83" s="131"/>
      <c r="AT83" s="131"/>
      <c r="AU83" s="131"/>
      <c r="AV83" s="131"/>
      <c r="AW83" s="131"/>
      <c r="AX83" s="131"/>
      <c r="AY83" s="131"/>
      <c r="AZ83" s="131"/>
    </row>
    <row r="84" spans="1:52">
      <c r="A84" s="216" t="str">
        <f>IF(D84="","",VLOOKUP(G84,códigosORL!$H:$J,3,FALSE))</f>
        <v/>
      </c>
      <c r="B84" s="131"/>
      <c r="C84" s="258"/>
      <c r="D84" s="131"/>
      <c r="E84" s="131"/>
      <c r="F84" s="247"/>
      <c r="G84" s="131"/>
      <c r="H84" s="131"/>
      <c r="I84" s="131"/>
      <c r="J84" s="131"/>
      <c r="K84" s="131"/>
      <c r="L84" s="131"/>
      <c r="M84" s="131"/>
      <c r="N84" s="131"/>
      <c r="O84" s="131"/>
      <c r="P84" s="131"/>
      <c r="Q84" s="131"/>
      <c r="R84" s="131"/>
      <c r="S84" s="131"/>
      <c r="T84" s="131"/>
      <c r="U84" s="131"/>
      <c r="V84" s="131"/>
      <c r="W84" s="131"/>
      <c r="X84" s="131"/>
      <c r="Y84" s="131"/>
      <c r="Z84" s="131"/>
      <c r="AA84" s="245"/>
      <c r="AB84" s="131"/>
      <c r="AC84" s="131"/>
      <c r="AD84" s="131"/>
      <c r="AE84" s="131"/>
      <c r="AF84" s="131"/>
      <c r="AG84" s="131"/>
      <c r="AH84" s="131"/>
      <c r="AI84" s="131"/>
      <c r="AJ84" s="131"/>
      <c r="AK84" s="131"/>
      <c r="AL84" s="131"/>
      <c r="AM84" s="131"/>
      <c r="AN84" s="131"/>
      <c r="AO84" s="131"/>
      <c r="AP84" s="131"/>
      <c r="AQ84" s="131"/>
      <c r="AR84" s="131"/>
      <c r="AS84" s="131"/>
      <c r="AT84" s="131"/>
      <c r="AU84" s="131"/>
      <c r="AV84" s="131"/>
      <c r="AW84" s="131"/>
      <c r="AX84" s="131"/>
      <c r="AY84" s="131"/>
      <c r="AZ84" s="131"/>
    </row>
    <row r="85" spans="1:52">
      <c r="A85" s="216" t="str">
        <f>IF(D85="","",VLOOKUP(G85,códigosORL!$H:$J,3,FALSE))</f>
        <v/>
      </c>
      <c r="B85" s="131"/>
      <c r="C85" s="258"/>
      <c r="D85" s="131"/>
      <c r="E85" s="131"/>
      <c r="F85" s="247"/>
      <c r="G85" s="131"/>
      <c r="H85" s="131"/>
      <c r="I85" s="131"/>
      <c r="J85" s="131"/>
      <c r="K85" s="131"/>
      <c r="L85" s="131"/>
      <c r="M85" s="131"/>
      <c r="N85" s="131"/>
      <c r="O85" s="131"/>
      <c r="P85" s="131"/>
      <c r="Q85" s="131"/>
      <c r="R85" s="131"/>
      <c r="S85" s="131"/>
      <c r="T85" s="131"/>
      <c r="U85" s="131"/>
      <c r="V85" s="131"/>
      <c r="W85" s="131"/>
      <c r="X85" s="131"/>
      <c r="Y85" s="131"/>
      <c r="Z85" s="131"/>
      <c r="AA85" s="245"/>
      <c r="AB85" s="131"/>
      <c r="AC85" s="131"/>
      <c r="AD85" s="131"/>
      <c r="AE85" s="131"/>
      <c r="AF85" s="131"/>
      <c r="AG85" s="131"/>
      <c r="AH85" s="131"/>
      <c r="AI85" s="131"/>
      <c r="AJ85" s="131"/>
      <c r="AK85" s="131"/>
      <c r="AL85" s="131"/>
      <c r="AM85" s="131"/>
      <c r="AN85" s="131"/>
      <c r="AO85" s="131"/>
      <c r="AP85" s="131"/>
      <c r="AQ85" s="131"/>
      <c r="AR85" s="131"/>
      <c r="AS85" s="131"/>
      <c r="AT85" s="131"/>
      <c r="AU85" s="131"/>
      <c r="AV85" s="131"/>
      <c r="AW85" s="131"/>
      <c r="AX85" s="131"/>
      <c r="AY85" s="131"/>
      <c r="AZ85" s="131"/>
    </row>
    <row r="86" spans="1:52">
      <c r="A86" s="216" t="str">
        <f>IF(D86="","",VLOOKUP(G86,códigosORL!$H:$J,3,FALSE))</f>
        <v/>
      </c>
      <c r="B86" s="131"/>
      <c r="C86" s="258"/>
      <c r="D86" s="131"/>
      <c r="E86" s="131"/>
      <c r="F86" s="247"/>
      <c r="G86" s="131"/>
      <c r="H86" s="131"/>
      <c r="I86" s="131"/>
      <c r="J86" s="131"/>
      <c r="K86" s="131"/>
      <c r="L86" s="131"/>
      <c r="M86" s="131"/>
      <c r="N86" s="131"/>
      <c r="O86" s="131"/>
      <c r="P86" s="131"/>
      <c r="Q86" s="131"/>
      <c r="R86" s="131"/>
      <c r="S86" s="131"/>
      <c r="T86" s="131"/>
      <c r="U86" s="131"/>
      <c r="V86" s="131"/>
      <c r="W86" s="131"/>
      <c r="X86" s="131"/>
      <c r="Y86" s="131"/>
      <c r="Z86" s="131"/>
      <c r="AA86" s="245"/>
      <c r="AB86" s="131"/>
      <c r="AC86" s="131"/>
      <c r="AD86" s="131"/>
      <c r="AE86" s="131"/>
      <c r="AF86" s="131"/>
      <c r="AG86" s="131"/>
      <c r="AH86" s="131"/>
      <c r="AI86" s="131"/>
      <c r="AJ86" s="131"/>
      <c r="AK86" s="131"/>
      <c r="AL86" s="131"/>
      <c r="AM86" s="131"/>
      <c r="AN86" s="131"/>
      <c r="AO86" s="131"/>
      <c r="AP86" s="131"/>
      <c r="AQ86" s="131"/>
      <c r="AR86" s="131"/>
      <c r="AS86" s="131"/>
      <c r="AT86" s="131"/>
      <c r="AU86" s="131"/>
      <c r="AV86" s="131"/>
      <c r="AW86" s="131"/>
      <c r="AX86" s="131"/>
      <c r="AY86" s="131"/>
      <c r="AZ86" s="131"/>
    </row>
    <row r="87" spans="1:52">
      <c r="A87" s="216" t="str">
        <f>IF(D87="","",VLOOKUP(G87,códigosORL!$H:$J,3,FALSE))</f>
        <v/>
      </c>
      <c r="B87" s="131"/>
      <c r="C87" s="258"/>
      <c r="D87" s="131"/>
      <c r="E87" s="131"/>
      <c r="F87" s="247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  <c r="AA87" s="245"/>
      <c r="AB87" s="131"/>
      <c r="AC87" s="131"/>
      <c r="AD87" s="131"/>
      <c r="AE87" s="131"/>
      <c r="AF87" s="131"/>
      <c r="AG87" s="131"/>
      <c r="AH87" s="131"/>
      <c r="AI87" s="131"/>
      <c r="AJ87" s="131"/>
      <c r="AK87" s="131"/>
      <c r="AL87" s="131"/>
      <c r="AM87" s="131"/>
      <c r="AN87" s="131"/>
      <c r="AO87" s="131"/>
      <c r="AP87" s="131"/>
      <c r="AQ87" s="131"/>
      <c r="AR87" s="131"/>
      <c r="AS87" s="131"/>
      <c r="AT87" s="131"/>
      <c r="AU87" s="131"/>
      <c r="AV87" s="131"/>
      <c r="AW87" s="131"/>
      <c r="AX87" s="131"/>
      <c r="AY87" s="131"/>
      <c r="AZ87" s="131"/>
    </row>
    <row r="88" spans="1:52">
      <c r="A88" s="216" t="str">
        <f>IF(D88="","",VLOOKUP(G88,códigosORL!$H:$J,3,FALSE))</f>
        <v/>
      </c>
      <c r="B88" s="131"/>
      <c r="C88" s="258"/>
      <c r="D88" s="131"/>
      <c r="E88" s="131"/>
      <c r="F88" s="247"/>
      <c r="G88" s="131"/>
      <c r="H88" s="131"/>
      <c r="I88" s="131"/>
      <c r="J88" s="131"/>
      <c r="K88" s="131"/>
      <c r="L88" s="131"/>
      <c r="M88" s="131"/>
      <c r="N88" s="131"/>
      <c r="O88" s="131"/>
      <c r="P88" s="131"/>
      <c r="Q88" s="131"/>
      <c r="R88" s="131"/>
      <c r="S88" s="131"/>
      <c r="T88" s="131"/>
      <c r="U88" s="131"/>
      <c r="V88" s="131"/>
      <c r="W88" s="131"/>
      <c r="X88" s="131"/>
      <c r="Y88" s="131"/>
      <c r="Z88" s="131"/>
      <c r="AA88" s="245"/>
      <c r="AB88" s="131"/>
      <c r="AC88" s="131"/>
      <c r="AD88" s="131"/>
      <c r="AE88" s="131"/>
      <c r="AF88" s="131"/>
      <c r="AG88" s="131"/>
      <c r="AH88" s="131"/>
      <c r="AI88" s="131"/>
      <c r="AJ88" s="131"/>
      <c r="AK88" s="131"/>
      <c r="AL88" s="131"/>
      <c r="AM88" s="131"/>
      <c r="AN88" s="131"/>
      <c r="AO88" s="131"/>
      <c r="AP88" s="131"/>
      <c r="AQ88" s="131"/>
      <c r="AR88" s="131"/>
      <c r="AS88" s="131"/>
      <c r="AT88" s="131"/>
      <c r="AU88" s="131"/>
      <c r="AV88" s="131"/>
      <c r="AW88" s="131"/>
      <c r="AX88" s="131"/>
      <c r="AY88" s="131"/>
      <c r="AZ88" s="131"/>
    </row>
    <row r="89" spans="1:52">
      <c r="A89" s="216" t="str">
        <f>IF(D89="","",VLOOKUP(G89,códigosORL!$H:$J,3,FALSE))</f>
        <v/>
      </c>
      <c r="B89" s="131"/>
      <c r="C89" s="258"/>
      <c r="D89" s="131"/>
      <c r="E89" s="131"/>
      <c r="F89" s="247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245"/>
      <c r="AB89" s="131"/>
      <c r="AC89" s="131"/>
      <c r="AD89" s="131"/>
      <c r="AE89" s="131"/>
      <c r="AF89" s="131"/>
      <c r="AG89" s="131"/>
      <c r="AH89" s="131"/>
      <c r="AI89" s="131"/>
      <c r="AJ89" s="131"/>
      <c r="AK89" s="131"/>
      <c r="AL89" s="131"/>
      <c r="AM89" s="131"/>
      <c r="AN89" s="131"/>
      <c r="AO89" s="131"/>
      <c r="AP89" s="131"/>
      <c r="AQ89" s="131"/>
      <c r="AR89" s="131"/>
      <c r="AS89" s="131"/>
      <c r="AT89" s="131"/>
      <c r="AU89" s="131"/>
      <c r="AV89" s="131"/>
      <c r="AW89" s="131"/>
      <c r="AX89" s="131"/>
      <c r="AY89" s="131"/>
      <c r="AZ89" s="131"/>
    </row>
    <row r="90" spans="1:52">
      <c r="A90" s="216" t="str">
        <f>IF(D90="","",VLOOKUP(G90,códigosORL!$H:$J,3,FALSE))</f>
        <v/>
      </c>
      <c r="B90" s="131"/>
      <c r="C90" s="258"/>
      <c r="D90" s="131"/>
      <c r="E90" s="131"/>
      <c r="F90" s="247"/>
      <c r="G90" s="131"/>
      <c r="H90" s="131"/>
      <c r="I90" s="131"/>
      <c r="J90" s="131"/>
      <c r="K90" s="131"/>
      <c r="L90" s="131"/>
      <c r="M90" s="131"/>
      <c r="N90" s="131"/>
      <c r="O90" s="131"/>
      <c r="P90" s="131"/>
      <c r="Q90" s="131"/>
      <c r="R90" s="131"/>
      <c r="S90" s="131"/>
      <c r="T90" s="131"/>
      <c r="U90" s="131"/>
      <c r="V90" s="131"/>
      <c r="W90" s="131"/>
      <c r="X90" s="131"/>
      <c r="Y90" s="131"/>
      <c r="Z90" s="131"/>
      <c r="AA90" s="245"/>
      <c r="AB90" s="131"/>
      <c r="AC90" s="131"/>
      <c r="AD90" s="131"/>
      <c r="AE90" s="131"/>
      <c r="AF90" s="131"/>
      <c r="AG90" s="131"/>
      <c r="AH90" s="131"/>
      <c r="AI90" s="131"/>
      <c r="AJ90" s="131"/>
      <c r="AK90" s="131"/>
      <c r="AL90" s="131"/>
      <c r="AM90" s="131"/>
      <c r="AN90" s="131"/>
      <c r="AO90" s="131"/>
      <c r="AP90" s="131"/>
      <c r="AQ90" s="131"/>
      <c r="AR90" s="131"/>
      <c r="AS90" s="131"/>
      <c r="AT90" s="131"/>
      <c r="AU90" s="131"/>
      <c r="AV90" s="131"/>
      <c r="AW90" s="131"/>
      <c r="AX90" s="131"/>
      <c r="AY90" s="131"/>
      <c r="AZ90" s="131"/>
    </row>
    <row r="91" spans="1:52">
      <c r="A91" s="216" t="str">
        <f>IF(D91="","",VLOOKUP(G91,códigosORL!$H:$J,3,FALSE))</f>
        <v/>
      </c>
      <c r="B91" s="131"/>
      <c r="C91" s="258"/>
      <c r="D91" s="131"/>
      <c r="E91" s="131"/>
      <c r="F91" s="247"/>
      <c r="G91" s="131"/>
      <c r="H91" s="131"/>
      <c r="I91" s="131"/>
      <c r="J91" s="131"/>
      <c r="K91" s="131"/>
      <c r="L91" s="131"/>
      <c r="M91" s="131"/>
      <c r="N91" s="131"/>
      <c r="O91" s="131"/>
      <c r="P91" s="131"/>
      <c r="Q91" s="131"/>
      <c r="R91" s="131"/>
      <c r="S91" s="131"/>
      <c r="T91" s="131"/>
      <c r="U91" s="131"/>
      <c r="V91" s="131"/>
      <c r="W91" s="131"/>
      <c r="X91" s="131"/>
      <c r="Y91" s="131"/>
      <c r="Z91" s="131"/>
      <c r="AA91" s="245"/>
      <c r="AB91" s="131"/>
      <c r="AC91" s="131"/>
      <c r="AD91" s="131"/>
      <c r="AE91" s="131"/>
      <c r="AF91" s="131"/>
      <c r="AG91" s="131"/>
      <c r="AH91" s="131"/>
      <c r="AI91" s="131"/>
      <c r="AJ91" s="131"/>
      <c r="AK91" s="131"/>
      <c r="AL91" s="131"/>
      <c r="AM91" s="131"/>
      <c r="AN91" s="131"/>
      <c r="AO91" s="131"/>
      <c r="AP91" s="131"/>
      <c r="AQ91" s="131"/>
      <c r="AR91" s="131"/>
      <c r="AS91" s="131"/>
      <c r="AT91" s="131"/>
      <c r="AU91" s="131"/>
      <c r="AV91" s="131"/>
      <c r="AW91" s="131"/>
      <c r="AX91" s="131"/>
      <c r="AY91" s="131"/>
      <c r="AZ91" s="131"/>
    </row>
    <row r="92" spans="1:52">
      <c r="A92" s="216" t="str">
        <f>IF(D92="","",VLOOKUP(G92,códigosORL!$H:$J,3,FALSE))</f>
        <v/>
      </c>
      <c r="B92" s="131"/>
      <c r="C92" s="258"/>
      <c r="D92" s="131"/>
      <c r="E92" s="131"/>
      <c r="F92" s="247"/>
      <c r="G92" s="131"/>
      <c r="H92" s="131"/>
      <c r="I92" s="131"/>
      <c r="J92" s="131"/>
      <c r="K92" s="131"/>
      <c r="L92" s="131"/>
      <c r="M92" s="131"/>
      <c r="N92" s="131"/>
      <c r="O92" s="131"/>
      <c r="P92" s="131"/>
      <c r="Q92" s="131"/>
      <c r="R92" s="131"/>
      <c r="S92" s="131"/>
      <c r="T92" s="131"/>
      <c r="U92" s="131"/>
      <c r="V92" s="131"/>
      <c r="W92" s="131"/>
      <c r="X92" s="131"/>
      <c r="Y92" s="131"/>
      <c r="Z92" s="131"/>
      <c r="AA92" s="245"/>
      <c r="AB92" s="131"/>
      <c r="AC92" s="131"/>
      <c r="AD92" s="131"/>
      <c r="AE92" s="131"/>
      <c r="AF92" s="131"/>
      <c r="AG92" s="131"/>
      <c r="AH92" s="131"/>
      <c r="AI92" s="131"/>
      <c r="AJ92" s="131"/>
      <c r="AK92" s="131"/>
      <c r="AL92" s="131"/>
      <c r="AM92" s="131"/>
      <c r="AN92" s="131"/>
      <c r="AO92" s="131"/>
      <c r="AP92" s="131"/>
      <c r="AQ92" s="131"/>
      <c r="AR92" s="131"/>
      <c r="AS92" s="131"/>
      <c r="AT92" s="131"/>
      <c r="AU92" s="131"/>
      <c r="AV92" s="131"/>
      <c r="AW92" s="131"/>
      <c r="AX92" s="131"/>
      <c r="AY92" s="131"/>
      <c r="AZ92" s="131"/>
    </row>
    <row r="93" spans="1:52">
      <c r="A93" s="216" t="str">
        <f>IF(D93="","",VLOOKUP(G93,códigosORL!$H:$J,3,FALSE))</f>
        <v/>
      </c>
      <c r="B93" s="131"/>
      <c r="C93" s="258"/>
      <c r="D93" s="131"/>
      <c r="E93" s="131"/>
      <c r="F93" s="247"/>
      <c r="G93" s="131"/>
      <c r="H93" s="131"/>
      <c r="I93" s="131"/>
      <c r="J93" s="131"/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  <c r="Z93" s="131"/>
      <c r="AA93" s="245"/>
      <c r="AB93" s="131"/>
      <c r="AC93" s="131"/>
      <c r="AD93" s="131"/>
      <c r="AE93" s="131"/>
      <c r="AF93" s="131"/>
      <c r="AG93" s="131"/>
      <c r="AH93" s="131"/>
      <c r="AI93" s="131"/>
      <c r="AJ93" s="131"/>
      <c r="AK93" s="131"/>
      <c r="AL93" s="131"/>
      <c r="AM93" s="131"/>
      <c r="AN93" s="131"/>
      <c r="AO93" s="131"/>
      <c r="AP93" s="131"/>
      <c r="AQ93" s="131"/>
      <c r="AR93" s="131"/>
      <c r="AS93" s="131"/>
      <c r="AT93" s="131"/>
      <c r="AU93" s="131"/>
      <c r="AV93" s="131"/>
      <c r="AW93" s="131"/>
      <c r="AX93" s="131"/>
      <c r="AY93" s="131"/>
      <c r="AZ93" s="131"/>
    </row>
    <row r="94" spans="1:52">
      <c r="A94" s="216" t="str">
        <f>IF(D94="","",VLOOKUP(G94,códigosORL!$H:$J,3,FALSE))</f>
        <v/>
      </c>
      <c r="B94" s="131"/>
      <c r="C94" s="258"/>
      <c r="D94" s="131"/>
      <c r="E94" s="131"/>
      <c r="F94" s="247"/>
      <c r="G94" s="131"/>
      <c r="H94" s="131"/>
      <c r="I94" s="131"/>
      <c r="J94" s="131"/>
      <c r="K94" s="131"/>
      <c r="L94" s="131"/>
      <c r="M94" s="131"/>
      <c r="N94" s="131"/>
      <c r="O94" s="131"/>
      <c r="P94" s="131"/>
      <c r="Q94" s="131"/>
      <c r="R94" s="131"/>
      <c r="S94" s="131"/>
      <c r="T94" s="131"/>
      <c r="U94" s="131"/>
      <c r="V94" s="131"/>
      <c r="W94" s="131"/>
      <c r="X94" s="131"/>
      <c r="Y94" s="131"/>
      <c r="Z94" s="131"/>
      <c r="AA94" s="245"/>
      <c r="AB94" s="131"/>
      <c r="AC94" s="131"/>
      <c r="AD94" s="131"/>
      <c r="AE94" s="131"/>
      <c r="AF94" s="131"/>
      <c r="AG94" s="131"/>
      <c r="AH94" s="131"/>
      <c r="AI94" s="131"/>
      <c r="AJ94" s="131"/>
      <c r="AK94" s="131"/>
      <c r="AL94" s="131"/>
      <c r="AM94" s="131"/>
      <c r="AN94" s="131"/>
      <c r="AO94" s="131"/>
      <c r="AP94" s="131"/>
      <c r="AQ94" s="131"/>
      <c r="AR94" s="131"/>
      <c r="AS94" s="131"/>
      <c r="AT94" s="131"/>
      <c r="AU94" s="131"/>
      <c r="AV94" s="131"/>
      <c r="AW94" s="131"/>
      <c r="AX94" s="131"/>
      <c r="AY94" s="131"/>
      <c r="AZ94" s="131"/>
    </row>
    <row r="95" spans="1:52">
      <c r="A95" s="216" t="str">
        <f>IF(D95="","",VLOOKUP(G95,códigosORL!$H:$J,3,FALSE))</f>
        <v/>
      </c>
      <c r="B95" s="131"/>
      <c r="C95" s="258"/>
      <c r="D95" s="131"/>
      <c r="E95" s="131"/>
      <c r="F95" s="247"/>
      <c r="G95" s="131"/>
      <c r="H95" s="131"/>
      <c r="I95" s="131"/>
      <c r="J95" s="131"/>
      <c r="K95" s="131"/>
      <c r="L95" s="131"/>
      <c r="M95" s="131"/>
      <c r="N95" s="131"/>
      <c r="O95" s="131"/>
      <c r="P95" s="131"/>
      <c r="Q95" s="131"/>
      <c r="R95" s="131"/>
      <c r="S95" s="131"/>
      <c r="T95" s="131"/>
      <c r="U95" s="131"/>
      <c r="V95" s="131"/>
      <c r="W95" s="131"/>
      <c r="X95" s="131"/>
      <c r="Y95" s="131"/>
      <c r="Z95" s="131"/>
      <c r="AA95" s="245"/>
      <c r="AB95" s="131"/>
      <c r="AC95" s="131"/>
      <c r="AD95" s="131"/>
      <c r="AE95" s="131"/>
      <c r="AF95" s="131"/>
      <c r="AG95" s="131"/>
      <c r="AH95" s="131"/>
      <c r="AI95" s="131"/>
      <c r="AJ95" s="131"/>
      <c r="AK95" s="131"/>
      <c r="AL95" s="131"/>
      <c r="AM95" s="131"/>
      <c r="AN95" s="131"/>
      <c r="AO95" s="131"/>
      <c r="AP95" s="131"/>
      <c r="AQ95" s="131"/>
      <c r="AR95" s="131"/>
      <c r="AS95" s="131"/>
      <c r="AT95" s="131"/>
      <c r="AU95" s="131"/>
      <c r="AV95" s="131"/>
      <c r="AW95" s="131"/>
      <c r="AX95" s="131"/>
      <c r="AY95" s="131"/>
      <c r="AZ95" s="131"/>
    </row>
    <row r="96" spans="1:52">
      <c r="A96" s="216" t="str">
        <f>IF(D96="","",VLOOKUP(G96,códigosORL!$H:$J,3,FALSE))</f>
        <v/>
      </c>
      <c r="B96" s="131"/>
      <c r="C96" s="258"/>
      <c r="D96" s="131"/>
      <c r="E96" s="131"/>
      <c r="F96" s="247"/>
      <c r="G96" s="131"/>
      <c r="H96" s="131"/>
      <c r="I96" s="131"/>
      <c r="J96" s="131"/>
      <c r="K96" s="131"/>
      <c r="L96" s="131"/>
      <c r="M96" s="131"/>
      <c r="N96" s="131"/>
      <c r="O96" s="131"/>
      <c r="P96" s="131"/>
      <c r="Q96" s="131"/>
      <c r="R96" s="131"/>
      <c r="S96" s="131"/>
      <c r="T96" s="131"/>
      <c r="U96" s="131"/>
      <c r="V96" s="131"/>
      <c r="W96" s="131"/>
      <c r="X96" s="131"/>
      <c r="Y96" s="131"/>
      <c r="Z96" s="131"/>
      <c r="AA96" s="245"/>
      <c r="AB96" s="131"/>
      <c r="AC96" s="131"/>
      <c r="AD96" s="131"/>
      <c r="AE96" s="131"/>
      <c r="AF96" s="131"/>
      <c r="AG96" s="131"/>
      <c r="AH96" s="131"/>
      <c r="AI96" s="131"/>
      <c r="AJ96" s="131"/>
      <c r="AK96" s="131"/>
      <c r="AL96" s="131"/>
      <c r="AM96" s="131"/>
      <c r="AN96" s="131"/>
      <c r="AO96" s="131"/>
      <c r="AP96" s="131"/>
      <c r="AQ96" s="131"/>
      <c r="AR96" s="131"/>
      <c r="AS96" s="131"/>
      <c r="AT96" s="131"/>
      <c r="AU96" s="131"/>
      <c r="AV96" s="131"/>
      <c r="AW96" s="131"/>
      <c r="AX96" s="131"/>
      <c r="AY96" s="131"/>
      <c r="AZ96" s="131"/>
    </row>
    <row r="97" spans="1:52">
      <c r="A97" s="216" t="str">
        <f>IF(D97="","",VLOOKUP(G97,códigosORL!$H:$J,3,FALSE))</f>
        <v/>
      </c>
      <c r="B97" s="131"/>
      <c r="C97" s="258"/>
      <c r="D97" s="131"/>
      <c r="E97" s="131"/>
      <c r="F97" s="247"/>
      <c r="G97" s="131"/>
      <c r="H97" s="131"/>
      <c r="I97" s="131"/>
      <c r="J97" s="131"/>
      <c r="K97" s="131"/>
      <c r="L97" s="131"/>
      <c r="M97" s="131"/>
      <c r="N97" s="131"/>
      <c r="O97" s="131"/>
      <c r="P97" s="131"/>
      <c r="Q97" s="131"/>
      <c r="R97" s="131"/>
      <c r="S97" s="131"/>
      <c r="T97" s="131"/>
      <c r="U97" s="131"/>
      <c r="V97" s="131"/>
      <c r="W97" s="131"/>
      <c r="X97" s="131"/>
      <c r="Y97" s="131"/>
      <c r="Z97" s="131"/>
      <c r="AA97" s="245"/>
      <c r="AB97" s="131"/>
      <c r="AC97" s="131"/>
      <c r="AD97" s="131"/>
      <c r="AE97" s="131"/>
      <c r="AF97" s="131"/>
      <c r="AG97" s="131"/>
      <c r="AH97" s="131"/>
      <c r="AI97" s="131"/>
      <c r="AJ97" s="131"/>
      <c r="AK97" s="131"/>
      <c r="AL97" s="131"/>
      <c r="AM97" s="131"/>
      <c r="AN97" s="131"/>
      <c r="AO97" s="131"/>
      <c r="AP97" s="131"/>
      <c r="AQ97" s="131"/>
      <c r="AR97" s="131"/>
      <c r="AS97" s="131"/>
      <c r="AT97" s="131"/>
      <c r="AU97" s="131"/>
      <c r="AV97" s="131"/>
      <c r="AW97" s="131"/>
      <c r="AX97" s="131"/>
      <c r="AY97" s="131"/>
      <c r="AZ97" s="131"/>
    </row>
    <row r="98" spans="1:52">
      <c r="A98" s="216" t="str">
        <f>IF(D98="","",VLOOKUP(G98,códigosORL!$H:$J,3,FALSE))</f>
        <v/>
      </c>
      <c r="B98" s="131"/>
      <c r="C98" s="258"/>
      <c r="D98" s="131"/>
      <c r="E98" s="131"/>
      <c r="F98" s="247"/>
      <c r="G98" s="131"/>
      <c r="H98" s="131"/>
      <c r="I98" s="131"/>
      <c r="J98" s="131"/>
      <c r="K98" s="131"/>
      <c r="L98" s="131"/>
      <c r="M98" s="131"/>
      <c r="N98" s="131"/>
      <c r="O98" s="131"/>
      <c r="P98" s="131"/>
      <c r="Q98" s="131"/>
      <c r="R98" s="131"/>
      <c r="S98" s="131"/>
      <c r="T98" s="131"/>
      <c r="U98" s="131"/>
      <c r="V98" s="131"/>
      <c r="W98" s="131"/>
      <c r="X98" s="131"/>
      <c r="Y98" s="131"/>
      <c r="Z98" s="131"/>
      <c r="AA98" s="245"/>
      <c r="AB98" s="131"/>
      <c r="AC98" s="131"/>
      <c r="AD98" s="131"/>
      <c r="AE98" s="131"/>
      <c r="AF98" s="131"/>
      <c r="AG98" s="131"/>
      <c r="AH98" s="131"/>
      <c r="AI98" s="131"/>
      <c r="AJ98" s="131"/>
      <c r="AK98" s="131"/>
      <c r="AL98" s="131"/>
      <c r="AM98" s="131"/>
      <c r="AN98" s="131"/>
      <c r="AO98" s="131"/>
      <c r="AP98" s="131"/>
      <c r="AQ98" s="131"/>
      <c r="AR98" s="131"/>
      <c r="AS98" s="131"/>
      <c r="AT98" s="131"/>
      <c r="AU98" s="131"/>
      <c r="AV98" s="131"/>
      <c r="AW98" s="131"/>
      <c r="AX98" s="131"/>
      <c r="AY98" s="131"/>
      <c r="AZ98" s="131"/>
    </row>
    <row r="99" spans="1:52">
      <c r="A99" s="216" t="str">
        <f>IF(D99="","",VLOOKUP(G99,códigosORL!$H:$J,3,FALSE))</f>
        <v/>
      </c>
      <c r="B99" s="131"/>
      <c r="C99" s="258"/>
      <c r="D99" s="131"/>
      <c r="E99" s="131"/>
      <c r="F99" s="247"/>
      <c r="G99" s="131"/>
      <c r="H99" s="131"/>
      <c r="I99" s="131"/>
      <c r="J99" s="131"/>
      <c r="K99" s="131"/>
      <c r="L99" s="131"/>
      <c r="M99" s="131"/>
      <c r="N99" s="131"/>
      <c r="O99" s="131"/>
      <c r="P99" s="131"/>
      <c r="Q99" s="131"/>
      <c r="R99" s="131"/>
      <c r="S99" s="131"/>
      <c r="T99" s="131"/>
      <c r="U99" s="131"/>
      <c r="V99" s="131"/>
      <c r="W99" s="131"/>
      <c r="X99" s="131"/>
      <c r="Y99" s="131"/>
      <c r="Z99" s="131"/>
      <c r="AA99" s="245"/>
      <c r="AB99" s="131"/>
      <c r="AC99" s="131"/>
      <c r="AD99" s="131"/>
      <c r="AE99" s="131"/>
      <c r="AF99" s="131"/>
      <c r="AG99" s="131"/>
      <c r="AH99" s="131"/>
      <c r="AI99" s="131"/>
      <c r="AJ99" s="131"/>
      <c r="AK99" s="131"/>
      <c r="AL99" s="131"/>
      <c r="AM99" s="131"/>
      <c r="AN99" s="131"/>
      <c r="AO99" s="131"/>
      <c r="AP99" s="131"/>
      <c r="AQ99" s="131"/>
      <c r="AR99" s="131"/>
      <c r="AS99" s="131"/>
      <c r="AT99" s="131"/>
      <c r="AU99" s="131"/>
      <c r="AV99" s="131"/>
      <c r="AW99" s="131"/>
      <c r="AX99" s="131"/>
      <c r="AY99" s="131"/>
      <c r="AZ99" s="131"/>
    </row>
    <row r="100" spans="1:52">
      <c r="A100" s="216" t="str">
        <f>IF(D100="","",VLOOKUP(G100,códigosORL!$H:$J,3,FALSE))</f>
        <v/>
      </c>
      <c r="B100" s="131"/>
      <c r="C100" s="258"/>
      <c r="D100" s="131"/>
      <c r="E100" s="131"/>
      <c r="F100" s="247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  <c r="AA100" s="245"/>
      <c r="AB100" s="131"/>
      <c r="AC100" s="131"/>
      <c r="AD100" s="131"/>
      <c r="AE100" s="131"/>
      <c r="AF100" s="131"/>
      <c r="AG100" s="131"/>
      <c r="AH100" s="131"/>
      <c r="AI100" s="131"/>
      <c r="AJ100" s="131"/>
      <c r="AK100" s="131"/>
      <c r="AL100" s="131"/>
      <c r="AM100" s="131"/>
      <c r="AN100" s="131"/>
      <c r="AO100" s="131"/>
      <c r="AP100" s="131"/>
      <c r="AQ100" s="131"/>
      <c r="AR100" s="131"/>
      <c r="AS100" s="131"/>
      <c r="AT100" s="131"/>
      <c r="AU100" s="131"/>
      <c r="AV100" s="131"/>
      <c r="AW100" s="131"/>
      <c r="AX100" s="131"/>
      <c r="AY100" s="131"/>
      <c r="AZ100" s="131"/>
    </row>
    <row r="101" spans="1:52">
      <c r="A101" s="216" t="str">
        <f>IF(D101="","",VLOOKUP(G101,códigosORL!$H:$J,3,FALSE))</f>
        <v/>
      </c>
      <c r="B101" s="131"/>
      <c r="C101" s="258"/>
      <c r="D101" s="131"/>
      <c r="E101" s="131"/>
      <c r="F101" s="247"/>
      <c r="G101" s="131"/>
      <c r="H101" s="131"/>
      <c r="I101" s="131"/>
      <c r="J101" s="131"/>
      <c r="K101" s="131"/>
      <c r="L101" s="131"/>
      <c r="M101" s="131"/>
      <c r="N101" s="131"/>
      <c r="O101" s="131"/>
      <c r="P101" s="131"/>
      <c r="Q101" s="131"/>
      <c r="R101" s="131"/>
      <c r="S101" s="131"/>
      <c r="T101" s="131"/>
      <c r="U101" s="131"/>
      <c r="V101" s="131"/>
      <c r="W101" s="131"/>
      <c r="X101" s="131"/>
      <c r="Y101" s="131"/>
      <c r="Z101" s="131"/>
      <c r="AA101" s="245"/>
      <c r="AB101" s="131"/>
      <c r="AC101" s="131"/>
      <c r="AD101" s="131"/>
      <c r="AE101" s="131"/>
      <c r="AF101" s="131"/>
      <c r="AG101" s="131"/>
      <c r="AH101" s="131"/>
      <c r="AI101" s="131"/>
      <c r="AJ101" s="131"/>
      <c r="AK101" s="131"/>
      <c r="AL101" s="131"/>
      <c r="AM101" s="131"/>
      <c r="AN101" s="131"/>
      <c r="AO101" s="131"/>
      <c r="AP101" s="131"/>
      <c r="AQ101" s="131"/>
      <c r="AR101" s="131"/>
      <c r="AS101" s="131"/>
      <c r="AT101" s="131"/>
      <c r="AU101" s="131"/>
      <c r="AV101" s="131"/>
      <c r="AW101" s="131"/>
      <c r="AX101" s="131"/>
      <c r="AY101" s="131"/>
      <c r="AZ101" s="131"/>
    </row>
    <row r="102" spans="1:52">
      <c r="A102" s="216" t="str">
        <f>IF(D102="","",VLOOKUP(G102,códigosORL!$H:$J,3,FALSE))</f>
        <v/>
      </c>
      <c r="B102" s="131"/>
      <c r="C102" s="258"/>
      <c r="D102" s="131"/>
      <c r="E102" s="131"/>
      <c r="F102" s="247"/>
      <c r="G102" s="131"/>
      <c r="H102" s="131"/>
      <c r="I102" s="131"/>
      <c r="J102" s="131"/>
      <c r="K102" s="131"/>
      <c r="L102" s="131"/>
      <c r="M102" s="131"/>
      <c r="N102" s="131"/>
      <c r="O102" s="131"/>
      <c r="P102" s="131"/>
      <c r="Q102" s="131"/>
      <c r="R102" s="131"/>
      <c r="S102" s="131"/>
      <c r="T102" s="131"/>
      <c r="U102" s="131"/>
      <c r="V102" s="131"/>
      <c r="W102" s="131"/>
      <c r="X102" s="131"/>
      <c r="Y102" s="131"/>
      <c r="Z102" s="131"/>
      <c r="AA102" s="245"/>
      <c r="AB102" s="131"/>
      <c r="AC102" s="131"/>
      <c r="AD102" s="131"/>
      <c r="AE102" s="131"/>
      <c r="AF102" s="131"/>
      <c r="AG102" s="131"/>
      <c r="AH102" s="131"/>
      <c r="AI102" s="131"/>
      <c r="AJ102" s="131"/>
      <c r="AK102" s="131"/>
      <c r="AL102" s="131"/>
      <c r="AM102" s="131"/>
      <c r="AN102" s="131"/>
      <c r="AO102" s="131"/>
      <c r="AP102" s="131"/>
      <c r="AQ102" s="131"/>
      <c r="AR102" s="131"/>
      <c r="AS102" s="131"/>
      <c r="AT102" s="131"/>
      <c r="AU102" s="131"/>
      <c r="AV102" s="131"/>
      <c r="AW102" s="131"/>
      <c r="AX102" s="131"/>
      <c r="AY102" s="131"/>
      <c r="AZ102" s="131"/>
    </row>
    <row r="103" spans="1:52">
      <c r="A103" s="216" t="str">
        <f>IF(D103="","",VLOOKUP(G103,códigosORL!$H:$J,3,FALSE))</f>
        <v/>
      </c>
      <c r="B103" s="131"/>
      <c r="C103" s="258"/>
      <c r="D103" s="131"/>
      <c r="E103" s="131"/>
      <c r="F103" s="247"/>
      <c r="G103" s="131"/>
      <c r="H103" s="131"/>
      <c r="I103" s="131"/>
      <c r="J103" s="131"/>
      <c r="K103" s="131"/>
      <c r="L103" s="131"/>
      <c r="M103" s="131"/>
      <c r="N103" s="131"/>
      <c r="O103" s="131"/>
      <c r="P103" s="131"/>
      <c r="Q103" s="131"/>
      <c r="R103" s="131"/>
      <c r="S103" s="131"/>
      <c r="T103" s="131"/>
      <c r="U103" s="131"/>
      <c r="V103" s="131"/>
      <c r="W103" s="131"/>
      <c r="X103" s="131"/>
      <c r="Y103" s="131"/>
      <c r="Z103" s="131"/>
      <c r="AA103" s="245"/>
      <c r="AB103" s="131"/>
      <c r="AC103" s="131"/>
      <c r="AD103" s="131"/>
      <c r="AE103" s="131"/>
      <c r="AF103" s="131"/>
      <c r="AG103" s="131"/>
      <c r="AH103" s="131"/>
      <c r="AI103" s="131"/>
      <c r="AJ103" s="131"/>
      <c r="AK103" s="131"/>
      <c r="AL103" s="131"/>
      <c r="AM103" s="131"/>
      <c r="AN103" s="131"/>
      <c r="AO103" s="131"/>
      <c r="AP103" s="131"/>
      <c r="AQ103" s="131"/>
      <c r="AR103" s="131"/>
      <c r="AS103" s="131"/>
      <c r="AT103" s="131"/>
      <c r="AU103" s="131"/>
      <c r="AV103" s="131"/>
      <c r="AW103" s="131"/>
      <c r="AX103" s="131"/>
      <c r="AY103" s="131"/>
      <c r="AZ103" s="131"/>
    </row>
    <row r="104" spans="1:52">
      <c r="A104" s="216" t="str">
        <f>IF(D104="","",VLOOKUP(G104,códigosORL!$H:$J,3,FALSE))</f>
        <v/>
      </c>
      <c r="B104" s="131"/>
      <c r="C104" s="258"/>
      <c r="D104" s="131"/>
      <c r="E104" s="131"/>
      <c r="F104" s="247"/>
      <c r="G104" s="131"/>
      <c r="H104" s="131"/>
      <c r="I104" s="131"/>
      <c r="J104" s="131"/>
      <c r="K104" s="131"/>
      <c r="L104" s="131"/>
      <c r="M104" s="131"/>
      <c r="N104" s="131"/>
      <c r="O104" s="131"/>
      <c r="P104" s="131"/>
      <c r="Q104" s="131"/>
      <c r="R104" s="131"/>
      <c r="S104" s="131"/>
      <c r="T104" s="131"/>
      <c r="U104" s="131"/>
      <c r="V104" s="131"/>
      <c r="W104" s="131"/>
      <c r="X104" s="131"/>
      <c r="Y104" s="131"/>
      <c r="Z104" s="131"/>
      <c r="AA104" s="245"/>
      <c r="AB104" s="131"/>
      <c r="AC104" s="131"/>
      <c r="AD104" s="131"/>
      <c r="AE104" s="131"/>
      <c r="AF104" s="131"/>
      <c r="AG104" s="131"/>
      <c r="AH104" s="131"/>
      <c r="AI104" s="131"/>
      <c r="AJ104" s="131"/>
      <c r="AK104" s="131"/>
      <c r="AL104" s="131"/>
      <c r="AM104" s="131"/>
      <c r="AN104" s="131"/>
      <c r="AO104" s="131"/>
      <c r="AP104" s="131"/>
      <c r="AQ104" s="131"/>
      <c r="AR104" s="131"/>
      <c r="AS104" s="131"/>
      <c r="AT104" s="131"/>
      <c r="AU104" s="131"/>
      <c r="AV104" s="131"/>
      <c r="AW104" s="131"/>
      <c r="AX104" s="131"/>
      <c r="AY104" s="131"/>
      <c r="AZ104" s="131"/>
    </row>
    <row r="105" spans="1:52">
      <c r="A105" s="216" t="str">
        <f>IF(D105="","",VLOOKUP(G105,códigosORL!$H:$J,3,FALSE))</f>
        <v/>
      </c>
      <c r="B105" s="131"/>
      <c r="C105" s="258"/>
      <c r="D105" s="131"/>
      <c r="E105" s="131"/>
      <c r="F105" s="247"/>
      <c r="G105" s="131"/>
      <c r="H105" s="131"/>
      <c r="I105" s="131"/>
      <c r="J105" s="131"/>
      <c r="K105" s="131"/>
      <c r="L105" s="131"/>
      <c r="M105" s="131"/>
      <c r="N105" s="131"/>
      <c r="O105" s="131"/>
      <c r="P105" s="131"/>
      <c r="Q105" s="131"/>
      <c r="R105" s="131"/>
      <c r="S105" s="131"/>
      <c r="T105" s="131"/>
      <c r="U105" s="131"/>
      <c r="V105" s="131"/>
      <c r="W105" s="131"/>
      <c r="X105" s="131"/>
      <c r="Y105" s="131"/>
      <c r="Z105" s="131"/>
      <c r="AA105" s="245"/>
      <c r="AB105" s="131"/>
      <c r="AC105" s="131"/>
      <c r="AD105" s="131"/>
      <c r="AE105" s="131"/>
      <c r="AF105" s="131"/>
      <c r="AG105" s="131"/>
      <c r="AH105" s="131"/>
      <c r="AI105" s="131"/>
      <c r="AJ105" s="131"/>
      <c r="AK105" s="131"/>
      <c r="AL105" s="131"/>
      <c r="AM105" s="131"/>
      <c r="AN105" s="131"/>
      <c r="AO105" s="131"/>
      <c r="AP105" s="131"/>
      <c r="AQ105" s="131"/>
      <c r="AR105" s="131"/>
      <c r="AS105" s="131"/>
      <c r="AT105" s="131"/>
      <c r="AU105" s="131"/>
      <c r="AV105" s="131"/>
      <c r="AW105" s="131"/>
      <c r="AX105" s="131"/>
      <c r="AY105" s="131"/>
      <c r="AZ105" s="131"/>
    </row>
    <row r="106" spans="1:52">
      <c r="A106" s="216" t="str">
        <f>IF(D106="","",VLOOKUP(G106,códigosORL!$H:$J,3,FALSE))</f>
        <v/>
      </c>
      <c r="B106" s="131"/>
      <c r="C106" s="258"/>
      <c r="D106" s="131"/>
      <c r="E106" s="131"/>
      <c r="F106" s="247"/>
      <c r="G106" s="131"/>
      <c r="H106" s="131"/>
      <c r="I106" s="131"/>
      <c r="J106" s="131"/>
      <c r="K106" s="131"/>
      <c r="L106" s="131"/>
      <c r="M106" s="131"/>
      <c r="N106" s="131"/>
      <c r="O106" s="131"/>
      <c r="P106" s="131"/>
      <c r="Q106" s="131"/>
      <c r="R106" s="131"/>
      <c r="S106" s="131"/>
      <c r="T106" s="131"/>
      <c r="U106" s="131"/>
      <c r="V106" s="131"/>
      <c r="W106" s="131"/>
      <c r="X106" s="131"/>
      <c r="Y106" s="131"/>
      <c r="Z106" s="131"/>
      <c r="AA106" s="245"/>
      <c r="AB106" s="131"/>
      <c r="AC106" s="131"/>
      <c r="AD106" s="131"/>
      <c r="AE106" s="131"/>
      <c r="AF106" s="131"/>
      <c r="AG106" s="131"/>
      <c r="AH106" s="131"/>
      <c r="AI106" s="131"/>
      <c r="AJ106" s="131"/>
      <c r="AK106" s="131"/>
      <c r="AL106" s="131"/>
      <c r="AM106" s="131"/>
      <c r="AN106" s="131"/>
      <c r="AO106" s="131"/>
      <c r="AP106" s="131"/>
      <c r="AQ106" s="131"/>
      <c r="AR106" s="131"/>
      <c r="AS106" s="131"/>
      <c r="AT106" s="131"/>
      <c r="AU106" s="131"/>
      <c r="AV106" s="131"/>
      <c r="AW106" s="131"/>
      <c r="AX106" s="131"/>
      <c r="AY106" s="131"/>
      <c r="AZ106" s="131"/>
    </row>
    <row r="107" spans="1:52">
      <c r="A107" s="216" t="str">
        <f>IF(D107="","",VLOOKUP(G107,códigosORL!$H:$J,3,FALSE))</f>
        <v/>
      </c>
      <c r="B107" s="131"/>
      <c r="C107" s="258"/>
      <c r="D107" s="131"/>
      <c r="E107" s="131"/>
      <c r="F107" s="247"/>
      <c r="G107" s="131"/>
      <c r="H107" s="131"/>
      <c r="I107" s="131"/>
      <c r="J107" s="131"/>
      <c r="K107" s="131"/>
      <c r="L107" s="131"/>
      <c r="M107" s="131"/>
      <c r="N107" s="131"/>
      <c r="O107" s="131"/>
      <c r="P107" s="131"/>
      <c r="Q107" s="131"/>
      <c r="R107" s="131"/>
      <c r="S107" s="131"/>
      <c r="T107" s="131"/>
      <c r="U107" s="131"/>
      <c r="V107" s="131"/>
      <c r="W107" s="131"/>
      <c r="X107" s="131"/>
      <c r="Y107" s="131"/>
      <c r="Z107" s="131"/>
      <c r="AA107" s="245"/>
      <c r="AB107" s="131"/>
      <c r="AC107" s="131"/>
      <c r="AD107" s="131"/>
      <c r="AE107" s="131"/>
      <c r="AF107" s="131"/>
      <c r="AG107" s="131"/>
      <c r="AH107" s="131"/>
      <c r="AI107" s="131"/>
      <c r="AJ107" s="131"/>
      <c r="AK107" s="131"/>
      <c r="AL107" s="131"/>
      <c r="AM107" s="131"/>
      <c r="AN107" s="131"/>
      <c r="AO107" s="131"/>
      <c r="AP107" s="131"/>
      <c r="AQ107" s="131"/>
      <c r="AR107" s="131"/>
      <c r="AS107" s="131"/>
      <c r="AT107" s="131"/>
      <c r="AU107" s="131"/>
      <c r="AV107" s="131"/>
      <c r="AW107" s="131"/>
      <c r="AX107" s="131"/>
      <c r="AY107" s="131"/>
      <c r="AZ107" s="131"/>
    </row>
    <row r="108" spans="1:52">
      <c r="A108" s="216" t="str">
        <f>IF(D108="","",VLOOKUP(G108,códigosORL!$H:$J,3,FALSE))</f>
        <v/>
      </c>
      <c r="B108" s="131"/>
      <c r="C108" s="258"/>
      <c r="D108" s="131"/>
      <c r="E108" s="131"/>
      <c r="F108" s="247"/>
      <c r="G108" s="131"/>
      <c r="H108" s="131"/>
      <c r="I108" s="131"/>
      <c r="J108" s="131"/>
      <c r="K108" s="131"/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  <c r="AA108" s="245"/>
      <c r="AB108" s="131"/>
      <c r="AC108" s="131"/>
      <c r="AD108" s="131"/>
      <c r="AE108" s="131"/>
      <c r="AF108" s="131"/>
      <c r="AG108" s="131"/>
      <c r="AH108" s="131"/>
      <c r="AI108" s="131"/>
      <c r="AJ108" s="131"/>
      <c r="AK108" s="131"/>
      <c r="AL108" s="131"/>
      <c r="AM108" s="131"/>
      <c r="AN108" s="131"/>
      <c r="AO108" s="131"/>
      <c r="AP108" s="131"/>
      <c r="AQ108" s="131"/>
      <c r="AR108" s="131"/>
      <c r="AS108" s="131"/>
      <c r="AT108" s="131"/>
      <c r="AU108" s="131"/>
      <c r="AV108" s="131"/>
      <c r="AW108" s="131"/>
      <c r="AX108" s="131"/>
      <c r="AY108" s="131"/>
      <c r="AZ108" s="131"/>
    </row>
    <row r="109" spans="1:52">
      <c r="A109" s="216" t="str">
        <f>IF(D109="","",VLOOKUP(G109,códigosORL!$H:$J,3,FALSE))</f>
        <v/>
      </c>
      <c r="B109" s="131"/>
      <c r="C109" s="258"/>
      <c r="D109" s="131"/>
      <c r="E109" s="131"/>
      <c r="F109" s="247"/>
      <c r="G109" s="131"/>
      <c r="H109" s="131"/>
      <c r="I109" s="131"/>
      <c r="J109" s="131"/>
      <c r="K109" s="131"/>
      <c r="L109" s="131"/>
      <c r="M109" s="131"/>
      <c r="N109" s="131"/>
      <c r="O109" s="131"/>
      <c r="P109" s="131"/>
      <c r="Q109" s="131"/>
      <c r="R109" s="131"/>
      <c r="S109" s="131"/>
      <c r="T109" s="131"/>
      <c r="U109" s="131"/>
      <c r="V109" s="131"/>
      <c r="W109" s="131"/>
      <c r="X109" s="131"/>
      <c r="Y109" s="131"/>
      <c r="Z109" s="131"/>
      <c r="AA109" s="245"/>
      <c r="AB109" s="131"/>
      <c r="AC109" s="131"/>
      <c r="AD109" s="131"/>
      <c r="AE109" s="131"/>
      <c r="AF109" s="131"/>
      <c r="AG109" s="131"/>
      <c r="AH109" s="131"/>
      <c r="AI109" s="131"/>
      <c r="AJ109" s="131"/>
      <c r="AK109" s="131"/>
      <c r="AL109" s="131"/>
      <c r="AM109" s="131"/>
      <c r="AN109" s="131"/>
      <c r="AO109" s="131"/>
      <c r="AP109" s="131"/>
      <c r="AQ109" s="131"/>
      <c r="AR109" s="131"/>
      <c r="AS109" s="131"/>
      <c r="AT109" s="131"/>
      <c r="AU109" s="131"/>
      <c r="AV109" s="131"/>
      <c r="AW109" s="131"/>
      <c r="AX109" s="131"/>
      <c r="AY109" s="131"/>
      <c r="AZ109" s="131"/>
    </row>
    <row r="110" spans="1:52">
      <c r="A110" s="216" t="str">
        <f>IF(D110="","",VLOOKUP(G110,códigosORL!$H:$J,3,FALSE))</f>
        <v/>
      </c>
      <c r="B110" s="131"/>
      <c r="C110" s="258"/>
      <c r="D110" s="131"/>
      <c r="E110" s="131"/>
      <c r="F110" s="247"/>
      <c r="G110" s="131"/>
      <c r="H110" s="131"/>
      <c r="I110" s="131"/>
      <c r="J110" s="131"/>
      <c r="K110" s="131"/>
      <c r="L110" s="131"/>
      <c r="M110" s="131"/>
      <c r="N110" s="131"/>
      <c r="O110" s="131"/>
      <c r="P110" s="131"/>
      <c r="Q110" s="131"/>
      <c r="R110" s="131"/>
      <c r="S110" s="131"/>
      <c r="T110" s="131"/>
      <c r="U110" s="131"/>
      <c r="V110" s="131"/>
      <c r="W110" s="131"/>
      <c r="X110" s="131"/>
      <c r="Y110" s="131"/>
      <c r="Z110" s="131"/>
      <c r="AA110" s="245"/>
      <c r="AB110" s="131"/>
      <c r="AC110" s="131"/>
      <c r="AD110" s="131"/>
      <c r="AE110" s="131"/>
      <c r="AF110" s="131"/>
      <c r="AG110" s="131"/>
      <c r="AH110" s="131"/>
      <c r="AI110" s="131"/>
      <c r="AJ110" s="131"/>
      <c r="AK110" s="131"/>
      <c r="AL110" s="131"/>
      <c r="AM110" s="131"/>
      <c r="AN110" s="131"/>
      <c r="AO110" s="131"/>
      <c r="AP110" s="131"/>
      <c r="AQ110" s="131"/>
      <c r="AR110" s="131"/>
      <c r="AS110" s="131"/>
      <c r="AT110" s="131"/>
      <c r="AU110" s="131"/>
      <c r="AV110" s="131"/>
      <c r="AW110" s="131"/>
      <c r="AX110" s="131"/>
      <c r="AY110" s="131"/>
      <c r="AZ110" s="131"/>
    </row>
    <row r="111" spans="1:52">
      <c r="A111" s="216" t="str">
        <f>IF(D111="","",VLOOKUP(G111,códigosORL!$H:$J,3,FALSE))</f>
        <v/>
      </c>
      <c r="B111" s="131"/>
      <c r="C111" s="258"/>
      <c r="D111" s="131"/>
      <c r="E111" s="131"/>
      <c r="F111" s="247"/>
      <c r="G111" s="131"/>
      <c r="H111" s="131"/>
      <c r="I111" s="131"/>
      <c r="J111" s="131"/>
      <c r="K111" s="131"/>
      <c r="L111" s="131"/>
      <c r="M111" s="131"/>
      <c r="N111" s="131"/>
      <c r="O111" s="131"/>
      <c r="P111" s="131"/>
      <c r="Q111" s="131"/>
      <c r="R111" s="131"/>
      <c r="S111" s="131"/>
      <c r="T111" s="131"/>
      <c r="U111" s="131"/>
      <c r="V111" s="131"/>
      <c r="W111" s="131"/>
      <c r="X111" s="131"/>
      <c r="Y111" s="131"/>
      <c r="Z111" s="131"/>
      <c r="AA111" s="245"/>
      <c r="AB111" s="131"/>
      <c r="AC111" s="131"/>
      <c r="AD111" s="131"/>
      <c r="AE111" s="131"/>
      <c r="AF111" s="131"/>
      <c r="AG111" s="131"/>
      <c r="AH111" s="131"/>
      <c r="AI111" s="131"/>
      <c r="AJ111" s="131"/>
      <c r="AK111" s="131"/>
      <c r="AL111" s="131"/>
      <c r="AM111" s="131"/>
      <c r="AN111" s="131"/>
      <c r="AO111" s="131"/>
      <c r="AP111" s="131"/>
      <c r="AQ111" s="131"/>
      <c r="AR111" s="131"/>
      <c r="AS111" s="131"/>
      <c r="AT111" s="131"/>
      <c r="AU111" s="131"/>
      <c r="AV111" s="131"/>
      <c r="AW111" s="131"/>
      <c r="AX111" s="131"/>
      <c r="AY111" s="131"/>
      <c r="AZ111" s="131"/>
    </row>
    <row r="112" spans="1:52">
      <c r="A112" s="216" t="str">
        <f>IF(D112="","",VLOOKUP(G112,códigosORL!$H:$J,3,FALSE))</f>
        <v/>
      </c>
      <c r="B112" s="131"/>
      <c r="C112" s="258"/>
      <c r="D112" s="131"/>
      <c r="E112" s="131"/>
      <c r="F112" s="247"/>
      <c r="G112" s="131"/>
      <c r="H112" s="131"/>
      <c r="I112" s="131"/>
      <c r="J112" s="131"/>
      <c r="K112" s="131"/>
      <c r="L112" s="131"/>
      <c r="M112" s="131"/>
      <c r="N112" s="131"/>
      <c r="O112" s="131"/>
      <c r="P112" s="131"/>
      <c r="Q112" s="131"/>
      <c r="R112" s="131"/>
      <c r="S112" s="131"/>
      <c r="T112" s="131"/>
      <c r="U112" s="131"/>
      <c r="V112" s="131"/>
      <c r="W112" s="131"/>
      <c r="X112" s="131"/>
      <c r="Y112" s="131"/>
      <c r="Z112" s="131"/>
      <c r="AA112" s="245"/>
      <c r="AB112" s="131"/>
      <c r="AC112" s="131"/>
      <c r="AD112" s="131"/>
      <c r="AE112" s="131"/>
      <c r="AF112" s="131"/>
      <c r="AG112" s="131"/>
      <c r="AH112" s="131"/>
      <c r="AI112" s="131"/>
      <c r="AJ112" s="131"/>
      <c r="AK112" s="131"/>
      <c r="AL112" s="131"/>
      <c r="AM112" s="131"/>
      <c r="AN112" s="131"/>
      <c r="AO112" s="131"/>
      <c r="AP112" s="131"/>
      <c r="AQ112" s="131"/>
      <c r="AR112" s="131"/>
      <c r="AS112" s="131"/>
      <c r="AT112" s="131"/>
      <c r="AU112" s="131"/>
      <c r="AV112" s="131"/>
      <c r="AW112" s="131"/>
      <c r="AX112" s="131"/>
      <c r="AY112" s="131"/>
      <c r="AZ112" s="131"/>
    </row>
    <row r="113" spans="1:52">
      <c r="A113" s="216" t="str">
        <f>IF(D113="","",VLOOKUP(G113,códigosORL!$H:$J,3,FALSE))</f>
        <v/>
      </c>
      <c r="B113" s="131"/>
      <c r="C113" s="258"/>
      <c r="D113" s="131"/>
      <c r="E113" s="131"/>
      <c r="F113" s="247"/>
      <c r="G113" s="131"/>
      <c r="H113" s="131"/>
      <c r="I113" s="131"/>
      <c r="J113" s="131"/>
      <c r="K113" s="131"/>
      <c r="L113" s="131"/>
      <c r="M113" s="131"/>
      <c r="N113" s="131"/>
      <c r="O113" s="131"/>
      <c r="P113" s="131"/>
      <c r="Q113" s="131"/>
      <c r="R113" s="131"/>
      <c r="S113" s="131"/>
      <c r="T113" s="131"/>
      <c r="U113" s="131"/>
      <c r="V113" s="131"/>
      <c r="W113" s="131"/>
      <c r="X113" s="131"/>
      <c r="Y113" s="131"/>
      <c r="Z113" s="131"/>
      <c r="AA113" s="245"/>
      <c r="AB113" s="131"/>
      <c r="AC113" s="131"/>
      <c r="AD113" s="131"/>
      <c r="AE113" s="131"/>
      <c r="AF113" s="131"/>
      <c r="AG113" s="131"/>
      <c r="AH113" s="131"/>
      <c r="AI113" s="131"/>
      <c r="AJ113" s="131"/>
      <c r="AK113" s="131"/>
      <c r="AL113" s="131"/>
      <c r="AM113" s="131"/>
      <c r="AN113" s="131"/>
      <c r="AO113" s="131"/>
      <c r="AP113" s="131"/>
      <c r="AQ113" s="131"/>
      <c r="AR113" s="131"/>
      <c r="AS113" s="131"/>
      <c r="AT113" s="131"/>
      <c r="AU113" s="131"/>
      <c r="AV113" s="131"/>
      <c r="AW113" s="131"/>
      <c r="AX113" s="131"/>
      <c r="AY113" s="131"/>
      <c r="AZ113" s="131"/>
    </row>
    <row r="114" spans="1:52">
      <c r="A114" s="216" t="str">
        <f>IF(D114="","",VLOOKUP(G114,códigosORL!$H:$J,3,FALSE))</f>
        <v/>
      </c>
      <c r="B114" s="131"/>
      <c r="C114" s="258"/>
      <c r="D114" s="131"/>
      <c r="E114" s="131"/>
      <c r="F114" s="247"/>
      <c r="G114" s="131"/>
      <c r="H114" s="131"/>
      <c r="I114" s="131"/>
      <c r="J114" s="131"/>
      <c r="K114" s="131"/>
      <c r="L114" s="131"/>
      <c r="M114" s="131"/>
      <c r="N114" s="131"/>
      <c r="O114" s="131"/>
      <c r="P114" s="131"/>
      <c r="Q114" s="131"/>
      <c r="R114" s="131"/>
      <c r="S114" s="131"/>
      <c r="T114" s="131"/>
      <c r="U114" s="131"/>
      <c r="V114" s="131"/>
      <c r="W114" s="131"/>
      <c r="X114" s="131"/>
      <c r="Y114" s="131"/>
      <c r="Z114" s="131"/>
      <c r="AA114" s="245"/>
      <c r="AB114" s="131"/>
      <c r="AC114" s="131"/>
      <c r="AD114" s="131"/>
      <c r="AE114" s="131"/>
      <c r="AF114" s="131"/>
      <c r="AG114" s="131"/>
      <c r="AH114" s="131"/>
      <c r="AI114" s="131"/>
      <c r="AJ114" s="131"/>
      <c r="AK114" s="131"/>
      <c r="AL114" s="131"/>
      <c r="AM114" s="131"/>
      <c r="AN114" s="131"/>
      <c r="AO114" s="131"/>
      <c r="AP114" s="131"/>
      <c r="AQ114" s="131"/>
      <c r="AR114" s="131"/>
      <c r="AS114" s="131"/>
      <c r="AT114" s="131"/>
      <c r="AU114" s="131"/>
      <c r="AV114" s="131"/>
      <c r="AW114" s="131"/>
      <c r="AX114" s="131"/>
      <c r="AY114" s="131"/>
      <c r="AZ114" s="131"/>
    </row>
    <row r="115" spans="1:52">
      <c r="A115" s="216" t="str">
        <f>IF(D115="","",VLOOKUP(G115,códigosORL!$H:$J,3,FALSE))</f>
        <v/>
      </c>
      <c r="B115" s="131"/>
      <c r="C115" s="258"/>
      <c r="D115" s="131"/>
      <c r="E115" s="131"/>
      <c r="F115" s="247"/>
      <c r="G115" s="131"/>
      <c r="H115" s="131"/>
      <c r="I115" s="131"/>
      <c r="J115" s="131"/>
      <c r="K115" s="131"/>
      <c r="L115" s="131"/>
      <c r="M115" s="131"/>
      <c r="N115" s="131"/>
      <c r="O115" s="131"/>
      <c r="P115" s="131"/>
      <c r="Q115" s="131"/>
      <c r="R115" s="131"/>
      <c r="S115" s="131"/>
      <c r="T115" s="131"/>
      <c r="U115" s="131"/>
      <c r="V115" s="131"/>
      <c r="W115" s="131"/>
      <c r="X115" s="131"/>
      <c r="Y115" s="131"/>
      <c r="Z115" s="131"/>
      <c r="AA115" s="245"/>
      <c r="AB115" s="131"/>
      <c r="AC115" s="131"/>
      <c r="AD115" s="131"/>
      <c r="AE115" s="131"/>
      <c r="AF115" s="131"/>
      <c r="AG115" s="131"/>
      <c r="AH115" s="131"/>
      <c r="AI115" s="131"/>
      <c r="AJ115" s="131"/>
      <c r="AK115" s="131"/>
      <c r="AL115" s="131"/>
      <c r="AM115" s="131"/>
      <c r="AN115" s="131"/>
      <c r="AO115" s="131"/>
      <c r="AP115" s="131"/>
      <c r="AQ115" s="131"/>
      <c r="AR115" s="131"/>
      <c r="AS115" s="131"/>
      <c r="AT115" s="131"/>
      <c r="AU115" s="131"/>
      <c r="AV115" s="131"/>
      <c r="AW115" s="131"/>
      <c r="AX115" s="131"/>
      <c r="AY115" s="131"/>
      <c r="AZ115" s="131"/>
    </row>
    <row r="116" spans="1:52">
      <c r="A116" s="216" t="str">
        <f>IF(D116="","",VLOOKUP(G116,códigosORL!$H:$J,3,FALSE))</f>
        <v/>
      </c>
      <c r="B116" s="131"/>
      <c r="C116" s="258"/>
      <c r="D116" s="131"/>
      <c r="E116" s="131"/>
      <c r="F116" s="247"/>
      <c r="G116" s="131"/>
      <c r="H116" s="131"/>
      <c r="I116" s="131"/>
      <c r="J116" s="131"/>
      <c r="K116" s="131"/>
      <c r="L116" s="131"/>
      <c r="M116" s="131"/>
      <c r="N116" s="131"/>
      <c r="O116" s="131"/>
      <c r="P116" s="131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  <c r="AA116" s="245"/>
      <c r="AB116" s="131"/>
      <c r="AC116" s="131"/>
      <c r="AD116" s="131"/>
      <c r="AE116" s="131"/>
      <c r="AF116" s="131"/>
      <c r="AG116" s="131"/>
      <c r="AH116" s="131"/>
      <c r="AI116" s="131"/>
      <c r="AJ116" s="131"/>
      <c r="AK116" s="131"/>
      <c r="AL116" s="131"/>
      <c r="AM116" s="131"/>
      <c r="AN116" s="131"/>
      <c r="AO116" s="131"/>
      <c r="AP116" s="131"/>
      <c r="AQ116" s="131"/>
      <c r="AR116" s="131"/>
      <c r="AS116" s="131"/>
      <c r="AT116" s="131"/>
      <c r="AU116" s="131"/>
      <c r="AV116" s="131"/>
      <c r="AW116" s="131"/>
      <c r="AX116" s="131"/>
      <c r="AY116" s="131"/>
      <c r="AZ116" s="131"/>
    </row>
    <row r="117" spans="1:52">
      <c r="A117" s="216" t="str">
        <f>IF(D117="","",VLOOKUP(G117,códigosORL!$H:$J,3,FALSE))</f>
        <v/>
      </c>
      <c r="B117" s="131"/>
      <c r="C117" s="258"/>
      <c r="D117" s="131"/>
      <c r="E117" s="131"/>
      <c r="F117" s="247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245"/>
      <c r="AB117" s="131"/>
      <c r="AC117" s="131"/>
      <c r="AD117" s="131"/>
      <c r="AE117" s="131"/>
      <c r="AF117" s="131"/>
      <c r="AG117" s="131"/>
      <c r="AH117" s="131"/>
      <c r="AI117" s="131"/>
      <c r="AJ117" s="131"/>
      <c r="AK117" s="131"/>
      <c r="AL117" s="131"/>
      <c r="AM117" s="131"/>
      <c r="AN117" s="131"/>
      <c r="AO117" s="131"/>
      <c r="AP117" s="131"/>
      <c r="AQ117" s="131"/>
      <c r="AR117" s="131"/>
      <c r="AS117" s="131"/>
      <c r="AT117" s="131"/>
      <c r="AU117" s="131"/>
      <c r="AV117" s="131"/>
      <c r="AW117" s="131"/>
      <c r="AX117" s="131"/>
      <c r="AY117" s="131"/>
      <c r="AZ117" s="131"/>
    </row>
    <row r="118" spans="1:52">
      <c r="A118" s="216" t="str">
        <f>IF(D118="","",VLOOKUP(G118,códigosORL!$H:$J,3,FALSE))</f>
        <v/>
      </c>
      <c r="B118" s="131"/>
      <c r="C118" s="258"/>
      <c r="D118" s="131"/>
      <c r="E118" s="131"/>
      <c r="F118" s="247"/>
      <c r="G118" s="131"/>
      <c r="H118" s="131"/>
      <c r="I118" s="131"/>
      <c r="J118" s="131"/>
      <c r="K118" s="131"/>
      <c r="L118" s="131"/>
      <c r="M118" s="131"/>
      <c r="N118" s="131"/>
      <c r="O118" s="131"/>
      <c r="P118" s="131"/>
      <c r="Q118" s="131"/>
      <c r="R118" s="131"/>
      <c r="S118" s="131"/>
      <c r="T118" s="131"/>
      <c r="U118" s="131"/>
      <c r="V118" s="131"/>
      <c r="W118" s="131"/>
      <c r="X118" s="131"/>
      <c r="Y118" s="131"/>
      <c r="Z118" s="131"/>
      <c r="AA118" s="245"/>
      <c r="AB118" s="131"/>
      <c r="AC118" s="131"/>
      <c r="AD118" s="131"/>
      <c r="AE118" s="131"/>
      <c r="AF118" s="131"/>
      <c r="AG118" s="131"/>
      <c r="AH118" s="131"/>
      <c r="AI118" s="131"/>
      <c r="AJ118" s="131"/>
      <c r="AK118" s="131"/>
      <c r="AL118" s="131"/>
      <c r="AM118" s="131"/>
      <c r="AN118" s="131"/>
      <c r="AO118" s="131"/>
      <c r="AP118" s="131"/>
      <c r="AQ118" s="131"/>
      <c r="AR118" s="131"/>
      <c r="AS118" s="131"/>
      <c r="AT118" s="131"/>
      <c r="AU118" s="131"/>
      <c r="AV118" s="131"/>
      <c r="AW118" s="131"/>
      <c r="AX118" s="131"/>
      <c r="AY118" s="131"/>
      <c r="AZ118" s="131"/>
    </row>
    <row r="119" spans="1:52">
      <c r="A119" s="216" t="str">
        <f>IF(D119="","",VLOOKUP(G119,códigosORL!$H:$J,3,FALSE))</f>
        <v/>
      </c>
      <c r="B119" s="131"/>
      <c r="C119" s="258"/>
      <c r="D119" s="131"/>
      <c r="E119" s="131"/>
      <c r="F119" s="247"/>
      <c r="G119" s="131"/>
      <c r="H119" s="131"/>
      <c r="I119" s="131"/>
      <c r="J119" s="131"/>
      <c r="K119" s="131"/>
      <c r="L119" s="131"/>
      <c r="M119" s="131"/>
      <c r="N119" s="131"/>
      <c r="O119" s="131"/>
      <c r="P119" s="131"/>
      <c r="Q119" s="131"/>
      <c r="R119" s="131"/>
      <c r="S119" s="131"/>
      <c r="T119" s="131"/>
      <c r="U119" s="131"/>
      <c r="V119" s="131"/>
      <c r="W119" s="131"/>
      <c r="X119" s="131"/>
      <c r="Y119" s="131"/>
      <c r="Z119" s="131"/>
      <c r="AA119" s="245"/>
      <c r="AB119" s="131"/>
      <c r="AC119" s="131"/>
      <c r="AD119" s="131"/>
      <c r="AE119" s="131"/>
      <c r="AF119" s="131"/>
      <c r="AG119" s="131"/>
      <c r="AH119" s="131"/>
      <c r="AI119" s="131"/>
      <c r="AJ119" s="131"/>
      <c r="AK119" s="131"/>
      <c r="AL119" s="131"/>
      <c r="AM119" s="131"/>
      <c r="AN119" s="131"/>
      <c r="AO119" s="131"/>
      <c r="AP119" s="131"/>
      <c r="AQ119" s="131"/>
      <c r="AR119" s="131"/>
      <c r="AS119" s="131"/>
      <c r="AT119" s="131"/>
      <c r="AU119" s="131"/>
      <c r="AV119" s="131"/>
      <c r="AW119" s="131"/>
      <c r="AX119" s="131"/>
      <c r="AY119" s="131"/>
      <c r="AZ119" s="131"/>
    </row>
    <row r="120" spans="1:52">
      <c r="A120" s="216" t="str">
        <f>IF(D120="","",VLOOKUP(G120,códigosORL!$H:$J,3,FALSE))</f>
        <v/>
      </c>
      <c r="B120" s="131"/>
      <c r="C120" s="258"/>
      <c r="D120" s="131"/>
      <c r="E120" s="131"/>
      <c r="F120" s="247"/>
      <c r="G120" s="131"/>
      <c r="H120" s="131"/>
      <c r="I120" s="131"/>
      <c r="J120" s="131"/>
      <c r="K120" s="131"/>
      <c r="L120" s="131"/>
      <c r="M120" s="131"/>
      <c r="N120" s="131"/>
      <c r="O120" s="131"/>
      <c r="P120" s="131"/>
      <c r="Q120" s="131"/>
      <c r="R120" s="131"/>
      <c r="S120" s="131"/>
      <c r="T120" s="131"/>
      <c r="U120" s="131"/>
      <c r="V120" s="131"/>
      <c r="W120" s="131"/>
      <c r="X120" s="131"/>
      <c r="Y120" s="131"/>
      <c r="Z120" s="131"/>
      <c r="AA120" s="245"/>
      <c r="AB120" s="131"/>
      <c r="AC120" s="131"/>
      <c r="AD120" s="131"/>
      <c r="AE120" s="131"/>
      <c r="AF120" s="131"/>
      <c r="AG120" s="131"/>
      <c r="AH120" s="131"/>
      <c r="AI120" s="131"/>
      <c r="AJ120" s="131"/>
      <c r="AK120" s="131"/>
      <c r="AL120" s="131"/>
      <c r="AM120" s="131"/>
      <c r="AN120" s="131"/>
      <c r="AO120" s="131"/>
      <c r="AP120" s="131"/>
      <c r="AQ120" s="131"/>
      <c r="AR120" s="131"/>
      <c r="AS120" s="131"/>
      <c r="AT120" s="131"/>
      <c r="AU120" s="131"/>
      <c r="AV120" s="131"/>
      <c r="AW120" s="131"/>
      <c r="AX120" s="131"/>
      <c r="AY120" s="131"/>
      <c r="AZ120" s="131"/>
    </row>
    <row r="121" spans="1:52">
      <c r="A121" s="216" t="str">
        <f>IF(D121="","",VLOOKUP(G121,códigosORL!$H:$J,3,FALSE))</f>
        <v/>
      </c>
      <c r="B121" s="131"/>
      <c r="C121" s="258"/>
      <c r="D121" s="131"/>
      <c r="E121" s="131"/>
      <c r="F121" s="247"/>
      <c r="G121" s="131"/>
      <c r="H121" s="131"/>
      <c r="I121" s="131"/>
      <c r="J121" s="131"/>
      <c r="K121" s="131"/>
      <c r="L121" s="131"/>
      <c r="M121" s="131"/>
      <c r="N121" s="131"/>
      <c r="O121" s="131"/>
      <c r="P121" s="131"/>
      <c r="Q121" s="131"/>
      <c r="R121" s="131"/>
      <c r="S121" s="131"/>
      <c r="T121" s="131"/>
      <c r="U121" s="131"/>
      <c r="V121" s="131"/>
      <c r="W121" s="131"/>
      <c r="X121" s="131"/>
      <c r="Y121" s="131"/>
      <c r="Z121" s="131"/>
      <c r="AA121" s="245"/>
      <c r="AB121" s="131"/>
      <c r="AC121" s="131"/>
      <c r="AD121" s="131"/>
      <c r="AE121" s="131"/>
      <c r="AF121" s="131"/>
      <c r="AG121" s="131"/>
      <c r="AH121" s="131"/>
      <c r="AI121" s="131"/>
      <c r="AJ121" s="131"/>
      <c r="AK121" s="131"/>
      <c r="AL121" s="131"/>
      <c r="AM121" s="131"/>
      <c r="AN121" s="131"/>
      <c r="AO121" s="131"/>
      <c r="AP121" s="131"/>
      <c r="AQ121" s="131"/>
      <c r="AR121" s="131"/>
      <c r="AS121" s="131"/>
      <c r="AT121" s="131"/>
      <c r="AU121" s="131"/>
      <c r="AV121" s="131"/>
      <c r="AW121" s="131"/>
      <c r="AX121" s="131"/>
      <c r="AY121" s="131"/>
      <c r="AZ121" s="131"/>
    </row>
    <row r="122" spans="1:52">
      <c r="A122" s="216" t="str">
        <f>IF(D122="","",VLOOKUP(G122,códigosORL!$H:$J,3,FALSE))</f>
        <v/>
      </c>
      <c r="B122" s="131"/>
      <c r="C122" s="258"/>
      <c r="D122" s="131"/>
      <c r="E122" s="131"/>
      <c r="F122" s="247"/>
      <c r="G122" s="131"/>
      <c r="H122" s="131"/>
      <c r="I122" s="131"/>
      <c r="J122" s="131"/>
      <c r="K122" s="131"/>
      <c r="L122" s="131"/>
      <c r="M122" s="131"/>
      <c r="N122" s="131"/>
      <c r="O122" s="131"/>
      <c r="P122" s="131"/>
      <c r="Q122" s="131"/>
      <c r="R122" s="131"/>
      <c r="S122" s="131"/>
      <c r="T122" s="131"/>
      <c r="U122" s="131"/>
      <c r="V122" s="131"/>
      <c r="W122" s="131"/>
      <c r="X122" s="131"/>
      <c r="Y122" s="131"/>
      <c r="Z122" s="131"/>
      <c r="AA122" s="245"/>
      <c r="AB122" s="131"/>
      <c r="AC122" s="131"/>
      <c r="AD122" s="131"/>
      <c r="AE122" s="131"/>
      <c r="AF122" s="131"/>
      <c r="AG122" s="131"/>
      <c r="AH122" s="131"/>
      <c r="AI122" s="131"/>
      <c r="AJ122" s="131"/>
      <c r="AK122" s="131"/>
      <c r="AL122" s="131"/>
      <c r="AM122" s="131"/>
      <c r="AN122" s="131"/>
      <c r="AO122" s="131"/>
      <c r="AP122" s="131"/>
      <c r="AQ122" s="131"/>
      <c r="AR122" s="131"/>
      <c r="AS122" s="131"/>
      <c r="AT122" s="131"/>
      <c r="AU122" s="131"/>
      <c r="AV122" s="131"/>
      <c r="AW122" s="131"/>
      <c r="AX122" s="131"/>
      <c r="AY122" s="131"/>
      <c r="AZ122" s="131"/>
    </row>
    <row r="123" spans="1:52">
      <c r="A123" s="216" t="str">
        <f>IF(D123="","",VLOOKUP(G123,códigosORL!$H:$J,3,FALSE))</f>
        <v/>
      </c>
      <c r="B123" s="131"/>
      <c r="C123" s="258"/>
      <c r="D123" s="131"/>
      <c r="E123" s="131"/>
      <c r="F123" s="247"/>
      <c r="G123" s="131"/>
      <c r="H123" s="131"/>
      <c r="I123" s="131"/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  <c r="AA123" s="245"/>
      <c r="AB123" s="131"/>
      <c r="AC123" s="131"/>
      <c r="AD123" s="131"/>
      <c r="AE123" s="131"/>
      <c r="AF123" s="131"/>
      <c r="AG123" s="131"/>
      <c r="AH123" s="131"/>
      <c r="AI123" s="131"/>
      <c r="AJ123" s="131"/>
      <c r="AK123" s="131"/>
      <c r="AL123" s="131"/>
      <c r="AM123" s="131"/>
      <c r="AN123" s="131"/>
      <c r="AO123" s="131"/>
      <c r="AP123" s="131"/>
      <c r="AQ123" s="131"/>
      <c r="AR123" s="131"/>
      <c r="AS123" s="131"/>
      <c r="AT123" s="131"/>
      <c r="AU123" s="131"/>
      <c r="AV123" s="131"/>
      <c r="AW123" s="131"/>
      <c r="AX123" s="131"/>
      <c r="AY123" s="131"/>
      <c r="AZ123" s="131"/>
    </row>
    <row r="124" spans="1:52">
      <c r="A124" s="216" t="str">
        <f>IF(D124="","",VLOOKUP(G124,códigosORL!$H:$J,3,FALSE))</f>
        <v/>
      </c>
      <c r="B124" s="131"/>
      <c r="C124" s="258"/>
      <c r="D124" s="131"/>
      <c r="E124" s="131"/>
      <c r="F124" s="247"/>
      <c r="G124" s="131"/>
      <c r="H124" s="131"/>
      <c r="I124" s="131"/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  <c r="V124" s="131"/>
      <c r="W124" s="131"/>
      <c r="X124" s="131"/>
      <c r="Y124" s="131"/>
      <c r="Z124" s="131"/>
      <c r="AA124" s="245"/>
      <c r="AB124" s="131"/>
      <c r="AC124" s="131"/>
      <c r="AD124" s="131"/>
      <c r="AE124" s="131"/>
      <c r="AF124" s="131"/>
      <c r="AG124" s="131"/>
      <c r="AH124" s="131"/>
      <c r="AI124" s="131"/>
      <c r="AJ124" s="131"/>
      <c r="AK124" s="131"/>
      <c r="AL124" s="131"/>
      <c r="AM124" s="131"/>
      <c r="AN124" s="131"/>
      <c r="AO124" s="131"/>
      <c r="AP124" s="131"/>
      <c r="AQ124" s="131"/>
      <c r="AR124" s="131"/>
      <c r="AS124" s="131"/>
      <c r="AT124" s="131"/>
      <c r="AU124" s="131"/>
      <c r="AV124" s="131"/>
      <c r="AW124" s="131"/>
      <c r="AX124" s="131"/>
      <c r="AY124" s="131"/>
      <c r="AZ124" s="131"/>
    </row>
    <row r="125" spans="1:52">
      <c r="A125" s="216" t="str">
        <f>IF(D125="","",VLOOKUP(G125,códigosORL!$H:$J,3,FALSE))</f>
        <v/>
      </c>
      <c r="B125" s="131"/>
      <c r="C125" s="258"/>
      <c r="D125" s="131"/>
      <c r="E125" s="131"/>
      <c r="F125" s="247"/>
      <c r="G125" s="131"/>
      <c r="H125" s="131"/>
      <c r="I125" s="131"/>
      <c r="J125" s="131"/>
      <c r="K125" s="131"/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  <c r="V125" s="131"/>
      <c r="W125" s="131"/>
      <c r="X125" s="131"/>
      <c r="Y125" s="131"/>
      <c r="Z125" s="131"/>
      <c r="AA125" s="245"/>
      <c r="AB125" s="131"/>
      <c r="AC125" s="131"/>
      <c r="AD125" s="131"/>
      <c r="AE125" s="131"/>
      <c r="AF125" s="131"/>
      <c r="AG125" s="131"/>
      <c r="AH125" s="131"/>
      <c r="AI125" s="131"/>
      <c r="AJ125" s="131"/>
      <c r="AK125" s="131"/>
      <c r="AL125" s="131"/>
      <c r="AM125" s="131"/>
      <c r="AN125" s="131"/>
      <c r="AO125" s="131"/>
      <c r="AP125" s="131"/>
      <c r="AQ125" s="131"/>
      <c r="AR125" s="131"/>
      <c r="AS125" s="131"/>
      <c r="AT125" s="131"/>
      <c r="AU125" s="131"/>
      <c r="AV125" s="131"/>
      <c r="AW125" s="131"/>
      <c r="AX125" s="131"/>
      <c r="AY125" s="131"/>
      <c r="AZ125" s="131"/>
    </row>
    <row r="126" spans="1:52">
      <c r="A126" s="216" t="str">
        <f>IF(D126="","",VLOOKUP(G126,códigosORL!$H:$J,3,FALSE))</f>
        <v/>
      </c>
      <c r="B126" s="131"/>
      <c r="C126" s="258"/>
      <c r="D126" s="131"/>
      <c r="E126" s="131"/>
      <c r="F126" s="247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  <c r="AA126" s="245"/>
      <c r="AB126" s="131"/>
      <c r="AC126" s="131"/>
      <c r="AD126" s="131"/>
      <c r="AE126" s="131"/>
      <c r="AF126" s="131"/>
      <c r="AG126" s="131"/>
      <c r="AH126" s="131"/>
      <c r="AI126" s="131"/>
      <c r="AJ126" s="131"/>
      <c r="AK126" s="131"/>
      <c r="AL126" s="131"/>
      <c r="AM126" s="131"/>
      <c r="AN126" s="131"/>
      <c r="AO126" s="131"/>
      <c r="AP126" s="131"/>
      <c r="AQ126" s="131"/>
      <c r="AR126" s="131"/>
      <c r="AS126" s="131"/>
      <c r="AT126" s="131"/>
      <c r="AU126" s="131"/>
      <c r="AV126" s="131"/>
      <c r="AW126" s="131"/>
      <c r="AX126" s="131"/>
      <c r="AY126" s="131"/>
      <c r="AZ126" s="131"/>
    </row>
    <row r="127" spans="1:52">
      <c r="A127" s="216" t="str">
        <f>IF(D127="","",VLOOKUP(G127,códigosORL!$H:$J,3,FALSE))</f>
        <v/>
      </c>
      <c r="B127" s="131"/>
      <c r="C127" s="258"/>
      <c r="D127" s="131"/>
      <c r="E127" s="131"/>
      <c r="F127" s="247"/>
      <c r="G127" s="131"/>
      <c r="H127" s="131"/>
      <c r="I127" s="131"/>
      <c r="J127" s="131"/>
      <c r="K127" s="131"/>
      <c r="L127" s="131"/>
      <c r="M127" s="131"/>
      <c r="N127" s="131"/>
      <c r="O127" s="131"/>
      <c r="P127" s="131"/>
      <c r="Q127" s="131"/>
      <c r="R127" s="131"/>
      <c r="S127" s="131"/>
      <c r="T127" s="131"/>
      <c r="U127" s="131"/>
      <c r="V127" s="131"/>
      <c r="W127" s="131"/>
      <c r="X127" s="131"/>
      <c r="Y127" s="131"/>
      <c r="Z127" s="131"/>
      <c r="AA127" s="245"/>
      <c r="AB127" s="131"/>
      <c r="AC127" s="131"/>
      <c r="AD127" s="131"/>
      <c r="AE127" s="131"/>
      <c r="AF127" s="131"/>
      <c r="AG127" s="131"/>
      <c r="AH127" s="131"/>
      <c r="AI127" s="131"/>
      <c r="AJ127" s="131"/>
      <c r="AK127" s="131"/>
      <c r="AL127" s="131"/>
      <c r="AM127" s="131"/>
      <c r="AN127" s="131"/>
      <c r="AO127" s="131"/>
      <c r="AP127" s="131"/>
      <c r="AQ127" s="131"/>
      <c r="AR127" s="131"/>
      <c r="AS127" s="131"/>
      <c r="AT127" s="131"/>
      <c r="AU127" s="131"/>
      <c r="AV127" s="131"/>
      <c r="AW127" s="131"/>
      <c r="AX127" s="131"/>
      <c r="AY127" s="131"/>
      <c r="AZ127" s="131"/>
    </row>
    <row r="128" spans="1:52">
      <c r="A128" s="216" t="str">
        <f>IF(D128="","",VLOOKUP(G128,códigosORL!$H:$J,3,FALSE))</f>
        <v/>
      </c>
      <c r="B128" s="131"/>
      <c r="C128" s="258"/>
      <c r="D128" s="131"/>
      <c r="E128" s="131"/>
      <c r="F128" s="247"/>
      <c r="G128" s="131"/>
      <c r="H128" s="131"/>
      <c r="I128" s="131"/>
      <c r="J128" s="131"/>
      <c r="K128" s="131"/>
      <c r="L128" s="131"/>
      <c r="M128" s="131"/>
      <c r="N128" s="131"/>
      <c r="O128" s="131"/>
      <c r="P128" s="131"/>
      <c r="Q128" s="131"/>
      <c r="R128" s="131"/>
      <c r="S128" s="131"/>
      <c r="T128" s="131"/>
      <c r="U128" s="131"/>
      <c r="V128" s="131"/>
      <c r="W128" s="131"/>
      <c r="X128" s="131"/>
      <c r="Y128" s="131"/>
      <c r="Z128" s="131"/>
      <c r="AA128" s="245"/>
      <c r="AB128" s="131"/>
      <c r="AC128" s="131"/>
      <c r="AD128" s="131"/>
      <c r="AE128" s="131"/>
      <c r="AF128" s="131"/>
      <c r="AG128" s="131"/>
      <c r="AH128" s="131"/>
      <c r="AI128" s="131"/>
      <c r="AJ128" s="131"/>
      <c r="AK128" s="131"/>
      <c r="AL128" s="131"/>
      <c r="AM128" s="131"/>
      <c r="AN128" s="131"/>
      <c r="AO128" s="131"/>
      <c r="AP128" s="131"/>
      <c r="AQ128" s="131"/>
      <c r="AR128" s="131"/>
      <c r="AS128" s="131"/>
      <c r="AT128" s="131"/>
      <c r="AU128" s="131"/>
      <c r="AV128" s="131"/>
      <c r="AW128" s="131"/>
      <c r="AX128" s="131"/>
      <c r="AY128" s="131"/>
      <c r="AZ128" s="131"/>
    </row>
    <row r="129" spans="1:52">
      <c r="A129" s="216" t="str">
        <f>IF(D129="","",VLOOKUP(G129,códigosORL!$H:$J,3,FALSE))</f>
        <v/>
      </c>
      <c r="B129" s="131"/>
      <c r="C129" s="258"/>
      <c r="D129" s="131"/>
      <c r="E129" s="131"/>
      <c r="F129" s="247"/>
      <c r="G129" s="131"/>
      <c r="H129" s="131"/>
      <c r="I129" s="131"/>
      <c r="J129" s="131"/>
      <c r="K129" s="131"/>
      <c r="L129" s="131"/>
      <c r="M129" s="131"/>
      <c r="N129" s="131"/>
      <c r="O129" s="131"/>
      <c r="P129" s="131"/>
      <c r="Q129" s="131"/>
      <c r="R129" s="131"/>
      <c r="S129" s="131"/>
      <c r="T129" s="131"/>
      <c r="U129" s="131"/>
      <c r="V129" s="131"/>
      <c r="W129" s="131"/>
      <c r="X129" s="131"/>
      <c r="Y129" s="131"/>
      <c r="Z129" s="131"/>
      <c r="AA129" s="245"/>
      <c r="AB129" s="131"/>
      <c r="AC129" s="131"/>
      <c r="AD129" s="131"/>
      <c r="AE129" s="131"/>
      <c r="AF129" s="131"/>
      <c r="AG129" s="131"/>
      <c r="AH129" s="131"/>
      <c r="AI129" s="131"/>
      <c r="AJ129" s="131"/>
      <c r="AK129" s="131"/>
      <c r="AL129" s="131"/>
      <c r="AM129" s="131"/>
      <c r="AN129" s="131"/>
      <c r="AO129" s="131"/>
      <c r="AP129" s="131"/>
      <c r="AQ129" s="131"/>
      <c r="AR129" s="131"/>
      <c r="AS129" s="131"/>
      <c r="AT129" s="131"/>
      <c r="AU129" s="131"/>
      <c r="AV129" s="131"/>
      <c r="AW129" s="131"/>
      <c r="AX129" s="131"/>
      <c r="AY129" s="131"/>
      <c r="AZ129" s="131"/>
    </row>
    <row r="130" spans="1:52">
      <c r="A130" s="216" t="str">
        <f>IF(D130="","",VLOOKUP(G130,códigosORL!$H:$J,3,FALSE))</f>
        <v/>
      </c>
      <c r="B130" s="131"/>
      <c r="C130" s="258"/>
      <c r="D130" s="131"/>
      <c r="E130" s="131"/>
      <c r="F130" s="247"/>
      <c r="G130" s="131"/>
      <c r="H130" s="131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  <c r="AA130" s="245"/>
      <c r="AB130" s="131"/>
      <c r="AC130" s="131"/>
      <c r="AD130" s="131"/>
      <c r="AE130" s="131"/>
      <c r="AF130" s="131"/>
      <c r="AG130" s="131"/>
      <c r="AH130" s="131"/>
      <c r="AI130" s="131"/>
      <c r="AJ130" s="131"/>
      <c r="AK130" s="131"/>
      <c r="AL130" s="131"/>
      <c r="AM130" s="131"/>
      <c r="AN130" s="131"/>
      <c r="AO130" s="131"/>
      <c r="AP130" s="131"/>
      <c r="AQ130" s="131"/>
      <c r="AR130" s="131"/>
      <c r="AS130" s="131"/>
      <c r="AT130" s="131"/>
      <c r="AU130" s="131"/>
      <c r="AV130" s="131"/>
      <c r="AW130" s="131"/>
      <c r="AX130" s="131"/>
      <c r="AY130" s="131"/>
      <c r="AZ130" s="131"/>
    </row>
    <row r="131" spans="1:52">
      <c r="A131" s="216" t="str">
        <f>IF(D131="","",VLOOKUP(G131,códigosORL!$H:$J,3,FALSE))</f>
        <v/>
      </c>
      <c r="B131" s="131"/>
      <c r="C131" s="258"/>
      <c r="D131" s="131"/>
      <c r="E131" s="131"/>
      <c r="F131" s="247"/>
      <c r="G131" s="131"/>
      <c r="H131" s="131"/>
      <c r="I131" s="131"/>
      <c r="J131" s="131"/>
      <c r="K131" s="131"/>
      <c r="L131" s="131"/>
      <c r="M131" s="131"/>
      <c r="N131" s="131"/>
      <c r="O131" s="131"/>
      <c r="P131" s="131"/>
      <c r="Q131" s="131"/>
      <c r="R131" s="131"/>
      <c r="S131" s="131"/>
      <c r="T131" s="131"/>
      <c r="U131" s="131"/>
      <c r="V131" s="131"/>
      <c r="W131" s="131"/>
      <c r="X131" s="131"/>
      <c r="Y131" s="131"/>
      <c r="Z131" s="131"/>
      <c r="AA131" s="245"/>
      <c r="AB131" s="131"/>
      <c r="AC131" s="131"/>
      <c r="AD131" s="131"/>
      <c r="AE131" s="131"/>
      <c r="AF131" s="131"/>
      <c r="AG131" s="131"/>
      <c r="AH131" s="131"/>
      <c r="AI131" s="131"/>
      <c r="AJ131" s="131"/>
      <c r="AK131" s="131"/>
      <c r="AL131" s="131"/>
      <c r="AM131" s="131"/>
      <c r="AN131" s="131"/>
      <c r="AO131" s="131"/>
      <c r="AP131" s="131"/>
      <c r="AQ131" s="131"/>
      <c r="AR131" s="131"/>
      <c r="AS131" s="131"/>
      <c r="AT131" s="131"/>
      <c r="AU131" s="131"/>
      <c r="AV131" s="131"/>
      <c r="AW131" s="131"/>
      <c r="AX131" s="131"/>
      <c r="AY131" s="131"/>
      <c r="AZ131" s="131"/>
    </row>
    <row r="132" spans="1:52">
      <c r="A132" s="216" t="str">
        <f>IF(D132="","",VLOOKUP(G132,códigosORL!$H:$J,3,FALSE))</f>
        <v/>
      </c>
      <c r="B132" s="131"/>
      <c r="C132" s="258"/>
      <c r="D132" s="131"/>
      <c r="E132" s="131"/>
      <c r="F132" s="247"/>
      <c r="G132" s="131"/>
      <c r="H132" s="131"/>
      <c r="I132" s="131"/>
      <c r="J132" s="131"/>
      <c r="K132" s="131"/>
      <c r="L132" s="131"/>
      <c r="M132" s="131"/>
      <c r="N132" s="131"/>
      <c r="O132" s="131"/>
      <c r="P132" s="131"/>
      <c r="Q132" s="131"/>
      <c r="R132" s="131"/>
      <c r="S132" s="131"/>
      <c r="T132" s="131"/>
      <c r="U132" s="131"/>
      <c r="V132" s="131"/>
      <c r="W132" s="131"/>
      <c r="X132" s="131"/>
      <c r="Y132" s="131"/>
      <c r="Z132" s="131"/>
      <c r="AA132" s="245"/>
      <c r="AB132" s="131"/>
      <c r="AC132" s="131"/>
      <c r="AD132" s="131"/>
      <c r="AE132" s="131"/>
      <c r="AF132" s="131"/>
      <c r="AG132" s="131"/>
      <c r="AH132" s="131"/>
      <c r="AI132" s="131"/>
      <c r="AJ132" s="131"/>
      <c r="AK132" s="131"/>
      <c r="AL132" s="131"/>
      <c r="AM132" s="131"/>
      <c r="AN132" s="131"/>
      <c r="AO132" s="131"/>
      <c r="AP132" s="131"/>
      <c r="AQ132" s="131"/>
      <c r="AR132" s="131"/>
      <c r="AS132" s="131"/>
      <c r="AT132" s="131"/>
      <c r="AU132" s="131"/>
      <c r="AV132" s="131"/>
      <c r="AW132" s="131"/>
      <c r="AX132" s="131"/>
      <c r="AY132" s="131"/>
      <c r="AZ132" s="131"/>
    </row>
    <row r="133" spans="1:52">
      <c r="A133" s="216" t="str">
        <f>IF(D133="","",VLOOKUP(G133,códigosORL!$H:$J,3,FALSE))</f>
        <v/>
      </c>
      <c r="B133" s="131"/>
      <c r="C133" s="258"/>
      <c r="D133" s="131"/>
      <c r="E133" s="131"/>
      <c r="F133" s="247"/>
      <c r="G133" s="131"/>
      <c r="H133" s="131"/>
      <c r="I133" s="131"/>
      <c r="J133" s="131"/>
      <c r="K133" s="131"/>
      <c r="L133" s="131"/>
      <c r="M133" s="131"/>
      <c r="N133" s="131"/>
      <c r="O133" s="131"/>
      <c r="P133" s="131"/>
      <c r="Q133" s="131"/>
      <c r="R133" s="131"/>
      <c r="S133" s="131"/>
      <c r="T133" s="131"/>
      <c r="U133" s="131"/>
      <c r="V133" s="131"/>
      <c r="W133" s="131"/>
      <c r="X133" s="131"/>
      <c r="Y133" s="131"/>
      <c r="Z133" s="131"/>
      <c r="AA133" s="245"/>
      <c r="AB133" s="131"/>
      <c r="AC133" s="131"/>
      <c r="AD133" s="131"/>
      <c r="AE133" s="131"/>
      <c r="AF133" s="131"/>
      <c r="AG133" s="131"/>
      <c r="AH133" s="131"/>
      <c r="AI133" s="131"/>
      <c r="AJ133" s="131"/>
      <c r="AK133" s="131"/>
      <c r="AL133" s="131"/>
      <c r="AM133" s="131"/>
      <c r="AN133" s="131"/>
      <c r="AO133" s="131"/>
      <c r="AP133" s="131"/>
      <c r="AQ133" s="131"/>
      <c r="AR133" s="131"/>
      <c r="AS133" s="131"/>
      <c r="AT133" s="131"/>
      <c r="AU133" s="131"/>
      <c r="AV133" s="131"/>
      <c r="AW133" s="131"/>
      <c r="AX133" s="131"/>
      <c r="AY133" s="131"/>
      <c r="AZ133" s="131"/>
    </row>
    <row r="134" spans="1:52">
      <c r="A134" s="216" t="str">
        <f>IF(D134="","",VLOOKUP(G134,códigosORL!$H:$J,3,FALSE))</f>
        <v/>
      </c>
      <c r="B134" s="131"/>
      <c r="C134" s="258"/>
      <c r="D134" s="131"/>
      <c r="E134" s="131"/>
      <c r="F134" s="247"/>
      <c r="G134" s="131"/>
      <c r="H134" s="131"/>
      <c r="I134" s="131"/>
      <c r="J134" s="131"/>
      <c r="K134" s="131"/>
      <c r="L134" s="131"/>
      <c r="M134" s="131"/>
      <c r="N134" s="131"/>
      <c r="O134" s="131"/>
      <c r="P134" s="131"/>
      <c r="Q134" s="131"/>
      <c r="R134" s="131"/>
      <c r="S134" s="131"/>
      <c r="T134" s="131"/>
      <c r="U134" s="131"/>
      <c r="V134" s="131"/>
      <c r="W134" s="131"/>
      <c r="X134" s="131"/>
      <c r="Y134" s="131"/>
      <c r="Z134" s="131"/>
      <c r="AA134" s="245"/>
      <c r="AB134" s="131"/>
      <c r="AC134" s="131"/>
      <c r="AD134" s="131"/>
      <c r="AE134" s="131"/>
      <c r="AF134" s="131"/>
      <c r="AG134" s="131"/>
      <c r="AH134" s="131"/>
      <c r="AI134" s="131"/>
      <c r="AJ134" s="131"/>
      <c r="AK134" s="131"/>
      <c r="AL134" s="131"/>
      <c r="AM134" s="131"/>
      <c r="AN134" s="131"/>
      <c r="AO134" s="131"/>
      <c r="AP134" s="131"/>
      <c r="AQ134" s="131"/>
      <c r="AR134" s="131"/>
      <c r="AS134" s="131"/>
      <c r="AT134" s="131"/>
      <c r="AU134" s="131"/>
      <c r="AV134" s="131"/>
      <c r="AW134" s="131"/>
      <c r="AX134" s="131"/>
      <c r="AY134" s="131"/>
      <c r="AZ134" s="131"/>
    </row>
    <row r="135" spans="1:52">
      <c r="A135" s="216" t="str">
        <f>IF(D135="","",VLOOKUP(G135,códigosORL!$H:$J,3,FALSE))</f>
        <v/>
      </c>
      <c r="B135" s="131"/>
      <c r="C135" s="258"/>
      <c r="D135" s="131"/>
      <c r="E135" s="131"/>
      <c r="F135" s="247"/>
      <c r="G135" s="131"/>
      <c r="H135" s="131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  <c r="AA135" s="245"/>
      <c r="AB135" s="131"/>
      <c r="AC135" s="131"/>
      <c r="AD135" s="131"/>
      <c r="AE135" s="131"/>
      <c r="AF135" s="131"/>
      <c r="AG135" s="131"/>
      <c r="AH135" s="131"/>
      <c r="AI135" s="131"/>
      <c r="AJ135" s="131"/>
      <c r="AK135" s="131"/>
      <c r="AL135" s="131"/>
      <c r="AM135" s="131"/>
      <c r="AN135" s="131"/>
      <c r="AO135" s="131"/>
      <c r="AP135" s="131"/>
      <c r="AQ135" s="131"/>
      <c r="AR135" s="131"/>
      <c r="AS135" s="131"/>
      <c r="AT135" s="131"/>
      <c r="AU135" s="131"/>
      <c r="AV135" s="131"/>
      <c r="AW135" s="131"/>
      <c r="AX135" s="131"/>
      <c r="AY135" s="131"/>
      <c r="AZ135" s="131"/>
    </row>
    <row r="136" spans="1:52">
      <c r="A136" s="216" t="str">
        <f>IF(D136="","",VLOOKUP(G136,códigosORL!$H:$J,3,FALSE))</f>
        <v/>
      </c>
      <c r="B136" s="131"/>
      <c r="C136" s="258"/>
      <c r="D136" s="131"/>
      <c r="E136" s="131"/>
      <c r="F136" s="247"/>
      <c r="G136" s="131"/>
      <c r="H136" s="131"/>
      <c r="I136" s="131"/>
      <c r="J136" s="131"/>
      <c r="K136" s="131"/>
      <c r="L136" s="131"/>
      <c r="M136" s="131"/>
      <c r="N136" s="131"/>
      <c r="O136" s="131"/>
      <c r="P136" s="131"/>
      <c r="Q136" s="131"/>
      <c r="R136" s="131"/>
      <c r="S136" s="131"/>
      <c r="T136" s="131"/>
      <c r="U136" s="131"/>
      <c r="V136" s="131"/>
      <c r="W136" s="131"/>
      <c r="X136" s="131"/>
      <c r="Y136" s="131"/>
      <c r="Z136" s="131"/>
      <c r="AA136" s="245"/>
      <c r="AB136" s="131"/>
      <c r="AC136" s="131"/>
      <c r="AD136" s="131"/>
      <c r="AE136" s="131"/>
      <c r="AF136" s="131"/>
      <c r="AG136" s="131"/>
      <c r="AH136" s="131"/>
      <c r="AI136" s="131"/>
      <c r="AJ136" s="131"/>
      <c r="AK136" s="131"/>
      <c r="AL136" s="131"/>
      <c r="AM136" s="131"/>
      <c r="AN136" s="131"/>
      <c r="AO136" s="131"/>
      <c r="AP136" s="131"/>
      <c r="AQ136" s="131"/>
      <c r="AR136" s="131"/>
      <c r="AS136" s="131"/>
      <c r="AT136" s="131"/>
      <c r="AU136" s="131"/>
      <c r="AV136" s="131"/>
      <c r="AW136" s="131"/>
      <c r="AX136" s="131"/>
      <c r="AY136" s="131"/>
      <c r="AZ136" s="131"/>
    </row>
    <row r="137" spans="1:52">
      <c r="A137" s="216" t="str">
        <f>IF(D137="","",VLOOKUP(G137,códigosORL!$H:$J,3,FALSE))</f>
        <v/>
      </c>
      <c r="B137" s="131"/>
      <c r="C137" s="258"/>
      <c r="D137" s="131"/>
      <c r="E137" s="131"/>
      <c r="F137" s="247"/>
      <c r="G137" s="131"/>
      <c r="H137" s="131"/>
      <c r="I137" s="131"/>
      <c r="J137" s="131"/>
      <c r="K137" s="131"/>
      <c r="L137" s="131"/>
      <c r="M137" s="131"/>
      <c r="N137" s="131"/>
      <c r="O137" s="131"/>
      <c r="P137" s="131"/>
      <c r="Q137" s="131"/>
      <c r="R137" s="131"/>
      <c r="S137" s="131"/>
      <c r="T137" s="131"/>
      <c r="U137" s="131"/>
      <c r="V137" s="131"/>
      <c r="W137" s="131"/>
      <c r="X137" s="131"/>
      <c r="Y137" s="131"/>
      <c r="Z137" s="131"/>
      <c r="AA137" s="245"/>
      <c r="AB137" s="131"/>
      <c r="AC137" s="131"/>
      <c r="AD137" s="131"/>
      <c r="AE137" s="131"/>
      <c r="AF137" s="131"/>
      <c r="AG137" s="131"/>
      <c r="AH137" s="131"/>
      <c r="AI137" s="131"/>
      <c r="AJ137" s="131"/>
      <c r="AK137" s="131"/>
      <c r="AL137" s="131"/>
      <c r="AM137" s="131"/>
      <c r="AN137" s="131"/>
      <c r="AO137" s="131"/>
      <c r="AP137" s="131"/>
      <c r="AQ137" s="131"/>
      <c r="AR137" s="131"/>
      <c r="AS137" s="131"/>
      <c r="AT137" s="131"/>
      <c r="AU137" s="131"/>
      <c r="AV137" s="131"/>
      <c r="AW137" s="131"/>
      <c r="AX137" s="131"/>
      <c r="AY137" s="131"/>
      <c r="AZ137" s="131"/>
    </row>
    <row r="138" spans="1:52">
      <c r="A138" s="216" t="str">
        <f>IF(D138="","",VLOOKUP(G138,códigosORL!$H:$J,3,FALSE))</f>
        <v/>
      </c>
      <c r="B138" s="131"/>
      <c r="C138" s="258"/>
      <c r="D138" s="131"/>
      <c r="E138" s="131"/>
      <c r="F138" s="247"/>
      <c r="G138" s="131"/>
      <c r="H138" s="131"/>
      <c r="I138" s="131"/>
      <c r="J138" s="131"/>
      <c r="K138" s="131"/>
      <c r="L138" s="131"/>
      <c r="M138" s="131"/>
      <c r="N138" s="131"/>
      <c r="O138" s="131"/>
      <c r="P138" s="131"/>
      <c r="Q138" s="131"/>
      <c r="R138" s="131"/>
      <c r="S138" s="131"/>
      <c r="T138" s="131"/>
      <c r="U138" s="131"/>
      <c r="V138" s="131"/>
      <c r="W138" s="131"/>
      <c r="X138" s="131"/>
      <c r="Y138" s="131"/>
      <c r="Z138" s="131"/>
      <c r="AA138" s="245"/>
      <c r="AB138" s="131"/>
      <c r="AC138" s="131"/>
      <c r="AD138" s="131"/>
      <c r="AE138" s="131"/>
      <c r="AF138" s="131"/>
      <c r="AG138" s="131"/>
      <c r="AH138" s="131"/>
      <c r="AI138" s="131"/>
      <c r="AJ138" s="131"/>
      <c r="AK138" s="131"/>
      <c r="AL138" s="131"/>
      <c r="AM138" s="131"/>
      <c r="AN138" s="131"/>
      <c r="AO138" s="131"/>
      <c r="AP138" s="131"/>
      <c r="AQ138" s="131"/>
      <c r="AR138" s="131"/>
      <c r="AS138" s="131"/>
      <c r="AT138" s="131"/>
      <c r="AU138" s="131"/>
      <c r="AV138" s="131"/>
      <c r="AW138" s="131"/>
      <c r="AX138" s="131"/>
      <c r="AY138" s="131"/>
      <c r="AZ138" s="131"/>
    </row>
    <row r="139" spans="1:52">
      <c r="A139" s="216" t="str">
        <f>IF(D139="","",VLOOKUP(G139,códigosORL!$H:$J,3,FALSE))</f>
        <v/>
      </c>
      <c r="B139" s="131"/>
      <c r="C139" s="258"/>
      <c r="D139" s="131"/>
      <c r="E139" s="131"/>
      <c r="F139" s="247"/>
      <c r="G139" s="131"/>
      <c r="H139" s="131"/>
      <c r="I139" s="131"/>
      <c r="J139" s="131"/>
      <c r="K139" s="131"/>
      <c r="L139" s="131"/>
      <c r="M139" s="131"/>
      <c r="N139" s="131"/>
      <c r="O139" s="131"/>
      <c r="P139" s="131"/>
      <c r="Q139" s="131"/>
      <c r="R139" s="131"/>
      <c r="S139" s="131"/>
      <c r="T139" s="131"/>
      <c r="U139" s="131"/>
      <c r="V139" s="131"/>
      <c r="W139" s="131"/>
      <c r="X139" s="131"/>
      <c r="Y139" s="131"/>
      <c r="Z139" s="131"/>
      <c r="AA139" s="245"/>
      <c r="AB139" s="131"/>
      <c r="AC139" s="131"/>
      <c r="AD139" s="131"/>
      <c r="AE139" s="131"/>
      <c r="AF139" s="131"/>
      <c r="AG139" s="131"/>
      <c r="AH139" s="131"/>
      <c r="AI139" s="131"/>
      <c r="AJ139" s="131"/>
      <c r="AK139" s="131"/>
      <c r="AL139" s="131"/>
      <c r="AM139" s="131"/>
      <c r="AN139" s="131"/>
      <c r="AO139" s="131"/>
      <c r="AP139" s="131"/>
      <c r="AQ139" s="131"/>
      <c r="AR139" s="131"/>
      <c r="AS139" s="131"/>
      <c r="AT139" s="131"/>
      <c r="AU139" s="131"/>
      <c r="AV139" s="131"/>
      <c r="AW139" s="131"/>
      <c r="AX139" s="131"/>
      <c r="AY139" s="131"/>
      <c r="AZ139" s="131"/>
    </row>
    <row r="140" spans="1:52">
      <c r="A140" s="216" t="str">
        <f>IF(D140="","",VLOOKUP(G140,códigosORL!$H:$J,3,FALSE))</f>
        <v/>
      </c>
      <c r="B140" s="131"/>
      <c r="C140" s="258"/>
      <c r="D140" s="131"/>
      <c r="E140" s="131"/>
      <c r="F140" s="247"/>
      <c r="G140" s="131"/>
      <c r="H140" s="131"/>
      <c r="I140" s="131"/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  <c r="AA140" s="245"/>
      <c r="AB140" s="131"/>
      <c r="AC140" s="131"/>
      <c r="AD140" s="131"/>
      <c r="AE140" s="131"/>
      <c r="AF140" s="131"/>
      <c r="AG140" s="131"/>
      <c r="AH140" s="131"/>
      <c r="AI140" s="131"/>
      <c r="AJ140" s="131"/>
      <c r="AK140" s="131"/>
      <c r="AL140" s="131"/>
      <c r="AM140" s="131"/>
      <c r="AN140" s="131"/>
      <c r="AO140" s="131"/>
      <c r="AP140" s="131"/>
      <c r="AQ140" s="131"/>
      <c r="AR140" s="131"/>
      <c r="AS140" s="131"/>
      <c r="AT140" s="131"/>
      <c r="AU140" s="131"/>
      <c r="AV140" s="131"/>
      <c r="AW140" s="131"/>
      <c r="AX140" s="131"/>
      <c r="AY140" s="131"/>
      <c r="AZ140" s="131"/>
    </row>
    <row r="141" spans="1:52">
      <c r="A141" s="216" t="str">
        <f>IF(D141="","",VLOOKUP(G141,códigosORL!$H:$J,3,FALSE))</f>
        <v/>
      </c>
      <c r="B141" s="131"/>
      <c r="C141" s="258"/>
      <c r="D141" s="131"/>
      <c r="E141" s="131"/>
      <c r="F141" s="247"/>
      <c r="G141" s="131"/>
      <c r="H141" s="131"/>
      <c r="I141" s="131"/>
      <c r="J141" s="131"/>
      <c r="K141" s="131"/>
      <c r="L141" s="131"/>
      <c r="M141" s="131"/>
      <c r="N141" s="131"/>
      <c r="O141" s="131"/>
      <c r="P141" s="131"/>
      <c r="Q141" s="131"/>
      <c r="R141" s="131"/>
      <c r="S141" s="131"/>
      <c r="T141" s="131"/>
      <c r="U141" s="131"/>
      <c r="V141" s="131"/>
      <c r="W141" s="131"/>
      <c r="X141" s="131"/>
      <c r="Y141" s="131"/>
      <c r="Z141" s="131"/>
      <c r="AA141" s="245"/>
      <c r="AB141" s="131"/>
      <c r="AC141" s="131"/>
      <c r="AD141" s="131"/>
      <c r="AE141" s="131"/>
      <c r="AF141" s="131"/>
      <c r="AG141" s="131"/>
      <c r="AH141" s="131"/>
      <c r="AI141" s="131"/>
      <c r="AJ141" s="131"/>
      <c r="AK141" s="131"/>
      <c r="AL141" s="131"/>
      <c r="AM141" s="131"/>
      <c r="AN141" s="131"/>
      <c r="AO141" s="131"/>
      <c r="AP141" s="131"/>
      <c r="AQ141" s="131"/>
      <c r="AR141" s="131"/>
      <c r="AS141" s="131"/>
      <c r="AT141" s="131"/>
      <c r="AU141" s="131"/>
      <c r="AV141" s="131"/>
      <c r="AW141" s="131"/>
      <c r="AX141" s="131"/>
      <c r="AY141" s="131"/>
      <c r="AZ141" s="131"/>
    </row>
    <row r="142" spans="1:52">
      <c r="A142" s="216" t="str">
        <f>IF(D142="","",VLOOKUP(G142,códigosORL!$H:$J,3,FALSE))</f>
        <v/>
      </c>
      <c r="B142" s="131"/>
      <c r="C142" s="258"/>
      <c r="D142" s="131"/>
      <c r="E142" s="131"/>
      <c r="F142" s="247"/>
      <c r="G142" s="131"/>
      <c r="H142" s="131"/>
      <c r="I142" s="131"/>
      <c r="J142" s="131"/>
      <c r="K142" s="131"/>
      <c r="L142" s="131"/>
      <c r="M142" s="131"/>
      <c r="N142" s="131"/>
      <c r="O142" s="131"/>
      <c r="P142" s="131"/>
      <c r="Q142" s="131"/>
      <c r="R142" s="131"/>
      <c r="S142" s="131"/>
      <c r="T142" s="131"/>
      <c r="U142" s="131"/>
      <c r="V142" s="131"/>
      <c r="W142" s="131"/>
      <c r="X142" s="131"/>
      <c r="Y142" s="131"/>
      <c r="Z142" s="131"/>
      <c r="AA142" s="245"/>
      <c r="AB142" s="131"/>
      <c r="AC142" s="131"/>
      <c r="AD142" s="131"/>
      <c r="AE142" s="131"/>
      <c r="AF142" s="131"/>
      <c r="AG142" s="131"/>
      <c r="AH142" s="131"/>
      <c r="AI142" s="131"/>
      <c r="AJ142" s="131"/>
      <c r="AK142" s="131"/>
      <c r="AL142" s="131"/>
      <c r="AM142" s="131"/>
      <c r="AN142" s="131"/>
      <c r="AO142" s="131"/>
      <c r="AP142" s="131"/>
      <c r="AQ142" s="131"/>
      <c r="AR142" s="131"/>
      <c r="AS142" s="131"/>
      <c r="AT142" s="131"/>
      <c r="AU142" s="131"/>
      <c r="AV142" s="131"/>
      <c r="AW142" s="131"/>
      <c r="AX142" s="131"/>
      <c r="AY142" s="131"/>
      <c r="AZ142" s="131"/>
    </row>
    <row r="143" spans="1:52">
      <c r="A143" s="216" t="str">
        <f>IF(D143="","",VLOOKUP(G143,códigosORL!$H:$J,3,FALSE))</f>
        <v/>
      </c>
      <c r="B143" s="131"/>
      <c r="C143" s="258"/>
      <c r="D143" s="131"/>
      <c r="E143" s="131"/>
      <c r="F143" s="247"/>
      <c r="G143" s="131"/>
      <c r="H143" s="131"/>
      <c r="I143" s="131"/>
      <c r="J143" s="131"/>
      <c r="K143" s="131"/>
      <c r="L143" s="131"/>
      <c r="M143" s="131"/>
      <c r="N143" s="131"/>
      <c r="O143" s="131"/>
      <c r="P143" s="131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  <c r="AA143" s="245"/>
      <c r="AB143" s="131"/>
      <c r="AC143" s="131"/>
      <c r="AD143" s="131"/>
      <c r="AE143" s="131"/>
      <c r="AF143" s="131"/>
      <c r="AG143" s="131"/>
      <c r="AH143" s="131"/>
      <c r="AI143" s="131"/>
      <c r="AJ143" s="131"/>
      <c r="AK143" s="131"/>
      <c r="AL143" s="131"/>
      <c r="AM143" s="131"/>
      <c r="AN143" s="131"/>
      <c r="AO143" s="131"/>
      <c r="AP143" s="131"/>
      <c r="AQ143" s="131"/>
      <c r="AR143" s="131"/>
      <c r="AS143" s="131"/>
      <c r="AT143" s="131"/>
      <c r="AU143" s="131"/>
      <c r="AV143" s="131"/>
      <c r="AW143" s="131"/>
      <c r="AX143" s="131"/>
      <c r="AY143" s="131"/>
      <c r="AZ143" s="131"/>
    </row>
    <row r="144" spans="1:52">
      <c r="A144" s="216" t="str">
        <f>IF(D144="","",VLOOKUP(G144,códigosORL!$H:$J,3,FALSE))</f>
        <v/>
      </c>
      <c r="B144" s="131"/>
      <c r="C144" s="258"/>
      <c r="D144" s="131"/>
      <c r="E144" s="131"/>
      <c r="F144" s="247"/>
      <c r="G144" s="131"/>
      <c r="H144" s="131"/>
      <c r="I144" s="131"/>
      <c r="J144" s="131"/>
      <c r="K144" s="131"/>
      <c r="L144" s="131"/>
      <c r="M144" s="131"/>
      <c r="N144" s="131"/>
      <c r="O144" s="131"/>
      <c r="P144" s="131"/>
      <c r="Q144" s="131"/>
      <c r="R144" s="131"/>
      <c r="S144" s="131"/>
      <c r="T144" s="131"/>
      <c r="U144" s="131"/>
      <c r="V144" s="131"/>
      <c r="W144" s="131"/>
      <c r="X144" s="131"/>
      <c r="Y144" s="131"/>
      <c r="Z144" s="131"/>
      <c r="AA144" s="245"/>
      <c r="AB144" s="131"/>
      <c r="AC144" s="131"/>
      <c r="AD144" s="131"/>
      <c r="AE144" s="131"/>
      <c r="AF144" s="131"/>
      <c r="AG144" s="131"/>
      <c r="AH144" s="131"/>
      <c r="AI144" s="131"/>
      <c r="AJ144" s="131"/>
      <c r="AK144" s="131"/>
      <c r="AL144" s="131"/>
      <c r="AM144" s="131"/>
      <c r="AN144" s="131"/>
      <c r="AO144" s="131"/>
      <c r="AP144" s="131"/>
      <c r="AQ144" s="131"/>
      <c r="AR144" s="131"/>
      <c r="AS144" s="131"/>
      <c r="AT144" s="131"/>
      <c r="AU144" s="131"/>
      <c r="AV144" s="131"/>
      <c r="AW144" s="131"/>
      <c r="AX144" s="131"/>
      <c r="AY144" s="131"/>
      <c r="AZ144" s="131"/>
    </row>
    <row r="145" spans="1:52">
      <c r="A145" s="216" t="str">
        <f>IF(D145="","",VLOOKUP(G145,códigosORL!$H:$J,3,FALSE))</f>
        <v/>
      </c>
      <c r="B145" s="131"/>
      <c r="C145" s="258"/>
      <c r="D145" s="131"/>
      <c r="E145" s="131"/>
      <c r="F145" s="247"/>
      <c r="G145" s="131"/>
      <c r="H145" s="131"/>
      <c r="I145" s="131"/>
      <c r="J145" s="131"/>
      <c r="K145" s="131"/>
      <c r="L145" s="131"/>
      <c r="M145" s="131"/>
      <c r="N145" s="131"/>
      <c r="O145" s="131"/>
      <c r="P145" s="131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  <c r="AA145" s="245"/>
      <c r="AB145" s="131"/>
      <c r="AC145" s="131"/>
      <c r="AD145" s="131"/>
      <c r="AE145" s="131"/>
      <c r="AF145" s="131"/>
      <c r="AG145" s="131"/>
      <c r="AH145" s="131"/>
      <c r="AI145" s="131"/>
      <c r="AJ145" s="131"/>
      <c r="AK145" s="131"/>
      <c r="AL145" s="131"/>
      <c r="AM145" s="131"/>
      <c r="AN145" s="131"/>
      <c r="AO145" s="131"/>
      <c r="AP145" s="131"/>
      <c r="AQ145" s="131"/>
      <c r="AR145" s="131"/>
      <c r="AS145" s="131"/>
      <c r="AT145" s="131"/>
      <c r="AU145" s="131"/>
      <c r="AV145" s="131"/>
      <c r="AW145" s="131"/>
      <c r="AX145" s="131"/>
      <c r="AY145" s="131"/>
      <c r="AZ145" s="131"/>
    </row>
    <row r="146" spans="1:52">
      <c r="A146" s="216" t="str">
        <f>IF(D146="","",VLOOKUP(G146,códigosORL!$H:$J,3,FALSE))</f>
        <v/>
      </c>
      <c r="B146" s="131"/>
      <c r="C146" s="258"/>
      <c r="D146" s="131"/>
      <c r="E146" s="131"/>
      <c r="F146" s="247"/>
      <c r="G146" s="131"/>
      <c r="H146" s="131"/>
      <c r="I146" s="131"/>
      <c r="J146" s="131"/>
      <c r="K146" s="131"/>
      <c r="L146" s="131"/>
      <c r="M146" s="131"/>
      <c r="N146" s="131"/>
      <c r="O146" s="131"/>
      <c r="P146" s="131"/>
      <c r="Q146" s="131"/>
      <c r="R146" s="131"/>
      <c r="S146" s="131"/>
      <c r="T146" s="131"/>
      <c r="U146" s="131"/>
      <c r="V146" s="131"/>
      <c r="W146" s="131"/>
      <c r="X146" s="131"/>
      <c r="Y146" s="131"/>
      <c r="Z146" s="131"/>
      <c r="AA146" s="245"/>
      <c r="AB146" s="131"/>
      <c r="AC146" s="131"/>
      <c r="AD146" s="131"/>
      <c r="AE146" s="131"/>
      <c r="AF146" s="131"/>
      <c r="AG146" s="131"/>
      <c r="AH146" s="131"/>
      <c r="AI146" s="131"/>
      <c r="AJ146" s="131"/>
      <c r="AK146" s="131"/>
      <c r="AL146" s="131"/>
      <c r="AM146" s="131"/>
      <c r="AN146" s="131"/>
      <c r="AO146" s="131"/>
      <c r="AP146" s="131"/>
      <c r="AQ146" s="131"/>
      <c r="AR146" s="131"/>
      <c r="AS146" s="131"/>
      <c r="AT146" s="131"/>
      <c r="AU146" s="131"/>
      <c r="AV146" s="131"/>
      <c r="AW146" s="131"/>
      <c r="AX146" s="131"/>
      <c r="AY146" s="131"/>
      <c r="AZ146" s="131"/>
    </row>
    <row r="147" spans="1:52">
      <c r="A147" s="216" t="str">
        <f>IF(D147="","",VLOOKUP(G147,códigosORL!$H:$J,3,FALSE))</f>
        <v/>
      </c>
      <c r="B147" s="131"/>
      <c r="C147" s="258"/>
      <c r="D147" s="131"/>
      <c r="E147" s="131"/>
      <c r="F147" s="247"/>
      <c r="G147" s="131"/>
      <c r="H147" s="131"/>
      <c r="I147" s="131"/>
      <c r="J147" s="131"/>
      <c r="K147" s="131"/>
      <c r="L147" s="131"/>
      <c r="M147" s="131"/>
      <c r="N147" s="131"/>
      <c r="O147" s="131"/>
      <c r="P147" s="131"/>
      <c r="Q147" s="131"/>
      <c r="R147" s="131"/>
      <c r="S147" s="131"/>
      <c r="T147" s="131"/>
      <c r="U147" s="131"/>
      <c r="V147" s="131"/>
      <c r="W147" s="131"/>
      <c r="X147" s="131"/>
      <c r="Y147" s="131"/>
      <c r="Z147" s="131"/>
      <c r="AA147" s="245"/>
      <c r="AB147" s="131"/>
      <c r="AC147" s="131"/>
      <c r="AD147" s="131"/>
      <c r="AE147" s="131"/>
      <c r="AF147" s="131"/>
      <c r="AG147" s="131"/>
      <c r="AH147" s="131"/>
      <c r="AI147" s="131"/>
      <c r="AJ147" s="131"/>
      <c r="AK147" s="131"/>
      <c r="AL147" s="131"/>
      <c r="AM147" s="131"/>
      <c r="AN147" s="131"/>
      <c r="AO147" s="131"/>
      <c r="AP147" s="131"/>
      <c r="AQ147" s="131"/>
      <c r="AR147" s="131"/>
      <c r="AS147" s="131"/>
      <c r="AT147" s="131"/>
      <c r="AU147" s="131"/>
      <c r="AV147" s="131"/>
      <c r="AW147" s="131"/>
      <c r="AX147" s="131"/>
      <c r="AY147" s="131"/>
      <c r="AZ147" s="131"/>
    </row>
    <row r="148" spans="1:52">
      <c r="A148" s="216" t="str">
        <f>IF(D148="","",VLOOKUP(G148,códigosORL!$H:$J,3,FALSE))</f>
        <v/>
      </c>
      <c r="B148" s="131"/>
      <c r="C148" s="258"/>
      <c r="D148" s="131"/>
      <c r="E148" s="131"/>
      <c r="F148" s="247"/>
      <c r="G148" s="131"/>
      <c r="H148" s="131"/>
      <c r="I148" s="131"/>
      <c r="J148" s="131"/>
      <c r="K148" s="131"/>
      <c r="L148" s="131"/>
      <c r="M148" s="131"/>
      <c r="N148" s="131"/>
      <c r="O148" s="131"/>
      <c r="P148" s="131"/>
      <c r="Q148" s="131"/>
      <c r="R148" s="131"/>
      <c r="S148" s="131"/>
      <c r="T148" s="131"/>
      <c r="U148" s="131"/>
      <c r="V148" s="131"/>
      <c r="W148" s="131"/>
      <c r="X148" s="131"/>
      <c r="Y148" s="131"/>
      <c r="Z148" s="131"/>
      <c r="AA148" s="245"/>
      <c r="AB148" s="131"/>
      <c r="AC148" s="131"/>
      <c r="AD148" s="131"/>
      <c r="AE148" s="131"/>
      <c r="AF148" s="131"/>
      <c r="AG148" s="131"/>
      <c r="AH148" s="131"/>
      <c r="AI148" s="131"/>
      <c r="AJ148" s="131"/>
      <c r="AK148" s="131"/>
      <c r="AL148" s="131"/>
      <c r="AM148" s="131"/>
      <c r="AN148" s="131"/>
      <c r="AO148" s="131"/>
      <c r="AP148" s="131"/>
      <c r="AQ148" s="131"/>
      <c r="AR148" s="131"/>
      <c r="AS148" s="131"/>
      <c r="AT148" s="131"/>
      <c r="AU148" s="131"/>
      <c r="AV148" s="131"/>
      <c r="AW148" s="131"/>
      <c r="AX148" s="131"/>
      <c r="AY148" s="131"/>
      <c r="AZ148" s="131"/>
    </row>
    <row r="149" spans="1:52">
      <c r="A149" s="216" t="str">
        <f>IF(D149="","",VLOOKUP(G149,códigosORL!$H:$J,3,FALSE))</f>
        <v/>
      </c>
      <c r="B149" s="131"/>
      <c r="C149" s="258"/>
      <c r="D149" s="131"/>
      <c r="E149" s="131"/>
      <c r="F149" s="247"/>
      <c r="G149" s="131"/>
      <c r="H149" s="131"/>
      <c r="I149" s="131"/>
      <c r="J149" s="131"/>
      <c r="K149" s="131"/>
      <c r="L149" s="131"/>
      <c r="M149" s="131"/>
      <c r="N149" s="131"/>
      <c r="O149" s="131"/>
      <c r="P149" s="131"/>
      <c r="Q149" s="131"/>
      <c r="R149" s="131"/>
      <c r="S149" s="131"/>
      <c r="T149" s="131"/>
      <c r="U149" s="131"/>
      <c r="V149" s="131"/>
      <c r="W149" s="131"/>
      <c r="X149" s="131"/>
      <c r="Y149" s="131"/>
      <c r="Z149" s="131"/>
      <c r="AA149" s="245"/>
      <c r="AB149" s="131"/>
      <c r="AC149" s="131"/>
      <c r="AD149" s="131"/>
      <c r="AE149" s="131"/>
      <c r="AF149" s="131"/>
      <c r="AG149" s="131"/>
      <c r="AH149" s="131"/>
      <c r="AI149" s="131"/>
      <c r="AJ149" s="131"/>
      <c r="AK149" s="131"/>
      <c r="AL149" s="131"/>
      <c r="AM149" s="131"/>
      <c r="AN149" s="131"/>
      <c r="AO149" s="131"/>
      <c r="AP149" s="131"/>
      <c r="AQ149" s="131"/>
      <c r="AR149" s="131"/>
      <c r="AS149" s="131"/>
      <c r="AT149" s="131"/>
      <c r="AU149" s="131"/>
      <c r="AV149" s="131"/>
      <c r="AW149" s="131"/>
      <c r="AX149" s="131"/>
      <c r="AY149" s="131"/>
      <c r="AZ149" s="131"/>
    </row>
    <row r="150" spans="1:52">
      <c r="A150" s="216" t="str">
        <f>IF(D150="","",VLOOKUP(G150,códigosORL!$H:$J,3,FALSE))</f>
        <v/>
      </c>
      <c r="B150" s="131"/>
      <c r="C150" s="258"/>
      <c r="D150" s="131"/>
      <c r="E150" s="131"/>
      <c r="F150" s="247"/>
      <c r="G150" s="131"/>
      <c r="H150" s="131"/>
      <c r="I150" s="131"/>
      <c r="J150" s="131"/>
      <c r="K150" s="131"/>
      <c r="L150" s="131"/>
      <c r="M150" s="131"/>
      <c r="N150" s="131"/>
      <c r="O150" s="131"/>
      <c r="P150" s="131"/>
      <c r="Q150" s="131"/>
      <c r="R150" s="131"/>
      <c r="S150" s="131"/>
      <c r="T150" s="131"/>
      <c r="U150" s="131"/>
      <c r="V150" s="131"/>
      <c r="W150" s="131"/>
      <c r="X150" s="131"/>
      <c r="Y150" s="131"/>
      <c r="Z150" s="131"/>
      <c r="AA150" s="245"/>
      <c r="AB150" s="131"/>
      <c r="AC150" s="131"/>
      <c r="AD150" s="131"/>
      <c r="AE150" s="131"/>
      <c r="AF150" s="131"/>
      <c r="AG150" s="131"/>
      <c r="AH150" s="131"/>
      <c r="AI150" s="131"/>
      <c r="AJ150" s="131"/>
      <c r="AK150" s="131"/>
      <c r="AL150" s="131"/>
      <c r="AM150" s="131"/>
      <c r="AN150" s="131"/>
      <c r="AO150" s="131"/>
      <c r="AP150" s="131"/>
      <c r="AQ150" s="131"/>
      <c r="AR150" s="131"/>
      <c r="AS150" s="131"/>
      <c r="AT150" s="131"/>
      <c r="AU150" s="131"/>
      <c r="AV150" s="131"/>
      <c r="AW150" s="131"/>
      <c r="AX150" s="131"/>
      <c r="AY150" s="131"/>
      <c r="AZ150" s="131"/>
    </row>
    <row r="151" spans="1:52">
      <c r="A151" s="216" t="str">
        <f>IF(D151="","",VLOOKUP(G151,códigosORL!$H:$J,3,FALSE))</f>
        <v/>
      </c>
      <c r="B151" s="131"/>
      <c r="C151" s="258"/>
      <c r="D151" s="131"/>
      <c r="E151" s="131"/>
      <c r="F151" s="247"/>
      <c r="G151" s="131"/>
      <c r="H151" s="131"/>
      <c r="I151" s="131"/>
      <c r="J151" s="131"/>
      <c r="K151" s="131"/>
      <c r="L151" s="131"/>
      <c r="M151" s="131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  <c r="AA151" s="245"/>
      <c r="AB151" s="131"/>
      <c r="AC151" s="131"/>
      <c r="AD151" s="131"/>
      <c r="AE151" s="131"/>
      <c r="AF151" s="131"/>
      <c r="AG151" s="131"/>
      <c r="AH151" s="131"/>
      <c r="AI151" s="131"/>
      <c r="AJ151" s="131"/>
      <c r="AK151" s="131"/>
      <c r="AL151" s="131"/>
      <c r="AM151" s="131"/>
      <c r="AN151" s="131"/>
      <c r="AO151" s="131"/>
      <c r="AP151" s="131"/>
      <c r="AQ151" s="131"/>
      <c r="AR151" s="131"/>
      <c r="AS151" s="131"/>
      <c r="AT151" s="131"/>
      <c r="AU151" s="131"/>
      <c r="AV151" s="131"/>
      <c r="AW151" s="131"/>
      <c r="AX151" s="131"/>
      <c r="AY151" s="131"/>
      <c r="AZ151" s="131"/>
    </row>
    <row r="152" spans="1:52">
      <c r="A152" s="216" t="str">
        <f>IF(D152="","",VLOOKUP(G152,códigosORL!$H:$J,3,FALSE))</f>
        <v/>
      </c>
      <c r="B152" s="131"/>
      <c r="C152" s="258"/>
      <c r="D152" s="131"/>
      <c r="E152" s="131"/>
      <c r="F152" s="247"/>
      <c r="G152" s="131"/>
      <c r="H152" s="131"/>
      <c r="I152" s="131"/>
      <c r="J152" s="131"/>
      <c r="K152" s="131"/>
      <c r="L152" s="131"/>
      <c r="M152" s="131"/>
      <c r="N152" s="131"/>
      <c r="O152" s="131"/>
      <c r="P152" s="131"/>
      <c r="Q152" s="131"/>
      <c r="R152" s="131"/>
      <c r="S152" s="131"/>
      <c r="T152" s="131"/>
      <c r="U152" s="131"/>
      <c r="V152" s="131"/>
      <c r="W152" s="131"/>
      <c r="X152" s="131"/>
      <c r="Y152" s="131"/>
      <c r="Z152" s="131"/>
      <c r="AA152" s="245"/>
      <c r="AB152" s="131"/>
      <c r="AC152" s="131"/>
      <c r="AD152" s="131"/>
      <c r="AE152" s="131"/>
      <c r="AF152" s="131"/>
      <c r="AG152" s="131"/>
      <c r="AH152" s="131"/>
      <c r="AI152" s="131"/>
      <c r="AJ152" s="131"/>
      <c r="AK152" s="131"/>
      <c r="AL152" s="131"/>
      <c r="AM152" s="131"/>
      <c r="AN152" s="131"/>
      <c r="AO152" s="131"/>
      <c r="AP152" s="131"/>
      <c r="AQ152" s="131"/>
      <c r="AR152" s="131"/>
      <c r="AS152" s="131"/>
      <c r="AT152" s="131"/>
      <c r="AU152" s="131"/>
      <c r="AV152" s="131"/>
      <c r="AW152" s="131"/>
      <c r="AX152" s="131"/>
      <c r="AY152" s="131"/>
      <c r="AZ152" s="131"/>
    </row>
    <row r="153" spans="1:52">
      <c r="A153" s="216" t="str">
        <f>IF(D153="","",VLOOKUP(G153,códigosORL!$H:$J,3,FALSE))</f>
        <v/>
      </c>
      <c r="B153" s="131"/>
      <c r="C153" s="258"/>
      <c r="D153" s="131"/>
      <c r="E153" s="131"/>
      <c r="F153" s="247"/>
      <c r="G153" s="131"/>
      <c r="H153" s="131"/>
      <c r="I153" s="131"/>
      <c r="J153" s="131"/>
      <c r="K153" s="131"/>
      <c r="L153" s="131"/>
      <c r="M153" s="131"/>
      <c r="N153" s="131"/>
      <c r="O153" s="131"/>
      <c r="P153" s="131"/>
      <c r="Q153" s="131"/>
      <c r="R153" s="131"/>
      <c r="S153" s="131"/>
      <c r="T153" s="131"/>
      <c r="U153" s="131"/>
      <c r="V153" s="131"/>
      <c r="W153" s="131"/>
      <c r="X153" s="131"/>
      <c r="Y153" s="131"/>
      <c r="Z153" s="131"/>
      <c r="AA153" s="245"/>
      <c r="AB153" s="131"/>
      <c r="AC153" s="131"/>
      <c r="AD153" s="131"/>
      <c r="AE153" s="131"/>
      <c r="AF153" s="131"/>
      <c r="AG153" s="131"/>
      <c r="AH153" s="131"/>
      <c r="AI153" s="131"/>
      <c r="AJ153" s="131"/>
      <c r="AK153" s="131"/>
      <c r="AL153" s="131"/>
      <c r="AM153" s="131"/>
      <c r="AN153" s="131"/>
      <c r="AO153" s="131"/>
      <c r="AP153" s="131"/>
      <c r="AQ153" s="131"/>
      <c r="AR153" s="131"/>
      <c r="AS153" s="131"/>
      <c r="AT153" s="131"/>
      <c r="AU153" s="131"/>
      <c r="AV153" s="131"/>
      <c r="AW153" s="131"/>
      <c r="AX153" s="131"/>
      <c r="AY153" s="131"/>
      <c r="AZ153" s="131"/>
    </row>
    <row r="154" spans="1:52">
      <c r="A154" s="216" t="str">
        <f>IF(D154="","",VLOOKUP(G154,códigosORL!$H:$J,3,FALSE))</f>
        <v/>
      </c>
      <c r="B154" s="131"/>
      <c r="C154" s="258"/>
      <c r="D154" s="131"/>
      <c r="E154" s="131"/>
      <c r="F154" s="247"/>
      <c r="G154" s="131"/>
      <c r="H154" s="131"/>
      <c r="I154" s="131"/>
      <c r="J154" s="131"/>
      <c r="K154" s="131"/>
      <c r="L154" s="131"/>
      <c r="M154" s="131"/>
      <c r="N154" s="131"/>
      <c r="O154" s="131"/>
      <c r="P154" s="131"/>
      <c r="Q154" s="131"/>
      <c r="R154" s="131"/>
      <c r="S154" s="131"/>
      <c r="T154" s="131"/>
      <c r="U154" s="131"/>
      <c r="V154" s="131"/>
      <c r="W154" s="131"/>
      <c r="X154" s="131"/>
      <c r="Y154" s="131"/>
      <c r="Z154" s="131"/>
      <c r="AA154" s="245"/>
      <c r="AB154" s="131"/>
      <c r="AC154" s="131"/>
      <c r="AD154" s="131"/>
      <c r="AE154" s="131"/>
      <c r="AF154" s="131"/>
      <c r="AG154" s="131"/>
      <c r="AH154" s="131"/>
      <c r="AI154" s="131"/>
      <c r="AJ154" s="131"/>
      <c r="AK154" s="131"/>
      <c r="AL154" s="131"/>
      <c r="AM154" s="131"/>
      <c r="AN154" s="131"/>
      <c r="AO154" s="131"/>
      <c r="AP154" s="131"/>
      <c r="AQ154" s="131"/>
      <c r="AR154" s="131"/>
      <c r="AS154" s="131"/>
      <c r="AT154" s="131"/>
      <c r="AU154" s="131"/>
      <c r="AV154" s="131"/>
      <c r="AW154" s="131"/>
      <c r="AX154" s="131"/>
      <c r="AY154" s="131"/>
      <c r="AZ154" s="131"/>
    </row>
    <row r="155" spans="1:52">
      <c r="A155" s="216" t="str">
        <f>IF(D155="","",VLOOKUP(G155,códigosORL!$H:$J,3,FALSE))</f>
        <v/>
      </c>
      <c r="B155" s="131"/>
      <c r="C155" s="258"/>
      <c r="D155" s="131"/>
      <c r="E155" s="131"/>
      <c r="F155" s="247"/>
      <c r="G155" s="131"/>
      <c r="H155" s="131"/>
      <c r="I155" s="131"/>
      <c r="J155" s="131"/>
      <c r="K155" s="131"/>
      <c r="L155" s="131"/>
      <c r="M155" s="131"/>
      <c r="N155" s="131"/>
      <c r="O155" s="131"/>
      <c r="P155" s="131"/>
      <c r="Q155" s="131"/>
      <c r="R155" s="131"/>
      <c r="S155" s="131"/>
      <c r="T155" s="131"/>
      <c r="U155" s="131"/>
      <c r="V155" s="131"/>
      <c r="W155" s="131"/>
      <c r="X155" s="131"/>
      <c r="Y155" s="131"/>
      <c r="Z155" s="131"/>
      <c r="AA155" s="245"/>
      <c r="AB155" s="131"/>
      <c r="AC155" s="131"/>
      <c r="AD155" s="131"/>
      <c r="AE155" s="131"/>
      <c r="AF155" s="131"/>
      <c r="AG155" s="131"/>
      <c r="AH155" s="131"/>
      <c r="AI155" s="131"/>
      <c r="AJ155" s="131"/>
      <c r="AK155" s="131"/>
      <c r="AL155" s="131"/>
      <c r="AM155" s="131"/>
      <c r="AN155" s="131"/>
      <c r="AO155" s="131"/>
      <c r="AP155" s="131"/>
      <c r="AQ155" s="131"/>
      <c r="AR155" s="131"/>
      <c r="AS155" s="131"/>
      <c r="AT155" s="131"/>
      <c r="AU155" s="131"/>
      <c r="AV155" s="131"/>
      <c r="AW155" s="131"/>
      <c r="AX155" s="131"/>
      <c r="AY155" s="131"/>
      <c r="AZ155" s="131"/>
    </row>
    <row r="156" spans="1:52">
      <c r="A156" s="216" t="str">
        <f>IF(D156="","",VLOOKUP(G156,códigosORL!$H:$J,3,FALSE))</f>
        <v/>
      </c>
      <c r="B156" s="131"/>
      <c r="C156" s="258"/>
      <c r="D156" s="131"/>
      <c r="E156" s="131"/>
      <c r="F156" s="247"/>
      <c r="G156" s="131"/>
      <c r="H156" s="131"/>
      <c r="I156" s="131"/>
      <c r="J156" s="131"/>
      <c r="K156" s="131"/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  <c r="AA156" s="245"/>
      <c r="AB156" s="131"/>
      <c r="AC156" s="131"/>
      <c r="AD156" s="131"/>
      <c r="AE156" s="131"/>
      <c r="AF156" s="131"/>
      <c r="AG156" s="131"/>
      <c r="AH156" s="131"/>
      <c r="AI156" s="131"/>
      <c r="AJ156" s="131"/>
      <c r="AK156" s="131"/>
      <c r="AL156" s="131"/>
      <c r="AM156" s="131"/>
      <c r="AN156" s="131"/>
      <c r="AO156" s="131"/>
      <c r="AP156" s="131"/>
      <c r="AQ156" s="131"/>
      <c r="AR156" s="131"/>
      <c r="AS156" s="131"/>
      <c r="AT156" s="131"/>
      <c r="AU156" s="131"/>
      <c r="AV156" s="131"/>
      <c r="AW156" s="131"/>
      <c r="AX156" s="131"/>
      <c r="AY156" s="131"/>
      <c r="AZ156" s="131"/>
    </row>
    <row r="157" spans="1:52">
      <c r="A157" s="216" t="str">
        <f>IF(D157="","",VLOOKUP(G157,códigosORL!$H:$J,3,FALSE))</f>
        <v/>
      </c>
      <c r="B157" s="131"/>
      <c r="C157" s="258"/>
      <c r="D157" s="131"/>
      <c r="E157" s="131"/>
      <c r="F157" s="247"/>
      <c r="G157" s="131"/>
      <c r="H157" s="131"/>
      <c r="I157" s="131"/>
      <c r="J157" s="131"/>
      <c r="K157" s="131"/>
      <c r="L157" s="131"/>
      <c r="M157" s="131"/>
      <c r="N157" s="131"/>
      <c r="O157" s="131"/>
      <c r="P157" s="131"/>
      <c r="Q157" s="131"/>
      <c r="R157" s="131"/>
      <c r="S157" s="131"/>
      <c r="T157" s="131"/>
      <c r="U157" s="131"/>
      <c r="V157" s="131"/>
      <c r="W157" s="131"/>
      <c r="X157" s="131"/>
      <c r="Y157" s="131"/>
      <c r="Z157" s="131"/>
      <c r="AA157" s="245"/>
      <c r="AB157" s="131"/>
      <c r="AC157" s="131"/>
      <c r="AD157" s="131"/>
      <c r="AE157" s="131"/>
      <c r="AF157" s="131"/>
      <c r="AG157" s="131"/>
      <c r="AH157" s="131"/>
      <c r="AI157" s="131"/>
      <c r="AJ157" s="131"/>
      <c r="AK157" s="131"/>
      <c r="AL157" s="131"/>
      <c r="AM157" s="131"/>
      <c r="AN157" s="131"/>
      <c r="AO157" s="131"/>
      <c r="AP157" s="131"/>
      <c r="AQ157" s="131"/>
      <c r="AR157" s="131"/>
      <c r="AS157" s="131"/>
      <c r="AT157" s="131"/>
      <c r="AU157" s="131"/>
      <c r="AV157" s="131"/>
      <c r="AW157" s="131"/>
      <c r="AX157" s="131"/>
      <c r="AY157" s="131"/>
      <c r="AZ157" s="131"/>
    </row>
    <row r="158" spans="1:52">
      <c r="A158" s="216" t="str">
        <f>IF(D158="","",VLOOKUP(G158,códigosORL!$H:$J,3,FALSE))</f>
        <v/>
      </c>
      <c r="B158" s="131"/>
      <c r="C158" s="258"/>
      <c r="D158" s="131"/>
      <c r="E158" s="131"/>
      <c r="F158" s="247"/>
      <c r="G158" s="131"/>
      <c r="H158" s="131"/>
      <c r="I158" s="131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31"/>
      <c r="V158" s="131"/>
      <c r="W158" s="131"/>
      <c r="X158" s="131"/>
      <c r="Y158" s="131"/>
      <c r="Z158" s="131"/>
      <c r="AA158" s="245"/>
      <c r="AB158" s="131"/>
      <c r="AC158" s="131"/>
      <c r="AD158" s="131"/>
      <c r="AE158" s="131"/>
      <c r="AF158" s="131"/>
      <c r="AG158" s="131"/>
      <c r="AH158" s="131"/>
      <c r="AI158" s="131"/>
      <c r="AJ158" s="131"/>
      <c r="AK158" s="131"/>
      <c r="AL158" s="131"/>
      <c r="AM158" s="131"/>
      <c r="AN158" s="131"/>
      <c r="AO158" s="131"/>
      <c r="AP158" s="131"/>
      <c r="AQ158" s="131"/>
      <c r="AR158" s="131"/>
      <c r="AS158" s="131"/>
      <c r="AT158" s="131"/>
      <c r="AU158" s="131"/>
      <c r="AV158" s="131"/>
      <c r="AW158" s="131"/>
      <c r="AX158" s="131"/>
      <c r="AY158" s="131"/>
      <c r="AZ158" s="131"/>
    </row>
    <row r="159" spans="1:52">
      <c r="A159" s="216" t="str">
        <f>IF(D159="","",VLOOKUP(G159,códigosORL!$H:$J,3,FALSE))</f>
        <v/>
      </c>
      <c r="B159" s="131"/>
      <c r="C159" s="258"/>
      <c r="D159" s="131"/>
      <c r="E159" s="131"/>
      <c r="F159" s="247"/>
      <c r="G159" s="131"/>
      <c r="H159" s="131"/>
      <c r="I159" s="131"/>
      <c r="J159" s="131"/>
      <c r="K159" s="131"/>
      <c r="L159" s="131"/>
      <c r="M159" s="131"/>
      <c r="N159" s="131"/>
      <c r="O159" s="131"/>
      <c r="P159" s="131"/>
      <c r="Q159" s="131"/>
      <c r="R159" s="131"/>
      <c r="S159" s="131"/>
      <c r="T159" s="131"/>
      <c r="U159" s="131"/>
      <c r="V159" s="131"/>
      <c r="W159" s="131"/>
      <c r="X159" s="131"/>
      <c r="Y159" s="131"/>
      <c r="Z159" s="131"/>
      <c r="AA159" s="245"/>
      <c r="AB159" s="131"/>
      <c r="AC159" s="131"/>
      <c r="AD159" s="131"/>
      <c r="AE159" s="131"/>
      <c r="AF159" s="131"/>
      <c r="AG159" s="131"/>
      <c r="AH159" s="131"/>
      <c r="AI159" s="131"/>
      <c r="AJ159" s="131"/>
      <c r="AK159" s="131"/>
      <c r="AL159" s="131"/>
      <c r="AM159" s="131"/>
      <c r="AN159" s="131"/>
      <c r="AO159" s="131"/>
      <c r="AP159" s="131"/>
      <c r="AQ159" s="131"/>
      <c r="AR159" s="131"/>
      <c r="AS159" s="131"/>
      <c r="AT159" s="131"/>
      <c r="AU159" s="131"/>
      <c r="AV159" s="131"/>
      <c r="AW159" s="131"/>
      <c r="AX159" s="131"/>
      <c r="AY159" s="131"/>
      <c r="AZ159" s="131"/>
    </row>
    <row r="160" spans="1:52">
      <c r="A160" s="216" t="str">
        <f>IF(D160="","",VLOOKUP(G160,códigosORL!$H:$J,3,FALSE))</f>
        <v/>
      </c>
      <c r="B160" s="131"/>
      <c r="C160" s="258"/>
      <c r="D160" s="131"/>
      <c r="E160" s="131"/>
      <c r="F160" s="247"/>
      <c r="G160" s="131"/>
      <c r="H160" s="131"/>
      <c r="I160" s="131"/>
      <c r="J160" s="131"/>
      <c r="K160" s="131"/>
      <c r="L160" s="131"/>
      <c r="M160" s="131"/>
      <c r="N160" s="131"/>
      <c r="O160" s="131"/>
      <c r="P160" s="131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  <c r="AA160" s="245"/>
      <c r="AB160" s="131"/>
      <c r="AC160" s="131"/>
      <c r="AD160" s="131"/>
      <c r="AE160" s="131"/>
      <c r="AF160" s="131"/>
      <c r="AG160" s="131"/>
      <c r="AH160" s="131"/>
      <c r="AI160" s="131"/>
      <c r="AJ160" s="131"/>
      <c r="AK160" s="131"/>
      <c r="AL160" s="131"/>
      <c r="AM160" s="131"/>
      <c r="AN160" s="131"/>
      <c r="AO160" s="131"/>
      <c r="AP160" s="131"/>
      <c r="AQ160" s="131"/>
      <c r="AR160" s="131"/>
      <c r="AS160" s="131"/>
      <c r="AT160" s="131"/>
      <c r="AU160" s="131"/>
      <c r="AV160" s="131"/>
      <c r="AW160" s="131"/>
      <c r="AX160" s="131"/>
      <c r="AY160" s="131"/>
      <c r="AZ160" s="131"/>
    </row>
    <row r="161" spans="1:52">
      <c r="A161" s="216" t="str">
        <f>IF(D161="","",VLOOKUP(G161,códigosORL!$H:$J,3,FALSE))</f>
        <v/>
      </c>
      <c r="B161" s="131"/>
      <c r="C161" s="258"/>
      <c r="D161" s="131"/>
      <c r="E161" s="131"/>
      <c r="F161" s="247"/>
      <c r="G161" s="131"/>
      <c r="H161" s="131"/>
      <c r="I161" s="131"/>
      <c r="J161" s="131"/>
      <c r="K161" s="131"/>
      <c r="L161" s="131"/>
      <c r="M161" s="131"/>
      <c r="N161" s="131"/>
      <c r="O161" s="131"/>
      <c r="P161" s="131"/>
      <c r="Q161" s="131"/>
      <c r="R161" s="131"/>
      <c r="S161" s="131"/>
      <c r="T161" s="131"/>
      <c r="U161" s="131"/>
      <c r="V161" s="131"/>
      <c r="W161" s="131"/>
      <c r="X161" s="131"/>
      <c r="Y161" s="131"/>
      <c r="Z161" s="131"/>
      <c r="AA161" s="245"/>
      <c r="AB161" s="131"/>
      <c r="AC161" s="131"/>
      <c r="AD161" s="131"/>
      <c r="AE161" s="131"/>
      <c r="AF161" s="131"/>
      <c r="AG161" s="131"/>
      <c r="AH161" s="131"/>
      <c r="AI161" s="131"/>
      <c r="AJ161" s="131"/>
      <c r="AK161" s="131"/>
      <c r="AL161" s="131"/>
      <c r="AM161" s="131"/>
      <c r="AN161" s="131"/>
      <c r="AO161" s="131"/>
      <c r="AP161" s="131"/>
      <c r="AQ161" s="131"/>
      <c r="AR161" s="131"/>
      <c r="AS161" s="131"/>
      <c r="AT161" s="131"/>
      <c r="AU161" s="131"/>
      <c r="AV161" s="131"/>
      <c r="AW161" s="131"/>
      <c r="AX161" s="131"/>
      <c r="AY161" s="131"/>
      <c r="AZ161" s="131"/>
    </row>
    <row r="162" spans="1:52">
      <c r="A162" s="216" t="str">
        <f>IF(D162="","",VLOOKUP(G162,códigosORL!$H:$J,3,FALSE))</f>
        <v/>
      </c>
      <c r="B162" s="131"/>
      <c r="C162" s="258"/>
      <c r="D162" s="131"/>
      <c r="E162" s="131"/>
      <c r="F162" s="247"/>
      <c r="G162" s="131"/>
      <c r="H162" s="131"/>
      <c r="I162" s="131"/>
      <c r="J162" s="131"/>
      <c r="K162" s="131"/>
      <c r="L162" s="131"/>
      <c r="M162" s="131"/>
      <c r="N162" s="131"/>
      <c r="O162" s="131"/>
      <c r="P162" s="131"/>
      <c r="Q162" s="131"/>
      <c r="R162" s="131"/>
      <c r="S162" s="131"/>
      <c r="T162" s="131"/>
      <c r="U162" s="131"/>
      <c r="V162" s="131"/>
      <c r="W162" s="131"/>
      <c r="X162" s="131"/>
      <c r="Y162" s="131"/>
      <c r="Z162" s="131"/>
      <c r="AA162" s="245"/>
      <c r="AB162" s="131"/>
      <c r="AC162" s="131"/>
      <c r="AD162" s="131"/>
      <c r="AE162" s="131"/>
      <c r="AF162" s="131"/>
      <c r="AG162" s="131"/>
      <c r="AH162" s="131"/>
      <c r="AI162" s="131"/>
      <c r="AJ162" s="131"/>
      <c r="AK162" s="131"/>
      <c r="AL162" s="131"/>
      <c r="AM162" s="131"/>
      <c r="AN162" s="131"/>
      <c r="AO162" s="131"/>
      <c r="AP162" s="131"/>
      <c r="AQ162" s="131"/>
      <c r="AR162" s="131"/>
      <c r="AS162" s="131"/>
      <c r="AT162" s="131"/>
      <c r="AU162" s="131"/>
      <c r="AV162" s="131"/>
      <c r="AW162" s="131"/>
      <c r="AX162" s="131"/>
      <c r="AY162" s="131"/>
      <c r="AZ162" s="131"/>
    </row>
    <row r="163" spans="1:52">
      <c r="A163" s="216" t="str">
        <f>IF(D163="","",VLOOKUP(G163,códigosORL!$H:$J,3,FALSE))</f>
        <v/>
      </c>
      <c r="B163" s="131"/>
      <c r="C163" s="258"/>
      <c r="D163" s="131"/>
      <c r="E163" s="131"/>
      <c r="F163" s="247"/>
      <c r="G163" s="131"/>
      <c r="H163" s="131"/>
      <c r="I163" s="131"/>
      <c r="J163" s="131"/>
      <c r="K163" s="131"/>
      <c r="L163" s="131"/>
      <c r="M163" s="131"/>
      <c r="N163" s="131"/>
      <c r="O163" s="131"/>
      <c r="P163" s="131"/>
      <c r="Q163" s="131"/>
      <c r="R163" s="131"/>
      <c r="S163" s="131"/>
      <c r="T163" s="131"/>
      <c r="U163" s="131"/>
      <c r="V163" s="131"/>
      <c r="W163" s="131"/>
      <c r="X163" s="131"/>
      <c r="Y163" s="131"/>
      <c r="Z163" s="131"/>
      <c r="AA163" s="245"/>
      <c r="AB163" s="131"/>
      <c r="AC163" s="131"/>
      <c r="AD163" s="131"/>
      <c r="AE163" s="131"/>
      <c r="AF163" s="131"/>
      <c r="AG163" s="131"/>
      <c r="AH163" s="131"/>
      <c r="AI163" s="131"/>
      <c r="AJ163" s="131"/>
      <c r="AK163" s="131"/>
      <c r="AL163" s="131"/>
      <c r="AM163" s="131"/>
      <c r="AN163" s="131"/>
      <c r="AO163" s="131"/>
      <c r="AP163" s="131"/>
      <c r="AQ163" s="131"/>
      <c r="AR163" s="131"/>
      <c r="AS163" s="131"/>
      <c r="AT163" s="131"/>
      <c r="AU163" s="131"/>
      <c r="AV163" s="131"/>
      <c r="AW163" s="131"/>
      <c r="AX163" s="131"/>
      <c r="AY163" s="131"/>
      <c r="AZ163" s="131"/>
    </row>
    <row r="164" spans="1:52">
      <c r="A164" s="216" t="str">
        <f>IF(D164="","",VLOOKUP(G164,códigosORL!$H:$J,3,FALSE))</f>
        <v/>
      </c>
      <c r="B164" s="131"/>
      <c r="C164" s="258"/>
      <c r="D164" s="131"/>
      <c r="E164" s="131"/>
      <c r="F164" s="247"/>
      <c r="G164" s="131"/>
      <c r="H164" s="131"/>
      <c r="I164" s="131"/>
      <c r="J164" s="131"/>
      <c r="K164" s="131"/>
      <c r="L164" s="131"/>
      <c r="M164" s="131"/>
      <c r="N164" s="131"/>
      <c r="O164" s="131"/>
      <c r="P164" s="131"/>
      <c r="Q164" s="131"/>
      <c r="R164" s="131"/>
      <c r="S164" s="131"/>
      <c r="T164" s="131"/>
      <c r="U164" s="131"/>
      <c r="V164" s="131"/>
      <c r="W164" s="131"/>
      <c r="X164" s="131"/>
      <c r="Y164" s="131"/>
      <c r="Z164" s="131"/>
      <c r="AA164" s="245"/>
      <c r="AB164" s="131"/>
      <c r="AC164" s="131"/>
      <c r="AD164" s="131"/>
      <c r="AE164" s="131"/>
      <c r="AF164" s="131"/>
      <c r="AG164" s="131"/>
      <c r="AH164" s="131"/>
      <c r="AI164" s="131"/>
      <c r="AJ164" s="131"/>
      <c r="AK164" s="131"/>
      <c r="AL164" s="131"/>
      <c r="AM164" s="131"/>
      <c r="AN164" s="131"/>
      <c r="AO164" s="131"/>
      <c r="AP164" s="131"/>
      <c r="AQ164" s="131"/>
      <c r="AR164" s="131"/>
      <c r="AS164" s="131"/>
      <c r="AT164" s="131"/>
      <c r="AU164" s="131"/>
      <c r="AV164" s="131"/>
      <c r="AW164" s="131"/>
      <c r="AX164" s="131"/>
      <c r="AY164" s="131"/>
      <c r="AZ164" s="131"/>
    </row>
    <row r="165" spans="1:52">
      <c r="A165" s="216" t="str">
        <f>IF(D165="","",VLOOKUP(G165,códigosORL!$H:$J,3,FALSE))</f>
        <v/>
      </c>
      <c r="B165" s="131"/>
      <c r="C165" s="258"/>
      <c r="D165" s="131"/>
      <c r="E165" s="131"/>
      <c r="F165" s="247"/>
      <c r="G165" s="131"/>
      <c r="H165" s="131"/>
      <c r="I165" s="131"/>
      <c r="J165" s="131"/>
      <c r="K165" s="131"/>
      <c r="L165" s="131"/>
      <c r="M165" s="131"/>
      <c r="N165" s="131"/>
      <c r="O165" s="131"/>
      <c r="P165" s="131"/>
      <c r="Q165" s="131"/>
      <c r="R165" s="131"/>
      <c r="S165" s="131"/>
      <c r="T165" s="131"/>
      <c r="U165" s="131"/>
      <c r="V165" s="131"/>
      <c r="W165" s="131"/>
      <c r="X165" s="131"/>
      <c r="Y165" s="131"/>
      <c r="Z165" s="131"/>
      <c r="AA165" s="245"/>
      <c r="AB165" s="131"/>
      <c r="AC165" s="131"/>
      <c r="AD165" s="131"/>
      <c r="AE165" s="131"/>
      <c r="AF165" s="131"/>
      <c r="AG165" s="131"/>
      <c r="AH165" s="131"/>
      <c r="AI165" s="131"/>
      <c r="AJ165" s="131"/>
      <c r="AK165" s="131"/>
      <c r="AL165" s="131"/>
      <c r="AM165" s="131"/>
      <c r="AN165" s="131"/>
      <c r="AO165" s="131"/>
      <c r="AP165" s="131"/>
      <c r="AQ165" s="131"/>
      <c r="AR165" s="131"/>
      <c r="AS165" s="131"/>
      <c r="AT165" s="131"/>
      <c r="AU165" s="131"/>
      <c r="AV165" s="131"/>
      <c r="AW165" s="131"/>
      <c r="AX165" s="131"/>
      <c r="AY165" s="131"/>
      <c r="AZ165" s="131"/>
    </row>
    <row r="166" spans="1:52">
      <c r="A166" s="216" t="str">
        <f>IF(D166="","",VLOOKUP(G166,códigosORL!$H:$J,3,FALSE))</f>
        <v/>
      </c>
      <c r="B166" s="131"/>
      <c r="C166" s="258"/>
      <c r="D166" s="131"/>
      <c r="E166" s="131"/>
      <c r="F166" s="247"/>
      <c r="G166" s="131"/>
      <c r="H166" s="131"/>
      <c r="I166" s="131"/>
      <c r="J166" s="131"/>
      <c r="K166" s="131"/>
      <c r="L166" s="131"/>
      <c r="M166" s="131"/>
      <c r="N166" s="131"/>
      <c r="O166" s="131"/>
      <c r="P166" s="131"/>
      <c r="Q166" s="131"/>
      <c r="R166" s="131"/>
      <c r="S166" s="131"/>
      <c r="T166" s="131"/>
      <c r="U166" s="131"/>
      <c r="V166" s="131"/>
      <c r="W166" s="131"/>
      <c r="X166" s="131"/>
      <c r="Y166" s="131"/>
      <c r="Z166" s="131"/>
      <c r="AA166" s="245"/>
      <c r="AB166" s="131"/>
      <c r="AC166" s="131"/>
      <c r="AD166" s="131"/>
      <c r="AE166" s="131"/>
      <c r="AF166" s="131"/>
      <c r="AG166" s="131"/>
      <c r="AH166" s="131"/>
      <c r="AI166" s="131"/>
      <c r="AJ166" s="131"/>
      <c r="AK166" s="131"/>
      <c r="AL166" s="131"/>
      <c r="AM166" s="131"/>
      <c r="AN166" s="131"/>
      <c r="AO166" s="131"/>
      <c r="AP166" s="131"/>
      <c r="AQ166" s="131"/>
      <c r="AR166" s="131"/>
      <c r="AS166" s="131"/>
      <c r="AT166" s="131"/>
      <c r="AU166" s="131"/>
      <c r="AV166" s="131"/>
      <c r="AW166" s="131"/>
      <c r="AX166" s="131"/>
      <c r="AY166" s="131"/>
      <c r="AZ166" s="131"/>
    </row>
    <row r="167" spans="1:52">
      <c r="A167" s="216" t="str">
        <f>IF(D167="","",VLOOKUP(G167,códigosORL!$H:$J,3,FALSE))</f>
        <v/>
      </c>
      <c r="B167" s="131"/>
      <c r="C167" s="258"/>
      <c r="D167" s="131"/>
      <c r="E167" s="131"/>
      <c r="F167" s="247"/>
      <c r="G167" s="131"/>
      <c r="H167" s="131"/>
      <c r="I167" s="131"/>
      <c r="J167" s="131"/>
      <c r="K167" s="131"/>
      <c r="L167" s="131"/>
      <c r="M167" s="131"/>
      <c r="N167" s="131"/>
      <c r="O167" s="131"/>
      <c r="P167" s="131"/>
      <c r="Q167" s="131"/>
      <c r="R167" s="131"/>
      <c r="S167" s="131"/>
      <c r="T167" s="131"/>
      <c r="U167" s="131"/>
      <c r="V167" s="131"/>
      <c r="W167" s="131"/>
      <c r="X167" s="131"/>
      <c r="Y167" s="131"/>
      <c r="Z167" s="131"/>
      <c r="AA167" s="245"/>
      <c r="AB167" s="131"/>
      <c r="AC167" s="131"/>
      <c r="AD167" s="131"/>
      <c r="AE167" s="131"/>
      <c r="AF167" s="131"/>
      <c r="AG167" s="131"/>
      <c r="AH167" s="131"/>
      <c r="AI167" s="131"/>
      <c r="AJ167" s="131"/>
      <c r="AK167" s="131"/>
      <c r="AL167" s="131"/>
      <c r="AM167" s="131"/>
      <c r="AN167" s="131"/>
      <c r="AO167" s="131"/>
      <c r="AP167" s="131"/>
      <c r="AQ167" s="131"/>
      <c r="AR167" s="131"/>
      <c r="AS167" s="131"/>
      <c r="AT167" s="131"/>
      <c r="AU167" s="131"/>
      <c r="AV167" s="131"/>
      <c r="AW167" s="131"/>
      <c r="AX167" s="131"/>
      <c r="AY167" s="131"/>
      <c r="AZ167" s="131"/>
    </row>
    <row r="168" spans="1:52">
      <c r="A168" s="216" t="str">
        <f>IF(D168="","",VLOOKUP(G168,códigosORL!$H:$J,3,FALSE))</f>
        <v/>
      </c>
      <c r="B168" s="131"/>
      <c r="C168" s="258"/>
      <c r="D168" s="131"/>
      <c r="E168" s="131"/>
      <c r="F168" s="247"/>
      <c r="G168" s="131"/>
      <c r="H168" s="131"/>
      <c r="I168" s="131"/>
      <c r="J168" s="131"/>
      <c r="K168" s="131"/>
      <c r="L168" s="131"/>
      <c r="M168" s="131"/>
      <c r="N168" s="131"/>
      <c r="O168" s="131"/>
      <c r="P168" s="131"/>
      <c r="Q168" s="131"/>
      <c r="R168" s="131"/>
      <c r="S168" s="131"/>
      <c r="T168" s="131"/>
      <c r="U168" s="131"/>
      <c r="V168" s="131"/>
      <c r="W168" s="131"/>
      <c r="X168" s="131"/>
      <c r="Y168" s="131"/>
      <c r="Z168" s="131"/>
      <c r="AA168" s="245"/>
      <c r="AB168" s="131"/>
      <c r="AC168" s="131"/>
      <c r="AD168" s="131"/>
      <c r="AE168" s="131"/>
      <c r="AF168" s="131"/>
      <c r="AG168" s="131"/>
      <c r="AH168" s="131"/>
      <c r="AI168" s="131"/>
      <c r="AJ168" s="131"/>
      <c r="AK168" s="131"/>
      <c r="AL168" s="131"/>
      <c r="AM168" s="131"/>
      <c r="AN168" s="131"/>
      <c r="AO168" s="131"/>
      <c r="AP168" s="131"/>
      <c r="AQ168" s="131"/>
      <c r="AR168" s="131"/>
      <c r="AS168" s="131"/>
      <c r="AT168" s="131"/>
      <c r="AU168" s="131"/>
      <c r="AV168" s="131"/>
      <c r="AW168" s="131"/>
      <c r="AX168" s="131"/>
      <c r="AY168" s="131"/>
      <c r="AZ168" s="131"/>
    </row>
    <row r="169" spans="1:52">
      <c r="A169" s="216" t="str">
        <f>IF(D169="","",VLOOKUP(G169,códigosORL!$H:$J,3,FALSE))</f>
        <v/>
      </c>
      <c r="B169" s="131"/>
      <c r="C169" s="258"/>
      <c r="D169" s="131"/>
      <c r="E169" s="131"/>
      <c r="F169" s="247"/>
      <c r="G169" s="131"/>
      <c r="H169" s="131"/>
      <c r="I169" s="131"/>
      <c r="J169" s="131"/>
      <c r="K169" s="131"/>
      <c r="L169" s="131"/>
      <c r="M169" s="131"/>
      <c r="N169" s="131"/>
      <c r="O169" s="131"/>
      <c r="P169" s="131"/>
      <c r="Q169" s="131"/>
      <c r="R169" s="131"/>
      <c r="S169" s="131"/>
      <c r="T169" s="131"/>
      <c r="U169" s="131"/>
      <c r="V169" s="131"/>
      <c r="W169" s="131"/>
      <c r="X169" s="131"/>
      <c r="Y169" s="131"/>
      <c r="Z169" s="131"/>
      <c r="AA169" s="245"/>
      <c r="AB169" s="131"/>
      <c r="AC169" s="131"/>
      <c r="AD169" s="131"/>
      <c r="AE169" s="131"/>
      <c r="AF169" s="131"/>
      <c r="AG169" s="131"/>
      <c r="AH169" s="131"/>
      <c r="AI169" s="131"/>
      <c r="AJ169" s="131"/>
      <c r="AK169" s="131"/>
      <c r="AL169" s="131"/>
      <c r="AM169" s="131"/>
      <c r="AN169" s="131"/>
      <c r="AO169" s="131"/>
      <c r="AP169" s="131"/>
      <c r="AQ169" s="131"/>
      <c r="AR169" s="131"/>
      <c r="AS169" s="131"/>
      <c r="AT169" s="131"/>
      <c r="AU169" s="131"/>
      <c r="AV169" s="131"/>
      <c r="AW169" s="131"/>
      <c r="AX169" s="131"/>
      <c r="AY169" s="131"/>
      <c r="AZ169" s="131"/>
    </row>
    <row r="170" spans="1:52">
      <c r="A170" s="216" t="str">
        <f>IF(D170="","",VLOOKUP(G170,códigosORL!$H:$J,3,FALSE))</f>
        <v/>
      </c>
      <c r="B170" s="131"/>
      <c r="C170" s="258"/>
      <c r="D170" s="131"/>
      <c r="E170" s="131"/>
      <c r="F170" s="247"/>
      <c r="G170" s="131"/>
      <c r="H170" s="131"/>
      <c r="I170" s="131"/>
      <c r="J170" s="131"/>
      <c r="K170" s="131"/>
      <c r="L170" s="131"/>
      <c r="M170" s="131"/>
      <c r="N170" s="131"/>
      <c r="O170" s="131"/>
      <c r="P170" s="131"/>
      <c r="Q170" s="131"/>
      <c r="R170" s="131"/>
      <c r="S170" s="131"/>
      <c r="T170" s="131"/>
      <c r="U170" s="131"/>
      <c r="V170" s="131"/>
      <c r="W170" s="131"/>
      <c r="X170" s="131"/>
      <c r="Y170" s="131"/>
      <c r="Z170" s="131"/>
      <c r="AA170" s="245"/>
      <c r="AB170" s="131"/>
      <c r="AC170" s="131"/>
      <c r="AD170" s="131"/>
      <c r="AE170" s="131"/>
      <c r="AF170" s="131"/>
      <c r="AG170" s="131"/>
      <c r="AH170" s="131"/>
      <c r="AI170" s="131"/>
      <c r="AJ170" s="131"/>
      <c r="AK170" s="131"/>
      <c r="AL170" s="131"/>
      <c r="AM170" s="131"/>
      <c r="AN170" s="131"/>
      <c r="AO170" s="131"/>
      <c r="AP170" s="131"/>
      <c r="AQ170" s="131"/>
      <c r="AR170" s="131"/>
      <c r="AS170" s="131"/>
      <c r="AT170" s="131"/>
      <c r="AU170" s="131"/>
      <c r="AV170" s="131"/>
      <c r="AW170" s="131"/>
      <c r="AX170" s="131"/>
      <c r="AY170" s="131"/>
      <c r="AZ170" s="131"/>
    </row>
    <row r="171" spans="1:52">
      <c r="A171" s="216" t="str">
        <f>IF(D171="","",VLOOKUP(G171,códigosORL!$H:$J,3,FALSE))</f>
        <v/>
      </c>
      <c r="B171" s="131"/>
      <c r="C171" s="258"/>
      <c r="D171" s="131"/>
      <c r="E171" s="131"/>
      <c r="F171" s="247"/>
      <c r="G171" s="131"/>
      <c r="H171" s="131"/>
      <c r="I171" s="131"/>
      <c r="J171" s="131"/>
      <c r="K171" s="131"/>
      <c r="L171" s="131"/>
      <c r="M171" s="131"/>
      <c r="N171" s="131"/>
      <c r="O171" s="131"/>
      <c r="P171" s="131"/>
      <c r="Q171" s="131"/>
      <c r="R171" s="131"/>
      <c r="S171" s="131"/>
      <c r="T171" s="131"/>
      <c r="U171" s="131"/>
      <c r="V171" s="131"/>
      <c r="W171" s="131"/>
      <c r="X171" s="131"/>
      <c r="Y171" s="131"/>
      <c r="Z171" s="131"/>
      <c r="AA171" s="245"/>
      <c r="AB171" s="131"/>
      <c r="AC171" s="131"/>
      <c r="AD171" s="131"/>
      <c r="AE171" s="131"/>
      <c r="AF171" s="131"/>
      <c r="AG171" s="131"/>
      <c r="AH171" s="131"/>
      <c r="AI171" s="131"/>
      <c r="AJ171" s="131"/>
      <c r="AK171" s="131"/>
      <c r="AL171" s="131"/>
      <c r="AM171" s="131"/>
      <c r="AN171" s="131"/>
      <c r="AO171" s="131"/>
      <c r="AP171" s="131"/>
      <c r="AQ171" s="131"/>
      <c r="AR171" s="131"/>
      <c r="AS171" s="131"/>
      <c r="AT171" s="131"/>
      <c r="AU171" s="131"/>
      <c r="AV171" s="131"/>
      <c r="AW171" s="131"/>
      <c r="AX171" s="131"/>
      <c r="AY171" s="131"/>
      <c r="AZ171" s="131"/>
    </row>
    <row r="172" spans="1:52">
      <c r="A172" s="216" t="str">
        <f>IF(D172="","",VLOOKUP(G172,códigosORL!$H:$J,3,FALSE))</f>
        <v/>
      </c>
      <c r="B172" s="131"/>
      <c r="C172" s="258"/>
      <c r="D172" s="131"/>
      <c r="E172" s="131"/>
      <c r="F172" s="247"/>
      <c r="G172" s="131"/>
      <c r="H172" s="131"/>
      <c r="I172" s="131"/>
      <c r="J172" s="131"/>
      <c r="K172" s="131"/>
      <c r="L172" s="131"/>
      <c r="M172" s="131"/>
      <c r="N172" s="131"/>
      <c r="O172" s="131"/>
      <c r="P172" s="131"/>
      <c r="Q172" s="131"/>
      <c r="R172" s="131"/>
      <c r="S172" s="131"/>
      <c r="T172" s="131"/>
      <c r="U172" s="131"/>
      <c r="V172" s="131"/>
      <c r="W172" s="131"/>
      <c r="X172" s="131"/>
      <c r="Y172" s="131"/>
      <c r="Z172" s="131"/>
      <c r="AA172" s="245"/>
      <c r="AB172" s="131"/>
      <c r="AC172" s="131"/>
      <c r="AD172" s="131"/>
      <c r="AE172" s="131"/>
      <c r="AF172" s="131"/>
      <c r="AG172" s="131"/>
      <c r="AH172" s="131"/>
      <c r="AI172" s="131"/>
      <c r="AJ172" s="131"/>
      <c r="AK172" s="131"/>
      <c r="AL172" s="131"/>
      <c r="AM172" s="131"/>
      <c r="AN172" s="131"/>
      <c r="AO172" s="131"/>
      <c r="AP172" s="131"/>
      <c r="AQ172" s="131"/>
      <c r="AR172" s="131"/>
      <c r="AS172" s="131"/>
      <c r="AT172" s="131"/>
      <c r="AU172" s="131"/>
      <c r="AV172" s="131"/>
      <c r="AW172" s="131"/>
      <c r="AX172" s="131"/>
      <c r="AY172" s="131"/>
      <c r="AZ172" s="131"/>
    </row>
    <row r="173" spans="1:52">
      <c r="A173" s="216" t="str">
        <f>IF(D173="","",VLOOKUP(G173,códigosORL!$H:$J,3,FALSE))</f>
        <v/>
      </c>
      <c r="B173" s="131"/>
      <c r="C173" s="258"/>
      <c r="D173" s="131"/>
      <c r="E173" s="131"/>
      <c r="F173" s="247"/>
      <c r="G173" s="131"/>
      <c r="H173" s="131"/>
      <c r="I173" s="131"/>
      <c r="J173" s="131"/>
      <c r="K173" s="131"/>
      <c r="L173" s="131"/>
      <c r="M173" s="131"/>
      <c r="N173" s="131"/>
      <c r="O173" s="131"/>
      <c r="P173" s="131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  <c r="AA173" s="245"/>
      <c r="AB173" s="131"/>
      <c r="AC173" s="131"/>
      <c r="AD173" s="131"/>
      <c r="AE173" s="131"/>
      <c r="AF173" s="131"/>
      <c r="AG173" s="131"/>
      <c r="AH173" s="131"/>
      <c r="AI173" s="131"/>
      <c r="AJ173" s="131"/>
      <c r="AK173" s="131"/>
      <c r="AL173" s="131"/>
      <c r="AM173" s="131"/>
      <c r="AN173" s="131"/>
      <c r="AO173" s="131"/>
      <c r="AP173" s="131"/>
      <c r="AQ173" s="131"/>
      <c r="AR173" s="131"/>
      <c r="AS173" s="131"/>
      <c r="AT173" s="131"/>
      <c r="AU173" s="131"/>
      <c r="AV173" s="131"/>
      <c r="AW173" s="131"/>
      <c r="AX173" s="131"/>
      <c r="AY173" s="131"/>
      <c r="AZ173" s="131"/>
    </row>
    <row r="174" spans="1:52">
      <c r="A174" s="216" t="str">
        <f>IF(D174="","",VLOOKUP(G174,códigosORL!$H:$J,3,FALSE))</f>
        <v/>
      </c>
      <c r="B174" s="131"/>
      <c r="C174" s="258"/>
      <c r="D174" s="131"/>
      <c r="E174" s="131"/>
      <c r="F174" s="247"/>
      <c r="G174" s="131"/>
      <c r="H174" s="131"/>
      <c r="I174" s="131"/>
      <c r="J174" s="131"/>
      <c r="K174" s="131"/>
      <c r="L174" s="131"/>
      <c r="M174" s="131"/>
      <c r="N174" s="131"/>
      <c r="O174" s="131"/>
      <c r="P174" s="131"/>
      <c r="Q174" s="131"/>
      <c r="R174" s="131"/>
      <c r="S174" s="131"/>
      <c r="T174" s="131"/>
      <c r="U174" s="131"/>
      <c r="V174" s="131"/>
      <c r="W174" s="131"/>
      <c r="X174" s="131"/>
      <c r="Y174" s="131"/>
      <c r="Z174" s="131"/>
      <c r="AA174" s="245"/>
      <c r="AB174" s="131"/>
      <c r="AC174" s="131"/>
      <c r="AD174" s="131"/>
      <c r="AE174" s="131"/>
      <c r="AF174" s="131"/>
      <c r="AG174" s="131"/>
      <c r="AH174" s="131"/>
      <c r="AI174" s="131"/>
      <c r="AJ174" s="131"/>
      <c r="AK174" s="131"/>
      <c r="AL174" s="131"/>
      <c r="AM174" s="131"/>
      <c r="AN174" s="131"/>
      <c r="AO174" s="131"/>
      <c r="AP174" s="131"/>
      <c r="AQ174" s="131"/>
      <c r="AR174" s="131"/>
      <c r="AS174" s="131"/>
      <c r="AT174" s="131"/>
      <c r="AU174" s="131"/>
      <c r="AV174" s="131"/>
      <c r="AW174" s="131"/>
      <c r="AX174" s="131"/>
      <c r="AY174" s="131"/>
      <c r="AZ174" s="131"/>
    </row>
    <row r="175" spans="1:52">
      <c r="A175" s="216" t="str">
        <f>IF(D175="","",VLOOKUP(G175,códigosORL!$H:$J,3,FALSE))</f>
        <v/>
      </c>
      <c r="B175" s="131"/>
      <c r="C175" s="258"/>
      <c r="D175" s="131"/>
      <c r="E175" s="131"/>
      <c r="F175" s="247"/>
      <c r="G175" s="131"/>
      <c r="H175" s="131"/>
      <c r="I175" s="131"/>
      <c r="J175" s="131"/>
      <c r="K175" s="131"/>
      <c r="L175" s="131"/>
      <c r="M175" s="131"/>
      <c r="N175" s="131"/>
      <c r="O175" s="131"/>
      <c r="P175" s="131"/>
      <c r="Q175" s="131"/>
      <c r="R175" s="131"/>
      <c r="S175" s="131"/>
      <c r="T175" s="131"/>
      <c r="U175" s="131"/>
      <c r="V175" s="131"/>
      <c r="W175" s="131"/>
      <c r="X175" s="131"/>
      <c r="Y175" s="131"/>
      <c r="Z175" s="131"/>
      <c r="AA175" s="245"/>
      <c r="AB175" s="131"/>
      <c r="AC175" s="131"/>
      <c r="AD175" s="131"/>
      <c r="AE175" s="131"/>
      <c r="AF175" s="131"/>
      <c r="AG175" s="131"/>
      <c r="AH175" s="131"/>
      <c r="AI175" s="131"/>
      <c r="AJ175" s="131"/>
      <c r="AK175" s="131"/>
      <c r="AL175" s="131"/>
      <c r="AM175" s="131"/>
      <c r="AN175" s="131"/>
      <c r="AO175" s="131"/>
      <c r="AP175" s="131"/>
      <c r="AQ175" s="131"/>
      <c r="AR175" s="131"/>
      <c r="AS175" s="131"/>
      <c r="AT175" s="131"/>
      <c r="AU175" s="131"/>
      <c r="AV175" s="131"/>
      <c r="AW175" s="131"/>
      <c r="AX175" s="131"/>
      <c r="AY175" s="131"/>
      <c r="AZ175" s="131"/>
    </row>
    <row r="176" spans="1:52">
      <c r="A176" s="216" t="str">
        <f>IF(D176="","",VLOOKUP(G176,códigosORL!$H:$J,3,FALSE))</f>
        <v/>
      </c>
      <c r="B176" s="131"/>
      <c r="C176" s="258"/>
      <c r="D176" s="131"/>
      <c r="E176" s="131"/>
      <c r="F176" s="247"/>
      <c r="G176" s="131"/>
      <c r="H176" s="131"/>
      <c r="I176" s="131"/>
      <c r="J176" s="131"/>
      <c r="K176" s="131"/>
      <c r="L176" s="131"/>
      <c r="M176" s="131"/>
      <c r="N176" s="131"/>
      <c r="O176" s="131"/>
      <c r="P176" s="131"/>
      <c r="Q176" s="131"/>
      <c r="R176" s="131"/>
      <c r="S176" s="131"/>
      <c r="T176" s="131"/>
      <c r="U176" s="131"/>
      <c r="V176" s="131"/>
      <c r="W176" s="131"/>
      <c r="X176" s="131"/>
      <c r="Y176" s="131"/>
      <c r="Z176" s="131"/>
      <c r="AA176" s="245"/>
      <c r="AB176" s="131"/>
      <c r="AC176" s="131"/>
      <c r="AD176" s="131"/>
      <c r="AE176" s="131"/>
      <c r="AF176" s="131"/>
      <c r="AG176" s="131"/>
      <c r="AH176" s="131"/>
      <c r="AI176" s="131"/>
      <c r="AJ176" s="131"/>
      <c r="AK176" s="131"/>
      <c r="AL176" s="131"/>
      <c r="AM176" s="131"/>
      <c r="AN176" s="131"/>
      <c r="AO176" s="131"/>
      <c r="AP176" s="131"/>
      <c r="AQ176" s="131"/>
      <c r="AR176" s="131"/>
      <c r="AS176" s="131"/>
      <c r="AT176" s="131"/>
      <c r="AU176" s="131"/>
      <c r="AV176" s="131"/>
      <c r="AW176" s="131"/>
      <c r="AX176" s="131"/>
      <c r="AY176" s="131"/>
      <c r="AZ176" s="131"/>
    </row>
    <row r="177" spans="1:52">
      <c r="A177" s="216" t="str">
        <f>IF(D177="","",VLOOKUP(G177,códigosORL!$H:$J,3,FALSE))</f>
        <v/>
      </c>
      <c r="B177" s="131"/>
      <c r="C177" s="258"/>
      <c r="D177" s="131"/>
      <c r="E177" s="131"/>
      <c r="F177" s="247"/>
      <c r="G177" s="131"/>
      <c r="H177" s="131"/>
      <c r="I177" s="131"/>
      <c r="J177" s="131"/>
      <c r="K177" s="131"/>
      <c r="L177" s="131"/>
      <c r="M177" s="131"/>
      <c r="N177" s="131"/>
      <c r="O177" s="131"/>
      <c r="P177" s="131"/>
      <c r="Q177" s="131"/>
      <c r="R177" s="131"/>
      <c r="S177" s="131"/>
      <c r="T177" s="131"/>
      <c r="U177" s="131"/>
      <c r="V177" s="131"/>
      <c r="W177" s="131"/>
      <c r="X177" s="131"/>
      <c r="Y177" s="131"/>
      <c r="Z177" s="131"/>
      <c r="AA177" s="245"/>
      <c r="AB177" s="131"/>
      <c r="AC177" s="131"/>
      <c r="AD177" s="131"/>
      <c r="AE177" s="131"/>
      <c r="AF177" s="131"/>
      <c r="AG177" s="131"/>
      <c r="AH177" s="131"/>
      <c r="AI177" s="131"/>
      <c r="AJ177" s="131"/>
      <c r="AK177" s="131"/>
      <c r="AL177" s="131"/>
      <c r="AM177" s="131"/>
      <c r="AN177" s="131"/>
      <c r="AO177" s="131"/>
      <c r="AP177" s="131"/>
      <c r="AQ177" s="131"/>
      <c r="AR177" s="131"/>
      <c r="AS177" s="131"/>
      <c r="AT177" s="131"/>
      <c r="AU177" s="131"/>
      <c r="AV177" s="131"/>
      <c r="AW177" s="131"/>
      <c r="AX177" s="131"/>
      <c r="AY177" s="131"/>
      <c r="AZ177" s="131"/>
    </row>
    <row r="178" spans="1:52">
      <c r="A178" s="216" t="str">
        <f>IF(D178="","",VLOOKUP(G178,códigosORL!$H:$J,3,FALSE))</f>
        <v/>
      </c>
      <c r="B178" s="131"/>
      <c r="C178" s="258"/>
      <c r="D178" s="131"/>
      <c r="E178" s="131"/>
      <c r="F178" s="247"/>
      <c r="G178" s="131"/>
      <c r="H178" s="131"/>
      <c r="I178" s="131"/>
      <c r="J178" s="131"/>
      <c r="K178" s="131"/>
      <c r="L178" s="131"/>
      <c r="M178" s="131"/>
      <c r="N178" s="131"/>
      <c r="O178" s="131"/>
      <c r="P178" s="131"/>
      <c r="Q178" s="131"/>
      <c r="R178" s="131"/>
      <c r="S178" s="131"/>
      <c r="T178" s="131"/>
      <c r="U178" s="131"/>
      <c r="V178" s="131"/>
      <c r="W178" s="131"/>
      <c r="X178" s="131"/>
      <c r="Y178" s="131"/>
      <c r="Z178" s="131"/>
      <c r="AA178" s="245"/>
      <c r="AB178" s="131"/>
      <c r="AC178" s="131"/>
      <c r="AD178" s="131"/>
      <c r="AE178" s="131"/>
      <c r="AF178" s="131"/>
      <c r="AG178" s="131"/>
      <c r="AH178" s="131"/>
      <c r="AI178" s="131"/>
      <c r="AJ178" s="131"/>
      <c r="AK178" s="131"/>
      <c r="AL178" s="131"/>
      <c r="AM178" s="131"/>
      <c r="AN178" s="131"/>
      <c r="AO178" s="131"/>
      <c r="AP178" s="131"/>
      <c r="AQ178" s="131"/>
      <c r="AR178" s="131"/>
      <c r="AS178" s="131"/>
      <c r="AT178" s="131"/>
      <c r="AU178" s="131"/>
      <c r="AV178" s="131"/>
      <c r="AW178" s="131"/>
      <c r="AX178" s="131"/>
      <c r="AY178" s="131"/>
      <c r="AZ178" s="131"/>
    </row>
    <row r="179" spans="1:52">
      <c r="A179" s="216" t="str">
        <f>IF(D179="","",VLOOKUP(G179,códigosORL!$H:$J,3,FALSE))</f>
        <v/>
      </c>
      <c r="B179" s="131"/>
      <c r="C179" s="258"/>
      <c r="D179" s="131"/>
      <c r="E179" s="131"/>
      <c r="F179" s="247"/>
      <c r="G179" s="131"/>
      <c r="H179" s="131"/>
      <c r="I179" s="131"/>
      <c r="J179" s="131"/>
      <c r="K179" s="131"/>
      <c r="L179" s="131"/>
      <c r="M179" s="131"/>
      <c r="N179" s="131"/>
      <c r="O179" s="131"/>
      <c r="P179" s="131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  <c r="AA179" s="245"/>
      <c r="AB179" s="131"/>
      <c r="AC179" s="131"/>
      <c r="AD179" s="131"/>
      <c r="AE179" s="131"/>
      <c r="AF179" s="131"/>
      <c r="AG179" s="131"/>
      <c r="AH179" s="131"/>
      <c r="AI179" s="131"/>
      <c r="AJ179" s="131"/>
      <c r="AK179" s="131"/>
      <c r="AL179" s="131"/>
      <c r="AM179" s="131"/>
      <c r="AN179" s="131"/>
      <c r="AO179" s="131"/>
      <c r="AP179" s="131"/>
      <c r="AQ179" s="131"/>
      <c r="AR179" s="131"/>
      <c r="AS179" s="131"/>
      <c r="AT179" s="131"/>
      <c r="AU179" s="131"/>
      <c r="AV179" s="131"/>
      <c r="AW179" s="131"/>
      <c r="AX179" s="131"/>
      <c r="AY179" s="131"/>
      <c r="AZ179" s="131"/>
    </row>
    <row r="180" spans="1:52">
      <c r="A180" s="216" t="str">
        <f>IF(D180="","",VLOOKUP(G180,códigosORL!$H:$J,3,FALSE))</f>
        <v/>
      </c>
      <c r="B180" s="131"/>
      <c r="C180" s="258"/>
      <c r="D180" s="131"/>
      <c r="E180" s="131"/>
      <c r="F180" s="247"/>
      <c r="G180" s="131"/>
      <c r="H180" s="131"/>
      <c r="I180" s="131"/>
      <c r="J180" s="131"/>
      <c r="K180" s="131"/>
      <c r="L180" s="131"/>
      <c r="M180" s="131"/>
      <c r="N180" s="131"/>
      <c r="O180" s="131"/>
      <c r="P180" s="131"/>
      <c r="Q180" s="131"/>
      <c r="R180" s="131"/>
      <c r="S180" s="131"/>
      <c r="T180" s="131"/>
      <c r="U180" s="131"/>
      <c r="V180" s="131"/>
      <c r="W180" s="131"/>
      <c r="X180" s="131"/>
      <c r="Y180" s="131"/>
      <c r="Z180" s="131"/>
      <c r="AA180" s="245"/>
      <c r="AB180" s="131"/>
      <c r="AC180" s="131"/>
      <c r="AD180" s="131"/>
      <c r="AE180" s="131"/>
      <c r="AF180" s="131"/>
      <c r="AG180" s="131"/>
      <c r="AH180" s="131"/>
      <c r="AI180" s="131"/>
      <c r="AJ180" s="131"/>
      <c r="AK180" s="131"/>
      <c r="AL180" s="131"/>
      <c r="AM180" s="131"/>
      <c r="AN180" s="131"/>
      <c r="AO180" s="131"/>
      <c r="AP180" s="131"/>
      <c r="AQ180" s="131"/>
      <c r="AR180" s="131"/>
      <c r="AS180" s="131"/>
      <c r="AT180" s="131"/>
      <c r="AU180" s="131"/>
      <c r="AV180" s="131"/>
      <c r="AW180" s="131"/>
      <c r="AX180" s="131"/>
      <c r="AY180" s="131"/>
      <c r="AZ180" s="131"/>
    </row>
    <row r="181" spans="1:52">
      <c r="A181" s="216" t="str">
        <f>IF(D181="","",VLOOKUP(G181,códigosORL!$H:$J,3,FALSE))</f>
        <v/>
      </c>
      <c r="B181" s="131"/>
      <c r="C181" s="258"/>
      <c r="D181" s="131"/>
      <c r="E181" s="131"/>
      <c r="F181" s="247"/>
      <c r="G181" s="131"/>
      <c r="H181" s="131"/>
      <c r="I181" s="131"/>
      <c r="J181" s="131"/>
      <c r="K181" s="131"/>
      <c r="L181" s="131"/>
      <c r="M181" s="131"/>
      <c r="N181" s="131"/>
      <c r="O181" s="131"/>
      <c r="P181" s="131"/>
      <c r="Q181" s="131"/>
      <c r="R181" s="131"/>
      <c r="S181" s="131"/>
      <c r="T181" s="131"/>
      <c r="U181" s="131"/>
      <c r="V181" s="131"/>
      <c r="W181" s="131"/>
      <c r="X181" s="131"/>
      <c r="Y181" s="131"/>
      <c r="Z181" s="131"/>
      <c r="AA181" s="245"/>
      <c r="AB181" s="131"/>
      <c r="AC181" s="131"/>
      <c r="AD181" s="131"/>
      <c r="AE181" s="131"/>
      <c r="AF181" s="131"/>
      <c r="AG181" s="131"/>
      <c r="AH181" s="131"/>
      <c r="AI181" s="131"/>
      <c r="AJ181" s="131"/>
      <c r="AK181" s="131"/>
      <c r="AL181" s="131"/>
      <c r="AM181" s="131"/>
      <c r="AN181" s="131"/>
      <c r="AO181" s="131"/>
      <c r="AP181" s="131"/>
      <c r="AQ181" s="131"/>
      <c r="AR181" s="131"/>
      <c r="AS181" s="131"/>
      <c r="AT181" s="131"/>
      <c r="AU181" s="131"/>
      <c r="AV181" s="131"/>
      <c r="AW181" s="131"/>
      <c r="AX181" s="131"/>
      <c r="AY181" s="131"/>
      <c r="AZ181" s="131"/>
    </row>
    <row r="182" spans="1:52">
      <c r="A182" s="216" t="str">
        <f>IF(D182="","",VLOOKUP(G182,códigosORL!$H:$J,3,FALSE))</f>
        <v/>
      </c>
      <c r="B182" s="131"/>
      <c r="C182" s="258"/>
      <c r="D182" s="131"/>
      <c r="E182" s="131"/>
      <c r="F182" s="247"/>
      <c r="G182" s="131"/>
      <c r="H182" s="131"/>
      <c r="I182" s="131"/>
      <c r="J182" s="131"/>
      <c r="K182" s="131"/>
      <c r="L182" s="131"/>
      <c r="M182" s="131"/>
      <c r="N182" s="131"/>
      <c r="O182" s="131"/>
      <c r="P182" s="131"/>
      <c r="Q182" s="131"/>
      <c r="R182" s="131"/>
      <c r="S182" s="131"/>
      <c r="T182" s="131"/>
      <c r="U182" s="131"/>
      <c r="V182" s="131"/>
      <c r="W182" s="131"/>
      <c r="X182" s="131"/>
      <c r="Y182" s="131"/>
      <c r="Z182" s="131"/>
      <c r="AA182" s="245"/>
      <c r="AB182" s="131"/>
      <c r="AC182" s="131"/>
      <c r="AD182" s="131"/>
      <c r="AE182" s="131"/>
      <c r="AF182" s="131"/>
      <c r="AG182" s="131"/>
      <c r="AH182" s="131"/>
      <c r="AI182" s="131"/>
      <c r="AJ182" s="131"/>
      <c r="AK182" s="131"/>
      <c r="AL182" s="131"/>
      <c r="AM182" s="131"/>
      <c r="AN182" s="131"/>
      <c r="AO182" s="131"/>
      <c r="AP182" s="131"/>
      <c r="AQ182" s="131"/>
      <c r="AR182" s="131"/>
      <c r="AS182" s="131"/>
      <c r="AT182" s="131"/>
      <c r="AU182" s="131"/>
      <c r="AV182" s="131"/>
      <c r="AW182" s="131"/>
      <c r="AX182" s="131"/>
      <c r="AY182" s="131"/>
      <c r="AZ182" s="131"/>
    </row>
    <row r="183" spans="1:52">
      <c r="A183" s="216" t="str">
        <f>IF(D183="","",VLOOKUP(G183,códigosORL!$H:$J,3,FALSE))</f>
        <v/>
      </c>
      <c r="B183" s="131"/>
      <c r="C183" s="258"/>
      <c r="D183" s="131"/>
      <c r="E183" s="131"/>
      <c r="F183" s="247"/>
      <c r="G183" s="131"/>
      <c r="H183" s="131"/>
      <c r="I183" s="131"/>
      <c r="J183" s="131"/>
      <c r="K183" s="131"/>
      <c r="L183" s="131"/>
      <c r="M183" s="131"/>
      <c r="N183" s="131"/>
      <c r="O183" s="131"/>
      <c r="P183" s="131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  <c r="AA183" s="245"/>
      <c r="AB183" s="131"/>
      <c r="AC183" s="131"/>
      <c r="AD183" s="131"/>
      <c r="AE183" s="131"/>
      <c r="AF183" s="131"/>
      <c r="AG183" s="131"/>
      <c r="AH183" s="131"/>
      <c r="AI183" s="131"/>
      <c r="AJ183" s="131"/>
      <c r="AK183" s="131"/>
      <c r="AL183" s="131"/>
      <c r="AM183" s="131"/>
      <c r="AN183" s="131"/>
      <c r="AO183" s="131"/>
      <c r="AP183" s="131"/>
      <c r="AQ183" s="131"/>
      <c r="AR183" s="131"/>
      <c r="AS183" s="131"/>
      <c r="AT183" s="131"/>
      <c r="AU183" s="131"/>
      <c r="AV183" s="131"/>
      <c r="AW183" s="131"/>
      <c r="AX183" s="131"/>
      <c r="AY183" s="131"/>
      <c r="AZ183" s="131"/>
    </row>
    <row r="184" spans="1:52">
      <c r="A184" s="216" t="str">
        <f>IF(D184="","",VLOOKUP(G184,códigosORL!$H:$J,3,FALSE))</f>
        <v/>
      </c>
      <c r="B184" s="131"/>
      <c r="C184" s="258"/>
      <c r="D184" s="131"/>
      <c r="E184" s="131"/>
      <c r="F184" s="247"/>
      <c r="G184" s="131"/>
      <c r="H184" s="131"/>
      <c r="I184" s="131"/>
      <c r="J184" s="131"/>
      <c r="K184" s="131"/>
      <c r="L184" s="131"/>
      <c r="M184" s="131"/>
      <c r="N184" s="131"/>
      <c r="O184" s="131"/>
      <c r="P184" s="131"/>
      <c r="Q184" s="131"/>
      <c r="R184" s="131"/>
      <c r="S184" s="131"/>
      <c r="T184" s="131"/>
      <c r="U184" s="131"/>
      <c r="V184" s="131"/>
      <c r="W184" s="131"/>
      <c r="X184" s="131"/>
      <c r="Y184" s="131"/>
      <c r="Z184" s="131"/>
      <c r="AA184" s="245"/>
      <c r="AB184" s="131"/>
      <c r="AC184" s="131"/>
      <c r="AD184" s="131"/>
      <c r="AE184" s="131"/>
      <c r="AF184" s="131"/>
      <c r="AG184" s="131"/>
      <c r="AH184" s="131"/>
      <c r="AI184" s="131"/>
      <c r="AJ184" s="131"/>
      <c r="AK184" s="131"/>
      <c r="AL184" s="131"/>
      <c r="AM184" s="131"/>
      <c r="AN184" s="131"/>
      <c r="AO184" s="131"/>
      <c r="AP184" s="131"/>
      <c r="AQ184" s="131"/>
      <c r="AR184" s="131"/>
      <c r="AS184" s="131"/>
      <c r="AT184" s="131"/>
      <c r="AU184" s="131"/>
      <c r="AV184" s="131"/>
      <c r="AW184" s="131"/>
      <c r="AX184" s="131"/>
      <c r="AY184" s="131"/>
      <c r="AZ184" s="131"/>
    </row>
    <row r="185" spans="1:52">
      <c r="A185" s="216" t="str">
        <f>IF(D185="","",VLOOKUP(G185,códigosORL!$H:$J,3,FALSE))</f>
        <v/>
      </c>
      <c r="B185" s="131"/>
      <c r="C185" s="258"/>
      <c r="D185" s="131"/>
      <c r="E185" s="131"/>
      <c r="F185" s="247"/>
      <c r="G185" s="131"/>
      <c r="H185" s="131"/>
      <c r="I185" s="131"/>
      <c r="J185" s="131"/>
      <c r="K185" s="131"/>
      <c r="L185" s="131"/>
      <c r="M185" s="131"/>
      <c r="N185" s="131"/>
      <c r="O185" s="131"/>
      <c r="P185" s="131"/>
      <c r="Q185" s="131"/>
      <c r="R185" s="131"/>
      <c r="S185" s="131"/>
      <c r="T185" s="131"/>
      <c r="U185" s="131"/>
      <c r="V185" s="131"/>
      <c r="W185" s="131"/>
      <c r="X185" s="131"/>
      <c r="Y185" s="131"/>
      <c r="Z185" s="131"/>
      <c r="AA185" s="245"/>
      <c r="AB185" s="131"/>
      <c r="AC185" s="131"/>
      <c r="AD185" s="131"/>
      <c r="AE185" s="131"/>
      <c r="AF185" s="131"/>
      <c r="AG185" s="131"/>
      <c r="AH185" s="131"/>
      <c r="AI185" s="131"/>
      <c r="AJ185" s="131"/>
      <c r="AK185" s="131"/>
      <c r="AL185" s="131"/>
      <c r="AM185" s="131"/>
      <c r="AN185" s="131"/>
      <c r="AO185" s="131"/>
      <c r="AP185" s="131"/>
      <c r="AQ185" s="131"/>
      <c r="AR185" s="131"/>
      <c r="AS185" s="131"/>
      <c r="AT185" s="131"/>
      <c r="AU185" s="131"/>
      <c r="AV185" s="131"/>
      <c r="AW185" s="131"/>
      <c r="AX185" s="131"/>
      <c r="AY185" s="131"/>
      <c r="AZ185" s="131"/>
    </row>
    <row r="186" spans="1:52">
      <c r="A186" s="216" t="str">
        <f>IF(D186="","",VLOOKUP(G186,códigosORL!$H:$J,3,FALSE))</f>
        <v/>
      </c>
      <c r="B186" s="131"/>
      <c r="C186" s="258"/>
      <c r="D186" s="131"/>
      <c r="E186" s="131"/>
      <c r="F186" s="247"/>
      <c r="G186" s="131"/>
      <c r="H186" s="131"/>
      <c r="I186" s="131"/>
      <c r="J186" s="131"/>
      <c r="K186" s="131"/>
      <c r="L186" s="131"/>
      <c r="M186" s="131"/>
      <c r="N186" s="131"/>
      <c r="O186" s="131"/>
      <c r="P186" s="131"/>
      <c r="Q186" s="131"/>
      <c r="R186" s="131"/>
      <c r="S186" s="131"/>
      <c r="T186" s="131"/>
      <c r="U186" s="131"/>
      <c r="V186" s="131"/>
      <c r="W186" s="131"/>
      <c r="X186" s="131"/>
      <c r="Y186" s="131"/>
      <c r="Z186" s="131"/>
      <c r="AA186" s="245"/>
      <c r="AB186" s="131"/>
      <c r="AC186" s="131"/>
      <c r="AD186" s="131"/>
      <c r="AE186" s="131"/>
      <c r="AF186" s="131"/>
      <c r="AG186" s="131"/>
      <c r="AH186" s="131"/>
      <c r="AI186" s="131"/>
      <c r="AJ186" s="131"/>
      <c r="AK186" s="131"/>
      <c r="AL186" s="131"/>
      <c r="AM186" s="131"/>
      <c r="AN186" s="131"/>
      <c r="AO186" s="131"/>
      <c r="AP186" s="131"/>
      <c r="AQ186" s="131"/>
      <c r="AR186" s="131"/>
      <c r="AS186" s="131"/>
      <c r="AT186" s="131"/>
      <c r="AU186" s="131"/>
      <c r="AV186" s="131"/>
      <c r="AW186" s="131"/>
      <c r="AX186" s="131"/>
      <c r="AY186" s="131"/>
      <c r="AZ186" s="131"/>
    </row>
    <row r="187" spans="1:52">
      <c r="A187" s="216" t="str">
        <f>IF(D187="","",VLOOKUP(G187,códigosORL!$H:$J,3,FALSE))</f>
        <v/>
      </c>
      <c r="B187" s="131"/>
      <c r="C187" s="258"/>
      <c r="D187" s="131"/>
      <c r="E187" s="131"/>
      <c r="F187" s="247"/>
      <c r="G187" s="131"/>
      <c r="H187" s="131"/>
      <c r="I187" s="131"/>
      <c r="J187" s="131"/>
      <c r="K187" s="131"/>
      <c r="L187" s="131"/>
      <c r="M187" s="131"/>
      <c r="N187" s="131"/>
      <c r="O187" s="131"/>
      <c r="P187" s="131"/>
      <c r="Q187" s="131"/>
      <c r="R187" s="131"/>
      <c r="S187" s="131"/>
      <c r="T187" s="131"/>
      <c r="U187" s="131"/>
      <c r="V187" s="131"/>
      <c r="W187" s="131"/>
      <c r="X187" s="131"/>
      <c r="Y187" s="131"/>
      <c r="Z187" s="131"/>
      <c r="AA187" s="245"/>
      <c r="AB187" s="131"/>
      <c r="AC187" s="131"/>
      <c r="AD187" s="131"/>
      <c r="AE187" s="131"/>
      <c r="AF187" s="131"/>
      <c r="AG187" s="131"/>
      <c r="AH187" s="131"/>
      <c r="AI187" s="131"/>
      <c r="AJ187" s="131"/>
      <c r="AK187" s="131"/>
      <c r="AL187" s="131"/>
      <c r="AM187" s="131"/>
      <c r="AN187" s="131"/>
      <c r="AO187" s="131"/>
      <c r="AP187" s="131"/>
      <c r="AQ187" s="131"/>
      <c r="AR187" s="131"/>
      <c r="AS187" s="131"/>
      <c r="AT187" s="131"/>
      <c r="AU187" s="131"/>
      <c r="AV187" s="131"/>
      <c r="AW187" s="131"/>
      <c r="AX187" s="131"/>
      <c r="AY187" s="131"/>
      <c r="AZ187" s="131"/>
    </row>
    <row r="188" spans="1:52">
      <c r="A188" s="216" t="str">
        <f>IF(D188="","",VLOOKUP(G188,códigosORL!$H:$J,3,FALSE))</f>
        <v/>
      </c>
      <c r="B188" s="131"/>
      <c r="C188" s="258"/>
      <c r="D188" s="131"/>
      <c r="E188" s="131"/>
      <c r="F188" s="247"/>
      <c r="G188" s="131"/>
      <c r="H188" s="131"/>
      <c r="I188" s="131"/>
      <c r="J188" s="131"/>
      <c r="K188" s="131"/>
      <c r="L188" s="131"/>
      <c r="M188" s="131"/>
      <c r="N188" s="131"/>
      <c r="O188" s="131"/>
      <c r="P188" s="131"/>
      <c r="Q188" s="131"/>
      <c r="R188" s="131"/>
      <c r="S188" s="131"/>
      <c r="T188" s="131"/>
      <c r="U188" s="131"/>
      <c r="V188" s="131"/>
      <c r="W188" s="131"/>
      <c r="X188" s="131"/>
      <c r="Y188" s="131"/>
      <c r="Z188" s="131"/>
      <c r="AA188" s="245"/>
      <c r="AB188" s="131"/>
      <c r="AC188" s="131"/>
      <c r="AD188" s="131"/>
      <c r="AE188" s="131"/>
      <c r="AF188" s="131"/>
      <c r="AG188" s="131"/>
      <c r="AH188" s="131"/>
      <c r="AI188" s="131"/>
      <c r="AJ188" s="131"/>
      <c r="AK188" s="131"/>
      <c r="AL188" s="131"/>
      <c r="AM188" s="131"/>
      <c r="AN188" s="131"/>
      <c r="AO188" s="131"/>
      <c r="AP188" s="131"/>
      <c r="AQ188" s="131"/>
      <c r="AR188" s="131"/>
      <c r="AS188" s="131"/>
      <c r="AT188" s="131"/>
      <c r="AU188" s="131"/>
      <c r="AV188" s="131"/>
      <c r="AW188" s="131"/>
      <c r="AX188" s="131"/>
      <c r="AY188" s="131"/>
      <c r="AZ188" s="131"/>
    </row>
    <row r="189" spans="1:52">
      <c r="A189" s="216" t="str">
        <f>IF(D189="","",VLOOKUP(G189,códigosORL!$H:$J,3,FALSE))</f>
        <v/>
      </c>
      <c r="B189" s="131"/>
      <c r="C189" s="258"/>
      <c r="D189" s="131"/>
      <c r="E189" s="131"/>
      <c r="F189" s="247"/>
      <c r="G189" s="131"/>
      <c r="H189" s="131"/>
      <c r="I189" s="131"/>
      <c r="J189" s="131"/>
      <c r="K189" s="131"/>
      <c r="L189" s="131"/>
      <c r="M189" s="131"/>
      <c r="N189" s="131"/>
      <c r="O189" s="131"/>
      <c r="P189" s="131"/>
      <c r="Q189" s="131"/>
      <c r="R189" s="131"/>
      <c r="S189" s="131"/>
      <c r="T189" s="131"/>
      <c r="U189" s="131"/>
      <c r="V189" s="131"/>
      <c r="W189" s="131"/>
      <c r="X189" s="131"/>
      <c r="Y189" s="131"/>
      <c r="Z189" s="131"/>
      <c r="AA189" s="245"/>
      <c r="AB189" s="131"/>
      <c r="AC189" s="131"/>
      <c r="AD189" s="131"/>
      <c r="AE189" s="131"/>
      <c r="AF189" s="131"/>
      <c r="AG189" s="131"/>
      <c r="AH189" s="131"/>
      <c r="AI189" s="131"/>
      <c r="AJ189" s="131"/>
      <c r="AK189" s="131"/>
      <c r="AL189" s="131"/>
      <c r="AM189" s="131"/>
      <c r="AN189" s="131"/>
      <c r="AO189" s="131"/>
      <c r="AP189" s="131"/>
      <c r="AQ189" s="131"/>
      <c r="AR189" s="131"/>
      <c r="AS189" s="131"/>
      <c r="AT189" s="131"/>
      <c r="AU189" s="131"/>
      <c r="AV189" s="131"/>
      <c r="AW189" s="131"/>
      <c r="AX189" s="131"/>
      <c r="AY189" s="131"/>
      <c r="AZ189" s="131"/>
    </row>
    <row r="190" spans="1:52">
      <c r="A190" s="216" t="str">
        <f>IF(D190="","",VLOOKUP(G190,códigosORL!$H:$J,3,FALSE))</f>
        <v/>
      </c>
      <c r="B190" s="131"/>
      <c r="C190" s="258"/>
      <c r="D190" s="131"/>
      <c r="E190" s="131"/>
      <c r="F190" s="247"/>
      <c r="G190" s="131"/>
      <c r="H190" s="131"/>
      <c r="I190" s="131"/>
      <c r="J190" s="131"/>
      <c r="K190" s="131"/>
      <c r="L190" s="131"/>
      <c r="M190" s="131"/>
      <c r="N190" s="131"/>
      <c r="O190" s="131"/>
      <c r="P190" s="131"/>
      <c r="Q190" s="131"/>
      <c r="R190" s="131"/>
      <c r="S190" s="131"/>
      <c r="T190" s="131"/>
      <c r="U190" s="131"/>
      <c r="V190" s="131"/>
      <c r="W190" s="131"/>
      <c r="X190" s="131"/>
      <c r="Y190" s="131"/>
      <c r="Z190" s="131"/>
      <c r="AA190" s="245"/>
      <c r="AB190" s="131"/>
      <c r="AC190" s="131"/>
      <c r="AD190" s="131"/>
      <c r="AE190" s="131"/>
      <c r="AF190" s="131"/>
      <c r="AG190" s="131"/>
      <c r="AH190" s="131"/>
      <c r="AI190" s="131"/>
      <c r="AJ190" s="131"/>
      <c r="AK190" s="131"/>
      <c r="AL190" s="131"/>
      <c r="AM190" s="131"/>
      <c r="AN190" s="131"/>
      <c r="AO190" s="131"/>
      <c r="AP190" s="131"/>
      <c r="AQ190" s="131"/>
      <c r="AR190" s="131"/>
      <c r="AS190" s="131"/>
      <c r="AT190" s="131"/>
      <c r="AU190" s="131"/>
      <c r="AV190" s="131"/>
      <c r="AW190" s="131"/>
      <c r="AX190" s="131"/>
      <c r="AY190" s="131"/>
      <c r="AZ190" s="131"/>
    </row>
    <row r="191" spans="1:52">
      <c r="A191" s="216" t="str">
        <f>IF(D191="","",VLOOKUP(G191,códigosORL!$H:$J,3,FALSE))</f>
        <v/>
      </c>
      <c r="B191" s="131"/>
      <c r="C191" s="258"/>
      <c r="D191" s="131"/>
      <c r="E191" s="131"/>
      <c r="F191" s="247"/>
      <c r="G191" s="131"/>
      <c r="H191" s="131"/>
      <c r="I191" s="131"/>
      <c r="J191" s="131"/>
      <c r="K191" s="131"/>
      <c r="L191" s="131"/>
      <c r="M191" s="131"/>
      <c r="N191" s="131"/>
      <c r="O191" s="131"/>
      <c r="P191" s="131"/>
      <c r="Q191" s="131"/>
      <c r="R191" s="131"/>
      <c r="S191" s="131"/>
      <c r="T191" s="131"/>
      <c r="U191" s="131"/>
      <c r="V191" s="131"/>
      <c r="W191" s="131"/>
      <c r="X191" s="131"/>
      <c r="Y191" s="131"/>
      <c r="Z191" s="131"/>
      <c r="AA191" s="245"/>
      <c r="AB191" s="131"/>
      <c r="AC191" s="131"/>
      <c r="AD191" s="131"/>
      <c r="AE191" s="131"/>
      <c r="AF191" s="131"/>
      <c r="AG191" s="131"/>
      <c r="AH191" s="131"/>
      <c r="AI191" s="131"/>
      <c r="AJ191" s="131"/>
      <c r="AK191" s="131"/>
      <c r="AL191" s="131"/>
      <c r="AM191" s="131"/>
      <c r="AN191" s="131"/>
      <c r="AO191" s="131"/>
      <c r="AP191" s="131"/>
      <c r="AQ191" s="131"/>
      <c r="AR191" s="131"/>
      <c r="AS191" s="131"/>
      <c r="AT191" s="131"/>
      <c r="AU191" s="131"/>
      <c r="AV191" s="131"/>
      <c r="AW191" s="131"/>
      <c r="AX191" s="131"/>
      <c r="AY191" s="131"/>
      <c r="AZ191" s="131"/>
    </row>
    <row r="192" spans="1:52">
      <c r="A192" s="216" t="str">
        <f>IF(D192="","",VLOOKUP(G192,códigosORL!$H:$J,3,FALSE))</f>
        <v/>
      </c>
      <c r="B192" s="131"/>
      <c r="C192" s="258"/>
      <c r="D192" s="131"/>
      <c r="E192" s="131"/>
      <c r="F192" s="247"/>
      <c r="G192" s="131"/>
      <c r="H192" s="131"/>
      <c r="I192" s="131"/>
      <c r="J192" s="131"/>
      <c r="K192" s="131"/>
      <c r="L192" s="131"/>
      <c r="M192" s="131"/>
      <c r="N192" s="131"/>
      <c r="O192" s="131"/>
      <c r="P192" s="131"/>
      <c r="Q192" s="131"/>
      <c r="R192" s="131"/>
      <c r="S192" s="131"/>
      <c r="T192" s="131"/>
      <c r="U192" s="131"/>
      <c r="V192" s="131"/>
      <c r="W192" s="131"/>
      <c r="X192" s="131"/>
      <c r="Y192" s="131"/>
      <c r="Z192" s="131"/>
      <c r="AA192" s="245"/>
      <c r="AB192" s="131"/>
      <c r="AC192" s="131"/>
      <c r="AD192" s="131"/>
      <c r="AE192" s="131"/>
      <c r="AF192" s="131"/>
      <c r="AG192" s="131"/>
      <c r="AH192" s="131"/>
      <c r="AI192" s="131"/>
      <c r="AJ192" s="131"/>
      <c r="AK192" s="131"/>
      <c r="AL192" s="131"/>
      <c r="AM192" s="131"/>
      <c r="AN192" s="131"/>
      <c r="AO192" s="131"/>
      <c r="AP192" s="131"/>
      <c r="AQ192" s="131"/>
      <c r="AR192" s="131"/>
      <c r="AS192" s="131"/>
      <c r="AT192" s="131"/>
      <c r="AU192" s="131"/>
      <c r="AV192" s="131"/>
      <c r="AW192" s="131"/>
      <c r="AX192" s="131"/>
      <c r="AY192" s="131"/>
      <c r="AZ192" s="131"/>
    </row>
    <row r="193" spans="1:52">
      <c r="A193" s="216" t="str">
        <f>IF(D193="","",VLOOKUP(G193,códigosORL!$H:$J,3,FALSE))</f>
        <v/>
      </c>
      <c r="B193" s="131"/>
      <c r="C193" s="258"/>
      <c r="D193" s="131"/>
      <c r="E193" s="131"/>
      <c r="F193" s="247"/>
      <c r="G193" s="131"/>
      <c r="H193" s="131"/>
      <c r="I193" s="131"/>
      <c r="J193" s="131"/>
      <c r="K193" s="131"/>
      <c r="L193" s="131"/>
      <c r="M193" s="131"/>
      <c r="N193" s="131"/>
      <c r="O193" s="131"/>
      <c r="P193" s="131"/>
      <c r="Q193" s="131"/>
      <c r="R193" s="131"/>
      <c r="S193" s="131"/>
      <c r="T193" s="131"/>
      <c r="U193" s="131"/>
      <c r="V193" s="131"/>
      <c r="W193" s="131"/>
      <c r="X193" s="131"/>
      <c r="Y193" s="131"/>
      <c r="Z193" s="131"/>
      <c r="AA193" s="245"/>
      <c r="AB193" s="131"/>
      <c r="AC193" s="131"/>
      <c r="AD193" s="131"/>
      <c r="AE193" s="131"/>
      <c r="AF193" s="131"/>
      <c r="AG193" s="131"/>
      <c r="AH193" s="131"/>
      <c r="AI193" s="131"/>
      <c r="AJ193" s="131"/>
      <c r="AK193" s="131"/>
      <c r="AL193" s="131"/>
      <c r="AM193" s="131"/>
      <c r="AN193" s="131"/>
      <c r="AO193" s="131"/>
      <c r="AP193" s="131"/>
      <c r="AQ193" s="131"/>
      <c r="AR193" s="131"/>
      <c r="AS193" s="131"/>
      <c r="AT193" s="131"/>
      <c r="AU193" s="131"/>
      <c r="AV193" s="131"/>
      <c r="AW193" s="131"/>
      <c r="AX193" s="131"/>
      <c r="AY193" s="131"/>
      <c r="AZ193" s="131"/>
    </row>
    <row r="194" spans="1:52">
      <c r="A194" s="216" t="str">
        <f>IF(D194="","",VLOOKUP(G194,códigosORL!$H:$J,3,FALSE))</f>
        <v/>
      </c>
      <c r="B194" s="131"/>
      <c r="C194" s="258"/>
      <c r="D194" s="131"/>
      <c r="E194" s="131"/>
      <c r="F194" s="247"/>
      <c r="G194" s="131"/>
      <c r="H194" s="131"/>
      <c r="I194" s="131"/>
      <c r="J194" s="131"/>
      <c r="K194" s="131"/>
      <c r="L194" s="131"/>
      <c r="M194" s="131"/>
      <c r="N194" s="131"/>
      <c r="O194" s="131"/>
      <c r="P194" s="131"/>
      <c r="Q194" s="131"/>
      <c r="R194" s="131"/>
      <c r="S194" s="131"/>
      <c r="T194" s="131"/>
      <c r="U194" s="131"/>
      <c r="V194" s="131"/>
      <c r="W194" s="131"/>
      <c r="X194" s="131"/>
      <c r="Y194" s="131"/>
      <c r="Z194" s="131"/>
      <c r="AA194" s="245"/>
      <c r="AB194" s="131"/>
      <c r="AC194" s="131"/>
      <c r="AD194" s="131"/>
      <c r="AE194" s="131"/>
      <c r="AF194" s="131"/>
      <c r="AG194" s="131"/>
      <c r="AH194" s="131"/>
      <c r="AI194" s="131"/>
      <c r="AJ194" s="131"/>
      <c r="AK194" s="131"/>
      <c r="AL194" s="131"/>
      <c r="AM194" s="131"/>
      <c r="AN194" s="131"/>
      <c r="AO194" s="131"/>
      <c r="AP194" s="131"/>
      <c r="AQ194" s="131"/>
      <c r="AR194" s="131"/>
      <c r="AS194" s="131"/>
      <c r="AT194" s="131"/>
      <c r="AU194" s="131"/>
      <c r="AV194" s="131"/>
      <c r="AW194" s="131"/>
      <c r="AX194" s="131"/>
      <c r="AY194" s="131"/>
      <c r="AZ194" s="131"/>
    </row>
    <row r="195" spans="1:52">
      <c r="A195" s="216" t="str">
        <f>IF(D195="","",VLOOKUP(G195,códigosORL!$H:$J,3,FALSE))</f>
        <v/>
      </c>
      <c r="B195" s="131"/>
      <c r="C195" s="258"/>
      <c r="D195" s="131"/>
      <c r="E195" s="131"/>
      <c r="F195" s="247"/>
      <c r="G195" s="131"/>
      <c r="H195" s="131"/>
      <c r="I195" s="131"/>
      <c r="J195" s="131"/>
      <c r="K195" s="131"/>
      <c r="L195" s="131"/>
      <c r="M195" s="131"/>
      <c r="N195" s="131"/>
      <c r="O195" s="131"/>
      <c r="P195" s="131"/>
      <c r="Q195" s="131"/>
      <c r="R195" s="131"/>
      <c r="S195" s="131"/>
      <c r="T195" s="131"/>
      <c r="U195" s="131"/>
      <c r="V195" s="131"/>
      <c r="W195" s="131"/>
      <c r="X195" s="131"/>
      <c r="Y195" s="131"/>
      <c r="Z195" s="131"/>
      <c r="AA195" s="245"/>
      <c r="AB195" s="131"/>
      <c r="AC195" s="131"/>
      <c r="AD195" s="131"/>
      <c r="AE195" s="131"/>
      <c r="AF195" s="131"/>
      <c r="AG195" s="131"/>
      <c r="AH195" s="131"/>
      <c r="AI195" s="131"/>
      <c r="AJ195" s="131"/>
      <c r="AK195" s="131"/>
      <c r="AL195" s="131"/>
      <c r="AM195" s="131"/>
      <c r="AN195" s="131"/>
      <c r="AO195" s="131"/>
      <c r="AP195" s="131"/>
      <c r="AQ195" s="131"/>
      <c r="AR195" s="131"/>
      <c r="AS195" s="131"/>
      <c r="AT195" s="131"/>
      <c r="AU195" s="131"/>
      <c r="AV195" s="131"/>
      <c r="AW195" s="131"/>
      <c r="AX195" s="131"/>
      <c r="AY195" s="131"/>
      <c r="AZ195" s="131"/>
    </row>
    <row r="196" spans="1:52">
      <c r="A196" s="216" t="str">
        <f>IF(D196="","",VLOOKUP(G196,códigosORL!$H:$J,3,FALSE))</f>
        <v/>
      </c>
      <c r="B196" s="131"/>
      <c r="C196" s="258"/>
      <c r="D196" s="131"/>
      <c r="E196" s="131"/>
      <c r="F196" s="247"/>
      <c r="G196" s="131"/>
      <c r="H196" s="131"/>
      <c r="I196" s="131"/>
      <c r="J196" s="131"/>
      <c r="K196" s="131"/>
      <c r="L196" s="131"/>
      <c r="M196" s="131"/>
      <c r="N196" s="131"/>
      <c r="O196" s="131"/>
      <c r="P196" s="131"/>
      <c r="Q196" s="131"/>
      <c r="R196" s="131"/>
      <c r="S196" s="131"/>
      <c r="T196" s="131"/>
      <c r="U196" s="131"/>
      <c r="V196" s="131"/>
      <c r="W196" s="131"/>
      <c r="X196" s="131"/>
      <c r="Y196" s="131"/>
      <c r="Z196" s="131"/>
      <c r="AA196" s="245"/>
      <c r="AB196" s="131"/>
      <c r="AC196" s="131"/>
      <c r="AD196" s="131"/>
      <c r="AE196" s="131"/>
      <c r="AF196" s="131"/>
      <c r="AG196" s="131"/>
      <c r="AH196" s="131"/>
      <c r="AI196" s="131"/>
      <c r="AJ196" s="131"/>
      <c r="AK196" s="131"/>
      <c r="AL196" s="131"/>
      <c r="AM196" s="131"/>
      <c r="AN196" s="131"/>
      <c r="AO196" s="131"/>
      <c r="AP196" s="131"/>
      <c r="AQ196" s="131"/>
      <c r="AR196" s="131"/>
      <c r="AS196" s="131"/>
      <c r="AT196" s="131"/>
      <c r="AU196" s="131"/>
      <c r="AV196" s="131"/>
      <c r="AW196" s="131"/>
      <c r="AX196" s="131"/>
      <c r="AY196" s="131"/>
      <c r="AZ196" s="131"/>
    </row>
    <row r="197" spans="1:52">
      <c r="A197" s="216" t="str">
        <f>IF(D197="","",VLOOKUP(G197,códigosORL!$H:$J,3,FALSE))</f>
        <v/>
      </c>
      <c r="B197" s="131"/>
      <c r="C197" s="258"/>
      <c r="D197" s="131"/>
      <c r="E197" s="131"/>
      <c r="F197" s="247"/>
      <c r="G197" s="131"/>
      <c r="H197" s="131"/>
      <c r="I197" s="131"/>
      <c r="J197" s="131"/>
      <c r="K197" s="131"/>
      <c r="L197" s="131"/>
      <c r="M197" s="131"/>
      <c r="N197" s="131"/>
      <c r="O197" s="131"/>
      <c r="P197" s="131"/>
      <c r="Q197" s="131"/>
      <c r="R197" s="131"/>
      <c r="S197" s="131"/>
      <c r="T197" s="131"/>
      <c r="U197" s="131"/>
      <c r="V197" s="131"/>
      <c r="W197" s="131"/>
      <c r="X197" s="131"/>
      <c r="Y197" s="131"/>
      <c r="Z197" s="131"/>
      <c r="AA197" s="245"/>
      <c r="AB197" s="131"/>
      <c r="AC197" s="131"/>
      <c r="AD197" s="131"/>
      <c r="AE197" s="131"/>
      <c r="AF197" s="131"/>
      <c r="AG197" s="131"/>
      <c r="AH197" s="131"/>
      <c r="AI197" s="131"/>
      <c r="AJ197" s="131"/>
      <c r="AK197" s="131"/>
      <c r="AL197" s="131"/>
      <c r="AM197" s="131"/>
      <c r="AN197" s="131"/>
      <c r="AO197" s="131"/>
      <c r="AP197" s="131"/>
      <c r="AQ197" s="131"/>
      <c r="AR197" s="131"/>
      <c r="AS197" s="131"/>
      <c r="AT197" s="131"/>
      <c r="AU197" s="131"/>
      <c r="AV197" s="131"/>
      <c r="AW197" s="131"/>
      <c r="AX197" s="131"/>
      <c r="AY197" s="131"/>
      <c r="AZ197" s="131"/>
    </row>
    <row r="198" spans="1:52">
      <c r="A198" s="216" t="str">
        <f>IF(D198="","",VLOOKUP(G198,códigosORL!$H:$J,3,FALSE))</f>
        <v/>
      </c>
      <c r="B198" s="131"/>
      <c r="C198" s="258"/>
      <c r="D198" s="131"/>
      <c r="E198" s="131"/>
      <c r="F198" s="247"/>
      <c r="G198" s="131"/>
      <c r="H198" s="131"/>
      <c r="I198" s="131"/>
      <c r="J198" s="131"/>
      <c r="K198" s="131"/>
      <c r="L198" s="131"/>
      <c r="M198" s="131"/>
      <c r="N198" s="131"/>
      <c r="O198" s="131"/>
      <c r="P198" s="131"/>
      <c r="Q198" s="131"/>
      <c r="R198" s="131"/>
      <c r="S198" s="131"/>
      <c r="T198" s="131"/>
      <c r="U198" s="131"/>
      <c r="V198" s="131"/>
      <c r="W198" s="131"/>
      <c r="X198" s="131"/>
      <c r="Y198" s="131"/>
      <c r="Z198" s="131"/>
      <c r="AA198" s="245"/>
      <c r="AB198" s="131"/>
      <c r="AC198" s="131"/>
      <c r="AD198" s="131"/>
      <c r="AE198" s="131"/>
      <c r="AF198" s="131"/>
      <c r="AG198" s="131"/>
      <c r="AH198" s="131"/>
      <c r="AI198" s="131"/>
      <c r="AJ198" s="131"/>
      <c r="AK198" s="131"/>
      <c r="AL198" s="131"/>
      <c r="AM198" s="131"/>
      <c r="AN198" s="131"/>
      <c r="AO198" s="131"/>
      <c r="AP198" s="131"/>
      <c r="AQ198" s="131"/>
      <c r="AR198" s="131"/>
      <c r="AS198" s="131"/>
      <c r="AT198" s="131"/>
      <c r="AU198" s="131"/>
      <c r="AV198" s="131"/>
      <c r="AW198" s="131"/>
      <c r="AX198" s="131"/>
      <c r="AY198" s="131"/>
      <c r="AZ198" s="131"/>
    </row>
    <row r="199" spans="1:52">
      <c r="A199" s="216" t="str">
        <f>IF(D199="","",VLOOKUP(G199,códigosORL!$H:$J,3,FALSE))</f>
        <v/>
      </c>
      <c r="B199" s="131"/>
      <c r="C199" s="258"/>
      <c r="D199" s="131"/>
      <c r="E199" s="131"/>
      <c r="F199" s="247"/>
      <c r="G199" s="131"/>
      <c r="H199" s="131"/>
      <c r="I199" s="131"/>
      <c r="J199" s="131"/>
      <c r="K199" s="131"/>
      <c r="L199" s="131"/>
      <c r="M199" s="131"/>
      <c r="N199" s="131"/>
      <c r="O199" s="131"/>
      <c r="P199" s="131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  <c r="AA199" s="245"/>
      <c r="AB199" s="131"/>
      <c r="AC199" s="131"/>
      <c r="AD199" s="131"/>
      <c r="AE199" s="131"/>
      <c r="AF199" s="131"/>
      <c r="AG199" s="131"/>
      <c r="AH199" s="131"/>
      <c r="AI199" s="131"/>
      <c r="AJ199" s="131"/>
      <c r="AK199" s="131"/>
      <c r="AL199" s="131"/>
      <c r="AM199" s="131"/>
      <c r="AN199" s="131"/>
      <c r="AO199" s="131"/>
      <c r="AP199" s="131"/>
      <c r="AQ199" s="131"/>
      <c r="AR199" s="131"/>
      <c r="AS199" s="131"/>
      <c r="AT199" s="131"/>
      <c r="AU199" s="131"/>
      <c r="AV199" s="131"/>
      <c r="AW199" s="131"/>
      <c r="AX199" s="131"/>
      <c r="AY199" s="131"/>
      <c r="AZ199" s="131"/>
    </row>
    <row r="200" spans="1:52">
      <c r="A200" s="216" t="str">
        <f>IF(D200="","",VLOOKUP(G200,códigosORL!$H:$J,3,FALSE))</f>
        <v/>
      </c>
      <c r="B200" s="131"/>
      <c r="C200" s="258"/>
      <c r="D200" s="131"/>
      <c r="E200" s="131"/>
      <c r="F200" s="247"/>
      <c r="G200" s="131"/>
      <c r="H200" s="131"/>
      <c r="I200" s="131"/>
      <c r="J200" s="131"/>
      <c r="K200" s="131"/>
      <c r="L200" s="131"/>
      <c r="M200" s="131"/>
      <c r="N200" s="131"/>
      <c r="O200" s="131"/>
      <c r="P200" s="131"/>
      <c r="Q200" s="131"/>
      <c r="R200" s="131"/>
      <c r="S200" s="131"/>
      <c r="T200" s="131"/>
      <c r="U200" s="131"/>
      <c r="V200" s="131"/>
      <c r="W200" s="131"/>
      <c r="X200" s="131"/>
      <c r="Y200" s="131"/>
      <c r="Z200" s="131"/>
      <c r="AA200" s="245"/>
      <c r="AB200" s="131"/>
      <c r="AC200" s="131"/>
      <c r="AD200" s="131"/>
      <c r="AE200" s="131"/>
      <c r="AF200" s="131"/>
      <c r="AG200" s="131"/>
      <c r="AH200" s="131"/>
      <c r="AI200" s="131"/>
      <c r="AJ200" s="131"/>
      <c r="AK200" s="131"/>
      <c r="AL200" s="131"/>
      <c r="AM200" s="131"/>
      <c r="AN200" s="131"/>
      <c r="AO200" s="131"/>
      <c r="AP200" s="131"/>
      <c r="AQ200" s="131"/>
      <c r="AR200" s="131"/>
      <c r="AS200" s="131"/>
      <c r="AT200" s="131"/>
      <c r="AU200" s="131"/>
      <c r="AV200" s="131"/>
      <c r="AW200" s="131"/>
      <c r="AX200" s="131"/>
      <c r="AY200" s="131"/>
      <c r="AZ200" s="131"/>
    </row>
    <row r="201" spans="1:52">
      <c r="A201" s="216" t="str">
        <f>IF(D201="","",VLOOKUP(G201,códigosORL!$H:$J,3,FALSE))</f>
        <v/>
      </c>
      <c r="B201" s="131"/>
      <c r="C201" s="258"/>
      <c r="D201" s="131"/>
      <c r="E201" s="131"/>
      <c r="F201" s="247"/>
      <c r="G201" s="131"/>
      <c r="H201" s="131"/>
      <c r="I201" s="131"/>
      <c r="J201" s="131"/>
      <c r="K201" s="131"/>
      <c r="L201" s="131"/>
      <c r="M201" s="131"/>
      <c r="N201" s="131"/>
      <c r="O201" s="131"/>
      <c r="P201" s="131"/>
      <c r="Q201" s="131"/>
      <c r="R201" s="131"/>
      <c r="S201" s="131"/>
      <c r="T201" s="131"/>
      <c r="U201" s="131"/>
      <c r="V201" s="131"/>
      <c r="W201" s="131"/>
      <c r="X201" s="131"/>
      <c r="Y201" s="131"/>
      <c r="Z201" s="131"/>
      <c r="AA201" s="245"/>
      <c r="AB201" s="131"/>
      <c r="AC201" s="131"/>
      <c r="AD201" s="131"/>
      <c r="AE201" s="131"/>
      <c r="AF201" s="131"/>
      <c r="AG201" s="131"/>
      <c r="AH201" s="131"/>
      <c r="AI201" s="131"/>
      <c r="AJ201" s="131"/>
      <c r="AK201" s="131"/>
      <c r="AL201" s="131"/>
      <c r="AM201" s="131"/>
      <c r="AN201" s="131"/>
      <c r="AO201" s="131"/>
      <c r="AP201" s="131"/>
      <c r="AQ201" s="131"/>
      <c r="AR201" s="131"/>
      <c r="AS201" s="131"/>
      <c r="AT201" s="131"/>
      <c r="AU201" s="131"/>
      <c r="AV201" s="131"/>
      <c r="AW201" s="131"/>
      <c r="AX201" s="131"/>
      <c r="AY201" s="131"/>
      <c r="AZ201" s="131"/>
    </row>
    <row r="202" spans="1:52">
      <c r="A202" s="216" t="str">
        <f>IF(D202="","",VLOOKUP(G202,códigosORL!$H:$J,3,FALSE))</f>
        <v/>
      </c>
      <c r="B202" s="131"/>
      <c r="C202" s="258"/>
      <c r="D202" s="131"/>
      <c r="E202" s="131"/>
      <c r="F202" s="247"/>
      <c r="G202" s="131"/>
      <c r="H202" s="131"/>
      <c r="I202" s="131"/>
      <c r="J202" s="131"/>
      <c r="K202" s="131"/>
      <c r="L202" s="131"/>
      <c r="M202" s="131"/>
      <c r="N202" s="131"/>
      <c r="O202" s="131"/>
      <c r="P202" s="131"/>
      <c r="Q202" s="131"/>
      <c r="R202" s="131"/>
      <c r="S202" s="131"/>
      <c r="T202" s="131"/>
      <c r="U202" s="131"/>
      <c r="V202" s="131"/>
      <c r="W202" s="131"/>
      <c r="X202" s="131"/>
      <c r="Y202" s="131"/>
      <c r="Z202" s="131"/>
      <c r="AA202" s="245"/>
      <c r="AB202" s="131"/>
      <c r="AC202" s="131"/>
      <c r="AD202" s="131"/>
      <c r="AE202" s="131"/>
      <c r="AF202" s="131"/>
      <c r="AG202" s="131"/>
      <c r="AH202" s="131"/>
      <c r="AI202" s="131"/>
      <c r="AJ202" s="131"/>
      <c r="AK202" s="131"/>
      <c r="AL202" s="131"/>
      <c r="AM202" s="131"/>
      <c r="AN202" s="131"/>
      <c r="AO202" s="131"/>
      <c r="AP202" s="131"/>
      <c r="AQ202" s="131"/>
      <c r="AR202" s="131"/>
      <c r="AS202" s="131"/>
      <c r="AT202" s="131"/>
      <c r="AU202" s="131"/>
      <c r="AV202" s="131"/>
      <c r="AW202" s="131"/>
      <c r="AX202" s="131"/>
      <c r="AY202" s="131"/>
      <c r="AZ202" s="131"/>
    </row>
    <row r="203" spans="1:52">
      <c r="A203" s="216" t="str">
        <f>IF(D203="","",VLOOKUP(G203,códigosORL!$H:$J,3,FALSE))</f>
        <v/>
      </c>
      <c r="B203" s="131"/>
      <c r="C203" s="258"/>
      <c r="D203" s="131"/>
      <c r="E203" s="131"/>
      <c r="F203" s="247"/>
      <c r="G203" s="131"/>
      <c r="H203" s="131"/>
      <c r="I203" s="131"/>
      <c r="J203" s="131"/>
      <c r="K203" s="131"/>
      <c r="L203" s="131"/>
      <c r="M203" s="131"/>
      <c r="N203" s="131"/>
      <c r="O203" s="131"/>
      <c r="P203" s="131"/>
      <c r="Q203" s="131"/>
      <c r="R203" s="131"/>
      <c r="S203" s="131"/>
      <c r="T203" s="131"/>
      <c r="U203" s="131"/>
      <c r="V203" s="131"/>
      <c r="W203" s="131"/>
      <c r="X203" s="131"/>
      <c r="Y203" s="131"/>
      <c r="Z203" s="131"/>
      <c r="AA203" s="245"/>
      <c r="AB203" s="131"/>
      <c r="AC203" s="131"/>
      <c r="AD203" s="131"/>
      <c r="AE203" s="131"/>
      <c r="AF203" s="131"/>
      <c r="AG203" s="131"/>
      <c r="AH203" s="131"/>
      <c r="AI203" s="131"/>
      <c r="AJ203" s="131"/>
      <c r="AK203" s="131"/>
      <c r="AL203" s="131"/>
      <c r="AM203" s="131"/>
      <c r="AN203" s="131"/>
      <c r="AO203" s="131"/>
      <c r="AP203" s="131"/>
      <c r="AQ203" s="131"/>
      <c r="AR203" s="131"/>
      <c r="AS203" s="131"/>
      <c r="AT203" s="131"/>
      <c r="AU203" s="131"/>
      <c r="AV203" s="131"/>
      <c r="AW203" s="131"/>
      <c r="AX203" s="131"/>
      <c r="AY203" s="131"/>
      <c r="AZ203" s="131"/>
    </row>
    <row r="204" spans="1:52">
      <c r="A204" s="216" t="str">
        <f>IF(D204="","",VLOOKUP(G204,códigosORL!$H:$J,3,FALSE))</f>
        <v/>
      </c>
      <c r="B204" s="131"/>
      <c r="C204" s="258"/>
      <c r="D204" s="131"/>
      <c r="E204" s="131"/>
      <c r="F204" s="247"/>
      <c r="G204" s="131"/>
      <c r="H204" s="131"/>
      <c r="I204" s="131"/>
      <c r="J204" s="131"/>
      <c r="K204" s="131"/>
      <c r="L204" s="131"/>
      <c r="M204" s="131"/>
      <c r="N204" s="131"/>
      <c r="O204" s="131"/>
      <c r="P204" s="131"/>
      <c r="Q204" s="131"/>
      <c r="R204" s="131"/>
      <c r="S204" s="131"/>
      <c r="T204" s="131"/>
      <c r="U204" s="131"/>
      <c r="V204" s="131"/>
      <c r="W204" s="131"/>
      <c r="X204" s="131"/>
      <c r="Y204" s="131"/>
      <c r="Z204" s="131"/>
      <c r="AA204" s="245"/>
      <c r="AB204" s="131"/>
      <c r="AC204" s="131"/>
      <c r="AD204" s="131"/>
      <c r="AE204" s="131"/>
      <c r="AF204" s="131"/>
      <c r="AG204" s="131"/>
      <c r="AH204" s="131"/>
      <c r="AI204" s="131"/>
      <c r="AJ204" s="131"/>
      <c r="AK204" s="131"/>
      <c r="AL204" s="131"/>
      <c r="AM204" s="131"/>
      <c r="AN204" s="131"/>
      <c r="AO204" s="131"/>
      <c r="AP204" s="131"/>
      <c r="AQ204" s="131"/>
      <c r="AR204" s="131"/>
      <c r="AS204" s="131"/>
      <c r="AT204" s="131"/>
      <c r="AU204" s="131"/>
      <c r="AV204" s="131"/>
      <c r="AW204" s="131"/>
      <c r="AX204" s="131"/>
      <c r="AY204" s="131"/>
      <c r="AZ204" s="131"/>
    </row>
    <row r="205" spans="1:52">
      <c r="A205" s="216" t="str">
        <f>IF(D205="","",VLOOKUP(G205,códigosORL!$H:$J,3,FALSE))</f>
        <v/>
      </c>
      <c r="B205" s="131"/>
      <c r="C205" s="258"/>
      <c r="D205" s="131"/>
      <c r="E205" s="131"/>
      <c r="F205" s="247"/>
      <c r="G205" s="131"/>
      <c r="H205" s="131"/>
      <c r="I205" s="131"/>
      <c r="J205" s="131"/>
      <c r="K205" s="131"/>
      <c r="L205" s="131"/>
      <c r="M205" s="131"/>
      <c r="N205" s="131"/>
      <c r="O205" s="131"/>
      <c r="P205" s="131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  <c r="AA205" s="245"/>
      <c r="AB205" s="131"/>
      <c r="AC205" s="131"/>
      <c r="AD205" s="131"/>
      <c r="AE205" s="131"/>
      <c r="AF205" s="131"/>
      <c r="AG205" s="131"/>
      <c r="AH205" s="131"/>
      <c r="AI205" s="131"/>
      <c r="AJ205" s="131"/>
      <c r="AK205" s="131"/>
      <c r="AL205" s="131"/>
      <c r="AM205" s="131"/>
      <c r="AN205" s="131"/>
      <c r="AO205" s="131"/>
      <c r="AP205" s="131"/>
      <c r="AQ205" s="131"/>
      <c r="AR205" s="131"/>
      <c r="AS205" s="131"/>
      <c r="AT205" s="131"/>
      <c r="AU205" s="131"/>
      <c r="AV205" s="131"/>
      <c r="AW205" s="131"/>
      <c r="AX205" s="131"/>
      <c r="AY205" s="131"/>
      <c r="AZ205" s="131"/>
    </row>
    <row r="206" spans="1:52">
      <c r="A206" s="216" t="str">
        <f>IF(D206="","",VLOOKUP(G206,códigosORL!$H:$J,3,FALSE))</f>
        <v/>
      </c>
      <c r="B206" s="131"/>
      <c r="C206" s="258"/>
      <c r="D206" s="131"/>
      <c r="E206" s="131"/>
      <c r="F206" s="247"/>
      <c r="G206" s="131"/>
      <c r="H206" s="131"/>
      <c r="I206" s="131"/>
      <c r="J206" s="131"/>
      <c r="K206" s="131"/>
      <c r="L206" s="131"/>
      <c r="M206" s="131"/>
      <c r="N206" s="131"/>
      <c r="O206" s="131"/>
      <c r="P206" s="131"/>
      <c r="Q206" s="131"/>
      <c r="R206" s="131"/>
      <c r="S206" s="131"/>
      <c r="T206" s="131"/>
      <c r="U206" s="131"/>
      <c r="V206" s="131"/>
      <c r="W206" s="131"/>
      <c r="X206" s="131"/>
      <c r="Y206" s="131"/>
      <c r="Z206" s="131"/>
      <c r="AA206" s="245"/>
      <c r="AB206" s="131"/>
      <c r="AC206" s="131"/>
      <c r="AD206" s="131"/>
      <c r="AE206" s="131"/>
      <c r="AF206" s="131"/>
      <c r="AG206" s="131"/>
      <c r="AH206" s="131"/>
      <c r="AI206" s="131"/>
      <c r="AJ206" s="131"/>
      <c r="AK206" s="131"/>
      <c r="AL206" s="131"/>
      <c r="AM206" s="131"/>
      <c r="AN206" s="131"/>
      <c r="AO206" s="131"/>
      <c r="AP206" s="131"/>
      <c r="AQ206" s="131"/>
      <c r="AR206" s="131"/>
      <c r="AS206" s="131"/>
      <c r="AT206" s="131"/>
      <c r="AU206" s="131"/>
      <c r="AV206" s="131"/>
      <c r="AW206" s="131"/>
      <c r="AX206" s="131"/>
      <c r="AY206" s="131"/>
      <c r="AZ206" s="131"/>
    </row>
    <row r="207" spans="1:52">
      <c r="A207" s="216" t="str">
        <f>IF(D207="","",VLOOKUP(G207,códigosORL!$H:$J,3,FALSE))</f>
        <v/>
      </c>
      <c r="B207" s="131"/>
      <c r="C207" s="258"/>
      <c r="D207" s="131"/>
      <c r="E207" s="131"/>
      <c r="F207" s="247"/>
      <c r="G207" s="131"/>
      <c r="H207" s="131"/>
      <c r="I207" s="131"/>
      <c r="J207" s="131"/>
      <c r="K207" s="131"/>
      <c r="L207" s="131"/>
      <c r="M207" s="131"/>
      <c r="N207" s="131"/>
      <c r="O207" s="131"/>
      <c r="P207" s="131"/>
      <c r="Q207" s="131"/>
      <c r="R207" s="131"/>
      <c r="S207" s="131"/>
      <c r="T207" s="131"/>
      <c r="U207" s="131"/>
      <c r="V207" s="131"/>
      <c r="W207" s="131"/>
      <c r="X207" s="131"/>
      <c r="Y207" s="131"/>
      <c r="Z207" s="131"/>
      <c r="AA207" s="245"/>
      <c r="AB207" s="131"/>
      <c r="AC207" s="131"/>
      <c r="AD207" s="131"/>
      <c r="AE207" s="131"/>
      <c r="AF207" s="131"/>
      <c r="AG207" s="131"/>
      <c r="AH207" s="131"/>
      <c r="AI207" s="131"/>
      <c r="AJ207" s="131"/>
      <c r="AK207" s="131"/>
      <c r="AL207" s="131"/>
      <c r="AM207" s="131"/>
      <c r="AN207" s="131"/>
      <c r="AO207" s="131"/>
      <c r="AP207" s="131"/>
      <c r="AQ207" s="131"/>
      <c r="AR207" s="131"/>
      <c r="AS207" s="131"/>
      <c r="AT207" s="131"/>
      <c r="AU207" s="131"/>
      <c r="AV207" s="131"/>
      <c r="AW207" s="131"/>
      <c r="AX207" s="131"/>
      <c r="AY207" s="131"/>
      <c r="AZ207" s="131"/>
    </row>
    <row r="208" spans="1:52">
      <c r="A208" s="216" t="str">
        <f>IF(D208="","",VLOOKUP(G208,códigosORL!$H:$J,3,FALSE))</f>
        <v/>
      </c>
      <c r="B208" s="131"/>
      <c r="C208" s="258"/>
      <c r="D208" s="131"/>
      <c r="E208" s="131"/>
      <c r="F208" s="247"/>
      <c r="G208" s="131"/>
      <c r="H208" s="131"/>
      <c r="I208" s="131"/>
      <c r="J208" s="131"/>
      <c r="K208" s="131"/>
      <c r="L208" s="131"/>
      <c r="M208" s="131"/>
      <c r="N208" s="131"/>
      <c r="O208" s="131"/>
      <c r="P208" s="131"/>
      <c r="Q208" s="131"/>
      <c r="R208" s="131"/>
      <c r="S208" s="131"/>
      <c r="T208" s="131"/>
      <c r="U208" s="131"/>
      <c r="V208" s="131"/>
      <c r="W208" s="131"/>
      <c r="X208" s="131"/>
      <c r="Y208" s="131"/>
      <c r="Z208" s="131"/>
      <c r="AA208" s="245"/>
      <c r="AB208" s="131"/>
      <c r="AC208" s="131"/>
      <c r="AD208" s="131"/>
      <c r="AE208" s="131"/>
      <c r="AF208" s="131"/>
      <c r="AG208" s="131"/>
      <c r="AH208" s="131"/>
      <c r="AI208" s="131"/>
      <c r="AJ208" s="131"/>
      <c r="AK208" s="131"/>
      <c r="AL208" s="131"/>
      <c r="AM208" s="131"/>
      <c r="AN208" s="131"/>
      <c r="AO208" s="131"/>
      <c r="AP208" s="131"/>
      <c r="AQ208" s="131"/>
      <c r="AR208" s="131"/>
      <c r="AS208" s="131"/>
      <c r="AT208" s="131"/>
      <c r="AU208" s="131"/>
      <c r="AV208" s="131"/>
      <c r="AW208" s="131"/>
      <c r="AX208" s="131"/>
      <c r="AY208" s="131"/>
      <c r="AZ208" s="131"/>
    </row>
    <row r="209" spans="1:52">
      <c r="A209" s="216" t="str">
        <f>IF(D209="","",VLOOKUP(G209,códigosORL!$H:$J,3,FALSE))</f>
        <v/>
      </c>
      <c r="B209" s="131"/>
      <c r="C209" s="258"/>
      <c r="D209" s="131"/>
      <c r="E209" s="131"/>
      <c r="F209" s="247"/>
      <c r="G209" s="131"/>
      <c r="H209" s="131"/>
      <c r="I209" s="131"/>
      <c r="J209" s="131"/>
      <c r="K209" s="131"/>
      <c r="L209" s="131"/>
      <c r="M209" s="131"/>
      <c r="N209" s="131"/>
      <c r="O209" s="131"/>
      <c r="P209" s="131"/>
      <c r="Q209" s="131"/>
      <c r="R209" s="131"/>
      <c r="S209" s="131"/>
      <c r="T209" s="131"/>
      <c r="U209" s="131"/>
      <c r="V209" s="131"/>
      <c r="W209" s="131"/>
      <c r="X209" s="131"/>
      <c r="Y209" s="131"/>
      <c r="Z209" s="131"/>
      <c r="AA209" s="245"/>
      <c r="AB209" s="131"/>
      <c r="AC209" s="131"/>
      <c r="AD209" s="131"/>
      <c r="AE209" s="131"/>
      <c r="AF209" s="131"/>
      <c r="AG209" s="131"/>
      <c r="AH209" s="131"/>
      <c r="AI209" s="131"/>
      <c r="AJ209" s="131"/>
      <c r="AK209" s="131"/>
      <c r="AL209" s="131"/>
      <c r="AM209" s="131"/>
      <c r="AN209" s="131"/>
      <c r="AO209" s="131"/>
      <c r="AP209" s="131"/>
      <c r="AQ209" s="131"/>
      <c r="AR209" s="131"/>
      <c r="AS209" s="131"/>
      <c r="AT209" s="131"/>
      <c r="AU209" s="131"/>
      <c r="AV209" s="131"/>
      <c r="AW209" s="131"/>
      <c r="AX209" s="131"/>
      <c r="AY209" s="131"/>
      <c r="AZ209" s="131"/>
    </row>
    <row r="210" spans="1:52">
      <c r="A210" s="216" t="str">
        <f>IF(D210="","",VLOOKUP(G210,códigosORL!$H:$J,3,FALSE))</f>
        <v/>
      </c>
      <c r="B210" s="131"/>
      <c r="C210" s="258"/>
      <c r="D210" s="131"/>
      <c r="E210" s="131"/>
      <c r="F210" s="247"/>
      <c r="G210" s="131"/>
      <c r="H210" s="131"/>
      <c r="I210" s="131"/>
      <c r="J210" s="131"/>
      <c r="K210" s="131"/>
      <c r="L210" s="131"/>
      <c r="M210" s="131"/>
      <c r="N210" s="131"/>
      <c r="O210" s="131"/>
      <c r="P210" s="131"/>
      <c r="Q210" s="131"/>
      <c r="R210" s="131"/>
      <c r="S210" s="131"/>
      <c r="T210" s="131"/>
      <c r="U210" s="131"/>
      <c r="V210" s="131"/>
      <c r="W210" s="131"/>
      <c r="X210" s="131"/>
      <c r="Y210" s="131"/>
      <c r="Z210" s="131"/>
      <c r="AA210" s="245"/>
      <c r="AB210" s="131"/>
      <c r="AC210" s="131"/>
      <c r="AD210" s="131"/>
      <c r="AE210" s="131"/>
      <c r="AF210" s="131"/>
      <c r="AG210" s="131"/>
      <c r="AH210" s="131"/>
      <c r="AI210" s="131"/>
      <c r="AJ210" s="131"/>
      <c r="AK210" s="131"/>
      <c r="AL210" s="131"/>
      <c r="AM210" s="131"/>
      <c r="AN210" s="131"/>
      <c r="AO210" s="131"/>
      <c r="AP210" s="131"/>
      <c r="AQ210" s="131"/>
      <c r="AR210" s="131"/>
      <c r="AS210" s="131"/>
      <c r="AT210" s="131"/>
      <c r="AU210" s="131"/>
      <c r="AV210" s="131"/>
      <c r="AW210" s="131"/>
      <c r="AX210" s="131"/>
      <c r="AY210" s="131"/>
      <c r="AZ210" s="131"/>
    </row>
    <row r="211" spans="1:52">
      <c r="A211" s="216" t="str">
        <f>IF(D211="","",VLOOKUP(G211,códigosORL!$H:$J,3,FALSE))</f>
        <v/>
      </c>
      <c r="B211" s="131"/>
      <c r="C211" s="258"/>
      <c r="D211" s="131"/>
      <c r="E211" s="131"/>
      <c r="F211" s="247"/>
      <c r="G211" s="131"/>
      <c r="H211" s="131"/>
      <c r="I211" s="131"/>
      <c r="J211" s="131"/>
      <c r="K211" s="131"/>
      <c r="L211" s="131"/>
      <c r="M211" s="131"/>
      <c r="N211" s="131"/>
      <c r="O211" s="131"/>
      <c r="P211" s="131"/>
      <c r="Q211" s="131"/>
      <c r="R211" s="131"/>
      <c r="S211" s="131"/>
      <c r="T211" s="131"/>
      <c r="U211" s="131"/>
      <c r="V211" s="131"/>
      <c r="W211" s="131"/>
      <c r="X211" s="131"/>
      <c r="Y211" s="131"/>
      <c r="Z211" s="131"/>
      <c r="AA211" s="245"/>
      <c r="AB211" s="131"/>
      <c r="AC211" s="131"/>
      <c r="AD211" s="131"/>
      <c r="AE211" s="131"/>
      <c r="AF211" s="131"/>
      <c r="AG211" s="131"/>
      <c r="AH211" s="131"/>
      <c r="AI211" s="131"/>
      <c r="AJ211" s="131"/>
      <c r="AK211" s="131"/>
      <c r="AL211" s="131"/>
      <c r="AM211" s="131"/>
      <c r="AN211" s="131"/>
      <c r="AO211" s="131"/>
      <c r="AP211" s="131"/>
      <c r="AQ211" s="131"/>
      <c r="AR211" s="131"/>
      <c r="AS211" s="131"/>
      <c r="AT211" s="131"/>
      <c r="AU211" s="131"/>
      <c r="AV211" s="131"/>
      <c r="AW211" s="131"/>
      <c r="AX211" s="131"/>
      <c r="AY211" s="131"/>
      <c r="AZ211" s="131"/>
    </row>
    <row r="212" spans="1:52">
      <c r="A212" s="216" t="str">
        <f>IF(D212="","",VLOOKUP(G212,códigosORL!$H:$J,3,FALSE))</f>
        <v/>
      </c>
      <c r="B212" s="131"/>
      <c r="C212" s="258"/>
      <c r="D212" s="131"/>
      <c r="E212" s="131"/>
      <c r="F212" s="247"/>
      <c r="G212" s="131"/>
      <c r="H212" s="131"/>
      <c r="I212" s="131"/>
      <c r="J212" s="131"/>
      <c r="K212" s="131"/>
      <c r="L212" s="131"/>
      <c r="M212" s="131"/>
      <c r="N212" s="131"/>
      <c r="O212" s="131"/>
      <c r="P212" s="131"/>
      <c r="Q212" s="131"/>
      <c r="R212" s="131"/>
      <c r="S212" s="131"/>
      <c r="T212" s="131"/>
      <c r="U212" s="131"/>
      <c r="V212" s="131"/>
      <c r="W212" s="131"/>
      <c r="X212" s="131"/>
      <c r="Y212" s="131"/>
      <c r="Z212" s="131"/>
      <c r="AA212" s="245"/>
      <c r="AB212" s="131"/>
      <c r="AC212" s="131"/>
      <c r="AD212" s="131"/>
      <c r="AE212" s="131"/>
      <c r="AF212" s="131"/>
      <c r="AG212" s="131"/>
      <c r="AH212" s="131"/>
      <c r="AI212" s="131"/>
      <c r="AJ212" s="131"/>
      <c r="AK212" s="131"/>
      <c r="AL212" s="131"/>
      <c r="AM212" s="131"/>
      <c r="AN212" s="131"/>
      <c r="AO212" s="131"/>
      <c r="AP212" s="131"/>
      <c r="AQ212" s="131"/>
      <c r="AR212" s="131"/>
      <c r="AS212" s="131"/>
      <c r="AT212" s="131"/>
      <c r="AU212" s="131"/>
      <c r="AV212" s="131"/>
      <c r="AW212" s="131"/>
      <c r="AX212" s="131"/>
      <c r="AY212" s="131"/>
      <c r="AZ212" s="131"/>
    </row>
    <row r="213" spans="1:52">
      <c r="A213" s="216" t="str">
        <f>IF(D213="","",VLOOKUP(G213,códigosORL!$H:$J,3,FALSE))</f>
        <v/>
      </c>
      <c r="B213" s="131"/>
      <c r="C213" s="258"/>
      <c r="D213" s="131"/>
      <c r="E213" s="131"/>
      <c r="F213" s="247"/>
      <c r="G213" s="131"/>
      <c r="H213" s="131"/>
      <c r="I213" s="131"/>
      <c r="J213" s="131"/>
      <c r="K213" s="131"/>
      <c r="L213" s="131"/>
      <c r="M213" s="131"/>
      <c r="N213" s="131"/>
      <c r="O213" s="131"/>
      <c r="P213" s="131"/>
      <c r="Q213" s="131"/>
      <c r="R213" s="131"/>
      <c r="S213" s="131"/>
      <c r="T213" s="131"/>
      <c r="U213" s="131"/>
      <c r="V213" s="131"/>
      <c r="W213" s="131"/>
      <c r="X213" s="131"/>
      <c r="Y213" s="131"/>
      <c r="Z213" s="131"/>
      <c r="AA213" s="245"/>
      <c r="AB213" s="131"/>
      <c r="AC213" s="131"/>
      <c r="AD213" s="131"/>
      <c r="AE213" s="131"/>
      <c r="AF213" s="131"/>
      <c r="AG213" s="131"/>
      <c r="AH213" s="131"/>
      <c r="AI213" s="131"/>
      <c r="AJ213" s="131"/>
      <c r="AK213" s="131"/>
      <c r="AL213" s="131"/>
      <c r="AM213" s="131"/>
      <c r="AN213" s="131"/>
      <c r="AO213" s="131"/>
      <c r="AP213" s="131"/>
      <c r="AQ213" s="131"/>
      <c r="AR213" s="131"/>
      <c r="AS213" s="131"/>
      <c r="AT213" s="131"/>
      <c r="AU213" s="131"/>
      <c r="AV213" s="131"/>
      <c r="AW213" s="131"/>
      <c r="AX213" s="131"/>
      <c r="AY213" s="131"/>
      <c r="AZ213" s="131"/>
    </row>
    <row r="214" spans="1:52">
      <c r="A214" s="216" t="str">
        <f>IF(D214="","",VLOOKUP(G214,códigosORL!$H:$J,3,FALSE))</f>
        <v/>
      </c>
      <c r="B214" s="131"/>
      <c r="C214" s="258"/>
      <c r="D214" s="131"/>
      <c r="E214" s="131"/>
      <c r="F214" s="247"/>
      <c r="G214" s="131"/>
      <c r="H214" s="131"/>
      <c r="I214" s="131"/>
      <c r="J214" s="131"/>
      <c r="K214" s="131"/>
      <c r="L214" s="131"/>
      <c r="M214" s="131"/>
      <c r="N214" s="131"/>
      <c r="O214" s="131"/>
      <c r="P214" s="131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  <c r="AA214" s="245"/>
      <c r="AB214" s="131"/>
      <c r="AC214" s="131"/>
      <c r="AD214" s="131"/>
      <c r="AE214" s="131"/>
      <c r="AF214" s="131"/>
      <c r="AG214" s="131"/>
      <c r="AH214" s="131"/>
      <c r="AI214" s="131"/>
      <c r="AJ214" s="131"/>
      <c r="AK214" s="131"/>
      <c r="AL214" s="131"/>
      <c r="AM214" s="131"/>
      <c r="AN214" s="131"/>
      <c r="AO214" s="131"/>
      <c r="AP214" s="131"/>
      <c r="AQ214" s="131"/>
      <c r="AR214" s="131"/>
      <c r="AS214" s="131"/>
      <c r="AT214" s="131"/>
      <c r="AU214" s="131"/>
      <c r="AV214" s="131"/>
      <c r="AW214" s="131"/>
      <c r="AX214" s="131"/>
      <c r="AY214" s="131"/>
      <c r="AZ214" s="131"/>
    </row>
    <row r="215" spans="1:52">
      <c r="A215" s="216" t="str">
        <f>IF(D215="","",VLOOKUP(G215,códigosORL!$H:$J,3,FALSE))</f>
        <v/>
      </c>
      <c r="B215" s="131"/>
      <c r="C215" s="258"/>
      <c r="D215" s="131"/>
      <c r="E215" s="131"/>
      <c r="F215" s="247"/>
      <c r="G215" s="131"/>
      <c r="H215" s="131"/>
      <c r="I215" s="131"/>
      <c r="J215" s="131"/>
      <c r="K215" s="131"/>
      <c r="L215" s="131"/>
      <c r="M215" s="131"/>
      <c r="N215" s="131"/>
      <c r="O215" s="131"/>
      <c r="P215" s="131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  <c r="AA215" s="245"/>
      <c r="AB215" s="131"/>
      <c r="AC215" s="131"/>
      <c r="AD215" s="131"/>
      <c r="AE215" s="131"/>
      <c r="AF215" s="131"/>
      <c r="AG215" s="131"/>
      <c r="AH215" s="131"/>
      <c r="AI215" s="131"/>
      <c r="AJ215" s="131"/>
      <c r="AK215" s="131"/>
      <c r="AL215" s="131"/>
      <c r="AM215" s="131"/>
      <c r="AN215" s="131"/>
      <c r="AO215" s="131"/>
      <c r="AP215" s="131"/>
      <c r="AQ215" s="131"/>
      <c r="AR215" s="131"/>
      <c r="AS215" s="131"/>
      <c r="AT215" s="131"/>
      <c r="AU215" s="131"/>
      <c r="AV215" s="131"/>
      <c r="AW215" s="131"/>
      <c r="AX215" s="131"/>
      <c r="AY215" s="131"/>
      <c r="AZ215" s="131"/>
    </row>
    <row r="216" spans="1:52">
      <c r="A216" s="216" t="str">
        <f>IF(D216="","",VLOOKUP(G216,códigosORL!$H:$J,3,FALSE))</f>
        <v/>
      </c>
      <c r="B216" s="131"/>
      <c r="C216" s="258"/>
      <c r="D216" s="131"/>
      <c r="E216" s="131"/>
      <c r="F216" s="247"/>
      <c r="G216" s="131"/>
      <c r="H216" s="131"/>
      <c r="I216" s="131"/>
      <c r="J216" s="131"/>
      <c r="K216" s="131"/>
      <c r="L216" s="131"/>
      <c r="M216" s="131"/>
      <c r="N216" s="131"/>
      <c r="O216" s="131"/>
      <c r="P216" s="131"/>
      <c r="Q216" s="131"/>
      <c r="R216" s="131"/>
      <c r="S216" s="131"/>
      <c r="T216" s="131"/>
      <c r="U216" s="131"/>
      <c r="V216" s="131"/>
      <c r="W216" s="131"/>
      <c r="X216" s="131"/>
      <c r="Y216" s="131"/>
      <c r="Z216" s="131"/>
      <c r="AA216" s="245"/>
      <c r="AB216" s="131"/>
      <c r="AC216" s="131"/>
      <c r="AD216" s="131"/>
      <c r="AE216" s="131"/>
      <c r="AF216" s="131"/>
      <c r="AG216" s="131"/>
      <c r="AH216" s="131"/>
      <c r="AI216" s="131"/>
      <c r="AJ216" s="131"/>
      <c r="AK216" s="131"/>
      <c r="AL216" s="131"/>
      <c r="AM216" s="131"/>
      <c r="AN216" s="131"/>
      <c r="AO216" s="131"/>
      <c r="AP216" s="131"/>
      <c r="AQ216" s="131"/>
      <c r="AR216" s="131"/>
      <c r="AS216" s="131"/>
      <c r="AT216" s="131"/>
      <c r="AU216" s="131"/>
      <c r="AV216" s="131"/>
      <c r="AW216" s="131"/>
      <c r="AX216" s="131"/>
      <c r="AY216" s="131"/>
      <c r="AZ216" s="131"/>
    </row>
    <row r="217" spans="1:52">
      <c r="A217" s="216" t="str">
        <f>IF(D217="","",VLOOKUP(G217,códigosORL!$H:$J,3,FALSE))</f>
        <v/>
      </c>
      <c r="B217" s="131"/>
      <c r="C217" s="258"/>
      <c r="D217" s="131"/>
      <c r="E217" s="131"/>
      <c r="F217" s="247"/>
      <c r="G217" s="131"/>
      <c r="H217" s="131"/>
      <c r="I217" s="131"/>
      <c r="J217" s="131"/>
      <c r="K217" s="131"/>
      <c r="L217" s="131"/>
      <c r="M217" s="131"/>
      <c r="N217" s="131"/>
      <c r="O217" s="131"/>
      <c r="P217" s="131"/>
      <c r="Q217" s="131"/>
      <c r="R217" s="131"/>
      <c r="S217" s="131"/>
      <c r="T217" s="131"/>
      <c r="U217" s="131"/>
      <c r="V217" s="131"/>
      <c r="W217" s="131"/>
      <c r="X217" s="131"/>
      <c r="Y217" s="131"/>
      <c r="Z217" s="131"/>
      <c r="AA217" s="245"/>
      <c r="AB217" s="131"/>
      <c r="AC217" s="131"/>
      <c r="AD217" s="131"/>
      <c r="AE217" s="131"/>
      <c r="AF217" s="131"/>
      <c r="AG217" s="131"/>
      <c r="AH217" s="131"/>
      <c r="AI217" s="131"/>
      <c r="AJ217" s="131"/>
      <c r="AK217" s="131"/>
      <c r="AL217" s="131"/>
      <c r="AM217" s="131"/>
      <c r="AN217" s="131"/>
      <c r="AO217" s="131"/>
      <c r="AP217" s="131"/>
      <c r="AQ217" s="131"/>
      <c r="AR217" s="131"/>
      <c r="AS217" s="131"/>
      <c r="AT217" s="131"/>
      <c r="AU217" s="131"/>
      <c r="AV217" s="131"/>
      <c r="AW217" s="131"/>
      <c r="AX217" s="131"/>
      <c r="AY217" s="131"/>
      <c r="AZ217" s="131"/>
    </row>
    <row r="218" spans="1:52">
      <c r="A218" s="216" t="str">
        <f>IF(D218="","",VLOOKUP(G218,códigosORL!$H:$J,3,FALSE))</f>
        <v/>
      </c>
      <c r="B218" s="131"/>
      <c r="C218" s="258"/>
      <c r="D218" s="131"/>
      <c r="E218" s="131"/>
      <c r="F218" s="247"/>
      <c r="G218" s="131"/>
      <c r="H218" s="131"/>
      <c r="I218" s="131"/>
      <c r="J218" s="131"/>
      <c r="K218" s="131"/>
      <c r="L218" s="131"/>
      <c r="M218" s="131"/>
      <c r="N218" s="131"/>
      <c r="O218" s="131"/>
      <c r="P218" s="131"/>
      <c r="Q218" s="131"/>
      <c r="R218" s="131"/>
      <c r="S218" s="131"/>
      <c r="T218" s="131"/>
      <c r="U218" s="131"/>
      <c r="V218" s="131"/>
      <c r="W218" s="131"/>
      <c r="X218" s="131"/>
      <c r="Y218" s="131"/>
      <c r="Z218" s="131"/>
      <c r="AA218" s="245"/>
      <c r="AB218" s="131"/>
      <c r="AC218" s="131"/>
      <c r="AD218" s="131"/>
      <c r="AE218" s="131"/>
      <c r="AF218" s="131"/>
      <c r="AG218" s="131"/>
      <c r="AH218" s="131"/>
      <c r="AI218" s="131"/>
      <c r="AJ218" s="131"/>
      <c r="AK218" s="131"/>
      <c r="AL218" s="131"/>
      <c r="AM218" s="131"/>
      <c r="AN218" s="131"/>
      <c r="AO218" s="131"/>
      <c r="AP218" s="131"/>
      <c r="AQ218" s="131"/>
      <c r="AR218" s="131"/>
      <c r="AS218" s="131"/>
      <c r="AT218" s="131"/>
      <c r="AU218" s="131"/>
      <c r="AV218" s="131"/>
      <c r="AW218" s="131"/>
      <c r="AX218" s="131"/>
      <c r="AY218" s="131"/>
      <c r="AZ218" s="131"/>
    </row>
    <row r="219" spans="1:52">
      <c r="A219" s="216" t="str">
        <f>IF(D219="","",VLOOKUP(G219,códigosORL!$H:$J,3,FALSE))</f>
        <v/>
      </c>
      <c r="B219" s="131"/>
      <c r="C219" s="258"/>
      <c r="D219" s="131"/>
      <c r="E219" s="131"/>
      <c r="F219" s="247"/>
      <c r="G219" s="131"/>
      <c r="H219" s="131"/>
      <c r="I219" s="131"/>
      <c r="J219" s="131"/>
      <c r="K219" s="131"/>
      <c r="L219" s="131"/>
      <c r="M219" s="131"/>
      <c r="N219" s="131"/>
      <c r="O219" s="131"/>
      <c r="P219" s="131"/>
      <c r="Q219" s="131"/>
      <c r="R219" s="131"/>
      <c r="S219" s="131"/>
      <c r="T219" s="131"/>
      <c r="U219" s="131"/>
      <c r="V219" s="131"/>
      <c r="W219" s="131"/>
      <c r="X219" s="131"/>
      <c r="Y219" s="131"/>
      <c r="Z219" s="131"/>
      <c r="AA219" s="245"/>
      <c r="AB219" s="131"/>
      <c r="AC219" s="131"/>
      <c r="AD219" s="131"/>
      <c r="AE219" s="131"/>
      <c r="AF219" s="131"/>
      <c r="AG219" s="131"/>
      <c r="AH219" s="131"/>
      <c r="AI219" s="131"/>
      <c r="AJ219" s="131"/>
      <c r="AK219" s="131"/>
      <c r="AL219" s="131"/>
      <c r="AM219" s="131"/>
      <c r="AN219" s="131"/>
      <c r="AO219" s="131"/>
      <c r="AP219" s="131"/>
      <c r="AQ219" s="131"/>
      <c r="AR219" s="131"/>
      <c r="AS219" s="131"/>
      <c r="AT219" s="131"/>
      <c r="AU219" s="131"/>
      <c r="AV219" s="131"/>
      <c r="AW219" s="131"/>
      <c r="AX219" s="131"/>
      <c r="AY219" s="131"/>
      <c r="AZ219" s="131"/>
    </row>
    <row r="220" spans="1:52">
      <c r="A220" s="216" t="str">
        <f>IF(D220="","",VLOOKUP(G220,códigosORL!$H:$J,3,FALSE))</f>
        <v/>
      </c>
      <c r="B220" s="131"/>
      <c r="C220" s="258"/>
      <c r="D220" s="131"/>
      <c r="E220" s="131"/>
      <c r="F220" s="247"/>
      <c r="G220" s="131"/>
      <c r="H220" s="131"/>
      <c r="I220" s="131"/>
      <c r="J220" s="131"/>
      <c r="K220" s="131"/>
      <c r="L220" s="131"/>
      <c r="M220" s="131"/>
      <c r="N220" s="131"/>
      <c r="O220" s="131"/>
      <c r="P220" s="131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  <c r="AA220" s="245"/>
      <c r="AB220" s="131"/>
      <c r="AC220" s="131"/>
      <c r="AD220" s="131"/>
      <c r="AE220" s="131"/>
      <c r="AF220" s="131"/>
      <c r="AG220" s="131"/>
      <c r="AH220" s="131"/>
      <c r="AI220" s="131"/>
      <c r="AJ220" s="131"/>
      <c r="AK220" s="131"/>
      <c r="AL220" s="131"/>
      <c r="AM220" s="131"/>
      <c r="AN220" s="131"/>
      <c r="AO220" s="131"/>
      <c r="AP220" s="131"/>
      <c r="AQ220" s="131"/>
      <c r="AR220" s="131"/>
      <c r="AS220" s="131"/>
      <c r="AT220" s="131"/>
      <c r="AU220" s="131"/>
      <c r="AV220" s="131"/>
      <c r="AW220" s="131"/>
      <c r="AX220" s="131"/>
      <c r="AY220" s="131"/>
      <c r="AZ220" s="131"/>
    </row>
    <row r="221" spans="1:52">
      <c r="A221" s="216" t="str">
        <f>IF(D221="","",VLOOKUP(G221,códigosORL!$H:$J,3,FALSE))</f>
        <v/>
      </c>
      <c r="B221" s="131"/>
      <c r="C221" s="258"/>
      <c r="D221" s="131"/>
      <c r="E221" s="131"/>
      <c r="F221" s="247"/>
      <c r="G221" s="131"/>
      <c r="H221" s="131"/>
      <c r="I221" s="131"/>
      <c r="J221" s="131"/>
      <c r="K221" s="131"/>
      <c r="L221" s="131"/>
      <c r="M221" s="131"/>
      <c r="N221" s="131"/>
      <c r="O221" s="131"/>
      <c r="P221" s="131"/>
      <c r="Q221" s="131"/>
      <c r="R221" s="131"/>
      <c r="S221" s="131"/>
      <c r="T221" s="131"/>
      <c r="U221" s="131"/>
      <c r="V221" s="131"/>
      <c r="W221" s="131"/>
      <c r="X221" s="131"/>
      <c r="Y221" s="131"/>
      <c r="Z221" s="131"/>
      <c r="AA221" s="245"/>
      <c r="AB221" s="131"/>
      <c r="AC221" s="131"/>
      <c r="AD221" s="131"/>
      <c r="AE221" s="131"/>
      <c r="AF221" s="131"/>
      <c r="AG221" s="131"/>
      <c r="AH221" s="131"/>
      <c r="AI221" s="131"/>
      <c r="AJ221" s="131"/>
      <c r="AK221" s="131"/>
      <c r="AL221" s="131"/>
      <c r="AM221" s="131"/>
      <c r="AN221" s="131"/>
      <c r="AO221" s="131"/>
      <c r="AP221" s="131"/>
      <c r="AQ221" s="131"/>
      <c r="AR221" s="131"/>
      <c r="AS221" s="131"/>
      <c r="AT221" s="131"/>
      <c r="AU221" s="131"/>
      <c r="AV221" s="131"/>
      <c r="AW221" s="131"/>
      <c r="AX221" s="131"/>
      <c r="AY221" s="131"/>
      <c r="AZ221" s="131"/>
    </row>
    <row r="222" spans="1:52">
      <c r="A222" s="216" t="str">
        <f>IF(D222="","",VLOOKUP(G222,códigosORL!$H:$J,3,FALSE))</f>
        <v/>
      </c>
      <c r="B222" s="131"/>
      <c r="C222" s="258"/>
      <c r="D222" s="131"/>
      <c r="E222" s="131"/>
      <c r="F222" s="247"/>
      <c r="G222" s="131"/>
      <c r="H222" s="131"/>
      <c r="I222" s="131"/>
      <c r="J222" s="131"/>
      <c r="K222" s="131"/>
      <c r="L222" s="131"/>
      <c r="M222" s="131"/>
      <c r="N222" s="131"/>
      <c r="O222" s="131"/>
      <c r="P222" s="131"/>
      <c r="Q222" s="131"/>
      <c r="R222" s="131"/>
      <c r="S222" s="131"/>
      <c r="T222" s="131"/>
      <c r="U222" s="131"/>
      <c r="V222" s="131"/>
      <c r="W222" s="131"/>
      <c r="X222" s="131"/>
      <c r="Y222" s="131"/>
      <c r="Z222" s="131"/>
      <c r="AA222" s="245"/>
      <c r="AB222" s="131"/>
      <c r="AC222" s="131"/>
      <c r="AD222" s="131"/>
      <c r="AE222" s="131"/>
      <c r="AF222" s="131"/>
      <c r="AG222" s="131"/>
      <c r="AH222" s="131"/>
      <c r="AI222" s="131"/>
      <c r="AJ222" s="131"/>
      <c r="AK222" s="131"/>
      <c r="AL222" s="131"/>
      <c r="AM222" s="131"/>
      <c r="AN222" s="131"/>
      <c r="AO222" s="131"/>
      <c r="AP222" s="131"/>
      <c r="AQ222" s="131"/>
      <c r="AR222" s="131"/>
      <c r="AS222" s="131"/>
      <c r="AT222" s="131"/>
      <c r="AU222" s="131"/>
      <c r="AV222" s="131"/>
      <c r="AW222" s="131"/>
      <c r="AX222" s="131"/>
      <c r="AY222" s="131"/>
      <c r="AZ222" s="131"/>
    </row>
    <row r="223" spans="1:52">
      <c r="A223" s="216" t="str">
        <f>IF(D223="","",VLOOKUP(G223,códigosORL!$H:$J,3,FALSE))</f>
        <v/>
      </c>
      <c r="B223" s="131"/>
      <c r="C223" s="258"/>
      <c r="D223" s="131"/>
      <c r="E223" s="131"/>
      <c r="F223" s="247"/>
      <c r="G223" s="131"/>
      <c r="H223" s="131"/>
      <c r="I223" s="131"/>
      <c r="J223" s="131"/>
      <c r="K223" s="131"/>
      <c r="L223" s="131"/>
      <c r="M223" s="131"/>
      <c r="N223" s="131"/>
      <c r="O223" s="131"/>
      <c r="P223" s="131"/>
      <c r="Q223" s="131"/>
      <c r="R223" s="131"/>
      <c r="S223" s="131"/>
      <c r="T223" s="131"/>
      <c r="U223" s="131"/>
      <c r="V223" s="131"/>
      <c r="W223" s="131"/>
      <c r="X223" s="131"/>
      <c r="Y223" s="131"/>
      <c r="Z223" s="131"/>
      <c r="AA223" s="245"/>
      <c r="AB223" s="131"/>
      <c r="AC223" s="131"/>
      <c r="AD223" s="131"/>
      <c r="AE223" s="131"/>
      <c r="AF223" s="131"/>
      <c r="AG223" s="131"/>
      <c r="AH223" s="131"/>
      <c r="AI223" s="131"/>
      <c r="AJ223" s="131"/>
      <c r="AK223" s="131"/>
      <c r="AL223" s="131"/>
      <c r="AM223" s="131"/>
      <c r="AN223" s="131"/>
      <c r="AO223" s="131"/>
      <c r="AP223" s="131"/>
      <c r="AQ223" s="131"/>
      <c r="AR223" s="131"/>
      <c r="AS223" s="131"/>
      <c r="AT223" s="131"/>
      <c r="AU223" s="131"/>
      <c r="AV223" s="131"/>
      <c r="AW223" s="131"/>
      <c r="AX223" s="131"/>
      <c r="AY223" s="131"/>
      <c r="AZ223" s="131"/>
    </row>
    <row r="224" spans="1:52">
      <c r="A224" s="216" t="str">
        <f>IF(D224="","",VLOOKUP(G224,códigosORL!$H:$J,3,FALSE))</f>
        <v/>
      </c>
      <c r="B224" s="131"/>
      <c r="C224" s="258"/>
      <c r="D224" s="131"/>
      <c r="E224" s="131"/>
      <c r="F224" s="247"/>
      <c r="G224" s="131"/>
      <c r="H224" s="131"/>
      <c r="I224" s="131"/>
      <c r="J224" s="131"/>
      <c r="K224" s="131"/>
      <c r="L224" s="131"/>
      <c r="M224" s="131"/>
      <c r="N224" s="131"/>
      <c r="O224" s="131"/>
      <c r="P224" s="131"/>
      <c r="Q224" s="131"/>
      <c r="R224" s="131"/>
      <c r="S224" s="131"/>
      <c r="T224" s="131"/>
      <c r="U224" s="131"/>
      <c r="V224" s="131"/>
      <c r="W224" s="131"/>
      <c r="X224" s="131"/>
      <c r="Y224" s="131"/>
      <c r="Z224" s="131"/>
      <c r="AA224" s="245"/>
      <c r="AB224" s="131"/>
      <c r="AC224" s="131"/>
      <c r="AD224" s="131"/>
      <c r="AE224" s="131"/>
      <c r="AF224" s="131"/>
      <c r="AG224" s="131"/>
      <c r="AH224" s="131"/>
      <c r="AI224" s="131"/>
      <c r="AJ224" s="131"/>
      <c r="AK224" s="131"/>
      <c r="AL224" s="131"/>
      <c r="AM224" s="131"/>
      <c r="AN224" s="131"/>
      <c r="AO224" s="131"/>
      <c r="AP224" s="131"/>
      <c r="AQ224" s="131"/>
      <c r="AR224" s="131"/>
      <c r="AS224" s="131"/>
      <c r="AT224" s="131"/>
      <c r="AU224" s="131"/>
      <c r="AV224" s="131"/>
      <c r="AW224" s="131"/>
      <c r="AX224" s="131"/>
      <c r="AY224" s="131"/>
      <c r="AZ224" s="131"/>
    </row>
    <row r="225" spans="1:52">
      <c r="A225" s="216" t="str">
        <f>IF(D225="","",VLOOKUP(G225,códigosORL!$H:$J,3,FALSE))</f>
        <v/>
      </c>
      <c r="B225" s="131"/>
      <c r="C225" s="258"/>
      <c r="D225" s="131"/>
      <c r="E225" s="131"/>
      <c r="F225" s="247"/>
      <c r="G225" s="131"/>
      <c r="H225" s="131"/>
      <c r="I225" s="131"/>
      <c r="J225" s="131"/>
      <c r="K225" s="131"/>
      <c r="L225" s="131"/>
      <c r="M225" s="131"/>
      <c r="N225" s="131"/>
      <c r="O225" s="131"/>
      <c r="P225" s="131"/>
      <c r="Q225" s="131"/>
      <c r="R225" s="131"/>
      <c r="S225" s="131"/>
      <c r="T225" s="131"/>
      <c r="U225" s="131"/>
      <c r="V225" s="131"/>
      <c r="W225" s="131"/>
      <c r="X225" s="131"/>
      <c r="Y225" s="131"/>
      <c r="Z225" s="131"/>
      <c r="AA225" s="245"/>
      <c r="AB225" s="131"/>
      <c r="AC225" s="131"/>
      <c r="AD225" s="131"/>
      <c r="AE225" s="131"/>
      <c r="AF225" s="131"/>
      <c r="AG225" s="131"/>
      <c r="AH225" s="131"/>
      <c r="AI225" s="131"/>
      <c r="AJ225" s="131"/>
      <c r="AK225" s="131"/>
      <c r="AL225" s="131"/>
      <c r="AM225" s="131"/>
      <c r="AN225" s="131"/>
      <c r="AO225" s="131"/>
      <c r="AP225" s="131"/>
      <c r="AQ225" s="131"/>
      <c r="AR225" s="131"/>
      <c r="AS225" s="131"/>
      <c r="AT225" s="131"/>
      <c r="AU225" s="131"/>
      <c r="AV225" s="131"/>
      <c r="AW225" s="131"/>
      <c r="AX225" s="131"/>
      <c r="AY225" s="131"/>
      <c r="AZ225" s="131"/>
    </row>
    <row r="226" spans="1:52">
      <c r="A226" s="216" t="str">
        <f>IF(D226="","",VLOOKUP(G226,códigosORL!$H:$J,3,FALSE))</f>
        <v/>
      </c>
      <c r="B226" s="131"/>
      <c r="C226" s="258"/>
      <c r="D226" s="131"/>
      <c r="E226" s="131"/>
      <c r="F226" s="247"/>
      <c r="G226" s="131"/>
      <c r="H226" s="131"/>
      <c r="I226" s="131"/>
      <c r="J226" s="131"/>
      <c r="K226" s="131"/>
      <c r="L226" s="131"/>
      <c r="M226" s="131"/>
      <c r="N226" s="131"/>
      <c r="O226" s="131"/>
      <c r="P226" s="131"/>
      <c r="Q226" s="131"/>
      <c r="R226" s="131"/>
      <c r="S226" s="131"/>
      <c r="T226" s="131"/>
      <c r="U226" s="131"/>
      <c r="V226" s="131"/>
      <c r="W226" s="131"/>
      <c r="X226" s="131"/>
      <c r="Y226" s="131"/>
      <c r="Z226" s="131"/>
      <c r="AA226" s="245"/>
      <c r="AB226" s="131"/>
      <c r="AC226" s="131"/>
      <c r="AD226" s="131"/>
      <c r="AE226" s="131"/>
      <c r="AF226" s="131"/>
      <c r="AG226" s="131"/>
      <c r="AH226" s="131"/>
      <c r="AI226" s="131"/>
      <c r="AJ226" s="131"/>
      <c r="AK226" s="131"/>
      <c r="AL226" s="131"/>
      <c r="AM226" s="131"/>
      <c r="AN226" s="131"/>
      <c r="AO226" s="131"/>
      <c r="AP226" s="131"/>
      <c r="AQ226" s="131"/>
      <c r="AR226" s="131"/>
      <c r="AS226" s="131"/>
      <c r="AT226" s="131"/>
      <c r="AU226" s="131"/>
      <c r="AV226" s="131"/>
      <c r="AW226" s="131"/>
      <c r="AX226" s="131"/>
      <c r="AY226" s="131"/>
      <c r="AZ226" s="131"/>
    </row>
    <row r="227" spans="1:52">
      <c r="A227" s="216" t="str">
        <f>IF(D227="","",VLOOKUP(G227,códigosORL!$H:$J,3,FALSE))</f>
        <v/>
      </c>
      <c r="B227" s="131"/>
      <c r="C227" s="258"/>
      <c r="D227" s="131"/>
      <c r="E227" s="131"/>
      <c r="F227" s="247"/>
      <c r="G227" s="131"/>
      <c r="H227" s="131"/>
      <c r="I227" s="131"/>
      <c r="J227" s="131"/>
      <c r="K227" s="131"/>
      <c r="L227" s="131"/>
      <c r="M227" s="131"/>
      <c r="N227" s="131"/>
      <c r="O227" s="131"/>
      <c r="P227" s="131"/>
      <c r="Q227" s="131"/>
      <c r="R227" s="131"/>
      <c r="S227" s="131"/>
      <c r="T227" s="131"/>
      <c r="U227" s="131"/>
      <c r="V227" s="131"/>
      <c r="W227" s="131"/>
      <c r="X227" s="131"/>
      <c r="Y227" s="131"/>
      <c r="Z227" s="131"/>
      <c r="AA227" s="245"/>
      <c r="AB227" s="131"/>
      <c r="AC227" s="131"/>
      <c r="AD227" s="131"/>
      <c r="AE227" s="131"/>
      <c r="AF227" s="131"/>
      <c r="AG227" s="131"/>
      <c r="AH227" s="131"/>
      <c r="AI227" s="131"/>
      <c r="AJ227" s="131"/>
      <c r="AK227" s="131"/>
      <c r="AL227" s="131"/>
      <c r="AM227" s="131"/>
      <c r="AN227" s="131"/>
      <c r="AO227" s="131"/>
      <c r="AP227" s="131"/>
      <c r="AQ227" s="131"/>
      <c r="AR227" s="131"/>
      <c r="AS227" s="131"/>
      <c r="AT227" s="131"/>
      <c r="AU227" s="131"/>
      <c r="AV227" s="131"/>
      <c r="AW227" s="131"/>
      <c r="AX227" s="131"/>
      <c r="AY227" s="131"/>
      <c r="AZ227" s="131"/>
    </row>
    <row r="228" spans="1:52">
      <c r="A228" s="216" t="str">
        <f>IF(D228="","",VLOOKUP(G228,códigosORL!$H:$J,3,FALSE))</f>
        <v/>
      </c>
      <c r="B228" s="131"/>
      <c r="C228" s="258"/>
      <c r="D228" s="131"/>
      <c r="E228" s="131"/>
      <c r="F228" s="247"/>
      <c r="G228" s="131"/>
      <c r="H228" s="131"/>
      <c r="I228" s="131"/>
      <c r="J228" s="131"/>
      <c r="K228" s="131"/>
      <c r="L228" s="131"/>
      <c r="M228" s="131"/>
      <c r="N228" s="131"/>
      <c r="O228" s="131"/>
      <c r="P228" s="131"/>
      <c r="Q228" s="131"/>
      <c r="R228" s="131"/>
      <c r="S228" s="131"/>
      <c r="T228" s="131"/>
      <c r="U228" s="131"/>
      <c r="V228" s="131"/>
      <c r="W228" s="131"/>
      <c r="X228" s="131"/>
      <c r="Y228" s="131"/>
      <c r="Z228" s="131"/>
      <c r="AA228" s="245"/>
      <c r="AB228" s="131"/>
      <c r="AC228" s="131"/>
      <c r="AD228" s="131"/>
      <c r="AE228" s="131"/>
      <c r="AF228" s="131"/>
      <c r="AG228" s="131"/>
      <c r="AH228" s="131"/>
      <c r="AI228" s="131"/>
      <c r="AJ228" s="131"/>
      <c r="AK228" s="131"/>
      <c r="AL228" s="131"/>
      <c r="AM228" s="131"/>
      <c r="AN228" s="131"/>
      <c r="AO228" s="131"/>
      <c r="AP228" s="131"/>
      <c r="AQ228" s="131"/>
      <c r="AR228" s="131"/>
      <c r="AS228" s="131"/>
      <c r="AT228" s="131"/>
      <c r="AU228" s="131"/>
      <c r="AV228" s="131"/>
      <c r="AW228" s="131"/>
      <c r="AX228" s="131"/>
      <c r="AY228" s="131"/>
      <c r="AZ228" s="131"/>
    </row>
    <row r="229" spans="1:52">
      <c r="A229" s="216" t="str">
        <f>IF(D229="","",VLOOKUP(G229,códigosORL!$H:$J,3,FALSE))</f>
        <v/>
      </c>
      <c r="B229" s="131"/>
      <c r="C229" s="258"/>
      <c r="D229" s="131"/>
      <c r="E229" s="131"/>
      <c r="F229" s="247"/>
      <c r="G229" s="131"/>
      <c r="H229" s="131"/>
      <c r="I229" s="131"/>
      <c r="J229" s="131"/>
      <c r="K229" s="131"/>
      <c r="L229" s="131"/>
      <c r="M229" s="131"/>
      <c r="N229" s="131"/>
      <c r="O229" s="131"/>
      <c r="P229" s="131"/>
      <c r="Q229" s="131"/>
      <c r="R229" s="131"/>
      <c r="S229" s="131"/>
      <c r="T229" s="131"/>
      <c r="U229" s="131"/>
      <c r="V229" s="131"/>
      <c r="W229" s="131"/>
      <c r="X229" s="131"/>
      <c r="Y229" s="131"/>
      <c r="Z229" s="131"/>
      <c r="AA229" s="245"/>
      <c r="AB229" s="131"/>
      <c r="AC229" s="131"/>
      <c r="AD229" s="131"/>
      <c r="AE229" s="131"/>
      <c r="AF229" s="131"/>
      <c r="AG229" s="131"/>
      <c r="AH229" s="131"/>
      <c r="AI229" s="131"/>
      <c r="AJ229" s="131"/>
      <c r="AK229" s="131"/>
      <c r="AL229" s="131"/>
      <c r="AM229" s="131"/>
      <c r="AN229" s="131"/>
      <c r="AO229" s="131"/>
      <c r="AP229" s="131"/>
      <c r="AQ229" s="131"/>
      <c r="AR229" s="131"/>
      <c r="AS229" s="131"/>
      <c r="AT229" s="131"/>
      <c r="AU229" s="131"/>
      <c r="AV229" s="131"/>
      <c r="AW229" s="131"/>
      <c r="AX229" s="131"/>
      <c r="AY229" s="131"/>
      <c r="AZ229" s="131"/>
    </row>
    <row r="230" spans="1:52">
      <c r="A230" s="216" t="str">
        <f>IF(D230="","",VLOOKUP(G230,códigosORL!$H:$J,3,FALSE))</f>
        <v/>
      </c>
      <c r="B230" s="131"/>
      <c r="C230" s="258"/>
      <c r="D230" s="131"/>
      <c r="E230" s="131"/>
      <c r="F230" s="247"/>
      <c r="G230" s="131"/>
      <c r="H230" s="131"/>
      <c r="I230" s="131"/>
      <c r="J230" s="131"/>
      <c r="K230" s="131"/>
      <c r="L230" s="131"/>
      <c r="M230" s="131"/>
      <c r="N230" s="131"/>
      <c r="O230" s="131"/>
      <c r="P230" s="131"/>
      <c r="Q230" s="131"/>
      <c r="R230" s="131"/>
      <c r="S230" s="131"/>
      <c r="T230" s="131"/>
      <c r="U230" s="131"/>
      <c r="V230" s="131"/>
      <c r="W230" s="131"/>
      <c r="X230" s="131"/>
      <c r="Y230" s="131"/>
      <c r="Z230" s="131"/>
      <c r="AA230" s="245"/>
      <c r="AB230" s="131"/>
      <c r="AC230" s="131"/>
      <c r="AD230" s="131"/>
      <c r="AE230" s="131"/>
      <c r="AF230" s="131"/>
      <c r="AG230" s="131"/>
      <c r="AH230" s="131"/>
      <c r="AI230" s="131"/>
      <c r="AJ230" s="131"/>
      <c r="AK230" s="131"/>
      <c r="AL230" s="131"/>
      <c r="AM230" s="131"/>
      <c r="AN230" s="131"/>
      <c r="AO230" s="131"/>
      <c r="AP230" s="131"/>
      <c r="AQ230" s="131"/>
      <c r="AR230" s="131"/>
      <c r="AS230" s="131"/>
      <c r="AT230" s="131"/>
      <c r="AU230" s="131"/>
      <c r="AV230" s="131"/>
      <c r="AW230" s="131"/>
      <c r="AX230" s="131"/>
      <c r="AY230" s="131"/>
      <c r="AZ230" s="131"/>
    </row>
    <row r="231" spans="1:52">
      <c r="A231" s="216" t="str">
        <f>IF(D231="","",VLOOKUP(G231,códigosORL!$H:$J,3,FALSE))</f>
        <v/>
      </c>
      <c r="B231" s="131"/>
      <c r="C231" s="258"/>
      <c r="D231" s="131"/>
      <c r="E231" s="131"/>
      <c r="F231" s="247"/>
      <c r="G231" s="131"/>
      <c r="H231" s="131"/>
      <c r="I231" s="131"/>
      <c r="J231" s="131"/>
      <c r="K231" s="131"/>
      <c r="L231" s="131"/>
      <c r="M231" s="131"/>
      <c r="N231" s="131"/>
      <c r="O231" s="131"/>
      <c r="P231" s="131"/>
      <c r="Q231" s="131"/>
      <c r="R231" s="131"/>
      <c r="S231" s="131"/>
      <c r="T231" s="131"/>
      <c r="U231" s="131"/>
      <c r="V231" s="131"/>
      <c r="W231" s="131"/>
      <c r="X231" s="131"/>
      <c r="Y231" s="131"/>
      <c r="Z231" s="131"/>
      <c r="AA231" s="245"/>
      <c r="AB231" s="131"/>
      <c r="AC231" s="131"/>
      <c r="AD231" s="131"/>
      <c r="AE231" s="131"/>
      <c r="AF231" s="131"/>
      <c r="AG231" s="131"/>
      <c r="AH231" s="131"/>
      <c r="AI231" s="131"/>
      <c r="AJ231" s="131"/>
      <c r="AK231" s="131"/>
      <c r="AL231" s="131"/>
      <c r="AM231" s="131"/>
      <c r="AN231" s="131"/>
      <c r="AO231" s="131"/>
      <c r="AP231" s="131"/>
      <c r="AQ231" s="131"/>
      <c r="AR231" s="131"/>
      <c r="AS231" s="131"/>
      <c r="AT231" s="131"/>
      <c r="AU231" s="131"/>
      <c r="AV231" s="131"/>
      <c r="AW231" s="131"/>
      <c r="AX231" s="131"/>
      <c r="AY231" s="131"/>
      <c r="AZ231" s="131"/>
    </row>
    <row r="232" spans="1:52">
      <c r="A232" s="216" t="str">
        <f>IF(D232="","",VLOOKUP(G232,códigosORL!$H:$J,3,FALSE))</f>
        <v/>
      </c>
      <c r="B232" s="131"/>
      <c r="C232" s="258"/>
      <c r="D232" s="131"/>
      <c r="E232" s="131"/>
      <c r="F232" s="247"/>
      <c r="G232" s="131"/>
      <c r="H232" s="131"/>
      <c r="I232" s="131"/>
      <c r="J232" s="131"/>
      <c r="K232" s="131"/>
      <c r="L232" s="131"/>
      <c r="M232" s="131"/>
      <c r="N232" s="131"/>
      <c r="O232" s="131"/>
      <c r="P232" s="131"/>
      <c r="Q232" s="131"/>
      <c r="R232" s="131"/>
      <c r="S232" s="131"/>
      <c r="T232" s="131"/>
      <c r="U232" s="131"/>
      <c r="V232" s="131"/>
      <c r="W232" s="131"/>
      <c r="X232" s="131"/>
      <c r="Y232" s="131"/>
      <c r="Z232" s="131"/>
      <c r="AA232" s="245"/>
      <c r="AB232" s="131"/>
      <c r="AC232" s="131"/>
      <c r="AD232" s="131"/>
      <c r="AE232" s="131"/>
      <c r="AF232" s="131"/>
      <c r="AG232" s="131"/>
      <c r="AH232" s="131"/>
      <c r="AI232" s="131"/>
      <c r="AJ232" s="131"/>
      <c r="AK232" s="131"/>
      <c r="AL232" s="131"/>
      <c r="AM232" s="131"/>
      <c r="AN232" s="131"/>
      <c r="AO232" s="131"/>
      <c r="AP232" s="131"/>
      <c r="AQ232" s="131"/>
      <c r="AR232" s="131"/>
      <c r="AS232" s="131"/>
      <c r="AT232" s="131"/>
      <c r="AU232" s="131"/>
      <c r="AV232" s="131"/>
      <c r="AW232" s="131"/>
      <c r="AX232" s="131"/>
      <c r="AY232" s="131"/>
      <c r="AZ232" s="131"/>
    </row>
    <row r="233" spans="1:52">
      <c r="A233" s="216" t="str">
        <f>IF(D233="","",VLOOKUP(G233,códigosORL!$H:$J,3,FALSE))</f>
        <v/>
      </c>
      <c r="B233" s="131"/>
      <c r="C233" s="258"/>
      <c r="D233" s="131"/>
      <c r="E233" s="131"/>
      <c r="F233" s="247"/>
      <c r="G233" s="131"/>
      <c r="H233" s="131"/>
      <c r="I233" s="131"/>
      <c r="J233" s="131"/>
      <c r="K233" s="131"/>
      <c r="L233" s="131"/>
      <c r="M233" s="131"/>
      <c r="N233" s="131"/>
      <c r="O233" s="131"/>
      <c r="P233" s="131"/>
      <c r="Q233" s="131"/>
      <c r="R233" s="131"/>
      <c r="S233" s="131"/>
      <c r="T233" s="131"/>
      <c r="U233" s="131"/>
      <c r="V233" s="131"/>
      <c r="W233" s="131"/>
      <c r="X233" s="131"/>
      <c r="Y233" s="131"/>
      <c r="Z233" s="131"/>
      <c r="AA233" s="245"/>
      <c r="AB233" s="131"/>
      <c r="AC233" s="131"/>
      <c r="AD233" s="131"/>
      <c r="AE233" s="131"/>
      <c r="AF233" s="131"/>
      <c r="AG233" s="131"/>
      <c r="AH233" s="131"/>
      <c r="AI233" s="131"/>
      <c r="AJ233" s="131"/>
      <c r="AK233" s="131"/>
      <c r="AL233" s="131"/>
      <c r="AM233" s="131"/>
      <c r="AN233" s="131"/>
      <c r="AO233" s="131"/>
      <c r="AP233" s="131"/>
      <c r="AQ233" s="131"/>
      <c r="AR233" s="131"/>
      <c r="AS233" s="131"/>
      <c r="AT233" s="131"/>
      <c r="AU233" s="131"/>
      <c r="AV233" s="131"/>
      <c r="AW233" s="131"/>
      <c r="AX233" s="131"/>
      <c r="AY233" s="131"/>
      <c r="AZ233" s="131"/>
    </row>
    <row r="234" spans="1:52">
      <c r="A234" s="216" t="str">
        <f>IF(D234="","",VLOOKUP(G234,códigosORL!$H:$J,3,FALSE))</f>
        <v/>
      </c>
      <c r="B234" s="131"/>
      <c r="C234" s="258"/>
      <c r="D234" s="131"/>
      <c r="E234" s="131"/>
      <c r="F234" s="247"/>
      <c r="G234" s="131"/>
      <c r="H234" s="131"/>
      <c r="I234" s="131"/>
      <c r="J234" s="131"/>
      <c r="K234" s="131"/>
      <c r="L234" s="131"/>
      <c r="M234" s="131"/>
      <c r="N234" s="131"/>
      <c r="O234" s="131"/>
      <c r="P234" s="131"/>
      <c r="Q234" s="131"/>
      <c r="R234" s="131"/>
      <c r="S234" s="131"/>
      <c r="T234" s="131"/>
      <c r="U234" s="131"/>
      <c r="V234" s="131"/>
      <c r="W234" s="131"/>
      <c r="X234" s="131"/>
      <c r="Y234" s="131"/>
      <c r="Z234" s="131"/>
      <c r="AA234" s="245"/>
      <c r="AB234" s="131"/>
      <c r="AC234" s="131"/>
      <c r="AD234" s="131"/>
      <c r="AE234" s="131"/>
      <c r="AF234" s="131"/>
      <c r="AG234" s="131"/>
      <c r="AH234" s="131"/>
      <c r="AI234" s="131"/>
      <c r="AJ234" s="131"/>
      <c r="AK234" s="131"/>
      <c r="AL234" s="131"/>
      <c r="AM234" s="131"/>
      <c r="AN234" s="131"/>
      <c r="AO234" s="131"/>
      <c r="AP234" s="131"/>
      <c r="AQ234" s="131"/>
      <c r="AR234" s="131"/>
      <c r="AS234" s="131"/>
      <c r="AT234" s="131"/>
      <c r="AU234" s="131"/>
      <c r="AV234" s="131"/>
      <c r="AW234" s="131"/>
      <c r="AX234" s="131"/>
      <c r="AY234" s="131"/>
      <c r="AZ234" s="131"/>
    </row>
    <row r="235" spans="1:52">
      <c r="A235" s="216" t="str">
        <f>IF(D235="","",VLOOKUP(G235,códigosORL!$H:$J,3,FALSE))</f>
        <v/>
      </c>
      <c r="B235" s="131"/>
      <c r="C235" s="258"/>
      <c r="D235" s="131"/>
      <c r="E235" s="131"/>
      <c r="F235" s="247"/>
      <c r="G235" s="131"/>
      <c r="H235" s="131"/>
      <c r="I235" s="131"/>
      <c r="J235" s="131"/>
      <c r="K235" s="131"/>
      <c r="L235" s="131"/>
      <c r="M235" s="131"/>
      <c r="N235" s="131"/>
      <c r="O235" s="131"/>
      <c r="P235" s="131"/>
      <c r="Q235" s="131"/>
      <c r="R235" s="131"/>
      <c r="S235" s="131"/>
      <c r="T235" s="131"/>
      <c r="U235" s="131"/>
      <c r="V235" s="131"/>
      <c r="W235" s="131"/>
      <c r="X235" s="131"/>
      <c r="Y235" s="131"/>
      <c r="Z235" s="131"/>
      <c r="AA235" s="245"/>
      <c r="AB235" s="131"/>
      <c r="AC235" s="131"/>
      <c r="AD235" s="131"/>
      <c r="AE235" s="131"/>
      <c r="AF235" s="131"/>
      <c r="AG235" s="131"/>
      <c r="AH235" s="131"/>
      <c r="AI235" s="131"/>
      <c r="AJ235" s="131"/>
      <c r="AK235" s="131"/>
      <c r="AL235" s="131"/>
      <c r="AM235" s="131"/>
      <c r="AN235" s="131"/>
      <c r="AO235" s="131"/>
      <c r="AP235" s="131"/>
      <c r="AQ235" s="131"/>
      <c r="AR235" s="131"/>
      <c r="AS235" s="131"/>
      <c r="AT235" s="131"/>
      <c r="AU235" s="131"/>
      <c r="AV235" s="131"/>
      <c r="AW235" s="131"/>
      <c r="AX235" s="131"/>
      <c r="AY235" s="131"/>
      <c r="AZ235" s="131"/>
    </row>
    <row r="236" spans="1:52">
      <c r="A236" s="216" t="str">
        <f>IF(D236="","",VLOOKUP(G236,códigosORL!$H:$J,3,FALSE))</f>
        <v/>
      </c>
      <c r="B236" s="131"/>
      <c r="C236" s="258"/>
      <c r="D236" s="131"/>
      <c r="E236" s="131"/>
      <c r="F236" s="247"/>
      <c r="G236" s="131"/>
      <c r="H236" s="131"/>
      <c r="I236" s="131"/>
      <c r="J236" s="131"/>
      <c r="K236" s="131"/>
      <c r="L236" s="131"/>
      <c r="M236" s="131"/>
      <c r="N236" s="131"/>
      <c r="O236" s="131"/>
      <c r="P236" s="131"/>
      <c r="Q236" s="131"/>
      <c r="R236" s="131"/>
      <c r="S236" s="131"/>
      <c r="T236" s="131"/>
      <c r="U236" s="131"/>
      <c r="V236" s="131"/>
      <c r="W236" s="131"/>
      <c r="X236" s="131"/>
      <c r="Y236" s="131"/>
      <c r="Z236" s="131"/>
      <c r="AA236" s="245"/>
      <c r="AB236" s="131"/>
      <c r="AC236" s="131"/>
      <c r="AD236" s="131"/>
      <c r="AE236" s="131"/>
      <c r="AF236" s="131"/>
      <c r="AG236" s="131"/>
      <c r="AH236" s="131"/>
      <c r="AI236" s="131"/>
      <c r="AJ236" s="131"/>
      <c r="AK236" s="131"/>
      <c r="AL236" s="131"/>
      <c r="AM236" s="131"/>
      <c r="AN236" s="131"/>
      <c r="AO236" s="131"/>
      <c r="AP236" s="131"/>
      <c r="AQ236" s="131"/>
      <c r="AR236" s="131"/>
      <c r="AS236" s="131"/>
      <c r="AT236" s="131"/>
      <c r="AU236" s="131"/>
      <c r="AV236" s="131"/>
      <c r="AW236" s="131"/>
      <c r="AX236" s="131"/>
      <c r="AY236" s="131"/>
      <c r="AZ236" s="131"/>
    </row>
    <row r="237" spans="1:52">
      <c r="A237" s="216" t="str">
        <f>IF(D237="","",VLOOKUP(G237,códigosORL!$H:$J,3,FALSE))</f>
        <v/>
      </c>
      <c r="B237" s="131"/>
      <c r="C237" s="258"/>
      <c r="D237" s="131"/>
      <c r="E237" s="131"/>
      <c r="F237" s="247"/>
      <c r="G237" s="131"/>
      <c r="H237" s="131"/>
      <c r="I237" s="131"/>
      <c r="J237" s="131"/>
      <c r="K237" s="131"/>
      <c r="L237" s="131"/>
      <c r="M237" s="131"/>
      <c r="N237" s="131"/>
      <c r="O237" s="131"/>
      <c r="P237" s="131"/>
      <c r="Q237" s="131"/>
      <c r="R237" s="131"/>
      <c r="S237" s="131"/>
      <c r="T237" s="131"/>
      <c r="U237" s="131"/>
      <c r="V237" s="131"/>
      <c r="W237" s="131"/>
      <c r="X237" s="131"/>
      <c r="Y237" s="131"/>
      <c r="Z237" s="131"/>
      <c r="AA237" s="245"/>
      <c r="AB237" s="131"/>
      <c r="AC237" s="131"/>
      <c r="AD237" s="131"/>
      <c r="AE237" s="131"/>
      <c r="AF237" s="131"/>
      <c r="AG237" s="131"/>
      <c r="AH237" s="131"/>
      <c r="AI237" s="131"/>
      <c r="AJ237" s="131"/>
      <c r="AK237" s="131"/>
      <c r="AL237" s="131"/>
      <c r="AM237" s="131"/>
      <c r="AN237" s="131"/>
      <c r="AO237" s="131"/>
      <c r="AP237" s="131"/>
      <c r="AQ237" s="131"/>
      <c r="AR237" s="131"/>
      <c r="AS237" s="131"/>
      <c r="AT237" s="131"/>
      <c r="AU237" s="131"/>
      <c r="AV237" s="131"/>
      <c r="AW237" s="131"/>
      <c r="AX237" s="131"/>
      <c r="AY237" s="131"/>
      <c r="AZ237" s="131"/>
    </row>
    <row r="238" spans="1:52">
      <c r="A238" s="216" t="str">
        <f>IF(D238="","",VLOOKUP(G238,códigosORL!$H:$J,3,FALSE))</f>
        <v/>
      </c>
      <c r="B238" s="131"/>
      <c r="C238" s="258"/>
      <c r="D238" s="131"/>
      <c r="E238" s="131"/>
      <c r="F238" s="247"/>
      <c r="G238" s="131"/>
      <c r="H238" s="131"/>
      <c r="I238" s="131"/>
      <c r="J238" s="131"/>
      <c r="K238" s="131"/>
      <c r="L238" s="131"/>
      <c r="M238" s="131"/>
      <c r="N238" s="131"/>
      <c r="O238" s="131"/>
      <c r="P238" s="131"/>
      <c r="Q238" s="131"/>
      <c r="R238" s="131"/>
      <c r="S238" s="131"/>
      <c r="T238" s="131"/>
      <c r="U238" s="131"/>
      <c r="V238" s="131"/>
      <c r="W238" s="131"/>
      <c r="X238" s="131"/>
      <c r="Y238" s="131"/>
      <c r="Z238" s="131"/>
      <c r="AA238" s="245"/>
      <c r="AB238" s="131"/>
      <c r="AC238" s="131"/>
      <c r="AD238" s="131"/>
      <c r="AE238" s="131"/>
      <c r="AF238" s="131"/>
      <c r="AG238" s="131"/>
      <c r="AH238" s="131"/>
      <c r="AI238" s="131"/>
      <c r="AJ238" s="131"/>
      <c r="AK238" s="131"/>
      <c r="AL238" s="131"/>
      <c r="AM238" s="131"/>
      <c r="AN238" s="131"/>
      <c r="AO238" s="131"/>
      <c r="AP238" s="131"/>
      <c r="AQ238" s="131"/>
      <c r="AR238" s="131"/>
      <c r="AS238" s="131"/>
      <c r="AT238" s="131"/>
      <c r="AU238" s="131"/>
      <c r="AV238" s="131"/>
      <c r="AW238" s="131"/>
      <c r="AX238" s="131"/>
      <c r="AY238" s="131"/>
      <c r="AZ238" s="131"/>
    </row>
    <row r="239" spans="1:52">
      <c r="A239" s="216" t="str">
        <f>IF(D239="","",VLOOKUP(G239,códigosORL!$H:$J,3,FALSE))</f>
        <v/>
      </c>
      <c r="B239" s="131"/>
      <c r="C239" s="258"/>
      <c r="D239" s="131"/>
      <c r="E239" s="131"/>
      <c r="F239" s="247"/>
      <c r="G239" s="131"/>
      <c r="H239" s="131"/>
      <c r="I239" s="131"/>
      <c r="J239" s="131"/>
      <c r="K239" s="131"/>
      <c r="L239" s="131"/>
      <c r="M239" s="131"/>
      <c r="N239" s="131"/>
      <c r="O239" s="131"/>
      <c r="P239" s="131"/>
      <c r="Q239" s="131"/>
      <c r="R239" s="131"/>
      <c r="S239" s="131"/>
      <c r="T239" s="131"/>
      <c r="U239" s="131"/>
      <c r="V239" s="131"/>
      <c r="W239" s="131"/>
      <c r="X239" s="131"/>
      <c r="Y239" s="131"/>
      <c r="Z239" s="131"/>
      <c r="AA239" s="245"/>
      <c r="AB239" s="131"/>
      <c r="AC239" s="131"/>
      <c r="AD239" s="131"/>
      <c r="AE239" s="131"/>
      <c r="AF239" s="131"/>
      <c r="AG239" s="131"/>
      <c r="AH239" s="131"/>
      <c r="AI239" s="131"/>
      <c r="AJ239" s="131"/>
      <c r="AK239" s="131"/>
      <c r="AL239" s="131"/>
      <c r="AM239" s="131"/>
      <c r="AN239" s="131"/>
      <c r="AO239" s="131"/>
      <c r="AP239" s="131"/>
      <c r="AQ239" s="131"/>
      <c r="AR239" s="131"/>
      <c r="AS239" s="131"/>
      <c r="AT239" s="131"/>
      <c r="AU239" s="131"/>
      <c r="AV239" s="131"/>
      <c r="AW239" s="131"/>
      <c r="AX239" s="131"/>
      <c r="AY239" s="131"/>
      <c r="AZ239" s="131"/>
    </row>
    <row r="240" spans="1:52">
      <c r="A240" s="216" t="str">
        <f>IF(D240="","",VLOOKUP(G240,códigosORL!$H:$J,3,FALSE))</f>
        <v/>
      </c>
      <c r="B240" s="131"/>
      <c r="C240" s="258"/>
      <c r="D240" s="131"/>
      <c r="E240" s="131"/>
      <c r="F240" s="247"/>
      <c r="G240" s="131"/>
      <c r="H240" s="131"/>
      <c r="I240" s="131"/>
      <c r="J240" s="131"/>
      <c r="K240" s="131"/>
      <c r="L240" s="131"/>
      <c r="M240" s="131"/>
      <c r="N240" s="131"/>
      <c r="O240" s="131"/>
      <c r="P240" s="131"/>
      <c r="Q240" s="131"/>
      <c r="R240" s="131"/>
      <c r="S240" s="131"/>
      <c r="T240" s="131"/>
      <c r="U240" s="131"/>
      <c r="V240" s="131"/>
      <c r="W240" s="131"/>
      <c r="X240" s="131"/>
      <c r="Y240" s="131"/>
      <c r="Z240" s="131"/>
      <c r="AA240" s="245"/>
      <c r="AB240" s="131"/>
      <c r="AC240" s="131"/>
      <c r="AD240" s="131"/>
      <c r="AE240" s="131"/>
      <c r="AF240" s="131"/>
      <c r="AG240" s="131"/>
      <c r="AH240" s="131"/>
      <c r="AI240" s="131"/>
      <c r="AJ240" s="131"/>
      <c r="AK240" s="131"/>
      <c r="AL240" s="131"/>
      <c r="AM240" s="131"/>
      <c r="AN240" s="131"/>
      <c r="AO240" s="131"/>
      <c r="AP240" s="131"/>
      <c r="AQ240" s="131"/>
      <c r="AR240" s="131"/>
      <c r="AS240" s="131"/>
      <c r="AT240" s="131"/>
      <c r="AU240" s="131"/>
      <c r="AV240" s="131"/>
      <c r="AW240" s="131"/>
      <c r="AX240" s="131"/>
      <c r="AY240" s="131"/>
      <c r="AZ240" s="131"/>
    </row>
    <row r="241" spans="1:52">
      <c r="A241" s="216" t="str">
        <f>IF(D241="","",VLOOKUP(G241,códigosORL!$H:$J,3,FALSE))</f>
        <v/>
      </c>
      <c r="B241" s="131"/>
      <c r="C241" s="258"/>
      <c r="D241" s="131"/>
      <c r="E241" s="131"/>
      <c r="F241" s="247"/>
      <c r="G241" s="131"/>
      <c r="H241" s="131"/>
      <c r="I241" s="131"/>
      <c r="J241" s="131"/>
      <c r="K241" s="131"/>
      <c r="L241" s="131"/>
      <c r="M241" s="131"/>
      <c r="N241" s="131"/>
      <c r="O241" s="131"/>
      <c r="P241" s="131"/>
      <c r="Q241" s="131"/>
      <c r="R241" s="131"/>
      <c r="S241" s="131"/>
      <c r="T241" s="131"/>
      <c r="U241" s="131"/>
      <c r="V241" s="131"/>
      <c r="W241" s="131"/>
      <c r="X241" s="131"/>
      <c r="Y241" s="131"/>
      <c r="Z241" s="131"/>
      <c r="AA241" s="245"/>
      <c r="AB241" s="131"/>
      <c r="AC241" s="131"/>
      <c r="AD241" s="131"/>
      <c r="AE241" s="131"/>
      <c r="AF241" s="131"/>
      <c r="AG241" s="131"/>
      <c r="AH241" s="131"/>
      <c r="AI241" s="131"/>
      <c r="AJ241" s="131"/>
      <c r="AK241" s="131"/>
      <c r="AL241" s="131"/>
      <c r="AM241" s="131"/>
      <c r="AN241" s="131"/>
      <c r="AO241" s="131"/>
      <c r="AP241" s="131"/>
      <c r="AQ241" s="131"/>
      <c r="AR241" s="131"/>
      <c r="AS241" s="131"/>
      <c r="AT241" s="131"/>
      <c r="AU241" s="131"/>
      <c r="AV241" s="131"/>
      <c r="AW241" s="131"/>
      <c r="AX241" s="131"/>
      <c r="AY241" s="131"/>
      <c r="AZ241" s="131"/>
    </row>
    <row r="242" spans="1:52">
      <c r="A242" s="216" t="str">
        <f>IF(D242="","",VLOOKUP(G242,códigosORL!$H:$J,3,FALSE))</f>
        <v/>
      </c>
      <c r="B242" s="131"/>
      <c r="C242" s="258"/>
      <c r="D242" s="131"/>
      <c r="E242" s="131"/>
      <c r="F242" s="247"/>
      <c r="G242" s="131"/>
      <c r="H242" s="131"/>
      <c r="I242" s="131"/>
      <c r="J242" s="131"/>
      <c r="K242" s="131"/>
      <c r="L242" s="131"/>
      <c r="M242" s="131"/>
      <c r="N242" s="131"/>
      <c r="O242" s="131"/>
      <c r="P242" s="131"/>
      <c r="Q242" s="131"/>
      <c r="R242" s="131"/>
      <c r="S242" s="131"/>
      <c r="T242" s="131"/>
      <c r="U242" s="131"/>
      <c r="V242" s="131"/>
      <c r="W242" s="131"/>
      <c r="X242" s="131"/>
      <c r="Y242" s="131"/>
      <c r="Z242" s="131"/>
      <c r="AA242" s="245"/>
      <c r="AB242" s="131"/>
      <c r="AC242" s="131"/>
      <c r="AD242" s="131"/>
      <c r="AE242" s="131"/>
      <c r="AF242" s="131"/>
      <c r="AG242" s="131"/>
      <c r="AH242" s="131"/>
      <c r="AI242" s="131"/>
      <c r="AJ242" s="131"/>
      <c r="AK242" s="131"/>
      <c r="AL242" s="131"/>
      <c r="AM242" s="131"/>
      <c r="AN242" s="131"/>
      <c r="AO242" s="131"/>
      <c r="AP242" s="131"/>
      <c r="AQ242" s="131"/>
      <c r="AR242" s="131"/>
      <c r="AS242" s="131"/>
      <c r="AT242" s="131"/>
      <c r="AU242" s="131"/>
      <c r="AV242" s="131"/>
      <c r="AW242" s="131"/>
      <c r="AX242" s="131"/>
      <c r="AY242" s="131"/>
      <c r="AZ242" s="131"/>
    </row>
    <row r="243" spans="1:52">
      <c r="A243" s="216" t="str">
        <f>IF(D243="","",VLOOKUP(G243,códigosORL!$H:$J,3,FALSE))</f>
        <v/>
      </c>
      <c r="B243" s="131"/>
      <c r="C243" s="258"/>
      <c r="D243" s="131"/>
      <c r="E243" s="131"/>
      <c r="F243" s="247"/>
      <c r="G243" s="131"/>
      <c r="H243" s="131"/>
      <c r="I243" s="131"/>
      <c r="J243" s="131"/>
      <c r="K243" s="131"/>
      <c r="L243" s="131"/>
      <c r="M243" s="131"/>
      <c r="N243" s="131"/>
      <c r="O243" s="131"/>
      <c r="P243" s="131"/>
      <c r="Q243" s="131"/>
      <c r="R243" s="131"/>
      <c r="S243" s="131"/>
      <c r="T243" s="131"/>
      <c r="U243" s="131"/>
      <c r="V243" s="131"/>
      <c r="W243" s="131"/>
      <c r="X243" s="131"/>
      <c r="Y243" s="131"/>
      <c r="Z243" s="131"/>
      <c r="AA243" s="245"/>
      <c r="AB243" s="131"/>
      <c r="AC243" s="131"/>
      <c r="AD243" s="131"/>
      <c r="AE243" s="131"/>
      <c r="AF243" s="131"/>
      <c r="AG243" s="131"/>
      <c r="AH243" s="131"/>
      <c r="AI243" s="131"/>
      <c r="AJ243" s="131"/>
      <c r="AK243" s="131"/>
      <c r="AL243" s="131"/>
      <c r="AM243" s="131"/>
      <c r="AN243" s="131"/>
      <c r="AO243" s="131"/>
      <c r="AP243" s="131"/>
      <c r="AQ243" s="131"/>
      <c r="AR243" s="131"/>
      <c r="AS243" s="131"/>
      <c r="AT243" s="131"/>
      <c r="AU243" s="131"/>
      <c r="AV243" s="131"/>
      <c r="AW243" s="131"/>
      <c r="AX243" s="131"/>
      <c r="AY243" s="131"/>
      <c r="AZ243" s="131"/>
    </row>
    <row r="244" spans="1:52">
      <c r="A244" s="216" t="str">
        <f>IF(D244="","",VLOOKUP(G244,códigosORL!$H:$J,3,FALSE))</f>
        <v/>
      </c>
      <c r="B244" s="131"/>
      <c r="C244" s="258"/>
      <c r="D244" s="131"/>
      <c r="E244" s="131"/>
      <c r="F244" s="247"/>
      <c r="G244" s="131"/>
      <c r="H244" s="131"/>
      <c r="I244" s="131"/>
      <c r="J244" s="131"/>
      <c r="K244" s="131"/>
      <c r="L244" s="131"/>
      <c r="M244" s="131"/>
      <c r="N244" s="131"/>
      <c r="O244" s="131"/>
      <c r="P244" s="131"/>
      <c r="Q244" s="131"/>
      <c r="R244" s="131"/>
      <c r="S244" s="131"/>
      <c r="T244" s="131"/>
      <c r="U244" s="131"/>
      <c r="V244" s="131"/>
      <c r="W244" s="131"/>
      <c r="X244" s="131"/>
      <c r="Y244" s="131"/>
      <c r="Z244" s="131"/>
      <c r="AA244" s="245"/>
      <c r="AB244" s="131"/>
      <c r="AC244" s="131"/>
      <c r="AD244" s="131"/>
      <c r="AE244" s="131"/>
      <c r="AF244" s="131"/>
      <c r="AG244" s="131"/>
      <c r="AH244" s="131"/>
      <c r="AI244" s="131"/>
      <c r="AJ244" s="131"/>
      <c r="AK244" s="131"/>
      <c r="AL244" s="131"/>
      <c r="AM244" s="131"/>
      <c r="AN244" s="131"/>
      <c r="AO244" s="131"/>
      <c r="AP244" s="131"/>
      <c r="AQ244" s="131"/>
      <c r="AR244" s="131"/>
      <c r="AS244" s="131"/>
      <c r="AT244" s="131"/>
      <c r="AU244" s="131"/>
      <c r="AV244" s="131"/>
      <c r="AW244" s="131"/>
      <c r="AX244" s="131"/>
      <c r="AY244" s="131"/>
      <c r="AZ244" s="131"/>
    </row>
    <row r="245" spans="1:52">
      <c r="A245" s="216" t="str">
        <f>IF(D245="","",VLOOKUP(G245,códigosORL!$H:$J,3,FALSE))</f>
        <v/>
      </c>
      <c r="B245" s="131"/>
      <c r="C245" s="258"/>
      <c r="D245" s="131"/>
      <c r="E245" s="131"/>
      <c r="F245" s="247"/>
      <c r="G245" s="131"/>
      <c r="H245" s="131"/>
      <c r="I245" s="131"/>
      <c r="J245" s="131"/>
      <c r="K245" s="131"/>
      <c r="L245" s="131"/>
      <c r="M245" s="131"/>
      <c r="N245" s="131"/>
      <c r="O245" s="131"/>
      <c r="P245" s="131"/>
      <c r="Q245" s="131"/>
      <c r="R245" s="131"/>
      <c r="S245" s="131"/>
      <c r="T245" s="131"/>
      <c r="U245" s="131"/>
      <c r="V245" s="131"/>
      <c r="W245" s="131"/>
      <c r="X245" s="131"/>
      <c r="Y245" s="131"/>
      <c r="Z245" s="131"/>
      <c r="AA245" s="245"/>
      <c r="AB245" s="131"/>
      <c r="AC245" s="131"/>
      <c r="AD245" s="131"/>
      <c r="AE245" s="131"/>
      <c r="AF245" s="131"/>
      <c r="AG245" s="131"/>
      <c r="AH245" s="131"/>
      <c r="AI245" s="131"/>
      <c r="AJ245" s="131"/>
      <c r="AK245" s="131"/>
      <c r="AL245" s="131"/>
      <c r="AM245" s="131"/>
      <c r="AN245" s="131"/>
      <c r="AO245" s="131"/>
      <c r="AP245" s="131"/>
      <c r="AQ245" s="131"/>
      <c r="AR245" s="131"/>
      <c r="AS245" s="131"/>
      <c r="AT245" s="131"/>
      <c r="AU245" s="131"/>
      <c r="AV245" s="131"/>
      <c r="AW245" s="131"/>
      <c r="AX245" s="131"/>
      <c r="AY245" s="131"/>
      <c r="AZ245" s="131"/>
    </row>
    <row r="246" spans="1:52">
      <c r="A246" s="216" t="str">
        <f>IF(D246="","",VLOOKUP(G246,códigosORL!$H:$J,3,FALSE))</f>
        <v/>
      </c>
      <c r="B246" s="131"/>
      <c r="C246" s="258"/>
      <c r="D246" s="131"/>
      <c r="E246" s="131"/>
      <c r="F246" s="247"/>
      <c r="G246" s="131"/>
      <c r="H246" s="131"/>
      <c r="I246" s="131"/>
      <c r="J246" s="131"/>
      <c r="K246" s="131"/>
      <c r="L246" s="131"/>
      <c r="M246" s="131"/>
      <c r="N246" s="131"/>
      <c r="O246" s="131"/>
      <c r="P246" s="131"/>
      <c r="Q246" s="131"/>
      <c r="R246" s="131"/>
      <c r="S246" s="131"/>
      <c r="T246" s="131"/>
      <c r="U246" s="131"/>
      <c r="V246" s="131"/>
      <c r="W246" s="131"/>
      <c r="X246" s="131"/>
      <c r="Y246" s="131"/>
      <c r="Z246" s="131"/>
      <c r="AA246" s="245"/>
      <c r="AB246" s="131"/>
      <c r="AC246" s="131"/>
      <c r="AD246" s="131"/>
      <c r="AE246" s="131"/>
      <c r="AF246" s="131"/>
      <c r="AG246" s="131"/>
      <c r="AH246" s="131"/>
      <c r="AI246" s="131"/>
      <c r="AJ246" s="131"/>
      <c r="AK246" s="131"/>
      <c r="AL246" s="131"/>
      <c r="AM246" s="131"/>
      <c r="AN246" s="131"/>
      <c r="AO246" s="131"/>
      <c r="AP246" s="131"/>
      <c r="AQ246" s="131"/>
      <c r="AR246" s="131"/>
      <c r="AS246" s="131"/>
      <c r="AT246" s="131"/>
      <c r="AU246" s="131"/>
      <c r="AV246" s="131"/>
      <c r="AW246" s="131"/>
      <c r="AX246" s="131"/>
      <c r="AY246" s="131"/>
      <c r="AZ246" s="131"/>
    </row>
    <row r="247" spans="1:52">
      <c r="A247" s="216" t="str">
        <f>IF(D247="","",VLOOKUP(G247,códigosORL!$H:$J,3,FALSE))</f>
        <v/>
      </c>
      <c r="B247" s="131"/>
      <c r="C247" s="258"/>
      <c r="D247" s="131"/>
      <c r="E247" s="131"/>
      <c r="F247" s="247"/>
      <c r="G247" s="131"/>
      <c r="H247" s="131"/>
      <c r="I247" s="131"/>
      <c r="J247" s="131"/>
      <c r="K247" s="131"/>
      <c r="L247" s="131"/>
      <c r="M247" s="131"/>
      <c r="N247" s="131"/>
      <c r="O247" s="131"/>
      <c r="P247" s="131"/>
      <c r="Q247" s="131"/>
      <c r="R247" s="131"/>
      <c r="S247" s="131"/>
      <c r="T247" s="131"/>
      <c r="U247" s="131"/>
      <c r="V247" s="131"/>
      <c r="W247" s="131"/>
      <c r="X247" s="131"/>
      <c r="Y247" s="131"/>
      <c r="Z247" s="131"/>
      <c r="AA247" s="245"/>
      <c r="AB247" s="131"/>
      <c r="AC247" s="131"/>
      <c r="AD247" s="131"/>
      <c r="AE247" s="131"/>
      <c r="AF247" s="131"/>
      <c r="AG247" s="131"/>
      <c r="AH247" s="131"/>
      <c r="AI247" s="131"/>
      <c r="AJ247" s="131"/>
      <c r="AK247" s="131"/>
      <c r="AL247" s="131"/>
      <c r="AM247" s="131"/>
      <c r="AN247" s="131"/>
      <c r="AO247" s="131"/>
      <c r="AP247" s="131"/>
      <c r="AQ247" s="131"/>
      <c r="AR247" s="131"/>
      <c r="AS247" s="131"/>
      <c r="AT247" s="131"/>
      <c r="AU247" s="131"/>
      <c r="AV247" s="131"/>
      <c r="AW247" s="131"/>
      <c r="AX247" s="131"/>
      <c r="AY247" s="131"/>
      <c r="AZ247" s="131"/>
    </row>
    <row r="248" spans="1:52">
      <c r="A248" s="216" t="str">
        <f>IF(D248="","",VLOOKUP(G248,códigosORL!$H:$J,3,FALSE))</f>
        <v/>
      </c>
      <c r="B248" s="131"/>
      <c r="C248" s="258"/>
      <c r="D248" s="131"/>
      <c r="E248" s="131"/>
      <c r="F248" s="247"/>
      <c r="G248" s="131"/>
      <c r="H248" s="131"/>
      <c r="I248" s="131"/>
      <c r="J248" s="131"/>
      <c r="K248" s="131"/>
      <c r="L248" s="131"/>
      <c r="M248" s="131"/>
      <c r="N248" s="131"/>
      <c r="O248" s="131"/>
      <c r="P248" s="131"/>
      <c r="Q248" s="131"/>
      <c r="R248" s="131"/>
      <c r="S248" s="131"/>
      <c r="T248" s="131"/>
      <c r="U248" s="131"/>
      <c r="V248" s="131"/>
      <c r="W248" s="131"/>
      <c r="X248" s="131"/>
      <c r="Y248" s="131"/>
      <c r="Z248" s="131"/>
      <c r="AA248" s="245"/>
      <c r="AB248" s="131"/>
      <c r="AC248" s="131"/>
      <c r="AD248" s="131"/>
      <c r="AE248" s="131"/>
      <c r="AF248" s="131"/>
      <c r="AG248" s="131"/>
      <c r="AH248" s="131"/>
      <c r="AI248" s="131"/>
      <c r="AJ248" s="131"/>
      <c r="AK248" s="131"/>
      <c r="AL248" s="131"/>
      <c r="AM248" s="131"/>
      <c r="AN248" s="131"/>
      <c r="AO248" s="131"/>
      <c r="AP248" s="131"/>
      <c r="AQ248" s="131"/>
      <c r="AR248" s="131"/>
      <c r="AS248" s="131"/>
      <c r="AT248" s="131"/>
      <c r="AU248" s="131"/>
      <c r="AV248" s="131"/>
      <c r="AW248" s="131"/>
      <c r="AX248" s="131"/>
      <c r="AY248" s="131"/>
      <c r="AZ248" s="131"/>
    </row>
    <row r="249" spans="1:52">
      <c r="A249" s="216" t="str">
        <f>IF(D249="","",VLOOKUP(G249,códigosORL!$H:$J,3,FALSE))</f>
        <v/>
      </c>
      <c r="B249" s="131"/>
      <c r="C249" s="258"/>
      <c r="D249" s="131"/>
      <c r="E249" s="131"/>
      <c r="F249" s="247"/>
      <c r="G249" s="131"/>
      <c r="H249" s="131"/>
      <c r="I249" s="131"/>
      <c r="J249" s="131"/>
      <c r="K249" s="131"/>
      <c r="L249" s="131"/>
      <c r="M249" s="131"/>
      <c r="N249" s="131"/>
      <c r="O249" s="131"/>
      <c r="P249" s="131"/>
      <c r="Q249" s="131"/>
      <c r="R249" s="131"/>
      <c r="S249" s="131"/>
      <c r="T249" s="131"/>
      <c r="U249" s="131"/>
      <c r="V249" s="131"/>
      <c r="W249" s="131"/>
      <c r="X249" s="131"/>
      <c r="Y249" s="131"/>
      <c r="Z249" s="131"/>
      <c r="AA249" s="245"/>
      <c r="AB249" s="131"/>
      <c r="AC249" s="131"/>
      <c r="AD249" s="131"/>
      <c r="AE249" s="131"/>
      <c r="AF249" s="131"/>
      <c r="AG249" s="131"/>
      <c r="AH249" s="131"/>
      <c r="AI249" s="131"/>
      <c r="AJ249" s="131"/>
      <c r="AK249" s="131"/>
      <c r="AL249" s="131"/>
      <c r="AM249" s="131"/>
      <c r="AN249" s="131"/>
      <c r="AO249" s="131"/>
      <c r="AP249" s="131"/>
      <c r="AQ249" s="131"/>
      <c r="AR249" s="131"/>
      <c r="AS249" s="131"/>
      <c r="AT249" s="131"/>
      <c r="AU249" s="131"/>
      <c r="AV249" s="131"/>
      <c r="AW249" s="131"/>
      <c r="AX249" s="131"/>
      <c r="AY249" s="131"/>
      <c r="AZ249" s="131"/>
    </row>
    <row r="250" spans="1:52">
      <c r="A250" s="216" t="str">
        <f>IF(D250="","",VLOOKUP(G250,códigosORL!$H:$J,3,FALSE))</f>
        <v/>
      </c>
      <c r="B250" s="131"/>
      <c r="C250" s="258"/>
      <c r="D250" s="131"/>
      <c r="E250" s="131"/>
      <c r="F250" s="247"/>
      <c r="G250" s="131"/>
      <c r="H250" s="131"/>
      <c r="I250" s="131"/>
      <c r="J250" s="131"/>
      <c r="K250" s="131"/>
      <c r="L250" s="131"/>
      <c r="M250" s="131"/>
      <c r="N250" s="131"/>
      <c r="O250" s="131"/>
      <c r="P250" s="131"/>
      <c r="Q250" s="131"/>
      <c r="R250" s="131"/>
      <c r="S250" s="131"/>
      <c r="T250" s="131"/>
      <c r="U250" s="131"/>
      <c r="V250" s="131"/>
      <c r="W250" s="131"/>
      <c r="X250" s="131"/>
      <c r="Y250" s="131"/>
      <c r="Z250" s="131"/>
      <c r="AA250" s="245"/>
      <c r="AB250" s="131"/>
      <c r="AC250" s="131"/>
      <c r="AD250" s="131"/>
      <c r="AE250" s="131"/>
      <c r="AF250" s="131"/>
      <c r="AG250" s="131"/>
      <c r="AH250" s="131"/>
      <c r="AI250" s="131"/>
      <c r="AJ250" s="131"/>
      <c r="AK250" s="131"/>
      <c r="AL250" s="131"/>
      <c r="AM250" s="131"/>
      <c r="AN250" s="131"/>
      <c r="AO250" s="131"/>
      <c r="AP250" s="131"/>
      <c r="AQ250" s="131"/>
      <c r="AR250" s="131"/>
      <c r="AS250" s="131"/>
      <c r="AT250" s="131"/>
      <c r="AU250" s="131"/>
      <c r="AV250" s="131"/>
      <c r="AW250" s="131"/>
      <c r="AX250" s="131"/>
      <c r="AY250" s="131"/>
      <c r="AZ250" s="131"/>
    </row>
    <row r="251" spans="1:52">
      <c r="A251" s="216" t="str">
        <f>IF(D251="","",VLOOKUP(G251,códigosORL!$H:$J,3,FALSE))</f>
        <v/>
      </c>
      <c r="B251" s="131"/>
      <c r="C251" s="258"/>
      <c r="D251" s="131"/>
      <c r="E251" s="131"/>
      <c r="F251" s="247"/>
      <c r="G251" s="131"/>
      <c r="H251" s="131"/>
      <c r="I251" s="131"/>
      <c r="J251" s="131"/>
      <c r="K251" s="131"/>
      <c r="L251" s="131"/>
      <c r="M251" s="131"/>
      <c r="N251" s="131"/>
      <c r="O251" s="131"/>
      <c r="P251" s="131"/>
      <c r="Q251" s="131"/>
      <c r="R251" s="131"/>
      <c r="S251" s="131"/>
      <c r="T251" s="131"/>
      <c r="U251" s="131"/>
      <c r="V251" s="131"/>
      <c r="W251" s="131"/>
      <c r="X251" s="131"/>
      <c r="Y251" s="131"/>
      <c r="Z251" s="131"/>
      <c r="AA251" s="245"/>
      <c r="AB251" s="131"/>
      <c r="AC251" s="131"/>
      <c r="AD251" s="131"/>
      <c r="AE251" s="131"/>
      <c r="AF251" s="131"/>
      <c r="AG251" s="131"/>
      <c r="AH251" s="131"/>
      <c r="AI251" s="131"/>
      <c r="AJ251" s="131"/>
      <c r="AK251" s="131"/>
      <c r="AL251" s="131"/>
      <c r="AM251" s="131"/>
      <c r="AN251" s="131"/>
      <c r="AO251" s="131"/>
      <c r="AP251" s="131"/>
      <c r="AQ251" s="131"/>
      <c r="AR251" s="131"/>
      <c r="AS251" s="131"/>
      <c r="AT251" s="131"/>
      <c r="AU251" s="131"/>
      <c r="AV251" s="131"/>
      <c r="AW251" s="131"/>
      <c r="AX251" s="131"/>
      <c r="AY251" s="131"/>
      <c r="AZ251" s="131"/>
    </row>
    <row r="252" spans="1:52">
      <c r="A252" s="216" t="str">
        <f>IF(D252="","",VLOOKUP(G252,códigosORL!$H:$J,3,FALSE))</f>
        <v/>
      </c>
      <c r="B252" s="131"/>
      <c r="C252" s="258"/>
      <c r="D252" s="131"/>
      <c r="E252" s="131"/>
      <c r="F252" s="247"/>
      <c r="G252" s="131"/>
      <c r="H252" s="131"/>
      <c r="I252" s="131"/>
      <c r="J252" s="131"/>
      <c r="K252" s="131"/>
      <c r="L252" s="131"/>
      <c r="M252" s="131"/>
      <c r="N252" s="131"/>
      <c r="O252" s="131"/>
      <c r="P252" s="131"/>
      <c r="Q252" s="131"/>
      <c r="R252" s="131"/>
      <c r="S252" s="131"/>
      <c r="T252" s="131"/>
      <c r="U252" s="131"/>
      <c r="V252" s="131"/>
      <c r="W252" s="131"/>
      <c r="X252" s="131"/>
      <c r="Y252" s="131"/>
      <c r="Z252" s="131"/>
      <c r="AA252" s="245"/>
      <c r="AB252" s="131"/>
      <c r="AC252" s="131"/>
      <c r="AD252" s="131"/>
      <c r="AE252" s="131"/>
      <c r="AF252" s="131"/>
      <c r="AG252" s="131"/>
      <c r="AH252" s="131"/>
      <c r="AI252" s="131"/>
      <c r="AJ252" s="131"/>
      <c r="AK252" s="131"/>
      <c r="AL252" s="131"/>
      <c r="AM252" s="131"/>
      <c r="AN252" s="131"/>
      <c r="AO252" s="131"/>
      <c r="AP252" s="131"/>
      <c r="AQ252" s="131"/>
      <c r="AR252" s="131"/>
      <c r="AS252" s="131"/>
      <c r="AT252" s="131"/>
      <c r="AU252" s="131"/>
      <c r="AV252" s="131"/>
      <c r="AW252" s="131"/>
      <c r="AX252" s="131"/>
      <c r="AY252" s="131"/>
      <c r="AZ252" s="131"/>
    </row>
    <row r="253" spans="1:52">
      <c r="A253" s="216" t="str">
        <f>IF(D253="","",VLOOKUP(G253,códigosORL!$H:$J,3,FALSE))</f>
        <v/>
      </c>
      <c r="B253" s="131"/>
      <c r="C253" s="258"/>
      <c r="D253" s="131"/>
      <c r="E253" s="131"/>
      <c r="F253" s="247"/>
      <c r="G253" s="131"/>
      <c r="H253" s="131"/>
      <c r="I253" s="131"/>
      <c r="J253" s="131"/>
      <c r="K253" s="131"/>
      <c r="L253" s="131"/>
      <c r="M253" s="131"/>
      <c r="N253" s="131"/>
      <c r="O253" s="131"/>
      <c r="P253" s="131"/>
      <c r="Q253" s="131"/>
      <c r="R253" s="131"/>
      <c r="S253" s="131"/>
      <c r="T253" s="131"/>
      <c r="U253" s="131"/>
      <c r="V253" s="131"/>
      <c r="W253" s="131"/>
      <c r="X253" s="131"/>
      <c r="Y253" s="131"/>
      <c r="Z253" s="131"/>
      <c r="AA253" s="245"/>
      <c r="AB253" s="131"/>
      <c r="AC253" s="131"/>
      <c r="AD253" s="131"/>
      <c r="AE253" s="131"/>
      <c r="AF253" s="131"/>
      <c r="AG253" s="131"/>
      <c r="AH253" s="131"/>
      <c r="AI253" s="131"/>
      <c r="AJ253" s="131"/>
      <c r="AK253" s="131"/>
      <c r="AL253" s="131"/>
      <c r="AM253" s="131"/>
      <c r="AN253" s="131"/>
      <c r="AO253" s="131"/>
      <c r="AP253" s="131"/>
      <c r="AQ253" s="131"/>
      <c r="AR253" s="131"/>
      <c r="AS253" s="131"/>
      <c r="AT253" s="131"/>
      <c r="AU253" s="131"/>
      <c r="AV253" s="131"/>
      <c r="AW253" s="131"/>
      <c r="AX253" s="131"/>
      <c r="AY253" s="131"/>
      <c r="AZ253" s="131"/>
    </row>
    <row r="254" spans="1:52">
      <c r="A254" s="216" t="str">
        <f>IF(D254="","",VLOOKUP(G254,códigosORL!$H:$J,3,FALSE))</f>
        <v/>
      </c>
      <c r="B254" s="131"/>
      <c r="C254" s="258"/>
      <c r="D254" s="131"/>
      <c r="E254" s="131"/>
      <c r="F254" s="247"/>
      <c r="G254" s="131"/>
      <c r="H254" s="131"/>
      <c r="I254" s="131"/>
      <c r="J254" s="131"/>
      <c r="K254" s="131"/>
      <c r="L254" s="131"/>
      <c r="M254" s="131"/>
      <c r="N254" s="131"/>
      <c r="O254" s="131"/>
      <c r="P254" s="131"/>
      <c r="Q254" s="131"/>
      <c r="R254" s="131"/>
      <c r="S254" s="131"/>
      <c r="T254" s="131"/>
      <c r="U254" s="131"/>
      <c r="V254" s="131"/>
      <c r="W254" s="131"/>
      <c r="X254" s="131"/>
      <c r="Y254" s="131"/>
      <c r="Z254" s="131"/>
      <c r="AA254" s="245"/>
      <c r="AB254" s="131"/>
      <c r="AC254" s="131"/>
      <c r="AD254" s="131"/>
      <c r="AE254" s="131"/>
      <c r="AF254" s="131"/>
      <c r="AG254" s="131"/>
      <c r="AH254" s="131"/>
      <c r="AI254" s="131"/>
      <c r="AJ254" s="131"/>
      <c r="AK254" s="131"/>
      <c r="AL254" s="131"/>
      <c r="AM254" s="131"/>
      <c r="AN254" s="131"/>
      <c r="AO254" s="131"/>
      <c r="AP254" s="131"/>
      <c r="AQ254" s="131"/>
      <c r="AR254" s="131"/>
      <c r="AS254" s="131"/>
      <c r="AT254" s="131"/>
      <c r="AU254" s="131"/>
      <c r="AV254" s="131"/>
      <c r="AW254" s="131"/>
      <c r="AX254" s="131"/>
      <c r="AY254" s="131"/>
      <c r="AZ254" s="131"/>
    </row>
    <row r="255" spans="1:52">
      <c r="A255" s="216" t="str">
        <f>IF(D255="","",VLOOKUP(G255,códigosORL!$H:$J,3,FALSE))</f>
        <v/>
      </c>
      <c r="B255" s="131"/>
      <c r="C255" s="258"/>
      <c r="D255" s="131"/>
      <c r="E255" s="131"/>
      <c r="F255" s="247"/>
      <c r="G255" s="131"/>
      <c r="H255" s="131"/>
      <c r="I255" s="131"/>
      <c r="J255" s="131"/>
      <c r="K255" s="131"/>
      <c r="L255" s="131"/>
      <c r="M255" s="131"/>
      <c r="N255" s="131"/>
      <c r="O255" s="131"/>
      <c r="P255" s="131"/>
      <c r="Q255" s="131"/>
      <c r="R255" s="131"/>
      <c r="S255" s="131"/>
      <c r="T255" s="131"/>
      <c r="U255" s="131"/>
      <c r="V255" s="131"/>
      <c r="W255" s="131"/>
      <c r="X255" s="131"/>
      <c r="Y255" s="131"/>
      <c r="Z255" s="131"/>
      <c r="AA255" s="245"/>
      <c r="AB255" s="131"/>
      <c r="AC255" s="131"/>
      <c r="AD255" s="131"/>
      <c r="AE255" s="131"/>
      <c r="AF255" s="131"/>
      <c r="AG255" s="131"/>
      <c r="AH255" s="131"/>
      <c r="AI255" s="131"/>
      <c r="AJ255" s="131"/>
      <c r="AK255" s="131"/>
      <c r="AL255" s="131"/>
      <c r="AM255" s="131"/>
      <c r="AN255" s="131"/>
      <c r="AO255" s="131"/>
      <c r="AP255" s="131"/>
      <c r="AQ255" s="131"/>
      <c r="AR255" s="131"/>
      <c r="AS255" s="131"/>
      <c r="AT255" s="131"/>
      <c r="AU255" s="131"/>
      <c r="AV255" s="131"/>
      <c r="AW255" s="131"/>
      <c r="AX255" s="131"/>
      <c r="AY255" s="131"/>
      <c r="AZ255" s="131"/>
    </row>
    <row r="256" spans="1:52">
      <c r="A256" s="216" t="str">
        <f>IF(D256="","",VLOOKUP(G256,códigosORL!$H:$J,3,FALSE))</f>
        <v/>
      </c>
      <c r="B256" s="131"/>
      <c r="C256" s="258"/>
      <c r="D256" s="131"/>
      <c r="E256" s="131"/>
      <c r="F256" s="247"/>
      <c r="G256" s="131"/>
      <c r="H256" s="131"/>
      <c r="I256" s="131"/>
      <c r="J256" s="131"/>
      <c r="K256" s="131"/>
      <c r="L256" s="131"/>
      <c r="M256" s="131"/>
      <c r="N256" s="131"/>
      <c r="O256" s="131"/>
      <c r="P256" s="131"/>
      <c r="Q256" s="131"/>
      <c r="R256" s="131"/>
      <c r="S256" s="131"/>
      <c r="T256" s="131"/>
      <c r="U256" s="131"/>
      <c r="V256" s="131"/>
      <c r="W256" s="131"/>
      <c r="X256" s="131"/>
      <c r="Y256" s="131"/>
      <c r="Z256" s="131"/>
      <c r="AA256" s="245"/>
      <c r="AB256" s="131"/>
      <c r="AC256" s="131"/>
      <c r="AD256" s="131"/>
      <c r="AE256" s="131"/>
      <c r="AF256" s="131"/>
      <c r="AG256" s="131"/>
      <c r="AH256" s="131"/>
      <c r="AI256" s="131"/>
      <c r="AJ256" s="131"/>
      <c r="AK256" s="131"/>
      <c r="AL256" s="131"/>
      <c r="AM256" s="131"/>
      <c r="AN256" s="131"/>
      <c r="AO256" s="131"/>
      <c r="AP256" s="131"/>
      <c r="AQ256" s="131"/>
      <c r="AR256" s="131"/>
      <c r="AS256" s="131"/>
      <c r="AT256" s="131"/>
      <c r="AU256" s="131"/>
      <c r="AV256" s="131"/>
      <c r="AW256" s="131"/>
      <c r="AX256" s="131"/>
      <c r="AY256" s="131"/>
      <c r="AZ256" s="131"/>
    </row>
    <row r="257" spans="1:52">
      <c r="A257" s="216" t="str">
        <f>IF(D257="","",VLOOKUP(G257,códigosORL!$H:$J,3,FALSE))</f>
        <v/>
      </c>
      <c r="B257" s="131"/>
      <c r="C257" s="258"/>
      <c r="D257" s="131"/>
      <c r="E257" s="131"/>
      <c r="F257" s="247"/>
      <c r="G257" s="131"/>
      <c r="H257" s="131"/>
      <c r="I257" s="131"/>
      <c r="J257" s="131"/>
      <c r="K257" s="131"/>
      <c r="L257" s="131"/>
      <c r="M257" s="131"/>
      <c r="N257" s="131"/>
      <c r="O257" s="131"/>
      <c r="P257" s="131"/>
      <c r="Q257" s="131"/>
      <c r="R257" s="131"/>
      <c r="S257" s="131"/>
      <c r="T257" s="131"/>
      <c r="U257" s="131"/>
      <c r="V257" s="131"/>
      <c r="W257" s="131"/>
      <c r="X257" s="131"/>
      <c r="Y257" s="131"/>
      <c r="Z257" s="131"/>
      <c r="AA257" s="245"/>
      <c r="AB257" s="131"/>
      <c r="AC257" s="131"/>
      <c r="AD257" s="131"/>
      <c r="AE257" s="131"/>
      <c r="AF257" s="131"/>
      <c r="AG257" s="131"/>
      <c r="AH257" s="131"/>
      <c r="AI257" s="131"/>
      <c r="AJ257" s="131"/>
      <c r="AK257" s="131"/>
      <c r="AL257" s="131"/>
      <c r="AM257" s="131"/>
      <c r="AN257" s="131"/>
      <c r="AO257" s="131"/>
      <c r="AP257" s="131"/>
      <c r="AQ257" s="131"/>
      <c r="AR257" s="131"/>
      <c r="AS257" s="131"/>
      <c r="AT257" s="131"/>
      <c r="AU257" s="131"/>
      <c r="AV257" s="131"/>
      <c r="AW257" s="131"/>
      <c r="AX257" s="131"/>
      <c r="AY257" s="131"/>
      <c r="AZ257" s="131"/>
    </row>
    <row r="258" spans="1:52">
      <c r="A258" s="216" t="str">
        <f>IF(D258="","",VLOOKUP(G258,códigosORL!$H:$J,3,FALSE))</f>
        <v/>
      </c>
      <c r="B258" s="131"/>
      <c r="C258" s="258"/>
      <c r="D258" s="131"/>
      <c r="E258" s="131"/>
      <c r="F258" s="247"/>
      <c r="G258" s="131"/>
      <c r="H258" s="131"/>
      <c r="I258" s="131"/>
      <c r="J258" s="131"/>
      <c r="K258" s="131"/>
      <c r="L258" s="131"/>
      <c r="M258" s="131"/>
      <c r="N258" s="131"/>
      <c r="O258" s="131"/>
      <c r="P258" s="131"/>
      <c r="Q258" s="131"/>
      <c r="R258" s="131"/>
      <c r="S258" s="131"/>
      <c r="T258" s="131"/>
      <c r="U258" s="131"/>
      <c r="V258" s="131"/>
      <c r="W258" s="131"/>
      <c r="X258" s="131"/>
      <c r="Y258" s="131"/>
      <c r="Z258" s="131"/>
      <c r="AA258" s="245"/>
      <c r="AB258" s="131"/>
      <c r="AC258" s="131"/>
      <c r="AD258" s="131"/>
      <c r="AE258" s="131"/>
      <c r="AF258" s="131"/>
      <c r="AG258" s="131"/>
      <c r="AH258" s="131"/>
      <c r="AI258" s="131"/>
      <c r="AJ258" s="131"/>
      <c r="AK258" s="131"/>
      <c r="AL258" s="131"/>
      <c r="AM258" s="131"/>
      <c r="AN258" s="131"/>
      <c r="AO258" s="131"/>
      <c r="AP258" s="131"/>
      <c r="AQ258" s="131"/>
      <c r="AR258" s="131"/>
      <c r="AS258" s="131"/>
      <c r="AT258" s="131"/>
      <c r="AU258" s="131"/>
      <c r="AV258" s="131"/>
      <c r="AW258" s="131"/>
      <c r="AX258" s="131"/>
      <c r="AY258" s="131"/>
      <c r="AZ258" s="131"/>
    </row>
    <row r="259" spans="1:52">
      <c r="A259" s="216" t="str">
        <f>IF(D259="","",VLOOKUP(G259,códigosORL!$H:$J,3,FALSE))</f>
        <v/>
      </c>
      <c r="B259" s="131"/>
      <c r="C259" s="258"/>
      <c r="D259" s="131"/>
      <c r="E259" s="131"/>
      <c r="F259" s="247"/>
      <c r="G259" s="131"/>
      <c r="H259" s="131"/>
      <c r="I259" s="131"/>
      <c r="J259" s="131"/>
      <c r="K259" s="131"/>
      <c r="L259" s="131"/>
      <c r="M259" s="131"/>
      <c r="N259" s="131"/>
      <c r="O259" s="131"/>
      <c r="P259" s="131"/>
      <c r="Q259" s="131"/>
      <c r="R259" s="131"/>
      <c r="S259" s="131"/>
      <c r="T259" s="131"/>
      <c r="U259" s="131"/>
      <c r="V259" s="131"/>
      <c r="W259" s="131"/>
      <c r="X259" s="131"/>
      <c r="Y259" s="131"/>
      <c r="Z259" s="131"/>
      <c r="AA259" s="245"/>
      <c r="AB259" s="131"/>
      <c r="AC259" s="131"/>
      <c r="AD259" s="131"/>
      <c r="AE259" s="131"/>
      <c r="AF259" s="131"/>
      <c r="AG259" s="131"/>
      <c r="AH259" s="131"/>
      <c r="AI259" s="131"/>
      <c r="AJ259" s="131"/>
      <c r="AK259" s="131"/>
      <c r="AL259" s="131"/>
      <c r="AM259" s="131"/>
      <c r="AN259" s="131"/>
      <c r="AO259" s="131"/>
      <c r="AP259" s="131"/>
      <c r="AQ259" s="131"/>
      <c r="AR259" s="131"/>
      <c r="AS259" s="131"/>
      <c r="AT259" s="131"/>
      <c r="AU259" s="131"/>
      <c r="AV259" s="131"/>
      <c r="AW259" s="131"/>
      <c r="AX259" s="131"/>
      <c r="AY259" s="131"/>
      <c r="AZ259" s="131"/>
    </row>
    <row r="260" spans="1:52">
      <c r="A260" s="216" t="str">
        <f>IF(D260="","",VLOOKUP(G260,códigosORL!$H:$J,3,FALSE))</f>
        <v/>
      </c>
      <c r="B260" s="131"/>
      <c r="C260" s="258"/>
      <c r="D260" s="131"/>
      <c r="E260" s="131"/>
      <c r="F260" s="247"/>
      <c r="G260" s="131"/>
      <c r="H260" s="131"/>
      <c r="I260" s="131"/>
      <c r="J260" s="131"/>
      <c r="K260" s="131"/>
      <c r="L260" s="131"/>
      <c r="M260" s="131"/>
      <c r="N260" s="131"/>
      <c r="O260" s="131"/>
      <c r="P260" s="131"/>
      <c r="Q260" s="131"/>
      <c r="R260" s="131"/>
      <c r="S260" s="131"/>
      <c r="T260" s="131"/>
      <c r="U260" s="131"/>
      <c r="V260" s="131"/>
      <c r="W260" s="131"/>
      <c r="X260" s="131"/>
      <c r="Y260" s="131"/>
      <c r="Z260" s="131"/>
      <c r="AA260" s="245"/>
      <c r="AB260" s="131"/>
      <c r="AC260" s="131"/>
      <c r="AD260" s="131"/>
      <c r="AE260" s="131"/>
      <c r="AF260" s="131"/>
      <c r="AG260" s="131"/>
      <c r="AH260" s="131"/>
      <c r="AI260" s="131"/>
      <c r="AJ260" s="131"/>
      <c r="AK260" s="131"/>
      <c r="AL260" s="131"/>
      <c r="AM260" s="131"/>
      <c r="AN260" s="131"/>
      <c r="AO260" s="131"/>
      <c r="AP260" s="131"/>
      <c r="AQ260" s="131"/>
      <c r="AR260" s="131"/>
      <c r="AS260" s="131"/>
      <c r="AT260" s="131"/>
      <c r="AU260" s="131"/>
      <c r="AV260" s="131"/>
      <c r="AW260" s="131"/>
      <c r="AX260" s="131"/>
      <c r="AY260" s="131"/>
      <c r="AZ260" s="131"/>
    </row>
    <row r="261" spans="1:52">
      <c r="A261" s="216" t="str">
        <f>IF(D261="","",VLOOKUP(G261,códigosORL!$H:$J,3,FALSE))</f>
        <v/>
      </c>
      <c r="B261" s="131"/>
      <c r="C261" s="258"/>
      <c r="D261" s="131"/>
      <c r="E261" s="131"/>
      <c r="F261" s="247"/>
      <c r="G261" s="131"/>
      <c r="H261" s="131"/>
      <c r="I261" s="131"/>
      <c r="J261" s="131"/>
      <c r="K261" s="131"/>
      <c r="L261" s="131"/>
      <c r="M261" s="131"/>
      <c r="N261" s="131"/>
      <c r="O261" s="131"/>
      <c r="P261" s="131"/>
      <c r="Q261" s="131"/>
      <c r="R261" s="131"/>
      <c r="S261" s="131"/>
      <c r="T261" s="131"/>
      <c r="U261" s="131"/>
      <c r="V261" s="131"/>
      <c r="W261" s="131"/>
      <c r="X261" s="131"/>
      <c r="Y261" s="131"/>
      <c r="Z261" s="131"/>
      <c r="AA261" s="245"/>
      <c r="AB261" s="131"/>
      <c r="AC261" s="131"/>
      <c r="AD261" s="131"/>
      <c r="AE261" s="131"/>
      <c r="AF261" s="131"/>
      <c r="AG261" s="131"/>
      <c r="AH261" s="131"/>
      <c r="AI261" s="131"/>
      <c r="AJ261" s="131"/>
      <c r="AK261" s="131"/>
      <c r="AL261" s="131"/>
      <c r="AM261" s="131"/>
      <c r="AN261" s="131"/>
      <c r="AO261" s="131"/>
      <c r="AP261" s="131"/>
      <c r="AQ261" s="131"/>
      <c r="AR261" s="131"/>
      <c r="AS261" s="131"/>
      <c r="AT261" s="131"/>
      <c r="AU261" s="131"/>
      <c r="AV261" s="131"/>
      <c r="AW261" s="131"/>
      <c r="AX261" s="131"/>
      <c r="AY261" s="131"/>
      <c r="AZ261" s="131"/>
    </row>
    <row r="262" spans="1:52">
      <c r="A262" s="216" t="str">
        <f>IF(D262="","",VLOOKUP(G262,códigosORL!$H:$J,3,FALSE))</f>
        <v/>
      </c>
      <c r="B262" s="131"/>
      <c r="C262" s="258"/>
      <c r="D262" s="131"/>
      <c r="E262" s="131"/>
      <c r="F262" s="247"/>
      <c r="G262" s="131"/>
      <c r="H262" s="131"/>
      <c r="I262" s="131"/>
      <c r="J262" s="131"/>
      <c r="K262" s="131"/>
      <c r="L262" s="131"/>
      <c r="M262" s="131"/>
      <c r="N262" s="131"/>
      <c r="O262" s="131"/>
      <c r="P262" s="131"/>
      <c r="Q262" s="131"/>
      <c r="R262" s="131"/>
      <c r="S262" s="131"/>
      <c r="T262" s="131"/>
      <c r="U262" s="131"/>
      <c r="V262" s="131"/>
      <c r="W262" s="131"/>
      <c r="X262" s="131"/>
      <c r="Y262" s="131"/>
      <c r="Z262" s="131"/>
      <c r="AA262" s="245"/>
      <c r="AB262" s="131"/>
      <c r="AC262" s="131"/>
      <c r="AD262" s="131"/>
      <c r="AE262" s="131"/>
      <c r="AF262" s="131"/>
      <c r="AG262" s="131"/>
      <c r="AH262" s="131"/>
      <c r="AI262" s="131"/>
      <c r="AJ262" s="131"/>
      <c r="AK262" s="131"/>
      <c r="AL262" s="131"/>
      <c r="AM262" s="131"/>
      <c r="AN262" s="131"/>
      <c r="AO262" s="131"/>
      <c r="AP262" s="131"/>
      <c r="AQ262" s="131"/>
      <c r="AR262" s="131"/>
      <c r="AS262" s="131"/>
      <c r="AT262" s="131"/>
      <c r="AU262" s="131"/>
      <c r="AV262" s="131"/>
      <c r="AW262" s="131"/>
      <c r="AX262" s="131"/>
      <c r="AY262" s="131"/>
      <c r="AZ262" s="131"/>
    </row>
    <row r="263" spans="1:52">
      <c r="A263" s="216" t="str">
        <f>IF(D263="","",VLOOKUP(G263,códigosORL!$H:$J,3,FALSE))</f>
        <v/>
      </c>
      <c r="B263" s="131"/>
      <c r="C263" s="258"/>
      <c r="D263" s="131"/>
      <c r="E263" s="131"/>
      <c r="F263" s="247"/>
      <c r="G263" s="131"/>
      <c r="H263" s="131"/>
      <c r="I263" s="131"/>
      <c r="J263" s="131"/>
      <c r="K263" s="131"/>
      <c r="L263" s="131"/>
      <c r="M263" s="131"/>
      <c r="N263" s="131"/>
      <c r="O263" s="131"/>
      <c r="P263" s="131"/>
      <c r="Q263" s="131"/>
      <c r="R263" s="131"/>
      <c r="S263" s="131"/>
      <c r="T263" s="131"/>
      <c r="U263" s="131"/>
      <c r="V263" s="131"/>
      <c r="W263" s="131"/>
      <c r="X263" s="131"/>
      <c r="Y263" s="131"/>
      <c r="Z263" s="131"/>
      <c r="AA263" s="245"/>
      <c r="AB263" s="131"/>
      <c r="AC263" s="131"/>
      <c r="AD263" s="131"/>
      <c r="AE263" s="131"/>
      <c r="AF263" s="131"/>
      <c r="AG263" s="131"/>
      <c r="AH263" s="131"/>
      <c r="AI263" s="131"/>
      <c r="AJ263" s="131"/>
      <c r="AK263" s="131"/>
      <c r="AL263" s="131"/>
      <c r="AM263" s="131"/>
      <c r="AN263" s="131"/>
      <c r="AO263" s="131"/>
      <c r="AP263" s="131"/>
      <c r="AQ263" s="131"/>
      <c r="AR263" s="131"/>
      <c r="AS263" s="131"/>
      <c r="AT263" s="131"/>
      <c r="AU263" s="131"/>
      <c r="AV263" s="131"/>
      <c r="AW263" s="131"/>
      <c r="AX263" s="131"/>
      <c r="AY263" s="131"/>
      <c r="AZ263" s="131"/>
    </row>
    <row r="264" spans="1:52">
      <c r="A264" s="216" t="str">
        <f>IF(D264="","",VLOOKUP(G264,códigosORL!$H:$J,3,FALSE))</f>
        <v/>
      </c>
      <c r="B264" s="131"/>
      <c r="C264" s="258"/>
      <c r="D264" s="131"/>
      <c r="E264" s="131"/>
      <c r="F264" s="247"/>
      <c r="G264" s="131"/>
      <c r="H264" s="131"/>
      <c r="I264" s="131"/>
      <c r="J264" s="131"/>
      <c r="K264" s="131"/>
      <c r="L264" s="131"/>
      <c r="M264" s="131"/>
      <c r="N264" s="131"/>
      <c r="O264" s="131"/>
      <c r="P264" s="131"/>
      <c r="Q264" s="131"/>
      <c r="R264" s="131"/>
      <c r="S264" s="131"/>
      <c r="T264" s="131"/>
      <c r="U264" s="131"/>
      <c r="V264" s="131"/>
      <c r="W264" s="131"/>
      <c r="X264" s="131"/>
      <c r="Y264" s="131"/>
      <c r="Z264" s="131"/>
      <c r="AA264" s="245"/>
      <c r="AB264" s="131"/>
      <c r="AC264" s="131"/>
      <c r="AD264" s="131"/>
      <c r="AE264" s="131"/>
      <c r="AF264" s="131"/>
      <c r="AG264" s="131"/>
      <c r="AH264" s="131"/>
      <c r="AI264" s="131"/>
      <c r="AJ264" s="131"/>
      <c r="AK264" s="131"/>
      <c r="AL264" s="131"/>
      <c r="AM264" s="131"/>
      <c r="AN264" s="131"/>
      <c r="AO264" s="131"/>
      <c r="AP264" s="131"/>
      <c r="AQ264" s="131"/>
      <c r="AR264" s="131"/>
      <c r="AS264" s="131"/>
      <c r="AT264" s="131"/>
      <c r="AU264" s="131"/>
      <c r="AV264" s="131"/>
      <c r="AW264" s="131"/>
      <c r="AX264" s="131"/>
      <c r="AY264" s="131"/>
      <c r="AZ264" s="131"/>
    </row>
    <row r="265" spans="1:52">
      <c r="A265" s="216" t="str">
        <f>IF(D265="","",VLOOKUP(G265,códigosORL!$H:$J,3,FALSE))</f>
        <v/>
      </c>
      <c r="B265" s="131"/>
      <c r="C265" s="258"/>
      <c r="D265" s="131"/>
      <c r="E265" s="131"/>
      <c r="F265" s="247"/>
      <c r="G265" s="131"/>
      <c r="H265" s="131"/>
      <c r="I265" s="131"/>
      <c r="J265" s="131"/>
      <c r="K265" s="131"/>
      <c r="L265" s="131"/>
      <c r="M265" s="131"/>
      <c r="N265" s="131"/>
      <c r="O265" s="131"/>
      <c r="P265" s="131"/>
      <c r="Q265" s="131"/>
      <c r="R265" s="131"/>
      <c r="S265" s="131"/>
      <c r="T265" s="131"/>
      <c r="U265" s="131"/>
      <c r="V265" s="131"/>
      <c r="W265" s="131"/>
      <c r="X265" s="131"/>
      <c r="Y265" s="131"/>
      <c r="Z265" s="131"/>
      <c r="AA265" s="245"/>
      <c r="AB265" s="131"/>
      <c r="AC265" s="131"/>
      <c r="AD265" s="131"/>
      <c r="AE265" s="131"/>
      <c r="AF265" s="131"/>
      <c r="AG265" s="131"/>
      <c r="AH265" s="131"/>
      <c r="AI265" s="131"/>
      <c r="AJ265" s="131"/>
      <c r="AK265" s="131"/>
      <c r="AL265" s="131"/>
      <c r="AM265" s="131"/>
      <c r="AN265" s="131"/>
      <c r="AO265" s="131"/>
      <c r="AP265" s="131"/>
      <c r="AQ265" s="131"/>
      <c r="AR265" s="131"/>
      <c r="AS265" s="131"/>
      <c r="AT265" s="131"/>
      <c r="AU265" s="131"/>
      <c r="AV265" s="131"/>
      <c r="AW265" s="131"/>
      <c r="AX265" s="131"/>
      <c r="AY265" s="131"/>
      <c r="AZ265" s="131"/>
    </row>
    <row r="266" spans="1:52">
      <c r="A266" s="216" t="str">
        <f>IF(D266="","",VLOOKUP(G266,códigosORL!$H:$J,3,FALSE))</f>
        <v/>
      </c>
      <c r="B266" s="131"/>
      <c r="C266" s="258"/>
      <c r="D266" s="131"/>
      <c r="E266" s="131"/>
      <c r="F266" s="247"/>
      <c r="G266" s="131"/>
      <c r="H266" s="131"/>
      <c r="I266" s="131"/>
      <c r="J266" s="131"/>
      <c r="K266" s="131"/>
      <c r="L266" s="131"/>
      <c r="M266" s="131"/>
      <c r="N266" s="131"/>
      <c r="O266" s="131"/>
      <c r="P266" s="131"/>
      <c r="Q266" s="131"/>
      <c r="R266" s="131"/>
      <c r="S266" s="131"/>
      <c r="T266" s="131"/>
      <c r="U266" s="131"/>
      <c r="V266" s="131"/>
      <c r="W266" s="131"/>
      <c r="X266" s="131"/>
      <c r="Y266" s="131"/>
      <c r="Z266" s="131"/>
      <c r="AA266" s="245"/>
      <c r="AB266" s="131"/>
      <c r="AC266" s="131"/>
      <c r="AD266" s="131"/>
      <c r="AE266" s="131"/>
      <c r="AF266" s="131"/>
      <c r="AG266" s="131"/>
      <c r="AH266" s="131"/>
      <c r="AI266" s="131"/>
      <c r="AJ266" s="131"/>
      <c r="AK266" s="131"/>
      <c r="AL266" s="131"/>
      <c r="AM266" s="131"/>
      <c r="AN266" s="131"/>
      <c r="AO266" s="131"/>
      <c r="AP266" s="131"/>
      <c r="AQ266" s="131"/>
      <c r="AR266" s="131"/>
      <c r="AS266" s="131"/>
      <c r="AT266" s="131"/>
      <c r="AU266" s="131"/>
      <c r="AV266" s="131"/>
      <c r="AW266" s="131"/>
      <c r="AX266" s="131"/>
      <c r="AY266" s="131"/>
      <c r="AZ266" s="131"/>
    </row>
    <row r="267" spans="1:52">
      <c r="A267" s="216" t="str">
        <f>IF(D267="","",VLOOKUP(G267,códigosORL!$H:$J,3,FALSE))</f>
        <v/>
      </c>
      <c r="B267" s="131"/>
      <c r="C267" s="258"/>
      <c r="D267" s="131"/>
      <c r="E267" s="131"/>
      <c r="F267" s="247"/>
      <c r="G267" s="131"/>
      <c r="H267" s="131"/>
      <c r="I267" s="131"/>
      <c r="J267" s="131"/>
      <c r="K267" s="131"/>
      <c r="L267" s="131"/>
      <c r="M267" s="131"/>
      <c r="N267" s="131"/>
      <c r="O267" s="131"/>
      <c r="P267" s="131"/>
      <c r="Q267" s="131"/>
      <c r="R267" s="131"/>
      <c r="S267" s="131"/>
      <c r="T267" s="131"/>
      <c r="U267" s="131"/>
      <c r="V267" s="131"/>
      <c r="W267" s="131"/>
      <c r="X267" s="131"/>
      <c r="Y267" s="131"/>
      <c r="Z267" s="131"/>
      <c r="AA267" s="245"/>
      <c r="AB267" s="131"/>
      <c r="AC267" s="131"/>
      <c r="AD267" s="131"/>
      <c r="AE267" s="131"/>
      <c r="AF267" s="131"/>
      <c r="AG267" s="131"/>
      <c r="AH267" s="131"/>
      <c r="AI267" s="131"/>
      <c r="AJ267" s="131"/>
      <c r="AK267" s="131"/>
      <c r="AL267" s="131"/>
      <c r="AM267" s="131"/>
      <c r="AN267" s="131"/>
      <c r="AO267" s="131"/>
      <c r="AP267" s="131"/>
      <c r="AQ267" s="131"/>
      <c r="AR267" s="131"/>
      <c r="AS267" s="131"/>
      <c r="AT267" s="131"/>
      <c r="AU267" s="131"/>
      <c r="AV267" s="131"/>
      <c r="AW267" s="131"/>
      <c r="AX267" s="131"/>
      <c r="AY267" s="131"/>
      <c r="AZ267" s="131"/>
    </row>
    <row r="268" spans="1:52">
      <c r="A268" s="216" t="str">
        <f>IF(D268="","",VLOOKUP(G268,códigosORL!$H:$J,3,FALSE))</f>
        <v/>
      </c>
      <c r="B268" s="131"/>
      <c r="C268" s="258"/>
      <c r="D268" s="131"/>
      <c r="E268" s="131"/>
      <c r="F268" s="247"/>
      <c r="G268" s="131"/>
      <c r="H268" s="131"/>
      <c r="I268" s="131"/>
      <c r="J268" s="131"/>
      <c r="K268" s="131"/>
      <c r="L268" s="131"/>
      <c r="M268" s="131"/>
      <c r="N268" s="131"/>
      <c r="O268" s="131"/>
      <c r="P268" s="131"/>
      <c r="Q268" s="131"/>
      <c r="R268" s="131"/>
      <c r="S268" s="131"/>
      <c r="T268" s="131"/>
      <c r="U268" s="131"/>
      <c r="V268" s="131"/>
      <c r="W268" s="131"/>
      <c r="X268" s="131"/>
      <c r="Y268" s="131"/>
      <c r="Z268" s="131"/>
      <c r="AA268" s="245"/>
      <c r="AB268" s="131"/>
      <c r="AC268" s="131"/>
      <c r="AD268" s="131"/>
      <c r="AE268" s="131"/>
      <c r="AF268" s="131"/>
      <c r="AG268" s="131"/>
      <c r="AH268" s="131"/>
      <c r="AI268" s="131"/>
      <c r="AJ268" s="131"/>
      <c r="AK268" s="131"/>
      <c r="AL268" s="131"/>
      <c r="AM268" s="131"/>
      <c r="AN268" s="131"/>
      <c r="AO268" s="131"/>
      <c r="AP268" s="131"/>
      <c r="AQ268" s="131"/>
      <c r="AR268" s="131"/>
      <c r="AS268" s="131"/>
      <c r="AT268" s="131"/>
      <c r="AU268" s="131"/>
      <c r="AV268" s="131"/>
      <c r="AW268" s="131"/>
      <c r="AX268" s="131"/>
      <c r="AY268" s="131"/>
      <c r="AZ268" s="131"/>
    </row>
    <row r="269" spans="1:52">
      <c r="A269" s="216" t="str">
        <f>IF(D269="","",VLOOKUP(G269,códigosORL!$H:$J,3,FALSE))</f>
        <v/>
      </c>
      <c r="B269" s="131"/>
      <c r="C269" s="258"/>
      <c r="D269" s="131"/>
      <c r="E269" s="131"/>
      <c r="F269" s="247"/>
      <c r="G269" s="131"/>
      <c r="H269" s="131"/>
      <c r="I269" s="131"/>
      <c r="J269" s="131"/>
      <c r="K269" s="131"/>
      <c r="L269" s="131"/>
      <c r="M269" s="131"/>
      <c r="N269" s="131"/>
      <c r="O269" s="131"/>
      <c r="P269" s="131"/>
      <c r="Q269" s="131"/>
      <c r="R269" s="131"/>
      <c r="S269" s="131"/>
      <c r="T269" s="131"/>
      <c r="U269" s="131"/>
      <c r="V269" s="131"/>
      <c r="W269" s="131"/>
      <c r="X269" s="131"/>
      <c r="Y269" s="131"/>
      <c r="Z269" s="131"/>
      <c r="AA269" s="245"/>
      <c r="AB269" s="131"/>
      <c r="AC269" s="131"/>
      <c r="AD269" s="131"/>
      <c r="AE269" s="131"/>
      <c r="AF269" s="131"/>
      <c r="AG269" s="131"/>
      <c r="AH269" s="131"/>
      <c r="AI269" s="131"/>
      <c r="AJ269" s="131"/>
      <c r="AK269" s="131"/>
      <c r="AL269" s="131"/>
      <c r="AM269" s="131"/>
      <c r="AN269" s="131"/>
      <c r="AO269" s="131"/>
      <c r="AP269" s="131"/>
      <c r="AQ269" s="131"/>
      <c r="AR269" s="131"/>
      <c r="AS269" s="131"/>
      <c r="AT269" s="131"/>
      <c r="AU269" s="131"/>
      <c r="AV269" s="131"/>
      <c r="AW269" s="131"/>
      <c r="AX269" s="131"/>
      <c r="AY269" s="131"/>
      <c r="AZ269" s="131"/>
    </row>
    <row r="270" spans="1:52">
      <c r="A270" s="216" t="str">
        <f>IF(D270="","",VLOOKUP(G270,códigosORL!$H:$J,3,FALSE))</f>
        <v/>
      </c>
      <c r="B270" s="131"/>
      <c r="C270" s="258"/>
      <c r="D270" s="131"/>
      <c r="E270" s="131"/>
      <c r="F270" s="247"/>
      <c r="G270" s="131"/>
      <c r="H270" s="131"/>
      <c r="I270" s="131"/>
      <c r="J270" s="131"/>
      <c r="K270" s="131"/>
      <c r="L270" s="131"/>
      <c r="M270" s="131"/>
      <c r="N270" s="131"/>
      <c r="O270" s="131"/>
      <c r="P270" s="131"/>
      <c r="Q270" s="131"/>
      <c r="R270" s="131"/>
      <c r="S270" s="131"/>
      <c r="T270" s="131"/>
      <c r="U270" s="131"/>
      <c r="V270" s="131"/>
      <c r="W270" s="131"/>
      <c r="X270" s="131"/>
      <c r="Y270" s="131"/>
      <c r="Z270" s="131"/>
      <c r="AA270" s="245"/>
      <c r="AB270" s="131"/>
      <c r="AC270" s="131"/>
      <c r="AD270" s="131"/>
      <c r="AE270" s="131"/>
      <c r="AF270" s="131"/>
      <c r="AG270" s="131"/>
      <c r="AH270" s="131"/>
      <c r="AI270" s="131"/>
      <c r="AJ270" s="131"/>
      <c r="AK270" s="131"/>
      <c r="AL270" s="131"/>
      <c r="AM270" s="131"/>
      <c r="AN270" s="131"/>
      <c r="AO270" s="131"/>
      <c r="AP270" s="131"/>
      <c r="AQ270" s="131"/>
      <c r="AR270" s="131"/>
      <c r="AS270" s="131"/>
      <c r="AT270" s="131"/>
      <c r="AU270" s="131"/>
      <c r="AV270" s="131"/>
      <c r="AW270" s="131"/>
      <c r="AX270" s="131"/>
      <c r="AY270" s="131"/>
      <c r="AZ270" s="131"/>
    </row>
    <row r="271" spans="1:52">
      <c r="A271" s="216" t="str">
        <f>IF(D271="","",VLOOKUP(G271,códigosORL!$H:$J,3,FALSE))</f>
        <v/>
      </c>
      <c r="B271" s="131"/>
      <c r="C271" s="258"/>
      <c r="D271" s="131"/>
      <c r="E271" s="131"/>
      <c r="F271" s="247"/>
      <c r="G271" s="131"/>
      <c r="H271" s="131"/>
      <c r="I271" s="131"/>
      <c r="J271" s="131"/>
      <c r="K271" s="131"/>
      <c r="L271" s="131"/>
      <c r="M271" s="131"/>
      <c r="N271" s="131"/>
      <c r="O271" s="131"/>
      <c r="P271" s="131"/>
      <c r="Q271" s="131"/>
      <c r="R271" s="131"/>
      <c r="S271" s="131"/>
      <c r="T271" s="131"/>
      <c r="U271" s="131"/>
      <c r="V271" s="131"/>
      <c r="W271" s="131"/>
      <c r="X271" s="131"/>
      <c r="Y271" s="131"/>
      <c r="Z271" s="131"/>
      <c r="AA271" s="245"/>
      <c r="AB271" s="131"/>
      <c r="AC271" s="131"/>
      <c r="AD271" s="131"/>
      <c r="AE271" s="131"/>
      <c r="AF271" s="131"/>
      <c r="AG271" s="131"/>
      <c r="AH271" s="131"/>
      <c r="AI271" s="131"/>
      <c r="AJ271" s="131"/>
      <c r="AK271" s="131"/>
      <c r="AL271" s="131"/>
      <c r="AM271" s="131"/>
      <c r="AN271" s="131"/>
      <c r="AO271" s="131"/>
      <c r="AP271" s="131"/>
      <c r="AQ271" s="131"/>
      <c r="AR271" s="131"/>
      <c r="AS271" s="131"/>
      <c r="AT271" s="131"/>
      <c r="AU271" s="131"/>
      <c r="AV271" s="131"/>
      <c r="AW271" s="131"/>
      <c r="AX271" s="131"/>
      <c r="AY271" s="131"/>
      <c r="AZ271" s="131"/>
    </row>
    <row r="272" spans="1:52">
      <c r="A272" s="216" t="str">
        <f>IF(D272="","",VLOOKUP(G272,códigosORL!$H:$J,3,FALSE))</f>
        <v/>
      </c>
      <c r="B272" s="131"/>
      <c r="C272" s="258"/>
      <c r="D272" s="131"/>
      <c r="E272" s="131"/>
      <c r="F272" s="247"/>
      <c r="G272" s="131"/>
      <c r="H272" s="131"/>
      <c r="I272" s="131"/>
      <c r="J272" s="131"/>
      <c r="K272" s="131"/>
      <c r="L272" s="131"/>
      <c r="M272" s="131"/>
      <c r="N272" s="131"/>
      <c r="O272" s="131"/>
      <c r="P272" s="131"/>
      <c r="Q272" s="131"/>
      <c r="R272" s="131"/>
      <c r="S272" s="131"/>
      <c r="T272" s="131"/>
      <c r="U272" s="131"/>
      <c r="V272" s="131"/>
      <c r="W272" s="131"/>
      <c r="X272" s="131"/>
      <c r="Y272" s="131"/>
      <c r="Z272" s="131"/>
      <c r="AA272" s="245"/>
      <c r="AB272" s="131"/>
      <c r="AC272" s="131"/>
      <c r="AD272" s="131"/>
      <c r="AE272" s="131"/>
      <c r="AF272" s="131"/>
      <c r="AG272" s="131"/>
      <c r="AH272" s="131"/>
      <c r="AI272" s="131"/>
      <c r="AJ272" s="131"/>
      <c r="AK272" s="131"/>
      <c r="AL272" s="131"/>
      <c r="AM272" s="131"/>
      <c r="AN272" s="131"/>
      <c r="AO272" s="131"/>
      <c r="AP272" s="131"/>
      <c r="AQ272" s="131"/>
      <c r="AR272" s="131"/>
      <c r="AS272" s="131"/>
      <c r="AT272" s="131"/>
      <c r="AU272" s="131"/>
      <c r="AV272" s="131"/>
      <c r="AW272" s="131"/>
      <c r="AX272" s="131"/>
      <c r="AY272" s="131"/>
      <c r="AZ272" s="131"/>
    </row>
    <row r="273" spans="1:52">
      <c r="A273" s="216" t="str">
        <f>IF(D273="","",VLOOKUP(G273,códigosORL!$H:$J,3,FALSE))</f>
        <v/>
      </c>
      <c r="B273" s="131"/>
      <c r="C273" s="258"/>
      <c r="D273" s="131"/>
      <c r="E273" s="131"/>
      <c r="F273" s="247"/>
      <c r="G273" s="131"/>
      <c r="H273" s="131"/>
      <c r="I273" s="131"/>
      <c r="J273" s="131"/>
      <c r="K273" s="131"/>
      <c r="L273" s="131"/>
      <c r="M273" s="131"/>
      <c r="N273" s="131"/>
      <c r="O273" s="131"/>
      <c r="P273" s="131"/>
      <c r="Q273" s="131"/>
      <c r="R273" s="131"/>
      <c r="S273" s="131"/>
      <c r="T273" s="131"/>
      <c r="U273" s="131"/>
      <c r="V273" s="131"/>
      <c r="W273" s="131"/>
      <c r="X273" s="131"/>
      <c r="Y273" s="131"/>
      <c r="Z273" s="131"/>
      <c r="AA273" s="245"/>
      <c r="AB273" s="131"/>
      <c r="AC273" s="131"/>
      <c r="AD273" s="131"/>
      <c r="AE273" s="131"/>
      <c r="AF273" s="131"/>
      <c r="AG273" s="131"/>
      <c r="AH273" s="131"/>
      <c r="AI273" s="131"/>
      <c r="AJ273" s="131"/>
      <c r="AK273" s="131"/>
      <c r="AL273" s="131"/>
      <c r="AM273" s="131"/>
      <c r="AN273" s="131"/>
      <c r="AO273" s="131"/>
      <c r="AP273" s="131"/>
      <c r="AQ273" s="131"/>
      <c r="AR273" s="131"/>
      <c r="AS273" s="131"/>
      <c r="AT273" s="131"/>
      <c r="AU273" s="131"/>
      <c r="AV273" s="131"/>
      <c r="AW273" s="131"/>
      <c r="AX273" s="131"/>
      <c r="AY273" s="131"/>
      <c r="AZ273" s="131"/>
    </row>
    <row r="274" spans="1:52">
      <c r="A274" s="216" t="str">
        <f>IF(D274="","",VLOOKUP(G274,códigosORL!$H:$J,3,FALSE))</f>
        <v/>
      </c>
      <c r="B274" s="131"/>
      <c r="C274" s="258"/>
      <c r="D274" s="131"/>
      <c r="E274" s="131"/>
      <c r="F274" s="247"/>
      <c r="G274" s="131"/>
      <c r="H274" s="131"/>
      <c r="I274" s="131"/>
      <c r="J274" s="131"/>
      <c r="K274" s="131"/>
      <c r="L274" s="131"/>
      <c r="M274" s="131"/>
      <c r="N274" s="131"/>
      <c r="O274" s="131"/>
      <c r="P274" s="131"/>
      <c r="Q274" s="131"/>
      <c r="R274" s="131"/>
      <c r="S274" s="131"/>
      <c r="T274" s="131"/>
      <c r="U274" s="131"/>
      <c r="V274" s="131"/>
      <c r="W274" s="131"/>
      <c r="X274" s="131"/>
      <c r="Y274" s="131"/>
      <c r="Z274" s="131"/>
      <c r="AA274" s="245"/>
      <c r="AB274" s="131"/>
      <c r="AC274" s="131"/>
      <c r="AD274" s="131"/>
      <c r="AE274" s="131"/>
      <c r="AF274" s="131"/>
      <c r="AG274" s="131"/>
      <c r="AH274" s="131"/>
      <c r="AI274" s="131"/>
      <c r="AJ274" s="131"/>
      <c r="AK274" s="131"/>
      <c r="AL274" s="131"/>
      <c r="AM274" s="131"/>
      <c r="AN274" s="131"/>
      <c r="AO274" s="131"/>
      <c r="AP274" s="131"/>
      <c r="AQ274" s="131"/>
      <c r="AR274" s="131"/>
      <c r="AS274" s="131"/>
      <c r="AT274" s="131"/>
      <c r="AU274" s="131"/>
      <c r="AV274" s="131"/>
      <c r="AW274" s="131"/>
      <c r="AX274" s="131"/>
      <c r="AY274" s="131"/>
      <c r="AZ274" s="131"/>
    </row>
    <row r="275" spans="1:52">
      <c r="A275" s="216" t="str">
        <f>IF(D275="","",VLOOKUP(G275,códigosORL!$H:$J,3,FALSE))</f>
        <v/>
      </c>
      <c r="B275" s="131"/>
      <c r="C275" s="258"/>
      <c r="D275" s="131"/>
      <c r="E275" s="131"/>
      <c r="F275" s="247"/>
      <c r="G275" s="131"/>
      <c r="H275" s="131"/>
      <c r="I275" s="131"/>
      <c r="J275" s="131"/>
      <c r="K275" s="131"/>
      <c r="L275" s="131"/>
      <c r="M275" s="131"/>
      <c r="N275" s="131"/>
      <c r="O275" s="131"/>
      <c r="P275" s="131"/>
      <c r="Q275" s="131"/>
      <c r="R275" s="131"/>
      <c r="S275" s="131"/>
      <c r="T275" s="131"/>
      <c r="U275" s="131"/>
      <c r="V275" s="131"/>
      <c r="W275" s="131"/>
      <c r="X275" s="131"/>
      <c r="Y275" s="131"/>
      <c r="Z275" s="131"/>
      <c r="AA275" s="245"/>
      <c r="AB275" s="131"/>
      <c r="AC275" s="131"/>
      <c r="AD275" s="131"/>
      <c r="AE275" s="131"/>
      <c r="AF275" s="131"/>
      <c r="AG275" s="131"/>
      <c r="AH275" s="131"/>
      <c r="AI275" s="131"/>
      <c r="AJ275" s="131"/>
      <c r="AK275" s="131"/>
      <c r="AL275" s="131"/>
      <c r="AM275" s="131"/>
      <c r="AN275" s="131"/>
      <c r="AO275" s="131"/>
      <c r="AP275" s="131"/>
      <c r="AQ275" s="131"/>
      <c r="AR275" s="131"/>
      <c r="AS275" s="131"/>
      <c r="AT275" s="131"/>
      <c r="AU275" s="131"/>
      <c r="AV275" s="131"/>
      <c r="AW275" s="131"/>
      <c r="AX275" s="131"/>
      <c r="AY275" s="131"/>
      <c r="AZ275" s="131"/>
    </row>
    <row r="276" spans="1:52">
      <c r="A276" s="216" t="str">
        <f>IF(D276="","",VLOOKUP(G276,códigosORL!$H:$J,3,FALSE))</f>
        <v/>
      </c>
      <c r="B276" s="131"/>
      <c r="C276" s="258"/>
      <c r="D276" s="131"/>
      <c r="E276" s="131"/>
      <c r="F276" s="247"/>
      <c r="G276" s="131"/>
      <c r="H276" s="131"/>
      <c r="I276" s="131"/>
      <c r="J276" s="131"/>
      <c r="K276" s="131"/>
      <c r="L276" s="131"/>
      <c r="M276" s="131"/>
      <c r="N276" s="131"/>
      <c r="O276" s="131"/>
      <c r="P276" s="131"/>
      <c r="Q276" s="131"/>
      <c r="R276" s="131"/>
      <c r="S276" s="131"/>
      <c r="T276" s="131"/>
      <c r="U276" s="131"/>
      <c r="V276" s="131"/>
      <c r="W276" s="131"/>
      <c r="X276" s="131"/>
      <c r="Y276" s="131"/>
      <c r="Z276" s="131"/>
      <c r="AA276" s="245"/>
      <c r="AB276" s="131"/>
      <c r="AC276" s="131"/>
      <c r="AD276" s="131"/>
      <c r="AE276" s="131"/>
      <c r="AF276" s="131"/>
      <c r="AG276" s="131"/>
      <c r="AH276" s="131"/>
      <c r="AI276" s="131"/>
      <c r="AJ276" s="131"/>
      <c r="AK276" s="131"/>
      <c r="AL276" s="131"/>
      <c r="AM276" s="131"/>
      <c r="AN276" s="131"/>
      <c r="AO276" s="131"/>
      <c r="AP276" s="131"/>
      <c r="AQ276" s="131"/>
      <c r="AR276" s="131"/>
      <c r="AS276" s="131"/>
      <c r="AT276" s="131"/>
      <c r="AU276" s="131"/>
      <c r="AV276" s="131"/>
      <c r="AW276" s="131"/>
      <c r="AX276" s="131"/>
      <c r="AY276" s="131"/>
      <c r="AZ276" s="131"/>
    </row>
    <row r="277" spans="1:52">
      <c r="A277" s="216" t="str">
        <f>IF(D277="","",VLOOKUP(G277,códigosORL!$H:$J,3,FALSE))</f>
        <v/>
      </c>
      <c r="B277" s="131"/>
      <c r="C277" s="258"/>
      <c r="D277" s="131"/>
      <c r="E277" s="131"/>
      <c r="F277" s="247"/>
      <c r="G277" s="131"/>
      <c r="H277" s="131"/>
      <c r="I277" s="131"/>
      <c r="J277" s="131"/>
      <c r="K277" s="131"/>
      <c r="L277" s="131"/>
      <c r="M277" s="131"/>
      <c r="N277" s="131"/>
      <c r="O277" s="131"/>
      <c r="P277" s="131"/>
      <c r="Q277" s="131"/>
      <c r="R277" s="131"/>
      <c r="S277" s="131"/>
      <c r="T277" s="131"/>
      <c r="U277" s="131"/>
      <c r="V277" s="131"/>
      <c r="W277" s="131"/>
      <c r="X277" s="131"/>
      <c r="Y277" s="131"/>
      <c r="Z277" s="131"/>
      <c r="AA277" s="245"/>
      <c r="AB277" s="131"/>
      <c r="AC277" s="131"/>
      <c r="AD277" s="131"/>
      <c r="AE277" s="131"/>
      <c r="AF277" s="131"/>
      <c r="AG277" s="131"/>
      <c r="AH277" s="131"/>
      <c r="AI277" s="131"/>
      <c r="AJ277" s="131"/>
      <c r="AK277" s="131"/>
      <c r="AL277" s="131"/>
      <c r="AM277" s="131"/>
      <c r="AN277" s="131"/>
      <c r="AO277" s="131"/>
      <c r="AP277" s="131"/>
      <c r="AQ277" s="131"/>
      <c r="AR277" s="131"/>
      <c r="AS277" s="131"/>
      <c r="AT277" s="131"/>
      <c r="AU277" s="131"/>
      <c r="AV277" s="131"/>
      <c r="AW277" s="131"/>
      <c r="AX277" s="131"/>
      <c r="AY277" s="131"/>
      <c r="AZ277" s="131"/>
    </row>
    <row r="278" spans="1:52">
      <c r="A278" s="216" t="str">
        <f>IF(D278="","",VLOOKUP(G278,códigosORL!$H:$J,3,FALSE))</f>
        <v/>
      </c>
      <c r="B278" s="131"/>
      <c r="C278" s="258"/>
      <c r="D278" s="131"/>
      <c r="E278" s="131"/>
      <c r="F278" s="247"/>
      <c r="G278" s="131"/>
      <c r="H278" s="131"/>
      <c r="I278" s="131"/>
      <c r="J278" s="131"/>
      <c r="K278" s="131"/>
      <c r="L278" s="131"/>
      <c r="M278" s="131"/>
      <c r="N278" s="131"/>
      <c r="O278" s="131"/>
      <c r="P278" s="131"/>
      <c r="Q278" s="131"/>
      <c r="R278" s="131"/>
      <c r="S278" s="131"/>
      <c r="T278" s="131"/>
      <c r="U278" s="131"/>
      <c r="V278" s="131"/>
      <c r="W278" s="131"/>
      <c r="X278" s="131"/>
      <c r="Y278" s="131"/>
      <c r="Z278" s="131"/>
      <c r="AA278" s="245"/>
      <c r="AB278" s="131"/>
      <c r="AC278" s="131"/>
      <c r="AD278" s="131"/>
      <c r="AE278" s="131"/>
      <c r="AF278" s="131"/>
      <c r="AG278" s="131"/>
      <c r="AH278" s="131"/>
      <c r="AI278" s="131"/>
      <c r="AJ278" s="131"/>
      <c r="AK278" s="131"/>
      <c r="AL278" s="131"/>
      <c r="AM278" s="131"/>
      <c r="AN278" s="131"/>
      <c r="AO278" s="131"/>
      <c r="AP278" s="131"/>
      <c r="AQ278" s="131"/>
      <c r="AR278" s="131"/>
      <c r="AS278" s="131"/>
      <c r="AT278" s="131"/>
      <c r="AU278" s="131"/>
      <c r="AV278" s="131"/>
      <c r="AW278" s="131"/>
      <c r="AX278" s="131"/>
      <c r="AY278" s="131"/>
      <c r="AZ278" s="131"/>
    </row>
    <row r="279" spans="1:52">
      <c r="A279" s="216" t="str">
        <f>IF(D279="","",VLOOKUP(G279,códigosORL!$H:$J,3,FALSE))</f>
        <v/>
      </c>
      <c r="B279" s="131"/>
      <c r="C279" s="258"/>
      <c r="D279" s="131"/>
      <c r="E279" s="131"/>
      <c r="F279" s="247"/>
      <c r="G279" s="131"/>
      <c r="H279" s="131"/>
      <c r="I279" s="131"/>
      <c r="J279" s="131"/>
      <c r="K279" s="131"/>
      <c r="L279" s="131"/>
      <c r="M279" s="131"/>
      <c r="N279" s="131"/>
      <c r="O279" s="131"/>
      <c r="P279" s="131"/>
      <c r="Q279" s="131"/>
      <c r="R279" s="131"/>
      <c r="S279" s="131"/>
      <c r="T279" s="131"/>
      <c r="U279" s="131"/>
      <c r="V279" s="131"/>
      <c r="W279" s="131"/>
      <c r="X279" s="131"/>
      <c r="Y279" s="131"/>
      <c r="Z279" s="131"/>
      <c r="AA279" s="245"/>
      <c r="AB279" s="131"/>
      <c r="AC279" s="131"/>
      <c r="AD279" s="131"/>
      <c r="AE279" s="131"/>
      <c r="AF279" s="131"/>
      <c r="AG279" s="131"/>
      <c r="AH279" s="131"/>
      <c r="AI279" s="131"/>
      <c r="AJ279" s="131"/>
      <c r="AK279" s="131"/>
      <c r="AL279" s="131"/>
      <c r="AM279" s="131"/>
      <c r="AN279" s="131"/>
      <c r="AO279" s="131"/>
      <c r="AP279" s="131"/>
      <c r="AQ279" s="131"/>
      <c r="AR279" s="131"/>
      <c r="AS279" s="131"/>
      <c r="AT279" s="131"/>
      <c r="AU279" s="131"/>
      <c r="AV279" s="131"/>
      <c r="AW279" s="131"/>
      <c r="AX279" s="131"/>
      <c r="AY279" s="131"/>
      <c r="AZ279" s="131"/>
    </row>
    <row r="280" spans="1:52">
      <c r="A280" s="216" t="str">
        <f>IF(D280="","",VLOOKUP(G280,códigosORL!$H:$J,3,FALSE))</f>
        <v/>
      </c>
      <c r="B280" s="131"/>
      <c r="C280" s="258"/>
      <c r="D280" s="131"/>
      <c r="E280" s="131"/>
      <c r="F280" s="247"/>
      <c r="G280" s="131"/>
      <c r="H280" s="131"/>
      <c r="I280" s="131"/>
      <c r="J280" s="131"/>
      <c r="K280" s="131"/>
      <c r="L280" s="131"/>
      <c r="M280" s="131"/>
      <c r="N280" s="131"/>
      <c r="O280" s="131"/>
      <c r="P280" s="131"/>
      <c r="Q280" s="131"/>
      <c r="R280" s="131"/>
      <c r="S280" s="131"/>
      <c r="T280" s="131"/>
      <c r="U280" s="131"/>
      <c r="V280" s="131"/>
      <c r="W280" s="131"/>
      <c r="X280" s="131"/>
      <c r="Y280" s="131"/>
      <c r="Z280" s="131"/>
      <c r="AA280" s="245"/>
      <c r="AB280" s="131"/>
      <c r="AC280" s="131"/>
      <c r="AD280" s="131"/>
      <c r="AE280" s="131"/>
      <c r="AF280" s="131"/>
      <c r="AG280" s="131"/>
      <c r="AH280" s="131"/>
      <c r="AI280" s="131"/>
      <c r="AJ280" s="131"/>
      <c r="AK280" s="131"/>
      <c r="AL280" s="131"/>
      <c r="AM280" s="131"/>
      <c r="AN280" s="131"/>
      <c r="AO280" s="131"/>
      <c r="AP280" s="131"/>
      <c r="AQ280" s="131"/>
      <c r="AR280" s="131"/>
      <c r="AS280" s="131"/>
      <c r="AT280" s="131"/>
      <c r="AU280" s="131"/>
      <c r="AV280" s="131"/>
      <c r="AW280" s="131"/>
      <c r="AX280" s="131"/>
      <c r="AY280" s="131"/>
      <c r="AZ280" s="131"/>
    </row>
    <row r="281" spans="1:52">
      <c r="A281" s="216" t="str">
        <f>IF(D281="","",VLOOKUP(G281,códigosORL!$H:$J,3,FALSE))</f>
        <v/>
      </c>
      <c r="B281" s="131"/>
      <c r="C281" s="258"/>
      <c r="D281" s="131"/>
      <c r="E281" s="131"/>
      <c r="F281" s="247"/>
      <c r="G281" s="131"/>
      <c r="H281" s="131"/>
      <c r="I281" s="131"/>
      <c r="J281" s="131"/>
      <c r="K281" s="131"/>
      <c r="L281" s="131"/>
      <c r="M281" s="131"/>
      <c r="N281" s="131"/>
      <c r="O281" s="131"/>
      <c r="P281" s="131"/>
      <c r="Q281" s="131"/>
      <c r="R281" s="131"/>
      <c r="S281" s="131"/>
      <c r="T281" s="131"/>
      <c r="U281" s="131"/>
      <c r="V281" s="131"/>
      <c r="W281" s="131"/>
      <c r="X281" s="131"/>
      <c r="Y281" s="131"/>
      <c r="Z281" s="131"/>
      <c r="AA281" s="245"/>
      <c r="AB281" s="131"/>
      <c r="AC281" s="131"/>
      <c r="AD281" s="131"/>
      <c r="AE281" s="131"/>
      <c r="AF281" s="131"/>
      <c r="AG281" s="131"/>
      <c r="AH281" s="131"/>
      <c r="AI281" s="131"/>
      <c r="AJ281" s="131"/>
      <c r="AK281" s="131"/>
      <c r="AL281" s="131"/>
      <c r="AM281" s="131"/>
      <c r="AN281" s="131"/>
      <c r="AO281" s="131"/>
      <c r="AP281" s="131"/>
      <c r="AQ281" s="131"/>
      <c r="AR281" s="131"/>
      <c r="AS281" s="131"/>
      <c r="AT281" s="131"/>
      <c r="AU281" s="131"/>
      <c r="AV281" s="131"/>
      <c r="AW281" s="131"/>
      <c r="AX281" s="131"/>
      <c r="AY281" s="131"/>
      <c r="AZ281" s="131"/>
    </row>
    <row r="282" spans="1:52">
      <c r="A282" s="216" t="str">
        <f>IF(D282="","",VLOOKUP(G282,códigosORL!$H:$J,3,FALSE))</f>
        <v/>
      </c>
      <c r="B282" s="131"/>
      <c r="C282" s="258"/>
      <c r="D282" s="131"/>
      <c r="E282" s="131"/>
      <c r="F282" s="247"/>
      <c r="G282" s="131"/>
      <c r="H282" s="131"/>
      <c r="I282" s="131"/>
      <c r="J282" s="131"/>
      <c r="K282" s="131"/>
      <c r="L282" s="131"/>
      <c r="M282" s="131"/>
      <c r="N282" s="131"/>
      <c r="O282" s="131"/>
      <c r="P282" s="131"/>
      <c r="Q282" s="131"/>
      <c r="R282" s="131"/>
      <c r="S282" s="131"/>
      <c r="T282" s="131"/>
      <c r="U282" s="131"/>
      <c r="V282" s="131"/>
      <c r="W282" s="131"/>
      <c r="X282" s="131"/>
      <c r="Y282" s="131"/>
      <c r="Z282" s="131"/>
      <c r="AA282" s="245"/>
      <c r="AB282" s="131"/>
      <c r="AC282" s="131"/>
      <c r="AD282" s="131"/>
      <c r="AE282" s="131"/>
      <c r="AF282" s="131"/>
      <c r="AG282" s="131"/>
      <c r="AH282" s="131"/>
      <c r="AI282" s="131"/>
      <c r="AJ282" s="131"/>
      <c r="AK282" s="131"/>
      <c r="AL282" s="131"/>
      <c r="AM282" s="131"/>
      <c r="AN282" s="131"/>
      <c r="AO282" s="131"/>
      <c r="AP282" s="131"/>
      <c r="AQ282" s="131"/>
      <c r="AR282" s="131"/>
      <c r="AS282" s="131"/>
      <c r="AT282" s="131"/>
      <c r="AU282" s="131"/>
      <c r="AV282" s="131"/>
      <c r="AW282" s="131"/>
      <c r="AX282" s="131"/>
      <c r="AY282" s="131"/>
      <c r="AZ282" s="131"/>
    </row>
    <row r="283" spans="1:52">
      <c r="A283" s="216" t="str">
        <f>IF(D283="","",VLOOKUP(G283,códigosORL!$H:$J,3,FALSE))</f>
        <v/>
      </c>
      <c r="B283" s="131"/>
      <c r="C283" s="258"/>
      <c r="D283" s="131"/>
      <c r="E283" s="131"/>
      <c r="F283" s="247"/>
      <c r="G283" s="131"/>
      <c r="H283" s="131"/>
      <c r="I283" s="131"/>
      <c r="J283" s="131"/>
      <c r="K283" s="131"/>
      <c r="L283" s="131"/>
      <c r="M283" s="131"/>
      <c r="N283" s="131"/>
      <c r="O283" s="131"/>
      <c r="P283" s="131"/>
      <c r="Q283" s="131"/>
      <c r="R283" s="131"/>
      <c r="S283" s="131"/>
      <c r="T283" s="131"/>
      <c r="U283" s="131"/>
      <c r="V283" s="131"/>
      <c r="W283" s="131"/>
      <c r="X283" s="131"/>
      <c r="Y283" s="131"/>
      <c r="Z283" s="131"/>
      <c r="AA283" s="245"/>
      <c r="AB283" s="131"/>
      <c r="AC283" s="131"/>
      <c r="AD283" s="131"/>
      <c r="AE283" s="131"/>
      <c r="AF283" s="131"/>
      <c r="AG283" s="131"/>
      <c r="AH283" s="131"/>
      <c r="AI283" s="131"/>
      <c r="AJ283" s="131"/>
      <c r="AK283" s="131"/>
      <c r="AL283" s="131"/>
      <c r="AM283" s="131"/>
      <c r="AN283" s="131"/>
      <c r="AO283" s="131"/>
      <c r="AP283" s="131"/>
      <c r="AQ283" s="131"/>
      <c r="AR283" s="131"/>
      <c r="AS283" s="131"/>
      <c r="AT283" s="131"/>
      <c r="AU283" s="131"/>
      <c r="AV283" s="131"/>
      <c r="AW283" s="131"/>
      <c r="AX283" s="131"/>
      <c r="AY283" s="131"/>
      <c r="AZ283" s="131"/>
    </row>
    <row r="284" spans="1:52">
      <c r="A284" s="216" t="str">
        <f>IF(D284="","",VLOOKUP(G284,códigosORL!$H:$J,3,FALSE))</f>
        <v/>
      </c>
      <c r="B284" s="131"/>
      <c r="C284" s="258"/>
      <c r="D284" s="131"/>
      <c r="E284" s="131"/>
      <c r="F284" s="247"/>
      <c r="G284" s="131"/>
      <c r="H284" s="131"/>
      <c r="I284" s="131"/>
      <c r="J284" s="131"/>
      <c r="K284" s="131"/>
      <c r="L284" s="131"/>
      <c r="M284" s="131"/>
      <c r="N284" s="131"/>
      <c r="O284" s="131"/>
      <c r="P284" s="131"/>
      <c r="Q284" s="131"/>
      <c r="R284" s="131"/>
      <c r="S284" s="131"/>
      <c r="T284" s="131"/>
      <c r="U284" s="131"/>
      <c r="V284" s="131"/>
      <c r="W284" s="131"/>
      <c r="X284" s="131"/>
      <c r="Y284" s="131"/>
      <c r="Z284" s="131"/>
      <c r="AA284" s="245"/>
      <c r="AB284" s="131"/>
      <c r="AC284" s="131"/>
      <c r="AD284" s="131"/>
      <c r="AE284" s="131"/>
      <c r="AF284" s="131"/>
      <c r="AG284" s="131"/>
      <c r="AH284" s="131"/>
      <c r="AI284" s="131"/>
      <c r="AJ284" s="131"/>
      <c r="AK284" s="131"/>
      <c r="AL284" s="131"/>
      <c r="AM284" s="131"/>
      <c r="AN284" s="131"/>
      <c r="AO284" s="131"/>
      <c r="AP284" s="131"/>
      <c r="AQ284" s="131"/>
      <c r="AR284" s="131"/>
      <c r="AS284" s="131"/>
      <c r="AT284" s="131"/>
      <c r="AU284" s="131"/>
      <c r="AV284" s="131"/>
      <c r="AW284" s="131"/>
      <c r="AX284" s="131"/>
      <c r="AY284" s="131"/>
      <c r="AZ284" s="131"/>
    </row>
    <row r="285" spans="1:52">
      <c r="A285" s="216" t="str">
        <f>IF(D285="","",VLOOKUP(G285,códigosORL!$H:$J,3,FALSE))</f>
        <v/>
      </c>
      <c r="B285" s="131"/>
      <c r="C285" s="258"/>
      <c r="D285" s="131"/>
      <c r="E285" s="131"/>
      <c r="F285" s="247"/>
      <c r="G285" s="131"/>
      <c r="H285" s="131"/>
      <c r="I285" s="131"/>
      <c r="J285" s="131"/>
      <c r="K285" s="131"/>
      <c r="L285" s="131"/>
      <c r="M285" s="131"/>
      <c r="N285" s="131"/>
      <c r="O285" s="131"/>
      <c r="P285" s="131"/>
      <c r="Q285" s="131"/>
      <c r="R285" s="131"/>
      <c r="S285" s="131"/>
      <c r="T285" s="131"/>
      <c r="U285" s="131"/>
      <c r="V285" s="131"/>
      <c r="W285" s="131"/>
      <c r="X285" s="131"/>
      <c r="Y285" s="131"/>
      <c r="Z285" s="131"/>
      <c r="AA285" s="245"/>
      <c r="AB285" s="131"/>
      <c r="AC285" s="131"/>
      <c r="AD285" s="131"/>
      <c r="AE285" s="131"/>
      <c r="AF285" s="131"/>
      <c r="AG285" s="131"/>
      <c r="AH285" s="131"/>
      <c r="AI285" s="131"/>
      <c r="AJ285" s="131"/>
      <c r="AK285" s="131"/>
      <c r="AL285" s="131"/>
      <c r="AM285" s="131"/>
      <c r="AN285" s="131"/>
      <c r="AO285" s="131"/>
      <c r="AP285" s="131"/>
      <c r="AQ285" s="131"/>
      <c r="AR285" s="131"/>
      <c r="AS285" s="131"/>
      <c r="AT285" s="131"/>
      <c r="AU285" s="131"/>
      <c r="AV285" s="131"/>
      <c r="AW285" s="131"/>
      <c r="AX285" s="131"/>
      <c r="AY285" s="131"/>
      <c r="AZ285" s="131"/>
    </row>
    <row r="286" spans="1:52">
      <c r="A286" s="216" t="str">
        <f>IF(D286="","",VLOOKUP(G286,códigosORL!$H:$J,3,FALSE))</f>
        <v/>
      </c>
      <c r="B286" s="131"/>
      <c r="C286" s="258"/>
      <c r="D286" s="131"/>
      <c r="E286" s="131"/>
      <c r="F286" s="247"/>
      <c r="G286" s="131"/>
      <c r="H286" s="131"/>
      <c r="I286" s="131"/>
      <c r="J286" s="131"/>
      <c r="K286" s="131"/>
      <c r="L286" s="131"/>
      <c r="M286" s="131"/>
      <c r="N286" s="131"/>
      <c r="O286" s="131"/>
      <c r="P286" s="131"/>
      <c r="Q286" s="131"/>
      <c r="R286" s="131"/>
      <c r="S286" s="131"/>
      <c r="T286" s="131"/>
      <c r="U286" s="131"/>
      <c r="V286" s="131"/>
      <c r="W286" s="131"/>
      <c r="X286" s="131"/>
      <c r="Y286" s="131"/>
      <c r="Z286" s="131"/>
      <c r="AA286" s="245"/>
      <c r="AB286" s="131"/>
      <c r="AC286" s="131"/>
      <c r="AD286" s="131"/>
      <c r="AE286" s="131"/>
      <c r="AF286" s="131"/>
      <c r="AG286" s="131"/>
      <c r="AH286" s="131"/>
      <c r="AI286" s="131"/>
      <c r="AJ286" s="131"/>
      <c r="AK286" s="131"/>
      <c r="AL286" s="131"/>
      <c r="AM286" s="131"/>
      <c r="AN286" s="131"/>
      <c r="AO286" s="131"/>
      <c r="AP286" s="131"/>
      <c r="AQ286" s="131"/>
      <c r="AR286" s="131"/>
      <c r="AS286" s="131"/>
      <c r="AT286" s="131"/>
      <c r="AU286" s="131"/>
      <c r="AV286" s="131"/>
      <c r="AW286" s="131"/>
      <c r="AX286" s="131"/>
      <c r="AY286" s="131"/>
      <c r="AZ286" s="131"/>
    </row>
    <row r="287" spans="1:52">
      <c r="A287" s="216" t="str">
        <f>IF(D287="","",VLOOKUP(G287,códigosORL!$H:$J,3,FALSE))</f>
        <v/>
      </c>
      <c r="B287" s="131"/>
      <c r="C287" s="258"/>
      <c r="D287" s="131"/>
      <c r="E287" s="131"/>
      <c r="F287" s="247"/>
      <c r="G287" s="131"/>
      <c r="H287" s="131"/>
      <c r="I287" s="131"/>
      <c r="J287" s="131"/>
      <c r="K287" s="131"/>
      <c r="L287" s="131"/>
      <c r="M287" s="131"/>
      <c r="N287" s="131"/>
      <c r="O287" s="131"/>
      <c r="P287" s="131"/>
      <c r="Q287" s="131"/>
      <c r="R287" s="131"/>
      <c r="S287" s="131"/>
      <c r="T287" s="131"/>
      <c r="U287" s="131"/>
      <c r="V287" s="131"/>
      <c r="W287" s="131"/>
      <c r="X287" s="131"/>
      <c r="Y287" s="131"/>
      <c r="Z287" s="131"/>
      <c r="AA287" s="245"/>
      <c r="AB287" s="131"/>
      <c r="AC287" s="131"/>
      <c r="AD287" s="131"/>
      <c r="AE287" s="131"/>
      <c r="AF287" s="131"/>
      <c r="AG287" s="131"/>
      <c r="AH287" s="131"/>
      <c r="AI287" s="131"/>
      <c r="AJ287" s="131"/>
      <c r="AK287" s="131"/>
      <c r="AL287" s="131"/>
      <c r="AM287" s="131"/>
      <c r="AN287" s="131"/>
      <c r="AO287" s="131"/>
      <c r="AP287" s="131"/>
      <c r="AQ287" s="131"/>
      <c r="AR287" s="131"/>
      <c r="AS287" s="131"/>
      <c r="AT287" s="131"/>
      <c r="AU287" s="131"/>
      <c r="AV287" s="131"/>
      <c r="AW287" s="131"/>
      <c r="AX287" s="131"/>
      <c r="AY287" s="131"/>
      <c r="AZ287" s="131"/>
    </row>
    <row r="288" spans="1:52">
      <c r="A288" s="216" t="str">
        <f>IF(D288="","",VLOOKUP(G288,códigosORL!$H:$J,3,FALSE))</f>
        <v/>
      </c>
      <c r="B288" s="131"/>
      <c r="C288" s="258"/>
      <c r="D288" s="131"/>
      <c r="E288" s="131"/>
      <c r="F288" s="247"/>
      <c r="G288" s="131"/>
      <c r="H288" s="131"/>
      <c r="I288" s="131"/>
      <c r="J288" s="131"/>
      <c r="K288" s="131"/>
      <c r="L288" s="131"/>
      <c r="M288" s="131"/>
      <c r="N288" s="131"/>
      <c r="O288" s="131"/>
      <c r="P288" s="131"/>
      <c r="Q288" s="131"/>
      <c r="R288" s="131"/>
      <c r="S288" s="131"/>
      <c r="T288" s="131"/>
      <c r="U288" s="131"/>
      <c r="V288" s="131"/>
      <c r="W288" s="131"/>
      <c r="X288" s="131"/>
      <c r="Y288" s="131"/>
      <c r="Z288" s="131"/>
      <c r="AA288" s="245"/>
      <c r="AB288" s="131"/>
      <c r="AC288" s="131"/>
      <c r="AD288" s="131"/>
      <c r="AE288" s="131"/>
      <c r="AF288" s="131"/>
      <c r="AG288" s="131"/>
      <c r="AH288" s="131"/>
      <c r="AI288" s="131"/>
      <c r="AJ288" s="131"/>
      <c r="AK288" s="131"/>
      <c r="AL288" s="131"/>
      <c r="AM288" s="131"/>
      <c r="AN288" s="131"/>
      <c r="AO288" s="131"/>
      <c r="AP288" s="131"/>
      <c r="AQ288" s="131"/>
      <c r="AR288" s="131"/>
      <c r="AS288" s="131"/>
      <c r="AT288" s="131"/>
      <c r="AU288" s="131"/>
      <c r="AV288" s="131"/>
      <c r="AW288" s="131"/>
      <c r="AX288" s="131"/>
      <c r="AY288" s="131"/>
      <c r="AZ288" s="131"/>
    </row>
    <row r="289" spans="1:52">
      <c r="A289" s="216" t="str">
        <f>IF(D289="","",VLOOKUP(G289,códigosORL!$H:$J,3,FALSE))</f>
        <v/>
      </c>
      <c r="B289" s="131"/>
      <c r="C289" s="258"/>
      <c r="D289" s="131"/>
      <c r="E289" s="131"/>
      <c r="F289" s="247"/>
      <c r="G289" s="131"/>
      <c r="H289" s="131"/>
      <c r="I289" s="131"/>
      <c r="J289" s="131"/>
      <c r="K289" s="131"/>
      <c r="L289" s="131"/>
      <c r="M289" s="131"/>
      <c r="N289" s="131"/>
      <c r="O289" s="131"/>
      <c r="P289" s="131"/>
      <c r="Q289" s="131"/>
      <c r="R289" s="131"/>
      <c r="S289" s="131"/>
      <c r="T289" s="131"/>
      <c r="U289" s="131"/>
      <c r="V289" s="131"/>
      <c r="W289" s="131"/>
      <c r="X289" s="131"/>
      <c r="Y289" s="131"/>
      <c r="Z289" s="131"/>
      <c r="AA289" s="245"/>
      <c r="AB289" s="131"/>
      <c r="AC289" s="131"/>
      <c r="AD289" s="131"/>
      <c r="AE289" s="131"/>
      <c r="AF289" s="131"/>
      <c r="AG289" s="131"/>
      <c r="AH289" s="131"/>
      <c r="AI289" s="131"/>
      <c r="AJ289" s="131"/>
      <c r="AK289" s="131"/>
      <c r="AL289" s="131"/>
      <c r="AM289" s="131"/>
      <c r="AN289" s="131"/>
      <c r="AO289" s="131"/>
      <c r="AP289" s="131"/>
      <c r="AQ289" s="131"/>
      <c r="AR289" s="131"/>
      <c r="AS289" s="131"/>
      <c r="AT289" s="131"/>
      <c r="AU289" s="131"/>
      <c r="AV289" s="131"/>
      <c r="AW289" s="131"/>
      <c r="AX289" s="131"/>
      <c r="AY289" s="131"/>
      <c r="AZ289" s="131"/>
    </row>
    <row r="290" spans="1:52">
      <c r="A290" s="216" t="str">
        <f>IF(D290="","",VLOOKUP(G290,códigosORL!$H:$J,3,FALSE))</f>
        <v/>
      </c>
      <c r="B290" s="131"/>
      <c r="C290" s="258"/>
      <c r="D290" s="131"/>
      <c r="E290" s="131"/>
      <c r="F290" s="247"/>
      <c r="G290" s="131"/>
      <c r="H290" s="131"/>
      <c r="I290" s="131"/>
      <c r="J290" s="131"/>
      <c r="K290" s="131"/>
      <c r="L290" s="131"/>
      <c r="M290" s="131"/>
      <c r="N290" s="131"/>
      <c r="O290" s="131"/>
      <c r="P290" s="131"/>
      <c r="Q290" s="131"/>
      <c r="R290" s="131"/>
      <c r="S290" s="131"/>
      <c r="T290" s="131"/>
      <c r="U290" s="131"/>
      <c r="V290" s="131"/>
      <c r="W290" s="131"/>
      <c r="X290" s="131"/>
      <c r="Y290" s="131"/>
      <c r="Z290" s="131"/>
      <c r="AA290" s="245"/>
      <c r="AB290" s="131"/>
      <c r="AC290" s="131"/>
      <c r="AD290" s="131"/>
      <c r="AE290" s="131"/>
      <c r="AF290" s="131"/>
      <c r="AG290" s="131"/>
      <c r="AH290" s="131"/>
      <c r="AI290" s="131"/>
      <c r="AJ290" s="131"/>
      <c r="AK290" s="131"/>
      <c r="AL290" s="131"/>
      <c r="AM290" s="131"/>
      <c r="AN290" s="131"/>
      <c r="AO290" s="131"/>
      <c r="AP290" s="131"/>
      <c r="AQ290" s="131"/>
      <c r="AR290" s="131"/>
      <c r="AS290" s="131"/>
      <c r="AT290" s="131"/>
      <c r="AU290" s="131"/>
      <c r="AV290" s="131"/>
      <c r="AW290" s="131"/>
      <c r="AX290" s="131"/>
      <c r="AY290" s="131"/>
      <c r="AZ290" s="131"/>
    </row>
    <row r="291" spans="1:52">
      <c r="A291" s="216" t="str">
        <f>IF(D291="","",VLOOKUP(G291,códigosORL!$H:$J,3,FALSE))</f>
        <v/>
      </c>
      <c r="B291" s="131"/>
      <c r="C291" s="258"/>
      <c r="D291" s="131"/>
      <c r="E291" s="131"/>
      <c r="F291" s="247"/>
      <c r="G291" s="131"/>
      <c r="H291" s="131"/>
      <c r="I291" s="131"/>
      <c r="J291" s="131"/>
      <c r="K291" s="131"/>
      <c r="L291" s="131"/>
      <c r="M291" s="131"/>
      <c r="N291" s="131"/>
      <c r="O291" s="131"/>
      <c r="P291" s="131"/>
      <c r="Q291" s="131"/>
      <c r="R291" s="131"/>
      <c r="S291" s="131"/>
      <c r="T291" s="131"/>
      <c r="U291" s="131"/>
      <c r="V291" s="131"/>
      <c r="W291" s="131"/>
      <c r="X291" s="131"/>
      <c r="Y291" s="131"/>
      <c r="Z291" s="131"/>
      <c r="AA291" s="245"/>
      <c r="AB291" s="131"/>
      <c r="AC291" s="131"/>
      <c r="AD291" s="131"/>
      <c r="AE291" s="131"/>
      <c r="AF291" s="131"/>
      <c r="AG291" s="131"/>
      <c r="AH291" s="131"/>
      <c r="AI291" s="131"/>
      <c r="AJ291" s="131"/>
      <c r="AK291" s="131"/>
      <c r="AL291" s="131"/>
      <c r="AM291" s="131"/>
      <c r="AN291" s="131"/>
      <c r="AO291" s="131"/>
      <c r="AP291" s="131"/>
      <c r="AQ291" s="131"/>
      <c r="AR291" s="131"/>
      <c r="AS291" s="131"/>
      <c r="AT291" s="131"/>
      <c r="AU291" s="131"/>
      <c r="AV291" s="131"/>
      <c r="AW291" s="131"/>
      <c r="AX291" s="131"/>
      <c r="AY291" s="131"/>
      <c r="AZ291" s="131"/>
    </row>
    <row r="292" spans="1:52">
      <c r="A292" s="216" t="str">
        <f>IF(D292="","",VLOOKUP(G292,códigosORL!$H:$J,3,FALSE))</f>
        <v/>
      </c>
      <c r="B292" s="131"/>
      <c r="C292" s="258"/>
      <c r="D292" s="131"/>
      <c r="E292" s="131"/>
      <c r="F292" s="247"/>
      <c r="G292" s="131"/>
      <c r="H292" s="131"/>
      <c r="I292" s="131"/>
      <c r="J292" s="131"/>
      <c r="K292" s="131"/>
      <c r="L292" s="131"/>
      <c r="M292" s="131"/>
      <c r="N292" s="131"/>
      <c r="O292" s="131"/>
      <c r="P292" s="131"/>
      <c r="Q292" s="131"/>
      <c r="R292" s="131"/>
      <c r="S292" s="131"/>
      <c r="T292" s="131"/>
      <c r="U292" s="131"/>
      <c r="V292" s="131"/>
      <c r="W292" s="131"/>
      <c r="X292" s="131"/>
      <c r="Y292" s="131"/>
      <c r="Z292" s="131"/>
      <c r="AA292" s="245"/>
      <c r="AB292" s="131"/>
      <c r="AC292" s="131"/>
      <c r="AD292" s="131"/>
      <c r="AE292" s="131"/>
      <c r="AF292" s="131"/>
      <c r="AG292" s="131"/>
      <c r="AH292" s="131"/>
      <c r="AI292" s="131"/>
      <c r="AJ292" s="131"/>
      <c r="AK292" s="131"/>
      <c r="AL292" s="131"/>
      <c r="AM292" s="131"/>
      <c r="AN292" s="131"/>
      <c r="AO292" s="131"/>
      <c r="AP292" s="131"/>
      <c r="AQ292" s="131"/>
      <c r="AR292" s="131"/>
      <c r="AS292" s="131"/>
      <c r="AT292" s="131"/>
      <c r="AU292" s="131"/>
      <c r="AV292" s="131"/>
      <c r="AW292" s="131"/>
      <c r="AX292" s="131"/>
      <c r="AY292" s="131"/>
      <c r="AZ292" s="131"/>
    </row>
    <row r="293" spans="1:52">
      <c r="A293" s="216" t="str">
        <f>IF(D293="","",VLOOKUP(G293,códigosORL!$H:$J,3,FALSE))</f>
        <v/>
      </c>
      <c r="B293" s="131"/>
      <c r="C293" s="258"/>
      <c r="D293" s="131"/>
      <c r="E293" s="131"/>
      <c r="F293" s="247"/>
      <c r="G293" s="131"/>
      <c r="H293" s="131"/>
      <c r="I293" s="131"/>
      <c r="J293" s="131"/>
      <c r="K293" s="131"/>
      <c r="L293" s="131"/>
      <c r="M293" s="131"/>
      <c r="N293" s="131"/>
      <c r="O293" s="131"/>
      <c r="P293" s="131"/>
      <c r="Q293" s="131"/>
      <c r="R293" s="131"/>
      <c r="S293" s="131"/>
      <c r="T293" s="131"/>
      <c r="U293" s="131"/>
      <c r="V293" s="131"/>
      <c r="W293" s="131"/>
      <c r="X293" s="131"/>
      <c r="Y293" s="131"/>
      <c r="Z293" s="131"/>
      <c r="AA293" s="245"/>
      <c r="AB293" s="131"/>
      <c r="AC293" s="131"/>
      <c r="AD293" s="131"/>
      <c r="AE293" s="131"/>
      <c r="AF293" s="131"/>
      <c r="AG293" s="131"/>
      <c r="AH293" s="131"/>
      <c r="AI293" s="131"/>
      <c r="AJ293" s="131"/>
      <c r="AK293" s="131"/>
      <c r="AL293" s="131"/>
      <c r="AM293" s="131"/>
      <c r="AN293" s="131"/>
      <c r="AO293" s="131"/>
      <c r="AP293" s="131"/>
      <c r="AQ293" s="131"/>
      <c r="AR293" s="131"/>
      <c r="AS293" s="131"/>
      <c r="AT293" s="131"/>
      <c r="AU293" s="131"/>
      <c r="AV293" s="131"/>
      <c r="AW293" s="131"/>
      <c r="AX293" s="131"/>
      <c r="AY293" s="131"/>
      <c r="AZ293" s="131"/>
    </row>
    <row r="294" spans="1:52">
      <c r="A294" s="216" t="str">
        <f>IF(D294="","",VLOOKUP(G294,códigosORL!$H:$J,3,FALSE))</f>
        <v/>
      </c>
      <c r="B294" s="131"/>
      <c r="C294" s="258"/>
      <c r="D294" s="131"/>
      <c r="E294" s="131"/>
      <c r="F294" s="247"/>
      <c r="G294" s="131"/>
      <c r="H294" s="131"/>
      <c r="I294" s="131"/>
      <c r="J294" s="131"/>
      <c r="K294" s="131"/>
      <c r="L294" s="131"/>
      <c r="M294" s="131"/>
      <c r="N294" s="131"/>
      <c r="O294" s="131"/>
      <c r="P294" s="131"/>
      <c r="Q294" s="131"/>
      <c r="R294" s="131"/>
      <c r="S294" s="131"/>
      <c r="T294" s="131"/>
      <c r="U294" s="131"/>
      <c r="V294" s="131"/>
      <c r="W294" s="131"/>
      <c r="X294" s="131"/>
      <c r="Y294" s="131"/>
      <c r="Z294" s="131"/>
      <c r="AA294" s="245"/>
      <c r="AB294" s="131"/>
      <c r="AC294" s="131"/>
      <c r="AD294" s="131"/>
      <c r="AE294" s="131"/>
      <c r="AF294" s="131"/>
      <c r="AG294" s="131"/>
      <c r="AH294" s="131"/>
      <c r="AI294" s="131"/>
      <c r="AJ294" s="131"/>
      <c r="AK294" s="131"/>
      <c r="AL294" s="131"/>
      <c r="AM294" s="131"/>
      <c r="AN294" s="131"/>
      <c r="AO294" s="131"/>
      <c r="AP294" s="131"/>
      <c r="AQ294" s="131"/>
      <c r="AR294" s="131"/>
      <c r="AS294" s="131"/>
      <c r="AT294" s="131"/>
      <c r="AU294" s="131"/>
      <c r="AV294" s="131"/>
      <c r="AW294" s="131"/>
      <c r="AX294" s="131"/>
      <c r="AY294" s="131"/>
      <c r="AZ294" s="131"/>
    </row>
    <row r="295" spans="1:52">
      <c r="A295" s="216" t="str">
        <f>IF(D295="","",VLOOKUP(G295,códigosORL!$H:$J,3,FALSE))</f>
        <v/>
      </c>
      <c r="B295" s="131"/>
      <c r="C295" s="258"/>
      <c r="D295" s="131"/>
      <c r="E295" s="131"/>
      <c r="F295" s="247"/>
      <c r="G295" s="131"/>
      <c r="H295" s="131"/>
      <c r="I295" s="131"/>
      <c r="J295" s="131"/>
      <c r="K295" s="131"/>
      <c r="L295" s="131"/>
      <c r="M295" s="131"/>
      <c r="N295" s="131"/>
      <c r="O295" s="131"/>
      <c r="P295" s="131"/>
      <c r="Q295" s="131"/>
      <c r="R295" s="131"/>
      <c r="S295" s="131"/>
      <c r="T295" s="131"/>
      <c r="U295" s="131"/>
      <c r="V295" s="131"/>
      <c r="W295" s="131"/>
      <c r="X295" s="131"/>
      <c r="Y295" s="131"/>
      <c r="Z295" s="131"/>
      <c r="AA295" s="245"/>
      <c r="AB295" s="131"/>
      <c r="AC295" s="131"/>
      <c r="AD295" s="131"/>
      <c r="AE295" s="131"/>
      <c r="AF295" s="131"/>
      <c r="AG295" s="131"/>
      <c r="AH295" s="131"/>
      <c r="AI295" s="131"/>
      <c r="AJ295" s="131"/>
      <c r="AK295" s="131"/>
      <c r="AL295" s="131"/>
      <c r="AM295" s="131"/>
      <c r="AN295" s="131"/>
      <c r="AO295" s="131"/>
      <c r="AP295" s="131"/>
      <c r="AQ295" s="131"/>
      <c r="AR295" s="131"/>
      <c r="AS295" s="131"/>
      <c r="AT295" s="131"/>
      <c r="AU295" s="131"/>
      <c r="AV295" s="131"/>
      <c r="AW295" s="131"/>
      <c r="AX295" s="131"/>
      <c r="AY295" s="131"/>
      <c r="AZ295" s="131"/>
    </row>
    <row r="296" spans="1:52">
      <c r="A296" s="216" t="str">
        <f>IF(D296="","",VLOOKUP(G296,códigosORL!$H:$J,3,FALSE))</f>
        <v/>
      </c>
      <c r="B296" s="131"/>
      <c r="C296" s="258"/>
      <c r="D296" s="131"/>
      <c r="E296" s="131"/>
      <c r="F296" s="247"/>
      <c r="G296" s="131"/>
      <c r="H296" s="131"/>
      <c r="I296" s="131"/>
      <c r="J296" s="131"/>
      <c r="K296" s="131"/>
      <c r="L296" s="131"/>
      <c r="M296" s="131"/>
      <c r="N296" s="131"/>
      <c r="O296" s="131"/>
      <c r="P296" s="131"/>
      <c r="Q296" s="131"/>
      <c r="R296" s="131"/>
      <c r="S296" s="131"/>
      <c r="T296" s="131"/>
      <c r="U296" s="131"/>
      <c r="V296" s="131"/>
      <c r="W296" s="131"/>
      <c r="X296" s="131"/>
      <c r="Y296" s="131"/>
      <c r="Z296" s="131"/>
      <c r="AA296" s="245"/>
      <c r="AB296" s="131"/>
      <c r="AC296" s="131"/>
      <c r="AD296" s="131"/>
      <c r="AE296" s="131"/>
      <c r="AF296" s="131"/>
      <c r="AG296" s="131"/>
      <c r="AH296" s="131"/>
      <c r="AI296" s="131"/>
      <c r="AJ296" s="131"/>
      <c r="AK296" s="131"/>
      <c r="AL296" s="131"/>
      <c r="AM296" s="131"/>
      <c r="AN296" s="131"/>
      <c r="AO296" s="131"/>
      <c r="AP296" s="131"/>
      <c r="AQ296" s="131"/>
      <c r="AR296" s="131"/>
      <c r="AS296" s="131"/>
      <c r="AT296" s="131"/>
      <c r="AU296" s="131"/>
      <c r="AV296" s="131"/>
      <c r="AW296" s="131"/>
      <c r="AX296" s="131"/>
      <c r="AY296" s="131"/>
      <c r="AZ296" s="131"/>
    </row>
    <row r="297" spans="1:52">
      <c r="A297" s="216" t="str">
        <f>IF(D297="","",VLOOKUP(G297,códigosORL!$H:$J,3,FALSE))</f>
        <v/>
      </c>
      <c r="B297" s="131"/>
      <c r="C297" s="258"/>
      <c r="D297" s="131"/>
      <c r="E297" s="131"/>
      <c r="F297" s="247"/>
      <c r="G297" s="131"/>
      <c r="H297" s="131"/>
      <c r="I297" s="131"/>
      <c r="J297" s="131"/>
      <c r="K297" s="131"/>
      <c r="L297" s="131"/>
      <c r="M297" s="131"/>
      <c r="N297" s="131"/>
      <c r="O297" s="131"/>
      <c r="P297" s="131"/>
      <c r="Q297" s="131"/>
      <c r="R297" s="131"/>
      <c r="S297" s="131"/>
      <c r="T297" s="131"/>
      <c r="U297" s="131"/>
      <c r="V297" s="131"/>
      <c r="W297" s="131"/>
      <c r="X297" s="131"/>
      <c r="Y297" s="131"/>
      <c r="Z297" s="131"/>
      <c r="AA297" s="245"/>
      <c r="AB297" s="131"/>
      <c r="AC297" s="131"/>
      <c r="AD297" s="131"/>
      <c r="AE297" s="131"/>
      <c r="AF297" s="131"/>
      <c r="AG297" s="131"/>
      <c r="AH297" s="131"/>
      <c r="AI297" s="131"/>
      <c r="AJ297" s="131"/>
      <c r="AK297" s="131"/>
      <c r="AL297" s="131"/>
      <c r="AM297" s="131"/>
      <c r="AN297" s="131"/>
      <c r="AO297" s="131"/>
      <c r="AP297" s="131"/>
      <c r="AQ297" s="131"/>
      <c r="AR297" s="131"/>
      <c r="AS297" s="131"/>
      <c r="AT297" s="131"/>
      <c r="AU297" s="131"/>
      <c r="AV297" s="131"/>
      <c r="AW297" s="131"/>
      <c r="AX297" s="131"/>
      <c r="AY297" s="131"/>
      <c r="AZ297" s="131"/>
    </row>
    <row r="298" spans="1:52">
      <c r="A298" s="216" t="str">
        <f>IF(D298="","",VLOOKUP(G298,códigosORL!$H:$J,3,FALSE))</f>
        <v/>
      </c>
      <c r="B298" s="131"/>
      <c r="C298" s="258"/>
      <c r="D298" s="131"/>
      <c r="E298" s="131"/>
      <c r="F298" s="247"/>
      <c r="G298" s="131"/>
      <c r="H298" s="131"/>
      <c r="I298" s="131"/>
      <c r="J298" s="131"/>
      <c r="K298" s="131"/>
      <c r="L298" s="131"/>
      <c r="M298" s="131"/>
      <c r="N298" s="131"/>
      <c r="O298" s="131"/>
      <c r="P298" s="131"/>
      <c r="Q298" s="131"/>
      <c r="R298" s="131"/>
      <c r="S298" s="131"/>
      <c r="T298" s="131"/>
      <c r="U298" s="131"/>
      <c r="V298" s="131"/>
      <c r="W298" s="131"/>
      <c r="X298" s="131"/>
      <c r="Y298" s="131"/>
      <c r="Z298" s="131"/>
      <c r="AA298" s="245"/>
      <c r="AB298" s="131"/>
      <c r="AC298" s="131"/>
      <c r="AD298" s="131"/>
      <c r="AE298" s="131"/>
      <c r="AF298" s="131"/>
      <c r="AG298" s="131"/>
      <c r="AH298" s="131"/>
      <c r="AI298" s="131"/>
      <c r="AJ298" s="131"/>
      <c r="AK298" s="131"/>
      <c r="AL298" s="131"/>
      <c r="AM298" s="131"/>
      <c r="AN298" s="131"/>
      <c r="AO298" s="131"/>
      <c r="AP298" s="131"/>
      <c r="AQ298" s="131"/>
      <c r="AR298" s="131"/>
      <c r="AS298" s="131"/>
      <c r="AT298" s="131"/>
      <c r="AU298" s="131"/>
      <c r="AV298" s="131"/>
      <c r="AW298" s="131"/>
      <c r="AX298" s="131"/>
      <c r="AY298" s="131"/>
      <c r="AZ298" s="131"/>
    </row>
    <row r="299" spans="1:52">
      <c r="A299" s="216" t="str">
        <f>IF(D299="","",VLOOKUP(G299,códigosORL!$H:$J,3,FALSE))</f>
        <v/>
      </c>
      <c r="B299" s="131"/>
      <c r="C299" s="258"/>
      <c r="D299" s="131"/>
      <c r="E299" s="131"/>
      <c r="F299" s="247"/>
      <c r="G299" s="131"/>
      <c r="H299" s="131"/>
      <c r="I299" s="131"/>
      <c r="J299" s="131"/>
      <c r="K299" s="131"/>
      <c r="L299" s="131"/>
      <c r="M299" s="131"/>
      <c r="N299" s="131"/>
      <c r="O299" s="131"/>
      <c r="P299" s="131"/>
      <c r="Q299" s="131"/>
      <c r="R299" s="131"/>
      <c r="S299" s="131"/>
      <c r="T299" s="131"/>
      <c r="U299" s="131"/>
      <c r="V299" s="131"/>
      <c r="W299" s="131"/>
      <c r="X299" s="131"/>
      <c r="Y299" s="131"/>
      <c r="Z299" s="131"/>
      <c r="AA299" s="245"/>
      <c r="AB299" s="131"/>
      <c r="AC299" s="131"/>
      <c r="AD299" s="131"/>
      <c r="AE299" s="131"/>
      <c r="AF299" s="131"/>
      <c r="AG299" s="131"/>
      <c r="AH299" s="131"/>
      <c r="AI299" s="131"/>
      <c r="AJ299" s="131"/>
      <c r="AK299" s="131"/>
      <c r="AL299" s="131"/>
      <c r="AM299" s="131"/>
      <c r="AN299" s="131"/>
      <c r="AO299" s="131"/>
      <c r="AP299" s="131"/>
      <c r="AQ299" s="131"/>
      <c r="AR299" s="131"/>
      <c r="AS299" s="131"/>
      <c r="AT299" s="131"/>
      <c r="AU299" s="131"/>
      <c r="AV299" s="131"/>
      <c r="AW299" s="131"/>
      <c r="AX299" s="131"/>
      <c r="AY299" s="131"/>
      <c r="AZ299" s="131"/>
    </row>
    <row r="300" spans="1:52">
      <c r="A300" s="216" t="str">
        <f>IF(D300="","",VLOOKUP(G300,códigosORL!$H:$J,3,FALSE))</f>
        <v/>
      </c>
      <c r="B300" s="131"/>
      <c r="C300" s="258"/>
      <c r="D300" s="131"/>
      <c r="E300" s="131"/>
      <c r="F300" s="247"/>
      <c r="G300" s="131"/>
      <c r="H300" s="131"/>
      <c r="I300" s="131"/>
      <c r="J300" s="131"/>
      <c r="K300" s="131"/>
      <c r="L300" s="131"/>
      <c r="M300" s="131"/>
      <c r="N300" s="131"/>
      <c r="O300" s="131"/>
      <c r="P300" s="131"/>
      <c r="Q300" s="131"/>
      <c r="R300" s="131"/>
      <c r="S300" s="131"/>
      <c r="T300" s="131"/>
      <c r="U300" s="131"/>
      <c r="V300" s="131"/>
      <c r="W300" s="131"/>
      <c r="X300" s="131"/>
      <c r="Y300" s="131"/>
      <c r="Z300" s="131"/>
      <c r="AA300" s="245"/>
      <c r="AB300" s="131"/>
      <c r="AC300" s="131"/>
      <c r="AD300" s="131"/>
      <c r="AE300" s="131"/>
      <c r="AF300" s="131"/>
      <c r="AG300" s="131"/>
      <c r="AH300" s="131"/>
      <c r="AI300" s="131"/>
      <c r="AJ300" s="131"/>
      <c r="AK300" s="131"/>
      <c r="AL300" s="131"/>
      <c r="AM300" s="131"/>
      <c r="AN300" s="131"/>
      <c r="AO300" s="131"/>
      <c r="AP300" s="131"/>
      <c r="AQ300" s="131"/>
      <c r="AR300" s="131"/>
      <c r="AS300" s="131"/>
      <c r="AT300" s="131"/>
      <c r="AU300" s="131"/>
      <c r="AV300" s="131"/>
      <c r="AW300" s="131"/>
      <c r="AX300" s="131"/>
      <c r="AY300" s="131"/>
      <c r="AZ300" s="131"/>
    </row>
    <row r="301" spans="1:52">
      <c r="A301" s="216" t="str">
        <f>IF(D301="","",VLOOKUP(G301,códigosORL!$H:$J,3,FALSE))</f>
        <v/>
      </c>
      <c r="B301" s="131"/>
      <c r="C301" s="258"/>
      <c r="D301" s="131"/>
      <c r="E301" s="131"/>
      <c r="F301" s="247"/>
      <c r="G301" s="131"/>
      <c r="H301" s="131"/>
      <c r="I301" s="131"/>
      <c r="J301" s="131"/>
      <c r="K301" s="131"/>
      <c r="L301" s="131"/>
      <c r="M301" s="131"/>
      <c r="N301" s="131"/>
      <c r="O301" s="131"/>
      <c r="P301" s="131"/>
      <c r="Q301" s="131"/>
      <c r="R301" s="131"/>
      <c r="S301" s="131"/>
      <c r="T301" s="131"/>
      <c r="U301" s="131"/>
      <c r="V301" s="131"/>
      <c r="W301" s="131"/>
      <c r="X301" s="131"/>
      <c r="Y301" s="131"/>
      <c r="Z301" s="131"/>
      <c r="AA301" s="245"/>
      <c r="AB301" s="131"/>
      <c r="AC301" s="131"/>
      <c r="AD301" s="131"/>
      <c r="AE301" s="131"/>
      <c r="AF301" s="131"/>
      <c r="AG301" s="131"/>
      <c r="AH301" s="131"/>
      <c r="AI301" s="131"/>
      <c r="AJ301" s="131"/>
      <c r="AK301" s="131"/>
      <c r="AL301" s="131"/>
      <c r="AM301" s="131"/>
      <c r="AN301" s="131"/>
      <c r="AO301" s="131"/>
      <c r="AP301" s="131"/>
      <c r="AQ301" s="131"/>
      <c r="AR301" s="131"/>
      <c r="AS301" s="131"/>
      <c r="AT301" s="131"/>
      <c r="AU301" s="131"/>
      <c r="AV301" s="131"/>
      <c r="AW301" s="131"/>
      <c r="AX301" s="131"/>
      <c r="AY301" s="131"/>
      <c r="AZ301" s="131"/>
    </row>
    <row r="302" spans="1:52">
      <c r="A302" s="216" t="str">
        <f>IF(D302="","",VLOOKUP(G302,códigosORL!$H:$J,3,FALSE))</f>
        <v/>
      </c>
      <c r="B302" s="131"/>
      <c r="C302" s="258"/>
      <c r="D302" s="131"/>
      <c r="E302" s="131"/>
      <c r="F302" s="247"/>
      <c r="G302" s="131"/>
      <c r="H302" s="131"/>
      <c r="I302" s="131"/>
      <c r="J302" s="131"/>
      <c r="K302" s="131"/>
      <c r="L302" s="131"/>
      <c r="M302" s="131"/>
      <c r="N302" s="131"/>
      <c r="O302" s="131"/>
      <c r="P302" s="131"/>
      <c r="Q302" s="131"/>
      <c r="R302" s="131"/>
      <c r="S302" s="131"/>
      <c r="T302" s="131"/>
      <c r="U302" s="131"/>
      <c r="V302" s="131"/>
      <c r="W302" s="131"/>
      <c r="X302" s="131"/>
      <c r="Y302" s="131"/>
      <c r="Z302" s="131"/>
      <c r="AA302" s="245"/>
      <c r="AB302" s="131"/>
      <c r="AC302" s="131"/>
      <c r="AD302" s="131"/>
      <c r="AE302" s="131"/>
      <c r="AF302" s="131"/>
      <c r="AG302" s="131"/>
      <c r="AH302" s="131"/>
      <c r="AI302" s="131"/>
      <c r="AJ302" s="131"/>
      <c r="AK302" s="131"/>
      <c r="AL302" s="131"/>
      <c r="AM302" s="131"/>
      <c r="AN302" s="131"/>
      <c r="AO302" s="131"/>
      <c r="AP302" s="131"/>
      <c r="AQ302" s="131"/>
      <c r="AR302" s="131"/>
      <c r="AS302" s="131"/>
      <c r="AT302" s="131"/>
      <c r="AU302" s="131"/>
      <c r="AV302" s="131"/>
      <c r="AW302" s="131"/>
      <c r="AX302" s="131"/>
      <c r="AY302" s="131"/>
      <c r="AZ302" s="131"/>
    </row>
    <row r="303" spans="1:52">
      <c r="A303" s="216" t="str">
        <f>IF(D303="","",VLOOKUP(G303,códigosORL!$H:$J,3,FALSE))</f>
        <v/>
      </c>
      <c r="B303" s="131"/>
      <c r="C303" s="258"/>
      <c r="D303" s="131"/>
      <c r="E303" s="131"/>
      <c r="F303" s="247"/>
      <c r="G303" s="131"/>
      <c r="H303" s="131"/>
      <c r="I303" s="131"/>
      <c r="J303" s="131"/>
      <c r="K303" s="131"/>
      <c r="L303" s="131"/>
      <c r="M303" s="131"/>
      <c r="N303" s="131"/>
      <c r="O303" s="131"/>
      <c r="P303" s="131"/>
      <c r="Q303" s="131"/>
      <c r="R303" s="131"/>
      <c r="S303" s="131"/>
      <c r="T303" s="131"/>
      <c r="U303" s="131"/>
      <c r="V303" s="131"/>
      <c r="W303" s="131"/>
      <c r="X303" s="131"/>
      <c r="Y303" s="131"/>
      <c r="Z303" s="131"/>
      <c r="AA303" s="245"/>
      <c r="AB303" s="131"/>
      <c r="AC303" s="131"/>
      <c r="AD303" s="131"/>
      <c r="AE303" s="131"/>
      <c r="AF303" s="131"/>
      <c r="AG303" s="131"/>
      <c r="AH303" s="131"/>
      <c r="AI303" s="131"/>
      <c r="AJ303" s="131"/>
      <c r="AK303" s="131"/>
      <c r="AL303" s="131"/>
      <c r="AM303" s="131"/>
      <c r="AN303" s="131"/>
      <c r="AO303" s="131"/>
      <c r="AP303" s="131"/>
      <c r="AQ303" s="131"/>
      <c r="AR303" s="131"/>
      <c r="AS303" s="131"/>
      <c r="AT303" s="131"/>
      <c r="AU303" s="131"/>
      <c r="AV303" s="131"/>
      <c r="AW303" s="131"/>
      <c r="AX303" s="131"/>
      <c r="AY303" s="131"/>
      <c r="AZ303" s="131"/>
    </row>
    <row r="304" spans="1:52">
      <c r="A304" s="216" t="str">
        <f>IF(D304="","",VLOOKUP(G304,códigosORL!$H:$J,3,FALSE))</f>
        <v/>
      </c>
      <c r="B304" s="131"/>
      <c r="C304" s="258"/>
      <c r="D304" s="131"/>
      <c r="E304" s="131"/>
      <c r="F304" s="247"/>
      <c r="G304" s="131"/>
      <c r="H304" s="131"/>
      <c r="I304" s="131"/>
      <c r="J304" s="131"/>
      <c r="K304" s="131"/>
      <c r="L304" s="131"/>
      <c r="M304" s="131"/>
      <c r="N304" s="131"/>
      <c r="O304" s="131"/>
      <c r="P304" s="131"/>
      <c r="Q304" s="131"/>
      <c r="R304" s="131"/>
      <c r="S304" s="131"/>
      <c r="T304" s="131"/>
      <c r="U304" s="131"/>
      <c r="V304" s="131"/>
      <c r="W304" s="131"/>
      <c r="X304" s="131"/>
      <c r="Y304" s="131"/>
      <c r="Z304" s="131"/>
      <c r="AA304" s="245"/>
      <c r="AB304" s="131"/>
      <c r="AC304" s="131"/>
      <c r="AD304" s="131"/>
      <c r="AE304" s="131"/>
      <c r="AF304" s="131"/>
      <c r="AG304" s="131"/>
      <c r="AH304" s="131"/>
      <c r="AI304" s="131"/>
      <c r="AJ304" s="131"/>
      <c r="AK304" s="131"/>
      <c r="AL304" s="131"/>
      <c r="AM304" s="131"/>
      <c r="AN304" s="131"/>
      <c r="AO304" s="131"/>
      <c r="AP304" s="131"/>
      <c r="AQ304" s="131"/>
      <c r="AR304" s="131"/>
      <c r="AS304" s="131"/>
      <c r="AT304" s="131"/>
      <c r="AU304" s="131"/>
      <c r="AV304" s="131"/>
      <c r="AW304" s="131"/>
      <c r="AX304" s="131"/>
      <c r="AY304" s="131"/>
      <c r="AZ304" s="131"/>
    </row>
    <row r="305" spans="1:52">
      <c r="A305" s="216" t="str">
        <f>IF(D305="","",VLOOKUP(G305,códigosORL!$H:$J,3,FALSE))</f>
        <v/>
      </c>
      <c r="B305" s="131"/>
      <c r="C305" s="258"/>
      <c r="D305" s="131"/>
      <c r="E305" s="131"/>
      <c r="F305" s="247"/>
      <c r="G305" s="131"/>
      <c r="H305" s="131"/>
      <c r="I305" s="131"/>
      <c r="J305" s="131"/>
      <c r="K305" s="131"/>
      <c r="L305" s="131"/>
      <c r="M305" s="131"/>
      <c r="N305" s="131"/>
      <c r="O305" s="131"/>
      <c r="P305" s="131"/>
      <c r="Q305" s="131"/>
      <c r="R305" s="131"/>
      <c r="S305" s="131"/>
      <c r="T305" s="131"/>
      <c r="U305" s="131"/>
      <c r="V305" s="131"/>
      <c r="W305" s="131"/>
      <c r="X305" s="131"/>
      <c r="Y305" s="131"/>
      <c r="Z305" s="131"/>
      <c r="AA305" s="245"/>
      <c r="AB305" s="131"/>
      <c r="AC305" s="131"/>
      <c r="AD305" s="131"/>
      <c r="AE305" s="131"/>
      <c r="AF305" s="131"/>
      <c r="AG305" s="131"/>
      <c r="AH305" s="131"/>
      <c r="AI305" s="131"/>
      <c r="AJ305" s="131"/>
      <c r="AK305" s="131"/>
      <c r="AL305" s="131"/>
      <c r="AM305" s="131"/>
      <c r="AN305" s="131"/>
      <c r="AO305" s="131"/>
      <c r="AP305" s="131"/>
      <c r="AQ305" s="131"/>
      <c r="AR305" s="131"/>
      <c r="AS305" s="131"/>
      <c r="AT305" s="131"/>
      <c r="AU305" s="131"/>
      <c r="AV305" s="131"/>
      <c r="AW305" s="131"/>
      <c r="AX305" s="131"/>
      <c r="AY305" s="131"/>
      <c r="AZ305" s="131"/>
    </row>
    <row r="306" spans="1:52">
      <c r="A306" s="216" t="str">
        <f>IF(D306="","",VLOOKUP(G306,códigosORL!$H:$J,3,FALSE))</f>
        <v/>
      </c>
      <c r="B306" s="131"/>
      <c r="C306" s="258"/>
      <c r="D306" s="131"/>
      <c r="E306" s="131"/>
      <c r="F306" s="247"/>
      <c r="G306" s="131"/>
      <c r="H306" s="131"/>
      <c r="I306" s="131"/>
      <c r="J306" s="131"/>
      <c r="K306" s="131"/>
      <c r="L306" s="131"/>
      <c r="M306" s="131"/>
      <c r="N306" s="131"/>
      <c r="O306" s="131"/>
      <c r="P306" s="131"/>
      <c r="Q306" s="131"/>
      <c r="R306" s="131"/>
      <c r="S306" s="131"/>
      <c r="T306" s="131"/>
      <c r="U306" s="131"/>
      <c r="V306" s="131"/>
      <c r="W306" s="131"/>
      <c r="X306" s="131"/>
      <c r="Y306" s="131"/>
      <c r="Z306" s="131"/>
      <c r="AA306" s="245"/>
      <c r="AB306" s="131"/>
      <c r="AC306" s="131"/>
      <c r="AD306" s="131"/>
      <c r="AE306" s="131"/>
      <c r="AF306" s="131"/>
      <c r="AG306" s="131"/>
      <c r="AH306" s="131"/>
      <c r="AI306" s="131"/>
      <c r="AJ306" s="131"/>
      <c r="AK306" s="131"/>
      <c r="AL306" s="131"/>
      <c r="AM306" s="131"/>
      <c r="AN306" s="131"/>
      <c r="AO306" s="131"/>
      <c r="AP306" s="131"/>
      <c r="AQ306" s="131"/>
      <c r="AR306" s="131"/>
      <c r="AS306" s="131"/>
      <c r="AT306" s="131"/>
      <c r="AU306" s="131"/>
      <c r="AV306" s="131"/>
      <c r="AW306" s="131"/>
      <c r="AX306" s="131"/>
      <c r="AY306" s="131"/>
      <c r="AZ306" s="131"/>
    </row>
    <row r="307" spans="1:52">
      <c r="A307" s="216" t="str">
        <f>IF(D307="","",VLOOKUP(G307,códigosORL!$H:$J,3,FALSE))</f>
        <v/>
      </c>
      <c r="B307" s="131"/>
      <c r="C307" s="258"/>
      <c r="D307" s="131"/>
      <c r="E307" s="131"/>
      <c r="F307" s="247"/>
      <c r="G307" s="131"/>
      <c r="H307" s="131"/>
      <c r="I307" s="131"/>
      <c r="J307" s="131"/>
      <c r="K307" s="131"/>
      <c r="L307" s="131"/>
      <c r="M307" s="131"/>
      <c r="N307" s="131"/>
      <c r="O307" s="131"/>
      <c r="P307" s="131"/>
      <c r="Q307" s="131"/>
      <c r="R307" s="131"/>
      <c r="S307" s="131"/>
      <c r="T307" s="131"/>
      <c r="U307" s="131"/>
      <c r="V307" s="131"/>
      <c r="W307" s="131"/>
      <c r="X307" s="131"/>
      <c r="Y307" s="131"/>
      <c r="Z307" s="131"/>
      <c r="AA307" s="245"/>
      <c r="AB307" s="131"/>
      <c r="AC307" s="131"/>
      <c r="AD307" s="131"/>
      <c r="AE307" s="131"/>
      <c r="AF307" s="131"/>
      <c r="AG307" s="131"/>
      <c r="AH307" s="131"/>
      <c r="AI307" s="131"/>
      <c r="AJ307" s="131"/>
      <c r="AK307" s="131"/>
      <c r="AL307" s="131"/>
      <c r="AM307" s="131"/>
      <c r="AN307" s="131"/>
      <c r="AO307" s="131"/>
      <c r="AP307" s="131"/>
      <c r="AQ307" s="131"/>
      <c r="AR307" s="131"/>
      <c r="AS307" s="131"/>
      <c r="AT307" s="131"/>
      <c r="AU307" s="131"/>
      <c r="AV307" s="131"/>
      <c r="AW307" s="131"/>
      <c r="AX307" s="131"/>
      <c r="AY307" s="131"/>
      <c r="AZ307" s="131"/>
    </row>
    <row r="308" spans="1:52">
      <c r="A308" s="216" t="str">
        <f>IF(D308="","",VLOOKUP(G308,códigosORL!$H:$J,3,FALSE))</f>
        <v/>
      </c>
      <c r="B308" s="131"/>
      <c r="C308" s="258"/>
      <c r="D308" s="131"/>
      <c r="E308" s="131"/>
      <c r="F308" s="247"/>
      <c r="G308" s="131"/>
      <c r="H308" s="131"/>
      <c r="I308" s="131"/>
      <c r="J308" s="131"/>
      <c r="K308" s="131"/>
      <c r="L308" s="131"/>
      <c r="M308" s="131"/>
      <c r="N308" s="131"/>
      <c r="O308" s="131"/>
      <c r="P308" s="131"/>
      <c r="Q308" s="131"/>
      <c r="R308" s="131"/>
      <c r="S308" s="131"/>
      <c r="T308" s="131"/>
      <c r="U308" s="131"/>
      <c r="V308" s="131"/>
      <c r="W308" s="131"/>
      <c r="X308" s="131"/>
      <c r="Y308" s="131"/>
      <c r="Z308" s="131"/>
      <c r="AA308" s="245"/>
      <c r="AB308" s="131"/>
      <c r="AC308" s="131"/>
      <c r="AD308" s="131"/>
      <c r="AE308" s="131"/>
      <c r="AF308" s="131"/>
      <c r="AG308" s="131"/>
      <c r="AH308" s="131"/>
      <c r="AI308" s="131"/>
      <c r="AJ308" s="131"/>
      <c r="AK308" s="131"/>
      <c r="AL308" s="131"/>
      <c r="AM308" s="131"/>
      <c r="AN308" s="131"/>
      <c r="AO308" s="131"/>
      <c r="AP308" s="131"/>
      <c r="AQ308" s="131"/>
      <c r="AR308" s="131"/>
      <c r="AS308" s="131"/>
      <c r="AT308" s="131"/>
      <c r="AU308" s="131"/>
      <c r="AV308" s="131"/>
      <c r="AW308" s="131"/>
      <c r="AX308" s="131"/>
      <c r="AY308" s="131"/>
      <c r="AZ308" s="131"/>
    </row>
    <row r="309" spans="1:52">
      <c r="A309" s="216" t="str">
        <f>IF(D309="","",VLOOKUP(G309,códigosORL!$H:$J,3,FALSE))</f>
        <v/>
      </c>
      <c r="B309" s="131"/>
      <c r="C309" s="258"/>
      <c r="D309" s="131"/>
      <c r="E309" s="131"/>
      <c r="F309" s="247"/>
      <c r="G309" s="131"/>
      <c r="H309" s="131"/>
      <c r="I309" s="131"/>
      <c r="J309" s="131"/>
      <c r="K309" s="131"/>
      <c r="L309" s="131"/>
      <c r="M309" s="131"/>
      <c r="N309" s="131"/>
      <c r="O309" s="131"/>
      <c r="P309" s="131"/>
      <c r="Q309" s="131"/>
      <c r="R309" s="131"/>
      <c r="S309" s="131"/>
      <c r="T309" s="131"/>
      <c r="U309" s="131"/>
      <c r="V309" s="131"/>
      <c r="W309" s="131"/>
      <c r="X309" s="131"/>
      <c r="Y309" s="131"/>
      <c r="Z309" s="131"/>
      <c r="AA309" s="245"/>
      <c r="AB309" s="131"/>
      <c r="AC309" s="131"/>
      <c r="AD309" s="131"/>
      <c r="AE309" s="131"/>
      <c r="AF309" s="131"/>
      <c r="AG309" s="131"/>
      <c r="AH309" s="131"/>
      <c r="AI309" s="131"/>
      <c r="AJ309" s="131"/>
      <c r="AK309" s="131"/>
      <c r="AL309" s="131"/>
      <c r="AM309" s="131"/>
      <c r="AN309" s="131"/>
      <c r="AO309" s="131"/>
      <c r="AP309" s="131"/>
      <c r="AQ309" s="131"/>
      <c r="AR309" s="131"/>
      <c r="AS309" s="131"/>
      <c r="AT309" s="131"/>
      <c r="AU309" s="131"/>
      <c r="AV309" s="131"/>
      <c r="AW309" s="131"/>
      <c r="AX309" s="131"/>
      <c r="AY309" s="131"/>
      <c r="AZ309" s="131"/>
    </row>
    <row r="310" spans="1:52">
      <c r="A310" s="216" t="str">
        <f>IF(D310="","",VLOOKUP(G310,códigosORL!$H:$J,3,FALSE))</f>
        <v/>
      </c>
      <c r="B310" s="131"/>
      <c r="C310" s="258"/>
      <c r="D310" s="131"/>
      <c r="E310" s="131"/>
      <c r="F310" s="247"/>
      <c r="G310" s="131"/>
      <c r="H310" s="131"/>
      <c r="I310" s="131"/>
      <c r="J310" s="131"/>
      <c r="K310" s="131"/>
      <c r="L310" s="131"/>
      <c r="M310" s="131"/>
      <c r="N310" s="131"/>
      <c r="O310" s="131"/>
      <c r="P310" s="131"/>
      <c r="Q310" s="131"/>
      <c r="R310" s="131"/>
      <c r="S310" s="131"/>
      <c r="T310" s="131"/>
      <c r="U310" s="131"/>
      <c r="V310" s="131"/>
      <c r="W310" s="131"/>
      <c r="X310" s="131"/>
      <c r="Y310" s="131"/>
      <c r="Z310" s="131"/>
      <c r="AA310" s="245"/>
      <c r="AB310" s="131"/>
      <c r="AC310" s="131"/>
      <c r="AD310" s="131"/>
      <c r="AE310" s="131"/>
      <c r="AF310" s="131"/>
      <c r="AG310" s="131"/>
      <c r="AH310" s="131"/>
      <c r="AI310" s="131"/>
      <c r="AJ310" s="131"/>
      <c r="AK310" s="131"/>
      <c r="AL310" s="131"/>
      <c r="AM310" s="131"/>
      <c r="AN310" s="131"/>
      <c r="AO310" s="131"/>
      <c r="AP310" s="131"/>
      <c r="AQ310" s="131"/>
      <c r="AR310" s="131"/>
      <c r="AS310" s="131"/>
      <c r="AT310" s="131"/>
      <c r="AU310" s="131"/>
      <c r="AV310" s="131"/>
      <c r="AW310" s="131"/>
      <c r="AX310" s="131"/>
      <c r="AY310" s="131"/>
      <c r="AZ310" s="131"/>
    </row>
    <row r="311" spans="1:52">
      <c r="A311" s="216" t="str">
        <f>IF(D311="","",VLOOKUP(G311,códigosORL!$H:$J,3,FALSE))</f>
        <v/>
      </c>
      <c r="B311" s="131"/>
      <c r="C311" s="258"/>
      <c r="D311" s="131"/>
      <c r="E311" s="131"/>
      <c r="F311" s="247"/>
      <c r="G311" s="131"/>
      <c r="H311" s="131"/>
      <c r="I311" s="131"/>
      <c r="J311" s="131"/>
      <c r="K311" s="131"/>
      <c r="L311" s="131"/>
      <c r="M311" s="131"/>
      <c r="N311" s="131"/>
      <c r="O311" s="131"/>
      <c r="P311" s="131"/>
      <c r="Q311" s="131"/>
      <c r="R311" s="131"/>
      <c r="S311" s="131"/>
      <c r="T311" s="131"/>
      <c r="U311" s="131"/>
      <c r="V311" s="131"/>
      <c r="W311" s="131"/>
      <c r="X311" s="131"/>
      <c r="Y311" s="131"/>
      <c r="Z311" s="131"/>
      <c r="AA311" s="245"/>
      <c r="AB311" s="131"/>
      <c r="AC311" s="131"/>
      <c r="AD311" s="131"/>
      <c r="AE311" s="131"/>
      <c r="AF311" s="131"/>
      <c r="AG311" s="131"/>
      <c r="AH311" s="131"/>
      <c r="AI311" s="131"/>
      <c r="AJ311" s="131"/>
      <c r="AK311" s="131"/>
      <c r="AL311" s="131"/>
      <c r="AM311" s="131"/>
      <c r="AN311" s="131"/>
      <c r="AO311" s="131"/>
      <c r="AP311" s="131"/>
      <c r="AQ311" s="131"/>
      <c r="AR311" s="131"/>
      <c r="AS311" s="131"/>
      <c r="AT311" s="131"/>
      <c r="AU311" s="131"/>
      <c r="AV311" s="131"/>
      <c r="AW311" s="131"/>
      <c r="AX311" s="131"/>
      <c r="AY311" s="131"/>
      <c r="AZ311" s="131"/>
    </row>
    <row r="312" spans="1:52">
      <c r="A312" s="216" t="str">
        <f>IF(D312="","",VLOOKUP(G312,códigosORL!$H:$J,3,FALSE))</f>
        <v/>
      </c>
      <c r="B312" s="131"/>
      <c r="C312" s="258"/>
      <c r="D312" s="131"/>
      <c r="E312" s="131"/>
      <c r="F312" s="247"/>
      <c r="G312" s="131"/>
      <c r="H312" s="131"/>
      <c r="I312" s="131"/>
      <c r="J312" s="131"/>
      <c r="K312" s="131"/>
      <c r="L312" s="131"/>
      <c r="M312" s="131"/>
      <c r="N312" s="131"/>
      <c r="O312" s="131"/>
      <c r="P312" s="131"/>
      <c r="Q312" s="131"/>
      <c r="R312" s="131"/>
      <c r="S312" s="131"/>
      <c r="T312" s="131"/>
      <c r="U312" s="131"/>
      <c r="V312" s="131"/>
      <c r="W312" s="131"/>
      <c r="X312" s="131"/>
      <c r="Y312" s="131"/>
      <c r="Z312" s="131"/>
      <c r="AA312" s="245"/>
      <c r="AB312" s="131"/>
      <c r="AC312" s="131"/>
      <c r="AD312" s="131"/>
      <c r="AE312" s="131"/>
      <c r="AF312" s="131"/>
      <c r="AG312" s="131"/>
      <c r="AH312" s="131"/>
      <c r="AI312" s="131"/>
      <c r="AJ312" s="131"/>
      <c r="AK312" s="131"/>
      <c r="AL312" s="131"/>
      <c r="AM312" s="131"/>
      <c r="AN312" s="131"/>
      <c r="AO312" s="131"/>
      <c r="AP312" s="131"/>
      <c r="AQ312" s="131"/>
      <c r="AR312" s="131"/>
      <c r="AS312" s="131"/>
      <c r="AT312" s="131"/>
      <c r="AU312" s="131"/>
      <c r="AV312" s="131"/>
      <c r="AW312" s="131"/>
      <c r="AX312" s="131"/>
      <c r="AY312" s="131"/>
      <c r="AZ312" s="131"/>
    </row>
    <row r="313" spans="1:52">
      <c r="A313" s="216" t="str">
        <f>IF(D313="","",VLOOKUP(G313,códigosORL!$H:$J,3,FALSE))</f>
        <v/>
      </c>
      <c r="B313" s="131"/>
      <c r="C313" s="258"/>
      <c r="D313" s="131"/>
      <c r="E313" s="131"/>
      <c r="F313" s="247"/>
      <c r="G313" s="131"/>
      <c r="H313" s="131"/>
      <c r="I313" s="131"/>
      <c r="J313" s="131"/>
      <c r="K313" s="131"/>
      <c r="L313" s="131"/>
      <c r="M313" s="131"/>
      <c r="N313" s="131"/>
      <c r="O313" s="131"/>
      <c r="P313" s="131"/>
      <c r="Q313" s="131"/>
      <c r="R313" s="131"/>
      <c r="S313" s="131"/>
      <c r="T313" s="131"/>
      <c r="U313" s="131"/>
      <c r="V313" s="131"/>
      <c r="W313" s="131"/>
      <c r="X313" s="131"/>
      <c r="Y313" s="131"/>
      <c r="Z313" s="131"/>
      <c r="AA313" s="245"/>
      <c r="AB313" s="131"/>
      <c r="AC313" s="131"/>
      <c r="AD313" s="131"/>
      <c r="AE313" s="131"/>
      <c r="AF313" s="131"/>
      <c r="AG313" s="131"/>
      <c r="AH313" s="131"/>
      <c r="AI313" s="131"/>
      <c r="AJ313" s="131"/>
      <c r="AK313" s="131"/>
      <c r="AL313" s="131"/>
      <c r="AM313" s="131"/>
      <c r="AN313" s="131"/>
      <c r="AO313" s="131"/>
      <c r="AP313" s="131"/>
      <c r="AQ313" s="131"/>
      <c r="AR313" s="131"/>
      <c r="AS313" s="131"/>
      <c r="AT313" s="131"/>
      <c r="AU313" s="131"/>
      <c r="AV313" s="131"/>
      <c r="AW313" s="131"/>
      <c r="AX313" s="131"/>
      <c r="AY313" s="131"/>
      <c r="AZ313" s="131"/>
    </row>
    <row r="314" spans="1:52">
      <c r="A314" s="216" t="str">
        <f>IF(D314="","",VLOOKUP(G314,códigosORL!$H:$J,3,FALSE))</f>
        <v/>
      </c>
      <c r="B314" s="131"/>
      <c r="C314" s="258"/>
      <c r="D314" s="131"/>
      <c r="E314" s="131"/>
      <c r="F314" s="247"/>
      <c r="G314" s="131"/>
      <c r="H314" s="131"/>
      <c r="I314" s="131"/>
      <c r="J314" s="131"/>
      <c r="K314" s="131"/>
      <c r="L314" s="131"/>
      <c r="M314" s="131"/>
      <c r="N314" s="131"/>
      <c r="O314" s="131"/>
      <c r="P314" s="131"/>
      <c r="Q314" s="131"/>
      <c r="R314" s="131"/>
      <c r="S314" s="131"/>
      <c r="T314" s="131"/>
      <c r="U314" s="131"/>
      <c r="V314" s="131"/>
      <c r="W314" s="131"/>
      <c r="X314" s="131"/>
      <c r="Y314" s="131"/>
      <c r="Z314" s="131"/>
      <c r="AA314" s="245"/>
      <c r="AB314" s="131"/>
      <c r="AC314" s="131"/>
      <c r="AD314" s="131"/>
      <c r="AE314" s="131"/>
      <c r="AF314" s="131"/>
      <c r="AG314" s="131"/>
      <c r="AH314" s="131"/>
      <c r="AI314" s="131"/>
      <c r="AJ314" s="131"/>
      <c r="AK314" s="131"/>
      <c r="AL314" s="131"/>
      <c r="AM314" s="131"/>
      <c r="AN314" s="131"/>
      <c r="AO314" s="131"/>
      <c r="AP314" s="131"/>
      <c r="AQ314" s="131"/>
      <c r="AR314" s="131"/>
      <c r="AS314" s="131"/>
      <c r="AT314" s="131"/>
      <c r="AU314" s="131"/>
      <c r="AV314" s="131"/>
      <c r="AW314" s="131"/>
      <c r="AX314" s="131"/>
      <c r="AY314" s="131"/>
      <c r="AZ314" s="131"/>
    </row>
    <row r="315" spans="1:52">
      <c r="A315" s="216" t="str">
        <f>IF(D315="","",VLOOKUP(G315,códigosORL!$H:$J,3,FALSE))</f>
        <v/>
      </c>
      <c r="B315" s="131"/>
      <c r="C315" s="258"/>
      <c r="D315" s="131"/>
      <c r="E315" s="131"/>
      <c r="F315" s="247"/>
      <c r="G315" s="131"/>
      <c r="H315" s="131"/>
      <c r="I315" s="131"/>
      <c r="J315" s="131"/>
      <c r="K315" s="131"/>
      <c r="L315" s="131"/>
      <c r="M315" s="131"/>
      <c r="N315" s="131"/>
      <c r="O315" s="131"/>
      <c r="P315" s="131"/>
      <c r="Q315" s="131"/>
      <c r="R315" s="131"/>
      <c r="S315" s="131"/>
      <c r="T315" s="131"/>
      <c r="U315" s="131"/>
      <c r="V315" s="131"/>
      <c r="W315" s="131"/>
      <c r="X315" s="131"/>
      <c r="Y315" s="131"/>
      <c r="Z315" s="131"/>
      <c r="AA315" s="245"/>
      <c r="AB315" s="131"/>
      <c r="AC315" s="131"/>
      <c r="AD315" s="131"/>
      <c r="AE315" s="131"/>
      <c r="AF315" s="131"/>
      <c r="AG315" s="131"/>
      <c r="AH315" s="131"/>
      <c r="AI315" s="131"/>
      <c r="AJ315" s="131"/>
      <c r="AK315" s="131"/>
      <c r="AL315" s="131"/>
      <c r="AM315" s="131"/>
      <c r="AN315" s="131"/>
      <c r="AO315" s="131"/>
      <c r="AP315" s="131"/>
      <c r="AQ315" s="131"/>
      <c r="AR315" s="131"/>
      <c r="AS315" s="131"/>
      <c r="AT315" s="131"/>
      <c r="AU315" s="131"/>
      <c r="AV315" s="131"/>
      <c r="AW315" s="131"/>
      <c r="AX315" s="131"/>
      <c r="AY315" s="131"/>
      <c r="AZ315" s="131"/>
    </row>
    <row r="316" spans="1:52">
      <c r="A316" s="216" t="str">
        <f>IF(D316="","",VLOOKUP(G316,códigosORL!$H:$J,3,FALSE))</f>
        <v/>
      </c>
      <c r="B316" s="131"/>
      <c r="C316" s="258"/>
      <c r="D316" s="131"/>
      <c r="E316" s="131"/>
      <c r="F316" s="247"/>
      <c r="G316" s="131"/>
      <c r="H316" s="131"/>
      <c r="I316" s="131"/>
      <c r="J316" s="131"/>
      <c r="K316" s="131"/>
      <c r="L316" s="131"/>
      <c r="M316" s="131"/>
      <c r="N316" s="131"/>
      <c r="O316" s="131"/>
      <c r="P316" s="131"/>
      <c r="Q316" s="131"/>
      <c r="R316" s="131"/>
      <c r="S316" s="131"/>
      <c r="T316" s="131"/>
      <c r="U316" s="131"/>
      <c r="V316" s="131"/>
      <c r="W316" s="131"/>
      <c r="X316" s="131"/>
      <c r="Y316" s="131"/>
      <c r="Z316" s="131"/>
      <c r="AA316" s="245"/>
      <c r="AB316" s="131"/>
      <c r="AC316" s="131"/>
      <c r="AD316" s="131"/>
      <c r="AE316" s="131"/>
      <c r="AF316" s="131"/>
      <c r="AG316" s="131"/>
      <c r="AH316" s="131"/>
      <c r="AI316" s="131"/>
      <c r="AJ316" s="131"/>
      <c r="AK316" s="131"/>
      <c r="AL316" s="131"/>
      <c r="AM316" s="131"/>
      <c r="AN316" s="131"/>
      <c r="AO316" s="131"/>
      <c r="AP316" s="131"/>
      <c r="AQ316" s="131"/>
      <c r="AR316" s="131"/>
      <c r="AS316" s="131"/>
      <c r="AT316" s="131"/>
      <c r="AU316" s="131"/>
      <c r="AV316" s="131"/>
      <c r="AW316" s="131"/>
      <c r="AX316" s="131"/>
      <c r="AY316" s="131"/>
      <c r="AZ316" s="131"/>
    </row>
    <row r="317" spans="1:52">
      <c r="A317" s="216" t="str">
        <f>IF(D317="","",VLOOKUP(G317,códigosORL!$H:$J,3,FALSE))</f>
        <v/>
      </c>
      <c r="B317" s="131"/>
      <c r="C317" s="258"/>
      <c r="D317" s="131"/>
      <c r="E317" s="131"/>
      <c r="F317" s="247"/>
      <c r="G317" s="131"/>
      <c r="H317" s="131"/>
      <c r="I317" s="131"/>
      <c r="J317" s="131"/>
      <c r="K317" s="131"/>
      <c r="L317" s="131"/>
      <c r="M317" s="131"/>
      <c r="N317" s="131"/>
      <c r="O317" s="131"/>
      <c r="P317" s="131"/>
      <c r="Q317" s="131"/>
      <c r="R317" s="131"/>
      <c r="S317" s="131"/>
      <c r="T317" s="131"/>
      <c r="U317" s="131"/>
      <c r="V317" s="131"/>
      <c r="W317" s="131"/>
      <c r="X317" s="131"/>
      <c r="Y317" s="131"/>
      <c r="Z317" s="131"/>
      <c r="AA317" s="245"/>
      <c r="AB317" s="131"/>
      <c r="AC317" s="131"/>
      <c r="AD317" s="131"/>
      <c r="AE317" s="131"/>
      <c r="AF317" s="131"/>
      <c r="AG317" s="131"/>
      <c r="AH317" s="131"/>
      <c r="AI317" s="131"/>
      <c r="AJ317" s="131"/>
      <c r="AK317" s="131"/>
      <c r="AL317" s="131"/>
      <c r="AM317" s="131"/>
      <c r="AN317" s="131"/>
      <c r="AO317" s="131"/>
      <c r="AP317" s="131"/>
      <c r="AQ317" s="131"/>
      <c r="AR317" s="131"/>
      <c r="AS317" s="131"/>
      <c r="AT317" s="131"/>
      <c r="AU317" s="131"/>
      <c r="AV317" s="131"/>
      <c r="AW317" s="131"/>
      <c r="AX317" s="131"/>
      <c r="AY317" s="131"/>
      <c r="AZ317" s="131"/>
    </row>
    <row r="318" spans="1:52">
      <c r="A318" s="216" t="str">
        <f>IF(D318="","",VLOOKUP(G318,códigosORL!$H:$J,3,FALSE))</f>
        <v/>
      </c>
      <c r="B318" s="131"/>
      <c r="C318" s="258"/>
      <c r="D318" s="131"/>
      <c r="E318" s="131"/>
      <c r="F318" s="247"/>
      <c r="G318" s="131"/>
      <c r="H318" s="131"/>
      <c r="I318" s="131"/>
      <c r="J318" s="131"/>
      <c r="K318" s="131"/>
      <c r="L318" s="131"/>
      <c r="M318" s="131"/>
      <c r="N318" s="131"/>
      <c r="O318" s="131"/>
      <c r="P318" s="131"/>
      <c r="Q318" s="131"/>
      <c r="R318" s="131"/>
      <c r="S318" s="131"/>
      <c r="T318" s="131"/>
      <c r="U318" s="131"/>
      <c r="V318" s="131"/>
      <c r="W318" s="131"/>
      <c r="X318" s="131"/>
      <c r="Y318" s="131"/>
      <c r="Z318" s="131"/>
      <c r="AA318" s="245"/>
      <c r="AB318" s="131"/>
      <c r="AC318" s="131"/>
      <c r="AD318" s="131"/>
      <c r="AE318" s="131"/>
      <c r="AF318" s="131"/>
      <c r="AG318" s="131"/>
      <c r="AH318" s="131"/>
      <c r="AI318" s="131"/>
      <c r="AJ318" s="131"/>
      <c r="AK318" s="131"/>
      <c r="AL318" s="131"/>
      <c r="AM318" s="131"/>
      <c r="AN318" s="131"/>
      <c r="AO318" s="131"/>
      <c r="AP318" s="131"/>
      <c r="AQ318" s="131"/>
      <c r="AR318" s="131"/>
      <c r="AS318" s="131"/>
      <c r="AT318" s="131"/>
      <c r="AU318" s="131"/>
      <c r="AV318" s="131"/>
      <c r="AW318" s="131"/>
      <c r="AX318" s="131"/>
      <c r="AY318" s="131"/>
      <c r="AZ318" s="131"/>
    </row>
    <row r="319" spans="1:52">
      <c r="A319" s="216" t="str">
        <f>IF(D319="","",VLOOKUP(G319,códigosORL!$H:$J,3,FALSE))</f>
        <v/>
      </c>
      <c r="B319" s="131"/>
      <c r="C319" s="258"/>
      <c r="D319" s="131"/>
      <c r="E319" s="131"/>
      <c r="F319" s="247"/>
      <c r="G319" s="131"/>
      <c r="H319" s="131"/>
      <c r="I319" s="131"/>
      <c r="J319" s="131"/>
      <c r="K319" s="131"/>
      <c r="L319" s="131"/>
      <c r="M319" s="131"/>
      <c r="N319" s="131"/>
      <c r="O319" s="131"/>
      <c r="P319" s="131"/>
      <c r="Q319" s="131"/>
      <c r="R319" s="131"/>
      <c r="S319" s="131"/>
      <c r="T319" s="131"/>
      <c r="U319" s="131"/>
      <c r="V319" s="131"/>
      <c r="W319" s="131"/>
      <c r="X319" s="131"/>
      <c r="Y319" s="131"/>
      <c r="Z319" s="131"/>
      <c r="AA319" s="245"/>
      <c r="AB319" s="131"/>
      <c r="AC319" s="131"/>
      <c r="AD319" s="131"/>
      <c r="AE319" s="131"/>
      <c r="AF319" s="131"/>
      <c r="AG319" s="131"/>
      <c r="AH319" s="131"/>
      <c r="AI319" s="131"/>
      <c r="AJ319" s="131"/>
      <c r="AK319" s="131"/>
      <c r="AL319" s="131"/>
      <c r="AM319" s="131"/>
      <c r="AN319" s="131"/>
      <c r="AO319" s="131"/>
      <c r="AP319" s="131"/>
      <c r="AQ319" s="131"/>
      <c r="AR319" s="131"/>
      <c r="AS319" s="131"/>
      <c r="AT319" s="131"/>
      <c r="AU319" s="131"/>
      <c r="AV319" s="131"/>
      <c r="AW319" s="131"/>
      <c r="AX319" s="131"/>
      <c r="AY319" s="131"/>
      <c r="AZ319" s="131"/>
    </row>
    <row r="320" spans="1:52">
      <c r="A320" s="216" t="str">
        <f>IF(D320="","",VLOOKUP(G320,códigosORL!$H:$J,3,FALSE))</f>
        <v/>
      </c>
      <c r="B320" s="131"/>
      <c r="C320" s="258"/>
      <c r="D320" s="131"/>
      <c r="E320" s="131"/>
      <c r="F320" s="247"/>
      <c r="G320" s="131"/>
      <c r="H320" s="131"/>
      <c r="I320" s="131"/>
      <c r="J320" s="131"/>
      <c r="K320" s="131"/>
      <c r="L320" s="131"/>
      <c r="M320" s="131"/>
      <c r="N320" s="131"/>
      <c r="O320" s="131"/>
      <c r="P320" s="131"/>
      <c r="Q320" s="131"/>
      <c r="R320" s="131"/>
      <c r="S320" s="131"/>
      <c r="T320" s="131"/>
      <c r="U320" s="131"/>
      <c r="V320" s="131"/>
      <c r="W320" s="131"/>
      <c r="X320" s="131"/>
      <c r="Y320" s="131"/>
      <c r="Z320" s="131"/>
      <c r="AA320" s="245"/>
      <c r="AB320" s="131"/>
      <c r="AC320" s="131"/>
      <c r="AD320" s="131"/>
      <c r="AE320" s="131"/>
      <c r="AF320" s="131"/>
      <c r="AG320" s="131"/>
      <c r="AH320" s="131"/>
      <c r="AI320" s="131"/>
      <c r="AJ320" s="131"/>
      <c r="AK320" s="131"/>
      <c r="AL320" s="131"/>
      <c r="AM320" s="131"/>
      <c r="AN320" s="131"/>
      <c r="AO320" s="131"/>
      <c r="AP320" s="131"/>
      <c r="AQ320" s="131"/>
      <c r="AR320" s="131"/>
      <c r="AS320" s="131"/>
      <c r="AT320" s="131"/>
      <c r="AU320" s="131"/>
      <c r="AV320" s="131"/>
      <c r="AW320" s="131"/>
      <c r="AX320" s="131"/>
      <c r="AY320" s="131"/>
      <c r="AZ320" s="131"/>
    </row>
    <row r="321" spans="1:52">
      <c r="A321" s="216" t="str">
        <f>IF(D321="","",VLOOKUP(G321,códigosORL!$H:$J,3,FALSE))</f>
        <v/>
      </c>
      <c r="B321" s="131"/>
      <c r="C321" s="258"/>
      <c r="D321" s="131"/>
      <c r="E321" s="131"/>
      <c r="F321" s="247"/>
      <c r="G321" s="131"/>
      <c r="H321" s="131"/>
      <c r="I321" s="131"/>
      <c r="J321" s="131"/>
      <c r="K321" s="131"/>
      <c r="L321" s="131"/>
      <c r="M321" s="131"/>
      <c r="N321" s="131"/>
      <c r="O321" s="131"/>
      <c r="P321" s="131"/>
      <c r="Q321" s="131"/>
      <c r="R321" s="131"/>
      <c r="S321" s="131"/>
      <c r="T321" s="131"/>
      <c r="U321" s="131"/>
      <c r="V321" s="131"/>
      <c r="W321" s="131"/>
      <c r="X321" s="131"/>
      <c r="Y321" s="131"/>
      <c r="Z321" s="131"/>
      <c r="AA321" s="245"/>
      <c r="AB321" s="131"/>
      <c r="AC321" s="131"/>
      <c r="AD321" s="131"/>
      <c r="AE321" s="131"/>
      <c r="AF321" s="131"/>
      <c r="AG321" s="131"/>
      <c r="AH321" s="131"/>
      <c r="AI321" s="131"/>
      <c r="AJ321" s="131"/>
      <c r="AK321" s="131"/>
      <c r="AL321" s="131"/>
      <c r="AM321" s="131"/>
      <c r="AN321" s="131"/>
      <c r="AO321" s="131"/>
      <c r="AP321" s="131"/>
      <c r="AQ321" s="131"/>
      <c r="AR321" s="131"/>
      <c r="AS321" s="131"/>
      <c r="AT321" s="131"/>
      <c r="AU321" s="131"/>
      <c r="AV321" s="131"/>
      <c r="AW321" s="131"/>
      <c r="AX321" s="131"/>
      <c r="AY321" s="131"/>
      <c r="AZ321" s="131"/>
    </row>
    <row r="322" spans="1:52">
      <c r="A322" s="216" t="str">
        <f>IF(D322="","",VLOOKUP(G322,códigosORL!$H:$J,3,FALSE))</f>
        <v/>
      </c>
      <c r="B322" s="131"/>
      <c r="C322" s="258"/>
      <c r="D322" s="131"/>
      <c r="E322" s="131"/>
      <c r="F322" s="247"/>
      <c r="G322" s="131"/>
      <c r="H322" s="131"/>
      <c r="I322" s="131"/>
      <c r="J322" s="131"/>
      <c r="K322" s="131"/>
      <c r="L322" s="131"/>
      <c r="M322" s="131"/>
      <c r="N322" s="131"/>
      <c r="O322" s="131"/>
      <c r="P322" s="131"/>
      <c r="Q322" s="131"/>
      <c r="R322" s="131"/>
      <c r="S322" s="131"/>
      <c r="T322" s="131"/>
      <c r="U322" s="131"/>
      <c r="V322" s="131"/>
      <c r="W322" s="131"/>
      <c r="X322" s="131"/>
      <c r="Y322" s="131"/>
      <c r="Z322" s="131"/>
      <c r="AA322" s="245"/>
      <c r="AB322" s="131"/>
      <c r="AC322" s="131"/>
      <c r="AD322" s="131"/>
      <c r="AE322" s="131"/>
      <c r="AF322" s="131"/>
      <c r="AG322" s="131"/>
      <c r="AH322" s="131"/>
      <c r="AI322" s="131"/>
      <c r="AJ322" s="131"/>
      <c r="AK322" s="131"/>
      <c r="AL322" s="131"/>
      <c r="AM322" s="131"/>
      <c r="AN322" s="131"/>
      <c r="AO322" s="131"/>
      <c r="AP322" s="131"/>
      <c r="AQ322" s="131"/>
      <c r="AR322" s="131"/>
      <c r="AS322" s="131"/>
      <c r="AT322" s="131"/>
      <c r="AU322" s="131"/>
      <c r="AV322" s="131"/>
      <c r="AW322" s="131"/>
      <c r="AX322" s="131"/>
      <c r="AY322" s="131"/>
      <c r="AZ322" s="131"/>
    </row>
    <row r="323" spans="1:52">
      <c r="A323" s="216" t="str">
        <f>IF(D323="","",VLOOKUP(G323,códigosORL!$H:$J,3,FALSE))</f>
        <v/>
      </c>
      <c r="B323" s="131"/>
      <c r="C323" s="258"/>
      <c r="D323" s="131"/>
      <c r="E323" s="131"/>
      <c r="F323" s="247"/>
      <c r="G323" s="131"/>
      <c r="H323" s="131"/>
      <c r="I323" s="131"/>
      <c r="J323" s="131"/>
      <c r="K323" s="131"/>
      <c r="L323" s="131"/>
      <c r="M323" s="131"/>
      <c r="N323" s="131"/>
      <c r="O323" s="131"/>
      <c r="P323" s="131"/>
      <c r="Q323" s="131"/>
      <c r="R323" s="131"/>
      <c r="S323" s="131"/>
      <c r="T323" s="131"/>
      <c r="U323" s="131"/>
      <c r="V323" s="131"/>
      <c r="W323" s="131"/>
      <c r="X323" s="131"/>
      <c r="Y323" s="131"/>
      <c r="Z323" s="131"/>
      <c r="AA323" s="245"/>
      <c r="AB323" s="131"/>
      <c r="AC323" s="131"/>
      <c r="AD323" s="131"/>
      <c r="AE323" s="131"/>
      <c r="AF323" s="131"/>
      <c r="AG323" s="131"/>
      <c r="AH323" s="131"/>
      <c r="AI323" s="131"/>
      <c r="AJ323" s="131"/>
      <c r="AK323" s="131"/>
      <c r="AL323" s="131"/>
      <c r="AM323" s="131"/>
      <c r="AN323" s="131"/>
      <c r="AO323" s="131"/>
      <c r="AP323" s="131"/>
      <c r="AQ323" s="131"/>
      <c r="AR323" s="131"/>
      <c r="AS323" s="131"/>
      <c r="AT323" s="131"/>
      <c r="AU323" s="131"/>
      <c r="AV323" s="131"/>
      <c r="AW323" s="131"/>
      <c r="AX323" s="131"/>
      <c r="AY323" s="131"/>
      <c r="AZ323" s="131"/>
    </row>
    <row r="324" spans="1:52">
      <c r="A324" s="216" t="str">
        <f>IF(D324="","",VLOOKUP(G324,códigosORL!$H:$J,3,FALSE))</f>
        <v/>
      </c>
      <c r="B324" s="131"/>
      <c r="C324" s="258"/>
      <c r="D324" s="131"/>
      <c r="E324" s="131"/>
      <c r="F324" s="247"/>
      <c r="G324" s="131"/>
      <c r="H324" s="131"/>
      <c r="I324" s="131"/>
      <c r="J324" s="131"/>
      <c r="K324" s="131"/>
      <c r="L324" s="131"/>
      <c r="M324" s="131"/>
      <c r="N324" s="131"/>
      <c r="O324" s="131"/>
      <c r="P324" s="131"/>
      <c r="Q324" s="131"/>
      <c r="R324" s="131"/>
      <c r="S324" s="131"/>
      <c r="T324" s="131"/>
      <c r="U324" s="131"/>
      <c r="V324" s="131"/>
      <c r="W324" s="131"/>
      <c r="X324" s="131"/>
      <c r="Y324" s="131"/>
      <c r="Z324" s="131"/>
      <c r="AA324" s="245"/>
      <c r="AB324" s="131"/>
      <c r="AC324" s="131"/>
      <c r="AD324" s="131"/>
      <c r="AE324" s="131"/>
      <c r="AF324" s="131"/>
      <c r="AG324" s="131"/>
      <c r="AH324" s="131"/>
      <c r="AI324" s="131"/>
      <c r="AJ324" s="131"/>
      <c r="AK324" s="131"/>
      <c r="AL324" s="131"/>
      <c r="AM324" s="131"/>
      <c r="AN324" s="131"/>
      <c r="AO324" s="131"/>
      <c r="AP324" s="131"/>
      <c r="AQ324" s="131"/>
      <c r="AR324" s="131"/>
      <c r="AS324" s="131"/>
      <c r="AT324" s="131"/>
      <c r="AU324" s="131"/>
      <c r="AV324" s="131"/>
      <c r="AW324" s="131"/>
      <c r="AX324" s="131"/>
      <c r="AY324" s="131"/>
      <c r="AZ324" s="131"/>
    </row>
    <row r="325" spans="1:52">
      <c r="A325" s="216" t="str">
        <f>IF(D325="","",VLOOKUP(G325,códigosORL!$H:$J,3,FALSE))</f>
        <v/>
      </c>
      <c r="B325" s="131"/>
      <c r="C325" s="258"/>
      <c r="D325" s="131"/>
      <c r="E325" s="131"/>
      <c r="F325" s="247"/>
      <c r="G325" s="131"/>
      <c r="H325" s="131"/>
      <c r="I325" s="131"/>
      <c r="J325" s="131"/>
      <c r="K325" s="131"/>
      <c r="L325" s="131"/>
      <c r="M325" s="131"/>
      <c r="N325" s="131"/>
      <c r="O325" s="131"/>
      <c r="P325" s="131"/>
      <c r="Q325" s="131"/>
      <c r="R325" s="131"/>
      <c r="S325" s="131"/>
      <c r="T325" s="131"/>
      <c r="U325" s="131"/>
      <c r="V325" s="131"/>
      <c r="W325" s="131"/>
      <c r="X325" s="131"/>
      <c r="Y325" s="131"/>
      <c r="Z325" s="131"/>
      <c r="AA325" s="245"/>
      <c r="AB325" s="131"/>
      <c r="AC325" s="131"/>
      <c r="AD325" s="131"/>
      <c r="AE325" s="131"/>
      <c r="AF325" s="131"/>
      <c r="AG325" s="131"/>
      <c r="AH325" s="131"/>
      <c r="AI325" s="131"/>
      <c r="AJ325" s="131"/>
      <c r="AK325" s="131"/>
      <c r="AL325" s="131"/>
      <c r="AM325" s="131"/>
      <c r="AN325" s="131"/>
      <c r="AO325" s="131"/>
      <c r="AP325" s="131"/>
      <c r="AQ325" s="131"/>
      <c r="AR325" s="131"/>
      <c r="AS325" s="131"/>
      <c r="AT325" s="131"/>
      <c r="AU325" s="131"/>
      <c r="AV325" s="131"/>
      <c r="AW325" s="131"/>
      <c r="AX325" s="131"/>
      <c r="AY325" s="131"/>
      <c r="AZ325" s="131"/>
    </row>
    <row r="326" spans="1:52">
      <c r="A326" s="216" t="str">
        <f>IF(D326="","",VLOOKUP(G326,códigosORL!$H:$J,3,FALSE))</f>
        <v/>
      </c>
      <c r="B326" s="243"/>
      <c r="C326" s="259"/>
      <c r="D326" s="243"/>
      <c r="E326" s="243"/>
      <c r="F326" s="247"/>
      <c r="G326" s="243"/>
      <c r="H326" s="243"/>
      <c r="I326" s="243"/>
      <c r="J326" s="243"/>
      <c r="K326" s="243"/>
      <c r="L326" s="243"/>
      <c r="M326" s="243"/>
      <c r="N326" s="243"/>
      <c r="O326" s="243"/>
      <c r="P326" s="243"/>
      <c r="Q326" s="243"/>
      <c r="R326" s="243"/>
      <c r="S326" s="243"/>
      <c r="T326" s="243"/>
      <c r="U326" s="243"/>
      <c r="V326" s="243"/>
      <c r="W326" s="243"/>
      <c r="X326" s="243"/>
      <c r="Y326" s="244"/>
      <c r="Z326" s="243"/>
      <c r="AA326" s="245"/>
      <c r="AB326" s="246"/>
      <c r="AC326" s="246"/>
      <c r="AD326" s="246"/>
      <c r="AE326" s="131"/>
      <c r="AF326" s="244"/>
      <c r="AG326" s="243"/>
      <c r="AH326" s="243"/>
      <c r="AI326" s="243"/>
      <c r="AJ326" s="243"/>
      <c r="AK326" s="243"/>
      <c r="AL326" s="243"/>
      <c r="AM326" s="243"/>
      <c r="AN326" s="243"/>
      <c r="AO326" s="243"/>
      <c r="AP326" s="243"/>
      <c r="AQ326" s="243"/>
      <c r="AR326" s="243"/>
      <c r="AS326" s="243"/>
      <c r="AT326" s="243"/>
      <c r="AU326" s="243"/>
      <c r="AV326" s="243"/>
      <c r="AW326" s="243"/>
      <c r="AX326" s="243"/>
      <c r="AY326" s="243"/>
      <c r="AZ326" s="243"/>
    </row>
    <row r="327" spans="1:52">
      <c r="A327" s="216" t="str">
        <f>IF(D327="","",VLOOKUP(G327,códigosORL!$H:$J,3,FALSE))</f>
        <v/>
      </c>
      <c r="B327" s="243"/>
      <c r="C327" s="259"/>
      <c r="D327" s="243"/>
      <c r="E327" s="243"/>
      <c r="F327" s="247"/>
      <c r="G327" s="243"/>
      <c r="H327" s="243"/>
      <c r="I327" s="243"/>
      <c r="J327" s="243"/>
      <c r="K327" s="243"/>
      <c r="L327" s="243"/>
      <c r="M327" s="243"/>
      <c r="N327" s="243"/>
      <c r="O327" s="243"/>
      <c r="P327" s="243"/>
      <c r="Q327" s="243"/>
      <c r="R327" s="243"/>
      <c r="S327" s="243"/>
      <c r="T327" s="243"/>
      <c r="U327" s="243"/>
      <c r="V327" s="243"/>
      <c r="W327" s="243"/>
      <c r="X327" s="243"/>
      <c r="Y327" s="244"/>
      <c r="Z327" s="243"/>
      <c r="AA327" s="245"/>
      <c r="AB327" s="246"/>
      <c r="AC327" s="246"/>
      <c r="AD327" s="246"/>
      <c r="AE327" s="131"/>
      <c r="AF327" s="244"/>
      <c r="AG327" s="243"/>
      <c r="AH327" s="243"/>
      <c r="AI327" s="243"/>
      <c r="AJ327" s="243"/>
      <c r="AK327" s="243"/>
      <c r="AL327" s="243"/>
      <c r="AM327" s="243"/>
      <c r="AN327" s="243"/>
      <c r="AO327" s="243"/>
      <c r="AP327" s="243"/>
      <c r="AQ327" s="243"/>
      <c r="AR327" s="243"/>
      <c r="AS327" s="243"/>
      <c r="AT327" s="243"/>
      <c r="AU327" s="243"/>
      <c r="AV327" s="243"/>
      <c r="AW327" s="243"/>
      <c r="AX327" s="243"/>
      <c r="AY327" s="243"/>
      <c r="AZ327" s="243"/>
    </row>
    <row r="328" spans="1:52">
      <c r="A328" s="216" t="str">
        <f>IF(D328="","",VLOOKUP(G328,códigosORL!$H:$J,3,FALSE))</f>
        <v/>
      </c>
      <c r="B328" s="243"/>
      <c r="C328" s="259"/>
      <c r="D328" s="243"/>
      <c r="E328" s="243"/>
      <c r="F328" s="247"/>
      <c r="G328" s="243"/>
      <c r="H328" s="243"/>
      <c r="I328" s="243"/>
      <c r="J328" s="243"/>
      <c r="K328" s="243"/>
      <c r="L328" s="243"/>
      <c r="M328" s="243"/>
      <c r="N328" s="243"/>
      <c r="O328" s="243"/>
      <c r="P328" s="243"/>
      <c r="Q328" s="243"/>
      <c r="R328" s="243"/>
      <c r="S328" s="243"/>
      <c r="T328" s="243"/>
      <c r="U328" s="243"/>
      <c r="V328" s="243"/>
      <c r="W328" s="243"/>
      <c r="X328" s="243"/>
      <c r="Y328" s="244"/>
      <c r="Z328" s="243"/>
      <c r="AA328" s="245"/>
      <c r="AB328" s="246"/>
      <c r="AC328" s="246"/>
      <c r="AD328" s="246"/>
      <c r="AE328" s="131"/>
      <c r="AF328" s="244"/>
      <c r="AG328" s="243"/>
      <c r="AH328" s="243"/>
      <c r="AI328" s="243"/>
      <c r="AJ328" s="243"/>
      <c r="AK328" s="243"/>
      <c r="AL328" s="243"/>
      <c r="AM328" s="243"/>
      <c r="AN328" s="243"/>
      <c r="AO328" s="243"/>
      <c r="AP328" s="243"/>
      <c r="AQ328" s="243"/>
      <c r="AR328" s="243"/>
      <c r="AS328" s="243"/>
      <c r="AT328" s="243"/>
      <c r="AU328" s="243"/>
      <c r="AV328" s="243"/>
      <c r="AW328" s="243"/>
      <c r="AX328" s="243"/>
      <c r="AY328" s="243"/>
      <c r="AZ328" s="243"/>
    </row>
    <row r="329" spans="1:52">
      <c r="A329" s="216" t="str">
        <f>IF(D329="","",VLOOKUP(G329,códigosORL!$H:$J,3,FALSE))</f>
        <v/>
      </c>
      <c r="B329" s="243"/>
      <c r="C329" s="259"/>
      <c r="D329" s="243"/>
      <c r="E329" s="243"/>
      <c r="F329" s="247"/>
      <c r="G329" s="243"/>
      <c r="H329" s="243"/>
      <c r="I329" s="243"/>
      <c r="J329" s="243"/>
      <c r="K329" s="243"/>
      <c r="L329" s="243"/>
      <c r="M329" s="243"/>
      <c r="N329" s="243"/>
      <c r="O329" s="243"/>
      <c r="P329" s="243"/>
      <c r="Q329" s="243"/>
      <c r="R329" s="243"/>
      <c r="S329" s="243"/>
      <c r="T329" s="243"/>
      <c r="U329" s="243"/>
      <c r="V329" s="243"/>
      <c r="W329" s="243"/>
      <c r="X329" s="243"/>
      <c r="Y329" s="244"/>
      <c r="Z329" s="243"/>
      <c r="AA329" s="245"/>
      <c r="AB329" s="246"/>
      <c r="AC329" s="246"/>
      <c r="AD329" s="246"/>
      <c r="AE329" s="131"/>
      <c r="AF329" s="244"/>
      <c r="AG329" s="243"/>
      <c r="AH329" s="243"/>
      <c r="AI329" s="243"/>
      <c r="AJ329" s="243"/>
      <c r="AK329" s="243"/>
      <c r="AL329" s="243"/>
      <c r="AM329" s="243"/>
      <c r="AN329" s="243"/>
      <c r="AO329" s="243"/>
      <c r="AP329" s="243"/>
      <c r="AQ329" s="243"/>
      <c r="AR329" s="243"/>
      <c r="AS329" s="243"/>
      <c r="AT329" s="243"/>
      <c r="AU329" s="243"/>
      <c r="AV329" s="243"/>
      <c r="AW329" s="243"/>
      <c r="AX329" s="243"/>
      <c r="AY329" s="243"/>
      <c r="AZ329" s="243"/>
    </row>
    <row r="330" spans="1:52">
      <c r="A330" s="216" t="str">
        <f>IF(D330="","",VLOOKUP(G330,códigosORL!$H:$J,3,FALSE))</f>
        <v/>
      </c>
      <c r="B330" s="243"/>
      <c r="C330" s="259"/>
      <c r="D330" s="243"/>
      <c r="E330" s="243"/>
      <c r="F330" s="247"/>
      <c r="G330" s="243"/>
      <c r="H330" s="243"/>
      <c r="I330" s="243"/>
      <c r="J330" s="243"/>
      <c r="K330" s="243"/>
      <c r="L330" s="243"/>
      <c r="M330" s="243"/>
      <c r="N330" s="243"/>
      <c r="O330" s="243"/>
      <c r="P330" s="243"/>
      <c r="Q330" s="243"/>
      <c r="R330" s="243"/>
      <c r="S330" s="243"/>
      <c r="T330" s="243"/>
      <c r="U330" s="243"/>
      <c r="V330" s="243"/>
      <c r="W330" s="243"/>
      <c r="X330" s="243"/>
      <c r="Y330" s="244"/>
      <c r="Z330" s="243"/>
      <c r="AA330" s="245"/>
      <c r="AB330" s="246"/>
      <c r="AC330" s="246"/>
      <c r="AD330" s="246"/>
      <c r="AE330" s="131"/>
      <c r="AF330" s="244"/>
      <c r="AG330" s="243"/>
      <c r="AH330" s="243"/>
      <c r="AI330" s="243"/>
      <c r="AJ330" s="243"/>
      <c r="AK330" s="243"/>
      <c r="AL330" s="243"/>
      <c r="AM330" s="243"/>
      <c r="AN330" s="243"/>
      <c r="AO330" s="243"/>
      <c r="AP330" s="243"/>
      <c r="AQ330" s="243"/>
      <c r="AR330" s="243"/>
      <c r="AS330" s="243"/>
      <c r="AT330" s="243"/>
      <c r="AU330" s="243"/>
      <c r="AV330" s="243"/>
      <c r="AW330" s="243"/>
      <c r="AX330" s="243"/>
      <c r="AY330" s="243"/>
      <c r="AZ330" s="243"/>
    </row>
    <row r="331" spans="1:52">
      <c r="A331" s="216" t="str">
        <f>IF(D331="","",VLOOKUP(G331,códigosORL!$H:$J,3,FALSE))</f>
        <v/>
      </c>
      <c r="B331" s="243"/>
      <c r="C331" s="259"/>
      <c r="D331" s="243"/>
      <c r="E331" s="243"/>
      <c r="F331" s="247"/>
      <c r="G331" s="243"/>
      <c r="H331" s="243"/>
      <c r="I331" s="243"/>
      <c r="J331" s="243"/>
      <c r="K331" s="243"/>
      <c r="L331" s="243"/>
      <c r="M331" s="243"/>
      <c r="N331" s="243"/>
      <c r="O331" s="243"/>
      <c r="P331" s="243"/>
      <c r="Q331" s="243"/>
      <c r="R331" s="243"/>
      <c r="S331" s="243"/>
      <c r="T331" s="243"/>
      <c r="U331" s="243"/>
      <c r="V331" s="243"/>
      <c r="W331" s="243"/>
      <c r="X331" s="243"/>
      <c r="Y331" s="244"/>
      <c r="Z331" s="243"/>
      <c r="AA331" s="245"/>
      <c r="AB331" s="246"/>
      <c r="AC331" s="246"/>
      <c r="AD331" s="246"/>
      <c r="AE331" s="131"/>
      <c r="AF331" s="244"/>
      <c r="AG331" s="243"/>
      <c r="AH331" s="243"/>
      <c r="AI331" s="243"/>
      <c r="AJ331" s="243"/>
      <c r="AK331" s="243"/>
      <c r="AL331" s="243"/>
      <c r="AM331" s="243"/>
      <c r="AN331" s="243"/>
      <c r="AO331" s="243"/>
      <c r="AP331" s="243"/>
      <c r="AQ331" s="243"/>
      <c r="AR331" s="243"/>
      <c r="AS331" s="243"/>
      <c r="AT331" s="243"/>
      <c r="AU331" s="243"/>
      <c r="AV331" s="243"/>
      <c r="AW331" s="243"/>
      <c r="AX331" s="243"/>
      <c r="AY331" s="243"/>
      <c r="AZ331" s="243"/>
    </row>
    <row r="332" spans="1:52">
      <c r="A332" s="216" t="str">
        <f>IF(D332="","",VLOOKUP(G332,códigosORL!$H:$J,3,FALSE))</f>
        <v/>
      </c>
      <c r="B332" s="243"/>
      <c r="C332" s="259"/>
      <c r="D332" s="243"/>
      <c r="E332" s="243"/>
      <c r="F332" s="247"/>
      <c r="G332" s="243"/>
      <c r="H332" s="243"/>
      <c r="I332" s="243"/>
      <c r="J332" s="243"/>
      <c r="K332" s="243"/>
      <c r="L332" s="243"/>
      <c r="M332" s="243"/>
      <c r="N332" s="243"/>
      <c r="O332" s="243"/>
      <c r="P332" s="243"/>
      <c r="Q332" s="243"/>
      <c r="R332" s="243"/>
      <c r="S332" s="243"/>
      <c r="T332" s="243"/>
      <c r="U332" s="243"/>
      <c r="V332" s="243"/>
      <c r="W332" s="243"/>
      <c r="X332" s="243"/>
      <c r="Y332" s="244"/>
      <c r="Z332" s="243"/>
      <c r="AA332" s="245"/>
      <c r="AB332" s="246"/>
      <c r="AC332" s="246"/>
      <c r="AD332" s="246"/>
      <c r="AE332" s="131"/>
      <c r="AF332" s="244"/>
      <c r="AG332" s="243"/>
      <c r="AH332" s="243"/>
      <c r="AI332" s="243"/>
      <c r="AJ332" s="243"/>
      <c r="AK332" s="243"/>
      <c r="AL332" s="243"/>
      <c r="AM332" s="243"/>
      <c r="AN332" s="243"/>
      <c r="AO332" s="243"/>
      <c r="AP332" s="243"/>
      <c r="AQ332" s="243"/>
      <c r="AR332" s="243"/>
      <c r="AS332" s="243"/>
      <c r="AT332" s="243"/>
      <c r="AU332" s="243"/>
      <c r="AV332" s="243"/>
      <c r="AW332" s="243"/>
      <c r="AX332" s="243"/>
      <c r="AY332" s="243"/>
      <c r="AZ332" s="243"/>
    </row>
    <row r="333" spans="1:52">
      <c r="A333" s="216" t="str">
        <f>IF(D333="","",VLOOKUP(G333,códigosORL!$H:$J,3,FALSE))</f>
        <v/>
      </c>
      <c r="B333" s="243"/>
      <c r="C333" s="259"/>
      <c r="D333" s="243"/>
      <c r="E333" s="243"/>
      <c r="F333" s="247"/>
      <c r="G333" s="243"/>
      <c r="H333" s="243"/>
      <c r="I333" s="243"/>
      <c r="J333" s="243"/>
      <c r="K333" s="243"/>
      <c r="L333" s="243"/>
      <c r="M333" s="243"/>
      <c r="N333" s="243"/>
      <c r="O333" s="243"/>
      <c r="P333" s="243"/>
      <c r="Q333" s="243"/>
      <c r="R333" s="243"/>
      <c r="S333" s="243"/>
      <c r="T333" s="243"/>
      <c r="U333" s="243"/>
      <c r="V333" s="243"/>
      <c r="W333" s="243"/>
      <c r="X333" s="243"/>
      <c r="Y333" s="244"/>
      <c r="Z333" s="243"/>
      <c r="AA333" s="245"/>
      <c r="AB333" s="246"/>
      <c r="AC333" s="246"/>
      <c r="AD333" s="246"/>
      <c r="AE333" s="131"/>
      <c r="AF333" s="244"/>
      <c r="AG333" s="243"/>
      <c r="AH333" s="243"/>
      <c r="AI333" s="243"/>
      <c r="AJ333" s="243"/>
      <c r="AK333" s="243"/>
      <c r="AL333" s="243"/>
      <c r="AM333" s="243"/>
      <c r="AN333" s="243"/>
      <c r="AO333" s="243"/>
      <c r="AP333" s="243"/>
      <c r="AQ333" s="243"/>
      <c r="AR333" s="243"/>
      <c r="AS333" s="243"/>
      <c r="AT333" s="243"/>
      <c r="AU333" s="243"/>
      <c r="AV333" s="243"/>
      <c r="AW333" s="243"/>
      <c r="AX333" s="243"/>
      <c r="AY333" s="243"/>
      <c r="AZ333" s="243"/>
    </row>
    <row r="334" spans="1:52">
      <c r="A334" s="216" t="str">
        <f>IF(D334="","",VLOOKUP(G334,códigosORL!$H:$J,3,FALSE))</f>
        <v/>
      </c>
      <c r="B334" s="243"/>
      <c r="C334" s="259"/>
      <c r="D334" s="243"/>
      <c r="E334" s="243"/>
      <c r="F334" s="247"/>
      <c r="G334" s="243"/>
      <c r="H334" s="243"/>
      <c r="I334" s="243"/>
      <c r="J334" s="243"/>
      <c r="K334" s="243"/>
      <c r="L334" s="243"/>
      <c r="M334" s="243"/>
      <c r="N334" s="243"/>
      <c r="O334" s="243"/>
      <c r="P334" s="243"/>
      <c r="Q334" s="243"/>
      <c r="R334" s="243"/>
      <c r="S334" s="243"/>
      <c r="T334" s="243"/>
      <c r="U334" s="243"/>
      <c r="V334" s="243"/>
      <c r="W334" s="243"/>
      <c r="X334" s="243"/>
      <c r="Y334" s="244"/>
      <c r="Z334" s="243"/>
      <c r="AA334" s="245"/>
      <c r="AB334" s="246"/>
      <c r="AC334" s="246"/>
      <c r="AD334" s="246"/>
      <c r="AE334" s="131"/>
      <c r="AF334" s="244"/>
      <c r="AG334" s="243"/>
      <c r="AH334" s="243"/>
      <c r="AI334" s="243"/>
      <c r="AJ334" s="243"/>
      <c r="AK334" s="243"/>
      <c r="AL334" s="243"/>
      <c r="AM334" s="243"/>
      <c r="AN334" s="243"/>
      <c r="AO334" s="243"/>
      <c r="AP334" s="243"/>
      <c r="AQ334" s="243"/>
      <c r="AR334" s="243"/>
      <c r="AS334" s="243"/>
      <c r="AT334" s="243"/>
      <c r="AU334" s="243"/>
      <c r="AV334" s="243"/>
      <c r="AW334" s="243"/>
      <c r="AX334" s="243"/>
      <c r="AY334" s="243"/>
      <c r="AZ334" s="243"/>
    </row>
    <row r="335" spans="1:52">
      <c r="A335" s="216" t="str">
        <f>IF(D335="","",VLOOKUP(G335,códigosORL!$H:$J,3,FALSE))</f>
        <v/>
      </c>
      <c r="B335" s="243"/>
      <c r="C335" s="259"/>
      <c r="D335" s="243"/>
      <c r="E335" s="243"/>
      <c r="F335" s="247"/>
      <c r="G335" s="243"/>
      <c r="H335" s="243"/>
      <c r="I335" s="243"/>
      <c r="J335" s="243"/>
      <c r="K335" s="243"/>
      <c r="L335" s="243"/>
      <c r="M335" s="243"/>
      <c r="N335" s="243"/>
      <c r="O335" s="243"/>
      <c r="P335" s="243"/>
      <c r="Q335" s="243"/>
      <c r="R335" s="243"/>
      <c r="S335" s="243"/>
      <c r="T335" s="243"/>
      <c r="U335" s="243"/>
      <c r="V335" s="243"/>
      <c r="W335" s="243"/>
      <c r="X335" s="243"/>
      <c r="Y335" s="244"/>
      <c r="Z335" s="243"/>
      <c r="AA335" s="245"/>
      <c r="AB335" s="246"/>
      <c r="AC335" s="246"/>
      <c r="AD335" s="246"/>
      <c r="AE335" s="131"/>
      <c r="AF335" s="244"/>
      <c r="AG335" s="243"/>
      <c r="AH335" s="243"/>
      <c r="AI335" s="243"/>
      <c r="AJ335" s="243"/>
      <c r="AK335" s="243"/>
      <c r="AL335" s="243"/>
      <c r="AM335" s="243"/>
      <c r="AN335" s="243"/>
      <c r="AO335" s="243"/>
      <c r="AP335" s="243"/>
      <c r="AQ335" s="243"/>
      <c r="AR335" s="243"/>
      <c r="AS335" s="243"/>
      <c r="AT335" s="243"/>
      <c r="AU335" s="243"/>
      <c r="AV335" s="243"/>
      <c r="AW335" s="243"/>
      <c r="AX335" s="243"/>
      <c r="AY335" s="243"/>
      <c r="AZ335" s="243"/>
    </row>
    <row r="336" spans="1:52">
      <c r="A336" s="216" t="str">
        <f>IF(D336="","",VLOOKUP(G336,códigosORL!$H:$J,3,FALSE))</f>
        <v/>
      </c>
      <c r="B336" s="243"/>
      <c r="C336" s="259"/>
      <c r="D336" s="243"/>
      <c r="E336" s="243"/>
      <c r="F336" s="247"/>
      <c r="G336" s="243"/>
      <c r="H336" s="243"/>
      <c r="I336" s="243"/>
      <c r="J336" s="243"/>
      <c r="K336" s="243"/>
      <c r="L336" s="243"/>
      <c r="M336" s="243"/>
      <c r="N336" s="243"/>
      <c r="O336" s="243"/>
      <c r="P336" s="243"/>
      <c r="Q336" s="243"/>
      <c r="R336" s="243"/>
      <c r="S336" s="243"/>
      <c r="T336" s="243"/>
      <c r="U336" s="243"/>
      <c r="V336" s="243"/>
      <c r="W336" s="243"/>
      <c r="X336" s="243"/>
      <c r="Y336" s="244"/>
      <c r="Z336" s="243"/>
      <c r="AA336" s="245"/>
      <c r="AB336" s="246"/>
      <c r="AC336" s="246"/>
      <c r="AD336" s="246"/>
      <c r="AE336" s="131"/>
      <c r="AF336" s="244"/>
      <c r="AG336" s="243"/>
      <c r="AH336" s="243"/>
      <c r="AI336" s="243"/>
      <c r="AJ336" s="243"/>
      <c r="AK336" s="243"/>
      <c r="AL336" s="243"/>
      <c r="AM336" s="243"/>
      <c r="AN336" s="243"/>
      <c r="AO336" s="243"/>
      <c r="AP336" s="243"/>
      <c r="AQ336" s="243"/>
      <c r="AR336" s="243"/>
      <c r="AS336" s="243"/>
      <c r="AT336" s="243"/>
      <c r="AU336" s="243"/>
      <c r="AV336" s="243"/>
      <c r="AW336" s="243"/>
      <c r="AX336" s="243"/>
      <c r="AY336" s="243"/>
      <c r="AZ336" s="243"/>
    </row>
    <row r="337" spans="1:52">
      <c r="A337" s="216" t="str">
        <f>IF(D337="","",VLOOKUP(G337,códigosORL!$H:$J,3,FALSE))</f>
        <v/>
      </c>
      <c r="B337" s="243"/>
      <c r="C337" s="259"/>
      <c r="D337" s="243"/>
      <c r="E337" s="243"/>
      <c r="F337" s="247"/>
      <c r="G337" s="243"/>
      <c r="H337" s="243"/>
      <c r="I337" s="243"/>
      <c r="J337" s="243"/>
      <c r="K337" s="243"/>
      <c r="L337" s="243"/>
      <c r="M337" s="243"/>
      <c r="N337" s="243"/>
      <c r="O337" s="243"/>
      <c r="P337" s="243"/>
      <c r="Q337" s="243"/>
      <c r="R337" s="243"/>
      <c r="S337" s="243"/>
      <c r="T337" s="243"/>
      <c r="U337" s="243"/>
      <c r="V337" s="243"/>
      <c r="W337" s="243"/>
      <c r="X337" s="243"/>
      <c r="Y337" s="244"/>
      <c r="Z337" s="243"/>
      <c r="AA337" s="245"/>
      <c r="AB337" s="246"/>
      <c r="AC337" s="246"/>
      <c r="AD337" s="246"/>
      <c r="AE337" s="131"/>
      <c r="AF337" s="244"/>
      <c r="AG337" s="243"/>
      <c r="AH337" s="243"/>
      <c r="AI337" s="243"/>
      <c r="AJ337" s="243"/>
      <c r="AK337" s="243"/>
      <c r="AL337" s="243"/>
      <c r="AM337" s="243"/>
      <c r="AN337" s="243"/>
      <c r="AO337" s="243"/>
      <c r="AP337" s="243"/>
      <c r="AQ337" s="243"/>
      <c r="AR337" s="243"/>
      <c r="AS337" s="243"/>
      <c r="AT337" s="243"/>
      <c r="AU337" s="243"/>
      <c r="AV337" s="243"/>
      <c r="AW337" s="243"/>
      <c r="AX337" s="243"/>
      <c r="AY337" s="243"/>
      <c r="AZ337" s="243"/>
    </row>
    <row r="338" spans="1:52">
      <c r="A338" s="216" t="str">
        <f>IF(D338="","",VLOOKUP(G338,códigosORL!$H:$J,3,FALSE))</f>
        <v/>
      </c>
      <c r="B338" s="243"/>
      <c r="C338" s="259"/>
      <c r="D338" s="243"/>
      <c r="E338" s="243"/>
      <c r="F338" s="247"/>
      <c r="G338" s="243"/>
      <c r="H338" s="243"/>
      <c r="I338" s="243"/>
      <c r="J338" s="243"/>
      <c r="K338" s="243"/>
      <c r="L338" s="243"/>
      <c r="M338" s="243"/>
      <c r="N338" s="243"/>
      <c r="O338" s="243"/>
      <c r="P338" s="243"/>
      <c r="Q338" s="243"/>
      <c r="R338" s="243"/>
      <c r="S338" s="243"/>
      <c r="T338" s="243"/>
      <c r="U338" s="243"/>
      <c r="V338" s="243"/>
      <c r="W338" s="243"/>
      <c r="X338" s="243"/>
      <c r="Y338" s="244"/>
      <c r="Z338" s="243"/>
      <c r="AA338" s="245"/>
      <c r="AB338" s="246"/>
      <c r="AC338" s="246"/>
      <c r="AD338" s="246"/>
      <c r="AE338" s="131"/>
      <c r="AF338" s="244"/>
      <c r="AG338" s="243"/>
      <c r="AH338" s="243"/>
      <c r="AI338" s="243"/>
      <c r="AJ338" s="243"/>
      <c r="AK338" s="243"/>
      <c r="AL338" s="243"/>
      <c r="AM338" s="243"/>
      <c r="AN338" s="243"/>
      <c r="AO338" s="243"/>
      <c r="AP338" s="243"/>
      <c r="AQ338" s="243"/>
      <c r="AR338" s="243"/>
      <c r="AS338" s="243"/>
      <c r="AT338" s="243"/>
      <c r="AU338" s="243"/>
      <c r="AV338" s="243"/>
      <c r="AW338" s="243"/>
      <c r="AX338" s="243"/>
      <c r="AY338" s="243"/>
      <c r="AZ338" s="243"/>
    </row>
    <row r="339" spans="1:52">
      <c r="A339" s="216" t="str">
        <f>IF(D339="","",VLOOKUP(G339,códigosORL!$H:$J,3,FALSE))</f>
        <v/>
      </c>
      <c r="B339" s="243"/>
      <c r="C339" s="259"/>
      <c r="D339" s="243"/>
      <c r="E339" s="243"/>
      <c r="F339" s="247"/>
      <c r="G339" s="243"/>
      <c r="H339" s="243"/>
      <c r="I339" s="243"/>
      <c r="J339" s="243"/>
      <c r="K339" s="243"/>
      <c r="L339" s="243"/>
      <c r="M339" s="243"/>
      <c r="N339" s="243"/>
      <c r="O339" s="243"/>
      <c r="P339" s="243"/>
      <c r="Q339" s="243"/>
      <c r="R339" s="243"/>
      <c r="S339" s="243"/>
      <c r="T339" s="243"/>
      <c r="U339" s="243"/>
      <c r="V339" s="243"/>
      <c r="W339" s="243"/>
      <c r="X339" s="243"/>
      <c r="Y339" s="244"/>
      <c r="Z339" s="243"/>
      <c r="AA339" s="245"/>
      <c r="AB339" s="246"/>
      <c r="AC339" s="246"/>
      <c r="AD339" s="246"/>
      <c r="AE339" s="131"/>
      <c r="AF339" s="244"/>
      <c r="AG339" s="243"/>
      <c r="AH339" s="243"/>
      <c r="AI339" s="243"/>
      <c r="AJ339" s="243"/>
      <c r="AK339" s="243"/>
      <c r="AL339" s="243"/>
      <c r="AM339" s="243"/>
      <c r="AN339" s="243"/>
      <c r="AO339" s="243"/>
      <c r="AP339" s="243"/>
      <c r="AQ339" s="243"/>
      <c r="AR339" s="243"/>
      <c r="AS339" s="243"/>
      <c r="AT339" s="243"/>
      <c r="AU339" s="243"/>
      <c r="AV339" s="243"/>
      <c r="AW339" s="243"/>
      <c r="AX339" s="243"/>
      <c r="AY339" s="243"/>
      <c r="AZ339" s="243"/>
    </row>
    <row r="340" spans="1:52">
      <c r="A340" s="216" t="str">
        <f>IF(D340="","",VLOOKUP(G340,códigosORL!$H:$J,3,FALSE))</f>
        <v/>
      </c>
      <c r="B340" s="243"/>
      <c r="C340" s="259"/>
      <c r="D340" s="243"/>
      <c r="E340" s="243"/>
      <c r="F340" s="247"/>
      <c r="G340" s="243"/>
      <c r="H340" s="243"/>
      <c r="I340" s="243"/>
      <c r="J340" s="243"/>
      <c r="K340" s="243"/>
      <c r="L340" s="243"/>
      <c r="M340" s="243"/>
      <c r="N340" s="243"/>
      <c r="O340" s="243"/>
      <c r="P340" s="243"/>
      <c r="Q340" s="243"/>
      <c r="R340" s="243"/>
      <c r="S340" s="243"/>
      <c r="T340" s="243"/>
      <c r="U340" s="243"/>
      <c r="V340" s="243"/>
      <c r="W340" s="243"/>
      <c r="X340" s="243"/>
      <c r="Y340" s="244"/>
      <c r="Z340" s="243"/>
      <c r="AA340" s="245"/>
      <c r="AB340" s="246"/>
      <c r="AC340" s="246"/>
      <c r="AD340" s="246"/>
      <c r="AE340" s="131"/>
      <c r="AF340" s="244"/>
      <c r="AG340" s="243"/>
      <c r="AH340" s="243"/>
      <c r="AI340" s="243"/>
      <c r="AJ340" s="243"/>
      <c r="AK340" s="243"/>
      <c r="AL340" s="243"/>
      <c r="AM340" s="243"/>
      <c r="AN340" s="243"/>
      <c r="AO340" s="243"/>
      <c r="AP340" s="243"/>
      <c r="AQ340" s="243"/>
      <c r="AR340" s="243"/>
      <c r="AS340" s="243"/>
      <c r="AT340" s="243"/>
      <c r="AU340" s="243"/>
      <c r="AV340" s="243"/>
      <c r="AW340" s="243"/>
      <c r="AX340" s="243"/>
      <c r="AY340" s="243"/>
      <c r="AZ340" s="243"/>
    </row>
    <row r="341" spans="1:52">
      <c r="A341" s="216" t="str">
        <f>IF(D341="","",VLOOKUP(G341,códigosORL!$H:$J,3,FALSE))</f>
        <v/>
      </c>
      <c r="B341" s="243"/>
      <c r="C341" s="259"/>
      <c r="D341" s="243"/>
      <c r="E341" s="243"/>
      <c r="F341" s="247"/>
      <c r="G341" s="243"/>
      <c r="H341" s="243"/>
      <c r="I341" s="243"/>
      <c r="J341" s="243"/>
      <c r="K341" s="243"/>
      <c r="L341" s="243"/>
      <c r="M341" s="243"/>
      <c r="N341" s="243"/>
      <c r="O341" s="243"/>
      <c r="P341" s="243"/>
      <c r="Q341" s="243"/>
      <c r="R341" s="243"/>
      <c r="S341" s="243"/>
      <c r="T341" s="243"/>
      <c r="U341" s="243"/>
      <c r="V341" s="243"/>
      <c r="W341" s="243"/>
      <c r="X341" s="243"/>
      <c r="Y341" s="244"/>
      <c r="Z341" s="243"/>
      <c r="AA341" s="245"/>
      <c r="AB341" s="246"/>
      <c r="AC341" s="246"/>
      <c r="AD341" s="246"/>
      <c r="AE341" s="131"/>
      <c r="AF341" s="244"/>
      <c r="AG341" s="243"/>
      <c r="AH341" s="243"/>
      <c r="AI341" s="243"/>
      <c r="AJ341" s="243"/>
      <c r="AK341" s="243"/>
      <c r="AL341" s="243"/>
      <c r="AM341" s="243"/>
      <c r="AN341" s="243"/>
      <c r="AO341" s="243"/>
      <c r="AP341" s="243"/>
      <c r="AQ341" s="243"/>
      <c r="AR341" s="243"/>
      <c r="AS341" s="243"/>
      <c r="AT341" s="243"/>
      <c r="AU341" s="243"/>
      <c r="AV341" s="243"/>
      <c r="AW341" s="243"/>
      <c r="AX341" s="243"/>
      <c r="AY341" s="243"/>
      <c r="AZ341" s="243"/>
    </row>
    <row r="342" spans="1:52">
      <c r="A342" s="216" t="str">
        <f>IF(D342="","",VLOOKUP(G342,códigosORL!$H:$J,3,FALSE))</f>
        <v/>
      </c>
      <c r="B342" s="243"/>
      <c r="C342" s="259"/>
      <c r="D342" s="243"/>
      <c r="E342" s="243"/>
      <c r="F342" s="247"/>
      <c r="G342" s="243"/>
      <c r="H342" s="243"/>
      <c r="I342" s="243"/>
      <c r="J342" s="243"/>
      <c r="K342" s="243"/>
      <c r="L342" s="243"/>
      <c r="M342" s="243"/>
      <c r="N342" s="243"/>
      <c r="O342" s="243"/>
      <c r="P342" s="243"/>
      <c r="Q342" s="243"/>
      <c r="R342" s="243"/>
      <c r="S342" s="243"/>
      <c r="T342" s="243"/>
      <c r="U342" s="243"/>
      <c r="V342" s="243"/>
      <c r="W342" s="243"/>
      <c r="X342" s="243"/>
      <c r="Y342" s="244"/>
      <c r="Z342" s="243"/>
      <c r="AA342" s="245"/>
      <c r="AB342" s="246"/>
      <c r="AC342" s="246"/>
      <c r="AD342" s="246"/>
      <c r="AE342" s="131"/>
      <c r="AF342" s="244"/>
      <c r="AG342" s="243"/>
      <c r="AH342" s="243"/>
      <c r="AI342" s="243"/>
      <c r="AJ342" s="243"/>
      <c r="AK342" s="243"/>
      <c r="AL342" s="243"/>
      <c r="AM342" s="243"/>
      <c r="AN342" s="243"/>
      <c r="AO342" s="243"/>
      <c r="AP342" s="243"/>
      <c r="AQ342" s="243"/>
      <c r="AR342" s="243"/>
      <c r="AS342" s="243"/>
      <c r="AT342" s="243"/>
      <c r="AU342" s="243"/>
      <c r="AV342" s="243"/>
      <c r="AW342" s="243"/>
      <c r="AX342" s="243"/>
      <c r="AY342" s="243"/>
      <c r="AZ342" s="243"/>
    </row>
    <row r="343" spans="1:52">
      <c r="A343" s="216" t="str">
        <f>IF(D343="","",VLOOKUP(G343,códigosORL!$H:$J,3,FALSE))</f>
        <v/>
      </c>
      <c r="B343" s="243"/>
      <c r="C343" s="259"/>
      <c r="D343" s="243"/>
      <c r="E343" s="243"/>
      <c r="F343" s="247"/>
      <c r="G343" s="243"/>
      <c r="H343" s="243"/>
      <c r="I343" s="243"/>
      <c r="J343" s="243"/>
      <c r="K343" s="243"/>
      <c r="L343" s="243"/>
      <c r="M343" s="243"/>
      <c r="N343" s="243"/>
      <c r="O343" s="243"/>
      <c r="P343" s="243"/>
      <c r="Q343" s="243"/>
      <c r="R343" s="243"/>
      <c r="S343" s="243"/>
      <c r="T343" s="243"/>
      <c r="U343" s="243"/>
      <c r="V343" s="243"/>
      <c r="W343" s="243"/>
      <c r="X343" s="243"/>
      <c r="Y343" s="244"/>
      <c r="Z343" s="243"/>
      <c r="AA343" s="245"/>
      <c r="AB343" s="246"/>
      <c r="AC343" s="246"/>
      <c r="AD343" s="246"/>
      <c r="AE343" s="131"/>
      <c r="AF343" s="244"/>
      <c r="AG343" s="243"/>
      <c r="AH343" s="243"/>
      <c r="AI343" s="243"/>
      <c r="AJ343" s="243"/>
      <c r="AK343" s="243"/>
      <c r="AL343" s="243"/>
      <c r="AM343" s="243"/>
      <c r="AN343" s="243"/>
      <c r="AO343" s="243"/>
      <c r="AP343" s="243"/>
      <c r="AQ343" s="243"/>
      <c r="AR343" s="243"/>
      <c r="AS343" s="243"/>
      <c r="AT343" s="243"/>
      <c r="AU343" s="243"/>
      <c r="AV343" s="243"/>
      <c r="AW343" s="243"/>
      <c r="AX343" s="243"/>
      <c r="AY343" s="243"/>
      <c r="AZ343" s="243"/>
    </row>
    <row r="344" spans="1:52">
      <c r="A344" s="216" t="str">
        <f>IF(D344="","",VLOOKUP(G344,códigosORL!$H:$J,3,FALSE))</f>
        <v/>
      </c>
      <c r="B344" s="243"/>
      <c r="C344" s="259"/>
      <c r="D344" s="243"/>
      <c r="E344" s="243"/>
      <c r="F344" s="247"/>
      <c r="G344" s="243"/>
      <c r="H344" s="243"/>
      <c r="I344" s="243"/>
      <c r="J344" s="243"/>
      <c r="K344" s="243"/>
      <c r="L344" s="243"/>
      <c r="M344" s="243"/>
      <c r="N344" s="243"/>
      <c r="O344" s="243"/>
      <c r="P344" s="243"/>
      <c r="Q344" s="243"/>
      <c r="R344" s="243"/>
      <c r="S344" s="243"/>
      <c r="T344" s="243"/>
      <c r="U344" s="243"/>
      <c r="V344" s="243"/>
      <c r="W344" s="243"/>
      <c r="X344" s="243"/>
      <c r="Y344" s="244"/>
      <c r="Z344" s="243"/>
      <c r="AA344" s="245"/>
      <c r="AB344" s="246"/>
      <c r="AC344" s="246"/>
      <c r="AD344" s="246"/>
      <c r="AE344" s="131"/>
      <c r="AF344" s="244"/>
      <c r="AG344" s="243"/>
      <c r="AH344" s="243"/>
      <c r="AI344" s="243"/>
      <c r="AJ344" s="243"/>
      <c r="AK344" s="243"/>
      <c r="AL344" s="243"/>
      <c r="AM344" s="243"/>
      <c r="AN344" s="243"/>
      <c r="AO344" s="243"/>
      <c r="AP344" s="243"/>
      <c r="AQ344" s="243"/>
      <c r="AR344" s="243"/>
      <c r="AS344" s="243"/>
      <c r="AT344" s="243"/>
      <c r="AU344" s="243"/>
      <c r="AV344" s="243"/>
      <c r="AW344" s="243"/>
      <c r="AX344" s="243"/>
      <c r="AY344" s="243"/>
      <c r="AZ344" s="243"/>
    </row>
    <row r="345" spans="1:52">
      <c r="A345" s="216" t="str">
        <f>IF(D345="","",VLOOKUP(G345,códigosORL!$H:$J,3,FALSE))</f>
        <v/>
      </c>
      <c r="B345" s="243"/>
      <c r="C345" s="259"/>
      <c r="D345" s="243"/>
      <c r="E345" s="243"/>
      <c r="F345" s="247"/>
      <c r="G345" s="243"/>
      <c r="H345" s="243"/>
      <c r="I345" s="243"/>
      <c r="J345" s="243"/>
      <c r="K345" s="243"/>
      <c r="L345" s="243"/>
      <c r="M345" s="243"/>
      <c r="N345" s="243"/>
      <c r="O345" s="243"/>
      <c r="P345" s="243"/>
      <c r="Q345" s="243"/>
      <c r="R345" s="243"/>
      <c r="S345" s="243"/>
      <c r="T345" s="243"/>
      <c r="U345" s="243"/>
      <c r="V345" s="243"/>
      <c r="W345" s="243"/>
      <c r="X345" s="243"/>
      <c r="Y345" s="244"/>
      <c r="Z345" s="243"/>
      <c r="AA345" s="245"/>
      <c r="AB345" s="246"/>
      <c r="AC345" s="246"/>
      <c r="AD345" s="246"/>
      <c r="AE345" s="131"/>
      <c r="AF345" s="244"/>
      <c r="AG345" s="243"/>
      <c r="AH345" s="243"/>
      <c r="AI345" s="243"/>
      <c r="AJ345" s="243"/>
      <c r="AK345" s="243"/>
      <c r="AL345" s="243"/>
      <c r="AM345" s="243"/>
      <c r="AN345" s="243"/>
      <c r="AO345" s="243"/>
      <c r="AP345" s="243"/>
      <c r="AQ345" s="243"/>
      <c r="AR345" s="243"/>
      <c r="AS345" s="243"/>
      <c r="AT345" s="243"/>
      <c r="AU345" s="243"/>
      <c r="AV345" s="243"/>
      <c r="AW345" s="243"/>
      <c r="AX345" s="243"/>
      <c r="AY345" s="243"/>
      <c r="AZ345" s="243"/>
    </row>
    <row r="346" spans="1:52">
      <c r="A346" s="216" t="str">
        <f>IF(D346="","",VLOOKUP(G346,códigosORL!$H:$J,3,FALSE))</f>
        <v/>
      </c>
      <c r="B346" s="243"/>
      <c r="C346" s="259"/>
      <c r="D346" s="243"/>
      <c r="E346" s="243"/>
      <c r="F346" s="247"/>
      <c r="G346" s="243"/>
      <c r="H346" s="243"/>
      <c r="I346" s="243"/>
      <c r="J346" s="243"/>
      <c r="K346" s="243"/>
      <c r="L346" s="243"/>
      <c r="M346" s="243"/>
      <c r="N346" s="243"/>
      <c r="O346" s="243"/>
      <c r="P346" s="243"/>
      <c r="Q346" s="243"/>
      <c r="R346" s="243"/>
      <c r="S346" s="243"/>
      <c r="T346" s="243"/>
      <c r="U346" s="243"/>
      <c r="V346" s="243"/>
      <c r="W346" s="243"/>
      <c r="X346" s="243"/>
      <c r="Y346" s="244"/>
      <c r="Z346" s="243"/>
      <c r="AA346" s="245"/>
      <c r="AB346" s="246"/>
      <c r="AC346" s="246"/>
      <c r="AD346" s="246"/>
      <c r="AE346" s="131"/>
      <c r="AF346" s="244"/>
      <c r="AG346" s="243"/>
      <c r="AH346" s="243"/>
      <c r="AI346" s="243"/>
      <c r="AJ346" s="243"/>
      <c r="AK346" s="243"/>
      <c r="AL346" s="243"/>
      <c r="AM346" s="243"/>
      <c r="AN346" s="243"/>
      <c r="AO346" s="243"/>
      <c r="AP346" s="243"/>
      <c r="AQ346" s="243"/>
      <c r="AR346" s="243"/>
      <c r="AS346" s="243"/>
      <c r="AT346" s="243"/>
      <c r="AU346" s="243"/>
      <c r="AV346" s="243"/>
      <c r="AW346" s="243"/>
      <c r="AX346" s="243"/>
      <c r="AY346" s="243"/>
      <c r="AZ346" s="243"/>
    </row>
    <row r="347" spans="1:52">
      <c r="A347" s="216" t="str">
        <f>IF(D347="","",VLOOKUP(G347,códigosORL!$H:$J,3,FALSE))</f>
        <v/>
      </c>
      <c r="B347" s="243"/>
      <c r="C347" s="259"/>
      <c r="D347" s="243"/>
      <c r="E347" s="243"/>
      <c r="F347" s="247"/>
      <c r="G347" s="243"/>
      <c r="H347" s="243"/>
      <c r="I347" s="243"/>
      <c r="J347" s="243"/>
      <c r="K347" s="243"/>
      <c r="L347" s="243"/>
      <c r="M347" s="243"/>
      <c r="N347" s="243"/>
      <c r="O347" s="243"/>
      <c r="P347" s="243"/>
      <c r="Q347" s="243"/>
      <c r="R347" s="243"/>
      <c r="S347" s="243"/>
      <c r="T347" s="243"/>
      <c r="U347" s="243"/>
      <c r="V347" s="243"/>
      <c r="W347" s="243"/>
      <c r="X347" s="243"/>
      <c r="Y347" s="244"/>
      <c r="Z347" s="243"/>
      <c r="AA347" s="245"/>
      <c r="AB347" s="246"/>
      <c r="AC347" s="246"/>
      <c r="AD347" s="246"/>
      <c r="AE347" s="131"/>
      <c r="AF347" s="244"/>
      <c r="AG347" s="243"/>
      <c r="AH347" s="243"/>
      <c r="AI347" s="243"/>
      <c r="AJ347" s="243"/>
      <c r="AK347" s="243"/>
      <c r="AL347" s="243"/>
      <c r="AM347" s="243"/>
      <c r="AN347" s="243"/>
      <c r="AO347" s="243"/>
      <c r="AP347" s="243"/>
      <c r="AQ347" s="243"/>
      <c r="AR347" s="243"/>
      <c r="AS347" s="243"/>
      <c r="AT347" s="243"/>
      <c r="AU347" s="243"/>
      <c r="AV347" s="243"/>
      <c r="AW347" s="243"/>
      <c r="AX347" s="243"/>
      <c r="AY347" s="243"/>
      <c r="AZ347" s="243"/>
    </row>
    <row r="348" spans="1:52">
      <c r="A348" s="216" t="str">
        <f>IF(D348="","",VLOOKUP(G348,códigosORL!$H:$J,3,FALSE))</f>
        <v/>
      </c>
      <c r="B348" s="243"/>
      <c r="C348" s="259"/>
      <c r="D348" s="243"/>
      <c r="E348" s="243"/>
      <c r="F348" s="247"/>
      <c r="G348" s="243"/>
      <c r="H348" s="243"/>
      <c r="I348" s="243"/>
      <c r="J348" s="243"/>
      <c r="K348" s="243"/>
      <c r="L348" s="243"/>
      <c r="M348" s="243"/>
      <c r="N348" s="243"/>
      <c r="O348" s="243"/>
      <c r="P348" s="243"/>
      <c r="Q348" s="243"/>
      <c r="R348" s="243"/>
      <c r="S348" s="243"/>
      <c r="T348" s="243"/>
      <c r="U348" s="243"/>
      <c r="V348" s="243"/>
      <c r="W348" s="243"/>
      <c r="X348" s="243"/>
      <c r="Y348" s="244"/>
      <c r="Z348" s="243"/>
      <c r="AA348" s="245"/>
      <c r="AB348" s="246"/>
      <c r="AC348" s="246"/>
      <c r="AD348" s="246"/>
      <c r="AE348" s="131"/>
      <c r="AF348" s="244"/>
      <c r="AG348" s="243"/>
      <c r="AH348" s="243"/>
      <c r="AI348" s="243"/>
      <c r="AJ348" s="243"/>
      <c r="AK348" s="243"/>
      <c r="AL348" s="243"/>
      <c r="AM348" s="243"/>
      <c r="AN348" s="243"/>
      <c r="AO348" s="243"/>
      <c r="AP348" s="243"/>
      <c r="AQ348" s="243"/>
      <c r="AR348" s="243"/>
      <c r="AS348" s="243"/>
      <c r="AT348" s="243"/>
      <c r="AU348" s="243"/>
      <c r="AV348" s="243"/>
      <c r="AW348" s="243"/>
      <c r="AX348" s="243"/>
      <c r="AY348" s="243"/>
      <c r="AZ348" s="243"/>
    </row>
    <row r="349" spans="1:52">
      <c r="A349" s="216" t="str">
        <f>IF(D349="","",VLOOKUP(G349,códigosORL!$H:$J,3,FALSE))</f>
        <v/>
      </c>
      <c r="B349" s="243"/>
      <c r="C349" s="259"/>
      <c r="D349" s="243"/>
      <c r="E349" s="243"/>
      <c r="F349" s="247"/>
      <c r="G349" s="243"/>
      <c r="H349" s="243"/>
      <c r="I349" s="243"/>
      <c r="J349" s="243"/>
      <c r="K349" s="243"/>
      <c r="L349" s="243"/>
      <c r="M349" s="243"/>
      <c r="N349" s="243"/>
      <c r="O349" s="243"/>
      <c r="P349" s="243"/>
      <c r="Q349" s="243"/>
      <c r="R349" s="243"/>
      <c r="S349" s="243"/>
      <c r="T349" s="243"/>
      <c r="U349" s="243"/>
      <c r="V349" s="243"/>
      <c r="W349" s="243"/>
      <c r="X349" s="243"/>
      <c r="Y349" s="244"/>
      <c r="Z349" s="243"/>
      <c r="AA349" s="245"/>
      <c r="AB349" s="246"/>
      <c r="AC349" s="246"/>
      <c r="AD349" s="246"/>
      <c r="AE349" s="131"/>
      <c r="AF349" s="244"/>
      <c r="AG349" s="243"/>
      <c r="AH349" s="243"/>
      <c r="AI349" s="243"/>
      <c r="AJ349" s="243"/>
      <c r="AK349" s="243"/>
      <c r="AL349" s="243"/>
      <c r="AM349" s="243"/>
      <c r="AN349" s="243"/>
      <c r="AO349" s="243"/>
      <c r="AP349" s="243"/>
      <c r="AQ349" s="243"/>
      <c r="AR349" s="243"/>
      <c r="AS349" s="243"/>
      <c r="AT349" s="243"/>
      <c r="AU349" s="243"/>
      <c r="AV349" s="243"/>
      <c r="AW349" s="243"/>
      <c r="AX349" s="243"/>
      <c r="AY349" s="243"/>
      <c r="AZ349" s="243"/>
    </row>
    <row r="350" spans="1:52">
      <c r="A350" s="216" t="str">
        <f>IF(D350="","",VLOOKUP(G350,códigosORL!$H:$J,3,FALSE))</f>
        <v/>
      </c>
      <c r="B350" s="243"/>
      <c r="C350" s="259"/>
      <c r="D350" s="243"/>
      <c r="E350" s="243"/>
      <c r="F350" s="247"/>
      <c r="G350" s="243"/>
      <c r="H350" s="243"/>
      <c r="I350" s="243"/>
      <c r="J350" s="243"/>
      <c r="K350" s="243"/>
      <c r="L350" s="243"/>
      <c r="M350" s="243"/>
      <c r="N350" s="243"/>
      <c r="O350" s="243"/>
      <c r="P350" s="243"/>
      <c r="Q350" s="243"/>
      <c r="R350" s="243"/>
      <c r="S350" s="243"/>
      <c r="T350" s="243"/>
      <c r="U350" s="243"/>
      <c r="V350" s="243"/>
      <c r="W350" s="243"/>
      <c r="X350" s="243"/>
      <c r="Y350" s="244"/>
      <c r="Z350" s="243"/>
      <c r="AA350" s="245"/>
      <c r="AB350" s="246"/>
      <c r="AC350" s="246"/>
      <c r="AD350" s="246"/>
      <c r="AE350" s="131"/>
      <c r="AF350" s="244"/>
      <c r="AG350" s="243"/>
      <c r="AH350" s="243"/>
      <c r="AI350" s="243"/>
      <c r="AJ350" s="243"/>
      <c r="AK350" s="243"/>
      <c r="AL350" s="243"/>
      <c r="AM350" s="243"/>
      <c r="AN350" s="243"/>
      <c r="AO350" s="243"/>
      <c r="AP350" s="243"/>
      <c r="AQ350" s="243"/>
      <c r="AR350" s="243"/>
      <c r="AS350" s="243"/>
      <c r="AT350" s="243"/>
      <c r="AU350" s="243"/>
      <c r="AV350" s="243"/>
      <c r="AW350" s="243"/>
      <c r="AX350" s="243"/>
      <c r="AY350" s="243"/>
      <c r="AZ350" s="243"/>
    </row>
    <row r="351" spans="1:52">
      <c r="A351" s="216" t="str">
        <f>IF(D351="","",VLOOKUP(G351,códigosORL!$H:$J,3,FALSE))</f>
        <v/>
      </c>
      <c r="B351" s="243"/>
      <c r="C351" s="259"/>
      <c r="D351" s="243"/>
      <c r="E351" s="243"/>
      <c r="F351" s="247"/>
      <c r="G351" s="243"/>
      <c r="H351" s="243"/>
      <c r="I351" s="243"/>
      <c r="J351" s="243"/>
      <c r="K351" s="243"/>
      <c r="L351" s="243"/>
      <c r="M351" s="243"/>
      <c r="N351" s="243"/>
      <c r="O351" s="243"/>
      <c r="P351" s="243"/>
      <c r="Q351" s="243"/>
      <c r="R351" s="243"/>
      <c r="S351" s="243"/>
      <c r="T351" s="243"/>
      <c r="U351" s="243"/>
      <c r="V351" s="243"/>
      <c r="W351" s="243"/>
      <c r="X351" s="243"/>
      <c r="Y351" s="244"/>
      <c r="Z351" s="243"/>
      <c r="AA351" s="245"/>
      <c r="AB351" s="246"/>
      <c r="AC351" s="246"/>
      <c r="AD351" s="246"/>
      <c r="AE351" s="131"/>
      <c r="AF351" s="244"/>
      <c r="AG351" s="243"/>
      <c r="AH351" s="243"/>
      <c r="AI351" s="243"/>
      <c r="AJ351" s="243"/>
      <c r="AK351" s="243"/>
      <c r="AL351" s="243"/>
      <c r="AM351" s="243"/>
      <c r="AN351" s="243"/>
      <c r="AO351" s="243"/>
      <c r="AP351" s="243"/>
      <c r="AQ351" s="243"/>
      <c r="AR351" s="243"/>
      <c r="AS351" s="243"/>
      <c r="AT351" s="243"/>
      <c r="AU351" s="243"/>
      <c r="AV351" s="243"/>
      <c r="AW351" s="243"/>
      <c r="AX351" s="243"/>
      <c r="AY351" s="243"/>
      <c r="AZ351" s="243"/>
    </row>
    <row r="352" spans="1:52">
      <c r="A352" s="216" t="str">
        <f>IF(D352="","",VLOOKUP(G352,códigosORL!$H:$J,3,FALSE))</f>
        <v/>
      </c>
      <c r="B352" s="243"/>
      <c r="C352" s="259"/>
      <c r="D352" s="243"/>
      <c r="E352" s="243"/>
      <c r="F352" s="247"/>
      <c r="G352" s="243"/>
      <c r="H352" s="243"/>
      <c r="I352" s="243"/>
      <c r="J352" s="243"/>
      <c r="K352" s="243"/>
      <c r="L352" s="243"/>
      <c r="M352" s="243"/>
      <c r="N352" s="243"/>
      <c r="O352" s="243"/>
      <c r="P352" s="243"/>
      <c r="Q352" s="243"/>
      <c r="R352" s="243"/>
      <c r="S352" s="243"/>
      <c r="T352" s="243"/>
      <c r="U352" s="243"/>
      <c r="V352" s="243"/>
      <c r="W352" s="243"/>
      <c r="X352" s="243"/>
      <c r="Y352" s="244"/>
      <c r="Z352" s="243"/>
      <c r="AA352" s="245"/>
      <c r="AB352" s="246"/>
      <c r="AC352" s="246"/>
      <c r="AD352" s="246"/>
      <c r="AE352" s="131"/>
      <c r="AF352" s="244"/>
      <c r="AG352" s="243"/>
      <c r="AH352" s="243"/>
      <c r="AI352" s="243"/>
      <c r="AJ352" s="243"/>
      <c r="AK352" s="243"/>
      <c r="AL352" s="243"/>
      <c r="AM352" s="243"/>
      <c r="AN352" s="243"/>
      <c r="AO352" s="243"/>
      <c r="AP352" s="243"/>
      <c r="AQ352" s="243"/>
      <c r="AR352" s="243"/>
      <c r="AS352" s="243"/>
      <c r="AT352" s="243"/>
      <c r="AU352" s="243"/>
      <c r="AV352" s="243"/>
      <c r="AW352" s="243"/>
      <c r="AX352" s="243"/>
      <c r="AY352" s="243"/>
      <c r="AZ352" s="243"/>
    </row>
    <row r="353" spans="1:52">
      <c r="A353" s="216" t="str">
        <f>IF(D353="","",VLOOKUP(G353,códigosORL!$H:$J,3,FALSE))</f>
        <v/>
      </c>
      <c r="B353" s="243"/>
      <c r="C353" s="259"/>
      <c r="D353" s="243"/>
      <c r="E353" s="243"/>
      <c r="F353" s="247"/>
      <c r="G353" s="243"/>
      <c r="H353" s="243"/>
      <c r="I353" s="243"/>
      <c r="J353" s="243"/>
      <c r="K353" s="243"/>
      <c r="L353" s="243"/>
      <c r="M353" s="243"/>
      <c r="N353" s="243"/>
      <c r="O353" s="243"/>
      <c r="P353" s="243"/>
      <c r="Q353" s="243"/>
      <c r="R353" s="243"/>
      <c r="S353" s="243"/>
      <c r="T353" s="243"/>
      <c r="U353" s="243"/>
      <c r="V353" s="243"/>
      <c r="W353" s="243"/>
      <c r="X353" s="243"/>
      <c r="Y353" s="244"/>
      <c r="Z353" s="243"/>
      <c r="AA353" s="245"/>
      <c r="AB353" s="246"/>
      <c r="AC353" s="246"/>
      <c r="AD353" s="246"/>
      <c r="AE353" s="131"/>
      <c r="AF353" s="244"/>
      <c r="AG353" s="243"/>
      <c r="AH353" s="243"/>
      <c r="AI353" s="243"/>
      <c r="AJ353" s="243"/>
      <c r="AK353" s="243"/>
      <c r="AL353" s="243"/>
      <c r="AM353" s="243"/>
      <c r="AN353" s="243"/>
      <c r="AO353" s="243"/>
      <c r="AP353" s="243"/>
      <c r="AQ353" s="243"/>
      <c r="AR353" s="243"/>
      <c r="AS353" s="243"/>
      <c r="AT353" s="243"/>
      <c r="AU353" s="243"/>
      <c r="AV353" s="243"/>
      <c r="AW353" s="243"/>
      <c r="AX353" s="243"/>
      <c r="AY353" s="243"/>
      <c r="AZ353" s="243"/>
    </row>
    <row r="354" spans="1:52">
      <c r="A354" s="216" t="str">
        <f>IF(D354="","",VLOOKUP(G354,códigosORL!$H:$J,3,FALSE))</f>
        <v/>
      </c>
      <c r="B354" s="243"/>
      <c r="C354" s="259"/>
      <c r="D354" s="243"/>
      <c r="E354" s="243"/>
      <c r="F354" s="247"/>
      <c r="G354" s="243"/>
      <c r="H354" s="243"/>
      <c r="I354" s="243"/>
      <c r="J354" s="243"/>
      <c r="K354" s="243"/>
      <c r="L354" s="243"/>
      <c r="M354" s="243"/>
      <c r="N354" s="243"/>
      <c r="O354" s="243"/>
      <c r="P354" s="243"/>
      <c r="Q354" s="243"/>
      <c r="R354" s="243"/>
      <c r="S354" s="243"/>
      <c r="T354" s="243"/>
      <c r="U354" s="243"/>
      <c r="V354" s="243"/>
      <c r="W354" s="243"/>
      <c r="X354" s="243"/>
      <c r="Y354" s="244"/>
      <c r="Z354" s="243"/>
      <c r="AA354" s="245"/>
      <c r="AB354" s="246"/>
      <c r="AC354" s="246"/>
      <c r="AD354" s="246"/>
      <c r="AE354" s="131"/>
      <c r="AF354" s="244"/>
      <c r="AG354" s="243"/>
      <c r="AH354" s="243"/>
      <c r="AI354" s="243"/>
      <c r="AJ354" s="243"/>
      <c r="AK354" s="243"/>
      <c r="AL354" s="243"/>
      <c r="AM354" s="243"/>
      <c r="AN354" s="243"/>
      <c r="AO354" s="243"/>
      <c r="AP354" s="243"/>
      <c r="AQ354" s="243"/>
      <c r="AR354" s="243"/>
      <c r="AS354" s="243"/>
      <c r="AT354" s="243"/>
      <c r="AU354" s="243"/>
      <c r="AV354" s="243"/>
      <c r="AW354" s="243"/>
      <c r="AX354" s="243"/>
      <c r="AY354" s="243"/>
      <c r="AZ354" s="243"/>
    </row>
    <row r="355" spans="1:52">
      <c r="A355" s="216" t="str">
        <f>IF(D355="","",VLOOKUP(G355,códigosORL!$H:$J,3,FALSE))</f>
        <v/>
      </c>
      <c r="B355" s="243"/>
      <c r="C355" s="259"/>
      <c r="D355" s="243"/>
      <c r="E355" s="243"/>
      <c r="F355" s="247"/>
      <c r="G355" s="243"/>
      <c r="H355" s="243"/>
      <c r="I355" s="243"/>
      <c r="J355" s="243"/>
      <c r="K355" s="243"/>
      <c r="L355" s="243"/>
      <c r="M355" s="243"/>
      <c r="N355" s="243"/>
      <c r="O355" s="243"/>
      <c r="P355" s="243"/>
      <c r="Q355" s="243"/>
      <c r="R355" s="243"/>
      <c r="S355" s="243"/>
      <c r="T355" s="243"/>
      <c r="U355" s="243"/>
      <c r="V355" s="243"/>
      <c r="W355" s="243"/>
      <c r="X355" s="243"/>
      <c r="Y355" s="244"/>
      <c r="Z355" s="243"/>
      <c r="AA355" s="245"/>
      <c r="AB355" s="246"/>
      <c r="AC355" s="246"/>
      <c r="AD355" s="246"/>
      <c r="AE355" s="131"/>
      <c r="AF355" s="244"/>
      <c r="AG355" s="243"/>
      <c r="AH355" s="243"/>
      <c r="AI355" s="243"/>
      <c r="AJ355" s="243"/>
      <c r="AK355" s="243"/>
      <c r="AL355" s="243"/>
      <c r="AM355" s="243"/>
      <c r="AN355" s="243"/>
      <c r="AO355" s="243"/>
      <c r="AP355" s="243"/>
      <c r="AQ355" s="243"/>
      <c r="AR355" s="243"/>
      <c r="AS355" s="243"/>
      <c r="AT355" s="243"/>
      <c r="AU355" s="243"/>
      <c r="AV355" s="243"/>
      <c r="AW355" s="243"/>
      <c r="AX355" s="243"/>
      <c r="AY355" s="243"/>
      <c r="AZ355" s="243"/>
    </row>
    <row r="356" spans="1:52">
      <c r="A356" s="216" t="str">
        <f>IF(D356="","",VLOOKUP(G356,códigosORL!$H:$J,3,FALSE))</f>
        <v/>
      </c>
      <c r="B356" s="243"/>
      <c r="C356" s="259"/>
      <c r="D356" s="243"/>
      <c r="E356" s="243"/>
      <c r="F356" s="247"/>
      <c r="G356" s="243"/>
      <c r="H356" s="243"/>
      <c r="I356" s="243"/>
      <c r="J356" s="243"/>
      <c r="K356" s="243"/>
      <c r="L356" s="243"/>
      <c r="M356" s="243"/>
      <c r="N356" s="243"/>
      <c r="O356" s="243"/>
      <c r="P356" s="243"/>
      <c r="Q356" s="243"/>
      <c r="R356" s="243"/>
      <c r="S356" s="243"/>
      <c r="T356" s="243"/>
      <c r="U356" s="243"/>
      <c r="V356" s="243"/>
      <c r="W356" s="243"/>
      <c r="X356" s="243"/>
      <c r="Y356" s="244"/>
      <c r="Z356" s="243"/>
      <c r="AA356" s="245"/>
      <c r="AB356" s="246"/>
      <c r="AC356" s="246"/>
      <c r="AD356" s="246"/>
      <c r="AE356" s="131"/>
      <c r="AF356" s="244"/>
      <c r="AG356" s="243"/>
      <c r="AH356" s="243"/>
      <c r="AI356" s="243"/>
      <c r="AJ356" s="243"/>
      <c r="AK356" s="243"/>
      <c r="AL356" s="243"/>
      <c r="AM356" s="243"/>
      <c r="AN356" s="243"/>
      <c r="AO356" s="243"/>
      <c r="AP356" s="243"/>
      <c r="AQ356" s="243"/>
      <c r="AR356" s="243"/>
      <c r="AS356" s="243"/>
      <c r="AT356" s="243"/>
      <c r="AU356" s="243"/>
      <c r="AV356" s="243"/>
      <c r="AW356" s="243"/>
      <c r="AX356" s="243"/>
      <c r="AY356" s="243"/>
      <c r="AZ356" s="243"/>
    </row>
    <row r="357" spans="1:52">
      <c r="A357" s="216" t="str">
        <f>IF(D357="","",VLOOKUP(G357,códigosORL!$H:$J,3,FALSE))</f>
        <v/>
      </c>
      <c r="B357" s="243"/>
      <c r="C357" s="259"/>
      <c r="D357" s="243"/>
      <c r="E357" s="243"/>
      <c r="F357" s="247"/>
      <c r="G357" s="243"/>
      <c r="H357" s="243"/>
      <c r="I357" s="243"/>
      <c r="J357" s="243"/>
      <c r="K357" s="243"/>
      <c r="L357" s="243"/>
      <c r="M357" s="243"/>
      <c r="N357" s="243"/>
      <c r="O357" s="243"/>
      <c r="P357" s="243"/>
      <c r="Q357" s="243"/>
      <c r="R357" s="243"/>
      <c r="S357" s="243"/>
      <c r="T357" s="243"/>
      <c r="U357" s="243"/>
      <c r="V357" s="243"/>
      <c r="W357" s="243"/>
      <c r="X357" s="243"/>
      <c r="Y357" s="244"/>
      <c r="Z357" s="243"/>
      <c r="AA357" s="245"/>
      <c r="AB357" s="246"/>
      <c r="AC357" s="246"/>
      <c r="AD357" s="246"/>
      <c r="AE357" s="131"/>
      <c r="AF357" s="244"/>
      <c r="AG357" s="243"/>
      <c r="AH357" s="243"/>
      <c r="AI357" s="243"/>
      <c r="AJ357" s="243"/>
      <c r="AK357" s="243"/>
      <c r="AL357" s="243"/>
      <c r="AM357" s="243"/>
      <c r="AN357" s="243"/>
      <c r="AO357" s="243"/>
      <c r="AP357" s="243"/>
      <c r="AQ357" s="243"/>
      <c r="AR357" s="243"/>
      <c r="AS357" s="243"/>
      <c r="AT357" s="243"/>
      <c r="AU357" s="243"/>
      <c r="AV357" s="243"/>
      <c r="AW357" s="243"/>
      <c r="AX357" s="243"/>
      <c r="AY357" s="243"/>
      <c r="AZ357" s="243"/>
    </row>
    <row r="358" spans="1:52">
      <c r="A358" s="216" t="str">
        <f>IF(D358="","",VLOOKUP(G358,códigosORL!$H:$J,3,FALSE))</f>
        <v/>
      </c>
      <c r="B358" s="243"/>
      <c r="C358" s="259"/>
      <c r="D358" s="243"/>
      <c r="E358" s="243"/>
      <c r="F358" s="247"/>
      <c r="G358" s="243"/>
      <c r="H358" s="243"/>
      <c r="I358" s="243"/>
      <c r="J358" s="243"/>
      <c r="K358" s="243"/>
      <c r="L358" s="243"/>
      <c r="M358" s="243"/>
      <c r="N358" s="243"/>
      <c r="O358" s="243"/>
      <c r="P358" s="243"/>
      <c r="Q358" s="243"/>
      <c r="R358" s="243"/>
      <c r="S358" s="243"/>
      <c r="T358" s="243"/>
      <c r="U358" s="243"/>
      <c r="V358" s="243"/>
      <c r="W358" s="243"/>
      <c r="X358" s="243"/>
      <c r="Y358" s="244"/>
      <c r="Z358" s="243"/>
      <c r="AA358" s="245"/>
      <c r="AB358" s="246"/>
      <c r="AC358" s="246"/>
      <c r="AD358" s="246"/>
      <c r="AE358" s="131"/>
      <c r="AF358" s="244"/>
      <c r="AG358" s="243"/>
      <c r="AH358" s="243"/>
      <c r="AI358" s="243"/>
      <c r="AJ358" s="243"/>
      <c r="AK358" s="243"/>
      <c r="AL358" s="243"/>
      <c r="AM358" s="243"/>
      <c r="AN358" s="243"/>
      <c r="AO358" s="243"/>
      <c r="AP358" s="243"/>
      <c r="AQ358" s="243"/>
      <c r="AR358" s="243"/>
      <c r="AS358" s="243"/>
      <c r="AT358" s="243"/>
      <c r="AU358" s="243"/>
      <c r="AV358" s="243"/>
      <c r="AW358" s="243"/>
      <c r="AX358" s="243"/>
      <c r="AY358" s="243"/>
      <c r="AZ358" s="243"/>
    </row>
    <row r="359" spans="1:52">
      <c r="A359" s="216" t="str">
        <f>IF(D359="","",VLOOKUP(G359,códigosORL!$H:$J,3,FALSE))</f>
        <v/>
      </c>
      <c r="B359" s="243"/>
      <c r="C359" s="259"/>
      <c r="D359" s="243"/>
      <c r="E359" s="243"/>
      <c r="F359" s="247"/>
      <c r="G359" s="243"/>
      <c r="H359" s="243"/>
      <c r="I359" s="243"/>
      <c r="J359" s="243"/>
      <c r="K359" s="243"/>
      <c r="L359" s="243"/>
      <c r="M359" s="243"/>
      <c r="N359" s="243"/>
      <c r="O359" s="243"/>
      <c r="P359" s="243"/>
      <c r="Q359" s="243"/>
      <c r="R359" s="243"/>
      <c r="S359" s="243"/>
      <c r="T359" s="243"/>
      <c r="U359" s="243"/>
      <c r="V359" s="243"/>
      <c r="W359" s="243"/>
      <c r="X359" s="243"/>
      <c r="Y359" s="244"/>
      <c r="Z359" s="243"/>
      <c r="AA359" s="245"/>
      <c r="AB359" s="246"/>
      <c r="AC359" s="246"/>
      <c r="AD359" s="246"/>
      <c r="AE359" s="131"/>
      <c r="AF359" s="244"/>
      <c r="AG359" s="243"/>
      <c r="AH359" s="243"/>
      <c r="AI359" s="243"/>
      <c r="AJ359" s="243"/>
      <c r="AK359" s="243"/>
      <c r="AL359" s="243"/>
      <c r="AM359" s="243"/>
      <c r="AN359" s="243"/>
      <c r="AO359" s="243"/>
      <c r="AP359" s="243"/>
      <c r="AQ359" s="243"/>
      <c r="AR359" s="243"/>
      <c r="AS359" s="243"/>
      <c r="AT359" s="243"/>
      <c r="AU359" s="243"/>
      <c r="AV359" s="243"/>
      <c r="AW359" s="243"/>
      <c r="AX359" s="243"/>
      <c r="AY359" s="243"/>
      <c r="AZ359" s="243"/>
    </row>
    <row r="360" spans="1:52">
      <c r="A360" s="216" t="str">
        <f>IF(D360="","",VLOOKUP(G360,códigosORL!$H:$J,3,FALSE))</f>
        <v/>
      </c>
      <c r="B360" s="243"/>
      <c r="C360" s="259"/>
      <c r="D360" s="243"/>
      <c r="E360" s="243"/>
      <c r="F360" s="247"/>
      <c r="G360" s="243"/>
      <c r="H360" s="243"/>
      <c r="I360" s="243"/>
      <c r="J360" s="243"/>
      <c r="K360" s="243"/>
      <c r="L360" s="243"/>
      <c r="M360" s="243"/>
      <c r="N360" s="243"/>
      <c r="O360" s="243"/>
      <c r="P360" s="243"/>
      <c r="Q360" s="243"/>
      <c r="R360" s="243"/>
      <c r="S360" s="243"/>
      <c r="T360" s="243"/>
      <c r="U360" s="243"/>
      <c r="V360" s="243"/>
      <c r="W360" s="243"/>
      <c r="X360" s="243"/>
      <c r="Y360" s="244"/>
      <c r="Z360" s="243"/>
      <c r="AA360" s="245"/>
      <c r="AB360" s="246"/>
      <c r="AC360" s="246"/>
      <c r="AD360" s="246"/>
      <c r="AE360" s="131"/>
      <c r="AF360" s="244"/>
      <c r="AG360" s="243"/>
      <c r="AH360" s="243"/>
      <c r="AI360" s="243"/>
      <c r="AJ360" s="243"/>
      <c r="AK360" s="243"/>
      <c r="AL360" s="243"/>
      <c r="AM360" s="243"/>
      <c r="AN360" s="243"/>
      <c r="AO360" s="243"/>
      <c r="AP360" s="243"/>
      <c r="AQ360" s="243"/>
      <c r="AR360" s="243"/>
      <c r="AS360" s="243"/>
      <c r="AT360" s="243"/>
      <c r="AU360" s="243"/>
      <c r="AV360" s="243"/>
      <c r="AW360" s="243"/>
      <c r="AX360" s="243"/>
      <c r="AY360" s="243"/>
      <c r="AZ360" s="243"/>
    </row>
    <row r="361" spans="1:52">
      <c r="A361" s="216" t="str">
        <f>IF(D361="","",VLOOKUP(G361,códigosORL!$H:$J,3,FALSE))</f>
        <v/>
      </c>
      <c r="B361" s="243"/>
      <c r="C361" s="259"/>
      <c r="D361" s="243"/>
      <c r="E361" s="243"/>
      <c r="F361" s="247"/>
      <c r="G361" s="243"/>
      <c r="H361" s="243"/>
      <c r="I361" s="243"/>
      <c r="J361" s="243"/>
      <c r="K361" s="243"/>
      <c r="L361" s="243"/>
      <c r="M361" s="243"/>
      <c r="N361" s="243"/>
      <c r="O361" s="243"/>
      <c r="P361" s="243"/>
      <c r="Q361" s="243"/>
      <c r="R361" s="243"/>
      <c r="S361" s="243"/>
      <c r="T361" s="243"/>
      <c r="U361" s="243"/>
      <c r="V361" s="243"/>
      <c r="W361" s="243"/>
      <c r="X361" s="243"/>
      <c r="Y361" s="244"/>
      <c r="Z361" s="243"/>
      <c r="AA361" s="245"/>
      <c r="AB361" s="246"/>
      <c r="AC361" s="246"/>
      <c r="AD361" s="246"/>
      <c r="AE361" s="131"/>
      <c r="AF361" s="244"/>
      <c r="AG361" s="243"/>
      <c r="AH361" s="243"/>
      <c r="AI361" s="243"/>
      <c r="AJ361" s="243"/>
      <c r="AK361" s="243"/>
      <c r="AL361" s="243"/>
      <c r="AM361" s="243"/>
      <c r="AN361" s="243"/>
      <c r="AO361" s="243"/>
      <c r="AP361" s="243"/>
      <c r="AQ361" s="243"/>
      <c r="AR361" s="243"/>
      <c r="AS361" s="243"/>
      <c r="AT361" s="243"/>
      <c r="AU361" s="243"/>
      <c r="AV361" s="243"/>
      <c r="AW361" s="243"/>
      <c r="AX361" s="243"/>
      <c r="AY361" s="243"/>
      <c r="AZ361" s="243"/>
    </row>
    <row r="362" spans="1:52">
      <c r="A362" s="216" t="str">
        <f>IF(D362="","",VLOOKUP(G362,códigosORL!$H:$J,3,FALSE))</f>
        <v/>
      </c>
      <c r="B362" s="243"/>
      <c r="C362" s="259"/>
      <c r="D362" s="243"/>
      <c r="E362" s="243"/>
      <c r="F362" s="247"/>
      <c r="G362" s="243"/>
      <c r="H362" s="243"/>
      <c r="I362" s="243"/>
      <c r="J362" s="243"/>
      <c r="K362" s="243"/>
      <c r="L362" s="243"/>
      <c r="M362" s="243"/>
      <c r="N362" s="243"/>
      <c r="O362" s="243"/>
      <c r="P362" s="243"/>
      <c r="Q362" s="243"/>
      <c r="R362" s="243"/>
      <c r="S362" s="243"/>
      <c r="T362" s="243"/>
      <c r="U362" s="243"/>
      <c r="V362" s="243"/>
      <c r="W362" s="243"/>
      <c r="X362" s="243"/>
      <c r="Y362" s="244"/>
      <c r="Z362" s="243"/>
      <c r="AA362" s="245"/>
      <c r="AB362" s="246"/>
      <c r="AC362" s="246"/>
      <c r="AD362" s="246"/>
      <c r="AE362" s="131"/>
      <c r="AF362" s="244"/>
      <c r="AG362" s="243"/>
      <c r="AH362" s="243"/>
      <c r="AI362" s="243"/>
      <c r="AJ362" s="243"/>
      <c r="AK362" s="243"/>
      <c r="AL362" s="243"/>
      <c r="AM362" s="243"/>
      <c r="AN362" s="243"/>
      <c r="AO362" s="243"/>
      <c r="AP362" s="243"/>
      <c r="AQ362" s="243"/>
      <c r="AR362" s="243"/>
      <c r="AS362" s="243"/>
      <c r="AT362" s="243"/>
      <c r="AU362" s="243"/>
      <c r="AV362" s="243"/>
      <c r="AW362" s="243"/>
      <c r="AX362" s="243"/>
      <c r="AY362" s="243"/>
      <c r="AZ362" s="243"/>
    </row>
    <row r="363" spans="1:52">
      <c r="A363" s="216" t="str">
        <f>IF(D363="","",VLOOKUP(G363,códigosORL!$H:$J,3,FALSE))</f>
        <v/>
      </c>
      <c r="B363" s="243"/>
      <c r="C363" s="259"/>
      <c r="D363" s="243"/>
      <c r="E363" s="243"/>
      <c r="F363" s="247"/>
      <c r="G363" s="243"/>
      <c r="H363" s="243"/>
      <c r="I363" s="243"/>
      <c r="J363" s="243"/>
      <c r="K363" s="243"/>
      <c r="L363" s="243"/>
      <c r="M363" s="243"/>
      <c r="N363" s="243"/>
      <c r="O363" s="243"/>
      <c r="P363" s="243"/>
      <c r="Q363" s="243"/>
      <c r="R363" s="243"/>
      <c r="S363" s="243"/>
      <c r="T363" s="243"/>
      <c r="U363" s="243"/>
      <c r="V363" s="243"/>
      <c r="W363" s="243"/>
      <c r="X363" s="243"/>
      <c r="Y363" s="244"/>
      <c r="Z363" s="243"/>
      <c r="AA363" s="245"/>
      <c r="AB363" s="246"/>
      <c r="AC363" s="246"/>
      <c r="AD363" s="246"/>
      <c r="AE363" s="131"/>
      <c r="AF363" s="244"/>
      <c r="AG363" s="243"/>
      <c r="AH363" s="243"/>
      <c r="AI363" s="243"/>
      <c r="AJ363" s="243"/>
      <c r="AK363" s="243"/>
      <c r="AL363" s="243"/>
      <c r="AM363" s="243"/>
      <c r="AN363" s="243"/>
      <c r="AO363" s="243"/>
      <c r="AP363" s="243"/>
      <c r="AQ363" s="243"/>
      <c r="AR363" s="243"/>
      <c r="AS363" s="243"/>
      <c r="AT363" s="243"/>
      <c r="AU363" s="243"/>
      <c r="AV363" s="243"/>
      <c r="AW363" s="243"/>
      <c r="AX363" s="243"/>
      <c r="AY363" s="243"/>
      <c r="AZ363" s="243"/>
    </row>
    <row r="364" spans="1:52">
      <c r="A364" s="216" t="str">
        <f>IF(D364="","",VLOOKUP(G364,códigosORL!$H:$J,3,FALSE))</f>
        <v/>
      </c>
      <c r="B364" s="243"/>
      <c r="C364" s="259"/>
      <c r="D364" s="243"/>
      <c r="E364" s="243"/>
      <c r="F364" s="247"/>
      <c r="G364" s="243"/>
      <c r="H364" s="243"/>
      <c r="I364" s="243"/>
      <c r="J364" s="243"/>
      <c r="K364" s="243"/>
      <c r="L364" s="243"/>
      <c r="M364" s="243"/>
      <c r="N364" s="243"/>
      <c r="O364" s="243"/>
      <c r="P364" s="243"/>
      <c r="Q364" s="243"/>
      <c r="R364" s="243"/>
      <c r="S364" s="243"/>
      <c r="T364" s="243"/>
      <c r="U364" s="243"/>
      <c r="V364" s="243"/>
      <c r="W364" s="243"/>
      <c r="X364" s="243"/>
      <c r="Y364" s="244"/>
      <c r="Z364" s="243"/>
      <c r="AA364" s="245"/>
      <c r="AB364" s="246"/>
      <c r="AC364" s="246"/>
      <c r="AD364" s="246"/>
      <c r="AE364" s="131"/>
      <c r="AF364" s="244"/>
      <c r="AG364" s="243"/>
      <c r="AH364" s="243"/>
      <c r="AI364" s="243"/>
      <c r="AJ364" s="243"/>
      <c r="AK364" s="243"/>
      <c r="AL364" s="243"/>
      <c r="AM364" s="243"/>
      <c r="AN364" s="243"/>
      <c r="AO364" s="243"/>
      <c r="AP364" s="243"/>
      <c r="AQ364" s="243"/>
      <c r="AR364" s="243"/>
      <c r="AS364" s="243"/>
      <c r="AT364" s="243"/>
      <c r="AU364" s="243"/>
      <c r="AV364" s="243"/>
      <c r="AW364" s="243"/>
      <c r="AX364" s="243"/>
      <c r="AY364" s="243"/>
      <c r="AZ364" s="243"/>
    </row>
    <row r="365" spans="1:52">
      <c r="A365" s="216" t="str">
        <f>IF(D365="","",VLOOKUP(G365,códigosORL!$H:$J,3,FALSE))</f>
        <v/>
      </c>
      <c r="B365" s="243"/>
      <c r="C365" s="259"/>
      <c r="D365" s="243"/>
      <c r="E365" s="243"/>
      <c r="F365" s="247"/>
      <c r="G365" s="243"/>
      <c r="H365" s="243"/>
      <c r="I365" s="243"/>
      <c r="J365" s="243"/>
      <c r="K365" s="243"/>
      <c r="L365" s="243"/>
      <c r="M365" s="243"/>
      <c r="N365" s="243"/>
      <c r="O365" s="243"/>
      <c r="P365" s="243"/>
      <c r="Q365" s="243"/>
      <c r="R365" s="243"/>
      <c r="S365" s="243"/>
      <c r="T365" s="243"/>
      <c r="U365" s="243"/>
      <c r="V365" s="243"/>
      <c r="W365" s="243"/>
      <c r="X365" s="243"/>
      <c r="Y365" s="244"/>
      <c r="Z365" s="243"/>
      <c r="AA365" s="245"/>
      <c r="AB365" s="246"/>
      <c r="AC365" s="246"/>
      <c r="AD365" s="246"/>
      <c r="AE365" s="131"/>
      <c r="AF365" s="244"/>
      <c r="AG365" s="243"/>
      <c r="AH365" s="243"/>
      <c r="AI365" s="243"/>
      <c r="AJ365" s="243"/>
      <c r="AK365" s="243"/>
      <c r="AL365" s="243"/>
      <c r="AM365" s="243"/>
      <c r="AN365" s="243"/>
      <c r="AO365" s="243"/>
      <c r="AP365" s="243"/>
      <c r="AQ365" s="243"/>
      <c r="AR365" s="243"/>
      <c r="AS365" s="243"/>
      <c r="AT365" s="243"/>
      <c r="AU365" s="243"/>
      <c r="AV365" s="243"/>
      <c r="AW365" s="243"/>
      <c r="AX365" s="243"/>
      <c r="AY365" s="243"/>
      <c r="AZ365" s="243"/>
    </row>
    <row r="366" spans="1:52">
      <c r="A366" s="216" t="str">
        <f>IF(D366="","",VLOOKUP(G366,códigosORL!$H:$J,3,FALSE))</f>
        <v/>
      </c>
      <c r="B366" s="243"/>
      <c r="C366" s="259"/>
      <c r="D366" s="243"/>
      <c r="E366" s="243"/>
      <c r="F366" s="247"/>
      <c r="G366" s="243"/>
      <c r="H366" s="243"/>
      <c r="I366" s="243"/>
      <c r="J366" s="243"/>
      <c r="K366" s="243"/>
      <c r="L366" s="243"/>
      <c r="M366" s="243"/>
      <c r="N366" s="243"/>
      <c r="O366" s="243"/>
      <c r="P366" s="243"/>
      <c r="Q366" s="243"/>
      <c r="R366" s="243"/>
      <c r="S366" s="243"/>
      <c r="T366" s="243"/>
      <c r="U366" s="243"/>
      <c r="V366" s="243"/>
      <c r="W366" s="243"/>
      <c r="X366" s="243"/>
      <c r="Y366" s="244"/>
      <c r="Z366" s="243"/>
      <c r="AA366" s="245"/>
      <c r="AB366" s="246"/>
      <c r="AC366" s="246"/>
      <c r="AD366" s="246"/>
      <c r="AE366" s="131"/>
      <c r="AF366" s="244"/>
      <c r="AG366" s="243"/>
      <c r="AH366" s="243"/>
      <c r="AI366" s="243"/>
      <c r="AJ366" s="243"/>
      <c r="AK366" s="243"/>
      <c r="AL366" s="243"/>
      <c r="AM366" s="243"/>
      <c r="AN366" s="243"/>
      <c r="AO366" s="243"/>
      <c r="AP366" s="243"/>
      <c r="AQ366" s="243"/>
      <c r="AR366" s="243"/>
      <c r="AS366" s="243"/>
      <c r="AT366" s="243"/>
      <c r="AU366" s="243"/>
      <c r="AV366" s="243"/>
      <c r="AW366" s="243"/>
      <c r="AX366" s="243"/>
      <c r="AY366" s="243"/>
      <c r="AZ366" s="243"/>
    </row>
    <row r="367" spans="1:52">
      <c r="A367" s="216" t="str">
        <f>IF(D367="","",VLOOKUP(G367,códigosORL!$H:$J,3,FALSE))</f>
        <v/>
      </c>
      <c r="B367" s="243"/>
      <c r="C367" s="259"/>
      <c r="D367" s="243"/>
      <c r="E367" s="243"/>
      <c r="F367" s="247"/>
      <c r="G367" s="243"/>
      <c r="H367" s="243"/>
      <c r="I367" s="243"/>
      <c r="J367" s="243"/>
      <c r="K367" s="243"/>
      <c r="L367" s="243"/>
      <c r="M367" s="243"/>
      <c r="N367" s="243"/>
      <c r="O367" s="243"/>
      <c r="P367" s="243"/>
      <c r="Q367" s="243"/>
      <c r="R367" s="243"/>
      <c r="S367" s="243"/>
      <c r="T367" s="243"/>
      <c r="U367" s="243"/>
      <c r="V367" s="243"/>
      <c r="W367" s="243"/>
      <c r="X367" s="243"/>
      <c r="Y367" s="244"/>
      <c r="Z367" s="243"/>
      <c r="AA367" s="245"/>
      <c r="AB367" s="246"/>
      <c r="AC367" s="246"/>
      <c r="AD367" s="246"/>
      <c r="AE367" s="131"/>
      <c r="AF367" s="244"/>
      <c r="AG367" s="243"/>
      <c r="AH367" s="243"/>
      <c r="AI367" s="243"/>
      <c r="AJ367" s="243"/>
      <c r="AK367" s="243"/>
      <c r="AL367" s="243"/>
      <c r="AM367" s="243"/>
      <c r="AN367" s="243"/>
      <c r="AO367" s="243"/>
      <c r="AP367" s="243"/>
      <c r="AQ367" s="243"/>
      <c r="AR367" s="243"/>
      <c r="AS367" s="243"/>
      <c r="AT367" s="243"/>
      <c r="AU367" s="243"/>
      <c r="AV367" s="243"/>
      <c r="AW367" s="243"/>
      <c r="AX367" s="243"/>
      <c r="AY367" s="243"/>
      <c r="AZ367" s="243"/>
    </row>
    <row r="368" spans="1:52">
      <c r="A368" s="216" t="str">
        <f>IF(D368="","",VLOOKUP(G368,códigosORL!$H:$J,3,FALSE))</f>
        <v/>
      </c>
      <c r="B368" s="243"/>
      <c r="C368" s="259"/>
      <c r="D368" s="243"/>
      <c r="E368" s="243"/>
      <c r="F368" s="247"/>
      <c r="G368" s="243"/>
      <c r="H368" s="243"/>
      <c r="I368" s="243"/>
      <c r="J368" s="243"/>
      <c r="K368" s="243"/>
      <c r="L368" s="243"/>
      <c r="M368" s="243"/>
      <c r="N368" s="243"/>
      <c r="O368" s="243"/>
      <c r="P368" s="243"/>
      <c r="Q368" s="243"/>
      <c r="R368" s="243"/>
      <c r="S368" s="243"/>
      <c r="T368" s="243"/>
      <c r="U368" s="243"/>
      <c r="V368" s="243"/>
      <c r="W368" s="243"/>
      <c r="X368" s="243"/>
      <c r="Y368" s="244"/>
      <c r="Z368" s="243"/>
      <c r="AA368" s="245"/>
      <c r="AB368" s="246"/>
      <c r="AC368" s="246"/>
      <c r="AD368" s="246"/>
      <c r="AE368" s="131"/>
      <c r="AF368" s="244"/>
      <c r="AG368" s="243"/>
      <c r="AH368" s="243"/>
      <c r="AI368" s="243"/>
      <c r="AJ368" s="243"/>
      <c r="AK368" s="243"/>
      <c r="AL368" s="243"/>
      <c r="AM368" s="243"/>
      <c r="AN368" s="243"/>
      <c r="AO368" s="243"/>
      <c r="AP368" s="243"/>
      <c r="AQ368" s="243"/>
      <c r="AR368" s="243"/>
      <c r="AS368" s="243"/>
      <c r="AT368" s="243"/>
      <c r="AU368" s="243"/>
      <c r="AV368" s="243"/>
      <c r="AW368" s="243"/>
      <c r="AX368" s="243"/>
      <c r="AY368" s="243"/>
      <c r="AZ368" s="243"/>
    </row>
    <row r="369" spans="1:52">
      <c r="A369" s="216" t="str">
        <f>IF(D369="","",VLOOKUP(G369,códigosORL!$H:$J,3,FALSE))</f>
        <v/>
      </c>
      <c r="B369" s="243"/>
      <c r="C369" s="259"/>
      <c r="D369" s="243"/>
      <c r="E369" s="243"/>
      <c r="F369" s="247"/>
      <c r="G369" s="243"/>
      <c r="H369" s="243"/>
      <c r="I369" s="243"/>
      <c r="J369" s="243"/>
      <c r="K369" s="243"/>
      <c r="L369" s="243"/>
      <c r="M369" s="243"/>
      <c r="N369" s="243"/>
      <c r="O369" s="243"/>
      <c r="P369" s="243"/>
      <c r="Q369" s="243"/>
      <c r="R369" s="243"/>
      <c r="S369" s="243"/>
      <c r="T369" s="243"/>
      <c r="U369" s="243"/>
      <c r="V369" s="243"/>
      <c r="W369" s="243"/>
      <c r="X369" s="243"/>
      <c r="Y369" s="244"/>
      <c r="Z369" s="243"/>
      <c r="AA369" s="245"/>
      <c r="AB369" s="246"/>
      <c r="AC369" s="246"/>
      <c r="AD369" s="246"/>
      <c r="AE369" s="131"/>
      <c r="AF369" s="244"/>
      <c r="AG369" s="243"/>
      <c r="AH369" s="243"/>
      <c r="AI369" s="243"/>
      <c r="AJ369" s="243"/>
      <c r="AK369" s="243"/>
      <c r="AL369" s="243"/>
      <c r="AM369" s="243"/>
      <c r="AN369" s="243"/>
      <c r="AO369" s="243"/>
      <c r="AP369" s="243"/>
      <c r="AQ369" s="243"/>
      <c r="AR369" s="243"/>
      <c r="AS369" s="243"/>
      <c r="AT369" s="243"/>
      <c r="AU369" s="243"/>
      <c r="AV369" s="243"/>
      <c r="AW369" s="243"/>
      <c r="AX369" s="243"/>
      <c r="AY369" s="243"/>
      <c r="AZ369" s="243"/>
    </row>
    <row r="370" spans="1:52">
      <c r="A370" s="216" t="str">
        <f>IF(D370="","",VLOOKUP(G370,códigosORL!$H:$J,3,FALSE))</f>
        <v/>
      </c>
      <c r="B370" s="243"/>
      <c r="C370" s="259"/>
      <c r="D370" s="243"/>
      <c r="E370" s="243"/>
      <c r="F370" s="247"/>
      <c r="G370" s="243"/>
      <c r="H370" s="243"/>
      <c r="I370" s="243"/>
      <c r="J370" s="243"/>
      <c r="K370" s="243"/>
      <c r="L370" s="243"/>
      <c r="M370" s="243"/>
      <c r="N370" s="243"/>
      <c r="O370" s="243"/>
      <c r="P370" s="243"/>
      <c r="Q370" s="243"/>
      <c r="R370" s="243"/>
      <c r="S370" s="243"/>
      <c r="T370" s="243"/>
      <c r="U370" s="243"/>
      <c r="V370" s="243"/>
      <c r="W370" s="243"/>
      <c r="X370" s="243"/>
      <c r="Y370" s="244"/>
      <c r="Z370" s="243"/>
      <c r="AA370" s="245"/>
      <c r="AB370" s="246"/>
      <c r="AC370" s="246"/>
      <c r="AD370" s="246"/>
      <c r="AE370" s="131"/>
      <c r="AF370" s="244"/>
      <c r="AG370" s="243"/>
      <c r="AH370" s="243"/>
      <c r="AI370" s="243"/>
      <c r="AJ370" s="243"/>
      <c r="AK370" s="243"/>
      <c r="AL370" s="243"/>
      <c r="AM370" s="243"/>
      <c r="AN370" s="243"/>
      <c r="AO370" s="243"/>
      <c r="AP370" s="243"/>
      <c r="AQ370" s="243"/>
      <c r="AR370" s="243"/>
      <c r="AS370" s="243"/>
      <c r="AT370" s="243"/>
      <c r="AU370" s="243"/>
      <c r="AV370" s="243"/>
      <c r="AW370" s="243"/>
      <c r="AX370" s="243"/>
      <c r="AY370" s="243"/>
      <c r="AZ370" s="243"/>
    </row>
    <row r="371" spans="1:52">
      <c r="A371" s="216" t="str">
        <f>IF(D371="","",VLOOKUP(G371,códigosORL!$H:$J,3,FALSE))</f>
        <v/>
      </c>
      <c r="B371" s="243"/>
      <c r="C371" s="259"/>
      <c r="D371" s="243"/>
      <c r="E371" s="243"/>
      <c r="F371" s="247"/>
      <c r="G371" s="243"/>
      <c r="H371" s="243"/>
      <c r="I371" s="243"/>
      <c r="J371" s="243"/>
      <c r="K371" s="243"/>
      <c r="L371" s="243"/>
      <c r="M371" s="243"/>
      <c r="N371" s="243"/>
      <c r="O371" s="243"/>
      <c r="P371" s="243"/>
      <c r="Q371" s="243"/>
      <c r="R371" s="243"/>
      <c r="S371" s="243"/>
      <c r="T371" s="243"/>
      <c r="U371" s="243"/>
      <c r="V371" s="243"/>
      <c r="W371" s="243"/>
      <c r="X371" s="243"/>
      <c r="Y371" s="244"/>
      <c r="Z371" s="243"/>
      <c r="AA371" s="245"/>
      <c r="AB371" s="246"/>
      <c r="AC371" s="246"/>
      <c r="AD371" s="246"/>
      <c r="AE371" s="131"/>
      <c r="AF371" s="244"/>
      <c r="AG371" s="243"/>
      <c r="AH371" s="243"/>
      <c r="AI371" s="243"/>
      <c r="AJ371" s="243"/>
      <c r="AK371" s="243"/>
      <c r="AL371" s="243"/>
      <c r="AM371" s="243"/>
      <c r="AN371" s="243"/>
      <c r="AO371" s="243"/>
      <c r="AP371" s="243"/>
      <c r="AQ371" s="243"/>
      <c r="AR371" s="243"/>
      <c r="AS371" s="243"/>
      <c r="AT371" s="243"/>
      <c r="AU371" s="243"/>
      <c r="AV371" s="243"/>
      <c r="AW371" s="243"/>
      <c r="AX371" s="243"/>
      <c r="AY371" s="243"/>
      <c r="AZ371" s="243"/>
    </row>
    <row r="372" spans="1:52">
      <c r="A372" s="216" t="str">
        <f>IF(D372="","",VLOOKUP(G372,códigosORL!$H:$J,3,FALSE))</f>
        <v/>
      </c>
      <c r="B372" s="243"/>
      <c r="C372" s="259"/>
      <c r="D372" s="243"/>
      <c r="E372" s="243"/>
      <c r="F372" s="247"/>
      <c r="G372" s="243"/>
      <c r="H372" s="243"/>
      <c r="I372" s="243"/>
      <c r="J372" s="243"/>
      <c r="K372" s="243"/>
      <c r="L372" s="243"/>
      <c r="M372" s="243"/>
      <c r="N372" s="243"/>
      <c r="O372" s="243"/>
      <c r="P372" s="243"/>
      <c r="Q372" s="243"/>
      <c r="R372" s="243"/>
      <c r="S372" s="243"/>
      <c r="T372" s="243"/>
      <c r="U372" s="243"/>
      <c r="V372" s="243"/>
      <c r="W372" s="243"/>
      <c r="X372" s="243"/>
      <c r="Y372" s="244"/>
      <c r="Z372" s="243"/>
      <c r="AA372" s="245"/>
      <c r="AB372" s="246"/>
      <c r="AC372" s="246"/>
      <c r="AD372" s="246"/>
      <c r="AE372" s="131"/>
      <c r="AF372" s="244"/>
      <c r="AG372" s="243"/>
      <c r="AH372" s="243"/>
      <c r="AI372" s="243"/>
      <c r="AJ372" s="243"/>
      <c r="AK372" s="243"/>
      <c r="AL372" s="243"/>
      <c r="AM372" s="243"/>
      <c r="AN372" s="243"/>
      <c r="AO372" s="243"/>
      <c r="AP372" s="243"/>
      <c r="AQ372" s="243"/>
      <c r="AR372" s="243"/>
      <c r="AS372" s="243"/>
      <c r="AT372" s="243"/>
      <c r="AU372" s="243"/>
      <c r="AV372" s="243"/>
      <c r="AW372" s="243"/>
      <c r="AX372" s="243"/>
      <c r="AY372" s="243"/>
      <c r="AZ372" s="243"/>
    </row>
    <row r="373" spans="1:52">
      <c r="A373" s="216" t="str">
        <f>IF(D373="","",VLOOKUP(G373,códigosORL!$H:$J,3,FALSE))</f>
        <v/>
      </c>
      <c r="B373" s="243"/>
      <c r="C373" s="259"/>
      <c r="D373" s="243"/>
      <c r="E373" s="243"/>
      <c r="F373" s="247"/>
      <c r="G373" s="243"/>
      <c r="H373" s="243"/>
      <c r="I373" s="243"/>
      <c r="J373" s="243"/>
      <c r="K373" s="243"/>
      <c r="L373" s="243"/>
      <c r="M373" s="243"/>
      <c r="N373" s="243"/>
      <c r="O373" s="243"/>
      <c r="P373" s="243"/>
      <c r="Q373" s="243"/>
      <c r="R373" s="243"/>
      <c r="S373" s="243"/>
      <c r="T373" s="243"/>
      <c r="U373" s="243"/>
      <c r="V373" s="243"/>
      <c r="W373" s="243"/>
      <c r="X373" s="243"/>
      <c r="Y373" s="244"/>
      <c r="Z373" s="243"/>
      <c r="AA373" s="245"/>
      <c r="AB373" s="246"/>
      <c r="AC373" s="246"/>
      <c r="AD373" s="246"/>
      <c r="AE373" s="131"/>
      <c r="AF373" s="244"/>
      <c r="AG373" s="243"/>
      <c r="AH373" s="243"/>
      <c r="AI373" s="243"/>
      <c r="AJ373" s="243"/>
      <c r="AK373" s="243"/>
      <c r="AL373" s="243"/>
      <c r="AM373" s="243"/>
      <c r="AN373" s="243"/>
      <c r="AO373" s="243"/>
      <c r="AP373" s="243"/>
      <c r="AQ373" s="243"/>
      <c r="AR373" s="243"/>
      <c r="AS373" s="243"/>
      <c r="AT373" s="243"/>
      <c r="AU373" s="243"/>
      <c r="AV373" s="243"/>
      <c r="AW373" s="243"/>
      <c r="AX373" s="243"/>
      <c r="AY373" s="243"/>
      <c r="AZ373" s="243"/>
    </row>
    <row r="374" spans="1:52">
      <c r="A374" s="216" t="str">
        <f>IF(D374="","",VLOOKUP(G374,códigosORL!$H:$J,3,FALSE))</f>
        <v/>
      </c>
      <c r="B374" s="243"/>
      <c r="C374" s="259"/>
      <c r="D374" s="243"/>
      <c r="E374" s="243"/>
      <c r="F374" s="247"/>
      <c r="G374" s="243"/>
      <c r="H374" s="243"/>
      <c r="I374" s="243"/>
      <c r="J374" s="243"/>
      <c r="K374" s="243"/>
      <c r="L374" s="243"/>
      <c r="M374" s="243"/>
      <c r="N374" s="243"/>
      <c r="O374" s="243"/>
      <c r="P374" s="243"/>
      <c r="Q374" s="243"/>
      <c r="R374" s="243"/>
      <c r="S374" s="243"/>
      <c r="T374" s="243"/>
      <c r="U374" s="243"/>
      <c r="V374" s="243"/>
      <c r="W374" s="243"/>
      <c r="X374" s="243"/>
      <c r="Y374" s="244"/>
      <c r="Z374" s="243"/>
      <c r="AA374" s="245"/>
      <c r="AB374" s="246"/>
      <c r="AC374" s="246"/>
      <c r="AD374" s="246"/>
      <c r="AE374" s="131"/>
      <c r="AF374" s="244"/>
      <c r="AG374" s="243"/>
      <c r="AH374" s="243"/>
      <c r="AI374" s="243"/>
      <c r="AJ374" s="243"/>
      <c r="AK374" s="243"/>
      <c r="AL374" s="243"/>
      <c r="AM374" s="243"/>
      <c r="AN374" s="243"/>
      <c r="AO374" s="243"/>
      <c r="AP374" s="243"/>
      <c r="AQ374" s="243"/>
      <c r="AR374" s="243"/>
      <c r="AS374" s="243"/>
      <c r="AT374" s="243"/>
      <c r="AU374" s="243"/>
      <c r="AV374" s="243"/>
      <c r="AW374" s="243"/>
      <c r="AX374" s="243"/>
      <c r="AY374" s="243"/>
      <c r="AZ374" s="243"/>
    </row>
    <row r="375" spans="1:52">
      <c r="A375" s="216" t="str">
        <f>IF(D375="","",VLOOKUP(G375,códigosORL!$H:$J,3,FALSE))</f>
        <v/>
      </c>
      <c r="B375" s="243"/>
      <c r="C375" s="259"/>
      <c r="D375" s="243"/>
      <c r="E375" s="243"/>
      <c r="F375" s="247"/>
      <c r="G375" s="243"/>
      <c r="H375" s="243"/>
      <c r="I375" s="243"/>
      <c r="J375" s="243"/>
      <c r="K375" s="243"/>
      <c r="L375" s="243"/>
      <c r="M375" s="243"/>
      <c r="N375" s="243"/>
      <c r="O375" s="243"/>
      <c r="P375" s="243"/>
      <c r="Q375" s="243"/>
      <c r="R375" s="243"/>
      <c r="S375" s="243"/>
      <c r="T375" s="243"/>
      <c r="U375" s="243"/>
      <c r="V375" s="243"/>
      <c r="W375" s="243"/>
      <c r="X375" s="243"/>
      <c r="Y375" s="244"/>
      <c r="Z375" s="243"/>
      <c r="AA375" s="245"/>
      <c r="AB375" s="246"/>
      <c r="AC375" s="246"/>
      <c r="AD375" s="246"/>
      <c r="AE375" s="131"/>
      <c r="AF375" s="244"/>
      <c r="AG375" s="243"/>
      <c r="AH375" s="243"/>
      <c r="AI375" s="243"/>
      <c r="AJ375" s="243"/>
      <c r="AK375" s="243"/>
      <c r="AL375" s="243"/>
      <c r="AM375" s="243"/>
      <c r="AN375" s="243"/>
      <c r="AO375" s="243"/>
      <c r="AP375" s="243"/>
      <c r="AQ375" s="243"/>
      <c r="AR375" s="243"/>
      <c r="AS375" s="243"/>
      <c r="AT375" s="243"/>
      <c r="AU375" s="243"/>
      <c r="AV375" s="243"/>
      <c r="AW375" s="243"/>
      <c r="AX375" s="243"/>
      <c r="AY375" s="243"/>
      <c r="AZ375" s="243"/>
    </row>
    <row r="376" spans="1:52">
      <c r="A376" s="216" t="str">
        <f>IF(D376="","",VLOOKUP(G376,códigosORL!$H:$J,3,FALSE))</f>
        <v/>
      </c>
      <c r="B376" s="243"/>
      <c r="C376" s="259"/>
      <c r="D376" s="243"/>
      <c r="E376" s="243"/>
      <c r="F376" s="247"/>
      <c r="G376" s="243"/>
      <c r="H376" s="243"/>
      <c r="I376" s="243"/>
      <c r="J376" s="243"/>
      <c r="K376" s="243"/>
      <c r="L376" s="243"/>
      <c r="M376" s="243"/>
      <c r="N376" s="243"/>
      <c r="O376" s="243"/>
      <c r="P376" s="243"/>
      <c r="Q376" s="243"/>
      <c r="R376" s="243"/>
      <c r="S376" s="243"/>
      <c r="T376" s="243"/>
      <c r="U376" s="243"/>
      <c r="V376" s="243"/>
      <c r="W376" s="243"/>
      <c r="X376" s="243"/>
      <c r="Y376" s="244"/>
      <c r="Z376" s="243"/>
      <c r="AA376" s="245"/>
      <c r="AB376" s="246"/>
      <c r="AC376" s="246"/>
      <c r="AD376" s="246"/>
      <c r="AE376" s="131"/>
      <c r="AF376" s="244"/>
      <c r="AG376" s="243"/>
      <c r="AH376" s="243"/>
      <c r="AI376" s="243"/>
      <c r="AJ376" s="243"/>
      <c r="AK376" s="243"/>
      <c r="AL376" s="243"/>
      <c r="AM376" s="243"/>
      <c r="AN376" s="243"/>
      <c r="AO376" s="243"/>
      <c r="AP376" s="243"/>
      <c r="AQ376" s="243"/>
      <c r="AR376" s="243"/>
      <c r="AS376" s="243"/>
      <c r="AT376" s="243"/>
      <c r="AU376" s="243"/>
      <c r="AV376" s="243"/>
      <c r="AW376" s="243"/>
      <c r="AX376" s="243"/>
      <c r="AY376" s="243"/>
      <c r="AZ376" s="243"/>
    </row>
    <row r="377" spans="1:52">
      <c r="A377" s="216" t="str">
        <f>IF(D377="","",VLOOKUP(G377,códigosORL!$H:$J,3,FALSE))</f>
        <v/>
      </c>
      <c r="B377" s="243"/>
      <c r="C377" s="259"/>
      <c r="D377" s="243"/>
      <c r="E377" s="243"/>
      <c r="F377" s="247"/>
      <c r="G377" s="243"/>
      <c r="H377" s="243"/>
      <c r="I377" s="243"/>
      <c r="J377" s="243"/>
      <c r="K377" s="243"/>
      <c r="L377" s="243"/>
      <c r="M377" s="243"/>
      <c r="N377" s="243"/>
      <c r="O377" s="243"/>
      <c r="P377" s="243"/>
      <c r="Q377" s="243"/>
      <c r="R377" s="243"/>
      <c r="S377" s="243"/>
      <c r="T377" s="243"/>
      <c r="U377" s="243"/>
      <c r="V377" s="243"/>
      <c r="W377" s="243"/>
      <c r="X377" s="243"/>
      <c r="Y377" s="244"/>
      <c r="Z377" s="243"/>
      <c r="AA377" s="245"/>
      <c r="AB377" s="246"/>
      <c r="AC377" s="246"/>
      <c r="AD377" s="246"/>
      <c r="AE377" s="131"/>
      <c r="AF377" s="244"/>
      <c r="AG377" s="243"/>
      <c r="AH377" s="243"/>
      <c r="AI377" s="243"/>
      <c r="AJ377" s="243"/>
      <c r="AK377" s="243"/>
      <c r="AL377" s="243"/>
      <c r="AM377" s="243"/>
      <c r="AN377" s="243"/>
      <c r="AO377" s="243"/>
      <c r="AP377" s="243"/>
      <c r="AQ377" s="243"/>
      <c r="AR377" s="243"/>
      <c r="AS377" s="243"/>
      <c r="AT377" s="243"/>
      <c r="AU377" s="243"/>
      <c r="AV377" s="243"/>
      <c r="AW377" s="243"/>
      <c r="AX377" s="243"/>
      <c r="AY377" s="243"/>
      <c r="AZ377" s="243"/>
    </row>
    <row r="378" spans="1:52">
      <c r="A378" s="216" t="str">
        <f>IF(D378="","",VLOOKUP(G378,códigosORL!$H:$J,3,FALSE))</f>
        <v/>
      </c>
      <c r="B378" s="243"/>
      <c r="C378" s="259"/>
      <c r="D378" s="243"/>
      <c r="E378" s="243"/>
      <c r="F378" s="247"/>
      <c r="G378" s="243"/>
      <c r="H378" s="243"/>
      <c r="I378" s="243"/>
      <c r="J378" s="243"/>
      <c r="K378" s="243"/>
      <c r="L378" s="243"/>
      <c r="M378" s="243"/>
      <c r="N378" s="243"/>
      <c r="O378" s="243"/>
      <c r="P378" s="243"/>
      <c r="Q378" s="243"/>
      <c r="R378" s="243"/>
      <c r="S378" s="243"/>
      <c r="T378" s="243"/>
      <c r="U378" s="243"/>
      <c r="V378" s="243"/>
      <c r="W378" s="243"/>
      <c r="X378" s="243"/>
      <c r="Y378" s="244"/>
      <c r="Z378" s="243"/>
      <c r="AA378" s="245"/>
      <c r="AB378" s="246"/>
      <c r="AC378" s="246"/>
      <c r="AD378" s="246"/>
      <c r="AE378" s="131"/>
      <c r="AF378" s="244"/>
      <c r="AG378" s="243"/>
      <c r="AH378" s="243"/>
      <c r="AI378" s="243"/>
      <c r="AJ378" s="243"/>
      <c r="AK378" s="243"/>
      <c r="AL378" s="243"/>
      <c r="AM378" s="243"/>
      <c r="AN378" s="243"/>
      <c r="AO378" s="243"/>
      <c r="AP378" s="243"/>
      <c r="AQ378" s="243"/>
      <c r="AR378" s="243"/>
      <c r="AS378" s="243"/>
      <c r="AT378" s="243"/>
      <c r="AU378" s="243"/>
      <c r="AV378" s="243"/>
      <c r="AW378" s="243"/>
      <c r="AX378" s="243"/>
      <c r="AY378" s="243"/>
      <c r="AZ378" s="243"/>
    </row>
    <row r="379" spans="1:52">
      <c r="A379" s="216" t="str">
        <f>IF(D379="","",VLOOKUP(G379,códigosORL!$H:$J,3,FALSE))</f>
        <v/>
      </c>
      <c r="B379" s="243"/>
      <c r="C379" s="259"/>
      <c r="D379" s="243"/>
      <c r="E379" s="243"/>
      <c r="F379" s="247"/>
      <c r="G379" s="243"/>
      <c r="H379" s="243"/>
      <c r="I379" s="243"/>
      <c r="J379" s="243"/>
      <c r="K379" s="243"/>
      <c r="L379" s="243"/>
      <c r="M379" s="243"/>
      <c r="N379" s="243"/>
      <c r="O379" s="243"/>
      <c r="P379" s="243"/>
      <c r="Q379" s="243"/>
      <c r="R379" s="243"/>
      <c r="S379" s="243"/>
      <c r="T379" s="243"/>
      <c r="U379" s="243"/>
      <c r="V379" s="243"/>
      <c r="W379" s="243"/>
      <c r="X379" s="243"/>
      <c r="Y379" s="244"/>
      <c r="Z379" s="243"/>
      <c r="AA379" s="245"/>
      <c r="AB379" s="246"/>
      <c r="AC379" s="246"/>
      <c r="AD379" s="246"/>
      <c r="AE379" s="131"/>
      <c r="AF379" s="244"/>
      <c r="AG379" s="243"/>
      <c r="AH379" s="243"/>
      <c r="AI379" s="243"/>
      <c r="AJ379" s="243"/>
      <c r="AK379" s="243"/>
      <c r="AL379" s="243"/>
      <c r="AM379" s="243"/>
      <c r="AN379" s="243"/>
      <c r="AO379" s="243"/>
      <c r="AP379" s="243"/>
      <c r="AQ379" s="243"/>
      <c r="AR379" s="243"/>
      <c r="AS379" s="243"/>
      <c r="AT379" s="243"/>
      <c r="AU379" s="243"/>
      <c r="AV379" s="243"/>
      <c r="AW379" s="243"/>
      <c r="AX379" s="243"/>
      <c r="AY379" s="243"/>
      <c r="AZ379" s="243"/>
    </row>
    <row r="380" spans="1:52">
      <c r="A380" s="216" t="str">
        <f>IF(D380="","",VLOOKUP(G380,códigosORL!$H:$J,3,FALSE))</f>
        <v/>
      </c>
      <c r="B380" s="243"/>
      <c r="C380" s="259"/>
      <c r="D380" s="243"/>
      <c r="E380" s="243"/>
      <c r="F380" s="247"/>
      <c r="G380" s="243"/>
      <c r="H380" s="243"/>
      <c r="I380" s="243"/>
      <c r="J380" s="243"/>
      <c r="K380" s="243"/>
      <c r="L380" s="243"/>
      <c r="M380" s="243"/>
      <c r="N380" s="243"/>
      <c r="O380" s="243"/>
      <c r="P380" s="243"/>
      <c r="Q380" s="243"/>
      <c r="R380" s="243"/>
      <c r="S380" s="243"/>
      <c r="T380" s="243"/>
      <c r="U380" s="243"/>
      <c r="V380" s="243"/>
      <c r="W380" s="243"/>
      <c r="X380" s="243"/>
      <c r="Y380" s="244"/>
      <c r="Z380" s="243"/>
      <c r="AA380" s="245"/>
      <c r="AB380" s="246"/>
      <c r="AC380" s="246"/>
      <c r="AD380" s="246"/>
      <c r="AE380" s="131"/>
      <c r="AF380" s="244"/>
      <c r="AG380" s="243"/>
      <c r="AH380" s="243"/>
      <c r="AI380" s="243"/>
      <c r="AJ380" s="243"/>
      <c r="AK380" s="243"/>
      <c r="AL380" s="243"/>
      <c r="AM380" s="243"/>
      <c r="AN380" s="243"/>
      <c r="AO380" s="243"/>
      <c r="AP380" s="243"/>
      <c r="AQ380" s="243"/>
      <c r="AR380" s="243"/>
      <c r="AS380" s="243"/>
      <c r="AT380" s="243"/>
      <c r="AU380" s="243"/>
      <c r="AV380" s="243"/>
      <c r="AW380" s="243"/>
      <c r="AX380" s="243"/>
      <c r="AY380" s="243"/>
      <c r="AZ380" s="243"/>
    </row>
    <row r="381" spans="1:52">
      <c r="A381" s="216" t="str">
        <f>IF(D381="","",VLOOKUP(G381,códigosORL!$H:$J,3,FALSE))</f>
        <v/>
      </c>
      <c r="B381" s="243"/>
      <c r="C381" s="259"/>
      <c r="D381" s="243"/>
      <c r="E381" s="243"/>
      <c r="F381" s="247"/>
      <c r="G381" s="243"/>
      <c r="H381" s="243"/>
      <c r="I381" s="243"/>
      <c r="J381" s="243"/>
      <c r="K381" s="243"/>
      <c r="L381" s="243"/>
      <c r="M381" s="243"/>
      <c r="N381" s="243"/>
      <c r="O381" s="243"/>
      <c r="P381" s="243"/>
      <c r="Q381" s="243"/>
      <c r="R381" s="243"/>
      <c r="S381" s="243"/>
      <c r="T381" s="243"/>
      <c r="U381" s="243"/>
      <c r="V381" s="243"/>
      <c r="W381" s="243"/>
      <c r="X381" s="243"/>
      <c r="Y381" s="244"/>
      <c r="Z381" s="243"/>
      <c r="AA381" s="245"/>
      <c r="AB381" s="246"/>
      <c r="AC381" s="246"/>
      <c r="AD381" s="246"/>
      <c r="AE381" s="131"/>
      <c r="AF381" s="244"/>
      <c r="AG381" s="243"/>
      <c r="AH381" s="243"/>
      <c r="AI381" s="243"/>
      <c r="AJ381" s="243"/>
      <c r="AK381" s="243"/>
      <c r="AL381" s="243"/>
      <c r="AM381" s="243"/>
      <c r="AN381" s="243"/>
      <c r="AO381" s="243"/>
      <c r="AP381" s="243"/>
      <c r="AQ381" s="243"/>
      <c r="AR381" s="243"/>
      <c r="AS381" s="243"/>
      <c r="AT381" s="243"/>
      <c r="AU381" s="243"/>
      <c r="AV381" s="243"/>
      <c r="AW381" s="243"/>
      <c r="AX381" s="243"/>
      <c r="AY381" s="243"/>
      <c r="AZ381" s="243"/>
    </row>
    <row r="382" spans="1:52">
      <c r="A382" s="216" t="str">
        <f>IF(D382="","",VLOOKUP(G382,códigosORL!$H:$J,3,FALSE))</f>
        <v/>
      </c>
      <c r="B382" s="243"/>
      <c r="C382" s="259"/>
      <c r="D382" s="243"/>
      <c r="E382" s="243"/>
      <c r="F382" s="247"/>
      <c r="G382" s="243"/>
      <c r="H382" s="243"/>
      <c r="I382" s="243"/>
      <c r="J382" s="243"/>
      <c r="K382" s="243"/>
      <c r="L382" s="243"/>
      <c r="M382" s="243"/>
      <c r="N382" s="243"/>
      <c r="O382" s="243"/>
      <c r="P382" s="243"/>
      <c r="Q382" s="243"/>
      <c r="R382" s="243"/>
      <c r="S382" s="243"/>
      <c r="T382" s="243"/>
      <c r="U382" s="243"/>
      <c r="V382" s="243"/>
      <c r="W382" s="243"/>
      <c r="X382" s="243"/>
      <c r="Y382" s="244"/>
      <c r="Z382" s="243"/>
      <c r="AA382" s="245"/>
      <c r="AB382" s="246"/>
      <c r="AC382" s="246"/>
      <c r="AD382" s="246"/>
      <c r="AE382" s="131"/>
      <c r="AF382" s="244"/>
      <c r="AG382" s="243"/>
      <c r="AH382" s="243"/>
      <c r="AI382" s="243"/>
      <c r="AJ382" s="243"/>
      <c r="AK382" s="243"/>
      <c r="AL382" s="243"/>
      <c r="AM382" s="243"/>
      <c r="AN382" s="243"/>
      <c r="AO382" s="243"/>
      <c r="AP382" s="243"/>
      <c r="AQ382" s="243"/>
      <c r="AR382" s="243"/>
      <c r="AS382" s="243"/>
      <c r="AT382" s="243"/>
      <c r="AU382" s="243"/>
      <c r="AV382" s="243"/>
      <c r="AW382" s="243"/>
      <c r="AX382" s="243"/>
      <c r="AY382" s="243"/>
      <c r="AZ382" s="243"/>
    </row>
    <row r="383" spans="1:52">
      <c r="A383" s="216" t="str">
        <f>IF(D383="","",VLOOKUP(G383,códigosORL!$H:$J,3,FALSE))</f>
        <v/>
      </c>
      <c r="B383" s="243"/>
      <c r="C383" s="259"/>
      <c r="D383" s="243"/>
      <c r="E383" s="243"/>
      <c r="F383" s="247"/>
      <c r="G383" s="243"/>
      <c r="H383" s="243"/>
      <c r="I383" s="243"/>
      <c r="J383" s="243"/>
      <c r="K383" s="243"/>
      <c r="L383" s="243"/>
      <c r="M383" s="243"/>
      <c r="N383" s="243"/>
      <c r="O383" s="243"/>
      <c r="P383" s="243"/>
      <c r="Q383" s="243"/>
      <c r="R383" s="243"/>
      <c r="S383" s="243"/>
      <c r="T383" s="243"/>
      <c r="U383" s="243"/>
      <c r="V383" s="243"/>
      <c r="W383" s="243"/>
      <c r="X383" s="243"/>
      <c r="Y383" s="244"/>
      <c r="Z383" s="243"/>
      <c r="AA383" s="245"/>
      <c r="AB383" s="246"/>
      <c r="AC383" s="246"/>
      <c r="AD383" s="246"/>
      <c r="AE383" s="131"/>
      <c r="AF383" s="244"/>
      <c r="AG383" s="243"/>
      <c r="AH383" s="243"/>
      <c r="AI383" s="243"/>
      <c r="AJ383" s="243"/>
      <c r="AK383" s="243"/>
      <c r="AL383" s="243"/>
      <c r="AM383" s="243"/>
      <c r="AN383" s="243"/>
      <c r="AO383" s="243"/>
      <c r="AP383" s="243"/>
      <c r="AQ383" s="243"/>
      <c r="AR383" s="243"/>
      <c r="AS383" s="243"/>
      <c r="AT383" s="243"/>
      <c r="AU383" s="243"/>
      <c r="AV383" s="243"/>
      <c r="AW383" s="243"/>
      <c r="AX383" s="243"/>
      <c r="AY383" s="243"/>
      <c r="AZ383" s="243"/>
    </row>
    <row r="384" spans="1:52">
      <c r="A384" s="216" t="str">
        <f>IF(D384="","",VLOOKUP(G384,códigosORL!$H:$J,3,FALSE))</f>
        <v/>
      </c>
      <c r="B384" s="243"/>
      <c r="C384" s="259"/>
      <c r="D384" s="243"/>
      <c r="E384" s="243"/>
      <c r="F384" s="247"/>
      <c r="G384" s="243"/>
      <c r="H384" s="243"/>
      <c r="I384" s="243"/>
      <c r="J384" s="243"/>
      <c r="K384" s="243"/>
      <c r="L384" s="243"/>
      <c r="M384" s="243"/>
      <c r="N384" s="243"/>
      <c r="O384" s="243"/>
      <c r="P384" s="243"/>
      <c r="Q384" s="243"/>
      <c r="R384" s="243"/>
      <c r="S384" s="243"/>
      <c r="T384" s="243"/>
      <c r="U384" s="243"/>
      <c r="V384" s="243"/>
      <c r="W384" s="243"/>
      <c r="X384" s="243"/>
      <c r="Y384" s="244"/>
      <c r="Z384" s="243"/>
      <c r="AA384" s="245"/>
      <c r="AB384" s="246"/>
      <c r="AC384" s="246"/>
      <c r="AD384" s="246"/>
      <c r="AE384" s="131"/>
      <c r="AF384" s="244"/>
      <c r="AG384" s="243"/>
      <c r="AH384" s="243"/>
      <c r="AI384" s="243"/>
      <c r="AJ384" s="243"/>
      <c r="AK384" s="243"/>
      <c r="AL384" s="243"/>
      <c r="AM384" s="243"/>
      <c r="AN384" s="243"/>
      <c r="AO384" s="243"/>
      <c r="AP384" s="243"/>
      <c r="AQ384" s="243"/>
      <c r="AR384" s="243"/>
      <c r="AS384" s="243"/>
      <c r="AT384" s="243"/>
      <c r="AU384" s="243"/>
      <c r="AV384" s="243"/>
      <c r="AW384" s="243"/>
      <c r="AX384" s="243"/>
      <c r="AY384" s="243"/>
      <c r="AZ384" s="243"/>
    </row>
    <row r="385" spans="1:52">
      <c r="A385" s="216" t="str">
        <f>IF(D385="","",VLOOKUP(G385,códigosORL!$H:$J,3,FALSE))</f>
        <v/>
      </c>
      <c r="B385" s="243"/>
      <c r="C385" s="259"/>
      <c r="D385" s="243"/>
      <c r="E385" s="243"/>
      <c r="F385" s="247"/>
      <c r="G385" s="243"/>
      <c r="H385" s="243"/>
      <c r="I385" s="243"/>
      <c r="J385" s="243"/>
      <c r="K385" s="243"/>
      <c r="L385" s="243"/>
      <c r="M385" s="243"/>
      <c r="N385" s="243"/>
      <c r="O385" s="243"/>
      <c r="P385" s="243"/>
      <c r="Q385" s="243"/>
      <c r="R385" s="243"/>
      <c r="S385" s="243"/>
      <c r="T385" s="243"/>
      <c r="U385" s="243"/>
      <c r="V385" s="243"/>
      <c r="W385" s="243"/>
      <c r="X385" s="243"/>
      <c r="Y385" s="244"/>
      <c r="Z385" s="243"/>
      <c r="AA385" s="245"/>
      <c r="AB385" s="246"/>
      <c r="AC385" s="246"/>
      <c r="AD385" s="246"/>
      <c r="AE385" s="131"/>
      <c r="AF385" s="244"/>
      <c r="AG385" s="243"/>
      <c r="AH385" s="243"/>
      <c r="AI385" s="243"/>
      <c r="AJ385" s="243"/>
      <c r="AK385" s="243"/>
      <c r="AL385" s="243"/>
      <c r="AM385" s="243"/>
      <c r="AN385" s="243"/>
      <c r="AO385" s="243"/>
      <c r="AP385" s="243"/>
      <c r="AQ385" s="243"/>
      <c r="AR385" s="243"/>
      <c r="AS385" s="243"/>
      <c r="AT385" s="243"/>
      <c r="AU385" s="243"/>
      <c r="AV385" s="243"/>
      <c r="AW385" s="243"/>
      <c r="AX385" s="243"/>
      <c r="AY385" s="243"/>
      <c r="AZ385" s="243"/>
    </row>
    <row r="386" spans="1:52">
      <c r="A386" s="216" t="str">
        <f>IF(D386="","",VLOOKUP(G386,códigosORL!$H:$J,3,FALSE))</f>
        <v/>
      </c>
      <c r="B386" s="243"/>
      <c r="C386" s="259"/>
      <c r="D386" s="243"/>
      <c r="E386" s="243"/>
      <c r="F386" s="247"/>
      <c r="G386" s="243"/>
      <c r="H386" s="243"/>
      <c r="I386" s="243"/>
      <c r="J386" s="243"/>
      <c r="K386" s="243"/>
      <c r="L386" s="243"/>
      <c r="M386" s="243"/>
      <c r="N386" s="243"/>
      <c r="O386" s="243"/>
      <c r="P386" s="243"/>
      <c r="Q386" s="243"/>
      <c r="R386" s="243"/>
      <c r="S386" s="243"/>
      <c r="T386" s="243"/>
      <c r="U386" s="243"/>
      <c r="V386" s="243"/>
      <c r="W386" s="243"/>
      <c r="X386" s="243"/>
      <c r="Y386" s="244"/>
      <c r="Z386" s="243"/>
      <c r="AA386" s="245"/>
      <c r="AB386" s="246"/>
      <c r="AC386" s="246"/>
      <c r="AD386" s="246"/>
      <c r="AE386" s="131"/>
      <c r="AF386" s="244"/>
      <c r="AG386" s="243"/>
      <c r="AH386" s="243"/>
      <c r="AI386" s="243"/>
      <c r="AJ386" s="243"/>
      <c r="AK386" s="243"/>
      <c r="AL386" s="243"/>
      <c r="AM386" s="243"/>
      <c r="AN386" s="243"/>
      <c r="AO386" s="243"/>
      <c r="AP386" s="243"/>
      <c r="AQ386" s="243"/>
      <c r="AR386" s="243"/>
      <c r="AS386" s="243"/>
      <c r="AT386" s="243"/>
      <c r="AU386" s="243"/>
      <c r="AV386" s="243"/>
      <c r="AW386" s="243"/>
      <c r="AX386" s="243"/>
      <c r="AY386" s="243"/>
      <c r="AZ386" s="243"/>
    </row>
    <row r="387" spans="1:52">
      <c r="A387" s="216" t="str">
        <f>IF(D387="","",VLOOKUP(G387,códigosORL!$H:$J,3,FALSE))</f>
        <v/>
      </c>
      <c r="B387" s="243"/>
      <c r="C387" s="259"/>
      <c r="D387" s="243"/>
      <c r="E387" s="243"/>
      <c r="F387" s="247"/>
      <c r="G387" s="243"/>
      <c r="H387" s="243"/>
      <c r="I387" s="243"/>
      <c r="J387" s="243"/>
      <c r="K387" s="243"/>
      <c r="L387" s="243"/>
      <c r="M387" s="243"/>
      <c r="N387" s="243"/>
      <c r="O387" s="243"/>
      <c r="P387" s="243"/>
      <c r="Q387" s="243"/>
      <c r="R387" s="243"/>
      <c r="S387" s="243"/>
      <c r="T387" s="243"/>
      <c r="U387" s="243"/>
      <c r="V387" s="243"/>
      <c r="W387" s="243"/>
      <c r="X387" s="243"/>
      <c r="Y387" s="244"/>
      <c r="Z387" s="243"/>
      <c r="AA387" s="245"/>
      <c r="AB387" s="246"/>
      <c r="AC387" s="246"/>
      <c r="AD387" s="246"/>
      <c r="AE387" s="131"/>
      <c r="AF387" s="244"/>
      <c r="AG387" s="243"/>
      <c r="AH387" s="243"/>
      <c r="AI387" s="243"/>
      <c r="AJ387" s="243"/>
      <c r="AK387" s="243"/>
      <c r="AL387" s="243"/>
      <c r="AM387" s="243"/>
      <c r="AN387" s="243"/>
      <c r="AO387" s="243"/>
      <c r="AP387" s="243"/>
      <c r="AQ387" s="243"/>
      <c r="AR387" s="243"/>
      <c r="AS387" s="243"/>
      <c r="AT387" s="243"/>
      <c r="AU387" s="243"/>
      <c r="AV387" s="243"/>
      <c r="AW387" s="243"/>
      <c r="AX387" s="243"/>
      <c r="AY387" s="243"/>
      <c r="AZ387" s="243"/>
    </row>
    <row r="388" spans="1:52">
      <c r="A388" s="216" t="str">
        <f>IF(D388="","",VLOOKUP(G388,códigosORL!$H:$J,3,FALSE))</f>
        <v/>
      </c>
      <c r="B388" s="243"/>
      <c r="C388" s="259"/>
      <c r="D388" s="243"/>
      <c r="E388" s="243"/>
      <c r="F388" s="247"/>
      <c r="G388" s="243"/>
      <c r="H388" s="243"/>
      <c r="I388" s="243"/>
      <c r="J388" s="243"/>
      <c r="K388" s="243"/>
      <c r="L388" s="243"/>
      <c r="M388" s="243"/>
      <c r="N388" s="243"/>
      <c r="O388" s="243"/>
      <c r="P388" s="243"/>
      <c r="Q388" s="243"/>
      <c r="R388" s="243"/>
      <c r="S388" s="243"/>
      <c r="T388" s="243"/>
      <c r="U388" s="243"/>
      <c r="V388" s="243"/>
      <c r="W388" s="243"/>
      <c r="X388" s="243"/>
      <c r="Y388" s="244"/>
      <c r="Z388" s="243"/>
      <c r="AA388" s="245"/>
      <c r="AB388" s="246"/>
      <c r="AC388" s="246"/>
      <c r="AD388" s="246"/>
      <c r="AE388" s="131"/>
      <c r="AF388" s="244"/>
      <c r="AG388" s="243"/>
      <c r="AH388" s="243"/>
      <c r="AI388" s="243"/>
      <c r="AJ388" s="243"/>
      <c r="AK388" s="243"/>
      <c r="AL388" s="243"/>
      <c r="AM388" s="243"/>
      <c r="AN388" s="243"/>
      <c r="AO388" s="243"/>
      <c r="AP388" s="243"/>
      <c r="AQ388" s="243"/>
      <c r="AR388" s="243"/>
      <c r="AS388" s="243"/>
      <c r="AT388" s="243"/>
      <c r="AU388" s="243"/>
      <c r="AV388" s="243"/>
      <c r="AW388" s="243"/>
      <c r="AX388" s="243"/>
      <c r="AY388" s="243"/>
      <c r="AZ388" s="243"/>
    </row>
    <row r="389" spans="1:52">
      <c r="A389" s="216" t="str">
        <f>IF(D389="","",VLOOKUP(G389,códigosORL!$H:$J,3,FALSE))</f>
        <v/>
      </c>
      <c r="B389" s="243"/>
      <c r="C389" s="259"/>
      <c r="D389" s="243"/>
      <c r="E389" s="243"/>
      <c r="F389" s="247"/>
      <c r="G389" s="243"/>
      <c r="H389" s="243"/>
      <c r="I389" s="243"/>
      <c r="J389" s="243"/>
      <c r="K389" s="243"/>
      <c r="L389" s="243"/>
      <c r="M389" s="243"/>
      <c r="N389" s="243"/>
      <c r="O389" s="243"/>
      <c r="P389" s="243"/>
      <c r="Q389" s="243"/>
      <c r="R389" s="243"/>
      <c r="S389" s="243"/>
      <c r="T389" s="243"/>
      <c r="U389" s="243"/>
      <c r="V389" s="243"/>
      <c r="W389" s="243"/>
      <c r="X389" s="243"/>
      <c r="Y389" s="244"/>
      <c r="Z389" s="243"/>
      <c r="AA389" s="245"/>
      <c r="AB389" s="246"/>
      <c r="AC389" s="246"/>
      <c r="AD389" s="246"/>
      <c r="AE389" s="131"/>
      <c r="AF389" s="244"/>
      <c r="AG389" s="243"/>
      <c r="AH389" s="243"/>
      <c r="AI389" s="243"/>
      <c r="AJ389" s="243"/>
      <c r="AK389" s="243"/>
      <c r="AL389" s="243"/>
      <c r="AM389" s="243"/>
      <c r="AN389" s="243"/>
      <c r="AO389" s="243"/>
      <c r="AP389" s="243"/>
      <c r="AQ389" s="243"/>
      <c r="AR389" s="243"/>
      <c r="AS389" s="243"/>
      <c r="AT389" s="243"/>
      <c r="AU389" s="243"/>
      <c r="AV389" s="243"/>
      <c r="AW389" s="243"/>
      <c r="AX389" s="243"/>
      <c r="AY389" s="243"/>
      <c r="AZ389" s="243"/>
    </row>
    <row r="390" spans="1:52">
      <c r="A390" s="216" t="str">
        <f>IF(D390="","",VLOOKUP(G390,códigosORL!$H:$J,3,FALSE))</f>
        <v/>
      </c>
      <c r="B390" s="243"/>
      <c r="C390" s="259"/>
      <c r="D390" s="243"/>
      <c r="E390" s="243"/>
      <c r="F390" s="247"/>
      <c r="G390" s="243"/>
      <c r="H390" s="243"/>
      <c r="I390" s="243"/>
      <c r="J390" s="243"/>
      <c r="K390" s="243"/>
      <c r="L390" s="243"/>
      <c r="M390" s="243"/>
      <c r="N390" s="243"/>
      <c r="O390" s="243"/>
      <c r="P390" s="243"/>
      <c r="Q390" s="243"/>
      <c r="R390" s="243"/>
      <c r="S390" s="243"/>
      <c r="T390" s="243"/>
      <c r="U390" s="243"/>
      <c r="V390" s="243"/>
      <c r="W390" s="243"/>
      <c r="X390" s="243"/>
      <c r="Y390" s="244"/>
      <c r="Z390" s="243"/>
      <c r="AA390" s="245"/>
      <c r="AB390" s="246"/>
      <c r="AC390" s="246"/>
      <c r="AD390" s="246"/>
      <c r="AE390" s="131"/>
      <c r="AF390" s="244"/>
      <c r="AG390" s="243"/>
      <c r="AH390" s="243"/>
      <c r="AI390" s="243"/>
      <c r="AJ390" s="243"/>
      <c r="AK390" s="243"/>
      <c r="AL390" s="243"/>
      <c r="AM390" s="243"/>
      <c r="AN390" s="243"/>
      <c r="AO390" s="243"/>
      <c r="AP390" s="243"/>
      <c r="AQ390" s="243"/>
      <c r="AR390" s="243"/>
      <c r="AS390" s="243"/>
      <c r="AT390" s="243"/>
      <c r="AU390" s="243"/>
      <c r="AV390" s="243"/>
      <c r="AW390" s="243"/>
      <c r="AX390" s="243"/>
      <c r="AY390" s="243"/>
      <c r="AZ390" s="243"/>
    </row>
    <row r="391" spans="1:52">
      <c r="A391" s="216" t="str">
        <f>IF(D391="","",VLOOKUP(G391,códigosORL!$H:$J,3,FALSE))</f>
        <v/>
      </c>
      <c r="B391" s="243"/>
      <c r="C391" s="259"/>
      <c r="D391" s="243"/>
      <c r="E391" s="243"/>
      <c r="F391" s="247"/>
      <c r="G391" s="243"/>
      <c r="H391" s="243"/>
      <c r="I391" s="243"/>
      <c r="J391" s="243"/>
      <c r="K391" s="243"/>
      <c r="L391" s="243"/>
      <c r="M391" s="243"/>
      <c r="N391" s="243"/>
      <c r="O391" s="243"/>
      <c r="P391" s="243"/>
      <c r="Q391" s="243"/>
      <c r="R391" s="243"/>
      <c r="S391" s="243"/>
      <c r="T391" s="243"/>
      <c r="U391" s="243"/>
      <c r="V391" s="243"/>
      <c r="W391" s="243"/>
      <c r="X391" s="243"/>
      <c r="Y391" s="244"/>
      <c r="Z391" s="243"/>
      <c r="AA391" s="245"/>
      <c r="AB391" s="246"/>
      <c r="AC391" s="246"/>
      <c r="AD391" s="246"/>
      <c r="AE391" s="131"/>
      <c r="AF391" s="244"/>
      <c r="AG391" s="243"/>
      <c r="AH391" s="243"/>
      <c r="AI391" s="243"/>
      <c r="AJ391" s="243"/>
      <c r="AK391" s="243"/>
      <c r="AL391" s="243"/>
      <c r="AM391" s="243"/>
      <c r="AN391" s="243"/>
      <c r="AO391" s="243"/>
      <c r="AP391" s="243"/>
      <c r="AQ391" s="243"/>
      <c r="AR391" s="243"/>
      <c r="AS391" s="243"/>
      <c r="AT391" s="243"/>
      <c r="AU391" s="243"/>
      <c r="AV391" s="243"/>
      <c r="AW391" s="243"/>
      <c r="AX391" s="243"/>
      <c r="AY391" s="243"/>
      <c r="AZ391" s="243"/>
    </row>
    <row r="392" spans="1:52">
      <c r="A392" s="216" t="str">
        <f>IF(D392="","",VLOOKUP(G392,códigosORL!$H:$J,3,FALSE))</f>
        <v/>
      </c>
      <c r="B392" s="243"/>
      <c r="C392" s="259"/>
      <c r="D392" s="243"/>
      <c r="E392" s="243"/>
      <c r="F392" s="247"/>
      <c r="G392" s="243"/>
      <c r="H392" s="243"/>
      <c r="I392" s="243"/>
      <c r="J392" s="243"/>
      <c r="K392" s="243"/>
      <c r="L392" s="243"/>
      <c r="M392" s="243"/>
      <c r="N392" s="243"/>
      <c r="O392" s="243"/>
      <c r="P392" s="243"/>
      <c r="Q392" s="243"/>
      <c r="R392" s="243"/>
      <c r="S392" s="243"/>
      <c r="T392" s="243"/>
      <c r="U392" s="243"/>
      <c r="V392" s="243"/>
      <c r="W392" s="243"/>
      <c r="X392" s="243"/>
      <c r="Y392" s="244"/>
      <c r="Z392" s="243"/>
      <c r="AA392" s="245"/>
      <c r="AB392" s="246"/>
      <c r="AC392" s="246"/>
      <c r="AD392" s="246"/>
      <c r="AE392" s="131"/>
      <c r="AF392" s="244"/>
      <c r="AG392" s="243"/>
      <c r="AH392" s="243"/>
      <c r="AI392" s="243"/>
      <c r="AJ392" s="243"/>
      <c r="AK392" s="243"/>
      <c r="AL392" s="243"/>
      <c r="AM392" s="243"/>
      <c r="AN392" s="243"/>
      <c r="AO392" s="243"/>
      <c r="AP392" s="243"/>
      <c r="AQ392" s="243"/>
      <c r="AR392" s="243"/>
      <c r="AS392" s="243"/>
      <c r="AT392" s="243"/>
      <c r="AU392" s="243"/>
      <c r="AV392" s="243"/>
      <c r="AW392" s="243"/>
      <c r="AX392" s="243"/>
      <c r="AY392" s="243"/>
      <c r="AZ392" s="243"/>
    </row>
    <row r="393" spans="1:52">
      <c r="A393" s="216" t="str">
        <f>IF(D393="","",VLOOKUP(G393,códigosORL!$H:$J,3,FALSE))</f>
        <v/>
      </c>
      <c r="B393" s="243"/>
      <c r="C393" s="259"/>
      <c r="D393" s="243"/>
      <c r="E393" s="243"/>
      <c r="F393" s="247"/>
      <c r="G393" s="243"/>
      <c r="H393" s="243"/>
      <c r="I393" s="243"/>
      <c r="J393" s="243"/>
      <c r="K393" s="243"/>
      <c r="L393" s="243"/>
      <c r="M393" s="243"/>
      <c r="N393" s="243"/>
      <c r="O393" s="243"/>
      <c r="P393" s="243"/>
      <c r="Q393" s="243"/>
      <c r="R393" s="243"/>
      <c r="S393" s="243"/>
      <c r="T393" s="243"/>
      <c r="U393" s="243"/>
      <c r="V393" s="243"/>
      <c r="W393" s="243"/>
      <c r="X393" s="243"/>
      <c r="Y393" s="244"/>
      <c r="Z393" s="243"/>
      <c r="AA393" s="245"/>
      <c r="AB393" s="246"/>
      <c r="AC393" s="246"/>
      <c r="AD393" s="246"/>
      <c r="AE393" s="131"/>
      <c r="AF393" s="244"/>
      <c r="AG393" s="243"/>
      <c r="AH393" s="243"/>
      <c r="AI393" s="243"/>
      <c r="AJ393" s="243"/>
      <c r="AK393" s="243"/>
      <c r="AL393" s="243"/>
      <c r="AM393" s="243"/>
      <c r="AN393" s="243"/>
      <c r="AO393" s="243"/>
      <c r="AP393" s="243"/>
      <c r="AQ393" s="243"/>
      <c r="AR393" s="243"/>
      <c r="AS393" s="243"/>
      <c r="AT393" s="243"/>
      <c r="AU393" s="243"/>
      <c r="AV393" s="243"/>
      <c r="AW393" s="243"/>
      <c r="AX393" s="243"/>
      <c r="AY393" s="243"/>
      <c r="AZ393" s="243"/>
    </row>
    <row r="394" spans="1:52">
      <c r="A394" s="216" t="str">
        <f>IF(D394="","",VLOOKUP(G394,códigosORL!$H:$J,3,FALSE))</f>
        <v/>
      </c>
      <c r="B394" s="243"/>
      <c r="C394" s="259"/>
      <c r="D394" s="243"/>
      <c r="E394" s="243"/>
      <c r="F394" s="247"/>
      <c r="G394" s="243"/>
      <c r="H394" s="243"/>
      <c r="I394" s="243"/>
      <c r="J394" s="243"/>
      <c r="K394" s="243"/>
      <c r="L394" s="243"/>
      <c r="M394" s="243"/>
      <c r="N394" s="243"/>
      <c r="O394" s="243"/>
      <c r="P394" s="243"/>
      <c r="Q394" s="243"/>
      <c r="R394" s="243"/>
      <c r="S394" s="243"/>
      <c r="T394" s="243"/>
      <c r="U394" s="243"/>
      <c r="V394" s="243"/>
      <c r="W394" s="243"/>
      <c r="X394" s="243"/>
      <c r="Y394" s="244"/>
      <c r="Z394" s="243"/>
      <c r="AA394" s="245"/>
      <c r="AB394" s="246"/>
      <c r="AC394" s="246"/>
      <c r="AD394" s="246"/>
      <c r="AE394" s="131"/>
      <c r="AF394" s="244"/>
      <c r="AG394" s="243"/>
      <c r="AH394" s="243"/>
      <c r="AI394" s="243"/>
      <c r="AJ394" s="243"/>
      <c r="AK394" s="243"/>
      <c r="AL394" s="243"/>
      <c r="AM394" s="243"/>
      <c r="AN394" s="243"/>
      <c r="AO394" s="243"/>
      <c r="AP394" s="243"/>
      <c r="AQ394" s="243"/>
      <c r="AR394" s="243"/>
      <c r="AS394" s="243"/>
      <c r="AT394" s="243"/>
      <c r="AU394" s="243"/>
      <c r="AV394" s="243"/>
      <c r="AW394" s="243"/>
      <c r="AX394" s="243"/>
      <c r="AY394" s="243"/>
      <c r="AZ394" s="243"/>
    </row>
    <row r="395" spans="1:52">
      <c r="A395" s="216" t="str">
        <f>IF(D395="","",VLOOKUP(G395,códigosORL!$H:$J,3,FALSE))</f>
        <v/>
      </c>
      <c r="B395" s="243"/>
      <c r="C395" s="259"/>
      <c r="D395" s="243"/>
      <c r="E395" s="243"/>
      <c r="F395" s="247"/>
      <c r="G395" s="243"/>
      <c r="H395" s="243"/>
      <c r="I395" s="243"/>
      <c r="J395" s="243"/>
      <c r="K395" s="243"/>
      <c r="L395" s="243"/>
      <c r="M395" s="243"/>
      <c r="N395" s="243"/>
      <c r="O395" s="243"/>
      <c r="P395" s="243"/>
      <c r="Q395" s="243"/>
      <c r="R395" s="243"/>
      <c r="S395" s="243"/>
      <c r="T395" s="243"/>
      <c r="U395" s="243"/>
      <c r="V395" s="243"/>
      <c r="W395" s="243"/>
      <c r="X395" s="243"/>
      <c r="Y395" s="244"/>
      <c r="Z395" s="243"/>
      <c r="AA395" s="245"/>
      <c r="AB395" s="246"/>
      <c r="AC395" s="246"/>
      <c r="AD395" s="246"/>
      <c r="AE395" s="131"/>
      <c r="AF395" s="244"/>
      <c r="AG395" s="243"/>
      <c r="AH395" s="243"/>
      <c r="AI395" s="243"/>
      <c r="AJ395" s="243"/>
      <c r="AK395" s="243"/>
      <c r="AL395" s="243"/>
      <c r="AM395" s="243"/>
      <c r="AN395" s="243"/>
      <c r="AO395" s="243"/>
      <c r="AP395" s="243"/>
      <c r="AQ395" s="243"/>
      <c r="AR395" s="243"/>
      <c r="AS395" s="243"/>
      <c r="AT395" s="243"/>
      <c r="AU395" s="243"/>
      <c r="AV395" s="243"/>
      <c r="AW395" s="243"/>
      <c r="AX395" s="243"/>
      <c r="AY395" s="243"/>
      <c r="AZ395" s="243"/>
    </row>
    <row r="396" spans="1:52">
      <c r="A396" s="216" t="str">
        <f>IF(D396="","",VLOOKUP(G396,códigosORL!$H:$J,3,FALSE))</f>
        <v/>
      </c>
      <c r="B396" s="243"/>
      <c r="C396" s="259"/>
      <c r="D396" s="243"/>
      <c r="E396" s="243"/>
      <c r="F396" s="247"/>
      <c r="G396" s="243"/>
      <c r="H396" s="243"/>
      <c r="I396" s="243"/>
      <c r="J396" s="243"/>
      <c r="K396" s="243"/>
      <c r="L396" s="243"/>
      <c r="M396" s="243"/>
      <c r="N396" s="243"/>
      <c r="O396" s="243"/>
      <c r="P396" s="243"/>
      <c r="Q396" s="243"/>
      <c r="R396" s="243"/>
      <c r="S396" s="243"/>
      <c r="T396" s="243"/>
      <c r="U396" s="243"/>
      <c r="V396" s="243"/>
      <c r="W396" s="243"/>
      <c r="X396" s="243"/>
      <c r="Y396" s="244"/>
      <c r="Z396" s="243"/>
      <c r="AA396" s="245"/>
      <c r="AB396" s="246"/>
      <c r="AC396" s="246"/>
      <c r="AD396" s="246"/>
      <c r="AE396" s="131"/>
      <c r="AF396" s="244"/>
      <c r="AG396" s="243"/>
      <c r="AH396" s="243"/>
      <c r="AI396" s="243"/>
      <c r="AJ396" s="243"/>
      <c r="AK396" s="243"/>
      <c r="AL396" s="243"/>
      <c r="AM396" s="243"/>
      <c r="AN396" s="243"/>
      <c r="AO396" s="243"/>
      <c r="AP396" s="243"/>
      <c r="AQ396" s="243"/>
      <c r="AR396" s="243"/>
      <c r="AS396" s="243"/>
      <c r="AT396" s="243"/>
      <c r="AU396" s="243"/>
      <c r="AV396" s="243"/>
      <c r="AW396" s="243"/>
      <c r="AX396" s="243"/>
      <c r="AY396" s="243"/>
      <c r="AZ396" s="243"/>
    </row>
    <row r="397" spans="1:52">
      <c r="A397" s="216" t="str">
        <f>IF(D397="","",VLOOKUP(G397,códigosORL!$H:$J,3,FALSE))</f>
        <v/>
      </c>
      <c r="B397" s="243"/>
      <c r="C397" s="259"/>
      <c r="D397" s="243"/>
      <c r="E397" s="243"/>
      <c r="F397" s="247"/>
      <c r="G397" s="243"/>
      <c r="H397" s="243"/>
      <c r="I397" s="243"/>
      <c r="J397" s="243"/>
      <c r="K397" s="243"/>
      <c r="L397" s="243"/>
      <c r="M397" s="243"/>
      <c r="N397" s="243"/>
      <c r="O397" s="243"/>
      <c r="P397" s="243"/>
      <c r="Q397" s="243"/>
      <c r="R397" s="243"/>
      <c r="S397" s="243"/>
      <c r="T397" s="243"/>
      <c r="U397" s="243"/>
      <c r="V397" s="243"/>
      <c r="W397" s="243"/>
      <c r="X397" s="243"/>
      <c r="Y397" s="244"/>
      <c r="Z397" s="243"/>
      <c r="AA397" s="245"/>
      <c r="AB397" s="246"/>
      <c r="AC397" s="246"/>
      <c r="AD397" s="246"/>
      <c r="AE397" s="131"/>
      <c r="AF397" s="244"/>
      <c r="AG397" s="243"/>
      <c r="AH397" s="243"/>
      <c r="AI397" s="243"/>
      <c r="AJ397" s="243"/>
      <c r="AK397" s="243"/>
      <c r="AL397" s="243"/>
      <c r="AM397" s="243"/>
      <c r="AN397" s="243"/>
      <c r="AO397" s="243"/>
      <c r="AP397" s="243"/>
      <c r="AQ397" s="243"/>
      <c r="AR397" s="243"/>
      <c r="AS397" s="243"/>
      <c r="AT397" s="243"/>
      <c r="AU397" s="243"/>
      <c r="AV397" s="243"/>
      <c r="AW397" s="243"/>
      <c r="AX397" s="243"/>
      <c r="AY397" s="243"/>
      <c r="AZ397" s="243"/>
    </row>
    <row r="398" spans="1:52">
      <c r="A398" s="216" t="str">
        <f>IF(D398="","",VLOOKUP(G398,códigosORL!$H:$J,3,FALSE))</f>
        <v/>
      </c>
      <c r="B398" s="243"/>
      <c r="C398" s="259"/>
      <c r="D398" s="243"/>
      <c r="E398" s="243"/>
      <c r="F398" s="247"/>
      <c r="G398" s="243"/>
      <c r="H398" s="243"/>
      <c r="I398" s="243"/>
      <c r="J398" s="243"/>
      <c r="K398" s="243"/>
      <c r="L398" s="243"/>
      <c r="M398" s="243"/>
      <c r="N398" s="243"/>
      <c r="O398" s="243"/>
      <c r="P398" s="243"/>
      <c r="Q398" s="243"/>
      <c r="R398" s="243"/>
      <c r="S398" s="243"/>
      <c r="T398" s="243"/>
      <c r="U398" s="243"/>
      <c r="V398" s="243"/>
      <c r="W398" s="243"/>
      <c r="X398" s="243"/>
      <c r="Y398" s="244"/>
      <c r="Z398" s="243"/>
      <c r="AA398" s="245"/>
      <c r="AB398" s="246"/>
      <c r="AC398" s="246"/>
      <c r="AD398" s="246"/>
      <c r="AE398" s="131"/>
      <c r="AF398" s="244"/>
      <c r="AG398" s="243"/>
      <c r="AH398" s="243"/>
      <c r="AI398" s="243"/>
      <c r="AJ398" s="243"/>
      <c r="AK398" s="243"/>
      <c r="AL398" s="243"/>
      <c r="AM398" s="243"/>
      <c r="AN398" s="243"/>
      <c r="AO398" s="243"/>
      <c r="AP398" s="243"/>
      <c r="AQ398" s="243"/>
      <c r="AR398" s="243"/>
      <c r="AS398" s="243"/>
      <c r="AT398" s="243"/>
      <c r="AU398" s="243"/>
      <c r="AV398" s="243"/>
      <c r="AW398" s="243"/>
      <c r="AX398" s="243"/>
      <c r="AY398" s="243"/>
      <c r="AZ398" s="243"/>
    </row>
    <row r="399" spans="1:52">
      <c r="A399" s="216" t="str">
        <f>IF(D399="","",VLOOKUP(G399,códigosORL!$H:$J,3,FALSE))</f>
        <v/>
      </c>
      <c r="B399" s="243"/>
      <c r="C399" s="259"/>
      <c r="D399" s="243"/>
      <c r="E399" s="243"/>
      <c r="F399" s="247"/>
      <c r="G399" s="243"/>
      <c r="H399" s="243"/>
      <c r="I399" s="243"/>
      <c r="J399" s="243"/>
      <c r="K399" s="243"/>
      <c r="L399" s="243"/>
      <c r="M399" s="243"/>
      <c r="N399" s="243"/>
      <c r="O399" s="243"/>
      <c r="P399" s="243"/>
      <c r="Q399" s="243"/>
      <c r="R399" s="243"/>
      <c r="S399" s="243"/>
      <c r="T399" s="243"/>
      <c r="U399" s="243"/>
      <c r="V399" s="243"/>
      <c r="W399" s="243"/>
      <c r="X399" s="243"/>
      <c r="Y399" s="244"/>
      <c r="Z399" s="243"/>
      <c r="AA399" s="245"/>
      <c r="AB399" s="246"/>
      <c r="AC399" s="246"/>
      <c r="AD399" s="246"/>
      <c r="AE399" s="131"/>
      <c r="AF399" s="244"/>
      <c r="AG399" s="243"/>
      <c r="AH399" s="243"/>
      <c r="AI399" s="243"/>
      <c r="AJ399" s="243"/>
      <c r="AK399" s="243"/>
      <c r="AL399" s="243"/>
      <c r="AM399" s="243"/>
      <c r="AN399" s="243"/>
      <c r="AO399" s="243"/>
      <c r="AP399" s="243"/>
      <c r="AQ399" s="243"/>
      <c r="AR399" s="243"/>
      <c r="AS399" s="243"/>
      <c r="AT399" s="243"/>
      <c r="AU399" s="243"/>
      <c r="AV399" s="243"/>
      <c r="AW399" s="243"/>
      <c r="AX399" s="243"/>
      <c r="AY399" s="243"/>
      <c r="AZ399" s="243"/>
    </row>
    <row r="400" spans="1:52">
      <c r="A400" s="216" t="str">
        <f>IF(D400="","",VLOOKUP(G400,códigosORL!$H:$J,3,FALSE))</f>
        <v/>
      </c>
      <c r="B400" s="243"/>
      <c r="C400" s="259"/>
      <c r="D400" s="243"/>
      <c r="E400" s="243"/>
      <c r="F400" s="247"/>
      <c r="G400" s="243"/>
      <c r="H400" s="243"/>
      <c r="I400" s="243"/>
      <c r="J400" s="243"/>
      <c r="K400" s="243"/>
      <c r="L400" s="243"/>
      <c r="M400" s="243"/>
      <c r="N400" s="243"/>
      <c r="O400" s="243"/>
      <c r="P400" s="243"/>
      <c r="Q400" s="243"/>
      <c r="R400" s="243"/>
      <c r="S400" s="243"/>
      <c r="T400" s="243"/>
      <c r="U400" s="243"/>
      <c r="V400" s="243"/>
      <c r="W400" s="243"/>
      <c r="X400" s="243"/>
      <c r="Y400" s="244"/>
      <c r="Z400" s="243"/>
      <c r="AA400" s="245"/>
      <c r="AB400" s="246"/>
      <c r="AC400" s="246"/>
      <c r="AD400" s="246"/>
      <c r="AE400" s="131"/>
      <c r="AF400" s="244"/>
      <c r="AG400" s="243"/>
      <c r="AH400" s="243"/>
      <c r="AI400" s="243"/>
      <c r="AJ400" s="243"/>
      <c r="AK400" s="243"/>
      <c r="AL400" s="243"/>
      <c r="AM400" s="243"/>
      <c r="AN400" s="243"/>
      <c r="AO400" s="243"/>
      <c r="AP400" s="243"/>
      <c r="AQ400" s="243"/>
      <c r="AR400" s="243"/>
      <c r="AS400" s="243"/>
      <c r="AT400" s="243"/>
      <c r="AU400" s="243"/>
      <c r="AV400" s="243"/>
      <c r="AW400" s="243"/>
      <c r="AX400" s="243"/>
      <c r="AY400" s="243"/>
      <c r="AZ400" s="243"/>
    </row>
    <row r="401" spans="1:52">
      <c r="A401" s="216" t="str">
        <f>IF(D401="","",VLOOKUP(G401,códigosORL!$H:$J,3,FALSE))</f>
        <v/>
      </c>
      <c r="B401" s="243"/>
      <c r="C401" s="259"/>
      <c r="D401" s="243"/>
      <c r="E401" s="243"/>
      <c r="F401" s="247"/>
      <c r="G401" s="243"/>
      <c r="H401" s="243"/>
      <c r="I401" s="243"/>
      <c r="J401" s="243"/>
      <c r="K401" s="243"/>
      <c r="L401" s="243"/>
      <c r="M401" s="243"/>
      <c r="N401" s="243"/>
      <c r="O401" s="243"/>
      <c r="P401" s="243"/>
      <c r="Q401" s="243"/>
      <c r="R401" s="243"/>
      <c r="S401" s="243"/>
      <c r="T401" s="243"/>
      <c r="U401" s="243"/>
      <c r="V401" s="243"/>
      <c r="W401" s="243"/>
      <c r="X401" s="243"/>
      <c r="Y401" s="244"/>
      <c r="Z401" s="243"/>
      <c r="AA401" s="245"/>
      <c r="AB401" s="246"/>
      <c r="AC401" s="246"/>
      <c r="AD401" s="246"/>
      <c r="AE401" s="131"/>
      <c r="AF401" s="244"/>
      <c r="AG401" s="243"/>
      <c r="AH401" s="243"/>
      <c r="AI401" s="243"/>
      <c r="AJ401" s="243"/>
      <c r="AK401" s="243"/>
      <c r="AL401" s="243"/>
      <c r="AM401" s="243"/>
      <c r="AN401" s="243"/>
      <c r="AO401" s="243"/>
      <c r="AP401" s="243"/>
      <c r="AQ401" s="243"/>
      <c r="AR401" s="243"/>
      <c r="AS401" s="243"/>
      <c r="AT401" s="243"/>
      <c r="AU401" s="243"/>
      <c r="AV401" s="243"/>
      <c r="AW401" s="243"/>
      <c r="AX401" s="243"/>
      <c r="AY401" s="243"/>
      <c r="AZ401" s="243"/>
    </row>
    <row r="402" spans="1:52">
      <c r="A402" s="216" t="str">
        <f>IF(D402="","",VLOOKUP(G402,códigosORL!$H:$J,3,FALSE))</f>
        <v/>
      </c>
      <c r="B402" s="243"/>
      <c r="C402" s="259"/>
      <c r="D402" s="243"/>
      <c r="E402" s="243"/>
      <c r="F402" s="247"/>
      <c r="G402" s="243"/>
      <c r="H402" s="243"/>
      <c r="I402" s="243"/>
      <c r="J402" s="243"/>
      <c r="K402" s="243"/>
      <c r="L402" s="243"/>
      <c r="M402" s="243"/>
      <c r="N402" s="243"/>
      <c r="O402" s="243"/>
      <c r="P402" s="243"/>
      <c r="Q402" s="243"/>
      <c r="R402" s="243"/>
      <c r="S402" s="243"/>
      <c r="T402" s="243"/>
      <c r="U402" s="243"/>
      <c r="V402" s="243"/>
      <c r="W402" s="243"/>
      <c r="X402" s="243"/>
      <c r="Y402" s="244"/>
      <c r="Z402" s="243"/>
      <c r="AA402" s="245"/>
      <c r="AB402" s="246"/>
      <c r="AC402" s="246"/>
      <c r="AD402" s="246"/>
      <c r="AE402" s="131"/>
      <c r="AF402" s="244"/>
      <c r="AG402" s="243"/>
      <c r="AH402" s="243"/>
      <c r="AI402" s="243"/>
      <c r="AJ402" s="243"/>
      <c r="AK402" s="243"/>
      <c r="AL402" s="243"/>
      <c r="AM402" s="243"/>
      <c r="AN402" s="243"/>
      <c r="AO402" s="243"/>
      <c r="AP402" s="243"/>
      <c r="AQ402" s="243"/>
      <c r="AR402" s="243"/>
      <c r="AS402" s="243"/>
      <c r="AT402" s="243"/>
      <c r="AU402" s="243"/>
      <c r="AV402" s="243"/>
      <c r="AW402" s="243"/>
      <c r="AX402" s="243"/>
      <c r="AY402" s="243"/>
      <c r="AZ402" s="243"/>
    </row>
    <row r="403" spans="1:52">
      <c r="A403" s="216" t="str">
        <f>IF(D403="","",VLOOKUP(G403,códigosORL!$H:$J,3,FALSE))</f>
        <v/>
      </c>
      <c r="B403" s="243"/>
      <c r="C403" s="259"/>
      <c r="D403" s="243"/>
      <c r="E403" s="243"/>
      <c r="F403" s="247"/>
      <c r="G403" s="243"/>
      <c r="H403" s="243"/>
      <c r="I403" s="243"/>
      <c r="J403" s="243"/>
      <c r="K403" s="243"/>
      <c r="L403" s="243"/>
      <c r="M403" s="243"/>
      <c r="N403" s="243"/>
      <c r="O403" s="243"/>
      <c r="P403" s="243"/>
      <c r="Q403" s="243"/>
      <c r="R403" s="243"/>
      <c r="S403" s="243"/>
      <c r="T403" s="243"/>
      <c r="U403" s="243"/>
      <c r="V403" s="243"/>
      <c r="W403" s="243"/>
      <c r="X403" s="243"/>
      <c r="Y403" s="244"/>
      <c r="Z403" s="243"/>
      <c r="AA403" s="245"/>
      <c r="AB403" s="246"/>
      <c r="AC403" s="246"/>
      <c r="AD403" s="246"/>
      <c r="AE403" s="131"/>
      <c r="AF403" s="244"/>
      <c r="AG403" s="243"/>
      <c r="AH403" s="243"/>
      <c r="AI403" s="243"/>
      <c r="AJ403" s="243"/>
      <c r="AK403" s="243"/>
      <c r="AL403" s="243"/>
      <c r="AM403" s="243"/>
      <c r="AN403" s="243"/>
      <c r="AO403" s="243"/>
      <c r="AP403" s="243"/>
      <c r="AQ403" s="243"/>
      <c r="AR403" s="243"/>
      <c r="AS403" s="243"/>
      <c r="AT403" s="243"/>
      <c r="AU403" s="243"/>
      <c r="AV403" s="243"/>
      <c r="AW403" s="243"/>
      <c r="AX403" s="243"/>
      <c r="AY403" s="243"/>
      <c r="AZ403" s="243"/>
    </row>
    <row r="404" spans="1:52">
      <c r="A404" s="216" t="str">
        <f>IF(D404="","",VLOOKUP(G404,códigosORL!$H:$J,3,FALSE))</f>
        <v/>
      </c>
      <c r="B404" s="243"/>
      <c r="C404" s="259"/>
      <c r="D404" s="243"/>
      <c r="E404" s="243"/>
      <c r="F404" s="247"/>
      <c r="G404" s="243"/>
      <c r="H404" s="243"/>
      <c r="I404" s="243"/>
      <c r="J404" s="243"/>
      <c r="K404" s="243"/>
      <c r="L404" s="243"/>
      <c r="M404" s="243"/>
      <c r="N404" s="243"/>
      <c r="O404" s="243"/>
      <c r="P404" s="243"/>
      <c r="Q404" s="243"/>
      <c r="R404" s="243"/>
      <c r="S404" s="243"/>
      <c r="T404" s="243"/>
      <c r="U404" s="243"/>
      <c r="V404" s="243"/>
      <c r="W404" s="243"/>
      <c r="X404" s="243"/>
      <c r="Y404" s="244"/>
      <c r="Z404" s="243"/>
      <c r="AA404" s="245"/>
      <c r="AB404" s="246"/>
      <c r="AC404" s="246"/>
      <c r="AD404" s="246"/>
      <c r="AE404" s="131"/>
      <c r="AF404" s="244"/>
      <c r="AG404" s="243"/>
      <c r="AH404" s="243"/>
      <c r="AI404" s="243"/>
      <c r="AJ404" s="243"/>
      <c r="AK404" s="243"/>
      <c r="AL404" s="243"/>
      <c r="AM404" s="243"/>
      <c r="AN404" s="243"/>
      <c r="AO404" s="243"/>
      <c r="AP404" s="243"/>
      <c r="AQ404" s="243"/>
      <c r="AR404" s="243"/>
      <c r="AS404" s="243"/>
      <c r="AT404" s="243"/>
      <c r="AU404" s="243"/>
      <c r="AV404" s="243"/>
      <c r="AW404" s="243"/>
      <c r="AX404" s="243"/>
      <c r="AY404" s="243"/>
      <c r="AZ404" s="243"/>
    </row>
    <row r="405" spans="1:52">
      <c r="A405" s="216" t="str">
        <f>IF(D405="","",VLOOKUP(G405,códigosORL!$H:$J,3,FALSE))</f>
        <v/>
      </c>
      <c r="B405" s="243"/>
      <c r="C405" s="259"/>
      <c r="D405" s="243"/>
      <c r="E405" s="243"/>
      <c r="F405" s="247"/>
      <c r="G405" s="243"/>
      <c r="H405" s="243"/>
      <c r="I405" s="243"/>
      <c r="J405" s="243"/>
      <c r="K405" s="243"/>
      <c r="L405" s="243"/>
      <c r="M405" s="243"/>
      <c r="N405" s="243"/>
      <c r="O405" s="243"/>
      <c r="P405" s="243"/>
      <c r="Q405" s="243"/>
      <c r="R405" s="243"/>
      <c r="S405" s="243"/>
      <c r="T405" s="243"/>
      <c r="U405" s="243"/>
      <c r="V405" s="243"/>
      <c r="W405" s="243"/>
      <c r="X405" s="243"/>
      <c r="Y405" s="244"/>
      <c r="Z405" s="243"/>
      <c r="AA405" s="245"/>
      <c r="AB405" s="246"/>
      <c r="AC405" s="246"/>
      <c r="AD405" s="246"/>
      <c r="AE405" s="131"/>
      <c r="AF405" s="244"/>
      <c r="AG405" s="243"/>
      <c r="AH405" s="243"/>
      <c r="AI405" s="243"/>
      <c r="AJ405" s="243"/>
      <c r="AK405" s="243"/>
      <c r="AL405" s="243"/>
      <c r="AM405" s="243"/>
      <c r="AN405" s="243"/>
      <c r="AO405" s="243"/>
      <c r="AP405" s="243"/>
      <c r="AQ405" s="243"/>
      <c r="AR405" s="243"/>
      <c r="AS405" s="243"/>
      <c r="AT405" s="243"/>
      <c r="AU405" s="243"/>
      <c r="AV405" s="243"/>
      <c r="AW405" s="243"/>
      <c r="AX405" s="243"/>
      <c r="AY405" s="243"/>
      <c r="AZ405" s="243"/>
    </row>
    <row r="406" spans="1:52">
      <c r="A406" s="216" t="str">
        <f>IF(D406="","",VLOOKUP(G406,códigosORL!$H:$J,3,FALSE))</f>
        <v/>
      </c>
      <c r="B406" s="243"/>
      <c r="C406" s="259"/>
      <c r="D406" s="243"/>
      <c r="E406" s="243"/>
      <c r="F406" s="247"/>
      <c r="G406" s="243"/>
      <c r="H406" s="243"/>
      <c r="I406" s="243"/>
      <c r="J406" s="243"/>
      <c r="K406" s="243"/>
      <c r="L406" s="243"/>
      <c r="M406" s="243"/>
      <c r="N406" s="243"/>
      <c r="O406" s="243"/>
      <c r="P406" s="243"/>
      <c r="Q406" s="243"/>
      <c r="R406" s="243"/>
      <c r="S406" s="243"/>
      <c r="T406" s="243"/>
      <c r="U406" s="243"/>
      <c r="V406" s="243"/>
      <c r="W406" s="243"/>
      <c r="X406" s="243"/>
      <c r="Y406" s="244"/>
      <c r="Z406" s="243"/>
      <c r="AA406" s="245"/>
      <c r="AB406" s="246"/>
      <c r="AC406" s="246"/>
      <c r="AD406" s="246"/>
      <c r="AE406" s="131"/>
      <c r="AF406" s="244"/>
      <c r="AG406" s="243"/>
      <c r="AH406" s="243"/>
      <c r="AI406" s="243"/>
      <c r="AJ406" s="243"/>
      <c r="AK406" s="243"/>
      <c r="AL406" s="243"/>
      <c r="AM406" s="243"/>
      <c r="AN406" s="243"/>
      <c r="AO406" s="243"/>
      <c r="AP406" s="243"/>
      <c r="AQ406" s="243"/>
      <c r="AR406" s="243"/>
      <c r="AS406" s="243"/>
      <c r="AT406" s="243"/>
      <c r="AU406" s="243"/>
      <c r="AV406" s="243"/>
      <c r="AW406" s="243"/>
      <c r="AX406" s="243"/>
      <c r="AY406" s="243"/>
      <c r="AZ406" s="243"/>
    </row>
    <row r="407" spans="1:52">
      <c r="A407" s="216" t="str">
        <f>IF(D407="","",VLOOKUP(G407,códigosORL!$H:$J,3,FALSE))</f>
        <v/>
      </c>
      <c r="B407" s="243"/>
      <c r="C407" s="259"/>
      <c r="D407" s="243"/>
      <c r="E407" s="243"/>
      <c r="F407" s="247"/>
      <c r="G407" s="243"/>
      <c r="H407" s="243"/>
      <c r="I407" s="243"/>
      <c r="J407" s="243"/>
      <c r="K407" s="243"/>
      <c r="L407" s="243"/>
      <c r="M407" s="243"/>
      <c r="N407" s="243"/>
      <c r="O407" s="243"/>
      <c r="P407" s="243"/>
      <c r="Q407" s="243"/>
      <c r="R407" s="243"/>
      <c r="S407" s="243"/>
      <c r="T407" s="243"/>
      <c r="U407" s="243"/>
      <c r="V407" s="243"/>
      <c r="W407" s="243"/>
      <c r="X407" s="243"/>
      <c r="Y407" s="244"/>
      <c r="Z407" s="243"/>
      <c r="AA407" s="245"/>
      <c r="AB407" s="246"/>
      <c r="AC407" s="246"/>
      <c r="AD407" s="246"/>
      <c r="AE407" s="131"/>
      <c r="AF407" s="244"/>
      <c r="AG407" s="243"/>
      <c r="AH407" s="243"/>
      <c r="AI407" s="243"/>
      <c r="AJ407" s="243"/>
      <c r="AK407" s="243"/>
      <c r="AL407" s="243"/>
      <c r="AM407" s="243"/>
      <c r="AN407" s="243"/>
      <c r="AO407" s="243"/>
      <c r="AP407" s="243"/>
      <c r="AQ407" s="243"/>
      <c r="AR407" s="243"/>
      <c r="AS407" s="243"/>
      <c r="AT407" s="243"/>
      <c r="AU407" s="243"/>
      <c r="AV407" s="243"/>
      <c r="AW407" s="243"/>
      <c r="AX407" s="243"/>
      <c r="AY407" s="243"/>
      <c r="AZ407" s="243"/>
    </row>
    <row r="408" spans="1:52">
      <c r="A408" s="216" t="str">
        <f>IF(D408="","",VLOOKUP(G408,códigosORL!$H:$J,3,FALSE))</f>
        <v/>
      </c>
      <c r="B408" s="243"/>
      <c r="C408" s="259"/>
      <c r="D408" s="243"/>
      <c r="E408" s="243"/>
      <c r="F408" s="247"/>
      <c r="G408" s="243"/>
      <c r="H408" s="243"/>
      <c r="I408" s="243"/>
      <c r="J408" s="243"/>
      <c r="K408" s="243"/>
      <c r="L408" s="243"/>
      <c r="M408" s="243"/>
      <c r="N408" s="243"/>
      <c r="O408" s="243"/>
      <c r="P408" s="243"/>
      <c r="Q408" s="243"/>
      <c r="R408" s="243"/>
      <c r="S408" s="243"/>
      <c r="T408" s="243"/>
      <c r="U408" s="243"/>
      <c r="V408" s="243"/>
      <c r="W408" s="243"/>
      <c r="X408" s="243"/>
      <c r="Y408" s="244"/>
      <c r="Z408" s="243"/>
      <c r="AA408" s="245"/>
      <c r="AB408" s="246"/>
      <c r="AC408" s="246"/>
      <c r="AD408" s="246"/>
      <c r="AE408" s="131"/>
      <c r="AF408" s="244"/>
      <c r="AG408" s="243"/>
      <c r="AH408" s="243"/>
      <c r="AI408" s="243"/>
      <c r="AJ408" s="243"/>
      <c r="AK408" s="243"/>
      <c r="AL408" s="243"/>
      <c r="AM408" s="243"/>
      <c r="AN408" s="243"/>
      <c r="AO408" s="243"/>
      <c r="AP408" s="243"/>
      <c r="AQ408" s="243"/>
      <c r="AR408" s="243"/>
      <c r="AS408" s="243"/>
      <c r="AT408" s="243"/>
      <c r="AU408" s="243"/>
      <c r="AV408" s="243"/>
      <c r="AW408" s="243"/>
      <c r="AX408" s="243"/>
      <c r="AY408" s="243"/>
      <c r="AZ408" s="243"/>
    </row>
    <row r="409" spans="1:52">
      <c r="A409" s="216" t="str">
        <f>IF(D409="","",VLOOKUP(G409,códigosORL!$H:$J,3,FALSE))</f>
        <v/>
      </c>
      <c r="B409" s="243"/>
      <c r="C409" s="259"/>
      <c r="D409" s="243"/>
      <c r="E409" s="243"/>
      <c r="F409" s="247"/>
      <c r="G409" s="243"/>
      <c r="H409" s="243"/>
      <c r="I409" s="243"/>
      <c r="J409" s="243"/>
      <c r="K409" s="243"/>
      <c r="L409" s="243"/>
      <c r="M409" s="243"/>
      <c r="N409" s="243"/>
      <c r="O409" s="243"/>
      <c r="P409" s="243"/>
      <c r="Q409" s="243"/>
      <c r="R409" s="243"/>
      <c r="S409" s="243"/>
      <c r="T409" s="243"/>
      <c r="U409" s="243"/>
      <c r="V409" s="243"/>
      <c r="W409" s="243"/>
      <c r="X409" s="243"/>
      <c r="Y409" s="244"/>
      <c r="Z409" s="243"/>
      <c r="AA409" s="245"/>
      <c r="AB409" s="246"/>
      <c r="AC409" s="246"/>
      <c r="AD409" s="246"/>
      <c r="AE409" s="131"/>
      <c r="AF409" s="244"/>
      <c r="AG409" s="243"/>
      <c r="AH409" s="243"/>
      <c r="AI409" s="243"/>
      <c r="AJ409" s="243"/>
      <c r="AK409" s="243"/>
      <c r="AL409" s="243"/>
      <c r="AM409" s="243"/>
      <c r="AN409" s="243"/>
      <c r="AO409" s="243"/>
      <c r="AP409" s="243"/>
      <c r="AQ409" s="243"/>
      <c r="AR409" s="243"/>
      <c r="AS409" s="243"/>
      <c r="AT409" s="243"/>
      <c r="AU409" s="243"/>
      <c r="AV409" s="243"/>
      <c r="AW409" s="243"/>
      <c r="AX409" s="243"/>
      <c r="AY409" s="243"/>
      <c r="AZ409" s="243"/>
    </row>
    <row r="410" spans="1:52">
      <c r="A410" s="216" t="str">
        <f>IF(D410="","",VLOOKUP(G410,códigosORL!$H:$J,3,FALSE))</f>
        <v/>
      </c>
      <c r="B410" s="243"/>
      <c r="C410" s="259"/>
      <c r="D410" s="243"/>
      <c r="E410" s="243"/>
      <c r="F410" s="247"/>
      <c r="G410" s="243"/>
      <c r="H410" s="243"/>
      <c r="I410" s="243"/>
      <c r="J410" s="243"/>
      <c r="K410" s="243"/>
      <c r="L410" s="243"/>
      <c r="M410" s="243"/>
      <c r="N410" s="243"/>
      <c r="O410" s="243"/>
      <c r="P410" s="243"/>
      <c r="Q410" s="243"/>
      <c r="R410" s="243"/>
      <c r="S410" s="243"/>
      <c r="T410" s="243"/>
      <c r="U410" s="243"/>
      <c r="V410" s="243"/>
      <c r="W410" s="243"/>
      <c r="X410" s="243"/>
      <c r="Y410" s="244"/>
      <c r="Z410" s="243"/>
      <c r="AA410" s="245"/>
      <c r="AB410" s="246"/>
      <c r="AC410" s="246"/>
      <c r="AD410" s="246"/>
      <c r="AE410" s="131"/>
      <c r="AF410" s="244"/>
      <c r="AG410" s="243"/>
      <c r="AH410" s="243"/>
      <c r="AI410" s="243"/>
      <c r="AJ410" s="243"/>
      <c r="AK410" s="243"/>
      <c r="AL410" s="243"/>
      <c r="AM410" s="243"/>
      <c r="AN410" s="243"/>
      <c r="AO410" s="243"/>
      <c r="AP410" s="243"/>
      <c r="AQ410" s="243"/>
      <c r="AR410" s="243"/>
      <c r="AS410" s="243"/>
      <c r="AT410" s="243"/>
      <c r="AU410" s="243"/>
      <c r="AV410" s="243"/>
      <c r="AW410" s="243"/>
      <c r="AX410" s="243"/>
      <c r="AY410" s="243"/>
      <c r="AZ410" s="243"/>
    </row>
    <row r="411" spans="1:52">
      <c r="A411" s="216" t="str">
        <f>IF(D411="","",VLOOKUP(G411,códigosORL!$H:$J,3,FALSE))</f>
        <v/>
      </c>
      <c r="B411" s="243"/>
      <c r="C411" s="259"/>
      <c r="D411" s="243"/>
      <c r="E411" s="243"/>
      <c r="F411" s="247"/>
      <c r="G411" s="243"/>
      <c r="H411" s="243"/>
      <c r="I411" s="243"/>
      <c r="J411" s="243"/>
      <c r="K411" s="243"/>
      <c r="L411" s="243"/>
      <c r="M411" s="243"/>
      <c r="N411" s="243"/>
      <c r="O411" s="243"/>
      <c r="P411" s="243"/>
      <c r="Q411" s="243"/>
      <c r="R411" s="243"/>
      <c r="S411" s="243"/>
      <c r="T411" s="243"/>
      <c r="U411" s="243"/>
      <c r="V411" s="243"/>
      <c r="W411" s="243"/>
      <c r="X411" s="243"/>
      <c r="Y411" s="244"/>
      <c r="Z411" s="243"/>
      <c r="AA411" s="245"/>
      <c r="AB411" s="246"/>
      <c r="AC411" s="246"/>
      <c r="AD411" s="246"/>
      <c r="AE411" s="131"/>
      <c r="AF411" s="244"/>
      <c r="AG411" s="243"/>
      <c r="AH411" s="243"/>
      <c r="AI411" s="243"/>
      <c r="AJ411" s="243"/>
      <c r="AK411" s="243"/>
      <c r="AL411" s="243"/>
      <c r="AM411" s="243"/>
      <c r="AN411" s="243"/>
      <c r="AO411" s="243"/>
      <c r="AP411" s="243"/>
      <c r="AQ411" s="243"/>
      <c r="AR411" s="243"/>
      <c r="AS411" s="243"/>
      <c r="AT411" s="243"/>
      <c r="AU411" s="243"/>
      <c r="AV411" s="243"/>
      <c r="AW411" s="243"/>
      <c r="AX411" s="243"/>
      <c r="AY411" s="243"/>
      <c r="AZ411" s="243"/>
    </row>
    <row r="412" spans="1:52">
      <c r="A412" s="216" t="str">
        <f>IF(D412="","",VLOOKUP(G412,códigosORL!$H:$J,3,FALSE))</f>
        <v/>
      </c>
      <c r="B412" s="243"/>
      <c r="C412" s="259"/>
      <c r="D412" s="243"/>
      <c r="E412" s="243"/>
      <c r="F412" s="247"/>
      <c r="G412" s="243"/>
      <c r="H412" s="243"/>
      <c r="I412" s="243"/>
      <c r="J412" s="243"/>
      <c r="K412" s="243"/>
      <c r="L412" s="243"/>
      <c r="M412" s="243"/>
      <c r="N412" s="243"/>
      <c r="O412" s="243"/>
      <c r="P412" s="243"/>
      <c r="Q412" s="243"/>
      <c r="R412" s="243"/>
      <c r="S412" s="243"/>
      <c r="T412" s="243"/>
      <c r="U412" s="243"/>
      <c r="V412" s="243"/>
      <c r="W412" s="243"/>
      <c r="X412" s="243"/>
      <c r="Y412" s="244"/>
      <c r="Z412" s="243"/>
      <c r="AA412" s="245"/>
      <c r="AB412" s="246"/>
      <c r="AC412" s="246"/>
      <c r="AD412" s="246"/>
      <c r="AE412" s="131"/>
      <c r="AF412" s="244"/>
      <c r="AG412" s="243"/>
      <c r="AH412" s="243"/>
      <c r="AI412" s="243"/>
      <c r="AJ412" s="243"/>
      <c r="AK412" s="243"/>
      <c r="AL412" s="243"/>
      <c r="AM412" s="243"/>
      <c r="AN412" s="243"/>
      <c r="AO412" s="243"/>
      <c r="AP412" s="243"/>
      <c r="AQ412" s="243"/>
      <c r="AR412" s="243"/>
      <c r="AS412" s="243"/>
      <c r="AT412" s="243"/>
      <c r="AU412" s="243"/>
      <c r="AV412" s="243"/>
      <c r="AW412" s="243"/>
      <c r="AX412" s="243"/>
      <c r="AY412" s="243"/>
      <c r="AZ412" s="243"/>
    </row>
    <row r="413" spans="1:52">
      <c r="A413" s="216" t="str">
        <f>IF(D413="","",VLOOKUP(G413,códigosORL!$H:$J,3,FALSE))</f>
        <v/>
      </c>
      <c r="B413" s="243"/>
      <c r="C413" s="259"/>
      <c r="D413" s="243"/>
      <c r="E413" s="243"/>
      <c r="F413" s="247"/>
      <c r="G413" s="243"/>
      <c r="H413" s="243"/>
      <c r="I413" s="243"/>
      <c r="J413" s="243"/>
      <c r="K413" s="243"/>
      <c r="L413" s="243"/>
      <c r="M413" s="243"/>
      <c r="N413" s="243"/>
      <c r="O413" s="243"/>
      <c r="P413" s="243"/>
      <c r="Q413" s="243"/>
      <c r="R413" s="243"/>
      <c r="S413" s="243"/>
      <c r="T413" s="243"/>
      <c r="U413" s="243"/>
      <c r="V413" s="243"/>
      <c r="W413" s="243"/>
      <c r="X413" s="243"/>
      <c r="Y413" s="244"/>
      <c r="Z413" s="243"/>
      <c r="AA413" s="245"/>
      <c r="AB413" s="246"/>
      <c r="AC413" s="246"/>
      <c r="AD413" s="246"/>
      <c r="AE413" s="131"/>
      <c r="AF413" s="244"/>
      <c r="AG413" s="243"/>
      <c r="AH413" s="243"/>
      <c r="AI413" s="243"/>
      <c r="AJ413" s="243"/>
      <c r="AK413" s="243"/>
      <c r="AL413" s="243"/>
      <c r="AM413" s="243"/>
      <c r="AN413" s="243"/>
      <c r="AO413" s="243"/>
      <c r="AP413" s="243"/>
      <c r="AQ413" s="243"/>
      <c r="AR413" s="243"/>
      <c r="AS413" s="243"/>
      <c r="AT413" s="243"/>
      <c r="AU413" s="243"/>
      <c r="AV413" s="243"/>
      <c r="AW413" s="243"/>
      <c r="AX413" s="243"/>
      <c r="AY413" s="243"/>
      <c r="AZ413" s="243"/>
    </row>
    <row r="414" spans="1:52">
      <c r="A414" s="216" t="str">
        <f>IF(D414="","",VLOOKUP(G414,códigosORL!$H:$J,3,FALSE))</f>
        <v/>
      </c>
      <c r="B414" s="243"/>
      <c r="C414" s="259"/>
      <c r="D414" s="243"/>
      <c r="E414" s="243"/>
      <c r="F414" s="247"/>
      <c r="G414" s="243"/>
      <c r="H414" s="243"/>
      <c r="I414" s="243"/>
      <c r="J414" s="243"/>
      <c r="K414" s="243"/>
      <c r="L414" s="243"/>
      <c r="M414" s="243"/>
      <c r="N414" s="243"/>
      <c r="O414" s="243"/>
      <c r="P414" s="243"/>
      <c r="Q414" s="243"/>
      <c r="R414" s="243"/>
      <c r="S414" s="243"/>
      <c r="T414" s="243"/>
      <c r="U414" s="243"/>
      <c r="V414" s="243"/>
      <c r="W414" s="243"/>
      <c r="X414" s="243"/>
      <c r="Y414" s="244"/>
      <c r="Z414" s="243"/>
      <c r="AA414" s="245"/>
      <c r="AB414" s="246"/>
      <c r="AC414" s="246"/>
      <c r="AD414" s="246"/>
      <c r="AE414" s="131"/>
      <c r="AF414" s="244"/>
      <c r="AG414" s="243"/>
      <c r="AH414" s="243"/>
      <c r="AI414" s="243"/>
      <c r="AJ414" s="243"/>
      <c r="AK414" s="243"/>
      <c r="AL414" s="243"/>
      <c r="AM414" s="243"/>
      <c r="AN414" s="243"/>
      <c r="AO414" s="243"/>
      <c r="AP414" s="243"/>
      <c r="AQ414" s="243"/>
      <c r="AR414" s="243"/>
      <c r="AS414" s="243"/>
      <c r="AT414" s="243"/>
      <c r="AU414" s="243"/>
      <c r="AV414" s="243"/>
      <c r="AW414" s="243"/>
      <c r="AX414" s="243"/>
      <c r="AY414" s="243"/>
      <c r="AZ414" s="243"/>
    </row>
    <row r="415" spans="1:52">
      <c r="A415" s="216" t="str">
        <f>IF(D415="","",VLOOKUP(G415,códigosORL!$H:$J,3,FALSE))</f>
        <v/>
      </c>
      <c r="B415" s="243"/>
      <c r="C415" s="259"/>
      <c r="D415" s="243"/>
      <c r="E415" s="243"/>
      <c r="F415" s="247"/>
      <c r="G415" s="243"/>
      <c r="H415" s="243"/>
      <c r="I415" s="243"/>
      <c r="J415" s="243"/>
      <c r="K415" s="243"/>
      <c r="L415" s="243"/>
      <c r="M415" s="243"/>
      <c r="N415" s="243"/>
      <c r="O415" s="243"/>
      <c r="P415" s="243"/>
      <c r="Q415" s="243"/>
      <c r="R415" s="243"/>
      <c r="S415" s="243"/>
      <c r="T415" s="243"/>
      <c r="U415" s="243"/>
      <c r="V415" s="243"/>
      <c r="W415" s="243"/>
      <c r="X415" s="243"/>
      <c r="Y415" s="244"/>
      <c r="Z415" s="243"/>
      <c r="AA415" s="245"/>
      <c r="AB415" s="246"/>
      <c r="AC415" s="246"/>
      <c r="AD415" s="246"/>
      <c r="AE415" s="131"/>
      <c r="AF415" s="244"/>
      <c r="AG415" s="243"/>
      <c r="AH415" s="243"/>
      <c r="AI415" s="243"/>
      <c r="AJ415" s="243"/>
      <c r="AK415" s="243"/>
      <c r="AL415" s="243"/>
      <c r="AM415" s="243"/>
      <c r="AN415" s="243"/>
      <c r="AO415" s="243"/>
      <c r="AP415" s="243"/>
      <c r="AQ415" s="243"/>
      <c r="AR415" s="243"/>
      <c r="AS415" s="243"/>
      <c r="AT415" s="243"/>
      <c r="AU415" s="243"/>
      <c r="AV415" s="243"/>
      <c r="AW415" s="243"/>
      <c r="AX415" s="243"/>
      <c r="AY415" s="243"/>
      <c r="AZ415" s="243"/>
    </row>
    <row r="416" spans="1:52">
      <c r="A416" s="216" t="str">
        <f>IF(D416="","",VLOOKUP(G416,códigosORL!$H:$J,3,FALSE))</f>
        <v/>
      </c>
      <c r="B416" s="243"/>
      <c r="C416" s="259"/>
      <c r="D416" s="243"/>
      <c r="E416" s="243"/>
      <c r="F416" s="247"/>
      <c r="G416" s="243"/>
      <c r="H416" s="243"/>
      <c r="I416" s="243"/>
      <c r="J416" s="243"/>
      <c r="K416" s="243"/>
      <c r="L416" s="243"/>
      <c r="M416" s="243"/>
      <c r="N416" s="243"/>
      <c r="O416" s="243"/>
      <c r="P416" s="243"/>
      <c r="Q416" s="243"/>
      <c r="R416" s="243"/>
      <c r="S416" s="243"/>
      <c r="T416" s="243"/>
      <c r="U416" s="243"/>
      <c r="V416" s="243"/>
      <c r="W416" s="243"/>
      <c r="X416" s="243"/>
      <c r="Y416" s="244"/>
      <c r="Z416" s="243"/>
      <c r="AA416" s="245"/>
      <c r="AB416" s="246"/>
      <c r="AC416" s="246"/>
      <c r="AD416" s="246"/>
      <c r="AE416" s="131"/>
      <c r="AF416" s="244"/>
      <c r="AG416" s="243"/>
      <c r="AH416" s="243"/>
      <c r="AI416" s="243"/>
      <c r="AJ416" s="243"/>
      <c r="AK416" s="243"/>
      <c r="AL416" s="243"/>
      <c r="AM416" s="243"/>
      <c r="AN416" s="243"/>
      <c r="AO416" s="243"/>
      <c r="AP416" s="243"/>
      <c r="AQ416" s="243"/>
      <c r="AR416" s="243"/>
      <c r="AS416" s="243"/>
      <c r="AT416" s="243"/>
      <c r="AU416" s="243"/>
      <c r="AV416" s="243"/>
      <c r="AW416" s="243"/>
      <c r="AX416" s="243"/>
      <c r="AY416" s="243"/>
      <c r="AZ416" s="243"/>
    </row>
    <row r="417" spans="1:52">
      <c r="A417" s="216" t="str">
        <f>IF(D417="","",VLOOKUP(G417,códigosORL!$H:$J,3,FALSE))</f>
        <v/>
      </c>
      <c r="B417" s="243"/>
      <c r="C417" s="259"/>
      <c r="D417" s="243"/>
      <c r="E417" s="243"/>
      <c r="F417" s="247"/>
      <c r="G417" s="243"/>
      <c r="H417" s="243"/>
      <c r="I417" s="243"/>
      <c r="J417" s="243"/>
      <c r="K417" s="243"/>
      <c r="L417" s="243"/>
      <c r="M417" s="243"/>
      <c r="N417" s="243"/>
      <c r="O417" s="243"/>
      <c r="P417" s="243"/>
      <c r="Q417" s="243"/>
      <c r="R417" s="243"/>
      <c r="S417" s="243"/>
      <c r="T417" s="243"/>
      <c r="U417" s="243"/>
      <c r="V417" s="243"/>
      <c r="W417" s="243"/>
      <c r="X417" s="243"/>
      <c r="Y417" s="244"/>
      <c r="Z417" s="243"/>
      <c r="AA417" s="245"/>
      <c r="AB417" s="246"/>
      <c r="AC417" s="246"/>
      <c r="AD417" s="246"/>
      <c r="AE417" s="131"/>
      <c r="AF417" s="244"/>
      <c r="AG417" s="243"/>
      <c r="AH417" s="243"/>
      <c r="AI417" s="243"/>
      <c r="AJ417" s="243"/>
      <c r="AK417" s="243"/>
      <c r="AL417" s="243"/>
      <c r="AM417" s="243"/>
      <c r="AN417" s="243"/>
      <c r="AO417" s="243"/>
      <c r="AP417" s="243"/>
      <c r="AQ417" s="243"/>
      <c r="AR417" s="243"/>
      <c r="AS417" s="243"/>
      <c r="AT417" s="243"/>
      <c r="AU417" s="243"/>
      <c r="AV417" s="243"/>
      <c r="AW417" s="243"/>
      <c r="AX417" s="243"/>
      <c r="AY417" s="243"/>
      <c r="AZ417" s="243"/>
    </row>
    <row r="418" spans="1:52">
      <c r="A418" s="216" t="str">
        <f>IF(D418="","",VLOOKUP(G418,códigosORL!$H:$J,3,FALSE))</f>
        <v/>
      </c>
      <c r="B418" s="243"/>
      <c r="C418" s="259"/>
      <c r="D418" s="243"/>
      <c r="E418" s="243"/>
      <c r="F418" s="247"/>
      <c r="G418" s="243"/>
      <c r="H418" s="243"/>
      <c r="I418" s="243"/>
      <c r="J418" s="243"/>
      <c r="K418" s="243"/>
      <c r="L418" s="243"/>
      <c r="M418" s="243"/>
      <c r="N418" s="243"/>
      <c r="O418" s="243"/>
      <c r="P418" s="243"/>
      <c r="Q418" s="243"/>
      <c r="R418" s="243"/>
      <c r="S418" s="243"/>
      <c r="T418" s="243"/>
      <c r="U418" s="243"/>
      <c r="V418" s="243"/>
      <c r="W418" s="243"/>
      <c r="X418" s="243"/>
      <c r="Y418" s="244"/>
      <c r="Z418" s="243"/>
      <c r="AA418" s="245"/>
      <c r="AB418" s="246"/>
      <c r="AC418" s="246"/>
      <c r="AD418" s="246"/>
      <c r="AE418" s="131"/>
      <c r="AF418" s="244"/>
      <c r="AG418" s="243"/>
      <c r="AH418" s="243"/>
      <c r="AI418" s="243"/>
      <c r="AJ418" s="243"/>
      <c r="AK418" s="243"/>
      <c r="AL418" s="243"/>
      <c r="AM418" s="243"/>
      <c r="AN418" s="243"/>
      <c r="AO418" s="243"/>
      <c r="AP418" s="243"/>
      <c r="AQ418" s="243"/>
      <c r="AR418" s="243"/>
      <c r="AS418" s="243"/>
      <c r="AT418" s="243"/>
      <c r="AU418" s="243"/>
      <c r="AV418" s="243"/>
      <c r="AW418" s="243"/>
      <c r="AX418" s="243"/>
      <c r="AY418" s="243"/>
      <c r="AZ418" s="243"/>
    </row>
    <row r="419" spans="1:52">
      <c r="A419" s="216" t="str">
        <f>IF(D419="","",VLOOKUP(G419,códigosORL!$H:$J,3,FALSE))</f>
        <v/>
      </c>
      <c r="B419" s="243"/>
      <c r="C419" s="259"/>
      <c r="D419" s="243"/>
      <c r="E419" s="243"/>
      <c r="F419" s="247"/>
      <c r="G419" s="243"/>
      <c r="H419" s="243"/>
      <c r="I419" s="243"/>
      <c r="J419" s="243"/>
      <c r="K419" s="243"/>
      <c r="L419" s="243"/>
      <c r="M419" s="243"/>
      <c r="N419" s="243"/>
      <c r="O419" s="243"/>
      <c r="P419" s="243"/>
      <c r="Q419" s="243"/>
      <c r="R419" s="243"/>
      <c r="S419" s="243"/>
      <c r="T419" s="243"/>
      <c r="U419" s="243"/>
      <c r="V419" s="243"/>
      <c r="W419" s="243"/>
      <c r="X419" s="243"/>
      <c r="Y419" s="244"/>
      <c r="Z419" s="243"/>
      <c r="AA419" s="245"/>
      <c r="AB419" s="246"/>
      <c r="AC419" s="246"/>
      <c r="AD419" s="246"/>
      <c r="AE419" s="131"/>
      <c r="AF419" s="244"/>
      <c r="AG419" s="243"/>
      <c r="AH419" s="243"/>
      <c r="AI419" s="243"/>
      <c r="AJ419" s="243"/>
      <c r="AK419" s="243"/>
      <c r="AL419" s="243"/>
      <c r="AM419" s="243"/>
      <c r="AN419" s="243"/>
      <c r="AO419" s="243"/>
      <c r="AP419" s="243"/>
      <c r="AQ419" s="243"/>
      <c r="AR419" s="243"/>
      <c r="AS419" s="243"/>
      <c r="AT419" s="243"/>
      <c r="AU419" s="243"/>
      <c r="AV419" s="243"/>
      <c r="AW419" s="243"/>
      <c r="AX419" s="243"/>
      <c r="AY419" s="243"/>
      <c r="AZ419" s="243"/>
    </row>
    <row r="420" spans="1:52">
      <c r="A420" s="216" t="str">
        <f>IF(D420="","",VLOOKUP(G420,códigosORL!$H:$J,3,FALSE))</f>
        <v/>
      </c>
      <c r="B420" s="243"/>
      <c r="C420" s="259"/>
      <c r="D420" s="243"/>
      <c r="E420" s="243"/>
      <c r="F420" s="247"/>
      <c r="G420" s="243"/>
      <c r="H420" s="243"/>
      <c r="I420" s="243"/>
      <c r="J420" s="243"/>
      <c r="K420" s="243"/>
      <c r="L420" s="243"/>
      <c r="M420" s="243"/>
      <c r="N420" s="243"/>
      <c r="O420" s="243"/>
      <c r="P420" s="243"/>
      <c r="Q420" s="243"/>
      <c r="R420" s="243"/>
      <c r="S420" s="243"/>
      <c r="T420" s="243"/>
      <c r="U420" s="243"/>
      <c r="V420" s="243"/>
      <c r="W420" s="243"/>
      <c r="X420" s="243"/>
      <c r="Y420" s="244"/>
      <c r="Z420" s="243"/>
      <c r="AA420" s="245"/>
      <c r="AB420" s="246"/>
      <c r="AC420" s="246"/>
      <c r="AD420" s="246"/>
      <c r="AE420" s="131"/>
      <c r="AF420" s="244"/>
      <c r="AG420" s="243"/>
      <c r="AH420" s="243"/>
      <c r="AI420" s="243"/>
      <c r="AJ420" s="243"/>
      <c r="AK420" s="243"/>
      <c r="AL420" s="243"/>
      <c r="AM420" s="243"/>
      <c r="AN420" s="243"/>
      <c r="AO420" s="243"/>
      <c r="AP420" s="243"/>
      <c r="AQ420" s="243"/>
      <c r="AR420" s="243"/>
      <c r="AS420" s="243"/>
      <c r="AT420" s="243"/>
      <c r="AU420" s="243"/>
      <c r="AV420" s="243"/>
      <c r="AW420" s="243"/>
      <c r="AX420" s="243"/>
      <c r="AY420" s="243"/>
      <c r="AZ420" s="243"/>
    </row>
    <row r="421" spans="1:52">
      <c r="A421" s="216" t="str">
        <f>IF(D421="","",VLOOKUP(G421,códigosORL!$H:$J,3,FALSE))</f>
        <v/>
      </c>
      <c r="B421" s="243"/>
      <c r="C421" s="259"/>
      <c r="D421" s="243"/>
      <c r="E421" s="243"/>
      <c r="F421" s="247"/>
      <c r="G421" s="243"/>
      <c r="H421" s="243"/>
      <c r="I421" s="243"/>
      <c r="J421" s="243"/>
      <c r="K421" s="243"/>
      <c r="L421" s="243"/>
      <c r="M421" s="243"/>
      <c r="N421" s="243"/>
      <c r="O421" s="243"/>
      <c r="P421" s="243"/>
      <c r="Q421" s="243"/>
      <c r="R421" s="243"/>
      <c r="S421" s="243"/>
      <c r="T421" s="243"/>
      <c r="U421" s="243"/>
      <c r="V421" s="243"/>
      <c r="W421" s="243"/>
      <c r="X421" s="243"/>
      <c r="Y421" s="244"/>
      <c r="Z421" s="243"/>
      <c r="AA421" s="245"/>
      <c r="AB421" s="246"/>
      <c r="AC421" s="246"/>
      <c r="AD421" s="246"/>
      <c r="AE421" s="131"/>
      <c r="AF421" s="244"/>
      <c r="AG421" s="243"/>
      <c r="AH421" s="243"/>
      <c r="AI421" s="243"/>
      <c r="AJ421" s="243"/>
      <c r="AK421" s="243"/>
      <c r="AL421" s="243"/>
      <c r="AM421" s="243"/>
      <c r="AN421" s="243"/>
      <c r="AO421" s="243"/>
      <c r="AP421" s="243"/>
      <c r="AQ421" s="243"/>
      <c r="AR421" s="243"/>
      <c r="AS421" s="243"/>
      <c r="AT421" s="243"/>
      <c r="AU421" s="243"/>
      <c r="AV421" s="243"/>
      <c r="AW421" s="243"/>
      <c r="AX421" s="243"/>
      <c r="AY421" s="243"/>
      <c r="AZ421" s="243"/>
    </row>
    <row r="422" spans="1:52">
      <c r="A422" s="216" t="str">
        <f>IF(D422="","",VLOOKUP(G422,códigosORL!$H:$J,3,FALSE))</f>
        <v/>
      </c>
      <c r="B422" s="243"/>
      <c r="C422" s="259"/>
      <c r="D422" s="243"/>
      <c r="E422" s="243"/>
      <c r="F422" s="247"/>
      <c r="G422" s="243"/>
      <c r="H422" s="243"/>
      <c r="I422" s="243"/>
      <c r="J422" s="243"/>
      <c r="K422" s="243"/>
      <c r="L422" s="243"/>
      <c r="M422" s="243"/>
      <c r="N422" s="243"/>
      <c r="O422" s="243"/>
      <c r="P422" s="243"/>
      <c r="Q422" s="243"/>
      <c r="R422" s="243"/>
      <c r="S422" s="243"/>
      <c r="T422" s="243"/>
      <c r="U422" s="243"/>
      <c r="V422" s="243"/>
      <c r="W422" s="243"/>
      <c r="X422" s="243"/>
      <c r="Y422" s="244"/>
      <c r="Z422" s="243"/>
      <c r="AA422" s="245"/>
      <c r="AB422" s="246"/>
      <c r="AC422" s="246"/>
      <c r="AD422" s="246"/>
      <c r="AE422" s="131"/>
      <c r="AF422" s="244"/>
      <c r="AG422" s="243"/>
      <c r="AH422" s="243"/>
      <c r="AI422" s="243"/>
      <c r="AJ422" s="243"/>
      <c r="AK422" s="243"/>
      <c r="AL422" s="243"/>
      <c r="AM422" s="243"/>
      <c r="AN422" s="243"/>
      <c r="AO422" s="243"/>
      <c r="AP422" s="243"/>
      <c r="AQ422" s="243"/>
      <c r="AR422" s="243"/>
      <c r="AS422" s="243"/>
      <c r="AT422" s="243"/>
      <c r="AU422" s="243"/>
      <c r="AV422" s="243"/>
      <c r="AW422" s="243"/>
      <c r="AX422" s="243"/>
      <c r="AY422" s="243"/>
      <c r="AZ422" s="243"/>
    </row>
    <row r="423" spans="1:52">
      <c r="A423" s="216" t="str">
        <f>IF(D423="","",VLOOKUP(G423,códigosORL!$H:$J,3,FALSE))</f>
        <v/>
      </c>
      <c r="B423" s="243"/>
      <c r="C423" s="259"/>
      <c r="D423" s="243"/>
      <c r="E423" s="243"/>
      <c r="F423" s="247"/>
      <c r="G423" s="243"/>
      <c r="H423" s="243"/>
      <c r="I423" s="243"/>
      <c r="J423" s="243"/>
      <c r="K423" s="243"/>
      <c r="L423" s="243"/>
      <c r="M423" s="243"/>
      <c r="N423" s="243"/>
      <c r="O423" s="243"/>
      <c r="P423" s="243"/>
      <c r="Q423" s="243"/>
      <c r="R423" s="243"/>
      <c r="S423" s="243"/>
      <c r="T423" s="243"/>
      <c r="U423" s="243"/>
      <c r="V423" s="243"/>
      <c r="W423" s="243"/>
      <c r="X423" s="243"/>
      <c r="Y423" s="244"/>
      <c r="Z423" s="243"/>
      <c r="AA423" s="245"/>
      <c r="AB423" s="246"/>
      <c r="AC423" s="246"/>
      <c r="AD423" s="246"/>
      <c r="AE423" s="131"/>
      <c r="AF423" s="244"/>
      <c r="AG423" s="243"/>
      <c r="AH423" s="243"/>
      <c r="AI423" s="243"/>
      <c r="AJ423" s="243"/>
      <c r="AK423" s="243"/>
      <c r="AL423" s="243"/>
      <c r="AM423" s="243"/>
      <c r="AN423" s="243"/>
      <c r="AO423" s="243"/>
      <c r="AP423" s="243"/>
      <c r="AQ423" s="243"/>
      <c r="AR423" s="243"/>
      <c r="AS423" s="243"/>
      <c r="AT423" s="243"/>
      <c r="AU423" s="243"/>
      <c r="AV423" s="243"/>
      <c r="AW423" s="243"/>
      <c r="AX423" s="243"/>
      <c r="AY423" s="243"/>
      <c r="AZ423" s="243"/>
    </row>
    <row r="424" spans="1:52">
      <c r="A424" s="216" t="str">
        <f>IF(D424="","",VLOOKUP(G424,códigosORL!$H:$J,3,FALSE))</f>
        <v/>
      </c>
      <c r="B424" s="243"/>
      <c r="C424" s="259"/>
      <c r="D424" s="243"/>
      <c r="E424" s="243"/>
      <c r="F424" s="247"/>
      <c r="G424" s="243"/>
      <c r="H424" s="243"/>
      <c r="I424" s="243"/>
      <c r="J424" s="243"/>
      <c r="K424" s="243"/>
      <c r="L424" s="243"/>
      <c r="M424" s="243"/>
      <c r="N424" s="243"/>
      <c r="O424" s="243"/>
      <c r="P424" s="243"/>
      <c r="Q424" s="243"/>
      <c r="R424" s="243"/>
      <c r="S424" s="243"/>
      <c r="T424" s="243"/>
      <c r="U424" s="243"/>
      <c r="V424" s="243"/>
      <c r="W424" s="243"/>
      <c r="X424" s="243"/>
      <c r="Y424" s="244"/>
      <c r="Z424" s="243"/>
      <c r="AA424" s="245"/>
      <c r="AB424" s="246"/>
      <c r="AC424" s="246"/>
      <c r="AD424" s="246"/>
      <c r="AE424" s="131"/>
      <c r="AF424" s="244"/>
      <c r="AG424" s="243"/>
      <c r="AH424" s="243"/>
      <c r="AI424" s="243"/>
      <c r="AJ424" s="243"/>
      <c r="AK424" s="243"/>
      <c r="AL424" s="243"/>
      <c r="AM424" s="243"/>
      <c r="AN424" s="243"/>
      <c r="AO424" s="243"/>
      <c r="AP424" s="243"/>
      <c r="AQ424" s="243"/>
      <c r="AR424" s="243"/>
      <c r="AS424" s="243"/>
      <c r="AT424" s="243"/>
      <c r="AU424" s="243"/>
      <c r="AV424" s="243"/>
      <c r="AW424" s="243"/>
      <c r="AX424" s="243"/>
      <c r="AY424" s="243"/>
      <c r="AZ424" s="243"/>
    </row>
    <row r="425" spans="1:52">
      <c r="A425" s="216" t="str">
        <f>IF(D425="","",VLOOKUP(G425,códigosORL!$H:$J,3,FALSE))</f>
        <v/>
      </c>
      <c r="B425" s="243"/>
      <c r="C425" s="259"/>
      <c r="D425" s="243"/>
      <c r="E425" s="243"/>
      <c r="F425" s="247"/>
      <c r="G425" s="243"/>
      <c r="H425" s="243"/>
      <c r="I425" s="243"/>
      <c r="J425" s="243"/>
      <c r="K425" s="243"/>
      <c r="L425" s="243"/>
      <c r="M425" s="243"/>
      <c r="N425" s="243"/>
      <c r="O425" s="243"/>
      <c r="P425" s="243"/>
      <c r="Q425" s="243"/>
      <c r="R425" s="243"/>
      <c r="S425" s="243"/>
      <c r="T425" s="243"/>
      <c r="U425" s="243"/>
      <c r="V425" s="243"/>
      <c r="W425" s="243"/>
      <c r="X425" s="243"/>
      <c r="Y425" s="244"/>
      <c r="Z425" s="243"/>
      <c r="AA425" s="245"/>
      <c r="AB425" s="246"/>
      <c r="AC425" s="246"/>
      <c r="AD425" s="246"/>
      <c r="AE425" s="131"/>
      <c r="AF425" s="244"/>
      <c r="AG425" s="243"/>
      <c r="AH425" s="243"/>
      <c r="AI425" s="243"/>
      <c r="AJ425" s="243"/>
      <c r="AK425" s="243"/>
      <c r="AL425" s="243"/>
      <c r="AM425" s="243"/>
      <c r="AN425" s="243"/>
      <c r="AO425" s="243"/>
      <c r="AP425" s="243"/>
      <c r="AQ425" s="243"/>
      <c r="AR425" s="243"/>
      <c r="AS425" s="243"/>
      <c r="AT425" s="243"/>
      <c r="AU425" s="243"/>
      <c r="AV425" s="243"/>
      <c r="AW425" s="243"/>
      <c r="AX425" s="243"/>
      <c r="AY425" s="243"/>
      <c r="AZ425" s="243"/>
    </row>
    <row r="426" spans="1:52">
      <c r="A426" s="216" t="str">
        <f>IF(D426="","",VLOOKUP(G426,códigosORL!$H:$J,3,FALSE))</f>
        <v/>
      </c>
      <c r="B426" s="243"/>
      <c r="C426" s="259"/>
      <c r="D426" s="243"/>
      <c r="E426" s="243"/>
      <c r="F426" s="247"/>
      <c r="G426" s="243"/>
      <c r="H426" s="243"/>
      <c r="I426" s="243"/>
      <c r="J426" s="243"/>
      <c r="K426" s="243"/>
      <c r="L426" s="243"/>
      <c r="M426" s="243"/>
      <c r="N426" s="243"/>
      <c r="O426" s="243"/>
      <c r="P426" s="243"/>
      <c r="Q426" s="243"/>
      <c r="R426" s="243"/>
      <c r="S426" s="243"/>
      <c r="T426" s="243"/>
      <c r="U426" s="243"/>
      <c r="V426" s="243"/>
      <c r="W426" s="243"/>
      <c r="X426" s="243"/>
      <c r="Y426" s="244"/>
      <c r="Z426" s="243"/>
      <c r="AA426" s="245"/>
      <c r="AB426" s="246"/>
      <c r="AC426" s="246"/>
      <c r="AD426" s="246"/>
      <c r="AE426" s="131"/>
      <c r="AF426" s="244"/>
      <c r="AG426" s="243"/>
      <c r="AH426" s="243"/>
      <c r="AI426" s="243"/>
      <c r="AJ426" s="243"/>
      <c r="AK426" s="243"/>
      <c r="AL426" s="243"/>
      <c r="AM426" s="243"/>
      <c r="AN426" s="243"/>
      <c r="AO426" s="243"/>
      <c r="AP426" s="243"/>
      <c r="AQ426" s="243"/>
      <c r="AR426" s="243"/>
      <c r="AS426" s="243"/>
      <c r="AT426" s="243"/>
      <c r="AU426" s="243"/>
      <c r="AV426" s="243"/>
      <c r="AW426" s="243"/>
      <c r="AX426" s="243"/>
      <c r="AY426" s="243"/>
      <c r="AZ426" s="243"/>
    </row>
    <row r="427" spans="1:52">
      <c r="A427" s="216" t="str">
        <f>IF(D427="","",VLOOKUP(G427,códigosORL!$H:$J,3,FALSE))</f>
        <v/>
      </c>
      <c r="B427" s="243"/>
      <c r="C427" s="259"/>
      <c r="D427" s="243"/>
      <c r="E427" s="243"/>
      <c r="F427" s="247"/>
      <c r="G427" s="243"/>
      <c r="H427" s="243"/>
      <c r="I427" s="243"/>
      <c r="J427" s="243"/>
      <c r="K427" s="243"/>
      <c r="L427" s="243"/>
      <c r="M427" s="243"/>
      <c r="N427" s="243"/>
      <c r="O427" s="243"/>
      <c r="P427" s="243"/>
      <c r="Q427" s="243"/>
      <c r="R427" s="243"/>
      <c r="S427" s="243"/>
      <c r="T427" s="243"/>
      <c r="U427" s="243"/>
      <c r="V427" s="243"/>
      <c r="W427" s="243"/>
      <c r="X427" s="243"/>
      <c r="Y427" s="244"/>
      <c r="Z427" s="243"/>
      <c r="AA427" s="245"/>
      <c r="AB427" s="246"/>
      <c r="AC427" s="246"/>
      <c r="AD427" s="246"/>
      <c r="AE427" s="131"/>
      <c r="AF427" s="244"/>
      <c r="AG427" s="243"/>
      <c r="AH427" s="243"/>
      <c r="AI427" s="243"/>
      <c r="AJ427" s="243"/>
      <c r="AK427" s="243"/>
      <c r="AL427" s="243"/>
      <c r="AM427" s="243"/>
      <c r="AN427" s="243"/>
      <c r="AO427" s="243"/>
      <c r="AP427" s="243"/>
      <c r="AQ427" s="243"/>
      <c r="AR427" s="243"/>
      <c r="AS427" s="243"/>
      <c r="AT427" s="243"/>
      <c r="AU427" s="243"/>
      <c r="AV427" s="243"/>
      <c r="AW427" s="243"/>
      <c r="AX427" s="243"/>
      <c r="AY427" s="243"/>
      <c r="AZ427" s="243"/>
    </row>
    <row r="428" spans="1:52">
      <c r="A428" s="216" t="str">
        <f>IF(D428="","",VLOOKUP(G428,códigosORL!$H:$J,3,FALSE))</f>
        <v/>
      </c>
      <c r="B428" s="243"/>
      <c r="C428" s="259"/>
      <c r="D428" s="243"/>
      <c r="E428" s="243"/>
      <c r="F428" s="247"/>
      <c r="G428" s="243"/>
      <c r="H428" s="243"/>
      <c r="I428" s="243"/>
      <c r="J428" s="243"/>
      <c r="K428" s="243"/>
      <c r="L428" s="243"/>
      <c r="M428" s="243"/>
      <c r="N428" s="243"/>
      <c r="O428" s="243"/>
      <c r="P428" s="243"/>
      <c r="Q428" s="243"/>
      <c r="R428" s="243"/>
      <c r="S428" s="243"/>
      <c r="T428" s="243"/>
      <c r="U428" s="243"/>
      <c r="V428" s="243"/>
      <c r="W428" s="243"/>
      <c r="X428" s="243"/>
      <c r="Y428" s="244"/>
      <c r="Z428" s="243"/>
      <c r="AA428" s="245"/>
      <c r="AB428" s="246"/>
      <c r="AC428" s="246"/>
      <c r="AD428" s="246"/>
      <c r="AE428" s="131"/>
      <c r="AF428" s="244"/>
      <c r="AG428" s="243"/>
      <c r="AH428" s="243"/>
      <c r="AI428" s="243"/>
      <c r="AJ428" s="243"/>
      <c r="AK428" s="243"/>
      <c r="AL428" s="243"/>
      <c r="AM428" s="243"/>
      <c r="AN428" s="243"/>
      <c r="AO428" s="243"/>
      <c r="AP428" s="243"/>
      <c r="AQ428" s="243"/>
      <c r="AR428" s="243"/>
      <c r="AS428" s="243"/>
      <c r="AT428" s="243"/>
      <c r="AU428" s="243"/>
      <c r="AV428" s="243"/>
      <c r="AW428" s="243"/>
      <c r="AX428" s="243"/>
      <c r="AY428" s="243"/>
      <c r="AZ428" s="243"/>
    </row>
    <row r="429" spans="1:52">
      <c r="A429" s="216" t="str">
        <f>IF(D429="","",VLOOKUP(G429,códigosORL!$H:$J,3,FALSE))</f>
        <v/>
      </c>
      <c r="B429" s="243"/>
      <c r="C429" s="259"/>
      <c r="D429" s="243"/>
      <c r="E429" s="243"/>
      <c r="F429" s="247"/>
      <c r="G429" s="243"/>
      <c r="H429" s="243"/>
      <c r="I429" s="243"/>
      <c r="J429" s="243"/>
      <c r="K429" s="243"/>
      <c r="L429" s="243"/>
      <c r="M429" s="243"/>
      <c r="N429" s="243"/>
      <c r="O429" s="243"/>
      <c r="P429" s="243"/>
      <c r="Q429" s="243"/>
      <c r="R429" s="243"/>
      <c r="S429" s="243"/>
      <c r="T429" s="243"/>
      <c r="U429" s="243"/>
      <c r="V429" s="243"/>
      <c r="W429" s="243"/>
      <c r="X429" s="243"/>
      <c r="Y429" s="244"/>
      <c r="Z429" s="243"/>
      <c r="AA429" s="245"/>
      <c r="AB429" s="246"/>
      <c r="AC429" s="246"/>
      <c r="AD429" s="246"/>
      <c r="AE429" s="131"/>
      <c r="AF429" s="244"/>
      <c r="AG429" s="243"/>
      <c r="AH429" s="243"/>
      <c r="AI429" s="243"/>
      <c r="AJ429" s="243"/>
      <c r="AK429" s="243"/>
      <c r="AL429" s="243"/>
      <c r="AM429" s="243"/>
      <c r="AN429" s="243"/>
      <c r="AO429" s="243"/>
      <c r="AP429" s="243"/>
      <c r="AQ429" s="243"/>
      <c r="AR429" s="243"/>
      <c r="AS429" s="243"/>
      <c r="AT429" s="243"/>
      <c r="AU429" s="243"/>
      <c r="AV429" s="243"/>
      <c r="AW429" s="243"/>
      <c r="AX429" s="243"/>
      <c r="AY429" s="243"/>
      <c r="AZ429" s="243"/>
    </row>
    <row r="430" spans="1:52">
      <c r="A430" s="216" t="str">
        <f>IF(D430="","",VLOOKUP(G430,códigosORL!$H:$J,3,FALSE))</f>
        <v/>
      </c>
      <c r="B430" s="243"/>
      <c r="C430" s="259"/>
      <c r="D430" s="243"/>
      <c r="E430" s="243"/>
      <c r="F430" s="247"/>
      <c r="G430" s="243"/>
      <c r="H430" s="243"/>
      <c r="I430" s="243"/>
      <c r="J430" s="243"/>
      <c r="K430" s="243"/>
      <c r="L430" s="243"/>
      <c r="M430" s="243"/>
      <c r="N430" s="243"/>
      <c r="O430" s="243"/>
      <c r="P430" s="243"/>
      <c r="Q430" s="243"/>
      <c r="R430" s="243"/>
      <c r="S430" s="243"/>
      <c r="T430" s="243"/>
      <c r="U430" s="243"/>
      <c r="V430" s="243"/>
      <c r="W430" s="243"/>
      <c r="X430" s="243"/>
      <c r="Y430" s="244"/>
      <c r="Z430" s="243"/>
      <c r="AA430" s="245"/>
      <c r="AB430" s="246"/>
      <c r="AC430" s="246"/>
      <c r="AD430" s="246"/>
      <c r="AE430" s="131"/>
      <c r="AF430" s="244"/>
      <c r="AG430" s="243"/>
      <c r="AH430" s="243"/>
      <c r="AI430" s="243"/>
      <c r="AJ430" s="243"/>
      <c r="AK430" s="243"/>
      <c r="AL430" s="243"/>
      <c r="AM430" s="243"/>
      <c r="AN430" s="243"/>
      <c r="AO430" s="243"/>
      <c r="AP430" s="243"/>
      <c r="AQ430" s="243"/>
      <c r="AR430" s="243"/>
      <c r="AS430" s="243"/>
      <c r="AT430" s="243"/>
      <c r="AU430" s="243"/>
      <c r="AV430" s="243"/>
      <c r="AW430" s="243"/>
      <c r="AX430" s="243"/>
      <c r="AY430" s="243"/>
      <c r="AZ430" s="243"/>
    </row>
    <row r="431" spans="1:52">
      <c r="A431" s="216" t="str">
        <f>IF(D431="","",VLOOKUP(G431,códigosORL!$H:$J,3,FALSE))</f>
        <v/>
      </c>
      <c r="B431" s="243"/>
      <c r="C431" s="259"/>
      <c r="D431" s="243"/>
      <c r="E431" s="243"/>
      <c r="F431" s="247"/>
      <c r="G431" s="243"/>
      <c r="H431" s="243"/>
      <c r="I431" s="243"/>
      <c r="J431" s="243"/>
      <c r="K431" s="243"/>
      <c r="L431" s="243"/>
      <c r="M431" s="243"/>
      <c r="N431" s="243"/>
      <c r="O431" s="243"/>
      <c r="P431" s="243"/>
      <c r="Q431" s="243"/>
      <c r="R431" s="243"/>
      <c r="S431" s="243"/>
      <c r="T431" s="243"/>
      <c r="U431" s="243"/>
      <c r="V431" s="243"/>
      <c r="W431" s="243"/>
      <c r="X431" s="243"/>
      <c r="Y431" s="244"/>
      <c r="Z431" s="243"/>
      <c r="AA431" s="245"/>
      <c r="AB431" s="246"/>
      <c r="AC431" s="246"/>
      <c r="AD431" s="246"/>
      <c r="AE431" s="131"/>
      <c r="AF431" s="244"/>
      <c r="AG431" s="243"/>
      <c r="AH431" s="243"/>
      <c r="AI431" s="243"/>
      <c r="AJ431" s="243"/>
      <c r="AK431" s="243"/>
      <c r="AL431" s="243"/>
      <c r="AM431" s="243"/>
      <c r="AN431" s="243"/>
      <c r="AO431" s="243"/>
      <c r="AP431" s="243"/>
      <c r="AQ431" s="243"/>
      <c r="AR431" s="243"/>
      <c r="AS431" s="243"/>
      <c r="AT431" s="243"/>
      <c r="AU431" s="243"/>
      <c r="AV431" s="243"/>
      <c r="AW431" s="243"/>
      <c r="AX431" s="243"/>
      <c r="AY431" s="243"/>
      <c r="AZ431" s="243"/>
    </row>
    <row r="432" spans="1:52">
      <c r="A432" s="216" t="str">
        <f>IF(D432="","",VLOOKUP(G432,códigosORL!$H:$J,3,FALSE))</f>
        <v/>
      </c>
      <c r="B432" s="243"/>
      <c r="C432" s="259"/>
      <c r="D432" s="243"/>
      <c r="E432" s="243"/>
      <c r="F432" s="247"/>
      <c r="G432" s="243"/>
      <c r="H432" s="243"/>
      <c r="I432" s="243"/>
      <c r="J432" s="243"/>
      <c r="K432" s="243"/>
      <c r="L432" s="243"/>
      <c r="M432" s="243"/>
      <c r="N432" s="243"/>
      <c r="O432" s="243"/>
      <c r="P432" s="243"/>
      <c r="Q432" s="243"/>
      <c r="R432" s="243"/>
      <c r="S432" s="243"/>
      <c r="T432" s="243"/>
      <c r="U432" s="243"/>
      <c r="V432" s="243"/>
      <c r="W432" s="243"/>
      <c r="X432" s="243"/>
      <c r="Y432" s="244"/>
      <c r="Z432" s="243"/>
      <c r="AA432" s="245"/>
      <c r="AB432" s="246"/>
      <c r="AC432" s="246"/>
      <c r="AD432" s="246"/>
      <c r="AE432" s="131"/>
      <c r="AF432" s="244"/>
      <c r="AG432" s="243"/>
      <c r="AH432" s="243"/>
      <c r="AI432" s="243"/>
      <c r="AJ432" s="243"/>
      <c r="AK432" s="243"/>
      <c r="AL432" s="243"/>
      <c r="AM432" s="243"/>
      <c r="AN432" s="243"/>
      <c r="AO432" s="243"/>
      <c r="AP432" s="243"/>
      <c r="AQ432" s="243"/>
      <c r="AR432" s="243"/>
      <c r="AS432" s="243"/>
      <c r="AT432" s="243"/>
      <c r="AU432" s="243"/>
      <c r="AV432" s="243"/>
      <c r="AW432" s="243"/>
      <c r="AX432" s="243"/>
      <c r="AY432" s="243"/>
      <c r="AZ432" s="243"/>
    </row>
    <row r="433" spans="1:52">
      <c r="A433" s="216" t="str">
        <f>IF(D433="","",VLOOKUP(G433,códigosORL!$H:$J,3,FALSE))</f>
        <v/>
      </c>
      <c r="B433" s="243"/>
      <c r="C433" s="259"/>
      <c r="D433" s="243"/>
      <c r="E433" s="243"/>
      <c r="F433" s="247"/>
      <c r="G433" s="243"/>
      <c r="H433" s="243"/>
      <c r="I433" s="243"/>
      <c r="J433" s="243"/>
      <c r="K433" s="243"/>
      <c r="L433" s="243"/>
      <c r="M433" s="243"/>
      <c r="N433" s="243"/>
      <c r="O433" s="243"/>
      <c r="P433" s="243"/>
      <c r="Q433" s="243"/>
      <c r="R433" s="243"/>
      <c r="S433" s="243"/>
      <c r="T433" s="243"/>
      <c r="U433" s="243"/>
      <c r="V433" s="243"/>
      <c r="W433" s="243"/>
      <c r="X433" s="243"/>
      <c r="Y433" s="244"/>
      <c r="Z433" s="243"/>
      <c r="AA433" s="245"/>
      <c r="AB433" s="246"/>
      <c r="AC433" s="246"/>
      <c r="AD433" s="246"/>
      <c r="AE433" s="131"/>
      <c r="AF433" s="244"/>
      <c r="AG433" s="243"/>
      <c r="AH433" s="243"/>
      <c r="AI433" s="243"/>
      <c r="AJ433" s="243"/>
      <c r="AK433" s="243"/>
      <c r="AL433" s="243"/>
      <c r="AM433" s="243"/>
      <c r="AN433" s="243"/>
      <c r="AO433" s="243"/>
      <c r="AP433" s="243"/>
      <c r="AQ433" s="243"/>
      <c r="AR433" s="243"/>
      <c r="AS433" s="243"/>
      <c r="AT433" s="243"/>
      <c r="AU433" s="243"/>
      <c r="AV433" s="243"/>
      <c r="AW433" s="243"/>
      <c r="AX433" s="243"/>
      <c r="AY433" s="243"/>
      <c r="AZ433" s="243"/>
    </row>
    <row r="434" spans="1:52">
      <c r="A434" s="216" t="str">
        <f>IF(D434="","",VLOOKUP(G434,códigosORL!$H:$J,3,FALSE))</f>
        <v/>
      </c>
      <c r="B434" s="243"/>
      <c r="C434" s="259"/>
      <c r="D434" s="243"/>
      <c r="E434" s="243"/>
      <c r="F434" s="247"/>
      <c r="G434" s="243"/>
      <c r="H434" s="243"/>
      <c r="I434" s="243"/>
      <c r="J434" s="243"/>
      <c r="K434" s="243"/>
      <c r="L434" s="243"/>
      <c r="M434" s="243"/>
      <c r="N434" s="243"/>
      <c r="O434" s="243"/>
      <c r="P434" s="243"/>
      <c r="Q434" s="243"/>
      <c r="R434" s="243"/>
      <c r="S434" s="243"/>
      <c r="T434" s="243"/>
      <c r="U434" s="243"/>
      <c r="V434" s="243"/>
      <c r="W434" s="243"/>
      <c r="X434" s="243"/>
      <c r="Y434" s="244"/>
      <c r="Z434" s="243"/>
      <c r="AA434" s="245"/>
      <c r="AB434" s="246"/>
      <c r="AC434" s="246"/>
      <c r="AD434" s="246"/>
      <c r="AE434" s="131"/>
      <c r="AF434" s="244"/>
      <c r="AG434" s="243"/>
      <c r="AH434" s="243"/>
      <c r="AI434" s="243"/>
      <c r="AJ434" s="243"/>
      <c r="AK434" s="243"/>
      <c r="AL434" s="243"/>
      <c r="AM434" s="243"/>
      <c r="AN434" s="243"/>
      <c r="AO434" s="243"/>
      <c r="AP434" s="243"/>
      <c r="AQ434" s="243"/>
      <c r="AR434" s="243"/>
      <c r="AS434" s="243"/>
      <c r="AT434" s="243"/>
      <c r="AU434" s="243"/>
      <c r="AV434" s="243"/>
      <c r="AW434" s="243"/>
      <c r="AX434" s="243"/>
      <c r="AY434" s="243"/>
      <c r="AZ434" s="243"/>
    </row>
    <row r="435" spans="1:52">
      <c r="A435" s="216" t="str">
        <f>IF(D435="","",VLOOKUP(G435,códigosORL!$H:$J,3,FALSE))</f>
        <v/>
      </c>
      <c r="B435" s="243"/>
      <c r="C435" s="259"/>
      <c r="D435" s="243"/>
      <c r="E435" s="243"/>
      <c r="F435" s="247"/>
      <c r="G435" s="243"/>
      <c r="H435" s="243"/>
      <c r="I435" s="243"/>
      <c r="J435" s="243"/>
      <c r="K435" s="243"/>
      <c r="L435" s="243"/>
      <c r="M435" s="243"/>
      <c r="N435" s="243"/>
      <c r="O435" s="243"/>
      <c r="P435" s="243"/>
      <c r="Q435" s="243"/>
      <c r="R435" s="243"/>
      <c r="S435" s="243"/>
      <c r="T435" s="243"/>
      <c r="U435" s="243"/>
      <c r="V435" s="243"/>
      <c r="W435" s="243"/>
      <c r="X435" s="243"/>
      <c r="Y435" s="244"/>
      <c r="Z435" s="243"/>
      <c r="AA435" s="245"/>
      <c r="AB435" s="246"/>
      <c r="AC435" s="246"/>
      <c r="AD435" s="246"/>
      <c r="AE435" s="131"/>
      <c r="AF435" s="244"/>
      <c r="AG435" s="243"/>
      <c r="AH435" s="243"/>
      <c r="AI435" s="243"/>
      <c r="AJ435" s="243"/>
      <c r="AK435" s="243"/>
      <c r="AL435" s="243"/>
      <c r="AM435" s="243"/>
      <c r="AN435" s="243"/>
      <c r="AO435" s="243"/>
      <c r="AP435" s="243"/>
      <c r="AQ435" s="243"/>
      <c r="AR435" s="243"/>
      <c r="AS435" s="243"/>
      <c r="AT435" s="243"/>
      <c r="AU435" s="243"/>
      <c r="AV435" s="243"/>
      <c r="AW435" s="243"/>
      <c r="AX435" s="243"/>
      <c r="AY435" s="243"/>
      <c r="AZ435" s="243"/>
    </row>
    <row r="436" spans="1:52">
      <c r="A436" s="216" t="str">
        <f>IF(D436="","",VLOOKUP(G436,códigosORL!$H:$J,3,FALSE))</f>
        <v/>
      </c>
      <c r="B436" s="243"/>
      <c r="C436" s="259"/>
      <c r="D436" s="243"/>
      <c r="E436" s="243"/>
      <c r="F436" s="247"/>
      <c r="G436" s="243"/>
      <c r="H436" s="243"/>
      <c r="I436" s="243"/>
      <c r="J436" s="243"/>
      <c r="K436" s="243"/>
      <c r="L436" s="243"/>
      <c r="M436" s="243"/>
      <c r="N436" s="243"/>
      <c r="O436" s="243"/>
      <c r="P436" s="243"/>
      <c r="Q436" s="243"/>
      <c r="R436" s="243"/>
      <c r="S436" s="243"/>
      <c r="T436" s="243"/>
      <c r="U436" s="243"/>
      <c r="V436" s="243"/>
      <c r="W436" s="243"/>
      <c r="X436" s="243"/>
      <c r="Y436" s="244"/>
      <c r="Z436" s="243"/>
      <c r="AA436" s="245"/>
      <c r="AB436" s="246"/>
      <c r="AC436" s="246"/>
      <c r="AD436" s="246"/>
      <c r="AE436" s="131"/>
      <c r="AF436" s="244"/>
      <c r="AG436" s="243"/>
      <c r="AH436" s="243"/>
      <c r="AI436" s="243"/>
      <c r="AJ436" s="243"/>
      <c r="AK436" s="243"/>
      <c r="AL436" s="243"/>
      <c r="AM436" s="243"/>
      <c r="AN436" s="243"/>
      <c r="AO436" s="243"/>
      <c r="AP436" s="243"/>
      <c r="AQ436" s="243"/>
      <c r="AR436" s="243"/>
      <c r="AS436" s="243"/>
      <c r="AT436" s="243"/>
      <c r="AU436" s="243"/>
      <c r="AV436" s="243"/>
      <c r="AW436" s="243"/>
      <c r="AX436" s="243"/>
      <c r="AY436" s="243"/>
      <c r="AZ436" s="243"/>
    </row>
    <row r="437" spans="1:52">
      <c r="A437" s="216" t="str">
        <f>IF(D437="","",VLOOKUP(G437,códigosORL!$H:$J,3,FALSE))</f>
        <v/>
      </c>
      <c r="B437" s="243"/>
      <c r="C437" s="259"/>
      <c r="D437" s="243"/>
      <c r="E437" s="243"/>
      <c r="F437" s="247"/>
      <c r="G437" s="243"/>
      <c r="H437" s="243"/>
      <c r="I437" s="243"/>
      <c r="J437" s="243"/>
      <c r="K437" s="243"/>
      <c r="L437" s="243"/>
      <c r="M437" s="243"/>
      <c r="N437" s="243"/>
      <c r="O437" s="243"/>
      <c r="P437" s="243"/>
      <c r="Q437" s="243"/>
      <c r="R437" s="243"/>
      <c r="S437" s="243"/>
      <c r="T437" s="243"/>
      <c r="U437" s="243"/>
      <c r="V437" s="243"/>
      <c r="W437" s="243"/>
      <c r="X437" s="243"/>
      <c r="Y437" s="244"/>
      <c r="Z437" s="243"/>
      <c r="AA437" s="245"/>
      <c r="AB437" s="246"/>
      <c r="AC437" s="246"/>
      <c r="AD437" s="246"/>
      <c r="AE437" s="131"/>
      <c r="AF437" s="244"/>
      <c r="AG437" s="243"/>
      <c r="AH437" s="243"/>
      <c r="AI437" s="243"/>
      <c r="AJ437" s="243"/>
      <c r="AK437" s="243"/>
      <c r="AL437" s="243"/>
      <c r="AM437" s="243"/>
      <c r="AN437" s="243"/>
      <c r="AO437" s="243"/>
      <c r="AP437" s="243"/>
      <c r="AQ437" s="243"/>
      <c r="AR437" s="243"/>
      <c r="AS437" s="243"/>
      <c r="AT437" s="243"/>
      <c r="AU437" s="243"/>
      <c r="AV437" s="243"/>
      <c r="AW437" s="243"/>
      <c r="AX437" s="243"/>
      <c r="AY437" s="243"/>
      <c r="AZ437" s="243"/>
    </row>
    <row r="438" spans="1:52">
      <c r="A438" s="216" t="str">
        <f>IF(D438="","",VLOOKUP(G438,códigosORL!$H:$J,3,FALSE))</f>
        <v/>
      </c>
      <c r="B438" s="243"/>
      <c r="C438" s="259"/>
      <c r="D438" s="243"/>
      <c r="E438" s="243"/>
      <c r="F438" s="247"/>
      <c r="G438" s="243"/>
      <c r="H438" s="243"/>
      <c r="I438" s="243"/>
      <c r="J438" s="243"/>
      <c r="K438" s="243"/>
      <c r="L438" s="243"/>
      <c r="M438" s="243"/>
      <c r="N438" s="243"/>
      <c r="O438" s="243"/>
      <c r="P438" s="243"/>
      <c r="Q438" s="243"/>
      <c r="R438" s="243"/>
      <c r="S438" s="243"/>
      <c r="T438" s="243"/>
      <c r="U438" s="243"/>
      <c r="V438" s="243"/>
      <c r="W438" s="243"/>
      <c r="X438" s="243"/>
      <c r="Y438" s="244"/>
      <c r="Z438" s="243"/>
      <c r="AA438" s="245"/>
      <c r="AB438" s="246"/>
      <c r="AC438" s="246"/>
      <c r="AD438" s="246"/>
      <c r="AE438" s="131"/>
      <c r="AF438" s="244"/>
      <c r="AG438" s="243"/>
      <c r="AH438" s="243"/>
      <c r="AI438" s="243"/>
      <c r="AJ438" s="243"/>
      <c r="AK438" s="243"/>
      <c r="AL438" s="243"/>
      <c r="AM438" s="243"/>
      <c r="AN438" s="243"/>
      <c r="AO438" s="243"/>
      <c r="AP438" s="243"/>
      <c r="AQ438" s="243"/>
      <c r="AR438" s="243"/>
      <c r="AS438" s="243"/>
      <c r="AT438" s="243"/>
      <c r="AU438" s="243"/>
      <c r="AV438" s="243"/>
      <c r="AW438" s="243"/>
      <c r="AX438" s="243"/>
      <c r="AY438" s="243"/>
      <c r="AZ438" s="243"/>
    </row>
    <row r="439" spans="1:52">
      <c r="A439" s="216" t="str">
        <f>IF(D439="","",VLOOKUP(G439,códigosORL!$H:$J,3,FALSE))</f>
        <v/>
      </c>
      <c r="B439" s="243"/>
      <c r="C439" s="259"/>
      <c r="D439" s="243"/>
      <c r="E439" s="243"/>
      <c r="F439" s="247"/>
      <c r="G439" s="243"/>
      <c r="H439" s="243"/>
      <c r="I439" s="243"/>
      <c r="J439" s="243"/>
      <c r="K439" s="243"/>
      <c r="L439" s="243"/>
      <c r="M439" s="243"/>
      <c r="N439" s="243"/>
      <c r="O439" s="243"/>
      <c r="P439" s="243"/>
      <c r="Q439" s="243"/>
      <c r="R439" s="243"/>
      <c r="S439" s="243"/>
      <c r="T439" s="243"/>
      <c r="U439" s="243"/>
      <c r="V439" s="243"/>
      <c r="W439" s="243"/>
      <c r="X439" s="243"/>
      <c r="Y439" s="244"/>
      <c r="Z439" s="243"/>
      <c r="AA439" s="245"/>
      <c r="AB439" s="246"/>
      <c r="AC439" s="246"/>
      <c r="AD439" s="246"/>
      <c r="AE439" s="131"/>
      <c r="AF439" s="244"/>
      <c r="AG439" s="243"/>
      <c r="AH439" s="243"/>
      <c r="AI439" s="243"/>
      <c r="AJ439" s="243"/>
      <c r="AK439" s="243"/>
      <c r="AL439" s="243"/>
      <c r="AM439" s="243"/>
      <c r="AN439" s="243"/>
      <c r="AO439" s="243"/>
      <c r="AP439" s="243"/>
      <c r="AQ439" s="243"/>
      <c r="AR439" s="243"/>
      <c r="AS439" s="243"/>
      <c r="AT439" s="243"/>
      <c r="AU439" s="243"/>
      <c r="AV439" s="243"/>
      <c r="AW439" s="243"/>
      <c r="AX439" s="243"/>
      <c r="AY439" s="243"/>
      <c r="AZ439" s="243"/>
    </row>
    <row r="440" spans="1:52">
      <c r="A440" s="216" t="str">
        <f>IF(D440="","",VLOOKUP(G440,códigosORL!$H:$J,3,FALSE))</f>
        <v/>
      </c>
      <c r="B440" s="243"/>
      <c r="C440" s="259"/>
      <c r="D440" s="243"/>
      <c r="E440" s="243"/>
      <c r="F440" s="247"/>
      <c r="G440" s="243"/>
      <c r="H440" s="243"/>
      <c r="I440" s="243"/>
      <c r="J440" s="243"/>
      <c r="K440" s="243"/>
      <c r="L440" s="243"/>
      <c r="M440" s="243"/>
      <c r="N440" s="243"/>
      <c r="O440" s="243"/>
      <c r="P440" s="243"/>
      <c r="Q440" s="243"/>
      <c r="R440" s="243"/>
      <c r="S440" s="243"/>
      <c r="T440" s="243"/>
      <c r="U440" s="243"/>
      <c r="V440" s="243"/>
      <c r="W440" s="243"/>
      <c r="X440" s="243"/>
      <c r="Y440" s="244"/>
      <c r="Z440" s="243"/>
      <c r="AA440" s="245"/>
      <c r="AB440" s="246"/>
      <c r="AC440" s="246"/>
      <c r="AD440" s="246"/>
      <c r="AE440" s="131"/>
      <c r="AF440" s="244"/>
      <c r="AG440" s="243"/>
      <c r="AH440" s="243"/>
      <c r="AI440" s="243"/>
      <c r="AJ440" s="243"/>
      <c r="AK440" s="243"/>
      <c r="AL440" s="243"/>
      <c r="AM440" s="243"/>
      <c r="AN440" s="243"/>
      <c r="AO440" s="243"/>
      <c r="AP440" s="243"/>
      <c r="AQ440" s="243"/>
      <c r="AR440" s="243"/>
      <c r="AS440" s="243"/>
      <c r="AT440" s="243"/>
      <c r="AU440" s="243"/>
      <c r="AV440" s="243"/>
      <c r="AW440" s="243"/>
      <c r="AX440" s="243"/>
      <c r="AY440" s="243"/>
      <c r="AZ440" s="243"/>
    </row>
    <row r="441" spans="1:52">
      <c r="A441" s="216" t="str">
        <f>IF(D441="","",VLOOKUP(G441,códigosORL!$H:$J,3,FALSE))</f>
        <v/>
      </c>
      <c r="B441" s="243"/>
      <c r="C441" s="259"/>
      <c r="D441" s="243"/>
      <c r="E441" s="243"/>
      <c r="F441" s="247"/>
      <c r="G441" s="243"/>
      <c r="H441" s="243"/>
      <c r="I441" s="243"/>
      <c r="J441" s="243"/>
      <c r="K441" s="243"/>
      <c r="L441" s="243"/>
      <c r="M441" s="243"/>
      <c r="N441" s="243"/>
      <c r="O441" s="243"/>
      <c r="P441" s="243"/>
      <c r="Q441" s="243"/>
      <c r="R441" s="243"/>
      <c r="S441" s="243"/>
      <c r="T441" s="243"/>
      <c r="U441" s="243"/>
      <c r="V441" s="243"/>
      <c r="W441" s="243"/>
      <c r="X441" s="243"/>
      <c r="Y441" s="244"/>
      <c r="Z441" s="243"/>
      <c r="AA441" s="245"/>
      <c r="AB441" s="246"/>
      <c r="AC441" s="246"/>
      <c r="AD441" s="246"/>
      <c r="AE441" s="131"/>
      <c r="AF441" s="244"/>
      <c r="AG441" s="243"/>
      <c r="AH441" s="243"/>
      <c r="AI441" s="243"/>
      <c r="AJ441" s="243"/>
      <c r="AK441" s="243"/>
      <c r="AL441" s="243"/>
      <c r="AM441" s="243"/>
      <c r="AN441" s="243"/>
      <c r="AO441" s="243"/>
      <c r="AP441" s="243"/>
      <c r="AQ441" s="243"/>
      <c r="AR441" s="243"/>
      <c r="AS441" s="243"/>
      <c r="AT441" s="243"/>
      <c r="AU441" s="243"/>
      <c r="AV441" s="243"/>
      <c r="AW441" s="243"/>
      <c r="AX441" s="243"/>
      <c r="AY441" s="243"/>
      <c r="AZ441" s="243"/>
    </row>
    <row r="442" spans="1:52">
      <c r="A442" s="216" t="str">
        <f>IF(D442="","",VLOOKUP(G442,códigosORL!$H:$J,3,FALSE))</f>
        <v/>
      </c>
      <c r="B442" s="243"/>
      <c r="C442" s="259"/>
      <c r="D442" s="243"/>
      <c r="E442" s="243"/>
      <c r="F442" s="247"/>
      <c r="G442" s="243"/>
      <c r="H442" s="243"/>
      <c r="I442" s="243"/>
      <c r="J442" s="243"/>
      <c r="K442" s="243"/>
      <c r="L442" s="243"/>
      <c r="M442" s="243"/>
      <c r="N442" s="243"/>
      <c r="O442" s="243"/>
      <c r="P442" s="243"/>
      <c r="Q442" s="243"/>
      <c r="R442" s="243"/>
      <c r="S442" s="243"/>
      <c r="T442" s="243"/>
      <c r="U442" s="243"/>
      <c r="V442" s="243"/>
      <c r="W442" s="243"/>
      <c r="X442" s="243"/>
      <c r="Y442" s="244"/>
      <c r="Z442" s="243"/>
      <c r="AA442" s="245"/>
      <c r="AB442" s="246"/>
      <c r="AC442" s="246"/>
      <c r="AD442" s="246"/>
      <c r="AE442" s="131"/>
      <c r="AF442" s="244"/>
      <c r="AG442" s="243"/>
      <c r="AH442" s="243"/>
      <c r="AI442" s="243"/>
      <c r="AJ442" s="243"/>
      <c r="AK442" s="243"/>
      <c r="AL442" s="243"/>
      <c r="AM442" s="243"/>
      <c r="AN442" s="243"/>
      <c r="AO442" s="243"/>
      <c r="AP442" s="243"/>
      <c r="AQ442" s="243"/>
      <c r="AR442" s="243"/>
      <c r="AS442" s="243"/>
      <c r="AT442" s="243"/>
      <c r="AU442" s="243"/>
      <c r="AV442" s="243"/>
      <c r="AW442" s="243"/>
      <c r="AX442" s="243"/>
      <c r="AY442" s="243"/>
      <c r="AZ442" s="243"/>
    </row>
    <row r="443" spans="1:52">
      <c r="A443" s="216" t="str">
        <f>IF(D443="","",VLOOKUP(G443,códigosORL!$H:$J,3,FALSE))</f>
        <v/>
      </c>
      <c r="B443" s="243"/>
      <c r="C443" s="259"/>
      <c r="D443" s="243"/>
      <c r="E443" s="243"/>
      <c r="F443" s="247"/>
      <c r="G443" s="243"/>
      <c r="H443" s="243"/>
      <c r="I443" s="243"/>
      <c r="J443" s="243"/>
      <c r="K443" s="243"/>
      <c r="L443" s="243"/>
      <c r="M443" s="243"/>
      <c r="N443" s="243"/>
      <c r="O443" s="243"/>
      <c r="P443" s="243"/>
      <c r="Q443" s="243"/>
      <c r="R443" s="243"/>
      <c r="S443" s="243"/>
      <c r="T443" s="243"/>
      <c r="U443" s="243"/>
      <c r="V443" s="243"/>
      <c r="W443" s="243"/>
      <c r="X443" s="243"/>
      <c r="Y443" s="244"/>
      <c r="Z443" s="243"/>
      <c r="AA443" s="245"/>
      <c r="AB443" s="246"/>
      <c r="AC443" s="246"/>
      <c r="AD443" s="246"/>
      <c r="AE443" s="131"/>
      <c r="AF443" s="244"/>
      <c r="AG443" s="243"/>
      <c r="AH443" s="243"/>
      <c r="AI443" s="243"/>
      <c r="AJ443" s="243"/>
      <c r="AK443" s="243"/>
      <c r="AL443" s="243"/>
      <c r="AM443" s="243"/>
      <c r="AN443" s="243"/>
      <c r="AO443" s="243"/>
      <c r="AP443" s="243"/>
      <c r="AQ443" s="243"/>
      <c r="AR443" s="243"/>
      <c r="AS443" s="243"/>
      <c r="AT443" s="243"/>
      <c r="AU443" s="243"/>
      <c r="AV443" s="243"/>
      <c r="AW443" s="243"/>
      <c r="AX443" s="243"/>
      <c r="AY443" s="243"/>
      <c r="AZ443" s="243"/>
    </row>
    <row r="444" spans="1:52">
      <c r="A444" s="216" t="str">
        <f>IF(D444="","",VLOOKUP(G444,códigosORL!$H:$J,3,FALSE))</f>
        <v/>
      </c>
      <c r="B444" s="243"/>
      <c r="C444" s="259"/>
      <c r="D444" s="243"/>
      <c r="E444" s="243"/>
      <c r="F444" s="247"/>
      <c r="G444" s="243"/>
      <c r="H444" s="243"/>
      <c r="I444" s="243"/>
      <c r="J444" s="243"/>
      <c r="K444" s="243"/>
      <c r="L444" s="243"/>
      <c r="M444" s="243"/>
      <c r="N444" s="243"/>
      <c r="O444" s="243"/>
      <c r="P444" s="243"/>
      <c r="Q444" s="243"/>
      <c r="R444" s="243"/>
      <c r="S444" s="243"/>
      <c r="T444" s="243"/>
      <c r="U444" s="243"/>
      <c r="V444" s="243"/>
      <c r="W444" s="243"/>
      <c r="X444" s="243"/>
      <c r="Y444" s="244"/>
      <c r="Z444" s="243"/>
      <c r="AA444" s="245"/>
      <c r="AB444" s="246"/>
      <c r="AC444" s="246"/>
      <c r="AD444" s="246"/>
      <c r="AE444" s="131"/>
      <c r="AF444" s="244"/>
      <c r="AG444" s="243"/>
      <c r="AH444" s="243"/>
      <c r="AI444" s="243"/>
      <c r="AJ444" s="243"/>
      <c r="AK444" s="243"/>
      <c r="AL444" s="243"/>
      <c r="AM444" s="243"/>
      <c r="AN444" s="243"/>
      <c r="AO444" s="243"/>
      <c r="AP444" s="243"/>
      <c r="AQ444" s="243"/>
      <c r="AR444" s="243"/>
      <c r="AS444" s="243"/>
      <c r="AT444" s="243"/>
      <c r="AU444" s="243"/>
      <c r="AV444" s="243"/>
      <c r="AW444" s="243"/>
      <c r="AX444" s="243"/>
      <c r="AY444" s="243"/>
      <c r="AZ444" s="243"/>
    </row>
    <row r="445" spans="1:52">
      <c r="A445" s="216" t="str">
        <f>IF(D445="","",VLOOKUP(G445,códigosORL!$H:$J,3,FALSE))</f>
        <v/>
      </c>
      <c r="B445" s="243"/>
      <c r="C445" s="259"/>
      <c r="D445" s="243"/>
      <c r="E445" s="243"/>
      <c r="F445" s="247"/>
      <c r="G445" s="243"/>
      <c r="H445" s="243"/>
      <c r="I445" s="243"/>
      <c r="J445" s="243"/>
      <c r="K445" s="243"/>
      <c r="L445" s="243"/>
      <c r="M445" s="243"/>
      <c r="N445" s="243"/>
      <c r="O445" s="243"/>
      <c r="P445" s="243"/>
      <c r="Q445" s="243"/>
      <c r="R445" s="243"/>
      <c r="S445" s="243"/>
      <c r="T445" s="243"/>
      <c r="U445" s="243"/>
      <c r="V445" s="243"/>
      <c r="W445" s="243"/>
      <c r="X445" s="243"/>
      <c r="Y445" s="244"/>
      <c r="Z445" s="243"/>
      <c r="AA445" s="245"/>
      <c r="AB445" s="246"/>
      <c r="AC445" s="246"/>
      <c r="AD445" s="246"/>
      <c r="AE445" s="131"/>
      <c r="AF445" s="244"/>
      <c r="AG445" s="243"/>
      <c r="AH445" s="243"/>
      <c r="AI445" s="243"/>
      <c r="AJ445" s="243"/>
      <c r="AK445" s="243"/>
      <c r="AL445" s="243"/>
      <c r="AM445" s="243"/>
      <c r="AN445" s="243"/>
      <c r="AO445" s="243"/>
      <c r="AP445" s="243"/>
      <c r="AQ445" s="243"/>
      <c r="AR445" s="243"/>
      <c r="AS445" s="243"/>
      <c r="AT445" s="243"/>
      <c r="AU445" s="243"/>
      <c r="AV445" s="243"/>
      <c r="AW445" s="243"/>
      <c r="AX445" s="243"/>
      <c r="AY445" s="243"/>
      <c r="AZ445" s="243"/>
    </row>
    <row r="446" spans="1:52">
      <c r="A446" s="216" t="str">
        <f>IF(D446="","",VLOOKUP(G446,códigosORL!$H:$J,3,FALSE))</f>
        <v/>
      </c>
      <c r="B446" s="243"/>
      <c r="C446" s="259"/>
      <c r="D446" s="243"/>
      <c r="E446" s="243"/>
      <c r="F446" s="247"/>
      <c r="G446" s="243"/>
      <c r="H446" s="243"/>
      <c r="I446" s="243"/>
      <c r="J446" s="243"/>
      <c r="K446" s="243"/>
      <c r="L446" s="243"/>
      <c r="M446" s="243"/>
      <c r="N446" s="243"/>
      <c r="O446" s="243"/>
      <c r="P446" s="243"/>
      <c r="Q446" s="243"/>
      <c r="R446" s="243"/>
      <c r="S446" s="243"/>
      <c r="T446" s="243"/>
      <c r="U446" s="243"/>
      <c r="V446" s="243"/>
      <c r="W446" s="243"/>
      <c r="X446" s="243"/>
      <c r="Y446" s="244"/>
      <c r="Z446" s="243"/>
      <c r="AA446" s="245"/>
      <c r="AB446" s="246"/>
      <c r="AC446" s="246"/>
      <c r="AD446" s="246"/>
      <c r="AE446" s="131"/>
      <c r="AF446" s="244"/>
      <c r="AG446" s="243"/>
      <c r="AH446" s="243"/>
      <c r="AI446" s="243"/>
      <c r="AJ446" s="243"/>
      <c r="AK446" s="243"/>
      <c r="AL446" s="243"/>
      <c r="AM446" s="243"/>
      <c r="AN446" s="243"/>
      <c r="AO446" s="243"/>
      <c r="AP446" s="243"/>
      <c r="AQ446" s="243"/>
      <c r="AR446" s="243"/>
      <c r="AS446" s="243"/>
      <c r="AT446" s="243"/>
      <c r="AU446" s="243"/>
      <c r="AV446" s="243"/>
      <c r="AW446" s="243"/>
      <c r="AX446" s="243"/>
      <c r="AY446" s="243"/>
      <c r="AZ446" s="243"/>
    </row>
    <row r="447" spans="1:52">
      <c r="A447" s="216" t="str">
        <f>IF(D447="","",VLOOKUP(G447,códigosORL!$H:$J,3,FALSE))</f>
        <v/>
      </c>
      <c r="B447" s="243"/>
      <c r="C447" s="259"/>
      <c r="D447" s="243"/>
      <c r="E447" s="243"/>
      <c r="F447" s="247"/>
      <c r="G447" s="243"/>
      <c r="H447" s="243"/>
      <c r="I447" s="243"/>
      <c r="J447" s="243"/>
      <c r="K447" s="243"/>
      <c r="L447" s="243"/>
      <c r="M447" s="243"/>
      <c r="N447" s="243"/>
      <c r="O447" s="243"/>
      <c r="P447" s="243"/>
      <c r="Q447" s="243"/>
      <c r="R447" s="243"/>
      <c r="S447" s="243"/>
      <c r="T447" s="243"/>
      <c r="U447" s="243"/>
      <c r="V447" s="243"/>
      <c r="W447" s="243"/>
      <c r="X447" s="243"/>
      <c r="Y447" s="244"/>
      <c r="Z447" s="243"/>
      <c r="AA447" s="245"/>
      <c r="AB447" s="246"/>
      <c r="AC447" s="246"/>
      <c r="AD447" s="246"/>
      <c r="AE447" s="131"/>
      <c r="AF447" s="244"/>
      <c r="AG447" s="243"/>
      <c r="AH447" s="243"/>
      <c r="AI447" s="243"/>
      <c r="AJ447" s="243"/>
      <c r="AK447" s="243"/>
      <c r="AL447" s="243"/>
      <c r="AM447" s="243"/>
      <c r="AN447" s="243"/>
      <c r="AO447" s="243"/>
      <c r="AP447" s="243"/>
      <c r="AQ447" s="243"/>
      <c r="AR447" s="243"/>
      <c r="AS447" s="243"/>
      <c r="AT447" s="243"/>
      <c r="AU447" s="243"/>
      <c r="AV447" s="243"/>
      <c r="AW447" s="243"/>
      <c r="AX447" s="243"/>
      <c r="AY447" s="243"/>
      <c r="AZ447" s="243"/>
    </row>
    <row r="448" spans="1:52">
      <c r="A448" s="216" t="str">
        <f>IF(D448="","",VLOOKUP(G448,códigosORL!$H:$J,3,FALSE))</f>
        <v/>
      </c>
      <c r="B448" s="243"/>
      <c r="C448" s="259"/>
      <c r="D448" s="243"/>
      <c r="E448" s="243"/>
      <c r="F448" s="247"/>
      <c r="G448" s="243"/>
      <c r="H448" s="243"/>
      <c r="I448" s="243"/>
      <c r="J448" s="243"/>
      <c r="K448" s="243"/>
      <c r="L448" s="243"/>
      <c r="M448" s="243"/>
      <c r="N448" s="243"/>
      <c r="O448" s="243"/>
      <c r="P448" s="243"/>
      <c r="Q448" s="243"/>
      <c r="R448" s="243"/>
      <c r="S448" s="243"/>
      <c r="T448" s="243"/>
      <c r="U448" s="243"/>
      <c r="V448" s="243"/>
      <c r="W448" s="243"/>
      <c r="X448" s="243"/>
      <c r="Y448" s="244"/>
      <c r="Z448" s="243"/>
      <c r="AA448" s="245"/>
      <c r="AB448" s="246"/>
      <c r="AC448" s="246"/>
      <c r="AD448" s="246"/>
      <c r="AE448" s="131"/>
      <c r="AF448" s="244"/>
      <c r="AG448" s="243"/>
      <c r="AH448" s="243"/>
      <c r="AI448" s="243"/>
      <c r="AJ448" s="243"/>
      <c r="AK448" s="243"/>
      <c r="AL448" s="243"/>
      <c r="AM448" s="243"/>
      <c r="AN448" s="243"/>
      <c r="AO448" s="243"/>
      <c r="AP448" s="243"/>
      <c r="AQ448" s="243"/>
      <c r="AR448" s="243"/>
      <c r="AS448" s="243"/>
      <c r="AT448" s="243"/>
      <c r="AU448" s="243"/>
      <c r="AV448" s="243"/>
      <c r="AW448" s="243"/>
      <c r="AX448" s="243"/>
      <c r="AY448" s="243"/>
      <c r="AZ448" s="243"/>
    </row>
    <row r="449" spans="1:52">
      <c r="A449" s="216" t="str">
        <f>IF(D449="","",VLOOKUP(G449,códigosORL!$H:$J,3,FALSE))</f>
        <v/>
      </c>
      <c r="B449" s="243"/>
      <c r="C449" s="259"/>
      <c r="D449" s="243"/>
      <c r="E449" s="243"/>
      <c r="F449" s="247"/>
      <c r="G449" s="243"/>
      <c r="H449" s="243"/>
      <c r="I449" s="243"/>
      <c r="J449" s="243"/>
      <c r="K449" s="243"/>
      <c r="L449" s="243"/>
      <c r="M449" s="243"/>
      <c r="N449" s="243"/>
      <c r="O449" s="243"/>
      <c r="P449" s="243"/>
      <c r="Q449" s="243"/>
      <c r="R449" s="243"/>
      <c r="S449" s="243"/>
      <c r="T449" s="243"/>
      <c r="U449" s="243"/>
      <c r="V449" s="243"/>
      <c r="W449" s="243"/>
      <c r="X449" s="243"/>
      <c r="Y449" s="244"/>
      <c r="Z449" s="243"/>
      <c r="AA449" s="245"/>
      <c r="AB449" s="246"/>
      <c r="AC449" s="246"/>
      <c r="AD449" s="246"/>
      <c r="AE449" s="131"/>
      <c r="AF449" s="244"/>
      <c r="AG449" s="243"/>
      <c r="AH449" s="243"/>
      <c r="AI449" s="243"/>
      <c r="AJ449" s="243"/>
      <c r="AK449" s="243"/>
      <c r="AL449" s="243"/>
      <c r="AM449" s="243"/>
      <c r="AN449" s="243"/>
      <c r="AO449" s="243"/>
      <c r="AP449" s="243"/>
      <c r="AQ449" s="243"/>
      <c r="AR449" s="243"/>
      <c r="AS449" s="243"/>
      <c r="AT449" s="243"/>
      <c r="AU449" s="243"/>
      <c r="AV449" s="243"/>
      <c r="AW449" s="243"/>
      <c r="AX449" s="243"/>
      <c r="AY449" s="243"/>
      <c r="AZ449" s="243"/>
    </row>
    <row r="450" spans="1:52">
      <c r="A450" s="216" t="str">
        <f>IF(D450="","",VLOOKUP(G450,códigosORL!$H:$J,3,FALSE))</f>
        <v/>
      </c>
      <c r="B450" s="243"/>
      <c r="C450" s="259"/>
      <c r="D450" s="243"/>
      <c r="E450" s="243"/>
      <c r="F450" s="247"/>
      <c r="G450" s="243"/>
      <c r="H450" s="243"/>
      <c r="I450" s="243"/>
      <c r="J450" s="243"/>
      <c r="K450" s="243"/>
      <c r="L450" s="243"/>
      <c r="M450" s="243"/>
      <c r="N450" s="243"/>
      <c r="O450" s="243"/>
      <c r="P450" s="243"/>
      <c r="Q450" s="243"/>
      <c r="R450" s="243"/>
      <c r="S450" s="243"/>
      <c r="T450" s="243"/>
      <c r="U450" s="243"/>
      <c r="V450" s="243"/>
      <c r="W450" s="243"/>
      <c r="X450" s="243"/>
      <c r="Y450" s="244"/>
      <c r="Z450" s="243"/>
      <c r="AA450" s="245"/>
      <c r="AB450" s="246"/>
      <c r="AC450" s="246"/>
      <c r="AD450" s="246"/>
      <c r="AE450" s="131"/>
      <c r="AF450" s="244"/>
      <c r="AG450" s="243"/>
      <c r="AH450" s="243"/>
      <c r="AI450" s="243"/>
      <c r="AJ450" s="243"/>
      <c r="AK450" s="243"/>
      <c r="AL450" s="243"/>
      <c r="AM450" s="243"/>
      <c r="AN450" s="243"/>
      <c r="AO450" s="243"/>
      <c r="AP450" s="243"/>
      <c r="AQ450" s="243"/>
      <c r="AR450" s="243"/>
      <c r="AS450" s="243"/>
      <c r="AT450" s="243"/>
      <c r="AU450" s="243"/>
      <c r="AV450" s="243"/>
      <c r="AW450" s="243"/>
      <c r="AX450" s="243"/>
      <c r="AY450" s="243"/>
      <c r="AZ450" s="243"/>
    </row>
    <row r="451" spans="1:52">
      <c r="A451" s="216" t="str">
        <f>IF(D451="","",VLOOKUP(G451,códigosORL!$H:$J,3,FALSE))</f>
        <v/>
      </c>
      <c r="B451" s="243"/>
      <c r="C451" s="259"/>
      <c r="D451" s="243"/>
      <c r="E451" s="243"/>
      <c r="F451" s="247"/>
      <c r="G451" s="243"/>
      <c r="H451" s="243"/>
      <c r="I451" s="243"/>
      <c r="J451" s="243"/>
      <c r="K451" s="243"/>
      <c r="L451" s="243"/>
      <c r="M451" s="243"/>
      <c r="N451" s="243"/>
      <c r="O451" s="243"/>
      <c r="P451" s="243"/>
      <c r="Q451" s="243"/>
      <c r="R451" s="243"/>
      <c r="S451" s="243"/>
      <c r="T451" s="243"/>
      <c r="U451" s="243"/>
      <c r="V451" s="243"/>
      <c r="W451" s="243"/>
      <c r="X451" s="243"/>
      <c r="Y451" s="244"/>
      <c r="Z451" s="243"/>
      <c r="AA451" s="245"/>
      <c r="AB451" s="246"/>
      <c r="AC451" s="246"/>
      <c r="AD451" s="246"/>
      <c r="AE451" s="131"/>
      <c r="AF451" s="244"/>
      <c r="AG451" s="243"/>
      <c r="AH451" s="243"/>
      <c r="AI451" s="243"/>
      <c r="AJ451" s="243"/>
      <c r="AK451" s="243"/>
      <c r="AL451" s="243"/>
      <c r="AM451" s="243"/>
      <c r="AN451" s="243"/>
      <c r="AO451" s="243"/>
      <c r="AP451" s="243"/>
      <c r="AQ451" s="243"/>
      <c r="AR451" s="243"/>
      <c r="AS451" s="243"/>
      <c r="AT451" s="243"/>
      <c r="AU451" s="243"/>
      <c r="AV451" s="243"/>
      <c r="AW451" s="243"/>
      <c r="AX451" s="243"/>
      <c r="AY451" s="243"/>
      <c r="AZ451" s="243"/>
    </row>
    <row r="452" spans="1:52">
      <c r="A452" s="216" t="str">
        <f>IF(D452="","",VLOOKUP(G452,códigosORL!$H:$J,3,FALSE))</f>
        <v/>
      </c>
      <c r="B452" s="243"/>
      <c r="C452" s="259"/>
      <c r="D452" s="243"/>
      <c r="E452" s="243"/>
      <c r="F452" s="247"/>
      <c r="G452" s="243"/>
      <c r="H452" s="243"/>
      <c r="I452" s="243"/>
      <c r="J452" s="243"/>
      <c r="K452" s="243"/>
      <c r="L452" s="243"/>
      <c r="M452" s="243"/>
      <c r="N452" s="243"/>
      <c r="O452" s="243"/>
      <c r="P452" s="243"/>
      <c r="Q452" s="243"/>
      <c r="R452" s="243"/>
      <c r="S452" s="243"/>
      <c r="T452" s="243"/>
      <c r="U452" s="243"/>
      <c r="V452" s="243"/>
      <c r="W452" s="243"/>
      <c r="X452" s="243"/>
      <c r="Y452" s="244"/>
      <c r="Z452" s="243"/>
      <c r="AA452" s="245"/>
      <c r="AB452" s="246"/>
      <c r="AC452" s="246"/>
      <c r="AD452" s="246"/>
      <c r="AE452" s="131"/>
      <c r="AF452" s="244"/>
      <c r="AG452" s="243"/>
      <c r="AH452" s="243"/>
      <c r="AI452" s="243"/>
      <c r="AJ452" s="243"/>
      <c r="AK452" s="243"/>
      <c r="AL452" s="243"/>
      <c r="AM452" s="243"/>
      <c r="AN452" s="243"/>
      <c r="AO452" s="243"/>
      <c r="AP452" s="243"/>
      <c r="AQ452" s="243"/>
      <c r="AR452" s="243"/>
      <c r="AS452" s="243"/>
      <c r="AT452" s="243"/>
      <c r="AU452" s="243"/>
      <c r="AV452" s="243"/>
      <c r="AW452" s="243"/>
      <c r="AX452" s="243"/>
      <c r="AY452" s="243"/>
      <c r="AZ452" s="243"/>
    </row>
    <row r="453" spans="1:52">
      <c r="A453" s="216" t="str">
        <f>IF(D453="","",VLOOKUP(G453,códigosORL!$H:$J,3,FALSE))</f>
        <v/>
      </c>
      <c r="B453" s="243"/>
      <c r="C453" s="259"/>
      <c r="D453" s="243"/>
      <c r="E453" s="243"/>
      <c r="F453" s="247"/>
      <c r="G453" s="243"/>
      <c r="H453" s="243"/>
      <c r="I453" s="243"/>
      <c r="J453" s="243"/>
      <c r="K453" s="243"/>
      <c r="L453" s="243"/>
      <c r="M453" s="243"/>
      <c r="N453" s="243"/>
      <c r="O453" s="243"/>
      <c r="P453" s="243"/>
      <c r="Q453" s="243"/>
      <c r="R453" s="243"/>
      <c r="S453" s="243"/>
      <c r="T453" s="243"/>
      <c r="U453" s="243"/>
      <c r="V453" s="243"/>
      <c r="W453" s="243"/>
      <c r="X453" s="243"/>
      <c r="Y453" s="244"/>
      <c r="Z453" s="243"/>
      <c r="AA453" s="245"/>
      <c r="AB453" s="246"/>
      <c r="AC453" s="246"/>
      <c r="AD453" s="246"/>
      <c r="AE453" s="131"/>
      <c r="AF453" s="244"/>
      <c r="AG453" s="243"/>
      <c r="AH453" s="243"/>
      <c r="AI453" s="243"/>
      <c r="AJ453" s="243"/>
      <c r="AK453" s="243"/>
      <c r="AL453" s="243"/>
      <c r="AM453" s="243"/>
      <c r="AN453" s="243"/>
      <c r="AO453" s="243"/>
      <c r="AP453" s="243"/>
      <c r="AQ453" s="243"/>
      <c r="AR453" s="243"/>
      <c r="AS453" s="243"/>
      <c r="AT453" s="243"/>
      <c r="AU453" s="243"/>
      <c r="AV453" s="243"/>
      <c r="AW453" s="243"/>
      <c r="AX453" s="243"/>
      <c r="AY453" s="243"/>
      <c r="AZ453" s="243"/>
    </row>
    <row r="454" spans="1:52">
      <c r="A454" s="216" t="str">
        <f>IF(D454="","",VLOOKUP(G454,códigosORL!$H:$J,3,FALSE))</f>
        <v/>
      </c>
      <c r="B454" s="243"/>
      <c r="C454" s="259"/>
      <c r="D454" s="243"/>
      <c r="E454" s="243"/>
      <c r="F454" s="247"/>
      <c r="G454" s="243"/>
      <c r="H454" s="243"/>
      <c r="I454" s="243"/>
      <c r="J454" s="243"/>
      <c r="K454" s="243"/>
      <c r="L454" s="243"/>
      <c r="M454" s="243"/>
      <c r="N454" s="243"/>
      <c r="O454" s="243"/>
      <c r="P454" s="243"/>
      <c r="Q454" s="243"/>
      <c r="R454" s="243"/>
      <c r="S454" s="243"/>
      <c r="T454" s="243"/>
      <c r="U454" s="243"/>
      <c r="V454" s="243"/>
      <c r="W454" s="243"/>
      <c r="X454" s="243"/>
      <c r="Y454" s="244"/>
      <c r="Z454" s="243"/>
      <c r="AA454" s="245"/>
      <c r="AB454" s="246"/>
      <c r="AC454" s="246"/>
      <c r="AD454" s="246"/>
      <c r="AE454" s="131"/>
      <c r="AF454" s="244"/>
      <c r="AG454" s="243"/>
      <c r="AH454" s="243"/>
      <c r="AI454" s="243"/>
      <c r="AJ454" s="243"/>
      <c r="AK454" s="243"/>
      <c r="AL454" s="243"/>
      <c r="AM454" s="243"/>
      <c r="AN454" s="243"/>
      <c r="AO454" s="243"/>
      <c r="AP454" s="243"/>
      <c r="AQ454" s="243"/>
      <c r="AR454" s="243"/>
      <c r="AS454" s="243"/>
      <c r="AT454" s="243"/>
      <c r="AU454" s="243"/>
      <c r="AV454" s="243"/>
      <c r="AW454" s="243"/>
      <c r="AX454" s="243"/>
      <c r="AY454" s="243"/>
      <c r="AZ454" s="243"/>
    </row>
    <row r="455" spans="1:52">
      <c r="A455" s="216" t="str">
        <f>IF(D455="","",VLOOKUP(G455,códigosORL!$H:$J,3,FALSE))</f>
        <v/>
      </c>
      <c r="B455" s="243"/>
      <c r="C455" s="259"/>
      <c r="D455" s="243"/>
      <c r="E455" s="243"/>
      <c r="F455" s="247"/>
      <c r="G455" s="243"/>
      <c r="H455" s="243"/>
      <c r="I455" s="243"/>
      <c r="J455" s="243"/>
      <c r="K455" s="243"/>
      <c r="L455" s="243"/>
      <c r="M455" s="243"/>
      <c r="N455" s="243"/>
      <c r="O455" s="243"/>
      <c r="P455" s="243"/>
      <c r="Q455" s="243"/>
      <c r="R455" s="243"/>
      <c r="S455" s="243"/>
      <c r="T455" s="243"/>
      <c r="U455" s="243"/>
      <c r="V455" s="243"/>
      <c r="W455" s="243"/>
      <c r="X455" s="243"/>
      <c r="Y455" s="244"/>
      <c r="Z455" s="243"/>
      <c r="AA455" s="245"/>
      <c r="AB455" s="246"/>
      <c r="AC455" s="246"/>
      <c r="AD455" s="246"/>
      <c r="AE455" s="131"/>
      <c r="AF455" s="244"/>
      <c r="AG455" s="243"/>
      <c r="AH455" s="243"/>
      <c r="AI455" s="243"/>
      <c r="AJ455" s="243"/>
      <c r="AK455" s="243"/>
      <c r="AL455" s="243"/>
      <c r="AM455" s="243"/>
      <c r="AN455" s="243"/>
      <c r="AO455" s="243"/>
      <c r="AP455" s="243"/>
      <c r="AQ455" s="243"/>
      <c r="AR455" s="243"/>
      <c r="AS455" s="243"/>
      <c r="AT455" s="243"/>
      <c r="AU455" s="243"/>
      <c r="AV455" s="243"/>
      <c r="AW455" s="243"/>
      <c r="AX455" s="243"/>
      <c r="AY455" s="243"/>
      <c r="AZ455" s="243"/>
    </row>
    <row r="456" spans="1:52">
      <c r="A456" s="216" t="str">
        <f>IF(D456="","",VLOOKUP(G456,códigosORL!$H:$J,3,FALSE))</f>
        <v/>
      </c>
      <c r="B456" s="243"/>
      <c r="C456" s="259"/>
      <c r="D456" s="243"/>
      <c r="E456" s="243"/>
      <c r="F456" s="247"/>
      <c r="G456" s="243"/>
      <c r="H456" s="243"/>
      <c r="I456" s="243"/>
      <c r="J456" s="243"/>
      <c r="K456" s="243"/>
      <c r="L456" s="243"/>
      <c r="M456" s="243"/>
      <c r="N456" s="243"/>
      <c r="O456" s="243"/>
      <c r="P456" s="243"/>
      <c r="Q456" s="243"/>
      <c r="R456" s="243"/>
      <c r="S456" s="243"/>
      <c r="T456" s="243"/>
      <c r="U456" s="243"/>
      <c r="V456" s="243"/>
      <c r="W456" s="243"/>
      <c r="X456" s="243"/>
      <c r="Y456" s="244"/>
      <c r="Z456" s="243"/>
      <c r="AA456" s="245"/>
      <c r="AB456" s="246"/>
      <c r="AC456" s="246"/>
      <c r="AD456" s="246"/>
      <c r="AE456" s="131"/>
      <c r="AF456" s="244"/>
      <c r="AG456" s="243"/>
      <c r="AH456" s="243"/>
      <c r="AI456" s="243"/>
      <c r="AJ456" s="243"/>
      <c r="AK456" s="243"/>
      <c r="AL456" s="243"/>
      <c r="AM456" s="243"/>
      <c r="AN456" s="243"/>
      <c r="AO456" s="243"/>
      <c r="AP456" s="243"/>
      <c r="AQ456" s="243"/>
      <c r="AR456" s="243"/>
      <c r="AS456" s="243"/>
      <c r="AT456" s="243"/>
      <c r="AU456" s="243"/>
      <c r="AV456" s="243"/>
      <c r="AW456" s="243"/>
      <c r="AX456" s="243"/>
      <c r="AY456" s="243"/>
      <c r="AZ456" s="243"/>
    </row>
    <row r="457" spans="1:52">
      <c r="A457" s="216" t="str">
        <f>IF(D457="","",VLOOKUP(G457,códigosORL!$H:$J,3,FALSE))</f>
        <v/>
      </c>
      <c r="B457" s="243"/>
      <c r="C457" s="259"/>
      <c r="D457" s="243"/>
      <c r="E457" s="243"/>
      <c r="F457" s="247"/>
      <c r="G457" s="243"/>
      <c r="H457" s="243"/>
      <c r="I457" s="243"/>
      <c r="J457" s="243"/>
      <c r="K457" s="243"/>
      <c r="L457" s="243"/>
      <c r="M457" s="243"/>
      <c r="N457" s="243"/>
      <c r="O457" s="243"/>
      <c r="P457" s="243"/>
      <c r="Q457" s="243"/>
      <c r="R457" s="243"/>
      <c r="S457" s="243"/>
      <c r="T457" s="243"/>
      <c r="U457" s="243"/>
      <c r="V457" s="243"/>
      <c r="W457" s="243"/>
      <c r="X457" s="243"/>
      <c r="Y457" s="244"/>
      <c r="Z457" s="243"/>
      <c r="AA457" s="245"/>
      <c r="AB457" s="246"/>
      <c r="AC457" s="246"/>
      <c r="AD457" s="246"/>
      <c r="AE457" s="131"/>
      <c r="AF457" s="244"/>
      <c r="AG457" s="243"/>
      <c r="AH457" s="243"/>
      <c r="AI457" s="243"/>
      <c r="AJ457" s="243"/>
      <c r="AK457" s="243"/>
      <c r="AL457" s="243"/>
      <c r="AM457" s="243"/>
      <c r="AN457" s="243"/>
      <c r="AO457" s="243"/>
      <c r="AP457" s="243"/>
      <c r="AQ457" s="243"/>
      <c r="AR457" s="243"/>
      <c r="AS457" s="243"/>
      <c r="AT457" s="243"/>
      <c r="AU457" s="243"/>
      <c r="AV457" s="243"/>
      <c r="AW457" s="243"/>
      <c r="AX457" s="243"/>
      <c r="AY457" s="243"/>
      <c r="AZ457" s="243"/>
    </row>
    <row r="458" spans="1:52">
      <c r="A458" s="216" t="str">
        <f>IF(D458="","",VLOOKUP(G458,códigosORL!$H:$J,3,FALSE))</f>
        <v/>
      </c>
      <c r="B458" s="243"/>
      <c r="C458" s="259"/>
      <c r="D458" s="243"/>
      <c r="E458" s="243"/>
      <c r="F458" s="247"/>
      <c r="G458" s="243"/>
      <c r="H458" s="243"/>
      <c r="I458" s="243"/>
      <c r="J458" s="243"/>
      <c r="K458" s="243"/>
      <c r="L458" s="243"/>
      <c r="M458" s="243"/>
      <c r="N458" s="243"/>
      <c r="O458" s="243"/>
      <c r="P458" s="243"/>
      <c r="Q458" s="243"/>
      <c r="R458" s="243"/>
      <c r="S458" s="243"/>
      <c r="T458" s="243"/>
      <c r="U458" s="243"/>
      <c r="V458" s="243"/>
      <c r="W458" s="243"/>
      <c r="X458" s="243"/>
      <c r="Y458" s="244"/>
      <c r="Z458" s="243"/>
      <c r="AA458" s="245"/>
      <c r="AB458" s="246"/>
      <c r="AC458" s="246"/>
      <c r="AD458" s="246"/>
      <c r="AE458" s="131"/>
      <c r="AF458" s="244"/>
      <c r="AG458" s="243"/>
      <c r="AH458" s="243"/>
      <c r="AI458" s="243"/>
      <c r="AJ458" s="243"/>
      <c r="AK458" s="243"/>
      <c r="AL458" s="243"/>
      <c r="AM458" s="243"/>
      <c r="AN458" s="243"/>
      <c r="AO458" s="243"/>
      <c r="AP458" s="243"/>
      <c r="AQ458" s="243"/>
      <c r="AR458" s="243"/>
      <c r="AS458" s="243"/>
      <c r="AT458" s="243"/>
      <c r="AU458" s="243"/>
      <c r="AV458" s="243"/>
      <c r="AW458" s="243"/>
      <c r="AX458" s="243"/>
      <c r="AY458" s="243"/>
      <c r="AZ458" s="243"/>
    </row>
    <row r="459" spans="1:52">
      <c r="A459" s="216" t="str">
        <f>IF(D459="","",VLOOKUP(G459,códigosORL!$H:$J,3,FALSE))</f>
        <v/>
      </c>
      <c r="B459" s="243"/>
      <c r="C459" s="259"/>
      <c r="D459" s="243"/>
      <c r="E459" s="243"/>
      <c r="F459" s="247"/>
      <c r="G459" s="243"/>
      <c r="H459" s="243"/>
      <c r="I459" s="243"/>
      <c r="J459" s="243"/>
      <c r="K459" s="243"/>
      <c r="L459" s="243"/>
      <c r="M459" s="243"/>
      <c r="N459" s="243"/>
      <c r="O459" s="243"/>
      <c r="P459" s="243"/>
      <c r="Q459" s="243"/>
      <c r="R459" s="243"/>
      <c r="S459" s="243"/>
      <c r="T459" s="243"/>
      <c r="U459" s="243"/>
      <c r="V459" s="243"/>
      <c r="W459" s="243"/>
      <c r="X459" s="243"/>
      <c r="Y459" s="244"/>
      <c r="Z459" s="243"/>
      <c r="AA459" s="245"/>
      <c r="AB459" s="246"/>
      <c r="AC459" s="246"/>
      <c r="AD459" s="246"/>
      <c r="AE459" s="131"/>
      <c r="AF459" s="244"/>
      <c r="AG459" s="243"/>
      <c r="AH459" s="243"/>
      <c r="AI459" s="243"/>
      <c r="AJ459" s="243"/>
      <c r="AK459" s="243"/>
      <c r="AL459" s="243"/>
      <c r="AM459" s="243"/>
      <c r="AN459" s="243"/>
      <c r="AO459" s="243"/>
      <c r="AP459" s="243"/>
      <c r="AQ459" s="243"/>
      <c r="AR459" s="243"/>
      <c r="AS459" s="243"/>
      <c r="AT459" s="243"/>
      <c r="AU459" s="243"/>
      <c r="AV459" s="243"/>
      <c r="AW459" s="243"/>
      <c r="AX459" s="243"/>
      <c r="AY459" s="243"/>
      <c r="AZ459" s="243"/>
    </row>
    <row r="460" spans="1:52">
      <c r="A460" s="216" t="str">
        <f>IF(D460="","",VLOOKUP(G460,códigosORL!$H:$J,3,FALSE))</f>
        <v/>
      </c>
      <c r="B460" s="243"/>
      <c r="C460" s="259"/>
      <c r="D460" s="243"/>
      <c r="E460" s="243"/>
      <c r="F460" s="247"/>
      <c r="G460" s="243"/>
      <c r="H460" s="243"/>
      <c r="I460" s="243"/>
      <c r="J460" s="243"/>
      <c r="K460" s="243"/>
      <c r="L460" s="243"/>
      <c r="M460" s="243"/>
      <c r="N460" s="243"/>
      <c r="O460" s="243"/>
      <c r="P460" s="243"/>
      <c r="Q460" s="243"/>
      <c r="R460" s="243"/>
      <c r="S460" s="243"/>
      <c r="T460" s="243"/>
      <c r="U460" s="243"/>
      <c r="V460" s="243"/>
      <c r="W460" s="243"/>
      <c r="X460" s="243"/>
      <c r="Y460" s="244"/>
      <c r="Z460" s="243"/>
      <c r="AA460" s="245"/>
      <c r="AB460" s="246"/>
      <c r="AC460" s="246"/>
      <c r="AD460" s="246"/>
      <c r="AE460" s="131"/>
      <c r="AF460" s="244"/>
      <c r="AG460" s="243"/>
      <c r="AH460" s="243"/>
      <c r="AI460" s="243"/>
      <c r="AJ460" s="243"/>
      <c r="AK460" s="243"/>
      <c r="AL460" s="243"/>
      <c r="AM460" s="243"/>
      <c r="AN460" s="243"/>
      <c r="AO460" s="243"/>
      <c r="AP460" s="243"/>
      <c r="AQ460" s="243"/>
      <c r="AR460" s="243"/>
      <c r="AS460" s="243"/>
      <c r="AT460" s="243"/>
      <c r="AU460" s="243"/>
      <c r="AV460" s="243"/>
      <c r="AW460" s="243"/>
      <c r="AX460" s="243"/>
      <c r="AY460" s="243"/>
      <c r="AZ460" s="243"/>
    </row>
    <row r="461" spans="1:52">
      <c r="A461" s="216" t="str">
        <f>IF(D461="","",VLOOKUP(G461,códigosORL!$H:$J,3,FALSE))</f>
        <v/>
      </c>
      <c r="B461" s="243"/>
      <c r="C461" s="259"/>
      <c r="D461" s="243"/>
      <c r="E461" s="243"/>
      <c r="F461" s="247"/>
      <c r="G461" s="243"/>
      <c r="H461" s="243"/>
      <c r="I461" s="243"/>
      <c r="J461" s="243"/>
      <c r="K461" s="243"/>
      <c r="L461" s="243"/>
      <c r="M461" s="243"/>
      <c r="N461" s="243"/>
      <c r="O461" s="243"/>
      <c r="P461" s="243"/>
      <c r="Q461" s="243"/>
      <c r="R461" s="243"/>
      <c r="S461" s="243"/>
      <c r="T461" s="243"/>
      <c r="U461" s="243"/>
      <c r="V461" s="243"/>
      <c r="W461" s="243"/>
      <c r="X461" s="243"/>
      <c r="Y461" s="244"/>
      <c r="Z461" s="243"/>
      <c r="AA461" s="245"/>
      <c r="AB461" s="246"/>
      <c r="AC461" s="246"/>
      <c r="AD461" s="246"/>
      <c r="AE461" s="131"/>
      <c r="AF461" s="244"/>
      <c r="AG461" s="243"/>
      <c r="AH461" s="243"/>
      <c r="AI461" s="243"/>
      <c r="AJ461" s="243"/>
      <c r="AK461" s="243"/>
      <c r="AL461" s="243"/>
      <c r="AM461" s="243"/>
      <c r="AN461" s="243"/>
      <c r="AO461" s="243"/>
      <c r="AP461" s="243"/>
      <c r="AQ461" s="243"/>
      <c r="AR461" s="243"/>
      <c r="AS461" s="243"/>
      <c r="AT461" s="243"/>
      <c r="AU461" s="243"/>
      <c r="AV461" s="243"/>
      <c r="AW461" s="243"/>
      <c r="AX461" s="243"/>
      <c r="AY461" s="243"/>
      <c r="AZ461" s="243"/>
    </row>
    <row r="462" spans="1:52">
      <c r="A462" s="216" t="str">
        <f>IF(D462="","",VLOOKUP(G462,códigosORL!$H:$J,3,FALSE))</f>
        <v/>
      </c>
      <c r="B462" s="243"/>
      <c r="C462" s="259"/>
      <c r="D462" s="243"/>
      <c r="E462" s="243"/>
      <c r="F462" s="247"/>
      <c r="G462" s="243"/>
      <c r="H462" s="243"/>
      <c r="I462" s="243"/>
      <c r="J462" s="243"/>
      <c r="K462" s="243"/>
      <c r="L462" s="243"/>
      <c r="M462" s="243"/>
      <c r="N462" s="243"/>
      <c r="O462" s="243"/>
      <c r="P462" s="243"/>
      <c r="Q462" s="243"/>
      <c r="R462" s="243"/>
      <c r="S462" s="243"/>
      <c r="T462" s="243"/>
      <c r="U462" s="243"/>
      <c r="V462" s="243"/>
      <c r="W462" s="243"/>
      <c r="X462" s="243"/>
      <c r="Y462" s="244"/>
      <c r="Z462" s="243"/>
      <c r="AA462" s="245"/>
      <c r="AB462" s="246"/>
      <c r="AC462" s="246"/>
      <c r="AD462" s="246"/>
      <c r="AE462" s="131"/>
      <c r="AF462" s="244"/>
      <c r="AG462" s="243"/>
      <c r="AH462" s="243"/>
      <c r="AI462" s="243"/>
      <c r="AJ462" s="243"/>
      <c r="AK462" s="243"/>
      <c r="AL462" s="243"/>
      <c r="AM462" s="243"/>
      <c r="AN462" s="243"/>
      <c r="AO462" s="243"/>
      <c r="AP462" s="243"/>
      <c r="AQ462" s="243"/>
      <c r="AR462" s="243"/>
      <c r="AS462" s="243"/>
      <c r="AT462" s="243"/>
      <c r="AU462" s="243"/>
      <c r="AV462" s="243"/>
      <c r="AW462" s="243"/>
      <c r="AX462" s="243"/>
      <c r="AY462" s="243"/>
      <c r="AZ462" s="243"/>
    </row>
    <row r="463" spans="1:52">
      <c r="A463" s="216" t="str">
        <f>IF(D463="","",VLOOKUP(G463,códigosORL!$H:$J,3,FALSE))</f>
        <v/>
      </c>
      <c r="B463" s="243"/>
      <c r="C463" s="259"/>
      <c r="D463" s="243"/>
      <c r="E463" s="243"/>
      <c r="F463" s="247"/>
      <c r="G463" s="243"/>
      <c r="H463" s="243"/>
      <c r="I463" s="243"/>
      <c r="J463" s="243"/>
      <c r="K463" s="243"/>
      <c r="L463" s="243"/>
      <c r="M463" s="243"/>
      <c r="N463" s="243"/>
      <c r="O463" s="243"/>
      <c r="P463" s="243"/>
      <c r="Q463" s="243"/>
      <c r="R463" s="243"/>
      <c r="S463" s="243"/>
      <c r="T463" s="243"/>
      <c r="U463" s="243"/>
      <c r="V463" s="243"/>
      <c r="W463" s="243"/>
      <c r="X463" s="243"/>
      <c r="Y463" s="244"/>
      <c r="Z463" s="243"/>
      <c r="AA463" s="245"/>
      <c r="AB463" s="246"/>
      <c r="AC463" s="246"/>
      <c r="AD463" s="246"/>
      <c r="AE463" s="131"/>
      <c r="AF463" s="244"/>
      <c r="AG463" s="243"/>
      <c r="AH463" s="243"/>
      <c r="AI463" s="243"/>
      <c r="AJ463" s="243"/>
      <c r="AK463" s="243"/>
      <c r="AL463" s="243"/>
      <c r="AM463" s="243"/>
      <c r="AN463" s="243"/>
      <c r="AO463" s="243"/>
      <c r="AP463" s="243"/>
      <c r="AQ463" s="243"/>
      <c r="AR463" s="243"/>
      <c r="AS463" s="243"/>
      <c r="AT463" s="243"/>
      <c r="AU463" s="243"/>
      <c r="AV463" s="243"/>
      <c r="AW463" s="243"/>
      <c r="AX463" s="243"/>
      <c r="AY463" s="243"/>
      <c r="AZ463" s="243"/>
    </row>
    <row r="464" spans="1:52">
      <c r="A464" s="216" t="str">
        <f>IF(D464="","",VLOOKUP(G464,códigosORL!$H:$J,3,FALSE))</f>
        <v/>
      </c>
      <c r="B464" s="243"/>
      <c r="C464" s="259"/>
      <c r="D464" s="243"/>
      <c r="E464" s="243"/>
      <c r="F464" s="247"/>
      <c r="G464" s="243"/>
      <c r="H464" s="243"/>
      <c r="I464" s="243"/>
      <c r="J464" s="243"/>
      <c r="K464" s="243"/>
      <c r="L464" s="243"/>
      <c r="M464" s="243"/>
      <c r="N464" s="243"/>
      <c r="O464" s="243"/>
      <c r="P464" s="243"/>
      <c r="Q464" s="243"/>
      <c r="R464" s="243"/>
      <c r="S464" s="243"/>
      <c r="T464" s="243"/>
      <c r="U464" s="243"/>
      <c r="V464" s="243"/>
      <c r="W464" s="243"/>
      <c r="X464" s="243"/>
      <c r="Y464" s="244"/>
      <c r="Z464" s="243"/>
      <c r="AA464" s="245"/>
      <c r="AB464" s="246"/>
      <c r="AC464" s="246"/>
      <c r="AD464" s="246"/>
      <c r="AE464" s="131"/>
      <c r="AF464" s="244"/>
      <c r="AG464" s="243"/>
      <c r="AH464" s="243"/>
      <c r="AI464" s="243"/>
      <c r="AJ464" s="243"/>
      <c r="AK464" s="243"/>
      <c r="AL464" s="243"/>
      <c r="AM464" s="243"/>
      <c r="AN464" s="243"/>
      <c r="AO464" s="243"/>
      <c r="AP464" s="243"/>
      <c r="AQ464" s="243"/>
      <c r="AR464" s="243"/>
      <c r="AS464" s="243"/>
      <c r="AT464" s="243"/>
      <c r="AU464" s="243"/>
      <c r="AV464" s="243"/>
      <c r="AW464" s="243"/>
      <c r="AX464" s="243"/>
      <c r="AY464" s="243"/>
      <c r="AZ464" s="243"/>
    </row>
    <row r="465" spans="1:52">
      <c r="A465" s="216" t="str">
        <f>IF(D465="","",VLOOKUP(G465,códigosORL!$H:$J,3,FALSE))</f>
        <v/>
      </c>
      <c r="B465" s="243"/>
      <c r="C465" s="259"/>
      <c r="D465" s="243"/>
      <c r="E465" s="243"/>
      <c r="F465" s="247"/>
      <c r="G465" s="243"/>
      <c r="H465" s="243"/>
      <c r="I465" s="243"/>
      <c r="J465" s="243"/>
      <c r="K465" s="243"/>
      <c r="L465" s="243"/>
      <c r="M465" s="243"/>
      <c r="N465" s="243"/>
      <c r="O465" s="243"/>
      <c r="P465" s="243"/>
      <c r="Q465" s="243"/>
      <c r="R465" s="243"/>
      <c r="S465" s="243"/>
      <c r="T465" s="243"/>
      <c r="U465" s="243"/>
      <c r="V465" s="243"/>
      <c r="W465" s="243"/>
      <c r="X465" s="243"/>
      <c r="Y465" s="244"/>
      <c r="Z465" s="243"/>
      <c r="AA465" s="245"/>
      <c r="AB465" s="246"/>
      <c r="AC465" s="246"/>
      <c r="AD465" s="246"/>
      <c r="AE465" s="131"/>
      <c r="AF465" s="244"/>
      <c r="AG465" s="243"/>
      <c r="AH465" s="243"/>
      <c r="AI465" s="243"/>
      <c r="AJ465" s="243"/>
      <c r="AK465" s="243"/>
      <c r="AL465" s="243"/>
      <c r="AM465" s="243"/>
      <c r="AN465" s="243"/>
      <c r="AO465" s="243"/>
      <c r="AP465" s="243"/>
      <c r="AQ465" s="243"/>
      <c r="AR465" s="243"/>
      <c r="AS465" s="243"/>
      <c r="AT465" s="243"/>
      <c r="AU465" s="243"/>
      <c r="AV465" s="243"/>
      <c r="AW465" s="243"/>
      <c r="AX465" s="243"/>
      <c r="AY465" s="243"/>
      <c r="AZ465" s="243"/>
    </row>
    <row r="466" spans="1:52">
      <c r="A466" s="216" t="str">
        <f>IF(D466="","",VLOOKUP(G466,códigosORL!$H:$J,3,FALSE))</f>
        <v/>
      </c>
      <c r="B466" s="243"/>
      <c r="C466" s="259"/>
      <c r="D466" s="243"/>
      <c r="E466" s="243"/>
      <c r="F466" s="247"/>
      <c r="G466" s="243"/>
      <c r="H466" s="243"/>
      <c r="I466" s="243"/>
      <c r="J466" s="243"/>
      <c r="K466" s="243"/>
      <c r="L466" s="243"/>
      <c r="M466" s="243"/>
      <c r="N466" s="243"/>
      <c r="O466" s="243"/>
      <c r="P466" s="243"/>
      <c r="Q466" s="243"/>
      <c r="R466" s="243"/>
      <c r="S466" s="243"/>
      <c r="T466" s="243"/>
      <c r="U466" s="243"/>
      <c r="V466" s="243"/>
      <c r="W466" s="243"/>
      <c r="X466" s="243"/>
      <c r="Y466" s="244"/>
      <c r="Z466" s="243"/>
      <c r="AA466" s="245"/>
      <c r="AB466" s="246"/>
      <c r="AC466" s="246"/>
      <c r="AD466" s="246"/>
      <c r="AE466" s="131"/>
      <c r="AF466" s="244"/>
      <c r="AG466" s="243"/>
      <c r="AH466" s="243"/>
      <c r="AI466" s="243"/>
      <c r="AJ466" s="243"/>
      <c r="AK466" s="243"/>
      <c r="AL466" s="243"/>
      <c r="AM466" s="243"/>
      <c r="AN466" s="243"/>
      <c r="AO466" s="243"/>
      <c r="AP466" s="243"/>
      <c r="AQ466" s="243"/>
      <c r="AR466" s="243"/>
      <c r="AS466" s="243"/>
      <c r="AT466" s="243"/>
      <c r="AU466" s="243"/>
      <c r="AV466" s="243"/>
      <c r="AW466" s="243"/>
      <c r="AX466" s="243"/>
      <c r="AY466" s="243"/>
      <c r="AZ466" s="243"/>
    </row>
    <row r="467" spans="1:52">
      <c r="A467" s="216" t="str">
        <f>IF(D467="","",VLOOKUP(G467,códigosORL!$H:$J,3,FALSE))</f>
        <v/>
      </c>
      <c r="B467" s="243"/>
      <c r="C467" s="259"/>
      <c r="D467" s="243"/>
      <c r="E467" s="243"/>
      <c r="F467" s="247"/>
      <c r="G467" s="243"/>
      <c r="H467" s="243"/>
      <c r="I467" s="243"/>
      <c r="J467" s="243"/>
      <c r="K467" s="243"/>
      <c r="L467" s="243"/>
      <c r="M467" s="243"/>
      <c r="N467" s="243"/>
      <c r="O467" s="243"/>
      <c r="P467" s="243"/>
      <c r="Q467" s="243"/>
      <c r="R467" s="243"/>
      <c r="S467" s="243"/>
      <c r="T467" s="243"/>
      <c r="U467" s="243"/>
      <c r="V467" s="243"/>
      <c r="W467" s="243"/>
      <c r="X467" s="243"/>
      <c r="Y467" s="244"/>
      <c r="Z467" s="243"/>
      <c r="AA467" s="245"/>
      <c r="AB467" s="246"/>
      <c r="AC467" s="246"/>
      <c r="AD467" s="246"/>
      <c r="AE467" s="131"/>
      <c r="AF467" s="244"/>
      <c r="AG467" s="243"/>
      <c r="AH467" s="243"/>
      <c r="AI467" s="243"/>
      <c r="AJ467" s="243"/>
      <c r="AK467" s="243"/>
      <c r="AL467" s="243"/>
      <c r="AM467" s="243"/>
      <c r="AN467" s="243"/>
      <c r="AO467" s="243"/>
      <c r="AP467" s="243"/>
      <c r="AQ467" s="243"/>
      <c r="AR467" s="243"/>
      <c r="AS467" s="243"/>
      <c r="AT467" s="243"/>
      <c r="AU467" s="243"/>
      <c r="AV467" s="243"/>
      <c r="AW467" s="243"/>
      <c r="AX467" s="243"/>
      <c r="AY467" s="243"/>
      <c r="AZ467" s="243"/>
    </row>
    <row r="468" spans="1:52">
      <c r="A468" s="216" t="str">
        <f>IF(D468="","",VLOOKUP(G468,códigosORL!$H:$J,3,FALSE))</f>
        <v/>
      </c>
      <c r="B468" s="243"/>
      <c r="C468" s="259"/>
      <c r="D468" s="243"/>
      <c r="E468" s="243"/>
      <c r="F468" s="247"/>
      <c r="G468" s="243"/>
      <c r="H468" s="243"/>
      <c r="I468" s="243"/>
      <c r="J468" s="243"/>
      <c r="K468" s="243"/>
      <c r="L468" s="243"/>
      <c r="M468" s="243"/>
      <c r="N468" s="243"/>
      <c r="O468" s="243"/>
      <c r="P468" s="243"/>
      <c r="Q468" s="243"/>
      <c r="R468" s="243"/>
      <c r="S468" s="243"/>
      <c r="T468" s="243"/>
      <c r="U468" s="243"/>
      <c r="V468" s="243"/>
      <c r="W468" s="243"/>
      <c r="X468" s="243"/>
      <c r="Y468" s="244"/>
      <c r="Z468" s="243"/>
      <c r="AA468" s="245"/>
      <c r="AB468" s="246"/>
      <c r="AC468" s="246"/>
      <c r="AD468" s="246"/>
      <c r="AE468" s="131"/>
      <c r="AF468" s="244"/>
      <c r="AG468" s="243"/>
      <c r="AH468" s="243"/>
      <c r="AI468" s="243"/>
      <c r="AJ468" s="243"/>
      <c r="AK468" s="243"/>
      <c r="AL468" s="243"/>
      <c r="AM468" s="243"/>
      <c r="AN468" s="243"/>
      <c r="AO468" s="243"/>
      <c r="AP468" s="243"/>
      <c r="AQ468" s="243"/>
      <c r="AR468" s="243"/>
      <c r="AS468" s="243"/>
      <c r="AT468" s="243"/>
      <c r="AU468" s="243"/>
      <c r="AV468" s="243"/>
      <c r="AW468" s="243"/>
      <c r="AX468" s="243"/>
      <c r="AY468" s="243"/>
      <c r="AZ468" s="243"/>
    </row>
    <row r="469" spans="1:52">
      <c r="A469" s="216" t="str">
        <f>IF(D469="","",VLOOKUP(G469,códigosORL!$H:$J,3,FALSE))</f>
        <v/>
      </c>
      <c r="B469" s="243"/>
      <c r="C469" s="259"/>
      <c r="D469" s="243"/>
      <c r="E469" s="243"/>
      <c r="F469" s="247"/>
      <c r="G469" s="243"/>
      <c r="H469" s="243"/>
      <c r="I469" s="243"/>
      <c r="J469" s="243"/>
      <c r="K469" s="243"/>
      <c r="L469" s="243"/>
      <c r="M469" s="243"/>
      <c r="N469" s="243"/>
      <c r="O469" s="243"/>
      <c r="P469" s="243"/>
      <c r="Q469" s="243"/>
      <c r="R469" s="243"/>
      <c r="S469" s="243"/>
      <c r="T469" s="243"/>
      <c r="U469" s="243"/>
      <c r="V469" s="243"/>
      <c r="W469" s="243"/>
      <c r="X469" s="243"/>
      <c r="Y469" s="244"/>
      <c r="Z469" s="243"/>
      <c r="AA469" s="245"/>
      <c r="AB469" s="246"/>
      <c r="AC469" s="246"/>
      <c r="AD469" s="246"/>
      <c r="AE469" s="131"/>
      <c r="AF469" s="244"/>
      <c r="AG469" s="243"/>
      <c r="AH469" s="243"/>
      <c r="AI469" s="243"/>
      <c r="AJ469" s="243"/>
      <c r="AK469" s="243"/>
      <c r="AL469" s="243"/>
      <c r="AM469" s="243"/>
      <c r="AN469" s="243"/>
      <c r="AO469" s="243"/>
      <c r="AP469" s="243"/>
      <c r="AQ469" s="243"/>
      <c r="AR469" s="243"/>
      <c r="AS469" s="243"/>
      <c r="AT469" s="243"/>
      <c r="AU469" s="243"/>
      <c r="AV469" s="243"/>
      <c r="AW469" s="243"/>
      <c r="AX469" s="243"/>
      <c r="AY469" s="243"/>
      <c r="AZ469" s="243"/>
    </row>
    <row r="470" spans="1:52">
      <c r="A470" s="216" t="str">
        <f>IF(D470="","",VLOOKUP(G470,códigosORL!$H:$J,3,FALSE))</f>
        <v/>
      </c>
      <c r="B470" s="243"/>
      <c r="C470" s="259"/>
      <c r="D470" s="243"/>
      <c r="E470" s="243"/>
      <c r="F470" s="247"/>
      <c r="G470" s="243"/>
      <c r="H470" s="243"/>
      <c r="I470" s="243"/>
      <c r="J470" s="243"/>
      <c r="K470" s="243"/>
      <c r="L470" s="243"/>
      <c r="M470" s="243"/>
      <c r="N470" s="243"/>
      <c r="O470" s="243"/>
      <c r="P470" s="243"/>
      <c r="Q470" s="243"/>
      <c r="R470" s="243"/>
      <c r="S470" s="243"/>
      <c r="T470" s="243"/>
      <c r="U470" s="243"/>
      <c r="V470" s="243"/>
      <c r="W470" s="243"/>
      <c r="X470" s="243"/>
      <c r="Y470" s="244"/>
      <c r="Z470" s="243"/>
      <c r="AA470" s="245"/>
      <c r="AB470" s="246"/>
      <c r="AC470" s="246"/>
      <c r="AD470" s="246"/>
      <c r="AE470" s="131"/>
      <c r="AF470" s="244"/>
      <c r="AG470" s="243"/>
      <c r="AH470" s="243"/>
      <c r="AI470" s="243"/>
      <c r="AJ470" s="243"/>
      <c r="AK470" s="243"/>
      <c r="AL470" s="243"/>
      <c r="AM470" s="243"/>
      <c r="AN470" s="243"/>
      <c r="AO470" s="243"/>
      <c r="AP470" s="243"/>
      <c r="AQ470" s="243"/>
      <c r="AR470" s="243"/>
      <c r="AS470" s="243"/>
      <c r="AT470" s="243"/>
      <c r="AU470" s="243"/>
      <c r="AV470" s="243"/>
      <c r="AW470" s="243"/>
      <c r="AX470" s="243"/>
      <c r="AY470" s="243"/>
      <c r="AZ470" s="243"/>
    </row>
    <row r="471" spans="1:52">
      <c r="A471" s="216" t="str">
        <f>IF(D471="","",VLOOKUP(G471,códigosORL!$H:$J,3,FALSE))</f>
        <v/>
      </c>
      <c r="B471" s="243"/>
      <c r="C471" s="259"/>
      <c r="D471" s="243"/>
      <c r="E471" s="243"/>
      <c r="F471" s="247"/>
      <c r="G471" s="243"/>
      <c r="H471" s="243"/>
      <c r="I471" s="243"/>
      <c r="J471" s="243"/>
      <c r="K471" s="243"/>
      <c r="L471" s="243"/>
      <c r="M471" s="243"/>
      <c r="N471" s="243"/>
      <c r="O471" s="243"/>
      <c r="P471" s="243"/>
      <c r="Q471" s="243"/>
      <c r="R471" s="243"/>
      <c r="S471" s="243"/>
      <c r="T471" s="243"/>
      <c r="U471" s="243"/>
      <c r="V471" s="243"/>
      <c r="W471" s="243"/>
      <c r="X471" s="243"/>
      <c r="Y471" s="244"/>
      <c r="Z471" s="243"/>
      <c r="AA471" s="245"/>
      <c r="AB471" s="246"/>
      <c r="AC471" s="246"/>
      <c r="AD471" s="246"/>
      <c r="AE471" s="131"/>
      <c r="AF471" s="244"/>
      <c r="AG471" s="243"/>
      <c r="AH471" s="243"/>
      <c r="AI471" s="243"/>
      <c r="AJ471" s="243"/>
      <c r="AK471" s="243"/>
      <c r="AL471" s="243"/>
      <c r="AM471" s="243"/>
      <c r="AN471" s="243"/>
      <c r="AO471" s="243"/>
      <c r="AP471" s="243"/>
      <c r="AQ471" s="243"/>
      <c r="AR471" s="243"/>
      <c r="AS471" s="243"/>
      <c r="AT471" s="243"/>
      <c r="AU471" s="243"/>
      <c r="AV471" s="243"/>
      <c r="AW471" s="243"/>
      <c r="AX471" s="243"/>
      <c r="AY471" s="243"/>
      <c r="AZ471" s="243"/>
    </row>
    <row r="472" spans="1:52">
      <c r="A472" s="216" t="str">
        <f>IF(D472="","",VLOOKUP(G472,códigosORL!$H:$J,3,FALSE))</f>
        <v/>
      </c>
      <c r="B472" s="243"/>
      <c r="C472" s="259"/>
      <c r="D472" s="243"/>
      <c r="E472" s="243"/>
      <c r="F472" s="247"/>
      <c r="G472" s="243"/>
      <c r="H472" s="243"/>
      <c r="I472" s="243"/>
      <c r="J472" s="243"/>
      <c r="K472" s="243"/>
      <c r="L472" s="243"/>
      <c r="M472" s="243"/>
      <c r="N472" s="243"/>
      <c r="O472" s="243"/>
      <c r="P472" s="243"/>
      <c r="Q472" s="243"/>
      <c r="R472" s="243"/>
      <c r="S472" s="243"/>
      <c r="T472" s="243"/>
      <c r="U472" s="243"/>
      <c r="V472" s="243"/>
      <c r="W472" s="243"/>
      <c r="X472" s="243"/>
      <c r="Y472" s="244"/>
      <c r="Z472" s="243"/>
      <c r="AA472" s="245"/>
      <c r="AB472" s="246"/>
      <c r="AC472" s="246"/>
      <c r="AD472" s="246"/>
      <c r="AE472" s="131"/>
      <c r="AF472" s="244"/>
      <c r="AG472" s="243"/>
      <c r="AH472" s="243"/>
      <c r="AI472" s="243"/>
      <c r="AJ472" s="243"/>
      <c r="AK472" s="243"/>
      <c r="AL472" s="243"/>
      <c r="AM472" s="243"/>
      <c r="AN472" s="243"/>
      <c r="AO472" s="243"/>
      <c r="AP472" s="243"/>
      <c r="AQ472" s="243"/>
      <c r="AR472" s="243"/>
      <c r="AS472" s="243"/>
      <c r="AT472" s="243"/>
      <c r="AU472" s="243"/>
      <c r="AV472" s="243"/>
      <c r="AW472" s="243"/>
      <c r="AX472" s="243"/>
      <c r="AY472" s="243"/>
      <c r="AZ472" s="243"/>
    </row>
    <row r="473" spans="1:52">
      <c r="A473" s="216" t="str">
        <f>IF(D473="","",VLOOKUP(G473,códigosORL!$H:$J,3,FALSE))</f>
        <v/>
      </c>
      <c r="B473" s="243"/>
      <c r="C473" s="259"/>
      <c r="D473" s="243"/>
      <c r="E473" s="243"/>
      <c r="F473" s="247"/>
      <c r="G473" s="243"/>
      <c r="H473" s="243"/>
      <c r="I473" s="243"/>
      <c r="J473" s="243"/>
      <c r="K473" s="243"/>
      <c r="L473" s="243"/>
      <c r="M473" s="243"/>
      <c r="N473" s="243"/>
      <c r="O473" s="243"/>
      <c r="P473" s="243"/>
      <c r="Q473" s="243"/>
      <c r="R473" s="243"/>
      <c r="S473" s="243"/>
      <c r="T473" s="243"/>
      <c r="U473" s="243"/>
      <c r="V473" s="243"/>
      <c r="W473" s="243"/>
      <c r="X473" s="243"/>
      <c r="Y473" s="244"/>
      <c r="Z473" s="243"/>
      <c r="AA473" s="245"/>
      <c r="AB473" s="246"/>
      <c r="AC473" s="246"/>
      <c r="AD473" s="246"/>
      <c r="AE473" s="131"/>
      <c r="AF473" s="244"/>
      <c r="AG473" s="243"/>
      <c r="AH473" s="243"/>
      <c r="AI473" s="243"/>
      <c r="AJ473" s="243"/>
      <c r="AK473" s="243"/>
      <c r="AL473" s="243"/>
      <c r="AM473" s="243"/>
      <c r="AN473" s="243"/>
      <c r="AO473" s="243"/>
      <c r="AP473" s="243"/>
      <c r="AQ473" s="243"/>
      <c r="AR473" s="243"/>
      <c r="AS473" s="243"/>
      <c r="AT473" s="243"/>
      <c r="AU473" s="243"/>
      <c r="AV473" s="243"/>
      <c r="AW473" s="243"/>
      <c r="AX473" s="243"/>
      <c r="AY473" s="243"/>
      <c r="AZ473" s="243"/>
    </row>
    <row r="474" spans="1:52">
      <c r="A474" s="216" t="str">
        <f>IF(D474="","",VLOOKUP(G474,códigosORL!$H:$J,3,FALSE))</f>
        <v/>
      </c>
      <c r="B474" s="243"/>
      <c r="C474" s="259"/>
      <c r="D474" s="243"/>
      <c r="E474" s="243"/>
      <c r="F474" s="247"/>
      <c r="G474" s="243"/>
      <c r="H474" s="243"/>
      <c r="I474" s="243"/>
      <c r="J474" s="243"/>
      <c r="K474" s="243"/>
      <c r="L474" s="243"/>
      <c r="M474" s="243"/>
      <c r="N474" s="243"/>
      <c r="O474" s="243"/>
      <c r="P474" s="243"/>
      <c r="Q474" s="243"/>
      <c r="R474" s="243"/>
      <c r="S474" s="243"/>
      <c r="T474" s="243"/>
      <c r="U474" s="243"/>
      <c r="V474" s="243"/>
      <c r="W474" s="243"/>
      <c r="X474" s="243"/>
      <c r="Y474" s="244"/>
      <c r="Z474" s="243"/>
      <c r="AA474" s="245"/>
      <c r="AB474" s="246"/>
      <c r="AC474" s="246"/>
      <c r="AD474" s="246"/>
      <c r="AE474" s="131"/>
      <c r="AF474" s="244"/>
      <c r="AG474" s="243"/>
      <c r="AH474" s="243"/>
      <c r="AI474" s="243"/>
      <c r="AJ474" s="243"/>
      <c r="AK474" s="243"/>
      <c r="AL474" s="243"/>
      <c r="AM474" s="243"/>
      <c r="AN474" s="243"/>
      <c r="AO474" s="243"/>
      <c r="AP474" s="243"/>
      <c r="AQ474" s="243"/>
      <c r="AR474" s="243"/>
      <c r="AS474" s="243"/>
      <c r="AT474" s="243"/>
      <c r="AU474" s="243"/>
      <c r="AV474" s="243"/>
      <c r="AW474" s="243"/>
      <c r="AX474" s="243"/>
      <c r="AY474" s="243"/>
      <c r="AZ474" s="243"/>
    </row>
    <row r="475" spans="1:52">
      <c r="A475" s="216" t="str">
        <f>IF(D475="","",VLOOKUP(G475,códigosORL!$H:$J,3,FALSE))</f>
        <v/>
      </c>
      <c r="B475" s="243"/>
      <c r="C475" s="259"/>
      <c r="D475" s="243"/>
      <c r="E475" s="243"/>
      <c r="F475" s="247"/>
      <c r="G475" s="243"/>
      <c r="H475" s="243"/>
      <c r="I475" s="243"/>
      <c r="J475" s="243"/>
      <c r="K475" s="243"/>
      <c r="L475" s="243"/>
      <c r="M475" s="243"/>
      <c r="N475" s="243"/>
      <c r="O475" s="243"/>
      <c r="P475" s="243"/>
      <c r="Q475" s="243"/>
      <c r="R475" s="243"/>
      <c r="S475" s="243"/>
      <c r="T475" s="243"/>
      <c r="U475" s="243"/>
      <c r="V475" s="243"/>
      <c r="W475" s="243"/>
      <c r="X475" s="243"/>
      <c r="Y475" s="244"/>
      <c r="Z475" s="243"/>
      <c r="AA475" s="245"/>
      <c r="AB475" s="246"/>
      <c r="AC475" s="246"/>
      <c r="AD475" s="246"/>
      <c r="AE475" s="131"/>
      <c r="AF475" s="244"/>
      <c r="AG475" s="243"/>
      <c r="AH475" s="243"/>
      <c r="AI475" s="243"/>
      <c r="AJ475" s="243"/>
      <c r="AK475" s="243"/>
      <c r="AL475" s="243"/>
      <c r="AM475" s="243"/>
      <c r="AN475" s="243"/>
      <c r="AO475" s="243"/>
      <c r="AP475" s="243"/>
      <c r="AQ475" s="243"/>
      <c r="AR475" s="243"/>
      <c r="AS475" s="243"/>
      <c r="AT475" s="243"/>
      <c r="AU475" s="243"/>
      <c r="AV475" s="243"/>
      <c r="AW475" s="243"/>
      <c r="AX475" s="243"/>
      <c r="AY475" s="243"/>
      <c r="AZ475" s="243"/>
    </row>
    <row r="476" spans="1:52">
      <c r="A476" s="216" t="str">
        <f>IF(D476="","",VLOOKUP(G476,códigosORL!$H:$J,3,FALSE))</f>
        <v/>
      </c>
      <c r="B476" s="243"/>
      <c r="C476" s="259"/>
      <c r="D476" s="243"/>
      <c r="E476" s="243"/>
      <c r="F476" s="247"/>
      <c r="G476" s="243"/>
      <c r="H476" s="243"/>
      <c r="I476" s="243"/>
      <c r="J476" s="243"/>
      <c r="K476" s="243"/>
      <c r="L476" s="243"/>
      <c r="M476" s="243"/>
      <c r="N476" s="243"/>
      <c r="O476" s="243"/>
      <c r="P476" s="243"/>
      <c r="Q476" s="243"/>
      <c r="R476" s="243"/>
      <c r="S476" s="243"/>
      <c r="T476" s="243"/>
      <c r="U476" s="243"/>
      <c r="V476" s="243"/>
      <c r="W476" s="243"/>
      <c r="X476" s="243"/>
      <c r="Y476" s="244"/>
      <c r="Z476" s="243"/>
      <c r="AA476" s="245"/>
      <c r="AB476" s="246"/>
      <c r="AC476" s="246"/>
      <c r="AD476" s="246"/>
      <c r="AE476" s="131"/>
      <c r="AF476" s="244"/>
      <c r="AG476" s="243"/>
      <c r="AH476" s="243"/>
      <c r="AI476" s="243"/>
      <c r="AJ476" s="243"/>
      <c r="AK476" s="243"/>
      <c r="AL476" s="243"/>
      <c r="AM476" s="243"/>
      <c r="AN476" s="243"/>
      <c r="AO476" s="243"/>
      <c r="AP476" s="243"/>
      <c r="AQ476" s="243"/>
      <c r="AR476" s="243"/>
      <c r="AS476" s="243"/>
      <c r="AT476" s="243"/>
      <c r="AU476" s="243"/>
      <c r="AV476" s="243"/>
      <c r="AW476" s="243"/>
      <c r="AX476" s="243"/>
      <c r="AY476" s="243"/>
      <c r="AZ476" s="243"/>
    </row>
    <row r="477" spans="1:52">
      <c r="A477" s="216" t="str">
        <f>IF(D477="","",VLOOKUP(G477,códigosORL!$H:$J,3,FALSE))</f>
        <v/>
      </c>
      <c r="B477" s="243"/>
      <c r="C477" s="259"/>
      <c r="D477" s="243"/>
      <c r="E477" s="243"/>
      <c r="F477" s="247"/>
      <c r="G477" s="243"/>
      <c r="H477" s="243"/>
      <c r="I477" s="243"/>
      <c r="J477" s="243"/>
      <c r="K477" s="243"/>
      <c r="L477" s="243"/>
      <c r="M477" s="243"/>
      <c r="N477" s="243"/>
      <c r="O477" s="243"/>
      <c r="P477" s="243"/>
      <c r="Q477" s="243"/>
      <c r="R477" s="243"/>
      <c r="S477" s="243"/>
      <c r="T477" s="243"/>
      <c r="U477" s="243"/>
      <c r="V477" s="243"/>
      <c r="W477" s="243"/>
      <c r="X477" s="243"/>
      <c r="Y477" s="244"/>
      <c r="Z477" s="243"/>
      <c r="AA477" s="245"/>
      <c r="AB477" s="246"/>
      <c r="AC477" s="246"/>
      <c r="AD477" s="246"/>
      <c r="AE477" s="131"/>
      <c r="AF477" s="244"/>
      <c r="AG477" s="243"/>
      <c r="AH477" s="243"/>
      <c r="AI477" s="243"/>
      <c r="AJ477" s="243"/>
      <c r="AK477" s="243"/>
      <c r="AL477" s="243"/>
      <c r="AM477" s="243"/>
      <c r="AN477" s="243"/>
      <c r="AO477" s="243"/>
      <c r="AP477" s="243"/>
      <c r="AQ477" s="243"/>
      <c r="AR477" s="243"/>
      <c r="AS477" s="243"/>
      <c r="AT477" s="243"/>
      <c r="AU477" s="243"/>
      <c r="AV477" s="243"/>
      <c r="AW477" s="243"/>
      <c r="AX477" s="243"/>
      <c r="AY477" s="243"/>
      <c r="AZ477" s="243"/>
    </row>
    <row r="478" spans="1:52">
      <c r="A478" s="216" t="str">
        <f>IF(D478="","",VLOOKUP(G478,códigosORL!$H:$J,3,FALSE))</f>
        <v/>
      </c>
      <c r="B478" s="243"/>
      <c r="C478" s="259"/>
      <c r="D478" s="243"/>
      <c r="E478" s="243"/>
      <c r="F478" s="247"/>
      <c r="G478" s="243"/>
      <c r="H478" s="243"/>
      <c r="I478" s="243"/>
      <c r="J478" s="243"/>
      <c r="K478" s="243"/>
      <c r="L478" s="243"/>
      <c r="M478" s="243"/>
      <c r="N478" s="243"/>
      <c r="O478" s="243"/>
      <c r="P478" s="243"/>
      <c r="Q478" s="243"/>
      <c r="R478" s="243"/>
      <c r="S478" s="243"/>
      <c r="T478" s="243"/>
      <c r="U478" s="243"/>
      <c r="V478" s="243"/>
      <c r="W478" s="243"/>
      <c r="X478" s="243"/>
      <c r="Y478" s="244"/>
      <c r="Z478" s="243"/>
      <c r="AA478" s="245"/>
      <c r="AB478" s="246"/>
      <c r="AC478" s="246"/>
      <c r="AD478" s="246"/>
      <c r="AE478" s="131"/>
      <c r="AF478" s="244"/>
      <c r="AG478" s="243"/>
      <c r="AH478" s="243"/>
      <c r="AI478" s="243"/>
      <c r="AJ478" s="243"/>
      <c r="AK478" s="243"/>
      <c r="AL478" s="243"/>
      <c r="AM478" s="243"/>
      <c r="AN478" s="243"/>
      <c r="AO478" s="243"/>
      <c r="AP478" s="243"/>
      <c r="AQ478" s="243"/>
      <c r="AR478" s="243"/>
      <c r="AS478" s="243"/>
      <c r="AT478" s="243"/>
      <c r="AU478" s="243"/>
      <c r="AV478" s="243"/>
      <c r="AW478" s="243"/>
      <c r="AX478" s="243"/>
      <c r="AY478" s="243"/>
      <c r="AZ478" s="243"/>
    </row>
    <row r="479" spans="1:52">
      <c r="A479" s="216" t="str">
        <f>IF(D479="","",VLOOKUP(G479,códigosORL!$H:$J,3,FALSE))</f>
        <v/>
      </c>
      <c r="B479" s="243"/>
      <c r="C479" s="259"/>
      <c r="D479" s="243"/>
      <c r="E479" s="243"/>
      <c r="F479" s="247"/>
      <c r="G479" s="243"/>
      <c r="H479" s="243"/>
      <c r="I479" s="243"/>
      <c r="J479" s="243"/>
      <c r="K479" s="243"/>
      <c r="L479" s="243"/>
      <c r="M479" s="243"/>
      <c r="N479" s="243"/>
      <c r="O479" s="243"/>
      <c r="P479" s="243"/>
      <c r="Q479" s="243"/>
      <c r="R479" s="243"/>
      <c r="S479" s="243"/>
      <c r="T479" s="243"/>
      <c r="U479" s="243"/>
      <c r="V479" s="243"/>
      <c r="W479" s="243"/>
      <c r="X479" s="243"/>
      <c r="Y479" s="244"/>
      <c r="Z479" s="243"/>
      <c r="AA479" s="245"/>
      <c r="AB479" s="246"/>
      <c r="AC479" s="246"/>
      <c r="AD479" s="246"/>
      <c r="AE479" s="131"/>
      <c r="AF479" s="244"/>
      <c r="AG479" s="243"/>
      <c r="AH479" s="243"/>
      <c r="AI479" s="243"/>
      <c r="AJ479" s="243"/>
      <c r="AK479" s="243"/>
      <c r="AL479" s="243"/>
      <c r="AM479" s="243"/>
      <c r="AN479" s="243"/>
      <c r="AO479" s="243"/>
      <c r="AP479" s="243"/>
      <c r="AQ479" s="243"/>
      <c r="AR479" s="243"/>
      <c r="AS479" s="243"/>
      <c r="AT479" s="243"/>
      <c r="AU479" s="243"/>
      <c r="AV479" s="243"/>
      <c r="AW479" s="243"/>
      <c r="AX479" s="243"/>
      <c r="AY479" s="243"/>
      <c r="AZ479" s="243"/>
    </row>
    <row r="480" spans="1:52">
      <c r="A480" s="216" t="str">
        <f>IF(D480="","",VLOOKUP(G480,códigosORL!$H:$J,3,FALSE))</f>
        <v/>
      </c>
      <c r="B480" s="243"/>
      <c r="C480" s="259"/>
      <c r="D480" s="243"/>
      <c r="E480" s="243"/>
      <c r="F480" s="247"/>
      <c r="G480" s="243"/>
      <c r="H480" s="243"/>
      <c r="I480" s="243"/>
      <c r="J480" s="243"/>
      <c r="K480" s="243"/>
      <c r="L480" s="243"/>
      <c r="M480" s="243"/>
      <c r="N480" s="243"/>
      <c r="O480" s="243"/>
      <c r="P480" s="243"/>
      <c r="Q480" s="243"/>
      <c r="R480" s="243"/>
      <c r="S480" s="243"/>
      <c r="T480" s="243"/>
      <c r="U480" s="243"/>
      <c r="V480" s="243"/>
      <c r="W480" s="243"/>
      <c r="X480" s="243"/>
      <c r="Y480" s="244"/>
      <c r="Z480" s="243"/>
      <c r="AA480" s="245"/>
      <c r="AB480" s="246"/>
      <c r="AC480" s="246"/>
      <c r="AD480" s="246"/>
      <c r="AE480" s="131"/>
      <c r="AF480" s="244"/>
      <c r="AG480" s="243"/>
      <c r="AH480" s="243"/>
      <c r="AI480" s="243"/>
      <c r="AJ480" s="243"/>
      <c r="AK480" s="243"/>
      <c r="AL480" s="243"/>
      <c r="AM480" s="243"/>
      <c r="AN480" s="243"/>
      <c r="AO480" s="243"/>
      <c r="AP480" s="243"/>
      <c r="AQ480" s="243"/>
      <c r="AR480" s="243"/>
      <c r="AS480" s="243"/>
      <c r="AT480" s="243"/>
      <c r="AU480" s="243"/>
      <c r="AV480" s="243"/>
      <c r="AW480" s="243"/>
      <c r="AX480" s="243"/>
      <c r="AY480" s="243"/>
      <c r="AZ480" s="243"/>
    </row>
    <row r="481" spans="1:52">
      <c r="A481" s="216" t="str">
        <f>IF(D481="","",VLOOKUP(G481,códigosORL!$H:$J,3,FALSE))</f>
        <v/>
      </c>
      <c r="B481" s="243"/>
      <c r="C481" s="259"/>
      <c r="D481" s="243"/>
      <c r="E481" s="243"/>
      <c r="F481" s="247"/>
      <c r="G481" s="243"/>
      <c r="H481" s="243"/>
      <c r="I481" s="243"/>
      <c r="J481" s="243"/>
      <c r="K481" s="243"/>
      <c r="L481" s="243"/>
      <c r="M481" s="243"/>
      <c r="N481" s="243"/>
      <c r="O481" s="243"/>
      <c r="P481" s="243"/>
      <c r="Q481" s="243"/>
      <c r="R481" s="243"/>
      <c r="S481" s="243"/>
      <c r="T481" s="243"/>
      <c r="U481" s="243"/>
      <c r="V481" s="243"/>
      <c r="W481" s="243"/>
      <c r="X481" s="243"/>
      <c r="Y481" s="244"/>
      <c r="Z481" s="243"/>
      <c r="AA481" s="245"/>
      <c r="AB481" s="246"/>
      <c r="AC481" s="246"/>
      <c r="AD481" s="246"/>
      <c r="AE481" s="131"/>
      <c r="AF481" s="244"/>
      <c r="AG481" s="243"/>
      <c r="AH481" s="243"/>
      <c r="AI481" s="243"/>
      <c r="AJ481" s="243"/>
      <c r="AK481" s="243"/>
      <c r="AL481" s="243"/>
      <c r="AM481" s="243"/>
      <c r="AN481" s="243"/>
      <c r="AO481" s="243"/>
      <c r="AP481" s="243"/>
      <c r="AQ481" s="243"/>
      <c r="AR481" s="243"/>
      <c r="AS481" s="243"/>
      <c r="AT481" s="243"/>
      <c r="AU481" s="243"/>
      <c r="AV481" s="243"/>
      <c r="AW481" s="243"/>
      <c r="AX481" s="243"/>
      <c r="AY481" s="243"/>
      <c r="AZ481" s="243"/>
    </row>
    <row r="482" spans="1:52">
      <c r="A482" s="216" t="str">
        <f>IF(D482="","",VLOOKUP(G482,códigosORL!$H:$J,3,FALSE))</f>
        <v/>
      </c>
      <c r="B482" s="243"/>
      <c r="C482" s="259"/>
      <c r="D482" s="243"/>
      <c r="E482" s="243"/>
      <c r="F482" s="247"/>
      <c r="G482" s="243"/>
      <c r="H482" s="243"/>
      <c r="I482" s="243"/>
      <c r="J482" s="243"/>
      <c r="K482" s="243"/>
      <c r="L482" s="243"/>
      <c r="M482" s="243"/>
      <c r="N482" s="243"/>
      <c r="O482" s="243"/>
      <c r="P482" s="243"/>
      <c r="Q482" s="243"/>
      <c r="R482" s="243"/>
      <c r="S482" s="243"/>
      <c r="T482" s="243"/>
      <c r="U482" s="243"/>
      <c r="V482" s="243"/>
      <c r="W482" s="243"/>
      <c r="X482" s="243"/>
      <c r="Y482" s="244"/>
      <c r="Z482" s="243"/>
      <c r="AA482" s="245"/>
      <c r="AB482" s="246"/>
      <c r="AC482" s="246"/>
      <c r="AD482" s="246"/>
      <c r="AE482" s="131"/>
      <c r="AF482" s="244"/>
      <c r="AG482" s="243"/>
      <c r="AH482" s="243"/>
      <c r="AI482" s="243"/>
      <c r="AJ482" s="243"/>
      <c r="AK482" s="243"/>
      <c r="AL482" s="243"/>
      <c r="AM482" s="243"/>
      <c r="AN482" s="243"/>
      <c r="AO482" s="243"/>
      <c r="AP482" s="243"/>
      <c r="AQ482" s="243"/>
      <c r="AR482" s="243"/>
      <c r="AS482" s="243"/>
      <c r="AT482" s="243"/>
      <c r="AU482" s="243"/>
      <c r="AV482" s="243"/>
      <c r="AW482" s="243"/>
      <c r="AX482" s="243"/>
      <c r="AY482" s="243"/>
      <c r="AZ482" s="243"/>
    </row>
    <row r="483" spans="1:52">
      <c r="A483" s="216" t="str">
        <f>IF(D483="","",VLOOKUP(G483,códigosORL!$H:$J,3,FALSE))</f>
        <v/>
      </c>
      <c r="B483" s="243"/>
      <c r="C483" s="259"/>
      <c r="D483" s="243"/>
      <c r="E483" s="243"/>
      <c r="F483" s="247"/>
      <c r="G483" s="243"/>
      <c r="H483" s="243"/>
      <c r="I483" s="243"/>
      <c r="J483" s="243"/>
      <c r="K483" s="243"/>
      <c r="L483" s="243"/>
      <c r="M483" s="243"/>
      <c r="N483" s="243"/>
      <c r="O483" s="243"/>
      <c r="P483" s="243"/>
      <c r="Q483" s="243"/>
      <c r="R483" s="243"/>
      <c r="S483" s="243"/>
      <c r="T483" s="243"/>
      <c r="U483" s="243"/>
      <c r="V483" s="243"/>
      <c r="W483" s="243"/>
      <c r="X483" s="243"/>
      <c r="Y483" s="244"/>
      <c r="Z483" s="243"/>
      <c r="AA483" s="245"/>
      <c r="AB483" s="246"/>
      <c r="AC483" s="246"/>
      <c r="AD483" s="246"/>
      <c r="AE483" s="131"/>
      <c r="AF483" s="244"/>
      <c r="AG483" s="243"/>
      <c r="AH483" s="243"/>
      <c r="AI483" s="243"/>
      <c r="AJ483" s="243"/>
      <c r="AK483" s="243"/>
      <c r="AL483" s="243"/>
      <c r="AM483" s="243"/>
      <c r="AN483" s="243"/>
      <c r="AO483" s="243"/>
      <c r="AP483" s="243"/>
      <c r="AQ483" s="243"/>
      <c r="AR483" s="243"/>
      <c r="AS483" s="243"/>
      <c r="AT483" s="243"/>
      <c r="AU483" s="243"/>
      <c r="AV483" s="243"/>
      <c r="AW483" s="243"/>
      <c r="AX483" s="243"/>
      <c r="AY483" s="243"/>
      <c r="AZ483" s="243"/>
    </row>
    <row r="484" spans="1:52">
      <c r="A484" s="216" t="str">
        <f>IF(D484="","",VLOOKUP(G484,códigosORL!$H:$J,3,FALSE))</f>
        <v/>
      </c>
      <c r="B484" s="243"/>
      <c r="C484" s="259"/>
      <c r="D484" s="243"/>
      <c r="E484" s="243"/>
      <c r="F484" s="247"/>
      <c r="G484" s="243"/>
      <c r="H484" s="243"/>
      <c r="I484" s="243"/>
      <c r="J484" s="243"/>
      <c r="K484" s="243"/>
      <c r="L484" s="243"/>
      <c r="M484" s="243"/>
      <c r="N484" s="243"/>
      <c r="O484" s="243"/>
      <c r="P484" s="243"/>
      <c r="Q484" s="243"/>
      <c r="R484" s="243"/>
      <c r="S484" s="243"/>
      <c r="T484" s="243"/>
      <c r="U484" s="243"/>
      <c r="V484" s="243"/>
      <c r="W484" s="243"/>
      <c r="X484" s="243"/>
      <c r="Y484" s="244"/>
      <c r="Z484" s="243"/>
      <c r="AA484" s="245"/>
      <c r="AB484" s="246"/>
      <c r="AC484" s="246"/>
      <c r="AD484" s="246"/>
      <c r="AE484" s="131"/>
      <c r="AF484" s="244"/>
      <c r="AG484" s="243"/>
      <c r="AH484" s="243"/>
      <c r="AI484" s="243"/>
      <c r="AJ484" s="243"/>
      <c r="AK484" s="243"/>
      <c r="AL484" s="243"/>
      <c r="AM484" s="243"/>
      <c r="AN484" s="243"/>
      <c r="AO484" s="243"/>
      <c r="AP484" s="243"/>
      <c r="AQ484" s="243"/>
      <c r="AR484" s="243"/>
      <c r="AS484" s="243"/>
      <c r="AT484" s="243"/>
      <c r="AU484" s="243"/>
      <c r="AV484" s="243"/>
      <c r="AW484" s="243"/>
      <c r="AX484" s="243"/>
      <c r="AY484" s="243"/>
      <c r="AZ484" s="243"/>
    </row>
    <row r="485" spans="1:52">
      <c r="A485" s="216" t="str">
        <f>IF(D485="","",VLOOKUP(G485,códigosORL!$H:$J,3,FALSE))</f>
        <v/>
      </c>
      <c r="B485" s="243"/>
      <c r="C485" s="259"/>
      <c r="D485" s="243"/>
      <c r="E485" s="243"/>
      <c r="F485" s="247"/>
      <c r="G485" s="243"/>
      <c r="H485" s="243"/>
      <c r="I485" s="243"/>
      <c r="J485" s="243"/>
      <c r="K485" s="243"/>
      <c r="L485" s="243"/>
      <c r="M485" s="243"/>
      <c r="N485" s="243"/>
      <c r="O485" s="243"/>
      <c r="P485" s="243"/>
      <c r="Q485" s="243"/>
      <c r="R485" s="243"/>
      <c r="S485" s="243"/>
      <c r="T485" s="243"/>
      <c r="U485" s="243"/>
      <c r="V485" s="243"/>
      <c r="W485" s="243"/>
      <c r="X485" s="243"/>
      <c r="Y485" s="244"/>
      <c r="Z485" s="243"/>
      <c r="AA485" s="245"/>
      <c r="AB485" s="246"/>
      <c r="AC485" s="246"/>
      <c r="AD485" s="246"/>
      <c r="AE485" s="131"/>
      <c r="AF485" s="244"/>
      <c r="AG485" s="243"/>
      <c r="AH485" s="243"/>
      <c r="AI485" s="243"/>
      <c r="AJ485" s="243"/>
      <c r="AK485" s="243"/>
      <c r="AL485" s="243"/>
      <c r="AM485" s="243"/>
      <c r="AN485" s="243"/>
      <c r="AO485" s="243"/>
      <c r="AP485" s="243"/>
      <c r="AQ485" s="243"/>
      <c r="AR485" s="243"/>
      <c r="AS485" s="243"/>
      <c r="AT485" s="243"/>
      <c r="AU485" s="243"/>
      <c r="AV485" s="243"/>
      <c r="AW485" s="243"/>
      <c r="AX485" s="243"/>
      <c r="AY485" s="243"/>
      <c r="AZ485" s="243"/>
    </row>
    <row r="486" spans="1:52">
      <c r="A486" s="216" t="str">
        <f>IF(D486="","",VLOOKUP(G486,códigosORL!$H:$J,3,FALSE))</f>
        <v/>
      </c>
      <c r="B486" s="243"/>
      <c r="C486" s="259"/>
      <c r="D486" s="243"/>
      <c r="E486" s="243"/>
      <c r="F486" s="247"/>
      <c r="G486" s="243"/>
      <c r="H486" s="243"/>
      <c r="I486" s="243"/>
      <c r="J486" s="243"/>
      <c r="K486" s="243"/>
      <c r="L486" s="243"/>
      <c r="M486" s="243"/>
      <c r="N486" s="243"/>
      <c r="O486" s="243"/>
      <c r="P486" s="243"/>
      <c r="Q486" s="243"/>
      <c r="R486" s="243"/>
      <c r="S486" s="243"/>
      <c r="T486" s="243"/>
      <c r="U486" s="243"/>
      <c r="V486" s="243"/>
      <c r="W486" s="243"/>
      <c r="X486" s="243"/>
      <c r="Y486" s="244"/>
      <c r="Z486" s="243"/>
      <c r="AA486" s="245"/>
      <c r="AB486" s="246"/>
      <c r="AC486" s="246"/>
      <c r="AD486" s="246"/>
      <c r="AE486" s="131"/>
      <c r="AF486" s="244"/>
      <c r="AG486" s="243"/>
      <c r="AH486" s="243"/>
      <c r="AI486" s="243"/>
      <c r="AJ486" s="243"/>
      <c r="AK486" s="243"/>
      <c r="AL486" s="243"/>
      <c r="AM486" s="243"/>
      <c r="AN486" s="243"/>
      <c r="AO486" s="243"/>
      <c r="AP486" s="243"/>
      <c r="AQ486" s="243"/>
      <c r="AR486" s="243"/>
      <c r="AS486" s="243"/>
      <c r="AT486" s="243"/>
      <c r="AU486" s="243"/>
      <c r="AV486" s="243"/>
      <c r="AW486" s="243"/>
      <c r="AX486" s="243"/>
      <c r="AY486" s="243"/>
      <c r="AZ486" s="243"/>
    </row>
    <row r="487" spans="1:52">
      <c r="A487" s="216" t="str">
        <f>IF(D487="","",VLOOKUP(G487,códigosORL!$H:$J,3,FALSE))</f>
        <v/>
      </c>
      <c r="B487" s="243"/>
      <c r="C487" s="259"/>
      <c r="D487" s="243"/>
      <c r="E487" s="243"/>
      <c r="F487" s="247"/>
      <c r="G487" s="243"/>
      <c r="H487" s="243"/>
      <c r="I487" s="243"/>
      <c r="J487" s="243"/>
      <c r="K487" s="243"/>
      <c r="L487" s="243"/>
      <c r="M487" s="243"/>
      <c r="N487" s="243"/>
      <c r="O487" s="243"/>
      <c r="P487" s="243"/>
      <c r="Q487" s="243"/>
      <c r="R487" s="243"/>
      <c r="S487" s="243"/>
      <c r="T487" s="243"/>
      <c r="U487" s="243"/>
      <c r="V487" s="243"/>
      <c r="W487" s="243"/>
      <c r="X487" s="243"/>
      <c r="Y487" s="244"/>
      <c r="Z487" s="243"/>
      <c r="AA487" s="245"/>
      <c r="AB487" s="246"/>
      <c r="AC487" s="246"/>
      <c r="AD487" s="246"/>
      <c r="AE487" s="131"/>
      <c r="AF487" s="244"/>
      <c r="AG487" s="243"/>
      <c r="AH487" s="243"/>
      <c r="AI487" s="243"/>
      <c r="AJ487" s="243"/>
      <c r="AK487" s="243"/>
      <c r="AL487" s="243"/>
      <c r="AM487" s="243"/>
      <c r="AN487" s="243"/>
      <c r="AO487" s="243"/>
      <c r="AP487" s="243"/>
      <c r="AQ487" s="243"/>
      <c r="AR487" s="243"/>
      <c r="AS487" s="243"/>
      <c r="AT487" s="243"/>
      <c r="AU487" s="243"/>
      <c r="AV487" s="243"/>
      <c r="AW487" s="243"/>
      <c r="AX487" s="243"/>
      <c r="AY487" s="243"/>
      <c r="AZ487" s="243"/>
    </row>
    <row r="488" spans="1:52">
      <c r="A488" s="216" t="str">
        <f>IF(D488="","",VLOOKUP(G488,códigosORL!$H:$J,3,FALSE))</f>
        <v/>
      </c>
      <c r="B488" s="243"/>
      <c r="C488" s="259"/>
      <c r="D488" s="243"/>
      <c r="E488" s="243"/>
      <c r="F488" s="247"/>
      <c r="G488" s="243"/>
      <c r="H488" s="243"/>
      <c r="I488" s="243"/>
      <c r="J488" s="243"/>
      <c r="K488" s="243"/>
      <c r="L488" s="243"/>
      <c r="M488" s="243"/>
      <c r="N488" s="243"/>
      <c r="O488" s="243"/>
      <c r="P488" s="243"/>
      <c r="Q488" s="243"/>
      <c r="R488" s="243"/>
      <c r="S488" s="243"/>
      <c r="T488" s="243"/>
      <c r="U488" s="243"/>
      <c r="V488" s="243"/>
      <c r="W488" s="243"/>
      <c r="X488" s="243"/>
      <c r="Y488" s="244"/>
      <c r="Z488" s="243"/>
      <c r="AA488" s="245"/>
      <c r="AB488" s="246"/>
      <c r="AC488" s="246"/>
      <c r="AD488" s="246"/>
      <c r="AE488" s="131"/>
      <c r="AF488" s="244"/>
      <c r="AG488" s="243"/>
      <c r="AH488" s="243"/>
      <c r="AI488" s="243"/>
      <c r="AJ488" s="243"/>
      <c r="AK488" s="243"/>
      <c r="AL488" s="243"/>
      <c r="AM488" s="243"/>
      <c r="AN488" s="243"/>
      <c r="AO488" s="243"/>
      <c r="AP488" s="243"/>
      <c r="AQ488" s="243"/>
      <c r="AR488" s="243"/>
      <c r="AS488" s="243"/>
      <c r="AT488" s="243"/>
      <c r="AU488" s="243"/>
      <c r="AV488" s="243"/>
      <c r="AW488" s="243"/>
      <c r="AX488" s="243"/>
      <c r="AY488" s="243"/>
      <c r="AZ488" s="243"/>
    </row>
    <row r="489" spans="1:52">
      <c r="A489" s="216" t="str">
        <f>IF(D489="","",VLOOKUP(G489,códigosORL!$H:$J,3,FALSE))</f>
        <v/>
      </c>
      <c r="B489" s="243"/>
      <c r="C489" s="259"/>
      <c r="D489" s="243"/>
      <c r="E489" s="243"/>
      <c r="F489" s="247"/>
      <c r="G489" s="243"/>
      <c r="H489" s="243"/>
      <c r="I489" s="243"/>
      <c r="J489" s="243"/>
      <c r="K489" s="243"/>
      <c r="L489" s="243"/>
      <c r="M489" s="243"/>
      <c r="N489" s="243"/>
      <c r="O489" s="243"/>
      <c r="P489" s="243"/>
      <c r="Q489" s="243"/>
      <c r="R489" s="243"/>
      <c r="S489" s="243"/>
      <c r="T489" s="243"/>
      <c r="U489" s="243"/>
      <c r="V489" s="243"/>
      <c r="W489" s="243"/>
      <c r="X489" s="243"/>
      <c r="Y489" s="244"/>
      <c r="Z489" s="243"/>
      <c r="AA489" s="245"/>
      <c r="AB489" s="246"/>
      <c r="AC489" s="246"/>
      <c r="AD489" s="246"/>
      <c r="AE489" s="131"/>
      <c r="AF489" s="244"/>
      <c r="AG489" s="243"/>
      <c r="AH489" s="243"/>
      <c r="AI489" s="243"/>
      <c r="AJ489" s="243"/>
      <c r="AK489" s="243"/>
      <c r="AL489" s="243"/>
      <c r="AM489" s="243"/>
      <c r="AN489" s="243"/>
      <c r="AO489" s="243"/>
      <c r="AP489" s="243"/>
      <c r="AQ489" s="243"/>
      <c r="AR489" s="243"/>
      <c r="AS489" s="243"/>
      <c r="AT489" s="243"/>
      <c r="AU489" s="243"/>
      <c r="AV489" s="243"/>
      <c r="AW489" s="243"/>
      <c r="AX489" s="243"/>
      <c r="AY489" s="243"/>
      <c r="AZ489" s="243"/>
    </row>
    <row r="490" spans="1:52">
      <c r="A490" s="216" t="str">
        <f>IF(D490="","",VLOOKUP(G490,códigosORL!$H:$J,3,FALSE))</f>
        <v/>
      </c>
      <c r="B490" s="243"/>
      <c r="C490" s="259"/>
      <c r="D490" s="243"/>
      <c r="E490" s="243"/>
      <c r="F490" s="247"/>
      <c r="G490" s="243"/>
      <c r="H490" s="243"/>
      <c r="I490" s="243"/>
      <c r="J490" s="243"/>
      <c r="K490" s="243"/>
      <c r="L490" s="243"/>
      <c r="M490" s="243"/>
      <c r="N490" s="243"/>
      <c r="O490" s="243"/>
      <c r="P490" s="243"/>
      <c r="Q490" s="243"/>
      <c r="R490" s="243"/>
      <c r="S490" s="243"/>
      <c r="T490" s="243"/>
      <c r="U490" s="243"/>
      <c r="V490" s="243"/>
      <c r="W490" s="243"/>
      <c r="X490" s="243"/>
      <c r="Y490" s="244"/>
      <c r="Z490" s="243"/>
      <c r="AA490" s="245"/>
      <c r="AB490" s="246"/>
      <c r="AC490" s="246"/>
      <c r="AD490" s="246"/>
      <c r="AE490" s="131"/>
      <c r="AF490" s="244"/>
      <c r="AG490" s="243"/>
      <c r="AH490" s="243"/>
      <c r="AI490" s="243"/>
      <c r="AJ490" s="243"/>
      <c r="AK490" s="243"/>
      <c r="AL490" s="243"/>
      <c r="AM490" s="243"/>
      <c r="AN490" s="243"/>
      <c r="AO490" s="243"/>
      <c r="AP490" s="243"/>
      <c r="AQ490" s="243"/>
      <c r="AR490" s="243"/>
      <c r="AS490" s="243"/>
      <c r="AT490" s="243"/>
      <c r="AU490" s="243"/>
      <c r="AV490" s="243"/>
      <c r="AW490" s="243"/>
      <c r="AX490" s="243"/>
      <c r="AY490" s="243"/>
      <c r="AZ490" s="243"/>
    </row>
    <row r="491" spans="1:52">
      <c r="A491" s="216" t="str">
        <f>IF(D491="","",VLOOKUP(G491,códigosORL!$H:$J,3,FALSE))</f>
        <v/>
      </c>
      <c r="B491" s="243"/>
      <c r="C491" s="259"/>
      <c r="D491" s="243"/>
      <c r="E491" s="243"/>
      <c r="F491" s="247"/>
      <c r="G491" s="243"/>
      <c r="H491" s="243"/>
      <c r="I491" s="243"/>
      <c r="J491" s="243"/>
      <c r="K491" s="243"/>
      <c r="L491" s="243"/>
      <c r="M491" s="243"/>
      <c r="N491" s="243"/>
      <c r="O491" s="243"/>
      <c r="P491" s="243"/>
      <c r="Q491" s="243"/>
      <c r="R491" s="243"/>
      <c r="S491" s="243"/>
      <c r="T491" s="243"/>
      <c r="U491" s="243"/>
      <c r="V491" s="243"/>
      <c r="W491" s="243"/>
      <c r="X491" s="243"/>
      <c r="Y491" s="244"/>
      <c r="Z491" s="243"/>
      <c r="AA491" s="245"/>
      <c r="AB491" s="246"/>
      <c r="AC491" s="246"/>
      <c r="AD491" s="246"/>
      <c r="AE491" s="131"/>
      <c r="AF491" s="244"/>
      <c r="AG491" s="243"/>
      <c r="AH491" s="243"/>
      <c r="AI491" s="243"/>
      <c r="AJ491" s="243"/>
      <c r="AK491" s="243"/>
      <c r="AL491" s="243"/>
      <c r="AM491" s="243"/>
      <c r="AN491" s="243"/>
      <c r="AO491" s="243"/>
      <c r="AP491" s="243"/>
      <c r="AQ491" s="243"/>
      <c r="AR491" s="243"/>
      <c r="AS491" s="243"/>
      <c r="AT491" s="243"/>
      <c r="AU491" s="243"/>
      <c r="AV491" s="243"/>
      <c r="AW491" s="243"/>
      <c r="AX491" s="243"/>
      <c r="AY491" s="243"/>
      <c r="AZ491" s="243"/>
    </row>
    <row r="492" spans="1:52">
      <c r="A492" s="216" t="str">
        <f>IF(D492="","",VLOOKUP(G492,códigosORL!$H:$J,3,FALSE))</f>
        <v/>
      </c>
      <c r="B492" s="243"/>
      <c r="C492" s="259"/>
      <c r="D492" s="243"/>
      <c r="E492" s="243"/>
      <c r="F492" s="247"/>
      <c r="G492" s="243"/>
      <c r="H492" s="243"/>
      <c r="I492" s="243"/>
      <c r="J492" s="243"/>
      <c r="K492" s="243"/>
      <c r="L492" s="243"/>
      <c r="M492" s="243"/>
      <c r="N492" s="243"/>
      <c r="O492" s="243"/>
      <c r="P492" s="243"/>
      <c r="Q492" s="243"/>
      <c r="R492" s="243"/>
      <c r="S492" s="243"/>
      <c r="T492" s="243"/>
      <c r="U492" s="243"/>
      <c r="V492" s="243"/>
      <c r="W492" s="243"/>
      <c r="X492" s="243"/>
      <c r="Y492" s="244"/>
      <c r="Z492" s="243"/>
      <c r="AA492" s="245"/>
      <c r="AB492" s="246"/>
      <c r="AC492" s="246"/>
      <c r="AD492" s="246"/>
      <c r="AE492" s="131"/>
      <c r="AF492" s="244"/>
      <c r="AG492" s="243"/>
      <c r="AH492" s="243"/>
      <c r="AI492" s="243"/>
      <c r="AJ492" s="243"/>
      <c r="AK492" s="243"/>
      <c r="AL492" s="243"/>
      <c r="AM492" s="243"/>
      <c r="AN492" s="243"/>
      <c r="AO492" s="243"/>
      <c r="AP492" s="243"/>
      <c r="AQ492" s="243"/>
      <c r="AR492" s="243"/>
      <c r="AS492" s="243"/>
      <c r="AT492" s="243"/>
      <c r="AU492" s="243"/>
      <c r="AV492" s="243"/>
      <c r="AW492" s="243"/>
      <c r="AX492" s="243"/>
      <c r="AY492" s="243"/>
      <c r="AZ492" s="243"/>
    </row>
    <row r="493" spans="1:52">
      <c r="A493" s="216" t="str">
        <f>IF(D493="","",VLOOKUP(G493,códigosORL!$H:$J,3,FALSE))</f>
        <v/>
      </c>
      <c r="B493" s="243"/>
      <c r="C493" s="259"/>
      <c r="D493" s="243"/>
      <c r="E493" s="243"/>
      <c r="F493" s="247"/>
      <c r="G493" s="243"/>
      <c r="H493" s="243"/>
      <c r="I493" s="243"/>
      <c r="J493" s="243"/>
      <c r="K493" s="243"/>
      <c r="L493" s="243"/>
      <c r="M493" s="243"/>
      <c r="N493" s="243"/>
      <c r="O493" s="243"/>
      <c r="P493" s="243"/>
      <c r="Q493" s="243"/>
      <c r="R493" s="243"/>
      <c r="S493" s="243"/>
      <c r="T493" s="243"/>
      <c r="U493" s="243"/>
      <c r="V493" s="243"/>
      <c r="W493" s="243"/>
      <c r="X493" s="243"/>
      <c r="Y493" s="244"/>
      <c r="Z493" s="243"/>
      <c r="AA493" s="245"/>
      <c r="AB493" s="246"/>
      <c r="AC493" s="246"/>
      <c r="AD493" s="246"/>
      <c r="AE493" s="131"/>
      <c r="AF493" s="244"/>
      <c r="AG493" s="243"/>
      <c r="AH493" s="243"/>
      <c r="AI493" s="243"/>
      <c r="AJ493" s="243"/>
      <c r="AK493" s="243"/>
      <c r="AL493" s="243"/>
      <c r="AM493" s="243"/>
      <c r="AN493" s="243"/>
      <c r="AO493" s="243"/>
      <c r="AP493" s="243"/>
      <c r="AQ493" s="243"/>
      <c r="AR493" s="243"/>
      <c r="AS493" s="243"/>
      <c r="AT493" s="243"/>
      <c r="AU493" s="243"/>
      <c r="AV493" s="243"/>
      <c r="AW493" s="243"/>
      <c r="AX493" s="243"/>
      <c r="AY493" s="243"/>
      <c r="AZ493" s="243"/>
    </row>
    <row r="494" spans="1:52">
      <c r="A494" s="216" t="str">
        <f>IF(D494="","",VLOOKUP(G494,códigosORL!$H:$J,3,FALSE))</f>
        <v/>
      </c>
      <c r="B494" s="243"/>
      <c r="C494" s="259"/>
      <c r="D494" s="243"/>
      <c r="E494" s="243"/>
      <c r="F494" s="247"/>
      <c r="G494" s="243"/>
      <c r="H494" s="243"/>
      <c r="I494" s="243"/>
      <c r="J494" s="243"/>
      <c r="K494" s="243"/>
      <c r="L494" s="243"/>
      <c r="M494" s="243"/>
      <c r="N494" s="243"/>
      <c r="O494" s="243"/>
      <c r="P494" s="243"/>
      <c r="Q494" s="243"/>
      <c r="R494" s="243"/>
      <c r="S494" s="243"/>
      <c r="T494" s="243"/>
      <c r="U494" s="243"/>
      <c r="V494" s="243"/>
      <c r="W494" s="243"/>
      <c r="X494" s="243"/>
      <c r="Y494" s="244"/>
      <c r="Z494" s="243"/>
      <c r="AA494" s="245"/>
      <c r="AB494" s="246"/>
      <c r="AC494" s="246"/>
      <c r="AD494" s="246"/>
      <c r="AE494" s="131"/>
      <c r="AF494" s="244"/>
      <c r="AG494" s="243"/>
      <c r="AH494" s="243"/>
      <c r="AI494" s="243"/>
      <c r="AJ494" s="243"/>
      <c r="AK494" s="243"/>
      <c r="AL494" s="243"/>
      <c r="AM494" s="243"/>
      <c r="AN494" s="243"/>
      <c r="AO494" s="243"/>
      <c r="AP494" s="243"/>
      <c r="AQ494" s="243"/>
      <c r="AR494" s="243"/>
      <c r="AS494" s="243"/>
      <c r="AT494" s="243"/>
      <c r="AU494" s="243"/>
      <c r="AV494" s="243"/>
      <c r="AW494" s="243"/>
      <c r="AX494" s="243"/>
      <c r="AY494" s="243"/>
      <c r="AZ494" s="243"/>
    </row>
    <row r="495" spans="1:52">
      <c r="A495" s="216" t="str">
        <f>IF(D495="","",VLOOKUP(G495,códigosORL!$H:$J,3,FALSE))</f>
        <v/>
      </c>
      <c r="B495" s="243"/>
      <c r="C495" s="259"/>
      <c r="D495" s="243"/>
      <c r="E495" s="243"/>
      <c r="F495" s="247"/>
      <c r="G495" s="243"/>
      <c r="H495" s="243"/>
      <c r="I495" s="243"/>
      <c r="J495" s="243"/>
      <c r="K495" s="243"/>
      <c r="L495" s="243"/>
      <c r="M495" s="243"/>
      <c r="N495" s="243"/>
      <c r="O495" s="243"/>
      <c r="P495" s="243"/>
      <c r="Q495" s="243"/>
      <c r="R495" s="243"/>
      <c r="S495" s="243"/>
      <c r="T495" s="243"/>
      <c r="U495" s="243"/>
      <c r="V495" s="243"/>
      <c r="W495" s="243"/>
      <c r="X495" s="243"/>
      <c r="Y495" s="244"/>
      <c r="Z495" s="243"/>
      <c r="AA495" s="245"/>
      <c r="AB495" s="246"/>
      <c r="AC495" s="246"/>
      <c r="AD495" s="246"/>
      <c r="AE495" s="131"/>
      <c r="AF495" s="244"/>
      <c r="AG495" s="243"/>
      <c r="AH495" s="243"/>
      <c r="AI495" s="243"/>
      <c r="AJ495" s="243"/>
      <c r="AK495" s="243"/>
      <c r="AL495" s="243"/>
      <c r="AM495" s="243"/>
      <c r="AN495" s="243"/>
      <c r="AO495" s="243"/>
      <c r="AP495" s="243"/>
      <c r="AQ495" s="243"/>
      <c r="AR495" s="243"/>
      <c r="AS495" s="243"/>
      <c r="AT495" s="243"/>
      <c r="AU495" s="243"/>
      <c r="AV495" s="243"/>
      <c r="AW495" s="243"/>
      <c r="AX495" s="243"/>
      <c r="AY495" s="243"/>
      <c r="AZ495" s="243"/>
    </row>
    <row r="496" spans="1:52">
      <c r="A496" s="216" t="str">
        <f>IF(D496="","",VLOOKUP(G496,códigosORL!$H:$J,3,FALSE))</f>
        <v/>
      </c>
      <c r="B496" s="243"/>
      <c r="C496" s="259"/>
      <c r="D496" s="243"/>
      <c r="E496" s="243"/>
      <c r="F496" s="247"/>
      <c r="G496" s="243"/>
      <c r="H496" s="243"/>
      <c r="I496" s="243"/>
      <c r="J496" s="243"/>
      <c r="K496" s="243"/>
      <c r="L496" s="243"/>
      <c r="M496" s="243"/>
      <c r="N496" s="243"/>
      <c r="O496" s="243"/>
      <c r="P496" s="243"/>
      <c r="Q496" s="243"/>
      <c r="R496" s="243"/>
      <c r="S496" s="243"/>
      <c r="T496" s="243"/>
      <c r="U496" s="243"/>
      <c r="V496" s="243"/>
      <c r="W496" s="243"/>
      <c r="X496" s="243"/>
      <c r="Y496" s="244"/>
      <c r="Z496" s="243"/>
      <c r="AA496" s="245"/>
      <c r="AB496" s="246"/>
      <c r="AC496" s="246"/>
      <c r="AD496" s="246"/>
      <c r="AE496" s="131"/>
      <c r="AF496" s="244"/>
      <c r="AG496" s="243"/>
      <c r="AH496" s="243"/>
      <c r="AI496" s="243"/>
      <c r="AJ496" s="243"/>
      <c r="AK496" s="243"/>
      <c r="AL496" s="243"/>
      <c r="AM496" s="243"/>
      <c r="AN496" s="243"/>
      <c r="AO496" s="243"/>
      <c r="AP496" s="243"/>
      <c r="AQ496" s="243"/>
      <c r="AR496" s="243"/>
      <c r="AS496" s="243"/>
      <c r="AT496" s="243"/>
      <c r="AU496" s="243"/>
      <c r="AV496" s="243"/>
      <c r="AW496" s="243"/>
      <c r="AX496" s="243"/>
      <c r="AY496" s="243"/>
      <c r="AZ496" s="243"/>
    </row>
    <row r="497" spans="1:52">
      <c r="A497" s="216" t="str">
        <f>IF(D497="","",VLOOKUP(G497,códigosORL!$H:$J,3,FALSE))</f>
        <v/>
      </c>
      <c r="B497" s="243"/>
      <c r="C497" s="259"/>
      <c r="D497" s="243"/>
      <c r="E497" s="243"/>
      <c r="F497" s="247"/>
      <c r="G497" s="243"/>
      <c r="H497" s="243"/>
      <c r="I497" s="243"/>
      <c r="J497" s="243"/>
      <c r="K497" s="243"/>
      <c r="L497" s="243"/>
      <c r="M497" s="243"/>
      <c r="N497" s="243"/>
      <c r="O497" s="243"/>
      <c r="P497" s="243"/>
      <c r="Q497" s="243"/>
      <c r="R497" s="243"/>
      <c r="S497" s="243"/>
      <c r="T497" s="243"/>
      <c r="U497" s="243"/>
      <c r="V497" s="243"/>
      <c r="W497" s="243"/>
      <c r="X497" s="243"/>
      <c r="Y497" s="244"/>
      <c r="Z497" s="243"/>
      <c r="AA497" s="245"/>
      <c r="AB497" s="246"/>
      <c r="AC497" s="246"/>
      <c r="AD497" s="246"/>
      <c r="AE497" s="131"/>
      <c r="AF497" s="244"/>
      <c r="AG497" s="243"/>
      <c r="AH497" s="243"/>
      <c r="AI497" s="243"/>
      <c r="AJ497" s="243"/>
      <c r="AK497" s="243"/>
      <c r="AL497" s="243"/>
      <c r="AM497" s="243"/>
      <c r="AN497" s="243"/>
      <c r="AO497" s="243"/>
      <c r="AP497" s="243"/>
      <c r="AQ497" s="243"/>
      <c r="AR497" s="243"/>
      <c r="AS497" s="243"/>
      <c r="AT497" s="243"/>
      <c r="AU497" s="243"/>
      <c r="AV497" s="243"/>
      <c r="AW497" s="243"/>
      <c r="AX497" s="243"/>
      <c r="AY497" s="243"/>
      <c r="AZ497" s="243"/>
    </row>
    <row r="498" spans="1:52">
      <c r="A498" s="216" t="str">
        <f>IF(D498="","",VLOOKUP(G498,códigosORL!$H:$J,3,FALSE))</f>
        <v/>
      </c>
      <c r="B498" s="243"/>
      <c r="C498" s="259"/>
      <c r="D498" s="243"/>
      <c r="E498" s="243"/>
      <c r="F498" s="247"/>
      <c r="G498" s="243"/>
      <c r="H498" s="243"/>
      <c r="I498" s="243"/>
      <c r="J498" s="243"/>
      <c r="K498" s="243"/>
      <c r="L498" s="243"/>
      <c r="M498" s="243"/>
      <c r="N498" s="243"/>
      <c r="O498" s="243"/>
      <c r="P498" s="243"/>
      <c r="Q498" s="243"/>
      <c r="R498" s="243"/>
      <c r="S498" s="243"/>
      <c r="T498" s="243"/>
      <c r="U498" s="243"/>
      <c r="V498" s="243"/>
      <c r="W498" s="243"/>
      <c r="X498" s="243"/>
      <c r="Y498" s="244"/>
      <c r="Z498" s="243"/>
      <c r="AA498" s="245"/>
      <c r="AB498" s="246"/>
      <c r="AC498" s="246"/>
      <c r="AD498" s="246"/>
      <c r="AE498" s="131"/>
      <c r="AF498" s="244"/>
      <c r="AG498" s="243"/>
      <c r="AH498" s="243"/>
      <c r="AI498" s="243"/>
      <c r="AJ498" s="243"/>
      <c r="AK498" s="243"/>
      <c r="AL498" s="243"/>
      <c r="AM498" s="243"/>
      <c r="AN498" s="243"/>
      <c r="AO498" s="243"/>
      <c r="AP498" s="243"/>
      <c r="AQ498" s="243"/>
      <c r="AR498" s="243"/>
      <c r="AS498" s="243"/>
      <c r="AT498" s="243"/>
      <c r="AU498" s="243"/>
      <c r="AV498" s="243"/>
      <c r="AW498" s="243"/>
      <c r="AX498" s="243"/>
      <c r="AY498" s="243"/>
      <c r="AZ498" s="243"/>
    </row>
    <row r="499" spans="1:52">
      <c r="A499" s="216" t="str">
        <f>IF(D499="","",VLOOKUP(G499,códigosORL!$H:$J,3,FALSE))</f>
        <v/>
      </c>
      <c r="B499" s="243"/>
      <c r="C499" s="259"/>
      <c r="D499" s="243"/>
      <c r="E499" s="243"/>
      <c r="F499" s="247"/>
      <c r="G499" s="243"/>
      <c r="H499" s="243"/>
      <c r="I499" s="243"/>
      <c r="J499" s="243"/>
      <c r="K499" s="243"/>
      <c r="L499" s="243"/>
      <c r="M499" s="243"/>
      <c r="N499" s="243"/>
      <c r="O499" s="243"/>
      <c r="P499" s="243"/>
      <c r="Q499" s="243"/>
      <c r="R499" s="243"/>
      <c r="S499" s="243"/>
      <c r="T499" s="243"/>
      <c r="U499" s="243"/>
      <c r="V499" s="243"/>
      <c r="W499" s="243"/>
      <c r="X499" s="243"/>
      <c r="Y499" s="244"/>
      <c r="Z499" s="243"/>
      <c r="AA499" s="245"/>
      <c r="AB499" s="246"/>
      <c r="AC499" s="246"/>
      <c r="AD499" s="246"/>
      <c r="AE499" s="131"/>
      <c r="AF499" s="244"/>
      <c r="AG499" s="243"/>
      <c r="AH499" s="243"/>
      <c r="AI499" s="243"/>
      <c r="AJ499" s="243"/>
      <c r="AK499" s="243"/>
      <c r="AL499" s="243"/>
      <c r="AM499" s="243"/>
      <c r="AN499" s="243"/>
      <c r="AO499" s="243"/>
      <c r="AP499" s="243"/>
      <c r="AQ499" s="243"/>
      <c r="AR499" s="243"/>
      <c r="AS499" s="243"/>
      <c r="AT499" s="243"/>
      <c r="AU499" s="243"/>
      <c r="AV499" s="243"/>
      <c r="AW499" s="243"/>
      <c r="AX499" s="243"/>
      <c r="AY499" s="243"/>
      <c r="AZ499" s="243"/>
    </row>
    <row r="500" spans="1:52">
      <c r="A500" s="216" t="str">
        <f>IF(D500="","",VLOOKUP(G500,códigosORL!$H:$J,3,FALSE))</f>
        <v/>
      </c>
      <c r="B500" s="243"/>
      <c r="C500" s="259"/>
      <c r="D500" s="243"/>
      <c r="E500" s="243"/>
      <c r="F500" s="247"/>
      <c r="G500" s="243"/>
      <c r="H500" s="243"/>
      <c r="I500" s="243"/>
      <c r="J500" s="243"/>
      <c r="K500" s="243"/>
      <c r="L500" s="243"/>
      <c r="M500" s="243"/>
      <c r="N500" s="243"/>
      <c r="O500" s="243"/>
      <c r="P500" s="243"/>
      <c r="Q500" s="243"/>
      <c r="R500" s="243"/>
      <c r="S500" s="243"/>
      <c r="T500" s="243"/>
      <c r="U500" s="243"/>
      <c r="V500" s="243"/>
      <c r="W500" s="243"/>
      <c r="X500" s="243"/>
      <c r="Y500" s="244"/>
      <c r="Z500" s="243"/>
      <c r="AA500" s="245"/>
      <c r="AB500" s="246"/>
      <c r="AC500" s="246"/>
      <c r="AD500" s="246"/>
      <c r="AE500" s="131"/>
      <c r="AF500" s="244"/>
      <c r="AG500" s="243"/>
      <c r="AH500" s="243"/>
      <c r="AI500" s="243"/>
      <c r="AJ500" s="243"/>
      <c r="AK500" s="243"/>
      <c r="AL500" s="243"/>
      <c r="AM500" s="243"/>
      <c r="AN500" s="243"/>
      <c r="AO500" s="243"/>
      <c r="AP500" s="243"/>
      <c r="AQ500" s="243"/>
      <c r="AR500" s="243"/>
      <c r="AS500" s="243"/>
      <c r="AT500" s="243"/>
      <c r="AU500" s="243"/>
      <c r="AV500" s="243"/>
      <c r="AW500" s="243"/>
      <c r="AX500" s="243"/>
      <c r="AY500" s="243"/>
      <c r="AZ500" s="243"/>
    </row>
    <row r="501" spans="1:52">
      <c r="A501" s="216" t="str">
        <f>IF(D501="","",VLOOKUP(G501,códigosORL!$H:$J,3,FALSE))</f>
        <v/>
      </c>
      <c r="B501" s="243"/>
      <c r="C501" s="259"/>
      <c r="D501" s="243"/>
      <c r="E501" s="243"/>
      <c r="F501" s="247"/>
      <c r="G501" s="243"/>
      <c r="H501" s="243"/>
      <c r="I501" s="243"/>
      <c r="J501" s="243"/>
      <c r="K501" s="243"/>
      <c r="L501" s="243"/>
      <c r="M501" s="243"/>
      <c r="N501" s="243"/>
      <c r="O501" s="243"/>
      <c r="P501" s="243"/>
      <c r="Q501" s="243"/>
      <c r="R501" s="243"/>
      <c r="S501" s="243"/>
      <c r="T501" s="243"/>
      <c r="U501" s="243"/>
      <c r="V501" s="243"/>
      <c r="W501" s="243"/>
      <c r="X501" s="243"/>
      <c r="Y501" s="244"/>
      <c r="Z501" s="243"/>
      <c r="AA501" s="245"/>
      <c r="AB501" s="246"/>
      <c r="AC501" s="246"/>
      <c r="AD501" s="246"/>
      <c r="AE501" s="131"/>
      <c r="AF501" s="244"/>
      <c r="AG501" s="243"/>
      <c r="AH501" s="243"/>
      <c r="AI501" s="243"/>
      <c r="AJ501" s="243"/>
      <c r="AK501" s="243"/>
      <c r="AL501" s="243"/>
      <c r="AM501" s="243"/>
      <c r="AN501" s="243"/>
      <c r="AO501" s="243"/>
      <c r="AP501" s="243"/>
      <c r="AQ501" s="243"/>
      <c r="AR501" s="243"/>
      <c r="AS501" s="243"/>
      <c r="AT501" s="243"/>
      <c r="AU501" s="243"/>
      <c r="AV501" s="243"/>
      <c r="AW501" s="243"/>
      <c r="AX501" s="243"/>
      <c r="AY501" s="243"/>
      <c r="AZ501" s="243"/>
    </row>
    <row r="502" spans="1:52">
      <c r="A502" s="216" t="str">
        <f>IF(D502="","",VLOOKUP(G502,códigosORL!$H:$J,3,FALSE))</f>
        <v/>
      </c>
      <c r="B502" s="243"/>
      <c r="C502" s="259"/>
      <c r="D502" s="243"/>
      <c r="E502" s="243"/>
      <c r="F502" s="247"/>
      <c r="G502" s="243"/>
      <c r="H502" s="243"/>
      <c r="I502" s="243"/>
      <c r="J502" s="243"/>
      <c r="K502" s="243"/>
      <c r="L502" s="243"/>
      <c r="M502" s="243"/>
      <c r="N502" s="243"/>
      <c r="O502" s="243"/>
      <c r="P502" s="243"/>
      <c r="Q502" s="243"/>
      <c r="R502" s="243"/>
      <c r="S502" s="243"/>
      <c r="T502" s="243"/>
      <c r="U502" s="243"/>
      <c r="V502" s="243"/>
      <c r="W502" s="243"/>
      <c r="X502" s="243"/>
      <c r="Y502" s="244"/>
      <c r="Z502" s="243"/>
      <c r="AA502" s="245"/>
      <c r="AB502" s="246"/>
      <c r="AC502" s="246"/>
      <c r="AD502" s="246"/>
      <c r="AE502" s="131"/>
      <c r="AF502" s="244"/>
      <c r="AG502" s="243"/>
      <c r="AH502" s="243"/>
      <c r="AI502" s="243"/>
      <c r="AJ502" s="243"/>
      <c r="AK502" s="243"/>
      <c r="AL502" s="243"/>
      <c r="AM502" s="243"/>
      <c r="AN502" s="243"/>
      <c r="AO502" s="243"/>
      <c r="AP502" s="243"/>
      <c r="AQ502" s="243"/>
      <c r="AR502" s="243"/>
      <c r="AS502" s="243"/>
      <c r="AT502" s="243"/>
      <c r="AU502" s="243"/>
      <c r="AV502" s="243"/>
      <c r="AW502" s="243"/>
      <c r="AX502" s="243"/>
      <c r="AY502" s="243"/>
      <c r="AZ502" s="243"/>
    </row>
    <row r="503" spans="1:52">
      <c r="A503" s="216" t="str">
        <f>IF(D503="","",VLOOKUP(G503,códigosORL!$H:$J,3,FALSE))</f>
        <v/>
      </c>
      <c r="B503" s="243"/>
      <c r="C503" s="259"/>
      <c r="D503" s="243"/>
      <c r="E503" s="243"/>
      <c r="F503" s="247"/>
      <c r="G503" s="243"/>
      <c r="H503" s="243"/>
      <c r="I503" s="243"/>
      <c r="J503" s="243"/>
      <c r="K503" s="243"/>
      <c r="L503" s="243"/>
      <c r="M503" s="243"/>
      <c r="N503" s="243"/>
      <c r="O503" s="243"/>
      <c r="P503" s="243"/>
      <c r="Q503" s="243"/>
      <c r="R503" s="243"/>
      <c r="S503" s="243"/>
      <c r="T503" s="243"/>
      <c r="U503" s="243"/>
      <c r="V503" s="243"/>
      <c r="W503" s="243"/>
      <c r="X503" s="243"/>
      <c r="Y503" s="244"/>
      <c r="Z503" s="243"/>
      <c r="AA503" s="245"/>
      <c r="AB503" s="246"/>
      <c r="AC503" s="246"/>
      <c r="AD503" s="246"/>
      <c r="AE503" s="131"/>
      <c r="AF503" s="244"/>
      <c r="AG503" s="243"/>
      <c r="AH503" s="243"/>
      <c r="AI503" s="243"/>
      <c r="AJ503" s="243"/>
      <c r="AK503" s="243"/>
      <c r="AL503" s="243"/>
      <c r="AM503" s="243"/>
      <c r="AN503" s="243"/>
      <c r="AO503" s="243"/>
      <c r="AP503" s="243"/>
      <c r="AQ503" s="243"/>
      <c r="AR503" s="243"/>
      <c r="AS503" s="243"/>
      <c r="AT503" s="243"/>
      <c r="AU503" s="243"/>
      <c r="AV503" s="243"/>
      <c r="AW503" s="243"/>
      <c r="AX503" s="243"/>
      <c r="AY503" s="243"/>
      <c r="AZ503" s="243"/>
    </row>
    <row r="504" spans="1:52">
      <c r="A504" s="216" t="str">
        <f>IF(D504="","",VLOOKUP(G504,códigosORL!$H:$J,3,FALSE))</f>
        <v/>
      </c>
      <c r="B504" s="243"/>
      <c r="C504" s="259"/>
      <c r="D504" s="243"/>
      <c r="E504" s="243"/>
      <c r="F504" s="247"/>
      <c r="G504" s="243"/>
      <c r="H504" s="243"/>
      <c r="I504" s="243"/>
      <c r="J504" s="243"/>
      <c r="K504" s="243"/>
      <c r="L504" s="243"/>
      <c r="M504" s="243"/>
      <c r="N504" s="243"/>
      <c r="O504" s="243"/>
      <c r="P504" s="243"/>
      <c r="Q504" s="243"/>
      <c r="R504" s="243"/>
      <c r="S504" s="243"/>
      <c r="T504" s="243"/>
      <c r="U504" s="243"/>
      <c r="V504" s="243"/>
      <c r="W504" s="243"/>
      <c r="X504" s="243"/>
      <c r="Y504" s="244"/>
      <c r="Z504" s="243"/>
      <c r="AA504" s="245"/>
      <c r="AB504" s="246"/>
      <c r="AC504" s="246"/>
      <c r="AD504" s="246"/>
      <c r="AE504" s="131"/>
      <c r="AF504" s="244"/>
      <c r="AG504" s="243"/>
      <c r="AH504" s="243"/>
      <c r="AI504" s="243"/>
      <c r="AJ504" s="243"/>
      <c r="AK504" s="243"/>
      <c r="AL504" s="243"/>
      <c r="AM504" s="243"/>
      <c r="AN504" s="243"/>
      <c r="AO504" s="243"/>
      <c r="AP504" s="243"/>
      <c r="AQ504" s="243"/>
      <c r="AR504" s="243"/>
      <c r="AS504" s="243"/>
      <c r="AT504" s="243"/>
      <c r="AU504" s="243"/>
      <c r="AV504" s="243"/>
      <c r="AW504" s="243"/>
      <c r="AX504" s="243"/>
      <c r="AY504" s="243"/>
      <c r="AZ504" s="243"/>
    </row>
    <row r="505" spans="1:52">
      <c r="A505" s="216" t="str">
        <f>IF(D505="","",VLOOKUP(G505,códigosORL!$H:$J,3,FALSE))</f>
        <v/>
      </c>
      <c r="B505" s="243"/>
      <c r="C505" s="259"/>
      <c r="D505" s="243"/>
      <c r="E505" s="243"/>
      <c r="F505" s="247"/>
      <c r="G505" s="243"/>
      <c r="H505" s="243"/>
      <c r="I505" s="243"/>
      <c r="J505" s="243"/>
      <c r="K505" s="243"/>
      <c r="L505" s="243"/>
      <c r="M505" s="243"/>
      <c r="N505" s="243"/>
      <c r="O505" s="243"/>
      <c r="P505" s="243"/>
      <c r="Q505" s="243"/>
      <c r="R505" s="243"/>
      <c r="S505" s="243"/>
      <c r="T505" s="243"/>
      <c r="U505" s="243"/>
      <c r="V505" s="243"/>
      <c r="W505" s="243"/>
      <c r="X505" s="243"/>
      <c r="Y505" s="244"/>
      <c r="Z505" s="243"/>
      <c r="AA505" s="245"/>
      <c r="AB505" s="246"/>
      <c r="AC505" s="246"/>
      <c r="AD505" s="246"/>
      <c r="AE505" s="131"/>
      <c r="AF505" s="244"/>
      <c r="AG505" s="243"/>
      <c r="AH505" s="243"/>
      <c r="AI505" s="243"/>
      <c r="AJ505" s="243"/>
      <c r="AK505" s="243"/>
      <c r="AL505" s="243"/>
      <c r="AM505" s="243"/>
      <c r="AN505" s="243"/>
      <c r="AO505" s="243"/>
      <c r="AP505" s="243"/>
      <c r="AQ505" s="243"/>
      <c r="AR505" s="243"/>
      <c r="AS505" s="243"/>
      <c r="AT505" s="243"/>
      <c r="AU505" s="243"/>
      <c r="AV505" s="243"/>
      <c r="AW505" s="243"/>
      <c r="AX505" s="243"/>
      <c r="AY505" s="243"/>
      <c r="AZ505" s="243"/>
    </row>
    <row r="506" spans="1:52">
      <c r="A506" s="216" t="str">
        <f>IF(D506="","",VLOOKUP(G506,códigosORL!$H:$J,3,FALSE))</f>
        <v/>
      </c>
      <c r="B506" s="243"/>
      <c r="C506" s="259"/>
      <c r="D506" s="243"/>
      <c r="E506" s="243"/>
      <c r="F506" s="247"/>
      <c r="G506" s="243"/>
      <c r="H506" s="243"/>
      <c r="I506" s="243"/>
      <c r="J506" s="243"/>
      <c r="K506" s="243"/>
      <c r="L506" s="243"/>
      <c r="M506" s="243"/>
      <c r="N506" s="243"/>
      <c r="O506" s="243"/>
      <c r="P506" s="243"/>
      <c r="Q506" s="243"/>
      <c r="R506" s="243"/>
      <c r="S506" s="243"/>
      <c r="T506" s="243"/>
      <c r="U506" s="243"/>
      <c r="V506" s="243"/>
      <c r="W506" s="243"/>
      <c r="X506" s="243"/>
      <c r="Y506" s="244"/>
      <c r="Z506" s="243"/>
      <c r="AA506" s="245"/>
      <c r="AB506" s="246"/>
      <c r="AC506" s="246"/>
      <c r="AD506" s="246"/>
      <c r="AE506" s="131"/>
      <c r="AF506" s="244"/>
      <c r="AG506" s="243"/>
      <c r="AH506" s="243"/>
      <c r="AI506" s="243"/>
      <c r="AJ506" s="243"/>
      <c r="AK506" s="243"/>
      <c r="AL506" s="243"/>
      <c r="AM506" s="243"/>
      <c r="AN506" s="243"/>
      <c r="AO506" s="243"/>
      <c r="AP506" s="243"/>
      <c r="AQ506" s="243"/>
      <c r="AR506" s="243"/>
      <c r="AS506" s="243"/>
      <c r="AT506" s="243"/>
      <c r="AU506" s="243"/>
      <c r="AV506" s="243"/>
      <c r="AW506" s="243"/>
      <c r="AX506" s="243"/>
      <c r="AY506" s="243"/>
      <c r="AZ506" s="243"/>
    </row>
    <row r="507" spans="1:52">
      <c r="A507" s="216" t="str">
        <f>IF(D507="","",VLOOKUP(G507,códigosORL!$H:$J,3,FALSE))</f>
        <v/>
      </c>
      <c r="B507" s="243"/>
      <c r="C507" s="259"/>
      <c r="D507" s="243"/>
      <c r="E507" s="243"/>
      <c r="F507" s="247"/>
      <c r="G507" s="243"/>
      <c r="H507" s="243"/>
      <c r="I507" s="243"/>
      <c r="J507" s="243"/>
      <c r="K507" s="243"/>
      <c r="L507" s="243"/>
      <c r="M507" s="243"/>
      <c r="N507" s="243"/>
      <c r="O507" s="243"/>
      <c r="P507" s="243"/>
      <c r="Q507" s="243"/>
      <c r="R507" s="243"/>
      <c r="S507" s="243"/>
      <c r="T507" s="243"/>
      <c r="U507" s="243"/>
      <c r="V507" s="243"/>
      <c r="W507" s="243"/>
      <c r="X507" s="243"/>
      <c r="Y507" s="244"/>
      <c r="Z507" s="243"/>
      <c r="AA507" s="245"/>
      <c r="AB507" s="246"/>
      <c r="AC507" s="246"/>
      <c r="AD507" s="246"/>
      <c r="AE507" s="131"/>
      <c r="AF507" s="244"/>
      <c r="AG507" s="243"/>
      <c r="AH507" s="243"/>
      <c r="AI507" s="243"/>
      <c r="AJ507" s="243"/>
      <c r="AK507" s="243"/>
      <c r="AL507" s="243"/>
      <c r="AM507" s="243"/>
      <c r="AN507" s="243"/>
      <c r="AO507" s="243"/>
      <c r="AP507" s="243"/>
      <c r="AQ507" s="243"/>
      <c r="AR507" s="243"/>
      <c r="AS507" s="243"/>
      <c r="AT507" s="243"/>
      <c r="AU507" s="243"/>
      <c r="AV507" s="243"/>
      <c r="AW507" s="243"/>
      <c r="AX507" s="243"/>
      <c r="AY507" s="243"/>
      <c r="AZ507" s="243"/>
    </row>
    <row r="508" spans="1:52">
      <c r="A508" s="216" t="str">
        <f>IF(D508="","",VLOOKUP(G508,códigosORL!$H:$J,3,FALSE))</f>
        <v/>
      </c>
      <c r="B508" s="243"/>
      <c r="C508" s="259"/>
      <c r="D508" s="243"/>
      <c r="E508" s="243"/>
      <c r="F508" s="247"/>
      <c r="G508" s="243"/>
      <c r="H508" s="243"/>
      <c r="I508" s="243"/>
      <c r="J508" s="243"/>
      <c r="K508" s="243"/>
      <c r="L508" s="243"/>
      <c r="M508" s="243"/>
      <c r="N508" s="243"/>
      <c r="O508" s="243"/>
      <c r="P508" s="243"/>
      <c r="Q508" s="243"/>
      <c r="R508" s="243"/>
      <c r="S508" s="243"/>
      <c r="T508" s="243"/>
      <c r="U508" s="243"/>
      <c r="V508" s="243"/>
      <c r="W508" s="243"/>
      <c r="X508" s="243"/>
      <c r="Y508" s="244"/>
      <c r="Z508" s="243"/>
      <c r="AA508" s="245"/>
      <c r="AB508" s="246"/>
      <c r="AC508" s="246"/>
      <c r="AD508" s="246"/>
      <c r="AE508" s="131"/>
      <c r="AF508" s="244"/>
      <c r="AG508" s="243"/>
      <c r="AH508" s="243"/>
      <c r="AI508" s="243"/>
      <c r="AJ508" s="243"/>
      <c r="AK508" s="243"/>
      <c r="AL508" s="243"/>
      <c r="AM508" s="243"/>
      <c r="AN508" s="243"/>
      <c r="AO508" s="243"/>
      <c r="AP508" s="243"/>
      <c r="AQ508" s="243"/>
      <c r="AR508" s="243"/>
      <c r="AS508" s="243"/>
      <c r="AT508" s="243"/>
      <c r="AU508" s="243"/>
      <c r="AV508" s="243"/>
      <c r="AW508" s="243"/>
      <c r="AX508" s="243"/>
      <c r="AY508" s="243"/>
      <c r="AZ508" s="243"/>
    </row>
    <row r="509" spans="1:52">
      <c r="A509" s="216" t="str">
        <f>IF(D509="","",VLOOKUP(G509,códigosORL!$H:$J,3,FALSE))</f>
        <v/>
      </c>
      <c r="B509" s="243"/>
      <c r="C509" s="259"/>
      <c r="D509" s="243"/>
      <c r="E509" s="243"/>
      <c r="F509" s="247"/>
      <c r="G509" s="243"/>
      <c r="H509" s="243"/>
      <c r="I509" s="243"/>
      <c r="J509" s="243"/>
      <c r="K509" s="243"/>
      <c r="L509" s="243"/>
      <c r="M509" s="243"/>
      <c r="N509" s="243"/>
      <c r="O509" s="243"/>
      <c r="P509" s="243"/>
      <c r="Q509" s="243"/>
      <c r="R509" s="243"/>
      <c r="S509" s="243"/>
      <c r="T509" s="243"/>
      <c r="U509" s="243"/>
      <c r="V509" s="243"/>
      <c r="W509" s="243"/>
      <c r="X509" s="243"/>
      <c r="Y509" s="244"/>
      <c r="Z509" s="243"/>
      <c r="AA509" s="245"/>
      <c r="AB509" s="246"/>
      <c r="AC509" s="246"/>
      <c r="AD509" s="246"/>
      <c r="AE509" s="131"/>
      <c r="AF509" s="244"/>
      <c r="AG509" s="243"/>
      <c r="AH509" s="243"/>
      <c r="AI509" s="243"/>
      <c r="AJ509" s="243"/>
      <c r="AK509" s="243"/>
      <c r="AL509" s="243"/>
      <c r="AM509" s="243"/>
      <c r="AN509" s="243"/>
      <c r="AO509" s="243"/>
      <c r="AP509" s="243"/>
      <c r="AQ509" s="243"/>
      <c r="AR509" s="243"/>
      <c r="AS509" s="243"/>
      <c r="AT509" s="243"/>
      <c r="AU509" s="243"/>
      <c r="AV509" s="243"/>
      <c r="AW509" s="243"/>
      <c r="AX509" s="243"/>
      <c r="AY509" s="243"/>
      <c r="AZ509" s="243"/>
    </row>
    <row r="510" spans="1:52">
      <c r="A510" s="216" t="str">
        <f>IF(D510="","",VLOOKUP(G510,códigosORL!$H:$J,3,FALSE))</f>
        <v/>
      </c>
      <c r="B510" s="243"/>
      <c r="C510" s="259"/>
      <c r="D510" s="243"/>
      <c r="E510" s="243"/>
      <c r="F510" s="247"/>
      <c r="G510" s="243"/>
      <c r="H510" s="243"/>
      <c r="I510" s="243"/>
      <c r="J510" s="243"/>
      <c r="K510" s="243"/>
      <c r="L510" s="243"/>
      <c r="M510" s="243"/>
      <c r="N510" s="243"/>
      <c r="O510" s="243"/>
      <c r="P510" s="243"/>
      <c r="Q510" s="243"/>
      <c r="R510" s="243"/>
      <c r="S510" s="243"/>
      <c r="T510" s="243"/>
      <c r="U510" s="243"/>
      <c r="V510" s="243"/>
      <c r="W510" s="243"/>
      <c r="X510" s="243"/>
      <c r="Y510" s="244"/>
      <c r="Z510" s="243"/>
      <c r="AA510" s="245"/>
      <c r="AB510" s="246"/>
      <c r="AC510" s="246"/>
      <c r="AD510" s="246"/>
      <c r="AE510" s="131"/>
      <c r="AF510" s="244"/>
      <c r="AG510" s="243"/>
      <c r="AH510" s="243"/>
      <c r="AI510" s="243"/>
      <c r="AJ510" s="243"/>
      <c r="AK510" s="243"/>
      <c r="AL510" s="243"/>
      <c r="AM510" s="243"/>
      <c r="AN510" s="243"/>
      <c r="AO510" s="243"/>
      <c r="AP510" s="243"/>
      <c r="AQ510" s="243"/>
      <c r="AR510" s="243"/>
      <c r="AS510" s="243"/>
      <c r="AT510" s="243"/>
      <c r="AU510" s="243"/>
      <c r="AV510" s="243"/>
      <c r="AW510" s="243"/>
      <c r="AX510" s="243"/>
      <c r="AY510" s="243"/>
      <c r="AZ510" s="243"/>
    </row>
    <row r="511" spans="1:52">
      <c r="A511" s="216" t="str">
        <f>IF(D511="","",VLOOKUP(G511,códigosORL!$H:$J,3,FALSE))</f>
        <v/>
      </c>
      <c r="B511" s="243"/>
      <c r="C511" s="259"/>
      <c r="D511" s="243"/>
      <c r="E511" s="243"/>
      <c r="F511" s="247"/>
      <c r="G511" s="243"/>
      <c r="H511" s="243"/>
      <c r="I511" s="243"/>
      <c r="J511" s="243"/>
      <c r="K511" s="243"/>
      <c r="L511" s="243"/>
      <c r="M511" s="243"/>
      <c r="N511" s="243"/>
      <c r="O511" s="243"/>
      <c r="P511" s="243"/>
      <c r="Q511" s="243"/>
      <c r="R511" s="243"/>
      <c r="S511" s="243"/>
      <c r="T511" s="243"/>
      <c r="U511" s="243"/>
      <c r="V511" s="243"/>
      <c r="W511" s="243"/>
      <c r="X511" s="243"/>
      <c r="Y511" s="244"/>
      <c r="Z511" s="243"/>
      <c r="AA511" s="245"/>
      <c r="AB511" s="246"/>
      <c r="AC511" s="246"/>
      <c r="AD511" s="246"/>
      <c r="AE511" s="131"/>
      <c r="AF511" s="244"/>
      <c r="AG511" s="243"/>
      <c r="AH511" s="243"/>
      <c r="AI511" s="243"/>
      <c r="AJ511" s="243"/>
      <c r="AK511" s="243"/>
      <c r="AL511" s="243"/>
      <c r="AM511" s="243"/>
      <c r="AN511" s="243"/>
      <c r="AO511" s="243"/>
      <c r="AP511" s="243"/>
      <c r="AQ511" s="243"/>
      <c r="AR511" s="243"/>
      <c r="AS511" s="243"/>
      <c r="AT511" s="243"/>
      <c r="AU511" s="243"/>
      <c r="AV511" s="243"/>
      <c r="AW511" s="243"/>
      <c r="AX511" s="243"/>
      <c r="AY511" s="243"/>
      <c r="AZ511" s="243"/>
    </row>
    <row r="512" spans="1:52">
      <c r="A512" s="216" t="str">
        <f>IF(D512="","",VLOOKUP(G512,códigosORL!$H:$J,3,FALSE))</f>
        <v/>
      </c>
      <c r="B512" s="243"/>
      <c r="C512" s="259"/>
      <c r="D512" s="243"/>
      <c r="E512" s="243"/>
      <c r="F512" s="247"/>
      <c r="G512" s="243"/>
      <c r="H512" s="243"/>
      <c r="I512" s="243"/>
      <c r="J512" s="243"/>
      <c r="K512" s="243"/>
      <c r="L512" s="243"/>
      <c r="M512" s="243"/>
      <c r="N512" s="243"/>
      <c r="O512" s="243"/>
      <c r="P512" s="243"/>
      <c r="Q512" s="243"/>
      <c r="R512" s="243"/>
      <c r="S512" s="243"/>
      <c r="T512" s="243"/>
      <c r="U512" s="243"/>
      <c r="V512" s="243"/>
      <c r="W512" s="243"/>
      <c r="X512" s="243"/>
      <c r="Y512" s="244"/>
      <c r="Z512" s="243"/>
      <c r="AA512" s="245"/>
      <c r="AB512" s="246"/>
      <c r="AC512" s="246"/>
      <c r="AD512" s="246"/>
      <c r="AE512" s="131"/>
      <c r="AF512" s="244"/>
      <c r="AG512" s="243"/>
      <c r="AH512" s="243"/>
      <c r="AI512" s="243"/>
      <c r="AJ512" s="243"/>
      <c r="AK512" s="243"/>
      <c r="AL512" s="243"/>
      <c r="AM512" s="243"/>
      <c r="AN512" s="243"/>
      <c r="AO512" s="243"/>
      <c r="AP512" s="243"/>
      <c r="AQ512" s="243"/>
      <c r="AR512" s="243"/>
      <c r="AS512" s="243"/>
      <c r="AT512" s="243"/>
      <c r="AU512" s="243"/>
      <c r="AV512" s="243"/>
      <c r="AW512" s="243"/>
      <c r="AX512" s="243"/>
      <c r="AY512" s="243"/>
      <c r="AZ512" s="243"/>
    </row>
    <row r="513" spans="1:52">
      <c r="A513" s="216" t="str">
        <f>IF(D513="","",VLOOKUP(G513,códigosORL!$H:$J,3,FALSE))</f>
        <v/>
      </c>
      <c r="B513" s="243"/>
      <c r="C513" s="259"/>
      <c r="D513" s="243"/>
      <c r="E513" s="243"/>
      <c r="F513" s="247"/>
      <c r="G513" s="243"/>
      <c r="H513" s="243"/>
      <c r="I513" s="243"/>
      <c r="J513" s="243"/>
      <c r="K513" s="243"/>
      <c r="L513" s="243"/>
      <c r="M513" s="243"/>
      <c r="N513" s="243"/>
      <c r="O513" s="243"/>
      <c r="P513" s="243"/>
      <c r="Q513" s="243"/>
      <c r="R513" s="243"/>
      <c r="S513" s="243"/>
      <c r="T513" s="243"/>
      <c r="U513" s="243"/>
      <c r="V513" s="243"/>
      <c r="W513" s="243"/>
      <c r="X513" s="243"/>
      <c r="Y513" s="244"/>
      <c r="Z513" s="243"/>
      <c r="AA513" s="245"/>
      <c r="AB513" s="246"/>
      <c r="AC513" s="246"/>
      <c r="AD513" s="246"/>
      <c r="AE513" s="131"/>
      <c r="AF513" s="244"/>
      <c r="AG513" s="243"/>
      <c r="AH513" s="243"/>
      <c r="AI513" s="243"/>
      <c r="AJ513" s="243"/>
      <c r="AK513" s="243"/>
      <c r="AL513" s="243"/>
      <c r="AM513" s="243"/>
      <c r="AN513" s="243"/>
      <c r="AO513" s="243"/>
      <c r="AP513" s="243"/>
      <c r="AQ513" s="243"/>
      <c r="AR513" s="243"/>
      <c r="AS513" s="243"/>
      <c r="AT513" s="243"/>
      <c r="AU513" s="243"/>
      <c r="AV513" s="243"/>
      <c r="AW513" s="243"/>
      <c r="AX513" s="243"/>
      <c r="AY513" s="243"/>
      <c r="AZ513" s="243"/>
    </row>
    <row r="514" spans="1:52">
      <c r="A514" s="216" t="str">
        <f>IF(D514="","",VLOOKUP(G514,códigosORL!$H:$J,3,FALSE))</f>
        <v/>
      </c>
      <c r="B514" s="243"/>
      <c r="C514" s="259"/>
      <c r="D514" s="243"/>
      <c r="E514" s="243"/>
      <c r="F514" s="247"/>
      <c r="G514" s="243"/>
      <c r="H514" s="243"/>
      <c r="I514" s="243"/>
      <c r="J514" s="243"/>
      <c r="K514" s="243"/>
      <c r="L514" s="243"/>
      <c r="M514" s="243"/>
      <c r="N514" s="243"/>
      <c r="O514" s="243"/>
      <c r="P514" s="243"/>
      <c r="Q514" s="243"/>
      <c r="R514" s="243"/>
      <c r="S514" s="243"/>
      <c r="T514" s="243"/>
      <c r="U514" s="243"/>
      <c r="V514" s="243"/>
      <c r="W514" s="243"/>
      <c r="X514" s="243"/>
      <c r="Y514" s="244"/>
      <c r="Z514" s="243"/>
      <c r="AA514" s="245"/>
      <c r="AB514" s="246"/>
      <c r="AC514" s="246"/>
      <c r="AD514" s="246"/>
      <c r="AE514" s="131"/>
      <c r="AF514" s="244"/>
      <c r="AG514" s="243"/>
      <c r="AH514" s="243"/>
      <c r="AI514" s="243"/>
      <c r="AJ514" s="243"/>
      <c r="AK514" s="243"/>
      <c r="AL514" s="243"/>
      <c r="AM514" s="243"/>
      <c r="AN514" s="243"/>
      <c r="AO514" s="243"/>
      <c r="AP514" s="243"/>
      <c r="AQ514" s="243"/>
      <c r="AR514" s="243"/>
      <c r="AS514" s="243"/>
      <c r="AT514" s="243"/>
      <c r="AU514" s="243"/>
      <c r="AV514" s="243"/>
      <c r="AW514" s="243"/>
      <c r="AX514" s="243"/>
      <c r="AY514" s="243"/>
      <c r="AZ514" s="243"/>
    </row>
    <row r="515" spans="1:52">
      <c r="A515" s="216" t="str">
        <f>IF(D515="","",VLOOKUP(G515,códigosORL!$H:$J,3,FALSE))</f>
        <v/>
      </c>
      <c r="B515" s="243"/>
      <c r="C515" s="259"/>
      <c r="D515" s="243"/>
      <c r="E515" s="243"/>
      <c r="F515" s="247"/>
      <c r="G515" s="243"/>
      <c r="H515" s="243"/>
      <c r="I515" s="243"/>
      <c r="J515" s="243"/>
      <c r="K515" s="243"/>
      <c r="L515" s="243"/>
      <c r="M515" s="243"/>
      <c r="N515" s="243"/>
      <c r="O515" s="243"/>
      <c r="P515" s="243"/>
      <c r="Q515" s="243"/>
      <c r="R515" s="243"/>
      <c r="S515" s="243"/>
      <c r="T515" s="243"/>
      <c r="U515" s="243"/>
      <c r="V515" s="243"/>
      <c r="W515" s="243"/>
      <c r="X515" s="243"/>
      <c r="Y515" s="244"/>
      <c r="Z515" s="243"/>
      <c r="AA515" s="245"/>
      <c r="AB515" s="246"/>
      <c r="AC515" s="246"/>
      <c r="AD515" s="246"/>
      <c r="AE515" s="131"/>
      <c r="AF515" s="244"/>
      <c r="AG515" s="243"/>
      <c r="AH515" s="243"/>
      <c r="AI515" s="243"/>
      <c r="AJ515" s="243"/>
      <c r="AK515" s="243"/>
      <c r="AL515" s="243"/>
      <c r="AM515" s="243"/>
      <c r="AN515" s="243"/>
      <c r="AO515" s="243"/>
      <c r="AP515" s="243"/>
      <c r="AQ515" s="243"/>
      <c r="AR515" s="243"/>
      <c r="AS515" s="243"/>
      <c r="AT515" s="243"/>
      <c r="AU515" s="243"/>
      <c r="AV515" s="243"/>
      <c r="AW515" s="243"/>
      <c r="AX515" s="243"/>
      <c r="AY515" s="243"/>
      <c r="AZ515" s="243"/>
    </row>
    <row r="516" spans="1:52">
      <c r="A516" s="216" t="str">
        <f>IF(D516="","",VLOOKUP(G516,códigosORL!$H:$J,3,FALSE))</f>
        <v/>
      </c>
      <c r="B516" s="243"/>
      <c r="C516" s="259"/>
      <c r="D516" s="243"/>
      <c r="E516" s="243"/>
      <c r="F516" s="247"/>
      <c r="G516" s="243"/>
      <c r="H516" s="243"/>
      <c r="I516" s="243"/>
      <c r="J516" s="243"/>
      <c r="K516" s="243"/>
      <c r="L516" s="243"/>
      <c r="M516" s="243"/>
      <c r="N516" s="243"/>
      <c r="O516" s="243"/>
      <c r="P516" s="243"/>
      <c r="Q516" s="243"/>
      <c r="R516" s="243"/>
      <c r="S516" s="243"/>
      <c r="T516" s="243"/>
      <c r="U516" s="243"/>
      <c r="V516" s="243"/>
      <c r="W516" s="243"/>
      <c r="X516" s="243"/>
      <c r="Y516" s="244"/>
      <c r="Z516" s="243"/>
      <c r="AA516" s="245"/>
      <c r="AB516" s="246"/>
      <c r="AC516" s="246"/>
      <c r="AD516" s="246"/>
      <c r="AE516" s="131"/>
      <c r="AF516" s="244"/>
      <c r="AG516" s="243"/>
      <c r="AH516" s="243"/>
      <c r="AI516" s="243"/>
      <c r="AJ516" s="243"/>
      <c r="AK516" s="243"/>
      <c r="AL516" s="243"/>
      <c r="AM516" s="243"/>
      <c r="AN516" s="243"/>
      <c r="AO516" s="243"/>
      <c r="AP516" s="243"/>
      <c r="AQ516" s="243"/>
      <c r="AR516" s="243"/>
      <c r="AS516" s="243"/>
      <c r="AT516" s="243"/>
      <c r="AU516" s="243"/>
      <c r="AV516" s="243"/>
      <c r="AW516" s="243"/>
      <c r="AX516" s="243"/>
      <c r="AY516" s="243"/>
      <c r="AZ516" s="243"/>
    </row>
    <row r="517" spans="1:52">
      <c r="A517" s="216" t="str">
        <f>IF(D517="","",VLOOKUP(G517,códigosORL!$H:$J,3,FALSE))</f>
        <v/>
      </c>
      <c r="B517" s="243"/>
      <c r="C517" s="259"/>
      <c r="D517" s="243"/>
      <c r="E517" s="243"/>
      <c r="F517" s="247"/>
      <c r="G517" s="243"/>
      <c r="H517" s="243"/>
      <c r="I517" s="243"/>
      <c r="J517" s="243"/>
      <c r="K517" s="243"/>
      <c r="L517" s="243"/>
      <c r="M517" s="243"/>
      <c r="N517" s="243"/>
      <c r="O517" s="243"/>
      <c r="P517" s="243"/>
      <c r="Q517" s="243"/>
      <c r="R517" s="243"/>
      <c r="S517" s="243"/>
      <c r="T517" s="243"/>
      <c r="U517" s="243"/>
      <c r="V517" s="243"/>
      <c r="W517" s="243"/>
      <c r="X517" s="243"/>
      <c r="Y517" s="244"/>
      <c r="Z517" s="243"/>
      <c r="AA517" s="245"/>
      <c r="AB517" s="246"/>
      <c r="AC517" s="246"/>
      <c r="AD517" s="246"/>
      <c r="AE517" s="131"/>
      <c r="AF517" s="244"/>
      <c r="AG517" s="243"/>
      <c r="AH517" s="243"/>
      <c r="AI517" s="243"/>
      <c r="AJ517" s="243"/>
      <c r="AK517" s="243"/>
      <c r="AL517" s="243"/>
      <c r="AM517" s="243"/>
      <c r="AN517" s="243"/>
      <c r="AO517" s="243"/>
      <c r="AP517" s="243"/>
      <c r="AQ517" s="243"/>
      <c r="AR517" s="243"/>
      <c r="AS517" s="243"/>
      <c r="AT517" s="243"/>
      <c r="AU517" s="243"/>
      <c r="AV517" s="243"/>
      <c r="AW517" s="243"/>
      <c r="AX517" s="243"/>
      <c r="AY517" s="243"/>
      <c r="AZ517" s="243"/>
    </row>
    <row r="518" spans="1:52">
      <c r="A518" s="216" t="str">
        <f>IF(D518="","",VLOOKUP(G518,códigosORL!$H:$J,3,FALSE))</f>
        <v/>
      </c>
      <c r="B518" s="243"/>
      <c r="C518" s="259"/>
      <c r="D518" s="243"/>
      <c r="E518" s="243"/>
      <c r="F518" s="247"/>
      <c r="G518" s="243"/>
      <c r="H518" s="243"/>
      <c r="I518" s="243"/>
      <c r="J518" s="243"/>
      <c r="K518" s="243"/>
      <c r="L518" s="243"/>
      <c r="M518" s="243"/>
      <c r="N518" s="243"/>
      <c r="O518" s="243"/>
      <c r="P518" s="243"/>
      <c r="Q518" s="243"/>
      <c r="R518" s="243"/>
      <c r="S518" s="243"/>
      <c r="T518" s="243"/>
      <c r="U518" s="243"/>
      <c r="V518" s="243"/>
      <c r="W518" s="243"/>
      <c r="X518" s="243"/>
      <c r="Y518" s="244"/>
      <c r="Z518" s="243"/>
      <c r="AA518" s="245"/>
      <c r="AB518" s="246"/>
      <c r="AC518" s="246"/>
      <c r="AD518" s="246"/>
      <c r="AE518" s="131"/>
      <c r="AF518" s="244"/>
      <c r="AG518" s="243"/>
      <c r="AH518" s="243"/>
      <c r="AI518" s="243"/>
      <c r="AJ518" s="243"/>
      <c r="AK518" s="243"/>
      <c r="AL518" s="243"/>
      <c r="AM518" s="243"/>
      <c r="AN518" s="243"/>
      <c r="AO518" s="243"/>
      <c r="AP518" s="243"/>
      <c r="AQ518" s="243"/>
      <c r="AR518" s="243"/>
      <c r="AS518" s="243"/>
      <c r="AT518" s="243"/>
      <c r="AU518" s="243"/>
      <c r="AV518" s="243"/>
      <c r="AW518" s="243"/>
      <c r="AX518" s="243"/>
      <c r="AY518" s="243"/>
      <c r="AZ518" s="243"/>
    </row>
    <row r="519" spans="1:52">
      <c r="A519" s="216" t="str">
        <f>IF(D519="","",VLOOKUP(G519,códigosORL!$H:$J,3,FALSE))</f>
        <v/>
      </c>
      <c r="B519" s="243"/>
      <c r="C519" s="259"/>
      <c r="D519" s="243"/>
      <c r="E519" s="243"/>
      <c r="F519" s="247"/>
      <c r="G519" s="243"/>
      <c r="H519" s="243"/>
      <c r="I519" s="243"/>
      <c r="J519" s="243"/>
      <c r="K519" s="243"/>
      <c r="L519" s="243"/>
      <c r="M519" s="243"/>
      <c r="N519" s="243"/>
      <c r="O519" s="243"/>
      <c r="P519" s="243"/>
      <c r="Q519" s="243"/>
      <c r="R519" s="243"/>
      <c r="S519" s="243"/>
      <c r="T519" s="243"/>
      <c r="U519" s="243"/>
      <c r="V519" s="243"/>
      <c r="W519" s="243"/>
      <c r="X519" s="243"/>
      <c r="Y519" s="244"/>
      <c r="Z519" s="243"/>
      <c r="AA519" s="245"/>
      <c r="AB519" s="246"/>
      <c r="AC519" s="246"/>
      <c r="AD519" s="246"/>
      <c r="AE519" s="131"/>
      <c r="AF519" s="244"/>
      <c r="AG519" s="243"/>
      <c r="AH519" s="243"/>
      <c r="AI519" s="243"/>
      <c r="AJ519" s="243"/>
      <c r="AK519" s="243"/>
      <c r="AL519" s="243"/>
      <c r="AM519" s="243"/>
      <c r="AN519" s="243"/>
      <c r="AO519" s="243"/>
      <c r="AP519" s="243"/>
      <c r="AQ519" s="243"/>
      <c r="AR519" s="243"/>
      <c r="AS519" s="243"/>
      <c r="AT519" s="243"/>
      <c r="AU519" s="243"/>
      <c r="AV519" s="243"/>
      <c r="AW519" s="243"/>
      <c r="AX519" s="243"/>
      <c r="AY519" s="243"/>
      <c r="AZ519" s="243"/>
    </row>
    <row r="520" spans="1:52">
      <c r="A520" s="216" t="str">
        <f>IF(D520="","",VLOOKUP(G520,códigosORL!$H:$J,3,FALSE))</f>
        <v/>
      </c>
      <c r="B520" s="243"/>
      <c r="C520" s="259"/>
      <c r="D520" s="243"/>
      <c r="E520" s="243"/>
      <c r="F520" s="247"/>
      <c r="G520" s="243"/>
      <c r="H520" s="243"/>
      <c r="I520" s="243"/>
      <c r="J520" s="243"/>
      <c r="K520" s="243"/>
      <c r="L520" s="243"/>
      <c r="M520" s="243"/>
      <c r="N520" s="243"/>
      <c r="O520" s="243"/>
      <c r="P520" s="243"/>
      <c r="Q520" s="243"/>
      <c r="R520" s="243"/>
      <c r="S520" s="243"/>
      <c r="T520" s="243"/>
      <c r="U520" s="243"/>
      <c r="V520" s="243"/>
      <c r="W520" s="243"/>
      <c r="X520" s="243"/>
      <c r="Y520" s="244"/>
      <c r="Z520" s="243"/>
      <c r="AA520" s="245"/>
      <c r="AB520" s="246"/>
      <c r="AC520" s="246"/>
      <c r="AD520" s="246"/>
      <c r="AE520" s="131"/>
      <c r="AF520" s="244"/>
      <c r="AG520" s="243"/>
      <c r="AH520" s="243"/>
      <c r="AI520" s="243"/>
      <c r="AJ520" s="243"/>
      <c r="AK520" s="243"/>
      <c r="AL520" s="243"/>
      <c r="AM520" s="243"/>
      <c r="AN520" s="243"/>
      <c r="AO520" s="243"/>
      <c r="AP520" s="243"/>
      <c r="AQ520" s="243"/>
      <c r="AR520" s="243"/>
      <c r="AS520" s="243"/>
      <c r="AT520" s="243"/>
      <c r="AU520" s="243"/>
      <c r="AV520" s="243"/>
      <c r="AW520" s="243"/>
      <c r="AX520" s="243"/>
      <c r="AY520" s="243"/>
      <c r="AZ520" s="243"/>
    </row>
    <row r="521" spans="1:52">
      <c r="A521" s="216" t="str">
        <f>IF(D521="","",VLOOKUP(G521,códigosORL!$H:$J,3,FALSE))</f>
        <v/>
      </c>
      <c r="B521" s="243"/>
      <c r="C521" s="259"/>
      <c r="D521" s="243"/>
      <c r="E521" s="243"/>
      <c r="F521" s="247"/>
      <c r="G521" s="243"/>
      <c r="H521" s="243"/>
      <c r="I521" s="243"/>
      <c r="J521" s="243"/>
      <c r="K521" s="243"/>
      <c r="L521" s="243"/>
      <c r="M521" s="243"/>
      <c r="N521" s="243"/>
      <c r="O521" s="243"/>
      <c r="P521" s="243"/>
      <c r="Q521" s="243"/>
      <c r="R521" s="243"/>
      <c r="S521" s="243"/>
      <c r="T521" s="243"/>
      <c r="U521" s="243"/>
      <c r="V521" s="243"/>
      <c r="W521" s="243"/>
      <c r="X521" s="243"/>
      <c r="Y521" s="244"/>
      <c r="Z521" s="243"/>
      <c r="AA521" s="245"/>
      <c r="AB521" s="246"/>
      <c r="AC521" s="246"/>
      <c r="AD521" s="246"/>
      <c r="AE521" s="131"/>
      <c r="AF521" s="244"/>
      <c r="AG521" s="243"/>
      <c r="AH521" s="243"/>
      <c r="AI521" s="243"/>
      <c r="AJ521" s="243"/>
      <c r="AK521" s="243"/>
      <c r="AL521" s="243"/>
      <c r="AM521" s="243"/>
      <c r="AN521" s="243"/>
      <c r="AO521" s="243"/>
      <c r="AP521" s="243"/>
      <c r="AQ521" s="243"/>
      <c r="AR521" s="243"/>
      <c r="AS521" s="243"/>
      <c r="AT521" s="243"/>
      <c r="AU521" s="243"/>
      <c r="AV521" s="243"/>
      <c r="AW521" s="243"/>
      <c r="AX521" s="243"/>
      <c r="AY521" s="243"/>
      <c r="AZ521" s="243"/>
    </row>
    <row r="522" spans="1:52">
      <c r="A522" s="216" t="str">
        <f>IF(D522="","",VLOOKUP(G522,códigosORL!$H:$J,3,FALSE))</f>
        <v/>
      </c>
      <c r="B522" s="243"/>
      <c r="C522" s="259"/>
      <c r="D522" s="243"/>
      <c r="E522" s="243"/>
      <c r="F522" s="247"/>
      <c r="G522" s="243"/>
      <c r="H522" s="243"/>
      <c r="I522" s="243"/>
      <c r="J522" s="243"/>
      <c r="K522" s="243"/>
      <c r="L522" s="243"/>
      <c r="M522" s="243"/>
      <c r="N522" s="243"/>
      <c r="O522" s="243"/>
      <c r="P522" s="243"/>
      <c r="Q522" s="243"/>
      <c r="R522" s="243"/>
      <c r="S522" s="243"/>
      <c r="T522" s="243"/>
      <c r="U522" s="243"/>
      <c r="V522" s="243"/>
      <c r="W522" s="243"/>
      <c r="X522" s="243"/>
      <c r="Y522" s="244"/>
      <c r="Z522" s="243"/>
      <c r="AA522" s="245"/>
      <c r="AB522" s="246"/>
      <c r="AC522" s="246"/>
      <c r="AD522" s="246"/>
      <c r="AE522" s="131"/>
      <c r="AF522" s="244"/>
      <c r="AG522" s="243"/>
      <c r="AH522" s="243"/>
      <c r="AI522" s="243"/>
      <c r="AJ522" s="243"/>
      <c r="AK522" s="243"/>
      <c r="AL522" s="243"/>
      <c r="AM522" s="243"/>
      <c r="AN522" s="243"/>
      <c r="AO522" s="243"/>
      <c r="AP522" s="243"/>
      <c r="AQ522" s="243"/>
      <c r="AR522" s="243"/>
      <c r="AS522" s="243"/>
      <c r="AT522" s="243"/>
      <c r="AU522" s="243"/>
      <c r="AV522" s="243"/>
      <c r="AW522" s="243"/>
      <c r="AX522" s="243"/>
      <c r="AY522" s="243"/>
      <c r="AZ522" s="243"/>
    </row>
    <row r="523" spans="1:52">
      <c r="A523" s="216" t="str">
        <f>IF(D523="","",VLOOKUP(G523,códigosORL!$H:$J,3,FALSE))</f>
        <v/>
      </c>
      <c r="B523" s="243"/>
      <c r="C523" s="259"/>
      <c r="D523" s="243"/>
      <c r="E523" s="243"/>
      <c r="F523" s="247"/>
      <c r="G523" s="243"/>
      <c r="H523" s="243"/>
      <c r="I523" s="243"/>
      <c r="J523" s="243"/>
      <c r="K523" s="243"/>
      <c r="L523" s="243"/>
      <c r="M523" s="243"/>
      <c r="N523" s="243"/>
      <c r="O523" s="243"/>
      <c r="P523" s="243"/>
      <c r="Q523" s="243"/>
      <c r="R523" s="243"/>
      <c r="S523" s="243"/>
      <c r="T523" s="243"/>
      <c r="U523" s="243"/>
      <c r="V523" s="243"/>
      <c r="W523" s="243"/>
      <c r="X523" s="243"/>
      <c r="Y523" s="244"/>
      <c r="Z523" s="243"/>
      <c r="AA523" s="245"/>
      <c r="AB523" s="246"/>
      <c r="AC523" s="246"/>
      <c r="AD523" s="246"/>
      <c r="AE523" s="131"/>
      <c r="AF523" s="244"/>
      <c r="AG523" s="243"/>
      <c r="AH523" s="243"/>
      <c r="AI523" s="243"/>
      <c r="AJ523" s="243"/>
      <c r="AK523" s="243"/>
      <c r="AL523" s="243"/>
      <c r="AM523" s="243"/>
      <c r="AN523" s="243"/>
      <c r="AO523" s="243"/>
      <c r="AP523" s="243"/>
      <c r="AQ523" s="243"/>
      <c r="AR523" s="243"/>
      <c r="AS523" s="243"/>
      <c r="AT523" s="243"/>
      <c r="AU523" s="243"/>
      <c r="AV523" s="243"/>
      <c r="AW523" s="243"/>
      <c r="AX523" s="243"/>
      <c r="AY523" s="243"/>
      <c r="AZ523" s="243"/>
    </row>
    <row r="524" spans="1:52">
      <c r="A524" s="216" t="str">
        <f>IF(D524="","",VLOOKUP(G524,códigosORL!$H:$J,3,FALSE))</f>
        <v/>
      </c>
      <c r="B524" s="243"/>
      <c r="C524" s="259"/>
      <c r="D524" s="243"/>
      <c r="E524" s="243"/>
      <c r="F524" s="247"/>
      <c r="G524" s="243"/>
      <c r="H524" s="243"/>
      <c r="I524" s="243"/>
      <c r="J524" s="243"/>
      <c r="K524" s="243"/>
      <c r="L524" s="243"/>
      <c r="M524" s="243"/>
      <c r="N524" s="243"/>
      <c r="O524" s="243"/>
      <c r="P524" s="243"/>
      <c r="Q524" s="243"/>
      <c r="R524" s="243"/>
      <c r="S524" s="243"/>
      <c r="T524" s="243"/>
      <c r="U524" s="243"/>
      <c r="V524" s="243"/>
      <c r="W524" s="243"/>
      <c r="X524" s="243"/>
      <c r="Y524" s="244"/>
      <c r="Z524" s="243"/>
      <c r="AA524" s="245"/>
      <c r="AB524" s="246"/>
      <c r="AC524" s="246"/>
      <c r="AD524" s="246"/>
      <c r="AE524" s="131"/>
      <c r="AF524" s="244"/>
      <c r="AG524" s="243"/>
      <c r="AH524" s="243"/>
      <c r="AI524" s="243"/>
      <c r="AJ524" s="243"/>
      <c r="AK524" s="243"/>
      <c r="AL524" s="243"/>
      <c r="AM524" s="243"/>
      <c r="AN524" s="243"/>
      <c r="AO524" s="243"/>
      <c r="AP524" s="243"/>
      <c r="AQ524" s="243"/>
      <c r="AR524" s="243"/>
      <c r="AS524" s="243"/>
      <c r="AT524" s="243"/>
      <c r="AU524" s="243"/>
      <c r="AV524" s="243"/>
      <c r="AW524" s="243"/>
      <c r="AX524" s="243"/>
      <c r="AY524" s="243"/>
      <c r="AZ524" s="243"/>
    </row>
    <row r="525" spans="1:52">
      <c r="A525" s="216" t="str">
        <f>IF(D525="","",VLOOKUP(G525,códigosORL!$H:$J,3,FALSE))</f>
        <v/>
      </c>
      <c r="B525" s="243"/>
      <c r="C525" s="259"/>
      <c r="D525" s="243"/>
      <c r="E525" s="243"/>
      <c r="F525" s="247"/>
      <c r="G525" s="243"/>
      <c r="H525" s="243"/>
      <c r="I525" s="243"/>
      <c r="J525" s="243"/>
      <c r="K525" s="243"/>
      <c r="L525" s="243"/>
      <c r="M525" s="243"/>
      <c r="N525" s="243"/>
      <c r="O525" s="243"/>
      <c r="P525" s="243"/>
      <c r="Q525" s="243"/>
      <c r="R525" s="243"/>
      <c r="S525" s="243"/>
      <c r="T525" s="243"/>
      <c r="U525" s="243"/>
      <c r="V525" s="243"/>
      <c r="W525" s="243"/>
      <c r="X525" s="243"/>
      <c r="Y525" s="244"/>
      <c r="Z525" s="243"/>
      <c r="AA525" s="245"/>
      <c r="AB525" s="246"/>
      <c r="AC525" s="246"/>
      <c r="AD525" s="246"/>
      <c r="AE525" s="131"/>
      <c r="AF525" s="244"/>
      <c r="AG525" s="243"/>
      <c r="AH525" s="243"/>
      <c r="AI525" s="243"/>
      <c r="AJ525" s="243"/>
      <c r="AK525" s="243"/>
      <c r="AL525" s="243"/>
      <c r="AM525" s="243"/>
      <c r="AN525" s="243"/>
      <c r="AO525" s="243"/>
      <c r="AP525" s="243"/>
      <c r="AQ525" s="243"/>
      <c r="AR525" s="243"/>
      <c r="AS525" s="243"/>
      <c r="AT525" s="243"/>
      <c r="AU525" s="243"/>
      <c r="AV525" s="243"/>
      <c r="AW525" s="243"/>
      <c r="AX525" s="243"/>
      <c r="AY525" s="243"/>
      <c r="AZ525" s="243"/>
    </row>
    <row r="526" spans="1:52">
      <c r="A526" s="216" t="str">
        <f>IF(D526="","",VLOOKUP(G526,códigosORL!$H:$J,3,FALSE))</f>
        <v/>
      </c>
      <c r="B526" s="243"/>
      <c r="C526" s="259"/>
      <c r="D526" s="243"/>
      <c r="E526" s="243"/>
      <c r="F526" s="247"/>
      <c r="G526" s="243"/>
      <c r="H526" s="243"/>
      <c r="I526" s="243"/>
      <c r="J526" s="243"/>
      <c r="K526" s="243"/>
      <c r="L526" s="243"/>
      <c r="M526" s="243"/>
      <c r="N526" s="243"/>
      <c r="O526" s="243"/>
      <c r="P526" s="243"/>
      <c r="Q526" s="243"/>
      <c r="R526" s="243"/>
      <c r="S526" s="243"/>
      <c r="T526" s="243"/>
      <c r="U526" s="243"/>
      <c r="V526" s="243"/>
      <c r="W526" s="243"/>
      <c r="X526" s="243"/>
      <c r="Y526" s="244"/>
      <c r="Z526" s="243"/>
      <c r="AA526" s="245"/>
      <c r="AB526" s="246"/>
      <c r="AC526" s="246"/>
      <c r="AD526" s="246"/>
      <c r="AE526" s="131"/>
      <c r="AF526" s="244"/>
      <c r="AG526" s="243"/>
      <c r="AH526" s="243"/>
      <c r="AI526" s="243"/>
      <c r="AJ526" s="243"/>
      <c r="AK526" s="243"/>
      <c r="AL526" s="243"/>
      <c r="AM526" s="243"/>
      <c r="AN526" s="243"/>
      <c r="AO526" s="243"/>
      <c r="AP526" s="243"/>
      <c r="AQ526" s="243"/>
      <c r="AR526" s="243"/>
      <c r="AS526" s="243"/>
      <c r="AT526" s="243"/>
      <c r="AU526" s="243"/>
      <c r="AV526" s="243"/>
      <c r="AW526" s="243"/>
      <c r="AX526" s="243"/>
      <c r="AY526" s="243"/>
      <c r="AZ526" s="243"/>
    </row>
    <row r="527" spans="1:52">
      <c r="A527" s="216" t="str">
        <f>IF(D527="","",VLOOKUP(G527,códigosORL!$H:$J,3,FALSE))</f>
        <v/>
      </c>
      <c r="B527" s="243"/>
      <c r="C527" s="259"/>
      <c r="D527" s="243"/>
      <c r="E527" s="243"/>
      <c r="F527" s="247"/>
      <c r="G527" s="243"/>
      <c r="H527" s="243"/>
      <c r="I527" s="243"/>
      <c r="J527" s="243"/>
      <c r="K527" s="243"/>
      <c r="L527" s="243"/>
      <c r="M527" s="243"/>
      <c r="N527" s="243"/>
      <c r="O527" s="243"/>
      <c r="P527" s="243"/>
      <c r="Q527" s="243"/>
      <c r="R527" s="243"/>
      <c r="S527" s="243"/>
      <c r="T527" s="243"/>
      <c r="U527" s="243"/>
      <c r="V527" s="243"/>
      <c r="W527" s="243"/>
      <c r="X527" s="243"/>
      <c r="Y527" s="244"/>
      <c r="Z527" s="243"/>
      <c r="AA527" s="245"/>
      <c r="AB527" s="246"/>
      <c r="AC527" s="246"/>
      <c r="AD527" s="246"/>
      <c r="AE527" s="131"/>
      <c r="AF527" s="244"/>
      <c r="AG527" s="243"/>
      <c r="AH527" s="243"/>
      <c r="AI527" s="243"/>
      <c r="AJ527" s="243"/>
      <c r="AK527" s="243"/>
      <c r="AL527" s="243"/>
      <c r="AM527" s="243"/>
      <c r="AN527" s="243"/>
      <c r="AO527" s="243"/>
      <c r="AP527" s="243"/>
      <c r="AQ527" s="243"/>
      <c r="AR527" s="243"/>
      <c r="AS527" s="243"/>
      <c r="AT527" s="243"/>
      <c r="AU527" s="243"/>
      <c r="AV527" s="243"/>
      <c r="AW527" s="243"/>
      <c r="AX527" s="243"/>
      <c r="AY527" s="243"/>
      <c r="AZ527" s="243"/>
    </row>
    <row r="528" spans="1:52">
      <c r="A528" s="216" t="str">
        <f>IF(D528="","",VLOOKUP(G528,códigosORL!$H:$J,3,FALSE))</f>
        <v/>
      </c>
      <c r="B528" s="243"/>
      <c r="C528" s="259"/>
      <c r="D528" s="243"/>
      <c r="E528" s="243"/>
      <c r="F528" s="247"/>
      <c r="G528" s="243"/>
      <c r="H528" s="243"/>
      <c r="I528" s="243"/>
      <c r="J528" s="243"/>
      <c r="K528" s="243"/>
      <c r="L528" s="243"/>
      <c r="M528" s="243"/>
      <c r="N528" s="243"/>
      <c r="O528" s="243"/>
      <c r="P528" s="243"/>
      <c r="Q528" s="243"/>
      <c r="R528" s="243"/>
      <c r="S528" s="243"/>
      <c r="T528" s="243"/>
      <c r="U528" s="243"/>
      <c r="V528" s="243"/>
      <c r="W528" s="243"/>
      <c r="X528" s="243"/>
      <c r="Y528" s="244"/>
      <c r="Z528" s="243"/>
      <c r="AA528" s="245"/>
      <c r="AB528" s="246"/>
      <c r="AC528" s="246"/>
      <c r="AD528" s="246"/>
      <c r="AE528" s="131"/>
      <c r="AF528" s="244"/>
      <c r="AG528" s="243"/>
      <c r="AH528" s="243"/>
      <c r="AI528" s="243"/>
      <c r="AJ528" s="243"/>
      <c r="AK528" s="243"/>
      <c r="AL528" s="243"/>
      <c r="AM528" s="243"/>
      <c r="AN528" s="243"/>
      <c r="AO528" s="243"/>
      <c r="AP528" s="243"/>
      <c r="AQ528" s="243"/>
      <c r="AR528" s="243"/>
      <c r="AS528" s="243"/>
      <c r="AT528" s="243"/>
      <c r="AU528" s="243"/>
      <c r="AV528" s="243"/>
      <c r="AW528" s="243"/>
      <c r="AX528" s="243"/>
      <c r="AY528" s="243"/>
      <c r="AZ528" s="243"/>
    </row>
    <row r="529" spans="1:52">
      <c r="A529" s="216" t="str">
        <f>IF(D529="","",VLOOKUP(G529,códigosORL!$H:$J,3,FALSE))</f>
        <v/>
      </c>
      <c r="B529" s="243"/>
      <c r="C529" s="259"/>
      <c r="D529" s="243"/>
      <c r="E529" s="243"/>
      <c r="F529" s="247"/>
      <c r="G529" s="243"/>
      <c r="H529" s="243"/>
      <c r="I529" s="243"/>
      <c r="J529" s="243"/>
      <c r="K529" s="243"/>
      <c r="L529" s="243"/>
      <c r="M529" s="243"/>
      <c r="N529" s="243"/>
      <c r="O529" s="243"/>
      <c r="P529" s="243"/>
      <c r="Q529" s="243"/>
      <c r="R529" s="243"/>
      <c r="S529" s="243"/>
      <c r="T529" s="243"/>
      <c r="U529" s="243"/>
      <c r="V529" s="243"/>
      <c r="W529" s="243"/>
      <c r="X529" s="243"/>
      <c r="Y529" s="244"/>
      <c r="Z529" s="243"/>
      <c r="AA529" s="245"/>
      <c r="AB529" s="246"/>
      <c r="AC529" s="246"/>
      <c r="AD529" s="246"/>
      <c r="AE529" s="131"/>
      <c r="AF529" s="244"/>
      <c r="AG529" s="243"/>
      <c r="AH529" s="243"/>
      <c r="AI529" s="243"/>
      <c r="AJ529" s="243"/>
      <c r="AK529" s="243"/>
      <c r="AL529" s="243"/>
      <c r="AM529" s="243"/>
      <c r="AN529" s="243"/>
      <c r="AO529" s="243"/>
      <c r="AP529" s="243"/>
      <c r="AQ529" s="243"/>
      <c r="AR529" s="243"/>
      <c r="AS529" s="243"/>
      <c r="AT529" s="243"/>
      <c r="AU529" s="243"/>
      <c r="AV529" s="243"/>
      <c r="AW529" s="243"/>
      <c r="AX529" s="243"/>
      <c r="AY529" s="243"/>
      <c r="AZ529" s="243"/>
    </row>
    <row r="530" spans="1:52">
      <c r="A530" s="216" t="str">
        <f>IF(D530="","",VLOOKUP(G530,códigosORL!$H:$J,3,FALSE))</f>
        <v/>
      </c>
      <c r="B530" s="243"/>
      <c r="C530" s="259"/>
      <c r="D530" s="243"/>
      <c r="E530" s="243"/>
      <c r="F530" s="247"/>
      <c r="G530" s="243"/>
      <c r="H530" s="243"/>
      <c r="I530" s="243"/>
      <c r="J530" s="243"/>
      <c r="K530" s="243"/>
      <c r="L530" s="243"/>
      <c r="M530" s="243"/>
      <c r="N530" s="243"/>
      <c r="O530" s="243"/>
      <c r="P530" s="243"/>
      <c r="Q530" s="243"/>
      <c r="R530" s="243"/>
      <c r="S530" s="243"/>
      <c r="T530" s="243"/>
      <c r="U530" s="243"/>
      <c r="V530" s="243"/>
      <c r="W530" s="243"/>
      <c r="X530" s="243"/>
      <c r="Y530" s="244"/>
      <c r="Z530" s="243"/>
      <c r="AA530" s="245"/>
      <c r="AB530" s="246"/>
      <c r="AC530" s="246"/>
      <c r="AD530" s="246"/>
      <c r="AE530" s="131"/>
      <c r="AF530" s="244"/>
      <c r="AG530" s="243"/>
      <c r="AH530" s="243"/>
      <c r="AI530" s="243"/>
      <c r="AJ530" s="243"/>
      <c r="AK530" s="243"/>
      <c r="AL530" s="243"/>
      <c r="AM530" s="243"/>
      <c r="AN530" s="243"/>
      <c r="AO530" s="243"/>
      <c r="AP530" s="243"/>
      <c r="AQ530" s="243"/>
      <c r="AR530" s="243"/>
      <c r="AS530" s="243"/>
      <c r="AT530" s="243"/>
      <c r="AU530" s="243"/>
      <c r="AV530" s="243"/>
      <c r="AW530" s="243"/>
      <c r="AX530" s="243"/>
      <c r="AY530" s="243"/>
      <c r="AZ530" s="243"/>
    </row>
    <row r="531" spans="1:52">
      <c r="A531" s="216" t="str">
        <f>IF(D531="","",VLOOKUP(G531,códigosORL!$H:$J,3,FALSE))</f>
        <v/>
      </c>
      <c r="B531" s="243"/>
      <c r="C531" s="259"/>
      <c r="D531" s="243"/>
      <c r="E531" s="243"/>
      <c r="F531" s="247"/>
      <c r="G531" s="243"/>
      <c r="H531" s="243"/>
      <c r="I531" s="243"/>
      <c r="J531" s="243"/>
      <c r="K531" s="243"/>
      <c r="L531" s="243"/>
      <c r="M531" s="243"/>
      <c r="N531" s="243"/>
      <c r="O531" s="243"/>
      <c r="P531" s="243"/>
      <c r="Q531" s="243"/>
      <c r="R531" s="243"/>
      <c r="S531" s="243"/>
      <c r="T531" s="243"/>
      <c r="U531" s="243"/>
      <c r="V531" s="243"/>
      <c r="W531" s="243"/>
      <c r="X531" s="243"/>
      <c r="Y531" s="244"/>
      <c r="Z531" s="243"/>
      <c r="AA531" s="245"/>
      <c r="AB531" s="246"/>
      <c r="AC531" s="246"/>
      <c r="AD531" s="246"/>
      <c r="AE531" s="131"/>
      <c r="AF531" s="244"/>
      <c r="AG531" s="243"/>
      <c r="AH531" s="243"/>
      <c r="AI531" s="243"/>
      <c r="AJ531" s="243"/>
      <c r="AK531" s="243"/>
      <c r="AL531" s="243"/>
      <c r="AM531" s="243"/>
      <c r="AN531" s="243"/>
      <c r="AO531" s="243"/>
      <c r="AP531" s="243"/>
      <c r="AQ531" s="243"/>
      <c r="AR531" s="243"/>
      <c r="AS531" s="243"/>
      <c r="AT531" s="243"/>
      <c r="AU531" s="243"/>
      <c r="AV531" s="243"/>
      <c r="AW531" s="243"/>
      <c r="AX531" s="243"/>
      <c r="AY531" s="243"/>
      <c r="AZ531" s="243"/>
    </row>
    <row r="532" spans="1:52">
      <c r="A532" s="216" t="str">
        <f>IF(D532="","",VLOOKUP(G532,códigosORL!$H:$J,3,FALSE))</f>
        <v/>
      </c>
      <c r="B532" s="243"/>
      <c r="C532" s="259"/>
      <c r="D532" s="243"/>
      <c r="E532" s="243"/>
      <c r="F532" s="247"/>
      <c r="G532" s="243"/>
      <c r="H532" s="243"/>
      <c r="I532" s="243"/>
      <c r="J532" s="243"/>
      <c r="K532" s="243"/>
      <c r="L532" s="243"/>
      <c r="M532" s="243"/>
      <c r="N532" s="243"/>
      <c r="O532" s="243"/>
      <c r="P532" s="243"/>
      <c r="Q532" s="243"/>
      <c r="R532" s="243"/>
      <c r="S532" s="243"/>
      <c r="T532" s="243"/>
      <c r="U532" s="243"/>
      <c r="V532" s="243"/>
      <c r="W532" s="243"/>
      <c r="X532" s="243"/>
      <c r="Y532" s="244"/>
      <c r="Z532" s="243"/>
      <c r="AA532" s="245"/>
      <c r="AB532" s="246"/>
      <c r="AC532" s="246"/>
      <c r="AD532" s="246"/>
      <c r="AE532" s="131"/>
      <c r="AF532" s="244"/>
      <c r="AG532" s="243"/>
      <c r="AH532" s="243"/>
      <c r="AI532" s="243"/>
      <c r="AJ532" s="243"/>
      <c r="AK532" s="243"/>
      <c r="AL532" s="243"/>
      <c r="AM532" s="243"/>
      <c r="AN532" s="243"/>
      <c r="AO532" s="243"/>
      <c r="AP532" s="243"/>
      <c r="AQ532" s="243"/>
      <c r="AR532" s="243"/>
      <c r="AS532" s="243"/>
      <c r="AT532" s="243"/>
      <c r="AU532" s="243"/>
      <c r="AV532" s="243"/>
      <c r="AW532" s="243"/>
      <c r="AX532" s="243"/>
      <c r="AY532" s="243"/>
      <c r="AZ532" s="243"/>
    </row>
    <row r="533" spans="1:52">
      <c r="A533" s="216" t="str">
        <f>IF(D533="","",VLOOKUP(G533,códigosORL!$H:$J,3,FALSE))</f>
        <v/>
      </c>
      <c r="B533" s="243"/>
      <c r="C533" s="259"/>
      <c r="D533" s="243"/>
      <c r="E533" s="243"/>
      <c r="F533" s="247"/>
      <c r="G533" s="243"/>
      <c r="H533" s="243"/>
      <c r="I533" s="243"/>
      <c r="J533" s="243"/>
      <c r="K533" s="243"/>
      <c r="L533" s="243"/>
      <c r="M533" s="243"/>
      <c r="N533" s="243"/>
      <c r="O533" s="243"/>
      <c r="P533" s="243"/>
      <c r="Q533" s="243"/>
      <c r="R533" s="243"/>
      <c r="S533" s="243"/>
      <c r="T533" s="243"/>
      <c r="U533" s="243"/>
      <c r="V533" s="243"/>
      <c r="W533" s="243"/>
      <c r="X533" s="243"/>
      <c r="Y533" s="244"/>
      <c r="Z533" s="243"/>
      <c r="AA533" s="245"/>
      <c r="AB533" s="246"/>
      <c r="AC533" s="246"/>
      <c r="AD533" s="246"/>
      <c r="AE533" s="131"/>
      <c r="AF533" s="244"/>
      <c r="AG533" s="243"/>
      <c r="AH533" s="243"/>
      <c r="AI533" s="243"/>
      <c r="AJ533" s="243"/>
      <c r="AK533" s="243"/>
      <c r="AL533" s="243"/>
      <c r="AM533" s="243"/>
      <c r="AN533" s="243"/>
      <c r="AO533" s="243"/>
      <c r="AP533" s="243"/>
      <c r="AQ533" s="243"/>
      <c r="AR533" s="243"/>
      <c r="AS533" s="243"/>
      <c r="AT533" s="243"/>
      <c r="AU533" s="243"/>
      <c r="AV533" s="243"/>
      <c r="AW533" s="243"/>
      <c r="AX533" s="243"/>
      <c r="AY533" s="243"/>
      <c r="AZ533" s="243"/>
    </row>
    <row r="534" spans="1:52">
      <c r="A534" s="216" t="str">
        <f>IF(D534="","",VLOOKUP(G534,códigosORL!$H:$J,3,FALSE))</f>
        <v/>
      </c>
      <c r="B534" s="243"/>
      <c r="C534" s="259"/>
      <c r="D534" s="243"/>
      <c r="E534" s="243"/>
      <c r="F534" s="247"/>
      <c r="G534" s="243"/>
      <c r="H534" s="243"/>
      <c r="I534" s="243"/>
      <c r="J534" s="243"/>
      <c r="K534" s="243"/>
      <c r="L534" s="243"/>
      <c r="M534" s="243"/>
      <c r="N534" s="243"/>
      <c r="O534" s="243"/>
      <c r="P534" s="243"/>
      <c r="Q534" s="243"/>
      <c r="R534" s="243"/>
      <c r="S534" s="243"/>
      <c r="T534" s="243"/>
      <c r="U534" s="243"/>
      <c r="V534" s="243"/>
      <c r="W534" s="243"/>
      <c r="X534" s="243"/>
      <c r="Y534" s="244"/>
      <c r="Z534" s="243"/>
      <c r="AA534" s="245"/>
      <c r="AB534" s="246"/>
      <c r="AC534" s="246"/>
      <c r="AD534" s="246"/>
      <c r="AE534" s="131"/>
      <c r="AF534" s="244"/>
      <c r="AG534" s="243"/>
      <c r="AH534" s="243"/>
      <c r="AI534" s="243"/>
      <c r="AJ534" s="243"/>
      <c r="AK534" s="243"/>
      <c r="AL534" s="243"/>
      <c r="AM534" s="243"/>
      <c r="AN534" s="243"/>
      <c r="AO534" s="243"/>
      <c r="AP534" s="243"/>
      <c r="AQ534" s="243"/>
      <c r="AR534" s="243"/>
      <c r="AS534" s="243"/>
      <c r="AT534" s="243"/>
      <c r="AU534" s="243"/>
      <c r="AV534" s="243"/>
      <c r="AW534" s="243"/>
      <c r="AX534" s="243"/>
      <c r="AY534" s="243"/>
      <c r="AZ534" s="243"/>
    </row>
    <row r="535" spans="1:52">
      <c r="A535" s="216" t="str">
        <f>IF(D535="","",VLOOKUP(G535,códigosORL!$H:$J,3,FALSE))</f>
        <v/>
      </c>
      <c r="B535" s="243"/>
      <c r="C535" s="259"/>
      <c r="D535" s="243"/>
      <c r="E535" s="243"/>
      <c r="F535" s="247"/>
      <c r="G535" s="243"/>
      <c r="H535" s="243"/>
      <c r="I535" s="243"/>
      <c r="J535" s="243"/>
      <c r="K535" s="243"/>
      <c r="L535" s="243"/>
      <c r="M535" s="243"/>
      <c r="N535" s="243"/>
      <c r="O535" s="243"/>
      <c r="P535" s="243"/>
      <c r="Q535" s="243"/>
      <c r="R535" s="243"/>
      <c r="S535" s="243"/>
      <c r="T535" s="243"/>
      <c r="U535" s="243"/>
      <c r="V535" s="243"/>
      <c r="W535" s="243"/>
      <c r="X535" s="243"/>
      <c r="Y535" s="244"/>
      <c r="Z535" s="243"/>
      <c r="AA535" s="245"/>
      <c r="AB535" s="246"/>
      <c r="AC535" s="246"/>
      <c r="AD535" s="246"/>
      <c r="AE535" s="131"/>
      <c r="AF535" s="244"/>
      <c r="AG535" s="243"/>
      <c r="AH535" s="243"/>
      <c r="AI535" s="243"/>
      <c r="AJ535" s="243"/>
      <c r="AK535" s="243"/>
      <c r="AL535" s="243"/>
      <c r="AM535" s="243"/>
      <c r="AN535" s="243"/>
      <c r="AO535" s="243"/>
      <c r="AP535" s="243"/>
      <c r="AQ535" s="243"/>
      <c r="AR535" s="243"/>
      <c r="AS535" s="243"/>
      <c r="AT535" s="243"/>
      <c r="AU535" s="243"/>
      <c r="AV535" s="243"/>
      <c r="AW535" s="243"/>
      <c r="AX535" s="243"/>
      <c r="AY535" s="243"/>
      <c r="AZ535" s="243"/>
    </row>
    <row r="536" spans="1:52">
      <c r="A536" s="216" t="str">
        <f>IF(D536="","",VLOOKUP(G536,códigosORL!$H:$J,3,FALSE))</f>
        <v/>
      </c>
      <c r="B536" s="243"/>
      <c r="C536" s="259"/>
      <c r="D536" s="243"/>
      <c r="E536" s="243"/>
      <c r="F536" s="247"/>
      <c r="G536" s="243"/>
      <c r="H536" s="243"/>
      <c r="I536" s="243"/>
      <c r="J536" s="243"/>
      <c r="K536" s="243"/>
      <c r="L536" s="243"/>
      <c r="M536" s="243"/>
      <c r="N536" s="243"/>
      <c r="O536" s="243"/>
      <c r="P536" s="243"/>
      <c r="Q536" s="243"/>
      <c r="R536" s="243"/>
      <c r="S536" s="243"/>
      <c r="T536" s="243"/>
      <c r="U536" s="243"/>
      <c r="V536" s="243"/>
      <c r="W536" s="243"/>
      <c r="X536" s="243"/>
      <c r="Y536" s="244"/>
      <c r="Z536" s="243"/>
      <c r="AA536" s="245"/>
      <c r="AB536" s="246"/>
      <c r="AC536" s="246"/>
      <c r="AD536" s="246"/>
      <c r="AE536" s="131"/>
      <c r="AF536" s="244"/>
      <c r="AG536" s="243"/>
      <c r="AH536" s="243"/>
      <c r="AI536" s="243"/>
      <c r="AJ536" s="243"/>
      <c r="AK536" s="243"/>
      <c r="AL536" s="243"/>
      <c r="AM536" s="243"/>
      <c r="AN536" s="243"/>
      <c r="AO536" s="243"/>
      <c r="AP536" s="243"/>
      <c r="AQ536" s="243"/>
      <c r="AR536" s="243"/>
      <c r="AS536" s="243"/>
      <c r="AT536" s="243"/>
      <c r="AU536" s="243"/>
      <c r="AV536" s="243"/>
      <c r="AW536" s="243"/>
      <c r="AX536" s="243"/>
      <c r="AY536" s="243"/>
      <c r="AZ536" s="243"/>
    </row>
    <row r="537" spans="1:52">
      <c r="A537" s="216" t="str">
        <f>IF(D537="","",VLOOKUP(G537,códigosORL!$H:$J,3,FALSE))</f>
        <v/>
      </c>
      <c r="B537" s="243"/>
      <c r="C537" s="259"/>
      <c r="D537" s="243"/>
      <c r="E537" s="243"/>
      <c r="F537" s="247"/>
      <c r="G537" s="243"/>
      <c r="H537" s="243"/>
      <c r="I537" s="243"/>
      <c r="J537" s="243"/>
      <c r="K537" s="243"/>
      <c r="L537" s="243"/>
      <c r="M537" s="243"/>
      <c r="N537" s="243"/>
      <c r="O537" s="243"/>
      <c r="P537" s="243"/>
      <c r="Q537" s="243"/>
      <c r="R537" s="243"/>
      <c r="S537" s="243"/>
      <c r="T537" s="243"/>
      <c r="U537" s="243"/>
      <c r="V537" s="243"/>
      <c r="W537" s="243"/>
      <c r="X537" s="243"/>
      <c r="Y537" s="244"/>
      <c r="Z537" s="243"/>
      <c r="AA537" s="245"/>
      <c r="AB537" s="246"/>
      <c r="AC537" s="246"/>
      <c r="AD537" s="246"/>
      <c r="AE537" s="131"/>
      <c r="AF537" s="244"/>
      <c r="AG537" s="243"/>
      <c r="AH537" s="243"/>
      <c r="AI537" s="243"/>
      <c r="AJ537" s="243"/>
      <c r="AK537" s="243"/>
      <c r="AL537" s="243"/>
      <c r="AM537" s="243"/>
      <c r="AN537" s="243"/>
      <c r="AO537" s="243"/>
      <c r="AP537" s="243"/>
      <c r="AQ537" s="243"/>
      <c r="AR537" s="243"/>
      <c r="AS537" s="243"/>
      <c r="AT537" s="243"/>
      <c r="AU537" s="243"/>
      <c r="AV537" s="243"/>
      <c r="AW537" s="243"/>
      <c r="AX537" s="243"/>
      <c r="AY537" s="243"/>
      <c r="AZ537" s="243"/>
    </row>
    <row r="538" spans="1:52">
      <c r="A538" s="216" t="str">
        <f>IF(D538="","",VLOOKUP(G538,códigosORL!$H:$J,3,FALSE))</f>
        <v/>
      </c>
      <c r="B538" s="243"/>
      <c r="C538" s="259"/>
      <c r="D538" s="243"/>
      <c r="E538" s="243"/>
      <c r="F538" s="247"/>
      <c r="G538" s="243"/>
      <c r="H538" s="243"/>
      <c r="I538" s="243"/>
      <c r="J538" s="243"/>
      <c r="K538" s="243"/>
      <c r="L538" s="243"/>
      <c r="M538" s="243"/>
      <c r="N538" s="243"/>
      <c r="O538" s="243"/>
      <c r="P538" s="243"/>
      <c r="Q538" s="243"/>
      <c r="R538" s="243"/>
      <c r="S538" s="243"/>
      <c r="T538" s="243"/>
      <c r="U538" s="243"/>
      <c r="V538" s="243"/>
      <c r="W538" s="243"/>
      <c r="X538" s="243"/>
      <c r="Y538" s="244"/>
      <c r="Z538" s="243"/>
      <c r="AA538" s="245"/>
      <c r="AB538" s="246"/>
      <c r="AC538" s="246"/>
      <c r="AD538" s="246"/>
      <c r="AE538" s="131"/>
      <c r="AF538" s="244"/>
      <c r="AG538" s="243"/>
      <c r="AH538" s="243"/>
      <c r="AI538" s="243"/>
      <c r="AJ538" s="243"/>
      <c r="AK538" s="243"/>
      <c r="AL538" s="243"/>
      <c r="AM538" s="243"/>
      <c r="AN538" s="243"/>
      <c r="AO538" s="243"/>
      <c r="AP538" s="243"/>
      <c r="AQ538" s="243"/>
      <c r="AR538" s="243"/>
      <c r="AS538" s="243"/>
      <c r="AT538" s="243"/>
      <c r="AU538" s="243"/>
      <c r="AV538" s="243"/>
      <c r="AW538" s="243"/>
      <c r="AX538" s="243"/>
      <c r="AY538" s="243"/>
      <c r="AZ538" s="243"/>
    </row>
    <row r="539" spans="1:52">
      <c r="A539" s="216" t="str">
        <f>IF(D539="","",VLOOKUP(G539,códigosORL!$H:$J,3,FALSE))</f>
        <v/>
      </c>
      <c r="B539" s="243"/>
      <c r="C539" s="259"/>
      <c r="D539" s="243"/>
      <c r="E539" s="243"/>
      <c r="F539" s="247"/>
      <c r="G539" s="243"/>
      <c r="H539" s="243"/>
      <c r="I539" s="243"/>
      <c r="J539" s="243"/>
      <c r="K539" s="243"/>
      <c r="L539" s="243"/>
      <c r="M539" s="243"/>
      <c r="N539" s="243"/>
      <c r="O539" s="243"/>
      <c r="P539" s="243"/>
      <c r="Q539" s="243"/>
      <c r="R539" s="243"/>
      <c r="S539" s="243"/>
      <c r="T539" s="243"/>
      <c r="U539" s="243"/>
      <c r="V539" s="243"/>
      <c r="W539" s="243"/>
      <c r="X539" s="243"/>
      <c r="Y539" s="244"/>
      <c r="Z539" s="243"/>
      <c r="AA539" s="245"/>
      <c r="AB539" s="246"/>
      <c r="AC539" s="246"/>
      <c r="AD539" s="246"/>
      <c r="AE539" s="131"/>
      <c r="AF539" s="244"/>
      <c r="AG539" s="243"/>
      <c r="AH539" s="243"/>
      <c r="AI539" s="243"/>
      <c r="AJ539" s="243"/>
      <c r="AK539" s="243"/>
      <c r="AL539" s="243"/>
      <c r="AM539" s="243"/>
      <c r="AN539" s="243"/>
      <c r="AO539" s="243"/>
      <c r="AP539" s="243"/>
      <c r="AQ539" s="243"/>
      <c r="AR539" s="243"/>
      <c r="AS539" s="243"/>
      <c r="AT539" s="243"/>
      <c r="AU539" s="243"/>
      <c r="AV539" s="243"/>
      <c r="AW539" s="243"/>
      <c r="AX539" s="243"/>
      <c r="AY539" s="243"/>
      <c r="AZ539" s="243"/>
    </row>
    <row r="540" spans="1:52">
      <c r="A540" s="216" t="str">
        <f>IF(D540="","",VLOOKUP(G540,códigosORL!$H:$J,3,FALSE))</f>
        <v/>
      </c>
      <c r="B540" s="243"/>
      <c r="C540" s="259"/>
      <c r="D540" s="243"/>
      <c r="E540" s="243"/>
      <c r="F540" s="247"/>
      <c r="G540" s="243"/>
      <c r="H540" s="243"/>
      <c r="I540" s="243"/>
      <c r="J540" s="243"/>
      <c r="K540" s="243"/>
      <c r="L540" s="243"/>
      <c r="M540" s="243"/>
      <c r="N540" s="243"/>
      <c r="O540" s="243"/>
      <c r="P540" s="243"/>
      <c r="Q540" s="243"/>
      <c r="R540" s="243"/>
      <c r="S540" s="243"/>
      <c r="T540" s="243"/>
      <c r="U540" s="243"/>
      <c r="V540" s="243"/>
      <c r="W540" s="243"/>
      <c r="X540" s="243"/>
      <c r="Y540" s="244"/>
      <c r="Z540" s="243"/>
      <c r="AA540" s="245"/>
      <c r="AB540" s="246"/>
      <c r="AC540" s="246"/>
      <c r="AD540" s="246"/>
      <c r="AE540" s="131"/>
      <c r="AF540" s="244"/>
      <c r="AG540" s="243"/>
      <c r="AH540" s="243"/>
      <c r="AI540" s="243"/>
      <c r="AJ540" s="243"/>
      <c r="AK540" s="243"/>
      <c r="AL540" s="243"/>
      <c r="AM540" s="243"/>
      <c r="AN540" s="243"/>
      <c r="AO540" s="243"/>
      <c r="AP540" s="243"/>
      <c r="AQ540" s="243"/>
      <c r="AR540" s="243"/>
      <c r="AS540" s="243"/>
      <c r="AT540" s="243"/>
      <c r="AU540" s="243"/>
      <c r="AV540" s="243"/>
      <c r="AW540" s="243"/>
      <c r="AX540" s="243"/>
      <c r="AY540" s="243"/>
      <c r="AZ540" s="243"/>
    </row>
    <row r="541" spans="1:52">
      <c r="A541" s="216" t="str">
        <f>IF(D541="","",VLOOKUP(G541,códigosORL!$H:$J,3,FALSE))</f>
        <v/>
      </c>
      <c r="B541" s="243"/>
      <c r="C541" s="259"/>
      <c r="D541" s="243"/>
      <c r="E541" s="243"/>
      <c r="F541" s="247"/>
      <c r="G541" s="243"/>
      <c r="H541" s="243"/>
      <c r="I541" s="243"/>
      <c r="J541" s="243"/>
      <c r="K541" s="243"/>
      <c r="L541" s="243"/>
      <c r="M541" s="243"/>
      <c r="N541" s="243"/>
      <c r="O541" s="243"/>
      <c r="P541" s="243"/>
      <c r="Q541" s="243"/>
      <c r="R541" s="243"/>
      <c r="S541" s="243"/>
      <c r="T541" s="243"/>
      <c r="U541" s="243"/>
      <c r="V541" s="243"/>
      <c r="W541" s="243"/>
      <c r="X541" s="243"/>
      <c r="Y541" s="244"/>
      <c r="Z541" s="243"/>
      <c r="AA541" s="245"/>
      <c r="AB541" s="246"/>
      <c r="AC541" s="246"/>
      <c r="AD541" s="246"/>
      <c r="AE541" s="131"/>
      <c r="AF541" s="244"/>
      <c r="AG541" s="243"/>
      <c r="AH541" s="243"/>
      <c r="AI541" s="243"/>
      <c r="AJ541" s="243"/>
      <c r="AK541" s="243"/>
      <c r="AL541" s="243"/>
      <c r="AM541" s="243"/>
      <c r="AN541" s="243"/>
      <c r="AO541" s="243"/>
      <c r="AP541" s="243"/>
      <c r="AQ541" s="243"/>
      <c r="AR541" s="243"/>
      <c r="AS541" s="243"/>
      <c r="AT541" s="243"/>
      <c r="AU541" s="243"/>
      <c r="AV541" s="243"/>
      <c r="AW541" s="243"/>
      <c r="AX541" s="243"/>
      <c r="AY541" s="243"/>
      <c r="AZ541" s="243"/>
    </row>
    <row r="542" spans="1:52">
      <c r="A542" s="216" t="str">
        <f>IF(D542="","",VLOOKUP(G542,códigosORL!$H:$J,3,FALSE))</f>
        <v/>
      </c>
      <c r="B542" s="243"/>
      <c r="C542" s="259"/>
      <c r="D542" s="243"/>
      <c r="E542" s="243"/>
      <c r="F542" s="247"/>
      <c r="G542" s="243"/>
      <c r="H542" s="243"/>
      <c r="I542" s="243"/>
      <c r="J542" s="243"/>
      <c r="K542" s="243"/>
      <c r="L542" s="243"/>
      <c r="M542" s="243"/>
      <c r="N542" s="243"/>
      <c r="O542" s="243"/>
      <c r="P542" s="243"/>
      <c r="Q542" s="243"/>
      <c r="R542" s="243"/>
      <c r="S542" s="243"/>
      <c r="T542" s="243"/>
      <c r="U542" s="243"/>
      <c r="V542" s="243"/>
      <c r="W542" s="243"/>
      <c r="X542" s="243"/>
      <c r="Y542" s="244"/>
      <c r="Z542" s="243"/>
      <c r="AA542" s="245"/>
      <c r="AB542" s="246"/>
      <c r="AC542" s="246"/>
      <c r="AD542" s="246"/>
      <c r="AE542" s="131"/>
      <c r="AF542" s="244"/>
      <c r="AG542" s="243"/>
      <c r="AH542" s="243"/>
      <c r="AI542" s="243"/>
      <c r="AJ542" s="243"/>
      <c r="AK542" s="243"/>
      <c r="AL542" s="243"/>
      <c r="AM542" s="243"/>
      <c r="AN542" s="243"/>
      <c r="AO542" s="243"/>
      <c r="AP542" s="243"/>
      <c r="AQ542" s="243"/>
      <c r="AR542" s="243"/>
      <c r="AS542" s="243"/>
      <c r="AT542" s="243"/>
      <c r="AU542" s="243"/>
      <c r="AV542" s="243"/>
      <c r="AW542" s="243"/>
      <c r="AX542" s="243"/>
      <c r="AY542" s="243"/>
      <c r="AZ542" s="243"/>
    </row>
    <row r="543" spans="1:52">
      <c r="A543" s="216" t="str">
        <f>IF(D543="","",VLOOKUP(G543,códigosORL!$H:$J,3,FALSE))</f>
        <v/>
      </c>
      <c r="B543" s="243"/>
      <c r="C543" s="259"/>
      <c r="D543" s="243"/>
      <c r="E543" s="243"/>
      <c r="F543" s="247"/>
      <c r="G543" s="243"/>
      <c r="H543" s="243"/>
      <c r="I543" s="243"/>
      <c r="J543" s="243"/>
      <c r="K543" s="243"/>
      <c r="L543" s="243"/>
      <c r="M543" s="243"/>
      <c r="N543" s="243"/>
      <c r="O543" s="243"/>
      <c r="P543" s="243"/>
      <c r="Q543" s="243"/>
      <c r="R543" s="243"/>
      <c r="S543" s="243"/>
      <c r="T543" s="243"/>
      <c r="U543" s="243"/>
      <c r="V543" s="243"/>
      <c r="W543" s="243"/>
      <c r="X543" s="243"/>
      <c r="Y543" s="244"/>
      <c r="Z543" s="243"/>
      <c r="AA543" s="245"/>
      <c r="AB543" s="246"/>
      <c r="AC543" s="246"/>
      <c r="AD543" s="246"/>
      <c r="AE543" s="131"/>
      <c r="AF543" s="244"/>
      <c r="AG543" s="243"/>
      <c r="AH543" s="243"/>
      <c r="AI543" s="243"/>
      <c r="AJ543" s="243"/>
      <c r="AK543" s="243"/>
      <c r="AL543" s="243"/>
      <c r="AM543" s="243"/>
      <c r="AN543" s="243"/>
      <c r="AO543" s="243"/>
      <c r="AP543" s="243"/>
      <c r="AQ543" s="243"/>
      <c r="AR543" s="243"/>
      <c r="AS543" s="243"/>
      <c r="AT543" s="243"/>
      <c r="AU543" s="243"/>
      <c r="AV543" s="243"/>
      <c r="AW543" s="243"/>
      <c r="AX543" s="243"/>
      <c r="AY543" s="243"/>
      <c r="AZ543" s="243"/>
    </row>
    <row r="544" spans="1:52">
      <c r="A544" s="216" t="str">
        <f>IF(D544="","",VLOOKUP(G544,códigosORL!$H:$J,3,FALSE))</f>
        <v/>
      </c>
      <c r="B544" s="243"/>
      <c r="C544" s="259"/>
      <c r="D544" s="243"/>
      <c r="E544" s="243"/>
      <c r="F544" s="247"/>
      <c r="G544" s="243"/>
      <c r="H544" s="243"/>
      <c r="I544" s="243"/>
      <c r="J544" s="243"/>
      <c r="K544" s="243"/>
      <c r="L544" s="243"/>
      <c r="M544" s="243"/>
      <c r="N544" s="243"/>
      <c r="O544" s="243"/>
      <c r="P544" s="243"/>
      <c r="Q544" s="243"/>
      <c r="R544" s="243"/>
      <c r="S544" s="243"/>
      <c r="T544" s="243"/>
      <c r="U544" s="243"/>
      <c r="V544" s="243"/>
      <c r="W544" s="243"/>
      <c r="X544" s="243"/>
      <c r="Y544" s="244"/>
      <c r="Z544" s="243"/>
      <c r="AA544" s="245"/>
      <c r="AB544" s="246"/>
      <c r="AC544" s="246"/>
      <c r="AD544" s="246"/>
      <c r="AE544" s="131"/>
      <c r="AF544" s="244"/>
      <c r="AG544" s="243"/>
      <c r="AH544" s="243"/>
      <c r="AI544" s="243"/>
      <c r="AJ544" s="243"/>
      <c r="AK544" s="243"/>
      <c r="AL544" s="243"/>
      <c r="AM544" s="243"/>
      <c r="AN544" s="243"/>
      <c r="AO544" s="243"/>
      <c r="AP544" s="243"/>
      <c r="AQ544" s="243"/>
      <c r="AR544" s="243"/>
      <c r="AS544" s="243"/>
      <c r="AT544" s="243"/>
      <c r="AU544" s="243"/>
      <c r="AV544" s="243"/>
      <c r="AW544" s="243"/>
      <c r="AX544" s="243"/>
      <c r="AY544" s="243"/>
      <c r="AZ544" s="243"/>
    </row>
    <row r="545" spans="1:52">
      <c r="A545" s="216" t="str">
        <f>IF(D545="","",VLOOKUP(G545,códigosORL!$H:$J,3,FALSE))</f>
        <v/>
      </c>
      <c r="B545" s="243"/>
      <c r="C545" s="259"/>
      <c r="D545" s="243"/>
      <c r="E545" s="243"/>
      <c r="F545" s="247"/>
      <c r="G545" s="243"/>
      <c r="H545" s="243"/>
      <c r="I545" s="243"/>
      <c r="J545" s="243"/>
      <c r="K545" s="243"/>
      <c r="L545" s="243"/>
      <c r="M545" s="243"/>
      <c r="N545" s="243"/>
      <c r="O545" s="243"/>
      <c r="P545" s="243"/>
      <c r="Q545" s="243"/>
      <c r="R545" s="243"/>
      <c r="S545" s="243"/>
      <c r="T545" s="243"/>
      <c r="U545" s="243"/>
      <c r="V545" s="243"/>
      <c r="W545" s="243"/>
      <c r="X545" s="243"/>
      <c r="Y545" s="244"/>
      <c r="Z545" s="243"/>
      <c r="AA545" s="245"/>
      <c r="AB545" s="246"/>
      <c r="AC545" s="246"/>
      <c r="AD545" s="246"/>
      <c r="AE545" s="131"/>
      <c r="AF545" s="244"/>
      <c r="AG545" s="243"/>
      <c r="AH545" s="243"/>
      <c r="AI545" s="243"/>
      <c r="AJ545" s="243"/>
      <c r="AK545" s="243"/>
      <c r="AL545" s="243"/>
      <c r="AM545" s="243"/>
      <c r="AN545" s="243"/>
      <c r="AO545" s="243"/>
      <c r="AP545" s="243"/>
      <c r="AQ545" s="243"/>
      <c r="AR545" s="243"/>
      <c r="AS545" s="243"/>
      <c r="AT545" s="243"/>
      <c r="AU545" s="243"/>
      <c r="AV545" s="243"/>
      <c r="AW545" s="243"/>
      <c r="AX545" s="243"/>
      <c r="AY545" s="243"/>
      <c r="AZ545" s="243"/>
    </row>
    <row r="546" spans="1:52">
      <c r="A546" s="216" t="str">
        <f>IF(D546="","",VLOOKUP(G546,códigosORL!$H:$J,3,FALSE))</f>
        <v/>
      </c>
      <c r="B546" s="243"/>
      <c r="C546" s="259"/>
      <c r="D546" s="243"/>
      <c r="E546" s="243"/>
      <c r="F546" s="247"/>
      <c r="G546" s="243"/>
      <c r="H546" s="243"/>
      <c r="I546" s="243"/>
      <c r="J546" s="243"/>
      <c r="K546" s="243"/>
      <c r="L546" s="243"/>
      <c r="M546" s="243"/>
      <c r="N546" s="243"/>
      <c r="O546" s="243"/>
      <c r="P546" s="243"/>
      <c r="Q546" s="243"/>
      <c r="R546" s="243"/>
      <c r="S546" s="243"/>
      <c r="T546" s="243"/>
      <c r="U546" s="243"/>
      <c r="V546" s="243"/>
      <c r="W546" s="243"/>
      <c r="X546" s="243"/>
      <c r="Y546" s="244"/>
      <c r="Z546" s="243"/>
      <c r="AA546" s="245"/>
      <c r="AB546" s="246"/>
      <c r="AC546" s="246"/>
      <c r="AD546" s="246"/>
      <c r="AE546" s="131"/>
      <c r="AF546" s="244"/>
      <c r="AG546" s="243"/>
      <c r="AH546" s="243"/>
      <c r="AI546" s="243"/>
      <c r="AJ546" s="243"/>
      <c r="AK546" s="243"/>
      <c r="AL546" s="243"/>
      <c r="AM546" s="243"/>
      <c r="AN546" s="243"/>
      <c r="AO546" s="243"/>
      <c r="AP546" s="243"/>
      <c r="AQ546" s="243"/>
      <c r="AR546" s="243"/>
      <c r="AS546" s="243"/>
      <c r="AT546" s="243"/>
      <c r="AU546" s="243"/>
      <c r="AV546" s="243"/>
      <c r="AW546" s="243"/>
      <c r="AX546" s="243"/>
      <c r="AY546" s="243"/>
      <c r="AZ546" s="243"/>
    </row>
    <row r="547" spans="1:52">
      <c r="A547" s="216" t="str">
        <f>IF(D547="","",VLOOKUP(G547,códigosORL!$H:$J,3,FALSE))</f>
        <v/>
      </c>
      <c r="B547" s="243"/>
      <c r="C547" s="259"/>
      <c r="D547" s="243"/>
      <c r="E547" s="243"/>
      <c r="F547" s="247"/>
      <c r="G547" s="243"/>
      <c r="H547" s="243"/>
      <c r="I547" s="243"/>
      <c r="J547" s="243"/>
      <c r="K547" s="243"/>
      <c r="L547" s="243"/>
      <c r="M547" s="243"/>
      <c r="N547" s="243"/>
      <c r="O547" s="243"/>
      <c r="P547" s="243"/>
      <c r="Q547" s="243"/>
      <c r="R547" s="243"/>
      <c r="S547" s="243"/>
      <c r="T547" s="243"/>
      <c r="U547" s="243"/>
      <c r="V547" s="243"/>
      <c r="W547" s="243"/>
      <c r="X547" s="243"/>
      <c r="Y547" s="244"/>
      <c r="Z547" s="243"/>
      <c r="AA547" s="245"/>
      <c r="AB547" s="246"/>
      <c r="AC547" s="246"/>
      <c r="AD547" s="246"/>
      <c r="AE547" s="131"/>
      <c r="AF547" s="244"/>
      <c r="AG547" s="243"/>
      <c r="AH547" s="243"/>
      <c r="AI547" s="243"/>
      <c r="AJ547" s="243"/>
      <c r="AK547" s="243"/>
      <c r="AL547" s="243"/>
      <c r="AM547" s="243"/>
      <c r="AN547" s="243"/>
      <c r="AO547" s="243"/>
      <c r="AP547" s="243"/>
      <c r="AQ547" s="243"/>
      <c r="AR547" s="243"/>
      <c r="AS547" s="243"/>
      <c r="AT547" s="243"/>
      <c r="AU547" s="243"/>
      <c r="AV547" s="243"/>
      <c r="AW547" s="243"/>
      <c r="AX547" s="243"/>
      <c r="AY547" s="243"/>
      <c r="AZ547" s="243"/>
    </row>
    <row r="548" spans="1:52">
      <c r="A548" s="216" t="str">
        <f>IF(D548="","",VLOOKUP(G548,códigosORL!$H:$J,3,FALSE))</f>
        <v/>
      </c>
      <c r="B548" s="243"/>
      <c r="C548" s="259"/>
      <c r="D548" s="243"/>
      <c r="E548" s="243"/>
      <c r="F548" s="247"/>
      <c r="G548" s="243"/>
      <c r="H548" s="243"/>
      <c r="I548" s="243"/>
      <c r="J548" s="243"/>
      <c r="K548" s="243"/>
      <c r="L548" s="243"/>
      <c r="M548" s="243"/>
      <c r="N548" s="243"/>
      <c r="O548" s="243"/>
      <c r="P548" s="243"/>
      <c r="Q548" s="243"/>
      <c r="R548" s="243"/>
      <c r="S548" s="243"/>
      <c r="T548" s="243"/>
      <c r="U548" s="243"/>
      <c r="V548" s="243"/>
      <c r="W548" s="243"/>
      <c r="X548" s="243"/>
      <c r="Y548" s="244"/>
      <c r="Z548" s="243"/>
      <c r="AA548" s="245"/>
      <c r="AB548" s="246"/>
      <c r="AC548" s="246"/>
      <c r="AD548" s="246"/>
      <c r="AE548" s="131"/>
      <c r="AF548" s="244"/>
      <c r="AG548" s="243"/>
      <c r="AH548" s="243"/>
      <c r="AI548" s="243"/>
      <c r="AJ548" s="243"/>
      <c r="AK548" s="243"/>
      <c r="AL548" s="243"/>
      <c r="AM548" s="243"/>
      <c r="AN548" s="243"/>
      <c r="AO548" s="243"/>
      <c r="AP548" s="243"/>
      <c r="AQ548" s="243"/>
      <c r="AR548" s="243"/>
      <c r="AS548" s="243"/>
      <c r="AT548" s="243"/>
      <c r="AU548" s="243"/>
      <c r="AV548" s="243"/>
      <c r="AW548" s="243"/>
      <c r="AX548" s="243"/>
      <c r="AY548" s="243"/>
      <c r="AZ548" s="243"/>
    </row>
    <row r="549" spans="1:52">
      <c r="A549" s="216" t="str">
        <f>IF(D549="","",VLOOKUP(G549,códigosORL!$H:$J,3,FALSE))</f>
        <v/>
      </c>
      <c r="B549" s="243"/>
      <c r="C549" s="259"/>
      <c r="D549" s="243"/>
      <c r="E549" s="243"/>
      <c r="F549" s="247"/>
      <c r="G549" s="243"/>
      <c r="H549" s="243"/>
      <c r="I549" s="243"/>
      <c r="J549" s="243"/>
      <c r="K549" s="243"/>
      <c r="L549" s="243"/>
      <c r="M549" s="243"/>
      <c r="N549" s="243"/>
      <c r="O549" s="243"/>
      <c r="P549" s="243"/>
      <c r="Q549" s="243"/>
      <c r="R549" s="243"/>
      <c r="S549" s="243"/>
      <c r="T549" s="243"/>
      <c r="U549" s="243"/>
      <c r="V549" s="243"/>
      <c r="W549" s="243"/>
      <c r="X549" s="243"/>
      <c r="Y549" s="244"/>
      <c r="Z549" s="243"/>
      <c r="AA549" s="245"/>
      <c r="AB549" s="246"/>
      <c r="AC549" s="246"/>
      <c r="AD549" s="246"/>
      <c r="AE549" s="131"/>
      <c r="AF549" s="244"/>
      <c r="AG549" s="243"/>
      <c r="AH549" s="243"/>
      <c r="AI549" s="243"/>
      <c r="AJ549" s="243"/>
      <c r="AK549" s="243"/>
      <c r="AL549" s="243"/>
      <c r="AM549" s="243"/>
      <c r="AN549" s="243"/>
      <c r="AO549" s="243"/>
      <c r="AP549" s="243"/>
      <c r="AQ549" s="243"/>
      <c r="AR549" s="243"/>
      <c r="AS549" s="243"/>
      <c r="AT549" s="243"/>
      <c r="AU549" s="243"/>
      <c r="AV549" s="243"/>
      <c r="AW549" s="243"/>
      <c r="AX549" s="243"/>
      <c r="AY549" s="243"/>
      <c r="AZ549" s="243"/>
    </row>
    <row r="550" spans="1:52">
      <c r="A550" s="216" t="str">
        <f>IF(D550="","",VLOOKUP(G550,códigosORL!$H:$J,3,FALSE))</f>
        <v/>
      </c>
      <c r="B550" s="243"/>
      <c r="C550" s="259"/>
      <c r="D550" s="243"/>
      <c r="E550" s="243"/>
      <c r="F550" s="247"/>
      <c r="G550" s="243"/>
      <c r="H550" s="243"/>
      <c r="I550" s="243"/>
      <c r="J550" s="243"/>
      <c r="K550" s="243"/>
      <c r="L550" s="243"/>
      <c r="M550" s="243"/>
      <c r="N550" s="243"/>
      <c r="O550" s="243"/>
      <c r="P550" s="243"/>
      <c r="Q550" s="243"/>
      <c r="R550" s="243"/>
      <c r="S550" s="243"/>
      <c r="T550" s="243"/>
      <c r="U550" s="243"/>
      <c r="V550" s="243"/>
      <c r="W550" s="243"/>
      <c r="X550" s="243"/>
      <c r="Y550" s="244"/>
      <c r="Z550" s="243"/>
      <c r="AA550" s="245"/>
      <c r="AB550" s="246"/>
      <c r="AC550" s="246"/>
      <c r="AD550" s="246"/>
      <c r="AE550" s="131"/>
      <c r="AF550" s="244"/>
      <c r="AG550" s="243"/>
      <c r="AH550" s="243"/>
      <c r="AI550" s="243"/>
      <c r="AJ550" s="243"/>
      <c r="AK550" s="243"/>
      <c r="AL550" s="243"/>
      <c r="AM550" s="243"/>
      <c r="AN550" s="243"/>
      <c r="AO550" s="243"/>
      <c r="AP550" s="243"/>
      <c r="AQ550" s="243"/>
      <c r="AR550" s="243"/>
      <c r="AS550" s="243"/>
      <c r="AT550" s="243"/>
      <c r="AU550" s="243"/>
      <c r="AV550" s="243"/>
      <c r="AW550" s="243"/>
      <c r="AX550" s="243"/>
      <c r="AY550" s="243"/>
      <c r="AZ550" s="243"/>
    </row>
    <row r="551" spans="1:52">
      <c r="A551" s="216" t="str">
        <f>IF(D551="","",VLOOKUP(G551,códigosORL!$H:$J,3,FALSE))</f>
        <v/>
      </c>
      <c r="B551" s="243"/>
      <c r="C551" s="259"/>
      <c r="D551" s="243"/>
      <c r="E551" s="243"/>
      <c r="F551" s="247"/>
      <c r="G551" s="243"/>
      <c r="H551" s="243"/>
      <c r="I551" s="243"/>
      <c r="J551" s="243"/>
      <c r="K551" s="243"/>
      <c r="L551" s="243"/>
      <c r="M551" s="243"/>
      <c r="N551" s="243"/>
      <c r="O551" s="243"/>
      <c r="P551" s="243"/>
      <c r="Q551" s="243"/>
      <c r="R551" s="243"/>
      <c r="S551" s="243"/>
      <c r="T551" s="243"/>
      <c r="U551" s="243"/>
      <c r="V551" s="243"/>
      <c r="W551" s="243"/>
      <c r="X551" s="243"/>
      <c r="Y551" s="244"/>
      <c r="Z551" s="243"/>
      <c r="AA551" s="245"/>
      <c r="AB551" s="246"/>
      <c r="AC551" s="246"/>
      <c r="AD551" s="246"/>
      <c r="AE551" s="131"/>
      <c r="AF551" s="244"/>
      <c r="AG551" s="243"/>
      <c r="AH551" s="243"/>
      <c r="AI551" s="243"/>
      <c r="AJ551" s="243"/>
      <c r="AK551" s="243"/>
      <c r="AL551" s="243"/>
      <c r="AM551" s="243"/>
      <c r="AN551" s="243"/>
      <c r="AO551" s="243"/>
      <c r="AP551" s="243"/>
      <c r="AQ551" s="243"/>
      <c r="AR551" s="243"/>
      <c r="AS551" s="243"/>
      <c r="AT551" s="243"/>
      <c r="AU551" s="243"/>
      <c r="AV551" s="243"/>
      <c r="AW551" s="243"/>
      <c r="AX551" s="243"/>
      <c r="AY551" s="243"/>
      <c r="AZ551" s="243"/>
    </row>
    <row r="552" spans="1:52">
      <c r="A552" s="216" t="str">
        <f>IF(D552="","",VLOOKUP(G552,códigosORL!$H:$J,3,FALSE))</f>
        <v/>
      </c>
      <c r="B552" s="243"/>
      <c r="C552" s="259"/>
      <c r="D552" s="243"/>
      <c r="E552" s="243"/>
      <c r="F552" s="247"/>
      <c r="G552" s="243"/>
      <c r="H552" s="243"/>
      <c r="I552" s="243"/>
      <c r="J552" s="243"/>
      <c r="K552" s="243"/>
      <c r="L552" s="243"/>
      <c r="M552" s="243"/>
      <c r="N552" s="243"/>
      <c r="O552" s="243"/>
      <c r="P552" s="243"/>
      <c r="Q552" s="243"/>
      <c r="R552" s="243"/>
      <c r="S552" s="243"/>
      <c r="T552" s="243"/>
      <c r="U552" s="243"/>
      <c r="V552" s="243"/>
      <c r="W552" s="243"/>
      <c r="X552" s="243"/>
      <c r="Y552" s="244"/>
      <c r="Z552" s="243"/>
      <c r="AA552" s="245"/>
      <c r="AB552" s="246"/>
      <c r="AC552" s="246"/>
      <c r="AD552" s="246"/>
      <c r="AE552" s="131"/>
      <c r="AF552" s="244"/>
      <c r="AG552" s="243"/>
      <c r="AH552" s="243"/>
      <c r="AI552" s="243"/>
      <c r="AJ552" s="243"/>
      <c r="AK552" s="243"/>
      <c r="AL552" s="243"/>
      <c r="AM552" s="243"/>
      <c r="AN552" s="243"/>
      <c r="AO552" s="243"/>
      <c r="AP552" s="243"/>
      <c r="AQ552" s="243"/>
      <c r="AR552" s="243"/>
      <c r="AS552" s="243"/>
      <c r="AT552" s="243"/>
      <c r="AU552" s="243"/>
      <c r="AV552" s="243"/>
      <c r="AW552" s="243"/>
      <c r="AX552" s="243"/>
      <c r="AY552" s="243"/>
      <c r="AZ552" s="243"/>
    </row>
    <row r="553" spans="1:52">
      <c r="A553" s="216" t="str">
        <f>IF(D553="","",VLOOKUP(G553,códigosORL!$H:$J,3,FALSE))</f>
        <v/>
      </c>
      <c r="B553" s="243"/>
      <c r="C553" s="259"/>
      <c r="D553" s="243"/>
      <c r="E553" s="243"/>
      <c r="F553" s="247"/>
      <c r="G553" s="243"/>
      <c r="H553" s="243"/>
      <c r="I553" s="243"/>
      <c r="J553" s="243"/>
      <c r="K553" s="243"/>
      <c r="L553" s="243"/>
      <c r="M553" s="243"/>
      <c r="N553" s="243"/>
      <c r="O553" s="243"/>
      <c r="P553" s="243"/>
      <c r="Q553" s="243"/>
      <c r="R553" s="243"/>
      <c r="S553" s="243"/>
      <c r="T553" s="243"/>
      <c r="U553" s="243"/>
      <c r="V553" s="243"/>
      <c r="W553" s="243"/>
      <c r="X553" s="243"/>
      <c r="Y553" s="244"/>
      <c r="Z553" s="243"/>
      <c r="AA553" s="245"/>
      <c r="AB553" s="246"/>
      <c r="AC553" s="246"/>
      <c r="AD553" s="246"/>
      <c r="AE553" s="131"/>
      <c r="AF553" s="244"/>
      <c r="AG553" s="243"/>
      <c r="AH553" s="243"/>
      <c r="AI553" s="243"/>
      <c r="AJ553" s="243"/>
      <c r="AK553" s="243"/>
      <c r="AL553" s="243"/>
      <c r="AM553" s="243"/>
      <c r="AN553" s="243"/>
      <c r="AO553" s="243"/>
      <c r="AP553" s="243"/>
      <c r="AQ553" s="243"/>
      <c r="AR553" s="243"/>
      <c r="AS553" s="243"/>
      <c r="AT553" s="243"/>
      <c r="AU553" s="243"/>
      <c r="AV553" s="243"/>
      <c r="AW553" s="243"/>
      <c r="AX553" s="243"/>
      <c r="AY553" s="243"/>
      <c r="AZ553" s="243"/>
    </row>
    <row r="554" spans="1:52">
      <c r="A554" s="216" t="str">
        <f>IF(D554="","",VLOOKUP(G554,códigosORL!$H:$J,3,FALSE))</f>
        <v/>
      </c>
      <c r="B554" s="243"/>
      <c r="C554" s="259"/>
      <c r="D554" s="243"/>
      <c r="E554" s="243"/>
      <c r="F554" s="247"/>
      <c r="G554" s="243"/>
      <c r="H554" s="243"/>
      <c r="I554" s="243"/>
      <c r="J554" s="243"/>
      <c r="K554" s="243"/>
      <c r="L554" s="243"/>
      <c r="M554" s="243"/>
      <c r="N554" s="243"/>
      <c r="O554" s="243"/>
      <c r="P554" s="243"/>
      <c r="Q554" s="243"/>
      <c r="R554" s="243"/>
      <c r="S554" s="243"/>
      <c r="T554" s="243"/>
      <c r="U554" s="243"/>
      <c r="V554" s="243"/>
      <c r="W554" s="243"/>
      <c r="X554" s="243"/>
      <c r="Y554" s="244"/>
      <c r="Z554" s="243"/>
      <c r="AA554" s="245"/>
      <c r="AB554" s="246"/>
      <c r="AC554" s="246"/>
      <c r="AD554" s="246"/>
      <c r="AE554" s="131"/>
      <c r="AF554" s="244"/>
      <c r="AG554" s="243"/>
      <c r="AH554" s="243"/>
      <c r="AI554" s="243"/>
      <c r="AJ554" s="243"/>
      <c r="AK554" s="243"/>
      <c r="AL554" s="243"/>
      <c r="AM554" s="243"/>
      <c r="AN554" s="243"/>
      <c r="AO554" s="243"/>
      <c r="AP554" s="243"/>
      <c r="AQ554" s="243"/>
      <c r="AR554" s="243"/>
      <c r="AS554" s="243"/>
      <c r="AT554" s="243"/>
      <c r="AU554" s="243"/>
      <c r="AV554" s="243"/>
      <c r="AW554" s="243"/>
      <c r="AX554" s="243"/>
      <c r="AY554" s="243"/>
      <c r="AZ554" s="243"/>
    </row>
    <row r="555" spans="1:52">
      <c r="A555" s="216" t="str">
        <f>IF(D555="","",VLOOKUP(G555,códigosORL!$H:$J,3,FALSE))</f>
        <v/>
      </c>
      <c r="B555" s="243"/>
      <c r="C555" s="259"/>
      <c r="D555" s="243"/>
      <c r="E555" s="243"/>
      <c r="F555" s="247"/>
      <c r="G555" s="243"/>
      <c r="H555" s="243"/>
      <c r="I555" s="243"/>
      <c r="J555" s="243"/>
      <c r="K555" s="243"/>
      <c r="L555" s="243"/>
      <c r="M555" s="243"/>
      <c r="N555" s="243"/>
      <c r="O555" s="243"/>
      <c r="P555" s="243"/>
      <c r="Q555" s="243"/>
      <c r="R555" s="243"/>
      <c r="S555" s="243"/>
      <c r="T555" s="243"/>
      <c r="U555" s="243"/>
      <c r="V555" s="243"/>
      <c r="W555" s="243"/>
      <c r="X555" s="243"/>
      <c r="Y555" s="244"/>
      <c r="Z555" s="243"/>
      <c r="AA555" s="245"/>
      <c r="AB555" s="246"/>
      <c r="AC555" s="246"/>
      <c r="AD555" s="246"/>
      <c r="AE555" s="131"/>
      <c r="AF555" s="244"/>
      <c r="AG555" s="243"/>
      <c r="AH555" s="243"/>
      <c r="AI555" s="243"/>
      <c r="AJ555" s="243"/>
      <c r="AK555" s="243"/>
      <c r="AL555" s="243"/>
      <c r="AM555" s="243"/>
      <c r="AN555" s="243"/>
      <c r="AO555" s="243"/>
      <c r="AP555" s="243"/>
      <c r="AQ555" s="243"/>
      <c r="AR555" s="243"/>
      <c r="AS555" s="243"/>
      <c r="AT555" s="243"/>
      <c r="AU555" s="243"/>
      <c r="AV555" s="243"/>
      <c r="AW555" s="243"/>
      <c r="AX555" s="243"/>
      <c r="AY555" s="243"/>
      <c r="AZ555" s="243"/>
    </row>
    <row r="556" spans="1:52">
      <c r="A556" s="216" t="str">
        <f>IF(D556="","",VLOOKUP(G556,códigosORL!$H:$J,3,FALSE))</f>
        <v/>
      </c>
      <c r="B556" s="243"/>
      <c r="C556" s="259"/>
      <c r="D556" s="243"/>
      <c r="E556" s="243"/>
      <c r="F556" s="247"/>
      <c r="G556" s="243"/>
      <c r="H556" s="243"/>
      <c r="I556" s="243"/>
      <c r="J556" s="243"/>
      <c r="K556" s="243"/>
      <c r="L556" s="243"/>
      <c r="M556" s="243"/>
      <c r="N556" s="243"/>
      <c r="O556" s="243"/>
      <c r="P556" s="243"/>
      <c r="Q556" s="243"/>
      <c r="R556" s="243"/>
      <c r="S556" s="243"/>
      <c r="T556" s="243"/>
      <c r="U556" s="243"/>
      <c r="V556" s="243"/>
      <c r="W556" s="243"/>
      <c r="X556" s="243"/>
      <c r="Y556" s="244"/>
      <c r="Z556" s="243"/>
      <c r="AA556" s="245"/>
      <c r="AB556" s="246"/>
      <c r="AC556" s="246"/>
      <c r="AD556" s="246"/>
      <c r="AE556" s="131"/>
      <c r="AF556" s="244"/>
      <c r="AG556" s="243"/>
      <c r="AH556" s="243"/>
      <c r="AI556" s="243"/>
      <c r="AJ556" s="243"/>
      <c r="AK556" s="243"/>
      <c r="AL556" s="243"/>
      <c r="AM556" s="243"/>
      <c r="AN556" s="243"/>
      <c r="AO556" s="243"/>
      <c r="AP556" s="243"/>
      <c r="AQ556" s="243"/>
      <c r="AR556" s="243"/>
      <c r="AS556" s="243"/>
      <c r="AT556" s="243"/>
      <c r="AU556" s="243"/>
      <c r="AV556" s="243"/>
      <c r="AW556" s="243"/>
      <c r="AX556" s="243"/>
      <c r="AY556" s="243"/>
      <c r="AZ556" s="243"/>
    </row>
    <row r="557" spans="1:52">
      <c r="A557" s="216" t="str">
        <f>IF(D557="","",VLOOKUP(G557,códigosORL!$H:$J,3,FALSE))</f>
        <v/>
      </c>
      <c r="B557" s="243"/>
      <c r="C557" s="259"/>
      <c r="D557" s="243"/>
      <c r="E557" s="243"/>
      <c r="F557" s="247"/>
      <c r="G557" s="243"/>
      <c r="H557" s="243"/>
      <c r="I557" s="243"/>
      <c r="J557" s="243"/>
      <c r="K557" s="243"/>
      <c r="L557" s="243"/>
      <c r="M557" s="243"/>
      <c r="N557" s="243"/>
      <c r="O557" s="243"/>
      <c r="P557" s="243"/>
      <c r="Q557" s="243"/>
      <c r="R557" s="243"/>
      <c r="S557" s="243"/>
      <c r="T557" s="243"/>
      <c r="U557" s="243"/>
      <c r="V557" s="243"/>
      <c r="W557" s="243"/>
      <c r="X557" s="243"/>
      <c r="Y557" s="244"/>
      <c r="Z557" s="243"/>
      <c r="AA557" s="245"/>
      <c r="AB557" s="246"/>
      <c r="AC557" s="246"/>
      <c r="AD557" s="246"/>
      <c r="AE557" s="131"/>
      <c r="AF557" s="244"/>
      <c r="AG557" s="243"/>
      <c r="AH557" s="243"/>
      <c r="AI557" s="243"/>
      <c r="AJ557" s="243"/>
      <c r="AK557" s="243"/>
      <c r="AL557" s="243"/>
      <c r="AM557" s="243"/>
      <c r="AN557" s="243"/>
      <c r="AO557" s="243"/>
      <c r="AP557" s="243"/>
      <c r="AQ557" s="243"/>
      <c r="AR557" s="243"/>
      <c r="AS557" s="243"/>
      <c r="AT557" s="243"/>
      <c r="AU557" s="243"/>
      <c r="AV557" s="243"/>
      <c r="AW557" s="243"/>
      <c r="AX557" s="243"/>
      <c r="AY557" s="243"/>
      <c r="AZ557" s="243"/>
    </row>
    <row r="558" spans="1:52">
      <c r="A558" s="216" t="str">
        <f>IF(D558="","",VLOOKUP(G558,códigosORL!$H:$J,3,FALSE))</f>
        <v/>
      </c>
      <c r="B558" s="243"/>
      <c r="C558" s="259"/>
      <c r="D558" s="243"/>
      <c r="E558" s="243"/>
      <c r="F558" s="247"/>
      <c r="G558" s="243"/>
      <c r="H558" s="243"/>
      <c r="I558" s="243"/>
      <c r="J558" s="243"/>
      <c r="K558" s="243"/>
      <c r="L558" s="243"/>
      <c r="M558" s="243"/>
      <c r="N558" s="243"/>
      <c r="O558" s="243"/>
      <c r="P558" s="243"/>
      <c r="Q558" s="243"/>
      <c r="R558" s="243"/>
      <c r="S558" s="243"/>
      <c r="T558" s="243"/>
      <c r="U558" s="243"/>
      <c r="V558" s="243"/>
      <c r="W558" s="243"/>
      <c r="X558" s="243"/>
      <c r="Y558" s="244"/>
      <c r="Z558" s="243"/>
      <c r="AA558" s="245"/>
      <c r="AB558" s="246"/>
      <c r="AC558" s="246"/>
      <c r="AD558" s="246"/>
      <c r="AE558" s="131"/>
      <c r="AF558" s="244"/>
      <c r="AG558" s="243"/>
      <c r="AH558" s="243"/>
      <c r="AI558" s="243"/>
      <c r="AJ558" s="243"/>
      <c r="AK558" s="243"/>
      <c r="AL558" s="243"/>
      <c r="AM558" s="243"/>
      <c r="AN558" s="243"/>
      <c r="AO558" s="243"/>
      <c r="AP558" s="243"/>
      <c r="AQ558" s="243"/>
      <c r="AR558" s="243"/>
      <c r="AS558" s="243"/>
      <c r="AT558" s="243"/>
      <c r="AU558" s="243"/>
      <c r="AV558" s="243"/>
      <c r="AW558" s="243"/>
      <c r="AX558" s="243"/>
      <c r="AY558" s="243"/>
      <c r="AZ558" s="243"/>
    </row>
    <row r="559" spans="1:52">
      <c r="A559" s="216" t="str">
        <f>IF(D559="","",VLOOKUP(G559,códigosORL!$H:$J,3,FALSE))</f>
        <v/>
      </c>
      <c r="B559" s="243"/>
      <c r="C559" s="259"/>
      <c r="D559" s="243"/>
      <c r="E559" s="243"/>
      <c r="F559" s="247"/>
      <c r="G559" s="243"/>
      <c r="H559" s="243"/>
      <c r="I559" s="243"/>
      <c r="J559" s="243"/>
      <c r="K559" s="243"/>
      <c r="L559" s="243"/>
      <c r="M559" s="243"/>
      <c r="N559" s="243"/>
      <c r="O559" s="243"/>
      <c r="P559" s="243"/>
      <c r="Q559" s="243"/>
      <c r="R559" s="243"/>
      <c r="S559" s="243"/>
      <c r="T559" s="243"/>
      <c r="U559" s="243"/>
      <c r="V559" s="243"/>
      <c r="W559" s="243"/>
      <c r="X559" s="243"/>
      <c r="Y559" s="244"/>
      <c r="Z559" s="243"/>
      <c r="AA559" s="245"/>
      <c r="AB559" s="246"/>
      <c r="AC559" s="246"/>
      <c r="AD559" s="246"/>
      <c r="AE559" s="131"/>
      <c r="AF559" s="244"/>
      <c r="AG559" s="243"/>
      <c r="AH559" s="243"/>
      <c r="AI559" s="243"/>
      <c r="AJ559" s="243"/>
      <c r="AK559" s="243"/>
      <c r="AL559" s="243"/>
      <c r="AM559" s="243"/>
      <c r="AN559" s="243"/>
      <c r="AO559" s="243"/>
      <c r="AP559" s="243"/>
      <c r="AQ559" s="243"/>
      <c r="AR559" s="243"/>
      <c r="AS559" s="243"/>
      <c r="AT559" s="243"/>
      <c r="AU559" s="243"/>
      <c r="AV559" s="243"/>
      <c r="AW559" s="243"/>
      <c r="AX559" s="243"/>
      <c r="AY559" s="243"/>
      <c r="AZ559" s="243"/>
    </row>
    <row r="560" spans="1:52">
      <c r="A560" s="216" t="str">
        <f>IF(D560="","",VLOOKUP(G560,códigosORL!$H:$J,3,FALSE))</f>
        <v/>
      </c>
      <c r="B560" s="243"/>
      <c r="C560" s="259"/>
      <c r="D560" s="243"/>
      <c r="E560" s="243"/>
      <c r="F560" s="247"/>
      <c r="G560" s="243"/>
      <c r="H560" s="243"/>
      <c r="I560" s="243"/>
      <c r="J560" s="243"/>
      <c r="K560" s="243"/>
      <c r="L560" s="243"/>
      <c r="M560" s="243"/>
      <c r="N560" s="243"/>
      <c r="O560" s="243"/>
      <c r="P560" s="243"/>
      <c r="Q560" s="243"/>
      <c r="R560" s="243"/>
      <c r="S560" s="243"/>
      <c r="T560" s="243"/>
      <c r="U560" s="243"/>
      <c r="V560" s="243"/>
      <c r="W560" s="243"/>
      <c r="X560" s="243"/>
      <c r="Y560" s="244"/>
      <c r="Z560" s="243"/>
      <c r="AA560" s="245"/>
      <c r="AB560" s="246"/>
      <c r="AC560" s="246"/>
      <c r="AD560" s="246"/>
      <c r="AE560" s="131"/>
      <c r="AF560" s="244"/>
      <c r="AG560" s="243"/>
      <c r="AH560" s="243"/>
      <c r="AI560" s="243"/>
      <c r="AJ560" s="243"/>
      <c r="AK560" s="243"/>
      <c r="AL560" s="243"/>
      <c r="AM560" s="243"/>
      <c r="AN560" s="243"/>
      <c r="AO560" s="243"/>
      <c r="AP560" s="243"/>
      <c r="AQ560" s="243"/>
      <c r="AR560" s="243"/>
      <c r="AS560" s="243"/>
      <c r="AT560" s="243"/>
      <c r="AU560" s="243"/>
      <c r="AV560" s="243"/>
      <c r="AW560" s="243"/>
      <c r="AX560" s="243"/>
      <c r="AY560" s="243"/>
      <c r="AZ560" s="243"/>
    </row>
    <row r="561" spans="1:52">
      <c r="A561" s="216" t="str">
        <f>IF(D561="","",VLOOKUP(G561,códigosORL!$H:$J,3,FALSE))</f>
        <v/>
      </c>
      <c r="B561" s="243"/>
      <c r="C561" s="259"/>
      <c r="D561" s="243"/>
      <c r="E561" s="243"/>
      <c r="F561" s="247"/>
      <c r="G561" s="243"/>
      <c r="H561" s="243"/>
      <c r="I561" s="243"/>
      <c r="J561" s="243"/>
      <c r="K561" s="243"/>
      <c r="L561" s="243"/>
      <c r="M561" s="243"/>
      <c r="N561" s="243"/>
      <c r="O561" s="243"/>
      <c r="P561" s="243"/>
      <c r="Q561" s="243"/>
      <c r="R561" s="243"/>
      <c r="S561" s="243"/>
      <c r="T561" s="243"/>
      <c r="U561" s="243"/>
      <c r="V561" s="243"/>
      <c r="W561" s="243"/>
      <c r="X561" s="243"/>
      <c r="Y561" s="244"/>
      <c r="Z561" s="243"/>
      <c r="AA561" s="245"/>
      <c r="AB561" s="246"/>
      <c r="AC561" s="246"/>
      <c r="AD561" s="246"/>
      <c r="AE561" s="131"/>
      <c r="AF561" s="244"/>
      <c r="AG561" s="243"/>
      <c r="AH561" s="243"/>
      <c r="AI561" s="243"/>
      <c r="AJ561" s="243"/>
      <c r="AK561" s="243"/>
      <c r="AL561" s="243"/>
      <c r="AM561" s="243"/>
      <c r="AN561" s="243"/>
      <c r="AO561" s="243"/>
      <c r="AP561" s="243"/>
      <c r="AQ561" s="243"/>
      <c r="AR561" s="243"/>
      <c r="AS561" s="243"/>
      <c r="AT561" s="243"/>
      <c r="AU561" s="243"/>
      <c r="AV561" s="243"/>
      <c r="AW561" s="243"/>
      <c r="AX561" s="243"/>
      <c r="AY561" s="243"/>
      <c r="AZ561" s="243"/>
    </row>
    <row r="562" spans="1:52">
      <c r="A562" s="216" t="str">
        <f>IF(D562="","",VLOOKUP(G562,códigosORL!$H:$J,3,FALSE))</f>
        <v/>
      </c>
      <c r="B562" s="243"/>
      <c r="C562" s="259"/>
      <c r="D562" s="243"/>
      <c r="E562" s="243"/>
      <c r="F562" s="247"/>
      <c r="G562" s="243"/>
      <c r="H562" s="243"/>
      <c r="I562" s="243"/>
      <c r="J562" s="243"/>
      <c r="K562" s="243"/>
      <c r="L562" s="243"/>
      <c r="M562" s="243"/>
      <c r="N562" s="243"/>
      <c r="O562" s="243"/>
      <c r="P562" s="243"/>
      <c r="Q562" s="243"/>
      <c r="R562" s="243"/>
      <c r="S562" s="243"/>
      <c r="T562" s="243"/>
      <c r="U562" s="243"/>
      <c r="V562" s="243"/>
      <c r="W562" s="243"/>
      <c r="X562" s="243"/>
      <c r="Y562" s="244"/>
      <c r="Z562" s="243"/>
      <c r="AA562" s="245"/>
      <c r="AB562" s="246"/>
      <c r="AC562" s="246"/>
      <c r="AD562" s="246"/>
      <c r="AE562" s="131"/>
      <c r="AF562" s="244"/>
      <c r="AG562" s="243"/>
      <c r="AH562" s="243"/>
      <c r="AI562" s="243"/>
      <c r="AJ562" s="243"/>
      <c r="AK562" s="243"/>
      <c r="AL562" s="243"/>
      <c r="AM562" s="243"/>
      <c r="AN562" s="243"/>
      <c r="AO562" s="243"/>
      <c r="AP562" s="243"/>
      <c r="AQ562" s="243"/>
      <c r="AR562" s="243"/>
      <c r="AS562" s="243"/>
      <c r="AT562" s="243"/>
      <c r="AU562" s="243"/>
      <c r="AV562" s="243"/>
      <c r="AW562" s="243"/>
      <c r="AX562" s="243"/>
      <c r="AY562" s="243"/>
      <c r="AZ562" s="243"/>
    </row>
    <row r="563" spans="1:52">
      <c r="A563" s="216" t="str">
        <f>IF(D563="","",VLOOKUP(G563,códigosORL!$H:$J,3,FALSE))</f>
        <v/>
      </c>
      <c r="B563" s="243"/>
      <c r="C563" s="259"/>
      <c r="D563" s="243"/>
      <c r="E563" s="243"/>
      <c r="F563" s="247"/>
      <c r="G563" s="243"/>
      <c r="H563" s="243"/>
      <c r="I563" s="243"/>
      <c r="J563" s="243"/>
      <c r="K563" s="243"/>
      <c r="L563" s="243"/>
      <c r="M563" s="243"/>
      <c r="N563" s="243"/>
      <c r="O563" s="243"/>
      <c r="P563" s="243"/>
      <c r="Q563" s="243"/>
      <c r="R563" s="243"/>
      <c r="S563" s="243"/>
      <c r="T563" s="243"/>
      <c r="U563" s="243"/>
      <c r="V563" s="243"/>
      <c r="W563" s="243"/>
      <c r="X563" s="243"/>
      <c r="Y563" s="244"/>
      <c r="Z563" s="243"/>
      <c r="AA563" s="245"/>
      <c r="AB563" s="246"/>
      <c r="AC563" s="246"/>
      <c r="AD563" s="246"/>
      <c r="AE563" s="131"/>
      <c r="AF563" s="244"/>
      <c r="AG563" s="243"/>
      <c r="AH563" s="243"/>
      <c r="AI563" s="243"/>
      <c r="AJ563" s="243"/>
      <c r="AK563" s="243"/>
      <c r="AL563" s="243"/>
      <c r="AM563" s="243"/>
      <c r="AN563" s="243"/>
      <c r="AO563" s="243"/>
      <c r="AP563" s="243"/>
      <c r="AQ563" s="243"/>
      <c r="AR563" s="243"/>
      <c r="AS563" s="243"/>
      <c r="AT563" s="243"/>
      <c r="AU563" s="243"/>
      <c r="AV563" s="243"/>
      <c r="AW563" s="243"/>
      <c r="AX563" s="243"/>
      <c r="AY563" s="243"/>
      <c r="AZ563" s="243"/>
    </row>
    <row r="564" spans="1:52">
      <c r="A564" s="216" t="str">
        <f>IF(D564="","",VLOOKUP(G564,códigosORL!$H:$J,3,FALSE))</f>
        <v/>
      </c>
      <c r="B564" s="243"/>
      <c r="C564" s="259"/>
      <c r="D564" s="243"/>
      <c r="E564" s="243"/>
      <c r="F564" s="247"/>
      <c r="G564" s="243"/>
      <c r="H564" s="243"/>
      <c r="I564" s="243"/>
      <c r="J564" s="243"/>
      <c r="K564" s="243"/>
      <c r="L564" s="243"/>
      <c r="M564" s="243"/>
      <c r="N564" s="243"/>
      <c r="O564" s="243"/>
      <c r="P564" s="243"/>
      <c r="Q564" s="243"/>
      <c r="R564" s="243"/>
      <c r="S564" s="243"/>
      <c r="T564" s="243"/>
      <c r="U564" s="243"/>
      <c r="V564" s="243"/>
      <c r="W564" s="243"/>
      <c r="X564" s="243"/>
      <c r="Y564" s="244"/>
      <c r="Z564" s="243"/>
      <c r="AA564" s="245"/>
      <c r="AB564" s="246"/>
      <c r="AC564" s="246"/>
      <c r="AD564" s="246"/>
      <c r="AE564" s="131"/>
      <c r="AF564" s="244"/>
      <c r="AG564" s="243"/>
      <c r="AH564" s="243"/>
      <c r="AI564" s="243"/>
      <c r="AJ564" s="243"/>
      <c r="AK564" s="243"/>
      <c r="AL564" s="243"/>
      <c r="AM564" s="243"/>
      <c r="AN564" s="243"/>
      <c r="AO564" s="243"/>
      <c r="AP564" s="243"/>
      <c r="AQ564" s="243"/>
      <c r="AR564" s="243"/>
      <c r="AS564" s="243"/>
      <c r="AT564" s="243"/>
      <c r="AU564" s="243"/>
      <c r="AV564" s="243"/>
      <c r="AW564" s="243"/>
      <c r="AX564" s="243"/>
      <c r="AY564" s="243"/>
      <c r="AZ564" s="243"/>
    </row>
    <row r="565" spans="1:52">
      <c r="A565" s="216" t="str">
        <f>IF(D565="","",VLOOKUP(G565,códigosORL!$H:$J,3,FALSE))</f>
        <v/>
      </c>
      <c r="B565" s="243"/>
      <c r="C565" s="259"/>
      <c r="D565" s="243"/>
      <c r="E565" s="243"/>
      <c r="F565" s="247"/>
      <c r="G565" s="243"/>
      <c r="H565" s="243"/>
      <c r="I565" s="243"/>
      <c r="J565" s="243"/>
      <c r="K565" s="243"/>
      <c r="L565" s="243"/>
      <c r="M565" s="243"/>
      <c r="N565" s="243"/>
      <c r="O565" s="243"/>
      <c r="P565" s="243"/>
      <c r="Q565" s="243"/>
      <c r="R565" s="243"/>
      <c r="S565" s="243"/>
      <c r="T565" s="243"/>
      <c r="U565" s="243"/>
      <c r="V565" s="243"/>
      <c r="W565" s="243"/>
      <c r="X565" s="243"/>
      <c r="Y565" s="244"/>
      <c r="Z565" s="243"/>
      <c r="AA565" s="245"/>
      <c r="AB565" s="246"/>
      <c r="AC565" s="246"/>
      <c r="AD565" s="246"/>
      <c r="AE565" s="131"/>
      <c r="AF565" s="244"/>
      <c r="AG565" s="243"/>
      <c r="AH565" s="243"/>
      <c r="AI565" s="243"/>
      <c r="AJ565" s="243"/>
      <c r="AK565" s="243"/>
      <c r="AL565" s="243"/>
      <c r="AM565" s="243"/>
      <c r="AN565" s="243"/>
      <c r="AO565" s="243"/>
      <c r="AP565" s="243"/>
      <c r="AQ565" s="243"/>
      <c r="AR565" s="243"/>
      <c r="AS565" s="243"/>
      <c r="AT565" s="243"/>
      <c r="AU565" s="243"/>
      <c r="AV565" s="243"/>
      <c r="AW565" s="243"/>
      <c r="AX565" s="243"/>
      <c r="AY565" s="243"/>
      <c r="AZ565" s="243"/>
    </row>
    <row r="566" spans="1:52">
      <c r="A566" s="216" t="str">
        <f>IF(D566="","",VLOOKUP(G566,códigosORL!$H:$J,3,FALSE))</f>
        <v/>
      </c>
      <c r="B566" s="243"/>
      <c r="C566" s="259"/>
      <c r="D566" s="243"/>
      <c r="E566" s="243"/>
      <c r="F566" s="247"/>
      <c r="G566" s="243"/>
      <c r="H566" s="243"/>
      <c r="I566" s="243"/>
      <c r="J566" s="243"/>
      <c r="K566" s="243"/>
      <c r="L566" s="243"/>
      <c r="M566" s="243"/>
      <c r="N566" s="243"/>
      <c r="O566" s="243"/>
      <c r="P566" s="243"/>
      <c r="Q566" s="243"/>
      <c r="R566" s="243"/>
      <c r="S566" s="243"/>
      <c r="T566" s="243"/>
      <c r="U566" s="243"/>
      <c r="V566" s="243"/>
      <c r="W566" s="243"/>
      <c r="X566" s="243"/>
      <c r="Y566" s="244"/>
      <c r="Z566" s="243"/>
      <c r="AA566" s="245"/>
      <c r="AB566" s="246"/>
      <c r="AC566" s="246"/>
      <c r="AD566" s="246"/>
      <c r="AE566" s="131"/>
      <c r="AF566" s="244"/>
      <c r="AG566" s="243"/>
      <c r="AH566" s="243"/>
      <c r="AI566" s="243"/>
      <c r="AJ566" s="243"/>
      <c r="AK566" s="243"/>
      <c r="AL566" s="243"/>
      <c r="AM566" s="243"/>
      <c r="AN566" s="243"/>
      <c r="AO566" s="243"/>
      <c r="AP566" s="243"/>
      <c r="AQ566" s="243"/>
      <c r="AR566" s="243"/>
      <c r="AS566" s="243"/>
      <c r="AT566" s="243"/>
      <c r="AU566" s="243"/>
      <c r="AV566" s="243"/>
      <c r="AW566" s="243"/>
      <c r="AX566" s="243"/>
      <c r="AY566" s="243"/>
      <c r="AZ566" s="243"/>
    </row>
    <row r="567" spans="1:52">
      <c r="A567" s="216" t="str">
        <f>IF(D567="","",VLOOKUP(G567,códigosORL!$H:$J,3,FALSE))</f>
        <v/>
      </c>
      <c r="B567" s="243"/>
      <c r="C567" s="259"/>
      <c r="D567" s="243"/>
      <c r="E567" s="243"/>
      <c r="F567" s="247"/>
      <c r="G567" s="243"/>
      <c r="H567" s="243"/>
      <c r="I567" s="243"/>
      <c r="J567" s="243"/>
      <c r="K567" s="243"/>
      <c r="L567" s="243"/>
      <c r="M567" s="243"/>
      <c r="N567" s="243"/>
      <c r="O567" s="243"/>
      <c r="P567" s="243"/>
      <c r="Q567" s="243"/>
      <c r="R567" s="243"/>
      <c r="S567" s="243"/>
      <c r="T567" s="243"/>
      <c r="U567" s="243"/>
      <c r="V567" s="243"/>
      <c r="W567" s="243"/>
      <c r="X567" s="243"/>
      <c r="Y567" s="244"/>
      <c r="Z567" s="243"/>
      <c r="AA567" s="245"/>
      <c r="AB567" s="246"/>
      <c r="AC567" s="246"/>
      <c r="AD567" s="246"/>
      <c r="AE567" s="131"/>
      <c r="AF567" s="244"/>
      <c r="AG567" s="243"/>
      <c r="AH567" s="243"/>
      <c r="AI567" s="243"/>
      <c r="AJ567" s="243"/>
      <c r="AK567" s="243"/>
      <c r="AL567" s="243"/>
      <c r="AM567" s="243"/>
      <c r="AN567" s="243"/>
      <c r="AO567" s="243"/>
      <c r="AP567" s="243"/>
      <c r="AQ567" s="243"/>
      <c r="AR567" s="243"/>
      <c r="AS567" s="243"/>
      <c r="AT567" s="243"/>
      <c r="AU567" s="243"/>
      <c r="AV567" s="243"/>
      <c r="AW567" s="243"/>
      <c r="AX567" s="243"/>
      <c r="AY567" s="243"/>
      <c r="AZ567" s="243"/>
    </row>
    <row r="568" spans="1:52">
      <c r="A568" s="216" t="str">
        <f>IF(D568="","",VLOOKUP(G568,códigosORL!$H:$J,3,FALSE))</f>
        <v/>
      </c>
      <c r="B568" s="243"/>
      <c r="C568" s="259"/>
      <c r="D568" s="243"/>
      <c r="E568" s="243"/>
      <c r="F568" s="247"/>
      <c r="G568" s="243"/>
      <c r="H568" s="243"/>
      <c r="I568" s="243"/>
      <c r="J568" s="243"/>
      <c r="K568" s="243"/>
      <c r="L568" s="243"/>
      <c r="M568" s="243"/>
      <c r="N568" s="243"/>
      <c r="O568" s="243"/>
      <c r="P568" s="243"/>
      <c r="Q568" s="243"/>
      <c r="R568" s="243"/>
      <c r="S568" s="243"/>
      <c r="T568" s="243"/>
      <c r="U568" s="243"/>
      <c r="V568" s="243"/>
      <c r="W568" s="243"/>
      <c r="X568" s="243"/>
      <c r="Y568" s="244"/>
      <c r="Z568" s="243"/>
      <c r="AA568" s="245"/>
      <c r="AB568" s="246"/>
      <c r="AC568" s="246"/>
      <c r="AD568" s="246"/>
      <c r="AE568" s="131"/>
      <c r="AF568" s="244"/>
      <c r="AG568" s="243"/>
      <c r="AH568" s="243"/>
      <c r="AI568" s="243"/>
      <c r="AJ568" s="243"/>
      <c r="AK568" s="243"/>
      <c r="AL568" s="243"/>
      <c r="AM568" s="243"/>
      <c r="AN568" s="243"/>
      <c r="AO568" s="243"/>
      <c r="AP568" s="243"/>
      <c r="AQ568" s="243"/>
      <c r="AR568" s="243"/>
      <c r="AS568" s="243"/>
      <c r="AT568" s="243"/>
      <c r="AU568" s="243"/>
      <c r="AV568" s="243"/>
      <c r="AW568" s="243"/>
      <c r="AX568" s="243"/>
      <c r="AY568" s="243"/>
      <c r="AZ568" s="243"/>
    </row>
    <row r="569" spans="1:52">
      <c r="A569" s="216" t="str">
        <f>IF(D569="","",VLOOKUP(G569,códigosORL!$H:$J,3,FALSE))</f>
        <v/>
      </c>
      <c r="B569" s="243"/>
      <c r="C569" s="259"/>
      <c r="D569" s="243"/>
      <c r="E569" s="243"/>
      <c r="F569" s="247"/>
      <c r="G569" s="243"/>
      <c r="H569" s="243"/>
      <c r="I569" s="243"/>
      <c r="J569" s="243"/>
      <c r="K569" s="243"/>
      <c r="L569" s="243"/>
      <c r="M569" s="243"/>
      <c r="N569" s="243"/>
      <c r="O569" s="243"/>
      <c r="P569" s="243"/>
      <c r="Q569" s="243"/>
      <c r="R569" s="243"/>
      <c r="S569" s="243"/>
      <c r="T569" s="243"/>
      <c r="U569" s="243"/>
      <c r="V569" s="243"/>
      <c r="W569" s="243"/>
      <c r="X569" s="243"/>
      <c r="Y569" s="244"/>
      <c r="Z569" s="243"/>
      <c r="AA569" s="245"/>
      <c r="AB569" s="246"/>
      <c r="AC569" s="246"/>
      <c r="AD569" s="246"/>
      <c r="AE569" s="131"/>
      <c r="AF569" s="244"/>
      <c r="AG569" s="243"/>
      <c r="AH569" s="243"/>
      <c r="AI569" s="243"/>
      <c r="AJ569" s="243"/>
      <c r="AK569" s="243"/>
      <c r="AL569" s="243"/>
      <c r="AM569" s="243"/>
      <c r="AN569" s="243"/>
      <c r="AO569" s="243"/>
      <c r="AP569" s="243"/>
      <c r="AQ569" s="243"/>
      <c r="AR569" s="243"/>
      <c r="AS569" s="243"/>
      <c r="AT569" s="243"/>
      <c r="AU569" s="243"/>
      <c r="AV569" s="243"/>
      <c r="AW569" s="243"/>
      <c r="AX569" s="243"/>
      <c r="AY569" s="243"/>
      <c r="AZ569" s="243"/>
    </row>
    <row r="570" spans="1:52">
      <c r="A570" s="216" t="str">
        <f>IF(D570="","",VLOOKUP(G570,códigosORL!$H:$J,3,FALSE))</f>
        <v/>
      </c>
      <c r="B570" s="243"/>
      <c r="C570" s="259"/>
      <c r="D570" s="243"/>
      <c r="E570" s="243"/>
      <c r="F570" s="247"/>
      <c r="G570" s="243"/>
      <c r="H570" s="243"/>
      <c r="I570" s="243"/>
      <c r="J570" s="243"/>
      <c r="K570" s="243"/>
      <c r="L570" s="243"/>
      <c r="M570" s="243"/>
      <c r="N570" s="243"/>
      <c r="O570" s="243"/>
      <c r="P570" s="243"/>
      <c r="Q570" s="243"/>
      <c r="R570" s="243"/>
      <c r="S570" s="243"/>
      <c r="T570" s="243"/>
      <c r="U570" s="243"/>
      <c r="V570" s="243"/>
      <c r="W570" s="243"/>
      <c r="X570" s="243"/>
      <c r="Y570" s="244"/>
      <c r="Z570" s="243"/>
      <c r="AA570" s="245"/>
      <c r="AB570" s="246"/>
      <c r="AC570" s="246"/>
      <c r="AD570" s="246"/>
      <c r="AE570" s="131"/>
      <c r="AF570" s="244"/>
      <c r="AG570" s="243"/>
      <c r="AH570" s="243"/>
      <c r="AI570" s="243"/>
      <c r="AJ570" s="243"/>
      <c r="AK570" s="243"/>
      <c r="AL570" s="243"/>
      <c r="AM570" s="243"/>
      <c r="AN570" s="243"/>
      <c r="AO570" s="243"/>
      <c r="AP570" s="243"/>
      <c r="AQ570" s="243"/>
      <c r="AR570" s="243"/>
      <c r="AS570" s="243"/>
      <c r="AT570" s="243"/>
      <c r="AU570" s="243"/>
      <c r="AV570" s="243"/>
      <c r="AW570" s="243"/>
      <c r="AX570" s="243"/>
      <c r="AY570" s="243"/>
      <c r="AZ570" s="243"/>
    </row>
    <row r="571" spans="1:52">
      <c r="A571" s="216" t="str">
        <f>IF(D571="","",VLOOKUP(G571,códigosORL!$H:$J,3,FALSE))</f>
        <v/>
      </c>
      <c r="B571" s="243"/>
      <c r="C571" s="259"/>
      <c r="D571" s="243"/>
      <c r="E571" s="243"/>
      <c r="F571" s="247"/>
      <c r="G571" s="243"/>
      <c r="H571" s="243"/>
      <c r="I571" s="243"/>
      <c r="J571" s="243"/>
      <c r="K571" s="243"/>
      <c r="L571" s="243"/>
      <c r="M571" s="243"/>
      <c r="N571" s="243"/>
      <c r="O571" s="243"/>
      <c r="P571" s="243"/>
      <c r="Q571" s="243"/>
      <c r="R571" s="243"/>
      <c r="S571" s="243"/>
      <c r="T571" s="243"/>
      <c r="U571" s="243"/>
      <c r="V571" s="243"/>
      <c r="W571" s="243"/>
      <c r="X571" s="243"/>
      <c r="Y571" s="244"/>
      <c r="Z571" s="243"/>
      <c r="AA571" s="245"/>
      <c r="AB571" s="246"/>
      <c r="AC571" s="246"/>
      <c r="AD571" s="246"/>
      <c r="AE571" s="131"/>
      <c r="AF571" s="244"/>
      <c r="AG571" s="243"/>
      <c r="AH571" s="243"/>
      <c r="AI571" s="243"/>
      <c r="AJ571" s="243"/>
      <c r="AK571" s="243"/>
      <c r="AL571" s="243"/>
      <c r="AM571" s="243"/>
      <c r="AN571" s="243"/>
      <c r="AO571" s="243"/>
      <c r="AP571" s="243"/>
      <c r="AQ571" s="243"/>
      <c r="AR571" s="243"/>
      <c r="AS571" s="243"/>
      <c r="AT571" s="243"/>
      <c r="AU571" s="243"/>
      <c r="AV571" s="243"/>
      <c r="AW571" s="243"/>
      <c r="AX571" s="243"/>
      <c r="AY571" s="243"/>
      <c r="AZ571" s="243"/>
    </row>
    <row r="572" spans="1:52">
      <c r="A572" s="216" t="str">
        <f>IF(D572="","",VLOOKUP(G572,códigosORL!$H:$J,3,FALSE))</f>
        <v/>
      </c>
      <c r="B572" s="243"/>
      <c r="C572" s="259"/>
      <c r="D572" s="243"/>
      <c r="E572" s="243"/>
      <c r="F572" s="247"/>
      <c r="G572" s="243"/>
      <c r="H572" s="243"/>
      <c r="I572" s="243"/>
      <c r="J572" s="243"/>
      <c r="K572" s="243"/>
      <c r="L572" s="243"/>
      <c r="M572" s="243"/>
      <c r="N572" s="243"/>
      <c r="O572" s="243"/>
      <c r="P572" s="243"/>
      <c r="Q572" s="243"/>
      <c r="R572" s="243"/>
      <c r="S572" s="243"/>
      <c r="T572" s="243"/>
      <c r="U572" s="243"/>
      <c r="V572" s="243"/>
      <c r="W572" s="243"/>
      <c r="X572" s="243"/>
      <c r="Y572" s="244"/>
      <c r="Z572" s="243"/>
      <c r="AA572" s="245"/>
      <c r="AB572" s="246"/>
      <c r="AC572" s="246"/>
      <c r="AD572" s="246"/>
      <c r="AE572" s="131"/>
      <c r="AF572" s="244"/>
      <c r="AG572" s="243"/>
      <c r="AH572" s="243"/>
      <c r="AI572" s="243"/>
      <c r="AJ572" s="243"/>
      <c r="AK572" s="243"/>
      <c r="AL572" s="243"/>
      <c r="AM572" s="243"/>
      <c r="AN572" s="243"/>
      <c r="AO572" s="243"/>
      <c r="AP572" s="243"/>
      <c r="AQ572" s="243"/>
      <c r="AR572" s="243"/>
      <c r="AS572" s="243"/>
      <c r="AT572" s="243"/>
      <c r="AU572" s="243"/>
      <c r="AV572" s="243"/>
      <c r="AW572" s="243"/>
      <c r="AX572" s="243"/>
      <c r="AY572" s="243"/>
      <c r="AZ572" s="243"/>
    </row>
    <row r="573" spans="1:52">
      <c r="A573" s="216" t="str">
        <f>IF(D573="","",VLOOKUP(G573,códigosORL!$H:$J,3,FALSE))</f>
        <v/>
      </c>
      <c r="B573" s="243"/>
      <c r="C573" s="259"/>
      <c r="D573" s="243"/>
      <c r="E573" s="243"/>
      <c r="F573" s="247"/>
      <c r="G573" s="243"/>
      <c r="H573" s="243"/>
      <c r="I573" s="243"/>
      <c r="J573" s="243"/>
      <c r="K573" s="243"/>
      <c r="L573" s="243"/>
      <c r="M573" s="243"/>
      <c r="N573" s="243"/>
      <c r="O573" s="243"/>
      <c r="P573" s="243"/>
      <c r="Q573" s="243"/>
      <c r="R573" s="243"/>
      <c r="S573" s="243"/>
      <c r="T573" s="243"/>
      <c r="U573" s="243"/>
      <c r="V573" s="243"/>
      <c r="W573" s="243"/>
      <c r="X573" s="243"/>
      <c r="Y573" s="244"/>
      <c r="Z573" s="243"/>
      <c r="AA573" s="245"/>
      <c r="AB573" s="246"/>
      <c r="AC573" s="246"/>
      <c r="AD573" s="246"/>
      <c r="AE573" s="131"/>
      <c r="AF573" s="244"/>
      <c r="AG573" s="243"/>
      <c r="AH573" s="243"/>
      <c r="AI573" s="243"/>
      <c r="AJ573" s="243"/>
      <c r="AK573" s="243"/>
      <c r="AL573" s="243"/>
      <c r="AM573" s="243"/>
      <c r="AN573" s="243"/>
      <c r="AO573" s="243"/>
      <c r="AP573" s="243"/>
      <c r="AQ573" s="243"/>
      <c r="AR573" s="243"/>
      <c r="AS573" s="243"/>
      <c r="AT573" s="243"/>
      <c r="AU573" s="243"/>
      <c r="AV573" s="243"/>
      <c r="AW573" s="243"/>
      <c r="AX573" s="243"/>
      <c r="AY573" s="243"/>
      <c r="AZ573" s="243"/>
    </row>
    <row r="574" spans="1:52">
      <c r="A574" s="216" t="str">
        <f>IF(D574="","",VLOOKUP(G574,códigosORL!$H:$J,3,FALSE))</f>
        <v/>
      </c>
      <c r="B574" s="243"/>
      <c r="C574" s="259"/>
      <c r="D574" s="243"/>
      <c r="E574" s="243"/>
      <c r="F574" s="247"/>
      <c r="G574" s="243"/>
      <c r="H574" s="243"/>
      <c r="I574" s="243"/>
      <c r="J574" s="243"/>
      <c r="K574" s="243"/>
      <c r="L574" s="243"/>
      <c r="M574" s="243"/>
      <c r="N574" s="243"/>
      <c r="O574" s="243"/>
      <c r="P574" s="243"/>
      <c r="Q574" s="243"/>
      <c r="R574" s="243"/>
      <c r="S574" s="243"/>
      <c r="T574" s="243"/>
      <c r="U574" s="243"/>
      <c r="V574" s="243"/>
      <c r="W574" s="243"/>
      <c r="X574" s="243"/>
      <c r="Y574" s="244"/>
      <c r="Z574" s="243"/>
      <c r="AA574" s="245"/>
      <c r="AB574" s="246"/>
      <c r="AC574" s="246"/>
      <c r="AD574" s="246"/>
      <c r="AE574" s="131"/>
      <c r="AF574" s="244"/>
      <c r="AG574" s="243"/>
      <c r="AH574" s="243"/>
      <c r="AI574" s="243"/>
      <c r="AJ574" s="243"/>
      <c r="AK574" s="243"/>
      <c r="AL574" s="243"/>
      <c r="AM574" s="243"/>
      <c r="AN574" s="243"/>
      <c r="AO574" s="243"/>
      <c r="AP574" s="243"/>
      <c r="AQ574" s="243"/>
      <c r="AR574" s="243"/>
      <c r="AS574" s="243"/>
      <c r="AT574" s="243"/>
      <c r="AU574" s="243"/>
      <c r="AV574" s="243"/>
      <c r="AW574" s="243"/>
      <c r="AX574" s="243"/>
      <c r="AY574" s="243"/>
      <c r="AZ574" s="243"/>
    </row>
    <row r="575" spans="1:52">
      <c r="A575" s="216" t="str">
        <f>IF(D575="","",VLOOKUP(G575,códigosORL!$H:$J,3,FALSE))</f>
        <v/>
      </c>
      <c r="B575" s="243"/>
      <c r="C575" s="259"/>
      <c r="D575" s="243"/>
      <c r="E575" s="243"/>
      <c r="F575" s="247"/>
      <c r="G575" s="243"/>
      <c r="H575" s="243"/>
      <c r="I575" s="243"/>
      <c r="J575" s="243"/>
      <c r="K575" s="243"/>
      <c r="L575" s="243"/>
      <c r="M575" s="243"/>
      <c r="N575" s="243"/>
      <c r="O575" s="243"/>
      <c r="P575" s="243"/>
      <c r="Q575" s="243"/>
      <c r="R575" s="243"/>
      <c r="S575" s="243"/>
      <c r="T575" s="243"/>
      <c r="U575" s="243"/>
      <c r="V575" s="243"/>
      <c r="W575" s="243"/>
      <c r="X575" s="243"/>
      <c r="Y575" s="244"/>
      <c r="Z575" s="243"/>
      <c r="AA575" s="245"/>
      <c r="AB575" s="246"/>
      <c r="AC575" s="246"/>
      <c r="AD575" s="246"/>
      <c r="AE575" s="131"/>
      <c r="AF575" s="244"/>
      <c r="AG575" s="243"/>
      <c r="AH575" s="243"/>
      <c r="AI575" s="243"/>
      <c r="AJ575" s="243"/>
      <c r="AK575" s="243"/>
      <c r="AL575" s="243"/>
      <c r="AM575" s="243"/>
      <c r="AN575" s="243"/>
      <c r="AO575" s="243"/>
      <c r="AP575" s="243"/>
      <c r="AQ575" s="243"/>
      <c r="AR575" s="243"/>
      <c r="AS575" s="243"/>
      <c r="AT575" s="243"/>
      <c r="AU575" s="243"/>
      <c r="AV575" s="243"/>
      <c r="AW575" s="243"/>
      <c r="AX575" s="243"/>
      <c r="AY575" s="243"/>
      <c r="AZ575" s="243"/>
    </row>
    <row r="576" spans="1:52">
      <c r="A576" s="216" t="str">
        <f>IF(D576="","",VLOOKUP(G576,códigosORL!$H:$J,3,FALSE))</f>
        <v/>
      </c>
      <c r="B576" s="243"/>
      <c r="C576" s="259"/>
      <c r="D576" s="243"/>
      <c r="E576" s="243"/>
      <c r="F576" s="247"/>
      <c r="G576" s="243"/>
      <c r="H576" s="243"/>
      <c r="I576" s="243"/>
      <c r="J576" s="243"/>
      <c r="K576" s="243"/>
      <c r="L576" s="243"/>
      <c r="M576" s="243"/>
      <c r="N576" s="243"/>
      <c r="O576" s="243"/>
      <c r="P576" s="243"/>
      <c r="Q576" s="243"/>
      <c r="R576" s="243"/>
      <c r="S576" s="243"/>
      <c r="T576" s="243"/>
      <c r="U576" s="243"/>
      <c r="V576" s="243"/>
      <c r="W576" s="243"/>
      <c r="X576" s="243"/>
      <c r="Y576" s="244"/>
      <c r="Z576" s="243"/>
      <c r="AA576" s="245"/>
      <c r="AB576" s="246"/>
      <c r="AC576" s="246"/>
      <c r="AD576" s="246"/>
      <c r="AE576" s="131"/>
      <c r="AF576" s="244"/>
      <c r="AG576" s="243"/>
      <c r="AH576" s="243"/>
      <c r="AI576" s="243"/>
      <c r="AJ576" s="243"/>
      <c r="AK576" s="243"/>
      <c r="AL576" s="243"/>
      <c r="AM576" s="243"/>
      <c r="AN576" s="243"/>
      <c r="AO576" s="243"/>
      <c r="AP576" s="243"/>
      <c r="AQ576" s="243"/>
      <c r="AR576" s="243"/>
      <c r="AS576" s="243"/>
      <c r="AT576" s="243"/>
      <c r="AU576" s="243"/>
      <c r="AV576" s="243"/>
      <c r="AW576" s="243"/>
      <c r="AX576" s="243"/>
      <c r="AY576" s="243"/>
      <c r="AZ576" s="243"/>
    </row>
    <row r="577" spans="1:52">
      <c r="A577" s="216" t="str">
        <f>IF(D577="","",VLOOKUP(G577,códigosORL!$H:$J,3,FALSE))</f>
        <v/>
      </c>
      <c r="B577" s="243"/>
      <c r="C577" s="259"/>
      <c r="D577" s="243"/>
      <c r="E577" s="243"/>
      <c r="F577" s="247"/>
      <c r="G577" s="243"/>
      <c r="H577" s="243"/>
      <c r="I577" s="243"/>
      <c r="J577" s="243"/>
      <c r="K577" s="243"/>
      <c r="L577" s="243"/>
      <c r="M577" s="243"/>
      <c r="N577" s="243"/>
      <c r="O577" s="243"/>
      <c r="P577" s="243"/>
      <c r="Q577" s="243"/>
      <c r="R577" s="243"/>
      <c r="S577" s="243"/>
      <c r="T577" s="243"/>
      <c r="U577" s="243"/>
      <c r="V577" s="243"/>
      <c r="W577" s="243"/>
      <c r="X577" s="243"/>
      <c r="Y577" s="244"/>
      <c r="Z577" s="243"/>
      <c r="AA577" s="245"/>
      <c r="AB577" s="246"/>
      <c r="AC577" s="246"/>
      <c r="AD577" s="246"/>
      <c r="AE577" s="131"/>
      <c r="AF577" s="244"/>
      <c r="AG577" s="243"/>
      <c r="AH577" s="243"/>
      <c r="AI577" s="243"/>
      <c r="AJ577" s="243"/>
      <c r="AK577" s="243"/>
      <c r="AL577" s="243"/>
      <c r="AM577" s="243"/>
      <c r="AN577" s="243"/>
      <c r="AO577" s="243"/>
      <c r="AP577" s="243"/>
      <c r="AQ577" s="243"/>
      <c r="AR577" s="243"/>
      <c r="AS577" s="243"/>
      <c r="AT577" s="243"/>
      <c r="AU577" s="243"/>
      <c r="AV577" s="243"/>
      <c r="AW577" s="243"/>
      <c r="AX577" s="243"/>
      <c r="AY577" s="243"/>
      <c r="AZ577" s="243"/>
    </row>
    <row r="578" spans="1:52">
      <c r="A578" s="216" t="str">
        <f>IF(D578="","",VLOOKUP(G578,códigosORL!$H:$J,3,FALSE))</f>
        <v/>
      </c>
      <c r="B578" s="243"/>
      <c r="C578" s="259"/>
      <c r="D578" s="243"/>
      <c r="E578" s="243"/>
      <c r="F578" s="247"/>
      <c r="G578" s="243"/>
      <c r="H578" s="243"/>
      <c r="I578" s="243"/>
      <c r="J578" s="243"/>
      <c r="K578" s="243"/>
      <c r="L578" s="243"/>
      <c r="M578" s="243"/>
      <c r="N578" s="243"/>
      <c r="O578" s="243"/>
      <c r="P578" s="243"/>
      <c r="Q578" s="243"/>
      <c r="R578" s="243"/>
      <c r="S578" s="243"/>
      <c r="T578" s="243"/>
      <c r="U578" s="243"/>
      <c r="V578" s="243"/>
      <c r="W578" s="243"/>
      <c r="X578" s="243"/>
      <c r="Y578" s="244"/>
      <c r="Z578" s="243"/>
      <c r="AA578" s="245"/>
      <c r="AB578" s="246"/>
      <c r="AC578" s="246"/>
      <c r="AD578" s="246"/>
      <c r="AE578" s="131"/>
      <c r="AF578" s="244"/>
      <c r="AG578" s="243"/>
      <c r="AH578" s="243"/>
      <c r="AI578" s="243"/>
      <c r="AJ578" s="243"/>
      <c r="AK578" s="243"/>
      <c r="AL578" s="243"/>
      <c r="AM578" s="243"/>
      <c r="AN578" s="243"/>
      <c r="AO578" s="243"/>
      <c r="AP578" s="243"/>
      <c r="AQ578" s="243"/>
      <c r="AR578" s="243"/>
      <c r="AS578" s="243"/>
      <c r="AT578" s="243"/>
      <c r="AU578" s="243"/>
      <c r="AV578" s="243"/>
      <c r="AW578" s="243"/>
      <c r="AX578" s="243"/>
      <c r="AY578" s="243"/>
      <c r="AZ578" s="243"/>
    </row>
    <row r="579" spans="1:52">
      <c r="A579" s="216" t="str">
        <f>IF(D579="","",VLOOKUP(G579,códigosORL!$H:$J,3,FALSE))</f>
        <v/>
      </c>
      <c r="B579" s="243"/>
      <c r="C579" s="259"/>
      <c r="D579" s="243"/>
      <c r="E579" s="243"/>
      <c r="F579" s="247"/>
      <c r="G579" s="243"/>
      <c r="H579" s="243"/>
      <c r="I579" s="243"/>
      <c r="J579" s="243"/>
      <c r="K579" s="243"/>
      <c r="L579" s="243"/>
      <c r="M579" s="243"/>
      <c r="N579" s="243"/>
      <c r="O579" s="243"/>
      <c r="P579" s="243"/>
      <c r="Q579" s="243"/>
      <c r="R579" s="243"/>
      <c r="S579" s="243"/>
      <c r="T579" s="243"/>
      <c r="U579" s="243"/>
      <c r="V579" s="243"/>
      <c r="W579" s="243"/>
      <c r="X579" s="243"/>
      <c r="Y579" s="244"/>
      <c r="Z579" s="243"/>
      <c r="AA579" s="245"/>
      <c r="AB579" s="246"/>
      <c r="AC579" s="246"/>
      <c r="AD579" s="246"/>
      <c r="AE579" s="131"/>
      <c r="AF579" s="244"/>
      <c r="AG579" s="243"/>
      <c r="AH579" s="243"/>
      <c r="AI579" s="243"/>
      <c r="AJ579" s="243"/>
      <c r="AK579" s="243"/>
      <c r="AL579" s="243"/>
      <c r="AM579" s="243"/>
      <c r="AN579" s="243"/>
      <c r="AO579" s="243"/>
      <c r="AP579" s="243"/>
      <c r="AQ579" s="243"/>
      <c r="AR579" s="243"/>
      <c r="AS579" s="243"/>
      <c r="AT579" s="243"/>
      <c r="AU579" s="243"/>
      <c r="AV579" s="243"/>
      <c r="AW579" s="243"/>
      <c r="AX579" s="243"/>
      <c r="AY579" s="243"/>
      <c r="AZ579" s="243"/>
    </row>
    <row r="580" spans="1:52">
      <c r="A580" s="216" t="str">
        <f>IF(D580="","",VLOOKUP(G580,códigosORL!$H:$J,3,FALSE))</f>
        <v/>
      </c>
      <c r="B580" s="243"/>
      <c r="C580" s="259"/>
      <c r="D580" s="243"/>
      <c r="E580" s="243"/>
      <c r="F580" s="247"/>
      <c r="G580" s="243"/>
      <c r="H580" s="243"/>
      <c r="I580" s="243"/>
      <c r="J580" s="243"/>
      <c r="K580" s="243"/>
      <c r="L580" s="243"/>
      <c r="M580" s="243"/>
      <c r="N580" s="243"/>
      <c r="O580" s="243"/>
      <c r="P580" s="243"/>
      <c r="Q580" s="243"/>
      <c r="R580" s="243"/>
      <c r="S580" s="243"/>
      <c r="T580" s="243"/>
      <c r="U580" s="243"/>
      <c r="V580" s="243"/>
      <c r="W580" s="243"/>
      <c r="X580" s="243"/>
      <c r="Y580" s="244"/>
      <c r="Z580" s="243"/>
      <c r="AA580" s="245"/>
      <c r="AB580" s="246"/>
      <c r="AC580" s="246"/>
      <c r="AD580" s="246"/>
      <c r="AE580" s="131"/>
      <c r="AF580" s="244"/>
      <c r="AG580" s="243"/>
      <c r="AH580" s="243"/>
      <c r="AI580" s="243"/>
      <c r="AJ580" s="243"/>
      <c r="AK580" s="243"/>
      <c r="AL580" s="243"/>
      <c r="AM580" s="243"/>
      <c r="AN580" s="243"/>
      <c r="AO580" s="243"/>
      <c r="AP580" s="243"/>
      <c r="AQ580" s="243"/>
      <c r="AR580" s="243"/>
      <c r="AS580" s="243"/>
      <c r="AT580" s="243"/>
      <c r="AU580" s="243"/>
      <c r="AV580" s="243"/>
      <c r="AW580" s="243"/>
      <c r="AX580" s="243"/>
      <c r="AY580" s="243"/>
      <c r="AZ580" s="243"/>
    </row>
    <row r="581" spans="1:52">
      <c r="A581" s="216" t="str">
        <f>IF(D581="","",VLOOKUP(G581,códigosORL!$H:$J,3,FALSE))</f>
        <v/>
      </c>
      <c r="B581" s="243"/>
      <c r="C581" s="259"/>
      <c r="D581" s="243"/>
      <c r="E581" s="243"/>
      <c r="F581" s="247"/>
      <c r="G581" s="243"/>
      <c r="H581" s="243"/>
      <c r="I581" s="243"/>
      <c r="J581" s="243"/>
      <c r="K581" s="243"/>
      <c r="L581" s="243"/>
      <c r="M581" s="243"/>
      <c r="N581" s="243"/>
      <c r="O581" s="243"/>
      <c r="P581" s="243"/>
      <c r="Q581" s="243"/>
      <c r="R581" s="243"/>
      <c r="S581" s="243"/>
      <c r="T581" s="243"/>
      <c r="U581" s="243"/>
      <c r="V581" s="243"/>
      <c r="W581" s="243"/>
      <c r="X581" s="243"/>
      <c r="Y581" s="244"/>
      <c r="Z581" s="243"/>
      <c r="AA581" s="245"/>
      <c r="AB581" s="246"/>
      <c r="AC581" s="246"/>
      <c r="AD581" s="246"/>
      <c r="AE581" s="131"/>
      <c r="AF581" s="244"/>
      <c r="AG581" s="243"/>
      <c r="AH581" s="243"/>
      <c r="AI581" s="243"/>
      <c r="AJ581" s="243"/>
      <c r="AK581" s="243"/>
      <c r="AL581" s="243"/>
      <c r="AM581" s="243"/>
      <c r="AN581" s="243"/>
      <c r="AO581" s="243"/>
      <c r="AP581" s="243"/>
      <c r="AQ581" s="243"/>
      <c r="AR581" s="243"/>
      <c r="AS581" s="243"/>
      <c r="AT581" s="243"/>
      <c r="AU581" s="243"/>
      <c r="AV581" s="243"/>
      <c r="AW581" s="243"/>
      <c r="AX581" s="243"/>
      <c r="AY581" s="243"/>
      <c r="AZ581" s="243"/>
    </row>
    <row r="582" spans="1:52">
      <c r="A582" s="216" t="str">
        <f>IF(D582="","",VLOOKUP(G582,códigosORL!$H:$J,3,FALSE))</f>
        <v/>
      </c>
      <c r="B582" s="243"/>
      <c r="C582" s="259"/>
      <c r="D582" s="243"/>
      <c r="E582" s="243"/>
      <c r="F582" s="247"/>
      <c r="G582" s="243"/>
      <c r="H582" s="243"/>
      <c r="I582" s="243"/>
      <c r="J582" s="243"/>
      <c r="K582" s="243"/>
      <c r="L582" s="243"/>
      <c r="M582" s="243"/>
      <c r="N582" s="243"/>
      <c r="O582" s="243"/>
      <c r="P582" s="243"/>
      <c r="Q582" s="243"/>
      <c r="R582" s="243"/>
      <c r="S582" s="243"/>
      <c r="T582" s="243"/>
      <c r="U582" s="243"/>
      <c r="V582" s="243"/>
      <c r="W582" s="243"/>
      <c r="X582" s="243"/>
      <c r="Y582" s="244"/>
      <c r="Z582" s="243"/>
      <c r="AA582" s="245"/>
      <c r="AB582" s="246"/>
      <c r="AC582" s="246"/>
      <c r="AD582" s="246"/>
      <c r="AE582" s="131"/>
      <c r="AF582" s="244"/>
      <c r="AG582" s="243"/>
      <c r="AH582" s="243"/>
      <c r="AI582" s="243"/>
      <c r="AJ582" s="243"/>
      <c r="AK582" s="243"/>
      <c r="AL582" s="243"/>
      <c r="AM582" s="243"/>
      <c r="AN582" s="243"/>
      <c r="AO582" s="243"/>
      <c r="AP582" s="243"/>
      <c r="AQ582" s="243"/>
      <c r="AR582" s="243"/>
      <c r="AS582" s="243"/>
      <c r="AT582" s="243"/>
      <c r="AU582" s="243"/>
      <c r="AV582" s="243"/>
      <c r="AW582" s="243"/>
      <c r="AX582" s="243"/>
      <c r="AY582" s="243"/>
      <c r="AZ582" s="243"/>
    </row>
    <row r="583" spans="1:52">
      <c r="A583" s="216" t="str">
        <f>IF(D583="","",VLOOKUP(G583,códigosORL!$H:$J,3,FALSE))</f>
        <v/>
      </c>
      <c r="B583" s="243"/>
      <c r="C583" s="259"/>
      <c r="D583" s="243"/>
      <c r="E583" s="243"/>
      <c r="F583" s="247"/>
      <c r="G583" s="243"/>
      <c r="H583" s="243"/>
      <c r="I583" s="243"/>
      <c r="J583" s="243"/>
      <c r="K583" s="243"/>
      <c r="L583" s="243"/>
      <c r="M583" s="243"/>
      <c r="N583" s="243"/>
      <c r="O583" s="243"/>
      <c r="P583" s="243"/>
      <c r="Q583" s="243"/>
      <c r="R583" s="243"/>
      <c r="S583" s="243"/>
      <c r="T583" s="243"/>
      <c r="U583" s="243"/>
      <c r="V583" s="243"/>
      <c r="W583" s="243"/>
      <c r="X583" s="243"/>
      <c r="Y583" s="244"/>
      <c r="Z583" s="243"/>
      <c r="AA583" s="245"/>
      <c r="AB583" s="246"/>
      <c r="AC583" s="246"/>
      <c r="AD583" s="246"/>
      <c r="AE583" s="131"/>
      <c r="AF583" s="244"/>
      <c r="AG583" s="243"/>
      <c r="AH583" s="243"/>
      <c r="AI583" s="243"/>
      <c r="AJ583" s="243"/>
      <c r="AK583" s="243"/>
      <c r="AL583" s="243"/>
      <c r="AM583" s="243"/>
      <c r="AN583" s="243"/>
      <c r="AO583" s="243"/>
      <c r="AP583" s="243"/>
      <c r="AQ583" s="243"/>
      <c r="AR583" s="243"/>
      <c r="AS583" s="243"/>
      <c r="AT583" s="243"/>
      <c r="AU583" s="243"/>
      <c r="AV583" s="243"/>
      <c r="AW583" s="243"/>
      <c r="AX583" s="243"/>
      <c r="AY583" s="243"/>
      <c r="AZ583" s="243"/>
    </row>
    <row r="584" spans="1:52">
      <c r="A584" s="216" t="str">
        <f>IF(D584="","",VLOOKUP(G584,códigosORL!$H:$J,3,FALSE))</f>
        <v/>
      </c>
      <c r="B584" s="243"/>
      <c r="C584" s="259"/>
      <c r="D584" s="243"/>
      <c r="E584" s="243"/>
      <c r="F584" s="247"/>
      <c r="G584" s="243"/>
      <c r="H584" s="243"/>
      <c r="I584" s="243"/>
      <c r="J584" s="243"/>
      <c r="K584" s="243"/>
      <c r="L584" s="243"/>
      <c r="M584" s="243"/>
      <c r="N584" s="243"/>
      <c r="O584" s="243"/>
      <c r="P584" s="243"/>
      <c r="Q584" s="243"/>
      <c r="R584" s="243"/>
      <c r="S584" s="243"/>
      <c r="T584" s="243"/>
      <c r="U584" s="243"/>
      <c r="V584" s="243"/>
      <c r="W584" s="243"/>
      <c r="X584" s="243"/>
      <c r="Y584" s="244"/>
      <c r="Z584" s="243"/>
      <c r="AA584" s="245"/>
      <c r="AB584" s="246"/>
      <c r="AC584" s="246"/>
      <c r="AD584" s="246"/>
      <c r="AE584" s="131"/>
      <c r="AF584" s="244"/>
      <c r="AG584" s="243"/>
      <c r="AH584" s="243"/>
      <c r="AI584" s="243"/>
      <c r="AJ584" s="243"/>
      <c r="AK584" s="243"/>
      <c r="AL584" s="243"/>
      <c r="AM584" s="243"/>
      <c r="AN584" s="243"/>
      <c r="AO584" s="243"/>
      <c r="AP584" s="243"/>
      <c r="AQ584" s="243"/>
      <c r="AR584" s="243"/>
      <c r="AS584" s="243"/>
      <c r="AT584" s="243"/>
      <c r="AU584" s="243"/>
      <c r="AV584" s="243"/>
      <c r="AW584" s="243"/>
      <c r="AX584" s="243"/>
      <c r="AY584" s="243"/>
      <c r="AZ584" s="243"/>
    </row>
    <row r="585" spans="1:52">
      <c r="A585" s="216" t="str">
        <f>IF(D585="","",VLOOKUP(G585,códigosORL!$H:$J,3,FALSE))</f>
        <v/>
      </c>
      <c r="B585" s="243"/>
      <c r="C585" s="259"/>
      <c r="D585" s="243"/>
      <c r="E585" s="243"/>
      <c r="F585" s="247"/>
      <c r="G585" s="243"/>
      <c r="H585" s="243"/>
      <c r="I585" s="243"/>
      <c r="J585" s="243"/>
      <c r="K585" s="243"/>
      <c r="L585" s="243"/>
      <c r="M585" s="243"/>
      <c r="N585" s="243"/>
      <c r="O585" s="243"/>
      <c r="P585" s="243"/>
      <c r="Q585" s="243"/>
      <c r="R585" s="243"/>
      <c r="S585" s="243"/>
      <c r="T585" s="243"/>
      <c r="U585" s="243"/>
      <c r="V585" s="243"/>
      <c r="W585" s="243"/>
      <c r="X585" s="243"/>
      <c r="Y585" s="244"/>
      <c r="Z585" s="243"/>
      <c r="AA585" s="245"/>
      <c r="AB585" s="246"/>
      <c r="AC585" s="246"/>
      <c r="AD585" s="246"/>
      <c r="AE585" s="131"/>
      <c r="AF585" s="244"/>
      <c r="AG585" s="243"/>
      <c r="AH585" s="243"/>
      <c r="AI585" s="243"/>
      <c r="AJ585" s="243"/>
      <c r="AK585" s="243"/>
      <c r="AL585" s="243"/>
      <c r="AM585" s="243"/>
      <c r="AN585" s="243"/>
      <c r="AO585" s="243"/>
      <c r="AP585" s="243"/>
      <c r="AQ585" s="243"/>
      <c r="AR585" s="243"/>
      <c r="AS585" s="243"/>
      <c r="AT585" s="243"/>
      <c r="AU585" s="243"/>
      <c r="AV585" s="243"/>
      <c r="AW585" s="243"/>
      <c r="AX585" s="243"/>
      <c r="AY585" s="243"/>
      <c r="AZ585" s="243"/>
    </row>
    <row r="586" spans="1:52">
      <c r="A586" s="216" t="str">
        <f>IF(D586="","",VLOOKUP(G586,códigosORL!$H:$J,3,FALSE))</f>
        <v/>
      </c>
      <c r="B586" s="243"/>
      <c r="C586" s="259"/>
      <c r="D586" s="243"/>
      <c r="E586" s="243"/>
      <c r="F586" s="247"/>
      <c r="G586" s="243"/>
      <c r="H586" s="243"/>
      <c r="I586" s="243"/>
      <c r="J586" s="243"/>
      <c r="K586" s="243"/>
      <c r="L586" s="243"/>
      <c r="M586" s="243"/>
      <c r="N586" s="243"/>
      <c r="O586" s="243"/>
      <c r="P586" s="243"/>
      <c r="Q586" s="243"/>
      <c r="R586" s="243"/>
      <c r="S586" s="243"/>
      <c r="T586" s="243"/>
      <c r="U586" s="243"/>
      <c r="V586" s="243"/>
      <c r="W586" s="243"/>
      <c r="X586" s="243"/>
      <c r="Y586" s="244"/>
      <c r="Z586" s="243"/>
      <c r="AA586" s="245"/>
      <c r="AB586" s="246"/>
      <c r="AC586" s="246"/>
      <c r="AD586" s="246"/>
      <c r="AE586" s="131"/>
      <c r="AF586" s="244"/>
      <c r="AG586" s="243"/>
      <c r="AH586" s="243"/>
      <c r="AI586" s="243"/>
      <c r="AJ586" s="243"/>
      <c r="AK586" s="243"/>
      <c r="AL586" s="243"/>
      <c r="AM586" s="243"/>
      <c r="AN586" s="243"/>
      <c r="AO586" s="243"/>
      <c r="AP586" s="243"/>
      <c r="AQ586" s="243"/>
      <c r="AR586" s="243"/>
      <c r="AS586" s="243"/>
      <c r="AT586" s="243"/>
      <c r="AU586" s="243"/>
      <c r="AV586" s="243"/>
      <c r="AW586" s="243"/>
      <c r="AX586" s="243"/>
      <c r="AY586" s="243"/>
      <c r="AZ586" s="243"/>
    </row>
    <row r="587" spans="1:52">
      <c r="A587" s="216" t="str">
        <f>IF(D587="","",VLOOKUP(G587,códigosORL!$H:$J,3,FALSE))</f>
        <v/>
      </c>
      <c r="B587" s="243"/>
      <c r="C587" s="259"/>
      <c r="D587" s="243"/>
      <c r="E587" s="243"/>
      <c r="F587" s="247"/>
      <c r="G587" s="243"/>
      <c r="H587" s="243"/>
      <c r="I587" s="243"/>
      <c r="J587" s="243"/>
      <c r="K587" s="243"/>
      <c r="L587" s="243"/>
      <c r="M587" s="243"/>
      <c r="N587" s="243"/>
      <c r="O587" s="243"/>
      <c r="P587" s="243"/>
      <c r="Q587" s="243"/>
      <c r="R587" s="243"/>
      <c r="S587" s="243"/>
      <c r="T587" s="243"/>
      <c r="U587" s="243"/>
      <c r="V587" s="243"/>
      <c r="W587" s="243"/>
      <c r="X587" s="243"/>
      <c r="Y587" s="244"/>
      <c r="Z587" s="243"/>
      <c r="AA587" s="245"/>
      <c r="AB587" s="246"/>
      <c r="AC587" s="246"/>
      <c r="AD587" s="246"/>
      <c r="AE587" s="131"/>
      <c r="AF587" s="244"/>
      <c r="AG587" s="243"/>
      <c r="AH587" s="243"/>
      <c r="AI587" s="243"/>
      <c r="AJ587" s="243"/>
      <c r="AK587" s="243"/>
      <c r="AL587" s="243"/>
      <c r="AM587" s="243"/>
      <c r="AN587" s="243"/>
      <c r="AO587" s="243"/>
      <c r="AP587" s="243"/>
      <c r="AQ587" s="243"/>
      <c r="AR587" s="243"/>
      <c r="AS587" s="243"/>
      <c r="AT587" s="243"/>
      <c r="AU587" s="243"/>
      <c r="AV587" s="243"/>
      <c r="AW587" s="243"/>
      <c r="AX587" s="243"/>
      <c r="AY587" s="243"/>
      <c r="AZ587" s="243"/>
    </row>
    <row r="588" spans="1:52">
      <c r="A588" s="216" t="str">
        <f>IF(D588="","",VLOOKUP(G588,códigosORL!$H:$J,3,FALSE))</f>
        <v/>
      </c>
      <c r="B588" s="243"/>
      <c r="C588" s="259"/>
      <c r="D588" s="243"/>
      <c r="E588" s="243"/>
      <c r="F588" s="247"/>
      <c r="G588" s="243"/>
      <c r="H588" s="243"/>
      <c r="I588" s="243"/>
      <c r="J588" s="243"/>
      <c r="K588" s="243"/>
      <c r="L588" s="243"/>
      <c r="M588" s="243"/>
      <c r="N588" s="243"/>
      <c r="O588" s="243"/>
      <c r="P588" s="243"/>
      <c r="Q588" s="243"/>
      <c r="R588" s="243"/>
      <c r="S588" s="243"/>
      <c r="T588" s="243"/>
      <c r="U588" s="243"/>
      <c r="V588" s="243"/>
      <c r="W588" s="243"/>
      <c r="X588" s="243"/>
      <c r="Y588" s="244"/>
      <c r="Z588" s="243"/>
      <c r="AA588" s="245"/>
      <c r="AB588" s="246"/>
      <c r="AC588" s="246"/>
      <c r="AD588" s="246"/>
      <c r="AE588" s="131"/>
      <c r="AF588" s="244"/>
      <c r="AG588" s="243"/>
      <c r="AH588" s="243"/>
      <c r="AI588" s="243"/>
      <c r="AJ588" s="243"/>
      <c r="AK588" s="243"/>
      <c r="AL588" s="243"/>
      <c r="AM588" s="243"/>
      <c r="AN588" s="243"/>
      <c r="AO588" s="243"/>
      <c r="AP588" s="243"/>
      <c r="AQ588" s="243"/>
      <c r="AR588" s="243"/>
      <c r="AS588" s="243"/>
      <c r="AT588" s="243"/>
      <c r="AU588" s="243"/>
      <c r="AV588" s="243"/>
      <c r="AW588" s="243"/>
      <c r="AX588" s="243"/>
      <c r="AY588" s="243"/>
      <c r="AZ588" s="243"/>
    </row>
    <row r="589" spans="1:52">
      <c r="A589" s="216" t="str">
        <f>IF(D589="","",VLOOKUP(G589,códigosORL!$H:$J,3,FALSE))</f>
        <v/>
      </c>
      <c r="B589" s="243"/>
      <c r="C589" s="259"/>
      <c r="D589" s="243"/>
      <c r="E589" s="243"/>
      <c r="F589" s="247"/>
      <c r="G589" s="243"/>
      <c r="H589" s="243"/>
      <c r="I589" s="243"/>
      <c r="J589" s="243"/>
      <c r="K589" s="243"/>
      <c r="L589" s="243"/>
      <c r="M589" s="243"/>
      <c r="N589" s="243"/>
      <c r="O589" s="243"/>
      <c r="P589" s="243"/>
      <c r="Q589" s="243"/>
      <c r="R589" s="243"/>
      <c r="S589" s="243"/>
      <c r="T589" s="243"/>
      <c r="U589" s="243"/>
      <c r="V589" s="243"/>
      <c r="W589" s="243"/>
      <c r="X589" s="243"/>
      <c r="Y589" s="244"/>
      <c r="Z589" s="243"/>
      <c r="AA589" s="245"/>
      <c r="AB589" s="246"/>
      <c r="AC589" s="246"/>
      <c r="AD589" s="246"/>
      <c r="AE589" s="131"/>
      <c r="AF589" s="244"/>
      <c r="AG589" s="243"/>
      <c r="AH589" s="243"/>
      <c r="AI589" s="243"/>
      <c r="AJ589" s="243"/>
      <c r="AK589" s="243"/>
      <c r="AL589" s="243"/>
      <c r="AM589" s="243"/>
      <c r="AN589" s="243"/>
      <c r="AO589" s="243"/>
      <c r="AP589" s="243"/>
      <c r="AQ589" s="243"/>
      <c r="AR589" s="243"/>
      <c r="AS589" s="243"/>
      <c r="AT589" s="243"/>
      <c r="AU589" s="243"/>
      <c r="AV589" s="243"/>
      <c r="AW589" s="243"/>
      <c r="AX589" s="243"/>
      <c r="AY589" s="243"/>
      <c r="AZ589" s="243"/>
    </row>
    <row r="590" spans="1:52">
      <c r="A590" s="216" t="str">
        <f>IF(D590="","",VLOOKUP(G590,códigosORL!$H:$J,3,FALSE))</f>
        <v/>
      </c>
      <c r="B590" s="243"/>
      <c r="C590" s="259"/>
      <c r="D590" s="243"/>
      <c r="E590" s="243"/>
      <c r="F590" s="247"/>
      <c r="G590" s="243"/>
      <c r="H590" s="243"/>
      <c r="I590" s="243"/>
      <c r="J590" s="243"/>
      <c r="K590" s="243"/>
      <c r="L590" s="243"/>
      <c r="M590" s="243"/>
      <c r="N590" s="243"/>
      <c r="O590" s="243"/>
      <c r="P590" s="243"/>
      <c r="Q590" s="243"/>
      <c r="R590" s="243"/>
      <c r="S590" s="243"/>
      <c r="T590" s="243"/>
      <c r="U590" s="243"/>
      <c r="V590" s="243"/>
      <c r="W590" s="243"/>
      <c r="X590" s="243"/>
      <c r="Y590" s="244"/>
      <c r="Z590" s="243"/>
      <c r="AA590" s="245"/>
      <c r="AB590" s="246"/>
      <c r="AC590" s="246"/>
      <c r="AD590" s="246"/>
      <c r="AE590" s="131"/>
      <c r="AF590" s="244"/>
      <c r="AG590" s="243"/>
      <c r="AH590" s="243"/>
      <c r="AI590" s="243"/>
      <c r="AJ590" s="243"/>
      <c r="AK590" s="243"/>
      <c r="AL590" s="243"/>
      <c r="AM590" s="243"/>
      <c r="AN590" s="243"/>
      <c r="AO590" s="243"/>
      <c r="AP590" s="243"/>
      <c r="AQ590" s="243"/>
      <c r="AR590" s="243"/>
      <c r="AS590" s="243"/>
      <c r="AT590" s="243"/>
      <c r="AU590" s="243"/>
      <c r="AV590" s="243"/>
      <c r="AW590" s="243"/>
      <c r="AX590" s="243"/>
      <c r="AY590" s="243"/>
      <c r="AZ590" s="243"/>
    </row>
    <row r="591" spans="1:52">
      <c r="A591" s="216" t="str">
        <f>IF(D591="","",VLOOKUP(G591,códigosORL!$H:$J,3,FALSE))</f>
        <v/>
      </c>
      <c r="B591" s="243"/>
      <c r="C591" s="259"/>
      <c r="D591" s="243"/>
      <c r="E591" s="243"/>
      <c r="F591" s="247"/>
      <c r="G591" s="243"/>
      <c r="H591" s="243"/>
      <c r="I591" s="243"/>
      <c r="J591" s="243"/>
      <c r="K591" s="243"/>
      <c r="L591" s="243"/>
      <c r="M591" s="243"/>
      <c r="N591" s="243"/>
      <c r="O591" s="243"/>
      <c r="P591" s="243"/>
      <c r="Q591" s="243"/>
      <c r="R591" s="243"/>
      <c r="S591" s="243"/>
      <c r="T591" s="243"/>
      <c r="U591" s="243"/>
      <c r="V591" s="243"/>
      <c r="W591" s="243"/>
      <c r="X591" s="243"/>
      <c r="Y591" s="244"/>
      <c r="Z591" s="243"/>
      <c r="AA591" s="245"/>
      <c r="AB591" s="246"/>
      <c r="AC591" s="246"/>
      <c r="AD591" s="246"/>
      <c r="AE591" s="131"/>
      <c r="AF591" s="244"/>
      <c r="AG591" s="243"/>
      <c r="AH591" s="243"/>
      <c r="AI591" s="243"/>
      <c r="AJ591" s="243"/>
      <c r="AK591" s="243"/>
      <c r="AL591" s="243"/>
      <c r="AM591" s="243"/>
      <c r="AN591" s="243"/>
      <c r="AO591" s="243"/>
      <c r="AP591" s="243"/>
      <c r="AQ591" s="243"/>
      <c r="AR591" s="243"/>
      <c r="AS591" s="243"/>
      <c r="AT591" s="243"/>
      <c r="AU591" s="243"/>
      <c r="AV591" s="243"/>
      <c r="AW591" s="243"/>
      <c r="AX591" s="243"/>
      <c r="AY591" s="243"/>
      <c r="AZ591" s="243"/>
    </row>
    <row r="592" spans="1:52">
      <c r="A592" s="216" t="str">
        <f>IF(D592="","",VLOOKUP(G592,códigosORL!$H:$J,3,FALSE))</f>
        <v/>
      </c>
      <c r="B592" s="243"/>
      <c r="C592" s="259"/>
      <c r="D592" s="243"/>
      <c r="E592" s="243"/>
      <c r="F592" s="247"/>
      <c r="G592" s="243"/>
      <c r="H592" s="243"/>
      <c r="I592" s="243"/>
      <c r="J592" s="243"/>
      <c r="K592" s="243"/>
      <c r="L592" s="243"/>
      <c r="M592" s="243"/>
      <c r="N592" s="243"/>
      <c r="O592" s="243"/>
      <c r="P592" s="243"/>
      <c r="Q592" s="243"/>
      <c r="R592" s="243"/>
      <c r="S592" s="243"/>
      <c r="T592" s="243"/>
      <c r="U592" s="243"/>
      <c r="V592" s="243"/>
      <c r="W592" s="243"/>
      <c r="X592" s="243"/>
      <c r="Y592" s="244"/>
      <c r="Z592" s="243"/>
      <c r="AA592" s="245"/>
      <c r="AB592" s="246"/>
      <c r="AC592" s="246"/>
      <c r="AD592" s="246"/>
      <c r="AE592" s="131"/>
      <c r="AF592" s="244"/>
      <c r="AG592" s="243"/>
      <c r="AH592" s="243"/>
      <c r="AI592" s="243"/>
      <c r="AJ592" s="243"/>
      <c r="AK592" s="243"/>
      <c r="AL592" s="243"/>
      <c r="AM592" s="243"/>
      <c r="AN592" s="243"/>
      <c r="AO592" s="243"/>
      <c r="AP592" s="243"/>
      <c r="AQ592" s="243"/>
      <c r="AR592" s="243"/>
      <c r="AS592" s="243"/>
      <c r="AT592" s="243"/>
      <c r="AU592" s="243"/>
      <c r="AV592" s="243"/>
      <c r="AW592" s="243"/>
      <c r="AX592" s="243"/>
      <c r="AY592" s="243"/>
      <c r="AZ592" s="243"/>
    </row>
    <row r="593" spans="1:52">
      <c r="A593" s="216" t="str">
        <f>IF(D593="","",VLOOKUP(G593,códigosORL!$H:$J,3,FALSE))</f>
        <v/>
      </c>
      <c r="B593" s="243"/>
      <c r="C593" s="259"/>
      <c r="D593" s="243"/>
      <c r="E593" s="243"/>
      <c r="F593" s="247"/>
      <c r="G593" s="243"/>
      <c r="H593" s="243"/>
      <c r="I593" s="243"/>
      <c r="J593" s="243"/>
      <c r="K593" s="243"/>
      <c r="L593" s="243"/>
      <c r="M593" s="243"/>
      <c r="N593" s="243"/>
      <c r="O593" s="243"/>
      <c r="P593" s="243"/>
      <c r="Q593" s="243"/>
      <c r="R593" s="243"/>
      <c r="S593" s="243"/>
      <c r="T593" s="243"/>
      <c r="U593" s="243"/>
      <c r="V593" s="243"/>
      <c r="W593" s="243"/>
      <c r="X593" s="243"/>
      <c r="Y593" s="244"/>
      <c r="Z593" s="243"/>
      <c r="AA593" s="245"/>
      <c r="AB593" s="246"/>
      <c r="AC593" s="246"/>
      <c r="AD593" s="246"/>
      <c r="AE593" s="131"/>
      <c r="AF593" s="244"/>
      <c r="AG593" s="243"/>
      <c r="AH593" s="243"/>
      <c r="AI593" s="243"/>
      <c r="AJ593" s="243"/>
      <c r="AK593" s="243"/>
      <c r="AL593" s="243"/>
      <c r="AM593" s="243"/>
      <c r="AN593" s="243"/>
      <c r="AO593" s="243"/>
      <c r="AP593" s="243"/>
      <c r="AQ593" s="243"/>
      <c r="AR593" s="243"/>
      <c r="AS593" s="243"/>
      <c r="AT593" s="243"/>
      <c r="AU593" s="243"/>
      <c r="AV593" s="243"/>
      <c r="AW593" s="243"/>
      <c r="AX593" s="243"/>
      <c r="AY593" s="243"/>
      <c r="AZ593" s="243"/>
    </row>
    <row r="594" spans="1:52">
      <c r="A594" s="216" t="str">
        <f>IF(D594="","",VLOOKUP(G594,códigosORL!$H:$J,3,FALSE))</f>
        <v/>
      </c>
      <c r="B594" s="243"/>
      <c r="C594" s="259"/>
      <c r="D594" s="243"/>
      <c r="E594" s="243"/>
      <c r="F594" s="247"/>
      <c r="G594" s="243"/>
      <c r="H594" s="243"/>
      <c r="I594" s="243"/>
      <c r="J594" s="243"/>
      <c r="K594" s="243"/>
      <c r="L594" s="243"/>
      <c r="M594" s="243"/>
      <c r="N594" s="243"/>
      <c r="O594" s="243"/>
      <c r="P594" s="243"/>
      <c r="Q594" s="243"/>
      <c r="R594" s="243"/>
      <c r="S594" s="243"/>
      <c r="T594" s="243"/>
      <c r="U594" s="243"/>
      <c r="V594" s="243"/>
      <c r="W594" s="243"/>
      <c r="X594" s="243"/>
      <c r="Y594" s="244"/>
      <c r="Z594" s="243"/>
      <c r="AA594" s="245"/>
      <c r="AB594" s="246"/>
      <c r="AC594" s="246"/>
      <c r="AD594" s="246"/>
      <c r="AE594" s="131"/>
      <c r="AF594" s="244"/>
      <c r="AG594" s="243"/>
      <c r="AH594" s="243"/>
      <c r="AI594" s="243"/>
      <c r="AJ594" s="243"/>
      <c r="AK594" s="243"/>
      <c r="AL594" s="243"/>
      <c r="AM594" s="243"/>
      <c r="AN594" s="243"/>
      <c r="AO594" s="243"/>
      <c r="AP594" s="243"/>
      <c r="AQ594" s="243"/>
      <c r="AR594" s="243"/>
      <c r="AS594" s="243"/>
      <c r="AT594" s="243"/>
      <c r="AU594" s="243"/>
      <c r="AV594" s="243"/>
      <c r="AW594" s="243"/>
      <c r="AX594" s="243"/>
      <c r="AY594" s="243"/>
      <c r="AZ594" s="243"/>
    </row>
    <row r="595" spans="1:52">
      <c r="A595" s="216" t="str">
        <f>IF(D595="","",VLOOKUP(G595,códigosORL!$H:$J,3,FALSE))</f>
        <v/>
      </c>
      <c r="B595" s="243"/>
      <c r="C595" s="259"/>
      <c r="D595" s="243"/>
      <c r="E595" s="243"/>
      <c r="F595" s="247"/>
      <c r="G595" s="243"/>
      <c r="H595" s="243"/>
      <c r="I595" s="243"/>
      <c r="J595" s="243"/>
      <c r="K595" s="243"/>
      <c r="L595" s="243"/>
      <c r="M595" s="243"/>
      <c r="N595" s="243"/>
      <c r="O595" s="243"/>
      <c r="P595" s="243"/>
      <c r="Q595" s="243"/>
      <c r="R595" s="243"/>
      <c r="S595" s="243"/>
      <c r="T595" s="243"/>
      <c r="U595" s="243"/>
      <c r="V595" s="243"/>
      <c r="W595" s="243"/>
      <c r="X595" s="243"/>
      <c r="Y595" s="244"/>
      <c r="Z595" s="243"/>
      <c r="AA595" s="245"/>
      <c r="AB595" s="246"/>
      <c r="AC595" s="246"/>
      <c r="AD595" s="246"/>
      <c r="AE595" s="131"/>
      <c r="AF595" s="244"/>
      <c r="AG595" s="243"/>
      <c r="AH595" s="243"/>
      <c r="AI595" s="243"/>
      <c r="AJ595" s="243"/>
      <c r="AK595" s="243"/>
      <c r="AL595" s="243"/>
      <c r="AM595" s="243"/>
      <c r="AN595" s="243"/>
      <c r="AO595" s="243"/>
      <c r="AP595" s="243"/>
      <c r="AQ595" s="243"/>
      <c r="AR595" s="243"/>
      <c r="AS595" s="243"/>
      <c r="AT595" s="243"/>
      <c r="AU595" s="243"/>
      <c r="AV595" s="243"/>
      <c r="AW595" s="243"/>
      <c r="AX595" s="243"/>
      <c r="AY595" s="243"/>
      <c r="AZ595" s="243"/>
    </row>
    <row r="596" spans="1:52">
      <c r="A596" s="216" t="str">
        <f>IF(D596="","",VLOOKUP(G596,códigosORL!$H:$J,3,FALSE))</f>
        <v/>
      </c>
      <c r="B596" s="243"/>
      <c r="C596" s="259"/>
      <c r="D596" s="243"/>
      <c r="E596" s="243"/>
      <c r="F596" s="247"/>
      <c r="G596" s="243"/>
      <c r="H596" s="243"/>
      <c r="I596" s="243"/>
      <c r="J596" s="243"/>
      <c r="K596" s="243"/>
      <c r="L596" s="243"/>
      <c r="M596" s="243"/>
      <c r="N596" s="243"/>
      <c r="O596" s="243"/>
      <c r="P596" s="243"/>
      <c r="Q596" s="243"/>
      <c r="R596" s="243"/>
      <c r="S596" s="243"/>
      <c r="T596" s="243"/>
      <c r="U596" s="243"/>
      <c r="V596" s="243"/>
      <c r="W596" s="243"/>
      <c r="X596" s="243"/>
      <c r="Y596" s="244"/>
      <c r="Z596" s="243"/>
      <c r="AA596" s="245"/>
      <c r="AB596" s="246"/>
      <c r="AC596" s="246"/>
      <c r="AD596" s="246"/>
      <c r="AE596" s="131"/>
      <c r="AF596" s="244"/>
      <c r="AG596" s="243"/>
      <c r="AH596" s="243"/>
      <c r="AI596" s="243"/>
      <c r="AJ596" s="243"/>
      <c r="AK596" s="243"/>
      <c r="AL596" s="243"/>
      <c r="AM596" s="243"/>
      <c r="AN596" s="243"/>
      <c r="AO596" s="243"/>
      <c r="AP596" s="243"/>
      <c r="AQ596" s="243"/>
      <c r="AR596" s="243"/>
      <c r="AS596" s="243"/>
      <c r="AT596" s="243"/>
      <c r="AU596" s="243"/>
      <c r="AV596" s="243"/>
      <c r="AW596" s="243"/>
      <c r="AX596" s="243"/>
      <c r="AY596" s="243"/>
      <c r="AZ596" s="243"/>
    </row>
    <row r="597" spans="1:52">
      <c r="A597" s="216" t="str">
        <f>IF(D597="","",VLOOKUP(G597,códigosORL!$H:$J,3,FALSE))</f>
        <v/>
      </c>
      <c r="B597" s="243"/>
      <c r="C597" s="259"/>
      <c r="D597" s="243"/>
      <c r="E597" s="243"/>
      <c r="F597" s="247"/>
      <c r="G597" s="243"/>
      <c r="H597" s="243"/>
      <c r="I597" s="243"/>
      <c r="J597" s="243"/>
      <c r="K597" s="243"/>
      <c r="L597" s="243"/>
      <c r="M597" s="243"/>
      <c r="N597" s="243"/>
      <c r="O597" s="243"/>
      <c r="P597" s="243"/>
      <c r="Q597" s="243"/>
      <c r="R597" s="243"/>
      <c r="S597" s="243"/>
      <c r="T597" s="243"/>
      <c r="U597" s="243"/>
      <c r="V597" s="243"/>
      <c r="W597" s="243"/>
      <c r="X597" s="243"/>
      <c r="Y597" s="244"/>
      <c r="Z597" s="243"/>
      <c r="AA597" s="245"/>
      <c r="AB597" s="246"/>
      <c r="AC597" s="246"/>
      <c r="AD597" s="246"/>
      <c r="AE597" s="131"/>
      <c r="AF597" s="244"/>
      <c r="AG597" s="243"/>
      <c r="AH597" s="243"/>
      <c r="AI597" s="243"/>
      <c r="AJ597" s="243"/>
      <c r="AK597" s="243"/>
      <c r="AL597" s="243"/>
      <c r="AM597" s="243"/>
      <c r="AN597" s="243"/>
      <c r="AO597" s="243"/>
      <c r="AP597" s="243"/>
      <c r="AQ597" s="243"/>
      <c r="AR597" s="243"/>
      <c r="AS597" s="243"/>
      <c r="AT597" s="243"/>
      <c r="AU597" s="243"/>
      <c r="AV597" s="243"/>
      <c r="AW597" s="243"/>
      <c r="AX597" s="243"/>
      <c r="AY597" s="243"/>
      <c r="AZ597" s="243"/>
    </row>
    <row r="598" spans="1:52">
      <c r="A598" s="216" t="str">
        <f>IF(D598="","",VLOOKUP(G598,códigosORL!$H:$J,3,FALSE))</f>
        <v/>
      </c>
      <c r="B598" s="243"/>
      <c r="C598" s="259"/>
      <c r="D598" s="243"/>
      <c r="E598" s="243"/>
      <c r="F598" s="247"/>
      <c r="G598" s="243"/>
      <c r="H598" s="243"/>
      <c r="I598" s="243"/>
      <c r="J598" s="243"/>
      <c r="K598" s="243"/>
      <c r="L598" s="243"/>
      <c r="M598" s="243"/>
      <c r="N598" s="243"/>
      <c r="O598" s="243"/>
      <c r="P598" s="243"/>
      <c r="Q598" s="243"/>
      <c r="R598" s="243"/>
      <c r="S598" s="243"/>
      <c r="T598" s="243"/>
      <c r="U598" s="243"/>
      <c r="V598" s="243"/>
      <c r="W598" s="243"/>
      <c r="X598" s="243"/>
      <c r="Y598" s="244"/>
      <c r="Z598" s="243"/>
      <c r="AA598" s="245"/>
      <c r="AB598" s="246"/>
      <c r="AC598" s="246"/>
      <c r="AD598" s="246"/>
      <c r="AE598" s="131"/>
      <c r="AF598" s="244"/>
      <c r="AG598" s="243"/>
      <c r="AH598" s="243"/>
      <c r="AI598" s="243"/>
      <c r="AJ598" s="243"/>
      <c r="AK598" s="243"/>
      <c r="AL598" s="243"/>
      <c r="AM598" s="243"/>
      <c r="AN598" s="243"/>
      <c r="AO598" s="243"/>
      <c r="AP598" s="243"/>
      <c r="AQ598" s="243"/>
      <c r="AR598" s="243"/>
      <c r="AS598" s="243"/>
      <c r="AT598" s="243"/>
      <c r="AU598" s="243"/>
      <c r="AV598" s="243"/>
      <c r="AW598" s="243"/>
      <c r="AX598" s="243"/>
      <c r="AY598" s="243"/>
      <c r="AZ598" s="243"/>
    </row>
    <row r="599" spans="1:52">
      <c r="A599" s="216" t="str">
        <f>IF(D599="","",VLOOKUP(G599,códigosORL!$H:$J,3,FALSE))</f>
        <v/>
      </c>
      <c r="B599" s="243"/>
      <c r="C599" s="259"/>
      <c r="D599" s="243"/>
      <c r="E599" s="243"/>
      <c r="F599" s="247"/>
      <c r="G599" s="243"/>
      <c r="H599" s="243"/>
      <c r="I599" s="243"/>
      <c r="J599" s="243"/>
      <c r="K599" s="243"/>
      <c r="L599" s="243"/>
      <c r="M599" s="243"/>
      <c r="N599" s="243"/>
      <c r="O599" s="243"/>
      <c r="P599" s="243"/>
      <c r="Q599" s="243"/>
      <c r="R599" s="243"/>
      <c r="S599" s="243"/>
      <c r="T599" s="243"/>
      <c r="U599" s="243"/>
      <c r="V599" s="243"/>
      <c r="W599" s="243"/>
      <c r="X599" s="243"/>
      <c r="Y599" s="244"/>
      <c r="Z599" s="243"/>
      <c r="AA599" s="245"/>
      <c r="AB599" s="246"/>
      <c r="AC599" s="246"/>
      <c r="AD599" s="246"/>
      <c r="AE599" s="131"/>
      <c r="AF599" s="244"/>
      <c r="AG599" s="243"/>
      <c r="AH599" s="243"/>
      <c r="AI599" s="243"/>
      <c r="AJ599" s="243"/>
      <c r="AK599" s="243"/>
      <c r="AL599" s="243"/>
      <c r="AM599" s="243"/>
      <c r="AN599" s="243"/>
      <c r="AO599" s="243"/>
      <c r="AP599" s="243"/>
      <c r="AQ599" s="243"/>
      <c r="AR599" s="243"/>
      <c r="AS599" s="243"/>
      <c r="AT599" s="243"/>
      <c r="AU599" s="243"/>
      <c r="AV599" s="243"/>
      <c r="AW599" s="243"/>
      <c r="AX599" s="243"/>
      <c r="AY599" s="243"/>
      <c r="AZ599" s="243"/>
    </row>
    <row r="600" spans="1:52">
      <c r="A600" s="216" t="str">
        <f>IF(D600="","",VLOOKUP(G600,códigosORL!$H:$J,3,FALSE))</f>
        <v/>
      </c>
      <c r="B600" s="243"/>
      <c r="C600" s="259"/>
      <c r="D600" s="243"/>
      <c r="E600" s="243"/>
      <c r="F600" s="247"/>
      <c r="G600" s="243"/>
      <c r="H600" s="243"/>
      <c r="I600" s="243"/>
      <c r="J600" s="243"/>
      <c r="K600" s="243"/>
      <c r="L600" s="243"/>
      <c r="M600" s="243"/>
      <c r="N600" s="243"/>
      <c r="O600" s="243"/>
      <c r="P600" s="243"/>
      <c r="Q600" s="243"/>
      <c r="R600" s="243"/>
      <c r="S600" s="243"/>
      <c r="T600" s="243"/>
      <c r="U600" s="243"/>
      <c r="V600" s="243"/>
      <c r="W600" s="243"/>
      <c r="X600" s="243"/>
      <c r="Y600" s="244"/>
      <c r="Z600" s="243"/>
      <c r="AA600" s="245"/>
      <c r="AB600" s="246"/>
      <c r="AC600" s="246"/>
      <c r="AD600" s="246"/>
      <c r="AE600" s="131"/>
      <c r="AF600" s="244"/>
      <c r="AG600" s="243"/>
      <c r="AH600" s="243"/>
      <c r="AI600" s="243"/>
      <c r="AJ600" s="243"/>
      <c r="AK600" s="243"/>
      <c r="AL600" s="243"/>
      <c r="AM600" s="243"/>
      <c r="AN600" s="243"/>
      <c r="AO600" s="243"/>
      <c r="AP600" s="243"/>
      <c r="AQ600" s="243"/>
      <c r="AR600" s="243"/>
      <c r="AS600" s="243"/>
      <c r="AT600" s="243"/>
      <c r="AU600" s="243"/>
      <c r="AV600" s="243"/>
      <c r="AW600" s="243"/>
      <c r="AX600" s="243"/>
      <c r="AY600" s="243"/>
      <c r="AZ600" s="243"/>
    </row>
    <row r="601" spans="1:52">
      <c r="A601" s="216" t="str">
        <f>IF(D601="","",VLOOKUP(G601,códigosORL!$H:$J,3,FALSE))</f>
        <v/>
      </c>
      <c r="B601" s="243"/>
      <c r="C601" s="259"/>
      <c r="D601" s="243"/>
      <c r="E601" s="243"/>
      <c r="F601" s="247"/>
      <c r="G601" s="243"/>
      <c r="H601" s="243"/>
      <c r="I601" s="243"/>
      <c r="J601" s="243"/>
      <c r="K601" s="243"/>
      <c r="L601" s="243"/>
      <c r="M601" s="243"/>
      <c r="N601" s="243"/>
      <c r="O601" s="243"/>
      <c r="P601" s="243"/>
      <c r="Q601" s="243"/>
      <c r="R601" s="243"/>
      <c r="S601" s="243"/>
      <c r="T601" s="243"/>
      <c r="U601" s="243"/>
      <c r="V601" s="243"/>
      <c r="W601" s="243"/>
      <c r="X601" s="243"/>
      <c r="Y601" s="244"/>
      <c r="Z601" s="243"/>
      <c r="AA601" s="245"/>
      <c r="AB601" s="246"/>
      <c r="AC601" s="246"/>
      <c r="AD601" s="246"/>
      <c r="AE601" s="131"/>
      <c r="AF601" s="244"/>
      <c r="AG601" s="243"/>
      <c r="AH601" s="243"/>
      <c r="AI601" s="243"/>
      <c r="AJ601" s="243"/>
      <c r="AK601" s="243"/>
      <c r="AL601" s="243"/>
      <c r="AM601" s="243"/>
      <c r="AN601" s="243"/>
      <c r="AO601" s="243"/>
      <c r="AP601" s="243"/>
      <c r="AQ601" s="243"/>
      <c r="AR601" s="243"/>
      <c r="AS601" s="243"/>
      <c r="AT601" s="243"/>
      <c r="AU601" s="243"/>
      <c r="AV601" s="243"/>
      <c r="AW601" s="243"/>
      <c r="AX601" s="243"/>
      <c r="AY601" s="243"/>
      <c r="AZ601" s="243"/>
    </row>
    <row r="602" spans="1:52">
      <c r="A602" s="216" t="str">
        <f>IF(D602="","",VLOOKUP(G602,códigosORL!$H:$J,3,FALSE))</f>
        <v/>
      </c>
      <c r="B602" s="243"/>
      <c r="C602" s="259"/>
      <c r="D602" s="243"/>
      <c r="E602" s="243"/>
      <c r="F602" s="247"/>
      <c r="G602" s="243"/>
      <c r="H602" s="243"/>
      <c r="I602" s="243"/>
      <c r="J602" s="243"/>
      <c r="K602" s="243"/>
      <c r="L602" s="243"/>
      <c r="M602" s="243"/>
      <c r="N602" s="243"/>
      <c r="O602" s="243"/>
      <c r="P602" s="243"/>
      <c r="Q602" s="243"/>
      <c r="R602" s="243"/>
      <c r="S602" s="243"/>
      <c r="T602" s="243"/>
      <c r="U602" s="243"/>
      <c r="V602" s="243"/>
      <c r="W602" s="243"/>
      <c r="X602" s="243"/>
      <c r="Y602" s="244"/>
      <c r="Z602" s="243"/>
      <c r="AA602" s="245"/>
      <c r="AB602" s="246"/>
      <c r="AC602" s="246"/>
      <c r="AD602" s="246"/>
      <c r="AE602" s="131"/>
      <c r="AF602" s="244"/>
      <c r="AG602" s="243"/>
      <c r="AH602" s="243"/>
      <c r="AI602" s="243"/>
      <c r="AJ602" s="243"/>
      <c r="AK602" s="243"/>
      <c r="AL602" s="243"/>
      <c r="AM602" s="243"/>
      <c r="AN602" s="243"/>
      <c r="AO602" s="243"/>
      <c r="AP602" s="243"/>
      <c r="AQ602" s="243"/>
      <c r="AR602" s="243"/>
      <c r="AS602" s="243"/>
      <c r="AT602" s="243"/>
      <c r="AU602" s="243"/>
      <c r="AV602" s="243"/>
      <c r="AW602" s="243"/>
      <c r="AX602" s="243"/>
      <c r="AY602" s="243"/>
      <c r="AZ602" s="243"/>
    </row>
    <row r="603" spans="1:52">
      <c r="A603" s="216" t="str">
        <f>IF(D603="","",VLOOKUP(G603,códigosORL!$H:$J,3,FALSE))</f>
        <v/>
      </c>
      <c r="B603" s="243"/>
      <c r="C603" s="259"/>
      <c r="D603" s="243"/>
      <c r="E603" s="243"/>
      <c r="F603" s="247"/>
      <c r="G603" s="243"/>
      <c r="H603" s="243"/>
      <c r="I603" s="243"/>
      <c r="J603" s="243"/>
      <c r="K603" s="243"/>
      <c r="L603" s="243"/>
      <c r="M603" s="243"/>
      <c r="N603" s="243"/>
      <c r="O603" s="243"/>
      <c r="P603" s="243"/>
      <c r="Q603" s="243"/>
      <c r="R603" s="243"/>
      <c r="S603" s="243"/>
      <c r="T603" s="243"/>
      <c r="U603" s="243"/>
      <c r="V603" s="243"/>
      <c r="W603" s="243"/>
      <c r="X603" s="243"/>
      <c r="Y603" s="244"/>
      <c r="Z603" s="243"/>
      <c r="AA603" s="245"/>
      <c r="AB603" s="246"/>
      <c r="AC603" s="246"/>
      <c r="AD603" s="246"/>
      <c r="AE603" s="131"/>
      <c r="AF603" s="244"/>
      <c r="AG603" s="243"/>
      <c r="AH603" s="243"/>
      <c r="AI603" s="243"/>
      <c r="AJ603" s="243"/>
      <c r="AK603" s="243"/>
      <c r="AL603" s="243"/>
      <c r="AM603" s="243"/>
      <c r="AN603" s="243"/>
      <c r="AO603" s="243"/>
      <c r="AP603" s="243"/>
      <c r="AQ603" s="243"/>
      <c r="AR603" s="243"/>
      <c r="AS603" s="243"/>
      <c r="AT603" s="243"/>
      <c r="AU603" s="243"/>
      <c r="AV603" s="243"/>
      <c r="AW603" s="243"/>
      <c r="AX603" s="243"/>
      <c r="AY603" s="243"/>
      <c r="AZ603" s="243"/>
    </row>
    <row r="604" spans="1:52">
      <c r="A604" s="216" t="str">
        <f>IF(D604="","",VLOOKUP(G604,códigosORL!$H:$J,3,FALSE))</f>
        <v/>
      </c>
      <c r="B604" s="243"/>
      <c r="C604" s="259"/>
      <c r="D604" s="243"/>
      <c r="E604" s="243"/>
      <c r="F604" s="247"/>
      <c r="G604" s="243"/>
      <c r="H604" s="243"/>
      <c r="I604" s="243"/>
      <c r="J604" s="243"/>
      <c r="K604" s="243"/>
      <c r="L604" s="243"/>
      <c r="M604" s="243"/>
      <c r="N604" s="243"/>
      <c r="O604" s="243"/>
      <c r="P604" s="243"/>
      <c r="Q604" s="243"/>
      <c r="R604" s="243"/>
      <c r="S604" s="243"/>
      <c r="T604" s="243"/>
      <c r="U604" s="243"/>
      <c r="V604" s="243"/>
      <c r="W604" s="243"/>
      <c r="X604" s="243"/>
      <c r="Y604" s="244"/>
      <c r="Z604" s="243"/>
      <c r="AA604" s="245"/>
      <c r="AB604" s="246"/>
      <c r="AC604" s="246"/>
      <c r="AD604" s="246"/>
      <c r="AE604" s="131"/>
      <c r="AF604" s="244"/>
      <c r="AG604" s="243"/>
      <c r="AH604" s="243"/>
      <c r="AI604" s="243"/>
      <c r="AJ604" s="243"/>
      <c r="AK604" s="243"/>
      <c r="AL604" s="243"/>
      <c r="AM604" s="243"/>
      <c r="AN604" s="243"/>
      <c r="AO604" s="243"/>
      <c r="AP604" s="243"/>
      <c r="AQ604" s="243"/>
      <c r="AR604" s="243"/>
      <c r="AS604" s="243"/>
      <c r="AT604" s="243"/>
      <c r="AU604" s="243"/>
      <c r="AV604" s="243"/>
      <c r="AW604" s="243"/>
      <c r="AX604" s="243"/>
      <c r="AY604" s="243"/>
      <c r="AZ604" s="243"/>
    </row>
    <row r="605" spans="1:52">
      <c r="A605" s="216" t="str">
        <f>IF(D605="","",VLOOKUP(G605,códigosORL!$H:$J,3,FALSE))</f>
        <v/>
      </c>
      <c r="B605" s="243"/>
      <c r="C605" s="259"/>
      <c r="D605" s="243"/>
      <c r="E605" s="243"/>
      <c r="F605" s="247"/>
      <c r="G605" s="243"/>
      <c r="H605" s="243"/>
      <c r="I605" s="243"/>
      <c r="J605" s="243"/>
      <c r="K605" s="243"/>
      <c r="L605" s="243"/>
      <c r="M605" s="243"/>
      <c r="N605" s="243"/>
      <c r="O605" s="243"/>
      <c r="P605" s="243"/>
      <c r="Q605" s="243"/>
      <c r="R605" s="243"/>
      <c r="S605" s="243"/>
      <c r="T605" s="243"/>
      <c r="U605" s="243"/>
      <c r="V605" s="243"/>
      <c r="W605" s="243"/>
      <c r="X605" s="243"/>
      <c r="Y605" s="244"/>
      <c r="Z605" s="243"/>
      <c r="AA605" s="245"/>
      <c r="AB605" s="246"/>
      <c r="AC605" s="246"/>
      <c r="AD605" s="246"/>
      <c r="AE605" s="131"/>
      <c r="AF605" s="244"/>
      <c r="AG605" s="243"/>
      <c r="AH605" s="243"/>
      <c r="AI605" s="243"/>
      <c r="AJ605" s="243"/>
      <c r="AK605" s="243"/>
      <c r="AL605" s="243"/>
      <c r="AM605" s="243"/>
      <c r="AN605" s="243"/>
      <c r="AO605" s="243"/>
      <c r="AP605" s="243"/>
      <c r="AQ605" s="243"/>
      <c r="AR605" s="243"/>
      <c r="AS605" s="243"/>
      <c r="AT605" s="243"/>
      <c r="AU605" s="243"/>
      <c r="AV605" s="243"/>
      <c r="AW605" s="243"/>
      <c r="AX605" s="243"/>
      <c r="AY605" s="243"/>
      <c r="AZ605" s="243"/>
    </row>
    <row r="606" spans="1:52">
      <c r="A606" s="216" t="str">
        <f>IF(D606="","",VLOOKUP(G606,códigosORL!$H:$J,3,FALSE))</f>
        <v/>
      </c>
      <c r="B606" s="243"/>
      <c r="C606" s="259"/>
      <c r="D606" s="243"/>
      <c r="E606" s="243"/>
      <c r="F606" s="247"/>
      <c r="G606" s="243"/>
      <c r="H606" s="243"/>
      <c r="I606" s="243"/>
      <c r="J606" s="243"/>
      <c r="K606" s="243"/>
      <c r="L606" s="243"/>
      <c r="M606" s="243"/>
      <c r="N606" s="243"/>
      <c r="O606" s="243"/>
      <c r="P606" s="243"/>
      <c r="Q606" s="243"/>
      <c r="R606" s="243"/>
      <c r="S606" s="243"/>
      <c r="T606" s="243"/>
      <c r="U606" s="243"/>
      <c r="V606" s="243"/>
      <c r="W606" s="243"/>
      <c r="X606" s="243"/>
      <c r="Y606" s="244"/>
      <c r="Z606" s="243"/>
      <c r="AA606" s="245"/>
      <c r="AB606" s="246"/>
      <c r="AC606" s="246"/>
      <c r="AD606" s="246"/>
      <c r="AE606" s="131"/>
      <c r="AF606" s="244"/>
      <c r="AG606" s="243"/>
      <c r="AH606" s="243"/>
      <c r="AI606" s="243"/>
      <c r="AJ606" s="243"/>
      <c r="AK606" s="243"/>
      <c r="AL606" s="243"/>
      <c r="AM606" s="243"/>
      <c r="AN606" s="243"/>
      <c r="AO606" s="243"/>
      <c r="AP606" s="243"/>
      <c r="AQ606" s="243"/>
      <c r="AR606" s="243"/>
      <c r="AS606" s="243"/>
      <c r="AT606" s="243"/>
      <c r="AU606" s="243"/>
      <c r="AV606" s="243"/>
      <c r="AW606" s="243"/>
      <c r="AX606" s="243"/>
      <c r="AY606" s="243"/>
      <c r="AZ606" s="243"/>
    </row>
    <row r="607" spans="1:52">
      <c r="A607" s="216" t="str">
        <f>IF(D607="","",VLOOKUP(G607,códigosORL!$H:$J,3,FALSE))</f>
        <v/>
      </c>
      <c r="B607" s="243"/>
      <c r="C607" s="259"/>
      <c r="D607" s="243"/>
      <c r="E607" s="243"/>
      <c r="F607" s="247"/>
      <c r="G607" s="243"/>
      <c r="H607" s="243"/>
      <c r="I607" s="243"/>
      <c r="J607" s="243"/>
      <c r="K607" s="243"/>
      <c r="L607" s="243"/>
      <c r="M607" s="243"/>
      <c r="N607" s="243"/>
      <c r="O607" s="243"/>
      <c r="P607" s="243"/>
      <c r="Q607" s="243"/>
      <c r="R607" s="243"/>
      <c r="S607" s="243"/>
      <c r="T607" s="243"/>
      <c r="U607" s="243"/>
      <c r="V607" s="243"/>
      <c r="W607" s="243"/>
      <c r="X607" s="243"/>
      <c r="Y607" s="244"/>
      <c r="Z607" s="243"/>
      <c r="AA607" s="245"/>
      <c r="AB607" s="246"/>
      <c r="AC607" s="246"/>
      <c r="AD607" s="246"/>
      <c r="AE607" s="131"/>
      <c r="AF607" s="244"/>
      <c r="AG607" s="243"/>
      <c r="AH607" s="243"/>
      <c r="AI607" s="243"/>
      <c r="AJ607" s="243"/>
      <c r="AK607" s="243"/>
      <c r="AL607" s="243"/>
      <c r="AM607" s="243"/>
      <c r="AN607" s="243"/>
      <c r="AO607" s="243"/>
      <c r="AP607" s="243"/>
      <c r="AQ607" s="243"/>
      <c r="AR607" s="243"/>
      <c r="AS607" s="243"/>
      <c r="AT607" s="243"/>
      <c r="AU607" s="243"/>
      <c r="AV607" s="243"/>
      <c r="AW607" s="243"/>
      <c r="AX607" s="243"/>
      <c r="AY607" s="243"/>
      <c r="AZ607" s="243"/>
    </row>
    <row r="608" spans="1:52">
      <c r="A608" s="216" t="str">
        <f>IF(D608="","",VLOOKUP(G608,códigosORL!$H:$J,3,FALSE))</f>
        <v/>
      </c>
      <c r="B608" s="243"/>
      <c r="C608" s="259"/>
      <c r="D608" s="243"/>
      <c r="E608" s="243"/>
      <c r="F608" s="247"/>
      <c r="G608" s="243"/>
      <c r="H608" s="243"/>
      <c r="I608" s="243"/>
      <c r="J608" s="243"/>
      <c r="K608" s="243"/>
      <c r="L608" s="243"/>
      <c r="M608" s="243"/>
      <c r="N608" s="243"/>
      <c r="O608" s="243"/>
      <c r="P608" s="243"/>
      <c r="Q608" s="243"/>
      <c r="R608" s="243"/>
      <c r="S608" s="243"/>
      <c r="T608" s="243"/>
      <c r="U608" s="243"/>
      <c r="V608" s="243"/>
      <c r="W608" s="243"/>
      <c r="X608" s="243"/>
      <c r="Y608" s="244"/>
      <c r="Z608" s="243"/>
      <c r="AA608" s="245"/>
      <c r="AB608" s="246"/>
      <c r="AC608" s="246"/>
      <c r="AD608" s="246"/>
      <c r="AE608" s="131"/>
      <c r="AF608" s="244"/>
      <c r="AG608" s="243"/>
      <c r="AH608" s="243"/>
      <c r="AI608" s="243"/>
      <c r="AJ608" s="243"/>
      <c r="AK608" s="243"/>
      <c r="AL608" s="243"/>
      <c r="AM608" s="243"/>
      <c r="AN608" s="243"/>
      <c r="AO608" s="243"/>
      <c r="AP608" s="243"/>
      <c r="AQ608" s="243"/>
      <c r="AR608" s="243"/>
      <c r="AS608" s="243"/>
      <c r="AT608" s="243"/>
      <c r="AU608" s="243"/>
      <c r="AV608" s="243"/>
      <c r="AW608" s="243"/>
      <c r="AX608" s="243"/>
      <c r="AY608" s="243"/>
      <c r="AZ608" s="243"/>
    </row>
    <row r="609" spans="1:52">
      <c r="A609" s="216" t="str">
        <f>IF(D609="","",VLOOKUP(G609,códigosORL!$H:$J,3,FALSE))</f>
        <v/>
      </c>
      <c r="B609" s="243"/>
      <c r="C609" s="259"/>
      <c r="D609" s="243"/>
      <c r="E609" s="243"/>
      <c r="F609" s="247"/>
      <c r="G609" s="243"/>
      <c r="H609" s="243"/>
      <c r="I609" s="243"/>
      <c r="J609" s="243"/>
      <c r="K609" s="243"/>
      <c r="L609" s="243"/>
      <c r="M609" s="243"/>
      <c r="N609" s="243"/>
      <c r="O609" s="243"/>
      <c r="P609" s="243"/>
      <c r="Q609" s="243"/>
      <c r="R609" s="243"/>
      <c r="S609" s="243"/>
      <c r="T609" s="243"/>
      <c r="U609" s="243"/>
      <c r="V609" s="243"/>
      <c r="W609" s="243"/>
      <c r="X609" s="243"/>
      <c r="Y609" s="244"/>
      <c r="Z609" s="243"/>
      <c r="AA609" s="245"/>
      <c r="AB609" s="246"/>
      <c r="AC609" s="246"/>
      <c r="AD609" s="246"/>
      <c r="AE609" s="131"/>
      <c r="AF609" s="244"/>
      <c r="AG609" s="243"/>
      <c r="AH609" s="243"/>
      <c r="AI609" s="243"/>
      <c r="AJ609" s="243"/>
      <c r="AK609" s="243"/>
      <c r="AL609" s="243"/>
      <c r="AM609" s="243"/>
      <c r="AN609" s="243"/>
      <c r="AO609" s="243"/>
      <c r="AP609" s="243"/>
      <c r="AQ609" s="243"/>
      <c r="AR609" s="243"/>
      <c r="AS609" s="243"/>
      <c r="AT609" s="243"/>
      <c r="AU609" s="243"/>
      <c r="AV609" s="243"/>
      <c r="AW609" s="243"/>
      <c r="AX609" s="243"/>
      <c r="AY609" s="243"/>
      <c r="AZ609" s="243"/>
    </row>
    <row r="610" spans="1:52">
      <c r="A610" s="216" t="str">
        <f>IF(D610="","",VLOOKUP(G610,códigosORL!$H:$J,3,FALSE))</f>
        <v/>
      </c>
      <c r="B610" s="243"/>
      <c r="C610" s="259"/>
      <c r="D610" s="243"/>
      <c r="E610" s="243"/>
      <c r="F610" s="247"/>
      <c r="G610" s="243"/>
      <c r="H610" s="243"/>
      <c r="I610" s="243"/>
      <c r="J610" s="243"/>
      <c r="K610" s="243"/>
      <c r="L610" s="243"/>
      <c r="M610" s="243"/>
      <c r="N610" s="243"/>
      <c r="O610" s="243"/>
      <c r="P610" s="243"/>
      <c r="Q610" s="243"/>
      <c r="R610" s="243"/>
      <c r="S610" s="243"/>
      <c r="T610" s="243"/>
      <c r="U610" s="243"/>
      <c r="V610" s="243"/>
      <c r="W610" s="243"/>
      <c r="X610" s="243"/>
      <c r="Y610" s="244"/>
      <c r="Z610" s="243"/>
      <c r="AA610" s="245"/>
      <c r="AB610" s="246"/>
      <c r="AC610" s="246"/>
      <c r="AD610" s="246"/>
      <c r="AE610" s="131"/>
      <c r="AF610" s="244"/>
      <c r="AG610" s="243"/>
      <c r="AH610" s="243"/>
      <c r="AI610" s="243"/>
      <c r="AJ610" s="243"/>
      <c r="AK610" s="243"/>
      <c r="AL610" s="243"/>
      <c r="AM610" s="243"/>
      <c r="AN610" s="243"/>
      <c r="AO610" s="243"/>
      <c r="AP610" s="243"/>
      <c r="AQ610" s="243"/>
      <c r="AR610" s="243"/>
      <c r="AS610" s="243"/>
      <c r="AT610" s="243"/>
      <c r="AU610" s="243"/>
      <c r="AV610" s="243"/>
      <c r="AW610" s="243"/>
      <c r="AX610" s="243"/>
      <c r="AY610" s="243"/>
      <c r="AZ610" s="243"/>
    </row>
    <row r="611" spans="1:52">
      <c r="A611" s="216" t="str">
        <f>IF(D611="","",VLOOKUP(G611,códigosORL!$H:$J,3,FALSE))</f>
        <v/>
      </c>
      <c r="B611" s="243"/>
      <c r="C611" s="259"/>
      <c r="D611" s="243"/>
      <c r="E611" s="243"/>
      <c r="F611" s="247"/>
      <c r="G611" s="243"/>
      <c r="H611" s="243"/>
      <c r="I611" s="243"/>
      <c r="J611" s="243"/>
      <c r="K611" s="243"/>
      <c r="L611" s="243"/>
      <c r="M611" s="243"/>
      <c r="N611" s="243"/>
      <c r="O611" s="243"/>
      <c r="P611" s="243"/>
      <c r="Q611" s="243"/>
      <c r="R611" s="243"/>
      <c r="S611" s="243"/>
      <c r="T611" s="243"/>
      <c r="U611" s="243"/>
      <c r="V611" s="243"/>
      <c r="W611" s="243"/>
      <c r="X611" s="243"/>
      <c r="Y611" s="244"/>
      <c r="Z611" s="243"/>
      <c r="AA611" s="245"/>
      <c r="AB611" s="246"/>
      <c r="AC611" s="246"/>
      <c r="AD611" s="246"/>
      <c r="AE611" s="131"/>
      <c r="AF611" s="244"/>
      <c r="AG611" s="243"/>
      <c r="AH611" s="243"/>
      <c r="AI611" s="243"/>
      <c r="AJ611" s="243"/>
      <c r="AK611" s="243"/>
      <c r="AL611" s="243"/>
      <c r="AM611" s="243"/>
      <c r="AN611" s="243"/>
      <c r="AO611" s="243"/>
      <c r="AP611" s="243"/>
      <c r="AQ611" s="243"/>
      <c r="AR611" s="243"/>
      <c r="AS611" s="243"/>
      <c r="AT611" s="243"/>
      <c r="AU611" s="243"/>
      <c r="AV611" s="243"/>
      <c r="AW611" s="243"/>
      <c r="AX611" s="243"/>
      <c r="AY611" s="243"/>
      <c r="AZ611" s="243"/>
    </row>
    <row r="612" spans="1:52">
      <c r="A612" s="216" t="str">
        <f>IF(D612="","",VLOOKUP(G612,códigosORL!$H:$J,3,FALSE))</f>
        <v/>
      </c>
      <c r="B612" s="243"/>
      <c r="C612" s="259"/>
      <c r="D612" s="243"/>
      <c r="E612" s="243"/>
      <c r="F612" s="247"/>
      <c r="G612" s="243"/>
      <c r="H612" s="243"/>
      <c r="I612" s="243"/>
      <c r="J612" s="243"/>
      <c r="K612" s="243"/>
      <c r="L612" s="243"/>
      <c r="M612" s="243"/>
      <c r="N612" s="243"/>
      <c r="O612" s="243"/>
      <c r="P612" s="243"/>
      <c r="Q612" s="243"/>
      <c r="R612" s="243"/>
      <c r="S612" s="243"/>
      <c r="T612" s="243"/>
      <c r="U612" s="243"/>
      <c r="V612" s="243"/>
      <c r="W612" s="243"/>
      <c r="X612" s="243"/>
      <c r="Y612" s="244"/>
      <c r="Z612" s="243"/>
      <c r="AA612" s="245"/>
      <c r="AB612" s="246"/>
      <c r="AC612" s="246"/>
      <c r="AD612" s="246"/>
      <c r="AE612" s="131"/>
      <c r="AF612" s="244"/>
      <c r="AG612" s="243"/>
      <c r="AH612" s="243"/>
      <c r="AI612" s="243"/>
      <c r="AJ612" s="243"/>
      <c r="AK612" s="243"/>
      <c r="AL612" s="243"/>
      <c r="AM612" s="243"/>
      <c r="AN612" s="243"/>
      <c r="AO612" s="243"/>
      <c r="AP612" s="243"/>
      <c r="AQ612" s="243"/>
      <c r="AR612" s="243"/>
      <c r="AS612" s="243"/>
      <c r="AT612" s="243"/>
      <c r="AU612" s="243"/>
      <c r="AV612" s="243"/>
      <c r="AW612" s="243"/>
      <c r="AX612" s="243"/>
      <c r="AY612" s="243"/>
      <c r="AZ612" s="243"/>
    </row>
    <row r="613" spans="1:52">
      <c r="A613" s="216" t="str">
        <f>IF(D613="","",VLOOKUP(G613,códigosORL!$H:$J,3,FALSE))</f>
        <v/>
      </c>
      <c r="B613" s="243"/>
      <c r="C613" s="259"/>
      <c r="D613" s="243"/>
      <c r="E613" s="243"/>
      <c r="F613" s="247"/>
      <c r="G613" s="243"/>
      <c r="H613" s="243"/>
      <c r="I613" s="243"/>
      <c r="J613" s="243"/>
      <c r="K613" s="243"/>
      <c r="L613" s="243"/>
      <c r="M613" s="243"/>
      <c r="N613" s="243"/>
      <c r="O613" s="243"/>
      <c r="P613" s="243"/>
      <c r="Q613" s="243"/>
      <c r="R613" s="243"/>
      <c r="S613" s="243"/>
      <c r="T613" s="243"/>
      <c r="U613" s="243"/>
      <c r="V613" s="243"/>
      <c r="W613" s="243"/>
      <c r="X613" s="243"/>
      <c r="Y613" s="244"/>
      <c r="Z613" s="243"/>
      <c r="AA613" s="245"/>
      <c r="AB613" s="246"/>
      <c r="AC613" s="246"/>
      <c r="AD613" s="246"/>
      <c r="AE613" s="131"/>
      <c r="AF613" s="244"/>
      <c r="AG613" s="243"/>
      <c r="AH613" s="243"/>
      <c r="AI613" s="243"/>
      <c r="AJ613" s="243"/>
      <c r="AK613" s="243"/>
      <c r="AL613" s="243"/>
      <c r="AM613" s="243"/>
      <c r="AN613" s="243"/>
      <c r="AO613" s="243"/>
      <c r="AP613" s="243"/>
      <c r="AQ613" s="243"/>
      <c r="AR613" s="243"/>
      <c r="AS613" s="243"/>
      <c r="AT613" s="243"/>
      <c r="AU613" s="243"/>
      <c r="AV613" s="243"/>
      <c r="AW613" s="243"/>
      <c r="AX613" s="243"/>
      <c r="AY613" s="243"/>
      <c r="AZ613" s="243"/>
    </row>
    <row r="614" spans="1:52">
      <c r="A614" s="216" t="str">
        <f>IF(D614="","",VLOOKUP(G614,códigosORL!$H:$J,3,FALSE))</f>
        <v/>
      </c>
      <c r="B614" s="243"/>
      <c r="C614" s="259"/>
      <c r="D614" s="243"/>
      <c r="E614" s="243"/>
      <c r="F614" s="247"/>
      <c r="G614" s="243"/>
      <c r="H614" s="243"/>
      <c r="I614" s="243"/>
      <c r="J614" s="243"/>
      <c r="K614" s="243"/>
      <c r="L614" s="243"/>
      <c r="M614" s="243"/>
      <c r="N614" s="243"/>
      <c r="O614" s="243"/>
      <c r="P614" s="243"/>
      <c r="Q614" s="243"/>
      <c r="R614" s="243"/>
      <c r="S614" s="243"/>
      <c r="T614" s="243"/>
      <c r="U614" s="243"/>
      <c r="V614" s="243"/>
      <c r="W614" s="243"/>
      <c r="X614" s="243"/>
      <c r="Y614" s="244"/>
      <c r="Z614" s="243"/>
      <c r="AA614" s="245"/>
      <c r="AB614" s="246"/>
      <c r="AC614" s="246"/>
      <c r="AD614" s="246"/>
      <c r="AE614" s="131"/>
      <c r="AF614" s="244"/>
      <c r="AG614" s="243"/>
      <c r="AH614" s="243"/>
      <c r="AI614" s="243"/>
      <c r="AJ614" s="243"/>
      <c r="AK614" s="243"/>
      <c r="AL614" s="243"/>
      <c r="AM614" s="243"/>
      <c r="AN614" s="243"/>
      <c r="AO614" s="243"/>
      <c r="AP614" s="243"/>
      <c r="AQ614" s="243"/>
      <c r="AR614" s="243"/>
      <c r="AS614" s="243"/>
      <c r="AT614" s="243"/>
      <c r="AU614" s="243"/>
      <c r="AV614" s="243"/>
      <c r="AW614" s="243"/>
      <c r="AX614" s="243"/>
      <c r="AY614" s="243"/>
      <c r="AZ614" s="243"/>
    </row>
    <row r="615" spans="1:52">
      <c r="A615" s="216" t="str">
        <f>IF(D615="","",VLOOKUP(G615,códigosORL!$H:$J,3,FALSE))</f>
        <v/>
      </c>
      <c r="B615" s="243"/>
      <c r="C615" s="259"/>
      <c r="D615" s="243"/>
      <c r="E615" s="243"/>
      <c r="F615" s="247"/>
      <c r="G615" s="243"/>
      <c r="H615" s="243"/>
      <c r="I615" s="243"/>
      <c r="J615" s="243"/>
      <c r="K615" s="243"/>
      <c r="L615" s="243"/>
      <c r="M615" s="243"/>
      <c r="N615" s="243"/>
      <c r="O615" s="243"/>
      <c r="P615" s="243"/>
      <c r="Q615" s="243"/>
      <c r="R615" s="243"/>
      <c r="S615" s="243"/>
      <c r="T615" s="243"/>
      <c r="U615" s="243"/>
      <c r="V615" s="243"/>
      <c r="W615" s="243"/>
      <c r="X615" s="243"/>
      <c r="Y615" s="244"/>
      <c r="Z615" s="243"/>
      <c r="AA615" s="245"/>
      <c r="AB615" s="246"/>
      <c r="AC615" s="246"/>
      <c r="AD615" s="246"/>
      <c r="AE615" s="131"/>
      <c r="AF615" s="244"/>
      <c r="AG615" s="243"/>
      <c r="AH615" s="243"/>
      <c r="AI615" s="243"/>
      <c r="AJ615" s="243"/>
      <c r="AK615" s="243"/>
      <c r="AL615" s="243"/>
      <c r="AM615" s="243"/>
      <c r="AN615" s="243"/>
      <c r="AO615" s="243"/>
      <c r="AP615" s="243"/>
      <c r="AQ615" s="243"/>
      <c r="AR615" s="243"/>
      <c r="AS615" s="243"/>
      <c r="AT615" s="243"/>
      <c r="AU615" s="243"/>
      <c r="AV615" s="243"/>
      <c r="AW615" s="243"/>
      <c r="AX615" s="243"/>
      <c r="AY615" s="243"/>
      <c r="AZ615" s="243"/>
    </row>
    <row r="616" spans="1:52">
      <c r="A616" s="216" t="str">
        <f>IF(D616="","",VLOOKUP(G616,códigosORL!$H:$J,3,FALSE))</f>
        <v/>
      </c>
      <c r="B616" s="243"/>
      <c r="C616" s="259"/>
      <c r="D616" s="243"/>
      <c r="E616" s="243"/>
      <c r="F616" s="247"/>
      <c r="G616" s="243"/>
      <c r="H616" s="243"/>
      <c r="I616" s="243"/>
      <c r="J616" s="243"/>
      <c r="K616" s="243"/>
      <c r="L616" s="243"/>
      <c r="M616" s="243"/>
      <c r="N616" s="243"/>
      <c r="O616" s="243"/>
      <c r="P616" s="243"/>
      <c r="Q616" s="243"/>
      <c r="R616" s="243"/>
      <c r="S616" s="243"/>
      <c r="T616" s="243"/>
      <c r="U616" s="243"/>
      <c r="V616" s="243"/>
      <c r="W616" s="243"/>
      <c r="X616" s="243"/>
      <c r="Y616" s="244"/>
      <c r="Z616" s="243"/>
      <c r="AA616" s="245"/>
      <c r="AB616" s="246"/>
      <c r="AC616" s="246"/>
      <c r="AD616" s="246"/>
      <c r="AE616" s="131"/>
      <c r="AF616" s="244"/>
      <c r="AG616" s="243"/>
      <c r="AH616" s="243"/>
      <c r="AI616" s="243"/>
      <c r="AJ616" s="243"/>
      <c r="AK616" s="243"/>
      <c r="AL616" s="243"/>
      <c r="AM616" s="243"/>
      <c r="AN616" s="243"/>
      <c r="AO616" s="243"/>
      <c r="AP616" s="243"/>
      <c r="AQ616" s="243"/>
      <c r="AR616" s="243"/>
      <c r="AS616" s="243"/>
      <c r="AT616" s="243"/>
      <c r="AU616" s="243"/>
      <c r="AV616" s="243"/>
      <c r="AW616" s="243"/>
      <c r="AX616" s="243"/>
      <c r="AY616" s="243"/>
      <c r="AZ616" s="243"/>
    </row>
    <row r="617" spans="1:52">
      <c r="A617" s="216" t="str">
        <f>IF(D617="","",VLOOKUP(G617,códigosORL!$H:$J,3,FALSE))</f>
        <v/>
      </c>
      <c r="B617" s="243"/>
      <c r="C617" s="259"/>
      <c r="D617" s="243"/>
      <c r="E617" s="243"/>
      <c r="F617" s="247"/>
      <c r="G617" s="243"/>
      <c r="H617" s="243"/>
      <c r="I617" s="243"/>
      <c r="J617" s="243"/>
      <c r="K617" s="243"/>
      <c r="L617" s="243"/>
      <c r="M617" s="243"/>
      <c r="N617" s="243"/>
      <c r="O617" s="243"/>
      <c r="P617" s="243"/>
      <c r="Q617" s="243"/>
      <c r="R617" s="243"/>
      <c r="S617" s="243"/>
      <c r="T617" s="243"/>
      <c r="U617" s="243"/>
      <c r="V617" s="243"/>
      <c r="W617" s="243"/>
      <c r="X617" s="243"/>
      <c r="Y617" s="244"/>
      <c r="Z617" s="243"/>
      <c r="AA617" s="245"/>
      <c r="AB617" s="246"/>
      <c r="AC617" s="246"/>
      <c r="AD617" s="246"/>
      <c r="AE617" s="131"/>
      <c r="AF617" s="244"/>
      <c r="AG617" s="243"/>
      <c r="AH617" s="243"/>
      <c r="AI617" s="243"/>
      <c r="AJ617" s="243"/>
      <c r="AK617" s="243"/>
      <c r="AL617" s="243"/>
      <c r="AM617" s="243"/>
      <c r="AN617" s="243"/>
      <c r="AO617" s="243"/>
      <c r="AP617" s="243"/>
      <c r="AQ617" s="243"/>
      <c r="AR617" s="243"/>
      <c r="AS617" s="243"/>
      <c r="AT617" s="243"/>
      <c r="AU617" s="243"/>
      <c r="AV617" s="243"/>
      <c r="AW617" s="243"/>
      <c r="AX617" s="243"/>
      <c r="AY617" s="243"/>
      <c r="AZ617" s="243"/>
    </row>
    <row r="618" spans="1:52">
      <c r="A618" s="216" t="str">
        <f>IF(D618="","",VLOOKUP(G618,códigosORL!$H:$J,3,FALSE))</f>
        <v/>
      </c>
      <c r="B618" s="243"/>
      <c r="C618" s="259"/>
      <c r="D618" s="243"/>
      <c r="E618" s="243"/>
      <c r="F618" s="247"/>
      <c r="G618" s="243"/>
      <c r="H618" s="243"/>
      <c r="I618" s="243"/>
      <c r="J618" s="243"/>
      <c r="K618" s="243"/>
      <c r="L618" s="243"/>
      <c r="M618" s="243"/>
      <c r="N618" s="243"/>
      <c r="O618" s="243"/>
      <c r="P618" s="243"/>
      <c r="Q618" s="243"/>
      <c r="R618" s="243"/>
      <c r="S618" s="243"/>
      <c r="T618" s="243"/>
      <c r="U618" s="243"/>
      <c r="V618" s="243"/>
      <c r="W618" s="243"/>
      <c r="X618" s="243"/>
      <c r="Y618" s="244"/>
      <c r="Z618" s="243"/>
      <c r="AA618" s="245"/>
      <c r="AB618" s="246"/>
      <c r="AC618" s="246"/>
      <c r="AD618" s="246"/>
      <c r="AE618" s="131"/>
      <c r="AF618" s="244"/>
      <c r="AG618" s="243"/>
      <c r="AH618" s="243"/>
      <c r="AI618" s="243"/>
      <c r="AJ618" s="243"/>
      <c r="AK618" s="243"/>
      <c r="AL618" s="243"/>
      <c r="AM618" s="243"/>
      <c r="AN618" s="243"/>
      <c r="AO618" s="243"/>
      <c r="AP618" s="243"/>
      <c r="AQ618" s="243"/>
      <c r="AR618" s="243"/>
      <c r="AS618" s="243"/>
      <c r="AT618" s="243"/>
      <c r="AU618" s="243"/>
      <c r="AV618" s="243"/>
      <c r="AW618" s="243"/>
      <c r="AX618" s="243"/>
      <c r="AY618" s="243"/>
      <c r="AZ618" s="243"/>
    </row>
    <row r="619" spans="1:52">
      <c r="A619" s="216" t="str">
        <f>IF(D619="","",VLOOKUP(G619,códigosORL!$H:$J,3,FALSE))</f>
        <v/>
      </c>
      <c r="B619" s="243"/>
      <c r="C619" s="259"/>
      <c r="D619" s="243"/>
      <c r="E619" s="243"/>
      <c r="F619" s="247"/>
      <c r="G619" s="243"/>
      <c r="H619" s="243"/>
      <c r="I619" s="243"/>
      <c r="J619" s="243"/>
      <c r="K619" s="243"/>
      <c r="L619" s="243"/>
      <c r="M619" s="243"/>
      <c r="N619" s="243"/>
      <c r="O619" s="243"/>
      <c r="P619" s="243"/>
      <c r="Q619" s="243"/>
      <c r="R619" s="243"/>
      <c r="S619" s="243"/>
      <c r="T619" s="243"/>
      <c r="U619" s="243"/>
      <c r="V619" s="243"/>
      <c r="W619" s="243"/>
      <c r="X619" s="243"/>
      <c r="Y619" s="244"/>
      <c r="Z619" s="243"/>
      <c r="AA619" s="245"/>
      <c r="AB619" s="246"/>
      <c r="AC619" s="246"/>
      <c r="AD619" s="246"/>
      <c r="AE619" s="131"/>
      <c r="AF619" s="244"/>
      <c r="AG619" s="243"/>
      <c r="AH619" s="243"/>
      <c r="AI619" s="243"/>
      <c r="AJ619" s="243"/>
      <c r="AK619" s="243"/>
      <c r="AL619" s="243"/>
      <c r="AM619" s="243"/>
      <c r="AN619" s="243"/>
      <c r="AO619" s="243"/>
      <c r="AP619" s="243"/>
      <c r="AQ619" s="243"/>
      <c r="AR619" s="243"/>
      <c r="AS619" s="243"/>
      <c r="AT619" s="243"/>
      <c r="AU619" s="243"/>
      <c r="AV619" s="243"/>
      <c r="AW619" s="243"/>
      <c r="AX619" s="243"/>
      <c r="AY619" s="243"/>
      <c r="AZ619" s="243"/>
    </row>
    <row r="620" spans="1:52">
      <c r="A620" s="216" t="str">
        <f>IF(D620="","",VLOOKUP(G620,códigosORL!$H:$J,3,FALSE))</f>
        <v/>
      </c>
      <c r="B620" s="243"/>
      <c r="C620" s="259"/>
      <c r="D620" s="243"/>
      <c r="E620" s="243"/>
      <c r="F620" s="247"/>
      <c r="G620" s="243"/>
      <c r="H620" s="243"/>
      <c r="I620" s="243"/>
      <c r="J620" s="243"/>
      <c r="K620" s="243"/>
      <c r="L620" s="243"/>
      <c r="M620" s="243"/>
      <c r="N620" s="243"/>
      <c r="O620" s="243"/>
      <c r="P620" s="243"/>
      <c r="Q620" s="243"/>
      <c r="R620" s="243"/>
      <c r="S620" s="243"/>
      <c r="T620" s="243"/>
      <c r="U620" s="243"/>
      <c r="V620" s="243"/>
      <c r="W620" s="243"/>
      <c r="X620" s="243"/>
      <c r="Y620" s="244"/>
      <c r="Z620" s="243"/>
      <c r="AA620" s="245"/>
      <c r="AB620" s="246"/>
      <c r="AC620" s="246"/>
      <c r="AD620" s="246"/>
      <c r="AE620" s="131"/>
      <c r="AF620" s="244"/>
      <c r="AG620" s="243"/>
      <c r="AH620" s="243"/>
      <c r="AI620" s="243"/>
      <c r="AJ620" s="243"/>
      <c r="AK620" s="243"/>
      <c r="AL620" s="243"/>
      <c r="AM620" s="243"/>
      <c r="AN620" s="243"/>
      <c r="AO620" s="243"/>
      <c r="AP620" s="243"/>
      <c r="AQ620" s="243"/>
      <c r="AR620" s="243"/>
      <c r="AS620" s="243"/>
      <c r="AT620" s="243"/>
      <c r="AU620" s="243"/>
      <c r="AV620" s="243"/>
      <c r="AW620" s="243"/>
      <c r="AX620" s="243"/>
      <c r="AY620" s="243"/>
      <c r="AZ620" s="243"/>
    </row>
    <row r="621" spans="1:52">
      <c r="A621" s="216" t="str">
        <f>IF(D621="","",VLOOKUP(G621,códigosORL!$H:$J,3,FALSE))</f>
        <v/>
      </c>
      <c r="B621" s="243"/>
      <c r="C621" s="259"/>
      <c r="D621" s="243"/>
      <c r="E621" s="243"/>
      <c r="F621" s="247"/>
      <c r="G621" s="243"/>
      <c r="H621" s="243"/>
      <c r="I621" s="243"/>
      <c r="J621" s="243"/>
      <c r="K621" s="243"/>
      <c r="L621" s="243"/>
      <c r="M621" s="243"/>
      <c r="N621" s="243"/>
      <c r="O621" s="243"/>
      <c r="P621" s="243"/>
      <c r="Q621" s="243"/>
      <c r="R621" s="243"/>
      <c r="S621" s="243"/>
      <c r="T621" s="243"/>
      <c r="U621" s="243"/>
      <c r="V621" s="243"/>
      <c r="W621" s="243"/>
      <c r="X621" s="243"/>
      <c r="Y621" s="244"/>
      <c r="Z621" s="243"/>
      <c r="AA621" s="245"/>
      <c r="AB621" s="246"/>
      <c r="AC621" s="246"/>
      <c r="AD621" s="246"/>
      <c r="AE621" s="131"/>
      <c r="AF621" s="244"/>
      <c r="AG621" s="243"/>
      <c r="AH621" s="243"/>
      <c r="AI621" s="243"/>
      <c r="AJ621" s="243"/>
      <c r="AK621" s="243"/>
      <c r="AL621" s="243"/>
      <c r="AM621" s="243"/>
      <c r="AN621" s="243"/>
      <c r="AO621" s="243"/>
      <c r="AP621" s="243"/>
      <c r="AQ621" s="243"/>
      <c r="AR621" s="243"/>
      <c r="AS621" s="243"/>
      <c r="AT621" s="243"/>
      <c r="AU621" s="243"/>
      <c r="AV621" s="243"/>
      <c r="AW621" s="243"/>
      <c r="AX621" s="243"/>
      <c r="AY621" s="243"/>
      <c r="AZ621" s="243"/>
    </row>
    <row r="622" spans="1:52">
      <c r="A622" s="216" t="str">
        <f>IF(D622="","",VLOOKUP(G622,códigosORL!$H:$J,3,FALSE))</f>
        <v/>
      </c>
      <c r="B622" s="243"/>
      <c r="C622" s="259"/>
      <c r="D622" s="243"/>
      <c r="E622" s="243"/>
      <c r="F622" s="247"/>
      <c r="G622" s="243"/>
      <c r="H622" s="243"/>
      <c r="I622" s="243"/>
      <c r="J622" s="243"/>
      <c r="K622" s="243"/>
      <c r="L622" s="243"/>
      <c r="M622" s="243"/>
      <c r="N622" s="243"/>
      <c r="O622" s="243"/>
      <c r="P622" s="243"/>
      <c r="Q622" s="243"/>
      <c r="R622" s="243"/>
      <c r="S622" s="243"/>
      <c r="T622" s="243"/>
      <c r="U622" s="243"/>
      <c r="V622" s="243"/>
      <c r="W622" s="243"/>
      <c r="X622" s="243"/>
      <c r="Y622" s="244"/>
      <c r="Z622" s="243"/>
      <c r="AA622" s="245"/>
      <c r="AB622" s="246"/>
      <c r="AC622" s="246"/>
      <c r="AD622" s="246"/>
      <c r="AE622" s="131"/>
      <c r="AF622" s="244"/>
      <c r="AG622" s="243"/>
      <c r="AH622" s="243"/>
      <c r="AI622" s="243"/>
      <c r="AJ622" s="243"/>
      <c r="AK622" s="243"/>
      <c r="AL622" s="243"/>
      <c r="AM622" s="243"/>
      <c r="AN622" s="243"/>
      <c r="AO622" s="243"/>
      <c r="AP622" s="243"/>
      <c r="AQ622" s="243"/>
      <c r="AR622" s="243"/>
      <c r="AS622" s="243"/>
      <c r="AT622" s="243"/>
      <c r="AU622" s="243"/>
      <c r="AV622" s="243"/>
      <c r="AW622" s="243"/>
      <c r="AX622" s="243"/>
      <c r="AY622" s="243"/>
      <c r="AZ622" s="243"/>
    </row>
    <row r="623" spans="1:52">
      <c r="A623" s="216" t="str">
        <f>IF(D623="","",VLOOKUP(G623,códigosORL!$H:$J,3,FALSE))</f>
        <v/>
      </c>
      <c r="B623" s="243"/>
      <c r="C623" s="259"/>
      <c r="D623" s="243"/>
      <c r="E623" s="243"/>
      <c r="F623" s="247"/>
      <c r="G623" s="243"/>
      <c r="H623" s="243"/>
      <c r="I623" s="243"/>
      <c r="J623" s="243"/>
      <c r="K623" s="243"/>
      <c r="L623" s="243"/>
      <c r="M623" s="243"/>
      <c r="N623" s="243"/>
      <c r="O623" s="243"/>
      <c r="P623" s="243"/>
      <c r="Q623" s="243"/>
      <c r="R623" s="243"/>
      <c r="S623" s="243"/>
      <c r="T623" s="243"/>
      <c r="U623" s="243"/>
      <c r="V623" s="243"/>
      <c r="W623" s="243"/>
      <c r="X623" s="243"/>
      <c r="Y623" s="244"/>
      <c r="Z623" s="243"/>
      <c r="AA623" s="245"/>
      <c r="AB623" s="246"/>
      <c r="AC623" s="246"/>
      <c r="AD623" s="246"/>
      <c r="AE623" s="131"/>
      <c r="AF623" s="244"/>
      <c r="AG623" s="243"/>
      <c r="AH623" s="243"/>
      <c r="AI623" s="243"/>
      <c r="AJ623" s="243"/>
      <c r="AK623" s="243"/>
      <c r="AL623" s="243"/>
      <c r="AM623" s="243"/>
      <c r="AN623" s="243"/>
      <c r="AO623" s="243"/>
      <c r="AP623" s="243"/>
      <c r="AQ623" s="243"/>
      <c r="AR623" s="243"/>
      <c r="AS623" s="243"/>
      <c r="AT623" s="243"/>
      <c r="AU623" s="243"/>
      <c r="AV623" s="243"/>
      <c r="AW623" s="243"/>
      <c r="AX623" s="243"/>
      <c r="AY623" s="243"/>
      <c r="AZ623" s="243"/>
    </row>
    <row r="624" spans="1:52">
      <c r="A624" s="216" t="str">
        <f>IF(D624="","",VLOOKUP(G624,códigosORL!$H:$J,3,FALSE))</f>
        <v/>
      </c>
      <c r="B624" s="243"/>
      <c r="C624" s="259"/>
      <c r="D624" s="243"/>
      <c r="E624" s="243"/>
      <c r="F624" s="247"/>
      <c r="G624" s="243"/>
      <c r="H624" s="243"/>
      <c r="I624" s="243"/>
      <c r="J624" s="243"/>
      <c r="K624" s="243"/>
      <c r="L624" s="243"/>
      <c r="M624" s="243"/>
      <c r="N624" s="243"/>
      <c r="O624" s="243"/>
      <c r="P624" s="243"/>
      <c r="Q624" s="243"/>
      <c r="R624" s="243"/>
      <c r="S624" s="243"/>
      <c r="T624" s="243"/>
      <c r="U624" s="243"/>
      <c r="V624" s="243"/>
      <c r="W624" s="243"/>
      <c r="X624" s="243"/>
      <c r="Y624" s="244"/>
      <c r="Z624" s="243"/>
      <c r="AA624" s="245"/>
      <c r="AB624" s="246"/>
      <c r="AC624" s="246"/>
      <c r="AD624" s="246"/>
      <c r="AE624" s="131"/>
      <c r="AF624" s="244"/>
      <c r="AG624" s="243"/>
      <c r="AH624" s="243"/>
      <c r="AI624" s="243"/>
      <c r="AJ624" s="243"/>
      <c r="AK624" s="243"/>
      <c r="AL624" s="243"/>
      <c r="AM624" s="243"/>
      <c r="AN624" s="243"/>
      <c r="AO624" s="243"/>
      <c r="AP624" s="243"/>
      <c r="AQ624" s="243"/>
      <c r="AR624" s="243"/>
      <c r="AS624" s="243"/>
      <c r="AT624" s="243"/>
      <c r="AU624" s="243"/>
      <c r="AV624" s="243"/>
      <c r="AW624" s="243"/>
      <c r="AX624" s="243"/>
      <c r="AY624" s="243"/>
      <c r="AZ624" s="243"/>
    </row>
    <row r="625" spans="1:52">
      <c r="A625" s="216" t="str">
        <f>IF(D625="","",VLOOKUP(G625,códigosORL!$H:$J,3,FALSE))</f>
        <v/>
      </c>
      <c r="B625" s="243"/>
      <c r="C625" s="259"/>
      <c r="D625" s="243"/>
      <c r="E625" s="243"/>
      <c r="F625" s="247"/>
      <c r="G625" s="243"/>
      <c r="H625" s="243"/>
      <c r="I625" s="243"/>
      <c r="J625" s="243"/>
      <c r="K625" s="243"/>
      <c r="L625" s="243"/>
      <c r="M625" s="243"/>
      <c r="N625" s="243"/>
      <c r="O625" s="243"/>
      <c r="P625" s="243"/>
      <c r="Q625" s="243"/>
      <c r="R625" s="243"/>
      <c r="S625" s="243"/>
      <c r="T625" s="243"/>
      <c r="U625" s="243"/>
      <c r="V625" s="243"/>
      <c r="W625" s="243"/>
      <c r="X625" s="243"/>
      <c r="Y625" s="244"/>
      <c r="Z625" s="243"/>
      <c r="AA625" s="245"/>
      <c r="AB625" s="246"/>
      <c r="AC625" s="246"/>
      <c r="AD625" s="246"/>
      <c r="AE625" s="131"/>
      <c r="AF625" s="244"/>
      <c r="AG625" s="243"/>
      <c r="AH625" s="243"/>
      <c r="AI625" s="243"/>
      <c r="AJ625" s="243"/>
      <c r="AK625" s="243"/>
      <c r="AL625" s="243"/>
      <c r="AM625" s="243"/>
      <c r="AN625" s="243"/>
      <c r="AO625" s="243"/>
      <c r="AP625" s="243"/>
      <c r="AQ625" s="243"/>
      <c r="AR625" s="243"/>
      <c r="AS625" s="243"/>
      <c r="AT625" s="243"/>
      <c r="AU625" s="243"/>
      <c r="AV625" s="243"/>
      <c r="AW625" s="243"/>
      <c r="AX625" s="243"/>
      <c r="AY625" s="243"/>
      <c r="AZ625" s="243"/>
    </row>
    <row r="626" spans="1:52">
      <c r="A626" s="216" t="str">
        <f>IF(D626="","",VLOOKUP(G626,códigosORL!$H:$J,3,FALSE))</f>
        <v/>
      </c>
      <c r="B626" s="243"/>
      <c r="C626" s="259"/>
      <c r="D626" s="243"/>
      <c r="E626" s="243"/>
      <c r="F626" s="247"/>
      <c r="G626" s="243"/>
      <c r="H626" s="243"/>
      <c r="I626" s="243"/>
      <c r="J626" s="243"/>
      <c r="K626" s="243"/>
      <c r="L626" s="243"/>
      <c r="M626" s="243"/>
      <c r="N626" s="243"/>
      <c r="O626" s="243"/>
      <c r="P626" s="243"/>
      <c r="Q626" s="243"/>
      <c r="R626" s="243"/>
      <c r="S626" s="243"/>
      <c r="T626" s="243"/>
      <c r="U626" s="243"/>
      <c r="V626" s="243"/>
      <c r="W626" s="243"/>
      <c r="X626" s="243"/>
      <c r="Y626" s="244"/>
      <c r="Z626" s="243"/>
      <c r="AA626" s="245"/>
      <c r="AB626" s="246"/>
      <c r="AC626" s="246"/>
      <c r="AD626" s="246"/>
      <c r="AE626" s="131"/>
      <c r="AF626" s="244"/>
      <c r="AG626" s="243"/>
      <c r="AH626" s="243"/>
      <c r="AI626" s="243"/>
      <c r="AJ626" s="243"/>
      <c r="AK626" s="243"/>
      <c r="AL626" s="243"/>
      <c r="AM626" s="243"/>
      <c r="AN626" s="243"/>
      <c r="AO626" s="243"/>
      <c r="AP626" s="243"/>
      <c r="AQ626" s="243"/>
      <c r="AR626" s="243"/>
      <c r="AS626" s="243"/>
      <c r="AT626" s="243"/>
      <c r="AU626" s="243"/>
      <c r="AV626" s="243"/>
      <c r="AW626" s="243"/>
      <c r="AX626" s="243"/>
      <c r="AY626" s="243"/>
      <c r="AZ626" s="243"/>
    </row>
    <row r="627" spans="1:52">
      <c r="A627" s="216" t="str">
        <f>IF(D627="","",VLOOKUP(G627,códigosORL!$H:$J,3,FALSE))</f>
        <v/>
      </c>
      <c r="B627" s="243"/>
      <c r="C627" s="259"/>
      <c r="D627" s="243"/>
      <c r="E627" s="243"/>
      <c r="F627" s="247"/>
      <c r="G627" s="243"/>
      <c r="H627" s="243"/>
      <c r="I627" s="243"/>
      <c r="J627" s="243"/>
      <c r="K627" s="243"/>
      <c r="L627" s="243"/>
      <c r="M627" s="243"/>
      <c r="N627" s="243"/>
      <c r="O627" s="243"/>
      <c r="P627" s="243"/>
      <c r="Q627" s="243"/>
      <c r="R627" s="243"/>
      <c r="S627" s="243"/>
      <c r="T627" s="243"/>
      <c r="U627" s="243"/>
      <c r="V627" s="243"/>
      <c r="W627" s="243"/>
      <c r="X627" s="243"/>
      <c r="Y627" s="244"/>
      <c r="Z627" s="243"/>
      <c r="AA627" s="245"/>
      <c r="AB627" s="246"/>
      <c r="AC627" s="246"/>
      <c r="AD627" s="246"/>
      <c r="AE627" s="131"/>
      <c r="AF627" s="244"/>
      <c r="AG627" s="243"/>
      <c r="AH627" s="243"/>
      <c r="AI627" s="243"/>
      <c r="AJ627" s="243"/>
      <c r="AK627" s="243"/>
      <c r="AL627" s="243"/>
      <c r="AM627" s="243"/>
      <c r="AN627" s="243"/>
      <c r="AO627" s="243"/>
      <c r="AP627" s="243"/>
      <c r="AQ627" s="243"/>
      <c r="AR627" s="243"/>
      <c r="AS627" s="243"/>
      <c r="AT627" s="243"/>
      <c r="AU627" s="243"/>
      <c r="AV627" s="243"/>
      <c r="AW627" s="243"/>
      <c r="AX627" s="243"/>
      <c r="AY627" s="243"/>
      <c r="AZ627" s="243"/>
    </row>
    <row r="628" spans="1:52">
      <c r="A628" s="216" t="str">
        <f>IF(D628="","",VLOOKUP(G628,códigosORL!$H:$J,3,FALSE))</f>
        <v/>
      </c>
      <c r="B628" s="243"/>
      <c r="C628" s="259"/>
      <c r="D628" s="243"/>
      <c r="E628" s="243"/>
      <c r="F628" s="247"/>
      <c r="G628" s="243"/>
      <c r="H628" s="243"/>
      <c r="I628" s="243"/>
      <c r="J628" s="243"/>
      <c r="K628" s="243"/>
      <c r="L628" s="243"/>
      <c r="M628" s="243"/>
      <c r="N628" s="243"/>
      <c r="O628" s="243"/>
      <c r="P628" s="243"/>
      <c r="Q628" s="243"/>
      <c r="R628" s="243"/>
      <c r="S628" s="243"/>
      <c r="T628" s="243"/>
      <c r="U628" s="243"/>
      <c r="V628" s="243"/>
      <c r="W628" s="243"/>
      <c r="X628" s="243"/>
      <c r="Y628" s="244"/>
      <c r="Z628" s="243"/>
      <c r="AA628" s="245"/>
      <c r="AB628" s="246"/>
      <c r="AC628" s="246"/>
      <c r="AD628" s="246"/>
      <c r="AE628" s="131"/>
      <c r="AF628" s="244"/>
      <c r="AG628" s="243"/>
      <c r="AH628" s="243"/>
      <c r="AI628" s="243"/>
      <c r="AJ628" s="243"/>
      <c r="AK628" s="243"/>
      <c r="AL628" s="243"/>
      <c r="AM628" s="243"/>
      <c r="AN628" s="243"/>
      <c r="AO628" s="243"/>
      <c r="AP628" s="243"/>
      <c r="AQ628" s="243"/>
      <c r="AR628" s="243"/>
      <c r="AS628" s="243"/>
      <c r="AT628" s="243"/>
      <c r="AU628" s="243"/>
      <c r="AV628" s="243"/>
      <c r="AW628" s="243"/>
      <c r="AX628" s="243"/>
      <c r="AY628" s="243"/>
      <c r="AZ628" s="243"/>
    </row>
    <row r="629" spans="1:52">
      <c r="A629" s="216" t="str">
        <f>IF(D629="","",VLOOKUP(G629,códigosORL!$H:$J,3,FALSE))</f>
        <v/>
      </c>
      <c r="B629" s="243"/>
      <c r="C629" s="259"/>
      <c r="D629" s="243"/>
      <c r="E629" s="243"/>
      <c r="F629" s="247"/>
      <c r="G629" s="243"/>
      <c r="H629" s="243"/>
      <c r="I629" s="243"/>
      <c r="J629" s="243"/>
      <c r="K629" s="243"/>
      <c r="L629" s="243"/>
      <c r="M629" s="243"/>
      <c r="N629" s="243"/>
      <c r="O629" s="243"/>
      <c r="P629" s="243"/>
      <c r="Q629" s="243"/>
      <c r="R629" s="243"/>
      <c r="S629" s="243"/>
      <c r="T629" s="243"/>
      <c r="U629" s="243"/>
      <c r="V629" s="243"/>
      <c r="W629" s="243"/>
      <c r="X629" s="243"/>
      <c r="Y629" s="244"/>
      <c r="Z629" s="243"/>
      <c r="AA629" s="245"/>
      <c r="AB629" s="246"/>
      <c r="AC629" s="246"/>
      <c r="AD629" s="246"/>
      <c r="AE629" s="131"/>
      <c r="AF629" s="244"/>
      <c r="AG629" s="243"/>
      <c r="AH629" s="243"/>
      <c r="AI629" s="243"/>
      <c r="AJ629" s="243"/>
      <c r="AK629" s="243"/>
      <c r="AL629" s="243"/>
      <c r="AM629" s="243"/>
      <c r="AN629" s="243"/>
      <c r="AO629" s="243"/>
      <c r="AP629" s="243"/>
      <c r="AQ629" s="243"/>
      <c r="AR629" s="243"/>
      <c r="AS629" s="243"/>
      <c r="AT629" s="243"/>
      <c r="AU629" s="243"/>
      <c r="AV629" s="243"/>
      <c r="AW629" s="243"/>
      <c r="AX629" s="243"/>
      <c r="AY629" s="243"/>
      <c r="AZ629" s="243"/>
    </row>
    <row r="630" spans="1:52">
      <c r="A630" s="216" t="str">
        <f>IF(D630="","",VLOOKUP(G630,códigosORL!$H:$J,3,FALSE))</f>
        <v/>
      </c>
      <c r="B630" s="243"/>
      <c r="C630" s="259"/>
      <c r="D630" s="243"/>
      <c r="E630" s="243"/>
      <c r="F630" s="247"/>
      <c r="G630" s="243"/>
      <c r="H630" s="243"/>
      <c r="I630" s="243"/>
      <c r="J630" s="243"/>
      <c r="K630" s="243"/>
      <c r="L630" s="243"/>
      <c r="M630" s="243"/>
      <c r="N630" s="243"/>
      <c r="O630" s="243"/>
      <c r="P630" s="243"/>
      <c r="Q630" s="243"/>
      <c r="R630" s="243"/>
      <c r="S630" s="243"/>
      <c r="T630" s="243"/>
      <c r="U630" s="243"/>
      <c r="V630" s="243"/>
      <c r="W630" s="243"/>
      <c r="X630" s="243"/>
      <c r="Y630" s="244"/>
      <c r="Z630" s="243"/>
      <c r="AA630" s="245"/>
      <c r="AB630" s="246"/>
      <c r="AC630" s="246"/>
      <c r="AD630" s="246"/>
      <c r="AE630" s="131"/>
      <c r="AF630" s="244"/>
      <c r="AG630" s="243"/>
      <c r="AH630" s="243"/>
      <c r="AI630" s="243"/>
      <c r="AJ630" s="243"/>
      <c r="AK630" s="243"/>
      <c r="AL630" s="243"/>
      <c r="AM630" s="243"/>
      <c r="AN630" s="243"/>
      <c r="AO630" s="243"/>
      <c r="AP630" s="243"/>
      <c r="AQ630" s="243"/>
      <c r="AR630" s="243"/>
      <c r="AS630" s="243"/>
      <c r="AT630" s="243"/>
      <c r="AU630" s="243"/>
      <c r="AV630" s="243"/>
      <c r="AW630" s="243"/>
      <c r="AX630" s="243"/>
      <c r="AY630" s="243"/>
      <c r="AZ630" s="243"/>
    </row>
    <row r="631" spans="1:52">
      <c r="A631" s="216" t="str">
        <f>IF(D631="","",VLOOKUP(G631,códigosORL!$H:$J,3,FALSE))</f>
        <v/>
      </c>
      <c r="B631" s="243"/>
      <c r="C631" s="259"/>
      <c r="D631" s="243"/>
      <c r="E631" s="243"/>
      <c r="F631" s="247"/>
      <c r="G631" s="243"/>
      <c r="H631" s="243"/>
      <c r="I631" s="243"/>
      <c r="J631" s="243"/>
      <c r="K631" s="243"/>
      <c r="L631" s="243"/>
      <c r="M631" s="243"/>
      <c r="N631" s="243"/>
      <c r="O631" s="243"/>
      <c r="P631" s="243"/>
      <c r="Q631" s="243"/>
      <c r="R631" s="243"/>
      <c r="S631" s="243"/>
      <c r="T631" s="243"/>
      <c r="U631" s="243"/>
      <c r="V631" s="243"/>
      <c r="W631" s="243"/>
      <c r="X631" s="243"/>
      <c r="Y631" s="244"/>
      <c r="Z631" s="243"/>
      <c r="AA631" s="245"/>
      <c r="AB631" s="246"/>
      <c r="AC631" s="246"/>
      <c r="AD631" s="246"/>
      <c r="AE631" s="131"/>
      <c r="AF631" s="244"/>
      <c r="AG631" s="243"/>
      <c r="AH631" s="243"/>
      <c r="AI631" s="243"/>
      <c r="AJ631" s="243"/>
      <c r="AK631" s="243"/>
      <c r="AL631" s="243"/>
      <c r="AM631" s="243"/>
      <c r="AN631" s="243"/>
      <c r="AO631" s="243"/>
      <c r="AP631" s="243"/>
      <c r="AQ631" s="243"/>
      <c r="AR631" s="243"/>
      <c r="AS631" s="243"/>
      <c r="AT631" s="243"/>
      <c r="AU631" s="243"/>
      <c r="AV631" s="243"/>
      <c r="AW631" s="243"/>
      <c r="AX631" s="243"/>
      <c r="AY631" s="243"/>
      <c r="AZ631" s="243"/>
    </row>
    <row r="632" spans="1:52">
      <c r="A632" s="216" t="str">
        <f>IF(D632="","",VLOOKUP(G632,códigosORL!$H:$J,3,FALSE))</f>
        <v/>
      </c>
      <c r="B632" s="243"/>
      <c r="C632" s="259"/>
      <c r="D632" s="243"/>
      <c r="E632" s="243"/>
      <c r="F632" s="247"/>
      <c r="G632" s="243"/>
      <c r="H632" s="243"/>
      <c r="I632" s="243"/>
      <c r="J632" s="243"/>
      <c r="K632" s="243"/>
      <c r="L632" s="243"/>
      <c r="M632" s="243"/>
      <c r="N632" s="243"/>
      <c r="O632" s="243"/>
      <c r="P632" s="243"/>
      <c r="Q632" s="243"/>
      <c r="R632" s="243"/>
      <c r="S632" s="243"/>
      <c r="T632" s="243"/>
      <c r="U632" s="243"/>
      <c r="V632" s="243"/>
      <c r="W632" s="243"/>
      <c r="X632" s="243"/>
      <c r="Y632" s="244"/>
      <c r="Z632" s="243"/>
      <c r="AA632" s="245"/>
      <c r="AB632" s="246"/>
      <c r="AC632" s="246"/>
      <c r="AD632" s="246"/>
      <c r="AE632" s="131"/>
      <c r="AF632" s="244"/>
      <c r="AG632" s="243"/>
      <c r="AH632" s="243"/>
      <c r="AI632" s="243"/>
      <c r="AJ632" s="243"/>
      <c r="AK632" s="243"/>
      <c r="AL632" s="243"/>
      <c r="AM632" s="243"/>
      <c r="AN632" s="243"/>
      <c r="AO632" s="243"/>
      <c r="AP632" s="243"/>
      <c r="AQ632" s="243"/>
      <c r="AR632" s="243"/>
      <c r="AS632" s="243"/>
      <c r="AT632" s="243"/>
      <c r="AU632" s="243"/>
      <c r="AV632" s="243"/>
      <c r="AW632" s="243"/>
      <c r="AX632" s="243"/>
      <c r="AY632" s="243"/>
      <c r="AZ632" s="243"/>
    </row>
    <row r="633" spans="1:52">
      <c r="A633" s="216" t="str">
        <f>IF(D633="","",VLOOKUP(G633,códigosORL!$H:$J,3,FALSE))</f>
        <v/>
      </c>
      <c r="B633" s="243"/>
      <c r="C633" s="259"/>
      <c r="D633" s="243"/>
      <c r="E633" s="243"/>
      <c r="F633" s="247"/>
      <c r="G633" s="243"/>
      <c r="H633" s="243"/>
      <c r="I633" s="243"/>
      <c r="J633" s="243"/>
      <c r="K633" s="243"/>
      <c r="L633" s="243"/>
      <c r="M633" s="243"/>
      <c r="N633" s="243"/>
      <c r="O633" s="243"/>
      <c r="P633" s="243"/>
      <c r="Q633" s="243"/>
      <c r="R633" s="243"/>
      <c r="S633" s="243"/>
      <c r="T633" s="243"/>
      <c r="U633" s="243"/>
      <c r="V633" s="243"/>
      <c r="W633" s="243"/>
      <c r="X633" s="243"/>
      <c r="Y633" s="244"/>
      <c r="Z633" s="243"/>
      <c r="AA633" s="245"/>
      <c r="AB633" s="246"/>
      <c r="AC633" s="246"/>
      <c r="AD633" s="246"/>
      <c r="AE633" s="131"/>
      <c r="AF633" s="244"/>
      <c r="AG633" s="243"/>
      <c r="AH633" s="243"/>
      <c r="AI633" s="243"/>
      <c r="AJ633" s="243"/>
      <c r="AK633" s="243"/>
      <c r="AL633" s="243"/>
      <c r="AM633" s="243"/>
      <c r="AN633" s="243"/>
      <c r="AO633" s="243"/>
      <c r="AP633" s="243"/>
      <c r="AQ633" s="243"/>
      <c r="AR633" s="243"/>
      <c r="AS633" s="243"/>
      <c r="AT633" s="243"/>
      <c r="AU633" s="243"/>
      <c r="AV633" s="243"/>
      <c r="AW633" s="243"/>
      <c r="AX633" s="243"/>
      <c r="AY633" s="243"/>
      <c r="AZ633" s="243"/>
    </row>
    <row r="634" spans="1:52">
      <c r="A634" s="216" t="str">
        <f>IF(D634="","",VLOOKUP(G634,códigosORL!$H:$J,3,FALSE))</f>
        <v/>
      </c>
      <c r="B634" s="243"/>
      <c r="C634" s="259"/>
      <c r="D634" s="243"/>
      <c r="E634" s="243"/>
      <c r="F634" s="247"/>
      <c r="G634" s="243"/>
      <c r="H634" s="243"/>
      <c r="I634" s="243"/>
      <c r="J634" s="243"/>
      <c r="K634" s="243"/>
      <c r="L634" s="243"/>
      <c r="M634" s="243"/>
      <c r="N634" s="243"/>
      <c r="O634" s="243"/>
      <c r="P634" s="243"/>
      <c r="Q634" s="243"/>
      <c r="R634" s="243"/>
      <c r="S634" s="243"/>
      <c r="T634" s="243"/>
      <c r="U634" s="243"/>
      <c r="V634" s="243"/>
      <c r="W634" s="243"/>
      <c r="X634" s="243"/>
      <c r="Y634" s="244"/>
      <c r="Z634" s="243"/>
      <c r="AA634" s="245"/>
      <c r="AB634" s="246"/>
      <c r="AC634" s="246"/>
      <c r="AD634" s="246"/>
      <c r="AE634" s="131"/>
      <c r="AF634" s="244"/>
      <c r="AG634" s="243"/>
      <c r="AH634" s="243"/>
      <c r="AI634" s="243"/>
      <c r="AJ634" s="243"/>
      <c r="AK634" s="243"/>
      <c r="AL634" s="243"/>
      <c r="AM634" s="243"/>
      <c r="AN634" s="243"/>
      <c r="AO634" s="243"/>
      <c r="AP634" s="243"/>
      <c r="AQ634" s="243"/>
      <c r="AR634" s="243"/>
      <c r="AS634" s="243"/>
      <c r="AT634" s="243"/>
      <c r="AU634" s="243"/>
      <c r="AV634" s="243"/>
      <c r="AW634" s="243"/>
      <c r="AX634" s="243"/>
      <c r="AY634" s="243"/>
      <c r="AZ634" s="243"/>
    </row>
    <row r="635" spans="1:52">
      <c r="A635" s="216" t="str">
        <f>IF(D635="","",VLOOKUP(G635,códigosORL!$H:$J,3,FALSE))</f>
        <v/>
      </c>
      <c r="B635" s="243"/>
      <c r="C635" s="259"/>
      <c r="D635" s="243"/>
      <c r="E635" s="243"/>
      <c r="F635" s="247"/>
      <c r="G635" s="243"/>
      <c r="H635" s="243"/>
      <c r="I635" s="243"/>
      <c r="J635" s="243"/>
      <c r="K635" s="243"/>
      <c r="L635" s="243"/>
      <c r="M635" s="243"/>
      <c r="N635" s="243"/>
      <c r="O635" s="243"/>
      <c r="P635" s="243"/>
      <c r="Q635" s="243"/>
      <c r="R635" s="243"/>
      <c r="S635" s="243"/>
      <c r="T635" s="243"/>
      <c r="U635" s="243"/>
      <c r="V635" s="243"/>
      <c r="W635" s="243"/>
      <c r="X635" s="243"/>
      <c r="Y635" s="244"/>
      <c r="Z635" s="243"/>
      <c r="AA635" s="245"/>
      <c r="AB635" s="246"/>
      <c r="AC635" s="246"/>
      <c r="AD635" s="246"/>
      <c r="AE635" s="131"/>
      <c r="AF635" s="244"/>
      <c r="AG635" s="243"/>
      <c r="AH635" s="243"/>
      <c r="AI635" s="243"/>
      <c r="AJ635" s="243"/>
      <c r="AK635" s="243"/>
      <c r="AL635" s="243"/>
      <c r="AM635" s="243"/>
      <c r="AN635" s="243"/>
      <c r="AO635" s="243"/>
      <c r="AP635" s="243"/>
      <c r="AQ635" s="243"/>
      <c r="AR635" s="243"/>
      <c r="AS635" s="243"/>
      <c r="AT635" s="243"/>
      <c r="AU635" s="243"/>
      <c r="AV635" s="243"/>
      <c r="AW635" s="243"/>
      <c r="AX635" s="243"/>
      <c r="AY635" s="243"/>
      <c r="AZ635" s="243"/>
    </row>
    <row r="636" spans="1:52">
      <c r="A636" s="216" t="str">
        <f>IF(D636="","",VLOOKUP(G636,códigosORL!$H:$J,3,FALSE))</f>
        <v/>
      </c>
      <c r="B636" s="243"/>
      <c r="C636" s="259"/>
      <c r="D636" s="243"/>
      <c r="E636" s="243"/>
      <c r="F636" s="247"/>
      <c r="G636" s="243"/>
      <c r="H636" s="243"/>
      <c r="I636" s="243"/>
      <c r="J636" s="243"/>
      <c r="K636" s="243"/>
      <c r="L636" s="243"/>
      <c r="M636" s="243"/>
      <c r="N636" s="243"/>
      <c r="O636" s="243"/>
      <c r="P636" s="243"/>
      <c r="Q636" s="243"/>
      <c r="R636" s="243"/>
      <c r="S636" s="243"/>
      <c r="T636" s="243"/>
      <c r="U636" s="243"/>
      <c r="V636" s="243"/>
      <c r="W636" s="243"/>
      <c r="X636" s="243"/>
      <c r="Y636" s="244"/>
      <c r="Z636" s="243"/>
      <c r="AA636" s="245"/>
      <c r="AB636" s="246"/>
      <c r="AC636" s="246"/>
      <c r="AD636" s="246"/>
      <c r="AE636" s="131"/>
      <c r="AF636" s="244"/>
      <c r="AG636" s="243"/>
      <c r="AH636" s="243"/>
      <c r="AI636" s="243"/>
      <c r="AJ636" s="243"/>
      <c r="AK636" s="243"/>
      <c r="AL636" s="243"/>
      <c r="AM636" s="243"/>
      <c r="AN636" s="243"/>
      <c r="AO636" s="243"/>
      <c r="AP636" s="243"/>
      <c r="AQ636" s="243"/>
      <c r="AR636" s="243"/>
      <c r="AS636" s="243"/>
      <c r="AT636" s="243"/>
      <c r="AU636" s="243"/>
      <c r="AV636" s="243"/>
      <c r="AW636" s="243"/>
      <c r="AX636" s="243"/>
      <c r="AY636" s="243"/>
      <c r="AZ636" s="243"/>
    </row>
    <row r="637" spans="1:52">
      <c r="A637" s="216" t="str">
        <f>IF(D637="","",VLOOKUP(G637,códigosORL!$H:$J,3,FALSE))</f>
        <v/>
      </c>
      <c r="B637" s="243"/>
      <c r="C637" s="259"/>
      <c r="D637" s="243"/>
      <c r="E637" s="243"/>
      <c r="F637" s="247"/>
      <c r="G637" s="243"/>
      <c r="H637" s="243"/>
      <c r="I637" s="243"/>
      <c r="J637" s="243"/>
      <c r="K637" s="243"/>
      <c r="L637" s="243"/>
      <c r="M637" s="243"/>
      <c r="N637" s="243"/>
      <c r="O637" s="243"/>
      <c r="P637" s="243"/>
      <c r="Q637" s="243"/>
      <c r="R637" s="243"/>
      <c r="S637" s="243"/>
      <c r="T637" s="243"/>
      <c r="U637" s="243"/>
      <c r="V637" s="243"/>
      <c r="W637" s="243"/>
      <c r="X637" s="243"/>
      <c r="Y637" s="244"/>
      <c r="Z637" s="243"/>
      <c r="AA637" s="245"/>
      <c r="AB637" s="246"/>
      <c r="AC637" s="246"/>
      <c r="AD637" s="246"/>
      <c r="AE637" s="131"/>
      <c r="AF637" s="244"/>
      <c r="AG637" s="243"/>
      <c r="AH637" s="243"/>
      <c r="AI637" s="243"/>
      <c r="AJ637" s="243"/>
      <c r="AK637" s="243"/>
      <c r="AL637" s="243"/>
      <c r="AM637" s="243"/>
      <c r="AN637" s="243"/>
      <c r="AO637" s="243"/>
      <c r="AP637" s="243"/>
      <c r="AQ637" s="243"/>
      <c r="AR637" s="243"/>
      <c r="AS637" s="243"/>
      <c r="AT637" s="243"/>
      <c r="AU637" s="243"/>
      <c r="AV637" s="243"/>
      <c r="AW637" s="243"/>
      <c r="AX637" s="243"/>
      <c r="AY637" s="243"/>
      <c r="AZ637" s="243"/>
    </row>
    <row r="638" spans="1:52">
      <c r="A638" s="216" t="str">
        <f>IF(D638="","",VLOOKUP(G638,códigosORL!$H:$J,3,FALSE))</f>
        <v/>
      </c>
      <c r="B638" s="243"/>
      <c r="C638" s="259"/>
      <c r="D638" s="243"/>
      <c r="E638" s="243"/>
      <c r="F638" s="247"/>
      <c r="G638" s="243"/>
      <c r="H638" s="243"/>
      <c r="I638" s="243"/>
      <c r="J638" s="243"/>
      <c r="K638" s="243"/>
      <c r="L638" s="243"/>
      <c r="M638" s="243"/>
      <c r="N638" s="243"/>
      <c r="O638" s="243"/>
      <c r="P638" s="243"/>
      <c r="Q638" s="243"/>
      <c r="R638" s="243"/>
      <c r="S638" s="243"/>
      <c r="T638" s="243"/>
      <c r="U638" s="243"/>
      <c r="V638" s="243"/>
      <c r="W638" s="243"/>
      <c r="X638" s="243"/>
      <c r="Y638" s="244"/>
      <c r="Z638" s="243"/>
      <c r="AA638" s="245"/>
      <c r="AB638" s="246"/>
      <c r="AC638" s="246"/>
      <c r="AD638" s="246"/>
      <c r="AE638" s="131"/>
      <c r="AF638" s="244"/>
      <c r="AG638" s="243"/>
      <c r="AH638" s="243"/>
      <c r="AI638" s="243"/>
      <c r="AJ638" s="243"/>
      <c r="AK638" s="243"/>
      <c r="AL638" s="243"/>
      <c r="AM638" s="243"/>
      <c r="AN638" s="243"/>
      <c r="AO638" s="243"/>
      <c r="AP638" s="243"/>
      <c r="AQ638" s="243"/>
      <c r="AR638" s="243"/>
      <c r="AS638" s="243"/>
      <c r="AT638" s="243"/>
      <c r="AU638" s="243"/>
      <c r="AV638" s="243"/>
      <c r="AW638" s="243"/>
      <c r="AX638" s="243"/>
      <c r="AY638" s="243"/>
      <c r="AZ638" s="243"/>
    </row>
    <row r="639" spans="1:52">
      <c r="A639" s="216" t="str">
        <f>IF(D639="","",VLOOKUP(G639,códigosORL!$H:$J,3,FALSE))</f>
        <v/>
      </c>
      <c r="B639" s="243"/>
      <c r="C639" s="259"/>
      <c r="D639" s="243"/>
      <c r="E639" s="243"/>
      <c r="F639" s="247"/>
      <c r="G639" s="243"/>
      <c r="H639" s="243"/>
      <c r="I639" s="243"/>
      <c r="J639" s="243"/>
      <c r="K639" s="243"/>
      <c r="L639" s="243"/>
      <c r="M639" s="243"/>
      <c r="N639" s="243"/>
      <c r="O639" s="243"/>
      <c r="P639" s="243"/>
      <c r="Q639" s="243"/>
      <c r="R639" s="243"/>
      <c r="S639" s="243"/>
      <c r="T639" s="243"/>
      <c r="U639" s="243"/>
      <c r="V639" s="243"/>
      <c r="W639" s="243"/>
      <c r="X639" s="243"/>
      <c r="Y639" s="244"/>
      <c r="Z639" s="243"/>
      <c r="AA639" s="245"/>
      <c r="AB639" s="246"/>
      <c r="AC639" s="246"/>
      <c r="AD639" s="246"/>
      <c r="AE639" s="131"/>
      <c r="AF639" s="244"/>
      <c r="AG639" s="243"/>
      <c r="AH639" s="243"/>
      <c r="AI639" s="243"/>
      <c r="AJ639" s="243"/>
      <c r="AK639" s="243"/>
      <c r="AL639" s="243"/>
      <c r="AM639" s="243"/>
      <c r="AN639" s="243"/>
      <c r="AO639" s="243"/>
      <c r="AP639" s="243"/>
      <c r="AQ639" s="243"/>
      <c r="AR639" s="243"/>
      <c r="AS639" s="243"/>
      <c r="AT639" s="243"/>
      <c r="AU639" s="243"/>
      <c r="AV639" s="243"/>
      <c r="AW639" s="243"/>
      <c r="AX639" s="243"/>
      <c r="AY639" s="243"/>
      <c r="AZ639" s="243"/>
    </row>
    <row r="640" spans="1:52">
      <c r="A640" s="216" t="str">
        <f>IF(D640="","",VLOOKUP(G640,códigosORL!$H:$J,3,FALSE))</f>
        <v/>
      </c>
      <c r="B640" s="243"/>
      <c r="C640" s="259"/>
      <c r="D640" s="243"/>
      <c r="E640" s="243"/>
      <c r="F640" s="247"/>
      <c r="G640" s="243"/>
      <c r="H640" s="243"/>
      <c r="I640" s="243"/>
      <c r="J640" s="243"/>
      <c r="K640" s="243"/>
      <c r="L640" s="243"/>
      <c r="M640" s="243"/>
      <c r="N640" s="243"/>
      <c r="O640" s="243"/>
      <c r="P640" s="243"/>
      <c r="Q640" s="243"/>
      <c r="R640" s="243"/>
      <c r="S640" s="243"/>
      <c r="T640" s="243"/>
      <c r="U640" s="243"/>
      <c r="V640" s="243"/>
      <c r="W640" s="243"/>
      <c r="X640" s="243"/>
      <c r="Y640" s="244"/>
      <c r="Z640" s="243"/>
      <c r="AA640" s="245"/>
      <c r="AB640" s="246"/>
      <c r="AC640" s="246"/>
      <c r="AD640" s="246"/>
      <c r="AE640" s="131"/>
      <c r="AF640" s="244"/>
      <c r="AG640" s="243"/>
      <c r="AH640" s="243"/>
      <c r="AI640" s="243"/>
      <c r="AJ640" s="243"/>
      <c r="AK640" s="243"/>
      <c r="AL640" s="243"/>
      <c r="AM640" s="243"/>
      <c r="AN640" s="243"/>
      <c r="AO640" s="243"/>
      <c r="AP640" s="243"/>
      <c r="AQ640" s="243"/>
      <c r="AR640" s="243"/>
      <c r="AS640" s="243"/>
      <c r="AT640" s="243"/>
      <c r="AU640" s="243"/>
      <c r="AV640" s="243"/>
      <c r="AW640" s="243"/>
      <c r="AX640" s="243"/>
      <c r="AY640" s="243"/>
      <c r="AZ640" s="243"/>
    </row>
    <row r="641" spans="1:52">
      <c r="A641" s="216" t="str">
        <f>IF(D641="","",VLOOKUP(G641,códigosORL!$H:$J,3,FALSE))</f>
        <v/>
      </c>
      <c r="B641" s="243"/>
      <c r="C641" s="259"/>
      <c r="D641" s="243"/>
      <c r="E641" s="243"/>
      <c r="F641" s="247"/>
      <c r="G641" s="243"/>
      <c r="H641" s="243"/>
      <c r="I641" s="243"/>
      <c r="J641" s="243"/>
      <c r="K641" s="243"/>
      <c r="L641" s="243"/>
      <c r="M641" s="243"/>
      <c r="N641" s="243"/>
      <c r="O641" s="243"/>
      <c r="P641" s="243"/>
      <c r="Q641" s="243"/>
      <c r="R641" s="243"/>
      <c r="S641" s="243"/>
      <c r="T641" s="243"/>
      <c r="U641" s="243"/>
      <c r="V641" s="243"/>
      <c r="W641" s="243"/>
      <c r="X641" s="243"/>
      <c r="Y641" s="244"/>
      <c r="Z641" s="243"/>
      <c r="AA641" s="245"/>
      <c r="AB641" s="246"/>
      <c r="AC641" s="246"/>
      <c r="AD641" s="246"/>
      <c r="AE641" s="131"/>
      <c r="AF641" s="244"/>
      <c r="AG641" s="243"/>
      <c r="AH641" s="243"/>
      <c r="AI641" s="243"/>
      <c r="AJ641" s="243"/>
      <c r="AK641" s="243"/>
      <c r="AL641" s="243"/>
      <c r="AM641" s="243"/>
      <c r="AN641" s="243"/>
      <c r="AO641" s="243"/>
      <c r="AP641" s="243"/>
      <c r="AQ641" s="243"/>
      <c r="AR641" s="243"/>
      <c r="AS641" s="243"/>
      <c r="AT641" s="243"/>
      <c r="AU641" s="243"/>
      <c r="AV641" s="243"/>
      <c r="AW641" s="243"/>
      <c r="AX641" s="243"/>
      <c r="AY641" s="243"/>
      <c r="AZ641" s="243"/>
    </row>
    <row r="642" spans="1:52">
      <c r="A642" s="216" t="str">
        <f>IF(D642="","",VLOOKUP(G642,códigosORL!$H:$J,3,FALSE))</f>
        <v/>
      </c>
      <c r="B642" s="243"/>
      <c r="C642" s="259"/>
      <c r="D642" s="243"/>
      <c r="E642" s="243"/>
      <c r="F642" s="247"/>
      <c r="G642" s="243"/>
      <c r="H642" s="243"/>
      <c r="I642" s="243"/>
      <c r="J642" s="243"/>
      <c r="K642" s="243"/>
      <c r="L642" s="243"/>
      <c r="M642" s="243"/>
      <c r="N642" s="243"/>
      <c r="O642" s="243"/>
      <c r="P642" s="243"/>
      <c r="Q642" s="243"/>
      <c r="R642" s="243"/>
      <c r="S642" s="243"/>
      <c r="T642" s="243"/>
      <c r="U642" s="243"/>
      <c r="V642" s="243"/>
      <c r="W642" s="243"/>
      <c r="X642" s="243"/>
      <c r="Y642" s="244"/>
      <c r="Z642" s="243"/>
      <c r="AA642" s="245"/>
      <c r="AB642" s="246"/>
      <c r="AC642" s="246"/>
      <c r="AD642" s="246"/>
      <c r="AE642" s="131"/>
      <c r="AF642" s="244"/>
      <c r="AG642" s="243"/>
      <c r="AH642" s="243"/>
      <c r="AI642" s="243"/>
      <c r="AJ642" s="243"/>
      <c r="AK642" s="243"/>
      <c r="AL642" s="243"/>
      <c r="AM642" s="243"/>
      <c r="AN642" s="243"/>
      <c r="AO642" s="243"/>
      <c r="AP642" s="243"/>
      <c r="AQ642" s="243"/>
      <c r="AR642" s="243"/>
      <c r="AS642" s="243"/>
      <c r="AT642" s="243"/>
      <c r="AU642" s="243"/>
      <c r="AV642" s="243"/>
      <c r="AW642" s="243"/>
      <c r="AX642" s="243"/>
      <c r="AY642" s="243"/>
      <c r="AZ642" s="243"/>
    </row>
    <row r="643" spans="1:52">
      <c r="A643" s="216" t="str">
        <f>IF(D643="","",VLOOKUP(G643,códigosORL!$H:$J,3,FALSE))</f>
        <v/>
      </c>
      <c r="B643" s="243"/>
      <c r="C643" s="259"/>
      <c r="D643" s="243"/>
      <c r="E643" s="243"/>
      <c r="F643" s="247"/>
      <c r="G643" s="243"/>
      <c r="H643" s="243"/>
      <c r="I643" s="243"/>
      <c r="J643" s="243"/>
      <c r="K643" s="243"/>
      <c r="L643" s="243"/>
      <c r="M643" s="243"/>
      <c r="N643" s="243"/>
      <c r="O643" s="243"/>
      <c r="P643" s="243"/>
      <c r="Q643" s="243"/>
      <c r="R643" s="243"/>
      <c r="S643" s="243"/>
      <c r="T643" s="243"/>
      <c r="U643" s="243"/>
      <c r="V643" s="243"/>
      <c r="W643" s="243"/>
      <c r="X643" s="243"/>
      <c r="Y643" s="244"/>
      <c r="Z643" s="243"/>
      <c r="AA643" s="245"/>
      <c r="AB643" s="246"/>
      <c r="AC643" s="246"/>
      <c r="AD643" s="246"/>
      <c r="AE643" s="131"/>
      <c r="AF643" s="244"/>
      <c r="AG643" s="243"/>
      <c r="AH643" s="243"/>
      <c r="AI643" s="243"/>
      <c r="AJ643" s="243"/>
      <c r="AK643" s="243"/>
      <c r="AL643" s="243"/>
      <c r="AM643" s="243"/>
      <c r="AN643" s="243"/>
      <c r="AO643" s="243"/>
      <c r="AP643" s="243"/>
      <c r="AQ643" s="243"/>
      <c r="AR643" s="243"/>
      <c r="AS643" s="243"/>
      <c r="AT643" s="243"/>
      <c r="AU643" s="243"/>
      <c r="AV643" s="243"/>
      <c r="AW643" s="243"/>
      <c r="AX643" s="243"/>
      <c r="AY643" s="243"/>
      <c r="AZ643" s="243"/>
    </row>
    <row r="644" spans="1:52">
      <c r="A644" s="216" t="str">
        <f>IF(D644="","",VLOOKUP(G644,códigosORL!$H:$J,3,FALSE))</f>
        <v/>
      </c>
      <c r="B644" s="243"/>
      <c r="C644" s="259"/>
      <c r="D644" s="243"/>
      <c r="E644" s="243"/>
      <c r="F644" s="247"/>
      <c r="G644" s="243"/>
      <c r="H644" s="243"/>
      <c r="I644" s="243"/>
      <c r="J644" s="243"/>
      <c r="K644" s="243"/>
      <c r="L644" s="243"/>
      <c r="M644" s="243"/>
      <c r="N644" s="243"/>
      <c r="O644" s="243"/>
      <c r="P644" s="243"/>
      <c r="Q644" s="243"/>
      <c r="R644" s="243"/>
      <c r="S644" s="243"/>
      <c r="T644" s="243"/>
      <c r="U644" s="243"/>
      <c r="V644" s="243"/>
      <c r="W644" s="243"/>
      <c r="X644" s="243"/>
      <c r="Y644" s="244"/>
      <c r="Z644" s="243"/>
      <c r="AA644" s="245"/>
      <c r="AB644" s="246"/>
      <c r="AC644" s="246"/>
      <c r="AD644" s="246"/>
      <c r="AE644" s="131"/>
      <c r="AF644" s="244"/>
      <c r="AG644" s="243"/>
      <c r="AH644" s="243"/>
      <c r="AI644" s="243"/>
      <c r="AJ644" s="243"/>
      <c r="AK644" s="243"/>
      <c r="AL644" s="243"/>
      <c r="AM644" s="243"/>
      <c r="AN644" s="243"/>
      <c r="AO644" s="243"/>
      <c r="AP644" s="243"/>
      <c r="AQ644" s="243"/>
      <c r="AR644" s="243"/>
      <c r="AS644" s="243"/>
      <c r="AT644" s="243"/>
      <c r="AU644" s="243"/>
      <c r="AV644" s="243"/>
      <c r="AW644" s="243"/>
      <c r="AX644" s="243"/>
      <c r="AY644" s="243"/>
      <c r="AZ644" s="243"/>
    </row>
    <row r="645" spans="1:52">
      <c r="A645" s="216" t="str">
        <f>IF(D645="","",VLOOKUP(G645,códigosORL!$H:$J,3,FALSE))</f>
        <v/>
      </c>
      <c r="B645" s="243"/>
      <c r="C645" s="259"/>
      <c r="D645" s="243"/>
      <c r="E645" s="243"/>
      <c r="F645" s="247"/>
      <c r="G645" s="243"/>
      <c r="H645" s="243"/>
      <c r="I645" s="243"/>
      <c r="J645" s="243"/>
      <c r="K645" s="243"/>
      <c r="L645" s="243"/>
      <c r="M645" s="243"/>
      <c r="N645" s="243"/>
      <c r="O645" s="243"/>
      <c r="P645" s="243"/>
      <c r="Q645" s="243"/>
      <c r="R645" s="243"/>
      <c r="S645" s="243"/>
      <c r="T645" s="243"/>
      <c r="U645" s="243"/>
      <c r="V645" s="243"/>
      <c r="W645" s="243"/>
      <c r="X645" s="243"/>
      <c r="Y645" s="244"/>
      <c r="Z645" s="243"/>
      <c r="AA645" s="245"/>
      <c r="AB645" s="246"/>
      <c r="AC645" s="246"/>
      <c r="AD645" s="246"/>
      <c r="AE645" s="131"/>
      <c r="AF645" s="244"/>
      <c r="AG645" s="243"/>
      <c r="AH645" s="243"/>
      <c r="AI645" s="243"/>
      <c r="AJ645" s="243"/>
      <c r="AK645" s="243"/>
      <c r="AL645" s="243"/>
      <c r="AM645" s="243"/>
      <c r="AN645" s="243"/>
      <c r="AO645" s="243"/>
      <c r="AP645" s="243"/>
      <c r="AQ645" s="243"/>
      <c r="AR645" s="243"/>
      <c r="AS645" s="243"/>
      <c r="AT645" s="243"/>
      <c r="AU645" s="243"/>
      <c r="AV645" s="243"/>
      <c r="AW645" s="243"/>
      <c r="AX645" s="243"/>
      <c r="AY645" s="243"/>
      <c r="AZ645" s="243"/>
    </row>
    <row r="646" spans="1:52">
      <c r="A646" s="216" t="str">
        <f>IF(D646="","",VLOOKUP(G646,códigosORL!$H:$J,3,FALSE))</f>
        <v/>
      </c>
      <c r="B646" s="243"/>
      <c r="C646" s="259"/>
      <c r="D646" s="243"/>
      <c r="E646" s="243"/>
      <c r="F646" s="247"/>
      <c r="G646" s="243"/>
      <c r="H646" s="243"/>
      <c r="I646" s="243"/>
      <c r="J646" s="243"/>
      <c r="K646" s="243"/>
      <c r="L646" s="243"/>
      <c r="M646" s="243"/>
      <c r="N646" s="243"/>
      <c r="O646" s="243"/>
      <c r="P646" s="243"/>
      <c r="Q646" s="243"/>
      <c r="R646" s="243"/>
      <c r="S646" s="243"/>
      <c r="T646" s="243"/>
      <c r="U646" s="243"/>
      <c r="V646" s="243"/>
      <c r="W646" s="243"/>
      <c r="X646" s="243"/>
      <c r="Y646" s="244"/>
      <c r="Z646" s="243"/>
      <c r="AA646" s="245"/>
      <c r="AB646" s="246"/>
      <c r="AC646" s="246"/>
      <c r="AD646" s="246"/>
      <c r="AE646" s="131"/>
      <c r="AF646" s="244"/>
      <c r="AG646" s="243"/>
      <c r="AH646" s="243"/>
      <c r="AI646" s="243"/>
      <c r="AJ646" s="243"/>
      <c r="AK646" s="243"/>
      <c r="AL646" s="243"/>
      <c r="AM646" s="243"/>
      <c r="AN646" s="243"/>
      <c r="AO646" s="243"/>
      <c r="AP646" s="243"/>
      <c r="AQ646" s="243"/>
      <c r="AR646" s="243"/>
      <c r="AS646" s="243"/>
      <c r="AT646" s="243"/>
      <c r="AU646" s="243"/>
      <c r="AV646" s="243"/>
      <c r="AW646" s="243"/>
      <c r="AX646" s="243"/>
      <c r="AY646" s="243"/>
      <c r="AZ646" s="243"/>
    </row>
    <row r="647" spans="1:52">
      <c r="A647" s="216" t="str">
        <f>IF(D647="","",VLOOKUP(G647,códigosORL!$H:$J,3,FALSE))</f>
        <v/>
      </c>
      <c r="B647" s="243"/>
      <c r="C647" s="259"/>
      <c r="D647" s="243"/>
      <c r="E647" s="243"/>
      <c r="F647" s="247"/>
      <c r="G647" s="243"/>
      <c r="H647" s="243"/>
      <c r="I647" s="243"/>
      <c r="J647" s="243"/>
      <c r="K647" s="243"/>
      <c r="L647" s="243"/>
      <c r="M647" s="243"/>
      <c r="N647" s="243"/>
      <c r="O647" s="243"/>
      <c r="P647" s="243"/>
      <c r="Q647" s="243"/>
      <c r="R647" s="243"/>
      <c r="S647" s="243"/>
      <c r="T647" s="243"/>
      <c r="U647" s="243"/>
      <c r="V647" s="243"/>
      <c r="W647" s="243"/>
      <c r="X647" s="243"/>
      <c r="Y647" s="244"/>
      <c r="Z647" s="243"/>
      <c r="AA647" s="245"/>
      <c r="AB647" s="246"/>
      <c r="AC647" s="246"/>
      <c r="AD647" s="246"/>
      <c r="AE647" s="131"/>
      <c r="AF647" s="244"/>
      <c r="AG647" s="243"/>
      <c r="AH647" s="243"/>
      <c r="AI647" s="243"/>
      <c r="AJ647" s="243"/>
      <c r="AK647" s="243"/>
      <c r="AL647" s="243"/>
      <c r="AM647" s="243"/>
      <c r="AN647" s="243"/>
      <c r="AO647" s="243"/>
      <c r="AP647" s="243"/>
      <c r="AQ647" s="243"/>
      <c r="AR647" s="243"/>
      <c r="AS647" s="243"/>
      <c r="AT647" s="243"/>
      <c r="AU647" s="243"/>
      <c r="AV647" s="243"/>
      <c r="AW647" s="243"/>
      <c r="AX647" s="243"/>
      <c r="AY647" s="243"/>
      <c r="AZ647" s="243"/>
    </row>
    <row r="648" spans="1:52">
      <c r="A648" s="216" t="str">
        <f>IF(D648="","",VLOOKUP(G648,códigosORL!$H:$J,3,FALSE))</f>
        <v/>
      </c>
      <c r="B648" s="243"/>
      <c r="C648" s="259"/>
      <c r="D648" s="243"/>
      <c r="E648" s="243"/>
      <c r="F648" s="247"/>
      <c r="G648" s="243"/>
      <c r="H648" s="243"/>
      <c r="I648" s="243"/>
      <c r="J648" s="243"/>
      <c r="K648" s="243"/>
      <c r="L648" s="243"/>
      <c r="M648" s="243"/>
      <c r="N648" s="243"/>
      <c r="O648" s="243"/>
      <c r="P648" s="243"/>
      <c r="Q648" s="243"/>
      <c r="R648" s="243"/>
      <c r="S648" s="243"/>
      <c r="T648" s="243"/>
      <c r="U648" s="243"/>
      <c r="V648" s="243"/>
      <c r="W648" s="243"/>
      <c r="X648" s="243"/>
      <c r="Y648" s="244"/>
      <c r="Z648" s="243"/>
      <c r="AA648" s="245"/>
      <c r="AB648" s="246"/>
      <c r="AC648" s="246"/>
      <c r="AD648" s="246"/>
      <c r="AE648" s="131"/>
      <c r="AF648" s="244"/>
      <c r="AG648" s="243"/>
      <c r="AH648" s="243"/>
      <c r="AI648" s="243"/>
      <c r="AJ648" s="243"/>
      <c r="AK648" s="243"/>
      <c r="AL648" s="243"/>
      <c r="AM648" s="243"/>
      <c r="AN648" s="243"/>
      <c r="AO648" s="243"/>
      <c r="AP648" s="243"/>
      <c r="AQ648" s="243"/>
      <c r="AR648" s="243"/>
      <c r="AS648" s="243"/>
      <c r="AT648" s="243"/>
      <c r="AU648" s="243"/>
      <c r="AV648" s="243"/>
      <c r="AW648" s="243"/>
      <c r="AX648" s="243"/>
      <c r="AY648" s="243"/>
      <c r="AZ648" s="243"/>
    </row>
    <row r="649" spans="1:52">
      <c r="A649" s="216" t="str">
        <f>IF(D649="","",VLOOKUP(G649,códigosORL!$H:$J,3,FALSE))</f>
        <v/>
      </c>
      <c r="B649" s="243"/>
      <c r="C649" s="259"/>
      <c r="D649" s="243"/>
      <c r="E649" s="243"/>
      <c r="F649" s="247"/>
      <c r="G649" s="243"/>
      <c r="H649" s="243"/>
      <c r="I649" s="243"/>
      <c r="J649" s="243"/>
      <c r="K649" s="243"/>
      <c r="L649" s="243"/>
      <c r="M649" s="243"/>
      <c r="N649" s="243"/>
      <c r="O649" s="243"/>
      <c r="P649" s="243"/>
      <c r="Q649" s="243"/>
      <c r="R649" s="243"/>
      <c r="S649" s="243"/>
      <c r="T649" s="243"/>
      <c r="U649" s="243"/>
      <c r="V649" s="243"/>
      <c r="W649" s="243"/>
      <c r="X649" s="243"/>
      <c r="Y649" s="244"/>
      <c r="Z649" s="243"/>
      <c r="AA649" s="245"/>
      <c r="AB649" s="246"/>
      <c r="AC649" s="246"/>
      <c r="AD649" s="246"/>
      <c r="AE649" s="131"/>
      <c r="AF649" s="244"/>
      <c r="AG649" s="243"/>
      <c r="AH649" s="243"/>
      <c r="AI649" s="243"/>
      <c r="AJ649" s="243"/>
      <c r="AK649" s="243"/>
      <c r="AL649" s="243"/>
      <c r="AM649" s="243"/>
      <c r="AN649" s="243"/>
      <c r="AO649" s="243"/>
      <c r="AP649" s="243"/>
      <c r="AQ649" s="243"/>
      <c r="AR649" s="243"/>
      <c r="AS649" s="243"/>
      <c r="AT649" s="243"/>
      <c r="AU649" s="243"/>
      <c r="AV649" s="243"/>
      <c r="AW649" s="243"/>
      <c r="AX649" s="243"/>
      <c r="AY649" s="243"/>
      <c r="AZ649" s="243"/>
    </row>
    <row r="650" spans="1:52">
      <c r="A650" s="216" t="str">
        <f>IF(D650="","",VLOOKUP(G650,códigosORL!$H:$J,3,FALSE))</f>
        <v/>
      </c>
      <c r="B650" s="243"/>
      <c r="C650" s="259"/>
      <c r="D650" s="243"/>
      <c r="E650" s="243"/>
      <c r="F650" s="247"/>
      <c r="G650" s="243"/>
      <c r="H650" s="243"/>
      <c r="I650" s="243"/>
      <c r="J650" s="243"/>
      <c r="K650" s="243"/>
      <c r="L650" s="243"/>
      <c r="M650" s="243"/>
      <c r="N650" s="243"/>
      <c r="O650" s="243"/>
      <c r="P650" s="243"/>
      <c r="Q650" s="243"/>
      <c r="R650" s="243"/>
      <c r="S650" s="243"/>
      <c r="T650" s="243"/>
      <c r="U650" s="243"/>
      <c r="V650" s="243"/>
      <c r="W650" s="243"/>
      <c r="X650" s="243"/>
      <c r="Y650" s="244"/>
      <c r="Z650" s="243"/>
      <c r="AA650" s="245"/>
      <c r="AB650" s="246"/>
      <c r="AC650" s="246"/>
      <c r="AD650" s="246"/>
      <c r="AE650" s="131"/>
      <c r="AF650" s="244"/>
      <c r="AG650" s="243"/>
      <c r="AH650" s="243"/>
      <c r="AI650" s="243"/>
      <c r="AJ650" s="243"/>
      <c r="AK650" s="243"/>
      <c r="AL650" s="243"/>
      <c r="AM650" s="243"/>
      <c r="AN650" s="243"/>
      <c r="AO650" s="243"/>
      <c r="AP650" s="243"/>
      <c r="AQ650" s="243"/>
      <c r="AR650" s="243"/>
      <c r="AS650" s="243"/>
      <c r="AT650" s="243"/>
      <c r="AU650" s="243"/>
      <c r="AV650" s="243"/>
      <c r="AW650" s="243"/>
      <c r="AX650" s="243"/>
      <c r="AY650" s="243"/>
      <c r="AZ650" s="243"/>
    </row>
    <row r="651" spans="1:52">
      <c r="A651" s="216" t="str">
        <f>IF(D651="","",VLOOKUP(G651,códigosORL!$H:$J,3,FALSE))</f>
        <v/>
      </c>
      <c r="B651" s="243"/>
      <c r="C651" s="259"/>
      <c r="D651" s="243"/>
      <c r="E651" s="243"/>
      <c r="F651" s="247"/>
      <c r="G651" s="243"/>
      <c r="H651" s="243"/>
      <c r="I651" s="243"/>
      <c r="J651" s="243"/>
      <c r="K651" s="243"/>
      <c r="L651" s="243"/>
      <c r="M651" s="243"/>
      <c r="N651" s="243"/>
      <c r="O651" s="243"/>
      <c r="P651" s="243"/>
      <c r="Q651" s="243"/>
      <c r="R651" s="243"/>
      <c r="S651" s="243"/>
      <c r="T651" s="243"/>
      <c r="U651" s="243"/>
      <c r="V651" s="243"/>
      <c r="W651" s="243"/>
      <c r="X651" s="243"/>
      <c r="Y651" s="244"/>
      <c r="Z651" s="243"/>
      <c r="AA651" s="245"/>
      <c r="AB651" s="246"/>
      <c r="AC651" s="246"/>
      <c r="AD651" s="246"/>
      <c r="AE651" s="131"/>
      <c r="AF651" s="244"/>
      <c r="AG651" s="243"/>
      <c r="AH651" s="243"/>
      <c r="AI651" s="243"/>
      <c r="AJ651" s="243"/>
      <c r="AK651" s="243"/>
      <c r="AL651" s="243"/>
      <c r="AM651" s="243"/>
      <c r="AN651" s="243"/>
      <c r="AO651" s="243"/>
      <c r="AP651" s="243"/>
      <c r="AQ651" s="243"/>
      <c r="AR651" s="243"/>
      <c r="AS651" s="243"/>
      <c r="AT651" s="243"/>
      <c r="AU651" s="243"/>
      <c r="AV651" s="243"/>
      <c r="AW651" s="243"/>
      <c r="AX651" s="243"/>
      <c r="AY651" s="243"/>
      <c r="AZ651" s="243"/>
    </row>
    <row r="652" spans="1:52">
      <c r="A652" s="216" t="str">
        <f>IF(D652="","",VLOOKUP(G652,códigosORL!$H:$J,3,FALSE))</f>
        <v/>
      </c>
      <c r="B652" s="243"/>
      <c r="C652" s="259"/>
      <c r="D652" s="243"/>
      <c r="E652" s="243"/>
      <c r="F652" s="247"/>
      <c r="G652" s="243"/>
      <c r="H652" s="243"/>
      <c r="I652" s="243"/>
      <c r="J652" s="243"/>
      <c r="K652" s="243"/>
      <c r="L652" s="243"/>
      <c r="M652" s="243"/>
      <c r="N652" s="243"/>
      <c r="O652" s="243"/>
      <c r="P652" s="243"/>
      <c r="Q652" s="243"/>
      <c r="R652" s="243"/>
      <c r="S652" s="243"/>
      <c r="T652" s="243"/>
      <c r="U652" s="243"/>
      <c r="V652" s="243"/>
      <c r="W652" s="243"/>
      <c r="X652" s="243"/>
      <c r="Y652" s="244"/>
      <c r="Z652" s="243"/>
      <c r="AA652" s="245"/>
      <c r="AB652" s="246"/>
      <c r="AC652" s="246"/>
      <c r="AD652" s="246"/>
      <c r="AE652" s="131"/>
      <c r="AF652" s="244"/>
      <c r="AG652" s="243"/>
      <c r="AH652" s="243"/>
      <c r="AI652" s="243"/>
      <c r="AJ652" s="243"/>
      <c r="AK652" s="243"/>
      <c r="AL652" s="243"/>
      <c r="AM652" s="243"/>
      <c r="AN652" s="243"/>
      <c r="AO652" s="243"/>
      <c r="AP652" s="243"/>
      <c r="AQ652" s="243"/>
      <c r="AR652" s="243"/>
      <c r="AS652" s="243"/>
      <c r="AT652" s="243"/>
      <c r="AU652" s="243"/>
      <c r="AV652" s="243"/>
      <c r="AW652" s="243"/>
      <c r="AX652" s="243"/>
      <c r="AY652" s="243"/>
      <c r="AZ652" s="243"/>
    </row>
    <row r="653" spans="1:52">
      <c r="A653" s="216" t="str">
        <f>IF(D653="","",VLOOKUP(G653,códigosORL!$H:$J,3,FALSE))</f>
        <v/>
      </c>
      <c r="B653" s="243"/>
      <c r="C653" s="259"/>
      <c r="D653" s="243"/>
      <c r="E653" s="243"/>
      <c r="F653" s="247"/>
      <c r="G653" s="243"/>
      <c r="H653" s="243"/>
      <c r="I653" s="243"/>
      <c r="J653" s="243"/>
      <c r="K653" s="243"/>
      <c r="L653" s="243"/>
      <c r="M653" s="243"/>
      <c r="N653" s="243"/>
      <c r="O653" s="243"/>
      <c r="P653" s="243"/>
      <c r="Q653" s="243"/>
      <c r="R653" s="243"/>
      <c r="S653" s="243"/>
      <c r="T653" s="243"/>
      <c r="U653" s="243"/>
      <c r="V653" s="243"/>
      <c r="W653" s="243"/>
      <c r="X653" s="243"/>
      <c r="Y653" s="244"/>
      <c r="Z653" s="243"/>
      <c r="AA653" s="245"/>
      <c r="AB653" s="246"/>
      <c r="AC653" s="246"/>
      <c r="AD653" s="246"/>
      <c r="AE653" s="131"/>
      <c r="AF653" s="244"/>
      <c r="AG653" s="243"/>
      <c r="AH653" s="243"/>
      <c r="AI653" s="243"/>
      <c r="AJ653" s="243"/>
      <c r="AK653" s="243"/>
      <c r="AL653" s="243"/>
      <c r="AM653" s="243"/>
      <c r="AN653" s="243"/>
      <c r="AO653" s="243"/>
      <c r="AP653" s="243"/>
      <c r="AQ653" s="243"/>
      <c r="AR653" s="243"/>
      <c r="AS653" s="243"/>
      <c r="AT653" s="243"/>
      <c r="AU653" s="243"/>
      <c r="AV653" s="243"/>
      <c r="AW653" s="243"/>
      <c r="AX653" s="243"/>
      <c r="AY653" s="243"/>
      <c r="AZ653" s="243"/>
    </row>
    <row r="654" spans="1:52">
      <c r="A654" s="216" t="str">
        <f>IF(D654="","",VLOOKUP(G654,códigosORL!$H:$J,3,FALSE))</f>
        <v/>
      </c>
      <c r="B654" s="243"/>
      <c r="C654" s="259"/>
      <c r="D654" s="243"/>
      <c r="E654" s="243"/>
      <c r="F654" s="247"/>
      <c r="G654" s="243"/>
      <c r="H654" s="243"/>
      <c r="I654" s="243"/>
      <c r="J654" s="243"/>
      <c r="K654" s="243"/>
      <c r="L654" s="243"/>
      <c r="M654" s="243"/>
      <c r="N654" s="243"/>
      <c r="O654" s="243"/>
      <c r="P654" s="243"/>
      <c r="Q654" s="243"/>
      <c r="R654" s="243"/>
      <c r="S654" s="243"/>
      <c r="T654" s="243"/>
      <c r="U654" s="243"/>
      <c r="V654" s="243"/>
      <c r="W654" s="243"/>
      <c r="X654" s="243"/>
      <c r="Y654" s="244"/>
      <c r="Z654" s="243"/>
      <c r="AA654" s="245"/>
      <c r="AB654" s="246"/>
      <c r="AC654" s="246"/>
      <c r="AD654" s="246"/>
      <c r="AE654" s="131"/>
      <c r="AF654" s="244"/>
      <c r="AG654" s="243"/>
      <c r="AH654" s="243"/>
      <c r="AI654" s="243"/>
      <c r="AJ654" s="243"/>
      <c r="AK654" s="243"/>
      <c r="AL654" s="243"/>
      <c r="AM654" s="243"/>
      <c r="AN654" s="243"/>
      <c r="AO654" s="243"/>
      <c r="AP654" s="243"/>
      <c r="AQ654" s="243"/>
      <c r="AR654" s="243"/>
      <c r="AS654" s="243"/>
      <c r="AT654" s="243"/>
      <c r="AU654" s="243"/>
      <c r="AV654" s="243"/>
      <c r="AW654" s="243"/>
      <c r="AX654" s="243"/>
      <c r="AY654" s="243"/>
      <c r="AZ654" s="243"/>
    </row>
    <row r="655" spans="1:52">
      <c r="A655" s="216" t="str">
        <f>IF(D655="","",VLOOKUP(G655,códigosORL!$H:$J,3,FALSE))</f>
        <v/>
      </c>
      <c r="B655" s="243"/>
      <c r="C655" s="259"/>
      <c r="D655" s="243"/>
      <c r="E655" s="243"/>
      <c r="F655" s="247"/>
      <c r="G655" s="243"/>
      <c r="H655" s="243"/>
      <c r="I655" s="243"/>
      <c r="J655" s="243"/>
      <c r="K655" s="243"/>
      <c r="L655" s="243"/>
      <c r="M655" s="243"/>
      <c r="N655" s="243"/>
      <c r="O655" s="243"/>
      <c r="P655" s="243"/>
      <c r="Q655" s="243"/>
      <c r="R655" s="243"/>
      <c r="S655" s="243"/>
      <c r="T655" s="243"/>
      <c r="U655" s="243"/>
      <c r="V655" s="243"/>
      <c r="W655" s="243"/>
      <c r="X655" s="243"/>
      <c r="Y655" s="244"/>
      <c r="Z655" s="243"/>
      <c r="AA655" s="245"/>
      <c r="AB655" s="246"/>
      <c r="AC655" s="246"/>
      <c r="AD655" s="246"/>
      <c r="AE655" s="131"/>
      <c r="AF655" s="244"/>
      <c r="AG655" s="243"/>
      <c r="AH655" s="243"/>
      <c r="AI655" s="243"/>
      <c r="AJ655" s="243"/>
      <c r="AK655" s="243"/>
      <c r="AL655" s="243"/>
      <c r="AM655" s="243"/>
      <c r="AN655" s="243"/>
      <c r="AO655" s="243"/>
      <c r="AP655" s="243"/>
      <c r="AQ655" s="243"/>
      <c r="AR655" s="243"/>
      <c r="AS655" s="243"/>
      <c r="AT655" s="243"/>
      <c r="AU655" s="243"/>
      <c r="AV655" s="243"/>
      <c r="AW655" s="243"/>
      <c r="AX655" s="243"/>
      <c r="AY655" s="243"/>
      <c r="AZ655" s="243"/>
    </row>
    <row r="656" spans="1:52">
      <c r="A656" s="216" t="str">
        <f>IF(D656="","",VLOOKUP(G656,códigosORL!$H:$J,3,FALSE))</f>
        <v/>
      </c>
      <c r="B656" s="243"/>
      <c r="C656" s="259"/>
      <c r="D656" s="243"/>
      <c r="E656" s="243"/>
      <c r="F656" s="247"/>
      <c r="G656" s="243"/>
      <c r="H656" s="243"/>
      <c r="I656" s="243"/>
      <c r="J656" s="243"/>
      <c r="K656" s="243"/>
      <c r="L656" s="243"/>
      <c r="M656" s="243"/>
      <c r="N656" s="243"/>
      <c r="O656" s="243"/>
      <c r="P656" s="243"/>
      <c r="Q656" s="243"/>
      <c r="R656" s="243"/>
      <c r="S656" s="243"/>
      <c r="T656" s="243"/>
      <c r="U656" s="243"/>
      <c r="V656" s="243"/>
      <c r="W656" s="243"/>
      <c r="X656" s="243"/>
      <c r="Y656" s="244"/>
      <c r="Z656" s="243"/>
      <c r="AA656" s="245"/>
      <c r="AB656" s="246"/>
      <c r="AC656" s="246"/>
      <c r="AD656" s="246"/>
      <c r="AE656" s="131"/>
      <c r="AF656" s="244"/>
      <c r="AG656" s="243"/>
      <c r="AH656" s="243"/>
      <c r="AI656" s="243"/>
      <c r="AJ656" s="243"/>
      <c r="AK656" s="243"/>
      <c r="AL656" s="243"/>
      <c r="AM656" s="243"/>
      <c r="AN656" s="243"/>
      <c r="AO656" s="243"/>
      <c r="AP656" s="243"/>
      <c r="AQ656" s="243"/>
      <c r="AR656" s="243"/>
      <c r="AS656" s="243"/>
      <c r="AT656" s="243"/>
      <c r="AU656" s="243"/>
      <c r="AV656" s="243"/>
      <c r="AW656" s="243"/>
      <c r="AX656" s="243"/>
      <c r="AY656" s="243"/>
      <c r="AZ656" s="243"/>
    </row>
    <row r="657" spans="1:52">
      <c r="A657" s="216" t="str">
        <f>IF(D657="","",VLOOKUP(G657,códigosORL!$H:$J,3,FALSE))</f>
        <v/>
      </c>
      <c r="B657" s="243"/>
      <c r="C657" s="259"/>
      <c r="D657" s="243"/>
      <c r="E657" s="243"/>
      <c r="F657" s="247"/>
      <c r="G657" s="243"/>
      <c r="H657" s="243"/>
      <c r="I657" s="243"/>
      <c r="J657" s="243"/>
      <c r="K657" s="243"/>
      <c r="L657" s="243"/>
      <c r="M657" s="243"/>
      <c r="N657" s="243"/>
      <c r="O657" s="243"/>
      <c r="P657" s="243"/>
      <c r="Q657" s="243"/>
      <c r="R657" s="243"/>
      <c r="S657" s="243"/>
      <c r="T657" s="243"/>
      <c r="U657" s="243"/>
      <c r="V657" s="243"/>
      <c r="W657" s="243"/>
      <c r="X657" s="243"/>
      <c r="Y657" s="244"/>
      <c r="Z657" s="243"/>
      <c r="AA657" s="245"/>
      <c r="AB657" s="246"/>
      <c r="AC657" s="246"/>
      <c r="AD657" s="246"/>
      <c r="AE657" s="131"/>
      <c r="AF657" s="244"/>
      <c r="AG657" s="243"/>
      <c r="AH657" s="243"/>
      <c r="AI657" s="243"/>
      <c r="AJ657" s="243"/>
      <c r="AK657" s="243"/>
      <c r="AL657" s="243"/>
      <c r="AM657" s="243"/>
      <c r="AN657" s="243"/>
      <c r="AO657" s="243"/>
      <c r="AP657" s="243"/>
      <c r="AQ657" s="243"/>
      <c r="AR657" s="243"/>
      <c r="AS657" s="243"/>
      <c r="AT657" s="243"/>
      <c r="AU657" s="243"/>
      <c r="AV657" s="243"/>
      <c r="AW657" s="243"/>
      <c r="AX657" s="243"/>
      <c r="AY657" s="243"/>
      <c r="AZ657" s="243"/>
    </row>
    <row r="658" spans="1:52">
      <c r="A658" s="216" t="str">
        <f>IF(D658="","",VLOOKUP(G658,códigosORL!$H:$J,3,FALSE))</f>
        <v/>
      </c>
      <c r="B658" s="243"/>
      <c r="C658" s="259"/>
      <c r="D658" s="243"/>
      <c r="E658" s="243"/>
      <c r="F658" s="247"/>
      <c r="G658" s="243"/>
      <c r="H658" s="243"/>
      <c r="I658" s="243"/>
      <c r="J658" s="243"/>
      <c r="K658" s="243"/>
      <c r="L658" s="243"/>
      <c r="M658" s="243"/>
      <c r="N658" s="243"/>
      <c r="O658" s="243"/>
      <c r="P658" s="243"/>
      <c r="Q658" s="243"/>
      <c r="R658" s="243"/>
      <c r="S658" s="243"/>
      <c r="T658" s="243"/>
      <c r="U658" s="243"/>
      <c r="V658" s="243"/>
      <c r="W658" s="243"/>
      <c r="X658" s="243"/>
      <c r="Y658" s="244"/>
      <c r="Z658" s="243"/>
      <c r="AA658" s="245"/>
      <c r="AB658" s="246"/>
      <c r="AC658" s="246"/>
      <c r="AD658" s="246"/>
      <c r="AE658" s="131"/>
      <c r="AF658" s="244"/>
      <c r="AG658" s="243"/>
      <c r="AH658" s="243"/>
      <c r="AI658" s="243"/>
      <c r="AJ658" s="243"/>
      <c r="AK658" s="243"/>
      <c r="AL658" s="243"/>
      <c r="AM658" s="243"/>
      <c r="AN658" s="243"/>
      <c r="AO658" s="243"/>
      <c r="AP658" s="243"/>
      <c r="AQ658" s="243"/>
      <c r="AR658" s="243"/>
      <c r="AS658" s="243"/>
      <c r="AT658" s="243"/>
      <c r="AU658" s="243"/>
      <c r="AV658" s="243"/>
      <c r="AW658" s="243"/>
      <c r="AX658" s="243"/>
      <c r="AY658" s="243"/>
      <c r="AZ658" s="243"/>
    </row>
    <row r="659" spans="1:52">
      <c r="A659" s="216" t="str">
        <f>IF(D659="","",VLOOKUP(G659,códigosORL!$H:$J,3,FALSE))</f>
        <v/>
      </c>
      <c r="B659" s="243"/>
      <c r="C659" s="259"/>
      <c r="D659" s="243"/>
      <c r="E659" s="243"/>
      <c r="F659" s="247"/>
      <c r="G659" s="243"/>
      <c r="H659" s="243"/>
      <c r="I659" s="243"/>
      <c r="J659" s="243"/>
      <c r="K659" s="243"/>
      <c r="L659" s="243"/>
      <c r="M659" s="243"/>
      <c r="N659" s="243"/>
      <c r="O659" s="243"/>
      <c r="P659" s="243"/>
      <c r="Q659" s="243"/>
      <c r="R659" s="243"/>
      <c r="S659" s="243"/>
      <c r="T659" s="243"/>
      <c r="U659" s="243"/>
      <c r="V659" s="243"/>
      <c r="W659" s="243"/>
      <c r="X659" s="243"/>
      <c r="Y659" s="244"/>
      <c r="Z659" s="243"/>
      <c r="AA659" s="245"/>
      <c r="AB659" s="246"/>
      <c r="AC659" s="246"/>
      <c r="AD659" s="246"/>
      <c r="AE659" s="131"/>
      <c r="AF659" s="244"/>
      <c r="AG659" s="243"/>
      <c r="AH659" s="243"/>
      <c r="AI659" s="243"/>
      <c r="AJ659" s="243"/>
      <c r="AK659" s="243"/>
      <c r="AL659" s="243"/>
      <c r="AM659" s="243"/>
      <c r="AN659" s="243"/>
      <c r="AO659" s="243"/>
      <c r="AP659" s="243"/>
      <c r="AQ659" s="243"/>
      <c r="AR659" s="243"/>
      <c r="AS659" s="243"/>
      <c r="AT659" s="243"/>
      <c r="AU659" s="243"/>
      <c r="AV659" s="243"/>
      <c r="AW659" s="243"/>
      <c r="AX659" s="243"/>
      <c r="AY659" s="243"/>
      <c r="AZ659" s="243"/>
    </row>
    <row r="660" spans="1:52">
      <c r="A660" s="216" t="str">
        <f>IF(D660="","",VLOOKUP(G660,códigosORL!$H:$J,3,FALSE))</f>
        <v/>
      </c>
      <c r="B660" s="243"/>
      <c r="C660" s="259"/>
      <c r="D660" s="243"/>
      <c r="E660" s="243"/>
      <c r="F660" s="247"/>
      <c r="G660" s="243"/>
      <c r="H660" s="243"/>
      <c r="I660" s="243"/>
      <c r="J660" s="243"/>
      <c r="K660" s="243"/>
      <c r="L660" s="243"/>
      <c r="M660" s="243"/>
      <c r="N660" s="243"/>
      <c r="O660" s="243"/>
      <c r="P660" s="243"/>
      <c r="Q660" s="243"/>
      <c r="R660" s="243"/>
      <c r="S660" s="243"/>
      <c r="T660" s="243"/>
      <c r="U660" s="243"/>
      <c r="V660" s="243"/>
      <c r="W660" s="243"/>
      <c r="X660" s="243"/>
      <c r="Y660" s="244"/>
      <c r="Z660" s="243"/>
      <c r="AA660" s="245"/>
      <c r="AB660" s="246"/>
      <c r="AC660" s="246"/>
      <c r="AD660" s="246"/>
      <c r="AE660" s="131"/>
      <c r="AF660" s="244"/>
      <c r="AG660" s="243"/>
      <c r="AH660" s="243"/>
      <c r="AI660" s="243"/>
      <c r="AJ660" s="243"/>
      <c r="AK660" s="243"/>
      <c r="AL660" s="243"/>
      <c r="AM660" s="243"/>
      <c r="AN660" s="243"/>
      <c r="AO660" s="243"/>
      <c r="AP660" s="243"/>
      <c r="AQ660" s="243"/>
      <c r="AR660" s="243"/>
      <c r="AS660" s="243"/>
      <c r="AT660" s="243"/>
      <c r="AU660" s="243"/>
      <c r="AV660" s="243"/>
      <c r="AW660" s="243"/>
      <c r="AX660" s="243"/>
      <c r="AY660" s="243"/>
      <c r="AZ660" s="243"/>
    </row>
    <row r="661" spans="1:52">
      <c r="A661" s="216" t="str">
        <f>IF(D661="","",VLOOKUP(G661,códigosORL!$H:$J,3,FALSE))</f>
        <v/>
      </c>
      <c r="B661" s="243"/>
      <c r="C661" s="259"/>
      <c r="D661" s="243"/>
      <c r="E661" s="243"/>
      <c r="F661" s="247"/>
      <c r="G661" s="243"/>
      <c r="H661" s="243"/>
      <c r="I661" s="243"/>
      <c r="J661" s="243"/>
      <c r="K661" s="243"/>
      <c r="L661" s="243"/>
      <c r="M661" s="243"/>
      <c r="N661" s="243"/>
      <c r="O661" s="243"/>
      <c r="P661" s="243"/>
      <c r="Q661" s="243"/>
      <c r="R661" s="243"/>
      <c r="S661" s="243"/>
      <c r="T661" s="243"/>
      <c r="U661" s="243"/>
      <c r="V661" s="243"/>
      <c r="W661" s="243"/>
      <c r="X661" s="243"/>
      <c r="Y661" s="244"/>
      <c r="Z661" s="243"/>
      <c r="AA661" s="245"/>
      <c r="AB661" s="246"/>
      <c r="AC661" s="246"/>
      <c r="AD661" s="246"/>
      <c r="AE661" s="131"/>
      <c r="AF661" s="244"/>
      <c r="AG661" s="243"/>
      <c r="AH661" s="243"/>
      <c r="AI661" s="243"/>
      <c r="AJ661" s="243"/>
      <c r="AK661" s="243"/>
      <c r="AL661" s="243"/>
      <c r="AM661" s="243"/>
      <c r="AN661" s="243"/>
      <c r="AO661" s="243"/>
      <c r="AP661" s="243"/>
      <c r="AQ661" s="243"/>
      <c r="AR661" s="243"/>
      <c r="AS661" s="243"/>
      <c r="AT661" s="243"/>
      <c r="AU661" s="243"/>
      <c r="AV661" s="243"/>
      <c r="AW661" s="243"/>
      <c r="AX661" s="243"/>
      <c r="AY661" s="243"/>
      <c r="AZ661" s="243"/>
    </row>
    <row r="662" spans="1:52">
      <c r="A662" s="216" t="str">
        <f>IF(D662="","",VLOOKUP(G662,códigosORL!$H:$J,3,FALSE))</f>
        <v/>
      </c>
      <c r="B662" s="243"/>
      <c r="C662" s="259"/>
      <c r="D662" s="243"/>
      <c r="E662" s="243"/>
      <c r="F662" s="247"/>
      <c r="G662" s="243"/>
      <c r="H662" s="243"/>
      <c r="I662" s="243"/>
      <c r="J662" s="243"/>
      <c r="K662" s="243"/>
      <c r="L662" s="243"/>
      <c r="M662" s="243"/>
      <c r="N662" s="243"/>
      <c r="O662" s="243"/>
      <c r="P662" s="243"/>
      <c r="Q662" s="243"/>
      <c r="R662" s="243"/>
      <c r="S662" s="243"/>
      <c r="T662" s="243"/>
      <c r="U662" s="243"/>
      <c r="V662" s="243"/>
      <c r="W662" s="243"/>
      <c r="X662" s="243"/>
      <c r="Y662" s="244"/>
      <c r="Z662" s="243"/>
      <c r="AA662" s="245"/>
      <c r="AB662" s="246"/>
      <c r="AC662" s="246"/>
      <c r="AD662" s="246"/>
      <c r="AE662" s="131"/>
      <c r="AF662" s="244"/>
      <c r="AG662" s="243"/>
      <c r="AH662" s="243"/>
      <c r="AI662" s="243"/>
      <c r="AJ662" s="243"/>
      <c r="AK662" s="243"/>
      <c r="AL662" s="243"/>
      <c r="AM662" s="243"/>
      <c r="AN662" s="243"/>
      <c r="AO662" s="243"/>
      <c r="AP662" s="243"/>
      <c r="AQ662" s="243"/>
      <c r="AR662" s="243"/>
      <c r="AS662" s="243"/>
      <c r="AT662" s="243"/>
      <c r="AU662" s="243"/>
      <c r="AV662" s="243"/>
      <c r="AW662" s="243"/>
      <c r="AX662" s="243"/>
      <c r="AY662" s="243"/>
      <c r="AZ662" s="243"/>
    </row>
    <row r="663" spans="1:52">
      <c r="A663" s="216" t="str">
        <f>IF(D663="","",VLOOKUP(G663,códigosORL!$H:$J,3,FALSE))</f>
        <v/>
      </c>
      <c r="B663" s="243"/>
      <c r="C663" s="259"/>
      <c r="D663" s="243"/>
      <c r="E663" s="243"/>
      <c r="F663" s="247"/>
      <c r="G663" s="243"/>
      <c r="H663" s="243"/>
      <c r="I663" s="243"/>
      <c r="J663" s="243"/>
      <c r="K663" s="243"/>
      <c r="L663" s="243"/>
      <c r="M663" s="243"/>
      <c r="N663" s="243"/>
      <c r="O663" s="243"/>
      <c r="P663" s="243"/>
      <c r="Q663" s="243"/>
      <c r="R663" s="243"/>
      <c r="S663" s="243"/>
      <c r="T663" s="243"/>
      <c r="U663" s="243"/>
      <c r="V663" s="243"/>
      <c r="W663" s="243"/>
      <c r="X663" s="243"/>
      <c r="Y663" s="244"/>
      <c r="Z663" s="243"/>
      <c r="AA663" s="245"/>
      <c r="AB663" s="246"/>
      <c r="AC663" s="246"/>
      <c r="AD663" s="246"/>
      <c r="AE663" s="131"/>
      <c r="AF663" s="244"/>
      <c r="AG663" s="243"/>
      <c r="AH663" s="243"/>
      <c r="AI663" s="243"/>
      <c r="AJ663" s="243"/>
      <c r="AK663" s="243"/>
      <c r="AL663" s="243"/>
      <c r="AM663" s="243"/>
      <c r="AN663" s="243"/>
      <c r="AO663" s="243"/>
      <c r="AP663" s="243"/>
      <c r="AQ663" s="243"/>
      <c r="AR663" s="243"/>
      <c r="AS663" s="243"/>
      <c r="AT663" s="243"/>
      <c r="AU663" s="243"/>
      <c r="AV663" s="243"/>
      <c r="AW663" s="243"/>
      <c r="AX663" s="243"/>
      <c r="AY663" s="243"/>
      <c r="AZ663" s="243"/>
    </row>
    <row r="664" spans="1:52">
      <c r="A664" s="216" t="str">
        <f>IF(D664="","",VLOOKUP(G664,códigosORL!$H:$J,3,FALSE))</f>
        <v/>
      </c>
      <c r="B664" s="243"/>
      <c r="C664" s="259"/>
      <c r="D664" s="243"/>
      <c r="E664" s="243"/>
      <c r="F664" s="247"/>
      <c r="G664" s="243"/>
      <c r="H664" s="243"/>
      <c r="I664" s="243"/>
      <c r="J664" s="243"/>
      <c r="K664" s="243"/>
      <c r="L664" s="243"/>
      <c r="M664" s="243"/>
      <c r="N664" s="243"/>
      <c r="O664" s="243"/>
      <c r="P664" s="243"/>
      <c r="Q664" s="243"/>
      <c r="R664" s="243"/>
      <c r="S664" s="243"/>
      <c r="T664" s="243"/>
      <c r="U664" s="243"/>
      <c r="V664" s="243"/>
      <c r="W664" s="243"/>
      <c r="X664" s="243"/>
      <c r="Y664" s="244"/>
      <c r="Z664" s="243"/>
      <c r="AA664" s="245"/>
      <c r="AB664" s="246"/>
      <c r="AC664" s="246"/>
      <c r="AD664" s="246"/>
      <c r="AE664" s="131"/>
      <c r="AF664" s="244"/>
      <c r="AG664" s="243"/>
      <c r="AH664" s="243"/>
      <c r="AI664" s="243"/>
      <c r="AJ664" s="243"/>
      <c r="AK664" s="243"/>
      <c r="AL664" s="243"/>
      <c r="AM664" s="243"/>
      <c r="AN664" s="243"/>
      <c r="AO664" s="243"/>
      <c r="AP664" s="243"/>
      <c r="AQ664" s="243"/>
      <c r="AR664" s="243"/>
      <c r="AS664" s="243"/>
      <c r="AT664" s="243"/>
      <c r="AU664" s="243"/>
      <c r="AV664" s="243"/>
      <c r="AW664" s="243"/>
      <c r="AX664" s="243"/>
      <c r="AY664" s="243"/>
      <c r="AZ664" s="243"/>
    </row>
    <row r="665" spans="1:52">
      <c r="A665" s="216" t="str">
        <f>IF(D665="","",VLOOKUP(G665,códigosORL!$H:$J,3,FALSE))</f>
        <v/>
      </c>
      <c r="B665" s="243"/>
      <c r="C665" s="259"/>
      <c r="D665" s="243"/>
      <c r="E665" s="243"/>
      <c r="F665" s="247"/>
      <c r="G665" s="243"/>
      <c r="H665" s="243"/>
      <c r="I665" s="243"/>
      <c r="J665" s="243"/>
      <c r="K665" s="243"/>
      <c r="L665" s="243"/>
      <c r="M665" s="243"/>
      <c r="N665" s="243"/>
      <c r="O665" s="243"/>
      <c r="P665" s="243"/>
      <c r="Q665" s="243"/>
      <c r="R665" s="243"/>
      <c r="S665" s="243"/>
      <c r="T665" s="243"/>
      <c r="U665" s="243"/>
      <c r="V665" s="243"/>
      <c r="W665" s="243"/>
      <c r="X665" s="243"/>
      <c r="Y665" s="244"/>
      <c r="Z665" s="243"/>
      <c r="AA665" s="245"/>
      <c r="AB665" s="246"/>
      <c r="AC665" s="246"/>
      <c r="AD665" s="246"/>
      <c r="AE665" s="131"/>
      <c r="AF665" s="244"/>
      <c r="AG665" s="243"/>
      <c r="AH665" s="243"/>
      <c r="AI665" s="243"/>
      <c r="AJ665" s="243"/>
      <c r="AK665" s="243"/>
      <c r="AL665" s="243"/>
      <c r="AM665" s="243"/>
      <c r="AN665" s="243"/>
      <c r="AO665" s="243"/>
      <c r="AP665" s="243"/>
      <c r="AQ665" s="243"/>
      <c r="AR665" s="243"/>
      <c r="AS665" s="243"/>
      <c r="AT665" s="243"/>
      <c r="AU665" s="243"/>
      <c r="AV665" s="243"/>
      <c r="AW665" s="243"/>
      <c r="AX665" s="243"/>
      <c r="AY665" s="243"/>
      <c r="AZ665" s="243"/>
    </row>
    <row r="666" spans="1:52">
      <c r="A666" s="216" t="str">
        <f>IF(D666="","",VLOOKUP(G666,códigosORL!$H:$J,3,FALSE))</f>
        <v/>
      </c>
      <c r="B666" s="243"/>
      <c r="C666" s="259"/>
      <c r="D666" s="243"/>
      <c r="E666" s="243"/>
      <c r="F666" s="247"/>
      <c r="G666" s="243"/>
      <c r="H666" s="243"/>
      <c r="I666" s="243"/>
      <c r="J666" s="243"/>
      <c r="K666" s="243"/>
      <c r="L666" s="243"/>
      <c r="M666" s="243"/>
      <c r="N666" s="243"/>
      <c r="O666" s="243"/>
      <c r="P666" s="243"/>
      <c r="Q666" s="243"/>
      <c r="R666" s="243"/>
      <c r="S666" s="243"/>
      <c r="T666" s="243"/>
      <c r="U666" s="243"/>
      <c r="V666" s="243"/>
      <c r="W666" s="243"/>
      <c r="X666" s="243"/>
      <c r="Y666" s="244"/>
      <c r="Z666" s="243"/>
      <c r="AA666" s="245"/>
      <c r="AB666" s="246"/>
      <c r="AC666" s="246"/>
      <c r="AD666" s="246"/>
      <c r="AE666" s="131"/>
      <c r="AF666" s="244"/>
      <c r="AG666" s="243"/>
      <c r="AH666" s="243"/>
      <c r="AI666" s="243"/>
      <c r="AJ666" s="243"/>
      <c r="AK666" s="243"/>
      <c r="AL666" s="243"/>
      <c r="AM666" s="243"/>
      <c r="AN666" s="243"/>
      <c r="AO666" s="243"/>
      <c r="AP666" s="243"/>
      <c r="AQ666" s="243"/>
      <c r="AR666" s="243"/>
      <c r="AS666" s="243"/>
      <c r="AT666" s="243"/>
      <c r="AU666" s="243"/>
      <c r="AV666" s="243"/>
      <c r="AW666" s="243"/>
      <c r="AX666" s="243"/>
      <c r="AY666" s="243"/>
      <c r="AZ666" s="243"/>
    </row>
    <row r="667" spans="1:52">
      <c r="A667" s="216" t="str">
        <f>IF(D667="","",VLOOKUP(G667,códigosORL!$H:$J,3,FALSE))</f>
        <v/>
      </c>
      <c r="B667" s="243"/>
      <c r="C667" s="259"/>
      <c r="D667" s="243"/>
      <c r="E667" s="243"/>
      <c r="F667" s="247"/>
      <c r="G667" s="243"/>
      <c r="H667" s="243"/>
      <c r="I667" s="243"/>
      <c r="J667" s="243"/>
      <c r="K667" s="243"/>
      <c r="L667" s="243"/>
      <c r="M667" s="243"/>
      <c r="N667" s="243"/>
      <c r="O667" s="243"/>
      <c r="P667" s="243"/>
      <c r="Q667" s="243"/>
      <c r="R667" s="243"/>
      <c r="S667" s="243"/>
      <c r="T667" s="243"/>
      <c r="U667" s="243"/>
      <c r="V667" s="243"/>
      <c r="W667" s="243"/>
      <c r="X667" s="243"/>
      <c r="Y667" s="244"/>
      <c r="Z667" s="243"/>
      <c r="AA667" s="245"/>
      <c r="AB667" s="246"/>
      <c r="AC667" s="246"/>
      <c r="AD667" s="246"/>
      <c r="AE667" s="131"/>
      <c r="AF667" s="244"/>
      <c r="AG667" s="243"/>
      <c r="AH667" s="243"/>
      <c r="AI667" s="243"/>
      <c r="AJ667" s="243"/>
      <c r="AK667" s="243"/>
      <c r="AL667" s="243"/>
      <c r="AM667" s="243"/>
      <c r="AN667" s="243"/>
      <c r="AO667" s="243"/>
      <c r="AP667" s="243"/>
      <c r="AQ667" s="243"/>
      <c r="AR667" s="243"/>
      <c r="AS667" s="243"/>
      <c r="AT667" s="243"/>
      <c r="AU667" s="243"/>
      <c r="AV667" s="243"/>
      <c r="AW667" s="243"/>
      <c r="AX667" s="243"/>
      <c r="AY667" s="243"/>
      <c r="AZ667" s="243"/>
    </row>
    <row r="668" spans="1:52">
      <c r="A668" s="216" t="str">
        <f>IF(D668="","",VLOOKUP(G668,códigosORL!$H:$J,3,FALSE))</f>
        <v/>
      </c>
      <c r="B668" s="243"/>
      <c r="C668" s="259"/>
      <c r="D668" s="243"/>
      <c r="E668" s="243"/>
      <c r="F668" s="247"/>
      <c r="G668" s="243"/>
      <c r="H668" s="243"/>
      <c r="I668" s="243"/>
      <c r="J668" s="243"/>
      <c r="K668" s="243"/>
      <c r="L668" s="243"/>
      <c r="M668" s="243"/>
      <c r="N668" s="243"/>
      <c r="O668" s="243"/>
      <c r="P668" s="243"/>
      <c r="Q668" s="243"/>
      <c r="R668" s="243"/>
      <c r="S668" s="243"/>
      <c r="T668" s="243"/>
      <c r="U668" s="243"/>
      <c r="V668" s="243"/>
      <c r="W668" s="243"/>
      <c r="X668" s="243"/>
      <c r="Y668" s="244"/>
      <c r="Z668" s="243"/>
      <c r="AA668" s="245"/>
      <c r="AB668" s="246"/>
      <c r="AC668" s="246"/>
      <c r="AD668" s="246"/>
      <c r="AE668" s="131"/>
      <c r="AF668" s="244"/>
      <c r="AG668" s="243"/>
      <c r="AH668" s="243"/>
      <c r="AI668" s="243"/>
      <c r="AJ668" s="243"/>
      <c r="AK668" s="243"/>
      <c r="AL668" s="243"/>
      <c r="AM668" s="243"/>
      <c r="AN668" s="243"/>
      <c r="AO668" s="243"/>
      <c r="AP668" s="243"/>
      <c r="AQ668" s="243"/>
      <c r="AR668" s="243"/>
      <c r="AS668" s="243"/>
      <c r="AT668" s="243"/>
      <c r="AU668" s="243"/>
      <c r="AV668" s="243"/>
      <c r="AW668" s="243"/>
      <c r="AX668" s="243"/>
      <c r="AY668" s="243"/>
      <c r="AZ668" s="243"/>
    </row>
    <row r="669" spans="1:52">
      <c r="A669" s="216" t="str">
        <f>IF(D669="","",VLOOKUP(G669,códigosORL!$H:$J,3,FALSE))</f>
        <v/>
      </c>
      <c r="B669" s="243"/>
      <c r="C669" s="259"/>
      <c r="D669" s="243"/>
      <c r="E669" s="243"/>
      <c r="F669" s="247"/>
      <c r="G669" s="243"/>
      <c r="H669" s="243"/>
      <c r="I669" s="243"/>
      <c r="J669" s="243"/>
      <c r="K669" s="243"/>
      <c r="L669" s="243"/>
      <c r="M669" s="243"/>
      <c r="N669" s="243"/>
      <c r="O669" s="243"/>
      <c r="P669" s="243"/>
      <c r="Q669" s="243"/>
      <c r="R669" s="243"/>
      <c r="S669" s="243"/>
      <c r="T669" s="243"/>
      <c r="U669" s="243"/>
      <c r="V669" s="243"/>
      <c r="W669" s="243"/>
      <c r="X669" s="243"/>
      <c r="Y669" s="244"/>
      <c r="Z669" s="243"/>
      <c r="AA669" s="245"/>
      <c r="AB669" s="246"/>
      <c r="AC669" s="246"/>
      <c r="AD669" s="246"/>
      <c r="AE669" s="131"/>
      <c r="AF669" s="244"/>
      <c r="AG669" s="243"/>
      <c r="AH669" s="243"/>
      <c r="AI669" s="243"/>
      <c r="AJ669" s="243"/>
      <c r="AK669" s="243"/>
      <c r="AL669" s="243"/>
      <c r="AM669" s="243"/>
      <c r="AN669" s="243"/>
      <c r="AO669" s="243"/>
      <c r="AP669" s="243"/>
      <c r="AQ669" s="243"/>
      <c r="AR669" s="243"/>
      <c r="AS669" s="243"/>
      <c r="AT669" s="243"/>
      <c r="AU669" s="243"/>
      <c r="AV669" s="243"/>
      <c r="AW669" s="243"/>
      <c r="AX669" s="243"/>
      <c r="AY669" s="243"/>
      <c r="AZ669" s="243"/>
    </row>
    <row r="670" spans="1:52">
      <c r="A670" s="216" t="str">
        <f>IF(D670="","",VLOOKUP(G670,códigosORL!$H:$J,3,FALSE))</f>
        <v/>
      </c>
      <c r="B670" s="243"/>
      <c r="C670" s="259"/>
      <c r="D670" s="243"/>
      <c r="E670" s="243"/>
      <c r="F670" s="247"/>
      <c r="G670" s="243"/>
      <c r="H670" s="243"/>
      <c r="I670" s="243"/>
      <c r="J670" s="243"/>
      <c r="K670" s="243"/>
      <c r="L670" s="243"/>
      <c r="M670" s="243"/>
      <c r="N670" s="243"/>
      <c r="O670" s="243"/>
      <c r="P670" s="243"/>
      <c r="Q670" s="243"/>
      <c r="R670" s="243"/>
      <c r="S670" s="243"/>
      <c r="T670" s="243"/>
      <c r="U670" s="243"/>
      <c r="V670" s="243"/>
      <c r="W670" s="243"/>
      <c r="X670" s="243"/>
      <c r="Y670" s="244"/>
      <c r="Z670" s="243"/>
      <c r="AA670" s="245"/>
      <c r="AB670" s="246"/>
      <c r="AC670" s="246"/>
      <c r="AD670" s="246"/>
      <c r="AE670" s="131"/>
      <c r="AF670" s="244"/>
      <c r="AG670" s="243"/>
      <c r="AH670" s="243"/>
      <c r="AI670" s="243"/>
      <c r="AJ670" s="243"/>
      <c r="AK670" s="243"/>
      <c r="AL670" s="243"/>
      <c r="AM670" s="243"/>
      <c r="AN670" s="243"/>
      <c r="AO670" s="243"/>
      <c r="AP670" s="243"/>
      <c r="AQ670" s="243"/>
      <c r="AR670" s="243"/>
      <c r="AS670" s="243"/>
      <c r="AT670" s="243"/>
      <c r="AU670" s="243"/>
      <c r="AV670" s="243"/>
      <c r="AW670" s="243"/>
      <c r="AX670" s="243"/>
      <c r="AY670" s="243"/>
      <c r="AZ670" s="243"/>
    </row>
    <row r="671" spans="1:52">
      <c r="A671" s="216" t="str">
        <f>IF(D671="","",VLOOKUP(G671,códigosORL!$H:$J,3,FALSE))</f>
        <v/>
      </c>
      <c r="B671" s="243"/>
      <c r="C671" s="259"/>
      <c r="D671" s="243"/>
      <c r="E671" s="243"/>
      <c r="F671" s="247"/>
      <c r="G671" s="243"/>
      <c r="H671" s="243"/>
      <c r="I671" s="243"/>
      <c r="J671" s="243"/>
      <c r="K671" s="243"/>
      <c r="L671" s="243"/>
      <c r="M671" s="243"/>
      <c r="N671" s="243"/>
      <c r="O671" s="243"/>
      <c r="P671" s="243"/>
      <c r="Q671" s="243"/>
      <c r="R671" s="243"/>
      <c r="S671" s="243"/>
      <c r="T671" s="243"/>
      <c r="U671" s="243"/>
      <c r="V671" s="243"/>
      <c r="W671" s="243"/>
      <c r="X671" s="243"/>
      <c r="Y671" s="244"/>
      <c r="Z671" s="243"/>
      <c r="AA671" s="245"/>
      <c r="AB671" s="246"/>
      <c r="AC671" s="246"/>
      <c r="AD671" s="246"/>
      <c r="AE671" s="131"/>
      <c r="AF671" s="244"/>
      <c r="AG671" s="243"/>
      <c r="AH671" s="243"/>
      <c r="AI671" s="243"/>
      <c r="AJ671" s="243"/>
      <c r="AK671" s="243"/>
      <c r="AL671" s="243"/>
      <c r="AM671" s="243"/>
      <c r="AN671" s="243"/>
      <c r="AO671" s="243"/>
      <c r="AP671" s="243"/>
      <c r="AQ671" s="243"/>
      <c r="AR671" s="243"/>
      <c r="AS671" s="243"/>
      <c r="AT671" s="243"/>
      <c r="AU671" s="243"/>
      <c r="AV671" s="243"/>
      <c r="AW671" s="243"/>
      <c r="AX671" s="243"/>
      <c r="AY671" s="243"/>
      <c r="AZ671" s="243"/>
    </row>
    <row r="672" spans="1:52">
      <c r="A672" s="216" t="str">
        <f>IF(D672="","",VLOOKUP(G672,códigosORL!$H:$J,3,FALSE))</f>
        <v/>
      </c>
      <c r="B672" s="243"/>
      <c r="C672" s="259"/>
      <c r="D672" s="243"/>
      <c r="E672" s="243"/>
      <c r="F672" s="247"/>
      <c r="G672" s="243"/>
      <c r="H672" s="243"/>
      <c r="I672" s="243"/>
      <c r="J672" s="243"/>
      <c r="K672" s="243"/>
      <c r="L672" s="243"/>
      <c r="M672" s="243"/>
      <c r="N672" s="243"/>
      <c r="O672" s="243"/>
      <c r="P672" s="243"/>
      <c r="Q672" s="243"/>
      <c r="R672" s="243"/>
      <c r="S672" s="243"/>
      <c r="T672" s="243"/>
      <c r="U672" s="243"/>
      <c r="V672" s="243"/>
      <c r="W672" s="243"/>
      <c r="X672" s="243"/>
      <c r="Y672" s="244"/>
      <c r="Z672" s="243"/>
      <c r="AA672" s="245"/>
      <c r="AB672" s="246"/>
      <c r="AC672" s="246"/>
      <c r="AD672" s="246"/>
      <c r="AE672" s="131"/>
      <c r="AF672" s="244"/>
      <c r="AG672" s="243"/>
      <c r="AH672" s="243"/>
      <c r="AI672" s="243"/>
      <c r="AJ672" s="243"/>
      <c r="AK672" s="243"/>
      <c r="AL672" s="243"/>
      <c r="AM672" s="243"/>
      <c r="AN672" s="243"/>
      <c r="AO672" s="243"/>
      <c r="AP672" s="243"/>
      <c r="AQ672" s="243"/>
      <c r="AR672" s="243"/>
      <c r="AS672" s="243"/>
      <c r="AT672" s="243"/>
      <c r="AU672" s="243"/>
      <c r="AV672" s="243"/>
      <c r="AW672" s="243"/>
      <c r="AX672" s="243"/>
      <c r="AY672" s="243"/>
      <c r="AZ672" s="243"/>
    </row>
    <row r="673" spans="1:52">
      <c r="A673" s="216" t="str">
        <f>IF(D673="","",VLOOKUP(G673,códigosORL!$H:$J,3,FALSE))</f>
        <v/>
      </c>
      <c r="B673" s="243"/>
      <c r="C673" s="259"/>
      <c r="D673" s="243"/>
      <c r="E673" s="243"/>
      <c r="F673" s="247"/>
      <c r="G673" s="243"/>
      <c r="H673" s="243"/>
      <c r="I673" s="243"/>
      <c r="J673" s="243"/>
      <c r="K673" s="243"/>
      <c r="L673" s="243"/>
      <c r="M673" s="243"/>
      <c r="N673" s="243"/>
      <c r="O673" s="243"/>
      <c r="P673" s="243"/>
      <c r="Q673" s="243"/>
      <c r="R673" s="243"/>
      <c r="S673" s="243"/>
      <c r="T673" s="243"/>
      <c r="U673" s="243"/>
      <c r="V673" s="243"/>
      <c r="W673" s="243"/>
      <c r="X673" s="243"/>
      <c r="Y673" s="244"/>
      <c r="Z673" s="243"/>
      <c r="AA673" s="245"/>
      <c r="AB673" s="246"/>
      <c r="AC673" s="246"/>
      <c r="AD673" s="246"/>
      <c r="AE673" s="131"/>
      <c r="AF673" s="244"/>
      <c r="AG673" s="243"/>
      <c r="AH673" s="243"/>
      <c r="AI673" s="243"/>
      <c r="AJ673" s="243"/>
      <c r="AK673" s="243"/>
      <c r="AL673" s="243"/>
      <c r="AM673" s="243"/>
      <c r="AN673" s="243"/>
      <c r="AO673" s="243"/>
      <c r="AP673" s="243"/>
      <c r="AQ673" s="243"/>
      <c r="AR673" s="243"/>
      <c r="AS673" s="243"/>
      <c r="AT673" s="243"/>
      <c r="AU673" s="243"/>
      <c r="AV673" s="243"/>
      <c r="AW673" s="243"/>
      <c r="AX673" s="243"/>
      <c r="AY673" s="243"/>
      <c r="AZ673" s="243"/>
    </row>
    <row r="674" spans="1:52">
      <c r="A674" s="216" t="str">
        <f>IF(D674="","",VLOOKUP(G674,códigosORL!$H:$J,3,FALSE))</f>
        <v/>
      </c>
      <c r="B674" s="243"/>
      <c r="C674" s="259"/>
      <c r="D674" s="243"/>
      <c r="E674" s="243"/>
      <c r="F674" s="247"/>
      <c r="G674" s="243"/>
      <c r="H674" s="243"/>
      <c r="I674" s="243"/>
      <c r="J674" s="243"/>
      <c r="K674" s="243"/>
      <c r="L674" s="243"/>
      <c r="M674" s="243"/>
      <c r="N674" s="243"/>
      <c r="O674" s="243"/>
      <c r="P674" s="243"/>
      <c r="Q674" s="243"/>
      <c r="R674" s="243"/>
      <c r="S674" s="243"/>
      <c r="T674" s="243"/>
      <c r="U674" s="243"/>
      <c r="V674" s="243"/>
      <c r="W674" s="243"/>
      <c r="X674" s="243"/>
      <c r="Y674" s="244"/>
      <c r="Z674" s="243"/>
      <c r="AA674" s="245"/>
      <c r="AB674" s="246"/>
      <c r="AC674" s="246"/>
      <c r="AD674" s="246"/>
      <c r="AE674" s="131"/>
      <c r="AF674" s="244"/>
      <c r="AG674" s="243"/>
      <c r="AH674" s="243"/>
      <c r="AI674" s="243"/>
      <c r="AJ674" s="243"/>
      <c r="AK674" s="243"/>
      <c r="AL674" s="243"/>
      <c r="AM674" s="243"/>
      <c r="AN674" s="243"/>
      <c r="AO674" s="243"/>
      <c r="AP674" s="243"/>
      <c r="AQ674" s="243"/>
      <c r="AR674" s="243"/>
      <c r="AS674" s="243"/>
      <c r="AT674" s="243"/>
      <c r="AU674" s="243"/>
      <c r="AV674" s="243"/>
      <c r="AW674" s="243"/>
      <c r="AX674" s="243"/>
      <c r="AY674" s="243"/>
      <c r="AZ674" s="243"/>
    </row>
    <row r="675" spans="1:52">
      <c r="A675" s="216" t="str">
        <f>IF(D675="","",VLOOKUP(G675,códigosORL!$H:$J,3,FALSE))</f>
        <v/>
      </c>
      <c r="B675" s="243"/>
      <c r="C675" s="259"/>
      <c r="D675" s="243"/>
      <c r="E675" s="243"/>
      <c r="F675" s="247"/>
      <c r="G675" s="243"/>
      <c r="H675" s="243"/>
      <c r="I675" s="243"/>
      <c r="J675" s="243"/>
      <c r="K675" s="243"/>
      <c r="L675" s="243"/>
      <c r="M675" s="243"/>
      <c r="N675" s="243"/>
      <c r="O675" s="243"/>
      <c r="P675" s="243"/>
      <c r="Q675" s="243"/>
      <c r="R675" s="243"/>
      <c r="S675" s="243"/>
      <c r="T675" s="243"/>
      <c r="U675" s="243"/>
      <c r="V675" s="243"/>
      <c r="W675" s="243"/>
      <c r="X675" s="243"/>
      <c r="Y675" s="244"/>
      <c r="Z675" s="243"/>
      <c r="AA675" s="245"/>
      <c r="AB675" s="246"/>
      <c r="AC675" s="246"/>
      <c r="AD675" s="246"/>
      <c r="AE675" s="131"/>
      <c r="AF675" s="244"/>
      <c r="AG675" s="243"/>
      <c r="AH675" s="243"/>
      <c r="AI675" s="243"/>
      <c r="AJ675" s="243"/>
      <c r="AK675" s="243"/>
      <c r="AL675" s="243"/>
      <c r="AM675" s="243"/>
      <c r="AN675" s="243"/>
      <c r="AO675" s="243"/>
      <c r="AP675" s="243"/>
      <c r="AQ675" s="243"/>
      <c r="AR675" s="243"/>
      <c r="AS675" s="243"/>
      <c r="AT675" s="243"/>
      <c r="AU675" s="243"/>
      <c r="AV675" s="243"/>
      <c r="AW675" s="243"/>
      <c r="AX675" s="243"/>
      <c r="AY675" s="243"/>
      <c r="AZ675" s="243"/>
    </row>
    <row r="676" spans="1:52">
      <c r="A676" s="216" t="str">
        <f>IF(D676="","",VLOOKUP(G676,códigosORL!$H:$J,3,FALSE))</f>
        <v/>
      </c>
      <c r="B676" s="243"/>
      <c r="C676" s="259"/>
      <c r="D676" s="243"/>
      <c r="E676" s="243"/>
      <c r="F676" s="247"/>
      <c r="G676" s="243"/>
      <c r="H676" s="243"/>
      <c r="I676" s="243"/>
      <c r="J676" s="243"/>
      <c r="K676" s="243"/>
      <c r="L676" s="243"/>
      <c r="M676" s="243"/>
      <c r="N676" s="243"/>
      <c r="O676" s="243"/>
      <c r="P676" s="243"/>
      <c r="Q676" s="243"/>
      <c r="R676" s="243"/>
      <c r="S676" s="243"/>
      <c r="T676" s="243"/>
      <c r="U676" s="243"/>
      <c r="V676" s="243"/>
      <c r="W676" s="243"/>
      <c r="X676" s="243"/>
      <c r="Y676" s="244"/>
      <c r="Z676" s="243"/>
      <c r="AA676" s="245"/>
      <c r="AB676" s="246"/>
      <c r="AC676" s="246"/>
      <c r="AD676" s="246"/>
      <c r="AE676" s="131"/>
      <c r="AF676" s="244"/>
      <c r="AG676" s="243"/>
      <c r="AH676" s="243"/>
      <c r="AI676" s="243"/>
      <c r="AJ676" s="243"/>
      <c r="AK676" s="243"/>
      <c r="AL676" s="243"/>
      <c r="AM676" s="243"/>
      <c r="AN676" s="243"/>
      <c r="AO676" s="243"/>
      <c r="AP676" s="243"/>
      <c r="AQ676" s="243"/>
      <c r="AR676" s="243"/>
      <c r="AS676" s="243"/>
      <c r="AT676" s="243"/>
      <c r="AU676" s="243"/>
      <c r="AV676" s="243"/>
      <c r="AW676" s="243"/>
      <c r="AX676" s="243"/>
      <c r="AY676" s="243"/>
      <c r="AZ676" s="243"/>
    </row>
    <row r="677" spans="1:52">
      <c r="A677" s="216" t="str">
        <f>IF(D677="","",VLOOKUP(G677,códigosORL!$H:$J,3,FALSE))</f>
        <v/>
      </c>
      <c r="B677" s="243"/>
      <c r="C677" s="259"/>
      <c r="D677" s="243"/>
      <c r="E677" s="243"/>
      <c r="F677" s="247"/>
      <c r="G677" s="243"/>
      <c r="H677" s="243"/>
      <c r="I677" s="243"/>
      <c r="J677" s="243"/>
      <c r="K677" s="243"/>
      <c r="L677" s="243"/>
      <c r="M677" s="243"/>
      <c r="N677" s="243"/>
      <c r="O677" s="243"/>
      <c r="P677" s="243"/>
      <c r="Q677" s="243"/>
      <c r="R677" s="243"/>
      <c r="S677" s="243"/>
      <c r="T677" s="243"/>
      <c r="U677" s="243"/>
      <c r="V677" s="243"/>
      <c r="W677" s="243"/>
      <c r="X677" s="243"/>
      <c r="Y677" s="244"/>
      <c r="Z677" s="243"/>
      <c r="AA677" s="245"/>
      <c r="AB677" s="246"/>
      <c r="AC677" s="246"/>
      <c r="AD677" s="246"/>
      <c r="AE677" s="131"/>
      <c r="AF677" s="244"/>
      <c r="AG677" s="243"/>
      <c r="AH677" s="243"/>
      <c r="AI677" s="243"/>
      <c r="AJ677" s="243"/>
      <c r="AK677" s="243"/>
      <c r="AL677" s="243"/>
      <c r="AM677" s="243"/>
      <c r="AN677" s="243"/>
      <c r="AO677" s="243"/>
      <c r="AP677" s="243"/>
      <c r="AQ677" s="243"/>
      <c r="AR677" s="243"/>
      <c r="AS677" s="243"/>
      <c r="AT677" s="243"/>
      <c r="AU677" s="243"/>
      <c r="AV677" s="243"/>
      <c r="AW677" s="243"/>
      <c r="AX677" s="243"/>
      <c r="AY677" s="243"/>
      <c r="AZ677" s="243"/>
    </row>
    <row r="678" spans="1:52">
      <c r="A678" s="216" t="str">
        <f>IF(D678="","",VLOOKUP(G678,códigosORL!$H:$J,3,FALSE))</f>
        <v/>
      </c>
      <c r="B678" s="243"/>
      <c r="C678" s="259"/>
      <c r="D678" s="243"/>
      <c r="E678" s="243"/>
      <c r="F678" s="247"/>
      <c r="G678" s="243"/>
      <c r="H678" s="243"/>
      <c r="I678" s="243"/>
      <c r="J678" s="243"/>
      <c r="K678" s="243"/>
      <c r="L678" s="243"/>
      <c r="M678" s="243"/>
      <c r="N678" s="243"/>
      <c r="O678" s="243"/>
      <c r="P678" s="243"/>
      <c r="Q678" s="243"/>
      <c r="R678" s="243"/>
      <c r="S678" s="243"/>
      <c r="T678" s="243"/>
      <c r="U678" s="243"/>
      <c r="V678" s="243"/>
      <c r="W678" s="243"/>
      <c r="X678" s="243"/>
      <c r="Y678" s="244"/>
      <c r="Z678" s="243"/>
      <c r="AA678" s="245"/>
      <c r="AB678" s="246"/>
      <c r="AC678" s="246"/>
      <c r="AD678" s="246"/>
      <c r="AE678" s="131"/>
      <c r="AF678" s="244"/>
      <c r="AG678" s="243"/>
      <c r="AH678" s="243"/>
      <c r="AI678" s="243"/>
      <c r="AJ678" s="243"/>
      <c r="AK678" s="243"/>
      <c r="AL678" s="243"/>
      <c r="AM678" s="243"/>
      <c r="AN678" s="243"/>
      <c r="AO678" s="243"/>
      <c r="AP678" s="243"/>
      <c r="AQ678" s="243"/>
      <c r="AR678" s="243"/>
      <c r="AS678" s="243"/>
      <c r="AT678" s="243"/>
      <c r="AU678" s="243"/>
      <c r="AV678" s="243"/>
      <c r="AW678" s="243"/>
      <c r="AX678" s="243"/>
      <c r="AY678" s="243"/>
      <c r="AZ678" s="243"/>
    </row>
    <row r="679" spans="1:52">
      <c r="A679" s="216" t="str">
        <f>IF(D679="","",VLOOKUP(G679,códigosORL!$H:$J,3,FALSE))</f>
        <v/>
      </c>
      <c r="B679" s="243"/>
      <c r="C679" s="259"/>
      <c r="D679" s="243"/>
      <c r="E679" s="243"/>
      <c r="F679" s="247"/>
      <c r="G679" s="243"/>
      <c r="H679" s="243"/>
      <c r="I679" s="243"/>
      <c r="J679" s="243"/>
      <c r="K679" s="243"/>
      <c r="L679" s="243"/>
      <c r="M679" s="243"/>
      <c r="N679" s="243"/>
      <c r="O679" s="243"/>
      <c r="P679" s="243"/>
      <c r="Q679" s="243"/>
      <c r="R679" s="243"/>
      <c r="S679" s="243"/>
      <c r="T679" s="243"/>
      <c r="U679" s="243"/>
      <c r="V679" s="243"/>
      <c r="W679" s="243"/>
      <c r="X679" s="243"/>
      <c r="Y679" s="244"/>
      <c r="Z679" s="243"/>
      <c r="AA679" s="245"/>
      <c r="AB679" s="246"/>
      <c r="AC679" s="246"/>
      <c r="AD679" s="246"/>
      <c r="AE679" s="131"/>
      <c r="AF679" s="244"/>
      <c r="AG679" s="243"/>
      <c r="AH679" s="243"/>
      <c r="AI679" s="243"/>
      <c r="AJ679" s="243"/>
      <c r="AK679" s="243"/>
      <c r="AL679" s="243"/>
      <c r="AM679" s="243"/>
      <c r="AN679" s="243"/>
      <c r="AO679" s="243"/>
      <c r="AP679" s="243"/>
      <c r="AQ679" s="243"/>
      <c r="AR679" s="243"/>
      <c r="AS679" s="243"/>
      <c r="AT679" s="243"/>
      <c r="AU679" s="243"/>
      <c r="AV679" s="243"/>
      <c r="AW679" s="243"/>
      <c r="AX679" s="243"/>
      <c r="AY679" s="243"/>
      <c r="AZ679" s="243"/>
    </row>
    <row r="680" spans="1:52">
      <c r="A680" s="216" t="str">
        <f>IF(D680="","",VLOOKUP(G680,códigosORL!$H:$J,3,FALSE))</f>
        <v/>
      </c>
      <c r="B680" s="243"/>
      <c r="C680" s="259"/>
      <c r="D680" s="243"/>
      <c r="E680" s="243"/>
      <c r="F680" s="247"/>
      <c r="G680" s="243"/>
      <c r="H680" s="243"/>
      <c r="I680" s="243"/>
      <c r="J680" s="243"/>
      <c r="K680" s="243"/>
      <c r="L680" s="243"/>
      <c r="M680" s="243"/>
      <c r="N680" s="243"/>
      <c r="O680" s="243"/>
      <c r="P680" s="243"/>
      <c r="Q680" s="243"/>
      <c r="R680" s="243"/>
      <c r="S680" s="243"/>
      <c r="T680" s="243"/>
      <c r="U680" s="243"/>
      <c r="V680" s="243"/>
      <c r="W680" s="243"/>
      <c r="X680" s="243"/>
      <c r="Y680" s="244"/>
      <c r="Z680" s="243"/>
      <c r="AA680" s="245"/>
      <c r="AB680" s="246"/>
      <c r="AC680" s="246"/>
      <c r="AD680" s="246"/>
      <c r="AE680" s="131"/>
      <c r="AF680" s="244"/>
      <c r="AG680" s="243"/>
      <c r="AH680" s="243"/>
      <c r="AI680" s="243"/>
      <c r="AJ680" s="243"/>
      <c r="AK680" s="243"/>
      <c r="AL680" s="243"/>
      <c r="AM680" s="243"/>
      <c r="AN680" s="243"/>
      <c r="AO680" s="243"/>
      <c r="AP680" s="243"/>
      <c r="AQ680" s="243"/>
      <c r="AR680" s="243"/>
      <c r="AS680" s="243"/>
      <c r="AT680" s="243"/>
      <c r="AU680" s="243"/>
      <c r="AV680" s="243"/>
      <c r="AW680" s="243"/>
      <c r="AX680" s="243"/>
      <c r="AY680" s="243"/>
      <c r="AZ680" s="243"/>
    </row>
    <row r="681" spans="1:52">
      <c r="A681" s="216" t="str">
        <f>IF(D681="","",VLOOKUP(G681,códigosORL!$H:$J,3,FALSE))</f>
        <v/>
      </c>
      <c r="B681" s="243"/>
      <c r="C681" s="259"/>
      <c r="D681" s="243"/>
      <c r="E681" s="243"/>
      <c r="F681" s="247"/>
      <c r="G681" s="243"/>
      <c r="H681" s="243"/>
      <c r="I681" s="243"/>
      <c r="J681" s="243"/>
      <c r="K681" s="243"/>
      <c r="L681" s="243"/>
      <c r="M681" s="243"/>
      <c r="N681" s="243"/>
      <c r="O681" s="243"/>
      <c r="P681" s="243"/>
      <c r="Q681" s="243"/>
      <c r="R681" s="243"/>
      <c r="S681" s="243"/>
      <c r="T681" s="243"/>
      <c r="U681" s="243"/>
      <c r="V681" s="243"/>
      <c r="W681" s="243"/>
      <c r="X681" s="243"/>
      <c r="Y681" s="244"/>
      <c r="Z681" s="243"/>
      <c r="AA681" s="245"/>
      <c r="AB681" s="246"/>
      <c r="AC681" s="246"/>
      <c r="AD681" s="246"/>
      <c r="AE681" s="131"/>
      <c r="AF681" s="244"/>
      <c r="AG681" s="243"/>
      <c r="AH681" s="243"/>
      <c r="AI681" s="243"/>
      <c r="AJ681" s="243"/>
      <c r="AK681" s="243"/>
      <c r="AL681" s="243"/>
      <c r="AM681" s="243"/>
      <c r="AN681" s="243"/>
      <c r="AO681" s="243"/>
      <c r="AP681" s="243"/>
      <c r="AQ681" s="243"/>
      <c r="AR681" s="243"/>
      <c r="AS681" s="243"/>
      <c r="AT681" s="243"/>
      <c r="AU681" s="243"/>
      <c r="AV681" s="243"/>
      <c r="AW681" s="243"/>
      <c r="AX681" s="243"/>
      <c r="AY681" s="243"/>
      <c r="AZ681" s="243"/>
    </row>
    <row r="682" spans="1:52">
      <c r="A682" s="216" t="str">
        <f>IF(D682="","",VLOOKUP(G682,códigosORL!$H:$J,3,FALSE))</f>
        <v/>
      </c>
      <c r="B682" s="243"/>
      <c r="C682" s="259"/>
      <c r="D682" s="243"/>
      <c r="E682" s="243"/>
      <c r="F682" s="247"/>
      <c r="G682" s="243"/>
      <c r="H682" s="243"/>
      <c r="I682" s="243"/>
      <c r="J682" s="243"/>
      <c r="K682" s="243"/>
      <c r="L682" s="243"/>
      <c r="M682" s="243"/>
      <c r="N682" s="243"/>
      <c r="O682" s="243"/>
      <c r="P682" s="243"/>
      <c r="Q682" s="243"/>
      <c r="R682" s="243"/>
      <c r="S682" s="243"/>
      <c r="T682" s="243"/>
      <c r="U682" s="243"/>
      <c r="V682" s="243"/>
      <c r="W682" s="243"/>
      <c r="X682" s="243"/>
      <c r="Y682" s="244"/>
      <c r="Z682" s="243"/>
      <c r="AA682" s="245"/>
      <c r="AB682" s="246"/>
      <c r="AC682" s="246"/>
      <c r="AD682" s="246"/>
      <c r="AE682" s="131"/>
      <c r="AF682" s="244"/>
      <c r="AG682" s="243"/>
      <c r="AH682" s="243"/>
      <c r="AI682" s="243"/>
      <c r="AJ682" s="243"/>
      <c r="AK682" s="243"/>
      <c r="AL682" s="243"/>
      <c r="AM682" s="243"/>
      <c r="AN682" s="243"/>
      <c r="AO682" s="243"/>
      <c r="AP682" s="243"/>
      <c r="AQ682" s="243"/>
      <c r="AR682" s="243"/>
      <c r="AS682" s="243"/>
      <c r="AT682" s="243"/>
      <c r="AU682" s="243"/>
      <c r="AV682" s="243"/>
      <c r="AW682" s="243"/>
      <c r="AX682" s="243"/>
      <c r="AY682" s="243"/>
      <c r="AZ682" s="243"/>
    </row>
    <row r="683" spans="1:52">
      <c r="A683" s="216" t="str">
        <f>IF(D683="","",VLOOKUP(G683,códigosORL!$H:$J,3,FALSE))</f>
        <v/>
      </c>
      <c r="B683" s="243"/>
      <c r="C683" s="259"/>
      <c r="D683" s="243"/>
      <c r="E683" s="243"/>
      <c r="F683" s="247"/>
      <c r="G683" s="243"/>
      <c r="H683" s="243"/>
      <c r="I683" s="243"/>
      <c r="J683" s="243"/>
      <c r="K683" s="243"/>
      <c r="L683" s="243"/>
      <c r="M683" s="243"/>
      <c r="N683" s="243"/>
      <c r="O683" s="243"/>
      <c r="P683" s="243"/>
      <c r="Q683" s="243"/>
      <c r="R683" s="243"/>
      <c r="S683" s="243"/>
      <c r="T683" s="243"/>
      <c r="U683" s="243"/>
      <c r="V683" s="243"/>
      <c r="W683" s="243"/>
      <c r="X683" s="243"/>
      <c r="Y683" s="244"/>
      <c r="Z683" s="243"/>
      <c r="AA683" s="245"/>
      <c r="AB683" s="246"/>
      <c r="AC683" s="246"/>
      <c r="AD683" s="246"/>
      <c r="AE683" s="131"/>
      <c r="AF683" s="244"/>
      <c r="AG683" s="243"/>
      <c r="AH683" s="243"/>
      <c r="AI683" s="243"/>
      <c r="AJ683" s="243"/>
      <c r="AK683" s="243"/>
      <c r="AL683" s="243"/>
      <c r="AM683" s="243"/>
      <c r="AN683" s="243"/>
      <c r="AO683" s="243"/>
      <c r="AP683" s="243"/>
      <c r="AQ683" s="243"/>
      <c r="AR683" s="243"/>
      <c r="AS683" s="243"/>
      <c r="AT683" s="243"/>
      <c r="AU683" s="243"/>
      <c r="AV683" s="243"/>
      <c r="AW683" s="243"/>
      <c r="AX683" s="243"/>
      <c r="AY683" s="243"/>
      <c r="AZ683" s="243"/>
    </row>
    <row r="684" spans="1:52">
      <c r="A684" s="216" t="str">
        <f>IF(D684="","",VLOOKUP(G684,códigosORL!$H:$J,3,FALSE))</f>
        <v/>
      </c>
      <c r="B684" s="243"/>
      <c r="C684" s="259"/>
      <c r="D684" s="243"/>
      <c r="E684" s="243"/>
      <c r="F684" s="247"/>
      <c r="G684" s="243"/>
      <c r="H684" s="243"/>
      <c r="I684" s="243"/>
      <c r="J684" s="243"/>
      <c r="K684" s="243"/>
      <c r="L684" s="243"/>
      <c r="M684" s="243"/>
      <c r="N684" s="243"/>
      <c r="O684" s="243"/>
      <c r="P684" s="243"/>
      <c r="Q684" s="243"/>
      <c r="R684" s="243"/>
      <c r="S684" s="243"/>
      <c r="T684" s="243"/>
      <c r="U684" s="243"/>
      <c r="V684" s="243"/>
      <c r="W684" s="243"/>
      <c r="X684" s="243"/>
      <c r="Y684" s="244"/>
      <c r="Z684" s="243"/>
      <c r="AA684" s="245"/>
      <c r="AB684" s="246"/>
      <c r="AC684" s="246"/>
      <c r="AD684" s="246"/>
      <c r="AE684" s="131"/>
      <c r="AF684" s="244"/>
      <c r="AG684" s="243"/>
      <c r="AH684" s="243"/>
      <c r="AI684" s="243"/>
      <c r="AJ684" s="243"/>
      <c r="AK684" s="243"/>
      <c r="AL684" s="243"/>
      <c r="AM684" s="243"/>
      <c r="AN684" s="243"/>
      <c r="AO684" s="243"/>
      <c r="AP684" s="243"/>
      <c r="AQ684" s="243"/>
      <c r="AR684" s="243"/>
      <c r="AS684" s="243"/>
      <c r="AT684" s="243"/>
      <c r="AU684" s="243"/>
      <c r="AV684" s="243"/>
      <c r="AW684" s="243"/>
      <c r="AX684" s="243"/>
      <c r="AY684" s="243"/>
      <c r="AZ684" s="243"/>
    </row>
    <row r="685" spans="1:52">
      <c r="A685" s="216" t="str">
        <f>IF(D685="","",VLOOKUP(G685,códigosORL!$H:$J,3,FALSE))</f>
        <v/>
      </c>
      <c r="B685" s="243"/>
      <c r="C685" s="259"/>
      <c r="D685" s="243"/>
      <c r="E685" s="243"/>
      <c r="F685" s="247"/>
      <c r="G685" s="243"/>
      <c r="H685" s="243"/>
      <c r="I685" s="243"/>
      <c r="J685" s="243"/>
      <c r="K685" s="243"/>
      <c r="L685" s="243"/>
      <c r="M685" s="243"/>
      <c r="N685" s="243"/>
      <c r="O685" s="243"/>
      <c r="P685" s="243"/>
      <c r="Q685" s="243"/>
      <c r="R685" s="243"/>
      <c r="S685" s="243"/>
      <c r="T685" s="243"/>
      <c r="U685" s="243"/>
      <c r="V685" s="243"/>
      <c r="W685" s="243"/>
      <c r="X685" s="243"/>
      <c r="Y685" s="244"/>
      <c r="Z685" s="243"/>
      <c r="AA685" s="245"/>
      <c r="AB685" s="246"/>
      <c r="AC685" s="246"/>
      <c r="AD685" s="246"/>
      <c r="AE685" s="131"/>
      <c r="AF685" s="244"/>
      <c r="AG685" s="243"/>
      <c r="AH685" s="243"/>
      <c r="AI685" s="243"/>
      <c r="AJ685" s="243"/>
      <c r="AK685" s="243"/>
      <c r="AL685" s="243"/>
      <c r="AM685" s="243"/>
      <c r="AN685" s="243"/>
      <c r="AO685" s="243"/>
      <c r="AP685" s="243"/>
      <c r="AQ685" s="243"/>
      <c r="AR685" s="243"/>
      <c r="AS685" s="243"/>
      <c r="AT685" s="243"/>
      <c r="AU685" s="243"/>
      <c r="AV685" s="243"/>
      <c r="AW685" s="243"/>
      <c r="AX685" s="243"/>
      <c r="AY685" s="243"/>
      <c r="AZ685" s="243"/>
    </row>
    <row r="686" spans="1:52">
      <c r="A686" s="216" t="str">
        <f>IF(D686="","",VLOOKUP(G686,códigosORL!$H:$J,3,FALSE))</f>
        <v/>
      </c>
      <c r="B686" s="243"/>
      <c r="C686" s="259"/>
      <c r="D686" s="243"/>
      <c r="E686" s="243"/>
      <c r="F686" s="247"/>
      <c r="G686" s="243"/>
      <c r="H686" s="243"/>
      <c r="I686" s="243"/>
      <c r="J686" s="243"/>
      <c r="K686" s="243"/>
      <c r="L686" s="243"/>
      <c r="M686" s="243"/>
      <c r="N686" s="243"/>
      <c r="O686" s="243"/>
      <c r="P686" s="243"/>
      <c r="Q686" s="243"/>
      <c r="R686" s="243"/>
      <c r="S686" s="243"/>
      <c r="T686" s="243"/>
      <c r="U686" s="243"/>
      <c r="V686" s="243"/>
      <c r="W686" s="243"/>
      <c r="X686" s="243"/>
      <c r="Y686" s="244"/>
      <c r="Z686" s="243"/>
      <c r="AA686" s="245"/>
      <c r="AB686" s="246"/>
      <c r="AC686" s="246"/>
      <c r="AD686" s="246"/>
      <c r="AE686" s="131"/>
      <c r="AF686" s="244"/>
      <c r="AG686" s="243"/>
      <c r="AH686" s="243"/>
      <c r="AI686" s="243"/>
      <c r="AJ686" s="243"/>
      <c r="AK686" s="243"/>
      <c r="AL686" s="243"/>
      <c r="AM686" s="243"/>
      <c r="AN686" s="243"/>
      <c r="AO686" s="243"/>
      <c r="AP686" s="243"/>
      <c r="AQ686" s="243"/>
      <c r="AR686" s="243"/>
      <c r="AS686" s="243"/>
      <c r="AT686" s="243"/>
      <c r="AU686" s="243"/>
      <c r="AV686" s="243"/>
      <c r="AW686" s="243"/>
      <c r="AX686" s="243"/>
      <c r="AY686" s="243"/>
      <c r="AZ686" s="243"/>
    </row>
    <row r="687" spans="1:52">
      <c r="A687" s="216" t="str">
        <f>IF(D687="","",VLOOKUP(G687,códigosORL!$H:$J,3,FALSE))</f>
        <v/>
      </c>
      <c r="B687" s="243"/>
      <c r="C687" s="259"/>
      <c r="D687" s="243"/>
      <c r="E687" s="243"/>
      <c r="F687" s="247"/>
      <c r="G687" s="243"/>
      <c r="H687" s="243"/>
      <c r="I687" s="243"/>
      <c r="J687" s="243"/>
      <c r="K687" s="243"/>
      <c r="L687" s="243"/>
      <c r="M687" s="243"/>
      <c r="N687" s="243"/>
      <c r="O687" s="243"/>
      <c r="P687" s="243"/>
      <c r="Q687" s="243"/>
      <c r="R687" s="243"/>
      <c r="S687" s="243"/>
      <c r="T687" s="243"/>
      <c r="U687" s="243"/>
      <c r="V687" s="243"/>
      <c r="W687" s="243"/>
      <c r="X687" s="243"/>
      <c r="Y687" s="244"/>
      <c r="Z687" s="243"/>
      <c r="AA687" s="245"/>
      <c r="AB687" s="246"/>
      <c r="AC687" s="246"/>
      <c r="AD687" s="246"/>
      <c r="AE687" s="131"/>
      <c r="AF687" s="244"/>
      <c r="AG687" s="243"/>
      <c r="AH687" s="243"/>
      <c r="AI687" s="243"/>
      <c r="AJ687" s="243"/>
      <c r="AK687" s="243"/>
      <c r="AL687" s="243"/>
      <c r="AM687" s="243"/>
      <c r="AN687" s="243"/>
      <c r="AO687" s="243"/>
      <c r="AP687" s="243"/>
      <c r="AQ687" s="243"/>
      <c r="AR687" s="243"/>
      <c r="AS687" s="243"/>
      <c r="AT687" s="243"/>
      <c r="AU687" s="243"/>
      <c r="AV687" s="243"/>
      <c r="AW687" s="243"/>
      <c r="AX687" s="243"/>
      <c r="AY687" s="243"/>
      <c r="AZ687" s="243"/>
    </row>
    <row r="688" spans="1:52">
      <c r="A688" s="216" t="str">
        <f>IF(D688="","",VLOOKUP(G688,códigosORL!$H:$J,3,FALSE))</f>
        <v/>
      </c>
      <c r="B688" s="243"/>
      <c r="C688" s="259"/>
      <c r="D688" s="243"/>
      <c r="E688" s="243"/>
      <c r="F688" s="247"/>
      <c r="G688" s="243"/>
      <c r="H688" s="243"/>
      <c r="I688" s="243"/>
      <c r="J688" s="243"/>
      <c r="K688" s="243"/>
      <c r="L688" s="243"/>
      <c r="M688" s="243"/>
      <c r="N688" s="243"/>
      <c r="O688" s="243"/>
      <c r="P688" s="243"/>
      <c r="Q688" s="243"/>
      <c r="R688" s="243"/>
      <c r="S688" s="243"/>
      <c r="T688" s="243"/>
      <c r="U688" s="243"/>
      <c r="V688" s="243"/>
      <c r="W688" s="243"/>
      <c r="X688" s="243"/>
      <c r="Y688" s="244"/>
      <c r="Z688" s="243"/>
      <c r="AA688" s="245"/>
      <c r="AB688" s="246"/>
      <c r="AC688" s="246"/>
      <c r="AD688" s="246"/>
      <c r="AE688" s="131"/>
      <c r="AF688" s="244"/>
      <c r="AG688" s="243"/>
      <c r="AH688" s="243"/>
      <c r="AI688" s="243"/>
      <c r="AJ688" s="243"/>
      <c r="AK688" s="243"/>
      <c r="AL688" s="243"/>
      <c r="AM688" s="243"/>
      <c r="AN688" s="243"/>
      <c r="AO688" s="243"/>
      <c r="AP688" s="243"/>
      <c r="AQ688" s="243"/>
      <c r="AR688" s="243"/>
      <c r="AS688" s="243"/>
      <c r="AT688" s="243"/>
      <c r="AU688" s="243"/>
      <c r="AV688" s="243"/>
      <c r="AW688" s="243"/>
      <c r="AX688" s="243"/>
      <c r="AY688" s="243"/>
      <c r="AZ688" s="243"/>
    </row>
    <row r="689" spans="1:52">
      <c r="A689" s="216" t="str">
        <f>IF(D689="","",VLOOKUP(G689,códigosORL!$H:$J,3,FALSE))</f>
        <v/>
      </c>
      <c r="B689" s="243"/>
      <c r="C689" s="259"/>
      <c r="D689" s="243"/>
      <c r="E689" s="243"/>
      <c r="F689" s="247"/>
      <c r="G689" s="243"/>
      <c r="H689" s="243"/>
      <c r="I689" s="243"/>
      <c r="J689" s="243"/>
      <c r="K689" s="243"/>
      <c r="L689" s="243"/>
      <c r="M689" s="243"/>
      <c r="N689" s="243"/>
      <c r="O689" s="243"/>
      <c r="P689" s="243"/>
      <c r="Q689" s="243"/>
      <c r="R689" s="243"/>
      <c r="S689" s="243"/>
      <c r="T689" s="243"/>
      <c r="U689" s="243"/>
      <c r="V689" s="243"/>
      <c r="W689" s="243"/>
      <c r="X689" s="243"/>
      <c r="Y689" s="244"/>
      <c r="Z689" s="243"/>
      <c r="AA689" s="245"/>
      <c r="AB689" s="246"/>
      <c r="AC689" s="246"/>
      <c r="AD689" s="246"/>
      <c r="AE689" s="131"/>
      <c r="AF689" s="244"/>
      <c r="AG689" s="243"/>
      <c r="AH689" s="243"/>
      <c r="AI689" s="243"/>
      <c r="AJ689" s="243"/>
      <c r="AK689" s="243"/>
      <c r="AL689" s="243"/>
      <c r="AM689" s="243"/>
      <c r="AN689" s="243"/>
      <c r="AO689" s="243"/>
      <c r="AP689" s="243"/>
      <c r="AQ689" s="243"/>
      <c r="AR689" s="243"/>
      <c r="AS689" s="243"/>
      <c r="AT689" s="243"/>
      <c r="AU689" s="243"/>
      <c r="AV689" s="243"/>
      <c r="AW689" s="243"/>
      <c r="AX689" s="243"/>
      <c r="AY689" s="243"/>
      <c r="AZ689" s="243"/>
    </row>
    <row r="690" spans="1:52">
      <c r="A690" s="216" t="str">
        <f>IF(D690="","",VLOOKUP(G690,códigosORL!$H:$J,3,FALSE))</f>
        <v/>
      </c>
      <c r="B690" s="243"/>
      <c r="C690" s="259"/>
      <c r="D690" s="243"/>
      <c r="E690" s="243"/>
      <c r="F690" s="247"/>
      <c r="G690" s="243"/>
      <c r="H690" s="243"/>
      <c r="I690" s="243"/>
      <c r="J690" s="243"/>
      <c r="K690" s="243"/>
      <c r="L690" s="243"/>
      <c r="M690" s="243"/>
      <c r="N690" s="243"/>
      <c r="O690" s="243"/>
      <c r="P690" s="243"/>
      <c r="Q690" s="243"/>
      <c r="R690" s="243"/>
      <c r="S690" s="243"/>
      <c r="T690" s="243"/>
      <c r="U690" s="243"/>
      <c r="V690" s="243"/>
      <c r="W690" s="243"/>
      <c r="X690" s="243"/>
      <c r="Y690" s="244"/>
      <c r="Z690" s="243"/>
      <c r="AA690" s="245"/>
      <c r="AB690" s="246"/>
      <c r="AC690" s="246"/>
      <c r="AD690" s="246"/>
      <c r="AE690" s="131"/>
      <c r="AF690" s="244"/>
      <c r="AG690" s="243"/>
      <c r="AH690" s="243"/>
      <c r="AI690" s="243"/>
      <c r="AJ690" s="243"/>
      <c r="AK690" s="243"/>
      <c r="AL690" s="243"/>
      <c r="AM690" s="243"/>
      <c r="AN690" s="243"/>
      <c r="AO690" s="243"/>
      <c r="AP690" s="243"/>
      <c r="AQ690" s="243"/>
      <c r="AR690" s="243"/>
      <c r="AS690" s="243"/>
      <c r="AT690" s="243"/>
      <c r="AU690" s="243"/>
      <c r="AV690" s="243"/>
      <c r="AW690" s="243"/>
      <c r="AX690" s="243"/>
      <c r="AY690" s="243"/>
      <c r="AZ690" s="243"/>
    </row>
    <row r="691" spans="1:52">
      <c r="A691" s="216" t="str">
        <f>IF(D691="","",VLOOKUP(G691,códigosORL!$H:$J,3,FALSE))</f>
        <v/>
      </c>
      <c r="B691" s="243"/>
      <c r="C691" s="259"/>
      <c r="D691" s="243"/>
      <c r="E691" s="243"/>
      <c r="F691" s="247"/>
      <c r="G691" s="243"/>
      <c r="H691" s="243"/>
      <c r="I691" s="243"/>
      <c r="J691" s="243"/>
      <c r="K691" s="243"/>
      <c r="L691" s="243"/>
      <c r="M691" s="243"/>
      <c r="N691" s="243"/>
      <c r="O691" s="243"/>
      <c r="P691" s="243"/>
      <c r="Q691" s="243"/>
      <c r="R691" s="243"/>
      <c r="S691" s="243"/>
      <c r="T691" s="243"/>
      <c r="U691" s="243"/>
      <c r="V691" s="243"/>
      <c r="W691" s="243"/>
      <c r="X691" s="243"/>
      <c r="Y691" s="244"/>
      <c r="Z691" s="243"/>
      <c r="AA691" s="245"/>
      <c r="AB691" s="246"/>
      <c r="AC691" s="246"/>
      <c r="AD691" s="246"/>
      <c r="AE691" s="131"/>
      <c r="AF691" s="244"/>
      <c r="AG691" s="243"/>
      <c r="AH691" s="243"/>
      <c r="AI691" s="243"/>
      <c r="AJ691" s="243"/>
      <c r="AK691" s="243"/>
      <c r="AL691" s="243"/>
      <c r="AM691" s="243"/>
      <c r="AN691" s="243"/>
      <c r="AO691" s="243"/>
      <c r="AP691" s="243"/>
      <c r="AQ691" s="243"/>
      <c r="AR691" s="243"/>
      <c r="AS691" s="243"/>
      <c r="AT691" s="243"/>
      <c r="AU691" s="243"/>
      <c r="AV691" s="243"/>
      <c r="AW691" s="243"/>
      <c r="AX691" s="243"/>
      <c r="AY691" s="243"/>
      <c r="AZ691" s="243"/>
    </row>
    <row r="692" spans="1:52">
      <c r="A692" s="216" t="str">
        <f>IF(D692="","",VLOOKUP(G692,códigosORL!$H:$J,3,FALSE))</f>
        <v/>
      </c>
      <c r="B692" s="243"/>
      <c r="C692" s="259"/>
      <c r="D692" s="243"/>
      <c r="E692" s="243"/>
      <c r="F692" s="247"/>
      <c r="G692" s="243"/>
      <c r="H692" s="243"/>
      <c r="I692" s="243"/>
      <c r="J692" s="243"/>
      <c r="K692" s="243"/>
      <c r="L692" s="243"/>
      <c r="M692" s="243"/>
      <c r="N692" s="243"/>
      <c r="O692" s="243"/>
      <c r="P692" s="243"/>
      <c r="Q692" s="243"/>
      <c r="R692" s="243"/>
      <c r="S692" s="243"/>
      <c r="T692" s="243"/>
      <c r="U692" s="243"/>
      <c r="V692" s="243"/>
      <c r="W692" s="243"/>
      <c r="X692" s="243"/>
      <c r="Y692" s="244"/>
      <c r="Z692" s="243"/>
      <c r="AA692" s="245"/>
      <c r="AB692" s="246"/>
      <c r="AC692" s="246"/>
      <c r="AD692" s="246"/>
      <c r="AE692" s="131"/>
      <c r="AF692" s="244"/>
      <c r="AG692" s="243"/>
      <c r="AH692" s="243"/>
      <c r="AI692" s="243"/>
      <c r="AJ692" s="243"/>
      <c r="AK692" s="243"/>
      <c r="AL692" s="243"/>
      <c r="AM692" s="243"/>
      <c r="AN692" s="243"/>
      <c r="AO692" s="243"/>
      <c r="AP692" s="243"/>
      <c r="AQ692" s="243"/>
      <c r="AR692" s="243"/>
      <c r="AS692" s="243"/>
      <c r="AT692" s="243"/>
      <c r="AU692" s="243"/>
      <c r="AV692" s="243"/>
      <c r="AW692" s="243"/>
      <c r="AX692" s="243"/>
      <c r="AY692" s="243"/>
      <c r="AZ692" s="243"/>
    </row>
    <row r="693" spans="1:52">
      <c r="A693" s="216" t="str">
        <f>IF(D693="","",VLOOKUP(G693,códigosORL!$H:$J,3,FALSE))</f>
        <v/>
      </c>
      <c r="B693" s="243"/>
      <c r="C693" s="259"/>
      <c r="D693" s="243"/>
      <c r="E693" s="243"/>
      <c r="F693" s="247"/>
      <c r="G693" s="243"/>
      <c r="H693" s="243"/>
      <c r="I693" s="243"/>
      <c r="J693" s="243"/>
      <c r="K693" s="243"/>
      <c r="L693" s="243"/>
      <c r="M693" s="243"/>
      <c r="N693" s="243"/>
      <c r="O693" s="243"/>
      <c r="P693" s="243"/>
      <c r="Q693" s="243"/>
      <c r="R693" s="243"/>
      <c r="S693" s="243"/>
      <c r="T693" s="243"/>
      <c r="U693" s="243"/>
      <c r="V693" s="243"/>
      <c r="W693" s="243"/>
      <c r="X693" s="243"/>
      <c r="Y693" s="244"/>
      <c r="Z693" s="243"/>
      <c r="AA693" s="245"/>
      <c r="AB693" s="246"/>
      <c r="AC693" s="246"/>
      <c r="AD693" s="246"/>
      <c r="AE693" s="131"/>
      <c r="AF693" s="244"/>
      <c r="AG693" s="243"/>
      <c r="AH693" s="243"/>
      <c r="AI693" s="243"/>
      <c r="AJ693" s="243"/>
      <c r="AK693" s="243"/>
      <c r="AL693" s="243"/>
      <c r="AM693" s="243"/>
      <c r="AN693" s="243"/>
      <c r="AO693" s="243"/>
      <c r="AP693" s="243"/>
      <c r="AQ693" s="243"/>
      <c r="AR693" s="243"/>
      <c r="AS693" s="243"/>
      <c r="AT693" s="243"/>
      <c r="AU693" s="243"/>
      <c r="AV693" s="243"/>
      <c r="AW693" s="243"/>
      <c r="AX693" s="243"/>
      <c r="AY693" s="243"/>
      <c r="AZ693" s="243"/>
    </row>
    <row r="694" spans="1:52">
      <c r="A694" s="216" t="str">
        <f>IF(D694="","",VLOOKUP(G694,códigosORL!$H:$J,3,FALSE))</f>
        <v/>
      </c>
      <c r="B694" s="243"/>
      <c r="C694" s="259"/>
      <c r="D694" s="243"/>
      <c r="E694" s="243"/>
      <c r="F694" s="247"/>
      <c r="G694" s="243"/>
      <c r="H694" s="243"/>
      <c r="I694" s="243"/>
      <c r="J694" s="243"/>
      <c r="K694" s="243"/>
      <c r="L694" s="243"/>
      <c r="M694" s="243"/>
      <c r="N694" s="243"/>
      <c r="O694" s="243"/>
      <c r="P694" s="243"/>
      <c r="Q694" s="243"/>
      <c r="R694" s="243"/>
      <c r="S694" s="243"/>
      <c r="T694" s="243"/>
      <c r="U694" s="243"/>
      <c r="V694" s="243"/>
      <c r="W694" s="243"/>
      <c r="X694" s="243"/>
      <c r="Y694" s="244"/>
      <c r="Z694" s="243"/>
      <c r="AA694" s="245"/>
      <c r="AB694" s="246"/>
      <c r="AC694" s="246"/>
      <c r="AD694" s="246"/>
      <c r="AE694" s="131"/>
      <c r="AF694" s="244"/>
      <c r="AG694" s="243"/>
      <c r="AH694" s="243"/>
      <c r="AI694" s="243"/>
      <c r="AJ694" s="243"/>
      <c r="AK694" s="243"/>
      <c r="AL694" s="243"/>
      <c r="AM694" s="243"/>
      <c r="AN694" s="243"/>
      <c r="AO694" s="243"/>
      <c r="AP694" s="243"/>
      <c r="AQ694" s="243"/>
      <c r="AR694" s="243"/>
      <c r="AS694" s="243"/>
      <c r="AT694" s="243"/>
      <c r="AU694" s="243"/>
      <c r="AV694" s="243"/>
      <c r="AW694" s="243"/>
      <c r="AX694" s="243"/>
      <c r="AY694" s="243"/>
      <c r="AZ694" s="243"/>
    </row>
    <row r="695" spans="1:52">
      <c r="A695" s="216" t="str">
        <f>IF(D695="","",VLOOKUP(G695,códigosORL!$H:$J,3,FALSE))</f>
        <v/>
      </c>
      <c r="B695" s="243"/>
      <c r="C695" s="259"/>
      <c r="D695" s="243"/>
      <c r="E695" s="243"/>
      <c r="F695" s="247"/>
      <c r="G695" s="243"/>
      <c r="H695" s="243"/>
      <c r="I695" s="243"/>
      <c r="J695" s="243"/>
      <c r="K695" s="243"/>
      <c r="L695" s="243"/>
      <c r="M695" s="243"/>
      <c r="N695" s="243"/>
      <c r="O695" s="243"/>
      <c r="P695" s="243"/>
      <c r="Q695" s="243"/>
      <c r="R695" s="243"/>
      <c r="S695" s="243"/>
      <c r="T695" s="243"/>
      <c r="U695" s="243"/>
      <c r="V695" s="243"/>
      <c r="W695" s="243"/>
      <c r="X695" s="243"/>
      <c r="Y695" s="244"/>
      <c r="Z695" s="243"/>
      <c r="AA695" s="245"/>
      <c r="AB695" s="246"/>
      <c r="AC695" s="246"/>
      <c r="AD695" s="246"/>
      <c r="AE695" s="131"/>
      <c r="AF695" s="244"/>
      <c r="AG695" s="243"/>
      <c r="AH695" s="243"/>
      <c r="AI695" s="243"/>
      <c r="AJ695" s="243"/>
      <c r="AK695" s="243"/>
      <c r="AL695" s="243"/>
      <c r="AM695" s="243"/>
      <c r="AN695" s="243"/>
      <c r="AO695" s="243"/>
      <c r="AP695" s="243"/>
      <c r="AQ695" s="243"/>
      <c r="AR695" s="243"/>
      <c r="AS695" s="243"/>
      <c r="AT695" s="243"/>
      <c r="AU695" s="243"/>
      <c r="AV695" s="243"/>
      <c r="AW695" s="243"/>
      <c r="AX695" s="243"/>
      <c r="AY695" s="243"/>
      <c r="AZ695" s="243"/>
    </row>
    <row r="696" spans="1:52">
      <c r="A696" s="216" t="str">
        <f>IF(D696="","",VLOOKUP(G696,códigosORL!$H:$J,3,FALSE))</f>
        <v/>
      </c>
      <c r="B696" s="243"/>
      <c r="C696" s="259"/>
      <c r="D696" s="243"/>
      <c r="E696" s="243"/>
      <c r="F696" s="247"/>
      <c r="G696" s="243"/>
      <c r="H696" s="243"/>
      <c r="I696" s="243"/>
      <c r="J696" s="243"/>
      <c r="K696" s="243"/>
      <c r="L696" s="243"/>
      <c r="M696" s="243"/>
      <c r="N696" s="243"/>
      <c r="O696" s="243"/>
      <c r="P696" s="243"/>
      <c r="Q696" s="243"/>
      <c r="R696" s="243"/>
      <c r="S696" s="243"/>
      <c r="T696" s="243"/>
      <c r="U696" s="243"/>
      <c r="V696" s="243"/>
      <c r="W696" s="243"/>
      <c r="X696" s="243"/>
      <c r="Y696" s="244"/>
      <c r="Z696" s="243"/>
      <c r="AA696" s="245"/>
      <c r="AB696" s="246"/>
      <c r="AC696" s="246"/>
      <c r="AD696" s="246"/>
      <c r="AE696" s="131"/>
      <c r="AF696" s="244"/>
      <c r="AG696" s="243"/>
      <c r="AH696" s="243"/>
      <c r="AI696" s="243"/>
      <c r="AJ696" s="243"/>
      <c r="AK696" s="243"/>
      <c r="AL696" s="243"/>
      <c r="AM696" s="243"/>
      <c r="AN696" s="243"/>
      <c r="AO696" s="243"/>
      <c r="AP696" s="243"/>
      <c r="AQ696" s="243"/>
      <c r="AR696" s="243"/>
      <c r="AS696" s="243"/>
      <c r="AT696" s="243"/>
      <c r="AU696" s="243"/>
      <c r="AV696" s="243"/>
      <c r="AW696" s="243"/>
      <c r="AX696" s="243"/>
      <c r="AY696" s="243"/>
      <c r="AZ696" s="243"/>
    </row>
    <row r="697" spans="1:52">
      <c r="A697" s="216" t="str">
        <f>IF(D697="","",VLOOKUP(G697,códigosORL!$H:$J,3,FALSE))</f>
        <v/>
      </c>
      <c r="B697" s="243"/>
      <c r="C697" s="259"/>
      <c r="D697" s="243"/>
      <c r="E697" s="243"/>
      <c r="F697" s="247"/>
      <c r="G697" s="243"/>
      <c r="H697" s="243"/>
      <c r="I697" s="243"/>
      <c r="J697" s="243"/>
      <c r="K697" s="243"/>
      <c r="L697" s="243"/>
      <c r="M697" s="243"/>
      <c r="N697" s="243"/>
      <c r="O697" s="243"/>
      <c r="P697" s="243"/>
      <c r="Q697" s="243"/>
      <c r="R697" s="243"/>
      <c r="S697" s="243"/>
      <c r="T697" s="243"/>
      <c r="U697" s="243"/>
      <c r="V697" s="243"/>
      <c r="W697" s="243"/>
      <c r="X697" s="243"/>
      <c r="Y697" s="244"/>
      <c r="Z697" s="243"/>
      <c r="AA697" s="245"/>
      <c r="AB697" s="246"/>
      <c r="AC697" s="246"/>
      <c r="AD697" s="246"/>
      <c r="AE697" s="131"/>
      <c r="AF697" s="244"/>
      <c r="AG697" s="243"/>
      <c r="AH697" s="243"/>
      <c r="AI697" s="243"/>
      <c r="AJ697" s="243"/>
      <c r="AK697" s="243"/>
      <c r="AL697" s="243"/>
      <c r="AM697" s="243"/>
      <c r="AN697" s="243"/>
      <c r="AO697" s="243"/>
      <c r="AP697" s="243"/>
      <c r="AQ697" s="243"/>
      <c r="AR697" s="243"/>
      <c r="AS697" s="243"/>
      <c r="AT697" s="243"/>
      <c r="AU697" s="243"/>
      <c r="AV697" s="243"/>
      <c r="AW697" s="243"/>
      <c r="AX697" s="243"/>
      <c r="AY697" s="243"/>
      <c r="AZ697" s="243"/>
    </row>
    <row r="698" spans="1:52">
      <c r="A698" s="216" t="str">
        <f>IF(D698="","",VLOOKUP(G698,códigosORL!$H:$J,3,FALSE))</f>
        <v/>
      </c>
      <c r="B698" s="243"/>
      <c r="C698" s="259"/>
      <c r="D698" s="243"/>
      <c r="E698" s="243"/>
      <c r="F698" s="247"/>
      <c r="G698" s="243"/>
      <c r="H698" s="243"/>
      <c r="I698" s="243"/>
      <c r="J698" s="243"/>
      <c r="K698" s="243"/>
      <c r="L698" s="243"/>
      <c r="M698" s="243"/>
      <c r="N698" s="243"/>
      <c r="O698" s="243"/>
      <c r="P698" s="243"/>
      <c r="Q698" s="243"/>
      <c r="R698" s="243"/>
      <c r="S698" s="243"/>
      <c r="T698" s="243"/>
      <c r="U698" s="243"/>
      <c r="V698" s="243"/>
      <c r="W698" s="243"/>
      <c r="X698" s="243"/>
      <c r="Y698" s="244"/>
      <c r="Z698" s="243"/>
      <c r="AA698" s="245"/>
      <c r="AB698" s="246"/>
      <c r="AC698" s="246"/>
      <c r="AD698" s="246"/>
      <c r="AE698" s="131"/>
      <c r="AF698" s="244"/>
      <c r="AG698" s="243"/>
      <c r="AH698" s="243"/>
      <c r="AI698" s="243"/>
      <c r="AJ698" s="243"/>
      <c r="AK698" s="243"/>
      <c r="AL698" s="243"/>
      <c r="AM698" s="243"/>
      <c r="AN698" s="243"/>
      <c r="AO698" s="243"/>
      <c r="AP698" s="243"/>
      <c r="AQ698" s="243"/>
      <c r="AR698" s="243"/>
      <c r="AS698" s="243"/>
      <c r="AT698" s="243"/>
      <c r="AU698" s="243"/>
      <c r="AV698" s="243"/>
      <c r="AW698" s="243"/>
      <c r="AX698" s="243"/>
      <c r="AY698" s="243"/>
      <c r="AZ698" s="243"/>
    </row>
    <row r="699" spans="1:52">
      <c r="A699" s="216" t="str">
        <f>IF(D699="","",VLOOKUP(G699,códigosORL!$H:$J,3,FALSE))</f>
        <v/>
      </c>
      <c r="B699" s="243"/>
      <c r="C699" s="259"/>
      <c r="D699" s="243"/>
      <c r="E699" s="243"/>
      <c r="F699" s="247"/>
      <c r="G699" s="243"/>
      <c r="H699" s="243"/>
      <c r="I699" s="243"/>
      <c r="J699" s="243"/>
      <c r="K699" s="243"/>
      <c r="L699" s="243"/>
      <c r="M699" s="243"/>
      <c r="N699" s="243"/>
      <c r="O699" s="243"/>
      <c r="P699" s="243"/>
      <c r="Q699" s="243"/>
      <c r="R699" s="243"/>
      <c r="S699" s="243"/>
      <c r="T699" s="243"/>
      <c r="U699" s="243"/>
      <c r="V699" s="243"/>
      <c r="W699" s="243"/>
      <c r="X699" s="243"/>
      <c r="Y699" s="244"/>
      <c r="Z699" s="243"/>
      <c r="AA699" s="245"/>
      <c r="AB699" s="246"/>
      <c r="AC699" s="246"/>
      <c r="AD699" s="246"/>
      <c r="AE699" s="131"/>
      <c r="AF699" s="244"/>
      <c r="AG699" s="243"/>
      <c r="AH699" s="243"/>
      <c r="AI699" s="243"/>
      <c r="AJ699" s="243"/>
      <c r="AK699" s="243"/>
      <c r="AL699" s="243"/>
      <c r="AM699" s="243"/>
      <c r="AN699" s="243"/>
      <c r="AO699" s="243"/>
      <c r="AP699" s="243"/>
      <c r="AQ699" s="243"/>
      <c r="AR699" s="243"/>
      <c r="AS699" s="243"/>
      <c r="AT699" s="243"/>
      <c r="AU699" s="243"/>
      <c r="AV699" s="243"/>
      <c r="AW699" s="243"/>
      <c r="AX699" s="243"/>
      <c r="AY699" s="243"/>
      <c r="AZ699" s="243"/>
    </row>
    <row r="700" spans="1:52">
      <c r="A700" s="216" t="str">
        <f>IF(D700="","",VLOOKUP(G700,códigosORL!$H:$J,3,FALSE))</f>
        <v/>
      </c>
      <c r="B700" s="243"/>
      <c r="C700" s="259"/>
      <c r="D700" s="243"/>
      <c r="E700" s="243"/>
      <c r="F700" s="247"/>
      <c r="G700" s="243"/>
      <c r="H700" s="243"/>
      <c r="I700" s="243"/>
      <c r="J700" s="243"/>
      <c r="K700" s="243"/>
      <c r="L700" s="243"/>
      <c r="M700" s="243"/>
      <c r="N700" s="243"/>
      <c r="O700" s="243"/>
      <c r="P700" s="243"/>
      <c r="Q700" s="243"/>
      <c r="R700" s="243"/>
      <c r="S700" s="243"/>
      <c r="T700" s="243"/>
      <c r="U700" s="243"/>
      <c r="V700" s="243"/>
      <c r="W700" s="243"/>
      <c r="X700" s="243"/>
      <c r="Y700" s="244"/>
      <c r="Z700" s="243"/>
      <c r="AA700" s="245"/>
      <c r="AB700" s="246"/>
      <c r="AC700" s="246"/>
      <c r="AD700" s="246"/>
      <c r="AE700" s="131"/>
      <c r="AF700" s="244"/>
      <c r="AG700" s="243"/>
      <c r="AH700" s="243"/>
      <c r="AI700" s="243"/>
      <c r="AJ700" s="243"/>
      <c r="AK700" s="243"/>
      <c r="AL700" s="243"/>
      <c r="AM700" s="243"/>
      <c r="AN700" s="243"/>
      <c r="AO700" s="243"/>
      <c r="AP700" s="243"/>
      <c r="AQ700" s="243"/>
      <c r="AR700" s="243"/>
      <c r="AS700" s="243"/>
      <c r="AT700" s="243"/>
      <c r="AU700" s="243"/>
      <c r="AV700" s="243"/>
      <c r="AW700" s="243"/>
      <c r="AX700" s="243"/>
      <c r="AY700" s="243"/>
      <c r="AZ700" s="243"/>
    </row>
    <row r="701" spans="1:52">
      <c r="A701" s="216" t="str">
        <f>IF(D701="","",VLOOKUP(G701,códigosORL!$H:$J,3,FALSE))</f>
        <v/>
      </c>
      <c r="B701" s="243"/>
      <c r="C701" s="259"/>
      <c r="D701" s="243"/>
      <c r="E701" s="243"/>
      <c r="F701" s="247"/>
      <c r="G701" s="243"/>
      <c r="H701" s="243"/>
      <c r="I701" s="243"/>
      <c r="J701" s="243"/>
      <c r="K701" s="243"/>
      <c r="L701" s="243"/>
      <c r="M701" s="243"/>
      <c r="N701" s="243"/>
      <c r="O701" s="243"/>
      <c r="P701" s="243"/>
      <c r="Q701" s="243"/>
      <c r="R701" s="243"/>
      <c r="S701" s="243"/>
      <c r="T701" s="243"/>
      <c r="U701" s="243"/>
      <c r="V701" s="243"/>
      <c r="W701" s="243"/>
      <c r="X701" s="243"/>
      <c r="Y701" s="244"/>
      <c r="Z701" s="243"/>
      <c r="AA701" s="245"/>
      <c r="AB701" s="246"/>
      <c r="AC701" s="246"/>
      <c r="AD701" s="246"/>
      <c r="AE701" s="131"/>
      <c r="AF701" s="244"/>
      <c r="AG701" s="243"/>
      <c r="AH701" s="243"/>
      <c r="AI701" s="243"/>
      <c r="AJ701" s="243"/>
      <c r="AK701" s="243"/>
      <c r="AL701" s="243"/>
      <c r="AM701" s="243"/>
      <c r="AN701" s="243"/>
      <c r="AO701" s="243"/>
      <c r="AP701" s="243"/>
      <c r="AQ701" s="243"/>
      <c r="AR701" s="243"/>
      <c r="AS701" s="243"/>
      <c r="AT701" s="243"/>
      <c r="AU701" s="243"/>
      <c r="AV701" s="243"/>
      <c r="AW701" s="243"/>
      <c r="AX701" s="243"/>
      <c r="AY701" s="243"/>
      <c r="AZ701" s="243"/>
    </row>
    <row r="702" spans="1:52">
      <c r="A702" s="216" t="str">
        <f>IF(D702="","",VLOOKUP(G702,códigosORL!$H:$J,3,FALSE))</f>
        <v/>
      </c>
      <c r="B702" s="243"/>
      <c r="C702" s="259"/>
      <c r="D702" s="243"/>
      <c r="E702" s="243"/>
      <c r="F702" s="247"/>
      <c r="G702" s="243"/>
      <c r="H702" s="243"/>
      <c r="I702" s="243"/>
      <c r="J702" s="243"/>
      <c r="K702" s="243"/>
      <c r="L702" s="243"/>
      <c r="M702" s="243"/>
      <c r="N702" s="243"/>
      <c r="O702" s="243"/>
      <c r="P702" s="243"/>
      <c r="Q702" s="243"/>
      <c r="R702" s="243"/>
      <c r="S702" s="243"/>
      <c r="T702" s="243"/>
      <c r="U702" s="243"/>
      <c r="V702" s="243"/>
      <c r="W702" s="243"/>
      <c r="X702" s="243"/>
      <c r="Y702" s="244"/>
      <c r="Z702" s="243"/>
      <c r="AA702" s="245"/>
      <c r="AB702" s="246"/>
      <c r="AC702" s="246"/>
      <c r="AD702" s="246"/>
      <c r="AE702" s="131"/>
      <c r="AF702" s="244"/>
      <c r="AG702" s="243"/>
      <c r="AH702" s="243"/>
      <c r="AI702" s="243"/>
      <c r="AJ702" s="243"/>
      <c r="AK702" s="243"/>
      <c r="AL702" s="243"/>
      <c r="AM702" s="243"/>
      <c r="AN702" s="243"/>
      <c r="AO702" s="243"/>
      <c r="AP702" s="243"/>
      <c r="AQ702" s="243"/>
      <c r="AR702" s="243"/>
      <c r="AS702" s="243"/>
      <c r="AT702" s="243"/>
      <c r="AU702" s="243"/>
      <c r="AV702" s="243"/>
      <c r="AW702" s="243"/>
      <c r="AX702" s="243"/>
      <c r="AY702" s="243"/>
      <c r="AZ702" s="243"/>
    </row>
    <row r="703" spans="1:52">
      <c r="A703" s="216" t="str">
        <f>IF(D703="","",VLOOKUP(G703,códigosORL!$H:$J,3,FALSE))</f>
        <v/>
      </c>
      <c r="B703" s="243"/>
      <c r="C703" s="259"/>
      <c r="D703" s="243"/>
      <c r="E703" s="243"/>
      <c r="F703" s="247"/>
      <c r="G703" s="243"/>
      <c r="H703" s="243"/>
      <c r="I703" s="243"/>
      <c r="J703" s="243"/>
      <c r="K703" s="243"/>
      <c r="L703" s="243"/>
      <c r="M703" s="243"/>
      <c r="N703" s="243"/>
      <c r="O703" s="243"/>
      <c r="P703" s="243"/>
      <c r="Q703" s="243"/>
      <c r="R703" s="243"/>
      <c r="S703" s="243"/>
      <c r="T703" s="243"/>
      <c r="U703" s="243"/>
      <c r="V703" s="243"/>
      <c r="W703" s="243"/>
      <c r="X703" s="243"/>
      <c r="Y703" s="244"/>
      <c r="Z703" s="243"/>
      <c r="AA703" s="245"/>
      <c r="AB703" s="246"/>
      <c r="AC703" s="246"/>
      <c r="AD703" s="246"/>
      <c r="AE703" s="131"/>
      <c r="AF703" s="244"/>
      <c r="AG703" s="243"/>
      <c r="AH703" s="243"/>
      <c r="AI703" s="243"/>
      <c r="AJ703" s="243"/>
      <c r="AK703" s="243"/>
      <c r="AL703" s="243"/>
      <c r="AM703" s="243"/>
      <c r="AN703" s="243"/>
      <c r="AO703" s="243"/>
      <c r="AP703" s="243"/>
      <c r="AQ703" s="243"/>
      <c r="AR703" s="243"/>
      <c r="AS703" s="243"/>
      <c r="AT703" s="243"/>
      <c r="AU703" s="243"/>
      <c r="AV703" s="243"/>
      <c r="AW703" s="243"/>
      <c r="AX703" s="243"/>
      <c r="AY703" s="243"/>
      <c r="AZ703" s="243"/>
    </row>
    <row r="704" spans="1:52">
      <c r="A704" s="216" t="str">
        <f>IF(D704="","",VLOOKUP(G704,códigosORL!$H:$J,3,FALSE))</f>
        <v/>
      </c>
      <c r="B704" s="243"/>
      <c r="C704" s="259"/>
      <c r="D704" s="243"/>
      <c r="E704" s="243"/>
      <c r="F704" s="247"/>
      <c r="G704" s="243"/>
      <c r="H704" s="243"/>
      <c r="I704" s="243"/>
      <c r="J704" s="243"/>
      <c r="K704" s="243"/>
      <c r="L704" s="243"/>
      <c r="M704" s="243"/>
      <c r="N704" s="243"/>
      <c r="O704" s="243"/>
      <c r="P704" s="243"/>
      <c r="Q704" s="243"/>
      <c r="R704" s="243"/>
      <c r="S704" s="243"/>
      <c r="T704" s="243"/>
      <c r="U704" s="243"/>
      <c r="V704" s="243"/>
      <c r="W704" s="243"/>
      <c r="X704" s="243"/>
      <c r="Y704" s="244"/>
      <c r="Z704" s="243"/>
      <c r="AA704" s="245"/>
      <c r="AB704" s="246"/>
      <c r="AC704" s="246"/>
      <c r="AD704" s="246"/>
      <c r="AE704" s="131"/>
      <c r="AF704" s="244"/>
      <c r="AG704" s="243"/>
      <c r="AH704" s="243"/>
      <c r="AI704" s="243"/>
      <c r="AJ704" s="243"/>
      <c r="AK704" s="243"/>
      <c r="AL704" s="243"/>
      <c r="AM704" s="243"/>
      <c r="AN704" s="243"/>
      <c r="AO704" s="243"/>
      <c r="AP704" s="243"/>
      <c r="AQ704" s="243"/>
      <c r="AR704" s="243"/>
      <c r="AS704" s="243"/>
      <c r="AT704" s="243"/>
      <c r="AU704" s="243"/>
      <c r="AV704" s="243"/>
      <c r="AW704" s="243"/>
      <c r="AX704" s="243"/>
      <c r="AY704" s="243"/>
      <c r="AZ704" s="243"/>
    </row>
    <row r="705" spans="1:52">
      <c r="A705" s="216" t="str">
        <f>IF(D705="","",VLOOKUP(G705,códigosORL!$H:$J,3,FALSE))</f>
        <v/>
      </c>
      <c r="B705" s="243"/>
      <c r="C705" s="259"/>
      <c r="D705" s="243"/>
      <c r="E705" s="243"/>
      <c r="F705" s="247"/>
      <c r="G705" s="243"/>
      <c r="H705" s="243"/>
      <c r="I705" s="243"/>
      <c r="J705" s="243"/>
      <c r="K705" s="243"/>
      <c r="L705" s="243"/>
      <c r="M705" s="243"/>
      <c r="N705" s="243"/>
      <c r="O705" s="243"/>
      <c r="P705" s="243"/>
      <c r="Q705" s="243"/>
      <c r="R705" s="243"/>
      <c r="S705" s="243"/>
      <c r="T705" s="243"/>
      <c r="U705" s="243"/>
      <c r="V705" s="243"/>
      <c r="W705" s="243"/>
      <c r="X705" s="243"/>
      <c r="Y705" s="244"/>
      <c r="Z705" s="243"/>
      <c r="AA705" s="245"/>
      <c r="AB705" s="246"/>
      <c r="AC705" s="246"/>
      <c r="AD705" s="246"/>
      <c r="AE705" s="131"/>
      <c r="AF705" s="244"/>
      <c r="AG705" s="243"/>
      <c r="AH705" s="243"/>
      <c r="AI705" s="243"/>
      <c r="AJ705" s="243"/>
      <c r="AK705" s="243"/>
      <c r="AL705" s="243"/>
      <c r="AM705" s="243"/>
      <c r="AN705" s="243"/>
      <c r="AO705" s="243"/>
      <c r="AP705" s="243"/>
      <c r="AQ705" s="243"/>
      <c r="AR705" s="243"/>
      <c r="AS705" s="243"/>
      <c r="AT705" s="243"/>
      <c r="AU705" s="243"/>
      <c r="AV705" s="243"/>
      <c r="AW705" s="243"/>
      <c r="AX705" s="243"/>
      <c r="AY705" s="243"/>
      <c r="AZ705" s="243"/>
    </row>
    <row r="706" spans="1:52">
      <c r="A706" s="216" t="str">
        <f>IF(D706="","",VLOOKUP(G706,códigosORL!$H:$J,3,FALSE))</f>
        <v/>
      </c>
      <c r="B706" s="243"/>
      <c r="C706" s="259"/>
      <c r="D706" s="243"/>
      <c r="E706" s="243"/>
      <c r="F706" s="247"/>
      <c r="G706" s="243"/>
      <c r="H706" s="243"/>
      <c r="I706" s="243"/>
      <c r="J706" s="243"/>
      <c r="K706" s="243"/>
      <c r="L706" s="243"/>
      <c r="M706" s="243"/>
      <c r="N706" s="243"/>
      <c r="O706" s="243"/>
      <c r="P706" s="243"/>
      <c r="Q706" s="243"/>
      <c r="R706" s="243"/>
      <c r="S706" s="243"/>
      <c r="T706" s="243"/>
      <c r="U706" s="243"/>
      <c r="V706" s="243"/>
      <c r="W706" s="243"/>
      <c r="X706" s="243"/>
      <c r="Y706" s="244"/>
      <c r="Z706" s="243"/>
      <c r="AA706" s="245"/>
      <c r="AB706" s="246"/>
      <c r="AC706" s="246"/>
      <c r="AD706" s="246"/>
      <c r="AE706" s="131"/>
      <c r="AF706" s="244"/>
      <c r="AG706" s="243"/>
      <c r="AH706" s="243"/>
      <c r="AI706" s="243"/>
      <c r="AJ706" s="243"/>
      <c r="AK706" s="243"/>
      <c r="AL706" s="243"/>
      <c r="AM706" s="243"/>
      <c r="AN706" s="243"/>
      <c r="AO706" s="243"/>
      <c r="AP706" s="243"/>
      <c r="AQ706" s="243"/>
      <c r="AR706" s="243"/>
      <c r="AS706" s="243"/>
      <c r="AT706" s="243"/>
      <c r="AU706" s="243"/>
      <c r="AV706" s="243"/>
      <c r="AW706" s="243"/>
      <c r="AX706" s="243"/>
      <c r="AY706" s="243"/>
      <c r="AZ706" s="243"/>
    </row>
    <row r="707" spans="1:52">
      <c r="A707" s="216" t="str">
        <f>IF(D707="","",VLOOKUP(G707,códigosORL!$H:$J,3,FALSE))</f>
        <v/>
      </c>
      <c r="B707" s="243"/>
      <c r="C707" s="259"/>
      <c r="D707" s="243"/>
      <c r="E707" s="243"/>
      <c r="F707" s="247"/>
      <c r="G707" s="243"/>
      <c r="H707" s="243"/>
      <c r="I707" s="243"/>
      <c r="J707" s="243"/>
      <c r="K707" s="243"/>
      <c r="L707" s="243"/>
      <c r="M707" s="243"/>
      <c r="N707" s="243"/>
      <c r="O707" s="243"/>
      <c r="P707" s="243"/>
      <c r="Q707" s="243"/>
      <c r="R707" s="243"/>
      <c r="S707" s="243"/>
      <c r="T707" s="243"/>
      <c r="U707" s="243"/>
      <c r="V707" s="243"/>
      <c r="W707" s="243"/>
      <c r="X707" s="243"/>
      <c r="Y707" s="244"/>
      <c r="Z707" s="243"/>
      <c r="AA707" s="245"/>
      <c r="AB707" s="246"/>
      <c r="AC707" s="246"/>
      <c r="AD707" s="246"/>
      <c r="AE707" s="131"/>
      <c r="AF707" s="244"/>
      <c r="AG707" s="243"/>
      <c r="AH707" s="243"/>
      <c r="AI707" s="243"/>
      <c r="AJ707" s="243"/>
      <c r="AK707" s="243"/>
      <c r="AL707" s="243"/>
      <c r="AM707" s="243"/>
      <c r="AN707" s="243"/>
      <c r="AO707" s="243"/>
      <c r="AP707" s="243"/>
      <c r="AQ707" s="243"/>
      <c r="AR707" s="243"/>
      <c r="AS707" s="243"/>
      <c r="AT707" s="243"/>
      <c r="AU707" s="243"/>
      <c r="AV707" s="243"/>
      <c r="AW707" s="243"/>
      <c r="AX707" s="243"/>
      <c r="AY707" s="243"/>
      <c r="AZ707" s="243"/>
    </row>
    <row r="708" spans="1:52">
      <c r="A708" s="216" t="str">
        <f>IF(D708="","",VLOOKUP(G708,códigosORL!$H:$J,3,FALSE))</f>
        <v/>
      </c>
      <c r="B708" s="243"/>
      <c r="C708" s="259"/>
      <c r="D708" s="243"/>
      <c r="E708" s="243"/>
      <c r="F708" s="247"/>
      <c r="G708" s="243"/>
      <c r="H708" s="243"/>
      <c r="I708" s="243"/>
      <c r="J708" s="243"/>
      <c r="K708" s="243"/>
      <c r="L708" s="243"/>
      <c r="M708" s="243"/>
      <c r="N708" s="243"/>
      <c r="O708" s="243"/>
      <c r="P708" s="243"/>
      <c r="Q708" s="243"/>
      <c r="R708" s="243"/>
      <c r="S708" s="243"/>
      <c r="T708" s="243"/>
      <c r="U708" s="243"/>
      <c r="V708" s="243"/>
      <c r="W708" s="243"/>
      <c r="X708" s="243"/>
      <c r="Y708" s="244"/>
      <c r="Z708" s="243"/>
      <c r="AA708" s="245"/>
      <c r="AB708" s="246"/>
      <c r="AC708" s="246"/>
      <c r="AD708" s="246"/>
      <c r="AE708" s="131"/>
      <c r="AF708" s="244"/>
      <c r="AG708" s="243"/>
      <c r="AH708" s="243"/>
      <c r="AI708" s="243"/>
      <c r="AJ708" s="243"/>
      <c r="AK708" s="243"/>
      <c r="AL708" s="243"/>
      <c r="AM708" s="243"/>
      <c r="AN708" s="243"/>
      <c r="AO708" s="243"/>
      <c r="AP708" s="243"/>
      <c r="AQ708" s="243"/>
      <c r="AR708" s="243"/>
      <c r="AS708" s="243"/>
      <c r="AT708" s="243"/>
      <c r="AU708" s="243"/>
      <c r="AV708" s="243"/>
      <c r="AW708" s="243"/>
      <c r="AX708" s="243"/>
      <c r="AY708" s="243"/>
      <c r="AZ708" s="243"/>
    </row>
    <row r="709" spans="1:52">
      <c r="A709" s="216" t="str">
        <f>IF(D709="","",VLOOKUP(G709,códigosORL!$H:$J,3,FALSE))</f>
        <v/>
      </c>
      <c r="B709" s="243"/>
      <c r="C709" s="259"/>
      <c r="D709" s="243"/>
      <c r="E709" s="243"/>
      <c r="F709" s="247"/>
      <c r="G709" s="243"/>
      <c r="H709" s="243"/>
      <c r="I709" s="243"/>
      <c r="J709" s="243"/>
      <c r="K709" s="243"/>
      <c r="L709" s="243"/>
      <c r="M709" s="243"/>
      <c r="N709" s="243"/>
      <c r="O709" s="243"/>
      <c r="P709" s="243"/>
      <c r="Q709" s="243"/>
      <c r="R709" s="243"/>
      <c r="S709" s="243"/>
      <c r="T709" s="243"/>
      <c r="U709" s="243"/>
      <c r="V709" s="243"/>
      <c r="W709" s="243"/>
      <c r="X709" s="243"/>
      <c r="Y709" s="244"/>
      <c r="Z709" s="243"/>
      <c r="AA709" s="245"/>
      <c r="AB709" s="246"/>
      <c r="AC709" s="246"/>
      <c r="AD709" s="246"/>
      <c r="AE709" s="131"/>
      <c r="AF709" s="244"/>
      <c r="AG709" s="243"/>
      <c r="AH709" s="243"/>
      <c r="AI709" s="243"/>
      <c r="AJ709" s="243"/>
      <c r="AK709" s="243"/>
      <c r="AL709" s="243"/>
      <c r="AM709" s="243"/>
      <c r="AN709" s="243"/>
      <c r="AO709" s="243"/>
      <c r="AP709" s="243"/>
      <c r="AQ709" s="243"/>
      <c r="AR709" s="243"/>
      <c r="AS709" s="243"/>
      <c r="AT709" s="243"/>
      <c r="AU709" s="243"/>
      <c r="AV709" s="243"/>
      <c r="AW709" s="243"/>
      <c r="AX709" s="243"/>
      <c r="AY709" s="243"/>
      <c r="AZ709" s="243"/>
    </row>
    <row r="710" spans="1:52">
      <c r="A710" s="216" t="str">
        <f>IF(D710="","",VLOOKUP(G710,códigosORL!$H:$J,3,FALSE))</f>
        <v/>
      </c>
      <c r="B710" s="243"/>
      <c r="C710" s="259"/>
      <c r="D710" s="243"/>
      <c r="E710" s="243"/>
      <c r="F710" s="247"/>
      <c r="G710" s="243"/>
      <c r="H710" s="243"/>
      <c r="I710" s="243"/>
      <c r="J710" s="243"/>
      <c r="K710" s="243"/>
      <c r="L710" s="243"/>
      <c r="M710" s="243"/>
      <c r="N710" s="243"/>
      <c r="O710" s="243"/>
      <c r="P710" s="243"/>
      <c r="Q710" s="243"/>
      <c r="R710" s="243"/>
      <c r="S710" s="243"/>
      <c r="T710" s="243"/>
      <c r="U710" s="243"/>
      <c r="V710" s="243"/>
      <c r="W710" s="243"/>
      <c r="X710" s="243"/>
      <c r="Y710" s="244"/>
      <c r="Z710" s="243"/>
      <c r="AA710" s="245"/>
      <c r="AB710" s="246"/>
      <c r="AC710" s="246"/>
      <c r="AD710" s="246"/>
      <c r="AE710" s="131"/>
      <c r="AF710" s="244"/>
      <c r="AG710" s="243"/>
      <c r="AH710" s="243"/>
      <c r="AI710" s="243"/>
      <c r="AJ710" s="243"/>
      <c r="AK710" s="243"/>
      <c r="AL710" s="243"/>
      <c r="AM710" s="243"/>
      <c r="AN710" s="243"/>
      <c r="AO710" s="243"/>
      <c r="AP710" s="243"/>
      <c r="AQ710" s="243"/>
      <c r="AR710" s="243"/>
      <c r="AS710" s="243"/>
      <c r="AT710" s="243"/>
      <c r="AU710" s="243"/>
      <c r="AV710" s="243"/>
      <c r="AW710" s="243"/>
      <c r="AX710" s="243"/>
      <c r="AY710" s="243"/>
      <c r="AZ710" s="243"/>
    </row>
    <row r="711" spans="1:52">
      <c r="A711" s="216" t="str">
        <f>IF(D711="","",VLOOKUP(G711,códigosORL!$H:$J,3,FALSE))</f>
        <v/>
      </c>
      <c r="B711" s="243"/>
      <c r="C711" s="259"/>
      <c r="D711" s="243"/>
      <c r="E711" s="243"/>
      <c r="F711" s="247"/>
      <c r="G711" s="243"/>
      <c r="H711" s="243"/>
      <c r="I711" s="243"/>
      <c r="J711" s="243"/>
      <c r="K711" s="243"/>
      <c r="L711" s="243"/>
      <c r="M711" s="243"/>
      <c r="N711" s="243"/>
      <c r="O711" s="243"/>
      <c r="P711" s="243"/>
      <c r="Q711" s="243"/>
      <c r="R711" s="243"/>
      <c r="S711" s="243"/>
      <c r="T711" s="243"/>
      <c r="U711" s="243"/>
      <c r="V711" s="243"/>
      <c r="W711" s="243"/>
      <c r="X711" s="243"/>
      <c r="Y711" s="244"/>
      <c r="Z711" s="243"/>
      <c r="AA711" s="245"/>
      <c r="AB711" s="246"/>
      <c r="AC711" s="246"/>
      <c r="AD711" s="246"/>
      <c r="AE711" s="131"/>
      <c r="AF711" s="244"/>
      <c r="AG711" s="243"/>
      <c r="AH711" s="243"/>
      <c r="AI711" s="243"/>
      <c r="AJ711" s="243"/>
      <c r="AK711" s="243"/>
      <c r="AL711" s="243"/>
      <c r="AM711" s="243"/>
      <c r="AN711" s="243"/>
      <c r="AO711" s="243"/>
      <c r="AP711" s="243"/>
      <c r="AQ711" s="243"/>
      <c r="AR711" s="243"/>
      <c r="AS711" s="243"/>
      <c r="AT711" s="243"/>
      <c r="AU711" s="243"/>
      <c r="AV711" s="243"/>
      <c r="AW711" s="243"/>
      <c r="AX711" s="243"/>
      <c r="AY711" s="243"/>
      <c r="AZ711" s="243"/>
    </row>
    <row r="712" spans="1:52">
      <c r="A712" s="216" t="str">
        <f>IF(D712="","",VLOOKUP(G712,códigosORL!$H:$J,3,FALSE))</f>
        <v/>
      </c>
      <c r="B712" s="243"/>
      <c r="C712" s="259"/>
      <c r="D712" s="243"/>
      <c r="E712" s="243"/>
      <c r="F712" s="247"/>
      <c r="G712" s="243"/>
      <c r="H712" s="243"/>
      <c r="I712" s="243"/>
      <c r="J712" s="243"/>
      <c r="K712" s="243"/>
      <c r="L712" s="243"/>
      <c r="M712" s="243"/>
      <c r="N712" s="243"/>
      <c r="O712" s="243"/>
      <c r="P712" s="243"/>
      <c r="Q712" s="243"/>
      <c r="R712" s="243"/>
      <c r="S712" s="243"/>
      <c r="T712" s="243"/>
      <c r="U712" s="243"/>
      <c r="V712" s="243"/>
      <c r="W712" s="243"/>
      <c r="X712" s="243"/>
      <c r="Y712" s="244"/>
      <c r="Z712" s="243"/>
      <c r="AA712" s="245"/>
      <c r="AB712" s="246"/>
      <c r="AC712" s="246"/>
      <c r="AD712" s="246"/>
      <c r="AE712" s="131"/>
      <c r="AF712" s="244"/>
      <c r="AG712" s="243"/>
      <c r="AH712" s="243"/>
      <c r="AI712" s="243"/>
      <c r="AJ712" s="243"/>
      <c r="AK712" s="243"/>
      <c r="AL712" s="243"/>
      <c r="AM712" s="243"/>
      <c r="AN712" s="243"/>
      <c r="AO712" s="243"/>
      <c r="AP712" s="243"/>
      <c r="AQ712" s="243"/>
      <c r="AR712" s="243"/>
      <c r="AS712" s="243"/>
      <c r="AT712" s="243"/>
      <c r="AU712" s="243"/>
      <c r="AV712" s="243"/>
      <c r="AW712" s="243"/>
      <c r="AX712" s="243"/>
      <c r="AY712" s="243"/>
      <c r="AZ712" s="243"/>
    </row>
    <row r="713" spans="1:52">
      <c r="A713" s="216" t="str">
        <f>IF(D713="","",VLOOKUP(G713,códigosORL!$H:$J,3,FALSE))</f>
        <v/>
      </c>
      <c r="B713" s="243"/>
      <c r="C713" s="259"/>
      <c r="D713" s="243"/>
      <c r="E713" s="243"/>
      <c r="F713" s="247"/>
      <c r="G713" s="243"/>
      <c r="H713" s="243"/>
      <c r="I713" s="243"/>
      <c r="J713" s="243"/>
      <c r="K713" s="243"/>
      <c r="L713" s="243"/>
      <c r="M713" s="243"/>
      <c r="N713" s="243"/>
      <c r="O713" s="243"/>
      <c r="P713" s="243"/>
      <c r="Q713" s="243"/>
      <c r="R713" s="243"/>
      <c r="S713" s="243"/>
      <c r="T713" s="243"/>
      <c r="U713" s="243"/>
      <c r="V713" s="243"/>
      <c r="W713" s="243"/>
      <c r="X713" s="243"/>
      <c r="Y713" s="244"/>
      <c r="Z713" s="243"/>
      <c r="AA713" s="245"/>
      <c r="AB713" s="246"/>
      <c r="AC713" s="246"/>
      <c r="AD713" s="246"/>
      <c r="AE713" s="131"/>
      <c r="AF713" s="244"/>
      <c r="AG713" s="243"/>
      <c r="AH713" s="243"/>
      <c r="AI713" s="243"/>
      <c r="AJ713" s="243"/>
      <c r="AK713" s="243"/>
      <c r="AL713" s="243"/>
      <c r="AM713" s="243"/>
      <c r="AN713" s="243"/>
      <c r="AO713" s="243"/>
      <c r="AP713" s="243"/>
      <c r="AQ713" s="243"/>
      <c r="AR713" s="243"/>
      <c r="AS713" s="243"/>
      <c r="AT713" s="243"/>
      <c r="AU713" s="243"/>
      <c r="AV713" s="243"/>
      <c r="AW713" s="243"/>
      <c r="AX713" s="243"/>
      <c r="AY713" s="243"/>
      <c r="AZ713" s="243"/>
    </row>
    <row r="714" spans="1:52">
      <c r="A714" s="216" t="str">
        <f>IF(D714="","",VLOOKUP(G714,códigosORL!$H:$J,3,FALSE))</f>
        <v/>
      </c>
      <c r="B714" s="243"/>
      <c r="C714" s="259"/>
      <c r="D714" s="243"/>
      <c r="E714" s="243"/>
      <c r="F714" s="247"/>
      <c r="G714" s="243"/>
      <c r="H714" s="243"/>
      <c r="I714" s="243"/>
      <c r="J714" s="243"/>
      <c r="K714" s="243"/>
      <c r="L714" s="243"/>
      <c r="M714" s="243"/>
      <c r="N714" s="243"/>
      <c r="O714" s="243"/>
      <c r="P714" s="243"/>
      <c r="Q714" s="243"/>
      <c r="R714" s="243"/>
      <c r="S714" s="243"/>
      <c r="T714" s="243"/>
      <c r="U714" s="243"/>
      <c r="V714" s="243"/>
      <c r="W714" s="243"/>
      <c r="X714" s="243"/>
      <c r="Y714" s="244"/>
      <c r="Z714" s="243"/>
      <c r="AA714" s="245"/>
      <c r="AB714" s="246"/>
      <c r="AC714" s="246"/>
      <c r="AD714" s="246"/>
      <c r="AE714" s="131"/>
      <c r="AF714" s="244"/>
      <c r="AG714" s="243"/>
      <c r="AH714" s="243"/>
      <c r="AI714" s="243"/>
      <c r="AJ714" s="243"/>
      <c r="AK714" s="243"/>
      <c r="AL714" s="243"/>
      <c r="AM714" s="243"/>
      <c r="AN714" s="243"/>
      <c r="AO714" s="243"/>
      <c r="AP714" s="243"/>
      <c r="AQ714" s="243"/>
      <c r="AR714" s="243"/>
      <c r="AS714" s="243"/>
      <c r="AT714" s="243"/>
      <c r="AU714" s="243"/>
      <c r="AV714" s="243"/>
      <c r="AW714" s="243"/>
      <c r="AX714" s="243"/>
      <c r="AY714" s="243"/>
      <c r="AZ714" s="243"/>
    </row>
    <row r="715" spans="1:52">
      <c r="A715" s="216" t="str">
        <f>IF(D715="","",VLOOKUP(G715,códigosORL!$H:$J,3,FALSE))</f>
        <v/>
      </c>
      <c r="B715" s="243"/>
      <c r="C715" s="259"/>
      <c r="D715" s="243"/>
      <c r="E715" s="243"/>
      <c r="F715" s="247"/>
      <c r="G715" s="243"/>
      <c r="H715" s="243"/>
      <c r="I715" s="243"/>
      <c r="J715" s="243"/>
      <c r="K715" s="243"/>
      <c r="L715" s="243"/>
      <c r="M715" s="243"/>
      <c r="N715" s="243"/>
      <c r="O715" s="243"/>
      <c r="P715" s="243"/>
      <c r="Q715" s="243"/>
      <c r="R715" s="243"/>
      <c r="S715" s="243"/>
      <c r="T715" s="243"/>
      <c r="U715" s="243"/>
      <c r="V715" s="243"/>
      <c r="W715" s="243"/>
      <c r="X715" s="243"/>
      <c r="Y715" s="244"/>
      <c r="Z715" s="243"/>
      <c r="AA715" s="245"/>
      <c r="AB715" s="246"/>
      <c r="AC715" s="246"/>
      <c r="AD715" s="246"/>
      <c r="AE715" s="131"/>
      <c r="AF715" s="244"/>
      <c r="AG715" s="243"/>
      <c r="AH715" s="243"/>
      <c r="AI715" s="243"/>
      <c r="AJ715" s="243"/>
      <c r="AK715" s="243"/>
      <c r="AL715" s="243"/>
      <c r="AM715" s="243"/>
      <c r="AN715" s="243"/>
      <c r="AO715" s="243"/>
      <c r="AP715" s="243"/>
      <c r="AQ715" s="243"/>
      <c r="AR715" s="243"/>
      <c r="AS715" s="243"/>
      <c r="AT715" s="243"/>
      <c r="AU715" s="243"/>
      <c r="AV715" s="243"/>
      <c r="AW715" s="243"/>
      <c r="AX715" s="243"/>
      <c r="AY715" s="243"/>
      <c r="AZ715" s="243"/>
    </row>
    <row r="716" spans="1:52">
      <c r="A716" s="216" t="str">
        <f>IF(D716="","",VLOOKUP(G716,códigosORL!$H:$J,3,FALSE))</f>
        <v/>
      </c>
      <c r="B716" s="243"/>
      <c r="C716" s="259"/>
      <c r="D716" s="243"/>
      <c r="E716" s="243"/>
      <c r="F716" s="247"/>
      <c r="G716" s="243"/>
      <c r="H716" s="243"/>
      <c r="I716" s="243"/>
      <c r="J716" s="243"/>
      <c r="K716" s="243"/>
      <c r="L716" s="243"/>
      <c r="M716" s="243"/>
      <c r="N716" s="243"/>
      <c r="O716" s="243"/>
      <c r="P716" s="243"/>
      <c r="Q716" s="243"/>
      <c r="R716" s="243"/>
      <c r="S716" s="243"/>
      <c r="T716" s="243"/>
      <c r="U716" s="243"/>
      <c r="V716" s="243"/>
      <c r="W716" s="243"/>
      <c r="X716" s="243"/>
      <c r="Y716" s="244"/>
      <c r="Z716" s="243"/>
      <c r="AA716" s="245"/>
      <c r="AB716" s="246"/>
      <c r="AC716" s="246"/>
      <c r="AD716" s="246"/>
      <c r="AE716" s="131"/>
      <c r="AF716" s="244"/>
      <c r="AG716" s="243"/>
      <c r="AH716" s="243"/>
      <c r="AI716" s="243"/>
      <c r="AJ716" s="243"/>
      <c r="AK716" s="243"/>
      <c r="AL716" s="243"/>
      <c r="AM716" s="243"/>
      <c r="AN716" s="243"/>
      <c r="AO716" s="243"/>
      <c r="AP716" s="243"/>
      <c r="AQ716" s="243"/>
      <c r="AR716" s="243"/>
      <c r="AS716" s="243"/>
      <c r="AT716" s="243"/>
      <c r="AU716" s="243"/>
      <c r="AV716" s="243"/>
      <c r="AW716" s="243"/>
      <c r="AX716" s="243"/>
      <c r="AY716" s="243"/>
      <c r="AZ716" s="243"/>
    </row>
    <row r="717" spans="1:52">
      <c r="A717" s="216" t="str">
        <f>IF(D717="","",VLOOKUP(G717,códigosORL!$H:$J,3,FALSE))</f>
        <v/>
      </c>
      <c r="B717" s="243"/>
      <c r="C717" s="259"/>
      <c r="D717" s="243"/>
      <c r="E717" s="243"/>
      <c r="F717" s="247"/>
      <c r="G717" s="243"/>
      <c r="H717" s="243"/>
      <c r="I717" s="243"/>
      <c r="J717" s="243"/>
      <c r="K717" s="243"/>
      <c r="L717" s="243"/>
      <c r="M717" s="243"/>
      <c r="N717" s="243"/>
      <c r="O717" s="243"/>
      <c r="P717" s="243"/>
      <c r="Q717" s="243"/>
      <c r="R717" s="243"/>
      <c r="S717" s="243"/>
      <c r="T717" s="243"/>
      <c r="U717" s="243"/>
      <c r="V717" s="243"/>
      <c r="W717" s="243"/>
      <c r="X717" s="243"/>
      <c r="Y717" s="244"/>
      <c r="Z717" s="243"/>
      <c r="AA717" s="245"/>
      <c r="AB717" s="246"/>
      <c r="AC717" s="246"/>
      <c r="AD717" s="246"/>
      <c r="AE717" s="131"/>
      <c r="AF717" s="244"/>
      <c r="AG717" s="243"/>
      <c r="AH717" s="243"/>
      <c r="AI717" s="243"/>
      <c r="AJ717" s="243"/>
      <c r="AK717" s="243"/>
      <c r="AL717" s="243"/>
      <c r="AM717" s="243"/>
      <c r="AN717" s="243"/>
      <c r="AO717" s="243"/>
      <c r="AP717" s="243"/>
      <c r="AQ717" s="243"/>
      <c r="AR717" s="243"/>
      <c r="AS717" s="243"/>
      <c r="AT717" s="243"/>
      <c r="AU717" s="243"/>
      <c r="AV717" s="243"/>
      <c r="AW717" s="243"/>
      <c r="AX717" s="243"/>
      <c r="AY717" s="243"/>
      <c r="AZ717" s="243"/>
    </row>
    <row r="718" spans="1:52">
      <c r="A718" s="216" t="str">
        <f>IF(D718="","",VLOOKUP(G718,códigosORL!$H:$J,3,FALSE))</f>
        <v/>
      </c>
      <c r="B718" s="243"/>
      <c r="C718" s="259"/>
      <c r="D718" s="243"/>
      <c r="E718" s="243"/>
      <c r="F718" s="247"/>
      <c r="G718" s="243"/>
      <c r="H718" s="243"/>
      <c r="I718" s="243"/>
      <c r="J718" s="243"/>
      <c r="K718" s="243"/>
      <c r="L718" s="243"/>
      <c r="M718" s="243"/>
      <c r="N718" s="243"/>
      <c r="O718" s="243"/>
      <c r="P718" s="243"/>
      <c r="Q718" s="243"/>
      <c r="R718" s="243"/>
      <c r="S718" s="243"/>
      <c r="T718" s="243"/>
      <c r="U718" s="243"/>
      <c r="V718" s="243"/>
      <c r="W718" s="243"/>
      <c r="X718" s="243"/>
      <c r="Y718" s="244"/>
      <c r="Z718" s="243"/>
      <c r="AA718" s="245"/>
      <c r="AB718" s="246"/>
      <c r="AC718" s="246"/>
      <c r="AD718" s="246"/>
      <c r="AE718" s="131"/>
      <c r="AF718" s="244"/>
      <c r="AG718" s="243"/>
      <c r="AH718" s="243"/>
      <c r="AI718" s="243"/>
      <c r="AJ718" s="243"/>
      <c r="AK718" s="243"/>
      <c r="AL718" s="243"/>
      <c r="AM718" s="243"/>
      <c r="AN718" s="243"/>
      <c r="AO718" s="243"/>
      <c r="AP718" s="243"/>
      <c r="AQ718" s="243"/>
      <c r="AR718" s="243"/>
      <c r="AS718" s="243"/>
      <c r="AT718" s="243"/>
      <c r="AU718" s="243"/>
      <c r="AV718" s="243"/>
      <c r="AW718" s="243"/>
      <c r="AX718" s="243"/>
      <c r="AY718" s="243"/>
      <c r="AZ718" s="243"/>
    </row>
    <row r="719" spans="1:52">
      <c r="A719" s="216" t="str">
        <f>IF(D719="","",VLOOKUP(G719,códigosORL!$H:$J,3,FALSE))</f>
        <v/>
      </c>
      <c r="B719" s="243"/>
      <c r="C719" s="259"/>
      <c r="D719" s="243"/>
      <c r="E719" s="243"/>
      <c r="F719" s="247"/>
      <c r="G719" s="243"/>
      <c r="H719" s="243"/>
      <c r="I719" s="243"/>
      <c r="J719" s="243"/>
      <c r="K719" s="243"/>
      <c r="L719" s="243"/>
      <c r="M719" s="243"/>
      <c r="N719" s="243"/>
      <c r="O719" s="243"/>
      <c r="P719" s="243"/>
      <c r="Q719" s="243"/>
      <c r="R719" s="243"/>
      <c r="S719" s="243"/>
      <c r="T719" s="243"/>
      <c r="U719" s="243"/>
      <c r="V719" s="243"/>
      <c r="W719" s="243"/>
      <c r="X719" s="243"/>
      <c r="Y719" s="244"/>
      <c r="Z719" s="243"/>
      <c r="AA719" s="245"/>
      <c r="AB719" s="246"/>
      <c r="AC719" s="246"/>
      <c r="AD719" s="246"/>
      <c r="AE719" s="131"/>
      <c r="AF719" s="244"/>
      <c r="AG719" s="243"/>
      <c r="AH719" s="243"/>
      <c r="AI719" s="243"/>
      <c r="AJ719" s="243"/>
      <c r="AK719" s="243"/>
      <c r="AL719" s="243"/>
      <c r="AM719" s="243"/>
      <c r="AN719" s="243"/>
      <c r="AO719" s="243"/>
      <c r="AP719" s="243"/>
      <c r="AQ719" s="243"/>
      <c r="AR719" s="243"/>
      <c r="AS719" s="243"/>
      <c r="AT719" s="243"/>
      <c r="AU719" s="243"/>
      <c r="AV719" s="243"/>
      <c r="AW719" s="243"/>
      <c r="AX719" s="243"/>
      <c r="AY719" s="243"/>
      <c r="AZ719" s="243"/>
    </row>
    <row r="720" spans="1:52">
      <c r="A720" s="216" t="str">
        <f>IF(D720="","",VLOOKUP(G720,códigosORL!$H:$J,3,FALSE))</f>
        <v/>
      </c>
      <c r="B720" s="243"/>
      <c r="C720" s="259"/>
      <c r="D720" s="243"/>
      <c r="E720" s="243"/>
      <c r="F720" s="247"/>
      <c r="G720" s="243"/>
      <c r="H720" s="243"/>
      <c r="I720" s="243"/>
      <c r="J720" s="243"/>
      <c r="K720" s="243"/>
      <c r="L720" s="243"/>
      <c r="M720" s="243"/>
      <c r="N720" s="243"/>
      <c r="O720" s="243"/>
      <c r="P720" s="243"/>
      <c r="Q720" s="243"/>
      <c r="R720" s="243"/>
      <c r="S720" s="243"/>
      <c r="T720" s="243"/>
      <c r="U720" s="243"/>
      <c r="V720" s="243"/>
      <c r="W720" s="243"/>
      <c r="X720" s="243"/>
      <c r="Y720" s="244"/>
      <c r="Z720" s="243"/>
      <c r="AA720" s="245"/>
      <c r="AB720" s="246"/>
      <c r="AC720" s="246"/>
      <c r="AD720" s="246"/>
      <c r="AE720" s="131"/>
      <c r="AF720" s="244"/>
      <c r="AG720" s="243"/>
      <c r="AH720" s="243"/>
      <c r="AI720" s="243"/>
      <c r="AJ720" s="243"/>
      <c r="AK720" s="243"/>
      <c r="AL720" s="243"/>
      <c r="AM720" s="243"/>
      <c r="AN720" s="243"/>
      <c r="AO720" s="243"/>
      <c r="AP720" s="243"/>
      <c r="AQ720" s="243"/>
      <c r="AR720" s="243"/>
      <c r="AS720" s="243"/>
      <c r="AT720" s="243"/>
      <c r="AU720" s="243"/>
      <c r="AV720" s="243"/>
      <c r="AW720" s="243"/>
      <c r="AX720" s="243"/>
      <c r="AY720" s="243"/>
      <c r="AZ720" s="243"/>
    </row>
    <row r="721" spans="1:52">
      <c r="A721" s="216" t="str">
        <f>IF(D721="","",VLOOKUP(G721,códigosORL!$H:$J,3,FALSE))</f>
        <v/>
      </c>
      <c r="B721" s="243"/>
      <c r="C721" s="259"/>
      <c r="D721" s="243"/>
      <c r="E721" s="243"/>
      <c r="F721" s="247"/>
      <c r="G721" s="243"/>
      <c r="H721" s="243"/>
      <c r="I721" s="243"/>
      <c r="J721" s="243"/>
      <c r="K721" s="243"/>
      <c r="L721" s="243"/>
      <c r="M721" s="243"/>
      <c r="N721" s="243"/>
      <c r="O721" s="243"/>
      <c r="P721" s="243"/>
      <c r="Q721" s="243"/>
      <c r="R721" s="243"/>
      <c r="S721" s="243"/>
      <c r="T721" s="243"/>
      <c r="U721" s="243"/>
      <c r="V721" s="243"/>
      <c r="W721" s="243"/>
      <c r="X721" s="243"/>
      <c r="Y721" s="244"/>
      <c r="Z721" s="243"/>
      <c r="AA721" s="245"/>
      <c r="AB721" s="246"/>
      <c r="AC721" s="246"/>
      <c r="AD721" s="246"/>
      <c r="AE721" s="131"/>
      <c r="AF721" s="244"/>
      <c r="AG721" s="243"/>
      <c r="AH721" s="243"/>
      <c r="AI721" s="243"/>
      <c r="AJ721" s="243"/>
      <c r="AK721" s="243"/>
      <c r="AL721" s="243"/>
      <c r="AM721" s="243"/>
      <c r="AN721" s="243"/>
      <c r="AO721" s="243"/>
      <c r="AP721" s="243"/>
      <c r="AQ721" s="243"/>
      <c r="AR721" s="243"/>
      <c r="AS721" s="243"/>
      <c r="AT721" s="243"/>
      <c r="AU721" s="243"/>
      <c r="AV721" s="243"/>
      <c r="AW721" s="243"/>
      <c r="AX721" s="243"/>
      <c r="AY721" s="243"/>
      <c r="AZ721" s="243"/>
    </row>
    <row r="722" spans="1:52">
      <c r="A722" s="216" t="str">
        <f>IF(D722="","",VLOOKUP(G722,códigosORL!$H:$J,3,FALSE))</f>
        <v/>
      </c>
      <c r="B722" s="243"/>
      <c r="C722" s="259"/>
      <c r="D722" s="243"/>
      <c r="E722" s="243"/>
      <c r="F722" s="247"/>
      <c r="G722" s="243"/>
      <c r="H722" s="243"/>
      <c r="I722" s="243"/>
      <c r="J722" s="243"/>
      <c r="K722" s="243"/>
      <c r="L722" s="243"/>
      <c r="M722" s="243"/>
      <c r="N722" s="243"/>
      <c r="O722" s="243"/>
      <c r="P722" s="243"/>
      <c r="Q722" s="243"/>
      <c r="R722" s="243"/>
      <c r="S722" s="243"/>
      <c r="T722" s="243"/>
      <c r="U722" s="243"/>
      <c r="V722" s="243"/>
      <c r="W722" s="243"/>
      <c r="X722" s="243"/>
      <c r="Y722" s="244"/>
      <c r="Z722" s="243"/>
      <c r="AA722" s="245"/>
      <c r="AB722" s="246"/>
      <c r="AC722" s="246"/>
      <c r="AD722" s="246"/>
      <c r="AE722" s="131"/>
      <c r="AF722" s="244"/>
      <c r="AG722" s="243"/>
      <c r="AH722" s="243"/>
      <c r="AI722" s="243"/>
      <c r="AJ722" s="243"/>
      <c r="AK722" s="243"/>
      <c r="AL722" s="243"/>
      <c r="AM722" s="243"/>
      <c r="AN722" s="243"/>
      <c r="AO722" s="243"/>
      <c r="AP722" s="243"/>
      <c r="AQ722" s="243"/>
      <c r="AR722" s="243"/>
      <c r="AS722" s="243"/>
      <c r="AT722" s="243"/>
      <c r="AU722" s="243"/>
      <c r="AV722" s="243"/>
      <c r="AW722" s="243"/>
      <c r="AX722" s="243"/>
      <c r="AY722" s="243"/>
      <c r="AZ722" s="243"/>
    </row>
    <row r="723" spans="1:52">
      <c r="A723" s="216" t="str">
        <f>IF(D723="","",VLOOKUP(G723,códigosORL!$H:$J,3,FALSE))</f>
        <v/>
      </c>
      <c r="B723" s="243"/>
      <c r="C723" s="259"/>
      <c r="D723" s="243"/>
      <c r="E723" s="243"/>
      <c r="F723" s="247"/>
      <c r="G723" s="243"/>
      <c r="H723" s="243"/>
      <c r="I723" s="243"/>
      <c r="J723" s="243"/>
      <c r="K723" s="243"/>
      <c r="L723" s="243"/>
      <c r="M723" s="243"/>
      <c r="N723" s="243"/>
      <c r="O723" s="243"/>
      <c r="P723" s="243"/>
      <c r="Q723" s="243"/>
      <c r="R723" s="243"/>
      <c r="S723" s="243"/>
      <c r="T723" s="243"/>
      <c r="U723" s="243"/>
      <c r="V723" s="243"/>
      <c r="W723" s="243"/>
      <c r="X723" s="243"/>
      <c r="Y723" s="244"/>
      <c r="Z723" s="243"/>
      <c r="AA723" s="245"/>
      <c r="AB723" s="246"/>
      <c r="AC723" s="246"/>
      <c r="AD723" s="246"/>
      <c r="AE723" s="131"/>
      <c r="AF723" s="244"/>
      <c r="AG723" s="243"/>
      <c r="AH723" s="243"/>
      <c r="AI723" s="243"/>
      <c r="AJ723" s="243"/>
      <c r="AK723" s="243"/>
      <c r="AL723" s="243"/>
      <c r="AM723" s="243"/>
      <c r="AN723" s="243"/>
      <c r="AO723" s="243"/>
      <c r="AP723" s="243"/>
      <c r="AQ723" s="243"/>
      <c r="AR723" s="243"/>
      <c r="AS723" s="243"/>
      <c r="AT723" s="243"/>
      <c r="AU723" s="243"/>
      <c r="AV723" s="243"/>
      <c r="AW723" s="243"/>
      <c r="AX723" s="243"/>
      <c r="AY723" s="243"/>
      <c r="AZ723" s="243"/>
    </row>
    <row r="724" spans="1:52">
      <c r="A724" s="216" t="str">
        <f>IF(D724="","",VLOOKUP(G724,códigosORL!$H:$J,3,FALSE))</f>
        <v/>
      </c>
      <c r="B724" s="243"/>
      <c r="C724" s="259"/>
      <c r="D724" s="243"/>
      <c r="E724" s="243"/>
      <c r="F724" s="247"/>
      <c r="G724" s="243"/>
      <c r="H724" s="243"/>
      <c r="I724" s="243"/>
      <c r="J724" s="243"/>
      <c r="K724" s="243"/>
      <c r="L724" s="243"/>
      <c r="M724" s="243"/>
      <c r="N724" s="243"/>
      <c r="O724" s="243"/>
      <c r="P724" s="243"/>
      <c r="Q724" s="243"/>
      <c r="R724" s="243"/>
      <c r="S724" s="243"/>
      <c r="T724" s="243"/>
      <c r="U724" s="243"/>
      <c r="V724" s="243"/>
      <c r="W724" s="243"/>
      <c r="X724" s="243"/>
      <c r="Y724" s="244"/>
      <c r="Z724" s="243"/>
      <c r="AA724" s="245"/>
      <c r="AB724" s="246"/>
      <c r="AC724" s="246"/>
      <c r="AD724" s="246"/>
      <c r="AE724" s="131"/>
      <c r="AF724" s="244"/>
      <c r="AG724" s="243"/>
      <c r="AH724" s="243"/>
      <c r="AI724" s="243"/>
      <c r="AJ724" s="243"/>
      <c r="AK724" s="243"/>
      <c r="AL724" s="243"/>
      <c r="AM724" s="243"/>
      <c r="AN724" s="243"/>
      <c r="AO724" s="243"/>
      <c r="AP724" s="243"/>
      <c r="AQ724" s="243"/>
      <c r="AR724" s="243"/>
      <c r="AS724" s="243"/>
      <c r="AT724" s="243"/>
      <c r="AU724" s="243"/>
      <c r="AV724" s="243"/>
      <c r="AW724" s="243"/>
      <c r="AX724" s="243"/>
      <c r="AY724" s="243"/>
      <c r="AZ724" s="243"/>
    </row>
    <row r="725" spans="1:52">
      <c r="A725" s="216" t="str">
        <f>IF(D725="","",VLOOKUP(G725,códigosORL!$H:$J,3,FALSE))</f>
        <v/>
      </c>
      <c r="B725" s="243"/>
      <c r="C725" s="259"/>
      <c r="D725" s="243"/>
      <c r="E725" s="243"/>
      <c r="F725" s="247"/>
      <c r="G725" s="243"/>
      <c r="H725" s="243"/>
      <c r="I725" s="243"/>
      <c r="J725" s="243"/>
      <c r="K725" s="243"/>
      <c r="L725" s="243"/>
      <c r="M725" s="243"/>
      <c r="N725" s="243"/>
      <c r="O725" s="243"/>
      <c r="P725" s="243"/>
      <c r="Q725" s="243"/>
      <c r="R725" s="243"/>
      <c r="S725" s="243"/>
      <c r="T725" s="243"/>
      <c r="U725" s="243"/>
      <c r="V725" s="243"/>
      <c r="W725" s="243"/>
      <c r="X725" s="243"/>
      <c r="Y725" s="244"/>
      <c r="Z725" s="243"/>
      <c r="AA725" s="245"/>
      <c r="AB725" s="246"/>
      <c r="AC725" s="246"/>
      <c r="AD725" s="246"/>
      <c r="AE725" s="131"/>
      <c r="AF725" s="244"/>
      <c r="AG725" s="243"/>
      <c r="AH725" s="243"/>
      <c r="AI725" s="243"/>
      <c r="AJ725" s="243"/>
      <c r="AK725" s="243"/>
      <c r="AL725" s="243"/>
      <c r="AM725" s="243"/>
      <c r="AN725" s="243"/>
      <c r="AO725" s="243"/>
      <c r="AP725" s="243"/>
      <c r="AQ725" s="243"/>
      <c r="AR725" s="243"/>
      <c r="AS725" s="243"/>
      <c r="AT725" s="243"/>
      <c r="AU725" s="243"/>
      <c r="AV725" s="243"/>
      <c r="AW725" s="243"/>
      <c r="AX725" s="243"/>
      <c r="AY725" s="243"/>
      <c r="AZ725" s="243"/>
    </row>
    <row r="726" spans="1:52">
      <c r="A726" s="216" t="str">
        <f>IF(D726="","",VLOOKUP(G726,códigosORL!$H:$J,3,FALSE))</f>
        <v/>
      </c>
      <c r="B726" s="243"/>
      <c r="C726" s="259"/>
      <c r="D726" s="243"/>
      <c r="E726" s="243"/>
      <c r="F726" s="247"/>
      <c r="G726" s="243"/>
      <c r="H726" s="243"/>
      <c r="I726" s="243"/>
      <c r="J726" s="243"/>
      <c r="K726" s="243"/>
      <c r="L726" s="243"/>
      <c r="M726" s="243"/>
      <c r="N726" s="243"/>
      <c r="O726" s="243"/>
      <c r="P726" s="243"/>
      <c r="Q726" s="243"/>
      <c r="R726" s="243"/>
      <c r="S726" s="243"/>
      <c r="T726" s="243"/>
      <c r="U726" s="243"/>
      <c r="V726" s="243"/>
      <c r="W726" s="243"/>
      <c r="X726" s="243"/>
      <c r="Y726" s="244"/>
      <c r="Z726" s="243"/>
      <c r="AA726" s="245"/>
      <c r="AB726" s="246"/>
      <c r="AC726" s="246"/>
      <c r="AD726" s="246"/>
      <c r="AE726" s="131"/>
      <c r="AF726" s="244"/>
      <c r="AG726" s="243"/>
      <c r="AH726" s="243"/>
      <c r="AI726" s="243"/>
      <c r="AJ726" s="243"/>
      <c r="AK726" s="243"/>
      <c r="AL726" s="243"/>
      <c r="AM726" s="243"/>
      <c r="AN726" s="243"/>
      <c r="AO726" s="243"/>
      <c r="AP726" s="243"/>
      <c r="AQ726" s="243"/>
      <c r="AR726" s="243"/>
      <c r="AS726" s="243"/>
      <c r="AT726" s="243"/>
      <c r="AU726" s="243"/>
      <c r="AV726" s="243"/>
      <c r="AW726" s="243"/>
      <c r="AX726" s="243"/>
      <c r="AY726" s="243"/>
      <c r="AZ726" s="243"/>
    </row>
    <row r="727" spans="1:52">
      <c r="A727" s="216" t="str">
        <f>IF(D727="","",VLOOKUP(G727,códigosORL!$H:$J,3,FALSE))</f>
        <v/>
      </c>
      <c r="B727" s="243"/>
      <c r="C727" s="259"/>
      <c r="D727" s="243"/>
      <c r="E727" s="243"/>
      <c r="F727" s="247"/>
      <c r="G727" s="243"/>
      <c r="H727" s="243"/>
      <c r="I727" s="243"/>
      <c r="J727" s="243"/>
      <c r="K727" s="243"/>
      <c r="L727" s="243"/>
      <c r="M727" s="243"/>
      <c r="N727" s="243"/>
      <c r="O727" s="243"/>
      <c r="P727" s="243"/>
      <c r="Q727" s="243"/>
      <c r="R727" s="243"/>
      <c r="S727" s="243"/>
      <c r="T727" s="243"/>
      <c r="U727" s="243"/>
      <c r="V727" s="243"/>
      <c r="W727" s="243"/>
      <c r="X727" s="243"/>
      <c r="Y727" s="244"/>
      <c r="Z727" s="243"/>
      <c r="AA727" s="245"/>
      <c r="AB727" s="246"/>
      <c r="AC727" s="246"/>
      <c r="AD727" s="246"/>
      <c r="AE727" s="131"/>
      <c r="AF727" s="244"/>
      <c r="AG727" s="243"/>
      <c r="AH727" s="243"/>
      <c r="AI727" s="243"/>
      <c r="AJ727" s="243"/>
      <c r="AK727" s="243"/>
      <c r="AL727" s="243"/>
      <c r="AM727" s="243"/>
      <c r="AN727" s="243"/>
      <c r="AO727" s="243"/>
      <c r="AP727" s="243"/>
      <c r="AQ727" s="243"/>
      <c r="AR727" s="243"/>
      <c r="AS727" s="243"/>
      <c r="AT727" s="243"/>
      <c r="AU727" s="243"/>
      <c r="AV727" s="243"/>
      <c r="AW727" s="243"/>
      <c r="AX727" s="243"/>
      <c r="AY727" s="243"/>
      <c r="AZ727" s="243"/>
    </row>
    <row r="728" spans="1:52">
      <c r="A728" s="216" t="str">
        <f>IF(D728="","",VLOOKUP(G728,códigosORL!$H:$J,3,FALSE))</f>
        <v/>
      </c>
      <c r="B728" s="243"/>
      <c r="C728" s="259"/>
      <c r="D728" s="243"/>
      <c r="E728" s="243"/>
      <c r="F728" s="247"/>
      <c r="G728" s="243"/>
      <c r="H728" s="243"/>
      <c r="I728" s="243"/>
      <c r="J728" s="243"/>
      <c r="K728" s="243"/>
      <c r="L728" s="243"/>
      <c r="M728" s="243"/>
      <c r="N728" s="243"/>
      <c r="O728" s="243"/>
      <c r="P728" s="243"/>
      <c r="Q728" s="243"/>
      <c r="R728" s="243"/>
      <c r="S728" s="243"/>
      <c r="T728" s="243"/>
      <c r="U728" s="243"/>
      <c r="V728" s="243"/>
      <c r="W728" s="243"/>
      <c r="X728" s="243"/>
      <c r="Y728" s="244"/>
      <c r="Z728" s="243"/>
      <c r="AA728" s="245"/>
      <c r="AB728" s="246"/>
      <c r="AC728" s="246"/>
      <c r="AD728" s="246"/>
      <c r="AE728" s="131"/>
      <c r="AF728" s="244"/>
      <c r="AG728" s="243"/>
      <c r="AH728" s="243"/>
      <c r="AI728" s="243"/>
      <c r="AJ728" s="243"/>
      <c r="AK728" s="243"/>
      <c r="AL728" s="243"/>
      <c r="AM728" s="243"/>
      <c r="AN728" s="243"/>
      <c r="AO728" s="243"/>
      <c r="AP728" s="243"/>
      <c r="AQ728" s="243"/>
      <c r="AR728" s="243"/>
      <c r="AS728" s="243"/>
      <c r="AT728" s="243"/>
      <c r="AU728" s="243"/>
      <c r="AV728" s="243"/>
      <c r="AW728" s="243"/>
      <c r="AX728" s="243"/>
      <c r="AY728" s="243"/>
      <c r="AZ728" s="243"/>
    </row>
    <row r="729" spans="1:52">
      <c r="A729" s="216" t="str">
        <f>IF(D729="","",VLOOKUP(G729,códigosORL!$H:$J,3,FALSE))</f>
        <v/>
      </c>
      <c r="B729" s="243"/>
      <c r="C729" s="259"/>
      <c r="D729" s="243"/>
      <c r="E729" s="243"/>
      <c r="F729" s="247"/>
      <c r="G729" s="243"/>
      <c r="H729" s="243"/>
      <c r="I729" s="243"/>
      <c r="J729" s="243"/>
      <c r="K729" s="243"/>
      <c r="L729" s="243"/>
      <c r="M729" s="243"/>
      <c r="N729" s="243"/>
      <c r="O729" s="243"/>
      <c r="P729" s="243"/>
      <c r="Q729" s="243"/>
      <c r="R729" s="243"/>
      <c r="S729" s="243"/>
      <c r="T729" s="243"/>
      <c r="U729" s="243"/>
      <c r="V729" s="243"/>
      <c r="W729" s="243"/>
      <c r="X729" s="243"/>
      <c r="Y729" s="244"/>
      <c r="Z729" s="243"/>
      <c r="AA729" s="245"/>
      <c r="AB729" s="246"/>
      <c r="AC729" s="246"/>
      <c r="AD729" s="246"/>
      <c r="AE729" s="131"/>
      <c r="AF729" s="244"/>
      <c r="AG729" s="243"/>
      <c r="AH729" s="243"/>
      <c r="AI729" s="243"/>
      <c r="AJ729" s="243"/>
      <c r="AK729" s="243"/>
      <c r="AL729" s="243"/>
      <c r="AM729" s="243"/>
      <c r="AN729" s="243"/>
      <c r="AO729" s="243"/>
      <c r="AP729" s="243"/>
      <c r="AQ729" s="243"/>
      <c r="AR729" s="243"/>
      <c r="AS729" s="243"/>
      <c r="AT729" s="243"/>
      <c r="AU729" s="243"/>
      <c r="AV729" s="243"/>
      <c r="AW729" s="243"/>
      <c r="AX729" s="243"/>
      <c r="AY729" s="243"/>
      <c r="AZ729" s="243"/>
    </row>
    <row r="730" spans="1:52">
      <c r="A730" s="216" t="str">
        <f>IF(D730="","",VLOOKUP(G730,códigosORL!$H:$J,3,FALSE))</f>
        <v/>
      </c>
      <c r="B730" s="243"/>
      <c r="C730" s="259"/>
      <c r="D730" s="243"/>
      <c r="E730" s="243"/>
      <c r="F730" s="247"/>
      <c r="G730" s="243"/>
      <c r="H730" s="243"/>
      <c r="I730" s="243"/>
      <c r="J730" s="243"/>
      <c r="K730" s="243"/>
      <c r="L730" s="243"/>
      <c r="M730" s="243"/>
      <c r="N730" s="243"/>
      <c r="O730" s="243"/>
      <c r="P730" s="243"/>
      <c r="Q730" s="243"/>
      <c r="R730" s="243"/>
      <c r="S730" s="243"/>
      <c r="T730" s="243"/>
      <c r="U730" s="243"/>
      <c r="V730" s="243"/>
      <c r="W730" s="243"/>
      <c r="X730" s="243"/>
      <c r="Y730" s="244"/>
      <c r="Z730" s="243"/>
      <c r="AA730" s="245"/>
      <c r="AB730" s="246"/>
      <c r="AC730" s="246"/>
      <c r="AD730" s="246"/>
      <c r="AE730" s="131"/>
      <c r="AF730" s="244"/>
      <c r="AG730" s="243"/>
      <c r="AH730" s="243"/>
      <c r="AI730" s="243"/>
      <c r="AJ730" s="243"/>
      <c r="AK730" s="243"/>
      <c r="AL730" s="243"/>
      <c r="AM730" s="243"/>
      <c r="AN730" s="243"/>
      <c r="AO730" s="243"/>
      <c r="AP730" s="243"/>
      <c r="AQ730" s="243"/>
      <c r="AR730" s="243"/>
      <c r="AS730" s="243"/>
      <c r="AT730" s="243"/>
      <c r="AU730" s="243"/>
      <c r="AV730" s="243"/>
      <c r="AW730" s="243"/>
      <c r="AX730" s="243"/>
      <c r="AY730" s="243"/>
      <c r="AZ730" s="243"/>
    </row>
    <row r="731" spans="1:52">
      <c r="A731" s="216" t="str">
        <f>IF(D731="","",VLOOKUP(G731,códigosORL!$H:$J,3,FALSE))</f>
        <v/>
      </c>
      <c r="B731" s="243"/>
      <c r="C731" s="259"/>
      <c r="D731" s="243"/>
      <c r="E731" s="243"/>
      <c r="F731" s="247"/>
      <c r="G731" s="243"/>
      <c r="H731" s="243"/>
      <c r="I731" s="243"/>
      <c r="J731" s="243"/>
      <c r="K731" s="243"/>
      <c r="L731" s="243"/>
      <c r="M731" s="243"/>
      <c r="N731" s="243"/>
      <c r="O731" s="243"/>
      <c r="P731" s="243"/>
      <c r="Q731" s="243"/>
      <c r="R731" s="243"/>
      <c r="S731" s="243"/>
      <c r="T731" s="243"/>
      <c r="U731" s="243"/>
      <c r="V731" s="243"/>
      <c r="W731" s="243"/>
      <c r="X731" s="243"/>
      <c r="Y731" s="244"/>
      <c r="Z731" s="243"/>
      <c r="AA731" s="245"/>
      <c r="AB731" s="246"/>
      <c r="AC731" s="246"/>
      <c r="AD731" s="246"/>
      <c r="AE731" s="131"/>
      <c r="AF731" s="244"/>
      <c r="AG731" s="243"/>
      <c r="AH731" s="243"/>
      <c r="AI731" s="243"/>
      <c r="AJ731" s="243"/>
      <c r="AK731" s="243"/>
      <c r="AL731" s="243"/>
      <c r="AM731" s="243"/>
      <c r="AN731" s="243"/>
      <c r="AO731" s="243"/>
      <c r="AP731" s="243"/>
      <c r="AQ731" s="243"/>
      <c r="AR731" s="243"/>
      <c r="AS731" s="243"/>
      <c r="AT731" s="243"/>
      <c r="AU731" s="243"/>
      <c r="AV731" s="243"/>
      <c r="AW731" s="243"/>
      <c r="AX731" s="243"/>
      <c r="AY731" s="243"/>
      <c r="AZ731" s="243"/>
    </row>
    <row r="732" spans="1:52">
      <c r="A732" s="216" t="str">
        <f>IF(D732="","",VLOOKUP(G732,códigosORL!$H:$J,3,FALSE))</f>
        <v/>
      </c>
      <c r="B732" s="243"/>
      <c r="C732" s="259"/>
      <c r="D732" s="243"/>
      <c r="E732" s="243"/>
      <c r="F732" s="247"/>
      <c r="G732" s="243"/>
      <c r="H732" s="243"/>
      <c r="I732" s="243"/>
      <c r="J732" s="243"/>
      <c r="K732" s="243"/>
      <c r="L732" s="243"/>
      <c r="M732" s="243"/>
      <c r="N732" s="243"/>
      <c r="O732" s="243"/>
      <c r="P732" s="243"/>
      <c r="Q732" s="243"/>
      <c r="R732" s="243"/>
      <c r="S732" s="243"/>
      <c r="T732" s="243"/>
      <c r="U732" s="243"/>
      <c r="V732" s="243"/>
      <c r="W732" s="243"/>
      <c r="X732" s="243"/>
      <c r="Y732" s="244"/>
      <c r="Z732" s="243"/>
      <c r="AA732" s="245"/>
      <c r="AB732" s="246"/>
      <c r="AC732" s="246"/>
      <c r="AD732" s="246"/>
      <c r="AE732" s="131"/>
      <c r="AF732" s="244"/>
      <c r="AG732" s="243"/>
      <c r="AH732" s="243"/>
      <c r="AI732" s="243"/>
      <c r="AJ732" s="243"/>
      <c r="AK732" s="243"/>
      <c r="AL732" s="243"/>
      <c r="AM732" s="243"/>
      <c r="AN732" s="243"/>
      <c r="AO732" s="243"/>
      <c r="AP732" s="243"/>
      <c r="AQ732" s="243"/>
      <c r="AR732" s="243"/>
      <c r="AS732" s="243"/>
      <c r="AT732" s="243"/>
      <c r="AU732" s="243"/>
      <c r="AV732" s="243"/>
      <c r="AW732" s="243"/>
      <c r="AX732" s="243"/>
      <c r="AY732" s="243"/>
      <c r="AZ732" s="243"/>
    </row>
    <row r="733" spans="1:52">
      <c r="A733" s="216" t="str">
        <f>IF(D733="","",VLOOKUP(G733,códigosORL!$H:$J,3,FALSE))</f>
        <v/>
      </c>
      <c r="B733" s="243"/>
      <c r="C733" s="259"/>
      <c r="D733" s="243"/>
      <c r="E733" s="243"/>
      <c r="F733" s="247"/>
      <c r="G733" s="243"/>
      <c r="H733" s="243"/>
      <c r="I733" s="243"/>
      <c r="J733" s="243"/>
      <c r="K733" s="243"/>
      <c r="L733" s="243"/>
      <c r="M733" s="243"/>
      <c r="N733" s="243"/>
      <c r="O733" s="243"/>
      <c r="P733" s="243"/>
      <c r="Q733" s="243"/>
      <c r="R733" s="243"/>
      <c r="S733" s="243"/>
      <c r="T733" s="243"/>
      <c r="U733" s="243"/>
      <c r="V733" s="243"/>
      <c r="W733" s="243"/>
      <c r="X733" s="243"/>
      <c r="Y733" s="244"/>
      <c r="Z733" s="243"/>
      <c r="AA733" s="245"/>
      <c r="AB733" s="246"/>
      <c r="AC733" s="246"/>
      <c r="AD733" s="246"/>
      <c r="AE733" s="131"/>
      <c r="AF733" s="244"/>
      <c r="AG733" s="243"/>
      <c r="AH733" s="243"/>
      <c r="AI733" s="243"/>
      <c r="AJ733" s="243"/>
      <c r="AK733" s="243"/>
      <c r="AL733" s="243"/>
      <c r="AM733" s="243"/>
      <c r="AN733" s="243"/>
      <c r="AO733" s="243"/>
      <c r="AP733" s="243"/>
      <c r="AQ733" s="243"/>
      <c r="AR733" s="243"/>
      <c r="AS733" s="243"/>
      <c r="AT733" s="243"/>
      <c r="AU733" s="243"/>
      <c r="AV733" s="243"/>
      <c r="AW733" s="243"/>
      <c r="AX733" s="243"/>
      <c r="AY733" s="243"/>
      <c r="AZ733" s="243"/>
    </row>
    <row r="734" spans="1:52">
      <c r="A734" s="216" t="str">
        <f>IF(D734="","",VLOOKUP(G734,códigosORL!$H:$J,3,FALSE))</f>
        <v/>
      </c>
      <c r="B734" s="243"/>
      <c r="C734" s="259"/>
      <c r="D734" s="243"/>
      <c r="E734" s="243"/>
      <c r="F734" s="247"/>
      <c r="G734" s="243"/>
      <c r="H734" s="243"/>
      <c r="I734" s="243"/>
      <c r="J734" s="243"/>
      <c r="K734" s="243"/>
      <c r="L734" s="243"/>
      <c r="M734" s="243"/>
      <c r="N734" s="243"/>
      <c r="O734" s="243"/>
      <c r="P734" s="243"/>
      <c r="Q734" s="243"/>
      <c r="R734" s="243"/>
      <c r="S734" s="243"/>
      <c r="T734" s="243"/>
      <c r="U734" s="243"/>
      <c r="V734" s="243"/>
      <c r="W734" s="243"/>
      <c r="X734" s="243"/>
      <c r="Y734" s="244"/>
      <c r="Z734" s="243"/>
      <c r="AA734" s="245"/>
      <c r="AB734" s="246"/>
      <c r="AC734" s="246"/>
      <c r="AD734" s="246"/>
      <c r="AE734" s="131"/>
      <c r="AF734" s="244"/>
      <c r="AG734" s="243"/>
      <c r="AH734" s="243"/>
      <c r="AI734" s="243"/>
      <c r="AJ734" s="243"/>
      <c r="AK734" s="243"/>
      <c r="AL734" s="243"/>
      <c r="AM734" s="243"/>
      <c r="AN734" s="243"/>
      <c r="AO734" s="243"/>
      <c r="AP734" s="243"/>
      <c r="AQ734" s="243"/>
      <c r="AR734" s="243"/>
      <c r="AS734" s="243"/>
      <c r="AT734" s="243"/>
      <c r="AU734" s="243"/>
      <c r="AV734" s="243"/>
      <c r="AW734" s="243"/>
      <c r="AX734" s="243"/>
      <c r="AY734" s="243"/>
      <c r="AZ734" s="243"/>
    </row>
    <row r="735" spans="1:52">
      <c r="A735" s="216" t="str">
        <f>IF(D735="","",VLOOKUP(G735,códigosORL!$H:$J,3,FALSE))</f>
        <v/>
      </c>
      <c r="B735" s="243"/>
      <c r="C735" s="259"/>
      <c r="D735" s="243"/>
      <c r="E735" s="243"/>
      <c r="F735" s="247"/>
      <c r="G735" s="243"/>
      <c r="H735" s="243"/>
      <c r="I735" s="243"/>
      <c r="J735" s="243"/>
      <c r="K735" s="243"/>
      <c r="L735" s="243"/>
      <c r="M735" s="243"/>
      <c r="N735" s="243"/>
      <c r="O735" s="243"/>
      <c r="P735" s="243"/>
      <c r="Q735" s="243"/>
      <c r="R735" s="243"/>
      <c r="S735" s="243"/>
      <c r="T735" s="243"/>
      <c r="U735" s="243"/>
      <c r="V735" s="243"/>
      <c r="W735" s="243"/>
      <c r="X735" s="243"/>
      <c r="Y735" s="244"/>
      <c r="Z735" s="243"/>
      <c r="AA735" s="245"/>
      <c r="AB735" s="246"/>
      <c r="AC735" s="246"/>
      <c r="AD735" s="246"/>
      <c r="AE735" s="131"/>
      <c r="AF735" s="244"/>
      <c r="AG735" s="243"/>
      <c r="AH735" s="243"/>
      <c r="AI735" s="243"/>
      <c r="AJ735" s="243"/>
      <c r="AK735" s="243"/>
      <c r="AL735" s="243"/>
      <c r="AM735" s="243"/>
      <c r="AN735" s="243"/>
      <c r="AO735" s="243"/>
      <c r="AP735" s="243"/>
      <c r="AQ735" s="243"/>
      <c r="AR735" s="243"/>
      <c r="AS735" s="243"/>
      <c r="AT735" s="243"/>
      <c r="AU735" s="243"/>
      <c r="AV735" s="243"/>
      <c r="AW735" s="243"/>
      <c r="AX735" s="243"/>
      <c r="AY735" s="243"/>
      <c r="AZ735" s="243"/>
    </row>
    <row r="736" spans="1:52">
      <c r="A736" s="216" t="str">
        <f>IF(D736="","",VLOOKUP(G736,códigosORL!$H:$J,3,FALSE))</f>
        <v/>
      </c>
      <c r="B736" s="243"/>
      <c r="C736" s="259"/>
      <c r="D736" s="243"/>
      <c r="E736" s="243"/>
      <c r="F736" s="247"/>
      <c r="G736" s="243"/>
      <c r="H736" s="243"/>
      <c r="I736" s="243"/>
      <c r="J736" s="243"/>
      <c r="K736" s="243"/>
      <c r="L736" s="243"/>
      <c r="M736" s="243"/>
      <c r="N736" s="243"/>
      <c r="O736" s="243"/>
      <c r="P736" s="243"/>
      <c r="Q736" s="243"/>
      <c r="R736" s="243"/>
      <c r="S736" s="243"/>
      <c r="T736" s="243"/>
      <c r="U736" s="243"/>
      <c r="V736" s="243"/>
      <c r="W736" s="243"/>
      <c r="X736" s="243"/>
      <c r="Y736" s="244"/>
      <c r="Z736" s="243"/>
      <c r="AA736" s="245"/>
      <c r="AB736" s="246"/>
      <c r="AC736" s="246"/>
      <c r="AD736" s="246"/>
      <c r="AE736" s="131"/>
      <c r="AF736" s="244"/>
      <c r="AG736" s="243"/>
      <c r="AH736" s="243"/>
      <c r="AI736" s="243"/>
      <c r="AJ736" s="243"/>
      <c r="AK736" s="243"/>
      <c r="AL736" s="243"/>
      <c r="AM736" s="243"/>
      <c r="AN736" s="243"/>
      <c r="AO736" s="243"/>
      <c r="AP736" s="243"/>
      <c r="AQ736" s="243"/>
      <c r="AR736" s="243"/>
      <c r="AS736" s="243"/>
      <c r="AT736" s="243"/>
      <c r="AU736" s="243"/>
      <c r="AV736" s="243"/>
      <c r="AW736" s="243"/>
      <c r="AX736" s="243"/>
      <c r="AY736" s="243"/>
      <c r="AZ736" s="243"/>
    </row>
    <row r="737" spans="1:52">
      <c r="A737" s="216" t="str">
        <f>IF(D737="","",VLOOKUP(G737,códigosORL!$H:$J,3,FALSE))</f>
        <v/>
      </c>
      <c r="B737" s="243"/>
      <c r="C737" s="259"/>
      <c r="D737" s="243"/>
      <c r="E737" s="243"/>
      <c r="F737" s="247"/>
      <c r="G737" s="243"/>
      <c r="H737" s="243"/>
      <c r="I737" s="243"/>
      <c r="J737" s="243"/>
      <c r="K737" s="243"/>
      <c r="L737" s="243"/>
      <c r="M737" s="243"/>
      <c r="N737" s="243"/>
      <c r="O737" s="243"/>
      <c r="P737" s="243"/>
      <c r="Q737" s="243"/>
      <c r="R737" s="243"/>
      <c r="S737" s="243"/>
      <c r="T737" s="243"/>
      <c r="U737" s="243"/>
      <c r="V737" s="243"/>
      <c r="W737" s="243"/>
      <c r="X737" s="243"/>
      <c r="Y737" s="244"/>
      <c r="Z737" s="243"/>
      <c r="AA737" s="245"/>
      <c r="AB737" s="246"/>
      <c r="AC737" s="246"/>
      <c r="AD737" s="246"/>
      <c r="AE737" s="131"/>
      <c r="AF737" s="244"/>
      <c r="AG737" s="243"/>
      <c r="AH737" s="243"/>
      <c r="AI737" s="243"/>
      <c r="AJ737" s="243"/>
      <c r="AK737" s="243"/>
      <c r="AL737" s="243"/>
      <c r="AM737" s="243"/>
      <c r="AN737" s="243"/>
      <c r="AO737" s="243"/>
      <c r="AP737" s="243"/>
      <c r="AQ737" s="243"/>
      <c r="AR737" s="243"/>
      <c r="AS737" s="243"/>
      <c r="AT737" s="243"/>
      <c r="AU737" s="243"/>
      <c r="AV737" s="243"/>
      <c r="AW737" s="243"/>
      <c r="AX737" s="243"/>
      <c r="AY737" s="243"/>
      <c r="AZ737" s="243"/>
    </row>
    <row r="738" spans="1:52">
      <c r="A738" s="216" t="str">
        <f>IF(D738="","",VLOOKUP(G738,códigosORL!$H:$J,3,FALSE))</f>
        <v/>
      </c>
      <c r="B738" s="243"/>
      <c r="C738" s="259"/>
      <c r="D738" s="243"/>
      <c r="E738" s="243"/>
      <c r="F738" s="247"/>
      <c r="G738" s="243"/>
      <c r="H738" s="243"/>
      <c r="I738" s="243"/>
      <c r="J738" s="243"/>
      <c r="K738" s="243"/>
      <c r="L738" s="243"/>
      <c r="M738" s="243"/>
      <c r="N738" s="243"/>
      <c r="O738" s="243"/>
      <c r="P738" s="243"/>
      <c r="Q738" s="243"/>
      <c r="R738" s="243"/>
      <c r="S738" s="243"/>
      <c r="T738" s="243"/>
      <c r="U738" s="243"/>
      <c r="V738" s="243"/>
      <c r="W738" s="243"/>
      <c r="X738" s="243"/>
      <c r="Y738" s="244"/>
      <c r="Z738" s="243"/>
      <c r="AA738" s="245"/>
      <c r="AB738" s="246"/>
      <c r="AC738" s="246"/>
      <c r="AD738" s="246"/>
      <c r="AE738" s="131"/>
      <c r="AF738" s="244"/>
      <c r="AG738" s="243"/>
      <c r="AH738" s="243"/>
      <c r="AI738" s="243"/>
      <c r="AJ738" s="243"/>
      <c r="AK738" s="243"/>
      <c r="AL738" s="243"/>
      <c r="AM738" s="243"/>
      <c r="AN738" s="243"/>
      <c r="AO738" s="243"/>
      <c r="AP738" s="243"/>
      <c r="AQ738" s="243"/>
      <c r="AR738" s="243"/>
      <c r="AS738" s="243"/>
      <c r="AT738" s="243"/>
      <c r="AU738" s="243"/>
      <c r="AV738" s="243"/>
      <c r="AW738" s="243"/>
      <c r="AX738" s="243"/>
      <c r="AY738" s="243"/>
      <c r="AZ738" s="243"/>
    </row>
    <row r="739" spans="1:52">
      <c r="A739" s="216" t="str">
        <f>IF(D739="","",VLOOKUP(G739,códigosORL!$H:$J,3,FALSE))</f>
        <v/>
      </c>
      <c r="B739" s="243"/>
      <c r="C739" s="259"/>
      <c r="D739" s="243"/>
      <c r="E739" s="243"/>
      <c r="F739" s="247"/>
      <c r="G739" s="243"/>
      <c r="H739" s="243"/>
      <c r="I739" s="243"/>
      <c r="J739" s="243"/>
      <c r="K739" s="243"/>
      <c r="L739" s="243"/>
      <c r="M739" s="243"/>
      <c r="N739" s="243"/>
      <c r="O739" s="243"/>
      <c r="P739" s="243"/>
      <c r="Q739" s="243"/>
      <c r="R739" s="243"/>
      <c r="S739" s="243"/>
      <c r="T739" s="243"/>
      <c r="U739" s="243"/>
      <c r="V739" s="243"/>
      <c r="W739" s="243"/>
      <c r="X739" s="243"/>
      <c r="Y739" s="244"/>
      <c r="Z739" s="243"/>
      <c r="AA739" s="245"/>
      <c r="AB739" s="246"/>
      <c r="AC739" s="246"/>
      <c r="AD739" s="246"/>
      <c r="AE739" s="131"/>
      <c r="AF739" s="244"/>
      <c r="AG739" s="243"/>
      <c r="AH739" s="243"/>
      <c r="AI739" s="243"/>
      <c r="AJ739" s="243"/>
      <c r="AK739" s="243"/>
      <c r="AL739" s="243"/>
      <c r="AM739" s="243"/>
      <c r="AN739" s="243"/>
      <c r="AO739" s="243"/>
      <c r="AP739" s="243"/>
      <c r="AQ739" s="243"/>
      <c r="AR739" s="243"/>
      <c r="AS739" s="243"/>
      <c r="AT739" s="243"/>
      <c r="AU739" s="243"/>
      <c r="AV739" s="243"/>
      <c r="AW739" s="243"/>
      <c r="AX739" s="243"/>
      <c r="AY739" s="243"/>
      <c r="AZ739" s="243"/>
    </row>
    <row r="740" spans="1:52">
      <c r="A740" s="216" t="str">
        <f>IF(D740="","",VLOOKUP(G740,códigosORL!$H:$J,3,FALSE))</f>
        <v/>
      </c>
      <c r="B740" s="243"/>
      <c r="C740" s="259"/>
      <c r="D740" s="243"/>
      <c r="E740" s="243"/>
      <c r="F740" s="247"/>
      <c r="G740" s="243"/>
      <c r="H740" s="243"/>
      <c r="I740" s="243"/>
      <c r="J740" s="243"/>
      <c r="K740" s="243"/>
      <c r="L740" s="243"/>
      <c r="M740" s="243"/>
      <c r="N740" s="243"/>
      <c r="O740" s="243"/>
      <c r="P740" s="243"/>
      <c r="Q740" s="243"/>
      <c r="R740" s="243"/>
      <c r="S740" s="243"/>
      <c r="T740" s="243"/>
      <c r="U740" s="243"/>
      <c r="V740" s="243"/>
      <c r="W740" s="243"/>
      <c r="X740" s="243"/>
      <c r="Y740" s="244"/>
      <c r="Z740" s="243"/>
      <c r="AA740" s="245"/>
      <c r="AB740" s="246"/>
      <c r="AC740" s="246"/>
      <c r="AD740" s="246"/>
      <c r="AE740" s="131"/>
      <c r="AF740" s="244"/>
      <c r="AG740" s="243"/>
      <c r="AH740" s="243"/>
      <c r="AI740" s="243"/>
      <c r="AJ740" s="243"/>
      <c r="AK740" s="243"/>
      <c r="AL740" s="243"/>
      <c r="AM740" s="243"/>
      <c r="AN740" s="243"/>
      <c r="AO740" s="243"/>
      <c r="AP740" s="243"/>
      <c r="AQ740" s="243"/>
      <c r="AR740" s="243"/>
      <c r="AS740" s="243"/>
      <c r="AT740" s="243"/>
      <c r="AU740" s="243"/>
      <c r="AV740" s="243"/>
      <c r="AW740" s="243"/>
      <c r="AX740" s="243"/>
      <c r="AY740" s="243"/>
      <c r="AZ740" s="243"/>
    </row>
    <row r="741" spans="1:52">
      <c r="A741" s="216" t="str">
        <f>IF(D741="","",VLOOKUP(G741,códigosORL!$H:$J,3,FALSE))</f>
        <v/>
      </c>
      <c r="B741" s="243"/>
      <c r="C741" s="259"/>
      <c r="D741" s="243"/>
      <c r="E741" s="243"/>
      <c r="F741" s="247"/>
      <c r="G741" s="243"/>
      <c r="H741" s="243"/>
      <c r="I741" s="243"/>
      <c r="J741" s="243"/>
      <c r="K741" s="243"/>
      <c r="L741" s="243"/>
      <c r="M741" s="243"/>
      <c r="N741" s="243"/>
      <c r="O741" s="243"/>
      <c r="P741" s="243"/>
      <c r="Q741" s="243"/>
      <c r="R741" s="243"/>
      <c r="S741" s="243"/>
      <c r="T741" s="243"/>
      <c r="U741" s="243"/>
      <c r="V741" s="243"/>
      <c r="W741" s="243"/>
      <c r="X741" s="243"/>
      <c r="Y741" s="244"/>
      <c r="Z741" s="243"/>
      <c r="AA741" s="245"/>
      <c r="AB741" s="246"/>
      <c r="AC741" s="246"/>
      <c r="AD741" s="246"/>
      <c r="AE741" s="131"/>
      <c r="AF741" s="244"/>
      <c r="AG741" s="243"/>
      <c r="AH741" s="243"/>
      <c r="AI741" s="243"/>
      <c r="AJ741" s="243"/>
      <c r="AK741" s="243"/>
      <c r="AL741" s="243"/>
      <c r="AM741" s="243"/>
      <c r="AN741" s="243"/>
      <c r="AO741" s="243"/>
      <c r="AP741" s="243"/>
      <c r="AQ741" s="243"/>
      <c r="AR741" s="243"/>
      <c r="AS741" s="243"/>
      <c r="AT741" s="243"/>
      <c r="AU741" s="243"/>
      <c r="AV741" s="243"/>
      <c r="AW741" s="243"/>
      <c r="AX741" s="243"/>
      <c r="AY741" s="243"/>
      <c r="AZ741" s="243"/>
    </row>
    <row r="742" spans="1:52">
      <c r="A742" s="216" t="str">
        <f>IF(D742="","",VLOOKUP(G742,códigosORL!$H:$J,3,FALSE))</f>
        <v/>
      </c>
      <c r="B742" s="243"/>
      <c r="C742" s="259"/>
      <c r="D742" s="243"/>
      <c r="E742" s="243"/>
      <c r="F742" s="247"/>
      <c r="G742" s="243"/>
      <c r="H742" s="243"/>
      <c r="I742" s="243"/>
      <c r="J742" s="243"/>
      <c r="K742" s="243"/>
      <c r="L742" s="243"/>
      <c r="M742" s="243"/>
      <c r="N742" s="243"/>
      <c r="O742" s="243"/>
      <c r="P742" s="243"/>
      <c r="Q742" s="243"/>
      <c r="R742" s="243"/>
      <c r="S742" s="243"/>
      <c r="T742" s="243"/>
      <c r="U742" s="243"/>
      <c r="V742" s="243"/>
      <c r="W742" s="243"/>
      <c r="X742" s="243"/>
      <c r="Y742" s="244"/>
      <c r="Z742" s="243"/>
      <c r="AA742" s="245"/>
      <c r="AB742" s="246"/>
      <c r="AC742" s="246"/>
      <c r="AD742" s="246"/>
      <c r="AE742" s="131"/>
      <c r="AF742" s="244"/>
      <c r="AG742" s="243"/>
      <c r="AH742" s="243"/>
      <c r="AI742" s="243"/>
      <c r="AJ742" s="243"/>
      <c r="AK742" s="243"/>
      <c r="AL742" s="243"/>
      <c r="AM742" s="243"/>
      <c r="AN742" s="243"/>
      <c r="AO742" s="243"/>
      <c r="AP742" s="243"/>
      <c r="AQ742" s="243"/>
      <c r="AR742" s="243"/>
      <c r="AS742" s="243"/>
      <c r="AT742" s="243"/>
      <c r="AU742" s="243"/>
      <c r="AV742" s="243"/>
      <c r="AW742" s="243"/>
      <c r="AX742" s="243"/>
      <c r="AY742" s="243"/>
      <c r="AZ742" s="243"/>
    </row>
    <row r="743" spans="1:52">
      <c r="A743" s="216" t="str">
        <f>IF(D743="","",VLOOKUP(G743,códigosORL!$H:$J,3,FALSE))</f>
        <v/>
      </c>
      <c r="B743" s="243"/>
      <c r="C743" s="259"/>
      <c r="D743" s="243"/>
      <c r="E743" s="243"/>
      <c r="F743" s="247"/>
      <c r="G743" s="243"/>
      <c r="H743" s="243"/>
      <c r="I743" s="243"/>
      <c r="J743" s="243"/>
      <c r="K743" s="243"/>
      <c r="L743" s="243"/>
      <c r="M743" s="243"/>
      <c r="N743" s="243"/>
      <c r="O743" s="243"/>
      <c r="P743" s="243"/>
      <c r="Q743" s="243"/>
      <c r="R743" s="243"/>
      <c r="S743" s="243"/>
      <c r="T743" s="243"/>
      <c r="U743" s="243"/>
      <c r="V743" s="243"/>
      <c r="W743" s="243"/>
      <c r="X743" s="243"/>
      <c r="Y743" s="244"/>
      <c r="Z743" s="243"/>
      <c r="AA743" s="245"/>
      <c r="AB743" s="246"/>
      <c r="AC743" s="246"/>
      <c r="AD743" s="246"/>
      <c r="AE743" s="131"/>
      <c r="AF743" s="244"/>
      <c r="AG743" s="243"/>
      <c r="AH743" s="243"/>
      <c r="AI743" s="243"/>
      <c r="AJ743" s="243"/>
      <c r="AK743" s="243"/>
      <c r="AL743" s="243"/>
      <c r="AM743" s="243"/>
      <c r="AN743" s="243"/>
      <c r="AO743" s="243"/>
      <c r="AP743" s="243"/>
      <c r="AQ743" s="243"/>
      <c r="AR743" s="243"/>
      <c r="AS743" s="243"/>
      <c r="AT743" s="243"/>
      <c r="AU743" s="243"/>
      <c r="AV743" s="243"/>
      <c r="AW743" s="243"/>
      <c r="AX743" s="243"/>
      <c r="AY743" s="243"/>
      <c r="AZ743" s="243"/>
    </row>
    <row r="744" spans="1:52">
      <c r="A744" s="216" t="str">
        <f>IF(D744="","",VLOOKUP(G744,códigosORL!$H:$J,3,FALSE))</f>
        <v/>
      </c>
      <c r="B744" s="243"/>
      <c r="C744" s="259"/>
      <c r="D744" s="243"/>
      <c r="E744" s="243"/>
      <c r="F744" s="247"/>
      <c r="G744" s="243"/>
      <c r="H744" s="243"/>
      <c r="I744" s="243"/>
      <c r="J744" s="243"/>
      <c r="K744" s="243"/>
      <c r="L744" s="243"/>
      <c r="M744" s="243"/>
      <c r="N744" s="243"/>
      <c r="O744" s="243"/>
      <c r="P744" s="243"/>
      <c r="Q744" s="243"/>
      <c r="R744" s="243"/>
      <c r="S744" s="243"/>
      <c r="T744" s="243"/>
      <c r="U744" s="243"/>
      <c r="V744" s="243"/>
      <c r="W744" s="243"/>
      <c r="X744" s="243"/>
      <c r="Y744" s="244"/>
      <c r="Z744" s="243"/>
      <c r="AA744" s="245"/>
      <c r="AB744" s="246"/>
      <c r="AC744" s="246"/>
      <c r="AD744" s="246"/>
      <c r="AE744" s="131"/>
      <c r="AF744" s="244"/>
      <c r="AG744" s="243"/>
      <c r="AH744" s="243"/>
      <c r="AI744" s="243"/>
      <c r="AJ744" s="243"/>
      <c r="AK744" s="243"/>
      <c r="AL744" s="243"/>
      <c r="AM744" s="243"/>
      <c r="AN744" s="243"/>
      <c r="AO744" s="243"/>
      <c r="AP744" s="243"/>
      <c r="AQ744" s="243"/>
      <c r="AR744" s="243"/>
      <c r="AS744" s="243"/>
      <c r="AT744" s="243"/>
      <c r="AU744" s="243"/>
      <c r="AV744" s="243"/>
      <c r="AW744" s="243"/>
      <c r="AX744" s="243"/>
      <c r="AY744" s="243"/>
      <c r="AZ744" s="243"/>
    </row>
    <row r="745" spans="1:52">
      <c r="A745" s="216" t="str">
        <f>IF(D745="","",VLOOKUP(G745,códigosORL!$H:$J,3,FALSE))</f>
        <v/>
      </c>
      <c r="B745" s="243"/>
      <c r="C745" s="259"/>
      <c r="D745" s="243"/>
      <c r="E745" s="243"/>
      <c r="F745" s="247"/>
      <c r="G745" s="243"/>
      <c r="H745" s="243"/>
      <c r="I745" s="243"/>
      <c r="J745" s="243"/>
      <c r="K745" s="243"/>
      <c r="L745" s="243"/>
      <c r="M745" s="243"/>
      <c r="N745" s="243"/>
      <c r="O745" s="243"/>
      <c r="P745" s="243"/>
      <c r="Q745" s="243"/>
      <c r="R745" s="243"/>
      <c r="S745" s="243"/>
      <c r="T745" s="243"/>
      <c r="U745" s="243"/>
      <c r="V745" s="243"/>
      <c r="W745" s="243"/>
      <c r="X745" s="243"/>
      <c r="Y745" s="244"/>
      <c r="Z745" s="243"/>
      <c r="AA745" s="245"/>
      <c r="AB745" s="246"/>
      <c r="AC745" s="246"/>
      <c r="AD745" s="246"/>
      <c r="AE745" s="131"/>
      <c r="AF745" s="244"/>
      <c r="AG745" s="243"/>
      <c r="AH745" s="243"/>
      <c r="AI745" s="243"/>
      <c r="AJ745" s="243"/>
      <c r="AK745" s="243"/>
      <c r="AL745" s="243"/>
      <c r="AM745" s="243"/>
      <c r="AN745" s="243"/>
      <c r="AO745" s="243"/>
      <c r="AP745" s="243"/>
      <c r="AQ745" s="243"/>
      <c r="AR745" s="243"/>
      <c r="AS745" s="243"/>
      <c r="AT745" s="243"/>
      <c r="AU745" s="243"/>
      <c r="AV745" s="243"/>
      <c r="AW745" s="243"/>
      <c r="AX745" s="243"/>
      <c r="AY745" s="243"/>
      <c r="AZ745" s="243"/>
    </row>
    <row r="746" spans="1:52">
      <c r="A746" s="216" t="str">
        <f>IF(D746="","",VLOOKUP(G746,códigosORL!$H:$J,3,FALSE))</f>
        <v/>
      </c>
      <c r="B746" s="243"/>
      <c r="C746" s="259"/>
      <c r="D746" s="243"/>
      <c r="E746" s="243"/>
      <c r="F746" s="247"/>
      <c r="G746" s="243"/>
      <c r="H746" s="243"/>
      <c r="I746" s="243"/>
      <c r="J746" s="243"/>
      <c r="K746" s="243"/>
      <c r="L746" s="243"/>
      <c r="M746" s="243"/>
      <c r="N746" s="243"/>
      <c r="O746" s="243"/>
      <c r="P746" s="243"/>
      <c r="Q746" s="243"/>
      <c r="R746" s="243"/>
      <c r="S746" s="243"/>
      <c r="T746" s="243"/>
      <c r="U746" s="243"/>
      <c r="V746" s="243"/>
      <c r="W746" s="243"/>
      <c r="X746" s="243"/>
      <c r="Y746" s="244"/>
      <c r="Z746" s="243"/>
      <c r="AA746" s="245"/>
      <c r="AB746" s="246"/>
      <c r="AC746" s="246"/>
      <c r="AD746" s="246"/>
      <c r="AE746" s="131"/>
      <c r="AF746" s="244"/>
      <c r="AG746" s="243"/>
      <c r="AH746" s="243"/>
      <c r="AI746" s="243"/>
      <c r="AJ746" s="243"/>
      <c r="AK746" s="243"/>
      <c r="AL746" s="243"/>
      <c r="AM746" s="243"/>
      <c r="AN746" s="243"/>
      <c r="AO746" s="243"/>
      <c r="AP746" s="243"/>
      <c r="AQ746" s="243"/>
      <c r="AR746" s="243"/>
      <c r="AS746" s="243"/>
      <c r="AT746" s="243"/>
      <c r="AU746" s="243"/>
      <c r="AV746" s="243"/>
      <c r="AW746" s="243"/>
      <c r="AX746" s="243"/>
      <c r="AY746" s="243"/>
      <c r="AZ746" s="243"/>
    </row>
    <row r="747" spans="1:52">
      <c r="A747" s="216" t="str">
        <f>IF(D747="","",VLOOKUP(G747,códigosORL!$H:$J,3,FALSE))</f>
        <v/>
      </c>
      <c r="B747" s="243"/>
      <c r="C747" s="259"/>
      <c r="D747" s="243"/>
      <c r="E747" s="243"/>
      <c r="F747" s="247"/>
      <c r="G747" s="243"/>
      <c r="H747" s="243"/>
      <c r="I747" s="243"/>
      <c r="J747" s="243"/>
      <c r="K747" s="243"/>
      <c r="L747" s="243"/>
      <c r="M747" s="243"/>
      <c r="N747" s="243"/>
      <c r="O747" s="243"/>
      <c r="P747" s="243"/>
      <c r="Q747" s="243"/>
      <c r="R747" s="243"/>
      <c r="S747" s="243"/>
      <c r="T747" s="243"/>
      <c r="U747" s="243"/>
      <c r="V747" s="243"/>
      <c r="W747" s="243"/>
      <c r="X747" s="243"/>
      <c r="Y747" s="244"/>
      <c r="Z747" s="243"/>
      <c r="AA747" s="245"/>
      <c r="AB747" s="246"/>
      <c r="AC747" s="246"/>
      <c r="AD747" s="246"/>
      <c r="AE747" s="131"/>
      <c r="AF747" s="244"/>
      <c r="AG747" s="243"/>
      <c r="AH747" s="243"/>
      <c r="AI747" s="243"/>
      <c r="AJ747" s="243"/>
      <c r="AK747" s="243"/>
      <c r="AL747" s="243"/>
      <c r="AM747" s="243"/>
      <c r="AN747" s="243"/>
      <c r="AO747" s="243"/>
      <c r="AP747" s="243"/>
      <c r="AQ747" s="243"/>
      <c r="AR747" s="243"/>
      <c r="AS747" s="243"/>
      <c r="AT747" s="243"/>
      <c r="AU747" s="243"/>
      <c r="AV747" s="243"/>
      <c r="AW747" s="243"/>
      <c r="AX747" s="243"/>
      <c r="AY747" s="243"/>
      <c r="AZ747" s="243"/>
    </row>
    <row r="748" spans="1:52">
      <c r="A748" s="216" t="str">
        <f>IF(D748="","",VLOOKUP(G748,códigosORL!$H:$J,3,FALSE))</f>
        <v/>
      </c>
      <c r="B748" s="243"/>
      <c r="C748" s="259"/>
      <c r="D748" s="243"/>
      <c r="E748" s="243"/>
      <c r="F748" s="247"/>
      <c r="G748" s="243"/>
      <c r="H748" s="243"/>
      <c r="I748" s="243"/>
      <c r="J748" s="243"/>
      <c r="K748" s="243"/>
      <c r="L748" s="243"/>
      <c r="M748" s="243"/>
      <c r="N748" s="243"/>
      <c r="O748" s="243"/>
      <c r="P748" s="243"/>
      <c r="Q748" s="243"/>
      <c r="R748" s="243"/>
      <c r="S748" s="243"/>
      <c r="T748" s="243"/>
      <c r="U748" s="243"/>
      <c r="V748" s="243"/>
      <c r="W748" s="243"/>
      <c r="X748" s="243"/>
      <c r="Y748" s="244"/>
      <c r="Z748" s="243"/>
      <c r="AA748" s="245"/>
      <c r="AB748" s="246"/>
      <c r="AC748" s="246"/>
      <c r="AD748" s="246"/>
      <c r="AE748" s="131"/>
      <c r="AF748" s="244"/>
      <c r="AG748" s="243"/>
      <c r="AH748" s="243"/>
      <c r="AI748" s="243"/>
      <c r="AJ748" s="243"/>
      <c r="AK748" s="243"/>
      <c r="AL748" s="243"/>
      <c r="AM748" s="243"/>
      <c r="AN748" s="243"/>
      <c r="AO748" s="243"/>
      <c r="AP748" s="243"/>
      <c r="AQ748" s="243"/>
      <c r="AR748" s="243"/>
      <c r="AS748" s="243"/>
      <c r="AT748" s="243"/>
      <c r="AU748" s="243"/>
      <c r="AV748" s="243"/>
      <c r="AW748" s="243"/>
      <c r="AX748" s="243"/>
      <c r="AY748" s="243"/>
      <c r="AZ748" s="243"/>
    </row>
    <row r="749" spans="1:52">
      <c r="A749" s="216" t="str">
        <f>IF(D749="","",VLOOKUP(G749,códigosORL!$H:$J,3,FALSE))</f>
        <v/>
      </c>
      <c r="B749" s="243"/>
      <c r="C749" s="259"/>
      <c r="D749" s="243"/>
      <c r="E749" s="243"/>
      <c r="F749" s="247"/>
      <c r="G749" s="243"/>
      <c r="H749" s="243"/>
      <c r="I749" s="243"/>
      <c r="J749" s="243"/>
      <c r="K749" s="243"/>
      <c r="L749" s="243"/>
      <c r="M749" s="243"/>
      <c r="N749" s="243"/>
      <c r="O749" s="243"/>
      <c r="P749" s="243"/>
      <c r="Q749" s="243"/>
      <c r="R749" s="243"/>
      <c r="S749" s="243"/>
      <c r="T749" s="243"/>
      <c r="U749" s="243"/>
      <c r="V749" s="243"/>
      <c r="W749" s="243"/>
      <c r="X749" s="243"/>
      <c r="Y749" s="244"/>
      <c r="Z749" s="243"/>
      <c r="AA749" s="245"/>
      <c r="AB749" s="246"/>
      <c r="AC749" s="246"/>
      <c r="AD749" s="246"/>
      <c r="AE749" s="131"/>
      <c r="AF749" s="244"/>
      <c r="AG749" s="243"/>
      <c r="AH749" s="243"/>
      <c r="AI749" s="243"/>
      <c r="AJ749" s="243"/>
      <c r="AK749" s="243"/>
      <c r="AL749" s="243"/>
      <c r="AM749" s="243"/>
      <c r="AN749" s="243"/>
      <c r="AO749" s="243"/>
      <c r="AP749" s="243"/>
      <c r="AQ749" s="243"/>
      <c r="AR749" s="243"/>
      <c r="AS749" s="243"/>
      <c r="AT749" s="243"/>
      <c r="AU749" s="243"/>
      <c r="AV749" s="243"/>
      <c r="AW749" s="243"/>
      <c r="AX749" s="243"/>
      <c r="AY749" s="243"/>
      <c r="AZ749" s="243"/>
    </row>
    <row r="750" spans="1:52">
      <c r="A750" s="216" t="str">
        <f>IF(D750="","",VLOOKUP(G750,códigosORL!$H:$J,3,FALSE))</f>
        <v/>
      </c>
      <c r="B750" s="243"/>
      <c r="C750" s="259"/>
      <c r="D750" s="243"/>
      <c r="E750" s="243"/>
      <c r="F750" s="247"/>
      <c r="G750" s="243"/>
      <c r="H750" s="243"/>
      <c r="I750" s="243"/>
      <c r="J750" s="243"/>
      <c r="K750" s="243"/>
      <c r="L750" s="243"/>
      <c r="M750" s="243"/>
      <c r="N750" s="243"/>
      <c r="O750" s="243"/>
      <c r="P750" s="243"/>
      <c r="Q750" s="243"/>
      <c r="R750" s="243"/>
      <c r="S750" s="243"/>
      <c r="T750" s="243"/>
      <c r="U750" s="243"/>
      <c r="V750" s="243"/>
      <c r="W750" s="243"/>
      <c r="X750" s="243"/>
      <c r="Y750" s="244"/>
      <c r="Z750" s="243"/>
      <c r="AA750" s="245"/>
      <c r="AB750" s="246"/>
      <c r="AC750" s="246"/>
      <c r="AD750" s="246"/>
      <c r="AE750" s="131"/>
      <c r="AF750" s="244"/>
      <c r="AG750" s="243"/>
      <c r="AH750" s="243"/>
      <c r="AI750" s="243"/>
      <c r="AJ750" s="243"/>
      <c r="AK750" s="243"/>
      <c r="AL750" s="243"/>
      <c r="AM750" s="243"/>
      <c r="AN750" s="243"/>
      <c r="AO750" s="243"/>
      <c r="AP750" s="243"/>
      <c r="AQ750" s="243"/>
      <c r="AR750" s="243"/>
      <c r="AS750" s="243"/>
      <c r="AT750" s="243"/>
      <c r="AU750" s="243"/>
      <c r="AV750" s="243"/>
      <c r="AW750" s="243"/>
      <c r="AX750" s="243"/>
      <c r="AY750" s="243"/>
      <c r="AZ750" s="243"/>
    </row>
    <row r="751" spans="1:52">
      <c r="A751" s="216" t="str">
        <f>IF(D751="","",VLOOKUP(G751,códigosORL!$H:$J,3,FALSE))</f>
        <v/>
      </c>
      <c r="B751" s="243"/>
      <c r="C751" s="259"/>
      <c r="D751" s="243"/>
      <c r="E751" s="243"/>
      <c r="F751" s="247"/>
      <c r="G751" s="243"/>
      <c r="H751" s="243"/>
      <c r="I751" s="243"/>
      <c r="J751" s="243"/>
      <c r="K751" s="243"/>
      <c r="L751" s="243"/>
      <c r="M751" s="243"/>
      <c r="N751" s="243"/>
      <c r="O751" s="243"/>
      <c r="P751" s="243"/>
      <c r="Q751" s="243"/>
      <c r="R751" s="243"/>
      <c r="S751" s="243"/>
      <c r="T751" s="243"/>
      <c r="U751" s="243"/>
      <c r="V751" s="243"/>
      <c r="W751" s="243"/>
      <c r="X751" s="243"/>
      <c r="Y751" s="244"/>
      <c r="Z751" s="243"/>
      <c r="AA751" s="245"/>
      <c r="AB751" s="246"/>
      <c r="AC751" s="246"/>
      <c r="AD751" s="246"/>
      <c r="AE751" s="131"/>
      <c r="AF751" s="244"/>
      <c r="AG751" s="243"/>
      <c r="AH751" s="243"/>
      <c r="AI751" s="243"/>
      <c r="AJ751" s="243"/>
      <c r="AK751" s="243"/>
      <c r="AL751" s="243"/>
      <c r="AM751" s="243"/>
      <c r="AN751" s="243"/>
      <c r="AO751" s="243"/>
      <c r="AP751" s="243"/>
      <c r="AQ751" s="243"/>
      <c r="AR751" s="243"/>
      <c r="AS751" s="243"/>
      <c r="AT751" s="243"/>
      <c r="AU751" s="243"/>
      <c r="AV751" s="243"/>
      <c r="AW751" s="243"/>
      <c r="AX751" s="243"/>
      <c r="AY751" s="243"/>
      <c r="AZ751" s="243"/>
    </row>
    <row r="752" spans="1:52">
      <c r="A752" s="216" t="str">
        <f>IF(D752="","",VLOOKUP(G752,códigosORL!$H:$J,3,FALSE))</f>
        <v/>
      </c>
      <c r="B752" s="243"/>
      <c r="C752" s="259"/>
      <c r="D752" s="243"/>
      <c r="E752" s="243"/>
      <c r="F752" s="247"/>
      <c r="G752" s="243"/>
      <c r="H752" s="243"/>
      <c r="I752" s="243"/>
      <c r="J752" s="243"/>
      <c r="K752" s="243"/>
      <c r="L752" s="243"/>
      <c r="M752" s="243"/>
      <c r="N752" s="243"/>
      <c r="O752" s="243"/>
      <c r="P752" s="243"/>
      <c r="Q752" s="243"/>
      <c r="R752" s="243"/>
      <c r="S752" s="243"/>
      <c r="T752" s="243"/>
      <c r="U752" s="243"/>
      <c r="V752" s="243"/>
      <c r="W752" s="243"/>
      <c r="X752" s="243"/>
      <c r="Y752" s="244"/>
      <c r="Z752" s="243"/>
      <c r="AA752" s="245"/>
      <c r="AB752" s="246"/>
      <c r="AC752" s="246"/>
      <c r="AD752" s="246"/>
      <c r="AE752" s="131"/>
      <c r="AF752" s="244"/>
      <c r="AG752" s="243"/>
      <c r="AH752" s="243"/>
      <c r="AI752" s="243"/>
      <c r="AJ752" s="243"/>
      <c r="AK752" s="243"/>
      <c r="AL752" s="243"/>
      <c r="AM752" s="243"/>
      <c r="AN752" s="243"/>
      <c r="AO752" s="243"/>
      <c r="AP752" s="243"/>
      <c r="AQ752" s="243"/>
      <c r="AR752" s="243"/>
      <c r="AS752" s="243"/>
      <c r="AT752" s="243"/>
      <c r="AU752" s="243"/>
      <c r="AV752" s="243"/>
      <c r="AW752" s="243"/>
      <c r="AX752" s="243"/>
      <c r="AY752" s="243"/>
      <c r="AZ752" s="243"/>
    </row>
    <row r="753" spans="1:52">
      <c r="A753" s="216" t="str">
        <f>IF(D753="","",VLOOKUP(G753,códigosORL!$H:$J,3,FALSE))</f>
        <v/>
      </c>
      <c r="B753" s="243"/>
      <c r="C753" s="259"/>
      <c r="D753" s="243"/>
      <c r="E753" s="243"/>
      <c r="F753" s="247"/>
      <c r="G753" s="243"/>
      <c r="H753" s="243"/>
      <c r="I753" s="243"/>
      <c r="J753" s="243"/>
      <c r="K753" s="243"/>
      <c r="L753" s="243"/>
      <c r="M753" s="243"/>
      <c r="N753" s="243"/>
      <c r="O753" s="243"/>
      <c r="P753" s="243"/>
      <c r="Q753" s="243"/>
      <c r="R753" s="243"/>
      <c r="S753" s="243"/>
      <c r="T753" s="243"/>
      <c r="U753" s="243"/>
      <c r="V753" s="243"/>
      <c r="W753" s="243"/>
      <c r="X753" s="243"/>
      <c r="Y753" s="244"/>
      <c r="Z753" s="243"/>
      <c r="AA753" s="245"/>
      <c r="AB753" s="246"/>
      <c r="AC753" s="246"/>
      <c r="AD753" s="246"/>
      <c r="AE753" s="131"/>
      <c r="AF753" s="244"/>
      <c r="AG753" s="243"/>
      <c r="AH753" s="243"/>
      <c r="AI753" s="243"/>
      <c r="AJ753" s="243"/>
      <c r="AK753" s="243"/>
      <c r="AL753" s="243"/>
      <c r="AM753" s="243"/>
      <c r="AN753" s="243"/>
      <c r="AO753" s="243"/>
      <c r="AP753" s="243"/>
      <c r="AQ753" s="243"/>
      <c r="AR753" s="243"/>
      <c r="AS753" s="243"/>
      <c r="AT753" s="243"/>
      <c r="AU753" s="243"/>
      <c r="AV753" s="243"/>
      <c r="AW753" s="243"/>
      <c r="AX753" s="243"/>
      <c r="AY753" s="243"/>
      <c r="AZ753" s="243"/>
    </row>
    <row r="754" spans="1:52">
      <c r="A754" s="216" t="str">
        <f>IF(D754="","",VLOOKUP(G754,códigosORL!$H:$J,3,FALSE))</f>
        <v/>
      </c>
      <c r="B754" s="243"/>
      <c r="C754" s="259"/>
      <c r="D754" s="243"/>
      <c r="E754" s="243"/>
      <c r="F754" s="247"/>
      <c r="G754" s="243"/>
      <c r="H754" s="243"/>
      <c r="I754" s="243"/>
      <c r="J754" s="243"/>
      <c r="K754" s="243"/>
      <c r="L754" s="243"/>
      <c r="M754" s="243"/>
      <c r="N754" s="243"/>
      <c r="O754" s="243"/>
      <c r="P754" s="243"/>
      <c r="Q754" s="243"/>
      <c r="R754" s="243"/>
      <c r="S754" s="243"/>
      <c r="T754" s="243"/>
      <c r="U754" s="243"/>
      <c r="V754" s="243"/>
      <c r="W754" s="243"/>
      <c r="X754" s="243"/>
      <c r="Y754" s="244"/>
      <c r="Z754" s="243"/>
      <c r="AA754" s="245"/>
      <c r="AB754" s="246"/>
      <c r="AC754" s="246"/>
      <c r="AD754" s="246"/>
      <c r="AE754" s="131"/>
      <c r="AF754" s="244"/>
      <c r="AG754" s="243"/>
      <c r="AH754" s="243"/>
      <c r="AI754" s="243"/>
      <c r="AJ754" s="243"/>
      <c r="AK754" s="243"/>
      <c r="AL754" s="243"/>
      <c r="AM754" s="243"/>
      <c r="AN754" s="243"/>
      <c r="AO754" s="243"/>
      <c r="AP754" s="243"/>
      <c r="AQ754" s="243"/>
      <c r="AR754" s="243"/>
      <c r="AS754" s="243"/>
      <c r="AT754" s="243"/>
      <c r="AU754" s="243"/>
      <c r="AV754" s="243"/>
      <c r="AW754" s="243"/>
      <c r="AX754" s="243"/>
      <c r="AY754" s="243"/>
      <c r="AZ754" s="243"/>
    </row>
    <row r="755" spans="1:52">
      <c r="A755" s="216" t="str">
        <f>IF(D755="","",VLOOKUP(G755,códigosORL!$H:$J,3,FALSE))</f>
        <v/>
      </c>
      <c r="B755" s="243"/>
      <c r="C755" s="259"/>
      <c r="D755" s="243"/>
      <c r="E755" s="243"/>
      <c r="F755" s="247"/>
      <c r="G755" s="243"/>
      <c r="H755" s="243"/>
      <c r="I755" s="243"/>
      <c r="J755" s="243"/>
      <c r="K755" s="243"/>
      <c r="L755" s="243"/>
      <c r="M755" s="243"/>
      <c r="N755" s="243"/>
      <c r="O755" s="243"/>
      <c r="P755" s="243"/>
      <c r="Q755" s="243"/>
      <c r="R755" s="243"/>
      <c r="S755" s="243"/>
      <c r="T755" s="243"/>
      <c r="U755" s="243"/>
      <c r="V755" s="243"/>
      <c r="W755" s="243"/>
      <c r="X755" s="243"/>
      <c r="Y755" s="244"/>
      <c r="Z755" s="243"/>
      <c r="AA755" s="245"/>
      <c r="AB755" s="246"/>
      <c r="AC755" s="246"/>
      <c r="AD755" s="246"/>
      <c r="AE755" s="131"/>
      <c r="AF755" s="244"/>
      <c r="AG755" s="243"/>
      <c r="AH755" s="243"/>
      <c r="AI755" s="243"/>
      <c r="AJ755" s="243"/>
      <c r="AK755" s="243"/>
      <c r="AL755" s="243"/>
      <c r="AM755" s="243"/>
      <c r="AN755" s="243"/>
      <c r="AO755" s="243"/>
      <c r="AP755" s="243"/>
      <c r="AQ755" s="243"/>
      <c r="AR755" s="243"/>
      <c r="AS755" s="243"/>
      <c r="AT755" s="243"/>
      <c r="AU755" s="243"/>
      <c r="AV755" s="243"/>
      <c r="AW755" s="243"/>
      <c r="AX755" s="243"/>
      <c r="AY755" s="243"/>
      <c r="AZ755" s="243"/>
    </row>
    <row r="756" spans="1:52">
      <c r="A756" s="216" t="str">
        <f>IF(D756="","",VLOOKUP(G756,códigosORL!$H:$J,3,FALSE))</f>
        <v/>
      </c>
      <c r="B756" s="243"/>
      <c r="C756" s="259"/>
      <c r="D756" s="243"/>
      <c r="E756" s="243"/>
      <c r="F756" s="247"/>
      <c r="G756" s="243"/>
      <c r="H756" s="243"/>
      <c r="I756" s="243"/>
      <c r="J756" s="243"/>
      <c r="K756" s="243"/>
      <c r="L756" s="243"/>
      <c r="M756" s="243"/>
      <c r="N756" s="243"/>
      <c r="O756" s="243"/>
      <c r="P756" s="243"/>
      <c r="Q756" s="243"/>
      <c r="R756" s="243"/>
      <c r="S756" s="243"/>
      <c r="T756" s="243"/>
      <c r="U756" s="243"/>
      <c r="V756" s="243"/>
      <c r="W756" s="243"/>
      <c r="X756" s="243"/>
      <c r="Y756" s="244"/>
      <c r="Z756" s="243"/>
      <c r="AA756" s="245"/>
      <c r="AB756" s="246"/>
      <c r="AC756" s="246"/>
      <c r="AD756" s="246"/>
      <c r="AE756" s="131"/>
      <c r="AF756" s="244"/>
      <c r="AG756" s="243"/>
      <c r="AH756" s="243"/>
      <c r="AI756" s="243"/>
      <c r="AJ756" s="243"/>
      <c r="AK756" s="243"/>
      <c r="AL756" s="243"/>
      <c r="AM756" s="243"/>
      <c r="AN756" s="243"/>
      <c r="AO756" s="243"/>
      <c r="AP756" s="243"/>
      <c r="AQ756" s="243"/>
      <c r="AR756" s="243"/>
      <c r="AS756" s="243"/>
      <c r="AT756" s="243"/>
      <c r="AU756" s="243"/>
      <c r="AV756" s="243"/>
      <c r="AW756" s="243"/>
      <c r="AX756" s="243"/>
      <c r="AY756" s="243"/>
      <c r="AZ756" s="243"/>
    </row>
    <row r="757" spans="1:52">
      <c r="A757" s="216" t="str">
        <f>IF(D757="","",VLOOKUP(G757,códigosORL!$H:$J,3,FALSE))</f>
        <v/>
      </c>
      <c r="B757" s="243"/>
      <c r="C757" s="259"/>
      <c r="D757" s="243"/>
      <c r="E757" s="243"/>
      <c r="F757" s="247"/>
      <c r="G757" s="243"/>
      <c r="H757" s="243"/>
      <c r="I757" s="243"/>
      <c r="J757" s="243"/>
      <c r="K757" s="243"/>
      <c r="L757" s="243"/>
      <c r="M757" s="243"/>
      <c r="N757" s="243"/>
      <c r="O757" s="243"/>
      <c r="P757" s="243"/>
      <c r="Q757" s="243"/>
      <c r="R757" s="243"/>
      <c r="S757" s="243"/>
      <c r="T757" s="243"/>
      <c r="U757" s="243"/>
      <c r="V757" s="243"/>
      <c r="W757" s="243"/>
      <c r="X757" s="243"/>
      <c r="Y757" s="244"/>
      <c r="Z757" s="243"/>
      <c r="AA757" s="245"/>
      <c r="AB757" s="246"/>
      <c r="AC757" s="246"/>
      <c r="AD757" s="246"/>
      <c r="AE757" s="131"/>
      <c r="AF757" s="244"/>
      <c r="AG757" s="243"/>
      <c r="AH757" s="243"/>
      <c r="AI757" s="243"/>
      <c r="AJ757" s="243"/>
      <c r="AK757" s="243"/>
      <c r="AL757" s="243"/>
      <c r="AM757" s="243"/>
      <c r="AN757" s="243"/>
      <c r="AO757" s="243"/>
      <c r="AP757" s="243"/>
      <c r="AQ757" s="243"/>
      <c r="AR757" s="243"/>
      <c r="AS757" s="243"/>
      <c r="AT757" s="243"/>
      <c r="AU757" s="243"/>
      <c r="AV757" s="243"/>
      <c r="AW757" s="243"/>
      <c r="AX757" s="243"/>
      <c r="AY757" s="243"/>
      <c r="AZ757" s="243"/>
    </row>
    <row r="758" spans="1:52">
      <c r="A758" s="216" t="str">
        <f>IF(D758="","",VLOOKUP(G758,códigosORL!$H:$J,3,FALSE))</f>
        <v/>
      </c>
      <c r="B758" s="243"/>
      <c r="C758" s="259"/>
      <c r="D758" s="243"/>
      <c r="E758" s="243"/>
      <c r="F758" s="247"/>
      <c r="G758" s="243"/>
      <c r="H758" s="243"/>
      <c r="I758" s="243"/>
      <c r="J758" s="243"/>
      <c r="K758" s="243"/>
      <c r="L758" s="243"/>
      <c r="M758" s="243"/>
      <c r="N758" s="243"/>
      <c r="O758" s="243"/>
      <c r="P758" s="243"/>
      <c r="Q758" s="243"/>
      <c r="R758" s="243"/>
      <c r="S758" s="243"/>
      <c r="T758" s="243"/>
      <c r="U758" s="243"/>
      <c r="V758" s="243"/>
      <c r="W758" s="243"/>
      <c r="X758" s="243"/>
      <c r="Y758" s="244"/>
      <c r="Z758" s="243"/>
      <c r="AA758" s="245"/>
      <c r="AB758" s="246"/>
      <c r="AC758" s="246"/>
      <c r="AD758" s="246"/>
      <c r="AE758" s="131"/>
      <c r="AF758" s="244"/>
      <c r="AG758" s="243"/>
      <c r="AH758" s="243"/>
      <c r="AI758" s="243"/>
      <c r="AJ758" s="243"/>
      <c r="AK758" s="243"/>
      <c r="AL758" s="243"/>
      <c r="AM758" s="243"/>
      <c r="AN758" s="243"/>
      <c r="AO758" s="243"/>
      <c r="AP758" s="243"/>
      <c r="AQ758" s="243"/>
      <c r="AR758" s="243"/>
      <c r="AS758" s="243"/>
      <c r="AT758" s="243"/>
      <c r="AU758" s="243"/>
      <c r="AV758" s="243"/>
      <c r="AW758" s="243"/>
      <c r="AX758" s="243"/>
      <c r="AY758" s="243"/>
      <c r="AZ758" s="243"/>
    </row>
    <row r="759" spans="1:52">
      <c r="A759" s="216" t="str">
        <f>IF(D759="","",VLOOKUP(G759,códigosORL!$H:$J,3,FALSE))</f>
        <v/>
      </c>
      <c r="B759" s="243"/>
      <c r="C759" s="259"/>
      <c r="D759" s="243"/>
      <c r="E759" s="243"/>
      <c r="F759" s="247"/>
      <c r="G759" s="243"/>
      <c r="H759" s="243"/>
      <c r="I759" s="243"/>
      <c r="J759" s="243"/>
      <c r="K759" s="243"/>
      <c r="L759" s="243"/>
      <c r="M759" s="243"/>
      <c r="N759" s="243"/>
      <c r="O759" s="243"/>
      <c r="P759" s="243"/>
      <c r="Q759" s="243"/>
      <c r="R759" s="243"/>
      <c r="S759" s="243"/>
      <c r="T759" s="243"/>
      <c r="U759" s="243"/>
      <c r="V759" s="243"/>
      <c r="W759" s="243"/>
      <c r="X759" s="243"/>
      <c r="Y759" s="244"/>
      <c r="Z759" s="243"/>
      <c r="AA759" s="245"/>
      <c r="AB759" s="246"/>
      <c r="AC759" s="246"/>
      <c r="AD759" s="246"/>
      <c r="AE759" s="131"/>
      <c r="AF759" s="244"/>
      <c r="AG759" s="243"/>
      <c r="AH759" s="243"/>
      <c r="AI759" s="243"/>
      <c r="AJ759" s="243"/>
      <c r="AK759" s="243"/>
      <c r="AL759" s="243"/>
      <c r="AM759" s="243"/>
      <c r="AN759" s="243"/>
      <c r="AO759" s="243"/>
      <c r="AP759" s="243"/>
      <c r="AQ759" s="243"/>
      <c r="AR759" s="243"/>
      <c r="AS759" s="243"/>
      <c r="AT759" s="243"/>
      <c r="AU759" s="243"/>
      <c r="AV759" s="243"/>
      <c r="AW759" s="243"/>
      <c r="AX759" s="243"/>
      <c r="AY759" s="243"/>
      <c r="AZ759" s="243"/>
    </row>
    <row r="760" spans="1:52">
      <c r="A760" s="216" t="str">
        <f>IF(D760="","",VLOOKUP(G760,códigosORL!$H:$J,3,FALSE))</f>
        <v/>
      </c>
      <c r="B760" s="243"/>
      <c r="C760" s="259"/>
      <c r="D760" s="243"/>
      <c r="E760" s="243"/>
      <c r="F760" s="247"/>
      <c r="G760" s="243"/>
      <c r="H760" s="243"/>
      <c r="I760" s="243"/>
      <c r="J760" s="243"/>
      <c r="K760" s="243"/>
      <c r="L760" s="243"/>
      <c r="M760" s="243"/>
      <c r="N760" s="243"/>
      <c r="O760" s="243"/>
      <c r="P760" s="243"/>
      <c r="Q760" s="243"/>
      <c r="R760" s="243"/>
      <c r="S760" s="243"/>
      <c r="T760" s="243"/>
      <c r="U760" s="243"/>
      <c r="V760" s="243"/>
      <c r="W760" s="243"/>
      <c r="X760" s="243"/>
      <c r="Y760" s="244"/>
      <c r="Z760" s="243"/>
      <c r="AA760" s="245"/>
      <c r="AB760" s="246"/>
      <c r="AC760" s="246"/>
      <c r="AD760" s="246"/>
      <c r="AE760" s="131"/>
      <c r="AF760" s="244"/>
      <c r="AG760" s="243"/>
      <c r="AH760" s="243"/>
      <c r="AI760" s="243"/>
      <c r="AJ760" s="243"/>
      <c r="AK760" s="243"/>
      <c r="AL760" s="243"/>
      <c r="AM760" s="243"/>
      <c r="AN760" s="243"/>
      <c r="AO760" s="243"/>
      <c r="AP760" s="243"/>
      <c r="AQ760" s="243"/>
      <c r="AR760" s="243"/>
      <c r="AS760" s="243"/>
      <c r="AT760" s="243"/>
      <c r="AU760" s="243"/>
      <c r="AV760" s="243"/>
      <c r="AW760" s="243"/>
      <c r="AX760" s="243"/>
      <c r="AY760" s="243"/>
      <c r="AZ760" s="243"/>
    </row>
    <row r="761" spans="1:52">
      <c r="A761" s="216" t="str">
        <f>IF(D761="","",VLOOKUP(G761,códigosORL!$H:$J,3,FALSE))</f>
        <v/>
      </c>
      <c r="B761" s="243"/>
      <c r="C761" s="259"/>
      <c r="D761" s="243"/>
      <c r="E761" s="243"/>
      <c r="F761" s="247"/>
      <c r="G761" s="243"/>
      <c r="H761" s="243"/>
      <c r="I761" s="243"/>
      <c r="J761" s="243"/>
      <c r="K761" s="243"/>
      <c r="L761" s="243"/>
      <c r="M761" s="243"/>
      <c r="N761" s="243"/>
      <c r="O761" s="243"/>
      <c r="P761" s="243"/>
      <c r="Q761" s="243"/>
      <c r="R761" s="243"/>
      <c r="S761" s="243"/>
      <c r="T761" s="243"/>
      <c r="U761" s="243"/>
      <c r="V761" s="243"/>
      <c r="W761" s="243"/>
      <c r="X761" s="243"/>
      <c r="Y761" s="244"/>
      <c r="Z761" s="243"/>
      <c r="AA761" s="245"/>
      <c r="AB761" s="246"/>
      <c r="AC761" s="246"/>
      <c r="AD761" s="246"/>
      <c r="AE761" s="131"/>
      <c r="AF761" s="244"/>
      <c r="AG761" s="243"/>
      <c r="AH761" s="243"/>
      <c r="AI761" s="243"/>
      <c r="AJ761" s="243"/>
      <c r="AK761" s="243"/>
      <c r="AL761" s="243"/>
      <c r="AM761" s="243"/>
      <c r="AN761" s="243"/>
      <c r="AO761" s="243"/>
      <c r="AP761" s="243"/>
      <c r="AQ761" s="243"/>
      <c r="AR761" s="243"/>
      <c r="AS761" s="243"/>
      <c r="AT761" s="243"/>
      <c r="AU761" s="243"/>
      <c r="AV761" s="243"/>
      <c r="AW761" s="243"/>
      <c r="AX761" s="243"/>
      <c r="AY761" s="243"/>
      <c r="AZ761" s="243"/>
    </row>
    <row r="762" spans="1:52">
      <c r="A762" s="216" t="str">
        <f>IF(D762="","",VLOOKUP(G762,códigosORL!$H:$J,3,FALSE))</f>
        <v/>
      </c>
      <c r="B762" s="243"/>
      <c r="C762" s="259"/>
      <c r="D762" s="243"/>
      <c r="E762" s="243"/>
      <c r="F762" s="247"/>
      <c r="G762" s="243"/>
      <c r="H762" s="243"/>
      <c r="I762" s="243"/>
      <c r="J762" s="243"/>
      <c r="K762" s="243"/>
      <c r="L762" s="243"/>
      <c r="M762" s="243"/>
      <c r="N762" s="243"/>
      <c r="O762" s="243"/>
      <c r="P762" s="243"/>
      <c r="Q762" s="243"/>
      <c r="R762" s="243"/>
      <c r="S762" s="243"/>
      <c r="T762" s="243"/>
      <c r="U762" s="243"/>
      <c r="V762" s="243"/>
      <c r="W762" s="243"/>
      <c r="X762" s="243"/>
      <c r="Y762" s="244"/>
      <c r="Z762" s="243"/>
      <c r="AA762" s="245"/>
      <c r="AB762" s="246"/>
      <c r="AC762" s="246"/>
      <c r="AD762" s="246"/>
      <c r="AE762" s="131"/>
      <c r="AF762" s="244"/>
      <c r="AG762" s="243"/>
      <c r="AH762" s="243"/>
      <c r="AI762" s="243"/>
      <c r="AJ762" s="243"/>
      <c r="AK762" s="243"/>
      <c r="AL762" s="243"/>
      <c r="AM762" s="243"/>
      <c r="AN762" s="243"/>
      <c r="AO762" s="243"/>
      <c r="AP762" s="243"/>
      <c r="AQ762" s="243"/>
      <c r="AR762" s="243"/>
      <c r="AS762" s="243"/>
      <c r="AT762" s="243"/>
      <c r="AU762" s="243"/>
      <c r="AV762" s="243"/>
      <c r="AW762" s="243"/>
      <c r="AX762" s="243"/>
      <c r="AY762" s="243"/>
      <c r="AZ762" s="243"/>
    </row>
    <row r="763" spans="1:52">
      <c r="A763" s="216" t="str">
        <f>IF(D763="","",VLOOKUP(G763,códigosORL!$H:$J,3,FALSE))</f>
        <v/>
      </c>
      <c r="B763" s="243"/>
      <c r="C763" s="259"/>
      <c r="D763" s="243"/>
      <c r="E763" s="243"/>
      <c r="F763" s="247"/>
      <c r="G763" s="243"/>
      <c r="H763" s="243"/>
      <c r="I763" s="243"/>
      <c r="J763" s="243"/>
      <c r="K763" s="243"/>
      <c r="L763" s="243"/>
      <c r="M763" s="243"/>
      <c r="N763" s="243"/>
      <c r="O763" s="243"/>
      <c r="P763" s="243"/>
      <c r="Q763" s="243"/>
      <c r="R763" s="243"/>
      <c r="S763" s="243"/>
      <c r="T763" s="243"/>
      <c r="U763" s="243"/>
      <c r="V763" s="243"/>
      <c r="W763" s="243"/>
      <c r="X763" s="243"/>
      <c r="Y763" s="244"/>
      <c r="Z763" s="243"/>
      <c r="AA763" s="245"/>
      <c r="AB763" s="246"/>
      <c r="AC763" s="246"/>
      <c r="AD763" s="246"/>
      <c r="AE763" s="131"/>
      <c r="AF763" s="244"/>
      <c r="AG763" s="243"/>
      <c r="AH763" s="243"/>
      <c r="AI763" s="243"/>
      <c r="AJ763" s="243"/>
      <c r="AK763" s="243"/>
      <c r="AL763" s="243"/>
      <c r="AM763" s="243"/>
      <c r="AN763" s="243"/>
      <c r="AO763" s="243"/>
      <c r="AP763" s="243"/>
      <c r="AQ763" s="243"/>
      <c r="AR763" s="243"/>
      <c r="AS763" s="243"/>
      <c r="AT763" s="243"/>
      <c r="AU763" s="243"/>
      <c r="AV763" s="243"/>
      <c r="AW763" s="243"/>
      <c r="AX763" s="243"/>
      <c r="AY763" s="243"/>
      <c r="AZ763" s="243"/>
    </row>
    <row r="764" spans="1:52">
      <c r="A764" s="216" t="str">
        <f>IF(D764="","",VLOOKUP(G764,códigosORL!$H:$J,3,FALSE))</f>
        <v/>
      </c>
      <c r="B764" s="243"/>
      <c r="C764" s="259"/>
      <c r="D764" s="243"/>
      <c r="E764" s="243"/>
      <c r="F764" s="247"/>
      <c r="G764" s="243"/>
      <c r="H764" s="243"/>
      <c r="I764" s="243"/>
      <c r="J764" s="243"/>
      <c r="K764" s="243"/>
      <c r="L764" s="243"/>
      <c r="M764" s="243"/>
      <c r="N764" s="243"/>
      <c r="O764" s="243"/>
      <c r="P764" s="243"/>
      <c r="Q764" s="243"/>
      <c r="R764" s="243"/>
      <c r="S764" s="243"/>
      <c r="T764" s="243"/>
      <c r="U764" s="243"/>
      <c r="V764" s="243"/>
      <c r="W764" s="243"/>
      <c r="X764" s="243"/>
      <c r="Y764" s="244"/>
      <c r="Z764" s="243"/>
      <c r="AA764" s="245"/>
      <c r="AB764" s="246"/>
      <c r="AC764" s="246"/>
      <c r="AD764" s="246"/>
      <c r="AE764" s="131"/>
      <c r="AF764" s="244"/>
      <c r="AG764" s="243"/>
      <c r="AH764" s="243"/>
      <c r="AI764" s="243"/>
      <c r="AJ764" s="243"/>
      <c r="AK764" s="243"/>
      <c r="AL764" s="243"/>
      <c r="AM764" s="243"/>
      <c r="AN764" s="243"/>
      <c r="AO764" s="243"/>
      <c r="AP764" s="243"/>
      <c r="AQ764" s="243"/>
      <c r="AR764" s="243"/>
      <c r="AS764" s="243"/>
      <c r="AT764" s="243"/>
      <c r="AU764" s="243"/>
      <c r="AV764" s="243"/>
      <c r="AW764" s="243"/>
      <c r="AX764" s="243"/>
      <c r="AY764" s="243"/>
      <c r="AZ764" s="243"/>
    </row>
    <row r="765" spans="1:52">
      <c r="A765" s="216" t="str">
        <f>IF(D765="","",VLOOKUP(G765,códigosORL!$H:$J,3,FALSE))</f>
        <v/>
      </c>
      <c r="B765" s="243"/>
      <c r="C765" s="259"/>
      <c r="D765" s="243"/>
      <c r="E765" s="243"/>
      <c r="F765" s="247"/>
      <c r="G765" s="243"/>
      <c r="H765" s="243"/>
      <c r="I765" s="243"/>
      <c r="J765" s="243"/>
      <c r="K765" s="243"/>
      <c r="L765" s="243"/>
      <c r="M765" s="243"/>
      <c r="N765" s="243"/>
      <c r="O765" s="243"/>
      <c r="P765" s="243"/>
      <c r="Q765" s="243"/>
      <c r="R765" s="243"/>
      <c r="S765" s="243"/>
      <c r="T765" s="243"/>
      <c r="U765" s="243"/>
      <c r="V765" s="243"/>
      <c r="W765" s="243"/>
      <c r="X765" s="243"/>
      <c r="Y765" s="244"/>
      <c r="Z765" s="243"/>
      <c r="AA765" s="245"/>
      <c r="AB765" s="246"/>
      <c r="AC765" s="246"/>
      <c r="AD765" s="246"/>
      <c r="AE765" s="131"/>
      <c r="AF765" s="244"/>
      <c r="AG765" s="243"/>
      <c r="AH765" s="243"/>
      <c r="AI765" s="243"/>
      <c r="AJ765" s="243"/>
      <c r="AK765" s="243"/>
      <c r="AL765" s="243"/>
      <c r="AM765" s="243"/>
      <c r="AN765" s="243"/>
      <c r="AO765" s="243"/>
      <c r="AP765" s="243"/>
      <c r="AQ765" s="243"/>
      <c r="AR765" s="243"/>
      <c r="AS765" s="243"/>
      <c r="AT765" s="243"/>
      <c r="AU765" s="243"/>
      <c r="AV765" s="243"/>
      <c r="AW765" s="243"/>
      <c r="AX765" s="243"/>
      <c r="AY765" s="243"/>
      <c r="AZ765" s="243"/>
    </row>
    <row r="766" spans="1:52">
      <c r="A766" s="216" t="str">
        <f>IF(D766="","",VLOOKUP(G766,códigosORL!$H:$J,3,FALSE))</f>
        <v/>
      </c>
      <c r="B766" s="243"/>
      <c r="C766" s="259"/>
      <c r="D766" s="243"/>
      <c r="E766" s="243"/>
      <c r="F766" s="247"/>
      <c r="G766" s="243"/>
      <c r="H766" s="243"/>
      <c r="I766" s="243"/>
      <c r="J766" s="243"/>
      <c r="K766" s="243"/>
      <c r="L766" s="243"/>
      <c r="M766" s="243"/>
      <c r="N766" s="243"/>
      <c r="O766" s="243"/>
      <c r="P766" s="243"/>
      <c r="Q766" s="243"/>
      <c r="R766" s="243"/>
      <c r="S766" s="243"/>
      <c r="T766" s="243"/>
      <c r="U766" s="243"/>
      <c r="V766" s="243"/>
      <c r="W766" s="243"/>
      <c r="X766" s="243"/>
      <c r="Y766" s="244"/>
      <c r="Z766" s="243"/>
      <c r="AA766" s="245"/>
      <c r="AB766" s="246"/>
      <c r="AC766" s="246"/>
      <c r="AD766" s="246"/>
      <c r="AE766" s="131"/>
      <c r="AF766" s="244"/>
      <c r="AG766" s="243"/>
      <c r="AH766" s="243"/>
      <c r="AI766" s="243"/>
      <c r="AJ766" s="243"/>
      <c r="AK766" s="243"/>
      <c r="AL766" s="243"/>
      <c r="AM766" s="243"/>
      <c r="AN766" s="243"/>
      <c r="AO766" s="243"/>
      <c r="AP766" s="243"/>
      <c r="AQ766" s="243"/>
      <c r="AR766" s="243"/>
      <c r="AS766" s="243"/>
      <c r="AT766" s="243"/>
      <c r="AU766" s="243"/>
      <c r="AV766" s="243"/>
      <c r="AW766" s="243"/>
      <c r="AX766" s="243"/>
      <c r="AY766" s="243"/>
      <c r="AZ766" s="243"/>
    </row>
    <row r="767" spans="1:52">
      <c r="A767" s="216" t="str">
        <f>IF(D767="","",VLOOKUP(G767,códigosORL!$H:$J,3,FALSE))</f>
        <v/>
      </c>
      <c r="B767" s="243"/>
      <c r="C767" s="259"/>
      <c r="D767" s="243"/>
      <c r="E767" s="243"/>
      <c r="F767" s="247"/>
      <c r="G767" s="243"/>
      <c r="H767" s="243"/>
      <c r="I767" s="243"/>
      <c r="J767" s="243"/>
      <c r="K767" s="243"/>
      <c r="L767" s="243"/>
      <c r="M767" s="243"/>
      <c r="N767" s="243"/>
      <c r="O767" s="243"/>
      <c r="P767" s="243"/>
      <c r="Q767" s="243"/>
      <c r="R767" s="243"/>
      <c r="S767" s="243"/>
      <c r="T767" s="243"/>
      <c r="U767" s="243"/>
      <c r="V767" s="243"/>
      <c r="W767" s="243"/>
      <c r="X767" s="243"/>
      <c r="Y767" s="244"/>
      <c r="Z767" s="243"/>
      <c r="AA767" s="245"/>
      <c r="AB767" s="246"/>
      <c r="AC767" s="246"/>
      <c r="AD767" s="246"/>
      <c r="AE767" s="131"/>
      <c r="AF767" s="244"/>
      <c r="AG767" s="243"/>
      <c r="AH767" s="243"/>
      <c r="AI767" s="243"/>
      <c r="AJ767" s="243"/>
      <c r="AK767" s="243"/>
      <c r="AL767" s="243"/>
      <c r="AM767" s="243"/>
      <c r="AN767" s="243"/>
      <c r="AO767" s="243"/>
      <c r="AP767" s="243"/>
      <c r="AQ767" s="243"/>
      <c r="AR767" s="243"/>
      <c r="AS767" s="243"/>
      <c r="AT767" s="243"/>
      <c r="AU767" s="243"/>
      <c r="AV767" s="243"/>
      <c r="AW767" s="243"/>
      <c r="AX767" s="243"/>
      <c r="AY767" s="243"/>
      <c r="AZ767" s="243"/>
    </row>
    <row r="768" spans="1:52">
      <c r="A768" s="216" t="str">
        <f>IF(D768="","",VLOOKUP(G768,códigosORL!$H:$J,3,FALSE))</f>
        <v/>
      </c>
      <c r="B768" s="243"/>
      <c r="C768" s="259"/>
      <c r="D768" s="243"/>
      <c r="E768" s="243"/>
      <c r="F768" s="247"/>
      <c r="G768" s="243"/>
      <c r="H768" s="243"/>
      <c r="I768" s="243"/>
      <c r="J768" s="243"/>
      <c r="K768" s="243"/>
      <c r="L768" s="243"/>
      <c r="M768" s="243"/>
      <c r="N768" s="243"/>
      <c r="O768" s="243"/>
      <c r="P768" s="243"/>
      <c r="Q768" s="243"/>
      <c r="R768" s="243"/>
      <c r="S768" s="243"/>
      <c r="T768" s="243"/>
      <c r="U768" s="243"/>
      <c r="V768" s="243"/>
      <c r="W768" s="243"/>
      <c r="X768" s="243"/>
      <c r="Y768" s="244"/>
      <c r="Z768" s="243"/>
      <c r="AA768" s="245"/>
      <c r="AB768" s="246"/>
      <c r="AC768" s="246"/>
      <c r="AD768" s="246"/>
      <c r="AE768" s="131"/>
      <c r="AF768" s="244"/>
      <c r="AG768" s="243"/>
      <c r="AH768" s="243"/>
      <c r="AI768" s="243"/>
      <c r="AJ768" s="243"/>
      <c r="AK768" s="243"/>
      <c r="AL768" s="243"/>
      <c r="AM768" s="243"/>
      <c r="AN768" s="243"/>
      <c r="AO768" s="243"/>
      <c r="AP768" s="243"/>
      <c r="AQ768" s="243"/>
      <c r="AR768" s="243"/>
      <c r="AS768" s="243"/>
      <c r="AT768" s="243"/>
      <c r="AU768" s="243"/>
      <c r="AV768" s="243"/>
      <c r="AW768" s="243"/>
      <c r="AX768" s="243"/>
      <c r="AY768" s="243"/>
      <c r="AZ768" s="243"/>
    </row>
    <row r="769" spans="1:52">
      <c r="A769" s="216" t="str">
        <f>IF(D769="","",VLOOKUP(G769,códigosORL!$H:$J,3,FALSE))</f>
        <v/>
      </c>
      <c r="B769" s="243"/>
      <c r="C769" s="259"/>
      <c r="D769" s="243"/>
      <c r="E769" s="243"/>
      <c r="F769" s="247"/>
      <c r="G769" s="243"/>
      <c r="H769" s="243"/>
      <c r="I769" s="243"/>
      <c r="J769" s="243"/>
      <c r="K769" s="243"/>
      <c r="L769" s="243"/>
      <c r="M769" s="243"/>
      <c r="N769" s="243"/>
      <c r="O769" s="243"/>
      <c r="P769" s="243"/>
      <c r="Q769" s="243"/>
      <c r="R769" s="243"/>
      <c r="S769" s="243"/>
      <c r="T769" s="243"/>
      <c r="U769" s="243"/>
      <c r="V769" s="243"/>
      <c r="W769" s="243"/>
      <c r="X769" s="243"/>
      <c r="Y769" s="244"/>
      <c r="Z769" s="243"/>
      <c r="AA769" s="245"/>
      <c r="AB769" s="246"/>
      <c r="AC769" s="246"/>
      <c r="AD769" s="246"/>
      <c r="AE769" s="131"/>
      <c r="AF769" s="244"/>
      <c r="AG769" s="243"/>
      <c r="AH769" s="243"/>
      <c r="AI769" s="243"/>
      <c r="AJ769" s="243"/>
      <c r="AK769" s="243"/>
      <c r="AL769" s="243"/>
      <c r="AM769" s="243"/>
      <c r="AN769" s="243"/>
      <c r="AO769" s="243"/>
      <c r="AP769" s="243"/>
      <c r="AQ769" s="243"/>
      <c r="AR769" s="243"/>
      <c r="AS769" s="243"/>
      <c r="AT769" s="243"/>
      <c r="AU769" s="243"/>
      <c r="AV769" s="243"/>
      <c r="AW769" s="243"/>
      <c r="AX769" s="243"/>
      <c r="AY769" s="243"/>
      <c r="AZ769" s="243"/>
    </row>
    <row r="770" spans="1:52">
      <c r="A770" s="216" t="str">
        <f>IF(D770="","",VLOOKUP(G770,códigosORL!$H:$J,3,FALSE))</f>
        <v/>
      </c>
      <c r="B770" s="243"/>
      <c r="C770" s="259"/>
      <c r="D770" s="243"/>
      <c r="E770" s="243"/>
      <c r="F770" s="247"/>
      <c r="G770" s="243"/>
      <c r="H770" s="243"/>
      <c r="I770" s="243"/>
      <c r="J770" s="243"/>
      <c r="K770" s="243"/>
      <c r="L770" s="243"/>
      <c r="M770" s="243"/>
      <c r="N770" s="243"/>
      <c r="O770" s="243"/>
      <c r="P770" s="243"/>
      <c r="Q770" s="243"/>
      <c r="R770" s="243"/>
      <c r="S770" s="243"/>
      <c r="T770" s="243"/>
      <c r="U770" s="243"/>
      <c r="V770" s="243"/>
      <c r="W770" s="243"/>
      <c r="X770" s="243"/>
      <c r="Y770" s="244"/>
      <c r="Z770" s="243"/>
      <c r="AA770" s="245"/>
      <c r="AB770" s="246"/>
      <c r="AC770" s="246"/>
      <c r="AD770" s="246"/>
      <c r="AE770" s="131"/>
      <c r="AF770" s="244"/>
      <c r="AG770" s="243"/>
      <c r="AH770" s="243"/>
      <c r="AI770" s="243"/>
      <c r="AJ770" s="243"/>
      <c r="AK770" s="243"/>
      <c r="AL770" s="243"/>
      <c r="AM770" s="243"/>
      <c r="AN770" s="243"/>
      <c r="AO770" s="243"/>
      <c r="AP770" s="243"/>
      <c r="AQ770" s="243"/>
      <c r="AR770" s="243"/>
      <c r="AS770" s="243"/>
      <c r="AT770" s="243"/>
      <c r="AU770" s="243"/>
      <c r="AV770" s="243"/>
      <c r="AW770" s="243"/>
      <c r="AX770" s="243"/>
      <c r="AY770" s="243"/>
      <c r="AZ770" s="243"/>
    </row>
    <row r="771" spans="1:52">
      <c r="A771" s="216" t="str">
        <f>IF(D771="","",VLOOKUP(G771,códigosORL!$H:$J,3,FALSE))</f>
        <v/>
      </c>
      <c r="B771" s="243"/>
      <c r="C771" s="259"/>
      <c r="D771" s="243"/>
      <c r="E771" s="243"/>
      <c r="F771" s="247"/>
      <c r="G771" s="243"/>
      <c r="H771" s="243"/>
      <c r="I771" s="243"/>
      <c r="J771" s="243"/>
      <c r="K771" s="243"/>
      <c r="L771" s="243"/>
      <c r="M771" s="243"/>
      <c r="N771" s="243"/>
      <c r="O771" s="243"/>
      <c r="P771" s="243"/>
      <c r="Q771" s="243"/>
      <c r="R771" s="243"/>
      <c r="S771" s="243"/>
      <c r="T771" s="243"/>
      <c r="U771" s="243"/>
      <c r="V771" s="243"/>
      <c r="W771" s="243"/>
      <c r="X771" s="243"/>
      <c r="Y771" s="244"/>
      <c r="Z771" s="243"/>
      <c r="AA771" s="245"/>
      <c r="AB771" s="246"/>
      <c r="AC771" s="246"/>
      <c r="AD771" s="246"/>
      <c r="AE771" s="131"/>
      <c r="AF771" s="244"/>
      <c r="AG771" s="243"/>
      <c r="AH771" s="243"/>
      <c r="AI771" s="243"/>
      <c r="AJ771" s="243"/>
      <c r="AK771" s="243"/>
      <c r="AL771" s="243"/>
      <c r="AM771" s="243"/>
      <c r="AN771" s="243"/>
      <c r="AO771" s="243"/>
      <c r="AP771" s="243"/>
      <c r="AQ771" s="243"/>
      <c r="AR771" s="243"/>
      <c r="AS771" s="243"/>
      <c r="AT771" s="243"/>
      <c r="AU771" s="243"/>
      <c r="AV771" s="243"/>
      <c r="AW771" s="243"/>
      <c r="AX771" s="243"/>
      <c r="AY771" s="243"/>
      <c r="AZ771" s="243"/>
    </row>
    <row r="772" spans="1:52">
      <c r="A772" s="216" t="str">
        <f>IF(D772="","",VLOOKUP(G772,códigosORL!$H:$J,3,FALSE))</f>
        <v/>
      </c>
      <c r="B772" s="243"/>
      <c r="C772" s="259"/>
      <c r="D772" s="243"/>
      <c r="E772" s="243"/>
      <c r="F772" s="247"/>
      <c r="G772" s="243"/>
      <c r="H772" s="243"/>
      <c r="I772" s="243"/>
      <c r="J772" s="243"/>
      <c r="K772" s="243"/>
      <c r="L772" s="243"/>
      <c r="M772" s="243"/>
      <c r="N772" s="243"/>
      <c r="O772" s="243"/>
      <c r="P772" s="243"/>
      <c r="Q772" s="243"/>
      <c r="R772" s="243"/>
      <c r="S772" s="243"/>
      <c r="T772" s="243"/>
      <c r="U772" s="243"/>
      <c r="V772" s="243"/>
      <c r="W772" s="243"/>
      <c r="X772" s="243"/>
      <c r="Y772" s="244"/>
      <c r="Z772" s="243"/>
      <c r="AA772" s="245"/>
      <c r="AB772" s="246"/>
      <c r="AC772" s="246"/>
      <c r="AD772" s="246"/>
      <c r="AE772" s="131"/>
      <c r="AF772" s="244"/>
      <c r="AG772" s="243"/>
      <c r="AH772" s="243"/>
      <c r="AI772" s="243"/>
      <c r="AJ772" s="243"/>
      <c r="AK772" s="243"/>
      <c r="AL772" s="243"/>
      <c r="AM772" s="243"/>
      <c r="AN772" s="243"/>
      <c r="AO772" s="243"/>
      <c r="AP772" s="243"/>
      <c r="AQ772" s="243"/>
      <c r="AR772" s="243"/>
      <c r="AS772" s="243"/>
      <c r="AT772" s="243"/>
      <c r="AU772" s="243"/>
      <c r="AV772" s="243"/>
      <c r="AW772" s="243"/>
      <c r="AX772" s="243"/>
      <c r="AY772" s="243"/>
      <c r="AZ772" s="243"/>
    </row>
    <row r="773" spans="1:52">
      <c r="A773" s="216" t="str">
        <f>IF(D773="","",VLOOKUP(G773,códigosORL!$H:$J,3,FALSE))</f>
        <v/>
      </c>
      <c r="B773" s="243"/>
      <c r="C773" s="259"/>
      <c r="D773" s="243"/>
      <c r="E773" s="243"/>
      <c r="F773" s="247"/>
      <c r="G773" s="243"/>
      <c r="H773" s="243"/>
      <c r="I773" s="243"/>
      <c r="J773" s="243"/>
      <c r="K773" s="243"/>
      <c r="L773" s="243"/>
      <c r="M773" s="243"/>
      <c r="N773" s="243"/>
      <c r="O773" s="243"/>
      <c r="P773" s="243"/>
      <c r="Q773" s="243"/>
      <c r="R773" s="243"/>
      <c r="S773" s="243"/>
      <c r="T773" s="243"/>
      <c r="U773" s="243"/>
      <c r="V773" s="243"/>
      <c r="W773" s="243"/>
      <c r="X773" s="243"/>
      <c r="Y773" s="244"/>
      <c r="Z773" s="243"/>
      <c r="AA773" s="245"/>
      <c r="AB773" s="246"/>
      <c r="AC773" s="246"/>
      <c r="AD773" s="246"/>
      <c r="AE773" s="131"/>
      <c r="AF773" s="244"/>
      <c r="AG773" s="243"/>
      <c r="AH773" s="243"/>
      <c r="AI773" s="243"/>
      <c r="AJ773" s="243"/>
      <c r="AK773" s="243"/>
      <c r="AL773" s="243"/>
      <c r="AM773" s="243"/>
      <c r="AN773" s="243"/>
      <c r="AO773" s="243"/>
      <c r="AP773" s="243"/>
      <c r="AQ773" s="243"/>
      <c r="AR773" s="243"/>
      <c r="AS773" s="243"/>
      <c r="AT773" s="243"/>
      <c r="AU773" s="243"/>
      <c r="AV773" s="243"/>
      <c r="AW773" s="243"/>
      <c r="AX773" s="243"/>
      <c r="AY773" s="243"/>
      <c r="AZ773" s="243"/>
    </row>
    <row r="774" spans="1:52">
      <c r="A774" s="216" t="str">
        <f>IF(D774="","",VLOOKUP(G774,códigosORL!$H:$J,3,FALSE))</f>
        <v/>
      </c>
      <c r="B774" s="243"/>
      <c r="C774" s="259"/>
      <c r="D774" s="243"/>
      <c r="E774" s="243"/>
      <c r="F774" s="247"/>
      <c r="G774" s="243"/>
      <c r="H774" s="243"/>
      <c r="I774" s="243"/>
      <c r="J774" s="243"/>
      <c r="K774" s="243"/>
      <c r="L774" s="243"/>
      <c r="M774" s="243"/>
      <c r="N774" s="243"/>
      <c r="O774" s="243"/>
      <c r="P774" s="243"/>
      <c r="Q774" s="243"/>
      <c r="R774" s="243"/>
      <c r="S774" s="243"/>
      <c r="T774" s="243"/>
      <c r="U774" s="243"/>
      <c r="V774" s="243"/>
      <c r="W774" s="243"/>
      <c r="X774" s="243"/>
      <c r="Y774" s="244"/>
      <c r="Z774" s="243"/>
      <c r="AA774" s="245"/>
      <c r="AB774" s="246"/>
      <c r="AC774" s="246"/>
      <c r="AD774" s="246"/>
      <c r="AE774" s="131"/>
      <c r="AF774" s="244"/>
      <c r="AG774" s="243"/>
      <c r="AH774" s="243"/>
      <c r="AI774" s="243"/>
      <c r="AJ774" s="243"/>
      <c r="AK774" s="243"/>
      <c r="AL774" s="243"/>
      <c r="AM774" s="243"/>
      <c r="AN774" s="243"/>
      <c r="AO774" s="243"/>
      <c r="AP774" s="243"/>
      <c r="AQ774" s="243"/>
      <c r="AR774" s="243"/>
      <c r="AS774" s="243"/>
      <c r="AT774" s="243"/>
      <c r="AU774" s="243"/>
      <c r="AV774" s="243"/>
      <c r="AW774" s="243"/>
      <c r="AX774" s="243"/>
      <c r="AY774" s="243"/>
      <c r="AZ774" s="243"/>
    </row>
    <row r="775" spans="1:52">
      <c r="A775" s="216" t="str">
        <f>IF(D775="","",VLOOKUP(G775,códigosORL!$H:$J,3,FALSE))</f>
        <v/>
      </c>
      <c r="B775" s="243"/>
      <c r="C775" s="259"/>
      <c r="D775" s="243"/>
      <c r="E775" s="243"/>
      <c r="F775" s="247"/>
      <c r="G775" s="243"/>
      <c r="H775" s="243"/>
      <c r="I775" s="243"/>
      <c r="J775" s="243"/>
      <c r="K775" s="243"/>
      <c r="L775" s="243"/>
      <c r="M775" s="243"/>
      <c r="N775" s="243"/>
      <c r="O775" s="243"/>
      <c r="P775" s="243"/>
      <c r="Q775" s="243"/>
      <c r="R775" s="243"/>
      <c r="S775" s="243"/>
      <c r="T775" s="243"/>
      <c r="U775" s="243"/>
      <c r="V775" s="243"/>
      <c r="W775" s="243"/>
      <c r="X775" s="243"/>
      <c r="Y775" s="244"/>
      <c r="Z775" s="243"/>
      <c r="AA775" s="245"/>
      <c r="AB775" s="246"/>
      <c r="AC775" s="246"/>
      <c r="AD775" s="246"/>
      <c r="AE775" s="131"/>
      <c r="AF775" s="244"/>
      <c r="AG775" s="243"/>
      <c r="AH775" s="243"/>
      <c r="AI775" s="243"/>
      <c r="AJ775" s="243"/>
      <c r="AK775" s="243"/>
      <c r="AL775" s="243"/>
      <c r="AM775" s="243"/>
      <c r="AN775" s="243"/>
      <c r="AO775" s="243"/>
      <c r="AP775" s="243"/>
      <c r="AQ775" s="243"/>
      <c r="AR775" s="243"/>
      <c r="AS775" s="243"/>
      <c r="AT775" s="243"/>
      <c r="AU775" s="243"/>
      <c r="AV775" s="243"/>
      <c r="AW775" s="243"/>
      <c r="AX775" s="243"/>
      <c r="AY775" s="243"/>
      <c r="AZ775" s="243"/>
    </row>
    <row r="776" spans="1:52">
      <c r="A776" s="216" t="str">
        <f>IF(D776="","",VLOOKUP(G776,códigosORL!$H:$J,3,FALSE))</f>
        <v/>
      </c>
      <c r="B776" s="243"/>
      <c r="C776" s="259"/>
      <c r="D776" s="243"/>
      <c r="E776" s="243"/>
      <c r="F776" s="247"/>
      <c r="G776" s="243"/>
      <c r="H776" s="243"/>
      <c r="I776" s="243"/>
      <c r="J776" s="243"/>
      <c r="K776" s="243"/>
      <c r="L776" s="243"/>
      <c r="M776" s="243"/>
      <c r="N776" s="243"/>
      <c r="O776" s="243"/>
      <c r="P776" s="243"/>
      <c r="Q776" s="243"/>
      <c r="R776" s="243"/>
      <c r="S776" s="243"/>
      <c r="T776" s="243"/>
      <c r="U776" s="243"/>
      <c r="V776" s="243"/>
      <c r="W776" s="243"/>
      <c r="X776" s="243"/>
      <c r="Y776" s="244"/>
      <c r="Z776" s="243"/>
      <c r="AA776" s="245"/>
      <c r="AB776" s="246"/>
      <c r="AC776" s="246"/>
      <c r="AD776" s="246"/>
      <c r="AE776" s="131"/>
      <c r="AF776" s="244"/>
      <c r="AG776" s="243"/>
      <c r="AH776" s="243"/>
      <c r="AI776" s="243"/>
      <c r="AJ776" s="243"/>
      <c r="AK776" s="243"/>
      <c r="AL776" s="243"/>
      <c r="AM776" s="243"/>
      <c r="AN776" s="243"/>
      <c r="AO776" s="243"/>
      <c r="AP776" s="243"/>
      <c r="AQ776" s="243"/>
      <c r="AR776" s="243"/>
      <c r="AS776" s="243"/>
      <c r="AT776" s="243"/>
      <c r="AU776" s="243"/>
      <c r="AV776" s="243"/>
      <c r="AW776" s="243"/>
      <c r="AX776" s="243"/>
      <c r="AY776" s="243"/>
      <c r="AZ776" s="243"/>
    </row>
    <row r="777" spans="1:52">
      <c r="A777" s="216" t="str">
        <f>IF(D777="","",VLOOKUP(G777,códigosORL!$H:$J,3,FALSE))</f>
        <v/>
      </c>
      <c r="B777" s="243"/>
      <c r="C777" s="259"/>
      <c r="D777" s="243"/>
      <c r="E777" s="243"/>
      <c r="F777" s="247"/>
      <c r="G777" s="243"/>
      <c r="H777" s="243"/>
      <c r="I777" s="243"/>
      <c r="J777" s="243"/>
      <c r="K777" s="243"/>
      <c r="L777" s="243"/>
      <c r="M777" s="243"/>
      <c r="N777" s="243"/>
      <c r="O777" s="243"/>
      <c r="P777" s="243"/>
      <c r="Q777" s="243"/>
      <c r="R777" s="243"/>
      <c r="S777" s="243"/>
      <c r="T777" s="243"/>
      <c r="U777" s="243"/>
      <c r="V777" s="243"/>
      <c r="W777" s="243"/>
      <c r="X777" s="243"/>
      <c r="Y777" s="244"/>
      <c r="Z777" s="243"/>
      <c r="AA777" s="245"/>
      <c r="AB777" s="246"/>
      <c r="AC777" s="246"/>
      <c r="AD777" s="246"/>
      <c r="AE777" s="131"/>
      <c r="AF777" s="244"/>
      <c r="AG777" s="243"/>
      <c r="AH777" s="243"/>
      <c r="AI777" s="243"/>
      <c r="AJ777" s="243"/>
      <c r="AK777" s="243"/>
      <c r="AL777" s="243"/>
      <c r="AM777" s="243"/>
      <c r="AN777" s="243"/>
      <c r="AO777" s="243"/>
      <c r="AP777" s="243"/>
      <c r="AQ777" s="243"/>
      <c r="AR777" s="243"/>
      <c r="AS777" s="243"/>
      <c r="AT777" s="243"/>
      <c r="AU777" s="243"/>
      <c r="AV777" s="243"/>
      <c r="AW777" s="243"/>
      <c r="AX777" s="243"/>
      <c r="AY777" s="243"/>
      <c r="AZ777" s="243"/>
    </row>
    <row r="778" spans="1:52">
      <c r="A778" s="216" t="str">
        <f>IF(D778="","",VLOOKUP(G778,códigosORL!$H:$J,3,FALSE))</f>
        <v/>
      </c>
      <c r="B778" s="243"/>
      <c r="C778" s="259"/>
      <c r="D778" s="243"/>
      <c r="E778" s="243"/>
      <c r="F778" s="247"/>
      <c r="G778" s="243"/>
      <c r="H778" s="243"/>
      <c r="I778" s="243"/>
      <c r="J778" s="243"/>
      <c r="K778" s="243"/>
      <c r="L778" s="243"/>
      <c r="M778" s="243"/>
      <c r="N778" s="243"/>
      <c r="O778" s="243"/>
      <c r="P778" s="243"/>
      <c r="Q778" s="243"/>
      <c r="R778" s="243"/>
      <c r="S778" s="243"/>
      <c r="T778" s="243"/>
      <c r="U778" s="243"/>
      <c r="V778" s="243"/>
      <c r="W778" s="243"/>
      <c r="X778" s="243"/>
      <c r="Y778" s="244"/>
      <c r="Z778" s="243"/>
      <c r="AA778" s="245"/>
      <c r="AB778" s="246"/>
      <c r="AC778" s="246"/>
      <c r="AD778" s="246"/>
      <c r="AE778" s="131"/>
      <c r="AF778" s="244"/>
      <c r="AG778" s="243"/>
      <c r="AH778" s="243"/>
      <c r="AI778" s="243"/>
      <c r="AJ778" s="243"/>
      <c r="AK778" s="243"/>
      <c r="AL778" s="243"/>
      <c r="AM778" s="243"/>
      <c r="AN778" s="243"/>
      <c r="AO778" s="243"/>
      <c r="AP778" s="243"/>
      <c r="AQ778" s="243"/>
      <c r="AR778" s="243"/>
      <c r="AS778" s="243"/>
      <c r="AT778" s="243"/>
      <c r="AU778" s="243"/>
      <c r="AV778" s="243"/>
      <c r="AW778" s="243"/>
      <c r="AX778" s="243"/>
      <c r="AY778" s="243"/>
      <c r="AZ778" s="243"/>
    </row>
    <row r="779" spans="1:52">
      <c r="A779" s="216" t="str">
        <f>IF(D779="","",VLOOKUP(G779,códigosORL!$H:$J,3,FALSE))</f>
        <v/>
      </c>
      <c r="B779" s="243"/>
      <c r="C779" s="259"/>
      <c r="D779" s="243"/>
      <c r="E779" s="243"/>
      <c r="F779" s="247"/>
      <c r="G779" s="243"/>
      <c r="H779" s="243"/>
      <c r="I779" s="243"/>
      <c r="J779" s="243"/>
      <c r="K779" s="243"/>
      <c r="L779" s="243"/>
      <c r="M779" s="243"/>
      <c r="N779" s="243"/>
      <c r="O779" s="243"/>
      <c r="P779" s="243"/>
      <c r="Q779" s="243"/>
      <c r="R779" s="243"/>
      <c r="S779" s="243"/>
      <c r="T779" s="243"/>
      <c r="U779" s="243"/>
      <c r="V779" s="243"/>
      <c r="W779" s="243"/>
      <c r="X779" s="243"/>
      <c r="Y779" s="244"/>
      <c r="Z779" s="243"/>
      <c r="AA779" s="245"/>
      <c r="AB779" s="246"/>
      <c r="AC779" s="246"/>
      <c r="AD779" s="246"/>
      <c r="AE779" s="131"/>
      <c r="AF779" s="244"/>
      <c r="AG779" s="243"/>
      <c r="AH779" s="243"/>
      <c r="AI779" s="243"/>
      <c r="AJ779" s="243"/>
      <c r="AK779" s="243"/>
      <c r="AL779" s="243"/>
      <c r="AM779" s="243"/>
      <c r="AN779" s="243"/>
      <c r="AO779" s="243"/>
      <c r="AP779" s="243"/>
      <c r="AQ779" s="243"/>
      <c r="AR779" s="243"/>
      <c r="AS779" s="243"/>
      <c r="AT779" s="243"/>
      <c r="AU779" s="243"/>
      <c r="AV779" s="243"/>
      <c r="AW779" s="243"/>
      <c r="AX779" s="243"/>
      <c r="AY779" s="243"/>
      <c r="AZ779" s="243"/>
    </row>
    <row r="780" spans="1:52">
      <c r="A780" s="216" t="str">
        <f>IF(D780="","",VLOOKUP(G780,códigosORL!$H:$J,3,FALSE))</f>
        <v/>
      </c>
      <c r="B780" s="243"/>
      <c r="C780" s="259"/>
      <c r="D780" s="243"/>
      <c r="E780" s="243"/>
      <c r="F780" s="247"/>
      <c r="G780" s="243"/>
      <c r="H780" s="243"/>
      <c r="I780" s="243"/>
      <c r="J780" s="243"/>
      <c r="K780" s="243"/>
      <c r="L780" s="243"/>
      <c r="M780" s="243"/>
      <c r="N780" s="243"/>
      <c r="O780" s="243"/>
      <c r="P780" s="243"/>
      <c r="Q780" s="243"/>
      <c r="R780" s="243"/>
      <c r="S780" s="243"/>
      <c r="T780" s="243"/>
      <c r="U780" s="243"/>
      <c r="V780" s="243"/>
      <c r="W780" s="243"/>
      <c r="X780" s="243"/>
      <c r="Y780" s="244"/>
      <c r="Z780" s="243"/>
      <c r="AA780" s="245"/>
      <c r="AB780" s="246"/>
      <c r="AC780" s="246"/>
      <c r="AD780" s="246"/>
      <c r="AE780" s="131"/>
      <c r="AF780" s="244"/>
      <c r="AG780" s="243"/>
      <c r="AH780" s="243"/>
      <c r="AI780" s="243"/>
      <c r="AJ780" s="243"/>
      <c r="AK780" s="243"/>
      <c r="AL780" s="243"/>
      <c r="AM780" s="243"/>
      <c r="AN780" s="243"/>
      <c r="AO780" s="243"/>
      <c r="AP780" s="243"/>
      <c r="AQ780" s="243"/>
      <c r="AR780" s="243"/>
      <c r="AS780" s="243"/>
      <c r="AT780" s="243"/>
      <c r="AU780" s="243"/>
      <c r="AV780" s="243"/>
      <c r="AW780" s="243"/>
      <c r="AX780" s="243"/>
      <c r="AY780" s="243"/>
      <c r="AZ780" s="243"/>
    </row>
    <row r="781" spans="1:52">
      <c r="A781" s="216" t="str">
        <f>IF(D781="","",VLOOKUP(G781,códigosORL!$H:$J,3,FALSE))</f>
        <v/>
      </c>
      <c r="B781" s="243"/>
      <c r="C781" s="259"/>
      <c r="D781" s="243"/>
      <c r="E781" s="243"/>
      <c r="F781" s="247"/>
      <c r="G781" s="243"/>
      <c r="H781" s="243"/>
      <c r="I781" s="243"/>
      <c r="J781" s="243"/>
      <c r="K781" s="243"/>
      <c r="L781" s="243"/>
      <c r="M781" s="243"/>
      <c r="N781" s="243"/>
      <c r="O781" s="243"/>
      <c r="P781" s="243"/>
      <c r="Q781" s="243"/>
      <c r="R781" s="243"/>
      <c r="S781" s="243"/>
      <c r="T781" s="243"/>
      <c r="U781" s="243"/>
      <c r="V781" s="243"/>
      <c r="W781" s="243"/>
      <c r="X781" s="243"/>
      <c r="Y781" s="244"/>
      <c r="Z781" s="243"/>
      <c r="AA781" s="245"/>
      <c r="AB781" s="246"/>
      <c r="AC781" s="246"/>
      <c r="AD781" s="246"/>
      <c r="AE781" s="131"/>
      <c r="AF781" s="244"/>
      <c r="AG781" s="243"/>
      <c r="AH781" s="243"/>
      <c r="AI781" s="243"/>
      <c r="AJ781" s="243"/>
      <c r="AK781" s="243"/>
      <c r="AL781" s="243"/>
      <c r="AM781" s="243"/>
      <c r="AN781" s="243"/>
      <c r="AO781" s="243"/>
      <c r="AP781" s="243"/>
      <c r="AQ781" s="243"/>
      <c r="AR781" s="243"/>
      <c r="AS781" s="243"/>
      <c r="AT781" s="243"/>
      <c r="AU781" s="243"/>
      <c r="AV781" s="243"/>
      <c r="AW781" s="243"/>
      <c r="AX781" s="243"/>
      <c r="AY781" s="243"/>
      <c r="AZ781" s="243"/>
    </row>
    <row r="782" spans="1:52">
      <c r="A782" s="216" t="str">
        <f>IF(D782="","",VLOOKUP(G782,códigosORL!$H:$J,3,FALSE))</f>
        <v/>
      </c>
      <c r="B782" s="243"/>
      <c r="C782" s="259"/>
      <c r="D782" s="243"/>
      <c r="E782" s="243"/>
      <c r="F782" s="247"/>
      <c r="G782" s="243"/>
      <c r="H782" s="243"/>
      <c r="I782" s="243"/>
      <c r="J782" s="243"/>
      <c r="K782" s="243"/>
      <c r="L782" s="243"/>
      <c r="M782" s="243"/>
      <c r="N782" s="243"/>
      <c r="O782" s="243"/>
      <c r="P782" s="243"/>
      <c r="Q782" s="243"/>
      <c r="R782" s="243"/>
      <c r="S782" s="243"/>
      <c r="T782" s="243"/>
      <c r="U782" s="243"/>
      <c r="V782" s="243"/>
      <c r="W782" s="243"/>
      <c r="X782" s="243"/>
      <c r="Y782" s="244"/>
      <c r="Z782" s="243"/>
      <c r="AA782" s="245"/>
      <c r="AB782" s="246"/>
      <c r="AC782" s="246"/>
      <c r="AD782" s="246"/>
      <c r="AE782" s="131"/>
      <c r="AF782" s="244"/>
      <c r="AG782" s="243"/>
      <c r="AH782" s="243"/>
      <c r="AI782" s="243"/>
      <c r="AJ782" s="243"/>
      <c r="AK782" s="243"/>
      <c r="AL782" s="243"/>
      <c r="AM782" s="243"/>
      <c r="AN782" s="243"/>
      <c r="AO782" s="243"/>
      <c r="AP782" s="243"/>
      <c r="AQ782" s="243"/>
      <c r="AR782" s="243"/>
      <c r="AS782" s="243"/>
      <c r="AT782" s="243"/>
      <c r="AU782" s="243"/>
      <c r="AV782" s="243"/>
      <c r="AW782" s="243"/>
      <c r="AX782" s="243"/>
      <c r="AY782" s="243"/>
      <c r="AZ782" s="243"/>
    </row>
    <row r="783" spans="1:52">
      <c r="A783" s="216" t="str">
        <f>IF(D783="","",VLOOKUP(G783,códigosORL!$H:$J,3,FALSE))</f>
        <v/>
      </c>
      <c r="B783" s="243"/>
      <c r="C783" s="259"/>
      <c r="D783" s="243"/>
      <c r="E783" s="243"/>
      <c r="F783" s="247"/>
      <c r="G783" s="243"/>
      <c r="H783" s="243"/>
      <c r="I783" s="243"/>
      <c r="J783" s="243"/>
      <c r="K783" s="243"/>
      <c r="L783" s="243"/>
      <c r="M783" s="243"/>
      <c r="N783" s="243"/>
      <c r="O783" s="243"/>
      <c r="P783" s="243"/>
      <c r="Q783" s="243"/>
      <c r="R783" s="243"/>
      <c r="S783" s="243"/>
      <c r="T783" s="243"/>
      <c r="U783" s="243"/>
      <c r="V783" s="243"/>
      <c r="W783" s="243"/>
      <c r="X783" s="243"/>
      <c r="Y783" s="244"/>
      <c r="Z783" s="243"/>
      <c r="AA783" s="245"/>
      <c r="AB783" s="246"/>
      <c r="AC783" s="246"/>
      <c r="AD783" s="246"/>
      <c r="AE783" s="131"/>
      <c r="AF783" s="244"/>
      <c r="AG783" s="243"/>
      <c r="AH783" s="243"/>
      <c r="AI783" s="243"/>
      <c r="AJ783" s="243"/>
      <c r="AK783" s="243"/>
      <c r="AL783" s="243"/>
      <c r="AM783" s="243"/>
      <c r="AN783" s="243"/>
      <c r="AO783" s="243"/>
      <c r="AP783" s="243"/>
      <c r="AQ783" s="243"/>
      <c r="AR783" s="243"/>
      <c r="AS783" s="243"/>
      <c r="AT783" s="243"/>
      <c r="AU783" s="243"/>
      <c r="AV783" s="243"/>
      <c r="AW783" s="243"/>
      <c r="AX783" s="243"/>
      <c r="AY783" s="243"/>
      <c r="AZ783" s="243"/>
    </row>
    <row r="784" spans="1:52">
      <c r="A784" s="216" t="str">
        <f>IF(D784="","",VLOOKUP(G784,códigosORL!$H:$J,3,FALSE))</f>
        <v/>
      </c>
      <c r="B784" s="243"/>
      <c r="C784" s="259"/>
      <c r="D784" s="243"/>
      <c r="E784" s="243"/>
      <c r="F784" s="247"/>
      <c r="G784" s="243"/>
      <c r="H784" s="243"/>
      <c r="I784" s="243"/>
      <c r="J784" s="243"/>
      <c r="K784" s="243"/>
      <c r="L784" s="243"/>
      <c r="M784" s="243"/>
      <c r="N784" s="243"/>
      <c r="O784" s="243"/>
      <c r="P784" s="243"/>
      <c r="Q784" s="243"/>
      <c r="R784" s="243"/>
      <c r="S784" s="243"/>
      <c r="T784" s="243"/>
      <c r="U784" s="243"/>
      <c r="V784" s="243"/>
      <c r="W784" s="243"/>
      <c r="X784" s="243"/>
      <c r="Y784" s="244"/>
      <c r="Z784" s="243"/>
      <c r="AA784" s="245"/>
      <c r="AB784" s="246"/>
      <c r="AC784" s="246"/>
      <c r="AD784" s="246"/>
      <c r="AE784" s="131"/>
      <c r="AF784" s="244"/>
      <c r="AG784" s="243"/>
      <c r="AH784" s="243"/>
      <c r="AI784" s="243"/>
      <c r="AJ784" s="243"/>
      <c r="AK784" s="243"/>
      <c r="AL784" s="243"/>
      <c r="AM784" s="243"/>
      <c r="AN784" s="243"/>
      <c r="AO784" s="243"/>
      <c r="AP784" s="243"/>
      <c r="AQ784" s="243"/>
      <c r="AR784" s="243"/>
      <c r="AS784" s="243"/>
      <c r="AT784" s="243"/>
      <c r="AU784" s="243"/>
      <c r="AV784" s="243"/>
      <c r="AW784" s="243"/>
      <c r="AX784" s="243"/>
      <c r="AY784" s="243"/>
      <c r="AZ784" s="243"/>
    </row>
    <row r="785" spans="1:52">
      <c r="A785" s="216" t="str">
        <f>IF(D785="","",VLOOKUP(G785,códigosORL!$H:$J,3,FALSE))</f>
        <v/>
      </c>
      <c r="B785" s="243"/>
      <c r="C785" s="259"/>
      <c r="D785" s="243"/>
      <c r="E785" s="243"/>
      <c r="F785" s="247"/>
      <c r="G785" s="243"/>
      <c r="H785" s="243"/>
      <c r="I785" s="243"/>
      <c r="J785" s="243"/>
      <c r="K785" s="243"/>
      <c r="L785" s="243"/>
      <c r="M785" s="243"/>
      <c r="N785" s="243"/>
      <c r="O785" s="243"/>
      <c r="P785" s="243"/>
      <c r="Q785" s="243"/>
      <c r="R785" s="243"/>
      <c r="S785" s="243"/>
      <c r="T785" s="243"/>
      <c r="U785" s="243"/>
      <c r="V785" s="243"/>
      <c r="W785" s="243"/>
      <c r="X785" s="243"/>
      <c r="Y785" s="244"/>
      <c r="Z785" s="243"/>
      <c r="AA785" s="245"/>
      <c r="AB785" s="246"/>
      <c r="AC785" s="246"/>
      <c r="AD785" s="246"/>
      <c r="AE785" s="131"/>
      <c r="AF785" s="244"/>
      <c r="AG785" s="243"/>
      <c r="AH785" s="243"/>
      <c r="AI785" s="243"/>
      <c r="AJ785" s="243"/>
      <c r="AK785" s="243"/>
      <c r="AL785" s="243"/>
      <c r="AM785" s="243"/>
      <c r="AN785" s="243"/>
      <c r="AO785" s="243"/>
      <c r="AP785" s="243"/>
      <c r="AQ785" s="243"/>
      <c r="AR785" s="243"/>
      <c r="AS785" s="243"/>
      <c r="AT785" s="243"/>
      <c r="AU785" s="243"/>
      <c r="AV785" s="243"/>
      <c r="AW785" s="243"/>
      <c r="AX785" s="243"/>
      <c r="AY785" s="243"/>
      <c r="AZ785" s="243"/>
    </row>
    <row r="786" spans="1:52">
      <c r="A786" s="216" t="str">
        <f>IF(D786="","",VLOOKUP(G786,códigosORL!$H:$J,3,FALSE))</f>
        <v/>
      </c>
      <c r="B786" s="243"/>
      <c r="C786" s="259"/>
      <c r="D786" s="243"/>
      <c r="E786" s="243"/>
      <c r="F786" s="247"/>
      <c r="G786" s="243"/>
      <c r="H786" s="243"/>
      <c r="I786" s="243"/>
      <c r="J786" s="243"/>
      <c r="K786" s="243"/>
      <c r="L786" s="243"/>
      <c r="M786" s="243"/>
      <c r="N786" s="243"/>
      <c r="O786" s="243"/>
      <c r="P786" s="243"/>
      <c r="Q786" s="243"/>
      <c r="R786" s="243"/>
      <c r="S786" s="243"/>
      <c r="T786" s="243"/>
      <c r="U786" s="243"/>
      <c r="V786" s="243"/>
      <c r="W786" s="243"/>
      <c r="X786" s="243"/>
      <c r="Y786" s="244"/>
      <c r="Z786" s="243"/>
      <c r="AA786" s="245"/>
      <c r="AB786" s="246"/>
      <c r="AC786" s="246"/>
      <c r="AD786" s="246"/>
      <c r="AE786" s="131"/>
      <c r="AF786" s="244"/>
      <c r="AG786" s="243"/>
      <c r="AH786" s="243"/>
      <c r="AI786" s="243"/>
      <c r="AJ786" s="243"/>
      <c r="AK786" s="243"/>
      <c r="AL786" s="243"/>
      <c r="AM786" s="243"/>
      <c r="AN786" s="243"/>
      <c r="AO786" s="243"/>
      <c r="AP786" s="243"/>
      <c r="AQ786" s="243"/>
      <c r="AR786" s="243"/>
      <c r="AS786" s="243"/>
      <c r="AT786" s="243"/>
      <c r="AU786" s="243"/>
      <c r="AV786" s="243"/>
      <c r="AW786" s="243"/>
      <c r="AX786" s="243"/>
      <c r="AY786" s="243"/>
      <c r="AZ786" s="243"/>
    </row>
    <row r="787" spans="1:52">
      <c r="A787" s="216" t="str">
        <f>IF(D787="","",VLOOKUP(G787,códigosORL!$H:$J,3,FALSE))</f>
        <v/>
      </c>
      <c r="B787" s="243"/>
      <c r="C787" s="259"/>
      <c r="D787" s="243"/>
      <c r="E787" s="243"/>
      <c r="F787" s="247"/>
      <c r="G787" s="243"/>
      <c r="H787" s="243"/>
      <c r="I787" s="243"/>
      <c r="J787" s="243"/>
      <c r="K787" s="243"/>
      <c r="L787" s="243"/>
      <c r="M787" s="243"/>
      <c r="N787" s="243"/>
      <c r="O787" s="243"/>
      <c r="P787" s="243"/>
      <c r="Q787" s="243"/>
      <c r="R787" s="243"/>
      <c r="S787" s="243"/>
      <c r="T787" s="243"/>
      <c r="U787" s="243"/>
      <c r="V787" s="243"/>
      <c r="W787" s="243"/>
      <c r="X787" s="243"/>
      <c r="Y787" s="244"/>
      <c r="Z787" s="243"/>
      <c r="AA787" s="245"/>
      <c r="AB787" s="246"/>
      <c r="AC787" s="246"/>
      <c r="AD787" s="246"/>
      <c r="AE787" s="131"/>
      <c r="AF787" s="244"/>
      <c r="AG787" s="243"/>
      <c r="AH787" s="243"/>
      <c r="AI787" s="243"/>
      <c r="AJ787" s="243"/>
      <c r="AK787" s="243"/>
      <c r="AL787" s="243"/>
      <c r="AM787" s="243"/>
      <c r="AN787" s="243"/>
      <c r="AO787" s="243"/>
      <c r="AP787" s="243"/>
      <c r="AQ787" s="243"/>
      <c r="AR787" s="243"/>
      <c r="AS787" s="243"/>
      <c r="AT787" s="243"/>
      <c r="AU787" s="243"/>
      <c r="AV787" s="243"/>
      <c r="AW787" s="243"/>
      <c r="AX787" s="243"/>
      <c r="AY787" s="243"/>
      <c r="AZ787" s="243"/>
    </row>
    <row r="788" spans="1:52">
      <c r="A788" s="216" t="str">
        <f>IF(D788="","",VLOOKUP(G788,códigosORL!$H:$J,3,FALSE))</f>
        <v/>
      </c>
      <c r="B788" s="243"/>
      <c r="C788" s="259"/>
      <c r="D788" s="243"/>
      <c r="E788" s="243"/>
      <c r="F788" s="247"/>
      <c r="G788" s="243"/>
      <c r="H788" s="243"/>
      <c r="I788" s="243"/>
      <c r="J788" s="243"/>
      <c r="K788" s="243"/>
      <c r="L788" s="243"/>
      <c r="M788" s="243"/>
      <c r="N788" s="243"/>
      <c r="O788" s="243"/>
      <c r="P788" s="243"/>
      <c r="Q788" s="243"/>
      <c r="R788" s="243"/>
      <c r="S788" s="243"/>
      <c r="T788" s="243"/>
      <c r="U788" s="243"/>
      <c r="V788" s="243"/>
      <c r="W788" s="243"/>
      <c r="X788" s="243"/>
      <c r="Y788" s="244"/>
      <c r="Z788" s="243"/>
      <c r="AA788" s="245"/>
      <c r="AB788" s="246"/>
      <c r="AC788" s="246"/>
      <c r="AD788" s="246"/>
      <c r="AE788" s="131"/>
      <c r="AF788" s="244"/>
      <c r="AG788" s="243"/>
      <c r="AH788" s="243"/>
      <c r="AI788" s="243"/>
      <c r="AJ788" s="243"/>
      <c r="AK788" s="243"/>
      <c r="AL788" s="243"/>
      <c r="AM788" s="243"/>
      <c r="AN788" s="243"/>
      <c r="AO788" s="243"/>
      <c r="AP788" s="243"/>
      <c r="AQ788" s="243"/>
      <c r="AR788" s="243"/>
      <c r="AS788" s="243"/>
      <c r="AT788" s="243"/>
      <c r="AU788" s="243"/>
      <c r="AV788" s="243"/>
      <c r="AW788" s="243"/>
      <c r="AX788" s="243"/>
      <c r="AY788" s="243"/>
      <c r="AZ788" s="243"/>
    </row>
    <row r="789" spans="1:52">
      <c r="A789" s="216" t="str">
        <f>IF(D789="","",VLOOKUP(G789,códigosORL!$H:$J,3,FALSE))</f>
        <v/>
      </c>
      <c r="B789" s="243"/>
      <c r="C789" s="259"/>
      <c r="D789" s="243"/>
      <c r="E789" s="243"/>
      <c r="F789" s="247"/>
      <c r="G789" s="243"/>
      <c r="H789" s="243"/>
      <c r="I789" s="243"/>
      <c r="J789" s="243"/>
      <c r="K789" s="243"/>
      <c r="L789" s="243"/>
      <c r="M789" s="243"/>
      <c r="N789" s="243"/>
      <c r="O789" s="243"/>
      <c r="P789" s="243"/>
      <c r="Q789" s="243"/>
      <c r="R789" s="243"/>
      <c r="S789" s="243"/>
      <c r="T789" s="243"/>
      <c r="U789" s="243"/>
      <c r="V789" s="243"/>
      <c r="W789" s="243"/>
      <c r="X789" s="243"/>
      <c r="Y789" s="244"/>
      <c r="Z789" s="243"/>
      <c r="AA789" s="245"/>
      <c r="AB789" s="246"/>
      <c r="AC789" s="246"/>
      <c r="AD789" s="246"/>
      <c r="AE789" s="131"/>
      <c r="AF789" s="244"/>
      <c r="AG789" s="243"/>
      <c r="AH789" s="243"/>
      <c r="AI789" s="243"/>
      <c r="AJ789" s="243"/>
      <c r="AK789" s="243"/>
      <c r="AL789" s="243"/>
      <c r="AM789" s="243"/>
      <c r="AN789" s="243"/>
      <c r="AO789" s="243"/>
      <c r="AP789" s="243"/>
      <c r="AQ789" s="243"/>
      <c r="AR789" s="243"/>
      <c r="AS789" s="243"/>
      <c r="AT789" s="243"/>
      <c r="AU789" s="243"/>
      <c r="AV789" s="243"/>
      <c r="AW789" s="243"/>
      <c r="AX789" s="243"/>
      <c r="AY789" s="243"/>
      <c r="AZ789" s="243"/>
    </row>
    <row r="790" spans="1:52">
      <c r="A790" s="216" t="str">
        <f>IF(D790="","",VLOOKUP(G790,códigosORL!$H:$J,3,FALSE))</f>
        <v/>
      </c>
      <c r="B790" s="243"/>
      <c r="C790" s="259"/>
      <c r="D790" s="243"/>
      <c r="E790" s="243"/>
      <c r="F790" s="247"/>
      <c r="G790" s="243"/>
      <c r="H790" s="243"/>
      <c r="I790" s="243"/>
      <c r="J790" s="243"/>
      <c r="K790" s="243"/>
      <c r="L790" s="243"/>
      <c r="M790" s="243"/>
      <c r="N790" s="243"/>
      <c r="O790" s="243"/>
      <c r="P790" s="243"/>
      <c r="Q790" s="243"/>
      <c r="R790" s="243"/>
      <c r="S790" s="243"/>
      <c r="T790" s="243"/>
      <c r="U790" s="243"/>
      <c r="V790" s="243"/>
      <c r="W790" s="243"/>
      <c r="X790" s="243"/>
      <c r="Y790" s="244"/>
      <c r="Z790" s="243"/>
      <c r="AA790" s="245"/>
      <c r="AB790" s="246"/>
      <c r="AC790" s="246"/>
      <c r="AD790" s="246"/>
      <c r="AE790" s="131"/>
      <c r="AF790" s="244"/>
      <c r="AG790" s="243"/>
      <c r="AH790" s="243"/>
      <c r="AI790" s="243"/>
      <c r="AJ790" s="243"/>
      <c r="AK790" s="243"/>
      <c r="AL790" s="243"/>
      <c r="AM790" s="243"/>
      <c r="AN790" s="243"/>
      <c r="AO790" s="243"/>
      <c r="AP790" s="243"/>
      <c r="AQ790" s="243"/>
      <c r="AR790" s="243"/>
      <c r="AS790" s="243"/>
      <c r="AT790" s="243"/>
      <c r="AU790" s="243"/>
      <c r="AV790" s="243"/>
      <c r="AW790" s="243"/>
      <c r="AX790" s="243"/>
      <c r="AY790" s="243"/>
      <c r="AZ790" s="243"/>
    </row>
    <row r="791" spans="1:52">
      <c r="A791" s="216" t="str">
        <f>IF(D791="","",VLOOKUP(G791,códigosORL!$H:$J,3,FALSE))</f>
        <v/>
      </c>
      <c r="B791" s="243"/>
      <c r="C791" s="259"/>
      <c r="D791" s="243"/>
      <c r="E791" s="243"/>
      <c r="F791" s="247"/>
      <c r="G791" s="243"/>
      <c r="H791" s="243"/>
      <c r="I791" s="243"/>
      <c r="J791" s="243"/>
      <c r="K791" s="243"/>
      <c r="L791" s="243"/>
      <c r="M791" s="243"/>
      <c r="N791" s="243"/>
      <c r="O791" s="243"/>
      <c r="P791" s="243"/>
      <c r="Q791" s="243"/>
      <c r="R791" s="243"/>
      <c r="S791" s="243"/>
      <c r="T791" s="243"/>
      <c r="U791" s="243"/>
      <c r="V791" s="243"/>
      <c r="W791" s="243"/>
      <c r="X791" s="243"/>
      <c r="Y791" s="244"/>
      <c r="Z791" s="243"/>
      <c r="AA791" s="245"/>
      <c r="AB791" s="246"/>
      <c r="AC791" s="246"/>
      <c r="AD791" s="246"/>
      <c r="AE791" s="131"/>
      <c r="AF791" s="244"/>
      <c r="AG791" s="243"/>
      <c r="AH791" s="243"/>
      <c r="AI791" s="243"/>
      <c r="AJ791" s="243"/>
      <c r="AK791" s="243"/>
      <c r="AL791" s="243"/>
      <c r="AM791" s="243"/>
      <c r="AN791" s="243"/>
      <c r="AO791" s="243"/>
      <c r="AP791" s="243"/>
      <c r="AQ791" s="243"/>
      <c r="AR791" s="243"/>
      <c r="AS791" s="243"/>
      <c r="AT791" s="243"/>
      <c r="AU791" s="243"/>
      <c r="AV791" s="243"/>
      <c r="AW791" s="243"/>
      <c r="AX791" s="243"/>
      <c r="AY791" s="243"/>
      <c r="AZ791" s="243"/>
    </row>
    <row r="792" spans="1:52">
      <c r="A792" s="216" t="str">
        <f>IF(D792="","",VLOOKUP(G792,códigosORL!$H:$J,3,FALSE))</f>
        <v/>
      </c>
      <c r="B792" s="243"/>
      <c r="C792" s="259"/>
      <c r="D792" s="243"/>
      <c r="E792" s="243"/>
      <c r="F792" s="247"/>
      <c r="G792" s="243"/>
      <c r="H792" s="243"/>
      <c r="I792" s="243"/>
      <c r="J792" s="243"/>
      <c r="K792" s="243"/>
      <c r="L792" s="243"/>
      <c r="M792" s="243"/>
      <c r="N792" s="243"/>
      <c r="O792" s="243"/>
      <c r="P792" s="243"/>
      <c r="Q792" s="243"/>
      <c r="R792" s="243"/>
      <c r="S792" s="243"/>
      <c r="T792" s="243"/>
      <c r="U792" s="243"/>
      <c r="V792" s="243"/>
      <c r="W792" s="243"/>
      <c r="X792" s="243"/>
      <c r="Y792" s="244"/>
      <c r="Z792" s="243"/>
      <c r="AA792" s="245"/>
      <c r="AB792" s="246"/>
      <c r="AC792" s="246"/>
      <c r="AD792" s="246"/>
      <c r="AE792" s="131"/>
      <c r="AF792" s="244"/>
      <c r="AG792" s="243"/>
      <c r="AH792" s="243"/>
      <c r="AI792" s="243"/>
      <c r="AJ792" s="243"/>
      <c r="AK792" s="243"/>
      <c r="AL792" s="243"/>
      <c r="AM792" s="243"/>
      <c r="AN792" s="243"/>
      <c r="AO792" s="243"/>
      <c r="AP792" s="243"/>
      <c r="AQ792" s="243"/>
      <c r="AR792" s="243"/>
      <c r="AS792" s="243"/>
      <c r="AT792" s="243"/>
      <c r="AU792" s="243"/>
      <c r="AV792" s="243"/>
      <c r="AW792" s="243"/>
      <c r="AX792" s="243"/>
      <c r="AY792" s="243"/>
      <c r="AZ792" s="243"/>
    </row>
    <row r="793" spans="1:52">
      <c r="A793" s="216" t="str">
        <f>IF(D793="","",VLOOKUP(G793,códigosORL!$H:$J,3,FALSE))</f>
        <v/>
      </c>
      <c r="B793" s="243"/>
      <c r="C793" s="259"/>
      <c r="D793" s="243"/>
      <c r="E793" s="243"/>
      <c r="F793" s="247"/>
      <c r="G793" s="243"/>
      <c r="H793" s="243"/>
      <c r="I793" s="243"/>
      <c r="J793" s="243"/>
      <c r="K793" s="243"/>
      <c r="L793" s="243"/>
      <c r="M793" s="243"/>
      <c r="N793" s="243"/>
      <c r="O793" s="243"/>
      <c r="P793" s="243"/>
      <c r="Q793" s="243"/>
      <c r="R793" s="243"/>
      <c r="S793" s="243"/>
      <c r="T793" s="243"/>
      <c r="U793" s="243"/>
      <c r="V793" s="243"/>
      <c r="W793" s="243"/>
      <c r="X793" s="243"/>
      <c r="Y793" s="244"/>
      <c r="Z793" s="243"/>
      <c r="AA793" s="245"/>
      <c r="AB793" s="246"/>
      <c r="AC793" s="246"/>
      <c r="AD793" s="246"/>
      <c r="AE793" s="131"/>
      <c r="AF793" s="244"/>
      <c r="AG793" s="243"/>
      <c r="AH793" s="243"/>
      <c r="AI793" s="243"/>
      <c r="AJ793" s="243"/>
      <c r="AK793" s="243"/>
      <c r="AL793" s="243"/>
      <c r="AM793" s="243"/>
      <c r="AN793" s="243"/>
      <c r="AO793" s="243"/>
      <c r="AP793" s="243"/>
      <c r="AQ793" s="243"/>
      <c r="AR793" s="243"/>
      <c r="AS793" s="243"/>
      <c r="AT793" s="243"/>
      <c r="AU793" s="243"/>
      <c r="AV793" s="243"/>
      <c r="AW793" s="243"/>
      <c r="AX793" s="243"/>
      <c r="AY793" s="243"/>
      <c r="AZ793" s="243"/>
    </row>
    <row r="794" spans="1:52">
      <c r="A794" s="216" t="str">
        <f>IF(D794="","",VLOOKUP(G794,códigosORL!$H:$J,3,FALSE))</f>
        <v/>
      </c>
      <c r="B794" s="243"/>
      <c r="C794" s="259"/>
      <c r="D794" s="243"/>
      <c r="E794" s="243"/>
      <c r="F794" s="247"/>
      <c r="G794" s="243"/>
      <c r="H794" s="243"/>
      <c r="I794" s="243"/>
      <c r="J794" s="243"/>
      <c r="K794" s="243"/>
      <c r="L794" s="243"/>
      <c r="M794" s="243"/>
      <c r="N794" s="243"/>
      <c r="O794" s="243"/>
      <c r="P794" s="243"/>
      <c r="Q794" s="243"/>
      <c r="R794" s="243"/>
      <c r="S794" s="243"/>
      <c r="T794" s="243"/>
      <c r="U794" s="243"/>
      <c r="V794" s="243"/>
      <c r="W794" s="243"/>
      <c r="X794" s="243"/>
      <c r="Y794" s="244"/>
      <c r="Z794" s="243"/>
      <c r="AA794" s="245"/>
      <c r="AB794" s="246"/>
      <c r="AC794" s="246"/>
      <c r="AD794" s="246"/>
      <c r="AE794" s="131"/>
      <c r="AF794" s="244"/>
      <c r="AG794" s="243"/>
      <c r="AH794" s="243"/>
      <c r="AI794" s="243"/>
      <c r="AJ794" s="243"/>
      <c r="AK794" s="243"/>
      <c r="AL794" s="243"/>
      <c r="AM794" s="243"/>
      <c r="AN794" s="243"/>
      <c r="AO794" s="243"/>
      <c r="AP794" s="243"/>
      <c r="AQ794" s="243"/>
      <c r="AR794" s="243"/>
      <c r="AS794" s="243"/>
      <c r="AT794" s="243"/>
      <c r="AU794" s="243"/>
      <c r="AV794" s="243"/>
      <c r="AW794" s="243"/>
      <c r="AX794" s="243"/>
      <c r="AY794" s="243"/>
      <c r="AZ794" s="243"/>
    </row>
    <row r="795" spans="1:52">
      <c r="A795" s="216" t="str">
        <f>IF(D795="","",VLOOKUP(G795,códigosORL!$H:$J,3,FALSE))</f>
        <v/>
      </c>
      <c r="B795" s="243"/>
      <c r="C795" s="259"/>
      <c r="D795" s="243"/>
      <c r="E795" s="243"/>
      <c r="F795" s="247"/>
      <c r="G795" s="243"/>
      <c r="H795" s="243"/>
      <c r="I795" s="243"/>
      <c r="J795" s="243"/>
      <c r="K795" s="243"/>
      <c r="L795" s="243"/>
      <c r="M795" s="243"/>
      <c r="N795" s="243"/>
      <c r="O795" s="243"/>
      <c r="P795" s="243"/>
      <c r="Q795" s="243"/>
      <c r="R795" s="243"/>
      <c r="S795" s="243"/>
      <c r="T795" s="243"/>
      <c r="U795" s="243"/>
      <c r="V795" s="243"/>
      <c r="W795" s="243"/>
      <c r="X795" s="243"/>
      <c r="Y795" s="244"/>
      <c r="Z795" s="243"/>
      <c r="AA795" s="245"/>
      <c r="AB795" s="246"/>
      <c r="AC795" s="246"/>
      <c r="AD795" s="246"/>
      <c r="AE795" s="131"/>
      <c r="AF795" s="244"/>
      <c r="AG795" s="243"/>
      <c r="AH795" s="243"/>
      <c r="AI795" s="243"/>
      <c r="AJ795" s="243"/>
      <c r="AK795" s="243"/>
      <c r="AL795" s="243"/>
      <c r="AM795" s="243"/>
      <c r="AN795" s="243"/>
      <c r="AO795" s="243"/>
      <c r="AP795" s="243"/>
      <c r="AQ795" s="243"/>
      <c r="AR795" s="243"/>
      <c r="AS795" s="243"/>
      <c r="AT795" s="243"/>
      <c r="AU795" s="243"/>
      <c r="AV795" s="243"/>
      <c r="AW795" s="243"/>
      <c r="AX795" s="243"/>
      <c r="AY795" s="243"/>
      <c r="AZ795" s="243"/>
    </row>
    <row r="796" spans="1:52">
      <c r="A796" s="216" t="str">
        <f>IF(D796="","",VLOOKUP(G796,códigosORL!$H:$J,3,FALSE))</f>
        <v/>
      </c>
      <c r="B796" s="243"/>
      <c r="C796" s="259"/>
      <c r="D796" s="243"/>
      <c r="E796" s="243"/>
      <c r="F796" s="247"/>
      <c r="G796" s="243"/>
      <c r="H796" s="243"/>
      <c r="I796" s="243"/>
      <c r="J796" s="243"/>
      <c r="K796" s="243"/>
      <c r="L796" s="243"/>
      <c r="M796" s="243"/>
      <c r="N796" s="243"/>
      <c r="O796" s="243"/>
      <c r="P796" s="243"/>
      <c r="Q796" s="243"/>
      <c r="R796" s="243"/>
      <c r="S796" s="243"/>
      <c r="T796" s="243"/>
      <c r="U796" s="243"/>
      <c r="V796" s="243"/>
      <c r="W796" s="243"/>
      <c r="X796" s="243"/>
      <c r="Y796" s="244"/>
      <c r="Z796" s="243"/>
      <c r="AA796" s="245"/>
      <c r="AB796" s="246"/>
      <c r="AC796" s="246"/>
      <c r="AD796" s="246"/>
      <c r="AE796" s="131"/>
      <c r="AF796" s="244"/>
      <c r="AG796" s="243"/>
      <c r="AH796" s="243"/>
      <c r="AI796" s="243"/>
      <c r="AJ796" s="243"/>
      <c r="AK796" s="243"/>
      <c r="AL796" s="243"/>
      <c r="AM796" s="243"/>
      <c r="AN796" s="243"/>
      <c r="AO796" s="243"/>
      <c r="AP796" s="243"/>
      <c r="AQ796" s="243"/>
      <c r="AR796" s="243"/>
      <c r="AS796" s="243"/>
      <c r="AT796" s="243"/>
      <c r="AU796" s="243"/>
      <c r="AV796" s="243"/>
      <c r="AW796" s="243"/>
      <c r="AX796" s="243"/>
      <c r="AY796" s="243"/>
      <c r="AZ796" s="243"/>
    </row>
    <row r="797" spans="1:52">
      <c r="A797" s="216" t="str">
        <f>IF(D797="","",VLOOKUP(G797,códigosORL!$H:$J,3,FALSE))</f>
        <v/>
      </c>
      <c r="B797" s="243"/>
      <c r="C797" s="259"/>
      <c r="D797" s="243"/>
      <c r="E797" s="243"/>
      <c r="F797" s="247"/>
      <c r="G797" s="243"/>
      <c r="H797" s="243"/>
      <c r="I797" s="243"/>
      <c r="J797" s="243"/>
      <c r="K797" s="243"/>
      <c r="L797" s="243"/>
      <c r="M797" s="243"/>
      <c r="N797" s="243"/>
      <c r="O797" s="243"/>
      <c r="P797" s="243"/>
      <c r="Q797" s="243"/>
      <c r="R797" s="243"/>
      <c r="S797" s="243"/>
      <c r="T797" s="243"/>
      <c r="U797" s="243"/>
      <c r="V797" s="243"/>
      <c r="W797" s="243"/>
      <c r="X797" s="243"/>
      <c r="Y797" s="244"/>
      <c r="Z797" s="243"/>
      <c r="AA797" s="245"/>
      <c r="AB797" s="246"/>
      <c r="AC797" s="246"/>
      <c r="AD797" s="246"/>
      <c r="AE797" s="131"/>
      <c r="AF797" s="244"/>
      <c r="AG797" s="243"/>
      <c r="AH797" s="243"/>
      <c r="AI797" s="243"/>
      <c r="AJ797" s="243"/>
      <c r="AK797" s="243"/>
      <c r="AL797" s="243"/>
      <c r="AM797" s="243"/>
      <c r="AN797" s="243"/>
      <c r="AO797" s="243"/>
      <c r="AP797" s="243"/>
      <c r="AQ797" s="243"/>
      <c r="AR797" s="243"/>
      <c r="AS797" s="243"/>
      <c r="AT797" s="243"/>
      <c r="AU797" s="243"/>
      <c r="AV797" s="243"/>
      <c r="AW797" s="243"/>
      <c r="AX797" s="243"/>
      <c r="AY797" s="243"/>
      <c r="AZ797" s="243"/>
    </row>
    <row r="798" spans="1:52">
      <c r="A798" s="216" t="str">
        <f>IF(D798="","",VLOOKUP(G798,códigosORL!$H:$J,3,FALSE))</f>
        <v/>
      </c>
      <c r="B798" s="243"/>
      <c r="C798" s="259"/>
      <c r="D798" s="243"/>
      <c r="E798" s="243"/>
      <c r="F798" s="247"/>
      <c r="G798" s="243"/>
      <c r="H798" s="243"/>
      <c r="I798" s="243"/>
      <c r="J798" s="243"/>
      <c r="K798" s="243"/>
      <c r="L798" s="243"/>
      <c r="M798" s="243"/>
      <c r="N798" s="243"/>
      <c r="O798" s="243"/>
      <c r="P798" s="243"/>
      <c r="Q798" s="243"/>
      <c r="R798" s="243"/>
      <c r="S798" s="243"/>
      <c r="T798" s="243"/>
      <c r="U798" s="243"/>
      <c r="V798" s="243"/>
      <c r="W798" s="243"/>
      <c r="X798" s="243"/>
      <c r="Y798" s="244"/>
      <c r="Z798" s="243"/>
      <c r="AA798" s="245"/>
      <c r="AB798" s="246"/>
      <c r="AC798" s="246"/>
      <c r="AD798" s="246"/>
      <c r="AE798" s="131"/>
      <c r="AF798" s="244"/>
      <c r="AG798" s="243"/>
      <c r="AH798" s="243"/>
      <c r="AI798" s="243"/>
      <c r="AJ798" s="243"/>
      <c r="AK798" s="243"/>
      <c r="AL798" s="243"/>
      <c r="AM798" s="243"/>
      <c r="AN798" s="243"/>
      <c r="AO798" s="243"/>
      <c r="AP798" s="243"/>
      <c r="AQ798" s="243"/>
      <c r="AR798" s="243"/>
      <c r="AS798" s="243"/>
      <c r="AT798" s="243"/>
      <c r="AU798" s="243"/>
      <c r="AV798" s="243"/>
      <c r="AW798" s="243"/>
      <c r="AX798" s="243"/>
      <c r="AY798" s="243"/>
      <c r="AZ798" s="243"/>
    </row>
    <row r="799" spans="1:52">
      <c r="A799" s="216" t="str">
        <f>IF(D799="","",VLOOKUP(G799,códigosORL!$H:$J,3,FALSE))</f>
        <v/>
      </c>
      <c r="B799" s="243"/>
      <c r="C799" s="259"/>
      <c r="D799" s="243"/>
      <c r="E799" s="243"/>
      <c r="F799" s="247"/>
      <c r="G799" s="243"/>
      <c r="H799" s="243"/>
      <c r="I799" s="243"/>
      <c r="J799" s="243"/>
      <c r="K799" s="243"/>
      <c r="L799" s="243"/>
      <c r="M799" s="243"/>
      <c r="N799" s="243"/>
      <c r="O799" s="243"/>
      <c r="P799" s="243"/>
      <c r="Q799" s="243"/>
      <c r="R799" s="243"/>
      <c r="S799" s="243"/>
      <c r="T799" s="243"/>
      <c r="U799" s="243"/>
      <c r="V799" s="243"/>
      <c r="W799" s="243"/>
      <c r="X799" s="243"/>
      <c r="Y799" s="244"/>
      <c r="Z799" s="243"/>
      <c r="AA799" s="245"/>
      <c r="AB799" s="246"/>
      <c r="AC799" s="246"/>
      <c r="AD799" s="246"/>
      <c r="AE799" s="131"/>
      <c r="AF799" s="244"/>
      <c r="AG799" s="243"/>
      <c r="AH799" s="243"/>
      <c r="AI799" s="243"/>
      <c r="AJ799" s="243"/>
      <c r="AK799" s="243"/>
      <c r="AL799" s="243"/>
      <c r="AM799" s="243"/>
      <c r="AN799" s="243"/>
      <c r="AO799" s="243"/>
      <c r="AP799" s="243"/>
      <c r="AQ799" s="243"/>
      <c r="AR799" s="243"/>
      <c r="AS799" s="243"/>
      <c r="AT799" s="243"/>
      <c r="AU799" s="243"/>
      <c r="AV799" s="243"/>
      <c r="AW799" s="243"/>
      <c r="AX799" s="243"/>
      <c r="AY799" s="243"/>
      <c r="AZ799" s="243"/>
    </row>
    <row r="800" spans="1:52">
      <c r="A800" s="216" t="str">
        <f>IF(D800="","",VLOOKUP(G800,códigosORL!$H:$J,3,FALSE))</f>
        <v/>
      </c>
      <c r="B800" s="243"/>
      <c r="C800" s="259"/>
      <c r="D800" s="243"/>
      <c r="E800" s="243"/>
      <c r="F800" s="247"/>
      <c r="G800" s="243"/>
      <c r="H800" s="243"/>
      <c r="I800" s="243"/>
      <c r="J800" s="243"/>
      <c r="K800" s="243"/>
      <c r="L800" s="243"/>
      <c r="M800" s="243"/>
      <c r="N800" s="243"/>
      <c r="O800" s="243"/>
      <c r="P800" s="243"/>
      <c r="Q800" s="243"/>
      <c r="R800" s="243"/>
      <c r="S800" s="243"/>
      <c r="T800" s="243"/>
      <c r="U800" s="243"/>
      <c r="V800" s="243"/>
      <c r="W800" s="243"/>
      <c r="X800" s="243"/>
      <c r="Y800" s="244"/>
      <c r="Z800" s="243"/>
      <c r="AA800" s="245"/>
      <c r="AB800" s="246"/>
      <c r="AC800" s="246"/>
      <c r="AD800" s="246"/>
      <c r="AE800" s="131"/>
      <c r="AF800" s="244"/>
      <c r="AG800" s="243"/>
      <c r="AH800" s="243"/>
      <c r="AI800" s="243"/>
      <c r="AJ800" s="243"/>
      <c r="AK800" s="243"/>
      <c r="AL800" s="243"/>
      <c r="AM800" s="243"/>
      <c r="AN800" s="243"/>
      <c r="AO800" s="243"/>
      <c r="AP800" s="243"/>
      <c r="AQ800" s="243"/>
      <c r="AR800" s="243"/>
      <c r="AS800" s="243"/>
      <c r="AT800" s="243"/>
      <c r="AU800" s="243"/>
      <c r="AV800" s="243"/>
      <c r="AW800" s="243"/>
      <c r="AX800" s="243"/>
      <c r="AY800" s="243"/>
      <c r="AZ800" s="243"/>
    </row>
    <row r="801" spans="1:52">
      <c r="A801" s="216" t="str">
        <f>IF(D801="","",VLOOKUP(G801,códigosORL!$H:$J,3,FALSE))</f>
        <v/>
      </c>
      <c r="B801" s="243"/>
      <c r="C801" s="259"/>
      <c r="D801" s="243"/>
      <c r="E801" s="243"/>
      <c r="F801" s="247"/>
      <c r="G801" s="243"/>
      <c r="H801" s="243"/>
      <c r="I801" s="243"/>
      <c r="J801" s="243"/>
      <c r="K801" s="243"/>
      <c r="L801" s="243"/>
      <c r="M801" s="243"/>
      <c r="N801" s="243"/>
      <c r="O801" s="243"/>
      <c r="P801" s="243"/>
      <c r="Q801" s="243"/>
      <c r="R801" s="243"/>
      <c r="S801" s="243"/>
      <c r="T801" s="243"/>
      <c r="U801" s="243"/>
      <c r="V801" s="243"/>
      <c r="W801" s="243"/>
      <c r="X801" s="243"/>
      <c r="Y801" s="244"/>
      <c r="Z801" s="243"/>
      <c r="AA801" s="245"/>
      <c r="AB801" s="246"/>
      <c r="AC801" s="246"/>
      <c r="AD801" s="246"/>
      <c r="AE801" s="131"/>
      <c r="AF801" s="244"/>
      <c r="AG801" s="243"/>
      <c r="AH801" s="243"/>
      <c r="AI801" s="243"/>
      <c r="AJ801" s="243"/>
      <c r="AK801" s="243"/>
      <c r="AL801" s="243"/>
      <c r="AM801" s="243"/>
      <c r="AN801" s="243"/>
      <c r="AO801" s="243"/>
      <c r="AP801" s="243"/>
      <c r="AQ801" s="243"/>
      <c r="AR801" s="243"/>
      <c r="AS801" s="243"/>
      <c r="AT801" s="243"/>
      <c r="AU801" s="243"/>
      <c r="AV801" s="243"/>
      <c r="AW801" s="243"/>
      <c r="AX801" s="243"/>
      <c r="AY801" s="243"/>
      <c r="AZ801" s="243"/>
    </row>
    <row r="802" spans="1:52">
      <c r="A802" s="216" t="str">
        <f>IF(D802="","",VLOOKUP(G802,códigosORL!$H:$J,3,FALSE))</f>
        <v/>
      </c>
      <c r="B802" s="243"/>
      <c r="C802" s="259"/>
      <c r="D802" s="243"/>
      <c r="E802" s="243"/>
      <c r="F802" s="247"/>
      <c r="G802" s="243"/>
      <c r="H802" s="243"/>
      <c r="I802" s="243"/>
      <c r="J802" s="243"/>
      <c r="K802" s="243"/>
      <c r="L802" s="243"/>
      <c r="M802" s="243"/>
      <c r="N802" s="243"/>
      <c r="O802" s="243"/>
      <c r="P802" s="243"/>
      <c r="Q802" s="243"/>
      <c r="R802" s="243"/>
      <c r="S802" s="243"/>
      <c r="T802" s="243"/>
      <c r="U802" s="243"/>
      <c r="V802" s="243"/>
      <c r="W802" s="243"/>
      <c r="X802" s="243"/>
      <c r="Y802" s="244"/>
      <c r="Z802" s="243"/>
      <c r="AA802" s="245"/>
      <c r="AB802" s="246"/>
      <c r="AC802" s="246"/>
      <c r="AD802" s="246"/>
      <c r="AE802" s="131"/>
      <c r="AF802" s="244"/>
      <c r="AG802" s="243"/>
      <c r="AH802" s="243"/>
      <c r="AI802" s="243"/>
      <c r="AJ802" s="243"/>
      <c r="AK802" s="243"/>
      <c r="AL802" s="243"/>
      <c r="AM802" s="243"/>
      <c r="AN802" s="243"/>
      <c r="AO802" s="243"/>
      <c r="AP802" s="243"/>
      <c r="AQ802" s="243"/>
      <c r="AR802" s="243"/>
      <c r="AS802" s="243"/>
      <c r="AT802" s="243"/>
      <c r="AU802" s="243"/>
      <c r="AV802" s="243"/>
      <c r="AW802" s="243"/>
      <c r="AX802" s="243"/>
      <c r="AY802" s="243"/>
      <c r="AZ802" s="243"/>
    </row>
    <row r="803" spans="1:52">
      <c r="A803" s="216" t="str">
        <f>IF(D803="","",VLOOKUP(G803,códigosORL!$H:$J,3,FALSE))</f>
        <v/>
      </c>
      <c r="B803" s="243"/>
      <c r="C803" s="259"/>
      <c r="D803" s="243"/>
      <c r="E803" s="243"/>
      <c r="F803" s="247"/>
      <c r="G803" s="243"/>
      <c r="H803" s="243"/>
      <c r="I803" s="243"/>
      <c r="J803" s="243"/>
      <c r="K803" s="243"/>
      <c r="L803" s="243"/>
      <c r="M803" s="243"/>
      <c r="N803" s="243"/>
      <c r="O803" s="243"/>
      <c r="P803" s="243"/>
      <c r="Q803" s="243"/>
      <c r="R803" s="243"/>
      <c r="S803" s="243"/>
      <c r="T803" s="243"/>
      <c r="U803" s="243"/>
      <c r="V803" s="243"/>
      <c r="W803" s="243"/>
      <c r="X803" s="243"/>
      <c r="Y803" s="244"/>
      <c r="Z803" s="243"/>
      <c r="AA803" s="245"/>
      <c r="AB803" s="246"/>
      <c r="AC803" s="246"/>
      <c r="AD803" s="246"/>
      <c r="AE803" s="131"/>
      <c r="AF803" s="244"/>
      <c r="AG803" s="243"/>
      <c r="AH803" s="243"/>
      <c r="AI803" s="243"/>
      <c r="AJ803" s="243"/>
      <c r="AK803" s="243"/>
      <c r="AL803" s="243"/>
      <c r="AM803" s="243"/>
      <c r="AN803" s="243"/>
      <c r="AO803" s="243"/>
      <c r="AP803" s="243"/>
      <c r="AQ803" s="243"/>
      <c r="AR803" s="243"/>
      <c r="AS803" s="243"/>
      <c r="AT803" s="243"/>
      <c r="AU803" s="243"/>
      <c r="AV803" s="243"/>
      <c r="AW803" s="243"/>
      <c r="AX803" s="243"/>
      <c r="AY803" s="243"/>
      <c r="AZ803" s="243"/>
    </row>
    <row r="804" spans="1:52">
      <c r="A804" s="216" t="str">
        <f>IF(D804="","",VLOOKUP(G804,códigosORL!$H:$J,3,FALSE))</f>
        <v/>
      </c>
      <c r="B804" s="243"/>
      <c r="C804" s="259"/>
      <c r="D804" s="243"/>
      <c r="E804" s="243"/>
      <c r="F804" s="247"/>
      <c r="G804" s="243"/>
      <c r="H804" s="243"/>
      <c r="I804" s="243"/>
      <c r="J804" s="243"/>
      <c r="K804" s="243"/>
      <c r="L804" s="243"/>
      <c r="M804" s="243"/>
      <c r="N804" s="243"/>
      <c r="O804" s="243"/>
      <c r="P804" s="243"/>
      <c r="Q804" s="243"/>
      <c r="R804" s="243"/>
      <c r="S804" s="243"/>
      <c r="T804" s="243"/>
      <c r="U804" s="243"/>
      <c r="V804" s="243"/>
      <c r="W804" s="243"/>
      <c r="X804" s="243"/>
      <c r="Y804" s="244"/>
      <c r="Z804" s="243"/>
      <c r="AA804" s="245"/>
      <c r="AB804" s="246"/>
      <c r="AC804" s="246"/>
      <c r="AD804" s="246"/>
      <c r="AE804" s="131"/>
      <c r="AF804" s="244"/>
      <c r="AG804" s="243"/>
      <c r="AH804" s="243"/>
      <c r="AI804" s="243"/>
      <c r="AJ804" s="243"/>
      <c r="AK804" s="243"/>
      <c r="AL804" s="243"/>
      <c r="AM804" s="243"/>
      <c r="AN804" s="243"/>
      <c r="AO804" s="243"/>
      <c r="AP804" s="243"/>
      <c r="AQ804" s="243"/>
      <c r="AR804" s="243"/>
      <c r="AS804" s="243"/>
      <c r="AT804" s="243"/>
      <c r="AU804" s="243"/>
      <c r="AV804" s="243"/>
      <c r="AW804" s="243"/>
      <c r="AX804" s="243"/>
      <c r="AY804" s="243"/>
      <c r="AZ804" s="243"/>
    </row>
    <row r="805" spans="1:52">
      <c r="A805" s="216" t="str">
        <f>IF(D805="","",VLOOKUP(G805,códigosORL!$H:$J,3,FALSE))</f>
        <v/>
      </c>
      <c r="B805" s="243"/>
      <c r="C805" s="259"/>
      <c r="D805" s="243"/>
      <c r="E805" s="243"/>
      <c r="F805" s="247"/>
      <c r="G805" s="243"/>
      <c r="H805" s="243"/>
      <c r="I805" s="243"/>
      <c r="J805" s="243"/>
      <c r="K805" s="243"/>
      <c r="L805" s="243"/>
      <c r="M805" s="243"/>
      <c r="N805" s="243"/>
      <c r="O805" s="243"/>
      <c r="P805" s="243"/>
      <c r="Q805" s="243"/>
      <c r="R805" s="243"/>
      <c r="S805" s="243"/>
      <c r="T805" s="243"/>
      <c r="U805" s="243"/>
      <c r="V805" s="243"/>
      <c r="W805" s="243"/>
      <c r="X805" s="243"/>
      <c r="Y805" s="244"/>
      <c r="Z805" s="243"/>
      <c r="AA805" s="245"/>
      <c r="AB805" s="246"/>
      <c r="AC805" s="246"/>
      <c r="AD805" s="246"/>
      <c r="AE805" s="131"/>
      <c r="AF805" s="244"/>
      <c r="AG805" s="243"/>
      <c r="AH805" s="243"/>
      <c r="AI805" s="243"/>
      <c r="AJ805" s="243"/>
      <c r="AK805" s="243"/>
      <c r="AL805" s="243"/>
      <c r="AM805" s="243"/>
      <c r="AN805" s="243"/>
      <c r="AO805" s="243"/>
      <c r="AP805" s="243"/>
      <c r="AQ805" s="243"/>
      <c r="AR805" s="243"/>
      <c r="AS805" s="243"/>
      <c r="AT805" s="243"/>
      <c r="AU805" s="243"/>
      <c r="AV805" s="243"/>
      <c r="AW805" s="243"/>
      <c r="AX805" s="243"/>
      <c r="AY805" s="243"/>
      <c r="AZ805" s="243"/>
    </row>
    <row r="806" spans="1:52">
      <c r="A806" s="216" t="str">
        <f>IF(D806="","",VLOOKUP(G806,códigosORL!$H:$J,3,FALSE))</f>
        <v/>
      </c>
      <c r="B806" s="243"/>
      <c r="C806" s="259"/>
      <c r="D806" s="243"/>
      <c r="E806" s="243"/>
      <c r="F806" s="247"/>
      <c r="G806" s="243"/>
      <c r="H806" s="243"/>
      <c r="I806" s="243"/>
      <c r="J806" s="243"/>
      <c r="K806" s="243"/>
      <c r="L806" s="243"/>
      <c r="M806" s="243"/>
      <c r="N806" s="243"/>
      <c r="O806" s="243"/>
      <c r="P806" s="243"/>
      <c r="Q806" s="243"/>
      <c r="R806" s="243"/>
      <c r="S806" s="243"/>
      <c r="T806" s="243"/>
      <c r="U806" s="243"/>
      <c r="V806" s="243"/>
      <c r="W806" s="243"/>
      <c r="X806" s="243"/>
      <c r="Y806" s="244"/>
      <c r="Z806" s="243"/>
      <c r="AA806" s="245"/>
      <c r="AB806" s="246"/>
      <c r="AC806" s="246"/>
      <c r="AD806" s="246"/>
      <c r="AE806" s="131"/>
      <c r="AF806" s="244"/>
      <c r="AG806" s="243"/>
      <c r="AH806" s="243"/>
      <c r="AI806" s="243"/>
      <c r="AJ806" s="243"/>
      <c r="AK806" s="243"/>
      <c r="AL806" s="243"/>
      <c r="AM806" s="243"/>
      <c r="AN806" s="243"/>
      <c r="AO806" s="243"/>
      <c r="AP806" s="243"/>
      <c r="AQ806" s="243"/>
      <c r="AR806" s="243"/>
      <c r="AS806" s="243"/>
      <c r="AT806" s="243"/>
      <c r="AU806" s="243"/>
      <c r="AV806" s="243"/>
      <c r="AW806" s="243"/>
      <c r="AX806" s="243"/>
      <c r="AY806" s="243"/>
      <c r="AZ806" s="243"/>
    </row>
    <row r="807" spans="1:52">
      <c r="A807" s="216" t="str">
        <f>IF(D807="","",VLOOKUP(G807,códigosORL!$H:$J,3,FALSE))</f>
        <v/>
      </c>
      <c r="B807" s="243"/>
      <c r="C807" s="259"/>
      <c r="D807" s="243"/>
      <c r="E807" s="243"/>
      <c r="F807" s="247"/>
      <c r="G807" s="243"/>
      <c r="H807" s="243"/>
      <c r="I807" s="243"/>
      <c r="J807" s="243"/>
      <c r="K807" s="243"/>
      <c r="L807" s="243"/>
      <c r="M807" s="243"/>
      <c r="N807" s="243"/>
      <c r="O807" s="243"/>
      <c r="P807" s="243"/>
      <c r="Q807" s="243"/>
      <c r="R807" s="243"/>
      <c r="S807" s="243"/>
      <c r="T807" s="243"/>
      <c r="U807" s="243"/>
      <c r="V807" s="243"/>
      <c r="W807" s="243"/>
      <c r="X807" s="243"/>
      <c r="Y807" s="244"/>
      <c r="Z807" s="243"/>
      <c r="AA807" s="245"/>
      <c r="AB807" s="246"/>
      <c r="AC807" s="246"/>
      <c r="AD807" s="246"/>
      <c r="AE807" s="131"/>
      <c r="AF807" s="244"/>
      <c r="AG807" s="243"/>
      <c r="AH807" s="243"/>
      <c r="AI807" s="243"/>
      <c r="AJ807" s="243"/>
      <c r="AK807" s="243"/>
      <c r="AL807" s="243"/>
      <c r="AM807" s="243"/>
      <c r="AN807" s="243"/>
      <c r="AO807" s="243"/>
      <c r="AP807" s="243"/>
      <c r="AQ807" s="243"/>
      <c r="AR807" s="243"/>
      <c r="AS807" s="243"/>
      <c r="AT807" s="243"/>
      <c r="AU807" s="243"/>
      <c r="AV807" s="243"/>
      <c r="AW807" s="243"/>
      <c r="AX807" s="243"/>
      <c r="AY807" s="243"/>
      <c r="AZ807" s="243"/>
    </row>
    <row r="808" spans="1:52">
      <c r="A808" s="216" t="str">
        <f>IF(D808="","",VLOOKUP(G808,códigosORL!$H:$J,3,FALSE))</f>
        <v/>
      </c>
      <c r="B808" s="243"/>
      <c r="C808" s="259"/>
      <c r="D808" s="243"/>
      <c r="E808" s="243"/>
      <c r="F808" s="247"/>
      <c r="G808" s="243"/>
      <c r="H808" s="243"/>
      <c r="I808" s="243"/>
      <c r="J808" s="243"/>
      <c r="K808" s="243"/>
      <c r="L808" s="243"/>
      <c r="M808" s="243"/>
      <c r="N808" s="243"/>
      <c r="O808" s="243"/>
      <c r="P808" s="243"/>
      <c r="Q808" s="243"/>
      <c r="R808" s="243"/>
      <c r="S808" s="243"/>
      <c r="T808" s="243"/>
      <c r="U808" s="243"/>
      <c r="V808" s="243"/>
      <c r="W808" s="243"/>
      <c r="X808" s="243"/>
      <c r="Y808" s="244"/>
      <c r="Z808" s="243"/>
      <c r="AA808" s="245"/>
      <c r="AB808" s="246"/>
      <c r="AC808" s="246"/>
      <c r="AD808" s="246"/>
      <c r="AE808" s="131"/>
      <c r="AF808" s="244"/>
      <c r="AG808" s="243"/>
      <c r="AH808" s="243"/>
      <c r="AI808" s="243"/>
      <c r="AJ808" s="243"/>
      <c r="AK808" s="243"/>
      <c r="AL808" s="243"/>
      <c r="AM808" s="243"/>
      <c r="AN808" s="243"/>
      <c r="AO808" s="243"/>
      <c r="AP808" s="243"/>
      <c r="AQ808" s="243"/>
      <c r="AR808" s="243"/>
      <c r="AS808" s="243"/>
      <c r="AT808" s="243"/>
      <c r="AU808" s="243"/>
      <c r="AV808" s="243"/>
      <c r="AW808" s="243"/>
      <c r="AX808" s="243"/>
      <c r="AY808" s="243"/>
      <c r="AZ808" s="243"/>
    </row>
    <row r="809" spans="1:52">
      <c r="A809" s="216" t="str">
        <f>IF(D809="","",VLOOKUP(G809,códigosORL!$H:$J,3,FALSE))</f>
        <v/>
      </c>
      <c r="B809" s="243"/>
      <c r="C809" s="259"/>
      <c r="D809" s="243"/>
      <c r="E809" s="243"/>
      <c r="F809" s="247"/>
      <c r="G809" s="243"/>
      <c r="H809" s="243"/>
      <c r="I809" s="243"/>
      <c r="J809" s="243"/>
      <c r="K809" s="243"/>
      <c r="L809" s="243"/>
      <c r="M809" s="243"/>
      <c r="N809" s="243"/>
      <c r="O809" s="243"/>
      <c r="P809" s="243"/>
      <c r="Q809" s="243"/>
      <c r="R809" s="243"/>
      <c r="S809" s="243"/>
      <c r="T809" s="243"/>
      <c r="U809" s="243"/>
      <c r="V809" s="243"/>
      <c r="W809" s="243"/>
      <c r="X809" s="243"/>
      <c r="Y809" s="244"/>
      <c r="Z809" s="243"/>
      <c r="AA809" s="245"/>
      <c r="AB809" s="246"/>
      <c r="AC809" s="246"/>
      <c r="AD809" s="246"/>
      <c r="AE809" s="131"/>
      <c r="AF809" s="244"/>
      <c r="AG809" s="243"/>
      <c r="AH809" s="243"/>
      <c r="AI809" s="243"/>
      <c r="AJ809" s="243"/>
      <c r="AK809" s="243"/>
      <c r="AL809" s="243"/>
      <c r="AM809" s="243"/>
      <c r="AN809" s="243"/>
      <c r="AO809" s="243"/>
      <c r="AP809" s="243"/>
      <c r="AQ809" s="243"/>
      <c r="AR809" s="243"/>
      <c r="AS809" s="243"/>
      <c r="AT809" s="243"/>
      <c r="AU809" s="243"/>
      <c r="AV809" s="243"/>
      <c r="AW809" s="243"/>
      <c r="AX809" s="243"/>
      <c r="AY809" s="243"/>
      <c r="AZ809" s="243"/>
    </row>
    <row r="810" spans="1:52">
      <c r="A810" s="216" t="str">
        <f>IF(D810="","",VLOOKUP(G810,códigosORL!$H:$J,3,FALSE))</f>
        <v/>
      </c>
      <c r="B810" s="243"/>
      <c r="C810" s="259"/>
      <c r="D810" s="243"/>
      <c r="E810" s="243"/>
      <c r="F810" s="247"/>
      <c r="G810" s="243"/>
      <c r="H810" s="243"/>
      <c r="I810" s="243"/>
      <c r="J810" s="243"/>
      <c r="K810" s="243"/>
      <c r="L810" s="243"/>
      <c r="M810" s="243"/>
      <c r="N810" s="243"/>
      <c r="O810" s="243"/>
      <c r="P810" s="243"/>
      <c r="Q810" s="243"/>
      <c r="R810" s="243"/>
      <c r="S810" s="243"/>
      <c r="T810" s="243"/>
      <c r="U810" s="243"/>
      <c r="V810" s="243"/>
      <c r="W810" s="243"/>
      <c r="X810" s="243"/>
      <c r="Y810" s="244"/>
      <c r="Z810" s="243"/>
      <c r="AA810" s="245"/>
      <c r="AB810" s="246"/>
      <c r="AC810" s="246"/>
      <c r="AD810" s="246"/>
      <c r="AE810" s="131"/>
      <c r="AF810" s="244"/>
      <c r="AG810" s="243"/>
      <c r="AH810" s="243"/>
      <c r="AI810" s="243"/>
      <c r="AJ810" s="243"/>
      <c r="AK810" s="243"/>
      <c r="AL810" s="243"/>
      <c r="AM810" s="243"/>
      <c r="AN810" s="243"/>
      <c r="AO810" s="243"/>
      <c r="AP810" s="243"/>
      <c r="AQ810" s="243"/>
      <c r="AR810" s="243"/>
      <c r="AS810" s="243"/>
      <c r="AT810" s="243"/>
      <c r="AU810" s="243"/>
      <c r="AV810" s="243"/>
      <c r="AW810" s="243"/>
      <c r="AX810" s="243"/>
      <c r="AY810" s="243"/>
      <c r="AZ810" s="243"/>
    </row>
    <row r="811" spans="1:52">
      <c r="A811" s="216" t="str">
        <f>IF(D811="","",VLOOKUP(G811,códigosORL!$H:$J,3,FALSE))</f>
        <v/>
      </c>
      <c r="B811" s="243"/>
      <c r="C811" s="259"/>
      <c r="D811" s="243"/>
      <c r="E811" s="243"/>
      <c r="F811" s="247"/>
      <c r="G811" s="243"/>
      <c r="H811" s="243"/>
      <c r="I811" s="243"/>
      <c r="J811" s="243"/>
      <c r="K811" s="243"/>
      <c r="L811" s="243"/>
      <c r="M811" s="243"/>
      <c r="N811" s="243"/>
      <c r="O811" s="243"/>
      <c r="P811" s="243"/>
      <c r="Q811" s="243"/>
      <c r="R811" s="243"/>
      <c r="S811" s="243"/>
      <c r="T811" s="243"/>
      <c r="U811" s="243"/>
      <c r="V811" s="243"/>
      <c r="W811" s="243"/>
      <c r="X811" s="243"/>
      <c r="Y811" s="244"/>
      <c r="Z811" s="243"/>
      <c r="AA811" s="245"/>
      <c r="AB811" s="246"/>
      <c r="AC811" s="246"/>
      <c r="AD811" s="246"/>
      <c r="AE811" s="131"/>
      <c r="AF811" s="244"/>
      <c r="AG811" s="243"/>
      <c r="AH811" s="243"/>
      <c r="AI811" s="243"/>
      <c r="AJ811" s="243"/>
      <c r="AK811" s="243"/>
      <c r="AL811" s="243"/>
      <c r="AM811" s="243"/>
      <c r="AN811" s="243"/>
      <c r="AO811" s="243"/>
      <c r="AP811" s="243"/>
      <c r="AQ811" s="243"/>
      <c r="AR811" s="243"/>
      <c r="AS811" s="243"/>
      <c r="AT811" s="243"/>
      <c r="AU811" s="243"/>
      <c r="AV811" s="243"/>
      <c r="AW811" s="243"/>
      <c r="AX811" s="243"/>
      <c r="AY811" s="243"/>
      <c r="AZ811" s="243"/>
    </row>
    <row r="812" spans="1:52">
      <c r="A812" s="216" t="str">
        <f>IF(D812="","",VLOOKUP(G812,códigosORL!$H:$J,3,FALSE))</f>
        <v/>
      </c>
      <c r="B812" s="243"/>
      <c r="C812" s="259"/>
      <c r="D812" s="243"/>
      <c r="E812" s="243"/>
      <c r="F812" s="247"/>
      <c r="G812" s="243"/>
      <c r="H812" s="243"/>
      <c r="I812" s="243"/>
      <c r="J812" s="243"/>
      <c r="K812" s="243"/>
      <c r="L812" s="243"/>
      <c r="M812" s="243"/>
      <c r="N812" s="243"/>
      <c r="O812" s="243"/>
      <c r="P812" s="243"/>
      <c r="Q812" s="243"/>
      <c r="R812" s="243"/>
      <c r="S812" s="243"/>
      <c r="T812" s="243"/>
      <c r="U812" s="243"/>
      <c r="V812" s="243"/>
      <c r="W812" s="243"/>
      <c r="X812" s="243"/>
      <c r="Y812" s="244"/>
      <c r="Z812" s="243"/>
      <c r="AA812" s="245"/>
      <c r="AB812" s="246"/>
      <c r="AC812" s="246"/>
      <c r="AD812" s="246"/>
      <c r="AE812" s="131"/>
      <c r="AF812" s="244"/>
      <c r="AG812" s="243"/>
      <c r="AH812" s="243"/>
      <c r="AI812" s="243"/>
      <c r="AJ812" s="243"/>
      <c r="AK812" s="243"/>
      <c r="AL812" s="243"/>
      <c r="AM812" s="243"/>
      <c r="AN812" s="243"/>
      <c r="AO812" s="243"/>
      <c r="AP812" s="243"/>
      <c r="AQ812" s="243"/>
      <c r="AR812" s="243"/>
      <c r="AS812" s="243"/>
      <c r="AT812" s="243"/>
      <c r="AU812" s="243"/>
      <c r="AV812" s="243"/>
      <c r="AW812" s="243"/>
      <c r="AX812" s="243"/>
      <c r="AY812" s="243"/>
      <c r="AZ812" s="243"/>
    </row>
    <row r="813" spans="1:52">
      <c r="A813" s="216" t="str">
        <f>IF(D813="","",VLOOKUP(G813,códigosORL!$H:$J,3,FALSE))</f>
        <v/>
      </c>
      <c r="B813" s="243"/>
      <c r="C813" s="259"/>
      <c r="D813" s="243"/>
      <c r="E813" s="243"/>
      <c r="F813" s="247"/>
      <c r="G813" s="243"/>
      <c r="H813" s="243"/>
      <c r="I813" s="243"/>
      <c r="J813" s="243"/>
      <c r="K813" s="243"/>
      <c r="L813" s="243"/>
      <c r="M813" s="243"/>
      <c r="N813" s="243"/>
      <c r="O813" s="243"/>
      <c r="P813" s="243"/>
      <c r="Q813" s="243"/>
      <c r="R813" s="243"/>
      <c r="S813" s="243"/>
      <c r="T813" s="243"/>
      <c r="U813" s="243"/>
      <c r="V813" s="243"/>
      <c r="W813" s="243"/>
      <c r="X813" s="243"/>
      <c r="Y813" s="244"/>
      <c r="Z813" s="243"/>
      <c r="AA813" s="245"/>
      <c r="AB813" s="246"/>
      <c r="AC813" s="246"/>
      <c r="AD813" s="246"/>
      <c r="AE813" s="131"/>
      <c r="AF813" s="244"/>
      <c r="AG813" s="243"/>
      <c r="AH813" s="243"/>
      <c r="AI813" s="243"/>
      <c r="AJ813" s="243"/>
      <c r="AK813" s="243"/>
      <c r="AL813" s="243"/>
      <c r="AM813" s="243"/>
      <c r="AN813" s="243"/>
      <c r="AO813" s="243"/>
      <c r="AP813" s="243"/>
      <c r="AQ813" s="243"/>
      <c r="AR813" s="243"/>
      <c r="AS813" s="243"/>
      <c r="AT813" s="243"/>
      <c r="AU813" s="243"/>
      <c r="AV813" s="243"/>
      <c r="AW813" s="243"/>
      <c r="AX813" s="243"/>
      <c r="AY813" s="243"/>
      <c r="AZ813" s="243"/>
    </row>
    <row r="814" spans="1:52">
      <c r="A814" s="216" t="str">
        <f>IF(D814="","",VLOOKUP(G814,códigosORL!$H:$J,3,FALSE))</f>
        <v/>
      </c>
      <c r="B814" s="243"/>
      <c r="C814" s="259"/>
      <c r="D814" s="243"/>
      <c r="E814" s="243"/>
      <c r="F814" s="247"/>
      <c r="G814" s="243"/>
      <c r="H814" s="243"/>
      <c r="I814" s="243"/>
      <c r="J814" s="243"/>
      <c r="K814" s="243"/>
      <c r="L814" s="243"/>
      <c r="M814" s="243"/>
      <c r="N814" s="243"/>
      <c r="O814" s="243"/>
      <c r="P814" s="243"/>
      <c r="Q814" s="243"/>
      <c r="R814" s="243"/>
      <c r="S814" s="243"/>
      <c r="T814" s="243"/>
      <c r="U814" s="243"/>
      <c r="V814" s="243"/>
      <c r="W814" s="243"/>
      <c r="X814" s="243"/>
      <c r="Y814" s="244"/>
      <c r="Z814" s="243"/>
      <c r="AA814" s="245"/>
      <c r="AB814" s="246"/>
      <c r="AC814" s="246"/>
      <c r="AD814" s="246"/>
      <c r="AE814" s="131"/>
      <c r="AF814" s="244"/>
      <c r="AG814" s="243"/>
      <c r="AH814" s="243"/>
      <c r="AI814" s="243"/>
      <c r="AJ814" s="243"/>
      <c r="AK814" s="243"/>
      <c r="AL814" s="243"/>
      <c r="AM814" s="243"/>
      <c r="AN814" s="243"/>
      <c r="AO814" s="243"/>
      <c r="AP814" s="243"/>
      <c r="AQ814" s="243"/>
      <c r="AR814" s="243"/>
      <c r="AS814" s="243"/>
      <c r="AT814" s="243"/>
      <c r="AU814" s="243"/>
      <c r="AV814" s="243"/>
      <c r="AW814" s="243"/>
      <c r="AX814" s="243"/>
      <c r="AY814" s="243"/>
      <c r="AZ814" s="243"/>
    </row>
    <row r="815" spans="1:52">
      <c r="A815" s="216" t="str">
        <f>IF(D815="","",VLOOKUP(G815,códigosORL!$H:$J,3,FALSE))</f>
        <v/>
      </c>
      <c r="B815" s="243"/>
      <c r="C815" s="259"/>
      <c r="D815" s="243"/>
      <c r="E815" s="243"/>
      <c r="F815" s="247"/>
      <c r="G815" s="243"/>
      <c r="H815" s="243"/>
      <c r="I815" s="243"/>
      <c r="J815" s="243"/>
      <c r="K815" s="243"/>
      <c r="L815" s="243"/>
      <c r="M815" s="243"/>
      <c r="N815" s="243"/>
      <c r="O815" s="243"/>
      <c r="P815" s="243"/>
      <c r="Q815" s="243"/>
      <c r="R815" s="243"/>
      <c r="S815" s="243"/>
      <c r="T815" s="243"/>
      <c r="U815" s="243"/>
      <c r="V815" s="243"/>
      <c r="W815" s="243"/>
      <c r="X815" s="243"/>
      <c r="Y815" s="244"/>
      <c r="Z815" s="243"/>
      <c r="AA815" s="245"/>
      <c r="AB815" s="246"/>
      <c r="AC815" s="246"/>
      <c r="AD815" s="246"/>
      <c r="AE815" s="131"/>
      <c r="AF815" s="244"/>
      <c r="AG815" s="243"/>
      <c r="AH815" s="243"/>
      <c r="AI815" s="243"/>
      <c r="AJ815" s="243"/>
      <c r="AK815" s="243"/>
      <c r="AL815" s="243"/>
      <c r="AM815" s="243"/>
      <c r="AN815" s="243"/>
      <c r="AO815" s="243"/>
      <c r="AP815" s="243"/>
      <c r="AQ815" s="243"/>
      <c r="AR815" s="243"/>
      <c r="AS815" s="243"/>
      <c r="AT815" s="243"/>
      <c r="AU815" s="243"/>
      <c r="AV815" s="243"/>
      <c r="AW815" s="243"/>
      <c r="AX815" s="243"/>
      <c r="AY815" s="243"/>
      <c r="AZ815" s="243"/>
    </row>
    <row r="816" spans="1:52">
      <c r="A816" s="216" t="str">
        <f>IF(D816="","",VLOOKUP(G816,códigosORL!$H:$J,3,FALSE))</f>
        <v/>
      </c>
      <c r="B816" s="243"/>
      <c r="C816" s="259"/>
      <c r="D816" s="243"/>
      <c r="E816" s="243"/>
      <c r="F816" s="247"/>
      <c r="G816" s="243"/>
      <c r="H816" s="243"/>
      <c r="I816" s="243"/>
      <c r="J816" s="243"/>
      <c r="K816" s="243"/>
      <c r="L816" s="243"/>
      <c r="M816" s="243"/>
      <c r="N816" s="243"/>
      <c r="O816" s="243"/>
      <c r="P816" s="243"/>
      <c r="Q816" s="243"/>
      <c r="R816" s="243"/>
      <c r="S816" s="243"/>
      <c r="T816" s="243"/>
      <c r="U816" s="243"/>
      <c r="V816" s="243"/>
      <c r="W816" s="243"/>
      <c r="X816" s="243"/>
      <c r="Y816" s="244"/>
      <c r="Z816" s="243"/>
      <c r="AA816" s="245"/>
      <c r="AB816" s="246"/>
      <c r="AC816" s="246"/>
      <c r="AD816" s="246"/>
      <c r="AE816" s="131"/>
      <c r="AF816" s="244"/>
      <c r="AG816" s="243"/>
      <c r="AH816" s="243"/>
      <c r="AI816" s="243"/>
      <c r="AJ816" s="243"/>
      <c r="AK816" s="243"/>
      <c r="AL816" s="243"/>
      <c r="AM816" s="243"/>
      <c r="AN816" s="243"/>
      <c r="AO816" s="243"/>
      <c r="AP816" s="243"/>
      <c r="AQ816" s="243"/>
      <c r="AR816" s="243"/>
      <c r="AS816" s="243"/>
      <c r="AT816" s="243"/>
      <c r="AU816" s="243"/>
      <c r="AV816" s="243"/>
      <c r="AW816" s="243"/>
      <c r="AX816" s="243"/>
      <c r="AY816" s="243"/>
      <c r="AZ816" s="243"/>
    </row>
    <row r="817" spans="1:52">
      <c r="A817" s="216" t="str">
        <f>IF(D817="","",VLOOKUP(G817,códigosORL!$H:$J,3,FALSE))</f>
        <v/>
      </c>
      <c r="B817" s="243"/>
      <c r="C817" s="259"/>
      <c r="D817" s="243"/>
      <c r="E817" s="243"/>
      <c r="F817" s="247"/>
      <c r="G817" s="243"/>
      <c r="H817" s="243"/>
      <c r="I817" s="243"/>
      <c r="J817" s="243"/>
      <c r="K817" s="243"/>
      <c r="L817" s="243"/>
      <c r="M817" s="243"/>
      <c r="N817" s="243"/>
      <c r="O817" s="243"/>
      <c r="P817" s="243"/>
      <c r="Q817" s="243"/>
      <c r="R817" s="243"/>
      <c r="S817" s="243"/>
      <c r="T817" s="243"/>
      <c r="U817" s="243"/>
      <c r="V817" s="243"/>
      <c r="W817" s="243"/>
      <c r="X817" s="243"/>
      <c r="Y817" s="244"/>
      <c r="Z817" s="243"/>
      <c r="AA817" s="245"/>
      <c r="AB817" s="246"/>
      <c r="AC817" s="246"/>
      <c r="AD817" s="246"/>
      <c r="AE817" s="131"/>
      <c r="AF817" s="244"/>
      <c r="AG817" s="243"/>
      <c r="AH817" s="243"/>
      <c r="AI817" s="243"/>
      <c r="AJ817" s="243"/>
      <c r="AK817" s="243"/>
      <c r="AL817" s="243"/>
      <c r="AM817" s="243"/>
      <c r="AN817" s="243"/>
      <c r="AO817" s="243"/>
      <c r="AP817" s="243"/>
      <c r="AQ817" s="243"/>
      <c r="AR817" s="243"/>
      <c r="AS817" s="243"/>
      <c r="AT817" s="243"/>
      <c r="AU817" s="243"/>
      <c r="AV817" s="243"/>
      <c r="AW817" s="243"/>
      <c r="AX817" s="243"/>
      <c r="AY817" s="243"/>
      <c r="AZ817" s="243"/>
    </row>
    <row r="818" spans="1:52">
      <c r="A818" s="216" t="str">
        <f>IF(D818="","",VLOOKUP(G818,códigosORL!$H:$J,3,FALSE))</f>
        <v/>
      </c>
      <c r="B818" s="243"/>
      <c r="C818" s="259"/>
      <c r="D818" s="243"/>
      <c r="E818" s="243"/>
      <c r="F818" s="247"/>
      <c r="G818" s="243"/>
      <c r="H818" s="243"/>
      <c r="I818" s="243"/>
      <c r="J818" s="243"/>
      <c r="K818" s="243"/>
      <c r="L818" s="243"/>
      <c r="M818" s="243"/>
      <c r="N818" s="243"/>
      <c r="O818" s="243"/>
      <c r="P818" s="243"/>
      <c r="Q818" s="243"/>
      <c r="R818" s="243"/>
      <c r="S818" s="243"/>
      <c r="T818" s="243"/>
      <c r="U818" s="243"/>
      <c r="V818" s="243"/>
      <c r="W818" s="243"/>
      <c r="X818" s="243"/>
      <c r="Y818" s="244"/>
      <c r="Z818" s="243"/>
      <c r="AA818" s="245"/>
      <c r="AB818" s="246"/>
      <c r="AC818" s="246"/>
      <c r="AD818" s="246"/>
      <c r="AE818" s="131"/>
      <c r="AF818" s="244"/>
      <c r="AG818" s="243"/>
      <c r="AH818" s="243"/>
      <c r="AI818" s="243"/>
      <c r="AJ818" s="243"/>
      <c r="AK818" s="243"/>
      <c r="AL818" s="243"/>
      <c r="AM818" s="243"/>
      <c r="AN818" s="243"/>
      <c r="AO818" s="243"/>
      <c r="AP818" s="243"/>
      <c r="AQ818" s="243"/>
      <c r="AR818" s="243"/>
      <c r="AS818" s="243"/>
      <c r="AT818" s="243"/>
      <c r="AU818" s="243"/>
      <c r="AV818" s="243"/>
      <c r="AW818" s="243"/>
      <c r="AX818" s="243"/>
      <c r="AY818" s="243"/>
      <c r="AZ818" s="243"/>
    </row>
    <row r="819" spans="1:52">
      <c r="A819" s="216" t="str">
        <f>IF(D819="","",VLOOKUP(G819,códigosORL!$H:$J,3,FALSE))</f>
        <v/>
      </c>
      <c r="B819" s="243"/>
      <c r="C819" s="259"/>
      <c r="D819" s="243"/>
      <c r="E819" s="243"/>
      <c r="F819" s="247"/>
      <c r="G819" s="243"/>
      <c r="H819" s="243"/>
      <c r="I819" s="243"/>
      <c r="J819" s="243"/>
      <c r="K819" s="243"/>
      <c r="L819" s="243"/>
      <c r="M819" s="243"/>
      <c r="N819" s="243"/>
      <c r="O819" s="243"/>
      <c r="P819" s="243"/>
      <c r="Q819" s="243"/>
      <c r="R819" s="243"/>
      <c r="S819" s="243"/>
      <c r="T819" s="243"/>
      <c r="U819" s="243"/>
      <c r="V819" s="243"/>
      <c r="W819" s="243"/>
      <c r="X819" s="243"/>
      <c r="Y819" s="244"/>
      <c r="Z819" s="243"/>
      <c r="AA819" s="245"/>
      <c r="AB819" s="246"/>
      <c r="AC819" s="246"/>
      <c r="AD819" s="246"/>
      <c r="AE819" s="131"/>
      <c r="AF819" s="244"/>
      <c r="AG819" s="243"/>
      <c r="AH819" s="243"/>
      <c r="AI819" s="243"/>
      <c r="AJ819" s="243"/>
      <c r="AK819" s="243"/>
      <c r="AL819" s="243"/>
      <c r="AM819" s="243"/>
      <c r="AN819" s="243"/>
      <c r="AO819" s="243"/>
      <c r="AP819" s="243"/>
      <c r="AQ819" s="243"/>
      <c r="AR819" s="243"/>
      <c r="AS819" s="243"/>
      <c r="AT819" s="243"/>
      <c r="AU819" s="243"/>
      <c r="AV819" s="243"/>
      <c r="AW819" s="243"/>
      <c r="AX819" s="243"/>
      <c r="AY819" s="243"/>
      <c r="AZ819" s="243"/>
    </row>
    <row r="820" spans="1:52">
      <c r="A820" s="216" t="str">
        <f>IF(D820="","",VLOOKUP(G820,códigosORL!$H:$J,3,FALSE))</f>
        <v/>
      </c>
      <c r="B820" s="243"/>
      <c r="C820" s="259"/>
      <c r="D820" s="243"/>
      <c r="E820" s="243"/>
      <c r="F820" s="247"/>
      <c r="G820" s="243"/>
      <c r="H820" s="243"/>
      <c r="I820" s="243"/>
      <c r="J820" s="243"/>
      <c r="K820" s="243"/>
      <c r="L820" s="243"/>
      <c r="M820" s="243"/>
      <c r="N820" s="243"/>
      <c r="O820" s="243"/>
      <c r="P820" s="243"/>
      <c r="Q820" s="243"/>
      <c r="R820" s="243"/>
      <c r="S820" s="243"/>
      <c r="T820" s="243"/>
      <c r="U820" s="243"/>
      <c r="V820" s="243"/>
      <c r="W820" s="243"/>
      <c r="X820" s="243"/>
      <c r="Y820" s="244"/>
      <c r="Z820" s="243"/>
      <c r="AA820" s="245"/>
      <c r="AB820" s="246"/>
      <c r="AC820" s="246"/>
      <c r="AD820" s="246"/>
      <c r="AE820" s="131"/>
      <c r="AF820" s="244"/>
      <c r="AG820" s="243"/>
      <c r="AH820" s="243"/>
      <c r="AI820" s="243"/>
      <c r="AJ820" s="243"/>
      <c r="AK820" s="243"/>
      <c r="AL820" s="243"/>
      <c r="AM820" s="243"/>
      <c r="AN820" s="243"/>
      <c r="AO820" s="243"/>
      <c r="AP820" s="243"/>
      <c r="AQ820" s="243"/>
      <c r="AR820" s="243"/>
      <c r="AS820" s="243"/>
      <c r="AT820" s="243"/>
      <c r="AU820" s="243"/>
      <c r="AV820" s="243"/>
      <c r="AW820" s="243"/>
      <c r="AX820" s="243"/>
      <c r="AY820" s="243"/>
      <c r="AZ820" s="243"/>
    </row>
    <row r="821" spans="1:52">
      <c r="A821" s="216" t="str">
        <f>IF(D821="","",VLOOKUP(G821,códigosORL!$H:$J,3,FALSE))</f>
        <v/>
      </c>
      <c r="B821" s="243"/>
      <c r="C821" s="259"/>
      <c r="D821" s="243"/>
      <c r="E821" s="243"/>
      <c r="F821" s="247"/>
      <c r="G821" s="243"/>
      <c r="H821" s="243"/>
      <c r="I821" s="243"/>
      <c r="J821" s="243"/>
      <c r="K821" s="243"/>
      <c r="L821" s="243"/>
      <c r="M821" s="243"/>
      <c r="N821" s="243"/>
      <c r="O821" s="243"/>
      <c r="P821" s="243"/>
      <c r="Q821" s="243"/>
      <c r="R821" s="243"/>
      <c r="S821" s="243"/>
      <c r="T821" s="243"/>
      <c r="U821" s="243"/>
      <c r="V821" s="243"/>
      <c r="W821" s="243"/>
      <c r="X821" s="243"/>
      <c r="Y821" s="244"/>
      <c r="Z821" s="243"/>
      <c r="AA821" s="245"/>
      <c r="AB821" s="246"/>
      <c r="AC821" s="246"/>
      <c r="AD821" s="246"/>
      <c r="AE821" s="131"/>
      <c r="AF821" s="244"/>
      <c r="AG821" s="243"/>
      <c r="AH821" s="243"/>
      <c r="AI821" s="243"/>
      <c r="AJ821" s="243"/>
      <c r="AK821" s="243"/>
      <c r="AL821" s="243"/>
      <c r="AM821" s="243"/>
      <c r="AN821" s="243"/>
      <c r="AO821" s="243"/>
      <c r="AP821" s="243"/>
      <c r="AQ821" s="243"/>
      <c r="AR821" s="243"/>
      <c r="AS821" s="243"/>
      <c r="AT821" s="243"/>
      <c r="AU821" s="243"/>
      <c r="AV821" s="243"/>
      <c r="AW821" s="243"/>
      <c r="AX821" s="243"/>
      <c r="AY821" s="243"/>
      <c r="AZ821" s="243"/>
    </row>
    <row r="822" spans="1:52">
      <c r="A822" s="216" t="str">
        <f>IF(D822="","",VLOOKUP(G822,códigosORL!$H:$J,3,FALSE))</f>
        <v/>
      </c>
      <c r="B822" s="243"/>
      <c r="C822" s="259"/>
      <c r="D822" s="243"/>
      <c r="E822" s="243"/>
      <c r="F822" s="247"/>
      <c r="G822" s="243"/>
      <c r="H822" s="243"/>
      <c r="I822" s="243"/>
      <c r="J822" s="243"/>
      <c r="K822" s="243"/>
      <c r="L822" s="243"/>
      <c r="M822" s="243"/>
      <c r="N822" s="243"/>
      <c r="O822" s="243"/>
      <c r="P822" s="243"/>
      <c r="Q822" s="243"/>
      <c r="R822" s="243"/>
      <c r="S822" s="243"/>
      <c r="T822" s="243"/>
      <c r="U822" s="243"/>
      <c r="V822" s="243"/>
      <c r="W822" s="243"/>
      <c r="X822" s="243"/>
      <c r="Y822" s="244"/>
      <c r="Z822" s="243"/>
      <c r="AA822" s="245"/>
      <c r="AB822" s="246"/>
      <c r="AC822" s="246"/>
      <c r="AD822" s="246"/>
      <c r="AE822" s="131"/>
      <c r="AF822" s="244"/>
      <c r="AG822" s="243"/>
      <c r="AH822" s="243"/>
      <c r="AI822" s="243"/>
      <c r="AJ822" s="243"/>
      <c r="AK822" s="243"/>
      <c r="AL822" s="243"/>
      <c r="AM822" s="243"/>
      <c r="AN822" s="243"/>
      <c r="AO822" s="243"/>
      <c r="AP822" s="243"/>
      <c r="AQ822" s="243"/>
      <c r="AR822" s="243"/>
      <c r="AS822" s="243"/>
      <c r="AT822" s="243"/>
      <c r="AU822" s="243"/>
      <c r="AV822" s="243"/>
      <c r="AW822" s="243"/>
      <c r="AX822" s="243"/>
      <c r="AY822" s="243"/>
      <c r="AZ822" s="243"/>
    </row>
    <row r="823" spans="1:52">
      <c r="A823" s="216" t="str">
        <f>IF(D823="","",VLOOKUP(G823,códigosORL!$H:$J,3,FALSE))</f>
        <v/>
      </c>
      <c r="B823" s="243"/>
      <c r="C823" s="259"/>
      <c r="D823" s="243"/>
      <c r="E823" s="243"/>
      <c r="F823" s="247"/>
      <c r="G823" s="243"/>
      <c r="H823" s="243"/>
      <c r="I823" s="243"/>
      <c r="J823" s="243"/>
      <c r="K823" s="243"/>
      <c r="L823" s="243"/>
      <c r="M823" s="243"/>
      <c r="N823" s="243"/>
      <c r="O823" s="243"/>
      <c r="P823" s="243"/>
      <c r="Q823" s="243"/>
      <c r="R823" s="243"/>
      <c r="S823" s="243"/>
      <c r="T823" s="243"/>
      <c r="U823" s="243"/>
      <c r="V823" s="243"/>
      <c r="W823" s="243"/>
      <c r="X823" s="243"/>
      <c r="Y823" s="244"/>
      <c r="Z823" s="243"/>
      <c r="AA823" s="245"/>
      <c r="AB823" s="246"/>
      <c r="AC823" s="246"/>
      <c r="AD823" s="246"/>
      <c r="AE823" s="131"/>
      <c r="AF823" s="244"/>
      <c r="AG823" s="243"/>
      <c r="AH823" s="243"/>
      <c r="AI823" s="243"/>
      <c r="AJ823" s="243"/>
      <c r="AK823" s="243"/>
      <c r="AL823" s="243"/>
      <c r="AM823" s="243"/>
      <c r="AN823" s="243"/>
      <c r="AO823" s="243"/>
      <c r="AP823" s="243"/>
      <c r="AQ823" s="243"/>
      <c r="AR823" s="243"/>
      <c r="AS823" s="243"/>
      <c r="AT823" s="243"/>
      <c r="AU823" s="243"/>
      <c r="AV823" s="243"/>
      <c r="AW823" s="243"/>
      <c r="AX823" s="243"/>
      <c r="AY823" s="243"/>
      <c r="AZ823" s="243"/>
    </row>
    <row r="824" spans="1:52">
      <c r="A824" s="216" t="str">
        <f>IF(D824="","",VLOOKUP(G824,códigosORL!$H:$J,3,FALSE))</f>
        <v/>
      </c>
      <c r="B824" s="243"/>
      <c r="C824" s="259"/>
      <c r="D824" s="243"/>
      <c r="E824" s="243"/>
      <c r="F824" s="247"/>
      <c r="G824" s="243"/>
      <c r="H824" s="243"/>
      <c r="I824" s="243"/>
      <c r="J824" s="243"/>
      <c r="K824" s="243"/>
      <c r="L824" s="243"/>
      <c r="M824" s="243"/>
      <c r="N824" s="243"/>
      <c r="O824" s="243"/>
      <c r="P824" s="243"/>
      <c r="Q824" s="243"/>
      <c r="R824" s="243"/>
      <c r="S824" s="243"/>
      <c r="T824" s="243"/>
      <c r="U824" s="243"/>
      <c r="V824" s="243"/>
      <c r="W824" s="243"/>
      <c r="X824" s="243"/>
      <c r="Y824" s="244"/>
      <c r="Z824" s="243"/>
      <c r="AA824" s="245"/>
      <c r="AB824" s="246"/>
      <c r="AC824" s="246"/>
      <c r="AD824" s="246"/>
      <c r="AE824" s="131"/>
      <c r="AF824" s="244"/>
      <c r="AG824" s="243"/>
      <c r="AH824" s="243"/>
      <c r="AI824" s="243"/>
      <c r="AJ824" s="243"/>
      <c r="AK824" s="243"/>
      <c r="AL824" s="243"/>
      <c r="AM824" s="243"/>
      <c r="AN824" s="243"/>
      <c r="AO824" s="243"/>
      <c r="AP824" s="243"/>
      <c r="AQ824" s="243"/>
      <c r="AR824" s="243"/>
      <c r="AS824" s="243"/>
      <c r="AT824" s="243"/>
      <c r="AU824" s="243"/>
      <c r="AV824" s="243"/>
      <c r="AW824" s="243"/>
      <c r="AX824" s="243"/>
      <c r="AY824" s="243"/>
      <c r="AZ824" s="243"/>
    </row>
    <row r="825" spans="1:52">
      <c r="A825" s="216" t="str">
        <f>IF(D825="","",VLOOKUP(G825,códigosORL!$H:$J,3,FALSE))</f>
        <v/>
      </c>
      <c r="B825" s="243"/>
      <c r="C825" s="259"/>
      <c r="D825" s="243"/>
      <c r="E825" s="243"/>
      <c r="F825" s="247"/>
      <c r="G825" s="243"/>
      <c r="H825" s="243"/>
      <c r="I825" s="243"/>
      <c r="J825" s="243"/>
      <c r="K825" s="243"/>
      <c r="L825" s="243"/>
      <c r="M825" s="243"/>
      <c r="N825" s="243"/>
      <c r="O825" s="243"/>
      <c r="P825" s="243"/>
      <c r="Q825" s="243"/>
      <c r="R825" s="243"/>
      <c r="S825" s="243"/>
      <c r="T825" s="243"/>
      <c r="U825" s="243"/>
      <c r="V825" s="243"/>
      <c r="W825" s="243"/>
      <c r="X825" s="243"/>
      <c r="Y825" s="244"/>
      <c r="Z825" s="243"/>
      <c r="AA825" s="245"/>
      <c r="AB825" s="246"/>
      <c r="AC825" s="246"/>
      <c r="AD825" s="246"/>
      <c r="AE825" s="131"/>
      <c r="AF825" s="244"/>
      <c r="AG825" s="243"/>
      <c r="AH825" s="243"/>
      <c r="AI825" s="243"/>
      <c r="AJ825" s="243"/>
      <c r="AK825" s="243"/>
      <c r="AL825" s="243"/>
      <c r="AM825" s="243"/>
      <c r="AN825" s="243"/>
      <c r="AO825" s="243"/>
      <c r="AP825" s="243"/>
      <c r="AQ825" s="243"/>
      <c r="AR825" s="243"/>
      <c r="AS825" s="243"/>
      <c r="AT825" s="243"/>
      <c r="AU825" s="243"/>
      <c r="AV825" s="243"/>
      <c r="AW825" s="243"/>
      <c r="AX825" s="243"/>
      <c r="AY825" s="243"/>
      <c r="AZ825" s="243"/>
    </row>
    <row r="826" spans="1:52">
      <c r="A826" s="216" t="str">
        <f>IF(D826="","",VLOOKUP(G826,códigosORL!$H:$J,3,FALSE))</f>
        <v/>
      </c>
      <c r="B826" s="243"/>
      <c r="C826" s="259"/>
      <c r="D826" s="243"/>
      <c r="E826" s="243"/>
      <c r="F826" s="247"/>
      <c r="G826" s="243"/>
      <c r="H826" s="243"/>
      <c r="I826" s="243"/>
      <c r="J826" s="243"/>
      <c r="K826" s="243"/>
      <c r="L826" s="243"/>
      <c r="M826" s="243"/>
      <c r="N826" s="243"/>
      <c r="O826" s="243"/>
      <c r="P826" s="243"/>
      <c r="Q826" s="243"/>
      <c r="R826" s="243"/>
      <c r="S826" s="243"/>
      <c r="T826" s="243"/>
      <c r="U826" s="243"/>
      <c r="V826" s="243"/>
      <c r="W826" s="243"/>
      <c r="X826" s="243"/>
      <c r="Y826" s="244"/>
      <c r="Z826" s="243"/>
      <c r="AA826" s="245"/>
      <c r="AB826" s="246"/>
      <c r="AC826" s="246"/>
      <c r="AD826" s="246"/>
      <c r="AE826" s="131"/>
      <c r="AF826" s="244"/>
      <c r="AG826" s="243"/>
      <c r="AH826" s="243"/>
      <c r="AI826" s="243"/>
      <c r="AJ826" s="243"/>
      <c r="AK826" s="243"/>
      <c r="AL826" s="243"/>
      <c r="AM826" s="243"/>
      <c r="AN826" s="243"/>
      <c r="AO826" s="243"/>
      <c r="AP826" s="243"/>
      <c r="AQ826" s="243"/>
      <c r="AR826" s="243"/>
      <c r="AS826" s="243"/>
      <c r="AT826" s="243"/>
      <c r="AU826" s="243"/>
      <c r="AV826" s="243"/>
      <c r="AW826" s="243"/>
      <c r="AX826" s="243"/>
      <c r="AY826" s="243"/>
      <c r="AZ826" s="243"/>
    </row>
    <row r="827" spans="1:52">
      <c r="A827" s="216" t="str">
        <f>IF(D827="","",VLOOKUP(G827,códigosORL!$H:$J,3,FALSE))</f>
        <v/>
      </c>
      <c r="B827" s="243"/>
      <c r="C827" s="259"/>
      <c r="D827" s="243"/>
      <c r="E827" s="243"/>
      <c r="F827" s="247"/>
      <c r="G827" s="243"/>
      <c r="H827" s="243"/>
      <c r="I827" s="243"/>
      <c r="J827" s="243"/>
      <c r="K827" s="243"/>
      <c r="L827" s="243"/>
      <c r="M827" s="243"/>
      <c r="N827" s="243"/>
      <c r="O827" s="243"/>
      <c r="P827" s="243"/>
      <c r="Q827" s="243"/>
      <c r="R827" s="243"/>
      <c r="S827" s="243"/>
      <c r="T827" s="243"/>
      <c r="U827" s="243"/>
      <c r="V827" s="243"/>
      <c r="W827" s="243"/>
      <c r="X827" s="243"/>
      <c r="Y827" s="244"/>
      <c r="Z827" s="243"/>
      <c r="AA827" s="245"/>
      <c r="AB827" s="246"/>
      <c r="AC827" s="246"/>
      <c r="AD827" s="246"/>
      <c r="AE827" s="131"/>
      <c r="AF827" s="244"/>
      <c r="AG827" s="243"/>
      <c r="AH827" s="243"/>
      <c r="AI827" s="243"/>
      <c r="AJ827" s="243"/>
      <c r="AK827" s="243"/>
      <c r="AL827" s="243"/>
      <c r="AM827" s="243"/>
      <c r="AN827" s="243"/>
      <c r="AO827" s="243"/>
      <c r="AP827" s="243"/>
      <c r="AQ827" s="243"/>
      <c r="AR827" s="243"/>
      <c r="AS827" s="243"/>
      <c r="AT827" s="243"/>
      <c r="AU827" s="243"/>
      <c r="AV827" s="243"/>
      <c r="AW827" s="243"/>
      <c r="AX827" s="243"/>
      <c r="AY827" s="243"/>
      <c r="AZ827" s="243"/>
    </row>
    <row r="828" spans="1:52">
      <c r="A828" s="216" t="str">
        <f>IF(D828="","",VLOOKUP(G828,códigosORL!$H:$J,3,FALSE))</f>
        <v/>
      </c>
      <c r="B828" s="243"/>
      <c r="C828" s="259"/>
      <c r="D828" s="243"/>
      <c r="E828" s="243"/>
      <c r="F828" s="247"/>
      <c r="G828" s="243"/>
      <c r="H828" s="243"/>
      <c r="I828" s="243"/>
      <c r="J828" s="243"/>
      <c r="K828" s="243"/>
      <c r="L828" s="243"/>
      <c r="M828" s="243"/>
      <c r="N828" s="243"/>
      <c r="O828" s="243"/>
      <c r="P828" s="243"/>
      <c r="Q828" s="243"/>
      <c r="R828" s="243"/>
      <c r="S828" s="243"/>
      <c r="T828" s="243"/>
      <c r="U828" s="243"/>
      <c r="V828" s="243"/>
      <c r="W828" s="243"/>
      <c r="X828" s="243"/>
      <c r="Y828" s="244"/>
      <c r="Z828" s="243"/>
      <c r="AA828" s="245"/>
      <c r="AB828" s="246"/>
      <c r="AC828" s="246"/>
      <c r="AD828" s="246"/>
      <c r="AE828" s="131"/>
      <c r="AF828" s="244"/>
      <c r="AG828" s="243"/>
      <c r="AH828" s="243"/>
      <c r="AI828" s="243"/>
      <c r="AJ828" s="243"/>
      <c r="AK828" s="243"/>
      <c r="AL828" s="243"/>
      <c r="AM828" s="243"/>
      <c r="AN828" s="243"/>
      <c r="AO828" s="243"/>
      <c r="AP828" s="243"/>
      <c r="AQ828" s="243"/>
      <c r="AR828" s="243"/>
      <c r="AS828" s="243"/>
      <c r="AT828" s="243"/>
      <c r="AU828" s="243"/>
      <c r="AV828" s="243"/>
      <c r="AW828" s="243"/>
      <c r="AX828" s="243"/>
      <c r="AY828" s="243"/>
      <c r="AZ828" s="243"/>
    </row>
    <row r="829" spans="1:52">
      <c r="A829" s="216" t="str">
        <f>IF(D829="","",VLOOKUP(G829,códigosORL!$H:$J,3,FALSE))</f>
        <v/>
      </c>
      <c r="B829" s="243"/>
      <c r="C829" s="259"/>
      <c r="D829" s="243"/>
      <c r="E829" s="243"/>
      <c r="F829" s="247"/>
      <c r="G829" s="243"/>
      <c r="H829" s="243"/>
      <c r="I829" s="243"/>
      <c r="J829" s="243"/>
      <c r="K829" s="243"/>
      <c r="L829" s="243"/>
      <c r="M829" s="243"/>
      <c r="N829" s="243"/>
      <c r="O829" s="243"/>
      <c r="P829" s="243"/>
      <c r="Q829" s="243"/>
      <c r="R829" s="243"/>
      <c r="S829" s="243"/>
      <c r="T829" s="243"/>
      <c r="U829" s="243"/>
      <c r="V829" s="243"/>
      <c r="W829" s="243"/>
      <c r="X829" s="243"/>
      <c r="Y829" s="244"/>
      <c r="Z829" s="243"/>
      <c r="AA829" s="245"/>
      <c r="AB829" s="246"/>
      <c r="AC829" s="246"/>
      <c r="AD829" s="246"/>
      <c r="AE829" s="131"/>
      <c r="AF829" s="244"/>
      <c r="AG829" s="243"/>
      <c r="AH829" s="243"/>
      <c r="AI829" s="243"/>
      <c r="AJ829" s="243"/>
      <c r="AK829" s="243"/>
      <c r="AL829" s="243"/>
      <c r="AM829" s="243"/>
      <c r="AN829" s="243"/>
      <c r="AO829" s="243"/>
      <c r="AP829" s="243"/>
      <c r="AQ829" s="243"/>
      <c r="AR829" s="243"/>
      <c r="AS829" s="243"/>
      <c r="AT829" s="243"/>
      <c r="AU829" s="243"/>
      <c r="AV829" s="243"/>
      <c r="AW829" s="243"/>
      <c r="AX829" s="243"/>
      <c r="AY829" s="243"/>
      <c r="AZ829" s="243"/>
    </row>
    <row r="830" spans="1:52">
      <c r="A830" s="216" t="str">
        <f>IF(D830="","",VLOOKUP(G830,códigosORL!$H:$J,3,FALSE))</f>
        <v/>
      </c>
      <c r="B830" s="243"/>
      <c r="C830" s="259"/>
      <c r="D830" s="243"/>
      <c r="E830" s="243"/>
      <c r="F830" s="247"/>
      <c r="G830" s="243"/>
      <c r="H830" s="243"/>
      <c r="I830" s="243"/>
      <c r="J830" s="243"/>
      <c r="K830" s="243"/>
      <c r="L830" s="243"/>
      <c r="M830" s="243"/>
      <c r="N830" s="243"/>
      <c r="O830" s="243"/>
      <c r="P830" s="243"/>
      <c r="Q830" s="243"/>
      <c r="R830" s="243"/>
      <c r="S830" s="243"/>
      <c r="T830" s="243"/>
      <c r="U830" s="243"/>
      <c r="V830" s="243"/>
      <c r="W830" s="243"/>
      <c r="X830" s="243"/>
      <c r="Y830" s="244"/>
      <c r="Z830" s="243"/>
      <c r="AA830" s="245"/>
      <c r="AB830" s="246"/>
      <c r="AC830" s="246"/>
      <c r="AD830" s="246"/>
      <c r="AE830" s="131"/>
      <c r="AF830" s="244"/>
      <c r="AG830" s="243"/>
      <c r="AH830" s="243"/>
      <c r="AI830" s="243"/>
      <c r="AJ830" s="243"/>
      <c r="AK830" s="243"/>
      <c r="AL830" s="243"/>
      <c r="AM830" s="243"/>
      <c r="AN830" s="243"/>
      <c r="AO830" s="243"/>
      <c r="AP830" s="243"/>
      <c r="AQ830" s="243"/>
      <c r="AR830" s="243"/>
      <c r="AS830" s="243"/>
      <c r="AT830" s="243"/>
      <c r="AU830" s="243"/>
      <c r="AV830" s="243"/>
      <c r="AW830" s="243"/>
      <c r="AX830" s="243"/>
      <c r="AY830" s="243"/>
      <c r="AZ830" s="243"/>
    </row>
    <row r="831" spans="1:52">
      <c r="A831" s="216" t="str">
        <f>IF(D831="","",VLOOKUP(G831,códigosORL!$H:$J,3,FALSE))</f>
        <v/>
      </c>
      <c r="B831" s="243"/>
      <c r="C831" s="259"/>
      <c r="D831" s="243"/>
      <c r="E831" s="243"/>
      <c r="F831" s="247"/>
      <c r="G831" s="243"/>
      <c r="H831" s="243"/>
      <c r="I831" s="243"/>
      <c r="J831" s="243"/>
      <c r="K831" s="243"/>
      <c r="L831" s="243"/>
      <c r="M831" s="243"/>
      <c r="N831" s="243"/>
      <c r="O831" s="243"/>
      <c r="P831" s="243"/>
      <c r="Q831" s="243"/>
      <c r="R831" s="243"/>
      <c r="S831" s="243"/>
      <c r="T831" s="243"/>
      <c r="U831" s="243"/>
      <c r="V831" s="243"/>
      <c r="W831" s="243"/>
      <c r="X831" s="243"/>
      <c r="Y831" s="244"/>
      <c r="Z831" s="243"/>
      <c r="AA831" s="245"/>
      <c r="AB831" s="246"/>
      <c r="AC831" s="246"/>
      <c r="AD831" s="246"/>
      <c r="AE831" s="131"/>
      <c r="AF831" s="244"/>
      <c r="AG831" s="243"/>
      <c r="AH831" s="243"/>
      <c r="AI831" s="243"/>
      <c r="AJ831" s="243"/>
      <c r="AK831" s="243"/>
      <c r="AL831" s="243"/>
      <c r="AM831" s="243"/>
      <c r="AN831" s="243"/>
      <c r="AO831" s="243"/>
      <c r="AP831" s="243"/>
      <c r="AQ831" s="243"/>
      <c r="AR831" s="243"/>
      <c r="AS831" s="243"/>
      <c r="AT831" s="243"/>
      <c r="AU831" s="243"/>
      <c r="AV831" s="243"/>
      <c r="AW831" s="243"/>
      <c r="AX831" s="243"/>
      <c r="AY831" s="243"/>
      <c r="AZ831" s="243"/>
    </row>
    <row r="832" spans="1:52">
      <c r="A832" s="216" t="str">
        <f>IF(D832="","",VLOOKUP(G832,códigosORL!$H:$J,3,FALSE))</f>
        <v/>
      </c>
      <c r="B832" s="243"/>
      <c r="C832" s="259"/>
      <c r="D832" s="243"/>
      <c r="E832" s="243"/>
      <c r="F832" s="247"/>
      <c r="G832" s="243"/>
      <c r="H832" s="243"/>
      <c r="I832" s="243"/>
      <c r="J832" s="243"/>
      <c r="K832" s="243"/>
      <c r="L832" s="243"/>
      <c r="M832" s="243"/>
      <c r="N832" s="243"/>
      <c r="O832" s="243"/>
      <c r="P832" s="243"/>
      <c r="Q832" s="243"/>
      <c r="R832" s="243"/>
      <c r="S832" s="243"/>
      <c r="T832" s="243"/>
      <c r="U832" s="243"/>
      <c r="V832" s="243"/>
      <c r="W832" s="243"/>
      <c r="X832" s="243"/>
      <c r="Y832" s="244"/>
      <c r="Z832" s="243"/>
      <c r="AA832" s="245"/>
      <c r="AB832" s="246"/>
      <c r="AC832" s="246"/>
      <c r="AD832" s="246"/>
      <c r="AE832" s="131"/>
      <c r="AF832" s="244"/>
      <c r="AG832" s="243"/>
      <c r="AH832" s="243"/>
      <c r="AI832" s="243"/>
      <c r="AJ832" s="243"/>
      <c r="AK832" s="243"/>
      <c r="AL832" s="243"/>
      <c r="AM832" s="243"/>
      <c r="AN832" s="243"/>
      <c r="AO832" s="243"/>
      <c r="AP832" s="243"/>
      <c r="AQ832" s="243"/>
      <c r="AR832" s="243"/>
      <c r="AS832" s="243"/>
      <c r="AT832" s="243"/>
      <c r="AU832" s="243"/>
      <c r="AV832" s="243"/>
      <c r="AW832" s="243"/>
      <c r="AX832" s="243"/>
      <c r="AY832" s="243"/>
      <c r="AZ832" s="243"/>
    </row>
    <row r="833" spans="1:52">
      <c r="A833" s="216" t="str">
        <f>IF(D833="","",VLOOKUP(G833,códigosORL!$H:$J,3,FALSE))</f>
        <v/>
      </c>
      <c r="B833" s="243"/>
      <c r="C833" s="259"/>
      <c r="D833" s="243"/>
      <c r="E833" s="243"/>
      <c r="F833" s="247"/>
      <c r="G833" s="243"/>
      <c r="H833" s="243"/>
      <c r="I833" s="243"/>
      <c r="J833" s="243"/>
      <c r="K833" s="243"/>
      <c r="L833" s="243"/>
      <c r="M833" s="243"/>
      <c r="N833" s="243"/>
      <c r="O833" s="243"/>
      <c r="P833" s="243"/>
      <c r="Q833" s="243"/>
      <c r="R833" s="243"/>
      <c r="S833" s="243"/>
      <c r="T833" s="243"/>
      <c r="U833" s="243"/>
      <c r="V833" s="243"/>
      <c r="W833" s="243"/>
      <c r="X833" s="243"/>
      <c r="Y833" s="244"/>
      <c r="Z833" s="243"/>
      <c r="AA833" s="245"/>
      <c r="AB833" s="246"/>
      <c r="AC833" s="246"/>
      <c r="AD833" s="246"/>
      <c r="AE833" s="131"/>
      <c r="AF833" s="244"/>
      <c r="AG833" s="243"/>
      <c r="AH833" s="243"/>
      <c r="AI833" s="243"/>
      <c r="AJ833" s="243"/>
      <c r="AK833" s="243"/>
      <c r="AL833" s="243"/>
      <c r="AM833" s="243"/>
      <c r="AN833" s="243"/>
      <c r="AO833" s="243"/>
      <c r="AP833" s="243"/>
      <c r="AQ833" s="243"/>
      <c r="AR833" s="243"/>
      <c r="AS833" s="243"/>
      <c r="AT833" s="243"/>
      <c r="AU833" s="243"/>
      <c r="AV833" s="243"/>
      <c r="AW833" s="243"/>
      <c r="AX833" s="243"/>
      <c r="AY833" s="243"/>
      <c r="AZ833" s="243"/>
    </row>
    <row r="834" spans="1:52">
      <c r="A834" s="216" t="str">
        <f>IF(D834="","",VLOOKUP(G834,códigosORL!$H:$J,3,FALSE))</f>
        <v/>
      </c>
      <c r="B834" s="243"/>
      <c r="C834" s="259"/>
      <c r="D834" s="243"/>
      <c r="E834" s="243"/>
      <c r="F834" s="247"/>
      <c r="G834" s="243"/>
      <c r="H834" s="243"/>
      <c r="I834" s="243"/>
      <c r="J834" s="243"/>
      <c r="K834" s="243"/>
      <c r="L834" s="243"/>
      <c r="M834" s="243"/>
      <c r="N834" s="243"/>
      <c r="O834" s="243"/>
      <c r="P834" s="243"/>
      <c r="Q834" s="243"/>
      <c r="R834" s="243"/>
      <c r="S834" s="243"/>
      <c r="T834" s="243"/>
      <c r="U834" s="243"/>
      <c r="V834" s="243"/>
      <c r="W834" s="243"/>
      <c r="X834" s="243"/>
      <c r="Y834" s="244"/>
      <c r="Z834" s="243"/>
      <c r="AA834" s="245"/>
      <c r="AB834" s="246"/>
      <c r="AC834" s="246"/>
      <c r="AD834" s="246"/>
      <c r="AE834" s="131"/>
      <c r="AF834" s="244"/>
      <c r="AG834" s="243"/>
      <c r="AH834" s="243"/>
      <c r="AI834" s="243"/>
      <c r="AJ834" s="243"/>
      <c r="AK834" s="243"/>
      <c r="AL834" s="243"/>
      <c r="AM834" s="243"/>
      <c r="AN834" s="243"/>
      <c r="AO834" s="243"/>
      <c r="AP834" s="243"/>
      <c r="AQ834" s="243"/>
      <c r="AR834" s="243"/>
      <c r="AS834" s="243"/>
      <c r="AT834" s="243"/>
      <c r="AU834" s="243"/>
      <c r="AV834" s="243"/>
      <c r="AW834" s="243"/>
      <c r="AX834" s="243"/>
      <c r="AY834" s="243"/>
      <c r="AZ834" s="243"/>
    </row>
    <row r="835" spans="1:52">
      <c r="A835" s="216" t="str">
        <f>IF(D835="","",VLOOKUP(G835,códigosORL!$H:$J,3,FALSE))</f>
        <v/>
      </c>
      <c r="B835" s="243"/>
      <c r="C835" s="259"/>
      <c r="D835" s="243"/>
      <c r="E835" s="243"/>
      <c r="F835" s="247"/>
      <c r="G835" s="243"/>
      <c r="H835" s="243"/>
      <c r="I835" s="243"/>
      <c r="J835" s="243"/>
      <c r="K835" s="243"/>
      <c r="L835" s="243"/>
      <c r="M835" s="243"/>
      <c r="N835" s="243"/>
      <c r="O835" s="243"/>
      <c r="P835" s="243"/>
      <c r="Q835" s="243"/>
      <c r="R835" s="243"/>
      <c r="S835" s="243"/>
      <c r="T835" s="243"/>
      <c r="U835" s="243"/>
      <c r="V835" s="243"/>
      <c r="W835" s="243"/>
      <c r="X835" s="243"/>
      <c r="Y835" s="244"/>
      <c r="Z835" s="243"/>
      <c r="AA835" s="245"/>
      <c r="AB835" s="246"/>
      <c r="AC835" s="246"/>
      <c r="AD835" s="246"/>
      <c r="AE835" s="131"/>
      <c r="AF835" s="244"/>
      <c r="AG835" s="243"/>
      <c r="AH835" s="243"/>
      <c r="AI835" s="243"/>
      <c r="AJ835" s="243"/>
      <c r="AK835" s="243"/>
      <c r="AL835" s="243"/>
      <c r="AM835" s="243"/>
      <c r="AN835" s="243"/>
      <c r="AO835" s="243"/>
      <c r="AP835" s="243"/>
      <c r="AQ835" s="243"/>
      <c r="AR835" s="243"/>
      <c r="AS835" s="243"/>
      <c r="AT835" s="243"/>
      <c r="AU835" s="243"/>
      <c r="AV835" s="243"/>
      <c r="AW835" s="243"/>
      <c r="AX835" s="243"/>
      <c r="AY835" s="243"/>
      <c r="AZ835" s="243"/>
    </row>
    <row r="836" spans="1:52">
      <c r="A836" s="216" t="str">
        <f>IF(D836="","",VLOOKUP(G836,códigosORL!$H:$J,3,FALSE))</f>
        <v/>
      </c>
      <c r="B836" s="243"/>
      <c r="C836" s="259"/>
      <c r="D836" s="243"/>
      <c r="E836" s="243"/>
      <c r="F836" s="247"/>
      <c r="G836" s="243"/>
      <c r="H836" s="243"/>
      <c r="I836" s="243"/>
      <c r="J836" s="243"/>
      <c r="K836" s="243"/>
      <c r="L836" s="243"/>
      <c r="M836" s="243"/>
      <c r="N836" s="243"/>
      <c r="O836" s="243"/>
      <c r="P836" s="243"/>
      <c r="Q836" s="243"/>
      <c r="R836" s="243"/>
      <c r="S836" s="243"/>
      <c r="T836" s="243"/>
      <c r="U836" s="243"/>
      <c r="V836" s="243"/>
      <c r="W836" s="243"/>
      <c r="X836" s="243"/>
      <c r="Y836" s="244"/>
      <c r="Z836" s="243"/>
      <c r="AA836" s="245"/>
      <c r="AB836" s="246"/>
      <c r="AC836" s="246"/>
      <c r="AD836" s="246"/>
      <c r="AE836" s="131"/>
      <c r="AF836" s="244"/>
      <c r="AG836" s="243"/>
      <c r="AH836" s="243"/>
      <c r="AI836" s="243"/>
      <c r="AJ836" s="243"/>
      <c r="AK836" s="243"/>
      <c r="AL836" s="243"/>
      <c r="AM836" s="243"/>
      <c r="AN836" s="243"/>
      <c r="AO836" s="243"/>
      <c r="AP836" s="243"/>
      <c r="AQ836" s="243"/>
      <c r="AR836" s="243"/>
      <c r="AS836" s="243"/>
      <c r="AT836" s="243"/>
      <c r="AU836" s="243"/>
      <c r="AV836" s="243"/>
      <c r="AW836" s="243"/>
      <c r="AX836" s="243"/>
      <c r="AY836" s="243"/>
      <c r="AZ836" s="243"/>
    </row>
    <row r="837" spans="1:52">
      <c r="A837" s="216" t="str">
        <f>IF(D837="","",VLOOKUP(G837,códigosORL!$H:$J,3,FALSE))</f>
        <v/>
      </c>
      <c r="B837" s="243"/>
      <c r="C837" s="259"/>
      <c r="D837" s="243"/>
      <c r="E837" s="243"/>
      <c r="F837" s="247"/>
      <c r="G837" s="243"/>
      <c r="H837" s="243"/>
      <c r="I837" s="243"/>
      <c r="J837" s="243"/>
      <c r="K837" s="243"/>
      <c r="L837" s="243"/>
      <c r="M837" s="243"/>
      <c r="N837" s="243"/>
      <c r="O837" s="243"/>
      <c r="P837" s="243"/>
      <c r="Q837" s="243"/>
      <c r="R837" s="243"/>
      <c r="S837" s="243"/>
      <c r="T837" s="243"/>
      <c r="U837" s="243"/>
      <c r="V837" s="243"/>
      <c r="W837" s="243"/>
      <c r="X837" s="243"/>
      <c r="Y837" s="244"/>
      <c r="Z837" s="243"/>
      <c r="AA837" s="245"/>
      <c r="AB837" s="246"/>
      <c r="AC837" s="246"/>
      <c r="AD837" s="246"/>
      <c r="AE837" s="131"/>
      <c r="AF837" s="244"/>
      <c r="AG837" s="243"/>
      <c r="AH837" s="243"/>
      <c r="AI837" s="243"/>
      <c r="AJ837" s="243"/>
      <c r="AK837" s="243"/>
      <c r="AL837" s="243"/>
      <c r="AM837" s="243"/>
      <c r="AN837" s="243"/>
      <c r="AO837" s="243"/>
      <c r="AP837" s="243"/>
      <c r="AQ837" s="243"/>
      <c r="AR837" s="243"/>
      <c r="AS837" s="243"/>
      <c r="AT837" s="243"/>
      <c r="AU837" s="243"/>
      <c r="AV837" s="243"/>
      <c r="AW837" s="243"/>
      <c r="AX837" s="243"/>
      <c r="AY837" s="243"/>
      <c r="AZ837" s="243"/>
    </row>
    <row r="838" spans="1:52">
      <c r="A838" s="216" t="str">
        <f>IF(D838="","",VLOOKUP(G838,códigosORL!$H:$J,3,FALSE))</f>
        <v/>
      </c>
      <c r="B838" s="243"/>
      <c r="C838" s="259"/>
      <c r="D838" s="243"/>
      <c r="E838" s="243"/>
      <c r="F838" s="247"/>
      <c r="G838" s="243"/>
      <c r="H838" s="243"/>
      <c r="I838" s="243"/>
      <c r="J838" s="243"/>
      <c r="K838" s="243"/>
      <c r="L838" s="243"/>
      <c r="M838" s="243"/>
      <c r="N838" s="243"/>
      <c r="O838" s="243"/>
      <c r="P838" s="243"/>
      <c r="Q838" s="243"/>
      <c r="R838" s="243"/>
      <c r="S838" s="243"/>
      <c r="T838" s="243"/>
      <c r="U838" s="243"/>
      <c r="V838" s="243"/>
      <c r="W838" s="243"/>
      <c r="X838" s="243"/>
      <c r="Y838" s="244"/>
      <c r="Z838" s="243"/>
      <c r="AA838" s="245"/>
      <c r="AB838" s="246"/>
      <c r="AC838" s="246"/>
      <c r="AD838" s="246"/>
      <c r="AE838" s="131"/>
      <c r="AF838" s="244"/>
      <c r="AG838" s="243"/>
      <c r="AH838" s="243"/>
      <c r="AI838" s="243"/>
      <c r="AJ838" s="243"/>
      <c r="AK838" s="243"/>
      <c r="AL838" s="243"/>
      <c r="AM838" s="243"/>
      <c r="AN838" s="243"/>
      <c r="AO838" s="243"/>
      <c r="AP838" s="243"/>
      <c r="AQ838" s="243"/>
      <c r="AR838" s="243"/>
      <c r="AS838" s="243"/>
      <c r="AT838" s="243"/>
      <c r="AU838" s="243"/>
      <c r="AV838" s="243"/>
      <c r="AW838" s="243"/>
      <c r="AX838" s="243"/>
      <c r="AY838" s="243"/>
      <c r="AZ838" s="243"/>
    </row>
    <row r="839" spans="1:52">
      <c r="A839" s="216" t="str">
        <f>IF(D839="","",VLOOKUP(G839,códigosORL!$H:$J,3,FALSE))</f>
        <v/>
      </c>
      <c r="B839" s="243"/>
      <c r="C839" s="259"/>
      <c r="D839" s="243"/>
      <c r="E839" s="243"/>
      <c r="F839" s="247"/>
      <c r="G839" s="243"/>
      <c r="H839" s="243"/>
      <c r="I839" s="243"/>
      <c r="J839" s="243"/>
      <c r="K839" s="243"/>
      <c r="L839" s="243"/>
      <c r="M839" s="243"/>
      <c r="N839" s="243"/>
      <c r="O839" s="243"/>
      <c r="P839" s="243"/>
      <c r="Q839" s="243"/>
      <c r="R839" s="243"/>
      <c r="S839" s="243"/>
      <c r="T839" s="243"/>
      <c r="U839" s="243"/>
      <c r="V839" s="243"/>
      <c r="W839" s="243"/>
      <c r="X839" s="243"/>
      <c r="Y839" s="244"/>
      <c r="Z839" s="243"/>
      <c r="AA839" s="245"/>
      <c r="AB839" s="246"/>
      <c r="AC839" s="246"/>
      <c r="AD839" s="246"/>
      <c r="AE839" s="131"/>
      <c r="AF839" s="244"/>
      <c r="AG839" s="243"/>
      <c r="AH839" s="243"/>
      <c r="AI839" s="243"/>
      <c r="AJ839" s="243"/>
      <c r="AK839" s="243"/>
      <c r="AL839" s="243"/>
      <c r="AM839" s="243"/>
      <c r="AN839" s="243"/>
      <c r="AO839" s="243"/>
      <c r="AP839" s="243"/>
      <c r="AQ839" s="243"/>
      <c r="AR839" s="243"/>
      <c r="AS839" s="243"/>
      <c r="AT839" s="243"/>
      <c r="AU839" s="243"/>
      <c r="AV839" s="243"/>
      <c r="AW839" s="243"/>
      <c r="AX839" s="243"/>
      <c r="AY839" s="243"/>
      <c r="AZ839" s="243"/>
    </row>
    <row r="840" spans="1:52">
      <c r="A840" s="216" t="str">
        <f>IF(D840="","",VLOOKUP(G840,códigosORL!$H:$J,3,FALSE))</f>
        <v/>
      </c>
      <c r="B840" s="243"/>
      <c r="C840" s="259"/>
      <c r="D840" s="243"/>
      <c r="E840" s="243"/>
      <c r="F840" s="247"/>
      <c r="G840" s="243"/>
      <c r="H840" s="243"/>
      <c r="I840" s="243"/>
      <c r="J840" s="243"/>
      <c r="K840" s="243"/>
      <c r="L840" s="243"/>
      <c r="M840" s="243"/>
      <c r="N840" s="243"/>
      <c r="O840" s="243"/>
      <c r="P840" s="243"/>
      <c r="Q840" s="243"/>
      <c r="R840" s="243"/>
      <c r="S840" s="243"/>
      <c r="T840" s="243"/>
      <c r="U840" s="243"/>
      <c r="V840" s="243"/>
      <c r="W840" s="243"/>
      <c r="X840" s="243"/>
      <c r="Y840" s="244"/>
      <c r="Z840" s="243"/>
      <c r="AA840" s="245"/>
      <c r="AB840" s="246"/>
      <c r="AC840" s="246"/>
      <c r="AD840" s="246"/>
      <c r="AE840" s="131"/>
      <c r="AF840" s="244"/>
      <c r="AG840" s="243"/>
      <c r="AH840" s="243"/>
      <c r="AI840" s="243"/>
      <c r="AJ840" s="243"/>
      <c r="AK840" s="243"/>
      <c r="AL840" s="243"/>
      <c r="AM840" s="243"/>
      <c r="AN840" s="243"/>
      <c r="AO840" s="243"/>
      <c r="AP840" s="243"/>
      <c r="AQ840" s="243"/>
      <c r="AR840" s="243"/>
      <c r="AS840" s="243"/>
      <c r="AT840" s="243"/>
      <c r="AU840" s="243"/>
      <c r="AV840" s="243"/>
      <c r="AW840" s="243"/>
      <c r="AX840" s="243"/>
      <c r="AY840" s="243"/>
      <c r="AZ840" s="243"/>
    </row>
    <row r="841" spans="1:52">
      <c r="A841" s="216" t="str">
        <f>IF(D841="","",VLOOKUP(G841,códigosORL!$H:$J,3,FALSE))</f>
        <v/>
      </c>
      <c r="B841" s="243"/>
      <c r="C841" s="259"/>
      <c r="D841" s="243"/>
      <c r="E841" s="243"/>
      <c r="F841" s="247"/>
      <c r="G841" s="243"/>
      <c r="H841" s="243"/>
      <c r="I841" s="243"/>
      <c r="J841" s="243"/>
      <c r="K841" s="243"/>
      <c r="L841" s="243"/>
      <c r="M841" s="243"/>
      <c r="N841" s="243"/>
      <c r="O841" s="243"/>
      <c r="P841" s="243"/>
      <c r="Q841" s="243"/>
      <c r="R841" s="243"/>
      <c r="S841" s="243"/>
      <c r="T841" s="243"/>
      <c r="U841" s="243"/>
      <c r="V841" s="243"/>
      <c r="W841" s="243"/>
      <c r="X841" s="243"/>
      <c r="Y841" s="244"/>
      <c r="Z841" s="243"/>
      <c r="AA841" s="245"/>
      <c r="AB841" s="246"/>
      <c r="AC841" s="246"/>
      <c r="AD841" s="246"/>
      <c r="AE841" s="131"/>
      <c r="AF841" s="244"/>
      <c r="AG841" s="243"/>
      <c r="AH841" s="243"/>
      <c r="AI841" s="243"/>
      <c r="AJ841" s="243"/>
      <c r="AK841" s="243"/>
      <c r="AL841" s="243"/>
      <c r="AM841" s="243"/>
      <c r="AN841" s="243"/>
      <c r="AO841" s="243"/>
      <c r="AP841" s="243"/>
      <c r="AQ841" s="243"/>
      <c r="AR841" s="243"/>
      <c r="AS841" s="243"/>
      <c r="AT841" s="243"/>
      <c r="AU841" s="243"/>
      <c r="AV841" s="243"/>
      <c r="AW841" s="243"/>
      <c r="AX841" s="243"/>
      <c r="AY841" s="243"/>
      <c r="AZ841" s="243"/>
    </row>
    <row r="842" spans="1:52">
      <c r="A842" s="216" t="str">
        <f>IF(D842="","",VLOOKUP(G842,códigosORL!$H:$J,3,FALSE))</f>
        <v/>
      </c>
      <c r="B842" s="243"/>
      <c r="C842" s="259"/>
      <c r="D842" s="243"/>
      <c r="E842" s="243"/>
      <c r="F842" s="247"/>
      <c r="G842" s="243"/>
      <c r="H842" s="243"/>
      <c r="I842" s="243"/>
      <c r="J842" s="243"/>
      <c r="K842" s="243"/>
      <c r="L842" s="243"/>
      <c r="M842" s="243"/>
      <c r="N842" s="243"/>
      <c r="O842" s="243"/>
      <c r="P842" s="243"/>
      <c r="Q842" s="243"/>
      <c r="R842" s="243"/>
      <c r="S842" s="243"/>
      <c r="T842" s="243"/>
      <c r="U842" s="243"/>
      <c r="V842" s="243"/>
      <c r="W842" s="243"/>
      <c r="X842" s="243"/>
      <c r="Y842" s="244"/>
      <c r="Z842" s="243"/>
      <c r="AA842" s="245"/>
      <c r="AB842" s="246"/>
      <c r="AC842" s="246"/>
      <c r="AD842" s="246"/>
      <c r="AE842" s="131"/>
      <c r="AF842" s="244"/>
      <c r="AG842" s="243"/>
      <c r="AH842" s="243"/>
      <c r="AI842" s="243"/>
      <c r="AJ842" s="243"/>
      <c r="AK842" s="243"/>
      <c r="AL842" s="243"/>
      <c r="AM842" s="243"/>
      <c r="AN842" s="243"/>
      <c r="AO842" s="243"/>
      <c r="AP842" s="243"/>
      <c r="AQ842" s="243"/>
      <c r="AR842" s="243"/>
      <c r="AS842" s="243"/>
      <c r="AT842" s="243"/>
      <c r="AU842" s="243"/>
      <c r="AV842" s="243"/>
      <c r="AW842" s="243"/>
      <c r="AX842" s="243"/>
      <c r="AY842" s="243"/>
      <c r="AZ842" s="243"/>
    </row>
    <row r="843" spans="1:52">
      <c r="A843" s="216" t="str">
        <f>IF(D843="","",VLOOKUP(G843,códigosORL!$H:$J,3,FALSE))</f>
        <v/>
      </c>
      <c r="B843" s="243"/>
      <c r="C843" s="259"/>
      <c r="D843" s="243"/>
      <c r="E843" s="243"/>
      <c r="F843" s="247"/>
      <c r="G843" s="243"/>
      <c r="H843" s="243"/>
      <c r="I843" s="243"/>
      <c r="J843" s="243"/>
      <c r="K843" s="243"/>
      <c r="L843" s="243"/>
      <c r="M843" s="243"/>
      <c r="N843" s="243"/>
      <c r="O843" s="243"/>
      <c r="P843" s="243"/>
      <c r="Q843" s="243"/>
      <c r="R843" s="243"/>
      <c r="S843" s="243"/>
      <c r="T843" s="243"/>
      <c r="U843" s="243"/>
      <c r="V843" s="243"/>
      <c r="W843" s="243"/>
      <c r="X843" s="243"/>
      <c r="Y843" s="244"/>
      <c r="Z843" s="243"/>
      <c r="AA843" s="245"/>
      <c r="AB843" s="246"/>
      <c r="AC843" s="246"/>
      <c r="AD843" s="246"/>
      <c r="AE843" s="131"/>
      <c r="AF843" s="244"/>
      <c r="AG843" s="243"/>
      <c r="AH843" s="243"/>
      <c r="AI843" s="243"/>
      <c r="AJ843" s="243"/>
      <c r="AK843" s="243"/>
      <c r="AL843" s="243"/>
      <c r="AM843" s="243"/>
      <c r="AN843" s="243"/>
      <c r="AO843" s="243"/>
      <c r="AP843" s="243"/>
      <c r="AQ843" s="243"/>
      <c r="AR843" s="243"/>
      <c r="AS843" s="243"/>
      <c r="AT843" s="243"/>
      <c r="AU843" s="243"/>
      <c r="AV843" s="243"/>
      <c r="AW843" s="243"/>
      <c r="AX843" s="243"/>
      <c r="AY843" s="243"/>
      <c r="AZ843" s="243"/>
    </row>
    <row r="844" spans="1:52">
      <c r="A844" s="216" t="str">
        <f>IF(D844="","",VLOOKUP(G844,códigosORL!$H:$J,3,FALSE))</f>
        <v/>
      </c>
      <c r="B844" s="243"/>
      <c r="C844" s="259"/>
      <c r="D844" s="243"/>
      <c r="E844" s="243"/>
      <c r="F844" s="247"/>
      <c r="G844" s="243"/>
      <c r="H844" s="243"/>
      <c r="I844" s="243"/>
      <c r="J844" s="243"/>
      <c r="K844" s="243"/>
      <c r="L844" s="243"/>
      <c r="M844" s="243"/>
      <c r="N844" s="243"/>
      <c r="O844" s="243"/>
      <c r="P844" s="243"/>
      <c r="Q844" s="243"/>
      <c r="R844" s="243"/>
      <c r="S844" s="243"/>
      <c r="T844" s="243"/>
      <c r="U844" s="243"/>
      <c r="V844" s="243"/>
      <c r="W844" s="243"/>
      <c r="X844" s="243"/>
      <c r="Y844" s="244"/>
      <c r="Z844" s="243"/>
      <c r="AA844" s="245"/>
      <c r="AB844" s="246"/>
      <c r="AC844" s="246"/>
      <c r="AD844" s="246"/>
      <c r="AE844" s="131"/>
      <c r="AF844" s="244"/>
      <c r="AG844" s="243"/>
      <c r="AH844" s="243"/>
      <c r="AI844" s="243"/>
      <c r="AJ844" s="243"/>
      <c r="AK844" s="243"/>
      <c r="AL844" s="243"/>
      <c r="AM844" s="243"/>
      <c r="AN844" s="243"/>
      <c r="AO844" s="243"/>
      <c r="AP844" s="243"/>
      <c r="AQ844" s="243"/>
      <c r="AR844" s="243"/>
      <c r="AS844" s="243"/>
      <c r="AT844" s="243"/>
      <c r="AU844" s="243"/>
      <c r="AV844" s="243"/>
      <c r="AW844" s="243"/>
      <c r="AX844" s="243"/>
      <c r="AY844" s="243"/>
      <c r="AZ844" s="243"/>
    </row>
    <row r="845" spans="1:52">
      <c r="A845" s="216" t="str">
        <f>IF(D845="","",VLOOKUP(G845,códigosORL!$H:$J,3,FALSE))</f>
        <v/>
      </c>
      <c r="B845" s="243"/>
      <c r="C845" s="259"/>
      <c r="D845" s="243"/>
      <c r="E845" s="243"/>
      <c r="F845" s="247"/>
      <c r="G845" s="243"/>
      <c r="H845" s="243"/>
      <c r="I845" s="243"/>
      <c r="J845" s="243"/>
      <c r="K845" s="243"/>
      <c r="L845" s="243"/>
      <c r="M845" s="243"/>
      <c r="N845" s="243"/>
      <c r="O845" s="243"/>
      <c r="P845" s="243"/>
      <c r="Q845" s="243"/>
      <c r="R845" s="243"/>
      <c r="S845" s="243"/>
      <c r="T845" s="243"/>
      <c r="U845" s="243"/>
      <c r="V845" s="243"/>
      <c r="W845" s="243"/>
      <c r="X845" s="243"/>
      <c r="Y845" s="244"/>
      <c r="Z845" s="243"/>
      <c r="AA845" s="245"/>
      <c r="AB845" s="246"/>
      <c r="AC845" s="246"/>
      <c r="AD845" s="246"/>
      <c r="AE845" s="131"/>
      <c r="AF845" s="244"/>
      <c r="AG845" s="243"/>
      <c r="AH845" s="243"/>
      <c r="AI845" s="243"/>
      <c r="AJ845" s="243"/>
      <c r="AK845" s="243"/>
      <c r="AL845" s="243"/>
      <c r="AM845" s="243"/>
      <c r="AN845" s="243"/>
      <c r="AO845" s="243"/>
      <c r="AP845" s="243"/>
      <c r="AQ845" s="243"/>
      <c r="AR845" s="243"/>
      <c r="AS845" s="243"/>
      <c r="AT845" s="243"/>
      <c r="AU845" s="243"/>
      <c r="AV845" s="243"/>
      <c r="AW845" s="243"/>
      <c r="AX845" s="243"/>
      <c r="AY845" s="243"/>
      <c r="AZ845" s="243"/>
    </row>
    <row r="846" spans="1:52">
      <c r="A846" s="216" t="str">
        <f>IF(D846="","",VLOOKUP(G846,códigosORL!$H:$J,3,FALSE))</f>
        <v/>
      </c>
      <c r="B846" s="243"/>
      <c r="C846" s="259"/>
      <c r="D846" s="243"/>
      <c r="E846" s="243"/>
      <c r="F846" s="247"/>
      <c r="G846" s="243"/>
      <c r="H846" s="243"/>
      <c r="I846" s="243"/>
      <c r="J846" s="243"/>
      <c r="K846" s="243"/>
      <c r="L846" s="243"/>
      <c r="M846" s="243"/>
      <c r="N846" s="243"/>
      <c r="O846" s="243"/>
      <c r="P846" s="243"/>
      <c r="Q846" s="243"/>
      <c r="R846" s="243"/>
      <c r="S846" s="243"/>
      <c r="T846" s="243"/>
      <c r="U846" s="243"/>
      <c r="V846" s="243"/>
      <c r="W846" s="243"/>
      <c r="X846" s="243"/>
      <c r="Y846" s="244"/>
      <c r="Z846" s="243"/>
      <c r="AA846" s="245"/>
      <c r="AB846" s="246"/>
      <c r="AC846" s="246"/>
      <c r="AD846" s="246"/>
      <c r="AE846" s="131"/>
      <c r="AF846" s="244"/>
      <c r="AG846" s="243"/>
      <c r="AH846" s="243"/>
      <c r="AI846" s="243"/>
      <c r="AJ846" s="243"/>
      <c r="AK846" s="243"/>
      <c r="AL846" s="243"/>
      <c r="AM846" s="243"/>
      <c r="AN846" s="243"/>
      <c r="AO846" s="243"/>
      <c r="AP846" s="243"/>
      <c r="AQ846" s="243"/>
      <c r="AR846" s="243"/>
      <c r="AS846" s="243"/>
      <c r="AT846" s="243"/>
      <c r="AU846" s="243"/>
      <c r="AV846" s="243"/>
      <c r="AW846" s="243"/>
      <c r="AX846" s="243"/>
      <c r="AY846" s="243"/>
      <c r="AZ846" s="243"/>
    </row>
    <row r="847" spans="1:52">
      <c r="A847" s="216" t="str">
        <f>IF(D847="","",VLOOKUP(G847,códigosORL!$H:$J,3,FALSE))</f>
        <v/>
      </c>
      <c r="B847" s="243"/>
      <c r="C847" s="259"/>
      <c r="D847" s="243"/>
      <c r="E847" s="243"/>
      <c r="F847" s="247"/>
      <c r="G847" s="243"/>
      <c r="H847" s="243"/>
      <c r="I847" s="243"/>
      <c r="J847" s="243"/>
      <c r="K847" s="243"/>
      <c r="L847" s="243"/>
      <c r="M847" s="243"/>
      <c r="N847" s="243"/>
      <c r="O847" s="243"/>
      <c r="P847" s="243"/>
      <c r="Q847" s="243"/>
      <c r="R847" s="243"/>
      <c r="S847" s="243"/>
      <c r="T847" s="243"/>
      <c r="U847" s="243"/>
      <c r="V847" s="243"/>
      <c r="W847" s="243"/>
      <c r="X847" s="243"/>
      <c r="Y847" s="244"/>
      <c r="Z847" s="243"/>
      <c r="AA847" s="245"/>
      <c r="AB847" s="246"/>
      <c r="AC847" s="246"/>
      <c r="AD847" s="246"/>
      <c r="AE847" s="131"/>
      <c r="AF847" s="244"/>
      <c r="AG847" s="243"/>
      <c r="AH847" s="243"/>
      <c r="AI847" s="243"/>
      <c r="AJ847" s="243"/>
      <c r="AK847" s="243"/>
      <c r="AL847" s="243"/>
      <c r="AM847" s="243"/>
      <c r="AN847" s="243"/>
      <c r="AO847" s="243"/>
      <c r="AP847" s="243"/>
      <c r="AQ847" s="243"/>
      <c r="AR847" s="243"/>
      <c r="AS847" s="243"/>
      <c r="AT847" s="243"/>
      <c r="AU847" s="243"/>
      <c r="AV847" s="243"/>
      <c r="AW847" s="243"/>
      <c r="AX847" s="243"/>
      <c r="AY847" s="243"/>
      <c r="AZ847" s="243"/>
    </row>
    <row r="848" spans="1:52">
      <c r="A848" s="216" t="str">
        <f>IF(D848="","",VLOOKUP(G848,códigosORL!$H:$J,3,FALSE))</f>
        <v/>
      </c>
      <c r="B848" s="243"/>
      <c r="C848" s="259"/>
      <c r="D848" s="243"/>
      <c r="E848" s="243"/>
      <c r="F848" s="247"/>
      <c r="G848" s="243"/>
      <c r="H848" s="243"/>
      <c r="I848" s="243"/>
      <c r="J848" s="243"/>
      <c r="K848" s="243"/>
      <c r="L848" s="243"/>
      <c r="M848" s="243"/>
      <c r="N848" s="243"/>
      <c r="O848" s="243"/>
      <c r="P848" s="243"/>
      <c r="Q848" s="243"/>
      <c r="R848" s="243"/>
      <c r="S848" s="243"/>
      <c r="T848" s="243"/>
      <c r="U848" s="243"/>
      <c r="V848" s="243"/>
      <c r="W848" s="243"/>
      <c r="X848" s="243"/>
      <c r="Y848" s="244"/>
      <c r="Z848" s="243"/>
      <c r="AA848" s="245"/>
      <c r="AB848" s="246"/>
      <c r="AC848" s="246"/>
      <c r="AD848" s="246"/>
      <c r="AE848" s="131"/>
      <c r="AF848" s="244"/>
      <c r="AG848" s="243"/>
      <c r="AH848" s="243"/>
      <c r="AI848" s="243"/>
      <c r="AJ848" s="243"/>
      <c r="AK848" s="243"/>
      <c r="AL848" s="243"/>
      <c r="AM848" s="243"/>
      <c r="AN848" s="243"/>
      <c r="AO848" s="243"/>
      <c r="AP848" s="243"/>
      <c r="AQ848" s="243"/>
      <c r="AR848" s="243"/>
      <c r="AS848" s="243"/>
      <c r="AT848" s="243"/>
      <c r="AU848" s="243"/>
      <c r="AV848" s="243"/>
      <c r="AW848" s="243"/>
      <c r="AX848" s="243"/>
      <c r="AY848" s="243"/>
      <c r="AZ848" s="243"/>
    </row>
    <row r="849" spans="1:52">
      <c r="A849" s="216" t="str">
        <f>IF(D849="","",VLOOKUP(G849,códigosORL!$H:$J,3,FALSE))</f>
        <v/>
      </c>
      <c r="B849" s="243"/>
      <c r="C849" s="259"/>
      <c r="D849" s="243"/>
      <c r="E849" s="243"/>
      <c r="F849" s="247"/>
      <c r="G849" s="243"/>
      <c r="H849" s="243"/>
      <c r="I849" s="243"/>
      <c r="J849" s="243"/>
      <c r="K849" s="243"/>
      <c r="L849" s="243"/>
      <c r="M849" s="243"/>
      <c r="N849" s="243"/>
      <c r="O849" s="243"/>
      <c r="P849" s="243"/>
      <c r="Q849" s="243"/>
      <c r="R849" s="243"/>
      <c r="S849" s="243"/>
      <c r="T849" s="243"/>
      <c r="U849" s="243"/>
      <c r="V849" s="243"/>
      <c r="W849" s="243"/>
      <c r="X849" s="243"/>
      <c r="Y849" s="244"/>
      <c r="Z849" s="243"/>
      <c r="AA849" s="245"/>
      <c r="AB849" s="246"/>
      <c r="AC849" s="246"/>
      <c r="AD849" s="246"/>
      <c r="AE849" s="131"/>
      <c r="AF849" s="244"/>
      <c r="AG849" s="243"/>
      <c r="AH849" s="243"/>
      <c r="AI849" s="243"/>
      <c r="AJ849" s="243"/>
      <c r="AK849" s="243"/>
      <c r="AL849" s="243"/>
      <c r="AM849" s="243"/>
      <c r="AN849" s="243"/>
      <c r="AO849" s="243"/>
      <c r="AP849" s="243"/>
      <c r="AQ849" s="243"/>
      <c r="AR849" s="243"/>
      <c r="AS849" s="243"/>
      <c r="AT849" s="243"/>
      <c r="AU849" s="243"/>
      <c r="AV849" s="243"/>
      <c r="AW849" s="243"/>
      <c r="AX849" s="243"/>
      <c r="AY849" s="243"/>
      <c r="AZ849" s="243"/>
    </row>
    <row r="850" spans="1:52">
      <c r="A850" s="216" t="str">
        <f>IF(D850="","",VLOOKUP(G850,códigosORL!$H:$J,3,FALSE))</f>
        <v/>
      </c>
      <c r="B850" s="243"/>
      <c r="C850" s="259"/>
      <c r="D850" s="243"/>
      <c r="E850" s="243"/>
      <c r="F850" s="247"/>
      <c r="G850" s="243"/>
      <c r="H850" s="243"/>
      <c r="I850" s="243"/>
      <c r="J850" s="243"/>
      <c r="K850" s="243"/>
      <c r="L850" s="243"/>
      <c r="M850" s="243"/>
      <c r="N850" s="243"/>
      <c r="O850" s="243"/>
      <c r="P850" s="243"/>
      <c r="Q850" s="243"/>
      <c r="R850" s="243"/>
      <c r="S850" s="243"/>
      <c r="T850" s="243"/>
      <c r="U850" s="243"/>
      <c r="V850" s="243"/>
      <c r="W850" s="243"/>
      <c r="X850" s="243"/>
      <c r="Y850" s="244"/>
      <c r="Z850" s="243"/>
      <c r="AA850" s="245"/>
      <c r="AB850" s="246"/>
      <c r="AC850" s="246"/>
      <c r="AD850" s="246"/>
      <c r="AE850" s="131"/>
      <c r="AF850" s="244"/>
      <c r="AG850" s="243"/>
      <c r="AH850" s="243"/>
      <c r="AI850" s="243"/>
      <c r="AJ850" s="243"/>
      <c r="AK850" s="243"/>
      <c r="AL850" s="243"/>
      <c r="AM850" s="243"/>
      <c r="AN850" s="243"/>
      <c r="AO850" s="243"/>
      <c r="AP850" s="243"/>
      <c r="AQ850" s="243"/>
      <c r="AR850" s="243"/>
      <c r="AS850" s="243"/>
      <c r="AT850" s="243"/>
      <c r="AU850" s="243"/>
      <c r="AV850" s="243"/>
      <c r="AW850" s="243"/>
      <c r="AX850" s="243"/>
      <c r="AY850" s="243"/>
      <c r="AZ850" s="243"/>
    </row>
    <row r="851" spans="1:52">
      <c r="A851" s="216" t="str">
        <f>IF(D851="","",VLOOKUP(G851,códigosORL!$H:$J,3,FALSE))</f>
        <v/>
      </c>
      <c r="B851" s="243"/>
      <c r="C851" s="259"/>
      <c r="D851" s="243"/>
      <c r="E851" s="243"/>
      <c r="F851" s="247"/>
      <c r="G851" s="243"/>
      <c r="H851" s="243"/>
      <c r="I851" s="243"/>
      <c r="J851" s="243"/>
      <c r="K851" s="243"/>
      <c r="L851" s="243"/>
      <c r="M851" s="243"/>
      <c r="N851" s="243"/>
      <c r="O851" s="243"/>
      <c r="P851" s="243"/>
      <c r="Q851" s="243"/>
      <c r="R851" s="243"/>
      <c r="S851" s="243"/>
      <c r="T851" s="243"/>
      <c r="U851" s="243"/>
      <c r="V851" s="243"/>
      <c r="W851" s="243"/>
      <c r="X851" s="243"/>
      <c r="Y851" s="244"/>
      <c r="Z851" s="243"/>
      <c r="AA851" s="245"/>
      <c r="AB851" s="246"/>
      <c r="AC851" s="246"/>
      <c r="AD851" s="246"/>
      <c r="AE851" s="131"/>
      <c r="AF851" s="244"/>
      <c r="AG851" s="243"/>
      <c r="AH851" s="243"/>
      <c r="AI851" s="243"/>
      <c r="AJ851" s="243"/>
      <c r="AK851" s="243"/>
      <c r="AL851" s="243"/>
      <c r="AM851" s="243"/>
      <c r="AN851" s="243"/>
      <c r="AO851" s="243"/>
      <c r="AP851" s="243"/>
      <c r="AQ851" s="243"/>
      <c r="AR851" s="243"/>
      <c r="AS851" s="243"/>
      <c r="AT851" s="243"/>
      <c r="AU851" s="243"/>
      <c r="AV851" s="243"/>
      <c r="AW851" s="243"/>
      <c r="AX851" s="243"/>
      <c r="AY851" s="243"/>
      <c r="AZ851" s="243"/>
    </row>
    <row r="852" spans="1:52">
      <c r="A852" s="216" t="str">
        <f>IF(D852="","",VLOOKUP(G852,códigosORL!$H:$J,3,FALSE))</f>
        <v/>
      </c>
      <c r="B852" s="243"/>
      <c r="C852" s="259"/>
      <c r="D852" s="243"/>
      <c r="E852" s="243"/>
      <c r="F852" s="247"/>
      <c r="G852" s="243"/>
      <c r="H852" s="243"/>
      <c r="I852" s="243"/>
      <c r="J852" s="243"/>
      <c r="K852" s="243"/>
      <c r="L852" s="243"/>
      <c r="M852" s="243"/>
      <c r="N852" s="243"/>
      <c r="O852" s="243"/>
      <c r="P852" s="243"/>
      <c r="Q852" s="243"/>
      <c r="R852" s="243"/>
      <c r="S852" s="243"/>
      <c r="T852" s="243"/>
      <c r="U852" s="243"/>
      <c r="V852" s="243"/>
      <c r="W852" s="243"/>
      <c r="X852" s="243"/>
      <c r="Y852" s="244"/>
      <c r="Z852" s="243"/>
      <c r="AA852" s="245"/>
      <c r="AB852" s="246"/>
      <c r="AC852" s="246"/>
      <c r="AD852" s="246"/>
      <c r="AE852" s="131"/>
      <c r="AF852" s="244"/>
      <c r="AG852" s="243"/>
      <c r="AH852" s="243"/>
      <c r="AI852" s="243"/>
      <c r="AJ852" s="243"/>
      <c r="AK852" s="243"/>
      <c r="AL852" s="243"/>
      <c r="AM852" s="243"/>
      <c r="AN852" s="243"/>
      <c r="AO852" s="243"/>
      <c r="AP852" s="243"/>
      <c r="AQ852" s="243"/>
      <c r="AR852" s="243"/>
      <c r="AS852" s="243"/>
      <c r="AT852" s="243"/>
      <c r="AU852" s="243"/>
      <c r="AV852" s="243"/>
      <c r="AW852" s="243"/>
      <c r="AX852" s="243"/>
      <c r="AY852" s="243"/>
      <c r="AZ852" s="243"/>
    </row>
    <row r="853" spans="1:52">
      <c r="A853" s="216" t="str">
        <f>IF(D853="","",VLOOKUP(G853,códigosORL!$H:$J,3,FALSE))</f>
        <v/>
      </c>
      <c r="B853" s="243"/>
      <c r="C853" s="259"/>
      <c r="D853" s="243"/>
      <c r="E853" s="243"/>
      <c r="F853" s="247"/>
      <c r="G853" s="243"/>
      <c r="H853" s="243"/>
      <c r="I853" s="243"/>
      <c r="J853" s="243"/>
      <c r="K853" s="243"/>
      <c r="L853" s="243"/>
      <c r="M853" s="243"/>
      <c r="N853" s="243"/>
      <c r="O853" s="243"/>
      <c r="P853" s="243"/>
      <c r="Q853" s="243"/>
      <c r="R853" s="243"/>
      <c r="S853" s="243"/>
      <c r="T853" s="243"/>
      <c r="U853" s="243"/>
      <c r="V853" s="243"/>
      <c r="W853" s="243"/>
      <c r="X853" s="243"/>
      <c r="Y853" s="244"/>
      <c r="Z853" s="243"/>
      <c r="AA853" s="245"/>
      <c r="AB853" s="246"/>
      <c r="AC853" s="246"/>
      <c r="AD853" s="246"/>
      <c r="AE853" s="131"/>
      <c r="AF853" s="244"/>
      <c r="AG853" s="243"/>
      <c r="AH853" s="243"/>
      <c r="AI853" s="243"/>
      <c r="AJ853" s="243"/>
      <c r="AK853" s="243"/>
      <c r="AL853" s="243"/>
      <c r="AM853" s="243"/>
      <c r="AN853" s="243"/>
      <c r="AO853" s="243"/>
      <c r="AP853" s="243"/>
      <c r="AQ853" s="243"/>
      <c r="AR853" s="243"/>
      <c r="AS853" s="243"/>
      <c r="AT853" s="243"/>
      <c r="AU853" s="243"/>
      <c r="AV853" s="243"/>
      <c r="AW853" s="243"/>
      <c r="AX853" s="243"/>
      <c r="AY853" s="243"/>
      <c r="AZ853" s="243"/>
    </row>
    <row r="854" spans="1:52">
      <c r="A854" s="216" t="str">
        <f>IF(D854="","",VLOOKUP(G854,códigosORL!$H:$J,3,FALSE))</f>
        <v/>
      </c>
      <c r="B854" s="243"/>
      <c r="C854" s="259"/>
      <c r="D854" s="243"/>
      <c r="E854" s="243"/>
      <c r="F854" s="247"/>
      <c r="G854" s="243"/>
      <c r="H854" s="243"/>
      <c r="I854" s="243"/>
      <c r="J854" s="243"/>
      <c r="K854" s="243"/>
      <c r="L854" s="243"/>
      <c r="M854" s="243"/>
      <c r="N854" s="243"/>
      <c r="O854" s="243"/>
      <c r="P854" s="243"/>
      <c r="Q854" s="243"/>
      <c r="R854" s="243"/>
      <c r="S854" s="243"/>
      <c r="T854" s="243"/>
      <c r="U854" s="243"/>
      <c r="V854" s="243"/>
      <c r="W854" s="243"/>
      <c r="X854" s="243"/>
      <c r="Y854" s="244"/>
      <c r="Z854" s="243"/>
      <c r="AA854" s="245"/>
      <c r="AB854" s="246"/>
      <c r="AC854" s="246"/>
      <c r="AD854" s="246"/>
      <c r="AE854" s="131"/>
      <c r="AF854" s="244"/>
      <c r="AG854" s="243"/>
      <c r="AH854" s="243"/>
      <c r="AI854" s="243"/>
      <c r="AJ854" s="243"/>
      <c r="AK854" s="243"/>
      <c r="AL854" s="243"/>
      <c r="AM854" s="243"/>
      <c r="AN854" s="243"/>
      <c r="AO854" s="243"/>
      <c r="AP854" s="243"/>
      <c r="AQ854" s="243"/>
      <c r="AR854" s="243"/>
      <c r="AS854" s="243"/>
      <c r="AT854" s="243"/>
      <c r="AU854" s="243"/>
      <c r="AV854" s="243"/>
      <c r="AW854" s="243"/>
      <c r="AX854" s="243"/>
      <c r="AY854" s="243"/>
      <c r="AZ854" s="243"/>
    </row>
    <row r="855" spans="1:52">
      <c r="A855" s="216" t="str">
        <f>IF(D855="","",VLOOKUP(G855,códigosORL!$H:$J,3,FALSE))</f>
        <v/>
      </c>
      <c r="B855" s="243"/>
      <c r="C855" s="259"/>
      <c r="D855" s="243"/>
      <c r="E855" s="243"/>
      <c r="F855" s="247"/>
      <c r="G855" s="243"/>
      <c r="H855" s="243"/>
      <c r="I855" s="243"/>
      <c r="J855" s="243"/>
      <c r="K855" s="243"/>
      <c r="L855" s="243"/>
      <c r="M855" s="243"/>
      <c r="N855" s="243"/>
      <c r="O855" s="243"/>
      <c r="P855" s="243"/>
      <c r="Q855" s="243"/>
      <c r="R855" s="243"/>
      <c r="S855" s="243"/>
      <c r="T855" s="243"/>
      <c r="U855" s="243"/>
      <c r="V855" s="243"/>
      <c r="W855" s="243"/>
      <c r="X855" s="243"/>
      <c r="Y855" s="244"/>
      <c r="Z855" s="243"/>
      <c r="AA855" s="245"/>
      <c r="AB855" s="246"/>
      <c r="AC855" s="246"/>
      <c r="AD855" s="246"/>
      <c r="AE855" s="131"/>
      <c r="AF855" s="244"/>
      <c r="AG855" s="243"/>
      <c r="AH855" s="243"/>
      <c r="AI855" s="243"/>
      <c r="AJ855" s="243"/>
      <c r="AK855" s="243"/>
      <c r="AL855" s="243"/>
      <c r="AM855" s="243"/>
      <c r="AN855" s="243"/>
      <c r="AO855" s="243"/>
      <c r="AP855" s="243"/>
      <c r="AQ855" s="243"/>
      <c r="AR855" s="243"/>
      <c r="AS855" s="243"/>
      <c r="AT855" s="243"/>
      <c r="AU855" s="243"/>
      <c r="AV855" s="243"/>
      <c r="AW855" s="243"/>
      <c r="AX855" s="243"/>
      <c r="AY855" s="243"/>
      <c r="AZ855" s="243"/>
    </row>
    <row r="856" spans="1:52">
      <c r="A856" s="216" t="str">
        <f>IF(D856="","",VLOOKUP(G856,códigosORL!$H:$J,3,FALSE))</f>
        <v/>
      </c>
      <c r="B856" s="243"/>
      <c r="C856" s="259"/>
      <c r="D856" s="243"/>
      <c r="E856" s="243"/>
      <c r="F856" s="247"/>
      <c r="G856" s="243"/>
      <c r="H856" s="243"/>
      <c r="I856" s="243"/>
      <c r="J856" s="243"/>
      <c r="K856" s="243"/>
      <c r="L856" s="243"/>
      <c r="M856" s="243"/>
      <c r="N856" s="243"/>
      <c r="O856" s="243"/>
      <c r="P856" s="243"/>
      <c r="Q856" s="243"/>
      <c r="R856" s="243"/>
      <c r="S856" s="243"/>
      <c r="T856" s="243"/>
      <c r="U856" s="243"/>
      <c r="V856" s="243"/>
      <c r="W856" s="243"/>
      <c r="X856" s="243"/>
      <c r="Y856" s="244"/>
      <c r="Z856" s="243"/>
      <c r="AA856" s="245"/>
      <c r="AB856" s="246"/>
      <c r="AC856" s="246"/>
      <c r="AD856" s="246"/>
      <c r="AE856" s="131"/>
      <c r="AF856" s="244"/>
      <c r="AG856" s="243"/>
      <c r="AH856" s="243"/>
      <c r="AI856" s="243"/>
      <c r="AJ856" s="243"/>
      <c r="AK856" s="243"/>
      <c r="AL856" s="243"/>
      <c r="AM856" s="243"/>
      <c r="AN856" s="243"/>
      <c r="AO856" s="243"/>
      <c r="AP856" s="243"/>
      <c r="AQ856" s="243"/>
      <c r="AR856" s="243"/>
      <c r="AS856" s="243"/>
      <c r="AT856" s="243"/>
      <c r="AU856" s="243"/>
      <c r="AV856" s="243"/>
      <c r="AW856" s="243"/>
      <c r="AX856" s="243"/>
      <c r="AY856" s="243"/>
      <c r="AZ856" s="243"/>
    </row>
    <row r="857" spans="1:52">
      <c r="A857" s="216" t="str">
        <f>IF(D857="","",VLOOKUP(G857,códigosORL!$H:$J,3,FALSE))</f>
        <v/>
      </c>
      <c r="B857" s="243"/>
      <c r="C857" s="259"/>
      <c r="D857" s="243"/>
      <c r="E857" s="243"/>
      <c r="F857" s="247"/>
      <c r="G857" s="243"/>
      <c r="H857" s="243"/>
      <c r="I857" s="243"/>
      <c r="J857" s="243"/>
      <c r="K857" s="243"/>
      <c r="L857" s="243"/>
      <c r="M857" s="243"/>
      <c r="N857" s="243"/>
      <c r="O857" s="243"/>
      <c r="P857" s="243"/>
      <c r="Q857" s="243"/>
      <c r="R857" s="243"/>
      <c r="S857" s="243"/>
      <c r="T857" s="243"/>
      <c r="U857" s="243"/>
      <c r="V857" s="243"/>
      <c r="W857" s="243"/>
      <c r="X857" s="243"/>
      <c r="Y857" s="244"/>
      <c r="Z857" s="243"/>
      <c r="AA857" s="245"/>
      <c r="AB857" s="246"/>
      <c r="AC857" s="246"/>
      <c r="AD857" s="246"/>
      <c r="AE857" s="131"/>
      <c r="AF857" s="244"/>
      <c r="AG857" s="243"/>
      <c r="AH857" s="243"/>
      <c r="AI857" s="243"/>
      <c r="AJ857" s="243"/>
      <c r="AK857" s="243"/>
      <c r="AL857" s="243"/>
      <c r="AM857" s="243"/>
      <c r="AN857" s="243"/>
      <c r="AO857" s="243"/>
      <c r="AP857" s="243"/>
      <c r="AQ857" s="243"/>
      <c r="AR857" s="243"/>
      <c r="AS857" s="243"/>
      <c r="AT857" s="243"/>
      <c r="AU857" s="243"/>
      <c r="AV857" s="243"/>
      <c r="AW857" s="243"/>
      <c r="AX857" s="243"/>
      <c r="AY857" s="243"/>
      <c r="AZ857" s="243"/>
    </row>
    <row r="858" spans="1:52">
      <c r="A858" s="216" t="str">
        <f>IF(D858="","",VLOOKUP(G858,códigosORL!$H:$J,3,FALSE))</f>
        <v/>
      </c>
      <c r="B858" s="243"/>
      <c r="C858" s="259"/>
      <c r="D858" s="243"/>
      <c r="E858" s="243"/>
      <c r="F858" s="247"/>
      <c r="G858" s="243"/>
      <c r="H858" s="243"/>
      <c r="I858" s="243"/>
      <c r="J858" s="243"/>
      <c r="K858" s="243"/>
      <c r="L858" s="243"/>
      <c r="M858" s="243"/>
      <c r="N858" s="243"/>
      <c r="O858" s="243"/>
      <c r="P858" s="243"/>
      <c r="Q858" s="243"/>
      <c r="R858" s="243"/>
      <c r="S858" s="243"/>
      <c r="T858" s="243"/>
      <c r="U858" s="243"/>
      <c r="V858" s="243"/>
      <c r="W858" s="243"/>
      <c r="X858" s="243"/>
      <c r="Y858" s="244"/>
      <c r="Z858" s="243"/>
      <c r="AA858" s="245"/>
      <c r="AB858" s="246"/>
      <c r="AC858" s="246"/>
      <c r="AD858" s="246"/>
      <c r="AE858" s="131"/>
      <c r="AF858" s="244"/>
      <c r="AG858" s="243"/>
      <c r="AH858" s="243"/>
      <c r="AI858" s="243"/>
      <c r="AJ858" s="243"/>
      <c r="AK858" s="243"/>
      <c r="AL858" s="243"/>
      <c r="AM858" s="243"/>
      <c r="AN858" s="243"/>
      <c r="AO858" s="243"/>
      <c r="AP858" s="243"/>
      <c r="AQ858" s="243"/>
      <c r="AR858" s="243"/>
      <c r="AS858" s="243"/>
      <c r="AT858" s="243"/>
      <c r="AU858" s="243"/>
      <c r="AV858" s="243"/>
      <c r="AW858" s="243"/>
      <c r="AX858" s="243"/>
      <c r="AY858" s="243"/>
      <c r="AZ858" s="243"/>
    </row>
    <row r="859" spans="1:52">
      <c r="A859" s="216" t="str">
        <f>IF(D859="","",VLOOKUP(G859,códigosORL!$H:$J,3,FALSE))</f>
        <v/>
      </c>
      <c r="B859" s="243"/>
      <c r="C859" s="259"/>
      <c r="D859" s="243"/>
      <c r="E859" s="243"/>
      <c r="F859" s="247"/>
      <c r="G859" s="243"/>
      <c r="H859" s="243"/>
      <c r="I859" s="243"/>
      <c r="J859" s="243"/>
      <c r="K859" s="243"/>
      <c r="L859" s="243"/>
      <c r="M859" s="243"/>
      <c r="N859" s="243"/>
      <c r="O859" s="243"/>
      <c r="P859" s="243"/>
      <c r="Q859" s="243"/>
      <c r="R859" s="243"/>
      <c r="S859" s="243"/>
      <c r="T859" s="243"/>
      <c r="U859" s="243"/>
      <c r="V859" s="243"/>
      <c r="W859" s="243"/>
      <c r="X859" s="243"/>
      <c r="Y859" s="244"/>
      <c r="Z859" s="243"/>
      <c r="AA859" s="245"/>
      <c r="AB859" s="246"/>
      <c r="AC859" s="246"/>
      <c r="AD859" s="246"/>
      <c r="AE859" s="131"/>
      <c r="AF859" s="244"/>
      <c r="AG859" s="243"/>
      <c r="AH859" s="243"/>
      <c r="AI859" s="243"/>
      <c r="AJ859" s="243"/>
      <c r="AK859" s="243"/>
      <c r="AL859" s="243"/>
      <c r="AM859" s="243"/>
      <c r="AN859" s="243"/>
      <c r="AO859" s="243"/>
      <c r="AP859" s="243"/>
      <c r="AQ859" s="243"/>
      <c r="AR859" s="243"/>
      <c r="AS859" s="243"/>
      <c r="AT859" s="243"/>
      <c r="AU859" s="243"/>
      <c r="AV859" s="243"/>
      <c r="AW859" s="243"/>
      <c r="AX859" s="243"/>
      <c r="AY859" s="243"/>
      <c r="AZ859" s="243"/>
    </row>
    <row r="860" spans="1:52">
      <c r="A860" s="216" t="str">
        <f>IF(D860="","",VLOOKUP(G860,códigosORL!$H:$J,3,FALSE))</f>
        <v/>
      </c>
      <c r="B860" s="243"/>
      <c r="C860" s="259"/>
      <c r="D860" s="243"/>
      <c r="E860" s="243"/>
      <c r="F860" s="247"/>
      <c r="G860" s="243"/>
      <c r="H860" s="243"/>
      <c r="I860" s="243"/>
      <c r="J860" s="243"/>
      <c r="K860" s="243"/>
      <c r="L860" s="243"/>
      <c r="M860" s="243"/>
      <c r="N860" s="243"/>
      <c r="O860" s="243"/>
      <c r="P860" s="243"/>
      <c r="Q860" s="243"/>
      <c r="R860" s="243"/>
      <c r="S860" s="243"/>
      <c r="T860" s="243"/>
      <c r="U860" s="243"/>
      <c r="V860" s="243"/>
      <c r="W860" s="243"/>
      <c r="X860" s="243"/>
      <c r="Y860" s="244"/>
      <c r="Z860" s="243"/>
      <c r="AA860" s="245"/>
      <c r="AB860" s="246"/>
      <c r="AC860" s="246"/>
      <c r="AD860" s="246"/>
      <c r="AE860" s="131"/>
      <c r="AF860" s="244"/>
      <c r="AG860" s="243"/>
      <c r="AH860" s="243"/>
      <c r="AI860" s="243"/>
      <c r="AJ860" s="243"/>
      <c r="AK860" s="243"/>
      <c r="AL860" s="243"/>
      <c r="AM860" s="243"/>
      <c r="AN860" s="243"/>
      <c r="AO860" s="243"/>
      <c r="AP860" s="243"/>
      <c r="AQ860" s="243"/>
      <c r="AR860" s="243"/>
      <c r="AS860" s="243"/>
      <c r="AT860" s="243"/>
      <c r="AU860" s="243"/>
      <c r="AV860" s="243"/>
      <c r="AW860" s="243"/>
      <c r="AX860" s="243"/>
      <c r="AY860" s="243"/>
      <c r="AZ860" s="243"/>
    </row>
    <row r="861" spans="1:52">
      <c r="A861" s="216" t="str">
        <f>IF(D861="","",VLOOKUP(G861,códigosORL!$H:$J,3,FALSE))</f>
        <v/>
      </c>
      <c r="B861" s="243"/>
      <c r="C861" s="259"/>
      <c r="D861" s="243"/>
      <c r="E861" s="243"/>
      <c r="F861" s="247"/>
      <c r="G861" s="243"/>
      <c r="H861" s="243"/>
      <c r="I861" s="243"/>
      <c r="J861" s="243"/>
      <c r="K861" s="243"/>
      <c r="L861" s="243"/>
      <c r="M861" s="243"/>
      <c r="N861" s="243"/>
      <c r="O861" s="243"/>
      <c r="P861" s="243"/>
      <c r="Q861" s="243"/>
      <c r="R861" s="243"/>
      <c r="S861" s="243"/>
      <c r="T861" s="243"/>
      <c r="U861" s="243"/>
      <c r="V861" s="243"/>
      <c r="W861" s="243"/>
      <c r="X861" s="243"/>
      <c r="Y861" s="244"/>
      <c r="Z861" s="243"/>
      <c r="AA861" s="245"/>
      <c r="AB861" s="246"/>
      <c r="AC861" s="246"/>
      <c r="AD861" s="246"/>
      <c r="AE861" s="131"/>
      <c r="AF861" s="244"/>
      <c r="AG861" s="243"/>
      <c r="AH861" s="243"/>
      <c r="AI861" s="243"/>
      <c r="AJ861" s="243"/>
      <c r="AK861" s="243"/>
      <c r="AL861" s="243"/>
      <c r="AM861" s="243"/>
      <c r="AN861" s="243"/>
      <c r="AO861" s="243"/>
      <c r="AP861" s="243"/>
      <c r="AQ861" s="243"/>
      <c r="AR861" s="243"/>
      <c r="AS861" s="243"/>
      <c r="AT861" s="243"/>
      <c r="AU861" s="243"/>
      <c r="AV861" s="243"/>
      <c r="AW861" s="243"/>
      <c r="AX861" s="243"/>
      <c r="AY861" s="243"/>
      <c r="AZ861" s="243"/>
    </row>
    <row r="862" spans="1:52">
      <c r="A862" s="216" t="str">
        <f>IF(D862="","",VLOOKUP(G862,códigosORL!$H:$J,3,FALSE))</f>
        <v/>
      </c>
      <c r="B862" s="243"/>
      <c r="C862" s="259"/>
      <c r="D862" s="243"/>
      <c r="E862" s="243"/>
      <c r="F862" s="247"/>
      <c r="G862" s="243"/>
      <c r="H862" s="243"/>
      <c r="I862" s="243"/>
      <c r="J862" s="243"/>
      <c r="K862" s="243"/>
      <c r="L862" s="243"/>
      <c r="M862" s="243"/>
      <c r="N862" s="243"/>
      <c r="O862" s="243"/>
      <c r="P862" s="243"/>
      <c r="Q862" s="243"/>
      <c r="R862" s="243"/>
      <c r="S862" s="243"/>
      <c r="T862" s="243"/>
      <c r="U862" s="243"/>
      <c r="V862" s="243"/>
      <c r="W862" s="243"/>
      <c r="X862" s="243"/>
      <c r="Y862" s="244"/>
      <c r="Z862" s="243"/>
      <c r="AA862" s="245"/>
      <c r="AB862" s="246"/>
      <c r="AC862" s="246"/>
      <c r="AD862" s="246"/>
      <c r="AE862" s="131"/>
      <c r="AF862" s="244"/>
      <c r="AG862" s="243"/>
      <c r="AH862" s="243"/>
      <c r="AI862" s="243"/>
      <c r="AJ862" s="243"/>
      <c r="AK862" s="243"/>
      <c r="AL862" s="243"/>
      <c r="AM862" s="243"/>
      <c r="AN862" s="243"/>
      <c r="AO862" s="243"/>
      <c r="AP862" s="243"/>
      <c r="AQ862" s="243"/>
      <c r="AR862" s="243"/>
      <c r="AS862" s="243"/>
      <c r="AT862" s="243"/>
      <c r="AU862" s="243"/>
      <c r="AV862" s="243"/>
      <c r="AW862" s="243"/>
      <c r="AX862" s="243"/>
      <c r="AY862" s="243"/>
      <c r="AZ862" s="243"/>
    </row>
    <row r="863" spans="1:52">
      <c r="A863" s="216" t="str">
        <f>IF(D863="","",VLOOKUP(G863,códigosORL!$H:$J,3,FALSE))</f>
        <v/>
      </c>
      <c r="B863" s="243"/>
      <c r="C863" s="259"/>
      <c r="D863" s="243"/>
      <c r="E863" s="243"/>
      <c r="F863" s="247"/>
      <c r="G863" s="243"/>
      <c r="H863" s="243"/>
      <c r="I863" s="243"/>
      <c r="J863" s="243"/>
      <c r="K863" s="243"/>
      <c r="L863" s="243"/>
      <c r="M863" s="243"/>
      <c r="N863" s="243"/>
      <c r="O863" s="243"/>
      <c r="P863" s="243"/>
      <c r="Q863" s="243"/>
      <c r="R863" s="243"/>
      <c r="S863" s="243"/>
      <c r="T863" s="243"/>
      <c r="U863" s="243"/>
      <c r="V863" s="243"/>
      <c r="W863" s="243"/>
      <c r="X863" s="243"/>
      <c r="Y863" s="244"/>
      <c r="Z863" s="243"/>
      <c r="AA863" s="245"/>
      <c r="AB863" s="246"/>
      <c r="AC863" s="246"/>
      <c r="AD863" s="246"/>
      <c r="AE863" s="131"/>
      <c r="AF863" s="244"/>
      <c r="AG863" s="243"/>
      <c r="AH863" s="243"/>
      <c r="AI863" s="243"/>
      <c r="AJ863" s="243"/>
      <c r="AK863" s="243"/>
      <c r="AL863" s="243"/>
      <c r="AM863" s="243"/>
      <c r="AN863" s="243"/>
      <c r="AO863" s="243"/>
      <c r="AP863" s="243"/>
      <c r="AQ863" s="243"/>
      <c r="AR863" s="243"/>
      <c r="AS863" s="243"/>
      <c r="AT863" s="243"/>
      <c r="AU863" s="243"/>
      <c r="AV863" s="243"/>
      <c r="AW863" s="243"/>
      <c r="AX863" s="243"/>
      <c r="AY863" s="243"/>
      <c r="AZ863" s="243"/>
    </row>
    <row r="864" spans="1:52">
      <c r="A864" s="216" t="str">
        <f>IF(D864="","",VLOOKUP(G864,códigosORL!$H:$J,3,FALSE))</f>
        <v/>
      </c>
      <c r="B864" s="243"/>
      <c r="C864" s="259"/>
      <c r="D864" s="243"/>
      <c r="E864" s="243"/>
      <c r="F864" s="247"/>
      <c r="G864" s="243"/>
      <c r="H864" s="243"/>
      <c r="I864" s="243"/>
      <c r="J864" s="243"/>
      <c r="K864" s="243"/>
      <c r="L864" s="243"/>
      <c r="M864" s="243"/>
      <c r="N864" s="243"/>
      <c r="O864" s="243"/>
      <c r="P864" s="243"/>
      <c r="Q864" s="243"/>
      <c r="R864" s="243"/>
      <c r="S864" s="243"/>
      <c r="T864" s="243"/>
      <c r="U864" s="243"/>
      <c r="V864" s="243"/>
      <c r="W864" s="243"/>
      <c r="X864" s="243"/>
      <c r="Y864" s="244"/>
      <c r="Z864" s="243"/>
      <c r="AA864" s="245"/>
      <c r="AB864" s="246"/>
      <c r="AC864" s="246"/>
      <c r="AD864" s="246"/>
      <c r="AE864" s="131"/>
      <c r="AF864" s="244"/>
      <c r="AG864" s="243"/>
      <c r="AH864" s="243"/>
      <c r="AI864" s="243"/>
      <c r="AJ864" s="243"/>
      <c r="AK864" s="243"/>
      <c r="AL864" s="243"/>
      <c r="AM864" s="243"/>
      <c r="AN864" s="243"/>
      <c r="AO864" s="243"/>
      <c r="AP864" s="243"/>
      <c r="AQ864" s="243"/>
      <c r="AR864" s="243"/>
      <c r="AS864" s="243"/>
      <c r="AT864" s="243"/>
      <c r="AU864" s="243"/>
      <c r="AV864" s="243"/>
      <c r="AW864" s="243"/>
      <c r="AX864" s="243"/>
      <c r="AY864" s="243"/>
      <c r="AZ864" s="243"/>
    </row>
    <row r="865" spans="1:52">
      <c r="A865" s="216" t="str">
        <f>IF(D865="","",VLOOKUP(G865,códigosORL!$H:$J,3,FALSE))</f>
        <v/>
      </c>
      <c r="B865" s="243"/>
      <c r="C865" s="259"/>
      <c r="D865" s="243"/>
      <c r="E865" s="243"/>
      <c r="F865" s="247"/>
      <c r="G865" s="243"/>
      <c r="H865" s="243"/>
      <c r="I865" s="243"/>
      <c r="J865" s="243"/>
      <c r="K865" s="243"/>
      <c r="L865" s="243"/>
      <c r="M865" s="243"/>
      <c r="N865" s="243"/>
      <c r="O865" s="243"/>
      <c r="P865" s="243"/>
      <c r="Q865" s="243"/>
      <c r="R865" s="243"/>
      <c r="S865" s="243"/>
      <c r="T865" s="243"/>
      <c r="U865" s="243"/>
      <c r="V865" s="243"/>
      <c r="W865" s="243"/>
      <c r="X865" s="243"/>
      <c r="Y865" s="244"/>
      <c r="Z865" s="243"/>
      <c r="AA865" s="245"/>
      <c r="AB865" s="246"/>
      <c r="AC865" s="246"/>
      <c r="AD865" s="246"/>
      <c r="AE865" s="131"/>
      <c r="AF865" s="244"/>
      <c r="AG865" s="243"/>
      <c r="AH865" s="243"/>
      <c r="AI865" s="243"/>
      <c r="AJ865" s="243"/>
      <c r="AK865" s="243"/>
      <c r="AL865" s="243"/>
      <c r="AM865" s="243"/>
      <c r="AN865" s="243"/>
      <c r="AO865" s="243"/>
      <c r="AP865" s="243"/>
      <c r="AQ865" s="243"/>
      <c r="AR865" s="243"/>
      <c r="AS865" s="243"/>
      <c r="AT865" s="243"/>
      <c r="AU865" s="243"/>
      <c r="AV865" s="243"/>
      <c r="AW865" s="243"/>
      <c r="AX865" s="243"/>
      <c r="AY865" s="243"/>
      <c r="AZ865" s="243"/>
    </row>
    <row r="866" spans="1:52">
      <c r="A866" s="216" t="str">
        <f>IF(D866="","",VLOOKUP(G866,códigosORL!$H:$J,3,FALSE))</f>
        <v/>
      </c>
      <c r="B866" s="243"/>
      <c r="C866" s="259"/>
      <c r="D866" s="243"/>
      <c r="E866" s="243"/>
      <c r="F866" s="247"/>
      <c r="G866" s="243"/>
      <c r="H866" s="243"/>
      <c r="I866" s="243"/>
      <c r="J866" s="243"/>
      <c r="K866" s="243"/>
      <c r="L866" s="243"/>
      <c r="M866" s="243"/>
      <c r="N866" s="243"/>
      <c r="O866" s="243"/>
      <c r="P866" s="243"/>
      <c r="Q866" s="243"/>
      <c r="R866" s="243"/>
      <c r="S866" s="243"/>
      <c r="T866" s="243"/>
      <c r="U866" s="243"/>
      <c r="V866" s="243"/>
      <c r="W866" s="243"/>
      <c r="X866" s="243"/>
      <c r="Y866" s="244"/>
      <c r="Z866" s="243"/>
      <c r="AA866" s="245"/>
      <c r="AB866" s="246"/>
      <c r="AC866" s="246"/>
      <c r="AD866" s="246"/>
      <c r="AE866" s="131"/>
      <c r="AF866" s="244"/>
      <c r="AG866" s="243"/>
      <c r="AH866" s="243"/>
      <c r="AI866" s="243"/>
      <c r="AJ866" s="243"/>
      <c r="AK866" s="243"/>
      <c r="AL866" s="243"/>
      <c r="AM866" s="243"/>
      <c r="AN866" s="243"/>
      <c r="AO866" s="243"/>
      <c r="AP866" s="243"/>
      <c r="AQ866" s="243"/>
      <c r="AR866" s="243"/>
      <c r="AS866" s="243"/>
      <c r="AT866" s="243"/>
      <c r="AU866" s="243"/>
      <c r="AV866" s="243"/>
      <c r="AW866" s="243"/>
      <c r="AX866" s="243"/>
      <c r="AY866" s="243"/>
      <c r="AZ866" s="243"/>
    </row>
    <row r="867" spans="1:52">
      <c r="A867" s="216" t="str">
        <f>IF(D867="","",VLOOKUP(G867,códigosORL!$H:$J,3,FALSE))</f>
        <v/>
      </c>
      <c r="B867" s="243"/>
      <c r="C867" s="259"/>
      <c r="D867" s="243"/>
      <c r="E867" s="243"/>
      <c r="F867" s="247"/>
      <c r="G867" s="243"/>
      <c r="H867" s="243"/>
      <c r="I867" s="243"/>
      <c r="J867" s="243"/>
      <c r="K867" s="243"/>
      <c r="L867" s="243"/>
      <c r="M867" s="243"/>
      <c r="N867" s="243"/>
      <c r="O867" s="243"/>
      <c r="P867" s="243"/>
      <c r="Q867" s="243"/>
      <c r="R867" s="243"/>
      <c r="S867" s="243"/>
      <c r="T867" s="243"/>
      <c r="U867" s="243"/>
      <c r="V867" s="243"/>
      <c r="W867" s="243"/>
      <c r="X867" s="243"/>
      <c r="Y867" s="244"/>
      <c r="Z867" s="243"/>
      <c r="AA867" s="245"/>
      <c r="AB867" s="246"/>
      <c r="AC867" s="246"/>
      <c r="AD867" s="246"/>
      <c r="AE867" s="131"/>
      <c r="AF867" s="244"/>
      <c r="AG867" s="243"/>
      <c r="AH867" s="243"/>
      <c r="AI867" s="243"/>
      <c r="AJ867" s="243"/>
      <c r="AK867" s="243"/>
      <c r="AL867" s="243"/>
      <c r="AM867" s="243"/>
      <c r="AN867" s="243"/>
      <c r="AO867" s="243"/>
      <c r="AP867" s="243"/>
      <c r="AQ867" s="243"/>
      <c r="AR867" s="243"/>
      <c r="AS867" s="243"/>
      <c r="AT867" s="243"/>
      <c r="AU867" s="243"/>
      <c r="AV867" s="243"/>
      <c r="AW867" s="243"/>
      <c r="AX867" s="243"/>
      <c r="AY867" s="243"/>
      <c r="AZ867" s="243"/>
    </row>
    <row r="868" spans="1:52">
      <c r="A868" s="216" t="str">
        <f>IF(D868="","",VLOOKUP(G868,códigosORL!$H:$J,3,FALSE))</f>
        <v/>
      </c>
      <c r="B868" s="243"/>
      <c r="C868" s="259"/>
      <c r="D868" s="243"/>
      <c r="E868" s="243"/>
      <c r="F868" s="247"/>
      <c r="G868" s="243"/>
      <c r="H868" s="243"/>
      <c r="I868" s="243"/>
      <c r="J868" s="243"/>
      <c r="K868" s="243"/>
      <c r="L868" s="243"/>
      <c r="M868" s="243"/>
      <c r="N868" s="243"/>
      <c r="O868" s="243"/>
      <c r="P868" s="243"/>
      <c r="Q868" s="243"/>
      <c r="R868" s="243"/>
      <c r="S868" s="243"/>
      <c r="T868" s="243"/>
      <c r="U868" s="243"/>
      <c r="V868" s="243"/>
      <c r="W868" s="243"/>
      <c r="X868" s="243"/>
      <c r="Y868" s="244"/>
      <c r="Z868" s="243"/>
      <c r="AA868" s="245"/>
      <c r="AB868" s="246"/>
      <c r="AC868" s="246"/>
      <c r="AD868" s="246"/>
      <c r="AE868" s="131"/>
      <c r="AF868" s="244"/>
      <c r="AG868" s="243"/>
      <c r="AH868" s="243"/>
      <c r="AI868" s="243"/>
      <c r="AJ868" s="243"/>
      <c r="AK868" s="243"/>
      <c r="AL868" s="243"/>
      <c r="AM868" s="243"/>
      <c r="AN868" s="243"/>
      <c r="AO868" s="243"/>
      <c r="AP868" s="243"/>
      <c r="AQ868" s="243"/>
      <c r="AR868" s="243"/>
      <c r="AS868" s="243"/>
      <c r="AT868" s="243"/>
      <c r="AU868" s="243"/>
      <c r="AV868" s="243"/>
      <c r="AW868" s="243"/>
      <c r="AX868" s="243"/>
      <c r="AY868" s="243"/>
      <c r="AZ868" s="243"/>
    </row>
    <row r="869" spans="1:52">
      <c r="A869" s="216" t="str">
        <f>IF(D869="","",VLOOKUP(G869,códigosORL!$H:$J,3,FALSE))</f>
        <v/>
      </c>
      <c r="B869" s="243"/>
      <c r="C869" s="259"/>
      <c r="D869" s="243"/>
      <c r="E869" s="243"/>
      <c r="F869" s="247"/>
      <c r="G869" s="243"/>
      <c r="H869" s="243"/>
      <c r="I869" s="243"/>
      <c r="J869" s="243"/>
      <c r="K869" s="243"/>
      <c r="L869" s="243"/>
      <c r="M869" s="243"/>
      <c r="N869" s="243"/>
      <c r="O869" s="243"/>
      <c r="P869" s="243"/>
      <c r="Q869" s="243"/>
      <c r="R869" s="243"/>
      <c r="S869" s="243"/>
      <c r="T869" s="243"/>
      <c r="U869" s="243"/>
      <c r="V869" s="243"/>
      <c r="W869" s="243"/>
      <c r="X869" s="243"/>
      <c r="Y869" s="244"/>
      <c r="Z869" s="243"/>
      <c r="AA869" s="245"/>
      <c r="AB869" s="246"/>
      <c r="AC869" s="246"/>
      <c r="AD869" s="246"/>
      <c r="AE869" s="131"/>
      <c r="AF869" s="244"/>
      <c r="AG869" s="243"/>
      <c r="AH869" s="243"/>
      <c r="AI869" s="243"/>
      <c r="AJ869" s="243"/>
      <c r="AK869" s="243"/>
      <c r="AL869" s="243"/>
      <c r="AM869" s="243"/>
      <c r="AN869" s="243"/>
      <c r="AO869" s="243"/>
      <c r="AP869" s="243"/>
      <c r="AQ869" s="243"/>
      <c r="AR869" s="243"/>
      <c r="AS869" s="243"/>
      <c r="AT869" s="243"/>
      <c r="AU869" s="243"/>
      <c r="AV869" s="243"/>
      <c r="AW869" s="243"/>
      <c r="AX869" s="243"/>
      <c r="AY869" s="243"/>
      <c r="AZ869" s="243"/>
    </row>
    <row r="870" spans="1:52">
      <c r="A870" s="216" t="str">
        <f>IF(D870="","",VLOOKUP(G870,códigosORL!$H:$J,3,FALSE))</f>
        <v/>
      </c>
      <c r="B870" s="243"/>
      <c r="C870" s="259"/>
      <c r="D870" s="243"/>
      <c r="E870" s="243"/>
      <c r="F870" s="247"/>
      <c r="G870" s="243"/>
      <c r="H870" s="243"/>
      <c r="I870" s="243"/>
      <c r="J870" s="243"/>
      <c r="K870" s="243"/>
      <c r="L870" s="243"/>
      <c r="M870" s="243"/>
      <c r="N870" s="243"/>
      <c r="O870" s="243"/>
      <c r="P870" s="243"/>
      <c r="Q870" s="243"/>
      <c r="R870" s="243"/>
      <c r="S870" s="243"/>
      <c r="T870" s="243"/>
      <c r="U870" s="243"/>
      <c r="V870" s="243"/>
      <c r="W870" s="243"/>
      <c r="X870" s="243"/>
      <c r="Y870" s="244"/>
      <c r="Z870" s="243"/>
      <c r="AA870" s="245"/>
      <c r="AB870" s="246"/>
      <c r="AC870" s="246"/>
      <c r="AD870" s="246"/>
      <c r="AE870" s="131"/>
      <c r="AF870" s="244"/>
      <c r="AG870" s="243"/>
      <c r="AH870" s="243"/>
      <c r="AI870" s="243"/>
      <c r="AJ870" s="243"/>
      <c r="AK870" s="243"/>
      <c r="AL870" s="243"/>
      <c r="AM870" s="243"/>
      <c r="AN870" s="243"/>
      <c r="AO870" s="243"/>
      <c r="AP870" s="243"/>
      <c r="AQ870" s="243"/>
      <c r="AR870" s="243"/>
      <c r="AS870" s="243"/>
      <c r="AT870" s="243"/>
      <c r="AU870" s="243"/>
      <c r="AV870" s="243"/>
      <c r="AW870" s="243"/>
      <c r="AX870" s="243"/>
      <c r="AY870" s="243"/>
      <c r="AZ870" s="243"/>
    </row>
    <row r="871" spans="1:52">
      <c r="A871" s="216" t="str">
        <f>IF(D871="","",VLOOKUP(G871,códigosORL!$H:$J,3,FALSE))</f>
        <v/>
      </c>
      <c r="B871" s="243"/>
      <c r="C871" s="259"/>
      <c r="D871" s="243"/>
      <c r="E871" s="243"/>
      <c r="F871" s="247"/>
      <c r="G871" s="243"/>
      <c r="H871" s="243"/>
      <c r="I871" s="243"/>
      <c r="J871" s="243"/>
      <c r="K871" s="243"/>
      <c r="L871" s="243"/>
      <c r="M871" s="243"/>
      <c r="N871" s="243"/>
      <c r="O871" s="243"/>
      <c r="P871" s="243"/>
      <c r="Q871" s="243"/>
      <c r="R871" s="243"/>
      <c r="S871" s="243"/>
      <c r="T871" s="243"/>
      <c r="U871" s="243"/>
      <c r="V871" s="243"/>
      <c r="W871" s="243"/>
      <c r="X871" s="243"/>
      <c r="Y871" s="244"/>
      <c r="Z871" s="243"/>
      <c r="AA871" s="245"/>
      <c r="AB871" s="246"/>
      <c r="AC871" s="246"/>
      <c r="AD871" s="246"/>
      <c r="AE871" s="131"/>
      <c r="AF871" s="244"/>
      <c r="AG871" s="243"/>
      <c r="AH871" s="243"/>
      <c r="AI871" s="243"/>
      <c r="AJ871" s="243"/>
      <c r="AK871" s="243"/>
      <c r="AL871" s="243"/>
      <c r="AM871" s="243"/>
      <c r="AN871" s="243"/>
      <c r="AO871" s="243"/>
      <c r="AP871" s="243"/>
      <c r="AQ871" s="243"/>
      <c r="AR871" s="243"/>
      <c r="AS871" s="243"/>
      <c r="AT871" s="243"/>
      <c r="AU871" s="243"/>
      <c r="AV871" s="243"/>
      <c r="AW871" s="243"/>
      <c r="AX871" s="243"/>
      <c r="AY871" s="243"/>
      <c r="AZ871" s="243"/>
    </row>
    <row r="872" spans="1:52">
      <c r="A872" s="216" t="str">
        <f>IF(D872="","",VLOOKUP(G872,códigosORL!$H:$J,3,FALSE))</f>
        <v/>
      </c>
      <c r="B872" s="243"/>
      <c r="C872" s="259"/>
      <c r="D872" s="243"/>
      <c r="E872" s="243"/>
      <c r="F872" s="247"/>
      <c r="G872" s="243"/>
      <c r="H872" s="243"/>
      <c r="I872" s="243"/>
      <c r="J872" s="243"/>
      <c r="K872" s="243"/>
      <c r="L872" s="243"/>
      <c r="M872" s="243"/>
      <c r="N872" s="243"/>
      <c r="O872" s="243"/>
      <c r="P872" s="243"/>
      <c r="Q872" s="243"/>
      <c r="R872" s="243"/>
      <c r="S872" s="243"/>
      <c r="T872" s="243"/>
      <c r="U872" s="243"/>
      <c r="V872" s="243"/>
      <c r="W872" s="243"/>
      <c r="X872" s="243"/>
      <c r="Y872" s="244"/>
      <c r="Z872" s="243"/>
      <c r="AA872" s="245"/>
      <c r="AB872" s="246"/>
      <c r="AC872" s="246"/>
      <c r="AD872" s="246"/>
      <c r="AE872" s="131"/>
      <c r="AF872" s="244"/>
      <c r="AG872" s="243"/>
      <c r="AH872" s="243"/>
      <c r="AI872" s="243"/>
      <c r="AJ872" s="243"/>
      <c r="AK872" s="243"/>
      <c r="AL872" s="243"/>
      <c r="AM872" s="243"/>
      <c r="AN872" s="243"/>
      <c r="AO872" s="243"/>
      <c r="AP872" s="243"/>
      <c r="AQ872" s="243"/>
      <c r="AR872" s="243"/>
      <c r="AS872" s="243"/>
      <c r="AT872" s="243"/>
      <c r="AU872" s="243"/>
      <c r="AV872" s="243"/>
      <c r="AW872" s="243"/>
      <c r="AX872" s="243"/>
      <c r="AY872" s="243"/>
      <c r="AZ872" s="243"/>
    </row>
    <row r="873" spans="1:52">
      <c r="A873" s="216" t="str">
        <f>IF(D873="","",VLOOKUP(G873,códigosORL!$H:$J,3,FALSE))</f>
        <v/>
      </c>
      <c r="B873" s="243"/>
      <c r="C873" s="259"/>
      <c r="D873" s="243"/>
      <c r="E873" s="243"/>
      <c r="F873" s="247"/>
      <c r="G873" s="243"/>
      <c r="H873" s="243"/>
      <c r="I873" s="243"/>
      <c r="J873" s="243"/>
      <c r="K873" s="243"/>
      <c r="L873" s="243"/>
      <c r="M873" s="243"/>
      <c r="N873" s="243"/>
      <c r="O873" s="243"/>
      <c r="P873" s="243"/>
      <c r="Q873" s="243"/>
      <c r="R873" s="243"/>
      <c r="S873" s="243"/>
      <c r="T873" s="243"/>
      <c r="U873" s="243"/>
      <c r="V873" s="243"/>
      <c r="W873" s="243"/>
      <c r="X873" s="243"/>
      <c r="Y873" s="244"/>
      <c r="Z873" s="243"/>
      <c r="AA873" s="245"/>
      <c r="AB873" s="246"/>
      <c r="AC873" s="246"/>
      <c r="AD873" s="246"/>
      <c r="AE873" s="131"/>
      <c r="AF873" s="244"/>
      <c r="AG873" s="243"/>
      <c r="AH873" s="243"/>
      <c r="AI873" s="243"/>
      <c r="AJ873" s="243"/>
      <c r="AK873" s="243"/>
      <c r="AL873" s="243"/>
      <c r="AM873" s="243"/>
      <c r="AN873" s="243"/>
      <c r="AO873" s="243"/>
      <c r="AP873" s="243"/>
      <c r="AQ873" s="243"/>
      <c r="AR873" s="243"/>
      <c r="AS873" s="243"/>
      <c r="AT873" s="243"/>
      <c r="AU873" s="243"/>
      <c r="AV873" s="243"/>
      <c r="AW873" s="243"/>
      <c r="AX873" s="243"/>
      <c r="AY873" s="243"/>
      <c r="AZ873" s="243"/>
    </row>
    <row r="874" spans="1:52">
      <c r="A874" s="216" t="str">
        <f>IF(D874="","",VLOOKUP(G874,códigosORL!$H:$J,3,FALSE))</f>
        <v/>
      </c>
      <c r="B874" s="243"/>
      <c r="C874" s="259"/>
      <c r="D874" s="243"/>
      <c r="E874" s="243"/>
      <c r="F874" s="247"/>
      <c r="G874" s="243"/>
      <c r="H874" s="243"/>
      <c r="I874" s="243"/>
      <c r="J874" s="243"/>
      <c r="K874" s="243"/>
      <c r="L874" s="243"/>
      <c r="M874" s="243"/>
      <c r="N874" s="243"/>
      <c r="O874" s="243"/>
      <c r="P874" s="243"/>
      <c r="Q874" s="243"/>
      <c r="R874" s="243"/>
      <c r="S874" s="243"/>
      <c r="T874" s="243"/>
      <c r="U874" s="243"/>
      <c r="V874" s="243"/>
      <c r="W874" s="243"/>
      <c r="X874" s="243"/>
      <c r="Y874" s="244"/>
      <c r="Z874" s="243"/>
      <c r="AA874" s="245"/>
      <c r="AB874" s="246"/>
      <c r="AC874" s="246"/>
      <c r="AD874" s="246"/>
      <c r="AE874" s="131"/>
      <c r="AF874" s="244"/>
      <c r="AG874" s="243"/>
      <c r="AH874" s="243"/>
      <c r="AI874" s="243"/>
      <c r="AJ874" s="243"/>
      <c r="AK874" s="243"/>
      <c r="AL874" s="243"/>
      <c r="AM874" s="243"/>
      <c r="AN874" s="243"/>
      <c r="AO874" s="243"/>
      <c r="AP874" s="243"/>
      <c r="AQ874" s="243"/>
      <c r="AR874" s="243"/>
      <c r="AS874" s="243"/>
      <c r="AT874" s="243"/>
      <c r="AU874" s="243"/>
      <c r="AV874" s="243"/>
      <c r="AW874" s="243"/>
      <c r="AX874" s="243"/>
      <c r="AY874" s="243"/>
      <c r="AZ874" s="243"/>
    </row>
    <row r="875" spans="1:52">
      <c r="A875" s="216" t="str">
        <f>IF(D875="","",VLOOKUP(G875,códigosORL!$H:$J,3,FALSE))</f>
        <v/>
      </c>
      <c r="B875" s="243"/>
      <c r="C875" s="259"/>
      <c r="D875" s="243"/>
      <c r="E875" s="243"/>
      <c r="F875" s="247"/>
      <c r="G875" s="243"/>
      <c r="H875" s="243"/>
      <c r="I875" s="243"/>
      <c r="J875" s="243"/>
      <c r="K875" s="243"/>
      <c r="L875" s="243"/>
      <c r="M875" s="243"/>
      <c r="N875" s="243"/>
      <c r="O875" s="243"/>
      <c r="P875" s="243"/>
      <c r="Q875" s="243"/>
      <c r="R875" s="243"/>
      <c r="S875" s="243"/>
      <c r="T875" s="243"/>
      <c r="U875" s="243"/>
      <c r="V875" s="243"/>
      <c r="W875" s="243"/>
      <c r="X875" s="243"/>
      <c r="Y875" s="244"/>
      <c r="Z875" s="243"/>
      <c r="AA875" s="245"/>
      <c r="AB875" s="246"/>
      <c r="AC875" s="246"/>
      <c r="AD875" s="246"/>
      <c r="AE875" s="131"/>
      <c r="AF875" s="244"/>
      <c r="AG875" s="243"/>
      <c r="AH875" s="243"/>
      <c r="AI875" s="243"/>
      <c r="AJ875" s="243"/>
      <c r="AK875" s="243"/>
      <c r="AL875" s="243"/>
      <c r="AM875" s="243"/>
      <c r="AN875" s="243"/>
      <c r="AO875" s="243"/>
      <c r="AP875" s="243"/>
      <c r="AQ875" s="243"/>
      <c r="AR875" s="243"/>
      <c r="AS875" s="243"/>
      <c r="AT875" s="243"/>
      <c r="AU875" s="243"/>
      <c r="AV875" s="243"/>
      <c r="AW875" s="243"/>
      <c r="AX875" s="243"/>
      <c r="AY875" s="243"/>
      <c r="AZ875" s="243"/>
    </row>
    <row r="876" spans="1:52">
      <c r="A876" s="216" t="str">
        <f>IF(D876="","",VLOOKUP(G876,códigosORL!$H:$J,3,FALSE))</f>
        <v/>
      </c>
      <c r="B876" s="243"/>
      <c r="C876" s="259"/>
      <c r="D876" s="243"/>
      <c r="E876" s="243"/>
      <c r="F876" s="247"/>
      <c r="G876" s="243"/>
      <c r="H876" s="243"/>
      <c r="I876" s="243"/>
      <c r="J876" s="243"/>
      <c r="K876" s="243"/>
      <c r="L876" s="243"/>
      <c r="M876" s="243"/>
      <c r="N876" s="243"/>
      <c r="O876" s="243"/>
      <c r="P876" s="243"/>
      <c r="Q876" s="243"/>
      <c r="R876" s="243"/>
      <c r="S876" s="243"/>
      <c r="T876" s="243"/>
      <c r="U876" s="243"/>
      <c r="V876" s="243"/>
      <c r="W876" s="243"/>
      <c r="X876" s="243"/>
      <c r="Y876" s="244"/>
      <c r="Z876" s="243"/>
      <c r="AA876" s="245"/>
      <c r="AB876" s="246"/>
      <c r="AC876" s="246"/>
      <c r="AD876" s="246"/>
      <c r="AE876" s="131"/>
      <c r="AF876" s="244"/>
      <c r="AG876" s="243"/>
      <c r="AH876" s="243"/>
      <c r="AI876" s="243"/>
      <c r="AJ876" s="243"/>
      <c r="AK876" s="243"/>
      <c r="AL876" s="243"/>
      <c r="AM876" s="243"/>
      <c r="AN876" s="243"/>
      <c r="AO876" s="243"/>
      <c r="AP876" s="243"/>
      <c r="AQ876" s="243"/>
      <c r="AR876" s="243"/>
      <c r="AS876" s="243"/>
      <c r="AT876" s="243"/>
      <c r="AU876" s="243"/>
      <c r="AV876" s="243"/>
      <c r="AW876" s="243"/>
      <c r="AX876" s="243"/>
      <c r="AY876" s="243"/>
      <c r="AZ876" s="243"/>
    </row>
    <row r="877" spans="1:52">
      <c r="A877" s="216" t="str">
        <f>IF(D877="","",VLOOKUP(G877,códigosORL!$H:$J,3,FALSE))</f>
        <v/>
      </c>
      <c r="B877" s="243"/>
      <c r="C877" s="259"/>
      <c r="D877" s="243"/>
      <c r="E877" s="243"/>
      <c r="F877" s="247"/>
      <c r="G877" s="243"/>
      <c r="H877" s="243"/>
      <c r="I877" s="243"/>
      <c r="J877" s="243"/>
      <c r="K877" s="243"/>
      <c r="L877" s="243"/>
      <c r="M877" s="243"/>
      <c r="N877" s="243"/>
      <c r="O877" s="243"/>
      <c r="P877" s="243"/>
      <c r="Q877" s="243"/>
      <c r="R877" s="243"/>
      <c r="S877" s="243"/>
      <c r="T877" s="243"/>
      <c r="U877" s="243"/>
      <c r="V877" s="243"/>
      <c r="W877" s="243"/>
      <c r="X877" s="243"/>
      <c r="Y877" s="244"/>
      <c r="Z877" s="243"/>
      <c r="AA877" s="245"/>
      <c r="AB877" s="246"/>
      <c r="AC877" s="246"/>
      <c r="AD877" s="246"/>
      <c r="AE877" s="131"/>
      <c r="AF877" s="244"/>
      <c r="AG877" s="243"/>
      <c r="AH877" s="243"/>
      <c r="AI877" s="243"/>
      <c r="AJ877" s="243"/>
      <c r="AK877" s="243"/>
      <c r="AL877" s="243"/>
      <c r="AM877" s="243"/>
      <c r="AN877" s="243"/>
      <c r="AO877" s="243"/>
      <c r="AP877" s="243"/>
      <c r="AQ877" s="243"/>
      <c r="AR877" s="243"/>
      <c r="AS877" s="243"/>
      <c r="AT877" s="243"/>
      <c r="AU877" s="243"/>
      <c r="AV877" s="243"/>
      <c r="AW877" s="243"/>
      <c r="AX877" s="243"/>
      <c r="AY877" s="243"/>
      <c r="AZ877" s="243"/>
    </row>
    <row r="878" spans="1:52">
      <c r="A878" s="216" t="str">
        <f>IF(D878="","",VLOOKUP(G878,códigosORL!$H:$J,3,FALSE))</f>
        <v/>
      </c>
      <c r="B878" s="243"/>
      <c r="C878" s="259"/>
      <c r="D878" s="243"/>
      <c r="E878" s="243"/>
      <c r="F878" s="247"/>
      <c r="G878" s="243"/>
      <c r="H878" s="243"/>
      <c r="I878" s="243"/>
      <c r="J878" s="243"/>
      <c r="K878" s="243"/>
      <c r="L878" s="243"/>
      <c r="M878" s="243"/>
      <c r="N878" s="243"/>
      <c r="O878" s="243"/>
      <c r="P878" s="243"/>
      <c r="Q878" s="243"/>
      <c r="R878" s="243"/>
      <c r="S878" s="243"/>
      <c r="T878" s="243"/>
      <c r="U878" s="243"/>
      <c r="V878" s="243"/>
      <c r="W878" s="243"/>
      <c r="X878" s="243"/>
      <c r="Y878" s="244"/>
      <c r="Z878" s="243"/>
      <c r="AA878" s="245"/>
      <c r="AB878" s="246"/>
      <c r="AC878" s="246"/>
      <c r="AD878" s="246"/>
      <c r="AE878" s="131"/>
      <c r="AF878" s="244"/>
      <c r="AG878" s="243"/>
      <c r="AH878" s="243"/>
      <c r="AI878" s="243"/>
      <c r="AJ878" s="243"/>
      <c r="AK878" s="243"/>
      <c r="AL878" s="243"/>
      <c r="AM878" s="243"/>
      <c r="AN878" s="243"/>
      <c r="AO878" s="243"/>
      <c r="AP878" s="243"/>
      <c r="AQ878" s="243"/>
      <c r="AR878" s="243"/>
      <c r="AS878" s="243"/>
      <c r="AT878" s="243"/>
      <c r="AU878" s="243"/>
      <c r="AV878" s="243"/>
      <c r="AW878" s="243"/>
      <c r="AX878" s="243"/>
      <c r="AY878" s="243"/>
      <c r="AZ878" s="243"/>
    </row>
    <row r="879" spans="1:52">
      <c r="A879" s="216" t="str">
        <f>IF(D879="","",VLOOKUP(G879,códigosORL!$H:$J,3,FALSE))</f>
        <v/>
      </c>
      <c r="B879" s="243"/>
      <c r="C879" s="259"/>
      <c r="D879" s="243"/>
      <c r="E879" s="243"/>
      <c r="F879" s="247"/>
      <c r="G879" s="243"/>
      <c r="H879" s="243"/>
      <c r="I879" s="243"/>
      <c r="J879" s="243"/>
      <c r="K879" s="243"/>
      <c r="L879" s="243"/>
      <c r="M879" s="243"/>
      <c r="N879" s="243"/>
      <c r="O879" s="243"/>
      <c r="P879" s="243"/>
      <c r="Q879" s="243"/>
      <c r="R879" s="243"/>
      <c r="S879" s="243"/>
      <c r="T879" s="243"/>
      <c r="U879" s="243"/>
      <c r="V879" s="243"/>
      <c r="W879" s="243"/>
      <c r="X879" s="243"/>
      <c r="Y879" s="244"/>
      <c r="Z879" s="243"/>
      <c r="AA879" s="245"/>
      <c r="AB879" s="246"/>
      <c r="AC879" s="246"/>
      <c r="AD879" s="246"/>
      <c r="AE879" s="131"/>
      <c r="AF879" s="244"/>
      <c r="AG879" s="243"/>
      <c r="AH879" s="243"/>
      <c r="AI879" s="243"/>
      <c r="AJ879" s="243"/>
      <c r="AK879" s="243"/>
      <c r="AL879" s="243"/>
      <c r="AM879" s="243"/>
      <c r="AN879" s="243"/>
      <c r="AO879" s="243"/>
      <c r="AP879" s="243"/>
      <c r="AQ879" s="243"/>
      <c r="AR879" s="243"/>
      <c r="AS879" s="243"/>
      <c r="AT879" s="243"/>
      <c r="AU879" s="243"/>
      <c r="AV879" s="243"/>
      <c r="AW879" s="243"/>
      <c r="AX879" s="243"/>
      <c r="AY879" s="243"/>
      <c r="AZ879" s="243"/>
    </row>
    <row r="880" spans="1:52">
      <c r="A880" s="216" t="str">
        <f>IF(D880="","",VLOOKUP(G880,códigosORL!$H:$J,3,FALSE))</f>
        <v/>
      </c>
      <c r="B880" s="243"/>
      <c r="C880" s="259"/>
      <c r="D880" s="243"/>
      <c r="E880" s="243"/>
      <c r="F880" s="247"/>
      <c r="G880" s="243"/>
      <c r="H880" s="243"/>
      <c r="I880" s="243"/>
      <c r="J880" s="243"/>
      <c r="K880" s="243"/>
      <c r="L880" s="243"/>
      <c r="M880" s="243"/>
      <c r="N880" s="243"/>
      <c r="O880" s="243"/>
      <c r="P880" s="243"/>
      <c r="Q880" s="243"/>
      <c r="R880" s="243"/>
      <c r="S880" s="243"/>
      <c r="T880" s="243"/>
      <c r="U880" s="243"/>
      <c r="V880" s="243"/>
      <c r="W880" s="243"/>
      <c r="X880" s="243"/>
      <c r="Y880" s="244"/>
      <c r="Z880" s="243"/>
      <c r="AA880" s="245"/>
      <c r="AB880" s="246"/>
      <c r="AC880" s="246"/>
      <c r="AD880" s="246"/>
      <c r="AE880" s="131"/>
      <c r="AF880" s="244"/>
      <c r="AG880" s="243"/>
      <c r="AH880" s="243"/>
      <c r="AI880" s="243"/>
      <c r="AJ880" s="243"/>
      <c r="AK880" s="243"/>
      <c r="AL880" s="243"/>
      <c r="AM880" s="243"/>
      <c r="AN880" s="243"/>
      <c r="AO880" s="243"/>
      <c r="AP880" s="243"/>
      <c r="AQ880" s="243"/>
      <c r="AR880" s="243"/>
      <c r="AS880" s="243"/>
      <c r="AT880" s="243"/>
      <c r="AU880" s="243"/>
      <c r="AV880" s="243"/>
      <c r="AW880" s="243"/>
      <c r="AX880" s="243"/>
      <c r="AY880" s="243"/>
      <c r="AZ880" s="243"/>
    </row>
    <row r="881" spans="1:52">
      <c r="A881" s="216" t="str">
        <f>IF(D881="","",VLOOKUP(G881,códigosORL!$H:$J,3,FALSE))</f>
        <v/>
      </c>
      <c r="B881" s="243"/>
      <c r="C881" s="259"/>
      <c r="D881" s="243"/>
      <c r="E881" s="243"/>
      <c r="F881" s="247"/>
      <c r="G881" s="243"/>
      <c r="H881" s="243"/>
      <c r="I881" s="243"/>
      <c r="J881" s="243"/>
      <c r="K881" s="243"/>
      <c r="L881" s="243"/>
      <c r="M881" s="243"/>
      <c r="N881" s="243"/>
      <c r="O881" s="243"/>
      <c r="P881" s="243"/>
      <c r="Q881" s="243"/>
      <c r="R881" s="243"/>
      <c r="S881" s="243"/>
      <c r="T881" s="243"/>
      <c r="U881" s="243"/>
      <c r="V881" s="243"/>
      <c r="W881" s="243"/>
      <c r="X881" s="243"/>
      <c r="Y881" s="244"/>
      <c r="Z881" s="243"/>
      <c r="AA881" s="245"/>
      <c r="AB881" s="246"/>
      <c r="AC881" s="246"/>
      <c r="AD881" s="246"/>
      <c r="AE881" s="131"/>
      <c r="AF881" s="244"/>
      <c r="AG881" s="243"/>
      <c r="AH881" s="243"/>
      <c r="AI881" s="243"/>
      <c r="AJ881" s="243"/>
      <c r="AK881" s="243"/>
      <c r="AL881" s="243"/>
      <c r="AM881" s="243"/>
      <c r="AN881" s="243"/>
      <c r="AO881" s="243"/>
      <c r="AP881" s="243"/>
      <c r="AQ881" s="243"/>
      <c r="AR881" s="243"/>
      <c r="AS881" s="243"/>
      <c r="AT881" s="243"/>
      <c r="AU881" s="243"/>
      <c r="AV881" s="243"/>
      <c r="AW881" s="243"/>
      <c r="AX881" s="243"/>
      <c r="AY881" s="243"/>
      <c r="AZ881" s="243"/>
    </row>
    <row r="882" spans="1:52">
      <c r="A882" s="216" t="str">
        <f>IF(D882="","",VLOOKUP(G882,códigosORL!$H:$J,3,FALSE))</f>
        <v/>
      </c>
      <c r="B882" s="243"/>
      <c r="C882" s="259"/>
      <c r="D882" s="243"/>
      <c r="E882" s="243"/>
      <c r="F882" s="247"/>
      <c r="G882" s="243"/>
      <c r="H882" s="243"/>
      <c r="I882" s="243"/>
      <c r="J882" s="243"/>
      <c r="K882" s="243"/>
      <c r="L882" s="243"/>
      <c r="M882" s="243"/>
      <c r="N882" s="243"/>
      <c r="O882" s="243"/>
      <c r="P882" s="243"/>
      <c r="Q882" s="243"/>
      <c r="R882" s="243"/>
      <c r="S882" s="243"/>
      <c r="T882" s="243"/>
      <c r="U882" s="243"/>
      <c r="V882" s="243"/>
      <c r="W882" s="243"/>
      <c r="X882" s="243"/>
      <c r="Y882" s="244"/>
      <c r="Z882" s="243"/>
      <c r="AA882" s="245"/>
      <c r="AB882" s="246"/>
      <c r="AC882" s="246"/>
      <c r="AD882" s="246"/>
      <c r="AE882" s="131"/>
      <c r="AF882" s="244"/>
      <c r="AG882" s="243"/>
      <c r="AH882" s="243"/>
      <c r="AI882" s="243"/>
      <c r="AJ882" s="243"/>
      <c r="AK882" s="243"/>
      <c r="AL882" s="243"/>
      <c r="AM882" s="243"/>
      <c r="AN882" s="243"/>
      <c r="AO882" s="243"/>
      <c r="AP882" s="243"/>
      <c r="AQ882" s="243"/>
      <c r="AR882" s="243"/>
      <c r="AS882" s="243"/>
      <c r="AT882" s="243"/>
      <c r="AU882" s="243"/>
      <c r="AV882" s="243"/>
      <c r="AW882" s="243"/>
      <c r="AX882" s="243"/>
      <c r="AY882" s="243"/>
      <c r="AZ882" s="243"/>
    </row>
    <row r="883" spans="1:52">
      <c r="A883" s="216" t="str">
        <f>IF(D883="","",VLOOKUP(G883,códigosORL!$H:$J,3,FALSE))</f>
        <v/>
      </c>
      <c r="B883" s="243"/>
      <c r="C883" s="259"/>
      <c r="D883" s="243"/>
      <c r="E883" s="243"/>
      <c r="F883" s="247"/>
      <c r="G883" s="243"/>
      <c r="H883" s="243"/>
      <c r="I883" s="243"/>
      <c r="J883" s="243"/>
      <c r="K883" s="243"/>
      <c r="L883" s="243"/>
      <c r="M883" s="243"/>
      <c r="N883" s="243"/>
      <c r="O883" s="243"/>
      <c r="P883" s="243"/>
      <c r="Q883" s="243"/>
      <c r="R883" s="243"/>
      <c r="S883" s="243"/>
      <c r="T883" s="243"/>
      <c r="U883" s="243"/>
      <c r="V883" s="243"/>
      <c r="W883" s="243"/>
      <c r="X883" s="243"/>
      <c r="Y883" s="244"/>
      <c r="Z883" s="243"/>
      <c r="AA883" s="245"/>
      <c r="AB883" s="246"/>
      <c r="AC883" s="246"/>
      <c r="AD883" s="246"/>
      <c r="AE883" s="131"/>
      <c r="AF883" s="244"/>
      <c r="AG883" s="243"/>
      <c r="AH883" s="243"/>
      <c r="AI883" s="243"/>
      <c r="AJ883" s="243"/>
      <c r="AK883" s="243"/>
      <c r="AL883" s="243"/>
      <c r="AM883" s="243"/>
      <c r="AN883" s="243"/>
      <c r="AO883" s="243"/>
      <c r="AP883" s="243"/>
      <c r="AQ883" s="243"/>
      <c r="AR883" s="243"/>
      <c r="AS883" s="243"/>
      <c r="AT883" s="243"/>
      <c r="AU883" s="243"/>
      <c r="AV883" s="243"/>
      <c r="AW883" s="243"/>
      <c r="AX883" s="243"/>
      <c r="AY883" s="243"/>
      <c r="AZ883" s="243"/>
    </row>
    <row r="884" spans="1:52">
      <c r="A884" s="216" t="str">
        <f>IF(D884="","",VLOOKUP(G884,códigosORL!$H:$J,3,FALSE))</f>
        <v/>
      </c>
      <c r="B884" s="243"/>
      <c r="C884" s="259"/>
      <c r="D884" s="243"/>
      <c r="E884" s="243"/>
      <c r="F884" s="247"/>
      <c r="G884" s="243"/>
      <c r="H884" s="243"/>
      <c r="I884" s="243"/>
      <c r="J884" s="243"/>
      <c r="K884" s="243"/>
      <c r="L884" s="243"/>
      <c r="M884" s="243"/>
      <c r="N884" s="243"/>
      <c r="O884" s="243"/>
      <c r="P884" s="243"/>
      <c r="Q884" s="243"/>
      <c r="R884" s="243"/>
      <c r="S884" s="243"/>
      <c r="T884" s="243"/>
      <c r="U884" s="243"/>
      <c r="V884" s="243"/>
      <c r="W884" s="243"/>
      <c r="X884" s="243"/>
      <c r="Y884" s="244"/>
      <c r="Z884" s="243"/>
      <c r="AA884" s="245"/>
      <c r="AB884" s="246"/>
      <c r="AC884" s="246"/>
      <c r="AD884" s="246"/>
      <c r="AE884" s="131"/>
      <c r="AF884" s="244"/>
      <c r="AG884" s="243"/>
      <c r="AH884" s="243"/>
      <c r="AI884" s="243"/>
      <c r="AJ884" s="243"/>
      <c r="AK884" s="243"/>
      <c r="AL884" s="243"/>
      <c r="AM884" s="243"/>
      <c r="AN884" s="243"/>
      <c r="AO884" s="243"/>
      <c r="AP884" s="243"/>
      <c r="AQ884" s="243"/>
      <c r="AR884" s="243"/>
      <c r="AS884" s="243"/>
      <c r="AT884" s="243"/>
      <c r="AU884" s="243"/>
      <c r="AV884" s="243"/>
      <c r="AW884" s="243"/>
      <c r="AX884" s="243"/>
      <c r="AY884" s="243"/>
      <c r="AZ884" s="243"/>
    </row>
    <row r="885" spans="1:52">
      <c r="A885" s="216" t="str">
        <f>IF(D885="","",VLOOKUP(G885,códigosORL!$H:$J,3,FALSE))</f>
        <v/>
      </c>
      <c r="B885" s="243"/>
      <c r="C885" s="259"/>
      <c r="D885" s="243"/>
      <c r="E885" s="243"/>
      <c r="F885" s="247"/>
      <c r="G885" s="243"/>
      <c r="H885" s="243"/>
      <c r="I885" s="243"/>
      <c r="J885" s="243"/>
      <c r="K885" s="243"/>
      <c r="L885" s="243"/>
      <c r="M885" s="243"/>
      <c r="N885" s="243"/>
      <c r="O885" s="243"/>
      <c r="P885" s="243"/>
      <c r="Q885" s="243"/>
      <c r="R885" s="243"/>
      <c r="S885" s="243"/>
      <c r="T885" s="243"/>
      <c r="U885" s="243"/>
      <c r="V885" s="243"/>
      <c r="W885" s="243"/>
      <c r="X885" s="243"/>
      <c r="Y885" s="244"/>
      <c r="Z885" s="243"/>
      <c r="AA885" s="245"/>
      <c r="AB885" s="246"/>
      <c r="AC885" s="246"/>
      <c r="AD885" s="246"/>
      <c r="AE885" s="131"/>
      <c r="AF885" s="244"/>
      <c r="AG885" s="243"/>
      <c r="AH885" s="243"/>
      <c r="AI885" s="243"/>
      <c r="AJ885" s="243"/>
      <c r="AK885" s="243"/>
      <c r="AL885" s="243"/>
      <c r="AM885" s="243"/>
      <c r="AN885" s="243"/>
      <c r="AO885" s="243"/>
      <c r="AP885" s="243"/>
      <c r="AQ885" s="243"/>
      <c r="AR885" s="243"/>
      <c r="AS885" s="243"/>
      <c r="AT885" s="243"/>
      <c r="AU885" s="243"/>
      <c r="AV885" s="243"/>
      <c r="AW885" s="243"/>
      <c r="AX885" s="243"/>
      <c r="AY885" s="243"/>
      <c r="AZ885" s="243"/>
    </row>
    <row r="886" spans="1:52">
      <c r="A886" s="216" t="str">
        <f>IF(D886="","",VLOOKUP(G886,códigosORL!$H:$J,3,FALSE))</f>
        <v/>
      </c>
      <c r="B886" s="243"/>
      <c r="C886" s="259"/>
      <c r="D886" s="243"/>
      <c r="E886" s="243"/>
      <c r="F886" s="247"/>
      <c r="G886" s="243"/>
      <c r="H886" s="243"/>
      <c r="I886" s="243"/>
      <c r="J886" s="243"/>
      <c r="K886" s="243"/>
      <c r="L886" s="243"/>
      <c r="M886" s="243"/>
      <c r="N886" s="243"/>
      <c r="O886" s="243"/>
      <c r="P886" s="243"/>
      <c r="Q886" s="243"/>
      <c r="R886" s="243"/>
      <c r="S886" s="243"/>
      <c r="T886" s="243"/>
      <c r="U886" s="243"/>
      <c r="V886" s="243"/>
      <c r="W886" s="243"/>
      <c r="X886" s="243"/>
      <c r="Y886" s="244"/>
      <c r="Z886" s="243"/>
      <c r="AA886" s="245"/>
      <c r="AB886" s="246"/>
      <c r="AC886" s="246"/>
      <c r="AD886" s="246"/>
      <c r="AE886" s="131"/>
      <c r="AF886" s="244"/>
      <c r="AG886" s="243"/>
      <c r="AH886" s="243"/>
      <c r="AI886" s="243"/>
      <c r="AJ886" s="243"/>
      <c r="AK886" s="243"/>
      <c r="AL886" s="243"/>
      <c r="AM886" s="243"/>
      <c r="AN886" s="243"/>
      <c r="AO886" s="243"/>
      <c r="AP886" s="243"/>
      <c r="AQ886" s="243"/>
      <c r="AR886" s="243"/>
      <c r="AS886" s="243"/>
      <c r="AT886" s="243"/>
      <c r="AU886" s="243"/>
      <c r="AV886" s="243"/>
      <c r="AW886" s="243"/>
      <c r="AX886" s="243"/>
      <c r="AY886" s="243"/>
      <c r="AZ886" s="243"/>
    </row>
    <row r="887" spans="1:52">
      <c r="A887" s="216" t="str">
        <f>IF(D887="","",VLOOKUP(G887,códigosORL!$H:$J,3,FALSE))</f>
        <v/>
      </c>
      <c r="B887" s="243"/>
      <c r="C887" s="259"/>
      <c r="D887" s="243"/>
      <c r="E887" s="243"/>
      <c r="F887" s="247"/>
      <c r="G887" s="243"/>
      <c r="H887" s="243"/>
      <c r="I887" s="243"/>
      <c r="J887" s="243"/>
      <c r="K887" s="243"/>
      <c r="L887" s="243"/>
      <c r="M887" s="243"/>
      <c r="N887" s="243"/>
      <c r="O887" s="243"/>
      <c r="P887" s="243"/>
      <c r="Q887" s="243"/>
      <c r="R887" s="243"/>
      <c r="S887" s="243"/>
      <c r="T887" s="243"/>
      <c r="U887" s="243"/>
      <c r="V887" s="243"/>
      <c r="W887" s="243"/>
      <c r="X887" s="243"/>
      <c r="Y887" s="244"/>
      <c r="Z887" s="243"/>
      <c r="AA887" s="245"/>
      <c r="AB887" s="246"/>
      <c r="AC887" s="246"/>
      <c r="AD887" s="246"/>
      <c r="AE887" s="131"/>
      <c r="AF887" s="244"/>
      <c r="AG887" s="243"/>
      <c r="AH887" s="243"/>
      <c r="AI887" s="243"/>
      <c r="AJ887" s="243"/>
      <c r="AK887" s="243"/>
      <c r="AL887" s="243"/>
      <c r="AM887" s="243"/>
      <c r="AN887" s="243"/>
      <c r="AO887" s="243"/>
      <c r="AP887" s="243"/>
      <c r="AQ887" s="243"/>
      <c r="AR887" s="243"/>
      <c r="AS887" s="243"/>
      <c r="AT887" s="243"/>
      <c r="AU887" s="243"/>
      <c r="AV887" s="243"/>
      <c r="AW887" s="243"/>
      <c r="AX887" s="243"/>
      <c r="AY887" s="243"/>
      <c r="AZ887" s="243"/>
    </row>
    <row r="888" spans="1:52">
      <c r="A888" s="216" t="str">
        <f>IF(D888="","",VLOOKUP(G888,códigosORL!$H:$J,3,FALSE))</f>
        <v/>
      </c>
      <c r="B888" s="243"/>
      <c r="C888" s="259"/>
      <c r="D888" s="243"/>
      <c r="E888" s="243"/>
      <c r="F888" s="247"/>
      <c r="G888" s="243"/>
      <c r="H888" s="243"/>
      <c r="I888" s="243"/>
      <c r="J888" s="243"/>
      <c r="K888" s="243"/>
      <c r="L888" s="243"/>
      <c r="M888" s="243"/>
      <c r="N888" s="243"/>
      <c r="O888" s="243"/>
      <c r="P888" s="243"/>
      <c r="Q888" s="243"/>
      <c r="R888" s="243"/>
      <c r="S888" s="243"/>
      <c r="T888" s="243"/>
      <c r="U888" s="243"/>
      <c r="V888" s="243"/>
      <c r="W888" s="243"/>
      <c r="X888" s="243"/>
      <c r="Y888" s="244"/>
      <c r="Z888" s="243"/>
      <c r="AA888" s="245"/>
      <c r="AB888" s="246"/>
      <c r="AC888" s="246"/>
      <c r="AD888" s="246"/>
      <c r="AE888" s="131"/>
      <c r="AF888" s="244"/>
      <c r="AG888" s="243"/>
      <c r="AH888" s="243"/>
      <c r="AI888" s="243"/>
      <c r="AJ888" s="243"/>
      <c r="AK888" s="243"/>
      <c r="AL888" s="243"/>
      <c r="AM888" s="243"/>
      <c r="AN888" s="243"/>
      <c r="AO888" s="243"/>
      <c r="AP888" s="243"/>
      <c r="AQ888" s="243"/>
      <c r="AR888" s="243"/>
      <c r="AS888" s="243"/>
      <c r="AT888" s="243"/>
      <c r="AU888" s="243"/>
      <c r="AV888" s="243"/>
      <c r="AW888" s="243"/>
      <c r="AX888" s="243"/>
      <c r="AY888" s="243"/>
      <c r="AZ888" s="243"/>
    </row>
    <row r="889" spans="1:52">
      <c r="A889" s="216" t="str">
        <f>IF(D889="","",VLOOKUP(G889,códigosORL!$H:$J,3,FALSE))</f>
        <v/>
      </c>
      <c r="B889" s="243"/>
      <c r="C889" s="259"/>
      <c r="D889" s="243"/>
      <c r="E889" s="243"/>
      <c r="F889" s="247"/>
      <c r="G889" s="243"/>
      <c r="H889" s="243"/>
      <c r="I889" s="243"/>
      <c r="J889" s="243"/>
      <c r="K889" s="243"/>
      <c r="L889" s="243"/>
      <c r="M889" s="243"/>
      <c r="N889" s="243"/>
      <c r="O889" s="243"/>
      <c r="P889" s="243"/>
      <c r="Q889" s="243"/>
      <c r="R889" s="243"/>
      <c r="S889" s="243"/>
      <c r="T889" s="243"/>
      <c r="U889" s="243"/>
      <c r="V889" s="243"/>
      <c r="W889" s="243"/>
      <c r="X889" s="243"/>
      <c r="Y889" s="244"/>
      <c r="Z889" s="243"/>
      <c r="AA889" s="245"/>
      <c r="AB889" s="246"/>
      <c r="AC889" s="246"/>
      <c r="AD889" s="246"/>
      <c r="AE889" s="131"/>
      <c r="AF889" s="244"/>
      <c r="AG889" s="243"/>
      <c r="AH889" s="243"/>
      <c r="AI889" s="243"/>
      <c r="AJ889" s="243"/>
      <c r="AK889" s="243"/>
      <c r="AL889" s="243"/>
      <c r="AM889" s="243"/>
      <c r="AN889" s="243"/>
      <c r="AO889" s="243"/>
      <c r="AP889" s="243"/>
      <c r="AQ889" s="243"/>
      <c r="AR889" s="243"/>
      <c r="AS889" s="243"/>
      <c r="AT889" s="243"/>
      <c r="AU889" s="243"/>
      <c r="AV889" s="243"/>
      <c r="AW889" s="243"/>
      <c r="AX889" s="243"/>
      <c r="AY889" s="243"/>
      <c r="AZ889" s="243"/>
    </row>
    <row r="890" spans="1:52">
      <c r="A890" s="216" t="str">
        <f>IF(D890="","",VLOOKUP(G890,códigosORL!$H:$J,3,FALSE))</f>
        <v/>
      </c>
      <c r="B890" s="243"/>
      <c r="C890" s="259"/>
      <c r="D890" s="243"/>
      <c r="E890" s="243"/>
      <c r="F890" s="247"/>
      <c r="G890" s="243"/>
      <c r="H890" s="243"/>
      <c r="I890" s="243"/>
      <c r="J890" s="243"/>
      <c r="K890" s="243"/>
      <c r="L890" s="243"/>
      <c r="M890" s="243"/>
      <c r="N890" s="243"/>
      <c r="O890" s="243"/>
      <c r="P890" s="243"/>
      <c r="Q890" s="243"/>
      <c r="R890" s="243"/>
      <c r="S890" s="243"/>
      <c r="T890" s="243"/>
      <c r="U890" s="243"/>
      <c r="V890" s="243"/>
      <c r="W890" s="243"/>
      <c r="X890" s="243"/>
      <c r="Y890" s="244"/>
      <c r="Z890" s="243"/>
      <c r="AA890" s="245"/>
      <c r="AB890" s="246"/>
      <c r="AC890" s="246"/>
      <c r="AD890" s="246"/>
      <c r="AE890" s="131"/>
      <c r="AF890" s="244"/>
      <c r="AG890" s="243"/>
      <c r="AH890" s="243"/>
      <c r="AI890" s="243"/>
      <c r="AJ890" s="243"/>
      <c r="AK890" s="243"/>
      <c r="AL890" s="243"/>
      <c r="AM890" s="243"/>
      <c r="AN890" s="243"/>
      <c r="AO890" s="243"/>
      <c r="AP890" s="243"/>
      <c r="AQ890" s="243"/>
      <c r="AR890" s="243"/>
      <c r="AS890" s="243"/>
      <c r="AT890" s="243"/>
      <c r="AU890" s="243"/>
      <c r="AV890" s="243"/>
      <c r="AW890" s="243"/>
      <c r="AX890" s="243"/>
      <c r="AY890" s="243"/>
      <c r="AZ890" s="243"/>
    </row>
    <row r="891" spans="1:52">
      <c r="A891" s="216" t="str">
        <f>IF(D891="","",VLOOKUP(G891,códigosORL!$H:$J,3,FALSE))</f>
        <v/>
      </c>
      <c r="B891" s="243"/>
      <c r="C891" s="259"/>
      <c r="D891" s="243"/>
      <c r="E891" s="243"/>
      <c r="F891" s="247"/>
      <c r="G891" s="243"/>
      <c r="H891" s="243"/>
      <c r="I891" s="243"/>
      <c r="J891" s="243"/>
      <c r="K891" s="243"/>
      <c r="L891" s="243"/>
      <c r="M891" s="243"/>
      <c r="N891" s="243"/>
      <c r="O891" s="243"/>
      <c r="P891" s="243"/>
      <c r="Q891" s="243"/>
      <c r="R891" s="243"/>
      <c r="S891" s="243"/>
      <c r="T891" s="243"/>
      <c r="U891" s="243"/>
      <c r="V891" s="243"/>
      <c r="W891" s="243"/>
      <c r="X891" s="243"/>
      <c r="Y891" s="244"/>
      <c r="Z891" s="243"/>
      <c r="AA891" s="245"/>
      <c r="AB891" s="246"/>
      <c r="AC891" s="246"/>
      <c r="AD891" s="246"/>
      <c r="AE891" s="131"/>
      <c r="AF891" s="244"/>
      <c r="AG891" s="243"/>
      <c r="AH891" s="243"/>
      <c r="AI891" s="243"/>
      <c r="AJ891" s="243"/>
      <c r="AK891" s="243"/>
      <c r="AL891" s="243"/>
      <c r="AM891" s="243"/>
      <c r="AN891" s="243"/>
      <c r="AO891" s="243"/>
      <c r="AP891" s="243"/>
      <c r="AQ891" s="243"/>
      <c r="AR891" s="243"/>
      <c r="AS891" s="243"/>
      <c r="AT891" s="243"/>
      <c r="AU891" s="243"/>
      <c r="AV891" s="243"/>
      <c r="AW891" s="243"/>
      <c r="AX891" s="243"/>
      <c r="AY891" s="243"/>
      <c r="AZ891" s="243"/>
    </row>
    <row r="892" spans="1:52">
      <c r="A892" s="216" t="str">
        <f>IF(D892="","",VLOOKUP(G892,códigosORL!$H:$J,3,FALSE))</f>
        <v/>
      </c>
      <c r="B892" s="243"/>
      <c r="C892" s="259"/>
      <c r="D892" s="243"/>
      <c r="E892" s="243"/>
      <c r="F892" s="247"/>
      <c r="G892" s="243"/>
      <c r="H892" s="243"/>
      <c r="I892" s="243"/>
      <c r="J892" s="243"/>
      <c r="K892" s="243"/>
      <c r="L892" s="243"/>
      <c r="M892" s="243"/>
      <c r="N892" s="243"/>
      <c r="O892" s="243"/>
      <c r="P892" s="243"/>
      <c r="Q892" s="243"/>
      <c r="R892" s="243"/>
      <c r="S892" s="243"/>
      <c r="T892" s="243"/>
      <c r="U892" s="243"/>
      <c r="V892" s="243"/>
      <c r="W892" s="243"/>
      <c r="X892" s="243"/>
      <c r="Y892" s="244"/>
      <c r="Z892" s="243"/>
      <c r="AA892" s="245"/>
      <c r="AB892" s="246"/>
      <c r="AC892" s="246"/>
      <c r="AD892" s="246"/>
      <c r="AE892" s="131"/>
      <c r="AF892" s="244"/>
      <c r="AG892" s="243"/>
      <c r="AH892" s="243"/>
      <c r="AI892" s="243"/>
      <c r="AJ892" s="243"/>
      <c r="AK892" s="243"/>
      <c r="AL892" s="243"/>
      <c r="AM892" s="243"/>
      <c r="AN892" s="243"/>
      <c r="AO892" s="243"/>
      <c r="AP892" s="243"/>
      <c r="AQ892" s="243"/>
      <c r="AR892" s="243"/>
      <c r="AS892" s="243"/>
      <c r="AT892" s="243"/>
      <c r="AU892" s="243"/>
      <c r="AV892" s="243"/>
      <c r="AW892" s="243"/>
      <c r="AX892" s="243"/>
      <c r="AY892" s="243"/>
      <c r="AZ892" s="243"/>
    </row>
    <row r="893" spans="1:52">
      <c r="A893" s="216" t="str">
        <f>IF(D893="","",VLOOKUP(G893,códigosORL!$H:$J,3,FALSE))</f>
        <v/>
      </c>
      <c r="B893" s="243"/>
      <c r="C893" s="259"/>
      <c r="D893" s="243"/>
      <c r="E893" s="243"/>
      <c r="F893" s="247"/>
      <c r="G893" s="243"/>
      <c r="H893" s="243"/>
      <c r="I893" s="243"/>
      <c r="J893" s="243"/>
      <c r="K893" s="243"/>
      <c r="L893" s="243"/>
      <c r="M893" s="243"/>
      <c r="N893" s="243"/>
      <c r="O893" s="243"/>
      <c r="P893" s="243"/>
      <c r="Q893" s="243"/>
      <c r="R893" s="243"/>
      <c r="S893" s="243"/>
      <c r="T893" s="243"/>
      <c r="U893" s="243"/>
      <c r="V893" s="243"/>
      <c r="W893" s="243"/>
      <c r="X893" s="243"/>
      <c r="Y893" s="244"/>
      <c r="Z893" s="243"/>
      <c r="AA893" s="245"/>
      <c r="AB893" s="246"/>
      <c r="AC893" s="246"/>
      <c r="AD893" s="246"/>
      <c r="AE893" s="131"/>
      <c r="AF893" s="244"/>
      <c r="AG893" s="243"/>
      <c r="AH893" s="243"/>
      <c r="AI893" s="243"/>
      <c r="AJ893" s="243"/>
      <c r="AK893" s="243"/>
      <c r="AL893" s="243"/>
      <c r="AM893" s="243"/>
      <c r="AN893" s="243"/>
      <c r="AO893" s="243"/>
      <c r="AP893" s="243"/>
      <c r="AQ893" s="243"/>
      <c r="AR893" s="243"/>
      <c r="AS893" s="243"/>
      <c r="AT893" s="243"/>
      <c r="AU893" s="243"/>
      <c r="AV893" s="243"/>
      <c r="AW893" s="243"/>
      <c r="AX893" s="243"/>
      <c r="AY893" s="243"/>
      <c r="AZ893" s="243"/>
    </row>
    <row r="894" spans="1:52">
      <c r="A894" s="216" t="str">
        <f>IF(D894="","",VLOOKUP(G894,códigosORL!$H:$J,3,FALSE))</f>
        <v/>
      </c>
      <c r="B894" s="243"/>
      <c r="C894" s="259"/>
      <c r="D894" s="243"/>
      <c r="E894" s="243"/>
      <c r="F894" s="247"/>
      <c r="G894" s="243"/>
      <c r="H894" s="243"/>
      <c r="I894" s="243"/>
      <c r="J894" s="243"/>
      <c r="K894" s="243"/>
      <c r="L894" s="243"/>
      <c r="M894" s="243"/>
      <c r="N894" s="243"/>
      <c r="O894" s="243"/>
      <c r="P894" s="243"/>
      <c r="Q894" s="243"/>
      <c r="R894" s="243"/>
      <c r="S894" s="243"/>
      <c r="T894" s="243"/>
      <c r="U894" s="243"/>
      <c r="V894" s="243"/>
      <c r="W894" s="243"/>
      <c r="X894" s="243"/>
      <c r="Y894" s="244"/>
      <c r="Z894" s="243"/>
      <c r="AA894" s="245"/>
      <c r="AB894" s="246"/>
      <c r="AC894" s="246"/>
      <c r="AD894" s="246"/>
      <c r="AE894" s="131"/>
      <c r="AF894" s="244"/>
      <c r="AG894" s="243"/>
      <c r="AH894" s="243"/>
      <c r="AI894" s="243"/>
      <c r="AJ894" s="243"/>
      <c r="AK894" s="243"/>
      <c r="AL894" s="243"/>
      <c r="AM894" s="243"/>
      <c r="AN894" s="243"/>
      <c r="AO894" s="243"/>
      <c r="AP894" s="243"/>
      <c r="AQ894" s="243"/>
      <c r="AR894" s="243"/>
      <c r="AS894" s="243"/>
      <c r="AT894" s="243"/>
      <c r="AU894" s="243"/>
      <c r="AV894" s="243"/>
      <c r="AW894" s="243"/>
      <c r="AX894" s="243"/>
      <c r="AY894" s="243"/>
      <c r="AZ894" s="243"/>
    </row>
    <row r="895" spans="1:52">
      <c r="A895" s="216" t="str">
        <f>IF(D895="","",VLOOKUP(G895,códigosORL!$H:$J,3,FALSE))</f>
        <v/>
      </c>
      <c r="B895" s="243"/>
      <c r="C895" s="259"/>
      <c r="D895" s="243"/>
      <c r="E895" s="243"/>
      <c r="F895" s="247"/>
      <c r="G895" s="243"/>
      <c r="H895" s="243"/>
      <c r="I895" s="243"/>
      <c r="J895" s="243"/>
      <c r="K895" s="243"/>
      <c r="L895" s="243"/>
      <c r="M895" s="243"/>
      <c r="N895" s="243"/>
      <c r="O895" s="243"/>
      <c r="P895" s="243"/>
      <c r="Q895" s="243"/>
      <c r="R895" s="243"/>
      <c r="S895" s="243"/>
      <c r="T895" s="243"/>
      <c r="U895" s="243"/>
      <c r="V895" s="243"/>
      <c r="W895" s="243"/>
      <c r="X895" s="243"/>
      <c r="Y895" s="244"/>
      <c r="Z895" s="243"/>
      <c r="AA895" s="245"/>
      <c r="AB895" s="246"/>
      <c r="AC895" s="246"/>
      <c r="AD895" s="246"/>
      <c r="AE895" s="131"/>
      <c r="AF895" s="244"/>
      <c r="AG895" s="243"/>
      <c r="AH895" s="243"/>
      <c r="AI895" s="243"/>
      <c r="AJ895" s="243"/>
      <c r="AK895" s="243"/>
      <c r="AL895" s="243"/>
      <c r="AM895" s="243"/>
      <c r="AN895" s="243"/>
      <c r="AO895" s="243"/>
      <c r="AP895" s="243"/>
      <c r="AQ895" s="243"/>
      <c r="AR895" s="243"/>
      <c r="AS895" s="243"/>
      <c r="AT895" s="243"/>
      <c r="AU895" s="243"/>
      <c r="AV895" s="243"/>
      <c r="AW895" s="243"/>
      <c r="AX895" s="243"/>
      <c r="AY895" s="243"/>
      <c r="AZ895" s="243"/>
    </row>
    <row r="896" spans="1:52">
      <c r="A896" s="216" t="str">
        <f>IF(D896="","",VLOOKUP(G896,códigosORL!$H:$J,3,FALSE))</f>
        <v/>
      </c>
      <c r="B896" s="243"/>
      <c r="C896" s="259"/>
      <c r="D896" s="243"/>
      <c r="E896" s="243"/>
      <c r="F896" s="247"/>
      <c r="G896" s="243"/>
      <c r="H896" s="243"/>
      <c r="I896" s="243"/>
      <c r="J896" s="243"/>
      <c r="K896" s="243"/>
      <c r="L896" s="243"/>
      <c r="M896" s="243"/>
      <c r="N896" s="243"/>
      <c r="O896" s="243"/>
      <c r="P896" s="243"/>
      <c r="Q896" s="243"/>
      <c r="R896" s="243"/>
      <c r="S896" s="243"/>
      <c r="T896" s="243"/>
      <c r="U896" s="243"/>
      <c r="V896" s="243"/>
      <c r="W896" s="243"/>
      <c r="X896" s="243"/>
      <c r="Y896" s="244"/>
      <c r="Z896" s="243"/>
      <c r="AA896" s="245"/>
      <c r="AB896" s="246"/>
      <c r="AC896" s="246"/>
      <c r="AD896" s="246"/>
      <c r="AE896" s="131"/>
      <c r="AF896" s="244"/>
      <c r="AG896" s="243"/>
      <c r="AH896" s="243"/>
      <c r="AI896" s="243"/>
      <c r="AJ896" s="243"/>
      <c r="AK896" s="243"/>
      <c r="AL896" s="243"/>
      <c r="AM896" s="243"/>
      <c r="AN896" s="243"/>
      <c r="AO896" s="243"/>
      <c r="AP896" s="243"/>
      <c r="AQ896" s="243"/>
      <c r="AR896" s="243"/>
      <c r="AS896" s="243"/>
      <c r="AT896" s="243"/>
      <c r="AU896" s="243"/>
      <c r="AV896" s="243"/>
      <c r="AW896" s="243"/>
      <c r="AX896" s="243"/>
      <c r="AY896" s="243"/>
      <c r="AZ896" s="243"/>
    </row>
    <row r="897" spans="1:52">
      <c r="A897" s="216" t="str">
        <f>IF(D897="","",VLOOKUP(G897,códigosORL!$H:$J,3,FALSE))</f>
        <v/>
      </c>
      <c r="B897" s="243"/>
      <c r="C897" s="259"/>
      <c r="D897" s="243"/>
      <c r="E897" s="243"/>
      <c r="F897" s="247"/>
      <c r="G897" s="243"/>
      <c r="H897" s="243"/>
      <c r="I897" s="243"/>
      <c r="J897" s="243"/>
      <c r="K897" s="243"/>
      <c r="L897" s="243"/>
      <c r="M897" s="243"/>
      <c r="N897" s="243"/>
      <c r="O897" s="243"/>
      <c r="P897" s="243"/>
      <c r="Q897" s="243"/>
      <c r="R897" s="243"/>
      <c r="S897" s="243"/>
      <c r="T897" s="243"/>
      <c r="U897" s="243"/>
      <c r="V897" s="243"/>
      <c r="W897" s="243"/>
      <c r="X897" s="243"/>
      <c r="Y897" s="244"/>
      <c r="Z897" s="243"/>
      <c r="AA897" s="245"/>
      <c r="AB897" s="246"/>
      <c r="AC897" s="246"/>
      <c r="AD897" s="246"/>
      <c r="AE897" s="131"/>
      <c r="AF897" s="244"/>
      <c r="AG897" s="243"/>
      <c r="AH897" s="243"/>
      <c r="AI897" s="243"/>
      <c r="AJ897" s="243"/>
      <c r="AK897" s="243"/>
      <c r="AL897" s="243"/>
      <c r="AM897" s="243"/>
      <c r="AN897" s="243"/>
      <c r="AO897" s="243"/>
      <c r="AP897" s="243"/>
      <c r="AQ897" s="243"/>
      <c r="AR897" s="243"/>
      <c r="AS897" s="243"/>
      <c r="AT897" s="243"/>
      <c r="AU897" s="243"/>
      <c r="AV897" s="243"/>
      <c r="AW897" s="243"/>
      <c r="AX897" s="243"/>
      <c r="AY897" s="243"/>
      <c r="AZ897" s="243"/>
    </row>
    <row r="898" spans="1:52">
      <c r="A898" s="216" t="str">
        <f>IF(D898="","",VLOOKUP(G898,códigosORL!$H:$J,3,FALSE))</f>
        <v/>
      </c>
      <c r="B898" s="243"/>
      <c r="C898" s="259"/>
      <c r="D898" s="243"/>
      <c r="E898" s="243"/>
      <c r="F898" s="247"/>
      <c r="G898" s="243"/>
      <c r="H898" s="243"/>
      <c r="I898" s="243"/>
      <c r="J898" s="243"/>
      <c r="K898" s="243"/>
      <c r="L898" s="243"/>
      <c r="M898" s="243"/>
      <c r="N898" s="243"/>
      <c r="O898" s="243"/>
      <c r="P898" s="243"/>
      <c r="Q898" s="243"/>
      <c r="R898" s="243"/>
      <c r="S898" s="243"/>
      <c r="T898" s="243"/>
      <c r="U898" s="243"/>
      <c r="V898" s="243"/>
      <c r="W898" s="243"/>
      <c r="X898" s="243"/>
      <c r="Y898" s="244"/>
      <c r="Z898" s="243"/>
      <c r="AA898" s="245"/>
      <c r="AB898" s="246"/>
      <c r="AC898" s="246"/>
      <c r="AD898" s="246"/>
      <c r="AE898" s="131"/>
      <c r="AF898" s="244"/>
      <c r="AG898" s="243"/>
      <c r="AH898" s="243"/>
      <c r="AI898" s="243"/>
      <c r="AJ898" s="243"/>
      <c r="AK898" s="243"/>
      <c r="AL898" s="243"/>
      <c r="AM898" s="243"/>
      <c r="AN898" s="243"/>
      <c r="AO898" s="243"/>
      <c r="AP898" s="243"/>
      <c r="AQ898" s="243"/>
      <c r="AR898" s="243"/>
      <c r="AS898" s="243"/>
      <c r="AT898" s="243"/>
      <c r="AU898" s="243"/>
      <c r="AV898" s="243"/>
      <c r="AW898" s="243"/>
      <c r="AX898" s="243"/>
      <c r="AY898" s="243"/>
      <c r="AZ898" s="243"/>
    </row>
    <row r="899" spans="1:52">
      <c r="A899" s="216" t="str">
        <f>IF(D899="","",VLOOKUP(G899,códigosORL!$H:$J,3,FALSE))</f>
        <v/>
      </c>
      <c r="B899" s="243"/>
      <c r="C899" s="259"/>
      <c r="D899" s="243"/>
      <c r="E899" s="243"/>
      <c r="F899" s="247"/>
      <c r="G899" s="243"/>
      <c r="H899" s="243"/>
      <c r="I899" s="243"/>
      <c r="J899" s="243"/>
      <c r="K899" s="243"/>
      <c r="L899" s="243"/>
      <c r="M899" s="243"/>
      <c r="N899" s="243"/>
      <c r="O899" s="243"/>
      <c r="P899" s="243"/>
      <c r="Q899" s="243"/>
      <c r="R899" s="243"/>
      <c r="S899" s="243"/>
      <c r="T899" s="243"/>
      <c r="U899" s="243"/>
      <c r="V899" s="243"/>
      <c r="W899" s="243"/>
      <c r="X899" s="243"/>
      <c r="Y899" s="244"/>
      <c r="Z899" s="243"/>
      <c r="AA899" s="245"/>
      <c r="AB899" s="246"/>
      <c r="AC899" s="246"/>
      <c r="AD899" s="246"/>
      <c r="AE899" s="131"/>
      <c r="AF899" s="244"/>
      <c r="AG899" s="243"/>
      <c r="AH899" s="243"/>
      <c r="AI899" s="243"/>
      <c r="AJ899" s="243"/>
      <c r="AK899" s="243"/>
      <c r="AL899" s="243"/>
      <c r="AM899" s="243"/>
      <c r="AN899" s="243"/>
      <c r="AO899" s="243"/>
      <c r="AP899" s="243"/>
      <c r="AQ899" s="243"/>
      <c r="AR899" s="243"/>
      <c r="AS899" s="243"/>
      <c r="AT899" s="243"/>
      <c r="AU899" s="243"/>
      <c r="AV899" s="243"/>
      <c r="AW899" s="243"/>
      <c r="AX899" s="243"/>
      <c r="AY899" s="243"/>
      <c r="AZ899" s="243"/>
    </row>
    <row r="900" spans="1:52">
      <c r="A900" s="216" t="str">
        <f>IF(D900="","",VLOOKUP(G900,códigosORL!$H:$J,3,FALSE))</f>
        <v/>
      </c>
      <c r="B900" s="243"/>
      <c r="C900" s="259"/>
      <c r="D900" s="243"/>
      <c r="E900" s="243"/>
      <c r="F900" s="247"/>
      <c r="G900" s="243"/>
      <c r="H900" s="243"/>
      <c r="I900" s="243"/>
      <c r="J900" s="243"/>
      <c r="K900" s="243"/>
      <c r="L900" s="243"/>
      <c r="M900" s="243"/>
      <c r="N900" s="243"/>
      <c r="O900" s="243"/>
      <c r="P900" s="243"/>
      <c r="Q900" s="243"/>
      <c r="R900" s="243"/>
      <c r="S900" s="243"/>
      <c r="T900" s="243"/>
      <c r="U900" s="243"/>
      <c r="V900" s="243"/>
      <c r="W900" s="243"/>
      <c r="X900" s="243"/>
      <c r="Y900" s="244"/>
      <c r="Z900" s="243"/>
      <c r="AA900" s="245"/>
      <c r="AB900" s="246"/>
      <c r="AC900" s="246"/>
      <c r="AD900" s="246"/>
      <c r="AE900" s="131"/>
      <c r="AF900" s="244"/>
      <c r="AG900" s="243"/>
      <c r="AH900" s="243"/>
      <c r="AI900" s="243"/>
      <c r="AJ900" s="243"/>
      <c r="AK900" s="243"/>
      <c r="AL900" s="243"/>
      <c r="AM900" s="243"/>
      <c r="AN900" s="243"/>
      <c r="AO900" s="243"/>
      <c r="AP900" s="243"/>
      <c r="AQ900" s="243"/>
      <c r="AR900" s="243"/>
      <c r="AS900" s="243"/>
      <c r="AT900" s="243"/>
      <c r="AU900" s="243"/>
      <c r="AV900" s="243"/>
      <c r="AW900" s="243"/>
      <c r="AX900" s="243"/>
      <c r="AY900" s="243"/>
      <c r="AZ900" s="243"/>
    </row>
    <row r="901" spans="1:52">
      <c r="A901" s="216" t="str">
        <f>IF(D901="","",VLOOKUP(G901,códigosORL!$H:$J,3,FALSE))</f>
        <v/>
      </c>
      <c r="B901" s="243"/>
      <c r="C901" s="259"/>
      <c r="D901" s="243"/>
      <c r="E901" s="243"/>
      <c r="F901" s="247"/>
      <c r="G901" s="243"/>
      <c r="H901" s="243"/>
      <c r="I901" s="243"/>
      <c r="J901" s="243"/>
      <c r="K901" s="243"/>
      <c r="L901" s="243"/>
      <c r="M901" s="243"/>
      <c r="N901" s="243"/>
      <c r="O901" s="243"/>
      <c r="P901" s="243"/>
      <c r="Q901" s="243"/>
      <c r="R901" s="243"/>
      <c r="S901" s="243"/>
      <c r="T901" s="243"/>
      <c r="U901" s="243"/>
      <c r="V901" s="243"/>
      <c r="W901" s="243"/>
      <c r="X901" s="243"/>
      <c r="Y901" s="244"/>
      <c r="Z901" s="243"/>
      <c r="AA901" s="245"/>
      <c r="AB901" s="246"/>
      <c r="AC901" s="246"/>
      <c r="AD901" s="246"/>
      <c r="AE901" s="131"/>
      <c r="AF901" s="244"/>
      <c r="AG901" s="243"/>
      <c r="AH901" s="243"/>
      <c r="AI901" s="243"/>
      <c r="AJ901" s="243"/>
      <c r="AK901" s="243"/>
      <c r="AL901" s="243"/>
      <c r="AM901" s="243"/>
      <c r="AN901" s="243"/>
      <c r="AO901" s="243"/>
      <c r="AP901" s="243"/>
      <c r="AQ901" s="243"/>
      <c r="AR901" s="243"/>
      <c r="AS901" s="243"/>
      <c r="AT901" s="243"/>
      <c r="AU901" s="243"/>
      <c r="AV901" s="243"/>
      <c r="AW901" s="243"/>
      <c r="AX901" s="243"/>
      <c r="AY901" s="243"/>
      <c r="AZ901" s="243"/>
    </row>
    <row r="902" spans="1:52">
      <c r="A902" s="216" t="str">
        <f>IF(D902="","",VLOOKUP(G902,códigosORL!$H:$J,3,FALSE))</f>
        <v/>
      </c>
      <c r="B902" s="243"/>
      <c r="C902" s="259"/>
      <c r="D902" s="243"/>
      <c r="E902" s="243"/>
      <c r="F902" s="247"/>
      <c r="G902" s="243"/>
      <c r="H902" s="243"/>
      <c r="I902" s="243"/>
      <c r="J902" s="243"/>
      <c r="K902" s="243"/>
      <c r="L902" s="243"/>
      <c r="M902" s="243"/>
      <c r="N902" s="243"/>
      <c r="O902" s="243"/>
      <c r="P902" s="243"/>
      <c r="Q902" s="243"/>
      <c r="R902" s="243"/>
      <c r="S902" s="243"/>
      <c r="T902" s="243"/>
      <c r="U902" s="243"/>
      <c r="V902" s="243"/>
      <c r="W902" s="243"/>
      <c r="X902" s="243"/>
      <c r="Y902" s="244"/>
      <c r="Z902" s="243"/>
      <c r="AA902" s="245"/>
      <c r="AB902" s="246"/>
      <c r="AC902" s="246"/>
      <c r="AD902" s="246"/>
      <c r="AE902" s="131"/>
      <c r="AF902" s="244"/>
      <c r="AG902" s="243"/>
      <c r="AH902" s="243"/>
      <c r="AI902" s="243"/>
      <c r="AJ902" s="243"/>
      <c r="AK902" s="243"/>
      <c r="AL902" s="243"/>
      <c r="AM902" s="243"/>
      <c r="AN902" s="243"/>
      <c r="AO902" s="243"/>
      <c r="AP902" s="243"/>
      <c r="AQ902" s="243"/>
      <c r="AR902" s="243"/>
      <c r="AS902" s="243"/>
      <c r="AT902" s="243"/>
      <c r="AU902" s="243"/>
      <c r="AV902" s="243"/>
      <c r="AW902" s="243"/>
      <c r="AX902" s="243"/>
      <c r="AY902" s="243"/>
      <c r="AZ902" s="243"/>
    </row>
    <row r="903" spans="1:52">
      <c r="A903" s="216" t="str">
        <f>IF(D903="","",VLOOKUP(G903,códigosORL!$H:$J,3,FALSE))</f>
        <v/>
      </c>
      <c r="B903" s="243"/>
      <c r="C903" s="259"/>
      <c r="D903" s="243"/>
      <c r="E903" s="243"/>
      <c r="F903" s="247"/>
      <c r="G903" s="243"/>
      <c r="H903" s="243"/>
      <c r="I903" s="243"/>
      <c r="J903" s="243"/>
      <c r="K903" s="243"/>
      <c r="L903" s="243"/>
      <c r="M903" s="243"/>
      <c r="N903" s="243"/>
      <c r="O903" s="243"/>
      <c r="P903" s="243"/>
      <c r="Q903" s="243"/>
      <c r="R903" s="243"/>
      <c r="S903" s="243"/>
      <c r="T903" s="243"/>
      <c r="U903" s="243"/>
      <c r="V903" s="243"/>
      <c r="W903" s="243"/>
      <c r="X903" s="243"/>
      <c r="Y903" s="244"/>
      <c r="Z903" s="243"/>
      <c r="AA903" s="245"/>
      <c r="AB903" s="246"/>
      <c r="AC903" s="246"/>
      <c r="AD903" s="246"/>
      <c r="AE903" s="131"/>
      <c r="AF903" s="244"/>
      <c r="AG903" s="243"/>
      <c r="AH903" s="243"/>
      <c r="AI903" s="243"/>
      <c r="AJ903" s="243"/>
      <c r="AK903" s="243"/>
      <c r="AL903" s="243"/>
      <c r="AM903" s="243"/>
      <c r="AN903" s="243"/>
      <c r="AO903" s="243"/>
      <c r="AP903" s="243"/>
      <c r="AQ903" s="243"/>
      <c r="AR903" s="243"/>
      <c r="AS903" s="243"/>
      <c r="AT903" s="243"/>
      <c r="AU903" s="243"/>
      <c r="AV903" s="243"/>
      <c r="AW903" s="243"/>
      <c r="AX903" s="243"/>
      <c r="AY903" s="243"/>
      <c r="AZ903" s="243"/>
    </row>
    <row r="904" spans="1:52">
      <c r="A904" s="216" t="str">
        <f>IF(D904="","",VLOOKUP(G904,códigosORL!$H:$J,3,FALSE))</f>
        <v/>
      </c>
      <c r="B904" s="243"/>
      <c r="C904" s="259"/>
      <c r="D904" s="243"/>
      <c r="E904" s="243"/>
      <c r="F904" s="247"/>
      <c r="G904" s="243"/>
      <c r="H904" s="243"/>
      <c r="I904" s="243"/>
      <c r="J904" s="243"/>
      <c r="K904" s="243"/>
      <c r="L904" s="243"/>
      <c r="M904" s="243"/>
      <c r="N904" s="243"/>
      <c r="O904" s="243"/>
      <c r="P904" s="243"/>
      <c r="Q904" s="243"/>
      <c r="R904" s="243"/>
      <c r="S904" s="243"/>
      <c r="T904" s="243"/>
      <c r="U904" s="243"/>
      <c r="V904" s="243"/>
      <c r="W904" s="243"/>
      <c r="X904" s="243"/>
      <c r="Y904" s="244"/>
      <c r="Z904" s="243"/>
      <c r="AA904" s="245"/>
      <c r="AB904" s="246"/>
      <c r="AC904" s="246"/>
      <c r="AD904" s="246"/>
      <c r="AE904" s="131"/>
      <c r="AF904" s="244"/>
      <c r="AG904" s="243"/>
      <c r="AH904" s="243"/>
      <c r="AI904" s="243"/>
      <c r="AJ904" s="243"/>
      <c r="AK904" s="243"/>
      <c r="AL904" s="243"/>
      <c r="AM904" s="243"/>
      <c r="AN904" s="243"/>
      <c r="AO904" s="243"/>
      <c r="AP904" s="243"/>
      <c r="AQ904" s="243"/>
      <c r="AR904" s="243"/>
      <c r="AS904" s="243"/>
      <c r="AT904" s="243"/>
      <c r="AU904" s="243"/>
      <c r="AV904" s="243"/>
      <c r="AW904" s="243"/>
      <c r="AX904" s="243"/>
      <c r="AY904" s="243"/>
      <c r="AZ904" s="243"/>
    </row>
    <row r="905" spans="1:52">
      <c r="A905" s="216" t="str">
        <f>IF(D905="","",VLOOKUP(G905,códigosORL!$H:$J,3,FALSE))</f>
        <v/>
      </c>
      <c r="B905" s="243"/>
      <c r="C905" s="259"/>
      <c r="D905" s="243"/>
      <c r="E905" s="243"/>
      <c r="F905" s="247"/>
      <c r="G905" s="243"/>
      <c r="H905" s="243"/>
      <c r="I905" s="243"/>
      <c r="J905" s="243"/>
      <c r="K905" s="243"/>
      <c r="L905" s="243"/>
      <c r="M905" s="243"/>
      <c r="N905" s="243"/>
      <c r="O905" s="243"/>
      <c r="P905" s="243"/>
      <c r="Q905" s="243"/>
      <c r="R905" s="243"/>
      <c r="S905" s="243"/>
      <c r="T905" s="243"/>
      <c r="U905" s="243"/>
      <c r="V905" s="243"/>
      <c r="W905" s="243"/>
      <c r="X905" s="243"/>
      <c r="Y905" s="244"/>
      <c r="Z905" s="243"/>
      <c r="AA905" s="245"/>
      <c r="AB905" s="246"/>
      <c r="AC905" s="246"/>
      <c r="AD905" s="246"/>
      <c r="AE905" s="131"/>
      <c r="AF905" s="244"/>
      <c r="AG905" s="243"/>
      <c r="AH905" s="243"/>
      <c r="AI905" s="243"/>
      <c r="AJ905" s="243"/>
      <c r="AK905" s="243"/>
      <c r="AL905" s="243"/>
      <c r="AM905" s="243"/>
      <c r="AN905" s="243"/>
      <c r="AO905" s="243"/>
      <c r="AP905" s="243"/>
      <c r="AQ905" s="243"/>
      <c r="AR905" s="243"/>
      <c r="AS905" s="243"/>
      <c r="AT905" s="243"/>
      <c r="AU905" s="243"/>
      <c r="AV905" s="243"/>
      <c r="AW905" s="243"/>
      <c r="AX905" s="243"/>
      <c r="AY905" s="243"/>
      <c r="AZ905" s="243"/>
    </row>
    <row r="906" spans="1:52">
      <c r="A906" s="216" t="str">
        <f>IF(D906="","",VLOOKUP(G906,códigosORL!$H:$J,3,FALSE))</f>
        <v/>
      </c>
      <c r="B906" s="243"/>
      <c r="C906" s="259"/>
      <c r="D906" s="243"/>
      <c r="E906" s="243"/>
      <c r="F906" s="247"/>
      <c r="G906" s="243"/>
      <c r="H906" s="243"/>
      <c r="I906" s="243"/>
      <c r="J906" s="243"/>
      <c r="K906" s="243"/>
      <c r="L906" s="243"/>
      <c r="M906" s="243"/>
      <c r="N906" s="243"/>
      <c r="O906" s="243"/>
      <c r="P906" s="243"/>
      <c r="Q906" s="243"/>
      <c r="R906" s="243"/>
      <c r="S906" s="243"/>
      <c r="T906" s="243"/>
      <c r="U906" s="243"/>
      <c r="V906" s="243"/>
      <c r="W906" s="243"/>
      <c r="X906" s="243"/>
      <c r="Y906" s="244"/>
      <c r="Z906" s="243"/>
      <c r="AA906" s="245"/>
      <c r="AB906" s="246"/>
      <c r="AC906" s="246"/>
      <c r="AD906" s="246"/>
      <c r="AE906" s="131"/>
      <c r="AF906" s="244"/>
      <c r="AG906" s="243"/>
      <c r="AH906" s="243"/>
      <c r="AI906" s="243"/>
      <c r="AJ906" s="243"/>
      <c r="AK906" s="243"/>
      <c r="AL906" s="243"/>
      <c r="AM906" s="243"/>
      <c r="AN906" s="243"/>
      <c r="AO906" s="243"/>
      <c r="AP906" s="243"/>
      <c r="AQ906" s="243"/>
      <c r="AR906" s="243"/>
      <c r="AS906" s="243"/>
      <c r="AT906" s="243"/>
      <c r="AU906" s="243"/>
      <c r="AV906" s="243"/>
      <c r="AW906" s="243"/>
      <c r="AX906" s="243"/>
      <c r="AY906" s="243"/>
      <c r="AZ906" s="243"/>
    </row>
    <row r="907" spans="1:52">
      <c r="A907" s="216" t="str">
        <f>IF(D907="","",VLOOKUP(G907,códigosORL!$H:$J,3,FALSE))</f>
        <v/>
      </c>
      <c r="B907" s="243"/>
      <c r="C907" s="259"/>
      <c r="D907" s="243"/>
      <c r="E907" s="243"/>
      <c r="F907" s="247"/>
      <c r="G907" s="243"/>
      <c r="H907" s="243"/>
      <c r="I907" s="243"/>
      <c r="J907" s="243"/>
      <c r="K907" s="243"/>
      <c r="L907" s="243"/>
      <c r="M907" s="243"/>
      <c r="N907" s="243"/>
      <c r="O907" s="243"/>
      <c r="P907" s="243"/>
      <c r="Q907" s="243"/>
      <c r="R907" s="243"/>
      <c r="S907" s="243"/>
      <c r="T907" s="243"/>
      <c r="U907" s="243"/>
      <c r="V907" s="243"/>
      <c r="W907" s="243"/>
      <c r="X907" s="243"/>
      <c r="Y907" s="244"/>
      <c r="Z907" s="243"/>
      <c r="AA907" s="245"/>
      <c r="AB907" s="246"/>
      <c r="AC907" s="246"/>
      <c r="AD907" s="246"/>
      <c r="AE907" s="131"/>
      <c r="AF907" s="244"/>
      <c r="AG907" s="243"/>
      <c r="AH907" s="243"/>
      <c r="AI907" s="243"/>
      <c r="AJ907" s="243"/>
      <c r="AK907" s="243"/>
      <c r="AL907" s="243"/>
      <c r="AM907" s="243"/>
      <c r="AN907" s="243"/>
      <c r="AO907" s="243"/>
      <c r="AP907" s="243"/>
      <c r="AQ907" s="243"/>
      <c r="AR907" s="243"/>
      <c r="AS907" s="243"/>
      <c r="AT907" s="243"/>
      <c r="AU907" s="243"/>
      <c r="AV907" s="243"/>
      <c r="AW907" s="243"/>
      <c r="AX907" s="243"/>
      <c r="AY907" s="243"/>
      <c r="AZ907" s="243"/>
    </row>
    <row r="908" spans="1:52">
      <c r="A908" s="216" t="str">
        <f>IF(D908="","",VLOOKUP(G908,códigosORL!$H:$J,3,FALSE))</f>
        <v/>
      </c>
      <c r="B908" s="243"/>
      <c r="C908" s="259"/>
      <c r="D908" s="243"/>
      <c r="E908" s="243"/>
      <c r="F908" s="247"/>
      <c r="G908" s="243"/>
      <c r="H908" s="243"/>
      <c r="I908" s="243"/>
      <c r="J908" s="243"/>
      <c r="K908" s="243"/>
      <c r="L908" s="243"/>
      <c r="M908" s="243"/>
      <c r="N908" s="243"/>
      <c r="O908" s="243"/>
      <c r="P908" s="243"/>
      <c r="Q908" s="243"/>
      <c r="R908" s="243"/>
      <c r="S908" s="243"/>
      <c r="T908" s="243"/>
      <c r="U908" s="243"/>
      <c r="V908" s="243"/>
      <c r="W908" s="243"/>
      <c r="X908" s="243"/>
      <c r="Y908" s="244"/>
      <c r="Z908" s="243"/>
      <c r="AA908" s="245"/>
      <c r="AB908" s="246"/>
      <c r="AC908" s="246"/>
      <c r="AD908" s="246"/>
      <c r="AE908" s="131"/>
      <c r="AF908" s="244"/>
      <c r="AG908" s="243"/>
      <c r="AH908" s="243"/>
      <c r="AI908" s="243"/>
      <c r="AJ908" s="243"/>
      <c r="AK908" s="243"/>
      <c r="AL908" s="243"/>
      <c r="AM908" s="243"/>
      <c r="AN908" s="243"/>
      <c r="AO908" s="243"/>
      <c r="AP908" s="243"/>
      <c r="AQ908" s="243"/>
      <c r="AR908" s="243"/>
      <c r="AS908" s="243"/>
      <c r="AT908" s="243"/>
      <c r="AU908" s="243"/>
      <c r="AV908" s="243"/>
      <c r="AW908" s="243"/>
      <c r="AX908" s="243"/>
      <c r="AY908" s="243"/>
      <c r="AZ908" s="243"/>
    </row>
    <row r="909" spans="1:52">
      <c r="A909" s="216" t="str">
        <f>IF(D909="","",VLOOKUP(G909,códigosORL!$H:$J,3,FALSE))</f>
        <v/>
      </c>
      <c r="B909" s="243"/>
      <c r="C909" s="259"/>
      <c r="D909" s="243"/>
      <c r="E909" s="243"/>
      <c r="F909" s="247"/>
      <c r="G909" s="243"/>
      <c r="H909" s="243"/>
      <c r="I909" s="243"/>
      <c r="J909" s="243"/>
      <c r="K909" s="243"/>
      <c r="L909" s="243"/>
      <c r="M909" s="243"/>
      <c r="N909" s="243"/>
      <c r="O909" s="243"/>
      <c r="P909" s="243"/>
      <c r="Q909" s="243"/>
      <c r="R909" s="243"/>
      <c r="S909" s="243"/>
      <c r="T909" s="243"/>
      <c r="U909" s="243"/>
      <c r="V909" s="243"/>
      <c r="W909" s="243"/>
      <c r="X909" s="243"/>
      <c r="Y909" s="244"/>
      <c r="Z909" s="243"/>
      <c r="AA909" s="245"/>
      <c r="AB909" s="246"/>
      <c r="AC909" s="246"/>
      <c r="AD909" s="246"/>
      <c r="AE909" s="131"/>
      <c r="AF909" s="244"/>
      <c r="AG909" s="243"/>
      <c r="AH909" s="243"/>
      <c r="AI909" s="243"/>
      <c r="AJ909" s="243"/>
      <c r="AK909" s="243"/>
      <c r="AL909" s="243"/>
      <c r="AM909" s="243"/>
      <c r="AN909" s="243"/>
      <c r="AO909" s="243"/>
      <c r="AP909" s="243"/>
      <c r="AQ909" s="243"/>
      <c r="AR909" s="243"/>
      <c r="AS909" s="243"/>
      <c r="AT909" s="243"/>
      <c r="AU909" s="243"/>
      <c r="AV909" s="243"/>
      <c r="AW909" s="243"/>
      <c r="AX909" s="243"/>
      <c r="AY909" s="243"/>
      <c r="AZ909" s="243"/>
    </row>
    <row r="910" spans="1:52">
      <c r="A910" s="216" t="str">
        <f>IF(D910="","",VLOOKUP(G910,códigosORL!$H:$J,3,FALSE))</f>
        <v/>
      </c>
      <c r="B910" s="243"/>
      <c r="C910" s="259"/>
      <c r="D910" s="243"/>
      <c r="E910" s="243"/>
      <c r="F910" s="247"/>
      <c r="G910" s="243"/>
      <c r="H910" s="243"/>
      <c r="I910" s="243"/>
      <c r="J910" s="243"/>
      <c r="K910" s="243"/>
      <c r="L910" s="243"/>
      <c r="M910" s="243"/>
      <c r="N910" s="243"/>
      <c r="O910" s="243"/>
      <c r="P910" s="243"/>
      <c r="Q910" s="243"/>
      <c r="R910" s="243"/>
      <c r="S910" s="243"/>
      <c r="T910" s="243"/>
      <c r="U910" s="243"/>
      <c r="V910" s="243"/>
      <c r="W910" s="243"/>
      <c r="X910" s="243"/>
      <c r="Y910" s="244"/>
      <c r="Z910" s="243"/>
      <c r="AA910" s="245"/>
      <c r="AB910" s="246"/>
      <c r="AC910" s="246"/>
      <c r="AD910" s="246"/>
      <c r="AE910" s="131"/>
      <c r="AF910" s="244"/>
      <c r="AG910" s="243"/>
      <c r="AH910" s="243"/>
      <c r="AI910" s="243"/>
      <c r="AJ910" s="243"/>
      <c r="AK910" s="243"/>
      <c r="AL910" s="243"/>
      <c r="AM910" s="243"/>
      <c r="AN910" s="243"/>
      <c r="AO910" s="243"/>
      <c r="AP910" s="243"/>
      <c r="AQ910" s="243"/>
      <c r="AR910" s="243"/>
      <c r="AS910" s="243"/>
      <c r="AT910" s="243"/>
      <c r="AU910" s="243"/>
      <c r="AV910" s="243"/>
      <c r="AW910" s="243"/>
      <c r="AX910" s="243"/>
      <c r="AY910" s="243"/>
      <c r="AZ910" s="243"/>
    </row>
    <row r="911" spans="1:52">
      <c r="A911" s="216" t="str">
        <f>IF(D911="","",VLOOKUP(G911,códigosORL!$H:$J,3,FALSE))</f>
        <v/>
      </c>
      <c r="B911" s="243"/>
      <c r="C911" s="259"/>
      <c r="D911" s="243"/>
      <c r="E911" s="243"/>
      <c r="F911" s="247"/>
      <c r="G911" s="243"/>
      <c r="H911" s="243"/>
      <c r="I911" s="243"/>
      <c r="J911" s="243"/>
      <c r="K911" s="243"/>
      <c r="L911" s="243"/>
      <c r="M911" s="243"/>
      <c r="N911" s="243"/>
      <c r="O911" s="243"/>
      <c r="P911" s="243"/>
      <c r="Q911" s="243"/>
      <c r="R911" s="243"/>
      <c r="S911" s="243"/>
      <c r="T911" s="243"/>
      <c r="U911" s="243"/>
      <c r="V911" s="243"/>
      <c r="W911" s="243"/>
      <c r="X911" s="243"/>
      <c r="Y911" s="244"/>
      <c r="Z911" s="243"/>
      <c r="AA911" s="245"/>
      <c r="AB911" s="246"/>
      <c r="AC911" s="246"/>
      <c r="AD911" s="246"/>
      <c r="AE911" s="131"/>
      <c r="AF911" s="244"/>
      <c r="AG911" s="243"/>
      <c r="AH911" s="243"/>
      <c r="AI911" s="243"/>
      <c r="AJ911" s="243"/>
      <c r="AK911" s="243"/>
      <c r="AL911" s="243"/>
      <c r="AM911" s="243"/>
      <c r="AN911" s="243"/>
      <c r="AO911" s="243"/>
      <c r="AP911" s="243"/>
      <c r="AQ911" s="243"/>
      <c r="AR911" s="243"/>
      <c r="AS911" s="243"/>
      <c r="AT911" s="243"/>
      <c r="AU911" s="243"/>
      <c r="AV911" s="243"/>
      <c r="AW911" s="243"/>
      <c r="AX911" s="243"/>
      <c r="AY911" s="243"/>
      <c r="AZ911" s="243"/>
    </row>
    <row r="912" spans="1:52">
      <c r="A912" s="216" t="str">
        <f>IF(D912="","",VLOOKUP(G912,códigosORL!$H:$J,3,FALSE))</f>
        <v/>
      </c>
      <c r="B912" s="243"/>
      <c r="C912" s="259"/>
      <c r="D912" s="243"/>
      <c r="E912" s="243"/>
      <c r="F912" s="247"/>
      <c r="G912" s="243"/>
      <c r="H912" s="243"/>
      <c r="I912" s="243"/>
      <c r="J912" s="243"/>
      <c r="K912" s="243"/>
      <c r="L912" s="243"/>
      <c r="M912" s="243"/>
      <c r="N912" s="243"/>
      <c r="O912" s="243"/>
      <c r="P912" s="243"/>
      <c r="Q912" s="243"/>
      <c r="R912" s="243"/>
      <c r="S912" s="243"/>
      <c r="T912" s="243"/>
      <c r="U912" s="243"/>
      <c r="V912" s="243"/>
      <c r="W912" s="243"/>
      <c r="X912" s="243"/>
      <c r="Y912" s="244"/>
      <c r="Z912" s="243"/>
      <c r="AA912" s="245"/>
      <c r="AB912" s="246"/>
      <c r="AC912" s="246"/>
      <c r="AD912" s="246"/>
      <c r="AE912" s="131"/>
      <c r="AF912" s="244"/>
      <c r="AG912" s="243"/>
      <c r="AH912" s="243"/>
      <c r="AI912" s="243"/>
      <c r="AJ912" s="243"/>
      <c r="AK912" s="243"/>
      <c r="AL912" s="243"/>
      <c r="AM912" s="243"/>
      <c r="AN912" s="243"/>
      <c r="AO912" s="243"/>
      <c r="AP912" s="243"/>
      <c r="AQ912" s="243"/>
      <c r="AR912" s="243"/>
      <c r="AS912" s="243"/>
      <c r="AT912" s="243"/>
      <c r="AU912" s="243"/>
      <c r="AV912" s="243"/>
      <c r="AW912" s="243"/>
      <c r="AX912" s="243"/>
      <c r="AY912" s="243"/>
      <c r="AZ912" s="243"/>
    </row>
    <row r="913" spans="1:52">
      <c r="A913" s="216" t="str">
        <f>IF(D913="","",VLOOKUP(G913,códigosORL!$H:$J,3,FALSE))</f>
        <v/>
      </c>
      <c r="B913" s="243"/>
      <c r="C913" s="259"/>
      <c r="D913" s="243"/>
      <c r="E913" s="243"/>
      <c r="F913" s="247"/>
      <c r="G913" s="243"/>
      <c r="H913" s="243"/>
      <c r="I913" s="243"/>
      <c r="J913" s="243"/>
      <c r="K913" s="243"/>
      <c r="L913" s="243"/>
      <c r="M913" s="243"/>
      <c r="N913" s="243"/>
      <c r="O913" s="243"/>
      <c r="P913" s="243"/>
      <c r="Q913" s="243"/>
      <c r="R913" s="243"/>
      <c r="S913" s="243"/>
      <c r="T913" s="243"/>
      <c r="U913" s="243"/>
      <c r="V913" s="243"/>
      <c r="W913" s="243"/>
      <c r="X913" s="243"/>
      <c r="Y913" s="244"/>
      <c r="Z913" s="243"/>
      <c r="AA913" s="245"/>
      <c r="AB913" s="246"/>
      <c r="AC913" s="246"/>
      <c r="AD913" s="246"/>
      <c r="AE913" s="131"/>
      <c r="AF913" s="244"/>
      <c r="AG913" s="243"/>
      <c r="AH913" s="243"/>
      <c r="AI913" s="243"/>
      <c r="AJ913" s="243"/>
      <c r="AK913" s="243"/>
      <c r="AL913" s="243"/>
      <c r="AM913" s="243"/>
      <c r="AN913" s="243"/>
      <c r="AO913" s="243"/>
      <c r="AP913" s="243"/>
      <c r="AQ913" s="243"/>
      <c r="AR913" s="243"/>
      <c r="AS913" s="243"/>
      <c r="AT913" s="243"/>
      <c r="AU913" s="243"/>
      <c r="AV913" s="243"/>
      <c r="AW913" s="243"/>
      <c r="AX913" s="243"/>
      <c r="AY913" s="243"/>
      <c r="AZ913" s="243"/>
    </row>
    <row r="914" spans="1:52">
      <c r="A914" s="216" t="str">
        <f>IF(D914="","",VLOOKUP(G914,códigosORL!$H:$J,3,FALSE))</f>
        <v/>
      </c>
      <c r="B914" s="243"/>
      <c r="C914" s="259"/>
      <c r="D914" s="243"/>
      <c r="E914" s="243"/>
      <c r="F914" s="247"/>
      <c r="G914" s="243"/>
      <c r="H914" s="243"/>
      <c r="I914" s="243"/>
      <c r="J914" s="243"/>
      <c r="K914" s="243"/>
      <c r="L914" s="243"/>
      <c r="M914" s="243"/>
      <c r="N914" s="243"/>
      <c r="O914" s="243"/>
      <c r="P914" s="243"/>
      <c r="Q914" s="243"/>
      <c r="R914" s="243"/>
      <c r="S914" s="243"/>
      <c r="T914" s="243"/>
      <c r="U914" s="243"/>
      <c r="V914" s="243"/>
      <c r="W914" s="243"/>
      <c r="X914" s="243"/>
      <c r="Y914" s="244"/>
      <c r="Z914" s="243"/>
      <c r="AA914" s="245"/>
      <c r="AB914" s="246"/>
      <c r="AC914" s="246"/>
      <c r="AD914" s="246"/>
      <c r="AE914" s="131"/>
      <c r="AF914" s="244"/>
      <c r="AG914" s="243"/>
      <c r="AH914" s="243"/>
      <c r="AI914" s="243"/>
      <c r="AJ914" s="243"/>
      <c r="AK914" s="243"/>
      <c r="AL914" s="243"/>
      <c r="AM914" s="243"/>
      <c r="AN914" s="243"/>
      <c r="AO914" s="243"/>
      <c r="AP914" s="243"/>
      <c r="AQ914" s="243"/>
      <c r="AR914" s="243"/>
      <c r="AS914" s="243"/>
      <c r="AT914" s="243"/>
      <c r="AU914" s="243"/>
      <c r="AV914" s="243"/>
      <c r="AW914" s="243"/>
      <c r="AX914" s="243"/>
      <c r="AY914" s="243"/>
      <c r="AZ914" s="243"/>
    </row>
    <row r="915" spans="1:52">
      <c r="A915" s="216" t="str">
        <f>IF(D915="","",VLOOKUP(G915,códigosORL!$H:$J,3,FALSE))</f>
        <v/>
      </c>
      <c r="B915" s="243"/>
      <c r="C915" s="259"/>
      <c r="D915" s="243"/>
      <c r="E915" s="243"/>
      <c r="F915" s="247"/>
      <c r="G915" s="243"/>
      <c r="H915" s="243"/>
      <c r="I915" s="243"/>
      <c r="J915" s="243"/>
      <c r="K915" s="243"/>
      <c r="L915" s="243"/>
      <c r="M915" s="243"/>
      <c r="N915" s="243"/>
      <c r="O915" s="243"/>
      <c r="P915" s="243"/>
      <c r="Q915" s="243"/>
      <c r="R915" s="243"/>
      <c r="S915" s="243"/>
      <c r="T915" s="243"/>
      <c r="U915" s="243"/>
      <c r="V915" s="243"/>
      <c r="W915" s="243"/>
      <c r="X915" s="243"/>
      <c r="Y915" s="244"/>
      <c r="Z915" s="243"/>
      <c r="AA915" s="245"/>
      <c r="AB915" s="246"/>
      <c r="AC915" s="246"/>
      <c r="AD915" s="246"/>
      <c r="AE915" s="131"/>
      <c r="AF915" s="244"/>
      <c r="AG915" s="243"/>
      <c r="AH915" s="243"/>
      <c r="AI915" s="243"/>
      <c r="AJ915" s="243"/>
      <c r="AK915" s="243"/>
      <c r="AL915" s="243"/>
      <c r="AM915" s="243"/>
      <c r="AN915" s="243"/>
      <c r="AO915" s="243"/>
      <c r="AP915" s="243"/>
      <c r="AQ915" s="243"/>
      <c r="AR915" s="243"/>
      <c r="AS915" s="243"/>
      <c r="AT915" s="243"/>
      <c r="AU915" s="243"/>
      <c r="AV915" s="243"/>
      <c r="AW915" s="243"/>
      <c r="AX915" s="243"/>
      <c r="AY915" s="243"/>
      <c r="AZ915" s="243"/>
    </row>
    <row r="916" spans="1:52">
      <c r="A916" s="216" t="str">
        <f>IF(D916="","",VLOOKUP(G916,códigosORL!$H:$J,3,FALSE))</f>
        <v/>
      </c>
      <c r="B916" s="243"/>
      <c r="C916" s="259"/>
      <c r="D916" s="243"/>
      <c r="E916" s="243"/>
      <c r="F916" s="247"/>
      <c r="G916" s="243"/>
      <c r="H916" s="243"/>
      <c r="I916" s="243"/>
      <c r="J916" s="243"/>
      <c r="K916" s="243"/>
      <c r="L916" s="243"/>
      <c r="M916" s="243"/>
      <c r="N916" s="243"/>
      <c r="O916" s="243"/>
      <c r="P916" s="243"/>
      <c r="Q916" s="243"/>
      <c r="R916" s="243"/>
      <c r="S916" s="243"/>
      <c r="T916" s="243"/>
      <c r="U916" s="243"/>
      <c r="V916" s="243"/>
      <c r="W916" s="243"/>
      <c r="X916" s="243"/>
      <c r="Y916" s="244"/>
      <c r="Z916" s="243"/>
      <c r="AA916" s="245"/>
      <c r="AB916" s="246"/>
      <c r="AC916" s="246"/>
      <c r="AD916" s="246"/>
      <c r="AE916" s="131"/>
      <c r="AF916" s="244"/>
      <c r="AG916" s="243"/>
      <c r="AH916" s="243"/>
      <c r="AI916" s="243"/>
      <c r="AJ916" s="243"/>
      <c r="AK916" s="243"/>
      <c r="AL916" s="243"/>
      <c r="AM916" s="243"/>
      <c r="AN916" s="243"/>
      <c r="AO916" s="243"/>
      <c r="AP916" s="243"/>
      <c r="AQ916" s="243"/>
      <c r="AR916" s="243"/>
      <c r="AS916" s="243"/>
      <c r="AT916" s="243"/>
      <c r="AU916" s="243"/>
      <c r="AV916" s="243"/>
      <c r="AW916" s="243"/>
      <c r="AX916" s="243"/>
      <c r="AY916" s="243"/>
      <c r="AZ916" s="243"/>
    </row>
    <row r="917" spans="1:52">
      <c r="A917" s="216" t="str">
        <f>IF(D917="","",VLOOKUP(G917,códigosORL!$H:$J,3,FALSE))</f>
        <v/>
      </c>
      <c r="B917" s="243"/>
      <c r="C917" s="259"/>
      <c r="D917" s="243"/>
      <c r="E917" s="243"/>
      <c r="F917" s="247"/>
      <c r="G917" s="243"/>
      <c r="H917" s="243"/>
      <c r="I917" s="243"/>
      <c r="J917" s="243"/>
      <c r="K917" s="243"/>
      <c r="L917" s="243"/>
      <c r="M917" s="243"/>
      <c r="N917" s="243"/>
      <c r="O917" s="243"/>
      <c r="P917" s="243"/>
      <c r="Q917" s="243"/>
      <c r="R917" s="243"/>
      <c r="S917" s="243"/>
      <c r="T917" s="243"/>
      <c r="U917" s="243"/>
      <c r="V917" s="243"/>
      <c r="W917" s="243"/>
      <c r="X917" s="243"/>
      <c r="Y917" s="244"/>
      <c r="Z917" s="243"/>
      <c r="AA917" s="245"/>
      <c r="AB917" s="246"/>
      <c r="AC917" s="246"/>
      <c r="AD917" s="246"/>
      <c r="AE917" s="131"/>
      <c r="AF917" s="244"/>
      <c r="AG917" s="243"/>
      <c r="AH917" s="243"/>
      <c r="AI917" s="243"/>
      <c r="AJ917" s="243"/>
      <c r="AK917" s="243"/>
      <c r="AL917" s="243"/>
      <c r="AM917" s="243"/>
      <c r="AN917" s="243"/>
      <c r="AO917" s="243"/>
      <c r="AP917" s="243"/>
      <c r="AQ917" s="243"/>
      <c r="AR917" s="243"/>
      <c r="AS917" s="243"/>
      <c r="AT917" s="243"/>
      <c r="AU917" s="243"/>
      <c r="AV917" s="243"/>
      <c r="AW917" s="243"/>
      <c r="AX917" s="243"/>
      <c r="AY917" s="243"/>
      <c r="AZ917" s="243"/>
    </row>
    <row r="918" spans="1:52">
      <c r="A918" s="216" t="str">
        <f>IF(D918="","",VLOOKUP(G918,códigosORL!$H:$J,3,FALSE))</f>
        <v/>
      </c>
      <c r="B918" s="243"/>
      <c r="C918" s="259"/>
      <c r="D918" s="243"/>
      <c r="E918" s="243"/>
      <c r="F918" s="247"/>
      <c r="G918" s="243"/>
      <c r="H918" s="243"/>
      <c r="I918" s="243"/>
      <c r="J918" s="243"/>
      <c r="K918" s="243"/>
      <c r="L918" s="243"/>
      <c r="M918" s="243"/>
      <c r="N918" s="243"/>
      <c r="O918" s="243"/>
      <c r="P918" s="243"/>
      <c r="Q918" s="243"/>
      <c r="R918" s="243"/>
      <c r="S918" s="243"/>
      <c r="T918" s="243"/>
      <c r="U918" s="243"/>
      <c r="V918" s="243"/>
      <c r="W918" s="243"/>
      <c r="X918" s="243"/>
      <c r="Y918" s="244"/>
      <c r="Z918" s="243"/>
      <c r="AA918" s="245"/>
      <c r="AB918" s="246"/>
      <c r="AC918" s="246"/>
      <c r="AD918" s="246"/>
      <c r="AE918" s="131"/>
      <c r="AF918" s="244"/>
      <c r="AG918" s="243"/>
      <c r="AH918" s="243"/>
      <c r="AI918" s="243"/>
      <c r="AJ918" s="243"/>
      <c r="AK918" s="243"/>
      <c r="AL918" s="243"/>
      <c r="AM918" s="243"/>
      <c r="AN918" s="243"/>
      <c r="AO918" s="243"/>
      <c r="AP918" s="243"/>
      <c r="AQ918" s="243"/>
      <c r="AR918" s="243"/>
      <c r="AS918" s="243"/>
      <c r="AT918" s="243"/>
      <c r="AU918" s="243"/>
      <c r="AV918" s="243"/>
      <c r="AW918" s="243"/>
      <c r="AX918" s="243"/>
      <c r="AY918" s="243"/>
      <c r="AZ918" s="243"/>
    </row>
    <row r="919" spans="1:52">
      <c r="A919" s="216" t="str">
        <f>IF(D919="","",VLOOKUP(G919,códigosORL!$H:$J,3,FALSE))</f>
        <v/>
      </c>
      <c r="B919" s="243"/>
      <c r="C919" s="259"/>
      <c r="D919" s="243"/>
      <c r="E919" s="243"/>
      <c r="F919" s="247"/>
      <c r="G919" s="243"/>
      <c r="H919" s="243"/>
      <c r="I919" s="243"/>
      <c r="J919" s="243"/>
      <c r="K919" s="243"/>
      <c r="L919" s="243"/>
      <c r="M919" s="243"/>
      <c r="N919" s="243"/>
      <c r="O919" s="243"/>
      <c r="P919" s="243"/>
      <c r="Q919" s="243"/>
      <c r="R919" s="243"/>
      <c r="S919" s="243"/>
      <c r="T919" s="243"/>
      <c r="U919" s="243"/>
      <c r="V919" s="243"/>
      <c r="W919" s="243"/>
      <c r="X919" s="243"/>
      <c r="Y919" s="244"/>
      <c r="Z919" s="243"/>
      <c r="AA919" s="245"/>
      <c r="AB919" s="246"/>
      <c r="AC919" s="246"/>
      <c r="AD919" s="246"/>
      <c r="AE919" s="131"/>
      <c r="AF919" s="244"/>
      <c r="AG919" s="243"/>
      <c r="AH919" s="243"/>
      <c r="AI919" s="243"/>
      <c r="AJ919" s="243"/>
      <c r="AK919" s="243"/>
      <c r="AL919" s="243"/>
      <c r="AM919" s="243"/>
      <c r="AN919" s="243"/>
      <c r="AO919" s="243"/>
      <c r="AP919" s="243"/>
      <c r="AQ919" s="243"/>
      <c r="AR919" s="243"/>
      <c r="AS919" s="243"/>
      <c r="AT919" s="243"/>
      <c r="AU919" s="243"/>
      <c r="AV919" s="243"/>
      <c r="AW919" s="243"/>
      <c r="AX919" s="243"/>
      <c r="AY919" s="243"/>
      <c r="AZ919" s="243"/>
    </row>
    <row r="920" spans="1:52">
      <c r="A920" s="216" t="str">
        <f>IF(D920="","",VLOOKUP(G920,códigosORL!$H:$J,3,FALSE))</f>
        <v/>
      </c>
      <c r="B920" s="243"/>
      <c r="C920" s="259"/>
      <c r="D920" s="243"/>
      <c r="E920" s="243"/>
      <c r="F920" s="247"/>
      <c r="G920" s="243"/>
      <c r="H920" s="243"/>
      <c r="I920" s="243"/>
      <c r="J920" s="243"/>
      <c r="K920" s="243"/>
      <c r="L920" s="243"/>
      <c r="M920" s="243"/>
      <c r="N920" s="243"/>
      <c r="O920" s="243"/>
      <c r="P920" s="243"/>
      <c r="Q920" s="243"/>
      <c r="R920" s="243"/>
      <c r="S920" s="243"/>
      <c r="T920" s="243"/>
      <c r="U920" s="243"/>
      <c r="V920" s="243"/>
      <c r="W920" s="243"/>
      <c r="X920" s="243"/>
      <c r="Y920" s="244"/>
      <c r="Z920" s="243"/>
      <c r="AA920" s="245"/>
      <c r="AB920" s="246"/>
      <c r="AC920" s="246"/>
      <c r="AD920" s="246"/>
      <c r="AE920" s="131"/>
      <c r="AF920" s="244"/>
      <c r="AG920" s="243"/>
      <c r="AH920" s="243"/>
      <c r="AI920" s="243"/>
      <c r="AJ920" s="243"/>
      <c r="AK920" s="243"/>
      <c r="AL920" s="243"/>
      <c r="AM920" s="243"/>
      <c r="AN920" s="243"/>
      <c r="AO920" s="243"/>
      <c r="AP920" s="243"/>
      <c r="AQ920" s="243"/>
      <c r="AR920" s="243"/>
      <c r="AS920" s="243"/>
      <c r="AT920" s="243"/>
      <c r="AU920" s="243"/>
      <c r="AV920" s="243"/>
      <c r="AW920" s="243"/>
      <c r="AX920" s="243"/>
      <c r="AY920" s="243"/>
      <c r="AZ920" s="243"/>
    </row>
    <row r="921" spans="1:52">
      <c r="A921" s="216" t="str">
        <f>IF(D921="","",VLOOKUP(G921,códigosORL!$H:$J,3,FALSE))</f>
        <v/>
      </c>
      <c r="B921" s="243"/>
      <c r="C921" s="259"/>
      <c r="D921" s="243"/>
      <c r="E921" s="243"/>
      <c r="F921" s="247"/>
      <c r="G921" s="243"/>
      <c r="H921" s="243"/>
      <c r="I921" s="243"/>
      <c r="J921" s="243"/>
      <c r="K921" s="243"/>
      <c r="L921" s="243"/>
      <c r="M921" s="243"/>
      <c r="N921" s="243"/>
      <c r="O921" s="243"/>
      <c r="P921" s="243"/>
      <c r="Q921" s="243"/>
      <c r="R921" s="243"/>
      <c r="S921" s="243"/>
      <c r="T921" s="243"/>
      <c r="U921" s="243"/>
      <c r="V921" s="243"/>
      <c r="W921" s="243"/>
      <c r="X921" s="243"/>
      <c r="Y921" s="244"/>
      <c r="Z921" s="243"/>
      <c r="AA921" s="245"/>
      <c r="AB921" s="246"/>
      <c r="AC921" s="246"/>
      <c r="AD921" s="246"/>
      <c r="AE921" s="131"/>
      <c r="AF921" s="244"/>
      <c r="AG921" s="243"/>
      <c r="AH921" s="243"/>
      <c r="AI921" s="243"/>
      <c r="AJ921" s="243"/>
      <c r="AK921" s="243"/>
      <c r="AL921" s="243"/>
      <c r="AM921" s="243"/>
      <c r="AN921" s="243"/>
      <c r="AO921" s="243"/>
      <c r="AP921" s="243"/>
      <c r="AQ921" s="243"/>
      <c r="AR921" s="243"/>
      <c r="AS921" s="243"/>
      <c r="AT921" s="243"/>
      <c r="AU921" s="243"/>
      <c r="AV921" s="243"/>
      <c r="AW921" s="243"/>
      <c r="AX921" s="243"/>
      <c r="AY921" s="243"/>
      <c r="AZ921" s="243"/>
    </row>
    <row r="922" spans="1:52">
      <c r="A922" s="216" t="str">
        <f>IF(D922="","",VLOOKUP(G922,códigosORL!$H:$J,3,FALSE))</f>
        <v/>
      </c>
      <c r="B922" s="243"/>
      <c r="C922" s="259"/>
      <c r="D922" s="243"/>
      <c r="E922" s="243"/>
      <c r="F922" s="247"/>
      <c r="G922" s="243"/>
      <c r="H922" s="243"/>
      <c r="I922" s="243"/>
      <c r="J922" s="243"/>
      <c r="K922" s="243"/>
      <c r="L922" s="243"/>
      <c r="M922" s="243"/>
      <c r="N922" s="243"/>
      <c r="O922" s="243"/>
      <c r="P922" s="243"/>
      <c r="Q922" s="243"/>
      <c r="R922" s="243"/>
      <c r="S922" s="243"/>
      <c r="T922" s="243"/>
      <c r="U922" s="243"/>
      <c r="V922" s="243"/>
      <c r="W922" s="243"/>
      <c r="X922" s="243"/>
      <c r="Y922" s="244"/>
      <c r="Z922" s="243"/>
      <c r="AA922" s="245"/>
      <c r="AB922" s="246"/>
      <c r="AC922" s="246"/>
      <c r="AD922" s="246"/>
      <c r="AE922" s="131"/>
      <c r="AF922" s="244"/>
      <c r="AG922" s="243"/>
      <c r="AH922" s="243"/>
      <c r="AI922" s="243"/>
      <c r="AJ922" s="243"/>
      <c r="AK922" s="243"/>
      <c r="AL922" s="243"/>
      <c r="AM922" s="243"/>
      <c r="AN922" s="243"/>
      <c r="AO922" s="243"/>
      <c r="AP922" s="243"/>
      <c r="AQ922" s="243"/>
      <c r="AR922" s="243"/>
      <c r="AS922" s="243"/>
      <c r="AT922" s="243"/>
      <c r="AU922" s="243"/>
      <c r="AV922" s="243"/>
      <c r="AW922" s="243"/>
      <c r="AX922" s="243"/>
      <c r="AY922" s="243"/>
      <c r="AZ922" s="243"/>
    </row>
    <row r="923" spans="1:52">
      <c r="A923" s="216" t="str">
        <f>IF(D923="","",VLOOKUP(G923,códigosORL!$H:$J,3,FALSE))</f>
        <v/>
      </c>
      <c r="B923" s="243"/>
      <c r="C923" s="259"/>
      <c r="D923" s="243"/>
      <c r="E923" s="243"/>
      <c r="F923" s="247"/>
      <c r="G923" s="243"/>
      <c r="H923" s="243"/>
      <c r="I923" s="243"/>
      <c r="J923" s="243"/>
      <c r="K923" s="243"/>
      <c r="L923" s="243"/>
      <c r="M923" s="243"/>
      <c r="N923" s="243"/>
      <c r="O923" s="243"/>
      <c r="P923" s="243"/>
      <c r="Q923" s="243"/>
      <c r="R923" s="243"/>
      <c r="S923" s="243"/>
      <c r="T923" s="243"/>
      <c r="U923" s="243"/>
      <c r="V923" s="243"/>
      <c r="W923" s="243"/>
      <c r="X923" s="243"/>
      <c r="Y923" s="244"/>
      <c r="Z923" s="243"/>
      <c r="AA923" s="245"/>
      <c r="AB923" s="246"/>
      <c r="AC923" s="246"/>
      <c r="AD923" s="246"/>
      <c r="AE923" s="131"/>
      <c r="AF923" s="244"/>
      <c r="AG923" s="243"/>
      <c r="AH923" s="243"/>
      <c r="AI923" s="243"/>
      <c r="AJ923" s="243"/>
      <c r="AK923" s="243"/>
      <c r="AL923" s="243"/>
      <c r="AM923" s="243"/>
      <c r="AN923" s="243"/>
      <c r="AO923" s="243"/>
      <c r="AP923" s="243"/>
      <c r="AQ923" s="243"/>
      <c r="AR923" s="243"/>
      <c r="AS923" s="243"/>
      <c r="AT923" s="243"/>
      <c r="AU923" s="243"/>
      <c r="AV923" s="243"/>
      <c r="AW923" s="243"/>
      <c r="AX923" s="243"/>
      <c r="AY923" s="243"/>
      <c r="AZ923" s="243"/>
    </row>
    <row r="924" spans="1:52">
      <c r="A924" s="216" t="str">
        <f>IF(D924="","",VLOOKUP(G924,códigosORL!$H:$J,3,FALSE))</f>
        <v/>
      </c>
      <c r="B924" s="243"/>
      <c r="C924" s="259"/>
      <c r="D924" s="243"/>
      <c r="E924" s="243"/>
      <c r="F924" s="247"/>
      <c r="G924" s="243"/>
      <c r="H924" s="243"/>
      <c r="I924" s="243"/>
      <c r="J924" s="243"/>
      <c r="K924" s="243"/>
      <c r="L924" s="243"/>
      <c r="M924" s="243"/>
      <c r="N924" s="243"/>
      <c r="O924" s="243"/>
      <c r="P924" s="243"/>
      <c r="Q924" s="243"/>
      <c r="R924" s="243"/>
      <c r="S924" s="243"/>
      <c r="T924" s="243"/>
      <c r="U924" s="243"/>
      <c r="V924" s="243"/>
      <c r="W924" s="243"/>
      <c r="X924" s="243"/>
      <c r="Y924" s="244"/>
      <c r="Z924" s="243"/>
      <c r="AA924" s="245"/>
      <c r="AB924" s="246"/>
      <c r="AC924" s="246"/>
      <c r="AD924" s="246"/>
      <c r="AE924" s="131"/>
      <c r="AF924" s="244"/>
      <c r="AG924" s="243"/>
      <c r="AH924" s="243"/>
      <c r="AI924" s="243"/>
      <c r="AJ924" s="243"/>
      <c r="AK924" s="243"/>
      <c r="AL924" s="243"/>
      <c r="AM924" s="243"/>
      <c r="AN924" s="243"/>
      <c r="AO924" s="243"/>
      <c r="AP924" s="243"/>
      <c r="AQ924" s="243"/>
      <c r="AR924" s="243"/>
      <c r="AS924" s="243"/>
      <c r="AT924" s="243"/>
      <c r="AU924" s="243"/>
      <c r="AV924" s="243"/>
      <c r="AW924" s="243"/>
      <c r="AX924" s="243"/>
      <c r="AY924" s="243"/>
      <c r="AZ924" s="243"/>
    </row>
    <row r="925" spans="1:52">
      <c r="A925" s="216" t="str">
        <f>IF(D925="","",VLOOKUP(G925,códigosORL!$H:$J,3,FALSE))</f>
        <v/>
      </c>
      <c r="B925" s="243"/>
      <c r="C925" s="259"/>
      <c r="D925" s="243"/>
      <c r="E925" s="243"/>
      <c r="F925" s="247"/>
      <c r="G925" s="243"/>
      <c r="H925" s="243"/>
      <c r="I925" s="243"/>
      <c r="J925" s="243"/>
      <c r="K925" s="243"/>
      <c r="L925" s="243"/>
      <c r="M925" s="243"/>
      <c r="N925" s="243"/>
      <c r="O925" s="243"/>
      <c r="P925" s="243"/>
      <c r="Q925" s="243"/>
      <c r="R925" s="243"/>
      <c r="S925" s="243"/>
      <c r="T925" s="243"/>
      <c r="U925" s="243"/>
      <c r="V925" s="243"/>
      <c r="W925" s="243"/>
      <c r="X925" s="243"/>
      <c r="Y925" s="244"/>
      <c r="Z925" s="243"/>
      <c r="AA925" s="245"/>
      <c r="AB925" s="246"/>
      <c r="AC925" s="246"/>
      <c r="AD925" s="246"/>
      <c r="AE925" s="131"/>
      <c r="AF925" s="244"/>
      <c r="AG925" s="243"/>
      <c r="AH925" s="243"/>
      <c r="AI925" s="243"/>
      <c r="AJ925" s="243"/>
      <c r="AK925" s="243"/>
      <c r="AL925" s="243"/>
      <c r="AM925" s="243"/>
      <c r="AN925" s="243"/>
      <c r="AO925" s="243"/>
      <c r="AP925" s="243"/>
      <c r="AQ925" s="243"/>
      <c r="AR925" s="243"/>
      <c r="AS925" s="243"/>
      <c r="AT925" s="243"/>
      <c r="AU925" s="243"/>
      <c r="AV925" s="243"/>
      <c r="AW925" s="243"/>
      <c r="AX925" s="243"/>
      <c r="AY925" s="243"/>
      <c r="AZ925" s="243"/>
    </row>
    <row r="926" spans="1:52">
      <c r="A926" s="216" t="str">
        <f>IF(D926="","",VLOOKUP(G926,códigosORL!$H:$J,3,FALSE))</f>
        <v/>
      </c>
      <c r="B926" s="243"/>
      <c r="C926" s="259"/>
      <c r="D926" s="243"/>
      <c r="E926" s="243"/>
      <c r="F926" s="247"/>
      <c r="G926" s="243"/>
      <c r="H926" s="243"/>
      <c r="I926" s="243"/>
      <c r="J926" s="243"/>
      <c r="K926" s="243"/>
      <c r="L926" s="243"/>
      <c r="M926" s="243"/>
      <c r="N926" s="243"/>
      <c r="O926" s="243"/>
      <c r="P926" s="243"/>
      <c r="Q926" s="243"/>
      <c r="R926" s="243"/>
      <c r="S926" s="243"/>
      <c r="T926" s="243"/>
      <c r="U926" s="243"/>
      <c r="V926" s="243"/>
      <c r="W926" s="243"/>
      <c r="X926" s="243"/>
      <c r="Y926" s="244"/>
      <c r="Z926" s="243"/>
      <c r="AA926" s="245"/>
      <c r="AB926" s="246"/>
      <c r="AC926" s="246"/>
      <c r="AD926" s="246"/>
      <c r="AE926" s="131"/>
      <c r="AF926" s="244"/>
      <c r="AG926" s="243"/>
      <c r="AH926" s="243"/>
      <c r="AI926" s="243"/>
      <c r="AJ926" s="243"/>
      <c r="AK926" s="243"/>
      <c r="AL926" s="243"/>
      <c r="AM926" s="243"/>
      <c r="AN926" s="243"/>
      <c r="AO926" s="243"/>
      <c r="AP926" s="243"/>
      <c r="AQ926" s="243"/>
      <c r="AR926" s="243"/>
      <c r="AS926" s="243"/>
      <c r="AT926" s="243"/>
      <c r="AU926" s="243"/>
      <c r="AV926" s="243"/>
      <c r="AW926" s="243"/>
      <c r="AX926" s="243"/>
      <c r="AY926" s="243"/>
      <c r="AZ926" s="243"/>
    </row>
    <row r="927" spans="1:52">
      <c r="A927" s="216" t="str">
        <f>IF(D927="","",VLOOKUP(G927,códigosORL!$H:$J,3,FALSE))</f>
        <v/>
      </c>
      <c r="B927" s="243"/>
      <c r="C927" s="259"/>
      <c r="D927" s="243"/>
      <c r="E927" s="243"/>
      <c r="F927" s="247"/>
      <c r="G927" s="243"/>
      <c r="H927" s="243"/>
      <c r="I927" s="243"/>
      <c r="J927" s="243"/>
      <c r="K927" s="243"/>
      <c r="L927" s="243"/>
      <c r="M927" s="243"/>
      <c r="N927" s="243"/>
      <c r="O927" s="243"/>
      <c r="P927" s="243"/>
      <c r="Q927" s="243"/>
      <c r="R927" s="243"/>
      <c r="S927" s="243"/>
      <c r="T927" s="243"/>
      <c r="U927" s="243"/>
      <c r="V927" s="243"/>
      <c r="W927" s="243"/>
      <c r="X927" s="243"/>
      <c r="Y927" s="244"/>
      <c r="Z927" s="243"/>
      <c r="AA927" s="245"/>
      <c r="AB927" s="246"/>
      <c r="AC927" s="246"/>
      <c r="AD927" s="246"/>
      <c r="AE927" s="131"/>
      <c r="AF927" s="244"/>
      <c r="AG927" s="243"/>
      <c r="AH927" s="243"/>
      <c r="AI927" s="243"/>
      <c r="AJ927" s="243"/>
      <c r="AK927" s="243"/>
      <c r="AL927" s="243"/>
      <c r="AM927" s="243"/>
      <c r="AN927" s="243"/>
      <c r="AO927" s="243"/>
      <c r="AP927" s="243"/>
      <c r="AQ927" s="243"/>
      <c r="AR927" s="243"/>
      <c r="AS927" s="243"/>
      <c r="AT927" s="243"/>
      <c r="AU927" s="243"/>
      <c r="AV927" s="243"/>
      <c r="AW927" s="243"/>
      <c r="AX927" s="243"/>
      <c r="AY927" s="243"/>
      <c r="AZ927" s="243"/>
    </row>
    <row r="928" spans="1:52">
      <c r="A928" s="216" t="str">
        <f>IF(D928="","",VLOOKUP(G928,códigosORL!$H:$J,3,FALSE))</f>
        <v/>
      </c>
      <c r="B928" s="243"/>
      <c r="C928" s="259"/>
      <c r="D928" s="243"/>
      <c r="E928" s="243"/>
      <c r="F928" s="247"/>
      <c r="G928" s="243"/>
      <c r="H928" s="243"/>
      <c r="I928" s="243"/>
      <c r="J928" s="243"/>
      <c r="K928" s="243"/>
      <c r="L928" s="243"/>
      <c r="M928" s="243"/>
      <c r="N928" s="243"/>
      <c r="O928" s="243"/>
      <c r="P928" s="243"/>
      <c r="Q928" s="243"/>
      <c r="R928" s="243"/>
      <c r="S928" s="243"/>
      <c r="T928" s="243"/>
      <c r="U928" s="243"/>
      <c r="V928" s="243"/>
      <c r="W928" s="243"/>
      <c r="X928" s="243"/>
      <c r="Y928" s="244"/>
      <c r="Z928" s="243"/>
      <c r="AA928" s="245"/>
      <c r="AB928" s="246"/>
      <c r="AC928" s="246"/>
      <c r="AD928" s="246"/>
      <c r="AE928" s="131"/>
      <c r="AF928" s="244"/>
      <c r="AG928" s="243"/>
      <c r="AH928" s="243"/>
      <c r="AI928" s="243"/>
      <c r="AJ928" s="243"/>
      <c r="AK928" s="243"/>
      <c r="AL928" s="243"/>
      <c r="AM928" s="243"/>
      <c r="AN928" s="243"/>
      <c r="AO928" s="243"/>
      <c r="AP928" s="243"/>
      <c r="AQ928" s="243"/>
      <c r="AR928" s="243"/>
      <c r="AS928" s="243"/>
      <c r="AT928" s="243"/>
      <c r="AU928" s="243"/>
      <c r="AV928" s="243"/>
      <c r="AW928" s="243"/>
      <c r="AX928" s="243"/>
      <c r="AY928" s="243"/>
      <c r="AZ928" s="243"/>
    </row>
    <row r="929" spans="1:52">
      <c r="A929" s="216" t="str">
        <f>IF(D929="","",VLOOKUP(G929,códigosORL!$H:$J,3,FALSE))</f>
        <v/>
      </c>
      <c r="B929" s="243"/>
      <c r="C929" s="259"/>
      <c r="D929" s="243"/>
      <c r="E929" s="243"/>
      <c r="F929" s="247"/>
      <c r="G929" s="243"/>
      <c r="H929" s="243"/>
      <c r="I929" s="243"/>
      <c r="J929" s="243"/>
      <c r="K929" s="243"/>
      <c r="L929" s="243"/>
      <c r="M929" s="243"/>
      <c r="N929" s="243"/>
      <c r="O929" s="243"/>
      <c r="P929" s="243"/>
      <c r="Q929" s="243"/>
      <c r="R929" s="243"/>
      <c r="S929" s="243"/>
      <c r="T929" s="243"/>
      <c r="U929" s="243"/>
      <c r="V929" s="243"/>
      <c r="W929" s="243"/>
      <c r="X929" s="243"/>
      <c r="Y929" s="244"/>
      <c r="Z929" s="243"/>
      <c r="AA929" s="245"/>
      <c r="AB929" s="246"/>
      <c r="AC929" s="246"/>
      <c r="AD929" s="246"/>
      <c r="AE929" s="131"/>
      <c r="AF929" s="244"/>
      <c r="AG929" s="243"/>
      <c r="AH929" s="243"/>
      <c r="AI929" s="243"/>
      <c r="AJ929" s="243"/>
      <c r="AK929" s="243"/>
      <c r="AL929" s="243"/>
      <c r="AM929" s="243"/>
      <c r="AN929" s="243"/>
      <c r="AO929" s="243"/>
      <c r="AP929" s="243"/>
      <c r="AQ929" s="243"/>
      <c r="AR929" s="243"/>
      <c r="AS929" s="243"/>
      <c r="AT929" s="243"/>
      <c r="AU929" s="243"/>
      <c r="AV929" s="243"/>
      <c r="AW929" s="243"/>
      <c r="AX929" s="243"/>
      <c r="AY929" s="243"/>
      <c r="AZ929" s="243"/>
    </row>
    <row r="930" spans="1:52">
      <c r="A930" s="216" t="str">
        <f>IF(D930="","",VLOOKUP(G930,códigosORL!$H:$J,3,FALSE))</f>
        <v/>
      </c>
      <c r="B930" s="243"/>
      <c r="C930" s="259"/>
      <c r="D930" s="243"/>
      <c r="E930" s="243"/>
      <c r="F930" s="247"/>
      <c r="G930" s="243"/>
      <c r="H930" s="243"/>
      <c r="I930" s="243"/>
      <c r="J930" s="243"/>
      <c r="K930" s="243"/>
      <c r="L930" s="243"/>
      <c r="M930" s="243"/>
      <c r="N930" s="243"/>
      <c r="O930" s="243"/>
      <c r="P930" s="243"/>
      <c r="Q930" s="243"/>
      <c r="R930" s="243"/>
      <c r="S930" s="243"/>
      <c r="T930" s="243"/>
      <c r="U930" s="243"/>
      <c r="V930" s="243"/>
      <c r="W930" s="243"/>
      <c r="X930" s="243"/>
      <c r="Y930" s="244"/>
      <c r="Z930" s="243"/>
      <c r="AA930" s="245"/>
      <c r="AB930" s="246"/>
      <c r="AC930" s="246"/>
      <c r="AD930" s="246"/>
      <c r="AE930" s="131"/>
      <c r="AF930" s="244"/>
      <c r="AG930" s="243"/>
      <c r="AH930" s="243"/>
      <c r="AI930" s="243"/>
      <c r="AJ930" s="243"/>
      <c r="AK930" s="243"/>
      <c r="AL930" s="243"/>
      <c r="AM930" s="243"/>
      <c r="AN930" s="243"/>
      <c r="AO930" s="243"/>
      <c r="AP930" s="243"/>
      <c r="AQ930" s="243"/>
      <c r="AR930" s="243"/>
      <c r="AS930" s="243"/>
      <c r="AT930" s="243"/>
      <c r="AU930" s="243"/>
      <c r="AV930" s="243"/>
      <c r="AW930" s="243"/>
      <c r="AX930" s="243"/>
      <c r="AY930" s="243"/>
      <c r="AZ930" s="243"/>
    </row>
    <row r="931" spans="1:52">
      <c r="A931" s="216" t="str">
        <f>IF(D931="","",VLOOKUP(G931,códigosORL!$H:$J,3,FALSE))</f>
        <v/>
      </c>
      <c r="B931" s="243"/>
      <c r="C931" s="259"/>
      <c r="D931" s="243"/>
      <c r="E931" s="243"/>
      <c r="F931" s="247"/>
      <c r="G931" s="243"/>
      <c r="H931" s="243"/>
      <c r="I931" s="243"/>
      <c r="J931" s="243"/>
      <c r="K931" s="243"/>
      <c r="L931" s="243"/>
      <c r="M931" s="243"/>
      <c r="N931" s="243"/>
      <c r="O931" s="243"/>
      <c r="P931" s="243"/>
      <c r="Q931" s="243"/>
      <c r="R931" s="243"/>
      <c r="S931" s="243"/>
      <c r="T931" s="243"/>
      <c r="U931" s="243"/>
      <c r="V931" s="243"/>
      <c r="W931" s="243"/>
      <c r="X931" s="243"/>
      <c r="Y931" s="244"/>
      <c r="Z931" s="243"/>
      <c r="AA931" s="245"/>
      <c r="AB931" s="246"/>
      <c r="AC931" s="246"/>
      <c r="AD931" s="246"/>
      <c r="AE931" s="131"/>
      <c r="AF931" s="244"/>
      <c r="AG931" s="243"/>
      <c r="AH931" s="243"/>
      <c r="AI931" s="243"/>
      <c r="AJ931" s="243"/>
      <c r="AK931" s="243"/>
      <c r="AL931" s="243"/>
      <c r="AM931" s="243"/>
      <c r="AN931" s="243"/>
      <c r="AO931" s="243"/>
      <c r="AP931" s="243"/>
      <c r="AQ931" s="243"/>
      <c r="AR931" s="243"/>
      <c r="AS931" s="243"/>
      <c r="AT931" s="243"/>
      <c r="AU931" s="243"/>
      <c r="AV931" s="243"/>
      <c r="AW931" s="243"/>
      <c r="AX931" s="243"/>
      <c r="AY931" s="243"/>
      <c r="AZ931" s="243"/>
    </row>
    <row r="932" spans="1:52">
      <c r="A932" s="216" t="str">
        <f>IF(D932="","",VLOOKUP(G932,códigosORL!$H:$J,3,FALSE))</f>
        <v/>
      </c>
      <c r="B932" s="243"/>
      <c r="C932" s="259"/>
      <c r="D932" s="243"/>
      <c r="E932" s="243"/>
      <c r="F932" s="247"/>
      <c r="G932" s="243"/>
      <c r="H932" s="243"/>
      <c r="I932" s="243"/>
      <c r="J932" s="243"/>
      <c r="K932" s="243"/>
      <c r="L932" s="243"/>
      <c r="M932" s="243"/>
      <c r="N932" s="243"/>
      <c r="O932" s="243"/>
      <c r="P932" s="243"/>
      <c r="Q932" s="243"/>
      <c r="R932" s="243"/>
      <c r="S932" s="243"/>
      <c r="T932" s="243"/>
      <c r="U932" s="243"/>
      <c r="V932" s="243"/>
      <c r="W932" s="243"/>
      <c r="X932" s="243"/>
      <c r="Y932" s="244"/>
      <c r="Z932" s="243"/>
      <c r="AA932" s="245"/>
      <c r="AB932" s="246"/>
      <c r="AC932" s="246"/>
      <c r="AD932" s="246"/>
      <c r="AE932" s="131"/>
      <c r="AF932" s="244"/>
      <c r="AG932" s="243"/>
      <c r="AH932" s="243"/>
      <c r="AI932" s="243"/>
      <c r="AJ932" s="243"/>
      <c r="AK932" s="243"/>
      <c r="AL932" s="243"/>
      <c r="AM932" s="243"/>
      <c r="AN932" s="243"/>
      <c r="AO932" s="243"/>
      <c r="AP932" s="243"/>
      <c r="AQ932" s="243"/>
      <c r="AR932" s="243"/>
      <c r="AS932" s="243"/>
      <c r="AT932" s="243"/>
      <c r="AU932" s="243"/>
      <c r="AV932" s="243"/>
      <c r="AW932" s="243"/>
      <c r="AX932" s="243"/>
      <c r="AY932" s="243"/>
      <c r="AZ932" s="243"/>
    </row>
    <row r="933" spans="1:52">
      <c r="A933" s="216" t="str">
        <f>IF(D933="","",VLOOKUP(G933,códigosORL!$H:$J,3,FALSE))</f>
        <v/>
      </c>
      <c r="B933" s="243"/>
      <c r="C933" s="259"/>
      <c r="D933" s="243"/>
      <c r="E933" s="243"/>
      <c r="F933" s="247"/>
      <c r="G933" s="243"/>
      <c r="H933" s="243"/>
      <c r="I933" s="243"/>
      <c r="J933" s="243"/>
      <c r="K933" s="243"/>
      <c r="L933" s="243"/>
      <c r="M933" s="243"/>
      <c r="N933" s="243"/>
      <c r="O933" s="243"/>
      <c r="P933" s="243"/>
      <c r="Q933" s="243"/>
      <c r="R933" s="243"/>
      <c r="S933" s="243"/>
      <c r="T933" s="243"/>
      <c r="U933" s="243"/>
      <c r="V933" s="243"/>
      <c r="W933" s="243"/>
      <c r="X933" s="243"/>
      <c r="Y933" s="244"/>
      <c r="Z933" s="243"/>
      <c r="AA933" s="245"/>
      <c r="AB933" s="246"/>
      <c r="AC933" s="246"/>
      <c r="AD933" s="246"/>
      <c r="AE933" s="131"/>
      <c r="AF933" s="244"/>
      <c r="AG933" s="243"/>
      <c r="AH933" s="243"/>
      <c r="AI933" s="243"/>
      <c r="AJ933" s="243"/>
      <c r="AK933" s="243"/>
      <c r="AL933" s="243"/>
      <c r="AM933" s="243"/>
      <c r="AN933" s="243"/>
      <c r="AO933" s="243"/>
      <c r="AP933" s="243"/>
      <c r="AQ933" s="243"/>
      <c r="AR933" s="243"/>
      <c r="AS933" s="243"/>
      <c r="AT933" s="243"/>
      <c r="AU933" s="243"/>
      <c r="AV933" s="243"/>
      <c r="AW933" s="243"/>
      <c r="AX933" s="243"/>
      <c r="AY933" s="243"/>
      <c r="AZ933" s="243"/>
    </row>
    <row r="934" spans="1:52">
      <c r="A934" s="216" t="str">
        <f>IF(D934="","",VLOOKUP(G934,códigosORL!$H:$J,3,FALSE))</f>
        <v/>
      </c>
      <c r="B934" s="243"/>
      <c r="C934" s="259"/>
      <c r="D934" s="243"/>
      <c r="E934" s="243"/>
      <c r="F934" s="247"/>
      <c r="G934" s="243"/>
      <c r="H934" s="243"/>
      <c r="I934" s="243"/>
      <c r="J934" s="243"/>
      <c r="K934" s="243"/>
      <c r="L934" s="243"/>
      <c r="M934" s="243"/>
      <c r="N934" s="243"/>
      <c r="O934" s="243"/>
      <c r="P934" s="243"/>
      <c r="Q934" s="243"/>
      <c r="R934" s="243"/>
      <c r="S934" s="243"/>
      <c r="T934" s="243"/>
      <c r="U934" s="243"/>
      <c r="V934" s="243"/>
      <c r="W934" s="243"/>
      <c r="X934" s="243"/>
      <c r="Y934" s="244"/>
      <c r="Z934" s="243"/>
      <c r="AA934" s="245"/>
      <c r="AB934" s="246"/>
      <c r="AC934" s="246"/>
      <c r="AD934" s="246"/>
      <c r="AE934" s="131"/>
      <c r="AF934" s="244"/>
      <c r="AG934" s="243"/>
      <c r="AH934" s="243"/>
      <c r="AI934" s="243"/>
      <c r="AJ934" s="243"/>
      <c r="AK934" s="243"/>
      <c r="AL934" s="243"/>
      <c r="AM934" s="243"/>
      <c r="AN934" s="243"/>
      <c r="AO934" s="243"/>
      <c r="AP934" s="243"/>
      <c r="AQ934" s="243"/>
      <c r="AR934" s="243"/>
      <c r="AS934" s="243"/>
      <c r="AT934" s="243"/>
      <c r="AU934" s="243"/>
      <c r="AV934" s="243"/>
      <c r="AW934" s="243"/>
      <c r="AX934" s="243"/>
      <c r="AY934" s="243"/>
      <c r="AZ934" s="243"/>
    </row>
    <row r="935" spans="1:52">
      <c r="A935" s="216" t="str">
        <f>IF(D935="","",VLOOKUP(G935,códigosORL!$H:$J,3,FALSE))</f>
        <v/>
      </c>
      <c r="B935" s="243"/>
      <c r="C935" s="259"/>
      <c r="D935" s="243"/>
      <c r="E935" s="243"/>
      <c r="F935" s="247"/>
      <c r="G935" s="243"/>
      <c r="H935" s="243"/>
      <c r="I935" s="243"/>
      <c r="J935" s="243"/>
      <c r="K935" s="243"/>
      <c r="L935" s="243"/>
      <c r="M935" s="243"/>
      <c r="N935" s="243"/>
      <c r="O935" s="243"/>
      <c r="P935" s="243"/>
      <c r="Q935" s="243"/>
      <c r="R935" s="243"/>
      <c r="S935" s="243"/>
      <c r="T935" s="243"/>
      <c r="U935" s="243"/>
      <c r="V935" s="243"/>
      <c r="W935" s="243"/>
      <c r="X935" s="243"/>
      <c r="Y935" s="244"/>
      <c r="Z935" s="243"/>
      <c r="AA935" s="245"/>
      <c r="AB935" s="246"/>
      <c r="AC935" s="246"/>
      <c r="AD935" s="246"/>
      <c r="AE935" s="131"/>
      <c r="AF935" s="244"/>
      <c r="AG935" s="243"/>
      <c r="AH935" s="243"/>
      <c r="AI935" s="243"/>
      <c r="AJ935" s="243"/>
      <c r="AK935" s="243"/>
      <c r="AL935" s="243"/>
      <c r="AM935" s="243"/>
      <c r="AN935" s="243"/>
      <c r="AO935" s="243"/>
      <c r="AP935" s="243"/>
      <c r="AQ935" s="243"/>
      <c r="AR935" s="243"/>
      <c r="AS935" s="243"/>
      <c r="AT935" s="243"/>
      <c r="AU935" s="243"/>
      <c r="AV935" s="243"/>
      <c r="AW935" s="243"/>
      <c r="AX935" s="243"/>
      <c r="AY935" s="243"/>
      <c r="AZ935" s="243"/>
    </row>
    <row r="936" spans="1:52">
      <c r="A936" s="216" t="str">
        <f>IF(D936="","",VLOOKUP(G936,códigosORL!$H:$J,3,FALSE))</f>
        <v/>
      </c>
      <c r="B936" s="243"/>
      <c r="C936" s="259"/>
      <c r="D936" s="243"/>
      <c r="E936" s="243"/>
      <c r="F936" s="247"/>
      <c r="G936" s="243"/>
      <c r="H936" s="243"/>
      <c r="I936" s="243"/>
      <c r="J936" s="243"/>
      <c r="K936" s="243"/>
      <c r="L936" s="243"/>
      <c r="M936" s="243"/>
      <c r="N936" s="243"/>
      <c r="O936" s="243"/>
      <c r="P936" s="243"/>
      <c r="Q936" s="243"/>
      <c r="R936" s="243"/>
      <c r="S936" s="243"/>
      <c r="T936" s="243"/>
      <c r="U936" s="243"/>
      <c r="V936" s="243"/>
      <c r="W936" s="243"/>
      <c r="X936" s="243"/>
      <c r="Y936" s="244"/>
      <c r="Z936" s="243"/>
      <c r="AA936" s="245"/>
      <c r="AB936" s="246"/>
      <c r="AC936" s="246"/>
      <c r="AD936" s="246"/>
      <c r="AE936" s="131"/>
      <c r="AF936" s="244"/>
      <c r="AG936" s="243"/>
      <c r="AH936" s="243"/>
      <c r="AI936" s="243"/>
      <c r="AJ936" s="243"/>
      <c r="AK936" s="243"/>
      <c r="AL936" s="243"/>
      <c r="AM936" s="243"/>
      <c r="AN936" s="243"/>
      <c r="AO936" s="243"/>
      <c r="AP936" s="243"/>
      <c r="AQ936" s="243"/>
      <c r="AR936" s="243"/>
      <c r="AS936" s="243"/>
      <c r="AT936" s="243"/>
      <c r="AU936" s="243"/>
      <c r="AV936" s="243"/>
      <c r="AW936" s="243"/>
      <c r="AX936" s="243"/>
      <c r="AY936" s="243"/>
      <c r="AZ936" s="243"/>
    </row>
    <row r="937" spans="1:52">
      <c r="A937" s="216" t="str">
        <f>IF(D937="","",VLOOKUP(G937,códigosORL!$H:$J,3,FALSE))</f>
        <v/>
      </c>
      <c r="B937" s="243"/>
      <c r="C937" s="259"/>
      <c r="D937" s="243"/>
      <c r="E937" s="243"/>
      <c r="F937" s="247"/>
      <c r="G937" s="243"/>
      <c r="H937" s="243"/>
      <c r="I937" s="243"/>
      <c r="J937" s="243"/>
      <c r="K937" s="243"/>
      <c r="L937" s="243"/>
      <c r="M937" s="243"/>
      <c r="N937" s="243"/>
      <c r="O937" s="243"/>
      <c r="P937" s="243"/>
      <c r="Q937" s="243"/>
      <c r="R937" s="243"/>
      <c r="S937" s="243"/>
      <c r="T937" s="243"/>
      <c r="U937" s="243"/>
      <c r="V937" s="243"/>
      <c r="W937" s="243"/>
      <c r="X937" s="243"/>
      <c r="Y937" s="244"/>
      <c r="Z937" s="243"/>
      <c r="AA937" s="245"/>
      <c r="AB937" s="246"/>
      <c r="AC937" s="246"/>
      <c r="AD937" s="246"/>
      <c r="AE937" s="131"/>
      <c r="AF937" s="244"/>
      <c r="AG937" s="243"/>
      <c r="AH937" s="243"/>
      <c r="AI937" s="243"/>
      <c r="AJ937" s="243"/>
      <c r="AK937" s="243"/>
      <c r="AL937" s="243"/>
      <c r="AM937" s="243"/>
      <c r="AN937" s="243"/>
      <c r="AO937" s="243"/>
      <c r="AP937" s="243"/>
      <c r="AQ937" s="243"/>
      <c r="AR937" s="243"/>
      <c r="AS937" s="243"/>
      <c r="AT937" s="243"/>
      <c r="AU937" s="243"/>
      <c r="AV937" s="243"/>
      <c r="AW937" s="243"/>
      <c r="AX937" s="243"/>
      <c r="AY937" s="243"/>
      <c r="AZ937" s="243"/>
    </row>
    <row r="938" spans="1:52">
      <c r="A938" s="216" t="str">
        <f>IF(D938="","",VLOOKUP(G938,códigosORL!$H:$J,3,FALSE))</f>
        <v/>
      </c>
      <c r="B938" s="243"/>
      <c r="C938" s="259"/>
      <c r="D938" s="243"/>
      <c r="E938" s="243"/>
      <c r="F938" s="247"/>
      <c r="G938" s="243"/>
      <c r="H938" s="243"/>
      <c r="I938" s="243"/>
      <c r="J938" s="243"/>
      <c r="K938" s="243"/>
      <c r="L938" s="243"/>
      <c r="M938" s="243"/>
      <c r="N938" s="243"/>
      <c r="O938" s="243"/>
      <c r="P938" s="243"/>
      <c r="Q938" s="243"/>
      <c r="R938" s="243"/>
      <c r="S938" s="243"/>
      <c r="T938" s="243"/>
      <c r="U938" s="243"/>
      <c r="V938" s="243"/>
      <c r="W938" s="243"/>
      <c r="X938" s="243"/>
      <c r="Y938" s="244"/>
      <c r="Z938" s="243"/>
      <c r="AA938" s="245"/>
      <c r="AB938" s="246"/>
      <c r="AC938" s="246"/>
      <c r="AD938" s="246"/>
      <c r="AE938" s="131"/>
      <c r="AF938" s="244"/>
      <c r="AG938" s="243"/>
      <c r="AH938" s="243"/>
      <c r="AI938" s="243"/>
      <c r="AJ938" s="243"/>
      <c r="AK938" s="243"/>
      <c r="AL938" s="243"/>
      <c r="AM938" s="243"/>
      <c r="AN938" s="243"/>
      <c r="AO938" s="243"/>
      <c r="AP938" s="243"/>
      <c r="AQ938" s="243"/>
      <c r="AR938" s="243"/>
      <c r="AS938" s="243"/>
      <c r="AT938" s="243"/>
      <c r="AU938" s="243"/>
      <c r="AV938" s="243"/>
      <c r="AW938" s="243"/>
      <c r="AX938" s="243"/>
      <c r="AY938" s="243"/>
      <c r="AZ938" s="243"/>
    </row>
    <row r="939" spans="1:52">
      <c r="A939" s="216" t="str">
        <f>IF(D939="","",VLOOKUP(G939,códigosORL!$H:$J,3,FALSE))</f>
        <v/>
      </c>
      <c r="B939" s="243"/>
      <c r="C939" s="259"/>
      <c r="D939" s="243"/>
      <c r="E939" s="243"/>
      <c r="F939" s="247"/>
      <c r="G939" s="243"/>
      <c r="H939" s="243"/>
      <c r="I939" s="243"/>
      <c r="J939" s="243"/>
      <c r="K939" s="243"/>
      <c r="L939" s="243"/>
      <c r="M939" s="243"/>
      <c r="N939" s="243"/>
      <c r="O939" s="243"/>
      <c r="P939" s="243"/>
      <c r="Q939" s="243"/>
      <c r="R939" s="243"/>
      <c r="S939" s="243"/>
      <c r="T939" s="243"/>
      <c r="U939" s="243"/>
      <c r="V939" s="243"/>
      <c r="W939" s="243"/>
      <c r="X939" s="243"/>
      <c r="Y939" s="244"/>
      <c r="Z939" s="243"/>
      <c r="AA939" s="245"/>
      <c r="AB939" s="246"/>
      <c r="AC939" s="246"/>
      <c r="AD939" s="246"/>
      <c r="AE939" s="131"/>
      <c r="AF939" s="244"/>
      <c r="AG939" s="243"/>
      <c r="AH939" s="243"/>
      <c r="AI939" s="243"/>
      <c r="AJ939" s="243"/>
      <c r="AK939" s="243"/>
      <c r="AL939" s="243"/>
      <c r="AM939" s="243"/>
      <c r="AN939" s="243"/>
      <c r="AO939" s="243"/>
      <c r="AP939" s="243"/>
      <c r="AQ939" s="243"/>
      <c r="AR939" s="243"/>
      <c r="AS939" s="243"/>
      <c r="AT939" s="243"/>
      <c r="AU939" s="243"/>
      <c r="AV939" s="243"/>
      <c r="AW939" s="243"/>
      <c r="AX939" s="243"/>
      <c r="AY939" s="243"/>
      <c r="AZ939" s="243"/>
    </row>
    <row r="940" spans="1:52">
      <c r="A940" s="216" t="str">
        <f>IF(D940="","",VLOOKUP(G940,códigosORL!$H:$J,3,FALSE))</f>
        <v/>
      </c>
      <c r="B940" s="243"/>
      <c r="C940" s="259"/>
      <c r="D940" s="243"/>
      <c r="E940" s="243"/>
      <c r="F940" s="247"/>
      <c r="G940" s="243"/>
      <c r="H940" s="243"/>
      <c r="I940" s="243"/>
      <c r="J940" s="243"/>
      <c r="K940" s="243"/>
      <c r="L940" s="243"/>
      <c r="M940" s="243"/>
      <c r="N940" s="243"/>
      <c r="O940" s="243"/>
      <c r="P940" s="243"/>
      <c r="Q940" s="243"/>
      <c r="R940" s="243"/>
      <c r="S940" s="243"/>
      <c r="T940" s="243"/>
      <c r="U940" s="243"/>
      <c r="V940" s="243"/>
      <c r="W940" s="243"/>
      <c r="X940" s="243"/>
      <c r="Y940" s="244"/>
      <c r="Z940" s="243"/>
      <c r="AA940" s="245"/>
      <c r="AB940" s="246"/>
      <c r="AC940" s="246"/>
      <c r="AD940" s="246"/>
      <c r="AE940" s="131"/>
      <c r="AF940" s="244"/>
      <c r="AG940" s="243"/>
      <c r="AH940" s="243"/>
      <c r="AI940" s="243"/>
      <c r="AJ940" s="243"/>
      <c r="AK940" s="243"/>
      <c r="AL940" s="243"/>
      <c r="AM940" s="243"/>
      <c r="AN940" s="243"/>
      <c r="AO940" s="243"/>
      <c r="AP940" s="243"/>
      <c r="AQ940" s="243"/>
      <c r="AR940" s="243"/>
      <c r="AS940" s="243"/>
      <c r="AT940" s="243"/>
      <c r="AU940" s="243"/>
      <c r="AV940" s="243"/>
      <c r="AW940" s="243"/>
      <c r="AX940" s="243"/>
      <c r="AY940" s="243"/>
      <c r="AZ940" s="243"/>
    </row>
    <row r="941" spans="1:52">
      <c r="A941" s="216" t="str">
        <f>IF(D941="","",VLOOKUP(G941,códigosORL!$H:$J,3,FALSE))</f>
        <v/>
      </c>
      <c r="B941" s="243"/>
      <c r="C941" s="259"/>
      <c r="D941" s="243"/>
      <c r="E941" s="243"/>
      <c r="F941" s="247"/>
      <c r="G941" s="243"/>
      <c r="H941" s="243"/>
      <c r="I941" s="243"/>
      <c r="J941" s="243"/>
      <c r="K941" s="243"/>
      <c r="L941" s="243"/>
      <c r="M941" s="243"/>
      <c r="N941" s="243"/>
      <c r="O941" s="243"/>
      <c r="P941" s="243"/>
      <c r="Q941" s="243"/>
      <c r="R941" s="243"/>
      <c r="S941" s="243"/>
      <c r="T941" s="243"/>
      <c r="U941" s="243"/>
      <c r="V941" s="243"/>
      <c r="W941" s="243"/>
      <c r="X941" s="243"/>
      <c r="Y941" s="244"/>
      <c r="Z941" s="243"/>
      <c r="AA941" s="245"/>
      <c r="AB941" s="246"/>
      <c r="AC941" s="246"/>
      <c r="AD941" s="246"/>
      <c r="AE941" s="131"/>
      <c r="AF941" s="244"/>
      <c r="AG941" s="243"/>
      <c r="AH941" s="243"/>
      <c r="AI941" s="243"/>
      <c r="AJ941" s="243"/>
      <c r="AK941" s="243"/>
      <c r="AL941" s="243"/>
      <c r="AM941" s="243"/>
      <c r="AN941" s="243"/>
      <c r="AO941" s="243"/>
      <c r="AP941" s="243"/>
      <c r="AQ941" s="243"/>
      <c r="AR941" s="243"/>
      <c r="AS941" s="243"/>
      <c r="AT941" s="243"/>
      <c r="AU941" s="243"/>
      <c r="AV941" s="243"/>
      <c r="AW941" s="243"/>
      <c r="AX941" s="243"/>
      <c r="AY941" s="243"/>
      <c r="AZ941" s="243"/>
    </row>
    <row r="942" spans="1:52">
      <c r="A942" s="216" t="str">
        <f>IF(D942="","",VLOOKUP(G942,códigosORL!$H:$J,3,FALSE))</f>
        <v/>
      </c>
      <c r="B942" s="243"/>
      <c r="C942" s="259"/>
      <c r="D942" s="243"/>
      <c r="E942" s="243"/>
      <c r="F942" s="247"/>
      <c r="G942" s="243"/>
      <c r="H942" s="243"/>
      <c r="I942" s="243"/>
      <c r="J942" s="243"/>
      <c r="K942" s="243"/>
      <c r="L942" s="243"/>
      <c r="M942" s="243"/>
      <c r="N942" s="243"/>
      <c r="O942" s="243"/>
      <c r="P942" s="243"/>
      <c r="Q942" s="243"/>
      <c r="R942" s="243"/>
      <c r="S942" s="243"/>
      <c r="T942" s="243"/>
      <c r="U942" s="243"/>
      <c r="V942" s="243"/>
      <c r="W942" s="243"/>
      <c r="X942" s="243"/>
      <c r="Y942" s="244"/>
      <c r="Z942" s="243"/>
      <c r="AA942" s="245"/>
      <c r="AB942" s="246"/>
      <c r="AC942" s="246"/>
      <c r="AD942" s="246"/>
      <c r="AE942" s="131"/>
      <c r="AF942" s="244"/>
      <c r="AG942" s="243"/>
      <c r="AH942" s="243"/>
      <c r="AI942" s="243"/>
      <c r="AJ942" s="243"/>
      <c r="AK942" s="243"/>
      <c r="AL942" s="243"/>
      <c r="AM942" s="243"/>
      <c r="AN942" s="243"/>
      <c r="AO942" s="243"/>
      <c r="AP942" s="243"/>
      <c r="AQ942" s="243"/>
      <c r="AR942" s="243"/>
      <c r="AS942" s="243"/>
      <c r="AT942" s="243"/>
      <c r="AU942" s="243"/>
      <c r="AV942" s="243"/>
      <c r="AW942" s="243"/>
      <c r="AX942" s="243"/>
      <c r="AY942" s="243"/>
      <c r="AZ942" s="243"/>
    </row>
    <row r="943" spans="1:52">
      <c r="A943" s="216" t="str">
        <f>IF(D943="","",VLOOKUP(G943,códigosORL!$H:$J,3,FALSE))</f>
        <v/>
      </c>
      <c r="B943" s="243"/>
      <c r="C943" s="259"/>
      <c r="D943" s="243"/>
      <c r="E943" s="243"/>
      <c r="F943" s="247"/>
      <c r="G943" s="243"/>
      <c r="H943" s="243"/>
      <c r="I943" s="243"/>
      <c r="J943" s="243"/>
      <c r="K943" s="243"/>
      <c r="L943" s="243"/>
      <c r="M943" s="243"/>
      <c r="N943" s="243"/>
      <c r="O943" s="243"/>
      <c r="P943" s="243"/>
      <c r="Q943" s="243"/>
      <c r="R943" s="243"/>
      <c r="S943" s="243"/>
      <c r="T943" s="243"/>
      <c r="U943" s="243"/>
      <c r="V943" s="243"/>
      <c r="W943" s="243"/>
      <c r="X943" s="243"/>
      <c r="Y943" s="244"/>
      <c r="Z943" s="243"/>
      <c r="AA943" s="245"/>
      <c r="AB943" s="246"/>
      <c r="AC943" s="246"/>
      <c r="AD943" s="246"/>
      <c r="AE943" s="131"/>
      <c r="AF943" s="244"/>
      <c r="AG943" s="243"/>
      <c r="AH943" s="243"/>
      <c r="AI943" s="243"/>
      <c r="AJ943" s="243"/>
      <c r="AK943" s="243"/>
      <c r="AL943" s="243"/>
      <c r="AM943" s="243"/>
      <c r="AN943" s="243"/>
      <c r="AO943" s="243"/>
      <c r="AP943" s="243"/>
      <c r="AQ943" s="243"/>
      <c r="AR943" s="243"/>
      <c r="AS943" s="243"/>
      <c r="AT943" s="243"/>
      <c r="AU943" s="243"/>
      <c r="AV943" s="243"/>
      <c r="AW943" s="243"/>
      <c r="AX943" s="243"/>
      <c r="AY943" s="243"/>
      <c r="AZ943" s="243"/>
    </row>
    <row r="944" spans="1:52">
      <c r="A944" s="216" t="str">
        <f>IF(D944="","",VLOOKUP(G944,códigosORL!$H:$J,3,FALSE))</f>
        <v/>
      </c>
      <c r="B944" s="243"/>
      <c r="C944" s="259"/>
      <c r="D944" s="243"/>
      <c r="E944" s="243"/>
      <c r="F944" s="247"/>
      <c r="G944" s="243"/>
      <c r="H944" s="243"/>
      <c r="I944" s="243"/>
      <c r="J944" s="243"/>
      <c r="K944" s="243"/>
      <c r="L944" s="243"/>
      <c r="M944" s="243"/>
      <c r="N944" s="243"/>
      <c r="O944" s="243"/>
      <c r="P944" s="243"/>
      <c r="Q944" s="243"/>
      <c r="R944" s="243"/>
      <c r="S944" s="243"/>
      <c r="T944" s="243"/>
      <c r="U944" s="243"/>
      <c r="V944" s="243"/>
      <c r="W944" s="243"/>
      <c r="X944" s="243"/>
      <c r="Y944" s="244"/>
      <c r="Z944" s="243"/>
      <c r="AA944" s="245"/>
      <c r="AB944" s="246"/>
      <c r="AC944" s="246"/>
      <c r="AD944" s="246"/>
      <c r="AE944" s="131"/>
      <c r="AF944" s="244"/>
      <c r="AG944" s="243"/>
      <c r="AH944" s="243"/>
      <c r="AI944" s="243"/>
      <c r="AJ944" s="243"/>
      <c r="AK944" s="243"/>
      <c r="AL944" s="243"/>
      <c r="AM944" s="243"/>
      <c r="AN944" s="243"/>
      <c r="AO944" s="243"/>
      <c r="AP944" s="243"/>
      <c r="AQ944" s="243"/>
      <c r="AR944" s="243"/>
      <c r="AS944" s="243"/>
      <c r="AT944" s="243"/>
      <c r="AU944" s="243"/>
      <c r="AV944" s="243"/>
      <c r="AW944" s="243"/>
      <c r="AX944" s="243"/>
      <c r="AY944" s="243"/>
      <c r="AZ944" s="243"/>
    </row>
    <row r="945" spans="1:52">
      <c r="A945" s="216" t="str">
        <f>IF(D945="","",VLOOKUP(G945,códigosORL!$H:$J,3,FALSE))</f>
        <v/>
      </c>
      <c r="B945" s="243"/>
      <c r="C945" s="259"/>
      <c r="D945" s="243"/>
      <c r="E945" s="243"/>
      <c r="F945" s="247"/>
      <c r="G945" s="243"/>
      <c r="H945" s="243"/>
      <c r="I945" s="243"/>
      <c r="J945" s="243"/>
      <c r="K945" s="243"/>
      <c r="L945" s="243"/>
      <c r="M945" s="243"/>
      <c r="N945" s="243"/>
      <c r="O945" s="243"/>
      <c r="P945" s="243"/>
      <c r="Q945" s="243"/>
      <c r="R945" s="243"/>
      <c r="S945" s="243"/>
      <c r="T945" s="243"/>
      <c r="U945" s="243"/>
      <c r="V945" s="243"/>
      <c r="W945" s="243"/>
      <c r="X945" s="243"/>
      <c r="Y945" s="244"/>
      <c r="Z945" s="243"/>
      <c r="AA945" s="245"/>
      <c r="AB945" s="246"/>
      <c r="AC945" s="246"/>
      <c r="AD945" s="246"/>
      <c r="AE945" s="131"/>
      <c r="AF945" s="244"/>
      <c r="AG945" s="243"/>
      <c r="AH945" s="243"/>
      <c r="AI945" s="243"/>
      <c r="AJ945" s="243"/>
      <c r="AK945" s="243"/>
      <c r="AL945" s="243"/>
      <c r="AM945" s="243"/>
      <c r="AN945" s="243"/>
      <c r="AO945" s="243"/>
      <c r="AP945" s="243"/>
      <c r="AQ945" s="243"/>
      <c r="AR945" s="243"/>
      <c r="AS945" s="243"/>
      <c r="AT945" s="243"/>
      <c r="AU945" s="243"/>
      <c r="AV945" s="243"/>
      <c r="AW945" s="243"/>
      <c r="AX945" s="243"/>
      <c r="AY945" s="243"/>
      <c r="AZ945" s="243"/>
    </row>
    <row r="946" spans="1:52">
      <c r="A946" s="216" t="str">
        <f>IF(D946="","",VLOOKUP(G946,códigosORL!$H:$J,3,FALSE))</f>
        <v/>
      </c>
      <c r="B946" s="243"/>
      <c r="C946" s="259"/>
      <c r="D946" s="243"/>
      <c r="E946" s="243"/>
      <c r="F946" s="247"/>
      <c r="G946" s="243"/>
      <c r="H946" s="243"/>
      <c r="I946" s="243"/>
      <c r="J946" s="243"/>
      <c r="K946" s="243"/>
      <c r="L946" s="243"/>
      <c r="M946" s="243"/>
      <c r="N946" s="243"/>
      <c r="O946" s="243"/>
      <c r="P946" s="243"/>
      <c r="Q946" s="243"/>
      <c r="R946" s="243"/>
      <c r="S946" s="243"/>
      <c r="T946" s="243"/>
      <c r="U946" s="243"/>
      <c r="V946" s="243"/>
      <c r="W946" s="243"/>
      <c r="X946" s="243"/>
      <c r="Y946" s="244"/>
      <c r="Z946" s="243"/>
      <c r="AA946" s="245"/>
      <c r="AB946" s="246"/>
      <c r="AC946" s="246"/>
      <c r="AD946" s="246"/>
      <c r="AE946" s="131"/>
      <c r="AF946" s="244"/>
      <c r="AG946" s="243"/>
      <c r="AH946" s="243"/>
      <c r="AI946" s="243"/>
      <c r="AJ946" s="243"/>
      <c r="AK946" s="243"/>
      <c r="AL946" s="243"/>
      <c r="AM946" s="243"/>
      <c r="AN946" s="243"/>
      <c r="AO946" s="243"/>
      <c r="AP946" s="243"/>
      <c r="AQ946" s="243"/>
      <c r="AR946" s="243"/>
      <c r="AS946" s="243"/>
      <c r="AT946" s="243"/>
      <c r="AU946" s="243"/>
      <c r="AV946" s="243"/>
      <c r="AW946" s="243"/>
      <c r="AX946" s="243"/>
      <c r="AY946" s="243"/>
      <c r="AZ946" s="243"/>
    </row>
    <row r="947" spans="1:52">
      <c r="A947" s="216" t="str">
        <f>IF(D947="","",VLOOKUP(G947,códigosORL!$H:$J,3,FALSE))</f>
        <v/>
      </c>
      <c r="B947" s="243"/>
      <c r="C947" s="259"/>
      <c r="D947" s="243"/>
      <c r="E947" s="243"/>
      <c r="F947" s="247"/>
      <c r="G947" s="243"/>
      <c r="H947" s="243"/>
      <c r="I947" s="243"/>
      <c r="J947" s="243"/>
      <c r="K947" s="243"/>
      <c r="L947" s="243"/>
      <c r="M947" s="243"/>
      <c r="N947" s="243"/>
      <c r="O947" s="243"/>
      <c r="P947" s="243"/>
      <c r="Q947" s="243"/>
      <c r="R947" s="243"/>
      <c r="S947" s="243"/>
      <c r="T947" s="243"/>
      <c r="U947" s="243"/>
      <c r="V947" s="243"/>
      <c r="W947" s="243"/>
      <c r="X947" s="243"/>
      <c r="Y947" s="244"/>
      <c r="Z947" s="243"/>
      <c r="AA947" s="245"/>
      <c r="AB947" s="246"/>
      <c r="AC947" s="246"/>
      <c r="AD947" s="246"/>
      <c r="AE947" s="131"/>
      <c r="AF947" s="244"/>
      <c r="AG947" s="243"/>
      <c r="AH947" s="243"/>
      <c r="AI947" s="243"/>
      <c r="AJ947" s="243"/>
      <c r="AK947" s="243"/>
      <c r="AL947" s="243"/>
      <c r="AM947" s="243"/>
      <c r="AN947" s="243"/>
      <c r="AO947" s="243"/>
      <c r="AP947" s="243"/>
      <c r="AQ947" s="243"/>
      <c r="AR947" s="243"/>
      <c r="AS947" s="243"/>
      <c r="AT947" s="243"/>
      <c r="AU947" s="243"/>
      <c r="AV947" s="243"/>
      <c r="AW947" s="243"/>
      <c r="AX947" s="243"/>
      <c r="AY947" s="243"/>
      <c r="AZ947" s="243"/>
    </row>
    <row r="948" spans="1:52">
      <c r="A948" s="216" t="str">
        <f>IF(D948="","",VLOOKUP(G948,códigosORL!$H:$J,3,FALSE))</f>
        <v/>
      </c>
      <c r="B948" s="243"/>
      <c r="C948" s="259"/>
      <c r="D948" s="243"/>
      <c r="E948" s="243"/>
      <c r="F948" s="247"/>
      <c r="G948" s="243"/>
      <c r="H948" s="243"/>
      <c r="I948" s="243"/>
      <c r="J948" s="243"/>
      <c r="K948" s="243"/>
      <c r="L948" s="243"/>
      <c r="M948" s="243"/>
      <c r="N948" s="243"/>
      <c r="O948" s="243"/>
      <c r="P948" s="243"/>
      <c r="Q948" s="243"/>
      <c r="R948" s="243"/>
      <c r="S948" s="243"/>
      <c r="T948" s="243"/>
      <c r="U948" s="243"/>
      <c r="V948" s="243"/>
      <c r="W948" s="243"/>
      <c r="X948" s="243"/>
      <c r="Y948" s="244"/>
      <c r="Z948" s="243"/>
      <c r="AA948" s="245"/>
      <c r="AB948" s="246"/>
      <c r="AC948" s="246"/>
      <c r="AD948" s="246"/>
      <c r="AE948" s="131"/>
      <c r="AF948" s="244"/>
      <c r="AG948" s="243"/>
      <c r="AH948" s="243"/>
      <c r="AI948" s="243"/>
      <c r="AJ948" s="243"/>
      <c r="AK948" s="243"/>
      <c r="AL948" s="243"/>
      <c r="AM948" s="243"/>
      <c r="AN948" s="243"/>
      <c r="AO948" s="243"/>
      <c r="AP948" s="243"/>
      <c r="AQ948" s="243"/>
      <c r="AR948" s="243"/>
      <c r="AS948" s="243"/>
      <c r="AT948" s="243"/>
      <c r="AU948" s="243"/>
      <c r="AV948" s="243"/>
      <c r="AW948" s="243"/>
      <c r="AX948" s="243"/>
      <c r="AY948" s="243"/>
      <c r="AZ948" s="243"/>
    </row>
    <row r="949" spans="1:52">
      <c r="A949" s="216" t="str">
        <f>IF(D949="","",VLOOKUP(G949,códigosORL!$H:$J,3,FALSE))</f>
        <v/>
      </c>
      <c r="B949" s="243"/>
      <c r="C949" s="259"/>
      <c r="D949" s="243"/>
      <c r="E949" s="243"/>
      <c r="F949" s="247"/>
      <c r="G949" s="243"/>
      <c r="H949" s="243"/>
      <c r="I949" s="243"/>
      <c r="J949" s="243"/>
      <c r="K949" s="243"/>
      <c r="L949" s="243"/>
      <c r="M949" s="243"/>
      <c r="N949" s="243"/>
      <c r="O949" s="243"/>
      <c r="P949" s="243"/>
      <c r="Q949" s="243"/>
      <c r="R949" s="243"/>
      <c r="S949" s="243"/>
      <c r="T949" s="243"/>
      <c r="U949" s="243"/>
      <c r="V949" s="243"/>
      <c r="W949" s="243"/>
      <c r="X949" s="243"/>
      <c r="Y949" s="244"/>
      <c r="Z949" s="243"/>
      <c r="AA949" s="245"/>
      <c r="AB949" s="246"/>
      <c r="AC949" s="246"/>
      <c r="AD949" s="246"/>
      <c r="AE949" s="131"/>
      <c r="AF949" s="244"/>
      <c r="AG949" s="243"/>
      <c r="AH949" s="243"/>
      <c r="AI949" s="243"/>
      <c r="AJ949" s="243"/>
      <c r="AK949" s="243"/>
      <c r="AL949" s="243"/>
      <c r="AM949" s="243"/>
      <c r="AN949" s="243"/>
      <c r="AO949" s="243"/>
      <c r="AP949" s="243"/>
      <c r="AQ949" s="243"/>
      <c r="AR949" s="243"/>
      <c r="AS949" s="243"/>
      <c r="AT949" s="243"/>
      <c r="AU949" s="243"/>
      <c r="AV949" s="243"/>
      <c r="AW949" s="243"/>
      <c r="AX949" s="243"/>
      <c r="AY949" s="243"/>
      <c r="AZ949" s="243"/>
    </row>
    <row r="950" spans="1:52">
      <c r="A950" s="216" t="str">
        <f>IF(D950="","",VLOOKUP(G950,códigosORL!$H:$J,3,FALSE))</f>
        <v/>
      </c>
      <c r="B950" s="243"/>
      <c r="C950" s="259"/>
      <c r="D950" s="243"/>
      <c r="E950" s="243"/>
      <c r="F950" s="247"/>
      <c r="G950" s="243"/>
      <c r="H950" s="243"/>
      <c r="I950" s="243"/>
      <c r="J950" s="243"/>
      <c r="K950" s="243"/>
      <c r="L950" s="243"/>
      <c r="M950" s="243"/>
      <c r="N950" s="243"/>
      <c r="O950" s="243"/>
      <c r="P950" s="243"/>
      <c r="Q950" s="243"/>
      <c r="R950" s="243"/>
      <c r="S950" s="243"/>
      <c r="T950" s="243"/>
      <c r="U950" s="243"/>
      <c r="V950" s="243"/>
      <c r="W950" s="243"/>
      <c r="X950" s="243"/>
      <c r="Y950" s="244"/>
      <c r="Z950" s="243"/>
      <c r="AA950" s="245"/>
      <c r="AB950" s="246"/>
      <c r="AC950" s="246"/>
      <c r="AD950" s="246"/>
      <c r="AE950" s="131"/>
      <c r="AF950" s="244"/>
      <c r="AG950" s="243"/>
      <c r="AH950" s="243"/>
      <c r="AI950" s="243"/>
      <c r="AJ950" s="243"/>
      <c r="AK950" s="243"/>
      <c r="AL950" s="243"/>
      <c r="AM950" s="243"/>
      <c r="AN950" s="243"/>
      <c r="AO950" s="243"/>
      <c r="AP950" s="243"/>
      <c r="AQ950" s="243"/>
      <c r="AR950" s="243"/>
      <c r="AS950" s="243"/>
      <c r="AT950" s="243"/>
      <c r="AU950" s="243"/>
      <c r="AV950" s="243"/>
      <c r="AW950" s="243"/>
      <c r="AX950" s="243"/>
      <c r="AY950" s="243"/>
      <c r="AZ950" s="243"/>
    </row>
    <row r="951" spans="1:52">
      <c r="A951" s="216" t="str">
        <f>IF(D951="","",VLOOKUP(G951,códigosORL!$H:$J,3,FALSE))</f>
        <v/>
      </c>
      <c r="B951" s="243"/>
      <c r="C951" s="259"/>
      <c r="D951" s="243"/>
      <c r="E951" s="243"/>
      <c r="F951" s="247"/>
      <c r="G951" s="243"/>
      <c r="H951" s="243"/>
      <c r="I951" s="243"/>
      <c r="J951" s="243"/>
      <c r="K951" s="243"/>
      <c r="L951" s="243"/>
      <c r="M951" s="243"/>
      <c r="N951" s="243"/>
      <c r="O951" s="243"/>
      <c r="P951" s="243"/>
      <c r="Q951" s="243"/>
      <c r="R951" s="243"/>
      <c r="S951" s="243"/>
      <c r="T951" s="243"/>
      <c r="U951" s="243"/>
      <c r="V951" s="243"/>
      <c r="W951" s="243"/>
      <c r="X951" s="243"/>
      <c r="Y951" s="244"/>
      <c r="Z951" s="243"/>
      <c r="AA951" s="245"/>
      <c r="AB951" s="246"/>
      <c r="AC951" s="246"/>
      <c r="AD951" s="246"/>
      <c r="AE951" s="131"/>
      <c r="AF951" s="244"/>
      <c r="AG951" s="243"/>
      <c r="AH951" s="243"/>
      <c r="AI951" s="243"/>
      <c r="AJ951" s="243"/>
      <c r="AK951" s="243"/>
      <c r="AL951" s="243"/>
      <c r="AM951" s="243"/>
      <c r="AN951" s="243"/>
      <c r="AO951" s="243"/>
      <c r="AP951" s="243"/>
      <c r="AQ951" s="243"/>
      <c r="AR951" s="243"/>
      <c r="AS951" s="243"/>
      <c r="AT951" s="243"/>
      <c r="AU951" s="243"/>
      <c r="AV951" s="243"/>
      <c r="AW951" s="243"/>
      <c r="AX951" s="243"/>
      <c r="AY951" s="243"/>
      <c r="AZ951" s="243"/>
    </row>
    <row r="952" spans="1:52">
      <c r="A952" s="216" t="str">
        <f>IF(D952="","",VLOOKUP(G952,códigosORL!$H:$J,3,FALSE))</f>
        <v/>
      </c>
      <c r="B952" s="243"/>
      <c r="C952" s="259"/>
      <c r="D952" s="243"/>
      <c r="E952" s="243"/>
      <c r="F952" s="247"/>
      <c r="G952" s="243"/>
      <c r="H952" s="243"/>
      <c r="I952" s="243"/>
      <c r="J952" s="243"/>
      <c r="K952" s="243"/>
      <c r="L952" s="243"/>
      <c r="M952" s="243"/>
      <c r="N952" s="243"/>
      <c r="O952" s="243"/>
      <c r="P952" s="243"/>
      <c r="Q952" s="243"/>
      <c r="R952" s="243"/>
      <c r="S952" s="243"/>
      <c r="T952" s="243"/>
      <c r="U952" s="243"/>
      <c r="V952" s="243"/>
      <c r="W952" s="243"/>
      <c r="X952" s="243"/>
      <c r="Y952" s="244"/>
      <c r="Z952" s="243"/>
      <c r="AA952" s="245"/>
      <c r="AB952" s="246"/>
      <c r="AC952" s="246"/>
      <c r="AD952" s="246"/>
      <c r="AE952" s="131"/>
      <c r="AF952" s="244"/>
      <c r="AG952" s="243"/>
      <c r="AH952" s="243"/>
      <c r="AI952" s="243"/>
      <c r="AJ952" s="243"/>
      <c r="AK952" s="243"/>
      <c r="AL952" s="243"/>
      <c r="AM952" s="243"/>
      <c r="AN952" s="243"/>
      <c r="AO952" s="243"/>
      <c r="AP952" s="243"/>
      <c r="AQ952" s="243"/>
      <c r="AR952" s="243"/>
      <c r="AS952" s="243"/>
      <c r="AT952" s="243"/>
      <c r="AU952" s="243"/>
      <c r="AV952" s="243"/>
      <c r="AW952" s="243"/>
      <c r="AX952" s="243"/>
      <c r="AY952" s="243"/>
      <c r="AZ952" s="243"/>
    </row>
    <row r="953" spans="1:52">
      <c r="A953" s="216" t="str">
        <f>IF(D953="","",VLOOKUP(G953,códigosORL!$H:$J,3,FALSE))</f>
        <v/>
      </c>
      <c r="B953" s="243"/>
      <c r="C953" s="259"/>
      <c r="D953" s="243"/>
      <c r="E953" s="243"/>
      <c r="F953" s="247"/>
      <c r="G953" s="243"/>
      <c r="H953" s="243"/>
      <c r="I953" s="243"/>
      <c r="J953" s="243"/>
      <c r="K953" s="243"/>
      <c r="L953" s="243"/>
      <c r="M953" s="243"/>
      <c r="N953" s="243"/>
      <c r="O953" s="243"/>
      <c r="P953" s="243"/>
      <c r="Q953" s="243"/>
      <c r="R953" s="243"/>
      <c r="S953" s="243"/>
      <c r="T953" s="243"/>
      <c r="U953" s="243"/>
      <c r="V953" s="243"/>
      <c r="W953" s="243"/>
      <c r="X953" s="243"/>
      <c r="Y953" s="244"/>
      <c r="Z953" s="243"/>
      <c r="AA953" s="245"/>
      <c r="AB953" s="246"/>
      <c r="AC953" s="246"/>
      <c r="AD953" s="246"/>
      <c r="AE953" s="131"/>
      <c r="AF953" s="244"/>
      <c r="AG953" s="243"/>
      <c r="AH953" s="243"/>
      <c r="AI953" s="243"/>
      <c r="AJ953" s="243"/>
      <c r="AK953" s="243"/>
      <c r="AL953" s="243"/>
      <c r="AM953" s="243"/>
      <c r="AN953" s="243"/>
      <c r="AO953" s="243"/>
      <c r="AP953" s="243"/>
      <c r="AQ953" s="243"/>
      <c r="AR953" s="243"/>
      <c r="AS953" s="243"/>
      <c r="AT953" s="243"/>
      <c r="AU953" s="243"/>
      <c r="AV953" s="243"/>
      <c r="AW953" s="243"/>
      <c r="AX953" s="243"/>
      <c r="AY953" s="243"/>
      <c r="AZ953" s="243"/>
    </row>
    <row r="954" spans="1:52">
      <c r="A954" s="216" t="str">
        <f>IF(D954="","",VLOOKUP(G954,códigosORL!$H:$J,3,FALSE))</f>
        <v/>
      </c>
      <c r="B954" s="243"/>
      <c r="C954" s="259"/>
      <c r="D954" s="243"/>
      <c r="E954" s="243"/>
      <c r="F954" s="247"/>
      <c r="G954" s="243"/>
      <c r="H954" s="243"/>
      <c r="I954" s="243"/>
      <c r="J954" s="243"/>
      <c r="K954" s="243"/>
      <c r="L954" s="243"/>
      <c r="M954" s="243"/>
      <c r="N954" s="243"/>
      <c r="O954" s="243"/>
      <c r="P954" s="243"/>
      <c r="Q954" s="243"/>
      <c r="R954" s="243"/>
      <c r="S954" s="243"/>
      <c r="T954" s="243"/>
      <c r="U954" s="243"/>
      <c r="V954" s="243"/>
      <c r="W954" s="243"/>
      <c r="X954" s="243"/>
      <c r="Y954" s="244"/>
      <c r="Z954" s="243"/>
      <c r="AA954" s="245"/>
      <c r="AB954" s="246"/>
      <c r="AC954" s="246"/>
      <c r="AD954" s="246"/>
      <c r="AE954" s="131"/>
      <c r="AF954" s="244"/>
      <c r="AG954" s="243"/>
      <c r="AH954" s="243"/>
      <c r="AI954" s="243"/>
      <c r="AJ954" s="243"/>
      <c r="AK954" s="243"/>
      <c r="AL954" s="243"/>
      <c r="AM954" s="243"/>
      <c r="AN954" s="243"/>
      <c r="AO954" s="243"/>
      <c r="AP954" s="243"/>
      <c r="AQ954" s="243"/>
      <c r="AR954" s="243"/>
      <c r="AS954" s="243"/>
      <c r="AT954" s="243"/>
      <c r="AU954" s="243"/>
      <c r="AV954" s="243"/>
      <c r="AW954" s="243"/>
      <c r="AX954" s="243"/>
      <c r="AY954" s="243"/>
      <c r="AZ954" s="243"/>
    </row>
    <row r="955" spans="1:52">
      <c r="A955" s="216" t="str">
        <f>IF(D955="","",VLOOKUP(G955,códigosORL!$H:$J,3,FALSE))</f>
        <v/>
      </c>
      <c r="B955" s="243"/>
      <c r="C955" s="259"/>
      <c r="D955" s="243"/>
      <c r="E955" s="243"/>
      <c r="F955" s="247"/>
      <c r="G955" s="243"/>
      <c r="H955" s="243"/>
      <c r="I955" s="243"/>
      <c r="J955" s="243"/>
      <c r="K955" s="243"/>
      <c r="L955" s="243"/>
      <c r="M955" s="243"/>
      <c r="N955" s="243"/>
      <c r="O955" s="243"/>
      <c r="P955" s="243"/>
      <c r="Q955" s="243"/>
      <c r="R955" s="243"/>
      <c r="S955" s="243"/>
      <c r="T955" s="243"/>
      <c r="U955" s="243"/>
      <c r="V955" s="243"/>
      <c r="W955" s="243"/>
      <c r="X955" s="243"/>
      <c r="Y955" s="244"/>
      <c r="Z955" s="243"/>
      <c r="AA955" s="245"/>
      <c r="AB955" s="246"/>
      <c r="AC955" s="246"/>
      <c r="AD955" s="246"/>
      <c r="AE955" s="131"/>
      <c r="AF955" s="244"/>
      <c r="AG955" s="243"/>
      <c r="AH955" s="243"/>
      <c r="AI955" s="243"/>
      <c r="AJ955" s="243"/>
      <c r="AK955" s="243"/>
      <c r="AL955" s="243"/>
      <c r="AM955" s="243"/>
      <c r="AN955" s="243"/>
      <c r="AO955" s="243"/>
      <c r="AP955" s="243"/>
      <c r="AQ955" s="243"/>
      <c r="AR955" s="243"/>
      <c r="AS955" s="243"/>
      <c r="AT955" s="243"/>
      <c r="AU955" s="243"/>
      <c r="AV955" s="243"/>
      <c r="AW955" s="243"/>
      <c r="AX955" s="243"/>
      <c r="AY955" s="243"/>
      <c r="AZ955" s="243"/>
    </row>
    <row r="956" spans="1:52">
      <c r="A956" s="216" t="str">
        <f>IF(D956="","",VLOOKUP(G956,códigosORL!$H:$J,3,FALSE))</f>
        <v/>
      </c>
      <c r="B956" s="243"/>
      <c r="C956" s="259"/>
      <c r="D956" s="243"/>
      <c r="E956" s="243"/>
      <c r="F956" s="247"/>
      <c r="G956" s="243"/>
      <c r="H956" s="243"/>
      <c r="I956" s="243"/>
      <c r="J956" s="243"/>
      <c r="K956" s="243"/>
      <c r="L956" s="243"/>
      <c r="M956" s="243"/>
      <c r="N956" s="243"/>
      <c r="O956" s="243"/>
      <c r="P956" s="243"/>
      <c r="Q956" s="243"/>
      <c r="R956" s="243"/>
      <c r="S956" s="243"/>
      <c r="T956" s="243"/>
      <c r="U956" s="243"/>
      <c r="V956" s="243"/>
      <c r="W956" s="243"/>
      <c r="X956" s="243"/>
      <c r="Y956" s="244"/>
      <c r="Z956" s="243"/>
      <c r="AA956" s="245"/>
      <c r="AB956" s="246"/>
      <c r="AC956" s="246"/>
      <c r="AD956" s="246"/>
      <c r="AE956" s="131"/>
      <c r="AF956" s="244"/>
      <c r="AG956" s="243"/>
      <c r="AH956" s="243"/>
      <c r="AI956" s="243"/>
      <c r="AJ956" s="243"/>
      <c r="AK956" s="243"/>
      <c r="AL956" s="243"/>
      <c r="AM956" s="243"/>
      <c r="AN956" s="243"/>
      <c r="AO956" s="243"/>
      <c r="AP956" s="243"/>
      <c r="AQ956" s="243"/>
      <c r="AR956" s="243"/>
      <c r="AS956" s="243"/>
      <c r="AT956" s="243"/>
      <c r="AU956" s="243"/>
      <c r="AV956" s="243"/>
      <c r="AW956" s="243"/>
      <c r="AX956" s="243"/>
      <c r="AY956" s="243"/>
      <c r="AZ956" s="243"/>
    </row>
    <row r="957" spans="1:52">
      <c r="A957" s="216" t="str">
        <f>IF(D957="","",VLOOKUP(G957,códigosORL!$H:$J,3,FALSE))</f>
        <v/>
      </c>
      <c r="B957" s="243"/>
      <c r="C957" s="259"/>
      <c r="D957" s="243"/>
      <c r="E957" s="243"/>
      <c r="F957" s="247"/>
      <c r="G957" s="243"/>
      <c r="H957" s="243"/>
      <c r="I957" s="243"/>
      <c r="J957" s="243"/>
      <c r="K957" s="243"/>
      <c r="L957" s="243"/>
      <c r="M957" s="243"/>
      <c r="N957" s="243"/>
      <c r="O957" s="243"/>
      <c r="P957" s="243"/>
      <c r="Q957" s="243"/>
      <c r="R957" s="243"/>
      <c r="S957" s="243"/>
      <c r="T957" s="243"/>
      <c r="U957" s="243"/>
      <c r="V957" s="243"/>
      <c r="W957" s="243"/>
      <c r="X957" s="243"/>
      <c r="Y957" s="244"/>
      <c r="Z957" s="243"/>
      <c r="AA957" s="245"/>
      <c r="AB957" s="246"/>
      <c r="AC957" s="246"/>
      <c r="AD957" s="246"/>
      <c r="AE957" s="131"/>
      <c r="AF957" s="244"/>
      <c r="AG957" s="243"/>
      <c r="AH957" s="243"/>
      <c r="AI957" s="243"/>
      <c r="AJ957" s="243"/>
      <c r="AK957" s="243"/>
      <c r="AL957" s="243"/>
      <c r="AM957" s="243"/>
      <c r="AN957" s="243"/>
      <c r="AO957" s="243"/>
      <c r="AP957" s="243"/>
      <c r="AQ957" s="243"/>
      <c r="AR957" s="243"/>
      <c r="AS957" s="243"/>
      <c r="AT957" s="243"/>
      <c r="AU957" s="243"/>
      <c r="AV957" s="243"/>
      <c r="AW957" s="243"/>
      <c r="AX957" s="243"/>
      <c r="AY957" s="243"/>
      <c r="AZ957" s="243"/>
    </row>
    <row r="958" spans="1:52">
      <c r="A958" s="216" t="str">
        <f>IF(D958="","",VLOOKUP(G958,códigosORL!$H:$J,3,FALSE))</f>
        <v/>
      </c>
      <c r="B958" s="243"/>
      <c r="C958" s="259"/>
      <c r="D958" s="243"/>
      <c r="E958" s="243"/>
      <c r="F958" s="247"/>
      <c r="G958" s="243"/>
      <c r="H958" s="243"/>
      <c r="I958" s="243"/>
      <c r="J958" s="243"/>
      <c r="K958" s="243"/>
      <c r="L958" s="243"/>
      <c r="M958" s="243"/>
      <c r="N958" s="243"/>
      <c r="O958" s="243"/>
      <c r="P958" s="243"/>
      <c r="Q958" s="243"/>
      <c r="R958" s="243"/>
      <c r="S958" s="243"/>
      <c r="T958" s="243"/>
      <c r="U958" s="243"/>
      <c r="V958" s="243"/>
      <c r="W958" s="243"/>
      <c r="X958" s="243"/>
      <c r="Y958" s="244"/>
      <c r="Z958" s="243"/>
      <c r="AA958" s="245"/>
      <c r="AB958" s="246"/>
      <c r="AC958" s="246"/>
      <c r="AD958" s="246"/>
      <c r="AE958" s="131"/>
      <c r="AF958" s="244"/>
      <c r="AG958" s="243"/>
      <c r="AH958" s="243"/>
      <c r="AI958" s="243"/>
      <c r="AJ958" s="243"/>
      <c r="AK958" s="243"/>
      <c r="AL958" s="243"/>
      <c r="AM958" s="243"/>
      <c r="AN958" s="243"/>
      <c r="AO958" s="243"/>
      <c r="AP958" s="243"/>
      <c r="AQ958" s="243"/>
      <c r="AR958" s="243"/>
      <c r="AS958" s="243"/>
      <c r="AT958" s="243"/>
      <c r="AU958" s="243"/>
      <c r="AV958" s="243"/>
      <c r="AW958" s="243"/>
      <c r="AX958" s="243"/>
      <c r="AY958" s="243"/>
      <c r="AZ958" s="243"/>
    </row>
    <row r="959" spans="1:52">
      <c r="A959" s="216" t="str">
        <f>IF(D959="","",VLOOKUP(G959,códigosORL!$H:$J,3,FALSE))</f>
        <v/>
      </c>
      <c r="B959" s="243"/>
      <c r="C959" s="259"/>
      <c r="D959" s="243"/>
      <c r="E959" s="243"/>
      <c r="F959" s="247"/>
      <c r="G959" s="243"/>
      <c r="H959" s="243"/>
      <c r="I959" s="243"/>
      <c r="J959" s="243"/>
      <c r="K959" s="243"/>
      <c r="L959" s="243"/>
      <c r="M959" s="243"/>
      <c r="N959" s="243"/>
      <c r="O959" s="243"/>
      <c r="P959" s="243"/>
      <c r="Q959" s="243"/>
      <c r="R959" s="243"/>
      <c r="S959" s="243"/>
      <c r="T959" s="243"/>
      <c r="U959" s="243"/>
      <c r="V959" s="243"/>
      <c r="W959" s="243"/>
      <c r="X959" s="243"/>
      <c r="Y959" s="244"/>
      <c r="Z959" s="243"/>
      <c r="AA959" s="245"/>
      <c r="AB959" s="246"/>
      <c r="AC959" s="246"/>
      <c r="AD959" s="246"/>
      <c r="AE959" s="131"/>
      <c r="AF959" s="244"/>
      <c r="AG959" s="243"/>
      <c r="AH959" s="243"/>
      <c r="AI959" s="243"/>
      <c r="AJ959" s="243"/>
      <c r="AK959" s="243"/>
      <c r="AL959" s="243"/>
      <c r="AM959" s="243"/>
      <c r="AN959" s="243"/>
      <c r="AO959" s="243"/>
      <c r="AP959" s="243"/>
      <c r="AQ959" s="243"/>
      <c r="AR959" s="243"/>
      <c r="AS959" s="243"/>
      <c r="AT959" s="243"/>
      <c r="AU959" s="243"/>
      <c r="AV959" s="243"/>
      <c r="AW959" s="243"/>
      <c r="AX959" s="243"/>
      <c r="AY959" s="243"/>
      <c r="AZ959" s="243"/>
    </row>
    <row r="960" spans="1:52">
      <c r="A960" s="216" t="str">
        <f>IF(D960="","",VLOOKUP(G960,códigosORL!$H:$J,3,FALSE))</f>
        <v/>
      </c>
      <c r="B960" s="243"/>
      <c r="C960" s="259"/>
      <c r="D960" s="243"/>
      <c r="E960" s="243"/>
      <c r="F960" s="247"/>
      <c r="G960" s="243"/>
      <c r="H960" s="243"/>
      <c r="I960" s="243"/>
      <c r="J960" s="243"/>
      <c r="K960" s="243"/>
      <c r="L960" s="243"/>
      <c r="M960" s="243"/>
      <c r="N960" s="243"/>
      <c r="O960" s="243"/>
      <c r="P960" s="243"/>
      <c r="Q960" s="243"/>
      <c r="R960" s="243"/>
      <c r="S960" s="243"/>
      <c r="T960" s="243"/>
      <c r="U960" s="243"/>
      <c r="V960" s="243"/>
      <c r="W960" s="243"/>
      <c r="X960" s="243"/>
      <c r="Y960" s="244"/>
      <c r="Z960" s="243"/>
      <c r="AA960" s="245"/>
      <c r="AB960" s="246"/>
      <c r="AC960" s="246"/>
      <c r="AD960" s="246"/>
      <c r="AE960" s="131"/>
      <c r="AF960" s="244"/>
      <c r="AG960" s="243"/>
      <c r="AH960" s="243"/>
      <c r="AI960" s="243"/>
      <c r="AJ960" s="243"/>
      <c r="AK960" s="243"/>
      <c r="AL960" s="243"/>
      <c r="AM960" s="243"/>
      <c r="AN960" s="243"/>
      <c r="AO960" s="243"/>
      <c r="AP960" s="243"/>
      <c r="AQ960" s="243"/>
      <c r="AR960" s="243"/>
      <c r="AS960" s="243"/>
      <c r="AT960" s="243"/>
      <c r="AU960" s="243"/>
      <c r="AV960" s="243"/>
      <c r="AW960" s="243"/>
      <c r="AX960" s="243"/>
      <c r="AY960" s="243"/>
      <c r="AZ960" s="243"/>
    </row>
    <row r="961" spans="1:52">
      <c r="A961" s="216" t="str">
        <f>IF(D961="","",VLOOKUP(G961,códigosORL!$H:$J,3,FALSE))</f>
        <v/>
      </c>
      <c r="B961" s="243"/>
      <c r="C961" s="259"/>
      <c r="D961" s="243"/>
      <c r="E961" s="243"/>
      <c r="F961" s="247"/>
      <c r="G961" s="243"/>
      <c r="H961" s="243"/>
      <c r="I961" s="243"/>
      <c r="J961" s="243"/>
      <c r="K961" s="243"/>
      <c r="L961" s="243"/>
      <c r="M961" s="243"/>
      <c r="N961" s="243"/>
      <c r="O961" s="243"/>
      <c r="P961" s="243"/>
      <c r="Q961" s="243"/>
      <c r="R961" s="243"/>
      <c r="S961" s="243"/>
      <c r="T961" s="243"/>
      <c r="U961" s="243"/>
      <c r="V961" s="243"/>
      <c r="W961" s="243"/>
      <c r="X961" s="243"/>
      <c r="Y961" s="244"/>
      <c r="Z961" s="243"/>
      <c r="AA961" s="245"/>
      <c r="AB961" s="246"/>
      <c r="AC961" s="246"/>
      <c r="AD961" s="246"/>
      <c r="AE961" s="131"/>
      <c r="AF961" s="244"/>
      <c r="AG961" s="243"/>
      <c r="AH961" s="243"/>
      <c r="AI961" s="243"/>
      <c r="AJ961" s="243"/>
      <c r="AK961" s="243"/>
      <c r="AL961" s="243"/>
      <c r="AM961" s="243"/>
      <c r="AN961" s="243"/>
      <c r="AO961" s="243"/>
      <c r="AP961" s="243"/>
      <c r="AQ961" s="243"/>
      <c r="AR961" s="243"/>
      <c r="AS961" s="243"/>
      <c r="AT961" s="243"/>
      <c r="AU961" s="243"/>
      <c r="AV961" s="243"/>
      <c r="AW961" s="243"/>
      <c r="AX961" s="243"/>
      <c r="AY961" s="243"/>
      <c r="AZ961" s="243"/>
    </row>
    <row r="962" spans="1:52">
      <c r="A962" s="216" t="str">
        <f>IF(D962="","",VLOOKUP(G962,códigosORL!$H:$J,3,FALSE))</f>
        <v/>
      </c>
      <c r="B962" s="243"/>
      <c r="C962" s="259"/>
      <c r="D962" s="243"/>
      <c r="E962" s="243"/>
      <c r="F962" s="247"/>
      <c r="G962" s="243"/>
      <c r="H962" s="243"/>
      <c r="I962" s="243"/>
      <c r="J962" s="243"/>
      <c r="K962" s="243"/>
      <c r="L962" s="243"/>
      <c r="M962" s="243"/>
      <c r="N962" s="243"/>
      <c r="O962" s="243"/>
      <c r="P962" s="243"/>
      <c r="Q962" s="243"/>
      <c r="R962" s="243"/>
      <c r="S962" s="243"/>
      <c r="T962" s="243"/>
      <c r="U962" s="243"/>
      <c r="V962" s="243"/>
      <c r="W962" s="243"/>
      <c r="X962" s="243"/>
      <c r="Y962" s="244"/>
      <c r="Z962" s="243"/>
      <c r="AA962" s="245"/>
      <c r="AB962" s="246"/>
      <c r="AC962" s="246"/>
      <c r="AD962" s="246"/>
      <c r="AE962" s="131"/>
      <c r="AF962" s="244"/>
      <c r="AG962" s="243"/>
      <c r="AH962" s="243"/>
      <c r="AI962" s="243"/>
      <c r="AJ962" s="243"/>
      <c r="AK962" s="243"/>
      <c r="AL962" s="243"/>
      <c r="AM962" s="243"/>
      <c r="AN962" s="243"/>
      <c r="AO962" s="243"/>
      <c r="AP962" s="243"/>
      <c r="AQ962" s="243"/>
      <c r="AR962" s="243"/>
      <c r="AS962" s="243"/>
      <c r="AT962" s="243"/>
      <c r="AU962" s="243"/>
      <c r="AV962" s="243"/>
      <c r="AW962" s="243"/>
      <c r="AX962" s="243"/>
      <c r="AY962" s="243"/>
      <c r="AZ962" s="243"/>
    </row>
    <row r="963" spans="1:52">
      <c r="A963" s="216" t="str">
        <f>IF(D963="","",VLOOKUP(G963,códigosORL!$H:$J,3,FALSE))</f>
        <v/>
      </c>
      <c r="B963" s="243"/>
      <c r="C963" s="259"/>
      <c r="D963" s="243"/>
      <c r="E963" s="243"/>
      <c r="F963" s="247"/>
      <c r="G963" s="243"/>
      <c r="H963" s="243"/>
      <c r="I963" s="243"/>
      <c r="J963" s="243"/>
      <c r="K963" s="243"/>
      <c r="L963" s="243"/>
      <c r="M963" s="243"/>
      <c r="N963" s="243"/>
      <c r="O963" s="243"/>
      <c r="P963" s="243"/>
      <c r="Q963" s="243"/>
      <c r="R963" s="243"/>
      <c r="S963" s="243"/>
      <c r="T963" s="243"/>
      <c r="U963" s="243"/>
      <c r="V963" s="243"/>
      <c r="W963" s="243"/>
      <c r="X963" s="243"/>
      <c r="Y963" s="244"/>
      <c r="Z963" s="243"/>
      <c r="AA963" s="245"/>
      <c r="AB963" s="246"/>
      <c r="AC963" s="246"/>
      <c r="AD963" s="246"/>
      <c r="AE963" s="131"/>
      <c r="AF963" s="244"/>
      <c r="AG963" s="243"/>
      <c r="AH963" s="243"/>
      <c r="AI963" s="243"/>
      <c r="AJ963" s="243"/>
      <c r="AK963" s="243"/>
      <c r="AL963" s="243"/>
      <c r="AM963" s="243"/>
      <c r="AN963" s="243"/>
      <c r="AO963" s="243"/>
      <c r="AP963" s="243"/>
      <c r="AQ963" s="243"/>
      <c r="AR963" s="243"/>
      <c r="AS963" s="243"/>
      <c r="AT963" s="243"/>
      <c r="AU963" s="243"/>
      <c r="AV963" s="243"/>
      <c r="AW963" s="243"/>
      <c r="AX963" s="243"/>
      <c r="AY963" s="243"/>
      <c r="AZ963" s="243"/>
    </row>
    <row r="964" spans="1:52">
      <c r="A964" s="216" t="str">
        <f>IF(D964="","",VLOOKUP(G964,códigosORL!$H:$J,3,FALSE))</f>
        <v/>
      </c>
      <c r="B964" s="243"/>
      <c r="C964" s="259"/>
      <c r="D964" s="243"/>
      <c r="E964" s="243"/>
      <c r="F964" s="247"/>
      <c r="G964" s="243"/>
      <c r="H964" s="243"/>
      <c r="I964" s="243"/>
      <c r="J964" s="243"/>
      <c r="K964" s="243"/>
      <c r="L964" s="243"/>
      <c r="M964" s="243"/>
      <c r="N964" s="243"/>
      <c r="O964" s="243"/>
      <c r="P964" s="243"/>
      <c r="Q964" s="243"/>
      <c r="R964" s="243"/>
      <c r="S964" s="243"/>
      <c r="T964" s="243"/>
      <c r="U964" s="243"/>
      <c r="V964" s="243"/>
      <c r="W964" s="243"/>
      <c r="X964" s="243"/>
      <c r="Y964" s="244"/>
      <c r="Z964" s="243"/>
      <c r="AA964" s="245"/>
      <c r="AB964" s="246"/>
      <c r="AC964" s="246"/>
      <c r="AD964" s="246"/>
      <c r="AE964" s="131"/>
      <c r="AF964" s="244"/>
      <c r="AG964" s="243"/>
      <c r="AH964" s="243"/>
      <c r="AI964" s="243"/>
      <c r="AJ964" s="243"/>
      <c r="AK964" s="243"/>
      <c r="AL964" s="243"/>
      <c r="AM964" s="243"/>
      <c r="AN964" s="243"/>
      <c r="AO964" s="243"/>
      <c r="AP964" s="243"/>
      <c r="AQ964" s="243"/>
      <c r="AR964" s="243"/>
      <c r="AS964" s="243"/>
      <c r="AT964" s="243"/>
      <c r="AU964" s="243"/>
      <c r="AV964" s="243"/>
      <c r="AW964" s="243"/>
      <c r="AX964" s="243"/>
      <c r="AY964" s="243"/>
      <c r="AZ964" s="243"/>
    </row>
    <row r="965" spans="1:52">
      <c r="A965" s="216" t="str">
        <f>IF(D965="","",VLOOKUP(G965,códigosORL!$H:$J,3,FALSE))</f>
        <v/>
      </c>
      <c r="B965" s="243"/>
      <c r="C965" s="259"/>
      <c r="D965" s="243"/>
      <c r="E965" s="243"/>
      <c r="F965" s="247"/>
      <c r="G965" s="243"/>
      <c r="H965" s="243"/>
      <c r="I965" s="243"/>
      <c r="J965" s="243"/>
      <c r="K965" s="243"/>
      <c r="L965" s="243"/>
      <c r="M965" s="243"/>
      <c r="N965" s="243"/>
      <c r="O965" s="243"/>
      <c r="P965" s="243"/>
      <c r="Q965" s="243"/>
      <c r="R965" s="243"/>
      <c r="S965" s="243"/>
      <c r="T965" s="243"/>
      <c r="U965" s="243"/>
      <c r="V965" s="243"/>
      <c r="W965" s="243"/>
      <c r="X965" s="243"/>
      <c r="Y965" s="244"/>
      <c r="Z965" s="243"/>
      <c r="AA965" s="245"/>
      <c r="AB965" s="246"/>
      <c r="AC965" s="246"/>
      <c r="AD965" s="246"/>
      <c r="AE965" s="131"/>
      <c r="AF965" s="244"/>
      <c r="AG965" s="243"/>
      <c r="AH965" s="243"/>
      <c r="AI965" s="243"/>
      <c r="AJ965" s="243"/>
      <c r="AK965" s="243"/>
      <c r="AL965" s="243"/>
      <c r="AM965" s="243"/>
      <c r="AN965" s="243"/>
      <c r="AO965" s="243"/>
      <c r="AP965" s="243"/>
      <c r="AQ965" s="243"/>
      <c r="AR965" s="243"/>
      <c r="AS965" s="243"/>
      <c r="AT965" s="243"/>
      <c r="AU965" s="243"/>
      <c r="AV965" s="243"/>
      <c r="AW965" s="243"/>
      <c r="AX965" s="243"/>
      <c r="AY965" s="243"/>
      <c r="AZ965" s="243"/>
    </row>
    <row r="966" spans="1:52">
      <c r="A966" s="216" t="str">
        <f>IF(D966="","",VLOOKUP(G966,códigosORL!$H:$J,3,FALSE))</f>
        <v/>
      </c>
      <c r="B966" s="243"/>
      <c r="C966" s="259"/>
      <c r="D966" s="243"/>
      <c r="E966" s="243"/>
      <c r="F966" s="247"/>
      <c r="G966" s="243"/>
      <c r="H966" s="243"/>
      <c r="I966" s="243"/>
      <c r="J966" s="243"/>
      <c r="K966" s="243"/>
      <c r="L966" s="243"/>
      <c r="M966" s="243"/>
      <c r="N966" s="243"/>
      <c r="O966" s="243"/>
      <c r="P966" s="243"/>
      <c r="Q966" s="243"/>
      <c r="R966" s="243"/>
      <c r="S966" s="243"/>
      <c r="T966" s="243"/>
      <c r="U966" s="243"/>
      <c r="V966" s="243"/>
      <c r="W966" s="243"/>
      <c r="X966" s="243"/>
      <c r="Y966" s="244"/>
      <c r="Z966" s="243"/>
      <c r="AA966" s="245"/>
      <c r="AB966" s="246"/>
      <c r="AC966" s="246"/>
      <c r="AD966" s="246"/>
      <c r="AE966" s="131"/>
      <c r="AF966" s="244"/>
      <c r="AG966" s="243"/>
      <c r="AH966" s="243"/>
      <c r="AI966" s="243"/>
      <c r="AJ966" s="243"/>
      <c r="AK966" s="243"/>
      <c r="AL966" s="243"/>
      <c r="AM966" s="243"/>
      <c r="AN966" s="243"/>
      <c r="AO966" s="243"/>
      <c r="AP966" s="243"/>
      <c r="AQ966" s="243"/>
      <c r="AR966" s="243"/>
      <c r="AS966" s="243"/>
      <c r="AT966" s="243"/>
      <c r="AU966" s="243"/>
      <c r="AV966" s="243"/>
      <c r="AW966" s="243"/>
      <c r="AX966" s="243"/>
      <c r="AY966" s="243"/>
      <c r="AZ966" s="243"/>
    </row>
    <row r="967" spans="1:52">
      <c r="A967" s="216" t="str">
        <f>IF(D967="","",VLOOKUP(G967,códigosORL!$H:$J,3,FALSE))</f>
        <v/>
      </c>
      <c r="B967" s="243"/>
      <c r="C967" s="259"/>
      <c r="D967" s="243"/>
      <c r="E967" s="243"/>
      <c r="F967" s="247"/>
      <c r="G967" s="243"/>
      <c r="H967" s="243"/>
      <c r="I967" s="243"/>
      <c r="J967" s="243"/>
      <c r="K967" s="243"/>
      <c r="L967" s="243"/>
      <c r="M967" s="243"/>
      <c r="N967" s="243"/>
      <c r="O967" s="243"/>
      <c r="P967" s="243"/>
      <c r="Q967" s="243"/>
      <c r="R967" s="243"/>
      <c r="S967" s="243"/>
      <c r="T967" s="243"/>
      <c r="U967" s="243"/>
      <c r="V967" s="243"/>
      <c r="W967" s="243"/>
      <c r="X967" s="243"/>
      <c r="Y967" s="244"/>
      <c r="Z967" s="243"/>
      <c r="AA967" s="245"/>
      <c r="AB967" s="246"/>
      <c r="AC967" s="246"/>
      <c r="AD967" s="246"/>
      <c r="AE967" s="131"/>
      <c r="AF967" s="244"/>
      <c r="AG967" s="243"/>
      <c r="AH967" s="243"/>
      <c r="AI967" s="243"/>
      <c r="AJ967" s="243"/>
      <c r="AK967" s="243"/>
      <c r="AL967" s="243"/>
      <c r="AM967" s="243"/>
      <c r="AN967" s="243"/>
      <c r="AO967" s="243"/>
      <c r="AP967" s="243"/>
      <c r="AQ967" s="243"/>
      <c r="AR967" s="243"/>
      <c r="AS967" s="243"/>
      <c r="AT967" s="243"/>
      <c r="AU967" s="243"/>
      <c r="AV967" s="243"/>
      <c r="AW967" s="243"/>
      <c r="AX967" s="243"/>
      <c r="AY967" s="243"/>
      <c r="AZ967" s="243"/>
    </row>
    <row r="968" spans="1:52">
      <c r="A968" s="216" t="str">
        <f>IF(D968="","",VLOOKUP(G968,códigosORL!$H:$J,3,FALSE))</f>
        <v/>
      </c>
      <c r="B968" s="243"/>
      <c r="C968" s="259"/>
      <c r="D968" s="243"/>
      <c r="E968" s="243"/>
      <c r="F968" s="247"/>
      <c r="G968" s="243"/>
      <c r="H968" s="243"/>
      <c r="I968" s="243"/>
      <c r="J968" s="243"/>
      <c r="K968" s="243"/>
      <c r="L968" s="243"/>
      <c r="M968" s="243"/>
      <c r="N968" s="243"/>
      <c r="O968" s="243"/>
      <c r="P968" s="243"/>
      <c r="Q968" s="243"/>
      <c r="R968" s="243"/>
      <c r="S968" s="243"/>
      <c r="T968" s="243"/>
      <c r="U968" s="243"/>
      <c r="V968" s="243"/>
      <c r="W968" s="243"/>
      <c r="X968" s="243"/>
      <c r="Y968" s="244"/>
      <c r="Z968" s="243"/>
      <c r="AA968" s="245"/>
      <c r="AB968" s="246"/>
      <c r="AC968" s="246"/>
      <c r="AD968" s="246"/>
      <c r="AE968" s="131"/>
      <c r="AF968" s="244"/>
      <c r="AG968" s="243"/>
      <c r="AH968" s="243"/>
      <c r="AI968" s="243"/>
      <c r="AJ968" s="243"/>
      <c r="AK968" s="243"/>
      <c r="AL968" s="243"/>
      <c r="AM968" s="243"/>
      <c r="AN968" s="243"/>
      <c r="AO968" s="243"/>
      <c r="AP968" s="243"/>
      <c r="AQ968" s="243"/>
      <c r="AR968" s="243"/>
      <c r="AS968" s="243"/>
      <c r="AT968" s="243"/>
      <c r="AU968" s="243"/>
      <c r="AV968" s="243"/>
      <c r="AW968" s="243"/>
      <c r="AX968" s="243"/>
      <c r="AY968" s="243"/>
      <c r="AZ968" s="243"/>
    </row>
    <row r="969" spans="1:52">
      <c r="A969" s="216" t="str">
        <f>IF(D969="","",VLOOKUP(G969,códigosORL!$H:$J,3,FALSE))</f>
        <v/>
      </c>
      <c r="B969" s="243"/>
      <c r="C969" s="259"/>
      <c r="D969" s="243"/>
      <c r="E969" s="243"/>
      <c r="F969" s="247"/>
      <c r="G969" s="243"/>
      <c r="H969" s="243"/>
      <c r="I969" s="243"/>
      <c r="J969" s="243"/>
      <c r="K969" s="243"/>
      <c r="L969" s="243"/>
      <c r="M969" s="243"/>
      <c r="N969" s="243"/>
      <c r="O969" s="243"/>
      <c r="P969" s="243"/>
      <c r="Q969" s="243"/>
      <c r="R969" s="243"/>
      <c r="S969" s="243"/>
      <c r="T969" s="243"/>
      <c r="U969" s="243"/>
      <c r="V969" s="243"/>
      <c r="W969" s="243"/>
      <c r="X969" s="243"/>
      <c r="Y969" s="244"/>
      <c r="Z969" s="243"/>
      <c r="AA969" s="245"/>
      <c r="AB969" s="246"/>
      <c r="AC969" s="246"/>
      <c r="AD969" s="246"/>
      <c r="AE969" s="131"/>
      <c r="AF969" s="244"/>
      <c r="AG969" s="243"/>
      <c r="AH969" s="243"/>
      <c r="AI969" s="243"/>
      <c r="AJ969" s="243"/>
      <c r="AK969" s="243"/>
      <c r="AL969" s="243"/>
      <c r="AM969" s="243"/>
      <c r="AN969" s="243"/>
      <c r="AO969" s="243"/>
      <c r="AP969" s="243"/>
      <c r="AQ969" s="243"/>
      <c r="AR969" s="243"/>
      <c r="AS969" s="243"/>
      <c r="AT969" s="243"/>
      <c r="AU969" s="243"/>
      <c r="AV969" s="243"/>
      <c r="AW969" s="243"/>
      <c r="AX969" s="243"/>
      <c r="AY969" s="243"/>
      <c r="AZ969" s="243"/>
    </row>
    <row r="970" spans="1:52">
      <c r="A970" s="216" t="str">
        <f>IF(D970="","",VLOOKUP(G970,códigosORL!$H:$J,3,FALSE))</f>
        <v/>
      </c>
      <c r="B970" s="243"/>
      <c r="C970" s="259"/>
      <c r="D970" s="243"/>
      <c r="E970" s="243"/>
      <c r="F970" s="247"/>
      <c r="G970" s="243"/>
      <c r="H970" s="243"/>
      <c r="I970" s="243"/>
      <c r="J970" s="243"/>
      <c r="K970" s="243"/>
      <c r="L970" s="243"/>
      <c r="M970" s="243"/>
      <c r="N970" s="243"/>
      <c r="O970" s="243"/>
      <c r="P970" s="243"/>
      <c r="Q970" s="243"/>
      <c r="R970" s="243"/>
      <c r="S970" s="243"/>
      <c r="T970" s="243"/>
      <c r="U970" s="243"/>
      <c r="V970" s="243"/>
      <c r="W970" s="243"/>
      <c r="X970" s="243"/>
      <c r="Y970" s="244"/>
      <c r="Z970" s="243"/>
      <c r="AA970" s="245"/>
      <c r="AB970" s="246"/>
      <c r="AC970" s="246"/>
      <c r="AD970" s="246"/>
      <c r="AE970" s="131"/>
      <c r="AF970" s="244"/>
      <c r="AG970" s="243"/>
      <c r="AH970" s="243"/>
      <c r="AI970" s="243"/>
      <c r="AJ970" s="243"/>
      <c r="AK970" s="243"/>
      <c r="AL970" s="243"/>
      <c r="AM970" s="243"/>
      <c r="AN970" s="243"/>
      <c r="AO970" s="243"/>
      <c r="AP970" s="243"/>
      <c r="AQ970" s="243"/>
      <c r="AR970" s="243"/>
      <c r="AS970" s="243"/>
      <c r="AT970" s="243"/>
      <c r="AU970" s="243"/>
      <c r="AV970" s="243"/>
      <c r="AW970" s="243"/>
      <c r="AX970" s="243"/>
      <c r="AY970" s="243"/>
      <c r="AZ970" s="243"/>
    </row>
    <row r="971" spans="1:52">
      <c r="A971" s="216" t="str">
        <f>IF(D971="","",VLOOKUP(G971,códigosORL!$H:$J,3,FALSE))</f>
        <v/>
      </c>
      <c r="B971" s="243"/>
      <c r="C971" s="259"/>
      <c r="D971" s="243"/>
      <c r="E971" s="243"/>
      <c r="F971" s="247"/>
      <c r="G971" s="243"/>
      <c r="H971" s="243"/>
      <c r="I971" s="243"/>
      <c r="J971" s="243"/>
      <c r="K971" s="243"/>
      <c r="L971" s="243"/>
      <c r="M971" s="243"/>
      <c r="N971" s="243"/>
      <c r="O971" s="243"/>
      <c r="P971" s="243"/>
      <c r="Q971" s="243"/>
      <c r="R971" s="243"/>
      <c r="S971" s="243"/>
      <c r="T971" s="243"/>
      <c r="U971" s="243"/>
      <c r="V971" s="243"/>
      <c r="W971" s="243"/>
      <c r="X971" s="243"/>
      <c r="Y971" s="244"/>
      <c r="Z971" s="243"/>
      <c r="AA971" s="245"/>
      <c r="AB971" s="246"/>
      <c r="AC971" s="246"/>
      <c r="AD971" s="246"/>
      <c r="AE971" s="131"/>
      <c r="AF971" s="244"/>
      <c r="AG971" s="243"/>
      <c r="AH971" s="243"/>
      <c r="AI971" s="243"/>
      <c r="AJ971" s="243"/>
      <c r="AK971" s="243"/>
      <c r="AL971" s="243"/>
      <c r="AM971" s="243"/>
      <c r="AN971" s="243"/>
      <c r="AO971" s="243"/>
      <c r="AP971" s="243"/>
      <c r="AQ971" s="243"/>
      <c r="AR971" s="243"/>
      <c r="AS971" s="243"/>
      <c r="AT971" s="243"/>
      <c r="AU971" s="243"/>
      <c r="AV971" s="243"/>
      <c r="AW971" s="243"/>
      <c r="AX971" s="243"/>
      <c r="AY971" s="243"/>
      <c r="AZ971" s="243"/>
    </row>
    <row r="972" spans="1:52">
      <c r="A972" s="216" t="str">
        <f>IF(D972="","",VLOOKUP(G972,códigosORL!$H:$J,3,FALSE))</f>
        <v/>
      </c>
      <c r="B972" s="243"/>
      <c r="C972" s="259"/>
      <c r="D972" s="243"/>
      <c r="E972" s="243"/>
      <c r="F972" s="247"/>
      <c r="G972" s="243"/>
      <c r="H972" s="243"/>
      <c r="I972" s="243"/>
      <c r="J972" s="243"/>
      <c r="K972" s="243"/>
      <c r="L972" s="243"/>
      <c r="M972" s="243"/>
      <c r="N972" s="243"/>
      <c r="O972" s="243"/>
      <c r="P972" s="243"/>
      <c r="Q972" s="243"/>
      <c r="R972" s="243"/>
      <c r="S972" s="243"/>
      <c r="T972" s="243"/>
      <c r="U972" s="243"/>
      <c r="V972" s="243"/>
      <c r="W972" s="243"/>
      <c r="X972" s="243"/>
      <c r="Y972" s="244"/>
      <c r="Z972" s="243"/>
      <c r="AA972" s="245"/>
      <c r="AB972" s="246"/>
      <c r="AC972" s="246"/>
      <c r="AD972" s="246"/>
      <c r="AE972" s="131"/>
      <c r="AF972" s="244"/>
      <c r="AG972" s="243"/>
      <c r="AH972" s="243"/>
      <c r="AI972" s="243"/>
      <c r="AJ972" s="243"/>
      <c r="AK972" s="243"/>
      <c r="AL972" s="243"/>
      <c r="AM972" s="243"/>
      <c r="AN972" s="243"/>
      <c r="AO972" s="243"/>
      <c r="AP972" s="243"/>
      <c r="AQ972" s="243"/>
      <c r="AR972" s="243"/>
      <c r="AS972" s="243"/>
      <c r="AT972" s="243"/>
      <c r="AU972" s="243"/>
      <c r="AV972" s="243"/>
      <c r="AW972" s="243"/>
      <c r="AX972" s="243"/>
      <c r="AY972" s="243"/>
      <c r="AZ972" s="243"/>
    </row>
    <row r="973" spans="1:52">
      <c r="A973" s="216" t="str">
        <f>IF(D973="","",VLOOKUP(G973,códigosORL!$H:$J,3,FALSE))</f>
        <v/>
      </c>
      <c r="B973" s="243"/>
      <c r="C973" s="259"/>
      <c r="D973" s="243"/>
      <c r="E973" s="243"/>
      <c r="F973" s="247"/>
      <c r="G973" s="243"/>
      <c r="H973" s="243"/>
      <c r="I973" s="243"/>
      <c r="J973" s="243"/>
      <c r="K973" s="243"/>
      <c r="L973" s="243"/>
      <c r="M973" s="243"/>
      <c r="N973" s="243"/>
      <c r="O973" s="243"/>
      <c r="P973" s="243"/>
      <c r="Q973" s="243"/>
      <c r="R973" s="243"/>
      <c r="S973" s="243"/>
      <c r="T973" s="243"/>
      <c r="U973" s="243"/>
      <c r="V973" s="243"/>
      <c r="W973" s="243"/>
      <c r="X973" s="243"/>
      <c r="Y973" s="244"/>
      <c r="Z973" s="243"/>
      <c r="AA973" s="245"/>
      <c r="AB973" s="246"/>
      <c r="AC973" s="246"/>
      <c r="AD973" s="246"/>
      <c r="AE973" s="131"/>
      <c r="AF973" s="244"/>
      <c r="AG973" s="243"/>
      <c r="AH973" s="243"/>
      <c r="AI973" s="243"/>
      <c r="AJ973" s="243"/>
      <c r="AK973" s="243"/>
      <c r="AL973" s="243"/>
      <c r="AM973" s="243"/>
      <c r="AN973" s="243"/>
      <c r="AO973" s="243"/>
      <c r="AP973" s="243"/>
      <c r="AQ973" s="243"/>
      <c r="AR973" s="243"/>
      <c r="AS973" s="243"/>
      <c r="AT973" s="243"/>
      <c r="AU973" s="243"/>
      <c r="AV973" s="243"/>
      <c r="AW973" s="243"/>
      <c r="AX973" s="243"/>
      <c r="AY973" s="243"/>
      <c r="AZ973" s="243"/>
    </row>
    <row r="974" spans="1:52">
      <c r="A974" s="216" t="str">
        <f>IF(D974="","",VLOOKUP(G974,códigosORL!$H:$J,3,FALSE))</f>
        <v/>
      </c>
      <c r="B974" s="243"/>
      <c r="C974" s="259"/>
      <c r="D974" s="243"/>
      <c r="E974" s="243"/>
      <c r="F974" s="247"/>
      <c r="G974" s="243"/>
      <c r="H974" s="243"/>
      <c r="I974" s="243"/>
      <c r="J974" s="243"/>
      <c r="K974" s="243"/>
      <c r="L974" s="243"/>
      <c r="M974" s="243"/>
      <c r="N974" s="243"/>
      <c r="O974" s="243"/>
      <c r="P974" s="243"/>
      <c r="Q974" s="243"/>
      <c r="R974" s="243"/>
      <c r="S974" s="243"/>
      <c r="T974" s="243"/>
      <c r="U974" s="243"/>
      <c r="V974" s="243"/>
      <c r="W974" s="243"/>
      <c r="X974" s="243"/>
      <c r="Y974" s="244"/>
      <c r="Z974" s="243"/>
      <c r="AA974" s="245"/>
      <c r="AB974" s="246"/>
      <c r="AC974" s="246"/>
      <c r="AD974" s="246"/>
      <c r="AE974" s="131"/>
      <c r="AF974" s="244"/>
      <c r="AG974" s="243"/>
      <c r="AH974" s="243"/>
      <c r="AI974" s="243"/>
      <c r="AJ974" s="243"/>
      <c r="AK974" s="243"/>
      <c r="AL974" s="243"/>
      <c r="AM974" s="243"/>
      <c r="AN974" s="243"/>
      <c r="AO974" s="243"/>
      <c r="AP974" s="243"/>
      <c r="AQ974" s="243"/>
      <c r="AR974" s="243"/>
      <c r="AS974" s="243"/>
      <c r="AT974" s="243"/>
      <c r="AU974" s="243"/>
      <c r="AV974" s="243"/>
      <c r="AW974" s="243"/>
      <c r="AX974" s="243"/>
      <c r="AY974" s="243"/>
      <c r="AZ974" s="243"/>
    </row>
    <row r="975" spans="1:52">
      <c r="A975" s="216" t="str">
        <f>IF(D975="","",VLOOKUP(G975,códigosORL!$H:$J,3,FALSE))</f>
        <v/>
      </c>
      <c r="B975" s="243"/>
      <c r="C975" s="259"/>
      <c r="D975" s="243"/>
      <c r="E975" s="243"/>
      <c r="F975" s="247"/>
      <c r="G975" s="243"/>
      <c r="H975" s="243"/>
      <c r="I975" s="243"/>
      <c r="J975" s="243"/>
      <c r="K975" s="243"/>
      <c r="L975" s="243"/>
      <c r="M975" s="243"/>
      <c r="N975" s="243"/>
      <c r="O975" s="243"/>
      <c r="P975" s="243"/>
      <c r="Q975" s="243"/>
      <c r="R975" s="243"/>
      <c r="S975" s="243"/>
      <c r="T975" s="243"/>
      <c r="U975" s="243"/>
      <c r="V975" s="243"/>
      <c r="W975" s="243"/>
      <c r="X975" s="243"/>
      <c r="Y975" s="244"/>
      <c r="Z975" s="243"/>
      <c r="AA975" s="245"/>
      <c r="AB975" s="246"/>
      <c r="AC975" s="246"/>
      <c r="AD975" s="246"/>
      <c r="AE975" s="131"/>
      <c r="AF975" s="244"/>
      <c r="AG975" s="243"/>
      <c r="AH975" s="243"/>
      <c r="AI975" s="243"/>
      <c r="AJ975" s="243"/>
      <c r="AK975" s="243"/>
      <c r="AL975" s="243"/>
      <c r="AM975" s="243"/>
      <c r="AN975" s="243"/>
      <c r="AO975" s="243"/>
      <c r="AP975" s="243"/>
      <c r="AQ975" s="243"/>
      <c r="AR975" s="243"/>
      <c r="AS975" s="243"/>
      <c r="AT975" s="243"/>
      <c r="AU975" s="243"/>
      <c r="AV975" s="243"/>
      <c r="AW975" s="243"/>
      <c r="AX975" s="243"/>
      <c r="AY975" s="243"/>
      <c r="AZ975" s="243"/>
    </row>
    <row r="976" spans="1:52">
      <c r="A976" s="216" t="str">
        <f>IF(D976="","",VLOOKUP(G976,códigosORL!$H:$J,3,FALSE))</f>
        <v/>
      </c>
      <c r="B976" s="243"/>
      <c r="C976" s="259"/>
      <c r="D976" s="243"/>
      <c r="E976" s="243"/>
      <c r="F976" s="247"/>
      <c r="G976" s="243"/>
      <c r="H976" s="243"/>
      <c r="I976" s="243"/>
      <c r="J976" s="243"/>
      <c r="K976" s="243"/>
      <c r="L976" s="243"/>
      <c r="M976" s="243"/>
      <c r="N976" s="243"/>
      <c r="O976" s="243"/>
      <c r="P976" s="243"/>
      <c r="Q976" s="243"/>
      <c r="R976" s="243"/>
      <c r="S976" s="243"/>
      <c r="T976" s="243"/>
      <c r="U976" s="243"/>
      <c r="V976" s="243"/>
      <c r="W976" s="243"/>
      <c r="X976" s="243"/>
      <c r="Y976" s="244"/>
      <c r="Z976" s="243"/>
      <c r="AA976" s="245"/>
      <c r="AB976" s="246"/>
      <c r="AC976" s="246"/>
      <c r="AD976" s="246"/>
      <c r="AE976" s="131"/>
      <c r="AF976" s="244"/>
      <c r="AG976" s="243"/>
      <c r="AH976" s="243"/>
      <c r="AI976" s="243"/>
      <c r="AJ976" s="243"/>
      <c r="AK976" s="243"/>
      <c r="AL976" s="243"/>
      <c r="AM976" s="243"/>
      <c r="AN976" s="243"/>
      <c r="AO976" s="243"/>
      <c r="AP976" s="243"/>
      <c r="AQ976" s="243"/>
      <c r="AR976" s="243"/>
      <c r="AS976" s="243"/>
      <c r="AT976" s="243"/>
      <c r="AU976" s="243"/>
      <c r="AV976" s="243"/>
      <c r="AW976" s="243"/>
      <c r="AX976" s="243"/>
      <c r="AY976" s="243"/>
      <c r="AZ976" s="243"/>
    </row>
    <row r="977" spans="1:52">
      <c r="A977" s="216" t="str">
        <f>IF(D977="","",VLOOKUP(G977,códigosORL!$H:$J,3,FALSE))</f>
        <v/>
      </c>
      <c r="B977" s="243"/>
      <c r="C977" s="259"/>
      <c r="D977" s="243"/>
      <c r="E977" s="243"/>
      <c r="F977" s="247"/>
      <c r="G977" s="243"/>
      <c r="H977" s="243"/>
      <c r="I977" s="243"/>
      <c r="J977" s="243"/>
      <c r="K977" s="243"/>
      <c r="L977" s="243"/>
      <c r="M977" s="243"/>
      <c r="N977" s="243"/>
      <c r="O977" s="243"/>
      <c r="P977" s="243"/>
      <c r="Q977" s="243"/>
      <c r="R977" s="243"/>
      <c r="S977" s="243"/>
      <c r="T977" s="243"/>
      <c r="U977" s="243"/>
      <c r="V977" s="243"/>
      <c r="W977" s="243"/>
      <c r="X977" s="243"/>
      <c r="Y977" s="244"/>
      <c r="Z977" s="243"/>
      <c r="AA977" s="245"/>
      <c r="AB977" s="246"/>
      <c r="AC977" s="246"/>
      <c r="AD977" s="246"/>
      <c r="AE977" s="131"/>
      <c r="AF977" s="244"/>
      <c r="AG977" s="243"/>
      <c r="AH977" s="243"/>
      <c r="AI977" s="243"/>
      <c r="AJ977" s="243"/>
      <c r="AK977" s="243"/>
      <c r="AL977" s="243"/>
      <c r="AM977" s="243"/>
      <c r="AN977" s="243"/>
      <c r="AO977" s="243"/>
      <c r="AP977" s="243"/>
      <c r="AQ977" s="243"/>
      <c r="AR977" s="243"/>
      <c r="AS977" s="243"/>
      <c r="AT977" s="243"/>
      <c r="AU977" s="243"/>
      <c r="AV977" s="243"/>
      <c r="AW977" s="243"/>
      <c r="AX977" s="243"/>
      <c r="AY977" s="243"/>
      <c r="AZ977" s="243"/>
    </row>
    <row r="978" spans="1:52">
      <c r="A978" s="216" t="str">
        <f>IF(D978="","",VLOOKUP(G978,códigosORL!$H:$J,3,FALSE))</f>
        <v/>
      </c>
      <c r="B978" s="243"/>
      <c r="C978" s="259"/>
      <c r="D978" s="243"/>
      <c r="E978" s="243"/>
      <c r="F978" s="247"/>
      <c r="G978" s="243"/>
      <c r="H978" s="243"/>
      <c r="I978" s="243"/>
      <c r="J978" s="243"/>
      <c r="K978" s="243"/>
      <c r="L978" s="243"/>
      <c r="M978" s="243"/>
      <c r="N978" s="243"/>
      <c r="O978" s="243"/>
      <c r="P978" s="243"/>
      <c r="Q978" s="243"/>
      <c r="R978" s="243"/>
      <c r="S978" s="243"/>
      <c r="T978" s="243"/>
      <c r="U978" s="243"/>
      <c r="V978" s="243"/>
      <c r="W978" s="243"/>
      <c r="X978" s="243"/>
      <c r="Y978" s="244"/>
      <c r="Z978" s="243"/>
      <c r="AA978" s="245"/>
      <c r="AB978" s="246"/>
      <c r="AC978" s="246"/>
      <c r="AD978" s="246"/>
      <c r="AE978" s="131"/>
      <c r="AF978" s="244"/>
      <c r="AG978" s="243"/>
      <c r="AH978" s="243"/>
      <c r="AI978" s="243"/>
      <c r="AJ978" s="243"/>
      <c r="AK978" s="243"/>
      <c r="AL978" s="243"/>
      <c r="AM978" s="243"/>
      <c r="AN978" s="243"/>
      <c r="AO978" s="243"/>
      <c r="AP978" s="243"/>
      <c r="AQ978" s="243"/>
      <c r="AR978" s="243"/>
      <c r="AS978" s="243"/>
      <c r="AT978" s="243"/>
      <c r="AU978" s="243"/>
      <c r="AV978" s="243"/>
      <c r="AW978" s="243"/>
      <c r="AX978" s="243"/>
      <c r="AY978" s="243"/>
      <c r="AZ978" s="243"/>
    </row>
    <row r="979" spans="1:52">
      <c r="A979" s="216" t="str">
        <f>IF(D979="","",VLOOKUP(G979,códigosORL!$H:$J,3,FALSE))</f>
        <v/>
      </c>
      <c r="B979" s="243"/>
      <c r="C979" s="259"/>
      <c r="D979" s="243"/>
      <c r="E979" s="243"/>
      <c r="F979" s="247"/>
      <c r="G979" s="243"/>
      <c r="H979" s="243"/>
      <c r="I979" s="243"/>
      <c r="J979" s="243"/>
      <c r="K979" s="243"/>
      <c r="L979" s="243"/>
      <c r="M979" s="243"/>
      <c r="N979" s="243"/>
      <c r="O979" s="243"/>
      <c r="P979" s="243"/>
      <c r="Q979" s="243"/>
      <c r="R979" s="243"/>
      <c r="S979" s="243"/>
      <c r="T979" s="243"/>
      <c r="U979" s="243"/>
      <c r="V979" s="243"/>
      <c r="W979" s="243"/>
      <c r="X979" s="243"/>
      <c r="Y979" s="244"/>
      <c r="Z979" s="243"/>
      <c r="AA979" s="245"/>
      <c r="AB979" s="246"/>
      <c r="AC979" s="246"/>
      <c r="AD979" s="246"/>
      <c r="AE979" s="131"/>
      <c r="AF979" s="244"/>
      <c r="AG979" s="243"/>
      <c r="AH979" s="243"/>
      <c r="AI979" s="243"/>
      <c r="AJ979" s="243"/>
      <c r="AK979" s="243"/>
      <c r="AL979" s="243"/>
      <c r="AM979" s="243"/>
      <c r="AN979" s="243"/>
      <c r="AO979" s="243"/>
      <c r="AP979" s="243"/>
      <c r="AQ979" s="243"/>
      <c r="AR979" s="243"/>
      <c r="AS979" s="243"/>
      <c r="AT979" s="243"/>
      <c r="AU979" s="243"/>
      <c r="AV979" s="243"/>
      <c r="AW979" s="243"/>
      <c r="AX979" s="243"/>
      <c r="AY979" s="243"/>
      <c r="AZ979" s="243"/>
    </row>
    <row r="980" spans="1:52">
      <c r="A980" s="216" t="str">
        <f>IF(D980="","",VLOOKUP(G980,códigosORL!$H:$J,3,FALSE))</f>
        <v/>
      </c>
      <c r="B980" s="243"/>
      <c r="C980" s="259"/>
      <c r="D980" s="243"/>
      <c r="E980" s="243"/>
      <c r="F980" s="247"/>
      <c r="G980" s="243"/>
      <c r="H980" s="243"/>
      <c r="I980" s="243"/>
      <c r="J980" s="243"/>
      <c r="K980" s="243"/>
      <c r="L980" s="243"/>
      <c r="M980" s="243"/>
      <c r="N980" s="243"/>
      <c r="O980" s="243"/>
      <c r="P980" s="243"/>
      <c r="Q980" s="243"/>
      <c r="R980" s="243"/>
      <c r="S980" s="243"/>
      <c r="T980" s="243"/>
      <c r="U980" s="243"/>
      <c r="V980" s="243"/>
      <c r="W980" s="243"/>
      <c r="X980" s="243"/>
      <c r="Y980" s="244"/>
      <c r="Z980" s="243"/>
      <c r="AA980" s="245"/>
      <c r="AB980" s="246"/>
      <c r="AC980" s="246"/>
      <c r="AD980" s="246"/>
      <c r="AE980" s="131"/>
      <c r="AF980" s="244"/>
      <c r="AG980" s="243"/>
      <c r="AH980" s="243"/>
      <c r="AI980" s="243"/>
      <c r="AJ980" s="243"/>
      <c r="AK980" s="243"/>
      <c r="AL980" s="243"/>
      <c r="AM980" s="243"/>
      <c r="AN980" s="243"/>
      <c r="AO980" s="243"/>
      <c r="AP980" s="243"/>
      <c r="AQ980" s="243"/>
      <c r="AR980" s="243"/>
      <c r="AS980" s="243"/>
      <c r="AT980" s="243"/>
      <c r="AU980" s="243"/>
      <c r="AV980" s="243"/>
      <c r="AW980" s="243"/>
      <c r="AX980" s="243"/>
      <c r="AY980" s="243"/>
      <c r="AZ980" s="243"/>
    </row>
    <row r="981" spans="1:52">
      <c r="A981" s="216" t="str">
        <f>IF(D981="","",VLOOKUP(G981,códigosORL!$H:$J,3,FALSE))</f>
        <v/>
      </c>
      <c r="B981" s="243"/>
      <c r="C981" s="259"/>
      <c r="D981" s="243"/>
      <c r="E981" s="243"/>
      <c r="F981" s="247"/>
      <c r="G981" s="243"/>
      <c r="H981" s="243"/>
      <c r="I981" s="243"/>
      <c r="J981" s="243"/>
      <c r="K981" s="243"/>
      <c r="L981" s="243"/>
      <c r="M981" s="243"/>
      <c r="N981" s="243"/>
      <c r="O981" s="243"/>
      <c r="P981" s="243"/>
      <c r="Q981" s="243"/>
      <c r="R981" s="243"/>
      <c r="S981" s="243"/>
      <c r="T981" s="243"/>
      <c r="U981" s="243"/>
      <c r="V981" s="243"/>
      <c r="W981" s="243"/>
      <c r="X981" s="243"/>
      <c r="Y981" s="244"/>
      <c r="Z981" s="243"/>
      <c r="AA981" s="245"/>
      <c r="AB981" s="246"/>
      <c r="AC981" s="246"/>
      <c r="AD981" s="246"/>
      <c r="AE981" s="131"/>
      <c r="AF981" s="244"/>
      <c r="AG981" s="243"/>
      <c r="AH981" s="243"/>
      <c r="AI981" s="243"/>
      <c r="AJ981" s="243"/>
      <c r="AK981" s="243"/>
      <c r="AL981" s="243"/>
      <c r="AM981" s="243"/>
      <c r="AN981" s="243"/>
      <c r="AO981" s="243"/>
      <c r="AP981" s="243"/>
      <c r="AQ981" s="243"/>
      <c r="AR981" s="243"/>
      <c r="AS981" s="243"/>
      <c r="AT981" s="243"/>
      <c r="AU981" s="243"/>
      <c r="AV981" s="243"/>
      <c r="AW981" s="243"/>
      <c r="AX981" s="243"/>
      <c r="AY981" s="243"/>
      <c r="AZ981" s="243"/>
    </row>
    <row r="982" spans="1:52">
      <c r="A982" s="216" t="str">
        <f>IF(D982="","",VLOOKUP(G982,códigosORL!$H:$J,3,FALSE))</f>
        <v/>
      </c>
      <c r="B982" s="243"/>
      <c r="C982" s="259"/>
      <c r="D982" s="243"/>
      <c r="E982" s="243"/>
      <c r="F982" s="247"/>
      <c r="G982" s="243"/>
      <c r="H982" s="243"/>
      <c r="I982" s="243"/>
      <c r="J982" s="243"/>
      <c r="K982" s="243"/>
      <c r="L982" s="243"/>
      <c r="M982" s="243"/>
      <c r="N982" s="243"/>
      <c r="O982" s="243"/>
      <c r="P982" s="243"/>
      <c r="Q982" s="243"/>
      <c r="R982" s="243"/>
      <c r="S982" s="243"/>
      <c r="T982" s="243"/>
      <c r="U982" s="243"/>
      <c r="V982" s="243"/>
      <c r="W982" s="243"/>
      <c r="X982" s="243"/>
      <c r="Y982" s="244"/>
      <c r="Z982" s="243"/>
      <c r="AA982" s="245"/>
      <c r="AB982" s="246"/>
      <c r="AC982" s="246"/>
      <c r="AD982" s="246"/>
      <c r="AE982" s="131"/>
      <c r="AF982" s="244"/>
      <c r="AG982" s="243"/>
      <c r="AH982" s="243"/>
      <c r="AI982" s="243"/>
      <c r="AJ982" s="243"/>
      <c r="AK982" s="243"/>
      <c r="AL982" s="243"/>
      <c r="AM982" s="243"/>
      <c r="AN982" s="243"/>
      <c r="AO982" s="243"/>
      <c r="AP982" s="243"/>
      <c r="AQ982" s="243"/>
      <c r="AR982" s="243"/>
      <c r="AS982" s="243"/>
      <c r="AT982" s="243"/>
      <c r="AU982" s="243"/>
      <c r="AV982" s="243"/>
      <c r="AW982" s="243"/>
      <c r="AX982" s="243"/>
      <c r="AY982" s="243"/>
      <c r="AZ982" s="243"/>
    </row>
  </sheetData>
  <hyperlinks>
    <hyperlink ref="K2" r:id="rId1" xr:uid="{00000000-0004-0000-0C00-000000000000}"/>
    <hyperlink ref="V2" r:id="rId2" xr:uid="{00000000-0004-0000-0C00-000001000000}"/>
    <hyperlink ref="K3" r:id="rId3" xr:uid="{00000000-0004-0000-0C00-000002000000}"/>
    <hyperlink ref="V3" r:id="rId4" xr:uid="{00000000-0004-0000-0C00-000003000000}"/>
    <hyperlink ref="K4" r:id="rId5" xr:uid="{00000000-0004-0000-0C00-000004000000}"/>
    <hyperlink ref="V4" r:id="rId6" xr:uid="{00000000-0004-0000-0C00-000005000000}"/>
    <hyperlink ref="K5" r:id="rId7" xr:uid="{00000000-0004-0000-0C00-000006000000}"/>
    <hyperlink ref="V5" r:id="rId8" xr:uid="{00000000-0004-0000-0C00-000007000000}"/>
    <hyperlink ref="K6" r:id="rId9" xr:uid="{00000000-0004-0000-0C00-000008000000}"/>
    <hyperlink ref="V6" r:id="rId10" xr:uid="{00000000-0004-0000-0C00-000009000000}"/>
    <hyperlink ref="K7" r:id="rId11" xr:uid="{00000000-0004-0000-0C00-00000A000000}"/>
    <hyperlink ref="V7" r:id="rId12" xr:uid="{00000000-0004-0000-0C00-00000B000000}"/>
    <hyperlink ref="K8" r:id="rId13" xr:uid="{00000000-0004-0000-0C00-00000C000000}"/>
    <hyperlink ref="V8" r:id="rId14" xr:uid="{00000000-0004-0000-0C00-00000D000000}"/>
    <hyperlink ref="K9" r:id="rId15" xr:uid="{00000000-0004-0000-0C00-00000E000000}"/>
    <hyperlink ref="V9" r:id="rId16" xr:uid="{00000000-0004-0000-0C00-00000F000000}"/>
    <hyperlink ref="K10" r:id="rId17" xr:uid="{00000000-0004-0000-0C00-000010000000}"/>
    <hyperlink ref="V10" r:id="rId18" xr:uid="{00000000-0004-0000-0C00-000011000000}"/>
    <hyperlink ref="K11" r:id="rId19" xr:uid="{00000000-0004-0000-0C00-000012000000}"/>
    <hyperlink ref="V11" r:id="rId20" xr:uid="{00000000-0004-0000-0C00-000013000000}"/>
    <hyperlink ref="K12" r:id="rId21" xr:uid="{00000000-0004-0000-0C00-000014000000}"/>
    <hyperlink ref="V12" r:id="rId22" xr:uid="{00000000-0004-0000-0C00-000015000000}"/>
    <hyperlink ref="K13" r:id="rId23" xr:uid="{00000000-0004-0000-0C00-000016000000}"/>
    <hyperlink ref="V13" r:id="rId24" xr:uid="{00000000-0004-0000-0C00-000017000000}"/>
    <hyperlink ref="K14" r:id="rId25" xr:uid="{00000000-0004-0000-0C00-000018000000}"/>
    <hyperlink ref="V14" r:id="rId26" xr:uid="{00000000-0004-0000-0C00-000019000000}"/>
    <hyperlink ref="K15" r:id="rId27" xr:uid="{00000000-0004-0000-0C00-00001A000000}"/>
    <hyperlink ref="V15" r:id="rId28" xr:uid="{00000000-0004-0000-0C00-00001B000000}"/>
    <hyperlink ref="K16" r:id="rId29" xr:uid="{00000000-0004-0000-0C00-00001C000000}"/>
    <hyperlink ref="V16" r:id="rId30" xr:uid="{00000000-0004-0000-0C00-00001D000000}"/>
    <hyperlink ref="K17" r:id="rId31" xr:uid="{00000000-0004-0000-0C00-00001E000000}"/>
    <hyperlink ref="V17" r:id="rId32" xr:uid="{00000000-0004-0000-0C00-00001F000000}"/>
    <hyperlink ref="K18" r:id="rId33" xr:uid="{00000000-0004-0000-0C00-000020000000}"/>
    <hyperlink ref="V18" r:id="rId34" xr:uid="{00000000-0004-0000-0C00-000021000000}"/>
    <hyperlink ref="K19" r:id="rId35" xr:uid="{00000000-0004-0000-0C00-000022000000}"/>
    <hyperlink ref="V19" r:id="rId36" xr:uid="{00000000-0004-0000-0C00-000023000000}"/>
    <hyperlink ref="K20" r:id="rId37" xr:uid="{00000000-0004-0000-0C00-000024000000}"/>
    <hyperlink ref="V20" r:id="rId38" xr:uid="{00000000-0004-0000-0C00-000025000000}"/>
    <hyperlink ref="K21" r:id="rId39" xr:uid="{00000000-0004-0000-0C00-000026000000}"/>
    <hyperlink ref="V21" r:id="rId40" xr:uid="{00000000-0004-0000-0C00-000027000000}"/>
    <hyperlink ref="K22" r:id="rId41" xr:uid="{00000000-0004-0000-0C00-000028000000}"/>
    <hyperlink ref="V22" r:id="rId42" xr:uid="{00000000-0004-0000-0C00-000029000000}"/>
    <hyperlink ref="K23" r:id="rId43" xr:uid="{00000000-0004-0000-0C00-00002A000000}"/>
    <hyperlink ref="V23" r:id="rId44" xr:uid="{00000000-0004-0000-0C00-00002B000000}"/>
    <hyperlink ref="K24" r:id="rId45" xr:uid="{00000000-0004-0000-0C00-00002C000000}"/>
    <hyperlink ref="V24" r:id="rId46" xr:uid="{00000000-0004-0000-0C00-00002D000000}"/>
    <hyperlink ref="K25" r:id="rId47" xr:uid="{00000000-0004-0000-0C00-00002E000000}"/>
    <hyperlink ref="V25" r:id="rId48" xr:uid="{00000000-0004-0000-0C00-00002F000000}"/>
    <hyperlink ref="K26" r:id="rId49" xr:uid="{00000000-0004-0000-0C00-000030000000}"/>
    <hyperlink ref="V26" r:id="rId50" xr:uid="{00000000-0004-0000-0C00-000031000000}"/>
    <hyperlink ref="K27" r:id="rId51" xr:uid="{00000000-0004-0000-0C00-000032000000}"/>
    <hyperlink ref="V27" r:id="rId52" xr:uid="{00000000-0004-0000-0C00-000033000000}"/>
    <hyperlink ref="K28" r:id="rId53" xr:uid="{00000000-0004-0000-0C00-000034000000}"/>
    <hyperlink ref="V28" r:id="rId54" xr:uid="{00000000-0004-0000-0C00-000035000000}"/>
    <hyperlink ref="K29" r:id="rId55" xr:uid="{00000000-0004-0000-0C00-000036000000}"/>
    <hyperlink ref="V29" r:id="rId56" xr:uid="{00000000-0004-0000-0C00-000037000000}"/>
    <hyperlink ref="AH29" r:id="rId57" xr:uid="{00000000-0004-0000-0C00-000038000000}"/>
    <hyperlink ref="K30" r:id="rId58" xr:uid="{00000000-0004-0000-0C00-000039000000}"/>
    <hyperlink ref="V30" r:id="rId59" xr:uid="{00000000-0004-0000-0C00-00003A000000}"/>
    <hyperlink ref="AH30" r:id="rId60" xr:uid="{00000000-0004-0000-0C00-00003B000000}"/>
    <hyperlink ref="K31" r:id="rId61" xr:uid="{00000000-0004-0000-0C00-00003C000000}"/>
    <hyperlink ref="V31" r:id="rId62" xr:uid="{00000000-0004-0000-0C00-00003D000000}"/>
    <hyperlink ref="AH31" r:id="rId63" xr:uid="{00000000-0004-0000-0C00-00003E000000}"/>
    <hyperlink ref="K32" r:id="rId64" xr:uid="{00000000-0004-0000-0C00-00003F000000}"/>
    <hyperlink ref="V32" r:id="rId65" xr:uid="{00000000-0004-0000-0C00-000040000000}"/>
    <hyperlink ref="AH32" r:id="rId66" xr:uid="{00000000-0004-0000-0C00-000041000000}"/>
    <hyperlink ref="K33" r:id="rId67" xr:uid="{00000000-0004-0000-0C00-000042000000}"/>
    <hyperlink ref="V33" r:id="rId68" xr:uid="{00000000-0004-0000-0C00-000043000000}"/>
    <hyperlink ref="AH33" r:id="rId69" xr:uid="{00000000-0004-0000-0C00-000044000000}"/>
    <hyperlink ref="K34" r:id="rId70" xr:uid="{00000000-0004-0000-0C00-000045000000}"/>
    <hyperlink ref="V34" r:id="rId71" xr:uid="{00000000-0004-0000-0C00-000046000000}"/>
    <hyperlink ref="K35" r:id="rId72" xr:uid="{00000000-0004-0000-0C00-000047000000}"/>
    <hyperlink ref="V35" r:id="rId73" xr:uid="{00000000-0004-0000-0C00-000048000000}"/>
    <hyperlink ref="AH35" r:id="rId74" xr:uid="{00000000-0004-0000-0C00-000049000000}"/>
    <hyperlink ref="K36" r:id="rId75" xr:uid="{00000000-0004-0000-0C00-00004A000000}"/>
    <hyperlink ref="V36" r:id="rId76" xr:uid="{00000000-0004-0000-0C00-00004B000000}"/>
    <hyperlink ref="AH36" r:id="rId77" xr:uid="{00000000-0004-0000-0C00-00004C000000}"/>
    <hyperlink ref="K37" r:id="rId78" xr:uid="{00000000-0004-0000-0C00-00004D000000}"/>
    <hyperlink ref="V37" r:id="rId79" xr:uid="{00000000-0004-0000-0C00-00004E000000}"/>
    <hyperlink ref="AH37" r:id="rId80" xr:uid="{00000000-0004-0000-0C00-00004F000000}"/>
    <hyperlink ref="K38" r:id="rId81" xr:uid="{00000000-0004-0000-0C00-000050000000}"/>
    <hyperlink ref="V38" r:id="rId82" xr:uid="{00000000-0004-0000-0C00-000051000000}"/>
    <hyperlink ref="AH38" r:id="rId83" xr:uid="{00000000-0004-0000-0C00-000052000000}"/>
    <hyperlink ref="K39" r:id="rId84" xr:uid="{00000000-0004-0000-0C00-000053000000}"/>
    <hyperlink ref="V39" r:id="rId85" xr:uid="{00000000-0004-0000-0C00-000054000000}"/>
    <hyperlink ref="AH39" r:id="rId86" xr:uid="{00000000-0004-0000-0C00-000055000000}"/>
    <hyperlink ref="K40" r:id="rId87" xr:uid="{00000000-0004-0000-0C00-000056000000}"/>
    <hyperlink ref="V40" r:id="rId88" xr:uid="{00000000-0004-0000-0C00-000057000000}"/>
    <hyperlink ref="AH40" r:id="rId89" xr:uid="{00000000-0004-0000-0C00-000058000000}"/>
    <hyperlink ref="K41" r:id="rId90" xr:uid="{00000000-0004-0000-0C00-000059000000}"/>
    <hyperlink ref="V41" r:id="rId91" xr:uid="{00000000-0004-0000-0C00-00005A000000}"/>
    <hyperlink ref="AH41" r:id="rId92" xr:uid="{00000000-0004-0000-0C00-00005B000000}"/>
    <hyperlink ref="K42" r:id="rId93" xr:uid="{00000000-0004-0000-0C00-00005C000000}"/>
    <hyperlink ref="V42" r:id="rId94" xr:uid="{00000000-0004-0000-0C00-00005D000000}"/>
    <hyperlink ref="AH42" r:id="rId95" xr:uid="{00000000-0004-0000-0C00-00005E000000}"/>
    <hyperlink ref="K43" r:id="rId96" xr:uid="{00000000-0004-0000-0C00-00005F000000}"/>
    <hyperlink ref="V43" r:id="rId97" xr:uid="{00000000-0004-0000-0C00-000060000000}"/>
    <hyperlink ref="AH43" r:id="rId98" xr:uid="{00000000-0004-0000-0C00-000061000000}"/>
    <hyperlink ref="K44" r:id="rId99" xr:uid="{00000000-0004-0000-0C00-000062000000}"/>
    <hyperlink ref="V44" r:id="rId100" xr:uid="{00000000-0004-0000-0C00-000063000000}"/>
    <hyperlink ref="AH44" r:id="rId101" xr:uid="{00000000-0004-0000-0C00-000064000000}"/>
    <hyperlink ref="K45" r:id="rId102" xr:uid="{00000000-0004-0000-0C00-000065000000}"/>
    <hyperlink ref="V45" r:id="rId103" xr:uid="{00000000-0004-0000-0C00-000066000000}"/>
    <hyperlink ref="AH45" r:id="rId104" xr:uid="{00000000-0004-0000-0C00-000067000000}"/>
    <hyperlink ref="K46" r:id="rId105" xr:uid="{00000000-0004-0000-0C00-000068000000}"/>
    <hyperlink ref="V46" r:id="rId106" xr:uid="{00000000-0004-0000-0C00-000069000000}"/>
    <hyperlink ref="AH46" r:id="rId107" xr:uid="{00000000-0004-0000-0C00-00006A000000}"/>
    <hyperlink ref="K47" r:id="rId108" xr:uid="{00000000-0004-0000-0C00-00006B000000}"/>
    <hyperlink ref="V47" r:id="rId109" xr:uid="{00000000-0004-0000-0C00-00006C000000}"/>
    <hyperlink ref="AH47" r:id="rId110" xr:uid="{00000000-0004-0000-0C00-00006D000000}"/>
    <hyperlink ref="K50" r:id="rId111" xr:uid="{00000000-0004-0000-0C00-00006E000000}"/>
    <hyperlink ref="V50" r:id="rId112" xr:uid="{00000000-0004-0000-0C00-00006F000000}"/>
    <hyperlink ref="AH50" r:id="rId113" xr:uid="{00000000-0004-0000-0C00-000070000000}"/>
    <hyperlink ref="A51" r:id="rId114" xr:uid="{00000000-0004-0000-0C00-000071000000}"/>
    <hyperlink ref="K51" r:id="rId115" xr:uid="{00000000-0004-0000-0C00-000072000000}"/>
    <hyperlink ref="V51" r:id="rId116" xr:uid="{00000000-0004-0000-0C00-000073000000}"/>
    <hyperlink ref="AH51" r:id="rId117" xr:uid="{00000000-0004-0000-0C00-000074000000}"/>
    <hyperlink ref="K54" r:id="rId118" xr:uid="{00000000-0004-0000-0C00-000075000000}"/>
    <hyperlink ref="V54" r:id="rId119" xr:uid="{00000000-0004-0000-0C00-000076000000}"/>
    <hyperlink ref="AH54" r:id="rId120" xr:uid="{00000000-0004-0000-0C00-000077000000}"/>
    <hyperlink ref="K55" r:id="rId121" xr:uid="{00000000-0004-0000-0C00-000078000000}"/>
    <hyperlink ref="V55" r:id="rId122" xr:uid="{00000000-0004-0000-0C00-000079000000}"/>
    <hyperlink ref="AH55" r:id="rId123" xr:uid="{00000000-0004-0000-0C00-00007A000000}"/>
    <hyperlink ref="A56" r:id="rId124" xr:uid="{00000000-0004-0000-0C00-00007B000000}"/>
    <hyperlink ref="K56" r:id="rId125" xr:uid="{00000000-0004-0000-0C00-00007C000000}"/>
    <hyperlink ref="V56" r:id="rId126" xr:uid="{00000000-0004-0000-0C00-00007D000000}"/>
    <hyperlink ref="AH56" r:id="rId127" xr:uid="{00000000-0004-0000-0C00-00007E000000}"/>
    <hyperlink ref="K57" r:id="rId128" xr:uid="{00000000-0004-0000-0C00-00007F000000}"/>
    <hyperlink ref="V57" r:id="rId129" xr:uid="{00000000-0004-0000-0C00-000080000000}"/>
    <hyperlink ref="AH57" r:id="rId130" xr:uid="{00000000-0004-0000-0C00-000081000000}"/>
    <hyperlink ref="K58" r:id="rId131" xr:uid="{00000000-0004-0000-0C00-000082000000}"/>
    <hyperlink ref="V58" r:id="rId132" xr:uid="{00000000-0004-0000-0C00-000083000000}"/>
    <hyperlink ref="AH58" r:id="rId133" xr:uid="{00000000-0004-0000-0C00-000084000000}"/>
    <hyperlink ref="K59" r:id="rId134" xr:uid="{00000000-0004-0000-0C00-000085000000}"/>
    <hyperlink ref="V59" r:id="rId135" xr:uid="{00000000-0004-0000-0C00-000086000000}"/>
    <hyperlink ref="AH59" r:id="rId136" xr:uid="{00000000-0004-0000-0C00-000087000000}"/>
    <hyperlink ref="K60" r:id="rId137" xr:uid="{00000000-0004-0000-0C00-000088000000}"/>
    <hyperlink ref="V60" r:id="rId138" xr:uid="{00000000-0004-0000-0C00-000089000000}"/>
    <hyperlink ref="K61" r:id="rId139" xr:uid="{00000000-0004-0000-0C00-00008A000000}"/>
    <hyperlink ref="V61" r:id="rId140" xr:uid="{00000000-0004-0000-0C00-00008B000000}"/>
    <hyperlink ref="AH61" r:id="rId141" xr:uid="{00000000-0004-0000-0C00-00008C000000}"/>
    <hyperlink ref="K62" r:id="rId142" xr:uid="{00000000-0004-0000-0C00-00008D000000}"/>
    <hyperlink ref="V62" r:id="rId143" xr:uid="{00000000-0004-0000-0C00-00008E000000}"/>
    <hyperlink ref="AH62" r:id="rId144" xr:uid="{00000000-0004-0000-0C00-00008F000000}"/>
    <hyperlink ref="V63" r:id="rId145" xr:uid="{00000000-0004-0000-0C00-000090000000}"/>
    <hyperlink ref="K64" r:id="rId146" xr:uid="{00000000-0004-0000-0C00-000091000000}"/>
    <hyperlink ref="V64" r:id="rId147" xr:uid="{00000000-0004-0000-0C00-000092000000}"/>
    <hyperlink ref="AH64" r:id="rId148" xr:uid="{00000000-0004-0000-0C00-000093000000}"/>
    <hyperlink ref="K65" r:id="rId149" xr:uid="{00000000-0004-0000-0C00-000094000000}"/>
    <hyperlink ref="V65" r:id="rId150" xr:uid="{00000000-0004-0000-0C00-000095000000}"/>
    <hyperlink ref="AH65" r:id="rId151" xr:uid="{00000000-0004-0000-0C00-000096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M2003"/>
  <sheetViews>
    <sheetView workbookViewId="0"/>
  </sheetViews>
  <sheetFormatPr baseColWidth="10" defaultColWidth="12.6640625" defaultRowHeight="15" customHeight="1"/>
  <cols>
    <col min="2" max="2" width="22.6640625" customWidth="1"/>
    <col min="3" max="3" width="15.6640625" customWidth="1"/>
    <col min="4" max="4" width="8.6640625" customWidth="1"/>
    <col min="5" max="5" width="18.83203125" customWidth="1"/>
    <col min="6" max="6" width="24" customWidth="1"/>
  </cols>
  <sheetData>
    <row r="1" spans="1:13">
      <c r="A1" s="260" t="s">
        <v>2823</v>
      </c>
      <c r="B1" s="154" t="s">
        <v>2825</v>
      </c>
      <c r="C1" s="260" t="s">
        <v>3059</v>
      </c>
      <c r="D1" s="154" t="s">
        <v>3060</v>
      </c>
      <c r="E1" s="155" t="s">
        <v>3061</v>
      </c>
      <c r="F1" s="156" t="s">
        <v>3062</v>
      </c>
      <c r="G1" s="154" t="s">
        <v>3063</v>
      </c>
      <c r="H1" s="154" t="s">
        <v>3064</v>
      </c>
      <c r="J1" s="1"/>
    </row>
    <row r="2" spans="1:13" ht="16">
      <c r="A2" s="1">
        <v>1</v>
      </c>
      <c r="B2" s="159" t="s">
        <v>8</v>
      </c>
      <c r="C2" s="166" t="s">
        <v>4594</v>
      </c>
      <c r="D2" s="159"/>
      <c r="E2" s="160" t="s">
        <v>4595</v>
      </c>
      <c r="F2" s="161" t="s">
        <v>4596</v>
      </c>
      <c r="G2" s="1">
        <v>2</v>
      </c>
      <c r="H2" s="208"/>
      <c r="I2" s="208"/>
      <c r="J2" s="208"/>
      <c r="K2" s="208"/>
      <c r="L2" s="208"/>
      <c r="M2" s="208"/>
    </row>
    <row r="3" spans="1:13" ht="16">
      <c r="A3" s="1">
        <v>1</v>
      </c>
      <c r="B3" s="159" t="s">
        <v>8</v>
      </c>
      <c r="C3" s="166" t="s">
        <v>4594</v>
      </c>
      <c r="D3" s="159"/>
      <c r="E3" s="160" t="s">
        <v>4595</v>
      </c>
      <c r="F3" s="161" t="s">
        <v>4597</v>
      </c>
      <c r="G3" s="5">
        <v>1</v>
      </c>
      <c r="I3" s="208"/>
      <c r="J3" s="208"/>
      <c r="K3" s="208"/>
      <c r="L3" s="208"/>
      <c r="M3" s="208"/>
    </row>
    <row r="4" spans="1:13" ht="12" customHeight="1">
      <c r="A4" s="1">
        <v>1</v>
      </c>
      <c r="B4" s="159" t="s">
        <v>8</v>
      </c>
      <c r="C4" s="166" t="s">
        <v>4594</v>
      </c>
      <c r="D4" s="1"/>
      <c r="E4" s="162" t="s">
        <v>1655</v>
      </c>
      <c r="F4" s="161" t="s">
        <v>4598</v>
      </c>
      <c r="G4" s="1">
        <v>2</v>
      </c>
      <c r="H4" s="208"/>
      <c r="I4" s="208"/>
      <c r="J4" s="208"/>
      <c r="K4" s="208"/>
      <c r="L4" s="208"/>
      <c r="M4" s="208"/>
    </row>
    <row r="5" spans="1:13" ht="16">
      <c r="A5" s="1">
        <v>1</v>
      </c>
      <c r="B5" s="159" t="s">
        <v>8</v>
      </c>
      <c r="C5" s="166" t="s">
        <v>4594</v>
      </c>
      <c r="D5" s="1"/>
      <c r="E5" s="162" t="s">
        <v>4599</v>
      </c>
      <c r="F5" s="161" t="s">
        <v>4600</v>
      </c>
      <c r="G5" s="1">
        <v>2</v>
      </c>
      <c r="H5" s="208"/>
      <c r="I5" s="208"/>
      <c r="J5" s="208"/>
      <c r="K5" s="208"/>
      <c r="L5" s="208"/>
      <c r="M5" s="208"/>
    </row>
    <row r="6" spans="1:13" ht="16">
      <c r="A6" s="1">
        <v>1</v>
      </c>
      <c r="B6" s="159" t="s">
        <v>8</v>
      </c>
      <c r="C6" s="166" t="s">
        <v>4594</v>
      </c>
      <c r="D6" s="1"/>
      <c r="E6" s="162" t="s">
        <v>4601</v>
      </c>
      <c r="F6" s="161" t="s">
        <v>4602</v>
      </c>
      <c r="G6" s="1">
        <v>2</v>
      </c>
      <c r="H6" s="208"/>
      <c r="I6" s="208"/>
      <c r="J6" s="208"/>
      <c r="K6" s="208"/>
      <c r="L6" s="208"/>
      <c r="M6" s="208"/>
    </row>
    <row r="7" spans="1:13" ht="16">
      <c r="A7" s="1">
        <v>1</v>
      </c>
      <c r="B7" s="159" t="s">
        <v>8</v>
      </c>
      <c r="C7" s="166" t="s">
        <v>4594</v>
      </c>
      <c r="D7" s="1"/>
      <c r="E7" s="162" t="s">
        <v>806</v>
      </c>
      <c r="F7" s="161" t="s">
        <v>4603</v>
      </c>
      <c r="G7" s="1">
        <v>2</v>
      </c>
      <c r="H7" s="208"/>
      <c r="I7" s="208"/>
      <c r="J7" s="208"/>
      <c r="K7" s="208"/>
      <c r="L7" s="208"/>
      <c r="M7" s="208"/>
    </row>
    <row r="8" spans="1:13" ht="16">
      <c r="A8" s="1">
        <v>1</v>
      </c>
      <c r="B8" s="159" t="s">
        <v>8</v>
      </c>
      <c r="C8" s="163" t="s">
        <v>4604</v>
      </c>
      <c r="D8" s="1"/>
      <c r="E8" s="162" t="s">
        <v>1655</v>
      </c>
      <c r="F8" s="161" t="s">
        <v>4605</v>
      </c>
      <c r="G8" s="1">
        <v>2</v>
      </c>
      <c r="H8" s="208"/>
      <c r="I8" s="208"/>
      <c r="J8" s="208"/>
      <c r="K8" s="208"/>
      <c r="L8" s="208"/>
      <c r="M8" s="208"/>
    </row>
    <row r="9" spans="1:13" ht="16">
      <c r="A9" s="1">
        <v>1</v>
      </c>
      <c r="B9" s="159" t="s">
        <v>8</v>
      </c>
      <c r="C9" s="158" t="s">
        <v>4604</v>
      </c>
      <c r="D9" s="157"/>
      <c r="E9" s="162" t="s">
        <v>1655</v>
      </c>
      <c r="F9" s="164" t="s">
        <v>4606</v>
      </c>
      <c r="G9" s="165">
        <v>2</v>
      </c>
      <c r="H9" s="208"/>
      <c r="I9" s="208"/>
      <c r="J9" s="208"/>
      <c r="K9" s="208"/>
      <c r="L9" s="208"/>
      <c r="M9" s="208"/>
    </row>
    <row r="10" spans="1:13" ht="16">
      <c r="A10" s="1">
        <v>1</v>
      </c>
      <c r="B10" s="159" t="s">
        <v>28</v>
      </c>
      <c r="C10" s="158" t="s">
        <v>4594</v>
      </c>
      <c r="D10" s="157"/>
      <c r="E10" s="160" t="s">
        <v>4607</v>
      </c>
      <c r="F10" s="164" t="s">
        <v>4608</v>
      </c>
      <c r="G10" s="165">
        <v>1</v>
      </c>
      <c r="H10" s="208"/>
      <c r="I10" s="208"/>
      <c r="J10" s="208"/>
      <c r="K10" s="208"/>
      <c r="L10" s="208"/>
      <c r="M10" s="208"/>
    </row>
    <row r="11" spans="1:13" ht="16">
      <c r="A11" s="1">
        <v>1</v>
      </c>
      <c r="B11" s="159" t="s">
        <v>28</v>
      </c>
      <c r="C11" s="158" t="s">
        <v>4594</v>
      </c>
      <c r="D11" s="157"/>
      <c r="E11" s="160" t="s">
        <v>4609</v>
      </c>
      <c r="F11" s="164" t="s">
        <v>4610</v>
      </c>
      <c r="G11" s="165">
        <v>1</v>
      </c>
      <c r="H11" s="208"/>
      <c r="I11" s="208"/>
      <c r="J11" s="208"/>
      <c r="K11" s="208"/>
      <c r="L11" s="208"/>
      <c r="M11" s="208"/>
    </row>
    <row r="12" spans="1:13" ht="16">
      <c r="A12" s="1">
        <v>1</v>
      </c>
      <c r="B12" s="159" t="s">
        <v>28</v>
      </c>
      <c r="C12" s="158" t="s">
        <v>4594</v>
      </c>
      <c r="D12" s="157"/>
      <c r="E12" s="160" t="s">
        <v>4611</v>
      </c>
      <c r="F12" s="164" t="s">
        <v>4612</v>
      </c>
      <c r="G12" s="165">
        <v>2</v>
      </c>
      <c r="H12" s="208"/>
      <c r="I12" s="208"/>
      <c r="J12" s="208"/>
      <c r="K12" s="208"/>
      <c r="L12" s="208"/>
      <c r="M12" s="208"/>
    </row>
    <row r="13" spans="1:13" ht="16">
      <c r="A13" s="1">
        <v>1</v>
      </c>
      <c r="B13" s="159" t="s">
        <v>4613</v>
      </c>
      <c r="C13" s="166" t="s">
        <v>4614</v>
      </c>
      <c r="D13" s="159"/>
      <c r="E13" s="160" t="s">
        <v>4615</v>
      </c>
      <c r="F13" s="167" t="s">
        <v>4616</v>
      </c>
      <c r="G13" s="168">
        <v>2</v>
      </c>
      <c r="H13" s="208"/>
      <c r="I13" s="208"/>
      <c r="J13" s="208"/>
      <c r="K13" s="208"/>
      <c r="L13" s="208"/>
      <c r="M13" s="208"/>
    </row>
    <row r="14" spans="1:13" ht="16">
      <c r="A14" s="261">
        <v>1</v>
      </c>
      <c r="B14" s="159" t="s">
        <v>4613</v>
      </c>
      <c r="C14" s="166" t="s">
        <v>4614</v>
      </c>
      <c r="D14" s="159"/>
      <c r="E14" s="160" t="s">
        <v>4615</v>
      </c>
      <c r="F14" s="167" t="s">
        <v>4617</v>
      </c>
      <c r="G14" s="168">
        <v>2</v>
      </c>
      <c r="H14" s="208"/>
      <c r="I14" s="208"/>
      <c r="J14" s="208"/>
      <c r="K14" s="208"/>
      <c r="L14" s="208"/>
      <c r="M14" s="208"/>
    </row>
    <row r="15" spans="1:13" ht="16">
      <c r="A15" s="5">
        <v>1</v>
      </c>
      <c r="B15" s="159" t="s">
        <v>4613</v>
      </c>
      <c r="C15" s="166" t="s">
        <v>4614</v>
      </c>
      <c r="D15" s="159"/>
      <c r="E15" s="160" t="s">
        <v>4615</v>
      </c>
      <c r="F15" s="167" t="s">
        <v>4618</v>
      </c>
      <c r="G15" s="168">
        <v>1</v>
      </c>
      <c r="H15" s="208"/>
      <c r="I15" s="208"/>
      <c r="J15" s="208"/>
      <c r="K15" s="208"/>
      <c r="L15" s="208"/>
      <c r="M15" s="208"/>
    </row>
    <row r="16" spans="1:13" ht="16">
      <c r="A16" s="157">
        <v>2</v>
      </c>
      <c r="B16" s="159" t="s">
        <v>28</v>
      </c>
      <c r="C16" s="166" t="s">
        <v>4594</v>
      </c>
      <c r="D16" s="159"/>
      <c r="E16" s="160" t="s">
        <v>155</v>
      </c>
      <c r="F16" s="167" t="s">
        <v>4619</v>
      </c>
      <c r="G16" s="159">
        <v>2</v>
      </c>
      <c r="I16" s="208"/>
      <c r="J16" s="208"/>
      <c r="K16" s="208"/>
      <c r="L16" s="208"/>
      <c r="M16" s="208"/>
    </row>
    <row r="17" spans="1:13" ht="16">
      <c r="A17" s="157">
        <v>2</v>
      </c>
      <c r="B17" s="159" t="s">
        <v>28</v>
      </c>
      <c r="C17" s="166" t="s">
        <v>4620</v>
      </c>
      <c r="D17" s="159"/>
      <c r="E17" s="160" t="s">
        <v>4621</v>
      </c>
      <c r="F17" s="167" t="s">
        <v>4622</v>
      </c>
      <c r="G17" s="159">
        <v>2</v>
      </c>
      <c r="I17" s="208"/>
      <c r="J17" s="208"/>
      <c r="K17" s="208"/>
      <c r="L17" s="208"/>
      <c r="M17" s="208"/>
    </row>
    <row r="18" spans="1:13" ht="16">
      <c r="A18" s="157">
        <v>2</v>
      </c>
      <c r="B18" s="159" t="s">
        <v>8</v>
      </c>
      <c r="C18" s="166" t="s">
        <v>4594</v>
      </c>
      <c r="D18" s="159"/>
      <c r="E18" s="160" t="s">
        <v>4623</v>
      </c>
      <c r="F18" s="167" t="s">
        <v>4624</v>
      </c>
      <c r="G18" s="159">
        <v>2</v>
      </c>
      <c r="I18" s="208"/>
      <c r="J18" s="208"/>
      <c r="K18" s="208"/>
      <c r="L18" s="208"/>
      <c r="M18" s="208"/>
    </row>
    <row r="19" spans="1:13" ht="16">
      <c r="A19" s="157">
        <v>2</v>
      </c>
      <c r="B19" s="159" t="s">
        <v>8</v>
      </c>
      <c r="C19" s="166" t="s">
        <v>4594</v>
      </c>
      <c r="D19" s="159"/>
      <c r="E19" s="160" t="s">
        <v>4625</v>
      </c>
      <c r="F19" s="167" t="s">
        <v>4626</v>
      </c>
      <c r="G19" s="159">
        <v>2</v>
      </c>
      <c r="I19" s="208"/>
      <c r="J19" s="208"/>
      <c r="K19" s="208"/>
      <c r="L19" s="208"/>
      <c r="M19" s="208"/>
    </row>
    <row r="20" spans="1:13" ht="16">
      <c r="A20" s="157">
        <v>2</v>
      </c>
      <c r="B20" s="159" t="s">
        <v>8</v>
      </c>
      <c r="C20" s="166" t="s">
        <v>4594</v>
      </c>
      <c r="D20" s="159"/>
      <c r="E20" s="160" t="s">
        <v>586</v>
      </c>
      <c r="F20" s="167" t="s">
        <v>4627</v>
      </c>
      <c r="G20" s="159">
        <v>2</v>
      </c>
      <c r="I20" s="208"/>
      <c r="J20" s="208"/>
      <c r="K20" s="208"/>
      <c r="L20" s="208"/>
      <c r="M20" s="208"/>
    </row>
    <row r="21" spans="1:13" ht="16">
      <c r="A21" s="157">
        <v>2</v>
      </c>
      <c r="B21" s="159" t="s">
        <v>8</v>
      </c>
      <c r="C21" s="166" t="s">
        <v>4594</v>
      </c>
      <c r="D21" s="159"/>
      <c r="E21" s="160" t="s">
        <v>358</v>
      </c>
      <c r="F21" s="167" t="s">
        <v>4628</v>
      </c>
      <c r="G21" s="159">
        <v>1</v>
      </c>
      <c r="I21" s="208"/>
      <c r="J21" s="208"/>
      <c r="K21" s="208"/>
      <c r="L21" s="208"/>
      <c r="M21" s="208"/>
    </row>
    <row r="22" spans="1:13" ht="16">
      <c r="A22" s="157">
        <v>2</v>
      </c>
      <c r="B22" s="159" t="s">
        <v>8</v>
      </c>
      <c r="C22" s="166" t="s">
        <v>4594</v>
      </c>
      <c r="D22" s="159"/>
      <c r="E22" s="160" t="s">
        <v>4629</v>
      </c>
      <c r="F22" s="167" t="s">
        <v>4630</v>
      </c>
      <c r="G22" s="159">
        <v>1</v>
      </c>
      <c r="I22" s="208"/>
      <c r="J22" s="208"/>
      <c r="K22" s="208"/>
      <c r="L22" s="208"/>
      <c r="M22" s="208"/>
    </row>
    <row r="23" spans="1:13" ht="16">
      <c r="A23" s="157">
        <v>2</v>
      </c>
      <c r="B23" s="159" t="s">
        <v>4613</v>
      </c>
      <c r="C23" s="166" t="s">
        <v>4614</v>
      </c>
      <c r="D23" s="159"/>
      <c r="E23" s="160" t="s">
        <v>4615</v>
      </c>
      <c r="F23" s="1" t="s">
        <v>4631</v>
      </c>
      <c r="G23" s="1">
        <v>2</v>
      </c>
      <c r="H23" s="159"/>
      <c r="I23" s="208"/>
      <c r="J23" s="208"/>
      <c r="K23" s="208"/>
      <c r="L23" s="208"/>
      <c r="M23" s="208"/>
    </row>
    <row r="24" spans="1:13" ht="16">
      <c r="A24" s="157">
        <v>2</v>
      </c>
      <c r="B24" s="159" t="s">
        <v>4613</v>
      </c>
      <c r="C24" s="166" t="s">
        <v>4614</v>
      </c>
      <c r="D24" s="159"/>
      <c r="E24" s="160" t="s">
        <v>4615</v>
      </c>
      <c r="F24" s="1" t="s">
        <v>4632</v>
      </c>
      <c r="G24" s="1">
        <v>2</v>
      </c>
      <c r="H24" s="159"/>
      <c r="I24" s="208"/>
      <c r="J24" s="208"/>
      <c r="K24" s="208"/>
      <c r="L24" s="208"/>
      <c r="M24" s="208"/>
    </row>
    <row r="25" spans="1:13" ht="16">
      <c r="A25" s="157">
        <v>2</v>
      </c>
      <c r="B25" s="159" t="s">
        <v>4613</v>
      </c>
      <c r="C25" s="166" t="s">
        <v>4614</v>
      </c>
      <c r="D25" s="1"/>
      <c r="E25" s="162" t="s">
        <v>4633</v>
      </c>
      <c r="F25" s="1" t="s">
        <v>4634</v>
      </c>
      <c r="G25" s="1">
        <v>2</v>
      </c>
      <c r="H25" s="208"/>
      <c r="I25" s="208"/>
      <c r="J25" s="208"/>
      <c r="K25" s="208"/>
      <c r="L25" s="208"/>
      <c r="M25" s="208"/>
    </row>
    <row r="26" spans="1:13" ht="16">
      <c r="A26" s="157">
        <v>2</v>
      </c>
      <c r="B26" s="159" t="s">
        <v>4613</v>
      </c>
      <c r="C26" s="166" t="s">
        <v>4614</v>
      </c>
      <c r="D26" s="1"/>
      <c r="E26" s="162" t="s">
        <v>4635</v>
      </c>
      <c r="F26" s="1" t="s">
        <v>4636</v>
      </c>
      <c r="G26" s="1">
        <v>2</v>
      </c>
      <c r="H26" s="208"/>
      <c r="I26" s="208"/>
      <c r="J26" s="208"/>
      <c r="K26" s="208"/>
      <c r="L26" s="208"/>
      <c r="M26" s="208"/>
    </row>
    <row r="27" spans="1:13" ht="16">
      <c r="A27" s="157">
        <v>3</v>
      </c>
      <c r="B27" s="159" t="s">
        <v>28</v>
      </c>
      <c r="C27" s="166" t="s">
        <v>4594</v>
      </c>
      <c r="D27" s="170"/>
      <c r="E27" s="171" t="s">
        <v>4637</v>
      </c>
      <c r="F27" s="167" t="s">
        <v>4638</v>
      </c>
      <c r="G27" s="159">
        <v>2</v>
      </c>
      <c r="I27" s="208"/>
      <c r="J27" s="208"/>
      <c r="K27" s="208"/>
      <c r="L27" s="208"/>
      <c r="M27" s="208"/>
    </row>
    <row r="28" spans="1:13" ht="16">
      <c r="A28" s="157">
        <v>3</v>
      </c>
      <c r="B28" s="159" t="s">
        <v>28</v>
      </c>
      <c r="C28" s="172" t="s">
        <v>4594</v>
      </c>
      <c r="D28" s="170"/>
      <c r="E28" s="171" t="s">
        <v>4639</v>
      </c>
      <c r="F28" s="173" t="s">
        <v>4640</v>
      </c>
      <c r="G28" s="33">
        <v>2</v>
      </c>
      <c r="I28" s="208"/>
      <c r="J28" s="208"/>
      <c r="K28" s="208"/>
      <c r="L28" s="208"/>
      <c r="M28" s="208"/>
    </row>
    <row r="29" spans="1:13" ht="16">
      <c r="A29" s="157">
        <v>3</v>
      </c>
      <c r="B29" s="159" t="s">
        <v>28</v>
      </c>
      <c r="C29" s="262" t="s">
        <v>4594</v>
      </c>
      <c r="D29" s="170"/>
      <c r="E29" s="171" t="s">
        <v>4611</v>
      </c>
      <c r="F29" s="175" t="s">
        <v>4641</v>
      </c>
      <c r="G29" s="208">
        <v>2</v>
      </c>
      <c r="I29" s="208"/>
      <c r="J29" s="208"/>
      <c r="K29" s="208"/>
      <c r="L29" s="208"/>
      <c r="M29" s="208"/>
    </row>
    <row r="30" spans="1:13" ht="16">
      <c r="A30" s="157">
        <v>3</v>
      </c>
      <c r="B30" s="159" t="s">
        <v>8</v>
      </c>
      <c r="C30" s="166" t="s">
        <v>4594</v>
      </c>
      <c r="D30" s="1"/>
      <c r="E30" s="162" t="s">
        <v>1655</v>
      </c>
      <c r="F30" s="161" t="s">
        <v>4642</v>
      </c>
      <c r="G30" s="1">
        <v>1</v>
      </c>
      <c r="I30" s="208"/>
      <c r="J30" s="208"/>
      <c r="K30" s="208"/>
      <c r="L30" s="208"/>
      <c r="M30" s="208"/>
    </row>
    <row r="31" spans="1:13" ht="16">
      <c r="A31" s="157">
        <v>3</v>
      </c>
      <c r="B31" s="159" t="s">
        <v>8</v>
      </c>
      <c r="C31" s="166" t="s">
        <v>4594</v>
      </c>
      <c r="E31" s="162" t="s">
        <v>4643</v>
      </c>
      <c r="F31" s="161" t="s">
        <v>4644</v>
      </c>
      <c r="G31" s="1">
        <v>2</v>
      </c>
      <c r="I31" s="208"/>
      <c r="J31" s="208"/>
      <c r="K31" s="208"/>
      <c r="L31" s="208"/>
      <c r="M31" s="208"/>
    </row>
    <row r="32" spans="1:13" ht="16">
      <c r="A32" s="157">
        <v>3</v>
      </c>
      <c r="B32" s="159" t="s">
        <v>8</v>
      </c>
      <c r="C32" s="166" t="s">
        <v>4594</v>
      </c>
      <c r="E32" s="162" t="s">
        <v>4643</v>
      </c>
      <c r="F32" s="161" t="s">
        <v>4645</v>
      </c>
      <c r="G32" s="1">
        <v>1</v>
      </c>
      <c r="I32" s="208"/>
      <c r="J32" s="208"/>
      <c r="K32" s="208"/>
      <c r="L32" s="208"/>
      <c r="M32" s="208"/>
    </row>
    <row r="33" spans="1:9" ht="16">
      <c r="A33" s="157">
        <v>3</v>
      </c>
      <c r="B33" s="159" t="s">
        <v>8</v>
      </c>
      <c r="C33" s="166" t="s">
        <v>4594</v>
      </c>
      <c r="D33" s="1" t="s">
        <v>789</v>
      </c>
      <c r="E33" s="162" t="s">
        <v>791</v>
      </c>
      <c r="F33" s="161" t="s">
        <v>4646</v>
      </c>
      <c r="G33" s="1">
        <v>2</v>
      </c>
    </row>
    <row r="34" spans="1:9" ht="16">
      <c r="A34" s="157">
        <v>3</v>
      </c>
      <c r="B34" s="159" t="s">
        <v>8</v>
      </c>
      <c r="C34" s="166" t="s">
        <v>4594</v>
      </c>
      <c r="D34" s="33" t="s">
        <v>2412</v>
      </c>
      <c r="E34" s="162" t="s">
        <v>2414</v>
      </c>
      <c r="F34" s="161" t="s">
        <v>4647</v>
      </c>
      <c r="G34" s="1">
        <v>2</v>
      </c>
    </row>
    <row r="35" spans="1:9" ht="16">
      <c r="A35" s="1">
        <v>3</v>
      </c>
      <c r="B35" s="159" t="s">
        <v>3087</v>
      </c>
      <c r="C35" s="159" t="s">
        <v>4614</v>
      </c>
      <c r="E35" s="160" t="s">
        <v>4615</v>
      </c>
      <c r="F35" s="159" t="s">
        <v>4648</v>
      </c>
      <c r="G35" s="168">
        <v>2</v>
      </c>
    </row>
    <row r="36" spans="1:9" ht="16">
      <c r="A36" s="1">
        <v>3</v>
      </c>
      <c r="B36" s="159" t="s">
        <v>3087</v>
      </c>
      <c r="C36" s="159" t="s">
        <v>4614</v>
      </c>
      <c r="E36" s="160" t="s">
        <v>4649</v>
      </c>
      <c r="F36" s="159" t="s">
        <v>4650</v>
      </c>
      <c r="G36" s="165">
        <v>1</v>
      </c>
    </row>
    <row r="37" spans="1:9" ht="16">
      <c r="A37" s="1">
        <v>3</v>
      </c>
      <c r="B37" s="159" t="s">
        <v>3087</v>
      </c>
      <c r="C37" s="159" t="s">
        <v>4614</v>
      </c>
      <c r="D37" s="33" t="s">
        <v>2550</v>
      </c>
      <c r="E37" s="160" t="s">
        <v>4633</v>
      </c>
      <c r="F37" s="159" t="s">
        <v>4651</v>
      </c>
      <c r="G37" s="168">
        <v>2</v>
      </c>
    </row>
    <row r="38" spans="1:9" ht="16">
      <c r="A38" s="1">
        <v>3</v>
      </c>
      <c r="B38" s="159" t="s">
        <v>3087</v>
      </c>
      <c r="C38" s="159" t="s">
        <v>4614</v>
      </c>
      <c r="D38" s="33" t="s">
        <v>2550</v>
      </c>
      <c r="E38" s="160" t="s">
        <v>4633</v>
      </c>
      <c r="F38" s="159" t="s">
        <v>4652</v>
      </c>
      <c r="G38" s="168">
        <v>2</v>
      </c>
    </row>
    <row r="39" spans="1:9" ht="16">
      <c r="A39" s="1">
        <v>3</v>
      </c>
      <c r="B39" s="159" t="s">
        <v>3087</v>
      </c>
      <c r="C39" s="159" t="s">
        <v>4614</v>
      </c>
      <c r="D39" s="33" t="s">
        <v>2550</v>
      </c>
      <c r="E39" s="160" t="s">
        <v>4633</v>
      </c>
      <c r="F39" s="159" t="s">
        <v>4653</v>
      </c>
      <c r="G39" s="168">
        <v>2</v>
      </c>
    </row>
    <row r="40" spans="1:9" ht="16">
      <c r="A40" s="1">
        <v>4</v>
      </c>
      <c r="B40" s="157" t="s">
        <v>8</v>
      </c>
      <c r="C40" s="1" t="s">
        <v>4594</v>
      </c>
      <c r="D40" s="33" t="s">
        <v>804</v>
      </c>
      <c r="E40" s="176" t="s">
        <v>806</v>
      </c>
      <c r="F40" s="161" t="s">
        <v>4654</v>
      </c>
      <c r="G40" s="1">
        <v>2</v>
      </c>
    </row>
    <row r="41" spans="1:9" ht="16">
      <c r="A41" s="1">
        <v>4</v>
      </c>
      <c r="B41" s="159" t="s">
        <v>8</v>
      </c>
      <c r="C41" s="1" t="s">
        <v>4594</v>
      </c>
      <c r="D41" s="1" t="s">
        <v>4655</v>
      </c>
      <c r="E41" s="177" t="s">
        <v>400</v>
      </c>
      <c r="F41" s="1" t="s">
        <v>4656</v>
      </c>
      <c r="G41" s="1">
        <v>2</v>
      </c>
    </row>
    <row r="42" spans="1:9" ht="16">
      <c r="A42" s="1">
        <v>4</v>
      </c>
      <c r="B42" s="159" t="s">
        <v>3087</v>
      </c>
      <c r="C42" s="159" t="s">
        <v>4614</v>
      </c>
      <c r="E42" s="178" t="s">
        <v>4635</v>
      </c>
      <c r="F42" s="179" t="s">
        <v>4657</v>
      </c>
      <c r="G42" s="1">
        <v>2</v>
      </c>
    </row>
    <row r="43" spans="1:9" ht="16">
      <c r="A43" s="1">
        <v>4</v>
      </c>
      <c r="B43" s="159" t="s">
        <v>3087</v>
      </c>
      <c r="C43" s="159" t="s">
        <v>4614</v>
      </c>
      <c r="D43" s="1"/>
      <c r="E43" s="160" t="s">
        <v>4633</v>
      </c>
      <c r="F43" s="179" t="s">
        <v>4658</v>
      </c>
      <c r="G43" s="1">
        <v>2</v>
      </c>
    </row>
    <row r="44" spans="1:9" ht="16">
      <c r="A44" s="1">
        <v>5</v>
      </c>
      <c r="B44" s="159" t="s">
        <v>8</v>
      </c>
      <c r="C44" s="1" t="s">
        <v>3066</v>
      </c>
      <c r="E44" s="162" t="s">
        <v>4659</v>
      </c>
      <c r="F44" s="161" t="s">
        <v>4660</v>
      </c>
      <c r="G44" s="1">
        <v>2</v>
      </c>
    </row>
    <row r="45" spans="1:9" ht="16">
      <c r="A45" s="1">
        <v>5</v>
      </c>
      <c r="B45" s="159" t="s">
        <v>8</v>
      </c>
      <c r="C45" s="1" t="s">
        <v>3066</v>
      </c>
      <c r="E45" s="162" t="s">
        <v>4661</v>
      </c>
      <c r="F45" s="161" t="s">
        <v>4662</v>
      </c>
      <c r="G45" s="1">
        <v>2</v>
      </c>
      <c r="H45" s="1" t="s">
        <v>4663</v>
      </c>
      <c r="I45" s="63">
        <v>45805</v>
      </c>
    </row>
    <row r="46" spans="1:9" ht="16">
      <c r="A46" s="1">
        <v>5</v>
      </c>
      <c r="B46" s="159" t="s">
        <v>8</v>
      </c>
      <c r="C46" s="1" t="s">
        <v>3066</v>
      </c>
      <c r="E46" s="162" t="s">
        <v>791</v>
      </c>
      <c r="F46" s="161" t="s">
        <v>4664</v>
      </c>
      <c r="G46" s="1">
        <v>2</v>
      </c>
      <c r="H46" s="1" t="s">
        <v>4665</v>
      </c>
      <c r="I46" s="1" t="s">
        <v>4666</v>
      </c>
    </row>
    <row r="47" spans="1:9" ht="16">
      <c r="A47" s="1">
        <v>5</v>
      </c>
      <c r="B47" s="159" t="s">
        <v>8</v>
      </c>
      <c r="C47" s="1" t="s">
        <v>3066</v>
      </c>
      <c r="E47" s="162" t="s">
        <v>791</v>
      </c>
      <c r="F47" s="161" t="s">
        <v>4667</v>
      </c>
      <c r="G47" s="1">
        <v>2</v>
      </c>
      <c r="H47" s="1" t="s">
        <v>4665</v>
      </c>
      <c r="I47" s="1" t="s">
        <v>4666</v>
      </c>
    </row>
    <row r="48" spans="1:9" ht="16">
      <c r="A48" s="1">
        <v>5</v>
      </c>
      <c r="B48" s="159" t="s">
        <v>8</v>
      </c>
      <c r="C48" s="1" t="s">
        <v>3066</v>
      </c>
      <c r="E48" s="162" t="s">
        <v>4629</v>
      </c>
      <c r="F48" s="161" t="s">
        <v>4668</v>
      </c>
      <c r="G48" s="1">
        <v>2</v>
      </c>
      <c r="H48" s="1" t="s">
        <v>4669</v>
      </c>
      <c r="I48" s="1" t="s">
        <v>4666</v>
      </c>
    </row>
    <row r="49" spans="1:8" ht="16">
      <c r="A49" s="1">
        <v>5</v>
      </c>
      <c r="B49" s="159" t="s">
        <v>8</v>
      </c>
      <c r="C49" s="1" t="s">
        <v>4594</v>
      </c>
      <c r="E49" s="162" t="s">
        <v>1236</v>
      </c>
      <c r="F49" s="161" t="s">
        <v>4670</v>
      </c>
      <c r="G49" s="1">
        <v>2</v>
      </c>
      <c r="H49" s="1" t="s">
        <v>4671</v>
      </c>
    </row>
    <row r="50" spans="1:8" ht="16">
      <c r="A50" s="1">
        <v>5</v>
      </c>
      <c r="B50" s="159" t="s">
        <v>8</v>
      </c>
      <c r="C50" s="1" t="s">
        <v>4594</v>
      </c>
      <c r="E50" s="162" t="s">
        <v>4672</v>
      </c>
      <c r="F50" s="161" t="s">
        <v>4673</v>
      </c>
      <c r="G50" s="1">
        <v>2</v>
      </c>
      <c r="H50" s="1" t="s">
        <v>4671</v>
      </c>
    </row>
    <row r="51" spans="1:8" ht="16">
      <c r="A51" s="1">
        <v>6</v>
      </c>
      <c r="B51" s="159" t="s">
        <v>8</v>
      </c>
      <c r="C51" s="1" t="s">
        <v>3066</v>
      </c>
      <c r="E51" s="162" t="s">
        <v>4674</v>
      </c>
      <c r="F51" s="161" t="s">
        <v>4675</v>
      </c>
      <c r="G51" s="1">
        <v>2</v>
      </c>
    </row>
    <row r="52" spans="1:8" ht="16">
      <c r="A52" s="1">
        <v>6</v>
      </c>
      <c r="B52" s="159" t="s">
        <v>8</v>
      </c>
      <c r="C52" s="1" t="s">
        <v>3066</v>
      </c>
      <c r="E52" s="162" t="s">
        <v>4676</v>
      </c>
      <c r="F52" s="161" t="s">
        <v>4677</v>
      </c>
      <c r="G52" s="1">
        <v>2</v>
      </c>
    </row>
    <row r="53" spans="1:8">
      <c r="A53" s="1">
        <v>6</v>
      </c>
      <c r="B53" s="1" t="s">
        <v>8</v>
      </c>
      <c r="C53" s="1" t="s">
        <v>3066</v>
      </c>
      <c r="E53" s="162" t="s">
        <v>806</v>
      </c>
      <c r="F53" s="161" t="s">
        <v>4678</v>
      </c>
      <c r="G53" s="1">
        <v>2</v>
      </c>
    </row>
    <row r="54" spans="1:8">
      <c r="A54" s="1">
        <v>6</v>
      </c>
      <c r="B54" s="1" t="s">
        <v>8</v>
      </c>
      <c r="C54" s="1" t="s">
        <v>3066</v>
      </c>
      <c r="E54" s="162" t="s">
        <v>3067</v>
      </c>
      <c r="F54" s="161" t="s">
        <v>4679</v>
      </c>
      <c r="G54" s="1">
        <v>2</v>
      </c>
    </row>
    <row r="55" spans="1:8">
      <c r="A55" s="1">
        <v>6</v>
      </c>
      <c r="B55" s="1" t="s">
        <v>8</v>
      </c>
      <c r="C55" s="1" t="s">
        <v>3066</v>
      </c>
      <c r="E55" s="162" t="s">
        <v>4680</v>
      </c>
      <c r="F55" s="162" t="s">
        <v>4681</v>
      </c>
      <c r="G55" s="1">
        <v>2</v>
      </c>
    </row>
    <row r="56" spans="1:8">
      <c r="A56" s="1">
        <v>7</v>
      </c>
      <c r="B56" s="1" t="s">
        <v>8</v>
      </c>
      <c r="C56" s="1" t="s">
        <v>3066</v>
      </c>
      <c r="E56" s="162" t="s">
        <v>4682</v>
      </c>
      <c r="F56" s="161" t="s">
        <v>4683</v>
      </c>
      <c r="G56" s="1">
        <v>2</v>
      </c>
    </row>
    <row r="57" spans="1:8">
      <c r="A57" s="1">
        <v>7</v>
      </c>
      <c r="B57" s="1" t="s">
        <v>8</v>
      </c>
      <c r="C57" s="1" t="s">
        <v>3066</v>
      </c>
      <c r="E57" s="162" t="s">
        <v>4684</v>
      </c>
      <c r="F57" s="161" t="s">
        <v>4685</v>
      </c>
      <c r="G57" s="1">
        <v>2</v>
      </c>
    </row>
    <row r="58" spans="1:8">
      <c r="A58" s="1">
        <v>9</v>
      </c>
      <c r="B58" s="1" t="s">
        <v>28</v>
      </c>
      <c r="C58" s="1" t="s">
        <v>4594</v>
      </c>
      <c r="E58" s="162" t="s">
        <v>4686</v>
      </c>
      <c r="F58" s="161" t="s">
        <v>4687</v>
      </c>
      <c r="G58" s="1">
        <v>2</v>
      </c>
    </row>
    <row r="59" spans="1:8">
      <c r="A59" s="1">
        <v>9</v>
      </c>
      <c r="B59" s="1" t="s">
        <v>8</v>
      </c>
      <c r="C59" s="1" t="s">
        <v>3066</v>
      </c>
      <c r="E59" s="162" t="s">
        <v>4680</v>
      </c>
      <c r="F59" s="161" t="s">
        <v>4688</v>
      </c>
      <c r="G59" s="1">
        <v>1</v>
      </c>
    </row>
    <row r="60" spans="1:8">
      <c r="A60" s="1">
        <v>9</v>
      </c>
      <c r="B60" s="1" t="s">
        <v>8</v>
      </c>
      <c r="C60" s="1" t="s">
        <v>4594</v>
      </c>
      <c r="E60" s="162" t="s">
        <v>1236</v>
      </c>
      <c r="F60" s="161" t="s">
        <v>4689</v>
      </c>
      <c r="G60" s="1">
        <v>2</v>
      </c>
    </row>
    <row r="61" spans="1:8">
      <c r="A61" s="1">
        <v>9</v>
      </c>
      <c r="B61" s="1" t="s">
        <v>8</v>
      </c>
      <c r="C61" s="1" t="s">
        <v>4620</v>
      </c>
      <c r="E61" s="162" t="s">
        <v>4690</v>
      </c>
      <c r="F61" s="161" t="s">
        <v>4691</v>
      </c>
      <c r="G61" s="1">
        <v>2</v>
      </c>
    </row>
    <row r="62" spans="1:8">
      <c r="A62" s="1">
        <v>10</v>
      </c>
      <c r="B62" s="1" t="s">
        <v>8</v>
      </c>
      <c r="C62" s="1" t="s">
        <v>4594</v>
      </c>
      <c r="E62" s="1" t="s">
        <v>806</v>
      </c>
      <c r="F62" s="162" t="s">
        <v>4692</v>
      </c>
      <c r="G62" s="1">
        <v>1</v>
      </c>
    </row>
    <row r="63" spans="1:8">
      <c r="A63" s="1">
        <v>10</v>
      </c>
      <c r="B63" s="1" t="s">
        <v>28</v>
      </c>
      <c r="C63" s="1" t="s">
        <v>4620</v>
      </c>
      <c r="E63" s="162" t="s">
        <v>32</v>
      </c>
      <c r="F63" s="161" t="s">
        <v>4693</v>
      </c>
      <c r="G63" s="1">
        <v>2</v>
      </c>
    </row>
    <row r="64" spans="1:8">
      <c r="A64" s="1">
        <v>10</v>
      </c>
      <c r="B64" s="1" t="s">
        <v>28</v>
      </c>
      <c r="C64" s="1" t="s">
        <v>4620</v>
      </c>
      <c r="E64" s="162" t="s">
        <v>4694</v>
      </c>
      <c r="F64" s="161" t="s">
        <v>4695</v>
      </c>
      <c r="G64" s="1">
        <v>2</v>
      </c>
    </row>
    <row r="65" spans="1:7">
      <c r="A65" s="1">
        <v>11</v>
      </c>
      <c r="B65" s="1" t="s">
        <v>8</v>
      </c>
      <c r="C65" s="1" t="s">
        <v>4594</v>
      </c>
      <c r="E65" s="180" t="s">
        <v>1188</v>
      </c>
      <c r="F65" s="161" t="s">
        <v>4696</v>
      </c>
      <c r="G65" s="1">
        <v>2</v>
      </c>
    </row>
    <row r="66" spans="1:7">
      <c r="A66" s="1">
        <v>11</v>
      </c>
      <c r="B66" s="1" t="s">
        <v>8</v>
      </c>
      <c r="C66" s="1" t="s">
        <v>4594</v>
      </c>
      <c r="E66" s="180" t="s">
        <v>1188</v>
      </c>
      <c r="F66" s="161" t="s">
        <v>4697</v>
      </c>
      <c r="G66" s="1">
        <v>2</v>
      </c>
    </row>
    <row r="67" spans="1:7">
      <c r="A67" s="1">
        <v>11</v>
      </c>
      <c r="B67" s="1" t="s">
        <v>8</v>
      </c>
      <c r="C67" s="1" t="s">
        <v>4594</v>
      </c>
      <c r="E67" s="162" t="s">
        <v>1340</v>
      </c>
      <c r="F67" s="161" t="s">
        <v>4698</v>
      </c>
      <c r="G67" s="1">
        <v>2</v>
      </c>
    </row>
    <row r="68" spans="1:7">
      <c r="A68" s="1">
        <v>11</v>
      </c>
      <c r="B68" s="1" t="s">
        <v>8</v>
      </c>
      <c r="C68" s="1" t="s">
        <v>4594</v>
      </c>
      <c r="E68" s="162" t="s">
        <v>1236</v>
      </c>
      <c r="F68" s="161" t="s">
        <v>4699</v>
      </c>
      <c r="G68" s="1">
        <v>2</v>
      </c>
    </row>
    <row r="69" spans="1:7">
      <c r="E69" s="177"/>
      <c r="F69" s="173"/>
    </row>
    <row r="70" spans="1:7">
      <c r="E70" s="177"/>
      <c r="F70" s="173"/>
    </row>
    <row r="71" spans="1:7">
      <c r="E71" s="177"/>
      <c r="F71" s="173"/>
    </row>
    <row r="72" spans="1:7">
      <c r="E72" s="177"/>
      <c r="F72" s="173"/>
    </row>
    <row r="73" spans="1:7">
      <c r="E73" s="177"/>
      <c r="F73" s="173"/>
    </row>
    <row r="74" spans="1:7">
      <c r="E74" s="177"/>
      <c r="F74" s="173"/>
    </row>
    <row r="75" spans="1:7">
      <c r="E75" s="177"/>
      <c r="F75" s="173"/>
    </row>
    <row r="76" spans="1:7">
      <c r="E76" s="177"/>
      <c r="F76" s="173"/>
    </row>
    <row r="77" spans="1:7">
      <c r="E77" s="177"/>
      <c r="F77" s="173"/>
    </row>
    <row r="78" spans="1:7">
      <c r="E78" s="177"/>
      <c r="F78" s="173"/>
    </row>
    <row r="79" spans="1:7">
      <c r="E79" s="177"/>
      <c r="F79" s="173"/>
    </row>
    <row r="80" spans="1:7">
      <c r="E80" s="177"/>
      <c r="F80" s="173"/>
    </row>
    <row r="81" spans="5:6">
      <c r="E81" s="177"/>
      <c r="F81" s="173"/>
    </row>
    <row r="82" spans="5:6">
      <c r="E82" s="177"/>
      <c r="F82" s="173"/>
    </row>
    <row r="83" spans="5:6">
      <c r="E83" s="177"/>
      <c r="F83" s="173"/>
    </row>
    <row r="84" spans="5:6">
      <c r="E84" s="177"/>
      <c r="F84" s="173"/>
    </row>
    <row r="85" spans="5:6">
      <c r="E85" s="177"/>
      <c r="F85" s="173"/>
    </row>
    <row r="86" spans="5:6">
      <c r="E86" s="177"/>
      <c r="F86" s="173"/>
    </row>
    <row r="87" spans="5:6">
      <c r="E87" s="177"/>
      <c r="F87" s="173"/>
    </row>
    <row r="88" spans="5:6">
      <c r="E88" s="177"/>
      <c r="F88" s="173"/>
    </row>
    <row r="89" spans="5:6">
      <c r="E89" s="177"/>
      <c r="F89" s="173"/>
    </row>
    <row r="90" spans="5:6">
      <c r="E90" s="177"/>
      <c r="F90" s="173"/>
    </row>
    <row r="91" spans="5:6">
      <c r="E91" s="177"/>
      <c r="F91" s="173"/>
    </row>
    <row r="92" spans="5:6">
      <c r="E92" s="177"/>
      <c r="F92" s="173"/>
    </row>
    <row r="93" spans="5:6">
      <c r="E93" s="177"/>
      <c r="F93" s="173"/>
    </row>
    <row r="94" spans="5:6">
      <c r="E94" s="177"/>
      <c r="F94" s="173"/>
    </row>
    <row r="95" spans="5:6">
      <c r="E95" s="177"/>
      <c r="F95" s="173"/>
    </row>
    <row r="96" spans="5:6">
      <c r="E96" s="177"/>
      <c r="F96" s="173"/>
    </row>
    <row r="97" spans="5:6">
      <c r="E97" s="177"/>
      <c r="F97" s="173"/>
    </row>
    <row r="98" spans="5:6">
      <c r="E98" s="177"/>
      <c r="F98" s="173"/>
    </row>
    <row r="99" spans="5:6">
      <c r="E99" s="177"/>
      <c r="F99" s="173"/>
    </row>
    <row r="100" spans="5:6">
      <c r="E100" s="177"/>
      <c r="F100" s="173"/>
    </row>
    <row r="101" spans="5:6">
      <c r="E101" s="177"/>
      <c r="F101" s="173"/>
    </row>
    <row r="102" spans="5:6">
      <c r="E102" s="177"/>
      <c r="F102" s="173"/>
    </row>
    <row r="103" spans="5:6">
      <c r="E103" s="177"/>
      <c r="F103" s="173"/>
    </row>
    <row r="104" spans="5:6">
      <c r="E104" s="177"/>
      <c r="F104" s="173"/>
    </row>
    <row r="105" spans="5:6">
      <c r="E105" s="177"/>
      <c r="F105" s="173"/>
    </row>
    <row r="106" spans="5:6">
      <c r="E106" s="177"/>
      <c r="F106" s="173"/>
    </row>
    <row r="107" spans="5:6">
      <c r="E107" s="177"/>
      <c r="F107" s="173"/>
    </row>
    <row r="108" spans="5:6">
      <c r="E108" s="177"/>
      <c r="F108" s="173"/>
    </row>
    <row r="109" spans="5:6">
      <c r="E109" s="177"/>
      <c r="F109" s="173"/>
    </row>
    <row r="110" spans="5:6">
      <c r="E110" s="177"/>
      <c r="F110" s="173"/>
    </row>
    <row r="111" spans="5:6">
      <c r="E111" s="177"/>
      <c r="F111" s="173"/>
    </row>
    <row r="112" spans="5:6">
      <c r="E112" s="177"/>
      <c r="F112" s="173"/>
    </row>
    <row r="113" spans="5:6">
      <c r="E113" s="177"/>
      <c r="F113" s="173"/>
    </row>
    <row r="114" spans="5:6">
      <c r="E114" s="177"/>
      <c r="F114" s="173"/>
    </row>
    <row r="115" spans="5:6">
      <c r="E115" s="177"/>
      <c r="F115" s="173"/>
    </row>
    <row r="116" spans="5:6">
      <c r="E116" s="177"/>
      <c r="F116" s="173"/>
    </row>
    <row r="117" spans="5:6">
      <c r="E117" s="177"/>
      <c r="F117" s="173"/>
    </row>
    <row r="118" spans="5:6">
      <c r="E118" s="177"/>
      <c r="F118" s="173"/>
    </row>
    <row r="119" spans="5:6">
      <c r="E119" s="177"/>
      <c r="F119" s="173"/>
    </row>
    <row r="120" spans="5:6">
      <c r="E120" s="177"/>
      <c r="F120" s="173"/>
    </row>
    <row r="121" spans="5:6">
      <c r="E121" s="177"/>
      <c r="F121" s="173"/>
    </row>
    <row r="122" spans="5:6">
      <c r="E122" s="177"/>
      <c r="F122" s="173"/>
    </row>
    <row r="123" spans="5:6">
      <c r="E123" s="177"/>
      <c r="F123" s="173"/>
    </row>
    <row r="124" spans="5:6">
      <c r="E124" s="177"/>
      <c r="F124" s="173"/>
    </row>
    <row r="125" spans="5:6">
      <c r="E125" s="177"/>
      <c r="F125" s="173"/>
    </row>
    <row r="126" spans="5:6">
      <c r="E126" s="177"/>
      <c r="F126" s="173"/>
    </row>
    <row r="127" spans="5:6">
      <c r="E127" s="177"/>
      <c r="F127" s="173"/>
    </row>
    <row r="128" spans="5:6">
      <c r="E128" s="177"/>
      <c r="F128" s="173"/>
    </row>
    <row r="129" spans="5:6">
      <c r="E129" s="177"/>
      <c r="F129" s="173"/>
    </row>
    <row r="130" spans="5:6">
      <c r="E130" s="177"/>
      <c r="F130" s="173"/>
    </row>
    <row r="131" spans="5:6">
      <c r="E131" s="177"/>
      <c r="F131" s="173"/>
    </row>
    <row r="132" spans="5:6">
      <c r="E132" s="177"/>
      <c r="F132" s="173"/>
    </row>
    <row r="133" spans="5:6">
      <c r="E133" s="177"/>
      <c r="F133" s="173"/>
    </row>
    <row r="134" spans="5:6">
      <c r="E134" s="177"/>
      <c r="F134" s="173"/>
    </row>
    <row r="135" spans="5:6">
      <c r="E135" s="177"/>
      <c r="F135" s="173"/>
    </row>
    <row r="136" spans="5:6">
      <c r="E136" s="177"/>
      <c r="F136" s="173"/>
    </row>
    <row r="137" spans="5:6">
      <c r="E137" s="177"/>
      <c r="F137" s="173"/>
    </row>
    <row r="138" spans="5:6">
      <c r="E138" s="177"/>
      <c r="F138" s="173"/>
    </row>
    <row r="139" spans="5:6">
      <c r="E139" s="177"/>
      <c r="F139" s="173"/>
    </row>
    <row r="140" spans="5:6">
      <c r="E140" s="177"/>
      <c r="F140" s="173"/>
    </row>
    <row r="141" spans="5:6">
      <c r="E141" s="177"/>
      <c r="F141" s="173"/>
    </row>
    <row r="142" spans="5:6">
      <c r="E142" s="177"/>
      <c r="F142" s="173"/>
    </row>
    <row r="143" spans="5:6">
      <c r="E143" s="177"/>
      <c r="F143" s="173"/>
    </row>
    <row r="144" spans="5:6">
      <c r="E144" s="177"/>
      <c r="F144" s="173"/>
    </row>
    <row r="145" spans="5:6">
      <c r="E145" s="177"/>
      <c r="F145" s="173"/>
    </row>
    <row r="146" spans="5:6">
      <c r="E146" s="177"/>
      <c r="F146" s="173"/>
    </row>
    <row r="147" spans="5:6">
      <c r="E147" s="177"/>
      <c r="F147" s="173"/>
    </row>
    <row r="148" spans="5:6">
      <c r="E148" s="177"/>
      <c r="F148" s="173"/>
    </row>
    <row r="149" spans="5:6">
      <c r="E149" s="177"/>
      <c r="F149" s="173"/>
    </row>
    <row r="150" spans="5:6">
      <c r="E150" s="177"/>
      <c r="F150" s="173"/>
    </row>
    <row r="151" spans="5:6">
      <c r="E151" s="177"/>
      <c r="F151" s="173"/>
    </row>
    <row r="152" spans="5:6">
      <c r="E152" s="177"/>
      <c r="F152" s="173"/>
    </row>
    <row r="153" spans="5:6">
      <c r="E153" s="177"/>
      <c r="F153" s="173"/>
    </row>
    <row r="154" spans="5:6">
      <c r="E154" s="177"/>
      <c r="F154" s="173"/>
    </row>
    <row r="155" spans="5:6">
      <c r="E155" s="177"/>
      <c r="F155" s="173"/>
    </row>
    <row r="156" spans="5:6">
      <c r="E156" s="177"/>
      <c r="F156" s="173"/>
    </row>
    <row r="157" spans="5:6">
      <c r="E157" s="177"/>
      <c r="F157" s="173"/>
    </row>
    <row r="158" spans="5:6">
      <c r="E158" s="177"/>
      <c r="F158" s="173"/>
    </row>
    <row r="159" spans="5:6">
      <c r="E159" s="177"/>
      <c r="F159" s="173"/>
    </row>
    <row r="160" spans="5:6">
      <c r="E160" s="177"/>
      <c r="F160" s="173"/>
    </row>
    <row r="161" spans="5:6">
      <c r="E161" s="177"/>
      <c r="F161" s="173"/>
    </row>
    <row r="162" spans="5:6">
      <c r="E162" s="177"/>
      <c r="F162" s="173"/>
    </row>
    <row r="163" spans="5:6">
      <c r="E163" s="177"/>
      <c r="F163" s="173"/>
    </row>
    <row r="164" spans="5:6">
      <c r="E164" s="177"/>
      <c r="F164" s="173"/>
    </row>
    <row r="165" spans="5:6">
      <c r="E165" s="177"/>
      <c r="F165" s="173"/>
    </row>
    <row r="166" spans="5:6">
      <c r="E166" s="177"/>
      <c r="F166" s="173"/>
    </row>
    <row r="167" spans="5:6">
      <c r="E167" s="177"/>
      <c r="F167" s="173"/>
    </row>
    <row r="168" spans="5:6">
      <c r="E168" s="177"/>
      <c r="F168" s="173"/>
    </row>
    <row r="169" spans="5:6">
      <c r="E169" s="177"/>
      <c r="F169" s="173"/>
    </row>
    <row r="170" spans="5:6">
      <c r="E170" s="177"/>
      <c r="F170" s="173"/>
    </row>
    <row r="171" spans="5:6">
      <c r="E171" s="177"/>
      <c r="F171" s="173"/>
    </row>
    <row r="172" spans="5:6">
      <c r="E172" s="177"/>
      <c r="F172" s="173"/>
    </row>
    <row r="173" spans="5:6">
      <c r="E173" s="177"/>
      <c r="F173" s="173"/>
    </row>
    <row r="174" spans="5:6">
      <c r="E174" s="177"/>
      <c r="F174" s="173"/>
    </row>
    <row r="175" spans="5:6">
      <c r="E175" s="177"/>
      <c r="F175" s="173"/>
    </row>
    <row r="176" spans="5:6">
      <c r="E176" s="177"/>
      <c r="F176" s="173"/>
    </row>
    <row r="177" spans="5:6">
      <c r="E177" s="177"/>
      <c r="F177" s="173"/>
    </row>
    <row r="178" spans="5:6">
      <c r="E178" s="177"/>
      <c r="F178" s="173"/>
    </row>
    <row r="179" spans="5:6">
      <c r="E179" s="177"/>
      <c r="F179" s="173"/>
    </row>
    <row r="180" spans="5:6">
      <c r="E180" s="177"/>
      <c r="F180" s="173"/>
    </row>
    <row r="181" spans="5:6">
      <c r="E181" s="177"/>
      <c r="F181" s="173"/>
    </row>
    <row r="182" spans="5:6">
      <c r="E182" s="177"/>
      <c r="F182" s="173"/>
    </row>
    <row r="183" spans="5:6">
      <c r="E183" s="177"/>
      <c r="F183" s="173"/>
    </row>
    <row r="184" spans="5:6">
      <c r="E184" s="177"/>
      <c r="F184" s="173"/>
    </row>
    <row r="185" spans="5:6">
      <c r="E185" s="177"/>
      <c r="F185" s="173"/>
    </row>
    <row r="186" spans="5:6">
      <c r="E186" s="177"/>
      <c r="F186" s="173"/>
    </row>
    <row r="187" spans="5:6">
      <c r="E187" s="177"/>
      <c r="F187" s="173"/>
    </row>
    <row r="188" spans="5:6">
      <c r="E188" s="177"/>
      <c r="F188" s="173"/>
    </row>
    <row r="189" spans="5:6">
      <c r="E189" s="177"/>
      <c r="F189" s="173"/>
    </row>
    <row r="190" spans="5:6">
      <c r="E190" s="177"/>
      <c r="F190" s="173"/>
    </row>
    <row r="191" spans="5:6">
      <c r="E191" s="177"/>
      <c r="F191" s="173"/>
    </row>
    <row r="192" spans="5:6">
      <c r="E192" s="177"/>
      <c r="F192" s="173"/>
    </row>
    <row r="193" spans="5:6">
      <c r="E193" s="177"/>
      <c r="F193" s="173"/>
    </row>
    <row r="194" spans="5:6">
      <c r="E194" s="177"/>
      <c r="F194" s="173"/>
    </row>
    <row r="195" spans="5:6">
      <c r="E195" s="177"/>
      <c r="F195" s="173"/>
    </row>
    <row r="196" spans="5:6">
      <c r="E196" s="177"/>
      <c r="F196" s="173"/>
    </row>
    <row r="197" spans="5:6">
      <c r="E197" s="177"/>
      <c r="F197" s="173"/>
    </row>
    <row r="198" spans="5:6">
      <c r="E198" s="177"/>
      <c r="F198" s="173"/>
    </row>
    <row r="199" spans="5:6">
      <c r="E199" s="177"/>
      <c r="F199" s="173"/>
    </row>
    <row r="200" spans="5:6">
      <c r="E200" s="177"/>
      <c r="F200" s="173"/>
    </row>
    <row r="201" spans="5:6">
      <c r="E201" s="177"/>
      <c r="F201" s="173"/>
    </row>
    <row r="202" spans="5:6">
      <c r="E202" s="177"/>
      <c r="F202" s="173"/>
    </row>
    <row r="203" spans="5:6">
      <c r="E203" s="177"/>
      <c r="F203" s="173"/>
    </row>
    <row r="204" spans="5:6">
      <c r="E204" s="177"/>
      <c r="F204" s="173"/>
    </row>
    <row r="205" spans="5:6">
      <c r="E205" s="177"/>
      <c r="F205" s="173"/>
    </row>
    <row r="206" spans="5:6">
      <c r="E206" s="177"/>
      <c r="F206" s="173"/>
    </row>
    <row r="207" spans="5:6">
      <c r="E207" s="177"/>
      <c r="F207" s="173"/>
    </row>
    <row r="208" spans="5:6">
      <c r="E208" s="177"/>
      <c r="F208" s="173"/>
    </row>
    <row r="209" spans="5:6">
      <c r="E209" s="177"/>
      <c r="F209" s="173"/>
    </row>
    <row r="210" spans="5:6">
      <c r="E210" s="177"/>
      <c r="F210" s="173"/>
    </row>
    <row r="211" spans="5:6">
      <c r="E211" s="177"/>
      <c r="F211" s="173"/>
    </row>
    <row r="212" spans="5:6">
      <c r="E212" s="177"/>
      <c r="F212" s="173"/>
    </row>
    <row r="213" spans="5:6">
      <c r="E213" s="177"/>
      <c r="F213" s="173"/>
    </row>
    <row r="214" spans="5:6">
      <c r="E214" s="177"/>
      <c r="F214" s="173"/>
    </row>
    <row r="215" spans="5:6">
      <c r="E215" s="177"/>
      <c r="F215" s="173"/>
    </row>
    <row r="216" spans="5:6">
      <c r="E216" s="177"/>
      <c r="F216" s="173"/>
    </row>
    <row r="217" spans="5:6">
      <c r="E217" s="177"/>
      <c r="F217" s="173"/>
    </row>
    <row r="218" spans="5:6">
      <c r="E218" s="177"/>
      <c r="F218" s="173"/>
    </row>
    <row r="219" spans="5:6">
      <c r="E219" s="177"/>
      <c r="F219" s="173"/>
    </row>
    <row r="220" spans="5:6">
      <c r="E220" s="177"/>
      <c r="F220" s="173"/>
    </row>
    <row r="221" spans="5:6">
      <c r="E221" s="177"/>
      <c r="F221" s="173"/>
    </row>
    <row r="222" spans="5:6">
      <c r="E222" s="177"/>
      <c r="F222" s="173"/>
    </row>
    <row r="223" spans="5:6">
      <c r="E223" s="177"/>
      <c r="F223" s="173"/>
    </row>
    <row r="224" spans="5:6">
      <c r="E224" s="177"/>
      <c r="F224" s="173"/>
    </row>
    <row r="225" spans="5:6">
      <c r="E225" s="177"/>
      <c r="F225" s="173"/>
    </row>
    <row r="226" spans="5:6">
      <c r="E226" s="177"/>
      <c r="F226" s="173"/>
    </row>
    <row r="227" spans="5:6">
      <c r="E227" s="177"/>
      <c r="F227" s="173"/>
    </row>
    <row r="228" spans="5:6">
      <c r="E228" s="177"/>
      <c r="F228" s="173"/>
    </row>
    <row r="229" spans="5:6">
      <c r="E229" s="177"/>
      <c r="F229" s="173"/>
    </row>
    <row r="230" spans="5:6">
      <c r="E230" s="177"/>
      <c r="F230" s="173"/>
    </row>
    <row r="231" spans="5:6">
      <c r="E231" s="177"/>
      <c r="F231" s="173"/>
    </row>
    <row r="232" spans="5:6">
      <c r="E232" s="177"/>
      <c r="F232" s="173"/>
    </row>
    <row r="233" spans="5:6">
      <c r="E233" s="177"/>
      <c r="F233" s="173"/>
    </row>
    <row r="234" spans="5:6">
      <c r="E234" s="177"/>
      <c r="F234" s="173"/>
    </row>
    <row r="235" spans="5:6">
      <c r="E235" s="177"/>
      <c r="F235" s="173"/>
    </row>
    <row r="236" spans="5:6">
      <c r="E236" s="177"/>
      <c r="F236" s="173"/>
    </row>
    <row r="237" spans="5:6">
      <c r="E237" s="177"/>
      <c r="F237" s="173"/>
    </row>
    <row r="238" spans="5:6">
      <c r="E238" s="177"/>
      <c r="F238" s="173"/>
    </row>
    <row r="239" spans="5:6">
      <c r="E239" s="177"/>
      <c r="F239" s="173"/>
    </row>
    <row r="240" spans="5:6">
      <c r="E240" s="177"/>
      <c r="F240" s="173"/>
    </row>
    <row r="241" spans="5:6">
      <c r="E241" s="177"/>
      <c r="F241" s="173"/>
    </row>
    <row r="242" spans="5:6">
      <c r="E242" s="177"/>
      <c r="F242" s="173"/>
    </row>
    <row r="243" spans="5:6">
      <c r="E243" s="177"/>
      <c r="F243" s="173"/>
    </row>
    <row r="244" spans="5:6">
      <c r="E244" s="177"/>
      <c r="F244" s="173"/>
    </row>
    <row r="245" spans="5:6">
      <c r="E245" s="177"/>
      <c r="F245" s="173"/>
    </row>
    <row r="246" spans="5:6">
      <c r="E246" s="177"/>
      <c r="F246" s="173"/>
    </row>
    <row r="247" spans="5:6">
      <c r="E247" s="177"/>
      <c r="F247" s="173"/>
    </row>
    <row r="248" spans="5:6">
      <c r="E248" s="177"/>
      <c r="F248" s="173"/>
    </row>
    <row r="249" spans="5:6">
      <c r="E249" s="177"/>
      <c r="F249" s="173"/>
    </row>
    <row r="250" spans="5:6">
      <c r="E250" s="177"/>
      <c r="F250" s="173"/>
    </row>
    <row r="251" spans="5:6">
      <c r="E251" s="177"/>
      <c r="F251" s="173"/>
    </row>
    <row r="252" spans="5:6">
      <c r="E252" s="177"/>
      <c r="F252" s="173"/>
    </row>
    <row r="253" spans="5:6">
      <c r="E253" s="177"/>
      <c r="F253" s="173"/>
    </row>
    <row r="254" spans="5:6">
      <c r="E254" s="177"/>
      <c r="F254" s="173"/>
    </row>
    <row r="255" spans="5:6">
      <c r="E255" s="177"/>
      <c r="F255" s="173"/>
    </row>
    <row r="256" spans="5:6">
      <c r="E256" s="177"/>
      <c r="F256" s="173"/>
    </row>
    <row r="257" spans="5:6">
      <c r="E257" s="177"/>
      <c r="F257" s="173"/>
    </row>
    <row r="258" spans="5:6">
      <c r="E258" s="177"/>
      <c r="F258" s="173"/>
    </row>
    <row r="259" spans="5:6">
      <c r="E259" s="177"/>
      <c r="F259" s="173"/>
    </row>
    <row r="260" spans="5:6">
      <c r="E260" s="177"/>
      <c r="F260" s="173"/>
    </row>
    <row r="261" spans="5:6">
      <c r="E261" s="177"/>
      <c r="F261" s="173"/>
    </row>
    <row r="262" spans="5:6">
      <c r="E262" s="177"/>
      <c r="F262" s="173"/>
    </row>
    <row r="263" spans="5:6">
      <c r="E263" s="177"/>
      <c r="F263" s="173"/>
    </row>
    <row r="264" spans="5:6">
      <c r="E264" s="177"/>
      <c r="F264" s="173"/>
    </row>
    <row r="265" spans="5:6">
      <c r="E265" s="177"/>
      <c r="F265" s="173"/>
    </row>
    <row r="266" spans="5:6">
      <c r="E266" s="177"/>
      <c r="F266" s="173"/>
    </row>
    <row r="267" spans="5:6">
      <c r="E267" s="177"/>
      <c r="F267" s="173"/>
    </row>
    <row r="268" spans="5:6">
      <c r="E268" s="177"/>
      <c r="F268" s="173"/>
    </row>
    <row r="269" spans="5:6">
      <c r="E269" s="177"/>
      <c r="F269" s="173"/>
    </row>
    <row r="270" spans="5:6">
      <c r="E270" s="177"/>
      <c r="F270" s="173"/>
    </row>
    <row r="271" spans="5:6">
      <c r="E271" s="177"/>
      <c r="F271" s="173"/>
    </row>
    <row r="272" spans="5:6">
      <c r="E272" s="177"/>
      <c r="F272" s="173"/>
    </row>
    <row r="273" spans="5:6">
      <c r="E273" s="177"/>
      <c r="F273" s="173"/>
    </row>
    <row r="274" spans="5:6">
      <c r="E274" s="177"/>
      <c r="F274" s="173"/>
    </row>
    <row r="275" spans="5:6">
      <c r="E275" s="177"/>
      <c r="F275" s="173"/>
    </row>
    <row r="276" spans="5:6">
      <c r="E276" s="177"/>
      <c r="F276" s="173"/>
    </row>
    <row r="277" spans="5:6">
      <c r="E277" s="177"/>
      <c r="F277" s="173"/>
    </row>
    <row r="278" spans="5:6">
      <c r="E278" s="177"/>
      <c r="F278" s="173"/>
    </row>
    <row r="279" spans="5:6">
      <c r="E279" s="177"/>
      <c r="F279" s="173"/>
    </row>
    <row r="280" spans="5:6">
      <c r="E280" s="177"/>
      <c r="F280" s="173"/>
    </row>
    <row r="281" spans="5:6">
      <c r="E281" s="177"/>
      <c r="F281" s="173"/>
    </row>
    <row r="282" spans="5:6">
      <c r="E282" s="177"/>
      <c r="F282" s="173"/>
    </row>
    <row r="283" spans="5:6">
      <c r="E283" s="177"/>
      <c r="F283" s="173"/>
    </row>
    <row r="284" spans="5:6">
      <c r="E284" s="177"/>
      <c r="F284" s="173"/>
    </row>
    <row r="285" spans="5:6">
      <c r="E285" s="177"/>
      <c r="F285" s="173"/>
    </row>
    <row r="286" spans="5:6">
      <c r="E286" s="177"/>
      <c r="F286" s="173"/>
    </row>
    <row r="287" spans="5:6">
      <c r="E287" s="177"/>
      <c r="F287" s="173"/>
    </row>
    <row r="288" spans="5:6">
      <c r="E288" s="177"/>
      <c r="F288" s="173"/>
    </row>
    <row r="289" spans="5:6">
      <c r="E289" s="177"/>
      <c r="F289" s="173"/>
    </row>
    <row r="290" spans="5:6">
      <c r="E290" s="177"/>
      <c r="F290" s="173"/>
    </row>
    <row r="291" spans="5:6">
      <c r="E291" s="177"/>
      <c r="F291" s="173"/>
    </row>
    <row r="292" spans="5:6">
      <c r="E292" s="177"/>
      <c r="F292" s="173"/>
    </row>
    <row r="293" spans="5:6">
      <c r="E293" s="177"/>
      <c r="F293" s="173"/>
    </row>
    <row r="294" spans="5:6">
      <c r="E294" s="177"/>
      <c r="F294" s="173"/>
    </row>
    <row r="295" spans="5:6">
      <c r="E295" s="177"/>
      <c r="F295" s="173"/>
    </row>
    <row r="296" spans="5:6">
      <c r="E296" s="177"/>
      <c r="F296" s="173"/>
    </row>
    <row r="297" spans="5:6">
      <c r="E297" s="177"/>
      <c r="F297" s="173"/>
    </row>
    <row r="298" spans="5:6">
      <c r="E298" s="177"/>
      <c r="F298" s="173"/>
    </row>
    <row r="299" spans="5:6">
      <c r="E299" s="177"/>
      <c r="F299" s="173"/>
    </row>
    <row r="300" spans="5:6">
      <c r="E300" s="177"/>
      <c r="F300" s="173"/>
    </row>
    <row r="301" spans="5:6">
      <c r="E301" s="177"/>
      <c r="F301" s="173"/>
    </row>
    <row r="302" spans="5:6">
      <c r="E302" s="177"/>
      <c r="F302" s="173"/>
    </row>
    <row r="303" spans="5:6">
      <c r="E303" s="177"/>
      <c r="F303" s="173"/>
    </row>
    <row r="304" spans="5:6">
      <c r="E304" s="177"/>
      <c r="F304" s="173"/>
    </row>
    <row r="305" spans="5:6">
      <c r="E305" s="177"/>
      <c r="F305" s="173"/>
    </row>
    <row r="306" spans="5:6">
      <c r="E306" s="177"/>
      <c r="F306" s="173"/>
    </row>
    <row r="307" spans="5:6">
      <c r="E307" s="177"/>
      <c r="F307" s="173"/>
    </row>
    <row r="308" spans="5:6">
      <c r="E308" s="177"/>
      <c r="F308" s="173"/>
    </row>
    <row r="309" spans="5:6">
      <c r="E309" s="177"/>
      <c r="F309" s="173"/>
    </row>
    <row r="310" spans="5:6">
      <c r="E310" s="177"/>
      <c r="F310" s="173"/>
    </row>
    <row r="311" spans="5:6">
      <c r="E311" s="177"/>
      <c r="F311" s="173"/>
    </row>
    <row r="312" spans="5:6">
      <c r="E312" s="177"/>
      <c r="F312" s="173"/>
    </row>
    <row r="313" spans="5:6">
      <c r="E313" s="177"/>
      <c r="F313" s="173"/>
    </row>
    <row r="314" spans="5:6">
      <c r="E314" s="177"/>
      <c r="F314" s="173"/>
    </row>
    <row r="315" spans="5:6">
      <c r="E315" s="177"/>
      <c r="F315" s="173"/>
    </row>
    <row r="316" spans="5:6">
      <c r="E316" s="177"/>
      <c r="F316" s="173"/>
    </row>
    <row r="317" spans="5:6">
      <c r="E317" s="177"/>
      <c r="F317" s="173"/>
    </row>
    <row r="318" spans="5:6">
      <c r="E318" s="177"/>
      <c r="F318" s="173"/>
    </row>
    <row r="319" spans="5:6">
      <c r="E319" s="177"/>
      <c r="F319" s="173"/>
    </row>
    <row r="320" spans="5:6">
      <c r="E320" s="177"/>
      <c r="F320" s="173"/>
    </row>
    <row r="321" spans="5:6">
      <c r="E321" s="177"/>
      <c r="F321" s="173"/>
    </row>
    <row r="322" spans="5:6">
      <c r="E322" s="177"/>
      <c r="F322" s="173"/>
    </row>
    <row r="323" spans="5:6">
      <c r="E323" s="177"/>
      <c r="F323" s="173"/>
    </row>
    <row r="324" spans="5:6">
      <c r="E324" s="177"/>
      <c r="F324" s="173"/>
    </row>
    <row r="325" spans="5:6">
      <c r="E325" s="177"/>
      <c r="F325" s="173"/>
    </row>
    <row r="326" spans="5:6">
      <c r="E326" s="177"/>
      <c r="F326" s="173"/>
    </row>
    <row r="327" spans="5:6">
      <c r="E327" s="177"/>
      <c r="F327" s="173"/>
    </row>
    <row r="328" spans="5:6">
      <c r="E328" s="177"/>
      <c r="F328" s="173"/>
    </row>
    <row r="329" spans="5:6">
      <c r="E329" s="177"/>
      <c r="F329" s="173"/>
    </row>
    <row r="330" spans="5:6">
      <c r="E330" s="177"/>
      <c r="F330" s="173"/>
    </row>
    <row r="331" spans="5:6">
      <c r="E331" s="177"/>
      <c r="F331" s="173"/>
    </row>
    <row r="332" spans="5:6">
      <c r="E332" s="177"/>
      <c r="F332" s="173"/>
    </row>
    <row r="333" spans="5:6">
      <c r="E333" s="177"/>
      <c r="F333" s="173"/>
    </row>
    <row r="334" spans="5:6">
      <c r="E334" s="177"/>
      <c r="F334" s="173"/>
    </row>
    <row r="335" spans="5:6">
      <c r="E335" s="177"/>
      <c r="F335" s="173"/>
    </row>
    <row r="336" spans="5:6">
      <c r="E336" s="177"/>
      <c r="F336" s="173"/>
    </row>
    <row r="337" spans="5:6">
      <c r="E337" s="177"/>
      <c r="F337" s="173"/>
    </row>
    <row r="338" spans="5:6">
      <c r="E338" s="177"/>
      <c r="F338" s="173"/>
    </row>
    <row r="339" spans="5:6">
      <c r="E339" s="177"/>
      <c r="F339" s="173"/>
    </row>
    <row r="340" spans="5:6">
      <c r="E340" s="177"/>
      <c r="F340" s="173"/>
    </row>
    <row r="341" spans="5:6">
      <c r="E341" s="177"/>
      <c r="F341" s="173"/>
    </row>
    <row r="342" spans="5:6">
      <c r="E342" s="177"/>
      <c r="F342" s="173"/>
    </row>
    <row r="343" spans="5:6">
      <c r="E343" s="177"/>
      <c r="F343" s="173"/>
    </row>
    <row r="344" spans="5:6">
      <c r="E344" s="177"/>
      <c r="F344" s="173"/>
    </row>
    <row r="345" spans="5:6">
      <c r="E345" s="177"/>
      <c r="F345" s="173"/>
    </row>
    <row r="346" spans="5:6">
      <c r="E346" s="177"/>
      <c r="F346" s="173"/>
    </row>
    <row r="347" spans="5:6">
      <c r="E347" s="177"/>
      <c r="F347" s="173"/>
    </row>
    <row r="348" spans="5:6">
      <c r="E348" s="177"/>
      <c r="F348" s="173"/>
    </row>
    <row r="349" spans="5:6">
      <c r="E349" s="177"/>
      <c r="F349" s="173"/>
    </row>
    <row r="350" spans="5:6">
      <c r="E350" s="177"/>
      <c r="F350" s="173"/>
    </row>
    <row r="351" spans="5:6">
      <c r="E351" s="177"/>
      <c r="F351" s="173"/>
    </row>
    <row r="352" spans="5:6">
      <c r="E352" s="177"/>
      <c r="F352" s="173"/>
    </row>
    <row r="353" spans="5:6">
      <c r="E353" s="177"/>
      <c r="F353" s="173"/>
    </row>
    <row r="354" spans="5:6">
      <c r="E354" s="177"/>
      <c r="F354" s="173"/>
    </row>
    <row r="355" spans="5:6">
      <c r="E355" s="177"/>
      <c r="F355" s="173"/>
    </row>
    <row r="356" spans="5:6">
      <c r="E356" s="177"/>
      <c r="F356" s="173"/>
    </row>
    <row r="357" spans="5:6">
      <c r="E357" s="177"/>
      <c r="F357" s="173"/>
    </row>
    <row r="358" spans="5:6">
      <c r="E358" s="177"/>
      <c r="F358" s="173"/>
    </row>
    <row r="359" spans="5:6">
      <c r="E359" s="177"/>
      <c r="F359" s="173"/>
    </row>
    <row r="360" spans="5:6">
      <c r="E360" s="177"/>
      <c r="F360" s="173"/>
    </row>
    <row r="361" spans="5:6">
      <c r="E361" s="177"/>
      <c r="F361" s="173"/>
    </row>
    <row r="362" spans="5:6">
      <c r="E362" s="177"/>
      <c r="F362" s="173"/>
    </row>
    <row r="363" spans="5:6">
      <c r="E363" s="177"/>
      <c r="F363" s="173"/>
    </row>
    <row r="364" spans="5:6">
      <c r="E364" s="177"/>
      <c r="F364" s="173"/>
    </row>
    <row r="365" spans="5:6">
      <c r="E365" s="177"/>
      <c r="F365" s="173"/>
    </row>
    <row r="366" spans="5:6">
      <c r="E366" s="177"/>
      <c r="F366" s="173"/>
    </row>
    <row r="367" spans="5:6">
      <c r="E367" s="177"/>
      <c r="F367" s="173"/>
    </row>
    <row r="368" spans="5:6">
      <c r="E368" s="177"/>
      <c r="F368" s="173"/>
    </row>
    <row r="369" spans="5:6">
      <c r="E369" s="177"/>
      <c r="F369" s="173"/>
    </row>
    <row r="370" spans="5:6">
      <c r="E370" s="177"/>
      <c r="F370" s="173"/>
    </row>
    <row r="371" spans="5:6">
      <c r="E371" s="177"/>
      <c r="F371" s="173"/>
    </row>
    <row r="372" spans="5:6">
      <c r="E372" s="177"/>
      <c r="F372" s="173"/>
    </row>
    <row r="373" spans="5:6">
      <c r="E373" s="177"/>
      <c r="F373" s="173"/>
    </row>
    <row r="374" spans="5:6">
      <c r="E374" s="177"/>
      <c r="F374" s="173"/>
    </row>
    <row r="375" spans="5:6">
      <c r="E375" s="177"/>
      <c r="F375" s="173"/>
    </row>
    <row r="376" spans="5:6">
      <c r="E376" s="177"/>
      <c r="F376" s="173"/>
    </row>
    <row r="377" spans="5:6">
      <c r="E377" s="177"/>
      <c r="F377" s="173"/>
    </row>
    <row r="378" spans="5:6">
      <c r="E378" s="177"/>
      <c r="F378" s="173"/>
    </row>
    <row r="379" spans="5:6">
      <c r="E379" s="177"/>
      <c r="F379" s="173"/>
    </row>
    <row r="380" spans="5:6">
      <c r="E380" s="177"/>
      <c r="F380" s="173"/>
    </row>
    <row r="381" spans="5:6">
      <c r="E381" s="177"/>
      <c r="F381" s="173"/>
    </row>
    <row r="382" spans="5:6">
      <c r="E382" s="177"/>
      <c r="F382" s="173"/>
    </row>
    <row r="383" spans="5:6">
      <c r="E383" s="177"/>
      <c r="F383" s="173"/>
    </row>
    <row r="384" spans="5:6">
      <c r="E384" s="177"/>
      <c r="F384" s="173"/>
    </row>
    <row r="385" spans="5:6">
      <c r="E385" s="177"/>
      <c r="F385" s="173"/>
    </row>
    <row r="386" spans="5:6">
      <c r="E386" s="177"/>
      <c r="F386" s="173"/>
    </row>
    <row r="387" spans="5:6">
      <c r="E387" s="177"/>
      <c r="F387" s="173"/>
    </row>
    <row r="388" spans="5:6">
      <c r="E388" s="177"/>
      <c r="F388" s="173"/>
    </row>
    <row r="389" spans="5:6">
      <c r="E389" s="177"/>
      <c r="F389" s="173"/>
    </row>
    <row r="390" spans="5:6">
      <c r="E390" s="177"/>
      <c r="F390" s="173"/>
    </row>
    <row r="391" spans="5:6">
      <c r="E391" s="177"/>
      <c r="F391" s="173"/>
    </row>
    <row r="392" spans="5:6">
      <c r="E392" s="177"/>
      <c r="F392" s="173"/>
    </row>
    <row r="393" spans="5:6">
      <c r="E393" s="177"/>
      <c r="F393" s="173"/>
    </row>
    <row r="394" spans="5:6">
      <c r="E394" s="177"/>
      <c r="F394" s="173"/>
    </row>
    <row r="395" spans="5:6">
      <c r="E395" s="177"/>
      <c r="F395" s="173"/>
    </row>
    <row r="396" spans="5:6">
      <c r="E396" s="177"/>
      <c r="F396" s="173"/>
    </row>
    <row r="397" spans="5:6">
      <c r="E397" s="177"/>
      <c r="F397" s="173"/>
    </row>
    <row r="398" spans="5:6">
      <c r="E398" s="177"/>
      <c r="F398" s="173"/>
    </row>
    <row r="399" spans="5:6">
      <c r="E399" s="177"/>
      <c r="F399" s="173"/>
    </row>
    <row r="400" spans="5:6">
      <c r="E400" s="177"/>
      <c r="F400" s="173"/>
    </row>
    <row r="401" spans="5:6">
      <c r="E401" s="177"/>
      <c r="F401" s="173"/>
    </row>
    <row r="402" spans="5:6">
      <c r="E402" s="177"/>
      <c r="F402" s="173"/>
    </row>
    <row r="403" spans="5:6">
      <c r="E403" s="177"/>
      <c r="F403" s="173"/>
    </row>
    <row r="404" spans="5:6">
      <c r="E404" s="177"/>
      <c r="F404" s="173"/>
    </row>
    <row r="405" spans="5:6">
      <c r="E405" s="177"/>
      <c r="F405" s="173"/>
    </row>
    <row r="406" spans="5:6">
      <c r="E406" s="177"/>
      <c r="F406" s="173"/>
    </row>
    <row r="407" spans="5:6">
      <c r="E407" s="177"/>
      <c r="F407" s="173"/>
    </row>
    <row r="408" spans="5:6">
      <c r="E408" s="177"/>
      <c r="F408" s="173"/>
    </row>
    <row r="409" spans="5:6">
      <c r="E409" s="177"/>
      <c r="F409" s="173"/>
    </row>
    <row r="410" spans="5:6">
      <c r="E410" s="177"/>
      <c r="F410" s="173"/>
    </row>
    <row r="411" spans="5:6">
      <c r="E411" s="177"/>
      <c r="F411" s="173"/>
    </row>
    <row r="412" spans="5:6">
      <c r="E412" s="177"/>
      <c r="F412" s="173"/>
    </row>
    <row r="413" spans="5:6">
      <c r="E413" s="177"/>
      <c r="F413" s="173"/>
    </row>
    <row r="414" spans="5:6">
      <c r="E414" s="177"/>
      <c r="F414" s="173"/>
    </row>
    <row r="415" spans="5:6">
      <c r="E415" s="177"/>
      <c r="F415" s="173"/>
    </row>
    <row r="416" spans="5:6">
      <c r="E416" s="177"/>
      <c r="F416" s="173"/>
    </row>
    <row r="417" spans="5:6">
      <c r="E417" s="177"/>
      <c r="F417" s="173"/>
    </row>
    <row r="418" spans="5:6">
      <c r="E418" s="177"/>
      <c r="F418" s="173"/>
    </row>
    <row r="419" spans="5:6">
      <c r="E419" s="177"/>
      <c r="F419" s="173"/>
    </row>
    <row r="420" spans="5:6">
      <c r="E420" s="177"/>
      <c r="F420" s="173"/>
    </row>
    <row r="421" spans="5:6">
      <c r="E421" s="177"/>
      <c r="F421" s="173"/>
    </row>
    <row r="422" spans="5:6">
      <c r="E422" s="177"/>
      <c r="F422" s="173"/>
    </row>
    <row r="423" spans="5:6">
      <c r="E423" s="177"/>
      <c r="F423" s="173"/>
    </row>
    <row r="424" spans="5:6">
      <c r="E424" s="177"/>
      <c r="F424" s="173"/>
    </row>
    <row r="425" spans="5:6">
      <c r="E425" s="177"/>
      <c r="F425" s="173"/>
    </row>
    <row r="426" spans="5:6">
      <c r="E426" s="177"/>
      <c r="F426" s="173"/>
    </row>
    <row r="427" spans="5:6">
      <c r="E427" s="177"/>
      <c r="F427" s="173"/>
    </row>
    <row r="428" spans="5:6">
      <c r="E428" s="177"/>
      <c r="F428" s="173"/>
    </row>
    <row r="429" spans="5:6">
      <c r="E429" s="177"/>
      <c r="F429" s="173"/>
    </row>
    <row r="430" spans="5:6">
      <c r="E430" s="177"/>
      <c r="F430" s="173"/>
    </row>
    <row r="431" spans="5:6">
      <c r="E431" s="177"/>
      <c r="F431" s="173"/>
    </row>
    <row r="432" spans="5:6">
      <c r="E432" s="177"/>
      <c r="F432" s="173"/>
    </row>
    <row r="433" spans="5:6">
      <c r="E433" s="177"/>
      <c r="F433" s="173"/>
    </row>
    <row r="434" spans="5:6">
      <c r="E434" s="177"/>
      <c r="F434" s="173"/>
    </row>
    <row r="435" spans="5:6">
      <c r="E435" s="177"/>
      <c r="F435" s="173"/>
    </row>
    <row r="436" spans="5:6">
      <c r="E436" s="177"/>
      <c r="F436" s="173"/>
    </row>
    <row r="437" spans="5:6">
      <c r="E437" s="177"/>
      <c r="F437" s="173"/>
    </row>
    <row r="438" spans="5:6">
      <c r="E438" s="177"/>
      <c r="F438" s="173"/>
    </row>
    <row r="439" spans="5:6">
      <c r="E439" s="177"/>
      <c r="F439" s="173"/>
    </row>
    <row r="440" spans="5:6">
      <c r="E440" s="177"/>
      <c r="F440" s="173"/>
    </row>
    <row r="441" spans="5:6">
      <c r="E441" s="177"/>
      <c r="F441" s="173"/>
    </row>
    <row r="442" spans="5:6">
      <c r="E442" s="177"/>
      <c r="F442" s="173"/>
    </row>
    <row r="443" spans="5:6">
      <c r="E443" s="177"/>
      <c r="F443" s="173"/>
    </row>
    <row r="444" spans="5:6">
      <c r="E444" s="177"/>
      <c r="F444" s="173"/>
    </row>
    <row r="445" spans="5:6">
      <c r="E445" s="177"/>
      <c r="F445" s="173"/>
    </row>
    <row r="446" spans="5:6">
      <c r="E446" s="177"/>
      <c r="F446" s="173"/>
    </row>
    <row r="447" spans="5:6">
      <c r="E447" s="177"/>
      <c r="F447" s="173"/>
    </row>
    <row r="448" spans="5:6">
      <c r="E448" s="177"/>
      <c r="F448" s="173"/>
    </row>
    <row r="449" spans="5:6">
      <c r="E449" s="177"/>
      <c r="F449" s="173"/>
    </row>
    <row r="450" spans="5:6">
      <c r="E450" s="177"/>
      <c r="F450" s="173"/>
    </row>
    <row r="451" spans="5:6">
      <c r="E451" s="177"/>
      <c r="F451" s="173"/>
    </row>
    <row r="452" spans="5:6">
      <c r="E452" s="177"/>
      <c r="F452" s="173"/>
    </row>
    <row r="453" spans="5:6">
      <c r="E453" s="177"/>
      <c r="F453" s="173"/>
    </row>
    <row r="454" spans="5:6">
      <c r="E454" s="177"/>
      <c r="F454" s="173"/>
    </row>
    <row r="455" spans="5:6">
      <c r="E455" s="177"/>
      <c r="F455" s="173"/>
    </row>
    <row r="456" spans="5:6">
      <c r="E456" s="177"/>
      <c r="F456" s="173"/>
    </row>
    <row r="457" spans="5:6">
      <c r="E457" s="177"/>
      <c r="F457" s="173"/>
    </row>
    <row r="458" spans="5:6">
      <c r="E458" s="177"/>
      <c r="F458" s="173"/>
    </row>
    <row r="459" spans="5:6">
      <c r="E459" s="177"/>
      <c r="F459" s="173"/>
    </row>
    <row r="460" spans="5:6">
      <c r="E460" s="177"/>
      <c r="F460" s="173"/>
    </row>
    <row r="461" spans="5:6">
      <c r="E461" s="177"/>
      <c r="F461" s="173"/>
    </row>
    <row r="462" spans="5:6">
      <c r="E462" s="177"/>
      <c r="F462" s="173"/>
    </row>
    <row r="463" spans="5:6">
      <c r="E463" s="177"/>
      <c r="F463" s="173"/>
    </row>
    <row r="464" spans="5:6">
      <c r="E464" s="177"/>
      <c r="F464" s="173"/>
    </row>
    <row r="465" spans="5:6">
      <c r="E465" s="177"/>
      <c r="F465" s="173"/>
    </row>
    <row r="466" spans="5:6">
      <c r="E466" s="177"/>
      <c r="F466" s="173"/>
    </row>
    <row r="467" spans="5:6">
      <c r="E467" s="177"/>
      <c r="F467" s="173"/>
    </row>
    <row r="468" spans="5:6">
      <c r="E468" s="177"/>
      <c r="F468" s="173"/>
    </row>
    <row r="469" spans="5:6">
      <c r="E469" s="177"/>
      <c r="F469" s="173"/>
    </row>
    <row r="470" spans="5:6">
      <c r="E470" s="177"/>
      <c r="F470" s="173"/>
    </row>
    <row r="471" spans="5:6">
      <c r="E471" s="177"/>
      <c r="F471" s="173"/>
    </row>
    <row r="472" spans="5:6">
      <c r="E472" s="177"/>
      <c r="F472" s="173"/>
    </row>
    <row r="473" spans="5:6">
      <c r="E473" s="177"/>
      <c r="F473" s="173"/>
    </row>
    <row r="474" spans="5:6">
      <c r="E474" s="177"/>
      <c r="F474" s="173"/>
    </row>
    <row r="475" spans="5:6">
      <c r="E475" s="177"/>
      <c r="F475" s="173"/>
    </row>
    <row r="476" spans="5:6">
      <c r="E476" s="177"/>
      <c r="F476" s="173"/>
    </row>
    <row r="477" spans="5:6">
      <c r="E477" s="177"/>
      <c r="F477" s="173"/>
    </row>
    <row r="478" spans="5:6">
      <c r="E478" s="177"/>
      <c r="F478" s="173"/>
    </row>
    <row r="479" spans="5:6">
      <c r="E479" s="177"/>
      <c r="F479" s="173"/>
    </row>
    <row r="480" spans="5:6">
      <c r="E480" s="177"/>
      <c r="F480" s="173"/>
    </row>
    <row r="481" spans="5:6">
      <c r="E481" s="177"/>
      <c r="F481" s="173"/>
    </row>
    <row r="482" spans="5:6">
      <c r="E482" s="177"/>
      <c r="F482" s="173"/>
    </row>
    <row r="483" spans="5:6">
      <c r="E483" s="177"/>
      <c r="F483" s="173"/>
    </row>
    <row r="484" spans="5:6">
      <c r="E484" s="177"/>
      <c r="F484" s="173"/>
    </row>
    <row r="485" spans="5:6">
      <c r="E485" s="177"/>
      <c r="F485" s="173"/>
    </row>
    <row r="486" spans="5:6">
      <c r="E486" s="177"/>
      <c r="F486" s="173"/>
    </row>
    <row r="487" spans="5:6">
      <c r="E487" s="177"/>
      <c r="F487" s="173"/>
    </row>
    <row r="488" spans="5:6">
      <c r="E488" s="177"/>
      <c r="F488" s="173"/>
    </row>
    <row r="489" spans="5:6">
      <c r="E489" s="177"/>
      <c r="F489" s="173"/>
    </row>
    <row r="490" spans="5:6">
      <c r="E490" s="177"/>
      <c r="F490" s="173"/>
    </row>
    <row r="491" spans="5:6">
      <c r="E491" s="177"/>
      <c r="F491" s="173"/>
    </row>
    <row r="492" spans="5:6">
      <c r="E492" s="177"/>
      <c r="F492" s="173"/>
    </row>
    <row r="493" spans="5:6">
      <c r="E493" s="177"/>
      <c r="F493" s="173"/>
    </row>
    <row r="494" spans="5:6">
      <c r="E494" s="177"/>
      <c r="F494" s="173"/>
    </row>
    <row r="495" spans="5:6">
      <c r="E495" s="177"/>
      <c r="F495" s="173"/>
    </row>
    <row r="496" spans="5:6">
      <c r="E496" s="177"/>
      <c r="F496" s="173"/>
    </row>
    <row r="497" spans="5:6">
      <c r="E497" s="177"/>
      <c r="F497" s="173"/>
    </row>
    <row r="498" spans="5:6">
      <c r="E498" s="177"/>
      <c r="F498" s="173"/>
    </row>
    <row r="499" spans="5:6">
      <c r="E499" s="177"/>
      <c r="F499" s="173"/>
    </row>
    <row r="500" spans="5:6">
      <c r="E500" s="177"/>
      <c r="F500" s="173"/>
    </row>
    <row r="501" spans="5:6">
      <c r="E501" s="177"/>
      <c r="F501" s="173"/>
    </row>
    <row r="502" spans="5:6">
      <c r="E502" s="177"/>
      <c r="F502" s="173"/>
    </row>
    <row r="503" spans="5:6">
      <c r="E503" s="177"/>
      <c r="F503" s="173"/>
    </row>
    <row r="504" spans="5:6">
      <c r="E504" s="177"/>
      <c r="F504" s="173"/>
    </row>
    <row r="505" spans="5:6">
      <c r="E505" s="177"/>
      <c r="F505" s="173"/>
    </row>
    <row r="506" spans="5:6">
      <c r="E506" s="177"/>
      <c r="F506" s="173"/>
    </row>
    <row r="507" spans="5:6">
      <c r="E507" s="177"/>
      <c r="F507" s="173"/>
    </row>
    <row r="508" spans="5:6">
      <c r="E508" s="177"/>
      <c r="F508" s="173"/>
    </row>
    <row r="509" spans="5:6">
      <c r="E509" s="177"/>
      <c r="F509" s="173"/>
    </row>
    <row r="510" spans="5:6">
      <c r="E510" s="177"/>
      <c r="F510" s="173"/>
    </row>
    <row r="511" spans="5:6">
      <c r="E511" s="177"/>
      <c r="F511" s="173"/>
    </row>
    <row r="512" spans="5:6">
      <c r="E512" s="177"/>
      <c r="F512" s="173"/>
    </row>
    <row r="513" spans="5:6">
      <c r="E513" s="177"/>
      <c r="F513" s="173"/>
    </row>
    <row r="514" spans="5:6">
      <c r="E514" s="177"/>
      <c r="F514" s="173"/>
    </row>
    <row r="515" spans="5:6">
      <c r="E515" s="177"/>
      <c r="F515" s="173"/>
    </row>
    <row r="516" spans="5:6">
      <c r="E516" s="177"/>
      <c r="F516" s="173"/>
    </row>
    <row r="517" spans="5:6">
      <c r="E517" s="177"/>
      <c r="F517" s="173"/>
    </row>
    <row r="518" spans="5:6">
      <c r="E518" s="177"/>
      <c r="F518" s="173"/>
    </row>
    <row r="519" spans="5:6">
      <c r="E519" s="177"/>
      <c r="F519" s="173"/>
    </row>
    <row r="520" spans="5:6">
      <c r="E520" s="177"/>
      <c r="F520" s="173"/>
    </row>
    <row r="521" spans="5:6">
      <c r="E521" s="177"/>
      <c r="F521" s="173"/>
    </row>
    <row r="522" spans="5:6">
      <c r="E522" s="177"/>
      <c r="F522" s="173"/>
    </row>
    <row r="523" spans="5:6">
      <c r="E523" s="177"/>
      <c r="F523" s="173"/>
    </row>
    <row r="524" spans="5:6">
      <c r="E524" s="177"/>
      <c r="F524" s="173"/>
    </row>
    <row r="525" spans="5:6">
      <c r="E525" s="177"/>
      <c r="F525" s="173"/>
    </row>
    <row r="526" spans="5:6">
      <c r="E526" s="177"/>
      <c r="F526" s="173"/>
    </row>
    <row r="527" spans="5:6">
      <c r="E527" s="177"/>
      <c r="F527" s="173"/>
    </row>
    <row r="528" spans="5:6">
      <c r="E528" s="177"/>
      <c r="F528" s="173"/>
    </row>
    <row r="529" spans="5:6">
      <c r="E529" s="177"/>
      <c r="F529" s="173"/>
    </row>
    <row r="530" spans="5:6">
      <c r="E530" s="177"/>
      <c r="F530" s="173"/>
    </row>
    <row r="531" spans="5:6">
      <c r="E531" s="177"/>
      <c r="F531" s="173"/>
    </row>
    <row r="532" spans="5:6">
      <c r="E532" s="177"/>
      <c r="F532" s="173"/>
    </row>
    <row r="533" spans="5:6">
      <c r="E533" s="177"/>
      <c r="F533" s="173"/>
    </row>
    <row r="534" spans="5:6">
      <c r="E534" s="177"/>
      <c r="F534" s="173"/>
    </row>
    <row r="535" spans="5:6">
      <c r="E535" s="177"/>
      <c r="F535" s="173"/>
    </row>
    <row r="536" spans="5:6">
      <c r="E536" s="177"/>
      <c r="F536" s="173"/>
    </row>
    <row r="537" spans="5:6">
      <c r="E537" s="177"/>
      <c r="F537" s="173"/>
    </row>
    <row r="538" spans="5:6">
      <c r="E538" s="177"/>
      <c r="F538" s="173"/>
    </row>
    <row r="539" spans="5:6">
      <c r="E539" s="177"/>
      <c r="F539" s="173"/>
    </row>
    <row r="540" spans="5:6">
      <c r="E540" s="177"/>
      <c r="F540" s="173"/>
    </row>
    <row r="541" spans="5:6">
      <c r="E541" s="177"/>
      <c r="F541" s="173"/>
    </row>
    <row r="542" spans="5:6">
      <c r="E542" s="177"/>
      <c r="F542" s="173"/>
    </row>
    <row r="543" spans="5:6">
      <c r="E543" s="177"/>
      <c r="F543" s="173"/>
    </row>
    <row r="544" spans="5:6">
      <c r="E544" s="177"/>
      <c r="F544" s="173"/>
    </row>
    <row r="545" spans="5:6">
      <c r="E545" s="177"/>
      <c r="F545" s="173"/>
    </row>
    <row r="546" spans="5:6">
      <c r="E546" s="177"/>
      <c r="F546" s="173"/>
    </row>
    <row r="547" spans="5:6">
      <c r="E547" s="177"/>
      <c r="F547" s="173"/>
    </row>
    <row r="548" spans="5:6">
      <c r="E548" s="177"/>
      <c r="F548" s="173"/>
    </row>
    <row r="549" spans="5:6">
      <c r="E549" s="177"/>
      <c r="F549" s="173"/>
    </row>
    <row r="550" spans="5:6">
      <c r="E550" s="177"/>
      <c r="F550" s="173"/>
    </row>
    <row r="551" spans="5:6">
      <c r="E551" s="177"/>
      <c r="F551" s="173"/>
    </row>
    <row r="552" spans="5:6">
      <c r="E552" s="177"/>
      <c r="F552" s="173"/>
    </row>
    <row r="553" spans="5:6">
      <c r="E553" s="177"/>
      <c r="F553" s="173"/>
    </row>
    <row r="554" spans="5:6">
      <c r="E554" s="177"/>
      <c r="F554" s="173"/>
    </row>
    <row r="555" spans="5:6">
      <c r="E555" s="177"/>
      <c r="F555" s="173"/>
    </row>
    <row r="556" spans="5:6">
      <c r="E556" s="177"/>
      <c r="F556" s="173"/>
    </row>
    <row r="557" spans="5:6">
      <c r="E557" s="177"/>
      <c r="F557" s="173"/>
    </row>
    <row r="558" spans="5:6">
      <c r="E558" s="177"/>
      <c r="F558" s="173"/>
    </row>
    <row r="559" spans="5:6">
      <c r="E559" s="177"/>
      <c r="F559" s="173"/>
    </row>
    <row r="560" spans="5:6">
      <c r="E560" s="177"/>
      <c r="F560" s="173"/>
    </row>
    <row r="561" spans="5:6">
      <c r="E561" s="177"/>
      <c r="F561" s="173"/>
    </row>
    <row r="562" spans="5:6">
      <c r="E562" s="177"/>
      <c r="F562" s="173"/>
    </row>
    <row r="563" spans="5:6">
      <c r="E563" s="177"/>
      <c r="F563" s="173"/>
    </row>
    <row r="564" spans="5:6">
      <c r="E564" s="177"/>
      <c r="F564" s="173"/>
    </row>
    <row r="565" spans="5:6">
      <c r="E565" s="177"/>
      <c r="F565" s="173"/>
    </row>
    <row r="566" spans="5:6">
      <c r="E566" s="177"/>
      <c r="F566" s="173"/>
    </row>
    <row r="567" spans="5:6">
      <c r="E567" s="177"/>
      <c r="F567" s="173"/>
    </row>
    <row r="568" spans="5:6">
      <c r="E568" s="177"/>
      <c r="F568" s="173"/>
    </row>
    <row r="569" spans="5:6">
      <c r="E569" s="177"/>
      <c r="F569" s="173"/>
    </row>
    <row r="570" spans="5:6">
      <c r="E570" s="177"/>
      <c r="F570" s="173"/>
    </row>
    <row r="571" spans="5:6">
      <c r="E571" s="177"/>
      <c r="F571" s="173"/>
    </row>
    <row r="572" spans="5:6">
      <c r="E572" s="177"/>
      <c r="F572" s="173"/>
    </row>
    <row r="573" spans="5:6">
      <c r="E573" s="177"/>
      <c r="F573" s="173"/>
    </row>
    <row r="574" spans="5:6">
      <c r="E574" s="177"/>
      <c r="F574" s="173"/>
    </row>
    <row r="575" spans="5:6">
      <c r="E575" s="177"/>
      <c r="F575" s="173"/>
    </row>
    <row r="576" spans="5:6">
      <c r="E576" s="177"/>
      <c r="F576" s="173"/>
    </row>
    <row r="577" spans="5:6">
      <c r="E577" s="177"/>
      <c r="F577" s="173"/>
    </row>
    <row r="578" spans="5:6">
      <c r="E578" s="177"/>
      <c r="F578" s="173"/>
    </row>
    <row r="579" spans="5:6">
      <c r="E579" s="177"/>
      <c r="F579" s="173"/>
    </row>
    <row r="580" spans="5:6">
      <c r="E580" s="177"/>
      <c r="F580" s="173"/>
    </row>
    <row r="581" spans="5:6">
      <c r="E581" s="177"/>
      <c r="F581" s="173"/>
    </row>
    <row r="582" spans="5:6">
      <c r="E582" s="177"/>
      <c r="F582" s="173"/>
    </row>
    <row r="583" spans="5:6">
      <c r="E583" s="177"/>
      <c r="F583" s="173"/>
    </row>
    <row r="584" spans="5:6">
      <c r="E584" s="177"/>
      <c r="F584" s="173"/>
    </row>
    <row r="585" spans="5:6">
      <c r="E585" s="177"/>
      <c r="F585" s="173"/>
    </row>
    <row r="586" spans="5:6">
      <c r="E586" s="177"/>
      <c r="F586" s="173"/>
    </row>
    <row r="587" spans="5:6">
      <c r="E587" s="177"/>
      <c r="F587" s="173"/>
    </row>
    <row r="588" spans="5:6">
      <c r="E588" s="177"/>
      <c r="F588" s="173"/>
    </row>
    <row r="589" spans="5:6">
      <c r="E589" s="177"/>
      <c r="F589" s="173"/>
    </row>
    <row r="590" spans="5:6">
      <c r="E590" s="177"/>
      <c r="F590" s="173"/>
    </row>
    <row r="591" spans="5:6">
      <c r="E591" s="177"/>
      <c r="F591" s="173"/>
    </row>
    <row r="592" spans="5:6">
      <c r="E592" s="177"/>
      <c r="F592" s="173"/>
    </row>
    <row r="593" spans="5:6">
      <c r="E593" s="177"/>
      <c r="F593" s="173"/>
    </row>
    <row r="594" spans="5:6">
      <c r="E594" s="177"/>
      <c r="F594" s="173"/>
    </row>
    <row r="595" spans="5:6">
      <c r="E595" s="177"/>
      <c r="F595" s="173"/>
    </row>
    <row r="596" spans="5:6">
      <c r="E596" s="177"/>
      <c r="F596" s="173"/>
    </row>
    <row r="597" spans="5:6">
      <c r="E597" s="177"/>
      <c r="F597" s="173"/>
    </row>
    <row r="598" spans="5:6">
      <c r="E598" s="177"/>
      <c r="F598" s="173"/>
    </row>
    <row r="599" spans="5:6">
      <c r="E599" s="177"/>
      <c r="F599" s="173"/>
    </row>
    <row r="600" spans="5:6">
      <c r="E600" s="177"/>
      <c r="F600" s="173"/>
    </row>
    <row r="601" spans="5:6">
      <c r="E601" s="177"/>
      <c r="F601" s="173"/>
    </row>
    <row r="602" spans="5:6">
      <c r="E602" s="177"/>
      <c r="F602" s="173"/>
    </row>
    <row r="603" spans="5:6">
      <c r="E603" s="177"/>
      <c r="F603" s="173"/>
    </row>
    <row r="604" spans="5:6">
      <c r="E604" s="177"/>
      <c r="F604" s="173"/>
    </row>
    <row r="605" spans="5:6">
      <c r="E605" s="177"/>
      <c r="F605" s="173"/>
    </row>
    <row r="606" spans="5:6">
      <c r="E606" s="177"/>
      <c r="F606" s="173"/>
    </row>
    <row r="607" spans="5:6">
      <c r="E607" s="177"/>
      <c r="F607" s="173"/>
    </row>
    <row r="608" spans="5:6">
      <c r="E608" s="177"/>
      <c r="F608" s="173"/>
    </row>
    <row r="609" spans="5:6">
      <c r="E609" s="177"/>
      <c r="F609" s="173"/>
    </row>
    <row r="610" spans="5:6">
      <c r="E610" s="177"/>
      <c r="F610" s="173"/>
    </row>
    <row r="611" spans="5:6">
      <c r="E611" s="177"/>
      <c r="F611" s="173"/>
    </row>
    <row r="612" spans="5:6">
      <c r="E612" s="177"/>
      <c r="F612" s="173"/>
    </row>
    <row r="613" spans="5:6">
      <c r="E613" s="177"/>
      <c r="F613" s="173"/>
    </row>
    <row r="614" spans="5:6">
      <c r="E614" s="177"/>
      <c r="F614" s="173"/>
    </row>
    <row r="615" spans="5:6">
      <c r="E615" s="177"/>
      <c r="F615" s="173"/>
    </row>
    <row r="616" spans="5:6">
      <c r="E616" s="177"/>
      <c r="F616" s="173"/>
    </row>
    <row r="617" spans="5:6">
      <c r="E617" s="177"/>
      <c r="F617" s="173"/>
    </row>
    <row r="618" spans="5:6">
      <c r="E618" s="177"/>
      <c r="F618" s="173"/>
    </row>
    <row r="619" spans="5:6">
      <c r="E619" s="177"/>
      <c r="F619" s="173"/>
    </row>
    <row r="620" spans="5:6">
      <c r="E620" s="177"/>
      <c r="F620" s="173"/>
    </row>
    <row r="621" spans="5:6">
      <c r="E621" s="177"/>
      <c r="F621" s="173"/>
    </row>
    <row r="622" spans="5:6">
      <c r="E622" s="177"/>
      <c r="F622" s="173"/>
    </row>
    <row r="623" spans="5:6">
      <c r="E623" s="177"/>
      <c r="F623" s="173"/>
    </row>
    <row r="624" spans="5:6">
      <c r="E624" s="177"/>
      <c r="F624" s="173"/>
    </row>
    <row r="625" spans="5:6">
      <c r="E625" s="177"/>
      <c r="F625" s="173"/>
    </row>
    <row r="626" spans="5:6">
      <c r="E626" s="177"/>
      <c r="F626" s="173"/>
    </row>
    <row r="627" spans="5:6">
      <c r="E627" s="177"/>
      <c r="F627" s="173"/>
    </row>
    <row r="628" spans="5:6">
      <c r="E628" s="177"/>
      <c r="F628" s="173"/>
    </row>
    <row r="629" spans="5:6">
      <c r="E629" s="177"/>
      <c r="F629" s="173"/>
    </row>
    <row r="630" spans="5:6">
      <c r="E630" s="177"/>
      <c r="F630" s="173"/>
    </row>
    <row r="631" spans="5:6">
      <c r="E631" s="177"/>
      <c r="F631" s="173"/>
    </row>
    <row r="632" spans="5:6">
      <c r="E632" s="177"/>
      <c r="F632" s="173"/>
    </row>
    <row r="633" spans="5:6">
      <c r="E633" s="177"/>
      <c r="F633" s="173"/>
    </row>
    <row r="634" spans="5:6">
      <c r="E634" s="177"/>
      <c r="F634" s="173"/>
    </row>
    <row r="635" spans="5:6">
      <c r="E635" s="177"/>
      <c r="F635" s="173"/>
    </row>
    <row r="636" spans="5:6">
      <c r="E636" s="177"/>
      <c r="F636" s="173"/>
    </row>
    <row r="637" spans="5:6">
      <c r="E637" s="177"/>
      <c r="F637" s="173"/>
    </row>
    <row r="638" spans="5:6">
      <c r="E638" s="177"/>
      <c r="F638" s="173"/>
    </row>
    <row r="639" spans="5:6">
      <c r="E639" s="177"/>
      <c r="F639" s="173"/>
    </row>
    <row r="640" spans="5:6">
      <c r="E640" s="177"/>
      <c r="F640" s="173"/>
    </row>
    <row r="641" spans="5:6">
      <c r="E641" s="177"/>
      <c r="F641" s="173"/>
    </row>
    <row r="642" spans="5:6">
      <c r="E642" s="177"/>
      <c r="F642" s="173"/>
    </row>
    <row r="643" spans="5:6">
      <c r="E643" s="177"/>
      <c r="F643" s="173"/>
    </row>
    <row r="644" spans="5:6">
      <c r="E644" s="177"/>
      <c r="F644" s="173"/>
    </row>
    <row r="645" spans="5:6">
      <c r="E645" s="177"/>
      <c r="F645" s="173"/>
    </row>
    <row r="646" spans="5:6">
      <c r="E646" s="177"/>
      <c r="F646" s="173"/>
    </row>
    <row r="647" spans="5:6">
      <c r="E647" s="177"/>
      <c r="F647" s="173"/>
    </row>
    <row r="648" spans="5:6">
      <c r="E648" s="177"/>
      <c r="F648" s="173"/>
    </row>
    <row r="649" spans="5:6">
      <c r="E649" s="177"/>
      <c r="F649" s="173"/>
    </row>
    <row r="650" spans="5:6">
      <c r="E650" s="177"/>
      <c r="F650" s="173"/>
    </row>
    <row r="651" spans="5:6">
      <c r="E651" s="177"/>
      <c r="F651" s="173"/>
    </row>
    <row r="652" spans="5:6">
      <c r="E652" s="177"/>
      <c r="F652" s="173"/>
    </row>
    <row r="653" spans="5:6">
      <c r="E653" s="177"/>
      <c r="F653" s="173"/>
    </row>
    <row r="654" spans="5:6">
      <c r="E654" s="177"/>
      <c r="F654" s="173"/>
    </row>
    <row r="655" spans="5:6">
      <c r="E655" s="177"/>
      <c r="F655" s="173"/>
    </row>
    <row r="656" spans="5:6">
      <c r="E656" s="177"/>
      <c r="F656" s="173"/>
    </row>
    <row r="657" spans="5:6">
      <c r="E657" s="177"/>
      <c r="F657" s="173"/>
    </row>
    <row r="658" spans="5:6">
      <c r="E658" s="177"/>
      <c r="F658" s="173"/>
    </row>
    <row r="659" spans="5:6">
      <c r="E659" s="177"/>
      <c r="F659" s="173"/>
    </row>
    <row r="660" spans="5:6">
      <c r="E660" s="177"/>
      <c r="F660" s="173"/>
    </row>
    <row r="661" spans="5:6">
      <c r="E661" s="177"/>
      <c r="F661" s="173"/>
    </row>
    <row r="662" spans="5:6">
      <c r="E662" s="177"/>
      <c r="F662" s="173"/>
    </row>
    <row r="663" spans="5:6">
      <c r="E663" s="177"/>
      <c r="F663" s="173"/>
    </row>
    <row r="664" spans="5:6">
      <c r="E664" s="177"/>
      <c r="F664" s="173"/>
    </row>
    <row r="665" spans="5:6">
      <c r="E665" s="177"/>
      <c r="F665" s="173"/>
    </row>
    <row r="666" spans="5:6">
      <c r="E666" s="177"/>
      <c r="F666" s="173"/>
    </row>
    <row r="667" spans="5:6">
      <c r="E667" s="177"/>
      <c r="F667" s="173"/>
    </row>
    <row r="668" spans="5:6">
      <c r="E668" s="177"/>
      <c r="F668" s="173"/>
    </row>
    <row r="669" spans="5:6">
      <c r="E669" s="177"/>
      <c r="F669" s="173"/>
    </row>
    <row r="670" spans="5:6">
      <c r="E670" s="177"/>
      <c r="F670" s="173"/>
    </row>
    <row r="671" spans="5:6">
      <c r="E671" s="177"/>
      <c r="F671" s="173"/>
    </row>
    <row r="672" spans="5:6">
      <c r="E672" s="177"/>
      <c r="F672" s="173"/>
    </row>
    <row r="673" spans="5:6">
      <c r="E673" s="177"/>
      <c r="F673" s="173"/>
    </row>
    <row r="674" spans="5:6">
      <c r="E674" s="177"/>
      <c r="F674" s="173"/>
    </row>
    <row r="675" spans="5:6">
      <c r="E675" s="177"/>
      <c r="F675" s="173"/>
    </row>
    <row r="676" spans="5:6">
      <c r="E676" s="177"/>
      <c r="F676" s="173"/>
    </row>
    <row r="677" spans="5:6">
      <c r="E677" s="177"/>
      <c r="F677" s="173"/>
    </row>
    <row r="678" spans="5:6">
      <c r="E678" s="177"/>
      <c r="F678" s="173"/>
    </row>
    <row r="679" spans="5:6">
      <c r="E679" s="177"/>
      <c r="F679" s="173"/>
    </row>
    <row r="680" spans="5:6">
      <c r="E680" s="177"/>
      <c r="F680" s="173"/>
    </row>
    <row r="681" spans="5:6">
      <c r="E681" s="177"/>
      <c r="F681" s="173"/>
    </row>
    <row r="682" spans="5:6">
      <c r="E682" s="177"/>
      <c r="F682" s="173"/>
    </row>
    <row r="683" spans="5:6">
      <c r="E683" s="177"/>
      <c r="F683" s="173"/>
    </row>
    <row r="684" spans="5:6">
      <c r="E684" s="177"/>
      <c r="F684" s="173"/>
    </row>
    <row r="685" spans="5:6">
      <c r="E685" s="177"/>
      <c r="F685" s="173"/>
    </row>
    <row r="686" spans="5:6">
      <c r="E686" s="177"/>
      <c r="F686" s="173"/>
    </row>
    <row r="687" spans="5:6">
      <c r="E687" s="177"/>
      <c r="F687" s="173"/>
    </row>
    <row r="688" spans="5:6">
      <c r="E688" s="177"/>
      <c r="F688" s="173"/>
    </row>
    <row r="689" spans="5:6">
      <c r="E689" s="177"/>
      <c r="F689" s="173"/>
    </row>
    <row r="690" spans="5:6">
      <c r="E690" s="177"/>
      <c r="F690" s="173"/>
    </row>
    <row r="691" spans="5:6">
      <c r="E691" s="177"/>
      <c r="F691" s="173"/>
    </row>
    <row r="692" spans="5:6">
      <c r="E692" s="177"/>
      <c r="F692" s="173"/>
    </row>
    <row r="693" spans="5:6">
      <c r="E693" s="177"/>
      <c r="F693" s="173"/>
    </row>
    <row r="694" spans="5:6">
      <c r="E694" s="177"/>
      <c r="F694" s="173"/>
    </row>
    <row r="695" spans="5:6">
      <c r="E695" s="177"/>
      <c r="F695" s="173"/>
    </row>
    <row r="696" spans="5:6">
      <c r="E696" s="177"/>
      <c r="F696" s="173"/>
    </row>
    <row r="697" spans="5:6">
      <c r="E697" s="177"/>
      <c r="F697" s="173"/>
    </row>
    <row r="698" spans="5:6">
      <c r="E698" s="177"/>
      <c r="F698" s="173"/>
    </row>
    <row r="699" spans="5:6">
      <c r="E699" s="177"/>
      <c r="F699" s="173"/>
    </row>
    <row r="700" spans="5:6">
      <c r="E700" s="177"/>
      <c r="F700" s="173"/>
    </row>
    <row r="701" spans="5:6">
      <c r="E701" s="177"/>
      <c r="F701" s="173"/>
    </row>
    <row r="702" spans="5:6">
      <c r="E702" s="177"/>
      <c r="F702" s="173"/>
    </row>
    <row r="703" spans="5:6">
      <c r="E703" s="177"/>
      <c r="F703" s="173"/>
    </row>
    <row r="704" spans="5:6">
      <c r="E704" s="177"/>
      <c r="F704" s="173"/>
    </row>
    <row r="705" spans="5:6">
      <c r="E705" s="177"/>
      <c r="F705" s="173"/>
    </row>
    <row r="706" spans="5:6">
      <c r="E706" s="177"/>
      <c r="F706" s="173"/>
    </row>
    <row r="707" spans="5:6">
      <c r="E707" s="177"/>
      <c r="F707" s="173"/>
    </row>
    <row r="708" spans="5:6">
      <c r="E708" s="177"/>
      <c r="F708" s="173"/>
    </row>
    <row r="709" spans="5:6">
      <c r="E709" s="177"/>
      <c r="F709" s="173"/>
    </row>
    <row r="710" spans="5:6">
      <c r="E710" s="177"/>
      <c r="F710" s="173"/>
    </row>
    <row r="711" spans="5:6">
      <c r="E711" s="177"/>
      <c r="F711" s="173"/>
    </row>
    <row r="712" spans="5:6">
      <c r="E712" s="177"/>
      <c r="F712" s="173"/>
    </row>
    <row r="713" spans="5:6">
      <c r="E713" s="177"/>
      <c r="F713" s="173"/>
    </row>
    <row r="714" spans="5:6">
      <c r="E714" s="177"/>
      <c r="F714" s="173"/>
    </row>
    <row r="715" spans="5:6">
      <c r="E715" s="177"/>
      <c r="F715" s="173"/>
    </row>
    <row r="716" spans="5:6">
      <c r="E716" s="177"/>
      <c r="F716" s="173"/>
    </row>
    <row r="717" spans="5:6">
      <c r="E717" s="177"/>
      <c r="F717" s="173"/>
    </row>
    <row r="718" spans="5:6">
      <c r="E718" s="177"/>
      <c r="F718" s="173"/>
    </row>
    <row r="719" spans="5:6">
      <c r="E719" s="177"/>
      <c r="F719" s="173"/>
    </row>
    <row r="720" spans="5:6">
      <c r="E720" s="177"/>
      <c r="F720" s="173"/>
    </row>
    <row r="721" spans="5:6">
      <c r="E721" s="177"/>
      <c r="F721" s="173"/>
    </row>
    <row r="722" spans="5:6">
      <c r="E722" s="177"/>
      <c r="F722" s="173"/>
    </row>
    <row r="723" spans="5:6">
      <c r="E723" s="177"/>
      <c r="F723" s="173"/>
    </row>
    <row r="724" spans="5:6">
      <c r="E724" s="177"/>
      <c r="F724" s="173"/>
    </row>
    <row r="725" spans="5:6">
      <c r="E725" s="177"/>
      <c r="F725" s="173"/>
    </row>
    <row r="726" spans="5:6">
      <c r="E726" s="177"/>
      <c r="F726" s="173"/>
    </row>
    <row r="727" spans="5:6">
      <c r="E727" s="177"/>
      <c r="F727" s="173"/>
    </row>
    <row r="728" spans="5:6">
      <c r="E728" s="177"/>
      <c r="F728" s="173"/>
    </row>
    <row r="729" spans="5:6">
      <c r="E729" s="177"/>
      <c r="F729" s="173"/>
    </row>
    <row r="730" spans="5:6">
      <c r="E730" s="177"/>
      <c r="F730" s="173"/>
    </row>
    <row r="731" spans="5:6">
      <c r="E731" s="177"/>
      <c r="F731" s="173"/>
    </row>
    <row r="732" spans="5:6">
      <c r="E732" s="177"/>
      <c r="F732" s="173"/>
    </row>
    <row r="733" spans="5:6">
      <c r="E733" s="177"/>
      <c r="F733" s="173"/>
    </row>
    <row r="734" spans="5:6">
      <c r="E734" s="177"/>
      <c r="F734" s="173"/>
    </row>
    <row r="735" spans="5:6">
      <c r="E735" s="177"/>
      <c r="F735" s="173"/>
    </row>
    <row r="736" spans="5:6">
      <c r="E736" s="177"/>
      <c r="F736" s="173"/>
    </row>
    <row r="737" spans="5:6">
      <c r="E737" s="177"/>
      <c r="F737" s="173"/>
    </row>
    <row r="738" spans="5:6">
      <c r="E738" s="177"/>
      <c r="F738" s="173"/>
    </row>
    <row r="739" spans="5:6">
      <c r="E739" s="177"/>
      <c r="F739" s="173"/>
    </row>
    <row r="740" spans="5:6">
      <c r="E740" s="177"/>
      <c r="F740" s="173"/>
    </row>
    <row r="741" spans="5:6">
      <c r="E741" s="177"/>
      <c r="F741" s="173"/>
    </row>
    <row r="742" spans="5:6">
      <c r="E742" s="177"/>
      <c r="F742" s="173"/>
    </row>
    <row r="743" spans="5:6">
      <c r="E743" s="177"/>
      <c r="F743" s="173"/>
    </row>
    <row r="744" spans="5:6">
      <c r="E744" s="177"/>
      <c r="F744" s="173"/>
    </row>
    <row r="745" spans="5:6">
      <c r="E745" s="177"/>
      <c r="F745" s="173"/>
    </row>
    <row r="746" spans="5:6">
      <c r="E746" s="177"/>
      <c r="F746" s="173"/>
    </row>
    <row r="747" spans="5:6">
      <c r="E747" s="177"/>
      <c r="F747" s="173"/>
    </row>
    <row r="748" spans="5:6">
      <c r="E748" s="177"/>
      <c r="F748" s="173"/>
    </row>
    <row r="749" spans="5:6">
      <c r="E749" s="177"/>
      <c r="F749" s="173"/>
    </row>
    <row r="750" spans="5:6">
      <c r="E750" s="177"/>
      <c r="F750" s="173"/>
    </row>
    <row r="751" spans="5:6">
      <c r="E751" s="177"/>
      <c r="F751" s="173"/>
    </row>
    <row r="752" spans="5:6">
      <c r="E752" s="177"/>
      <c r="F752" s="173"/>
    </row>
    <row r="753" spans="5:6">
      <c r="E753" s="177"/>
      <c r="F753" s="173"/>
    </row>
    <row r="754" spans="5:6">
      <c r="E754" s="177"/>
      <c r="F754" s="173"/>
    </row>
    <row r="755" spans="5:6">
      <c r="E755" s="177"/>
      <c r="F755" s="173"/>
    </row>
    <row r="756" spans="5:6">
      <c r="E756" s="177"/>
      <c r="F756" s="173"/>
    </row>
    <row r="757" spans="5:6">
      <c r="E757" s="177"/>
      <c r="F757" s="173"/>
    </row>
    <row r="758" spans="5:6">
      <c r="E758" s="177"/>
      <c r="F758" s="173"/>
    </row>
    <row r="759" spans="5:6">
      <c r="E759" s="177"/>
      <c r="F759" s="173"/>
    </row>
    <row r="760" spans="5:6">
      <c r="E760" s="177"/>
      <c r="F760" s="173"/>
    </row>
    <row r="761" spans="5:6">
      <c r="E761" s="177"/>
      <c r="F761" s="173"/>
    </row>
    <row r="762" spans="5:6">
      <c r="E762" s="177"/>
      <c r="F762" s="173"/>
    </row>
    <row r="763" spans="5:6">
      <c r="E763" s="177"/>
      <c r="F763" s="173"/>
    </row>
    <row r="764" spans="5:6">
      <c r="E764" s="177"/>
      <c r="F764" s="173"/>
    </row>
    <row r="765" spans="5:6">
      <c r="E765" s="177"/>
      <c r="F765" s="173"/>
    </row>
    <row r="766" spans="5:6">
      <c r="E766" s="177"/>
      <c r="F766" s="173"/>
    </row>
    <row r="767" spans="5:6">
      <c r="E767" s="177"/>
      <c r="F767" s="173"/>
    </row>
    <row r="768" spans="5:6">
      <c r="E768" s="177"/>
      <c r="F768" s="173"/>
    </row>
    <row r="769" spans="5:6">
      <c r="E769" s="177"/>
      <c r="F769" s="173"/>
    </row>
    <row r="770" spans="5:6">
      <c r="E770" s="177"/>
      <c r="F770" s="173"/>
    </row>
    <row r="771" spans="5:6">
      <c r="E771" s="177"/>
      <c r="F771" s="173"/>
    </row>
    <row r="772" spans="5:6">
      <c r="E772" s="177"/>
      <c r="F772" s="173"/>
    </row>
    <row r="773" spans="5:6">
      <c r="E773" s="177"/>
      <c r="F773" s="173"/>
    </row>
    <row r="774" spans="5:6">
      <c r="E774" s="177"/>
      <c r="F774" s="173"/>
    </row>
    <row r="775" spans="5:6">
      <c r="E775" s="177"/>
      <c r="F775" s="173"/>
    </row>
    <row r="776" spans="5:6">
      <c r="E776" s="177"/>
      <c r="F776" s="173"/>
    </row>
    <row r="777" spans="5:6">
      <c r="E777" s="177"/>
      <c r="F777" s="173"/>
    </row>
    <row r="778" spans="5:6">
      <c r="E778" s="177"/>
      <c r="F778" s="173"/>
    </row>
    <row r="779" spans="5:6">
      <c r="E779" s="177"/>
      <c r="F779" s="173"/>
    </row>
    <row r="780" spans="5:6">
      <c r="E780" s="177"/>
      <c r="F780" s="173"/>
    </row>
    <row r="781" spans="5:6">
      <c r="E781" s="177"/>
      <c r="F781" s="173"/>
    </row>
    <row r="782" spans="5:6">
      <c r="E782" s="177"/>
      <c r="F782" s="173"/>
    </row>
    <row r="783" spans="5:6">
      <c r="E783" s="177"/>
      <c r="F783" s="173"/>
    </row>
    <row r="784" spans="5:6">
      <c r="E784" s="177"/>
      <c r="F784" s="173"/>
    </row>
    <row r="785" spans="5:6">
      <c r="E785" s="177"/>
      <c r="F785" s="173"/>
    </row>
    <row r="786" spans="5:6">
      <c r="E786" s="177"/>
      <c r="F786" s="173"/>
    </row>
    <row r="787" spans="5:6">
      <c r="E787" s="177"/>
      <c r="F787" s="173"/>
    </row>
    <row r="788" spans="5:6">
      <c r="E788" s="177"/>
      <c r="F788" s="173"/>
    </row>
    <row r="789" spans="5:6">
      <c r="E789" s="177"/>
      <c r="F789" s="173"/>
    </row>
    <row r="790" spans="5:6">
      <c r="E790" s="177"/>
      <c r="F790" s="173"/>
    </row>
    <row r="791" spans="5:6">
      <c r="E791" s="177"/>
      <c r="F791" s="173"/>
    </row>
    <row r="792" spans="5:6">
      <c r="E792" s="177"/>
      <c r="F792" s="173"/>
    </row>
    <row r="793" spans="5:6">
      <c r="E793" s="177"/>
      <c r="F793" s="173"/>
    </row>
    <row r="794" spans="5:6">
      <c r="E794" s="177"/>
      <c r="F794" s="173"/>
    </row>
    <row r="795" spans="5:6">
      <c r="E795" s="177"/>
      <c r="F795" s="173"/>
    </row>
    <row r="796" spans="5:6">
      <c r="E796" s="177"/>
      <c r="F796" s="173"/>
    </row>
    <row r="797" spans="5:6">
      <c r="E797" s="177"/>
      <c r="F797" s="173"/>
    </row>
    <row r="798" spans="5:6">
      <c r="E798" s="177"/>
      <c r="F798" s="173"/>
    </row>
    <row r="799" spans="5:6">
      <c r="E799" s="177"/>
      <c r="F799" s="173"/>
    </row>
    <row r="800" spans="5:6">
      <c r="E800" s="177"/>
      <c r="F800" s="173"/>
    </row>
    <row r="801" spans="5:6">
      <c r="E801" s="177"/>
      <c r="F801" s="173"/>
    </row>
    <row r="802" spans="5:6">
      <c r="E802" s="177"/>
      <c r="F802" s="173"/>
    </row>
    <row r="803" spans="5:6">
      <c r="E803" s="177"/>
      <c r="F803" s="173"/>
    </row>
    <row r="804" spans="5:6">
      <c r="E804" s="177"/>
      <c r="F804" s="173"/>
    </row>
    <row r="805" spans="5:6">
      <c r="E805" s="177"/>
      <c r="F805" s="173"/>
    </row>
    <row r="806" spans="5:6">
      <c r="E806" s="177"/>
      <c r="F806" s="173"/>
    </row>
    <row r="807" spans="5:6">
      <c r="E807" s="177"/>
      <c r="F807" s="173"/>
    </row>
    <row r="808" spans="5:6">
      <c r="E808" s="177"/>
      <c r="F808" s="173"/>
    </row>
    <row r="809" spans="5:6">
      <c r="E809" s="177"/>
      <c r="F809" s="173"/>
    </row>
    <row r="810" spans="5:6">
      <c r="E810" s="177"/>
      <c r="F810" s="173"/>
    </row>
    <row r="811" spans="5:6">
      <c r="E811" s="177"/>
      <c r="F811" s="173"/>
    </row>
    <row r="812" spans="5:6">
      <c r="E812" s="177"/>
      <c r="F812" s="173"/>
    </row>
    <row r="813" spans="5:6">
      <c r="E813" s="177"/>
      <c r="F813" s="173"/>
    </row>
    <row r="814" spans="5:6">
      <c r="E814" s="177"/>
      <c r="F814" s="173"/>
    </row>
    <row r="815" spans="5:6">
      <c r="E815" s="177"/>
      <c r="F815" s="173"/>
    </row>
    <row r="816" spans="5:6">
      <c r="E816" s="177"/>
      <c r="F816" s="173"/>
    </row>
    <row r="817" spans="5:6">
      <c r="E817" s="177"/>
      <c r="F817" s="173"/>
    </row>
    <row r="818" spans="5:6">
      <c r="E818" s="177"/>
      <c r="F818" s="173"/>
    </row>
    <row r="819" spans="5:6">
      <c r="E819" s="177"/>
      <c r="F819" s="173"/>
    </row>
    <row r="820" spans="5:6">
      <c r="E820" s="177"/>
      <c r="F820" s="173"/>
    </row>
    <row r="821" spans="5:6">
      <c r="E821" s="177"/>
      <c r="F821" s="173"/>
    </row>
    <row r="822" spans="5:6">
      <c r="E822" s="177"/>
      <c r="F822" s="173"/>
    </row>
    <row r="823" spans="5:6">
      <c r="E823" s="177"/>
      <c r="F823" s="173"/>
    </row>
    <row r="824" spans="5:6">
      <c r="E824" s="177"/>
      <c r="F824" s="173"/>
    </row>
    <row r="825" spans="5:6">
      <c r="E825" s="177"/>
      <c r="F825" s="173"/>
    </row>
    <row r="826" spans="5:6">
      <c r="E826" s="177"/>
      <c r="F826" s="173"/>
    </row>
    <row r="827" spans="5:6">
      <c r="E827" s="177"/>
      <c r="F827" s="173"/>
    </row>
    <row r="828" spans="5:6">
      <c r="E828" s="177"/>
      <c r="F828" s="173"/>
    </row>
    <row r="829" spans="5:6">
      <c r="E829" s="177"/>
      <c r="F829" s="173"/>
    </row>
    <row r="830" spans="5:6">
      <c r="E830" s="177"/>
      <c r="F830" s="173"/>
    </row>
    <row r="831" spans="5:6">
      <c r="E831" s="177"/>
      <c r="F831" s="173"/>
    </row>
    <row r="832" spans="5:6">
      <c r="E832" s="177"/>
      <c r="F832" s="173"/>
    </row>
    <row r="833" spans="5:6">
      <c r="E833" s="177"/>
      <c r="F833" s="173"/>
    </row>
    <row r="834" spans="5:6">
      <c r="E834" s="177"/>
      <c r="F834" s="173"/>
    </row>
    <row r="835" spans="5:6">
      <c r="E835" s="177"/>
      <c r="F835" s="173"/>
    </row>
    <row r="836" spans="5:6">
      <c r="E836" s="177"/>
      <c r="F836" s="173"/>
    </row>
    <row r="837" spans="5:6">
      <c r="E837" s="177"/>
      <c r="F837" s="173"/>
    </row>
    <row r="838" spans="5:6">
      <c r="E838" s="177"/>
      <c r="F838" s="173"/>
    </row>
    <row r="839" spans="5:6">
      <c r="E839" s="177"/>
      <c r="F839" s="173"/>
    </row>
    <row r="840" spans="5:6">
      <c r="E840" s="177"/>
      <c r="F840" s="173"/>
    </row>
    <row r="841" spans="5:6">
      <c r="E841" s="177"/>
      <c r="F841" s="173"/>
    </row>
    <row r="842" spans="5:6">
      <c r="E842" s="177"/>
      <c r="F842" s="173"/>
    </row>
    <row r="843" spans="5:6">
      <c r="E843" s="177"/>
      <c r="F843" s="173"/>
    </row>
    <row r="844" spans="5:6">
      <c r="E844" s="177"/>
      <c r="F844" s="173"/>
    </row>
    <row r="845" spans="5:6">
      <c r="E845" s="177"/>
      <c r="F845" s="173"/>
    </row>
    <row r="846" spans="5:6">
      <c r="E846" s="177"/>
      <c r="F846" s="173"/>
    </row>
    <row r="847" spans="5:6">
      <c r="E847" s="177"/>
      <c r="F847" s="173"/>
    </row>
    <row r="848" spans="5:6">
      <c r="E848" s="177"/>
      <c r="F848" s="173"/>
    </row>
    <row r="849" spans="5:6">
      <c r="E849" s="177"/>
      <c r="F849" s="173"/>
    </row>
    <row r="850" spans="5:6">
      <c r="E850" s="177"/>
      <c r="F850" s="173"/>
    </row>
    <row r="851" spans="5:6">
      <c r="E851" s="177"/>
      <c r="F851" s="173"/>
    </row>
    <row r="852" spans="5:6">
      <c r="E852" s="177"/>
      <c r="F852" s="173"/>
    </row>
    <row r="853" spans="5:6">
      <c r="E853" s="177"/>
      <c r="F853" s="173"/>
    </row>
    <row r="854" spans="5:6">
      <c r="E854" s="177"/>
      <c r="F854" s="173"/>
    </row>
    <row r="855" spans="5:6">
      <c r="E855" s="177"/>
      <c r="F855" s="173"/>
    </row>
    <row r="856" spans="5:6">
      <c r="E856" s="177"/>
      <c r="F856" s="173"/>
    </row>
    <row r="857" spans="5:6">
      <c r="E857" s="177"/>
      <c r="F857" s="173"/>
    </row>
    <row r="858" spans="5:6">
      <c r="E858" s="177"/>
      <c r="F858" s="173"/>
    </row>
    <row r="859" spans="5:6">
      <c r="E859" s="177"/>
      <c r="F859" s="173"/>
    </row>
    <row r="860" spans="5:6">
      <c r="E860" s="177"/>
      <c r="F860" s="173"/>
    </row>
    <row r="861" spans="5:6">
      <c r="E861" s="177"/>
      <c r="F861" s="173"/>
    </row>
    <row r="862" spans="5:6">
      <c r="E862" s="177"/>
      <c r="F862" s="173"/>
    </row>
    <row r="863" spans="5:6">
      <c r="E863" s="177"/>
      <c r="F863" s="173"/>
    </row>
    <row r="864" spans="5:6">
      <c r="E864" s="177"/>
      <c r="F864" s="173"/>
    </row>
    <row r="865" spans="5:6">
      <c r="E865" s="177"/>
      <c r="F865" s="173"/>
    </row>
    <row r="866" spans="5:6">
      <c r="E866" s="177"/>
      <c r="F866" s="173"/>
    </row>
    <row r="867" spans="5:6">
      <c r="E867" s="177"/>
      <c r="F867" s="173"/>
    </row>
    <row r="868" spans="5:6">
      <c r="E868" s="177"/>
      <c r="F868" s="173"/>
    </row>
    <row r="869" spans="5:6">
      <c r="E869" s="177"/>
      <c r="F869" s="173"/>
    </row>
    <row r="870" spans="5:6">
      <c r="E870" s="177"/>
      <c r="F870" s="173"/>
    </row>
    <row r="871" spans="5:6">
      <c r="E871" s="177"/>
      <c r="F871" s="173"/>
    </row>
    <row r="872" spans="5:6">
      <c r="E872" s="177"/>
      <c r="F872" s="173"/>
    </row>
    <row r="873" spans="5:6">
      <c r="E873" s="177"/>
      <c r="F873" s="173"/>
    </row>
    <row r="874" spans="5:6">
      <c r="E874" s="177"/>
      <c r="F874" s="173"/>
    </row>
    <row r="875" spans="5:6">
      <c r="E875" s="177"/>
      <c r="F875" s="173"/>
    </row>
    <row r="876" spans="5:6">
      <c r="E876" s="177"/>
      <c r="F876" s="173"/>
    </row>
    <row r="877" spans="5:6">
      <c r="E877" s="177"/>
      <c r="F877" s="173"/>
    </row>
    <row r="878" spans="5:6">
      <c r="E878" s="177"/>
      <c r="F878" s="173"/>
    </row>
    <row r="879" spans="5:6">
      <c r="E879" s="177"/>
      <c r="F879" s="173"/>
    </row>
    <row r="880" spans="5:6">
      <c r="E880" s="177"/>
      <c r="F880" s="173"/>
    </row>
    <row r="881" spans="5:6">
      <c r="E881" s="177"/>
      <c r="F881" s="173"/>
    </row>
    <row r="882" spans="5:6">
      <c r="E882" s="177"/>
      <c r="F882" s="173"/>
    </row>
    <row r="883" spans="5:6">
      <c r="E883" s="177"/>
      <c r="F883" s="173"/>
    </row>
    <row r="884" spans="5:6">
      <c r="E884" s="177"/>
      <c r="F884" s="173"/>
    </row>
    <row r="885" spans="5:6">
      <c r="E885" s="177"/>
      <c r="F885" s="173"/>
    </row>
    <row r="886" spans="5:6">
      <c r="E886" s="177"/>
      <c r="F886" s="173"/>
    </row>
    <row r="887" spans="5:6">
      <c r="E887" s="177"/>
      <c r="F887" s="173"/>
    </row>
    <row r="888" spans="5:6">
      <c r="E888" s="177"/>
      <c r="F888" s="173"/>
    </row>
    <row r="889" spans="5:6">
      <c r="E889" s="177"/>
      <c r="F889" s="173"/>
    </row>
    <row r="890" spans="5:6">
      <c r="E890" s="177"/>
      <c r="F890" s="173"/>
    </row>
    <row r="891" spans="5:6">
      <c r="E891" s="177"/>
      <c r="F891" s="173"/>
    </row>
    <row r="892" spans="5:6">
      <c r="E892" s="177"/>
      <c r="F892" s="173"/>
    </row>
    <row r="893" spans="5:6">
      <c r="E893" s="177"/>
      <c r="F893" s="173"/>
    </row>
    <row r="894" spans="5:6">
      <c r="E894" s="177"/>
      <c r="F894" s="173"/>
    </row>
    <row r="895" spans="5:6">
      <c r="E895" s="177"/>
      <c r="F895" s="173"/>
    </row>
    <row r="896" spans="5:6">
      <c r="E896" s="177"/>
      <c r="F896" s="173"/>
    </row>
    <row r="897" spans="5:6">
      <c r="E897" s="177"/>
      <c r="F897" s="173"/>
    </row>
    <row r="898" spans="5:6">
      <c r="E898" s="177"/>
      <c r="F898" s="173"/>
    </row>
    <row r="899" spans="5:6">
      <c r="E899" s="177"/>
      <c r="F899" s="173"/>
    </row>
    <row r="900" spans="5:6">
      <c r="E900" s="177"/>
      <c r="F900" s="173"/>
    </row>
    <row r="901" spans="5:6">
      <c r="E901" s="177"/>
      <c r="F901" s="173"/>
    </row>
    <row r="902" spans="5:6">
      <c r="E902" s="177"/>
      <c r="F902" s="173"/>
    </row>
    <row r="903" spans="5:6">
      <c r="E903" s="177"/>
      <c r="F903" s="173"/>
    </row>
    <row r="904" spans="5:6">
      <c r="E904" s="177"/>
      <c r="F904" s="173"/>
    </row>
    <row r="905" spans="5:6">
      <c r="E905" s="177"/>
      <c r="F905" s="173"/>
    </row>
    <row r="906" spans="5:6">
      <c r="E906" s="177"/>
      <c r="F906" s="173"/>
    </row>
    <row r="907" spans="5:6">
      <c r="E907" s="177"/>
      <c r="F907" s="173"/>
    </row>
    <row r="908" spans="5:6">
      <c r="E908" s="177"/>
      <c r="F908" s="173"/>
    </row>
    <row r="909" spans="5:6">
      <c r="E909" s="177"/>
      <c r="F909" s="173"/>
    </row>
    <row r="910" spans="5:6">
      <c r="E910" s="177"/>
      <c r="F910" s="173"/>
    </row>
    <row r="911" spans="5:6">
      <c r="E911" s="177"/>
      <c r="F911" s="173"/>
    </row>
    <row r="912" spans="5:6">
      <c r="E912" s="177"/>
      <c r="F912" s="173"/>
    </row>
    <row r="913" spans="5:6">
      <c r="E913" s="177"/>
      <c r="F913" s="173"/>
    </row>
    <row r="914" spans="5:6">
      <c r="E914" s="177"/>
      <c r="F914" s="173"/>
    </row>
    <row r="915" spans="5:6">
      <c r="E915" s="177"/>
      <c r="F915" s="173"/>
    </row>
    <row r="916" spans="5:6">
      <c r="E916" s="177"/>
      <c r="F916" s="173"/>
    </row>
    <row r="917" spans="5:6">
      <c r="E917" s="177"/>
      <c r="F917" s="173"/>
    </row>
    <row r="918" spans="5:6">
      <c r="E918" s="177"/>
      <c r="F918" s="173"/>
    </row>
    <row r="919" spans="5:6">
      <c r="E919" s="177"/>
      <c r="F919" s="173"/>
    </row>
    <row r="920" spans="5:6">
      <c r="E920" s="177"/>
      <c r="F920" s="173"/>
    </row>
    <row r="921" spans="5:6">
      <c r="E921" s="177"/>
      <c r="F921" s="173"/>
    </row>
    <row r="922" spans="5:6">
      <c r="E922" s="177"/>
      <c r="F922" s="173"/>
    </row>
    <row r="923" spans="5:6">
      <c r="E923" s="177"/>
      <c r="F923" s="173"/>
    </row>
    <row r="924" spans="5:6">
      <c r="E924" s="177"/>
      <c r="F924" s="173"/>
    </row>
    <row r="925" spans="5:6">
      <c r="E925" s="177"/>
      <c r="F925" s="173"/>
    </row>
    <row r="926" spans="5:6">
      <c r="E926" s="177"/>
      <c r="F926" s="173"/>
    </row>
    <row r="927" spans="5:6">
      <c r="E927" s="177"/>
      <c r="F927" s="173"/>
    </row>
    <row r="928" spans="5:6">
      <c r="E928" s="177"/>
      <c r="F928" s="173"/>
    </row>
    <row r="929" spans="5:6">
      <c r="E929" s="177"/>
      <c r="F929" s="173"/>
    </row>
    <row r="930" spans="5:6">
      <c r="E930" s="177"/>
      <c r="F930" s="173"/>
    </row>
    <row r="931" spans="5:6">
      <c r="E931" s="177"/>
      <c r="F931" s="173"/>
    </row>
    <row r="932" spans="5:6">
      <c r="E932" s="177"/>
      <c r="F932" s="173"/>
    </row>
    <row r="933" spans="5:6">
      <c r="E933" s="177"/>
      <c r="F933" s="173"/>
    </row>
    <row r="934" spans="5:6">
      <c r="E934" s="177"/>
      <c r="F934" s="173"/>
    </row>
    <row r="935" spans="5:6">
      <c r="E935" s="177"/>
      <c r="F935" s="173"/>
    </row>
    <row r="936" spans="5:6">
      <c r="E936" s="177"/>
      <c r="F936" s="173"/>
    </row>
    <row r="937" spans="5:6">
      <c r="E937" s="177"/>
      <c r="F937" s="173"/>
    </row>
    <row r="938" spans="5:6">
      <c r="E938" s="177"/>
      <c r="F938" s="173"/>
    </row>
    <row r="939" spans="5:6">
      <c r="E939" s="177"/>
      <c r="F939" s="173"/>
    </row>
    <row r="940" spans="5:6">
      <c r="E940" s="177"/>
      <c r="F940" s="173"/>
    </row>
    <row r="941" spans="5:6">
      <c r="E941" s="177"/>
      <c r="F941" s="173"/>
    </row>
    <row r="942" spans="5:6">
      <c r="E942" s="177"/>
      <c r="F942" s="173"/>
    </row>
    <row r="943" spans="5:6">
      <c r="E943" s="177"/>
      <c r="F943" s="173"/>
    </row>
    <row r="944" spans="5:6">
      <c r="E944" s="177"/>
      <c r="F944" s="173"/>
    </row>
    <row r="945" spans="5:6">
      <c r="E945" s="177"/>
      <c r="F945" s="173"/>
    </row>
    <row r="946" spans="5:6">
      <c r="E946" s="177"/>
      <c r="F946" s="173"/>
    </row>
    <row r="947" spans="5:6">
      <c r="E947" s="177"/>
      <c r="F947" s="173"/>
    </row>
    <row r="948" spans="5:6">
      <c r="E948" s="177"/>
      <c r="F948" s="173"/>
    </row>
    <row r="949" spans="5:6">
      <c r="E949" s="177"/>
      <c r="F949" s="173"/>
    </row>
    <row r="950" spans="5:6">
      <c r="E950" s="177"/>
      <c r="F950" s="173"/>
    </row>
    <row r="951" spans="5:6">
      <c r="E951" s="177"/>
      <c r="F951" s="173"/>
    </row>
    <row r="952" spans="5:6">
      <c r="E952" s="177"/>
      <c r="F952" s="173"/>
    </row>
    <row r="953" spans="5:6">
      <c r="E953" s="177"/>
      <c r="F953" s="173"/>
    </row>
    <row r="954" spans="5:6">
      <c r="E954" s="177"/>
      <c r="F954" s="173"/>
    </row>
    <row r="955" spans="5:6">
      <c r="E955" s="177"/>
      <c r="F955" s="173"/>
    </row>
    <row r="956" spans="5:6">
      <c r="E956" s="177"/>
      <c r="F956" s="173"/>
    </row>
    <row r="957" spans="5:6">
      <c r="E957" s="177"/>
      <c r="F957" s="173"/>
    </row>
    <row r="958" spans="5:6">
      <c r="E958" s="177"/>
      <c r="F958" s="173"/>
    </row>
    <row r="959" spans="5:6">
      <c r="E959" s="177"/>
      <c r="F959" s="173"/>
    </row>
    <row r="960" spans="5:6">
      <c r="E960" s="177"/>
      <c r="F960" s="173"/>
    </row>
    <row r="961" spans="5:6">
      <c r="E961" s="177"/>
      <c r="F961" s="173"/>
    </row>
    <row r="962" spans="5:6">
      <c r="E962" s="177"/>
      <c r="F962" s="173"/>
    </row>
    <row r="963" spans="5:6">
      <c r="E963" s="177"/>
      <c r="F963" s="173"/>
    </row>
    <row r="964" spans="5:6">
      <c r="E964" s="177"/>
      <c r="F964" s="173"/>
    </row>
    <row r="965" spans="5:6">
      <c r="E965" s="177"/>
      <c r="F965" s="173"/>
    </row>
    <row r="966" spans="5:6">
      <c r="E966" s="177"/>
      <c r="F966" s="173"/>
    </row>
    <row r="967" spans="5:6">
      <c r="E967" s="177"/>
      <c r="F967" s="173"/>
    </row>
    <row r="968" spans="5:6">
      <c r="E968" s="177"/>
      <c r="F968" s="173"/>
    </row>
    <row r="969" spans="5:6">
      <c r="E969" s="177"/>
      <c r="F969" s="173"/>
    </row>
    <row r="970" spans="5:6">
      <c r="E970" s="177"/>
      <c r="F970" s="173"/>
    </row>
    <row r="971" spans="5:6">
      <c r="E971" s="177"/>
      <c r="F971" s="173"/>
    </row>
    <row r="972" spans="5:6">
      <c r="E972" s="177"/>
      <c r="F972" s="173"/>
    </row>
    <row r="973" spans="5:6">
      <c r="E973" s="177"/>
      <c r="F973" s="173"/>
    </row>
    <row r="974" spans="5:6">
      <c r="E974" s="177"/>
      <c r="F974" s="173"/>
    </row>
    <row r="975" spans="5:6">
      <c r="E975" s="177"/>
      <c r="F975" s="173"/>
    </row>
    <row r="976" spans="5:6">
      <c r="E976" s="177"/>
      <c r="F976" s="173"/>
    </row>
    <row r="977" spans="5:6">
      <c r="E977" s="177"/>
      <c r="F977" s="173"/>
    </row>
    <row r="978" spans="5:6">
      <c r="E978" s="177"/>
      <c r="F978" s="173"/>
    </row>
    <row r="979" spans="5:6">
      <c r="E979" s="177"/>
      <c r="F979" s="173"/>
    </row>
    <row r="980" spans="5:6">
      <c r="E980" s="177"/>
      <c r="F980" s="173"/>
    </row>
    <row r="981" spans="5:6">
      <c r="E981" s="177"/>
      <c r="F981" s="173"/>
    </row>
    <row r="982" spans="5:6">
      <c r="E982" s="177"/>
      <c r="F982" s="173"/>
    </row>
    <row r="983" spans="5:6">
      <c r="E983" s="177"/>
      <c r="F983" s="173"/>
    </row>
    <row r="984" spans="5:6">
      <c r="E984" s="177"/>
      <c r="F984" s="173"/>
    </row>
    <row r="985" spans="5:6">
      <c r="E985" s="177"/>
      <c r="F985" s="173"/>
    </row>
    <row r="986" spans="5:6">
      <c r="E986" s="177"/>
      <c r="F986" s="173"/>
    </row>
    <row r="987" spans="5:6">
      <c r="E987" s="177"/>
      <c r="F987" s="173"/>
    </row>
    <row r="988" spans="5:6">
      <c r="E988" s="177"/>
      <c r="F988" s="173"/>
    </row>
    <row r="989" spans="5:6">
      <c r="E989" s="177"/>
      <c r="F989" s="173"/>
    </row>
    <row r="990" spans="5:6">
      <c r="E990" s="177"/>
      <c r="F990" s="173"/>
    </row>
    <row r="991" spans="5:6">
      <c r="E991" s="177"/>
      <c r="F991" s="173"/>
    </row>
    <row r="992" spans="5:6">
      <c r="E992" s="177"/>
      <c r="F992" s="173"/>
    </row>
    <row r="993" spans="5:6">
      <c r="E993" s="177"/>
      <c r="F993" s="173"/>
    </row>
    <row r="994" spans="5:6">
      <c r="E994" s="177"/>
      <c r="F994" s="173"/>
    </row>
    <row r="995" spans="5:6">
      <c r="E995" s="177"/>
      <c r="F995" s="173"/>
    </row>
    <row r="996" spans="5:6">
      <c r="E996" s="177"/>
      <c r="F996" s="173"/>
    </row>
    <row r="997" spans="5:6">
      <c r="E997" s="177"/>
      <c r="F997" s="173"/>
    </row>
    <row r="998" spans="5:6">
      <c r="E998" s="177"/>
      <c r="F998" s="173"/>
    </row>
    <row r="999" spans="5:6">
      <c r="E999" s="177"/>
      <c r="F999" s="173"/>
    </row>
    <row r="1000" spans="5:6">
      <c r="E1000" s="177"/>
      <c r="F1000" s="173"/>
    </row>
    <row r="1001" spans="5:6">
      <c r="E1001" s="177"/>
      <c r="F1001" s="173"/>
    </row>
    <row r="1002" spans="5:6">
      <c r="E1002" s="177"/>
      <c r="F1002" s="173"/>
    </row>
    <row r="1003" spans="5:6">
      <c r="E1003" s="177"/>
      <c r="F1003" s="173"/>
    </row>
    <row r="1004" spans="5:6">
      <c r="E1004" s="177"/>
      <c r="F1004" s="173"/>
    </row>
    <row r="1005" spans="5:6">
      <c r="E1005" s="177"/>
      <c r="F1005" s="173"/>
    </row>
    <row r="1006" spans="5:6">
      <c r="E1006" s="177"/>
      <c r="F1006" s="173"/>
    </row>
    <row r="1007" spans="5:6">
      <c r="E1007" s="177"/>
      <c r="F1007" s="173"/>
    </row>
    <row r="1008" spans="5:6">
      <c r="E1008" s="177"/>
      <c r="F1008" s="173"/>
    </row>
    <row r="1009" spans="5:6">
      <c r="E1009" s="177"/>
      <c r="F1009" s="173"/>
    </row>
    <row r="1010" spans="5:6">
      <c r="E1010" s="177"/>
      <c r="F1010" s="173"/>
    </row>
    <row r="1011" spans="5:6">
      <c r="E1011" s="177"/>
      <c r="F1011" s="173"/>
    </row>
    <row r="1012" spans="5:6">
      <c r="E1012" s="177"/>
      <c r="F1012" s="173"/>
    </row>
    <row r="1013" spans="5:6">
      <c r="E1013" s="177"/>
      <c r="F1013" s="173"/>
    </row>
    <row r="1014" spans="5:6">
      <c r="E1014" s="177"/>
      <c r="F1014" s="173"/>
    </row>
    <row r="1015" spans="5:6">
      <c r="E1015" s="177"/>
      <c r="F1015" s="173"/>
    </row>
    <row r="1016" spans="5:6">
      <c r="E1016" s="177"/>
      <c r="F1016" s="173"/>
    </row>
    <row r="1017" spans="5:6">
      <c r="E1017" s="177"/>
      <c r="F1017" s="173"/>
    </row>
    <row r="1018" spans="5:6">
      <c r="E1018" s="177"/>
      <c r="F1018" s="173"/>
    </row>
    <row r="1019" spans="5:6">
      <c r="E1019" s="177"/>
      <c r="F1019" s="173"/>
    </row>
    <row r="1020" spans="5:6">
      <c r="E1020" s="177"/>
      <c r="F1020" s="173"/>
    </row>
    <row r="1021" spans="5:6">
      <c r="E1021" s="177"/>
      <c r="F1021" s="173"/>
    </row>
    <row r="1022" spans="5:6">
      <c r="E1022" s="177"/>
      <c r="F1022" s="173"/>
    </row>
    <row r="1023" spans="5:6">
      <c r="E1023" s="177"/>
      <c r="F1023" s="173"/>
    </row>
    <row r="1024" spans="5:6">
      <c r="E1024" s="177"/>
      <c r="F1024" s="173"/>
    </row>
    <row r="1025" spans="5:6">
      <c r="E1025" s="177"/>
      <c r="F1025" s="173"/>
    </row>
    <row r="1026" spans="5:6">
      <c r="E1026" s="177"/>
      <c r="F1026" s="173"/>
    </row>
    <row r="1027" spans="5:6">
      <c r="E1027" s="177"/>
      <c r="F1027" s="173"/>
    </row>
    <row r="1028" spans="5:6">
      <c r="E1028" s="177"/>
      <c r="F1028" s="173"/>
    </row>
    <row r="1029" spans="5:6">
      <c r="E1029" s="177"/>
      <c r="F1029" s="173"/>
    </row>
    <row r="1030" spans="5:6">
      <c r="E1030" s="177"/>
      <c r="F1030" s="173"/>
    </row>
    <row r="1031" spans="5:6">
      <c r="E1031" s="177"/>
      <c r="F1031" s="173"/>
    </row>
    <row r="1032" spans="5:6">
      <c r="E1032" s="177"/>
      <c r="F1032" s="173"/>
    </row>
    <row r="1033" spans="5:6">
      <c r="E1033" s="177"/>
      <c r="F1033" s="173"/>
    </row>
    <row r="1034" spans="5:6">
      <c r="E1034" s="177"/>
      <c r="F1034" s="173"/>
    </row>
    <row r="1035" spans="5:6">
      <c r="E1035" s="177"/>
      <c r="F1035" s="173"/>
    </row>
    <row r="1036" spans="5:6">
      <c r="E1036" s="177"/>
      <c r="F1036" s="173"/>
    </row>
    <row r="1037" spans="5:6">
      <c r="E1037" s="177"/>
      <c r="F1037" s="173"/>
    </row>
    <row r="1038" spans="5:6">
      <c r="E1038" s="177"/>
      <c r="F1038" s="173"/>
    </row>
    <row r="1039" spans="5:6">
      <c r="E1039" s="177"/>
      <c r="F1039" s="173"/>
    </row>
    <row r="1040" spans="5:6">
      <c r="E1040" s="177"/>
      <c r="F1040" s="173"/>
    </row>
    <row r="1041" spans="5:6">
      <c r="E1041" s="177"/>
      <c r="F1041" s="173"/>
    </row>
    <row r="1042" spans="5:6">
      <c r="E1042" s="177"/>
      <c r="F1042" s="173"/>
    </row>
    <row r="1043" spans="5:6">
      <c r="E1043" s="177"/>
      <c r="F1043" s="173"/>
    </row>
    <row r="1044" spans="5:6">
      <c r="E1044" s="177"/>
      <c r="F1044" s="173"/>
    </row>
    <row r="1045" spans="5:6">
      <c r="E1045" s="177"/>
      <c r="F1045" s="173"/>
    </row>
    <row r="1046" spans="5:6">
      <c r="E1046" s="177"/>
      <c r="F1046" s="173"/>
    </row>
    <row r="1047" spans="5:6">
      <c r="E1047" s="177"/>
      <c r="F1047" s="173"/>
    </row>
    <row r="1048" spans="5:6">
      <c r="E1048" s="177"/>
      <c r="F1048" s="173"/>
    </row>
    <row r="1049" spans="5:6">
      <c r="E1049" s="177"/>
      <c r="F1049" s="173"/>
    </row>
    <row r="1050" spans="5:6">
      <c r="E1050" s="177"/>
      <c r="F1050" s="173"/>
    </row>
    <row r="1051" spans="5:6">
      <c r="E1051" s="177"/>
      <c r="F1051" s="173"/>
    </row>
    <row r="1052" spans="5:6">
      <c r="E1052" s="177"/>
      <c r="F1052" s="173"/>
    </row>
    <row r="1053" spans="5:6">
      <c r="E1053" s="177"/>
      <c r="F1053" s="173"/>
    </row>
    <row r="1054" spans="5:6">
      <c r="E1054" s="177"/>
      <c r="F1054" s="173"/>
    </row>
    <row r="1055" spans="5:6">
      <c r="E1055" s="177"/>
      <c r="F1055" s="173"/>
    </row>
    <row r="1056" spans="5:6">
      <c r="E1056" s="177"/>
      <c r="F1056" s="173"/>
    </row>
    <row r="1057" spans="5:6">
      <c r="E1057" s="177"/>
      <c r="F1057" s="173"/>
    </row>
    <row r="1058" spans="5:6">
      <c r="E1058" s="177"/>
      <c r="F1058" s="173"/>
    </row>
    <row r="1059" spans="5:6">
      <c r="E1059" s="177"/>
      <c r="F1059" s="173"/>
    </row>
    <row r="1060" spans="5:6">
      <c r="E1060" s="177"/>
      <c r="F1060" s="173"/>
    </row>
    <row r="1061" spans="5:6">
      <c r="E1061" s="177"/>
      <c r="F1061" s="173"/>
    </row>
    <row r="1062" spans="5:6">
      <c r="E1062" s="177"/>
      <c r="F1062" s="173"/>
    </row>
    <row r="1063" spans="5:6">
      <c r="E1063" s="177"/>
      <c r="F1063" s="173"/>
    </row>
    <row r="1064" spans="5:6">
      <c r="E1064" s="177"/>
      <c r="F1064" s="173"/>
    </row>
    <row r="1065" spans="5:6">
      <c r="E1065" s="177"/>
      <c r="F1065" s="173"/>
    </row>
    <row r="1066" spans="5:6">
      <c r="E1066" s="177"/>
      <c r="F1066" s="173"/>
    </row>
    <row r="1067" spans="5:6">
      <c r="E1067" s="177"/>
      <c r="F1067" s="173"/>
    </row>
    <row r="1068" spans="5:6">
      <c r="E1068" s="177"/>
      <c r="F1068" s="173"/>
    </row>
    <row r="1069" spans="5:6">
      <c r="E1069" s="177"/>
      <c r="F1069" s="173"/>
    </row>
    <row r="1070" spans="5:6">
      <c r="E1070" s="177"/>
      <c r="F1070" s="173"/>
    </row>
    <row r="1071" spans="5:6">
      <c r="E1071" s="177"/>
      <c r="F1071" s="173"/>
    </row>
    <row r="1072" spans="5:6">
      <c r="E1072" s="177"/>
      <c r="F1072" s="173"/>
    </row>
    <row r="1073" spans="5:6">
      <c r="E1073" s="177"/>
      <c r="F1073" s="173"/>
    </row>
    <row r="1074" spans="5:6">
      <c r="E1074" s="177"/>
      <c r="F1074" s="173"/>
    </row>
    <row r="1075" spans="5:6">
      <c r="E1075" s="177"/>
      <c r="F1075" s="173"/>
    </row>
    <row r="1076" spans="5:6">
      <c r="E1076" s="177"/>
      <c r="F1076" s="173"/>
    </row>
    <row r="1077" spans="5:6">
      <c r="E1077" s="177"/>
      <c r="F1077" s="173"/>
    </row>
    <row r="1078" spans="5:6">
      <c r="E1078" s="177"/>
      <c r="F1078" s="173"/>
    </row>
    <row r="1079" spans="5:6">
      <c r="E1079" s="177"/>
      <c r="F1079" s="173"/>
    </row>
    <row r="1080" spans="5:6">
      <c r="E1080" s="177"/>
      <c r="F1080" s="173"/>
    </row>
    <row r="1081" spans="5:6">
      <c r="E1081" s="177"/>
      <c r="F1081" s="173"/>
    </row>
    <row r="1082" spans="5:6">
      <c r="E1082" s="177"/>
      <c r="F1082" s="173"/>
    </row>
    <row r="1083" spans="5:6">
      <c r="E1083" s="177"/>
      <c r="F1083" s="173"/>
    </row>
    <row r="1084" spans="5:6">
      <c r="E1084" s="177"/>
      <c r="F1084" s="173"/>
    </row>
    <row r="1085" spans="5:6">
      <c r="E1085" s="177"/>
      <c r="F1085" s="173"/>
    </row>
    <row r="1086" spans="5:6">
      <c r="E1086" s="177"/>
      <c r="F1086" s="173"/>
    </row>
    <row r="1087" spans="5:6">
      <c r="E1087" s="177"/>
      <c r="F1087" s="173"/>
    </row>
    <row r="1088" spans="5:6">
      <c r="E1088" s="177"/>
      <c r="F1088" s="173"/>
    </row>
    <row r="1089" spans="5:6">
      <c r="E1089" s="177"/>
      <c r="F1089" s="173"/>
    </row>
    <row r="1090" spans="5:6">
      <c r="E1090" s="177"/>
      <c r="F1090" s="173"/>
    </row>
    <row r="1091" spans="5:6">
      <c r="E1091" s="177"/>
      <c r="F1091" s="173"/>
    </row>
    <row r="1092" spans="5:6">
      <c r="E1092" s="177"/>
      <c r="F1092" s="173"/>
    </row>
    <row r="1093" spans="5:6">
      <c r="E1093" s="177"/>
      <c r="F1093" s="173"/>
    </row>
    <row r="1094" spans="5:6">
      <c r="E1094" s="177"/>
      <c r="F1094" s="173"/>
    </row>
    <row r="1095" spans="5:6">
      <c r="E1095" s="177"/>
      <c r="F1095" s="173"/>
    </row>
    <row r="1096" spans="5:6">
      <c r="E1096" s="177"/>
      <c r="F1096" s="173"/>
    </row>
    <row r="1097" spans="5:6">
      <c r="E1097" s="177"/>
      <c r="F1097" s="173"/>
    </row>
    <row r="1098" spans="5:6">
      <c r="E1098" s="177"/>
      <c r="F1098" s="173"/>
    </row>
    <row r="1099" spans="5:6">
      <c r="E1099" s="177"/>
      <c r="F1099" s="173"/>
    </row>
    <row r="1100" spans="5:6">
      <c r="E1100" s="177"/>
      <c r="F1100" s="173"/>
    </row>
    <row r="1101" spans="5:6">
      <c r="E1101" s="177"/>
      <c r="F1101" s="173"/>
    </row>
    <row r="1102" spans="5:6">
      <c r="E1102" s="177"/>
      <c r="F1102" s="173"/>
    </row>
    <row r="1103" spans="5:6">
      <c r="E1103" s="177"/>
      <c r="F1103" s="173"/>
    </row>
    <row r="1104" spans="5:6">
      <c r="E1104" s="177"/>
      <c r="F1104" s="173"/>
    </row>
    <row r="1105" spans="5:6">
      <c r="E1105" s="177"/>
      <c r="F1105" s="173"/>
    </row>
    <row r="1106" spans="5:6">
      <c r="E1106" s="177"/>
      <c r="F1106" s="173"/>
    </row>
    <row r="1107" spans="5:6">
      <c r="E1107" s="177"/>
      <c r="F1107" s="173"/>
    </row>
    <row r="1108" spans="5:6">
      <c r="E1108" s="177"/>
      <c r="F1108" s="173"/>
    </row>
    <row r="1109" spans="5:6">
      <c r="E1109" s="177"/>
      <c r="F1109" s="173"/>
    </row>
    <row r="1110" spans="5:6">
      <c r="E1110" s="177"/>
      <c r="F1110" s="173"/>
    </row>
    <row r="1111" spans="5:6">
      <c r="E1111" s="177"/>
      <c r="F1111" s="173"/>
    </row>
    <row r="1112" spans="5:6">
      <c r="E1112" s="177"/>
      <c r="F1112" s="173"/>
    </row>
    <row r="1113" spans="5:6">
      <c r="E1113" s="177"/>
      <c r="F1113" s="173"/>
    </row>
    <row r="1114" spans="5:6">
      <c r="E1114" s="177"/>
      <c r="F1114" s="173"/>
    </row>
    <row r="1115" spans="5:6">
      <c r="E1115" s="177"/>
      <c r="F1115" s="173"/>
    </row>
    <row r="1116" spans="5:6">
      <c r="E1116" s="177"/>
      <c r="F1116" s="173"/>
    </row>
    <row r="1117" spans="5:6">
      <c r="E1117" s="177"/>
      <c r="F1117" s="173"/>
    </row>
    <row r="1118" spans="5:6">
      <c r="E1118" s="177"/>
      <c r="F1118" s="173"/>
    </row>
    <row r="1119" spans="5:6">
      <c r="E1119" s="177"/>
      <c r="F1119" s="173"/>
    </row>
    <row r="1120" spans="5:6">
      <c r="E1120" s="177"/>
      <c r="F1120" s="173"/>
    </row>
    <row r="1121" spans="5:6">
      <c r="E1121" s="177"/>
      <c r="F1121" s="173"/>
    </row>
    <row r="1122" spans="5:6">
      <c r="E1122" s="177"/>
      <c r="F1122" s="173"/>
    </row>
    <row r="1123" spans="5:6">
      <c r="E1123" s="177"/>
      <c r="F1123" s="173"/>
    </row>
    <row r="1124" spans="5:6">
      <c r="E1124" s="177"/>
      <c r="F1124" s="173"/>
    </row>
    <row r="1125" spans="5:6">
      <c r="E1125" s="177"/>
      <c r="F1125" s="173"/>
    </row>
    <row r="1126" spans="5:6">
      <c r="E1126" s="177"/>
      <c r="F1126" s="173"/>
    </row>
    <row r="1127" spans="5:6">
      <c r="E1127" s="177"/>
      <c r="F1127" s="173"/>
    </row>
    <row r="1128" spans="5:6">
      <c r="E1128" s="177"/>
      <c r="F1128" s="173"/>
    </row>
    <row r="1129" spans="5:6">
      <c r="E1129" s="177"/>
      <c r="F1129" s="173"/>
    </row>
    <row r="1130" spans="5:6">
      <c r="E1130" s="177"/>
      <c r="F1130" s="173"/>
    </row>
    <row r="1131" spans="5:6">
      <c r="E1131" s="177"/>
      <c r="F1131" s="173"/>
    </row>
    <row r="1132" spans="5:6">
      <c r="E1132" s="177"/>
      <c r="F1132" s="173"/>
    </row>
    <row r="1133" spans="5:6">
      <c r="E1133" s="177"/>
      <c r="F1133" s="173"/>
    </row>
    <row r="1134" spans="5:6">
      <c r="E1134" s="177"/>
      <c r="F1134" s="173"/>
    </row>
    <row r="1135" spans="5:6">
      <c r="E1135" s="177"/>
      <c r="F1135" s="173"/>
    </row>
    <row r="1136" spans="5:6">
      <c r="E1136" s="177"/>
      <c r="F1136" s="173"/>
    </row>
    <row r="1137" spans="5:6">
      <c r="E1137" s="177"/>
      <c r="F1137" s="173"/>
    </row>
    <row r="1138" spans="5:6">
      <c r="E1138" s="177"/>
      <c r="F1138" s="173"/>
    </row>
    <row r="1139" spans="5:6">
      <c r="E1139" s="177"/>
      <c r="F1139" s="173"/>
    </row>
    <row r="1140" spans="5:6">
      <c r="E1140" s="177"/>
      <c r="F1140" s="173"/>
    </row>
    <row r="1141" spans="5:6">
      <c r="E1141" s="177"/>
      <c r="F1141" s="173"/>
    </row>
    <row r="1142" spans="5:6">
      <c r="E1142" s="177"/>
      <c r="F1142" s="173"/>
    </row>
    <row r="1143" spans="5:6">
      <c r="E1143" s="177"/>
      <c r="F1143" s="173"/>
    </row>
    <row r="1144" spans="5:6">
      <c r="E1144" s="177"/>
      <c r="F1144" s="173"/>
    </row>
    <row r="1145" spans="5:6">
      <c r="E1145" s="177"/>
      <c r="F1145" s="173"/>
    </row>
    <row r="1146" spans="5:6">
      <c r="E1146" s="177"/>
      <c r="F1146" s="173"/>
    </row>
    <row r="1147" spans="5:6">
      <c r="E1147" s="177"/>
      <c r="F1147" s="173"/>
    </row>
    <row r="1148" spans="5:6">
      <c r="E1148" s="177"/>
      <c r="F1148" s="173"/>
    </row>
    <row r="1149" spans="5:6">
      <c r="E1149" s="177"/>
      <c r="F1149" s="173"/>
    </row>
    <row r="1150" spans="5:6">
      <c r="E1150" s="177"/>
      <c r="F1150" s="173"/>
    </row>
    <row r="1151" spans="5:6">
      <c r="E1151" s="177"/>
      <c r="F1151" s="173"/>
    </row>
    <row r="1152" spans="5:6">
      <c r="E1152" s="177"/>
      <c r="F1152" s="173"/>
    </row>
    <row r="1153" spans="5:6">
      <c r="E1153" s="177"/>
      <c r="F1153" s="173"/>
    </row>
    <row r="1154" spans="5:6">
      <c r="E1154" s="177"/>
      <c r="F1154" s="173"/>
    </row>
    <row r="1155" spans="5:6">
      <c r="E1155" s="177"/>
      <c r="F1155" s="173"/>
    </row>
    <row r="1156" spans="5:6">
      <c r="E1156" s="177"/>
      <c r="F1156" s="173"/>
    </row>
    <row r="1157" spans="5:6">
      <c r="E1157" s="177"/>
      <c r="F1157" s="173"/>
    </row>
    <row r="1158" spans="5:6">
      <c r="E1158" s="177"/>
      <c r="F1158" s="173"/>
    </row>
    <row r="1159" spans="5:6">
      <c r="E1159" s="177"/>
      <c r="F1159" s="173"/>
    </row>
    <row r="1160" spans="5:6">
      <c r="E1160" s="177"/>
      <c r="F1160" s="173"/>
    </row>
    <row r="1161" spans="5:6">
      <c r="E1161" s="177"/>
      <c r="F1161" s="173"/>
    </row>
    <row r="1162" spans="5:6">
      <c r="E1162" s="177"/>
      <c r="F1162" s="173"/>
    </row>
    <row r="1163" spans="5:6">
      <c r="E1163" s="177"/>
      <c r="F1163" s="173"/>
    </row>
    <row r="1164" spans="5:6">
      <c r="E1164" s="177"/>
      <c r="F1164" s="173"/>
    </row>
    <row r="1165" spans="5:6">
      <c r="E1165" s="177"/>
      <c r="F1165" s="173"/>
    </row>
    <row r="1166" spans="5:6">
      <c r="E1166" s="177"/>
      <c r="F1166" s="173"/>
    </row>
    <row r="1167" spans="5:6">
      <c r="E1167" s="177"/>
      <c r="F1167" s="173"/>
    </row>
    <row r="1168" spans="5:6">
      <c r="E1168" s="177"/>
      <c r="F1168" s="173"/>
    </row>
    <row r="1169" spans="5:6">
      <c r="E1169" s="177"/>
      <c r="F1169" s="173"/>
    </row>
    <row r="1170" spans="5:6">
      <c r="E1170" s="177"/>
      <c r="F1170" s="173"/>
    </row>
    <row r="1171" spans="5:6">
      <c r="E1171" s="177"/>
      <c r="F1171" s="173"/>
    </row>
    <row r="1172" spans="5:6">
      <c r="E1172" s="177"/>
      <c r="F1172" s="173"/>
    </row>
    <row r="1173" spans="5:6">
      <c r="E1173" s="177"/>
      <c r="F1173" s="173"/>
    </row>
    <row r="1174" spans="5:6">
      <c r="E1174" s="177"/>
      <c r="F1174" s="173"/>
    </row>
    <row r="1175" spans="5:6">
      <c r="E1175" s="177"/>
      <c r="F1175" s="173"/>
    </row>
    <row r="1176" spans="5:6">
      <c r="E1176" s="177"/>
      <c r="F1176" s="173"/>
    </row>
    <row r="1177" spans="5:6">
      <c r="E1177" s="177"/>
      <c r="F1177" s="173"/>
    </row>
    <row r="1178" spans="5:6">
      <c r="E1178" s="177"/>
      <c r="F1178" s="173"/>
    </row>
    <row r="1179" spans="5:6">
      <c r="E1179" s="177"/>
      <c r="F1179" s="173"/>
    </row>
    <row r="1180" spans="5:6">
      <c r="E1180" s="177"/>
      <c r="F1180" s="173"/>
    </row>
    <row r="1181" spans="5:6">
      <c r="E1181" s="177"/>
      <c r="F1181" s="173"/>
    </row>
    <row r="1182" spans="5:6">
      <c r="E1182" s="177"/>
      <c r="F1182" s="173"/>
    </row>
    <row r="1183" spans="5:6">
      <c r="E1183" s="177"/>
      <c r="F1183" s="173"/>
    </row>
    <row r="1184" spans="5:6">
      <c r="E1184" s="177"/>
      <c r="F1184" s="173"/>
    </row>
    <row r="1185" spans="5:6">
      <c r="E1185" s="177"/>
      <c r="F1185" s="173"/>
    </row>
    <row r="1186" spans="5:6">
      <c r="E1186" s="177"/>
      <c r="F1186" s="173"/>
    </row>
    <row r="1187" spans="5:6">
      <c r="E1187" s="177"/>
      <c r="F1187" s="173"/>
    </row>
    <row r="1188" spans="5:6">
      <c r="E1188" s="177"/>
      <c r="F1188" s="173"/>
    </row>
    <row r="1189" spans="5:6">
      <c r="E1189" s="177"/>
      <c r="F1189" s="173"/>
    </row>
    <row r="1190" spans="5:6">
      <c r="E1190" s="177"/>
      <c r="F1190" s="173"/>
    </row>
    <row r="1191" spans="5:6">
      <c r="E1191" s="177"/>
      <c r="F1191" s="173"/>
    </row>
    <row r="1192" spans="5:6">
      <c r="E1192" s="177"/>
      <c r="F1192" s="173"/>
    </row>
    <row r="1193" spans="5:6">
      <c r="E1193" s="177"/>
      <c r="F1193" s="173"/>
    </row>
    <row r="1194" spans="5:6">
      <c r="E1194" s="177"/>
      <c r="F1194" s="173"/>
    </row>
    <row r="1195" spans="5:6">
      <c r="E1195" s="177"/>
      <c r="F1195" s="173"/>
    </row>
    <row r="1196" spans="5:6">
      <c r="E1196" s="177"/>
      <c r="F1196" s="173"/>
    </row>
    <row r="1197" spans="5:6">
      <c r="E1197" s="177"/>
      <c r="F1197" s="173"/>
    </row>
    <row r="1198" spans="5:6">
      <c r="E1198" s="177"/>
      <c r="F1198" s="173"/>
    </row>
    <row r="1199" spans="5:6">
      <c r="E1199" s="177"/>
      <c r="F1199" s="173"/>
    </row>
    <row r="1200" spans="5:6">
      <c r="E1200" s="177"/>
      <c r="F1200" s="173"/>
    </row>
    <row r="1201" spans="5:6">
      <c r="E1201" s="177"/>
      <c r="F1201" s="173"/>
    </row>
    <row r="1202" spans="5:6">
      <c r="E1202" s="177"/>
      <c r="F1202" s="173"/>
    </row>
    <row r="1203" spans="5:6">
      <c r="E1203" s="177"/>
      <c r="F1203" s="173"/>
    </row>
    <row r="1204" spans="5:6">
      <c r="E1204" s="177"/>
      <c r="F1204" s="173"/>
    </row>
    <row r="1205" spans="5:6">
      <c r="E1205" s="177"/>
      <c r="F1205" s="173"/>
    </row>
    <row r="1206" spans="5:6">
      <c r="E1206" s="177"/>
      <c r="F1206" s="173"/>
    </row>
    <row r="1207" spans="5:6">
      <c r="E1207" s="177"/>
      <c r="F1207" s="173"/>
    </row>
    <row r="1208" spans="5:6">
      <c r="E1208" s="177"/>
      <c r="F1208" s="173"/>
    </row>
    <row r="1209" spans="5:6">
      <c r="E1209" s="177"/>
      <c r="F1209" s="173"/>
    </row>
    <row r="1210" spans="5:6">
      <c r="E1210" s="177"/>
      <c r="F1210" s="173"/>
    </row>
    <row r="1211" spans="5:6">
      <c r="E1211" s="177"/>
      <c r="F1211" s="173"/>
    </row>
    <row r="1212" spans="5:6">
      <c r="E1212" s="177"/>
      <c r="F1212" s="173"/>
    </row>
    <row r="1213" spans="5:6">
      <c r="E1213" s="177"/>
      <c r="F1213" s="173"/>
    </row>
    <row r="1214" spans="5:6">
      <c r="E1214" s="177"/>
      <c r="F1214" s="173"/>
    </row>
    <row r="1215" spans="5:6">
      <c r="E1215" s="177"/>
      <c r="F1215" s="173"/>
    </row>
    <row r="1216" spans="5:6">
      <c r="E1216" s="177"/>
      <c r="F1216" s="173"/>
    </row>
    <row r="1217" spans="5:6">
      <c r="E1217" s="177"/>
      <c r="F1217" s="173"/>
    </row>
    <row r="1218" spans="5:6">
      <c r="E1218" s="177"/>
      <c r="F1218" s="173"/>
    </row>
    <row r="1219" spans="5:6">
      <c r="E1219" s="177"/>
      <c r="F1219" s="173"/>
    </row>
    <row r="1220" spans="5:6">
      <c r="E1220" s="177"/>
      <c r="F1220" s="173"/>
    </row>
    <row r="1221" spans="5:6">
      <c r="E1221" s="177"/>
      <c r="F1221" s="173"/>
    </row>
    <row r="1222" spans="5:6">
      <c r="E1222" s="177"/>
      <c r="F1222" s="173"/>
    </row>
    <row r="1223" spans="5:6">
      <c r="E1223" s="177"/>
      <c r="F1223" s="173"/>
    </row>
    <row r="1224" spans="5:6">
      <c r="E1224" s="177"/>
      <c r="F1224" s="173"/>
    </row>
    <row r="1225" spans="5:6">
      <c r="E1225" s="177"/>
      <c r="F1225" s="173"/>
    </row>
    <row r="1226" spans="5:6">
      <c r="E1226" s="177"/>
      <c r="F1226" s="173"/>
    </row>
    <row r="1227" spans="5:6">
      <c r="E1227" s="177"/>
      <c r="F1227" s="173"/>
    </row>
    <row r="1228" spans="5:6">
      <c r="E1228" s="177"/>
      <c r="F1228" s="173"/>
    </row>
    <row r="1229" spans="5:6">
      <c r="E1229" s="177"/>
      <c r="F1229" s="173"/>
    </row>
    <row r="1230" spans="5:6">
      <c r="E1230" s="177"/>
      <c r="F1230" s="173"/>
    </row>
    <row r="1231" spans="5:6">
      <c r="E1231" s="177"/>
      <c r="F1231" s="173"/>
    </row>
    <row r="1232" spans="5:6">
      <c r="E1232" s="177"/>
      <c r="F1232" s="173"/>
    </row>
    <row r="1233" spans="5:6">
      <c r="E1233" s="177"/>
      <c r="F1233" s="173"/>
    </row>
    <row r="1234" spans="5:6">
      <c r="E1234" s="177"/>
      <c r="F1234" s="173"/>
    </row>
    <row r="1235" spans="5:6">
      <c r="E1235" s="177"/>
      <c r="F1235" s="173"/>
    </row>
    <row r="1236" spans="5:6">
      <c r="E1236" s="177"/>
      <c r="F1236" s="173"/>
    </row>
    <row r="1237" spans="5:6">
      <c r="E1237" s="177"/>
      <c r="F1237" s="173"/>
    </row>
    <row r="1238" spans="5:6">
      <c r="E1238" s="177"/>
      <c r="F1238" s="173"/>
    </row>
    <row r="1239" spans="5:6">
      <c r="E1239" s="177"/>
      <c r="F1239" s="173"/>
    </row>
    <row r="1240" spans="5:6">
      <c r="E1240" s="177"/>
      <c r="F1240" s="173"/>
    </row>
    <row r="1241" spans="5:6">
      <c r="E1241" s="177"/>
      <c r="F1241" s="173"/>
    </row>
    <row r="1242" spans="5:6">
      <c r="E1242" s="177"/>
      <c r="F1242" s="173"/>
    </row>
    <row r="1243" spans="5:6">
      <c r="E1243" s="177"/>
      <c r="F1243" s="173"/>
    </row>
    <row r="1244" spans="5:6">
      <c r="E1244" s="177"/>
      <c r="F1244" s="173"/>
    </row>
    <row r="1245" spans="5:6">
      <c r="E1245" s="177"/>
      <c r="F1245" s="173"/>
    </row>
    <row r="1246" spans="5:6">
      <c r="E1246" s="177"/>
      <c r="F1246" s="173"/>
    </row>
    <row r="1247" spans="5:6">
      <c r="E1247" s="177"/>
      <c r="F1247" s="173"/>
    </row>
    <row r="1248" spans="5:6">
      <c r="E1248" s="177"/>
      <c r="F1248" s="173"/>
    </row>
    <row r="1249" spans="5:6">
      <c r="E1249" s="177"/>
      <c r="F1249" s="173"/>
    </row>
    <row r="1250" spans="5:6">
      <c r="E1250" s="177"/>
      <c r="F1250" s="173"/>
    </row>
    <row r="1251" spans="5:6">
      <c r="E1251" s="177"/>
      <c r="F1251" s="173"/>
    </row>
    <row r="1252" spans="5:6">
      <c r="E1252" s="177"/>
      <c r="F1252" s="173"/>
    </row>
    <row r="1253" spans="5:6">
      <c r="E1253" s="177"/>
      <c r="F1253" s="173"/>
    </row>
    <row r="1254" spans="5:6">
      <c r="E1254" s="177"/>
      <c r="F1254" s="173"/>
    </row>
    <row r="1255" spans="5:6">
      <c r="E1255" s="177"/>
      <c r="F1255" s="173"/>
    </row>
    <row r="1256" spans="5:6">
      <c r="E1256" s="177"/>
      <c r="F1256" s="173"/>
    </row>
    <row r="1257" spans="5:6">
      <c r="E1257" s="177"/>
      <c r="F1257" s="173"/>
    </row>
    <row r="1258" spans="5:6">
      <c r="E1258" s="177"/>
      <c r="F1258" s="173"/>
    </row>
    <row r="1259" spans="5:6">
      <c r="E1259" s="177"/>
      <c r="F1259" s="173"/>
    </row>
    <row r="1260" spans="5:6">
      <c r="E1260" s="177"/>
      <c r="F1260" s="173"/>
    </row>
    <row r="1261" spans="5:6">
      <c r="E1261" s="177"/>
      <c r="F1261" s="173"/>
    </row>
    <row r="1262" spans="5:6">
      <c r="E1262" s="177"/>
      <c r="F1262" s="173"/>
    </row>
    <row r="1263" spans="5:6">
      <c r="E1263" s="177"/>
      <c r="F1263" s="173"/>
    </row>
    <row r="1264" spans="5:6">
      <c r="E1264" s="177"/>
      <c r="F1264" s="173"/>
    </row>
    <row r="1265" spans="5:6">
      <c r="E1265" s="177"/>
      <c r="F1265" s="173"/>
    </row>
    <row r="1266" spans="5:6">
      <c r="E1266" s="177"/>
      <c r="F1266" s="173"/>
    </row>
    <row r="1267" spans="5:6">
      <c r="E1267" s="177"/>
      <c r="F1267" s="173"/>
    </row>
    <row r="1268" spans="5:6">
      <c r="E1268" s="177"/>
      <c r="F1268" s="173"/>
    </row>
    <row r="1269" spans="5:6">
      <c r="E1269" s="177"/>
      <c r="F1269" s="173"/>
    </row>
    <row r="1270" spans="5:6">
      <c r="E1270" s="177"/>
      <c r="F1270" s="173"/>
    </row>
    <row r="1271" spans="5:6">
      <c r="E1271" s="177"/>
      <c r="F1271" s="173"/>
    </row>
    <row r="1272" spans="5:6">
      <c r="E1272" s="177"/>
      <c r="F1272" s="173"/>
    </row>
    <row r="1273" spans="5:6">
      <c r="E1273" s="177"/>
      <c r="F1273" s="173"/>
    </row>
    <row r="1274" spans="5:6">
      <c r="E1274" s="177"/>
      <c r="F1274" s="173"/>
    </row>
    <row r="1275" spans="5:6">
      <c r="E1275" s="177"/>
      <c r="F1275" s="173"/>
    </row>
    <row r="1276" spans="5:6">
      <c r="E1276" s="177"/>
      <c r="F1276" s="173"/>
    </row>
    <row r="1277" spans="5:6">
      <c r="E1277" s="177"/>
      <c r="F1277" s="173"/>
    </row>
    <row r="1278" spans="5:6">
      <c r="E1278" s="177"/>
      <c r="F1278" s="173"/>
    </row>
    <row r="1279" spans="5:6">
      <c r="E1279" s="177"/>
      <c r="F1279" s="173"/>
    </row>
    <row r="1280" spans="5:6">
      <c r="E1280" s="177"/>
      <c r="F1280" s="173"/>
    </row>
    <row r="1281" spans="5:6">
      <c r="E1281" s="177"/>
      <c r="F1281" s="173"/>
    </row>
    <row r="1282" spans="5:6">
      <c r="E1282" s="177"/>
      <c r="F1282" s="173"/>
    </row>
    <row r="1283" spans="5:6">
      <c r="E1283" s="177"/>
      <c r="F1283" s="173"/>
    </row>
    <row r="1284" spans="5:6">
      <c r="E1284" s="177"/>
      <c r="F1284" s="173"/>
    </row>
    <row r="1285" spans="5:6">
      <c r="E1285" s="177"/>
      <c r="F1285" s="173"/>
    </row>
    <row r="1286" spans="5:6">
      <c r="E1286" s="177"/>
      <c r="F1286" s="173"/>
    </row>
    <row r="1287" spans="5:6">
      <c r="E1287" s="177"/>
      <c r="F1287" s="173"/>
    </row>
    <row r="1288" spans="5:6">
      <c r="E1288" s="177"/>
      <c r="F1288" s="173"/>
    </row>
    <row r="1289" spans="5:6">
      <c r="E1289" s="177"/>
      <c r="F1289" s="173"/>
    </row>
    <row r="1290" spans="5:6">
      <c r="E1290" s="177"/>
      <c r="F1290" s="173"/>
    </row>
    <row r="1291" spans="5:6">
      <c r="E1291" s="177"/>
      <c r="F1291" s="173"/>
    </row>
    <row r="1292" spans="5:6">
      <c r="E1292" s="177"/>
      <c r="F1292" s="173"/>
    </row>
    <row r="1293" spans="5:6">
      <c r="E1293" s="177"/>
      <c r="F1293" s="173"/>
    </row>
    <row r="1294" spans="5:6">
      <c r="E1294" s="177"/>
      <c r="F1294" s="173"/>
    </row>
    <row r="1295" spans="5:6">
      <c r="E1295" s="177"/>
      <c r="F1295" s="173"/>
    </row>
    <row r="1296" spans="5:6">
      <c r="E1296" s="177"/>
      <c r="F1296" s="173"/>
    </row>
    <row r="1297" spans="5:6">
      <c r="E1297" s="177"/>
      <c r="F1297" s="173"/>
    </row>
    <row r="1298" spans="5:6">
      <c r="E1298" s="177"/>
      <c r="F1298" s="173"/>
    </row>
    <row r="1299" spans="5:6">
      <c r="E1299" s="177"/>
      <c r="F1299" s="173"/>
    </row>
    <row r="1300" spans="5:6">
      <c r="E1300" s="177"/>
      <c r="F1300" s="173"/>
    </row>
    <row r="1301" spans="5:6">
      <c r="E1301" s="177"/>
      <c r="F1301" s="173"/>
    </row>
    <row r="1302" spans="5:6">
      <c r="E1302" s="177"/>
      <c r="F1302" s="173"/>
    </row>
    <row r="1303" spans="5:6">
      <c r="E1303" s="177"/>
      <c r="F1303" s="173"/>
    </row>
    <row r="1304" spans="5:6">
      <c r="E1304" s="177"/>
      <c r="F1304" s="173"/>
    </row>
    <row r="1305" spans="5:6">
      <c r="E1305" s="177"/>
      <c r="F1305" s="173"/>
    </row>
    <row r="1306" spans="5:6">
      <c r="E1306" s="177"/>
      <c r="F1306" s="173"/>
    </row>
    <row r="1307" spans="5:6">
      <c r="E1307" s="177"/>
      <c r="F1307" s="173"/>
    </row>
    <row r="1308" spans="5:6">
      <c r="E1308" s="177"/>
      <c r="F1308" s="173"/>
    </row>
    <row r="1309" spans="5:6">
      <c r="E1309" s="177"/>
      <c r="F1309" s="173"/>
    </row>
    <row r="1310" spans="5:6">
      <c r="E1310" s="177"/>
      <c r="F1310" s="173"/>
    </row>
    <row r="1311" spans="5:6">
      <c r="E1311" s="177"/>
      <c r="F1311" s="173"/>
    </row>
    <row r="1312" spans="5:6">
      <c r="E1312" s="177"/>
      <c r="F1312" s="173"/>
    </row>
    <row r="1313" spans="5:6">
      <c r="E1313" s="177"/>
      <c r="F1313" s="173"/>
    </row>
    <row r="1314" spans="5:6">
      <c r="E1314" s="177"/>
      <c r="F1314" s="173"/>
    </row>
    <row r="1315" spans="5:6">
      <c r="E1315" s="177"/>
      <c r="F1315" s="173"/>
    </row>
    <row r="1316" spans="5:6">
      <c r="E1316" s="177"/>
      <c r="F1316" s="173"/>
    </row>
    <row r="1317" spans="5:6">
      <c r="E1317" s="177"/>
      <c r="F1317" s="173"/>
    </row>
    <row r="1318" spans="5:6">
      <c r="E1318" s="177"/>
      <c r="F1318" s="173"/>
    </row>
    <row r="1319" spans="5:6">
      <c r="E1319" s="177"/>
      <c r="F1319" s="173"/>
    </row>
    <row r="1320" spans="5:6">
      <c r="E1320" s="177"/>
      <c r="F1320" s="173"/>
    </row>
    <row r="1321" spans="5:6">
      <c r="E1321" s="177"/>
      <c r="F1321" s="173"/>
    </row>
    <row r="1322" spans="5:6">
      <c r="E1322" s="177"/>
      <c r="F1322" s="173"/>
    </row>
    <row r="1323" spans="5:6">
      <c r="E1323" s="177"/>
      <c r="F1323" s="173"/>
    </row>
    <row r="1324" spans="5:6">
      <c r="E1324" s="177"/>
      <c r="F1324" s="173"/>
    </row>
    <row r="1325" spans="5:6">
      <c r="E1325" s="177"/>
      <c r="F1325" s="173"/>
    </row>
    <row r="1326" spans="5:6">
      <c r="E1326" s="177"/>
      <c r="F1326" s="173"/>
    </row>
    <row r="1327" spans="5:6">
      <c r="E1327" s="177"/>
      <c r="F1327" s="173"/>
    </row>
    <row r="1328" spans="5:6">
      <c r="E1328" s="177"/>
      <c r="F1328" s="173"/>
    </row>
    <row r="1329" spans="5:6">
      <c r="E1329" s="177"/>
      <c r="F1329" s="173"/>
    </row>
    <row r="1330" spans="5:6">
      <c r="E1330" s="177"/>
      <c r="F1330" s="173"/>
    </row>
    <row r="1331" spans="5:6">
      <c r="E1331" s="177"/>
      <c r="F1331" s="173"/>
    </row>
    <row r="1332" spans="5:6">
      <c r="E1332" s="177"/>
      <c r="F1332" s="173"/>
    </row>
    <row r="1333" spans="5:6">
      <c r="E1333" s="177"/>
      <c r="F1333" s="173"/>
    </row>
    <row r="1334" spans="5:6">
      <c r="E1334" s="177"/>
      <c r="F1334" s="173"/>
    </row>
    <row r="1335" spans="5:6">
      <c r="E1335" s="177"/>
      <c r="F1335" s="173"/>
    </row>
    <row r="1336" spans="5:6">
      <c r="E1336" s="177"/>
      <c r="F1336" s="173"/>
    </row>
    <row r="1337" spans="5:6">
      <c r="E1337" s="177"/>
      <c r="F1337" s="173"/>
    </row>
    <row r="1338" spans="5:6">
      <c r="E1338" s="177"/>
      <c r="F1338" s="173"/>
    </row>
    <row r="1339" spans="5:6">
      <c r="E1339" s="177"/>
      <c r="F1339" s="173"/>
    </row>
    <row r="1340" spans="5:6">
      <c r="E1340" s="177"/>
      <c r="F1340" s="173"/>
    </row>
    <row r="1341" spans="5:6">
      <c r="E1341" s="177"/>
      <c r="F1341" s="173"/>
    </row>
    <row r="1342" spans="5:6">
      <c r="E1342" s="177"/>
      <c r="F1342" s="173"/>
    </row>
    <row r="1343" spans="5:6">
      <c r="E1343" s="177"/>
      <c r="F1343" s="173"/>
    </row>
    <row r="1344" spans="5:6">
      <c r="E1344" s="177"/>
      <c r="F1344" s="173"/>
    </row>
    <row r="1345" spans="5:6">
      <c r="E1345" s="177"/>
      <c r="F1345" s="173"/>
    </row>
    <row r="1346" spans="5:6">
      <c r="E1346" s="177"/>
      <c r="F1346" s="173"/>
    </row>
    <row r="1347" spans="5:6">
      <c r="E1347" s="177"/>
      <c r="F1347" s="173"/>
    </row>
    <row r="1348" spans="5:6">
      <c r="E1348" s="177"/>
      <c r="F1348" s="173"/>
    </row>
    <row r="1349" spans="5:6">
      <c r="E1349" s="177"/>
      <c r="F1349" s="173"/>
    </row>
    <row r="1350" spans="5:6">
      <c r="E1350" s="177"/>
      <c r="F1350" s="173"/>
    </row>
    <row r="1351" spans="5:6">
      <c r="E1351" s="177"/>
      <c r="F1351" s="173"/>
    </row>
    <row r="1352" spans="5:6">
      <c r="E1352" s="177"/>
      <c r="F1352" s="173"/>
    </row>
    <row r="1353" spans="5:6">
      <c r="E1353" s="177"/>
      <c r="F1353" s="173"/>
    </row>
    <row r="1354" spans="5:6">
      <c r="E1354" s="177"/>
      <c r="F1354" s="173"/>
    </row>
    <row r="1355" spans="5:6">
      <c r="E1355" s="177"/>
      <c r="F1355" s="173"/>
    </row>
    <row r="1356" spans="5:6">
      <c r="E1356" s="177"/>
      <c r="F1356" s="173"/>
    </row>
    <row r="1357" spans="5:6">
      <c r="E1357" s="177"/>
      <c r="F1357" s="173"/>
    </row>
    <row r="1358" spans="5:6">
      <c r="E1358" s="177"/>
      <c r="F1358" s="173"/>
    </row>
    <row r="1359" spans="5:6">
      <c r="E1359" s="177"/>
      <c r="F1359" s="173"/>
    </row>
    <row r="1360" spans="5:6">
      <c r="E1360" s="177"/>
      <c r="F1360" s="173"/>
    </row>
    <row r="1361" spans="5:6">
      <c r="E1361" s="177"/>
      <c r="F1361" s="173"/>
    </row>
    <row r="1362" spans="5:6">
      <c r="E1362" s="177"/>
      <c r="F1362" s="173"/>
    </row>
    <row r="1363" spans="5:6">
      <c r="E1363" s="177"/>
      <c r="F1363" s="173"/>
    </row>
    <row r="1364" spans="5:6">
      <c r="E1364" s="177"/>
      <c r="F1364" s="173"/>
    </row>
    <row r="1365" spans="5:6">
      <c r="E1365" s="177"/>
      <c r="F1365" s="173"/>
    </row>
    <row r="1366" spans="5:6">
      <c r="E1366" s="177"/>
      <c r="F1366" s="173"/>
    </row>
    <row r="1367" spans="5:6">
      <c r="E1367" s="177"/>
      <c r="F1367" s="173"/>
    </row>
    <row r="1368" spans="5:6">
      <c r="E1368" s="177"/>
      <c r="F1368" s="173"/>
    </row>
    <row r="1369" spans="5:6">
      <c r="E1369" s="177"/>
      <c r="F1369" s="173"/>
    </row>
    <row r="1370" spans="5:6">
      <c r="E1370" s="177"/>
      <c r="F1370" s="173"/>
    </row>
    <row r="1371" spans="5:6">
      <c r="E1371" s="177"/>
      <c r="F1371" s="173"/>
    </row>
    <row r="1372" spans="5:6">
      <c r="E1372" s="177"/>
      <c r="F1372" s="173"/>
    </row>
    <row r="1373" spans="5:6">
      <c r="E1373" s="177"/>
      <c r="F1373" s="173"/>
    </row>
    <row r="1374" spans="5:6">
      <c r="E1374" s="177"/>
      <c r="F1374" s="173"/>
    </row>
    <row r="1375" spans="5:6">
      <c r="E1375" s="177"/>
      <c r="F1375" s="173"/>
    </row>
    <row r="1376" spans="5:6">
      <c r="E1376" s="177"/>
      <c r="F1376" s="173"/>
    </row>
    <row r="1377" spans="5:6">
      <c r="E1377" s="177"/>
      <c r="F1377" s="173"/>
    </row>
    <row r="1378" spans="5:6">
      <c r="E1378" s="177"/>
      <c r="F1378" s="173"/>
    </row>
    <row r="1379" spans="5:6">
      <c r="E1379" s="177"/>
      <c r="F1379" s="173"/>
    </row>
    <row r="1380" spans="5:6">
      <c r="E1380" s="177"/>
      <c r="F1380" s="173"/>
    </row>
    <row r="1381" spans="5:6">
      <c r="E1381" s="177"/>
      <c r="F1381" s="173"/>
    </row>
    <row r="1382" spans="5:6">
      <c r="E1382" s="177"/>
      <c r="F1382" s="173"/>
    </row>
    <row r="1383" spans="5:6">
      <c r="E1383" s="177"/>
      <c r="F1383" s="173"/>
    </row>
    <row r="1384" spans="5:6">
      <c r="E1384" s="177"/>
      <c r="F1384" s="173"/>
    </row>
    <row r="1385" spans="5:6">
      <c r="E1385" s="177"/>
      <c r="F1385" s="173"/>
    </row>
    <row r="1386" spans="5:6">
      <c r="E1386" s="177"/>
      <c r="F1386" s="173"/>
    </row>
    <row r="1387" spans="5:6">
      <c r="E1387" s="177"/>
      <c r="F1387" s="173"/>
    </row>
    <row r="1388" spans="5:6">
      <c r="E1388" s="177"/>
      <c r="F1388" s="173"/>
    </row>
    <row r="1389" spans="5:6">
      <c r="E1389" s="177"/>
      <c r="F1389" s="173"/>
    </row>
    <row r="1390" spans="5:6">
      <c r="E1390" s="177"/>
      <c r="F1390" s="173"/>
    </row>
    <row r="1391" spans="5:6">
      <c r="E1391" s="177"/>
      <c r="F1391" s="173"/>
    </row>
    <row r="1392" spans="5:6">
      <c r="E1392" s="177"/>
      <c r="F1392" s="173"/>
    </row>
    <row r="1393" spans="5:6">
      <c r="E1393" s="177"/>
      <c r="F1393" s="173"/>
    </row>
    <row r="1394" spans="5:6">
      <c r="E1394" s="177"/>
      <c r="F1394" s="173"/>
    </row>
    <row r="1395" spans="5:6">
      <c r="E1395" s="177"/>
      <c r="F1395" s="173"/>
    </row>
    <row r="1396" spans="5:6">
      <c r="E1396" s="177"/>
      <c r="F1396" s="173"/>
    </row>
    <row r="1397" spans="5:6">
      <c r="E1397" s="177"/>
      <c r="F1397" s="173"/>
    </row>
    <row r="1398" spans="5:6">
      <c r="E1398" s="177"/>
      <c r="F1398" s="173"/>
    </row>
    <row r="1399" spans="5:6">
      <c r="E1399" s="177"/>
      <c r="F1399" s="173"/>
    </row>
    <row r="1400" spans="5:6">
      <c r="E1400" s="177"/>
      <c r="F1400" s="173"/>
    </row>
    <row r="1401" spans="5:6">
      <c r="E1401" s="177"/>
      <c r="F1401" s="173"/>
    </row>
    <row r="1402" spans="5:6">
      <c r="E1402" s="177"/>
      <c r="F1402" s="173"/>
    </row>
    <row r="1403" spans="5:6">
      <c r="E1403" s="177"/>
      <c r="F1403" s="173"/>
    </row>
    <row r="1404" spans="5:6">
      <c r="E1404" s="177"/>
      <c r="F1404" s="173"/>
    </row>
    <row r="1405" spans="5:6">
      <c r="E1405" s="177"/>
      <c r="F1405" s="173"/>
    </row>
    <row r="1406" spans="5:6">
      <c r="E1406" s="177"/>
      <c r="F1406" s="173"/>
    </row>
    <row r="1407" spans="5:6">
      <c r="E1407" s="177"/>
      <c r="F1407" s="173"/>
    </row>
    <row r="1408" spans="5:6">
      <c r="E1408" s="177"/>
      <c r="F1408" s="173"/>
    </row>
    <row r="1409" spans="5:6">
      <c r="E1409" s="177"/>
      <c r="F1409" s="173"/>
    </row>
    <row r="1410" spans="5:6">
      <c r="E1410" s="177"/>
      <c r="F1410" s="173"/>
    </row>
    <row r="1411" spans="5:6">
      <c r="E1411" s="177"/>
      <c r="F1411" s="173"/>
    </row>
    <row r="1412" spans="5:6">
      <c r="E1412" s="177"/>
      <c r="F1412" s="173"/>
    </row>
    <row r="1413" spans="5:6">
      <c r="E1413" s="177"/>
      <c r="F1413" s="173"/>
    </row>
    <row r="1414" spans="5:6">
      <c r="E1414" s="177"/>
      <c r="F1414" s="173"/>
    </row>
    <row r="1415" spans="5:6">
      <c r="E1415" s="177"/>
      <c r="F1415" s="173"/>
    </row>
    <row r="1416" spans="5:6">
      <c r="E1416" s="177"/>
      <c r="F1416" s="173"/>
    </row>
    <row r="1417" spans="5:6">
      <c r="E1417" s="177"/>
      <c r="F1417" s="173"/>
    </row>
    <row r="1418" spans="5:6">
      <c r="E1418" s="177"/>
      <c r="F1418" s="173"/>
    </row>
    <row r="1419" spans="5:6">
      <c r="E1419" s="177"/>
      <c r="F1419" s="173"/>
    </row>
    <row r="1420" spans="5:6">
      <c r="E1420" s="177"/>
      <c r="F1420" s="173"/>
    </row>
    <row r="1421" spans="5:6">
      <c r="E1421" s="177"/>
      <c r="F1421" s="173"/>
    </row>
    <row r="1422" spans="5:6">
      <c r="E1422" s="177"/>
      <c r="F1422" s="173"/>
    </row>
    <row r="1423" spans="5:6">
      <c r="E1423" s="177"/>
      <c r="F1423" s="173"/>
    </row>
    <row r="1424" spans="5:6">
      <c r="E1424" s="177"/>
      <c r="F1424" s="173"/>
    </row>
    <row r="1425" spans="5:6">
      <c r="E1425" s="177"/>
      <c r="F1425" s="173"/>
    </row>
    <row r="1426" spans="5:6">
      <c r="E1426" s="177"/>
      <c r="F1426" s="173"/>
    </row>
    <row r="1427" spans="5:6">
      <c r="E1427" s="177"/>
      <c r="F1427" s="173"/>
    </row>
    <row r="1428" spans="5:6">
      <c r="E1428" s="177"/>
      <c r="F1428" s="173"/>
    </row>
    <row r="1429" spans="5:6">
      <c r="E1429" s="177"/>
      <c r="F1429" s="173"/>
    </row>
    <row r="1430" spans="5:6">
      <c r="E1430" s="177"/>
      <c r="F1430" s="173"/>
    </row>
    <row r="1431" spans="5:6">
      <c r="E1431" s="177"/>
      <c r="F1431" s="173"/>
    </row>
    <row r="1432" spans="5:6">
      <c r="E1432" s="177"/>
      <c r="F1432" s="173"/>
    </row>
    <row r="1433" spans="5:6">
      <c r="E1433" s="177"/>
      <c r="F1433" s="173"/>
    </row>
    <row r="1434" spans="5:6">
      <c r="E1434" s="177"/>
      <c r="F1434" s="173"/>
    </row>
    <row r="1435" spans="5:6">
      <c r="E1435" s="177"/>
      <c r="F1435" s="173"/>
    </row>
    <row r="1436" spans="5:6">
      <c r="E1436" s="177"/>
      <c r="F1436" s="173"/>
    </row>
    <row r="1437" spans="5:6">
      <c r="E1437" s="177"/>
      <c r="F1437" s="173"/>
    </row>
    <row r="1438" spans="5:6">
      <c r="E1438" s="177"/>
      <c r="F1438" s="173"/>
    </row>
    <row r="1439" spans="5:6">
      <c r="E1439" s="177"/>
      <c r="F1439" s="173"/>
    </row>
    <row r="1440" spans="5:6">
      <c r="E1440" s="177"/>
      <c r="F1440" s="173"/>
    </row>
    <row r="1441" spans="5:6">
      <c r="E1441" s="177"/>
      <c r="F1441" s="173"/>
    </row>
    <row r="1442" spans="5:6">
      <c r="E1442" s="177"/>
      <c r="F1442" s="173"/>
    </row>
    <row r="1443" spans="5:6">
      <c r="E1443" s="177"/>
      <c r="F1443" s="173"/>
    </row>
    <row r="1444" spans="5:6">
      <c r="E1444" s="177"/>
      <c r="F1444" s="173"/>
    </row>
    <row r="1445" spans="5:6">
      <c r="E1445" s="177"/>
      <c r="F1445" s="173"/>
    </row>
    <row r="1446" spans="5:6">
      <c r="E1446" s="177"/>
      <c r="F1446" s="173"/>
    </row>
    <row r="1447" spans="5:6">
      <c r="E1447" s="177"/>
      <c r="F1447" s="173"/>
    </row>
    <row r="1448" spans="5:6">
      <c r="E1448" s="177"/>
      <c r="F1448" s="173"/>
    </row>
    <row r="1449" spans="5:6">
      <c r="E1449" s="177"/>
      <c r="F1449" s="173"/>
    </row>
    <row r="1450" spans="5:6">
      <c r="E1450" s="177"/>
      <c r="F1450" s="173"/>
    </row>
    <row r="1451" spans="5:6">
      <c r="E1451" s="177"/>
      <c r="F1451" s="173"/>
    </row>
    <row r="1452" spans="5:6">
      <c r="E1452" s="177"/>
      <c r="F1452" s="173"/>
    </row>
    <row r="1453" spans="5:6">
      <c r="E1453" s="177"/>
      <c r="F1453" s="173"/>
    </row>
    <row r="1454" spans="5:6">
      <c r="E1454" s="177"/>
      <c r="F1454" s="173"/>
    </row>
    <row r="1455" spans="5:6">
      <c r="E1455" s="177"/>
      <c r="F1455" s="173"/>
    </row>
    <row r="1456" spans="5:6">
      <c r="E1456" s="177"/>
      <c r="F1456" s="173"/>
    </row>
    <row r="1457" spans="5:6">
      <c r="E1457" s="177"/>
      <c r="F1457" s="173"/>
    </row>
    <row r="1458" spans="5:6">
      <c r="E1458" s="177"/>
      <c r="F1458" s="173"/>
    </row>
    <row r="1459" spans="5:6">
      <c r="E1459" s="177"/>
      <c r="F1459" s="173"/>
    </row>
    <row r="1460" spans="5:6">
      <c r="E1460" s="177"/>
      <c r="F1460" s="173"/>
    </row>
    <row r="1461" spans="5:6">
      <c r="E1461" s="177"/>
      <c r="F1461" s="173"/>
    </row>
    <row r="1462" spans="5:6">
      <c r="E1462" s="177"/>
      <c r="F1462" s="173"/>
    </row>
    <row r="1463" spans="5:6">
      <c r="E1463" s="177"/>
      <c r="F1463" s="173"/>
    </row>
    <row r="1464" spans="5:6">
      <c r="E1464" s="177"/>
      <c r="F1464" s="173"/>
    </row>
    <row r="1465" spans="5:6">
      <c r="E1465" s="177"/>
      <c r="F1465" s="173"/>
    </row>
    <row r="1466" spans="5:6">
      <c r="E1466" s="177"/>
      <c r="F1466" s="173"/>
    </row>
    <row r="1467" spans="5:6">
      <c r="E1467" s="177"/>
      <c r="F1467" s="173"/>
    </row>
    <row r="1468" spans="5:6">
      <c r="E1468" s="177"/>
      <c r="F1468" s="173"/>
    </row>
    <row r="1469" spans="5:6">
      <c r="E1469" s="177"/>
      <c r="F1469" s="173"/>
    </row>
    <row r="1470" spans="5:6">
      <c r="E1470" s="177"/>
      <c r="F1470" s="173"/>
    </row>
    <row r="1471" spans="5:6">
      <c r="E1471" s="177"/>
      <c r="F1471" s="173"/>
    </row>
    <row r="1472" spans="5:6">
      <c r="E1472" s="177"/>
      <c r="F1472" s="173"/>
    </row>
    <row r="1473" spans="5:6">
      <c r="E1473" s="177"/>
      <c r="F1473" s="173"/>
    </row>
    <row r="1474" spans="5:6">
      <c r="E1474" s="177"/>
      <c r="F1474" s="173"/>
    </row>
    <row r="1475" spans="5:6">
      <c r="E1475" s="177"/>
      <c r="F1475" s="173"/>
    </row>
    <row r="1476" spans="5:6">
      <c r="E1476" s="177"/>
      <c r="F1476" s="173"/>
    </row>
    <row r="1477" spans="5:6">
      <c r="E1477" s="177"/>
      <c r="F1477" s="173"/>
    </row>
    <row r="1478" spans="5:6">
      <c r="E1478" s="177"/>
      <c r="F1478" s="173"/>
    </row>
    <row r="1479" spans="5:6">
      <c r="E1479" s="177"/>
      <c r="F1479" s="173"/>
    </row>
    <row r="1480" spans="5:6">
      <c r="E1480" s="177"/>
      <c r="F1480" s="173"/>
    </row>
    <row r="1481" spans="5:6">
      <c r="E1481" s="177"/>
      <c r="F1481" s="173"/>
    </row>
    <row r="1482" spans="5:6">
      <c r="E1482" s="177"/>
      <c r="F1482" s="173"/>
    </row>
    <row r="1483" spans="5:6">
      <c r="E1483" s="177"/>
      <c r="F1483" s="173"/>
    </row>
    <row r="1484" spans="5:6">
      <c r="E1484" s="177"/>
      <c r="F1484" s="173"/>
    </row>
    <row r="1485" spans="5:6">
      <c r="E1485" s="177"/>
      <c r="F1485" s="173"/>
    </row>
    <row r="1486" spans="5:6">
      <c r="E1486" s="177"/>
      <c r="F1486" s="173"/>
    </row>
    <row r="1487" spans="5:6">
      <c r="E1487" s="177"/>
      <c r="F1487" s="173"/>
    </row>
    <row r="1488" spans="5:6">
      <c r="E1488" s="177"/>
      <c r="F1488" s="173"/>
    </row>
    <row r="1489" spans="5:6">
      <c r="E1489" s="177"/>
      <c r="F1489" s="173"/>
    </row>
    <row r="1490" spans="5:6">
      <c r="E1490" s="177"/>
      <c r="F1490" s="173"/>
    </row>
    <row r="1491" spans="5:6">
      <c r="E1491" s="177"/>
      <c r="F1491" s="173"/>
    </row>
    <row r="1492" spans="5:6">
      <c r="E1492" s="177"/>
      <c r="F1492" s="173"/>
    </row>
    <row r="1493" spans="5:6">
      <c r="E1493" s="177"/>
      <c r="F1493" s="173"/>
    </row>
    <row r="1494" spans="5:6">
      <c r="E1494" s="177"/>
      <c r="F1494" s="173"/>
    </row>
    <row r="1495" spans="5:6">
      <c r="E1495" s="177"/>
      <c r="F1495" s="173"/>
    </row>
    <row r="1496" spans="5:6">
      <c r="E1496" s="177"/>
      <c r="F1496" s="173"/>
    </row>
    <row r="1497" spans="5:6">
      <c r="E1497" s="177"/>
      <c r="F1497" s="173"/>
    </row>
    <row r="1498" spans="5:6">
      <c r="E1498" s="177"/>
      <c r="F1498" s="173"/>
    </row>
    <row r="1499" spans="5:6">
      <c r="E1499" s="177"/>
      <c r="F1499" s="173"/>
    </row>
    <row r="1500" spans="5:6">
      <c r="E1500" s="177"/>
      <c r="F1500" s="173"/>
    </row>
    <row r="1501" spans="5:6">
      <c r="E1501" s="177"/>
      <c r="F1501" s="173"/>
    </row>
    <row r="1502" spans="5:6">
      <c r="E1502" s="177"/>
      <c r="F1502" s="173"/>
    </row>
    <row r="1503" spans="5:6">
      <c r="E1503" s="177"/>
      <c r="F1503" s="173"/>
    </row>
    <row r="1504" spans="5:6">
      <c r="E1504" s="177"/>
      <c r="F1504" s="173"/>
    </row>
    <row r="1505" spans="5:6">
      <c r="E1505" s="177"/>
      <c r="F1505" s="173"/>
    </row>
    <row r="1506" spans="5:6">
      <c r="E1506" s="177"/>
      <c r="F1506" s="173"/>
    </row>
    <row r="1507" spans="5:6">
      <c r="E1507" s="177"/>
      <c r="F1507" s="173"/>
    </row>
    <row r="1508" spans="5:6">
      <c r="E1508" s="177"/>
      <c r="F1508" s="173"/>
    </row>
    <row r="1509" spans="5:6">
      <c r="E1509" s="177"/>
      <c r="F1509" s="173"/>
    </row>
    <row r="1510" spans="5:6">
      <c r="E1510" s="177"/>
      <c r="F1510" s="173"/>
    </row>
    <row r="1511" spans="5:6">
      <c r="E1511" s="177"/>
      <c r="F1511" s="173"/>
    </row>
    <row r="1512" spans="5:6">
      <c r="E1512" s="177"/>
      <c r="F1512" s="173"/>
    </row>
    <row r="1513" spans="5:6">
      <c r="E1513" s="177"/>
      <c r="F1513" s="173"/>
    </row>
    <row r="1514" spans="5:6">
      <c r="E1514" s="177"/>
      <c r="F1514" s="173"/>
    </row>
    <row r="1515" spans="5:6">
      <c r="E1515" s="177"/>
      <c r="F1515" s="173"/>
    </row>
    <row r="1516" spans="5:6">
      <c r="E1516" s="177"/>
      <c r="F1516" s="173"/>
    </row>
    <row r="1517" spans="5:6">
      <c r="E1517" s="177"/>
      <c r="F1517" s="173"/>
    </row>
    <row r="1518" spans="5:6">
      <c r="E1518" s="177"/>
      <c r="F1518" s="173"/>
    </row>
    <row r="1519" spans="5:6">
      <c r="E1519" s="177"/>
      <c r="F1519" s="173"/>
    </row>
    <row r="1520" spans="5:6">
      <c r="E1520" s="177"/>
      <c r="F1520" s="173"/>
    </row>
    <row r="1521" spans="5:6">
      <c r="E1521" s="177"/>
      <c r="F1521" s="173"/>
    </row>
    <row r="1522" spans="5:6">
      <c r="E1522" s="177"/>
      <c r="F1522" s="173"/>
    </row>
    <row r="1523" spans="5:6">
      <c r="E1523" s="177"/>
      <c r="F1523" s="173"/>
    </row>
    <row r="1524" spans="5:6">
      <c r="E1524" s="177"/>
      <c r="F1524" s="173"/>
    </row>
    <row r="1525" spans="5:6">
      <c r="E1525" s="177"/>
      <c r="F1525" s="173"/>
    </row>
    <row r="1526" spans="5:6">
      <c r="E1526" s="177"/>
      <c r="F1526" s="173"/>
    </row>
    <row r="1527" spans="5:6">
      <c r="E1527" s="177"/>
      <c r="F1527" s="173"/>
    </row>
    <row r="1528" spans="5:6">
      <c r="E1528" s="177"/>
      <c r="F1528" s="173"/>
    </row>
    <row r="1529" spans="5:6">
      <c r="E1529" s="177"/>
      <c r="F1529" s="173"/>
    </row>
    <row r="1530" spans="5:6">
      <c r="E1530" s="177"/>
      <c r="F1530" s="173"/>
    </row>
    <row r="1531" spans="5:6">
      <c r="E1531" s="177"/>
      <c r="F1531" s="173"/>
    </row>
    <row r="1532" spans="5:6">
      <c r="E1532" s="177"/>
      <c r="F1532" s="173"/>
    </row>
    <row r="1533" spans="5:6">
      <c r="E1533" s="177"/>
      <c r="F1533" s="173"/>
    </row>
    <row r="1534" spans="5:6">
      <c r="E1534" s="177"/>
      <c r="F1534" s="173"/>
    </row>
    <row r="1535" spans="5:6">
      <c r="E1535" s="177"/>
      <c r="F1535" s="173"/>
    </row>
    <row r="1536" spans="5:6">
      <c r="E1536" s="177"/>
      <c r="F1536" s="173"/>
    </row>
    <row r="1537" spans="5:6">
      <c r="E1537" s="177"/>
      <c r="F1537" s="173"/>
    </row>
    <row r="1538" spans="5:6">
      <c r="E1538" s="177"/>
      <c r="F1538" s="173"/>
    </row>
    <row r="1539" spans="5:6">
      <c r="E1539" s="177"/>
      <c r="F1539" s="173"/>
    </row>
    <row r="1540" spans="5:6">
      <c r="E1540" s="177"/>
      <c r="F1540" s="173"/>
    </row>
    <row r="1541" spans="5:6">
      <c r="E1541" s="177"/>
      <c r="F1541" s="173"/>
    </row>
    <row r="1542" spans="5:6">
      <c r="E1542" s="177"/>
      <c r="F1542" s="173"/>
    </row>
    <row r="1543" spans="5:6">
      <c r="E1543" s="177"/>
      <c r="F1543" s="173"/>
    </row>
    <row r="1544" spans="5:6">
      <c r="E1544" s="177"/>
      <c r="F1544" s="173"/>
    </row>
    <row r="1545" spans="5:6">
      <c r="E1545" s="177"/>
      <c r="F1545" s="173"/>
    </row>
    <row r="1546" spans="5:6">
      <c r="E1546" s="177"/>
      <c r="F1546" s="173"/>
    </row>
    <row r="1547" spans="5:6">
      <c r="E1547" s="177"/>
      <c r="F1547" s="173"/>
    </row>
    <row r="1548" spans="5:6">
      <c r="E1548" s="177"/>
      <c r="F1548" s="173"/>
    </row>
    <row r="1549" spans="5:6">
      <c r="E1549" s="177"/>
      <c r="F1549" s="173"/>
    </row>
    <row r="1550" spans="5:6">
      <c r="E1550" s="177"/>
      <c r="F1550" s="173"/>
    </row>
    <row r="1551" spans="5:6">
      <c r="E1551" s="177"/>
      <c r="F1551" s="173"/>
    </row>
    <row r="1552" spans="5:6">
      <c r="E1552" s="177"/>
      <c r="F1552" s="173"/>
    </row>
    <row r="1553" spans="5:6">
      <c r="E1553" s="177"/>
      <c r="F1553" s="173"/>
    </row>
    <row r="1554" spans="5:6">
      <c r="E1554" s="177"/>
      <c r="F1554" s="173"/>
    </row>
    <row r="1555" spans="5:6">
      <c r="E1555" s="177"/>
      <c r="F1555" s="173"/>
    </row>
    <row r="1556" spans="5:6">
      <c r="E1556" s="177"/>
      <c r="F1556" s="173"/>
    </row>
    <row r="1557" spans="5:6">
      <c r="E1557" s="177"/>
      <c r="F1557" s="173"/>
    </row>
    <row r="1558" spans="5:6">
      <c r="E1558" s="177"/>
      <c r="F1558" s="173"/>
    </row>
    <row r="1559" spans="5:6">
      <c r="E1559" s="177"/>
      <c r="F1559" s="173"/>
    </row>
    <row r="1560" spans="5:6">
      <c r="E1560" s="177"/>
      <c r="F1560" s="173"/>
    </row>
    <row r="1561" spans="5:6">
      <c r="E1561" s="177"/>
      <c r="F1561" s="173"/>
    </row>
    <row r="1562" spans="5:6">
      <c r="E1562" s="177"/>
      <c r="F1562" s="173"/>
    </row>
    <row r="1563" spans="5:6">
      <c r="E1563" s="177"/>
      <c r="F1563" s="173"/>
    </row>
    <row r="1564" spans="5:6">
      <c r="E1564" s="177"/>
      <c r="F1564" s="173"/>
    </row>
    <row r="1565" spans="5:6">
      <c r="E1565" s="177"/>
      <c r="F1565" s="173"/>
    </row>
    <row r="1566" spans="5:6">
      <c r="E1566" s="177"/>
      <c r="F1566" s="173"/>
    </row>
    <row r="1567" spans="5:6">
      <c r="E1567" s="177"/>
      <c r="F1567" s="173"/>
    </row>
    <row r="1568" spans="5:6">
      <c r="E1568" s="177"/>
      <c r="F1568" s="173"/>
    </row>
    <row r="1569" spans="5:6">
      <c r="E1569" s="177"/>
      <c r="F1569" s="173"/>
    </row>
    <row r="1570" spans="5:6">
      <c r="E1570" s="177"/>
      <c r="F1570" s="173"/>
    </row>
    <row r="1571" spans="5:6">
      <c r="E1571" s="177"/>
      <c r="F1571" s="173"/>
    </row>
    <row r="1572" spans="5:6">
      <c r="E1572" s="177"/>
      <c r="F1572" s="173"/>
    </row>
    <row r="1573" spans="5:6">
      <c r="E1573" s="177"/>
      <c r="F1573" s="173"/>
    </row>
    <row r="1574" spans="5:6">
      <c r="E1574" s="177"/>
      <c r="F1574" s="173"/>
    </row>
    <row r="1575" spans="5:6">
      <c r="E1575" s="177"/>
      <c r="F1575" s="173"/>
    </row>
    <row r="1576" spans="5:6">
      <c r="E1576" s="177"/>
      <c r="F1576" s="173"/>
    </row>
    <row r="1577" spans="5:6">
      <c r="E1577" s="177"/>
      <c r="F1577" s="173"/>
    </row>
    <row r="1578" spans="5:6">
      <c r="E1578" s="177"/>
      <c r="F1578" s="173"/>
    </row>
    <row r="1579" spans="5:6">
      <c r="E1579" s="177"/>
      <c r="F1579" s="173"/>
    </row>
    <row r="1580" spans="5:6">
      <c r="E1580" s="177"/>
      <c r="F1580" s="173"/>
    </row>
    <row r="1581" spans="5:6">
      <c r="E1581" s="177"/>
      <c r="F1581" s="173"/>
    </row>
    <row r="1582" spans="5:6">
      <c r="E1582" s="177"/>
      <c r="F1582" s="173"/>
    </row>
    <row r="1583" spans="5:6">
      <c r="E1583" s="177"/>
      <c r="F1583" s="173"/>
    </row>
    <row r="1584" spans="5:6">
      <c r="E1584" s="177"/>
      <c r="F1584" s="173"/>
    </row>
    <row r="1585" spans="5:6">
      <c r="E1585" s="177"/>
      <c r="F1585" s="173"/>
    </row>
    <row r="1586" spans="5:6">
      <c r="E1586" s="177"/>
      <c r="F1586" s="173"/>
    </row>
    <row r="1587" spans="5:6">
      <c r="E1587" s="177"/>
      <c r="F1587" s="173"/>
    </row>
    <row r="1588" spans="5:6">
      <c r="E1588" s="177"/>
      <c r="F1588" s="173"/>
    </row>
    <row r="1589" spans="5:6">
      <c r="E1589" s="177"/>
      <c r="F1589" s="173"/>
    </row>
    <row r="1590" spans="5:6">
      <c r="E1590" s="177"/>
      <c r="F1590" s="173"/>
    </row>
    <row r="1591" spans="5:6">
      <c r="E1591" s="177"/>
      <c r="F1591" s="173"/>
    </row>
    <row r="1592" spans="5:6">
      <c r="E1592" s="177"/>
      <c r="F1592" s="173"/>
    </row>
    <row r="1593" spans="5:6">
      <c r="E1593" s="177"/>
      <c r="F1593" s="173"/>
    </row>
    <row r="1594" spans="5:6">
      <c r="E1594" s="177"/>
      <c r="F1594" s="173"/>
    </row>
    <row r="1595" spans="5:6">
      <c r="E1595" s="177"/>
      <c r="F1595" s="173"/>
    </row>
    <row r="1596" spans="5:6">
      <c r="E1596" s="177"/>
      <c r="F1596" s="173"/>
    </row>
    <row r="1597" spans="5:6">
      <c r="E1597" s="177"/>
      <c r="F1597" s="173"/>
    </row>
    <row r="1598" spans="5:6">
      <c r="E1598" s="177"/>
      <c r="F1598" s="173"/>
    </row>
    <row r="1599" spans="5:6">
      <c r="E1599" s="177"/>
      <c r="F1599" s="173"/>
    </row>
    <row r="1600" spans="5:6">
      <c r="E1600" s="177"/>
      <c r="F1600" s="173"/>
    </row>
    <row r="1601" spans="5:6">
      <c r="E1601" s="177"/>
      <c r="F1601" s="173"/>
    </row>
    <row r="1602" spans="5:6">
      <c r="E1602" s="177"/>
      <c r="F1602" s="173"/>
    </row>
    <row r="1603" spans="5:6">
      <c r="E1603" s="177"/>
      <c r="F1603" s="173"/>
    </row>
    <row r="1604" spans="5:6">
      <c r="E1604" s="177"/>
      <c r="F1604" s="173"/>
    </row>
    <row r="1605" spans="5:6">
      <c r="E1605" s="177"/>
      <c r="F1605" s="173"/>
    </row>
    <row r="1606" spans="5:6">
      <c r="E1606" s="177"/>
      <c r="F1606" s="173"/>
    </row>
    <row r="1607" spans="5:6">
      <c r="E1607" s="177"/>
      <c r="F1607" s="173"/>
    </row>
    <row r="1608" spans="5:6">
      <c r="E1608" s="177"/>
      <c r="F1608" s="173"/>
    </row>
    <row r="1609" spans="5:6">
      <c r="E1609" s="177"/>
      <c r="F1609" s="173"/>
    </row>
    <row r="1610" spans="5:6">
      <c r="E1610" s="177"/>
      <c r="F1610" s="173"/>
    </row>
    <row r="1611" spans="5:6">
      <c r="E1611" s="177"/>
      <c r="F1611" s="173"/>
    </row>
    <row r="1612" spans="5:6">
      <c r="E1612" s="177"/>
      <c r="F1612" s="173"/>
    </row>
    <row r="1613" spans="5:6">
      <c r="E1613" s="177"/>
      <c r="F1613" s="173"/>
    </row>
    <row r="1614" spans="5:6">
      <c r="E1614" s="177"/>
      <c r="F1614" s="173"/>
    </row>
    <row r="1615" spans="5:6">
      <c r="E1615" s="177"/>
      <c r="F1615" s="173"/>
    </row>
    <row r="1616" spans="5:6">
      <c r="E1616" s="177"/>
      <c r="F1616" s="173"/>
    </row>
    <row r="1617" spans="5:6">
      <c r="E1617" s="177"/>
      <c r="F1617" s="173"/>
    </row>
    <row r="1618" spans="5:6">
      <c r="E1618" s="177"/>
      <c r="F1618" s="173"/>
    </row>
    <row r="1619" spans="5:6">
      <c r="E1619" s="177"/>
      <c r="F1619" s="173"/>
    </row>
    <row r="1620" spans="5:6">
      <c r="E1620" s="177"/>
      <c r="F1620" s="173"/>
    </row>
    <row r="1621" spans="5:6">
      <c r="E1621" s="177"/>
      <c r="F1621" s="173"/>
    </row>
    <row r="1622" spans="5:6">
      <c r="E1622" s="177"/>
      <c r="F1622" s="173"/>
    </row>
    <row r="1623" spans="5:6">
      <c r="E1623" s="177"/>
      <c r="F1623" s="173"/>
    </row>
    <row r="1624" spans="5:6">
      <c r="E1624" s="177"/>
      <c r="F1624" s="173"/>
    </row>
    <row r="1625" spans="5:6">
      <c r="E1625" s="177"/>
      <c r="F1625" s="173"/>
    </row>
    <row r="1626" spans="5:6">
      <c r="E1626" s="177"/>
      <c r="F1626" s="173"/>
    </row>
    <row r="1627" spans="5:6">
      <c r="E1627" s="177"/>
      <c r="F1627" s="173"/>
    </row>
    <row r="1628" spans="5:6">
      <c r="E1628" s="177"/>
      <c r="F1628" s="173"/>
    </row>
    <row r="1629" spans="5:6">
      <c r="E1629" s="177"/>
      <c r="F1629" s="173"/>
    </row>
    <row r="1630" spans="5:6">
      <c r="E1630" s="177"/>
      <c r="F1630" s="173"/>
    </row>
    <row r="1631" spans="5:6">
      <c r="E1631" s="177"/>
      <c r="F1631" s="173"/>
    </row>
    <row r="1632" spans="5:6">
      <c r="E1632" s="177"/>
      <c r="F1632" s="173"/>
    </row>
    <row r="1633" spans="5:6">
      <c r="E1633" s="177"/>
      <c r="F1633" s="173"/>
    </row>
    <row r="1634" spans="5:6">
      <c r="E1634" s="177"/>
      <c r="F1634" s="173"/>
    </row>
    <row r="1635" spans="5:6">
      <c r="E1635" s="177"/>
      <c r="F1635" s="173"/>
    </row>
    <row r="1636" spans="5:6">
      <c r="E1636" s="177"/>
      <c r="F1636" s="173"/>
    </row>
    <row r="1637" spans="5:6">
      <c r="E1637" s="177"/>
      <c r="F1637" s="173"/>
    </row>
    <row r="1638" spans="5:6">
      <c r="E1638" s="177"/>
      <c r="F1638" s="173"/>
    </row>
    <row r="1639" spans="5:6">
      <c r="E1639" s="177"/>
      <c r="F1639" s="173"/>
    </row>
    <row r="1640" spans="5:6">
      <c r="E1640" s="177"/>
      <c r="F1640" s="173"/>
    </row>
    <row r="1641" spans="5:6">
      <c r="E1641" s="177"/>
      <c r="F1641" s="173"/>
    </row>
    <row r="1642" spans="5:6">
      <c r="E1642" s="177"/>
      <c r="F1642" s="173"/>
    </row>
    <row r="1643" spans="5:6">
      <c r="E1643" s="177"/>
      <c r="F1643" s="173"/>
    </row>
    <row r="1644" spans="5:6">
      <c r="E1644" s="177"/>
      <c r="F1644" s="173"/>
    </row>
    <row r="1645" spans="5:6">
      <c r="E1645" s="177"/>
      <c r="F1645" s="173"/>
    </row>
    <row r="1646" spans="5:6">
      <c r="E1646" s="177"/>
      <c r="F1646" s="173"/>
    </row>
    <row r="1647" spans="5:6">
      <c r="E1647" s="177"/>
      <c r="F1647" s="173"/>
    </row>
    <row r="1648" spans="5:6">
      <c r="E1648" s="177"/>
      <c r="F1648" s="173"/>
    </row>
    <row r="1649" spans="5:6">
      <c r="E1649" s="177"/>
      <c r="F1649" s="173"/>
    </row>
    <row r="1650" spans="5:6">
      <c r="E1650" s="177"/>
      <c r="F1650" s="173"/>
    </row>
    <row r="1651" spans="5:6">
      <c r="E1651" s="177"/>
      <c r="F1651" s="173"/>
    </row>
    <row r="1652" spans="5:6">
      <c r="E1652" s="177"/>
      <c r="F1652" s="173"/>
    </row>
    <row r="1653" spans="5:6">
      <c r="E1653" s="177"/>
      <c r="F1653" s="173"/>
    </row>
    <row r="1654" spans="5:6">
      <c r="E1654" s="177"/>
      <c r="F1654" s="173"/>
    </row>
    <row r="1655" spans="5:6">
      <c r="E1655" s="177"/>
      <c r="F1655" s="173"/>
    </row>
    <row r="1656" spans="5:6">
      <c r="E1656" s="177"/>
      <c r="F1656" s="173"/>
    </row>
    <row r="1657" spans="5:6">
      <c r="E1657" s="177"/>
      <c r="F1657" s="173"/>
    </row>
    <row r="1658" spans="5:6">
      <c r="E1658" s="177"/>
      <c r="F1658" s="173"/>
    </row>
    <row r="1659" spans="5:6">
      <c r="E1659" s="177"/>
      <c r="F1659" s="173"/>
    </row>
    <row r="1660" spans="5:6">
      <c r="E1660" s="177"/>
      <c r="F1660" s="173"/>
    </row>
    <row r="1661" spans="5:6">
      <c r="E1661" s="177"/>
      <c r="F1661" s="173"/>
    </row>
    <row r="1662" spans="5:6">
      <c r="E1662" s="177"/>
      <c r="F1662" s="173"/>
    </row>
    <row r="1663" spans="5:6">
      <c r="E1663" s="177"/>
      <c r="F1663" s="173"/>
    </row>
    <row r="1664" spans="5:6">
      <c r="E1664" s="177"/>
      <c r="F1664" s="173"/>
    </row>
    <row r="1665" spans="5:6">
      <c r="E1665" s="177"/>
      <c r="F1665" s="173"/>
    </row>
    <row r="1666" spans="5:6">
      <c r="E1666" s="177"/>
      <c r="F1666" s="173"/>
    </row>
    <row r="1667" spans="5:6">
      <c r="E1667" s="177"/>
      <c r="F1667" s="173"/>
    </row>
    <row r="1668" spans="5:6">
      <c r="E1668" s="177"/>
      <c r="F1668" s="173"/>
    </row>
    <row r="1669" spans="5:6">
      <c r="E1669" s="177"/>
      <c r="F1669" s="173"/>
    </row>
    <row r="1670" spans="5:6">
      <c r="E1670" s="177"/>
      <c r="F1670" s="173"/>
    </row>
    <row r="1671" spans="5:6">
      <c r="E1671" s="177"/>
      <c r="F1671" s="173"/>
    </row>
    <row r="1672" spans="5:6">
      <c r="E1672" s="177"/>
      <c r="F1672" s="173"/>
    </row>
    <row r="1673" spans="5:6">
      <c r="E1673" s="177"/>
      <c r="F1673" s="173"/>
    </row>
    <row r="1674" spans="5:6">
      <c r="E1674" s="177"/>
      <c r="F1674" s="173"/>
    </row>
    <row r="1675" spans="5:6">
      <c r="E1675" s="177"/>
      <c r="F1675" s="173"/>
    </row>
    <row r="1676" spans="5:6">
      <c r="E1676" s="177"/>
      <c r="F1676" s="173"/>
    </row>
    <row r="1677" spans="5:6">
      <c r="E1677" s="177"/>
      <c r="F1677" s="173"/>
    </row>
    <row r="1678" spans="5:6">
      <c r="E1678" s="177"/>
      <c r="F1678" s="173"/>
    </row>
    <row r="1679" spans="5:6">
      <c r="E1679" s="177"/>
      <c r="F1679" s="173"/>
    </row>
    <row r="1680" spans="5:6">
      <c r="E1680" s="177"/>
      <c r="F1680" s="173"/>
    </row>
    <row r="1681" spans="5:6">
      <c r="E1681" s="177"/>
      <c r="F1681" s="173"/>
    </row>
    <row r="1682" spans="5:6">
      <c r="E1682" s="177"/>
      <c r="F1682" s="173"/>
    </row>
    <row r="1683" spans="5:6">
      <c r="E1683" s="177"/>
      <c r="F1683" s="173"/>
    </row>
    <row r="1684" spans="5:6">
      <c r="E1684" s="177"/>
      <c r="F1684" s="173"/>
    </row>
    <row r="1685" spans="5:6">
      <c r="E1685" s="177"/>
      <c r="F1685" s="173"/>
    </row>
    <row r="1686" spans="5:6">
      <c r="E1686" s="177"/>
      <c r="F1686" s="173"/>
    </row>
    <row r="1687" spans="5:6">
      <c r="E1687" s="177"/>
      <c r="F1687" s="173"/>
    </row>
    <row r="1688" spans="5:6">
      <c r="E1688" s="177"/>
      <c r="F1688" s="173"/>
    </row>
    <row r="1689" spans="5:6">
      <c r="E1689" s="177"/>
      <c r="F1689" s="173"/>
    </row>
    <row r="1690" spans="5:6">
      <c r="E1690" s="177"/>
      <c r="F1690" s="173"/>
    </row>
    <row r="1691" spans="5:6">
      <c r="E1691" s="177"/>
      <c r="F1691" s="173"/>
    </row>
    <row r="1692" spans="5:6">
      <c r="E1692" s="177"/>
      <c r="F1692" s="173"/>
    </row>
    <row r="1693" spans="5:6">
      <c r="E1693" s="177"/>
      <c r="F1693" s="173"/>
    </row>
    <row r="1694" spans="5:6">
      <c r="E1694" s="177"/>
      <c r="F1694" s="173"/>
    </row>
    <row r="1695" spans="5:6">
      <c r="E1695" s="177"/>
      <c r="F1695" s="173"/>
    </row>
    <row r="1696" spans="5:6">
      <c r="E1696" s="177"/>
      <c r="F1696" s="173"/>
    </row>
    <row r="1697" spans="5:6">
      <c r="E1697" s="177"/>
      <c r="F1697" s="173"/>
    </row>
    <row r="1698" spans="5:6">
      <c r="E1698" s="177"/>
      <c r="F1698" s="173"/>
    </row>
    <row r="1699" spans="5:6">
      <c r="E1699" s="177"/>
      <c r="F1699" s="173"/>
    </row>
    <row r="1700" spans="5:6">
      <c r="E1700" s="177"/>
      <c r="F1700" s="173"/>
    </row>
    <row r="1701" spans="5:6">
      <c r="E1701" s="177"/>
      <c r="F1701" s="173"/>
    </row>
    <row r="1702" spans="5:6">
      <c r="E1702" s="177"/>
      <c r="F1702" s="173"/>
    </row>
    <row r="1703" spans="5:6">
      <c r="E1703" s="177"/>
      <c r="F1703" s="173"/>
    </row>
    <row r="1704" spans="5:6">
      <c r="E1704" s="177"/>
      <c r="F1704" s="173"/>
    </row>
    <row r="1705" spans="5:6">
      <c r="E1705" s="177"/>
      <c r="F1705" s="173"/>
    </row>
    <row r="1706" spans="5:6">
      <c r="E1706" s="177"/>
      <c r="F1706" s="173"/>
    </row>
    <row r="1707" spans="5:6">
      <c r="E1707" s="177"/>
      <c r="F1707" s="173"/>
    </row>
    <row r="1708" spans="5:6">
      <c r="E1708" s="177"/>
      <c r="F1708" s="173"/>
    </row>
    <row r="1709" spans="5:6">
      <c r="E1709" s="177"/>
      <c r="F1709" s="173"/>
    </row>
    <row r="1710" spans="5:6">
      <c r="E1710" s="177"/>
      <c r="F1710" s="173"/>
    </row>
    <row r="1711" spans="5:6">
      <c r="E1711" s="177"/>
      <c r="F1711" s="173"/>
    </row>
    <row r="1712" spans="5:6">
      <c r="E1712" s="177"/>
      <c r="F1712" s="173"/>
    </row>
    <row r="1713" spans="5:6">
      <c r="E1713" s="177"/>
      <c r="F1713" s="173"/>
    </row>
    <row r="1714" spans="5:6">
      <c r="E1714" s="177"/>
      <c r="F1714" s="173"/>
    </row>
    <row r="1715" spans="5:6">
      <c r="E1715" s="177"/>
      <c r="F1715" s="173"/>
    </row>
    <row r="1716" spans="5:6">
      <c r="E1716" s="177"/>
      <c r="F1716" s="173"/>
    </row>
    <row r="1717" spans="5:6">
      <c r="E1717" s="177"/>
      <c r="F1717" s="173"/>
    </row>
    <row r="1718" spans="5:6">
      <c r="E1718" s="177"/>
      <c r="F1718" s="173"/>
    </row>
    <row r="1719" spans="5:6">
      <c r="E1719" s="177"/>
      <c r="F1719" s="173"/>
    </row>
    <row r="1720" spans="5:6">
      <c r="E1720" s="177"/>
      <c r="F1720" s="173"/>
    </row>
    <row r="1721" spans="5:6">
      <c r="E1721" s="177"/>
      <c r="F1721" s="173"/>
    </row>
    <row r="1722" spans="5:6">
      <c r="E1722" s="177"/>
      <c r="F1722" s="173"/>
    </row>
    <row r="1723" spans="5:6">
      <c r="E1723" s="177"/>
      <c r="F1723" s="173"/>
    </row>
    <row r="1724" spans="5:6">
      <c r="E1724" s="177"/>
      <c r="F1724" s="173"/>
    </row>
    <row r="1725" spans="5:6">
      <c r="E1725" s="177"/>
      <c r="F1725" s="173"/>
    </row>
    <row r="1726" spans="5:6">
      <c r="E1726" s="177"/>
      <c r="F1726" s="173"/>
    </row>
    <row r="1727" spans="5:6">
      <c r="E1727" s="177"/>
      <c r="F1727" s="173"/>
    </row>
    <row r="1728" spans="5:6">
      <c r="E1728" s="177"/>
      <c r="F1728" s="173"/>
    </row>
    <row r="1729" spans="5:6">
      <c r="E1729" s="177"/>
      <c r="F1729" s="173"/>
    </row>
    <row r="1730" spans="5:6">
      <c r="E1730" s="177"/>
      <c r="F1730" s="173"/>
    </row>
    <row r="1731" spans="5:6">
      <c r="E1731" s="177"/>
      <c r="F1731" s="173"/>
    </row>
    <row r="1732" spans="5:6">
      <c r="E1732" s="177"/>
      <c r="F1732" s="173"/>
    </row>
    <row r="1733" spans="5:6">
      <c r="E1733" s="177"/>
      <c r="F1733" s="173"/>
    </row>
    <row r="1734" spans="5:6">
      <c r="E1734" s="177"/>
      <c r="F1734" s="173"/>
    </row>
    <row r="1735" spans="5:6">
      <c r="E1735" s="177"/>
      <c r="F1735" s="173"/>
    </row>
    <row r="1736" spans="5:6">
      <c r="E1736" s="177"/>
      <c r="F1736" s="173"/>
    </row>
    <row r="1737" spans="5:6">
      <c r="E1737" s="177"/>
      <c r="F1737" s="173"/>
    </row>
    <row r="1738" spans="5:6">
      <c r="E1738" s="177"/>
      <c r="F1738" s="173"/>
    </row>
    <row r="1739" spans="5:6">
      <c r="E1739" s="177"/>
      <c r="F1739" s="173"/>
    </row>
    <row r="1740" spans="5:6">
      <c r="E1740" s="177"/>
      <c r="F1740" s="173"/>
    </row>
    <row r="1741" spans="5:6">
      <c r="E1741" s="177"/>
      <c r="F1741" s="173"/>
    </row>
    <row r="1742" spans="5:6">
      <c r="E1742" s="177"/>
      <c r="F1742" s="173"/>
    </row>
    <row r="1743" spans="5:6">
      <c r="E1743" s="177"/>
      <c r="F1743" s="173"/>
    </row>
    <row r="1744" spans="5:6">
      <c r="E1744" s="177"/>
      <c r="F1744" s="173"/>
    </row>
    <row r="1745" spans="5:6">
      <c r="E1745" s="177"/>
      <c r="F1745" s="173"/>
    </row>
    <row r="1746" spans="5:6">
      <c r="E1746" s="177"/>
      <c r="F1746" s="173"/>
    </row>
    <row r="1747" spans="5:6">
      <c r="E1747" s="177"/>
      <c r="F1747" s="173"/>
    </row>
    <row r="1748" spans="5:6">
      <c r="E1748" s="177"/>
      <c r="F1748" s="173"/>
    </row>
    <row r="1749" spans="5:6">
      <c r="E1749" s="177"/>
      <c r="F1749" s="173"/>
    </row>
    <row r="1750" spans="5:6">
      <c r="E1750" s="177"/>
      <c r="F1750" s="173"/>
    </row>
    <row r="1751" spans="5:6">
      <c r="E1751" s="177"/>
      <c r="F1751" s="173"/>
    </row>
    <row r="1752" spans="5:6">
      <c r="E1752" s="177"/>
      <c r="F1752" s="173"/>
    </row>
    <row r="1753" spans="5:6">
      <c r="E1753" s="177"/>
      <c r="F1753" s="173"/>
    </row>
    <row r="1754" spans="5:6">
      <c r="E1754" s="177"/>
      <c r="F1754" s="173"/>
    </row>
    <row r="1755" spans="5:6">
      <c r="E1755" s="177"/>
      <c r="F1755" s="173"/>
    </row>
    <row r="1756" spans="5:6">
      <c r="E1756" s="177"/>
      <c r="F1756" s="173"/>
    </row>
    <row r="1757" spans="5:6">
      <c r="E1757" s="177"/>
      <c r="F1757" s="173"/>
    </row>
    <row r="1758" spans="5:6">
      <c r="E1758" s="177"/>
      <c r="F1758" s="173"/>
    </row>
    <row r="1759" spans="5:6">
      <c r="E1759" s="177"/>
      <c r="F1759" s="173"/>
    </row>
    <row r="1760" spans="5:6">
      <c r="E1760" s="177"/>
      <c r="F1760" s="173"/>
    </row>
    <row r="1761" spans="5:6">
      <c r="E1761" s="177"/>
      <c r="F1761" s="173"/>
    </row>
    <row r="1762" spans="5:6">
      <c r="E1762" s="177"/>
      <c r="F1762" s="173"/>
    </row>
    <row r="1763" spans="5:6">
      <c r="E1763" s="177"/>
      <c r="F1763" s="173"/>
    </row>
    <row r="1764" spans="5:6">
      <c r="E1764" s="177"/>
      <c r="F1764" s="173"/>
    </row>
    <row r="1765" spans="5:6">
      <c r="E1765" s="177"/>
      <c r="F1765" s="173"/>
    </row>
    <row r="1766" spans="5:6">
      <c r="E1766" s="177"/>
      <c r="F1766" s="173"/>
    </row>
    <row r="1767" spans="5:6">
      <c r="E1767" s="177"/>
      <c r="F1767" s="173"/>
    </row>
    <row r="1768" spans="5:6">
      <c r="E1768" s="177"/>
      <c r="F1768" s="173"/>
    </row>
    <row r="1769" spans="5:6">
      <c r="E1769" s="177"/>
      <c r="F1769" s="173"/>
    </row>
    <row r="1770" spans="5:6">
      <c r="E1770" s="177"/>
      <c r="F1770" s="173"/>
    </row>
    <row r="1771" spans="5:6">
      <c r="E1771" s="177"/>
      <c r="F1771" s="173"/>
    </row>
    <row r="1772" spans="5:6">
      <c r="E1772" s="177"/>
      <c r="F1772" s="173"/>
    </row>
    <row r="1773" spans="5:6">
      <c r="E1773" s="177"/>
      <c r="F1773" s="173"/>
    </row>
    <row r="1774" spans="5:6">
      <c r="E1774" s="177"/>
      <c r="F1774" s="173"/>
    </row>
    <row r="1775" spans="5:6">
      <c r="E1775" s="177"/>
      <c r="F1775" s="173"/>
    </row>
    <row r="1776" spans="5:6">
      <c r="E1776" s="177"/>
      <c r="F1776" s="173"/>
    </row>
    <row r="1777" spans="5:6">
      <c r="E1777" s="177"/>
      <c r="F1777" s="173"/>
    </row>
    <row r="1778" spans="5:6">
      <c r="E1778" s="177"/>
      <c r="F1778" s="173"/>
    </row>
    <row r="1779" spans="5:6">
      <c r="E1779" s="177"/>
      <c r="F1779" s="173"/>
    </row>
    <row r="1780" spans="5:6">
      <c r="E1780" s="177"/>
      <c r="F1780" s="173"/>
    </row>
    <row r="1781" spans="5:6">
      <c r="E1781" s="177"/>
      <c r="F1781" s="173"/>
    </row>
    <row r="1782" spans="5:6">
      <c r="E1782" s="177"/>
      <c r="F1782" s="173"/>
    </row>
    <row r="1783" spans="5:6">
      <c r="E1783" s="177"/>
      <c r="F1783" s="173"/>
    </row>
    <row r="1784" spans="5:6">
      <c r="E1784" s="177"/>
      <c r="F1784" s="173"/>
    </row>
    <row r="1785" spans="5:6">
      <c r="E1785" s="177"/>
      <c r="F1785" s="173"/>
    </row>
    <row r="1786" spans="5:6">
      <c r="E1786" s="177"/>
      <c r="F1786" s="173"/>
    </row>
    <row r="1787" spans="5:6">
      <c r="E1787" s="177"/>
      <c r="F1787" s="173"/>
    </row>
    <row r="1788" spans="5:6">
      <c r="E1788" s="177"/>
      <c r="F1788" s="173"/>
    </row>
    <row r="1789" spans="5:6">
      <c r="E1789" s="177"/>
      <c r="F1789" s="173"/>
    </row>
    <row r="1790" spans="5:6">
      <c r="E1790" s="177"/>
      <c r="F1790" s="173"/>
    </row>
    <row r="1791" spans="5:6">
      <c r="E1791" s="177"/>
      <c r="F1791" s="173"/>
    </row>
    <row r="1792" spans="5:6">
      <c r="E1792" s="177"/>
      <c r="F1792" s="173"/>
    </row>
    <row r="1793" spans="5:6">
      <c r="E1793" s="177"/>
      <c r="F1793" s="173"/>
    </row>
    <row r="1794" spans="5:6">
      <c r="E1794" s="177"/>
      <c r="F1794" s="173"/>
    </row>
    <row r="1795" spans="5:6">
      <c r="E1795" s="177"/>
      <c r="F1795" s="173"/>
    </row>
    <row r="1796" spans="5:6">
      <c r="E1796" s="177"/>
      <c r="F1796" s="173"/>
    </row>
    <row r="1797" spans="5:6">
      <c r="E1797" s="177"/>
      <c r="F1797" s="173"/>
    </row>
    <row r="1798" spans="5:6">
      <c r="E1798" s="177"/>
      <c r="F1798" s="173"/>
    </row>
    <row r="1799" spans="5:6">
      <c r="E1799" s="177"/>
      <c r="F1799" s="173"/>
    </row>
    <row r="1800" spans="5:6">
      <c r="E1800" s="177"/>
      <c r="F1800" s="173"/>
    </row>
    <row r="1801" spans="5:6">
      <c r="E1801" s="177"/>
      <c r="F1801" s="173"/>
    </row>
    <row r="1802" spans="5:6">
      <c r="E1802" s="177"/>
      <c r="F1802" s="173"/>
    </row>
    <row r="1803" spans="5:6">
      <c r="E1803" s="177"/>
      <c r="F1803" s="173"/>
    </row>
    <row r="1804" spans="5:6">
      <c r="E1804" s="177"/>
      <c r="F1804" s="173"/>
    </row>
    <row r="1805" spans="5:6">
      <c r="E1805" s="177"/>
      <c r="F1805" s="173"/>
    </row>
    <row r="1806" spans="5:6">
      <c r="E1806" s="177"/>
      <c r="F1806" s="173"/>
    </row>
    <row r="1807" spans="5:6">
      <c r="E1807" s="177"/>
      <c r="F1807" s="173"/>
    </row>
    <row r="1808" spans="5:6">
      <c r="E1808" s="177"/>
      <c r="F1808" s="173"/>
    </row>
    <row r="1809" spans="5:6">
      <c r="E1809" s="177"/>
      <c r="F1809" s="173"/>
    </row>
    <row r="1810" spans="5:6">
      <c r="E1810" s="177"/>
      <c r="F1810" s="173"/>
    </row>
    <row r="1811" spans="5:6">
      <c r="E1811" s="177"/>
      <c r="F1811" s="173"/>
    </row>
    <row r="1812" spans="5:6">
      <c r="E1812" s="177"/>
      <c r="F1812" s="173"/>
    </row>
    <row r="1813" spans="5:6">
      <c r="E1813" s="177"/>
      <c r="F1813" s="173"/>
    </row>
    <row r="1814" spans="5:6">
      <c r="E1814" s="177"/>
      <c r="F1814" s="173"/>
    </row>
    <row r="1815" spans="5:6">
      <c r="E1815" s="177"/>
      <c r="F1815" s="173"/>
    </row>
    <row r="1816" spans="5:6">
      <c r="E1816" s="177"/>
      <c r="F1816" s="173"/>
    </row>
    <row r="1817" spans="5:6">
      <c r="E1817" s="177"/>
      <c r="F1817" s="173"/>
    </row>
    <row r="1818" spans="5:6">
      <c r="E1818" s="177"/>
      <c r="F1818" s="173"/>
    </row>
    <row r="1819" spans="5:6">
      <c r="E1819" s="177"/>
      <c r="F1819" s="173"/>
    </row>
    <row r="1820" spans="5:6">
      <c r="E1820" s="177"/>
      <c r="F1820" s="173"/>
    </row>
    <row r="1821" spans="5:6">
      <c r="E1821" s="177"/>
      <c r="F1821" s="173"/>
    </row>
    <row r="1822" spans="5:6">
      <c r="E1822" s="177"/>
      <c r="F1822" s="173"/>
    </row>
    <row r="1823" spans="5:6">
      <c r="E1823" s="177"/>
      <c r="F1823" s="173"/>
    </row>
    <row r="1824" spans="5:6">
      <c r="E1824" s="177"/>
      <c r="F1824" s="173"/>
    </row>
    <row r="1825" spans="5:6">
      <c r="E1825" s="177"/>
      <c r="F1825" s="173"/>
    </row>
    <row r="1826" spans="5:6">
      <c r="E1826" s="177"/>
      <c r="F1826" s="173"/>
    </row>
    <row r="1827" spans="5:6">
      <c r="E1827" s="177"/>
      <c r="F1827" s="173"/>
    </row>
    <row r="1828" spans="5:6">
      <c r="E1828" s="177"/>
      <c r="F1828" s="173"/>
    </row>
    <row r="1829" spans="5:6">
      <c r="E1829" s="177"/>
      <c r="F1829" s="173"/>
    </row>
    <row r="1830" spans="5:6">
      <c r="E1830" s="177"/>
      <c r="F1830" s="173"/>
    </row>
    <row r="1831" spans="5:6">
      <c r="E1831" s="177"/>
      <c r="F1831" s="173"/>
    </row>
    <row r="1832" spans="5:6">
      <c r="E1832" s="177"/>
      <c r="F1832" s="173"/>
    </row>
    <row r="1833" spans="5:6">
      <c r="E1833" s="177"/>
      <c r="F1833" s="173"/>
    </row>
    <row r="1834" spans="5:6">
      <c r="E1834" s="177"/>
      <c r="F1834" s="173"/>
    </row>
    <row r="1835" spans="5:6">
      <c r="E1835" s="177"/>
      <c r="F1835" s="173"/>
    </row>
    <row r="1836" spans="5:6">
      <c r="E1836" s="177"/>
      <c r="F1836" s="173"/>
    </row>
    <row r="1837" spans="5:6">
      <c r="E1837" s="177"/>
      <c r="F1837" s="173"/>
    </row>
    <row r="1838" spans="5:6">
      <c r="E1838" s="177"/>
      <c r="F1838" s="173"/>
    </row>
    <row r="1839" spans="5:6">
      <c r="E1839" s="177"/>
      <c r="F1839" s="173"/>
    </row>
    <row r="1840" spans="5:6">
      <c r="E1840" s="177"/>
      <c r="F1840" s="173"/>
    </row>
    <row r="1841" spans="5:6">
      <c r="E1841" s="177"/>
      <c r="F1841" s="173"/>
    </row>
    <row r="1842" spans="5:6">
      <c r="E1842" s="177"/>
      <c r="F1842" s="173"/>
    </row>
    <row r="1843" spans="5:6">
      <c r="E1843" s="177"/>
      <c r="F1843" s="173"/>
    </row>
    <row r="1844" spans="5:6">
      <c r="E1844" s="177"/>
      <c r="F1844" s="173"/>
    </row>
    <row r="1845" spans="5:6">
      <c r="E1845" s="177"/>
      <c r="F1845" s="173"/>
    </row>
    <row r="1846" spans="5:6">
      <c r="E1846" s="177"/>
      <c r="F1846" s="173"/>
    </row>
    <row r="1847" spans="5:6">
      <c r="E1847" s="177"/>
      <c r="F1847" s="173"/>
    </row>
    <row r="1848" spans="5:6">
      <c r="E1848" s="177"/>
      <c r="F1848" s="173"/>
    </row>
    <row r="1849" spans="5:6">
      <c r="E1849" s="177"/>
      <c r="F1849" s="173"/>
    </row>
    <row r="1850" spans="5:6">
      <c r="E1850" s="177"/>
      <c r="F1850" s="173"/>
    </row>
    <row r="1851" spans="5:6">
      <c r="E1851" s="177"/>
      <c r="F1851" s="173"/>
    </row>
    <row r="1852" spans="5:6">
      <c r="E1852" s="177"/>
      <c r="F1852" s="173"/>
    </row>
    <row r="1853" spans="5:6">
      <c r="E1853" s="177"/>
      <c r="F1853" s="173"/>
    </row>
    <row r="1854" spans="5:6">
      <c r="E1854" s="177"/>
      <c r="F1854" s="173"/>
    </row>
    <row r="1855" spans="5:6">
      <c r="E1855" s="177"/>
      <c r="F1855" s="173"/>
    </row>
    <row r="1856" spans="5:6">
      <c r="E1856" s="177"/>
      <c r="F1856" s="173"/>
    </row>
    <row r="1857" spans="5:6">
      <c r="E1857" s="177"/>
      <c r="F1857" s="173"/>
    </row>
    <row r="1858" spans="5:6">
      <c r="E1858" s="177"/>
      <c r="F1858" s="173"/>
    </row>
    <row r="1859" spans="5:6">
      <c r="E1859" s="177"/>
      <c r="F1859" s="173"/>
    </row>
    <row r="1860" spans="5:6">
      <c r="E1860" s="177"/>
      <c r="F1860" s="173"/>
    </row>
    <row r="1861" spans="5:6">
      <c r="E1861" s="177"/>
      <c r="F1861" s="173"/>
    </row>
    <row r="1862" spans="5:6">
      <c r="E1862" s="177"/>
      <c r="F1862" s="173"/>
    </row>
    <row r="1863" spans="5:6">
      <c r="E1863" s="177"/>
      <c r="F1863" s="173"/>
    </row>
    <row r="1864" spans="5:6">
      <c r="E1864" s="177"/>
      <c r="F1864" s="173"/>
    </row>
    <row r="1865" spans="5:6">
      <c r="E1865" s="177"/>
      <c r="F1865" s="173"/>
    </row>
    <row r="1866" spans="5:6">
      <c r="E1866" s="177"/>
      <c r="F1866" s="173"/>
    </row>
    <row r="1867" spans="5:6">
      <c r="E1867" s="177"/>
      <c r="F1867" s="173"/>
    </row>
    <row r="1868" spans="5:6">
      <c r="E1868" s="177"/>
      <c r="F1868" s="173"/>
    </row>
    <row r="1869" spans="5:6">
      <c r="E1869" s="177"/>
      <c r="F1869" s="173"/>
    </row>
    <row r="1870" spans="5:6">
      <c r="E1870" s="177"/>
      <c r="F1870" s="173"/>
    </row>
    <row r="1871" spans="5:6">
      <c r="E1871" s="177"/>
      <c r="F1871" s="173"/>
    </row>
    <row r="1872" spans="5:6">
      <c r="E1872" s="177"/>
      <c r="F1872" s="173"/>
    </row>
    <row r="1873" spans="5:6">
      <c r="E1873" s="177"/>
      <c r="F1873" s="173"/>
    </row>
    <row r="1874" spans="5:6">
      <c r="E1874" s="177"/>
      <c r="F1874" s="173"/>
    </row>
    <row r="1875" spans="5:6">
      <c r="E1875" s="177"/>
      <c r="F1875" s="173"/>
    </row>
    <row r="1876" spans="5:6">
      <c r="E1876" s="177"/>
      <c r="F1876" s="173"/>
    </row>
    <row r="1877" spans="5:6">
      <c r="E1877" s="177"/>
      <c r="F1877" s="173"/>
    </row>
    <row r="1878" spans="5:6">
      <c r="E1878" s="177"/>
      <c r="F1878" s="173"/>
    </row>
    <row r="1879" spans="5:6">
      <c r="E1879" s="177"/>
      <c r="F1879" s="173"/>
    </row>
    <row r="1880" spans="5:6">
      <c r="E1880" s="177"/>
      <c r="F1880" s="173"/>
    </row>
    <row r="1881" spans="5:6">
      <c r="E1881" s="177"/>
      <c r="F1881" s="173"/>
    </row>
    <row r="1882" spans="5:6">
      <c r="E1882" s="177"/>
      <c r="F1882" s="173"/>
    </row>
    <row r="1883" spans="5:6">
      <c r="E1883" s="177"/>
      <c r="F1883" s="173"/>
    </row>
    <row r="1884" spans="5:6">
      <c r="E1884" s="177"/>
      <c r="F1884" s="173"/>
    </row>
    <row r="1885" spans="5:6">
      <c r="E1885" s="177"/>
      <c r="F1885" s="173"/>
    </row>
    <row r="1886" spans="5:6">
      <c r="E1886" s="177"/>
      <c r="F1886" s="173"/>
    </row>
    <row r="1887" spans="5:6">
      <c r="E1887" s="177"/>
      <c r="F1887" s="173"/>
    </row>
    <row r="1888" spans="5:6">
      <c r="E1888" s="177"/>
      <c r="F1888" s="173"/>
    </row>
    <row r="1889" spans="5:6">
      <c r="E1889" s="177"/>
      <c r="F1889" s="173"/>
    </row>
    <row r="1890" spans="5:6">
      <c r="E1890" s="177"/>
      <c r="F1890" s="173"/>
    </row>
    <row r="1891" spans="5:6">
      <c r="E1891" s="177"/>
      <c r="F1891" s="173"/>
    </row>
    <row r="1892" spans="5:6">
      <c r="E1892" s="177"/>
      <c r="F1892" s="173"/>
    </row>
    <row r="1893" spans="5:6">
      <c r="E1893" s="177"/>
      <c r="F1893" s="173"/>
    </row>
    <row r="1894" spans="5:6">
      <c r="E1894" s="177"/>
      <c r="F1894" s="173"/>
    </row>
    <row r="1895" spans="5:6">
      <c r="E1895" s="177"/>
      <c r="F1895" s="173"/>
    </row>
    <row r="1896" spans="5:6">
      <c r="E1896" s="177"/>
      <c r="F1896" s="173"/>
    </row>
    <row r="1897" spans="5:6">
      <c r="E1897" s="177"/>
      <c r="F1897" s="173"/>
    </row>
    <row r="1898" spans="5:6">
      <c r="E1898" s="177"/>
      <c r="F1898" s="173"/>
    </row>
    <row r="1899" spans="5:6">
      <c r="E1899" s="177"/>
      <c r="F1899" s="173"/>
    </row>
    <row r="1900" spans="5:6">
      <c r="E1900" s="177"/>
      <c r="F1900" s="173"/>
    </row>
    <row r="1901" spans="5:6">
      <c r="E1901" s="177"/>
      <c r="F1901" s="173"/>
    </row>
    <row r="1902" spans="5:6">
      <c r="E1902" s="177"/>
      <c r="F1902" s="173"/>
    </row>
    <row r="1903" spans="5:6">
      <c r="E1903" s="177"/>
      <c r="F1903" s="173"/>
    </row>
    <row r="1904" spans="5:6">
      <c r="E1904" s="177"/>
      <c r="F1904" s="173"/>
    </row>
    <row r="1905" spans="5:6">
      <c r="E1905" s="177"/>
      <c r="F1905" s="173"/>
    </row>
    <row r="1906" spans="5:6">
      <c r="E1906" s="177"/>
      <c r="F1906" s="173"/>
    </row>
    <row r="1907" spans="5:6">
      <c r="E1907" s="177"/>
      <c r="F1907" s="173"/>
    </row>
    <row r="1908" spans="5:6">
      <c r="E1908" s="177"/>
      <c r="F1908" s="173"/>
    </row>
    <row r="1909" spans="5:6">
      <c r="E1909" s="177"/>
      <c r="F1909" s="173"/>
    </row>
    <row r="1910" spans="5:6">
      <c r="E1910" s="177"/>
      <c r="F1910" s="173"/>
    </row>
    <row r="1911" spans="5:6">
      <c r="E1911" s="177"/>
      <c r="F1911" s="173"/>
    </row>
    <row r="1912" spans="5:6">
      <c r="E1912" s="177"/>
      <c r="F1912" s="173"/>
    </row>
    <row r="1913" spans="5:6">
      <c r="E1913" s="177"/>
      <c r="F1913" s="173"/>
    </row>
    <row r="1914" spans="5:6">
      <c r="E1914" s="177"/>
      <c r="F1914" s="173"/>
    </row>
    <row r="1915" spans="5:6">
      <c r="E1915" s="177"/>
      <c r="F1915" s="173"/>
    </row>
    <row r="1916" spans="5:6">
      <c r="E1916" s="177"/>
      <c r="F1916" s="173"/>
    </row>
    <row r="1917" spans="5:6">
      <c r="E1917" s="177"/>
      <c r="F1917" s="173"/>
    </row>
    <row r="1918" spans="5:6">
      <c r="E1918" s="177"/>
      <c r="F1918" s="173"/>
    </row>
    <row r="1919" spans="5:6">
      <c r="E1919" s="177"/>
      <c r="F1919" s="173"/>
    </row>
    <row r="1920" spans="5:6">
      <c r="E1920" s="177"/>
      <c r="F1920" s="173"/>
    </row>
    <row r="1921" spans="5:6">
      <c r="E1921" s="177"/>
      <c r="F1921" s="173"/>
    </row>
    <row r="1922" spans="5:6">
      <c r="E1922" s="177"/>
      <c r="F1922" s="173"/>
    </row>
    <row r="1923" spans="5:6">
      <c r="E1923" s="177"/>
      <c r="F1923" s="173"/>
    </row>
    <row r="1924" spans="5:6">
      <c r="E1924" s="177"/>
      <c r="F1924" s="173"/>
    </row>
    <row r="1925" spans="5:6">
      <c r="E1925" s="177"/>
      <c r="F1925" s="173"/>
    </row>
    <row r="1926" spans="5:6">
      <c r="E1926" s="177"/>
      <c r="F1926" s="173"/>
    </row>
    <row r="1927" spans="5:6">
      <c r="E1927" s="177"/>
      <c r="F1927" s="173"/>
    </row>
    <row r="1928" spans="5:6">
      <c r="E1928" s="177"/>
      <c r="F1928" s="173"/>
    </row>
    <row r="1929" spans="5:6">
      <c r="E1929" s="177"/>
      <c r="F1929" s="173"/>
    </row>
    <row r="1930" spans="5:6">
      <c r="E1930" s="177"/>
      <c r="F1930" s="173"/>
    </row>
    <row r="1931" spans="5:6">
      <c r="E1931" s="177"/>
      <c r="F1931" s="173"/>
    </row>
    <row r="1932" spans="5:6">
      <c r="E1932" s="177"/>
      <c r="F1932" s="173"/>
    </row>
    <row r="1933" spans="5:6">
      <c r="E1933" s="177"/>
      <c r="F1933" s="173"/>
    </row>
    <row r="1934" spans="5:6">
      <c r="E1934" s="177"/>
      <c r="F1934" s="173"/>
    </row>
    <row r="1935" spans="5:6">
      <c r="E1935" s="177"/>
      <c r="F1935" s="173"/>
    </row>
    <row r="1936" spans="5:6">
      <c r="E1936" s="177"/>
      <c r="F1936" s="173"/>
    </row>
    <row r="1937" spans="5:6">
      <c r="E1937" s="177"/>
      <c r="F1937" s="173"/>
    </row>
    <row r="1938" spans="5:6">
      <c r="E1938" s="177"/>
      <c r="F1938" s="173"/>
    </row>
    <row r="1939" spans="5:6">
      <c r="E1939" s="177"/>
      <c r="F1939" s="173"/>
    </row>
    <row r="1940" spans="5:6">
      <c r="E1940" s="177"/>
      <c r="F1940" s="173"/>
    </row>
    <row r="1941" spans="5:6">
      <c r="E1941" s="177"/>
      <c r="F1941" s="173"/>
    </row>
    <row r="1942" spans="5:6">
      <c r="E1942" s="177"/>
      <c r="F1942" s="173"/>
    </row>
    <row r="1943" spans="5:6">
      <c r="E1943" s="177"/>
      <c r="F1943" s="173"/>
    </row>
    <row r="1944" spans="5:6">
      <c r="E1944" s="177"/>
      <c r="F1944" s="173"/>
    </row>
    <row r="1945" spans="5:6">
      <c r="E1945" s="177"/>
      <c r="F1945" s="173"/>
    </row>
    <row r="1946" spans="5:6">
      <c r="E1946" s="177"/>
      <c r="F1946" s="173"/>
    </row>
    <row r="1947" spans="5:6">
      <c r="E1947" s="177"/>
      <c r="F1947" s="173"/>
    </row>
    <row r="1948" spans="5:6">
      <c r="E1948" s="177"/>
      <c r="F1948" s="173"/>
    </row>
    <row r="1949" spans="5:6">
      <c r="E1949" s="177"/>
      <c r="F1949" s="173"/>
    </row>
    <row r="1950" spans="5:6">
      <c r="E1950" s="177"/>
      <c r="F1950" s="173"/>
    </row>
    <row r="1951" spans="5:6">
      <c r="E1951" s="177"/>
      <c r="F1951" s="173"/>
    </row>
    <row r="1952" spans="5:6">
      <c r="E1952" s="177"/>
      <c r="F1952" s="173"/>
    </row>
    <row r="1953" spans="5:6">
      <c r="E1953" s="177"/>
      <c r="F1953" s="173"/>
    </row>
    <row r="1954" spans="5:6">
      <c r="E1954" s="177"/>
      <c r="F1954" s="173"/>
    </row>
    <row r="1955" spans="5:6">
      <c r="E1955" s="177"/>
      <c r="F1955" s="173"/>
    </row>
    <row r="1956" spans="5:6">
      <c r="E1956" s="177"/>
      <c r="F1956" s="173"/>
    </row>
    <row r="1957" spans="5:6">
      <c r="E1957" s="177"/>
      <c r="F1957" s="173"/>
    </row>
    <row r="1958" spans="5:6">
      <c r="E1958" s="177"/>
      <c r="F1958" s="173"/>
    </row>
    <row r="1959" spans="5:6">
      <c r="E1959" s="177"/>
      <c r="F1959" s="173"/>
    </row>
    <row r="1960" spans="5:6">
      <c r="E1960" s="177"/>
      <c r="F1960" s="173"/>
    </row>
    <row r="1961" spans="5:6">
      <c r="E1961" s="177"/>
      <c r="F1961" s="173"/>
    </row>
    <row r="1962" spans="5:6">
      <c r="E1962" s="177"/>
      <c r="F1962" s="173"/>
    </row>
    <row r="1963" spans="5:6">
      <c r="E1963" s="177"/>
      <c r="F1963" s="173"/>
    </row>
    <row r="1964" spans="5:6">
      <c r="E1964" s="177"/>
      <c r="F1964" s="173"/>
    </row>
    <row r="1965" spans="5:6">
      <c r="E1965" s="177"/>
      <c r="F1965" s="173"/>
    </row>
    <row r="1966" spans="5:6">
      <c r="E1966" s="177"/>
      <c r="F1966" s="173"/>
    </row>
    <row r="1967" spans="5:6">
      <c r="E1967" s="177"/>
      <c r="F1967" s="173"/>
    </row>
    <row r="1968" spans="5:6">
      <c r="E1968" s="177"/>
      <c r="F1968" s="173"/>
    </row>
    <row r="1969" spans="5:6">
      <c r="E1969" s="177"/>
      <c r="F1969" s="173"/>
    </row>
    <row r="1970" spans="5:6">
      <c r="E1970" s="177"/>
      <c r="F1970" s="173"/>
    </row>
    <row r="1971" spans="5:6">
      <c r="E1971" s="177"/>
      <c r="F1971" s="173"/>
    </row>
    <row r="1972" spans="5:6">
      <c r="E1972" s="177"/>
      <c r="F1972" s="173"/>
    </row>
    <row r="1973" spans="5:6">
      <c r="E1973" s="177"/>
      <c r="F1973" s="173"/>
    </row>
    <row r="1974" spans="5:6">
      <c r="E1974" s="177"/>
      <c r="F1974" s="173"/>
    </row>
    <row r="1975" spans="5:6">
      <c r="E1975" s="177"/>
      <c r="F1975" s="173"/>
    </row>
    <row r="1976" spans="5:6">
      <c r="E1976" s="177"/>
      <c r="F1976" s="173"/>
    </row>
    <row r="1977" spans="5:6">
      <c r="E1977" s="177"/>
      <c r="F1977" s="173"/>
    </row>
    <row r="1978" spans="5:6">
      <c r="E1978" s="177"/>
      <c r="F1978" s="173"/>
    </row>
    <row r="1979" spans="5:6">
      <c r="E1979" s="177"/>
      <c r="F1979" s="173"/>
    </row>
    <row r="1980" spans="5:6">
      <c r="E1980" s="177"/>
      <c r="F1980" s="173"/>
    </row>
    <row r="1981" spans="5:6">
      <c r="E1981" s="177"/>
      <c r="F1981" s="173"/>
    </row>
    <row r="1982" spans="5:6">
      <c r="E1982" s="177"/>
      <c r="F1982" s="173"/>
    </row>
    <row r="1983" spans="5:6">
      <c r="E1983" s="177"/>
      <c r="F1983" s="173"/>
    </row>
    <row r="1984" spans="5:6">
      <c r="E1984" s="177"/>
      <c r="F1984" s="173"/>
    </row>
    <row r="1985" spans="5:6">
      <c r="E1985" s="177"/>
      <c r="F1985" s="173"/>
    </row>
    <row r="1986" spans="5:6">
      <c r="E1986" s="177"/>
      <c r="F1986" s="173"/>
    </row>
    <row r="1987" spans="5:6">
      <c r="E1987" s="177"/>
      <c r="F1987" s="173"/>
    </row>
    <row r="1988" spans="5:6">
      <c r="E1988" s="177"/>
      <c r="F1988" s="173"/>
    </row>
    <row r="1989" spans="5:6">
      <c r="E1989" s="177"/>
      <c r="F1989" s="173"/>
    </row>
    <row r="1990" spans="5:6">
      <c r="E1990" s="177"/>
      <c r="F1990" s="173"/>
    </row>
    <row r="1991" spans="5:6">
      <c r="E1991" s="177"/>
      <c r="F1991" s="173"/>
    </row>
    <row r="1992" spans="5:6">
      <c r="E1992" s="177"/>
      <c r="F1992" s="173"/>
    </row>
    <row r="1993" spans="5:6">
      <c r="E1993" s="177"/>
      <c r="F1993" s="173"/>
    </row>
    <row r="1994" spans="5:6">
      <c r="E1994" s="177"/>
      <c r="F1994" s="173"/>
    </row>
    <row r="1995" spans="5:6">
      <c r="E1995" s="177"/>
      <c r="F1995" s="173"/>
    </row>
    <row r="1996" spans="5:6">
      <c r="E1996" s="177"/>
      <c r="F1996" s="173"/>
    </row>
    <row r="1997" spans="5:6">
      <c r="E1997" s="177"/>
      <c r="F1997" s="173"/>
    </row>
    <row r="1998" spans="5:6">
      <c r="E1998" s="177"/>
      <c r="F1998" s="173"/>
    </row>
    <row r="1999" spans="5:6">
      <c r="E1999" s="177"/>
      <c r="F1999" s="173"/>
    </row>
    <row r="2000" spans="5:6">
      <c r="E2000" s="177"/>
      <c r="F2000" s="173"/>
    </row>
    <row r="2001" spans="5:6">
      <c r="E2001" s="177"/>
      <c r="F2001" s="173"/>
    </row>
    <row r="2002" spans="5:6">
      <c r="E2002" s="177"/>
      <c r="F2002" s="173"/>
    </row>
    <row r="2003" spans="5:6">
      <c r="E2003" s="177"/>
      <c r="F2003" s="17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A2061"/>
  <sheetViews>
    <sheetView workbookViewId="0"/>
  </sheetViews>
  <sheetFormatPr baseColWidth="10" defaultColWidth="12.6640625" defaultRowHeight="15" customHeight="1"/>
  <cols>
    <col min="4" max="4" width="9.83203125" customWidth="1"/>
    <col min="5" max="5" width="19.1640625" customWidth="1"/>
    <col min="6" max="6" width="7.5" customWidth="1"/>
    <col min="7" max="7" width="20.5" customWidth="1"/>
    <col min="8" max="8" width="29.5" customWidth="1"/>
    <col min="9" max="9" width="16.6640625" customWidth="1"/>
    <col min="10" max="10" width="16.1640625" customWidth="1"/>
    <col min="11" max="11" width="39.1640625" customWidth="1"/>
  </cols>
  <sheetData>
    <row r="1" spans="1:27">
      <c r="A1" s="263" t="s">
        <v>3086</v>
      </c>
      <c r="B1" s="264" t="s">
        <v>4700</v>
      </c>
      <c r="C1" s="265" t="s">
        <v>4701</v>
      </c>
      <c r="D1" s="266" t="s">
        <v>4702</v>
      </c>
      <c r="E1" s="267" t="s">
        <v>2830</v>
      </c>
      <c r="F1" s="267" t="s">
        <v>4703</v>
      </c>
      <c r="G1" s="267" t="s">
        <v>4704</v>
      </c>
      <c r="H1" s="268" t="str">
        <f ca="1">IFERROR(__xludf.DUMMYFUNCTION("TRIM(REGEXREPLACE(I1, ""^\s*dr(a)?\.?\s*"", """"))
"),"Orl")</f>
        <v>Orl</v>
      </c>
      <c r="I1" s="267" t="s">
        <v>4705</v>
      </c>
      <c r="J1" s="267" t="s">
        <v>2825</v>
      </c>
      <c r="K1" s="269" t="s">
        <v>4706</v>
      </c>
      <c r="L1" s="267" t="s">
        <v>4707</v>
      </c>
      <c r="M1" s="267" t="s">
        <v>4708</v>
      </c>
      <c r="N1" s="270" t="s">
        <v>4709</v>
      </c>
      <c r="O1" s="271" t="s">
        <v>4710</v>
      </c>
      <c r="P1" s="267" t="s">
        <v>4711</v>
      </c>
      <c r="Q1" s="271" t="s">
        <v>4712</v>
      </c>
      <c r="R1" s="272" t="s">
        <v>3952</v>
      </c>
      <c r="S1" s="272" t="s">
        <v>3952</v>
      </c>
      <c r="T1" s="272" t="s">
        <v>3952</v>
      </c>
      <c r="U1" s="272" t="s">
        <v>3952</v>
      </c>
      <c r="V1" s="272" t="s">
        <v>3952</v>
      </c>
      <c r="W1" s="272" t="s">
        <v>3952</v>
      </c>
      <c r="X1" s="272" t="s">
        <v>3952</v>
      </c>
      <c r="Y1" s="272" t="s">
        <v>3952</v>
      </c>
      <c r="Z1" s="272" t="s">
        <v>3952</v>
      </c>
      <c r="AA1" s="272" t="s">
        <v>3952</v>
      </c>
    </row>
    <row r="2" spans="1:27" ht="18" customHeight="1">
      <c r="A2" s="273">
        <v>1</v>
      </c>
      <c r="B2" s="274" t="s">
        <v>4713</v>
      </c>
      <c r="C2" s="275">
        <v>45272</v>
      </c>
      <c r="D2" s="274" t="s">
        <v>4714</v>
      </c>
      <c r="E2" s="268" t="s">
        <v>2880</v>
      </c>
      <c r="F2" s="268" t="s">
        <v>4715</v>
      </c>
      <c r="G2" s="268" t="s">
        <v>4716</v>
      </c>
      <c r="H2" s="268" t="str">
        <f t="shared" ref="H2:H256" si="0">TRIM(SUBSTITUTE(SUBSTITUTE(SUBSTITUTE(SUBSTITUTE(I2,"DR. ",""),"DRA. ",""),"DR ",""),"DRA ",""))</f>
        <v>ANTONIO RODRÍGUEZ RIVERO</v>
      </c>
      <c r="I2" s="268" t="s">
        <v>4717</v>
      </c>
      <c r="J2" s="272" t="s">
        <v>4718</v>
      </c>
      <c r="K2" s="268" t="s">
        <v>4719</v>
      </c>
      <c r="L2" s="276">
        <v>45293</v>
      </c>
      <c r="M2" s="277"/>
      <c r="N2" s="278">
        <v>2</v>
      </c>
      <c r="O2" s="279" t="s">
        <v>4720</v>
      </c>
      <c r="P2" s="280">
        <v>3604.55</v>
      </c>
      <c r="Q2" s="281">
        <v>45272</v>
      </c>
      <c r="R2" s="272"/>
      <c r="S2" s="272"/>
      <c r="T2" s="272"/>
      <c r="U2" s="272"/>
      <c r="V2" s="272"/>
      <c r="W2" s="272"/>
      <c r="X2" s="272"/>
      <c r="Y2" s="272"/>
      <c r="Z2" s="272"/>
      <c r="AA2" s="272"/>
    </row>
    <row r="3" spans="1:27">
      <c r="A3" s="273">
        <v>1</v>
      </c>
      <c r="B3" s="274" t="s">
        <v>4713</v>
      </c>
      <c r="C3" s="275">
        <v>45273</v>
      </c>
      <c r="D3" s="274" t="s">
        <v>4714</v>
      </c>
      <c r="E3" s="268" t="s">
        <v>2880</v>
      </c>
      <c r="F3" s="268" t="s">
        <v>4715</v>
      </c>
      <c r="G3" s="268" t="s">
        <v>4716</v>
      </c>
      <c r="H3" s="268" t="str">
        <f t="shared" si="0"/>
        <v>MARÍA GARROTE GARROTE</v>
      </c>
      <c r="I3" s="268" t="s">
        <v>4721</v>
      </c>
      <c r="J3" s="272" t="s">
        <v>4718</v>
      </c>
      <c r="K3" s="268" t="s">
        <v>4722</v>
      </c>
      <c r="L3" s="276">
        <v>45293</v>
      </c>
      <c r="M3" s="277"/>
      <c r="N3" s="278">
        <v>2</v>
      </c>
      <c r="O3" s="279" t="s">
        <v>4723</v>
      </c>
      <c r="P3" s="280">
        <v>2780.91</v>
      </c>
      <c r="Q3" s="281">
        <v>45273</v>
      </c>
      <c r="R3" s="272"/>
      <c r="S3" s="272"/>
      <c r="T3" s="272"/>
      <c r="U3" s="272"/>
      <c r="V3" s="272"/>
      <c r="W3" s="272"/>
      <c r="X3" s="272"/>
      <c r="Y3" s="272"/>
      <c r="Z3" s="272"/>
      <c r="AA3" s="272"/>
    </row>
    <row r="4" spans="1:27">
      <c r="A4" s="273">
        <v>1</v>
      </c>
      <c r="B4" s="274" t="s">
        <v>4713</v>
      </c>
      <c r="C4" s="275">
        <v>45245</v>
      </c>
      <c r="D4" s="274" t="s">
        <v>4714</v>
      </c>
      <c r="E4" s="268" t="s">
        <v>3758</v>
      </c>
      <c r="F4" s="268" t="s">
        <v>4724</v>
      </c>
      <c r="G4" s="268" t="s">
        <v>4725</v>
      </c>
      <c r="H4" s="268" t="str">
        <f t="shared" si="0"/>
        <v>ELVYLINS VARGAS YGLESIA</v>
      </c>
      <c r="I4" s="268" t="s">
        <v>4726</v>
      </c>
      <c r="J4" s="272" t="s">
        <v>4718</v>
      </c>
      <c r="K4" s="268" t="s">
        <v>4727</v>
      </c>
      <c r="L4" s="276">
        <v>45293</v>
      </c>
      <c r="M4" s="277"/>
      <c r="N4" s="282">
        <v>2</v>
      </c>
      <c r="O4" s="279" t="s">
        <v>4720</v>
      </c>
      <c r="P4" s="280">
        <v>3812.5</v>
      </c>
      <c r="Q4" s="281">
        <v>45245</v>
      </c>
      <c r="R4" s="272"/>
      <c r="S4" s="272"/>
      <c r="T4" s="272"/>
      <c r="U4" s="272"/>
      <c r="V4" s="272"/>
      <c r="W4" s="272"/>
      <c r="X4" s="272"/>
      <c r="Y4" s="272"/>
      <c r="Z4" s="272"/>
      <c r="AA4" s="272"/>
    </row>
    <row r="5" spans="1:27">
      <c r="A5" s="273">
        <v>1</v>
      </c>
      <c r="B5" s="274" t="s">
        <v>4713</v>
      </c>
      <c r="C5" s="275">
        <v>45240</v>
      </c>
      <c r="D5" s="274" t="s">
        <v>4714</v>
      </c>
      <c r="E5" s="279" t="s">
        <v>3529</v>
      </c>
      <c r="F5" s="279" t="s">
        <v>4715</v>
      </c>
      <c r="G5" s="279" t="s">
        <v>4716</v>
      </c>
      <c r="H5" s="268" t="str">
        <f t="shared" si="0"/>
        <v>JORGE BENITO JIMÉNEZ</v>
      </c>
      <c r="I5" s="268" t="s">
        <v>4728</v>
      </c>
      <c r="J5" s="272" t="s">
        <v>4729</v>
      </c>
      <c r="K5" s="279" t="s">
        <v>4730</v>
      </c>
      <c r="L5" s="276">
        <v>45293</v>
      </c>
      <c r="M5" s="283"/>
      <c r="N5" s="282">
        <v>1</v>
      </c>
      <c r="O5" s="284" t="s">
        <v>4723</v>
      </c>
      <c r="P5" s="280">
        <v>1759.09</v>
      </c>
      <c r="Q5" s="281">
        <v>45240</v>
      </c>
      <c r="R5" s="272"/>
      <c r="S5" s="272"/>
      <c r="T5" s="272"/>
      <c r="U5" s="272"/>
      <c r="V5" s="272"/>
      <c r="W5" s="272"/>
      <c r="X5" s="272"/>
      <c r="Y5" s="272"/>
      <c r="Z5" s="272"/>
      <c r="AA5" s="272"/>
    </row>
    <row r="6" spans="1:27">
      <c r="A6" s="273">
        <v>1</v>
      </c>
      <c r="B6" s="274" t="s">
        <v>4713</v>
      </c>
      <c r="C6" s="275">
        <v>45265</v>
      </c>
      <c r="D6" s="274" t="s">
        <v>4714</v>
      </c>
      <c r="E6" s="268" t="s">
        <v>3011</v>
      </c>
      <c r="F6" s="268" t="s">
        <v>4715</v>
      </c>
      <c r="G6" s="268" t="s">
        <v>4716</v>
      </c>
      <c r="H6" s="268" t="str">
        <f t="shared" si="0"/>
        <v>LUCIA PRIETO SÁNCHEZ DE LA PUERTA</v>
      </c>
      <c r="I6" s="268" t="s">
        <v>4731</v>
      </c>
      <c r="J6" s="272" t="s">
        <v>4729</v>
      </c>
      <c r="K6" s="268" t="s">
        <v>4732</v>
      </c>
      <c r="L6" s="276">
        <v>45293</v>
      </c>
      <c r="M6" s="277"/>
      <c r="N6" s="282">
        <v>1</v>
      </c>
      <c r="O6" s="284" t="s">
        <v>4723</v>
      </c>
      <c r="P6" s="280">
        <v>1572.73</v>
      </c>
      <c r="Q6" s="281">
        <v>45265</v>
      </c>
      <c r="R6" s="272"/>
      <c r="S6" s="272"/>
      <c r="T6" s="272"/>
      <c r="U6" s="272"/>
      <c r="V6" s="272"/>
      <c r="W6" s="272"/>
      <c r="X6" s="272"/>
      <c r="Y6" s="272"/>
      <c r="Z6" s="272"/>
      <c r="AA6" s="272"/>
    </row>
    <row r="7" spans="1:27">
      <c r="A7" s="273">
        <v>1</v>
      </c>
      <c r="B7" s="274" t="s">
        <v>4713</v>
      </c>
      <c r="C7" s="275">
        <v>45252</v>
      </c>
      <c r="D7" s="274" t="s">
        <v>4714</v>
      </c>
      <c r="E7" s="268" t="s">
        <v>3011</v>
      </c>
      <c r="F7" s="268" t="s">
        <v>4715</v>
      </c>
      <c r="G7" s="268" t="s">
        <v>4716</v>
      </c>
      <c r="H7" s="268" t="str">
        <f t="shared" si="0"/>
        <v>LUCIA PRIETO SÁNCHEZ DE LA PUERTA</v>
      </c>
      <c r="I7" s="268" t="s">
        <v>4731</v>
      </c>
      <c r="J7" s="272" t="s">
        <v>4729</v>
      </c>
      <c r="K7" s="268" t="s">
        <v>4733</v>
      </c>
      <c r="L7" s="276">
        <v>45293</v>
      </c>
      <c r="M7" s="277"/>
      <c r="N7" s="282">
        <v>2</v>
      </c>
      <c r="O7" s="284" t="s">
        <v>4720</v>
      </c>
      <c r="P7" s="280">
        <v>3786.36</v>
      </c>
      <c r="Q7" s="281">
        <v>45252</v>
      </c>
      <c r="R7" s="272"/>
      <c r="S7" s="272"/>
      <c r="T7" s="272"/>
      <c r="U7" s="272"/>
      <c r="V7" s="272"/>
      <c r="W7" s="272"/>
      <c r="X7" s="272"/>
      <c r="Y7" s="272"/>
      <c r="Z7" s="272"/>
      <c r="AA7" s="272"/>
    </row>
    <row r="8" spans="1:27">
      <c r="A8" s="273">
        <v>1</v>
      </c>
      <c r="B8" s="274" t="s">
        <v>4713</v>
      </c>
      <c r="C8" s="275">
        <v>45250</v>
      </c>
      <c r="D8" s="274" t="s">
        <v>4714</v>
      </c>
      <c r="E8" s="268" t="s">
        <v>4734</v>
      </c>
      <c r="F8" s="268" t="s">
        <v>4715</v>
      </c>
      <c r="G8" s="268" t="s">
        <v>4716</v>
      </c>
      <c r="H8" s="268" t="str">
        <f t="shared" si="0"/>
        <v>LINO ENGUIDANOS HERNANDORENA</v>
      </c>
      <c r="I8" s="268" t="s">
        <v>4735</v>
      </c>
      <c r="J8" s="268" t="s">
        <v>4736</v>
      </c>
      <c r="K8" s="268" t="s">
        <v>4737</v>
      </c>
      <c r="L8" s="276">
        <v>45294</v>
      </c>
      <c r="M8" s="277"/>
      <c r="N8" s="282">
        <v>2</v>
      </c>
      <c r="O8" s="279" t="s">
        <v>4720</v>
      </c>
      <c r="P8" s="280">
        <v>3424.32</v>
      </c>
      <c r="Q8" s="281">
        <v>45250</v>
      </c>
      <c r="R8" s="272"/>
      <c r="S8" s="272"/>
      <c r="T8" s="272"/>
      <c r="U8" s="272"/>
      <c r="V8" s="272"/>
      <c r="W8" s="272"/>
      <c r="X8" s="272"/>
      <c r="Y8" s="272"/>
      <c r="Z8" s="272"/>
      <c r="AA8" s="272"/>
    </row>
    <row r="9" spans="1:27">
      <c r="A9" s="273">
        <v>1</v>
      </c>
      <c r="B9" s="274" t="s">
        <v>4713</v>
      </c>
      <c r="C9" s="275">
        <v>45259</v>
      </c>
      <c r="D9" s="274" t="s">
        <v>4714</v>
      </c>
      <c r="E9" s="268" t="s">
        <v>4194</v>
      </c>
      <c r="F9" s="268" t="s">
        <v>4715</v>
      </c>
      <c r="G9" s="268" t="s">
        <v>4716</v>
      </c>
      <c r="H9" s="268" t="str">
        <f t="shared" si="0"/>
        <v>FRANCISCO PASTOR BEVIÁ</v>
      </c>
      <c r="I9" s="268" t="s">
        <v>4738</v>
      </c>
      <c r="J9" s="272" t="s">
        <v>4736</v>
      </c>
      <c r="K9" s="268" t="s">
        <v>4739</v>
      </c>
      <c r="L9" s="276">
        <v>45294</v>
      </c>
      <c r="M9" s="277"/>
      <c r="N9" s="282">
        <v>2</v>
      </c>
      <c r="O9" s="279" t="s">
        <v>4740</v>
      </c>
      <c r="P9" s="280">
        <v>4586.3599999999997</v>
      </c>
      <c r="Q9" s="281">
        <v>45259</v>
      </c>
      <c r="R9" s="272"/>
      <c r="S9" s="272"/>
      <c r="T9" s="272"/>
      <c r="U9" s="272"/>
      <c r="V9" s="272"/>
      <c r="W9" s="272"/>
      <c r="X9" s="272"/>
      <c r="Y9" s="272"/>
      <c r="Z9" s="272"/>
      <c r="AA9" s="272"/>
    </row>
    <row r="10" spans="1:27">
      <c r="A10" s="273">
        <v>1</v>
      </c>
      <c r="B10" s="274" t="s">
        <v>4713</v>
      </c>
      <c r="C10" s="275">
        <v>45090</v>
      </c>
      <c r="D10" s="274" t="s">
        <v>4714</v>
      </c>
      <c r="E10" s="268" t="s">
        <v>3480</v>
      </c>
      <c r="F10" s="268" t="s">
        <v>4715</v>
      </c>
      <c r="G10" s="268" t="s">
        <v>4716</v>
      </c>
      <c r="H10" s="268" t="str">
        <f t="shared" si="0"/>
        <v>ELISABETH AMARILLO ESPITIA</v>
      </c>
      <c r="I10" s="268" t="s">
        <v>4741</v>
      </c>
      <c r="J10" s="272" t="s">
        <v>4718</v>
      </c>
      <c r="K10" s="268" t="s">
        <v>4742</v>
      </c>
      <c r="L10" s="276">
        <v>45294</v>
      </c>
      <c r="M10" s="277"/>
      <c r="N10" s="282">
        <v>2</v>
      </c>
      <c r="O10" s="279" t="s">
        <v>4720</v>
      </c>
      <c r="P10" s="280">
        <v>3604.55</v>
      </c>
      <c r="Q10" s="281">
        <v>45090</v>
      </c>
      <c r="R10" s="272"/>
      <c r="S10" s="272"/>
      <c r="T10" s="272"/>
      <c r="U10" s="272"/>
      <c r="V10" s="272"/>
      <c r="W10" s="272"/>
      <c r="X10" s="272"/>
      <c r="Y10" s="272"/>
      <c r="Z10" s="272"/>
      <c r="AA10" s="272"/>
    </row>
    <row r="11" spans="1:27">
      <c r="A11" s="273">
        <v>1</v>
      </c>
      <c r="B11" s="274" t="s">
        <v>4713</v>
      </c>
      <c r="C11" s="275">
        <v>45257</v>
      </c>
      <c r="D11" s="274" t="s">
        <v>4714</v>
      </c>
      <c r="E11" s="268" t="s">
        <v>3605</v>
      </c>
      <c r="F11" s="268" t="s">
        <v>4715</v>
      </c>
      <c r="G11" s="268" t="s">
        <v>4716</v>
      </c>
      <c r="H11" s="268" t="str">
        <f t="shared" si="0"/>
        <v>NO REUERDA ORL</v>
      </c>
      <c r="I11" s="268" t="s">
        <v>4743</v>
      </c>
      <c r="J11" s="268" t="s">
        <v>4718</v>
      </c>
      <c r="K11" s="268" t="s">
        <v>4744</v>
      </c>
      <c r="L11" s="276">
        <v>45294</v>
      </c>
      <c r="M11" s="277"/>
      <c r="N11" s="282">
        <v>2</v>
      </c>
      <c r="O11" s="279" t="s">
        <v>4723</v>
      </c>
      <c r="P11" s="280">
        <v>2780.91</v>
      </c>
      <c r="Q11" s="281">
        <v>45257</v>
      </c>
      <c r="R11" s="272"/>
      <c r="S11" s="272"/>
      <c r="T11" s="272"/>
      <c r="U11" s="272"/>
      <c r="V11" s="272"/>
      <c r="W11" s="272"/>
      <c r="X11" s="272"/>
      <c r="Y11" s="272"/>
      <c r="Z11" s="272"/>
      <c r="AA11" s="272"/>
    </row>
    <row r="12" spans="1:27">
      <c r="A12" s="273">
        <v>1</v>
      </c>
      <c r="B12" s="274" t="s">
        <v>4713</v>
      </c>
      <c r="C12" s="275">
        <v>45245</v>
      </c>
      <c r="D12" s="274" t="s">
        <v>4714</v>
      </c>
      <c r="E12" s="268" t="s">
        <v>4745</v>
      </c>
      <c r="F12" s="268" t="s">
        <v>4715</v>
      </c>
      <c r="G12" s="268" t="s">
        <v>4716</v>
      </c>
      <c r="H12" s="268" t="str">
        <f t="shared" si="0"/>
        <v>MANUEL ACUÑA GARCÍA</v>
      </c>
      <c r="I12" s="268" t="s">
        <v>4746</v>
      </c>
      <c r="J12" s="268" t="s">
        <v>4747</v>
      </c>
      <c r="K12" s="268" t="s">
        <v>4748</v>
      </c>
      <c r="L12" s="276">
        <v>45294</v>
      </c>
      <c r="M12" s="277"/>
      <c r="N12" s="282">
        <v>2</v>
      </c>
      <c r="O12" s="284" t="s">
        <v>4720</v>
      </c>
      <c r="P12" s="280">
        <v>3424.33</v>
      </c>
      <c r="Q12" s="281">
        <v>45245</v>
      </c>
      <c r="R12" s="272"/>
      <c r="S12" s="272"/>
      <c r="T12" s="272"/>
      <c r="U12" s="272"/>
      <c r="V12" s="272"/>
      <c r="W12" s="272"/>
      <c r="X12" s="272"/>
      <c r="Y12" s="272"/>
      <c r="Z12" s="272"/>
      <c r="AA12" s="272"/>
    </row>
    <row r="13" spans="1:27">
      <c r="A13" s="273">
        <v>1</v>
      </c>
      <c r="B13" s="274" t="s">
        <v>4713</v>
      </c>
      <c r="C13" s="275">
        <v>45250</v>
      </c>
      <c r="D13" s="274" t="s">
        <v>4714</v>
      </c>
      <c r="E13" s="268" t="s">
        <v>4749</v>
      </c>
      <c r="F13" s="268" t="s">
        <v>4715</v>
      </c>
      <c r="G13" s="268" t="s">
        <v>4716</v>
      </c>
      <c r="H13" s="268" t="str">
        <f t="shared" si="0"/>
        <v>MÓNICA GRANDA ROSALES</v>
      </c>
      <c r="I13" s="268" t="s">
        <v>4750</v>
      </c>
      <c r="J13" s="268" t="s">
        <v>4751</v>
      </c>
      <c r="K13" s="268" t="s">
        <v>4752</v>
      </c>
      <c r="L13" s="276">
        <v>45294</v>
      </c>
      <c r="M13" s="277"/>
      <c r="N13" s="282">
        <v>2</v>
      </c>
      <c r="O13" s="284" t="s">
        <v>4720</v>
      </c>
      <c r="P13" s="280">
        <v>3454.55</v>
      </c>
      <c r="Q13" s="281">
        <v>45250</v>
      </c>
      <c r="R13" s="272"/>
      <c r="S13" s="272"/>
      <c r="T13" s="272"/>
      <c r="U13" s="272"/>
      <c r="V13" s="272"/>
      <c r="W13" s="272"/>
      <c r="X13" s="272"/>
      <c r="Y13" s="272"/>
      <c r="Z13" s="272"/>
      <c r="AA13" s="272"/>
    </row>
    <row r="14" spans="1:27">
      <c r="A14" s="273">
        <v>1</v>
      </c>
      <c r="B14" s="274" t="s">
        <v>4713</v>
      </c>
      <c r="C14" s="275">
        <v>45251</v>
      </c>
      <c r="D14" s="274" t="s">
        <v>4714</v>
      </c>
      <c r="E14" s="268" t="s">
        <v>3043</v>
      </c>
      <c r="F14" s="268" t="s">
        <v>4715</v>
      </c>
      <c r="G14" s="268" t="s">
        <v>4716</v>
      </c>
      <c r="H14" s="268" t="str">
        <f t="shared" si="0"/>
        <v>JAIME SANABRIA BRASSART</v>
      </c>
      <c r="I14" s="268" t="s">
        <v>4753</v>
      </c>
      <c r="J14" s="272" t="s">
        <v>4751</v>
      </c>
      <c r="K14" s="268" t="s">
        <v>4754</v>
      </c>
      <c r="L14" s="276">
        <v>45295</v>
      </c>
      <c r="M14" s="277"/>
      <c r="N14" s="282">
        <v>2</v>
      </c>
      <c r="O14" s="279" t="s">
        <v>4720</v>
      </c>
      <c r="P14" s="280">
        <v>3604.55</v>
      </c>
      <c r="Q14" s="281">
        <v>45251</v>
      </c>
      <c r="R14" s="272"/>
      <c r="S14" s="272"/>
      <c r="T14" s="272"/>
      <c r="U14" s="272"/>
      <c r="V14" s="272"/>
      <c r="W14" s="272"/>
      <c r="X14" s="272"/>
      <c r="Y14" s="272"/>
      <c r="Z14" s="272"/>
      <c r="AA14" s="272"/>
    </row>
    <row r="15" spans="1:27">
      <c r="A15" s="273">
        <v>1</v>
      </c>
      <c r="B15" s="274" t="s">
        <v>4713</v>
      </c>
      <c r="C15" s="275">
        <v>45257</v>
      </c>
      <c r="D15" s="274" t="s">
        <v>4714</v>
      </c>
      <c r="E15" s="268" t="s">
        <v>2869</v>
      </c>
      <c r="F15" s="268" t="s">
        <v>4715</v>
      </c>
      <c r="G15" s="268" t="s">
        <v>4716</v>
      </c>
      <c r="H15" s="268" t="str">
        <f t="shared" si="0"/>
        <v>IGNACIO ALBALADEJO DEVIS</v>
      </c>
      <c r="I15" s="268" t="s">
        <v>4755</v>
      </c>
      <c r="J15" s="272" t="s">
        <v>4736</v>
      </c>
      <c r="K15" s="268" t="s">
        <v>4756</v>
      </c>
      <c r="L15" s="276">
        <v>45295</v>
      </c>
      <c r="M15" s="277"/>
      <c r="N15" s="282">
        <v>2</v>
      </c>
      <c r="O15" s="279" t="s">
        <v>4723</v>
      </c>
      <c r="P15" s="280">
        <v>2780.91</v>
      </c>
      <c r="Q15" s="281">
        <v>45257</v>
      </c>
      <c r="R15" s="272"/>
      <c r="S15" s="272"/>
      <c r="T15" s="272"/>
      <c r="U15" s="272"/>
      <c r="V15" s="272"/>
      <c r="W15" s="272"/>
      <c r="X15" s="272"/>
      <c r="Y15" s="272"/>
      <c r="Z15" s="272"/>
      <c r="AA15" s="272"/>
    </row>
    <row r="16" spans="1:27">
      <c r="A16" s="273">
        <v>1</v>
      </c>
      <c r="B16" s="274" t="s">
        <v>4713</v>
      </c>
      <c r="C16" s="275">
        <v>45258</v>
      </c>
      <c r="D16" s="285" t="s">
        <v>4714</v>
      </c>
      <c r="E16" s="268" t="s">
        <v>2921</v>
      </c>
      <c r="F16" s="268" t="s">
        <v>4715</v>
      </c>
      <c r="G16" s="268" t="s">
        <v>4716</v>
      </c>
      <c r="H16" s="268" t="str">
        <f t="shared" si="0"/>
        <v>LUÍS MARTÍNEZ BERNABEU</v>
      </c>
      <c r="I16" s="268" t="s">
        <v>4757</v>
      </c>
      <c r="J16" s="268" t="s">
        <v>4736</v>
      </c>
      <c r="K16" s="268" t="s">
        <v>4758</v>
      </c>
      <c r="L16" s="276">
        <v>45295</v>
      </c>
      <c r="M16" s="277"/>
      <c r="N16" s="282">
        <v>2</v>
      </c>
      <c r="O16" s="284" t="s">
        <v>4723</v>
      </c>
      <c r="P16" s="280">
        <v>2780.91</v>
      </c>
      <c r="Q16" s="281">
        <v>45258</v>
      </c>
      <c r="R16" s="272"/>
      <c r="S16" s="272"/>
      <c r="T16" s="272"/>
      <c r="U16" s="272"/>
      <c r="V16" s="272"/>
      <c r="W16" s="272"/>
      <c r="X16" s="272"/>
      <c r="Y16" s="272"/>
      <c r="Z16" s="272"/>
      <c r="AA16" s="272"/>
    </row>
    <row r="17" spans="1:27">
      <c r="A17" s="273">
        <v>1</v>
      </c>
      <c r="B17" s="274" t="s">
        <v>4713</v>
      </c>
      <c r="C17" s="275">
        <v>45243</v>
      </c>
      <c r="D17" s="274" t="s">
        <v>4714</v>
      </c>
      <c r="E17" s="268" t="s">
        <v>4759</v>
      </c>
      <c r="F17" s="268" t="s">
        <v>4715</v>
      </c>
      <c r="G17" s="268" t="s">
        <v>4716</v>
      </c>
      <c r="H17" s="268" t="str">
        <f t="shared" si="0"/>
        <v>PATRICIA VIVEROS DIEZ</v>
      </c>
      <c r="I17" s="268" t="s">
        <v>4760</v>
      </c>
      <c r="J17" s="272" t="s">
        <v>4747</v>
      </c>
      <c r="K17" s="268" t="s">
        <v>4761</v>
      </c>
      <c r="L17" s="276">
        <v>45295</v>
      </c>
      <c r="M17" s="277"/>
      <c r="N17" s="282">
        <v>2</v>
      </c>
      <c r="O17" s="284" t="s">
        <v>4720</v>
      </c>
      <c r="P17" s="280">
        <v>3522.73</v>
      </c>
      <c r="Q17" s="281">
        <v>45243</v>
      </c>
      <c r="R17" s="272"/>
      <c r="S17" s="272"/>
      <c r="T17" s="272"/>
      <c r="U17" s="272"/>
      <c r="V17" s="272"/>
      <c r="W17" s="272"/>
      <c r="X17" s="272"/>
      <c r="Y17" s="272"/>
      <c r="Z17" s="272"/>
      <c r="AA17" s="272"/>
    </row>
    <row r="18" spans="1:27">
      <c r="A18" s="273">
        <v>1</v>
      </c>
      <c r="B18" s="274" t="s">
        <v>4713</v>
      </c>
      <c r="C18" s="275">
        <v>44984</v>
      </c>
      <c r="D18" s="285" t="s">
        <v>4714</v>
      </c>
      <c r="E18" s="268" t="s">
        <v>3480</v>
      </c>
      <c r="F18" s="268" t="s">
        <v>4715</v>
      </c>
      <c r="G18" s="268" t="s">
        <v>4716</v>
      </c>
      <c r="H18" s="268" t="str">
        <f t="shared" si="0"/>
        <v>VICTORIA GARCÍA PECES</v>
      </c>
      <c r="I18" s="268" t="s">
        <v>4762</v>
      </c>
      <c r="J18" s="268" t="s">
        <v>4718</v>
      </c>
      <c r="K18" s="268" t="s">
        <v>4763</v>
      </c>
      <c r="L18" s="276">
        <v>45296</v>
      </c>
      <c r="M18" s="277"/>
      <c r="N18" s="282">
        <v>1</v>
      </c>
      <c r="O18" s="279" t="s">
        <v>4720</v>
      </c>
      <c r="P18" s="280">
        <v>2134.5500000000002</v>
      </c>
      <c r="Q18" s="281">
        <v>44984</v>
      </c>
      <c r="R18" s="272"/>
      <c r="S18" s="272"/>
      <c r="T18" s="272"/>
      <c r="U18" s="272"/>
      <c r="V18" s="272"/>
      <c r="W18" s="272"/>
      <c r="X18" s="272"/>
      <c r="Y18" s="272"/>
      <c r="Z18" s="272"/>
      <c r="AA18" s="272"/>
    </row>
    <row r="19" spans="1:27">
      <c r="A19" s="273">
        <v>1</v>
      </c>
      <c r="B19" s="274" t="s">
        <v>4713</v>
      </c>
      <c r="C19" s="275">
        <v>45272</v>
      </c>
      <c r="D19" s="274" t="s">
        <v>4714</v>
      </c>
      <c r="E19" s="268" t="s">
        <v>2880</v>
      </c>
      <c r="F19" s="268" t="s">
        <v>4715</v>
      </c>
      <c r="G19" s="268" t="s">
        <v>4716</v>
      </c>
      <c r="H19" s="268" t="str">
        <f t="shared" si="0"/>
        <v>ANTONIO RODRÍGUEZ RIVERO</v>
      </c>
      <c r="I19" s="268" t="s">
        <v>4717</v>
      </c>
      <c r="J19" s="272" t="s">
        <v>4718</v>
      </c>
      <c r="K19" s="268" t="s">
        <v>4764</v>
      </c>
      <c r="L19" s="276">
        <v>45296</v>
      </c>
      <c r="M19" s="277"/>
      <c r="N19" s="282">
        <v>2</v>
      </c>
      <c r="O19" s="279" t="s">
        <v>4720</v>
      </c>
      <c r="P19" s="280">
        <v>3604.55</v>
      </c>
      <c r="Q19" s="281">
        <v>45272</v>
      </c>
      <c r="R19" s="272"/>
      <c r="S19" s="272"/>
      <c r="T19" s="272"/>
      <c r="U19" s="272"/>
      <c r="V19" s="272"/>
      <c r="W19" s="272"/>
      <c r="X19" s="272"/>
      <c r="Y19" s="272"/>
      <c r="Z19" s="272"/>
      <c r="AA19" s="272"/>
    </row>
    <row r="20" spans="1:27">
      <c r="A20" s="273">
        <v>1</v>
      </c>
      <c r="B20" s="274" t="s">
        <v>4713</v>
      </c>
      <c r="C20" s="275">
        <v>45281</v>
      </c>
      <c r="D20" s="274" t="s">
        <v>4714</v>
      </c>
      <c r="E20" s="268" t="s">
        <v>3480</v>
      </c>
      <c r="F20" s="268" t="s">
        <v>4715</v>
      </c>
      <c r="G20" s="268" t="s">
        <v>4716</v>
      </c>
      <c r="H20" s="268" t="str">
        <f t="shared" si="0"/>
        <v>ITHZEL MARIA VILLARREAL PATIÑO</v>
      </c>
      <c r="I20" s="268" t="s">
        <v>4765</v>
      </c>
      <c r="J20" s="272" t="s">
        <v>4718</v>
      </c>
      <c r="K20" s="268" t="s">
        <v>4766</v>
      </c>
      <c r="L20" s="276">
        <v>45299</v>
      </c>
      <c r="M20" s="277"/>
      <c r="N20" s="282">
        <v>2</v>
      </c>
      <c r="O20" s="279" t="s">
        <v>4723</v>
      </c>
      <c r="P20" s="280">
        <v>2780.91</v>
      </c>
      <c r="Q20" s="281">
        <v>45281</v>
      </c>
      <c r="R20" s="272"/>
      <c r="S20" s="272"/>
      <c r="T20" s="272"/>
      <c r="U20" s="272"/>
      <c r="V20" s="272"/>
      <c r="W20" s="272"/>
      <c r="X20" s="272"/>
      <c r="Y20" s="272"/>
      <c r="Z20" s="272"/>
      <c r="AA20" s="272"/>
    </row>
    <row r="21" spans="1:27">
      <c r="A21" s="273">
        <v>1</v>
      </c>
      <c r="B21" s="274" t="s">
        <v>4713</v>
      </c>
      <c r="C21" s="275">
        <v>45197</v>
      </c>
      <c r="D21" s="285" t="s">
        <v>4714</v>
      </c>
      <c r="E21" s="268" t="s">
        <v>3193</v>
      </c>
      <c r="F21" s="268" t="s">
        <v>4715</v>
      </c>
      <c r="G21" s="268" t="s">
        <v>4716</v>
      </c>
      <c r="H21" s="268" t="str">
        <f t="shared" si="0"/>
        <v>MARÍA SANTILLÁN SÁNCHEZ</v>
      </c>
      <c r="I21" s="268" t="s">
        <v>4767</v>
      </c>
      <c r="J21" s="268" t="s">
        <v>4718</v>
      </c>
      <c r="K21" s="268" t="s">
        <v>4768</v>
      </c>
      <c r="L21" s="276">
        <v>45299</v>
      </c>
      <c r="M21" s="277"/>
      <c r="N21" s="278">
        <v>1</v>
      </c>
      <c r="O21" s="279" t="s">
        <v>4720</v>
      </c>
      <c r="P21" s="280">
        <v>2162.5</v>
      </c>
      <c r="Q21" s="281">
        <v>45197</v>
      </c>
      <c r="R21" s="272"/>
      <c r="S21" s="272"/>
      <c r="T21" s="272"/>
      <c r="U21" s="272"/>
      <c r="V21" s="272"/>
      <c r="W21" s="272"/>
      <c r="X21" s="272"/>
      <c r="Y21" s="272"/>
      <c r="Z21" s="272"/>
      <c r="AA21" s="272"/>
    </row>
    <row r="22" spans="1:27">
      <c r="A22" s="273">
        <v>1</v>
      </c>
      <c r="B22" s="274" t="s">
        <v>4713</v>
      </c>
      <c r="C22" s="275">
        <v>45240</v>
      </c>
      <c r="D22" s="274" t="s">
        <v>4714</v>
      </c>
      <c r="E22" s="268" t="s">
        <v>3193</v>
      </c>
      <c r="F22" s="268" t="s">
        <v>4715</v>
      </c>
      <c r="G22" s="268" t="s">
        <v>4716</v>
      </c>
      <c r="H22" s="268" t="str">
        <f t="shared" si="0"/>
        <v>CÉSAR CHARLES MARTÍNEZ</v>
      </c>
      <c r="I22" s="268" t="s">
        <v>4769</v>
      </c>
      <c r="J22" s="272" t="s">
        <v>4718</v>
      </c>
      <c r="K22" s="268" t="s">
        <v>4770</v>
      </c>
      <c r="L22" s="276">
        <v>45299</v>
      </c>
      <c r="M22" s="277"/>
      <c r="N22" s="278">
        <v>2</v>
      </c>
      <c r="O22" s="279" t="s">
        <v>4723</v>
      </c>
      <c r="P22" s="280">
        <v>2780.91</v>
      </c>
      <c r="Q22" s="281">
        <v>45240</v>
      </c>
      <c r="R22" s="272"/>
      <c r="S22" s="272"/>
      <c r="T22" s="272"/>
      <c r="U22" s="272"/>
      <c r="V22" s="272"/>
      <c r="W22" s="272"/>
      <c r="X22" s="272"/>
      <c r="Y22" s="272"/>
      <c r="Z22" s="272"/>
      <c r="AA22" s="272"/>
    </row>
    <row r="23" spans="1:27">
      <c r="A23" s="273">
        <v>1</v>
      </c>
      <c r="B23" s="274" t="s">
        <v>4713</v>
      </c>
      <c r="C23" s="275">
        <v>45261</v>
      </c>
      <c r="D23" s="274" t="s">
        <v>4714</v>
      </c>
      <c r="E23" s="279" t="s">
        <v>4194</v>
      </c>
      <c r="F23" s="279" t="s">
        <v>4715</v>
      </c>
      <c r="G23" s="279" t="s">
        <v>4716</v>
      </c>
      <c r="H23" s="268" t="str">
        <f t="shared" si="0"/>
        <v>OSCAR ALEMÁN LÓPEZ</v>
      </c>
      <c r="I23" s="268" t="s">
        <v>4771</v>
      </c>
      <c r="J23" s="272" t="s">
        <v>4736</v>
      </c>
      <c r="K23" s="279" t="s">
        <v>4772</v>
      </c>
      <c r="L23" s="276">
        <v>45300</v>
      </c>
      <c r="M23" s="277"/>
      <c r="N23" s="282">
        <v>2</v>
      </c>
      <c r="O23" s="279" t="s">
        <v>4720</v>
      </c>
      <c r="P23" s="280">
        <v>3604.55</v>
      </c>
      <c r="Q23" s="281">
        <v>45261</v>
      </c>
      <c r="R23" s="272"/>
      <c r="S23" s="272"/>
      <c r="T23" s="272"/>
      <c r="U23" s="272"/>
      <c r="V23" s="272"/>
      <c r="W23" s="272"/>
      <c r="X23" s="272"/>
      <c r="Y23" s="272"/>
      <c r="Z23" s="272"/>
      <c r="AA23" s="272"/>
    </row>
    <row r="24" spans="1:27">
      <c r="A24" s="273">
        <v>1</v>
      </c>
      <c r="B24" s="274" t="s">
        <v>4713</v>
      </c>
      <c r="C24" s="275">
        <v>45279</v>
      </c>
      <c r="D24" s="274" t="s">
        <v>4714</v>
      </c>
      <c r="E24" s="268" t="s">
        <v>2880</v>
      </c>
      <c r="F24" s="268" t="s">
        <v>4715</v>
      </c>
      <c r="G24" s="268" t="s">
        <v>4716</v>
      </c>
      <c r="H24" s="268" t="str">
        <f t="shared" si="0"/>
        <v>CRISTINA VADUVA</v>
      </c>
      <c r="I24" s="268" t="s">
        <v>4773</v>
      </c>
      <c r="J24" s="272" t="s">
        <v>4718</v>
      </c>
      <c r="K24" s="268" t="s">
        <v>4774</v>
      </c>
      <c r="L24" s="276">
        <v>45300</v>
      </c>
      <c r="M24" s="277"/>
      <c r="N24" s="282">
        <v>2</v>
      </c>
      <c r="O24" s="279" t="s">
        <v>4720</v>
      </c>
      <c r="P24" s="280">
        <v>3604.55</v>
      </c>
      <c r="Q24" s="281">
        <v>45279</v>
      </c>
      <c r="R24" s="272"/>
      <c r="S24" s="272"/>
      <c r="T24" s="272"/>
      <c r="U24" s="272"/>
      <c r="V24" s="272"/>
      <c r="W24" s="272"/>
      <c r="X24" s="272"/>
      <c r="Y24" s="272"/>
      <c r="Z24" s="272"/>
      <c r="AA24" s="272"/>
    </row>
    <row r="25" spans="1:27">
      <c r="A25" s="273">
        <v>1</v>
      </c>
      <c r="B25" s="274" t="s">
        <v>4713</v>
      </c>
      <c r="C25" s="275">
        <v>45236</v>
      </c>
      <c r="D25" s="274" t="s">
        <v>4714</v>
      </c>
      <c r="E25" s="268" t="s">
        <v>4775</v>
      </c>
      <c r="F25" s="268" t="s">
        <v>4715</v>
      </c>
      <c r="G25" s="268" t="s">
        <v>4716</v>
      </c>
      <c r="H25" s="268" t="str">
        <f t="shared" si="0"/>
        <v>FERNANDO SALAZAR BARCELONA</v>
      </c>
      <c r="I25" s="268" t="s">
        <v>4776</v>
      </c>
      <c r="J25" s="268" t="s">
        <v>4751</v>
      </c>
      <c r="K25" s="268" t="s">
        <v>4777</v>
      </c>
      <c r="L25" s="276">
        <v>45300</v>
      </c>
      <c r="M25" s="277"/>
      <c r="N25" s="282">
        <v>2</v>
      </c>
      <c r="O25" s="279" t="s">
        <v>4720</v>
      </c>
      <c r="P25" s="280">
        <v>3090.91</v>
      </c>
      <c r="Q25" s="281">
        <v>45236</v>
      </c>
      <c r="R25" s="272"/>
      <c r="S25" s="272"/>
      <c r="T25" s="272"/>
      <c r="U25" s="272"/>
      <c r="V25" s="272"/>
      <c r="W25" s="272"/>
      <c r="X25" s="272"/>
      <c r="Y25" s="272"/>
      <c r="Z25" s="272"/>
      <c r="AA25" s="272"/>
    </row>
    <row r="26" spans="1:27">
      <c r="A26" s="273">
        <v>1</v>
      </c>
      <c r="B26" s="274" t="s">
        <v>4713</v>
      </c>
      <c r="C26" s="275">
        <v>45257</v>
      </c>
      <c r="D26" s="285" t="s">
        <v>4714</v>
      </c>
      <c r="E26" s="268" t="s">
        <v>3043</v>
      </c>
      <c r="F26" s="268" t="s">
        <v>4715</v>
      </c>
      <c r="G26" s="268" t="s">
        <v>4716</v>
      </c>
      <c r="H26" s="268" t="str">
        <f t="shared" si="0"/>
        <v>JULIO LÓPEZ MOYA</v>
      </c>
      <c r="I26" s="268" t="s">
        <v>4778</v>
      </c>
      <c r="J26" s="268" t="s">
        <v>4718</v>
      </c>
      <c r="K26" s="268" t="s">
        <v>4779</v>
      </c>
      <c r="L26" s="276">
        <v>45300</v>
      </c>
      <c r="M26" s="277"/>
      <c r="N26" s="282">
        <v>2</v>
      </c>
      <c r="O26" s="279" t="s">
        <v>4740</v>
      </c>
      <c r="P26" s="280">
        <v>4222.7299999999996</v>
      </c>
      <c r="Q26" s="281">
        <v>45257</v>
      </c>
      <c r="R26" s="272"/>
      <c r="S26" s="272"/>
      <c r="T26" s="272"/>
      <c r="U26" s="272"/>
      <c r="V26" s="272"/>
      <c r="W26" s="272"/>
      <c r="X26" s="272"/>
      <c r="Y26" s="272"/>
      <c r="Z26" s="272"/>
      <c r="AA26" s="272"/>
    </row>
    <row r="27" spans="1:27">
      <c r="A27" s="273">
        <v>1</v>
      </c>
      <c r="B27" s="274" t="s">
        <v>4713</v>
      </c>
      <c r="C27" s="275">
        <v>45250</v>
      </c>
      <c r="D27" s="274" t="s">
        <v>4714</v>
      </c>
      <c r="E27" s="268" t="s">
        <v>4780</v>
      </c>
      <c r="F27" s="268" t="s">
        <v>4715</v>
      </c>
      <c r="G27" s="268" t="s">
        <v>4716</v>
      </c>
      <c r="H27" s="268" t="str">
        <f t="shared" si="0"/>
        <v>MARÍA JESÚS CORNEJO DOMÍNGUEZ</v>
      </c>
      <c r="I27" s="268" t="s">
        <v>4781</v>
      </c>
      <c r="J27" s="272" t="s">
        <v>4747</v>
      </c>
      <c r="K27" s="268" t="s">
        <v>4782</v>
      </c>
      <c r="L27" s="276">
        <v>45300</v>
      </c>
      <c r="M27" s="277"/>
      <c r="N27" s="282">
        <v>1</v>
      </c>
      <c r="O27" s="284" t="s">
        <v>4720</v>
      </c>
      <c r="P27" s="280">
        <v>2162.73</v>
      </c>
      <c r="Q27" s="281">
        <v>45250</v>
      </c>
      <c r="R27" s="272"/>
      <c r="S27" s="272"/>
      <c r="T27" s="272"/>
      <c r="U27" s="272"/>
      <c r="V27" s="272"/>
      <c r="W27" s="272"/>
      <c r="X27" s="272"/>
      <c r="Y27" s="272"/>
      <c r="Z27" s="272"/>
      <c r="AA27" s="272"/>
    </row>
    <row r="28" spans="1:27">
      <c r="A28" s="273">
        <v>1</v>
      </c>
      <c r="B28" s="274" t="s">
        <v>4713</v>
      </c>
      <c r="C28" s="275">
        <v>45132</v>
      </c>
      <c r="D28" s="274" t="s">
        <v>4714</v>
      </c>
      <c r="E28" s="268" t="s">
        <v>3011</v>
      </c>
      <c r="F28" s="268" t="s">
        <v>4715</v>
      </c>
      <c r="G28" s="268" t="s">
        <v>4716</v>
      </c>
      <c r="H28" s="268" t="str">
        <f t="shared" si="0"/>
        <v>MIGUEL ALBERTO RODRÍGUEZ PÉREZ</v>
      </c>
      <c r="I28" s="268" t="s">
        <v>4783</v>
      </c>
      <c r="J28" s="272" t="s">
        <v>4729</v>
      </c>
      <c r="K28" s="268" t="s">
        <v>4784</v>
      </c>
      <c r="L28" s="276">
        <v>45300</v>
      </c>
      <c r="M28" s="277"/>
      <c r="N28" s="282">
        <v>1</v>
      </c>
      <c r="O28" s="284" t="s">
        <v>4720</v>
      </c>
      <c r="P28" s="280">
        <v>2162.73</v>
      </c>
      <c r="Q28" s="281">
        <v>45132</v>
      </c>
      <c r="R28" s="272"/>
      <c r="S28" s="272"/>
      <c r="T28" s="272"/>
      <c r="U28" s="272"/>
      <c r="V28" s="272"/>
      <c r="W28" s="272"/>
      <c r="X28" s="272"/>
      <c r="Y28" s="272"/>
      <c r="Z28" s="272"/>
      <c r="AA28" s="272"/>
    </row>
    <row r="29" spans="1:27">
      <c r="A29" s="273">
        <v>1</v>
      </c>
      <c r="B29" s="274" t="s">
        <v>4713</v>
      </c>
      <c r="C29" s="275">
        <v>45259</v>
      </c>
      <c r="D29" s="274" t="s">
        <v>4714</v>
      </c>
      <c r="E29" s="268" t="s">
        <v>4759</v>
      </c>
      <c r="F29" s="268" t="s">
        <v>4715</v>
      </c>
      <c r="G29" s="268" t="s">
        <v>4716</v>
      </c>
      <c r="H29" s="268" t="str">
        <f t="shared" si="0"/>
        <v>ANTONIA CARRANZA CALLEJA</v>
      </c>
      <c r="I29" s="268" t="s">
        <v>4785</v>
      </c>
      <c r="J29" s="272" t="s">
        <v>4747</v>
      </c>
      <c r="K29" s="268" t="s">
        <v>4786</v>
      </c>
      <c r="L29" s="276">
        <v>45300</v>
      </c>
      <c r="M29" s="277"/>
      <c r="N29" s="282">
        <v>1</v>
      </c>
      <c r="O29" s="284" t="s">
        <v>4787</v>
      </c>
      <c r="P29" s="280">
        <v>2307.27</v>
      </c>
      <c r="Q29" s="281">
        <v>45259</v>
      </c>
      <c r="R29" s="272"/>
      <c r="S29" s="272"/>
      <c r="T29" s="272"/>
      <c r="U29" s="272"/>
      <c r="V29" s="272"/>
      <c r="W29" s="272"/>
      <c r="X29" s="272"/>
      <c r="Y29" s="272"/>
      <c r="Z29" s="272"/>
      <c r="AA29" s="272"/>
    </row>
    <row r="30" spans="1:27">
      <c r="A30" s="273">
        <v>1</v>
      </c>
      <c r="B30" s="274" t="s">
        <v>4713</v>
      </c>
      <c r="C30" s="275">
        <v>44167</v>
      </c>
      <c r="D30" s="274" t="s">
        <v>4714</v>
      </c>
      <c r="E30" s="279" t="s">
        <v>4788</v>
      </c>
      <c r="F30" s="279" t="s">
        <v>4715</v>
      </c>
      <c r="G30" s="279" t="s">
        <v>4716</v>
      </c>
      <c r="H30" s="268" t="str">
        <f t="shared" si="0"/>
        <v>ERNESTO VARELA MARTÍNEZ</v>
      </c>
      <c r="I30" s="268" t="s">
        <v>4789</v>
      </c>
      <c r="J30" s="268" t="s">
        <v>4790</v>
      </c>
      <c r="K30" s="279" t="s">
        <v>4791</v>
      </c>
      <c r="L30" s="276">
        <v>45301</v>
      </c>
      <c r="M30" s="277"/>
      <c r="N30" s="282">
        <v>1</v>
      </c>
      <c r="O30" s="279" t="s">
        <v>4792</v>
      </c>
      <c r="P30" s="280">
        <v>909.09</v>
      </c>
      <c r="Q30" s="281">
        <v>44167</v>
      </c>
      <c r="R30" s="272"/>
      <c r="S30" s="272"/>
      <c r="T30" s="272"/>
      <c r="U30" s="272"/>
      <c r="V30" s="272"/>
      <c r="W30" s="272"/>
      <c r="X30" s="272"/>
      <c r="Y30" s="272"/>
      <c r="Z30" s="272"/>
      <c r="AA30" s="272"/>
    </row>
    <row r="31" spans="1:27">
      <c r="A31" s="273">
        <v>1</v>
      </c>
      <c r="B31" s="274" t="s">
        <v>4713</v>
      </c>
      <c r="C31" s="275">
        <v>45252</v>
      </c>
      <c r="D31" s="274" t="s">
        <v>4714</v>
      </c>
      <c r="E31" s="268" t="s">
        <v>3043</v>
      </c>
      <c r="F31" s="268" t="s">
        <v>4715</v>
      </c>
      <c r="G31" s="268" t="s">
        <v>4716</v>
      </c>
      <c r="H31" s="268" t="str">
        <f t="shared" si="0"/>
        <v>ANTONIO BUENO RÍOS</v>
      </c>
      <c r="I31" s="268" t="s">
        <v>4793</v>
      </c>
      <c r="J31" s="272" t="s">
        <v>4751</v>
      </c>
      <c r="K31" s="268" t="s">
        <v>4794</v>
      </c>
      <c r="L31" s="276">
        <v>45301</v>
      </c>
      <c r="M31" s="277"/>
      <c r="N31" s="282">
        <v>2</v>
      </c>
      <c r="O31" s="279" t="s">
        <v>4723</v>
      </c>
      <c r="P31" s="280">
        <v>2780.91</v>
      </c>
      <c r="Q31" s="281">
        <v>45252</v>
      </c>
      <c r="R31" s="272"/>
      <c r="S31" s="272"/>
      <c r="T31" s="272"/>
      <c r="U31" s="272"/>
      <c r="V31" s="272"/>
      <c r="W31" s="272"/>
      <c r="X31" s="272"/>
      <c r="Y31" s="272"/>
      <c r="Z31" s="272"/>
      <c r="AA31" s="272"/>
    </row>
    <row r="32" spans="1:27">
      <c r="A32" s="273">
        <v>1</v>
      </c>
      <c r="B32" s="274" t="s">
        <v>4713</v>
      </c>
      <c r="C32" s="275">
        <v>45251</v>
      </c>
      <c r="D32" s="274" t="s">
        <v>4714</v>
      </c>
      <c r="E32" s="268" t="s">
        <v>2869</v>
      </c>
      <c r="F32" s="268" t="s">
        <v>4715</v>
      </c>
      <c r="G32" s="268" t="s">
        <v>4716</v>
      </c>
      <c r="H32" s="268" t="str">
        <f t="shared" si="0"/>
        <v>EMILIO SAURA SÁNCHEZ-PARRA</v>
      </c>
      <c r="I32" s="268" t="s">
        <v>4795</v>
      </c>
      <c r="J32" s="272" t="s">
        <v>4736</v>
      </c>
      <c r="K32" s="268" t="s">
        <v>4796</v>
      </c>
      <c r="L32" s="276">
        <v>45301</v>
      </c>
      <c r="M32" s="283"/>
      <c r="N32" s="278">
        <v>2</v>
      </c>
      <c r="O32" s="279" t="s">
        <v>4720</v>
      </c>
      <c r="P32" s="280">
        <v>3423.64</v>
      </c>
      <c r="Q32" s="281">
        <v>45251</v>
      </c>
      <c r="R32" s="272"/>
      <c r="S32" s="272"/>
      <c r="T32" s="272"/>
      <c r="U32" s="272"/>
      <c r="V32" s="272"/>
      <c r="W32" s="272"/>
      <c r="X32" s="272"/>
      <c r="Y32" s="272"/>
      <c r="Z32" s="272"/>
      <c r="AA32" s="272"/>
    </row>
    <row r="33" spans="1:27">
      <c r="A33" s="273">
        <v>1</v>
      </c>
      <c r="B33" s="274" t="s">
        <v>4713</v>
      </c>
      <c r="C33" s="275">
        <v>45251</v>
      </c>
      <c r="D33" s="274" t="s">
        <v>4714</v>
      </c>
      <c r="E33" s="268" t="s">
        <v>4759</v>
      </c>
      <c r="F33" s="268" t="s">
        <v>4715</v>
      </c>
      <c r="G33" s="268" t="s">
        <v>4716</v>
      </c>
      <c r="H33" s="268" t="str">
        <f t="shared" si="0"/>
        <v>HUGO LARA SÁNCHEZ</v>
      </c>
      <c r="I33" s="268" t="s">
        <v>4797</v>
      </c>
      <c r="J33" s="272" t="s">
        <v>4747</v>
      </c>
      <c r="K33" s="268" t="s">
        <v>4798</v>
      </c>
      <c r="L33" s="276">
        <v>45301</v>
      </c>
      <c r="M33" s="277"/>
      <c r="N33" s="282">
        <v>2</v>
      </c>
      <c r="O33" s="284" t="s">
        <v>4720</v>
      </c>
      <c r="P33" s="280">
        <v>3522.73</v>
      </c>
      <c r="Q33" s="281">
        <v>45251</v>
      </c>
      <c r="R33" s="272"/>
      <c r="S33" s="272"/>
      <c r="T33" s="272"/>
      <c r="U33" s="272"/>
      <c r="V33" s="272"/>
      <c r="W33" s="272"/>
      <c r="X33" s="272"/>
      <c r="Y33" s="272"/>
      <c r="Z33" s="272"/>
      <c r="AA33" s="272"/>
    </row>
    <row r="34" spans="1:27">
      <c r="A34" s="273">
        <v>1</v>
      </c>
      <c r="B34" s="274" t="s">
        <v>4713</v>
      </c>
      <c r="C34" s="275">
        <v>45265</v>
      </c>
      <c r="D34" s="274" t="s">
        <v>4714</v>
      </c>
      <c r="E34" s="268" t="s">
        <v>4799</v>
      </c>
      <c r="F34" s="268" t="s">
        <v>4715</v>
      </c>
      <c r="G34" s="268" t="s">
        <v>4716</v>
      </c>
      <c r="H34" s="268" t="str">
        <f t="shared" si="0"/>
        <v>PILAR CASTRO RUIZ</v>
      </c>
      <c r="I34" s="268" t="s">
        <v>4800</v>
      </c>
      <c r="J34" s="272" t="s">
        <v>4790</v>
      </c>
      <c r="K34" s="268" t="s">
        <v>4801</v>
      </c>
      <c r="L34" s="276">
        <v>45301</v>
      </c>
      <c r="M34" s="277"/>
      <c r="N34" s="282">
        <v>2</v>
      </c>
      <c r="O34" s="284" t="s">
        <v>4723</v>
      </c>
      <c r="P34" s="280">
        <v>3000</v>
      </c>
      <c r="Q34" s="281">
        <v>45265</v>
      </c>
      <c r="R34" s="272"/>
      <c r="S34" s="272"/>
      <c r="T34" s="272"/>
      <c r="U34" s="272"/>
      <c r="V34" s="272"/>
      <c r="W34" s="272"/>
      <c r="X34" s="272"/>
      <c r="Y34" s="272"/>
      <c r="Z34" s="272"/>
      <c r="AA34" s="272"/>
    </row>
    <row r="35" spans="1:27">
      <c r="A35" s="273">
        <v>1</v>
      </c>
      <c r="B35" s="274" t="s">
        <v>4713</v>
      </c>
      <c r="C35" s="275">
        <v>45279</v>
      </c>
      <c r="D35" s="274" t="s">
        <v>4714</v>
      </c>
      <c r="E35" s="268" t="s">
        <v>3193</v>
      </c>
      <c r="F35" s="268" t="s">
        <v>4715</v>
      </c>
      <c r="G35" s="268" t="s">
        <v>4716</v>
      </c>
      <c r="H35" s="268" t="str">
        <f t="shared" si="0"/>
        <v>Alejandro Harguindey Antoli-Candela</v>
      </c>
      <c r="I35" s="268" t="s">
        <v>4802</v>
      </c>
      <c r="J35" s="272" t="s">
        <v>4718</v>
      </c>
      <c r="K35" s="268" t="s">
        <v>4803</v>
      </c>
      <c r="L35" s="276">
        <v>45302</v>
      </c>
      <c r="M35" s="277"/>
      <c r="N35" s="282">
        <v>2</v>
      </c>
      <c r="O35" s="279" t="s">
        <v>4740</v>
      </c>
      <c r="P35" s="280">
        <v>4222.7299999999996</v>
      </c>
      <c r="Q35" s="281">
        <v>45279</v>
      </c>
      <c r="R35" s="272"/>
      <c r="S35" s="272"/>
      <c r="T35" s="272"/>
      <c r="U35" s="272"/>
      <c r="V35" s="272"/>
      <c r="W35" s="272"/>
      <c r="X35" s="272"/>
      <c r="Y35" s="272"/>
      <c r="Z35" s="272"/>
      <c r="AA35" s="272"/>
    </row>
    <row r="36" spans="1:27">
      <c r="A36" s="273">
        <v>1</v>
      </c>
      <c r="B36" s="274" t="s">
        <v>4713</v>
      </c>
      <c r="C36" s="275">
        <v>45236</v>
      </c>
      <c r="D36" s="274" t="s">
        <v>4714</v>
      </c>
      <c r="E36" s="268" t="s">
        <v>4804</v>
      </c>
      <c r="F36" s="268" t="s">
        <v>4715</v>
      </c>
      <c r="G36" s="268" t="s">
        <v>4716</v>
      </c>
      <c r="H36" s="268" t="str">
        <f t="shared" si="0"/>
        <v>JOAQUIM BROTO SUMALLA</v>
      </c>
      <c r="I36" s="268" t="s">
        <v>4805</v>
      </c>
      <c r="J36" s="272" t="s">
        <v>4806</v>
      </c>
      <c r="K36" s="268" t="s">
        <v>4807</v>
      </c>
      <c r="L36" s="276">
        <v>45302</v>
      </c>
      <c r="M36" s="283"/>
      <c r="N36" s="282">
        <v>2</v>
      </c>
      <c r="O36" s="284" t="s">
        <v>4792</v>
      </c>
      <c r="P36" s="280">
        <v>2318.1799999999998</v>
      </c>
      <c r="Q36" s="281">
        <v>45236</v>
      </c>
      <c r="R36" s="272"/>
      <c r="S36" s="272"/>
      <c r="T36" s="272"/>
      <c r="U36" s="272"/>
      <c r="V36" s="272"/>
      <c r="W36" s="272"/>
      <c r="X36" s="272"/>
      <c r="Y36" s="272"/>
      <c r="Z36" s="272"/>
      <c r="AA36" s="272"/>
    </row>
    <row r="37" spans="1:27">
      <c r="A37" s="273">
        <v>1</v>
      </c>
      <c r="B37" s="274" t="s">
        <v>4713</v>
      </c>
      <c r="C37" s="275">
        <v>45265</v>
      </c>
      <c r="D37" s="274" t="s">
        <v>4714</v>
      </c>
      <c r="E37" s="268" t="s">
        <v>2886</v>
      </c>
      <c r="F37" s="268" t="s">
        <v>4715</v>
      </c>
      <c r="G37" s="268" t="s">
        <v>4716</v>
      </c>
      <c r="H37" s="268" t="str">
        <f t="shared" si="0"/>
        <v>LORENA SANZ LÓPEZ</v>
      </c>
      <c r="I37" s="268" t="s">
        <v>4808</v>
      </c>
      <c r="J37" s="268" t="s">
        <v>4718</v>
      </c>
      <c r="K37" s="268" t="s">
        <v>4809</v>
      </c>
      <c r="L37" s="276">
        <v>45302</v>
      </c>
      <c r="M37" s="277"/>
      <c r="N37" s="282">
        <v>1</v>
      </c>
      <c r="O37" s="284" t="s">
        <v>4740</v>
      </c>
      <c r="P37" s="280">
        <v>2409.09</v>
      </c>
      <c r="Q37" s="281">
        <v>45265</v>
      </c>
      <c r="R37" s="272"/>
      <c r="S37" s="272"/>
      <c r="T37" s="272"/>
      <c r="U37" s="272"/>
      <c r="V37" s="272"/>
      <c r="W37" s="272"/>
      <c r="X37" s="272"/>
      <c r="Y37" s="272"/>
      <c r="Z37" s="272"/>
      <c r="AA37" s="272"/>
    </row>
    <row r="38" spans="1:27">
      <c r="A38" s="273">
        <v>1</v>
      </c>
      <c r="B38" s="274" t="s">
        <v>4713</v>
      </c>
      <c r="C38" s="275">
        <v>45261</v>
      </c>
      <c r="D38" s="274" t="s">
        <v>4714</v>
      </c>
      <c r="E38" s="268" t="s">
        <v>2909</v>
      </c>
      <c r="F38" s="268" t="s">
        <v>4715</v>
      </c>
      <c r="G38" s="268" t="s">
        <v>4716</v>
      </c>
      <c r="H38" s="268" t="str">
        <f t="shared" si="0"/>
        <v>DARÍO AGUDELO GARCÍA</v>
      </c>
      <c r="I38" s="268" t="s">
        <v>4810</v>
      </c>
      <c r="J38" s="272" t="s">
        <v>4806</v>
      </c>
      <c r="K38" s="268" t="s">
        <v>4811</v>
      </c>
      <c r="L38" s="276">
        <v>45303</v>
      </c>
      <c r="M38" s="277"/>
      <c r="N38" s="282">
        <v>2</v>
      </c>
      <c r="O38" s="279" t="s">
        <v>4723</v>
      </c>
      <c r="P38" s="280">
        <v>2641.82</v>
      </c>
      <c r="Q38" s="281">
        <v>45261</v>
      </c>
      <c r="R38" s="272"/>
      <c r="S38" s="272"/>
      <c r="T38" s="272"/>
      <c r="U38" s="272"/>
      <c r="V38" s="272"/>
      <c r="W38" s="272"/>
      <c r="X38" s="272"/>
      <c r="Y38" s="272"/>
      <c r="Z38" s="272"/>
      <c r="AA38" s="272"/>
    </row>
    <row r="39" spans="1:27">
      <c r="A39" s="273">
        <v>1</v>
      </c>
      <c r="B39" s="274" t="s">
        <v>4713</v>
      </c>
      <c r="C39" s="275">
        <v>45264</v>
      </c>
      <c r="D39" s="274" t="s">
        <v>4714</v>
      </c>
      <c r="E39" s="268" t="s">
        <v>2869</v>
      </c>
      <c r="F39" s="268" t="s">
        <v>4715</v>
      </c>
      <c r="G39" s="268" t="s">
        <v>4716</v>
      </c>
      <c r="H39" s="268" t="str">
        <f t="shared" si="0"/>
        <v>MARÍA AGUSTINA SEVILLA GARCÍA</v>
      </c>
      <c r="I39" s="268" t="s">
        <v>4812</v>
      </c>
      <c r="J39" s="272" t="s">
        <v>4736</v>
      </c>
      <c r="K39" s="268" t="s">
        <v>4813</v>
      </c>
      <c r="L39" s="276">
        <v>45303</v>
      </c>
      <c r="M39" s="283"/>
      <c r="N39" s="278">
        <v>1</v>
      </c>
      <c r="O39" s="279" t="s">
        <v>4720</v>
      </c>
      <c r="P39" s="280">
        <v>2162.73</v>
      </c>
      <c r="Q39" s="281">
        <v>45264</v>
      </c>
      <c r="R39" s="272"/>
      <c r="S39" s="272"/>
      <c r="T39" s="272"/>
      <c r="U39" s="272"/>
      <c r="V39" s="272"/>
      <c r="W39" s="272"/>
      <c r="X39" s="272"/>
      <c r="Y39" s="272"/>
      <c r="Z39" s="272"/>
      <c r="AA39" s="272"/>
    </row>
    <row r="40" spans="1:27">
      <c r="A40" s="273">
        <v>1</v>
      </c>
      <c r="B40" s="274" t="s">
        <v>4713</v>
      </c>
      <c r="C40" s="275">
        <v>45275</v>
      </c>
      <c r="D40" s="274" t="s">
        <v>4714</v>
      </c>
      <c r="E40" s="268" t="s">
        <v>3011</v>
      </c>
      <c r="F40" s="268" t="s">
        <v>4715</v>
      </c>
      <c r="G40" s="268" t="s">
        <v>4716</v>
      </c>
      <c r="H40" s="268" t="str">
        <f t="shared" si="0"/>
        <v>LUIS FLORENCIO ALBA</v>
      </c>
      <c r="I40" s="268" t="s">
        <v>4814</v>
      </c>
      <c r="J40" s="272" t="s">
        <v>4729</v>
      </c>
      <c r="K40" s="268" t="s">
        <v>4815</v>
      </c>
      <c r="L40" s="276">
        <v>45303</v>
      </c>
      <c r="M40" s="277"/>
      <c r="N40" s="278">
        <v>2</v>
      </c>
      <c r="O40" s="284" t="s">
        <v>4720</v>
      </c>
      <c r="P40" s="280">
        <v>3786.36</v>
      </c>
      <c r="Q40" s="281">
        <v>45275</v>
      </c>
      <c r="R40" s="272"/>
      <c r="S40" s="272"/>
      <c r="T40" s="272"/>
      <c r="U40" s="272"/>
      <c r="V40" s="272"/>
      <c r="W40" s="272"/>
      <c r="X40" s="272"/>
      <c r="Y40" s="272"/>
      <c r="Z40" s="272"/>
      <c r="AA40" s="272"/>
    </row>
    <row r="41" spans="1:27">
      <c r="A41" s="273">
        <v>1</v>
      </c>
      <c r="B41" s="274" t="s">
        <v>4713</v>
      </c>
      <c r="C41" s="275">
        <v>45264</v>
      </c>
      <c r="D41" s="274" t="s">
        <v>4714</v>
      </c>
      <c r="E41" s="268" t="s">
        <v>3011</v>
      </c>
      <c r="F41" s="268" t="s">
        <v>4715</v>
      </c>
      <c r="G41" s="268" t="s">
        <v>4716</v>
      </c>
      <c r="H41" s="268" t="str">
        <f t="shared" si="0"/>
        <v>FRANCISCO ANTONIO PÉREZ FERNÁNDEZ</v>
      </c>
      <c r="I41" s="268" t="s">
        <v>4816</v>
      </c>
      <c r="J41" s="272" t="s">
        <v>4729</v>
      </c>
      <c r="K41" s="268" t="s">
        <v>4817</v>
      </c>
      <c r="L41" s="276">
        <v>45303</v>
      </c>
      <c r="M41" s="277"/>
      <c r="N41" s="278">
        <v>2</v>
      </c>
      <c r="O41" s="284" t="s">
        <v>4723</v>
      </c>
      <c r="P41" s="280">
        <v>2653.64</v>
      </c>
      <c r="Q41" s="281">
        <v>45264</v>
      </c>
      <c r="R41" s="272"/>
      <c r="S41" s="272"/>
      <c r="T41" s="272"/>
      <c r="U41" s="272"/>
      <c r="V41" s="272"/>
      <c r="W41" s="272"/>
      <c r="X41" s="272"/>
      <c r="Y41" s="272"/>
      <c r="Z41" s="272"/>
      <c r="AA41" s="272"/>
    </row>
    <row r="42" spans="1:27">
      <c r="A42" s="273">
        <v>1</v>
      </c>
      <c r="B42" s="274" t="s">
        <v>4713</v>
      </c>
      <c r="C42" s="275">
        <v>45254</v>
      </c>
      <c r="D42" s="274" t="s">
        <v>4714</v>
      </c>
      <c r="E42" s="268" t="s">
        <v>2909</v>
      </c>
      <c r="F42" s="279" t="s">
        <v>4715</v>
      </c>
      <c r="G42" s="279" t="s">
        <v>4716</v>
      </c>
      <c r="H42" s="268" t="str">
        <f t="shared" si="0"/>
        <v>EDUARDO LEHRER CORIAT</v>
      </c>
      <c r="I42" s="268" t="s">
        <v>4818</v>
      </c>
      <c r="J42" s="272" t="s">
        <v>4806</v>
      </c>
      <c r="K42" s="279" t="s">
        <v>4819</v>
      </c>
      <c r="L42" s="276">
        <v>45306</v>
      </c>
      <c r="M42" s="277"/>
      <c r="N42" s="282">
        <v>2</v>
      </c>
      <c r="O42" s="279" t="s">
        <v>4720</v>
      </c>
      <c r="P42" s="280">
        <v>3604.42</v>
      </c>
      <c r="Q42" s="281">
        <v>45254</v>
      </c>
      <c r="R42" s="272"/>
      <c r="S42" s="272"/>
      <c r="T42" s="272"/>
      <c r="U42" s="272"/>
      <c r="V42" s="272"/>
      <c r="W42" s="272"/>
      <c r="X42" s="272"/>
      <c r="Y42" s="272"/>
      <c r="Z42" s="272"/>
      <c r="AA42" s="272"/>
    </row>
    <row r="43" spans="1:27">
      <c r="A43" s="273">
        <v>1</v>
      </c>
      <c r="B43" s="274" t="s">
        <v>4713</v>
      </c>
      <c r="C43" s="275">
        <v>45286</v>
      </c>
      <c r="D43" s="274" t="s">
        <v>4714</v>
      </c>
      <c r="E43" s="279" t="s">
        <v>4820</v>
      </c>
      <c r="F43" s="279" t="s">
        <v>4715</v>
      </c>
      <c r="G43" s="279" t="s">
        <v>4716</v>
      </c>
      <c r="H43" s="268" t="str">
        <f t="shared" si="0"/>
        <v>RAED MAQUED EL MAQUED</v>
      </c>
      <c r="I43" s="268" t="s">
        <v>4821</v>
      </c>
      <c r="J43" s="272" t="s">
        <v>4822</v>
      </c>
      <c r="K43" s="279" t="s">
        <v>4823</v>
      </c>
      <c r="L43" s="276">
        <v>45306</v>
      </c>
      <c r="M43" s="277"/>
      <c r="N43" s="282">
        <v>2</v>
      </c>
      <c r="O43" s="279" t="s">
        <v>4740</v>
      </c>
      <c r="P43" s="280">
        <v>3627.27</v>
      </c>
      <c r="Q43" s="281">
        <v>45286</v>
      </c>
      <c r="R43" s="272"/>
      <c r="S43" s="272"/>
      <c r="T43" s="272"/>
      <c r="U43" s="272"/>
      <c r="V43" s="272"/>
      <c r="W43" s="272"/>
      <c r="X43" s="272"/>
      <c r="Y43" s="272"/>
      <c r="Z43" s="272"/>
      <c r="AA43" s="272"/>
    </row>
    <row r="44" spans="1:27">
      <c r="A44" s="273">
        <v>1</v>
      </c>
      <c r="B44" s="274" t="s">
        <v>4713</v>
      </c>
      <c r="C44" s="275">
        <v>45247</v>
      </c>
      <c r="D44" s="274" t="s">
        <v>4714</v>
      </c>
      <c r="E44" s="268" t="s">
        <v>4759</v>
      </c>
      <c r="F44" s="268" t="s">
        <v>4724</v>
      </c>
      <c r="G44" s="268" t="s">
        <v>4725</v>
      </c>
      <c r="H44" s="268" t="str">
        <f t="shared" si="0"/>
        <v>MARINA MADRIGAL REVUELTA</v>
      </c>
      <c r="I44" s="268" t="s">
        <v>4824</v>
      </c>
      <c r="J44" s="272" t="s">
        <v>4747</v>
      </c>
      <c r="K44" s="268" t="s">
        <v>4825</v>
      </c>
      <c r="L44" s="276">
        <v>45306</v>
      </c>
      <c r="M44" s="277"/>
      <c r="N44" s="282">
        <v>2</v>
      </c>
      <c r="O44" s="284" t="s">
        <v>4740</v>
      </c>
      <c r="P44" s="280">
        <v>3977.27</v>
      </c>
      <c r="Q44" s="281">
        <v>45247</v>
      </c>
      <c r="R44" s="272"/>
      <c r="S44" s="272"/>
      <c r="T44" s="272"/>
      <c r="U44" s="272"/>
      <c r="V44" s="272"/>
      <c r="W44" s="272"/>
      <c r="X44" s="272"/>
      <c r="Y44" s="272"/>
      <c r="Z44" s="272"/>
      <c r="AA44" s="272"/>
    </row>
    <row r="45" spans="1:27">
      <c r="A45" s="273">
        <v>1</v>
      </c>
      <c r="B45" s="274" t="s">
        <v>4713</v>
      </c>
      <c r="C45" s="275">
        <v>45288</v>
      </c>
      <c r="D45" s="274" t="s">
        <v>4714</v>
      </c>
      <c r="E45" s="268" t="s">
        <v>4799</v>
      </c>
      <c r="F45" s="268" t="s">
        <v>4715</v>
      </c>
      <c r="G45" s="268" t="s">
        <v>4716</v>
      </c>
      <c r="H45" s="268" t="str">
        <f t="shared" si="0"/>
        <v>PILAR CASTRO RUIZ</v>
      </c>
      <c r="I45" s="268" t="s">
        <v>4800</v>
      </c>
      <c r="J45" s="272" t="s">
        <v>4790</v>
      </c>
      <c r="K45" s="268" t="s">
        <v>4826</v>
      </c>
      <c r="L45" s="276">
        <v>45306</v>
      </c>
      <c r="M45" s="277"/>
      <c r="N45" s="282">
        <v>2</v>
      </c>
      <c r="O45" s="284" t="s">
        <v>4723</v>
      </c>
      <c r="P45" s="280">
        <v>3000</v>
      </c>
      <c r="Q45" s="281">
        <v>45288</v>
      </c>
      <c r="R45" s="272"/>
      <c r="S45" s="272"/>
      <c r="T45" s="272"/>
      <c r="U45" s="272"/>
      <c r="V45" s="272"/>
      <c r="W45" s="272"/>
      <c r="X45" s="272"/>
      <c r="Y45" s="272"/>
      <c r="Z45" s="272"/>
      <c r="AA45" s="272"/>
    </row>
    <row r="46" spans="1:27">
      <c r="A46" s="273">
        <v>1</v>
      </c>
      <c r="B46" s="274" t="s">
        <v>4713</v>
      </c>
      <c r="C46" s="275">
        <v>45250</v>
      </c>
      <c r="D46" s="274" t="s">
        <v>4714</v>
      </c>
      <c r="E46" s="268" t="s">
        <v>4827</v>
      </c>
      <c r="F46" s="268" t="s">
        <v>4715</v>
      </c>
      <c r="G46" s="268" t="s">
        <v>4716</v>
      </c>
      <c r="H46" s="268" t="str">
        <f t="shared" si="0"/>
        <v>CARLOS VIDAL REDONDO</v>
      </c>
      <c r="I46" s="268" t="s">
        <v>4828</v>
      </c>
      <c r="J46" s="272" t="s">
        <v>4790</v>
      </c>
      <c r="K46" s="268" t="s">
        <v>4829</v>
      </c>
      <c r="L46" s="276">
        <v>45307</v>
      </c>
      <c r="M46" s="277"/>
      <c r="N46" s="278">
        <v>2</v>
      </c>
      <c r="O46" s="279" t="s">
        <v>4723</v>
      </c>
      <c r="P46" s="280">
        <v>2700</v>
      </c>
      <c r="Q46" s="281">
        <v>45250</v>
      </c>
      <c r="R46" s="272"/>
      <c r="S46" s="272"/>
      <c r="T46" s="272"/>
      <c r="U46" s="272"/>
      <c r="V46" s="272"/>
      <c r="W46" s="272"/>
      <c r="X46" s="272"/>
      <c r="Y46" s="272"/>
      <c r="Z46" s="272"/>
      <c r="AA46" s="272"/>
    </row>
    <row r="47" spans="1:27">
      <c r="A47" s="273">
        <v>1</v>
      </c>
      <c r="B47" s="274" t="s">
        <v>4713</v>
      </c>
      <c r="C47" s="275">
        <v>45261</v>
      </c>
      <c r="D47" s="274" t="s">
        <v>4714</v>
      </c>
      <c r="E47" s="268" t="s">
        <v>3480</v>
      </c>
      <c r="F47" s="268" t="s">
        <v>4715</v>
      </c>
      <c r="G47" s="268" t="s">
        <v>4716</v>
      </c>
      <c r="H47" s="268" t="str">
        <f t="shared" si="0"/>
        <v>ADOLFO TOLEDANO MUÑOZ</v>
      </c>
      <c r="I47" s="268" t="s">
        <v>4830</v>
      </c>
      <c r="J47" s="272" t="s">
        <v>4718</v>
      </c>
      <c r="K47" s="268" t="s">
        <v>4831</v>
      </c>
      <c r="L47" s="276">
        <v>45307</v>
      </c>
      <c r="M47" s="283"/>
      <c r="N47" s="282">
        <v>2</v>
      </c>
      <c r="O47" s="279" t="s">
        <v>4720</v>
      </c>
      <c r="P47" s="280">
        <v>3424.32</v>
      </c>
      <c r="Q47" s="281">
        <v>45261</v>
      </c>
      <c r="R47" s="272"/>
      <c r="S47" s="272"/>
      <c r="T47" s="272"/>
      <c r="U47" s="272"/>
      <c r="V47" s="272"/>
      <c r="W47" s="272"/>
      <c r="X47" s="272"/>
      <c r="Y47" s="272"/>
      <c r="Z47" s="272"/>
      <c r="AA47" s="272"/>
    </row>
    <row r="48" spans="1:27">
      <c r="A48" s="273">
        <v>1</v>
      </c>
      <c r="B48" s="274" t="s">
        <v>4713</v>
      </c>
      <c r="C48" s="275">
        <v>45260</v>
      </c>
      <c r="D48" s="274" t="s">
        <v>4714</v>
      </c>
      <c r="E48" s="268" t="s">
        <v>2893</v>
      </c>
      <c r="F48" s="268" t="s">
        <v>4715</v>
      </c>
      <c r="G48" s="268" t="s">
        <v>4716</v>
      </c>
      <c r="H48" s="268" t="str">
        <f t="shared" si="0"/>
        <v>VICENTE MARTÍNEZ SANTOS</v>
      </c>
      <c r="I48" s="268" t="s">
        <v>4832</v>
      </c>
      <c r="J48" s="272" t="s">
        <v>4718</v>
      </c>
      <c r="K48" s="268" t="s">
        <v>4833</v>
      </c>
      <c r="L48" s="276">
        <v>45307</v>
      </c>
      <c r="M48" s="277"/>
      <c r="N48" s="282">
        <v>2</v>
      </c>
      <c r="O48" s="279" t="s">
        <v>4720</v>
      </c>
      <c r="P48" s="280">
        <v>3604.55</v>
      </c>
      <c r="Q48" s="281">
        <v>45260</v>
      </c>
      <c r="R48" s="272"/>
      <c r="S48" s="272"/>
      <c r="T48" s="272"/>
      <c r="U48" s="272"/>
      <c r="V48" s="272"/>
      <c r="W48" s="272"/>
      <c r="X48" s="272"/>
      <c r="Y48" s="272"/>
      <c r="Z48" s="272"/>
      <c r="AA48" s="272"/>
    </row>
    <row r="49" spans="1:27">
      <c r="A49" s="273">
        <v>1</v>
      </c>
      <c r="B49" s="274" t="s">
        <v>4713</v>
      </c>
      <c r="C49" s="275">
        <v>45253</v>
      </c>
      <c r="D49" s="274" t="s">
        <v>4714</v>
      </c>
      <c r="E49" s="279" t="s">
        <v>3861</v>
      </c>
      <c r="F49" s="279" t="s">
        <v>4715</v>
      </c>
      <c r="G49" s="279" t="s">
        <v>4716</v>
      </c>
      <c r="H49" s="268" t="str">
        <f t="shared" si="0"/>
        <v>JOSÉ GUSTAVO BARROSO BRAOJOS</v>
      </c>
      <c r="I49" s="268" t="s">
        <v>4834</v>
      </c>
      <c r="J49" s="272" t="s">
        <v>4718</v>
      </c>
      <c r="K49" s="279" t="s">
        <v>4835</v>
      </c>
      <c r="L49" s="276">
        <v>45307</v>
      </c>
      <c r="M49" s="277"/>
      <c r="N49" s="282">
        <v>2</v>
      </c>
      <c r="O49" s="279" t="s">
        <v>4720</v>
      </c>
      <c r="P49" s="280">
        <v>2636.36</v>
      </c>
      <c r="Q49" s="281">
        <v>45253</v>
      </c>
      <c r="R49" s="272"/>
      <c r="S49" s="272"/>
      <c r="T49" s="272"/>
      <c r="U49" s="272"/>
      <c r="V49" s="272"/>
      <c r="W49" s="272"/>
      <c r="X49" s="272"/>
      <c r="Y49" s="272"/>
      <c r="Z49" s="272"/>
      <c r="AA49" s="272"/>
    </row>
    <row r="50" spans="1:27">
      <c r="A50" s="273">
        <v>1</v>
      </c>
      <c r="B50" s="274" t="s">
        <v>4713</v>
      </c>
      <c r="C50" s="275">
        <v>45286</v>
      </c>
      <c r="D50" s="274" t="s">
        <v>4714</v>
      </c>
      <c r="E50" s="268" t="s">
        <v>3043</v>
      </c>
      <c r="F50" s="268" t="s">
        <v>4715</v>
      </c>
      <c r="G50" s="268" t="s">
        <v>4716</v>
      </c>
      <c r="H50" s="268" t="str">
        <f t="shared" si="0"/>
        <v>ANTONIO BUENO RÍOS</v>
      </c>
      <c r="I50" s="268" t="s">
        <v>4793</v>
      </c>
      <c r="J50" s="272" t="s">
        <v>4751</v>
      </c>
      <c r="K50" s="268" t="s">
        <v>4836</v>
      </c>
      <c r="L50" s="276">
        <v>45307</v>
      </c>
      <c r="M50" s="283"/>
      <c r="N50" s="278">
        <v>2</v>
      </c>
      <c r="O50" s="279" t="s">
        <v>4720</v>
      </c>
      <c r="P50" s="280">
        <v>3081.82</v>
      </c>
      <c r="Q50" s="281">
        <v>45286</v>
      </c>
      <c r="R50" s="272"/>
      <c r="S50" s="272"/>
      <c r="T50" s="272"/>
      <c r="U50" s="272"/>
      <c r="V50" s="272"/>
      <c r="W50" s="272"/>
      <c r="X50" s="272"/>
      <c r="Y50" s="272"/>
      <c r="Z50" s="272"/>
      <c r="AA50" s="272"/>
    </row>
    <row r="51" spans="1:27">
      <c r="A51" s="273">
        <v>1</v>
      </c>
      <c r="B51" s="274" t="s">
        <v>4713</v>
      </c>
      <c r="C51" s="275">
        <v>45216</v>
      </c>
      <c r="D51" s="274" t="s">
        <v>4714</v>
      </c>
      <c r="E51" s="268" t="s">
        <v>4837</v>
      </c>
      <c r="F51" s="268" t="s">
        <v>4715</v>
      </c>
      <c r="G51" s="268" t="s">
        <v>4716</v>
      </c>
      <c r="H51" s="268" t="str">
        <f t="shared" si="0"/>
        <v>MARÍA TERESA HERRERA MERA</v>
      </c>
      <c r="I51" s="268" t="s">
        <v>4838</v>
      </c>
      <c r="J51" s="268" t="s">
        <v>4718</v>
      </c>
      <c r="K51" s="268" t="s">
        <v>4839</v>
      </c>
      <c r="L51" s="276">
        <v>45307</v>
      </c>
      <c r="M51" s="277"/>
      <c r="N51" s="282">
        <v>1</v>
      </c>
      <c r="O51" s="279" t="s">
        <v>4720</v>
      </c>
      <c r="P51" s="280">
        <v>2162.73</v>
      </c>
      <c r="Q51" s="281">
        <v>45216</v>
      </c>
      <c r="R51" s="272"/>
      <c r="S51" s="272"/>
      <c r="T51" s="272"/>
      <c r="U51" s="272"/>
      <c r="V51" s="272"/>
      <c r="W51" s="272"/>
      <c r="X51" s="272"/>
      <c r="Y51" s="272"/>
      <c r="Z51" s="272"/>
      <c r="AA51" s="272"/>
    </row>
    <row r="52" spans="1:27">
      <c r="A52" s="273">
        <v>1</v>
      </c>
      <c r="B52" s="274" t="s">
        <v>4713</v>
      </c>
      <c r="C52" s="275">
        <v>45219</v>
      </c>
      <c r="D52" s="274" t="s">
        <v>4714</v>
      </c>
      <c r="E52" s="268" t="s">
        <v>2869</v>
      </c>
      <c r="F52" s="268" t="s">
        <v>4715</v>
      </c>
      <c r="G52" s="268" t="s">
        <v>4716</v>
      </c>
      <c r="H52" s="268" t="str">
        <f t="shared" si="0"/>
        <v>MARÍA AGUSTINA SEVILLA GARCÍA</v>
      </c>
      <c r="I52" s="268" t="s">
        <v>4812</v>
      </c>
      <c r="J52" s="272" t="s">
        <v>4736</v>
      </c>
      <c r="K52" s="268" t="s">
        <v>4840</v>
      </c>
      <c r="L52" s="276">
        <v>45307</v>
      </c>
      <c r="M52" s="277"/>
      <c r="N52" s="282">
        <v>2</v>
      </c>
      <c r="O52" s="279" t="s">
        <v>4720</v>
      </c>
      <c r="P52" s="280">
        <v>3604.5</v>
      </c>
      <c r="Q52" s="281">
        <v>45219</v>
      </c>
      <c r="R52" s="272"/>
      <c r="S52" s="272"/>
      <c r="T52" s="272"/>
      <c r="U52" s="272"/>
      <c r="V52" s="272"/>
      <c r="W52" s="272"/>
      <c r="X52" s="272"/>
      <c r="Y52" s="272"/>
      <c r="Z52" s="272"/>
      <c r="AA52" s="272"/>
    </row>
    <row r="53" spans="1:27">
      <c r="A53" s="273">
        <v>1</v>
      </c>
      <c r="B53" s="274" t="s">
        <v>4713</v>
      </c>
      <c r="C53" s="275">
        <v>45267</v>
      </c>
      <c r="D53" s="274" t="s">
        <v>4714</v>
      </c>
      <c r="E53" s="268" t="s">
        <v>2869</v>
      </c>
      <c r="F53" s="268" t="s">
        <v>4715</v>
      </c>
      <c r="G53" s="268" t="s">
        <v>4716</v>
      </c>
      <c r="H53" s="268" t="str">
        <f t="shared" si="0"/>
        <v>VANIA NOVOA JUIZ</v>
      </c>
      <c r="I53" s="268" t="s">
        <v>4841</v>
      </c>
      <c r="J53" s="272" t="s">
        <v>4736</v>
      </c>
      <c r="K53" s="268" t="s">
        <v>4842</v>
      </c>
      <c r="L53" s="276">
        <v>45307</v>
      </c>
      <c r="M53" s="277"/>
      <c r="N53" s="282">
        <v>2</v>
      </c>
      <c r="O53" s="279" t="s">
        <v>4720</v>
      </c>
      <c r="P53" s="280">
        <v>3604.55</v>
      </c>
      <c r="Q53" s="281">
        <v>45267</v>
      </c>
      <c r="R53" s="272"/>
      <c r="S53" s="272"/>
      <c r="T53" s="272"/>
      <c r="U53" s="272"/>
      <c r="V53" s="272"/>
      <c r="W53" s="272"/>
      <c r="X53" s="272"/>
      <c r="Y53" s="272"/>
      <c r="Z53" s="272"/>
      <c r="AA53" s="272"/>
    </row>
    <row r="54" spans="1:27">
      <c r="A54" s="273">
        <v>1</v>
      </c>
      <c r="B54" s="274" t="s">
        <v>4713</v>
      </c>
      <c r="C54" s="275">
        <v>45264</v>
      </c>
      <c r="D54" s="274" t="s">
        <v>4714</v>
      </c>
      <c r="E54" s="268" t="s">
        <v>2869</v>
      </c>
      <c r="F54" s="268" t="s">
        <v>4715</v>
      </c>
      <c r="G54" s="268" t="s">
        <v>4716</v>
      </c>
      <c r="H54" s="268" t="str">
        <f t="shared" si="0"/>
        <v>MARÍA AGUSTINA SEVILLA GARCÍA</v>
      </c>
      <c r="I54" s="268" t="s">
        <v>4812</v>
      </c>
      <c r="J54" s="268" t="s">
        <v>4736</v>
      </c>
      <c r="K54" s="268" t="s">
        <v>4843</v>
      </c>
      <c r="L54" s="276">
        <v>45307</v>
      </c>
      <c r="M54" s="277"/>
      <c r="N54" s="278">
        <v>1</v>
      </c>
      <c r="O54" s="279" t="s">
        <v>4720</v>
      </c>
      <c r="P54" s="280">
        <v>2054.5500000000002</v>
      </c>
      <c r="Q54" s="281">
        <v>45264</v>
      </c>
      <c r="R54" s="272"/>
      <c r="S54" s="272"/>
      <c r="T54" s="272"/>
      <c r="U54" s="272"/>
      <c r="V54" s="272"/>
      <c r="W54" s="272"/>
      <c r="X54" s="272"/>
      <c r="Y54" s="272"/>
      <c r="Z54" s="272"/>
      <c r="AA54" s="272"/>
    </row>
    <row r="55" spans="1:27">
      <c r="A55" s="273">
        <v>1</v>
      </c>
      <c r="B55" s="274" t="s">
        <v>4713</v>
      </c>
      <c r="C55" s="275">
        <v>45258</v>
      </c>
      <c r="D55" s="274" t="s">
        <v>4714</v>
      </c>
      <c r="E55" s="268" t="s">
        <v>4780</v>
      </c>
      <c r="F55" s="268" t="s">
        <v>4715</v>
      </c>
      <c r="G55" s="268" t="s">
        <v>4716</v>
      </c>
      <c r="H55" s="268" t="str">
        <f t="shared" si="0"/>
        <v>MARÍA JESÚS CORNEJO DOMÍNGUEZ</v>
      </c>
      <c r="I55" s="268" t="s">
        <v>4781</v>
      </c>
      <c r="J55" s="272" t="s">
        <v>4747</v>
      </c>
      <c r="K55" s="268" t="s">
        <v>4844</v>
      </c>
      <c r="L55" s="276">
        <v>45307</v>
      </c>
      <c r="M55" s="283"/>
      <c r="N55" s="278">
        <v>2</v>
      </c>
      <c r="O55" s="284" t="s">
        <v>4720</v>
      </c>
      <c r="P55" s="280">
        <v>3604.55</v>
      </c>
      <c r="Q55" s="281">
        <v>45258</v>
      </c>
      <c r="R55" s="272"/>
      <c r="S55" s="272"/>
      <c r="T55" s="272"/>
      <c r="U55" s="272"/>
      <c r="V55" s="272"/>
      <c r="W55" s="272"/>
      <c r="X55" s="272"/>
      <c r="Y55" s="272"/>
      <c r="Z55" s="272"/>
      <c r="AA55" s="272"/>
    </row>
    <row r="56" spans="1:27">
      <c r="A56" s="273">
        <v>1</v>
      </c>
      <c r="B56" s="274" t="s">
        <v>4713</v>
      </c>
      <c r="C56" s="275">
        <v>45288</v>
      </c>
      <c r="D56" s="274" t="s">
        <v>4714</v>
      </c>
      <c r="E56" s="268" t="s">
        <v>4845</v>
      </c>
      <c r="F56" s="268" t="s">
        <v>4715</v>
      </c>
      <c r="G56" s="268" t="s">
        <v>4716</v>
      </c>
      <c r="H56" s="268" t="str">
        <f t="shared" si="0"/>
        <v>JESÚS JOSÉ FRAILE RODRIGO</v>
      </c>
      <c r="I56" s="268" t="s">
        <v>4846</v>
      </c>
      <c r="J56" s="272" t="s">
        <v>4806</v>
      </c>
      <c r="K56" s="268" t="s">
        <v>4847</v>
      </c>
      <c r="L56" s="276">
        <v>45307</v>
      </c>
      <c r="M56" s="277"/>
      <c r="N56" s="282">
        <v>2</v>
      </c>
      <c r="O56" s="284" t="s">
        <v>4720</v>
      </c>
      <c r="P56" s="280">
        <v>3424.55</v>
      </c>
      <c r="Q56" s="281">
        <v>45288</v>
      </c>
      <c r="R56" s="272"/>
      <c r="S56" s="272"/>
      <c r="T56" s="272"/>
      <c r="U56" s="272"/>
      <c r="V56" s="272"/>
      <c r="W56" s="272"/>
      <c r="X56" s="272"/>
      <c r="Y56" s="272"/>
      <c r="Z56" s="272"/>
      <c r="AA56" s="272"/>
    </row>
    <row r="57" spans="1:27">
      <c r="A57" s="273">
        <v>1</v>
      </c>
      <c r="B57" s="274" t="s">
        <v>4713</v>
      </c>
      <c r="C57" s="275">
        <v>45271</v>
      </c>
      <c r="D57" s="274" t="s">
        <v>4714</v>
      </c>
      <c r="E57" s="268" t="s">
        <v>4194</v>
      </c>
      <c r="F57" s="268" t="s">
        <v>4715</v>
      </c>
      <c r="G57" s="268" t="s">
        <v>4716</v>
      </c>
      <c r="H57" s="268" t="str">
        <f t="shared" si="0"/>
        <v>ALICIA MATEO ESPINOSA</v>
      </c>
      <c r="I57" s="268" t="s">
        <v>4848</v>
      </c>
      <c r="J57" s="272" t="s">
        <v>4736</v>
      </c>
      <c r="K57" s="268" t="s">
        <v>4849</v>
      </c>
      <c r="L57" s="276">
        <v>45308</v>
      </c>
      <c r="M57" s="277"/>
      <c r="N57" s="282">
        <v>2</v>
      </c>
      <c r="O57" s="279" t="s">
        <v>4720</v>
      </c>
      <c r="P57" s="280">
        <v>3604.55</v>
      </c>
      <c r="Q57" s="281">
        <v>45271</v>
      </c>
      <c r="R57" s="272"/>
      <c r="S57" s="272"/>
      <c r="T57" s="272"/>
      <c r="U57" s="272"/>
      <c r="V57" s="272"/>
      <c r="W57" s="272"/>
      <c r="X57" s="272"/>
      <c r="Y57" s="272"/>
      <c r="Z57" s="272"/>
      <c r="AA57" s="272"/>
    </row>
    <row r="58" spans="1:27">
      <c r="A58" s="273">
        <v>1</v>
      </c>
      <c r="B58" s="274" t="s">
        <v>4713</v>
      </c>
      <c r="C58" s="275">
        <v>45273</v>
      </c>
      <c r="D58" s="274" t="s">
        <v>4714</v>
      </c>
      <c r="E58" s="268" t="s">
        <v>3480</v>
      </c>
      <c r="F58" s="268" t="s">
        <v>4715</v>
      </c>
      <c r="G58" s="268" t="s">
        <v>4716</v>
      </c>
      <c r="H58" s="268" t="str">
        <f t="shared" si="0"/>
        <v>VICTORIA GARCÍA PECES</v>
      </c>
      <c r="I58" s="268" t="s">
        <v>4762</v>
      </c>
      <c r="J58" s="272" t="s">
        <v>4718</v>
      </c>
      <c r="K58" s="268" t="s">
        <v>4850</v>
      </c>
      <c r="L58" s="276">
        <v>45308</v>
      </c>
      <c r="M58" s="277"/>
      <c r="N58" s="282">
        <v>1</v>
      </c>
      <c r="O58" s="279" t="s">
        <v>4720</v>
      </c>
      <c r="P58" s="280">
        <v>2162.73</v>
      </c>
      <c r="Q58" s="281">
        <v>45273</v>
      </c>
      <c r="R58" s="272"/>
      <c r="S58" s="272"/>
      <c r="T58" s="272"/>
      <c r="U58" s="272"/>
      <c r="V58" s="272"/>
      <c r="W58" s="272"/>
      <c r="X58" s="272"/>
      <c r="Y58" s="272"/>
      <c r="Z58" s="272"/>
      <c r="AA58" s="272"/>
    </row>
    <row r="59" spans="1:27">
      <c r="A59" s="273">
        <v>1</v>
      </c>
      <c r="B59" s="274" t="s">
        <v>4713</v>
      </c>
      <c r="C59" s="275">
        <v>45239</v>
      </c>
      <c r="D59" s="274" t="s">
        <v>4714</v>
      </c>
      <c r="E59" s="268" t="s">
        <v>4749</v>
      </c>
      <c r="F59" s="268" t="s">
        <v>4715</v>
      </c>
      <c r="G59" s="268" t="s">
        <v>4716</v>
      </c>
      <c r="H59" s="268" t="str">
        <f t="shared" si="0"/>
        <v>MÓNICA GRANDA ROSALES</v>
      </c>
      <c r="I59" s="268" t="s">
        <v>4750</v>
      </c>
      <c r="J59" s="272" t="s">
        <v>4751</v>
      </c>
      <c r="K59" s="268" t="s">
        <v>4851</v>
      </c>
      <c r="L59" s="276">
        <v>45308</v>
      </c>
      <c r="M59" s="283"/>
      <c r="N59" s="282">
        <v>2</v>
      </c>
      <c r="O59" s="284" t="s">
        <v>4723</v>
      </c>
      <c r="P59" s="280">
        <v>2727.27</v>
      </c>
      <c r="Q59" s="281">
        <v>45239</v>
      </c>
      <c r="R59" s="272"/>
      <c r="S59" s="272"/>
      <c r="T59" s="272"/>
      <c r="U59" s="272"/>
      <c r="V59" s="272"/>
      <c r="W59" s="272"/>
      <c r="X59" s="272"/>
      <c r="Y59" s="272"/>
      <c r="Z59" s="272"/>
      <c r="AA59" s="272"/>
    </row>
    <row r="60" spans="1:27">
      <c r="A60" s="273">
        <v>1</v>
      </c>
      <c r="B60" s="274" t="s">
        <v>4713</v>
      </c>
      <c r="C60" s="275">
        <v>45286</v>
      </c>
      <c r="D60" s="274" t="s">
        <v>4714</v>
      </c>
      <c r="E60" s="268" t="s">
        <v>2886</v>
      </c>
      <c r="F60" s="268" t="s">
        <v>4715</v>
      </c>
      <c r="G60" s="268" t="s">
        <v>4716</v>
      </c>
      <c r="H60" s="268" t="str">
        <f t="shared" si="0"/>
        <v>MARÍA GARROTE GARROTE</v>
      </c>
      <c r="I60" s="268" t="s">
        <v>4721</v>
      </c>
      <c r="J60" s="268" t="s">
        <v>4718</v>
      </c>
      <c r="K60" s="268" t="s">
        <v>4852</v>
      </c>
      <c r="L60" s="276">
        <v>45308</v>
      </c>
      <c r="M60" s="277"/>
      <c r="N60" s="282">
        <v>2</v>
      </c>
      <c r="O60" s="284" t="s">
        <v>4723</v>
      </c>
      <c r="P60" s="280">
        <v>2780.91</v>
      </c>
      <c r="Q60" s="281">
        <v>45286</v>
      </c>
      <c r="R60" s="272"/>
      <c r="S60" s="272"/>
      <c r="T60" s="272"/>
      <c r="U60" s="272"/>
      <c r="V60" s="272"/>
      <c r="W60" s="272"/>
      <c r="X60" s="272"/>
      <c r="Y60" s="272"/>
      <c r="Z60" s="272"/>
      <c r="AA60" s="272"/>
    </row>
    <row r="61" spans="1:27">
      <c r="A61" s="273">
        <v>1</v>
      </c>
      <c r="B61" s="274" t="s">
        <v>4713</v>
      </c>
      <c r="C61" s="275">
        <v>45280</v>
      </c>
      <c r="D61" s="274" t="s">
        <v>4714</v>
      </c>
      <c r="E61" s="268" t="s">
        <v>2886</v>
      </c>
      <c r="F61" s="268" t="s">
        <v>4715</v>
      </c>
      <c r="G61" s="268" t="s">
        <v>4716</v>
      </c>
      <c r="H61" s="268" t="str">
        <f t="shared" si="0"/>
        <v>PALOMA PINACHO MARTÍNEZ</v>
      </c>
      <c r="I61" s="268" t="s">
        <v>4853</v>
      </c>
      <c r="J61" s="272" t="s">
        <v>4718</v>
      </c>
      <c r="K61" s="268" t="s">
        <v>4854</v>
      </c>
      <c r="L61" s="276">
        <v>45309</v>
      </c>
      <c r="M61" s="277"/>
      <c r="N61" s="282">
        <v>1</v>
      </c>
      <c r="O61" s="284" t="s">
        <v>4720</v>
      </c>
      <c r="P61" s="280">
        <v>2162.73</v>
      </c>
      <c r="Q61" s="281">
        <v>45280</v>
      </c>
      <c r="R61" s="272"/>
      <c r="S61" s="272"/>
      <c r="T61" s="272"/>
      <c r="U61" s="272"/>
      <c r="V61" s="272"/>
      <c r="W61" s="272"/>
      <c r="X61" s="272"/>
      <c r="Y61" s="272"/>
      <c r="Z61" s="272"/>
      <c r="AA61" s="272"/>
    </row>
    <row r="62" spans="1:27">
      <c r="A62" s="273">
        <v>1</v>
      </c>
      <c r="B62" s="274" t="s">
        <v>4713</v>
      </c>
      <c r="C62" s="275">
        <v>45279</v>
      </c>
      <c r="D62" s="274" t="s">
        <v>4714</v>
      </c>
      <c r="E62" s="279" t="s">
        <v>2886</v>
      </c>
      <c r="F62" s="279" t="s">
        <v>4715</v>
      </c>
      <c r="G62" s="279" t="s">
        <v>4716</v>
      </c>
      <c r="H62" s="268" t="str">
        <f t="shared" si="0"/>
        <v>LORENA SANZ LÓPEZ</v>
      </c>
      <c r="I62" s="268" t="s">
        <v>4808</v>
      </c>
      <c r="J62" s="268" t="s">
        <v>4718</v>
      </c>
      <c r="K62" s="279" t="s">
        <v>4855</v>
      </c>
      <c r="L62" s="276">
        <v>45309</v>
      </c>
      <c r="M62" s="277"/>
      <c r="N62" s="282">
        <v>2</v>
      </c>
      <c r="O62" s="284" t="s">
        <v>4720</v>
      </c>
      <c r="P62" s="280">
        <v>3604.55</v>
      </c>
      <c r="Q62" s="281">
        <v>45279</v>
      </c>
      <c r="R62" s="272"/>
      <c r="S62" s="272"/>
      <c r="T62" s="272"/>
      <c r="U62" s="272"/>
      <c r="V62" s="272"/>
      <c r="W62" s="272"/>
      <c r="X62" s="272"/>
      <c r="Y62" s="272"/>
      <c r="Z62" s="272"/>
      <c r="AA62" s="272"/>
    </row>
    <row r="63" spans="1:27">
      <c r="A63" s="273">
        <v>1</v>
      </c>
      <c r="B63" s="274" t="s">
        <v>4713</v>
      </c>
      <c r="C63" s="275">
        <v>44907</v>
      </c>
      <c r="D63" s="274" t="s">
        <v>4714</v>
      </c>
      <c r="E63" s="268" t="s">
        <v>4856</v>
      </c>
      <c r="F63" s="268" t="s">
        <v>4715</v>
      </c>
      <c r="G63" s="268" t="s">
        <v>4857</v>
      </c>
      <c r="H63" s="268" t="str">
        <f t="shared" si="0"/>
        <v>MERCEDES ÁLVAREZ-BUYLLA BLANCO</v>
      </c>
      <c r="I63" s="268" t="s">
        <v>4858</v>
      </c>
      <c r="J63" s="272" t="s">
        <v>4790</v>
      </c>
      <c r="K63" s="268" t="s">
        <v>4859</v>
      </c>
      <c r="L63" s="276">
        <v>45310</v>
      </c>
      <c r="M63" s="277" t="s">
        <v>4860</v>
      </c>
      <c r="N63" s="278">
        <v>2</v>
      </c>
      <c r="O63" s="279" t="s">
        <v>4861</v>
      </c>
      <c r="P63" s="280">
        <v>3109.09</v>
      </c>
      <c r="Q63" s="281">
        <v>44907</v>
      </c>
      <c r="R63" s="272"/>
      <c r="S63" s="272"/>
      <c r="T63" s="272"/>
      <c r="U63" s="272"/>
      <c r="V63" s="272"/>
      <c r="W63" s="272"/>
      <c r="X63" s="272"/>
      <c r="Y63" s="272"/>
      <c r="Z63" s="272"/>
      <c r="AA63" s="272"/>
    </row>
    <row r="64" spans="1:27">
      <c r="A64" s="273">
        <v>1</v>
      </c>
      <c r="B64" s="274" t="s">
        <v>4713</v>
      </c>
      <c r="C64" s="275">
        <v>45259</v>
      </c>
      <c r="D64" s="274" t="s">
        <v>4714</v>
      </c>
      <c r="E64" s="268" t="s">
        <v>2929</v>
      </c>
      <c r="F64" s="268" t="s">
        <v>4715</v>
      </c>
      <c r="G64" s="268" t="s">
        <v>4716</v>
      </c>
      <c r="H64" s="268" t="str">
        <f t="shared" si="0"/>
        <v>GARCÍA DOMÍNGUEZ</v>
      </c>
      <c r="I64" s="268" t="s">
        <v>4862</v>
      </c>
      <c r="J64" s="272" t="s">
        <v>4718</v>
      </c>
      <c r="K64" s="268" t="s">
        <v>4863</v>
      </c>
      <c r="L64" s="276">
        <v>45310</v>
      </c>
      <c r="M64" s="283"/>
      <c r="N64" s="282">
        <v>2</v>
      </c>
      <c r="O64" s="279" t="s">
        <v>4740</v>
      </c>
      <c r="P64" s="280">
        <v>4011.59</v>
      </c>
      <c r="Q64" s="281">
        <v>45259</v>
      </c>
      <c r="R64" s="272"/>
      <c r="S64" s="272"/>
      <c r="T64" s="272"/>
      <c r="U64" s="272"/>
      <c r="V64" s="272"/>
      <c r="W64" s="272"/>
      <c r="X64" s="272"/>
      <c r="Y64" s="272"/>
      <c r="Z64" s="272"/>
      <c r="AA64" s="272"/>
    </row>
    <row r="65" spans="1:27">
      <c r="A65" s="273">
        <v>1</v>
      </c>
      <c r="B65" s="274" t="s">
        <v>4713</v>
      </c>
      <c r="C65" s="275">
        <v>45215</v>
      </c>
      <c r="D65" s="274" t="s">
        <v>4714</v>
      </c>
      <c r="E65" s="268" t="s">
        <v>4745</v>
      </c>
      <c r="F65" s="268" t="s">
        <v>4715</v>
      </c>
      <c r="G65" s="268" t="s">
        <v>4716</v>
      </c>
      <c r="H65" s="268" t="str">
        <f t="shared" si="0"/>
        <v>MANUEL ACUÑA GARCÍA</v>
      </c>
      <c r="I65" s="268" t="s">
        <v>4746</v>
      </c>
      <c r="J65" s="272" t="s">
        <v>4747</v>
      </c>
      <c r="K65" s="268" t="s">
        <v>4864</v>
      </c>
      <c r="L65" s="276">
        <v>45310</v>
      </c>
      <c r="M65" s="277"/>
      <c r="N65" s="282">
        <v>2</v>
      </c>
      <c r="O65" s="284" t="s">
        <v>4787</v>
      </c>
      <c r="P65" s="280">
        <v>4205.45</v>
      </c>
      <c r="Q65" s="281">
        <v>45215</v>
      </c>
      <c r="R65" s="272"/>
      <c r="S65" s="272"/>
      <c r="T65" s="272"/>
      <c r="U65" s="272"/>
      <c r="V65" s="272"/>
      <c r="W65" s="272"/>
      <c r="X65" s="272"/>
      <c r="Y65" s="272"/>
      <c r="Z65" s="272"/>
      <c r="AA65" s="272"/>
    </row>
    <row r="66" spans="1:27">
      <c r="A66" s="273">
        <v>1</v>
      </c>
      <c r="B66" s="274" t="s">
        <v>4713</v>
      </c>
      <c r="C66" s="275">
        <v>45275</v>
      </c>
      <c r="D66" s="274" t="s">
        <v>4714</v>
      </c>
      <c r="E66" s="268" t="s">
        <v>2916</v>
      </c>
      <c r="F66" s="268" t="s">
        <v>4715</v>
      </c>
      <c r="G66" s="268" t="s">
        <v>4716</v>
      </c>
      <c r="H66" s="268" t="str">
        <f t="shared" si="0"/>
        <v>JESUS-MARIA GRASA PÉREZ</v>
      </c>
      <c r="I66" s="268" t="s">
        <v>4865</v>
      </c>
      <c r="J66" s="272" t="s">
        <v>4806</v>
      </c>
      <c r="K66" s="268" t="s">
        <v>4866</v>
      </c>
      <c r="L66" s="276">
        <v>45313</v>
      </c>
      <c r="M66" s="277"/>
      <c r="N66" s="282">
        <v>2</v>
      </c>
      <c r="O66" s="279" t="s">
        <v>4720</v>
      </c>
      <c r="P66" s="280">
        <v>3604.55</v>
      </c>
      <c r="Q66" s="281">
        <v>45275</v>
      </c>
      <c r="R66" s="272"/>
      <c r="S66" s="272"/>
      <c r="T66" s="272"/>
      <c r="U66" s="272"/>
      <c r="V66" s="272"/>
      <c r="W66" s="272"/>
      <c r="X66" s="272"/>
      <c r="Y66" s="272"/>
      <c r="Z66" s="272"/>
      <c r="AA66" s="272"/>
    </row>
    <row r="67" spans="1:27">
      <c r="A67" s="273">
        <v>1</v>
      </c>
      <c r="B67" s="274" t="s">
        <v>4713</v>
      </c>
      <c r="C67" s="275">
        <v>45257</v>
      </c>
      <c r="D67" s="274" t="s">
        <v>4714</v>
      </c>
      <c r="E67" s="268" t="s">
        <v>4775</v>
      </c>
      <c r="F67" s="268" t="s">
        <v>4715</v>
      </c>
      <c r="G67" s="268" t="s">
        <v>4716</v>
      </c>
      <c r="H67" s="268" t="str">
        <f t="shared" si="0"/>
        <v>FERNANDO SALAZAR BARCELONA</v>
      </c>
      <c r="I67" s="268" t="s">
        <v>4776</v>
      </c>
      <c r="J67" s="272" t="s">
        <v>4751</v>
      </c>
      <c r="K67" s="268" t="s">
        <v>4867</v>
      </c>
      <c r="L67" s="276">
        <v>45313</v>
      </c>
      <c r="M67" s="277"/>
      <c r="N67" s="282">
        <v>2</v>
      </c>
      <c r="O67" s="279" t="s">
        <v>4720</v>
      </c>
      <c r="P67" s="280">
        <v>3272.73</v>
      </c>
      <c r="Q67" s="281">
        <v>45257</v>
      </c>
      <c r="R67" s="272"/>
      <c r="S67" s="272"/>
      <c r="T67" s="272"/>
      <c r="U67" s="272"/>
      <c r="V67" s="272"/>
      <c r="W67" s="272"/>
      <c r="X67" s="272"/>
      <c r="Y67" s="272"/>
      <c r="Z67" s="272"/>
      <c r="AA67" s="272"/>
    </row>
    <row r="68" spans="1:27">
      <c r="A68" s="273">
        <v>1</v>
      </c>
      <c r="B68" s="274" t="s">
        <v>4713</v>
      </c>
      <c r="C68" s="275">
        <v>45068</v>
      </c>
      <c r="D68" s="274" t="s">
        <v>4714</v>
      </c>
      <c r="E68" s="268" t="s">
        <v>2869</v>
      </c>
      <c r="F68" s="268" t="s">
        <v>4715</v>
      </c>
      <c r="G68" s="268" t="s">
        <v>4716</v>
      </c>
      <c r="H68" s="268" t="str">
        <f t="shared" si="0"/>
        <v>JESÚS MIGUEL INIESTA TURPÍN</v>
      </c>
      <c r="I68" s="268" t="s">
        <v>4868</v>
      </c>
      <c r="J68" s="272" t="s">
        <v>4736</v>
      </c>
      <c r="K68" s="268" t="s">
        <v>4869</v>
      </c>
      <c r="L68" s="276">
        <v>45313</v>
      </c>
      <c r="M68" s="277"/>
      <c r="N68" s="282">
        <v>2</v>
      </c>
      <c r="O68" s="279" t="s">
        <v>4723</v>
      </c>
      <c r="P68" s="280">
        <v>2471.15</v>
      </c>
      <c r="Q68" s="281">
        <v>45068</v>
      </c>
      <c r="R68" s="272"/>
      <c r="S68" s="272"/>
      <c r="T68" s="272"/>
      <c r="U68" s="272"/>
      <c r="V68" s="272"/>
      <c r="W68" s="272"/>
      <c r="X68" s="272"/>
      <c r="Y68" s="272"/>
      <c r="Z68" s="272"/>
      <c r="AA68" s="272"/>
    </row>
    <row r="69" spans="1:27">
      <c r="A69" s="273">
        <v>1</v>
      </c>
      <c r="B69" s="274" t="s">
        <v>4713</v>
      </c>
      <c r="C69" s="275">
        <v>45246</v>
      </c>
      <c r="D69" s="274" t="s">
        <v>4714</v>
      </c>
      <c r="E69" s="268" t="s">
        <v>2869</v>
      </c>
      <c r="F69" s="268" t="s">
        <v>4715</v>
      </c>
      <c r="G69" s="268" t="s">
        <v>4716</v>
      </c>
      <c r="H69" s="268" t="str">
        <f t="shared" si="0"/>
        <v>MARÍA AGUSTINA SEVILLA GARCÍA</v>
      </c>
      <c r="I69" s="268" t="s">
        <v>4812</v>
      </c>
      <c r="J69" s="272" t="s">
        <v>4736</v>
      </c>
      <c r="K69" s="268" t="s">
        <v>4870</v>
      </c>
      <c r="L69" s="276">
        <v>45313</v>
      </c>
      <c r="M69" s="277"/>
      <c r="N69" s="282">
        <v>2</v>
      </c>
      <c r="O69" s="279" t="s">
        <v>4740</v>
      </c>
      <c r="P69" s="280">
        <v>4222.7299999999996</v>
      </c>
      <c r="Q69" s="281">
        <v>45246</v>
      </c>
      <c r="R69" s="272"/>
      <c r="S69" s="272"/>
      <c r="T69" s="272"/>
      <c r="U69" s="272"/>
      <c r="V69" s="272"/>
      <c r="W69" s="272"/>
      <c r="X69" s="272"/>
      <c r="Y69" s="272"/>
      <c r="Z69" s="272"/>
      <c r="AA69" s="272"/>
    </row>
    <row r="70" spans="1:27">
      <c r="A70" s="273">
        <v>1</v>
      </c>
      <c r="B70" s="274" t="s">
        <v>4713</v>
      </c>
      <c r="C70" s="275">
        <v>45282</v>
      </c>
      <c r="D70" s="274" t="s">
        <v>4714</v>
      </c>
      <c r="E70" s="268" t="s">
        <v>2886</v>
      </c>
      <c r="F70" s="268" t="s">
        <v>4715</v>
      </c>
      <c r="G70" s="268" t="s">
        <v>4716</v>
      </c>
      <c r="H70" s="268" t="str">
        <f t="shared" si="0"/>
        <v>PALOMA PINACHO MARTÍNEZ</v>
      </c>
      <c r="I70" s="268" t="s">
        <v>4853</v>
      </c>
      <c r="J70" s="268" t="s">
        <v>4718</v>
      </c>
      <c r="K70" s="268" t="s">
        <v>4871</v>
      </c>
      <c r="L70" s="276">
        <v>45313</v>
      </c>
      <c r="M70" s="277"/>
      <c r="N70" s="282">
        <v>1</v>
      </c>
      <c r="O70" s="284" t="s">
        <v>4720</v>
      </c>
      <c r="P70" s="280">
        <v>2162.73</v>
      </c>
      <c r="Q70" s="281">
        <v>45282</v>
      </c>
      <c r="R70" s="272"/>
      <c r="S70" s="272"/>
      <c r="T70" s="272"/>
      <c r="U70" s="272"/>
      <c r="V70" s="272"/>
      <c r="W70" s="272"/>
      <c r="X70" s="272"/>
      <c r="Y70" s="272"/>
      <c r="Z70" s="272"/>
      <c r="AA70" s="272"/>
    </row>
    <row r="71" spans="1:27">
      <c r="A71" s="273">
        <v>1</v>
      </c>
      <c r="B71" s="274" t="s">
        <v>4713</v>
      </c>
      <c r="C71" s="275">
        <v>45272</v>
      </c>
      <c r="D71" s="274" t="s">
        <v>4714</v>
      </c>
      <c r="E71" s="268" t="s">
        <v>4759</v>
      </c>
      <c r="F71" s="268" t="s">
        <v>4715</v>
      </c>
      <c r="G71" s="268" t="s">
        <v>4716</v>
      </c>
      <c r="H71" s="268" t="str">
        <f t="shared" si="0"/>
        <v>MARINA MADRIGAL REVUELTA</v>
      </c>
      <c r="I71" s="268" t="s">
        <v>4824</v>
      </c>
      <c r="J71" s="272" t="s">
        <v>4747</v>
      </c>
      <c r="K71" s="268" t="s">
        <v>4872</v>
      </c>
      <c r="L71" s="276">
        <v>45313</v>
      </c>
      <c r="M71" s="277"/>
      <c r="N71" s="282">
        <v>2</v>
      </c>
      <c r="O71" s="284" t="s">
        <v>4740</v>
      </c>
      <c r="P71" s="280">
        <v>3977.27</v>
      </c>
      <c r="Q71" s="281">
        <v>45272</v>
      </c>
      <c r="R71" s="272"/>
      <c r="S71" s="272"/>
      <c r="T71" s="272"/>
      <c r="U71" s="272"/>
      <c r="V71" s="272"/>
      <c r="W71" s="272"/>
      <c r="X71" s="272"/>
      <c r="Y71" s="272"/>
      <c r="Z71" s="272"/>
      <c r="AA71" s="272"/>
    </row>
    <row r="72" spans="1:27">
      <c r="A72" s="273">
        <v>1</v>
      </c>
      <c r="B72" s="274" t="s">
        <v>4713</v>
      </c>
      <c r="C72" s="275">
        <v>45289</v>
      </c>
      <c r="D72" s="274" t="s">
        <v>4714</v>
      </c>
      <c r="E72" s="268" t="s">
        <v>4845</v>
      </c>
      <c r="F72" s="268" t="s">
        <v>4715</v>
      </c>
      <c r="G72" s="268" t="s">
        <v>4716</v>
      </c>
      <c r="H72" s="268" t="str">
        <f t="shared" si="0"/>
        <v>JOSÉ MANUEL GARCÍA SOLANS-ESTERAS</v>
      </c>
      <c r="I72" s="268" t="s">
        <v>4873</v>
      </c>
      <c r="J72" s="272" t="s">
        <v>4806</v>
      </c>
      <c r="K72" s="268" t="s">
        <v>4874</v>
      </c>
      <c r="L72" s="276">
        <v>45313</v>
      </c>
      <c r="M72" s="277"/>
      <c r="N72" s="282">
        <v>2</v>
      </c>
      <c r="O72" s="284" t="s">
        <v>4720</v>
      </c>
      <c r="P72" s="280">
        <v>3604.55</v>
      </c>
      <c r="Q72" s="281">
        <v>45289</v>
      </c>
      <c r="R72" s="272"/>
      <c r="S72" s="272"/>
      <c r="T72" s="272"/>
      <c r="U72" s="272"/>
      <c r="V72" s="272"/>
      <c r="W72" s="272"/>
      <c r="X72" s="272"/>
      <c r="Y72" s="272"/>
      <c r="Z72" s="272"/>
      <c r="AA72" s="272"/>
    </row>
    <row r="73" spans="1:27">
      <c r="A73" s="273">
        <v>1</v>
      </c>
      <c r="B73" s="274" t="s">
        <v>4713</v>
      </c>
      <c r="C73" s="275">
        <v>45295</v>
      </c>
      <c r="D73" s="274" t="s">
        <v>4714</v>
      </c>
      <c r="E73" s="279" t="s">
        <v>4875</v>
      </c>
      <c r="F73" s="279" t="s">
        <v>4715</v>
      </c>
      <c r="G73" s="279" t="s">
        <v>4716</v>
      </c>
      <c r="H73" s="268" t="str">
        <f t="shared" si="0"/>
        <v>JOSÉ EUGENIO ESTRADA GROMAZ</v>
      </c>
      <c r="I73" s="268" t="s">
        <v>4876</v>
      </c>
      <c r="J73" s="272" t="s">
        <v>4790</v>
      </c>
      <c r="K73" s="279" t="s">
        <v>4877</v>
      </c>
      <c r="L73" s="276">
        <v>45314</v>
      </c>
      <c r="M73" s="277"/>
      <c r="N73" s="282">
        <v>2</v>
      </c>
      <c r="O73" s="279" t="s">
        <v>4720</v>
      </c>
      <c r="P73" s="280">
        <v>3909.09</v>
      </c>
      <c r="Q73" s="281">
        <v>45295</v>
      </c>
      <c r="R73" s="272"/>
      <c r="S73" s="272"/>
      <c r="T73" s="272"/>
      <c r="U73" s="272"/>
      <c r="V73" s="272"/>
      <c r="W73" s="272"/>
      <c r="X73" s="272"/>
      <c r="Y73" s="272"/>
      <c r="Z73" s="272"/>
      <c r="AA73" s="272"/>
    </row>
    <row r="74" spans="1:27">
      <c r="A74" s="273">
        <v>1</v>
      </c>
      <c r="B74" s="274" t="s">
        <v>4713</v>
      </c>
      <c r="C74" s="275">
        <v>45307</v>
      </c>
      <c r="D74" s="274" t="s">
        <v>4714</v>
      </c>
      <c r="E74" s="268" t="s">
        <v>4878</v>
      </c>
      <c r="F74" s="268" t="s">
        <v>4715</v>
      </c>
      <c r="G74" s="268" t="s">
        <v>4716</v>
      </c>
      <c r="H74" s="268" t="str">
        <f t="shared" si="0"/>
        <v>EDUARDO CABANAS RODRÍGUEZ</v>
      </c>
      <c r="I74" s="268" t="s">
        <v>4879</v>
      </c>
      <c r="J74" s="272" t="s">
        <v>4790</v>
      </c>
      <c r="K74" s="268" t="s">
        <v>4880</v>
      </c>
      <c r="L74" s="276">
        <v>45314</v>
      </c>
      <c r="M74" s="277"/>
      <c r="N74" s="282">
        <v>2</v>
      </c>
      <c r="O74" s="279" t="s">
        <v>4792</v>
      </c>
      <c r="P74" s="280">
        <v>2627.27</v>
      </c>
      <c r="Q74" s="281">
        <v>45307</v>
      </c>
      <c r="R74" s="272"/>
      <c r="S74" s="272"/>
      <c r="T74" s="272"/>
      <c r="U74" s="272"/>
      <c r="V74" s="272"/>
      <c r="W74" s="272"/>
      <c r="X74" s="272"/>
      <c r="Y74" s="272"/>
      <c r="Z74" s="272"/>
      <c r="AA74" s="272"/>
    </row>
    <row r="75" spans="1:27">
      <c r="A75" s="273">
        <v>1</v>
      </c>
      <c r="B75" s="274" t="s">
        <v>4713</v>
      </c>
      <c r="C75" s="275">
        <v>45250</v>
      </c>
      <c r="D75" s="274" t="s">
        <v>4714</v>
      </c>
      <c r="E75" s="268" t="s">
        <v>2929</v>
      </c>
      <c r="F75" s="268" t="s">
        <v>4715</v>
      </c>
      <c r="G75" s="268" t="s">
        <v>4716</v>
      </c>
      <c r="H75" s="268" t="str">
        <f t="shared" si="0"/>
        <v>JAVIER GARCÍA DOMÍNGUEZ</v>
      </c>
      <c r="I75" s="268" t="s">
        <v>4881</v>
      </c>
      <c r="J75" s="272" t="s">
        <v>4718</v>
      </c>
      <c r="K75" s="268" t="s">
        <v>4882</v>
      </c>
      <c r="L75" s="276">
        <v>45314</v>
      </c>
      <c r="M75" s="277"/>
      <c r="N75" s="282">
        <v>2</v>
      </c>
      <c r="O75" s="279" t="s">
        <v>4723</v>
      </c>
      <c r="P75" s="280">
        <v>2641.59</v>
      </c>
      <c r="Q75" s="281">
        <v>45250</v>
      </c>
      <c r="R75" s="272"/>
      <c r="S75" s="272"/>
      <c r="T75" s="272"/>
      <c r="U75" s="272"/>
      <c r="V75" s="272"/>
      <c r="W75" s="272"/>
      <c r="X75" s="272"/>
      <c r="Y75" s="272"/>
      <c r="Z75" s="272"/>
      <c r="AA75" s="272"/>
    </row>
    <row r="76" spans="1:27">
      <c r="A76" s="273">
        <v>1</v>
      </c>
      <c r="B76" s="274" t="s">
        <v>4713</v>
      </c>
      <c r="C76" s="275">
        <v>45250</v>
      </c>
      <c r="D76" s="274" t="s">
        <v>4714</v>
      </c>
      <c r="E76" s="268" t="s">
        <v>2929</v>
      </c>
      <c r="F76" s="268" t="s">
        <v>4715</v>
      </c>
      <c r="G76" s="268" t="s">
        <v>4716</v>
      </c>
      <c r="H76" s="268" t="str">
        <f t="shared" si="0"/>
        <v>JAVIER GARCÍA DOMÍNGUEZ</v>
      </c>
      <c r="I76" s="268" t="s">
        <v>4881</v>
      </c>
      <c r="J76" s="272" t="s">
        <v>4718</v>
      </c>
      <c r="K76" s="268" t="s">
        <v>4883</v>
      </c>
      <c r="L76" s="276">
        <v>45314</v>
      </c>
      <c r="M76" s="277"/>
      <c r="N76" s="282">
        <v>1</v>
      </c>
      <c r="O76" s="279" t="s">
        <v>4723</v>
      </c>
      <c r="P76" s="280">
        <v>1584.77</v>
      </c>
      <c r="Q76" s="281">
        <v>45250</v>
      </c>
      <c r="R76" s="272"/>
      <c r="S76" s="272"/>
      <c r="T76" s="272"/>
      <c r="U76" s="272"/>
      <c r="V76" s="272"/>
      <c r="W76" s="272"/>
      <c r="X76" s="272"/>
      <c r="Y76" s="272"/>
      <c r="Z76" s="272"/>
      <c r="AA76" s="272"/>
    </row>
    <row r="77" spans="1:27">
      <c r="A77" s="273">
        <v>1</v>
      </c>
      <c r="B77" s="274" t="s">
        <v>4713</v>
      </c>
      <c r="C77" s="275">
        <v>45275</v>
      </c>
      <c r="D77" s="274" t="s">
        <v>4714</v>
      </c>
      <c r="E77" s="268" t="s">
        <v>2961</v>
      </c>
      <c r="F77" s="268" t="s">
        <v>4715</v>
      </c>
      <c r="G77" s="268" t="s">
        <v>4716</v>
      </c>
      <c r="H77" s="268" t="str">
        <f t="shared" si="0"/>
        <v>FRANCISCO GARCÍA PURRIÑOS</v>
      </c>
      <c r="I77" s="268" t="s">
        <v>4884</v>
      </c>
      <c r="J77" s="272" t="s">
        <v>4736</v>
      </c>
      <c r="K77" s="268" t="s">
        <v>4885</v>
      </c>
      <c r="L77" s="276">
        <v>45314</v>
      </c>
      <c r="M77" s="283"/>
      <c r="N77" s="282">
        <v>2</v>
      </c>
      <c r="O77" s="284" t="s">
        <v>4723</v>
      </c>
      <c r="P77" s="280">
        <v>2780.91</v>
      </c>
      <c r="Q77" s="281">
        <v>45275</v>
      </c>
      <c r="R77" s="272"/>
      <c r="S77" s="272"/>
      <c r="T77" s="272"/>
      <c r="U77" s="272"/>
      <c r="V77" s="272"/>
      <c r="W77" s="272"/>
      <c r="X77" s="272"/>
      <c r="Y77" s="272"/>
      <c r="Z77" s="272"/>
      <c r="AA77" s="272"/>
    </row>
    <row r="78" spans="1:27">
      <c r="A78" s="273">
        <v>1</v>
      </c>
      <c r="B78" s="274" t="s">
        <v>4713</v>
      </c>
      <c r="C78" s="275">
        <v>45251</v>
      </c>
      <c r="D78" s="274" t="s">
        <v>4714</v>
      </c>
      <c r="E78" s="268" t="s">
        <v>3218</v>
      </c>
      <c r="F78" s="268" t="s">
        <v>4715</v>
      </c>
      <c r="G78" s="268" t="s">
        <v>4716</v>
      </c>
      <c r="H78" s="268" t="str">
        <f t="shared" si="0"/>
        <v>NO REUERDA ORL</v>
      </c>
      <c r="I78" s="268" t="s">
        <v>4743</v>
      </c>
      <c r="J78" s="272" t="s">
        <v>4806</v>
      </c>
      <c r="K78" s="268" t="s">
        <v>4886</v>
      </c>
      <c r="L78" s="276">
        <v>45315</v>
      </c>
      <c r="M78" s="277"/>
      <c r="N78" s="282">
        <v>1</v>
      </c>
      <c r="O78" s="279" t="s">
        <v>4720</v>
      </c>
      <c r="P78" s="280">
        <v>2162.73</v>
      </c>
      <c r="Q78" s="281">
        <v>45251</v>
      </c>
      <c r="R78" s="272"/>
      <c r="S78" s="272"/>
      <c r="T78" s="272"/>
      <c r="U78" s="272"/>
      <c r="V78" s="272"/>
      <c r="W78" s="272"/>
      <c r="X78" s="272"/>
      <c r="Y78" s="272"/>
      <c r="Z78" s="272"/>
      <c r="AA78" s="272"/>
    </row>
    <row r="79" spans="1:27">
      <c r="A79" s="273">
        <v>1</v>
      </c>
      <c r="B79" s="274" t="s">
        <v>4713</v>
      </c>
      <c r="C79" s="275">
        <v>45288</v>
      </c>
      <c r="D79" s="274" t="s">
        <v>4714</v>
      </c>
      <c r="E79" s="268" t="s">
        <v>2880</v>
      </c>
      <c r="F79" s="268" t="s">
        <v>4715</v>
      </c>
      <c r="G79" s="268" t="s">
        <v>4716</v>
      </c>
      <c r="H79" s="268" t="str">
        <f t="shared" si="0"/>
        <v>GERARDO MONEDERO RODRIGO</v>
      </c>
      <c r="I79" s="268" t="s">
        <v>4887</v>
      </c>
      <c r="J79" s="272" t="s">
        <v>4718</v>
      </c>
      <c r="K79" s="268" t="s">
        <v>4888</v>
      </c>
      <c r="L79" s="276">
        <v>45315</v>
      </c>
      <c r="M79" s="277"/>
      <c r="N79" s="278">
        <v>2</v>
      </c>
      <c r="O79" s="279" t="s">
        <v>4723</v>
      </c>
      <c r="P79" s="280">
        <v>2780.87</v>
      </c>
      <c r="Q79" s="281">
        <v>45288</v>
      </c>
      <c r="R79" s="272"/>
      <c r="S79" s="272"/>
      <c r="T79" s="272"/>
      <c r="U79" s="272"/>
      <c r="V79" s="272"/>
      <c r="W79" s="272"/>
      <c r="X79" s="272"/>
      <c r="Y79" s="272"/>
      <c r="Z79" s="272"/>
      <c r="AA79" s="272"/>
    </row>
    <row r="80" spans="1:27">
      <c r="A80" s="273">
        <v>1</v>
      </c>
      <c r="B80" s="274" t="s">
        <v>4713</v>
      </c>
      <c r="C80" s="275">
        <v>44848</v>
      </c>
      <c r="D80" s="274" t="s">
        <v>4714</v>
      </c>
      <c r="E80" s="268" t="s">
        <v>2893</v>
      </c>
      <c r="F80" s="268" t="s">
        <v>4715</v>
      </c>
      <c r="G80" s="268" t="s">
        <v>4716</v>
      </c>
      <c r="H80" s="268" t="str">
        <f t="shared" si="0"/>
        <v>JULIO LÓPEZ MOYA</v>
      </c>
      <c r="I80" s="268" t="s">
        <v>4778</v>
      </c>
      <c r="J80" s="272" t="s">
        <v>4718</v>
      </c>
      <c r="K80" s="268" t="s">
        <v>4889</v>
      </c>
      <c r="L80" s="276">
        <v>45315</v>
      </c>
      <c r="M80" s="277"/>
      <c r="N80" s="282">
        <v>2</v>
      </c>
      <c r="O80" s="279" t="s">
        <v>4740</v>
      </c>
      <c r="P80" s="280">
        <v>4222.7299999999996</v>
      </c>
      <c r="Q80" s="281">
        <v>44848</v>
      </c>
      <c r="R80" s="272"/>
      <c r="S80" s="272"/>
      <c r="T80" s="272"/>
      <c r="U80" s="272"/>
      <c r="V80" s="272"/>
      <c r="W80" s="272"/>
      <c r="X80" s="272"/>
      <c r="Y80" s="272"/>
      <c r="Z80" s="272"/>
      <c r="AA80" s="272"/>
    </row>
    <row r="81" spans="1:27">
      <c r="A81" s="273">
        <v>1</v>
      </c>
      <c r="B81" s="274" t="s">
        <v>4713</v>
      </c>
      <c r="C81" s="275">
        <v>45261</v>
      </c>
      <c r="D81" s="274" t="s">
        <v>4714</v>
      </c>
      <c r="E81" s="268" t="s">
        <v>3193</v>
      </c>
      <c r="F81" s="268" t="s">
        <v>4715</v>
      </c>
      <c r="G81" s="268" t="s">
        <v>4716</v>
      </c>
      <c r="H81" s="268" t="str">
        <f t="shared" si="0"/>
        <v>Eviatar Friedlander</v>
      </c>
      <c r="I81" s="268" t="s">
        <v>4890</v>
      </c>
      <c r="J81" s="272" t="s">
        <v>4718</v>
      </c>
      <c r="K81" s="268" t="s">
        <v>4891</v>
      </c>
      <c r="L81" s="276">
        <v>45315</v>
      </c>
      <c r="M81" s="277"/>
      <c r="N81" s="282">
        <v>1</v>
      </c>
      <c r="O81" s="279" t="s">
        <v>4723</v>
      </c>
      <c r="P81" s="280">
        <v>1668.18</v>
      </c>
      <c r="Q81" s="281">
        <v>45261</v>
      </c>
      <c r="R81" s="272"/>
      <c r="S81" s="272"/>
      <c r="T81" s="272"/>
      <c r="U81" s="272"/>
      <c r="V81" s="272"/>
      <c r="W81" s="272"/>
      <c r="X81" s="272"/>
      <c r="Y81" s="272"/>
      <c r="Z81" s="272"/>
      <c r="AA81" s="272"/>
    </row>
    <row r="82" spans="1:27">
      <c r="A82" s="273">
        <v>1</v>
      </c>
      <c r="B82" s="274" t="s">
        <v>4713</v>
      </c>
      <c r="C82" s="275">
        <v>45271</v>
      </c>
      <c r="D82" s="274" t="s">
        <v>4714</v>
      </c>
      <c r="E82" s="268" t="s">
        <v>4892</v>
      </c>
      <c r="F82" s="268" t="s">
        <v>4715</v>
      </c>
      <c r="G82" s="268" t="s">
        <v>4716</v>
      </c>
      <c r="H82" s="268" t="str">
        <f t="shared" si="0"/>
        <v>FERNANDO CRISTÓBAL</v>
      </c>
      <c r="I82" s="268" t="s">
        <v>4893</v>
      </c>
      <c r="J82" s="272" t="s">
        <v>4718</v>
      </c>
      <c r="K82" s="268" t="s">
        <v>4894</v>
      </c>
      <c r="L82" s="276">
        <v>45315</v>
      </c>
      <c r="M82" s="277"/>
      <c r="N82" s="282">
        <v>2</v>
      </c>
      <c r="O82" s="279" t="s">
        <v>4720</v>
      </c>
      <c r="P82" s="280">
        <v>3812.5</v>
      </c>
      <c r="Q82" s="281">
        <v>45271</v>
      </c>
      <c r="R82" s="272"/>
      <c r="S82" s="272"/>
      <c r="T82" s="272"/>
      <c r="U82" s="272"/>
      <c r="V82" s="272"/>
      <c r="W82" s="272"/>
      <c r="X82" s="272"/>
      <c r="Y82" s="272"/>
      <c r="Z82" s="272"/>
      <c r="AA82" s="272"/>
    </row>
    <row r="83" spans="1:27">
      <c r="A83" s="273">
        <v>1</v>
      </c>
      <c r="B83" s="274" t="s">
        <v>4713</v>
      </c>
      <c r="C83" s="275">
        <v>45274</v>
      </c>
      <c r="D83" s="274" t="s">
        <v>4714</v>
      </c>
      <c r="E83" s="268" t="s">
        <v>2873</v>
      </c>
      <c r="F83" s="268" t="s">
        <v>4715</v>
      </c>
      <c r="G83" s="268" t="s">
        <v>4716</v>
      </c>
      <c r="H83" s="268" t="str">
        <f t="shared" si="0"/>
        <v>PAULA HERNÁNDEZ RUÍZ</v>
      </c>
      <c r="I83" s="268" t="s">
        <v>4895</v>
      </c>
      <c r="J83" s="272" t="s">
        <v>4736</v>
      </c>
      <c r="K83" s="268" t="s">
        <v>4896</v>
      </c>
      <c r="L83" s="276">
        <v>45315</v>
      </c>
      <c r="M83" s="277"/>
      <c r="N83" s="278">
        <v>2</v>
      </c>
      <c r="O83" s="284" t="s">
        <v>4723</v>
      </c>
      <c r="P83" s="280">
        <v>2780.91</v>
      </c>
      <c r="Q83" s="281">
        <v>45274</v>
      </c>
      <c r="R83" s="272"/>
      <c r="S83" s="272"/>
      <c r="T83" s="272"/>
      <c r="U83" s="272"/>
      <c r="V83" s="272"/>
      <c r="W83" s="272"/>
      <c r="X83" s="272"/>
      <c r="Y83" s="272"/>
      <c r="Z83" s="272"/>
      <c r="AA83" s="272"/>
    </row>
    <row r="84" spans="1:27">
      <c r="A84" s="273">
        <v>1</v>
      </c>
      <c r="B84" s="274" t="s">
        <v>4713</v>
      </c>
      <c r="C84" s="275">
        <v>45271</v>
      </c>
      <c r="D84" s="274" t="s">
        <v>4714</v>
      </c>
      <c r="E84" s="268" t="s">
        <v>4780</v>
      </c>
      <c r="F84" s="268" t="s">
        <v>4715</v>
      </c>
      <c r="G84" s="268" t="s">
        <v>4716</v>
      </c>
      <c r="H84" s="268" t="str">
        <f t="shared" si="0"/>
        <v>PEDRO BLANCO PÉREZ,</v>
      </c>
      <c r="I84" s="268" t="s">
        <v>4897</v>
      </c>
      <c r="J84" s="272" t="s">
        <v>4747</v>
      </c>
      <c r="K84" s="268" t="s">
        <v>4898</v>
      </c>
      <c r="L84" s="276">
        <v>45315</v>
      </c>
      <c r="M84" s="277"/>
      <c r="N84" s="282">
        <v>2</v>
      </c>
      <c r="O84" s="284" t="s">
        <v>4723</v>
      </c>
      <c r="P84" s="280">
        <v>2780.91</v>
      </c>
      <c r="Q84" s="281">
        <v>45271</v>
      </c>
      <c r="R84" s="272"/>
      <c r="S84" s="272"/>
      <c r="T84" s="272"/>
      <c r="U84" s="272"/>
      <c r="V84" s="272"/>
      <c r="W84" s="272"/>
      <c r="X84" s="272"/>
      <c r="Y84" s="272"/>
      <c r="Z84" s="272"/>
      <c r="AA84" s="272"/>
    </row>
    <row r="85" spans="1:27">
      <c r="A85" s="273">
        <v>1</v>
      </c>
      <c r="B85" s="274" t="s">
        <v>4713</v>
      </c>
      <c r="C85" s="275">
        <v>45257</v>
      </c>
      <c r="D85" s="274" t="s">
        <v>4714</v>
      </c>
      <c r="E85" s="268" t="s">
        <v>2916</v>
      </c>
      <c r="F85" s="268" t="s">
        <v>4715</v>
      </c>
      <c r="G85" s="268" t="s">
        <v>4716</v>
      </c>
      <c r="H85" s="268" t="str">
        <f t="shared" si="0"/>
        <v>JESUS-MARIA GRASA PÉREZ</v>
      </c>
      <c r="I85" s="286" t="s">
        <v>4865</v>
      </c>
      <c r="J85" s="272" t="s">
        <v>4806</v>
      </c>
      <c r="K85" s="268" t="s">
        <v>4899</v>
      </c>
      <c r="L85" s="276">
        <v>45316</v>
      </c>
      <c r="M85" s="277"/>
      <c r="N85" s="282">
        <v>2</v>
      </c>
      <c r="O85" s="279" t="s">
        <v>4740</v>
      </c>
      <c r="P85" s="280">
        <v>4011.54</v>
      </c>
      <c r="Q85" s="281">
        <v>45257</v>
      </c>
      <c r="R85" s="272"/>
      <c r="S85" s="272"/>
      <c r="T85" s="272"/>
      <c r="U85" s="272"/>
      <c r="V85" s="272"/>
      <c r="W85" s="272"/>
      <c r="X85" s="272"/>
      <c r="Y85" s="272"/>
      <c r="Z85" s="272"/>
      <c r="AA85" s="272"/>
    </row>
    <row r="86" spans="1:27">
      <c r="A86" s="273">
        <v>1</v>
      </c>
      <c r="B86" s="274" t="s">
        <v>4713</v>
      </c>
      <c r="C86" s="275">
        <v>45236</v>
      </c>
      <c r="D86" s="274" t="s">
        <v>4714</v>
      </c>
      <c r="E86" s="268" t="s">
        <v>4775</v>
      </c>
      <c r="F86" s="268" t="s">
        <v>4715</v>
      </c>
      <c r="G86" s="268" t="s">
        <v>4716</v>
      </c>
      <c r="H86" s="268" t="str">
        <f t="shared" si="0"/>
        <v>FERNANDO SALAZAR BARCELONA</v>
      </c>
      <c r="I86" s="268" t="s">
        <v>4776</v>
      </c>
      <c r="J86" s="272" t="s">
        <v>4751</v>
      </c>
      <c r="K86" s="268" t="s">
        <v>4900</v>
      </c>
      <c r="L86" s="276">
        <v>45316</v>
      </c>
      <c r="M86" s="277"/>
      <c r="N86" s="282">
        <v>2</v>
      </c>
      <c r="O86" s="279" t="s">
        <v>4720</v>
      </c>
      <c r="P86" s="280">
        <v>3272.73</v>
      </c>
      <c r="Q86" s="281">
        <v>45236</v>
      </c>
      <c r="R86" s="272"/>
      <c r="S86" s="272"/>
      <c r="T86" s="272"/>
      <c r="U86" s="272"/>
      <c r="V86" s="272"/>
      <c r="W86" s="272"/>
      <c r="X86" s="272"/>
      <c r="Y86" s="272"/>
      <c r="Z86" s="272"/>
      <c r="AA86" s="272"/>
    </row>
    <row r="87" spans="1:27">
      <c r="A87" s="273">
        <v>1</v>
      </c>
      <c r="B87" s="274" t="s">
        <v>4713</v>
      </c>
      <c r="C87" s="275">
        <v>45279</v>
      </c>
      <c r="D87" s="285" t="s">
        <v>4714</v>
      </c>
      <c r="E87" s="268" t="s">
        <v>4775</v>
      </c>
      <c r="F87" s="268" t="s">
        <v>4715</v>
      </c>
      <c r="G87" s="268" t="s">
        <v>4716</v>
      </c>
      <c r="H87" s="268" t="str">
        <f t="shared" si="0"/>
        <v>FERNANDO SALAZAR BARCELONA</v>
      </c>
      <c r="I87" s="268" t="s">
        <v>4776</v>
      </c>
      <c r="J87" s="268" t="s">
        <v>4751</v>
      </c>
      <c r="K87" s="268" t="s">
        <v>4901</v>
      </c>
      <c r="L87" s="276">
        <v>45316</v>
      </c>
      <c r="M87" s="277"/>
      <c r="N87" s="282">
        <v>2</v>
      </c>
      <c r="O87" s="279" t="s">
        <v>4720</v>
      </c>
      <c r="P87" s="280">
        <v>3272.73</v>
      </c>
      <c r="Q87" s="281">
        <v>45279</v>
      </c>
      <c r="R87" s="272"/>
      <c r="S87" s="272"/>
      <c r="T87" s="272"/>
      <c r="U87" s="272"/>
      <c r="V87" s="272"/>
      <c r="W87" s="272"/>
      <c r="X87" s="272"/>
      <c r="Y87" s="272"/>
      <c r="Z87" s="272"/>
      <c r="AA87" s="272"/>
    </row>
    <row r="88" spans="1:27">
      <c r="A88" s="273">
        <v>1</v>
      </c>
      <c r="B88" s="274" t="s">
        <v>4713</v>
      </c>
      <c r="C88" s="275">
        <v>45300</v>
      </c>
      <c r="D88" s="274" t="s">
        <v>4714</v>
      </c>
      <c r="E88" s="268" t="s">
        <v>4892</v>
      </c>
      <c r="F88" s="268" t="s">
        <v>4715</v>
      </c>
      <c r="G88" s="268" t="s">
        <v>4716</v>
      </c>
      <c r="H88" s="268" t="str">
        <f t="shared" si="0"/>
        <v>ENRIQUE MELCOM DIEZ</v>
      </c>
      <c r="I88" s="268" t="s">
        <v>4902</v>
      </c>
      <c r="J88" s="272" t="s">
        <v>4822</v>
      </c>
      <c r="K88" s="268" t="s">
        <v>4903</v>
      </c>
      <c r="L88" s="276">
        <v>45316</v>
      </c>
      <c r="M88" s="277"/>
      <c r="N88" s="282">
        <v>2</v>
      </c>
      <c r="O88" s="279" t="s">
        <v>4720</v>
      </c>
      <c r="P88" s="280">
        <v>3604.55</v>
      </c>
      <c r="Q88" s="281">
        <v>45300</v>
      </c>
      <c r="R88" s="272"/>
      <c r="S88" s="272"/>
      <c r="T88" s="272"/>
      <c r="U88" s="272"/>
      <c r="V88" s="272"/>
      <c r="W88" s="272"/>
      <c r="X88" s="272"/>
      <c r="Y88" s="272"/>
      <c r="Z88" s="272"/>
      <c r="AA88" s="272"/>
    </row>
    <row r="89" spans="1:27">
      <c r="A89" s="273">
        <v>1</v>
      </c>
      <c r="B89" s="274" t="s">
        <v>4713</v>
      </c>
      <c r="C89" s="275">
        <v>45056</v>
      </c>
      <c r="D89" s="274" t="s">
        <v>4714</v>
      </c>
      <c r="E89" s="268" t="s">
        <v>2869</v>
      </c>
      <c r="F89" s="268" t="s">
        <v>4715</v>
      </c>
      <c r="G89" s="268" t="s">
        <v>4716</v>
      </c>
      <c r="H89" s="268" t="str">
        <f t="shared" si="0"/>
        <v>JUAN PABLO PELEGRÍN HERNÁNDEZ</v>
      </c>
      <c r="I89" s="268" t="s">
        <v>4904</v>
      </c>
      <c r="J89" s="272" t="s">
        <v>4736</v>
      </c>
      <c r="K89" s="268" t="s">
        <v>4905</v>
      </c>
      <c r="L89" s="276">
        <v>45316</v>
      </c>
      <c r="M89" s="277"/>
      <c r="N89" s="282">
        <v>2</v>
      </c>
      <c r="O89" s="279" t="s">
        <v>4720</v>
      </c>
      <c r="P89" s="280">
        <v>3604.5</v>
      </c>
      <c r="Q89" s="281">
        <v>45056</v>
      </c>
      <c r="R89" s="272"/>
      <c r="S89" s="272"/>
      <c r="T89" s="272"/>
      <c r="U89" s="272"/>
      <c r="V89" s="272"/>
      <c r="W89" s="272"/>
      <c r="X89" s="272"/>
      <c r="Y89" s="272"/>
      <c r="Z89" s="272"/>
      <c r="AA89" s="272"/>
    </row>
    <row r="90" spans="1:27">
      <c r="A90" s="273">
        <v>1</v>
      </c>
      <c r="B90" s="274" t="s">
        <v>4713</v>
      </c>
      <c r="C90" s="275">
        <v>45257</v>
      </c>
      <c r="D90" s="274" t="s">
        <v>4714</v>
      </c>
      <c r="E90" s="268" t="s">
        <v>2873</v>
      </c>
      <c r="F90" s="268" t="s">
        <v>4715</v>
      </c>
      <c r="G90" s="268" t="s">
        <v>4716</v>
      </c>
      <c r="H90" s="268" t="str">
        <f t="shared" si="0"/>
        <v>MARÍA AGUSTINA SEVILLA GARCÍA</v>
      </c>
      <c r="I90" s="268" t="s">
        <v>4812</v>
      </c>
      <c r="J90" s="272" t="s">
        <v>4736</v>
      </c>
      <c r="K90" s="268" t="s">
        <v>4906</v>
      </c>
      <c r="L90" s="276">
        <v>45316</v>
      </c>
      <c r="M90" s="277"/>
      <c r="N90" s="282">
        <v>1</v>
      </c>
      <c r="O90" s="284" t="s">
        <v>4723</v>
      </c>
      <c r="P90" s="280">
        <v>1668.18</v>
      </c>
      <c r="Q90" s="281">
        <v>45257</v>
      </c>
      <c r="R90" s="272"/>
      <c r="S90" s="272"/>
      <c r="T90" s="272"/>
      <c r="U90" s="272"/>
      <c r="V90" s="272"/>
      <c r="W90" s="272"/>
      <c r="X90" s="272"/>
      <c r="Y90" s="272"/>
      <c r="Z90" s="272"/>
      <c r="AA90" s="272"/>
    </row>
    <row r="91" spans="1:27">
      <c r="A91" s="273">
        <v>1</v>
      </c>
      <c r="B91" s="274" t="s">
        <v>4713</v>
      </c>
      <c r="C91" s="275">
        <v>45280</v>
      </c>
      <c r="D91" s="274" t="s">
        <v>4714</v>
      </c>
      <c r="E91" s="268" t="s">
        <v>4745</v>
      </c>
      <c r="F91" s="268" t="s">
        <v>4715</v>
      </c>
      <c r="G91" s="268" t="s">
        <v>4716</v>
      </c>
      <c r="H91" s="268" t="str">
        <f t="shared" si="0"/>
        <v>CARLOS MIGUEL SALVADOR MARTÍNEZ</v>
      </c>
      <c r="I91" s="268" t="s">
        <v>4907</v>
      </c>
      <c r="J91" s="272" t="s">
        <v>4747</v>
      </c>
      <c r="K91" s="268" t="s">
        <v>4908</v>
      </c>
      <c r="L91" s="276">
        <v>45316</v>
      </c>
      <c r="M91" s="277"/>
      <c r="N91" s="282">
        <v>2</v>
      </c>
      <c r="O91" s="284" t="s">
        <v>4720</v>
      </c>
      <c r="P91" s="280">
        <v>3424.55</v>
      </c>
      <c r="Q91" s="281">
        <v>45280</v>
      </c>
      <c r="R91" s="272"/>
      <c r="S91" s="272"/>
      <c r="T91" s="272"/>
      <c r="U91" s="272"/>
      <c r="V91" s="272"/>
      <c r="W91" s="272"/>
      <c r="X91" s="272"/>
      <c r="Y91" s="272"/>
      <c r="Z91" s="272"/>
      <c r="AA91" s="272"/>
    </row>
    <row r="92" spans="1:27">
      <c r="A92" s="273">
        <v>1</v>
      </c>
      <c r="B92" s="274" t="s">
        <v>4713</v>
      </c>
      <c r="C92" s="275">
        <v>45295</v>
      </c>
      <c r="D92" s="274" t="s">
        <v>4714</v>
      </c>
      <c r="E92" s="279" t="s">
        <v>2921</v>
      </c>
      <c r="F92" s="279" t="s">
        <v>4715</v>
      </c>
      <c r="G92" s="279" t="s">
        <v>4716</v>
      </c>
      <c r="H92" s="268" t="str">
        <f t="shared" si="0"/>
        <v>IGNACIO LLOPEZ CARRATALÁ</v>
      </c>
      <c r="I92" s="268" t="s">
        <v>4909</v>
      </c>
      <c r="J92" s="272" t="s">
        <v>4910</v>
      </c>
      <c r="K92" s="279" t="s">
        <v>4911</v>
      </c>
      <c r="L92" s="276">
        <v>45316</v>
      </c>
      <c r="M92" s="277"/>
      <c r="N92" s="282">
        <v>2</v>
      </c>
      <c r="O92" s="284" t="s">
        <v>4720</v>
      </c>
      <c r="P92" s="280">
        <v>3604.55</v>
      </c>
      <c r="Q92" s="281">
        <v>45295</v>
      </c>
      <c r="R92" s="272"/>
      <c r="S92" s="272"/>
      <c r="T92" s="272"/>
      <c r="U92" s="272"/>
      <c r="V92" s="272"/>
      <c r="W92" s="272"/>
      <c r="X92" s="272"/>
      <c r="Y92" s="272"/>
      <c r="Z92" s="272"/>
      <c r="AA92" s="272"/>
    </row>
    <row r="93" spans="1:27">
      <c r="A93" s="273">
        <v>1</v>
      </c>
      <c r="B93" s="274" t="s">
        <v>4713</v>
      </c>
      <c r="C93" s="275">
        <v>45273</v>
      </c>
      <c r="D93" s="274" t="s">
        <v>4714</v>
      </c>
      <c r="E93" s="268" t="s">
        <v>4734</v>
      </c>
      <c r="F93" s="268" t="s">
        <v>4715</v>
      </c>
      <c r="G93" s="268" t="s">
        <v>4716</v>
      </c>
      <c r="H93" s="268" t="str">
        <f t="shared" si="0"/>
        <v>ISABEL POLO TOMÁS</v>
      </c>
      <c r="I93" s="268" t="s">
        <v>4912</v>
      </c>
      <c r="J93" s="272" t="s">
        <v>4736</v>
      </c>
      <c r="K93" s="268" t="s">
        <v>4913</v>
      </c>
      <c r="L93" s="276">
        <v>45317</v>
      </c>
      <c r="M93" s="277"/>
      <c r="N93" s="282">
        <v>1</v>
      </c>
      <c r="O93" s="279" t="s">
        <v>4720</v>
      </c>
      <c r="P93" s="280">
        <v>2162.73</v>
      </c>
      <c r="Q93" s="281">
        <v>45273</v>
      </c>
      <c r="R93" s="272"/>
      <c r="S93" s="272"/>
      <c r="T93" s="272"/>
      <c r="U93" s="272"/>
      <c r="V93" s="272"/>
      <c r="W93" s="272"/>
      <c r="X93" s="272"/>
      <c r="Y93" s="272"/>
      <c r="Z93" s="272"/>
      <c r="AA93" s="272"/>
    </row>
    <row r="94" spans="1:27">
      <c r="A94" s="273">
        <v>1</v>
      </c>
      <c r="B94" s="274" t="s">
        <v>4713</v>
      </c>
      <c r="C94" s="275">
        <v>45302</v>
      </c>
      <c r="D94" s="274" t="s">
        <v>4714</v>
      </c>
      <c r="E94" s="268" t="s">
        <v>4820</v>
      </c>
      <c r="F94" s="268" t="s">
        <v>4715</v>
      </c>
      <c r="G94" s="268" t="s">
        <v>4716</v>
      </c>
      <c r="H94" s="268" t="str">
        <f t="shared" si="0"/>
        <v>Mª ISABEL CASTRO CANELADA</v>
      </c>
      <c r="I94" s="268" t="s">
        <v>4914</v>
      </c>
      <c r="J94" s="272" t="s">
        <v>4822</v>
      </c>
      <c r="K94" s="268" t="s">
        <v>4915</v>
      </c>
      <c r="L94" s="276">
        <v>45317</v>
      </c>
      <c r="M94" s="277"/>
      <c r="N94" s="278">
        <v>2</v>
      </c>
      <c r="O94" s="279" t="s">
        <v>4720</v>
      </c>
      <c r="P94" s="280">
        <v>3604.55</v>
      </c>
      <c r="Q94" s="281">
        <v>45302</v>
      </c>
      <c r="R94" s="272"/>
      <c r="S94" s="272"/>
      <c r="T94" s="272"/>
      <c r="U94" s="272"/>
      <c r="V94" s="272"/>
      <c r="W94" s="272"/>
      <c r="X94" s="272"/>
      <c r="Y94" s="272"/>
      <c r="Z94" s="272"/>
      <c r="AA94" s="272"/>
    </row>
    <row r="95" spans="1:27">
      <c r="A95" s="273">
        <v>1</v>
      </c>
      <c r="B95" s="274" t="s">
        <v>4713</v>
      </c>
      <c r="C95" s="275">
        <v>45301</v>
      </c>
      <c r="D95" s="274" t="s">
        <v>4714</v>
      </c>
      <c r="E95" s="268" t="s">
        <v>3480</v>
      </c>
      <c r="F95" s="268" t="s">
        <v>4715</v>
      </c>
      <c r="G95" s="268" t="s">
        <v>4716</v>
      </c>
      <c r="H95" s="268" t="str">
        <f t="shared" si="0"/>
        <v>ITHZEL MARIA VILLARREAL PATIÑO</v>
      </c>
      <c r="I95" s="268" t="s">
        <v>4765</v>
      </c>
      <c r="J95" s="268" t="s">
        <v>4718</v>
      </c>
      <c r="K95" s="268" t="s">
        <v>4916</v>
      </c>
      <c r="L95" s="276">
        <v>45317</v>
      </c>
      <c r="M95" s="277"/>
      <c r="N95" s="278">
        <v>1</v>
      </c>
      <c r="O95" s="279" t="s">
        <v>4723</v>
      </c>
      <c r="P95" s="280">
        <v>1584.55</v>
      </c>
      <c r="Q95" s="281">
        <v>45301</v>
      </c>
      <c r="R95" s="272"/>
      <c r="S95" s="272"/>
      <c r="T95" s="272"/>
      <c r="U95" s="272"/>
      <c r="V95" s="272"/>
      <c r="W95" s="272"/>
      <c r="X95" s="272"/>
      <c r="Y95" s="272"/>
      <c r="Z95" s="272"/>
      <c r="AA95" s="272"/>
    </row>
    <row r="96" spans="1:27">
      <c r="A96" s="273">
        <v>1</v>
      </c>
      <c r="B96" s="274" t="s">
        <v>4713</v>
      </c>
      <c r="C96" s="275">
        <v>45300</v>
      </c>
      <c r="D96" s="274" t="s">
        <v>4714</v>
      </c>
      <c r="E96" s="268" t="s">
        <v>3480</v>
      </c>
      <c r="F96" s="268" t="s">
        <v>4715</v>
      </c>
      <c r="G96" s="268" t="s">
        <v>4716</v>
      </c>
      <c r="H96" s="268" t="str">
        <f t="shared" si="0"/>
        <v>PALOMA MARTÍN- ARAGÓN MARTIÍ</v>
      </c>
      <c r="I96" s="268" t="s">
        <v>4917</v>
      </c>
      <c r="J96" s="272" t="s">
        <v>4718</v>
      </c>
      <c r="K96" s="268" t="s">
        <v>4918</v>
      </c>
      <c r="L96" s="276">
        <v>45317</v>
      </c>
      <c r="M96" s="277"/>
      <c r="N96" s="282">
        <v>2</v>
      </c>
      <c r="O96" s="279" t="s">
        <v>4720</v>
      </c>
      <c r="P96" s="280">
        <v>3424.32</v>
      </c>
      <c r="Q96" s="281">
        <v>45300</v>
      </c>
      <c r="R96" s="272"/>
      <c r="S96" s="272"/>
      <c r="T96" s="272"/>
      <c r="U96" s="272"/>
      <c r="V96" s="272"/>
      <c r="W96" s="272"/>
      <c r="X96" s="272"/>
      <c r="Y96" s="272"/>
      <c r="Z96" s="272"/>
      <c r="AA96" s="272"/>
    </row>
    <row r="97" spans="1:27">
      <c r="A97" s="273">
        <v>1</v>
      </c>
      <c r="B97" s="274" t="s">
        <v>4713</v>
      </c>
      <c r="C97" s="275">
        <v>45300</v>
      </c>
      <c r="D97" s="274" t="s">
        <v>4714</v>
      </c>
      <c r="E97" s="268" t="s">
        <v>3480</v>
      </c>
      <c r="F97" s="268" t="s">
        <v>4715</v>
      </c>
      <c r="G97" s="268" t="s">
        <v>4716</v>
      </c>
      <c r="H97" s="268" t="str">
        <f t="shared" si="0"/>
        <v>VICTORIA GARCÍA PECES</v>
      </c>
      <c r="I97" s="268" t="s">
        <v>4762</v>
      </c>
      <c r="J97" s="272" t="s">
        <v>4718</v>
      </c>
      <c r="K97" s="268" t="s">
        <v>4919</v>
      </c>
      <c r="L97" s="276">
        <v>45317</v>
      </c>
      <c r="M97" s="277"/>
      <c r="N97" s="282">
        <v>2</v>
      </c>
      <c r="O97" s="279" t="s">
        <v>4740</v>
      </c>
      <c r="P97" s="280">
        <v>3617.86</v>
      </c>
      <c r="Q97" s="281">
        <v>45300</v>
      </c>
      <c r="R97" s="272"/>
      <c r="S97" s="272"/>
      <c r="T97" s="272"/>
      <c r="U97" s="272"/>
      <c r="V97" s="272"/>
      <c r="W97" s="272"/>
      <c r="X97" s="272"/>
      <c r="Y97" s="272"/>
      <c r="Z97" s="272"/>
      <c r="AA97" s="272"/>
    </row>
    <row r="98" spans="1:27">
      <c r="A98" s="273">
        <v>1</v>
      </c>
      <c r="B98" s="274" t="s">
        <v>4713</v>
      </c>
      <c r="C98" s="275">
        <v>45301</v>
      </c>
      <c r="D98" s="274" t="s">
        <v>4714</v>
      </c>
      <c r="E98" s="268" t="s">
        <v>3480</v>
      </c>
      <c r="F98" s="268" t="s">
        <v>4715</v>
      </c>
      <c r="G98" s="268" t="s">
        <v>4716</v>
      </c>
      <c r="H98" s="268" t="str">
        <f t="shared" si="0"/>
        <v>VICTORIA GARCÍA PECES</v>
      </c>
      <c r="I98" s="268" t="s">
        <v>4762</v>
      </c>
      <c r="J98" s="272" t="s">
        <v>4718</v>
      </c>
      <c r="K98" s="268" t="s">
        <v>4920</v>
      </c>
      <c r="L98" s="276">
        <v>45317</v>
      </c>
      <c r="M98" s="277"/>
      <c r="N98" s="282">
        <v>2</v>
      </c>
      <c r="O98" s="279" t="s">
        <v>4740</v>
      </c>
      <c r="P98" s="280">
        <v>3618.61</v>
      </c>
      <c r="Q98" s="281">
        <v>45301</v>
      </c>
      <c r="R98" s="272"/>
      <c r="S98" s="272"/>
      <c r="T98" s="272"/>
      <c r="U98" s="272"/>
      <c r="V98" s="272"/>
      <c r="W98" s="272"/>
      <c r="X98" s="272"/>
      <c r="Y98" s="272"/>
      <c r="Z98" s="272"/>
      <c r="AA98" s="272"/>
    </row>
    <row r="99" spans="1:27">
      <c r="A99" s="273">
        <v>1</v>
      </c>
      <c r="B99" s="274" t="s">
        <v>4713</v>
      </c>
      <c r="C99" s="275">
        <v>45294</v>
      </c>
      <c r="D99" s="274" t="s">
        <v>4714</v>
      </c>
      <c r="E99" s="268" t="s">
        <v>2880</v>
      </c>
      <c r="F99" s="268" t="s">
        <v>4715</v>
      </c>
      <c r="G99" s="268" t="s">
        <v>4716</v>
      </c>
      <c r="H99" s="268" t="str">
        <f t="shared" si="0"/>
        <v>ROSARIO GARCIA MONESCILLO</v>
      </c>
      <c r="I99" s="268" t="s">
        <v>4921</v>
      </c>
      <c r="J99" s="272" t="s">
        <v>4718</v>
      </c>
      <c r="K99" s="268" t="s">
        <v>4922</v>
      </c>
      <c r="L99" s="276">
        <v>45317</v>
      </c>
      <c r="M99" s="277"/>
      <c r="N99" s="282">
        <v>2</v>
      </c>
      <c r="O99" s="279" t="s">
        <v>4723</v>
      </c>
      <c r="P99" s="280">
        <v>2780.91</v>
      </c>
      <c r="Q99" s="281">
        <v>45294</v>
      </c>
      <c r="R99" s="272"/>
      <c r="S99" s="272"/>
      <c r="T99" s="272"/>
      <c r="U99" s="272"/>
      <c r="V99" s="272"/>
      <c r="W99" s="272"/>
      <c r="X99" s="272"/>
      <c r="Y99" s="272"/>
      <c r="Z99" s="272"/>
      <c r="AA99" s="272"/>
    </row>
    <row r="100" spans="1:27">
      <c r="A100" s="273">
        <v>1</v>
      </c>
      <c r="B100" s="274" t="s">
        <v>4713</v>
      </c>
      <c r="C100" s="275">
        <v>45299</v>
      </c>
      <c r="D100" s="274" t="s">
        <v>4714</v>
      </c>
      <c r="E100" s="268" t="s">
        <v>2893</v>
      </c>
      <c r="F100" s="268" t="s">
        <v>4715</v>
      </c>
      <c r="G100" s="268" t="s">
        <v>4716</v>
      </c>
      <c r="H100" s="268" t="str">
        <f t="shared" si="0"/>
        <v>JESÚS RAMOS FERNÁNDEZ</v>
      </c>
      <c r="I100" s="268" t="s">
        <v>4923</v>
      </c>
      <c r="J100" s="272" t="s">
        <v>4718</v>
      </c>
      <c r="K100" s="268" t="s">
        <v>4924</v>
      </c>
      <c r="L100" s="276">
        <v>45317</v>
      </c>
      <c r="M100" s="277"/>
      <c r="N100" s="282">
        <v>2</v>
      </c>
      <c r="O100" s="279" t="s">
        <v>4720</v>
      </c>
      <c r="P100" s="280">
        <v>3604.55</v>
      </c>
      <c r="Q100" s="281">
        <v>45299</v>
      </c>
      <c r="R100" s="272"/>
      <c r="S100" s="272"/>
      <c r="T100" s="272"/>
      <c r="U100" s="272"/>
      <c r="V100" s="272"/>
      <c r="W100" s="272"/>
      <c r="X100" s="272"/>
      <c r="Y100" s="272"/>
      <c r="Z100" s="272"/>
      <c r="AA100" s="272"/>
    </row>
    <row r="101" spans="1:27">
      <c r="A101" s="273">
        <v>1</v>
      </c>
      <c r="B101" s="274" t="s">
        <v>4713</v>
      </c>
      <c r="C101" s="275">
        <v>45271</v>
      </c>
      <c r="D101" s="274" t="s">
        <v>4714</v>
      </c>
      <c r="E101" s="268" t="s">
        <v>2929</v>
      </c>
      <c r="F101" s="268" t="s">
        <v>4715</v>
      </c>
      <c r="G101" s="268" t="s">
        <v>4716</v>
      </c>
      <c r="H101" s="268" t="str">
        <f t="shared" si="0"/>
        <v>JOAQUÍN ALACIO CASERO</v>
      </c>
      <c r="I101" s="268" t="s">
        <v>4925</v>
      </c>
      <c r="J101" s="272" t="s">
        <v>4718</v>
      </c>
      <c r="K101" s="268" t="s">
        <v>4926</v>
      </c>
      <c r="L101" s="276">
        <v>45317</v>
      </c>
      <c r="M101" s="277"/>
      <c r="N101" s="282">
        <v>1</v>
      </c>
      <c r="O101" s="279" t="s">
        <v>4720</v>
      </c>
      <c r="P101" s="280">
        <v>2053.85</v>
      </c>
      <c r="Q101" s="281">
        <v>45271</v>
      </c>
      <c r="R101" s="272"/>
      <c r="S101" s="272"/>
      <c r="T101" s="272"/>
      <c r="U101" s="272"/>
      <c r="V101" s="272"/>
      <c r="W101" s="272"/>
      <c r="X101" s="272"/>
      <c r="Y101" s="272"/>
      <c r="Z101" s="272"/>
      <c r="AA101" s="272"/>
    </row>
    <row r="102" spans="1:27">
      <c r="A102" s="273">
        <v>1</v>
      </c>
      <c r="B102" s="274" t="s">
        <v>4713</v>
      </c>
      <c r="C102" s="275">
        <v>45289</v>
      </c>
      <c r="D102" s="274" t="s">
        <v>4714</v>
      </c>
      <c r="E102" s="268" t="s">
        <v>2869</v>
      </c>
      <c r="F102" s="268" t="s">
        <v>4715</v>
      </c>
      <c r="G102" s="268" t="s">
        <v>4716</v>
      </c>
      <c r="H102" s="268" t="str">
        <f t="shared" si="0"/>
        <v>IGNACIO ALBALADEJO DEVIS</v>
      </c>
      <c r="I102" s="268" t="s">
        <v>4755</v>
      </c>
      <c r="J102" s="272" t="s">
        <v>4736</v>
      </c>
      <c r="K102" s="268" t="s">
        <v>4927</v>
      </c>
      <c r="L102" s="276">
        <v>45317</v>
      </c>
      <c r="M102" s="277"/>
      <c r="N102" s="282">
        <v>2</v>
      </c>
      <c r="O102" s="279" t="s">
        <v>4720</v>
      </c>
      <c r="P102" s="280">
        <v>3604.55</v>
      </c>
      <c r="Q102" s="281">
        <v>45289</v>
      </c>
      <c r="R102" s="272"/>
      <c r="S102" s="272"/>
      <c r="T102" s="272"/>
      <c r="U102" s="272"/>
      <c r="V102" s="272"/>
      <c r="W102" s="272"/>
      <c r="X102" s="272"/>
      <c r="Y102" s="272"/>
      <c r="Z102" s="272"/>
      <c r="AA102" s="272"/>
    </row>
    <row r="103" spans="1:27">
      <c r="A103" s="273">
        <v>1</v>
      </c>
      <c r="B103" s="274" t="s">
        <v>4713</v>
      </c>
      <c r="C103" s="275">
        <v>45299</v>
      </c>
      <c r="D103" s="274" t="s">
        <v>4714</v>
      </c>
      <c r="E103" s="279" t="s">
        <v>2921</v>
      </c>
      <c r="F103" s="279" t="s">
        <v>4715</v>
      </c>
      <c r="G103" s="279" t="s">
        <v>4716</v>
      </c>
      <c r="H103" s="268" t="str">
        <f t="shared" si="0"/>
        <v>IGNACIO PLA GIL</v>
      </c>
      <c r="I103" s="268" t="s">
        <v>4928</v>
      </c>
      <c r="J103" s="272" t="s">
        <v>4910</v>
      </c>
      <c r="K103" s="279" t="s">
        <v>4929</v>
      </c>
      <c r="L103" s="276">
        <v>45317</v>
      </c>
      <c r="M103" s="283"/>
      <c r="N103" s="282">
        <v>2</v>
      </c>
      <c r="O103" s="284" t="s">
        <v>4723</v>
      </c>
      <c r="P103" s="280">
        <v>2780.91</v>
      </c>
      <c r="Q103" s="281">
        <v>45299</v>
      </c>
      <c r="R103" s="272"/>
      <c r="S103" s="272"/>
      <c r="T103" s="272"/>
      <c r="U103" s="272"/>
      <c r="V103" s="272"/>
      <c r="W103" s="272"/>
      <c r="X103" s="272"/>
      <c r="Y103" s="272"/>
      <c r="Z103" s="272"/>
      <c r="AA103" s="272"/>
    </row>
    <row r="104" spans="1:27">
      <c r="A104" s="273">
        <v>1</v>
      </c>
      <c r="B104" s="274" t="s">
        <v>4713</v>
      </c>
      <c r="C104" s="275">
        <v>45274</v>
      </c>
      <c r="D104" s="274" t="s">
        <v>4714</v>
      </c>
      <c r="E104" s="268" t="s">
        <v>4194</v>
      </c>
      <c r="F104" s="268" t="s">
        <v>4715</v>
      </c>
      <c r="G104" s="268" t="s">
        <v>4716</v>
      </c>
      <c r="H104" s="268" t="str">
        <f t="shared" si="0"/>
        <v>FÉLIX RUÍZ DE LA CUESTA JUSTE</v>
      </c>
      <c r="I104" s="268" t="s">
        <v>4930</v>
      </c>
      <c r="J104" s="268" t="s">
        <v>4736</v>
      </c>
      <c r="K104" s="268" t="s">
        <v>4931</v>
      </c>
      <c r="L104" s="276">
        <v>45320</v>
      </c>
      <c r="M104" s="277"/>
      <c r="N104" s="282">
        <v>1</v>
      </c>
      <c r="O104" s="279" t="s">
        <v>4740</v>
      </c>
      <c r="P104" s="280">
        <v>3272.73</v>
      </c>
      <c r="Q104" s="281">
        <v>45274</v>
      </c>
      <c r="R104" s="272"/>
      <c r="S104" s="272"/>
      <c r="T104" s="272"/>
      <c r="U104" s="272"/>
      <c r="V104" s="272"/>
      <c r="W104" s="272"/>
      <c r="X104" s="272"/>
      <c r="Y104" s="272"/>
      <c r="Z104" s="272"/>
      <c r="AA104" s="272"/>
    </row>
    <row r="105" spans="1:27">
      <c r="A105" s="273">
        <v>1</v>
      </c>
      <c r="B105" s="274" t="s">
        <v>4713</v>
      </c>
      <c r="C105" s="275">
        <v>45280</v>
      </c>
      <c r="D105" s="274" t="s">
        <v>4714</v>
      </c>
      <c r="E105" s="268" t="s">
        <v>2880</v>
      </c>
      <c r="F105" s="268" t="s">
        <v>4724</v>
      </c>
      <c r="G105" s="268" t="s">
        <v>4725</v>
      </c>
      <c r="H105" s="268" t="str">
        <f t="shared" si="0"/>
        <v>DANIEL MORENO JIMENEZ</v>
      </c>
      <c r="I105" s="268" t="s">
        <v>4932</v>
      </c>
      <c r="J105" s="272" t="s">
        <v>4718</v>
      </c>
      <c r="K105" s="268" t="s">
        <v>4933</v>
      </c>
      <c r="L105" s="276">
        <v>45320</v>
      </c>
      <c r="M105" s="277"/>
      <c r="N105" s="282">
        <v>2</v>
      </c>
      <c r="O105" s="279" t="s">
        <v>4723</v>
      </c>
      <c r="P105" s="280">
        <v>2780.87</v>
      </c>
      <c r="Q105" s="281">
        <v>45280</v>
      </c>
      <c r="R105" s="272"/>
      <c r="S105" s="272"/>
      <c r="T105" s="272"/>
      <c r="U105" s="272"/>
      <c r="V105" s="272"/>
      <c r="W105" s="272"/>
      <c r="X105" s="272"/>
      <c r="Y105" s="272"/>
      <c r="Z105" s="272"/>
      <c r="AA105" s="272"/>
    </row>
    <row r="106" spans="1:27">
      <c r="A106" s="273">
        <v>1</v>
      </c>
      <c r="B106" s="274" t="s">
        <v>4713</v>
      </c>
      <c r="C106" s="275">
        <v>44830</v>
      </c>
      <c r="D106" s="274" t="s">
        <v>4714</v>
      </c>
      <c r="E106" s="268" t="s">
        <v>2929</v>
      </c>
      <c r="F106" s="268" t="s">
        <v>4715</v>
      </c>
      <c r="G106" s="268" t="s">
        <v>4716</v>
      </c>
      <c r="H106" s="268" t="str">
        <f t="shared" si="0"/>
        <v>CARLOS BARAJAS DEL ROSAL</v>
      </c>
      <c r="I106" s="268" t="s">
        <v>4934</v>
      </c>
      <c r="J106" s="272" t="s">
        <v>4935</v>
      </c>
      <c r="K106" s="268" t="s">
        <v>4936</v>
      </c>
      <c r="L106" s="276">
        <v>45320</v>
      </c>
      <c r="M106" s="277"/>
      <c r="N106" s="282">
        <v>2</v>
      </c>
      <c r="O106" s="279" t="s">
        <v>4720</v>
      </c>
      <c r="P106" s="280">
        <v>3604.55</v>
      </c>
      <c r="Q106" s="281">
        <v>44830</v>
      </c>
      <c r="R106" s="272"/>
      <c r="S106" s="272"/>
      <c r="T106" s="272"/>
      <c r="U106" s="272"/>
      <c r="V106" s="272"/>
      <c r="W106" s="272"/>
      <c r="X106" s="272"/>
      <c r="Y106" s="272"/>
      <c r="Z106" s="272"/>
      <c r="AA106" s="272"/>
    </row>
    <row r="107" spans="1:27">
      <c r="A107" s="273">
        <v>1</v>
      </c>
      <c r="B107" s="274" t="s">
        <v>4713</v>
      </c>
      <c r="C107" s="275">
        <v>44956</v>
      </c>
      <c r="D107" s="274" t="s">
        <v>4714</v>
      </c>
      <c r="E107" s="268" t="s">
        <v>2869</v>
      </c>
      <c r="F107" s="268" t="s">
        <v>4715</v>
      </c>
      <c r="G107" s="268" t="s">
        <v>4716</v>
      </c>
      <c r="H107" s="268" t="str">
        <f t="shared" si="0"/>
        <v>NO REUERDA ORL</v>
      </c>
      <c r="I107" s="268" t="s">
        <v>4743</v>
      </c>
      <c r="J107" s="272" t="s">
        <v>4736</v>
      </c>
      <c r="K107" s="268" t="s">
        <v>4937</v>
      </c>
      <c r="L107" s="276">
        <v>45320</v>
      </c>
      <c r="M107" s="277"/>
      <c r="N107" s="282">
        <v>2</v>
      </c>
      <c r="O107" s="279" t="s">
        <v>4723</v>
      </c>
      <c r="P107" s="280">
        <v>2780.91</v>
      </c>
      <c r="Q107" s="281">
        <v>44956</v>
      </c>
      <c r="R107" s="272"/>
      <c r="S107" s="272"/>
      <c r="T107" s="272"/>
      <c r="U107" s="272"/>
      <c r="V107" s="272"/>
      <c r="W107" s="272"/>
      <c r="X107" s="272"/>
      <c r="Y107" s="272"/>
      <c r="Z107" s="272"/>
      <c r="AA107" s="272"/>
    </row>
    <row r="108" spans="1:27">
      <c r="A108" s="273">
        <v>1</v>
      </c>
      <c r="B108" s="274" t="s">
        <v>4713</v>
      </c>
      <c r="C108" s="275">
        <v>45296</v>
      </c>
      <c r="D108" s="274" t="s">
        <v>4714</v>
      </c>
      <c r="E108" s="268" t="s">
        <v>2873</v>
      </c>
      <c r="F108" s="268" t="s">
        <v>4715</v>
      </c>
      <c r="G108" s="268" t="s">
        <v>4716</v>
      </c>
      <c r="H108" s="268" t="str">
        <f t="shared" si="0"/>
        <v>JUAN JAVIER ÁLVAREZ LÓPEZ</v>
      </c>
      <c r="I108" s="268" t="s">
        <v>4938</v>
      </c>
      <c r="J108" s="268" t="s">
        <v>4736</v>
      </c>
      <c r="K108" s="268" t="s">
        <v>4939</v>
      </c>
      <c r="L108" s="276">
        <v>45320</v>
      </c>
      <c r="M108" s="277"/>
      <c r="N108" s="282">
        <v>1</v>
      </c>
      <c r="O108" s="284" t="s">
        <v>4723</v>
      </c>
      <c r="P108" s="280">
        <v>1668.18</v>
      </c>
      <c r="Q108" s="281">
        <v>45296</v>
      </c>
      <c r="R108" s="272"/>
      <c r="S108" s="272"/>
      <c r="T108" s="272"/>
      <c r="U108" s="272"/>
      <c r="V108" s="272"/>
      <c r="W108" s="272"/>
      <c r="X108" s="272"/>
      <c r="Y108" s="272"/>
      <c r="Z108" s="272"/>
      <c r="AA108" s="272"/>
    </row>
    <row r="109" spans="1:27">
      <c r="A109" s="273">
        <v>1</v>
      </c>
      <c r="B109" s="274" t="s">
        <v>4713</v>
      </c>
      <c r="C109" s="275">
        <v>45215</v>
      </c>
      <c r="D109" s="274" t="s">
        <v>4714</v>
      </c>
      <c r="E109" s="268" t="s">
        <v>4780</v>
      </c>
      <c r="F109" s="268" t="s">
        <v>4715</v>
      </c>
      <c r="G109" s="268" t="s">
        <v>4716</v>
      </c>
      <c r="H109" s="268" t="str">
        <f t="shared" si="0"/>
        <v>ÁNGEL MUÑOZ HERRERA</v>
      </c>
      <c r="I109" s="268" t="s">
        <v>4940</v>
      </c>
      <c r="J109" s="272" t="s">
        <v>4747</v>
      </c>
      <c r="K109" s="268" t="s">
        <v>4941</v>
      </c>
      <c r="L109" s="276">
        <v>45320</v>
      </c>
      <c r="M109" s="283"/>
      <c r="N109" s="282">
        <v>2</v>
      </c>
      <c r="O109" s="284" t="s">
        <v>4740</v>
      </c>
      <c r="P109" s="280">
        <v>4222.7299999999996</v>
      </c>
      <c r="Q109" s="281">
        <v>45215</v>
      </c>
      <c r="R109" s="272"/>
      <c r="S109" s="272"/>
      <c r="T109" s="272"/>
      <c r="U109" s="272"/>
      <c r="V109" s="272"/>
      <c r="W109" s="272"/>
      <c r="X109" s="272"/>
      <c r="Y109" s="272"/>
      <c r="Z109" s="272"/>
      <c r="AA109" s="272"/>
    </row>
    <row r="110" spans="1:27">
      <c r="A110" s="273">
        <v>1</v>
      </c>
      <c r="B110" s="274" t="s">
        <v>4713</v>
      </c>
      <c r="C110" s="275">
        <v>45286</v>
      </c>
      <c r="D110" s="274" t="s">
        <v>4714</v>
      </c>
      <c r="E110" s="268" t="s">
        <v>2880</v>
      </c>
      <c r="F110" s="268" t="s">
        <v>4715</v>
      </c>
      <c r="G110" s="268" t="s">
        <v>4716</v>
      </c>
      <c r="H110" s="268" t="str">
        <f t="shared" si="0"/>
        <v>ANTONIO RODRÍGUEZ RIVERO</v>
      </c>
      <c r="I110" s="268" t="s">
        <v>4717</v>
      </c>
      <c r="J110" s="272" t="s">
        <v>4718</v>
      </c>
      <c r="K110" s="268" t="s">
        <v>4942</v>
      </c>
      <c r="L110" s="276">
        <v>45321</v>
      </c>
      <c r="M110" s="277"/>
      <c r="N110" s="282">
        <v>1</v>
      </c>
      <c r="O110" s="279" t="s">
        <v>4720</v>
      </c>
      <c r="P110" s="280">
        <v>2162.6999999999998</v>
      </c>
      <c r="Q110" s="281">
        <v>45286</v>
      </c>
      <c r="R110" s="272"/>
      <c r="S110" s="272"/>
      <c r="T110" s="272"/>
      <c r="U110" s="272"/>
      <c r="V110" s="272"/>
      <c r="W110" s="272"/>
      <c r="X110" s="272"/>
      <c r="Y110" s="272"/>
      <c r="Z110" s="272"/>
      <c r="AA110" s="272"/>
    </row>
    <row r="111" spans="1:27">
      <c r="A111" s="273">
        <v>1</v>
      </c>
      <c r="B111" s="274" t="s">
        <v>4713</v>
      </c>
      <c r="C111" s="275">
        <v>45258</v>
      </c>
      <c r="D111" s="274" t="s">
        <v>4714</v>
      </c>
      <c r="E111" s="268" t="s">
        <v>2893</v>
      </c>
      <c r="F111" s="268" t="s">
        <v>4715</v>
      </c>
      <c r="G111" s="268" t="s">
        <v>4716</v>
      </c>
      <c r="H111" s="268" t="str">
        <f t="shared" si="0"/>
        <v>MONTSERRAT PORTELL SORIANO</v>
      </c>
      <c r="I111" s="268" t="s">
        <v>4943</v>
      </c>
      <c r="J111" s="272" t="s">
        <v>4718</v>
      </c>
      <c r="K111" s="268" t="s">
        <v>4944</v>
      </c>
      <c r="L111" s="276">
        <v>45321</v>
      </c>
      <c r="M111" s="277"/>
      <c r="N111" s="278">
        <v>2</v>
      </c>
      <c r="O111" s="279" t="s">
        <v>4720</v>
      </c>
      <c r="P111" s="280">
        <v>3424.55</v>
      </c>
      <c r="Q111" s="281">
        <v>45258</v>
      </c>
      <c r="R111" s="272"/>
      <c r="S111" s="272"/>
      <c r="T111" s="272"/>
      <c r="U111" s="272"/>
      <c r="V111" s="272"/>
      <c r="W111" s="272"/>
      <c r="X111" s="272"/>
      <c r="Y111" s="272"/>
      <c r="Z111" s="272"/>
      <c r="AA111" s="272"/>
    </row>
    <row r="112" spans="1:27">
      <c r="A112" s="273">
        <v>1</v>
      </c>
      <c r="B112" s="274" t="s">
        <v>4713</v>
      </c>
      <c r="C112" s="275">
        <v>45275</v>
      </c>
      <c r="D112" s="274" t="s">
        <v>4714</v>
      </c>
      <c r="E112" s="268" t="s">
        <v>4945</v>
      </c>
      <c r="F112" s="268" t="s">
        <v>4715</v>
      </c>
      <c r="G112" s="268" t="s">
        <v>4716</v>
      </c>
      <c r="H112" s="268" t="str">
        <f t="shared" si="0"/>
        <v>PEDRO JUIZ LÓPEZ</v>
      </c>
      <c r="I112" s="268" t="s">
        <v>4946</v>
      </c>
      <c r="J112" s="272" t="s">
        <v>4751</v>
      </c>
      <c r="K112" s="268" t="s">
        <v>4947</v>
      </c>
      <c r="L112" s="276">
        <v>45321</v>
      </c>
      <c r="M112" s="283"/>
      <c r="N112" s="278">
        <v>2</v>
      </c>
      <c r="O112" s="279" t="s">
        <v>4720</v>
      </c>
      <c r="P112" s="280">
        <v>3181.82</v>
      </c>
      <c r="Q112" s="281">
        <v>45275</v>
      </c>
      <c r="R112" s="272"/>
      <c r="S112" s="272"/>
      <c r="T112" s="272"/>
      <c r="U112" s="272"/>
      <c r="V112" s="272"/>
      <c r="W112" s="272"/>
      <c r="X112" s="272"/>
      <c r="Y112" s="272"/>
      <c r="Z112" s="272"/>
      <c r="AA112" s="272"/>
    </row>
    <row r="113" spans="1:27">
      <c r="A113" s="273">
        <v>1</v>
      </c>
      <c r="B113" s="274" t="s">
        <v>4713</v>
      </c>
      <c r="C113" s="275">
        <v>44799</v>
      </c>
      <c r="D113" s="274" t="s">
        <v>4714</v>
      </c>
      <c r="E113" s="279" t="s">
        <v>4945</v>
      </c>
      <c r="F113" s="279" t="s">
        <v>4715</v>
      </c>
      <c r="G113" s="279" t="s">
        <v>4716</v>
      </c>
      <c r="H113" s="268" t="str">
        <f t="shared" si="0"/>
        <v>PEDRO JUIZ LÓPEZ</v>
      </c>
      <c r="I113" s="268" t="s">
        <v>4946</v>
      </c>
      <c r="J113" s="272" t="s">
        <v>4751</v>
      </c>
      <c r="K113" s="279" t="s">
        <v>4948</v>
      </c>
      <c r="L113" s="276">
        <v>45321</v>
      </c>
      <c r="M113" s="277"/>
      <c r="N113" s="282">
        <v>1</v>
      </c>
      <c r="O113" s="279" t="s">
        <v>4740</v>
      </c>
      <c r="P113" s="280">
        <v>2000</v>
      </c>
      <c r="Q113" s="281">
        <v>44799</v>
      </c>
      <c r="R113" s="272"/>
      <c r="S113" s="272"/>
      <c r="T113" s="272"/>
      <c r="U113" s="272"/>
      <c r="V113" s="272"/>
      <c r="W113" s="272"/>
      <c r="X113" s="272"/>
      <c r="Y113" s="272"/>
      <c r="Z113" s="272"/>
      <c r="AA113" s="272"/>
    </row>
    <row r="114" spans="1:27">
      <c r="A114" s="273">
        <v>1</v>
      </c>
      <c r="B114" s="274" t="s">
        <v>4713</v>
      </c>
      <c r="C114" s="275">
        <v>45302</v>
      </c>
      <c r="D114" s="274" t="s">
        <v>4714</v>
      </c>
      <c r="E114" s="279" t="s">
        <v>2929</v>
      </c>
      <c r="F114" s="279" t="s">
        <v>4715</v>
      </c>
      <c r="G114" s="279" t="s">
        <v>4716</v>
      </c>
      <c r="H114" s="268" t="str">
        <f t="shared" si="0"/>
        <v>CARLOS BARAJAS DEL ROSAL</v>
      </c>
      <c r="I114" s="268" t="s">
        <v>4934</v>
      </c>
      <c r="J114" s="272" t="s">
        <v>4935</v>
      </c>
      <c r="K114" s="279" t="s">
        <v>4949</v>
      </c>
      <c r="L114" s="276">
        <v>45321</v>
      </c>
      <c r="M114" s="277"/>
      <c r="N114" s="282">
        <v>2</v>
      </c>
      <c r="O114" s="279" t="s">
        <v>4720</v>
      </c>
      <c r="P114" s="280">
        <v>3424.32</v>
      </c>
      <c r="Q114" s="281">
        <v>45302</v>
      </c>
      <c r="R114" s="272"/>
      <c r="S114" s="272"/>
      <c r="T114" s="272"/>
      <c r="U114" s="272"/>
      <c r="V114" s="272"/>
      <c r="W114" s="272"/>
      <c r="X114" s="272"/>
      <c r="Y114" s="272"/>
      <c r="Z114" s="272"/>
      <c r="AA114" s="272"/>
    </row>
    <row r="115" spans="1:27">
      <c r="A115" s="273">
        <v>1</v>
      </c>
      <c r="B115" s="274" t="s">
        <v>4713</v>
      </c>
      <c r="C115" s="275">
        <v>45301</v>
      </c>
      <c r="D115" s="274" t="s">
        <v>4714</v>
      </c>
      <c r="E115" s="279" t="s">
        <v>3193</v>
      </c>
      <c r="F115" s="279" t="s">
        <v>4715</v>
      </c>
      <c r="G115" s="279" t="s">
        <v>4716</v>
      </c>
      <c r="H115" s="268" t="str">
        <f t="shared" si="0"/>
        <v>BÁRBARA CASTILLO ÁVILA</v>
      </c>
      <c r="I115" s="268" t="s">
        <v>4950</v>
      </c>
      <c r="J115" s="272" t="s">
        <v>4718</v>
      </c>
      <c r="K115" s="279" t="s">
        <v>4951</v>
      </c>
      <c r="L115" s="276">
        <v>45321</v>
      </c>
      <c r="M115" s="283"/>
      <c r="N115" s="282">
        <v>2</v>
      </c>
      <c r="O115" s="279" t="s">
        <v>4723</v>
      </c>
      <c r="P115" s="280">
        <v>2636.36</v>
      </c>
      <c r="Q115" s="281">
        <v>45301</v>
      </c>
      <c r="R115" s="272"/>
      <c r="S115" s="272"/>
      <c r="T115" s="272"/>
      <c r="U115" s="272"/>
      <c r="V115" s="272"/>
      <c r="W115" s="272"/>
      <c r="X115" s="272"/>
      <c r="Y115" s="272"/>
      <c r="Z115" s="272"/>
      <c r="AA115" s="272"/>
    </row>
    <row r="116" spans="1:27">
      <c r="A116" s="273">
        <v>1</v>
      </c>
      <c r="B116" s="274" t="s">
        <v>4713</v>
      </c>
      <c r="C116" s="275">
        <v>45257</v>
      </c>
      <c r="D116" s="274" t="s">
        <v>4714</v>
      </c>
      <c r="E116" s="268" t="s">
        <v>2900</v>
      </c>
      <c r="F116" s="268" t="s">
        <v>4715</v>
      </c>
      <c r="G116" s="268" t="s">
        <v>4716</v>
      </c>
      <c r="H116" s="268" t="str">
        <f t="shared" si="0"/>
        <v>MARÍA REY MARCOS</v>
      </c>
      <c r="I116" s="268" t="s">
        <v>4952</v>
      </c>
      <c r="J116" s="272" t="s">
        <v>4790</v>
      </c>
      <c r="K116" s="268" t="s">
        <v>4953</v>
      </c>
      <c r="L116" s="276">
        <v>45321</v>
      </c>
      <c r="M116" s="277"/>
      <c r="N116" s="278">
        <v>1</v>
      </c>
      <c r="O116" s="284" t="s">
        <v>4740</v>
      </c>
      <c r="P116" s="280">
        <v>2536.36</v>
      </c>
      <c r="Q116" s="281">
        <v>45257</v>
      </c>
      <c r="R116" s="272"/>
      <c r="S116" s="272"/>
      <c r="T116" s="272"/>
      <c r="U116" s="272"/>
      <c r="V116" s="272"/>
      <c r="W116" s="272"/>
      <c r="X116" s="272"/>
      <c r="Y116" s="272"/>
      <c r="Z116" s="272"/>
      <c r="AA116" s="272"/>
    </row>
    <row r="117" spans="1:27">
      <c r="A117" s="273">
        <v>1</v>
      </c>
      <c r="B117" s="274" t="s">
        <v>4713</v>
      </c>
      <c r="C117" s="275">
        <v>45244</v>
      </c>
      <c r="D117" s="274" t="s">
        <v>4714</v>
      </c>
      <c r="E117" s="268" t="s">
        <v>2873</v>
      </c>
      <c r="F117" s="268" t="s">
        <v>4715</v>
      </c>
      <c r="G117" s="268" t="s">
        <v>4716</v>
      </c>
      <c r="H117" s="268" t="str">
        <f t="shared" si="0"/>
        <v>JUAN JAVIER ÁLVAREZ LÓPEZ</v>
      </c>
      <c r="I117" s="268" t="s">
        <v>4938</v>
      </c>
      <c r="J117" s="272" t="s">
        <v>4736</v>
      </c>
      <c r="K117" s="268" t="s">
        <v>4954</v>
      </c>
      <c r="L117" s="276">
        <v>45321</v>
      </c>
      <c r="M117" s="277"/>
      <c r="N117" s="282">
        <v>2</v>
      </c>
      <c r="O117" s="284" t="s">
        <v>4720</v>
      </c>
      <c r="P117" s="280">
        <v>3363.64</v>
      </c>
      <c r="Q117" s="281">
        <v>45244</v>
      </c>
      <c r="R117" s="272"/>
      <c r="S117" s="272"/>
      <c r="T117" s="272"/>
      <c r="U117" s="272"/>
      <c r="V117" s="272"/>
      <c r="W117" s="272"/>
      <c r="X117" s="272"/>
      <c r="Y117" s="272"/>
      <c r="Z117" s="272"/>
      <c r="AA117" s="272"/>
    </row>
    <row r="118" spans="1:27">
      <c r="A118" s="273">
        <v>1</v>
      </c>
      <c r="B118" s="274" t="s">
        <v>4713</v>
      </c>
      <c r="C118" s="275">
        <v>45271</v>
      </c>
      <c r="D118" s="274" t="s">
        <v>4714</v>
      </c>
      <c r="E118" s="268" t="s">
        <v>4749</v>
      </c>
      <c r="F118" s="268" t="s">
        <v>4715</v>
      </c>
      <c r="G118" s="268" t="s">
        <v>4716</v>
      </c>
      <c r="H118" s="268" t="str">
        <f t="shared" si="0"/>
        <v>DIANA LISBETH</v>
      </c>
      <c r="I118" s="268" t="s">
        <v>4955</v>
      </c>
      <c r="J118" s="272" t="s">
        <v>4751</v>
      </c>
      <c r="K118" s="268" t="s">
        <v>4956</v>
      </c>
      <c r="L118" s="276">
        <v>45321</v>
      </c>
      <c r="M118" s="277"/>
      <c r="N118" s="282">
        <v>2</v>
      </c>
      <c r="O118" s="284" t="s">
        <v>4720</v>
      </c>
      <c r="P118" s="280">
        <v>3545.45</v>
      </c>
      <c r="Q118" s="281">
        <v>45271</v>
      </c>
      <c r="R118" s="272"/>
      <c r="S118" s="272"/>
      <c r="T118" s="272"/>
      <c r="U118" s="272"/>
      <c r="V118" s="272"/>
      <c r="W118" s="272"/>
      <c r="X118" s="272"/>
      <c r="Y118" s="272"/>
      <c r="Z118" s="272"/>
      <c r="AA118" s="272"/>
    </row>
    <row r="119" spans="1:27">
      <c r="A119" s="273">
        <v>1</v>
      </c>
      <c r="B119" s="274" t="s">
        <v>4713</v>
      </c>
      <c r="C119" s="275">
        <v>45239</v>
      </c>
      <c r="D119" s="274" t="s">
        <v>4714</v>
      </c>
      <c r="E119" s="268" t="s">
        <v>2972</v>
      </c>
      <c r="F119" s="268" t="s">
        <v>4715</v>
      </c>
      <c r="G119" s="268" t="s">
        <v>4716</v>
      </c>
      <c r="H119" s="268" t="str">
        <f t="shared" si="0"/>
        <v>PATRICIA EZCURRA HERNÁNDEZ</v>
      </c>
      <c r="I119" s="268" t="s">
        <v>4957</v>
      </c>
      <c r="J119" s="272" t="s">
        <v>4751</v>
      </c>
      <c r="K119" s="268" t="s">
        <v>4958</v>
      </c>
      <c r="L119" s="276">
        <v>45321</v>
      </c>
      <c r="M119" s="283"/>
      <c r="N119" s="278">
        <v>2</v>
      </c>
      <c r="O119" s="284" t="s">
        <v>4723</v>
      </c>
      <c r="P119" s="280">
        <v>2781.82</v>
      </c>
      <c r="Q119" s="281">
        <v>45239</v>
      </c>
      <c r="R119" s="272"/>
      <c r="S119" s="272"/>
      <c r="T119" s="272"/>
      <c r="U119" s="272"/>
      <c r="V119" s="272"/>
      <c r="W119" s="272"/>
      <c r="X119" s="272"/>
      <c r="Y119" s="272"/>
      <c r="Z119" s="272"/>
      <c r="AA119" s="272"/>
    </row>
    <row r="120" spans="1:27">
      <c r="A120" s="273">
        <v>1</v>
      </c>
      <c r="B120" s="274" t="s">
        <v>4713</v>
      </c>
      <c r="C120" s="275">
        <v>45279</v>
      </c>
      <c r="D120" s="274" t="s">
        <v>4714</v>
      </c>
      <c r="E120" s="268" t="s">
        <v>4845</v>
      </c>
      <c r="F120" s="268" t="s">
        <v>4715</v>
      </c>
      <c r="G120" s="268" t="s">
        <v>4716</v>
      </c>
      <c r="H120" s="268" t="str">
        <f t="shared" si="0"/>
        <v>JOSÉ MANUEL GARCÍA SOLANS-ESTERAS</v>
      </c>
      <c r="I120" s="268" t="s">
        <v>4873</v>
      </c>
      <c r="J120" s="272" t="s">
        <v>4806</v>
      </c>
      <c r="K120" s="268" t="s">
        <v>4959</v>
      </c>
      <c r="L120" s="276">
        <v>45321</v>
      </c>
      <c r="M120" s="277"/>
      <c r="N120" s="278">
        <v>2</v>
      </c>
      <c r="O120" s="284" t="s">
        <v>4720</v>
      </c>
      <c r="P120" s="280">
        <v>3424.55</v>
      </c>
      <c r="Q120" s="281">
        <v>45279</v>
      </c>
      <c r="R120" s="272"/>
      <c r="S120" s="272"/>
      <c r="T120" s="272"/>
      <c r="U120" s="272"/>
      <c r="V120" s="272"/>
      <c r="W120" s="272"/>
      <c r="X120" s="272"/>
      <c r="Y120" s="272"/>
      <c r="Z120" s="272"/>
      <c r="AA120" s="272"/>
    </row>
    <row r="121" spans="1:27">
      <c r="A121" s="273">
        <v>1</v>
      </c>
      <c r="B121" s="274" t="s">
        <v>4713</v>
      </c>
      <c r="C121" s="275">
        <v>45301</v>
      </c>
      <c r="D121" s="274" t="s">
        <v>4714</v>
      </c>
      <c r="E121" s="268" t="s">
        <v>3480</v>
      </c>
      <c r="F121" s="268" t="s">
        <v>4715</v>
      </c>
      <c r="G121" s="268" t="s">
        <v>4716</v>
      </c>
      <c r="H121" s="268" t="str">
        <f t="shared" si="0"/>
        <v>VICTORIA GARCÍA PECES</v>
      </c>
      <c r="I121" s="268" t="s">
        <v>4762</v>
      </c>
      <c r="J121" s="272" t="s">
        <v>4718</v>
      </c>
      <c r="K121" s="268" t="s">
        <v>4960</v>
      </c>
      <c r="L121" s="276">
        <v>45322</v>
      </c>
      <c r="M121" s="277"/>
      <c r="N121" s="278">
        <v>2</v>
      </c>
      <c r="O121" s="279" t="s">
        <v>4720</v>
      </c>
      <c r="P121" s="280">
        <v>3422.05</v>
      </c>
      <c r="Q121" s="281">
        <v>45301</v>
      </c>
      <c r="R121" s="272"/>
      <c r="S121" s="272"/>
      <c r="T121" s="272"/>
      <c r="U121" s="272"/>
      <c r="V121" s="272"/>
      <c r="W121" s="272"/>
      <c r="X121" s="272"/>
      <c r="Y121" s="272"/>
      <c r="Z121" s="272"/>
      <c r="AA121" s="272"/>
    </row>
    <row r="122" spans="1:27">
      <c r="A122" s="273">
        <v>1</v>
      </c>
      <c r="B122" s="274" t="s">
        <v>4713</v>
      </c>
      <c r="C122" s="275">
        <v>45272</v>
      </c>
      <c r="D122" s="274" t="s">
        <v>4714</v>
      </c>
      <c r="E122" s="268" t="s">
        <v>2869</v>
      </c>
      <c r="F122" s="268" t="s">
        <v>4715</v>
      </c>
      <c r="G122" s="268" t="s">
        <v>4716</v>
      </c>
      <c r="H122" s="268" t="str">
        <f t="shared" si="0"/>
        <v>JOSÉ ANTONIO DÍAZ MANZANO</v>
      </c>
      <c r="I122" s="268" t="s">
        <v>4961</v>
      </c>
      <c r="J122" s="272" t="s">
        <v>4736</v>
      </c>
      <c r="K122" s="268" t="s">
        <v>4962</v>
      </c>
      <c r="L122" s="276">
        <v>45322</v>
      </c>
      <c r="M122" s="277"/>
      <c r="N122" s="278">
        <v>1</v>
      </c>
      <c r="O122" s="279" t="s">
        <v>4720</v>
      </c>
      <c r="P122" s="280">
        <v>2162.85</v>
      </c>
      <c r="Q122" s="281">
        <v>45272</v>
      </c>
      <c r="R122" s="272"/>
      <c r="S122" s="272"/>
      <c r="T122" s="272"/>
      <c r="U122" s="272"/>
      <c r="V122" s="272"/>
      <c r="W122" s="272"/>
      <c r="X122" s="272"/>
      <c r="Y122" s="272"/>
      <c r="Z122" s="272"/>
      <c r="AA122" s="272"/>
    </row>
    <row r="123" spans="1:27">
      <c r="A123" s="273">
        <v>1</v>
      </c>
      <c r="B123" s="274" t="s">
        <v>4713</v>
      </c>
      <c r="C123" s="275">
        <v>45294</v>
      </c>
      <c r="D123" s="274" t="s">
        <v>4714</v>
      </c>
      <c r="E123" s="268" t="s">
        <v>2869</v>
      </c>
      <c r="F123" s="268" t="s">
        <v>4715</v>
      </c>
      <c r="G123" s="268" t="s">
        <v>4716</v>
      </c>
      <c r="H123" s="268" t="str">
        <f t="shared" si="0"/>
        <v>JESÚS MIGUEL INIESTA TURPÍN</v>
      </c>
      <c r="I123" s="268" t="s">
        <v>4868</v>
      </c>
      <c r="J123" s="268" t="s">
        <v>4736</v>
      </c>
      <c r="K123" s="268" t="s">
        <v>4963</v>
      </c>
      <c r="L123" s="276">
        <v>45322</v>
      </c>
      <c r="M123" s="277"/>
      <c r="N123" s="282">
        <v>2</v>
      </c>
      <c r="O123" s="279" t="s">
        <v>4740</v>
      </c>
      <c r="P123" s="280">
        <v>4222.12</v>
      </c>
      <c r="Q123" s="281">
        <v>45294</v>
      </c>
      <c r="R123" s="272"/>
      <c r="S123" s="272"/>
      <c r="T123" s="272"/>
      <c r="U123" s="272"/>
      <c r="V123" s="272"/>
      <c r="W123" s="272"/>
      <c r="X123" s="272"/>
      <c r="Y123" s="272"/>
      <c r="Z123" s="272"/>
      <c r="AA123" s="272"/>
    </row>
    <row r="124" spans="1:27">
      <c r="A124" s="273">
        <v>1</v>
      </c>
      <c r="B124" s="274" t="s">
        <v>4713</v>
      </c>
      <c r="C124" s="275">
        <v>45302</v>
      </c>
      <c r="D124" s="274" t="s">
        <v>4714</v>
      </c>
      <c r="E124" s="268" t="s">
        <v>2869</v>
      </c>
      <c r="F124" s="268" t="s">
        <v>4724</v>
      </c>
      <c r="G124" s="268" t="s">
        <v>4725</v>
      </c>
      <c r="H124" s="268" t="str">
        <f t="shared" si="0"/>
        <v>JESÚS MIGUEL INIESTA TURPÍN</v>
      </c>
      <c r="I124" s="268" t="s">
        <v>4868</v>
      </c>
      <c r="J124" s="272" t="s">
        <v>4736</v>
      </c>
      <c r="K124" s="268" t="s">
        <v>4964</v>
      </c>
      <c r="L124" s="276">
        <v>45322</v>
      </c>
      <c r="M124" s="277"/>
      <c r="N124" s="282">
        <v>2</v>
      </c>
      <c r="O124" s="279" t="s">
        <v>4723</v>
      </c>
      <c r="P124" s="280">
        <v>2780.87</v>
      </c>
      <c r="Q124" s="281">
        <v>45302</v>
      </c>
      <c r="R124" s="272"/>
      <c r="S124" s="272"/>
      <c r="T124" s="272"/>
      <c r="U124" s="272"/>
      <c r="V124" s="272"/>
      <c r="W124" s="272"/>
      <c r="X124" s="272"/>
      <c r="Y124" s="272"/>
      <c r="Z124" s="272"/>
      <c r="AA124" s="272"/>
    </row>
    <row r="125" spans="1:27">
      <c r="A125" s="273">
        <v>1</v>
      </c>
      <c r="B125" s="274" t="s">
        <v>4713</v>
      </c>
      <c r="C125" s="275">
        <v>45300</v>
      </c>
      <c r="D125" s="274" t="s">
        <v>4714</v>
      </c>
      <c r="E125" s="279" t="s">
        <v>2886</v>
      </c>
      <c r="F125" s="279" t="s">
        <v>4715</v>
      </c>
      <c r="G125" s="279" t="s">
        <v>4716</v>
      </c>
      <c r="H125" s="268" t="str">
        <f t="shared" si="0"/>
        <v>PALOMA PINACHO MARTÍNEZ</v>
      </c>
      <c r="I125" s="268" t="s">
        <v>4853</v>
      </c>
      <c r="J125" s="272" t="s">
        <v>4718</v>
      </c>
      <c r="K125" s="279" t="s">
        <v>4965</v>
      </c>
      <c r="L125" s="276">
        <v>45322</v>
      </c>
      <c r="M125" s="277"/>
      <c r="N125" s="282">
        <v>2</v>
      </c>
      <c r="O125" s="284" t="s">
        <v>4720</v>
      </c>
      <c r="P125" s="280">
        <v>3604.55</v>
      </c>
      <c r="Q125" s="281">
        <v>45300</v>
      </c>
      <c r="R125" s="272"/>
      <c r="S125" s="272"/>
      <c r="T125" s="272"/>
      <c r="U125" s="272"/>
      <c r="V125" s="272"/>
      <c r="W125" s="272"/>
      <c r="X125" s="272"/>
      <c r="Y125" s="272"/>
      <c r="Z125" s="272"/>
      <c r="AA125" s="272"/>
    </row>
    <row r="126" spans="1:27">
      <c r="A126" s="273">
        <v>1</v>
      </c>
      <c r="B126" s="274" t="s">
        <v>4713</v>
      </c>
      <c r="C126" s="275">
        <v>45339</v>
      </c>
      <c r="D126" s="274" t="s">
        <v>4714</v>
      </c>
      <c r="E126" s="268" t="s">
        <v>4856</v>
      </c>
      <c r="F126" s="268" t="s">
        <v>4715</v>
      </c>
      <c r="G126" s="268" t="s">
        <v>4716</v>
      </c>
      <c r="H126" s="268" t="str">
        <f t="shared" si="0"/>
        <v>MIGUEL MAYO YÁÑEZ</v>
      </c>
      <c r="I126" s="268" t="s">
        <v>4966</v>
      </c>
      <c r="J126" s="272" t="s">
        <v>4790</v>
      </c>
      <c r="K126" s="268" t="s">
        <v>4967</v>
      </c>
      <c r="L126" s="276">
        <v>45408</v>
      </c>
      <c r="M126" s="277" t="s">
        <v>4860</v>
      </c>
      <c r="N126" s="282">
        <v>2</v>
      </c>
      <c r="O126" s="279" t="s">
        <v>4968</v>
      </c>
      <c r="P126" s="280">
        <v>3782</v>
      </c>
      <c r="Q126" s="281">
        <v>45339</v>
      </c>
      <c r="R126" s="272"/>
      <c r="S126" s="272"/>
      <c r="T126" s="272"/>
      <c r="U126" s="272"/>
      <c r="V126" s="272"/>
      <c r="W126" s="272"/>
      <c r="X126" s="272"/>
      <c r="Y126" s="272"/>
      <c r="Z126" s="272"/>
      <c r="AA126" s="272"/>
    </row>
    <row r="127" spans="1:27">
      <c r="A127" s="273">
        <v>2</v>
      </c>
      <c r="B127" s="274" t="s">
        <v>4969</v>
      </c>
      <c r="C127" s="275">
        <v>45293</v>
      </c>
      <c r="D127" s="274" t="s">
        <v>4714</v>
      </c>
      <c r="E127" s="268" t="s">
        <v>3480</v>
      </c>
      <c r="F127" s="268" t="s">
        <v>4715</v>
      </c>
      <c r="G127" s="268" t="s">
        <v>4716</v>
      </c>
      <c r="H127" s="268" t="str">
        <f t="shared" si="0"/>
        <v>ITHZEL MARIA VILLARREAL PATIÑO</v>
      </c>
      <c r="I127" s="268" t="s">
        <v>4765</v>
      </c>
      <c r="J127" s="272" t="s">
        <v>4718</v>
      </c>
      <c r="K127" s="268" t="s">
        <v>4970</v>
      </c>
      <c r="L127" s="276">
        <v>45323</v>
      </c>
      <c r="M127" s="277"/>
      <c r="N127" s="282">
        <v>2</v>
      </c>
      <c r="O127" s="284" t="s">
        <v>4720</v>
      </c>
      <c r="P127" s="280">
        <v>3604.5</v>
      </c>
      <c r="Q127" s="287">
        <v>45293</v>
      </c>
      <c r="R127" s="272"/>
      <c r="S127" s="272"/>
      <c r="T127" s="272"/>
      <c r="U127" s="272"/>
      <c r="V127" s="272"/>
      <c r="W127" s="272"/>
      <c r="X127" s="272"/>
      <c r="Y127" s="272"/>
      <c r="Z127" s="272"/>
      <c r="AA127" s="272"/>
    </row>
    <row r="128" spans="1:27">
      <c r="A128" s="273">
        <v>2</v>
      </c>
      <c r="B128" s="274" t="s">
        <v>4969</v>
      </c>
      <c r="C128" s="275">
        <v>45275</v>
      </c>
      <c r="D128" s="274" t="s">
        <v>4714</v>
      </c>
      <c r="E128" s="268" t="s">
        <v>2929</v>
      </c>
      <c r="F128" s="268" t="s">
        <v>4715</v>
      </c>
      <c r="G128" s="268" t="s">
        <v>4716</v>
      </c>
      <c r="H128" s="268" t="str">
        <f t="shared" si="0"/>
        <v>JAVIER GARCÍA DOMÍNGUEZ</v>
      </c>
      <c r="I128" s="268" t="s">
        <v>4881</v>
      </c>
      <c r="J128" s="268" t="s">
        <v>4718</v>
      </c>
      <c r="K128" s="268" t="s">
        <v>4971</v>
      </c>
      <c r="L128" s="276">
        <v>45323</v>
      </c>
      <c r="M128" s="277"/>
      <c r="N128" s="282">
        <v>2</v>
      </c>
      <c r="O128" s="284" t="s">
        <v>4720</v>
      </c>
      <c r="P128" s="280">
        <v>3604.55</v>
      </c>
      <c r="Q128" s="287">
        <v>45275</v>
      </c>
      <c r="R128" s="272"/>
      <c r="S128" s="272"/>
      <c r="T128" s="272"/>
      <c r="U128" s="272"/>
      <c r="V128" s="272"/>
      <c r="W128" s="272"/>
      <c r="X128" s="272"/>
      <c r="Y128" s="272"/>
      <c r="Z128" s="272"/>
      <c r="AA128" s="272"/>
    </row>
    <row r="129" spans="1:27">
      <c r="A129" s="273">
        <v>2</v>
      </c>
      <c r="B129" s="274" t="s">
        <v>4969</v>
      </c>
      <c r="C129" s="275">
        <v>45281</v>
      </c>
      <c r="D129" s="274" t="s">
        <v>4714</v>
      </c>
      <c r="E129" s="268" t="s">
        <v>2900</v>
      </c>
      <c r="F129" s="268" t="s">
        <v>4715</v>
      </c>
      <c r="G129" s="268" t="s">
        <v>4716</v>
      </c>
      <c r="H129" s="268" t="str">
        <f t="shared" si="0"/>
        <v>MARÍA REY MARCOS</v>
      </c>
      <c r="I129" s="268" t="s">
        <v>4952</v>
      </c>
      <c r="J129" s="272" t="s">
        <v>4790</v>
      </c>
      <c r="K129" s="268" t="s">
        <v>4972</v>
      </c>
      <c r="L129" s="276">
        <v>45323</v>
      </c>
      <c r="M129" s="277"/>
      <c r="N129" s="282">
        <v>2</v>
      </c>
      <c r="O129" s="284" t="s">
        <v>4720</v>
      </c>
      <c r="P129" s="280">
        <v>3604.55</v>
      </c>
      <c r="Q129" s="287">
        <v>45281</v>
      </c>
      <c r="R129" s="272"/>
      <c r="S129" s="272"/>
      <c r="T129" s="272"/>
      <c r="U129" s="272"/>
      <c r="V129" s="272"/>
      <c r="W129" s="272"/>
      <c r="X129" s="272"/>
      <c r="Y129" s="272"/>
      <c r="Z129" s="272"/>
      <c r="AA129" s="272"/>
    </row>
    <row r="130" spans="1:27">
      <c r="A130" s="273">
        <v>2</v>
      </c>
      <c r="B130" s="274" t="s">
        <v>4969</v>
      </c>
      <c r="C130" s="275">
        <v>45271</v>
      </c>
      <c r="D130" s="285" t="s">
        <v>4714</v>
      </c>
      <c r="E130" s="268" t="s">
        <v>4837</v>
      </c>
      <c r="F130" s="268" t="s">
        <v>4724</v>
      </c>
      <c r="G130" s="268" t="s">
        <v>4725</v>
      </c>
      <c r="H130" s="268" t="str">
        <f t="shared" si="0"/>
        <v>Alejandro Harguindey Antoli-Candela</v>
      </c>
      <c r="I130" s="268" t="s">
        <v>4802</v>
      </c>
      <c r="J130" s="268" t="s">
        <v>4973</v>
      </c>
      <c r="K130" s="268" t="s">
        <v>4974</v>
      </c>
      <c r="L130" s="276">
        <v>45324</v>
      </c>
      <c r="M130" s="277"/>
      <c r="N130" s="282">
        <v>2</v>
      </c>
      <c r="O130" s="284" t="s">
        <v>4740</v>
      </c>
      <c r="P130" s="280">
        <v>4222.7299999999996</v>
      </c>
      <c r="Q130" s="287">
        <v>45271</v>
      </c>
      <c r="R130" s="272"/>
      <c r="S130" s="272"/>
      <c r="T130" s="272"/>
      <c r="U130" s="272"/>
      <c r="V130" s="272"/>
      <c r="W130" s="272"/>
      <c r="X130" s="272"/>
      <c r="Y130" s="272"/>
      <c r="Z130" s="272"/>
      <c r="AA130" s="272"/>
    </row>
    <row r="131" spans="1:27">
      <c r="A131" s="273">
        <v>2</v>
      </c>
      <c r="B131" s="274" t="s">
        <v>4969</v>
      </c>
      <c r="C131" s="275">
        <v>45279</v>
      </c>
      <c r="D131" s="274" t="s">
        <v>4714</v>
      </c>
      <c r="E131" s="268" t="s">
        <v>3758</v>
      </c>
      <c r="F131" s="268" t="s">
        <v>4715</v>
      </c>
      <c r="G131" s="268" t="s">
        <v>4716</v>
      </c>
      <c r="H131" s="268" t="str">
        <f t="shared" si="0"/>
        <v>JORGE PRADA PENDOLERO</v>
      </c>
      <c r="I131" s="268" t="s">
        <v>4975</v>
      </c>
      <c r="J131" s="272" t="s">
        <v>4718</v>
      </c>
      <c r="K131" s="268" t="s">
        <v>4976</v>
      </c>
      <c r="L131" s="276">
        <v>45324</v>
      </c>
      <c r="M131" s="277"/>
      <c r="N131" s="282">
        <v>2</v>
      </c>
      <c r="O131" s="284" t="s">
        <v>4720</v>
      </c>
      <c r="P131" s="280">
        <v>3604.55</v>
      </c>
      <c r="Q131" s="287">
        <v>45279</v>
      </c>
      <c r="R131" s="272"/>
      <c r="S131" s="272"/>
      <c r="T131" s="272"/>
      <c r="U131" s="272"/>
      <c r="V131" s="272"/>
      <c r="W131" s="272"/>
      <c r="X131" s="272"/>
      <c r="Y131" s="272"/>
      <c r="Z131" s="272"/>
      <c r="AA131" s="272"/>
    </row>
    <row r="132" spans="1:27">
      <c r="A132" s="273">
        <v>2</v>
      </c>
      <c r="B132" s="274" t="s">
        <v>4969</v>
      </c>
      <c r="C132" s="275">
        <v>45300</v>
      </c>
      <c r="D132" s="274" t="s">
        <v>4714</v>
      </c>
      <c r="E132" s="268" t="s">
        <v>3529</v>
      </c>
      <c r="F132" s="268" t="s">
        <v>4715</v>
      </c>
      <c r="G132" s="268" t="s">
        <v>4716</v>
      </c>
      <c r="H132" s="268" t="str">
        <f t="shared" si="0"/>
        <v>LUCIA PRIETO SÁNCHEZ DE LA PUERTA</v>
      </c>
      <c r="I132" s="268" t="s">
        <v>4731</v>
      </c>
      <c r="J132" s="268" t="s">
        <v>4729</v>
      </c>
      <c r="K132" s="268" t="s">
        <v>4977</v>
      </c>
      <c r="L132" s="276">
        <v>45324</v>
      </c>
      <c r="M132" s="277"/>
      <c r="N132" s="282">
        <v>1</v>
      </c>
      <c r="O132" s="284" t="s">
        <v>4723</v>
      </c>
      <c r="P132" s="288">
        <v>1759.09</v>
      </c>
      <c r="Q132" s="287">
        <v>45300</v>
      </c>
      <c r="R132" s="272"/>
      <c r="S132" s="272"/>
      <c r="T132" s="272"/>
      <c r="U132" s="272"/>
      <c r="V132" s="272"/>
      <c r="W132" s="272"/>
      <c r="X132" s="272"/>
      <c r="Y132" s="272"/>
      <c r="Z132" s="272"/>
      <c r="AA132" s="272"/>
    </row>
    <row r="133" spans="1:27">
      <c r="A133" s="273">
        <v>2</v>
      </c>
      <c r="B133" s="274" t="s">
        <v>4969</v>
      </c>
      <c r="C133" s="275">
        <v>45293</v>
      </c>
      <c r="D133" s="274" t="s">
        <v>4714</v>
      </c>
      <c r="E133" s="268" t="s">
        <v>4734</v>
      </c>
      <c r="F133" s="279" t="s">
        <v>4715</v>
      </c>
      <c r="G133" s="279" t="s">
        <v>4716</v>
      </c>
      <c r="H133" s="268" t="str">
        <f t="shared" si="0"/>
        <v>SALWA LARAQUI HOSSINI</v>
      </c>
      <c r="I133" s="268" t="s">
        <v>4978</v>
      </c>
      <c r="J133" s="272" t="s">
        <v>4736</v>
      </c>
      <c r="K133" s="279" t="s">
        <v>4979</v>
      </c>
      <c r="L133" s="276">
        <v>45327</v>
      </c>
      <c r="M133" s="277"/>
      <c r="N133" s="282">
        <v>2</v>
      </c>
      <c r="O133" s="284" t="s">
        <v>4720</v>
      </c>
      <c r="P133" s="280">
        <v>3604.55</v>
      </c>
      <c r="Q133" s="287">
        <v>45293</v>
      </c>
      <c r="R133" s="272"/>
      <c r="S133" s="272"/>
      <c r="T133" s="272"/>
      <c r="U133" s="272"/>
      <c r="V133" s="272"/>
      <c r="W133" s="272"/>
      <c r="X133" s="272"/>
      <c r="Y133" s="272"/>
      <c r="Z133" s="272"/>
      <c r="AA133" s="272"/>
    </row>
    <row r="134" spans="1:27">
      <c r="A134" s="273">
        <v>2</v>
      </c>
      <c r="B134" s="274" t="s">
        <v>4969</v>
      </c>
      <c r="C134" s="275">
        <v>45287</v>
      </c>
      <c r="D134" s="274" t="s">
        <v>4714</v>
      </c>
      <c r="E134" s="268" t="s">
        <v>4194</v>
      </c>
      <c r="F134" s="268" t="s">
        <v>4715</v>
      </c>
      <c r="G134" s="268" t="s">
        <v>4716</v>
      </c>
      <c r="H134" s="268" t="str">
        <f t="shared" si="0"/>
        <v>FRANCISCO PASTOR BEVIÁ</v>
      </c>
      <c r="I134" s="268" t="s">
        <v>4738</v>
      </c>
      <c r="J134" s="272" t="s">
        <v>4736</v>
      </c>
      <c r="K134" s="268" t="s">
        <v>4980</v>
      </c>
      <c r="L134" s="276">
        <v>45327</v>
      </c>
      <c r="M134" s="277"/>
      <c r="N134" s="282">
        <v>1</v>
      </c>
      <c r="O134" s="284" t="s">
        <v>4723</v>
      </c>
      <c r="P134" s="280">
        <v>1777.27</v>
      </c>
      <c r="Q134" s="287">
        <v>45287</v>
      </c>
      <c r="R134" s="272"/>
      <c r="S134" s="272"/>
      <c r="T134" s="272"/>
      <c r="U134" s="272"/>
      <c r="V134" s="272"/>
      <c r="W134" s="272"/>
      <c r="X134" s="272"/>
      <c r="Y134" s="272"/>
      <c r="Z134" s="272"/>
      <c r="AA134" s="272"/>
    </row>
    <row r="135" spans="1:27">
      <c r="A135" s="273">
        <v>2</v>
      </c>
      <c r="B135" s="274" t="s">
        <v>4969</v>
      </c>
      <c r="C135" s="275">
        <v>45288</v>
      </c>
      <c r="D135" s="274" t="s">
        <v>4714</v>
      </c>
      <c r="E135" s="268" t="s">
        <v>4981</v>
      </c>
      <c r="F135" s="268" t="s">
        <v>4715</v>
      </c>
      <c r="G135" s="268" t="s">
        <v>4716</v>
      </c>
      <c r="H135" s="268" t="str">
        <f t="shared" si="0"/>
        <v>RAFAEL MARTÍNEZ GARCERAN</v>
      </c>
      <c r="I135" s="268" t="s">
        <v>4982</v>
      </c>
      <c r="J135" s="272" t="s">
        <v>4736</v>
      </c>
      <c r="K135" s="268" t="s">
        <v>4983</v>
      </c>
      <c r="L135" s="276">
        <v>45327</v>
      </c>
      <c r="M135" s="277"/>
      <c r="N135" s="282">
        <v>2</v>
      </c>
      <c r="O135" s="284" t="s">
        <v>4740</v>
      </c>
      <c r="P135" s="280">
        <v>3820.38</v>
      </c>
      <c r="Q135" s="287">
        <v>45288</v>
      </c>
      <c r="R135" s="272"/>
      <c r="S135" s="272"/>
      <c r="T135" s="272"/>
      <c r="U135" s="272"/>
      <c r="V135" s="272"/>
      <c r="W135" s="272"/>
      <c r="X135" s="272"/>
      <c r="Y135" s="272"/>
      <c r="Z135" s="272"/>
      <c r="AA135" s="272"/>
    </row>
    <row r="136" spans="1:27">
      <c r="A136" s="273">
        <v>2</v>
      </c>
      <c r="B136" s="274" t="s">
        <v>4969</v>
      </c>
      <c r="C136" s="275">
        <v>45314</v>
      </c>
      <c r="D136" s="274" t="s">
        <v>4714</v>
      </c>
      <c r="E136" s="268" t="s">
        <v>4775</v>
      </c>
      <c r="F136" s="268" t="s">
        <v>4715</v>
      </c>
      <c r="G136" s="268" t="s">
        <v>4716</v>
      </c>
      <c r="H136" s="268" t="str">
        <f t="shared" si="0"/>
        <v>FERNANDO SALAZAR BARCELONA</v>
      </c>
      <c r="I136" s="268" t="s">
        <v>4776</v>
      </c>
      <c r="J136" s="272" t="s">
        <v>4822</v>
      </c>
      <c r="K136" s="268" t="s">
        <v>4984</v>
      </c>
      <c r="L136" s="276">
        <v>45327</v>
      </c>
      <c r="M136" s="277"/>
      <c r="N136" s="282">
        <v>2</v>
      </c>
      <c r="O136" s="284" t="s">
        <v>4723</v>
      </c>
      <c r="P136" s="280">
        <v>2727.27</v>
      </c>
      <c r="Q136" s="287">
        <v>45314</v>
      </c>
      <c r="R136" s="272"/>
      <c r="S136" s="272"/>
      <c r="T136" s="272"/>
      <c r="U136" s="272"/>
      <c r="V136" s="272"/>
      <c r="W136" s="272"/>
      <c r="X136" s="272"/>
      <c r="Y136" s="272"/>
      <c r="Z136" s="272"/>
      <c r="AA136" s="272"/>
    </row>
    <row r="137" spans="1:27">
      <c r="A137" s="273">
        <v>2</v>
      </c>
      <c r="B137" s="274" t="s">
        <v>4969</v>
      </c>
      <c r="C137" s="275">
        <v>45282</v>
      </c>
      <c r="D137" s="285" t="s">
        <v>4714</v>
      </c>
      <c r="E137" s="268" t="s">
        <v>4780</v>
      </c>
      <c r="F137" s="268" t="s">
        <v>4715</v>
      </c>
      <c r="G137" s="268" t="s">
        <v>4716</v>
      </c>
      <c r="H137" s="268" t="str">
        <f t="shared" si="0"/>
        <v>MARÍA JESÚS CORNEJO DOMÍNGUEZ</v>
      </c>
      <c r="I137" s="268" t="s">
        <v>4781</v>
      </c>
      <c r="J137" s="268" t="s">
        <v>4747</v>
      </c>
      <c r="K137" s="268" t="s">
        <v>4985</v>
      </c>
      <c r="L137" s="276">
        <v>45327</v>
      </c>
      <c r="M137" s="277"/>
      <c r="N137" s="282">
        <v>2</v>
      </c>
      <c r="O137" s="284" t="s">
        <v>4720</v>
      </c>
      <c r="P137" s="280">
        <v>3604.55</v>
      </c>
      <c r="Q137" s="287">
        <v>45282</v>
      </c>
      <c r="R137" s="272"/>
      <c r="S137" s="272"/>
      <c r="T137" s="272"/>
      <c r="U137" s="272"/>
      <c r="V137" s="272"/>
      <c r="W137" s="272"/>
      <c r="X137" s="272"/>
      <c r="Y137" s="272"/>
      <c r="Z137" s="272"/>
      <c r="AA137" s="272"/>
    </row>
    <row r="138" spans="1:27">
      <c r="A138" s="273">
        <v>2</v>
      </c>
      <c r="B138" s="274" t="s">
        <v>4969</v>
      </c>
      <c r="C138" s="275">
        <v>45233</v>
      </c>
      <c r="D138" s="274" t="s">
        <v>4714</v>
      </c>
      <c r="E138" s="268" t="s">
        <v>3529</v>
      </c>
      <c r="F138" s="268" t="s">
        <v>4715</v>
      </c>
      <c r="G138" s="268" t="s">
        <v>4716</v>
      </c>
      <c r="H138" s="268" t="str">
        <f t="shared" si="0"/>
        <v>CAYETANA LÓPEZ LADRÓN GARCÍA DE LA BORBOLLA</v>
      </c>
      <c r="I138" s="268" t="s">
        <v>4986</v>
      </c>
      <c r="J138" s="272" t="s">
        <v>4729</v>
      </c>
      <c r="K138" s="268" t="s">
        <v>4987</v>
      </c>
      <c r="L138" s="276">
        <v>45327</v>
      </c>
      <c r="M138" s="277"/>
      <c r="N138" s="282">
        <v>2</v>
      </c>
      <c r="O138" s="284" t="s">
        <v>4723</v>
      </c>
      <c r="P138" s="280">
        <v>2694.55</v>
      </c>
      <c r="Q138" s="287">
        <v>45233</v>
      </c>
      <c r="R138" s="272"/>
      <c r="S138" s="272"/>
      <c r="T138" s="272"/>
      <c r="U138" s="272"/>
      <c r="V138" s="272"/>
      <c r="W138" s="272"/>
      <c r="X138" s="272"/>
      <c r="Y138" s="272"/>
      <c r="Z138" s="272"/>
      <c r="AA138" s="272"/>
    </row>
    <row r="139" spans="1:27">
      <c r="A139" s="273">
        <v>2</v>
      </c>
      <c r="B139" s="274" t="s">
        <v>4969</v>
      </c>
      <c r="C139" s="275">
        <v>45309</v>
      </c>
      <c r="D139" s="274" t="s">
        <v>4714</v>
      </c>
      <c r="E139" s="268" t="s">
        <v>4856</v>
      </c>
      <c r="F139" s="268" t="s">
        <v>4715</v>
      </c>
      <c r="G139" s="268" t="s">
        <v>4716</v>
      </c>
      <c r="H139" s="268" t="str">
        <f t="shared" si="0"/>
        <v>JOAQUÍN GUERRA GÓMEZ</v>
      </c>
      <c r="I139" s="268" t="s">
        <v>4988</v>
      </c>
      <c r="J139" s="272" t="s">
        <v>4790</v>
      </c>
      <c r="K139" s="268" t="s">
        <v>4989</v>
      </c>
      <c r="L139" s="276">
        <v>45328</v>
      </c>
      <c r="M139" s="277"/>
      <c r="N139" s="282">
        <v>2</v>
      </c>
      <c r="O139" s="284" t="s">
        <v>4720</v>
      </c>
      <c r="P139" s="280">
        <v>3563.64</v>
      </c>
      <c r="Q139" s="281">
        <v>45309</v>
      </c>
      <c r="R139" s="272"/>
      <c r="S139" s="272"/>
      <c r="T139" s="272"/>
      <c r="U139" s="272"/>
      <c r="V139" s="272"/>
      <c r="W139" s="272"/>
      <c r="X139" s="272"/>
      <c r="Y139" s="272"/>
      <c r="Z139" s="272"/>
      <c r="AA139" s="272"/>
    </row>
    <row r="140" spans="1:27">
      <c r="A140" s="273">
        <v>2</v>
      </c>
      <c r="B140" s="274" t="s">
        <v>4969</v>
      </c>
      <c r="C140" s="275">
        <v>45267</v>
      </c>
      <c r="D140" s="274" t="s">
        <v>4714</v>
      </c>
      <c r="E140" s="268" t="s">
        <v>3193</v>
      </c>
      <c r="F140" s="268" t="s">
        <v>4715</v>
      </c>
      <c r="G140" s="268" t="s">
        <v>4716</v>
      </c>
      <c r="H140" s="268" t="str">
        <f t="shared" si="0"/>
        <v>JOSE JOAQUÍN GUTIÉRREZ BARQUÍN</v>
      </c>
      <c r="I140" s="268" t="s">
        <v>4990</v>
      </c>
      <c r="J140" s="272" t="s">
        <v>4718</v>
      </c>
      <c r="K140" s="268" t="s">
        <v>4991</v>
      </c>
      <c r="L140" s="276">
        <v>45328</v>
      </c>
      <c r="M140" s="277"/>
      <c r="N140" s="282">
        <v>2</v>
      </c>
      <c r="O140" s="284" t="s">
        <v>4720</v>
      </c>
      <c r="P140" s="280">
        <v>3181.82</v>
      </c>
      <c r="Q140" s="287">
        <v>45267</v>
      </c>
      <c r="R140" s="272"/>
      <c r="S140" s="272"/>
      <c r="T140" s="272"/>
      <c r="U140" s="272"/>
      <c r="V140" s="272"/>
      <c r="W140" s="272"/>
      <c r="X140" s="272"/>
      <c r="Y140" s="272"/>
      <c r="Z140" s="272"/>
      <c r="AA140" s="272"/>
    </row>
    <row r="141" spans="1:27">
      <c r="A141" s="273">
        <v>2</v>
      </c>
      <c r="B141" s="274" t="s">
        <v>4969</v>
      </c>
      <c r="C141" s="275">
        <v>45267</v>
      </c>
      <c r="D141" s="274" t="s">
        <v>4714</v>
      </c>
      <c r="E141" s="268" t="s">
        <v>3193</v>
      </c>
      <c r="F141" s="268" t="s">
        <v>4715</v>
      </c>
      <c r="G141" s="268" t="s">
        <v>4716</v>
      </c>
      <c r="H141" s="268" t="str">
        <f t="shared" si="0"/>
        <v>JOSE JOAQUÍN GUTIÉRREZ BARQUÍN</v>
      </c>
      <c r="I141" s="268" t="s">
        <v>4990</v>
      </c>
      <c r="J141" s="268" t="s">
        <v>4718</v>
      </c>
      <c r="K141" s="268" t="s">
        <v>4992</v>
      </c>
      <c r="L141" s="276">
        <v>45328</v>
      </c>
      <c r="M141" s="277"/>
      <c r="N141" s="282">
        <v>2</v>
      </c>
      <c r="O141" s="284" t="s">
        <v>4720</v>
      </c>
      <c r="P141" s="280">
        <v>3181.82</v>
      </c>
      <c r="Q141" s="287">
        <v>45267</v>
      </c>
      <c r="R141" s="272"/>
      <c r="S141" s="272"/>
      <c r="T141" s="272"/>
      <c r="U141" s="272"/>
      <c r="V141" s="272"/>
      <c r="W141" s="272"/>
      <c r="X141" s="272"/>
      <c r="Y141" s="272"/>
      <c r="Z141" s="272"/>
      <c r="AA141" s="272"/>
    </row>
    <row r="142" spans="1:27">
      <c r="A142" s="273">
        <v>2</v>
      </c>
      <c r="B142" s="274" t="s">
        <v>4969</v>
      </c>
      <c r="C142" s="275">
        <v>45315</v>
      </c>
      <c r="D142" s="274" t="s">
        <v>4714</v>
      </c>
      <c r="E142" s="279" t="s">
        <v>4945</v>
      </c>
      <c r="F142" s="279" t="s">
        <v>4715</v>
      </c>
      <c r="G142" s="279" t="s">
        <v>4716</v>
      </c>
      <c r="H142" s="268" t="str">
        <f t="shared" si="0"/>
        <v>PEDRO JUIZ LÓPEZ</v>
      </c>
      <c r="I142" s="268" t="s">
        <v>4946</v>
      </c>
      <c r="J142" s="268" t="s">
        <v>4790</v>
      </c>
      <c r="K142" s="279" t="s">
        <v>4993</v>
      </c>
      <c r="L142" s="276">
        <v>45329</v>
      </c>
      <c r="M142" s="277"/>
      <c r="N142" s="282">
        <v>1</v>
      </c>
      <c r="O142" s="284" t="s">
        <v>4740</v>
      </c>
      <c r="P142" s="280">
        <v>2454.5500000000002</v>
      </c>
      <c r="Q142" s="287">
        <v>45315</v>
      </c>
      <c r="R142" s="272"/>
      <c r="S142" s="272"/>
      <c r="T142" s="272"/>
      <c r="U142" s="272"/>
      <c r="V142" s="272"/>
      <c r="W142" s="272"/>
      <c r="X142" s="272"/>
      <c r="Y142" s="272"/>
      <c r="Z142" s="272"/>
      <c r="AA142" s="272"/>
    </row>
    <row r="143" spans="1:27">
      <c r="A143" s="273">
        <v>2</v>
      </c>
      <c r="B143" s="274" t="s">
        <v>4969</v>
      </c>
      <c r="C143" s="275">
        <v>45229</v>
      </c>
      <c r="D143" s="274" t="s">
        <v>4714</v>
      </c>
      <c r="E143" s="268" t="s">
        <v>4745</v>
      </c>
      <c r="F143" s="268" t="s">
        <v>4724</v>
      </c>
      <c r="G143" s="268" t="s">
        <v>4725</v>
      </c>
      <c r="H143" s="268" t="str">
        <f t="shared" si="0"/>
        <v>CARLOS MIGUEL SALVADOR MARTÍNEZ</v>
      </c>
      <c r="I143" s="268" t="s">
        <v>4907</v>
      </c>
      <c r="J143" s="272" t="s">
        <v>4747</v>
      </c>
      <c r="K143" s="268" t="s">
        <v>4994</v>
      </c>
      <c r="L143" s="276">
        <v>45329</v>
      </c>
      <c r="M143" s="283"/>
      <c r="N143" s="282">
        <v>1</v>
      </c>
      <c r="O143" s="284" t="s">
        <v>4720</v>
      </c>
      <c r="P143" s="280">
        <v>2162.73</v>
      </c>
      <c r="Q143" s="287">
        <v>45229</v>
      </c>
      <c r="R143" s="272"/>
      <c r="S143" s="272"/>
      <c r="T143" s="272"/>
      <c r="U143" s="272"/>
      <c r="V143" s="272"/>
      <c r="W143" s="272"/>
      <c r="X143" s="272"/>
      <c r="Y143" s="272"/>
      <c r="Z143" s="272"/>
      <c r="AA143" s="272"/>
    </row>
    <row r="144" spans="1:27">
      <c r="A144" s="273">
        <v>2</v>
      </c>
      <c r="B144" s="274" t="s">
        <v>4969</v>
      </c>
      <c r="C144" s="275">
        <v>45281</v>
      </c>
      <c r="D144" s="274" t="s">
        <v>4714</v>
      </c>
      <c r="E144" s="268" t="s">
        <v>4194</v>
      </c>
      <c r="F144" s="268" t="s">
        <v>4715</v>
      </c>
      <c r="G144" s="268" t="s">
        <v>4716</v>
      </c>
      <c r="H144" s="268" t="str">
        <f t="shared" si="0"/>
        <v>JAVIER LAFARGA VÁZQUEZ</v>
      </c>
      <c r="I144" s="268" t="s">
        <v>4995</v>
      </c>
      <c r="J144" s="268" t="s">
        <v>4736</v>
      </c>
      <c r="K144" s="268" t="s">
        <v>4996</v>
      </c>
      <c r="L144" s="276">
        <v>45330</v>
      </c>
      <c r="M144" s="283"/>
      <c r="N144" s="278">
        <v>2</v>
      </c>
      <c r="O144" s="284" t="s">
        <v>4723</v>
      </c>
      <c r="P144" s="280">
        <v>2781.82</v>
      </c>
      <c r="Q144" s="287">
        <v>45281</v>
      </c>
      <c r="R144" s="272"/>
      <c r="S144" s="272"/>
      <c r="T144" s="272"/>
      <c r="U144" s="272"/>
      <c r="V144" s="272"/>
      <c r="W144" s="272"/>
      <c r="X144" s="272"/>
      <c r="Y144" s="272"/>
      <c r="Z144" s="272"/>
      <c r="AA144" s="272"/>
    </row>
    <row r="145" spans="1:27">
      <c r="A145" s="273">
        <v>2</v>
      </c>
      <c r="B145" s="274" t="s">
        <v>4969</v>
      </c>
      <c r="C145" s="275">
        <v>45280</v>
      </c>
      <c r="D145" s="274" t="s">
        <v>4714</v>
      </c>
      <c r="E145" s="268" t="s">
        <v>3043</v>
      </c>
      <c r="F145" s="268" t="s">
        <v>4724</v>
      </c>
      <c r="G145" s="268" t="s">
        <v>4725</v>
      </c>
      <c r="H145" s="268" t="str">
        <f t="shared" si="0"/>
        <v>FRANCISCO J, REDONDO DEL BARCO</v>
      </c>
      <c r="I145" s="268" t="s">
        <v>4997</v>
      </c>
      <c r="J145" s="272" t="s">
        <v>4822</v>
      </c>
      <c r="K145" s="268" t="s">
        <v>4998</v>
      </c>
      <c r="L145" s="276">
        <v>45330</v>
      </c>
      <c r="M145" s="277"/>
      <c r="N145" s="282">
        <v>1</v>
      </c>
      <c r="O145" s="284" t="s">
        <v>4720</v>
      </c>
      <c r="P145" s="280">
        <v>2054.59</v>
      </c>
      <c r="Q145" s="287">
        <v>45280</v>
      </c>
      <c r="R145" s="272"/>
      <c r="S145" s="272"/>
      <c r="T145" s="272"/>
      <c r="U145" s="272"/>
      <c r="V145" s="272"/>
      <c r="W145" s="272"/>
      <c r="X145" s="272"/>
      <c r="Y145" s="272"/>
      <c r="Z145" s="272"/>
      <c r="AA145" s="272"/>
    </row>
    <row r="146" spans="1:27">
      <c r="A146" s="273">
        <v>2</v>
      </c>
      <c r="B146" s="274" t="s">
        <v>4969</v>
      </c>
      <c r="C146" s="275">
        <v>45302</v>
      </c>
      <c r="D146" s="274" t="s">
        <v>4714</v>
      </c>
      <c r="E146" s="268" t="s">
        <v>3605</v>
      </c>
      <c r="F146" s="268" t="s">
        <v>4715</v>
      </c>
      <c r="G146" s="268" t="s">
        <v>4716</v>
      </c>
      <c r="H146" s="268" t="str">
        <f t="shared" si="0"/>
        <v>JAVIER GARCÍA DOMÍNGUEZ</v>
      </c>
      <c r="I146" s="268" t="s">
        <v>4881</v>
      </c>
      <c r="J146" s="272" t="s">
        <v>4718</v>
      </c>
      <c r="K146" s="268" t="s">
        <v>4999</v>
      </c>
      <c r="L146" s="276">
        <v>45330</v>
      </c>
      <c r="M146" s="283"/>
      <c r="N146" s="282">
        <v>2</v>
      </c>
      <c r="O146" s="284" t="s">
        <v>4720</v>
      </c>
      <c r="P146" s="280">
        <v>3424.32</v>
      </c>
      <c r="Q146" s="287">
        <v>45302</v>
      </c>
      <c r="R146" s="272"/>
      <c r="S146" s="272"/>
      <c r="T146" s="272"/>
      <c r="U146" s="272"/>
      <c r="V146" s="272"/>
      <c r="W146" s="272"/>
      <c r="X146" s="272"/>
      <c r="Y146" s="272"/>
      <c r="Z146" s="272"/>
      <c r="AA146" s="272"/>
    </row>
    <row r="147" spans="1:27">
      <c r="A147" s="273">
        <v>2</v>
      </c>
      <c r="B147" s="274" t="s">
        <v>4969</v>
      </c>
      <c r="C147" s="275">
        <v>45296</v>
      </c>
      <c r="D147" s="274" t="s">
        <v>4714</v>
      </c>
      <c r="E147" s="268" t="s">
        <v>2869</v>
      </c>
      <c r="F147" s="268" t="s">
        <v>4715</v>
      </c>
      <c r="G147" s="268" t="s">
        <v>4716</v>
      </c>
      <c r="H147" s="268" t="str">
        <f t="shared" si="0"/>
        <v>NATHALIE FAGES CÁRCELES</v>
      </c>
      <c r="I147" s="268" t="s">
        <v>5000</v>
      </c>
      <c r="J147" s="272" t="s">
        <v>4736</v>
      </c>
      <c r="K147" s="268" t="s">
        <v>5001</v>
      </c>
      <c r="L147" s="276">
        <v>45330</v>
      </c>
      <c r="M147" s="277"/>
      <c r="N147" s="282">
        <v>2</v>
      </c>
      <c r="O147" s="284" t="s">
        <v>4723</v>
      </c>
      <c r="P147" s="280">
        <v>2780.77</v>
      </c>
      <c r="Q147" s="287">
        <v>45296</v>
      </c>
      <c r="R147" s="272"/>
      <c r="S147" s="272"/>
      <c r="T147" s="272"/>
      <c r="U147" s="272"/>
      <c r="V147" s="272"/>
      <c r="W147" s="272"/>
      <c r="X147" s="272"/>
      <c r="Y147" s="272"/>
      <c r="Z147" s="272"/>
      <c r="AA147" s="272"/>
    </row>
    <row r="148" spans="1:27">
      <c r="A148" s="273">
        <v>2</v>
      </c>
      <c r="B148" s="274" t="s">
        <v>4969</v>
      </c>
      <c r="C148" s="275">
        <v>45281</v>
      </c>
      <c r="D148" s="274" t="s">
        <v>4714</v>
      </c>
      <c r="E148" s="268" t="s">
        <v>4759</v>
      </c>
      <c r="F148" s="268" t="s">
        <v>4715</v>
      </c>
      <c r="G148" s="268" t="s">
        <v>4716</v>
      </c>
      <c r="H148" s="268" t="str">
        <f t="shared" si="0"/>
        <v>ANTONIA CARRANZA CALLEJA</v>
      </c>
      <c r="I148" s="268" t="s">
        <v>4785</v>
      </c>
      <c r="J148" s="272" t="s">
        <v>4747</v>
      </c>
      <c r="K148" s="268" t="s">
        <v>5002</v>
      </c>
      <c r="L148" s="276">
        <v>45330</v>
      </c>
      <c r="M148" s="277"/>
      <c r="N148" s="282">
        <v>2</v>
      </c>
      <c r="O148" s="284" t="s">
        <v>4740</v>
      </c>
      <c r="P148" s="280">
        <v>3886.36</v>
      </c>
      <c r="Q148" s="287">
        <v>45281</v>
      </c>
      <c r="R148" s="272"/>
      <c r="S148" s="272"/>
      <c r="T148" s="272"/>
      <c r="U148" s="272"/>
      <c r="V148" s="272"/>
      <c r="W148" s="272"/>
      <c r="X148" s="272"/>
      <c r="Y148" s="272"/>
      <c r="Z148" s="272"/>
      <c r="AA148" s="272"/>
    </row>
    <row r="149" spans="1:27">
      <c r="A149" s="273">
        <v>2</v>
      </c>
      <c r="B149" s="274" t="s">
        <v>4969</v>
      </c>
      <c r="C149" s="275">
        <v>45260</v>
      </c>
      <c r="D149" s="274" t="s">
        <v>4714</v>
      </c>
      <c r="E149" s="268" t="s">
        <v>3187</v>
      </c>
      <c r="F149" s="268" t="s">
        <v>4715</v>
      </c>
      <c r="G149" s="268" t="s">
        <v>4716</v>
      </c>
      <c r="H149" s="268" t="str">
        <f t="shared" si="0"/>
        <v>GABRIEL ÁLVAREZ CURRO</v>
      </c>
      <c r="I149" s="268" t="s">
        <v>5003</v>
      </c>
      <c r="J149" s="272" t="s">
        <v>4751</v>
      </c>
      <c r="K149" s="268" t="s">
        <v>5004</v>
      </c>
      <c r="L149" s="276">
        <v>45331</v>
      </c>
      <c r="M149" s="277"/>
      <c r="N149" s="282">
        <v>1</v>
      </c>
      <c r="O149" s="284" t="s">
        <v>4723</v>
      </c>
      <c r="P149" s="280">
        <v>1668.18</v>
      </c>
      <c r="Q149" s="287">
        <v>45260</v>
      </c>
      <c r="R149" s="272"/>
      <c r="S149" s="272"/>
      <c r="T149" s="272"/>
      <c r="U149" s="272"/>
      <c r="V149" s="272"/>
      <c r="W149" s="272"/>
      <c r="X149" s="272"/>
      <c r="Y149" s="272"/>
      <c r="Z149" s="272"/>
      <c r="AA149" s="272"/>
    </row>
    <row r="150" spans="1:27">
      <c r="A150" s="273">
        <v>2</v>
      </c>
      <c r="B150" s="274" t="s">
        <v>4969</v>
      </c>
      <c r="C150" s="275">
        <v>45278</v>
      </c>
      <c r="D150" s="274" t="s">
        <v>4714</v>
      </c>
      <c r="E150" s="279" t="s">
        <v>4194</v>
      </c>
      <c r="F150" s="279" t="s">
        <v>4715</v>
      </c>
      <c r="G150" s="279" t="s">
        <v>4716</v>
      </c>
      <c r="H150" s="268" t="str">
        <f t="shared" si="0"/>
        <v>FRANCISCO PASTOR BEVIÁ</v>
      </c>
      <c r="I150" s="268" t="s">
        <v>4738</v>
      </c>
      <c r="J150" s="272" t="s">
        <v>4736</v>
      </c>
      <c r="K150" s="279" t="s">
        <v>5005</v>
      </c>
      <c r="L150" s="287">
        <v>45331</v>
      </c>
      <c r="M150" s="279"/>
      <c r="N150" s="282">
        <v>2</v>
      </c>
      <c r="O150" s="268" t="s">
        <v>4787</v>
      </c>
      <c r="P150" s="280">
        <v>5204.55</v>
      </c>
      <c r="Q150" s="276">
        <v>45278</v>
      </c>
      <c r="R150" s="272"/>
      <c r="S150" s="272"/>
      <c r="T150" s="272"/>
      <c r="U150" s="272"/>
      <c r="V150" s="272"/>
      <c r="W150" s="272"/>
      <c r="X150" s="272"/>
      <c r="Y150" s="272"/>
      <c r="Z150" s="272"/>
      <c r="AA150" s="272"/>
    </row>
    <row r="151" spans="1:27">
      <c r="A151" s="273">
        <v>2</v>
      </c>
      <c r="B151" s="274" t="s">
        <v>4969</v>
      </c>
      <c r="C151" s="275">
        <v>45070</v>
      </c>
      <c r="D151" s="274" t="s">
        <v>4714</v>
      </c>
      <c r="E151" s="268" t="s">
        <v>3193</v>
      </c>
      <c r="F151" s="268" t="s">
        <v>4715</v>
      </c>
      <c r="G151" s="268" t="s">
        <v>4716</v>
      </c>
      <c r="H151" s="268" t="str">
        <f t="shared" si="0"/>
        <v>JOAQUÍN ALACIO CASERO</v>
      </c>
      <c r="I151" s="268" t="s">
        <v>4925</v>
      </c>
      <c r="J151" s="272" t="s">
        <v>4718</v>
      </c>
      <c r="K151" s="268" t="s">
        <v>5006</v>
      </c>
      <c r="L151" s="276">
        <v>45331</v>
      </c>
      <c r="M151" s="277"/>
      <c r="N151" s="282">
        <v>1</v>
      </c>
      <c r="O151" s="284" t="s">
        <v>4723</v>
      </c>
      <c r="P151" s="280">
        <v>1668.18</v>
      </c>
      <c r="Q151" s="287">
        <v>45070</v>
      </c>
      <c r="R151" s="272"/>
      <c r="S151" s="272"/>
      <c r="T151" s="272"/>
      <c r="U151" s="272"/>
      <c r="V151" s="272"/>
      <c r="W151" s="272"/>
      <c r="X151" s="272"/>
      <c r="Y151" s="272"/>
      <c r="Z151" s="272"/>
      <c r="AA151" s="272"/>
    </row>
    <row r="152" spans="1:27">
      <c r="A152" s="273">
        <v>2</v>
      </c>
      <c r="B152" s="274" t="s">
        <v>4969</v>
      </c>
      <c r="C152" s="275">
        <v>45321</v>
      </c>
      <c r="D152" s="274" t="s">
        <v>4714</v>
      </c>
      <c r="E152" s="268" t="s">
        <v>3193</v>
      </c>
      <c r="F152" s="268" t="s">
        <v>4715</v>
      </c>
      <c r="G152" s="268" t="s">
        <v>4716</v>
      </c>
      <c r="H152" s="268" t="str">
        <f t="shared" si="0"/>
        <v>JOSE JOAQUÍN GUTIÉRREZ BARQUÍN</v>
      </c>
      <c r="I152" s="268" t="s">
        <v>4990</v>
      </c>
      <c r="J152" s="272" t="s">
        <v>4718</v>
      </c>
      <c r="K152" s="268" t="s">
        <v>5007</v>
      </c>
      <c r="L152" s="276">
        <v>45331</v>
      </c>
      <c r="M152" s="277"/>
      <c r="N152" s="282">
        <v>2</v>
      </c>
      <c r="O152" s="284" t="s">
        <v>4723</v>
      </c>
      <c r="P152" s="280">
        <v>2780.91</v>
      </c>
      <c r="Q152" s="287">
        <v>45321</v>
      </c>
      <c r="R152" s="272"/>
      <c r="S152" s="272"/>
      <c r="T152" s="272"/>
      <c r="U152" s="272"/>
      <c r="V152" s="272"/>
      <c r="W152" s="272"/>
      <c r="X152" s="272"/>
      <c r="Y152" s="272"/>
      <c r="Z152" s="272"/>
      <c r="AA152" s="272"/>
    </row>
    <row r="153" spans="1:27">
      <c r="A153" s="273">
        <v>2</v>
      </c>
      <c r="B153" s="274" t="s">
        <v>4969</v>
      </c>
      <c r="C153" s="275">
        <v>45219</v>
      </c>
      <c r="D153" s="274" t="s">
        <v>4714</v>
      </c>
      <c r="E153" s="268" t="s">
        <v>3193</v>
      </c>
      <c r="F153" s="268" t="s">
        <v>4715</v>
      </c>
      <c r="G153" s="268" t="s">
        <v>4716</v>
      </c>
      <c r="H153" s="268" t="str">
        <f t="shared" si="0"/>
        <v>ITZIAR ÁLVAREZ PALACIOS</v>
      </c>
      <c r="I153" s="268" t="s">
        <v>5008</v>
      </c>
      <c r="J153" s="272" t="s">
        <v>4718</v>
      </c>
      <c r="K153" s="268" t="s">
        <v>5009</v>
      </c>
      <c r="L153" s="276">
        <v>45331</v>
      </c>
      <c r="M153" s="277"/>
      <c r="N153" s="282">
        <v>1</v>
      </c>
      <c r="O153" s="284" t="s">
        <v>4723</v>
      </c>
      <c r="P153" s="280">
        <v>1577.27</v>
      </c>
      <c r="Q153" s="287">
        <v>45219</v>
      </c>
      <c r="R153" s="272"/>
      <c r="S153" s="272"/>
      <c r="T153" s="272"/>
      <c r="U153" s="272"/>
      <c r="V153" s="272"/>
      <c r="W153" s="272"/>
      <c r="X153" s="272"/>
      <c r="Y153" s="272"/>
      <c r="Z153" s="272"/>
      <c r="AA153" s="272"/>
    </row>
    <row r="154" spans="1:27">
      <c r="A154" s="273">
        <v>2</v>
      </c>
      <c r="B154" s="274" t="s">
        <v>4969</v>
      </c>
      <c r="C154" s="275">
        <v>45301</v>
      </c>
      <c r="D154" s="274" t="s">
        <v>4714</v>
      </c>
      <c r="E154" s="268" t="s">
        <v>3605</v>
      </c>
      <c r="F154" s="268" t="s">
        <v>4715</v>
      </c>
      <c r="G154" s="268" t="s">
        <v>4716</v>
      </c>
      <c r="H154" s="268" t="str">
        <f t="shared" si="0"/>
        <v>ESTEBAN SCOLA PLIEGO</v>
      </c>
      <c r="I154" s="268" t="s">
        <v>5010</v>
      </c>
      <c r="J154" s="272" t="s">
        <v>4718</v>
      </c>
      <c r="K154" s="268" t="s">
        <v>5011</v>
      </c>
      <c r="L154" s="276">
        <v>45331</v>
      </c>
      <c r="M154" s="277"/>
      <c r="N154" s="282">
        <v>2</v>
      </c>
      <c r="O154" s="284" t="s">
        <v>4723</v>
      </c>
      <c r="P154" s="280">
        <v>2780.91</v>
      </c>
      <c r="Q154" s="287">
        <v>45301</v>
      </c>
      <c r="R154" s="272"/>
      <c r="S154" s="272"/>
      <c r="T154" s="272"/>
      <c r="U154" s="272"/>
      <c r="V154" s="272"/>
      <c r="W154" s="272"/>
      <c r="X154" s="272"/>
      <c r="Y154" s="272"/>
      <c r="Z154" s="272"/>
      <c r="AA154" s="272"/>
    </row>
    <row r="155" spans="1:27">
      <c r="A155" s="273">
        <v>2</v>
      </c>
      <c r="B155" s="274" t="s">
        <v>4969</v>
      </c>
      <c r="C155" s="275">
        <v>45301</v>
      </c>
      <c r="D155" s="274" t="s">
        <v>4714</v>
      </c>
      <c r="E155" s="268" t="s">
        <v>2869</v>
      </c>
      <c r="F155" s="268" t="s">
        <v>4715</v>
      </c>
      <c r="G155" s="268" t="s">
        <v>4716</v>
      </c>
      <c r="H155" s="268" t="str">
        <f t="shared" si="0"/>
        <v>JESÚS MIGUEL INIESTA TURPÍN</v>
      </c>
      <c r="I155" s="268" t="s">
        <v>4868</v>
      </c>
      <c r="J155" s="272" t="s">
        <v>4736</v>
      </c>
      <c r="K155" s="268" t="s">
        <v>5012</v>
      </c>
      <c r="L155" s="276">
        <v>45331</v>
      </c>
      <c r="M155" s="277"/>
      <c r="N155" s="282">
        <v>2</v>
      </c>
      <c r="O155" s="284" t="s">
        <v>4720</v>
      </c>
      <c r="P155" s="280">
        <v>3236.36</v>
      </c>
      <c r="Q155" s="287">
        <v>45301</v>
      </c>
      <c r="R155" s="272"/>
      <c r="S155" s="272"/>
      <c r="T155" s="272"/>
      <c r="U155" s="272"/>
      <c r="V155" s="272"/>
      <c r="W155" s="272"/>
      <c r="X155" s="272"/>
      <c r="Y155" s="272"/>
      <c r="Z155" s="272"/>
      <c r="AA155" s="272"/>
    </row>
    <row r="156" spans="1:27">
      <c r="A156" s="273">
        <v>2</v>
      </c>
      <c r="B156" s="274" t="s">
        <v>4969</v>
      </c>
      <c r="C156" s="275">
        <v>45295</v>
      </c>
      <c r="D156" s="285" t="s">
        <v>4714</v>
      </c>
      <c r="E156" s="268" t="s">
        <v>2873</v>
      </c>
      <c r="F156" s="268" t="s">
        <v>4724</v>
      </c>
      <c r="G156" s="268" t="s">
        <v>4725</v>
      </c>
      <c r="H156" s="268" t="str">
        <f t="shared" si="0"/>
        <v>FIORELLA MARCINO MOREIRA</v>
      </c>
      <c r="I156" s="268" t="s">
        <v>5013</v>
      </c>
      <c r="J156" s="268" t="s">
        <v>4736</v>
      </c>
      <c r="K156" s="268" t="s">
        <v>5014</v>
      </c>
      <c r="L156" s="276">
        <v>45331</v>
      </c>
      <c r="M156" s="277"/>
      <c r="N156" s="282">
        <v>2</v>
      </c>
      <c r="O156" s="284" t="s">
        <v>4740</v>
      </c>
      <c r="P156" s="280">
        <v>4466.3500000000004</v>
      </c>
      <c r="Q156" s="287">
        <v>45295</v>
      </c>
      <c r="R156" s="272"/>
      <c r="S156" s="272"/>
      <c r="T156" s="272"/>
      <c r="U156" s="272"/>
      <c r="V156" s="272"/>
      <c r="W156" s="272"/>
      <c r="X156" s="272"/>
      <c r="Y156" s="272"/>
      <c r="Z156" s="272"/>
      <c r="AA156" s="272"/>
    </row>
    <row r="157" spans="1:27">
      <c r="A157" s="273">
        <v>2</v>
      </c>
      <c r="B157" s="274" t="s">
        <v>4969</v>
      </c>
      <c r="C157" s="275">
        <v>45243</v>
      </c>
      <c r="D157" s="274" t="s">
        <v>4714</v>
      </c>
      <c r="E157" s="268" t="s">
        <v>2972</v>
      </c>
      <c r="F157" s="268" t="s">
        <v>4715</v>
      </c>
      <c r="G157" s="268" t="s">
        <v>4716</v>
      </c>
      <c r="H157" s="268" t="str">
        <f t="shared" si="0"/>
        <v>AINHOA MORENO BRAVO</v>
      </c>
      <c r="I157" s="268" t="s">
        <v>5015</v>
      </c>
      <c r="J157" s="272" t="s">
        <v>4751</v>
      </c>
      <c r="K157" s="268" t="s">
        <v>5016</v>
      </c>
      <c r="L157" s="276">
        <v>45331</v>
      </c>
      <c r="M157" s="277"/>
      <c r="N157" s="282">
        <v>2</v>
      </c>
      <c r="O157" s="284" t="s">
        <v>4720</v>
      </c>
      <c r="P157" s="280">
        <v>3604.55</v>
      </c>
      <c r="Q157" s="287">
        <v>45243</v>
      </c>
      <c r="R157" s="272"/>
      <c r="S157" s="272"/>
      <c r="T157" s="272"/>
      <c r="U157" s="272"/>
      <c r="V157" s="272"/>
      <c r="W157" s="272"/>
      <c r="X157" s="272"/>
      <c r="Y157" s="272"/>
      <c r="Z157" s="272"/>
      <c r="AA157" s="272"/>
    </row>
    <row r="158" spans="1:27">
      <c r="A158" s="273">
        <v>2</v>
      </c>
      <c r="B158" s="274" t="s">
        <v>4969</v>
      </c>
      <c r="C158" s="275">
        <v>45327</v>
      </c>
      <c r="D158" s="274" t="s">
        <v>4714</v>
      </c>
      <c r="E158" s="268" t="s">
        <v>4827</v>
      </c>
      <c r="F158" s="268" t="s">
        <v>4715</v>
      </c>
      <c r="G158" s="268" t="s">
        <v>4716</v>
      </c>
      <c r="H158" s="268" t="str">
        <f t="shared" si="0"/>
        <v>ANTONIO GUSTAVO LIROLA DELGADO</v>
      </c>
      <c r="I158" s="268" t="s">
        <v>5017</v>
      </c>
      <c r="J158" s="272" t="s">
        <v>4790</v>
      </c>
      <c r="K158" s="268" t="s">
        <v>5018</v>
      </c>
      <c r="L158" s="276">
        <v>45334</v>
      </c>
      <c r="M158" s="277"/>
      <c r="N158" s="278">
        <v>2</v>
      </c>
      <c r="O158" s="284" t="s">
        <v>4723</v>
      </c>
      <c r="P158" s="280">
        <v>2945.62</v>
      </c>
      <c r="Q158" s="281">
        <v>45327</v>
      </c>
      <c r="R158" s="272"/>
      <c r="S158" s="272"/>
      <c r="T158" s="272"/>
      <c r="U158" s="272"/>
      <c r="V158" s="272"/>
      <c r="W158" s="272"/>
      <c r="X158" s="272"/>
      <c r="Y158" s="272"/>
      <c r="Z158" s="272"/>
      <c r="AA158" s="272"/>
    </row>
    <row r="159" spans="1:27">
      <c r="A159" s="273">
        <v>2</v>
      </c>
      <c r="B159" s="274" t="s">
        <v>4969</v>
      </c>
      <c r="C159" s="275">
        <v>45313</v>
      </c>
      <c r="D159" s="274" t="s">
        <v>4714</v>
      </c>
      <c r="E159" s="268" t="s">
        <v>4203</v>
      </c>
      <c r="F159" s="268" t="s">
        <v>4715</v>
      </c>
      <c r="G159" s="268" t="s">
        <v>4716</v>
      </c>
      <c r="H159" s="268" t="str">
        <f t="shared" si="0"/>
        <v>LUIS MEGÍAS GÁMIZ</v>
      </c>
      <c r="I159" s="268" t="s">
        <v>5019</v>
      </c>
      <c r="J159" s="268" t="s">
        <v>4736</v>
      </c>
      <c r="K159" s="268" t="s">
        <v>5020</v>
      </c>
      <c r="L159" s="276">
        <v>45334</v>
      </c>
      <c r="M159" s="277"/>
      <c r="N159" s="282">
        <v>1</v>
      </c>
      <c r="O159" s="284" t="s">
        <v>4740</v>
      </c>
      <c r="P159" s="280">
        <v>2536.36</v>
      </c>
      <c r="Q159" s="287">
        <v>45313</v>
      </c>
      <c r="R159" s="272"/>
      <c r="S159" s="272"/>
      <c r="T159" s="272"/>
      <c r="U159" s="272"/>
      <c r="V159" s="272"/>
      <c r="W159" s="272"/>
      <c r="X159" s="272"/>
      <c r="Y159" s="272"/>
      <c r="Z159" s="272"/>
      <c r="AA159" s="272"/>
    </row>
    <row r="160" spans="1:27">
      <c r="A160" s="273">
        <v>2</v>
      </c>
      <c r="B160" s="274" t="s">
        <v>4969</v>
      </c>
      <c r="C160" s="275">
        <v>45313</v>
      </c>
      <c r="D160" s="274" t="s">
        <v>4714</v>
      </c>
      <c r="E160" s="268" t="s">
        <v>2893</v>
      </c>
      <c r="F160" s="268" t="s">
        <v>4715</v>
      </c>
      <c r="G160" s="268" t="s">
        <v>4716</v>
      </c>
      <c r="H160" s="268" t="str">
        <f t="shared" si="0"/>
        <v>VICENTE MARTÍNEZ SANTOS</v>
      </c>
      <c r="I160" s="268" t="s">
        <v>4832</v>
      </c>
      <c r="J160" s="268" t="s">
        <v>4718</v>
      </c>
      <c r="K160" s="268" t="s">
        <v>5021</v>
      </c>
      <c r="L160" s="276">
        <v>45334</v>
      </c>
      <c r="M160" s="277"/>
      <c r="N160" s="282">
        <v>2</v>
      </c>
      <c r="O160" s="284" t="s">
        <v>4723</v>
      </c>
      <c r="P160" s="280">
        <v>2641.82</v>
      </c>
      <c r="Q160" s="287">
        <v>45313</v>
      </c>
      <c r="R160" s="272"/>
      <c r="S160" s="272"/>
      <c r="T160" s="272"/>
      <c r="U160" s="272"/>
      <c r="V160" s="272"/>
      <c r="W160" s="272"/>
      <c r="X160" s="272"/>
      <c r="Y160" s="272"/>
      <c r="Z160" s="272"/>
      <c r="AA160" s="272"/>
    </row>
    <row r="161" spans="1:27">
      <c r="A161" s="273">
        <v>2</v>
      </c>
      <c r="B161" s="274" t="s">
        <v>4969</v>
      </c>
      <c r="C161" s="275">
        <v>45308</v>
      </c>
      <c r="D161" s="274" t="s">
        <v>4714</v>
      </c>
      <c r="E161" s="268" t="s">
        <v>2893</v>
      </c>
      <c r="F161" s="268" t="s">
        <v>4715</v>
      </c>
      <c r="G161" s="268" t="s">
        <v>4716</v>
      </c>
      <c r="H161" s="268" t="str">
        <f t="shared" si="0"/>
        <v>JULIO LÓPEZ MOYA</v>
      </c>
      <c r="I161" s="268" t="s">
        <v>4778</v>
      </c>
      <c r="J161" s="272" t="s">
        <v>4718</v>
      </c>
      <c r="K161" s="268" t="s">
        <v>5022</v>
      </c>
      <c r="L161" s="276">
        <v>45334</v>
      </c>
      <c r="M161" s="277"/>
      <c r="N161" s="282">
        <v>2</v>
      </c>
      <c r="O161" s="284" t="s">
        <v>4720</v>
      </c>
      <c r="P161" s="280">
        <v>3604.55</v>
      </c>
      <c r="Q161" s="287">
        <v>45308</v>
      </c>
      <c r="R161" s="272"/>
      <c r="S161" s="272"/>
      <c r="T161" s="272"/>
      <c r="U161" s="272"/>
      <c r="V161" s="272"/>
      <c r="W161" s="272"/>
      <c r="X161" s="272"/>
      <c r="Y161" s="272"/>
      <c r="Z161" s="272"/>
      <c r="AA161" s="272"/>
    </row>
    <row r="162" spans="1:27">
      <c r="A162" s="273">
        <v>2</v>
      </c>
      <c r="B162" s="274" t="s">
        <v>4969</v>
      </c>
      <c r="C162" s="275">
        <v>45306</v>
      </c>
      <c r="D162" s="274" t="s">
        <v>4714</v>
      </c>
      <c r="E162" s="268" t="s">
        <v>4837</v>
      </c>
      <c r="F162" s="268" t="s">
        <v>4715</v>
      </c>
      <c r="G162" s="268" t="s">
        <v>4716</v>
      </c>
      <c r="H162" s="268" t="str">
        <f t="shared" si="0"/>
        <v>ADOLFO CARLOS HINOJAR GUTIERREZ</v>
      </c>
      <c r="I162" s="268" t="s">
        <v>5023</v>
      </c>
      <c r="J162" s="272" t="s">
        <v>4822</v>
      </c>
      <c r="K162" s="268" t="s">
        <v>5024</v>
      </c>
      <c r="L162" s="276">
        <v>45334</v>
      </c>
      <c r="M162" s="277"/>
      <c r="N162" s="282">
        <v>2</v>
      </c>
      <c r="O162" s="284" t="s">
        <v>4720</v>
      </c>
      <c r="P162" s="280">
        <v>3604.55</v>
      </c>
      <c r="Q162" s="287">
        <v>45306</v>
      </c>
      <c r="R162" s="272"/>
      <c r="S162" s="272"/>
      <c r="T162" s="272"/>
      <c r="U162" s="272"/>
      <c r="V162" s="272"/>
      <c r="W162" s="272"/>
      <c r="X162" s="272"/>
      <c r="Y162" s="272"/>
      <c r="Z162" s="272"/>
      <c r="AA162" s="272"/>
    </row>
    <row r="163" spans="1:27">
      <c r="A163" s="273">
        <v>2</v>
      </c>
      <c r="B163" s="274" t="s">
        <v>4969</v>
      </c>
      <c r="C163" s="275">
        <v>45308</v>
      </c>
      <c r="D163" s="274" t="s">
        <v>4714</v>
      </c>
      <c r="E163" s="268" t="s">
        <v>2929</v>
      </c>
      <c r="F163" s="268" t="s">
        <v>4715</v>
      </c>
      <c r="G163" s="268" t="s">
        <v>4716</v>
      </c>
      <c r="H163" s="268" t="str">
        <f t="shared" si="0"/>
        <v>JAVIER GARCÍA DOMÍNGUEZ</v>
      </c>
      <c r="I163" s="268" t="s">
        <v>4881</v>
      </c>
      <c r="J163" s="272" t="s">
        <v>4718</v>
      </c>
      <c r="K163" s="268" t="s">
        <v>5025</v>
      </c>
      <c r="L163" s="276">
        <v>45334</v>
      </c>
      <c r="M163" s="277"/>
      <c r="N163" s="282">
        <v>2</v>
      </c>
      <c r="O163" s="284" t="s">
        <v>4723</v>
      </c>
      <c r="P163" s="280">
        <v>2471.8200000000002</v>
      </c>
      <c r="Q163" s="287">
        <v>45308</v>
      </c>
      <c r="R163" s="272"/>
      <c r="S163" s="272"/>
      <c r="T163" s="272"/>
      <c r="U163" s="272"/>
      <c r="V163" s="272"/>
      <c r="W163" s="272"/>
      <c r="X163" s="272"/>
      <c r="Y163" s="272"/>
      <c r="Z163" s="272"/>
      <c r="AA163" s="272"/>
    </row>
    <row r="164" spans="1:27">
      <c r="A164" s="273">
        <v>2</v>
      </c>
      <c r="B164" s="274" t="s">
        <v>4969</v>
      </c>
      <c r="C164" s="275">
        <v>45204</v>
      </c>
      <c r="D164" s="274" t="s">
        <v>4714</v>
      </c>
      <c r="E164" s="268" t="s">
        <v>3193</v>
      </c>
      <c r="F164" s="268" t="s">
        <v>4715</v>
      </c>
      <c r="G164" s="268" t="s">
        <v>4716</v>
      </c>
      <c r="H164" s="268" t="str">
        <f t="shared" si="0"/>
        <v>JOSE JOAQUÍN GUTIÉRREZ BARQUÍN</v>
      </c>
      <c r="I164" s="268" t="s">
        <v>4990</v>
      </c>
      <c r="J164" s="272" t="s">
        <v>4718</v>
      </c>
      <c r="K164" s="268" t="s">
        <v>5026</v>
      </c>
      <c r="L164" s="276">
        <v>45334</v>
      </c>
      <c r="M164" s="277"/>
      <c r="N164" s="282">
        <v>2</v>
      </c>
      <c r="O164" s="284" t="s">
        <v>4720</v>
      </c>
      <c r="P164" s="280">
        <v>3604.55</v>
      </c>
      <c r="Q164" s="287">
        <v>45204</v>
      </c>
      <c r="R164" s="272"/>
      <c r="S164" s="272"/>
      <c r="T164" s="272"/>
      <c r="U164" s="272"/>
      <c r="V164" s="272"/>
      <c r="W164" s="272"/>
      <c r="X164" s="272"/>
      <c r="Y164" s="272"/>
      <c r="Z164" s="272"/>
      <c r="AA164" s="272"/>
    </row>
    <row r="165" spans="1:27">
      <c r="A165" s="273">
        <v>2</v>
      </c>
      <c r="B165" s="274" t="s">
        <v>4969</v>
      </c>
      <c r="C165" s="275">
        <v>45295</v>
      </c>
      <c r="D165" s="274" t="s">
        <v>4714</v>
      </c>
      <c r="E165" s="268" t="s">
        <v>3193</v>
      </c>
      <c r="F165" s="268" t="s">
        <v>4715</v>
      </c>
      <c r="G165" s="268" t="s">
        <v>4716</v>
      </c>
      <c r="H165" s="268" t="str">
        <f t="shared" si="0"/>
        <v>MARÍA PÉREZ SEPÚLVEDA</v>
      </c>
      <c r="I165" s="268" t="s">
        <v>5027</v>
      </c>
      <c r="J165" s="272" t="s">
        <v>4718</v>
      </c>
      <c r="K165" s="268" t="s">
        <v>5028</v>
      </c>
      <c r="L165" s="276">
        <v>45334</v>
      </c>
      <c r="M165" s="277"/>
      <c r="N165" s="282">
        <v>2</v>
      </c>
      <c r="O165" s="284" t="s">
        <v>4720</v>
      </c>
      <c r="P165" s="280">
        <v>3604.55</v>
      </c>
      <c r="Q165" s="287">
        <v>45295</v>
      </c>
      <c r="R165" s="272"/>
      <c r="S165" s="272"/>
      <c r="T165" s="272"/>
      <c r="U165" s="272"/>
      <c r="V165" s="272"/>
      <c r="W165" s="272"/>
      <c r="X165" s="272"/>
      <c r="Y165" s="272"/>
      <c r="Z165" s="272"/>
      <c r="AA165" s="272"/>
    </row>
    <row r="166" spans="1:27">
      <c r="A166" s="273">
        <v>2</v>
      </c>
      <c r="B166" s="274" t="s">
        <v>4969</v>
      </c>
      <c r="C166" s="275">
        <v>45317</v>
      </c>
      <c r="D166" s="274" t="s">
        <v>4714</v>
      </c>
      <c r="E166" s="268" t="s">
        <v>3605</v>
      </c>
      <c r="F166" s="268" t="s">
        <v>4715</v>
      </c>
      <c r="G166" s="268" t="s">
        <v>4716</v>
      </c>
      <c r="H166" s="268" t="str">
        <f t="shared" si="0"/>
        <v>JULIO LÓPEZ MOYA</v>
      </c>
      <c r="I166" s="268" t="s">
        <v>4778</v>
      </c>
      <c r="J166" s="272" t="s">
        <v>4718</v>
      </c>
      <c r="K166" s="268" t="s">
        <v>5029</v>
      </c>
      <c r="L166" s="276">
        <v>45334</v>
      </c>
      <c r="M166" s="277"/>
      <c r="N166" s="282">
        <v>2</v>
      </c>
      <c r="O166" s="284" t="s">
        <v>4740</v>
      </c>
      <c r="P166" s="280">
        <v>4222.7299999999996</v>
      </c>
      <c r="Q166" s="287">
        <v>45317</v>
      </c>
      <c r="R166" s="272"/>
      <c r="S166" s="272"/>
      <c r="T166" s="272"/>
      <c r="U166" s="272"/>
      <c r="V166" s="272"/>
      <c r="W166" s="272"/>
      <c r="X166" s="272"/>
      <c r="Y166" s="272"/>
      <c r="Z166" s="272"/>
      <c r="AA166" s="272"/>
    </row>
    <row r="167" spans="1:27">
      <c r="A167" s="273">
        <v>2</v>
      </c>
      <c r="B167" s="274" t="s">
        <v>4969</v>
      </c>
      <c r="C167" s="275">
        <v>45315</v>
      </c>
      <c r="D167" s="274" t="s">
        <v>4714</v>
      </c>
      <c r="E167" s="268" t="s">
        <v>3758</v>
      </c>
      <c r="F167" s="268" t="s">
        <v>4715</v>
      </c>
      <c r="G167" s="268" t="s">
        <v>4716</v>
      </c>
      <c r="H167" s="268" t="str">
        <f t="shared" si="0"/>
        <v>JAVIER ALONSO ORTEGA</v>
      </c>
      <c r="I167" s="268" t="s">
        <v>5030</v>
      </c>
      <c r="J167" s="272" t="s">
        <v>4718</v>
      </c>
      <c r="K167" s="268" t="s">
        <v>5031</v>
      </c>
      <c r="L167" s="276">
        <v>45334</v>
      </c>
      <c r="M167" s="277"/>
      <c r="N167" s="282">
        <v>1</v>
      </c>
      <c r="O167" s="284" t="s">
        <v>4723</v>
      </c>
      <c r="P167" s="280">
        <v>1668.18</v>
      </c>
      <c r="Q167" s="287">
        <v>45315</v>
      </c>
      <c r="R167" s="272"/>
      <c r="S167" s="272"/>
      <c r="T167" s="272"/>
      <c r="U167" s="272"/>
      <c r="V167" s="272"/>
      <c r="W167" s="272"/>
      <c r="X167" s="272"/>
      <c r="Y167" s="272"/>
      <c r="Z167" s="272"/>
      <c r="AA167" s="272"/>
    </row>
    <row r="168" spans="1:27">
      <c r="A168" s="273">
        <v>2</v>
      </c>
      <c r="B168" s="274" t="s">
        <v>4969</v>
      </c>
      <c r="C168" s="275">
        <v>45273</v>
      </c>
      <c r="D168" s="274" t="s">
        <v>4714</v>
      </c>
      <c r="E168" s="268" t="s">
        <v>2873</v>
      </c>
      <c r="F168" s="268" t="s">
        <v>4715</v>
      </c>
      <c r="G168" s="268" t="s">
        <v>4716</v>
      </c>
      <c r="H168" s="268" t="str">
        <f t="shared" si="0"/>
        <v>PAULA HERNÁNDEZ RUÍZ</v>
      </c>
      <c r="I168" s="268" t="s">
        <v>4895</v>
      </c>
      <c r="J168" s="272" t="s">
        <v>4736</v>
      </c>
      <c r="K168" s="268" t="s">
        <v>5032</v>
      </c>
      <c r="L168" s="276">
        <v>45334</v>
      </c>
      <c r="M168" s="277"/>
      <c r="N168" s="282">
        <v>2</v>
      </c>
      <c r="O168" s="284" t="s">
        <v>4720</v>
      </c>
      <c r="P168" s="280">
        <v>3604.55</v>
      </c>
      <c r="Q168" s="287">
        <v>45273</v>
      </c>
      <c r="R168" s="272"/>
      <c r="S168" s="272"/>
      <c r="T168" s="272"/>
      <c r="U168" s="272"/>
      <c r="V168" s="272"/>
      <c r="W168" s="272"/>
      <c r="X168" s="272"/>
      <c r="Y168" s="272"/>
      <c r="Z168" s="272"/>
      <c r="AA168" s="272"/>
    </row>
    <row r="169" spans="1:27">
      <c r="A169" s="273">
        <v>2</v>
      </c>
      <c r="B169" s="274" t="s">
        <v>4969</v>
      </c>
      <c r="C169" s="275">
        <v>45306</v>
      </c>
      <c r="D169" s="274" t="s">
        <v>4714</v>
      </c>
      <c r="E169" s="268" t="s">
        <v>2961</v>
      </c>
      <c r="F169" s="268" t="s">
        <v>4715</v>
      </c>
      <c r="G169" s="268" t="s">
        <v>4716</v>
      </c>
      <c r="H169" s="268" t="str">
        <f t="shared" si="0"/>
        <v>FRANCISCO GARCÍA PURRIÑOS</v>
      </c>
      <c r="I169" s="268" t="s">
        <v>4884</v>
      </c>
      <c r="J169" s="272" t="s">
        <v>4736</v>
      </c>
      <c r="K169" s="268" t="s">
        <v>5033</v>
      </c>
      <c r="L169" s="276">
        <v>45334</v>
      </c>
      <c r="M169" s="277"/>
      <c r="N169" s="282">
        <v>2</v>
      </c>
      <c r="O169" s="284" t="s">
        <v>4720</v>
      </c>
      <c r="P169" s="280">
        <v>3604.55</v>
      </c>
      <c r="Q169" s="287">
        <v>45306</v>
      </c>
      <c r="R169" s="272"/>
      <c r="S169" s="272"/>
      <c r="T169" s="272"/>
      <c r="U169" s="272"/>
      <c r="V169" s="272"/>
      <c r="W169" s="272"/>
      <c r="X169" s="272"/>
      <c r="Y169" s="272"/>
      <c r="Z169" s="272"/>
      <c r="AA169" s="272"/>
    </row>
    <row r="170" spans="1:27">
      <c r="A170" s="273">
        <v>2</v>
      </c>
      <c r="B170" s="274" t="s">
        <v>4969</v>
      </c>
      <c r="C170" s="275">
        <v>45229</v>
      </c>
      <c r="D170" s="274" t="s">
        <v>4714</v>
      </c>
      <c r="E170" s="268" t="s">
        <v>4845</v>
      </c>
      <c r="F170" s="268" t="s">
        <v>4715</v>
      </c>
      <c r="G170" s="268" t="s">
        <v>4716</v>
      </c>
      <c r="H170" s="268" t="str">
        <f t="shared" si="0"/>
        <v>JORGE ALFARO GARCÍA</v>
      </c>
      <c r="I170" s="268" t="s">
        <v>5034</v>
      </c>
      <c r="J170" s="272" t="s">
        <v>4806</v>
      </c>
      <c r="K170" s="268" t="s">
        <v>5035</v>
      </c>
      <c r="L170" s="276">
        <v>45334</v>
      </c>
      <c r="M170" s="277"/>
      <c r="N170" s="282">
        <v>1</v>
      </c>
      <c r="O170" s="284" t="s">
        <v>4720</v>
      </c>
      <c r="P170" s="280">
        <v>1950</v>
      </c>
      <c r="Q170" s="287">
        <v>45229</v>
      </c>
      <c r="R170" s="272"/>
      <c r="S170" s="272"/>
      <c r="T170" s="272"/>
      <c r="U170" s="272"/>
      <c r="V170" s="272"/>
      <c r="W170" s="272"/>
      <c r="X170" s="272"/>
      <c r="Y170" s="272"/>
      <c r="Z170" s="272"/>
      <c r="AA170" s="272"/>
    </row>
    <row r="171" spans="1:27">
      <c r="A171" s="273">
        <v>2</v>
      </c>
      <c r="B171" s="274" t="s">
        <v>4969</v>
      </c>
      <c r="C171" s="275">
        <v>45301</v>
      </c>
      <c r="D171" s="274" t="s">
        <v>4714</v>
      </c>
      <c r="E171" s="268" t="s">
        <v>4734</v>
      </c>
      <c r="F171" s="268" t="s">
        <v>4715</v>
      </c>
      <c r="G171" s="268" t="s">
        <v>4716</v>
      </c>
      <c r="H171" s="268" t="str">
        <f t="shared" si="0"/>
        <v>SALWA LARAQUI HOSSINI</v>
      </c>
      <c r="I171" s="268" t="s">
        <v>4978</v>
      </c>
      <c r="J171" s="272" t="s">
        <v>4736</v>
      </c>
      <c r="K171" s="268" t="s">
        <v>5036</v>
      </c>
      <c r="L171" s="276">
        <v>45335</v>
      </c>
      <c r="M171" s="277"/>
      <c r="N171" s="282">
        <v>2</v>
      </c>
      <c r="O171" s="284" t="s">
        <v>4720</v>
      </c>
      <c r="P171" s="280">
        <v>3604.55</v>
      </c>
      <c r="Q171" s="287">
        <v>45301</v>
      </c>
      <c r="R171" s="272"/>
      <c r="S171" s="272"/>
      <c r="T171" s="272"/>
      <c r="U171" s="272"/>
      <c r="V171" s="272"/>
      <c r="W171" s="272"/>
      <c r="X171" s="272"/>
      <c r="Y171" s="272"/>
      <c r="Z171" s="272"/>
      <c r="AA171" s="272"/>
    </row>
    <row r="172" spans="1:27">
      <c r="A172" s="273">
        <v>2</v>
      </c>
      <c r="B172" s="274" t="s">
        <v>4969</v>
      </c>
      <c r="C172" s="275">
        <v>45315</v>
      </c>
      <c r="D172" s="274" t="s">
        <v>4714</v>
      </c>
      <c r="E172" s="279" t="s">
        <v>3861</v>
      </c>
      <c r="F172" s="279" t="s">
        <v>4715</v>
      </c>
      <c r="G172" s="279" t="s">
        <v>4716</v>
      </c>
      <c r="H172" s="268" t="str">
        <f t="shared" si="0"/>
        <v>JOSÉ GUSTAVO BARROSO BRAOJOS</v>
      </c>
      <c r="I172" s="268" t="s">
        <v>4834</v>
      </c>
      <c r="J172" s="272" t="s">
        <v>4718</v>
      </c>
      <c r="K172" s="279" t="s">
        <v>5037</v>
      </c>
      <c r="L172" s="276">
        <v>45335</v>
      </c>
      <c r="M172" s="277"/>
      <c r="N172" s="282">
        <v>2</v>
      </c>
      <c r="O172" s="284" t="s">
        <v>4723</v>
      </c>
      <c r="P172" s="280">
        <v>2667.27</v>
      </c>
      <c r="Q172" s="287">
        <v>45315</v>
      </c>
      <c r="R172" s="272"/>
      <c r="S172" s="272"/>
      <c r="T172" s="272"/>
      <c r="U172" s="272"/>
      <c r="V172" s="272"/>
      <c r="W172" s="272"/>
      <c r="X172" s="272"/>
      <c r="Y172" s="272"/>
      <c r="Z172" s="272"/>
      <c r="AA172" s="272"/>
    </row>
    <row r="173" spans="1:27">
      <c r="A173" s="273">
        <v>2</v>
      </c>
      <c r="B173" s="274" t="s">
        <v>4969</v>
      </c>
      <c r="C173" s="275">
        <v>45288</v>
      </c>
      <c r="D173" s="274" t="s">
        <v>4714</v>
      </c>
      <c r="E173" s="268" t="s">
        <v>2929</v>
      </c>
      <c r="F173" s="268" t="s">
        <v>4715</v>
      </c>
      <c r="G173" s="268" t="s">
        <v>4716</v>
      </c>
      <c r="H173" s="268" t="str">
        <f t="shared" si="0"/>
        <v>JOAQUÍN ALACIO CASERO</v>
      </c>
      <c r="I173" s="268" t="s">
        <v>4925</v>
      </c>
      <c r="J173" s="272" t="s">
        <v>4718</v>
      </c>
      <c r="K173" s="268" t="s">
        <v>5038</v>
      </c>
      <c r="L173" s="276">
        <v>45335</v>
      </c>
      <c r="M173" s="277"/>
      <c r="N173" s="282">
        <v>2</v>
      </c>
      <c r="O173" s="284" t="s">
        <v>4740</v>
      </c>
      <c r="P173" s="280">
        <v>4011.59</v>
      </c>
      <c r="Q173" s="287">
        <v>45288</v>
      </c>
      <c r="R173" s="272"/>
      <c r="S173" s="272"/>
      <c r="T173" s="272"/>
      <c r="U173" s="272"/>
      <c r="V173" s="272"/>
      <c r="W173" s="272"/>
      <c r="X173" s="272"/>
      <c r="Y173" s="272"/>
      <c r="Z173" s="272"/>
      <c r="AA173" s="272"/>
    </row>
    <row r="174" spans="1:27">
      <c r="A174" s="273">
        <v>2</v>
      </c>
      <c r="B174" s="274" t="s">
        <v>4969</v>
      </c>
      <c r="C174" s="275">
        <v>45303</v>
      </c>
      <c r="D174" s="274" t="s">
        <v>4714</v>
      </c>
      <c r="E174" s="268" t="s">
        <v>2873</v>
      </c>
      <c r="F174" s="268" t="s">
        <v>4715</v>
      </c>
      <c r="G174" s="268" t="s">
        <v>4716</v>
      </c>
      <c r="H174" s="268" t="str">
        <f t="shared" si="0"/>
        <v>FIORELLA MARCINO MOREIRA</v>
      </c>
      <c r="I174" s="268" t="s">
        <v>5013</v>
      </c>
      <c r="J174" s="272" t="s">
        <v>4736</v>
      </c>
      <c r="K174" s="268" t="s">
        <v>5039</v>
      </c>
      <c r="L174" s="276">
        <v>45335</v>
      </c>
      <c r="M174" s="277"/>
      <c r="N174" s="282">
        <v>1</v>
      </c>
      <c r="O174" s="284" t="s">
        <v>4740</v>
      </c>
      <c r="P174" s="280">
        <v>2682.69</v>
      </c>
      <c r="Q174" s="287">
        <v>45303</v>
      </c>
      <c r="R174" s="272"/>
      <c r="S174" s="272"/>
      <c r="T174" s="272"/>
      <c r="U174" s="272"/>
      <c r="V174" s="272"/>
      <c r="W174" s="272"/>
      <c r="X174" s="272"/>
      <c r="Y174" s="272"/>
      <c r="Z174" s="272"/>
      <c r="AA174" s="272"/>
    </row>
    <row r="175" spans="1:27">
      <c r="A175" s="273">
        <v>2</v>
      </c>
      <c r="B175" s="274" t="s">
        <v>4969</v>
      </c>
      <c r="C175" s="275">
        <v>45317</v>
      </c>
      <c r="D175" s="274" t="s">
        <v>4714</v>
      </c>
      <c r="E175" s="268" t="s">
        <v>3193</v>
      </c>
      <c r="F175" s="268" t="s">
        <v>4715</v>
      </c>
      <c r="G175" s="268" t="s">
        <v>4716</v>
      </c>
      <c r="H175" s="268" t="str">
        <f t="shared" si="0"/>
        <v>CÉSAR CHARLES MARTÍNEZ</v>
      </c>
      <c r="I175" s="268" t="s">
        <v>4769</v>
      </c>
      <c r="J175" s="272" t="s">
        <v>4718</v>
      </c>
      <c r="K175" s="268" t="s">
        <v>5040</v>
      </c>
      <c r="L175" s="276">
        <v>45336</v>
      </c>
      <c r="M175" s="283"/>
      <c r="N175" s="282">
        <v>2</v>
      </c>
      <c r="O175" s="284" t="s">
        <v>4723</v>
      </c>
      <c r="P175" s="280">
        <v>2780.91</v>
      </c>
      <c r="Q175" s="287">
        <v>45317</v>
      </c>
      <c r="R175" s="272"/>
      <c r="S175" s="272"/>
      <c r="T175" s="272"/>
      <c r="U175" s="272"/>
      <c r="V175" s="272"/>
      <c r="W175" s="272"/>
      <c r="X175" s="272"/>
      <c r="Y175" s="272"/>
      <c r="Z175" s="272"/>
      <c r="AA175" s="272"/>
    </row>
    <row r="176" spans="1:27">
      <c r="A176" s="273">
        <v>2</v>
      </c>
      <c r="B176" s="274" t="s">
        <v>4969</v>
      </c>
      <c r="C176" s="275">
        <v>45035</v>
      </c>
      <c r="D176" s="274" t="s">
        <v>4714</v>
      </c>
      <c r="E176" s="268" t="s">
        <v>2869</v>
      </c>
      <c r="F176" s="268" t="s">
        <v>4715</v>
      </c>
      <c r="G176" s="268" t="s">
        <v>4716</v>
      </c>
      <c r="H176" s="268" t="str">
        <f t="shared" si="0"/>
        <v>JESÚS MIGUEL INIESTA TURPÍN</v>
      </c>
      <c r="I176" s="268" t="s">
        <v>4868</v>
      </c>
      <c r="J176" s="272" t="s">
        <v>4736</v>
      </c>
      <c r="K176" s="268" t="s">
        <v>5041</v>
      </c>
      <c r="L176" s="276">
        <v>45336</v>
      </c>
      <c r="M176" s="283"/>
      <c r="N176" s="282">
        <v>2</v>
      </c>
      <c r="O176" s="284" t="s">
        <v>4723</v>
      </c>
      <c r="P176" s="280">
        <v>2780.77</v>
      </c>
      <c r="Q176" s="287">
        <v>45035</v>
      </c>
      <c r="R176" s="272"/>
      <c r="S176" s="272"/>
      <c r="T176" s="272"/>
      <c r="U176" s="272"/>
      <c r="V176" s="272"/>
      <c r="W176" s="272"/>
      <c r="X176" s="272"/>
      <c r="Y176" s="272"/>
      <c r="Z176" s="272"/>
      <c r="AA176" s="272"/>
    </row>
    <row r="177" spans="1:27">
      <c r="A177" s="273">
        <v>2</v>
      </c>
      <c r="B177" s="274" t="s">
        <v>4969</v>
      </c>
      <c r="C177" s="275">
        <v>45295</v>
      </c>
      <c r="D177" s="274" t="s">
        <v>4714</v>
      </c>
      <c r="E177" s="268" t="s">
        <v>2900</v>
      </c>
      <c r="F177" s="268" t="s">
        <v>4715</v>
      </c>
      <c r="G177" s="268" t="s">
        <v>4716</v>
      </c>
      <c r="H177" s="268" t="str">
        <f t="shared" si="0"/>
        <v>Rafael Alfonso Hurtado Ruzza</v>
      </c>
      <c r="I177" s="268" t="s">
        <v>5042</v>
      </c>
      <c r="J177" s="268" t="s">
        <v>4790</v>
      </c>
      <c r="K177" s="268" t="s">
        <v>5043</v>
      </c>
      <c r="L177" s="276">
        <v>45336</v>
      </c>
      <c r="M177" s="283"/>
      <c r="N177" s="282">
        <v>2</v>
      </c>
      <c r="O177" s="284" t="s">
        <v>4720</v>
      </c>
      <c r="P177" s="280">
        <v>3604.55</v>
      </c>
      <c r="Q177" s="287">
        <v>45295</v>
      </c>
      <c r="R177" s="272"/>
      <c r="S177" s="272"/>
      <c r="T177" s="272"/>
      <c r="U177" s="272"/>
      <c r="V177" s="272"/>
      <c r="W177" s="272"/>
      <c r="X177" s="272"/>
      <c r="Y177" s="272"/>
      <c r="Z177" s="272"/>
      <c r="AA177" s="272"/>
    </row>
    <row r="178" spans="1:27">
      <c r="A178" s="273">
        <v>2</v>
      </c>
      <c r="B178" s="274" t="s">
        <v>4969</v>
      </c>
      <c r="C178" s="275">
        <v>45299</v>
      </c>
      <c r="D178" s="274" t="s">
        <v>4714</v>
      </c>
      <c r="E178" s="268" t="s">
        <v>3011</v>
      </c>
      <c r="F178" s="268" t="s">
        <v>4715</v>
      </c>
      <c r="G178" s="268" t="s">
        <v>4716</v>
      </c>
      <c r="H178" s="268" t="str">
        <f t="shared" si="0"/>
        <v>ANTONIO GANDÚL MERCHÁN</v>
      </c>
      <c r="I178" s="268" t="s">
        <v>5044</v>
      </c>
      <c r="J178" s="272" t="s">
        <v>4729</v>
      </c>
      <c r="K178" s="268" t="s">
        <v>5045</v>
      </c>
      <c r="L178" s="276">
        <v>45336</v>
      </c>
      <c r="M178" s="277"/>
      <c r="N178" s="282">
        <v>1</v>
      </c>
      <c r="O178" s="284" t="s">
        <v>4720</v>
      </c>
      <c r="P178" s="280">
        <v>2140.91</v>
      </c>
      <c r="Q178" s="287">
        <v>45299</v>
      </c>
      <c r="R178" s="272"/>
      <c r="S178" s="272"/>
      <c r="T178" s="272"/>
      <c r="U178" s="272"/>
      <c r="V178" s="272"/>
      <c r="W178" s="272"/>
      <c r="X178" s="272"/>
      <c r="Y178" s="272"/>
      <c r="Z178" s="272"/>
      <c r="AA178" s="272"/>
    </row>
    <row r="179" spans="1:27">
      <c r="A179" s="273">
        <v>2</v>
      </c>
      <c r="B179" s="274" t="s">
        <v>4969</v>
      </c>
      <c r="C179" s="275">
        <v>45247</v>
      </c>
      <c r="D179" s="274" t="s">
        <v>4714</v>
      </c>
      <c r="E179" s="268" t="s">
        <v>3011</v>
      </c>
      <c r="F179" s="268" t="s">
        <v>4715</v>
      </c>
      <c r="G179" s="268" t="s">
        <v>4716</v>
      </c>
      <c r="H179" s="268" t="str">
        <f t="shared" si="0"/>
        <v>MIGUEL ANTONIO SHEPHERD GONZÁLEZ</v>
      </c>
      <c r="I179" s="268" t="s">
        <v>5046</v>
      </c>
      <c r="J179" s="268" t="s">
        <v>4729</v>
      </c>
      <c r="K179" s="268" t="s">
        <v>5047</v>
      </c>
      <c r="L179" s="276">
        <v>45336</v>
      </c>
      <c r="M179" s="277"/>
      <c r="N179" s="282">
        <v>2</v>
      </c>
      <c r="O179" s="284" t="s">
        <v>4720</v>
      </c>
      <c r="P179" s="280">
        <v>3786.36</v>
      </c>
      <c r="Q179" s="287">
        <v>45247</v>
      </c>
      <c r="R179" s="272"/>
      <c r="S179" s="272"/>
      <c r="T179" s="272"/>
      <c r="U179" s="272"/>
      <c r="V179" s="272"/>
      <c r="W179" s="272"/>
      <c r="X179" s="272"/>
      <c r="Y179" s="272"/>
      <c r="Z179" s="272"/>
      <c r="AA179" s="272"/>
    </row>
    <row r="180" spans="1:27">
      <c r="A180" s="273">
        <v>2</v>
      </c>
      <c r="B180" s="274" t="s">
        <v>4969</v>
      </c>
      <c r="C180" s="275">
        <v>45215</v>
      </c>
      <c r="D180" s="274" t="s">
        <v>4714</v>
      </c>
      <c r="E180" s="268" t="s">
        <v>4734</v>
      </c>
      <c r="F180" s="268" t="s">
        <v>4715</v>
      </c>
      <c r="G180" s="268" t="s">
        <v>4716</v>
      </c>
      <c r="H180" s="268" t="str">
        <f t="shared" si="0"/>
        <v>LINO ENGUIDANOS HERNANDORENA</v>
      </c>
      <c r="I180" s="268" t="s">
        <v>4735</v>
      </c>
      <c r="J180" s="272" t="s">
        <v>4736</v>
      </c>
      <c r="K180" s="268" t="s">
        <v>5048</v>
      </c>
      <c r="L180" s="276">
        <v>45337</v>
      </c>
      <c r="M180" s="283"/>
      <c r="N180" s="282">
        <v>2</v>
      </c>
      <c r="O180" s="284" t="s">
        <v>4740</v>
      </c>
      <c r="P180" s="280">
        <v>4222.7299999999996</v>
      </c>
      <c r="Q180" s="287">
        <v>45215</v>
      </c>
      <c r="R180" s="272"/>
      <c r="S180" s="272"/>
      <c r="T180" s="272"/>
      <c r="U180" s="272"/>
      <c r="V180" s="272"/>
      <c r="W180" s="272"/>
      <c r="X180" s="272"/>
      <c r="Y180" s="272"/>
      <c r="Z180" s="272"/>
      <c r="AA180" s="272"/>
    </row>
    <row r="181" spans="1:27">
      <c r="A181" s="273">
        <v>2</v>
      </c>
      <c r="B181" s="274" t="s">
        <v>4969</v>
      </c>
      <c r="C181" s="275">
        <v>45299</v>
      </c>
      <c r="D181" s="274" t="s">
        <v>4714</v>
      </c>
      <c r="E181" s="268" t="s">
        <v>2929</v>
      </c>
      <c r="F181" s="268" t="s">
        <v>4715</v>
      </c>
      <c r="G181" s="268" t="s">
        <v>4716</v>
      </c>
      <c r="H181" s="268" t="str">
        <f t="shared" si="0"/>
        <v>MANUEL GONZÁLEZ JULIAO</v>
      </c>
      <c r="I181" s="268" t="s">
        <v>5049</v>
      </c>
      <c r="J181" s="272" t="s">
        <v>4718</v>
      </c>
      <c r="K181" s="268" t="s">
        <v>5050</v>
      </c>
      <c r="L181" s="276">
        <v>45337</v>
      </c>
      <c r="M181" s="277"/>
      <c r="N181" s="282">
        <v>2</v>
      </c>
      <c r="O181" s="284" t="s">
        <v>4720</v>
      </c>
      <c r="P181" s="280">
        <v>3424.32</v>
      </c>
      <c r="Q181" s="287">
        <v>45299</v>
      </c>
      <c r="R181" s="272"/>
      <c r="S181" s="272"/>
      <c r="T181" s="272"/>
      <c r="U181" s="272"/>
      <c r="V181" s="272"/>
      <c r="W181" s="272"/>
      <c r="X181" s="272"/>
      <c r="Y181" s="272"/>
      <c r="Z181" s="272"/>
      <c r="AA181" s="272"/>
    </row>
    <row r="182" spans="1:27">
      <c r="A182" s="273">
        <v>2</v>
      </c>
      <c r="B182" s="274" t="s">
        <v>4969</v>
      </c>
      <c r="C182" s="275">
        <v>45300</v>
      </c>
      <c r="D182" s="274" t="s">
        <v>4714</v>
      </c>
      <c r="E182" s="268" t="s">
        <v>4780</v>
      </c>
      <c r="F182" s="268" t="s">
        <v>4715</v>
      </c>
      <c r="G182" s="268" t="s">
        <v>4716</v>
      </c>
      <c r="H182" s="268" t="str">
        <f t="shared" si="0"/>
        <v>MARÍA GIL MELCÓN</v>
      </c>
      <c r="I182" s="268" t="s">
        <v>5051</v>
      </c>
      <c r="J182" s="272" t="s">
        <v>4747</v>
      </c>
      <c r="K182" s="268" t="s">
        <v>5052</v>
      </c>
      <c r="L182" s="276">
        <v>45337</v>
      </c>
      <c r="M182" s="283"/>
      <c r="N182" s="282">
        <v>2</v>
      </c>
      <c r="O182" s="284" t="s">
        <v>4723</v>
      </c>
      <c r="P182" s="280">
        <v>2780.91</v>
      </c>
      <c r="Q182" s="287">
        <v>45300</v>
      </c>
      <c r="R182" s="272"/>
      <c r="S182" s="272"/>
      <c r="T182" s="272"/>
      <c r="U182" s="272"/>
      <c r="V182" s="272"/>
      <c r="W182" s="272"/>
      <c r="X182" s="272"/>
      <c r="Y182" s="272"/>
      <c r="Z182" s="272"/>
      <c r="AA182" s="272"/>
    </row>
    <row r="183" spans="1:27">
      <c r="A183" s="273">
        <v>2</v>
      </c>
      <c r="B183" s="274" t="s">
        <v>4969</v>
      </c>
      <c r="C183" s="275">
        <v>45296</v>
      </c>
      <c r="D183" s="274" t="s">
        <v>4714</v>
      </c>
      <c r="E183" s="268" t="s">
        <v>2863</v>
      </c>
      <c r="F183" s="268" t="s">
        <v>4715</v>
      </c>
      <c r="G183" s="268" t="s">
        <v>4716</v>
      </c>
      <c r="H183" s="268" t="str">
        <f t="shared" si="0"/>
        <v>PEDRO SEGUÍ MOYA</v>
      </c>
      <c r="I183" s="268" t="s">
        <v>5053</v>
      </c>
      <c r="J183" s="272" t="s">
        <v>4736</v>
      </c>
      <c r="K183" s="268" t="s">
        <v>5054</v>
      </c>
      <c r="L183" s="276">
        <v>45338</v>
      </c>
      <c r="M183" s="283"/>
      <c r="N183" s="282">
        <v>2</v>
      </c>
      <c r="O183" s="284" t="s">
        <v>4720</v>
      </c>
      <c r="P183" s="280">
        <v>3604.55</v>
      </c>
      <c r="Q183" s="287">
        <v>45296</v>
      </c>
      <c r="R183" s="272"/>
      <c r="S183" s="272"/>
      <c r="T183" s="272"/>
      <c r="U183" s="272"/>
      <c r="V183" s="272"/>
      <c r="W183" s="272"/>
      <c r="X183" s="272"/>
      <c r="Y183" s="272"/>
      <c r="Z183" s="272"/>
      <c r="AA183" s="272"/>
    </row>
    <row r="184" spans="1:27">
      <c r="A184" s="273">
        <v>2</v>
      </c>
      <c r="B184" s="274" t="s">
        <v>4969</v>
      </c>
      <c r="C184" s="275">
        <v>45279</v>
      </c>
      <c r="D184" s="274" t="s">
        <v>4714</v>
      </c>
      <c r="E184" s="268" t="s">
        <v>2909</v>
      </c>
      <c r="F184" s="268" t="s">
        <v>4715</v>
      </c>
      <c r="G184" s="268" t="s">
        <v>4716</v>
      </c>
      <c r="H184" s="268" t="str">
        <f t="shared" si="0"/>
        <v>MARTA SANDOVAL PUIG</v>
      </c>
      <c r="I184" s="268" t="s">
        <v>5055</v>
      </c>
      <c r="J184" s="272" t="s">
        <v>4806</v>
      </c>
      <c r="K184" s="268" t="s">
        <v>5056</v>
      </c>
      <c r="L184" s="276">
        <v>45338</v>
      </c>
      <c r="M184" s="283"/>
      <c r="N184" s="282">
        <v>2</v>
      </c>
      <c r="O184" s="284" t="s">
        <v>4720</v>
      </c>
      <c r="P184" s="280">
        <v>3604.55</v>
      </c>
      <c r="Q184" s="287">
        <v>45279</v>
      </c>
      <c r="R184" s="272"/>
      <c r="S184" s="272"/>
      <c r="T184" s="272"/>
      <c r="U184" s="272"/>
      <c r="V184" s="272"/>
      <c r="W184" s="272"/>
      <c r="X184" s="272"/>
      <c r="Y184" s="272"/>
      <c r="Z184" s="272"/>
      <c r="AA184" s="272"/>
    </row>
    <row r="185" spans="1:27">
      <c r="A185" s="273">
        <v>2</v>
      </c>
      <c r="B185" s="274" t="s">
        <v>4969</v>
      </c>
      <c r="C185" s="275">
        <v>45321</v>
      </c>
      <c r="D185" s="274" t="s">
        <v>4714</v>
      </c>
      <c r="E185" s="268" t="s">
        <v>3480</v>
      </c>
      <c r="F185" s="268" t="s">
        <v>4715</v>
      </c>
      <c r="G185" s="268" t="s">
        <v>4716</v>
      </c>
      <c r="H185" s="268" t="str">
        <f t="shared" si="0"/>
        <v>PALOMA MARTÍN- ARAGÓN MARTIÍ</v>
      </c>
      <c r="I185" s="268" t="s">
        <v>4917</v>
      </c>
      <c r="J185" s="272" t="s">
        <v>4718</v>
      </c>
      <c r="K185" s="268" t="s">
        <v>5057</v>
      </c>
      <c r="L185" s="276">
        <v>45338</v>
      </c>
      <c r="M185" s="277"/>
      <c r="N185" s="282">
        <v>2</v>
      </c>
      <c r="O185" s="284" t="s">
        <v>4723</v>
      </c>
      <c r="P185" s="280">
        <v>2780.87</v>
      </c>
      <c r="Q185" s="287">
        <v>45321</v>
      </c>
      <c r="R185" s="272"/>
      <c r="S185" s="272"/>
      <c r="T185" s="272"/>
      <c r="U185" s="272"/>
      <c r="V185" s="272"/>
      <c r="W185" s="272"/>
      <c r="X185" s="272"/>
      <c r="Y185" s="272"/>
      <c r="Z185" s="272"/>
      <c r="AA185" s="272"/>
    </row>
    <row r="186" spans="1:27">
      <c r="A186" s="273">
        <v>2</v>
      </c>
      <c r="B186" s="274" t="s">
        <v>4969</v>
      </c>
      <c r="C186" s="275">
        <v>45320</v>
      </c>
      <c r="D186" s="274" t="s">
        <v>4714</v>
      </c>
      <c r="E186" s="268" t="s">
        <v>2893</v>
      </c>
      <c r="F186" s="268" t="s">
        <v>4715</v>
      </c>
      <c r="G186" s="268" t="s">
        <v>4716</v>
      </c>
      <c r="H186" s="268" t="str">
        <f t="shared" si="0"/>
        <v>VICENTE MARTÍNEZ SANTOS</v>
      </c>
      <c r="I186" s="268" t="s">
        <v>4832</v>
      </c>
      <c r="J186" s="272" t="s">
        <v>4718</v>
      </c>
      <c r="K186" s="268" t="s">
        <v>5058</v>
      </c>
      <c r="L186" s="276">
        <v>45338</v>
      </c>
      <c r="M186" s="277"/>
      <c r="N186" s="282">
        <v>2</v>
      </c>
      <c r="O186" s="284" t="s">
        <v>4720</v>
      </c>
      <c r="P186" s="280">
        <v>3424.55</v>
      </c>
      <c r="Q186" s="287">
        <v>45320</v>
      </c>
      <c r="R186" s="272"/>
      <c r="S186" s="272"/>
      <c r="T186" s="272"/>
      <c r="U186" s="272"/>
      <c r="V186" s="272"/>
      <c r="W186" s="272"/>
      <c r="X186" s="272"/>
      <c r="Y186" s="272"/>
      <c r="Z186" s="272"/>
      <c r="AA186" s="272"/>
    </row>
    <row r="187" spans="1:27">
      <c r="A187" s="273">
        <v>2</v>
      </c>
      <c r="B187" s="274" t="s">
        <v>4969</v>
      </c>
      <c r="C187" s="275">
        <v>45316</v>
      </c>
      <c r="D187" s="274" t="s">
        <v>4714</v>
      </c>
      <c r="E187" s="268" t="s">
        <v>4945</v>
      </c>
      <c r="F187" s="268" t="s">
        <v>4715</v>
      </c>
      <c r="G187" s="268" t="s">
        <v>4716</v>
      </c>
      <c r="H187" s="268" t="str">
        <f t="shared" si="0"/>
        <v>PEDRO JUIZ LÓPEZ</v>
      </c>
      <c r="I187" s="268" t="s">
        <v>4946</v>
      </c>
      <c r="J187" s="272" t="s">
        <v>4790</v>
      </c>
      <c r="K187" s="268" t="s">
        <v>5059</v>
      </c>
      <c r="L187" s="276">
        <v>45338</v>
      </c>
      <c r="M187" s="283"/>
      <c r="N187" s="282">
        <v>2</v>
      </c>
      <c r="O187" s="284" t="s">
        <v>4723</v>
      </c>
      <c r="P187" s="280">
        <v>2904.55</v>
      </c>
      <c r="Q187" s="287">
        <v>45316</v>
      </c>
      <c r="R187" s="272"/>
      <c r="S187" s="272"/>
      <c r="T187" s="272"/>
      <c r="U187" s="272"/>
      <c r="V187" s="272"/>
      <c r="W187" s="272"/>
      <c r="X187" s="272"/>
      <c r="Y187" s="272"/>
      <c r="Z187" s="272"/>
      <c r="AA187" s="272"/>
    </row>
    <row r="188" spans="1:27">
      <c r="A188" s="273">
        <v>2</v>
      </c>
      <c r="B188" s="274" t="s">
        <v>4969</v>
      </c>
      <c r="C188" s="275">
        <v>45232</v>
      </c>
      <c r="D188" s="274" t="s">
        <v>4714</v>
      </c>
      <c r="E188" s="268" t="s">
        <v>2929</v>
      </c>
      <c r="F188" s="268" t="s">
        <v>4715</v>
      </c>
      <c r="G188" s="268" t="s">
        <v>4716</v>
      </c>
      <c r="H188" s="268" t="str">
        <f t="shared" si="0"/>
        <v>LAURA YEGUAS RAMÍREZ</v>
      </c>
      <c r="I188" s="268" t="s">
        <v>5060</v>
      </c>
      <c r="J188" s="272" t="s">
        <v>4718</v>
      </c>
      <c r="K188" s="268" t="s">
        <v>5061</v>
      </c>
      <c r="L188" s="276">
        <v>45338</v>
      </c>
      <c r="M188" s="277"/>
      <c r="N188" s="282">
        <v>2</v>
      </c>
      <c r="O188" s="284" t="s">
        <v>4720</v>
      </c>
      <c r="P188" s="280">
        <v>3424.32</v>
      </c>
      <c r="Q188" s="287">
        <v>45232</v>
      </c>
      <c r="R188" s="272"/>
      <c r="S188" s="272"/>
      <c r="T188" s="272"/>
      <c r="U188" s="272"/>
      <c r="V188" s="272"/>
      <c r="W188" s="272"/>
      <c r="X188" s="272"/>
      <c r="Y188" s="272"/>
      <c r="Z188" s="272"/>
      <c r="AA188" s="272"/>
    </row>
    <row r="189" spans="1:27">
      <c r="A189" s="273">
        <v>2</v>
      </c>
      <c r="B189" s="274" t="s">
        <v>4969</v>
      </c>
      <c r="C189" s="275">
        <v>45314</v>
      </c>
      <c r="D189" s="274" t="s">
        <v>4714</v>
      </c>
      <c r="E189" s="268" t="s">
        <v>5062</v>
      </c>
      <c r="F189" s="268" t="s">
        <v>4715</v>
      </c>
      <c r="G189" s="268" t="s">
        <v>4716</v>
      </c>
      <c r="H189" s="268" t="str">
        <f t="shared" si="0"/>
        <v>FEDERICO ARRUTIA DIEZ</v>
      </c>
      <c r="I189" s="268" t="s">
        <v>5063</v>
      </c>
      <c r="J189" s="268" t="s">
        <v>5064</v>
      </c>
      <c r="K189" s="268" t="s">
        <v>5065</v>
      </c>
      <c r="L189" s="276">
        <v>45338</v>
      </c>
      <c r="M189" s="277"/>
      <c r="N189" s="282">
        <v>2</v>
      </c>
      <c r="O189" s="284" t="s">
        <v>4720</v>
      </c>
      <c r="P189" s="280">
        <v>3604.5</v>
      </c>
      <c r="Q189" s="287">
        <v>45314</v>
      </c>
      <c r="R189" s="272"/>
      <c r="S189" s="272"/>
      <c r="T189" s="272"/>
      <c r="U189" s="272"/>
      <c r="V189" s="272"/>
      <c r="W189" s="272"/>
      <c r="X189" s="272"/>
      <c r="Y189" s="272"/>
      <c r="Z189" s="272"/>
      <c r="AA189" s="272"/>
    </row>
    <row r="190" spans="1:27">
      <c r="A190" s="273">
        <v>2</v>
      </c>
      <c r="B190" s="274" t="s">
        <v>4969</v>
      </c>
      <c r="C190" s="275">
        <v>45212</v>
      </c>
      <c r="D190" s="274" t="s">
        <v>4714</v>
      </c>
      <c r="E190" s="268" t="s">
        <v>4749</v>
      </c>
      <c r="F190" s="268" t="s">
        <v>4715</v>
      </c>
      <c r="G190" s="268" t="s">
        <v>4716</v>
      </c>
      <c r="H190" s="268" t="str">
        <f t="shared" si="0"/>
        <v>MÓNICA GRANDA ROSALES</v>
      </c>
      <c r="I190" s="268" t="s">
        <v>4750</v>
      </c>
      <c r="J190" s="272" t="s">
        <v>4751</v>
      </c>
      <c r="K190" s="268" t="s">
        <v>5066</v>
      </c>
      <c r="L190" s="276">
        <v>45339</v>
      </c>
      <c r="M190" s="277"/>
      <c r="N190" s="282">
        <v>2</v>
      </c>
      <c r="O190" s="284" t="s">
        <v>4740</v>
      </c>
      <c r="P190" s="280">
        <v>3818.18</v>
      </c>
      <c r="Q190" s="287">
        <v>45212</v>
      </c>
      <c r="R190" s="272"/>
      <c r="S190" s="272"/>
      <c r="T190" s="272"/>
      <c r="U190" s="272"/>
      <c r="V190" s="272"/>
      <c r="W190" s="272"/>
      <c r="X190" s="272"/>
      <c r="Y190" s="272"/>
      <c r="Z190" s="272"/>
      <c r="AA190" s="272"/>
    </row>
    <row r="191" spans="1:27">
      <c r="A191" s="273">
        <v>2</v>
      </c>
      <c r="B191" s="274" t="s">
        <v>4969</v>
      </c>
      <c r="C191" s="275">
        <v>45310</v>
      </c>
      <c r="D191" s="274" t="s">
        <v>4714</v>
      </c>
      <c r="E191" s="268" t="s">
        <v>4194</v>
      </c>
      <c r="F191" s="268" t="s">
        <v>4715</v>
      </c>
      <c r="G191" s="268" t="s">
        <v>4716</v>
      </c>
      <c r="H191" s="268" t="str">
        <f t="shared" si="0"/>
        <v>FÉLIX RUÍZ DE LA CUESTA JUSTE</v>
      </c>
      <c r="I191" s="268" t="s">
        <v>4930</v>
      </c>
      <c r="J191" s="272" t="s">
        <v>4736</v>
      </c>
      <c r="K191" s="268" t="s">
        <v>5067</v>
      </c>
      <c r="L191" s="276">
        <v>45341</v>
      </c>
      <c r="M191" s="277"/>
      <c r="N191" s="282">
        <v>2</v>
      </c>
      <c r="O191" s="284" t="s">
        <v>4720</v>
      </c>
      <c r="P191" s="280">
        <v>3968.18</v>
      </c>
      <c r="Q191" s="287">
        <v>45310</v>
      </c>
      <c r="R191" s="272"/>
      <c r="S191" s="272"/>
      <c r="T191" s="272"/>
      <c r="U191" s="272"/>
      <c r="V191" s="272"/>
      <c r="W191" s="272"/>
      <c r="X191" s="272"/>
      <c r="Y191" s="272"/>
      <c r="Z191" s="272"/>
      <c r="AA191" s="272"/>
    </row>
    <row r="192" spans="1:27">
      <c r="A192" s="273">
        <v>2</v>
      </c>
      <c r="B192" s="274" t="s">
        <v>4969</v>
      </c>
      <c r="C192" s="275">
        <v>45293</v>
      </c>
      <c r="D192" s="274" t="s">
        <v>4714</v>
      </c>
      <c r="E192" s="268" t="s">
        <v>3218</v>
      </c>
      <c r="F192" s="268" t="s">
        <v>4715</v>
      </c>
      <c r="G192" s="268" t="s">
        <v>4716</v>
      </c>
      <c r="H192" s="268" t="str">
        <f t="shared" si="0"/>
        <v>EVIANS GÓMEZ DE LA ROSA</v>
      </c>
      <c r="I192" s="268" t="s">
        <v>5068</v>
      </c>
      <c r="J192" s="272" t="s">
        <v>4806</v>
      </c>
      <c r="K192" s="268" t="s">
        <v>5069</v>
      </c>
      <c r="L192" s="276">
        <v>45341</v>
      </c>
      <c r="M192" s="277"/>
      <c r="N192" s="282">
        <v>2</v>
      </c>
      <c r="O192" s="284" t="s">
        <v>4720</v>
      </c>
      <c r="P192" s="280">
        <v>3604.55</v>
      </c>
      <c r="Q192" s="287">
        <v>45293</v>
      </c>
      <c r="R192" s="272"/>
      <c r="S192" s="272"/>
      <c r="T192" s="272"/>
      <c r="U192" s="272"/>
      <c r="V192" s="272"/>
      <c r="W192" s="272"/>
      <c r="X192" s="272"/>
      <c r="Y192" s="272"/>
      <c r="Z192" s="272"/>
      <c r="AA192" s="272"/>
    </row>
    <row r="193" spans="1:27">
      <c r="A193" s="273">
        <v>2</v>
      </c>
      <c r="B193" s="274" t="s">
        <v>4969</v>
      </c>
      <c r="C193" s="275">
        <v>45313</v>
      </c>
      <c r="D193" s="274" t="s">
        <v>4714</v>
      </c>
      <c r="E193" s="268" t="s">
        <v>2880</v>
      </c>
      <c r="F193" s="268" t="s">
        <v>4715</v>
      </c>
      <c r="G193" s="268" t="s">
        <v>4716</v>
      </c>
      <c r="H193" s="268" t="str">
        <f t="shared" si="0"/>
        <v>MARÍA GARROTE GARROTE</v>
      </c>
      <c r="I193" s="268" t="s">
        <v>4721</v>
      </c>
      <c r="J193" s="272" t="s">
        <v>4718</v>
      </c>
      <c r="K193" s="268" t="s">
        <v>5070</v>
      </c>
      <c r="L193" s="276">
        <v>45341</v>
      </c>
      <c r="M193" s="277"/>
      <c r="N193" s="282">
        <v>1</v>
      </c>
      <c r="O193" s="284" t="s">
        <v>4723</v>
      </c>
      <c r="P193" s="280">
        <v>1668.18</v>
      </c>
      <c r="Q193" s="287">
        <v>45313</v>
      </c>
      <c r="R193" s="272"/>
      <c r="S193" s="272"/>
      <c r="T193" s="272"/>
      <c r="U193" s="272"/>
      <c r="V193" s="272"/>
      <c r="W193" s="272"/>
      <c r="X193" s="272"/>
      <c r="Y193" s="272"/>
      <c r="Z193" s="272"/>
      <c r="AA193" s="272"/>
    </row>
    <row r="194" spans="1:27">
      <c r="A194" s="273">
        <v>2</v>
      </c>
      <c r="B194" s="274" t="s">
        <v>4969</v>
      </c>
      <c r="C194" s="275">
        <v>45314</v>
      </c>
      <c r="D194" s="274" t="s">
        <v>4714</v>
      </c>
      <c r="E194" s="279" t="s">
        <v>2893</v>
      </c>
      <c r="F194" s="279" t="s">
        <v>4715</v>
      </c>
      <c r="G194" s="279" t="s">
        <v>4716</v>
      </c>
      <c r="H194" s="268" t="str">
        <f t="shared" si="0"/>
        <v>PAULA AVILES MAÑOSO</v>
      </c>
      <c r="I194" s="268" t="s">
        <v>5071</v>
      </c>
      <c r="J194" s="272" t="s">
        <v>4718</v>
      </c>
      <c r="K194" s="279" t="s">
        <v>5072</v>
      </c>
      <c r="L194" s="276">
        <v>45341</v>
      </c>
      <c r="M194" s="277"/>
      <c r="N194" s="282">
        <v>2</v>
      </c>
      <c r="O194" s="284" t="s">
        <v>4720</v>
      </c>
      <c r="P194" s="280">
        <v>3604.55</v>
      </c>
      <c r="Q194" s="287">
        <v>45314</v>
      </c>
      <c r="R194" s="272"/>
      <c r="S194" s="272"/>
      <c r="T194" s="272"/>
      <c r="U194" s="272"/>
      <c r="V194" s="272"/>
      <c r="W194" s="272"/>
      <c r="X194" s="272"/>
      <c r="Y194" s="272"/>
      <c r="Z194" s="272"/>
      <c r="AA194" s="272"/>
    </row>
    <row r="195" spans="1:27">
      <c r="A195" s="273">
        <v>2</v>
      </c>
      <c r="B195" s="274" t="s">
        <v>4969</v>
      </c>
      <c r="C195" s="275">
        <v>45295</v>
      </c>
      <c r="D195" s="274" t="s">
        <v>4714</v>
      </c>
      <c r="E195" s="268" t="s">
        <v>2893</v>
      </c>
      <c r="F195" s="268" t="s">
        <v>4715</v>
      </c>
      <c r="G195" s="268" t="s">
        <v>4716</v>
      </c>
      <c r="H195" s="268" t="str">
        <f t="shared" si="0"/>
        <v>JESÚS ATALAYA DÍAZ</v>
      </c>
      <c r="I195" s="268" t="s">
        <v>5073</v>
      </c>
      <c r="J195" s="272" t="s">
        <v>4718</v>
      </c>
      <c r="K195" s="268" t="s">
        <v>5074</v>
      </c>
      <c r="L195" s="276">
        <v>45341</v>
      </c>
      <c r="M195" s="277"/>
      <c r="N195" s="282">
        <v>1</v>
      </c>
      <c r="O195" s="284" t="s">
        <v>4740</v>
      </c>
      <c r="P195" s="280">
        <v>2536.36</v>
      </c>
      <c r="Q195" s="287">
        <v>45295</v>
      </c>
      <c r="R195" s="272"/>
      <c r="S195" s="272"/>
      <c r="T195" s="272"/>
      <c r="U195" s="272"/>
      <c r="V195" s="272"/>
      <c r="W195" s="272"/>
      <c r="X195" s="272"/>
      <c r="Y195" s="272"/>
      <c r="Z195" s="272"/>
      <c r="AA195" s="272"/>
    </row>
    <row r="196" spans="1:27">
      <c r="A196" s="273">
        <v>2</v>
      </c>
      <c r="B196" s="274" t="s">
        <v>4969</v>
      </c>
      <c r="C196" s="275">
        <v>45310</v>
      </c>
      <c r="D196" s="274" t="s">
        <v>4714</v>
      </c>
      <c r="E196" s="268" t="s">
        <v>4775</v>
      </c>
      <c r="F196" s="268" t="s">
        <v>4715</v>
      </c>
      <c r="G196" s="268" t="s">
        <v>4716</v>
      </c>
      <c r="H196" s="268" t="str">
        <f t="shared" si="0"/>
        <v>FERNANDO SALAZAR BARCELONA</v>
      </c>
      <c r="I196" s="268" t="s">
        <v>4776</v>
      </c>
      <c r="J196" s="272" t="s">
        <v>4822</v>
      </c>
      <c r="K196" s="268" t="s">
        <v>5075</v>
      </c>
      <c r="L196" s="276">
        <v>45341</v>
      </c>
      <c r="M196" s="277"/>
      <c r="N196" s="282">
        <v>2</v>
      </c>
      <c r="O196" s="284" t="s">
        <v>4740</v>
      </c>
      <c r="P196" s="280">
        <v>3727.27</v>
      </c>
      <c r="Q196" s="287">
        <v>45310</v>
      </c>
      <c r="R196" s="272"/>
      <c r="S196" s="272"/>
      <c r="T196" s="272"/>
      <c r="U196" s="272"/>
      <c r="V196" s="272"/>
      <c r="W196" s="272"/>
      <c r="X196" s="272"/>
      <c r="Y196" s="272"/>
      <c r="Z196" s="272"/>
      <c r="AA196" s="272"/>
    </row>
    <row r="197" spans="1:27">
      <c r="A197" s="273">
        <v>2</v>
      </c>
      <c r="B197" s="274" t="s">
        <v>4969</v>
      </c>
      <c r="C197" s="275">
        <v>45302</v>
      </c>
      <c r="D197" s="274" t="s">
        <v>4714</v>
      </c>
      <c r="E197" s="268" t="s">
        <v>3861</v>
      </c>
      <c r="F197" s="268" t="s">
        <v>4715</v>
      </c>
      <c r="G197" s="268" t="s">
        <v>4716</v>
      </c>
      <c r="H197" s="268" t="str">
        <f t="shared" si="0"/>
        <v>JOSÉ GUSTAVO BARROSO BRAOJOS</v>
      </c>
      <c r="I197" s="268" t="s">
        <v>4834</v>
      </c>
      <c r="J197" s="272" t="s">
        <v>4718</v>
      </c>
      <c r="K197" s="268" t="s">
        <v>5076</v>
      </c>
      <c r="L197" s="276">
        <v>45341</v>
      </c>
      <c r="M197" s="277"/>
      <c r="N197" s="282">
        <v>2</v>
      </c>
      <c r="O197" s="284" t="s">
        <v>4720</v>
      </c>
      <c r="P197" s="280">
        <v>3454.55</v>
      </c>
      <c r="Q197" s="287">
        <v>45302</v>
      </c>
      <c r="R197" s="272"/>
      <c r="S197" s="272"/>
      <c r="T197" s="272"/>
      <c r="U197" s="272"/>
      <c r="V197" s="272"/>
      <c r="W197" s="272"/>
      <c r="X197" s="272"/>
      <c r="Y197" s="272"/>
      <c r="Z197" s="272"/>
      <c r="AA197" s="272"/>
    </row>
    <row r="198" spans="1:27">
      <c r="A198" s="273">
        <v>2</v>
      </c>
      <c r="B198" s="274" t="s">
        <v>4969</v>
      </c>
      <c r="C198" s="275">
        <v>45316</v>
      </c>
      <c r="D198" s="274" t="s">
        <v>4714</v>
      </c>
      <c r="E198" s="268" t="s">
        <v>3193</v>
      </c>
      <c r="F198" s="268" t="s">
        <v>4715</v>
      </c>
      <c r="G198" s="268" t="s">
        <v>4716</v>
      </c>
      <c r="H198" s="268" t="str">
        <f t="shared" si="0"/>
        <v>JOSE JOAQUÍN GUTIÉRREZ BARQUÍN</v>
      </c>
      <c r="I198" s="268" t="s">
        <v>4990</v>
      </c>
      <c r="J198" s="272" t="s">
        <v>4718</v>
      </c>
      <c r="K198" s="268" t="s">
        <v>5077</v>
      </c>
      <c r="L198" s="276">
        <v>45341</v>
      </c>
      <c r="M198" s="277"/>
      <c r="N198" s="282">
        <v>2</v>
      </c>
      <c r="O198" s="284" t="s">
        <v>4723</v>
      </c>
      <c r="P198" s="280">
        <v>2780.91</v>
      </c>
      <c r="Q198" s="287">
        <v>45316</v>
      </c>
      <c r="R198" s="272"/>
      <c r="S198" s="272"/>
      <c r="T198" s="272"/>
      <c r="U198" s="272"/>
      <c r="V198" s="272"/>
      <c r="W198" s="272"/>
      <c r="X198" s="272"/>
      <c r="Y198" s="272"/>
      <c r="Z198" s="272"/>
      <c r="AA198" s="272"/>
    </row>
    <row r="199" spans="1:27">
      <c r="A199" s="273">
        <v>2</v>
      </c>
      <c r="B199" s="274" t="s">
        <v>4969</v>
      </c>
      <c r="C199" s="275">
        <v>45278</v>
      </c>
      <c r="D199" s="274" t="s">
        <v>4714</v>
      </c>
      <c r="E199" s="268" t="s">
        <v>4892</v>
      </c>
      <c r="F199" s="268" t="s">
        <v>4715</v>
      </c>
      <c r="G199" s="268" t="s">
        <v>4716</v>
      </c>
      <c r="H199" s="268" t="str">
        <f t="shared" si="0"/>
        <v>Mª FERNANDA ESCALA PEDREROS</v>
      </c>
      <c r="I199" s="268" t="s">
        <v>5078</v>
      </c>
      <c r="J199" s="272" t="s">
        <v>4822</v>
      </c>
      <c r="K199" s="268" t="s">
        <v>5079</v>
      </c>
      <c r="L199" s="276">
        <v>45341</v>
      </c>
      <c r="M199" s="283"/>
      <c r="N199" s="282">
        <v>2</v>
      </c>
      <c r="O199" s="284" t="s">
        <v>4720</v>
      </c>
      <c r="P199" s="280">
        <v>3604.55</v>
      </c>
      <c r="Q199" s="287">
        <v>45278</v>
      </c>
      <c r="R199" s="272"/>
      <c r="S199" s="272"/>
      <c r="T199" s="272"/>
      <c r="U199" s="272"/>
      <c r="V199" s="272"/>
      <c r="W199" s="272"/>
      <c r="X199" s="272"/>
      <c r="Y199" s="272"/>
      <c r="Z199" s="272"/>
      <c r="AA199" s="272"/>
    </row>
    <row r="200" spans="1:27">
      <c r="A200" s="273">
        <v>2</v>
      </c>
      <c r="B200" s="274" t="s">
        <v>4969</v>
      </c>
      <c r="C200" s="275">
        <v>45267</v>
      </c>
      <c r="D200" s="274" t="s">
        <v>4714</v>
      </c>
      <c r="E200" s="268" t="s">
        <v>2869</v>
      </c>
      <c r="F200" s="268" t="s">
        <v>4715</v>
      </c>
      <c r="G200" s="268" t="s">
        <v>4716</v>
      </c>
      <c r="H200" s="268" t="str">
        <f t="shared" si="0"/>
        <v>MARÍA AGUSTINA SEVILLA GARCÍA</v>
      </c>
      <c r="I200" s="268" t="s">
        <v>4812</v>
      </c>
      <c r="J200" s="272" t="s">
        <v>4736</v>
      </c>
      <c r="K200" s="268" t="s">
        <v>5080</v>
      </c>
      <c r="L200" s="276">
        <v>45341</v>
      </c>
      <c r="M200" s="283"/>
      <c r="N200" s="282">
        <v>1</v>
      </c>
      <c r="O200" s="284" t="s">
        <v>4720</v>
      </c>
      <c r="P200" s="280">
        <v>2162.73</v>
      </c>
      <c r="Q200" s="287">
        <v>45267</v>
      </c>
      <c r="R200" s="272"/>
      <c r="S200" s="272"/>
      <c r="T200" s="272"/>
      <c r="U200" s="272"/>
      <c r="V200" s="272"/>
      <c r="W200" s="272"/>
      <c r="X200" s="272"/>
      <c r="Y200" s="272"/>
      <c r="Z200" s="272"/>
      <c r="AA200" s="272"/>
    </row>
    <row r="201" spans="1:27">
      <c r="A201" s="273">
        <v>2</v>
      </c>
      <c r="B201" s="274" t="s">
        <v>4969</v>
      </c>
      <c r="C201" s="275">
        <v>45279</v>
      </c>
      <c r="D201" s="274" t="s">
        <v>4714</v>
      </c>
      <c r="E201" s="268" t="s">
        <v>2961</v>
      </c>
      <c r="F201" s="268" t="s">
        <v>4715</v>
      </c>
      <c r="G201" s="268" t="s">
        <v>4716</v>
      </c>
      <c r="H201" s="268" t="str">
        <f t="shared" si="0"/>
        <v>ANDRÉS BARRIOS RECIO</v>
      </c>
      <c r="I201" s="268" t="s">
        <v>5081</v>
      </c>
      <c r="J201" s="272" t="s">
        <v>4736</v>
      </c>
      <c r="K201" s="268" t="s">
        <v>5082</v>
      </c>
      <c r="L201" s="276">
        <v>45341</v>
      </c>
      <c r="M201" s="283"/>
      <c r="N201" s="282">
        <v>2</v>
      </c>
      <c r="O201" s="284" t="s">
        <v>4720</v>
      </c>
      <c r="P201" s="280">
        <v>3604.55</v>
      </c>
      <c r="Q201" s="287">
        <v>45279</v>
      </c>
      <c r="R201" s="272"/>
      <c r="S201" s="272"/>
      <c r="T201" s="272"/>
      <c r="U201" s="272"/>
      <c r="V201" s="272"/>
      <c r="W201" s="272"/>
      <c r="X201" s="272"/>
      <c r="Y201" s="272"/>
      <c r="Z201" s="272"/>
      <c r="AA201" s="272"/>
    </row>
    <row r="202" spans="1:27">
      <c r="A202" s="273">
        <v>2</v>
      </c>
      <c r="B202" s="274" t="s">
        <v>4969</v>
      </c>
      <c r="C202" s="275">
        <v>45320</v>
      </c>
      <c r="D202" s="274" t="s">
        <v>4714</v>
      </c>
      <c r="E202" s="268" t="s">
        <v>3011</v>
      </c>
      <c r="F202" s="268" t="s">
        <v>4715</v>
      </c>
      <c r="G202" s="268" t="s">
        <v>4716</v>
      </c>
      <c r="H202" s="268" t="str">
        <f t="shared" si="0"/>
        <v>Mª LUISA CALERO RAMOS</v>
      </c>
      <c r="I202" s="268" t="s">
        <v>5083</v>
      </c>
      <c r="J202" s="272" t="s">
        <v>4729</v>
      </c>
      <c r="K202" s="268" t="s">
        <v>5084</v>
      </c>
      <c r="L202" s="276">
        <v>45341</v>
      </c>
      <c r="M202" s="277"/>
      <c r="N202" s="282">
        <v>2</v>
      </c>
      <c r="O202" s="284" t="s">
        <v>4740</v>
      </c>
      <c r="P202" s="280">
        <v>4404.55</v>
      </c>
      <c r="Q202" s="287">
        <v>45320</v>
      </c>
      <c r="R202" s="272"/>
      <c r="S202" s="272"/>
      <c r="T202" s="272"/>
      <c r="U202" s="272"/>
      <c r="V202" s="272"/>
      <c r="W202" s="272"/>
      <c r="X202" s="272"/>
      <c r="Y202" s="272"/>
      <c r="Z202" s="272"/>
      <c r="AA202" s="272"/>
    </row>
    <row r="203" spans="1:27">
      <c r="A203" s="273">
        <v>2</v>
      </c>
      <c r="B203" s="274" t="s">
        <v>4969</v>
      </c>
      <c r="C203" s="275">
        <v>45301</v>
      </c>
      <c r="D203" s="274" t="s">
        <v>4714</v>
      </c>
      <c r="E203" s="268" t="s">
        <v>3011</v>
      </c>
      <c r="F203" s="268" t="s">
        <v>4715</v>
      </c>
      <c r="G203" s="268" t="s">
        <v>4716</v>
      </c>
      <c r="H203" s="268" t="str">
        <f t="shared" si="0"/>
        <v>FRANCISCO ANTONIO PÉREZ FERNÁNDEZ</v>
      </c>
      <c r="I203" s="268" t="s">
        <v>4816</v>
      </c>
      <c r="J203" s="272" t="s">
        <v>4729</v>
      </c>
      <c r="K203" s="268" t="s">
        <v>5085</v>
      </c>
      <c r="L203" s="276">
        <v>45341</v>
      </c>
      <c r="M203" s="283"/>
      <c r="N203" s="282">
        <v>2</v>
      </c>
      <c r="O203" s="284" t="s">
        <v>4723</v>
      </c>
      <c r="P203" s="280">
        <v>2814.55</v>
      </c>
      <c r="Q203" s="287">
        <v>45301</v>
      </c>
      <c r="R203" s="272"/>
      <c r="S203" s="272"/>
      <c r="T203" s="272"/>
      <c r="U203" s="272"/>
      <c r="V203" s="272"/>
      <c r="W203" s="272"/>
      <c r="X203" s="272"/>
      <c r="Y203" s="272"/>
      <c r="Z203" s="272"/>
      <c r="AA203" s="272"/>
    </row>
    <row r="204" spans="1:27">
      <c r="A204" s="273">
        <v>2</v>
      </c>
      <c r="B204" s="274" t="s">
        <v>4969</v>
      </c>
      <c r="C204" s="275">
        <v>45302</v>
      </c>
      <c r="D204" s="274" t="s">
        <v>4714</v>
      </c>
      <c r="E204" s="268" t="s">
        <v>3480</v>
      </c>
      <c r="F204" s="268" t="s">
        <v>4715</v>
      </c>
      <c r="G204" s="268" t="s">
        <v>4716</v>
      </c>
      <c r="H204" s="268" t="str">
        <f t="shared" si="0"/>
        <v>MARTA MORATO</v>
      </c>
      <c r="I204" s="268" t="s">
        <v>5086</v>
      </c>
      <c r="J204" s="268" t="s">
        <v>4718</v>
      </c>
      <c r="K204" s="268" t="s">
        <v>5087</v>
      </c>
      <c r="L204" s="276">
        <v>45342</v>
      </c>
      <c r="M204" s="283"/>
      <c r="N204" s="282">
        <v>2</v>
      </c>
      <c r="O204" s="284" t="s">
        <v>4723</v>
      </c>
      <c r="P204" s="280">
        <v>2641.86</v>
      </c>
      <c r="Q204" s="287">
        <v>45302</v>
      </c>
      <c r="R204" s="272"/>
      <c r="S204" s="272"/>
      <c r="T204" s="272"/>
      <c r="U204" s="272"/>
      <c r="V204" s="272"/>
      <c r="W204" s="272"/>
      <c r="X204" s="272"/>
      <c r="Y204" s="272"/>
      <c r="Z204" s="272"/>
      <c r="AA204" s="272"/>
    </row>
    <row r="205" spans="1:27">
      <c r="A205" s="273">
        <v>2</v>
      </c>
      <c r="B205" s="274" t="s">
        <v>4969</v>
      </c>
      <c r="C205" s="275">
        <v>45307</v>
      </c>
      <c r="D205" s="274" t="s">
        <v>4714</v>
      </c>
      <c r="E205" s="268" t="s">
        <v>4878</v>
      </c>
      <c r="F205" s="268" t="s">
        <v>4715</v>
      </c>
      <c r="G205" s="268" t="s">
        <v>4716</v>
      </c>
      <c r="H205" s="268" t="str">
        <f t="shared" si="0"/>
        <v>ISABEL VAAMONDE SANCHEZ ANDRADE</v>
      </c>
      <c r="I205" s="268" t="s">
        <v>5088</v>
      </c>
      <c r="J205" s="272" t="s">
        <v>4790</v>
      </c>
      <c r="K205" s="268" t="s">
        <v>5089</v>
      </c>
      <c r="L205" s="276">
        <v>45342</v>
      </c>
      <c r="M205" s="277"/>
      <c r="N205" s="282">
        <v>1</v>
      </c>
      <c r="O205" s="284" t="s">
        <v>4792</v>
      </c>
      <c r="P205" s="280">
        <v>1536.36</v>
      </c>
      <c r="Q205" s="287">
        <v>45307</v>
      </c>
      <c r="R205" s="272"/>
      <c r="S205" s="272"/>
      <c r="T205" s="272"/>
      <c r="U205" s="272"/>
      <c r="V205" s="272"/>
      <c r="W205" s="272"/>
      <c r="X205" s="272"/>
      <c r="Y205" s="272"/>
      <c r="Z205" s="272"/>
      <c r="AA205" s="272"/>
    </row>
    <row r="206" spans="1:27">
      <c r="A206" s="273">
        <v>2</v>
      </c>
      <c r="B206" s="274" t="s">
        <v>4969</v>
      </c>
      <c r="C206" s="275">
        <v>45317</v>
      </c>
      <c r="D206" s="274" t="s">
        <v>4714</v>
      </c>
      <c r="E206" s="268" t="s">
        <v>2893</v>
      </c>
      <c r="F206" s="268" t="s">
        <v>4715</v>
      </c>
      <c r="G206" s="268" t="s">
        <v>4716</v>
      </c>
      <c r="H206" s="268" t="str">
        <f t="shared" si="0"/>
        <v>CONCEPCIÓN PESCADOR MESONERO</v>
      </c>
      <c r="I206" s="268" t="s">
        <v>5090</v>
      </c>
      <c r="J206" s="272" t="s">
        <v>4718</v>
      </c>
      <c r="K206" s="268" t="s">
        <v>5091</v>
      </c>
      <c r="L206" s="276">
        <v>45342</v>
      </c>
      <c r="M206" s="277"/>
      <c r="N206" s="282">
        <v>2</v>
      </c>
      <c r="O206" s="284" t="s">
        <v>4720</v>
      </c>
      <c r="P206" s="280">
        <v>3604.55</v>
      </c>
      <c r="Q206" s="287">
        <v>45317</v>
      </c>
      <c r="R206" s="272"/>
      <c r="S206" s="272"/>
      <c r="T206" s="272"/>
      <c r="U206" s="272"/>
      <c r="V206" s="272"/>
      <c r="W206" s="272"/>
      <c r="X206" s="272"/>
      <c r="Y206" s="272"/>
      <c r="Z206" s="272"/>
      <c r="AA206" s="272"/>
    </row>
    <row r="207" spans="1:27">
      <c r="A207" s="273">
        <v>2</v>
      </c>
      <c r="B207" s="274" t="s">
        <v>4969</v>
      </c>
      <c r="C207" s="275">
        <v>45288</v>
      </c>
      <c r="D207" s="274" t="s">
        <v>4714</v>
      </c>
      <c r="E207" s="268" t="s">
        <v>3193</v>
      </c>
      <c r="F207" s="268" t="s">
        <v>4715</v>
      </c>
      <c r="G207" s="268" t="s">
        <v>4716</v>
      </c>
      <c r="H207" s="268" t="str">
        <f t="shared" si="0"/>
        <v>FÉLIX RODRÍGUEZ PAZ</v>
      </c>
      <c r="I207" s="268" t="s">
        <v>5092</v>
      </c>
      <c r="J207" s="272" t="s">
        <v>4718</v>
      </c>
      <c r="K207" s="268" t="s">
        <v>5093</v>
      </c>
      <c r="L207" s="276">
        <v>45342</v>
      </c>
      <c r="M207" s="277"/>
      <c r="N207" s="282">
        <v>2</v>
      </c>
      <c r="O207" s="284" t="s">
        <v>4723</v>
      </c>
      <c r="P207" s="280">
        <v>2780.91</v>
      </c>
      <c r="Q207" s="287">
        <v>45288</v>
      </c>
      <c r="R207" s="272"/>
      <c r="S207" s="272"/>
      <c r="T207" s="272"/>
      <c r="U207" s="272"/>
      <c r="V207" s="272"/>
      <c r="W207" s="272"/>
      <c r="X207" s="272"/>
      <c r="Y207" s="272"/>
      <c r="Z207" s="272"/>
      <c r="AA207" s="272"/>
    </row>
    <row r="208" spans="1:27">
      <c r="A208" s="273">
        <v>2</v>
      </c>
      <c r="B208" s="274" t="s">
        <v>4969</v>
      </c>
      <c r="C208" s="275">
        <v>45316</v>
      </c>
      <c r="D208" s="274" t="s">
        <v>4714</v>
      </c>
      <c r="E208" s="268" t="s">
        <v>2869</v>
      </c>
      <c r="F208" s="268" t="s">
        <v>4715</v>
      </c>
      <c r="G208" s="268" t="s">
        <v>4716</v>
      </c>
      <c r="H208" s="268" t="str">
        <f t="shared" si="0"/>
        <v>MARÍA AGUSTINA SEVILLA GARCÍA</v>
      </c>
      <c r="I208" s="268" t="s">
        <v>4812</v>
      </c>
      <c r="J208" s="272" t="s">
        <v>4736</v>
      </c>
      <c r="K208" s="268" t="s">
        <v>5094</v>
      </c>
      <c r="L208" s="276">
        <v>45342</v>
      </c>
      <c r="M208" s="283"/>
      <c r="N208" s="282">
        <v>2</v>
      </c>
      <c r="O208" s="284" t="s">
        <v>4723</v>
      </c>
      <c r="P208" s="280">
        <v>2780.77</v>
      </c>
      <c r="Q208" s="287">
        <v>45316</v>
      </c>
      <c r="R208" s="272"/>
      <c r="S208" s="272"/>
      <c r="T208" s="272"/>
      <c r="U208" s="272"/>
      <c r="V208" s="272"/>
      <c r="W208" s="272"/>
      <c r="X208" s="272"/>
      <c r="Y208" s="272"/>
      <c r="Z208" s="272"/>
      <c r="AA208" s="272"/>
    </row>
    <row r="209" spans="1:27">
      <c r="A209" s="273">
        <v>2</v>
      </c>
      <c r="B209" s="274" t="s">
        <v>4969</v>
      </c>
      <c r="C209" s="275">
        <v>45293</v>
      </c>
      <c r="D209" s="274" t="s">
        <v>4714</v>
      </c>
      <c r="E209" s="268" t="s">
        <v>4759</v>
      </c>
      <c r="F209" s="268" t="s">
        <v>4715</v>
      </c>
      <c r="G209" s="268" t="s">
        <v>4716</v>
      </c>
      <c r="H209" s="268" t="str">
        <f t="shared" si="0"/>
        <v>JAVIER HERRERO AGUSTÍN</v>
      </c>
      <c r="I209" s="268" t="s">
        <v>5095</v>
      </c>
      <c r="J209" s="272" t="s">
        <v>4747</v>
      </c>
      <c r="K209" s="268" t="s">
        <v>5096</v>
      </c>
      <c r="L209" s="276">
        <v>45342</v>
      </c>
      <c r="M209" s="277"/>
      <c r="N209" s="282">
        <v>2</v>
      </c>
      <c r="O209" s="284" t="s">
        <v>4740</v>
      </c>
      <c r="P209" s="280">
        <v>3977.27</v>
      </c>
      <c r="Q209" s="287">
        <v>45293</v>
      </c>
      <c r="R209" s="272"/>
      <c r="S209" s="272"/>
      <c r="T209" s="272"/>
      <c r="U209" s="272"/>
      <c r="V209" s="272"/>
      <c r="W209" s="272"/>
      <c r="X209" s="272"/>
      <c r="Y209" s="272"/>
      <c r="Z209" s="272"/>
      <c r="AA209" s="272"/>
    </row>
    <row r="210" spans="1:27">
      <c r="A210" s="273">
        <v>2</v>
      </c>
      <c r="B210" s="274" t="s">
        <v>4969</v>
      </c>
      <c r="C210" s="275">
        <v>45308</v>
      </c>
      <c r="D210" s="285" t="s">
        <v>4714</v>
      </c>
      <c r="E210" s="268" t="s">
        <v>4845</v>
      </c>
      <c r="F210" s="268" t="s">
        <v>4715</v>
      </c>
      <c r="G210" s="268" t="s">
        <v>4716</v>
      </c>
      <c r="H210" s="268" t="str">
        <f t="shared" si="0"/>
        <v>JULIO KNASTER DEL OLMO</v>
      </c>
      <c r="I210" s="268" t="s">
        <v>5097</v>
      </c>
      <c r="J210" s="268" t="s">
        <v>4806</v>
      </c>
      <c r="K210" s="268" t="s">
        <v>5098</v>
      </c>
      <c r="L210" s="276">
        <v>45342</v>
      </c>
      <c r="M210" s="277"/>
      <c r="N210" s="282">
        <v>2</v>
      </c>
      <c r="O210" s="284" t="s">
        <v>4720</v>
      </c>
      <c r="P210" s="280">
        <v>3604.55</v>
      </c>
      <c r="Q210" s="287">
        <v>45308</v>
      </c>
      <c r="R210" s="272"/>
      <c r="S210" s="272"/>
      <c r="T210" s="272"/>
      <c r="U210" s="272"/>
      <c r="V210" s="272"/>
      <c r="W210" s="272"/>
      <c r="X210" s="272"/>
      <c r="Y210" s="272"/>
      <c r="Z210" s="272"/>
      <c r="AA210" s="272"/>
    </row>
    <row r="211" spans="1:27">
      <c r="A211" s="273">
        <v>2</v>
      </c>
      <c r="B211" s="274" t="s">
        <v>4969</v>
      </c>
      <c r="C211" s="275">
        <v>45308</v>
      </c>
      <c r="D211" s="274" t="s">
        <v>4714</v>
      </c>
      <c r="E211" s="268" t="s">
        <v>2880</v>
      </c>
      <c r="F211" s="268" t="s">
        <v>4715</v>
      </c>
      <c r="G211" s="268" t="s">
        <v>4716</v>
      </c>
      <c r="H211" s="268" t="str">
        <f t="shared" si="0"/>
        <v>CRISTINA VADUVA</v>
      </c>
      <c r="I211" s="268" t="s">
        <v>4773</v>
      </c>
      <c r="J211" s="272" t="s">
        <v>4718</v>
      </c>
      <c r="K211" s="268" t="s">
        <v>5099</v>
      </c>
      <c r="L211" s="276">
        <v>45343</v>
      </c>
      <c r="M211" s="277"/>
      <c r="N211" s="282">
        <v>2</v>
      </c>
      <c r="O211" s="284" t="s">
        <v>4723</v>
      </c>
      <c r="P211" s="280">
        <v>2780.91</v>
      </c>
      <c r="Q211" s="287">
        <v>45308</v>
      </c>
      <c r="R211" s="272"/>
      <c r="S211" s="272"/>
      <c r="T211" s="272"/>
      <c r="U211" s="272"/>
      <c r="V211" s="272"/>
      <c r="W211" s="272"/>
      <c r="X211" s="272"/>
      <c r="Y211" s="272"/>
      <c r="Z211" s="272"/>
      <c r="AA211" s="272"/>
    </row>
    <row r="212" spans="1:27">
      <c r="A212" s="273">
        <v>2</v>
      </c>
      <c r="B212" s="274" t="s">
        <v>4969</v>
      </c>
      <c r="C212" s="275">
        <v>44945</v>
      </c>
      <c r="D212" s="274" t="s">
        <v>4714</v>
      </c>
      <c r="E212" s="268" t="s">
        <v>3043</v>
      </c>
      <c r="F212" s="268" t="s">
        <v>4715</v>
      </c>
      <c r="G212" s="268" t="s">
        <v>4716</v>
      </c>
      <c r="H212" s="268" t="str">
        <f t="shared" si="0"/>
        <v>GUILLERMO SAN JUAN DE LA MORETA</v>
      </c>
      <c r="I212" s="268" t="s">
        <v>5100</v>
      </c>
      <c r="J212" s="272" t="s">
        <v>4718</v>
      </c>
      <c r="K212" s="268" t="s">
        <v>5101</v>
      </c>
      <c r="L212" s="276">
        <v>45343</v>
      </c>
      <c r="M212" s="277"/>
      <c r="N212" s="282">
        <v>2</v>
      </c>
      <c r="O212" s="284" t="s">
        <v>4720</v>
      </c>
      <c r="P212" s="280">
        <v>3424.33</v>
      </c>
      <c r="Q212" s="287">
        <v>44945</v>
      </c>
      <c r="R212" s="272"/>
      <c r="S212" s="272"/>
      <c r="T212" s="272"/>
      <c r="U212" s="272"/>
      <c r="V212" s="272"/>
      <c r="W212" s="272"/>
      <c r="X212" s="272"/>
      <c r="Y212" s="272"/>
      <c r="Z212" s="272"/>
      <c r="AA212" s="272"/>
    </row>
    <row r="213" spans="1:27">
      <c r="A213" s="273">
        <v>2</v>
      </c>
      <c r="B213" s="274" t="s">
        <v>4969</v>
      </c>
      <c r="C213" s="275">
        <v>45317</v>
      </c>
      <c r="D213" s="274" t="s">
        <v>4714</v>
      </c>
      <c r="E213" s="268" t="s">
        <v>3193</v>
      </c>
      <c r="F213" s="268" t="s">
        <v>4715</v>
      </c>
      <c r="G213" s="268" t="s">
        <v>4716</v>
      </c>
      <c r="H213" s="268" t="str">
        <f t="shared" si="0"/>
        <v>JOSE JOAQUÍN GUTIÉRREZ BARQUÍN</v>
      </c>
      <c r="I213" s="268" t="s">
        <v>4990</v>
      </c>
      <c r="J213" s="272" t="s">
        <v>4718</v>
      </c>
      <c r="K213" s="268" t="s">
        <v>5102</v>
      </c>
      <c r="L213" s="276">
        <v>45343</v>
      </c>
      <c r="M213" s="277"/>
      <c r="N213" s="282">
        <v>2</v>
      </c>
      <c r="O213" s="284" t="s">
        <v>4723</v>
      </c>
      <c r="P213" s="280">
        <v>2780.91</v>
      </c>
      <c r="Q213" s="287">
        <v>45317</v>
      </c>
      <c r="R213" s="272"/>
      <c r="S213" s="272"/>
      <c r="T213" s="272"/>
      <c r="U213" s="272"/>
      <c r="V213" s="272"/>
      <c r="W213" s="272"/>
      <c r="X213" s="272"/>
      <c r="Y213" s="272"/>
      <c r="Z213" s="272"/>
      <c r="AA213" s="272"/>
    </row>
    <row r="214" spans="1:27">
      <c r="A214" s="273">
        <v>2</v>
      </c>
      <c r="B214" s="274" t="s">
        <v>4969</v>
      </c>
      <c r="C214" s="275">
        <v>45329</v>
      </c>
      <c r="D214" s="274" t="s">
        <v>4714</v>
      </c>
      <c r="E214" s="268" t="s">
        <v>4827</v>
      </c>
      <c r="F214" s="268" t="s">
        <v>4724</v>
      </c>
      <c r="G214" s="268" t="s">
        <v>4725</v>
      </c>
      <c r="H214" s="268" t="str">
        <f t="shared" si="0"/>
        <v>CARLOS FRADE GONZÁLEZ</v>
      </c>
      <c r="I214" s="268" t="s">
        <v>5103</v>
      </c>
      <c r="J214" s="272" t="s">
        <v>4790</v>
      </c>
      <c r="K214" s="268" t="s">
        <v>5104</v>
      </c>
      <c r="L214" s="276">
        <v>45344</v>
      </c>
      <c r="M214" s="277"/>
      <c r="N214" s="282">
        <v>2</v>
      </c>
      <c r="O214" s="284" t="s">
        <v>4792</v>
      </c>
      <c r="P214" s="280">
        <v>2227.27</v>
      </c>
      <c r="Q214" s="287">
        <v>45329</v>
      </c>
      <c r="R214" s="272"/>
      <c r="S214" s="272"/>
      <c r="T214" s="272"/>
      <c r="U214" s="272"/>
      <c r="V214" s="272"/>
      <c r="W214" s="272"/>
      <c r="X214" s="272"/>
      <c r="Y214" s="272"/>
      <c r="Z214" s="272"/>
      <c r="AA214" s="272"/>
    </row>
    <row r="215" spans="1:27">
      <c r="A215" s="273">
        <v>2</v>
      </c>
      <c r="B215" s="274" t="s">
        <v>4969</v>
      </c>
      <c r="C215" s="275">
        <v>45302</v>
      </c>
      <c r="D215" s="274" t="s">
        <v>4714</v>
      </c>
      <c r="E215" s="268" t="s">
        <v>4734</v>
      </c>
      <c r="F215" s="268" t="s">
        <v>4715</v>
      </c>
      <c r="G215" s="268" t="s">
        <v>4716</v>
      </c>
      <c r="H215" s="268" t="str">
        <f t="shared" si="0"/>
        <v>CARLOS VELÁSQUEZ FERMÍN</v>
      </c>
      <c r="I215" s="268" t="s">
        <v>5105</v>
      </c>
      <c r="J215" s="272" t="s">
        <v>4736</v>
      </c>
      <c r="K215" s="268" t="s">
        <v>5106</v>
      </c>
      <c r="L215" s="276">
        <v>45344</v>
      </c>
      <c r="M215" s="283"/>
      <c r="N215" s="282">
        <v>2</v>
      </c>
      <c r="O215" s="284" t="s">
        <v>4740</v>
      </c>
      <c r="P215" s="280">
        <v>4222.7299999999996</v>
      </c>
      <c r="Q215" s="287">
        <v>45302</v>
      </c>
      <c r="R215" s="272"/>
      <c r="S215" s="272"/>
      <c r="T215" s="272"/>
      <c r="U215" s="272"/>
      <c r="V215" s="272"/>
      <c r="W215" s="272"/>
      <c r="X215" s="272"/>
      <c r="Y215" s="272"/>
      <c r="Z215" s="272"/>
      <c r="AA215" s="272"/>
    </row>
    <row r="216" spans="1:27">
      <c r="A216" s="273">
        <v>2</v>
      </c>
      <c r="B216" s="274" t="s">
        <v>4969</v>
      </c>
      <c r="C216" s="275">
        <v>45302</v>
      </c>
      <c r="D216" s="285" t="s">
        <v>4714</v>
      </c>
      <c r="E216" s="279" t="s">
        <v>4194</v>
      </c>
      <c r="F216" s="279" t="s">
        <v>4715</v>
      </c>
      <c r="G216" s="279" t="s">
        <v>4716</v>
      </c>
      <c r="H216" s="268" t="str">
        <f t="shared" si="0"/>
        <v>NO REUERDA ORL</v>
      </c>
      <c r="I216" s="268" t="s">
        <v>4743</v>
      </c>
      <c r="J216" s="268" t="s">
        <v>4736</v>
      </c>
      <c r="K216" s="279" t="s">
        <v>5107</v>
      </c>
      <c r="L216" s="276">
        <v>45344</v>
      </c>
      <c r="M216" s="277"/>
      <c r="N216" s="282">
        <v>2</v>
      </c>
      <c r="O216" s="284" t="s">
        <v>4720</v>
      </c>
      <c r="P216" s="280">
        <v>3604.55</v>
      </c>
      <c r="Q216" s="287">
        <v>45302</v>
      </c>
      <c r="R216" s="272"/>
      <c r="S216" s="272"/>
      <c r="T216" s="272"/>
      <c r="U216" s="272"/>
      <c r="V216" s="272"/>
      <c r="W216" s="272"/>
      <c r="X216" s="272"/>
      <c r="Y216" s="272"/>
      <c r="Z216" s="272"/>
      <c r="AA216" s="272"/>
    </row>
    <row r="217" spans="1:27">
      <c r="A217" s="273">
        <v>2</v>
      </c>
      <c r="B217" s="274" t="s">
        <v>4969</v>
      </c>
      <c r="C217" s="275">
        <v>45320</v>
      </c>
      <c r="D217" s="274" t="s">
        <v>4714</v>
      </c>
      <c r="E217" s="268" t="s">
        <v>3480</v>
      </c>
      <c r="F217" s="268" t="s">
        <v>4715</v>
      </c>
      <c r="G217" s="268" t="s">
        <v>4716</v>
      </c>
      <c r="H217" s="268" t="str">
        <f t="shared" si="0"/>
        <v>MARÍA ESTEFANÍA HERNÁNDEZ GARCÍA</v>
      </c>
      <c r="I217" s="268" t="s">
        <v>5108</v>
      </c>
      <c r="J217" s="272" t="s">
        <v>4718</v>
      </c>
      <c r="K217" s="268" t="s">
        <v>5109</v>
      </c>
      <c r="L217" s="276">
        <v>45344</v>
      </c>
      <c r="M217" s="277"/>
      <c r="N217" s="278">
        <v>2</v>
      </c>
      <c r="O217" s="284" t="s">
        <v>4723</v>
      </c>
      <c r="P217" s="280">
        <v>2780.91</v>
      </c>
      <c r="Q217" s="287">
        <v>45320</v>
      </c>
      <c r="R217" s="272"/>
      <c r="S217" s="272"/>
      <c r="T217" s="272"/>
      <c r="U217" s="272"/>
      <c r="V217" s="272"/>
      <c r="W217" s="272"/>
      <c r="X217" s="272"/>
      <c r="Y217" s="272"/>
      <c r="Z217" s="272"/>
      <c r="AA217" s="272"/>
    </row>
    <row r="218" spans="1:27">
      <c r="A218" s="273">
        <v>2</v>
      </c>
      <c r="B218" s="274" t="s">
        <v>4969</v>
      </c>
      <c r="C218" s="275">
        <v>45320</v>
      </c>
      <c r="D218" s="274" t="s">
        <v>4714</v>
      </c>
      <c r="E218" s="268" t="s">
        <v>2893</v>
      </c>
      <c r="F218" s="268" t="s">
        <v>4715</v>
      </c>
      <c r="G218" s="268" t="s">
        <v>4716</v>
      </c>
      <c r="H218" s="268" t="str">
        <f t="shared" si="0"/>
        <v>ANA RUIZ FORNELLS NOREÑA</v>
      </c>
      <c r="I218" s="268" t="s">
        <v>5110</v>
      </c>
      <c r="J218" s="272" t="s">
        <v>4718</v>
      </c>
      <c r="K218" s="268" t="s">
        <v>5111</v>
      </c>
      <c r="L218" s="276">
        <v>45344</v>
      </c>
      <c r="M218" s="277"/>
      <c r="N218" s="282">
        <v>2</v>
      </c>
      <c r="O218" s="284" t="s">
        <v>4723</v>
      </c>
      <c r="P218" s="280">
        <v>2471.8200000000002</v>
      </c>
      <c r="Q218" s="287">
        <v>45320</v>
      </c>
      <c r="R218" s="272"/>
      <c r="S218" s="272"/>
      <c r="T218" s="272"/>
      <c r="U218" s="272"/>
      <c r="V218" s="272"/>
      <c r="W218" s="272"/>
      <c r="X218" s="272"/>
      <c r="Y218" s="272"/>
      <c r="Z218" s="272"/>
      <c r="AA218" s="272"/>
    </row>
    <row r="219" spans="1:27">
      <c r="A219" s="273">
        <v>2</v>
      </c>
      <c r="B219" s="274" t="s">
        <v>4969</v>
      </c>
      <c r="C219" s="275">
        <v>45299</v>
      </c>
      <c r="D219" s="274" t="s">
        <v>4714</v>
      </c>
      <c r="E219" s="268" t="s">
        <v>4775</v>
      </c>
      <c r="F219" s="268" t="s">
        <v>4715</v>
      </c>
      <c r="G219" s="268" t="s">
        <v>4716</v>
      </c>
      <c r="H219" s="268" t="str">
        <f t="shared" si="0"/>
        <v>CRISTINA IBAÑEZ MUÑOZ</v>
      </c>
      <c r="I219" s="268" t="s">
        <v>5112</v>
      </c>
      <c r="J219" s="272" t="s">
        <v>4822</v>
      </c>
      <c r="K219" s="268" t="s">
        <v>5113</v>
      </c>
      <c r="L219" s="276">
        <v>45344</v>
      </c>
      <c r="M219" s="277"/>
      <c r="N219" s="282">
        <v>1</v>
      </c>
      <c r="O219" s="284" t="s">
        <v>4740</v>
      </c>
      <c r="P219" s="280">
        <v>1818.18</v>
      </c>
      <c r="Q219" s="287">
        <v>45299</v>
      </c>
      <c r="R219" s="272"/>
      <c r="S219" s="272"/>
      <c r="T219" s="272"/>
      <c r="U219" s="272"/>
      <c r="V219" s="272"/>
      <c r="W219" s="272"/>
      <c r="X219" s="272"/>
      <c r="Y219" s="272"/>
      <c r="Z219" s="272"/>
      <c r="AA219" s="272"/>
    </row>
    <row r="220" spans="1:27">
      <c r="A220" s="273">
        <v>2</v>
      </c>
      <c r="B220" s="274" t="s">
        <v>4969</v>
      </c>
      <c r="C220" s="275">
        <v>45307</v>
      </c>
      <c r="D220" s="274" t="s">
        <v>4714</v>
      </c>
      <c r="E220" s="268" t="s">
        <v>4837</v>
      </c>
      <c r="F220" s="268" t="s">
        <v>4715</v>
      </c>
      <c r="G220" s="268" t="s">
        <v>4716</v>
      </c>
      <c r="H220" s="268" t="str">
        <f t="shared" si="0"/>
        <v>JOAQUÍN ALACIO CASERO</v>
      </c>
      <c r="I220" s="268" t="s">
        <v>4925</v>
      </c>
      <c r="J220" s="272" t="s">
        <v>4718</v>
      </c>
      <c r="K220" s="268" t="s">
        <v>5114</v>
      </c>
      <c r="L220" s="276">
        <v>45344</v>
      </c>
      <c r="M220" s="277"/>
      <c r="N220" s="282">
        <v>2</v>
      </c>
      <c r="O220" s="284" t="s">
        <v>4720</v>
      </c>
      <c r="P220" s="280">
        <v>3604.55</v>
      </c>
      <c r="Q220" s="287">
        <v>45307</v>
      </c>
      <c r="R220" s="272"/>
      <c r="S220" s="272"/>
      <c r="T220" s="272"/>
      <c r="U220" s="272"/>
      <c r="V220" s="272"/>
      <c r="W220" s="272"/>
      <c r="X220" s="272"/>
      <c r="Y220" s="272"/>
      <c r="Z220" s="272"/>
      <c r="AA220" s="272"/>
    </row>
    <row r="221" spans="1:27">
      <c r="A221" s="273">
        <v>2</v>
      </c>
      <c r="B221" s="274" t="s">
        <v>4969</v>
      </c>
      <c r="C221" s="275">
        <v>45320</v>
      </c>
      <c r="D221" s="274" t="s">
        <v>4714</v>
      </c>
      <c r="E221" s="268" t="s">
        <v>2929</v>
      </c>
      <c r="F221" s="268" t="s">
        <v>4715</v>
      </c>
      <c r="G221" s="268" t="s">
        <v>4716</v>
      </c>
      <c r="H221" s="268" t="str">
        <f t="shared" si="0"/>
        <v>CARLOS BARAJAS DEL ROSAL</v>
      </c>
      <c r="I221" s="268" t="s">
        <v>4934</v>
      </c>
      <c r="J221" s="272" t="s">
        <v>4935</v>
      </c>
      <c r="K221" s="268" t="s">
        <v>5115</v>
      </c>
      <c r="L221" s="276">
        <v>45344</v>
      </c>
      <c r="M221" s="277"/>
      <c r="N221" s="282">
        <v>2</v>
      </c>
      <c r="O221" s="284" t="s">
        <v>4720</v>
      </c>
      <c r="P221" s="280">
        <v>3424.32</v>
      </c>
      <c r="Q221" s="287">
        <v>45320</v>
      </c>
      <c r="R221" s="272"/>
      <c r="S221" s="272"/>
      <c r="T221" s="272"/>
      <c r="U221" s="272"/>
      <c r="V221" s="272"/>
      <c r="W221" s="272"/>
      <c r="X221" s="272"/>
      <c r="Y221" s="272"/>
      <c r="Z221" s="272"/>
      <c r="AA221" s="272"/>
    </row>
    <row r="222" spans="1:27">
      <c r="A222" s="273">
        <v>2</v>
      </c>
      <c r="B222" s="274" t="s">
        <v>4969</v>
      </c>
      <c r="C222" s="275">
        <v>45302</v>
      </c>
      <c r="D222" s="274" t="s">
        <v>4714</v>
      </c>
      <c r="E222" s="268" t="s">
        <v>3193</v>
      </c>
      <c r="F222" s="268" t="s">
        <v>4715</v>
      </c>
      <c r="G222" s="268" t="s">
        <v>4716</v>
      </c>
      <c r="H222" s="268" t="str">
        <f t="shared" si="0"/>
        <v>FÉLIX RODRÍGUEZ PAZ</v>
      </c>
      <c r="I222" s="268" t="s">
        <v>5092</v>
      </c>
      <c r="J222" s="272" t="s">
        <v>4718</v>
      </c>
      <c r="K222" s="268" t="s">
        <v>5116</v>
      </c>
      <c r="L222" s="276">
        <v>45344</v>
      </c>
      <c r="M222" s="283"/>
      <c r="N222" s="282">
        <v>1</v>
      </c>
      <c r="O222" s="284" t="s">
        <v>4720</v>
      </c>
      <c r="P222" s="280">
        <v>2162.73</v>
      </c>
      <c r="Q222" s="287">
        <v>45302</v>
      </c>
      <c r="R222" s="272"/>
      <c r="S222" s="272"/>
      <c r="T222" s="272"/>
      <c r="U222" s="272"/>
      <c r="V222" s="272"/>
      <c r="W222" s="272"/>
      <c r="X222" s="272"/>
      <c r="Y222" s="272"/>
      <c r="Z222" s="272"/>
      <c r="AA222" s="272"/>
    </row>
    <row r="223" spans="1:27">
      <c r="A223" s="273">
        <v>2</v>
      </c>
      <c r="B223" s="274" t="s">
        <v>4969</v>
      </c>
      <c r="C223" s="275">
        <v>45257</v>
      </c>
      <c r="D223" s="274" t="s">
        <v>4714</v>
      </c>
      <c r="E223" s="268" t="s">
        <v>4892</v>
      </c>
      <c r="F223" s="268" t="s">
        <v>4715</v>
      </c>
      <c r="G223" s="268" t="s">
        <v>4716</v>
      </c>
      <c r="H223" s="268" t="str">
        <f t="shared" si="0"/>
        <v>CARLOS BARAJAS DEL ROSAL</v>
      </c>
      <c r="I223" s="268" t="s">
        <v>4934</v>
      </c>
      <c r="J223" s="268" t="s">
        <v>4935</v>
      </c>
      <c r="K223" s="268" t="s">
        <v>5117</v>
      </c>
      <c r="L223" s="276">
        <v>45344</v>
      </c>
      <c r="M223" s="277"/>
      <c r="N223" s="282">
        <v>2</v>
      </c>
      <c r="O223" s="284" t="s">
        <v>4740</v>
      </c>
      <c r="P223" s="280">
        <v>4222.7299999999996</v>
      </c>
      <c r="Q223" s="287">
        <v>45257</v>
      </c>
      <c r="R223" s="272"/>
      <c r="S223" s="272"/>
      <c r="T223" s="272"/>
      <c r="U223" s="272"/>
      <c r="V223" s="272"/>
      <c r="W223" s="272"/>
      <c r="X223" s="272"/>
      <c r="Y223" s="272"/>
      <c r="Z223" s="272"/>
      <c r="AA223" s="272"/>
    </row>
    <row r="224" spans="1:27">
      <c r="A224" s="273">
        <v>2</v>
      </c>
      <c r="B224" s="274" t="s">
        <v>4969</v>
      </c>
      <c r="C224" s="275">
        <v>45307</v>
      </c>
      <c r="D224" s="274" t="s">
        <v>4714</v>
      </c>
      <c r="E224" s="268" t="s">
        <v>2869</v>
      </c>
      <c r="F224" s="268" t="s">
        <v>4715</v>
      </c>
      <c r="G224" s="268" t="s">
        <v>4716</v>
      </c>
      <c r="H224" s="268" t="str">
        <f t="shared" si="0"/>
        <v>ENRIQUE VIVIENTE RODRÍGUEZ</v>
      </c>
      <c r="I224" s="268" t="s">
        <v>5118</v>
      </c>
      <c r="J224" s="272" t="s">
        <v>4736</v>
      </c>
      <c r="K224" s="268" t="s">
        <v>5119</v>
      </c>
      <c r="L224" s="276">
        <v>45344</v>
      </c>
      <c r="M224" s="277"/>
      <c r="N224" s="282">
        <v>1</v>
      </c>
      <c r="O224" s="284" t="s">
        <v>4720</v>
      </c>
      <c r="P224" s="280">
        <v>2054.5500000000002</v>
      </c>
      <c r="Q224" s="287">
        <v>45307</v>
      </c>
      <c r="R224" s="272"/>
      <c r="S224" s="272"/>
      <c r="T224" s="272"/>
      <c r="U224" s="272"/>
      <c r="V224" s="272"/>
      <c r="W224" s="272"/>
      <c r="X224" s="272"/>
      <c r="Y224" s="272"/>
      <c r="Z224" s="272"/>
      <c r="AA224" s="272"/>
    </row>
    <row r="225" spans="1:27">
      <c r="A225" s="273">
        <v>2</v>
      </c>
      <c r="B225" s="274" t="s">
        <v>4969</v>
      </c>
      <c r="C225" s="275">
        <v>45188</v>
      </c>
      <c r="D225" s="274" t="s">
        <v>4714</v>
      </c>
      <c r="E225" s="268" t="s">
        <v>2869</v>
      </c>
      <c r="F225" s="268" t="s">
        <v>4715</v>
      </c>
      <c r="G225" s="268" t="s">
        <v>4716</v>
      </c>
      <c r="H225" s="268" t="str">
        <f t="shared" si="0"/>
        <v>MARÍA LÓPEZ ROBLES</v>
      </c>
      <c r="I225" s="268" t="s">
        <v>5120</v>
      </c>
      <c r="J225" s="268" t="s">
        <v>4736</v>
      </c>
      <c r="K225" s="268" t="s">
        <v>5121</v>
      </c>
      <c r="L225" s="276">
        <v>45344</v>
      </c>
      <c r="M225" s="277"/>
      <c r="N225" s="282">
        <v>2</v>
      </c>
      <c r="O225" s="284" t="s">
        <v>4720</v>
      </c>
      <c r="P225" s="280">
        <v>3604.55</v>
      </c>
      <c r="Q225" s="287">
        <v>45188</v>
      </c>
      <c r="R225" s="272"/>
      <c r="S225" s="272"/>
      <c r="T225" s="272"/>
      <c r="U225" s="272"/>
      <c r="V225" s="272"/>
      <c r="W225" s="272"/>
      <c r="X225" s="272"/>
      <c r="Y225" s="272"/>
      <c r="Z225" s="272"/>
      <c r="AA225" s="272"/>
    </row>
    <row r="226" spans="1:27">
      <c r="A226" s="273">
        <v>2</v>
      </c>
      <c r="B226" s="274" t="s">
        <v>4969</v>
      </c>
      <c r="C226" s="275">
        <v>45155</v>
      </c>
      <c r="D226" s="274" t="s">
        <v>4714</v>
      </c>
      <c r="E226" s="268" t="s">
        <v>4749</v>
      </c>
      <c r="F226" s="268" t="s">
        <v>4715</v>
      </c>
      <c r="G226" s="268" t="s">
        <v>4716</v>
      </c>
      <c r="H226" s="268" t="str">
        <f t="shared" si="0"/>
        <v>DIANA LISBETH</v>
      </c>
      <c r="I226" s="268" t="s">
        <v>4955</v>
      </c>
      <c r="J226" s="272" t="s">
        <v>4751</v>
      </c>
      <c r="K226" s="268" t="s">
        <v>5122</v>
      </c>
      <c r="L226" s="276">
        <v>45344</v>
      </c>
      <c r="M226" s="277"/>
      <c r="N226" s="282">
        <v>2</v>
      </c>
      <c r="O226" s="284" t="s">
        <v>4740</v>
      </c>
      <c r="P226" s="280">
        <v>3818.18</v>
      </c>
      <c r="Q226" s="287">
        <v>45155</v>
      </c>
      <c r="R226" s="272"/>
      <c r="S226" s="272"/>
      <c r="T226" s="272"/>
      <c r="U226" s="272"/>
      <c r="V226" s="272"/>
      <c r="W226" s="272"/>
      <c r="X226" s="272"/>
      <c r="Y226" s="272"/>
      <c r="Z226" s="272"/>
      <c r="AA226" s="272"/>
    </row>
    <row r="227" spans="1:27">
      <c r="A227" s="273">
        <v>2</v>
      </c>
      <c r="B227" s="274" t="s">
        <v>4969</v>
      </c>
      <c r="C227" s="275">
        <v>45273</v>
      </c>
      <c r="D227" s="274" t="s">
        <v>4714</v>
      </c>
      <c r="E227" s="268" t="s">
        <v>4780</v>
      </c>
      <c r="F227" s="268" t="s">
        <v>4715</v>
      </c>
      <c r="G227" s="268" t="s">
        <v>4716</v>
      </c>
      <c r="H227" s="268" t="str">
        <f t="shared" si="0"/>
        <v>MARÍA JESÚS CORNEJO DOMÍNGUEZ</v>
      </c>
      <c r="I227" s="268" t="s">
        <v>4781</v>
      </c>
      <c r="J227" s="272" t="s">
        <v>4747</v>
      </c>
      <c r="K227" s="268" t="s">
        <v>5123</v>
      </c>
      <c r="L227" s="276">
        <v>45344</v>
      </c>
      <c r="M227" s="277"/>
      <c r="N227" s="282">
        <v>1</v>
      </c>
      <c r="O227" s="284" t="s">
        <v>4723</v>
      </c>
      <c r="P227" s="280">
        <v>1481.82</v>
      </c>
      <c r="Q227" s="287">
        <v>45273</v>
      </c>
      <c r="R227" s="272"/>
      <c r="S227" s="272"/>
      <c r="T227" s="272"/>
      <c r="U227" s="272"/>
      <c r="V227" s="272"/>
      <c r="W227" s="272"/>
      <c r="X227" s="272"/>
      <c r="Y227" s="272"/>
      <c r="Z227" s="272"/>
      <c r="AA227" s="272"/>
    </row>
    <row r="228" spans="1:27">
      <c r="A228" s="273">
        <v>2</v>
      </c>
      <c r="B228" s="274" t="s">
        <v>4969</v>
      </c>
      <c r="C228" s="275">
        <v>45287</v>
      </c>
      <c r="D228" s="274" t="s">
        <v>4714</v>
      </c>
      <c r="E228" s="268" t="s">
        <v>2961</v>
      </c>
      <c r="F228" s="268" t="s">
        <v>4715</v>
      </c>
      <c r="G228" s="268" t="s">
        <v>4716</v>
      </c>
      <c r="H228" s="268" t="str">
        <f t="shared" si="0"/>
        <v>FRANCISCO GARCÍA PURRIÑOS</v>
      </c>
      <c r="I228" s="268" t="s">
        <v>4884</v>
      </c>
      <c r="J228" s="272" t="s">
        <v>4736</v>
      </c>
      <c r="K228" s="268" t="s">
        <v>5124</v>
      </c>
      <c r="L228" s="276">
        <v>45344</v>
      </c>
      <c r="M228" s="283"/>
      <c r="N228" s="282">
        <v>1</v>
      </c>
      <c r="O228" s="284" t="s">
        <v>4740</v>
      </c>
      <c r="P228" s="280">
        <v>2536.36</v>
      </c>
      <c r="Q228" s="287">
        <v>45287</v>
      </c>
      <c r="R228" s="272"/>
      <c r="S228" s="272"/>
      <c r="T228" s="272"/>
      <c r="U228" s="272"/>
      <c r="V228" s="272"/>
      <c r="W228" s="272"/>
      <c r="X228" s="272"/>
      <c r="Y228" s="272"/>
      <c r="Z228" s="272"/>
      <c r="AA228" s="272"/>
    </row>
    <row r="229" spans="1:27">
      <c r="A229" s="273">
        <v>2</v>
      </c>
      <c r="B229" s="274" t="s">
        <v>4969</v>
      </c>
      <c r="C229" s="275">
        <v>45299</v>
      </c>
      <c r="D229" s="274" t="s">
        <v>4714</v>
      </c>
      <c r="E229" s="268" t="s">
        <v>2921</v>
      </c>
      <c r="F229" s="268" t="s">
        <v>4715</v>
      </c>
      <c r="G229" s="268" t="s">
        <v>4716</v>
      </c>
      <c r="H229" s="268" t="str">
        <f t="shared" si="0"/>
        <v>MARINA CARRASCO LLATAS</v>
      </c>
      <c r="I229" s="268" t="s">
        <v>5125</v>
      </c>
      <c r="J229" s="272" t="s">
        <v>4910</v>
      </c>
      <c r="K229" s="268" t="s">
        <v>5126</v>
      </c>
      <c r="L229" s="276">
        <v>45344</v>
      </c>
      <c r="M229" s="277"/>
      <c r="N229" s="282">
        <v>2</v>
      </c>
      <c r="O229" s="284" t="s">
        <v>4723</v>
      </c>
      <c r="P229" s="280">
        <v>2641.86</v>
      </c>
      <c r="Q229" s="287">
        <v>45299</v>
      </c>
      <c r="R229" s="272"/>
      <c r="S229" s="272"/>
      <c r="T229" s="272"/>
      <c r="U229" s="272"/>
      <c r="V229" s="272"/>
      <c r="W229" s="272"/>
      <c r="X229" s="272"/>
      <c r="Y229" s="272"/>
      <c r="Z229" s="272"/>
      <c r="AA229" s="272"/>
    </row>
    <row r="230" spans="1:27">
      <c r="A230" s="273">
        <v>2</v>
      </c>
      <c r="B230" s="274" t="s">
        <v>4969</v>
      </c>
      <c r="C230" s="275">
        <v>45310</v>
      </c>
      <c r="D230" s="274" t="s">
        <v>4714</v>
      </c>
      <c r="E230" s="268" t="s">
        <v>4734</v>
      </c>
      <c r="F230" s="279" t="s">
        <v>4715</v>
      </c>
      <c r="G230" s="279" t="s">
        <v>4716</v>
      </c>
      <c r="H230" s="268" t="str">
        <f t="shared" si="0"/>
        <v>SALWA LARAQUI HOSSINI</v>
      </c>
      <c r="I230" s="268" t="s">
        <v>4978</v>
      </c>
      <c r="J230" s="272" t="s">
        <v>4736</v>
      </c>
      <c r="K230" s="279" t="s">
        <v>5127</v>
      </c>
      <c r="L230" s="276">
        <v>45345</v>
      </c>
      <c r="M230" s="283"/>
      <c r="N230" s="282">
        <v>2</v>
      </c>
      <c r="O230" s="284" t="s">
        <v>4720</v>
      </c>
      <c r="P230" s="280">
        <v>3604.55</v>
      </c>
      <c r="Q230" s="287">
        <v>45310</v>
      </c>
      <c r="R230" s="272"/>
      <c r="S230" s="272"/>
      <c r="T230" s="272"/>
      <c r="U230" s="272"/>
      <c r="V230" s="272"/>
      <c r="W230" s="272"/>
      <c r="X230" s="272"/>
      <c r="Y230" s="272"/>
      <c r="Z230" s="272"/>
      <c r="AA230" s="272"/>
    </row>
    <row r="231" spans="1:27">
      <c r="A231" s="273">
        <v>2</v>
      </c>
      <c r="B231" s="274" t="s">
        <v>4969</v>
      </c>
      <c r="C231" s="275">
        <v>45316</v>
      </c>
      <c r="D231" s="274" t="s">
        <v>4714</v>
      </c>
      <c r="E231" s="279" t="s">
        <v>4194</v>
      </c>
      <c r="F231" s="279" t="s">
        <v>4715</v>
      </c>
      <c r="G231" s="279" t="s">
        <v>4716</v>
      </c>
      <c r="H231" s="268" t="str">
        <f t="shared" si="0"/>
        <v>FRANCISCO PASTOR BEVIÁ</v>
      </c>
      <c r="I231" s="268" t="s">
        <v>4738</v>
      </c>
      <c r="J231" s="272" t="s">
        <v>4736</v>
      </c>
      <c r="K231" s="279" t="s">
        <v>5128</v>
      </c>
      <c r="L231" s="276">
        <v>45345</v>
      </c>
      <c r="M231" s="283"/>
      <c r="N231" s="282">
        <v>2</v>
      </c>
      <c r="O231" s="284" t="s">
        <v>4723</v>
      </c>
      <c r="P231" s="280">
        <v>2545.4499999999998</v>
      </c>
      <c r="Q231" s="287">
        <v>45316</v>
      </c>
      <c r="R231" s="272"/>
      <c r="S231" s="272"/>
      <c r="T231" s="272"/>
      <c r="U231" s="272"/>
      <c r="V231" s="272"/>
      <c r="W231" s="272"/>
      <c r="X231" s="272"/>
      <c r="Y231" s="272"/>
      <c r="Z231" s="272"/>
      <c r="AA231" s="272"/>
    </row>
    <row r="232" spans="1:27">
      <c r="A232" s="273">
        <v>2</v>
      </c>
      <c r="B232" s="274" t="s">
        <v>4969</v>
      </c>
      <c r="C232" s="275">
        <v>45322</v>
      </c>
      <c r="D232" s="274" t="s">
        <v>4714</v>
      </c>
      <c r="E232" s="268" t="s">
        <v>3480</v>
      </c>
      <c r="F232" s="268" t="s">
        <v>4715</v>
      </c>
      <c r="G232" s="268" t="s">
        <v>4716</v>
      </c>
      <c r="H232" s="268" t="str">
        <f t="shared" si="0"/>
        <v>PALOMA MARTÍN- ARAGÓN MARTIÍ</v>
      </c>
      <c r="I232" s="268" t="s">
        <v>4917</v>
      </c>
      <c r="J232" s="272" t="s">
        <v>4718</v>
      </c>
      <c r="K232" s="268" t="s">
        <v>5129</v>
      </c>
      <c r="L232" s="276">
        <v>45345</v>
      </c>
      <c r="M232" s="277"/>
      <c r="N232" s="282">
        <v>2</v>
      </c>
      <c r="O232" s="284" t="s">
        <v>4720</v>
      </c>
      <c r="P232" s="280">
        <v>3604.55</v>
      </c>
      <c r="Q232" s="287">
        <v>45322</v>
      </c>
      <c r="R232" s="272"/>
      <c r="S232" s="272"/>
      <c r="T232" s="272"/>
      <c r="U232" s="272"/>
      <c r="V232" s="272"/>
      <c r="W232" s="272"/>
      <c r="X232" s="272"/>
      <c r="Y232" s="272"/>
      <c r="Z232" s="272"/>
      <c r="AA232" s="272"/>
    </row>
    <row r="233" spans="1:27">
      <c r="A233" s="273">
        <v>2</v>
      </c>
      <c r="B233" s="274" t="s">
        <v>4969</v>
      </c>
      <c r="C233" s="275">
        <v>45341</v>
      </c>
      <c r="D233" s="274" t="s">
        <v>4714</v>
      </c>
      <c r="E233" s="279" t="s">
        <v>5130</v>
      </c>
      <c r="F233" s="279" t="s">
        <v>4715</v>
      </c>
      <c r="G233" s="279" t="s">
        <v>4716</v>
      </c>
      <c r="H233" s="268" t="str">
        <f t="shared" si="0"/>
        <v>IGNACIO ÁLVAREZ ÁLVAREZ</v>
      </c>
      <c r="I233" s="268" t="s">
        <v>5131</v>
      </c>
      <c r="J233" s="268" t="s">
        <v>4747</v>
      </c>
      <c r="K233" s="279" t="s">
        <v>5132</v>
      </c>
      <c r="L233" s="276">
        <v>45345</v>
      </c>
      <c r="M233" s="277"/>
      <c r="N233" s="282">
        <v>2</v>
      </c>
      <c r="O233" s="284" t="s">
        <v>4720</v>
      </c>
      <c r="P233" s="280">
        <v>4090.77</v>
      </c>
      <c r="Q233" s="287">
        <v>45341</v>
      </c>
      <c r="R233" s="272"/>
      <c r="S233" s="272"/>
      <c r="T233" s="272"/>
      <c r="U233" s="272"/>
      <c r="V233" s="272"/>
      <c r="W233" s="272"/>
      <c r="X233" s="272"/>
      <c r="Y233" s="272"/>
      <c r="Z233" s="272"/>
      <c r="AA233" s="272"/>
    </row>
    <row r="234" spans="1:27">
      <c r="A234" s="273">
        <v>2</v>
      </c>
      <c r="B234" s="274" t="s">
        <v>4969</v>
      </c>
      <c r="C234" s="275">
        <v>45320</v>
      </c>
      <c r="D234" s="274" t="s">
        <v>4714</v>
      </c>
      <c r="E234" s="268" t="s">
        <v>3043</v>
      </c>
      <c r="F234" s="268" t="s">
        <v>4715</v>
      </c>
      <c r="G234" s="268" t="s">
        <v>4716</v>
      </c>
      <c r="H234" s="268" t="str">
        <f t="shared" si="0"/>
        <v>CARLOS ARMIÑO MEGIDO</v>
      </c>
      <c r="I234" s="268" t="s">
        <v>5133</v>
      </c>
      <c r="J234" s="272" t="s">
        <v>4822</v>
      </c>
      <c r="K234" s="268" t="s">
        <v>5134</v>
      </c>
      <c r="L234" s="276">
        <v>45345</v>
      </c>
      <c r="M234" s="277"/>
      <c r="N234" s="282">
        <v>2</v>
      </c>
      <c r="O234" s="284" t="s">
        <v>4720</v>
      </c>
      <c r="P234" s="280">
        <v>3424.33</v>
      </c>
      <c r="Q234" s="287">
        <v>45320</v>
      </c>
      <c r="R234" s="272"/>
      <c r="S234" s="272"/>
      <c r="T234" s="272"/>
      <c r="U234" s="272"/>
      <c r="V234" s="272"/>
      <c r="W234" s="272"/>
      <c r="X234" s="272"/>
      <c r="Y234" s="272"/>
      <c r="Z234" s="272"/>
      <c r="AA234" s="272"/>
    </row>
    <row r="235" spans="1:27">
      <c r="A235" s="273">
        <v>2</v>
      </c>
      <c r="B235" s="274" t="s">
        <v>4969</v>
      </c>
      <c r="C235" s="275">
        <v>45299</v>
      </c>
      <c r="D235" s="274" t="s">
        <v>4714</v>
      </c>
      <c r="E235" s="268" t="s">
        <v>3605</v>
      </c>
      <c r="F235" s="268" t="s">
        <v>4715</v>
      </c>
      <c r="G235" s="268" t="s">
        <v>4716</v>
      </c>
      <c r="H235" s="268" t="str">
        <f t="shared" si="0"/>
        <v>GUILLERMO SAN JUAN DE LA MORETA</v>
      </c>
      <c r="I235" s="268" t="s">
        <v>5100</v>
      </c>
      <c r="J235" s="268" t="s">
        <v>4718</v>
      </c>
      <c r="K235" s="268" t="s">
        <v>5135</v>
      </c>
      <c r="L235" s="276">
        <v>45345</v>
      </c>
      <c r="M235" s="277"/>
      <c r="N235" s="282">
        <v>2</v>
      </c>
      <c r="O235" s="284" t="s">
        <v>4723</v>
      </c>
      <c r="P235" s="280">
        <v>2780.91</v>
      </c>
      <c r="Q235" s="287">
        <v>45299</v>
      </c>
      <c r="R235" s="272"/>
      <c r="S235" s="272"/>
      <c r="T235" s="272"/>
      <c r="U235" s="272"/>
      <c r="V235" s="272"/>
      <c r="W235" s="272"/>
      <c r="X235" s="272"/>
      <c r="Y235" s="272"/>
      <c r="Z235" s="272"/>
      <c r="AA235" s="272"/>
    </row>
    <row r="236" spans="1:27">
      <c r="A236" s="273">
        <v>2</v>
      </c>
      <c r="B236" s="274" t="s">
        <v>4969</v>
      </c>
      <c r="C236" s="275">
        <v>45300</v>
      </c>
      <c r="D236" s="274" t="s">
        <v>4714</v>
      </c>
      <c r="E236" s="268" t="s">
        <v>2873</v>
      </c>
      <c r="F236" s="268" t="s">
        <v>4715</v>
      </c>
      <c r="G236" s="268" t="s">
        <v>4716</v>
      </c>
      <c r="H236" s="268" t="str">
        <f t="shared" si="0"/>
        <v>PAULA HERNÁNDEZ RUÍZ</v>
      </c>
      <c r="I236" s="268" t="s">
        <v>4895</v>
      </c>
      <c r="J236" s="272" t="s">
        <v>4736</v>
      </c>
      <c r="K236" s="268" t="s">
        <v>5136</v>
      </c>
      <c r="L236" s="276">
        <v>45345</v>
      </c>
      <c r="M236" s="283"/>
      <c r="N236" s="282">
        <v>2</v>
      </c>
      <c r="O236" s="284" t="s">
        <v>4792</v>
      </c>
      <c r="P236" s="280">
        <v>1990.91</v>
      </c>
      <c r="Q236" s="287">
        <v>45300</v>
      </c>
      <c r="R236" s="272"/>
      <c r="S236" s="272"/>
      <c r="T236" s="272"/>
      <c r="U236" s="272"/>
      <c r="V236" s="272"/>
      <c r="W236" s="272"/>
      <c r="X236" s="272"/>
      <c r="Y236" s="272"/>
      <c r="Z236" s="272"/>
      <c r="AA236" s="272"/>
    </row>
    <row r="237" spans="1:27">
      <c r="A237" s="273">
        <v>2</v>
      </c>
      <c r="B237" s="274" t="s">
        <v>4969</v>
      </c>
      <c r="C237" s="275">
        <v>45306</v>
      </c>
      <c r="D237" s="274" t="s">
        <v>4714</v>
      </c>
      <c r="E237" s="268" t="s">
        <v>4780</v>
      </c>
      <c r="F237" s="268" t="s">
        <v>4715</v>
      </c>
      <c r="G237" s="268" t="s">
        <v>4716</v>
      </c>
      <c r="H237" s="268" t="str">
        <f t="shared" si="0"/>
        <v>MARÍA JESÚS CORNEJO DOMÍNGUEZ</v>
      </c>
      <c r="I237" s="268" t="s">
        <v>4781</v>
      </c>
      <c r="J237" s="272" t="s">
        <v>4747</v>
      </c>
      <c r="K237" s="268" t="s">
        <v>5137</v>
      </c>
      <c r="L237" s="276">
        <v>45345</v>
      </c>
      <c r="M237" s="277"/>
      <c r="N237" s="282">
        <v>2</v>
      </c>
      <c r="O237" s="284" t="s">
        <v>4720</v>
      </c>
      <c r="P237" s="280">
        <v>3604.55</v>
      </c>
      <c r="Q237" s="287">
        <v>45306</v>
      </c>
      <c r="R237" s="272"/>
      <c r="S237" s="272"/>
      <c r="T237" s="272"/>
      <c r="U237" s="272"/>
      <c r="V237" s="272"/>
      <c r="W237" s="272"/>
      <c r="X237" s="272"/>
      <c r="Y237" s="272"/>
      <c r="Z237" s="272"/>
      <c r="AA237" s="272"/>
    </row>
    <row r="238" spans="1:27">
      <c r="A238" s="273">
        <v>2</v>
      </c>
      <c r="B238" s="274" t="s">
        <v>4969</v>
      </c>
      <c r="C238" s="275">
        <v>45313</v>
      </c>
      <c r="D238" s="274" t="s">
        <v>4714</v>
      </c>
      <c r="E238" s="268" t="s">
        <v>3011</v>
      </c>
      <c r="F238" s="268" t="s">
        <v>4715</v>
      </c>
      <c r="G238" s="268" t="s">
        <v>4716</v>
      </c>
      <c r="H238" s="268" t="str">
        <f t="shared" si="0"/>
        <v>MIGUEL RODRIGUEZ PÉREZ</v>
      </c>
      <c r="I238" s="268" t="s">
        <v>5138</v>
      </c>
      <c r="J238" s="268" t="s">
        <v>4729</v>
      </c>
      <c r="K238" s="268" t="s">
        <v>5139</v>
      </c>
      <c r="L238" s="276">
        <v>45345</v>
      </c>
      <c r="M238" s="283"/>
      <c r="N238" s="282">
        <v>2</v>
      </c>
      <c r="O238" s="284" t="s">
        <v>4740</v>
      </c>
      <c r="P238" s="280">
        <v>4204.09</v>
      </c>
      <c r="Q238" s="287">
        <v>45313</v>
      </c>
      <c r="R238" s="272"/>
      <c r="S238" s="272"/>
      <c r="T238" s="272"/>
      <c r="U238" s="272"/>
      <c r="V238" s="272"/>
      <c r="W238" s="272"/>
      <c r="X238" s="272"/>
      <c r="Y238" s="272"/>
      <c r="Z238" s="272"/>
      <c r="AA238" s="272"/>
    </row>
    <row r="239" spans="1:27">
      <c r="A239" s="273">
        <v>2</v>
      </c>
      <c r="B239" s="274" t="s">
        <v>4969</v>
      </c>
      <c r="C239" s="275">
        <v>45324</v>
      </c>
      <c r="D239" s="274" t="s">
        <v>4714</v>
      </c>
      <c r="E239" s="268" t="s">
        <v>2886</v>
      </c>
      <c r="F239" s="268" t="s">
        <v>4715</v>
      </c>
      <c r="G239" s="268" t="s">
        <v>4716</v>
      </c>
      <c r="H239" s="268" t="str">
        <f t="shared" si="0"/>
        <v>PALOMA PINACHO MARTÍNEZ</v>
      </c>
      <c r="I239" s="268" t="s">
        <v>4853</v>
      </c>
      <c r="J239" s="272" t="s">
        <v>4718</v>
      </c>
      <c r="K239" s="268" t="s">
        <v>5140</v>
      </c>
      <c r="L239" s="276">
        <v>45345</v>
      </c>
      <c r="M239" s="277"/>
      <c r="N239" s="282">
        <v>2</v>
      </c>
      <c r="O239" s="284" t="s">
        <v>4720</v>
      </c>
      <c r="P239" s="280">
        <v>3604.55</v>
      </c>
      <c r="Q239" s="287">
        <v>45324</v>
      </c>
      <c r="R239" s="272"/>
      <c r="S239" s="272"/>
      <c r="T239" s="272"/>
      <c r="U239" s="272"/>
      <c r="V239" s="272"/>
      <c r="W239" s="272"/>
      <c r="X239" s="272"/>
      <c r="Y239" s="272"/>
      <c r="Z239" s="272"/>
      <c r="AA239" s="272"/>
    </row>
    <row r="240" spans="1:27">
      <c r="A240" s="273">
        <v>2</v>
      </c>
      <c r="B240" s="274" t="s">
        <v>4969</v>
      </c>
      <c r="C240" s="275">
        <v>45303</v>
      </c>
      <c r="D240" s="274" t="s">
        <v>4714</v>
      </c>
      <c r="E240" s="268" t="s">
        <v>4759</v>
      </c>
      <c r="F240" s="268" t="s">
        <v>4715</v>
      </c>
      <c r="G240" s="268" t="s">
        <v>4716</v>
      </c>
      <c r="H240" s="268" t="str">
        <f t="shared" si="0"/>
        <v>CARLOS LÓPEZ AZANZA</v>
      </c>
      <c r="I240" s="268" t="s">
        <v>5141</v>
      </c>
      <c r="J240" s="272" t="s">
        <v>4747</v>
      </c>
      <c r="K240" s="268" t="s">
        <v>5142</v>
      </c>
      <c r="L240" s="276">
        <v>45345</v>
      </c>
      <c r="M240" s="277"/>
      <c r="N240" s="282">
        <v>2</v>
      </c>
      <c r="O240" s="284" t="s">
        <v>4740</v>
      </c>
      <c r="P240" s="280">
        <v>3977.27</v>
      </c>
      <c r="Q240" s="287">
        <v>45303</v>
      </c>
      <c r="R240" s="272"/>
      <c r="S240" s="272"/>
      <c r="T240" s="272"/>
      <c r="U240" s="272"/>
      <c r="V240" s="272"/>
      <c r="W240" s="272"/>
      <c r="X240" s="272"/>
      <c r="Y240" s="272"/>
      <c r="Z240" s="272"/>
      <c r="AA240" s="272"/>
    </row>
    <row r="241" spans="1:27">
      <c r="A241" s="273">
        <v>2</v>
      </c>
      <c r="B241" s="274" t="s">
        <v>4969</v>
      </c>
      <c r="C241" s="275">
        <v>45321</v>
      </c>
      <c r="D241" s="274" t="s">
        <v>4714</v>
      </c>
      <c r="E241" s="268" t="s">
        <v>4856</v>
      </c>
      <c r="F241" s="268" t="s">
        <v>4715</v>
      </c>
      <c r="G241" s="268" t="s">
        <v>4716</v>
      </c>
      <c r="H241" s="268" t="str">
        <f t="shared" si="0"/>
        <v>JOSÉ EUGENIO ESTRADA GROMAZ</v>
      </c>
      <c r="I241" s="268" t="s">
        <v>4876</v>
      </c>
      <c r="J241" s="268" t="s">
        <v>4790</v>
      </c>
      <c r="K241" s="268" t="s">
        <v>5143</v>
      </c>
      <c r="L241" s="276">
        <v>45348</v>
      </c>
      <c r="M241" s="277"/>
      <c r="N241" s="282">
        <v>2</v>
      </c>
      <c r="O241" s="284" t="s">
        <v>4720</v>
      </c>
      <c r="P241" s="280">
        <v>3563.64</v>
      </c>
      <c r="Q241" s="281">
        <v>45321</v>
      </c>
      <c r="R241" s="272"/>
      <c r="S241" s="272"/>
      <c r="T241" s="272"/>
      <c r="U241" s="272"/>
      <c r="V241" s="272"/>
      <c r="W241" s="272"/>
      <c r="X241" s="272"/>
      <c r="Y241" s="272"/>
      <c r="Z241" s="272"/>
      <c r="AA241" s="272"/>
    </row>
    <row r="242" spans="1:27">
      <c r="A242" s="273">
        <v>2</v>
      </c>
      <c r="B242" s="274" t="s">
        <v>4969</v>
      </c>
      <c r="C242" s="275">
        <v>45324</v>
      </c>
      <c r="D242" s="274" t="s">
        <v>4714</v>
      </c>
      <c r="E242" s="268" t="s">
        <v>3187</v>
      </c>
      <c r="F242" s="268" t="s">
        <v>4715</v>
      </c>
      <c r="G242" s="268" t="s">
        <v>4716</v>
      </c>
      <c r="H242" s="268" t="str">
        <f t="shared" si="0"/>
        <v>JAIME SANABRIA BRASSART</v>
      </c>
      <c r="I242" s="268" t="s">
        <v>4753</v>
      </c>
      <c r="J242" s="268" t="s">
        <v>4822</v>
      </c>
      <c r="K242" s="268" t="s">
        <v>5144</v>
      </c>
      <c r="L242" s="276">
        <v>45348</v>
      </c>
      <c r="M242" s="277"/>
      <c r="N242" s="282">
        <v>2</v>
      </c>
      <c r="O242" s="284" t="s">
        <v>4720</v>
      </c>
      <c r="P242" s="280">
        <v>3604.55</v>
      </c>
      <c r="Q242" s="287">
        <v>45324</v>
      </c>
      <c r="R242" s="272"/>
      <c r="S242" s="272"/>
      <c r="T242" s="272"/>
      <c r="U242" s="272"/>
      <c r="V242" s="272"/>
      <c r="W242" s="272"/>
      <c r="X242" s="272"/>
      <c r="Y242" s="272"/>
      <c r="Z242" s="272"/>
      <c r="AA242" s="272"/>
    </row>
    <row r="243" spans="1:27">
      <c r="A243" s="273">
        <v>2</v>
      </c>
      <c r="B243" s="274" t="s">
        <v>4969</v>
      </c>
      <c r="C243" s="275">
        <v>45287</v>
      </c>
      <c r="D243" s="274" t="s">
        <v>4714</v>
      </c>
      <c r="E243" s="268" t="s">
        <v>4194</v>
      </c>
      <c r="F243" s="268" t="s">
        <v>4715</v>
      </c>
      <c r="G243" s="268" t="s">
        <v>4716</v>
      </c>
      <c r="H243" s="268" t="str">
        <f t="shared" si="0"/>
        <v>OSCAR ALEMÁN LÓPEZ</v>
      </c>
      <c r="I243" s="268" t="s">
        <v>4771</v>
      </c>
      <c r="J243" s="272" t="s">
        <v>4736</v>
      </c>
      <c r="K243" s="268" t="s">
        <v>5145</v>
      </c>
      <c r="L243" s="276">
        <v>45348</v>
      </c>
      <c r="M243" s="283"/>
      <c r="N243" s="282">
        <v>2</v>
      </c>
      <c r="O243" s="284" t="s">
        <v>4787</v>
      </c>
      <c r="P243" s="280">
        <v>4704.55</v>
      </c>
      <c r="Q243" s="287">
        <v>45287</v>
      </c>
      <c r="R243" s="272"/>
      <c r="S243" s="272"/>
      <c r="T243" s="272"/>
      <c r="U243" s="272"/>
      <c r="V243" s="272"/>
      <c r="W243" s="272"/>
      <c r="X243" s="272"/>
      <c r="Y243" s="272"/>
      <c r="Z243" s="272"/>
      <c r="AA243" s="272"/>
    </row>
    <row r="244" spans="1:27">
      <c r="A244" s="273">
        <v>2</v>
      </c>
      <c r="B244" s="274" t="s">
        <v>4969</v>
      </c>
      <c r="C244" s="275">
        <v>45307</v>
      </c>
      <c r="D244" s="274" t="s">
        <v>4714</v>
      </c>
      <c r="E244" s="268" t="s">
        <v>3218</v>
      </c>
      <c r="F244" s="268" t="s">
        <v>4715</v>
      </c>
      <c r="G244" s="268" t="s">
        <v>4716</v>
      </c>
      <c r="H244" s="268" t="str">
        <f t="shared" si="0"/>
        <v>EVIANS GÓMEZ DE LA ROSA</v>
      </c>
      <c r="I244" s="268" t="s">
        <v>5068</v>
      </c>
      <c r="J244" s="272" t="s">
        <v>4806</v>
      </c>
      <c r="K244" s="268" t="s">
        <v>5146</v>
      </c>
      <c r="L244" s="276">
        <v>45348</v>
      </c>
      <c r="M244" s="277"/>
      <c r="N244" s="282">
        <v>2</v>
      </c>
      <c r="O244" s="284" t="s">
        <v>4723</v>
      </c>
      <c r="P244" s="280">
        <v>2641.86</v>
      </c>
      <c r="Q244" s="287">
        <v>45307</v>
      </c>
      <c r="R244" s="272"/>
      <c r="S244" s="272"/>
      <c r="T244" s="272"/>
      <c r="U244" s="272"/>
      <c r="V244" s="272"/>
      <c r="W244" s="272"/>
      <c r="X244" s="272"/>
      <c r="Y244" s="272"/>
      <c r="Z244" s="272"/>
      <c r="AA244" s="272"/>
    </row>
    <row r="245" spans="1:27">
      <c r="A245" s="273">
        <v>2</v>
      </c>
      <c r="B245" s="274" t="s">
        <v>4969</v>
      </c>
      <c r="C245" s="275">
        <v>45334</v>
      </c>
      <c r="D245" s="274" t="s">
        <v>4714</v>
      </c>
      <c r="E245" s="268" t="s">
        <v>4788</v>
      </c>
      <c r="F245" s="268" t="s">
        <v>4715</v>
      </c>
      <c r="G245" s="268" t="s">
        <v>4716</v>
      </c>
      <c r="H245" s="268" t="str">
        <f t="shared" si="0"/>
        <v>CARLOS VIDAL REDONDO</v>
      </c>
      <c r="I245" s="268" t="s">
        <v>4828</v>
      </c>
      <c r="J245" s="268" t="s">
        <v>4790</v>
      </c>
      <c r="K245" s="268" t="s">
        <v>5147</v>
      </c>
      <c r="L245" s="276">
        <v>45348</v>
      </c>
      <c r="M245" s="277"/>
      <c r="N245" s="282">
        <v>2</v>
      </c>
      <c r="O245" s="284" t="s">
        <v>4792</v>
      </c>
      <c r="P245" s="280">
        <v>2627.27</v>
      </c>
      <c r="Q245" s="287">
        <v>45334</v>
      </c>
      <c r="R245" s="272"/>
      <c r="S245" s="272"/>
      <c r="T245" s="272"/>
      <c r="U245" s="272"/>
      <c r="V245" s="272"/>
      <c r="W245" s="272"/>
      <c r="X245" s="272"/>
      <c r="Y245" s="272"/>
      <c r="Z245" s="272"/>
      <c r="AA245" s="272"/>
    </row>
    <row r="246" spans="1:27">
      <c r="A246" s="273">
        <v>2</v>
      </c>
      <c r="B246" s="274" t="s">
        <v>4969</v>
      </c>
      <c r="C246" s="275">
        <v>45308</v>
      </c>
      <c r="D246" s="274" t="s">
        <v>4714</v>
      </c>
      <c r="E246" s="279" t="s">
        <v>2916</v>
      </c>
      <c r="F246" s="279" t="s">
        <v>4715</v>
      </c>
      <c r="G246" s="279" t="s">
        <v>4716</v>
      </c>
      <c r="H246" s="268" t="str">
        <f t="shared" si="0"/>
        <v>JESUS-MARIA GRASA PÉREZ</v>
      </c>
      <c r="I246" s="268" t="s">
        <v>4865</v>
      </c>
      <c r="J246" s="272" t="s">
        <v>4806</v>
      </c>
      <c r="K246" s="279" t="s">
        <v>5148</v>
      </c>
      <c r="L246" s="276">
        <v>45348</v>
      </c>
      <c r="M246" s="283"/>
      <c r="N246" s="282">
        <v>2</v>
      </c>
      <c r="O246" s="284" t="s">
        <v>4740</v>
      </c>
      <c r="P246" s="280">
        <v>4222.38</v>
      </c>
      <c r="Q246" s="287">
        <v>45308</v>
      </c>
      <c r="R246" s="272"/>
      <c r="S246" s="272"/>
      <c r="T246" s="272"/>
      <c r="U246" s="272"/>
      <c r="V246" s="272"/>
      <c r="W246" s="272"/>
      <c r="X246" s="272"/>
      <c r="Y246" s="272"/>
      <c r="Z246" s="272"/>
      <c r="AA246" s="272"/>
    </row>
    <row r="247" spans="1:27">
      <c r="A247" s="273">
        <v>2</v>
      </c>
      <c r="B247" s="274" t="s">
        <v>4969</v>
      </c>
      <c r="C247" s="275">
        <v>45327</v>
      </c>
      <c r="D247" s="274" t="s">
        <v>4714</v>
      </c>
      <c r="E247" s="279" t="s">
        <v>3861</v>
      </c>
      <c r="F247" s="279" t="s">
        <v>4715</v>
      </c>
      <c r="G247" s="279" t="s">
        <v>4716</v>
      </c>
      <c r="H247" s="268" t="str">
        <f t="shared" si="0"/>
        <v>JOSÉ GUSTAVO BARROSO BRAOJOS</v>
      </c>
      <c r="I247" s="268" t="s">
        <v>4834</v>
      </c>
      <c r="J247" s="272" t="s">
        <v>4718</v>
      </c>
      <c r="K247" s="279" t="s">
        <v>5149</v>
      </c>
      <c r="L247" s="276">
        <v>45348</v>
      </c>
      <c r="M247" s="277"/>
      <c r="N247" s="282">
        <v>2</v>
      </c>
      <c r="O247" s="284" t="s">
        <v>4720</v>
      </c>
      <c r="P247" s="280">
        <v>2515.4499999999998</v>
      </c>
      <c r="Q247" s="287">
        <v>45327</v>
      </c>
      <c r="R247" s="272"/>
      <c r="S247" s="272"/>
      <c r="T247" s="272"/>
      <c r="U247" s="272"/>
      <c r="V247" s="272"/>
      <c r="W247" s="272"/>
      <c r="X247" s="272"/>
      <c r="Y247" s="272"/>
      <c r="Z247" s="272"/>
      <c r="AA247" s="272"/>
    </row>
    <row r="248" spans="1:27">
      <c r="A248" s="273">
        <v>2</v>
      </c>
      <c r="B248" s="274" t="s">
        <v>4969</v>
      </c>
      <c r="C248" s="275">
        <v>45317</v>
      </c>
      <c r="D248" s="274" t="s">
        <v>4714</v>
      </c>
      <c r="E248" s="279" t="s">
        <v>3043</v>
      </c>
      <c r="F248" s="279" t="s">
        <v>4715</v>
      </c>
      <c r="G248" s="279" t="s">
        <v>4716</v>
      </c>
      <c r="H248" s="268" t="str">
        <f t="shared" si="0"/>
        <v>ANTONIO BUENO RÍOS</v>
      </c>
      <c r="I248" s="268" t="s">
        <v>4793</v>
      </c>
      <c r="J248" s="272" t="s">
        <v>4822</v>
      </c>
      <c r="K248" s="279" t="s">
        <v>5150</v>
      </c>
      <c r="L248" s="276">
        <v>45348</v>
      </c>
      <c r="M248" s="277"/>
      <c r="N248" s="282">
        <v>2</v>
      </c>
      <c r="O248" s="284" t="s">
        <v>4720</v>
      </c>
      <c r="P248" s="280">
        <v>3424.33</v>
      </c>
      <c r="Q248" s="287">
        <v>45317</v>
      </c>
      <c r="R248" s="272"/>
      <c r="S248" s="272"/>
      <c r="T248" s="272"/>
      <c r="U248" s="272"/>
      <c r="V248" s="272"/>
      <c r="W248" s="272"/>
      <c r="X248" s="272"/>
      <c r="Y248" s="272"/>
      <c r="Z248" s="272"/>
      <c r="AA248" s="272"/>
    </row>
    <row r="249" spans="1:27">
      <c r="A249" s="273">
        <v>2</v>
      </c>
      <c r="B249" s="274" t="s">
        <v>4969</v>
      </c>
      <c r="C249" s="275">
        <v>45320</v>
      </c>
      <c r="D249" s="274" t="s">
        <v>4714</v>
      </c>
      <c r="E249" s="268" t="s">
        <v>4892</v>
      </c>
      <c r="F249" s="268" t="s">
        <v>4715</v>
      </c>
      <c r="G249" s="268" t="s">
        <v>4716</v>
      </c>
      <c r="H249" s="268" t="str">
        <f t="shared" si="0"/>
        <v>RAÚL RUBIO YANGÜAS</v>
      </c>
      <c r="I249" s="268" t="s">
        <v>5151</v>
      </c>
      <c r="J249" s="272" t="s">
        <v>4718</v>
      </c>
      <c r="K249" s="268" t="s">
        <v>5152</v>
      </c>
      <c r="L249" s="276">
        <v>45348</v>
      </c>
      <c r="M249" s="277"/>
      <c r="N249" s="282">
        <v>2</v>
      </c>
      <c r="O249" s="284" t="s">
        <v>4720</v>
      </c>
      <c r="P249" s="280">
        <v>3409.09</v>
      </c>
      <c r="Q249" s="287">
        <v>45320</v>
      </c>
      <c r="R249" s="272"/>
      <c r="S249" s="272"/>
      <c r="T249" s="272"/>
      <c r="U249" s="272"/>
      <c r="V249" s="272"/>
      <c r="W249" s="272"/>
      <c r="X249" s="272"/>
      <c r="Y249" s="272"/>
      <c r="Z249" s="272"/>
      <c r="AA249" s="272"/>
    </row>
    <row r="250" spans="1:27">
      <c r="A250" s="273">
        <v>2</v>
      </c>
      <c r="B250" s="274" t="s">
        <v>4969</v>
      </c>
      <c r="C250" s="275">
        <v>45320</v>
      </c>
      <c r="D250" s="274" t="s">
        <v>4714</v>
      </c>
      <c r="E250" s="268" t="s">
        <v>4892</v>
      </c>
      <c r="F250" s="268" t="s">
        <v>4715</v>
      </c>
      <c r="G250" s="268" t="s">
        <v>4716</v>
      </c>
      <c r="H250" s="268" t="str">
        <f t="shared" si="0"/>
        <v>RAÚL RUBIO YANGÜAS</v>
      </c>
      <c r="I250" s="268" t="s">
        <v>5151</v>
      </c>
      <c r="J250" s="272" t="s">
        <v>4718</v>
      </c>
      <c r="K250" s="268" t="s">
        <v>5153</v>
      </c>
      <c r="L250" s="276">
        <v>45348</v>
      </c>
      <c r="M250" s="277"/>
      <c r="N250" s="282">
        <v>2</v>
      </c>
      <c r="O250" s="284" t="s">
        <v>4720</v>
      </c>
      <c r="P250" s="280">
        <v>3409.09</v>
      </c>
      <c r="Q250" s="287">
        <v>45320</v>
      </c>
      <c r="R250" s="272"/>
      <c r="S250" s="272"/>
      <c r="T250" s="272"/>
      <c r="U250" s="272"/>
      <c r="V250" s="272"/>
      <c r="W250" s="272"/>
      <c r="X250" s="272"/>
      <c r="Y250" s="272"/>
      <c r="Z250" s="272"/>
      <c r="AA250" s="272"/>
    </row>
    <row r="251" spans="1:27">
      <c r="A251" s="273">
        <v>2</v>
      </c>
      <c r="B251" s="274" t="s">
        <v>4969</v>
      </c>
      <c r="C251" s="275">
        <v>45338</v>
      </c>
      <c r="D251" s="274" t="s">
        <v>4714</v>
      </c>
      <c r="E251" s="268" t="s">
        <v>4892</v>
      </c>
      <c r="F251" s="268" t="s">
        <v>4715</v>
      </c>
      <c r="G251" s="268" t="s">
        <v>4716</v>
      </c>
      <c r="H251" s="268" t="str">
        <f t="shared" si="0"/>
        <v>ANTONIO BUENO RÍOS</v>
      </c>
      <c r="I251" s="268" t="s">
        <v>4793</v>
      </c>
      <c r="J251" s="272" t="s">
        <v>4822</v>
      </c>
      <c r="K251" s="268" t="s">
        <v>5154</v>
      </c>
      <c r="L251" s="276">
        <v>45348</v>
      </c>
      <c r="M251" s="277"/>
      <c r="N251" s="282">
        <v>2</v>
      </c>
      <c r="O251" s="284" t="s">
        <v>4720</v>
      </c>
      <c r="P251" s="280">
        <v>3604.55</v>
      </c>
      <c r="Q251" s="287">
        <v>45338</v>
      </c>
      <c r="R251" s="272"/>
      <c r="S251" s="272"/>
      <c r="T251" s="272"/>
      <c r="U251" s="272"/>
      <c r="V251" s="272"/>
      <c r="W251" s="272"/>
      <c r="X251" s="272"/>
      <c r="Y251" s="272"/>
      <c r="Z251" s="272"/>
      <c r="AA251" s="272"/>
    </row>
    <row r="252" spans="1:27">
      <c r="A252" s="273">
        <v>2</v>
      </c>
      <c r="B252" s="274" t="s">
        <v>4969</v>
      </c>
      <c r="C252" s="275">
        <v>45313</v>
      </c>
      <c r="D252" s="274" t="s">
        <v>4714</v>
      </c>
      <c r="E252" s="268" t="s">
        <v>2886</v>
      </c>
      <c r="F252" s="268" t="s">
        <v>4715</v>
      </c>
      <c r="G252" s="268" t="s">
        <v>4716</v>
      </c>
      <c r="H252" s="268" t="str">
        <f t="shared" si="0"/>
        <v>JAVIER OLARIETA SOTO</v>
      </c>
      <c r="I252" s="268" t="s">
        <v>5155</v>
      </c>
      <c r="J252" s="272" t="s">
        <v>4718</v>
      </c>
      <c r="K252" s="268" t="s">
        <v>5156</v>
      </c>
      <c r="L252" s="276">
        <v>45348</v>
      </c>
      <c r="M252" s="283"/>
      <c r="N252" s="282">
        <v>2</v>
      </c>
      <c r="O252" s="284" t="s">
        <v>4720</v>
      </c>
      <c r="P252" s="280">
        <v>3604.55</v>
      </c>
      <c r="Q252" s="287">
        <v>45313</v>
      </c>
      <c r="R252" s="272"/>
      <c r="S252" s="272"/>
      <c r="T252" s="272"/>
      <c r="U252" s="272"/>
      <c r="V252" s="272"/>
      <c r="W252" s="272"/>
      <c r="X252" s="272"/>
      <c r="Y252" s="272"/>
      <c r="Z252" s="272"/>
      <c r="AA252" s="272"/>
    </row>
    <row r="253" spans="1:27">
      <c r="A253" s="273">
        <v>2</v>
      </c>
      <c r="B253" s="274" t="s">
        <v>4969</v>
      </c>
      <c r="C253" s="275">
        <v>45334</v>
      </c>
      <c r="D253" s="274" t="s">
        <v>4714</v>
      </c>
      <c r="E253" s="268" t="s">
        <v>3480</v>
      </c>
      <c r="F253" s="268" t="s">
        <v>4715</v>
      </c>
      <c r="G253" s="268" t="s">
        <v>4716</v>
      </c>
      <c r="H253" s="268" t="str">
        <f t="shared" si="0"/>
        <v>PALOMA MARTÍN- ARAGÓN MARTIÍ</v>
      </c>
      <c r="I253" s="268" t="s">
        <v>4917</v>
      </c>
      <c r="J253" s="272" t="s">
        <v>4718</v>
      </c>
      <c r="K253" s="268" t="s">
        <v>5157</v>
      </c>
      <c r="L253" s="276">
        <v>45349</v>
      </c>
      <c r="M253" s="277"/>
      <c r="N253" s="282">
        <v>2</v>
      </c>
      <c r="O253" s="284" t="s">
        <v>4720</v>
      </c>
      <c r="P253" s="280">
        <v>3604.55</v>
      </c>
      <c r="Q253" s="287">
        <v>45334</v>
      </c>
      <c r="R253" s="272"/>
      <c r="S253" s="272"/>
      <c r="T253" s="272"/>
      <c r="U253" s="272"/>
      <c r="V253" s="272"/>
      <c r="W253" s="272"/>
      <c r="X253" s="272"/>
      <c r="Y253" s="272"/>
      <c r="Z253" s="272"/>
      <c r="AA253" s="272"/>
    </row>
    <row r="254" spans="1:27">
      <c r="A254" s="273">
        <v>2</v>
      </c>
      <c r="B254" s="274" t="s">
        <v>4969</v>
      </c>
      <c r="C254" s="275">
        <v>45320</v>
      </c>
      <c r="D254" s="274" t="s">
        <v>4714</v>
      </c>
      <c r="E254" s="268" t="s">
        <v>3480</v>
      </c>
      <c r="F254" s="268" t="s">
        <v>4715</v>
      </c>
      <c r="G254" s="268" t="s">
        <v>4716</v>
      </c>
      <c r="H254" s="268" t="str">
        <f t="shared" si="0"/>
        <v>MARÍA TERESA HERRERA MERA</v>
      </c>
      <c r="I254" s="268" t="s">
        <v>4838</v>
      </c>
      <c r="J254" s="272" t="s">
        <v>4718</v>
      </c>
      <c r="K254" s="268" t="s">
        <v>5158</v>
      </c>
      <c r="L254" s="276">
        <v>45349</v>
      </c>
      <c r="M254" s="277"/>
      <c r="N254" s="282">
        <v>2</v>
      </c>
      <c r="O254" s="284" t="s">
        <v>4720</v>
      </c>
      <c r="P254" s="280">
        <v>3604.55</v>
      </c>
      <c r="Q254" s="287">
        <v>45320</v>
      </c>
      <c r="R254" s="272"/>
      <c r="S254" s="272"/>
      <c r="T254" s="272"/>
      <c r="U254" s="272"/>
      <c r="V254" s="272"/>
      <c r="W254" s="272"/>
      <c r="X254" s="272"/>
      <c r="Y254" s="272"/>
      <c r="Z254" s="272"/>
      <c r="AA254" s="272"/>
    </row>
    <row r="255" spans="1:27">
      <c r="A255" s="273">
        <v>2</v>
      </c>
      <c r="B255" s="274" t="s">
        <v>4969</v>
      </c>
      <c r="C255" s="275">
        <v>45287</v>
      </c>
      <c r="D255" s="274" t="s">
        <v>4714</v>
      </c>
      <c r="E255" s="279" t="s">
        <v>3480</v>
      </c>
      <c r="F255" s="279" t="s">
        <v>4715</v>
      </c>
      <c r="G255" s="279" t="s">
        <v>4716</v>
      </c>
      <c r="H255" s="268" t="str">
        <f t="shared" si="0"/>
        <v>MARÍA TERESA HERRERA MERA</v>
      </c>
      <c r="I255" s="268" t="s">
        <v>4838</v>
      </c>
      <c r="J255" s="272" t="s">
        <v>4718</v>
      </c>
      <c r="K255" s="279" t="s">
        <v>5159</v>
      </c>
      <c r="L255" s="276">
        <v>45349</v>
      </c>
      <c r="M255" s="277"/>
      <c r="N255" s="282">
        <v>1</v>
      </c>
      <c r="O255" s="284" t="s">
        <v>4720</v>
      </c>
      <c r="P255" s="280">
        <v>2162.73</v>
      </c>
      <c r="Q255" s="287">
        <v>45287</v>
      </c>
      <c r="R255" s="272"/>
      <c r="S255" s="272"/>
      <c r="T255" s="272"/>
      <c r="U255" s="272"/>
      <c r="V255" s="272"/>
      <c r="W255" s="272"/>
      <c r="X255" s="272"/>
      <c r="Y255" s="272"/>
      <c r="Z255" s="272"/>
      <c r="AA255" s="272"/>
    </row>
    <row r="256" spans="1:27">
      <c r="A256" s="273">
        <v>2</v>
      </c>
      <c r="B256" s="274" t="s">
        <v>4969</v>
      </c>
      <c r="C256" s="275">
        <v>45299</v>
      </c>
      <c r="D256" s="274" t="s">
        <v>4714</v>
      </c>
      <c r="E256" s="268" t="s">
        <v>4775</v>
      </c>
      <c r="F256" s="268" t="s">
        <v>4715</v>
      </c>
      <c r="G256" s="268" t="s">
        <v>4716</v>
      </c>
      <c r="H256" s="268" t="str">
        <f t="shared" si="0"/>
        <v>FERNANDO SALAZAR BARCELONA</v>
      </c>
      <c r="I256" s="268" t="s">
        <v>4776</v>
      </c>
      <c r="J256" s="272" t="s">
        <v>4822</v>
      </c>
      <c r="K256" s="268" t="s">
        <v>5160</v>
      </c>
      <c r="L256" s="276">
        <v>45349</v>
      </c>
      <c r="M256" s="277"/>
      <c r="N256" s="282">
        <v>2</v>
      </c>
      <c r="O256" s="284" t="s">
        <v>4720</v>
      </c>
      <c r="P256" s="280">
        <v>3090.91</v>
      </c>
      <c r="Q256" s="287">
        <v>45299</v>
      </c>
      <c r="R256" s="272"/>
      <c r="S256" s="272"/>
      <c r="T256" s="272"/>
      <c r="U256" s="272"/>
      <c r="V256" s="272"/>
      <c r="W256" s="272"/>
      <c r="X256" s="272"/>
      <c r="Y256" s="272"/>
      <c r="Z256" s="272"/>
      <c r="AA256" s="272"/>
    </row>
    <row r="257" spans="1:27">
      <c r="A257" s="273">
        <v>2</v>
      </c>
      <c r="B257" s="274" t="s">
        <v>4969</v>
      </c>
      <c r="C257" s="275">
        <v>45308</v>
      </c>
      <c r="D257" s="274" t="s">
        <v>4714</v>
      </c>
      <c r="E257" s="268" t="s">
        <v>2929</v>
      </c>
      <c r="F257" s="268" t="s">
        <v>4715</v>
      </c>
      <c r="G257" s="268" t="s">
        <v>4716</v>
      </c>
      <c r="H257" s="268" t="str">
        <f t="shared" ref="H257:H511" si="1">TRIM(SUBSTITUTE(SUBSTITUTE(SUBSTITUTE(SUBSTITUTE(I257,"DR. ",""),"DRA. ",""),"DR ",""),"DRA ",""))</f>
        <v>JAVIER GARCÍA DOMÍNGUEZ</v>
      </c>
      <c r="I257" s="268" t="s">
        <v>4881</v>
      </c>
      <c r="J257" s="268" t="s">
        <v>4718</v>
      </c>
      <c r="K257" s="268" t="s">
        <v>5161</v>
      </c>
      <c r="L257" s="276">
        <v>45349</v>
      </c>
      <c r="M257" s="277"/>
      <c r="N257" s="282">
        <v>2</v>
      </c>
      <c r="O257" s="284" t="s">
        <v>4720</v>
      </c>
      <c r="P257" s="280">
        <v>3424.32</v>
      </c>
      <c r="Q257" s="287">
        <v>45308</v>
      </c>
      <c r="R257" s="272"/>
      <c r="S257" s="272"/>
      <c r="T257" s="272"/>
      <c r="U257" s="272"/>
      <c r="V257" s="272"/>
      <c r="W257" s="272"/>
      <c r="X257" s="272"/>
      <c r="Y257" s="272"/>
      <c r="Z257" s="272"/>
      <c r="AA257" s="272"/>
    </row>
    <row r="258" spans="1:27">
      <c r="A258" s="273">
        <v>2</v>
      </c>
      <c r="B258" s="274" t="s">
        <v>4969</v>
      </c>
      <c r="C258" s="275">
        <v>45240</v>
      </c>
      <c r="D258" s="274" t="s">
        <v>4714</v>
      </c>
      <c r="E258" s="268" t="s">
        <v>4892</v>
      </c>
      <c r="F258" s="268" t="s">
        <v>4715</v>
      </c>
      <c r="G258" s="268" t="s">
        <v>4716</v>
      </c>
      <c r="H258" s="268" t="str">
        <f t="shared" si="1"/>
        <v>IGNACIO SIERRA ARBIDE</v>
      </c>
      <c r="I258" s="268" t="s">
        <v>5162</v>
      </c>
      <c r="J258" s="272" t="s">
        <v>4751</v>
      </c>
      <c r="K258" s="268" t="s">
        <v>5163</v>
      </c>
      <c r="L258" s="276">
        <v>45349</v>
      </c>
      <c r="M258" s="277"/>
      <c r="N258" s="282">
        <v>1</v>
      </c>
      <c r="O258" s="284" t="s">
        <v>4723</v>
      </c>
      <c r="P258" s="280">
        <v>1636.36</v>
      </c>
      <c r="Q258" s="287">
        <v>45240</v>
      </c>
      <c r="R258" s="272"/>
      <c r="S258" s="272"/>
      <c r="T258" s="272"/>
      <c r="U258" s="272"/>
      <c r="V258" s="272"/>
      <c r="W258" s="272"/>
      <c r="X258" s="272"/>
      <c r="Y258" s="272"/>
      <c r="Z258" s="272"/>
      <c r="AA258" s="272"/>
    </row>
    <row r="259" spans="1:27">
      <c r="A259" s="273">
        <v>2</v>
      </c>
      <c r="B259" s="274" t="s">
        <v>4969</v>
      </c>
      <c r="C259" s="275">
        <v>45302</v>
      </c>
      <c r="D259" s="274" t="s">
        <v>4714</v>
      </c>
      <c r="E259" s="268" t="s">
        <v>3758</v>
      </c>
      <c r="F259" s="268" t="s">
        <v>4715</v>
      </c>
      <c r="G259" s="268" t="s">
        <v>4716</v>
      </c>
      <c r="H259" s="268" t="str">
        <f t="shared" si="1"/>
        <v>JOAQUÍN ALACIO CASERO</v>
      </c>
      <c r="I259" s="268" t="s">
        <v>4925</v>
      </c>
      <c r="J259" s="272" t="s">
        <v>4718</v>
      </c>
      <c r="K259" s="268" t="s">
        <v>5164</v>
      </c>
      <c r="L259" s="276">
        <v>45349</v>
      </c>
      <c r="M259" s="277"/>
      <c r="N259" s="282">
        <v>2</v>
      </c>
      <c r="O259" s="284" t="s">
        <v>4720</v>
      </c>
      <c r="P259" s="280">
        <v>2799.09</v>
      </c>
      <c r="Q259" s="287">
        <v>45302</v>
      </c>
      <c r="R259" s="272"/>
      <c r="S259" s="272"/>
      <c r="T259" s="272"/>
      <c r="U259" s="272"/>
      <c r="V259" s="272"/>
      <c r="W259" s="272"/>
      <c r="X259" s="272"/>
      <c r="Y259" s="272"/>
      <c r="Z259" s="272"/>
      <c r="AA259" s="272"/>
    </row>
    <row r="260" spans="1:27">
      <c r="A260" s="273">
        <v>2</v>
      </c>
      <c r="B260" s="274" t="s">
        <v>4969</v>
      </c>
      <c r="C260" s="275">
        <v>45313</v>
      </c>
      <c r="D260" s="274" t="s">
        <v>4714</v>
      </c>
      <c r="E260" s="268" t="s">
        <v>2873</v>
      </c>
      <c r="F260" s="268" t="s">
        <v>4715</v>
      </c>
      <c r="G260" s="268" t="s">
        <v>4716</v>
      </c>
      <c r="H260" s="268" t="str">
        <f t="shared" si="1"/>
        <v>JUAN JAVIER ÁLVAREZ LÓPEZ</v>
      </c>
      <c r="I260" s="268" t="s">
        <v>4938</v>
      </c>
      <c r="J260" s="272" t="s">
        <v>4736</v>
      </c>
      <c r="K260" s="268" t="s">
        <v>5165</v>
      </c>
      <c r="L260" s="276">
        <v>45349</v>
      </c>
      <c r="M260" s="277"/>
      <c r="N260" s="282">
        <v>2</v>
      </c>
      <c r="O260" s="284" t="s">
        <v>4723</v>
      </c>
      <c r="P260" s="280">
        <v>2780.91</v>
      </c>
      <c r="Q260" s="287">
        <v>45313</v>
      </c>
      <c r="R260" s="272"/>
      <c r="S260" s="272"/>
      <c r="T260" s="272"/>
      <c r="U260" s="272"/>
      <c r="V260" s="272"/>
      <c r="W260" s="272"/>
      <c r="X260" s="272"/>
      <c r="Y260" s="272"/>
      <c r="Z260" s="272"/>
      <c r="AA260" s="272"/>
    </row>
    <row r="261" spans="1:27">
      <c r="A261" s="273">
        <v>2</v>
      </c>
      <c r="B261" s="274" t="s">
        <v>4969</v>
      </c>
      <c r="C261" s="275">
        <v>45330</v>
      </c>
      <c r="D261" s="274" t="s">
        <v>4714</v>
      </c>
      <c r="E261" s="268" t="s">
        <v>2961</v>
      </c>
      <c r="F261" s="268" t="s">
        <v>4715</v>
      </c>
      <c r="G261" s="268" t="s">
        <v>4716</v>
      </c>
      <c r="H261" s="268" t="str">
        <f t="shared" si="1"/>
        <v>ANTONIO GALINDO FERNÁNDEZ</v>
      </c>
      <c r="I261" s="268" t="s">
        <v>5166</v>
      </c>
      <c r="J261" s="272" t="s">
        <v>4736</v>
      </c>
      <c r="K261" s="268" t="s">
        <v>5167</v>
      </c>
      <c r="L261" s="276">
        <v>45349</v>
      </c>
      <c r="M261" s="277"/>
      <c r="N261" s="282">
        <v>1</v>
      </c>
      <c r="O261" s="284" t="s">
        <v>4720</v>
      </c>
      <c r="P261" s="280">
        <v>2227.27</v>
      </c>
      <c r="Q261" s="287">
        <v>45330</v>
      </c>
      <c r="R261" s="272"/>
      <c r="S261" s="272"/>
      <c r="T261" s="272"/>
      <c r="U261" s="272"/>
      <c r="V261" s="272"/>
      <c r="W261" s="272"/>
      <c r="X261" s="272"/>
      <c r="Y261" s="272"/>
      <c r="Z261" s="272"/>
      <c r="AA261" s="272"/>
    </row>
    <row r="262" spans="1:27">
      <c r="A262" s="273">
        <v>2</v>
      </c>
      <c r="B262" s="274" t="s">
        <v>4969</v>
      </c>
      <c r="C262" s="275">
        <v>45320</v>
      </c>
      <c r="D262" s="274" t="s">
        <v>4714</v>
      </c>
      <c r="E262" s="268" t="s">
        <v>3011</v>
      </c>
      <c r="F262" s="268" t="s">
        <v>4715</v>
      </c>
      <c r="G262" s="268" t="s">
        <v>4716</v>
      </c>
      <c r="H262" s="268" t="str">
        <f t="shared" si="1"/>
        <v>FRANCISCO ANTONIO PÉREZ FERNÁNDEZ</v>
      </c>
      <c r="I262" s="268" t="s">
        <v>4816</v>
      </c>
      <c r="J262" s="272" t="s">
        <v>4729</v>
      </c>
      <c r="K262" s="268" t="s">
        <v>5168</v>
      </c>
      <c r="L262" s="276">
        <v>45349</v>
      </c>
      <c r="M262" s="283"/>
      <c r="N262" s="282">
        <v>1</v>
      </c>
      <c r="O262" s="284" t="s">
        <v>4723</v>
      </c>
      <c r="P262" s="280">
        <v>1759.09</v>
      </c>
      <c r="Q262" s="287">
        <v>45320</v>
      </c>
      <c r="R262" s="272"/>
      <c r="S262" s="272"/>
      <c r="T262" s="272"/>
      <c r="U262" s="272"/>
      <c r="V262" s="272"/>
      <c r="W262" s="272"/>
      <c r="X262" s="272"/>
      <c r="Y262" s="272"/>
      <c r="Z262" s="272"/>
      <c r="AA262" s="272"/>
    </row>
    <row r="263" spans="1:27">
      <c r="A263" s="273">
        <v>2</v>
      </c>
      <c r="B263" s="274" t="s">
        <v>4969</v>
      </c>
      <c r="C263" s="275">
        <v>45295</v>
      </c>
      <c r="D263" s="274" t="s">
        <v>4714</v>
      </c>
      <c r="E263" s="268" t="s">
        <v>4799</v>
      </c>
      <c r="F263" s="268" t="s">
        <v>4715</v>
      </c>
      <c r="G263" s="268" t="s">
        <v>4716</v>
      </c>
      <c r="H263" s="268" t="str">
        <f t="shared" si="1"/>
        <v>ADELA PÉREZ-CARO RÍOS</v>
      </c>
      <c r="I263" s="268" t="s">
        <v>5169</v>
      </c>
      <c r="J263" s="272" t="s">
        <v>4790</v>
      </c>
      <c r="K263" s="268" t="s">
        <v>5170</v>
      </c>
      <c r="L263" s="276">
        <v>45349</v>
      </c>
      <c r="M263" s="277"/>
      <c r="N263" s="282">
        <v>2</v>
      </c>
      <c r="O263" s="284" t="s">
        <v>4723</v>
      </c>
      <c r="P263" s="280">
        <v>3000</v>
      </c>
      <c r="Q263" s="287">
        <v>45295</v>
      </c>
      <c r="R263" s="272"/>
      <c r="S263" s="272"/>
      <c r="T263" s="272"/>
      <c r="U263" s="272"/>
      <c r="V263" s="272"/>
      <c r="W263" s="272"/>
      <c r="X263" s="272"/>
      <c r="Y263" s="272"/>
      <c r="Z263" s="272"/>
      <c r="AA263" s="272"/>
    </row>
    <row r="264" spans="1:27">
      <c r="A264" s="273">
        <v>2</v>
      </c>
      <c r="B264" s="274" t="s">
        <v>4969</v>
      </c>
      <c r="C264" s="275">
        <v>45308</v>
      </c>
      <c r="D264" s="274" t="s">
        <v>4714</v>
      </c>
      <c r="E264" s="268" t="s">
        <v>4194</v>
      </c>
      <c r="F264" s="268" t="s">
        <v>4715</v>
      </c>
      <c r="G264" s="268" t="s">
        <v>4716</v>
      </c>
      <c r="H264" s="268" t="str">
        <f t="shared" si="1"/>
        <v>MÓNICA RODRÍGUEZ</v>
      </c>
      <c r="I264" s="268" t="s">
        <v>5171</v>
      </c>
      <c r="J264" s="272" t="s">
        <v>4736</v>
      </c>
      <c r="K264" s="268" t="s">
        <v>5172</v>
      </c>
      <c r="L264" s="276">
        <v>45350</v>
      </c>
      <c r="M264" s="277"/>
      <c r="N264" s="278">
        <v>2</v>
      </c>
      <c r="O264" s="284" t="s">
        <v>4723</v>
      </c>
      <c r="P264" s="280">
        <v>2781.82</v>
      </c>
      <c r="Q264" s="287">
        <v>45308</v>
      </c>
      <c r="R264" s="272"/>
      <c r="S264" s="272"/>
      <c r="T264" s="272"/>
      <c r="U264" s="272"/>
      <c r="V264" s="272"/>
      <c r="W264" s="272"/>
      <c r="X264" s="272"/>
      <c r="Y264" s="272"/>
      <c r="Z264" s="272"/>
      <c r="AA264" s="272"/>
    </row>
    <row r="265" spans="1:27">
      <c r="A265" s="273">
        <v>2</v>
      </c>
      <c r="B265" s="274" t="s">
        <v>4969</v>
      </c>
      <c r="C265" s="275">
        <v>45313</v>
      </c>
      <c r="D265" s="274" t="s">
        <v>4714</v>
      </c>
      <c r="E265" s="268" t="s">
        <v>4194</v>
      </c>
      <c r="F265" s="268" t="s">
        <v>4715</v>
      </c>
      <c r="G265" s="268" t="s">
        <v>4716</v>
      </c>
      <c r="H265" s="268" t="str">
        <f t="shared" si="1"/>
        <v>CRISTINA MUÑOZ PINTO</v>
      </c>
      <c r="I265" s="268" t="s">
        <v>5173</v>
      </c>
      <c r="J265" s="268" t="s">
        <v>4736</v>
      </c>
      <c r="K265" s="268" t="s">
        <v>5174</v>
      </c>
      <c r="L265" s="276">
        <v>45350</v>
      </c>
      <c r="M265" s="277"/>
      <c r="N265" s="282">
        <v>2</v>
      </c>
      <c r="O265" s="284" t="s">
        <v>4720</v>
      </c>
      <c r="P265" s="280">
        <v>2781.82</v>
      </c>
      <c r="Q265" s="287">
        <v>45313</v>
      </c>
      <c r="R265" s="272"/>
      <c r="S265" s="272"/>
      <c r="T265" s="272"/>
      <c r="U265" s="272"/>
      <c r="V265" s="272"/>
      <c r="W265" s="272"/>
      <c r="X265" s="272"/>
      <c r="Y265" s="272"/>
      <c r="Z265" s="272"/>
      <c r="AA265" s="272"/>
    </row>
    <row r="266" spans="1:27">
      <c r="A266" s="273">
        <v>2</v>
      </c>
      <c r="B266" s="274" t="s">
        <v>4969</v>
      </c>
      <c r="C266" s="275">
        <v>45310</v>
      </c>
      <c r="D266" s="274" t="s">
        <v>4714</v>
      </c>
      <c r="E266" s="268" t="s">
        <v>3480</v>
      </c>
      <c r="F266" s="268" t="s">
        <v>4715</v>
      </c>
      <c r="G266" s="268" t="s">
        <v>4716</v>
      </c>
      <c r="H266" s="268" t="str">
        <f t="shared" si="1"/>
        <v>VICTORIA GARCÍA PECES</v>
      </c>
      <c r="I266" s="268" t="s">
        <v>4762</v>
      </c>
      <c r="J266" s="272" t="s">
        <v>4718</v>
      </c>
      <c r="K266" s="268" t="s">
        <v>5175</v>
      </c>
      <c r="L266" s="276">
        <v>45350</v>
      </c>
      <c r="M266" s="277"/>
      <c r="N266" s="282">
        <v>2</v>
      </c>
      <c r="O266" s="284" t="s">
        <v>4723</v>
      </c>
      <c r="P266" s="280">
        <v>2781.73</v>
      </c>
      <c r="Q266" s="287">
        <v>45310</v>
      </c>
      <c r="R266" s="272"/>
      <c r="S266" s="272"/>
      <c r="T266" s="272"/>
      <c r="U266" s="272"/>
      <c r="V266" s="272"/>
      <c r="W266" s="272"/>
      <c r="X266" s="272"/>
      <c r="Y266" s="272"/>
      <c r="Z266" s="272"/>
      <c r="AA266" s="272"/>
    </row>
    <row r="267" spans="1:27">
      <c r="A267" s="273">
        <v>2</v>
      </c>
      <c r="B267" s="274" t="s">
        <v>4969</v>
      </c>
      <c r="C267" s="275">
        <v>45322</v>
      </c>
      <c r="D267" s="274" t="s">
        <v>4714</v>
      </c>
      <c r="E267" s="279" t="s">
        <v>2880</v>
      </c>
      <c r="F267" s="279" t="s">
        <v>4715</v>
      </c>
      <c r="G267" s="279" t="s">
        <v>4716</v>
      </c>
      <c r="H267" s="268" t="str">
        <f t="shared" si="1"/>
        <v>JONATHAN ESTEBAN SÁNCHEZ</v>
      </c>
      <c r="I267" s="268" t="s">
        <v>5176</v>
      </c>
      <c r="J267" s="272" t="s">
        <v>4718</v>
      </c>
      <c r="K267" s="279" t="s">
        <v>5177</v>
      </c>
      <c r="L267" s="276">
        <v>45350</v>
      </c>
      <c r="M267" s="277"/>
      <c r="N267" s="282">
        <v>2</v>
      </c>
      <c r="O267" s="284" t="s">
        <v>4723</v>
      </c>
      <c r="P267" s="280">
        <v>2780.87</v>
      </c>
      <c r="Q267" s="287">
        <v>45322</v>
      </c>
      <c r="R267" s="272"/>
      <c r="S267" s="272"/>
      <c r="T267" s="272"/>
      <c r="U267" s="272"/>
      <c r="V267" s="272"/>
      <c r="W267" s="272"/>
      <c r="X267" s="272"/>
      <c r="Y267" s="272"/>
      <c r="Z267" s="272"/>
      <c r="AA267" s="272"/>
    </row>
    <row r="268" spans="1:27">
      <c r="A268" s="273">
        <v>2</v>
      </c>
      <c r="B268" s="274" t="s">
        <v>4969</v>
      </c>
      <c r="C268" s="275">
        <v>45287</v>
      </c>
      <c r="D268" s="274" t="s">
        <v>4714</v>
      </c>
      <c r="E268" s="268" t="s">
        <v>2880</v>
      </c>
      <c r="F268" s="268" t="s">
        <v>4715</v>
      </c>
      <c r="G268" s="268" t="s">
        <v>4716</v>
      </c>
      <c r="H268" s="268" t="str">
        <f t="shared" si="1"/>
        <v>ITZIAR ÁLVAREZ PALACIOS</v>
      </c>
      <c r="I268" s="268" t="s">
        <v>5008</v>
      </c>
      <c r="J268" s="272" t="s">
        <v>4718</v>
      </c>
      <c r="K268" s="268" t="s">
        <v>5178</v>
      </c>
      <c r="L268" s="276">
        <v>45350</v>
      </c>
      <c r="M268" s="277"/>
      <c r="N268" s="282">
        <v>2</v>
      </c>
      <c r="O268" s="284" t="s">
        <v>4723</v>
      </c>
      <c r="P268" s="280">
        <v>2780.91</v>
      </c>
      <c r="Q268" s="287">
        <v>45287</v>
      </c>
      <c r="R268" s="272"/>
      <c r="S268" s="272"/>
      <c r="T268" s="272"/>
      <c r="U268" s="272"/>
      <c r="V268" s="272"/>
      <c r="W268" s="272"/>
      <c r="X268" s="272"/>
      <c r="Y268" s="272"/>
      <c r="Z268" s="272"/>
      <c r="AA268" s="272"/>
    </row>
    <row r="269" spans="1:27">
      <c r="A269" s="273">
        <v>2</v>
      </c>
      <c r="B269" s="274" t="s">
        <v>4969</v>
      </c>
      <c r="C269" s="275">
        <v>45317</v>
      </c>
      <c r="D269" s="274" t="s">
        <v>4714</v>
      </c>
      <c r="E269" s="268" t="s">
        <v>2880</v>
      </c>
      <c r="F269" s="268" t="s">
        <v>4715</v>
      </c>
      <c r="G269" s="268" t="s">
        <v>4716</v>
      </c>
      <c r="H269" s="268" t="str">
        <f t="shared" si="1"/>
        <v>MARÍA GARROTE GARROTE</v>
      </c>
      <c r="I269" s="268" t="s">
        <v>4721</v>
      </c>
      <c r="J269" s="272" t="s">
        <v>4718</v>
      </c>
      <c r="K269" s="268" t="s">
        <v>5179</v>
      </c>
      <c r="L269" s="276">
        <v>45350</v>
      </c>
      <c r="M269" s="277"/>
      <c r="N269" s="282">
        <v>2</v>
      </c>
      <c r="O269" s="284" t="s">
        <v>4723</v>
      </c>
      <c r="P269" s="280">
        <v>2780.91</v>
      </c>
      <c r="Q269" s="287">
        <v>45317</v>
      </c>
      <c r="R269" s="272"/>
      <c r="S269" s="272"/>
      <c r="T269" s="272"/>
      <c r="U269" s="272"/>
      <c r="V269" s="272"/>
      <c r="W269" s="272"/>
      <c r="X269" s="272"/>
      <c r="Y269" s="272"/>
      <c r="Z269" s="272"/>
      <c r="AA269" s="272"/>
    </row>
    <row r="270" spans="1:27">
      <c r="A270" s="273">
        <v>2</v>
      </c>
      <c r="B270" s="274" t="s">
        <v>4969</v>
      </c>
      <c r="C270" s="275">
        <v>45323</v>
      </c>
      <c r="D270" s="274" t="s">
        <v>4714</v>
      </c>
      <c r="E270" s="268" t="s">
        <v>2893</v>
      </c>
      <c r="F270" s="268" t="s">
        <v>4715</v>
      </c>
      <c r="G270" s="268" t="s">
        <v>4716</v>
      </c>
      <c r="H270" s="268" t="str">
        <f t="shared" si="1"/>
        <v>SERGIO Zaragoza GUIJO</v>
      </c>
      <c r="I270" s="268" t="s">
        <v>5180</v>
      </c>
      <c r="J270" s="272" t="s">
        <v>4718</v>
      </c>
      <c r="K270" s="268" t="s">
        <v>5181</v>
      </c>
      <c r="L270" s="276">
        <v>45350</v>
      </c>
      <c r="M270" s="277"/>
      <c r="N270" s="282">
        <v>2</v>
      </c>
      <c r="O270" s="284" t="s">
        <v>4723</v>
      </c>
      <c r="P270" s="280">
        <v>2780.77</v>
      </c>
      <c r="Q270" s="287">
        <v>45323</v>
      </c>
      <c r="R270" s="272"/>
      <c r="S270" s="272"/>
      <c r="T270" s="272"/>
      <c r="U270" s="272"/>
      <c r="V270" s="272"/>
      <c r="W270" s="272"/>
      <c r="X270" s="272"/>
      <c r="Y270" s="272"/>
      <c r="Z270" s="272"/>
      <c r="AA270" s="272"/>
    </row>
    <row r="271" spans="1:27">
      <c r="A271" s="273">
        <v>2</v>
      </c>
      <c r="B271" s="274" t="s">
        <v>4969</v>
      </c>
      <c r="C271" s="275">
        <v>45286</v>
      </c>
      <c r="D271" s="274" t="s">
        <v>4714</v>
      </c>
      <c r="E271" s="279" t="s">
        <v>2893</v>
      </c>
      <c r="F271" s="279" t="s">
        <v>4715</v>
      </c>
      <c r="G271" s="279" t="s">
        <v>4716</v>
      </c>
      <c r="H271" s="268" t="str">
        <f t="shared" si="1"/>
        <v>VICENTE MARTÍNEZ SANTOS</v>
      </c>
      <c r="I271" s="268" t="s">
        <v>4832</v>
      </c>
      <c r="J271" s="272" t="s">
        <v>4718</v>
      </c>
      <c r="K271" s="279" t="s">
        <v>5182</v>
      </c>
      <c r="L271" s="276">
        <v>45350</v>
      </c>
      <c r="M271" s="277"/>
      <c r="N271" s="282">
        <v>2</v>
      </c>
      <c r="O271" s="284" t="s">
        <v>4720</v>
      </c>
      <c r="P271" s="280">
        <v>3604.55</v>
      </c>
      <c r="Q271" s="287">
        <v>45286</v>
      </c>
      <c r="R271" s="272"/>
      <c r="S271" s="272"/>
      <c r="T271" s="272"/>
      <c r="U271" s="272"/>
      <c r="V271" s="272"/>
      <c r="W271" s="272"/>
      <c r="X271" s="272"/>
      <c r="Y271" s="272"/>
      <c r="Z271" s="272"/>
      <c r="AA271" s="272"/>
    </row>
    <row r="272" spans="1:27">
      <c r="A272" s="273">
        <v>2</v>
      </c>
      <c r="B272" s="274" t="s">
        <v>4969</v>
      </c>
      <c r="C272" s="275">
        <v>45330</v>
      </c>
      <c r="D272" s="274" t="s">
        <v>4714</v>
      </c>
      <c r="E272" s="268" t="s">
        <v>2893</v>
      </c>
      <c r="F272" s="268" t="s">
        <v>4715</v>
      </c>
      <c r="G272" s="268" t="s">
        <v>4716</v>
      </c>
      <c r="H272" s="268" t="str">
        <f t="shared" si="1"/>
        <v>MAR LASSO DE LA VEGA ZAMORA</v>
      </c>
      <c r="I272" s="268" t="s">
        <v>5183</v>
      </c>
      <c r="J272" s="268" t="s">
        <v>4718</v>
      </c>
      <c r="K272" s="268" t="s">
        <v>5184</v>
      </c>
      <c r="L272" s="276">
        <v>45350</v>
      </c>
      <c r="M272" s="277"/>
      <c r="N272" s="282">
        <v>1</v>
      </c>
      <c r="O272" s="284" t="s">
        <v>4720</v>
      </c>
      <c r="P272" s="280">
        <v>2162.73</v>
      </c>
      <c r="Q272" s="287">
        <v>45330</v>
      </c>
      <c r="R272" s="272"/>
      <c r="S272" s="272"/>
      <c r="T272" s="272"/>
      <c r="U272" s="272"/>
      <c r="V272" s="272"/>
      <c r="W272" s="272"/>
      <c r="X272" s="272"/>
      <c r="Y272" s="272"/>
      <c r="Z272" s="272"/>
      <c r="AA272" s="272"/>
    </row>
    <row r="273" spans="1:27">
      <c r="A273" s="273">
        <v>2</v>
      </c>
      <c r="B273" s="274" t="s">
        <v>4969</v>
      </c>
      <c r="C273" s="275">
        <v>45313</v>
      </c>
      <c r="D273" s="274" t="s">
        <v>4714</v>
      </c>
      <c r="E273" s="268" t="s">
        <v>4892</v>
      </c>
      <c r="F273" s="268" t="s">
        <v>4715</v>
      </c>
      <c r="G273" s="268" t="s">
        <v>4716</v>
      </c>
      <c r="H273" s="268" t="str">
        <f t="shared" si="1"/>
        <v>JULIO LÓPEZ MOYA</v>
      </c>
      <c r="I273" s="268" t="s">
        <v>4778</v>
      </c>
      <c r="J273" s="268" t="s">
        <v>4718</v>
      </c>
      <c r="K273" s="268" t="s">
        <v>5185</v>
      </c>
      <c r="L273" s="276">
        <v>45350</v>
      </c>
      <c r="M273" s="277"/>
      <c r="N273" s="282">
        <v>2</v>
      </c>
      <c r="O273" s="284" t="s">
        <v>4720</v>
      </c>
      <c r="P273" s="280">
        <v>3604.55</v>
      </c>
      <c r="Q273" s="287">
        <v>45313</v>
      </c>
      <c r="R273" s="272"/>
      <c r="S273" s="272"/>
      <c r="T273" s="272"/>
      <c r="U273" s="272"/>
      <c r="V273" s="272"/>
      <c r="W273" s="272"/>
      <c r="X273" s="272"/>
      <c r="Y273" s="272"/>
      <c r="Z273" s="272"/>
      <c r="AA273" s="272"/>
    </row>
    <row r="274" spans="1:27">
      <c r="A274" s="273">
        <v>2</v>
      </c>
      <c r="B274" s="274" t="s">
        <v>4969</v>
      </c>
      <c r="C274" s="275">
        <v>45306</v>
      </c>
      <c r="D274" s="274" t="s">
        <v>4714</v>
      </c>
      <c r="E274" s="268" t="s">
        <v>3605</v>
      </c>
      <c r="F274" s="268" t="s">
        <v>4715</v>
      </c>
      <c r="G274" s="268" t="s">
        <v>4716</v>
      </c>
      <c r="H274" s="268" t="str">
        <f t="shared" si="1"/>
        <v>JULIO LÓPEZ MOYA</v>
      </c>
      <c r="I274" s="268" t="s">
        <v>4778</v>
      </c>
      <c r="J274" s="272" t="s">
        <v>4718</v>
      </c>
      <c r="K274" s="268" t="s">
        <v>5186</v>
      </c>
      <c r="L274" s="276">
        <v>45350</v>
      </c>
      <c r="M274" s="283"/>
      <c r="N274" s="282">
        <v>1</v>
      </c>
      <c r="O274" s="284" t="s">
        <v>4740</v>
      </c>
      <c r="P274" s="280">
        <v>2409.09</v>
      </c>
      <c r="Q274" s="287">
        <v>45306</v>
      </c>
      <c r="R274" s="272"/>
      <c r="S274" s="272"/>
      <c r="T274" s="272"/>
      <c r="U274" s="272"/>
      <c r="V274" s="272"/>
      <c r="W274" s="272"/>
      <c r="X274" s="272"/>
      <c r="Y274" s="272"/>
      <c r="Z274" s="272"/>
      <c r="AA274" s="272"/>
    </row>
    <row r="275" spans="1:27">
      <c r="A275" s="273">
        <v>2</v>
      </c>
      <c r="B275" s="274" t="s">
        <v>4969</v>
      </c>
      <c r="C275" s="275">
        <v>45313</v>
      </c>
      <c r="D275" s="274" t="s">
        <v>4714</v>
      </c>
      <c r="E275" s="268" t="s">
        <v>2863</v>
      </c>
      <c r="F275" s="268" t="s">
        <v>4715</v>
      </c>
      <c r="G275" s="268" t="s">
        <v>4716</v>
      </c>
      <c r="H275" s="268" t="str">
        <f t="shared" si="1"/>
        <v>MARIO HIGUERA RAPA</v>
      </c>
      <c r="I275" s="268" t="s">
        <v>5187</v>
      </c>
      <c r="J275" s="272" t="s">
        <v>4736</v>
      </c>
      <c r="K275" s="268" t="s">
        <v>5188</v>
      </c>
      <c r="L275" s="276">
        <v>45351</v>
      </c>
      <c r="M275" s="277"/>
      <c r="N275" s="282">
        <v>2</v>
      </c>
      <c r="O275" s="284" t="s">
        <v>4720</v>
      </c>
      <c r="P275" s="280">
        <v>3604.55</v>
      </c>
      <c r="Q275" s="287">
        <v>45313</v>
      </c>
      <c r="R275" s="272"/>
      <c r="S275" s="272"/>
      <c r="T275" s="272"/>
      <c r="U275" s="272"/>
      <c r="V275" s="272"/>
      <c r="W275" s="272"/>
      <c r="X275" s="272"/>
      <c r="Y275" s="272"/>
      <c r="Z275" s="272"/>
      <c r="AA275" s="272"/>
    </row>
    <row r="276" spans="1:27">
      <c r="A276" s="273">
        <v>2</v>
      </c>
      <c r="B276" s="274" t="s">
        <v>4969</v>
      </c>
      <c r="C276" s="275">
        <v>45294</v>
      </c>
      <c r="D276" s="274" t="s">
        <v>4714</v>
      </c>
      <c r="E276" s="268" t="s">
        <v>3187</v>
      </c>
      <c r="F276" s="268" t="s">
        <v>4715</v>
      </c>
      <c r="G276" s="268" t="s">
        <v>4716</v>
      </c>
      <c r="H276" s="268" t="str">
        <f t="shared" si="1"/>
        <v>ADOLFO TOLEDANO MUÑOZ</v>
      </c>
      <c r="I276" s="268" t="s">
        <v>4830</v>
      </c>
      <c r="J276" s="272" t="s">
        <v>4718</v>
      </c>
      <c r="K276" s="268" t="s">
        <v>5189</v>
      </c>
      <c r="L276" s="276">
        <v>45351</v>
      </c>
      <c r="M276" s="277"/>
      <c r="N276" s="282">
        <v>2</v>
      </c>
      <c r="O276" s="284" t="s">
        <v>4723</v>
      </c>
      <c r="P276" s="280">
        <v>2648.48</v>
      </c>
      <c r="Q276" s="287">
        <v>45294</v>
      </c>
      <c r="R276" s="272"/>
      <c r="S276" s="272"/>
      <c r="T276" s="272"/>
      <c r="U276" s="272"/>
      <c r="V276" s="272"/>
      <c r="W276" s="272"/>
      <c r="X276" s="272"/>
      <c r="Y276" s="272"/>
      <c r="Z276" s="272"/>
      <c r="AA276" s="272"/>
    </row>
    <row r="277" spans="1:27">
      <c r="A277" s="273">
        <v>2</v>
      </c>
      <c r="B277" s="274" t="s">
        <v>4969</v>
      </c>
      <c r="C277" s="275">
        <v>45316</v>
      </c>
      <c r="D277" s="274" t="s">
        <v>4714</v>
      </c>
      <c r="E277" s="268" t="s">
        <v>4194</v>
      </c>
      <c r="F277" s="268" t="s">
        <v>4715</v>
      </c>
      <c r="G277" s="268" t="s">
        <v>4716</v>
      </c>
      <c r="H277" s="268" t="str">
        <f t="shared" si="1"/>
        <v>GUILLERMO SEVERÁ FERRANDIZ</v>
      </c>
      <c r="I277" s="268" t="s">
        <v>5190</v>
      </c>
      <c r="J277" s="272" t="s">
        <v>4736</v>
      </c>
      <c r="K277" s="268" t="s">
        <v>5191</v>
      </c>
      <c r="L277" s="276">
        <v>45351</v>
      </c>
      <c r="M277" s="277"/>
      <c r="N277" s="282">
        <v>1</v>
      </c>
      <c r="O277" s="284" t="s">
        <v>4787</v>
      </c>
      <c r="P277" s="280">
        <v>2131.8200000000002</v>
      </c>
      <c r="Q277" s="287">
        <v>45316</v>
      </c>
      <c r="R277" s="272"/>
      <c r="S277" s="272"/>
      <c r="T277" s="272"/>
      <c r="U277" s="272"/>
      <c r="V277" s="272"/>
      <c r="W277" s="272"/>
      <c r="X277" s="272"/>
      <c r="Y277" s="272"/>
      <c r="Z277" s="272"/>
      <c r="AA277" s="272"/>
    </row>
    <row r="278" spans="1:27">
      <c r="A278" s="273">
        <v>2</v>
      </c>
      <c r="B278" s="274" t="s">
        <v>4969</v>
      </c>
      <c r="C278" s="275">
        <v>45313</v>
      </c>
      <c r="D278" s="274" t="s">
        <v>4714</v>
      </c>
      <c r="E278" s="268" t="s">
        <v>4194</v>
      </c>
      <c r="F278" s="268" t="s">
        <v>4715</v>
      </c>
      <c r="G278" s="268" t="s">
        <v>4716</v>
      </c>
      <c r="H278" s="268" t="str">
        <f t="shared" si="1"/>
        <v>FRANCISCO PASTOR BEVIÁ</v>
      </c>
      <c r="I278" s="268" t="s">
        <v>4738</v>
      </c>
      <c r="J278" s="268" t="s">
        <v>4736</v>
      </c>
      <c r="K278" s="268" t="s">
        <v>5192</v>
      </c>
      <c r="L278" s="276">
        <v>45351</v>
      </c>
      <c r="M278" s="277"/>
      <c r="N278" s="282">
        <v>2</v>
      </c>
      <c r="O278" s="284" t="s">
        <v>4723</v>
      </c>
      <c r="P278" s="280">
        <v>1745.45</v>
      </c>
      <c r="Q278" s="287">
        <v>45313</v>
      </c>
      <c r="R278" s="272"/>
      <c r="S278" s="272"/>
      <c r="T278" s="272"/>
      <c r="U278" s="272"/>
      <c r="V278" s="272"/>
      <c r="W278" s="272"/>
      <c r="X278" s="272"/>
      <c r="Y278" s="272"/>
      <c r="Z278" s="272"/>
      <c r="AA278" s="272"/>
    </row>
    <row r="279" spans="1:27">
      <c r="A279" s="273">
        <v>2</v>
      </c>
      <c r="B279" s="274" t="s">
        <v>4969</v>
      </c>
      <c r="C279" s="275">
        <v>45328</v>
      </c>
      <c r="D279" s="274" t="s">
        <v>4714</v>
      </c>
      <c r="E279" s="268" t="s">
        <v>4788</v>
      </c>
      <c r="F279" s="268" t="s">
        <v>4715</v>
      </c>
      <c r="G279" s="268" t="s">
        <v>4716</v>
      </c>
      <c r="H279" s="268" t="str">
        <f t="shared" si="1"/>
        <v>ISABEL VAAMONDE SANCHEZ ANDRADE</v>
      </c>
      <c r="I279" s="268" t="s">
        <v>5088</v>
      </c>
      <c r="J279" s="268" t="s">
        <v>4790</v>
      </c>
      <c r="K279" s="268" t="s">
        <v>5193</v>
      </c>
      <c r="L279" s="276">
        <v>45351</v>
      </c>
      <c r="M279" s="277"/>
      <c r="N279" s="282">
        <v>2</v>
      </c>
      <c r="O279" s="284" t="s">
        <v>4792</v>
      </c>
      <c r="P279" s="280">
        <v>2627.27</v>
      </c>
      <c r="Q279" s="287">
        <v>45328</v>
      </c>
      <c r="R279" s="272"/>
      <c r="S279" s="272"/>
      <c r="T279" s="272"/>
      <c r="U279" s="272"/>
      <c r="V279" s="272"/>
      <c r="W279" s="272"/>
      <c r="X279" s="272"/>
      <c r="Y279" s="272"/>
      <c r="Z279" s="272"/>
      <c r="AA279" s="272"/>
    </row>
    <row r="280" spans="1:27">
      <c r="A280" s="273">
        <v>2</v>
      </c>
      <c r="B280" s="274" t="s">
        <v>4969</v>
      </c>
      <c r="C280" s="275">
        <v>45321</v>
      </c>
      <c r="D280" s="274" t="s">
        <v>4714</v>
      </c>
      <c r="E280" s="268" t="s">
        <v>3043</v>
      </c>
      <c r="F280" s="268" t="s">
        <v>4715</v>
      </c>
      <c r="G280" s="268" t="s">
        <v>4716</v>
      </c>
      <c r="H280" s="268" t="str">
        <f t="shared" si="1"/>
        <v>ANTONIO FRAILE AZPEITIA</v>
      </c>
      <c r="I280" s="268" t="s">
        <v>5194</v>
      </c>
      <c r="J280" s="272" t="s">
        <v>4718</v>
      </c>
      <c r="K280" s="268" t="s">
        <v>5195</v>
      </c>
      <c r="L280" s="276">
        <v>45351</v>
      </c>
      <c r="M280" s="277"/>
      <c r="N280" s="282">
        <v>2</v>
      </c>
      <c r="O280" s="284" t="s">
        <v>4720</v>
      </c>
      <c r="P280" s="280">
        <v>3433.4</v>
      </c>
      <c r="Q280" s="287">
        <v>45321</v>
      </c>
      <c r="R280" s="272"/>
      <c r="S280" s="272"/>
      <c r="T280" s="272"/>
      <c r="U280" s="272"/>
      <c r="V280" s="272"/>
      <c r="W280" s="272"/>
      <c r="X280" s="272"/>
      <c r="Y280" s="272"/>
      <c r="Z280" s="272"/>
      <c r="AA280" s="272"/>
    </row>
    <row r="281" spans="1:27">
      <c r="A281" s="273">
        <v>2</v>
      </c>
      <c r="B281" s="274" t="s">
        <v>4969</v>
      </c>
      <c r="C281" s="275">
        <v>45321</v>
      </c>
      <c r="D281" s="274" t="s">
        <v>4714</v>
      </c>
      <c r="E281" s="268" t="s">
        <v>3605</v>
      </c>
      <c r="F281" s="268" t="s">
        <v>4715</v>
      </c>
      <c r="G281" s="268" t="s">
        <v>4716</v>
      </c>
      <c r="H281" s="268" t="str">
        <f t="shared" si="1"/>
        <v>LAURA GARRIDO GARCÍA</v>
      </c>
      <c r="I281" s="268" t="s">
        <v>5196</v>
      </c>
      <c r="J281" s="272" t="s">
        <v>4718</v>
      </c>
      <c r="K281" s="268" t="s">
        <v>5197</v>
      </c>
      <c r="L281" s="276">
        <v>45351</v>
      </c>
      <c r="M281" s="277"/>
      <c r="N281" s="282">
        <v>2</v>
      </c>
      <c r="O281" s="284" t="s">
        <v>4740</v>
      </c>
      <c r="P281" s="280">
        <v>4222.7299999999996</v>
      </c>
      <c r="Q281" s="287">
        <v>45321</v>
      </c>
      <c r="R281" s="272"/>
      <c r="S281" s="272"/>
      <c r="T281" s="272"/>
      <c r="U281" s="272"/>
      <c r="V281" s="272"/>
      <c r="W281" s="272"/>
      <c r="X281" s="272"/>
      <c r="Y281" s="272"/>
      <c r="Z281" s="272"/>
      <c r="AA281" s="272"/>
    </row>
    <row r="282" spans="1:27">
      <c r="A282" s="273">
        <v>2</v>
      </c>
      <c r="B282" s="274" t="s">
        <v>4969</v>
      </c>
      <c r="C282" s="275">
        <v>45203</v>
      </c>
      <c r="D282" s="274" t="s">
        <v>4714</v>
      </c>
      <c r="E282" s="268" t="s">
        <v>2869</v>
      </c>
      <c r="F282" s="268" t="s">
        <v>4715</v>
      </c>
      <c r="G282" s="268" t="s">
        <v>4716</v>
      </c>
      <c r="H282" s="268" t="str">
        <f t="shared" si="1"/>
        <v>NO REUERDA ORL</v>
      </c>
      <c r="I282" s="268" t="s">
        <v>4743</v>
      </c>
      <c r="J282" s="272" t="s">
        <v>4736</v>
      </c>
      <c r="K282" s="268" t="s">
        <v>5198</v>
      </c>
      <c r="L282" s="276">
        <v>45351</v>
      </c>
      <c r="M282" s="283"/>
      <c r="N282" s="282">
        <v>2</v>
      </c>
      <c r="O282" s="284" t="s">
        <v>4723</v>
      </c>
      <c r="P282" s="280">
        <v>2780.91</v>
      </c>
      <c r="Q282" s="287">
        <v>45203</v>
      </c>
      <c r="R282" s="272"/>
      <c r="S282" s="272"/>
      <c r="T282" s="272"/>
      <c r="U282" s="272"/>
      <c r="V282" s="272"/>
      <c r="W282" s="272"/>
      <c r="X282" s="272"/>
      <c r="Y282" s="272"/>
      <c r="Z282" s="272"/>
      <c r="AA282" s="272"/>
    </row>
    <row r="283" spans="1:27">
      <c r="A283" s="273">
        <v>2</v>
      </c>
      <c r="B283" s="274" t="s">
        <v>4969</v>
      </c>
      <c r="C283" s="275">
        <v>45303</v>
      </c>
      <c r="D283" s="274" t="s">
        <v>4714</v>
      </c>
      <c r="E283" s="268" t="s">
        <v>2900</v>
      </c>
      <c r="F283" s="268" t="s">
        <v>4715</v>
      </c>
      <c r="G283" s="268" t="s">
        <v>4716</v>
      </c>
      <c r="H283" s="268" t="str">
        <f t="shared" si="1"/>
        <v>ANA QUINTANA SANJUAN</v>
      </c>
      <c r="I283" s="268" t="s">
        <v>5199</v>
      </c>
      <c r="J283" s="272" t="s">
        <v>4790</v>
      </c>
      <c r="K283" s="268" t="s">
        <v>5200</v>
      </c>
      <c r="L283" s="276">
        <v>45351</v>
      </c>
      <c r="M283" s="277"/>
      <c r="N283" s="282">
        <v>2</v>
      </c>
      <c r="O283" s="284" t="s">
        <v>4720</v>
      </c>
      <c r="P283" s="280">
        <v>3604.55</v>
      </c>
      <c r="Q283" s="287">
        <v>45303</v>
      </c>
      <c r="R283" s="272"/>
      <c r="S283" s="272"/>
      <c r="T283" s="272"/>
      <c r="U283" s="272"/>
      <c r="V283" s="272"/>
      <c r="W283" s="272"/>
      <c r="X283" s="272"/>
      <c r="Y283" s="272"/>
      <c r="Z283" s="272"/>
      <c r="AA283" s="272"/>
    </row>
    <row r="284" spans="1:27">
      <c r="A284" s="273">
        <v>2</v>
      </c>
      <c r="B284" s="274" t="s">
        <v>4969</v>
      </c>
      <c r="C284" s="275">
        <v>45300</v>
      </c>
      <c r="D284" s="274" t="s">
        <v>4714</v>
      </c>
      <c r="E284" s="268" t="s">
        <v>3011</v>
      </c>
      <c r="F284" s="268" t="s">
        <v>4715</v>
      </c>
      <c r="G284" s="268" t="s">
        <v>4716</v>
      </c>
      <c r="H284" s="268" t="str">
        <f t="shared" si="1"/>
        <v>ESTEFANÍA BERROCAL POSTIGO</v>
      </c>
      <c r="I284" s="268" t="s">
        <v>5201</v>
      </c>
      <c r="J284" s="272" t="s">
        <v>4729</v>
      </c>
      <c r="K284" s="268" t="s">
        <v>5202</v>
      </c>
      <c r="L284" s="276">
        <v>45351</v>
      </c>
      <c r="M284" s="283"/>
      <c r="N284" s="282">
        <v>2</v>
      </c>
      <c r="O284" s="284" t="s">
        <v>4720</v>
      </c>
      <c r="P284" s="280">
        <v>3786.36</v>
      </c>
      <c r="Q284" s="287">
        <v>45300</v>
      </c>
      <c r="R284" s="272"/>
      <c r="S284" s="272"/>
      <c r="T284" s="272"/>
      <c r="U284" s="272"/>
      <c r="V284" s="272"/>
      <c r="W284" s="272"/>
      <c r="X284" s="272"/>
      <c r="Y284" s="272"/>
      <c r="Z284" s="272"/>
      <c r="AA284" s="272"/>
    </row>
    <row r="285" spans="1:27">
      <c r="A285" s="273">
        <v>2</v>
      </c>
      <c r="B285" s="274" t="s">
        <v>4969</v>
      </c>
      <c r="C285" s="275">
        <v>45330</v>
      </c>
      <c r="D285" s="274" t="s">
        <v>4714</v>
      </c>
      <c r="E285" s="268" t="s">
        <v>3011</v>
      </c>
      <c r="F285" s="268" t="s">
        <v>4715</v>
      </c>
      <c r="G285" s="268" t="s">
        <v>4716</v>
      </c>
      <c r="H285" s="268" t="str">
        <f t="shared" si="1"/>
        <v>ESTEFANÍA BERROCAL POSTIGO</v>
      </c>
      <c r="I285" s="268" t="s">
        <v>5201</v>
      </c>
      <c r="J285" s="272" t="s">
        <v>4729</v>
      </c>
      <c r="K285" s="268" t="s">
        <v>5203</v>
      </c>
      <c r="L285" s="276">
        <v>45351</v>
      </c>
      <c r="M285" s="277"/>
      <c r="N285" s="282">
        <v>2</v>
      </c>
      <c r="O285" s="284" t="s">
        <v>4720</v>
      </c>
      <c r="P285" s="280">
        <v>3786.36</v>
      </c>
      <c r="Q285" s="287">
        <v>45330</v>
      </c>
      <c r="R285" s="272"/>
      <c r="S285" s="272"/>
      <c r="T285" s="272"/>
      <c r="U285" s="272"/>
      <c r="V285" s="272"/>
      <c r="W285" s="272"/>
      <c r="X285" s="272"/>
      <c r="Y285" s="272"/>
      <c r="Z285" s="272"/>
      <c r="AA285" s="272"/>
    </row>
    <row r="286" spans="1:27">
      <c r="A286" s="273">
        <v>2</v>
      </c>
      <c r="B286" s="274" t="s">
        <v>4969</v>
      </c>
      <c r="C286" s="275">
        <v>45309</v>
      </c>
      <c r="D286" s="274" t="s">
        <v>4714</v>
      </c>
      <c r="E286" s="268" t="s">
        <v>5204</v>
      </c>
      <c r="F286" s="268" t="s">
        <v>4715</v>
      </c>
      <c r="G286" s="268" t="s">
        <v>4716</v>
      </c>
      <c r="H286" s="268" t="str">
        <f t="shared" si="1"/>
        <v>CRISTINA MOLINA MARTÍNEZ</v>
      </c>
      <c r="I286" s="268" t="s">
        <v>5205</v>
      </c>
      <c r="J286" s="272" t="s">
        <v>4806</v>
      </c>
      <c r="K286" s="268" t="s">
        <v>5206</v>
      </c>
      <c r="L286" s="276">
        <v>45351</v>
      </c>
      <c r="M286" s="277"/>
      <c r="N286" s="282">
        <v>2</v>
      </c>
      <c r="O286" s="284" t="s">
        <v>4720</v>
      </c>
      <c r="P286" s="280">
        <v>3604.55</v>
      </c>
      <c r="Q286" s="287">
        <v>45309</v>
      </c>
      <c r="R286" s="272"/>
      <c r="S286" s="272"/>
      <c r="T286" s="272"/>
      <c r="U286" s="272"/>
      <c r="V286" s="272"/>
      <c r="W286" s="272"/>
      <c r="X286" s="272"/>
      <c r="Y286" s="272"/>
      <c r="Z286" s="272"/>
      <c r="AA286" s="272"/>
    </row>
    <row r="287" spans="1:27">
      <c r="A287" s="273">
        <v>3</v>
      </c>
      <c r="B287" s="274" t="s">
        <v>5207</v>
      </c>
      <c r="C287" s="275">
        <v>45327</v>
      </c>
      <c r="D287" s="274" t="s">
        <v>4714</v>
      </c>
      <c r="E287" s="268" t="s">
        <v>3043</v>
      </c>
      <c r="F287" s="268" t="s">
        <v>4715</v>
      </c>
      <c r="G287" s="268" t="s">
        <v>4716</v>
      </c>
      <c r="H287" s="268" t="str">
        <f t="shared" si="1"/>
        <v>ANTONIO BUENO RÍOS</v>
      </c>
      <c r="I287" s="268" t="s">
        <v>4793</v>
      </c>
      <c r="J287" s="272" t="s">
        <v>4822</v>
      </c>
      <c r="K287" s="268" t="s">
        <v>5208</v>
      </c>
      <c r="L287" s="276">
        <v>45352</v>
      </c>
      <c r="M287" s="277"/>
      <c r="N287" s="282">
        <v>2</v>
      </c>
      <c r="O287" s="284" t="s">
        <v>4720</v>
      </c>
      <c r="P287" s="280">
        <v>3424.31</v>
      </c>
      <c r="Q287" s="289">
        <v>45327</v>
      </c>
      <c r="R287" s="272"/>
      <c r="S287" s="272"/>
      <c r="T287" s="272"/>
      <c r="U287" s="272"/>
      <c r="V287" s="272"/>
      <c r="W287" s="272"/>
      <c r="X287" s="272"/>
      <c r="Y287" s="272"/>
      <c r="Z287" s="272"/>
      <c r="AA287" s="272"/>
    </row>
    <row r="288" spans="1:27">
      <c r="A288" s="273">
        <v>3</v>
      </c>
      <c r="B288" s="274" t="s">
        <v>5207</v>
      </c>
      <c r="C288" s="275">
        <v>45315</v>
      </c>
      <c r="D288" s="274" t="s">
        <v>4714</v>
      </c>
      <c r="E288" s="268" t="s">
        <v>3043</v>
      </c>
      <c r="F288" s="268" t="s">
        <v>4715</v>
      </c>
      <c r="G288" s="268" t="s">
        <v>4716</v>
      </c>
      <c r="H288" s="268" t="str">
        <f t="shared" si="1"/>
        <v>FRANCISCO J, REDONDO DEL BARCO</v>
      </c>
      <c r="I288" s="268" t="s">
        <v>4997</v>
      </c>
      <c r="J288" s="272" t="s">
        <v>4822</v>
      </c>
      <c r="K288" s="268" t="s">
        <v>5209</v>
      </c>
      <c r="L288" s="276">
        <v>45352</v>
      </c>
      <c r="M288" s="277"/>
      <c r="N288" s="282">
        <v>2</v>
      </c>
      <c r="O288" s="284" t="s">
        <v>4723</v>
      </c>
      <c r="P288" s="280">
        <v>2641.87</v>
      </c>
      <c r="Q288" s="289">
        <v>45315</v>
      </c>
      <c r="R288" s="272"/>
      <c r="S288" s="272"/>
      <c r="T288" s="272"/>
      <c r="U288" s="272"/>
      <c r="V288" s="272"/>
      <c r="W288" s="272"/>
      <c r="X288" s="272"/>
      <c r="Y288" s="272"/>
      <c r="Z288" s="272"/>
      <c r="AA288" s="272"/>
    </row>
    <row r="289" spans="1:27">
      <c r="A289" s="273">
        <v>3</v>
      </c>
      <c r="B289" s="274" t="s">
        <v>5207</v>
      </c>
      <c r="C289" s="275">
        <v>45337</v>
      </c>
      <c r="D289" s="274" t="s">
        <v>4714</v>
      </c>
      <c r="E289" s="268" t="s">
        <v>4892</v>
      </c>
      <c r="F289" s="268" t="s">
        <v>4715</v>
      </c>
      <c r="G289" s="268" t="s">
        <v>4716</v>
      </c>
      <c r="H289" s="268" t="str">
        <f t="shared" si="1"/>
        <v>BEATRIZ ARANA FERNÁNDEZ</v>
      </c>
      <c r="I289" s="268" t="s">
        <v>5210</v>
      </c>
      <c r="J289" s="272" t="s">
        <v>4718</v>
      </c>
      <c r="K289" s="268" t="s">
        <v>5211</v>
      </c>
      <c r="L289" s="276">
        <v>45352</v>
      </c>
      <c r="M289" s="277"/>
      <c r="N289" s="282">
        <v>1</v>
      </c>
      <c r="O289" s="284" t="s">
        <v>4723</v>
      </c>
      <c r="P289" s="280">
        <v>1668.18</v>
      </c>
      <c r="Q289" s="289">
        <v>45337</v>
      </c>
      <c r="R289" s="272"/>
      <c r="S289" s="272"/>
      <c r="T289" s="272"/>
      <c r="U289" s="272"/>
      <c r="V289" s="272"/>
      <c r="W289" s="272"/>
      <c r="X289" s="272"/>
      <c r="Y289" s="272"/>
      <c r="Z289" s="272"/>
      <c r="AA289" s="272"/>
    </row>
    <row r="290" spans="1:27">
      <c r="A290" s="273">
        <v>3</v>
      </c>
      <c r="B290" s="274" t="s">
        <v>5207</v>
      </c>
      <c r="C290" s="275">
        <v>45329</v>
      </c>
      <c r="D290" s="274" t="s">
        <v>4714</v>
      </c>
      <c r="E290" s="268" t="s">
        <v>2869</v>
      </c>
      <c r="F290" s="268" t="s">
        <v>4715</v>
      </c>
      <c r="G290" s="268" t="s">
        <v>4716</v>
      </c>
      <c r="H290" s="268" t="str">
        <f t="shared" si="1"/>
        <v>CRISTINA ESTHER TORREGROSA CARRASQUER</v>
      </c>
      <c r="I290" s="268" t="s">
        <v>5212</v>
      </c>
      <c r="J290" s="272" t="s">
        <v>4736</v>
      </c>
      <c r="K290" s="268" t="s">
        <v>5213</v>
      </c>
      <c r="L290" s="276">
        <v>45355</v>
      </c>
      <c r="M290" s="283"/>
      <c r="N290" s="282">
        <v>2</v>
      </c>
      <c r="O290" s="284" t="s">
        <v>4720</v>
      </c>
      <c r="P290" s="280">
        <v>3604.55</v>
      </c>
      <c r="Q290" s="289">
        <v>45329</v>
      </c>
      <c r="R290" s="272"/>
      <c r="S290" s="272"/>
      <c r="T290" s="272"/>
      <c r="U290" s="272"/>
      <c r="V290" s="272"/>
      <c r="W290" s="272"/>
      <c r="X290" s="272"/>
      <c r="Y290" s="272"/>
      <c r="Z290" s="272"/>
      <c r="AA290" s="272"/>
    </row>
    <row r="291" spans="1:27">
      <c r="A291" s="273">
        <v>3</v>
      </c>
      <c r="B291" s="274" t="s">
        <v>5207</v>
      </c>
      <c r="C291" s="275">
        <v>45309</v>
      </c>
      <c r="D291" s="274" t="s">
        <v>4714</v>
      </c>
      <c r="E291" s="268" t="s">
        <v>4780</v>
      </c>
      <c r="F291" s="268" t="s">
        <v>4715</v>
      </c>
      <c r="G291" s="268" t="s">
        <v>4716</v>
      </c>
      <c r="H291" s="268" t="str">
        <f t="shared" si="1"/>
        <v>MARÍA JESÚS CORNEJO DOMÍNGUEZ</v>
      </c>
      <c r="I291" s="268" t="s">
        <v>4781</v>
      </c>
      <c r="J291" s="272" t="s">
        <v>4747</v>
      </c>
      <c r="K291" s="268" t="s">
        <v>5214</v>
      </c>
      <c r="L291" s="276">
        <v>45355</v>
      </c>
      <c r="M291" s="277"/>
      <c r="N291" s="282">
        <v>2</v>
      </c>
      <c r="O291" s="284" t="s">
        <v>4723</v>
      </c>
      <c r="P291" s="280">
        <v>2776.36</v>
      </c>
      <c r="Q291" s="289">
        <v>45309</v>
      </c>
      <c r="R291" s="272"/>
      <c r="S291" s="272"/>
      <c r="T291" s="272"/>
      <c r="U291" s="272"/>
      <c r="V291" s="272"/>
      <c r="W291" s="272"/>
      <c r="X291" s="272"/>
      <c r="Y291" s="272"/>
      <c r="Z291" s="272"/>
      <c r="AA291" s="272"/>
    </row>
    <row r="292" spans="1:27">
      <c r="A292" s="273">
        <v>3</v>
      </c>
      <c r="B292" s="274" t="s">
        <v>5207</v>
      </c>
      <c r="C292" s="275">
        <v>45307</v>
      </c>
      <c r="D292" s="274" t="s">
        <v>4714</v>
      </c>
      <c r="E292" s="268" t="s">
        <v>4780</v>
      </c>
      <c r="F292" s="268" t="s">
        <v>4715</v>
      </c>
      <c r="G292" s="268" t="s">
        <v>4716</v>
      </c>
      <c r="H292" s="268" t="str">
        <f t="shared" si="1"/>
        <v>MARÍA JESÚS CORNEJO DOMÍNGUEZ</v>
      </c>
      <c r="I292" s="268" t="s">
        <v>4781</v>
      </c>
      <c r="J292" s="272" t="s">
        <v>4747</v>
      </c>
      <c r="K292" s="268" t="s">
        <v>5215</v>
      </c>
      <c r="L292" s="276">
        <v>45355</v>
      </c>
      <c r="M292" s="277"/>
      <c r="N292" s="282">
        <v>2</v>
      </c>
      <c r="O292" s="284" t="s">
        <v>4723</v>
      </c>
      <c r="P292" s="280">
        <v>2780.91</v>
      </c>
      <c r="Q292" s="289">
        <v>45307</v>
      </c>
      <c r="R292" s="272"/>
      <c r="S292" s="272"/>
      <c r="T292" s="272"/>
      <c r="U292" s="272"/>
      <c r="V292" s="272"/>
      <c r="W292" s="272"/>
      <c r="X292" s="272"/>
      <c r="Y292" s="272"/>
      <c r="Z292" s="272"/>
      <c r="AA292" s="272"/>
    </row>
    <row r="293" spans="1:27">
      <c r="A293" s="273">
        <v>3</v>
      </c>
      <c r="B293" s="274" t="s">
        <v>5207</v>
      </c>
      <c r="C293" s="275">
        <v>45261</v>
      </c>
      <c r="D293" s="285" t="s">
        <v>4714</v>
      </c>
      <c r="E293" s="268" t="s">
        <v>2886</v>
      </c>
      <c r="F293" s="268" t="s">
        <v>4715</v>
      </c>
      <c r="G293" s="268" t="s">
        <v>4716</v>
      </c>
      <c r="H293" s="268" t="str">
        <f t="shared" si="1"/>
        <v>PALOMA PINACHO MARTÍNEZ</v>
      </c>
      <c r="I293" s="268" t="s">
        <v>4853</v>
      </c>
      <c r="J293" s="268" t="s">
        <v>4718</v>
      </c>
      <c r="K293" s="268" t="s">
        <v>5216</v>
      </c>
      <c r="L293" s="276">
        <v>45355</v>
      </c>
      <c r="M293" s="277"/>
      <c r="N293" s="282">
        <v>2</v>
      </c>
      <c r="O293" s="284" t="s">
        <v>4792</v>
      </c>
      <c r="P293" s="280">
        <v>2000</v>
      </c>
      <c r="Q293" s="289">
        <v>45261</v>
      </c>
      <c r="R293" s="272"/>
      <c r="S293" s="272"/>
      <c r="T293" s="272"/>
      <c r="U293" s="272"/>
      <c r="V293" s="272"/>
      <c r="W293" s="272"/>
      <c r="X293" s="272"/>
      <c r="Y293" s="272"/>
      <c r="Z293" s="272"/>
      <c r="AA293" s="272"/>
    </row>
    <row r="294" spans="1:27">
      <c r="A294" s="273">
        <v>3</v>
      </c>
      <c r="B294" s="274" t="s">
        <v>5207</v>
      </c>
      <c r="C294" s="275">
        <v>45315</v>
      </c>
      <c r="D294" s="274" t="s">
        <v>4714</v>
      </c>
      <c r="E294" s="268" t="s">
        <v>2921</v>
      </c>
      <c r="F294" s="268" t="s">
        <v>4715</v>
      </c>
      <c r="G294" s="268" t="s">
        <v>4716</v>
      </c>
      <c r="H294" s="268" t="str">
        <f t="shared" si="1"/>
        <v>RAIMON GARCÍA CHILLERÓN</v>
      </c>
      <c r="I294" s="268" t="s">
        <v>5217</v>
      </c>
      <c r="J294" s="272" t="s">
        <v>4910</v>
      </c>
      <c r="K294" s="268" t="s">
        <v>5218</v>
      </c>
      <c r="L294" s="276">
        <v>45355</v>
      </c>
      <c r="M294" s="277"/>
      <c r="N294" s="282">
        <v>2</v>
      </c>
      <c r="O294" s="284" t="s">
        <v>4720</v>
      </c>
      <c r="P294" s="280">
        <v>3424.32</v>
      </c>
      <c r="Q294" s="289">
        <v>45315</v>
      </c>
      <c r="R294" s="272"/>
      <c r="S294" s="272"/>
      <c r="T294" s="272"/>
      <c r="U294" s="272"/>
      <c r="V294" s="272"/>
      <c r="W294" s="272"/>
      <c r="X294" s="272"/>
      <c r="Y294" s="272"/>
      <c r="Z294" s="272"/>
      <c r="AA294" s="272"/>
    </row>
    <row r="295" spans="1:27">
      <c r="A295" s="273">
        <v>3</v>
      </c>
      <c r="B295" s="274" t="s">
        <v>5207</v>
      </c>
      <c r="C295" s="275">
        <v>45324</v>
      </c>
      <c r="D295" s="274" t="s">
        <v>4714</v>
      </c>
      <c r="E295" s="268" t="s">
        <v>4194</v>
      </c>
      <c r="F295" s="268" t="s">
        <v>4715</v>
      </c>
      <c r="G295" s="268" t="s">
        <v>4716</v>
      </c>
      <c r="H295" s="268" t="str">
        <f t="shared" si="1"/>
        <v>ALICIA MATEO ESPINOSA</v>
      </c>
      <c r="I295" s="268" t="s">
        <v>4848</v>
      </c>
      <c r="J295" s="272" t="s">
        <v>4736</v>
      </c>
      <c r="K295" s="268" t="s">
        <v>5219</v>
      </c>
      <c r="L295" s="276">
        <v>45356</v>
      </c>
      <c r="M295" s="277"/>
      <c r="N295" s="282">
        <v>2</v>
      </c>
      <c r="O295" s="284" t="s">
        <v>4723</v>
      </c>
      <c r="P295" s="280">
        <v>2780.91</v>
      </c>
      <c r="Q295" s="289">
        <v>45324</v>
      </c>
      <c r="R295" s="272"/>
      <c r="S295" s="272"/>
      <c r="T295" s="272"/>
      <c r="U295" s="272"/>
      <c r="V295" s="272"/>
      <c r="W295" s="272"/>
      <c r="X295" s="272"/>
      <c r="Y295" s="272"/>
      <c r="Z295" s="272"/>
      <c r="AA295" s="272"/>
    </row>
    <row r="296" spans="1:27">
      <c r="A296" s="273">
        <v>3</v>
      </c>
      <c r="B296" s="274" t="s">
        <v>5207</v>
      </c>
      <c r="C296" s="275">
        <v>45330</v>
      </c>
      <c r="D296" s="274" t="s">
        <v>4714</v>
      </c>
      <c r="E296" s="268" t="s">
        <v>4820</v>
      </c>
      <c r="F296" s="268" t="s">
        <v>4715</v>
      </c>
      <c r="G296" s="268" t="s">
        <v>4716</v>
      </c>
      <c r="H296" s="268" t="str">
        <f t="shared" si="1"/>
        <v>JAVIER GARCÍA GÓMEZ</v>
      </c>
      <c r="I296" s="268" t="s">
        <v>5220</v>
      </c>
      <c r="J296" s="272" t="s">
        <v>4822</v>
      </c>
      <c r="K296" s="268" t="s">
        <v>5221</v>
      </c>
      <c r="L296" s="276">
        <v>45356</v>
      </c>
      <c r="M296" s="277"/>
      <c r="N296" s="282">
        <v>2</v>
      </c>
      <c r="O296" s="284" t="s">
        <v>4720</v>
      </c>
      <c r="P296" s="280">
        <v>3604.55</v>
      </c>
      <c r="Q296" s="289">
        <v>45330</v>
      </c>
      <c r="R296" s="272"/>
      <c r="S296" s="272"/>
      <c r="T296" s="272"/>
      <c r="U296" s="272"/>
      <c r="V296" s="272"/>
      <c r="W296" s="272"/>
      <c r="X296" s="272"/>
      <c r="Y296" s="272"/>
      <c r="Z296" s="272"/>
      <c r="AA296" s="272"/>
    </row>
    <row r="297" spans="1:27">
      <c r="A297" s="273">
        <v>3</v>
      </c>
      <c r="B297" s="274" t="s">
        <v>5207</v>
      </c>
      <c r="C297" s="275">
        <v>45321</v>
      </c>
      <c r="D297" s="274" t="s">
        <v>4714</v>
      </c>
      <c r="E297" s="268" t="s">
        <v>3193</v>
      </c>
      <c r="F297" s="268" t="s">
        <v>4715</v>
      </c>
      <c r="G297" s="268" t="s">
        <v>4716</v>
      </c>
      <c r="H297" s="268" t="str">
        <f t="shared" si="1"/>
        <v>Eviatar Friedlander</v>
      </c>
      <c r="I297" s="268" t="s">
        <v>4890</v>
      </c>
      <c r="J297" s="272" t="s">
        <v>4718</v>
      </c>
      <c r="K297" s="268" t="s">
        <v>5222</v>
      </c>
      <c r="L297" s="276">
        <v>45356</v>
      </c>
      <c r="M297" s="277"/>
      <c r="N297" s="282">
        <v>2</v>
      </c>
      <c r="O297" s="284" t="s">
        <v>4720</v>
      </c>
      <c r="P297" s="280">
        <v>3604.55</v>
      </c>
      <c r="Q297" s="289">
        <v>45321</v>
      </c>
      <c r="R297" s="272"/>
      <c r="S297" s="272"/>
      <c r="T297" s="272"/>
      <c r="U297" s="272"/>
      <c r="V297" s="272"/>
      <c r="W297" s="272"/>
      <c r="X297" s="272"/>
      <c r="Y297" s="272"/>
      <c r="Z297" s="272"/>
      <c r="AA297" s="272"/>
    </row>
    <row r="298" spans="1:27">
      <c r="A298" s="273">
        <v>3</v>
      </c>
      <c r="B298" s="274" t="s">
        <v>5207</v>
      </c>
      <c r="C298" s="275">
        <v>45338</v>
      </c>
      <c r="D298" s="274" t="s">
        <v>4714</v>
      </c>
      <c r="E298" s="268" t="s">
        <v>2900</v>
      </c>
      <c r="F298" s="268" t="s">
        <v>4715</v>
      </c>
      <c r="G298" s="268" t="s">
        <v>4716</v>
      </c>
      <c r="H298" s="268" t="str">
        <f t="shared" si="1"/>
        <v>CELIA LENDORIO OTERO</v>
      </c>
      <c r="I298" s="268" t="s">
        <v>5223</v>
      </c>
      <c r="J298" s="272" t="s">
        <v>4790</v>
      </c>
      <c r="K298" s="268" t="s">
        <v>5224</v>
      </c>
      <c r="L298" s="276">
        <v>45356</v>
      </c>
      <c r="M298" s="277"/>
      <c r="N298" s="282">
        <v>2</v>
      </c>
      <c r="O298" s="284" t="s">
        <v>4723</v>
      </c>
      <c r="P298" s="280">
        <v>2642.27</v>
      </c>
      <c r="Q298" s="289">
        <v>45338</v>
      </c>
      <c r="R298" s="272"/>
      <c r="S298" s="272"/>
      <c r="T298" s="272"/>
      <c r="U298" s="272"/>
      <c r="V298" s="272"/>
      <c r="W298" s="272"/>
      <c r="X298" s="272"/>
      <c r="Y298" s="272"/>
      <c r="Z298" s="272"/>
      <c r="AA298" s="272"/>
    </row>
    <row r="299" spans="1:27">
      <c r="A299" s="273">
        <v>3</v>
      </c>
      <c r="B299" s="274" t="s">
        <v>5207</v>
      </c>
      <c r="C299" s="275">
        <v>45307</v>
      </c>
      <c r="D299" s="274" t="s">
        <v>4714</v>
      </c>
      <c r="E299" s="268" t="s">
        <v>5225</v>
      </c>
      <c r="F299" s="268" t="s">
        <v>4715</v>
      </c>
      <c r="G299" s="268" t="s">
        <v>4716</v>
      </c>
      <c r="H299" s="268" t="str">
        <f t="shared" si="1"/>
        <v>CARLOS VIDAL REDONDO</v>
      </c>
      <c r="I299" s="268" t="s">
        <v>4828</v>
      </c>
      <c r="J299" s="268" t="s">
        <v>4790</v>
      </c>
      <c r="K299" s="268" t="s">
        <v>5226</v>
      </c>
      <c r="L299" s="276">
        <v>45356</v>
      </c>
      <c r="M299" s="283"/>
      <c r="N299" s="282">
        <v>2</v>
      </c>
      <c r="O299" s="284" t="s">
        <v>4723</v>
      </c>
      <c r="P299" s="280">
        <v>2780.91</v>
      </c>
      <c r="Q299" s="289">
        <v>45307</v>
      </c>
      <c r="R299" s="272"/>
      <c r="S299" s="272"/>
      <c r="T299" s="272"/>
      <c r="U299" s="272"/>
      <c r="V299" s="272"/>
      <c r="W299" s="272"/>
      <c r="X299" s="272"/>
      <c r="Y299" s="272"/>
      <c r="Z299" s="272"/>
      <c r="AA299" s="272"/>
    </row>
    <row r="300" spans="1:27">
      <c r="A300" s="273">
        <v>3</v>
      </c>
      <c r="B300" s="274" t="s">
        <v>5207</v>
      </c>
      <c r="C300" s="275">
        <v>45321</v>
      </c>
      <c r="D300" s="274" t="s">
        <v>4714</v>
      </c>
      <c r="E300" s="268" t="s">
        <v>3529</v>
      </c>
      <c r="F300" s="268" t="s">
        <v>4715</v>
      </c>
      <c r="G300" s="268" t="s">
        <v>4716</v>
      </c>
      <c r="H300" s="268" t="str">
        <f t="shared" si="1"/>
        <v>ESTEFANÍA BERROCAL POSTIGO</v>
      </c>
      <c r="I300" s="268" t="s">
        <v>5201</v>
      </c>
      <c r="J300" s="272" t="s">
        <v>4729</v>
      </c>
      <c r="K300" s="268" t="s">
        <v>5227</v>
      </c>
      <c r="L300" s="276">
        <v>45356</v>
      </c>
      <c r="M300" s="277"/>
      <c r="N300" s="282">
        <v>2</v>
      </c>
      <c r="O300" s="284" t="s">
        <v>4723</v>
      </c>
      <c r="P300" s="280">
        <v>2703.64</v>
      </c>
      <c r="Q300" s="289">
        <v>45321</v>
      </c>
      <c r="R300" s="272"/>
      <c r="S300" s="272"/>
      <c r="T300" s="272"/>
      <c r="U300" s="272"/>
      <c r="V300" s="272"/>
      <c r="W300" s="272"/>
      <c r="X300" s="272"/>
      <c r="Y300" s="272"/>
      <c r="Z300" s="272"/>
      <c r="AA300" s="272"/>
    </row>
    <row r="301" spans="1:27">
      <c r="A301" s="273">
        <v>3</v>
      </c>
      <c r="B301" s="274" t="s">
        <v>5207</v>
      </c>
      <c r="C301" s="275">
        <v>45279</v>
      </c>
      <c r="D301" s="274" t="s">
        <v>4714</v>
      </c>
      <c r="E301" s="268" t="s">
        <v>4804</v>
      </c>
      <c r="F301" s="268" t="s">
        <v>4715</v>
      </c>
      <c r="G301" s="268" t="s">
        <v>4716</v>
      </c>
      <c r="H301" s="268" t="str">
        <f t="shared" si="1"/>
        <v>JOSEP MARIA ORRIT ARENAS</v>
      </c>
      <c r="I301" s="268" t="s">
        <v>5228</v>
      </c>
      <c r="J301" s="272" t="s">
        <v>4806</v>
      </c>
      <c r="K301" s="268" t="s">
        <v>5229</v>
      </c>
      <c r="L301" s="276">
        <v>45356</v>
      </c>
      <c r="M301" s="283"/>
      <c r="N301" s="282">
        <v>2</v>
      </c>
      <c r="O301" s="284" t="s">
        <v>4792</v>
      </c>
      <c r="P301" s="280">
        <v>2835.91</v>
      </c>
      <c r="Q301" s="289">
        <v>45279</v>
      </c>
      <c r="R301" s="272"/>
      <c r="S301" s="272"/>
      <c r="T301" s="272"/>
      <c r="U301" s="272"/>
      <c r="V301" s="272"/>
      <c r="W301" s="272"/>
      <c r="X301" s="272"/>
      <c r="Y301" s="272"/>
      <c r="Z301" s="272"/>
      <c r="AA301" s="272"/>
    </row>
    <row r="302" spans="1:27">
      <c r="A302" s="273">
        <v>3</v>
      </c>
      <c r="B302" s="274" t="s">
        <v>5207</v>
      </c>
      <c r="C302" s="275">
        <v>45331</v>
      </c>
      <c r="D302" s="274" t="s">
        <v>4714</v>
      </c>
      <c r="E302" s="268" t="s">
        <v>4820</v>
      </c>
      <c r="F302" s="268" t="s">
        <v>4715</v>
      </c>
      <c r="G302" s="268" t="s">
        <v>4716</v>
      </c>
      <c r="H302" s="268" t="str">
        <f t="shared" si="1"/>
        <v>RAED MAQUED EL MAQUED</v>
      </c>
      <c r="I302" s="268" t="s">
        <v>4821</v>
      </c>
      <c r="J302" s="272" t="s">
        <v>4822</v>
      </c>
      <c r="K302" s="268" t="s">
        <v>5230</v>
      </c>
      <c r="L302" s="276">
        <v>45357</v>
      </c>
      <c r="M302" s="283"/>
      <c r="N302" s="282">
        <v>2</v>
      </c>
      <c r="O302" s="284" t="s">
        <v>4720</v>
      </c>
      <c r="P302" s="280">
        <v>3604.55</v>
      </c>
      <c r="Q302" s="289">
        <v>45331</v>
      </c>
      <c r="R302" s="272"/>
      <c r="S302" s="272"/>
      <c r="T302" s="272"/>
      <c r="U302" s="272"/>
      <c r="V302" s="272"/>
      <c r="W302" s="272"/>
      <c r="X302" s="272"/>
      <c r="Y302" s="272"/>
      <c r="Z302" s="272"/>
      <c r="AA302" s="272"/>
    </row>
    <row r="303" spans="1:27">
      <c r="A303" s="273">
        <v>3</v>
      </c>
      <c r="B303" s="274" t="s">
        <v>5207</v>
      </c>
      <c r="C303" s="275">
        <v>45315</v>
      </c>
      <c r="D303" s="274" t="s">
        <v>4714</v>
      </c>
      <c r="E303" s="268" t="s">
        <v>4749</v>
      </c>
      <c r="F303" s="268" t="s">
        <v>4715</v>
      </c>
      <c r="G303" s="268" t="s">
        <v>4716</v>
      </c>
      <c r="H303" s="268" t="str">
        <f t="shared" si="1"/>
        <v>NO REUERDA ORL</v>
      </c>
      <c r="I303" s="268" t="s">
        <v>4743</v>
      </c>
      <c r="J303" s="272" t="s">
        <v>4747</v>
      </c>
      <c r="K303" s="268" t="s">
        <v>5231</v>
      </c>
      <c r="L303" s="276">
        <v>45357</v>
      </c>
      <c r="M303" s="283"/>
      <c r="N303" s="282">
        <v>2</v>
      </c>
      <c r="O303" s="284" t="s">
        <v>4723</v>
      </c>
      <c r="P303" s="280">
        <v>3181.82</v>
      </c>
      <c r="Q303" s="289">
        <v>45315</v>
      </c>
      <c r="R303" s="272"/>
      <c r="S303" s="272"/>
      <c r="T303" s="272"/>
      <c r="U303" s="272"/>
      <c r="V303" s="272"/>
      <c r="W303" s="272"/>
      <c r="X303" s="272"/>
      <c r="Y303" s="272"/>
      <c r="Z303" s="272"/>
      <c r="AA303" s="272"/>
    </row>
    <row r="304" spans="1:27">
      <c r="A304" s="273">
        <v>3</v>
      </c>
      <c r="B304" s="274" t="s">
        <v>5207</v>
      </c>
      <c r="C304" s="275">
        <v>45317</v>
      </c>
      <c r="D304" s="274" t="s">
        <v>4714</v>
      </c>
      <c r="E304" s="268" t="s">
        <v>2972</v>
      </c>
      <c r="F304" s="268" t="s">
        <v>4715</v>
      </c>
      <c r="G304" s="268" t="s">
        <v>4716</v>
      </c>
      <c r="H304" s="268" t="str">
        <f t="shared" si="1"/>
        <v>JESÚS GARCÍA AHIJADO</v>
      </c>
      <c r="I304" s="268" t="s">
        <v>5232</v>
      </c>
      <c r="J304" s="272" t="s">
        <v>4822</v>
      </c>
      <c r="K304" s="268" t="s">
        <v>5233</v>
      </c>
      <c r="L304" s="276">
        <v>45357</v>
      </c>
      <c r="M304" s="283"/>
      <c r="N304" s="282">
        <v>2</v>
      </c>
      <c r="O304" s="284" t="s">
        <v>4720</v>
      </c>
      <c r="P304" s="280">
        <v>3424.32</v>
      </c>
      <c r="Q304" s="289">
        <v>45317</v>
      </c>
      <c r="R304" s="272"/>
      <c r="S304" s="272"/>
      <c r="T304" s="272"/>
      <c r="U304" s="272"/>
      <c r="V304" s="272"/>
      <c r="W304" s="272"/>
      <c r="X304" s="272"/>
      <c r="Y304" s="272"/>
      <c r="Z304" s="272"/>
      <c r="AA304" s="272"/>
    </row>
    <row r="305" spans="1:27">
      <c r="A305" s="273">
        <v>3</v>
      </c>
      <c r="B305" s="274" t="s">
        <v>5207</v>
      </c>
      <c r="C305" s="275">
        <v>45320</v>
      </c>
      <c r="D305" s="274" t="s">
        <v>4714</v>
      </c>
      <c r="E305" s="268" t="s">
        <v>4804</v>
      </c>
      <c r="F305" s="268" t="s">
        <v>4715</v>
      </c>
      <c r="G305" s="268" t="s">
        <v>4716</v>
      </c>
      <c r="H305" s="268" t="str">
        <f t="shared" si="1"/>
        <v>ELENA DE DIOS ORAN</v>
      </c>
      <c r="I305" s="268" t="s">
        <v>5234</v>
      </c>
      <c r="J305" s="272" t="s">
        <v>4806</v>
      </c>
      <c r="K305" s="268" t="s">
        <v>5235</v>
      </c>
      <c r="L305" s="276">
        <v>45357</v>
      </c>
      <c r="M305" s="283"/>
      <c r="N305" s="282">
        <v>2</v>
      </c>
      <c r="O305" s="284" t="s">
        <v>4723</v>
      </c>
      <c r="P305" s="280">
        <v>2834.62</v>
      </c>
      <c r="Q305" s="289">
        <v>45320</v>
      </c>
      <c r="R305" s="272"/>
      <c r="S305" s="272"/>
      <c r="T305" s="272"/>
      <c r="U305" s="272"/>
      <c r="V305" s="272"/>
      <c r="W305" s="272"/>
      <c r="X305" s="272"/>
      <c r="Y305" s="272"/>
      <c r="Z305" s="272"/>
      <c r="AA305" s="272"/>
    </row>
    <row r="306" spans="1:27">
      <c r="A306" s="273">
        <v>3</v>
      </c>
      <c r="B306" s="274" t="s">
        <v>5207</v>
      </c>
      <c r="C306" s="275">
        <v>45314</v>
      </c>
      <c r="D306" s="274" t="s">
        <v>4714</v>
      </c>
      <c r="E306" s="268" t="s">
        <v>4734</v>
      </c>
      <c r="F306" s="268" t="s">
        <v>4715</v>
      </c>
      <c r="G306" s="268" t="s">
        <v>4716</v>
      </c>
      <c r="H306" s="268" t="str">
        <f t="shared" si="1"/>
        <v>ISABEL POLO TOMÁS</v>
      </c>
      <c r="I306" s="268" t="s">
        <v>4912</v>
      </c>
      <c r="J306" s="272" t="s">
        <v>4736</v>
      </c>
      <c r="K306" s="268" t="s">
        <v>5236</v>
      </c>
      <c r="L306" s="276">
        <v>45358</v>
      </c>
      <c r="M306" s="277"/>
      <c r="N306" s="282">
        <v>2</v>
      </c>
      <c r="O306" s="284" t="s">
        <v>4720</v>
      </c>
      <c r="P306" s="280">
        <v>3407.89</v>
      </c>
      <c r="Q306" s="289">
        <v>45314</v>
      </c>
      <c r="R306" s="272"/>
      <c r="S306" s="272"/>
      <c r="T306" s="272"/>
      <c r="U306" s="272"/>
      <c r="V306" s="272"/>
      <c r="W306" s="272"/>
      <c r="X306" s="272"/>
      <c r="Y306" s="272"/>
      <c r="Z306" s="272"/>
      <c r="AA306" s="272"/>
    </row>
    <row r="307" spans="1:27">
      <c r="A307" s="273">
        <v>3</v>
      </c>
      <c r="B307" s="274" t="s">
        <v>5207</v>
      </c>
      <c r="C307" s="275">
        <v>45341</v>
      </c>
      <c r="D307" s="274" t="s">
        <v>4714</v>
      </c>
      <c r="E307" s="268" t="s">
        <v>4820</v>
      </c>
      <c r="F307" s="268" t="s">
        <v>4715</v>
      </c>
      <c r="G307" s="268" t="s">
        <v>4716</v>
      </c>
      <c r="H307" s="268" t="str">
        <f t="shared" si="1"/>
        <v>JAVIER GARCÍA GÓMEZ</v>
      </c>
      <c r="I307" s="268" t="s">
        <v>5220</v>
      </c>
      <c r="J307" s="272" t="s">
        <v>4822</v>
      </c>
      <c r="K307" s="268" t="s">
        <v>5237</v>
      </c>
      <c r="L307" s="276">
        <v>45358</v>
      </c>
      <c r="M307" s="277"/>
      <c r="N307" s="282">
        <v>2</v>
      </c>
      <c r="O307" s="284" t="s">
        <v>4740</v>
      </c>
      <c r="P307" s="280">
        <v>4222.7299999999996</v>
      </c>
      <c r="Q307" s="289">
        <v>45341</v>
      </c>
      <c r="R307" s="272"/>
      <c r="S307" s="272"/>
      <c r="T307" s="272"/>
      <c r="U307" s="272"/>
      <c r="V307" s="272"/>
      <c r="W307" s="272"/>
      <c r="X307" s="272"/>
      <c r="Y307" s="272"/>
      <c r="Z307" s="272"/>
      <c r="AA307" s="272"/>
    </row>
    <row r="308" spans="1:27">
      <c r="A308" s="273">
        <v>3</v>
      </c>
      <c r="B308" s="274" t="s">
        <v>5207</v>
      </c>
      <c r="C308" s="275">
        <v>45278</v>
      </c>
      <c r="D308" s="274" t="s">
        <v>4714</v>
      </c>
      <c r="E308" s="268" t="s">
        <v>4892</v>
      </c>
      <c r="F308" s="268" t="s">
        <v>4715</v>
      </c>
      <c r="G308" s="268" t="s">
        <v>4716</v>
      </c>
      <c r="H308" s="268" t="str">
        <f t="shared" si="1"/>
        <v>Alejandro Harguindey Antoli-Candela</v>
      </c>
      <c r="I308" s="268" t="s">
        <v>4802</v>
      </c>
      <c r="J308" s="272" t="s">
        <v>4973</v>
      </c>
      <c r="K308" s="268" t="s">
        <v>5238</v>
      </c>
      <c r="L308" s="276">
        <v>45358</v>
      </c>
      <c r="M308" s="277"/>
      <c r="N308" s="282">
        <v>2</v>
      </c>
      <c r="O308" s="284" t="s">
        <v>4787</v>
      </c>
      <c r="P308" s="280">
        <v>4427.2700000000004</v>
      </c>
      <c r="Q308" s="289">
        <v>45278</v>
      </c>
      <c r="R308" s="272"/>
      <c r="S308" s="272"/>
      <c r="T308" s="272"/>
      <c r="U308" s="272"/>
      <c r="V308" s="272"/>
      <c r="W308" s="272"/>
      <c r="X308" s="272"/>
      <c r="Y308" s="272"/>
      <c r="Z308" s="272"/>
      <c r="AA308" s="272"/>
    </row>
    <row r="309" spans="1:27">
      <c r="A309" s="273">
        <v>3</v>
      </c>
      <c r="B309" s="274" t="s">
        <v>5207</v>
      </c>
      <c r="C309" s="275">
        <v>45321</v>
      </c>
      <c r="D309" s="285" t="s">
        <v>4714</v>
      </c>
      <c r="E309" s="268" t="s">
        <v>2869</v>
      </c>
      <c r="F309" s="268" t="s">
        <v>4715</v>
      </c>
      <c r="G309" s="268" t="s">
        <v>4716</v>
      </c>
      <c r="H309" s="268" t="str">
        <f t="shared" si="1"/>
        <v>MARÍA AGUSTINA SEVILLA GARCÍA</v>
      </c>
      <c r="I309" s="268" t="s">
        <v>4812</v>
      </c>
      <c r="J309" s="268" t="s">
        <v>4736</v>
      </c>
      <c r="K309" s="268" t="s">
        <v>5239</v>
      </c>
      <c r="L309" s="276">
        <v>45358</v>
      </c>
      <c r="M309" s="277"/>
      <c r="N309" s="282">
        <v>2</v>
      </c>
      <c r="O309" s="284" t="s">
        <v>4723</v>
      </c>
      <c r="P309" s="280">
        <v>2641.82</v>
      </c>
      <c r="Q309" s="289">
        <v>45321</v>
      </c>
      <c r="R309" s="272"/>
      <c r="S309" s="272"/>
      <c r="T309" s="272"/>
      <c r="U309" s="272"/>
      <c r="V309" s="272"/>
      <c r="W309" s="272"/>
      <c r="X309" s="272"/>
      <c r="Y309" s="272"/>
      <c r="Z309" s="272"/>
      <c r="AA309" s="272"/>
    </row>
    <row r="310" spans="1:27">
      <c r="A310" s="273">
        <v>3</v>
      </c>
      <c r="B310" s="274" t="s">
        <v>5207</v>
      </c>
      <c r="C310" s="275">
        <v>45320</v>
      </c>
      <c r="D310" s="274" t="s">
        <v>4714</v>
      </c>
      <c r="E310" s="268" t="s">
        <v>2900</v>
      </c>
      <c r="F310" s="268" t="s">
        <v>4715</v>
      </c>
      <c r="G310" s="268" t="s">
        <v>4716</v>
      </c>
      <c r="H310" s="268" t="str">
        <f t="shared" si="1"/>
        <v>SOCORRO TEDÍN GARCÍA</v>
      </c>
      <c r="I310" s="268" t="s">
        <v>5240</v>
      </c>
      <c r="J310" s="272" t="s">
        <v>4790</v>
      </c>
      <c r="K310" s="268" t="s">
        <v>5241</v>
      </c>
      <c r="L310" s="276">
        <v>45358</v>
      </c>
      <c r="M310" s="277"/>
      <c r="N310" s="282">
        <v>2</v>
      </c>
      <c r="O310" s="284" t="s">
        <v>4720</v>
      </c>
      <c r="P310" s="280">
        <v>3604.4</v>
      </c>
      <c r="Q310" s="289">
        <v>45320</v>
      </c>
      <c r="R310" s="272"/>
      <c r="S310" s="272"/>
      <c r="T310" s="272"/>
      <c r="U310" s="272"/>
      <c r="V310" s="272"/>
      <c r="W310" s="272"/>
      <c r="X310" s="272"/>
      <c r="Y310" s="272"/>
      <c r="Z310" s="272"/>
      <c r="AA310" s="272"/>
    </row>
    <row r="311" spans="1:27">
      <c r="A311" s="273">
        <v>3</v>
      </c>
      <c r="B311" s="274" t="s">
        <v>5207</v>
      </c>
      <c r="C311" s="275">
        <v>45328</v>
      </c>
      <c r="D311" s="274" t="s">
        <v>4714</v>
      </c>
      <c r="E311" s="268" t="s">
        <v>2873</v>
      </c>
      <c r="F311" s="268" t="s">
        <v>4715</v>
      </c>
      <c r="G311" s="268" t="s">
        <v>4716</v>
      </c>
      <c r="H311" s="268" t="str">
        <f t="shared" si="1"/>
        <v>SANTIAGO MORENO PAREDES</v>
      </c>
      <c r="I311" s="268" t="s">
        <v>5242</v>
      </c>
      <c r="J311" s="272" t="s">
        <v>4736</v>
      </c>
      <c r="K311" s="268" t="s">
        <v>5243</v>
      </c>
      <c r="L311" s="276">
        <v>45358</v>
      </c>
      <c r="M311" s="277"/>
      <c r="N311" s="282">
        <v>2</v>
      </c>
      <c r="O311" s="284" t="s">
        <v>4723</v>
      </c>
      <c r="P311" s="280">
        <v>2704.55</v>
      </c>
      <c r="Q311" s="289">
        <v>45328</v>
      </c>
      <c r="R311" s="272"/>
      <c r="S311" s="272"/>
      <c r="T311" s="272"/>
      <c r="U311" s="272"/>
      <c r="V311" s="272"/>
      <c r="W311" s="272"/>
      <c r="X311" s="272"/>
      <c r="Y311" s="272"/>
      <c r="Z311" s="272"/>
      <c r="AA311" s="272"/>
    </row>
    <row r="312" spans="1:27">
      <c r="A312" s="273">
        <v>3</v>
      </c>
      <c r="B312" s="274" t="s">
        <v>5207</v>
      </c>
      <c r="C312" s="275">
        <v>45324</v>
      </c>
      <c r="D312" s="274" t="s">
        <v>4714</v>
      </c>
      <c r="E312" s="268" t="s">
        <v>3529</v>
      </c>
      <c r="F312" s="268" t="s">
        <v>4724</v>
      </c>
      <c r="G312" s="268" t="s">
        <v>4725</v>
      </c>
      <c r="H312" s="268" t="str">
        <f t="shared" si="1"/>
        <v>JOSEFA OLMEDO MARTÍNEZ</v>
      </c>
      <c r="I312" s="268" t="s">
        <v>5244</v>
      </c>
      <c r="J312" s="272" t="s">
        <v>4729</v>
      </c>
      <c r="K312" s="268" t="s">
        <v>5245</v>
      </c>
      <c r="L312" s="276">
        <v>45358</v>
      </c>
      <c r="M312" s="283"/>
      <c r="N312" s="282">
        <v>2</v>
      </c>
      <c r="O312" s="284" t="s">
        <v>4720</v>
      </c>
      <c r="P312" s="280">
        <v>3786.33</v>
      </c>
      <c r="Q312" s="289">
        <v>45324</v>
      </c>
      <c r="R312" s="272"/>
      <c r="S312" s="272"/>
      <c r="T312" s="272"/>
      <c r="U312" s="272"/>
      <c r="V312" s="272"/>
      <c r="W312" s="272"/>
      <c r="X312" s="272"/>
      <c r="Y312" s="272"/>
      <c r="Z312" s="272"/>
      <c r="AA312" s="272"/>
    </row>
    <row r="313" spans="1:27">
      <c r="A313" s="273">
        <v>3</v>
      </c>
      <c r="B313" s="274" t="s">
        <v>5207</v>
      </c>
      <c r="C313" s="275">
        <v>45315</v>
      </c>
      <c r="D313" s="274" t="s">
        <v>4714</v>
      </c>
      <c r="E313" s="268" t="s">
        <v>3187</v>
      </c>
      <c r="F313" s="268" t="s">
        <v>4715</v>
      </c>
      <c r="G313" s="268" t="s">
        <v>4716</v>
      </c>
      <c r="H313" s="268" t="str">
        <f t="shared" si="1"/>
        <v>ÁLVARO SÁNCHEZ ÁLVAREZ</v>
      </c>
      <c r="I313" s="268" t="s">
        <v>5246</v>
      </c>
      <c r="J313" s="272" t="s">
        <v>4822</v>
      </c>
      <c r="K313" s="268" t="s">
        <v>5247</v>
      </c>
      <c r="L313" s="276">
        <v>45359</v>
      </c>
      <c r="M313" s="277"/>
      <c r="N313" s="282">
        <v>2</v>
      </c>
      <c r="O313" s="284" t="s">
        <v>4723</v>
      </c>
      <c r="P313" s="280">
        <v>2780.91</v>
      </c>
      <c r="Q313" s="287">
        <v>45315</v>
      </c>
      <c r="R313" s="272"/>
      <c r="S313" s="272"/>
      <c r="T313" s="272"/>
      <c r="U313" s="272"/>
      <c r="V313" s="272"/>
      <c r="W313" s="272"/>
      <c r="X313" s="272"/>
      <c r="Y313" s="272"/>
      <c r="Z313" s="272"/>
      <c r="AA313" s="272"/>
    </row>
    <row r="314" spans="1:27">
      <c r="A314" s="273">
        <v>3</v>
      </c>
      <c r="B314" s="274" t="s">
        <v>5207</v>
      </c>
      <c r="C314" s="275">
        <v>45355</v>
      </c>
      <c r="D314" s="274" t="s">
        <v>4714</v>
      </c>
      <c r="E314" s="268" t="s">
        <v>3193</v>
      </c>
      <c r="F314" s="268" t="s">
        <v>4715</v>
      </c>
      <c r="G314" s="268" t="s">
        <v>4716</v>
      </c>
      <c r="H314" s="268" t="str">
        <f t="shared" si="1"/>
        <v>JOSE JOAQUÍN GUTIÉRREZ BARQUÍN</v>
      </c>
      <c r="I314" s="268" t="s">
        <v>4990</v>
      </c>
      <c r="J314" s="272" t="s">
        <v>4718</v>
      </c>
      <c r="K314" s="268" t="s">
        <v>5248</v>
      </c>
      <c r="L314" s="276">
        <v>45359</v>
      </c>
      <c r="M314" s="283"/>
      <c r="N314" s="282">
        <v>1</v>
      </c>
      <c r="O314" s="284" t="s">
        <v>4723</v>
      </c>
      <c r="P314" s="280">
        <v>1584.55</v>
      </c>
      <c r="Q314" s="289">
        <v>45355</v>
      </c>
      <c r="R314" s="272"/>
      <c r="S314" s="272"/>
      <c r="T314" s="272"/>
      <c r="U314" s="272"/>
      <c r="V314" s="272"/>
      <c r="W314" s="272"/>
      <c r="X314" s="272"/>
      <c r="Y314" s="272"/>
      <c r="Z314" s="272"/>
      <c r="AA314" s="272"/>
    </row>
    <row r="315" spans="1:27">
      <c r="A315" s="273">
        <v>3</v>
      </c>
      <c r="B315" s="274" t="s">
        <v>5207</v>
      </c>
      <c r="C315" s="275">
        <v>45320</v>
      </c>
      <c r="D315" s="274" t="s">
        <v>4714</v>
      </c>
      <c r="E315" s="268" t="s">
        <v>2873</v>
      </c>
      <c r="F315" s="268" t="s">
        <v>4715</v>
      </c>
      <c r="G315" s="268" t="s">
        <v>4716</v>
      </c>
      <c r="H315" s="268" t="str">
        <f t="shared" si="1"/>
        <v>JOSÉ GARCÍA MORILLAS</v>
      </c>
      <c r="I315" s="268" t="s">
        <v>5249</v>
      </c>
      <c r="J315" s="272" t="s">
        <v>4736</v>
      </c>
      <c r="K315" s="268" t="s">
        <v>5250</v>
      </c>
      <c r="L315" s="276">
        <v>45359</v>
      </c>
      <c r="M315" s="283"/>
      <c r="N315" s="282">
        <v>2</v>
      </c>
      <c r="O315" s="284" t="s">
        <v>4723</v>
      </c>
      <c r="P315" s="280">
        <v>2780.91</v>
      </c>
      <c r="Q315" s="289">
        <v>45320</v>
      </c>
      <c r="R315" s="272"/>
      <c r="S315" s="272"/>
      <c r="T315" s="272"/>
      <c r="U315" s="272"/>
      <c r="V315" s="272"/>
      <c r="W315" s="272"/>
      <c r="X315" s="272"/>
      <c r="Y315" s="272"/>
      <c r="Z315" s="272"/>
      <c r="AA315" s="272"/>
    </row>
    <row r="316" spans="1:27">
      <c r="A316" s="273">
        <v>3</v>
      </c>
      <c r="B316" s="274" t="s">
        <v>5207</v>
      </c>
      <c r="C316" s="275">
        <v>45336</v>
      </c>
      <c r="D316" s="274" t="s">
        <v>4714</v>
      </c>
      <c r="E316" s="268" t="s">
        <v>3529</v>
      </c>
      <c r="F316" s="268" t="s">
        <v>4715</v>
      </c>
      <c r="G316" s="268" t="s">
        <v>4716</v>
      </c>
      <c r="H316" s="268" t="str">
        <f t="shared" si="1"/>
        <v>JESÚS CROVATO ROJAS</v>
      </c>
      <c r="I316" s="268" t="s">
        <v>5251</v>
      </c>
      <c r="J316" s="272" t="s">
        <v>4729</v>
      </c>
      <c r="K316" s="268" t="s">
        <v>5252</v>
      </c>
      <c r="L316" s="276">
        <v>45359</v>
      </c>
      <c r="M316" s="277"/>
      <c r="N316" s="282">
        <v>2</v>
      </c>
      <c r="O316" s="284" t="s">
        <v>4740</v>
      </c>
      <c r="P316" s="280">
        <v>4404.55</v>
      </c>
      <c r="Q316" s="289">
        <v>45336</v>
      </c>
      <c r="R316" s="272"/>
      <c r="S316" s="272"/>
      <c r="T316" s="272"/>
      <c r="U316" s="272"/>
      <c r="V316" s="272"/>
      <c r="W316" s="272"/>
      <c r="X316" s="272"/>
      <c r="Y316" s="272"/>
      <c r="Z316" s="272"/>
      <c r="AA316" s="272"/>
    </row>
    <row r="317" spans="1:27">
      <c r="A317" s="273">
        <v>3</v>
      </c>
      <c r="B317" s="274" t="s">
        <v>5207</v>
      </c>
      <c r="C317" s="275">
        <v>45338</v>
      </c>
      <c r="D317" s="274" t="s">
        <v>4714</v>
      </c>
      <c r="E317" s="268" t="s">
        <v>2880</v>
      </c>
      <c r="F317" s="268" t="s">
        <v>4715</v>
      </c>
      <c r="G317" s="268" t="s">
        <v>4716</v>
      </c>
      <c r="H317" s="268" t="str">
        <f t="shared" si="1"/>
        <v>CRISTINA VADUVA</v>
      </c>
      <c r="I317" s="268" t="s">
        <v>4773</v>
      </c>
      <c r="J317" s="272" t="s">
        <v>4718</v>
      </c>
      <c r="K317" s="268" t="s">
        <v>5253</v>
      </c>
      <c r="L317" s="276">
        <v>45362</v>
      </c>
      <c r="M317" s="277"/>
      <c r="N317" s="282">
        <v>2</v>
      </c>
      <c r="O317" s="284" t="s">
        <v>4720</v>
      </c>
      <c r="P317" s="280">
        <v>3604.55</v>
      </c>
      <c r="Q317" s="289">
        <v>45338</v>
      </c>
      <c r="R317" s="272"/>
      <c r="S317" s="272"/>
      <c r="T317" s="272"/>
      <c r="U317" s="272"/>
      <c r="V317" s="272"/>
      <c r="W317" s="272"/>
      <c r="X317" s="272"/>
      <c r="Y317" s="272"/>
      <c r="Z317" s="272"/>
      <c r="AA317" s="272"/>
    </row>
    <row r="318" spans="1:27">
      <c r="A318" s="273">
        <v>3</v>
      </c>
      <c r="B318" s="274" t="s">
        <v>5207</v>
      </c>
      <c r="C318" s="275">
        <v>45303</v>
      </c>
      <c r="D318" s="285" t="s">
        <v>4714</v>
      </c>
      <c r="E318" s="268" t="s">
        <v>3480</v>
      </c>
      <c r="F318" s="268" t="s">
        <v>4715</v>
      </c>
      <c r="G318" s="268" t="s">
        <v>4716</v>
      </c>
      <c r="H318" s="268" t="str">
        <f t="shared" si="1"/>
        <v>ÓSCAR ALFONSO ARENAS BRITEZ</v>
      </c>
      <c r="I318" s="268" t="s">
        <v>5254</v>
      </c>
      <c r="J318" s="268" t="s">
        <v>4718</v>
      </c>
      <c r="K318" s="268" t="s">
        <v>5255</v>
      </c>
      <c r="L318" s="276">
        <v>45363</v>
      </c>
      <c r="M318" s="277"/>
      <c r="N318" s="282">
        <v>2</v>
      </c>
      <c r="O318" s="284" t="s">
        <v>4723</v>
      </c>
      <c r="P318" s="280">
        <v>2780.91</v>
      </c>
      <c r="Q318" s="289">
        <v>45303</v>
      </c>
      <c r="R318" s="272"/>
      <c r="S318" s="272"/>
      <c r="T318" s="272"/>
      <c r="U318" s="272"/>
      <c r="V318" s="272"/>
      <c r="W318" s="272"/>
      <c r="X318" s="272"/>
      <c r="Y318" s="272"/>
      <c r="Z318" s="272"/>
      <c r="AA318" s="272"/>
    </row>
    <row r="319" spans="1:27">
      <c r="A319" s="273">
        <v>3</v>
      </c>
      <c r="B319" s="274" t="s">
        <v>5207</v>
      </c>
      <c r="C319" s="275">
        <v>45335</v>
      </c>
      <c r="D319" s="274" t="s">
        <v>4714</v>
      </c>
      <c r="E319" s="268" t="s">
        <v>2869</v>
      </c>
      <c r="F319" s="268" t="s">
        <v>4715</v>
      </c>
      <c r="G319" s="268" t="s">
        <v>4716</v>
      </c>
      <c r="H319" s="268" t="str">
        <f t="shared" si="1"/>
        <v>NO REUERDA ORL</v>
      </c>
      <c r="I319" s="268" t="s">
        <v>4743</v>
      </c>
      <c r="J319" s="268" t="s">
        <v>4736</v>
      </c>
      <c r="K319" s="268" t="s">
        <v>5256</v>
      </c>
      <c r="L319" s="276">
        <v>45363</v>
      </c>
      <c r="M319" s="277"/>
      <c r="N319" s="282">
        <v>2</v>
      </c>
      <c r="O319" s="284" t="s">
        <v>4723</v>
      </c>
      <c r="P319" s="280">
        <v>2641.82</v>
      </c>
      <c r="Q319" s="289">
        <v>45335</v>
      </c>
      <c r="R319" s="272"/>
      <c r="S319" s="272"/>
      <c r="T319" s="272"/>
      <c r="U319" s="272"/>
      <c r="V319" s="272"/>
      <c r="W319" s="272"/>
      <c r="X319" s="272"/>
      <c r="Y319" s="272"/>
      <c r="Z319" s="272"/>
      <c r="AA319" s="272"/>
    </row>
    <row r="320" spans="1:27">
      <c r="A320" s="273">
        <v>3</v>
      </c>
      <c r="B320" s="274" t="s">
        <v>5207</v>
      </c>
      <c r="C320" s="275">
        <v>45327</v>
      </c>
      <c r="D320" s="274" t="s">
        <v>4714</v>
      </c>
      <c r="E320" s="268" t="s">
        <v>3011</v>
      </c>
      <c r="F320" s="268" t="s">
        <v>4715</v>
      </c>
      <c r="G320" s="268" t="s">
        <v>4716</v>
      </c>
      <c r="H320" s="268" t="str">
        <f t="shared" si="1"/>
        <v>MIGUEL ALBERTO RODRÍGUEZ PÉREZ</v>
      </c>
      <c r="I320" s="268" t="s">
        <v>4783</v>
      </c>
      <c r="J320" s="268" t="s">
        <v>4729</v>
      </c>
      <c r="K320" s="268" t="s">
        <v>5257</v>
      </c>
      <c r="L320" s="276">
        <v>45363</v>
      </c>
      <c r="M320" s="277"/>
      <c r="N320" s="282">
        <v>1</v>
      </c>
      <c r="O320" s="284" t="s">
        <v>4723</v>
      </c>
      <c r="P320" s="280">
        <v>1671.14</v>
      </c>
      <c r="Q320" s="289">
        <v>45327</v>
      </c>
      <c r="R320" s="272"/>
      <c r="S320" s="272"/>
      <c r="T320" s="272"/>
      <c r="U320" s="272"/>
      <c r="V320" s="272"/>
      <c r="W320" s="272"/>
      <c r="X320" s="272"/>
      <c r="Y320" s="272"/>
      <c r="Z320" s="272"/>
      <c r="AA320" s="272"/>
    </row>
    <row r="321" spans="1:27">
      <c r="A321" s="273">
        <v>3</v>
      </c>
      <c r="B321" s="274" t="s">
        <v>5207</v>
      </c>
      <c r="C321" s="275">
        <v>45336</v>
      </c>
      <c r="D321" s="274" t="s">
        <v>4714</v>
      </c>
      <c r="E321" s="268" t="s">
        <v>4799</v>
      </c>
      <c r="F321" s="268" t="s">
        <v>4715</v>
      </c>
      <c r="G321" s="268" t="s">
        <v>4716</v>
      </c>
      <c r="H321" s="268" t="str">
        <f t="shared" si="1"/>
        <v>Alejandro Harguindey Antoli-Candela</v>
      </c>
      <c r="I321" s="268" t="s">
        <v>4802</v>
      </c>
      <c r="J321" s="268" t="s">
        <v>4973</v>
      </c>
      <c r="K321" s="268" t="s">
        <v>5258</v>
      </c>
      <c r="L321" s="276">
        <v>45363</v>
      </c>
      <c r="M321" s="277"/>
      <c r="N321" s="282">
        <v>2</v>
      </c>
      <c r="O321" s="284" t="s">
        <v>4720</v>
      </c>
      <c r="P321" s="280">
        <v>3545.44</v>
      </c>
      <c r="Q321" s="289">
        <v>45336</v>
      </c>
      <c r="R321" s="272"/>
      <c r="S321" s="272"/>
      <c r="T321" s="272"/>
      <c r="U321" s="272"/>
      <c r="V321" s="272"/>
      <c r="W321" s="272"/>
      <c r="X321" s="272"/>
      <c r="Y321" s="272"/>
      <c r="Z321" s="272"/>
      <c r="AA321" s="272"/>
    </row>
    <row r="322" spans="1:27">
      <c r="A322" s="273">
        <v>3</v>
      </c>
      <c r="B322" s="274" t="s">
        <v>5207</v>
      </c>
      <c r="C322" s="275">
        <v>45334</v>
      </c>
      <c r="D322" s="274" t="s">
        <v>4714</v>
      </c>
      <c r="E322" s="268" t="s">
        <v>4734</v>
      </c>
      <c r="F322" s="268" t="s">
        <v>4715</v>
      </c>
      <c r="G322" s="268" t="s">
        <v>4716</v>
      </c>
      <c r="H322" s="268" t="str">
        <f t="shared" si="1"/>
        <v>CARLOS VELÁSQUEZ FERMÍN</v>
      </c>
      <c r="I322" s="268" t="s">
        <v>5105</v>
      </c>
      <c r="J322" s="268" t="s">
        <v>4736</v>
      </c>
      <c r="K322" s="268" t="s">
        <v>5259</v>
      </c>
      <c r="L322" s="276">
        <v>45364</v>
      </c>
      <c r="M322" s="277"/>
      <c r="N322" s="282">
        <v>1</v>
      </c>
      <c r="O322" s="284" t="s">
        <v>4723</v>
      </c>
      <c r="P322" s="280">
        <v>1584.77</v>
      </c>
      <c r="Q322" s="287">
        <v>45334</v>
      </c>
      <c r="R322" s="272"/>
      <c r="S322" s="272"/>
      <c r="T322" s="272"/>
      <c r="U322" s="272"/>
      <c r="V322" s="272"/>
      <c r="W322" s="272"/>
      <c r="X322" s="272"/>
      <c r="Y322" s="272"/>
      <c r="Z322" s="272"/>
      <c r="AA322" s="272"/>
    </row>
    <row r="323" spans="1:27">
      <c r="A323" s="273">
        <v>3</v>
      </c>
      <c r="B323" s="274" t="s">
        <v>5207</v>
      </c>
      <c r="C323" s="275">
        <v>45327</v>
      </c>
      <c r="D323" s="274" t="s">
        <v>4714</v>
      </c>
      <c r="E323" s="268" t="s">
        <v>4194</v>
      </c>
      <c r="F323" s="268" t="s">
        <v>4715</v>
      </c>
      <c r="G323" s="268" t="s">
        <v>4716</v>
      </c>
      <c r="H323" s="268" t="str">
        <f t="shared" si="1"/>
        <v>KAREN ROJAS CRESPO</v>
      </c>
      <c r="I323" s="268" t="s">
        <v>5260</v>
      </c>
      <c r="J323" s="268" t="s">
        <v>4736</v>
      </c>
      <c r="K323" s="268" t="s">
        <v>5261</v>
      </c>
      <c r="L323" s="276">
        <v>45364</v>
      </c>
      <c r="M323" s="277"/>
      <c r="N323" s="282">
        <v>2</v>
      </c>
      <c r="O323" s="284" t="s">
        <v>4720</v>
      </c>
      <c r="P323" s="280">
        <v>3604.55</v>
      </c>
      <c r="Q323" s="289">
        <v>45327</v>
      </c>
      <c r="R323" s="272"/>
      <c r="S323" s="272"/>
      <c r="T323" s="272"/>
      <c r="U323" s="272"/>
      <c r="V323" s="272"/>
      <c r="W323" s="272"/>
      <c r="X323" s="272"/>
      <c r="Y323" s="272"/>
      <c r="Z323" s="272"/>
      <c r="AA323" s="272"/>
    </row>
    <row r="324" spans="1:27">
      <c r="A324" s="273">
        <v>3</v>
      </c>
      <c r="B324" s="274" t="s">
        <v>5207</v>
      </c>
      <c r="C324" s="275">
        <v>45306</v>
      </c>
      <c r="D324" s="274" t="s">
        <v>4714</v>
      </c>
      <c r="E324" s="268" t="s">
        <v>2909</v>
      </c>
      <c r="F324" s="268" t="s">
        <v>4715</v>
      </c>
      <c r="G324" s="268" t="s">
        <v>4716</v>
      </c>
      <c r="H324" s="268" t="str">
        <f t="shared" si="1"/>
        <v>DOLORES ROMERO PANADRRO</v>
      </c>
      <c r="I324" s="268" t="s">
        <v>5262</v>
      </c>
      <c r="J324" s="272" t="s">
        <v>4806</v>
      </c>
      <c r="K324" s="268" t="s">
        <v>5263</v>
      </c>
      <c r="L324" s="276">
        <v>45364</v>
      </c>
      <c r="M324" s="277"/>
      <c r="N324" s="282">
        <v>2</v>
      </c>
      <c r="O324" s="284" t="s">
        <v>4720</v>
      </c>
      <c r="P324" s="280">
        <v>3604.55</v>
      </c>
      <c r="Q324" s="289">
        <v>45306</v>
      </c>
      <c r="R324" s="272"/>
      <c r="S324" s="272"/>
      <c r="T324" s="272"/>
      <c r="U324" s="272"/>
      <c r="V324" s="272"/>
      <c r="W324" s="272"/>
      <c r="X324" s="272"/>
      <c r="Y324" s="272"/>
      <c r="Z324" s="272"/>
      <c r="AA324" s="272"/>
    </row>
    <row r="325" spans="1:27">
      <c r="A325" s="273">
        <v>3</v>
      </c>
      <c r="B325" s="274" t="s">
        <v>5207</v>
      </c>
      <c r="C325" s="275">
        <v>45317</v>
      </c>
      <c r="D325" s="274" t="s">
        <v>4714</v>
      </c>
      <c r="E325" s="268" t="s">
        <v>4981</v>
      </c>
      <c r="F325" s="268" t="s">
        <v>4715</v>
      </c>
      <c r="G325" s="268" t="s">
        <v>4716</v>
      </c>
      <c r="H325" s="268" t="str">
        <f t="shared" si="1"/>
        <v>RAFAEL MARTÍNEZ GARCERAN</v>
      </c>
      <c r="I325" s="268" t="s">
        <v>4982</v>
      </c>
      <c r="J325" s="272" t="s">
        <v>4736</v>
      </c>
      <c r="K325" s="268" t="s">
        <v>5264</v>
      </c>
      <c r="L325" s="276">
        <v>45364</v>
      </c>
      <c r="M325" s="277"/>
      <c r="N325" s="282">
        <v>2</v>
      </c>
      <c r="O325" s="284" t="s">
        <v>4740</v>
      </c>
      <c r="P325" s="280">
        <v>4222.58</v>
      </c>
      <c r="Q325" s="289">
        <v>45317</v>
      </c>
      <c r="R325" s="272"/>
      <c r="S325" s="272"/>
      <c r="T325" s="272"/>
      <c r="U325" s="272"/>
      <c r="V325" s="272"/>
      <c r="W325" s="272"/>
      <c r="X325" s="272"/>
      <c r="Y325" s="272"/>
      <c r="Z325" s="272"/>
      <c r="AA325" s="272"/>
    </row>
    <row r="326" spans="1:27">
      <c r="A326" s="273">
        <v>3</v>
      </c>
      <c r="B326" s="274" t="s">
        <v>5207</v>
      </c>
      <c r="C326" s="275">
        <v>45322</v>
      </c>
      <c r="D326" s="274" t="s">
        <v>4714</v>
      </c>
      <c r="E326" s="268" t="s">
        <v>3043</v>
      </c>
      <c r="F326" s="268" t="s">
        <v>4715</v>
      </c>
      <c r="G326" s="268" t="s">
        <v>4716</v>
      </c>
      <c r="H326" s="268" t="str">
        <f t="shared" si="1"/>
        <v>ANTONIO BUENO RÍOS</v>
      </c>
      <c r="I326" s="268" t="s">
        <v>4793</v>
      </c>
      <c r="J326" s="272" t="s">
        <v>4822</v>
      </c>
      <c r="K326" s="268" t="s">
        <v>5265</v>
      </c>
      <c r="L326" s="276">
        <v>45364</v>
      </c>
      <c r="M326" s="277"/>
      <c r="N326" s="282">
        <v>2</v>
      </c>
      <c r="O326" s="284" t="s">
        <v>4740</v>
      </c>
      <c r="P326" s="280">
        <v>3388.27</v>
      </c>
      <c r="Q326" s="289">
        <v>45322</v>
      </c>
      <c r="R326" s="272"/>
      <c r="S326" s="272"/>
      <c r="T326" s="272"/>
      <c r="U326" s="272"/>
      <c r="V326" s="272"/>
      <c r="W326" s="272"/>
      <c r="X326" s="272"/>
      <c r="Y326" s="272"/>
      <c r="Z326" s="272"/>
      <c r="AA326" s="272"/>
    </row>
    <row r="327" spans="1:27">
      <c r="A327" s="273">
        <v>3</v>
      </c>
      <c r="B327" s="274" t="s">
        <v>5207</v>
      </c>
      <c r="C327" s="275">
        <v>45124</v>
      </c>
      <c r="D327" s="274" t="s">
        <v>4714</v>
      </c>
      <c r="E327" s="268" t="s">
        <v>3043</v>
      </c>
      <c r="F327" s="268" t="s">
        <v>4715</v>
      </c>
      <c r="G327" s="268" t="s">
        <v>4716</v>
      </c>
      <c r="H327" s="268" t="str">
        <f t="shared" si="1"/>
        <v>JULIO LÓPEZ MOYA</v>
      </c>
      <c r="I327" s="268" t="s">
        <v>4778</v>
      </c>
      <c r="J327" s="268" t="s">
        <v>4718</v>
      </c>
      <c r="K327" s="268" t="s">
        <v>5266</v>
      </c>
      <c r="L327" s="276">
        <v>45364</v>
      </c>
      <c r="M327" s="277"/>
      <c r="N327" s="282">
        <v>1</v>
      </c>
      <c r="O327" s="284" t="s">
        <v>4740</v>
      </c>
      <c r="P327" s="280">
        <v>1545.45</v>
      </c>
      <c r="Q327" s="289">
        <v>45124</v>
      </c>
      <c r="R327" s="272"/>
      <c r="S327" s="272"/>
      <c r="T327" s="272"/>
      <c r="U327" s="272"/>
      <c r="V327" s="272"/>
      <c r="W327" s="272"/>
      <c r="X327" s="272"/>
      <c r="Y327" s="272"/>
      <c r="Z327" s="272"/>
      <c r="AA327" s="272"/>
    </row>
    <row r="328" spans="1:27">
      <c r="A328" s="273">
        <v>3</v>
      </c>
      <c r="B328" s="274" t="s">
        <v>5207</v>
      </c>
      <c r="C328" s="275">
        <v>45334</v>
      </c>
      <c r="D328" s="274" t="s">
        <v>4714</v>
      </c>
      <c r="E328" s="268" t="s">
        <v>2869</v>
      </c>
      <c r="F328" s="268" t="s">
        <v>4715</v>
      </c>
      <c r="G328" s="268" t="s">
        <v>4716</v>
      </c>
      <c r="H328" s="268" t="str">
        <f t="shared" si="1"/>
        <v>JESÚS MIGUEL INIESTA TURPÍN</v>
      </c>
      <c r="I328" s="268" t="s">
        <v>4868</v>
      </c>
      <c r="J328" s="272" t="s">
        <v>4736</v>
      </c>
      <c r="K328" s="268" t="s">
        <v>5267</v>
      </c>
      <c r="L328" s="276">
        <v>45364</v>
      </c>
      <c r="M328" s="277"/>
      <c r="N328" s="282">
        <v>2</v>
      </c>
      <c r="O328" s="284" t="s">
        <v>4740</v>
      </c>
      <c r="P328" s="280">
        <v>4222.7299999999996</v>
      </c>
      <c r="Q328" s="289">
        <v>45334</v>
      </c>
      <c r="R328" s="272"/>
      <c r="S328" s="272"/>
      <c r="T328" s="272"/>
      <c r="U328" s="272"/>
      <c r="V328" s="272"/>
      <c r="W328" s="272"/>
      <c r="X328" s="272"/>
      <c r="Y328" s="272"/>
      <c r="Z328" s="272"/>
      <c r="AA328" s="272"/>
    </row>
    <row r="329" spans="1:27">
      <c r="A329" s="273">
        <v>3</v>
      </c>
      <c r="B329" s="274" t="s">
        <v>5207</v>
      </c>
      <c r="C329" s="275">
        <v>45307</v>
      </c>
      <c r="D329" s="274" t="s">
        <v>4714</v>
      </c>
      <c r="E329" s="268" t="s">
        <v>2869</v>
      </c>
      <c r="F329" s="268" t="s">
        <v>4715</v>
      </c>
      <c r="G329" s="268" t="s">
        <v>4716</v>
      </c>
      <c r="H329" s="268" t="str">
        <f t="shared" si="1"/>
        <v>MARÍA AGUSTINA SEVILLA GARCÍA</v>
      </c>
      <c r="I329" s="268" t="s">
        <v>4812</v>
      </c>
      <c r="J329" s="272" t="s">
        <v>4736</v>
      </c>
      <c r="K329" s="268" t="s">
        <v>5268</v>
      </c>
      <c r="L329" s="276">
        <v>45364</v>
      </c>
      <c r="M329" s="277"/>
      <c r="N329" s="282">
        <v>2</v>
      </c>
      <c r="O329" s="284" t="s">
        <v>4720</v>
      </c>
      <c r="P329" s="280">
        <v>3603.85</v>
      </c>
      <c r="Q329" s="289">
        <v>45307</v>
      </c>
      <c r="R329" s="272"/>
      <c r="S329" s="272"/>
      <c r="T329" s="272"/>
      <c r="U329" s="272"/>
      <c r="V329" s="272"/>
      <c r="W329" s="272"/>
      <c r="X329" s="272"/>
      <c r="Y329" s="272"/>
      <c r="Z329" s="272"/>
      <c r="AA329" s="272"/>
    </row>
    <row r="330" spans="1:27">
      <c r="A330" s="273">
        <v>3</v>
      </c>
      <c r="B330" s="274" t="s">
        <v>5207</v>
      </c>
      <c r="C330" s="275">
        <v>45330</v>
      </c>
      <c r="D330" s="274" t="s">
        <v>4714</v>
      </c>
      <c r="E330" s="268" t="s">
        <v>2900</v>
      </c>
      <c r="F330" s="268" t="s">
        <v>4715</v>
      </c>
      <c r="G330" s="268" t="s">
        <v>4716</v>
      </c>
      <c r="H330" s="268" t="str">
        <f t="shared" si="1"/>
        <v>MOHAMED AL RIFAL AL MASTI</v>
      </c>
      <c r="I330" s="268" t="s">
        <v>5269</v>
      </c>
      <c r="J330" s="268" t="s">
        <v>4790</v>
      </c>
      <c r="K330" s="268" t="s">
        <v>5270</v>
      </c>
      <c r="L330" s="276">
        <v>45364</v>
      </c>
      <c r="M330" s="277"/>
      <c r="N330" s="282">
        <v>2</v>
      </c>
      <c r="O330" s="284" t="s">
        <v>4720</v>
      </c>
      <c r="P330" s="280">
        <v>3604.55</v>
      </c>
      <c r="Q330" s="289">
        <v>45330</v>
      </c>
      <c r="R330" s="272"/>
      <c r="S330" s="272"/>
      <c r="T330" s="272"/>
      <c r="U330" s="272"/>
      <c r="V330" s="272"/>
      <c r="W330" s="272"/>
      <c r="X330" s="272"/>
      <c r="Y330" s="272"/>
      <c r="Z330" s="272"/>
      <c r="AA330" s="272"/>
    </row>
    <row r="331" spans="1:27">
      <c r="A331" s="273">
        <v>3</v>
      </c>
      <c r="B331" s="274" t="s">
        <v>5207</v>
      </c>
      <c r="C331" s="275">
        <v>45336</v>
      </c>
      <c r="D331" s="274" t="s">
        <v>4714</v>
      </c>
      <c r="E331" s="268" t="s">
        <v>3529</v>
      </c>
      <c r="F331" s="268" t="s">
        <v>4715</v>
      </c>
      <c r="G331" s="268" t="s">
        <v>4716</v>
      </c>
      <c r="H331" s="268" t="str">
        <f t="shared" si="1"/>
        <v>FRANCISCO ALÉS CONEJO</v>
      </c>
      <c r="I331" s="268" t="s">
        <v>5271</v>
      </c>
      <c r="J331" s="272" t="s">
        <v>4729</v>
      </c>
      <c r="K331" s="268" t="s">
        <v>5272</v>
      </c>
      <c r="L331" s="276">
        <v>45364</v>
      </c>
      <c r="M331" s="277"/>
      <c r="N331" s="282">
        <v>2</v>
      </c>
      <c r="O331" s="284" t="s">
        <v>4723</v>
      </c>
      <c r="P331" s="280">
        <v>2801.22</v>
      </c>
      <c r="Q331" s="289">
        <v>45336</v>
      </c>
      <c r="R331" s="272"/>
      <c r="S331" s="272"/>
      <c r="T331" s="272"/>
      <c r="U331" s="272"/>
      <c r="V331" s="272"/>
      <c r="W331" s="272"/>
      <c r="X331" s="272"/>
      <c r="Y331" s="272"/>
      <c r="Z331" s="272"/>
      <c r="AA331" s="272"/>
    </row>
    <row r="332" spans="1:27">
      <c r="A332" s="273">
        <v>3</v>
      </c>
      <c r="B332" s="274" t="s">
        <v>5207</v>
      </c>
      <c r="C332" s="275">
        <v>45337</v>
      </c>
      <c r="D332" s="274" t="s">
        <v>4714</v>
      </c>
      <c r="E332" s="268" t="s">
        <v>4799</v>
      </c>
      <c r="F332" s="268" t="s">
        <v>4715</v>
      </c>
      <c r="G332" s="268" t="s">
        <v>4716</v>
      </c>
      <c r="H332" s="268" t="str">
        <f t="shared" si="1"/>
        <v>ESTRELLA PALLAS PALLAS</v>
      </c>
      <c r="I332" s="268" t="s">
        <v>5273</v>
      </c>
      <c r="J332" s="268" t="s">
        <v>4790</v>
      </c>
      <c r="K332" s="268" t="s">
        <v>5274</v>
      </c>
      <c r="L332" s="276">
        <v>45364</v>
      </c>
      <c r="M332" s="277"/>
      <c r="N332" s="282">
        <v>1</v>
      </c>
      <c r="O332" s="284" t="s">
        <v>4720</v>
      </c>
      <c r="P332" s="280">
        <v>709.09</v>
      </c>
      <c r="Q332" s="289">
        <v>45337</v>
      </c>
      <c r="R332" s="272"/>
      <c r="S332" s="272"/>
      <c r="T332" s="272"/>
      <c r="U332" s="272"/>
      <c r="V332" s="272"/>
      <c r="W332" s="272"/>
      <c r="X332" s="272"/>
      <c r="Y332" s="272"/>
      <c r="Z332" s="272"/>
      <c r="AA332" s="272"/>
    </row>
    <row r="333" spans="1:27">
      <c r="A333" s="273">
        <v>3</v>
      </c>
      <c r="B333" s="274" t="s">
        <v>5207</v>
      </c>
      <c r="C333" s="275">
        <v>45327</v>
      </c>
      <c r="D333" s="274" t="s">
        <v>4714</v>
      </c>
      <c r="E333" s="268" t="s">
        <v>4194</v>
      </c>
      <c r="F333" s="268" t="s">
        <v>4715</v>
      </c>
      <c r="G333" s="268" t="s">
        <v>4716</v>
      </c>
      <c r="H333" s="268" t="str">
        <f t="shared" si="1"/>
        <v>FRANCISCO JAVIER CERDÁN BAEZA</v>
      </c>
      <c r="I333" s="268" t="s">
        <v>5275</v>
      </c>
      <c r="J333" s="272" t="s">
        <v>4736</v>
      </c>
      <c r="K333" s="268" t="s">
        <v>5276</v>
      </c>
      <c r="L333" s="276">
        <v>45365</v>
      </c>
      <c r="M333" s="283"/>
      <c r="N333" s="282">
        <v>1</v>
      </c>
      <c r="O333" s="284" t="s">
        <v>4720</v>
      </c>
      <c r="P333" s="280">
        <v>2162.73</v>
      </c>
      <c r="Q333" s="289">
        <v>45327</v>
      </c>
      <c r="R333" s="272"/>
      <c r="S333" s="272"/>
      <c r="T333" s="272"/>
      <c r="U333" s="272"/>
      <c r="V333" s="272"/>
      <c r="W333" s="272"/>
      <c r="X333" s="272"/>
      <c r="Y333" s="272"/>
      <c r="Z333" s="272"/>
      <c r="AA333" s="272"/>
    </row>
    <row r="334" spans="1:27">
      <c r="A334" s="273">
        <v>3</v>
      </c>
      <c r="B334" s="274" t="s">
        <v>5207</v>
      </c>
      <c r="C334" s="275">
        <v>45343</v>
      </c>
      <c r="D334" s="274" t="s">
        <v>4714</v>
      </c>
      <c r="E334" s="268" t="s">
        <v>4945</v>
      </c>
      <c r="F334" s="268" t="s">
        <v>4715</v>
      </c>
      <c r="G334" s="268" t="s">
        <v>4716</v>
      </c>
      <c r="H334" s="268" t="str">
        <f t="shared" si="1"/>
        <v>PEDRO JUIZ LÓPEZ</v>
      </c>
      <c r="I334" s="268" t="s">
        <v>4946</v>
      </c>
      <c r="J334" s="268" t="s">
        <v>4790</v>
      </c>
      <c r="K334" s="268" t="s">
        <v>5277</v>
      </c>
      <c r="L334" s="276">
        <v>45365</v>
      </c>
      <c r="M334" s="283"/>
      <c r="N334" s="282">
        <v>2</v>
      </c>
      <c r="O334" s="284" t="s">
        <v>4723</v>
      </c>
      <c r="P334" s="280">
        <v>2904.55</v>
      </c>
      <c r="Q334" s="289">
        <v>45343</v>
      </c>
      <c r="R334" s="272"/>
      <c r="S334" s="272"/>
      <c r="T334" s="272"/>
      <c r="U334" s="272"/>
      <c r="V334" s="272"/>
      <c r="W334" s="272"/>
      <c r="X334" s="272"/>
      <c r="Y334" s="272"/>
      <c r="Z334" s="272"/>
      <c r="AA334" s="272"/>
    </row>
    <row r="335" spans="1:27">
      <c r="A335" s="273">
        <v>3</v>
      </c>
      <c r="B335" s="274" t="s">
        <v>5207</v>
      </c>
      <c r="C335" s="275">
        <v>45330</v>
      </c>
      <c r="D335" s="274" t="s">
        <v>4714</v>
      </c>
      <c r="E335" s="286" t="s">
        <v>3193</v>
      </c>
      <c r="F335" s="286" t="s">
        <v>4715</v>
      </c>
      <c r="G335" s="286" t="s">
        <v>4716</v>
      </c>
      <c r="H335" s="268" t="str">
        <f t="shared" si="1"/>
        <v>INMACULADA SANCHO MARTÍN</v>
      </c>
      <c r="I335" s="286" t="s">
        <v>5278</v>
      </c>
      <c r="J335" s="286" t="s">
        <v>4718</v>
      </c>
      <c r="K335" s="286" t="s">
        <v>5279</v>
      </c>
      <c r="L335" s="290">
        <v>45365</v>
      </c>
      <c r="M335" s="291"/>
      <c r="N335" s="292">
        <v>2</v>
      </c>
      <c r="O335" s="293" t="s">
        <v>4723</v>
      </c>
      <c r="P335" s="294">
        <v>2780.91</v>
      </c>
      <c r="Q335" s="289">
        <v>45330</v>
      </c>
      <c r="R335" s="272"/>
      <c r="S335" s="272"/>
      <c r="T335" s="272"/>
      <c r="U335" s="272"/>
      <c r="V335" s="272"/>
      <c r="W335" s="272"/>
      <c r="X335" s="272"/>
      <c r="Y335" s="272"/>
      <c r="Z335" s="272"/>
      <c r="AA335" s="272"/>
    </row>
    <row r="336" spans="1:27">
      <c r="A336" s="273">
        <v>3</v>
      </c>
      <c r="B336" s="274" t="s">
        <v>5207</v>
      </c>
      <c r="C336" s="275">
        <v>45098</v>
      </c>
      <c r="D336" s="274" t="s">
        <v>4714</v>
      </c>
      <c r="E336" s="268" t="s">
        <v>2873</v>
      </c>
      <c r="F336" s="268" t="s">
        <v>4715</v>
      </c>
      <c r="G336" s="268" t="s">
        <v>4716</v>
      </c>
      <c r="H336" s="268" t="str">
        <f t="shared" si="1"/>
        <v>JUAN JAVIER ÁLVAREZ LÓPEZ</v>
      </c>
      <c r="I336" s="268" t="s">
        <v>4938</v>
      </c>
      <c r="J336" s="272" t="s">
        <v>4736</v>
      </c>
      <c r="K336" s="268" t="s">
        <v>5280</v>
      </c>
      <c r="L336" s="276">
        <v>45365</v>
      </c>
      <c r="M336" s="277"/>
      <c r="N336" s="282">
        <v>2</v>
      </c>
      <c r="O336" s="284" t="s">
        <v>4720</v>
      </c>
      <c r="P336" s="280">
        <v>3604.55</v>
      </c>
      <c r="Q336" s="289">
        <v>45098</v>
      </c>
      <c r="R336" s="272"/>
      <c r="S336" s="272"/>
      <c r="T336" s="272"/>
      <c r="U336" s="272"/>
      <c r="V336" s="272"/>
      <c r="W336" s="272"/>
      <c r="X336" s="272"/>
      <c r="Y336" s="272"/>
      <c r="Z336" s="272"/>
      <c r="AA336" s="272"/>
    </row>
    <row r="337" spans="1:27">
      <c r="A337" s="273">
        <v>3</v>
      </c>
      <c r="B337" s="274" t="s">
        <v>5207</v>
      </c>
      <c r="C337" s="275">
        <v>45335</v>
      </c>
      <c r="D337" s="274" t="s">
        <v>4714</v>
      </c>
      <c r="E337" s="268" t="s">
        <v>3011</v>
      </c>
      <c r="F337" s="268" t="s">
        <v>4715</v>
      </c>
      <c r="G337" s="268" t="s">
        <v>4716</v>
      </c>
      <c r="H337" s="268" t="str">
        <f t="shared" si="1"/>
        <v>JEREMY FLORES TRUJILLO</v>
      </c>
      <c r="I337" s="268" t="s">
        <v>5281</v>
      </c>
      <c r="J337" s="272" t="s">
        <v>4729</v>
      </c>
      <c r="K337" s="268" t="s">
        <v>5282</v>
      </c>
      <c r="L337" s="276">
        <v>45365</v>
      </c>
      <c r="M337" s="277"/>
      <c r="N337" s="282">
        <v>1</v>
      </c>
      <c r="O337" s="284" t="s">
        <v>4720</v>
      </c>
      <c r="P337" s="280">
        <v>2318.1799999999998</v>
      </c>
      <c r="Q337" s="289">
        <v>45335</v>
      </c>
      <c r="R337" s="272"/>
      <c r="S337" s="272"/>
      <c r="T337" s="272"/>
      <c r="U337" s="272"/>
      <c r="V337" s="272"/>
      <c r="W337" s="272"/>
      <c r="X337" s="272"/>
      <c r="Y337" s="272"/>
      <c r="Z337" s="272"/>
      <c r="AA337" s="272"/>
    </row>
    <row r="338" spans="1:27">
      <c r="A338" s="273">
        <v>3</v>
      </c>
      <c r="B338" s="274" t="s">
        <v>5207</v>
      </c>
      <c r="C338" s="275">
        <v>45328</v>
      </c>
      <c r="D338" s="274" t="s">
        <v>4714</v>
      </c>
      <c r="E338" s="268" t="s">
        <v>3480</v>
      </c>
      <c r="F338" s="268" t="s">
        <v>4715</v>
      </c>
      <c r="G338" s="268" t="s">
        <v>4716</v>
      </c>
      <c r="H338" s="268" t="str">
        <f t="shared" si="1"/>
        <v>VICTORIA GARCÍA PECES</v>
      </c>
      <c r="I338" s="268" t="s">
        <v>4762</v>
      </c>
      <c r="J338" s="272" t="s">
        <v>4718</v>
      </c>
      <c r="K338" s="268" t="s">
        <v>5283</v>
      </c>
      <c r="L338" s="276">
        <v>45366</v>
      </c>
      <c r="M338" s="277"/>
      <c r="N338" s="282">
        <v>1</v>
      </c>
      <c r="O338" s="284" t="s">
        <v>4723</v>
      </c>
      <c r="P338" s="280">
        <v>1481.85</v>
      </c>
      <c r="Q338" s="289">
        <v>45328</v>
      </c>
      <c r="R338" s="272"/>
      <c r="S338" s="272"/>
      <c r="T338" s="272"/>
      <c r="U338" s="272"/>
      <c r="V338" s="272"/>
      <c r="W338" s="272"/>
      <c r="X338" s="272"/>
      <c r="Y338" s="272"/>
      <c r="Z338" s="272"/>
      <c r="AA338" s="272"/>
    </row>
    <row r="339" spans="1:27">
      <c r="A339" s="273">
        <v>3</v>
      </c>
      <c r="B339" s="274" t="s">
        <v>5207</v>
      </c>
      <c r="C339" s="275">
        <v>45329</v>
      </c>
      <c r="D339" s="274" t="s">
        <v>4714</v>
      </c>
      <c r="E339" s="268" t="s">
        <v>4892</v>
      </c>
      <c r="F339" s="268" t="s">
        <v>4715</v>
      </c>
      <c r="G339" s="268" t="s">
        <v>4716</v>
      </c>
      <c r="H339" s="268" t="str">
        <f t="shared" si="1"/>
        <v>GUILLERMO SAN JUAN DE LA MORETA</v>
      </c>
      <c r="I339" s="268" t="s">
        <v>5100</v>
      </c>
      <c r="J339" s="272" t="s">
        <v>4718</v>
      </c>
      <c r="K339" s="268" t="s">
        <v>5284</v>
      </c>
      <c r="L339" s="276">
        <v>45366</v>
      </c>
      <c r="M339" s="283"/>
      <c r="N339" s="282">
        <v>1</v>
      </c>
      <c r="O339" s="284" t="s">
        <v>4720</v>
      </c>
      <c r="P339" s="280">
        <v>2162.73</v>
      </c>
      <c r="Q339" s="289">
        <v>45329</v>
      </c>
      <c r="R339" s="272"/>
      <c r="S339" s="272"/>
      <c r="T339" s="272"/>
      <c r="U339" s="272"/>
      <c r="V339" s="272"/>
      <c r="W339" s="272"/>
      <c r="X339" s="272"/>
      <c r="Y339" s="272"/>
      <c r="Z339" s="272"/>
      <c r="AA339" s="272"/>
    </row>
    <row r="340" spans="1:27">
      <c r="A340" s="273">
        <v>3</v>
      </c>
      <c r="B340" s="274" t="s">
        <v>5207</v>
      </c>
      <c r="C340" s="275">
        <v>45324</v>
      </c>
      <c r="D340" s="274" t="s">
        <v>4714</v>
      </c>
      <c r="E340" s="268" t="s">
        <v>2869</v>
      </c>
      <c r="F340" s="268" t="s">
        <v>4715</v>
      </c>
      <c r="G340" s="268" t="s">
        <v>4716</v>
      </c>
      <c r="H340" s="268" t="str">
        <f t="shared" si="1"/>
        <v>JESÚS MIGUEL INIESTA TURPÍN</v>
      </c>
      <c r="I340" s="268" t="s">
        <v>4868</v>
      </c>
      <c r="J340" s="268" t="s">
        <v>4736</v>
      </c>
      <c r="K340" s="268" t="s">
        <v>5285</v>
      </c>
      <c r="L340" s="276">
        <v>45366</v>
      </c>
      <c r="M340" s="277"/>
      <c r="N340" s="282">
        <v>2</v>
      </c>
      <c r="O340" s="284" t="s">
        <v>4720</v>
      </c>
      <c r="P340" s="280">
        <v>3425</v>
      </c>
      <c r="Q340" s="289">
        <v>45324</v>
      </c>
      <c r="R340" s="272"/>
      <c r="S340" s="272"/>
      <c r="T340" s="272"/>
      <c r="U340" s="272"/>
      <c r="V340" s="272"/>
      <c r="W340" s="272"/>
      <c r="X340" s="272"/>
      <c r="Y340" s="272"/>
      <c r="Z340" s="272"/>
      <c r="AA340" s="272"/>
    </row>
    <row r="341" spans="1:27">
      <c r="A341" s="273">
        <v>3</v>
      </c>
      <c r="B341" s="274" t="s">
        <v>5207</v>
      </c>
      <c r="C341" s="275">
        <v>45063</v>
      </c>
      <c r="D341" s="274" t="s">
        <v>4714</v>
      </c>
      <c r="E341" s="268" t="s">
        <v>4780</v>
      </c>
      <c r="F341" s="268" t="s">
        <v>4715</v>
      </c>
      <c r="G341" s="268" t="s">
        <v>4716</v>
      </c>
      <c r="H341" s="268" t="str">
        <f t="shared" si="1"/>
        <v>MARÍA JESÚS CORNEJO DOMÍNGUEZ</v>
      </c>
      <c r="I341" s="268" t="s">
        <v>4781</v>
      </c>
      <c r="J341" s="272" t="s">
        <v>4747</v>
      </c>
      <c r="K341" s="268" t="s">
        <v>5286</v>
      </c>
      <c r="L341" s="276">
        <v>45366</v>
      </c>
      <c r="M341" s="277"/>
      <c r="N341" s="282">
        <v>1</v>
      </c>
      <c r="O341" s="284" t="s">
        <v>4720</v>
      </c>
      <c r="P341" s="280">
        <v>1818.16</v>
      </c>
      <c r="Q341" s="289">
        <v>45063</v>
      </c>
      <c r="R341" s="272"/>
      <c r="S341" s="272"/>
      <c r="T341" s="272"/>
      <c r="U341" s="272"/>
      <c r="V341" s="272"/>
      <c r="W341" s="272"/>
      <c r="X341" s="272"/>
      <c r="Y341" s="272"/>
      <c r="Z341" s="272"/>
      <c r="AA341" s="272"/>
    </row>
    <row r="342" spans="1:27">
      <c r="A342" s="273">
        <v>3</v>
      </c>
      <c r="B342" s="274" t="s">
        <v>5207</v>
      </c>
      <c r="C342" s="275">
        <v>45331</v>
      </c>
      <c r="D342" s="274" t="s">
        <v>4714</v>
      </c>
      <c r="E342" s="268" t="s">
        <v>2886</v>
      </c>
      <c r="F342" s="268" t="s">
        <v>4715</v>
      </c>
      <c r="G342" s="268" t="s">
        <v>4716</v>
      </c>
      <c r="H342" s="268" t="str">
        <f t="shared" si="1"/>
        <v>ANTONIO BUENO RÍOS</v>
      </c>
      <c r="I342" s="268" t="s">
        <v>4793</v>
      </c>
      <c r="J342" s="272" t="s">
        <v>4822</v>
      </c>
      <c r="K342" s="268" t="s">
        <v>5287</v>
      </c>
      <c r="L342" s="276">
        <v>45366</v>
      </c>
      <c r="M342" s="277"/>
      <c r="N342" s="282">
        <v>1</v>
      </c>
      <c r="O342" s="284" t="s">
        <v>4740</v>
      </c>
      <c r="P342" s="280">
        <v>2536.36</v>
      </c>
      <c r="Q342" s="289">
        <v>45331</v>
      </c>
      <c r="R342" s="272"/>
      <c r="S342" s="272"/>
      <c r="T342" s="272"/>
      <c r="U342" s="272"/>
      <c r="V342" s="272"/>
      <c r="W342" s="272"/>
      <c r="X342" s="272"/>
      <c r="Y342" s="272"/>
      <c r="Z342" s="272"/>
      <c r="AA342" s="272"/>
    </row>
    <row r="343" spans="1:27">
      <c r="A343" s="273">
        <v>3</v>
      </c>
      <c r="B343" s="274" t="s">
        <v>5207</v>
      </c>
      <c r="C343" s="275">
        <v>45349</v>
      </c>
      <c r="D343" s="274" t="s">
        <v>4714</v>
      </c>
      <c r="E343" s="268" t="s">
        <v>4203</v>
      </c>
      <c r="F343" s="268" t="s">
        <v>4715</v>
      </c>
      <c r="G343" s="268" t="s">
        <v>4716</v>
      </c>
      <c r="H343" s="268" t="str">
        <f t="shared" si="1"/>
        <v>Mª JOSÉ GÁMIZ MAROTO</v>
      </c>
      <c r="I343" s="268" t="s">
        <v>5288</v>
      </c>
      <c r="J343" s="272" t="s">
        <v>4736</v>
      </c>
      <c r="K343" s="268" t="s">
        <v>5289</v>
      </c>
      <c r="L343" s="276">
        <v>45369</v>
      </c>
      <c r="M343" s="283"/>
      <c r="N343" s="282">
        <v>2</v>
      </c>
      <c r="O343" s="284" t="s">
        <v>4720</v>
      </c>
      <c r="P343" s="280">
        <v>3604.55</v>
      </c>
      <c r="Q343" s="289">
        <v>45349</v>
      </c>
      <c r="R343" s="272"/>
      <c r="S343" s="272"/>
      <c r="T343" s="272"/>
      <c r="U343" s="272"/>
      <c r="V343" s="272"/>
      <c r="W343" s="272"/>
      <c r="X343" s="272"/>
      <c r="Y343" s="272"/>
      <c r="Z343" s="272"/>
      <c r="AA343" s="272"/>
    </row>
    <row r="344" spans="1:27">
      <c r="A344" s="273">
        <v>3</v>
      </c>
      <c r="B344" s="274" t="s">
        <v>5207</v>
      </c>
      <c r="C344" s="275">
        <v>45337</v>
      </c>
      <c r="D344" s="274" t="s">
        <v>4714</v>
      </c>
      <c r="E344" s="268" t="s">
        <v>2893</v>
      </c>
      <c r="F344" s="268" t="s">
        <v>4715</v>
      </c>
      <c r="G344" s="268" t="s">
        <v>4716</v>
      </c>
      <c r="H344" s="268" t="str">
        <f t="shared" si="1"/>
        <v>JULIO LÓPEZ MOYA</v>
      </c>
      <c r="I344" s="268" t="s">
        <v>4778</v>
      </c>
      <c r="J344" s="272" t="s">
        <v>4718</v>
      </c>
      <c r="K344" s="268" t="s">
        <v>5290</v>
      </c>
      <c r="L344" s="276">
        <v>45369</v>
      </c>
      <c r="M344" s="277"/>
      <c r="N344" s="282">
        <v>2</v>
      </c>
      <c r="O344" s="284" t="s">
        <v>4723</v>
      </c>
      <c r="P344" s="280">
        <v>2780.91</v>
      </c>
      <c r="Q344" s="289">
        <v>45337</v>
      </c>
      <c r="R344" s="272"/>
      <c r="S344" s="272"/>
      <c r="T344" s="272"/>
      <c r="U344" s="272"/>
      <c r="V344" s="272"/>
      <c r="W344" s="272"/>
      <c r="X344" s="272"/>
      <c r="Y344" s="272"/>
      <c r="Z344" s="272"/>
      <c r="AA344" s="272"/>
    </row>
    <row r="345" spans="1:27">
      <c r="A345" s="273">
        <v>3</v>
      </c>
      <c r="B345" s="274" t="s">
        <v>5207</v>
      </c>
      <c r="C345" s="275">
        <v>45315</v>
      </c>
      <c r="D345" s="274" t="s">
        <v>4714</v>
      </c>
      <c r="E345" s="268" t="s">
        <v>3043</v>
      </c>
      <c r="F345" s="268" t="s">
        <v>4715</v>
      </c>
      <c r="G345" s="268" t="s">
        <v>4716</v>
      </c>
      <c r="H345" s="268" t="str">
        <f t="shared" si="1"/>
        <v>FRANCISCO J, REDONDO DEL BARCO</v>
      </c>
      <c r="I345" s="268" t="s">
        <v>4997</v>
      </c>
      <c r="J345" s="272" t="s">
        <v>4822</v>
      </c>
      <c r="K345" s="268" t="s">
        <v>5291</v>
      </c>
      <c r="L345" s="276">
        <v>45369</v>
      </c>
      <c r="M345" s="277"/>
      <c r="N345" s="282">
        <v>2</v>
      </c>
      <c r="O345" s="284" t="s">
        <v>4740</v>
      </c>
      <c r="P345" s="280">
        <v>4011.58</v>
      </c>
      <c r="Q345" s="289">
        <v>45315</v>
      </c>
      <c r="R345" s="272"/>
      <c r="S345" s="272"/>
      <c r="T345" s="272"/>
      <c r="U345" s="272"/>
      <c r="V345" s="272"/>
      <c r="W345" s="272"/>
      <c r="X345" s="272"/>
      <c r="Y345" s="272"/>
      <c r="Z345" s="272"/>
      <c r="AA345" s="272"/>
    </row>
    <row r="346" spans="1:27">
      <c r="A346" s="273">
        <v>3</v>
      </c>
      <c r="B346" s="274" t="s">
        <v>5207</v>
      </c>
      <c r="C346" s="275">
        <v>45273</v>
      </c>
      <c r="D346" s="274" t="s">
        <v>4714</v>
      </c>
      <c r="E346" s="268" t="s">
        <v>3605</v>
      </c>
      <c r="F346" s="268" t="s">
        <v>4715</v>
      </c>
      <c r="G346" s="268" t="s">
        <v>4716</v>
      </c>
      <c r="H346" s="268" t="str">
        <f t="shared" si="1"/>
        <v>JOAQUÍN ALACIO CASERO</v>
      </c>
      <c r="I346" s="268" t="s">
        <v>4925</v>
      </c>
      <c r="J346" s="272" t="s">
        <v>4718</v>
      </c>
      <c r="K346" s="268" t="s">
        <v>5292</v>
      </c>
      <c r="L346" s="276">
        <v>45369</v>
      </c>
      <c r="M346" s="277"/>
      <c r="N346" s="282">
        <v>1</v>
      </c>
      <c r="O346" s="284" t="s">
        <v>4787</v>
      </c>
      <c r="P346" s="280">
        <v>2904.55</v>
      </c>
      <c r="Q346" s="289">
        <v>45273</v>
      </c>
      <c r="R346" s="272"/>
      <c r="S346" s="272"/>
      <c r="T346" s="272"/>
      <c r="U346" s="272"/>
      <c r="V346" s="272"/>
      <c r="W346" s="272"/>
      <c r="X346" s="272"/>
      <c r="Y346" s="272"/>
      <c r="Z346" s="272"/>
      <c r="AA346" s="272"/>
    </row>
    <row r="347" spans="1:27">
      <c r="A347" s="273">
        <v>3</v>
      </c>
      <c r="B347" s="274" t="s">
        <v>5207</v>
      </c>
      <c r="C347" s="275">
        <v>45303</v>
      </c>
      <c r="D347" s="274" t="s">
        <v>4714</v>
      </c>
      <c r="E347" s="268" t="s">
        <v>2869</v>
      </c>
      <c r="F347" s="268" t="s">
        <v>4715</v>
      </c>
      <c r="G347" s="268" t="s">
        <v>4716</v>
      </c>
      <c r="H347" s="268" t="str">
        <f t="shared" si="1"/>
        <v>NURIA SALAS BARRIO</v>
      </c>
      <c r="I347" s="268" t="s">
        <v>5293</v>
      </c>
      <c r="J347" s="268" t="s">
        <v>4736</v>
      </c>
      <c r="K347" s="268" t="s">
        <v>5294</v>
      </c>
      <c r="L347" s="276">
        <v>45369</v>
      </c>
      <c r="M347" s="277"/>
      <c r="N347" s="282">
        <v>2</v>
      </c>
      <c r="O347" s="284" t="s">
        <v>4787</v>
      </c>
      <c r="P347" s="280">
        <v>3590.91</v>
      </c>
      <c r="Q347" s="289">
        <v>45303</v>
      </c>
      <c r="R347" s="272"/>
      <c r="S347" s="272"/>
      <c r="T347" s="272"/>
      <c r="U347" s="272"/>
      <c r="V347" s="272"/>
      <c r="W347" s="272"/>
      <c r="X347" s="272"/>
      <c r="Y347" s="272"/>
      <c r="Z347" s="272"/>
      <c r="AA347" s="272"/>
    </row>
    <row r="348" spans="1:27">
      <c r="A348" s="273">
        <v>3</v>
      </c>
      <c r="B348" s="274" t="s">
        <v>5207</v>
      </c>
      <c r="C348" s="275">
        <v>45338</v>
      </c>
      <c r="D348" s="274" t="s">
        <v>4714</v>
      </c>
      <c r="E348" s="268" t="s">
        <v>2869</v>
      </c>
      <c r="F348" s="268" t="s">
        <v>4715</v>
      </c>
      <c r="G348" s="268" t="s">
        <v>4716</v>
      </c>
      <c r="H348" s="268" t="str">
        <f t="shared" si="1"/>
        <v>JESÚS MIGUEL INIESTA TURPÍN</v>
      </c>
      <c r="I348" s="268" t="s">
        <v>4868</v>
      </c>
      <c r="J348" s="268" t="s">
        <v>4736</v>
      </c>
      <c r="K348" s="268" t="s">
        <v>5295</v>
      </c>
      <c r="L348" s="276">
        <v>45369</v>
      </c>
      <c r="M348" s="277"/>
      <c r="N348" s="282">
        <v>2</v>
      </c>
      <c r="O348" s="284" t="s">
        <v>4723</v>
      </c>
      <c r="P348" s="280">
        <v>2780.91</v>
      </c>
      <c r="Q348" s="289">
        <v>45338</v>
      </c>
      <c r="R348" s="272"/>
      <c r="S348" s="272"/>
      <c r="T348" s="272"/>
      <c r="U348" s="272"/>
      <c r="V348" s="272"/>
      <c r="W348" s="272"/>
      <c r="X348" s="272"/>
      <c r="Y348" s="272"/>
      <c r="Z348" s="272"/>
      <c r="AA348" s="272"/>
    </row>
    <row r="349" spans="1:27">
      <c r="A349" s="273">
        <v>3</v>
      </c>
      <c r="B349" s="274" t="s">
        <v>5207</v>
      </c>
      <c r="C349" s="275">
        <v>45321</v>
      </c>
      <c r="D349" s="274" t="s">
        <v>4714</v>
      </c>
      <c r="E349" s="268" t="s">
        <v>2869</v>
      </c>
      <c r="F349" s="268" t="s">
        <v>4715</v>
      </c>
      <c r="G349" s="268" t="s">
        <v>4716</v>
      </c>
      <c r="H349" s="268" t="str">
        <f t="shared" si="1"/>
        <v>MARÍA AGUSTINA SEVILLA GARCÍA</v>
      </c>
      <c r="I349" s="268" t="s">
        <v>4812</v>
      </c>
      <c r="J349" s="268" t="s">
        <v>4736</v>
      </c>
      <c r="K349" s="268" t="s">
        <v>5296</v>
      </c>
      <c r="L349" s="276">
        <v>45369</v>
      </c>
      <c r="M349" s="277"/>
      <c r="N349" s="282">
        <v>1</v>
      </c>
      <c r="O349" s="284" t="s">
        <v>4740</v>
      </c>
      <c r="P349" s="280">
        <v>2536.36</v>
      </c>
      <c r="Q349" s="289">
        <v>45321</v>
      </c>
      <c r="R349" s="272"/>
      <c r="S349" s="272"/>
      <c r="T349" s="272"/>
      <c r="U349" s="272"/>
      <c r="V349" s="272"/>
      <c r="W349" s="272"/>
      <c r="X349" s="272"/>
      <c r="Y349" s="272"/>
      <c r="Z349" s="272"/>
      <c r="AA349" s="272"/>
    </row>
    <row r="350" spans="1:27">
      <c r="A350" s="273">
        <v>3</v>
      </c>
      <c r="B350" s="274" t="s">
        <v>5207</v>
      </c>
      <c r="C350" s="275">
        <v>45316</v>
      </c>
      <c r="D350" s="274" t="s">
        <v>4714</v>
      </c>
      <c r="E350" s="268" t="s">
        <v>2869</v>
      </c>
      <c r="F350" s="268" t="s">
        <v>4715</v>
      </c>
      <c r="G350" s="268" t="s">
        <v>4716</v>
      </c>
      <c r="H350" s="268" t="str">
        <f t="shared" si="1"/>
        <v>ENRIQUE VIVIENTE RODRÍGUEZ</v>
      </c>
      <c r="I350" s="268" t="s">
        <v>5118</v>
      </c>
      <c r="J350" s="272" t="s">
        <v>4736</v>
      </c>
      <c r="K350" s="268" t="s">
        <v>5297</v>
      </c>
      <c r="L350" s="276">
        <v>45369</v>
      </c>
      <c r="M350" s="277"/>
      <c r="N350" s="282">
        <v>2</v>
      </c>
      <c r="O350" s="284" t="s">
        <v>4720</v>
      </c>
      <c r="P350" s="280">
        <v>3604.55</v>
      </c>
      <c r="Q350" s="289">
        <v>45316</v>
      </c>
      <c r="R350" s="272"/>
      <c r="S350" s="272"/>
      <c r="T350" s="272"/>
      <c r="U350" s="272"/>
      <c r="V350" s="272"/>
      <c r="W350" s="272"/>
      <c r="X350" s="272"/>
      <c r="Y350" s="272"/>
      <c r="Z350" s="272"/>
      <c r="AA350" s="272"/>
    </row>
    <row r="351" spans="1:27">
      <c r="A351" s="273">
        <v>3</v>
      </c>
      <c r="B351" s="274" t="s">
        <v>5207</v>
      </c>
      <c r="C351" s="275">
        <v>45314</v>
      </c>
      <c r="D351" s="274" t="s">
        <v>4714</v>
      </c>
      <c r="E351" s="268" t="s">
        <v>2869</v>
      </c>
      <c r="F351" s="268" t="s">
        <v>4715</v>
      </c>
      <c r="G351" s="268" t="s">
        <v>4716</v>
      </c>
      <c r="H351" s="268" t="str">
        <f t="shared" si="1"/>
        <v>AIDA AVIÑOA ARIAS</v>
      </c>
      <c r="I351" s="268" t="s">
        <v>5298</v>
      </c>
      <c r="J351" s="272" t="s">
        <v>4736</v>
      </c>
      <c r="K351" s="268" t="s">
        <v>5299</v>
      </c>
      <c r="L351" s="276">
        <v>45369</v>
      </c>
      <c r="M351" s="283"/>
      <c r="N351" s="282">
        <v>1</v>
      </c>
      <c r="O351" s="284" t="s">
        <v>4723</v>
      </c>
      <c r="P351" s="280">
        <v>1668.18</v>
      </c>
      <c r="Q351" s="289">
        <v>45314</v>
      </c>
      <c r="R351" s="272"/>
      <c r="S351" s="272"/>
      <c r="T351" s="272"/>
      <c r="U351" s="272"/>
      <c r="V351" s="272"/>
      <c r="W351" s="272"/>
      <c r="X351" s="272"/>
      <c r="Y351" s="272"/>
      <c r="Z351" s="272"/>
      <c r="AA351" s="272"/>
    </row>
    <row r="352" spans="1:27">
      <c r="A352" s="273">
        <v>3</v>
      </c>
      <c r="B352" s="274" t="s">
        <v>5207</v>
      </c>
      <c r="C352" s="275">
        <v>45338</v>
      </c>
      <c r="D352" s="274" t="s">
        <v>4714</v>
      </c>
      <c r="E352" s="268" t="s">
        <v>4845</v>
      </c>
      <c r="F352" s="268" t="s">
        <v>4715</v>
      </c>
      <c r="G352" s="268" t="s">
        <v>4716</v>
      </c>
      <c r="H352" s="268" t="str">
        <f t="shared" si="1"/>
        <v>JOSÉ MANUEL GARCÍA SOLANS-ESTERAS</v>
      </c>
      <c r="I352" s="268" t="s">
        <v>4873</v>
      </c>
      <c r="J352" s="272" t="s">
        <v>4806</v>
      </c>
      <c r="K352" s="268" t="s">
        <v>5300</v>
      </c>
      <c r="L352" s="276">
        <v>45369</v>
      </c>
      <c r="M352" s="277"/>
      <c r="N352" s="282">
        <v>2</v>
      </c>
      <c r="O352" s="284" t="s">
        <v>4720</v>
      </c>
      <c r="P352" s="280">
        <v>3424.55</v>
      </c>
      <c r="Q352" s="289">
        <v>45338</v>
      </c>
      <c r="R352" s="272"/>
      <c r="S352" s="272"/>
      <c r="T352" s="272"/>
      <c r="U352" s="272"/>
      <c r="V352" s="272"/>
      <c r="W352" s="272"/>
      <c r="X352" s="272"/>
      <c r="Y352" s="272"/>
      <c r="Z352" s="272"/>
      <c r="AA352" s="272"/>
    </row>
    <row r="353" spans="1:27">
      <c r="A353" s="273">
        <v>3</v>
      </c>
      <c r="B353" s="274" t="s">
        <v>5207</v>
      </c>
      <c r="C353" s="275">
        <v>45244</v>
      </c>
      <c r="D353" s="274" t="s">
        <v>4714</v>
      </c>
      <c r="E353" s="268" t="s">
        <v>2893</v>
      </c>
      <c r="F353" s="268" t="s">
        <v>4715</v>
      </c>
      <c r="G353" s="268" t="s">
        <v>4716</v>
      </c>
      <c r="H353" s="268" t="str">
        <f t="shared" si="1"/>
        <v>JOSÉ CARLOS CASQUEIRO SÁNCHEZ</v>
      </c>
      <c r="I353" s="268" t="s">
        <v>5301</v>
      </c>
      <c r="J353" s="272" t="s">
        <v>4718</v>
      </c>
      <c r="K353" s="268" t="s">
        <v>5302</v>
      </c>
      <c r="L353" s="276">
        <v>45370</v>
      </c>
      <c r="M353" s="277"/>
      <c r="N353" s="282">
        <v>1</v>
      </c>
      <c r="O353" s="284" t="s">
        <v>4740</v>
      </c>
      <c r="P353" s="280">
        <v>693.64</v>
      </c>
      <c r="Q353" s="289">
        <v>45244</v>
      </c>
      <c r="R353" s="272"/>
      <c r="S353" s="272"/>
      <c r="T353" s="272"/>
      <c r="U353" s="272"/>
      <c r="V353" s="272"/>
      <c r="W353" s="272"/>
      <c r="X353" s="272"/>
      <c r="Y353" s="272"/>
      <c r="Z353" s="272"/>
      <c r="AA353" s="272"/>
    </row>
    <row r="354" spans="1:27">
      <c r="A354" s="273">
        <v>3</v>
      </c>
      <c r="B354" s="274" t="s">
        <v>5207</v>
      </c>
      <c r="C354" s="275">
        <v>45342</v>
      </c>
      <c r="D354" s="274" t="s">
        <v>4714</v>
      </c>
      <c r="E354" s="268" t="s">
        <v>2893</v>
      </c>
      <c r="F354" s="268" t="s">
        <v>4715</v>
      </c>
      <c r="G354" s="268" t="s">
        <v>4716</v>
      </c>
      <c r="H354" s="268" t="str">
        <f t="shared" si="1"/>
        <v>JESÚS ATALAYA DÍAZ</v>
      </c>
      <c r="I354" s="268" t="s">
        <v>5073</v>
      </c>
      <c r="J354" s="272" t="s">
        <v>4718</v>
      </c>
      <c r="K354" s="268" t="s">
        <v>5303</v>
      </c>
      <c r="L354" s="276">
        <v>45370</v>
      </c>
      <c r="M354" s="277"/>
      <c r="N354" s="282">
        <v>2</v>
      </c>
      <c r="O354" s="284" t="s">
        <v>4720</v>
      </c>
      <c r="P354" s="280">
        <v>3604.55</v>
      </c>
      <c r="Q354" s="289">
        <v>45342</v>
      </c>
      <c r="R354" s="272"/>
      <c r="S354" s="272"/>
      <c r="T354" s="272"/>
      <c r="U354" s="272"/>
      <c r="V354" s="272"/>
      <c r="W354" s="272"/>
      <c r="X354" s="272"/>
      <c r="Y354" s="272"/>
      <c r="Z354" s="272"/>
      <c r="AA354" s="272"/>
    </row>
    <row r="355" spans="1:27">
      <c r="A355" s="273">
        <v>3</v>
      </c>
      <c r="B355" s="274" t="s">
        <v>5207</v>
      </c>
      <c r="C355" s="275">
        <v>45349</v>
      </c>
      <c r="D355" s="274" t="s">
        <v>4714</v>
      </c>
      <c r="E355" s="268" t="s">
        <v>2893</v>
      </c>
      <c r="F355" s="268" t="s">
        <v>4715</v>
      </c>
      <c r="G355" s="268" t="s">
        <v>4716</v>
      </c>
      <c r="H355" s="268" t="str">
        <f t="shared" si="1"/>
        <v>VICENTE MARTÍNEZ SANTOS</v>
      </c>
      <c r="I355" s="268" t="s">
        <v>4832</v>
      </c>
      <c r="J355" s="268" t="s">
        <v>4718</v>
      </c>
      <c r="K355" s="268" t="s">
        <v>5304</v>
      </c>
      <c r="L355" s="276">
        <v>45370</v>
      </c>
      <c r="M355" s="277"/>
      <c r="N355" s="282">
        <v>2</v>
      </c>
      <c r="O355" s="284" t="s">
        <v>4723</v>
      </c>
      <c r="P355" s="280">
        <v>2780.91</v>
      </c>
      <c r="Q355" s="289">
        <v>45349</v>
      </c>
      <c r="R355" s="272"/>
      <c r="S355" s="272"/>
      <c r="T355" s="272"/>
      <c r="U355" s="272"/>
      <c r="V355" s="272"/>
      <c r="W355" s="272"/>
      <c r="X355" s="272"/>
      <c r="Y355" s="272"/>
      <c r="Z355" s="272"/>
      <c r="AA355" s="272"/>
    </row>
    <row r="356" spans="1:27">
      <c r="A356" s="273">
        <v>3</v>
      </c>
      <c r="B356" s="274" t="s">
        <v>5207</v>
      </c>
      <c r="C356" s="275">
        <v>45229</v>
      </c>
      <c r="D356" s="274" t="s">
        <v>4714</v>
      </c>
      <c r="E356" s="268" t="s">
        <v>2893</v>
      </c>
      <c r="F356" s="268" t="s">
        <v>4715</v>
      </c>
      <c r="G356" s="268" t="s">
        <v>4716</v>
      </c>
      <c r="H356" s="268" t="str">
        <f t="shared" si="1"/>
        <v>ANA RUIZ FORNELLS NOREÑA</v>
      </c>
      <c r="I356" s="268" t="s">
        <v>5110</v>
      </c>
      <c r="J356" s="272" t="s">
        <v>4718</v>
      </c>
      <c r="K356" s="268" t="s">
        <v>5305</v>
      </c>
      <c r="L356" s="276">
        <v>45370</v>
      </c>
      <c r="M356" s="283"/>
      <c r="N356" s="282">
        <v>1</v>
      </c>
      <c r="O356" s="284" t="s">
        <v>4740</v>
      </c>
      <c r="P356" s="280">
        <v>2536.36</v>
      </c>
      <c r="Q356" s="289">
        <v>45229</v>
      </c>
      <c r="R356" s="272"/>
      <c r="S356" s="272"/>
      <c r="T356" s="272"/>
      <c r="U356" s="272"/>
      <c r="V356" s="272"/>
      <c r="W356" s="272"/>
      <c r="X356" s="272"/>
      <c r="Y356" s="272"/>
      <c r="Z356" s="272"/>
      <c r="AA356" s="272"/>
    </row>
    <row r="357" spans="1:27">
      <c r="A357" s="273">
        <v>3</v>
      </c>
      <c r="B357" s="274" t="s">
        <v>5207</v>
      </c>
      <c r="C357" s="275">
        <v>45201</v>
      </c>
      <c r="D357" s="274" t="s">
        <v>4714</v>
      </c>
      <c r="E357" s="268" t="s">
        <v>3605</v>
      </c>
      <c r="F357" s="268" t="s">
        <v>4715</v>
      </c>
      <c r="G357" s="268" t="s">
        <v>4716</v>
      </c>
      <c r="H357" s="268" t="str">
        <f t="shared" si="1"/>
        <v>GUILLERMO SAN JUAN DE LA MORETA</v>
      </c>
      <c r="I357" s="268" t="s">
        <v>5100</v>
      </c>
      <c r="J357" s="272" t="s">
        <v>4718</v>
      </c>
      <c r="K357" s="268" t="s">
        <v>5306</v>
      </c>
      <c r="L357" s="276">
        <v>45370</v>
      </c>
      <c r="M357" s="277"/>
      <c r="N357" s="282">
        <v>2</v>
      </c>
      <c r="O357" s="284" t="s">
        <v>4723</v>
      </c>
      <c r="P357" s="280">
        <v>2780.91</v>
      </c>
      <c r="Q357" s="289">
        <v>45201</v>
      </c>
      <c r="R357" s="272"/>
      <c r="S357" s="272"/>
      <c r="T357" s="272"/>
      <c r="U357" s="272"/>
      <c r="V357" s="272"/>
      <c r="W357" s="272"/>
      <c r="X357" s="272"/>
      <c r="Y357" s="272"/>
      <c r="Z357" s="272"/>
      <c r="AA357" s="272"/>
    </row>
    <row r="358" spans="1:27">
      <c r="A358" s="273">
        <v>3</v>
      </c>
      <c r="B358" s="274" t="s">
        <v>5207</v>
      </c>
      <c r="C358" s="275">
        <v>45323</v>
      </c>
      <c r="D358" s="274" t="s">
        <v>4714</v>
      </c>
      <c r="E358" s="268" t="s">
        <v>4780</v>
      </c>
      <c r="F358" s="268" t="s">
        <v>4715</v>
      </c>
      <c r="G358" s="268" t="s">
        <v>4716</v>
      </c>
      <c r="H358" s="268" t="str">
        <f t="shared" si="1"/>
        <v>LUIS MIGUEL RINCÓN ESTEBAN</v>
      </c>
      <c r="I358" s="268" t="s">
        <v>5307</v>
      </c>
      <c r="J358" s="272" t="s">
        <v>4747</v>
      </c>
      <c r="K358" s="268" t="s">
        <v>5308</v>
      </c>
      <c r="L358" s="276">
        <v>45370</v>
      </c>
      <c r="M358" s="283"/>
      <c r="N358" s="282">
        <v>2</v>
      </c>
      <c r="O358" s="284" t="s">
        <v>4723</v>
      </c>
      <c r="P358" s="280">
        <v>2780.91</v>
      </c>
      <c r="Q358" s="289">
        <v>45323</v>
      </c>
      <c r="R358" s="272"/>
      <c r="S358" s="272"/>
      <c r="T358" s="272"/>
      <c r="U358" s="272"/>
      <c r="V358" s="272"/>
      <c r="W358" s="272"/>
      <c r="X358" s="272"/>
      <c r="Y358" s="272"/>
      <c r="Z358" s="272"/>
      <c r="AA358" s="272"/>
    </row>
    <row r="359" spans="1:27">
      <c r="A359" s="273">
        <v>3</v>
      </c>
      <c r="B359" s="274" t="s">
        <v>5207</v>
      </c>
      <c r="C359" s="275">
        <v>45316</v>
      </c>
      <c r="D359" s="274" t="s">
        <v>4714</v>
      </c>
      <c r="E359" s="268" t="s">
        <v>4759</v>
      </c>
      <c r="F359" s="268" t="s">
        <v>4715</v>
      </c>
      <c r="G359" s="268" t="s">
        <v>4716</v>
      </c>
      <c r="H359" s="268" t="str">
        <f t="shared" si="1"/>
        <v>PEDRO HUESO GUTIERREZ</v>
      </c>
      <c r="I359" s="268" t="s">
        <v>5309</v>
      </c>
      <c r="J359" s="272" t="s">
        <v>4747</v>
      </c>
      <c r="K359" s="268" t="s">
        <v>5310</v>
      </c>
      <c r="L359" s="276">
        <v>45370</v>
      </c>
      <c r="M359" s="277"/>
      <c r="N359" s="282">
        <v>2</v>
      </c>
      <c r="O359" s="284" t="s">
        <v>4720</v>
      </c>
      <c r="P359" s="280">
        <v>3522.73</v>
      </c>
      <c r="Q359" s="289">
        <v>45316</v>
      </c>
      <c r="R359" s="272"/>
      <c r="S359" s="272"/>
      <c r="T359" s="272"/>
      <c r="U359" s="272"/>
      <c r="V359" s="272"/>
      <c r="W359" s="272"/>
      <c r="X359" s="272"/>
      <c r="Y359" s="272"/>
      <c r="Z359" s="272"/>
      <c r="AA359" s="272"/>
    </row>
    <row r="360" spans="1:27">
      <c r="A360" s="273">
        <v>3</v>
      </c>
      <c r="B360" s="274" t="s">
        <v>5207</v>
      </c>
      <c r="C360" s="275">
        <v>45342</v>
      </c>
      <c r="D360" s="274" t="s">
        <v>4714</v>
      </c>
      <c r="E360" s="268" t="s">
        <v>4734</v>
      </c>
      <c r="F360" s="268" t="s">
        <v>4715</v>
      </c>
      <c r="G360" s="268" t="s">
        <v>4716</v>
      </c>
      <c r="H360" s="268" t="str">
        <f t="shared" si="1"/>
        <v>MARÍA EMILIA GARCÍA RUÍZ</v>
      </c>
      <c r="I360" s="268" t="s">
        <v>5311</v>
      </c>
      <c r="J360" s="272" t="s">
        <v>4736</v>
      </c>
      <c r="K360" s="268" t="s">
        <v>5312</v>
      </c>
      <c r="L360" s="276">
        <v>45371</v>
      </c>
      <c r="M360" s="283"/>
      <c r="N360" s="282">
        <v>1</v>
      </c>
      <c r="O360" s="284" t="s">
        <v>4740</v>
      </c>
      <c r="P360" s="280">
        <v>2606.36</v>
      </c>
      <c r="Q360" s="287">
        <v>45342</v>
      </c>
      <c r="R360" s="272"/>
      <c r="S360" s="272"/>
      <c r="T360" s="272"/>
      <c r="U360" s="272"/>
      <c r="V360" s="272"/>
      <c r="W360" s="272"/>
      <c r="X360" s="272"/>
      <c r="Y360" s="272"/>
      <c r="Z360" s="272"/>
      <c r="AA360" s="272"/>
    </row>
    <row r="361" spans="1:27">
      <c r="A361" s="273">
        <v>3</v>
      </c>
      <c r="B361" s="274" t="s">
        <v>5207</v>
      </c>
      <c r="C361" s="275">
        <v>45350</v>
      </c>
      <c r="D361" s="274" t="s">
        <v>4714</v>
      </c>
      <c r="E361" s="268" t="s">
        <v>4734</v>
      </c>
      <c r="F361" s="268" t="s">
        <v>4715</v>
      </c>
      <c r="G361" s="268" t="s">
        <v>4716</v>
      </c>
      <c r="H361" s="268" t="str">
        <f t="shared" si="1"/>
        <v>ISABEL POLO TOMÁS</v>
      </c>
      <c r="I361" s="268" t="s">
        <v>4912</v>
      </c>
      <c r="J361" s="272" t="s">
        <v>4736</v>
      </c>
      <c r="K361" s="268" t="s">
        <v>5313</v>
      </c>
      <c r="L361" s="276">
        <v>45371</v>
      </c>
      <c r="M361" s="283"/>
      <c r="N361" s="282">
        <v>2</v>
      </c>
      <c r="O361" s="284" t="s">
        <v>4720</v>
      </c>
      <c r="P361" s="280">
        <v>3604.55</v>
      </c>
      <c r="Q361" s="289">
        <v>45350</v>
      </c>
      <c r="R361" s="272"/>
      <c r="S361" s="272"/>
      <c r="T361" s="272"/>
      <c r="U361" s="272"/>
      <c r="V361" s="272"/>
      <c r="W361" s="272"/>
      <c r="X361" s="272"/>
      <c r="Y361" s="272"/>
      <c r="Z361" s="272"/>
      <c r="AA361" s="272"/>
    </row>
    <row r="362" spans="1:27">
      <c r="A362" s="273">
        <v>3</v>
      </c>
      <c r="B362" s="274" t="s">
        <v>5207</v>
      </c>
      <c r="C362" s="275">
        <v>45348</v>
      </c>
      <c r="D362" s="274" t="s">
        <v>4714</v>
      </c>
      <c r="E362" s="268" t="s">
        <v>4734</v>
      </c>
      <c r="F362" s="268" t="s">
        <v>4715</v>
      </c>
      <c r="G362" s="268" t="s">
        <v>4716</v>
      </c>
      <c r="H362" s="268" t="str">
        <f t="shared" si="1"/>
        <v>ISABEL POLO TOMÁS</v>
      </c>
      <c r="I362" s="268" t="s">
        <v>4912</v>
      </c>
      <c r="J362" s="272" t="s">
        <v>4736</v>
      </c>
      <c r="K362" s="268" t="s">
        <v>5314</v>
      </c>
      <c r="L362" s="276">
        <v>45371</v>
      </c>
      <c r="M362" s="283"/>
      <c r="N362" s="282">
        <v>2</v>
      </c>
      <c r="O362" s="284" t="s">
        <v>4720</v>
      </c>
      <c r="P362" s="280">
        <v>3604.55</v>
      </c>
      <c r="Q362" s="289">
        <v>45348</v>
      </c>
      <c r="R362" s="272"/>
      <c r="S362" s="272"/>
      <c r="T362" s="272"/>
      <c r="U362" s="272"/>
      <c r="V362" s="272"/>
      <c r="W362" s="272"/>
      <c r="X362" s="272"/>
      <c r="Y362" s="272"/>
      <c r="Z362" s="272"/>
      <c r="AA362" s="272"/>
    </row>
    <row r="363" spans="1:27">
      <c r="A363" s="273">
        <v>3</v>
      </c>
      <c r="B363" s="274" t="s">
        <v>5207</v>
      </c>
      <c r="C363" s="275">
        <v>45329</v>
      </c>
      <c r="D363" s="274" t="s">
        <v>4714</v>
      </c>
      <c r="E363" s="268" t="s">
        <v>4194</v>
      </c>
      <c r="F363" s="268" t="s">
        <v>4715</v>
      </c>
      <c r="G363" s="268" t="s">
        <v>4716</v>
      </c>
      <c r="H363" s="268" t="str">
        <f t="shared" si="1"/>
        <v>FRANCISCO PASTOR BEVIÁ</v>
      </c>
      <c r="I363" s="268" t="s">
        <v>4738</v>
      </c>
      <c r="J363" s="272" t="s">
        <v>4736</v>
      </c>
      <c r="K363" s="268" t="s">
        <v>5315</v>
      </c>
      <c r="L363" s="276">
        <v>45371</v>
      </c>
      <c r="M363" s="283"/>
      <c r="N363" s="282">
        <v>1</v>
      </c>
      <c r="O363" s="284" t="s">
        <v>4740</v>
      </c>
      <c r="P363" s="280">
        <v>2545.4499999999998</v>
      </c>
      <c r="Q363" s="289">
        <v>45329</v>
      </c>
      <c r="R363" s="272"/>
      <c r="S363" s="272"/>
      <c r="T363" s="272"/>
      <c r="U363" s="272"/>
      <c r="V363" s="272"/>
      <c r="W363" s="272"/>
      <c r="X363" s="272"/>
      <c r="Y363" s="272"/>
      <c r="Z363" s="272"/>
      <c r="AA363" s="272"/>
    </row>
    <row r="364" spans="1:27">
      <c r="A364" s="273">
        <v>3</v>
      </c>
      <c r="B364" s="274" t="s">
        <v>5207</v>
      </c>
      <c r="C364" s="275">
        <v>45337</v>
      </c>
      <c r="D364" s="274" t="s">
        <v>4714</v>
      </c>
      <c r="E364" s="268" t="s">
        <v>4194</v>
      </c>
      <c r="F364" s="268" t="s">
        <v>4715</v>
      </c>
      <c r="G364" s="268" t="s">
        <v>4716</v>
      </c>
      <c r="H364" s="268" t="str">
        <f t="shared" si="1"/>
        <v>KAREN ROJAS CRESPO</v>
      </c>
      <c r="I364" s="268" t="s">
        <v>5260</v>
      </c>
      <c r="J364" s="272" t="s">
        <v>4736</v>
      </c>
      <c r="K364" s="268" t="s">
        <v>5316</v>
      </c>
      <c r="L364" s="276">
        <v>45371</v>
      </c>
      <c r="M364" s="277"/>
      <c r="N364" s="282">
        <v>2</v>
      </c>
      <c r="O364" s="284" t="s">
        <v>4723</v>
      </c>
      <c r="P364" s="280">
        <v>2780.91</v>
      </c>
      <c r="Q364" s="289">
        <v>45337</v>
      </c>
      <c r="R364" s="272"/>
      <c r="S364" s="272"/>
      <c r="T364" s="272"/>
      <c r="U364" s="272"/>
      <c r="V364" s="272"/>
      <c r="W364" s="272"/>
      <c r="X364" s="272"/>
      <c r="Y364" s="272"/>
      <c r="Z364" s="272"/>
      <c r="AA364" s="272"/>
    </row>
    <row r="365" spans="1:27">
      <c r="A365" s="273">
        <v>3</v>
      </c>
      <c r="B365" s="274" t="s">
        <v>5207</v>
      </c>
      <c r="C365" s="275">
        <v>44319</v>
      </c>
      <c r="D365" s="274" t="s">
        <v>4714</v>
      </c>
      <c r="E365" s="268" t="s">
        <v>4194</v>
      </c>
      <c r="F365" s="268" t="s">
        <v>4724</v>
      </c>
      <c r="G365" s="268" t="s">
        <v>4725</v>
      </c>
      <c r="H365" s="268" t="str">
        <f t="shared" si="1"/>
        <v>FÉLIX RUÍZ DE LA CUESTA JUSTE</v>
      </c>
      <c r="I365" s="268" t="s">
        <v>4930</v>
      </c>
      <c r="J365" s="272" t="s">
        <v>4736</v>
      </c>
      <c r="K365" s="268" t="s">
        <v>5317</v>
      </c>
      <c r="L365" s="276">
        <v>45371</v>
      </c>
      <c r="M365" s="277"/>
      <c r="N365" s="282">
        <v>2</v>
      </c>
      <c r="O365" s="284" t="s">
        <v>4740</v>
      </c>
      <c r="P365" s="280">
        <v>727.26</v>
      </c>
      <c r="Q365" s="289">
        <v>44319</v>
      </c>
      <c r="R365" s="272"/>
      <c r="S365" s="272"/>
      <c r="T365" s="272"/>
      <c r="U365" s="272"/>
      <c r="V365" s="272"/>
      <c r="W365" s="272"/>
      <c r="X365" s="272"/>
      <c r="Y365" s="272"/>
      <c r="Z365" s="272"/>
      <c r="AA365" s="272"/>
    </row>
    <row r="366" spans="1:27">
      <c r="A366" s="273">
        <v>3</v>
      </c>
      <c r="B366" s="274" t="s">
        <v>5207</v>
      </c>
      <c r="C366" s="275">
        <v>45358</v>
      </c>
      <c r="D366" s="274" t="s">
        <v>4714</v>
      </c>
      <c r="E366" s="268" t="s">
        <v>5318</v>
      </c>
      <c r="F366" s="268" t="s">
        <v>4715</v>
      </c>
      <c r="G366" s="268" t="s">
        <v>4716</v>
      </c>
      <c r="H366" s="268" t="str">
        <f t="shared" si="1"/>
        <v>TOMAS MOGOLLON CANO CORTES</v>
      </c>
      <c r="I366" s="268" t="s">
        <v>5319</v>
      </c>
      <c r="J366" s="272" t="s">
        <v>4729</v>
      </c>
      <c r="K366" s="268" t="s">
        <v>5320</v>
      </c>
      <c r="L366" s="276">
        <v>45371</v>
      </c>
      <c r="M366" s="283"/>
      <c r="N366" s="282">
        <v>2</v>
      </c>
      <c r="O366" s="284" t="s">
        <v>4720</v>
      </c>
      <c r="P366" s="280">
        <v>3595.45</v>
      </c>
      <c r="Q366" s="289">
        <v>45358</v>
      </c>
      <c r="R366" s="272"/>
      <c r="S366" s="272"/>
      <c r="T366" s="272"/>
      <c r="U366" s="272"/>
      <c r="V366" s="272"/>
      <c r="W366" s="272"/>
      <c r="X366" s="272"/>
      <c r="Y366" s="272"/>
      <c r="Z366" s="272"/>
      <c r="AA366" s="272"/>
    </row>
    <row r="367" spans="1:27">
      <c r="A367" s="273">
        <v>3</v>
      </c>
      <c r="B367" s="274" t="s">
        <v>5207</v>
      </c>
      <c r="C367" s="275">
        <v>45244</v>
      </c>
      <c r="D367" s="274" t="s">
        <v>4714</v>
      </c>
      <c r="E367" s="268" t="s">
        <v>5321</v>
      </c>
      <c r="F367" s="268" t="s">
        <v>4715</v>
      </c>
      <c r="G367" s="268" t="s">
        <v>4716</v>
      </c>
      <c r="H367" s="268" t="str">
        <f t="shared" si="1"/>
        <v>JORDI LLUANSI PANELLA</v>
      </c>
      <c r="I367" s="268" t="s">
        <v>5322</v>
      </c>
      <c r="J367" s="272" t="s">
        <v>4806</v>
      </c>
      <c r="K367" s="268" t="s">
        <v>5323</v>
      </c>
      <c r="L367" s="276">
        <v>45371</v>
      </c>
      <c r="M367" s="283"/>
      <c r="N367" s="282">
        <v>2</v>
      </c>
      <c r="O367" s="284" t="s">
        <v>4740</v>
      </c>
      <c r="P367" s="280">
        <v>4222.7299999999996</v>
      </c>
      <c r="Q367" s="289">
        <v>45244</v>
      </c>
      <c r="R367" s="272"/>
      <c r="S367" s="272"/>
      <c r="T367" s="272"/>
      <c r="U367" s="272"/>
      <c r="V367" s="272"/>
      <c r="W367" s="272"/>
      <c r="X367" s="272"/>
      <c r="Y367" s="272"/>
      <c r="Z367" s="272"/>
      <c r="AA367" s="272"/>
    </row>
    <row r="368" spans="1:27">
      <c r="A368" s="273">
        <v>3</v>
      </c>
      <c r="B368" s="274" t="s">
        <v>5207</v>
      </c>
      <c r="C368" s="275">
        <v>45349</v>
      </c>
      <c r="D368" s="274" t="s">
        <v>4714</v>
      </c>
      <c r="E368" s="268" t="s">
        <v>2893</v>
      </c>
      <c r="F368" s="268" t="s">
        <v>4715</v>
      </c>
      <c r="G368" s="268" t="s">
        <v>4716</v>
      </c>
      <c r="H368" s="268" t="str">
        <f t="shared" si="1"/>
        <v>CARMEN JUAN IVARS</v>
      </c>
      <c r="I368" s="268" t="s">
        <v>5324</v>
      </c>
      <c r="J368" s="272" t="s">
        <v>4718</v>
      </c>
      <c r="K368" s="268" t="s">
        <v>5325</v>
      </c>
      <c r="L368" s="276">
        <v>45371</v>
      </c>
      <c r="M368" s="283"/>
      <c r="N368" s="282">
        <v>1</v>
      </c>
      <c r="O368" s="284" t="s">
        <v>4787</v>
      </c>
      <c r="P368" s="280">
        <v>2904.55</v>
      </c>
      <c r="Q368" s="289">
        <v>45349</v>
      </c>
      <c r="R368" s="272"/>
      <c r="S368" s="272"/>
      <c r="T368" s="272"/>
      <c r="U368" s="272"/>
      <c r="V368" s="272"/>
      <c r="W368" s="272"/>
      <c r="X368" s="272"/>
      <c r="Y368" s="272"/>
      <c r="Z368" s="272"/>
      <c r="AA368" s="272"/>
    </row>
    <row r="369" spans="1:27">
      <c r="A369" s="273">
        <v>3</v>
      </c>
      <c r="B369" s="274" t="s">
        <v>5207</v>
      </c>
      <c r="C369" s="275">
        <v>44718</v>
      </c>
      <c r="D369" s="274" t="s">
        <v>4714</v>
      </c>
      <c r="E369" s="268" t="s">
        <v>2893</v>
      </c>
      <c r="F369" s="268" t="s">
        <v>4715</v>
      </c>
      <c r="G369" s="268" t="s">
        <v>4716</v>
      </c>
      <c r="H369" s="268" t="str">
        <f t="shared" si="1"/>
        <v>VICENTE MARTÍNEZ SANTOS</v>
      </c>
      <c r="I369" s="268" t="s">
        <v>4832</v>
      </c>
      <c r="J369" s="272" t="s">
        <v>4718</v>
      </c>
      <c r="K369" s="268" t="s">
        <v>5326</v>
      </c>
      <c r="L369" s="276">
        <v>45371</v>
      </c>
      <c r="M369" s="277"/>
      <c r="N369" s="282">
        <v>2</v>
      </c>
      <c r="O369" s="284" t="s">
        <v>4723</v>
      </c>
      <c r="P369" s="280">
        <v>2780.91</v>
      </c>
      <c r="Q369" s="289">
        <v>44718</v>
      </c>
      <c r="R369" s="272"/>
      <c r="S369" s="272"/>
      <c r="T369" s="272"/>
      <c r="U369" s="272"/>
      <c r="V369" s="272"/>
      <c r="W369" s="272"/>
      <c r="X369" s="272"/>
      <c r="Y369" s="272"/>
      <c r="Z369" s="272"/>
      <c r="AA369" s="272"/>
    </row>
    <row r="370" spans="1:27">
      <c r="A370" s="273">
        <v>3</v>
      </c>
      <c r="B370" s="274" t="s">
        <v>5207</v>
      </c>
      <c r="C370" s="275">
        <v>45337</v>
      </c>
      <c r="D370" s="274" t="s">
        <v>4714</v>
      </c>
      <c r="E370" s="268" t="s">
        <v>3193</v>
      </c>
      <c r="F370" s="268" t="s">
        <v>4715</v>
      </c>
      <c r="G370" s="268" t="s">
        <v>4716</v>
      </c>
      <c r="H370" s="268" t="str">
        <f t="shared" si="1"/>
        <v>FÉLIX RODRÍGUEZ PAZ</v>
      </c>
      <c r="I370" s="268" t="s">
        <v>5092</v>
      </c>
      <c r="J370" s="272" t="s">
        <v>4718</v>
      </c>
      <c r="K370" s="268" t="s">
        <v>5327</v>
      </c>
      <c r="L370" s="276">
        <v>45371</v>
      </c>
      <c r="M370" s="277"/>
      <c r="N370" s="282">
        <v>2</v>
      </c>
      <c r="O370" s="284" t="s">
        <v>4740</v>
      </c>
      <c r="P370" s="280">
        <v>4222.7299999999996</v>
      </c>
      <c r="Q370" s="289">
        <v>45337</v>
      </c>
      <c r="R370" s="272"/>
      <c r="S370" s="272"/>
      <c r="T370" s="272"/>
      <c r="U370" s="272"/>
      <c r="V370" s="272"/>
      <c r="W370" s="272"/>
      <c r="X370" s="272"/>
      <c r="Y370" s="272"/>
      <c r="Z370" s="272"/>
      <c r="AA370" s="272"/>
    </row>
    <row r="371" spans="1:27">
      <c r="A371" s="273">
        <v>3</v>
      </c>
      <c r="B371" s="274" t="s">
        <v>5207</v>
      </c>
      <c r="C371" s="275">
        <v>44469</v>
      </c>
      <c r="D371" s="285" t="s">
        <v>4714</v>
      </c>
      <c r="E371" s="268" t="s">
        <v>3758</v>
      </c>
      <c r="F371" s="268" t="s">
        <v>4715</v>
      </c>
      <c r="G371" s="268" t="s">
        <v>4716</v>
      </c>
      <c r="H371" s="268" t="str">
        <f t="shared" si="1"/>
        <v>GUSTAVO CÓRDOVA RAMOS</v>
      </c>
      <c r="I371" s="268" t="s">
        <v>5328</v>
      </c>
      <c r="J371" s="268" t="s">
        <v>4718</v>
      </c>
      <c r="K371" s="268" t="s">
        <v>5329</v>
      </c>
      <c r="L371" s="276">
        <v>45371</v>
      </c>
      <c r="M371" s="277"/>
      <c r="N371" s="282">
        <v>2</v>
      </c>
      <c r="O371" s="284" t="s">
        <v>4723</v>
      </c>
      <c r="P371" s="280">
        <v>2780.91</v>
      </c>
      <c r="Q371" s="289">
        <v>44469</v>
      </c>
      <c r="R371" s="272"/>
      <c r="S371" s="272"/>
      <c r="T371" s="272"/>
      <c r="U371" s="272"/>
      <c r="V371" s="272"/>
      <c r="W371" s="272"/>
      <c r="X371" s="272"/>
      <c r="Y371" s="272"/>
      <c r="Z371" s="272"/>
      <c r="AA371" s="272"/>
    </row>
    <row r="372" spans="1:27">
      <c r="A372" s="273">
        <v>3</v>
      </c>
      <c r="B372" s="274" t="s">
        <v>5207</v>
      </c>
      <c r="C372" s="275">
        <v>45323</v>
      </c>
      <c r="D372" s="274" t="s">
        <v>4714</v>
      </c>
      <c r="E372" s="268" t="s">
        <v>2869</v>
      </c>
      <c r="F372" s="268" t="s">
        <v>4715</v>
      </c>
      <c r="G372" s="268" t="s">
        <v>4716</v>
      </c>
      <c r="H372" s="268" t="str">
        <f t="shared" si="1"/>
        <v>ENRIQUE LÓPEZ MESEGUER</v>
      </c>
      <c r="I372" s="268" t="s">
        <v>5330</v>
      </c>
      <c r="J372" s="272" t="s">
        <v>4736</v>
      </c>
      <c r="K372" s="268" t="s">
        <v>5331</v>
      </c>
      <c r="L372" s="276">
        <v>45371</v>
      </c>
      <c r="M372" s="277"/>
      <c r="N372" s="282">
        <v>1</v>
      </c>
      <c r="O372" s="284" t="s">
        <v>4720</v>
      </c>
      <c r="P372" s="280">
        <v>2162.73</v>
      </c>
      <c r="Q372" s="289">
        <v>45323</v>
      </c>
      <c r="R372" s="272"/>
      <c r="S372" s="272"/>
      <c r="T372" s="272"/>
      <c r="U372" s="272"/>
      <c r="V372" s="272"/>
      <c r="W372" s="272"/>
      <c r="X372" s="272"/>
      <c r="Y372" s="272"/>
      <c r="Z372" s="272"/>
      <c r="AA372" s="272"/>
    </row>
    <row r="373" spans="1:27">
      <c r="A373" s="273">
        <v>3</v>
      </c>
      <c r="B373" s="274" t="s">
        <v>5207</v>
      </c>
      <c r="C373" s="275">
        <v>45323</v>
      </c>
      <c r="D373" s="274" t="s">
        <v>4714</v>
      </c>
      <c r="E373" s="268" t="s">
        <v>5225</v>
      </c>
      <c r="F373" s="268" t="s">
        <v>4715</v>
      </c>
      <c r="G373" s="268" t="s">
        <v>4716</v>
      </c>
      <c r="H373" s="268" t="str">
        <f t="shared" si="1"/>
        <v>GABRIEL MARTÍNEZ CAPOCCINI</v>
      </c>
      <c r="I373" s="268" t="s">
        <v>5332</v>
      </c>
      <c r="J373" s="272" t="s">
        <v>4790</v>
      </c>
      <c r="K373" s="268" t="s">
        <v>5333</v>
      </c>
      <c r="L373" s="276">
        <v>45371</v>
      </c>
      <c r="M373" s="283"/>
      <c r="N373" s="282">
        <v>2</v>
      </c>
      <c r="O373" s="284" t="s">
        <v>4720</v>
      </c>
      <c r="P373" s="280">
        <v>3604.55</v>
      </c>
      <c r="Q373" s="289">
        <v>45323</v>
      </c>
      <c r="R373" s="272"/>
      <c r="S373" s="272"/>
      <c r="T373" s="272"/>
      <c r="U373" s="272"/>
      <c r="V373" s="272"/>
      <c r="W373" s="272"/>
      <c r="X373" s="272"/>
      <c r="Y373" s="272"/>
      <c r="Z373" s="272"/>
      <c r="AA373" s="272"/>
    </row>
    <row r="374" spans="1:27">
      <c r="A374" s="273">
        <v>3</v>
      </c>
      <c r="B374" s="274" t="s">
        <v>5207</v>
      </c>
      <c r="C374" s="275">
        <v>45323</v>
      </c>
      <c r="D374" s="274" t="s">
        <v>4714</v>
      </c>
      <c r="E374" s="268" t="s">
        <v>5225</v>
      </c>
      <c r="F374" s="268" t="s">
        <v>4715</v>
      </c>
      <c r="G374" s="268" t="s">
        <v>4716</v>
      </c>
      <c r="H374" s="268" t="str">
        <f t="shared" si="1"/>
        <v>GABRIEL MARTÍNEZ CAPOCCINI</v>
      </c>
      <c r="I374" s="268" t="s">
        <v>5332</v>
      </c>
      <c r="J374" s="272" t="s">
        <v>4790</v>
      </c>
      <c r="K374" s="268" t="s">
        <v>5334</v>
      </c>
      <c r="L374" s="276">
        <v>45371</v>
      </c>
      <c r="M374" s="277"/>
      <c r="N374" s="282">
        <v>2</v>
      </c>
      <c r="O374" s="284" t="s">
        <v>4720</v>
      </c>
      <c r="P374" s="280">
        <v>3604.55</v>
      </c>
      <c r="Q374" s="289">
        <v>45323</v>
      </c>
      <c r="R374" s="272"/>
      <c r="S374" s="272"/>
      <c r="T374" s="272"/>
      <c r="U374" s="272"/>
      <c r="V374" s="272"/>
      <c r="W374" s="272"/>
      <c r="X374" s="272"/>
      <c r="Y374" s="272"/>
      <c r="Z374" s="272"/>
      <c r="AA374" s="272"/>
    </row>
    <row r="375" spans="1:27">
      <c r="A375" s="273">
        <v>3</v>
      </c>
      <c r="B375" s="274" t="s">
        <v>5207</v>
      </c>
      <c r="C375" s="275">
        <v>45322</v>
      </c>
      <c r="D375" s="274" t="s">
        <v>4714</v>
      </c>
      <c r="E375" s="268" t="s">
        <v>4804</v>
      </c>
      <c r="F375" s="268" t="s">
        <v>4715</v>
      </c>
      <c r="G375" s="268" t="s">
        <v>4716</v>
      </c>
      <c r="H375" s="268" t="str">
        <f t="shared" si="1"/>
        <v>JOAQUIM BROTO SUMALLA</v>
      </c>
      <c r="I375" s="268" t="s">
        <v>4805</v>
      </c>
      <c r="J375" s="272" t="s">
        <v>4806</v>
      </c>
      <c r="K375" s="268" t="s">
        <v>5335</v>
      </c>
      <c r="L375" s="276">
        <v>45371</v>
      </c>
      <c r="M375" s="283"/>
      <c r="N375" s="282">
        <v>2</v>
      </c>
      <c r="O375" s="284" t="s">
        <v>4792</v>
      </c>
      <c r="P375" s="280">
        <v>2545.4499999999998</v>
      </c>
      <c r="Q375" s="289">
        <v>45322</v>
      </c>
      <c r="R375" s="272"/>
      <c r="S375" s="272"/>
      <c r="T375" s="272"/>
      <c r="U375" s="272"/>
      <c r="V375" s="272"/>
      <c r="W375" s="272"/>
      <c r="X375" s="272"/>
      <c r="Y375" s="272"/>
      <c r="Z375" s="272"/>
      <c r="AA375" s="272"/>
    </row>
    <row r="376" spans="1:27">
      <c r="A376" s="273">
        <v>3</v>
      </c>
      <c r="B376" s="274" t="s">
        <v>5207</v>
      </c>
      <c r="C376" s="275">
        <v>45356</v>
      </c>
      <c r="D376" s="274" t="s">
        <v>4714</v>
      </c>
      <c r="E376" s="268" t="s">
        <v>2886</v>
      </c>
      <c r="F376" s="268" t="s">
        <v>4715</v>
      </c>
      <c r="G376" s="268" t="s">
        <v>4716</v>
      </c>
      <c r="H376" s="268" t="str">
        <f t="shared" si="1"/>
        <v>STEPHANY RODRÍGUEZ MATA</v>
      </c>
      <c r="I376" s="268" t="s">
        <v>5336</v>
      </c>
      <c r="J376" s="272" t="s">
        <v>4718</v>
      </c>
      <c r="K376" s="268" t="s">
        <v>5337</v>
      </c>
      <c r="L376" s="276">
        <v>45371</v>
      </c>
      <c r="M376" s="277"/>
      <c r="N376" s="282">
        <v>2</v>
      </c>
      <c r="O376" s="284" t="s">
        <v>4720</v>
      </c>
      <c r="P376" s="280">
        <v>3604.55</v>
      </c>
      <c r="Q376" s="289">
        <v>45356</v>
      </c>
      <c r="R376" s="272"/>
      <c r="S376" s="272"/>
      <c r="T376" s="272"/>
      <c r="U376" s="272"/>
      <c r="V376" s="272"/>
      <c r="W376" s="272"/>
      <c r="X376" s="272"/>
      <c r="Y376" s="272"/>
      <c r="Z376" s="272"/>
      <c r="AA376" s="272"/>
    </row>
    <row r="377" spans="1:27">
      <c r="A377" s="273">
        <v>3</v>
      </c>
      <c r="B377" s="274" t="s">
        <v>5207</v>
      </c>
      <c r="C377" s="275">
        <v>45330</v>
      </c>
      <c r="D377" s="274" t="s">
        <v>4714</v>
      </c>
      <c r="E377" s="268" t="s">
        <v>4845</v>
      </c>
      <c r="F377" s="268" t="s">
        <v>4715</v>
      </c>
      <c r="G377" s="268" t="s">
        <v>4716</v>
      </c>
      <c r="H377" s="268" t="str">
        <f t="shared" si="1"/>
        <v>HECTOR VALLES VARELA</v>
      </c>
      <c r="I377" s="268" t="s">
        <v>5338</v>
      </c>
      <c r="J377" s="272" t="s">
        <v>4806</v>
      </c>
      <c r="K377" s="268" t="s">
        <v>5339</v>
      </c>
      <c r="L377" s="276">
        <v>45371</v>
      </c>
      <c r="M377" s="283"/>
      <c r="N377" s="282">
        <v>2</v>
      </c>
      <c r="O377" s="284" t="s">
        <v>4720</v>
      </c>
      <c r="P377" s="280">
        <v>3424.55</v>
      </c>
      <c r="Q377" s="289">
        <v>45330</v>
      </c>
      <c r="R377" s="272"/>
      <c r="S377" s="272"/>
      <c r="T377" s="272"/>
      <c r="U377" s="272"/>
      <c r="V377" s="272"/>
      <c r="W377" s="272"/>
      <c r="X377" s="272"/>
      <c r="Y377" s="272"/>
      <c r="Z377" s="272"/>
      <c r="AA377" s="272"/>
    </row>
    <row r="378" spans="1:27">
      <c r="A378" s="273">
        <v>3</v>
      </c>
      <c r="B378" s="274" t="s">
        <v>5207</v>
      </c>
      <c r="C378" s="275">
        <v>44488</v>
      </c>
      <c r="D378" s="274" t="s">
        <v>4714</v>
      </c>
      <c r="E378" s="268" t="s">
        <v>2863</v>
      </c>
      <c r="F378" s="268" t="s">
        <v>4715</v>
      </c>
      <c r="G378" s="268" t="s">
        <v>4716</v>
      </c>
      <c r="H378" s="268" t="str">
        <f t="shared" si="1"/>
        <v>PEDRO MASEGOSA ZAPATA</v>
      </c>
      <c r="I378" s="268" t="s">
        <v>5340</v>
      </c>
      <c r="J378" s="272" t="s">
        <v>4736</v>
      </c>
      <c r="K378" s="268" t="s">
        <v>5341</v>
      </c>
      <c r="L378" s="276">
        <v>45372</v>
      </c>
      <c r="M378" s="277"/>
      <c r="N378" s="282">
        <v>1</v>
      </c>
      <c r="O378" s="284" t="s">
        <v>4720</v>
      </c>
      <c r="P378" s="280">
        <v>2162.73</v>
      </c>
      <c r="Q378" s="287">
        <v>44488</v>
      </c>
      <c r="R378" s="272"/>
      <c r="S378" s="272"/>
      <c r="T378" s="272"/>
      <c r="U378" s="272"/>
      <c r="V378" s="272"/>
      <c r="W378" s="272"/>
      <c r="X378" s="272"/>
      <c r="Y378" s="272"/>
      <c r="Z378" s="272"/>
      <c r="AA378" s="272"/>
    </row>
    <row r="379" spans="1:27">
      <c r="A379" s="273">
        <v>3</v>
      </c>
      <c r="B379" s="274" t="s">
        <v>5207</v>
      </c>
      <c r="C379" s="275">
        <v>45343</v>
      </c>
      <c r="D379" s="274" t="s">
        <v>4714</v>
      </c>
      <c r="E379" s="268" t="s">
        <v>3480</v>
      </c>
      <c r="F379" s="268" t="s">
        <v>4715</v>
      </c>
      <c r="G379" s="268" t="s">
        <v>4716</v>
      </c>
      <c r="H379" s="268" t="str">
        <f t="shared" si="1"/>
        <v>NO REUERDA ORL</v>
      </c>
      <c r="I379" s="268" t="s">
        <v>4743</v>
      </c>
      <c r="J379" s="272" t="s">
        <v>4718</v>
      </c>
      <c r="K379" s="268" t="s">
        <v>5342</v>
      </c>
      <c r="L379" s="276">
        <v>45372</v>
      </c>
      <c r="M379" s="277"/>
      <c r="N379" s="282">
        <v>2</v>
      </c>
      <c r="O379" s="284" t="s">
        <v>4720</v>
      </c>
      <c r="P379" s="280">
        <v>3424.32</v>
      </c>
      <c r="Q379" s="289">
        <v>45343</v>
      </c>
      <c r="R379" s="272"/>
      <c r="S379" s="272"/>
      <c r="T379" s="272"/>
      <c r="U379" s="272"/>
      <c r="V379" s="272"/>
      <c r="W379" s="272"/>
      <c r="X379" s="272"/>
      <c r="Y379" s="272"/>
      <c r="Z379" s="272"/>
      <c r="AA379" s="272"/>
    </row>
    <row r="380" spans="1:27">
      <c r="A380" s="273">
        <v>3</v>
      </c>
      <c r="B380" s="274" t="s">
        <v>5207</v>
      </c>
      <c r="C380" s="275">
        <v>45334</v>
      </c>
      <c r="D380" s="274" t="s">
        <v>4714</v>
      </c>
      <c r="E380" s="268" t="s">
        <v>2916</v>
      </c>
      <c r="F380" s="268" t="s">
        <v>4724</v>
      </c>
      <c r="G380" s="268" t="s">
        <v>4725</v>
      </c>
      <c r="H380" s="268" t="str">
        <f t="shared" si="1"/>
        <v>FELIPE LÓPEZ HERNÁNDEZ</v>
      </c>
      <c r="I380" s="268" t="s">
        <v>5343</v>
      </c>
      <c r="J380" s="272" t="s">
        <v>4806</v>
      </c>
      <c r="K380" s="268" t="s">
        <v>5344</v>
      </c>
      <c r="L380" s="276">
        <v>45372</v>
      </c>
      <c r="M380" s="277"/>
      <c r="N380" s="282">
        <v>2</v>
      </c>
      <c r="O380" s="284" t="s">
        <v>4723</v>
      </c>
      <c r="P380" s="280">
        <v>2780.87</v>
      </c>
      <c r="Q380" s="289">
        <v>45334</v>
      </c>
      <c r="R380" s="272"/>
      <c r="S380" s="272"/>
      <c r="T380" s="272"/>
      <c r="U380" s="272"/>
      <c r="V380" s="272"/>
      <c r="W380" s="272"/>
      <c r="X380" s="272"/>
      <c r="Y380" s="272"/>
      <c r="Z380" s="272"/>
      <c r="AA380" s="272"/>
    </row>
    <row r="381" spans="1:27">
      <c r="A381" s="273">
        <v>3</v>
      </c>
      <c r="B381" s="274" t="s">
        <v>5207</v>
      </c>
      <c r="C381" s="275">
        <v>45345</v>
      </c>
      <c r="D381" s="274" t="s">
        <v>4714</v>
      </c>
      <c r="E381" s="268" t="s">
        <v>2893</v>
      </c>
      <c r="F381" s="268" t="s">
        <v>4715</v>
      </c>
      <c r="G381" s="268" t="s">
        <v>4716</v>
      </c>
      <c r="H381" s="268" t="str">
        <f t="shared" si="1"/>
        <v>JESÚS RAMOS FERNÁNDEZ</v>
      </c>
      <c r="I381" s="268" t="s">
        <v>4923</v>
      </c>
      <c r="J381" s="268" t="s">
        <v>4718</v>
      </c>
      <c r="K381" s="268" t="s">
        <v>5345</v>
      </c>
      <c r="L381" s="276">
        <v>45372</v>
      </c>
      <c r="M381" s="277"/>
      <c r="N381" s="282">
        <v>2</v>
      </c>
      <c r="O381" s="284" t="s">
        <v>4720</v>
      </c>
      <c r="P381" s="280">
        <v>3604.55</v>
      </c>
      <c r="Q381" s="289">
        <v>45345</v>
      </c>
      <c r="R381" s="272"/>
      <c r="S381" s="272"/>
      <c r="T381" s="272"/>
      <c r="U381" s="272"/>
      <c r="V381" s="272"/>
      <c r="W381" s="272"/>
      <c r="X381" s="272"/>
      <c r="Y381" s="272"/>
      <c r="Z381" s="272"/>
      <c r="AA381" s="272"/>
    </row>
    <row r="382" spans="1:27">
      <c r="A382" s="273">
        <v>3</v>
      </c>
      <c r="B382" s="274" t="s">
        <v>5207</v>
      </c>
      <c r="C382" s="275">
        <v>45349</v>
      </c>
      <c r="D382" s="274" t="s">
        <v>4714</v>
      </c>
      <c r="E382" s="268" t="s">
        <v>3861</v>
      </c>
      <c r="F382" s="268" t="s">
        <v>4715</v>
      </c>
      <c r="G382" s="268" t="s">
        <v>4716</v>
      </c>
      <c r="H382" s="268" t="str">
        <f t="shared" si="1"/>
        <v>JOAQUÍN ALACIO CASERO</v>
      </c>
      <c r="I382" s="268" t="s">
        <v>4925</v>
      </c>
      <c r="J382" s="272" t="s">
        <v>4718</v>
      </c>
      <c r="K382" s="268" t="s">
        <v>5346</v>
      </c>
      <c r="L382" s="276">
        <v>45372</v>
      </c>
      <c r="M382" s="277"/>
      <c r="N382" s="282">
        <v>1</v>
      </c>
      <c r="O382" s="284" t="s">
        <v>4740</v>
      </c>
      <c r="P382" s="280">
        <v>2410</v>
      </c>
      <c r="Q382" s="289">
        <v>45349</v>
      </c>
      <c r="R382" s="272"/>
      <c r="S382" s="272"/>
      <c r="T382" s="272"/>
      <c r="U382" s="272"/>
      <c r="V382" s="272"/>
      <c r="W382" s="272"/>
      <c r="X382" s="272"/>
      <c r="Y382" s="272"/>
      <c r="Z382" s="272"/>
      <c r="AA382" s="272"/>
    </row>
    <row r="383" spans="1:27">
      <c r="A383" s="273">
        <v>3</v>
      </c>
      <c r="B383" s="274" t="s">
        <v>5207</v>
      </c>
      <c r="C383" s="275">
        <v>45330</v>
      </c>
      <c r="D383" s="274" t="s">
        <v>4714</v>
      </c>
      <c r="E383" s="268" t="s">
        <v>2929</v>
      </c>
      <c r="F383" s="268" t="s">
        <v>4715</v>
      </c>
      <c r="G383" s="268" t="s">
        <v>4716</v>
      </c>
      <c r="H383" s="268" t="str">
        <f t="shared" si="1"/>
        <v>JULIO LÓPEZ MOYA</v>
      </c>
      <c r="I383" s="268" t="s">
        <v>4778</v>
      </c>
      <c r="J383" s="272" t="s">
        <v>4718</v>
      </c>
      <c r="K383" s="268" t="s">
        <v>5347</v>
      </c>
      <c r="L383" s="276">
        <v>45372</v>
      </c>
      <c r="M383" s="277"/>
      <c r="N383" s="282">
        <v>2</v>
      </c>
      <c r="O383" s="284" t="s">
        <v>4720</v>
      </c>
      <c r="P383" s="280">
        <v>3424.32</v>
      </c>
      <c r="Q383" s="289">
        <v>45330</v>
      </c>
      <c r="R383" s="272"/>
      <c r="S383" s="272"/>
      <c r="T383" s="272"/>
      <c r="U383" s="272"/>
      <c r="V383" s="272"/>
      <c r="W383" s="272"/>
      <c r="X383" s="272"/>
      <c r="Y383" s="272"/>
      <c r="Z383" s="272"/>
      <c r="AA383" s="272"/>
    </row>
    <row r="384" spans="1:27">
      <c r="A384" s="273">
        <v>3</v>
      </c>
      <c r="B384" s="274" t="s">
        <v>5207</v>
      </c>
      <c r="C384" s="275">
        <v>45334</v>
      </c>
      <c r="D384" s="274" t="s">
        <v>4714</v>
      </c>
      <c r="E384" s="268" t="s">
        <v>3193</v>
      </c>
      <c r="F384" s="268" t="s">
        <v>4715</v>
      </c>
      <c r="G384" s="268" t="s">
        <v>4716</v>
      </c>
      <c r="H384" s="268" t="str">
        <f t="shared" si="1"/>
        <v>MANUEL GUTIERREZ TRIGUERO</v>
      </c>
      <c r="I384" s="268" t="s">
        <v>5348</v>
      </c>
      <c r="J384" s="272" t="s">
        <v>4718</v>
      </c>
      <c r="K384" s="268" t="s">
        <v>5349</v>
      </c>
      <c r="L384" s="276">
        <v>45372</v>
      </c>
      <c r="M384" s="277"/>
      <c r="N384" s="282">
        <v>2</v>
      </c>
      <c r="O384" s="284" t="s">
        <v>4720</v>
      </c>
      <c r="P384" s="280">
        <v>3604.55</v>
      </c>
      <c r="Q384" s="289">
        <v>45334</v>
      </c>
      <c r="R384" s="272"/>
      <c r="S384" s="272"/>
      <c r="T384" s="272"/>
      <c r="U384" s="272"/>
      <c r="V384" s="272"/>
      <c r="W384" s="272"/>
      <c r="X384" s="272"/>
      <c r="Y384" s="272"/>
      <c r="Z384" s="272"/>
      <c r="AA384" s="272"/>
    </row>
    <row r="385" spans="1:27">
      <c r="A385" s="273">
        <v>3</v>
      </c>
      <c r="B385" s="274" t="s">
        <v>5207</v>
      </c>
      <c r="C385" s="275">
        <v>45352</v>
      </c>
      <c r="D385" s="274" t="s">
        <v>4714</v>
      </c>
      <c r="E385" s="268" t="s">
        <v>3193</v>
      </c>
      <c r="F385" s="268" t="s">
        <v>4715</v>
      </c>
      <c r="G385" s="268" t="s">
        <v>4716</v>
      </c>
      <c r="H385" s="268" t="str">
        <f t="shared" si="1"/>
        <v>MARÍA SANTILLÁN SÁNCHEZ</v>
      </c>
      <c r="I385" s="268" t="s">
        <v>4767</v>
      </c>
      <c r="J385" s="272" t="s">
        <v>4718</v>
      </c>
      <c r="K385" s="268" t="s">
        <v>5350</v>
      </c>
      <c r="L385" s="276">
        <v>45372</v>
      </c>
      <c r="M385" s="283"/>
      <c r="N385" s="282">
        <v>2</v>
      </c>
      <c r="O385" s="284" t="s">
        <v>4720</v>
      </c>
      <c r="P385" s="280">
        <v>3604.55</v>
      </c>
      <c r="Q385" s="289">
        <v>45352</v>
      </c>
      <c r="R385" s="272"/>
      <c r="S385" s="272"/>
      <c r="T385" s="272"/>
      <c r="U385" s="272"/>
      <c r="V385" s="272"/>
      <c r="W385" s="272"/>
      <c r="X385" s="272"/>
      <c r="Y385" s="272"/>
      <c r="Z385" s="272"/>
      <c r="AA385" s="272"/>
    </row>
    <row r="386" spans="1:27">
      <c r="A386" s="273">
        <v>3</v>
      </c>
      <c r="B386" s="274" t="s">
        <v>5207</v>
      </c>
      <c r="C386" s="275">
        <v>45309</v>
      </c>
      <c r="D386" s="274" t="s">
        <v>4714</v>
      </c>
      <c r="E386" s="268" t="s">
        <v>4749</v>
      </c>
      <c r="F386" s="268" t="s">
        <v>4715</v>
      </c>
      <c r="G386" s="268" t="s">
        <v>4716</v>
      </c>
      <c r="H386" s="268" t="str">
        <f t="shared" si="1"/>
        <v>XENIA MOTA ROJAS</v>
      </c>
      <c r="I386" s="268" t="s">
        <v>5351</v>
      </c>
      <c r="J386" s="268" t="s">
        <v>4747</v>
      </c>
      <c r="K386" s="268" t="s">
        <v>5352</v>
      </c>
      <c r="L386" s="276">
        <v>45372</v>
      </c>
      <c r="M386" s="277"/>
      <c r="N386" s="282">
        <v>2</v>
      </c>
      <c r="O386" s="284" t="s">
        <v>4720</v>
      </c>
      <c r="P386" s="280">
        <v>3545.45</v>
      </c>
      <c r="Q386" s="289">
        <v>45309</v>
      </c>
      <c r="R386" s="272"/>
      <c r="S386" s="272"/>
      <c r="T386" s="272"/>
      <c r="U386" s="272"/>
      <c r="V386" s="272"/>
      <c r="W386" s="272"/>
      <c r="X386" s="272"/>
      <c r="Y386" s="272"/>
      <c r="Z386" s="272"/>
      <c r="AA386" s="272"/>
    </row>
    <row r="387" spans="1:27">
      <c r="A387" s="273">
        <v>3</v>
      </c>
      <c r="B387" s="274" t="s">
        <v>5207</v>
      </c>
      <c r="C387" s="275">
        <v>45322</v>
      </c>
      <c r="D387" s="274" t="s">
        <v>4714</v>
      </c>
      <c r="E387" s="268" t="s">
        <v>4194</v>
      </c>
      <c r="F387" s="268" t="s">
        <v>4715</v>
      </c>
      <c r="G387" s="268" t="s">
        <v>4716</v>
      </c>
      <c r="H387" s="268" t="str">
        <f t="shared" si="1"/>
        <v>FRANCISCO PASTOR BEVIÁ</v>
      </c>
      <c r="I387" s="268" t="s">
        <v>4738</v>
      </c>
      <c r="J387" s="272" t="s">
        <v>4736</v>
      </c>
      <c r="K387" s="268" t="s">
        <v>5353</v>
      </c>
      <c r="L387" s="276">
        <v>45373</v>
      </c>
      <c r="M387" s="277"/>
      <c r="N387" s="282">
        <v>2</v>
      </c>
      <c r="O387" s="284" t="s">
        <v>4740</v>
      </c>
      <c r="P387" s="280">
        <v>4363.6400000000003</v>
      </c>
      <c r="Q387" s="289">
        <v>45322</v>
      </c>
      <c r="R387" s="272"/>
      <c r="S387" s="272"/>
      <c r="T387" s="272"/>
      <c r="U387" s="272"/>
      <c r="V387" s="272"/>
      <c r="W387" s="272"/>
      <c r="X387" s="272"/>
      <c r="Y387" s="272"/>
      <c r="Z387" s="272"/>
      <c r="AA387" s="272"/>
    </row>
    <row r="388" spans="1:27">
      <c r="A388" s="273">
        <v>3</v>
      </c>
      <c r="B388" s="274" t="s">
        <v>5207</v>
      </c>
      <c r="C388" s="275">
        <v>45348</v>
      </c>
      <c r="D388" s="274" t="s">
        <v>4714</v>
      </c>
      <c r="E388" s="268" t="s">
        <v>4194</v>
      </c>
      <c r="F388" s="268" t="s">
        <v>4724</v>
      </c>
      <c r="G388" s="268" t="s">
        <v>4725</v>
      </c>
      <c r="H388" s="268" t="str">
        <f t="shared" si="1"/>
        <v>FÉLIX RUÍZ DE LA CUESTA JUSTE</v>
      </c>
      <c r="I388" s="268" t="s">
        <v>4930</v>
      </c>
      <c r="J388" s="272" t="s">
        <v>4736</v>
      </c>
      <c r="K388" s="268" t="s">
        <v>5354</v>
      </c>
      <c r="L388" s="276">
        <v>45373</v>
      </c>
      <c r="M388" s="277"/>
      <c r="N388" s="282">
        <v>2</v>
      </c>
      <c r="O388" s="284" t="s">
        <v>4720</v>
      </c>
      <c r="P388" s="280">
        <v>3604.55</v>
      </c>
      <c r="Q388" s="289">
        <v>45348</v>
      </c>
      <c r="R388" s="272"/>
      <c r="S388" s="272"/>
      <c r="T388" s="272"/>
      <c r="U388" s="272"/>
      <c r="V388" s="272"/>
      <c r="W388" s="272"/>
      <c r="X388" s="272"/>
      <c r="Y388" s="272"/>
      <c r="Z388" s="272"/>
      <c r="AA388" s="272"/>
    </row>
    <row r="389" spans="1:27">
      <c r="A389" s="273">
        <v>3</v>
      </c>
      <c r="B389" s="274" t="s">
        <v>5207</v>
      </c>
      <c r="C389" s="275">
        <v>45356</v>
      </c>
      <c r="D389" s="274" t="s">
        <v>4714</v>
      </c>
      <c r="E389" s="268" t="s">
        <v>2880</v>
      </c>
      <c r="F389" s="268" t="s">
        <v>4715</v>
      </c>
      <c r="G389" s="268" t="s">
        <v>4716</v>
      </c>
      <c r="H389" s="268" t="str">
        <f t="shared" si="1"/>
        <v>MARÍA GARROTE GARROTE</v>
      </c>
      <c r="I389" s="268" t="s">
        <v>4721</v>
      </c>
      <c r="J389" s="272" t="s">
        <v>4718</v>
      </c>
      <c r="K389" s="268" t="s">
        <v>5355</v>
      </c>
      <c r="L389" s="276">
        <v>45373</v>
      </c>
      <c r="M389" s="277"/>
      <c r="N389" s="282">
        <v>2</v>
      </c>
      <c r="O389" s="284" t="s">
        <v>4723</v>
      </c>
      <c r="P389" s="280">
        <v>2780.91</v>
      </c>
      <c r="Q389" s="289">
        <v>45356</v>
      </c>
      <c r="R389" s="272"/>
      <c r="S389" s="272"/>
      <c r="T389" s="272"/>
      <c r="U389" s="272"/>
      <c r="V389" s="272"/>
      <c r="W389" s="272"/>
      <c r="X389" s="272"/>
      <c r="Y389" s="272"/>
      <c r="Z389" s="272"/>
      <c r="AA389" s="272"/>
    </row>
    <row r="390" spans="1:27">
      <c r="A390" s="273">
        <v>3</v>
      </c>
      <c r="B390" s="274" t="s">
        <v>5207</v>
      </c>
      <c r="C390" s="275">
        <v>45322</v>
      </c>
      <c r="D390" s="274" t="s">
        <v>4714</v>
      </c>
      <c r="E390" s="268" t="s">
        <v>2893</v>
      </c>
      <c r="F390" s="268" t="s">
        <v>4715</v>
      </c>
      <c r="G390" s="268" t="s">
        <v>4716</v>
      </c>
      <c r="H390" s="268" t="str">
        <f t="shared" si="1"/>
        <v>CONCEPCIÓN PESCADOR MESONERO</v>
      </c>
      <c r="I390" s="268" t="s">
        <v>5090</v>
      </c>
      <c r="J390" s="272" t="s">
        <v>4718</v>
      </c>
      <c r="K390" s="268" t="s">
        <v>5356</v>
      </c>
      <c r="L390" s="276">
        <v>45373</v>
      </c>
      <c r="M390" s="283"/>
      <c r="N390" s="282">
        <v>2</v>
      </c>
      <c r="O390" s="284" t="s">
        <v>4723</v>
      </c>
      <c r="P390" s="280">
        <v>2780.91</v>
      </c>
      <c r="Q390" s="289">
        <v>45322</v>
      </c>
      <c r="R390" s="272"/>
      <c r="S390" s="272"/>
      <c r="T390" s="272"/>
      <c r="U390" s="272"/>
      <c r="V390" s="272"/>
      <c r="W390" s="272"/>
      <c r="X390" s="272"/>
      <c r="Y390" s="272"/>
      <c r="Z390" s="272"/>
      <c r="AA390" s="272"/>
    </row>
    <row r="391" spans="1:27">
      <c r="A391" s="273">
        <v>3</v>
      </c>
      <c r="B391" s="274" t="s">
        <v>5207</v>
      </c>
      <c r="C391" s="275">
        <v>45335</v>
      </c>
      <c r="D391" s="274" t="s">
        <v>4714</v>
      </c>
      <c r="E391" s="268" t="s">
        <v>2929</v>
      </c>
      <c r="F391" s="268" t="s">
        <v>4715</v>
      </c>
      <c r="G391" s="268" t="s">
        <v>4716</v>
      </c>
      <c r="H391" s="268" t="str">
        <f t="shared" si="1"/>
        <v>GUSTAVO CÓRDOVA RAMOS</v>
      </c>
      <c r="I391" s="268" t="s">
        <v>5328</v>
      </c>
      <c r="J391" s="272" t="s">
        <v>4718</v>
      </c>
      <c r="K391" s="268" t="s">
        <v>5357</v>
      </c>
      <c r="L391" s="276">
        <v>45373</v>
      </c>
      <c r="M391" s="277"/>
      <c r="N391" s="282">
        <v>2</v>
      </c>
      <c r="O391" s="284" t="s">
        <v>4723</v>
      </c>
      <c r="P391" s="280">
        <v>2490</v>
      </c>
      <c r="Q391" s="289">
        <v>45335</v>
      </c>
      <c r="R391" s="272"/>
      <c r="S391" s="272"/>
      <c r="T391" s="272"/>
      <c r="U391" s="272"/>
      <c r="V391" s="272"/>
      <c r="W391" s="272"/>
      <c r="X391" s="272"/>
      <c r="Y391" s="272"/>
      <c r="Z391" s="272"/>
      <c r="AA391" s="272"/>
    </row>
    <row r="392" spans="1:27">
      <c r="A392" s="273">
        <v>3</v>
      </c>
      <c r="B392" s="274" t="s">
        <v>5207</v>
      </c>
      <c r="C392" s="275">
        <v>45345</v>
      </c>
      <c r="D392" s="274" t="s">
        <v>4714</v>
      </c>
      <c r="E392" s="268" t="s">
        <v>2869</v>
      </c>
      <c r="F392" s="268" t="s">
        <v>4715</v>
      </c>
      <c r="G392" s="268" t="s">
        <v>4716</v>
      </c>
      <c r="H392" s="268" t="str">
        <f t="shared" si="1"/>
        <v>ENRIQUE VIVIENTE RODRÍGUEZ</v>
      </c>
      <c r="I392" s="268" t="s">
        <v>5118</v>
      </c>
      <c r="J392" s="272" t="s">
        <v>4736</v>
      </c>
      <c r="K392" s="268" t="s">
        <v>5358</v>
      </c>
      <c r="L392" s="276">
        <v>45373</v>
      </c>
      <c r="M392" s="277"/>
      <c r="N392" s="282">
        <v>2</v>
      </c>
      <c r="O392" s="284" t="s">
        <v>4720</v>
      </c>
      <c r="P392" s="280">
        <v>3604.55</v>
      </c>
      <c r="Q392" s="289">
        <v>45345</v>
      </c>
      <c r="R392" s="272"/>
      <c r="S392" s="272"/>
      <c r="T392" s="272"/>
      <c r="U392" s="272"/>
      <c r="V392" s="272"/>
      <c r="W392" s="272"/>
      <c r="X392" s="272"/>
      <c r="Y392" s="272"/>
      <c r="Z392" s="272"/>
      <c r="AA392" s="272"/>
    </row>
    <row r="393" spans="1:27">
      <c r="A393" s="273">
        <v>3</v>
      </c>
      <c r="B393" s="274" t="s">
        <v>5207</v>
      </c>
      <c r="C393" s="275">
        <v>45359</v>
      </c>
      <c r="D393" s="274" t="s">
        <v>4714</v>
      </c>
      <c r="E393" s="268" t="s">
        <v>2961</v>
      </c>
      <c r="F393" s="268" t="s">
        <v>4715</v>
      </c>
      <c r="G393" s="268" t="s">
        <v>4716</v>
      </c>
      <c r="H393" s="268" t="str">
        <f t="shared" si="1"/>
        <v>ANDRÉS BARRIOS RECIO</v>
      </c>
      <c r="I393" s="268" t="s">
        <v>5081</v>
      </c>
      <c r="J393" s="272" t="s">
        <v>4736</v>
      </c>
      <c r="K393" s="268" t="s">
        <v>5359</v>
      </c>
      <c r="L393" s="276">
        <v>45373</v>
      </c>
      <c r="M393" s="283"/>
      <c r="N393" s="282">
        <v>1</v>
      </c>
      <c r="O393" s="284" t="s">
        <v>4720</v>
      </c>
      <c r="P393" s="280">
        <v>2227.27</v>
      </c>
      <c r="Q393" s="289">
        <v>45359</v>
      </c>
      <c r="R393" s="272"/>
      <c r="S393" s="272"/>
      <c r="T393" s="272"/>
      <c r="U393" s="272"/>
      <c r="V393" s="272"/>
      <c r="W393" s="272"/>
      <c r="X393" s="272"/>
      <c r="Y393" s="272"/>
      <c r="Z393" s="272"/>
      <c r="AA393" s="272"/>
    </row>
    <row r="394" spans="1:27">
      <c r="A394" s="273">
        <v>3</v>
      </c>
      <c r="B394" s="274" t="s">
        <v>5207</v>
      </c>
      <c r="C394" s="275">
        <v>45327</v>
      </c>
      <c r="D394" s="274" t="s">
        <v>4714</v>
      </c>
      <c r="E394" s="268" t="s">
        <v>4759</v>
      </c>
      <c r="F394" s="268" t="s">
        <v>4715</v>
      </c>
      <c r="G394" s="268" t="s">
        <v>4716</v>
      </c>
      <c r="H394" s="268" t="str">
        <f t="shared" si="1"/>
        <v>MANUEL ACUÑA GARCÍA</v>
      </c>
      <c r="I394" s="268" t="s">
        <v>4746</v>
      </c>
      <c r="J394" s="272" t="s">
        <v>4747</v>
      </c>
      <c r="K394" s="268" t="s">
        <v>5360</v>
      </c>
      <c r="L394" s="276">
        <v>45373</v>
      </c>
      <c r="M394" s="277"/>
      <c r="N394" s="282">
        <v>2</v>
      </c>
      <c r="O394" s="284" t="s">
        <v>4740</v>
      </c>
      <c r="P394" s="280">
        <v>3977.27</v>
      </c>
      <c r="Q394" s="289">
        <v>45327</v>
      </c>
      <c r="R394" s="272"/>
      <c r="S394" s="272"/>
      <c r="T394" s="272"/>
      <c r="U394" s="272"/>
      <c r="V394" s="272"/>
      <c r="W394" s="272"/>
      <c r="X394" s="272"/>
      <c r="Y394" s="272"/>
      <c r="Z394" s="272"/>
      <c r="AA394" s="272"/>
    </row>
    <row r="395" spans="1:27">
      <c r="A395" s="273">
        <v>3</v>
      </c>
      <c r="B395" s="274" t="s">
        <v>5207</v>
      </c>
      <c r="C395" s="275">
        <v>45334</v>
      </c>
      <c r="D395" s="274" t="s">
        <v>4714</v>
      </c>
      <c r="E395" s="268" t="s">
        <v>3187</v>
      </c>
      <c r="F395" s="268" t="s">
        <v>4715</v>
      </c>
      <c r="G395" s="268" t="s">
        <v>4716</v>
      </c>
      <c r="H395" s="268" t="str">
        <f t="shared" si="1"/>
        <v>MARÍA SCOLA TORRES</v>
      </c>
      <c r="I395" s="268" t="s">
        <v>5361</v>
      </c>
      <c r="J395" s="272" t="s">
        <v>4718</v>
      </c>
      <c r="K395" s="268" t="s">
        <v>5362</v>
      </c>
      <c r="L395" s="276">
        <v>45376</v>
      </c>
      <c r="M395" s="277"/>
      <c r="N395" s="282">
        <v>2</v>
      </c>
      <c r="O395" s="284" t="s">
        <v>4740</v>
      </c>
      <c r="P395" s="280">
        <v>4222.7299999999996</v>
      </c>
      <c r="Q395" s="287">
        <v>45334</v>
      </c>
      <c r="R395" s="272"/>
      <c r="S395" s="272"/>
      <c r="T395" s="272"/>
      <c r="U395" s="272"/>
      <c r="V395" s="272"/>
      <c r="W395" s="272"/>
      <c r="X395" s="272"/>
      <c r="Y395" s="272"/>
      <c r="Z395" s="272"/>
      <c r="AA395" s="272"/>
    </row>
    <row r="396" spans="1:27">
      <c r="A396" s="273">
        <v>3</v>
      </c>
      <c r="B396" s="274" t="s">
        <v>5207</v>
      </c>
      <c r="C396" s="275">
        <v>44987</v>
      </c>
      <c r="D396" s="274" t="s">
        <v>4714</v>
      </c>
      <c r="E396" s="268" t="s">
        <v>3187</v>
      </c>
      <c r="F396" s="268" t="s">
        <v>4715</v>
      </c>
      <c r="G396" s="268" t="s">
        <v>4716</v>
      </c>
      <c r="H396" s="268" t="str">
        <f t="shared" si="1"/>
        <v>JULIO LÓPEZ MOYA</v>
      </c>
      <c r="I396" s="268" t="s">
        <v>4778</v>
      </c>
      <c r="J396" s="268" t="s">
        <v>4718</v>
      </c>
      <c r="K396" s="268" t="s">
        <v>5363</v>
      </c>
      <c r="L396" s="276">
        <v>45376</v>
      </c>
      <c r="M396" s="277"/>
      <c r="N396" s="282">
        <v>1</v>
      </c>
      <c r="O396" s="284" t="s">
        <v>4740</v>
      </c>
      <c r="P396" s="280">
        <v>1445.45</v>
      </c>
      <c r="Q396" s="287">
        <v>44987</v>
      </c>
      <c r="R396" s="272"/>
      <c r="S396" s="272"/>
      <c r="T396" s="272"/>
      <c r="U396" s="272"/>
      <c r="V396" s="272"/>
      <c r="W396" s="272"/>
      <c r="X396" s="272"/>
      <c r="Y396" s="272"/>
      <c r="Z396" s="272"/>
      <c r="AA396" s="272"/>
    </row>
    <row r="397" spans="1:27">
      <c r="A397" s="273">
        <v>3</v>
      </c>
      <c r="B397" s="274" t="s">
        <v>5207</v>
      </c>
      <c r="C397" s="275">
        <v>45350</v>
      </c>
      <c r="D397" s="274" t="s">
        <v>4714</v>
      </c>
      <c r="E397" s="268" t="s">
        <v>3480</v>
      </c>
      <c r="F397" s="268" t="s">
        <v>4715</v>
      </c>
      <c r="G397" s="268" t="s">
        <v>4716</v>
      </c>
      <c r="H397" s="268" t="str">
        <f t="shared" si="1"/>
        <v>PALOMA MARTÍN- ARAGÓN MARTIÍ</v>
      </c>
      <c r="I397" s="268" t="s">
        <v>4917</v>
      </c>
      <c r="J397" s="268" t="s">
        <v>4718</v>
      </c>
      <c r="K397" s="268" t="s">
        <v>5364</v>
      </c>
      <c r="L397" s="276">
        <v>45376</v>
      </c>
      <c r="M397" s="283"/>
      <c r="N397" s="282">
        <v>2</v>
      </c>
      <c r="O397" s="284" t="s">
        <v>4723</v>
      </c>
      <c r="P397" s="280">
        <v>2780.91</v>
      </c>
      <c r="Q397" s="289">
        <v>45350</v>
      </c>
      <c r="R397" s="272"/>
      <c r="S397" s="272"/>
      <c r="T397" s="272"/>
      <c r="U397" s="272"/>
      <c r="V397" s="272"/>
      <c r="W397" s="272"/>
      <c r="X397" s="272"/>
      <c r="Y397" s="272"/>
      <c r="Z397" s="272"/>
      <c r="AA397" s="272"/>
    </row>
    <row r="398" spans="1:27">
      <c r="A398" s="273">
        <v>3</v>
      </c>
      <c r="B398" s="274" t="s">
        <v>5207</v>
      </c>
      <c r="C398" s="275">
        <v>45308</v>
      </c>
      <c r="D398" s="274" t="s">
        <v>4714</v>
      </c>
      <c r="E398" s="268" t="s">
        <v>2880</v>
      </c>
      <c r="F398" s="268" t="s">
        <v>4715</v>
      </c>
      <c r="G398" s="268" t="s">
        <v>4716</v>
      </c>
      <c r="H398" s="268" t="str">
        <f t="shared" si="1"/>
        <v>ROCÍO GONZÁLEZ MÁRQUEZ</v>
      </c>
      <c r="I398" s="268" t="s">
        <v>5365</v>
      </c>
      <c r="J398" s="272" t="s">
        <v>4718</v>
      </c>
      <c r="K398" s="268" t="s">
        <v>5366</v>
      </c>
      <c r="L398" s="276">
        <v>45376</v>
      </c>
      <c r="M398" s="277"/>
      <c r="N398" s="282">
        <v>2</v>
      </c>
      <c r="O398" s="284" t="s">
        <v>4723</v>
      </c>
      <c r="P398" s="280">
        <v>2780.91</v>
      </c>
      <c r="Q398" s="289">
        <v>45308</v>
      </c>
      <c r="R398" s="272"/>
      <c r="S398" s="272"/>
      <c r="T398" s="272"/>
      <c r="U398" s="272"/>
      <c r="V398" s="272"/>
      <c r="W398" s="272"/>
      <c r="X398" s="272"/>
      <c r="Y398" s="272"/>
      <c r="Z398" s="272"/>
      <c r="AA398" s="272"/>
    </row>
    <row r="399" spans="1:27">
      <c r="A399" s="273">
        <v>3</v>
      </c>
      <c r="B399" s="274" t="s">
        <v>5207</v>
      </c>
      <c r="C399" s="275">
        <v>45356</v>
      </c>
      <c r="D399" s="274" t="s">
        <v>4714</v>
      </c>
      <c r="E399" s="268" t="s">
        <v>2880</v>
      </c>
      <c r="F399" s="268" t="s">
        <v>4715</v>
      </c>
      <c r="G399" s="268" t="s">
        <v>4716</v>
      </c>
      <c r="H399" s="268" t="str">
        <f t="shared" si="1"/>
        <v>ANTONIO RODRÍGUEZ RIVERO</v>
      </c>
      <c r="I399" s="268" t="s">
        <v>4717</v>
      </c>
      <c r="J399" s="272" t="s">
        <v>4718</v>
      </c>
      <c r="K399" s="268" t="s">
        <v>5367</v>
      </c>
      <c r="L399" s="276">
        <v>45376</v>
      </c>
      <c r="M399" s="277"/>
      <c r="N399" s="282">
        <v>2</v>
      </c>
      <c r="O399" s="284" t="s">
        <v>4720</v>
      </c>
      <c r="P399" s="280">
        <v>3604.55</v>
      </c>
      <c r="Q399" s="289">
        <v>45356</v>
      </c>
      <c r="R399" s="272"/>
      <c r="S399" s="272"/>
      <c r="T399" s="272"/>
      <c r="U399" s="272"/>
      <c r="V399" s="272"/>
      <c r="W399" s="272"/>
      <c r="X399" s="272"/>
      <c r="Y399" s="272"/>
      <c r="Z399" s="272"/>
      <c r="AA399" s="272"/>
    </row>
    <row r="400" spans="1:27">
      <c r="A400" s="273">
        <v>3</v>
      </c>
      <c r="B400" s="274" t="s">
        <v>5207</v>
      </c>
      <c r="C400" s="275">
        <v>45322</v>
      </c>
      <c r="D400" s="274" t="s">
        <v>4714</v>
      </c>
      <c r="E400" s="268" t="s">
        <v>4775</v>
      </c>
      <c r="F400" s="268" t="s">
        <v>4715</v>
      </c>
      <c r="G400" s="268" t="s">
        <v>4716</v>
      </c>
      <c r="H400" s="268" t="str">
        <f t="shared" si="1"/>
        <v>FERNANDO SALAZAR BARCELONA</v>
      </c>
      <c r="I400" s="268" t="s">
        <v>4776</v>
      </c>
      <c r="J400" s="268" t="s">
        <v>4822</v>
      </c>
      <c r="K400" s="268" t="s">
        <v>5368</v>
      </c>
      <c r="L400" s="276">
        <v>45376</v>
      </c>
      <c r="M400" s="277"/>
      <c r="N400" s="282">
        <v>2</v>
      </c>
      <c r="O400" s="284" t="s">
        <v>4720</v>
      </c>
      <c r="P400" s="280">
        <v>3272.73</v>
      </c>
      <c r="Q400" s="289">
        <v>45322</v>
      </c>
      <c r="R400" s="272"/>
      <c r="S400" s="272"/>
      <c r="T400" s="272"/>
      <c r="U400" s="272"/>
      <c r="V400" s="272"/>
      <c r="W400" s="272"/>
      <c r="X400" s="272"/>
      <c r="Y400" s="272"/>
      <c r="Z400" s="272"/>
      <c r="AA400" s="272"/>
    </row>
    <row r="401" spans="1:27">
      <c r="A401" s="273">
        <v>3</v>
      </c>
      <c r="B401" s="274" t="s">
        <v>5207</v>
      </c>
      <c r="C401" s="275">
        <v>45341</v>
      </c>
      <c r="D401" s="274" t="s">
        <v>4714</v>
      </c>
      <c r="E401" s="268" t="s">
        <v>3043</v>
      </c>
      <c r="F401" s="268" t="s">
        <v>4715</v>
      </c>
      <c r="G401" s="268" t="s">
        <v>4716</v>
      </c>
      <c r="H401" s="268" t="str">
        <f t="shared" si="1"/>
        <v>RAIMUNDO GÓMEZ-BLASI</v>
      </c>
      <c r="I401" s="268" t="s">
        <v>5369</v>
      </c>
      <c r="J401" s="272" t="s">
        <v>4718</v>
      </c>
      <c r="K401" s="268" t="s">
        <v>5370</v>
      </c>
      <c r="L401" s="276">
        <v>45376</v>
      </c>
      <c r="M401" s="277"/>
      <c r="N401" s="282">
        <v>1</v>
      </c>
      <c r="O401" s="284" t="s">
        <v>4720</v>
      </c>
      <c r="P401" s="280">
        <v>2054.59</v>
      </c>
      <c r="Q401" s="289">
        <v>45341</v>
      </c>
      <c r="R401" s="272"/>
      <c r="S401" s="272"/>
      <c r="T401" s="272"/>
      <c r="U401" s="272"/>
      <c r="V401" s="272"/>
      <c r="W401" s="272"/>
      <c r="X401" s="272"/>
      <c r="Y401" s="272"/>
      <c r="Z401" s="272"/>
      <c r="AA401" s="272"/>
    </row>
    <row r="402" spans="1:27">
      <c r="A402" s="273">
        <v>3</v>
      </c>
      <c r="B402" s="274" t="s">
        <v>5207</v>
      </c>
      <c r="C402" s="275">
        <v>45321</v>
      </c>
      <c r="D402" s="274" t="s">
        <v>4714</v>
      </c>
      <c r="E402" s="268" t="s">
        <v>2972</v>
      </c>
      <c r="F402" s="268" t="s">
        <v>4715</v>
      </c>
      <c r="G402" s="268" t="s">
        <v>4716</v>
      </c>
      <c r="H402" s="268" t="str">
        <f t="shared" si="1"/>
        <v>CARLOS FÉLIX ASENSIO NIETO</v>
      </c>
      <c r="I402" s="268" t="s">
        <v>5371</v>
      </c>
      <c r="J402" s="272" t="s">
        <v>4822</v>
      </c>
      <c r="K402" s="268" t="s">
        <v>5372</v>
      </c>
      <c r="L402" s="276">
        <v>45376</v>
      </c>
      <c r="M402" s="283"/>
      <c r="N402" s="282">
        <v>2</v>
      </c>
      <c r="O402" s="284" t="s">
        <v>4740</v>
      </c>
      <c r="P402" s="280">
        <v>4595.1899999999996</v>
      </c>
      <c r="Q402" s="289">
        <v>45321</v>
      </c>
      <c r="R402" s="272"/>
      <c r="S402" s="272"/>
      <c r="T402" s="272"/>
      <c r="U402" s="272"/>
      <c r="V402" s="272"/>
      <c r="W402" s="272"/>
      <c r="X402" s="272"/>
      <c r="Y402" s="272"/>
      <c r="Z402" s="272"/>
      <c r="AA402" s="272"/>
    </row>
    <row r="403" spans="1:27">
      <c r="A403" s="273">
        <v>3</v>
      </c>
      <c r="B403" s="274" t="s">
        <v>5207</v>
      </c>
      <c r="C403" s="275">
        <v>45317</v>
      </c>
      <c r="D403" s="274" t="s">
        <v>4714</v>
      </c>
      <c r="E403" s="268" t="s">
        <v>4759</v>
      </c>
      <c r="F403" s="268" t="s">
        <v>4715</v>
      </c>
      <c r="G403" s="268" t="s">
        <v>4716</v>
      </c>
      <c r="H403" s="268" t="str">
        <f t="shared" si="1"/>
        <v>ANTONIA CARRANZA CALLEJA</v>
      </c>
      <c r="I403" s="268" t="s">
        <v>4785</v>
      </c>
      <c r="J403" s="272" t="s">
        <v>4747</v>
      </c>
      <c r="K403" s="268" t="s">
        <v>5373</v>
      </c>
      <c r="L403" s="276">
        <v>45376</v>
      </c>
      <c r="M403" s="277"/>
      <c r="N403" s="282">
        <v>2</v>
      </c>
      <c r="O403" s="284" t="s">
        <v>4740</v>
      </c>
      <c r="P403" s="280">
        <v>3977.27</v>
      </c>
      <c r="Q403" s="289">
        <v>45317</v>
      </c>
      <c r="R403" s="272"/>
      <c r="S403" s="272"/>
      <c r="T403" s="272"/>
      <c r="U403" s="272"/>
      <c r="V403" s="272"/>
      <c r="W403" s="272"/>
      <c r="X403" s="272"/>
      <c r="Y403" s="272"/>
      <c r="Z403" s="272"/>
      <c r="AA403" s="272"/>
    </row>
    <row r="404" spans="1:27">
      <c r="A404" s="273">
        <v>3</v>
      </c>
      <c r="B404" s="274" t="s">
        <v>5207</v>
      </c>
      <c r="C404" s="275">
        <v>45344</v>
      </c>
      <c r="D404" s="274" t="s">
        <v>4714</v>
      </c>
      <c r="E404" s="268" t="s">
        <v>4194</v>
      </c>
      <c r="F404" s="268" t="s">
        <v>4715</v>
      </c>
      <c r="G404" s="268" t="s">
        <v>4716</v>
      </c>
      <c r="H404" s="268" t="str">
        <f t="shared" si="1"/>
        <v>MARIA ROSARIO FERRANDIZ GARCÍA</v>
      </c>
      <c r="I404" s="268" t="s">
        <v>5374</v>
      </c>
      <c r="J404" s="272" t="s">
        <v>4736</v>
      </c>
      <c r="K404" s="268" t="s">
        <v>5375</v>
      </c>
      <c r="L404" s="276">
        <v>45377</v>
      </c>
      <c r="M404" s="283"/>
      <c r="N404" s="282">
        <v>2</v>
      </c>
      <c r="O404" s="284" t="s">
        <v>4720</v>
      </c>
      <c r="P404" s="280">
        <v>3572.73</v>
      </c>
      <c r="Q404" s="289">
        <v>45344</v>
      </c>
      <c r="R404" s="272"/>
      <c r="S404" s="272"/>
      <c r="T404" s="272"/>
      <c r="U404" s="272"/>
      <c r="V404" s="272"/>
      <c r="W404" s="272"/>
      <c r="X404" s="272"/>
      <c r="Y404" s="272"/>
      <c r="Z404" s="272"/>
      <c r="AA404" s="272"/>
    </row>
    <row r="405" spans="1:27">
      <c r="A405" s="273">
        <v>3</v>
      </c>
      <c r="B405" s="274" t="s">
        <v>5207</v>
      </c>
      <c r="C405" s="275">
        <v>45341</v>
      </c>
      <c r="D405" s="274" t="s">
        <v>4714</v>
      </c>
      <c r="E405" s="268" t="s">
        <v>4194</v>
      </c>
      <c r="F405" s="268" t="s">
        <v>4715</v>
      </c>
      <c r="G405" s="268" t="s">
        <v>4716</v>
      </c>
      <c r="H405" s="268" t="str">
        <f t="shared" si="1"/>
        <v>ALICIA MATEO ESPINOSA</v>
      </c>
      <c r="I405" s="268" t="s">
        <v>4848</v>
      </c>
      <c r="J405" s="272" t="s">
        <v>4736</v>
      </c>
      <c r="K405" s="268" t="s">
        <v>5376</v>
      </c>
      <c r="L405" s="276">
        <v>45377</v>
      </c>
      <c r="M405" s="277"/>
      <c r="N405" s="282">
        <v>2</v>
      </c>
      <c r="O405" s="284" t="s">
        <v>4787</v>
      </c>
      <c r="P405" s="280">
        <v>4786.3599999999997</v>
      </c>
      <c r="Q405" s="289">
        <v>45341</v>
      </c>
      <c r="R405" s="272"/>
      <c r="S405" s="272"/>
      <c r="T405" s="272"/>
      <c r="U405" s="272"/>
      <c r="V405" s="272"/>
      <c r="W405" s="272"/>
      <c r="X405" s="272"/>
      <c r="Y405" s="272"/>
      <c r="Z405" s="272"/>
      <c r="AA405" s="272"/>
    </row>
    <row r="406" spans="1:27">
      <c r="A406" s="273">
        <v>3</v>
      </c>
      <c r="B406" s="274" t="s">
        <v>5207</v>
      </c>
      <c r="C406" s="275">
        <v>45349</v>
      </c>
      <c r="D406" s="274" t="s">
        <v>4714</v>
      </c>
      <c r="E406" s="268" t="s">
        <v>4194</v>
      </c>
      <c r="F406" s="268" t="s">
        <v>4715</v>
      </c>
      <c r="G406" s="268" t="s">
        <v>4716</v>
      </c>
      <c r="H406" s="268" t="str">
        <f t="shared" si="1"/>
        <v>KAREN ROJAS CRESPO</v>
      </c>
      <c r="I406" s="268" t="s">
        <v>5260</v>
      </c>
      <c r="J406" s="272" t="s">
        <v>4736</v>
      </c>
      <c r="K406" s="268" t="s">
        <v>5377</v>
      </c>
      <c r="L406" s="276">
        <v>45377</v>
      </c>
      <c r="M406" s="277"/>
      <c r="N406" s="282">
        <v>2</v>
      </c>
      <c r="O406" s="284" t="s">
        <v>4723</v>
      </c>
      <c r="P406" s="280">
        <v>2781.82</v>
      </c>
      <c r="Q406" s="289">
        <v>45349</v>
      </c>
      <c r="R406" s="272"/>
      <c r="S406" s="272"/>
      <c r="T406" s="272"/>
      <c r="U406" s="272"/>
      <c r="V406" s="272"/>
      <c r="W406" s="272"/>
      <c r="X406" s="272"/>
      <c r="Y406" s="272"/>
      <c r="Z406" s="272"/>
      <c r="AA406" s="272"/>
    </row>
    <row r="407" spans="1:27">
      <c r="A407" s="273">
        <v>3</v>
      </c>
      <c r="B407" s="274" t="s">
        <v>5207</v>
      </c>
      <c r="C407" s="275">
        <v>45356</v>
      </c>
      <c r="D407" s="274" t="s">
        <v>4714</v>
      </c>
      <c r="E407" s="268" t="s">
        <v>4875</v>
      </c>
      <c r="F407" s="268" t="s">
        <v>4715</v>
      </c>
      <c r="G407" s="268" t="s">
        <v>4716</v>
      </c>
      <c r="H407" s="268" t="str">
        <f t="shared" si="1"/>
        <v>JESÚS HERRANZ GONZÁLEZ-BOTAS</v>
      </c>
      <c r="I407" s="268" t="s">
        <v>5378</v>
      </c>
      <c r="J407" s="272" t="s">
        <v>4790</v>
      </c>
      <c r="K407" s="268" t="s">
        <v>5379</v>
      </c>
      <c r="L407" s="276">
        <v>45377</v>
      </c>
      <c r="M407" s="277"/>
      <c r="N407" s="282">
        <v>2</v>
      </c>
      <c r="O407" s="284" t="s">
        <v>4720</v>
      </c>
      <c r="P407" s="280">
        <v>3909.09</v>
      </c>
      <c r="Q407" s="289">
        <v>45356</v>
      </c>
      <c r="R407" s="272"/>
      <c r="S407" s="272"/>
      <c r="T407" s="272"/>
      <c r="U407" s="272"/>
      <c r="V407" s="272"/>
      <c r="W407" s="272"/>
      <c r="X407" s="272"/>
      <c r="Y407" s="272"/>
      <c r="Z407" s="272"/>
      <c r="AA407" s="272"/>
    </row>
    <row r="408" spans="1:27">
      <c r="A408" s="273">
        <v>3</v>
      </c>
      <c r="B408" s="274" t="s">
        <v>5207</v>
      </c>
      <c r="C408" s="275">
        <v>45350</v>
      </c>
      <c r="D408" s="274" t="s">
        <v>4714</v>
      </c>
      <c r="E408" s="268" t="s">
        <v>3480</v>
      </c>
      <c r="F408" s="268" t="s">
        <v>4715</v>
      </c>
      <c r="G408" s="268" t="s">
        <v>4716</v>
      </c>
      <c r="H408" s="268" t="str">
        <f t="shared" si="1"/>
        <v>VICTORIA GARCÍA PECES</v>
      </c>
      <c r="I408" s="268" t="s">
        <v>4762</v>
      </c>
      <c r="J408" s="272" t="s">
        <v>4718</v>
      </c>
      <c r="K408" s="268" t="s">
        <v>5380</v>
      </c>
      <c r="L408" s="276">
        <v>45377</v>
      </c>
      <c r="M408" s="283"/>
      <c r="N408" s="282">
        <v>2</v>
      </c>
      <c r="O408" s="284" t="s">
        <v>4720</v>
      </c>
      <c r="P408" s="280">
        <v>3604.55</v>
      </c>
      <c r="Q408" s="289">
        <v>45350</v>
      </c>
      <c r="R408" s="272"/>
      <c r="S408" s="272"/>
      <c r="T408" s="272"/>
      <c r="U408" s="272"/>
      <c r="V408" s="272"/>
      <c r="W408" s="272"/>
      <c r="X408" s="272"/>
      <c r="Y408" s="272"/>
      <c r="Z408" s="272"/>
      <c r="AA408" s="272"/>
    </row>
    <row r="409" spans="1:27">
      <c r="A409" s="273">
        <v>3</v>
      </c>
      <c r="B409" s="274" t="s">
        <v>5207</v>
      </c>
      <c r="C409" s="275">
        <v>45355</v>
      </c>
      <c r="D409" s="274" t="s">
        <v>4714</v>
      </c>
      <c r="E409" s="268" t="s">
        <v>3480</v>
      </c>
      <c r="F409" s="268" t="s">
        <v>4715</v>
      </c>
      <c r="G409" s="268" t="s">
        <v>4716</v>
      </c>
      <c r="H409" s="268" t="str">
        <f t="shared" si="1"/>
        <v>MARÍA TERESA HERRERA MERA</v>
      </c>
      <c r="I409" s="268" t="s">
        <v>4838</v>
      </c>
      <c r="J409" s="272" t="s">
        <v>4718</v>
      </c>
      <c r="K409" s="268" t="s">
        <v>5381</v>
      </c>
      <c r="L409" s="276">
        <v>45377</v>
      </c>
      <c r="M409" s="277"/>
      <c r="N409" s="282">
        <v>2</v>
      </c>
      <c r="O409" s="284" t="s">
        <v>4740</v>
      </c>
      <c r="P409" s="280">
        <v>4011.58</v>
      </c>
      <c r="Q409" s="289">
        <v>45355</v>
      </c>
      <c r="R409" s="272"/>
      <c r="S409" s="272"/>
      <c r="T409" s="272"/>
      <c r="U409" s="272"/>
      <c r="V409" s="272"/>
      <c r="W409" s="272"/>
      <c r="X409" s="272"/>
      <c r="Y409" s="272"/>
      <c r="Z409" s="272"/>
      <c r="AA409" s="272"/>
    </row>
    <row r="410" spans="1:27">
      <c r="A410" s="273">
        <v>3</v>
      </c>
      <c r="B410" s="274" t="s">
        <v>5207</v>
      </c>
      <c r="C410" s="275">
        <v>45357</v>
      </c>
      <c r="D410" s="274" t="s">
        <v>4714</v>
      </c>
      <c r="E410" s="268" t="s">
        <v>2880</v>
      </c>
      <c r="F410" s="268" t="s">
        <v>4715</v>
      </c>
      <c r="G410" s="268" t="s">
        <v>4716</v>
      </c>
      <c r="H410" s="268" t="str">
        <f t="shared" si="1"/>
        <v>ESTHER MONTIEL DIEZ</v>
      </c>
      <c r="I410" s="268" t="s">
        <v>5382</v>
      </c>
      <c r="J410" s="272" t="s">
        <v>4718</v>
      </c>
      <c r="K410" s="268" t="s">
        <v>5383</v>
      </c>
      <c r="L410" s="276">
        <v>45377</v>
      </c>
      <c r="M410" s="283"/>
      <c r="N410" s="282">
        <v>2</v>
      </c>
      <c r="O410" s="284" t="s">
        <v>4740</v>
      </c>
      <c r="P410" s="280">
        <v>4011.58</v>
      </c>
      <c r="Q410" s="289">
        <v>45357</v>
      </c>
      <c r="R410" s="272"/>
      <c r="S410" s="272"/>
      <c r="T410" s="272"/>
      <c r="U410" s="272"/>
      <c r="V410" s="272"/>
      <c r="W410" s="272"/>
      <c r="X410" s="272"/>
      <c r="Y410" s="272"/>
      <c r="Z410" s="272"/>
      <c r="AA410" s="272"/>
    </row>
    <row r="411" spans="1:27">
      <c r="A411" s="273">
        <v>3</v>
      </c>
      <c r="B411" s="274" t="s">
        <v>5207</v>
      </c>
      <c r="C411" s="275">
        <v>45348</v>
      </c>
      <c r="D411" s="274" t="s">
        <v>4714</v>
      </c>
      <c r="E411" s="268" t="s">
        <v>2893</v>
      </c>
      <c r="F411" s="268" t="s">
        <v>4715</v>
      </c>
      <c r="G411" s="268" t="s">
        <v>4716</v>
      </c>
      <c r="H411" s="268" t="str">
        <f t="shared" si="1"/>
        <v>CARMEN JUAN IVARS</v>
      </c>
      <c r="I411" s="268" t="s">
        <v>5324</v>
      </c>
      <c r="J411" s="272" t="s">
        <v>4718</v>
      </c>
      <c r="K411" s="268" t="s">
        <v>5384</v>
      </c>
      <c r="L411" s="276">
        <v>45377</v>
      </c>
      <c r="M411" s="277"/>
      <c r="N411" s="282">
        <v>2</v>
      </c>
      <c r="O411" s="284" t="s">
        <v>4723</v>
      </c>
      <c r="P411" s="280">
        <v>2641.82</v>
      </c>
      <c r="Q411" s="289">
        <v>45348</v>
      </c>
      <c r="R411" s="272"/>
      <c r="S411" s="272"/>
      <c r="T411" s="272"/>
      <c r="U411" s="272"/>
      <c r="V411" s="272"/>
      <c r="W411" s="272"/>
      <c r="X411" s="272"/>
      <c r="Y411" s="272"/>
      <c r="Z411" s="272"/>
      <c r="AA411" s="272"/>
    </row>
    <row r="412" spans="1:27">
      <c r="A412" s="273">
        <v>3</v>
      </c>
      <c r="B412" s="274" t="s">
        <v>5207</v>
      </c>
      <c r="C412" s="275">
        <v>45342</v>
      </c>
      <c r="D412" s="285" t="s">
        <v>4714</v>
      </c>
      <c r="E412" s="268" t="s">
        <v>3861</v>
      </c>
      <c r="F412" s="268" t="s">
        <v>4715</v>
      </c>
      <c r="G412" s="268" t="s">
        <v>4716</v>
      </c>
      <c r="H412" s="268" t="str">
        <f t="shared" si="1"/>
        <v>CRISTINA VADUVA</v>
      </c>
      <c r="I412" s="268" t="s">
        <v>4773</v>
      </c>
      <c r="J412" s="268" t="s">
        <v>4718</v>
      </c>
      <c r="K412" s="268" t="s">
        <v>5385</v>
      </c>
      <c r="L412" s="276">
        <v>45377</v>
      </c>
      <c r="M412" s="277"/>
      <c r="N412" s="282">
        <v>2</v>
      </c>
      <c r="O412" s="284" t="s">
        <v>4723</v>
      </c>
      <c r="P412" s="280">
        <v>2636.36</v>
      </c>
      <c r="Q412" s="289">
        <v>45342</v>
      </c>
      <c r="R412" s="272"/>
      <c r="S412" s="272"/>
      <c r="T412" s="272"/>
      <c r="U412" s="272"/>
      <c r="V412" s="272"/>
      <c r="W412" s="272"/>
      <c r="X412" s="272"/>
      <c r="Y412" s="272"/>
      <c r="Z412" s="272"/>
      <c r="AA412" s="272"/>
    </row>
    <row r="413" spans="1:27">
      <c r="A413" s="273">
        <v>3</v>
      </c>
      <c r="B413" s="274" t="s">
        <v>5207</v>
      </c>
      <c r="C413" s="275">
        <v>45336</v>
      </c>
      <c r="D413" s="274" t="s">
        <v>4714</v>
      </c>
      <c r="E413" s="268" t="s">
        <v>3861</v>
      </c>
      <c r="F413" s="268" t="s">
        <v>4715</v>
      </c>
      <c r="G413" s="268" t="s">
        <v>4716</v>
      </c>
      <c r="H413" s="268" t="str">
        <f t="shared" si="1"/>
        <v>JOSÉ GUSTAVO BARROSO BRAOJOS</v>
      </c>
      <c r="I413" s="268" t="s">
        <v>4834</v>
      </c>
      <c r="J413" s="272" t="s">
        <v>4718</v>
      </c>
      <c r="K413" s="268" t="s">
        <v>5386</v>
      </c>
      <c r="L413" s="276">
        <v>45377</v>
      </c>
      <c r="M413" s="277"/>
      <c r="N413" s="282">
        <v>2</v>
      </c>
      <c r="O413" s="284" t="s">
        <v>4723</v>
      </c>
      <c r="P413" s="280">
        <v>2641.82</v>
      </c>
      <c r="Q413" s="289">
        <v>45336</v>
      </c>
      <c r="R413" s="272"/>
      <c r="S413" s="272"/>
      <c r="T413" s="272"/>
      <c r="U413" s="272"/>
      <c r="V413" s="272"/>
      <c r="W413" s="272"/>
      <c r="X413" s="272"/>
      <c r="Y413" s="272"/>
      <c r="Z413" s="272"/>
      <c r="AA413" s="272"/>
    </row>
    <row r="414" spans="1:27">
      <c r="A414" s="273">
        <v>3</v>
      </c>
      <c r="B414" s="274" t="s">
        <v>5207</v>
      </c>
      <c r="C414" s="275">
        <v>45322</v>
      </c>
      <c r="D414" s="274" t="s">
        <v>4714</v>
      </c>
      <c r="E414" s="268" t="s">
        <v>3043</v>
      </c>
      <c r="F414" s="268" t="s">
        <v>4715</v>
      </c>
      <c r="G414" s="268" t="s">
        <v>4716</v>
      </c>
      <c r="H414" s="268" t="str">
        <f t="shared" si="1"/>
        <v>ANTONIO BUENO RÍOS</v>
      </c>
      <c r="I414" s="268" t="s">
        <v>4793</v>
      </c>
      <c r="J414" s="272" t="s">
        <v>4822</v>
      </c>
      <c r="K414" s="268" t="s">
        <v>5387</v>
      </c>
      <c r="L414" s="276">
        <v>45377</v>
      </c>
      <c r="M414" s="277"/>
      <c r="N414" s="282">
        <v>2</v>
      </c>
      <c r="O414" s="284" t="s">
        <v>4720</v>
      </c>
      <c r="P414" s="280">
        <v>3363.64</v>
      </c>
      <c r="Q414" s="289">
        <v>45322</v>
      </c>
      <c r="R414" s="272"/>
      <c r="S414" s="272"/>
      <c r="T414" s="272"/>
      <c r="U414" s="272"/>
      <c r="V414" s="272"/>
      <c r="W414" s="272"/>
      <c r="X414" s="272"/>
      <c r="Y414" s="272"/>
      <c r="Z414" s="272"/>
      <c r="AA414" s="272"/>
    </row>
    <row r="415" spans="1:27">
      <c r="A415" s="273">
        <v>3</v>
      </c>
      <c r="B415" s="274" t="s">
        <v>5207</v>
      </c>
      <c r="C415" s="275">
        <v>45345</v>
      </c>
      <c r="D415" s="274" t="s">
        <v>4714</v>
      </c>
      <c r="E415" s="268" t="s">
        <v>4837</v>
      </c>
      <c r="F415" s="268" t="s">
        <v>4715</v>
      </c>
      <c r="G415" s="268" t="s">
        <v>4716</v>
      </c>
      <c r="H415" s="268" t="str">
        <f t="shared" si="1"/>
        <v>LAURA YEGUAS RAMÍREZ</v>
      </c>
      <c r="I415" s="268" t="s">
        <v>5060</v>
      </c>
      <c r="J415" s="272" t="s">
        <v>4718</v>
      </c>
      <c r="K415" s="268" t="s">
        <v>5388</v>
      </c>
      <c r="L415" s="276">
        <v>45377</v>
      </c>
      <c r="M415" s="277"/>
      <c r="N415" s="282">
        <v>2</v>
      </c>
      <c r="O415" s="284" t="s">
        <v>4723</v>
      </c>
      <c r="P415" s="280">
        <v>2641.82</v>
      </c>
      <c r="Q415" s="289">
        <v>45345</v>
      </c>
      <c r="R415" s="272"/>
      <c r="S415" s="272"/>
      <c r="T415" s="272"/>
      <c r="U415" s="272"/>
      <c r="V415" s="272"/>
      <c r="W415" s="272"/>
      <c r="X415" s="272"/>
      <c r="Y415" s="272"/>
      <c r="Z415" s="272"/>
      <c r="AA415" s="272"/>
    </row>
    <row r="416" spans="1:27">
      <c r="A416" s="273">
        <v>3</v>
      </c>
      <c r="B416" s="274" t="s">
        <v>5207</v>
      </c>
      <c r="C416" s="275">
        <v>45343</v>
      </c>
      <c r="D416" s="274" t="s">
        <v>4714</v>
      </c>
      <c r="E416" s="268" t="s">
        <v>3193</v>
      </c>
      <c r="F416" s="268" t="s">
        <v>4715</v>
      </c>
      <c r="G416" s="268" t="s">
        <v>4716</v>
      </c>
      <c r="H416" s="268" t="str">
        <f t="shared" si="1"/>
        <v>CÉSAR CHARLES MARTÍNEZ</v>
      </c>
      <c r="I416" s="268" t="s">
        <v>4769</v>
      </c>
      <c r="J416" s="268" t="s">
        <v>4718</v>
      </c>
      <c r="K416" s="268" t="s">
        <v>5389</v>
      </c>
      <c r="L416" s="276">
        <v>45377</v>
      </c>
      <c r="M416" s="277"/>
      <c r="N416" s="282">
        <v>1</v>
      </c>
      <c r="O416" s="284" t="s">
        <v>4723</v>
      </c>
      <c r="P416" s="280">
        <v>1584.55</v>
      </c>
      <c r="Q416" s="289">
        <v>45343</v>
      </c>
      <c r="R416" s="272"/>
      <c r="S416" s="272"/>
      <c r="T416" s="272"/>
      <c r="U416" s="272"/>
      <c r="V416" s="272"/>
      <c r="W416" s="272"/>
      <c r="X416" s="272"/>
      <c r="Y416" s="272"/>
      <c r="Z416" s="272"/>
      <c r="AA416" s="272"/>
    </row>
    <row r="417" spans="1:27">
      <c r="A417" s="273">
        <v>3</v>
      </c>
      <c r="B417" s="274" t="s">
        <v>5207</v>
      </c>
      <c r="C417" s="275">
        <v>45355</v>
      </c>
      <c r="D417" s="274" t="s">
        <v>4714</v>
      </c>
      <c r="E417" s="268" t="s">
        <v>3193</v>
      </c>
      <c r="F417" s="268" t="s">
        <v>4715</v>
      </c>
      <c r="G417" s="268" t="s">
        <v>4716</v>
      </c>
      <c r="H417" s="268" t="str">
        <f t="shared" si="1"/>
        <v>MANUEL GUTIERREZ TRIGUERO</v>
      </c>
      <c r="I417" s="268" t="s">
        <v>5348</v>
      </c>
      <c r="J417" s="268" t="s">
        <v>4718</v>
      </c>
      <c r="K417" s="268" t="s">
        <v>5390</v>
      </c>
      <c r="L417" s="276">
        <v>45377</v>
      </c>
      <c r="M417" s="277"/>
      <c r="N417" s="282">
        <v>2</v>
      </c>
      <c r="O417" s="284" t="s">
        <v>4720</v>
      </c>
      <c r="P417" s="280">
        <v>3604.55</v>
      </c>
      <c r="Q417" s="289">
        <v>45355</v>
      </c>
      <c r="R417" s="272"/>
      <c r="S417" s="272"/>
      <c r="T417" s="272"/>
      <c r="U417" s="272"/>
      <c r="V417" s="272"/>
      <c r="W417" s="272"/>
      <c r="X417" s="272"/>
      <c r="Y417" s="272"/>
      <c r="Z417" s="272"/>
      <c r="AA417" s="272"/>
    </row>
    <row r="418" spans="1:27">
      <c r="A418" s="273">
        <v>3</v>
      </c>
      <c r="B418" s="274" t="s">
        <v>5207</v>
      </c>
      <c r="C418" s="275">
        <v>45301</v>
      </c>
      <c r="D418" s="274" t="s">
        <v>4714</v>
      </c>
      <c r="E418" s="268" t="s">
        <v>3605</v>
      </c>
      <c r="F418" s="268" t="s">
        <v>4715</v>
      </c>
      <c r="G418" s="268" t="s">
        <v>4716</v>
      </c>
      <c r="H418" s="268" t="str">
        <f t="shared" si="1"/>
        <v>GUILLERMO SAN JUAN DE LA MORETA</v>
      </c>
      <c r="I418" s="268" t="s">
        <v>5100</v>
      </c>
      <c r="J418" s="268" t="s">
        <v>4718</v>
      </c>
      <c r="K418" s="268" t="s">
        <v>5391</v>
      </c>
      <c r="L418" s="276">
        <v>45377</v>
      </c>
      <c r="M418" s="277"/>
      <c r="N418" s="282">
        <v>1</v>
      </c>
      <c r="O418" s="284" t="s">
        <v>4740</v>
      </c>
      <c r="P418" s="280">
        <v>2536.36</v>
      </c>
      <c r="Q418" s="289">
        <v>45301</v>
      </c>
      <c r="R418" s="272"/>
      <c r="S418" s="272"/>
      <c r="T418" s="272"/>
      <c r="U418" s="272"/>
      <c r="V418" s="272"/>
      <c r="W418" s="272"/>
      <c r="X418" s="272"/>
      <c r="Y418" s="272"/>
      <c r="Z418" s="272"/>
      <c r="AA418" s="272"/>
    </row>
    <row r="419" spans="1:27">
      <c r="A419" s="273">
        <v>3</v>
      </c>
      <c r="B419" s="274" t="s">
        <v>5207</v>
      </c>
      <c r="C419" s="275">
        <v>45359</v>
      </c>
      <c r="D419" s="274" t="s">
        <v>4714</v>
      </c>
      <c r="E419" s="268" t="s">
        <v>2961</v>
      </c>
      <c r="F419" s="268" t="s">
        <v>4715</v>
      </c>
      <c r="G419" s="268" t="s">
        <v>4716</v>
      </c>
      <c r="H419" s="268" t="str">
        <f t="shared" si="1"/>
        <v>NATHALIE FAGES CÁRCELES</v>
      </c>
      <c r="I419" s="268" t="s">
        <v>5000</v>
      </c>
      <c r="J419" s="272" t="s">
        <v>4736</v>
      </c>
      <c r="K419" s="268" t="s">
        <v>5392</v>
      </c>
      <c r="L419" s="276">
        <v>45377</v>
      </c>
      <c r="M419" s="277"/>
      <c r="N419" s="282">
        <v>2</v>
      </c>
      <c r="O419" s="284" t="s">
        <v>4720</v>
      </c>
      <c r="P419" s="280">
        <v>3711.82</v>
      </c>
      <c r="Q419" s="289">
        <v>45359</v>
      </c>
      <c r="R419" s="272"/>
      <c r="S419" s="272"/>
      <c r="T419" s="272"/>
      <c r="U419" s="272"/>
      <c r="V419" s="272"/>
      <c r="W419" s="272"/>
      <c r="X419" s="272"/>
      <c r="Y419" s="272"/>
      <c r="Z419" s="272"/>
      <c r="AA419" s="272"/>
    </row>
    <row r="420" spans="1:27">
      <c r="A420" s="273">
        <v>3</v>
      </c>
      <c r="B420" s="274" t="s">
        <v>5207</v>
      </c>
      <c r="C420" s="275">
        <v>45352</v>
      </c>
      <c r="D420" s="274" t="s">
        <v>4714</v>
      </c>
      <c r="E420" s="268" t="s">
        <v>2972</v>
      </c>
      <c r="F420" s="268" t="s">
        <v>4715</v>
      </c>
      <c r="G420" s="268" t="s">
        <v>4716</v>
      </c>
      <c r="H420" s="268" t="str">
        <f t="shared" si="1"/>
        <v>NATALIA GISSETH PULIDO FONSECA</v>
      </c>
      <c r="I420" s="268" t="s">
        <v>5393</v>
      </c>
      <c r="J420" s="272" t="s">
        <v>4822</v>
      </c>
      <c r="K420" s="268" t="s">
        <v>5394</v>
      </c>
      <c r="L420" s="276">
        <v>45377</v>
      </c>
      <c r="M420" s="283"/>
      <c r="N420" s="282">
        <v>1</v>
      </c>
      <c r="O420" s="284" t="s">
        <v>4720</v>
      </c>
      <c r="P420" s="280">
        <v>2162.73</v>
      </c>
      <c r="Q420" s="289">
        <v>45352</v>
      </c>
      <c r="R420" s="272"/>
      <c r="S420" s="272"/>
      <c r="T420" s="272"/>
      <c r="U420" s="272"/>
      <c r="V420" s="272"/>
      <c r="W420" s="272"/>
      <c r="X420" s="272"/>
      <c r="Y420" s="272"/>
      <c r="Z420" s="272"/>
      <c r="AA420" s="272"/>
    </row>
    <row r="421" spans="1:27">
      <c r="A421" s="273">
        <v>3</v>
      </c>
      <c r="B421" s="274" t="s">
        <v>5207</v>
      </c>
      <c r="C421" s="275">
        <v>45329</v>
      </c>
      <c r="D421" s="274" t="s">
        <v>4714</v>
      </c>
      <c r="E421" s="268" t="s">
        <v>2863</v>
      </c>
      <c r="F421" s="268" t="s">
        <v>4724</v>
      </c>
      <c r="G421" s="268" t="s">
        <v>4725</v>
      </c>
      <c r="H421" s="268" t="str">
        <f t="shared" si="1"/>
        <v>MARIO HIGUERA RAPA</v>
      </c>
      <c r="I421" s="268" t="s">
        <v>5187</v>
      </c>
      <c r="J421" s="272" t="s">
        <v>4736</v>
      </c>
      <c r="K421" s="268" t="s">
        <v>5395</v>
      </c>
      <c r="L421" s="276">
        <v>45378</v>
      </c>
      <c r="M421" s="283"/>
      <c r="N421" s="282">
        <v>2</v>
      </c>
      <c r="O421" s="284" t="s">
        <v>4720</v>
      </c>
      <c r="P421" s="280">
        <v>3424.32</v>
      </c>
      <c r="Q421" s="287">
        <v>45329</v>
      </c>
      <c r="R421" s="272"/>
      <c r="S421" s="272"/>
      <c r="T421" s="272"/>
      <c r="U421" s="272"/>
      <c r="V421" s="272"/>
      <c r="W421" s="272"/>
      <c r="X421" s="272"/>
      <c r="Y421" s="272"/>
      <c r="Z421" s="272"/>
      <c r="AA421" s="272"/>
    </row>
    <row r="422" spans="1:27">
      <c r="A422" s="273">
        <v>3</v>
      </c>
      <c r="B422" s="274" t="s">
        <v>5207</v>
      </c>
      <c r="C422" s="275">
        <v>45335</v>
      </c>
      <c r="D422" s="274" t="s">
        <v>4714</v>
      </c>
      <c r="E422" s="268" t="s">
        <v>2863</v>
      </c>
      <c r="F422" s="268" t="s">
        <v>4715</v>
      </c>
      <c r="G422" s="268" t="s">
        <v>4716</v>
      </c>
      <c r="H422" s="268" t="str">
        <f t="shared" si="1"/>
        <v>JAVIER GARCÍA-DUEÑAS GONZÁLEZ</v>
      </c>
      <c r="I422" s="268" t="s">
        <v>5396</v>
      </c>
      <c r="J422" s="272" t="s">
        <v>4736</v>
      </c>
      <c r="K422" s="268" t="s">
        <v>5397</v>
      </c>
      <c r="L422" s="276">
        <v>45378</v>
      </c>
      <c r="M422" s="277"/>
      <c r="N422" s="282">
        <v>2</v>
      </c>
      <c r="O422" s="284" t="s">
        <v>4740</v>
      </c>
      <c r="P422" s="280">
        <v>4222.7299999999996</v>
      </c>
      <c r="Q422" s="287">
        <v>45335</v>
      </c>
      <c r="R422" s="272"/>
      <c r="S422" s="272"/>
      <c r="T422" s="272"/>
      <c r="U422" s="272"/>
      <c r="V422" s="272"/>
      <c r="W422" s="272"/>
      <c r="X422" s="272"/>
      <c r="Y422" s="272"/>
      <c r="Z422" s="272"/>
      <c r="AA422" s="272"/>
    </row>
    <row r="423" spans="1:27">
      <c r="A423" s="273">
        <v>3</v>
      </c>
      <c r="B423" s="274" t="s">
        <v>5207</v>
      </c>
      <c r="C423" s="275">
        <v>45253</v>
      </c>
      <c r="D423" s="274" t="s">
        <v>4714</v>
      </c>
      <c r="E423" s="268" t="s">
        <v>3187</v>
      </c>
      <c r="F423" s="268" t="s">
        <v>4715</v>
      </c>
      <c r="G423" s="268" t="s">
        <v>4716</v>
      </c>
      <c r="H423" s="268" t="str">
        <f t="shared" si="1"/>
        <v>RAIMUNDO GÓMEZ-BLASI</v>
      </c>
      <c r="I423" s="268" t="s">
        <v>5369</v>
      </c>
      <c r="J423" s="272" t="s">
        <v>4718</v>
      </c>
      <c r="K423" s="268" t="s">
        <v>5398</v>
      </c>
      <c r="L423" s="276">
        <v>45378</v>
      </c>
      <c r="M423" s="283"/>
      <c r="N423" s="282">
        <v>2</v>
      </c>
      <c r="O423" s="284" t="s">
        <v>4720</v>
      </c>
      <c r="P423" s="280">
        <v>3604.55</v>
      </c>
      <c r="Q423" s="287">
        <v>45253</v>
      </c>
      <c r="R423" s="272"/>
      <c r="S423" s="272"/>
      <c r="T423" s="272"/>
      <c r="U423" s="272"/>
      <c r="V423" s="272"/>
      <c r="W423" s="272"/>
      <c r="X423" s="272"/>
      <c r="Y423" s="272"/>
      <c r="Z423" s="272"/>
      <c r="AA423" s="272"/>
    </row>
    <row r="424" spans="1:27">
      <c r="A424" s="273">
        <v>3</v>
      </c>
      <c r="B424" s="274" t="s">
        <v>5207</v>
      </c>
      <c r="C424" s="275">
        <v>45359</v>
      </c>
      <c r="D424" s="274" t="s">
        <v>4714</v>
      </c>
      <c r="E424" s="268" t="s">
        <v>3480</v>
      </c>
      <c r="F424" s="268" t="s">
        <v>4715</v>
      </c>
      <c r="G424" s="268" t="s">
        <v>4716</v>
      </c>
      <c r="H424" s="268" t="str">
        <f t="shared" si="1"/>
        <v>VICTORIA GARCÍA PECES</v>
      </c>
      <c r="I424" s="268" t="s">
        <v>4762</v>
      </c>
      <c r="J424" s="272" t="s">
        <v>4718</v>
      </c>
      <c r="K424" s="268" t="s">
        <v>5399</v>
      </c>
      <c r="L424" s="276">
        <v>45378</v>
      </c>
      <c r="M424" s="283"/>
      <c r="N424" s="282">
        <v>2</v>
      </c>
      <c r="O424" s="284" t="s">
        <v>4720</v>
      </c>
      <c r="P424" s="280">
        <v>3604.55</v>
      </c>
      <c r="Q424" s="289">
        <v>45359</v>
      </c>
      <c r="R424" s="272"/>
      <c r="S424" s="272"/>
      <c r="T424" s="272"/>
      <c r="U424" s="272"/>
      <c r="V424" s="272"/>
      <c r="W424" s="272"/>
      <c r="X424" s="272"/>
      <c r="Y424" s="272"/>
      <c r="Z424" s="272"/>
      <c r="AA424" s="272"/>
    </row>
    <row r="425" spans="1:27">
      <c r="A425" s="273">
        <v>3</v>
      </c>
      <c r="B425" s="274" t="s">
        <v>5207</v>
      </c>
      <c r="C425" s="275">
        <v>45351</v>
      </c>
      <c r="D425" s="274" t="s">
        <v>4714</v>
      </c>
      <c r="E425" s="268" t="s">
        <v>3480</v>
      </c>
      <c r="F425" s="268" t="s">
        <v>4724</v>
      </c>
      <c r="G425" s="268" t="s">
        <v>4725</v>
      </c>
      <c r="H425" s="268" t="str">
        <f t="shared" si="1"/>
        <v>RAIMUNDO ANDRES NAVARRO MEDIANO</v>
      </c>
      <c r="I425" s="268" t="s">
        <v>5400</v>
      </c>
      <c r="J425" s="268" t="s">
        <v>4718</v>
      </c>
      <c r="K425" s="268" t="s">
        <v>5401</v>
      </c>
      <c r="L425" s="276">
        <v>45378</v>
      </c>
      <c r="M425" s="277"/>
      <c r="N425" s="282">
        <v>2</v>
      </c>
      <c r="O425" s="284" t="s">
        <v>4723</v>
      </c>
      <c r="P425" s="280">
        <v>2780.91</v>
      </c>
      <c r="Q425" s="289">
        <v>45351</v>
      </c>
      <c r="R425" s="272"/>
      <c r="S425" s="272"/>
      <c r="T425" s="272"/>
      <c r="U425" s="272"/>
      <c r="V425" s="272"/>
      <c r="W425" s="272"/>
      <c r="X425" s="272"/>
      <c r="Y425" s="272"/>
      <c r="Z425" s="272"/>
      <c r="AA425" s="272"/>
    </row>
    <row r="426" spans="1:27">
      <c r="A426" s="273">
        <v>3</v>
      </c>
      <c r="B426" s="274" t="s">
        <v>5207</v>
      </c>
      <c r="C426" s="275">
        <v>45341</v>
      </c>
      <c r="D426" s="274" t="s">
        <v>4714</v>
      </c>
      <c r="E426" s="268" t="s">
        <v>2893</v>
      </c>
      <c r="F426" s="268" t="s">
        <v>4715</v>
      </c>
      <c r="G426" s="268" t="s">
        <v>4716</v>
      </c>
      <c r="H426" s="268" t="str">
        <f t="shared" si="1"/>
        <v>CARMEN JUAN IVARS</v>
      </c>
      <c r="I426" s="268" t="s">
        <v>5324</v>
      </c>
      <c r="J426" s="272" t="s">
        <v>4718</v>
      </c>
      <c r="K426" s="268" t="s">
        <v>5402</v>
      </c>
      <c r="L426" s="276">
        <v>45378</v>
      </c>
      <c r="M426" s="277"/>
      <c r="N426" s="282">
        <v>2</v>
      </c>
      <c r="O426" s="284" t="s">
        <v>4740</v>
      </c>
      <c r="P426" s="280">
        <v>4090.91</v>
      </c>
      <c r="Q426" s="289">
        <v>45341</v>
      </c>
      <c r="R426" s="272"/>
      <c r="S426" s="272"/>
      <c r="T426" s="272"/>
      <c r="U426" s="272"/>
      <c r="V426" s="272"/>
      <c r="W426" s="272"/>
      <c r="X426" s="272"/>
      <c r="Y426" s="272"/>
      <c r="Z426" s="272"/>
      <c r="AA426" s="272"/>
    </row>
    <row r="427" spans="1:27">
      <c r="A427" s="273">
        <v>3</v>
      </c>
      <c r="B427" s="274" t="s">
        <v>5207</v>
      </c>
      <c r="C427" s="275">
        <v>45343</v>
      </c>
      <c r="D427" s="274" t="s">
        <v>4714</v>
      </c>
      <c r="E427" s="268" t="s">
        <v>2929</v>
      </c>
      <c r="F427" s="268" t="s">
        <v>4715</v>
      </c>
      <c r="G427" s="268" t="s">
        <v>4716</v>
      </c>
      <c r="H427" s="268" t="str">
        <f t="shared" si="1"/>
        <v>MARÍA JESÚS GIL PÉREZ</v>
      </c>
      <c r="I427" s="268" t="s">
        <v>5403</v>
      </c>
      <c r="J427" s="272" t="s">
        <v>4718</v>
      </c>
      <c r="K427" s="268" t="s">
        <v>5404</v>
      </c>
      <c r="L427" s="276">
        <v>45378</v>
      </c>
      <c r="M427" s="277"/>
      <c r="N427" s="282">
        <v>1</v>
      </c>
      <c r="O427" s="284" t="s">
        <v>4740</v>
      </c>
      <c r="P427" s="280">
        <v>2454.5500000000002</v>
      </c>
      <c r="Q427" s="289">
        <v>45343</v>
      </c>
      <c r="R427" s="272"/>
      <c r="S427" s="272"/>
      <c r="T427" s="272"/>
      <c r="U427" s="272"/>
      <c r="V427" s="272"/>
      <c r="W427" s="272"/>
      <c r="X427" s="272"/>
      <c r="Y427" s="272"/>
      <c r="Z427" s="272"/>
      <c r="AA427" s="272"/>
    </row>
    <row r="428" spans="1:27">
      <c r="A428" s="273">
        <v>3</v>
      </c>
      <c r="B428" s="274" t="s">
        <v>5207</v>
      </c>
      <c r="C428" s="275">
        <v>45309</v>
      </c>
      <c r="D428" s="274" t="s">
        <v>4714</v>
      </c>
      <c r="E428" s="268" t="s">
        <v>2929</v>
      </c>
      <c r="F428" s="268" t="s">
        <v>4715</v>
      </c>
      <c r="G428" s="268" t="s">
        <v>4716</v>
      </c>
      <c r="H428" s="268" t="str">
        <f t="shared" si="1"/>
        <v>CARLOS BARAJAS DEL ROSAL</v>
      </c>
      <c r="I428" s="268" t="s">
        <v>4934</v>
      </c>
      <c r="J428" s="272" t="s">
        <v>4822</v>
      </c>
      <c r="K428" s="268" t="s">
        <v>5405</v>
      </c>
      <c r="L428" s="276">
        <v>45378</v>
      </c>
      <c r="M428" s="283"/>
      <c r="N428" s="282">
        <v>1</v>
      </c>
      <c r="O428" s="284" t="s">
        <v>4720</v>
      </c>
      <c r="P428" s="280">
        <v>1850</v>
      </c>
      <c r="Q428" s="289">
        <v>45309</v>
      </c>
      <c r="R428" s="272"/>
      <c r="S428" s="272"/>
      <c r="T428" s="272"/>
      <c r="U428" s="272"/>
      <c r="V428" s="272"/>
      <c r="W428" s="272"/>
      <c r="X428" s="272"/>
      <c r="Y428" s="272"/>
      <c r="Z428" s="272"/>
      <c r="AA428" s="272"/>
    </row>
    <row r="429" spans="1:27">
      <c r="A429" s="273">
        <v>3</v>
      </c>
      <c r="B429" s="274" t="s">
        <v>5207</v>
      </c>
      <c r="C429" s="275">
        <v>45322</v>
      </c>
      <c r="D429" s="274" t="s">
        <v>4714</v>
      </c>
      <c r="E429" s="268" t="s">
        <v>3605</v>
      </c>
      <c r="F429" s="268" t="s">
        <v>4715</v>
      </c>
      <c r="G429" s="268" t="s">
        <v>4716</v>
      </c>
      <c r="H429" s="268" t="str">
        <f t="shared" si="1"/>
        <v>MARÍA SCOLA TORRES</v>
      </c>
      <c r="I429" s="268" t="s">
        <v>5361</v>
      </c>
      <c r="J429" s="272" t="s">
        <v>4718</v>
      </c>
      <c r="K429" s="268" t="s">
        <v>5406</v>
      </c>
      <c r="L429" s="276">
        <v>45378</v>
      </c>
      <c r="M429" s="277"/>
      <c r="N429" s="282">
        <v>1</v>
      </c>
      <c r="O429" s="284" t="s">
        <v>4740</v>
      </c>
      <c r="P429" s="280">
        <v>2536.36</v>
      </c>
      <c r="Q429" s="289">
        <v>45322</v>
      </c>
      <c r="R429" s="272"/>
      <c r="S429" s="272"/>
      <c r="T429" s="272"/>
      <c r="U429" s="272"/>
      <c r="V429" s="272"/>
      <c r="W429" s="272"/>
      <c r="X429" s="272"/>
      <c r="Y429" s="272"/>
      <c r="Z429" s="272"/>
      <c r="AA429" s="272"/>
    </row>
    <row r="430" spans="1:27">
      <c r="A430" s="273">
        <v>3</v>
      </c>
      <c r="B430" s="274" t="s">
        <v>5207</v>
      </c>
      <c r="C430" s="275">
        <v>45350</v>
      </c>
      <c r="D430" s="274" t="s">
        <v>4714</v>
      </c>
      <c r="E430" s="268" t="s">
        <v>3758</v>
      </c>
      <c r="F430" s="268" t="s">
        <v>4715</v>
      </c>
      <c r="G430" s="268" t="s">
        <v>4716</v>
      </c>
      <c r="H430" s="268" t="str">
        <f t="shared" si="1"/>
        <v>Alejandro Harguindey Antoli-Candela</v>
      </c>
      <c r="I430" s="268" t="s">
        <v>4802</v>
      </c>
      <c r="J430" s="272" t="s">
        <v>4718</v>
      </c>
      <c r="K430" s="268" t="s">
        <v>5407</v>
      </c>
      <c r="L430" s="276">
        <v>45378</v>
      </c>
      <c r="M430" s="277"/>
      <c r="N430" s="292">
        <v>1</v>
      </c>
      <c r="O430" s="284" t="s">
        <v>4740</v>
      </c>
      <c r="P430" s="280">
        <v>2354.5500000000002</v>
      </c>
      <c r="Q430" s="289">
        <v>45350</v>
      </c>
      <c r="R430" s="272"/>
      <c r="S430" s="272"/>
      <c r="T430" s="272"/>
      <c r="U430" s="272"/>
      <c r="V430" s="272"/>
      <c r="W430" s="272"/>
      <c r="X430" s="272"/>
      <c r="Y430" s="272"/>
      <c r="Z430" s="272"/>
      <c r="AA430" s="272"/>
    </row>
    <row r="431" spans="1:27">
      <c r="A431" s="273">
        <v>3</v>
      </c>
      <c r="B431" s="274" t="s">
        <v>5207</v>
      </c>
      <c r="C431" s="275">
        <v>45245</v>
      </c>
      <c r="D431" s="274" t="s">
        <v>4714</v>
      </c>
      <c r="E431" s="268" t="s">
        <v>4749</v>
      </c>
      <c r="F431" s="268" t="s">
        <v>4724</v>
      </c>
      <c r="G431" s="268" t="s">
        <v>4725</v>
      </c>
      <c r="H431" s="268" t="str">
        <f t="shared" si="1"/>
        <v>NO REUERDA ORL</v>
      </c>
      <c r="I431" s="268" t="s">
        <v>4743</v>
      </c>
      <c r="J431" s="272" t="s">
        <v>4751</v>
      </c>
      <c r="K431" s="268" t="s">
        <v>5408</v>
      </c>
      <c r="L431" s="276">
        <v>45378</v>
      </c>
      <c r="M431" s="283"/>
      <c r="N431" s="282">
        <v>2</v>
      </c>
      <c r="O431" s="284" t="s">
        <v>4720</v>
      </c>
      <c r="P431" s="280">
        <v>3266.04</v>
      </c>
      <c r="Q431" s="289">
        <v>45245</v>
      </c>
      <c r="R431" s="272"/>
      <c r="S431" s="272"/>
      <c r="T431" s="272"/>
      <c r="U431" s="272"/>
      <c r="V431" s="272"/>
      <c r="W431" s="272"/>
      <c r="X431" s="272"/>
      <c r="Y431" s="272"/>
      <c r="Z431" s="272"/>
      <c r="AA431" s="272"/>
    </row>
    <row r="432" spans="1:27">
      <c r="A432" s="273">
        <v>3</v>
      </c>
      <c r="B432" s="274" t="s">
        <v>5207</v>
      </c>
      <c r="C432" s="275">
        <v>45378</v>
      </c>
      <c r="D432" s="274" t="s">
        <v>4714</v>
      </c>
      <c r="E432" s="268" t="s">
        <v>4749</v>
      </c>
      <c r="F432" s="268" t="s">
        <v>4715</v>
      </c>
      <c r="G432" s="268" t="s">
        <v>4716</v>
      </c>
      <c r="H432" s="268" t="str">
        <f t="shared" si="1"/>
        <v>VILMA SANDOVAL PACHECO</v>
      </c>
      <c r="I432" s="268" t="s">
        <v>5409</v>
      </c>
      <c r="J432" s="272" t="s">
        <v>4747</v>
      </c>
      <c r="K432" s="268" t="s">
        <v>5410</v>
      </c>
      <c r="L432" s="276">
        <v>45378</v>
      </c>
      <c r="M432" s="277"/>
      <c r="N432" s="282">
        <v>2</v>
      </c>
      <c r="O432" s="284" t="s">
        <v>4720</v>
      </c>
      <c r="P432" s="280">
        <v>3545.45</v>
      </c>
      <c r="Q432" s="289">
        <v>45378</v>
      </c>
      <c r="R432" s="272"/>
      <c r="S432" s="272"/>
      <c r="T432" s="272"/>
      <c r="U432" s="272"/>
      <c r="V432" s="272"/>
      <c r="W432" s="272"/>
      <c r="X432" s="272"/>
      <c r="Y432" s="272"/>
      <c r="Z432" s="272"/>
      <c r="AA432" s="272"/>
    </row>
    <row r="433" spans="1:27">
      <c r="A433" s="273">
        <v>3</v>
      </c>
      <c r="B433" s="274" t="s">
        <v>5207</v>
      </c>
      <c r="C433" s="275">
        <v>45246</v>
      </c>
      <c r="D433" s="274" t="s">
        <v>4714</v>
      </c>
      <c r="E433" s="268" t="s">
        <v>2961</v>
      </c>
      <c r="F433" s="268" t="s">
        <v>4715</v>
      </c>
      <c r="G433" s="268" t="s">
        <v>4716</v>
      </c>
      <c r="H433" s="268" t="str">
        <f t="shared" si="1"/>
        <v>Mª TERESA ALMELA ROJO</v>
      </c>
      <c r="I433" s="268" t="s">
        <v>5411</v>
      </c>
      <c r="J433" s="272" t="s">
        <v>4736</v>
      </c>
      <c r="K433" s="268" t="s">
        <v>5412</v>
      </c>
      <c r="L433" s="276">
        <v>45378</v>
      </c>
      <c r="M433" s="283"/>
      <c r="N433" s="282">
        <v>2</v>
      </c>
      <c r="O433" s="284" t="s">
        <v>4720</v>
      </c>
      <c r="P433" s="280">
        <v>3711.81</v>
      </c>
      <c r="Q433" s="289">
        <v>45246</v>
      </c>
      <c r="R433" s="272"/>
      <c r="S433" s="272"/>
      <c r="T433" s="272"/>
      <c r="U433" s="272"/>
      <c r="V433" s="272"/>
      <c r="W433" s="272"/>
      <c r="X433" s="272"/>
      <c r="Y433" s="272"/>
      <c r="Z433" s="272"/>
      <c r="AA433" s="272"/>
    </row>
    <row r="434" spans="1:27">
      <c r="A434" s="273">
        <v>3</v>
      </c>
      <c r="B434" s="274" t="s">
        <v>5207</v>
      </c>
      <c r="C434" s="275">
        <v>45342</v>
      </c>
      <c r="D434" s="274" t="s">
        <v>4714</v>
      </c>
      <c r="E434" s="268" t="s">
        <v>3011</v>
      </c>
      <c r="F434" s="268" t="s">
        <v>4715</v>
      </c>
      <c r="G434" s="268" t="s">
        <v>4716</v>
      </c>
      <c r="H434" s="268" t="str">
        <f t="shared" si="1"/>
        <v>Mª LUISA CALERO RAMOS</v>
      </c>
      <c r="I434" s="268" t="s">
        <v>5083</v>
      </c>
      <c r="J434" s="272" t="s">
        <v>4729</v>
      </c>
      <c r="K434" s="268" t="s">
        <v>5413</v>
      </c>
      <c r="L434" s="276">
        <v>45378</v>
      </c>
      <c r="M434" s="283"/>
      <c r="N434" s="282">
        <v>2</v>
      </c>
      <c r="O434" s="284" t="s">
        <v>4723</v>
      </c>
      <c r="P434" s="280">
        <v>2909.09</v>
      </c>
      <c r="Q434" s="289">
        <v>45342</v>
      </c>
      <c r="R434" s="272"/>
      <c r="S434" s="272"/>
      <c r="T434" s="272"/>
      <c r="U434" s="272"/>
      <c r="V434" s="272"/>
      <c r="W434" s="272"/>
      <c r="X434" s="272"/>
      <c r="Y434" s="272"/>
      <c r="Z434" s="272"/>
      <c r="AA434" s="272"/>
    </row>
    <row r="435" spans="1:27">
      <c r="A435" s="273">
        <v>3</v>
      </c>
      <c r="B435" s="274" t="s">
        <v>5207</v>
      </c>
      <c r="C435" s="275">
        <v>45357</v>
      </c>
      <c r="D435" s="274" t="s">
        <v>4714</v>
      </c>
      <c r="E435" s="268" t="s">
        <v>2886</v>
      </c>
      <c r="F435" s="268" t="s">
        <v>4715</v>
      </c>
      <c r="G435" s="268" t="s">
        <v>4716</v>
      </c>
      <c r="H435" s="268" t="str">
        <f t="shared" si="1"/>
        <v>FERNANDO GARCÍA ALCÁNTARA</v>
      </c>
      <c r="I435" s="268" t="s">
        <v>5414</v>
      </c>
      <c r="J435" s="272" t="s">
        <v>4718</v>
      </c>
      <c r="K435" s="268" t="s">
        <v>5415</v>
      </c>
      <c r="L435" s="276">
        <v>45378</v>
      </c>
      <c r="M435" s="277"/>
      <c r="N435" s="282">
        <v>2</v>
      </c>
      <c r="O435" s="284" t="s">
        <v>4720</v>
      </c>
      <c r="P435" s="280">
        <v>3604.55</v>
      </c>
      <c r="Q435" s="289">
        <v>45357</v>
      </c>
      <c r="R435" s="272"/>
      <c r="S435" s="272"/>
      <c r="T435" s="272"/>
      <c r="U435" s="272"/>
      <c r="V435" s="272"/>
      <c r="W435" s="272"/>
      <c r="X435" s="272"/>
      <c r="Y435" s="272"/>
      <c r="Z435" s="272"/>
      <c r="AA435" s="272"/>
    </row>
    <row r="436" spans="1:27">
      <c r="A436" s="273">
        <v>3</v>
      </c>
      <c r="B436" s="274" t="s">
        <v>5207</v>
      </c>
      <c r="C436" s="275">
        <v>45323</v>
      </c>
      <c r="D436" s="274" t="s">
        <v>4714</v>
      </c>
      <c r="E436" s="268" t="s">
        <v>4759</v>
      </c>
      <c r="F436" s="268" t="s">
        <v>4724</v>
      </c>
      <c r="G436" s="268" t="s">
        <v>4725</v>
      </c>
      <c r="H436" s="268" t="str">
        <f t="shared" si="1"/>
        <v>MILAGROS MARCOS ORDOÑEZ</v>
      </c>
      <c r="I436" s="268" t="s">
        <v>5416</v>
      </c>
      <c r="J436" s="272" t="s">
        <v>4747</v>
      </c>
      <c r="K436" s="268" t="s">
        <v>5417</v>
      </c>
      <c r="L436" s="276">
        <v>45378</v>
      </c>
      <c r="M436" s="277"/>
      <c r="N436" s="282">
        <v>2</v>
      </c>
      <c r="O436" s="284" t="s">
        <v>4720</v>
      </c>
      <c r="P436" s="280">
        <v>3522.73</v>
      </c>
      <c r="Q436" s="289">
        <v>45323</v>
      </c>
      <c r="R436" s="272"/>
      <c r="S436" s="272"/>
      <c r="T436" s="272"/>
      <c r="U436" s="272"/>
      <c r="V436" s="272"/>
      <c r="W436" s="272"/>
      <c r="X436" s="272"/>
      <c r="Y436" s="272"/>
      <c r="Z436" s="272"/>
      <c r="AA436" s="272"/>
    </row>
    <row r="437" spans="1:27">
      <c r="A437" s="273">
        <v>3</v>
      </c>
      <c r="B437" s="274" t="s">
        <v>5207</v>
      </c>
      <c r="C437" s="275">
        <v>45342</v>
      </c>
      <c r="D437" s="274" t="s">
        <v>4714</v>
      </c>
      <c r="E437" s="268" t="s">
        <v>4194</v>
      </c>
      <c r="F437" s="268" t="s">
        <v>4715</v>
      </c>
      <c r="G437" s="268" t="s">
        <v>4716</v>
      </c>
      <c r="H437" s="268" t="str">
        <f t="shared" si="1"/>
        <v>FRANCISCO PASTOR BEVIÁ</v>
      </c>
      <c r="I437" s="268" t="s">
        <v>4738</v>
      </c>
      <c r="J437" s="272" t="s">
        <v>4736</v>
      </c>
      <c r="K437" s="268" t="s">
        <v>5418</v>
      </c>
      <c r="L437" s="276">
        <v>45379</v>
      </c>
      <c r="M437" s="277"/>
      <c r="N437" s="282">
        <v>2</v>
      </c>
      <c r="O437" s="284" t="s">
        <v>4740</v>
      </c>
      <c r="P437" s="280">
        <v>4172.7299999999996</v>
      </c>
      <c r="Q437" s="289">
        <v>45342</v>
      </c>
      <c r="R437" s="272"/>
      <c r="S437" s="272"/>
      <c r="T437" s="272"/>
      <c r="U437" s="272"/>
      <c r="V437" s="272"/>
      <c r="W437" s="272"/>
      <c r="X437" s="272"/>
      <c r="Y437" s="272"/>
      <c r="Z437" s="272"/>
      <c r="AA437" s="272"/>
    </row>
    <row r="438" spans="1:27">
      <c r="A438" s="273">
        <v>3</v>
      </c>
      <c r="B438" s="274" t="s">
        <v>5207</v>
      </c>
      <c r="C438" s="275">
        <v>45342</v>
      </c>
      <c r="D438" s="274" t="s">
        <v>4714</v>
      </c>
      <c r="E438" s="268" t="s">
        <v>4194</v>
      </c>
      <c r="F438" s="268" t="s">
        <v>4715</v>
      </c>
      <c r="G438" s="268" t="s">
        <v>4716</v>
      </c>
      <c r="H438" s="268" t="str">
        <f t="shared" si="1"/>
        <v>FRANCISCO PASTOR BEVIÁ</v>
      </c>
      <c r="I438" s="268" t="s">
        <v>4738</v>
      </c>
      <c r="J438" s="272" t="s">
        <v>4736</v>
      </c>
      <c r="K438" s="268" t="s">
        <v>5419</v>
      </c>
      <c r="L438" s="276">
        <v>45379</v>
      </c>
      <c r="M438" s="283"/>
      <c r="N438" s="282">
        <v>2</v>
      </c>
      <c r="O438" s="284" t="s">
        <v>4740</v>
      </c>
      <c r="P438" s="280">
        <v>4172.7299999999996</v>
      </c>
      <c r="Q438" s="289">
        <v>45342</v>
      </c>
      <c r="R438" s="272"/>
      <c r="S438" s="272"/>
      <c r="T438" s="272"/>
      <c r="U438" s="272"/>
      <c r="V438" s="272"/>
      <c r="W438" s="272"/>
      <c r="X438" s="272"/>
      <c r="Y438" s="272"/>
      <c r="Z438" s="272"/>
      <c r="AA438" s="272"/>
    </row>
    <row r="439" spans="1:27">
      <c r="A439" s="273">
        <v>3</v>
      </c>
      <c r="B439" s="274" t="s">
        <v>5207</v>
      </c>
      <c r="C439" s="275">
        <v>45355</v>
      </c>
      <c r="D439" s="274" t="s">
        <v>4714</v>
      </c>
      <c r="E439" s="268" t="s">
        <v>4820</v>
      </c>
      <c r="F439" s="268" t="s">
        <v>4715</v>
      </c>
      <c r="G439" s="268" t="s">
        <v>4716</v>
      </c>
      <c r="H439" s="268" t="str">
        <f t="shared" si="1"/>
        <v>JAVIER GARCÍA GÓMEZ</v>
      </c>
      <c r="I439" s="268" t="s">
        <v>5220</v>
      </c>
      <c r="J439" s="268" t="s">
        <v>4822</v>
      </c>
      <c r="K439" s="268" t="s">
        <v>5420</v>
      </c>
      <c r="L439" s="276">
        <v>45381</v>
      </c>
      <c r="M439" s="277"/>
      <c r="N439" s="282">
        <v>1</v>
      </c>
      <c r="O439" s="284" t="s">
        <v>4740</v>
      </c>
      <c r="P439" s="280">
        <v>2536.36</v>
      </c>
      <c r="Q439" s="289">
        <v>45355</v>
      </c>
      <c r="R439" s="272"/>
      <c r="S439" s="272"/>
      <c r="T439" s="272"/>
      <c r="U439" s="272"/>
      <c r="V439" s="272"/>
      <c r="W439" s="272"/>
      <c r="X439" s="272"/>
      <c r="Y439" s="272"/>
      <c r="Z439" s="272"/>
      <c r="AA439" s="272"/>
    </row>
    <row r="440" spans="1:27">
      <c r="A440" s="273">
        <v>4</v>
      </c>
      <c r="B440" s="274" t="s">
        <v>5421</v>
      </c>
      <c r="C440" s="275">
        <v>45351</v>
      </c>
      <c r="D440" s="274" t="s">
        <v>4714</v>
      </c>
      <c r="E440" s="268" t="s">
        <v>4788</v>
      </c>
      <c r="F440" s="268" t="s">
        <v>4715</v>
      </c>
      <c r="G440" s="268" t="s">
        <v>4716</v>
      </c>
      <c r="H440" s="268" t="str">
        <f t="shared" si="1"/>
        <v>CARLOS VIDAL REDONDO</v>
      </c>
      <c r="I440" s="268" t="s">
        <v>4828</v>
      </c>
      <c r="J440" s="272" t="s">
        <v>4790</v>
      </c>
      <c r="K440" s="268" t="s">
        <v>5422</v>
      </c>
      <c r="L440" s="276">
        <v>45383</v>
      </c>
      <c r="M440" s="277"/>
      <c r="N440" s="282">
        <v>2</v>
      </c>
      <c r="O440" s="284" t="s">
        <v>4720</v>
      </c>
      <c r="P440" s="280">
        <v>3636.36</v>
      </c>
      <c r="Q440" s="289">
        <v>45351</v>
      </c>
      <c r="R440" s="272"/>
      <c r="S440" s="272"/>
      <c r="T440" s="272"/>
      <c r="U440" s="272"/>
      <c r="V440" s="272"/>
      <c r="W440" s="272"/>
      <c r="X440" s="272"/>
      <c r="Y440" s="272"/>
      <c r="Z440" s="272"/>
      <c r="AA440" s="272"/>
    </row>
    <row r="441" spans="1:27">
      <c r="A441" s="273">
        <v>4</v>
      </c>
      <c r="B441" s="274" t="s">
        <v>5421</v>
      </c>
      <c r="C441" s="275">
        <v>45306</v>
      </c>
      <c r="D441" s="274" t="s">
        <v>4714</v>
      </c>
      <c r="E441" s="268" t="s">
        <v>5130</v>
      </c>
      <c r="F441" s="268" t="s">
        <v>4715</v>
      </c>
      <c r="G441" s="268" t="s">
        <v>4716</v>
      </c>
      <c r="H441" s="268" t="str">
        <f t="shared" si="1"/>
        <v>LUIS JOSÉ DOMÍNGUEZ UGIDOS</v>
      </c>
      <c r="I441" s="268" t="s">
        <v>5423</v>
      </c>
      <c r="J441" s="272" t="s">
        <v>4747</v>
      </c>
      <c r="K441" s="268" t="s">
        <v>5424</v>
      </c>
      <c r="L441" s="276">
        <v>45383</v>
      </c>
      <c r="M441" s="283"/>
      <c r="N441" s="282">
        <v>2</v>
      </c>
      <c r="O441" s="284" t="s">
        <v>4740</v>
      </c>
      <c r="P441" s="280">
        <v>4399.09</v>
      </c>
      <c r="Q441" s="289">
        <v>45306</v>
      </c>
      <c r="R441" s="272"/>
      <c r="S441" s="272"/>
      <c r="T441" s="272"/>
      <c r="U441" s="272"/>
      <c r="V441" s="272"/>
      <c r="W441" s="272"/>
      <c r="X441" s="272"/>
      <c r="Y441" s="272"/>
      <c r="Z441" s="272"/>
      <c r="AA441" s="272"/>
    </row>
    <row r="442" spans="1:27">
      <c r="A442" s="273">
        <v>4</v>
      </c>
      <c r="B442" s="274" t="s">
        <v>5421</v>
      </c>
      <c r="C442" s="275">
        <v>45049</v>
      </c>
      <c r="D442" s="274" t="s">
        <v>4714</v>
      </c>
      <c r="E442" s="268" t="s">
        <v>2869</v>
      </c>
      <c r="F442" s="268" t="s">
        <v>4715</v>
      </c>
      <c r="G442" s="268" t="s">
        <v>4716</v>
      </c>
      <c r="H442" s="268" t="str">
        <f t="shared" si="1"/>
        <v>EMILIO SAURA SÁNCHEZ-PARRA</v>
      </c>
      <c r="I442" s="268" t="s">
        <v>4795</v>
      </c>
      <c r="J442" s="272" t="s">
        <v>4736</v>
      </c>
      <c r="K442" s="268" t="s">
        <v>5425</v>
      </c>
      <c r="L442" s="276">
        <v>45383</v>
      </c>
      <c r="M442" s="283"/>
      <c r="N442" s="282">
        <v>2</v>
      </c>
      <c r="O442" s="284" t="s">
        <v>4720</v>
      </c>
      <c r="P442" s="280">
        <v>3423.64</v>
      </c>
      <c r="Q442" s="289">
        <v>45049</v>
      </c>
      <c r="R442" s="272"/>
      <c r="S442" s="272"/>
      <c r="T442" s="272"/>
      <c r="U442" s="272"/>
      <c r="V442" s="272"/>
      <c r="W442" s="272"/>
      <c r="X442" s="272"/>
      <c r="Y442" s="272"/>
      <c r="Z442" s="272"/>
      <c r="AA442" s="272"/>
    </row>
    <row r="443" spans="1:27">
      <c r="A443" s="273">
        <v>4</v>
      </c>
      <c r="B443" s="274" t="s">
        <v>5421</v>
      </c>
      <c r="C443" s="275">
        <v>45327</v>
      </c>
      <c r="D443" s="274" t="s">
        <v>4714</v>
      </c>
      <c r="E443" s="268" t="s">
        <v>3011</v>
      </c>
      <c r="F443" s="268" t="s">
        <v>4715</v>
      </c>
      <c r="G443" s="268" t="s">
        <v>4716</v>
      </c>
      <c r="H443" s="268" t="str">
        <f t="shared" si="1"/>
        <v>MARÍA TERESA GARCÍA IRIARTE</v>
      </c>
      <c r="I443" s="268" t="s">
        <v>5426</v>
      </c>
      <c r="J443" s="272" t="s">
        <v>4729</v>
      </c>
      <c r="K443" s="268" t="s">
        <v>5427</v>
      </c>
      <c r="L443" s="276">
        <v>45383</v>
      </c>
      <c r="M443" s="283"/>
      <c r="N443" s="282">
        <v>1</v>
      </c>
      <c r="O443" s="284" t="s">
        <v>4720</v>
      </c>
      <c r="P443" s="280">
        <v>2253.64</v>
      </c>
      <c r="Q443" s="289">
        <v>45327</v>
      </c>
      <c r="R443" s="272"/>
      <c r="S443" s="272"/>
      <c r="T443" s="272"/>
      <c r="U443" s="272"/>
      <c r="V443" s="272"/>
      <c r="W443" s="272"/>
      <c r="X443" s="272"/>
      <c r="Y443" s="272"/>
      <c r="Z443" s="272"/>
      <c r="AA443" s="272"/>
    </row>
    <row r="444" spans="1:27">
      <c r="A444" s="273">
        <v>4</v>
      </c>
      <c r="B444" s="274" t="s">
        <v>5421</v>
      </c>
      <c r="C444" s="275">
        <v>45343</v>
      </c>
      <c r="D444" s="274" t="s">
        <v>4714</v>
      </c>
      <c r="E444" s="268" t="s">
        <v>3011</v>
      </c>
      <c r="F444" s="268" t="s">
        <v>4715</v>
      </c>
      <c r="G444" s="268" t="s">
        <v>4716</v>
      </c>
      <c r="H444" s="268" t="str">
        <f t="shared" si="1"/>
        <v>ANTONIO GANDÚL MERCHÁN</v>
      </c>
      <c r="I444" s="268" t="s">
        <v>5044</v>
      </c>
      <c r="J444" s="272" t="s">
        <v>4729</v>
      </c>
      <c r="K444" s="268" t="s">
        <v>5428</v>
      </c>
      <c r="L444" s="276">
        <v>45383</v>
      </c>
      <c r="M444" s="277"/>
      <c r="N444" s="282">
        <v>1</v>
      </c>
      <c r="O444" s="284" t="s">
        <v>4720</v>
      </c>
      <c r="P444" s="280">
        <v>2253.64</v>
      </c>
      <c r="Q444" s="289">
        <v>45343</v>
      </c>
      <c r="R444" s="272"/>
      <c r="S444" s="272"/>
      <c r="T444" s="272"/>
      <c r="U444" s="272"/>
      <c r="V444" s="272"/>
      <c r="W444" s="272"/>
      <c r="X444" s="272"/>
      <c r="Y444" s="272"/>
      <c r="Z444" s="272"/>
      <c r="AA444" s="272"/>
    </row>
    <row r="445" spans="1:27">
      <c r="A445" s="273">
        <v>4</v>
      </c>
      <c r="B445" s="274" t="s">
        <v>5421</v>
      </c>
      <c r="C445" s="275">
        <v>43103</v>
      </c>
      <c r="D445" s="274" t="s">
        <v>4714</v>
      </c>
      <c r="E445" s="268" t="s">
        <v>3011</v>
      </c>
      <c r="F445" s="268" t="s">
        <v>4715</v>
      </c>
      <c r="G445" s="268" t="s">
        <v>4716</v>
      </c>
      <c r="H445" s="268" t="str">
        <f t="shared" si="1"/>
        <v>FRANCISCO JOSÉ AGUADO MARTÍNEZ</v>
      </c>
      <c r="I445" s="268" t="s">
        <v>5429</v>
      </c>
      <c r="J445" s="268" t="s">
        <v>4729</v>
      </c>
      <c r="K445" s="268" t="s">
        <v>5430</v>
      </c>
      <c r="L445" s="276">
        <v>45383</v>
      </c>
      <c r="M445" s="277"/>
      <c r="N445" s="282">
        <v>2</v>
      </c>
      <c r="O445" s="284" t="s">
        <v>4723</v>
      </c>
      <c r="P445" s="280">
        <v>2962.73</v>
      </c>
      <c r="Q445" s="289">
        <v>43103</v>
      </c>
      <c r="R445" s="272"/>
      <c r="S445" s="272"/>
      <c r="T445" s="272"/>
      <c r="U445" s="272"/>
      <c r="V445" s="272"/>
      <c r="W445" s="272"/>
      <c r="X445" s="272"/>
      <c r="Y445" s="272"/>
      <c r="Z445" s="272"/>
      <c r="AA445" s="272"/>
    </row>
    <row r="446" spans="1:27">
      <c r="A446" s="273">
        <v>4</v>
      </c>
      <c r="B446" s="274" t="s">
        <v>5421</v>
      </c>
      <c r="C446" s="275">
        <v>45349</v>
      </c>
      <c r="D446" s="274" t="s">
        <v>4714</v>
      </c>
      <c r="E446" s="268" t="s">
        <v>4878</v>
      </c>
      <c r="F446" s="268" t="s">
        <v>4715</v>
      </c>
      <c r="G446" s="268" t="s">
        <v>4716</v>
      </c>
      <c r="H446" s="268" t="str">
        <f t="shared" si="1"/>
        <v>EDUARDO CABANAS RODRÍGUEZ</v>
      </c>
      <c r="I446" s="268" t="s">
        <v>4879</v>
      </c>
      <c r="J446" s="272" t="s">
        <v>4790</v>
      </c>
      <c r="K446" s="268" t="s">
        <v>5431</v>
      </c>
      <c r="L446" s="276">
        <v>45384</v>
      </c>
      <c r="M446" s="277"/>
      <c r="N446" s="282">
        <v>1</v>
      </c>
      <c r="O446" s="284" t="s">
        <v>4720</v>
      </c>
      <c r="P446" s="280">
        <v>890.91</v>
      </c>
      <c r="Q446" s="289">
        <v>45349</v>
      </c>
      <c r="R446" s="272"/>
      <c r="S446" s="272"/>
      <c r="T446" s="272"/>
      <c r="U446" s="272"/>
      <c r="V446" s="272"/>
      <c r="W446" s="272"/>
      <c r="X446" s="272"/>
      <c r="Y446" s="272"/>
      <c r="Z446" s="272"/>
      <c r="AA446" s="272"/>
    </row>
    <row r="447" spans="1:27">
      <c r="A447" s="273">
        <v>4</v>
      </c>
      <c r="B447" s="274" t="s">
        <v>5421</v>
      </c>
      <c r="C447" s="275">
        <v>45344</v>
      </c>
      <c r="D447" s="274" t="s">
        <v>4714</v>
      </c>
      <c r="E447" s="268" t="s">
        <v>2921</v>
      </c>
      <c r="F447" s="268" t="s">
        <v>4715</v>
      </c>
      <c r="G447" s="268" t="s">
        <v>4716</v>
      </c>
      <c r="H447" s="268" t="str">
        <f t="shared" si="1"/>
        <v>IGNACIO LLOPEZ CARRATALÁ</v>
      </c>
      <c r="I447" s="268" t="s">
        <v>4909</v>
      </c>
      <c r="J447" s="272" t="s">
        <v>4910</v>
      </c>
      <c r="K447" s="268" t="s">
        <v>5432</v>
      </c>
      <c r="L447" s="276">
        <v>45384</v>
      </c>
      <c r="M447" s="277"/>
      <c r="N447" s="282">
        <v>2</v>
      </c>
      <c r="O447" s="284" t="s">
        <v>4723</v>
      </c>
      <c r="P447" s="280">
        <v>2641.83</v>
      </c>
      <c r="Q447" s="289">
        <v>45344</v>
      </c>
      <c r="R447" s="272"/>
      <c r="S447" s="272"/>
      <c r="T447" s="272"/>
      <c r="U447" s="272"/>
      <c r="V447" s="272"/>
      <c r="W447" s="272"/>
      <c r="X447" s="272"/>
      <c r="Y447" s="272"/>
      <c r="Z447" s="272"/>
      <c r="AA447" s="272"/>
    </row>
    <row r="448" spans="1:27">
      <c r="A448" s="273">
        <v>4</v>
      </c>
      <c r="B448" s="274" t="s">
        <v>5421</v>
      </c>
      <c r="C448" s="275">
        <v>45337</v>
      </c>
      <c r="D448" s="274" t="s">
        <v>4714</v>
      </c>
      <c r="E448" s="268" t="s">
        <v>2880</v>
      </c>
      <c r="F448" s="268" t="s">
        <v>4715</v>
      </c>
      <c r="G448" s="268" t="s">
        <v>4716</v>
      </c>
      <c r="H448" s="268" t="str">
        <f t="shared" si="1"/>
        <v>JUAN RIESTRA AYORA</v>
      </c>
      <c r="I448" s="268" t="s">
        <v>5433</v>
      </c>
      <c r="J448" s="272" t="s">
        <v>4718</v>
      </c>
      <c r="K448" s="268" t="s">
        <v>5434</v>
      </c>
      <c r="L448" s="276">
        <v>45385</v>
      </c>
      <c r="M448" s="277"/>
      <c r="N448" s="282">
        <v>2</v>
      </c>
      <c r="O448" s="284" t="s">
        <v>4723</v>
      </c>
      <c r="P448" s="280">
        <v>2502.8200000000002</v>
      </c>
      <c r="Q448" s="289">
        <v>45337</v>
      </c>
      <c r="R448" s="272"/>
      <c r="S448" s="272"/>
      <c r="T448" s="272"/>
      <c r="U448" s="272"/>
      <c r="V448" s="272"/>
      <c r="W448" s="272"/>
      <c r="X448" s="272"/>
      <c r="Y448" s="272"/>
      <c r="Z448" s="272"/>
      <c r="AA448" s="272"/>
    </row>
    <row r="449" spans="1:27">
      <c r="A449" s="273">
        <v>4</v>
      </c>
      <c r="B449" s="274" t="s">
        <v>5421</v>
      </c>
      <c r="C449" s="275">
        <v>45336</v>
      </c>
      <c r="D449" s="274" t="s">
        <v>4714</v>
      </c>
      <c r="E449" s="268" t="s">
        <v>4780</v>
      </c>
      <c r="F449" s="268" t="s">
        <v>4715</v>
      </c>
      <c r="G449" s="268" t="s">
        <v>4716</v>
      </c>
      <c r="H449" s="268" t="str">
        <f t="shared" si="1"/>
        <v>MARÍA JESÚS CORNEJO DOMÍNGUEZ</v>
      </c>
      <c r="I449" s="268" t="s">
        <v>4781</v>
      </c>
      <c r="J449" s="268" t="s">
        <v>4747</v>
      </c>
      <c r="K449" s="268" t="s">
        <v>5435</v>
      </c>
      <c r="L449" s="276">
        <v>45385</v>
      </c>
      <c r="M449" s="277"/>
      <c r="N449" s="282">
        <v>2</v>
      </c>
      <c r="O449" s="284" t="s">
        <v>4720</v>
      </c>
      <c r="P449" s="280">
        <v>3604.55</v>
      </c>
      <c r="Q449" s="289">
        <v>45336</v>
      </c>
      <c r="R449" s="272"/>
      <c r="S449" s="272"/>
      <c r="T449" s="272"/>
      <c r="U449" s="272"/>
      <c r="V449" s="272"/>
      <c r="W449" s="272"/>
      <c r="X449" s="272"/>
      <c r="Y449" s="272"/>
      <c r="Z449" s="272"/>
      <c r="AA449" s="272"/>
    </row>
    <row r="450" spans="1:27">
      <c r="A450" s="273">
        <v>4</v>
      </c>
      <c r="B450" s="274" t="s">
        <v>5421</v>
      </c>
      <c r="C450" s="275">
        <v>45335</v>
      </c>
      <c r="D450" s="274" t="s">
        <v>4714</v>
      </c>
      <c r="E450" s="268" t="s">
        <v>4804</v>
      </c>
      <c r="F450" s="268" t="s">
        <v>4715</v>
      </c>
      <c r="G450" s="268" t="s">
        <v>4716</v>
      </c>
      <c r="H450" s="268" t="str">
        <f t="shared" si="1"/>
        <v>JOAQUIM BROTO SUMALLA</v>
      </c>
      <c r="I450" s="268" t="s">
        <v>4805</v>
      </c>
      <c r="J450" s="268" t="s">
        <v>4806</v>
      </c>
      <c r="K450" s="268" t="s">
        <v>5436</v>
      </c>
      <c r="L450" s="276">
        <v>45385</v>
      </c>
      <c r="M450" s="277"/>
      <c r="N450" s="282">
        <v>1</v>
      </c>
      <c r="O450" s="284" t="s">
        <v>4723</v>
      </c>
      <c r="P450" s="280">
        <v>1417.27</v>
      </c>
      <c r="Q450" s="289">
        <v>45335</v>
      </c>
      <c r="R450" s="272"/>
      <c r="S450" s="272"/>
      <c r="T450" s="272"/>
      <c r="U450" s="272"/>
      <c r="V450" s="272"/>
      <c r="W450" s="272"/>
      <c r="X450" s="272"/>
      <c r="Y450" s="272"/>
      <c r="Z450" s="272"/>
      <c r="AA450" s="272"/>
    </row>
    <row r="451" spans="1:27">
      <c r="A451" s="273">
        <v>4</v>
      </c>
      <c r="B451" s="274" t="s">
        <v>5421</v>
      </c>
      <c r="C451" s="275">
        <v>45348</v>
      </c>
      <c r="D451" s="274" t="s">
        <v>4714</v>
      </c>
      <c r="E451" s="268" t="s">
        <v>4194</v>
      </c>
      <c r="F451" s="268" t="s">
        <v>4715</v>
      </c>
      <c r="G451" s="268" t="s">
        <v>4716</v>
      </c>
      <c r="H451" s="268" t="str">
        <f t="shared" si="1"/>
        <v>KAREN ROJAS CRESPO</v>
      </c>
      <c r="I451" s="268" t="s">
        <v>5260</v>
      </c>
      <c r="J451" s="272" t="s">
        <v>4736</v>
      </c>
      <c r="K451" s="268" t="s">
        <v>5437</v>
      </c>
      <c r="L451" s="276">
        <v>45386</v>
      </c>
      <c r="M451" s="277"/>
      <c r="N451" s="282">
        <v>1</v>
      </c>
      <c r="O451" s="284" t="s">
        <v>4723</v>
      </c>
      <c r="P451" s="280">
        <v>1668.18</v>
      </c>
      <c r="Q451" s="289">
        <v>45348</v>
      </c>
      <c r="R451" s="272"/>
      <c r="S451" s="272"/>
      <c r="T451" s="272"/>
      <c r="U451" s="272"/>
      <c r="V451" s="272"/>
      <c r="W451" s="272"/>
      <c r="X451" s="272"/>
      <c r="Y451" s="272"/>
      <c r="Z451" s="272"/>
      <c r="AA451" s="272"/>
    </row>
    <row r="452" spans="1:27">
      <c r="A452" s="273">
        <v>4</v>
      </c>
      <c r="B452" s="274" t="s">
        <v>5421</v>
      </c>
      <c r="C452" s="275">
        <v>45271</v>
      </c>
      <c r="D452" s="274" t="s">
        <v>4714</v>
      </c>
      <c r="E452" s="268" t="s">
        <v>2929</v>
      </c>
      <c r="F452" s="268" t="s">
        <v>4715</v>
      </c>
      <c r="G452" s="268" t="s">
        <v>4716</v>
      </c>
      <c r="H452" s="268" t="str">
        <f t="shared" si="1"/>
        <v>JOAQUÍN ALACIO CASERO</v>
      </c>
      <c r="I452" s="268" t="s">
        <v>4925</v>
      </c>
      <c r="J452" s="272" t="s">
        <v>4718</v>
      </c>
      <c r="K452" s="268" t="s">
        <v>5438</v>
      </c>
      <c r="L452" s="276">
        <v>45386</v>
      </c>
      <c r="M452" s="283"/>
      <c r="N452" s="282">
        <v>1</v>
      </c>
      <c r="O452" s="284" t="s">
        <v>4740</v>
      </c>
      <c r="P452" s="280">
        <v>2536.36</v>
      </c>
      <c r="Q452" s="289">
        <v>45271</v>
      </c>
      <c r="R452" s="272"/>
      <c r="S452" s="272"/>
      <c r="T452" s="272"/>
      <c r="U452" s="272"/>
      <c r="V452" s="272"/>
      <c r="W452" s="272"/>
      <c r="X452" s="272"/>
      <c r="Y452" s="272"/>
      <c r="Z452" s="272"/>
      <c r="AA452" s="272"/>
    </row>
    <row r="453" spans="1:27">
      <c r="A453" s="273">
        <v>4</v>
      </c>
      <c r="B453" s="274" t="s">
        <v>5421</v>
      </c>
      <c r="C453" s="275">
        <v>45314</v>
      </c>
      <c r="D453" s="274" t="s">
        <v>4714</v>
      </c>
      <c r="E453" s="268" t="s">
        <v>2929</v>
      </c>
      <c r="F453" s="268" t="s">
        <v>4715</v>
      </c>
      <c r="G453" s="268" t="s">
        <v>4716</v>
      </c>
      <c r="H453" s="268" t="str">
        <f t="shared" si="1"/>
        <v>GUILLERMO SAN JUAN DE LA MORETA</v>
      </c>
      <c r="I453" s="268" t="s">
        <v>5100</v>
      </c>
      <c r="J453" s="272" t="s">
        <v>4718</v>
      </c>
      <c r="K453" s="268" t="s">
        <v>5439</v>
      </c>
      <c r="L453" s="276">
        <v>45386</v>
      </c>
      <c r="M453" s="277"/>
      <c r="N453" s="282">
        <v>2</v>
      </c>
      <c r="O453" s="284" t="s">
        <v>4720</v>
      </c>
      <c r="P453" s="280">
        <v>3244.09</v>
      </c>
      <c r="Q453" s="289">
        <v>45314</v>
      </c>
      <c r="R453" s="272"/>
      <c r="S453" s="272"/>
      <c r="T453" s="272"/>
      <c r="U453" s="272"/>
      <c r="V453" s="272"/>
      <c r="W453" s="272"/>
      <c r="X453" s="272"/>
      <c r="Y453" s="272"/>
      <c r="Z453" s="272"/>
      <c r="AA453" s="272"/>
    </row>
    <row r="454" spans="1:27">
      <c r="A454" s="273">
        <v>4</v>
      </c>
      <c r="B454" s="274" t="s">
        <v>5421</v>
      </c>
      <c r="C454" s="275">
        <v>45358</v>
      </c>
      <c r="D454" s="274" t="s">
        <v>4714</v>
      </c>
      <c r="E454" s="268" t="s">
        <v>4837</v>
      </c>
      <c r="F454" s="268" t="s">
        <v>4715</v>
      </c>
      <c r="G454" s="268" t="s">
        <v>4716</v>
      </c>
      <c r="H454" s="268" t="str">
        <f t="shared" si="1"/>
        <v>JULIO LÓPEZ MOYA</v>
      </c>
      <c r="I454" s="268" t="s">
        <v>4778</v>
      </c>
      <c r="J454" s="268" t="s">
        <v>4718</v>
      </c>
      <c r="K454" s="268" t="s">
        <v>5440</v>
      </c>
      <c r="L454" s="276">
        <v>45387</v>
      </c>
      <c r="M454" s="277"/>
      <c r="N454" s="282">
        <v>2</v>
      </c>
      <c r="O454" s="284" t="s">
        <v>4720</v>
      </c>
      <c r="P454" s="280">
        <v>3424.27</v>
      </c>
      <c r="Q454" s="289">
        <v>45358</v>
      </c>
      <c r="R454" s="272"/>
      <c r="S454" s="272"/>
      <c r="T454" s="272"/>
      <c r="U454" s="272"/>
      <c r="V454" s="272"/>
      <c r="W454" s="272"/>
      <c r="X454" s="272"/>
      <c r="Y454" s="272"/>
      <c r="Z454" s="272"/>
      <c r="AA454" s="272"/>
    </row>
    <row r="455" spans="1:27">
      <c r="A455" s="273">
        <v>4</v>
      </c>
      <c r="B455" s="274" t="s">
        <v>5421</v>
      </c>
      <c r="C455" s="275">
        <v>45356</v>
      </c>
      <c r="D455" s="274" t="s">
        <v>4714</v>
      </c>
      <c r="E455" s="268" t="s">
        <v>5225</v>
      </c>
      <c r="F455" s="268" t="s">
        <v>4715</v>
      </c>
      <c r="G455" s="268" t="s">
        <v>4716</v>
      </c>
      <c r="H455" s="268" t="str">
        <f t="shared" si="1"/>
        <v>JOAQUÍN GUERRA GÓMEZ</v>
      </c>
      <c r="I455" s="268" t="s">
        <v>4988</v>
      </c>
      <c r="J455" s="272" t="s">
        <v>4790</v>
      </c>
      <c r="K455" s="268" t="s">
        <v>5441</v>
      </c>
      <c r="L455" s="276">
        <v>45387</v>
      </c>
      <c r="M455" s="277"/>
      <c r="N455" s="282">
        <v>2</v>
      </c>
      <c r="O455" s="284" t="s">
        <v>4723</v>
      </c>
      <c r="P455" s="280">
        <v>2641.86</v>
      </c>
      <c r="Q455" s="289">
        <v>45356</v>
      </c>
      <c r="R455" s="272"/>
      <c r="S455" s="272"/>
      <c r="T455" s="272"/>
      <c r="U455" s="272"/>
      <c r="V455" s="272"/>
      <c r="W455" s="272"/>
      <c r="X455" s="272"/>
      <c r="Y455" s="272"/>
      <c r="Z455" s="272"/>
      <c r="AA455" s="272"/>
    </row>
    <row r="456" spans="1:27">
      <c r="A456" s="273">
        <v>4</v>
      </c>
      <c r="B456" s="274" t="s">
        <v>5421</v>
      </c>
      <c r="C456" s="275">
        <v>45370</v>
      </c>
      <c r="D456" s="274" t="s">
        <v>4714</v>
      </c>
      <c r="E456" s="268" t="s">
        <v>4827</v>
      </c>
      <c r="F456" s="268" t="s">
        <v>4715</v>
      </c>
      <c r="G456" s="268" t="s">
        <v>4716</v>
      </c>
      <c r="H456" s="268" t="str">
        <f t="shared" si="1"/>
        <v>ANDRÉS SOTO VARELA</v>
      </c>
      <c r="I456" s="268" t="s">
        <v>5442</v>
      </c>
      <c r="J456" s="272" t="s">
        <v>4790</v>
      </c>
      <c r="K456" s="268" t="s">
        <v>5443</v>
      </c>
      <c r="L456" s="276">
        <v>45390</v>
      </c>
      <c r="M456" s="277"/>
      <c r="N456" s="282">
        <v>2</v>
      </c>
      <c r="O456" s="284" t="s">
        <v>4723</v>
      </c>
      <c r="P456" s="280">
        <v>2945.45</v>
      </c>
      <c r="Q456" s="289">
        <v>45370</v>
      </c>
      <c r="R456" s="272"/>
      <c r="S456" s="272"/>
      <c r="T456" s="272"/>
      <c r="U456" s="272"/>
      <c r="V456" s="272"/>
      <c r="W456" s="272"/>
      <c r="X456" s="272"/>
      <c r="Y456" s="272"/>
      <c r="Z456" s="272"/>
      <c r="AA456" s="272"/>
    </row>
    <row r="457" spans="1:27">
      <c r="A457" s="273">
        <v>4</v>
      </c>
      <c r="B457" s="274" t="s">
        <v>5421</v>
      </c>
      <c r="C457" s="275">
        <v>45357</v>
      </c>
      <c r="D457" s="274" t="s">
        <v>4714</v>
      </c>
      <c r="E457" s="268" t="s">
        <v>3187</v>
      </c>
      <c r="F457" s="268" t="s">
        <v>4715</v>
      </c>
      <c r="G457" s="268" t="s">
        <v>4716</v>
      </c>
      <c r="H457" s="268" t="str">
        <f t="shared" si="1"/>
        <v>ANA PÉREZ DEL NOTARIO</v>
      </c>
      <c r="I457" s="268" t="s">
        <v>5444</v>
      </c>
      <c r="J457" s="268" t="s">
        <v>4822</v>
      </c>
      <c r="K457" s="268" t="s">
        <v>5445</v>
      </c>
      <c r="L457" s="276">
        <v>45390</v>
      </c>
      <c r="M457" s="283"/>
      <c r="N457" s="282">
        <v>2</v>
      </c>
      <c r="O457" s="284" t="s">
        <v>4723</v>
      </c>
      <c r="P457" s="280">
        <v>2354.11</v>
      </c>
      <c r="Q457" s="289">
        <v>45357</v>
      </c>
      <c r="R457" s="272"/>
      <c r="S457" s="272"/>
      <c r="T457" s="272"/>
      <c r="U457" s="272"/>
      <c r="V457" s="272"/>
      <c r="W457" s="272"/>
      <c r="X457" s="272"/>
      <c r="Y457" s="272"/>
      <c r="Z457" s="272"/>
      <c r="AA457" s="272"/>
    </row>
    <row r="458" spans="1:27">
      <c r="A458" s="273">
        <v>4</v>
      </c>
      <c r="B458" s="274" t="s">
        <v>5421</v>
      </c>
      <c r="C458" s="275">
        <v>45348</v>
      </c>
      <c r="D458" s="274" t="s">
        <v>4714</v>
      </c>
      <c r="E458" s="268" t="s">
        <v>3861</v>
      </c>
      <c r="F458" s="268" t="s">
        <v>4715</v>
      </c>
      <c r="G458" s="268" t="s">
        <v>4716</v>
      </c>
      <c r="H458" s="268" t="str">
        <f t="shared" si="1"/>
        <v>FRANKLIN S, MARIÑO SÁNCHEZ</v>
      </c>
      <c r="I458" s="268" t="s">
        <v>5446</v>
      </c>
      <c r="J458" s="272" t="s">
        <v>4718</v>
      </c>
      <c r="K458" s="268" t="s">
        <v>5447</v>
      </c>
      <c r="L458" s="276">
        <v>45390</v>
      </c>
      <c r="M458" s="277"/>
      <c r="N458" s="282">
        <v>2</v>
      </c>
      <c r="O458" s="284" t="s">
        <v>4720</v>
      </c>
      <c r="P458" s="280">
        <v>3604.55</v>
      </c>
      <c r="Q458" s="289">
        <v>45348</v>
      </c>
      <c r="R458" s="272"/>
      <c r="S458" s="272"/>
      <c r="T458" s="272"/>
      <c r="U458" s="272"/>
      <c r="V458" s="272"/>
      <c r="W458" s="272"/>
      <c r="X458" s="272"/>
      <c r="Y458" s="272"/>
      <c r="Z458" s="272"/>
      <c r="AA458" s="272"/>
    </row>
    <row r="459" spans="1:27">
      <c r="A459" s="273">
        <v>4</v>
      </c>
      <c r="B459" s="274" t="s">
        <v>5421</v>
      </c>
      <c r="C459" s="275">
        <v>45352</v>
      </c>
      <c r="D459" s="274" t="s">
        <v>4714</v>
      </c>
      <c r="E459" s="268" t="s">
        <v>4837</v>
      </c>
      <c r="F459" s="268" t="s">
        <v>4715</v>
      </c>
      <c r="G459" s="268" t="s">
        <v>4716</v>
      </c>
      <c r="H459" s="268" t="str">
        <f t="shared" si="1"/>
        <v>CARLOTA SEVIL SERRANO</v>
      </c>
      <c r="I459" s="268" t="s">
        <v>5448</v>
      </c>
      <c r="J459" s="268" t="s">
        <v>4718</v>
      </c>
      <c r="K459" s="268" t="s">
        <v>5449</v>
      </c>
      <c r="L459" s="276">
        <v>45390</v>
      </c>
      <c r="M459" s="277"/>
      <c r="N459" s="282">
        <v>2</v>
      </c>
      <c r="O459" s="284" t="s">
        <v>4720</v>
      </c>
      <c r="P459" s="280">
        <v>3424.37</v>
      </c>
      <c r="Q459" s="289">
        <v>45352</v>
      </c>
      <c r="R459" s="272"/>
      <c r="S459" s="272"/>
      <c r="T459" s="272"/>
      <c r="U459" s="272"/>
      <c r="V459" s="272"/>
      <c r="W459" s="272"/>
      <c r="X459" s="272"/>
      <c r="Y459" s="272"/>
      <c r="Z459" s="272"/>
      <c r="AA459" s="272"/>
    </row>
    <row r="460" spans="1:27">
      <c r="A460" s="273">
        <v>4</v>
      </c>
      <c r="B460" s="274" t="s">
        <v>5421</v>
      </c>
      <c r="C460" s="275">
        <v>45357</v>
      </c>
      <c r="D460" s="274" t="s">
        <v>4714</v>
      </c>
      <c r="E460" s="268" t="s">
        <v>4892</v>
      </c>
      <c r="F460" s="268" t="s">
        <v>4715</v>
      </c>
      <c r="G460" s="268" t="s">
        <v>4716</v>
      </c>
      <c r="H460" s="268" t="str">
        <f t="shared" si="1"/>
        <v>ENRIQUE MELCOM DIEZ</v>
      </c>
      <c r="I460" s="268" t="s">
        <v>4902</v>
      </c>
      <c r="J460" s="272" t="s">
        <v>4822</v>
      </c>
      <c r="K460" s="268" t="s">
        <v>5450</v>
      </c>
      <c r="L460" s="276">
        <v>45390</v>
      </c>
      <c r="M460" s="277"/>
      <c r="N460" s="282">
        <v>2</v>
      </c>
      <c r="O460" s="284" t="s">
        <v>4720</v>
      </c>
      <c r="P460" s="280">
        <v>3604.55</v>
      </c>
      <c r="Q460" s="289">
        <v>45357</v>
      </c>
      <c r="R460" s="272"/>
      <c r="S460" s="272"/>
      <c r="T460" s="272"/>
      <c r="U460" s="272"/>
      <c r="V460" s="272"/>
      <c r="W460" s="272"/>
      <c r="X460" s="272"/>
      <c r="Y460" s="272"/>
      <c r="Z460" s="272"/>
      <c r="AA460" s="272"/>
    </row>
    <row r="461" spans="1:27">
      <c r="A461" s="273">
        <v>4</v>
      </c>
      <c r="B461" s="274" t="s">
        <v>5421</v>
      </c>
      <c r="C461" s="275">
        <v>45362</v>
      </c>
      <c r="D461" s="274" t="s">
        <v>4714</v>
      </c>
      <c r="E461" s="268" t="s">
        <v>3529</v>
      </c>
      <c r="F461" s="268" t="s">
        <v>4715</v>
      </c>
      <c r="G461" s="268" t="s">
        <v>4716</v>
      </c>
      <c r="H461" s="268" t="str">
        <f t="shared" si="1"/>
        <v>FRANCISCO JOSÉ ESTRADA MOLINA</v>
      </c>
      <c r="I461" s="268" t="s">
        <v>5451</v>
      </c>
      <c r="J461" s="268" t="s">
        <v>4729</v>
      </c>
      <c r="K461" s="268" t="s">
        <v>5452</v>
      </c>
      <c r="L461" s="276">
        <v>45390</v>
      </c>
      <c r="M461" s="277"/>
      <c r="N461" s="282">
        <v>2</v>
      </c>
      <c r="O461" s="284" t="s">
        <v>4720</v>
      </c>
      <c r="P461" s="280">
        <v>3786.36</v>
      </c>
      <c r="Q461" s="289">
        <v>45362</v>
      </c>
      <c r="R461" s="272"/>
      <c r="S461" s="272"/>
      <c r="T461" s="272"/>
      <c r="U461" s="272"/>
      <c r="V461" s="272"/>
      <c r="W461" s="272"/>
      <c r="X461" s="272"/>
      <c r="Y461" s="272"/>
      <c r="Z461" s="272"/>
      <c r="AA461" s="272"/>
    </row>
    <row r="462" spans="1:27">
      <c r="A462" s="273">
        <v>4</v>
      </c>
      <c r="B462" s="274" t="s">
        <v>5421</v>
      </c>
      <c r="C462" s="275">
        <v>45356</v>
      </c>
      <c r="D462" s="274" t="s">
        <v>4714</v>
      </c>
      <c r="E462" s="268" t="s">
        <v>4799</v>
      </c>
      <c r="F462" s="268" t="s">
        <v>4715</v>
      </c>
      <c r="G462" s="268" t="s">
        <v>4716</v>
      </c>
      <c r="H462" s="268" t="str">
        <f t="shared" si="1"/>
        <v>ISABEL GONZÁLEZ GUIJARRO</v>
      </c>
      <c r="I462" s="268" t="s">
        <v>5453</v>
      </c>
      <c r="J462" s="272" t="s">
        <v>4790</v>
      </c>
      <c r="K462" s="268" t="s">
        <v>5454</v>
      </c>
      <c r="L462" s="276">
        <v>45390</v>
      </c>
      <c r="M462" s="283"/>
      <c r="N462" s="282">
        <v>2</v>
      </c>
      <c r="O462" s="284" t="s">
        <v>4723</v>
      </c>
      <c r="P462" s="280">
        <v>3090.91</v>
      </c>
      <c r="Q462" s="289">
        <v>45356</v>
      </c>
      <c r="R462" s="272"/>
      <c r="S462" s="272"/>
      <c r="T462" s="272"/>
      <c r="U462" s="272"/>
      <c r="V462" s="272"/>
      <c r="W462" s="272"/>
      <c r="X462" s="272"/>
      <c r="Y462" s="272"/>
      <c r="Z462" s="272"/>
      <c r="AA462" s="272"/>
    </row>
    <row r="463" spans="1:27">
      <c r="A463" s="273">
        <v>4</v>
      </c>
      <c r="B463" s="274" t="s">
        <v>5421</v>
      </c>
      <c r="C463" s="275">
        <v>45351</v>
      </c>
      <c r="D463" s="274" t="s">
        <v>4714</v>
      </c>
      <c r="E463" s="268" t="s">
        <v>4194</v>
      </c>
      <c r="F463" s="268" t="s">
        <v>4715</v>
      </c>
      <c r="G463" s="268" t="s">
        <v>4716</v>
      </c>
      <c r="H463" s="268" t="str">
        <f t="shared" si="1"/>
        <v>KAREN ROJAS CRESPO</v>
      </c>
      <c r="I463" s="268" t="s">
        <v>5260</v>
      </c>
      <c r="J463" s="272" t="s">
        <v>4736</v>
      </c>
      <c r="K463" s="268" t="s">
        <v>5455</v>
      </c>
      <c r="L463" s="276">
        <v>45391</v>
      </c>
      <c r="M463" s="277"/>
      <c r="N463" s="282">
        <v>2</v>
      </c>
      <c r="O463" s="284" t="s">
        <v>4720</v>
      </c>
      <c r="P463" s="280">
        <v>3604.55</v>
      </c>
      <c r="Q463" s="289">
        <v>45351</v>
      </c>
      <c r="R463" s="272"/>
      <c r="S463" s="272"/>
      <c r="T463" s="272"/>
      <c r="U463" s="272"/>
      <c r="V463" s="272"/>
      <c r="W463" s="272"/>
      <c r="X463" s="272"/>
      <c r="Y463" s="272"/>
      <c r="Z463" s="272"/>
      <c r="AA463" s="272"/>
    </row>
    <row r="464" spans="1:27">
      <c r="A464" s="273">
        <v>4</v>
      </c>
      <c r="B464" s="274" t="s">
        <v>5421</v>
      </c>
      <c r="C464" s="275">
        <v>45351</v>
      </c>
      <c r="D464" s="274" t="s">
        <v>4714</v>
      </c>
      <c r="E464" s="268" t="s">
        <v>3043</v>
      </c>
      <c r="F464" s="268" t="s">
        <v>4715</v>
      </c>
      <c r="G464" s="268" t="s">
        <v>4716</v>
      </c>
      <c r="H464" s="268" t="str">
        <f t="shared" si="1"/>
        <v>JOSÉ GUSTAVO BARROSO BRAOJOS</v>
      </c>
      <c r="I464" s="268" t="s">
        <v>4834</v>
      </c>
      <c r="J464" s="272" t="s">
        <v>4718</v>
      </c>
      <c r="K464" s="268" t="s">
        <v>5456</v>
      </c>
      <c r="L464" s="276">
        <v>45391</v>
      </c>
      <c r="M464" s="283"/>
      <c r="N464" s="282">
        <v>1</v>
      </c>
      <c r="O464" s="284" t="s">
        <v>4720</v>
      </c>
      <c r="P464" s="280">
        <v>2054.5500000000002</v>
      </c>
      <c r="Q464" s="289">
        <v>45351</v>
      </c>
      <c r="R464" s="272"/>
      <c r="S464" s="272"/>
      <c r="T464" s="272"/>
      <c r="U464" s="272"/>
      <c r="V464" s="272"/>
      <c r="W464" s="272"/>
      <c r="X464" s="272"/>
      <c r="Y464" s="272"/>
      <c r="Z464" s="272"/>
      <c r="AA464" s="272"/>
    </row>
    <row r="465" spans="1:27">
      <c r="A465" s="273">
        <v>4</v>
      </c>
      <c r="B465" s="274" t="s">
        <v>5421</v>
      </c>
      <c r="C465" s="275">
        <v>45356</v>
      </c>
      <c r="D465" s="274" t="s">
        <v>4714</v>
      </c>
      <c r="E465" s="268" t="s">
        <v>2869</v>
      </c>
      <c r="F465" s="268" t="s">
        <v>4715</v>
      </c>
      <c r="G465" s="268" t="s">
        <v>4716</v>
      </c>
      <c r="H465" s="268" t="str">
        <f t="shared" si="1"/>
        <v>JESÚS AARÓN MARTÍNEZ ALONSO</v>
      </c>
      <c r="I465" s="268" t="s">
        <v>5457</v>
      </c>
      <c r="J465" s="272" t="s">
        <v>4736</v>
      </c>
      <c r="K465" s="268" t="s">
        <v>5458</v>
      </c>
      <c r="L465" s="276">
        <v>45391</v>
      </c>
      <c r="M465" s="283"/>
      <c r="N465" s="282">
        <v>2</v>
      </c>
      <c r="O465" s="284" t="s">
        <v>4723</v>
      </c>
      <c r="P465" s="280">
        <v>2780.91</v>
      </c>
      <c r="Q465" s="289">
        <v>45356</v>
      </c>
      <c r="R465" s="272"/>
      <c r="S465" s="272"/>
      <c r="T465" s="272"/>
      <c r="U465" s="272"/>
      <c r="V465" s="272"/>
      <c r="W465" s="272"/>
      <c r="X465" s="272"/>
      <c r="Y465" s="272"/>
      <c r="Z465" s="272"/>
      <c r="AA465" s="272"/>
    </row>
    <row r="466" spans="1:27">
      <c r="A466" s="273">
        <v>4</v>
      </c>
      <c r="B466" s="274" t="s">
        <v>5421</v>
      </c>
      <c r="C466" s="275">
        <v>45355</v>
      </c>
      <c r="D466" s="274" t="s">
        <v>4714</v>
      </c>
      <c r="E466" s="268" t="s">
        <v>2869</v>
      </c>
      <c r="F466" s="268" t="s">
        <v>4715</v>
      </c>
      <c r="G466" s="268" t="s">
        <v>4716</v>
      </c>
      <c r="H466" s="268" t="str">
        <f t="shared" si="1"/>
        <v>NURIA SALAS BARRIO</v>
      </c>
      <c r="I466" s="268" t="s">
        <v>5293</v>
      </c>
      <c r="J466" s="268" t="s">
        <v>4736</v>
      </c>
      <c r="K466" s="268" t="s">
        <v>5459</v>
      </c>
      <c r="L466" s="276">
        <v>45391</v>
      </c>
      <c r="M466" s="277"/>
      <c r="N466" s="282">
        <v>2</v>
      </c>
      <c r="O466" s="284" t="s">
        <v>4723</v>
      </c>
      <c r="P466" s="280">
        <v>2780.91</v>
      </c>
      <c r="Q466" s="289">
        <v>45355</v>
      </c>
      <c r="R466" s="272"/>
      <c r="S466" s="272"/>
      <c r="T466" s="272"/>
      <c r="U466" s="272"/>
      <c r="V466" s="272"/>
      <c r="W466" s="272"/>
      <c r="X466" s="272"/>
      <c r="Y466" s="272"/>
      <c r="Z466" s="272"/>
      <c r="AA466" s="272"/>
    </row>
    <row r="467" spans="1:27">
      <c r="A467" s="273">
        <v>4</v>
      </c>
      <c r="B467" s="274" t="s">
        <v>5421</v>
      </c>
      <c r="C467" s="275">
        <v>45244</v>
      </c>
      <c r="D467" s="274" t="s">
        <v>4714</v>
      </c>
      <c r="E467" s="268" t="s">
        <v>4780</v>
      </c>
      <c r="F467" s="268" t="s">
        <v>4715</v>
      </c>
      <c r="G467" s="268" t="s">
        <v>4716</v>
      </c>
      <c r="H467" s="268" t="str">
        <f t="shared" si="1"/>
        <v>ÁNGEL MUÑOZ HERRERA</v>
      </c>
      <c r="I467" s="268" t="s">
        <v>4940</v>
      </c>
      <c r="J467" s="272" t="s">
        <v>4747</v>
      </c>
      <c r="K467" s="268" t="s">
        <v>5460</v>
      </c>
      <c r="L467" s="276">
        <v>45391</v>
      </c>
      <c r="M467" s="277"/>
      <c r="N467" s="282">
        <v>2</v>
      </c>
      <c r="O467" s="284" t="s">
        <v>4740</v>
      </c>
      <c r="P467" s="280">
        <v>4222.7299999999996</v>
      </c>
      <c r="Q467" s="289">
        <v>45244</v>
      </c>
      <c r="R467" s="272"/>
      <c r="S467" s="272"/>
      <c r="T467" s="272"/>
      <c r="U467" s="272"/>
      <c r="V467" s="272"/>
      <c r="W467" s="272"/>
      <c r="X467" s="272"/>
      <c r="Y467" s="272"/>
      <c r="Z467" s="272"/>
      <c r="AA467" s="272"/>
    </row>
    <row r="468" spans="1:27">
      <c r="A468" s="273">
        <v>4</v>
      </c>
      <c r="B468" s="274" t="s">
        <v>5421</v>
      </c>
      <c r="C468" s="275">
        <v>45350</v>
      </c>
      <c r="D468" s="274" t="s">
        <v>4714</v>
      </c>
      <c r="E468" s="268" t="s">
        <v>5225</v>
      </c>
      <c r="F468" s="268" t="s">
        <v>4715</v>
      </c>
      <c r="G468" s="268" t="s">
        <v>4716</v>
      </c>
      <c r="H468" s="268" t="str">
        <f t="shared" si="1"/>
        <v>JOAQUÍN GUERRA GÓMEZ</v>
      </c>
      <c r="I468" s="268" t="s">
        <v>4988</v>
      </c>
      <c r="J468" s="272" t="s">
        <v>4790</v>
      </c>
      <c r="K468" s="268" t="s">
        <v>5461</v>
      </c>
      <c r="L468" s="276">
        <v>45391</v>
      </c>
      <c r="M468" s="283"/>
      <c r="N468" s="282">
        <v>2</v>
      </c>
      <c r="O468" s="284" t="s">
        <v>4740</v>
      </c>
      <c r="P468" s="280">
        <v>4223.04</v>
      </c>
      <c r="Q468" s="289">
        <v>45350</v>
      </c>
      <c r="R468" s="272"/>
      <c r="S468" s="272"/>
      <c r="T468" s="272"/>
      <c r="U468" s="272"/>
      <c r="V468" s="272"/>
      <c r="W468" s="272"/>
      <c r="X468" s="272"/>
      <c r="Y468" s="272"/>
      <c r="Z468" s="272"/>
      <c r="AA468" s="272"/>
    </row>
    <row r="469" spans="1:27">
      <c r="A469" s="273">
        <v>4</v>
      </c>
      <c r="B469" s="274" t="s">
        <v>5421</v>
      </c>
      <c r="C469" s="275">
        <v>45351</v>
      </c>
      <c r="D469" s="274" t="s">
        <v>4714</v>
      </c>
      <c r="E469" s="268" t="s">
        <v>2863</v>
      </c>
      <c r="F469" s="268" t="s">
        <v>4715</v>
      </c>
      <c r="G469" s="268" t="s">
        <v>4716</v>
      </c>
      <c r="H469" s="268" t="str">
        <f t="shared" si="1"/>
        <v>JAVIER GARCÍA-DUEÑAS GONZÁLEZ</v>
      </c>
      <c r="I469" s="268" t="s">
        <v>5396</v>
      </c>
      <c r="J469" s="272" t="s">
        <v>4736</v>
      </c>
      <c r="K469" s="268" t="s">
        <v>5462</v>
      </c>
      <c r="L469" s="276">
        <v>45392</v>
      </c>
      <c r="M469" s="277"/>
      <c r="N469" s="282">
        <v>2</v>
      </c>
      <c r="O469" s="284" t="s">
        <v>4720</v>
      </c>
      <c r="P469" s="280">
        <v>3244.09</v>
      </c>
      <c r="Q469" s="289">
        <v>45351</v>
      </c>
      <c r="R469" s="272"/>
      <c r="S469" s="272"/>
      <c r="T469" s="272"/>
      <c r="U469" s="272"/>
      <c r="V469" s="272"/>
      <c r="W469" s="272"/>
      <c r="X469" s="272"/>
      <c r="Y469" s="272"/>
      <c r="Z469" s="272"/>
      <c r="AA469" s="272"/>
    </row>
    <row r="470" spans="1:27">
      <c r="A470" s="273">
        <v>4</v>
      </c>
      <c r="B470" s="274" t="s">
        <v>5421</v>
      </c>
      <c r="C470" s="275">
        <v>45365</v>
      </c>
      <c r="D470" s="274" t="s">
        <v>4714</v>
      </c>
      <c r="E470" s="268" t="s">
        <v>4820</v>
      </c>
      <c r="F470" s="268" t="s">
        <v>4715</v>
      </c>
      <c r="G470" s="268" t="s">
        <v>4716</v>
      </c>
      <c r="H470" s="268" t="str">
        <f t="shared" si="1"/>
        <v>FRANCISCO RAMOS PUERTO</v>
      </c>
      <c r="I470" s="268" t="s">
        <v>5463</v>
      </c>
      <c r="J470" s="272" t="s">
        <v>4822</v>
      </c>
      <c r="K470" s="268" t="s">
        <v>5464</v>
      </c>
      <c r="L470" s="276">
        <v>45392</v>
      </c>
      <c r="M470" s="283"/>
      <c r="N470" s="282">
        <v>2</v>
      </c>
      <c r="O470" s="284" t="s">
        <v>4723</v>
      </c>
      <c r="P470" s="280">
        <v>2780.91</v>
      </c>
      <c r="Q470" s="289">
        <v>45365</v>
      </c>
      <c r="R470" s="272"/>
      <c r="S470" s="272"/>
      <c r="T470" s="272"/>
      <c r="U470" s="272"/>
      <c r="V470" s="272"/>
      <c r="W470" s="272"/>
      <c r="X470" s="272"/>
      <c r="Y470" s="272"/>
      <c r="Z470" s="272"/>
      <c r="AA470" s="272"/>
    </row>
    <row r="471" spans="1:27">
      <c r="A471" s="273">
        <v>4</v>
      </c>
      <c r="B471" s="274" t="s">
        <v>5421</v>
      </c>
      <c r="C471" s="275">
        <v>45349</v>
      </c>
      <c r="D471" s="274" t="s">
        <v>4714</v>
      </c>
      <c r="E471" s="268" t="s">
        <v>4878</v>
      </c>
      <c r="F471" s="268" t="s">
        <v>4715</v>
      </c>
      <c r="G471" s="268" t="s">
        <v>4716</v>
      </c>
      <c r="H471" s="268" t="str">
        <f t="shared" si="1"/>
        <v>EDUARDO CABANAS RODRÍGUEZ</v>
      </c>
      <c r="I471" s="268" t="s">
        <v>4879</v>
      </c>
      <c r="J471" s="272" t="s">
        <v>4790</v>
      </c>
      <c r="K471" s="268" t="s">
        <v>5465</v>
      </c>
      <c r="L471" s="276">
        <v>45392</v>
      </c>
      <c r="M471" s="277"/>
      <c r="N471" s="282">
        <v>2</v>
      </c>
      <c r="O471" s="284" t="s">
        <v>4723</v>
      </c>
      <c r="P471" s="280">
        <v>2727.27</v>
      </c>
      <c r="Q471" s="289">
        <v>45349</v>
      </c>
      <c r="R471" s="272"/>
      <c r="S471" s="272"/>
      <c r="T471" s="272"/>
      <c r="U471" s="272"/>
      <c r="V471" s="272"/>
      <c r="W471" s="272"/>
      <c r="X471" s="272"/>
      <c r="Y471" s="272"/>
      <c r="Z471" s="272"/>
      <c r="AA471" s="272"/>
    </row>
    <row r="472" spans="1:27">
      <c r="A472" s="273">
        <v>4</v>
      </c>
      <c r="B472" s="274" t="s">
        <v>5421</v>
      </c>
      <c r="C472" s="275">
        <v>45356</v>
      </c>
      <c r="D472" s="274" t="s">
        <v>4714</v>
      </c>
      <c r="E472" s="268" t="s">
        <v>3193</v>
      </c>
      <c r="F472" s="268" t="s">
        <v>4715</v>
      </c>
      <c r="G472" s="268" t="s">
        <v>4716</v>
      </c>
      <c r="H472" s="268" t="str">
        <f t="shared" si="1"/>
        <v>JOAQUÍN ALACIO CASERO</v>
      </c>
      <c r="I472" s="268" t="s">
        <v>4925</v>
      </c>
      <c r="J472" s="272" t="s">
        <v>4718</v>
      </c>
      <c r="K472" s="268" t="s">
        <v>5466</v>
      </c>
      <c r="L472" s="276">
        <v>45392</v>
      </c>
      <c r="M472" s="277"/>
      <c r="N472" s="282">
        <v>2</v>
      </c>
      <c r="O472" s="284" t="s">
        <v>4723</v>
      </c>
      <c r="P472" s="280">
        <v>2692.31</v>
      </c>
      <c r="Q472" s="289">
        <v>45356</v>
      </c>
      <c r="R472" s="272"/>
      <c r="S472" s="272"/>
      <c r="T472" s="272"/>
      <c r="U472" s="272"/>
      <c r="V472" s="272"/>
      <c r="W472" s="272"/>
      <c r="X472" s="272"/>
      <c r="Y472" s="272"/>
      <c r="Z472" s="272"/>
      <c r="AA472" s="272"/>
    </row>
    <row r="473" spans="1:27">
      <c r="A473" s="273">
        <v>4</v>
      </c>
      <c r="B473" s="274" t="s">
        <v>5421</v>
      </c>
      <c r="C473" s="275">
        <v>45359</v>
      </c>
      <c r="D473" s="274" t="s">
        <v>4714</v>
      </c>
      <c r="E473" s="268" t="s">
        <v>3193</v>
      </c>
      <c r="F473" s="268" t="s">
        <v>4715</v>
      </c>
      <c r="G473" s="268" t="s">
        <v>4716</v>
      </c>
      <c r="H473" s="268" t="str">
        <f t="shared" si="1"/>
        <v>FÉLIX RODRÍGUEZ PAZ</v>
      </c>
      <c r="I473" s="268" t="s">
        <v>5092</v>
      </c>
      <c r="J473" s="272" t="s">
        <v>4718</v>
      </c>
      <c r="K473" s="268" t="s">
        <v>5467</v>
      </c>
      <c r="L473" s="276">
        <v>45392</v>
      </c>
      <c r="M473" s="283"/>
      <c r="N473" s="282">
        <v>2</v>
      </c>
      <c r="O473" s="284" t="s">
        <v>4720</v>
      </c>
      <c r="P473" s="280">
        <v>3604.55</v>
      </c>
      <c r="Q473" s="289">
        <v>45359</v>
      </c>
      <c r="R473" s="272"/>
      <c r="S473" s="272"/>
      <c r="T473" s="272"/>
      <c r="U473" s="272"/>
      <c r="V473" s="272"/>
      <c r="W473" s="272"/>
      <c r="X473" s="272"/>
      <c r="Y473" s="272"/>
      <c r="Z473" s="272"/>
      <c r="AA473" s="272"/>
    </row>
    <row r="474" spans="1:27">
      <c r="A474" s="273">
        <v>4</v>
      </c>
      <c r="B474" s="274" t="s">
        <v>5421</v>
      </c>
      <c r="C474" s="275">
        <v>45343</v>
      </c>
      <c r="D474" s="274" t="s">
        <v>4714</v>
      </c>
      <c r="E474" s="268" t="s">
        <v>2961</v>
      </c>
      <c r="F474" s="268" t="s">
        <v>4715</v>
      </c>
      <c r="G474" s="268" t="s">
        <v>4716</v>
      </c>
      <c r="H474" s="268" t="str">
        <f t="shared" si="1"/>
        <v>NATHALIE FAGES CÁRCELES</v>
      </c>
      <c r="I474" s="268" t="s">
        <v>5000</v>
      </c>
      <c r="J474" s="272" t="s">
        <v>4736</v>
      </c>
      <c r="K474" s="268" t="s">
        <v>5468</v>
      </c>
      <c r="L474" s="276">
        <v>45392</v>
      </c>
      <c r="M474" s="277"/>
      <c r="N474" s="282">
        <v>1</v>
      </c>
      <c r="O474" s="284" t="s">
        <v>4720</v>
      </c>
      <c r="P474" s="280">
        <v>2162.73</v>
      </c>
      <c r="Q474" s="289">
        <v>45343</v>
      </c>
      <c r="R474" s="272"/>
      <c r="S474" s="272"/>
      <c r="T474" s="272"/>
      <c r="U474" s="272"/>
      <c r="V474" s="272"/>
      <c r="W474" s="272"/>
      <c r="X474" s="272"/>
      <c r="Y474" s="272"/>
      <c r="Z474" s="272"/>
      <c r="AA474" s="272"/>
    </row>
    <row r="475" spans="1:27">
      <c r="A475" s="273">
        <v>4</v>
      </c>
      <c r="B475" s="274" t="s">
        <v>5421</v>
      </c>
      <c r="C475" s="275">
        <v>45336</v>
      </c>
      <c r="D475" s="274" t="s">
        <v>4714</v>
      </c>
      <c r="E475" s="268" t="s">
        <v>4804</v>
      </c>
      <c r="F475" s="268" t="s">
        <v>4715</v>
      </c>
      <c r="G475" s="268" t="s">
        <v>4716</v>
      </c>
      <c r="H475" s="268" t="str">
        <f t="shared" si="1"/>
        <v>ELENA DE DIOS ORAN</v>
      </c>
      <c r="I475" s="268" t="s">
        <v>5234</v>
      </c>
      <c r="J475" s="272" t="s">
        <v>4806</v>
      </c>
      <c r="K475" s="268" t="s">
        <v>5469</v>
      </c>
      <c r="L475" s="276">
        <v>45392</v>
      </c>
      <c r="M475" s="277"/>
      <c r="N475" s="282">
        <v>2</v>
      </c>
      <c r="O475" s="284" t="s">
        <v>4723</v>
      </c>
      <c r="P475" s="280">
        <v>2835.45</v>
      </c>
      <c r="Q475" s="289">
        <v>45336</v>
      </c>
      <c r="R475" s="272"/>
      <c r="S475" s="272"/>
      <c r="T475" s="272"/>
      <c r="U475" s="272"/>
      <c r="V475" s="272"/>
      <c r="W475" s="272"/>
      <c r="X475" s="272"/>
      <c r="Y475" s="272"/>
      <c r="Z475" s="272"/>
      <c r="AA475" s="272"/>
    </row>
    <row r="476" spans="1:27">
      <c r="A476" s="273">
        <v>4</v>
      </c>
      <c r="B476" s="274" t="s">
        <v>5421</v>
      </c>
      <c r="C476" s="275">
        <v>45335</v>
      </c>
      <c r="D476" s="274" t="s">
        <v>4714</v>
      </c>
      <c r="E476" s="268" t="s">
        <v>4804</v>
      </c>
      <c r="F476" s="268" t="s">
        <v>4715</v>
      </c>
      <c r="G476" s="268" t="s">
        <v>4716</v>
      </c>
      <c r="H476" s="268" t="str">
        <f t="shared" si="1"/>
        <v>JOSEP MARIA ORRIT ARENAS</v>
      </c>
      <c r="I476" s="268" t="s">
        <v>5228</v>
      </c>
      <c r="J476" s="272" t="s">
        <v>4806</v>
      </c>
      <c r="K476" s="268" t="s">
        <v>5470</v>
      </c>
      <c r="L476" s="276">
        <v>45392</v>
      </c>
      <c r="M476" s="277"/>
      <c r="N476" s="282">
        <v>2</v>
      </c>
      <c r="O476" s="284" t="s">
        <v>4792</v>
      </c>
      <c r="P476" s="280">
        <v>2550</v>
      </c>
      <c r="Q476" s="289">
        <v>45335</v>
      </c>
      <c r="R476" s="272"/>
      <c r="S476" s="272"/>
      <c r="T476" s="272"/>
      <c r="U476" s="272"/>
      <c r="V476" s="272"/>
      <c r="W476" s="272"/>
      <c r="X476" s="272"/>
      <c r="Y476" s="272"/>
      <c r="Z476" s="272"/>
      <c r="AA476" s="272"/>
    </row>
    <row r="477" spans="1:27">
      <c r="A477" s="273">
        <v>4</v>
      </c>
      <c r="B477" s="274" t="s">
        <v>5421</v>
      </c>
      <c r="C477" s="275">
        <v>45370</v>
      </c>
      <c r="D477" s="274" t="s">
        <v>4714</v>
      </c>
      <c r="E477" s="268" t="s">
        <v>2863</v>
      </c>
      <c r="F477" s="268" t="s">
        <v>4715</v>
      </c>
      <c r="G477" s="268" t="s">
        <v>4716</v>
      </c>
      <c r="H477" s="268" t="str">
        <f t="shared" si="1"/>
        <v>PEDRO SEGUÍ MOYA</v>
      </c>
      <c r="I477" s="268" t="s">
        <v>5053</v>
      </c>
      <c r="J477" s="272" t="s">
        <v>4736</v>
      </c>
      <c r="K477" s="268" t="s">
        <v>5471</v>
      </c>
      <c r="L477" s="276">
        <v>45393</v>
      </c>
      <c r="M477" s="277"/>
      <c r="N477" s="282">
        <v>1</v>
      </c>
      <c r="O477" s="284" t="s">
        <v>4720</v>
      </c>
      <c r="P477" s="280">
        <v>2162.73</v>
      </c>
      <c r="Q477" s="289">
        <v>45370</v>
      </c>
      <c r="R477" s="272"/>
      <c r="S477" s="272"/>
      <c r="T477" s="272"/>
      <c r="U477" s="272"/>
      <c r="V477" s="272"/>
      <c r="W477" s="272"/>
      <c r="X477" s="272"/>
      <c r="Y477" s="272"/>
      <c r="Z477" s="272"/>
      <c r="AA477" s="272"/>
    </row>
    <row r="478" spans="1:27">
      <c r="A478" s="273">
        <v>4</v>
      </c>
      <c r="B478" s="274" t="s">
        <v>5421</v>
      </c>
      <c r="C478" s="275">
        <v>45359</v>
      </c>
      <c r="D478" s="274" t="s">
        <v>4714</v>
      </c>
      <c r="E478" s="268" t="s">
        <v>3043</v>
      </c>
      <c r="F478" s="268" t="s">
        <v>4715</v>
      </c>
      <c r="G478" s="268" t="s">
        <v>4716</v>
      </c>
      <c r="H478" s="268" t="str">
        <f t="shared" si="1"/>
        <v>ANTONIO BUENO RÍOS</v>
      </c>
      <c r="I478" s="268" t="s">
        <v>4793</v>
      </c>
      <c r="J478" s="272" t="s">
        <v>4822</v>
      </c>
      <c r="K478" s="268" t="s">
        <v>5472</v>
      </c>
      <c r="L478" s="276">
        <v>45393</v>
      </c>
      <c r="M478" s="277"/>
      <c r="N478" s="282">
        <v>2</v>
      </c>
      <c r="O478" s="284" t="s">
        <v>4720</v>
      </c>
      <c r="P478" s="280">
        <v>3295.45</v>
      </c>
      <c r="Q478" s="289">
        <v>45359</v>
      </c>
      <c r="R478" s="272"/>
      <c r="S478" s="272"/>
      <c r="T478" s="272"/>
      <c r="U478" s="272"/>
      <c r="V478" s="272"/>
      <c r="W478" s="272"/>
      <c r="X478" s="272"/>
      <c r="Y478" s="272"/>
      <c r="Z478" s="272"/>
      <c r="AA478" s="272"/>
    </row>
    <row r="479" spans="1:27">
      <c r="A479" s="273">
        <v>4</v>
      </c>
      <c r="B479" s="274" t="s">
        <v>5421</v>
      </c>
      <c r="C479" s="275">
        <v>45329</v>
      </c>
      <c r="D479" s="274" t="s">
        <v>4714</v>
      </c>
      <c r="E479" s="268" t="s">
        <v>2929</v>
      </c>
      <c r="F479" s="268" t="s">
        <v>4715</v>
      </c>
      <c r="G479" s="268" t="s">
        <v>4716</v>
      </c>
      <c r="H479" s="268" t="str">
        <f t="shared" si="1"/>
        <v>CARLOS BARAJAS DEL ROSAL</v>
      </c>
      <c r="I479" s="268" t="s">
        <v>4934</v>
      </c>
      <c r="J479" s="272" t="s">
        <v>4822</v>
      </c>
      <c r="K479" s="268" t="s">
        <v>5473</v>
      </c>
      <c r="L479" s="276">
        <v>45393</v>
      </c>
      <c r="M479" s="277"/>
      <c r="N479" s="282">
        <v>1</v>
      </c>
      <c r="O479" s="284" t="s">
        <v>4740</v>
      </c>
      <c r="P479" s="280">
        <v>2172.27</v>
      </c>
      <c r="Q479" s="289">
        <v>45329</v>
      </c>
      <c r="R479" s="272"/>
      <c r="S479" s="272"/>
      <c r="T479" s="272"/>
      <c r="U479" s="272"/>
      <c r="V479" s="272"/>
      <c r="W479" s="272"/>
      <c r="X479" s="272"/>
      <c r="Y479" s="272"/>
      <c r="Z479" s="272"/>
      <c r="AA479" s="272"/>
    </row>
    <row r="480" spans="1:27">
      <c r="A480" s="273">
        <v>4</v>
      </c>
      <c r="B480" s="274" t="s">
        <v>5421</v>
      </c>
      <c r="C480" s="275">
        <v>45356</v>
      </c>
      <c r="D480" s="274" t="s">
        <v>4714</v>
      </c>
      <c r="E480" s="268" t="s">
        <v>3193</v>
      </c>
      <c r="F480" s="268" t="s">
        <v>4715</v>
      </c>
      <c r="G480" s="268" t="s">
        <v>4716</v>
      </c>
      <c r="H480" s="268" t="str">
        <f t="shared" si="1"/>
        <v>LAURA RUANO DE PABLO</v>
      </c>
      <c r="I480" s="268" t="s">
        <v>5474</v>
      </c>
      <c r="J480" s="272" t="s">
        <v>4718</v>
      </c>
      <c r="K480" s="268" t="s">
        <v>5475</v>
      </c>
      <c r="L480" s="276">
        <v>45393</v>
      </c>
      <c r="M480" s="277"/>
      <c r="N480" s="282">
        <v>2</v>
      </c>
      <c r="O480" s="284" t="s">
        <v>4720</v>
      </c>
      <c r="P480" s="280">
        <v>3604.55</v>
      </c>
      <c r="Q480" s="289">
        <v>45356</v>
      </c>
      <c r="R480" s="272"/>
      <c r="S480" s="272"/>
      <c r="T480" s="272"/>
      <c r="U480" s="272"/>
      <c r="V480" s="272"/>
      <c r="W480" s="272"/>
      <c r="X480" s="272"/>
      <c r="Y480" s="272"/>
      <c r="Z480" s="272"/>
      <c r="AA480" s="272"/>
    </row>
    <row r="481" spans="1:27">
      <c r="A481" s="273">
        <v>4</v>
      </c>
      <c r="B481" s="274" t="s">
        <v>5421</v>
      </c>
      <c r="C481" s="275">
        <v>45364</v>
      </c>
      <c r="D481" s="274" t="s">
        <v>4714</v>
      </c>
      <c r="E481" s="268" t="s">
        <v>4892</v>
      </c>
      <c r="F481" s="268" t="s">
        <v>4715</v>
      </c>
      <c r="G481" s="268" t="s">
        <v>4716</v>
      </c>
      <c r="H481" s="268" t="str">
        <f t="shared" si="1"/>
        <v>CARLOTA SEVIL SERRANO</v>
      </c>
      <c r="I481" s="268" t="s">
        <v>5448</v>
      </c>
      <c r="J481" s="272" t="s">
        <v>4718</v>
      </c>
      <c r="K481" s="268" t="s">
        <v>5476</v>
      </c>
      <c r="L481" s="276">
        <v>45393</v>
      </c>
      <c r="M481" s="277"/>
      <c r="N481" s="282">
        <v>2</v>
      </c>
      <c r="O481" s="284" t="s">
        <v>4740</v>
      </c>
      <c r="P481" s="280">
        <v>4222.7299999999996</v>
      </c>
      <c r="Q481" s="289">
        <v>45364</v>
      </c>
      <c r="R481" s="272"/>
      <c r="S481" s="272"/>
      <c r="T481" s="272"/>
      <c r="U481" s="272"/>
      <c r="V481" s="272"/>
      <c r="W481" s="272"/>
      <c r="X481" s="272"/>
      <c r="Y481" s="272"/>
      <c r="Z481" s="272"/>
      <c r="AA481" s="272"/>
    </row>
    <row r="482" spans="1:27">
      <c r="A482" s="273">
        <v>4</v>
      </c>
      <c r="B482" s="274" t="s">
        <v>5421</v>
      </c>
      <c r="C482" s="275">
        <v>45337</v>
      </c>
      <c r="D482" s="274" t="s">
        <v>4714</v>
      </c>
      <c r="E482" s="268" t="s">
        <v>2900</v>
      </c>
      <c r="F482" s="268" t="s">
        <v>4715</v>
      </c>
      <c r="G482" s="268" t="s">
        <v>4716</v>
      </c>
      <c r="H482" s="268" t="str">
        <f t="shared" si="1"/>
        <v>CELIA LENDORIO OTERO</v>
      </c>
      <c r="I482" s="268" t="s">
        <v>5223</v>
      </c>
      <c r="J482" s="272" t="s">
        <v>4790</v>
      </c>
      <c r="K482" s="268" t="s">
        <v>5477</v>
      </c>
      <c r="L482" s="276">
        <v>45393</v>
      </c>
      <c r="M482" s="283"/>
      <c r="N482" s="282">
        <v>2</v>
      </c>
      <c r="O482" s="284" t="s">
        <v>4720</v>
      </c>
      <c r="P482" s="280">
        <v>3604.55</v>
      </c>
      <c r="Q482" s="289">
        <v>45337</v>
      </c>
      <c r="R482" s="272"/>
      <c r="S482" s="272"/>
      <c r="T482" s="272"/>
      <c r="U482" s="272"/>
      <c r="V482" s="272"/>
      <c r="W482" s="272"/>
      <c r="X482" s="272"/>
      <c r="Y482" s="272"/>
      <c r="Z482" s="272"/>
      <c r="AA482" s="272"/>
    </row>
    <row r="483" spans="1:27">
      <c r="A483" s="273">
        <v>4</v>
      </c>
      <c r="B483" s="274" t="s">
        <v>5421</v>
      </c>
      <c r="C483" s="275">
        <v>45335</v>
      </c>
      <c r="D483" s="274" t="s">
        <v>4714</v>
      </c>
      <c r="E483" s="268" t="s">
        <v>2873</v>
      </c>
      <c r="F483" s="268" t="s">
        <v>4715</v>
      </c>
      <c r="G483" s="268" t="s">
        <v>4716</v>
      </c>
      <c r="H483" s="268" t="str">
        <f t="shared" si="1"/>
        <v>MÓNICA RODRÍGUEZ</v>
      </c>
      <c r="I483" s="268" t="s">
        <v>5171</v>
      </c>
      <c r="J483" s="272" t="s">
        <v>4736</v>
      </c>
      <c r="K483" s="268" t="s">
        <v>5478</v>
      </c>
      <c r="L483" s="276">
        <v>45393</v>
      </c>
      <c r="M483" s="277"/>
      <c r="N483" s="282">
        <v>1</v>
      </c>
      <c r="O483" s="284" t="s">
        <v>4720</v>
      </c>
      <c r="P483" s="280">
        <v>2227.27</v>
      </c>
      <c r="Q483" s="289">
        <v>45335</v>
      </c>
      <c r="R483" s="272"/>
      <c r="S483" s="272"/>
      <c r="T483" s="272"/>
      <c r="U483" s="272"/>
      <c r="V483" s="272"/>
      <c r="W483" s="272"/>
      <c r="X483" s="272"/>
      <c r="Y483" s="272"/>
      <c r="Z483" s="272"/>
      <c r="AA483" s="272"/>
    </row>
    <row r="484" spans="1:27">
      <c r="A484" s="273">
        <v>4</v>
      </c>
      <c r="B484" s="274" t="s">
        <v>5421</v>
      </c>
      <c r="C484" s="275">
        <v>45329</v>
      </c>
      <c r="D484" s="274" t="s">
        <v>4714</v>
      </c>
      <c r="E484" s="268" t="s">
        <v>4749</v>
      </c>
      <c r="F484" s="268" t="s">
        <v>4715</v>
      </c>
      <c r="G484" s="268" t="s">
        <v>4716</v>
      </c>
      <c r="H484" s="268" t="str">
        <f t="shared" si="1"/>
        <v>DIANA LISBETH</v>
      </c>
      <c r="I484" s="268" t="s">
        <v>4955</v>
      </c>
      <c r="J484" s="272" t="s">
        <v>4747</v>
      </c>
      <c r="K484" s="268" t="s">
        <v>5479</v>
      </c>
      <c r="L484" s="276">
        <v>45393</v>
      </c>
      <c r="M484" s="277"/>
      <c r="N484" s="282">
        <v>1</v>
      </c>
      <c r="O484" s="284" t="s">
        <v>4723</v>
      </c>
      <c r="P484" s="280">
        <v>1545.45</v>
      </c>
      <c r="Q484" s="289">
        <v>45329</v>
      </c>
      <c r="R484" s="272"/>
      <c r="S484" s="272"/>
      <c r="T484" s="272"/>
      <c r="U484" s="272"/>
      <c r="V484" s="272"/>
      <c r="W484" s="272"/>
      <c r="X484" s="272"/>
      <c r="Y484" s="272"/>
      <c r="Z484" s="272"/>
      <c r="AA484" s="272"/>
    </row>
    <row r="485" spans="1:27">
      <c r="A485" s="273">
        <v>4</v>
      </c>
      <c r="B485" s="274" t="s">
        <v>5421</v>
      </c>
      <c r="C485" s="275">
        <v>45359</v>
      </c>
      <c r="D485" s="274" t="s">
        <v>4714</v>
      </c>
      <c r="E485" s="268" t="s">
        <v>2886</v>
      </c>
      <c r="F485" s="268" t="s">
        <v>4715</v>
      </c>
      <c r="G485" s="268" t="s">
        <v>4716</v>
      </c>
      <c r="H485" s="268" t="str">
        <f t="shared" si="1"/>
        <v>MARÍA GARROTE GARROTE</v>
      </c>
      <c r="I485" s="268" t="s">
        <v>4721</v>
      </c>
      <c r="J485" s="272" t="s">
        <v>4718</v>
      </c>
      <c r="K485" s="268" t="s">
        <v>5480</v>
      </c>
      <c r="L485" s="276">
        <v>45393</v>
      </c>
      <c r="M485" s="283"/>
      <c r="N485" s="282">
        <v>2</v>
      </c>
      <c r="O485" s="284" t="s">
        <v>4723</v>
      </c>
      <c r="P485" s="280">
        <v>2780.91</v>
      </c>
      <c r="Q485" s="289">
        <v>45359</v>
      </c>
      <c r="R485" s="272"/>
      <c r="S485" s="272"/>
      <c r="T485" s="272"/>
      <c r="U485" s="272"/>
      <c r="V485" s="272"/>
      <c r="W485" s="272"/>
      <c r="X485" s="272"/>
      <c r="Y485" s="272"/>
      <c r="Z485" s="272"/>
      <c r="AA485" s="272"/>
    </row>
    <row r="486" spans="1:27">
      <c r="A486" s="273">
        <v>4</v>
      </c>
      <c r="B486" s="274" t="s">
        <v>5421</v>
      </c>
      <c r="C486" s="275">
        <v>45341</v>
      </c>
      <c r="D486" s="274" t="s">
        <v>4714</v>
      </c>
      <c r="E486" s="268" t="s">
        <v>4759</v>
      </c>
      <c r="F486" s="268" t="s">
        <v>4715</v>
      </c>
      <c r="G486" s="268" t="s">
        <v>4716</v>
      </c>
      <c r="H486" s="268" t="str">
        <f t="shared" si="1"/>
        <v>MARINA MADRIGAL REVUELTA</v>
      </c>
      <c r="I486" s="268" t="s">
        <v>4824</v>
      </c>
      <c r="J486" s="272" t="s">
        <v>4747</v>
      </c>
      <c r="K486" s="268" t="s">
        <v>5481</v>
      </c>
      <c r="L486" s="276">
        <v>45393</v>
      </c>
      <c r="M486" s="277"/>
      <c r="N486" s="282">
        <v>1</v>
      </c>
      <c r="O486" s="284" t="s">
        <v>4740</v>
      </c>
      <c r="P486" s="280">
        <v>2034.55</v>
      </c>
      <c r="Q486" s="289">
        <v>45341</v>
      </c>
      <c r="R486" s="272"/>
      <c r="S486" s="272"/>
      <c r="T486" s="272"/>
      <c r="U486" s="272"/>
      <c r="V486" s="272"/>
      <c r="W486" s="272"/>
      <c r="X486" s="272"/>
      <c r="Y486" s="272"/>
      <c r="Z486" s="272"/>
      <c r="AA486" s="272"/>
    </row>
    <row r="487" spans="1:27">
      <c r="A487" s="273">
        <v>4</v>
      </c>
      <c r="B487" s="274" t="s">
        <v>5421</v>
      </c>
      <c r="C487" s="275">
        <v>45348</v>
      </c>
      <c r="D487" s="274" t="s">
        <v>4714</v>
      </c>
      <c r="E487" s="268" t="s">
        <v>4734</v>
      </c>
      <c r="F487" s="268" t="s">
        <v>4715</v>
      </c>
      <c r="G487" s="268" t="s">
        <v>4716</v>
      </c>
      <c r="H487" s="268" t="str">
        <f t="shared" si="1"/>
        <v>CARLOS VELÁSQUEZ FERMÍN</v>
      </c>
      <c r="I487" s="268" t="s">
        <v>5105</v>
      </c>
      <c r="J487" s="268" t="s">
        <v>4736</v>
      </c>
      <c r="K487" s="268" t="s">
        <v>5482</v>
      </c>
      <c r="L487" s="276">
        <v>45394</v>
      </c>
      <c r="M487" s="277"/>
      <c r="N487" s="282">
        <v>1</v>
      </c>
      <c r="O487" s="284" t="s">
        <v>4740</v>
      </c>
      <c r="P487" s="280">
        <v>2536.36</v>
      </c>
      <c r="Q487" s="289">
        <v>45348</v>
      </c>
      <c r="R487" s="272"/>
      <c r="S487" s="272"/>
      <c r="T487" s="272"/>
      <c r="U487" s="272"/>
      <c r="V487" s="272"/>
      <c r="W487" s="272"/>
      <c r="X487" s="272"/>
      <c r="Y487" s="272"/>
      <c r="Z487" s="272"/>
      <c r="AA487" s="272"/>
    </row>
    <row r="488" spans="1:27">
      <c r="A488" s="273">
        <v>4</v>
      </c>
      <c r="B488" s="274" t="s">
        <v>5421</v>
      </c>
      <c r="C488" s="275">
        <v>45344</v>
      </c>
      <c r="D488" s="274" t="s">
        <v>4714</v>
      </c>
      <c r="E488" s="268" t="s">
        <v>2909</v>
      </c>
      <c r="F488" s="268" t="s">
        <v>4715</v>
      </c>
      <c r="G488" s="268" t="s">
        <v>4716</v>
      </c>
      <c r="H488" s="268" t="str">
        <f t="shared" si="1"/>
        <v>ANNA SUMARROCA TROUBOUL</v>
      </c>
      <c r="I488" s="268" t="s">
        <v>5483</v>
      </c>
      <c r="J488" s="272" t="s">
        <v>4806</v>
      </c>
      <c r="K488" s="268" t="s">
        <v>5484</v>
      </c>
      <c r="L488" s="276">
        <v>45394</v>
      </c>
      <c r="M488" s="277"/>
      <c r="N488" s="282">
        <v>2</v>
      </c>
      <c r="O488" s="284" t="s">
        <v>4720</v>
      </c>
      <c r="P488" s="280">
        <v>3604.55</v>
      </c>
      <c r="Q488" s="289">
        <v>45344</v>
      </c>
      <c r="R488" s="272"/>
      <c r="S488" s="272"/>
      <c r="T488" s="272"/>
      <c r="U488" s="272"/>
      <c r="V488" s="272"/>
      <c r="W488" s="272"/>
      <c r="X488" s="272"/>
      <c r="Y488" s="272"/>
      <c r="Z488" s="272"/>
      <c r="AA488" s="272"/>
    </row>
    <row r="489" spans="1:27">
      <c r="A489" s="273">
        <v>4</v>
      </c>
      <c r="B489" s="274" t="s">
        <v>5421</v>
      </c>
      <c r="C489" s="275">
        <v>45372</v>
      </c>
      <c r="D489" s="274" t="s">
        <v>4714</v>
      </c>
      <c r="E489" s="268" t="s">
        <v>3480</v>
      </c>
      <c r="F489" s="268" t="s">
        <v>4715</v>
      </c>
      <c r="G489" s="268" t="s">
        <v>4716</v>
      </c>
      <c r="H489" s="268" t="str">
        <f t="shared" si="1"/>
        <v>ELISABETH AMARILLO ESPITIA</v>
      </c>
      <c r="I489" s="268" t="s">
        <v>4741</v>
      </c>
      <c r="J489" s="272" t="s">
        <v>4718</v>
      </c>
      <c r="K489" s="268" t="s">
        <v>5485</v>
      </c>
      <c r="L489" s="276">
        <v>45394</v>
      </c>
      <c r="M489" s="277"/>
      <c r="N489" s="282">
        <v>2</v>
      </c>
      <c r="O489" s="284" t="s">
        <v>4723</v>
      </c>
      <c r="P489" s="280">
        <v>2780.87</v>
      </c>
      <c r="Q489" s="289">
        <v>45372</v>
      </c>
      <c r="R489" s="272"/>
      <c r="S489" s="272"/>
      <c r="T489" s="272"/>
      <c r="U489" s="272"/>
      <c r="V489" s="272"/>
      <c r="W489" s="272"/>
      <c r="X489" s="272"/>
      <c r="Y489" s="272"/>
      <c r="Z489" s="272"/>
      <c r="AA489" s="272"/>
    </row>
    <row r="490" spans="1:27">
      <c r="A490" s="273">
        <v>4</v>
      </c>
      <c r="B490" s="274" t="s">
        <v>5421</v>
      </c>
      <c r="C490" s="275">
        <v>45350</v>
      </c>
      <c r="D490" s="274" t="s">
        <v>4714</v>
      </c>
      <c r="E490" s="268" t="s">
        <v>3861</v>
      </c>
      <c r="F490" s="268" t="s">
        <v>4715</v>
      </c>
      <c r="G490" s="268" t="s">
        <v>4716</v>
      </c>
      <c r="H490" s="268" t="str">
        <f t="shared" si="1"/>
        <v>JOSÉ GUSTAVO BARROSO BRAOJOS</v>
      </c>
      <c r="I490" s="268" t="s">
        <v>4834</v>
      </c>
      <c r="J490" s="272" t="s">
        <v>4718</v>
      </c>
      <c r="K490" s="268" t="s">
        <v>5486</v>
      </c>
      <c r="L490" s="276">
        <v>45394</v>
      </c>
      <c r="M490" s="277"/>
      <c r="N490" s="282">
        <v>2</v>
      </c>
      <c r="O490" s="284" t="s">
        <v>4720</v>
      </c>
      <c r="P490" s="280">
        <v>3604.55</v>
      </c>
      <c r="Q490" s="289">
        <v>45350</v>
      </c>
      <c r="R490" s="272"/>
      <c r="S490" s="272"/>
      <c r="T490" s="272"/>
      <c r="U490" s="272"/>
      <c r="V490" s="272"/>
      <c r="W490" s="272"/>
      <c r="X490" s="272"/>
      <c r="Y490" s="272"/>
      <c r="Z490" s="272"/>
      <c r="AA490" s="272"/>
    </row>
    <row r="491" spans="1:27">
      <c r="A491" s="273">
        <v>4</v>
      </c>
      <c r="B491" s="274" t="s">
        <v>5421</v>
      </c>
      <c r="C491" s="275">
        <v>45349</v>
      </c>
      <c r="D491" s="274" t="s">
        <v>4714</v>
      </c>
      <c r="E491" s="268" t="s">
        <v>2929</v>
      </c>
      <c r="F491" s="268" t="s">
        <v>4715</v>
      </c>
      <c r="G491" s="268" t="s">
        <v>4716</v>
      </c>
      <c r="H491" s="268" t="str">
        <f t="shared" si="1"/>
        <v>PALOMA MARTÍN- ARAGÓN MARTIÍ</v>
      </c>
      <c r="I491" s="268" t="s">
        <v>4917</v>
      </c>
      <c r="J491" s="272" t="s">
        <v>4718</v>
      </c>
      <c r="K491" s="268" t="s">
        <v>5487</v>
      </c>
      <c r="L491" s="276">
        <v>45394</v>
      </c>
      <c r="M491" s="277"/>
      <c r="N491" s="282">
        <v>1</v>
      </c>
      <c r="O491" s="284" t="s">
        <v>4740</v>
      </c>
      <c r="P491" s="280">
        <v>2286.36</v>
      </c>
      <c r="Q491" s="289">
        <v>45349</v>
      </c>
      <c r="R491" s="272"/>
      <c r="S491" s="272"/>
      <c r="T491" s="272"/>
      <c r="U491" s="272"/>
      <c r="V491" s="272"/>
      <c r="W491" s="272"/>
      <c r="X491" s="272"/>
      <c r="Y491" s="272"/>
      <c r="Z491" s="272"/>
      <c r="AA491" s="272"/>
    </row>
    <row r="492" spans="1:27">
      <c r="A492" s="273">
        <v>4</v>
      </c>
      <c r="B492" s="274" t="s">
        <v>5421</v>
      </c>
      <c r="C492" s="275">
        <v>45348</v>
      </c>
      <c r="D492" s="274" t="s">
        <v>4714</v>
      </c>
      <c r="E492" s="268" t="s">
        <v>2921</v>
      </c>
      <c r="F492" s="268" t="s">
        <v>4715</v>
      </c>
      <c r="G492" s="268" t="s">
        <v>4716</v>
      </c>
      <c r="H492" s="268" t="str">
        <f t="shared" si="1"/>
        <v>ÁLVARO PÉREZ LLINARES</v>
      </c>
      <c r="I492" s="268" t="s">
        <v>5488</v>
      </c>
      <c r="J492" s="272" t="s">
        <v>4910</v>
      </c>
      <c r="K492" s="268" t="s">
        <v>5489</v>
      </c>
      <c r="L492" s="276">
        <v>45394</v>
      </c>
      <c r="M492" s="277"/>
      <c r="N492" s="282">
        <v>2</v>
      </c>
      <c r="O492" s="284" t="s">
        <v>4720</v>
      </c>
      <c r="P492" s="280">
        <v>3604.55</v>
      </c>
      <c r="Q492" s="289">
        <v>45348</v>
      </c>
      <c r="R492" s="272"/>
      <c r="S492" s="272"/>
      <c r="T492" s="272"/>
      <c r="U492" s="272"/>
      <c r="V492" s="272"/>
      <c r="W492" s="272"/>
      <c r="X492" s="272"/>
      <c r="Y492" s="272"/>
      <c r="Z492" s="272"/>
      <c r="AA492" s="272"/>
    </row>
    <row r="493" spans="1:27">
      <c r="A493" s="273">
        <v>4</v>
      </c>
      <c r="B493" s="274" t="s">
        <v>5421</v>
      </c>
      <c r="C493" s="275">
        <v>45322</v>
      </c>
      <c r="D493" s="274" t="s">
        <v>4714</v>
      </c>
      <c r="E493" s="268" t="s">
        <v>4759</v>
      </c>
      <c r="F493" s="268" t="s">
        <v>4715</v>
      </c>
      <c r="G493" s="268" t="s">
        <v>4716</v>
      </c>
      <c r="H493" s="268" t="str">
        <f t="shared" si="1"/>
        <v>MANUEL ACUÑA GARCÍA</v>
      </c>
      <c r="I493" s="268" t="s">
        <v>4746</v>
      </c>
      <c r="J493" s="268" t="s">
        <v>4747</v>
      </c>
      <c r="K493" s="268" t="s">
        <v>5490</v>
      </c>
      <c r="L493" s="276">
        <v>45394</v>
      </c>
      <c r="M493" s="277"/>
      <c r="N493" s="282">
        <v>1</v>
      </c>
      <c r="O493" s="284" t="s">
        <v>4740</v>
      </c>
      <c r="P493" s="280">
        <v>2461.8200000000002</v>
      </c>
      <c r="Q493" s="289">
        <v>45322</v>
      </c>
      <c r="R493" s="272"/>
      <c r="S493" s="272"/>
      <c r="T493" s="272"/>
      <c r="U493" s="272"/>
      <c r="V493" s="272"/>
      <c r="W493" s="272"/>
      <c r="X493" s="272"/>
      <c r="Y493" s="272"/>
      <c r="Z493" s="272"/>
      <c r="AA493" s="272"/>
    </row>
    <row r="494" spans="1:27">
      <c r="A494" s="273">
        <v>4</v>
      </c>
      <c r="B494" s="274" t="s">
        <v>5421</v>
      </c>
      <c r="C494" s="275">
        <v>45341</v>
      </c>
      <c r="D494" s="274" t="s">
        <v>4714</v>
      </c>
      <c r="E494" s="268" t="s">
        <v>3193</v>
      </c>
      <c r="F494" s="268" t="s">
        <v>4715</v>
      </c>
      <c r="G494" s="268" t="s">
        <v>4716</v>
      </c>
      <c r="H494" s="268" t="str">
        <f t="shared" si="1"/>
        <v>JOSE JOAQUÍN GUTIÉRREZ BARQUÍN</v>
      </c>
      <c r="I494" s="268" t="s">
        <v>4990</v>
      </c>
      <c r="J494" s="272" t="s">
        <v>4718</v>
      </c>
      <c r="K494" s="268" t="s">
        <v>5491</v>
      </c>
      <c r="L494" s="276">
        <v>45397</v>
      </c>
      <c r="M494" s="277"/>
      <c r="N494" s="282">
        <v>2</v>
      </c>
      <c r="O494" s="284" t="s">
        <v>4723</v>
      </c>
      <c r="P494" s="280">
        <v>2780.91</v>
      </c>
      <c r="Q494" s="289">
        <v>45341</v>
      </c>
      <c r="R494" s="272"/>
      <c r="S494" s="272"/>
      <c r="T494" s="272"/>
      <c r="U494" s="272"/>
      <c r="V494" s="272"/>
      <c r="W494" s="272"/>
      <c r="X494" s="272"/>
      <c r="Y494" s="272"/>
      <c r="Z494" s="272"/>
      <c r="AA494" s="272"/>
    </row>
    <row r="495" spans="1:27">
      <c r="A495" s="273">
        <v>4</v>
      </c>
      <c r="B495" s="274" t="s">
        <v>5421</v>
      </c>
      <c r="C495" s="275">
        <v>45341</v>
      </c>
      <c r="D495" s="274" t="s">
        <v>4714</v>
      </c>
      <c r="E495" s="268" t="s">
        <v>2873</v>
      </c>
      <c r="F495" s="268" t="s">
        <v>4715</v>
      </c>
      <c r="G495" s="268" t="s">
        <v>4716</v>
      </c>
      <c r="H495" s="268" t="str">
        <f t="shared" si="1"/>
        <v>JUAN JAVIER ÁLVAREZ LÓPEZ</v>
      </c>
      <c r="I495" s="268" t="s">
        <v>4938</v>
      </c>
      <c r="J495" s="272" t="s">
        <v>4736</v>
      </c>
      <c r="K495" s="268" t="s">
        <v>5492</v>
      </c>
      <c r="L495" s="276">
        <v>45397</v>
      </c>
      <c r="M495" s="277"/>
      <c r="N495" s="282">
        <v>2</v>
      </c>
      <c r="O495" s="284" t="s">
        <v>4723</v>
      </c>
      <c r="P495" s="280">
        <v>2471.8200000000002</v>
      </c>
      <c r="Q495" s="289">
        <v>45341</v>
      </c>
      <c r="R495" s="272"/>
      <c r="S495" s="272"/>
      <c r="T495" s="272"/>
      <c r="U495" s="272"/>
      <c r="V495" s="272"/>
      <c r="W495" s="272"/>
      <c r="X495" s="272"/>
      <c r="Y495" s="272"/>
      <c r="Z495" s="272"/>
      <c r="AA495" s="272"/>
    </row>
    <row r="496" spans="1:27">
      <c r="A496" s="273">
        <v>4</v>
      </c>
      <c r="B496" s="274" t="s">
        <v>5421</v>
      </c>
      <c r="C496" s="275">
        <v>45390</v>
      </c>
      <c r="D496" s="274" t="s">
        <v>4714</v>
      </c>
      <c r="E496" s="268" t="s">
        <v>2886</v>
      </c>
      <c r="F496" s="268" t="s">
        <v>4715</v>
      </c>
      <c r="G496" s="268" t="s">
        <v>4716</v>
      </c>
      <c r="H496" s="268" t="str">
        <f t="shared" si="1"/>
        <v>JULIE MÚÑOZ FREITEZ</v>
      </c>
      <c r="I496" s="268" t="s">
        <v>5493</v>
      </c>
      <c r="J496" s="272" t="s">
        <v>4718</v>
      </c>
      <c r="K496" s="268" t="s">
        <v>5494</v>
      </c>
      <c r="L496" s="276">
        <v>45397</v>
      </c>
      <c r="M496" s="283"/>
      <c r="N496" s="282">
        <v>2</v>
      </c>
      <c r="O496" s="284" t="s">
        <v>4720</v>
      </c>
      <c r="P496" s="280">
        <v>2636.36</v>
      </c>
      <c r="Q496" s="289">
        <v>45390</v>
      </c>
      <c r="R496" s="272"/>
      <c r="S496" s="272"/>
      <c r="T496" s="272"/>
      <c r="U496" s="272"/>
      <c r="V496" s="272"/>
      <c r="W496" s="272"/>
      <c r="X496" s="272"/>
      <c r="Y496" s="272"/>
      <c r="Z496" s="272"/>
      <c r="AA496" s="272"/>
    </row>
    <row r="497" spans="1:27">
      <c r="A497" s="273">
        <v>4</v>
      </c>
      <c r="B497" s="274" t="s">
        <v>5421</v>
      </c>
      <c r="C497" s="275">
        <v>45357</v>
      </c>
      <c r="D497" s="274" t="s">
        <v>4714</v>
      </c>
      <c r="E497" s="268" t="s">
        <v>4799</v>
      </c>
      <c r="F497" s="268" t="s">
        <v>4715</v>
      </c>
      <c r="G497" s="268" t="s">
        <v>4716</v>
      </c>
      <c r="H497" s="268" t="str">
        <f t="shared" si="1"/>
        <v>PILAR CASTRO RUIZ</v>
      </c>
      <c r="I497" s="268" t="s">
        <v>4800</v>
      </c>
      <c r="J497" s="272" t="s">
        <v>4790</v>
      </c>
      <c r="K497" s="268" t="s">
        <v>5495</v>
      </c>
      <c r="L497" s="276">
        <v>45397</v>
      </c>
      <c r="M497" s="277"/>
      <c r="N497" s="282">
        <v>2</v>
      </c>
      <c r="O497" s="284" t="s">
        <v>4740</v>
      </c>
      <c r="P497" s="280">
        <v>3454.55</v>
      </c>
      <c r="Q497" s="289">
        <v>45357</v>
      </c>
      <c r="R497" s="272"/>
      <c r="S497" s="272"/>
      <c r="T497" s="272"/>
      <c r="U497" s="272"/>
      <c r="V497" s="272"/>
      <c r="W497" s="272"/>
      <c r="X497" s="272"/>
      <c r="Y497" s="272"/>
      <c r="Z497" s="272"/>
      <c r="AA497" s="272"/>
    </row>
    <row r="498" spans="1:27">
      <c r="A498" s="273">
        <v>4</v>
      </c>
      <c r="B498" s="274" t="s">
        <v>5421</v>
      </c>
      <c r="C498" s="275">
        <v>45299</v>
      </c>
      <c r="D498" s="274" t="s">
        <v>4714</v>
      </c>
      <c r="E498" s="268" t="s">
        <v>3187</v>
      </c>
      <c r="F498" s="268" t="s">
        <v>4715</v>
      </c>
      <c r="G498" s="268" t="s">
        <v>4716</v>
      </c>
      <c r="H498" s="268" t="str">
        <f t="shared" si="1"/>
        <v>ADOLFO TOLEDANO MUÑOZ</v>
      </c>
      <c r="I498" s="268" t="s">
        <v>4830</v>
      </c>
      <c r="J498" s="272" t="s">
        <v>4718</v>
      </c>
      <c r="K498" s="268" t="s">
        <v>5496</v>
      </c>
      <c r="L498" s="276">
        <v>45398</v>
      </c>
      <c r="M498" s="283"/>
      <c r="N498" s="282">
        <v>2</v>
      </c>
      <c r="O498" s="284" t="s">
        <v>4720</v>
      </c>
      <c r="P498" s="280">
        <v>3604.55</v>
      </c>
      <c r="Q498" s="289">
        <v>45299</v>
      </c>
      <c r="R498" s="272"/>
      <c r="S498" s="272"/>
      <c r="T498" s="272"/>
      <c r="U498" s="272"/>
      <c r="V498" s="272"/>
      <c r="W498" s="272"/>
      <c r="X498" s="272"/>
      <c r="Y498" s="272"/>
      <c r="Z498" s="272"/>
      <c r="AA498" s="272"/>
    </row>
    <row r="499" spans="1:27">
      <c r="A499" s="273">
        <v>4</v>
      </c>
      <c r="B499" s="274" t="s">
        <v>5421</v>
      </c>
      <c r="C499" s="275">
        <v>45348</v>
      </c>
      <c r="D499" s="274" t="s">
        <v>4714</v>
      </c>
      <c r="E499" s="268" t="s">
        <v>2909</v>
      </c>
      <c r="F499" s="268" t="s">
        <v>4715</v>
      </c>
      <c r="G499" s="268" t="s">
        <v>4716</v>
      </c>
      <c r="H499" s="268" t="str">
        <f t="shared" si="1"/>
        <v>JESUS-MARIA GRASA PÉREZ</v>
      </c>
      <c r="I499" s="268" t="s">
        <v>4865</v>
      </c>
      <c r="J499" s="272" t="s">
        <v>4806</v>
      </c>
      <c r="K499" s="268" t="s">
        <v>5497</v>
      </c>
      <c r="L499" s="276">
        <v>45398</v>
      </c>
      <c r="M499" s="277"/>
      <c r="N499" s="282">
        <v>2</v>
      </c>
      <c r="O499" s="284" t="s">
        <v>4720</v>
      </c>
      <c r="P499" s="280">
        <v>3604.55</v>
      </c>
      <c r="Q499" s="289">
        <v>45348</v>
      </c>
      <c r="R499" s="272"/>
      <c r="S499" s="272"/>
      <c r="T499" s="272"/>
      <c r="U499" s="272"/>
      <c r="V499" s="272"/>
      <c r="W499" s="272"/>
      <c r="X499" s="272"/>
      <c r="Y499" s="272"/>
      <c r="Z499" s="272"/>
      <c r="AA499" s="272"/>
    </row>
    <row r="500" spans="1:27">
      <c r="A500" s="273">
        <v>4</v>
      </c>
      <c r="B500" s="274" t="s">
        <v>5421</v>
      </c>
      <c r="C500" s="275">
        <v>45376</v>
      </c>
      <c r="D500" s="274" t="s">
        <v>4714</v>
      </c>
      <c r="E500" s="268" t="s">
        <v>2880</v>
      </c>
      <c r="F500" s="268" t="s">
        <v>4715</v>
      </c>
      <c r="G500" s="268" t="s">
        <v>4716</v>
      </c>
      <c r="H500" s="268" t="str">
        <f t="shared" si="1"/>
        <v>DANIEL MORENO JIMENEZ</v>
      </c>
      <c r="I500" s="268" t="s">
        <v>4932</v>
      </c>
      <c r="J500" s="272" t="s">
        <v>4718</v>
      </c>
      <c r="K500" s="268" t="s">
        <v>5498</v>
      </c>
      <c r="L500" s="276">
        <v>45398</v>
      </c>
      <c r="M500" s="277"/>
      <c r="N500" s="282">
        <v>2</v>
      </c>
      <c r="O500" s="284" t="s">
        <v>4720</v>
      </c>
      <c r="P500" s="280">
        <v>3604.55</v>
      </c>
      <c r="Q500" s="289">
        <v>45376</v>
      </c>
      <c r="R500" s="272"/>
      <c r="S500" s="272"/>
      <c r="T500" s="272"/>
      <c r="U500" s="272"/>
      <c r="V500" s="272"/>
      <c r="W500" s="272"/>
      <c r="X500" s="272"/>
      <c r="Y500" s="272"/>
      <c r="Z500" s="272"/>
      <c r="AA500" s="272"/>
    </row>
    <row r="501" spans="1:27">
      <c r="A501" s="273">
        <v>4</v>
      </c>
      <c r="B501" s="274" t="s">
        <v>5421</v>
      </c>
      <c r="C501" s="275">
        <v>45371</v>
      </c>
      <c r="D501" s="274" t="s">
        <v>4714</v>
      </c>
      <c r="E501" s="268" t="s">
        <v>2880</v>
      </c>
      <c r="F501" s="268" t="s">
        <v>4715</v>
      </c>
      <c r="G501" s="268" t="s">
        <v>4716</v>
      </c>
      <c r="H501" s="268" t="str">
        <f t="shared" si="1"/>
        <v>MARÍA GARROTE GARROTE</v>
      </c>
      <c r="I501" s="268" t="s">
        <v>4721</v>
      </c>
      <c r="J501" s="272" t="s">
        <v>4718</v>
      </c>
      <c r="K501" s="268" t="s">
        <v>5499</v>
      </c>
      <c r="L501" s="276">
        <v>45398</v>
      </c>
      <c r="M501" s="277"/>
      <c r="N501" s="282">
        <v>2</v>
      </c>
      <c r="O501" s="284" t="s">
        <v>4720</v>
      </c>
      <c r="P501" s="280">
        <v>3604.55</v>
      </c>
      <c r="Q501" s="289">
        <v>45371</v>
      </c>
      <c r="R501" s="272"/>
      <c r="S501" s="272"/>
      <c r="T501" s="272"/>
      <c r="U501" s="272"/>
      <c r="V501" s="272"/>
      <c r="W501" s="272"/>
      <c r="X501" s="272"/>
      <c r="Y501" s="272"/>
      <c r="Z501" s="272"/>
      <c r="AA501" s="272"/>
    </row>
    <row r="502" spans="1:27">
      <c r="A502" s="273">
        <v>4</v>
      </c>
      <c r="B502" s="274" t="s">
        <v>5421</v>
      </c>
      <c r="C502" s="275">
        <v>45366</v>
      </c>
      <c r="D502" s="274" t="s">
        <v>4714</v>
      </c>
      <c r="E502" s="268" t="s">
        <v>2869</v>
      </c>
      <c r="F502" s="268" t="s">
        <v>4715</v>
      </c>
      <c r="G502" s="268" t="s">
        <v>4716</v>
      </c>
      <c r="H502" s="268" t="str">
        <f t="shared" si="1"/>
        <v>ALFONSO MARCO GARRIDO</v>
      </c>
      <c r="I502" s="268" t="s">
        <v>5500</v>
      </c>
      <c r="J502" s="272" t="s">
        <v>4736</v>
      </c>
      <c r="K502" s="268" t="s">
        <v>5501</v>
      </c>
      <c r="L502" s="276">
        <v>45398</v>
      </c>
      <c r="M502" s="277"/>
      <c r="N502" s="282">
        <v>2</v>
      </c>
      <c r="O502" s="284" t="s">
        <v>4720</v>
      </c>
      <c r="P502" s="280">
        <v>3423.64</v>
      </c>
      <c r="Q502" s="289">
        <v>45366</v>
      </c>
      <c r="R502" s="272"/>
      <c r="S502" s="272"/>
      <c r="T502" s="272"/>
      <c r="U502" s="272"/>
      <c r="V502" s="272"/>
      <c r="W502" s="272"/>
      <c r="X502" s="272"/>
      <c r="Y502" s="272"/>
      <c r="Z502" s="272"/>
      <c r="AA502" s="272"/>
    </row>
    <row r="503" spans="1:27">
      <c r="A503" s="273">
        <v>4</v>
      </c>
      <c r="B503" s="274" t="s">
        <v>5421</v>
      </c>
      <c r="C503" s="275">
        <v>45369</v>
      </c>
      <c r="D503" s="285" t="s">
        <v>4714</v>
      </c>
      <c r="E503" s="268" t="s">
        <v>4788</v>
      </c>
      <c r="F503" s="268" t="s">
        <v>4715</v>
      </c>
      <c r="G503" s="268" t="s">
        <v>4716</v>
      </c>
      <c r="H503" s="268" t="str">
        <f t="shared" si="1"/>
        <v>ERNESTO VARELA MARTÍNEZ</v>
      </c>
      <c r="I503" s="268" t="s">
        <v>4789</v>
      </c>
      <c r="J503" s="268" t="s">
        <v>4790</v>
      </c>
      <c r="K503" s="268" t="s">
        <v>5502</v>
      </c>
      <c r="L503" s="276">
        <v>45399</v>
      </c>
      <c r="M503" s="277"/>
      <c r="N503" s="282">
        <v>2</v>
      </c>
      <c r="O503" s="284" t="s">
        <v>4792</v>
      </c>
      <c r="P503" s="280">
        <v>2627.27</v>
      </c>
      <c r="Q503" s="289">
        <v>45369</v>
      </c>
      <c r="R503" s="272"/>
      <c r="S503" s="272"/>
      <c r="T503" s="272"/>
      <c r="U503" s="272"/>
      <c r="V503" s="272"/>
      <c r="W503" s="272"/>
      <c r="X503" s="272"/>
      <c r="Y503" s="272"/>
      <c r="Z503" s="272"/>
      <c r="AA503" s="272"/>
    </row>
    <row r="504" spans="1:27">
      <c r="A504" s="273">
        <v>4</v>
      </c>
      <c r="B504" s="274" t="s">
        <v>5421</v>
      </c>
      <c r="C504" s="275">
        <v>45370</v>
      </c>
      <c r="D504" s="274" t="s">
        <v>4714</v>
      </c>
      <c r="E504" s="268" t="s">
        <v>4820</v>
      </c>
      <c r="F504" s="268" t="s">
        <v>4715</v>
      </c>
      <c r="G504" s="268" t="s">
        <v>4716</v>
      </c>
      <c r="H504" s="268" t="str">
        <f t="shared" si="1"/>
        <v>RAED MAQUED EL MAQUED</v>
      </c>
      <c r="I504" s="268" t="s">
        <v>4821</v>
      </c>
      <c r="J504" s="272" t="s">
        <v>4822</v>
      </c>
      <c r="K504" s="268" t="s">
        <v>5503</v>
      </c>
      <c r="L504" s="276">
        <v>45399</v>
      </c>
      <c r="M504" s="283"/>
      <c r="N504" s="282">
        <v>2</v>
      </c>
      <c r="O504" s="284" t="s">
        <v>4720</v>
      </c>
      <c r="P504" s="280">
        <v>3772.73</v>
      </c>
      <c r="Q504" s="289">
        <v>45370</v>
      </c>
      <c r="R504" s="272"/>
      <c r="S504" s="272"/>
      <c r="T504" s="272"/>
      <c r="U504" s="272"/>
      <c r="V504" s="272"/>
      <c r="W504" s="272"/>
      <c r="X504" s="272"/>
      <c r="Y504" s="272"/>
      <c r="Z504" s="272"/>
      <c r="AA504" s="272"/>
    </row>
    <row r="505" spans="1:27">
      <c r="A505" s="273">
        <v>4</v>
      </c>
      <c r="B505" s="274" t="s">
        <v>5421</v>
      </c>
      <c r="C505" s="275">
        <v>45372</v>
      </c>
      <c r="D505" s="274" t="s">
        <v>4714</v>
      </c>
      <c r="E505" s="268" t="s">
        <v>2880</v>
      </c>
      <c r="F505" s="268" t="s">
        <v>4715</v>
      </c>
      <c r="G505" s="268" t="s">
        <v>4716</v>
      </c>
      <c r="H505" s="268" t="str">
        <f t="shared" si="1"/>
        <v>MARÍA GARROTE GARROTE</v>
      </c>
      <c r="I505" s="268" t="s">
        <v>4721</v>
      </c>
      <c r="J505" s="272" t="s">
        <v>4718</v>
      </c>
      <c r="K505" s="268" t="s">
        <v>5504</v>
      </c>
      <c r="L505" s="276">
        <v>45399</v>
      </c>
      <c r="M505" s="283"/>
      <c r="N505" s="282">
        <v>2</v>
      </c>
      <c r="O505" s="284" t="s">
        <v>4720</v>
      </c>
      <c r="P505" s="280">
        <v>3604.55</v>
      </c>
      <c r="Q505" s="289">
        <v>45372</v>
      </c>
      <c r="R505" s="272"/>
      <c r="S505" s="272"/>
      <c r="T505" s="272"/>
      <c r="U505" s="272"/>
      <c r="V505" s="272"/>
      <c r="W505" s="272"/>
      <c r="X505" s="272"/>
      <c r="Y505" s="272"/>
      <c r="Z505" s="272"/>
      <c r="AA505" s="272"/>
    </row>
    <row r="506" spans="1:27">
      <c r="A506" s="273">
        <v>4</v>
      </c>
      <c r="B506" s="274" t="s">
        <v>5421</v>
      </c>
      <c r="C506" s="275">
        <v>45371</v>
      </c>
      <c r="D506" s="274" t="s">
        <v>4714</v>
      </c>
      <c r="E506" s="268" t="s">
        <v>3861</v>
      </c>
      <c r="F506" s="268" t="s">
        <v>4715</v>
      </c>
      <c r="G506" s="268" t="s">
        <v>4716</v>
      </c>
      <c r="H506" s="268" t="str">
        <f t="shared" si="1"/>
        <v>JOSÉ GUSTAVO BARROSO BRAOJOS</v>
      </c>
      <c r="I506" s="268" t="s">
        <v>4834</v>
      </c>
      <c r="J506" s="272" t="s">
        <v>4718</v>
      </c>
      <c r="K506" s="268" t="s">
        <v>5505</v>
      </c>
      <c r="L506" s="276">
        <v>45399</v>
      </c>
      <c r="M506" s="277"/>
      <c r="N506" s="282">
        <v>2</v>
      </c>
      <c r="O506" s="284" t="s">
        <v>4720</v>
      </c>
      <c r="P506" s="280">
        <v>3424.55</v>
      </c>
      <c r="Q506" s="289">
        <v>45371</v>
      </c>
      <c r="R506" s="272"/>
      <c r="S506" s="272"/>
      <c r="T506" s="272"/>
      <c r="U506" s="272"/>
      <c r="V506" s="272"/>
      <c r="W506" s="272"/>
      <c r="X506" s="272"/>
      <c r="Y506" s="272"/>
      <c r="Z506" s="272"/>
      <c r="AA506" s="272"/>
    </row>
    <row r="507" spans="1:27">
      <c r="A507" s="273">
        <v>4</v>
      </c>
      <c r="B507" s="274" t="s">
        <v>5421</v>
      </c>
      <c r="C507" s="275">
        <v>45342</v>
      </c>
      <c r="D507" s="274" t="s">
        <v>4714</v>
      </c>
      <c r="E507" s="268" t="s">
        <v>3043</v>
      </c>
      <c r="F507" s="268" t="s">
        <v>4715</v>
      </c>
      <c r="G507" s="268" t="s">
        <v>4716</v>
      </c>
      <c r="H507" s="268" t="str">
        <f t="shared" si="1"/>
        <v>ANTONIO BUENO RÍOS</v>
      </c>
      <c r="I507" s="268" t="s">
        <v>4793</v>
      </c>
      <c r="J507" s="272" t="s">
        <v>4822</v>
      </c>
      <c r="K507" s="268" t="s">
        <v>5506</v>
      </c>
      <c r="L507" s="276">
        <v>45399</v>
      </c>
      <c r="M507" s="277"/>
      <c r="N507" s="282">
        <v>2</v>
      </c>
      <c r="O507" s="284" t="s">
        <v>4723</v>
      </c>
      <c r="P507" s="280">
        <v>2641.87</v>
      </c>
      <c r="Q507" s="289">
        <v>45342</v>
      </c>
      <c r="R507" s="272"/>
      <c r="S507" s="272"/>
      <c r="T507" s="272"/>
      <c r="U507" s="272"/>
      <c r="V507" s="272"/>
      <c r="W507" s="272"/>
      <c r="X507" s="272"/>
      <c r="Y507" s="272"/>
      <c r="Z507" s="272"/>
      <c r="AA507" s="272"/>
    </row>
    <row r="508" spans="1:27">
      <c r="A508" s="273">
        <v>4</v>
      </c>
      <c r="B508" s="274" t="s">
        <v>5421</v>
      </c>
      <c r="C508" s="275">
        <v>45358</v>
      </c>
      <c r="D508" s="274" t="s">
        <v>4714</v>
      </c>
      <c r="E508" s="268" t="s">
        <v>2869</v>
      </c>
      <c r="F508" s="268" t="s">
        <v>4715</v>
      </c>
      <c r="G508" s="268" t="s">
        <v>4716</v>
      </c>
      <c r="H508" s="268" t="str">
        <f t="shared" si="1"/>
        <v>JESÚS MIGUEL INIESTA TURPÍN</v>
      </c>
      <c r="I508" s="268" t="s">
        <v>4868</v>
      </c>
      <c r="J508" s="272" t="s">
        <v>4736</v>
      </c>
      <c r="K508" s="268" t="s">
        <v>5507</v>
      </c>
      <c r="L508" s="276">
        <v>45399</v>
      </c>
      <c r="M508" s="283"/>
      <c r="N508" s="282">
        <v>2</v>
      </c>
      <c r="O508" s="284" t="s">
        <v>4723</v>
      </c>
      <c r="P508" s="280">
        <v>2780.91</v>
      </c>
      <c r="Q508" s="289">
        <v>45358</v>
      </c>
      <c r="R508" s="272"/>
      <c r="S508" s="272"/>
      <c r="T508" s="272"/>
      <c r="U508" s="272"/>
      <c r="V508" s="272"/>
      <c r="W508" s="272"/>
      <c r="X508" s="272"/>
      <c r="Y508" s="272"/>
      <c r="Z508" s="272"/>
      <c r="AA508" s="272"/>
    </row>
    <row r="509" spans="1:27">
      <c r="A509" s="273">
        <v>4</v>
      </c>
      <c r="B509" s="274" t="s">
        <v>5421</v>
      </c>
      <c r="C509" s="275">
        <v>45365</v>
      </c>
      <c r="D509" s="274" t="s">
        <v>4714</v>
      </c>
      <c r="E509" s="268" t="s">
        <v>2869</v>
      </c>
      <c r="F509" s="268" t="s">
        <v>4715</v>
      </c>
      <c r="G509" s="268" t="s">
        <v>4716</v>
      </c>
      <c r="H509" s="268" t="str">
        <f t="shared" si="1"/>
        <v>MARÍA LÓPEZ ROBLES</v>
      </c>
      <c r="I509" s="268" t="s">
        <v>5120</v>
      </c>
      <c r="J509" s="272" t="s">
        <v>4736</v>
      </c>
      <c r="K509" s="268" t="s">
        <v>5508</v>
      </c>
      <c r="L509" s="276">
        <v>45399</v>
      </c>
      <c r="M509" s="277"/>
      <c r="N509" s="282">
        <v>1</v>
      </c>
      <c r="O509" s="284" t="s">
        <v>4720</v>
      </c>
      <c r="P509" s="280">
        <v>2227.27</v>
      </c>
      <c r="Q509" s="289">
        <v>45365</v>
      </c>
      <c r="R509" s="272"/>
      <c r="S509" s="272"/>
      <c r="T509" s="272"/>
      <c r="U509" s="272"/>
      <c r="V509" s="272"/>
      <c r="W509" s="272"/>
      <c r="X509" s="272"/>
      <c r="Y509" s="272"/>
      <c r="Z509" s="272"/>
      <c r="AA509" s="272"/>
    </row>
    <row r="510" spans="1:27">
      <c r="A510" s="273">
        <v>4</v>
      </c>
      <c r="B510" s="274" t="s">
        <v>5421</v>
      </c>
      <c r="C510" s="275">
        <v>45274</v>
      </c>
      <c r="D510" s="274" t="s">
        <v>4714</v>
      </c>
      <c r="E510" s="268" t="s">
        <v>4759</v>
      </c>
      <c r="F510" s="268" t="s">
        <v>4715</v>
      </c>
      <c r="G510" s="268" t="s">
        <v>4716</v>
      </c>
      <c r="H510" s="268" t="str">
        <f t="shared" si="1"/>
        <v>MANUEL ACUÑA GARCÍA</v>
      </c>
      <c r="I510" s="268" t="s">
        <v>4746</v>
      </c>
      <c r="J510" s="272" t="s">
        <v>4747</v>
      </c>
      <c r="K510" s="268" t="s">
        <v>5509</v>
      </c>
      <c r="L510" s="276">
        <v>45399</v>
      </c>
      <c r="M510" s="277"/>
      <c r="N510" s="282">
        <v>2</v>
      </c>
      <c r="O510" s="284" t="s">
        <v>4787</v>
      </c>
      <c r="P510" s="280">
        <v>4431.82</v>
      </c>
      <c r="Q510" s="289">
        <v>45274</v>
      </c>
      <c r="R510" s="272"/>
      <c r="S510" s="272"/>
      <c r="T510" s="272"/>
      <c r="U510" s="272"/>
      <c r="V510" s="272"/>
      <c r="W510" s="272"/>
      <c r="X510" s="272"/>
      <c r="Y510" s="272"/>
      <c r="Z510" s="272"/>
      <c r="AA510" s="272"/>
    </row>
    <row r="511" spans="1:27">
      <c r="A511" s="273">
        <v>4</v>
      </c>
      <c r="B511" s="274" t="s">
        <v>5421</v>
      </c>
      <c r="C511" s="275">
        <v>45370</v>
      </c>
      <c r="D511" s="274" t="s">
        <v>4714</v>
      </c>
      <c r="E511" s="268" t="s">
        <v>4759</v>
      </c>
      <c r="F511" s="268" t="s">
        <v>4715</v>
      </c>
      <c r="G511" s="268" t="s">
        <v>4716</v>
      </c>
      <c r="H511" s="268" t="str">
        <f t="shared" si="1"/>
        <v>PATRICIA VIVEROS DIEZ</v>
      </c>
      <c r="I511" s="268" t="s">
        <v>4760</v>
      </c>
      <c r="J511" s="272" t="s">
        <v>4747</v>
      </c>
      <c r="K511" s="268" t="s">
        <v>5510</v>
      </c>
      <c r="L511" s="276">
        <v>45399</v>
      </c>
      <c r="M511" s="277"/>
      <c r="N511" s="282">
        <v>1</v>
      </c>
      <c r="O511" s="284" t="s">
        <v>4740</v>
      </c>
      <c r="P511" s="280">
        <v>2080</v>
      </c>
      <c r="Q511" s="289">
        <v>45370</v>
      </c>
      <c r="R511" s="272"/>
      <c r="S511" s="272"/>
      <c r="T511" s="272"/>
      <c r="U511" s="272"/>
      <c r="V511" s="272"/>
      <c r="W511" s="272"/>
      <c r="X511" s="272"/>
      <c r="Y511" s="272"/>
      <c r="Z511" s="272"/>
      <c r="AA511" s="272"/>
    </row>
    <row r="512" spans="1:27">
      <c r="A512" s="273">
        <v>4</v>
      </c>
      <c r="B512" s="274" t="s">
        <v>5421</v>
      </c>
      <c r="C512" s="275">
        <v>45350</v>
      </c>
      <c r="D512" s="274" t="s">
        <v>4714</v>
      </c>
      <c r="E512" s="268" t="s">
        <v>4759</v>
      </c>
      <c r="F512" s="268" t="s">
        <v>4724</v>
      </c>
      <c r="G512" s="268" t="s">
        <v>4725</v>
      </c>
      <c r="H512" s="268" t="str">
        <f t="shared" ref="H512:H620" si="2">TRIM(SUBSTITUTE(SUBSTITUTE(SUBSTITUTE(SUBSTITUTE(I512,"DR. ",""),"DRA. ",""),"DR ",""),"DRA ",""))</f>
        <v>ANA FERNÁNDEZ RODRÍGUEZ</v>
      </c>
      <c r="I512" s="268" t="s">
        <v>5511</v>
      </c>
      <c r="J512" s="272" t="s">
        <v>4747</v>
      </c>
      <c r="K512" s="268" t="s">
        <v>5512</v>
      </c>
      <c r="L512" s="276">
        <v>45399</v>
      </c>
      <c r="M512" s="277"/>
      <c r="N512" s="282">
        <v>2</v>
      </c>
      <c r="O512" s="284" t="s">
        <v>4720</v>
      </c>
      <c r="P512" s="280">
        <v>3477.29</v>
      </c>
      <c r="Q512" s="289">
        <v>45350</v>
      </c>
      <c r="R512" s="272"/>
      <c r="S512" s="272"/>
      <c r="T512" s="272"/>
      <c r="U512" s="272"/>
      <c r="V512" s="272"/>
      <c r="W512" s="272"/>
      <c r="X512" s="272"/>
      <c r="Y512" s="272"/>
      <c r="Z512" s="272"/>
      <c r="AA512" s="272"/>
    </row>
    <row r="513" spans="1:27">
      <c r="A513" s="273">
        <v>4</v>
      </c>
      <c r="B513" s="274" t="s">
        <v>5421</v>
      </c>
      <c r="C513" s="275">
        <v>45358</v>
      </c>
      <c r="D513" s="274" t="s">
        <v>4714</v>
      </c>
      <c r="E513" s="268" t="s">
        <v>4827</v>
      </c>
      <c r="F513" s="268" t="s">
        <v>4715</v>
      </c>
      <c r="G513" s="268" t="s">
        <v>4716</v>
      </c>
      <c r="H513" s="268" t="str">
        <f t="shared" si="2"/>
        <v>CARLOS VIDAL REDONDO</v>
      </c>
      <c r="I513" s="268" t="s">
        <v>4828</v>
      </c>
      <c r="J513" s="268" t="s">
        <v>4790</v>
      </c>
      <c r="K513" s="268" t="s">
        <v>5513</v>
      </c>
      <c r="L513" s="276">
        <v>45400</v>
      </c>
      <c r="M513" s="283"/>
      <c r="N513" s="282">
        <v>1</v>
      </c>
      <c r="O513" s="284" t="s">
        <v>4723</v>
      </c>
      <c r="P513" s="280">
        <v>1500</v>
      </c>
      <c r="Q513" s="289">
        <v>45358</v>
      </c>
      <c r="R513" s="272"/>
      <c r="S513" s="272"/>
      <c r="T513" s="272"/>
      <c r="U513" s="272"/>
      <c r="V513" s="272"/>
      <c r="W513" s="272"/>
      <c r="X513" s="272"/>
      <c r="Y513" s="272"/>
      <c r="Z513" s="272"/>
      <c r="AA513" s="272"/>
    </row>
    <row r="514" spans="1:27">
      <c r="A514" s="273">
        <v>4</v>
      </c>
      <c r="B514" s="274" t="s">
        <v>5421</v>
      </c>
      <c r="C514" s="275">
        <v>45358</v>
      </c>
      <c r="D514" s="274" t="s">
        <v>4714</v>
      </c>
      <c r="E514" s="268" t="s">
        <v>4194</v>
      </c>
      <c r="F514" s="268" t="s">
        <v>4715</v>
      </c>
      <c r="G514" s="268" t="s">
        <v>4716</v>
      </c>
      <c r="H514" s="268" t="str">
        <f t="shared" si="2"/>
        <v>MARIA ROSARIO FERRANDIZ GARCÍA</v>
      </c>
      <c r="I514" s="268" t="s">
        <v>5374</v>
      </c>
      <c r="J514" s="272" t="s">
        <v>4736</v>
      </c>
      <c r="K514" s="268" t="s">
        <v>5514</v>
      </c>
      <c r="L514" s="276">
        <v>45400</v>
      </c>
      <c r="M514" s="277"/>
      <c r="N514" s="282">
        <v>2</v>
      </c>
      <c r="O514" s="284" t="s">
        <v>4723</v>
      </c>
      <c r="P514" s="280">
        <v>2781.82</v>
      </c>
      <c r="Q514" s="289">
        <v>45358</v>
      </c>
      <c r="R514" s="272"/>
      <c r="S514" s="272"/>
      <c r="T514" s="272"/>
      <c r="U514" s="272"/>
      <c r="V514" s="272"/>
      <c r="W514" s="272"/>
      <c r="X514" s="272"/>
      <c r="Y514" s="272"/>
      <c r="Z514" s="272"/>
      <c r="AA514" s="272"/>
    </row>
    <row r="515" spans="1:27">
      <c r="A515" s="273">
        <v>4</v>
      </c>
      <c r="B515" s="274" t="s">
        <v>5421</v>
      </c>
      <c r="C515" s="275">
        <v>45370</v>
      </c>
      <c r="D515" s="274" t="s">
        <v>4714</v>
      </c>
      <c r="E515" s="268" t="s">
        <v>4788</v>
      </c>
      <c r="F515" s="268" t="s">
        <v>4715</v>
      </c>
      <c r="G515" s="268" t="s">
        <v>4716</v>
      </c>
      <c r="H515" s="268" t="str">
        <f t="shared" si="2"/>
        <v>CARLOS VIDAL REDONDO</v>
      </c>
      <c r="I515" s="268" t="s">
        <v>4828</v>
      </c>
      <c r="J515" s="272" t="s">
        <v>4790</v>
      </c>
      <c r="K515" s="268" t="s">
        <v>5515</v>
      </c>
      <c r="L515" s="276">
        <v>45400</v>
      </c>
      <c r="M515" s="277"/>
      <c r="N515" s="282">
        <v>2</v>
      </c>
      <c r="O515" s="284" t="s">
        <v>4792</v>
      </c>
      <c r="P515" s="280">
        <v>2627.27</v>
      </c>
      <c r="Q515" s="289">
        <v>45370</v>
      </c>
      <c r="R515" s="272"/>
      <c r="S515" s="272"/>
      <c r="T515" s="272"/>
      <c r="U515" s="272"/>
      <c r="V515" s="272"/>
      <c r="W515" s="272"/>
      <c r="X515" s="272"/>
      <c r="Y515" s="272"/>
      <c r="Z515" s="272"/>
      <c r="AA515" s="272"/>
    </row>
    <row r="516" spans="1:27">
      <c r="A516" s="273">
        <v>4</v>
      </c>
      <c r="B516" s="274" t="s">
        <v>5421</v>
      </c>
      <c r="C516" s="275">
        <v>45371</v>
      </c>
      <c r="D516" s="274" t="s">
        <v>4714</v>
      </c>
      <c r="E516" s="268" t="s">
        <v>3480</v>
      </c>
      <c r="F516" s="268" t="s">
        <v>4715</v>
      </c>
      <c r="G516" s="268" t="s">
        <v>4716</v>
      </c>
      <c r="H516" s="268" t="str">
        <f t="shared" si="2"/>
        <v>ITHZEL MARIA VILLARREAL PATIÑO</v>
      </c>
      <c r="I516" s="268" t="s">
        <v>4765</v>
      </c>
      <c r="J516" s="272" t="s">
        <v>4718</v>
      </c>
      <c r="K516" s="268" t="s">
        <v>5516</v>
      </c>
      <c r="L516" s="276">
        <v>45400</v>
      </c>
      <c r="M516" s="283"/>
      <c r="N516" s="282">
        <v>2</v>
      </c>
      <c r="O516" s="284" t="s">
        <v>4720</v>
      </c>
      <c r="P516" s="280">
        <v>3604.55</v>
      </c>
      <c r="Q516" s="289">
        <v>45371</v>
      </c>
      <c r="R516" s="272"/>
      <c r="S516" s="272"/>
      <c r="T516" s="272"/>
      <c r="U516" s="272"/>
      <c r="V516" s="272"/>
      <c r="W516" s="272"/>
      <c r="X516" s="272"/>
      <c r="Y516" s="272"/>
      <c r="Z516" s="272"/>
      <c r="AA516" s="272"/>
    </row>
    <row r="517" spans="1:27">
      <c r="A517" s="273">
        <v>4</v>
      </c>
      <c r="B517" s="274" t="s">
        <v>5421</v>
      </c>
      <c r="C517" s="275">
        <v>45243</v>
      </c>
      <c r="D517" s="274" t="s">
        <v>4714</v>
      </c>
      <c r="E517" s="268" t="s">
        <v>5321</v>
      </c>
      <c r="F517" s="268" t="s">
        <v>4715</v>
      </c>
      <c r="G517" s="268" t="s">
        <v>4716</v>
      </c>
      <c r="H517" s="268" t="str">
        <f t="shared" si="2"/>
        <v>JORDI LLUANSI PANELLA</v>
      </c>
      <c r="I517" s="268" t="s">
        <v>5322</v>
      </c>
      <c r="J517" s="272" t="s">
        <v>4806</v>
      </c>
      <c r="K517" s="268" t="s">
        <v>5517</v>
      </c>
      <c r="L517" s="276">
        <v>45400</v>
      </c>
      <c r="M517" s="277"/>
      <c r="N517" s="282">
        <v>2</v>
      </c>
      <c r="O517" s="284" t="s">
        <v>4720</v>
      </c>
      <c r="P517" s="280">
        <v>3604.55</v>
      </c>
      <c r="Q517" s="289">
        <v>45243</v>
      </c>
      <c r="R517" s="272"/>
      <c r="S517" s="272"/>
      <c r="T517" s="272"/>
      <c r="U517" s="272"/>
      <c r="V517" s="272"/>
      <c r="W517" s="272"/>
      <c r="X517" s="272"/>
      <c r="Y517" s="272"/>
      <c r="Z517" s="272"/>
      <c r="AA517" s="272"/>
    </row>
    <row r="518" spans="1:27">
      <c r="A518" s="273">
        <v>4</v>
      </c>
      <c r="B518" s="274" t="s">
        <v>5421</v>
      </c>
      <c r="C518" s="275">
        <v>45334</v>
      </c>
      <c r="D518" s="274" t="s">
        <v>4714</v>
      </c>
      <c r="E518" s="268" t="s">
        <v>5321</v>
      </c>
      <c r="F518" s="268" t="s">
        <v>4715</v>
      </c>
      <c r="G518" s="268" t="s">
        <v>4716</v>
      </c>
      <c r="H518" s="268" t="str">
        <f t="shared" si="2"/>
        <v>MARÍA K LLANO ESPINOSA</v>
      </c>
      <c r="I518" s="268" t="s">
        <v>5518</v>
      </c>
      <c r="J518" s="272" t="s">
        <v>4806</v>
      </c>
      <c r="K518" s="268" t="s">
        <v>5519</v>
      </c>
      <c r="L518" s="276">
        <v>45400</v>
      </c>
      <c r="M518" s="277"/>
      <c r="N518" s="282">
        <v>2</v>
      </c>
      <c r="O518" s="284" t="s">
        <v>4740</v>
      </c>
      <c r="P518" s="280">
        <v>4011.82</v>
      </c>
      <c r="Q518" s="289">
        <v>45334</v>
      </c>
      <c r="R518" s="272"/>
      <c r="S518" s="272"/>
      <c r="T518" s="272"/>
      <c r="U518" s="272"/>
      <c r="V518" s="272"/>
      <c r="W518" s="272"/>
      <c r="X518" s="272"/>
      <c r="Y518" s="272"/>
      <c r="Z518" s="272"/>
      <c r="AA518" s="272"/>
    </row>
    <row r="519" spans="1:27">
      <c r="A519" s="273">
        <v>4</v>
      </c>
      <c r="B519" s="274" t="s">
        <v>5421</v>
      </c>
      <c r="C519" s="275">
        <v>45342</v>
      </c>
      <c r="D519" s="274" t="s">
        <v>4714</v>
      </c>
      <c r="E519" s="268" t="s">
        <v>4775</v>
      </c>
      <c r="F519" s="268" t="s">
        <v>4715</v>
      </c>
      <c r="G519" s="268" t="s">
        <v>4716</v>
      </c>
      <c r="H519" s="268" t="str">
        <f t="shared" si="2"/>
        <v>GARIKOITZ CALZADA URIONDO</v>
      </c>
      <c r="I519" s="268" t="s">
        <v>5520</v>
      </c>
      <c r="J519" s="272" t="s">
        <v>4822</v>
      </c>
      <c r="K519" s="268" t="s">
        <v>5521</v>
      </c>
      <c r="L519" s="276">
        <v>45400</v>
      </c>
      <c r="M519" s="277"/>
      <c r="N519" s="282">
        <v>2</v>
      </c>
      <c r="O519" s="284" t="s">
        <v>4740</v>
      </c>
      <c r="P519" s="280">
        <v>3727.27</v>
      </c>
      <c r="Q519" s="289">
        <v>45342</v>
      </c>
      <c r="R519" s="272"/>
      <c r="S519" s="272"/>
      <c r="T519" s="272"/>
      <c r="U519" s="272"/>
      <c r="V519" s="272"/>
      <c r="W519" s="272"/>
      <c r="X519" s="272"/>
      <c r="Y519" s="272"/>
      <c r="Z519" s="272"/>
      <c r="AA519" s="272"/>
    </row>
    <row r="520" spans="1:27">
      <c r="A520" s="273">
        <v>4</v>
      </c>
      <c r="B520" s="274" t="s">
        <v>5421</v>
      </c>
      <c r="C520" s="275">
        <v>45366</v>
      </c>
      <c r="D520" s="274" t="s">
        <v>4714</v>
      </c>
      <c r="E520" s="268" t="s">
        <v>4945</v>
      </c>
      <c r="F520" s="268" t="s">
        <v>4715</v>
      </c>
      <c r="G520" s="268" t="s">
        <v>4716</v>
      </c>
      <c r="H520" s="268" t="str">
        <f t="shared" si="2"/>
        <v>PEDRO JUIZ LÓPEZ</v>
      </c>
      <c r="I520" s="268" t="s">
        <v>4946</v>
      </c>
      <c r="J520" s="272" t="s">
        <v>4790</v>
      </c>
      <c r="K520" s="268" t="s">
        <v>5522</v>
      </c>
      <c r="L520" s="276">
        <v>45400</v>
      </c>
      <c r="M520" s="277"/>
      <c r="N520" s="282">
        <v>2</v>
      </c>
      <c r="O520" s="284" t="s">
        <v>4723</v>
      </c>
      <c r="P520" s="280">
        <v>2904.55</v>
      </c>
      <c r="Q520" s="289">
        <v>45366</v>
      </c>
      <c r="R520" s="272"/>
      <c r="S520" s="272"/>
      <c r="T520" s="272"/>
      <c r="U520" s="272"/>
      <c r="V520" s="272"/>
      <c r="W520" s="272"/>
      <c r="X520" s="272"/>
      <c r="Y520" s="272"/>
      <c r="Z520" s="272"/>
      <c r="AA520" s="272"/>
    </row>
    <row r="521" spans="1:27">
      <c r="A521" s="273">
        <v>4</v>
      </c>
      <c r="B521" s="274" t="s">
        <v>5421</v>
      </c>
      <c r="C521" s="275">
        <v>45386</v>
      </c>
      <c r="D521" s="274" t="s">
        <v>4714</v>
      </c>
      <c r="E521" s="268" t="s">
        <v>3193</v>
      </c>
      <c r="F521" s="268" t="s">
        <v>4715</v>
      </c>
      <c r="G521" s="268" t="s">
        <v>4716</v>
      </c>
      <c r="H521" s="268" t="str">
        <f t="shared" si="2"/>
        <v>JOSE JOAQUÍN GUTIÉRREZ BARQUÍN</v>
      </c>
      <c r="I521" s="268" t="s">
        <v>4990</v>
      </c>
      <c r="J521" s="268" t="s">
        <v>4718</v>
      </c>
      <c r="K521" s="268" t="s">
        <v>5523</v>
      </c>
      <c r="L521" s="276">
        <v>45400</v>
      </c>
      <c r="M521" s="283"/>
      <c r="N521" s="282">
        <v>2</v>
      </c>
      <c r="O521" s="284" t="s">
        <v>4740</v>
      </c>
      <c r="P521" s="280">
        <v>4222.7299999999996</v>
      </c>
      <c r="Q521" s="289">
        <v>45386</v>
      </c>
      <c r="R521" s="272"/>
      <c r="S521" s="272"/>
      <c r="T521" s="272"/>
      <c r="U521" s="272"/>
      <c r="V521" s="272"/>
      <c r="W521" s="272"/>
      <c r="X521" s="272"/>
      <c r="Y521" s="272"/>
      <c r="Z521" s="272"/>
      <c r="AA521" s="272"/>
    </row>
    <row r="522" spans="1:27">
      <c r="A522" s="273">
        <v>4</v>
      </c>
      <c r="B522" s="274" t="s">
        <v>5421</v>
      </c>
      <c r="C522" s="275">
        <v>45218</v>
      </c>
      <c r="D522" s="274" t="s">
        <v>4714</v>
      </c>
      <c r="E522" s="268" t="s">
        <v>3193</v>
      </c>
      <c r="F522" s="268" t="s">
        <v>4715</v>
      </c>
      <c r="G522" s="268" t="s">
        <v>4716</v>
      </c>
      <c r="H522" s="268" t="str">
        <f t="shared" si="2"/>
        <v>JAVIER GAVILANES PLASENCIA</v>
      </c>
      <c r="I522" s="268" t="s">
        <v>5524</v>
      </c>
      <c r="J522" s="272" t="s">
        <v>4718</v>
      </c>
      <c r="K522" s="268" t="s">
        <v>5525</v>
      </c>
      <c r="L522" s="276">
        <v>45400</v>
      </c>
      <c r="M522" s="283"/>
      <c r="N522" s="282">
        <v>2</v>
      </c>
      <c r="O522" s="284" t="s">
        <v>4723</v>
      </c>
      <c r="P522" s="280">
        <v>2727.27</v>
      </c>
      <c r="Q522" s="289">
        <v>45218</v>
      </c>
      <c r="R522" s="272"/>
      <c r="S522" s="272"/>
      <c r="T522" s="272"/>
      <c r="U522" s="272"/>
      <c r="V522" s="272"/>
      <c r="W522" s="272"/>
      <c r="X522" s="272"/>
      <c r="Y522" s="272"/>
      <c r="Z522" s="272"/>
      <c r="AA522" s="272"/>
    </row>
    <row r="523" spans="1:27">
      <c r="A523" s="273">
        <v>4</v>
      </c>
      <c r="B523" s="274" t="s">
        <v>5421</v>
      </c>
      <c r="C523" s="275">
        <v>45355</v>
      </c>
      <c r="D523" s="274" t="s">
        <v>4714</v>
      </c>
      <c r="E523" s="268" t="s">
        <v>2921</v>
      </c>
      <c r="F523" s="268" t="s">
        <v>4715</v>
      </c>
      <c r="G523" s="268" t="s">
        <v>4716</v>
      </c>
      <c r="H523" s="268" t="str">
        <f t="shared" si="2"/>
        <v>LUÍS MARTÍNEZ BERNABEU</v>
      </c>
      <c r="I523" s="268" t="s">
        <v>4757</v>
      </c>
      <c r="J523" s="268" t="s">
        <v>4910</v>
      </c>
      <c r="K523" s="268" t="s">
        <v>5526</v>
      </c>
      <c r="L523" s="276">
        <v>45400</v>
      </c>
      <c r="M523" s="283"/>
      <c r="N523" s="282">
        <v>2</v>
      </c>
      <c r="O523" s="284" t="s">
        <v>4740</v>
      </c>
      <c r="P523" s="280">
        <v>4011.59</v>
      </c>
      <c r="Q523" s="289">
        <v>45355</v>
      </c>
      <c r="R523" s="272"/>
      <c r="S523" s="272"/>
      <c r="T523" s="272"/>
      <c r="U523" s="272"/>
      <c r="V523" s="272"/>
      <c r="W523" s="272"/>
      <c r="X523" s="272"/>
      <c r="Y523" s="272"/>
      <c r="Z523" s="272"/>
      <c r="AA523" s="272"/>
    </row>
    <row r="524" spans="1:27">
      <c r="A524" s="273">
        <v>4</v>
      </c>
      <c r="B524" s="274" t="s">
        <v>5421</v>
      </c>
      <c r="C524" s="275">
        <v>45348</v>
      </c>
      <c r="D524" s="274" t="s">
        <v>4714</v>
      </c>
      <c r="E524" s="268" t="s">
        <v>4759</v>
      </c>
      <c r="F524" s="268" t="s">
        <v>4715</v>
      </c>
      <c r="G524" s="268" t="s">
        <v>4716</v>
      </c>
      <c r="H524" s="268" t="str">
        <f t="shared" si="2"/>
        <v>MANUEL ACUÑA GARCÍA</v>
      </c>
      <c r="I524" s="268" t="s">
        <v>4746</v>
      </c>
      <c r="J524" s="272" t="s">
        <v>4747</v>
      </c>
      <c r="K524" s="268" t="s">
        <v>5527</v>
      </c>
      <c r="L524" s="276">
        <v>45400</v>
      </c>
      <c r="M524" s="277"/>
      <c r="N524" s="282">
        <v>2</v>
      </c>
      <c r="O524" s="284" t="s">
        <v>4720</v>
      </c>
      <c r="P524" s="280">
        <v>3522.73</v>
      </c>
      <c r="Q524" s="289">
        <v>45348</v>
      </c>
      <c r="R524" s="272"/>
      <c r="S524" s="272"/>
      <c r="T524" s="272"/>
      <c r="U524" s="272"/>
      <c r="V524" s="272"/>
      <c r="W524" s="272"/>
      <c r="X524" s="272"/>
      <c r="Y524" s="272"/>
      <c r="Z524" s="272"/>
      <c r="AA524" s="272"/>
    </row>
    <row r="525" spans="1:27">
      <c r="A525" s="273">
        <v>4</v>
      </c>
      <c r="B525" s="274" t="s">
        <v>5421</v>
      </c>
      <c r="C525" s="275">
        <v>45357</v>
      </c>
      <c r="D525" s="274" t="s">
        <v>4714</v>
      </c>
      <c r="E525" s="268" t="s">
        <v>4194</v>
      </c>
      <c r="F525" s="268" t="s">
        <v>4715</v>
      </c>
      <c r="G525" s="268" t="s">
        <v>4716</v>
      </c>
      <c r="H525" s="268" t="str">
        <f t="shared" si="2"/>
        <v>ISABEL MENACHES GUARDIOLA</v>
      </c>
      <c r="I525" s="268" t="s">
        <v>5528</v>
      </c>
      <c r="J525" s="272" t="s">
        <v>4736</v>
      </c>
      <c r="K525" s="268" t="s">
        <v>5529</v>
      </c>
      <c r="L525" s="276">
        <v>45401</v>
      </c>
      <c r="M525" s="277"/>
      <c r="N525" s="282">
        <v>2</v>
      </c>
      <c r="O525" s="284" t="s">
        <v>4740</v>
      </c>
      <c r="P525" s="280">
        <v>4172.7299999999996</v>
      </c>
      <c r="Q525" s="289">
        <v>45357</v>
      </c>
      <c r="R525" s="272"/>
      <c r="S525" s="272"/>
      <c r="T525" s="272"/>
      <c r="U525" s="272"/>
      <c r="V525" s="272"/>
      <c r="W525" s="272"/>
      <c r="X525" s="272"/>
      <c r="Y525" s="272"/>
      <c r="Z525" s="272"/>
      <c r="AA525" s="272"/>
    </row>
    <row r="526" spans="1:27">
      <c r="A526" s="273">
        <v>4</v>
      </c>
      <c r="B526" s="274" t="s">
        <v>5421</v>
      </c>
      <c r="C526" s="275">
        <v>45335</v>
      </c>
      <c r="D526" s="274" t="s">
        <v>4714</v>
      </c>
      <c r="E526" s="268" t="s">
        <v>2909</v>
      </c>
      <c r="F526" s="268" t="s">
        <v>4715</v>
      </c>
      <c r="G526" s="268" t="s">
        <v>4716</v>
      </c>
      <c r="H526" s="268" t="str">
        <f t="shared" si="2"/>
        <v>DOLORES ROMERO PANADRRO</v>
      </c>
      <c r="I526" s="268" t="s">
        <v>5262</v>
      </c>
      <c r="J526" s="272" t="s">
        <v>4806</v>
      </c>
      <c r="K526" s="268" t="s">
        <v>5530</v>
      </c>
      <c r="L526" s="276">
        <v>45401</v>
      </c>
      <c r="M526" s="277"/>
      <c r="N526" s="282">
        <v>2</v>
      </c>
      <c r="O526" s="284" t="s">
        <v>4720</v>
      </c>
      <c r="P526" s="280">
        <v>3604.55</v>
      </c>
      <c r="Q526" s="289">
        <v>45335</v>
      </c>
      <c r="R526" s="272"/>
      <c r="S526" s="272"/>
      <c r="T526" s="272"/>
      <c r="U526" s="272"/>
      <c r="V526" s="272"/>
      <c r="W526" s="272"/>
      <c r="X526" s="272"/>
      <c r="Y526" s="272"/>
      <c r="Z526" s="272"/>
      <c r="AA526" s="272"/>
    </row>
    <row r="527" spans="1:27">
      <c r="A527" s="273">
        <v>4</v>
      </c>
      <c r="B527" s="274" t="s">
        <v>5421</v>
      </c>
      <c r="C527" s="275">
        <v>45383</v>
      </c>
      <c r="D527" s="274" t="s">
        <v>4714</v>
      </c>
      <c r="E527" s="295" t="s">
        <v>3480</v>
      </c>
      <c r="F527" s="268" t="s">
        <v>4715</v>
      </c>
      <c r="G527" s="268" t="s">
        <v>4716</v>
      </c>
      <c r="H527" s="268" t="str">
        <f t="shared" si="2"/>
        <v>PALOMA MARTÍN- ARAGÓN MARTIÍ</v>
      </c>
      <c r="I527" s="268" t="s">
        <v>4917</v>
      </c>
      <c r="J527" s="272" t="s">
        <v>4718</v>
      </c>
      <c r="K527" s="268" t="s">
        <v>5531</v>
      </c>
      <c r="L527" s="276">
        <v>45401</v>
      </c>
      <c r="M527" s="277"/>
      <c r="N527" s="282">
        <v>2</v>
      </c>
      <c r="O527" s="284" t="s">
        <v>4720</v>
      </c>
      <c r="P527" s="280">
        <v>3604.55</v>
      </c>
      <c r="Q527" s="289">
        <v>45383</v>
      </c>
      <c r="R527" s="272"/>
      <c r="S527" s="272"/>
      <c r="T527" s="272"/>
      <c r="U527" s="272"/>
      <c r="V527" s="272"/>
      <c r="W527" s="272"/>
      <c r="X527" s="272"/>
      <c r="Y527" s="272"/>
      <c r="Z527" s="272"/>
      <c r="AA527" s="272"/>
    </row>
    <row r="528" spans="1:27">
      <c r="A528" s="273">
        <v>4</v>
      </c>
      <c r="B528" s="274" t="s">
        <v>5421</v>
      </c>
      <c r="C528" s="275">
        <v>45355</v>
      </c>
      <c r="D528" s="274" t="s">
        <v>4714</v>
      </c>
      <c r="E528" s="268" t="s">
        <v>4775</v>
      </c>
      <c r="F528" s="268" t="s">
        <v>4715</v>
      </c>
      <c r="G528" s="268" t="s">
        <v>4716</v>
      </c>
      <c r="H528" s="268" t="str">
        <f t="shared" si="2"/>
        <v>FERNANDO SALAZAR BARCELONA</v>
      </c>
      <c r="I528" s="268" t="s">
        <v>4776</v>
      </c>
      <c r="J528" s="272" t="s">
        <v>4822</v>
      </c>
      <c r="K528" s="268" t="s">
        <v>5532</v>
      </c>
      <c r="L528" s="276">
        <v>45401</v>
      </c>
      <c r="M528" s="277"/>
      <c r="N528" s="282">
        <v>2</v>
      </c>
      <c r="O528" s="284" t="s">
        <v>4720</v>
      </c>
      <c r="P528" s="280">
        <v>3090.91</v>
      </c>
      <c r="Q528" s="289">
        <v>45355</v>
      </c>
      <c r="R528" s="272"/>
      <c r="S528" s="272"/>
      <c r="T528" s="272"/>
      <c r="U528" s="272"/>
      <c r="V528" s="272"/>
      <c r="W528" s="272"/>
      <c r="X528" s="272"/>
      <c r="Y528" s="272"/>
      <c r="Z528" s="272"/>
      <c r="AA528" s="272"/>
    </row>
    <row r="529" spans="1:27">
      <c r="A529" s="273">
        <v>4</v>
      </c>
      <c r="B529" s="274" t="s">
        <v>5421</v>
      </c>
      <c r="C529" s="275">
        <v>45336</v>
      </c>
      <c r="D529" s="274" t="s">
        <v>4714</v>
      </c>
      <c r="E529" s="268" t="s">
        <v>3193</v>
      </c>
      <c r="F529" s="268" t="s">
        <v>4715</v>
      </c>
      <c r="G529" s="268" t="s">
        <v>4716</v>
      </c>
      <c r="H529" s="268" t="str">
        <f t="shared" si="2"/>
        <v>CÉSAR CHARLES MARTÍNEZ</v>
      </c>
      <c r="I529" s="268" t="s">
        <v>4769</v>
      </c>
      <c r="J529" s="272" t="s">
        <v>4718</v>
      </c>
      <c r="K529" s="268" t="s">
        <v>5533</v>
      </c>
      <c r="L529" s="276">
        <v>45401</v>
      </c>
      <c r="M529" s="283"/>
      <c r="N529" s="282">
        <v>2</v>
      </c>
      <c r="O529" s="284" t="s">
        <v>4723</v>
      </c>
      <c r="P529" s="280">
        <v>2780.87</v>
      </c>
      <c r="Q529" s="289">
        <v>45336</v>
      </c>
      <c r="R529" s="272"/>
      <c r="S529" s="272"/>
      <c r="T529" s="272"/>
      <c r="U529" s="272"/>
      <c r="V529" s="272"/>
      <c r="W529" s="272"/>
      <c r="X529" s="272"/>
      <c r="Y529" s="272"/>
      <c r="Z529" s="272"/>
      <c r="AA529" s="272"/>
    </row>
    <row r="530" spans="1:27">
      <c r="A530" s="273">
        <v>4</v>
      </c>
      <c r="B530" s="274" t="s">
        <v>5421</v>
      </c>
      <c r="C530" s="275">
        <v>45341</v>
      </c>
      <c r="D530" s="274" t="s">
        <v>4714</v>
      </c>
      <c r="E530" s="268" t="s">
        <v>3605</v>
      </c>
      <c r="F530" s="268" t="s">
        <v>4715</v>
      </c>
      <c r="G530" s="268" t="s">
        <v>4716</v>
      </c>
      <c r="H530" s="268" t="str">
        <f t="shared" si="2"/>
        <v>MANUEL GUTIERREZ TRIGUERO</v>
      </c>
      <c r="I530" s="268" t="s">
        <v>5348</v>
      </c>
      <c r="J530" s="272" t="s">
        <v>4718</v>
      </c>
      <c r="K530" s="268" t="s">
        <v>5534</v>
      </c>
      <c r="L530" s="276">
        <v>45401</v>
      </c>
      <c r="M530" s="277"/>
      <c r="N530" s="282">
        <v>2</v>
      </c>
      <c r="O530" s="284" t="s">
        <v>4723</v>
      </c>
      <c r="P530" s="280">
        <v>2780.91</v>
      </c>
      <c r="Q530" s="289">
        <v>45341</v>
      </c>
      <c r="R530" s="272"/>
      <c r="S530" s="272"/>
      <c r="T530" s="272"/>
      <c r="U530" s="272"/>
      <c r="V530" s="272"/>
      <c r="W530" s="272"/>
      <c r="X530" s="272"/>
      <c r="Y530" s="272"/>
      <c r="Z530" s="272"/>
      <c r="AA530" s="272"/>
    </row>
    <row r="531" spans="1:27">
      <c r="A531" s="273">
        <v>4</v>
      </c>
      <c r="B531" s="274" t="s">
        <v>5421</v>
      </c>
      <c r="C531" s="275">
        <v>45359</v>
      </c>
      <c r="D531" s="274" t="s">
        <v>4714</v>
      </c>
      <c r="E531" s="268" t="s">
        <v>2873</v>
      </c>
      <c r="F531" s="268" t="s">
        <v>4715</v>
      </c>
      <c r="G531" s="268" t="s">
        <v>4716</v>
      </c>
      <c r="H531" s="268" t="str">
        <f t="shared" si="2"/>
        <v>JUAN JAVIER ÁLVAREZ LÓPEZ</v>
      </c>
      <c r="I531" s="268" t="s">
        <v>4938</v>
      </c>
      <c r="J531" s="272" t="s">
        <v>4736</v>
      </c>
      <c r="K531" s="268" t="s">
        <v>5535</v>
      </c>
      <c r="L531" s="276">
        <v>45401</v>
      </c>
      <c r="M531" s="283"/>
      <c r="N531" s="282">
        <v>2</v>
      </c>
      <c r="O531" s="284" t="s">
        <v>4720</v>
      </c>
      <c r="P531" s="280">
        <v>3422.73</v>
      </c>
      <c r="Q531" s="289">
        <v>45359</v>
      </c>
      <c r="R531" s="272"/>
      <c r="S531" s="272"/>
      <c r="T531" s="272"/>
      <c r="U531" s="272"/>
      <c r="V531" s="272"/>
      <c r="W531" s="272"/>
      <c r="X531" s="272"/>
      <c r="Y531" s="272"/>
      <c r="Z531" s="272"/>
      <c r="AA531" s="272"/>
    </row>
    <row r="532" spans="1:27">
      <c r="A532" s="273">
        <v>4</v>
      </c>
      <c r="B532" s="274" t="s">
        <v>5421</v>
      </c>
      <c r="C532" s="275">
        <v>45257</v>
      </c>
      <c r="D532" s="274" t="s">
        <v>4714</v>
      </c>
      <c r="E532" s="268" t="s">
        <v>2893</v>
      </c>
      <c r="F532" s="268" t="s">
        <v>4715</v>
      </c>
      <c r="G532" s="268" t="s">
        <v>4716</v>
      </c>
      <c r="H532" s="268" t="str">
        <f t="shared" si="2"/>
        <v>MAR LASSO DE LA VEGA ZAMORA</v>
      </c>
      <c r="I532" s="268" t="s">
        <v>5183</v>
      </c>
      <c r="J532" s="272" t="s">
        <v>4718</v>
      </c>
      <c r="K532" s="268" t="s">
        <v>5536</v>
      </c>
      <c r="L532" s="276">
        <v>45404</v>
      </c>
      <c r="M532" s="283"/>
      <c r="N532" s="282">
        <v>1</v>
      </c>
      <c r="O532" s="284" t="s">
        <v>4720</v>
      </c>
      <c r="P532" s="280">
        <v>2054.5500000000002</v>
      </c>
      <c r="Q532" s="289">
        <v>45257</v>
      </c>
      <c r="R532" s="272"/>
      <c r="S532" s="272"/>
      <c r="T532" s="272"/>
      <c r="U532" s="272"/>
      <c r="V532" s="272"/>
      <c r="W532" s="272"/>
      <c r="X532" s="272"/>
      <c r="Y532" s="272"/>
      <c r="Z532" s="272"/>
      <c r="AA532" s="272"/>
    </row>
    <row r="533" spans="1:27">
      <c r="A533" s="273">
        <v>4</v>
      </c>
      <c r="B533" s="274" t="s">
        <v>5421</v>
      </c>
      <c r="C533" s="275">
        <v>45384</v>
      </c>
      <c r="D533" s="274" t="s">
        <v>4714</v>
      </c>
      <c r="E533" s="268" t="s">
        <v>4775</v>
      </c>
      <c r="F533" s="268" t="s">
        <v>4715</v>
      </c>
      <c r="G533" s="268" t="s">
        <v>4716</v>
      </c>
      <c r="H533" s="268" t="str">
        <f t="shared" si="2"/>
        <v>FRANCISCO JAVIER MOLLA RUDIEZ</v>
      </c>
      <c r="I533" s="268" t="s">
        <v>5537</v>
      </c>
      <c r="J533" s="272" t="s">
        <v>4822</v>
      </c>
      <c r="K533" s="268" t="s">
        <v>5538</v>
      </c>
      <c r="L533" s="276">
        <v>45404</v>
      </c>
      <c r="M533" s="283"/>
      <c r="N533" s="282">
        <v>2</v>
      </c>
      <c r="O533" s="284" t="s">
        <v>4740</v>
      </c>
      <c r="P533" s="280">
        <v>3545.45</v>
      </c>
      <c r="Q533" s="289">
        <v>45384</v>
      </c>
      <c r="R533" s="272"/>
      <c r="S533" s="272"/>
      <c r="T533" s="272"/>
      <c r="U533" s="272"/>
      <c r="V533" s="272"/>
      <c r="W533" s="272"/>
      <c r="X533" s="272"/>
      <c r="Y533" s="272"/>
      <c r="Z533" s="272"/>
      <c r="AA533" s="272"/>
    </row>
    <row r="534" spans="1:27">
      <c r="A534" s="273">
        <v>4</v>
      </c>
      <c r="B534" s="274" t="s">
        <v>5421</v>
      </c>
      <c r="C534" s="275">
        <v>45356</v>
      </c>
      <c r="D534" s="274" t="s">
        <v>4714</v>
      </c>
      <c r="E534" s="268" t="s">
        <v>3043</v>
      </c>
      <c r="F534" s="268" t="s">
        <v>4715</v>
      </c>
      <c r="G534" s="268" t="s">
        <v>4716</v>
      </c>
      <c r="H534" s="268" t="str">
        <f t="shared" si="2"/>
        <v>Alejandro Harguindey Antoli-Candela</v>
      </c>
      <c r="I534" s="268" t="s">
        <v>4802</v>
      </c>
      <c r="J534" s="272" t="s">
        <v>4718</v>
      </c>
      <c r="K534" s="268" t="s">
        <v>5539</v>
      </c>
      <c r="L534" s="276">
        <v>45404</v>
      </c>
      <c r="M534" s="277"/>
      <c r="N534" s="282">
        <v>2</v>
      </c>
      <c r="O534" s="284" t="s">
        <v>4787</v>
      </c>
      <c r="P534" s="280">
        <v>4980.91</v>
      </c>
      <c r="Q534" s="289">
        <v>45356</v>
      </c>
      <c r="R534" s="272"/>
      <c r="S534" s="272"/>
      <c r="T534" s="272"/>
      <c r="U534" s="272"/>
      <c r="V534" s="272"/>
      <c r="W534" s="272"/>
      <c r="X534" s="272"/>
      <c r="Y534" s="272"/>
      <c r="Z534" s="272"/>
      <c r="AA534" s="272"/>
    </row>
    <row r="535" spans="1:27">
      <c r="A535" s="273">
        <v>4</v>
      </c>
      <c r="B535" s="274" t="s">
        <v>5421</v>
      </c>
      <c r="C535" s="275">
        <v>45358</v>
      </c>
      <c r="D535" s="274" t="s">
        <v>4714</v>
      </c>
      <c r="E535" s="268" t="s">
        <v>3193</v>
      </c>
      <c r="F535" s="268" t="s">
        <v>4715</v>
      </c>
      <c r="G535" s="268" t="s">
        <v>4716</v>
      </c>
      <c r="H535" s="268" t="str">
        <f t="shared" si="2"/>
        <v>RICARDO GONZÁLEZ-ORUS</v>
      </c>
      <c r="I535" s="268" t="s">
        <v>5540</v>
      </c>
      <c r="J535" s="272" t="s">
        <v>4718</v>
      </c>
      <c r="K535" s="268" t="s">
        <v>5541</v>
      </c>
      <c r="L535" s="276">
        <v>45404</v>
      </c>
      <c r="M535" s="277"/>
      <c r="N535" s="282">
        <v>2</v>
      </c>
      <c r="O535" s="284" t="s">
        <v>4723</v>
      </c>
      <c r="P535" s="280">
        <v>2780.91</v>
      </c>
      <c r="Q535" s="289">
        <v>45358</v>
      </c>
      <c r="R535" s="272"/>
      <c r="S535" s="272"/>
      <c r="T535" s="272"/>
      <c r="U535" s="272"/>
      <c r="V535" s="272"/>
      <c r="W535" s="272"/>
      <c r="X535" s="272"/>
      <c r="Y535" s="272"/>
      <c r="Z535" s="272"/>
      <c r="AA535" s="272"/>
    </row>
    <row r="536" spans="1:27">
      <c r="A536" s="273">
        <v>4</v>
      </c>
      <c r="B536" s="274" t="s">
        <v>5421</v>
      </c>
      <c r="C536" s="275">
        <v>45337</v>
      </c>
      <c r="D536" s="274" t="s">
        <v>4714</v>
      </c>
      <c r="E536" s="268" t="s">
        <v>4749</v>
      </c>
      <c r="F536" s="268" t="s">
        <v>4715</v>
      </c>
      <c r="G536" s="268" t="s">
        <v>4716</v>
      </c>
      <c r="H536" s="268" t="str">
        <f t="shared" si="2"/>
        <v>JESÚS SAN ROMÁN CARBAJO</v>
      </c>
      <c r="I536" s="268" t="s">
        <v>5542</v>
      </c>
      <c r="J536" s="272" t="s">
        <v>4747</v>
      </c>
      <c r="K536" s="268" t="s">
        <v>5543</v>
      </c>
      <c r="L536" s="276">
        <v>45404</v>
      </c>
      <c r="M536" s="277"/>
      <c r="N536" s="282">
        <v>2</v>
      </c>
      <c r="O536" s="284" t="s">
        <v>4720</v>
      </c>
      <c r="P536" s="280">
        <v>3909.09</v>
      </c>
      <c r="Q536" s="289">
        <v>45337</v>
      </c>
      <c r="R536" s="272"/>
      <c r="S536" s="272"/>
      <c r="T536" s="272"/>
      <c r="U536" s="272"/>
      <c r="V536" s="272"/>
      <c r="W536" s="272"/>
      <c r="X536" s="272"/>
      <c r="Y536" s="272"/>
      <c r="Z536" s="272"/>
      <c r="AA536" s="272"/>
    </row>
    <row r="537" spans="1:27">
      <c r="A537" s="273">
        <v>4</v>
      </c>
      <c r="B537" s="274" t="s">
        <v>5421</v>
      </c>
      <c r="C537" s="275">
        <v>45357</v>
      </c>
      <c r="D537" s="274" t="s">
        <v>4714</v>
      </c>
      <c r="E537" s="268" t="s">
        <v>4749</v>
      </c>
      <c r="F537" s="268" t="s">
        <v>4715</v>
      </c>
      <c r="G537" s="268" t="s">
        <v>4716</v>
      </c>
      <c r="H537" s="268" t="str">
        <f t="shared" si="2"/>
        <v>MÓNICA GRANDA ROSALES</v>
      </c>
      <c r="I537" s="268" t="s">
        <v>4750</v>
      </c>
      <c r="J537" s="272" t="s">
        <v>4747</v>
      </c>
      <c r="K537" s="268" t="s">
        <v>5544</v>
      </c>
      <c r="L537" s="276">
        <v>45404</v>
      </c>
      <c r="M537" s="277"/>
      <c r="N537" s="282">
        <v>2</v>
      </c>
      <c r="O537" s="284" t="s">
        <v>4720</v>
      </c>
      <c r="P537" s="280">
        <v>3909.09</v>
      </c>
      <c r="Q537" s="289">
        <v>45357</v>
      </c>
      <c r="R537" s="272"/>
      <c r="S537" s="272"/>
      <c r="T537" s="272"/>
      <c r="U537" s="272"/>
      <c r="V537" s="272"/>
      <c r="W537" s="272"/>
      <c r="X537" s="272"/>
      <c r="Y537" s="272"/>
      <c r="Z537" s="272"/>
      <c r="AA537" s="272"/>
    </row>
    <row r="538" spans="1:27">
      <c r="A538" s="273">
        <v>4</v>
      </c>
      <c r="B538" s="274" t="s">
        <v>5421</v>
      </c>
      <c r="C538" s="275">
        <v>45372</v>
      </c>
      <c r="D538" s="274" t="s">
        <v>4714</v>
      </c>
      <c r="E538" s="268" t="s">
        <v>2921</v>
      </c>
      <c r="F538" s="268" t="s">
        <v>4715</v>
      </c>
      <c r="G538" s="268" t="s">
        <v>4716</v>
      </c>
      <c r="H538" s="268" t="str">
        <f t="shared" si="2"/>
        <v>JEAN FRANCO INTRAPRENDENTE MARTINI</v>
      </c>
      <c r="I538" s="268" t="s">
        <v>5545</v>
      </c>
      <c r="J538" s="272" t="s">
        <v>4910</v>
      </c>
      <c r="K538" s="268" t="s">
        <v>5546</v>
      </c>
      <c r="L538" s="276">
        <v>45404</v>
      </c>
      <c r="M538" s="277"/>
      <c r="N538" s="282">
        <v>2</v>
      </c>
      <c r="O538" s="284" t="s">
        <v>4720</v>
      </c>
      <c r="P538" s="280">
        <v>3604.55</v>
      </c>
      <c r="Q538" s="289">
        <v>45372</v>
      </c>
      <c r="R538" s="272"/>
      <c r="S538" s="272"/>
      <c r="T538" s="272"/>
      <c r="U538" s="272"/>
      <c r="V538" s="272"/>
      <c r="W538" s="272"/>
      <c r="X538" s="272"/>
      <c r="Y538" s="272"/>
      <c r="Z538" s="272"/>
      <c r="AA538" s="272"/>
    </row>
    <row r="539" spans="1:27">
      <c r="A539" s="273">
        <v>4</v>
      </c>
      <c r="B539" s="274" t="s">
        <v>5421</v>
      </c>
      <c r="C539" s="275">
        <v>45364</v>
      </c>
      <c r="D539" s="274" t="s">
        <v>4714</v>
      </c>
      <c r="E539" s="268" t="s">
        <v>5204</v>
      </c>
      <c r="F539" s="268" t="s">
        <v>4715</v>
      </c>
      <c r="G539" s="268" t="s">
        <v>4716</v>
      </c>
      <c r="H539" s="268" t="str">
        <f t="shared" si="2"/>
        <v>ENRIQUE ROMERO VAN ABELEEN</v>
      </c>
      <c r="I539" s="268" t="s">
        <v>5547</v>
      </c>
      <c r="J539" s="272" t="s">
        <v>4806</v>
      </c>
      <c r="K539" s="268" t="s">
        <v>5548</v>
      </c>
      <c r="L539" s="276">
        <v>45404</v>
      </c>
      <c r="M539" s="277"/>
      <c r="N539" s="282">
        <v>2</v>
      </c>
      <c r="O539" s="284" t="s">
        <v>4740</v>
      </c>
      <c r="P539" s="280">
        <v>4222.7299999999996</v>
      </c>
      <c r="Q539" s="289">
        <v>45364</v>
      </c>
      <c r="R539" s="272"/>
      <c r="S539" s="272"/>
      <c r="T539" s="272"/>
      <c r="U539" s="272"/>
      <c r="V539" s="272"/>
      <c r="W539" s="272"/>
      <c r="X539" s="272"/>
      <c r="Y539" s="272"/>
      <c r="Z539" s="272"/>
      <c r="AA539" s="272"/>
    </row>
    <row r="540" spans="1:27">
      <c r="A540" s="273">
        <v>4</v>
      </c>
      <c r="B540" s="274" t="s">
        <v>5421</v>
      </c>
      <c r="C540" s="275">
        <v>45371</v>
      </c>
      <c r="D540" s="274" t="s">
        <v>4714</v>
      </c>
      <c r="E540" s="268" t="s">
        <v>2863</v>
      </c>
      <c r="F540" s="268" t="s">
        <v>4715</v>
      </c>
      <c r="G540" s="268" t="s">
        <v>4716</v>
      </c>
      <c r="H540" s="268" t="str">
        <f t="shared" si="2"/>
        <v>JAVIER GARCÍA-DUEÑAS GONZÁLEZ</v>
      </c>
      <c r="I540" s="268" t="s">
        <v>5396</v>
      </c>
      <c r="J540" s="272" t="s">
        <v>4736</v>
      </c>
      <c r="K540" s="268" t="s">
        <v>5549</v>
      </c>
      <c r="L540" s="276">
        <v>45405</v>
      </c>
      <c r="M540" s="277"/>
      <c r="N540" s="282">
        <v>2</v>
      </c>
      <c r="O540" s="284" t="s">
        <v>4740</v>
      </c>
      <c r="P540" s="280">
        <v>4222.7299999999996</v>
      </c>
      <c r="Q540" s="289">
        <v>45371</v>
      </c>
      <c r="R540" s="272"/>
      <c r="S540" s="272"/>
      <c r="T540" s="272"/>
      <c r="U540" s="272"/>
      <c r="V540" s="272"/>
      <c r="W540" s="272"/>
      <c r="X540" s="272"/>
      <c r="Y540" s="272"/>
      <c r="Z540" s="272"/>
      <c r="AA540" s="272"/>
    </row>
    <row r="541" spans="1:27">
      <c r="A541" s="273">
        <v>4</v>
      </c>
      <c r="B541" s="274" t="s">
        <v>5421</v>
      </c>
      <c r="C541" s="275">
        <v>45384</v>
      </c>
      <c r="D541" s="274" t="s">
        <v>4714</v>
      </c>
      <c r="E541" s="268" t="s">
        <v>4734</v>
      </c>
      <c r="F541" s="268" t="s">
        <v>4715</v>
      </c>
      <c r="G541" s="268" t="s">
        <v>4716</v>
      </c>
      <c r="H541" s="268" t="str">
        <f t="shared" si="2"/>
        <v>ISABEL POLO TOMÁS</v>
      </c>
      <c r="I541" s="268" t="s">
        <v>4912</v>
      </c>
      <c r="J541" s="272" t="s">
        <v>4736</v>
      </c>
      <c r="K541" s="268" t="s">
        <v>5550</v>
      </c>
      <c r="L541" s="276">
        <v>45405</v>
      </c>
      <c r="M541" s="277"/>
      <c r="N541" s="282">
        <v>2</v>
      </c>
      <c r="O541" s="284" t="s">
        <v>4720</v>
      </c>
      <c r="P541" s="280">
        <v>3604.55</v>
      </c>
      <c r="Q541" s="289">
        <v>45384</v>
      </c>
      <c r="R541" s="272"/>
      <c r="S541" s="272"/>
      <c r="T541" s="272"/>
      <c r="U541" s="272"/>
      <c r="V541" s="272"/>
      <c r="W541" s="272"/>
      <c r="X541" s="272"/>
      <c r="Y541" s="272"/>
      <c r="Z541" s="272"/>
      <c r="AA541" s="272"/>
    </row>
    <row r="542" spans="1:27">
      <c r="A542" s="273">
        <v>4</v>
      </c>
      <c r="B542" s="274" t="s">
        <v>5421</v>
      </c>
      <c r="C542" s="275">
        <v>45356</v>
      </c>
      <c r="D542" s="274" t="s">
        <v>4714</v>
      </c>
      <c r="E542" s="268" t="s">
        <v>3218</v>
      </c>
      <c r="F542" s="268" t="s">
        <v>4715</v>
      </c>
      <c r="G542" s="268" t="s">
        <v>4716</v>
      </c>
      <c r="H542" s="268" t="str">
        <f t="shared" si="2"/>
        <v>GABRIEL PEDRMONTE SARRIAS</v>
      </c>
      <c r="I542" s="268" t="s">
        <v>5551</v>
      </c>
      <c r="J542" s="268" t="s">
        <v>4806</v>
      </c>
      <c r="K542" s="268" t="s">
        <v>5552</v>
      </c>
      <c r="L542" s="276">
        <v>45405</v>
      </c>
      <c r="M542" s="277"/>
      <c r="N542" s="282">
        <v>2</v>
      </c>
      <c r="O542" s="284" t="s">
        <v>4723</v>
      </c>
      <c r="P542" s="280">
        <v>2780.91</v>
      </c>
      <c r="Q542" s="289">
        <v>45356</v>
      </c>
      <c r="R542" s="272"/>
      <c r="S542" s="272"/>
      <c r="T542" s="272"/>
      <c r="U542" s="272"/>
      <c r="V542" s="272"/>
      <c r="W542" s="272"/>
      <c r="X542" s="272"/>
      <c r="Y542" s="272"/>
      <c r="Z542" s="272"/>
      <c r="AA542" s="272"/>
    </row>
    <row r="543" spans="1:27">
      <c r="A543" s="273">
        <v>4</v>
      </c>
      <c r="B543" s="274" t="s">
        <v>5421</v>
      </c>
      <c r="C543" s="275">
        <v>45384</v>
      </c>
      <c r="D543" s="274" t="s">
        <v>4714</v>
      </c>
      <c r="E543" s="268" t="s">
        <v>4878</v>
      </c>
      <c r="F543" s="268" t="s">
        <v>4715</v>
      </c>
      <c r="G543" s="268" t="s">
        <v>4716</v>
      </c>
      <c r="H543" s="268" t="str">
        <f t="shared" si="2"/>
        <v>ISABEL VAAMONDE SANCHEZ ANDRADE</v>
      </c>
      <c r="I543" s="268" t="s">
        <v>5088</v>
      </c>
      <c r="J543" s="272" t="s">
        <v>4790</v>
      </c>
      <c r="K543" s="268" t="s">
        <v>5553</v>
      </c>
      <c r="L543" s="276">
        <v>45405</v>
      </c>
      <c r="M543" s="277"/>
      <c r="N543" s="282">
        <v>2</v>
      </c>
      <c r="O543" s="284" t="s">
        <v>4792</v>
      </c>
      <c r="P543" s="280">
        <v>890.91</v>
      </c>
      <c r="Q543" s="289">
        <v>45384</v>
      </c>
      <c r="R543" s="272"/>
      <c r="S543" s="272"/>
      <c r="T543" s="272"/>
      <c r="U543" s="272"/>
      <c r="V543" s="272"/>
      <c r="W543" s="272"/>
      <c r="X543" s="272"/>
      <c r="Y543" s="272"/>
      <c r="Z543" s="272"/>
      <c r="AA543" s="272"/>
    </row>
    <row r="544" spans="1:27">
      <c r="A544" s="273">
        <v>4</v>
      </c>
      <c r="B544" s="274" t="s">
        <v>5421</v>
      </c>
      <c r="C544" s="275">
        <v>45387</v>
      </c>
      <c r="D544" s="285" t="s">
        <v>4714</v>
      </c>
      <c r="E544" s="268" t="s">
        <v>3861</v>
      </c>
      <c r="F544" s="268" t="s">
        <v>4715</v>
      </c>
      <c r="G544" s="268" t="s">
        <v>4716</v>
      </c>
      <c r="H544" s="268" t="str">
        <f t="shared" si="2"/>
        <v>JOSÉ GUSTAVO BARROSO BRAOJOS</v>
      </c>
      <c r="I544" s="268" t="s">
        <v>4834</v>
      </c>
      <c r="J544" s="268" t="s">
        <v>4718</v>
      </c>
      <c r="K544" s="268" t="s">
        <v>5554</v>
      </c>
      <c r="L544" s="276">
        <v>45405</v>
      </c>
      <c r="M544" s="277"/>
      <c r="N544" s="282">
        <v>2</v>
      </c>
      <c r="O544" s="284" t="s">
        <v>4720</v>
      </c>
      <c r="P544" s="280">
        <v>3604.55</v>
      </c>
      <c r="Q544" s="289">
        <v>45387</v>
      </c>
      <c r="R544" s="272"/>
      <c r="S544" s="272"/>
      <c r="T544" s="272"/>
      <c r="U544" s="272"/>
      <c r="V544" s="272"/>
      <c r="W544" s="272"/>
      <c r="X544" s="272"/>
      <c r="Y544" s="272"/>
      <c r="Z544" s="272"/>
      <c r="AA544" s="272"/>
    </row>
    <row r="545" spans="1:27">
      <c r="A545" s="273">
        <v>4</v>
      </c>
      <c r="B545" s="274" t="s">
        <v>5421</v>
      </c>
      <c r="C545" s="275">
        <v>45345</v>
      </c>
      <c r="D545" s="274" t="s">
        <v>4714</v>
      </c>
      <c r="E545" s="268" t="s">
        <v>3043</v>
      </c>
      <c r="F545" s="268" t="s">
        <v>4715</v>
      </c>
      <c r="G545" s="268" t="s">
        <v>4716</v>
      </c>
      <c r="H545" s="268" t="str">
        <f t="shared" si="2"/>
        <v>ALICIA SUÁREZ CALVO</v>
      </c>
      <c r="I545" s="268" t="s">
        <v>5555</v>
      </c>
      <c r="J545" s="272" t="s">
        <v>4822</v>
      </c>
      <c r="K545" s="268" t="s">
        <v>5556</v>
      </c>
      <c r="L545" s="276">
        <v>45405</v>
      </c>
      <c r="M545" s="277"/>
      <c r="N545" s="282">
        <v>2</v>
      </c>
      <c r="O545" s="284" t="s">
        <v>4723</v>
      </c>
      <c r="P545" s="280">
        <v>2780.91</v>
      </c>
      <c r="Q545" s="289">
        <v>45345</v>
      </c>
      <c r="R545" s="272"/>
      <c r="S545" s="272"/>
      <c r="T545" s="272"/>
      <c r="U545" s="272"/>
      <c r="V545" s="272"/>
      <c r="W545" s="272"/>
      <c r="X545" s="272"/>
      <c r="Y545" s="272"/>
      <c r="Z545" s="272"/>
      <c r="AA545" s="272"/>
    </row>
    <row r="546" spans="1:27">
      <c r="A546" s="273">
        <v>4</v>
      </c>
      <c r="B546" s="274" t="s">
        <v>5421</v>
      </c>
      <c r="C546" s="275">
        <v>45373</v>
      </c>
      <c r="D546" s="285" t="s">
        <v>4714</v>
      </c>
      <c r="E546" s="268" t="s">
        <v>2869</v>
      </c>
      <c r="F546" s="268" t="s">
        <v>4715</v>
      </c>
      <c r="G546" s="268" t="s">
        <v>4716</v>
      </c>
      <c r="H546" s="268" t="str">
        <f t="shared" si="2"/>
        <v>MARÍA AGUSTINA SEVILLA GARCÍA</v>
      </c>
      <c r="I546" s="268" t="s">
        <v>4812</v>
      </c>
      <c r="J546" s="268" t="s">
        <v>4736</v>
      </c>
      <c r="K546" s="268" t="s">
        <v>5557</v>
      </c>
      <c r="L546" s="276">
        <v>45405</v>
      </c>
      <c r="M546" s="277"/>
      <c r="N546" s="282">
        <v>2</v>
      </c>
      <c r="O546" s="284" t="s">
        <v>4723</v>
      </c>
      <c r="P546" s="280">
        <v>2780.91</v>
      </c>
      <c r="Q546" s="289">
        <v>45373</v>
      </c>
      <c r="R546" s="272"/>
      <c r="S546" s="272"/>
      <c r="T546" s="272"/>
      <c r="U546" s="272"/>
      <c r="V546" s="272"/>
      <c r="W546" s="272"/>
      <c r="X546" s="272"/>
      <c r="Y546" s="272"/>
      <c r="Z546" s="272"/>
      <c r="AA546" s="272"/>
    </row>
    <row r="547" spans="1:27">
      <c r="A547" s="273">
        <v>4</v>
      </c>
      <c r="B547" s="274" t="s">
        <v>5421</v>
      </c>
      <c r="C547" s="275">
        <v>45370</v>
      </c>
      <c r="D547" s="274" t="s">
        <v>4714</v>
      </c>
      <c r="E547" s="268" t="s">
        <v>2972</v>
      </c>
      <c r="F547" s="268" t="s">
        <v>4715</v>
      </c>
      <c r="G547" s="268" t="s">
        <v>4716</v>
      </c>
      <c r="H547" s="268" t="str">
        <f t="shared" si="2"/>
        <v>AINHOA MORENO BRAVO</v>
      </c>
      <c r="I547" s="268" t="s">
        <v>5015</v>
      </c>
      <c r="J547" s="272" t="s">
        <v>4822</v>
      </c>
      <c r="K547" s="268" t="s">
        <v>5558</v>
      </c>
      <c r="L547" s="276">
        <v>45405</v>
      </c>
      <c r="M547" s="277"/>
      <c r="N547" s="282">
        <v>2</v>
      </c>
      <c r="O547" s="284" t="s">
        <v>4720</v>
      </c>
      <c r="P547" s="280">
        <v>3424.33</v>
      </c>
      <c r="Q547" s="289">
        <v>45370</v>
      </c>
      <c r="R547" s="272"/>
      <c r="S547" s="272"/>
      <c r="T547" s="272"/>
      <c r="U547" s="272"/>
      <c r="V547" s="272"/>
      <c r="W547" s="272"/>
      <c r="X547" s="272"/>
      <c r="Y547" s="272"/>
      <c r="Z547" s="272"/>
      <c r="AA547" s="272"/>
    </row>
    <row r="548" spans="1:27">
      <c r="A548" s="273">
        <v>4</v>
      </c>
      <c r="B548" s="274" t="s">
        <v>5421</v>
      </c>
      <c r="C548" s="275">
        <v>45383</v>
      </c>
      <c r="D548" s="274" t="s">
        <v>4714</v>
      </c>
      <c r="E548" s="268" t="s">
        <v>2886</v>
      </c>
      <c r="F548" s="268" t="s">
        <v>4715</v>
      </c>
      <c r="G548" s="268" t="s">
        <v>4716</v>
      </c>
      <c r="H548" s="268" t="str">
        <f t="shared" si="2"/>
        <v>STEPHANY RODRÍGUEZ MATA</v>
      </c>
      <c r="I548" s="268" t="s">
        <v>5336</v>
      </c>
      <c r="J548" s="272" t="s">
        <v>4718</v>
      </c>
      <c r="K548" s="268" t="s">
        <v>5559</v>
      </c>
      <c r="L548" s="276">
        <v>45405</v>
      </c>
      <c r="M548" s="277"/>
      <c r="N548" s="282">
        <v>2</v>
      </c>
      <c r="O548" s="284" t="s">
        <v>4723</v>
      </c>
      <c r="P548" s="280">
        <v>2780.91</v>
      </c>
      <c r="Q548" s="289">
        <v>45383</v>
      </c>
      <c r="R548" s="272"/>
      <c r="S548" s="272"/>
      <c r="T548" s="272"/>
      <c r="U548" s="272"/>
      <c r="V548" s="272"/>
      <c r="W548" s="272"/>
      <c r="X548" s="272"/>
      <c r="Y548" s="272"/>
      <c r="Z548" s="272"/>
      <c r="AA548" s="272"/>
    </row>
    <row r="549" spans="1:27">
      <c r="A549" s="273">
        <v>4</v>
      </c>
      <c r="B549" s="274" t="s">
        <v>5421</v>
      </c>
      <c r="C549" s="275">
        <v>45372</v>
      </c>
      <c r="D549" s="274" t="s">
        <v>4714</v>
      </c>
      <c r="E549" s="268" t="s">
        <v>4734</v>
      </c>
      <c r="F549" s="268" t="s">
        <v>4715</v>
      </c>
      <c r="G549" s="268" t="s">
        <v>4716</v>
      </c>
      <c r="H549" s="268" t="str">
        <f t="shared" si="2"/>
        <v>CARLOS VELÁSQUEZ FERMÍN</v>
      </c>
      <c r="I549" s="268" t="s">
        <v>5105</v>
      </c>
      <c r="J549" s="272" t="s">
        <v>4736</v>
      </c>
      <c r="K549" s="268" t="s">
        <v>5560</v>
      </c>
      <c r="L549" s="276">
        <v>45406</v>
      </c>
      <c r="M549" s="283"/>
      <c r="N549" s="282">
        <v>1</v>
      </c>
      <c r="O549" s="284" t="s">
        <v>4720</v>
      </c>
      <c r="P549" s="280">
        <v>2162.73</v>
      </c>
      <c r="Q549" s="289">
        <v>45372</v>
      </c>
      <c r="R549" s="272"/>
      <c r="S549" s="272"/>
      <c r="T549" s="272"/>
      <c r="U549" s="272"/>
      <c r="V549" s="272"/>
      <c r="W549" s="272"/>
      <c r="X549" s="272"/>
      <c r="Y549" s="272"/>
      <c r="Z549" s="272"/>
      <c r="AA549" s="272"/>
    </row>
    <row r="550" spans="1:27">
      <c r="A550" s="273">
        <v>4</v>
      </c>
      <c r="B550" s="274" t="s">
        <v>5421</v>
      </c>
      <c r="C550" s="275">
        <v>45370</v>
      </c>
      <c r="D550" s="274" t="s">
        <v>4714</v>
      </c>
      <c r="E550" s="268" t="s">
        <v>3480</v>
      </c>
      <c r="F550" s="268" t="s">
        <v>4715</v>
      </c>
      <c r="G550" s="268" t="s">
        <v>4716</v>
      </c>
      <c r="H550" s="268" t="str">
        <f t="shared" si="2"/>
        <v>ADRIANA PARDO MAZA</v>
      </c>
      <c r="I550" s="268" t="s">
        <v>5561</v>
      </c>
      <c r="J550" s="272" t="s">
        <v>4718</v>
      </c>
      <c r="K550" s="268" t="s">
        <v>5562</v>
      </c>
      <c r="L550" s="276">
        <v>45406</v>
      </c>
      <c r="M550" s="283"/>
      <c r="N550" s="282">
        <v>2</v>
      </c>
      <c r="O550" s="284" t="s">
        <v>4720</v>
      </c>
      <c r="P550" s="280">
        <v>3711.82</v>
      </c>
      <c r="Q550" s="289">
        <v>45370</v>
      </c>
      <c r="R550" s="272"/>
      <c r="S550" s="272"/>
      <c r="T550" s="272"/>
      <c r="U550" s="272"/>
      <c r="V550" s="272"/>
      <c r="W550" s="272"/>
      <c r="X550" s="272"/>
      <c r="Y550" s="272"/>
      <c r="Z550" s="272"/>
      <c r="AA550" s="272"/>
    </row>
    <row r="551" spans="1:27">
      <c r="A551" s="273">
        <v>4</v>
      </c>
      <c r="B551" s="274" t="s">
        <v>5421</v>
      </c>
      <c r="C551" s="275">
        <v>45387</v>
      </c>
      <c r="D551" s="274" t="s">
        <v>4714</v>
      </c>
      <c r="E551" s="268" t="s">
        <v>2893</v>
      </c>
      <c r="F551" s="268" t="s">
        <v>4715</v>
      </c>
      <c r="G551" s="268" t="s">
        <v>4716</v>
      </c>
      <c r="H551" s="268" t="str">
        <f t="shared" si="2"/>
        <v>MAR LASSO DE LA VEGA ZAMORA</v>
      </c>
      <c r="I551" s="268" t="s">
        <v>5183</v>
      </c>
      <c r="J551" s="272" t="s">
        <v>4718</v>
      </c>
      <c r="K551" s="268" t="s">
        <v>5563</v>
      </c>
      <c r="L551" s="276">
        <v>45406</v>
      </c>
      <c r="M551" s="283"/>
      <c r="N551" s="282">
        <v>2</v>
      </c>
      <c r="O551" s="284" t="s">
        <v>4720</v>
      </c>
      <c r="P551" s="280">
        <v>3604.55</v>
      </c>
      <c r="Q551" s="289">
        <v>45387</v>
      </c>
      <c r="R551" s="272"/>
      <c r="S551" s="272"/>
      <c r="T551" s="272"/>
      <c r="U551" s="272"/>
      <c r="V551" s="272"/>
      <c r="W551" s="272"/>
      <c r="X551" s="272"/>
      <c r="Y551" s="272"/>
      <c r="Z551" s="272"/>
      <c r="AA551" s="272"/>
    </row>
    <row r="552" spans="1:27">
      <c r="A552" s="273">
        <v>4</v>
      </c>
      <c r="B552" s="274" t="s">
        <v>5421</v>
      </c>
      <c r="C552" s="275">
        <v>45384</v>
      </c>
      <c r="D552" s="274" t="s">
        <v>4714</v>
      </c>
      <c r="E552" s="296" t="s">
        <v>2893</v>
      </c>
      <c r="F552" s="296" t="s">
        <v>4715</v>
      </c>
      <c r="G552" s="296" t="s">
        <v>4716</v>
      </c>
      <c r="H552" s="268" t="str">
        <f t="shared" si="2"/>
        <v>ANA RUIZ FORNELLS NOREÑA</v>
      </c>
      <c r="I552" s="296" t="s">
        <v>5110</v>
      </c>
      <c r="J552" s="272" t="s">
        <v>4718</v>
      </c>
      <c r="K552" s="296" t="s">
        <v>5564</v>
      </c>
      <c r="L552" s="297">
        <v>45406</v>
      </c>
      <c r="M552" s="298"/>
      <c r="N552" s="299">
        <v>2</v>
      </c>
      <c r="O552" s="300" t="s">
        <v>4740</v>
      </c>
      <c r="P552" s="301">
        <v>4222.7299999999996</v>
      </c>
      <c r="Q552" s="289">
        <v>45384</v>
      </c>
      <c r="R552" s="272"/>
      <c r="S552" s="272"/>
      <c r="T552" s="272"/>
      <c r="U552" s="272"/>
      <c r="V552" s="272"/>
      <c r="W552" s="272"/>
      <c r="X552" s="272"/>
      <c r="Y552" s="272"/>
      <c r="Z552" s="272"/>
      <c r="AA552" s="272"/>
    </row>
    <row r="553" spans="1:27">
      <c r="A553" s="273">
        <v>4</v>
      </c>
      <c r="B553" s="274" t="s">
        <v>5421</v>
      </c>
      <c r="C553" s="275">
        <v>44525</v>
      </c>
      <c r="D553" s="274" t="s">
        <v>4714</v>
      </c>
      <c r="E553" s="268" t="s">
        <v>2929</v>
      </c>
      <c r="F553" s="268" t="s">
        <v>4715</v>
      </c>
      <c r="G553" s="268" t="s">
        <v>4716</v>
      </c>
      <c r="H553" s="268" t="str">
        <f t="shared" si="2"/>
        <v>CARLOS BARAJAS DEL ROSAL</v>
      </c>
      <c r="I553" s="268" t="s">
        <v>4934</v>
      </c>
      <c r="J553" s="272" t="s">
        <v>4822</v>
      </c>
      <c r="K553" s="268" t="s">
        <v>5565</v>
      </c>
      <c r="L553" s="276">
        <v>45406</v>
      </c>
      <c r="M553" s="277"/>
      <c r="N553" s="282">
        <v>1</v>
      </c>
      <c r="O553" s="284" t="s">
        <v>4740</v>
      </c>
      <c r="P553" s="280">
        <v>2263.64</v>
      </c>
      <c r="Q553" s="289">
        <v>44525</v>
      </c>
      <c r="R553" s="272"/>
      <c r="S553" s="272"/>
      <c r="T553" s="272"/>
      <c r="U553" s="272"/>
      <c r="V553" s="272"/>
      <c r="W553" s="272"/>
      <c r="X553" s="272"/>
      <c r="Y553" s="272"/>
      <c r="Z553" s="272"/>
      <c r="AA553" s="272"/>
    </row>
    <row r="554" spans="1:27">
      <c r="A554" s="273">
        <v>4</v>
      </c>
      <c r="B554" s="274" t="s">
        <v>5421</v>
      </c>
      <c r="C554" s="275">
        <v>45349</v>
      </c>
      <c r="D554" s="274" t="s">
        <v>4714</v>
      </c>
      <c r="E554" s="268" t="s">
        <v>2929</v>
      </c>
      <c r="F554" s="268" t="s">
        <v>4715</v>
      </c>
      <c r="G554" s="268" t="s">
        <v>4716</v>
      </c>
      <c r="H554" s="268" t="str">
        <f t="shared" si="2"/>
        <v>GUILLERMO SAN JUAN DE LA MORETA</v>
      </c>
      <c r="I554" s="268" t="s">
        <v>5100</v>
      </c>
      <c r="J554" s="272" t="s">
        <v>4718</v>
      </c>
      <c r="K554" s="268" t="s">
        <v>5566</v>
      </c>
      <c r="L554" s="276">
        <v>45406</v>
      </c>
      <c r="M554" s="277"/>
      <c r="N554" s="282">
        <v>2</v>
      </c>
      <c r="O554" s="284" t="s">
        <v>4740</v>
      </c>
      <c r="P554" s="280">
        <v>4222.7299999999996</v>
      </c>
      <c r="Q554" s="289">
        <v>45349</v>
      </c>
      <c r="R554" s="272"/>
      <c r="S554" s="272"/>
      <c r="T554" s="272"/>
      <c r="U554" s="272"/>
      <c r="V554" s="272"/>
      <c r="W554" s="272"/>
      <c r="X554" s="272"/>
      <c r="Y554" s="272"/>
      <c r="Z554" s="272"/>
      <c r="AA554" s="272"/>
    </row>
    <row r="555" spans="1:27">
      <c r="A555" s="273">
        <v>4</v>
      </c>
      <c r="B555" s="274" t="s">
        <v>5421</v>
      </c>
      <c r="C555" s="275">
        <v>45322</v>
      </c>
      <c r="D555" s="274" t="s">
        <v>4714</v>
      </c>
      <c r="E555" s="268" t="s">
        <v>3605</v>
      </c>
      <c r="F555" s="268" t="s">
        <v>4715</v>
      </c>
      <c r="G555" s="268" t="s">
        <v>4716</v>
      </c>
      <c r="H555" s="268" t="str">
        <f t="shared" si="2"/>
        <v>IGNACIO ARISTEGUI TORRANO</v>
      </c>
      <c r="I555" s="268" t="s">
        <v>5567</v>
      </c>
      <c r="J555" s="272" t="s">
        <v>4718</v>
      </c>
      <c r="K555" s="268" t="s">
        <v>5568</v>
      </c>
      <c r="L555" s="276">
        <v>45406</v>
      </c>
      <c r="M555" s="283"/>
      <c r="N555" s="282">
        <v>2</v>
      </c>
      <c r="O555" s="284" t="s">
        <v>4720</v>
      </c>
      <c r="P555" s="280">
        <v>3604.55</v>
      </c>
      <c r="Q555" s="289">
        <v>45322</v>
      </c>
      <c r="R555" s="272"/>
      <c r="S555" s="272"/>
      <c r="T555" s="272"/>
      <c r="U555" s="272"/>
      <c r="V555" s="272"/>
      <c r="W555" s="272"/>
      <c r="X555" s="272"/>
      <c r="Y555" s="272"/>
      <c r="Z555" s="272"/>
      <c r="AA555" s="272"/>
    </row>
    <row r="556" spans="1:27">
      <c r="A556" s="273">
        <v>4</v>
      </c>
      <c r="B556" s="274" t="s">
        <v>5421</v>
      </c>
      <c r="C556" s="275">
        <v>45366</v>
      </c>
      <c r="D556" s="274" t="s">
        <v>4714</v>
      </c>
      <c r="E556" s="268" t="s">
        <v>2873</v>
      </c>
      <c r="F556" s="268" t="s">
        <v>4715</v>
      </c>
      <c r="G556" s="268" t="s">
        <v>4716</v>
      </c>
      <c r="H556" s="268" t="str">
        <f t="shared" si="2"/>
        <v>JUAN JAVIER ÁLVAREZ LÓPEZ</v>
      </c>
      <c r="I556" s="268" t="s">
        <v>4938</v>
      </c>
      <c r="J556" s="272" t="s">
        <v>4736</v>
      </c>
      <c r="K556" s="268" t="s">
        <v>5569</v>
      </c>
      <c r="L556" s="276">
        <v>45406</v>
      </c>
      <c r="M556" s="283"/>
      <c r="N556" s="282">
        <v>1</v>
      </c>
      <c r="O556" s="284" t="s">
        <v>4723</v>
      </c>
      <c r="P556" s="280">
        <v>1668.18</v>
      </c>
      <c r="Q556" s="289">
        <v>45366</v>
      </c>
      <c r="R556" s="272"/>
      <c r="S556" s="272"/>
      <c r="T556" s="272"/>
      <c r="U556" s="272"/>
      <c r="V556" s="272"/>
      <c r="W556" s="272"/>
      <c r="X556" s="272"/>
      <c r="Y556" s="272"/>
      <c r="Z556" s="272"/>
      <c r="AA556" s="272"/>
    </row>
    <row r="557" spans="1:27">
      <c r="A557" s="273">
        <v>4</v>
      </c>
      <c r="B557" s="274" t="s">
        <v>5421</v>
      </c>
      <c r="C557" s="275">
        <v>45314</v>
      </c>
      <c r="D557" s="274" t="s">
        <v>4714</v>
      </c>
      <c r="E557" s="268" t="s">
        <v>4749</v>
      </c>
      <c r="F557" s="268" t="s">
        <v>4715</v>
      </c>
      <c r="G557" s="268" t="s">
        <v>4716</v>
      </c>
      <c r="H557" s="268" t="str">
        <f t="shared" si="2"/>
        <v>XENIA MOTA ROJAS</v>
      </c>
      <c r="I557" s="268" t="s">
        <v>5351</v>
      </c>
      <c r="J557" s="272" t="s">
        <v>4747</v>
      </c>
      <c r="K557" s="268" t="s">
        <v>5570</v>
      </c>
      <c r="L557" s="276">
        <v>45406</v>
      </c>
      <c r="M557" s="283"/>
      <c r="N557" s="282">
        <v>1</v>
      </c>
      <c r="O557" s="284" t="s">
        <v>4723</v>
      </c>
      <c r="P557" s="280">
        <v>1590.91</v>
      </c>
      <c r="Q557" s="289">
        <v>45314</v>
      </c>
      <c r="R557" s="272"/>
      <c r="S557" s="272"/>
      <c r="T557" s="272"/>
      <c r="U557" s="272"/>
      <c r="V557" s="272"/>
      <c r="W557" s="272"/>
      <c r="X557" s="272"/>
      <c r="Y557" s="272"/>
      <c r="Z557" s="272"/>
      <c r="AA557" s="272"/>
    </row>
    <row r="558" spans="1:27">
      <c r="A558" s="273">
        <v>4</v>
      </c>
      <c r="B558" s="274" t="s">
        <v>5421</v>
      </c>
      <c r="C558" s="275">
        <v>45372</v>
      </c>
      <c r="D558" s="274" t="s">
        <v>4714</v>
      </c>
      <c r="E558" s="268" t="s">
        <v>3011</v>
      </c>
      <c r="F558" s="268" t="s">
        <v>4715</v>
      </c>
      <c r="G558" s="268" t="s">
        <v>4716</v>
      </c>
      <c r="H558" s="268" t="str">
        <f t="shared" si="2"/>
        <v>FRANCISCO ALÉS CONEJO</v>
      </c>
      <c r="I558" s="268" t="s">
        <v>5271</v>
      </c>
      <c r="J558" s="272" t="s">
        <v>4729</v>
      </c>
      <c r="K558" s="268" t="s">
        <v>5571</v>
      </c>
      <c r="L558" s="276">
        <v>45406</v>
      </c>
      <c r="M558" s="277"/>
      <c r="N558" s="282">
        <v>1</v>
      </c>
      <c r="O558" s="284" t="s">
        <v>4720</v>
      </c>
      <c r="P558" s="280">
        <v>2140.91</v>
      </c>
      <c r="Q558" s="289">
        <v>45372</v>
      </c>
      <c r="R558" s="272"/>
      <c r="S558" s="272"/>
      <c r="T558" s="272"/>
      <c r="U558" s="272"/>
      <c r="V558" s="272"/>
      <c r="W558" s="272"/>
      <c r="X558" s="272"/>
      <c r="Y558" s="272"/>
      <c r="Z558" s="272"/>
      <c r="AA558" s="272"/>
    </row>
    <row r="559" spans="1:27">
      <c r="A559" s="273">
        <v>4</v>
      </c>
      <c r="B559" s="274" t="s">
        <v>5421</v>
      </c>
      <c r="C559" s="275">
        <v>45372</v>
      </c>
      <c r="D559" s="274" t="s">
        <v>4714</v>
      </c>
      <c r="E559" s="268" t="s">
        <v>4734</v>
      </c>
      <c r="F559" s="268" t="s">
        <v>4715</v>
      </c>
      <c r="G559" s="268" t="s">
        <v>4716</v>
      </c>
      <c r="H559" s="268" t="str">
        <f t="shared" si="2"/>
        <v>JOSÉ MARÍA LABORDA MARGOLLES</v>
      </c>
      <c r="I559" s="268" t="s">
        <v>5572</v>
      </c>
      <c r="J559" s="268" t="s">
        <v>4736</v>
      </c>
      <c r="K559" s="268" t="s">
        <v>5573</v>
      </c>
      <c r="L559" s="276">
        <v>45407</v>
      </c>
      <c r="M559" s="283"/>
      <c r="N559" s="282">
        <v>1</v>
      </c>
      <c r="O559" s="284" t="s">
        <v>4720</v>
      </c>
      <c r="P559" s="280">
        <v>2162.73</v>
      </c>
      <c r="Q559" s="289">
        <v>45372</v>
      </c>
      <c r="R559" s="272"/>
      <c r="S559" s="272"/>
      <c r="T559" s="272"/>
      <c r="U559" s="272"/>
      <c r="V559" s="272"/>
      <c r="W559" s="272"/>
      <c r="X559" s="272"/>
      <c r="Y559" s="272"/>
      <c r="Z559" s="272"/>
      <c r="AA559" s="272"/>
    </row>
    <row r="560" spans="1:27">
      <c r="A560" s="273">
        <v>4</v>
      </c>
      <c r="B560" s="274" t="s">
        <v>5421</v>
      </c>
      <c r="C560" s="275">
        <v>45373</v>
      </c>
      <c r="D560" s="274" t="s">
        <v>4714</v>
      </c>
      <c r="E560" s="268" t="s">
        <v>3480</v>
      </c>
      <c r="F560" s="268" t="s">
        <v>4715</v>
      </c>
      <c r="G560" s="268" t="s">
        <v>4716</v>
      </c>
      <c r="H560" s="268" t="str">
        <f t="shared" si="2"/>
        <v>NO REUERDA ORL</v>
      </c>
      <c r="I560" s="268" t="s">
        <v>4743</v>
      </c>
      <c r="J560" s="268" t="s">
        <v>4718</v>
      </c>
      <c r="K560" s="268" t="s">
        <v>5574</v>
      </c>
      <c r="L560" s="276">
        <v>45407</v>
      </c>
      <c r="M560" s="283"/>
      <c r="N560" s="282">
        <v>1</v>
      </c>
      <c r="O560" s="284" t="s">
        <v>4720</v>
      </c>
      <c r="P560" s="280">
        <v>2162.73</v>
      </c>
      <c r="Q560" s="289">
        <v>45373</v>
      </c>
      <c r="R560" s="272"/>
      <c r="S560" s="272"/>
      <c r="T560" s="272"/>
      <c r="U560" s="272"/>
      <c r="V560" s="272"/>
      <c r="W560" s="272"/>
      <c r="X560" s="272"/>
      <c r="Y560" s="272"/>
      <c r="Z560" s="272"/>
      <c r="AA560" s="272"/>
    </row>
    <row r="561" spans="1:27">
      <c r="A561" s="273">
        <v>4</v>
      </c>
      <c r="B561" s="274" t="s">
        <v>5421</v>
      </c>
      <c r="C561" s="275">
        <v>45355</v>
      </c>
      <c r="D561" s="274" t="s">
        <v>4714</v>
      </c>
      <c r="E561" s="268" t="s">
        <v>2893</v>
      </c>
      <c r="F561" s="268" t="s">
        <v>4715</v>
      </c>
      <c r="G561" s="268" t="s">
        <v>4716</v>
      </c>
      <c r="H561" s="268" t="str">
        <f t="shared" si="2"/>
        <v>MAR LASSO DE LA VEGA ZAMORA</v>
      </c>
      <c r="I561" s="268" t="s">
        <v>5183</v>
      </c>
      <c r="J561" s="272" t="s">
        <v>4718</v>
      </c>
      <c r="K561" s="268" t="s">
        <v>5575</v>
      </c>
      <c r="L561" s="276">
        <v>45407</v>
      </c>
      <c r="M561" s="277"/>
      <c r="N561" s="282">
        <v>1</v>
      </c>
      <c r="O561" s="284" t="s">
        <v>4720</v>
      </c>
      <c r="P561" s="280">
        <v>2162.73</v>
      </c>
      <c r="Q561" s="289">
        <v>45355</v>
      </c>
      <c r="R561" s="272"/>
      <c r="S561" s="272"/>
      <c r="T561" s="272"/>
      <c r="U561" s="272"/>
      <c r="V561" s="272"/>
      <c r="W561" s="272"/>
      <c r="X561" s="272"/>
      <c r="Y561" s="272"/>
      <c r="Z561" s="272"/>
      <c r="AA561" s="272"/>
    </row>
    <row r="562" spans="1:27">
      <c r="A562" s="273">
        <v>4</v>
      </c>
      <c r="B562" s="274" t="s">
        <v>5421</v>
      </c>
      <c r="C562" s="275">
        <v>45391</v>
      </c>
      <c r="D562" s="274" t="s">
        <v>4714</v>
      </c>
      <c r="E562" s="268" t="s">
        <v>2893</v>
      </c>
      <c r="F562" s="268" t="s">
        <v>4715</v>
      </c>
      <c r="G562" s="268" t="s">
        <v>4716</v>
      </c>
      <c r="H562" s="268" t="str">
        <f t="shared" si="2"/>
        <v>ANA RUIZ FORNELLS NOREÑA</v>
      </c>
      <c r="I562" s="268" t="s">
        <v>5110</v>
      </c>
      <c r="J562" s="268" t="s">
        <v>4718</v>
      </c>
      <c r="K562" s="268" t="s">
        <v>5576</v>
      </c>
      <c r="L562" s="276">
        <v>45407</v>
      </c>
      <c r="M562" s="277"/>
      <c r="N562" s="282">
        <v>2</v>
      </c>
      <c r="O562" s="284" t="s">
        <v>4720</v>
      </c>
      <c r="P562" s="280">
        <v>3604.55</v>
      </c>
      <c r="Q562" s="289">
        <v>45391</v>
      </c>
      <c r="R562" s="272"/>
      <c r="S562" s="272"/>
      <c r="T562" s="272"/>
      <c r="U562" s="272"/>
      <c r="V562" s="272"/>
      <c r="W562" s="272"/>
      <c r="X562" s="272"/>
      <c r="Y562" s="272"/>
      <c r="Z562" s="272"/>
      <c r="AA562" s="272"/>
    </row>
    <row r="563" spans="1:27">
      <c r="A563" s="273">
        <v>4</v>
      </c>
      <c r="B563" s="274" t="s">
        <v>5421</v>
      </c>
      <c r="C563" s="275">
        <v>45362</v>
      </c>
      <c r="D563" s="274" t="s">
        <v>4714</v>
      </c>
      <c r="E563" s="268" t="s">
        <v>3193</v>
      </c>
      <c r="F563" s="268" t="s">
        <v>4715</v>
      </c>
      <c r="G563" s="268" t="s">
        <v>4716</v>
      </c>
      <c r="H563" s="268" t="str">
        <f t="shared" si="2"/>
        <v>BÁRBARA CASTILLO ÁVILA</v>
      </c>
      <c r="I563" s="268" t="s">
        <v>4950</v>
      </c>
      <c r="J563" s="272" t="s">
        <v>4718</v>
      </c>
      <c r="K563" s="268" t="s">
        <v>5577</v>
      </c>
      <c r="L563" s="276">
        <v>45407</v>
      </c>
      <c r="M563" s="277"/>
      <c r="N563" s="282">
        <v>1</v>
      </c>
      <c r="O563" s="284" t="s">
        <v>4720</v>
      </c>
      <c r="P563" s="280">
        <v>2162.73</v>
      </c>
      <c r="Q563" s="289">
        <v>45362</v>
      </c>
      <c r="R563" s="272"/>
      <c r="S563" s="272"/>
      <c r="T563" s="272"/>
      <c r="U563" s="272"/>
      <c r="V563" s="272"/>
      <c r="W563" s="272"/>
      <c r="X563" s="272"/>
      <c r="Y563" s="272"/>
      <c r="Z563" s="272"/>
      <c r="AA563" s="272"/>
    </row>
    <row r="564" spans="1:27">
      <c r="A564" s="273">
        <v>4</v>
      </c>
      <c r="B564" s="274" t="s">
        <v>5421</v>
      </c>
      <c r="C564" s="275">
        <v>45384</v>
      </c>
      <c r="D564" s="274" t="s">
        <v>4714</v>
      </c>
      <c r="E564" s="268" t="s">
        <v>2900</v>
      </c>
      <c r="F564" s="268" t="s">
        <v>4715</v>
      </c>
      <c r="G564" s="268" t="s">
        <v>4716</v>
      </c>
      <c r="H564" s="268" t="str">
        <f t="shared" si="2"/>
        <v>ANA QUINTANA SANJUAN</v>
      </c>
      <c r="I564" s="268" t="s">
        <v>5199</v>
      </c>
      <c r="J564" s="272" t="s">
        <v>4790</v>
      </c>
      <c r="K564" s="268" t="s">
        <v>5578</v>
      </c>
      <c r="L564" s="276">
        <v>45407</v>
      </c>
      <c r="M564" s="283"/>
      <c r="N564" s="282">
        <v>2</v>
      </c>
      <c r="O564" s="284" t="s">
        <v>4740</v>
      </c>
      <c r="P564" s="280">
        <v>3809.25</v>
      </c>
      <c r="Q564" s="289">
        <v>45384</v>
      </c>
      <c r="R564" s="272"/>
      <c r="S564" s="272"/>
      <c r="T564" s="272"/>
      <c r="U564" s="272"/>
      <c r="V564" s="272"/>
      <c r="W564" s="272"/>
      <c r="X564" s="272"/>
      <c r="Y564" s="272"/>
      <c r="Z564" s="272"/>
      <c r="AA564" s="272"/>
    </row>
    <row r="565" spans="1:27">
      <c r="A565" s="273">
        <v>4</v>
      </c>
      <c r="B565" s="274" t="s">
        <v>5421</v>
      </c>
      <c r="C565" s="275">
        <v>45373</v>
      </c>
      <c r="D565" s="274" t="s">
        <v>4714</v>
      </c>
      <c r="E565" s="268" t="s">
        <v>2961</v>
      </c>
      <c r="F565" s="268" t="s">
        <v>4715</v>
      </c>
      <c r="G565" s="268" t="s">
        <v>4716</v>
      </c>
      <c r="H565" s="268" t="str">
        <f t="shared" si="2"/>
        <v>ANDRÉS BARRIOS RECIO</v>
      </c>
      <c r="I565" s="268" t="s">
        <v>5081</v>
      </c>
      <c r="J565" s="268" t="s">
        <v>4736</v>
      </c>
      <c r="K565" s="268" t="s">
        <v>5579</v>
      </c>
      <c r="L565" s="276">
        <v>45407</v>
      </c>
      <c r="M565" s="277"/>
      <c r="N565" s="282">
        <v>2</v>
      </c>
      <c r="O565" s="284" t="s">
        <v>4723</v>
      </c>
      <c r="P565" s="280">
        <v>2641.82</v>
      </c>
      <c r="Q565" s="289">
        <v>45373</v>
      </c>
      <c r="R565" s="272"/>
      <c r="S565" s="272"/>
      <c r="T565" s="272"/>
      <c r="U565" s="272"/>
      <c r="V565" s="272"/>
      <c r="W565" s="272"/>
      <c r="X565" s="272"/>
      <c r="Y565" s="272"/>
      <c r="Z565" s="272"/>
      <c r="AA565" s="272"/>
    </row>
    <row r="566" spans="1:27">
      <c r="A566" s="273">
        <v>4</v>
      </c>
      <c r="B566" s="274" t="s">
        <v>5421</v>
      </c>
      <c r="C566" s="275">
        <v>45280</v>
      </c>
      <c r="D566" s="274" t="s">
        <v>4714</v>
      </c>
      <c r="E566" s="268" t="s">
        <v>4318</v>
      </c>
      <c r="F566" s="268" t="s">
        <v>4715</v>
      </c>
      <c r="G566" s="268" t="s">
        <v>4716</v>
      </c>
      <c r="H566" s="268" t="str">
        <f t="shared" si="2"/>
        <v>LUIS MIGUEL MENÉNDRZ COLINO</v>
      </c>
      <c r="I566" s="268" t="s">
        <v>5580</v>
      </c>
      <c r="J566" s="272" t="s">
        <v>4822</v>
      </c>
      <c r="K566" s="268" t="s">
        <v>5581</v>
      </c>
      <c r="L566" s="276">
        <v>45407</v>
      </c>
      <c r="M566" s="277"/>
      <c r="N566" s="282">
        <v>1</v>
      </c>
      <c r="O566" s="284" t="s">
        <v>4723</v>
      </c>
      <c r="P566" s="280">
        <v>1681.82</v>
      </c>
      <c r="Q566" s="289">
        <v>45280</v>
      </c>
      <c r="R566" s="272"/>
      <c r="S566" s="272"/>
      <c r="T566" s="272"/>
      <c r="U566" s="272"/>
      <c r="V566" s="272"/>
      <c r="W566" s="272"/>
      <c r="X566" s="272"/>
      <c r="Y566" s="272"/>
      <c r="Z566" s="272"/>
      <c r="AA566" s="272"/>
    </row>
    <row r="567" spans="1:27">
      <c r="A567" s="273">
        <v>4</v>
      </c>
      <c r="B567" s="274" t="s">
        <v>5421</v>
      </c>
      <c r="C567" s="275">
        <v>45365</v>
      </c>
      <c r="D567" s="274" t="s">
        <v>4714</v>
      </c>
      <c r="E567" s="268" t="s">
        <v>2863</v>
      </c>
      <c r="F567" s="268" t="s">
        <v>4715</v>
      </c>
      <c r="G567" s="268" t="s">
        <v>4716</v>
      </c>
      <c r="H567" s="268" t="str">
        <f t="shared" si="2"/>
        <v>RAIMON GARCÍA CHILLERÓN</v>
      </c>
      <c r="I567" s="268" t="s">
        <v>5217</v>
      </c>
      <c r="J567" s="268" t="s">
        <v>4736</v>
      </c>
      <c r="K567" s="268" t="s">
        <v>5582</v>
      </c>
      <c r="L567" s="276">
        <v>45408</v>
      </c>
      <c r="M567" s="277"/>
      <c r="N567" s="282">
        <v>2</v>
      </c>
      <c r="O567" s="284" t="s">
        <v>4720</v>
      </c>
      <c r="P567" s="280">
        <v>3604.55</v>
      </c>
      <c r="Q567" s="289">
        <v>45365</v>
      </c>
      <c r="R567" s="272"/>
      <c r="S567" s="272"/>
      <c r="T567" s="272"/>
      <c r="U567" s="272"/>
      <c r="V567" s="272"/>
      <c r="W567" s="272"/>
      <c r="X567" s="272"/>
      <c r="Y567" s="272"/>
      <c r="Z567" s="272"/>
      <c r="AA567" s="272"/>
    </row>
    <row r="568" spans="1:27">
      <c r="A568" s="273">
        <v>4</v>
      </c>
      <c r="B568" s="274" t="s">
        <v>5421</v>
      </c>
      <c r="C568" s="275">
        <v>45142</v>
      </c>
      <c r="D568" s="274" t="s">
        <v>4714</v>
      </c>
      <c r="E568" s="268" t="s">
        <v>2863</v>
      </c>
      <c r="F568" s="268" t="s">
        <v>4715</v>
      </c>
      <c r="G568" s="268" t="s">
        <v>4716</v>
      </c>
      <c r="H568" s="268" t="str">
        <f t="shared" si="2"/>
        <v>PEDRO MASEGOSA ZAPATA</v>
      </c>
      <c r="I568" s="268" t="s">
        <v>5340</v>
      </c>
      <c r="J568" s="272" t="s">
        <v>4736</v>
      </c>
      <c r="K568" s="268" t="s">
        <v>5583</v>
      </c>
      <c r="L568" s="276">
        <v>45408</v>
      </c>
      <c r="M568" s="283"/>
      <c r="N568" s="282">
        <v>2</v>
      </c>
      <c r="O568" s="284" t="s">
        <v>4723</v>
      </c>
      <c r="P568" s="280">
        <v>2780.91</v>
      </c>
      <c r="Q568" s="289">
        <v>45142</v>
      </c>
      <c r="R568" s="272"/>
      <c r="S568" s="272"/>
      <c r="T568" s="272"/>
      <c r="U568" s="272"/>
      <c r="V568" s="272"/>
      <c r="W568" s="272"/>
      <c r="X568" s="272"/>
      <c r="Y568" s="272"/>
      <c r="Z568" s="272"/>
      <c r="AA568" s="272"/>
    </row>
    <row r="569" spans="1:27">
      <c r="A569" s="273">
        <v>4</v>
      </c>
      <c r="B569" s="274" t="s">
        <v>5421</v>
      </c>
      <c r="C569" s="275">
        <v>45358</v>
      </c>
      <c r="D569" s="274" t="s">
        <v>4714</v>
      </c>
      <c r="E569" s="268" t="s">
        <v>4194</v>
      </c>
      <c r="F569" s="268" t="s">
        <v>4715</v>
      </c>
      <c r="G569" s="268" t="s">
        <v>4716</v>
      </c>
      <c r="H569" s="268" t="str">
        <f t="shared" si="2"/>
        <v>FÉLIX RUÍZ DE LA CUESTA JUSTE</v>
      </c>
      <c r="I569" s="268" t="s">
        <v>4930</v>
      </c>
      <c r="J569" s="272" t="s">
        <v>4736</v>
      </c>
      <c r="K569" s="268" t="s">
        <v>5584</v>
      </c>
      <c r="L569" s="276">
        <v>45408</v>
      </c>
      <c r="M569" s="277"/>
      <c r="N569" s="282">
        <v>2</v>
      </c>
      <c r="O569" s="284" t="s">
        <v>4787</v>
      </c>
      <c r="P569" s="280">
        <v>4904.55</v>
      </c>
      <c r="Q569" s="289">
        <v>45358</v>
      </c>
      <c r="R569" s="272"/>
      <c r="S569" s="272"/>
      <c r="T569" s="272"/>
      <c r="U569" s="272"/>
      <c r="V569" s="272"/>
      <c r="W569" s="272"/>
      <c r="X569" s="272"/>
      <c r="Y569" s="272"/>
      <c r="Z569" s="272"/>
      <c r="AA569" s="272"/>
    </row>
    <row r="570" spans="1:27">
      <c r="A570" s="273">
        <v>4</v>
      </c>
      <c r="B570" s="274" t="s">
        <v>5421</v>
      </c>
      <c r="C570" s="275">
        <v>45377</v>
      </c>
      <c r="D570" s="274" t="s">
        <v>4714</v>
      </c>
      <c r="E570" s="268" t="s">
        <v>5321</v>
      </c>
      <c r="F570" s="268" t="s">
        <v>4715</v>
      </c>
      <c r="G570" s="268" t="s">
        <v>4716</v>
      </c>
      <c r="H570" s="268" t="str">
        <f t="shared" si="2"/>
        <v>JORDI LLUANSI PANELLA</v>
      </c>
      <c r="I570" s="268" t="s">
        <v>5322</v>
      </c>
      <c r="J570" s="272" t="s">
        <v>4806</v>
      </c>
      <c r="K570" s="268" t="s">
        <v>5585</v>
      </c>
      <c r="L570" s="276">
        <v>45408</v>
      </c>
      <c r="M570" s="277"/>
      <c r="N570" s="282">
        <v>2</v>
      </c>
      <c r="O570" s="284" t="s">
        <v>4723</v>
      </c>
      <c r="P570" s="280">
        <v>2780.91</v>
      </c>
      <c r="Q570" s="289">
        <v>45377</v>
      </c>
      <c r="R570" s="272"/>
      <c r="S570" s="272"/>
      <c r="T570" s="272"/>
      <c r="U570" s="272"/>
      <c r="V570" s="272"/>
      <c r="W570" s="272"/>
      <c r="X570" s="272"/>
      <c r="Y570" s="272"/>
      <c r="Z570" s="272"/>
      <c r="AA570" s="272"/>
    </row>
    <row r="571" spans="1:27">
      <c r="A571" s="273">
        <v>4</v>
      </c>
      <c r="B571" s="274" t="s">
        <v>5421</v>
      </c>
      <c r="C571" s="275">
        <v>44893</v>
      </c>
      <c r="D571" s="274" t="s">
        <v>4714</v>
      </c>
      <c r="E571" s="268" t="s">
        <v>2893</v>
      </c>
      <c r="F571" s="268" t="s">
        <v>4715</v>
      </c>
      <c r="G571" s="268" t="s">
        <v>4716</v>
      </c>
      <c r="H571" s="268" t="str">
        <f t="shared" si="2"/>
        <v>MAR LASSO DE LA VEGA ZAMORA</v>
      </c>
      <c r="I571" s="268" t="s">
        <v>5183</v>
      </c>
      <c r="J571" s="272" t="s">
        <v>4718</v>
      </c>
      <c r="K571" s="268" t="s">
        <v>5586</v>
      </c>
      <c r="L571" s="276">
        <v>45408</v>
      </c>
      <c r="M571" s="283"/>
      <c r="N571" s="282">
        <v>2</v>
      </c>
      <c r="O571" s="284" t="s">
        <v>4720</v>
      </c>
      <c r="P571" s="280">
        <v>2100</v>
      </c>
      <c r="Q571" s="289">
        <v>44893</v>
      </c>
      <c r="R571" s="272"/>
      <c r="S571" s="272"/>
      <c r="T571" s="272"/>
      <c r="U571" s="272"/>
      <c r="V571" s="272"/>
      <c r="W571" s="272"/>
      <c r="X571" s="272"/>
      <c r="Y571" s="272"/>
      <c r="Z571" s="272"/>
      <c r="AA571" s="272"/>
    </row>
    <row r="572" spans="1:27">
      <c r="A572" s="273">
        <v>4</v>
      </c>
      <c r="B572" s="274" t="s">
        <v>5421</v>
      </c>
      <c r="C572" s="275">
        <v>45355</v>
      </c>
      <c r="D572" s="274" t="s">
        <v>4714</v>
      </c>
      <c r="E572" s="268" t="s">
        <v>2893</v>
      </c>
      <c r="F572" s="268" t="s">
        <v>4715</v>
      </c>
      <c r="G572" s="268" t="s">
        <v>4716</v>
      </c>
      <c r="H572" s="268" t="str">
        <f t="shared" si="2"/>
        <v>ADRIANA PARDO MAZA</v>
      </c>
      <c r="I572" s="268" t="s">
        <v>5561</v>
      </c>
      <c r="J572" s="272" t="s">
        <v>4718</v>
      </c>
      <c r="K572" s="268" t="s">
        <v>5587</v>
      </c>
      <c r="L572" s="276">
        <v>45408</v>
      </c>
      <c r="M572" s="277"/>
      <c r="N572" s="282">
        <v>2</v>
      </c>
      <c r="O572" s="284" t="s">
        <v>4720</v>
      </c>
      <c r="P572" s="280">
        <v>3423.64</v>
      </c>
      <c r="Q572" s="289">
        <v>45355</v>
      </c>
      <c r="R572" s="272"/>
      <c r="S572" s="272"/>
      <c r="T572" s="272"/>
      <c r="U572" s="272"/>
      <c r="V572" s="272"/>
      <c r="W572" s="272"/>
      <c r="X572" s="272"/>
      <c r="Y572" s="272"/>
      <c r="Z572" s="272"/>
      <c r="AA572" s="272"/>
    </row>
    <row r="573" spans="1:27">
      <c r="A573" s="273">
        <v>4</v>
      </c>
      <c r="B573" s="274" t="s">
        <v>5421</v>
      </c>
      <c r="C573" s="275">
        <v>45384</v>
      </c>
      <c r="D573" s="274" t="s">
        <v>4714</v>
      </c>
      <c r="E573" s="268" t="s">
        <v>3861</v>
      </c>
      <c r="F573" s="268" t="s">
        <v>4715</v>
      </c>
      <c r="G573" s="268" t="s">
        <v>4716</v>
      </c>
      <c r="H573" s="268" t="str">
        <f t="shared" si="2"/>
        <v>MARTA ALCARAZ FUENTES</v>
      </c>
      <c r="I573" s="268" t="s">
        <v>5588</v>
      </c>
      <c r="J573" s="272" t="s">
        <v>4822</v>
      </c>
      <c r="K573" s="268" t="s">
        <v>5589</v>
      </c>
      <c r="L573" s="276">
        <v>45408</v>
      </c>
      <c r="M573" s="283"/>
      <c r="N573" s="282">
        <v>2</v>
      </c>
      <c r="O573" s="284" t="s">
        <v>4723</v>
      </c>
      <c r="P573" s="280">
        <v>2390.91</v>
      </c>
      <c r="Q573" s="289">
        <v>45384</v>
      </c>
      <c r="R573" s="272"/>
      <c r="S573" s="272"/>
      <c r="T573" s="272"/>
      <c r="U573" s="272"/>
      <c r="V573" s="272"/>
      <c r="W573" s="272"/>
      <c r="X573" s="272"/>
      <c r="Y573" s="272"/>
      <c r="Z573" s="272"/>
      <c r="AA573" s="272"/>
    </row>
    <row r="574" spans="1:27">
      <c r="A574" s="273">
        <v>4</v>
      </c>
      <c r="B574" s="274" t="s">
        <v>5421</v>
      </c>
      <c r="C574" s="275">
        <v>45384</v>
      </c>
      <c r="D574" s="274" t="s">
        <v>4714</v>
      </c>
      <c r="E574" s="268" t="s">
        <v>4892</v>
      </c>
      <c r="F574" s="268" t="s">
        <v>4715</v>
      </c>
      <c r="G574" s="268" t="s">
        <v>4716</v>
      </c>
      <c r="H574" s="268" t="str">
        <f t="shared" si="2"/>
        <v>IGNACIO SIERRA ARBIDE</v>
      </c>
      <c r="I574" s="268" t="s">
        <v>5162</v>
      </c>
      <c r="J574" s="268" t="s">
        <v>4822</v>
      </c>
      <c r="K574" s="268" t="s">
        <v>5590</v>
      </c>
      <c r="L574" s="276">
        <v>45408</v>
      </c>
      <c r="M574" s="277"/>
      <c r="N574" s="282">
        <v>2</v>
      </c>
      <c r="O574" s="284" t="s">
        <v>4720</v>
      </c>
      <c r="P574" s="280">
        <v>3604.55</v>
      </c>
      <c r="Q574" s="289">
        <v>45384</v>
      </c>
      <c r="R574" s="272"/>
      <c r="S574" s="272"/>
      <c r="T574" s="272"/>
      <c r="U574" s="272"/>
      <c r="V574" s="272"/>
      <c r="W574" s="272"/>
      <c r="X574" s="272"/>
      <c r="Y574" s="272"/>
      <c r="Z574" s="272"/>
      <c r="AA574" s="272"/>
    </row>
    <row r="575" spans="1:27">
      <c r="A575" s="273">
        <v>4</v>
      </c>
      <c r="B575" s="274" t="s">
        <v>5421</v>
      </c>
      <c r="C575" s="275">
        <v>45350</v>
      </c>
      <c r="D575" s="285" t="s">
        <v>4714</v>
      </c>
      <c r="E575" s="268" t="s">
        <v>4780</v>
      </c>
      <c r="F575" s="268" t="s">
        <v>4715</v>
      </c>
      <c r="G575" s="268" t="s">
        <v>4716</v>
      </c>
      <c r="H575" s="268" t="str">
        <f t="shared" si="2"/>
        <v>MARÍA JESÚS CORNEJO DOMÍNGUEZ</v>
      </c>
      <c r="I575" s="268" t="s">
        <v>4781</v>
      </c>
      <c r="J575" s="268" t="s">
        <v>4747</v>
      </c>
      <c r="K575" s="268" t="s">
        <v>5591</v>
      </c>
      <c r="L575" s="276">
        <v>45408</v>
      </c>
      <c r="M575" s="277"/>
      <c r="N575" s="282">
        <v>2</v>
      </c>
      <c r="O575" s="284" t="s">
        <v>4720</v>
      </c>
      <c r="P575" s="280">
        <v>3604.55</v>
      </c>
      <c r="Q575" s="289">
        <v>45350</v>
      </c>
      <c r="R575" s="272"/>
      <c r="S575" s="272"/>
      <c r="T575" s="272"/>
      <c r="U575" s="272"/>
      <c r="V575" s="272"/>
      <c r="W575" s="272"/>
      <c r="X575" s="272"/>
      <c r="Y575" s="272"/>
      <c r="Z575" s="272"/>
      <c r="AA575" s="272"/>
    </row>
    <row r="576" spans="1:27">
      <c r="A576" s="273">
        <v>4</v>
      </c>
      <c r="B576" s="274" t="s">
        <v>5421</v>
      </c>
      <c r="C576" s="275">
        <v>45377</v>
      </c>
      <c r="D576" s="274" t="s">
        <v>4714</v>
      </c>
      <c r="E576" s="268" t="s">
        <v>2961</v>
      </c>
      <c r="F576" s="268" t="s">
        <v>4715</v>
      </c>
      <c r="G576" s="268" t="s">
        <v>4716</v>
      </c>
      <c r="H576" s="268" t="str">
        <f t="shared" si="2"/>
        <v>ANDRÉS BARRIOS RECIO</v>
      </c>
      <c r="I576" s="268" t="s">
        <v>5081</v>
      </c>
      <c r="J576" s="272" t="s">
        <v>4736</v>
      </c>
      <c r="K576" s="268" t="s">
        <v>5592</v>
      </c>
      <c r="L576" s="276">
        <v>45408</v>
      </c>
      <c r="M576" s="277"/>
      <c r="N576" s="282">
        <v>2</v>
      </c>
      <c r="O576" s="284" t="s">
        <v>4723</v>
      </c>
      <c r="P576" s="280">
        <v>2642.27</v>
      </c>
      <c r="Q576" s="289">
        <v>45377</v>
      </c>
      <c r="R576" s="272"/>
      <c r="S576" s="272"/>
      <c r="T576" s="272"/>
      <c r="U576" s="272"/>
      <c r="V576" s="272"/>
      <c r="W576" s="272"/>
      <c r="X576" s="272"/>
      <c r="Y576" s="272"/>
      <c r="Z576" s="272"/>
      <c r="AA576" s="272"/>
    </row>
    <row r="577" spans="1:27">
      <c r="A577" s="273">
        <v>4</v>
      </c>
      <c r="B577" s="274" t="s">
        <v>5421</v>
      </c>
      <c r="C577" s="275">
        <v>45370</v>
      </c>
      <c r="D577" s="274" t="s">
        <v>4714</v>
      </c>
      <c r="E577" s="268" t="s">
        <v>3011</v>
      </c>
      <c r="F577" s="268" t="s">
        <v>4715</v>
      </c>
      <c r="G577" s="268" t="s">
        <v>4716</v>
      </c>
      <c r="H577" s="268" t="str">
        <f t="shared" si="2"/>
        <v>ESTEFANÍA BERROCAL POSTIGO</v>
      </c>
      <c r="I577" s="268" t="s">
        <v>5201</v>
      </c>
      <c r="J577" s="272" t="s">
        <v>4729</v>
      </c>
      <c r="K577" s="268" t="s">
        <v>5593</v>
      </c>
      <c r="L577" s="276">
        <v>45408</v>
      </c>
      <c r="M577" s="283"/>
      <c r="N577" s="282">
        <v>2</v>
      </c>
      <c r="O577" s="284" t="s">
        <v>4723</v>
      </c>
      <c r="P577" s="280">
        <v>2962.73</v>
      </c>
      <c r="Q577" s="289">
        <v>45370</v>
      </c>
      <c r="R577" s="272"/>
      <c r="S577" s="272"/>
      <c r="T577" s="272"/>
      <c r="U577" s="272"/>
      <c r="V577" s="272"/>
      <c r="W577" s="272"/>
      <c r="X577" s="272"/>
      <c r="Y577" s="272"/>
      <c r="Z577" s="272"/>
      <c r="AA577" s="272"/>
    </row>
    <row r="578" spans="1:27">
      <c r="A578" s="273">
        <v>4</v>
      </c>
      <c r="B578" s="274" t="s">
        <v>5421</v>
      </c>
      <c r="C578" s="275">
        <v>45371</v>
      </c>
      <c r="D578" s="274" t="s">
        <v>4714</v>
      </c>
      <c r="E578" s="268" t="s">
        <v>4799</v>
      </c>
      <c r="F578" s="268" t="s">
        <v>4715</v>
      </c>
      <c r="G578" s="268" t="s">
        <v>4716</v>
      </c>
      <c r="H578" s="268" t="str">
        <f t="shared" si="2"/>
        <v>PILAR CASTRO RUIZ</v>
      </c>
      <c r="I578" s="268" t="s">
        <v>4800</v>
      </c>
      <c r="J578" s="272" t="s">
        <v>4790</v>
      </c>
      <c r="K578" s="268" t="s">
        <v>5594</v>
      </c>
      <c r="L578" s="276">
        <v>45408</v>
      </c>
      <c r="M578" s="283"/>
      <c r="N578" s="282">
        <v>2</v>
      </c>
      <c r="O578" s="284" t="s">
        <v>4720</v>
      </c>
      <c r="P578" s="280">
        <v>3545.45</v>
      </c>
      <c r="Q578" s="289">
        <v>45371</v>
      </c>
      <c r="R578" s="272"/>
      <c r="S578" s="272"/>
      <c r="T578" s="272"/>
      <c r="U578" s="272"/>
      <c r="V578" s="272"/>
      <c r="W578" s="272"/>
      <c r="X578" s="272"/>
      <c r="Y578" s="272"/>
      <c r="Z578" s="272"/>
      <c r="AA578" s="272"/>
    </row>
    <row r="579" spans="1:27">
      <c r="A579" s="273">
        <v>4</v>
      </c>
      <c r="B579" s="274" t="s">
        <v>5421</v>
      </c>
      <c r="C579" s="275">
        <v>45387</v>
      </c>
      <c r="D579" s="274" t="s">
        <v>4714</v>
      </c>
      <c r="E579" s="268" t="s">
        <v>2869</v>
      </c>
      <c r="F579" s="268" t="s">
        <v>4715</v>
      </c>
      <c r="G579" s="268" t="s">
        <v>4716</v>
      </c>
      <c r="H579" s="268" t="str">
        <f t="shared" si="2"/>
        <v>MARÍA AGUSTINA SEVILLA GARCÍA</v>
      </c>
      <c r="I579" s="268" t="s">
        <v>4812</v>
      </c>
      <c r="J579" s="272" t="s">
        <v>4736</v>
      </c>
      <c r="K579" s="268" t="s">
        <v>5595</v>
      </c>
      <c r="L579" s="276">
        <v>45409</v>
      </c>
      <c r="M579" s="283"/>
      <c r="N579" s="282">
        <v>2</v>
      </c>
      <c r="O579" s="284" t="s">
        <v>4723</v>
      </c>
      <c r="P579" s="280">
        <v>2471.8200000000002</v>
      </c>
      <c r="Q579" s="289">
        <v>45387</v>
      </c>
      <c r="R579" s="272"/>
      <c r="S579" s="272"/>
      <c r="T579" s="272"/>
      <c r="U579" s="272"/>
      <c r="V579" s="272"/>
      <c r="W579" s="272"/>
      <c r="X579" s="272"/>
      <c r="Y579" s="272"/>
      <c r="Z579" s="272"/>
      <c r="AA579" s="272"/>
    </row>
    <row r="580" spans="1:27">
      <c r="A580" s="273">
        <v>4</v>
      </c>
      <c r="B580" s="274" t="s">
        <v>5421</v>
      </c>
      <c r="C580" s="275">
        <v>45350</v>
      </c>
      <c r="D580" s="274" t="s">
        <v>4714</v>
      </c>
      <c r="E580" s="268" t="s">
        <v>4856</v>
      </c>
      <c r="F580" s="268" t="s">
        <v>4715</v>
      </c>
      <c r="G580" s="268" t="s">
        <v>4716</v>
      </c>
      <c r="H580" s="268" t="str">
        <f t="shared" si="2"/>
        <v>ANSELMO PADÍN SEARA</v>
      </c>
      <c r="I580" s="268" t="s">
        <v>5596</v>
      </c>
      <c r="J580" s="268" t="s">
        <v>4790</v>
      </c>
      <c r="K580" s="268" t="s">
        <v>5597</v>
      </c>
      <c r="L580" s="276">
        <v>45411</v>
      </c>
      <c r="M580" s="283"/>
      <c r="N580" s="282">
        <v>2</v>
      </c>
      <c r="O580" s="284" t="s">
        <v>4723</v>
      </c>
      <c r="P580" s="280">
        <v>3036.36</v>
      </c>
      <c r="Q580" s="289">
        <v>45350</v>
      </c>
      <c r="R580" s="272"/>
      <c r="S580" s="272"/>
      <c r="T580" s="272"/>
      <c r="U580" s="272"/>
      <c r="V580" s="272"/>
      <c r="W580" s="272"/>
      <c r="X580" s="272"/>
      <c r="Y580" s="272"/>
      <c r="Z580" s="272"/>
      <c r="AA580" s="272"/>
    </row>
    <row r="581" spans="1:27">
      <c r="A581" s="273">
        <v>4</v>
      </c>
      <c r="B581" s="274" t="s">
        <v>5421</v>
      </c>
      <c r="C581" s="275">
        <v>45384</v>
      </c>
      <c r="D581" s="274" t="s">
        <v>4714</v>
      </c>
      <c r="E581" s="268" t="s">
        <v>3187</v>
      </c>
      <c r="F581" s="268" t="s">
        <v>4715</v>
      </c>
      <c r="G581" s="268" t="s">
        <v>4716</v>
      </c>
      <c r="H581" s="268" t="str">
        <f t="shared" si="2"/>
        <v>NO REUERDA ORL</v>
      </c>
      <c r="I581" s="268" t="s">
        <v>4743</v>
      </c>
      <c r="J581" s="272" t="s">
        <v>4718</v>
      </c>
      <c r="K581" s="268" t="s">
        <v>5598</v>
      </c>
      <c r="L581" s="276">
        <v>45411</v>
      </c>
      <c r="M581" s="283"/>
      <c r="N581" s="282">
        <v>1</v>
      </c>
      <c r="O581" s="284" t="s">
        <v>4720</v>
      </c>
      <c r="P581" s="280">
        <v>2162.73</v>
      </c>
      <c r="Q581" s="289">
        <v>45384</v>
      </c>
      <c r="R581" s="272"/>
      <c r="S581" s="272"/>
      <c r="T581" s="272"/>
      <c r="U581" s="272"/>
      <c r="V581" s="272"/>
      <c r="W581" s="272"/>
      <c r="X581" s="272"/>
      <c r="Y581" s="272"/>
      <c r="Z581" s="272"/>
      <c r="AA581" s="272"/>
    </row>
    <row r="582" spans="1:27">
      <c r="A582" s="273">
        <v>4</v>
      </c>
      <c r="B582" s="274" t="s">
        <v>5421</v>
      </c>
      <c r="C582" s="275">
        <v>45327</v>
      </c>
      <c r="D582" s="274" t="s">
        <v>4714</v>
      </c>
      <c r="E582" s="268" t="s">
        <v>4194</v>
      </c>
      <c r="F582" s="268" t="s">
        <v>4715</v>
      </c>
      <c r="G582" s="268" t="s">
        <v>4716</v>
      </c>
      <c r="H582" s="268" t="str">
        <f t="shared" si="2"/>
        <v>FRANCISCO PASTOR BEVIÁ</v>
      </c>
      <c r="I582" s="268" t="s">
        <v>4738</v>
      </c>
      <c r="J582" s="268" t="s">
        <v>4736</v>
      </c>
      <c r="K582" s="268" t="s">
        <v>5599</v>
      </c>
      <c r="L582" s="276">
        <v>45411</v>
      </c>
      <c r="M582" s="277"/>
      <c r="N582" s="282">
        <v>1</v>
      </c>
      <c r="O582" s="284" t="s">
        <v>4740</v>
      </c>
      <c r="P582" s="280">
        <v>1818.18</v>
      </c>
      <c r="Q582" s="289">
        <v>45327</v>
      </c>
      <c r="R582" s="272"/>
      <c r="S582" s="272"/>
      <c r="T582" s="272"/>
      <c r="U582" s="272"/>
      <c r="V582" s="272"/>
      <c r="W582" s="272"/>
      <c r="X582" s="272"/>
      <c r="Y582" s="272"/>
      <c r="Z582" s="272"/>
      <c r="AA582" s="272"/>
    </row>
    <row r="583" spans="1:27">
      <c r="A583" s="273">
        <v>4</v>
      </c>
      <c r="B583" s="274" t="s">
        <v>5421</v>
      </c>
      <c r="C583" s="275">
        <v>45398</v>
      </c>
      <c r="D583" s="274" t="s">
        <v>4714</v>
      </c>
      <c r="E583" s="268" t="s">
        <v>4820</v>
      </c>
      <c r="F583" s="268" t="s">
        <v>4715</v>
      </c>
      <c r="G583" s="268" t="s">
        <v>4716</v>
      </c>
      <c r="H583" s="268" t="str">
        <f t="shared" si="2"/>
        <v>RAED MAQUED EL MAQUED</v>
      </c>
      <c r="I583" s="268" t="s">
        <v>4821</v>
      </c>
      <c r="J583" s="272" t="s">
        <v>4822</v>
      </c>
      <c r="K583" s="268" t="s">
        <v>5600</v>
      </c>
      <c r="L583" s="276">
        <v>45411</v>
      </c>
      <c r="M583" s="277"/>
      <c r="N583" s="282">
        <v>2</v>
      </c>
      <c r="O583" s="284" t="s">
        <v>4787</v>
      </c>
      <c r="P583" s="280">
        <v>3954.55</v>
      </c>
      <c r="Q583" s="289">
        <v>45398</v>
      </c>
      <c r="R583" s="272"/>
      <c r="S583" s="272"/>
      <c r="T583" s="272"/>
      <c r="U583" s="272"/>
      <c r="V583" s="272"/>
      <c r="W583" s="272"/>
      <c r="X583" s="272"/>
      <c r="Y583" s="272"/>
      <c r="Z583" s="272"/>
      <c r="AA583" s="272"/>
    </row>
    <row r="584" spans="1:27">
      <c r="A584" s="273">
        <v>4</v>
      </c>
      <c r="B584" s="274" t="s">
        <v>5421</v>
      </c>
      <c r="C584" s="275">
        <v>45357</v>
      </c>
      <c r="D584" s="274" t="s">
        <v>4714</v>
      </c>
      <c r="E584" s="268" t="s">
        <v>3043</v>
      </c>
      <c r="F584" s="268" t="s">
        <v>4715</v>
      </c>
      <c r="G584" s="268" t="s">
        <v>4716</v>
      </c>
      <c r="H584" s="268" t="str">
        <f t="shared" si="2"/>
        <v>GUILLERMO SAN JUAN DE LA MORETA</v>
      </c>
      <c r="I584" s="268" t="s">
        <v>5100</v>
      </c>
      <c r="J584" s="268" t="s">
        <v>4718</v>
      </c>
      <c r="K584" s="268" t="s">
        <v>5601</v>
      </c>
      <c r="L584" s="276">
        <v>45411</v>
      </c>
      <c r="M584" s="277"/>
      <c r="N584" s="282">
        <v>2</v>
      </c>
      <c r="O584" s="284" t="s">
        <v>4740</v>
      </c>
      <c r="P584" s="280">
        <v>4011.58</v>
      </c>
      <c r="Q584" s="289">
        <v>45357</v>
      </c>
      <c r="R584" s="272"/>
      <c r="S584" s="272"/>
      <c r="T584" s="272"/>
      <c r="U584" s="272"/>
      <c r="V584" s="272"/>
      <c r="W584" s="272"/>
      <c r="X584" s="272"/>
      <c r="Y584" s="272"/>
      <c r="Z584" s="272"/>
      <c r="AA584" s="272"/>
    </row>
    <row r="585" spans="1:27">
      <c r="A585" s="273">
        <v>4</v>
      </c>
      <c r="B585" s="274" t="s">
        <v>5421</v>
      </c>
      <c r="C585" s="275">
        <v>45370</v>
      </c>
      <c r="D585" s="274" t="s">
        <v>4714</v>
      </c>
      <c r="E585" s="268" t="s">
        <v>4892</v>
      </c>
      <c r="F585" s="268" t="s">
        <v>4715</v>
      </c>
      <c r="G585" s="268" t="s">
        <v>4716</v>
      </c>
      <c r="H585" s="268" t="str">
        <f t="shared" si="2"/>
        <v>Mª FERNANDA ESCALA PEDREROS</v>
      </c>
      <c r="I585" s="268" t="s">
        <v>5078</v>
      </c>
      <c r="J585" s="272" t="s">
        <v>4822</v>
      </c>
      <c r="K585" s="268" t="s">
        <v>5602</v>
      </c>
      <c r="L585" s="276">
        <v>45411</v>
      </c>
      <c r="M585" s="277"/>
      <c r="N585" s="282">
        <v>2</v>
      </c>
      <c r="O585" s="284" t="s">
        <v>4720</v>
      </c>
      <c r="P585" s="280">
        <v>3604.55</v>
      </c>
      <c r="Q585" s="289">
        <v>45370</v>
      </c>
      <c r="R585" s="272"/>
      <c r="S585" s="272"/>
      <c r="T585" s="272"/>
      <c r="U585" s="272"/>
      <c r="V585" s="272"/>
      <c r="W585" s="272"/>
      <c r="X585" s="272"/>
      <c r="Y585" s="272"/>
      <c r="Z585" s="272"/>
      <c r="AA585" s="272"/>
    </row>
    <row r="586" spans="1:27">
      <c r="A586" s="273">
        <v>4</v>
      </c>
      <c r="B586" s="274" t="s">
        <v>5421</v>
      </c>
      <c r="C586" s="275">
        <v>45387</v>
      </c>
      <c r="D586" s="274" t="s">
        <v>4714</v>
      </c>
      <c r="E586" s="268" t="s">
        <v>3758</v>
      </c>
      <c r="F586" s="268" t="s">
        <v>4715</v>
      </c>
      <c r="G586" s="268" t="s">
        <v>4716</v>
      </c>
      <c r="H586" s="268" t="str">
        <f t="shared" si="2"/>
        <v>SARA TANBOURA LÓPEZ</v>
      </c>
      <c r="I586" s="268" t="s">
        <v>5603</v>
      </c>
      <c r="J586" s="272" t="s">
        <v>4718</v>
      </c>
      <c r="K586" s="268" t="s">
        <v>5604</v>
      </c>
      <c r="L586" s="276">
        <v>45411</v>
      </c>
      <c r="M586" s="283"/>
      <c r="N586" s="282">
        <v>2</v>
      </c>
      <c r="O586" s="284" t="s">
        <v>4720</v>
      </c>
      <c r="P586" s="280">
        <v>3422.73</v>
      </c>
      <c r="Q586" s="289">
        <v>45387</v>
      </c>
      <c r="R586" s="272"/>
      <c r="S586" s="272"/>
      <c r="T586" s="272"/>
      <c r="U586" s="272"/>
      <c r="V586" s="272"/>
      <c r="W586" s="272"/>
      <c r="X586" s="272"/>
      <c r="Y586" s="272"/>
      <c r="Z586" s="272"/>
      <c r="AA586" s="272"/>
    </row>
    <row r="587" spans="1:27">
      <c r="A587" s="273">
        <v>4</v>
      </c>
      <c r="B587" s="274" t="s">
        <v>5421</v>
      </c>
      <c r="C587" s="275">
        <v>45383</v>
      </c>
      <c r="D587" s="274" t="s">
        <v>4714</v>
      </c>
      <c r="E587" s="268" t="s">
        <v>2869</v>
      </c>
      <c r="F587" s="268" t="s">
        <v>4715</v>
      </c>
      <c r="G587" s="268" t="s">
        <v>4716</v>
      </c>
      <c r="H587" s="268" t="str">
        <f t="shared" si="2"/>
        <v>NO REUERDA ORL</v>
      </c>
      <c r="I587" s="268" t="s">
        <v>4743</v>
      </c>
      <c r="J587" s="268" t="s">
        <v>4736</v>
      </c>
      <c r="K587" s="268" t="s">
        <v>5605</v>
      </c>
      <c r="L587" s="276">
        <v>45411</v>
      </c>
      <c r="M587" s="277"/>
      <c r="N587" s="282">
        <v>2</v>
      </c>
      <c r="O587" s="284" t="s">
        <v>4720</v>
      </c>
      <c r="P587" s="280">
        <v>3604.55</v>
      </c>
      <c r="Q587" s="289">
        <v>45383</v>
      </c>
      <c r="R587" s="272"/>
      <c r="S587" s="272"/>
      <c r="T587" s="272"/>
      <c r="U587" s="272"/>
      <c r="V587" s="272"/>
      <c r="W587" s="272"/>
      <c r="X587" s="272"/>
      <c r="Y587" s="272"/>
      <c r="Z587" s="272"/>
      <c r="AA587" s="272"/>
    </row>
    <row r="588" spans="1:27">
      <c r="A588" s="273">
        <v>4</v>
      </c>
      <c r="B588" s="274" t="s">
        <v>5421</v>
      </c>
      <c r="C588" s="275">
        <v>45376</v>
      </c>
      <c r="D588" s="274" t="s">
        <v>4714</v>
      </c>
      <c r="E588" s="268" t="s">
        <v>2873</v>
      </c>
      <c r="F588" s="268" t="s">
        <v>4715</v>
      </c>
      <c r="G588" s="268" t="s">
        <v>4716</v>
      </c>
      <c r="H588" s="268" t="str">
        <f t="shared" si="2"/>
        <v>JUAN JAVIER ÁLVAREZ LÓPEZ</v>
      </c>
      <c r="I588" s="268" t="s">
        <v>4938</v>
      </c>
      <c r="J588" s="272" t="s">
        <v>4736</v>
      </c>
      <c r="K588" s="268" t="s">
        <v>5606</v>
      </c>
      <c r="L588" s="276">
        <v>45411</v>
      </c>
      <c r="M588" s="277"/>
      <c r="N588" s="282">
        <v>2</v>
      </c>
      <c r="O588" s="284" t="s">
        <v>4723</v>
      </c>
      <c r="P588" s="280">
        <v>2641.82</v>
      </c>
      <c r="Q588" s="289">
        <v>45376</v>
      </c>
      <c r="R588" s="272"/>
      <c r="S588" s="272"/>
      <c r="T588" s="272"/>
      <c r="U588" s="272"/>
      <c r="V588" s="272"/>
      <c r="W588" s="272"/>
      <c r="X588" s="272"/>
      <c r="Y588" s="272"/>
      <c r="Z588" s="272"/>
      <c r="AA588" s="272"/>
    </row>
    <row r="589" spans="1:27">
      <c r="A589" s="273">
        <v>4</v>
      </c>
      <c r="B589" s="274" t="s">
        <v>5421</v>
      </c>
      <c r="C589" s="275">
        <v>45007</v>
      </c>
      <c r="D589" s="285" t="s">
        <v>4714</v>
      </c>
      <c r="E589" s="268" t="s">
        <v>4780</v>
      </c>
      <c r="F589" s="268" t="s">
        <v>4715</v>
      </c>
      <c r="G589" s="268" t="s">
        <v>4716</v>
      </c>
      <c r="H589" s="268" t="str">
        <f t="shared" si="2"/>
        <v>MARÍA JESÚS CORNEJO DOMÍNGUEZ</v>
      </c>
      <c r="I589" s="268" t="s">
        <v>4781</v>
      </c>
      <c r="J589" s="268" t="s">
        <v>4747</v>
      </c>
      <c r="K589" s="268" t="s">
        <v>5607</v>
      </c>
      <c r="L589" s="276">
        <v>45411</v>
      </c>
      <c r="M589" s="277"/>
      <c r="N589" s="282">
        <v>2</v>
      </c>
      <c r="O589" s="284" t="s">
        <v>4720</v>
      </c>
      <c r="P589" s="280">
        <v>0</v>
      </c>
      <c r="Q589" s="289">
        <v>45007</v>
      </c>
      <c r="R589" s="272"/>
      <c r="S589" s="272"/>
      <c r="T589" s="272"/>
      <c r="U589" s="272"/>
      <c r="V589" s="272"/>
      <c r="W589" s="272"/>
      <c r="X589" s="272"/>
      <c r="Y589" s="272"/>
      <c r="Z589" s="272"/>
      <c r="AA589" s="272"/>
    </row>
    <row r="590" spans="1:27">
      <c r="A590" s="273">
        <v>4</v>
      </c>
      <c r="B590" s="274" t="s">
        <v>5421</v>
      </c>
      <c r="C590" s="275">
        <v>45378</v>
      </c>
      <c r="D590" s="274" t="s">
        <v>4714</v>
      </c>
      <c r="E590" s="268" t="s">
        <v>2961</v>
      </c>
      <c r="F590" s="268" t="s">
        <v>4715</v>
      </c>
      <c r="G590" s="268" t="s">
        <v>4716</v>
      </c>
      <c r="H590" s="268" t="str">
        <f t="shared" si="2"/>
        <v>FRANCISCO GARCÍA PURRIÑOS</v>
      </c>
      <c r="I590" s="268" t="s">
        <v>4884</v>
      </c>
      <c r="J590" s="268" t="s">
        <v>4736</v>
      </c>
      <c r="K590" s="268" t="s">
        <v>5608</v>
      </c>
      <c r="L590" s="276">
        <v>45411</v>
      </c>
      <c r="M590" s="277"/>
      <c r="N590" s="282">
        <v>2</v>
      </c>
      <c r="O590" s="284" t="s">
        <v>4720</v>
      </c>
      <c r="P590" s="280">
        <v>3604.55</v>
      </c>
      <c r="Q590" s="289">
        <v>45378</v>
      </c>
      <c r="R590" s="272"/>
      <c r="S590" s="272"/>
      <c r="T590" s="272"/>
      <c r="U590" s="272"/>
      <c r="V590" s="272"/>
      <c r="W590" s="272"/>
      <c r="X590" s="272"/>
      <c r="Y590" s="272"/>
      <c r="Z590" s="272"/>
      <c r="AA590" s="272"/>
    </row>
    <row r="591" spans="1:27">
      <c r="A591" s="273">
        <v>4</v>
      </c>
      <c r="B591" s="274" t="s">
        <v>5421</v>
      </c>
      <c r="C591" s="275">
        <v>45357</v>
      </c>
      <c r="D591" s="274" t="s">
        <v>4714</v>
      </c>
      <c r="E591" s="268" t="s">
        <v>3011</v>
      </c>
      <c r="F591" s="268" t="s">
        <v>4715</v>
      </c>
      <c r="G591" s="268" t="s">
        <v>4716</v>
      </c>
      <c r="H591" s="268" t="str">
        <f t="shared" si="2"/>
        <v>MIGUEL ANTONIO SHEPHERD GONZÁLEZ</v>
      </c>
      <c r="I591" s="268" t="s">
        <v>5046</v>
      </c>
      <c r="J591" s="272" t="s">
        <v>4729</v>
      </c>
      <c r="K591" s="268" t="s">
        <v>5609</v>
      </c>
      <c r="L591" s="276">
        <v>45411</v>
      </c>
      <c r="M591" s="277"/>
      <c r="N591" s="282">
        <v>2</v>
      </c>
      <c r="O591" s="284" t="s">
        <v>4740</v>
      </c>
      <c r="P591" s="280">
        <v>4404.55</v>
      </c>
      <c r="Q591" s="289">
        <v>45357</v>
      </c>
      <c r="R591" s="272"/>
      <c r="S591" s="272"/>
      <c r="T591" s="272"/>
      <c r="U591" s="272"/>
      <c r="V591" s="272"/>
      <c r="W591" s="272"/>
      <c r="X591" s="272"/>
      <c r="Y591" s="272"/>
      <c r="Z591" s="272"/>
      <c r="AA591" s="272"/>
    </row>
    <row r="592" spans="1:27">
      <c r="A592" s="273">
        <v>4</v>
      </c>
      <c r="B592" s="274" t="s">
        <v>5421</v>
      </c>
      <c r="C592" s="275">
        <v>45356</v>
      </c>
      <c r="D592" s="274" t="s">
        <v>4714</v>
      </c>
      <c r="E592" s="268" t="s">
        <v>5204</v>
      </c>
      <c r="F592" s="268" t="s">
        <v>4715</v>
      </c>
      <c r="G592" s="268" t="s">
        <v>4716</v>
      </c>
      <c r="H592" s="268" t="str">
        <f t="shared" si="2"/>
        <v>CRISTINA MOLINA MARTÍNEZ</v>
      </c>
      <c r="I592" s="268" t="s">
        <v>5205</v>
      </c>
      <c r="J592" s="272" t="s">
        <v>4806</v>
      </c>
      <c r="K592" s="268" t="s">
        <v>5610</v>
      </c>
      <c r="L592" s="276">
        <v>45411</v>
      </c>
      <c r="M592" s="277"/>
      <c r="N592" s="282">
        <v>2</v>
      </c>
      <c r="O592" s="284" t="s">
        <v>4720</v>
      </c>
      <c r="P592" s="280">
        <v>3423.64</v>
      </c>
      <c r="Q592" s="289">
        <v>45356</v>
      </c>
      <c r="R592" s="272"/>
      <c r="S592" s="272"/>
      <c r="T592" s="272"/>
      <c r="U592" s="272"/>
      <c r="V592" s="272"/>
      <c r="W592" s="272"/>
      <c r="X592" s="272"/>
      <c r="Y592" s="272"/>
      <c r="Z592" s="272"/>
      <c r="AA592" s="272"/>
    </row>
    <row r="593" spans="1:27">
      <c r="A593" s="273">
        <v>4</v>
      </c>
      <c r="B593" s="274" t="s">
        <v>5421</v>
      </c>
      <c r="C593" s="275">
        <v>45370</v>
      </c>
      <c r="D593" s="274" t="s">
        <v>4714</v>
      </c>
      <c r="E593" s="268" t="s">
        <v>3187</v>
      </c>
      <c r="F593" s="268" t="s">
        <v>4715</v>
      </c>
      <c r="G593" s="268" t="s">
        <v>4716</v>
      </c>
      <c r="H593" s="268" t="str">
        <f t="shared" si="2"/>
        <v>JOSÉ ANTONIO CASTRO CUERPO</v>
      </c>
      <c r="I593" s="268" t="s">
        <v>5611</v>
      </c>
      <c r="J593" s="272" t="s">
        <v>4718</v>
      </c>
      <c r="K593" s="268" t="s">
        <v>5612</v>
      </c>
      <c r="L593" s="276">
        <v>45412</v>
      </c>
      <c r="M593" s="277"/>
      <c r="N593" s="282">
        <v>1</v>
      </c>
      <c r="O593" s="284" t="s">
        <v>4720</v>
      </c>
      <c r="P593" s="280">
        <v>2162.73</v>
      </c>
      <c r="Q593" s="289">
        <v>45370</v>
      </c>
      <c r="R593" s="272"/>
      <c r="S593" s="272"/>
      <c r="T593" s="272"/>
      <c r="U593" s="272"/>
      <c r="V593" s="272"/>
      <c r="W593" s="272"/>
      <c r="X593" s="272"/>
      <c r="Y593" s="272"/>
      <c r="Z593" s="272"/>
      <c r="AA593" s="272"/>
    </row>
    <row r="594" spans="1:27">
      <c r="A594" s="273">
        <v>4</v>
      </c>
      <c r="B594" s="274" t="s">
        <v>5421</v>
      </c>
      <c r="C594" s="275">
        <v>45385</v>
      </c>
      <c r="D594" s="274" t="s">
        <v>4714</v>
      </c>
      <c r="E594" s="268" t="s">
        <v>4734</v>
      </c>
      <c r="F594" s="268" t="s">
        <v>4715</v>
      </c>
      <c r="G594" s="268" t="s">
        <v>4716</v>
      </c>
      <c r="H594" s="268" t="str">
        <f t="shared" si="2"/>
        <v>LINO ENGUIDANOS HERNANDORENA</v>
      </c>
      <c r="I594" s="268" t="s">
        <v>4735</v>
      </c>
      <c r="J594" s="272" t="s">
        <v>4736</v>
      </c>
      <c r="K594" s="268" t="s">
        <v>5613</v>
      </c>
      <c r="L594" s="276">
        <v>45412</v>
      </c>
      <c r="M594" s="277"/>
      <c r="N594" s="282">
        <v>2</v>
      </c>
      <c r="O594" s="284" t="s">
        <v>4723</v>
      </c>
      <c r="P594" s="280">
        <v>2348.23</v>
      </c>
      <c r="Q594" s="289">
        <v>45385</v>
      </c>
      <c r="R594" s="272"/>
      <c r="S594" s="272"/>
      <c r="T594" s="272"/>
      <c r="U594" s="272"/>
      <c r="V594" s="272"/>
      <c r="W594" s="272"/>
      <c r="X594" s="272"/>
      <c r="Y594" s="272"/>
      <c r="Z594" s="272"/>
      <c r="AA594" s="272"/>
    </row>
    <row r="595" spans="1:27">
      <c r="A595" s="273">
        <v>4</v>
      </c>
      <c r="B595" s="274" t="s">
        <v>5421</v>
      </c>
      <c r="C595" s="275">
        <v>45350</v>
      </c>
      <c r="D595" s="274" t="s">
        <v>4714</v>
      </c>
      <c r="E595" s="268" t="s">
        <v>4820</v>
      </c>
      <c r="F595" s="268" t="s">
        <v>4715</v>
      </c>
      <c r="G595" s="268" t="s">
        <v>4716</v>
      </c>
      <c r="H595" s="268" t="str">
        <f t="shared" si="2"/>
        <v>DANIELA CAROLINA LAGUADO BULGHERONI</v>
      </c>
      <c r="I595" s="268" t="s">
        <v>5614</v>
      </c>
      <c r="J595" s="268" t="s">
        <v>4822</v>
      </c>
      <c r="K595" s="268" t="s">
        <v>5615</v>
      </c>
      <c r="L595" s="276">
        <v>45412</v>
      </c>
      <c r="M595" s="277"/>
      <c r="N595" s="282">
        <v>2</v>
      </c>
      <c r="O595" s="284" t="s">
        <v>4740</v>
      </c>
      <c r="P595" s="280">
        <v>3404.55</v>
      </c>
      <c r="Q595" s="289">
        <v>45350</v>
      </c>
      <c r="R595" s="272"/>
      <c r="S595" s="272"/>
      <c r="T595" s="272"/>
      <c r="U595" s="272"/>
      <c r="V595" s="272"/>
      <c r="W595" s="272"/>
      <c r="X595" s="272"/>
      <c r="Y595" s="272"/>
      <c r="Z595" s="272"/>
      <c r="AA595" s="272"/>
    </row>
    <row r="596" spans="1:27">
      <c r="A596" s="273">
        <v>4</v>
      </c>
      <c r="B596" s="274" t="s">
        <v>5421</v>
      </c>
      <c r="C596" s="275">
        <v>45392</v>
      </c>
      <c r="D596" s="274" t="s">
        <v>4714</v>
      </c>
      <c r="E596" s="268" t="s">
        <v>2880</v>
      </c>
      <c r="F596" s="268" t="s">
        <v>4715</v>
      </c>
      <c r="G596" s="268" t="s">
        <v>4716</v>
      </c>
      <c r="H596" s="268" t="str">
        <f t="shared" si="2"/>
        <v>MARÍA GARROTE GARROTE</v>
      </c>
      <c r="I596" s="268" t="s">
        <v>4721</v>
      </c>
      <c r="J596" s="272" t="s">
        <v>4718</v>
      </c>
      <c r="K596" s="268" t="s">
        <v>5616</v>
      </c>
      <c r="L596" s="276">
        <v>45412</v>
      </c>
      <c r="M596" s="277"/>
      <c r="N596" s="282">
        <v>2</v>
      </c>
      <c r="O596" s="284" t="s">
        <v>4787</v>
      </c>
      <c r="P596" s="280">
        <v>4840.91</v>
      </c>
      <c r="Q596" s="289">
        <v>45392</v>
      </c>
      <c r="R596" s="272"/>
      <c r="S596" s="272"/>
      <c r="T596" s="272"/>
      <c r="U596" s="272"/>
      <c r="V596" s="272"/>
      <c r="W596" s="272"/>
      <c r="X596" s="272"/>
      <c r="Y596" s="272"/>
      <c r="Z596" s="272"/>
      <c r="AA596" s="272"/>
    </row>
    <row r="597" spans="1:27">
      <c r="A597" s="273">
        <v>4</v>
      </c>
      <c r="B597" s="274" t="s">
        <v>5421</v>
      </c>
      <c r="C597" s="275">
        <v>44739</v>
      </c>
      <c r="D597" s="274" t="s">
        <v>4714</v>
      </c>
      <c r="E597" s="268" t="s">
        <v>2893</v>
      </c>
      <c r="F597" s="268" t="s">
        <v>4715</v>
      </c>
      <c r="G597" s="268" t="s">
        <v>4716</v>
      </c>
      <c r="H597" s="268" t="str">
        <f t="shared" si="2"/>
        <v>VICENTE MARTÍNEZ SANTOS</v>
      </c>
      <c r="I597" s="268" t="s">
        <v>4832</v>
      </c>
      <c r="J597" s="272" t="s">
        <v>4718</v>
      </c>
      <c r="K597" s="268" t="s">
        <v>5617</v>
      </c>
      <c r="L597" s="276">
        <v>45412</v>
      </c>
      <c r="M597" s="277"/>
      <c r="N597" s="282">
        <v>1</v>
      </c>
      <c r="O597" s="284" t="s">
        <v>4740</v>
      </c>
      <c r="P597" s="280">
        <v>2606.36</v>
      </c>
      <c r="Q597" s="289">
        <v>44739</v>
      </c>
      <c r="R597" s="272"/>
      <c r="S597" s="272"/>
      <c r="T597" s="272"/>
      <c r="U597" s="272"/>
      <c r="V597" s="272"/>
      <c r="W597" s="272"/>
      <c r="X597" s="272"/>
      <c r="Y597" s="272"/>
      <c r="Z597" s="272"/>
      <c r="AA597" s="272"/>
    </row>
    <row r="598" spans="1:27">
      <c r="A598" s="273">
        <v>4</v>
      </c>
      <c r="B598" s="274" t="s">
        <v>5421</v>
      </c>
      <c r="C598" s="275">
        <v>45369</v>
      </c>
      <c r="D598" s="274" t="s">
        <v>4714</v>
      </c>
      <c r="E598" s="268" t="s">
        <v>2893</v>
      </c>
      <c r="F598" s="268" t="s">
        <v>4715</v>
      </c>
      <c r="G598" s="268" t="s">
        <v>4716</v>
      </c>
      <c r="H598" s="268" t="str">
        <f t="shared" si="2"/>
        <v>MAR LASSO DE LA VEGA ZAMORA</v>
      </c>
      <c r="I598" s="268" t="s">
        <v>5183</v>
      </c>
      <c r="J598" s="268" t="s">
        <v>4718</v>
      </c>
      <c r="K598" s="268" t="s">
        <v>5618</v>
      </c>
      <c r="L598" s="276">
        <v>45412</v>
      </c>
      <c r="M598" s="277"/>
      <c r="N598" s="282">
        <v>1</v>
      </c>
      <c r="O598" s="284" t="s">
        <v>4720</v>
      </c>
      <c r="P598" s="280">
        <v>2054.5500000000002</v>
      </c>
      <c r="Q598" s="289">
        <v>45369</v>
      </c>
      <c r="R598" s="272"/>
      <c r="S598" s="272"/>
      <c r="T598" s="272"/>
      <c r="U598" s="272"/>
      <c r="V598" s="272"/>
      <c r="W598" s="272"/>
      <c r="X598" s="272"/>
      <c r="Y598" s="272"/>
      <c r="Z598" s="272"/>
      <c r="AA598" s="272"/>
    </row>
    <row r="599" spans="1:27">
      <c r="A599" s="273">
        <v>4</v>
      </c>
      <c r="B599" s="274" t="s">
        <v>5421</v>
      </c>
      <c r="C599" s="275">
        <v>45373</v>
      </c>
      <c r="D599" s="274" t="s">
        <v>4714</v>
      </c>
      <c r="E599" s="268" t="s">
        <v>3861</v>
      </c>
      <c r="F599" s="268" t="s">
        <v>4715</v>
      </c>
      <c r="G599" s="268" t="s">
        <v>4716</v>
      </c>
      <c r="H599" s="268" t="str">
        <f t="shared" si="2"/>
        <v>HELENA MORENO PARDO</v>
      </c>
      <c r="I599" s="268" t="s">
        <v>5619</v>
      </c>
      <c r="J599" s="272" t="s">
        <v>4718</v>
      </c>
      <c r="K599" s="268" t="s">
        <v>5620</v>
      </c>
      <c r="L599" s="276">
        <v>45412</v>
      </c>
      <c r="M599" s="283"/>
      <c r="N599" s="282">
        <v>2</v>
      </c>
      <c r="O599" s="284" t="s">
        <v>4720</v>
      </c>
      <c r="P599" s="280">
        <v>3295.45</v>
      </c>
      <c r="Q599" s="289">
        <v>45373</v>
      </c>
      <c r="R599" s="272"/>
      <c r="S599" s="272"/>
      <c r="T599" s="272"/>
      <c r="U599" s="272"/>
      <c r="V599" s="272"/>
      <c r="W599" s="272"/>
      <c r="X599" s="272"/>
      <c r="Y599" s="272"/>
      <c r="Z599" s="272"/>
      <c r="AA599" s="272"/>
    </row>
    <row r="600" spans="1:27">
      <c r="A600" s="273">
        <v>4</v>
      </c>
      <c r="B600" s="274" t="s">
        <v>5421</v>
      </c>
      <c r="C600" s="275">
        <v>45363</v>
      </c>
      <c r="D600" s="274" t="s">
        <v>4714</v>
      </c>
      <c r="E600" s="268" t="s">
        <v>4892</v>
      </c>
      <c r="F600" s="268" t="s">
        <v>4715</v>
      </c>
      <c r="G600" s="268" t="s">
        <v>4716</v>
      </c>
      <c r="H600" s="268" t="str">
        <f t="shared" si="2"/>
        <v>MIGUEL VACA GONZÁLEZ</v>
      </c>
      <c r="I600" s="268" t="s">
        <v>5621</v>
      </c>
      <c r="J600" s="268" t="s">
        <v>4718</v>
      </c>
      <c r="K600" s="268" t="s">
        <v>5622</v>
      </c>
      <c r="L600" s="276">
        <v>45412</v>
      </c>
      <c r="M600" s="277"/>
      <c r="N600" s="282">
        <v>1</v>
      </c>
      <c r="O600" s="284" t="s">
        <v>4723</v>
      </c>
      <c r="P600" s="280">
        <v>759.09</v>
      </c>
      <c r="Q600" s="289">
        <v>45363</v>
      </c>
      <c r="R600" s="272"/>
      <c r="S600" s="272"/>
      <c r="T600" s="272"/>
      <c r="U600" s="272"/>
      <c r="V600" s="272"/>
      <c r="W600" s="272"/>
      <c r="X600" s="272"/>
      <c r="Y600" s="272"/>
      <c r="Z600" s="272"/>
      <c r="AA600" s="272"/>
    </row>
    <row r="601" spans="1:27">
      <c r="A601" s="273">
        <v>4</v>
      </c>
      <c r="B601" s="274" t="s">
        <v>5421</v>
      </c>
      <c r="C601" s="275">
        <v>45392</v>
      </c>
      <c r="D601" s="274" t="s">
        <v>4714</v>
      </c>
      <c r="E601" s="268" t="s">
        <v>4892</v>
      </c>
      <c r="F601" s="268" t="s">
        <v>4715</v>
      </c>
      <c r="G601" s="268" t="s">
        <v>4716</v>
      </c>
      <c r="H601" s="268" t="str">
        <f t="shared" si="2"/>
        <v>CARLOTA SEVIL SERRANO</v>
      </c>
      <c r="I601" s="268" t="s">
        <v>5448</v>
      </c>
      <c r="J601" s="272" t="s">
        <v>4718</v>
      </c>
      <c r="K601" s="268" t="s">
        <v>5623</v>
      </c>
      <c r="L601" s="276">
        <v>45412</v>
      </c>
      <c r="M601" s="277"/>
      <c r="N601" s="282">
        <v>2</v>
      </c>
      <c r="O601" s="284" t="s">
        <v>4720</v>
      </c>
      <c r="P601" s="280">
        <v>3604.55</v>
      </c>
      <c r="Q601" s="289">
        <v>45392</v>
      </c>
      <c r="R601" s="272"/>
      <c r="S601" s="272"/>
      <c r="T601" s="272"/>
      <c r="U601" s="272"/>
      <c r="V601" s="272"/>
      <c r="W601" s="272"/>
      <c r="X601" s="272"/>
      <c r="Y601" s="272"/>
      <c r="Z601" s="272"/>
      <c r="AA601" s="272"/>
    </row>
    <row r="602" spans="1:27">
      <c r="A602" s="273">
        <v>4</v>
      </c>
      <c r="B602" s="274" t="s">
        <v>5421</v>
      </c>
      <c r="C602" s="275">
        <v>45358</v>
      </c>
      <c r="D602" s="274" t="s">
        <v>4714</v>
      </c>
      <c r="E602" s="268" t="s">
        <v>2869</v>
      </c>
      <c r="F602" s="268" t="s">
        <v>4715</v>
      </c>
      <c r="G602" s="268" t="s">
        <v>4716</v>
      </c>
      <c r="H602" s="268" t="str">
        <f t="shared" si="2"/>
        <v>IGNACIO ALBALADEJO DEVIS</v>
      </c>
      <c r="I602" s="268" t="s">
        <v>4755</v>
      </c>
      <c r="J602" s="272" t="s">
        <v>4736</v>
      </c>
      <c r="K602" s="268" t="s">
        <v>5624</v>
      </c>
      <c r="L602" s="276">
        <v>45412</v>
      </c>
      <c r="M602" s="277"/>
      <c r="N602" s="282">
        <v>2</v>
      </c>
      <c r="O602" s="284" t="s">
        <v>4720</v>
      </c>
      <c r="P602" s="280">
        <v>3604.55</v>
      </c>
      <c r="Q602" s="289">
        <v>45358</v>
      </c>
      <c r="R602" s="272"/>
      <c r="S602" s="272"/>
      <c r="T602" s="272"/>
      <c r="U602" s="272"/>
      <c r="V602" s="272"/>
      <c r="W602" s="272"/>
      <c r="X602" s="272"/>
      <c r="Y602" s="272"/>
      <c r="Z602" s="272"/>
      <c r="AA602" s="272"/>
    </row>
    <row r="603" spans="1:27">
      <c r="A603" s="273">
        <v>4</v>
      </c>
      <c r="B603" s="274" t="s">
        <v>5421</v>
      </c>
      <c r="C603" s="275">
        <v>45363</v>
      </c>
      <c r="D603" s="274" t="s">
        <v>4714</v>
      </c>
      <c r="E603" s="268" t="s">
        <v>2869</v>
      </c>
      <c r="F603" s="268" t="s">
        <v>4715</v>
      </c>
      <c r="G603" s="268" t="s">
        <v>4716</v>
      </c>
      <c r="H603" s="268" t="str">
        <f t="shared" si="2"/>
        <v>MARÍA AGUSTINA SEVILLA GARCÍA</v>
      </c>
      <c r="I603" s="268" t="s">
        <v>4812</v>
      </c>
      <c r="J603" s="268" t="s">
        <v>4736</v>
      </c>
      <c r="K603" s="268" t="s">
        <v>5625</v>
      </c>
      <c r="L603" s="276">
        <v>45412</v>
      </c>
      <c r="M603" s="277"/>
      <c r="N603" s="282">
        <v>2</v>
      </c>
      <c r="O603" s="284" t="s">
        <v>4720</v>
      </c>
      <c r="P603" s="280">
        <v>3604.55</v>
      </c>
      <c r="Q603" s="289">
        <v>45363</v>
      </c>
      <c r="R603" s="272"/>
      <c r="S603" s="272"/>
      <c r="T603" s="272"/>
      <c r="U603" s="272"/>
      <c r="V603" s="272"/>
      <c r="W603" s="272"/>
      <c r="X603" s="272"/>
      <c r="Y603" s="272"/>
      <c r="Z603" s="272"/>
      <c r="AA603" s="272"/>
    </row>
    <row r="604" spans="1:27">
      <c r="A604" s="273">
        <v>4</v>
      </c>
      <c r="B604" s="274" t="s">
        <v>5421</v>
      </c>
      <c r="C604" s="275">
        <v>45397</v>
      </c>
      <c r="D604" s="274" t="s">
        <v>4714</v>
      </c>
      <c r="E604" s="268" t="s">
        <v>4745</v>
      </c>
      <c r="F604" s="268" t="s">
        <v>4715</v>
      </c>
      <c r="G604" s="268" t="s">
        <v>4716</v>
      </c>
      <c r="H604" s="268" t="str">
        <f t="shared" si="2"/>
        <v>CARLOS MIGUEL SALVADOR MARTÍNEZ</v>
      </c>
      <c r="I604" s="268" t="s">
        <v>4907</v>
      </c>
      <c r="J604" s="272" t="s">
        <v>4747</v>
      </c>
      <c r="K604" s="268" t="s">
        <v>5626</v>
      </c>
      <c r="L604" s="276">
        <v>45412</v>
      </c>
      <c r="M604" s="277"/>
      <c r="N604" s="282">
        <v>2</v>
      </c>
      <c r="O604" s="284" t="s">
        <v>4720</v>
      </c>
      <c r="P604" s="280">
        <v>3338.18</v>
      </c>
      <c r="Q604" s="289">
        <v>45397</v>
      </c>
      <c r="R604" s="272"/>
      <c r="S604" s="272"/>
      <c r="T604" s="272"/>
      <c r="U604" s="272"/>
      <c r="V604" s="272"/>
      <c r="W604" s="272"/>
      <c r="X604" s="272"/>
      <c r="Y604" s="272"/>
      <c r="Z604" s="272"/>
      <c r="AA604" s="272"/>
    </row>
    <row r="605" spans="1:27">
      <c r="A605" s="273">
        <v>4</v>
      </c>
      <c r="B605" s="274" t="s">
        <v>5421</v>
      </c>
      <c r="C605" s="275">
        <v>45386</v>
      </c>
      <c r="D605" s="274" t="s">
        <v>4714</v>
      </c>
      <c r="E605" s="268" t="s">
        <v>2961</v>
      </c>
      <c r="F605" s="268" t="s">
        <v>4715</v>
      </c>
      <c r="G605" s="268" t="s">
        <v>4716</v>
      </c>
      <c r="H605" s="268" t="str">
        <f t="shared" si="2"/>
        <v>FRANCISCO GARCÍA PURRIÑOS</v>
      </c>
      <c r="I605" s="268" t="s">
        <v>4884</v>
      </c>
      <c r="J605" s="272" t="s">
        <v>4736</v>
      </c>
      <c r="K605" s="268" t="s">
        <v>5627</v>
      </c>
      <c r="L605" s="276">
        <v>45412</v>
      </c>
      <c r="M605" s="283"/>
      <c r="N605" s="282">
        <v>2</v>
      </c>
      <c r="O605" s="284" t="s">
        <v>4720</v>
      </c>
      <c r="P605" s="280">
        <v>3604.55</v>
      </c>
      <c r="Q605" s="289">
        <v>45386</v>
      </c>
      <c r="R605" s="272"/>
      <c r="S605" s="272"/>
      <c r="T605" s="272"/>
      <c r="U605" s="272"/>
      <c r="V605" s="272"/>
      <c r="W605" s="272"/>
      <c r="X605" s="272"/>
      <c r="Y605" s="272"/>
      <c r="Z605" s="272"/>
      <c r="AA605" s="272"/>
    </row>
    <row r="606" spans="1:27">
      <c r="A606" s="273">
        <v>5</v>
      </c>
      <c r="B606" s="274" t="s">
        <v>5628</v>
      </c>
      <c r="C606" s="275">
        <v>45373</v>
      </c>
      <c r="D606" s="274" t="s">
        <v>4714</v>
      </c>
      <c r="E606" s="268" t="s">
        <v>4780</v>
      </c>
      <c r="F606" s="268" t="s">
        <v>4715</v>
      </c>
      <c r="G606" s="268" t="s">
        <v>4716</v>
      </c>
      <c r="H606" s="268" t="str">
        <f t="shared" si="2"/>
        <v>MARÍA JESÚS CORNEJO DOMÍNGUEZ</v>
      </c>
      <c r="I606" s="268" t="s">
        <v>4781</v>
      </c>
      <c r="J606" s="272" t="s">
        <v>4747</v>
      </c>
      <c r="K606" s="268" t="s">
        <v>5629</v>
      </c>
      <c r="L606" s="302">
        <v>45414</v>
      </c>
      <c r="M606" s="268"/>
      <c r="N606" s="282">
        <v>2</v>
      </c>
      <c r="O606" s="268" t="s">
        <v>4723</v>
      </c>
      <c r="P606" s="280">
        <v>2780.91</v>
      </c>
      <c r="Q606" s="303">
        <v>45373</v>
      </c>
      <c r="R606" s="272"/>
      <c r="S606" s="272"/>
      <c r="T606" s="272"/>
      <c r="U606" s="272"/>
      <c r="V606" s="272"/>
      <c r="W606" s="272"/>
      <c r="X606" s="272"/>
      <c r="Y606" s="272"/>
      <c r="Z606" s="272"/>
      <c r="AA606" s="272"/>
    </row>
    <row r="607" spans="1:27">
      <c r="A607" s="273">
        <v>5</v>
      </c>
      <c r="B607" s="274" t="s">
        <v>5628</v>
      </c>
      <c r="C607" s="275">
        <v>45391</v>
      </c>
      <c r="D607" s="274" t="s">
        <v>4714</v>
      </c>
      <c r="E607" s="268" t="s">
        <v>4845</v>
      </c>
      <c r="F607" s="268" t="s">
        <v>4715</v>
      </c>
      <c r="G607" s="268" t="s">
        <v>4716</v>
      </c>
      <c r="H607" s="268" t="str">
        <f t="shared" si="2"/>
        <v>JOSÉ TISNER NIETO</v>
      </c>
      <c r="I607" s="268" t="s">
        <v>5630</v>
      </c>
      <c r="J607" s="268" t="s">
        <v>4806</v>
      </c>
      <c r="K607" s="268" t="s">
        <v>5631</v>
      </c>
      <c r="L607" s="302">
        <v>45414</v>
      </c>
      <c r="M607" s="268"/>
      <c r="N607" s="282">
        <v>2</v>
      </c>
      <c r="O607" s="268" t="s">
        <v>4720</v>
      </c>
      <c r="P607" s="280">
        <v>3424.55</v>
      </c>
      <c r="Q607" s="304">
        <v>45391</v>
      </c>
      <c r="R607" s="272"/>
      <c r="S607" s="272"/>
      <c r="T607" s="272"/>
      <c r="U607" s="272"/>
      <c r="V607" s="272"/>
      <c r="W607" s="272"/>
      <c r="X607" s="272"/>
      <c r="Y607" s="272"/>
      <c r="Z607" s="272"/>
      <c r="AA607" s="272"/>
    </row>
    <row r="608" spans="1:27">
      <c r="A608" s="273">
        <v>5</v>
      </c>
      <c r="B608" s="274" t="s">
        <v>5628</v>
      </c>
      <c r="C608" s="275">
        <v>45383</v>
      </c>
      <c r="D608" s="274" t="s">
        <v>4714</v>
      </c>
      <c r="E608" s="268" t="s">
        <v>4788</v>
      </c>
      <c r="F608" s="268" t="s">
        <v>4715</v>
      </c>
      <c r="G608" s="268" t="s">
        <v>4716</v>
      </c>
      <c r="H608" s="268" t="str">
        <f t="shared" si="2"/>
        <v>CARLOS VIDAL REDONDO</v>
      </c>
      <c r="I608" s="268" t="s">
        <v>4828</v>
      </c>
      <c r="J608" s="272" t="s">
        <v>4790</v>
      </c>
      <c r="K608" s="268" t="s">
        <v>5632</v>
      </c>
      <c r="L608" s="276">
        <v>45415</v>
      </c>
      <c r="M608" s="277"/>
      <c r="N608" s="282">
        <v>1</v>
      </c>
      <c r="O608" s="284" t="s">
        <v>4792</v>
      </c>
      <c r="P608" s="280">
        <v>890.91</v>
      </c>
      <c r="Q608" s="289">
        <v>45383</v>
      </c>
      <c r="R608" s="272"/>
      <c r="S608" s="272"/>
      <c r="T608" s="272"/>
      <c r="U608" s="272"/>
      <c r="V608" s="272"/>
      <c r="W608" s="272"/>
      <c r="X608" s="272"/>
      <c r="Y608" s="272"/>
      <c r="Z608" s="272"/>
      <c r="AA608" s="272"/>
    </row>
    <row r="609" spans="1:27">
      <c r="A609" s="273">
        <v>5</v>
      </c>
      <c r="B609" s="274" t="s">
        <v>5628</v>
      </c>
      <c r="C609" s="275">
        <v>45357</v>
      </c>
      <c r="D609" s="274" t="s">
        <v>4714</v>
      </c>
      <c r="E609" s="268" t="s">
        <v>4780</v>
      </c>
      <c r="F609" s="268" t="s">
        <v>4715</v>
      </c>
      <c r="G609" s="268" t="s">
        <v>4716</v>
      </c>
      <c r="H609" s="268" t="str">
        <f t="shared" si="2"/>
        <v>ALEJANDRO HARGUINDéY ANTOLI-CANDéLA</v>
      </c>
      <c r="I609" s="268" t="s">
        <v>5633</v>
      </c>
      <c r="J609" s="272" t="s">
        <v>4718</v>
      </c>
      <c r="K609" s="268" t="s">
        <v>5634</v>
      </c>
      <c r="L609" s="302">
        <v>45415</v>
      </c>
      <c r="M609" s="268"/>
      <c r="N609" s="282">
        <v>2</v>
      </c>
      <c r="O609" s="268" t="s">
        <v>4740</v>
      </c>
      <c r="P609" s="280">
        <v>4222.7299999999996</v>
      </c>
      <c r="Q609" s="304">
        <v>45357</v>
      </c>
      <c r="R609" s="272"/>
      <c r="S609" s="272"/>
      <c r="T609" s="272"/>
      <c r="U609" s="272"/>
      <c r="V609" s="272"/>
      <c r="W609" s="272"/>
      <c r="X609" s="272"/>
      <c r="Y609" s="272"/>
      <c r="Z609" s="272"/>
      <c r="AA609" s="272"/>
    </row>
    <row r="610" spans="1:27">
      <c r="A610" s="273">
        <v>5</v>
      </c>
      <c r="B610" s="274" t="s">
        <v>5628</v>
      </c>
      <c r="C610" s="275">
        <v>45371</v>
      </c>
      <c r="D610" s="274" t="s">
        <v>4714</v>
      </c>
      <c r="E610" s="268" t="s">
        <v>4780</v>
      </c>
      <c r="F610" s="268" t="s">
        <v>4715</v>
      </c>
      <c r="G610" s="268" t="s">
        <v>4716</v>
      </c>
      <c r="H610" s="268" t="str">
        <f t="shared" si="2"/>
        <v>MARÍA JESÚS CORNEJO DOMÍNGUEZ</v>
      </c>
      <c r="I610" s="268" t="s">
        <v>4781</v>
      </c>
      <c r="J610" s="272" t="s">
        <v>4747</v>
      </c>
      <c r="K610" s="268" t="s">
        <v>5635</v>
      </c>
      <c r="L610" s="302">
        <v>45415</v>
      </c>
      <c r="M610" s="268"/>
      <c r="N610" s="282">
        <v>2</v>
      </c>
      <c r="O610" s="268" t="s">
        <v>4720</v>
      </c>
      <c r="P610" s="280">
        <v>3604.55</v>
      </c>
      <c r="Q610" s="303">
        <v>45371</v>
      </c>
      <c r="R610" s="272"/>
      <c r="S610" s="272"/>
      <c r="T610" s="272"/>
      <c r="U610" s="272"/>
      <c r="V610" s="272"/>
      <c r="W610" s="272"/>
      <c r="X610" s="272"/>
      <c r="Y610" s="272"/>
      <c r="Z610" s="272"/>
      <c r="AA610" s="272"/>
    </row>
    <row r="611" spans="1:27">
      <c r="A611" s="273">
        <v>5</v>
      </c>
      <c r="B611" s="274" t="s">
        <v>5628</v>
      </c>
      <c r="C611" s="275">
        <v>45363</v>
      </c>
      <c r="D611" s="274" t="s">
        <v>4714</v>
      </c>
      <c r="E611" s="268" t="s">
        <v>4845</v>
      </c>
      <c r="F611" s="268" t="s">
        <v>4715</v>
      </c>
      <c r="G611" s="268" t="s">
        <v>4716</v>
      </c>
      <c r="H611" s="268" t="str">
        <f t="shared" si="2"/>
        <v>HECTOR VALLES VARELA</v>
      </c>
      <c r="I611" s="268" t="s">
        <v>5338</v>
      </c>
      <c r="J611" s="272" t="s">
        <v>4806</v>
      </c>
      <c r="K611" s="268" t="s">
        <v>5636</v>
      </c>
      <c r="L611" s="302">
        <v>45415</v>
      </c>
      <c r="M611" s="272"/>
      <c r="N611" s="282">
        <v>2</v>
      </c>
      <c r="O611" s="268" t="s">
        <v>4720</v>
      </c>
      <c r="P611" s="280">
        <v>3424.55</v>
      </c>
      <c r="Q611" s="304">
        <v>45363</v>
      </c>
      <c r="R611" s="272"/>
      <c r="S611" s="272"/>
      <c r="T611" s="272"/>
      <c r="U611" s="272"/>
      <c r="V611" s="272"/>
      <c r="W611" s="272"/>
      <c r="X611" s="272"/>
      <c r="Y611" s="272"/>
      <c r="Z611" s="272"/>
      <c r="AA611" s="272"/>
    </row>
    <row r="612" spans="1:27">
      <c r="A612" s="273">
        <v>5</v>
      </c>
      <c r="B612" s="274" t="s">
        <v>5628</v>
      </c>
      <c r="C612" s="275">
        <v>45392</v>
      </c>
      <c r="D612" s="274" t="s">
        <v>4714</v>
      </c>
      <c r="E612" s="268" t="s">
        <v>4734</v>
      </c>
      <c r="F612" s="268" t="s">
        <v>4715</v>
      </c>
      <c r="G612" s="268" t="s">
        <v>4716</v>
      </c>
      <c r="H612" s="268" t="str">
        <f t="shared" si="2"/>
        <v>OSCAR ALEMÁN LÓPEZ</v>
      </c>
      <c r="I612" s="268" t="s">
        <v>4771</v>
      </c>
      <c r="J612" s="272" t="s">
        <v>4736</v>
      </c>
      <c r="K612" s="268" t="s">
        <v>5637</v>
      </c>
      <c r="L612" s="276">
        <v>45418</v>
      </c>
      <c r="M612" s="277"/>
      <c r="N612" s="282">
        <v>2</v>
      </c>
      <c r="O612" s="284" t="s">
        <v>4723</v>
      </c>
      <c r="P612" s="280">
        <v>2780.91</v>
      </c>
      <c r="Q612" s="289">
        <v>45392</v>
      </c>
      <c r="R612" s="272"/>
      <c r="S612" s="272"/>
      <c r="T612" s="272"/>
      <c r="U612" s="272"/>
      <c r="V612" s="272"/>
      <c r="W612" s="272"/>
      <c r="X612" s="272"/>
      <c r="Y612" s="272"/>
      <c r="Z612" s="272"/>
      <c r="AA612" s="272"/>
    </row>
    <row r="613" spans="1:27">
      <c r="A613" s="273">
        <v>5</v>
      </c>
      <c r="B613" s="274" t="s">
        <v>5628</v>
      </c>
      <c r="C613" s="275">
        <v>45377</v>
      </c>
      <c r="D613" s="274" t="s">
        <v>4714</v>
      </c>
      <c r="E613" s="268" t="s">
        <v>4194</v>
      </c>
      <c r="F613" s="268" t="s">
        <v>4715</v>
      </c>
      <c r="G613" s="268" t="s">
        <v>4716</v>
      </c>
      <c r="H613" s="268" t="str">
        <f t="shared" si="2"/>
        <v>FRANCISCO PASTOR BEVIÁ</v>
      </c>
      <c r="I613" s="268" t="s">
        <v>4738</v>
      </c>
      <c r="J613" s="272" t="s">
        <v>4736</v>
      </c>
      <c r="K613" s="268" t="s">
        <v>5638</v>
      </c>
      <c r="L613" s="276">
        <v>45418</v>
      </c>
      <c r="M613" s="277"/>
      <c r="N613" s="282">
        <v>2</v>
      </c>
      <c r="O613" s="284" t="s">
        <v>4740</v>
      </c>
      <c r="P613" s="280">
        <v>4222.7299999999996</v>
      </c>
      <c r="Q613" s="289">
        <v>45377</v>
      </c>
      <c r="R613" s="272"/>
      <c r="S613" s="272"/>
      <c r="T613" s="272"/>
      <c r="U613" s="272"/>
      <c r="V613" s="272"/>
      <c r="W613" s="272"/>
      <c r="X613" s="272"/>
      <c r="Y613" s="272"/>
      <c r="Z613" s="272"/>
      <c r="AA613" s="272"/>
    </row>
    <row r="614" spans="1:27">
      <c r="A614" s="273">
        <v>5</v>
      </c>
      <c r="B614" s="274" t="s">
        <v>5628</v>
      </c>
      <c r="C614" s="275">
        <v>45372</v>
      </c>
      <c r="D614" s="274" t="s">
        <v>4714</v>
      </c>
      <c r="E614" s="268" t="s">
        <v>4775</v>
      </c>
      <c r="F614" s="268" t="s">
        <v>4715</v>
      </c>
      <c r="G614" s="268" t="s">
        <v>4716</v>
      </c>
      <c r="H614" s="268" t="str">
        <f t="shared" si="2"/>
        <v>FERNANDO SALAZAR BARCELONA</v>
      </c>
      <c r="I614" s="268" t="s">
        <v>4776</v>
      </c>
      <c r="J614" s="268" t="s">
        <v>4822</v>
      </c>
      <c r="K614" s="268" t="s">
        <v>5639</v>
      </c>
      <c r="L614" s="276">
        <v>45418</v>
      </c>
      <c r="M614" s="277"/>
      <c r="N614" s="282">
        <v>2</v>
      </c>
      <c r="O614" s="284" t="s">
        <v>4720</v>
      </c>
      <c r="P614" s="280">
        <v>3272.73</v>
      </c>
      <c r="Q614" s="289">
        <v>45372</v>
      </c>
      <c r="R614" s="272"/>
      <c r="S614" s="272"/>
      <c r="T614" s="272"/>
      <c r="U614" s="272"/>
      <c r="V614" s="272"/>
      <c r="W614" s="272"/>
      <c r="X614" s="272"/>
      <c r="Y614" s="272"/>
      <c r="Z614" s="272"/>
      <c r="AA614" s="272"/>
    </row>
    <row r="615" spans="1:27">
      <c r="A615" s="273">
        <v>5</v>
      </c>
      <c r="B615" s="274" t="s">
        <v>5628</v>
      </c>
      <c r="C615" s="275">
        <v>45103</v>
      </c>
      <c r="D615" s="274" t="s">
        <v>4714</v>
      </c>
      <c r="E615" s="268" t="s">
        <v>4945</v>
      </c>
      <c r="F615" s="268" t="s">
        <v>4715</v>
      </c>
      <c r="G615" s="268" t="s">
        <v>4716</v>
      </c>
      <c r="H615" s="268" t="str">
        <f t="shared" si="2"/>
        <v>PEDRO JUIZ LÓPEZ</v>
      </c>
      <c r="I615" s="268" t="s">
        <v>4946</v>
      </c>
      <c r="J615" s="272" t="s">
        <v>4790</v>
      </c>
      <c r="K615" s="268" t="s">
        <v>5640</v>
      </c>
      <c r="L615" s="276">
        <v>45418</v>
      </c>
      <c r="M615" s="277"/>
      <c r="N615" s="282">
        <v>2</v>
      </c>
      <c r="O615" s="284" t="s">
        <v>4740</v>
      </c>
      <c r="P615" s="280">
        <v>4310</v>
      </c>
      <c r="Q615" s="289">
        <v>45103</v>
      </c>
      <c r="R615" s="272"/>
      <c r="S615" s="272"/>
      <c r="T615" s="272"/>
      <c r="U615" s="272"/>
      <c r="V615" s="272"/>
      <c r="W615" s="272"/>
      <c r="X615" s="272"/>
      <c r="Y615" s="272"/>
      <c r="Z615" s="272"/>
      <c r="AA615" s="272"/>
    </row>
    <row r="616" spans="1:27">
      <c r="A616" s="273">
        <v>5</v>
      </c>
      <c r="B616" s="274" t="s">
        <v>5628</v>
      </c>
      <c r="C616" s="275">
        <v>45246</v>
      </c>
      <c r="D616" s="274" t="s">
        <v>4714</v>
      </c>
      <c r="E616" s="268" t="s">
        <v>4799</v>
      </c>
      <c r="F616" s="268" t="s">
        <v>4715</v>
      </c>
      <c r="G616" s="268" t="s">
        <v>4716</v>
      </c>
      <c r="H616" s="268" t="str">
        <f t="shared" si="2"/>
        <v>ADELA PÉREZ-CARO RÍOS</v>
      </c>
      <c r="I616" s="268" t="s">
        <v>5169</v>
      </c>
      <c r="J616" s="272" t="s">
        <v>4790</v>
      </c>
      <c r="K616" s="268" t="s">
        <v>5641</v>
      </c>
      <c r="L616" s="287">
        <v>45418</v>
      </c>
      <c r="M616" s="268"/>
      <c r="N616" s="282">
        <v>1</v>
      </c>
      <c r="O616" s="268" t="s">
        <v>4723</v>
      </c>
      <c r="P616" s="280">
        <v>1545.45</v>
      </c>
      <c r="Q616" s="304">
        <v>45246</v>
      </c>
      <c r="R616" s="272"/>
      <c r="S616" s="272"/>
      <c r="T616" s="272"/>
      <c r="U616" s="272"/>
      <c r="V616" s="272"/>
      <c r="W616" s="272"/>
      <c r="X616" s="272"/>
      <c r="Y616" s="272"/>
      <c r="Z616" s="272"/>
      <c r="AA616" s="272"/>
    </row>
    <row r="617" spans="1:27">
      <c r="A617" s="273">
        <v>5</v>
      </c>
      <c r="B617" s="274" t="s">
        <v>5628</v>
      </c>
      <c r="C617" s="275">
        <v>45391</v>
      </c>
      <c r="D617" s="274" t="s">
        <v>4714</v>
      </c>
      <c r="E617" s="268" t="s">
        <v>2929</v>
      </c>
      <c r="F617" s="268" t="s">
        <v>4715</v>
      </c>
      <c r="G617" s="268" t="s">
        <v>4716</v>
      </c>
      <c r="H617" s="268" t="str">
        <f t="shared" si="2"/>
        <v>CARLOS BARAJAS DEL ROSAL</v>
      </c>
      <c r="I617" s="268" t="s">
        <v>4934</v>
      </c>
      <c r="J617" s="268" t="s">
        <v>4822</v>
      </c>
      <c r="K617" s="268" t="s">
        <v>5642</v>
      </c>
      <c r="L617" s="276">
        <v>45419</v>
      </c>
      <c r="M617" s="277"/>
      <c r="N617" s="282">
        <v>2</v>
      </c>
      <c r="O617" s="284" t="s">
        <v>4740</v>
      </c>
      <c r="P617" s="280">
        <v>4222.7299999999996</v>
      </c>
      <c r="Q617" s="289">
        <v>45391</v>
      </c>
      <c r="R617" s="272"/>
      <c r="S617" s="272"/>
      <c r="T617" s="272"/>
      <c r="U617" s="272"/>
      <c r="V617" s="272"/>
      <c r="W617" s="272"/>
      <c r="X617" s="272"/>
      <c r="Y617" s="272"/>
      <c r="Z617" s="272"/>
      <c r="AA617" s="272"/>
    </row>
    <row r="618" spans="1:27">
      <c r="A618" s="273">
        <v>5</v>
      </c>
      <c r="B618" s="274" t="s">
        <v>5628</v>
      </c>
      <c r="C618" s="275">
        <v>45401</v>
      </c>
      <c r="D618" s="274" t="s">
        <v>4714</v>
      </c>
      <c r="E618" s="268" t="s">
        <v>3193</v>
      </c>
      <c r="F618" s="268" t="s">
        <v>4715</v>
      </c>
      <c r="G618" s="268" t="s">
        <v>4716</v>
      </c>
      <c r="H618" s="268" t="str">
        <f t="shared" si="2"/>
        <v>OSCAR A, SÁNCHEZ VALENZUELA</v>
      </c>
      <c r="I618" s="268" t="s">
        <v>5643</v>
      </c>
      <c r="J618" s="272" t="s">
        <v>4718</v>
      </c>
      <c r="K618" s="268" t="s">
        <v>5644</v>
      </c>
      <c r="L618" s="276">
        <v>45419</v>
      </c>
      <c r="M618" s="277"/>
      <c r="N618" s="282">
        <v>2</v>
      </c>
      <c r="O618" s="284" t="s">
        <v>4720</v>
      </c>
      <c r="P618" s="280">
        <v>3604.55</v>
      </c>
      <c r="Q618" s="289">
        <v>45401</v>
      </c>
      <c r="R618" s="272"/>
      <c r="S618" s="272"/>
      <c r="T618" s="272"/>
      <c r="U618" s="272"/>
      <c r="V618" s="272"/>
      <c r="W618" s="272"/>
      <c r="X618" s="272"/>
      <c r="Y618" s="272"/>
      <c r="Z618" s="272"/>
      <c r="AA618" s="272"/>
    </row>
    <row r="619" spans="1:27">
      <c r="A619" s="273">
        <v>5</v>
      </c>
      <c r="B619" s="274" t="s">
        <v>5628</v>
      </c>
      <c r="C619" s="275">
        <v>45335</v>
      </c>
      <c r="D619" s="274" t="s">
        <v>4714</v>
      </c>
      <c r="E619" s="268" t="s">
        <v>3193</v>
      </c>
      <c r="F619" s="268" t="s">
        <v>4715</v>
      </c>
      <c r="G619" s="268" t="s">
        <v>4716</v>
      </c>
      <c r="H619" s="268" t="str">
        <f t="shared" si="2"/>
        <v>MARÍA SANTILLÁN SÁNCHEZ</v>
      </c>
      <c r="I619" s="268" t="s">
        <v>4767</v>
      </c>
      <c r="J619" s="272" t="s">
        <v>4718</v>
      </c>
      <c r="K619" s="268" t="s">
        <v>5645</v>
      </c>
      <c r="L619" s="276">
        <v>45419</v>
      </c>
      <c r="M619" s="277"/>
      <c r="N619" s="282">
        <v>2</v>
      </c>
      <c r="O619" s="284" t="s">
        <v>4723</v>
      </c>
      <c r="P619" s="280">
        <v>2780.91</v>
      </c>
      <c r="Q619" s="289">
        <v>45335</v>
      </c>
      <c r="R619" s="272"/>
      <c r="S619" s="272"/>
      <c r="T619" s="272"/>
      <c r="U619" s="272"/>
      <c r="V619" s="272"/>
      <c r="W619" s="272"/>
      <c r="X619" s="272"/>
      <c r="Y619" s="272"/>
      <c r="Z619" s="272"/>
      <c r="AA619" s="272"/>
    </row>
    <row r="620" spans="1:27">
      <c r="A620" s="273">
        <v>5</v>
      </c>
      <c r="B620" s="274" t="s">
        <v>5628</v>
      </c>
      <c r="C620" s="275">
        <v>45363</v>
      </c>
      <c r="D620" s="274" t="s">
        <v>4714</v>
      </c>
      <c r="E620" s="268" t="s">
        <v>2869</v>
      </c>
      <c r="F620" s="268" t="s">
        <v>4715</v>
      </c>
      <c r="G620" s="268" t="s">
        <v>4716</v>
      </c>
      <c r="H620" s="268" t="str">
        <f t="shared" si="2"/>
        <v>MARÍA AGUSTINA SEVILLA GARCÍA</v>
      </c>
      <c r="I620" s="268" t="s">
        <v>4812</v>
      </c>
      <c r="J620" s="272" t="s">
        <v>4736</v>
      </c>
      <c r="K620" s="268" t="s">
        <v>5646</v>
      </c>
      <c r="L620" s="276">
        <v>45419</v>
      </c>
      <c r="M620" s="268"/>
      <c r="N620" s="282">
        <v>2</v>
      </c>
      <c r="O620" s="268" t="s">
        <v>4720</v>
      </c>
      <c r="P620" s="280">
        <v>3604.55</v>
      </c>
      <c r="Q620" s="303">
        <v>45363</v>
      </c>
      <c r="R620" s="272"/>
      <c r="S620" s="272"/>
      <c r="T620" s="272"/>
      <c r="U620" s="272"/>
      <c r="V620" s="272"/>
      <c r="W620" s="272"/>
      <c r="X620" s="272"/>
      <c r="Y620" s="272"/>
      <c r="Z620" s="272"/>
      <c r="AA620" s="272"/>
    </row>
    <row r="621" spans="1:27">
      <c r="A621" s="273">
        <v>5</v>
      </c>
      <c r="B621" s="274" t="s">
        <v>5628</v>
      </c>
      <c r="C621" s="275">
        <v>45366</v>
      </c>
      <c r="D621" s="274" t="s">
        <v>4714</v>
      </c>
      <c r="E621" s="268" t="s">
        <v>5225</v>
      </c>
      <c r="F621" s="268" t="s">
        <v>4715</v>
      </c>
      <c r="G621" s="268" t="s">
        <v>4716</v>
      </c>
      <c r="H621" s="268" t="str">
        <f>TRIM(SUBSTITUTE(SUBSTITUTE(SUBSTITUTE(SUBSTITUTE(I621,"D. ",""),"DRA. ",""),"DR ",""),"DRA ",""))</f>
        <v>ISABEL VAAMONDE SANCHEZ ANDRADE</v>
      </c>
      <c r="I621" s="268" t="s">
        <v>5647</v>
      </c>
      <c r="J621" s="272" t="s">
        <v>4790</v>
      </c>
      <c r="K621" s="268" t="s">
        <v>5648</v>
      </c>
      <c r="L621" s="276">
        <v>45419</v>
      </c>
      <c r="M621" s="268"/>
      <c r="N621" s="282">
        <v>2</v>
      </c>
      <c r="O621" s="268" t="s">
        <v>4723</v>
      </c>
      <c r="P621" s="280">
        <v>2780.91</v>
      </c>
      <c r="Q621" s="303">
        <v>45366</v>
      </c>
      <c r="R621" s="272"/>
      <c r="S621" s="272"/>
      <c r="T621" s="272"/>
      <c r="U621" s="272"/>
      <c r="V621" s="272"/>
      <c r="W621" s="272"/>
      <c r="X621" s="272"/>
      <c r="Y621" s="272"/>
      <c r="Z621" s="272"/>
      <c r="AA621" s="272"/>
    </row>
    <row r="622" spans="1:27">
      <c r="A622" s="273">
        <v>5</v>
      </c>
      <c r="B622" s="274" t="s">
        <v>5628</v>
      </c>
      <c r="C622" s="275">
        <v>45394</v>
      </c>
      <c r="D622" s="274" t="s">
        <v>4714</v>
      </c>
      <c r="E622" s="268" t="s">
        <v>4845</v>
      </c>
      <c r="F622" s="268" t="s">
        <v>4715</v>
      </c>
      <c r="G622" s="268" t="s">
        <v>4716</v>
      </c>
      <c r="H622" s="268" t="str">
        <f t="shared" ref="H622:H676" si="3">TRIM(SUBSTITUTE(SUBSTITUTE(SUBSTITUTE(SUBSTITUTE(I622,"DR. ",""),"DRA. ",""),"DR ",""),"DRA ",""))</f>
        <v>JOSÉ TISNER NIETO</v>
      </c>
      <c r="I622" s="268" t="s">
        <v>5630</v>
      </c>
      <c r="J622" s="268" t="s">
        <v>4806</v>
      </c>
      <c r="K622" s="268" t="s">
        <v>5649</v>
      </c>
      <c r="L622" s="302">
        <v>45419</v>
      </c>
      <c r="M622" s="268"/>
      <c r="N622" s="282">
        <v>2</v>
      </c>
      <c r="O622" s="268" t="s">
        <v>4720</v>
      </c>
      <c r="P622" s="280">
        <v>3244.09</v>
      </c>
      <c r="Q622" s="303">
        <v>45394</v>
      </c>
      <c r="R622" s="272"/>
      <c r="S622" s="272"/>
      <c r="T622" s="272"/>
      <c r="U622" s="272"/>
      <c r="V622" s="272"/>
      <c r="W622" s="272"/>
      <c r="X622" s="272"/>
      <c r="Y622" s="272"/>
      <c r="Z622" s="272"/>
      <c r="AA622" s="272"/>
    </row>
    <row r="623" spans="1:27">
      <c r="A623" s="273">
        <v>5</v>
      </c>
      <c r="B623" s="274" t="s">
        <v>5628</v>
      </c>
      <c r="C623" s="275">
        <v>45364</v>
      </c>
      <c r="D623" s="274" t="s">
        <v>4714</v>
      </c>
      <c r="E623" s="268" t="s">
        <v>3861</v>
      </c>
      <c r="F623" s="268" t="s">
        <v>4715</v>
      </c>
      <c r="G623" s="268" t="s">
        <v>4716</v>
      </c>
      <c r="H623" s="268" t="str">
        <f t="shared" si="3"/>
        <v>JOSÉ GUSTAVO BARROSO BRAOJOS</v>
      </c>
      <c r="I623" s="268" t="s">
        <v>4834</v>
      </c>
      <c r="J623" s="272" t="s">
        <v>4718</v>
      </c>
      <c r="K623" s="268" t="s">
        <v>5650</v>
      </c>
      <c r="L623" s="276">
        <v>45420</v>
      </c>
      <c r="M623" s="283"/>
      <c r="N623" s="282">
        <v>2</v>
      </c>
      <c r="O623" s="284" t="s">
        <v>4720</v>
      </c>
      <c r="P623" s="280">
        <v>3604.55</v>
      </c>
      <c r="Q623" s="289">
        <v>45364</v>
      </c>
      <c r="R623" s="272"/>
      <c r="S623" s="272"/>
      <c r="T623" s="272"/>
      <c r="U623" s="272"/>
      <c r="V623" s="272"/>
      <c r="W623" s="272"/>
      <c r="X623" s="272"/>
      <c r="Y623" s="272"/>
      <c r="Z623" s="272"/>
      <c r="AA623" s="272"/>
    </row>
    <row r="624" spans="1:27">
      <c r="A624" s="273">
        <v>5</v>
      </c>
      <c r="B624" s="274" t="s">
        <v>5628</v>
      </c>
      <c r="C624" s="275">
        <v>45383</v>
      </c>
      <c r="D624" s="274" t="s">
        <v>4714</v>
      </c>
      <c r="E624" s="268" t="s">
        <v>3011</v>
      </c>
      <c r="F624" s="268" t="s">
        <v>4715</v>
      </c>
      <c r="G624" s="268" t="s">
        <v>4716</v>
      </c>
      <c r="H624" s="268" t="str">
        <f t="shared" si="3"/>
        <v>DANIELA TERÁN GUAMÁN</v>
      </c>
      <c r="I624" s="268" t="s">
        <v>5651</v>
      </c>
      <c r="J624" s="272" t="s">
        <v>4729</v>
      </c>
      <c r="K624" s="268" t="s">
        <v>5652</v>
      </c>
      <c r="L624" s="302">
        <v>45420</v>
      </c>
      <c r="M624" s="268"/>
      <c r="N624" s="282">
        <v>2</v>
      </c>
      <c r="O624" s="268" t="s">
        <v>4720</v>
      </c>
      <c r="P624" s="280">
        <v>3786.36</v>
      </c>
      <c r="Q624" s="304">
        <v>45383</v>
      </c>
      <c r="R624" s="272"/>
      <c r="S624" s="272"/>
      <c r="T624" s="272"/>
      <c r="U624" s="272"/>
      <c r="V624" s="272"/>
      <c r="W624" s="272"/>
      <c r="X624" s="272"/>
      <c r="Y624" s="272"/>
      <c r="Z624" s="272"/>
      <c r="AA624" s="272"/>
    </row>
    <row r="625" spans="1:27">
      <c r="A625" s="273">
        <v>5</v>
      </c>
      <c r="B625" s="274" t="s">
        <v>5628</v>
      </c>
      <c r="C625" s="275">
        <v>45336</v>
      </c>
      <c r="D625" s="274" t="s">
        <v>4714</v>
      </c>
      <c r="E625" s="268" t="s">
        <v>4804</v>
      </c>
      <c r="F625" s="268" t="s">
        <v>4715</v>
      </c>
      <c r="G625" s="268" t="s">
        <v>4716</v>
      </c>
      <c r="H625" s="268" t="str">
        <f t="shared" si="3"/>
        <v>ELENA DE DIOS ORAN</v>
      </c>
      <c r="I625" s="268" t="s">
        <v>5234</v>
      </c>
      <c r="J625" s="272" t="s">
        <v>4806</v>
      </c>
      <c r="K625" s="268" t="s">
        <v>5653</v>
      </c>
      <c r="L625" s="276">
        <v>45420</v>
      </c>
      <c r="M625" s="268"/>
      <c r="N625" s="282">
        <v>1</v>
      </c>
      <c r="O625" s="268" t="s">
        <v>4792</v>
      </c>
      <c r="P625" s="280">
        <v>1090.9100000000001</v>
      </c>
      <c r="Q625" s="303">
        <v>45336</v>
      </c>
      <c r="R625" s="272"/>
      <c r="S625" s="272"/>
      <c r="T625" s="272"/>
      <c r="U625" s="272"/>
      <c r="V625" s="272"/>
      <c r="W625" s="272"/>
      <c r="X625" s="272"/>
      <c r="Y625" s="272"/>
      <c r="Z625" s="272"/>
      <c r="AA625" s="272"/>
    </row>
    <row r="626" spans="1:27">
      <c r="A626" s="273">
        <v>5</v>
      </c>
      <c r="B626" s="274" t="s">
        <v>5628</v>
      </c>
      <c r="C626" s="275">
        <v>45279</v>
      </c>
      <c r="D626" s="274" t="s">
        <v>4714</v>
      </c>
      <c r="E626" s="268" t="s">
        <v>4820</v>
      </c>
      <c r="F626" s="268" t="s">
        <v>4715</v>
      </c>
      <c r="G626" s="268" t="s">
        <v>4716</v>
      </c>
      <c r="H626" s="268" t="str">
        <f t="shared" si="3"/>
        <v>MANUEL CAÑETE DOMÍNGUEZ</v>
      </c>
      <c r="I626" s="268" t="s">
        <v>5654</v>
      </c>
      <c r="J626" s="272" t="s">
        <v>4822</v>
      </c>
      <c r="K626" s="268" t="s">
        <v>5655</v>
      </c>
      <c r="L626" s="276">
        <v>45421</v>
      </c>
      <c r="M626" s="277"/>
      <c r="N626" s="282">
        <v>2</v>
      </c>
      <c r="O626" s="284" t="s">
        <v>4787</v>
      </c>
      <c r="P626" s="280">
        <v>4410</v>
      </c>
      <c r="Q626" s="289">
        <v>45279</v>
      </c>
      <c r="R626" s="272"/>
      <c r="S626" s="272"/>
      <c r="T626" s="272"/>
      <c r="U626" s="272"/>
      <c r="V626" s="272"/>
      <c r="W626" s="272"/>
      <c r="X626" s="272"/>
      <c r="Y626" s="272"/>
      <c r="Z626" s="272"/>
      <c r="AA626" s="272"/>
    </row>
    <row r="627" spans="1:27">
      <c r="A627" s="273">
        <v>5</v>
      </c>
      <c r="B627" s="274" t="s">
        <v>5628</v>
      </c>
      <c r="C627" s="275">
        <v>45408</v>
      </c>
      <c r="D627" s="274" t="s">
        <v>4714</v>
      </c>
      <c r="E627" s="268" t="s">
        <v>5130</v>
      </c>
      <c r="F627" s="268" t="s">
        <v>4715</v>
      </c>
      <c r="G627" s="268" t="s">
        <v>4716</v>
      </c>
      <c r="H627" s="268" t="str">
        <f t="shared" si="3"/>
        <v>GERARDO MARTIN SIGUENZA</v>
      </c>
      <c r="I627" s="268" t="s">
        <v>5656</v>
      </c>
      <c r="J627" s="268" t="s">
        <v>4747</v>
      </c>
      <c r="K627" s="268" t="s">
        <v>5657</v>
      </c>
      <c r="L627" s="276">
        <v>45421</v>
      </c>
      <c r="M627" s="277"/>
      <c r="N627" s="282">
        <v>2</v>
      </c>
      <c r="O627" s="284" t="s">
        <v>4720</v>
      </c>
      <c r="P627" s="280">
        <v>3877.27</v>
      </c>
      <c r="Q627" s="289">
        <v>45408</v>
      </c>
      <c r="R627" s="272"/>
      <c r="S627" s="272"/>
      <c r="T627" s="272"/>
      <c r="U627" s="272"/>
      <c r="V627" s="272"/>
      <c r="W627" s="272"/>
      <c r="X627" s="272"/>
      <c r="Y627" s="272"/>
      <c r="Z627" s="272"/>
      <c r="AA627" s="272"/>
    </row>
    <row r="628" spans="1:27">
      <c r="A628" s="273">
        <v>5</v>
      </c>
      <c r="B628" s="274" t="s">
        <v>5628</v>
      </c>
      <c r="C628" s="275">
        <v>45392</v>
      </c>
      <c r="D628" s="274" t="s">
        <v>4714</v>
      </c>
      <c r="E628" s="268" t="s">
        <v>3861</v>
      </c>
      <c r="F628" s="268" t="s">
        <v>4715</v>
      </c>
      <c r="G628" s="268" t="s">
        <v>4716</v>
      </c>
      <c r="H628" s="268" t="str">
        <f t="shared" si="3"/>
        <v>JOSÉ GUSTAVO BARROSO BRAOJOS</v>
      </c>
      <c r="I628" s="268" t="s">
        <v>4834</v>
      </c>
      <c r="J628" s="272" t="s">
        <v>4718</v>
      </c>
      <c r="K628" s="268" t="s">
        <v>5658</v>
      </c>
      <c r="L628" s="276">
        <v>45421</v>
      </c>
      <c r="M628" s="277"/>
      <c r="N628" s="282">
        <v>2</v>
      </c>
      <c r="O628" s="284" t="s">
        <v>4720</v>
      </c>
      <c r="P628" s="280">
        <v>3604.55</v>
      </c>
      <c r="Q628" s="289">
        <v>45392</v>
      </c>
      <c r="R628" s="272"/>
      <c r="S628" s="272"/>
      <c r="T628" s="272"/>
      <c r="U628" s="272"/>
      <c r="V628" s="272"/>
      <c r="W628" s="272"/>
      <c r="X628" s="272"/>
      <c r="Y628" s="272"/>
      <c r="Z628" s="272"/>
      <c r="AA628" s="272"/>
    </row>
    <row r="629" spans="1:27">
      <c r="A629" s="273">
        <v>5</v>
      </c>
      <c r="B629" s="274" t="s">
        <v>5628</v>
      </c>
      <c r="C629" s="275">
        <v>45363</v>
      </c>
      <c r="D629" s="274" t="s">
        <v>4714</v>
      </c>
      <c r="E629" s="268" t="s">
        <v>2929</v>
      </c>
      <c r="F629" s="268" t="s">
        <v>4715</v>
      </c>
      <c r="G629" s="268" t="s">
        <v>4716</v>
      </c>
      <c r="H629" s="268" t="str">
        <f t="shared" si="3"/>
        <v>CARLOS BARAJAS DEL ROSAL</v>
      </c>
      <c r="I629" s="268" t="s">
        <v>4934</v>
      </c>
      <c r="J629" s="272" t="s">
        <v>4822</v>
      </c>
      <c r="K629" s="268" t="s">
        <v>5659</v>
      </c>
      <c r="L629" s="276">
        <v>45421</v>
      </c>
      <c r="M629" s="283"/>
      <c r="N629" s="282">
        <v>2</v>
      </c>
      <c r="O629" s="284" t="s">
        <v>4740</v>
      </c>
      <c r="P629" s="280">
        <v>3809.09</v>
      </c>
      <c r="Q629" s="289">
        <v>45363</v>
      </c>
      <c r="R629" s="272"/>
      <c r="S629" s="272"/>
      <c r="T629" s="272"/>
      <c r="U629" s="272"/>
      <c r="V629" s="272"/>
      <c r="W629" s="272"/>
      <c r="X629" s="272"/>
      <c r="Y629" s="272"/>
      <c r="Z629" s="272"/>
      <c r="AA629" s="272"/>
    </row>
    <row r="630" spans="1:27">
      <c r="A630" s="273">
        <v>5</v>
      </c>
      <c r="B630" s="274" t="s">
        <v>5628</v>
      </c>
      <c r="C630" s="275">
        <v>45378</v>
      </c>
      <c r="D630" s="274" t="s">
        <v>4714</v>
      </c>
      <c r="E630" s="268" t="s">
        <v>2873</v>
      </c>
      <c r="F630" s="268" t="s">
        <v>4715</v>
      </c>
      <c r="G630" s="268" t="s">
        <v>4716</v>
      </c>
      <c r="H630" s="268" t="str">
        <f t="shared" si="3"/>
        <v>SANTIAGO MORENO PAREDES</v>
      </c>
      <c r="I630" s="268" t="s">
        <v>5242</v>
      </c>
      <c r="J630" s="272" t="s">
        <v>4736</v>
      </c>
      <c r="K630" s="268" t="s">
        <v>5660</v>
      </c>
      <c r="L630" s="302">
        <v>45421</v>
      </c>
      <c r="M630" s="268"/>
      <c r="N630" s="282">
        <v>2</v>
      </c>
      <c r="O630" s="268" t="s">
        <v>4723</v>
      </c>
      <c r="P630" s="280">
        <v>2471.8200000000002</v>
      </c>
      <c r="Q630" s="304">
        <v>45378</v>
      </c>
      <c r="R630" s="272"/>
      <c r="S630" s="272"/>
      <c r="T630" s="272"/>
      <c r="U630" s="272"/>
      <c r="V630" s="272"/>
      <c r="W630" s="272"/>
      <c r="X630" s="272"/>
      <c r="Y630" s="272"/>
      <c r="Z630" s="272"/>
      <c r="AA630" s="272"/>
    </row>
    <row r="631" spans="1:27">
      <c r="A631" s="273">
        <v>5</v>
      </c>
      <c r="B631" s="274" t="s">
        <v>5628</v>
      </c>
      <c r="C631" s="275">
        <v>45362</v>
      </c>
      <c r="D631" s="274" t="s">
        <v>4714</v>
      </c>
      <c r="E631" s="268" t="s">
        <v>4745</v>
      </c>
      <c r="F631" s="268" t="s">
        <v>4715</v>
      </c>
      <c r="G631" s="268" t="s">
        <v>4716</v>
      </c>
      <c r="H631" s="268" t="str">
        <f t="shared" si="3"/>
        <v>CARMEN VALLÉS RODRÍGUEZ</v>
      </c>
      <c r="I631" s="268" t="s">
        <v>5661</v>
      </c>
      <c r="J631" s="268" t="s">
        <v>4747</v>
      </c>
      <c r="K631" s="268" t="s">
        <v>5662</v>
      </c>
      <c r="L631" s="287">
        <v>45421</v>
      </c>
      <c r="M631" s="272"/>
      <c r="N631" s="282">
        <v>2</v>
      </c>
      <c r="O631" s="268" t="s">
        <v>4720</v>
      </c>
      <c r="P631" s="280">
        <v>3603.85</v>
      </c>
      <c r="Q631" s="304">
        <v>45362</v>
      </c>
      <c r="R631" s="272"/>
      <c r="S631" s="272"/>
      <c r="T631" s="272"/>
      <c r="U631" s="272"/>
      <c r="V631" s="272"/>
      <c r="W631" s="272"/>
      <c r="X631" s="272"/>
      <c r="Y631" s="272"/>
      <c r="Z631" s="272"/>
      <c r="AA631" s="272"/>
    </row>
    <row r="632" spans="1:27">
      <c r="A632" s="273">
        <v>5</v>
      </c>
      <c r="B632" s="274" t="s">
        <v>5628</v>
      </c>
      <c r="C632" s="275">
        <v>45351</v>
      </c>
      <c r="D632" s="274" t="s">
        <v>4714</v>
      </c>
      <c r="E632" s="268" t="s">
        <v>2972</v>
      </c>
      <c r="F632" s="268" t="s">
        <v>4715</v>
      </c>
      <c r="G632" s="268" t="s">
        <v>4716</v>
      </c>
      <c r="H632" s="268" t="str">
        <f t="shared" si="3"/>
        <v>CARLOS FÉLIX ASENSIO NIETO</v>
      </c>
      <c r="I632" s="268" t="s">
        <v>5371</v>
      </c>
      <c r="J632" s="272" t="s">
        <v>4822</v>
      </c>
      <c r="K632" s="268" t="s">
        <v>5663</v>
      </c>
      <c r="L632" s="302">
        <v>45421</v>
      </c>
      <c r="M632" s="268"/>
      <c r="N632" s="282">
        <v>2</v>
      </c>
      <c r="O632" s="268" t="s">
        <v>4723</v>
      </c>
      <c r="P632" s="280">
        <v>2780.91</v>
      </c>
      <c r="Q632" s="303">
        <v>45351</v>
      </c>
      <c r="R632" s="272"/>
      <c r="S632" s="272"/>
      <c r="T632" s="272"/>
      <c r="U632" s="272"/>
      <c r="V632" s="272"/>
      <c r="W632" s="272"/>
      <c r="X632" s="272"/>
      <c r="Y632" s="272"/>
      <c r="Z632" s="272"/>
      <c r="AA632" s="272"/>
    </row>
    <row r="633" spans="1:27">
      <c r="A633" s="273">
        <v>5</v>
      </c>
      <c r="B633" s="274" t="s">
        <v>5628</v>
      </c>
      <c r="C633" s="275">
        <v>45352</v>
      </c>
      <c r="D633" s="274" t="s">
        <v>4714</v>
      </c>
      <c r="E633" s="268" t="s">
        <v>4194</v>
      </c>
      <c r="F633" s="268" t="s">
        <v>4715</v>
      </c>
      <c r="G633" s="268" t="s">
        <v>4716</v>
      </c>
      <c r="H633" s="268" t="str">
        <f t="shared" si="3"/>
        <v>GUILLERMO SEVERÁ FERRANDIZ</v>
      </c>
      <c r="I633" s="268" t="s">
        <v>5190</v>
      </c>
      <c r="J633" s="272" t="s">
        <v>4736</v>
      </c>
      <c r="K633" s="268" t="s">
        <v>5664</v>
      </c>
      <c r="L633" s="276">
        <v>45422</v>
      </c>
      <c r="M633" s="277"/>
      <c r="N633" s="282">
        <v>1</v>
      </c>
      <c r="O633" s="284" t="s">
        <v>4787</v>
      </c>
      <c r="P633" s="280">
        <v>2988</v>
      </c>
      <c r="Q633" s="289">
        <v>45352</v>
      </c>
      <c r="R633" s="272"/>
      <c r="S633" s="272"/>
      <c r="T633" s="272"/>
      <c r="U633" s="272"/>
      <c r="V633" s="272"/>
      <c r="W633" s="272"/>
      <c r="X633" s="272"/>
      <c r="Y633" s="272"/>
      <c r="Z633" s="272"/>
      <c r="AA633" s="272"/>
    </row>
    <row r="634" spans="1:27">
      <c r="A634" s="273">
        <v>5</v>
      </c>
      <c r="B634" s="274" t="s">
        <v>5628</v>
      </c>
      <c r="C634" s="275">
        <v>45370</v>
      </c>
      <c r="D634" s="274" t="s">
        <v>4714</v>
      </c>
      <c r="E634" s="268" t="s">
        <v>4820</v>
      </c>
      <c r="F634" s="268" t="s">
        <v>4715</v>
      </c>
      <c r="G634" s="268" t="s">
        <v>4716</v>
      </c>
      <c r="H634" s="268" t="str">
        <f t="shared" si="3"/>
        <v>MANUEL CAÑETE DOMÍNGUEZ</v>
      </c>
      <c r="I634" s="268" t="s">
        <v>5654</v>
      </c>
      <c r="J634" s="272" t="s">
        <v>4822</v>
      </c>
      <c r="K634" s="268" t="s">
        <v>5665</v>
      </c>
      <c r="L634" s="276">
        <v>45422</v>
      </c>
      <c r="M634" s="277"/>
      <c r="N634" s="282">
        <v>2</v>
      </c>
      <c r="O634" s="284" t="s">
        <v>4720</v>
      </c>
      <c r="P634" s="280">
        <v>3604.55</v>
      </c>
      <c r="Q634" s="289">
        <v>45370</v>
      </c>
      <c r="R634" s="272"/>
      <c r="S634" s="272"/>
      <c r="T634" s="272"/>
      <c r="U634" s="272"/>
      <c r="V634" s="272"/>
      <c r="W634" s="272"/>
      <c r="X634" s="272"/>
      <c r="Y634" s="272"/>
      <c r="Z634" s="272"/>
      <c r="AA634" s="272"/>
    </row>
    <row r="635" spans="1:27">
      <c r="A635" s="273">
        <v>5</v>
      </c>
      <c r="B635" s="274" t="s">
        <v>5628</v>
      </c>
      <c r="C635" s="275">
        <v>45303</v>
      </c>
      <c r="D635" s="274" t="s">
        <v>4714</v>
      </c>
      <c r="E635" s="268" t="s">
        <v>4775</v>
      </c>
      <c r="F635" s="268" t="s">
        <v>4715</v>
      </c>
      <c r="G635" s="268" t="s">
        <v>4716</v>
      </c>
      <c r="H635" s="268" t="str">
        <f t="shared" si="3"/>
        <v>REBECA BARRIOS GONZALO</v>
      </c>
      <c r="I635" s="268" t="s">
        <v>5666</v>
      </c>
      <c r="J635" s="272" t="s">
        <v>4822</v>
      </c>
      <c r="K635" s="268" t="s">
        <v>5667</v>
      </c>
      <c r="L635" s="276">
        <v>45422</v>
      </c>
      <c r="M635" s="283"/>
      <c r="N635" s="282">
        <v>2</v>
      </c>
      <c r="O635" s="284" t="s">
        <v>4723</v>
      </c>
      <c r="P635" s="280">
        <v>2818.18</v>
      </c>
      <c r="Q635" s="289">
        <v>45303</v>
      </c>
      <c r="R635" s="272"/>
      <c r="S635" s="272"/>
      <c r="T635" s="272"/>
      <c r="U635" s="272"/>
      <c r="V635" s="272"/>
      <c r="W635" s="272"/>
      <c r="X635" s="272"/>
      <c r="Y635" s="272"/>
      <c r="Z635" s="272"/>
      <c r="AA635" s="272"/>
    </row>
    <row r="636" spans="1:27">
      <c r="A636" s="273">
        <v>5</v>
      </c>
      <c r="B636" s="274" t="s">
        <v>5628</v>
      </c>
      <c r="C636" s="275">
        <v>45369</v>
      </c>
      <c r="D636" s="274" t="s">
        <v>4714</v>
      </c>
      <c r="E636" s="268" t="s">
        <v>4837</v>
      </c>
      <c r="F636" s="268" t="s">
        <v>4715</v>
      </c>
      <c r="G636" s="268" t="s">
        <v>4716</v>
      </c>
      <c r="H636" s="268" t="str">
        <f t="shared" si="3"/>
        <v>DIANA HERNÁN PÉREZ</v>
      </c>
      <c r="I636" s="268" t="s">
        <v>5668</v>
      </c>
      <c r="J636" s="272" t="s">
        <v>4718</v>
      </c>
      <c r="K636" s="268" t="s">
        <v>5669</v>
      </c>
      <c r="L636" s="276">
        <v>45422</v>
      </c>
      <c r="M636" s="277"/>
      <c r="N636" s="282">
        <v>2</v>
      </c>
      <c r="O636" s="284" t="s">
        <v>4720</v>
      </c>
      <c r="P636" s="280">
        <v>3423.64</v>
      </c>
      <c r="Q636" s="289">
        <v>45369</v>
      </c>
      <c r="R636" s="272"/>
      <c r="S636" s="272"/>
      <c r="T636" s="272"/>
      <c r="U636" s="272"/>
      <c r="V636" s="272"/>
      <c r="W636" s="272"/>
      <c r="X636" s="272"/>
      <c r="Y636" s="272"/>
      <c r="Z636" s="272"/>
      <c r="AA636" s="272"/>
    </row>
    <row r="637" spans="1:27">
      <c r="A637" s="273">
        <v>5</v>
      </c>
      <c r="B637" s="274" t="s">
        <v>5628</v>
      </c>
      <c r="C637" s="275">
        <v>45393</v>
      </c>
      <c r="D637" s="274" t="s">
        <v>4714</v>
      </c>
      <c r="E637" s="268" t="s">
        <v>3193</v>
      </c>
      <c r="F637" s="268" t="s">
        <v>4715</v>
      </c>
      <c r="G637" s="268" t="s">
        <v>4716</v>
      </c>
      <c r="H637" s="268" t="str">
        <f t="shared" si="3"/>
        <v>BÁRBARA CASTILLO ÁVILA</v>
      </c>
      <c r="I637" s="268" t="s">
        <v>4950</v>
      </c>
      <c r="J637" s="272" t="s">
        <v>4718</v>
      </c>
      <c r="K637" s="268" t="s">
        <v>5670</v>
      </c>
      <c r="L637" s="276">
        <v>45422</v>
      </c>
      <c r="M637" s="277"/>
      <c r="N637" s="282">
        <v>1</v>
      </c>
      <c r="O637" s="284" t="s">
        <v>4723</v>
      </c>
      <c r="P637" s="280">
        <v>1668.18</v>
      </c>
      <c r="Q637" s="289">
        <v>45393</v>
      </c>
      <c r="R637" s="272"/>
      <c r="S637" s="272"/>
      <c r="T637" s="272"/>
      <c r="U637" s="272"/>
      <c r="V637" s="272"/>
      <c r="W637" s="272"/>
      <c r="X637" s="272"/>
      <c r="Y637" s="272"/>
      <c r="Z637" s="272"/>
      <c r="AA637" s="272"/>
    </row>
    <row r="638" spans="1:27">
      <c r="A638" s="273">
        <v>5</v>
      </c>
      <c r="B638" s="274" t="s">
        <v>5628</v>
      </c>
      <c r="C638" s="275">
        <v>45390</v>
      </c>
      <c r="D638" s="274" t="s">
        <v>4714</v>
      </c>
      <c r="E638" s="268" t="s">
        <v>3193</v>
      </c>
      <c r="F638" s="268" t="s">
        <v>4715</v>
      </c>
      <c r="G638" s="268" t="s">
        <v>4716</v>
      </c>
      <c r="H638" s="268" t="str">
        <f t="shared" si="3"/>
        <v>OSCAR A, SÁNCHEZ VALENZUELA</v>
      </c>
      <c r="I638" s="268" t="s">
        <v>5643</v>
      </c>
      <c r="J638" s="272" t="s">
        <v>4718</v>
      </c>
      <c r="K638" s="268" t="s">
        <v>5671</v>
      </c>
      <c r="L638" s="276">
        <v>45422</v>
      </c>
      <c r="M638" s="283"/>
      <c r="N638" s="282">
        <v>1</v>
      </c>
      <c r="O638" s="284" t="s">
        <v>4720</v>
      </c>
      <c r="P638" s="280">
        <v>2162.73</v>
      </c>
      <c r="Q638" s="289">
        <v>45390</v>
      </c>
      <c r="R638" s="272"/>
      <c r="S638" s="272"/>
      <c r="T638" s="272"/>
      <c r="U638" s="272"/>
      <c r="V638" s="272"/>
      <c r="W638" s="272"/>
      <c r="X638" s="272"/>
      <c r="Y638" s="272"/>
      <c r="Z638" s="272"/>
      <c r="AA638" s="272"/>
    </row>
    <row r="639" spans="1:27">
      <c r="A639" s="273">
        <v>5</v>
      </c>
      <c r="B639" s="274" t="s">
        <v>5628</v>
      </c>
      <c r="C639" s="275">
        <v>45394</v>
      </c>
      <c r="D639" s="274" t="s">
        <v>4714</v>
      </c>
      <c r="E639" s="268" t="s">
        <v>2869</v>
      </c>
      <c r="F639" s="268" t="s">
        <v>4715</v>
      </c>
      <c r="G639" s="268" t="s">
        <v>4716</v>
      </c>
      <c r="H639" s="268" t="str">
        <f t="shared" si="3"/>
        <v>BEATRIZ RODRÍGUEZ GONZÁLEZ HERRERO</v>
      </c>
      <c r="I639" s="268" t="s">
        <v>5672</v>
      </c>
      <c r="J639" s="272" t="s">
        <v>4736</v>
      </c>
      <c r="K639" s="268" t="s">
        <v>5673</v>
      </c>
      <c r="L639" s="276">
        <v>45422</v>
      </c>
      <c r="M639" s="272"/>
      <c r="N639" s="282">
        <v>2</v>
      </c>
      <c r="O639" s="268" t="s">
        <v>4723</v>
      </c>
      <c r="P639" s="280">
        <v>2471.75</v>
      </c>
      <c r="Q639" s="303">
        <v>45394</v>
      </c>
      <c r="R639" s="272"/>
      <c r="S639" s="272"/>
      <c r="T639" s="272"/>
      <c r="U639" s="272"/>
      <c r="V639" s="272"/>
      <c r="W639" s="272"/>
      <c r="X639" s="272"/>
      <c r="Y639" s="272"/>
      <c r="Z639" s="272"/>
      <c r="AA639" s="272"/>
    </row>
    <row r="640" spans="1:27">
      <c r="A640" s="273">
        <v>5</v>
      </c>
      <c r="B640" s="274" t="s">
        <v>5628</v>
      </c>
      <c r="C640" s="275">
        <v>45391</v>
      </c>
      <c r="D640" s="274" t="s">
        <v>4714</v>
      </c>
      <c r="E640" s="268" t="s">
        <v>2972</v>
      </c>
      <c r="F640" s="268" t="s">
        <v>4715</v>
      </c>
      <c r="G640" s="268" t="s">
        <v>4716</v>
      </c>
      <c r="H640" s="268" t="str">
        <f t="shared" si="3"/>
        <v>CARLOS FÉLIX ASENSIO NIETO</v>
      </c>
      <c r="I640" s="268" t="s">
        <v>5371</v>
      </c>
      <c r="J640" s="272" t="s">
        <v>4822</v>
      </c>
      <c r="K640" s="268" t="s">
        <v>5674</v>
      </c>
      <c r="L640" s="287">
        <v>45422</v>
      </c>
      <c r="M640" s="268"/>
      <c r="N640" s="282">
        <v>2</v>
      </c>
      <c r="O640" s="268" t="s">
        <v>4720</v>
      </c>
      <c r="P640" s="280">
        <v>3604.55</v>
      </c>
      <c r="Q640" s="303">
        <v>45391</v>
      </c>
      <c r="R640" s="272"/>
      <c r="S640" s="272"/>
      <c r="T640" s="272"/>
      <c r="U640" s="272"/>
      <c r="V640" s="272"/>
      <c r="W640" s="272"/>
      <c r="X640" s="272"/>
      <c r="Y640" s="272"/>
      <c r="Z640" s="272"/>
      <c r="AA640" s="272"/>
    </row>
    <row r="641" spans="1:27">
      <c r="A641" s="273">
        <v>5</v>
      </c>
      <c r="B641" s="274" t="s">
        <v>5628</v>
      </c>
      <c r="C641" s="275">
        <v>45358</v>
      </c>
      <c r="D641" s="274" t="s">
        <v>4714</v>
      </c>
      <c r="E641" s="268" t="s">
        <v>4804</v>
      </c>
      <c r="F641" s="268" t="s">
        <v>4715</v>
      </c>
      <c r="G641" s="268" t="s">
        <v>4716</v>
      </c>
      <c r="H641" s="268" t="str">
        <f t="shared" si="3"/>
        <v>JOSEP MARIA ORRIT ARENAS</v>
      </c>
      <c r="I641" s="268" t="s">
        <v>5228</v>
      </c>
      <c r="J641" s="268" t="s">
        <v>4806</v>
      </c>
      <c r="K641" s="268" t="s">
        <v>5675</v>
      </c>
      <c r="L641" s="287">
        <v>45423</v>
      </c>
      <c r="M641" s="268"/>
      <c r="N641" s="282">
        <v>2</v>
      </c>
      <c r="O641" s="268" t="s">
        <v>4792</v>
      </c>
      <c r="P641" s="280">
        <v>2545.4499999999998</v>
      </c>
      <c r="Q641" s="304">
        <v>45358</v>
      </c>
      <c r="R641" s="272"/>
      <c r="S641" s="272"/>
      <c r="T641" s="272"/>
      <c r="U641" s="272"/>
      <c r="V641" s="272"/>
      <c r="W641" s="272"/>
      <c r="X641" s="272"/>
      <c r="Y641" s="272"/>
      <c r="Z641" s="272"/>
      <c r="AA641" s="272"/>
    </row>
    <row r="642" spans="1:27">
      <c r="A642" s="273">
        <v>5</v>
      </c>
      <c r="B642" s="274" t="s">
        <v>5628</v>
      </c>
      <c r="C642" s="275">
        <v>45370</v>
      </c>
      <c r="D642" s="274" t="s">
        <v>4714</v>
      </c>
      <c r="E642" s="268" t="s">
        <v>4775</v>
      </c>
      <c r="F642" s="268" t="s">
        <v>4715</v>
      </c>
      <c r="G642" s="268" t="s">
        <v>4716</v>
      </c>
      <c r="H642" s="268" t="str">
        <f t="shared" si="3"/>
        <v>FERNANDO SALAZAR BARCELONA</v>
      </c>
      <c r="I642" s="268" t="s">
        <v>4776</v>
      </c>
      <c r="J642" s="272" t="s">
        <v>4822</v>
      </c>
      <c r="K642" s="268" t="s">
        <v>5676</v>
      </c>
      <c r="L642" s="276">
        <v>45425</v>
      </c>
      <c r="M642" s="277"/>
      <c r="N642" s="282">
        <v>2</v>
      </c>
      <c r="O642" s="284" t="s">
        <v>4720</v>
      </c>
      <c r="P642" s="280">
        <v>3272.73</v>
      </c>
      <c r="Q642" s="289">
        <v>45370</v>
      </c>
      <c r="R642" s="272"/>
      <c r="S642" s="272"/>
      <c r="T642" s="272"/>
      <c r="U642" s="272"/>
      <c r="V642" s="272"/>
      <c r="W642" s="272"/>
      <c r="X642" s="272"/>
      <c r="Y642" s="272"/>
      <c r="Z642" s="272"/>
      <c r="AA642" s="272"/>
    </row>
    <row r="643" spans="1:27">
      <c r="A643" s="273">
        <v>5</v>
      </c>
      <c r="B643" s="274" t="s">
        <v>5628</v>
      </c>
      <c r="C643" s="275">
        <v>45364</v>
      </c>
      <c r="D643" s="274" t="s">
        <v>4714</v>
      </c>
      <c r="E643" s="268" t="s">
        <v>4945</v>
      </c>
      <c r="F643" s="268" t="s">
        <v>4715</v>
      </c>
      <c r="G643" s="268" t="s">
        <v>4716</v>
      </c>
      <c r="H643" s="268" t="str">
        <f t="shared" si="3"/>
        <v>Alejandro Harguindey Antoli-Candela</v>
      </c>
      <c r="I643" s="268" t="s">
        <v>4802</v>
      </c>
      <c r="J643" s="272" t="s">
        <v>4718</v>
      </c>
      <c r="K643" s="268" t="s">
        <v>5677</v>
      </c>
      <c r="L643" s="276">
        <v>45425</v>
      </c>
      <c r="M643" s="277"/>
      <c r="N643" s="282">
        <v>2</v>
      </c>
      <c r="O643" s="284" t="s">
        <v>4740</v>
      </c>
      <c r="P643" s="280">
        <v>4310</v>
      </c>
      <c r="Q643" s="289">
        <v>45364</v>
      </c>
      <c r="R643" s="272"/>
      <c r="S643" s="272"/>
      <c r="T643" s="272"/>
      <c r="U643" s="272"/>
      <c r="V643" s="272"/>
      <c r="W643" s="272"/>
      <c r="X643" s="272"/>
      <c r="Y643" s="272"/>
      <c r="Z643" s="272"/>
      <c r="AA643" s="272"/>
    </row>
    <row r="644" spans="1:27">
      <c r="A644" s="273">
        <v>5</v>
      </c>
      <c r="B644" s="274" t="s">
        <v>5628</v>
      </c>
      <c r="C644" s="275">
        <v>45390</v>
      </c>
      <c r="D644" s="274" t="s">
        <v>4714</v>
      </c>
      <c r="E644" s="268" t="s">
        <v>4749</v>
      </c>
      <c r="F644" s="268" t="s">
        <v>4715</v>
      </c>
      <c r="G644" s="268" t="s">
        <v>4716</v>
      </c>
      <c r="H644" s="268" t="str">
        <f t="shared" si="3"/>
        <v>XENIA MOTA ROJAS</v>
      </c>
      <c r="I644" s="268" t="s">
        <v>5351</v>
      </c>
      <c r="J644" s="272" t="s">
        <v>4747</v>
      </c>
      <c r="K644" s="268" t="s">
        <v>5678</v>
      </c>
      <c r="L644" s="302">
        <v>45425</v>
      </c>
      <c r="M644" s="268"/>
      <c r="N644" s="282">
        <v>2</v>
      </c>
      <c r="O644" s="268" t="s">
        <v>4720</v>
      </c>
      <c r="P644" s="280">
        <v>1727.27</v>
      </c>
      <c r="Q644" s="303">
        <v>45390</v>
      </c>
      <c r="R644" s="272"/>
      <c r="S644" s="272"/>
      <c r="T644" s="272"/>
      <c r="U644" s="272"/>
      <c r="V644" s="272"/>
      <c r="W644" s="272"/>
      <c r="X644" s="272"/>
      <c r="Y644" s="272"/>
      <c r="Z644" s="272"/>
      <c r="AA644" s="272"/>
    </row>
    <row r="645" spans="1:27">
      <c r="A645" s="273">
        <v>5</v>
      </c>
      <c r="B645" s="274" t="s">
        <v>5628</v>
      </c>
      <c r="C645" s="275">
        <v>45387</v>
      </c>
      <c r="D645" s="274" t="s">
        <v>4714</v>
      </c>
      <c r="E645" s="268" t="s">
        <v>3011</v>
      </c>
      <c r="F645" s="268" t="s">
        <v>4715</v>
      </c>
      <c r="G645" s="268" t="s">
        <v>4716</v>
      </c>
      <c r="H645" s="268" t="str">
        <f t="shared" si="3"/>
        <v>ESTEFANÍA BERROCAL POSTIGO</v>
      </c>
      <c r="I645" s="268" t="s">
        <v>5201</v>
      </c>
      <c r="J645" s="272" t="s">
        <v>4729</v>
      </c>
      <c r="K645" s="268" t="s">
        <v>5679</v>
      </c>
      <c r="L645" s="276">
        <v>45425</v>
      </c>
      <c r="M645" s="272"/>
      <c r="N645" s="282">
        <v>1</v>
      </c>
      <c r="O645" s="268" t="s">
        <v>4720</v>
      </c>
      <c r="P645" s="280">
        <v>2253.64</v>
      </c>
      <c r="Q645" s="304">
        <v>45387</v>
      </c>
      <c r="R645" s="272"/>
      <c r="S645" s="272"/>
      <c r="T645" s="272"/>
      <c r="U645" s="272"/>
      <c r="V645" s="272"/>
      <c r="W645" s="272"/>
      <c r="X645" s="272"/>
      <c r="Y645" s="272"/>
      <c r="Z645" s="272"/>
      <c r="AA645" s="272"/>
    </row>
    <row r="646" spans="1:27">
      <c r="A646" s="273">
        <v>5</v>
      </c>
      <c r="B646" s="274" t="s">
        <v>5628</v>
      </c>
      <c r="C646" s="275">
        <v>45401</v>
      </c>
      <c r="D646" s="274" t="s">
        <v>4714</v>
      </c>
      <c r="E646" s="268" t="s">
        <v>3011</v>
      </c>
      <c r="F646" s="268" t="s">
        <v>4715</v>
      </c>
      <c r="G646" s="268" t="s">
        <v>4716</v>
      </c>
      <c r="H646" s="268" t="str">
        <f t="shared" si="3"/>
        <v>ROCÍO CORRALES MILLÁN</v>
      </c>
      <c r="I646" s="268" t="s">
        <v>5680</v>
      </c>
      <c r="J646" s="268" t="s">
        <v>4729</v>
      </c>
      <c r="K646" s="268" t="s">
        <v>5681</v>
      </c>
      <c r="L646" s="302">
        <v>45425</v>
      </c>
      <c r="M646" s="268"/>
      <c r="N646" s="282">
        <v>2</v>
      </c>
      <c r="O646" s="268" t="s">
        <v>4723</v>
      </c>
      <c r="P646" s="280">
        <v>2962.73</v>
      </c>
      <c r="Q646" s="303">
        <v>45401</v>
      </c>
      <c r="R646" s="272"/>
      <c r="S646" s="272"/>
      <c r="T646" s="272"/>
      <c r="U646" s="272"/>
      <c r="V646" s="272"/>
      <c r="W646" s="272"/>
      <c r="X646" s="272"/>
      <c r="Y646" s="272"/>
      <c r="Z646" s="272"/>
      <c r="AA646" s="272"/>
    </row>
    <row r="647" spans="1:27">
      <c r="A647" s="273">
        <v>5</v>
      </c>
      <c r="B647" s="274" t="s">
        <v>5628</v>
      </c>
      <c r="C647" s="275">
        <v>45408</v>
      </c>
      <c r="D647" s="274" t="s">
        <v>4714</v>
      </c>
      <c r="E647" s="268" t="s">
        <v>2886</v>
      </c>
      <c r="F647" s="268" t="s">
        <v>4715</v>
      </c>
      <c r="G647" s="268" t="s">
        <v>4716</v>
      </c>
      <c r="H647" s="268" t="str">
        <f t="shared" si="3"/>
        <v>JULIE MÚÑOZ FREITEZ</v>
      </c>
      <c r="I647" s="268" t="s">
        <v>5493</v>
      </c>
      <c r="J647" s="272" t="s">
        <v>4718</v>
      </c>
      <c r="K647" s="268" t="s">
        <v>5682</v>
      </c>
      <c r="L647" s="302">
        <v>45425</v>
      </c>
      <c r="M647" s="268"/>
      <c r="N647" s="282">
        <v>2</v>
      </c>
      <c r="O647" s="268" t="s">
        <v>4740</v>
      </c>
      <c r="P647" s="280">
        <v>4222.7299999999996</v>
      </c>
      <c r="Q647" s="304">
        <v>45408</v>
      </c>
      <c r="R647" s="272"/>
      <c r="S647" s="272"/>
      <c r="T647" s="272"/>
      <c r="U647" s="272"/>
      <c r="V647" s="272"/>
      <c r="W647" s="272"/>
      <c r="X647" s="272"/>
      <c r="Y647" s="272"/>
      <c r="Z647" s="272"/>
      <c r="AA647" s="272"/>
    </row>
    <row r="648" spans="1:27">
      <c r="A648" s="273">
        <v>5</v>
      </c>
      <c r="B648" s="274" t="s">
        <v>5628</v>
      </c>
      <c r="C648" s="275">
        <v>45372</v>
      </c>
      <c r="D648" s="274" t="s">
        <v>4714</v>
      </c>
      <c r="E648" s="268" t="s">
        <v>4799</v>
      </c>
      <c r="F648" s="268" t="s">
        <v>4715</v>
      </c>
      <c r="G648" s="268" t="s">
        <v>4716</v>
      </c>
      <c r="H648" s="268" t="str">
        <f t="shared" si="3"/>
        <v>MANUEL ESTEVEZ GARCÍA</v>
      </c>
      <c r="I648" s="268" t="s">
        <v>5683</v>
      </c>
      <c r="J648" s="272" t="s">
        <v>4790</v>
      </c>
      <c r="K648" s="268" t="s">
        <v>5684</v>
      </c>
      <c r="L648" s="287">
        <v>45425</v>
      </c>
      <c r="M648" s="268"/>
      <c r="N648" s="282">
        <v>2</v>
      </c>
      <c r="O648" s="268" t="s">
        <v>4720</v>
      </c>
      <c r="P648" s="280">
        <v>3500</v>
      </c>
      <c r="Q648" s="304">
        <v>45372</v>
      </c>
      <c r="R648" s="272"/>
      <c r="S648" s="272"/>
      <c r="T648" s="272"/>
      <c r="U648" s="272"/>
      <c r="V648" s="272"/>
      <c r="W648" s="272"/>
      <c r="X648" s="272"/>
      <c r="Y648" s="272"/>
      <c r="Z648" s="272"/>
      <c r="AA648" s="272"/>
    </row>
    <row r="649" spans="1:27">
      <c r="A649" s="273">
        <v>5</v>
      </c>
      <c r="B649" s="274" t="s">
        <v>5628</v>
      </c>
      <c r="C649" s="275">
        <v>45397</v>
      </c>
      <c r="D649" s="274" t="s">
        <v>4714</v>
      </c>
      <c r="E649" s="268" t="s">
        <v>4194</v>
      </c>
      <c r="F649" s="268" t="s">
        <v>4715</v>
      </c>
      <c r="G649" s="268" t="s">
        <v>4716</v>
      </c>
      <c r="H649" s="268" t="str">
        <f t="shared" si="3"/>
        <v>MARIA ROSARIO FERRANDIZ GARCÍA</v>
      </c>
      <c r="I649" s="268" t="s">
        <v>5374</v>
      </c>
      <c r="J649" s="272" t="s">
        <v>4736</v>
      </c>
      <c r="K649" s="268" t="s">
        <v>5685</v>
      </c>
      <c r="L649" s="276">
        <v>45426</v>
      </c>
      <c r="M649" s="277"/>
      <c r="N649" s="282">
        <v>1</v>
      </c>
      <c r="O649" s="284" t="s">
        <v>4720</v>
      </c>
      <c r="P649" s="280">
        <v>1954.55</v>
      </c>
      <c r="Q649" s="289">
        <v>45397</v>
      </c>
      <c r="R649" s="272"/>
      <c r="S649" s="272"/>
      <c r="T649" s="272"/>
      <c r="U649" s="272"/>
      <c r="V649" s="272"/>
      <c r="W649" s="272"/>
      <c r="X649" s="272"/>
      <c r="Y649" s="272"/>
      <c r="Z649" s="272"/>
      <c r="AA649" s="272"/>
    </row>
    <row r="650" spans="1:27">
      <c r="A650" s="273">
        <v>5</v>
      </c>
      <c r="B650" s="274" t="s">
        <v>5628</v>
      </c>
      <c r="C650" s="275">
        <v>45384</v>
      </c>
      <c r="D650" s="274" t="s">
        <v>4714</v>
      </c>
      <c r="E650" s="268" t="s">
        <v>4981</v>
      </c>
      <c r="F650" s="268" t="s">
        <v>4715</v>
      </c>
      <c r="G650" s="268" t="s">
        <v>4716</v>
      </c>
      <c r="H650" s="268" t="str">
        <f t="shared" si="3"/>
        <v>RAFAEL MARTÍNEZ GARCERAN</v>
      </c>
      <c r="I650" s="268" t="s">
        <v>4982</v>
      </c>
      <c r="J650" s="268" t="s">
        <v>4736</v>
      </c>
      <c r="K650" s="268" t="s">
        <v>5686</v>
      </c>
      <c r="L650" s="276">
        <v>45426</v>
      </c>
      <c r="M650" s="277"/>
      <c r="N650" s="282">
        <v>2</v>
      </c>
      <c r="O650" s="284" t="s">
        <v>4720</v>
      </c>
      <c r="P650" s="280">
        <v>3075</v>
      </c>
      <c r="Q650" s="289">
        <v>45384</v>
      </c>
      <c r="R650" s="272"/>
      <c r="S650" s="272"/>
      <c r="T650" s="272"/>
      <c r="U650" s="272"/>
      <c r="V650" s="272"/>
      <c r="W650" s="272"/>
      <c r="X650" s="272"/>
      <c r="Y650" s="272"/>
      <c r="Z650" s="272"/>
      <c r="AA650" s="272"/>
    </row>
    <row r="651" spans="1:27">
      <c r="A651" s="273">
        <v>5</v>
      </c>
      <c r="B651" s="274" t="s">
        <v>5628</v>
      </c>
      <c r="C651" s="275">
        <v>45356</v>
      </c>
      <c r="D651" s="274" t="s">
        <v>4714</v>
      </c>
      <c r="E651" s="268" t="s">
        <v>5130</v>
      </c>
      <c r="F651" s="268" t="s">
        <v>4715</v>
      </c>
      <c r="G651" s="268" t="s">
        <v>4716</v>
      </c>
      <c r="H651" s="268" t="str">
        <f t="shared" si="3"/>
        <v>RAFAEL PÉREZ GONZÁLEZ</v>
      </c>
      <c r="I651" s="268" t="s">
        <v>5687</v>
      </c>
      <c r="J651" s="272" t="s">
        <v>4747</v>
      </c>
      <c r="K651" s="268" t="s">
        <v>5688</v>
      </c>
      <c r="L651" s="276">
        <v>45426</v>
      </c>
      <c r="M651" s="283"/>
      <c r="N651" s="282">
        <v>2</v>
      </c>
      <c r="O651" s="284" t="s">
        <v>4720</v>
      </c>
      <c r="P651" s="280">
        <v>4326.92</v>
      </c>
      <c r="Q651" s="289">
        <v>45356</v>
      </c>
      <c r="R651" s="272"/>
      <c r="S651" s="272"/>
      <c r="T651" s="272"/>
      <c r="U651" s="272"/>
      <c r="V651" s="272"/>
      <c r="W651" s="272"/>
      <c r="X651" s="272"/>
      <c r="Y651" s="272"/>
      <c r="Z651" s="272"/>
      <c r="AA651" s="272"/>
    </row>
    <row r="652" spans="1:27">
      <c r="A652" s="273">
        <v>5</v>
      </c>
      <c r="B652" s="274" t="s">
        <v>5628</v>
      </c>
      <c r="C652" s="275">
        <v>45387</v>
      </c>
      <c r="D652" s="274" t="s">
        <v>4714</v>
      </c>
      <c r="E652" s="268" t="s">
        <v>3605</v>
      </c>
      <c r="F652" s="268" t="s">
        <v>4715</v>
      </c>
      <c r="G652" s="268" t="s">
        <v>4716</v>
      </c>
      <c r="H652" s="268" t="str">
        <f t="shared" si="3"/>
        <v>ESTEBAN SCOLA PLIEGO</v>
      </c>
      <c r="I652" s="268" t="s">
        <v>5010</v>
      </c>
      <c r="J652" s="272" t="s">
        <v>4718</v>
      </c>
      <c r="K652" s="268" t="s">
        <v>5689</v>
      </c>
      <c r="L652" s="276">
        <v>45426</v>
      </c>
      <c r="M652" s="277"/>
      <c r="N652" s="282">
        <v>2</v>
      </c>
      <c r="O652" s="284" t="s">
        <v>4720</v>
      </c>
      <c r="P652" s="280">
        <v>3424.32</v>
      </c>
      <c r="Q652" s="289">
        <v>45387</v>
      </c>
      <c r="R652" s="272"/>
      <c r="S652" s="272"/>
      <c r="T652" s="272"/>
      <c r="U652" s="272"/>
      <c r="V652" s="272"/>
      <c r="W652" s="272"/>
      <c r="X652" s="272"/>
      <c r="Y652" s="272"/>
      <c r="Z652" s="272"/>
      <c r="AA652" s="272"/>
    </row>
    <row r="653" spans="1:27">
      <c r="A653" s="273">
        <v>5</v>
      </c>
      <c r="B653" s="274" t="s">
        <v>5628</v>
      </c>
      <c r="C653" s="275">
        <v>45399</v>
      </c>
      <c r="D653" s="274" t="s">
        <v>4714</v>
      </c>
      <c r="E653" s="268" t="s">
        <v>3758</v>
      </c>
      <c r="F653" s="268" t="s">
        <v>4715</v>
      </c>
      <c r="G653" s="268" t="s">
        <v>4716</v>
      </c>
      <c r="H653" s="268" t="str">
        <f t="shared" si="3"/>
        <v>ITZIAR ÁLVAREZ PALACIOS</v>
      </c>
      <c r="I653" s="268" t="s">
        <v>5008</v>
      </c>
      <c r="J653" s="268" t="s">
        <v>4718</v>
      </c>
      <c r="K653" s="268" t="s">
        <v>5690</v>
      </c>
      <c r="L653" s="276">
        <v>45426</v>
      </c>
      <c r="M653" s="283"/>
      <c r="N653" s="282">
        <v>2</v>
      </c>
      <c r="O653" s="284" t="s">
        <v>4723</v>
      </c>
      <c r="P653" s="280">
        <v>2780.91</v>
      </c>
      <c r="Q653" s="289">
        <v>45399</v>
      </c>
      <c r="R653" s="272"/>
      <c r="S653" s="272"/>
      <c r="T653" s="272"/>
      <c r="U653" s="272"/>
      <c r="V653" s="272"/>
      <c r="W653" s="272"/>
      <c r="X653" s="272"/>
      <c r="Y653" s="272"/>
      <c r="Z653" s="272"/>
      <c r="AA653" s="272"/>
    </row>
    <row r="654" spans="1:27">
      <c r="A654" s="273">
        <v>5</v>
      </c>
      <c r="B654" s="274" t="s">
        <v>5628</v>
      </c>
      <c r="C654" s="275">
        <v>45373</v>
      </c>
      <c r="D654" s="274" t="s">
        <v>4714</v>
      </c>
      <c r="E654" s="268" t="s">
        <v>2869</v>
      </c>
      <c r="F654" s="268" t="s">
        <v>4715</v>
      </c>
      <c r="G654" s="268" t="s">
        <v>4716</v>
      </c>
      <c r="H654" s="268" t="str">
        <f t="shared" si="3"/>
        <v>JESÚS MIGUEL INIESTA TURPÍN</v>
      </c>
      <c r="I654" s="268" t="s">
        <v>4868</v>
      </c>
      <c r="J654" s="272" t="s">
        <v>4736</v>
      </c>
      <c r="K654" s="268" t="s">
        <v>5691</v>
      </c>
      <c r="L654" s="287">
        <v>45426</v>
      </c>
      <c r="M654" s="268"/>
      <c r="N654" s="282">
        <v>2</v>
      </c>
      <c r="O654" s="268" t="s">
        <v>4723</v>
      </c>
      <c r="P654" s="280">
        <v>2641.82</v>
      </c>
      <c r="Q654" s="303">
        <v>45373</v>
      </c>
      <c r="R654" s="272"/>
      <c r="S654" s="272"/>
      <c r="T654" s="272"/>
      <c r="U654" s="272"/>
      <c r="V654" s="272"/>
      <c r="W654" s="272"/>
      <c r="X654" s="272"/>
      <c r="Y654" s="272"/>
      <c r="Z654" s="272"/>
      <c r="AA654" s="272"/>
    </row>
    <row r="655" spans="1:27">
      <c r="A655" s="273">
        <v>5</v>
      </c>
      <c r="B655" s="274" t="s">
        <v>5628</v>
      </c>
      <c r="C655" s="275">
        <v>45399</v>
      </c>
      <c r="D655" s="274" t="s">
        <v>4714</v>
      </c>
      <c r="E655" s="268" t="s">
        <v>2900</v>
      </c>
      <c r="F655" s="268" t="s">
        <v>4715</v>
      </c>
      <c r="G655" s="268" t="s">
        <v>4716</v>
      </c>
      <c r="H655" s="268" t="str">
        <f t="shared" si="3"/>
        <v>MARÍA REY MARCOS</v>
      </c>
      <c r="I655" s="268" t="s">
        <v>4952</v>
      </c>
      <c r="J655" s="272" t="s">
        <v>4790</v>
      </c>
      <c r="K655" s="268" t="s">
        <v>5692</v>
      </c>
      <c r="L655" s="287">
        <v>45426</v>
      </c>
      <c r="M655" s="268"/>
      <c r="N655" s="282">
        <v>2</v>
      </c>
      <c r="O655" s="268" t="s">
        <v>4723</v>
      </c>
      <c r="P655" s="280">
        <v>2781.08</v>
      </c>
      <c r="Q655" s="303">
        <v>45399</v>
      </c>
      <c r="R655" s="272"/>
      <c r="S655" s="272"/>
      <c r="T655" s="272"/>
      <c r="U655" s="272"/>
      <c r="V655" s="272"/>
      <c r="W655" s="272"/>
      <c r="X655" s="272"/>
      <c r="Y655" s="272"/>
      <c r="Z655" s="272"/>
      <c r="AA655" s="272"/>
    </row>
    <row r="656" spans="1:27">
      <c r="A656" s="273">
        <v>5</v>
      </c>
      <c r="B656" s="274" t="s">
        <v>5628</v>
      </c>
      <c r="C656" s="275">
        <v>45376</v>
      </c>
      <c r="D656" s="274" t="s">
        <v>4714</v>
      </c>
      <c r="E656" s="268" t="s">
        <v>4780</v>
      </c>
      <c r="F656" s="268" t="s">
        <v>4715</v>
      </c>
      <c r="G656" s="268" t="s">
        <v>4716</v>
      </c>
      <c r="H656" s="268" t="str">
        <f t="shared" si="3"/>
        <v>MARÍA JESÚS CORNEJO DOMÍNGUEZ</v>
      </c>
      <c r="I656" s="268" t="s">
        <v>4781</v>
      </c>
      <c r="J656" s="272" t="s">
        <v>4747</v>
      </c>
      <c r="K656" s="268" t="s">
        <v>5693</v>
      </c>
      <c r="L656" s="287">
        <v>45426</v>
      </c>
      <c r="M656" s="272"/>
      <c r="N656" s="282">
        <v>2</v>
      </c>
      <c r="O656" s="268" t="s">
        <v>4720</v>
      </c>
      <c r="P656" s="280">
        <v>3604.55</v>
      </c>
      <c r="Q656" s="303">
        <v>45376</v>
      </c>
      <c r="R656" s="272"/>
      <c r="S656" s="272"/>
      <c r="T656" s="272"/>
      <c r="U656" s="272"/>
      <c r="V656" s="272"/>
      <c r="W656" s="272"/>
      <c r="X656" s="272"/>
      <c r="Y656" s="272"/>
      <c r="Z656" s="272"/>
      <c r="AA656" s="272"/>
    </row>
    <row r="657" spans="1:27">
      <c r="A657" s="273">
        <v>5</v>
      </c>
      <c r="B657" s="274" t="s">
        <v>5628</v>
      </c>
      <c r="C657" s="275">
        <v>45330</v>
      </c>
      <c r="D657" s="274" t="s">
        <v>4714</v>
      </c>
      <c r="E657" s="268" t="s">
        <v>4194</v>
      </c>
      <c r="F657" s="268" t="s">
        <v>4715</v>
      </c>
      <c r="G657" s="268" t="s">
        <v>4716</v>
      </c>
      <c r="H657" s="268" t="str">
        <f t="shared" si="3"/>
        <v>FRANCISCO PASTOR BEVIÁ</v>
      </c>
      <c r="I657" s="268" t="s">
        <v>4738</v>
      </c>
      <c r="J657" s="272" t="s">
        <v>4736</v>
      </c>
      <c r="K657" s="268" t="s">
        <v>5694</v>
      </c>
      <c r="L657" s="276">
        <v>45427</v>
      </c>
      <c r="M657" s="277"/>
      <c r="N657" s="282">
        <v>2</v>
      </c>
      <c r="O657" s="284" t="s">
        <v>4740</v>
      </c>
      <c r="P657" s="280">
        <v>3604.55</v>
      </c>
      <c r="Q657" s="289">
        <v>45330</v>
      </c>
      <c r="R657" s="272"/>
      <c r="S657" s="272"/>
      <c r="T657" s="272"/>
      <c r="U657" s="272"/>
      <c r="V657" s="272"/>
      <c r="W657" s="272"/>
      <c r="X657" s="272"/>
      <c r="Y657" s="272"/>
      <c r="Z657" s="272"/>
      <c r="AA657" s="272"/>
    </row>
    <row r="658" spans="1:27">
      <c r="A658" s="273">
        <v>5</v>
      </c>
      <c r="B658" s="274" t="s">
        <v>5628</v>
      </c>
      <c r="C658" s="275">
        <v>45337</v>
      </c>
      <c r="D658" s="274" t="s">
        <v>4714</v>
      </c>
      <c r="E658" s="268" t="s">
        <v>2909</v>
      </c>
      <c r="F658" s="268" t="s">
        <v>4715</v>
      </c>
      <c r="G658" s="268" t="s">
        <v>4716</v>
      </c>
      <c r="H658" s="268" t="str">
        <f t="shared" si="3"/>
        <v>EVIANS GÓMEZ DE LA ROSA</v>
      </c>
      <c r="I658" s="268" t="s">
        <v>5068</v>
      </c>
      <c r="J658" s="272" t="s">
        <v>4806</v>
      </c>
      <c r="K658" s="268" t="s">
        <v>5695</v>
      </c>
      <c r="L658" s="276">
        <v>45427</v>
      </c>
      <c r="M658" s="277"/>
      <c r="N658" s="292">
        <v>2</v>
      </c>
      <c r="O658" s="293" t="s">
        <v>4720</v>
      </c>
      <c r="P658" s="294">
        <v>3604.55</v>
      </c>
      <c r="Q658" s="287">
        <v>45337</v>
      </c>
      <c r="R658" s="272"/>
      <c r="S658" s="272"/>
      <c r="T658" s="272"/>
      <c r="U658" s="272"/>
      <c r="V658" s="272"/>
      <c r="W658" s="272"/>
      <c r="X658" s="272"/>
      <c r="Y658" s="272"/>
      <c r="Z658" s="272"/>
      <c r="AA658" s="272"/>
    </row>
    <row r="659" spans="1:27">
      <c r="A659" s="273">
        <v>5</v>
      </c>
      <c r="B659" s="274" t="s">
        <v>5628</v>
      </c>
      <c r="C659" s="275">
        <v>45400</v>
      </c>
      <c r="D659" s="274" t="s">
        <v>4714</v>
      </c>
      <c r="E659" s="268" t="s">
        <v>2880</v>
      </c>
      <c r="F659" s="268" t="s">
        <v>4715</v>
      </c>
      <c r="G659" s="268" t="s">
        <v>4716</v>
      </c>
      <c r="H659" s="268" t="str">
        <f t="shared" si="3"/>
        <v>MARÍA GARROTE GARROTE</v>
      </c>
      <c r="I659" s="268" t="s">
        <v>4721</v>
      </c>
      <c r="J659" s="272" t="s">
        <v>4718</v>
      </c>
      <c r="K659" s="268" t="s">
        <v>5696</v>
      </c>
      <c r="L659" s="276">
        <v>45427</v>
      </c>
      <c r="M659" s="277"/>
      <c r="N659" s="282">
        <v>2</v>
      </c>
      <c r="O659" s="284" t="s">
        <v>4723</v>
      </c>
      <c r="P659" s="280">
        <v>2780.91</v>
      </c>
      <c r="Q659" s="289">
        <v>45400</v>
      </c>
      <c r="R659" s="272"/>
      <c r="S659" s="272"/>
      <c r="T659" s="272"/>
      <c r="U659" s="272"/>
      <c r="V659" s="272"/>
      <c r="W659" s="272"/>
      <c r="X659" s="272"/>
      <c r="Y659" s="272"/>
      <c r="Z659" s="272"/>
      <c r="AA659" s="272"/>
    </row>
    <row r="660" spans="1:27">
      <c r="A660" s="273">
        <v>5</v>
      </c>
      <c r="B660" s="274" t="s">
        <v>5628</v>
      </c>
      <c r="C660" s="275">
        <v>45342</v>
      </c>
      <c r="D660" s="285" t="s">
        <v>4714</v>
      </c>
      <c r="E660" s="268" t="s">
        <v>4799</v>
      </c>
      <c r="F660" s="268" t="s">
        <v>4715</v>
      </c>
      <c r="G660" s="268" t="s">
        <v>4716</v>
      </c>
      <c r="H660" s="268" t="str">
        <f t="shared" si="3"/>
        <v>ADELA PÉREZ-CARO RÍOS</v>
      </c>
      <c r="I660" s="268" t="s">
        <v>5169</v>
      </c>
      <c r="J660" s="268" t="s">
        <v>4790</v>
      </c>
      <c r="K660" s="268" t="s">
        <v>5697</v>
      </c>
      <c r="L660" s="287">
        <v>45427</v>
      </c>
      <c r="M660" s="268"/>
      <c r="N660" s="282">
        <v>2</v>
      </c>
      <c r="O660" s="268" t="s">
        <v>4723</v>
      </c>
      <c r="P660" s="280">
        <v>2909.09</v>
      </c>
      <c r="Q660" s="304">
        <v>45342</v>
      </c>
      <c r="R660" s="272"/>
      <c r="S660" s="272"/>
      <c r="T660" s="272"/>
      <c r="U660" s="272"/>
      <c r="V660" s="272"/>
      <c r="W660" s="272"/>
      <c r="X660" s="272"/>
      <c r="Y660" s="272"/>
      <c r="Z660" s="272"/>
      <c r="AA660" s="272"/>
    </row>
    <row r="661" spans="1:27">
      <c r="A661" s="273">
        <v>5</v>
      </c>
      <c r="B661" s="274" t="s">
        <v>5628</v>
      </c>
      <c r="C661" s="275">
        <v>45355</v>
      </c>
      <c r="D661" s="274" t="s">
        <v>4714</v>
      </c>
      <c r="E661" s="268" t="s">
        <v>4194</v>
      </c>
      <c r="F661" s="268" t="s">
        <v>4715</v>
      </c>
      <c r="G661" s="268" t="s">
        <v>4716</v>
      </c>
      <c r="H661" s="268" t="str">
        <f t="shared" si="3"/>
        <v>MARIA ROSARIO FERRANDIZ GARCÍA</v>
      </c>
      <c r="I661" s="268" t="s">
        <v>5374</v>
      </c>
      <c r="J661" s="272" t="s">
        <v>4736</v>
      </c>
      <c r="K661" s="268" t="s">
        <v>5698</v>
      </c>
      <c r="L661" s="276">
        <v>45428</v>
      </c>
      <c r="M661" s="277"/>
      <c r="N661" s="282">
        <v>2</v>
      </c>
      <c r="O661" s="284" t="s">
        <v>4723</v>
      </c>
      <c r="P661" s="280">
        <v>2781.82</v>
      </c>
      <c r="Q661" s="289">
        <v>45355</v>
      </c>
      <c r="R661" s="272"/>
      <c r="S661" s="272"/>
      <c r="T661" s="272"/>
      <c r="U661" s="272"/>
      <c r="V661" s="272"/>
      <c r="W661" s="272"/>
      <c r="X661" s="272"/>
      <c r="Y661" s="272"/>
      <c r="Z661" s="272"/>
      <c r="AA661" s="272"/>
    </row>
    <row r="662" spans="1:27">
      <c r="A662" s="273">
        <v>5</v>
      </c>
      <c r="B662" s="274" t="s">
        <v>5628</v>
      </c>
      <c r="C662" s="275">
        <v>45363</v>
      </c>
      <c r="D662" s="274" t="s">
        <v>4714</v>
      </c>
      <c r="E662" s="268" t="s">
        <v>2869</v>
      </c>
      <c r="F662" s="268" t="s">
        <v>4715</v>
      </c>
      <c r="G662" s="268" t="s">
        <v>4716</v>
      </c>
      <c r="H662" s="268" t="str">
        <f t="shared" si="3"/>
        <v>AIDA AVIÑOA ARIAS</v>
      </c>
      <c r="I662" s="268" t="s">
        <v>5298</v>
      </c>
      <c r="J662" s="272" t="s">
        <v>4736</v>
      </c>
      <c r="K662" s="268" t="s">
        <v>5699</v>
      </c>
      <c r="L662" s="302">
        <v>45428</v>
      </c>
      <c r="M662" s="268"/>
      <c r="N662" s="282">
        <v>1</v>
      </c>
      <c r="O662" s="268" t="s">
        <v>4720</v>
      </c>
      <c r="P662" s="280">
        <v>2162.73</v>
      </c>
      <c r="Q662" s="304">
        <v>45363</v>
      </c>
      <c r="R662" s="272"/>
      <c r="S662" s="272"/>
      <c r="T662" s="272"/>
      <c r="U662" s="272"/>
      <c r="V662" s="272"/>
      <c r="W662" s="272"/>
      <c r="X662" s="272"/>
      <c r="Y662" s="272"/>
      <c r="Z662" s="272"/>
      <c r="AA662" s="272"/>
    </row>
    <row r="663" spans="1:27">
      <c r="A663" s="273">
        <v>5</v>
      </c>
      <c r="B663" s="274" t="s">
        <v>5628</v>
      </c>
      <c r="C663" s="275">
        <v>45399</v>
      </c>
      <c r="D663" s="274" t="s">
        <v>4714</v>
      </c>
      <c r="E663" s="268" t="s">
        <v>2900</v>
      </c>
      <c r="F663" s="268" t="s">
        <v>4715</v>
      </c>
      <c r="G663" s="268" t="s">
        <v>4716</v>
      </c>
      <c r="H663" s="268" t="str">
        <f t="shared" si="3"/>
        <v>Rafael Alfonso Hurtado Ruzza</v>
      </c>
      <c r="I663" s="268" t="s">
        <v>5042</v>
      </c>
      <c r="J663" s="272" t="s">
        <v>4790</v>
      </c>
      <c r="K663" s="268" t="s">
        <v>5700</v>
      </c>
      <c r="L663" s="302">
        <v>45428</v>
      </c>
      <c r="M663" s="272"/>
      <c r="N663" s="282">
        <v>2</v>
      </c>
      <c r="O663" s="268" t="s">
        <v>4720</v>
      </c>
      <c r="P663" s="280">
        <v>3604.4</v>
      </c>
      <c r="Q663" s="304">
        <v>45399</v>
      </c>
      <c r="R663" s="272"/>
      <c r="S663" s="272"/>
      <c r="T663" s="272"/>
      <c r="U663" s="272"/>
      <c r="V663" s="272"/>
      <c r="W663" s="272"/>
      <c r="X663" s="272"/>
      <c r="Y663" s="272"/>
      <c r="Z663" s="272"/>
      <c r="AA663" s="272"/>
    </row>
    <row r="664" spans="1:27">
      <c r="A664" s="273">
        <v>5</v>
      </c>
      <c r="B664" s="274" t="s">
        <v>5628</v>
      </c>
      <c r="C664" s="275">
        <v>45386</v>
      </c>
      <c r="D664" s="274" t="s">
        <v>4714</v>
      </c>
      <c r="E664" s="268" t="s">
        <v>4780</v>
      </c>
      <c r="F664" s="268" t="s">
        <v>4715</v>
      </c>
      <c r="G664" s="268" t="s">
        <v>4716</v>
      </c>
      <c r="H664" s="268" t="str">
        <f t="shared" si="3"/>
        <v>MARÍA JESÚS CORNEJO DOMÍNGUEZ</v>
      </c>
      <c r="I664" s="268" t="s">
        <v>4781</v>
      </c>
      <c r="J664" s="268" t="s">
        <v>4747</v>
      </c>
      <c r="K664" s="268" t="s">
        <v>5701</v>
      </c>
      <c r="L664" s="287">
        <v>45428</v>
      </c>
      <c r="M664" s="268"/>
      <c r="N664" s="282">
        <v>1</v>
      </c>
      <c r="O664" s="268" t="s">
        <v>4720</v>
      </c>
      <c r="P664" s="280">
        <v>2162.73</v>
      </c>
      <c r="Q664" s="304">
        <v>45386</v>
      </c>
      <c r="R664" s="272"/>
      <c r="S664" s="272"/>
      <c r="T664" s="272"/>
      <c r="U664" s="272"/>
      <c r="V664" s="272"/>
      <c r="W664" s="272"/>
      <c r="X664" s="272"/>
      <c r="Y664" s="272"/>
      <c r="Z664" s="272"/>
      <c r="AA664" s="272"/>
    </row>
    <row r="665" spans="1:27">
      <c r="A665" s="273">
        <v>5</v>
      </c>
      <c r="B665" s="274" t="s">
        <v>5628</v>
      </c>
      <c r="C665" s="275">
        <v>45359</v>
      </c>
      <c r="D665" s="274" t="s">
        <v>4714</v>
      </c>
      <c r="E665" s="268" t="s">
        <v>3011</v>
      </c>
      <c r="F665" s="268" t="s">
        <v>4715</v>
      </c>
      <c r="G665" s="268" t="s">
        <v>4716</v>
      </c>
      <c r="H665" s="268" t="str">
        <f t="shared" si="3"/>
        <v>MIGUEL OLIVENCIA PÉREZ</v>
      </c>
      <c r="I665" s="268" t="s">
        <v>5702</v>
      </c>
      <c r="J665" s="272" t="s">
        <v>4729</v>
      </c>
      <c r="K665" s="268" t="s">
        <v>5703</v>
      </c>
      <c r="L665" s="287">
        <v>45428</v>
      </c>
      <c r="M665" s="268"/>
      <c r="N665" s="282">
        <v>2</v>
      </c>
      <c r="O665" s="268" t="s">
        <v>4720</v>
      </c>
      <c r="P665" s="280">
        <v>3586.36</v>
      </c>
      <c r="Q665" s="303">
        <v>45359</v>
      </c>
      <c r="R665" s="272"/>
      <c r="S665" s="272"/>
      <c r="T665" s="272"/>
      <c r="U665" s="272"/>
      <c r="V665" s="272"/>
      <c r="W665" s="272"/>
      <c r="X665" s="272"/>
      <c r="Y665" s="272"/>
      <c r="Z665" s="272"/>
      <c r="AA665" s="272"/>
    </row>
    <row r="666" spans="1:27">
      <c r="A666" s="273">
        <v>5</v>
      </c>
      <c r="B666" s="274" t="s">
        <v>5628</v>
      </c>
      <c r="C666" s="275">
        <v>45397</v>
      </c>
      <c r="D666" s="274" t="s">
        <v>4714</v>
      </c>
      <c r="E666" s="268" t="s">
        <v>3011</v>
      </c>
      <c r="F666" s="268" t="s">
        <v>4715</v>
      </c>
      <c r="G666" s="268" t="s">
        <v>4716</v>
      </c>
      <c r="H666" s="268" t="str">
        <f t="shared" si="3"/>
        <v>JESÚS CROVATO ROJAS</v>
      </c>
      <c r="I666" s="268" t="s">
        <v>5251</v>
      </c>
      <c r="J666" s="272" t="s">
        <v>4729</v>
      </c>
      <c r="K666" s="268" t="s">
        <v>5704</v>
      </c>
      <c r="L666" s="302">
        <v>45428</v>
      </c>
      <c r="M666" s="268"/>
      <c r="N666" s="282">
        <v>2</v>
      </c>
      <c r="O666" s="268" t="s">
        <v>4720</v>
      </c>
      <c r="P666" s="280">
        <v>3586.36</v>
      </c>
      <c r="Q666" s="304">
        <v>45397</v>
      </c>
      <c r="R666" s="272"/>
      <c r="S666" s="272"/>
      <c r="T666" s="272"/>
      <c r="U666" s="272"/>
      <c r="V666" s="272"/>
      <c r="W666" s="272"/>
      <c r="X666" s="272"/>
      <c r="Y666" s="272"/>
      <c r="Z666" s="272"/>
      <c r="AA666" s="272"/>
    </row>
    <row r="667" spans="1:27">
      <c r="A667" s="273">
        <v>5</v>
      </c>
      <c r="B667" s="274" t="s">
        <v>5628</v>
      </c>
      <c r="C667" s="275">
        <v>45392</v>
      </c>
      <c r="D667" s="274" t="s">
        <v>4714</v>
      </c>
      <c r="E667" s="268" t="s">
        <v>4845</v>
      </c>
      <c r="F667" s="268" t="s">
        <v>4715</v>
      </c>
      <c r="G667" s="268" t="s">
        <v>4716</v>
      </c>
      <c r="H667" s="268" t="str">
        <f t="shared" si="3"/>
        <v>MARÍA JOSÉ NAYA GÁLVEZ</v>
      </c>
      <c r="I667" s="268" t="s">
        <v>5705</v>
      </c>
      <c r="J667" s="272" t="s">
        <v>4806</v>
      </c>
      <c r="K667" s="268" t="s">
        <v>5706</v>
      </c>
      <c r="L667" s="302">
        <v>45428</v>
      </c>
      <c r="M667" s="268"/>
      <c r="N667" s="282">
        <v>2</v>
      </c>
      <c r="O667" s="268" t="s">
        <v>4720</v>
      </c>
      <c r="P667" s="280">
        <v>3424.55</v>
      </c>
      <c r="Q667" s="303">
        <v>45392</v>
      </c>
      <c r="R667" s="272"/>
      <c r="S667" s="272"/>
      <c r="T667" s="272"/>
      <c r="U667" s="272"/>
      <c r="V667" s="272"/>
      <c r="W667" s="272"/>
      <c r="X667" s="272"/>
      <c r="Y667" s="272"/>
      <c r="Z667" s="272"/>
      <c r="AA667" s="272"/>
    </row>
    <row r="668" spans="1:27">
      <c r="A668" s="273">
        <v>5</v>
      </c>
      <c r="B668" s="274" t="s">
        <v>5628</v>
      </c>
      <c r="C668" s="275">
        <v>45369</v>
      </c>
      <c r="D668" s="274" t="s">
        <v>4714</v>
      </c>
      <c r="E668" s="268" t="s">
        <v>4203</v>
      </c>
      <c r="F668" s="268" t="s">
        <v>4715</v>
      </c>
      <c r="G668" s="268" t="s">
        <v>4716</v>
      </c>
      <c r="H668" s="268" t="str">
        <f t="shared" si="3"/>
        <v>JOAQUÍN PÉREZ RULL</v>
      </c>
      <c r="I668" s="268" t="s">
        <v>5707</v>
      </c>
      <c r="J668" s="272" t="s">
        <v>4736</v>
      </c>
      <c r="K668" s="268" t="s">
        <v>5708</v>
      </c>
      <c r="L668" s="276">
        <v>45429</v>
      </c>
      <c r="M668" s="277"/>
      <c r="N668" s="282">
        <v>2</v>
      </c>
      <c r="O668" s="284" t="s">
        <v>4720</v>
      </c>
      <c r="P668" s="280">
        <v>3604.55</v>
      </c>
      <c r="Q668" s="289">
        <v>45369</v>
      </c>
      <c r="R668" s="272"/>
      <c r="S668" s="272"/>
      <c r="T668" s="272"/>
      <c r="U668" s="272"/>
      <c r="V668" s="272"/>
      <c r="W668" s="272"/>
      <c r="X668" s="272"/>
      <c r="Y668" s="272"/>
      <c r="Z668" s="272"/>
      <c r="AA668" s="272"/>
    </row>
    <row r="669" spans="1:27">
      <c r="A669" s="273">
        <v>5</v>
      </c>
      <c r="B669" s="274" t="s">
        <v>5628</v>
      </c>
      <c r="C669" s="275">
        <v>45406</v>
      </c>
      <c r="D669" s="274" t="s">
        <v>4714</v>
      </c>
      <c r="E669" s="268" t="s">
        <v>3480</v>
      </c>
      <c r="F669" s="268" t="s">
        <v>4715</v>
      </c>
      <c r="G669" s="268" t="s">
        <v>4716</v>
      </c>
      <c r="H669" s="268" t="str">
        <f t="shared" si="3"/>
        <v>ITHZEL MARIA VILLARREAL PATIÑO</v>
      </c>
      <c r="I669" s="268" t="s">
        <v>4765</v>
      </c>
      <c r="J669" s="272" t="s">
        <v>4718</v>
      </c>
      <c r="K669" s="268" t="s">
        <v>5709</v>
      </c>
      <c r="L669" s="276">
        <v>45429</v>
      </c>
      <c r="M669" s="277"/>
      <c r="N669" s="282">
        <v>2</v>
      </c>
      <c r="O669" s="284" t="s">
        <v>4723</v>
      </c>
      <c r="P669" s="280">
        <v>2780.91</v>
      </c>
      <c r="Q669" s="289">
        <v>45406</v>
      </c>
      <c r="R669" s="272"/>
      <c r="S669" s="272"/>
      <c r="T669" s="272"/>
      <c r="U669" s="272"/>
      <c r="V669" s="272"/>
      <c r="W669" s="272"/>
      <c r="X669" s="272"/>
      <c r="Y669" s="272"/>
      <c r="Z669" s="272"/>
      <c r="AA669" s="272"/>
    </row>
    <row r="670" spans="1:27">
      <c r="A670" s="273">
        <v>5</v>
      </c>
      <c r="B670" s="274" t="s">
        <v>5628</v>
      </c>
      <c r="C670" s="275">
        <v>45391</v>
      </c>
      <c r="D670" s="274" t="s">
        <v>4714</v>
      </c>
      <c r="E670" s="268" t="s">
        <v>2929</v>
      </c>
      <c r="F670" s="268" t="s">
        <v>4715</v>
      </c>
      <c r="G670" s="268" t="s">
        <v>4716</v>
      </c>
      <c r="H670" s="268" t="str">
        <f t="shared" si="3"/>
        <v>CARLOS BARAJAS DEL ROSAL</v>
      </c>
      <c r="I670" s="268" t="s">
        <v>4934</v>
      </c>
      <c r="J670" s="272" t="s">
        <v>4822</v>
      </c>
      <c r="K670" s="268" t="s">
        <v>5710</v>
      </c>
      <c r="L670" s="276">
        <v>45429</v>
      </c>
      <c r="M670" s="283"/>
      <c r="N670" s="282">
        <v>2</v>
      </c>
      <c r="O670" s="284" t="s">
        <v>4720</v>
      </c>
      <c r="P670" s="280">
        <v>3604.55</v>
      </c>
      <c r="Q670" s="289">
        <v>45391</v>
      </c>
      <c r="R670" s="272"/>
      <c r="S670" s="272"/>
      <c r="T670" s="272"/>
      <c r="U670" s="272"/>
      <c r="V670" s="272"/>
      <c r="W670" s="272"/>
      <c r="X670" s="272"/>
      <c r="Y670" s="272"/>
      <c r="Z670" s="272"/>
      <c r="AA670" s="272"/>
    </row>
    <row r="671" spans="1:27">
      <c r="A671" s="273">
        <v>5</v>
      </c>
      <c r="B671" s="274" t="s">
        <v>5628</v>
      </c>
      <c r="C671" s="275">
        <v>45400</v>
      </c>
      <c r="D671" s="274" t="s">
        <v>4714</v>
      </c>
      <c r="E671" s="268" t="s">
        <v>2929</v>
      </c>
      <c r="F671" s="268" t="s">
        <v>4715</v>
      </c>
      <c r="G671" s="268" t="s">
        <v>4716</v>
      </c>
      <c r="H671" s="268" t="str">
        <f t="shared" si="3"/>
        <v>CARLOS BARAJAS DEL ROSAL</v>
      </c>
      <c r="I671" s="268" t="s">
        <v>4934</v>
      </c>
      <c r="J671" s="272" t="s">
        <v>4822</v>
      </c>
      <c r="K671" s="268" t="s">
        <v>5711</v>
      </c>
      <c r="L671" s="276">
        <v>45429</v>
      </c>
      <c r="M671" s="277"/>
      <c r="N671" s="282">
        <v>2</v>
      </c>
      <c r="O671" s="284" t="s">
        <v>4720</v>
      </c>
      <c r="P671" s="280">
        <v>3607.22</v>
      </c>
      <c r="Q671" s="289">
        <v>45400</v>
      </c>
      <c r="R671" s="272"/>
      <c r="S671" s="272"/>
      <c r="T671" s="272"/>
      <c r="U671" s="272"/>
      <c r="V671" s="272"/>
      <c r="W671" s="272"/>
      <c r="X671" s="272"/>
      <c r="Y671" s="272"/>
      <c r="Z671" s="272"/>
      <c r="AA671" s="272"/>
    </row>
    <row r="672" spans="1:27">
      <c r="A672" s="273">
        <v>5</v>
      </c>
      <c r="B672" s="274" t="s">
        <v>5628</v>
      </c>
      <c r="C672" s="275">
        <v>45349</v>
      </c>
      <c r="D672" s="274" t="s">
        <v>4714</v>
      </c>
      <c r="E672" s="268" t="s">
        <v>4194</v>
      </c>
      <c r="F672" s="268" t="s">
        <v>4715</v>
      </c>
      <c r="G672" s="268" t="s">
        <v>4716</v>
      </c>
      <c r="H672" s="268" t="str">
        <f t="shared" si="3"/>
        <v>FÉLIX RUÍZ DE LA CUESTA JUSTE</v>
      </c>
      <c r="I672" s="268" t="s">
        <v>4930</v>
      </c>
      <c r="J672" s="268" t="s">
        <v>4736</v>
      </c>
      <c r="K672" s="268" t="s">
        <v>5712</v>
      </c>
      <c r="L672" s="276">
        <v>45432</v>
      </c>
      <c r="M672" s="277"/>
      <c r="N672" s="282">
        <v>2</v>
      </c>
      <c r="O672" s="284" t="s">
        <v>4723</v>
      </c>
      <c r="P672" s="280">
        <v>2814.55</v>
      </c>
      <c r="Q672" s="289">
        <v>45349</v>
      </c>
      <c r="R672" s="272"/>
      <c r="S672" s="272"/>
      <c r="T672" s="272"/>
      <c r="U672" s="272"/>
      <c r="V672" s="272"/>
      <c r="W672" s="272"/>
      <c r="X672" s="272"/>
      <c r="Y672" s="272"/>
      <c r="Z672" s="272"/>
      <c r="AA672" s="272"/>
    </row>
    <row r="673" spans="1:27">
      <c r="A673" s="273">
        <v>5</v>
      </c>
      <c r="B673" s="274" t="s">
        <v>5628</v>
      </c>
      <c r="C673" s="275">
        <v>45407</v>
      </c>
      <c r="D673" s="274" t="s">
        <v>4714</v>
      </c>
      <c r="E673" s="268" t="s">
        <v>2929</v>
      </c>
      <c r="F673" s="268" t="s">
        <v>4715</v>
      </c>
      <c r="G673" s="268" t="s">
        <v>4716</v>
      </c>
      <c r="H673" s="268" t="str">
        <f t="shared" si="3"/>
        <v>CARLOS BARAJAS DEL ROSAL</v>
      </c>
      <c r="I673" s="268" t="s">
        <v>4934</v>
      </c>
      <c r="J673" s="272" t="s">
        <v>4822</v>
      </c>
      <c r="K673" s="268" t="s">
        <v>5713</v>
      </c>
      <c r="L673" s="276">
        <v>45432</v>
      </c>
      <c r="M673" s="277"/>
      <c r="N673" s="282">
        <v>2</v>
      </c>
      <c r="O673" s="284" t="s">
        <v>4720</v>
      </c>
      <c r="P673" s="280">
        <v>3604.55</v>
      </c>
      <c r="Q673" s="289">
        <v>45407</v>
      </c>
      <c r="R673" s="272"/>
      <c r="S673" s="272"/>
      <c r="T673" s="272"/>
      <c r="U673" s="272"/>
      <c r="V673" s="272"/>
      <c r="W673" s="272"/>
      <c r="X673" s="272"/>
      <c r="Y673" s="272"/>
      <c r="Z673" s="272"/>
      <c r="AA673" s="272"/>
    </row>
    <row r="674" spans="1:27">
      <c r="A674" s="273">
        <v>5</v>
      </c>
      <c r="B674" s="274" t="s">
        <v>5628</v>
      </c>
      <c r="C674" s="275">
        <v>45408</v>
      </c>
      <c r="D674" s="274" t="s">
        <v>4714</v>
      </c>
      <c r="E674" s="268" t="s">
        <v>2929</v>
      </c>
      <c r="F674" s="268" t="s">
        <v>4715</v>
      </c>
      <c r="G674" s="268" t="s">
        <v>4716</v>
      </c>
      <c r="H674" s="268" t="str">
        <f t="shared" si="3"/>
        <v>CARLOS BARAJAS DEL ROSAL</v>
      </c>
      <c r="I674" s="268" t="s">
        <v>4934</v>
      </c>
      <c r="J674" s="272" t="s">
        <v>4822</v>
      </c>
      <c r="K674" s="268" t="s">
        <v>5714</v>
      </c>
      <c r="L674" s="276">
        <v>45432</v>
      </c>
      <c r="M674" s="277"/>
      <c r="N674" s="282">
        <v>2</v>
      </c>
      <c r="O674" s="284" t="s">
        <v>4740</v>
      </c>
      <c r="P674" s="280">
        <v>3800</v>
      </c>
      <c r="Q674" s="289">
        <v>45408</v>
      </c>
      <c r="R674" s="272"/>
      <c r="S674" s="272"/>
      <c r="T674" s="272"/>
      <c r="U674" s="272"/>
      <c r="V674" s="272"/>
      <c r="W674" s="272"/>
      <c r="X674" s="272"/>
      <c r="Y674" s="272"/>
      <c r="Z674" s="272"/>
      <c r="AA674" s="272"/>
    </row>
    <row r="675" spans="1:27">
      <c r="A675" s="273">
        <v>5</v>
      </c>
      <c r="B675" s="274" t="s">
        <v>5628</v>
      </c>
      <c r="C675" s="275">
        <v>45404</v>
      </c>
      <c r="D675" s="274" t="s">
        <v>4714</v>
      </c>
      <c r="E675" s="268" t="s">
        <v>3193</v>
      </c>
      <c r="F675" s="268" t="s">
        <v>4715</v>
      </c>
      <c r="G675" s="268" t="s">
        <v>4716</v>
      </c>
      <c r="H675" s="268" t="str">
        <f t="shared" si="3"/>
        <v>JOSE JOAQUÍN GUTIÉRREZ BARQUÍN</v>
      </c>
      <c r="I675" s="268" t="s">
        <v>4990</v>
      </c>
      <c r="J675" s="272" t="s">
        <v>4718</v>
      </c>
      <c r="K675" s="268" t="s">
        <v>5715</v>
      </c>
      <c r="L675" s="276">
        <v>45432</v>
      </c>
      <c r="M675" s="277"/>
      <c r="N675" s="282">
        <v>2</v>
      </c>
      <c r="O675" s="284" t="s">
        <v>4720</v>
      </c>
      <c r="P675" s="280">
        <v>3604.55</v>
      </c>
      <c r="Q675" s="289">
        <v>45404</v>
      </c>
      <c r="R675" s="272"/>
      <c r="S675" s="272"/>
      <c r="T675" s="272"/>
      <c r="U675" s="272"/>
      <c r="V675" s="272"/>
      <c r="W675" s="272"/>
      <c r="X675" s="272"/>
      <c r="Y675" s="272"/>
      <c r="Z675" s="272"/>
      <c r="AA675" s="272"/>
    </row>
    <row r="676" spans="1:27">
      <c r="A676" s="273">
        <v>5</v>
      </c>
      <c r="B676" s="274" t="s">
        <v>5628</v>
      </c>
      <c r="C676" s="275">
        <v>45372</v>
      </c>
      <c r="D676" s="274" t="s">
        <v>4714</v>
      </c>
      <c r="E676" s="268" t="s">
        <v>4892</v>
      </c>
      <c r="F676" s="268" t="s">
        <v>4715</v>
      </c>
      <c r="G676" s="268" t="s">
        <v>4716</v>
      </c>
      <c r="H676" s="268" t="str">
        <f t="shared" si="3"/>
        <v>IGNACIO SIERRA ARBIDE</v>
      </c>
      <c r="I676" s="268" t="s">
        <v>5162</v>
      </c>
      <c r="J676" s="272" t="s">
        <v>4822</v>
      </c>
      <c r="K676" s="268" t="s">
        <v>5716</v>
      </c>
      <c r="L676" s="276">
        <v>45432</v>
      </c>
      <c r="M676" s="277"/>
      <c r="N676" s="282">
        <v>2</v>
      </c>
      <c r="O676" s="284" t="s">
        <v>4720</v>
      </c>
      <c r="P676" s="280">
        <v>3604.55</v>
      </c>
      <c r="Q676" s="289">
        <v>45372</v>
      </c>
      <c r="R676" s="272"/>
      <c r="S676" s="272"/>
      <c r="T676" s="272"/>
      <c r="U676" s="272"/>
      <c r="V676" s="272"/>
      <c r="W676" s="272"/>
      <c r="X676" s="272"/>
      <c r="Y676" s="272"/>
      <c r="Z676" s="272"/>
      <c r="AA676" s="272"/>
    </row>
    <row r="677" spans="1:27">
      <c r="A677" s="273">
        <v>5</v>
      </c>
      <c r="B677" s="274" t="s">
        <v>5628</v>
      </c>
      <c r="C677" s="275">
        <v>45357</v>
      </c>
      <c r="D677" s="274" t="s">
        <v>4714</v>
      </c>
      <c r="E677" s="268" t="s">
        <v>5225</v>
      </c>
      <c r="F677" s="268" t="s">
        <v>4715</v>
      </c>
      <c r="G677" s="268" t="s">
        <v>4716</v>
      </c>
      <c r="H677" s="268" t="str">
        <f>TRIM(SUBSTITUTE(SUBSTITUTE(SUBSTITUTE(SUBSTITUTE(I677,"DR. ",""),"DRA. ",""),"DR. ",""),"DRA ",""))</f>
        <v>ISABEL VAAMONDE SANCHEZ ANDRADR</v>
      </c>
      <c r="I677" s="268" t="s">
        <v>5717</v>
      </c>
      <c r="J677" s="272" t="s">
        <v>4790</v>
      </c>
      <c r="K677" s="268" t="s">
        <v>5718</v>
      </c>
      <c r="L677" s="302">
        <v>45432</v>
      </c>
      <c r="M677" s="272"/>
      <c r="N677" s="282">
        <v>2</v>
      </c>
      <c r="O677" s="268" t="s">
        <v>4723</v>
      </c>
      <c r="P677" s="280">
        <v>2780.91</v>
      </c>
      <c r="Q677" s="304">
        <v>45357</v>
      </c>
      <c r="R677" s="272"/>
      <c r="S677" s="272"/>
      <c r="T677" s="272"/>
      <c r="U677" s="272"/>
      <c r="V677" s="272"/>
      <c r="W677" s="272"/>
      <c r="X677" s="272"/>
      <c r="Y677" s="272"/>
      <c r="Z677" s="272"/>
      <c r="AA677" s="272"/>
    </row>
    <row r="678" spans="1:27">
      <c r="A678" s="273">
        <v>5</v>
      </c>
      <c r="B678" s="274" t="s">
        <v>5628</v>
      </c>
      <c r="C678" s="275">
        <v>45392</v>
      </c>
      <c r="D678" s="274" t="s">
        <v>4714</v>
      </c>
      <c r="E678" s="268" t="s">
        <v>2909</v>
      </c>
      <c r="F678" s="268" t="s">
        <v>4715</v>
      </c>
      <c r="G678" s="268" t="s">
        <v>4716</v>
      </c>
      <c r="H678" s="268" t="str">
        <f t="shared" ref="H678:H713" si="4">TRIM(SUBSTITUTE(SUBSTITUTE(SUBSTITUTE(SUBSTITUTE(I678,"DR. ",""),"DRA. ",""),"DR ",""),"DRA ",""))</f>
        <v>JESUS-MARIA GRASA PÉREZ</v>
      </c>
      <c r="I678" s="268" t="s">
        <v>4865</v>
      </c>
      <c r="J678" s="272" t="s">
        <v>4806</v>
      </c>
      <c r="K678" s="268" t="s">
        <v>5719</v>
      </c>
      <c r="L678" s="276">
        <v>45433</v>
      </c>
      <c r="M678" s="283"/>
      <c r="N678" s="282">
        <v>1</v>
      </c>
      <c r="O678" s="284" t="s">
        <v>4720</v>
      </c>
      <c r="P678" s="280">
        <v>2162.73</v>
      </c>
      <c r="Q678" s="289">
        <v>45392</v>
      </c>
      <c r="R678" s="272"/>
      <c r="S678" s="272"/>
      <c r="T678" s="272"/>
      <c r="U678" s="272"/>
      <c r="V678" s="272"/>
      <c r="W678" s="272"/>
      <c r="X678" s="272"/>
      <c r="Y678" s="272"/>
      <c r="Z678" s="272"/>
      <c r="AA678" s="272"/>
    </row>
    <row r="679" spans="1:27">
      <c r="A679" s="273">
        <v>5</v>
      </c>
      <c r="B679" s="274" t="s">
        <v>5628</v>
      </c>
      <c r="C679" s="275">
        <v>45394</v>
      </c>
      <c r="D679" s="274" t="s">
        <v>4714</v>
      </c>
      <c r="E679" s="268" t="s">
        <v>4788</v>
      </c>
      <c r="F679" s="268" t="s">
        <v>4715</v>
      </c>
      <c r="G679" s="268" t="s">
        <v>4716</v>
      </c>
      <c r="H679" s="268" t="str">
        <f t="shared" si="4"/>
        <v>ISABEL PENSADO BANET</v>
      </c>
      <c r="I679" s="268" t="s">
        <v>5720</v>
      </c>
      <c r="J679" s="272" t="s">
        <v>4790</v>
      </c>
      <c r="K679" s="268" t="s">
        <v>5721</v>
      </c>
      <c r="L679" s="276">
        <v>45433</v>
      </c>
      <c r="M679" s="283"/>
      <c r="N679" s="282">
        <v>2</v>
      </c>
      <c r="O679" s="284" t="s">
        <v>4792</v>
      </c>
      <c r="P679" s="280">
        <v>2627.27</v>
      </c>
      <c r="Q679" s="289">
        <v>45394</v>
      </c>
      <c r="R679" s="272"/>
      <c r="S679" s="272"/>
      <c r="T679" s="272"/>
      <c r="U679" s="272"/>
      <c r="V679" s="272"/>
      <c r="W679" s="272"/>
      <c r="X679" s="272"/>
      <c r="Y679" s="272"/>
      <c r="Z679" s="272"/>
      <c r="AA679" s="272"/>
    </row>
    <row r="680" spans="1:27">
      <c r="A680" s="273">
        <v>5</v>
      </c>
      <c r="B680" s="274" t="s">
        <v>5628</v>
      </c>
      <c r="C680" s="275">
        <v>45352</v>
      </c>
      <c r="D680" s="274" t="s">
        <v>4714</v>
      </c>
      <c r="E680" s="268" t="s">
        <v>5722</v>
      </c>
      <c r="F680" s="268" t="s">
        <v>4715</v>
      </c>
      <c r="G680" s="268" t="s">
        <v>4716</v>
      </c>
      <c r="H680" s="268" t="str">
        <f t="shared" si="4"/>
        <v>FEDERICO ARRUTIA DIEZ</v>
      </c>
      <c r="I680" s="268" t="s">
        <v>5063</v>
      </c>
      <c r="J680" s="272" t="s">
        <v>5064</v>
      </c>
      <c r="K680" s="268" t="s">
        <v>5723</v>
      </c>
      <c r="L680" s="276">
        <v>45433</v>
      </c>
      <c r="M680" s="283"/>
      <c r="N680" s="282">
        <v>2</v>
      </c>
      <c r="O680" s="284" t="s">
        <v>4740</v>
      </c>
      <c r="P680" s="280">
        <v>2629.09</v>
      </c>
      <c r="Q680" s="289">
        <v>45352</v>
      </c>
      <c r="R680" s="272"/>
      <c r="S680" s="272"/>
      <c r="T680" s="272"/>
      <c r="U680" s="272"/>
      <c r="V680" s="272"/>
      <c r="W680" s="272"/>
      <c r="X680" s="272"/>
      <c r="Y680" s="272"/>
      <c r="Z680" s="272"/>
      <c r="AA680" s="272"/>
    </row>
    <row r="681" spans="1:27">
      <c r="A681" s="273">
        <v>5</v>
      </c>
      <c r="B681" s="274" t="s">
        <v>5628</v>
      </c>
      <c r="C681" s="275">
        <v>45405</v>
      </c>
      <c r="D681" s="274" t="s">
        <v>4714</v>
      </c>
      <c r="E681" s="268" t="s">
        <v>2893</v>
      </c>
      <c r="F681" s="268" t="s">
        <v>4715</v>
      </c>
      <c r="G681" s="268" t="s">
        <v>4716</v>
      </c>
      <c r="H681" s="268" t="str">
        <f t="shared" si="4"/>
        <v>ANA RUIZ FORNELLS NOREÑA</v>
      </c>
      <c r="I681" s="268" t="s">
        <v>5110</v>
      </c>
      <c r="J681" s="272" t="s">
        <v>4718</v>
      </c>
      <c r="K681" s="268" t="s">
        <v>5724</v>
      </c>
      <c r="L681" s="276">
        <v>45433</v>
      </c>
      <c r="M681" s="283"/>
      <c r="N681" s="282">
        <v>2</v>
      </c>
      <c r="O681" s="284" t="s">
        <v>4720</v>
      </c>
      <c r="P681" s="280">
        <v>3604.55</v>
      </c>
      <c r="Q681" s="289">
        <v>45405</v>
      </c>
      <c r="R681" s="272"/>
      <c r="S681" s="272"/>
      <c r="T681" s="272"/>
      <c r="U681" s="272"/>
      <c r="V681" s="272"/>
      <c r="W681" s="272"/>
      <c r="X681" s="272"/>
      <c r="Y681" s="272"/>
      <c r="Z681" s="272"/>
      <c r="AA681" s="272"/>
    </row>
    <row r="682" spans="1:27">
      <c r="A682" s="273">
        <v>5</v>
      </c>
      <c r="B682" s="274" t="s">
        <v>5628</v>
      </c>
      <c r="C682" s="275">
        <v>45376</v>
      </c>
      <c r="D682" s="274" t="s">
        <v>4714</v>
      </c>
      <c r="E682" s="268" t="s">
        <v>2869</v>
      </c>
      <c r="F682" s="268" t="s">
        <v>4715</v>
      </c>
      <c r="G682" s="268" t="s">
        <v>4716</v>
      </c>
      <c r="H682" s="268" t="str">
        <f t="shared" si="4"/>
        <v>MARÍA AGUSTINA SEVILLA GARCÍA</v>
      </c>
      <c r="I682" s="268" t="s">
        <v>4812</v>
      </c>
      <c r="J682" s="268" t="s">
        <v>4736</v>
      </c>
      <c r="K682" s="268" t="s">
        <v>5725</v>
      </c>
      <c r="L682" s="276">
        <v>45433</v>
      </c>
      <c r="M682" s="272"/>
      <c r="N682" s="282">
        <v>2</v>
      </c>
      <c r="O682" s="268" t="s">
        <v>4720</v>
      </c>
      <c r="P682" s="280">
        <v>3604.55</v>
      </c>
      <c r="Q682" s="304">
        <v>45376</v>
      </c>
      <c r="R682" s="272"/>
      <c r="S682" s="272"/>
      <c r="T682" s="272"/>
      <c r="U682" s="272"/>
      <c r="V682" s="272"/>
      <c r="W682" s="272"/>
      <c r="X682" s="272"/>
      <c r="Y682" s="272"/>
      <c r="Z682" s="272"/>
      <c r="AA682" s="272"/>
    </row>
    <row r="683" spans="1:27">
      <c r="A683" s="273">
        <v>5</v>
      </c>
      <c r="B683" s="274" t="s">
        <v>5628</v>
      </c>
      <c r="C683" s="275">
        <v>45400</v>
      </c>
      <c r="D683" s="285" t="s">
        <v>4714</v>
      </c>
      <c r="E683" s="268" t="s">
        <v>2900</v>
      </c>
      <c r="F683" s="268" t="s">
        <v>4715</v>
      </c>
      <c r="G683" s="268" t="s">
        <v>4716</v>
      </c>
      <c r="H683" s="268" t="str">
        <f t="shared" si="4"/>
        <v>MOHAMED AL RIFAL AL MASTI</v>
      </c>
      <c r="I683" s="268" t="s">
        <v>5269</v>
      </c>
      <c r="J683" s="268" t="s">
        <v>4790</v>
      </c>
      <c r="K683" s="268" t="s">
        <v>5726</v>
      </c>
      <c r="L683" s="302">
        <v>45433</v>
      </c>
      <c r="M683" s="268"/>
      <c r="N683" s="282">
        <v>1</v>
      </c>
      <c r="O683" s="268" t="s">
        <v>4720</v>
      </c>
      <c r="P683" s="280">
        <v>2162.73</v>
      </c>
      <c r="Q683" s="304">
        <v>45400</v>
      </c>
      <c r="R683" s="272"/>
      <c r="S683" s="272"/>
      <c r="T683" s="272"/>
      <c r="U683" s="272"/>
      <c r="V683" s="272"/>
      <c r="W683" s="272"/>
      <c r="X683" s="272"/>
      <c r="Y683" s="272"/>
      <c r="Z683" s="272"/>
      <c r="AA683" s="272"/>
    </row>
    <row r="684" spans="1:27">
      <c r="A684" s="273">
        <v>5</v>
      </c>
      <c r="B684" s="274" t="s">
        <v>5628</v>
      </c>
      <c r="C684" s="275">
        <v>45374</v>
      </c>
      <c r="D684" s="274" t="s">
        <v>4714</v>
      </c>
      <c r="E684" s="268" t="s">
        <v>4749</v>
      </c>
      <c r="F684" s="268" t="s">
        <v>4715</v>
      </c>
      <c r="G684" s="268" t="s">
        <v>4716</v>
      </c>
      <c r="H684" s="268" t="str">
        <f t="shared" si="4"/>
        <v>XENIA MOTA ROJAS</v>
      </c>
      <c r="I684" s="268" t="s">
        <v>5351</v>
      </c>
      <c r="J684" s="272" t="s">
        <v>4747</v>
      </c>
      <c r="K684" s="268" t="s">
        <v>5727</v>
      </c>
      <c r="L684" s="276">
        <v>45433</v>
      </c>
      <c r="M684" s="268"/>
      <c r="N684" s="282">
        <v>2</v>
      </c>
      <c r="O684" s="268" t="s">
        <v>4720</v>
      </c>
      <c r="P684" s="280">
        <v>3545.45</v>
      </c>
      <c r="Q684" s="303">
        <v>45374</v>
      </c>
      <c r="R684" s="272"/>
      <c r="S684" s="272"/>
      <c r="T684" s="272"/>
      <c r="U684" s="272"/>
      <c r="V684" s="272"/>
      <c r="W684" s="272"/>
      <c r="X684" s="272"/>
      <c r="Y684" s="272"/>
      <c r="Z684" s="272"/>
      <c r="AA684" s="272"/>
    </row>
    <row r="685" spans="1:27">
      <c r="A685" s="273">
        <v>5</v>
      </c>
      <c r="B685" s="274" t="s">
        <v>5628</v>
      </c>
      <c r="C685" s="275">
        <v>45251</v>
      </c>
      <c r="D685" s="274" t="s">
        <v>4714</v>
      </c>
      <c r="E685" s="268" t="s">
        <v>2961</v>
      </c>
      <c r="F685" s="268" t="s">
        <v>4715</v>
      </c>
      <c r="G685" s="268" t="s">
        <v>4716</v>
      </c>
      <c r="H685" s="268" t="str">
        <f t="shared" si="4"/>
        <v>FRANCISCO GARCÍA PURRIÑOS</v>
      </c>
      <c r="I685" s="268" t="s">
        <v>4884</v>
      </c>
      <c r="J685" s="272" t="s">
        <v>4736</v>
      </c>
      <c r="K685" s="268" t="s">
        <v>5728</v>
      </c>
      <c r="L685" s="302">
        <v>45433</v>
      </c>
      <c r="M685" s="272"/>
      <c r="N685" s="282">
        <v>2</v>
      </c>
      <c r="O685" s="268" t="s">
        <v>4720</v>
      </c>
      <c r="P685" s="280">
        <v>3711.82</v>
      </c>
      <c r="Q685" s="304">
        <v>45251</v>
      </c>
      <c r="R685" s="272"/>
      <c r="S685" s="272"/>
      <c r="T685" s="272"/>
      <c r="U685" s="272"/>
      <c r="V685" s="272"/>
      <c r="W685" s="272"/>
      <c r="X685" s="272"/>
      <c r="Y685" s="272"/>
      <c r="Z685" s="272"/>
      <c r="AA685" s="272"/>
    </row>
    <row r="686" spans="1:27">
      <c r="A686" s="273">
        <v>5</v>
      </c>
      <c r="B686" s="274" t="s">
        <v>5628</v>
      </c>
      <c r="C686" s="275">
        <v>45230</v>
      </c>
      <c r="D686" s="274" t="s">
        <v>4714</v>
      </c>
      <c r="E686" s="268" t="s">
        <v>3011</v>
      </c>
      <c r="F686" s="268" t="s">
        <v>4715</v>
      </c>
      <c r="G686" s="268" t="s">
        <v>4716</v>
      </c>
      <c r="H686" s="268" t="str">
        <f t="shared" si="4"/>
        <v>FRANCISCO ROPERO ROMERO</v>
      </c>
      <c r="I686" s="268" t="s">
        <v>5729</v>
      </c>
      <c r="J686" s="268" t="s">
        <v>4729</v>
      </c>
      <c r="K686" s="268" t="s">
        <v>5730</v>
      </c>
      <c r="L686" s="276">
        <v>45433</v>
      </c>
      <c r="M686" s="272"/>
      <c r="N686" s="282">
        <v>2</v>
      </c>
      <c r="O686" s="268" t="s">
        <v>4723</v>
      </c>
      <c r="P686" s="280">
        <v>2962.73</v>
      </c>
      <c r="Q686" s="304">
        <v>45230</v>
      </c>
      <c r="R686" s="272"/>
      <c r="S686" s="272"/>
      <c r="T686" s="272"/>
      <c r="U686" s="272"/>
      <c r="V686" s="272"/>
      <c r="W686" s="272"/>
      <c r="X686" s="272"/>
      <c r="Y686" s="272"/>
      <c r="Z686" s="272"/>
      <c r="AA686" s="272"/>
    </row>
    <row r="687" spans="1:27">
      <c r="A687" s="273">
        <v>5</v>
      </c>
      <c r="B687" s="274" t="s">
        <v>5628</v>
      </c>
      <c r="C687" s="275">
        <v>45383</v>
      </c>
      <c r="D687" s="274" t="s">
        <v>4714</v>
      </c>
      <c r="E687" s="268" t="s">
        <v>4759</v>
      </c>
      <c r="F687" s="268" t="s">
        <v>4715</v>
      </c>
      <c r="G687" s="268" t="s">
        <v>4716</v>
      </c>
      <c r="H687" s="268" t="str">
        <f t="shared" si="4"/>
        <v>ANA FERNÁNDEZ RODRÍGUEZ</v>
      </c>
      <c r="I687" s="268" t="s">
        <v>5511</v>
      </c>
      <c r="J687" s="268" t="s">
        <v>4747</v>
      </c>
      <c r="K687" s="268" t="s">
        <v>5731</v>
      </c>
      <c r="L687" s="302">
        <v>45433</v>
      </c>
      <c r="M687" s="268"/>
      <c r="N687" s="282">
        <v>2</v>
      </c>
      <c r="O687" s="268" t="s">
        <v>4740</v>
      </c>
      <c r="P687" s="280">
        <v>3886.36</v>
      </c>
      <c r="Q687" s="304">
        <v>45383</v>
      </c>
      <c r="R687" s="272"/>
      <c r="S687" s="272"/>
      <c r="T687" s="272"/>
      <c r="U687" s="272"/>
      <c r="V687" s="272"/>
      <c r="W687" s="272"/>
      <c r="X687" s="272"/>
      <c r="Y687" s="272"/>
      <c r="Z687" s="272"/>
      <c r="AA687" s="272"/>
    </row>
    <row r="688" spans="1:27">
      <c r="A688" s="273">
        <v>5</v>
      </c>
      <c r="B688" s="274" t="s">
        <v>5628</v>
      </c>
      <c r="C688" s="275">
        <v>45391</v>
      </c>
      <c r="D688" s="274" t="s">
        <v>4714</v>
      </c>
      <c r="E688" s="268" t="s">
        <v>3187</v>
      </c>
      <c r="F688" s="268" t="s">
        <v>4715</v>
      </c>
      <c r="G688" s="268" t="s">
        <v>4716</v>
      </c>
      <c r="H688" s="268" t="str">
        <f t="shared" si="4"/>
        <v>SARA REDA DEL BARRIO</v>
      </c>
      <c r="I688" s="268" t="s">
        <v>5732</v>
      </c>
      <c r="J688" s="272" t="s">
        <v>4718</v>
      </c>
      <c r="K688" s="268" t="s">
        <v>5733</v>
      </c>
      <c r="L688" s="276">
        <v>45434</v>
      </c>
      <c r="M688" s="277"/>
      <c r="N688" s="282">
        <v>2</v>
      </c>
      <c r="O688" s="284" t="s">
        <v>4723</v>
      </c>
      <c r="P688" s="280">
        <v>2780.91</v>
      </c>
      <c r="Q688" s="289">
        <v>45391</v>
      </c>
      <c r="R688" s="272"/>
      <c r="S688" s="272"/>
      <c r="T688" s="272"/>
      <c r="U688" s="272"/>
      <c r="V688" s="272"/>
      <c r="W688" s="272"/>
      <c r="X688" s="272"/>
      <c r="Y688" s="272"/>
      <c r="Z688" s="272"/>
      <c r="AA688" s="272"/>
    </row>
    <row r="689" spans="1:27">
      <c r="A689" s="273">
        <v>5</v>
      </c>
      <c r="B689" s="274" t="s">
        <v>5628</v>
      </c>
      <c r="C689" s="275">
        <v>45404</v>
      </c>
      <c r="D689" s="274" t="s">
        <v>4714</v>
      </c>
      <c r="E689" s="268" t="s">
        <v>4820</v>
      </c>
      <c r="F689" s="268" t="s">
        <v>4715</v>
      </c>
      <c r="G689" s="268" t="s">
        <v>4716</v>
      </c>
      <c r="H689" s="268" t="str">
        <f t="shared" si="4"/>
        <v>DANIELA CAROLINA LAGUADO BULGHERONI</v>
      </c>
      <c r="I689" s="268" t="s">
        <v>5614</v>
      </c>
      <c r="J689" s="272" t="s">
        <v>4822</v>
      </c>
      <c r="K689" s="268" t="s">
        <v>5734</v>
      </c>
      <c r="L689" s="276">
        <v>45434</v>
      </c>
      <c r="M689" s="277"/>
      <c r="N689" s="282">
        <v>2</v>
      </c>
      <c r="O689" s="284" t="s">
        <v>4740</v>
      </c>
      <c r="P689" s="280">
        <v>4222.7299999999996</v>
      </c>
      <c r="Q689" s="289">
        <v>45404</v>
      </c>
      <c r="R689" s="272"/>
      <c r="S689" s="272"/>
      <c r="T689" s="272"/>
      <c r="U689" s="272"/>
      <c r="V689" s="272"/>
      <c r="W689" s="272"/>
      <c r="X689" s="272"/>
      <c r="Y689" s="272"/>
      <c r="Z689" s="272"/>
      <c r="AA689" s="272"/>
    </row>
    <row r="690" spans="1:27">
      <c r="A690" s="273">
        <v>5</v>
      </c>
      <c r="B690" s="274" t="s">
        <v>5628</v>
      </c>
      <c r="C690" s="275">
        <v>45363</v>
      </c>
      <c r="D690" s="274" t="s">
        <v>4714</v>
      </c>
      <c r="E690" s="268" t="s">
        <v>5735</v>
      </c>
      <c r="F690" s="268" t="s">
        <v>4715</v>
      </c>
      <c r="G690" s="268" t="s">
        <v>4716</v>
      </c>
      <c r="H690" s="268" t="str">
        <f t="shared" si="4"/>
        <v>MIGUEL MAYO YÁÑEZ</v>
      </c>
      <c r="I690" s="268" t="s">
        <v>4966</v>
      </c>
      <c r="J690" s="272" t="s">
        <v>4790</v>
      </c>
      <c r="K690" s="268" t="s">
        <v>5736</v>
      </c>
      <c r="L690" s="276">
        <v>45434</v>
      </c>
      <c r="M690" s="277"/>
      <c r="N690" s="282">
        <v>2</v>
      </c>
      <c r="O690" s="284" t="s">
        <v>4740</v>
      </c>
      <c r="P690" s="280">
        <v>4090.77</v>
      </c>
      <c r="Q690" s="305">
        <v>45363</v>
      </c>
      <c r="R690" s="272"/>
      <c r="S690" s="272"/>
      <c r="T690" s="272"/>
      <c r="U690" s="272"/>
      <c r="V690" s="272"/>
      <c r="W690" s="272"/>
      <c r="X690" s="272"/>
      <c r="Y690" s="272"/>
      <c r="Z690" s="272"/>
      <c r="AA690" s="272"/>
    </row>
    <row r="691" spans="1:27">
      <c r="A691" s="273">
        <v>5</v>
      </c>
      <c r="B691" s="274" t="s">
        <v>5628</v>
      </c>
      <c r="C691" s="275">
        <v>45372</v>
      </c>
      <c r="D691" s="274" t="s">
        <v>4714</v>
      </c>
      <c r="E691" s="268" t="s">
        <v>3193</v>
      </c>
      <c r="F691" s="268" t="s">
        <v>4715</v>
      </c>
      <c r="G691" s="268" t="s">
        <v>4716</v>
      </c>
      <c r="H691" s="268" t="str">
        <f t="shared" si="4"/>
        <v>JULIO LÓPEZ MOYA</v>
      </c>
      <c r="I691" s="268" t="s">
        <v>4778</v>
      </c>
      <c r="J691" s="268" t="s">
        <v>4718</v>
      </c>
      <c r="K691" s="268" t="s">
        <v>5737</v>
      </c>
      <c r="L691" s="276">
        <v>45434</v>
      </c>
      <c r="M691" s="283"/>
      <c r="N691" s="282">
        <v>1</v>
      </c>
      <c r="O691" s="284" t="s">
        <v>4720</v>
      </c>
      <c r="P691" s="280">
        <v>2163.64</v>
      </c>
      <c r="Q691" s="289">
        <v>45372</v>
      </c>
      <c r="R691" s="272"/>
      <c r="S691" s="272"/>
      <c r="T691" s="272"/>
      <c r="U691" s="272"/>
      <c r="V691" s="272"/>
      <c r="W691" s="272"/>
      <c r="X691" s="272"/>
      <c r="Y691" s="272"/>
      <c r="Z691" s="272"/>
      <c r="AA691" s="272"/>
    </row>
    <row r="692" spans="1:27">
      <c r="A692" s="273">
        <v>5</v>
      </c>
      <c r="B692" s="274" t="s">
        <v>5628</v>
      </c>
      <c r="C692" s="275">
        <v>45404</v>
      </c>
      <c r="D692" s="274" t="s">
        <v>4714</v>
      </c>
      <c r="E692" s="268" t="s">
        <v>3605</v>
      </c>
      <c r="F692" s="268" t="s">
        <v>4715</v>
      </c>
      <c r="G692" s="268" t="s">
        <v>4716</v>
      </c>
      <c r="H692" s="268" t="str">
        <f t="shared" si="4"/>
        <v>IRIS QUERO CAMPOS</v>
      </c>
      <c r="I692" s="268" t="s">
        <v>5738</v>
      </c>
      <c r="J692" s="272" t="s">
        <v>4718</v>
      </c>
      <c r="K692" s="268" t="s">
        <v>5739</v>
      </c>
      <c r="L692" s="276">
        <v>45434</v>
      </c>
      <c r="M692" s="277"/>
      <c r="N692" s="282">
        <v>1</v>
      </c>
      <c r="O692" s="284" t="s">
        <v>4720</v>
      </c>
      <c r="P692" s="280">
        <v>2162.73</v>
      </c>
      <c r="Q692" s="289">
        <v>45404</v>
      </c>
      <c r="R692" s="272"/>
      <c r="S692" s="272"/>
      <c r="T692" s="272"/>
      <c r="U692" s="272"/>
      <c r="V692" s="272"/>
      <c r="W692" s="272"/>
      <c r="X692" s="272"/>
      <c r="Y692" s="272"/>
      <c r="Z692" s="272"/>
      <c r="AA692" s="272"/>
    </row>
    <row r="693" spans="1:27">
      <c r="A693" s="273">
        <v>5</v>
      </c>
      <c r="B693" s="274" t="s">
        <v>5628</v>
      </c>
      <c r="C693" s="275">
        <v>45383</v>
      </c>
      <c r="D693" s="274" t="s">
        <v>4714</v>
      </c>
      <c r="E693" s="268" t="s">
        <v>5225</v>
      </c>
      <c r="F693" s="268" t="s">
        <v>4715</v>
      </c>
      <c r="G693" s="268" t="s">
        <v>4716</v>
      </c>
      <c r="H693" s="268" t="str">
        <f t="shared" si="4"/>
        <v>ISABEL PENSADO BANET</v>
      </c>
      <c r="I693" s="268" t="s">
        <v>5720</v>
      </c>
      <c r="J693" s="272" t="s">
        <v>4790</v>
      </c>
      <c r="K693" s="268" t="s">
        <v>5740</v>
      </c>
      <c r="L693" s="302">
        <v>45434</v>
      </c>
      <c r="M693" s="268"/>
      <c r="N693" s="282">
        <v>2</v>
      </c>
      <c r="O693" s="268" t="s">
        <v>4720</v>
      </c>
      <c r="P693" s="280">
        <v>3604.55</v>
      </c>
      <c r="Q693" s="303">
        <v>45383</v>
      </c>
      <c r="R693" s="272"/>
      <c r="S693" s="272"/>
      <c r="T693" s="272"/>
      <c r="U693" s="272"/>
      <c r="V693" s="272"/>
      <c r="W693" s="272"/>
      <c r="X693" s="272"/>
      <c r="Y693" s="272"/>
      <c r="Z693" s="272"/>
      <c r="AA693" s="272"/>
    </row>
    <row r="694" spans="1:27">
      <c r="A694" s="273">
        <v>5</v>
      </c>
      <c r="B694" s="274" t="s">
        <v>5628</v>
      </c>
      <c r="C694" s="275">
        <v>45386</v>
      </c>
      <c r="D694" s="274" t="s">
        <v>4714</v>
      </c>
      <c r="E694" s="268" t="s">
        <v>3529</v>
      </c>
      <c r="F694" s="268" t="s">
        <v>4715</v>
      </c>
      <c r="G694" s="268" t="s">
        <v>4716</v>
      </c>
      <c r="H694" s="268" t="str">
        <f t="shared" si="4"/>
        <v>FRANCISCO ANTONIO PÉREZ FERNÁNDEZ</v>
      </c>
      <c r="I694" s="268" t="s">
        <v>4816</v>
      </c>
      <c r="J694" s="272" t="s">
        <v>4729</v>
      </c>
      <c r="K694" s="268" t="s">
        <v>5741</v>
      </c>
      <c r="L694" s="302">
        <v>45434</v>
      </c>
      <c r="M694" s="268"/>
      <c r="N694" s="282">
        <v>1</v>
      </c>
      <c r="O694" s="268" t="s">
        <v>4740</v>
      </c>
      <c r="P694" s="280">
        <v>2627.27</v>
      </c>
      <c r="Q694" s="303">
        <v>45386</v>
      </c>
      <c r="R694" s="272"/>
      <c r="S694" s="272"/>
      <c r="T694" s="272"/>
      <c r="U694" s="272"/>
      <c r="V694" s="272"/>
      <c r="W694" s="272"/>
      <c r="X694" s="272"/>
      <c r="Y694" s="272"/>
      <c r="Z694" s="272"/>
      <c r="AA694" s="272"/>
    </row>
    <row r="695" spans="1:27">
      <c r="A695" s="273">
        <v>5</v>
      </c>
      <c r="B695" s="274" t="s">
        <v>5628</v>
      </c>
      <c r="C695" s="275">
        <v>45265</v>
      </c>
      <c r="D695" s="274" t="s">
        <v>4714</v>
      </c>
      <c r="E695" s="268" t="s">
        <v>2972</v>
      </c>
      <c r="F695" s="268" t="s">
        <v>4715</v>
      </c>
      <c r="G695" s="268" t="s">
        <v>4716</v>
      </c>
      <c r="H695" s="268" t="str">
        <f t="shared" si="4"/>
        <v>NATALIA GISSETH PULIDO FONSECA</v>
      </c>
      <c r="I695" s="268" t="s">
        <v>5393</v>
      </c>
      <c r="J695" s="272" t="s">
        <v>4822</v>
      </c>
      <c r="K695" s="268" t="s">
        <v>5742</v>
      </c>
      <c r="L695" s="302">
        <v>45434</v>
      </c>
      <c r="M695" s="272"/>
      <c r="N695" s="282">
        <v>2</v>
      </c>
      <c r="O695" s="268" t="s">
        <v>4720</v>
      </c>
      <c r="P695" s="280">
        <v>3520.91</v>
      </c>
      <c r="Q695" s="303">
        <v>45265</v>
      </c>
      <c r="R695" s="272"/>
      <c r="S695" s="272"/>
      <c r="T695" s="272"/>
      <c r="U695" s="272"/>
      <c r="V695" s="272"/>
      <c r="W695" s="272"/>
      <c r="X695" s="272"/>
      <c r="Y695" s="272"/>
      <c r="Z695" s="272"/>
      <c r="AA695" s="272"/>
    </row>
    <row r="696" spans="1:27">
      <c r="A696" s="273">
        <v>5</v>
      </c>
      <c r="B696" s="274" t="s">
        <v>5628</v>
      </c>
      <c r="C696" s="275">
        <v>45345</v>
      </c>
      <c r="D696" s="274" t="s">
        <v>4714</v>
      </c>
      <c r="E696" s="268" t="s">
        <v>4194</v>
      </c>
      <c r="F696" s="268" t="s">
        <v>4715</v>
      </c>
      <c r="G696" s="268" t="s">
        <v>4716</v>
      </c>
      <c r="H696" s="268" t="str">
        <f t="shared" si="4"/>
        <v>NO REUERDA ORL</v>
      </c>
      <c r="I696" s="268" t="s">
        <v>4743</v>
      </c>
      <c r="J696" s="268" t="s">
        <v>4736</v>
      </c>
      <c r="K696" s="268" t="s">
        <v>5743</v>
      </c>
      <c r="L696" s="276">
        <v>45435</v>
      </c>
      <c r="M696" s="277"/>
      <c r="N696" s="282">
        <v>2</v>
      </c>
      <c r="O696" s="284" t="s">
        <v>4723</v>
      </c>
      <c r="P696" s="280">
        <v>818.18</v>
      </c>
      <c r="Q696" s="289">
        <v>45345</v>
      </c>
      <c r="R696" s="272"/>
      <c r="S696" s="272"/>
      <c r="T696" s="272"/>
      <c r="U696" s="272"/>
      <c r="V696" s="272"/>
      <c r="W696" s="272"/>
      <c r="X696" s="272"/>
      <c r="Y696" s="272"/>
      <c r="Z696" s="272"/>
      <c r="AA696" s="272"/>
    </row>
    <row r="697" spans="1:27">
      <c r="A697" s="273">
        <v>5</v>
      </c>
      <c r="B697" s="274" t="s">
        <v>5628</v>
      </c>
      <c r="C697" s="275">
        <v>45406</v>
      </c>
      <c r="D697" s="274" t="s">
        <v>4714</v>
      </c>
      <c r="E697" s="268" t="s">
        <v>2909</v>
      </c>
      <c r="F697" s="268" t="s">
        <v>4715</v>
      </c>
      <c r="G697" s="268" t="s">
        <v>4716</v>
      </c>
      <c r="H697" s="268" t="str">
        <f t="shared" si="4"/>
        <v>VICTORIA RIVERO DE JESÚS</v>
      </c>
      <c r="I697" s="268" t="s">
        <v>5744</v>
      </c>
      <c r="J697" s="272" t="s">
        <v>4806</v>
      </c>
      <c r="K697" s="268" t="s">
        <v>5745</v>
      </c>
      <c r="L697" s="276">
        <v>45435</v>
      </c>
      <c r="M697" s="277"/>
      <c r="N697" s="282">
        <v>2</v>
      </c>
      <c r="O697" s="284" t="s">
        <v>4740</v>
      </c>
      <c r="P697" s="280">
        <v>4000</v>
      </c>
      <c r="Q697" s="289">
        <v>45406</v>
      </c>
      <c r="R697" s="272"/>
      <c r="S697" s="272"/>
      <c r="T697" s="272"/>
      <c r="U697" s="272"/>
      <c r="V697" s="272"/>
      <c r="W697" s="272"/>
      <c r="X697" s="272"/>
      <c r="Y697" s="272"/>
      <c r="Z697" s="272"/>
      <c r="AA697" s="272"/>
    </row>
    <row r="698" spans="1:27">
      <c r="A698" s="273">
        <v>5</v>
      </c>
      <c r="B698" s="274" t="s">
        <v>5628</v>
      </c>
      <c r="C698" s="275">
        <v>45373</v>
      </c>
      <c r="D698" s="285" t="s">
        <v>4714</v>
      </c>
      <c r="E698" s="268" t="s">
        <v>2916</v>
      </c>
      <c r="F698" s="268" t="s">
        <v>4715</v>
      </c>
      <c r="G698" s="268" t="s">
        <v>4716</v>
      </c>
      <c r="H698" s="268" t="str">
        <f t="shared" si="4"/>
        <v>ENRIC CISA LLUIS</v>
      </c>
      <c r="I698" s="268" t="s">
        <v>5746</v>
      </c>
      <c r="J698" s="306" t="s">
        <v>4806</v>
      </c>
      <c r="K698" s="268" t="s">
        <v>5747</v>
      </c>
      <c r="L698" s="276">
        <v>45435</v>
      </c>
      <c r="M698" s="277"/>
      <c r="N698" s="282">
        <v>2</v>
      </c>
      <c r="O698" s="284" t="s">
        <v>4720</v>
      </c>
      <c r="P698" s="280">
        <v>3604.55</v>
      </c>
      <c r="Q698" s="289">
        <v>45373</v>
      </c>
      <c r="R698" s="272"/>
      <c r="S698" s="272"/>
      <c r="T698" s="272"/>
      <c r="U698" s="272"/>
      <c r="V698" s="272"/>
      <c r="W698" s="272"/>
      <c r="X698" s="272"/>
      <c r="Y698" s="272"/>
      <c r="Z698" s="272"/>
      <c r="AA698" s="272"/>
    </row>
    <row r="699" spans="1:27">
      <c r="A699" s="273">
        <v>5</v>
      </c>
      <c r="B699" s="274" t="s">
        <v>5628</v>
      </c>
      <c r="C699" s="275">
        <v>45398</v>
      </c>
      <c r="D699" s="274" t="s">
        <v>4714</v>
      </c>
      <c r="E699" s="268" t="s">
        <v>2893</v>
      </c>
      <c r="F699" s="268" t="s">
        <v>4715</v>
      </c>
      <c r="G699" s="268" t="s">
        <v>4716</v>
      </c>
      <c r="H699" s="268" t="str">
        <f t="shared" si="4"/>
        <v>MONTSERRAT PORTELL SORIANO</v>
      </c>
      <c r="I699" s="268" t="s">
        <v>4943</v>
      </c>
      <c r="J699" s="272" t="s">
        <v>4718</v>
      </c>
      <c r="K699" s="268" t="s">
        <v>5748</v>
      </c>
      <c r="L699" s="276">
        <v>45435</v>
      </c>
      <c r="M699" s="277"/>
      <c r="N699" s="282">
        <v>1</v>
      </c>
      <c r="O699" s="284" t="s">
        <v>4720</v>
      </c>
      <c r="P699" s="280">
        <v>2162.73</v>
      </c>
      <c r="Q699" s="289">
        <v>45398</v>
      </c>
      <c r="R699" s="272"/>
      <c r="S699" s="272"/>
      <c r="T699" s="272"/>
      <c r="U699" s="272"/>
      <c r="V699" s="272"/>
      <c r="W699" s="272"/>
      <c r="X699" s="272"/>
      <c r="Y699" s="272"/>
      <c r="Z699" s="272"/>
      <c r="AA699" s="272"/>
    </row>
    <row r="700" spans="1:27">
      <c r="A700" s="273">
        <v>5</v>
      </c>
      <c r="B700" s="274" t="s">
        <v>5628</v>
      </c>
      <c r="C700" s="275">
        <v>45394</v>
      </c>
      <c r="D700" s="274" t="s">
        <v>4714</v>
      </c>
      <c r="E700" s="268" t="s">
        <v>4780</v>
      </c>
      <c r="F700" s="268" t="s">
        <v>4715</v>
      </c>
      <c r="G700" s="268" t="s">
        <v>4716</v>
      </c>
      <c r="H700" s="268" t="str">
        <f t="shared" si="4"/>
        <v>MARÍA JESÚS CORNEJO DOMÍNGUEZ</v>
      </c>
      <c r="I700" s="268" t="s">
        <v>4781</v>
      </c>
      <c r="J700" s="272" t="s">
        <v>4747</v>
      </c>
      <c r="K700" s="268" t="s">
        <v>5749</v>
      </c>
      <c r="L700" s="302">
        <v>45435</v>
      </c>
      <c r="M700" s="268"/>
      <c r="N700" s="282">
        <v>2</v>
      </c>
      <c r="O700" s="268" t="s">
        <v>4720</v>
      </c>
      <c r="P700" s="280">
        <v>3295.45</v>
      </c>
      <c r="Q700" s="304">
        <v>45394</v>
      </c>
      <c r="R700" s="272"/>
      <c r="S700" s="272"/>
      <c r="T700" s="272"/>
      <c r="U700" s="272"/>
      <c r="V700" s="272"/>
      <c r="W700" s="272"/>
      <c r="X700" s="272"/>
      <c r="Y700" s="272"/>
      <c r="Z700" s="272"/>
      <c r="AA700" s="272"/>
    </row>
    <row r="701" spans="1:27">
      <c r="A701" s="273">
        <v>5</v>
      </c>
      <c r="B701" s="274" t="s">
        <v>5628</v>
      </c>
      <c r="C701" s="275">
        <v>45386</v>
      </c>
      <c r="D701" s="274" t="s">
        <v>4714</v>
      </c>
      <c r="E701" s="268" t="s">
        <v>3529</v>
      </c>
      <c r="F701" s="268" t="s">
        <v>4715</v>
      </c>
      <c r="G701" s="268" t="s">
        <v>4716</v>
      </c>
      <c r="H701" s="268" t="str">
        <f t="shared" si="4"/>
        <v>ESTEFANÍA BERROCAL POSTIGO</v>
      </c>
      <c r="I701" s="268" t="s">
        <v>5201</v>
      </c>
      <c r="J701" s="272" t="s">
        <v>4729</v>
      </c>
      <c r="K701" s="268" t="s">
        <v>5750</v>
      </c>
      <c r="L701" s="287">
        <v>45435</v>
      </c>
      <c r="M701" s="268"/>
      <c r="N701" s="282">
        <v>2</v>
      </c>
      <c r="O701" s="268" t="s">
        <v>4720</v>
      </c>
      <c r="P701" s="280">
        <v>3153.64</v>
      </c>
      <c r="Q701" s="303">
        <v>45386</v>
      </c>
      <c r="R701" s="272"/>
      <c r="S701" s="272"/>
      <c r="T701" s="272"/>
      <c r="U701" s="272"/>
      <c r="V701" s="272"/>
      <c r="W701" s="272"/>
      <c r="X701" s="272"/>
      <c r="Y701" s="272"/>
      <c r="Z701" s="272"/>
      <c r="AA701" s="272"/>
    </row>
    <row r="702" spans="1:27">
      <c r="A702" s="273">
        <v>5</v>
      </c>
      <c r="B702" s="274" t="s">
        <v>5628</v>
      </c>
      <c r="C702" s="275">
        <v>45407</v>
      </c>
      <c r="D702" s="274" t="s">
        <v>4714</v>
      </c>
      <c r="E702" s="268" t="s">
        <v>3011</v>
      </c>
      <c r="F702" s="268" t="s">
        <v>4715</v>
      </c>
      <c r="G702" s="268" t="s">
        <v>4716</v>
      </c>
      <c r="H702" s="268" t="str">
        <f t="shared" si="4"/>
        <v>ESTEFANÍA BERROCAL POSTIGO</v>
      </c>
      <c r="I702" s="268" t="s">
        <v>5201</v>
      </c>
      <c r="J702" s="272" t="s">
        <v>4729</v>
      </c>
      <c r="K702" s="268" t="s">
        <v>5751</v>
      </c>
      <c r="L702" s="302">
        <v>45435</v>
      </c>
      <c r="M702" s="268"/>
      <c r="N702" s="282">
        <v>2</v>
      </c>
      <c r="O702" s="268" t="s">
        <v>4720</v>
      </c>
      <c r="P702" s="280">
        <v>3441.82</v>
      </c>
      <c r="Q702" s="304">
        <v>45407</v>
      </c>
      <c r="R702" s="272"/>
      <c r="S702" s="272"/>
      <c r="T702" s="272"/>
      <c r="U702" s="272"/>
      <c r="V702" s="272"/>
      <c r="W702" s="272"/>
      <c r="X702" s="272"/>
      <c r="Y702" s="272"/>
      <c r="Z702" s="272"/>
      <c r="AA702" s="272"/>
    </row>
    <row r="703" spans="1:27">
      <c r="A703" s="273">
        <v>5</v>
      </c>
      <c r="B703" s="274" t="s">
        <v>5628</v>
      </c>
      <c r="C703" s="275">
        <v>45343</v>
      </c>
      <c r="D703" s="274" t="s">
        <v>4714</v>
      </c>
      <c r="E703" s="268" t="s">
        <v>4734</v>
      </c>
      <c r="F703" s="268" t="s">
        <v>4715</v>
      </c>
      <c r="G703" s="268" t="s">
        <v>4716</v>
      </c>
      <c r="H703" s="268" t="str">
        <f t="shared" si="4"/>
        <v>ISABEL POLO TOMÁS</v>
      </c>
      <c r="I703" s="268" t="s">
        <v>4912</v>
      </c>
      <c r="J703" s="272" t="s">
        <v>4736</v>
      </c>
      <c r="K703" s="268" t="s">
        <v>5752</v>
      </c>
      <c r="L703" s="276">
        <v>45436</v>
      </c>
      <c r="M703" s="277"/>
      <c r="N703" s="282">
        <v>1</v>
      </c>
      <c r="O703" s="284" t="s">
        <v>4723</v>
      </c>
      <c r="P703" s="280">
        <v>1732.73</v>
      </c>
      <c r="Q703" s="289">
        <v>45343</v>
      </c>
      <c r="R703" s="272"/>
      <c r="S703" s="272"/>
      <c r="T703" s="272"/>
      <c r="U703" s="272"/>
      <c r="V703" s="272"/>
      <c r="W703" s="272"/>
      <c r="X703" s="272"/>
      <c r="Y703" s="272"/>
      <c r="Z703" s="272"/>
      <c r="AA703" s="272"/>
    </row>
    <row r="704" spans="1:27">
      <c r="A704" s="273">
        <v>5</v>
      </c>
      <c r="B704" s="274" t="s">
        <v>5628</v>
      </c>
      <c r="C704" s="275">
        <v>45028</v>
      </c>
      <c r="D704" s="274" t="s">
        <v>4714</v>
      </c>
      <c r="E704" s="268" t="s">
        <v>4194</v>
      </c>
      <c r="F704" s="268" t="s">
        <v>4715</v>
      </c>
      <c r="G704" s="268" t="s">
        <v>4716</v>
      </c>
      <c r="H704" s="268" t="str">
        <f t="shared" si="4"/>
        <v>KAREN ROJAS CRESPO</v>
      </c>
      <c r="I704" s="268" t="s">
        <v>5260</v>
      </c>
      <c r="J704" s="272" t="s">
        <v>4736</v>
      </c>
      <c r="K704" s="268" t="s">
        <v>5753</v>
      </c>
      <c r="L704" s="276">
        <v>45436</v>
      </c>
      <c r="M704" s="277"/>
      <c r="N704" s="282">
        <v>2</v>
      </c>
      <c r="O704" s="284" t="s">
        <v>4723</v>
      </c>
      <c r="P704" s="280">
        <v>818.18</v>
      </c>
      <c r="Q704" s="289">
        <v>45028</v>
      </c>
      <c r="R704" s="272"/>
      <c r="S704" s="272"/>
      <c r="T704" s="272"/>
      <c r="U704" s="272"/>
      <c r="V704" s="272"/>
      <c r="W704" s="272"/>
      <c r="X704" s="272"/>
      <c r="Y704" s="272"/>
      <c r="Z704" s="272"/>
      <c r="AA704" s="272"/>
    </row>
    <row r="705" spans="1:27">
      <c r="A705" s="273">
        <v>5</v>
      </c>
      <c r="B705" s="274" t="s">
        <v>5628</v>
      </c>
      <c r="C705" s="275">
        <v>45399</v>
      </c>
      <c r="D705" s="274" t="s">
        <v>4714</v>
      </c>
      <c r="E705" s="268" t="s">
        <v>3480</v>
      </c>
      <c r="F705" s="268" t="s">
        <v>4715</v>
      </c>
      <c r="G705" s="268" t="s">
        <v>4716</v>
      </c>
      <c r="H705" s="268" t="str">
        <f t="shared" si="4"/>
        <v>NURIA PÉREZ MARTÍN</v>
      </c>
      <c r="I705" s="268" t="s">
        <v>5754</v>
      </c>
      <c r="J705" s="272" t="s">
        <v>4718</v>
      </c>
      <c r="K705" s="268" t="s">
        <v>5755</v>
      </c>
      <c r="L705" s="276">
        <v>45436</v>
      </c>
      <c r="M705" s="277"/>
      <c r="N705" s="282">
        <v>2</v>
      </c>
      <c r="O705" s="284" t="s">
        <v>4787</v>
      </c>
      <c r="P705" s="280">
        <v>4180</v>
      </c>
      <c r="Q705" s="289">
        <v>45399</v>
      </c>
      <c r="R705" s="272"/>
      <c r="S705" s="272"/>
      <c r="T705" s="272"/>
      <c r="U705" s="272"/>
      <c r="V705" s="272"/>
      <c r="W705" s="272"/>
      <c r="X705" s="272"/>
      <c r="Y705" s="272"/>
      <c r="Z705" s="272"/>
      <c r="AA705" s="272"/>
    </row>
    <row r="706" spans="1:27">
      <c r="A706" s="273">
        <v>5</v>
      </c>
      <c r="B706" s="274" t="s">
        <v>5628</v>
      </c>
      <c r="C706" s="275">
        <v>45401</v>
      </c>
      <c r="D706" s="274" t="s">
        <v>4714</v>
      </c>
      <c r="E706" s="268" t="s">
        <v>5321</v>
      </c>
      <c r="F706" s="268" t="s">
        <v>4715</v>
      </c>
      <c r="G706" s="268" t="s">
        <v>4716</v>
      </c>
      <c r="H706" s="268" t="str">
        <f t="shared" si="4"/>
        <v>XAVIER URRACA CONTRERAS</v>
      </c>
      <c r="I706" s="268" t="s">
        <v>5756</v>
      </c>
      <c r="J706" s="272" t="s">
        <v>4806</v>
      </c>
      <c r="K706" s="268" t="s">
        <v>5757</v>
      </c>
      <c r="L706" s="276">
        <v>45436</v>
      </c>
      <c r="M706" s="277"/>
      <c r="N706" s="282">
        <v>2</v>
      </c>
      <c r="O706" s="284" t="s">
        <v>4720</v>
      </c>
      <c r="P706" s="280">
        <v>3604.55</v>
      </c>
      <c r="Q706" s="289">
        <v>45401</v>
      </c>
      <c r="R706" s="272"/>
      <c r="S706" s="272"/>
      <c r="T706" s="272"/>
      <c r="U706" s="272"/>
      <c r="V706" s="272"/>
      <c r="W706" s="272"/>
      <c r="X706" s="272"/>
      <c r="Y706" s="272"/>
      <c r="Z706" s="272"/>
      <c r="AA706" s="272"/>
    </row>
    <row r="707" spans="1:27">
      <c r="A707" s="273">
        <v>5</v>
      </c>
      <c r="B707" s="274" t="s">
        <v>5628</v>
      </c>
      <c r="C707" s="275">
        <v>45392</v>
      </c>
      <c r="D707" s="274" t="s">
        <v>4714</v>
      </c>
      <c r="E707" s="268" t="s">
        <v>3861</v>
      </c>
      <c r="F707" s="268" t="s">
        <v>4715</v>
      </c>
      <c r="G707" s="268" t="s">
        <v>4716</v>
      </c>
      <c r="H707" s="268" t="str">
        <f t="shared" si="4"/>
        <v>JOSÉ GUSTAVO BARROSO BRAOJOS</v>
      </c>
      <c r="I707" s="268" t="s">
        <v>4834</v>
      </c>
      <c r="J707" s="272" t="s">
        <v>4718</v>
      </c>
      <c r="K707" s="268" t="s">
        <v>5758</v>
      </c>
      <c r="L707" s="276">
        <v>45436</v>
      </c>
      <c r="M707" s="277"/>
      <c r="N707" s="282">
        <v>2</v>
      </c>
      <c r="O707" s="284" t="s">
        <v>4740</v>
      </c>
      <c r="P707" s="280">
        <v>4222.7299999999996</v>
      </c>
      <c r="Q707" s="289">
        <v>45392</v>
      </c>
      <c r="R707" s="272"/>
      <c r="S707" s="272"/>
      <c r="T707" s="272"/>
      <c r="U707" s="272"/>
      <c r="V707" s="272"/>
      <c r="W707" s="272"/>
      <c r="X707" s="272"/>
      <c r="Y707" s="272"/>
      <c r="Z707" s="272"/>
      <c r="AA707" s="272"/>
    </row>
    <row r="708" spans="1:27">
      <c r="A708" s="273">
        <v>5</v>
      </c>
      <c r="B708" s="274" t="s">
        <v>5628</v>
      </c>
      <c r="C708" s="275">
        <v>45405</v>
      </c>
      <c r="D708" s="274" t="s">
        <v>4714</v>
      </c>
      <c r="E708" s="268" t="s">
        <v>3861</v>
      </c>
      <c r="F708" s="268" t="s">
        <v>4715</v>
      </c>
      <c r="G708" s="268" t="s">
        <v>4716</v>
      </c>
      <c r="H708" s="268" t="str">
        <f t="shared" si="4"/>
        <v>HELENA MORENO PARDO</v>
      </c>
      <c r="I708" s="268" t="s">
        <v>5619</v>
      </c>
      <c r="J708" s="272" t="s">
        <v>4718</v>
      </c>
      <c r="K708" s="268" t="s">
        <v>5759</v>
      </c>
      <c r="L708" s="276">
        <v>45436</v>
      </c>
      <c r="M708" s="283"/>
      <c r="N708" s="282">
        <v>1</v>
      </c>
      <c r="O708" s="284" t="s">
        <v>4787</v>
      </c>
      <c r="P708" s="280">
        <v>3549.09</v>
      </c>
      <c r="Q708" s="289">
        <v>45405</v>
      </c>
      <c r="R708" s="272"/>
      <c r="S708" s="272"/>
      <c r="T708" s="272"/>
      <c r="U708" s="272"/>
      <c r="V708" s="272"/>
      <c r="W708" s="272"/>
      <c r="X708" s="272"/>
      <c r="Y708" s="272"/>
      <c r="Z708" s="272"/>
      <c r="AA708" s="272"/>
    </row>
    <row r="709" spans="1:27">
      <c r="A709" s="273">
        <v>5</v>
      </c>
      <c r="B709" s="274" t="s">
        <v>5628</v>
      </c>
      <c r="C709" s="275">
        <v>45404</v>
      </c>
      <c r="D709" s="274" t="s">
        <v>4714</v>
      </c>
      <c r="E709" s="268" t="s">
        <v>2869</v>
      </c>
      <c r="F709" s="268" t="s">
        <v>4715</v>
      </c>
      <c r="G709" s="268" t="s">
        <v>4716</v>
      </c>
      <c r="H709" s="268" t="str">
        <f t="shared" si="4"/>
        <v>AIDA AVIÑOA ARIAS</v>
      </c>
      <c r="I709" s="268" t="s">
        <v>5298</v>
      </c>
      <c r="J709" s="272" t="s">
        <v>4736</v>
      </c>
      <c r="K709" s="268" t="s">
        <v>5760</v>
      </c>
      <c r="L709" s="287">
        <v>45436</v>
      </c>
      <c r="M709" s="268"/>
      <c r="N709" s="282">
        <v>2</v>
      </c>
      <c r="O709" s="268" t="s">
        <v>4720</v>
      </c>
      <c r="P709" s="280">
        <v>3603.85</v>
      </c>
      <c r="Q709" s="304">
        <v>45404</v>
      </c>
      <c r="R709" s="272"/>
      <c r="S709" s="272"/>
      <c r="T709" s="272"/>
      <c r="U709" s="272"/>
      <c r="V709" s="272"/>
      <c r="W709" s="272"/>
      <c r="X709" s="272"/>
      <c r="Y709" s="272"/>
      <c r="Z709" s="272"/>
      <c r="AA709" s="272"/>
    </row>
    <row r="710" spans="1:27">
      <c r="A710" s="273">
        <v>5</v>
      </c>
      <c r="B710" s="274" t="s">
        <v>5628</v>
      </c>
      <c r="C710" s="275">
        <v>45408</v>
      </c>
      <c r="D710" s="274" t="s">
        <v>4714</v>
      </c>
      <c r="E710" s="268" t="s">
        <v>2873</v>
      </c>
      <c r="F710" s="268" t="s">
        <v>4715</v>
      </c>
      <c r="G710" s="268" t="s">
        <v>4716</v>
      </c>
      <c r="H710" s="268" t="str">
        <f t="shared" si="4"/>
        <v>MÓNICA RODRÍGUEZ</v>
      </c>
      <c r="I710" s="268" t="s">
        <v>5171</v>
      </c>
      <c r="J710" s="272" t="s">
        <v>4736</v>
      </c>
      <c r="K710" s="268" t="s">
        <v>5761</v>
      </c>
      <c r="L710" s="287">
        <v>45436</v>
      </c>
      <c r="M710" s="268"/>
      <c r="N710" s="282">
        <v>2</v>
      </c>
      <c r="O710" s="268" t="s">
        <v>4740</v>
      </c>
      <c r="P710" s="280">
        <v>4000</v>
      </c>
      <c r="Q710" s="304">
        <v>45408</v>
      </c>
      <c r="R710" s="272"/>
      <c r="S710" s="272"/>
      <c r="T710" s="272"/>
      <c r="U710" s="272"/>
      <c r="V710" s="272"/>
      <c r="W710" s="272"/>
      <c r="X710" s="272"/>
      <c r="Y710" s="272"/>
      <c r="Z710" s="272"/>
      <c r="AA710" s="272"/>
    </row>
    <row r="711" spans="1:27">
      <c r="A711" s="273">
        <v>5</v>
      </c>
      <c r="B711" s="274" t="s">
        <v>5628</v>
      </c>
      <c r="C711" s="275">
        <v>45359</v>
      </c>
      <c r="D711" s="274" t="s">
        <v>4714</v>
      </c>
      <c r="E711" s="268" t="s">
        <v>4749</v>
      </c>
      <c r="F711" s="268" t="s">
        <v>4715</v>
      </c>
      <c r="G711" s="268" t="s">
        <v>4716</v>
      </c>
      <c r="H711" s="268" t="str">
        <f t="shared" si="4"/>
        <v>MÓNICA GRANDA ROSALES</v>
      </c>
      <c r="I711" s="268" t="s">
        <v>4750</v>
      </c>
      <c r="J711" s="272" t="s">
        <v>4747</v>
      </c>
      <c r="K711" s="268" t="s">
        <v>5762</v>
      </c>
      <c r="L711" s="287">
        <v>45436</v>
      </c>
      <c r="M711" s="268"/>
      <c r="N711" s="282">
        <v>1</v>
      </c>
      <c r="O711" s="268" t="s">
        <v>4720</v>
      </c>
      <c r="P711" s="280">
        <v>1636.36</v>
      </c>
      <c r="Q711" s="303">
        <v>45359</v>
      </c>
      <c r="R711" s="272"/>
      <c r="S711" s="272"/>
      <c r="T711" s="272"/>
      <c r="U711" s="272"/>
      <c r="V711" s="272"/>
      <c r="W711" s="272"/>
      <c r="X711" s="272"/>
      <c r="Y711" s="272"/>
      <c r="Z711" s="272"/>
      <c r="AA711" s="272"/>
    </row>
    <row r="712" spans="1:27">
      <c r="A712" s="273">
        <v>5</v>
      </c>
      <c r="B712" s="274" t="s">
        <v>5628</v>
      </c>
      <c r="C712" s="275">
        <v>45366</v>
      </c>
      <c r="D712" s="274" t="s">
        <v>4714</v>
      </c>
      <c r="E712" s="268" t="s">
        <v>4749</v>
      </c>
      <c r="F712" s="268" t="s">
        <v>4715</v>
      </c>
      <c r="G712" s="268" t="s">
        <v>4716</v>
      </c>
      <c r="H712" s="268" t="str">
        <f t="shared" si="4"/>
        <v>MÓNICA GRANDA ROSALES</v>
      </c>
      <c r="I712" s="268" t="s">
        <v>4750</v>
      </c>
      <c r="J712" s="272" t="s">
        <v>4747</v>
      </c>
      <c r="K712" s="268" t="s">
        <v>5763</v>
      </c>
      <c r="L712" s="302">
        <v>45436</v>
      </c>
      <c r="M712" s="268"/>
      <c r="N712" s="282">
        <v>2</v>
      </c>
      <c r="O712" s="268" t="s">
        <v>4720</v>
      </c>
      <c r="P712" s="280">
        <v>2727.27</v>
      </c>
      <c r="Q712" s="304">
        <v>45366</v>
      </c>
      <c r="R712" s="272"/>
      <c r="S712" s="272"/>
      <c r="T712" s="272"/>
      <c r="U712" s="272"/>
      <c r="V712" s="272"/>
      <c r="W712" s="272"/>
      <c r="X712" s="272"/>
      <c r="Y712" s="272"/>
      <c r="Z712" s="272"/>
      <c r="AA712" s="272"/>
    </row>
    <row r="713" spans="1:27">
      <c r="A713" s="273">
        <v>5</v>
      </c>
      <c r="B713" s="274" t="s">
        <v>5628</v>
      </c>
      <c r="C713" s="275">
        <v>45418</v>
      </c>
      <c r="D713" s="274" t="s">
        <v>4714</v>
      </c>
      <c r="E713" s="268" t="s">
        <v>4749</v>
      </c>
      <c r="F713" s="268" t="s">
        <v>4715</v>
      </c>
      <c r="G713" s="268" t="s">
        <v>4716</v>
      </c>
      <c r="H713" s="268" t="str">
        <f t="shared" si="4"/>
        <v>MÓNICA GRANDA ROSALES</v>
      </c>
      <c r="I713" s="268" t="s">
        <v>4750</v>
      </c>
      <c r="J713" s="272" t="s">
        <v>4747</v>
      </c>
      <c r="K713" s="268" t="s">
        <v>5764</v>
      </c>
      <c r="L713" s="302">
        <v>45436</v>
      </c>
      <c r="M713" s="272"/>
      <c r="N713" s="282">
        <v>2</v>
      </c>
      <c r="O713" s="268" t="s">
        <v>4720</v>
      </c>
      <c r="P713" s="280">
        <v>1727.27</v>
      </c>
      <c r="Q713" s="304">
        <v>45418</v>
      </c>
      <c r="R713" s="272"/>
      <c r="S713" s="272"/>
      <c r="T713" s="272"/>
      <c r="U713" s="272"/>
      <c r="V713" s="272"/>
      <c r="W713" s="272"/>
      <c r="X713" s="272"/>
      <c r="Y713" s="272"/>
      <c r="Z713" s="272"/>
      <c r="AA713" s="272"/>
    </row>
    <row r="714" spans="1:27">
      <c r="A714" s="273">
        <v>5</v>
      </c>
      <c r="B714" s="274" t="s">
        <v>5628</v>
      </c>
      <c r="C714" s="275">
        <v>45393</v>
      </c>
      <c r="D714" s="274" t="s">
        <v>4714</v>
      </c>
      <c r="E714" s="268" t="s">
        <v>5225</v>
      </c>
      <c r="F714" s="268" t="s">
        <v>4715</v>
      </c>
      <c r="G714" s="268" t="s">
        <v>4716</v>
      </c>
      <c r="H714" s="268" t="str">
        <f>TRIM(SUBSTITUTE(SUBSTITUTE(SUBSTITUTE(SUBSTITUTE(I714,"DR. ",""),"DRA. ",""),"DR. ",""),"DRA ",""))</f>
        <v>ISABEL VAAMONDE SANCHEZ ANDRADE</v>
      </c>
      <c r="I714" s="268" t="s">
        <v>5088</v>
      </c>
      <c r="J714" s="272" t="s">
        <v>4790</v>
      </c>
      <c r="K714" s="268" t="s">
        <v>5765</v>
      </c>
      <c r="L714" s="276">
        <v>45436</v>
      </c>
      <c r="M714" s="268"/>
      <c r="N714" s="282">
        <v>2</v>
      </c>
      <c r="O714" s="268" t="s">
        <v>4720</v>
      </c>
      <c r="P714" s="280">
        <v>3604.55</v>
      </c>
      <c r="Q714" s="303">
        <v>45393</v>
      </c>
      <c r="R714" s="272"/>
      <c r="S714" s="272"/>
      <c r="T714" s="272"/>
      <c r="U714" s="272"/>
      <c r="V714" s="272"/>
      <c r="W714" s="272"/>
      <c r="X714" s="272"/>
      <c r="Y714" s="272"/>
      <c r="Z714" s="272"/>
      <c r="AA714" s="272"/>
    </row>
    <row r="715" spans="1:27">
      <c r="A715" s="273">
        <v>5</v>
      </c>
      <c r="B715" s="274" t="s">
        <v>5628</v>
      </c>
      <c r="C715" s="275">
        <v>45411</v>
      </c>
      <c r="D715" s="274" t="s">
        <v>4714</v>
      </c>
      <c r="E715" s="268" t="s">
        <v>3011</v>
      </c>
      <c r="F715" s="268" t="s">
        <v>4715</v>
      </c>
      <c r="G715" s="268" t="s">
        <v>4716</v>
      </c>
      <c r="H715" s="268" t="str">
        <f t="shared" ref="H715:H969" si="5">TRIM(SUBSTITUTE(SUBSTITUTE(SUBSTITUTE(SUBSTITUTE(I715,"DR. ",""),"DRA. ",""),"DR ",""),"DRA ",""))</f>
        <v>ESTEFANÍA LOZANO REINA</v>
      </c>
      <c r="I715" s="268" t="s">
        <v>5766</v>
      </c>
      <c r="J715" s="272" t="s">
        <v>4729</v>
      </c>
      <c r="K715" s="268" t="s">
        <v>5767</v>
      </c>
      <c r="L715" s="276">
        <v>45436</v>
      </c>
      <c r="M715" s="268"/>
      <c r="N715" s="282">
        <v>2</v>
      </c>
      <c r="O715" s="268" t="s">
        <v>4723</v>
      </c>
      <c r="P715" s="280">
        <v>2888.18</v>
      </c>
      <c r="Q715" s="303">
        <v>45411</v>
      </c>
      <c r="R715" s="272"/>
      <c r="S715" s="272"/>
      <c r="T715" s="272"/>
      <c r="U715" s="272"/>
      <c r="V715" s="272"/>
      <c r="W715" s="272"/>
      <c r="X715" s="272"/>
      <c r="Y715" s="272"/>
      <c r="Z715" s="272"/>
      <c r="AA715" s="272"/>
    </row>
    <row r="716" spans="1:27">
      <c r="A716" s="273">
        <v>5</v>
      </c>
      <c r="B716" s="274" t="s">
        <v>5628</v>
      </c>
      <c r="C716" s="275">
        <v>45371</v>
      </c>
      <c r="D716" s="274" t="s">
        <v>4714</v>
      </c>
      <c r="E716" s="268" t="s">
        <v>2863</v>
      </c>
      <c r="F716" s="268" t="s">
        <v>4715</v>
      </c>
      <c r="G716" s="268" t="s">
        <v>4716</v>
      </c>
      <c r="H716" s="268" t="str">
        <f t="shared" si="5"/>
        <v>MANUEL GARCÍA LÓPEZ</v>
      </c>
      <c r="I716" s="268" t="s">
        <v>5768</v>
      </c>
      <c r="J716" s="272" t="s">
        <v>4736</v>
      </c>
      <c r="K716" s="268" t="s">
        <v>5769</v>
      </c>
      <c r="L716" s="276">
        <v>45439</v>
      </c>
      <c r="M716" s="277"/>
      <c r="N716" s="282">
        <v>2</v>
      </c>
      <c r="O716" s="284" t="s">
        <v>4720</v>
      </c>
      <c r="P716" s="280">
        <v>2799.09</v>
      </c>
      <c r="Q716" s="289">
        <v>45371</v>
      </c>
      <c r="R716" s="272"/>
      <c r="S716" s="272"/>
      <c r="T716" s="272"/>
      <c r="U716" s="272"/>
      <c r="V716" s="272"/>
      <c r="W716" s="272"/>
      <c r="X716" s="272"/>
      <c r="Y716" s="272"/>
      <c r="Z716" s="272"/>
      <c r="AA716" s="272"/>
    </row>
    <row r="717" spans="1:27">
      <c r="A717" s="273">
        <v>5</v>
      </c>
      <c r="B717" s="274" t="s">
        <v>5628</v>
      </c>
      <c r="C717" s="275">
        <v>45407</v>
      </c>
      <c r="D717" s="274" t="s">
        <v>4714</v>
      </c>
      <c r="E717" s="268" t="s">
        <v>2863</v>
      </c>
      <c r="F717" s="268" t="s">
        <v>4715</v>
      </c>
      <c r="G717" s="268" t="s">
        <v>4716</v>
      </c>
      <c r="H717" s="268" t="str">
        <f t="shared" si="5"/>
        <v>PEDRO SEGUÍ MOYA</v>
      </c>
      <c r="I717" s="268" t="s">
        <v>5053</v>
      </c>
      <c r="J717" s="272" t="s">
        <v>4736</v>
      </c>
      <c r="K717" s="268" t="s">
        <v>5770</v>
      </c>
      <c r="L717" s="276">
        <v>45439</v>
      </c>
      <c r="M717" s="277"/>
      <c r="N717" s="282">
        <v>2</v>
      </c>
      <c r="O717" s="284" t="s">
        <v>4720</v>
      </c>
      <c r="P717" s="280">
        <v>3709.09</v>
      </c>
      <c r="Q717" s="289">
        <v>45407</v>
      </c>
      <c r="R717" s="272"/>
      <c r="S717" s="272"/>
      <c r="T717" s="272"/>
      <c r="U717" s="272"/>
      <c r="V717" s="272"/>
      <c r="W717" s="272"/>
      <c r="X717" s="272"/>
      <c r="Y717" s="272"/>
      <c r="Z717" s="272"/>
      <c r="AA717" s="272"/>
    </row>
    <row r="718" spans="1:27">
      <c r="A718" s="273">
        <v>5</v>
      </c>
      <c r="B718" s="274" t="s">
        <v>5628</v>
      </c>
      <c r="C718" s="275">
        <v>45390</v>
      </c>
      <c r="D718" s="274" t="s">
        <v>4714</v>
      </c>
      <c r="E718" s="268" t="s">
        <v>4194</v>
      </c>
      <c r="F718" s="268" t="s">
        <v>4715</v>
      </c>
      <c r="G718" s="268" t="s">
        <v>4716</v>
      </c>
      <c r="H718" s="268" t="str">
        <f t="shared" si="5"/>
        <v>GUILLERMO SEVERÁ FERRANDIZ</v>
      </c>
      <c r="I718" s="268" t="s">
        <v>5190</v>
      </c>
      <c r="J718" s="272" t="s">
        <v>4736</v>
      </c>
      <c r="K718" s="268" t="s">
        <v>5771</v>
      </c>
      <c r="L718" s="276">
        <v>45439</v>
      </c>
      <c r="M718" s="277"/>
      <c r="N718" s="282">
        <v>2</v>
      </c>
      <c r="O718" s="284" t="s">
        <v>4723</v>
      </c>
      <c r="P718" s="280">
        <v>2039.09</v>
      </c>
      <c r="Q718" s="289">
        <v>45390</v>
      </c>
      <c r="R718" s="272"/>
      <c r="S718" s="272"/>
      <c r="T718" s="272"/>
      <c r="U718" s="272"/>
      <c r="V718" s="272"/>
      <c r="W718" s="272"/>
      <c r="X718" s="272"/>
      <c r="Y718" s="272"/>
      <c r="Z718" s="272"/>
      <c r="AA718" s="272"/>
    </row>
    <row r="719" spans="1:27">
      <c r="A719" s="273">
        <v>5</v>
      </c>
      <c r="B719" s="274" t="s">
        <v>5628</v>
      </c>
      <c r="C719" s="275">
        <v>45397</v>
      </c>
      <c r="D719" s="274" t="s">
        <v>4714</v>
      </c>
      <c r="E719" s="268" t="s">
        <v>4194</v>
      </c>
      <c r="F719" s="268" t="s">
        <v>4715</v>
      </c>
      <c r="G719" s="268" t="s">
        <v>4716</v>
      </c>
      <c r="H719" s="268" t="str">
        <f t="shared" si="5"/>
        <v>IRENE MONJAS CANOVAS</v>
      </c>
      <c r="I719" s="268" t="s">
        <v>5772</v>
      </c>
      <c r="J719" s="272" t="s">
        <v>4736</v>
      </c>
      <c r="K719" s="268" t="s">
        <v>5773</v>
      </c>
      <c r="L719" s="276">
        <v>45439</v>
      </c>
      <c r="M719" s="277"/>
      <c r="N719" s="282">
        <v>2</v>
      </c>
      <c r="O719" s="284" t="s">
        <v>4720</v>
      </c>
      <c r="P719" s="280">
        <v>3604.55</v>
      </c>
      <c r="Q719" s="289">
        <v>45397</v>
      </c>
      <c r="R719" s="272"/>
      <c r="S719" s="272"/>
      <c r="T719" s="272"/>
      <c r="U719" s="272"/>
      <c r="V719" s="272"/>
      <c r="W719" s="272"/>
      <c r="X719" s="272"/>
      <c r="Y719" s="272"/>
      <c r="Z719" s="272"/>
      <c r="AA719" s="272"/>
    </row>
    <row r="720" spans="1:27">
      <c r="A720" s="273">
        <v>5</v>
      </c>
      <c r="B720" s="274" t="s">
        <v>5628</v>
      </c>
      <c r="C720" s="275">
        <v>45384</v>
      </c>
      <c r="D720" s="274" t="s">
        <v>4714</v>
      </c>
      <c r="E720" s="268" t="s">
        <v>2893</v>
      </c>
      <c r="F720" s="268" t="s">
        <v>4715</v>
      </c>
      <c r="G720" s="268" t="s">
        <v>4716</v>
      </c>
      <c r="H720" s="268" t="str">
        <f t="shared" si="5"/>
        <v>MONTSERRAT PORTELL SORIANO</v>
      </c>
      <c r="I720" s="268" t="s">
        <v>4943</v>
      </c>
      <c r="J720" s="272" t="s">
        <v>4718</v>
      </c>
      <c r="K720" s="268" t="s">
        <v>5774</v>
      </c>
      <c r="L720" s="276">
        <v>45439</v>
      </c>
      <c r="M720" s="277"/>
      <c r="N720" s="282">
        <v>2</v>
      </c>
      <c r="O720" s="284" t="s">
        <v>4787</v>
      </c>
      <c r="P720" s="280">
        <v>4400</v>
      </c>
      <c r="Q720" s="289">
        <v>45384</v>
      </c>
      <c r="R720" s="272"/>
      <c r="S720" s="272"/>
      <c r="T720" s="272"/>
      <c r="U720" s="272"/>
      <c r="V720" s="272"/>
      <c r="W720" s="272"/>
      <c r="X720" s="272"/>
      <c r="Y720" s="272"/>
      <c r="Z720" s="272"/>
      <c r="AA720" s="272"/>
    </row>
    <row r="721" spans="1:27">
      <c r="A721" s="273">
        <v>5</v>
      </c>
      <c r="B721" s="274" t="s">
        <v>5628</v>
      </c>
      <c r="C721" s="275">
        <v>45411</v>
      </c>
      <c r="D721" s="274" t="s">
        <v>4714</v>
      </c>
      <c r="E721" s="268" t="s">
        <v>3861</v>
      </c>
      <c r="F721" s="268" t="s">
        <v>4715</v>
      </c>
      <c r="G721" s="268" t="s">
        <v>4716</v>
      </c>
      <c r="H721" s="268" t="str">
        <f t="shared" si="5"/>
        <v>JOSÉ GUSTAVO BARROSO BRAOJOS</v>
      </c>
      <c r="I721" s="268" t="s">
        <v>4834</v>
      </c>
      <c r="J721" s="272" t="s">
        <v>4718</v>
      </c>
      <c r="K721" s="268" t="s">
        <v>5775</v>
      </c>
      <c r="L721" s="276">
        <v>45439</v>
      </c>
      <c r="M721" s="277"/>
      <c r="N721" s="282">
        <v>2</v>
      </c>
      <c r="O721" s="284" t="s">
        <v>4787</v>
      </c>
      <c r="P721" s="280">
        <v>4400</v>
      </c>
      <c r="Q721" s="289">
        <v>45411</v>
      </c>
      <c r="R721" s="272"/>
      <c r="S721" s="272"/>
      <c r="T721" s="272"/>
      <c r="U721" s="272"/>
      <c r="V721" s="272"/>
      <c r="W721" s="272"/>
      <c r="X721" s="272"/>
      <c r="Y721" s="272"/>
      <c r="Z721" s="272"/>
      <c r="AA721" s="272"/>
    </row>
    <row r="722" spans="1:27">
      <c r="A722" s="273">
        <v>5</v>
      </c>
      <c r="B722" s="274" t="s">
        <v>5628</v>
      </c>
      <c r="C722" s="275">
        <v>45400</v>
      </c>
      <c r="D722" s="274" t="s">
        <v>4714</v>
      </c>
      <c r="E722" s="268" t="s">
        <v>2929</v>
      </c>
      <c r="F722" s="268" t="s">
        <v>4715</v>
      </c>
      <c r="G722" s="268" t="s">
        <v>4716</v>
      </c>
      <c r="H722" s="268" t="str">
        <f t="shared" si="5"/>
        <v>ESTEBAN SCOLA PLIEGO</v>
      </c>
      <c r="I722" s="268" t="s">
        <v>5010</v>
      </c>
      <c r="J722" s="272" t="s">
        <v>4718</v>
      </c>
      <c r="K722" s="268" t="s">
        <v>5776</v>
      </c>
      <c r="L722" s="276">
        <v>45439</v>
      </c>
      <c r="M722" s="277"/>
      <c r="N722" s="282">
        <v>2</v>
      </c>
      <c r="O722" s="284" t="s">
        <v>4740</v>
      </c>
      <c r="P722" s="280">
        <v>4011.59</v>
      </c>
      <c r="Q722" s="289">
        <v>45400</v>
      </c>
      <c r="R722" s="272"/>
      <c r="S722" s="272"/>
      <c r="T722" s="272"/>
      <c r="U722" s="272"/>
      <c r="V722" s="272"/>
      <c r="W722" s="272"/>
      <c r="X722" s="272"/>
      <c r="Y722" s="272"/>
      <c r="Z722" s="272"/>
      <c r="AA722" s="272"/>
    </row>
    <row r="723" spans="1:27">
      <c r="A723" s="273">
        <v>5</v>
      </c>
      <c r="B723" s="274" t="s">
        <v>5628</v>
      </c>
      <c r="C723" s="275">
        <v>45392</v>
      </c>
      <c r="D723" s="274" t="s">
        <v>4714</v>
      </c>
      <c r="E723" s="268" t="s">
        <v>2869</v>
      </c>
      <c r="F723" s="268" t="s">
        <v>4715</v>
      </c>
      <c r="G723" s="268" t="s">
        <v>4716</v>
      </c>
      <c r="H723" s="268" t="str">
        <f t="shared" si="5"/>
        <v>AIDA AVIÑOA ARIAS</v>
      </c>
      <c r="I723" s="268" t="s">
        <v>5298</v>
      </c>
      <c r="J723" s="272" t="s">
        <v>4736</v>
      </c>
      <c r="K723" s="268" t="s">
        <v>5777</v>
      </c>
      <c r="L723" s="287">
        <v>45439</v>
      </c>
      <c r="M723" s="268"/>
      <c r="N723" s="282">
        <v>1</v>
      </c>
      <c r="O723" s="268" t="s">
        <v>4740</v>
      </c>
      <c r="P723" s="280">
        <v>2536.36</v>
      </c>
      <c r="Q723" s="303">
        <v>45392</v>
      </c>
      <c r="R723" s="272"/>
      <c r="S723" s="272"/>
      <c r="T723" s="272"/>
      <c r="U723" s="272"/>
      <c r="V723" s="272"/>
      <c r="W723" s="272"/>
      <c r="X723" s="272"/>
      <c r="Y723" s="272"/>
      <c r="Z723" s="272"/>
      <c r="AA723" s="272"/>
    </row>
    <row r="724" spans="1:27">
      <c r="A724" s="273">
        <v>5</v>
      </c>
      <c r="B724" s="274" t="s">
        <v>5628</v>
      </c>
      <c r="C724" s="275">
        <v>45415</v>
      </c>
      <c r="D724" s="274" t="s">
        <v>4714</v>
      </c>
      <c r="E724" s="268" t="s">
        <v>2869</v>
      </c>
      <c r="F724" s="268" t="s">
        <v>4715</v>
      </c>
      <c r="G724" s="268" t="s">
        <v>4716</v>
      </c>
      <c r="H724" s="268" t="str">
        <f t="shared" si="5"/>
        <v>ENRIQUE LÓPEZ MESEGUER</v>
      </c>
      <c r="I724" s="268" t="s">
        <v>5330</v>
      </c>
      <c r="J724" s="268" t="s">
        <v>4736</v>
      </c>
      <c r="K724" s="268" t="s">
        <v>5778</v>
      </c>
      <c r="L724" s="302">
        <v>45439</v>
      </c>
      <c r="M724" s="268"/>
      <c r="N724" s="282">
        <v>2</v>
      </c>
      <c r="O724" s="268" t="s">
        <v>4720</v>
      </c>
      <c r="P724" s="280">
        <v>3710</v>
      </c>
      <c r="Q724" s="304">
        <v>45415</v>
      </c>
      <c r="R724" s="272"/>
      <c r="S724" s="272"/>
      <c r="T724" s="272"/>
      <c r="U724" s="272"/>
      <c r="V724" s="272"/>
      <c r="W724" s="272"/>
      <c r="X724" s="272"/>
      <c r="Y724" s="272"/>
      <c r="Z724" s="272"/>
      <c r="AA724" s="272"/>
    </row>
    <row r="725" spans="1:27">
      <c r="A725" s="273">
        <v>5</v>
      </c>
      <c r="B725" s="274" t="s">
        <v>5628</v>
      </c>
      <c r="C725" s="275">
        <v>45406</v>
      </c>
      <c r="D725" s="274" t="s">
        <v>4714</v>
      </c>
      <c r="E725" s="268" t="s">
        <v>2869</v>
      </c>
      <c r="F725" s="268" t="s">
        <v>4715</v>
      </c>
      <c r="G725" s="268" t="s">
        <v>4716</v>
      </c>
      <c r="H725" s="268" t="str">
        <f t="shared" si="5"/>
        <v>ENRIQUE VIVIENTE RODRÍGUEZ</v>
      </c>
      <c r="I725" s="268" t="s">
        <v>5118</v>
      </c>
      <c r="J725" s="272" t="s">
        <v>4736</v>
      </c>
      <c r="K725" s="268" t="s">
        <v>5779</v>
      </c>
      <c r="L725" s="287">
        <v>45439</v>
      </c>
      <c r="M725" s="268"/>
      <c r="N725" s="282">
        <v>2</v>
      </c>
      <c r="O725" s="268" t="s">
        <v>4740</v>
      </c>
      <c r="P725" s="280">
        <v>3723.64</v>
      </c>
      <c r="Q725" s="303">
        <v>45406</v>
      </c>
      <c r="R725" s="272"/>
      <c r="S725" s="272"/>
      <c r="T725" s="272"/>
      <c r="U725" s="272"/>
      <c r="V725" s="272"/>
      <c r="W725" s="272"/>
      <c r="X725" s="272"/>
      <c r="Y725" s="272"/>
      <c r="Z725" s="272"/>
      <c r="AA725" s="272"/>
    </row>
    <row r="726" spans="1:27">
      <c r="A726" s="273">
        <v>5</v>
      </c>
      <c r="B726" s="274" t="s">
        <v>5628</v>
      </c>
      <c r="C726" s="275">
        <v>45397</v>
      </c>
      <c r="D726" s="274" t="s">
        <v>4714</v>
      </c>
      <c r="E726" s="268" t="s">
        <v>2869</v>
      </c>
      <c r="F726" s="268" t="s">
        <v>4715</v>
      </c>
      <c r="G726" s="268" t="s">
        <v>4716</v>
      </c>
      <c r="H726" s="268" t="str">
        <f t="shared" si="5"/>
        <v>JUAN PABLO PELEGRÍN HERNÁNDEZ</v>
      </c>
      <c r="I726" s="268" t="s">
        <v>4904</v>
      </c>
      <c r="J726" s="272" t="s">
        <v>4736</v>
      </c>
      <c r="K726" s="268" t="s">
        <v>5780</v>
      </c>
      <c r="L726" s="287">
        <v>45439</v>
      </c>
      <c r="M726" s="268"/>
      <c r="N726" s="282">
        <v>2</v>
      </c>
      <c r="O726" s="268" t="s">
        <v>4723</v>
      </c>
      <c r="P726" s="280">
        <v>2888.18</v>
      </c>
      <c r="Q726" s="304">
        <v>45397</v>
      </c>
      <c r="R726" s="272"/>
      <c r="S726" s="272"/>
      <c r="T726" s="272"/>
      <c r="U726" s="272"/>
      <c r="V726" s="272"/>
      <c r="W726" s="272"/>
      <c r="X726" s="272"/>
      <c r="Y726" s="272"/>
      <c r="Z726" s="272"/>
      <c r="AA726" s="272"/>
    </row>
    <row r="727" spans="1:27">
      <c r="A727" s="273">
        <v>5</v>
      </c>
      <c r="B727" s="274" t="s">
        <v>5628</v>
      </c>
      <c r="C727" s="275">
        <v>45407</v>
      </c>
      <c r="D727" s="274" t="s">
        <v>4714</v>
      </c>
      <c r="E727" s="268" t="s">
        <v>5225</v>
      </c>
      <c r="F727" s="268" t="s">
        <v>4715</v>
      </c>
      <c r="G727" s="268" t="s">
        <v>4716</v>
      </c>
      <c r="H727" s="268" t="str">
        <f t="shared" si="5"/>
        <v>GABRIEL MARTÍNEZ CAPOCCINI</v>
      </c>
      <c r="I727" s="268" t="s">
        <v>5332</v>
      </c>
      <c r="J727" s="272" t="s">
        <v>4790</v>
      </c>
      <c r="K727" s="268" t="s">
        <v>5781</v>
      </c>
      <c r="L727" s="287">
        <v>45439</v>
      </c>
      <c r="M727" s="268"/>
      <c r="N727" s="282">
        <v>2</v>
      </c>
      <c r="O727" s="268" t="s">
        <v>4720</v>
      </c>
      <c r="P727" s="280">
        <v>3710</v>
      </c>
      <c r="Q727" s="303">
        <v>45407</v>
      </c>
      <c r="R727" s="272"/>
      <c r="S727" s="272"/>
      <c r="T727" s="272"/>
      <c r="U727" s="272"/>
      <c r="V727" s="272"/>
      <c r="W727" s="272"/>
      <c r="X727" s="272"/>
      <c r="Y727" s="272"/>
      <c r="Z727" s="272"/>
      <c r="AA727" s="272"/>
    </row>
    <row r="728" spans="1:27">
      <c r="A728" s="273">
        <v>5</v>
      </c>
      <c r="B728" s="274" t="s">
        <v>5628</v>
      </c>
      <c r="C728" s="275">
        <v>45103</v>
      </c>
      <c r="D728" s="274" t="s">
        <v>4714</v>
      </c>
      <c r="E728" s="268" t="s">
        <v>2972</v>
      </c>
      <c r="F728" s="268" t="s">
        <v>4715</v>
      </c>
      <c r="G728" s="268" t="s">
        <v>4716</v>
      </c>
      <c r="H728" s="268" t="str">
        <f t="shared" si="5"/>
        <v>CARLOS FÉLIX ASENSIO NIETO</v>
      </c>
      <c r="I728" s="268" t="s">
        <v>5371</v>
      </c>
      <c r="J728" s="272" t="s">
        <v>4751</v>
      </c>
      <c r="K728" s="268" t="s">
        <v>5782</v>
      </c>
      <c r="L728" s="302">
        <v>45439</v>
      </c>
      <c r="M728" s="268"/>
      <c r="N728" s="282">
        <v>2</v>
      </c>
      <c r="O728" s="268" t="s">
        <v>4720</v>
      </c>
      <c r="P728" s="280">
        <v>3710</v>
      </c>
      <c r="Q728" s="304">
        <v>45103</v>
      </c>
      <c r="R728" s="272"/>
      <c r="S728" s="272"/>
      <c r="T728" s="272"/>
      <c r="U728" s="272"/>
      <c r="V728" s="272"/>
      <c r="W728" s="272"/>
      <c r="X728" s="272"/>
      <c r="Y728" s="272"/>
      <c r="Z728" s="272"/>
      <c r="AA728" s="272"/>
    </row>
    <row r="729" spans="1:27">
      <c r="A729" s="273">
        <v>5</v>
      </c>
      <c r="B729" s="274" t="s">
        <v>5628</v>
      </c>
      <c r="C729" s="275">
        <v>45405</v>
      </c>
      <c r="D729" s="274" t="s">
        <v>4714</v>
      </c>
      <c r="E729" s="268" t="s">
        <v>2921</v>
      </c>
      <c r="F729" s="268" t="s">
        <v>4715</v>
      </c>
      <c r="G729" s="268" t="s">
        <v>4716</v>
      </c>
      <c r="H729" s="268" t="str">
        <f t="shared" si="5"/>
        <v>LUÍS MARTÍNEZ BERNABEU</v>
      </c>
      <c r="I729" s="268" t="s">
        <v>4757</v>
      </c>
      <c r="J729" s="272" t="s">
        <v>4910</v>
      </c>
      <c r="K729" s="268" t="s">
        <v>5783</v>
      </c>
      <c r="L729" s="287">
        <v>45439</v>
      </c>
      <c r="M729" s="268"/>
      <c r="N729" s="282">
        <v>2</v>
      </c>
      <c r="O729" s="268" t="s">
        <v>4740</v>
      </c>
      <c r="P729" s="280">
        <v>3800</v>
      </c>
      <c r="Q729" s="304">
        <v>45405</v>
      </c>
      <c r="R729" s="272"/>
      <c r="S729" s="272"/>
      <c r="T729" s="272"/>
      <c r="U729" s="272"/>
      <c r="V729" s="272"/>
      <c r="W729" s="272"/>
      <c r="X729" s="272"/>
      <c r="Y729" s="272"/>
      <c r="Z729" s="272"/>
      <c r="AA729" s="272"/>
    </row>
    <row r="730" spans="1:27">
      <c r="A730" s="273">
        <v>5</v>
      </c>
      <c r="B730" s="274" t="s">
        <v>5628</v>
      </c>
      <c r="C730" s="275">
        <v>45400</v>
      </c>
      <c r="D730" s="274" t="s">
        <v>4714</v>
      </c>
      <c r="E730" s="268" t="s">
        <v>4799</v>
      </c>
      <c r="F730" s="268" t="s">
        <v>4715</v>
      </c>
      <c r="G730" s="268" t="s">
        <v>4716</v>
      </c>
      <c r="H730" s="268" t="str">
        <f t="shared" si="5"/>
        <v>PILAR CASTRO RUIZ</v>
      </c>
      <c r="I730" s="268" t="s">
        <v>4800</v>
      </c>
      <c r="J730" s="272" t="s">
        <v>4790</v>
      </c>
      <c r="K730" s="268" t="s">
        <v>5784</v>
      </c>
      <c r="L730" s="287">
        <v>45439</v>
      </c>
      <c r="M730" s="268"/>
      <c r="N730" s="282">
        <v>2</v>
      </c>
      <c r="O730" s="268" t="s">
        <v>4720</v>
      </c>
      <c r="P730" s="280">
        <v>3545.45</v>
      </c>
      <c r="Q730" s="304">
        <v>45400</v>
      </c>
      <c r="R730" s="272"/>
      <c r="S730" s="272"/>
      <c r="T730" s="272"/>
      <c r="U730" s="272"/>
      <c r="V730" s="272"/>
      <c r="W730" s="272"/>
      <c r="X730" s="272"/>
      <c r="Y730" s="272"/>
      <c r="Z730" s="272"/>
      <c r="AA730" s="272"/>
    </row>
    <row r="731" spans="1:27">
      <c r="A731" s="273">
        <v>5</v>
      </c>
      <c r="B731" s="274" t="s">
        <v>5628</v>
      </c>
      <c r="C731" s="275">
        <v>45418</v>
      </c>
      <c r="D731" s="274" t="s">
        <v>4714</v>
      </c>
      <c r="E731" s="268" t="s">
        <v>2880</v>
      </c>
      <c r="F731" s="268" t="s">
        <v>4715</v>
      </c>
      <c r="G731" s="268" t="s">
        <v>4716</v>
      </c>
      <c r="H731" s="268" t="str">
        <f t="shared" si="5"/>
        <v>JUAN RIESTRA AYORA</v>
      </c>
      <c r="I731" s="268" t="s">
        <v>5433</v>
      </c>
      <c r="J731" s="272" t="s">
        <v>4718</v>
      </c>
      <c r="K731" s="268" t="s">
        <v>5785</v>
      </c>
      <c r="L731" s="276">
        <v>45440</v>
      </c>
      <c r="M731" s="277"/>
      <c r="N731" s="282">
        <v>2</v>
      </c>
      <c r="O731" s="284" t="s">
        <v>4740</v>
      </c>
      <c r="P731" s="280">
        <v>4000</v>
      </c>
      <c r="Q731" s="289">
        <v>45418</v>
      </c>
      <c r="R731" s="272"/>
      <c r="S731" s="272"/>
      <c r="T731" s="272"/>
      <c r="U731" s="272"/>
      <c r="V731" s="272"/>
      <c r="W731" s="272"/>
      <c r="X731" s="272"/>
      <c r="Y731" s="272"/>
      <c r="Z731" s="272"/>
      <c r="AA731" s="272"/>
    </row>
    <row r="732" spans="1:27">
      <c r="A732" s="273">
        <v>5</v>
      </c>
      <c r="B732" s="274" t="s">
        <v>5628</v>
      </c>
      <c r="C732" s="275">
        <v>45405</v>
      </c>
      <c r="D732" s="274" t="s">
        <v>4714</v>
      </c>
      <c r="E732" s="268" t="s">
        <v>2893</v>
      </c>
      <c r="F732" s="268" t="s">
        <v>4715</v>
      </c>
      <c r="G732" s="268" t="s">
        <v>4716</v>
      </c>
      <c r="H732" s="268" t="str">
        <f t="shared" si="5"/>
        <v>MAR LASSO DE LA VEGA ZAMORA</v>
      </c>
      <c r="I732" s="268" t="s">
        <v>5183</v>
      </c>
      <c r="J732" s="272" t="s">
        <v>4718</v>
      </c>
      <c r="K732" s="268" t="s">
        <v>5786</v>
      </c>
      <c r="L732" s="276">
        <v>45440</v>
      </c>
      <c r="M732" s="277"/>
      <c r="N732" s="282">
        <v>1</v>
      </c>
      <c r="O732" s="284" t="s">
        <v>4740</v>
      </c>
      <c r="P732" s="280">
        <v>2400</v>
      </c>
      <c r="Q732" s="289">
        <v>45405</v>
      </c>
      <c r="R732" s="272"/>
      <c r="S732" s="272"/>
      <c r="T732" s="272"/>
      <c r="U732" s="272"/>
      <c r="V732" s="272"/>
      <c r="W732" s="272"/>
      <c r="X732" s="272"/>
      <c r="Y732" s="272"/>
      <c r="Z732" s="272"/>
      <c r="AA732" s="272"/>
    </row>
    <row r="733" spans="1:27">
      <c r="A733" s="273">
        <v>5</v>
      </c>
      <c r="B733" s="274" t="s">
        <v>5628</v>
      </c>
      <c r="C733" s="275">
        <v>45406</v>
      </c>
      <c r="D733" s="274" t="s">
        <v>4714</v>
      </c>
      <c r="E733" s="268" t="s">
        <v>2893</v>
      </c>
      <c r="F733" s="268" t="s">
        <v>4715</v>
      </c>
      <c r="G733" s="268" t="s">
        <v>4716</v>
      </c>
      <c r="H733" s="268" t="str">
        <f t="shared" si="5"/>
        <v>MONTSERRAT PORTELL SORIANO</v>
      </c>
      <c r="I733" s="268" t="s">
        <v>4943</v>
      </c>
      <c r="J733" s="272" t="s">
        <v>4718</v>
      </c>
      <c r="K733" s="268" t="s">
        <v>5787</v>
      </c>
      <c r="L733" s="276">
        <v>45440</v>
      </c>
      <c r="M733" s="277"/>
      <c r="N733" s="282">
        <v>2</v>
      </c>
      <c r="O733" s="284" t="s">
        <v>4720</v>
      </c>
      <c r="P733" s="280">
        <v>3710</v>
      </c>
      <c r="Q733" s="289">
        <v>45406</v>
      </c>
      <c r="R733" s="272"/>
      <c r="S733" s="272"/>
      <c r="T733" s="272"/>
      <c r="U733" s="272"/>
      <c r="V733" s="272"/>
      <c r="W733" s="272"/>
      <c r="X733" s="272"/>
      <c r="Y733" s="272"/>
      <c r="Z733" s="272"/>
      <c r="AA733" s="272"/>
    </row>
    <row r="734" spans="1:27">
      <c r="A734" s="273">
        <v>5</v>
      </c>
      <c r="B734" s="274" t="s">
        <v>5628</v>
      </c>
      <c r="C734" s="275">
        <v>45400</v>
      </c>
      <c r="D734" s="274" t="s">
        <v>4714</v>
      </c>
      <c r="E734" s="268" t="s">
        <v>3861</v>
      </c>
      <c r="F734" s="268" t="s">
        <v>4715</v>
      </c>
      <c r="G734" s="268" t="s">
        <v>4716</v>
      </c>
      <c r="H734" s="268" t="str">
        <f t="shared" si="5"/>
        <v>MARÍA DEL MAR MEDINA GONZÁLEZ</v>
      </c>
      <c r="I734" s="268" t="s">
        <v>5788</v>
      </c>
      <c r="J734" s="272" t="s">
        <v>4718</v>
      </c>
      <c r="K734" s="268" t="s">
        <v>5789</v>
      </c>
      <c r="L734" s="276">
        <v>45440</v>
      </c>
      <c r="M734" s="277"/>
      <c r="N734" s="282">
        <v>2</v>
      </c>
      <c r="O734" s="284" t="s">
        <v>4740</v>
      </c>
      <c r="P734" s="280">
        <v>4000</v>
      </c>
      <c r="Q734" s="289">
        <v>45400</v>
      </c>
      <c r="R734" s="272"/>
      <c r="S734" s="272"/>
      <c r="T734" s="272"/>
      <c r="U734" s="272"/>
      <c r="V734" s="272"/>
      <c r="W734" s="272"/>
      <c r="X734" s="272"/>
      <c r="Y734" s="272"/>
      <c r="Z734" s="272"/>
      <c r="AA734" s="272"/>
    </row>
    <row r="735" spans="1:27">
      <c r="A735" s="273">
        <v>5</v>
      </c>
      <c r="B735" s="274" t="s">
        <v>5628</v>
      </c>
      <c r="C735" s="275">
        <v>45411</v>
      </c>
      <c r="D735" s="274" t="s">
        <v>4714</v>
      </c>
      <c r="E735" s="268" t="s">
        <v>4892</v>
      </c>
      <c r="F735" s="268" t="s">
        <v>4715</v>
      </c>
      <c r="G735" s="268" t="s">
        <v>4716</v>
      </c>
      <c r="H735" s="268" t="str">
        <f t="shared" si="5"/>
        <v>JONATHAN ESTEBAN SÁNCHEZ</v>
      </c>
      <c r="I735" s="268" t="s">
        <v>5176</v>
      </c>
      <c r="J735" s="272" t="s">
        <v>4718</v>
      </c>
      <c r="K735" s="268" t="s">
        <v>5790</v>
      </c>
      <c r="L735" s="276">
        <v>45440</v>
      </c>
      <c r="M735" s="283"/>
      <c r="N735" s="282">
        <v>2</v>
      </c>
      <c r="O735" s="284" t="s">
        <v>4787</v>
      </c>
      <c r="P735" s="280">
        <v>4400</v>
      </c>
      <c r="Q735" s="289">
        <v>45411</v>
      </c>
      <c r="R735" s="272"/>
      <c r="S735" s="272"/>
      <c r="T735" s="272"/>
      <c r="U735" s="272"/>
      <c r="V735" s="272"/>
      <c r="W735" s="272"/>
      <c r="X735" s="272"/>
      <c r="Y735" s="272"/>
      <c r="Z735" s="272"/>
      <c r="AA735" s="272"/>
    </row>
    <row r="736" spans="1:27">
      <c r="A736" s="273">
        <v>5</v>
      </c>
      <c r="B736" s="274" t="s">
        <v>5628</v>
      </c>
      <c r="C736" s="275">
        <v>45183</v>
      </c>
      <c r="D736" s="274" t="s">
        <v>4714</v>
      </c>
      <c r="E736" s="268" t="s">
        <v>3605</v>
      </c>
      <c r="F736" s="268" t="s">
        <v>4715</v>
      </c>
      <c r="G736" s="268" t="s">
        <v>4716</v>
      </c>
      <c r="H736" s="268" t="str">
        <f t="shared" si="5"/>
        <v>JULIO LÓPEZ MOYA</v>
      </c>
      <c r="I736" s="268" t="s">
        <v>4778</v>
      </c>
      <c r="J736" s="268" t="s">
        <v>4718</v>
      </c>
      <c r="K736" s="268" t="s">
        <v>5791</v>
      </c>
      <c r="L736" s="276">
        <v>45440</v>
      </c>
      <c r="M736" s="277"/>
      <c r="N736" s="282">
        <v>2</v>
      </c>
      <c r="O736" s="284" t="s">
        <v>4720</v>
      </c>
      <c r="P736" s="280">
        <v>3295.45</v>
      </c>
      <c r="Q736" s="289">
        <v>45183</v>
      </c>
      <c r="R736" s="272"/>
      <c r="S736" s="272"/>
      <c r="T736" s="272"/>
      <c r="U736" s="272"/>
      <c r="V736" s="272"/>
      <c r="W736" s="272"/>
      <c r="X736" s="272"/>
      <c r="Y736" s="272"/>
      <c r="Z736" s="272"/>
      <c r="AA736" s="272"/>
    </row>
    <row r="737" spans="1:27">
      <c r="A737" s="273">
        <v>5</v>
      </c>
      <c r="B737" s="274" t="s">
        <v>5628</v>
      </c>
      <c r="C737" s="275">
        <v>45408</v>
      </c>
      <c r="D737" s="274" t="s">
        <v>4714</v>
      </c>
      <c r="E737" s="268" t="s">
        <v>3605</v>
      </c>
      <c r="F737" s="268" t="s">
        <v>4715</v>
      </c>
      <c r="G737" s="268" t="s">
        <v>4716</v>
      </c>
      <c r="H737" s="268" t="str">
        <f t="shared" si="5"/>
        <v>IGNACIO ARISTEGUI TORRANO</v>
      </c>
      <c r="I737" s="268" t="s">
        <v>5567</v>
      </c>
      <c r="J737" s="272" t="s">
        <v>4718</v>
      </c>
      <c r="K737" s="268" t="s">
        <v>5792</v>
      </c>
      <c r="L737" s="276">
        <v>45440</v>
      </c>
      <c r="M737" s="283"/>
      <c r="N737" s="282">
        <v>2</v>
      </c>
      <c r="O737" s="284" t="s">
        <v>4740</v>
      </c>
      <c r="P737" s="280">
        <v>4000</v>
      </c>
      <c r="Q737" s="289">
        <v>45408</v>
      </c>
      <c r="R737" s="272"/>
      <c r="S737" s="272"/>
      <c r="T737" s="272"/>
      <c r="U737" s="272"/>
      <c r="V737" s="272"/>
      <c r="W737" s="272"/>
      <c r="X737" s="272"/>
      <c r="Y737" s="272"/>
      <c r="Z737" s="272"/>
      <c r="AA737" s="272"/>
    </row>
    <row r="738" spans="1:27">
      <c r="A738" s="273">
        <v>5</v>
      </c>
      <c r="B738" s="274" t="s">
        <v>5628</v>
      </c>
      <c r="C738" s="275">
        <v>45393</v>
      </c>
      <c r="D738" s="274" t="s">
        <v>4714</v>
      </c>
      <c r="E738" s="268" t="s">
        <v>5225</v>
      </c>
      <c r="F738" s="268" t="s">
        <v>4715</v>
      </c>
      <c r="G738" s="268" t="s">
        <v>4716</v>
      </c>
      <c r="H738" s="268" t="str">
        <f t="shared" si="5"/>
        <v>ISABEL VAAMONDE SANCHEZ ANDRADR</v>
      </c>
      <c r="I738" s="268" t="s">
        <v>5717</v>
      </c>
      <c r="J738" s="272" t="s">
        <v>4790</v>
      </c>
      <c r="K738" s="268" t="s">
        <v>5793</v>
      </c>
      <c r="L738" s="302">
        <v>45440</v>
      </c>
      <c r="M738" s="272"/>
      <c r="N738" s="282">
        <v>2</v>
      </c>
      <c r="O738" s="268" t="s">
        <v>4720</v>
      </c>
      <c r="P738" s="280">
        <v>3524.55</v>
      </c>
      <c r="Q738" s="303">
        <v>45393</v>
      </c>
      <c r="R738" s="272"/>
      <c r="S738" s="272"/>
      <c r="T738" s="272"/>
      <c r="U738" s="272"/>
      <c r="V738" s="272"/>
      <c r="W738" s="272"/>
      <c r="X738" s="272"/>
      <c r="Y738" s="272"/>
      <c r="Z738" s="272"/>
      <c r="AA738" s="272"/>
    </row>
    <row r="739" spans="1:27">
      <c r="A739" s="273">
        <v>5</v>
      </c>
      <c r="B739" s="274" t="s">
        <v>5628</v>
      </c>
      <c r="C739" s="275">
        <v>45401</v>
      </c>
      <c r="D739" s="274" t="s">
        <v>4714</v>
      </c>
      <c r="E739" s="268" t="s">
        <v>2921</v>
      </c>
      <c r="F739" s="268" t="s">
        <v>4715</v>
      </c>
      <c r="G739" s="268" t="s">
        <v>4716</v>
      </c>
      <c r="H739" s="268" t="str">
        <f t="shared" si="5"/>
        <v>PAULA MARTÍNEZ-RUIZ DE APOCADA</v>
      </c>
      <c r="I739" s="268" t="s">
        <v>5794</v>
      </c>
      <c r="J739" s="272" t="s">
        <v>4910</v>
      </c>
      <c r="K739" s="268" t="s">
        <v>5795</v>
      </c>
      <c r="L739" s="302">
        <v>45440</v>
      </c>
      <c r="M739" s="268"/>
      <c r="N739" s="282">
        <v>2</v>
      </c>
      <c r="O739" s="268" t="s">
        <v>4720</v>
      </c>
      <c r="P739" s="280">
        <v>3524.5</v>
      </c>
      <c r="Q739" s="304">
        <v>45401</v>
      </c>
      <c r="R739" s="272"/>
      <c r="S739" s="272"/>
      <c r="T739" s="272"/>
      <c r="U739" s="272"/>
      <c r="V739" s="272"/>
      <c r="W739" s="272"/>
      <c r="X739" s="272"/>
      <c r="Y739" s="272"/>
      <c r="Z739" s="272"/>
      <c r="AA739" s="272"/>
    </row>
    <row r="740" spans="1:27">
      <c r="A740" s="273">
        <v>5</v>
      </c>
      <c r="B740" s="274" t="s">
        <v>5628</v>
      </c>
      <c r="C740" s="275">
        <v>45376</v>
      </c>
      <c r="D740" s="274" t="s">
        <v>4714</v>
      </c>
      <c r="E740" s="268" t="s">
        <v>4194</v>
      </c>
      <c r="F740" s="268" t="s">
        <v>4715</v>
      </c>
      <c r="G740" s="268" t="s">
        <v>4716</v>
      </c>
      <c r="H740" s="268" t="str">
        <f t="shared" si="5"/>
        <v>MARIA ROSARIO FERRANDIZ GARCÍA</v>
      </c>
      <c r="I740" s="268" t="s">
        <v>5374</v>
      </c>
      <c r="J740" s="272" t="s">
        <v>4736</v>
      </c>
      <c r="K740" s="268" t="s">
        <v>5796</v>
      </c>
      <c r="L740" s="276">
        <v>45441</v>
      </c>
      <c r="M740" s="277"/>
      <c r="N740" s="282">
        <v>1</v>
      </c>
      <c r="O740" s="284" t="s">
        <v>4740</v>
      </c>
      <c r="P740" s="280">
        <v>3436.36</v>
      </c>
      <c r="Q740" s="289">
        <v>45376</v>
      </c>
      <c r="R740" s="272"/>
      <c r="S740" s="272"/>
      <c r="T740" s="272"/>
      <c r="U740" s="272"/>
      <c r="V740" s="272"/>
      <c r="W740" s="272"/>
      <c r="X740" s="272"/>
      <c r="Y740" s="272"/>
      <c r="Z740" s="272"/>
      <c r="AA740" s="272"/>
    </row>
    <row r="741" spans="1:27">
      <c r="A741" s="273">
        <v>5</v>
      </c>
      <c r="B741" s="274" t="s">
        <v>5628</v>
      </c>
      <c r="C741" s="275">
        <v>45414</v>
      </c>
      <c r="D741" s="285" t="s">
        <v>4714</v>
      </c>
      <c r="E741" s="268" t="s">
        <v>4820</v>
      </c>
      <c r="F741" s="268" t="s">
        <v>4715</v>
      </c>
      <c r="G741" s="268" t="s">
        <v>4716</v>
      </c>
      <c r="H741" s="268" t="str">
        <f t="shared" si="5"/>
        <v>RAFAEL SANZ TRENADO</v>
      </c>
      <c r="I741" s="268" t="s">
        <v>5797</v>
      </c>
      <c r="J741" s="268" t="s">
        <v>4822</v>
      </c>
      <c r="K741" s="268" t="s">
        <v>5798</v>
      </c>
      <c r="L741" s="276">
        <v>45441</v>
      </c>
      <c r="M741" s="277"/>
      <c r="N741" s="282">
        <v>2</v>
      </c>
      <c r="O741" s="284" t="s">
        <v>4740</v>
      </c>
      <c r="P741" s="280">
        <v>3714.55</v>
      </c>
      <c r="Q741" s="289">
        <v>45414</v>
      </c>
      <c r="R741" s="272"/>
      <c r="S741" s="272"/>
      <c r="T741" s="272"/>
      <c r="U741" s="272"/>
      <c r="V741" s="272"/>
      <c r="W741" s="272"/>
      <c r="X741" s="272"/>
      <c r="Y741" s="272"/>
      <c r="Z741" s="272"/>
      <c r="AA741" s="272"/>
    </row>
    <row r="742" spans="1:27">
      <c r="A742" s="273">
        <v>5</v>
      </c>
      <c r="B742" s="274" t="s">
        <v>5628</v>
      </c>
      <c r="C742" s="275">
        <v>45404</v>
      </c>
      <c r="D742" s="274" t="s">
        <v>4714</v>
      </c>
      <c r="E742" s="268" t="s">
        <v>2916</v>
      </c>
      <c r="F742" s="268" t="s">
        <v>4715</v>
      </c>
      <c r="G742" s="268" t="s">
        <v>4716</v>
      </c>
      <c r="H742" s="268" t="str">
        <f t="shared" si="5"/>
        <v>BERTA ALEGRE EDO</v>
      </c>
      <c r="I742" s="268" t="s">
        <v>5799</v>
      </c>
      <c r="J742" s="272" t="s">
        <v>4806</v>
      </c>
      <c r="K742" s="268" t="s">
        <v>5800</v>
      </c>
      <c r="L742" s="276">
        <v>45441</v>
      </c>
      <c r="M742" s="277"/>
      <c r="N742" s="282">
        <v>1</v>
      </c>
      <c r="O742" s="284" t="s">
        <v>4723</v>
      </c>
      <c r="P742" s="280">
        <v>1668.18</v>
      </c>
      <c r="Q742" s="289">
        <v>45404</v>
      </c>
      <c r="R742" s="272"/>
      <c r="S742" s="272"/>
      <c r="T742" s="272"/>
      <c r="U742" s="272"/>
      <c r="V742" s="272"/>
      <c r="W742" s="272"/>
      <c r="X742" s="272"/>
      <c r="Y742" s="272"/>
      <c r="Z742" s="272"/>
      <c r="AA742" s="272"/>
    </row>
    <row r="743" spans="1:27">
      <c r="A743" s="273">
        <v>5</v>
      </c>
      <c r="B743" s="274" t="s">
        <v>5628</v>
      </c>
      <c r="C743" s="275">
        <v>45404</v>
      </c>
      <c r="D743" s="274" t="s">
        <v>4714</v>
      </c>
      <c r="E743" s="268" t="s">
        <v>4878</v>
      </c>
      <c r="F743" s="268" t="s">
        <v>4715</v>
      </c>
      <c r="G743" s="268" t="s">
        <v>4716</v>
      </c>
      <c r="H743" s="268" t="str">
        <f t="shared" si="5"/>
        <v>CARLOS VIDAL REDONDO</v>
      </c>
      <c r="I743" s="268" t="s">
        <v>4828</v>
      </c>
      <c r="J743" s="272" t="s">
        <v>4790</v>
      </c>
      <c r="K743" s="268" t="s">
        <v>5801</v>
      </c>
      <c r="L743" s="276">
        <v>45441</v>
      </c>
      <c r="M743" s="277"/>
      <c r="N743" s="282">
        <v>2</v>
      </c>
      <c r="O743" s="284" t="s">
        <v>4792</v>
      </c>
      <c r="P743" s="280">
        <v>2627.27</v>
      </c>
      <c r="Q743" s="289">
        <v>45404</v>
      </c>
      <c r="R743" s="272"/>
      <c r="S743" s="272"/>
      <c r="T743" s="272"/>
      <c r="U743" s="272"/>
      <c r="V743" s="272"/>
      <c r="W743" s="272"/>
      <c r="X743" s="272"/>
      <c r="Y743" s="272"/>
      <c r="Z743" s="272"/>
      <c r="AA743" s="272"/>
    </row>
    <row r="744" spans="1:27">
      <c r="A744" s="273">
        <v>5</v>
      </c>
      <c r="B744" s="274" t="s">
        <v>5628</v>
      </c>
      <c r="C744" s="275">
        <v>45385</v>
      </c>
      <c r="D744" s="274" t="s">
        <v>4714</v>
      </c>
      <c r="E744" s="268" t="s">
        <v>4775</v>
      </c>
      <c r="F744" s="268" t="s">
        <v>4715</v>
      </c>
      <c r="G744" s="268" t="s">
        <v>4716</v>
      </c>
      <c r="H744" s="268" t="str">
        <f t="shared" si="5"/>
        <v>FERNANDO SALAZAR BARCELONA</v>
      </c>
      <c r="I744" s="268" t="s">
        <v>4776</v>
      </c>
      <c r="J744" s="272" t="s">
        <v>4822</v>
      </c>
      <c r="K744" s="268" t="s">
        <v>5802</v>
      </c>
      <c r="L744" s="276">
        <v>45441</v>
      </c>
      <c r="M744" s="277"/>
      <c r="N744" s="282">
        <v>2</v>
      </c>
      <c r="O744" s="284" t="s">
        <v>4720</v>
      </c>
      <c r="P744" s="280">
        <v>3272.73</v>
      </c>
      <c r="Q744" s="289">
        <v>45385</v>
      </c>
      <c r="R744" s="272"/>
      <c r="S744" s="272"/>
      <c r="T744" s="272"/>
      <c r="U744" s="272"/>
      <c r="V744" s="272"/>
      <c r="W744" s="272"/>
      <c r="X744" s="272"/>
      <c r="Y744" s="272"/>
      <c r="Z744" s="272"/>
      <c r="AA744" s="272"/>
    </row>
    <row r="745" spans="1:27">
      <c r="A745" s="273">
        <v>5</v>
      </c>
      <c r="B745" s="274" t="s">
        <v>5628</v>
      </c>
      <c r="C745" s="275">
        <v>45406</v>
      </c>
      <c r="D745" s="274" t="s">
        <v>4714</v>
      </c>
      <c r="E745" s="268" t="s">
        <v>4775</v>
      </c>
      <c r="F745" s="268" t="s">
        <v>4715</v>
      </c>
      <c r="G745" s="268" t="s">
        <v>4716</v>
      </c>
      <c r="H745" s="268" t="str">
        <f t="shared" si="5"/>
        <v>FERNANDO SALAZAR BARCELONA</v>
      </c>
      <c r="I745" s="268" t="s">
        <v>4776</v>
      </c>
      <c r="J745" s="272" t="s">
        <v>4822</v>
      </c>
      <c r="K745" s="268" t="s">
        <v>5803</v>
      </c>
      <c r="L745" s="276">
        <v>45441</v>
      </c>
      <c r="M745" s="277"/>
      <c r="N745" s="282">
        <v>2</v>
      </c>
      <c r="O745" s="284" t="s">
        <v>4720</v>
      </c>
      <c r="P745" s="280">
        <v>3181.82</v>
      </c>
      <c r="Q745" s="289">
        <v>45406</v>
      </c>
      <c r="R745" s="272"/>
      <c r="S745" s="272"/>
      <c r="T745" s="272"/>
      <c r="U745" s="272"/>
      <c r="V745" s="272"/>
      <c r="W745" s="272"/>
      <c r="X745" s="272"/>
      <c r="Y745" s="272"/>
      <c r="Z745" s="272"/>
      <c r="AA745" s="272"/>
    </row>
    <row r="746" spans="1:27">
      <c r="A746" s="273">
        <v>5</v>
      </c>
      <c r="B746" s="274" t="s">
        <v>5628</v>
      </c>
      <c r="C746" s="275">
        <v>45406</v>
      </c>
      <c r="D746" s="274" t="s">
        <v>4714</v>
      </c>
      <c r="E746" s="268" t="s">
        <v>2929</v>
      </c>
      <c r="F746" s="268" t="s">
        <v>4715</v>
      </c>
      <c r="G746" s="268" t="s">
        <v>4716</v>
      </c>
      <c r="H746" s="268" t="str">
        <f t="shared" si="5"/>
        <v>CARLOS BARAJAS DEL ROSAL</v>
      </c>
      <c r="I746" s="268" t="s">
        <v>4934</v>
      </c>
      <c r="J746" s="272" t="s">
        <v>4822</v>
      </c>
      <c r="K746" s="268" t="s">
        <v>5804</v>
      </c>
      <c r="L746" s="276">
        <v>45441</v>
      </c>
      <c r="M746" s="277"/>
      <c r="N746" s="282">
        <v>2</v>
      </c>
      <c r="O746" s="284" t="s">
        <v>4740</v>
      </c>
      <c r="P746" s="280">
        <v>4000</v>
      </c>
      <c r="Q746" s="289">
        <v>45406</v>
      </c>
      <c r="R746" s="272"/>
      <c r="S746" s="272"/>
      <c r="T746" s="272"/>
      <c r="U746" s="272"/>
      <c r="V746" s="272"/>
      <c r="W746" s="272"/>
      <c r="X746" s="272"/>
      <c r="Y746" s="272"/>
      <c r="Z746" s="272"/>
      <c r="AA746" s="272"/>
    </row>
    <row r="747" spans="1:27">
      <c r="A747" s="273">
        <v>5</v>
      </c>
      <c r="B747" s="274" t="s">
        <v>5628</v>
      </c>
      <c r="C747" s="275">
        <v>45411</v>
      </c>
      <c r="D747" s="274" t="s">
        <v>4714</v>
      </c>
      <c r="E747" s="268" t="s">
        <v>4734</v>
      </c>
      <c r="F747" s="268" t="s">
        <v>4715</v>
      </c>
      <c r="G747" s="268" t="s">
        <v>4716</v>
      </c>
      <c r="H747" s="268" t="str">
        <f t="shared" si="5"/>
        <v>LINO ENGUIDANOS HERNANDORENA</v>
      </c>
      <c r="I747" s="268" t="s">
        <v>4735</v>
      </c>
      <c r="J747" s="272" t="s">
        <v>4736</v>
      </c>
      <c r="K747" s="268" t="s">
        <v>5805</v>
      </c>
      <c r="L747" s="276">
        <v>45442</v>
      </c>
      <c r="M747" s="277"/>
      <c r="N747" s="282">
        <v>1</v>
      </c>
      <c r="O747" s="284" t="s">
        <v>4720</v>
      </c>
      <c r="P747" s="280">
        <v>2227.27</v>
      </c>
      <c r="Q747" s="289">
        <v>45411</v>
      </c>
      <c r="R747" s="272"/>
      <c r="S747" s="272"/>
      <c r="T747" s="272"/>
      <c r="U747" s="272"/>
      <c r="V747" s="272"/>
      <c r="W747" s="272"/>
      <c r="X747" s="272"/>
      <c r="Y747" s="272"/>
      <c r="Z747" s="272"/>
      <c r="AA747" s="272"/>
    </row>
    <row r="748" spans="1:27">
      <c r="A748" s="273">
        <v>5</v>
      </c>
      <c r="B748" s="274" t="s">
        <v>5628</v>
      </c>
      <c r="C748" s="275">
        <v>45425</v>
      </c>
      <c r="D748" s="274" t="s">
        <v>4714</v>
      </c>
      <c r="E748" s="268" t="s">
        <v>4203</v>
      </c>
      <c r="F748" s="268" t="s">
        <v>4715</v>
      </c>
      <c r="G748" s="268" t="s">
        <v>4716</v>
      </c>
      <c r="H748" s="268" t="str">
        <f t="shared" si="5"/>
        <v>JOSÉ RUIZ COELLO MORATALLA</v>
      </c>
      <c r="I748" s="272" t="s">
        <v>5806</v>
      </c>
      <c r="J748" s="272" t="s">
        <v>4736</v>
      </c>
      <c r="K748" s="268" t="s">
        <v>5807</v>
      </c>
      <c r="L748" s="276">
        <v>45442</v>
      </c>
      <c r="M748" s="268"/>
      <c r="N748" s="307">
        <v>2</v>
      </c>
      <c r="O748" s="291" t="s">
        <v>4723</v>
      </c>
      <c r="P748" s="292">
        <v>2888.18</v>
      </c>
      <c r="Q748" s="287">
        <v>45425</v>
      </c>
      <c r="R748" s="272"/>
      <c r="S748" s="272"/>
      <c r="T748" s="272"/>
      <c r="U748" s="272"/>
      <c r="V748" s="272"/>
      <c r="W748" s="272"/>
      <c r="X748" s="272"/>
      <c r="Y748" s="272"/>
      <c r="Z748" s="272"/>
      <c r="AA748" s="272"/>
    </row>
    <row r="749" spans="1:27">
      <c r="A749" s="273">
        <v>5</v>
      </c>
      <c r="B749" s="274" t="s">
        <v>5628</v>
      </c>
      <c r="C749" s="275">
        <v>45418</v>
      </c>
      <c r="D749" s="274" t="s">
        <v>4714</v>
      </c>
      <c r="E749" s="268" t="s">
        <v>4820</v>
      </c>
      <c r="F749" s="268" t="s">
        <v>4715</v>
      </c>
      <c r="G749" s="268" t="s">
        <v>4716</v>
      </c>
      <c r="H749" s="268" t="str">
        <f t="shared" si="5"/>
        <v>FRANCISCO RAMOS PUERTO</v>
      </c>
      <c r="I749" s="268" t="s">
        <v>5463</v>
      </c>
      <c r="J749" s="272" t="s">
        <v>4822</v>
      </c>
      <c r="K749" s="268" t="s">
        <v>5808</v>
      </c>
      <c r="L749" s="276">
        <v>45442</v>
      </c>
      <c r="M749" s="277"/>
      <c r="N749" s="282">
        <v>1</v>
      </c>
      <c r="O749" s="284" t="s">
        <v>4740</v>
      </c>
      <c r="P749" s="280">
        <v>2323.64</v>
      </c>
      <c r="Q749" s="289">
        <v>45418</v>
      </c>
      <c r="R749" s="272"/>
      <c r="S749" s="272"/>
      <c r="T749" s="272"/>
      <c r="U749" s="272"/>
      <c r="V749" s="272"/>
      <c r="W749" s="272"/>
      <c r="X749" s="272"/>
      <c r="Y749" s="272"/>
      <c r="Z749" s="272"/>
      <c r="AA749" s="272"/>
    </row>
    <row r="750" spans="1:27">
      <c r="A750" s="273">
        <v>5</v>
      </c>
      <c r="B750" s="274" t="s">
        <v>5628</v>
      </c>
      <c r="C750" s="275">
        <v>45419</v>
      </c>
      <c r="D750" s="274" t="s">
        <v>4714</v>
      </c>
      <c r="E750" s="268" t="s">
        <v>5130</v>
      </c>
      <c r="F750" s="268" t="s">
        <v>4715</v>
      </c>
      <c r="G750" s="268" t="s">
        <v>4716</v>
      </c>
      <c r="H750" s="268" t="str">
        <f t="shared" si="5"/>
        <v>CARLOS DURÁN DÍEZ</v>
      </c>
      <c r="I750" s="268" t="s">
        <v>5809</v>
      </c>
      <c r="J750" s="272" t="s">
        <v>4747</v>
      </c>
      <c r="K750" s="268" t="s">
        <v>5810</v>
      </c>
      <c r="L750" s="276">
        <v>45442</v>
      </c>
      <c r="M750" s="277"/>
      <c r="N750" s="282">
        <v>2</v>
      </c>
      <c r="O750" s="284" t="s">
        <v>4792</v>
      </c>
      <c r="P750" s="280">
        <v>2727.27</v>
      </c>
      <c r="Q750" s="289">
        <v>45419</v>
      </c>
      <c r="R750" s="272"/>
      <c r="S750" s="272"/>
      <c r="T750" s="272"/>
      <c r="U750" s="272"/>
      <c r="V750" s="272"/>
      <c r="W750" s="272"/>
      <c r="X750" s="272"/>
      <c r="Y750" s="272"/>
      <c r="Z750" s="272"/>
      <c r="AA750" s="272"/>
    </row>
    <row r="751" spans="1:27">
      <c r="A751" s="273">
        <v>5</v>
      </c>
      <c r="B751" s="274" t="s">
        <v>5628</v>
      </c>
      <c r="C751" s="275">
        <v>45427</v>
      </c>
      <c r="D751" s="274" t="s">
        <v>4714</v>
      </c>
      <c r="E751" s="268" t="s">
        <v>4837</v>
      </c>
      <c r="F751" s="268" t="s">
        <v>4715</v>
      </c>
      <c r="G751" s="268" t="s">
        <v>4716</v>
      </c>
      <c r="H751" s="268" t="str">
        <f t="shared" si="5"/>
        <v>NURIA PÉREZ MARTÍN</v>
      </c>
      <c r="I751" s="268" t="s">
        <v>5754</v>
      </c>
      <c r="J751" s="272" t="s">
        <v>4718</v>
      </c>
      <c r="K751" s="268" t="s">
        <v>5811</v>
      </c>
      <c r="L751" s="276">
        <v>45442</v>
      </c>
      <c r="M751" s="277"/>
      <c r="N751" s="282">
        <v>1</v>
      </c>
      <c r="O751" s="284" t="s">
        <v>4723</v>
      </c>
      <c r="P751" s="280">
        <v>1732.73</v>
      </c>
      <c r="Q751" s="289">
        <v>45427</v>
      </c>
      <c r="R751" s="272"/>
      <c r="S751" s="272"/>
      <c r="T751" s="272"/>
      <c r="U751" s="272"/>
      <c r="V751" s="272"/>
      <c r="W751" s="272"/>
      <c r="X751" s="272"/>
      <c r="Y751" s="272"/>
      <c r="Z751" s="272"/>
      <c r="AA751" s="272"/>
    </row>
    <row r="752" spans="1:27">
      <c r="A752" s="273">
        <v>5</v>
      </c>
      <c r="B752" s="274" t="s">
        <v>5628</v>
      </c>
      <c r="C752" s="275"/>
      <c r="D752" s="274" t="s">
        <v>4714</v>
      </c>
      <c r="E752" s="268" t="s">
        <v>4837</v>
      </c>
      <c r="F752" s="268" t="s">
        <v>4715</v>
      </c>
      <c r="G752" s="268" t="s">
        <v>4716</v>
      </c>
      <c r="H752" s="268" t="str">
        <f t="shared" si="5"/>
        <v>MARÍA DEL MAR MARTÍNEZ RUIZ-COELLO</v>
      </c>
      <c r="I752" s="268" t="s">
        <v>5812</v>
      </c>
      <c r="J752" s="272" t="s">
        <v>4718</v>
      </c>
      <c r="K752" s="268" t="s">
        <v>5813</v>
      </c>
      <c r="L752" s="276">
        <v>45442</v>
      </c>
      <c r="M752" s="283"/>
      <c r="N752" s="282">
        <v>2</v>
      </c>
      <c r="O752" s="284" t="s">
        <v>5814</v>
      </c>
      <c r="P752" s="280">
        <v>3800</v>
      </c>
      <c r="Q752" s="289"/>
      <c r="R752" s="272"/>
      <c r="S752" s="272"/>
      <c r="T752" s="272"/>
      <c r="U752" s="272"/>
      <c r="V752" s="272"/>
      <c r="W752" s="272"/>
      <c r="X752" s="272"/>
      <c r="Y752" s="272"/>
      <c r="Z752" s="272"/>
      <c r="AA752" s="272"/>
    </row>
    <row r="753" spans="1:27">
      <c r="A753" s="273">
        <v>5</v>
      </c>
      <c r="B753" s="274" t="s">
        <v>5628</v>
      </c>
      <c r="C753" s="275">
        <v>45399</v>
      </c>
      <c r="D753" s="274" t="s">
        <v>4714</v>
      </c>
      <c r="E753" s="268" t="s">
        <v>3758</v>
      </c>
      <c r="F753" s="268" t="s">
        <v>4715</v>
      </c>
      <c r="G753" s="268" t="s">
        <v>4716</v>
      </c>
      <c r="H753" s="268" t="str">
        <f t="shared" si="5"/>
        <v>MARÍA DABLANCO BLANCO</v>
      </c>
      <c r="I753" s="268" t="s">
        <v>5815</v>
      </c>
      <c r="J753" s="272" t="s">
        <v>4718</v>
      </c>
      <c r="K753" s="268" t="s">
        <v>5816</v>
      </c>
      <c r="L753" s="276">
        <v>45442</v>
      </c>
      <c r="M753" s="283"/>
      <c r="N753" s="282">
        <v>2</v>
      </c>
      <c r="O753" s="284" t="s">
        <v>4723</v>
      </c>
      <c r="P753" s="280">
        <v>2813.64</v>
      </c>
      <c r="Q753" s="289">
        <v>45399</v>
      </c>
      <c r="R753" s="272"/>
      <c r="S753" s="272"/>
      <c r="T753" s="272"/>
      <c r="U753" s="272"/>
      <c r="V753" s="272"/>
      <c r="W753" s="272"/>
      <c r="X753" s="272"/>
      <c r="Y753" s="272"/>
      <c r="Z753" s="272"/>
      <c r="AA753" s="272"/>
    </row>
    <row r="754" spans="1:27">
      <c r="A754" s="273">
        <v>5</v>
      </c>
      <c r="B754" s="274" t="s">
        <v>5628</v>
      </c>
      <c r="C754" s="275">
        <v>45390</v>
      </c>
      <c r="D754" s="274" t="s">
        <v>4714</v>
      </c>
      <c r="E754" s="268" t="s">
        <v>2869</v>
      </c>
      <c r="F754" s="268" t="s">
        <v>4715</v>
      </c>
      <c r="G754" s="268" t="s">
        <v>4716</v>
      </c>
      <c r="H754" s="268" t="str">
        <f t="shared" si="5"/>
        <v>ENRIQUE VIVIENTE RODRÍGUEZ</v>
      </c>
      <c r="I754" s="268" t="s">
        <v>5118</v>
      </c>
      <c r="J754" s="272" t="s">
        <v>4736</v>
      </c>
      <c r="K754" s="268" t="s">
        <v>5817</v>
      </c>
      <c r="L754" s="302">
        <v>45442</v>
      </c>
      <c r="M754" s="272"/>
      <c r="N754" s="282">
        <v>2</v>
      </c>
      <c r="O754" s="268" t="s">
        <v>4723</v>
      </c>
      <c r="P754" s="280">
        <v>2780.91</v>
      </c>
      <c r="Q754" s="304">
        <v>45390</v>
      </c>
      <c r="R754" s="272"/>
      <c r="S754" s="272"/>
      <c r="T754" s="272"/>
      <c r="U754" s="272"/>
      <c r="V754" s="272"/>
      <c r="W754" s="272"/>
      <c r="X754" s="272"/>
      <c r="Y754" s="272"/>
      <c r="Z754" s="272"/>
      <c r="AA754" s="272"/>
    </row>
    <row r="755" spans="1:27">
      <c r="A755" s="273">
        <v>5</v>
      </c>
      <c r="B755" s="274" t="s">
        <v>5628</v>
      </c>
      <c r="C755" s="275">
        <v>45335</v>
      </c>
      <c r="D755" s="274" t="s">
        <v>4714</v>
      </c>
      <c r="E755" s="268" t="s">
        <v>2873</v>
      </c>
      <c r="F755" s="268" t="s">
        <v>4715</v>
      </c>
      <c r="G755" s="268" t="s">
        <v>4716</v>
      </c>
      <c r="H755" s="268" t="str">
        <f t="shared" si="5"/>
        <v>MÓNICA RODRÍGUEZ</v>
      </c>
      <c r="I755" s="268" t="s">
        <v>5171</v>
      </c>
      <c r="J755" s="272" t="s">
        <v>4736</v>
      </c>
      <c r="K755" s="268" t="s">
        <v>5818</v>
      </c>
      <c r="L755" s="287">
        <v>45442</v>
      </c>
      <c r="M755" s="268"/>
      <c r="N755" s="282">
        <v>2</v>
      </c>
      <c r="O755" s="268" t="s">
        <v>4720</v>
      </c>
      <c r="P755" s="280">
        <v>3423.64</v>
      </c>
      <c r="Q755" s="303">
        <v>45335</v>
      </c>
      <c r="R755" s="272"/>
      <c r="S755" s="272"/>
      <c r="T755" s="272"/>
      <c r="U755" s="272"/>
      <c r="V755" s="272"/>
      <c r="W755" s="272"/>
      <c r="X755" s="272"/>
      <c r="Y755" s="272"/>
      <c r="Z755" s="272"/>
      <c r="AA755" s="272"/>
    </row>
    <row r="756" spans="1:27">
      <c r="A756" s="273">
        <v>5</v>
      </c>
      <c r="B756" s="274" t="s">
        <v>5628</v>
      </c>
      <c r="C756" s="275">
        <v>45406</v>
      </c>
      <c r="D756" s="274" t="s">
        <v>4714</v>
      </c>
      <c r="E756" s="268" t="s">
        <v>4780</v>
      </c>
      <c r="F756" s="268" t="s">
        <v>4715</v>
      </c>
      <c r="G756" s="268" t="s">
        <v>4716</v>
      </c>
      <c r="H756" s="268" t="str">
        <f t="shared" si="5"/>
        <v>LUIS MIGUEL RINCÓN ESTEBAN</v>
      </c>
      <c r="I756" s="268" t="s">
        <v>5307</v>
      </c>
      <c r="J756" s="272" t="s">
        <v>4747</v>
      </c>
      <c r="K756" s="268" t="s">
        <v>5819</v>
      </c>
      <c r="L756" s="302">
        <v>45442</v>
      </c>
      <c r="M756" s="268"/>
      <c r="N756" s="282">
        <v>2</v>
      </c>
      <c r="O756" s="268" t="s">
        <v>4720</v>
      </c>
      <c r="P756" s="280">
        <v>3604.55</v>
      </c>
      <c r="Q756" s="304">
        <v>45406</v>
      </c>
      <c r="R756" s="272"/>
      <c r="S756" s="272"/>
      <c r="T756" s="272"/>
      <c r="U756" s="272"/>
      <c r="V756" s="272"/>
      <c r="W756" s="272"/>
      <c r="X756" s="272"/>
      <c r="Y756" s="272"/>
      <c r="Z756" s="272"/>
      <c r="AA756" s="272"/>
    </row>
    <row r="757" spans="1:27">
      <c r="A757" s="273">
        <v>5</v>
      </c>
      <c r="B757" s="274" t="s">
        <v>5628</v>
      </c>
      <c r="C757" s="275">
        <v>45412</v>
      </c>
      <c r="D757" s="274" t="s">
        <v>4714</v>
      </c>
      <c r="E757" s="268" t="s">
        <v>2921</v>
      </c>
      <c r="F757" s="268" t="s">
        <v>4715</v>
      </c>
      <c r="G757" s="268" t="s">
        <v>4716</v>
      </c>
      <c r="H757" s="268" t="str">
        <f t="shared" si="5"/>
        <v>RAIMON GARCÍA CHILLERÓN</v>
      </c>
      <c r="I757" s="268" t="s">
        <v>5217</v>
      </c>
      <c r="J757" s="268" t="s">
        <v>4910</v>
      </c>
      <c r="K757" s="268" t="s">
        <v>5820</v>
      </c>
      <c r="L757" s="302">
        <v>45442</v>
      </c>
      <c r="M757" s="268"/>
      <c r="N757" s="282">
        <v>2</v>
      </c>
      <c r="O757" s="268" t="s">
        <v>4723</v>
      </c>
      <c r="P757" s="280">
        <v>2888.18</v>
      </c>
      <c r="Q757" s="304">
        <v>45412</v>
      </c>
      <c r="R757" s="272"/>
      <c r="S757" s="272"/>
      <c r="T757" s="272"/>
      <c r="U757" s="272"/>
      <c r="V757" s="272"/>
      <c r="W757" s="272"/>
      <c r="X757" s="272"/>
      <c r="Y757" s="272"/>
      <c r="Z757" s="272"/>
      <c r="AA757" s="272"/>
    </row>
    <row r="758" spans="1:27">
      <c r="A758" s="273">
        <v>5</v>
      </c>
      <c r="B758" s="274" t="s">
        <v>5628</v>
      </c>
      <c r="C758" s="275">
        <v>45405</v>
      </c>
      <c r="D758" s="285" t="s">
        <v>4714</v>
      </c>
      <c r="E758" s="268" t="s">
        <v>4194</v>
      </c>
      <c r="F758" s="268" t="s">
        <v>4715</v>
      </c>
      <c r="G758" s="268" t="s">
        <v>4716</v>
      </c>
      <c r="H758" s="268" t="str">
        <f t="shared" si="5"/>
        <v>FRANCISCO PASTOR BEVIÁ</v>
      </c>
      <c r="I758" s="268" t="s">
        <v>4738</v>
      </c>
      <c r="J758" s="268" t="s">
        <v>4736</v>
      </c>
      <c r="K758" s="268" t="s">
        <v>5821</v>
      </c>
      <c r="L758" s="276">
        <v>45443</v>
      </c>
      <c r="M758" s="277"/>
      <c r="N758" s="282">
        <v>2</v>
      </c>
      <c r="O758" s="284" t="s">
        <v>4723</v>
      </c>
      <c r="P758" s="280">
        <v>3436.36</v>
      </c>
      <c r="Q758" s="289">
        <v>45405</v>
      </c>
      <c r="R758" s="272"/>
      <c r="S758" s="272"/>
      <c r="T758" s="272"/>
      <c r="U758" s="272"/>
      <c r="V758" s="272"/>
      <c r="W758" s="272"/>
      <c r="X758" s="272"/>
      <c r="Y758" s="272"/>
      <c r="Z758" s="272"/>
      <c r="AA758" s="272"/>
    </row>
    <row r="759" spans="1:27">
      <c r="A759" s="273">
        <v>5</v>
      </c>
      <c r="B759" s="274" t="s">
        <v>5628</v>
      </c>
      <c r="C759" s="275">
        <v>45407</v>
      </c>
      <c r="D759" s="274" t="s">
        <v>4714</v>
      </c>
      <c r="E759" s="268" t="s">
        <v>4194</v>
      </c>
      <c r="F759" s="268" t="s">
        <v>4715</v>
      </c>
      <c r="G759" s="268" t="s">
        <v>4716</v>
      </c>
      <c r="H759" s="268" t="str">
        <f t="shared" si="5"/>
        <v>FÉLIX RUÍZ DE LA CUESTA JUSTE</v>
      </c>
      <c r="I759" s="268" t="s">
        <v>4930</v>
      </c>
      <c r="J759" s="272" t="s">
        <v>4736</v>
      </c>
      <c r="K759" s="268" t="s">
        <v>5822</v>
      </c>
      <c r="L759" s="276">
        <v>45443</v>
      </c>
      <c r="M759" s="277"/>
      <c r="N759" s="282">
        <v>2</v>
      </c>
      <c r="O759" s="284" t="s">
        <v>4740</v>
      </c>
      <c r="P759" s="280">
        <v>2300</v>
      </c>
      <c r="Q759" s="289">
        <v>45407</v>
      </c>
      <c r="R759" s="272"/>
      <c r="S759" s="272"/>
      <c r="T759" s="272"/>
      <c r="U759" s="272"/>
      <c r="V759" s="272"/>
      <c r="W759" s="272"/>
      <c r="X759" s="272"/>
      <c r="Y759" s="272"/>
      <c r="Z759" s="272"/>
      <c r="AA759" s="272"/>
    </row>
    <row r="760" spans="1:27">
      <c r="A760" s="273">
        <v>5</v>
      </c>
      <c r="B760" s="274" t="s">
        <v>5628</v>
      </c>
      <c r="C760" s="275">
        <v>45426</v>
      </c>
      <c r="D760" s="274" t="s">
        <v>4714</v>
      </c>
      <c r="E760" s="268" t="s">
        <v>3480</v>
      </c>
      <c r="F760" s="268" t="s">
        <v>4715</v>
      </c>
      <c r="G760" s="268" t="s">
        <v>4716</v>
      </c>
      <c r="H760" s="268" t="str">
        <f t="shared" si="5"/>
        <v>PALOMA MARTIN ARAGON</v>
      </c>
      <c r="I760" s="268" t="s">
        <v>5823</v>
      </c>
      <c r="J760" s="272" t="s">
        <v>4718</v>
      </c>
      <c r="K760" s="268" t="s">
        <v>5824</v>
      </c>
      <c r="L760" s="276">
        <v>45443</v>
      </c>
      <c r="M760" s="277"/>
      <c r="N760" s="282">
        <v>2</v>
      </c>
      <c r="O760" s="284" t="s">
        <v>4720</v>
      </c>
      <c r="P760" s="280">
        <v>3710</v>
      </c>
      <c r="Q760" s="289">
        <v>45426</v>
      </c>
      <c r="R760" s="272"/>
      <c r="S760" s="272"/>
      <c r="T760" s="272"/>
      <c r="U760" s="272"/>
      <c r="V760" s="272"/>
      <c r="W760" s="272"/>
      <c r="X760" s="272"/>
      <c r="Y760" s="272"/>
      <c r="Z760" s="272"/>
      <c r="AA760" s="272"/>
    </row>
    <row r="761" spans="1:27">
      <c r="A761" s="273">
        <v>5</v>
      </c>
      <c r="B761" s="274" t="s">
        <v>5628</v>
      </c>
      <c r="C761" s="275">
        <v>45421</v>
      </c>
      <c r="D761" s="285" t="s">
        <v>4714</v>
      </c>
      <c r="E761" s="268" t="s">
        <v>3480</v>
      </c>
      <c r="F761" s="268" t="s">
        <v>4715</v>
      </c>
      <c r="G761" s="268" t="s">
        <v>4716</v>
      </c>
      <c r="H761" s="268" t="str">
        <f t="shared" si="5"/>
        <v>VICTORIA GARCÍA PECES</v>
      </c>
      <c r="I761" s="268" t="s">
        <v>4762</v>
      </c>
      <c r="J761" s="268" t="s">
        <v>4718</v>
      </c>
      <c r="K761" s="268" t="s">
        <v>5825</v>
      </c>
      <c r="L761" s="276">
        <v>45443</v>
      </c>
      <c r="M761" s="277"/>
      <c r="N761" s="282">
        <v>1</v>
      </c>
      <c r="O761" s="284" t="s">
        <v>4787</v>
      </c>
      <c r="P761" s="280">
        <v>2636.36</v>
      </c>
      <c r="Q761" s="289">
        <v>45421</v>
      </c>
      <c r="R761" s="272"/>
      <c r="S761" s="272"/>
      <c r="T761" s="272"/>
      <c r="U761" s="272"/>
      <c r="V761" s="272"/>
      <c r="W761" s="272"/>
      <c r="X761" s="272"/>
      <c r="Y761" s="272"/>
      <c r="Z761" s="272"/>
      <c r="AA761" s="272"/>
    </row>
    <row r="762" spans="1:27">
      <c r="A762" s="273">
        <v>5</v>
      </c>
      <c r="B762" s="274" t="s">
        <v>5628</v>
      </c>
      <c r="C762" s="275">
        <v>45412</v>
      </c>
      <c r="D762" s="274" t="s">
        <v>4714</v>
      </c>
      <c r="E762" s="268" t="s">
        <v>2893</v>
      </c>
      <c r="F762" s="268" t="s">
        <v>4715</v>
      </c>
      <c r="G762" s="268" t="s">
        <v>4716</v>
      </c>
      <c r="H762" s="268" t="str">
        <f t="shared" si="5"/>
        <v>CONCEPCIÓN PESCADOR MESONERO</v>
      </c>
      <c r="I762" s="268" t="s">
        <v>5090</v>
      </c>
      <c r="J762" s="272" t="s">
        <v>4718</v>
      </c>
      <c r="K762" s="268" t="s">
        <v>5826</v>
      </c>
      <c r="L762" s="276">
        <v>45443</v>
      </c>
      <c r="M762" s="277"/>
      <c r="N762" s="282">
        <v>2</v>
      </c>
      <c r="O762" s="284" t="s">
        <v>4720</v>
      </c>
      <c r="P762" s="280">
        <v>3710</v>
      </c>
      <c r="Q762" s="289">
        <v>45412</v>
      </c>
      <c r="R762" s="272"/>
      <c r="S762" s="272"/>
      <c r="T762" s="272"/>
      <c r="U762" s="272"/>
      <c r="V762" s="272"/>
      <c r="W762" s="272"/>
      <c r="X762" s="272"/>
      <c r="Y762" s="272"/>
      <c r="Z762" s="272"/>
      <c r="AA762" s="272"/>
    </row>
    <row r="763" spans="1:27">
      <c r="A763" s="273">
        <v>5</v>
      </c>
      <c r="B763" s="274" t="s">
        <v>5628</v>
      </c>
      <c r="C763" s="275">
        <v>45399</v>
      </c>
      <c r="D763" s="274" t="s">
        <v>4714</v>
      </c>
      <c r="E763" s="268" t="s">
        <v>2929</v>
      </c>
      <c r="F763" s="268" t="s">
        <v>4715</v>
      </c>
      <c r="G763" s="268" t="s">
        <v>4716</v>
      </c>
      <c r="H763" s="268" t="str">
        <f t="shared" si="5"/>
        <v>JAVIER GARCÍA DOMÍNGUEZ</v>
      </c>
      <c r="I763" s="268" t="s">
        <v>4881</v>
      </c>
      <c r="J763" s="272" t="s">
        <v>4718</v>
      </c>
      <c r="K763" s="268" t="s">
        <v>5827</v>
      </c>
      <c r="L763" s="276">
        <v>45443</v>
      </c>
      <c r="M763" s="277"/>
      <c r="N763" s="282">
        <v>2</v>
      </c>
      <c r="O763" s="284" t="s">
        <v>4720</v>
      </c>
      <c r="P763" s="280">
        <v>3424.09</v>
      </c>
      <c r="Q763" s="289">
        <v>45399</v>
      </c>
      <c r="R763" s="272"/>
      <c r="S763" s="272"/>
      <c r="T763" s="272"/>
      <c r="U763" s="272"/>
      <c r="V763" s="272"/>
      <c r="W763" s="272"/>
      <c r="X763" s="272"/>
      <c r="Y763" s="272"/>
      <c r="Z763" s="272"/>
      <c r="AA763" s="272"/>
    </row>
    <row r="764" spans="1:27">
      <c r="A764" s="273">
        <v>5</v>
      </c>
      <c r="B764" s="274" t="s">
        <v>5628</v>
      </c>
      <c r="C764" s="275">
        <v>45407</v>
      </c>
      <c r="D764" s="274" t="s">
        <v>4714</v>
      </c>
      <c r="E764" s="268" t="s">
        <v>2929</v>
      </c>
      <c r="F764" s="268" t="s">
        <v>4715</v>
      </c>
      <c r="G764" s="268" t="s">
        <v>4716</v>
      </c>
      <c r="H764" s="268" t="str">
        <f t="shared" si="5"/>
        <v>CARLOS BARAJAS DEL ROSAL</v>
      </c>
      <c r="I764" s="268" t="s">
        <v>4934</v>
      </c>
      <c r="J764" s="272" t="s">
        <v>4822</v>
      </c>
      <c r="K764" s="268" t="s">
        <v>5828</v>
      </c>
      <c r="L764" s="276">
        <v>45443</v>
      </c>
      <c r="M764" s="277"/>
      <c r="N764" s="282">
        <v>1</v>
      </c>
      <c r="O764" s="284" t="s">
        <v>4740</v>
      </c>
      <c r="P764" s="280">
        <v>2280</v>
      </c>
      <c r="Q764" s="289">
        <v>45407</v>
      </c>
      <c r="R764" s="272"/>
      <c r="S764" s="272"/>
      <c r="T764" s="272"/>
      <c r="U764" s="272"/>
      <c r="V764" s="272"/>
      <c r="W764" s="272"/>
      <c r="X764" s="272"/>
      <c r="Y764" s="272"/>
      <c r="Z764" s="272"/>
      <c r="AA764" s="272"/>
    </row>
    <row r="765" spans="1:27">
      <c r="A765" s="273">
        <v>5</v>
      </c>
      <c r="B765" s="274" t="s">
        <v>5628</v>
      </c>
      <c r="C765" s="275">
        <v>45394</v>
      </c>
      <c r="D765" s="274" t="s">
        <v>4714</v>
      </c>
      <c r="E765" s="268" t="s">
        <v>2869</v>
      </c>
      <c r="F765" s="268" t="s">
        <v>4715</v>
      </c>
      <c r="G765" s="268" t="s">
        <v>4716</v>
      </c>
      <c r="H765" s="268" t="str">
        <f t="shared" si="5"/>
        <v>MARÍA LÓPEZ ROBLES</v>
      </c>
      <c r="I765" s="268" t="s">
        <v>5120</v>
      </c>
      <c r="J765" s="272" t="s">
        <v>4736</v>
      </c>
      <c r="K765" s="268" t="s">
        <v>5829</v>
      </c>
      <c r="L765" s="302">
        <v>45443</v>
      </c>
      <c r="M765" s="268"/>
      <c r="N765" s="282">
        <v>1</v>
      </c>
      <c r="O765" s="268" t="s">
        <v>4720</v>
      </c>
      <c r="P765" s="280">
        <v>2227.1799999999998</v>
      </c>
      <c r="Q765" s="304">
        <v>45394</v>
      </c>
      <c r="R765" s="272"/>
      <c r="S765" s="272"/>
      <c r="T765" s="272"/>
      <c r="U765" s="272"/>
      <c r="V765" s="272"/>
      <c r="W765" s="272"/>
      <c r="X765" s="272"/>
      <c r="Y765" s="272"/>
      <c r="Z765" s="272"/>
      <c r="AA765" s="272"/>
    </row>
    <row r="766" spans="1:27">
      <c r="A766" s="273">
        <v>5</v>
      </c>
      <c r="B766" s="274" t="s">
        <v>5628</v>
      </c>
      <c r="C766" s="275">
        <v>45397</v>
      </c>
      <c r="D766" s="274" t="s">
        <v>4714</v>
      </c>
      <c r="E766" s="268" t="s">
        <v>2869</v>
      </c>
      <c r="F766" s="268" t="s">
        <v>4715</v>
      </c>
      <c r="G766" s="268" t="s">
        <v>4716</v>
      </c>
      <c r="H766" s="268" t="str">
        <f t="shared" si="5"/>
        <v>JUAN PABLO PELEGRÍN HERNÁNDEZ</v>
      </c>
      <c r="I766" s="268" t="s">
        <v>4904</v>
      </c>
      <c r="J766" s="272" t="s">
        <v>4736</v>
      </c>
      <c r="K766" s="268" t="s">
        <v>5830</v>
      </c>
      <c r="L766" s="302">
        <v>45443</v>
      </c>
      <c r="M766" s="268"/>
      <c r="N766" s="282">
        <v>2</v>
      </c>
      <c r="O766" s="268" t="s">
        <v>4723</v>
      </c>
      <c r="P766" s="280">
        <v>2888.18</v>
      </c>
      <c r="Q766" s="304">
        <v>45397</v>
      </c>
      <c r="R766" s="272"/>
      <c r="S766" s="272"/>
      <c r="T766" s="272"/>
      <c r="U766" s="272"/>
      <c r="V766" s="272"/>
      <c r="W766" s="272"/>
      <c r="X766" s="272"/>
      <c r="Y766" s="272"/>
      <c r="Z766" s="272"/>
      <c r="AA766" s="272"/>
    </row>
    <row r="767" spans="1:27">
      <c r="A767" s="273">
        <v>5</v>
      </c>
      <c r="B767" s="274" t="s">
        <v>5628</v>
      </c>
      <c r="C767" s="275">
        <v>45398</v>
      </c>
      <c r="D767" s="274" t="s">
        <v>4714</v>
      </c>
      <c r="E767" s="268" t="s">
        <v>4780</v>
      </c>
      <c r="F767" s="268" t="s">
        <v>4715</v>
      </c>
      <c r="G767" s="268" t="s">
        <v>4716</v>
      </c>
      <c r="H767" s="268" t="str">
        <f t="shared" si="5"/>
        <v>ÁNGEL MUÑOZ HERRERA</v>
      </c>
      <c r="I767" s="268" t="s">
        <v>4940</v>
      </c>
      <c r="J767" s="272" t="s">
        <v>4747</v>
      </c>
      <c r="K767" s="268" t="s">
        <v>5831</v>
      </c>
      <c r="L767" s="302">
        <v>45443</v>
      </c>
      <c r="M767" s="272"/>
      <c r="N767" s="282">
        <v>2</v>
      </c>
      <c r="O767" s="268" t="s">
        <v>4720</v>
      </c>
      <c r="P767" s="280">
        <v>3604.55</v>
      </c>
      <c r="Q767" s="303">
        <v>45398</v>
      </c>
      <c r="R767" s="272"/>
      <c r="S767" s="272"/>
      <c r="T767" s="272"/>
      <c r="U767" s="272"/>
      <c r="V767" s="272"/>
      <c r="W767" s="272"/>
      <c r="X767" s="272"/>
      <c r="Y767" s="272"/>
      <c r="Z767" s="272"/>
      <c r="AA767" s="272"/>
    </row>
    <row r="768" spans="1:27">
      <c r="A768" s="273">
        <v>5</v>
      </c>
      <c r="B768" s="274" t="s">
        <v>5628</v>
      </c>
      <c r="C768" s="275">
        <v>45404</v>
      </c>
      <c r="D768" s="274" t="s">
        <v>4714</v>
      </c>
      <c r="E768" s="268" t="s">
        <v>3011</v>
      </c>
      <c r="F768" s="268" t="s">
        <v>4715</v>
      </c>
      <c r="G768" s="268" t="s">
        <v>4716</v>
      </c>
      <c r="H768" s="268" t="str">
        <f t="shared" si="5"/>
        <v>ESTEFANÍA BERROCAL POSTIGO</v>
      </c>
      <c r="I768" s="268" t="s">
        <v>5201</v>
      </c>
      <c r="J768" s="272" t="s">
        <v>4729</v>
      </c>
      <c r="K768" s="268" t="s">
        <v>5832</v>
      </c>
      <c r="L768" s="276">
        <v>45443</v>
      </c>
      <c r="M768" s="268"/>
      <c r="N768" s="282">
        <v>1</v>
      </c>
      <c r="O768" s="268" t="s">
        <v>4720</v>
      </c>
      <c r="P768" s="280">
        <v>2253.64</v>
      </c>
      <c r="Q768" s="304">
        <v>45404</v>
      </c>
      <c r="R768" s="272"/>
      <c r="S768" s="272"/>
      <c r="T768" s="272"/>
      <c r="U768" s="272"/>
      <c r="V768" s="272"/>
      <c r="W768" s="272"/>
      <c r="X768" s="272"/>
      <c r="Y768" s="272"/>
      <c r="Z768" s="272"/>
      <c r="AA768" s="272"/>
    </row>
    <row r="769" spans="1:27">
      <c r="A769" s="273">
        <v>5</v>
      </c>
      <c r="B769" s="274" t="s">
        <v>5628</v>
      </c>
      <c r="C769" s="275">
        <v>45366</v>
      </c>
      <c r="D769" s="274" t="s">
        <v>4714</v>
      </c>
      <c r="E769" s="268" t="s">
        <v>4759</v>
      </c>
      <c r="F769" s="268" t="s">
        <v>4715</v>
      </c>
      <c r="G769" s="268" t="s">
        <v>4716</v>
      </c>
      <c r="H769" s="268" t="str">
        <f t="shared" si="5"/>
        <v>ANA FERNÁNDEZ RODRÍGUEZ</v>
      </c>
      <c r="I769" s="268" t="s">
        <v>5511</v>
      </c>
      <c r="J769" s="272" t="s">
        <v>4747</v>
      </c>
      <c r="K769" s="268" t="s">
        <v>5833</v>
      </c>
      <c r="L769" s="302">
        <v>45443</v>
      </c>
      <c r="M769" s="268"/>
      <c r="N769" s="282">
        <v>2</v>
      </c>
      <c r="O769" s="268" t="s">
        <v>4740</v>
      </c>
      <c r="P769" s="280">
        <v>3977.27</v>
      </c>
      <c r="Q769" s="304">
        <v>45366</v>
      </c>
      <c r="R769" s="272"/>
      <c r="S769" s="272"/>
      <c r="T769" s="272"/>
      <c r="U769" s="272"/>
      <c r="V769" s="272"/>
      <c r="W769" s="272"/>
      <c r="X769" s="272"/>
      <c r="Y769" s="272"/>
      <c r="Z769" s="272"/>
      <c r="AA769" s="272"/>
    </row>
    <row r="770" spans="1:27">
      <c r="A770" s="273">
        <v>5</v>
      </c>
      <c r="B770" s="274" t="s">
        <v>5628</v>
      </c>
      <c r="C770" s="275">
        <v>45383</v>
      </c>
      <c r="D770" s="274" t="s">
        <v>4714</v>
      </c>
      <c r="E770" s="268" t="s">
        <v>4759</v>
      </c>
      <c r="F770" s="268" t="s">
        <v>4715</v>
      </c>
      <c r="G770" s="268" t="s">
        <v>4716</v>
      </c>
      <c r="H770" s="268" t="str">
        <f t="shared" si="5"/>
        <v>JESÚS EDUARDO RAMÍREZ SALAS</v>
      </c>
      <c r="I770" s="268" t="s">
        <v>5834</v>
      </c>
      <c r="J770" s="272" t="s">
        <v>4747</v>
      </c>
      <c r="K770" s="268" t="s">
        <v>5835</v>
      </c>
      <c r="L770" s="287">
        <v>45443</v>
      </c>
      <c r="M770" s="268"/>
      <c r="N770" s="282">
        <v>2</v>
      </c>
      <c r="O770" s="268" t="s">
        <v>4720</v>
      </c>
      <c r="P770" s="280">
        <v>3522.73</v>
      </c>
      <c r="Q770" s="304">
        <v>45383</v>
      </c>
      <c r="R770" s="272"/>
      <c r="S770" s="272"/>
      <c r="T770" s="272"/>
      <c r="U770" s="272"/>
      <c r="V770" s="272"/>
      <c r="W770" s="272"/>
      <c r="X770" s="272"/>
      <c r="Y770" s="272"/>
      <c r="Z770" s="272"/>
      <c r="AA770" s="272"/>
    </row>
    <row r="771" spans="1:27">
      <c r="A771" s="273">
        <v>6</v>
      </c>
      <c r="B771" s="274" t="s">
        <v>5836</v>
      </c>
      <c r="C771" s="289">
        <v>45426</v>
      </c>
      <c r="D771" s="274" t="s">
        <v>4714</v>
      </c>
      <c r="E771" s="268" t="s">
        <v>2916</v>
      </c>
      <c r="F771" s="268" t="s">
        <v>4715</v>
      </c>
      <c r="G771" s="268" t="s">
        <v>4716</v>
      </c>
      <c r="H771" s="268" t="str">
        <f t="shared" si="5"/>
        <v>DARÍO AGUDELO GARCÍA</v>
      </c>
      <c r="I771" s="268" t="s">
        <v>4810</v>
      </c>
      <c r="J771" s="272" t="s">
        <v>4806</v>
      </c>
      <c r="K771" s="268" t="s">
        <v>5837</v>
      </c>
      <c r="L771" s="302">
        <v>45446</v>
      </c>
      <c r="M771" s="268"/>
      <c r="N771" s="282">
        <v>2</v>
      </c>
      <c r="O771" s="268" t="s">
        <v>4723</v>
      </c>
      <c r="P771" s="280">
        <v>2888.18</v>
      </c>
      <c r="Q771" s="308">
        <v>45426</v>
      </c>
      <c r="R771" s="272"/>
      <c r="S771" s="272"/>
      <c r="T771" s="272"/>
      <c r="U771" s="272"/>
      <c r="V771" s="272"/>
      <c r="W771" s="272"/>
      <c r="X771" s="272"/>
      <c r="Y771" s="272"/>
      <c r="Z771" s="272"/>
      <c r="AA771" s="272"/>
    </row>
    <row r="772" spans="1:27">
      <c r="A772" s="273">
        <v>6</v>
      </c>
      <c r="B772" s="274" t="s">
        <v>5836</v>
      </c>
      <c r="C772" s="289">
        <v>45418</v>
      </c>
      <c r="D772" s="274" t="s">
        <v>4714</v>
      </c>
      <c r="E772" s="268" t="s">
        <v>4775</v>
      </c>
      <c r="F772" s="268" t="s">
        <v>4715</v>
      </c>
      <c r="G772" s="268" t="s">
        <v>4716</v>
      </c>
      <c r="H772" s="268" t="str">
        <f t="shared" si="5"/>
        <v>FERNANDO SALAZAR BARCELONA</v>
      </c>
      <c r="I772" s="268" t="s">
        <v>4776</v>
      </c>
      <c r="J772" s="272" t="s">
        <v>4822</v>
      </c>
      <c r="K772" s="268" t="s">
        <v>5838</v>
      </c>
      <c r="L772" s="276">
        <v>45446</v>
      </c>
      <c r="M772" s="277"/>
      <c r="N772" s="282">
        <v>2</v>
      </c>
      <c r="O772" s="284" t="s">
        <v>4720</v>
      </c>
      <c r="P772" s="280">
        <v>3545.45</v>
      </c>
      <c r="Q772" s="281">
        <v>45418</v>
      </c>
      <c r="R772" s="272"/>
      <c r="S772" s="272"/>
      <c r="T772" s="272"/>
      <c r="U772" s="272"/>
      <c r="V772" s="272"/>
      <c r="W772" s="272"/>
      <c r="X772" s="272"/>
      <c r="Y772" s="272"/>
      <c r="Z772" s="272"/>
      <c r="AA772" s="272"/>
    </row>
    <row r="773" spans="1:27">
      <c r="A773" s="273">
        <v>6</v>
      </c>
      <c r="B773" s="274" t="s">
        <v>5836</v>
      </c>
      <c r="C773" s="289">
        <v>45432</v>
      </c>
      <c r="D773" s="274" t="s">
        <v>4714</v>
      </c>
      <c r="E773" s="268" t="s">
        <v>3758</v>
      </c>
      <c r="F773" s="268" t="s">
        <v>4715</v>
      </c>
      <c r="G773" s="268" t="s">
        <v>4716</v>
      </c>
      <c r="H773" s="268" t="str">
        <f t="shared" si="5"/>
        <v>LAURA DEL TORO GIL</v>
      </c>
      <c r="I773" s="268" t="s">
        <v>5839</v>
      </c>
      <c r="J773" s="272" t="s">
        <v>4718</v>
      </c>
      <c r="K773" s="268" t="s">
        <v>5840</v>
      </c>
      <c r="L773" s="276">
        <v>45446</v>
      </c>
      <c r="M773" s="283"/>
      <c r="N773" s="282">
        <v>1</v>
      </c>
      <c r="O773" s="284" t="s">
        <v>4723</v>
      </c>
      <c r="P773" s="280">
        <v>1732.73</v>
      </c>
      <c r="Q773" s="281">
        <v>45432</v>
      </c>
      <c r="R773" s="272"/>
      <c r="S773" s="272"/>
      <c r="T773" s="272"/>
      <c r="U773" s="272"/>
      <c r="V773" s="272"/>
      <c r="W773" s="272"/>
      <c r="X773" s="272"/>
      <c r="Y773" s="272"/>
      <c r="Z773" s="272"/>
      <c r="AA773" s="272"/>
    </row>
    <row r="774" spans="1:27">
      <c r="A774" s="273">
        <v>6</v>
      </c>
      <c r="B774" s="274" t="s">
        <v>5836</v>
      </c>
      <c r="C774" s="289">
        <v>45376</v>
      </c>
      <c r="D774" s="274" t="s">
        <v>4714</v>
      </c>
      <c r="E774" s="268" t="s">
        <v>2869</v>
      </c>
      <c r="F774" s="268" t="s">
        <v>4715</v>
      </c>
      <c r="G774" s="268" t="s">
        <v>4716</v>
      </c>
      <c r="H774" s="268" t="str">
        <f t="shared" si="5"/>
        <v>AIDA AVIÑOA ARIAS</v>
      </c>
      <c r="I774" s="268" t="s">
        <v>5298</v>
      </c>
      <c r="J774" s="272" t="s">
        <v>4736</v>
      </c>
      <c r="K774" s="268" t="s">
        <v>5841</v>
      </c>
      <c r="L774" s="276">
        <v>45446</v>
      </c>
      <c r="M774" s="283"/>
      <c r="N774" s="282">
        <v>1</v>
      </c>
      <c r="O774" s="284" t="s">
        <v>4723</v>
      </c>
      <c r="P774" s="280">
        <v>1481.82</v>
      </c>
      <c r="Q774" s="281">
        <v>45376</v>
      </c>
      <c r="R774" s="272"/>
      <c r="S774" s="272"/>
      <c r="T774" s="272"/>
      <c r="U774" s="272"/>
      <c r="V774" s="272"/>
      <c r="W774" s="272"/>
      <c r="X774" s="272"/>
      <c r="Y774" s="272"/>
      <c r="Z774" s="272"/>
      <c r="AA774" s="272"/>
    </row>
    <row r="775" spans="1:27">
      <c r="A775" s="273">
        <v>6</v>
      </c>
      <c r="B775" s="274" t="s">
        <v>5836</v>
      </c>
      <c r="C775" s="289">
        <v>45355</v>
      </c>
      <c r="D775" s="274" t="s">
        <v>4714</v>
      </c>
      <c r="E775" s="268" t="s">
        <v>2869</v>
      </c>
      <c r="F775" s="268" t="s">
        <v>4715</v>
      </c>
      <c r="G775" s="268" t="s">
        <v>4716</v>
      </c>
      <c r="H775" s="268" t="str">
        <f t="shared" si="5"/>
        <v>MARÍA AGUSTINA SEVILLA GARCÍA</v>
      </c>
      <c r="I775" s="268" t="s">
        <v>4812</v>
      </c>
      <c r="J775" s="268" t="s">
        <v>4736</v>
      </c>
      <c r="K775" s="268" t="s">
        <v>5842</v>
      </c>
      <c r="L775" s="276">
        <v>45446</v>
      </c>
      <c r="M775" s="277"/>
      <c r="N775" s="282">
        <v>1</v>
      </c>
      <c r="O775" s="284" t="s">
        <v>4720</v>
      </c>
      <c r="P775" s="280">
        <v>2162.73</v>
      </c>
      <c r="Q775" s="281">
        <v>45355</v>
      </c>
      <c r="R775" s="272"/>
      <c r="S775" s="272"/>
      <c r="T775" s="272"/>
      <c r="U775" s="272"/>
      <c r="V775" s="272"/>
      <c r="W775" s="272"/>
      <c r="X775" s="272"/>
      <c r="Y775" s="272"/>
      <c r="Z775" s="272"/>
      <c r="AA775" s="272"/>
    </row>
    <row r="776" spans="1:27">
      <c r="A776" s="273">
        <v>6</v>
      </c>
      <c r="B776" s="274" t="s">
        <v>5836</v>
      </c>
      <c r="C776" s="289">
        <v>45348</v>
      </c>
      <c r="D776" s="274" t="s">
        <v>4714</v>
      </c>
      <c r="E776" s="268" t="s">
        <v>4749</v>
      </c>
      <c r="F776" s="268" t="s">
        <v>4715</v>
      </c>
      <c r="G776" s="268" t="s">
        <v>4716</v>
      </c>
      <c r="H776" s="268" t="str">
        <f t="shared" si="5"/>
        <v>DIANA LISBETH</v>
      </c>
      <c r="I776" s="268" t="s">
        <v>4955</v>
      </c>
      <c r="J776" s="272" t="s">
        <v>4747</v>
      </c>
      <c r="K776" s="268" t="s">
        <v>5843</v>
      </c>
      <c r="L776" s="276">
        <v>45446</v>
      </c>
      <c r="M776" s="277"/>
      <c r="N776" s="282">
        <v>2</v>
      </c>
      <c r="O776" s="284" t="s">
        <v>4723</v>
      </c>
      <c r="P776" s="280">
        <v>2909.09</v>
      </c>
      <c r="Q776" s="281">
        <v>45348</v>
      </c>
      <c r="R776" s="272"/>
      <c r="S776" s="272"/>
      <c r="T776" s="272"/>
      <c r="U776" s="272"/>
      <c r="V776" s="272"/>
      <c r="W776" s="272"/>
      <c r="X776" s="272"/>
      <c r="Y776" s="272"/>
      <c r="Z776" s="272"/>
      <c r="AA776" s="272"/>
    </row>
    <row r="777" spans="1:27">
      <c r="A777" s="273">
        <v>6</v>
      </c>
      <c r="B777" s="274" t="s">
        <v>5836</v>
      </c>
      <c r="C777" s="289">
        <v>44844</v>
      </c>
      <c r="D777" s="274" t="s">
        <v>4714</v>
      </c>
      <c r="E777" s="268" t="s">
        <v>2921</v>
      </c>
      <c r="F777" s="268" t="s">
        <v>4715</v>
      </c>
      <c r="G777" s="268" t="s">
        <v>4716</v>
      </c>
      <c r="H777" s="268" t="str">
        <f t="shared" si="5"/>
        <v>IGNACIO LLOPEZ CARRATALÁ</v>
      </c>
      <c r="I777" s="268" t="s">
        <v>4909</v>
      </c>
      <c r="J777" s="278" t="s">
        <v>4910</v>
      </c>
      <c r="K777" s="268" t="s">
        <v>5844</v>
      </c>
      <c r="L777" s="276">
        <v>45446</v>
      </c>
      <c r="M777" s="283"/>
      <c r="N777" s="282">
        <v>2</v>
      </c>
      <c r="O777" s="293" t="s">
        <v>4740</v>
      </c>
      <c r="P777" s="280">
        <v>4000</v>
      </c>
      <c r="Q777" s="281">
        <v>44844</v>
      </c>
      <c r="R777" s="272"/>
      <c r="S777" s="272"/>
      <c r="T777" s="272"/>
      <c r="U777" s="272"/>
      <c r="V777" s="272"/>
      <c r="W777" s="272"/>
      <c r="X777" s="272"/>
      <c r="Y777" s="272"/>
      <c r="Z777" s="272"/>
      <c r="AA777" s="272"/>
    </row>
    <row r="778" spans="1:27">
      <c r="A778" s="273">
        <v>6</v>
      </c>
      <c r="B778" s="274" t="s">
        <v>5836</v>
      </c>
      <c r="C778" s="289">
        <v>45422</v>
      </c>
      <c r="D778" s="274" t="s">
        <v>4714</v>
      </c>
      <c r="E778" s="268" t="s">
        <v>2921</v>
      </c>
      <c r="F778" s="268" t="s">
        <v>4715</v>
      </c>
      <c r="G778" s="268" t="s">
        <v>4716</v>
      </c>
      <c r="H778" s="268" t="str">
        <f t="shared" si="5"/>
        <v>JEAN FRANCO INTRAPRENDENTE MARTINI</v>
      </c>
      <c r="I778" s="268" t="s">
        <v>5545</v>
      </c>
      <c r="J778" s="278" t="s">
        <v>4910</v>
      </c>
      <c r="K778" s="268" t="s">
        <v>5845</v>
      </c>
      <c r="L778" s="276">
        <v>45446</v>
      </c>
      <c r="M778" s="283"/>
      <c r="N778" s="282">
        <v>2</v>
      </c>
      <c r="O778" s="284" t="s">
        <v>4723</v>
      </c>
      <c r="P778" s="280">
        <v>2743.77</v>
      </c>
      <c r="Q778" s="281">
        <v>45422</v>
      </c>
      <c r="R778" s="272"/>
      <c r="S778" s="272"/>
      <c r="T778" s="272"/>
      <c r="U778" s="272"/>
      <c r="V778" s="272"/>
      <c r="W778" s="272"/>
      <c r="X778" s="272"/>
      <c r="Y778" s="272"/>
      <c r="Z778" s="272"/>
      <c r="AA778" s="272"/>
    </row>
    <row r="779" spans="1:27">
      <c r="A779" s="273">
        <v>6</v>
      </c>
      <c r="B779" s="274" t="s">
        <v>5836</v>
      </c>
      <c r="C779" s="275">
        <v>45415</v>
      </c>
      <c r="D779" s="274" t="s">
        <v>4714</v>
      </c>
      <c r="E779" s="268" t="s">
        <v>4820</v>
      </c>
      <c r="F779" s="268" t="s">
        <v>4715</v>
      </c>
      <c r="G779" s="268" t="s">
        <v>4716</v>
      </c>
      <c r="H779" s="268" t="str">
        <f t="shared" si="5"/>
        <v>JAVIER GARCÍA GÓMEZ</v>
      </c>
      <c r="I779" s="268" t="s">
        <v>5220</v>
      </c>
      <c r="J779" s="272" t="s">
        <v>4822</v>
      </c>
      <c r="K779" s="268" t="s">
        <v>5846</v>
      </c>
      <c r="L779" s="287">
        <v>45447</v>
      </c>
      <c r="M779" s="268"/>
      <c r="N779" s="282">
        <v>2</v>
      </c>
      <c r="O779" s="268" t="s">
        <v>4740</v>
      </c>
      <c r="P779" s="280">
        <v>3714.55</v>
      </c>
      <c r="Q779" s="304">
        <v>45415</v>
      </c>
      <c r="R779" s="272"/>
      <c r="S779" s="272"/>
      <c r="T779" s="272"/>
      <c r="U779" s="272"/>
      <c r="V779" s="272"/>
      <c r="W779" s="272"/>
      <c r="X779" s="272"/>
      <c r="Y779" s="272"/>
      <c r="Z779" s="272"/>
      <c r="AA779" s="272"/>
    </row>
    <row r="780" spans="1:27">
      <c r="A780" s="273">
        <v>6</v>
      </c>
      <c r="B780" s="274" t="s">
        <v>5836</v>
      </c>
      <c r="C780" s="275">
        <v>45440</v>
      </c>
      <c r="D780" s="274" t="s">
        <v>4714</v>
      </c>
      <c r="E780" s="268" t="s">
        <v>4875</v>
      </c>
      <c r="F780" s="268" t="s">
        <v>4715</v>
      </c>
      <c r="G780" s="268" t="s">
        <v>4716</v>
      </c>
      <c r="H780" s="268" t="str">
        <f t="shared" si="5"/>
        <v>ISABEL VAAMONDE SANCHEZ ANDRADR</v>
      </c>
      <c r="I780" s="268" t="s">
        <v>5717</v>
      </c>
      <c r="J780" s="272" t="s">
        <v>4790</v>
      </c>
      <c r="K780" s="268" t="s">
        <v>5847</v>
      </c>
      <c r="L780" s="287">
        <v>45447</v>
      </c>
      <c r="M780" s="272"/>
      <c r="N780" s="282">
        <v>2</v>
      </c>
      <c r="O780" s="268" t="s">
        <v>4723</v>
      </c>
      <c r="P780" s="280">
        <v>2909.09</v>
      </c>
      <c r="Q780" s="303">
        <v>45440</v>
      </c>
      <c r="R780" s="272"/>
      <c r="S780" s="272"/>
      <c r="T780" s="272"/>
      <c r="U780" s="272"/>
      <c r="V780" s="272"/>
      <c r="W780" s="272"/>
      <c r="X780" s="272"/>
      <c r="Y780" s="272"/>
      <c r="Z780" s="272"/>
      <c r="AA780" s="272"/>
    </row>
    <row r="781" spans="1:27">
      <c r="A781" s="273">
        <v>6</v>
      </c>
      <c r="B781" s="274" t="s">
        <v>5836</v>
      </c>
      <c r="C781" s="289">
        <v>45415</v>
      </c>
      <c r="D781" s="274" t="s">
        <v>4714</v>
      </c>
      <c r="E781" s="268" t="s">
        <v>2869</v>
      </c>
      <c r="F781" s="268" t="s">
        <v>4715</v>
      </c>
      <c r="G781" s="268" t="s">
        <v>4716</v>
      </c>
      <c r="H781" s="268" t="str">
        <f t="shared" si="5"/>
        <v>JESÚS MIGUEL INIESTA TURPÍN</v>
      </c>
      <c r="I781" s="268" t="s">
        <v>4868</v>
      </c>
      <c r="J781" s="272" t="s">
        <v>4736</v>
      </c>
      <c r="K781" s="268" t="s">
        <v>5848</v>
      </c>
      <c r="L781" s="276">
        <v>45447</v>
      </c>
      <c r="M781" s="277"/>
      <c r="N781" s="282">
        <v>2</v>
      </c>
      <c r="O781" s="284" t="s">
        <v>4720</v>
      </c>
      <c r="P781" s="280">
        <v>3710</v>
      </c>
      <c r="Q781" s="281">
        <v>45415</v>
      </c>
      <c r="R781" s="272"/>
      <c r="S781" s="272"/>
      <c r="T781" s="272"/>
      <c r="U781" s="272"/>
      <c r="V781" s="272"/>
      <c r="W781" s="272"/>
      <c r="X781" s="272"/>
      <c r="Y781" s="272"/>
      <c r="Z781" s="272"/>
      <c r="AA781" s="272"/>
    </row>
    <row r="782" spans="1:27">
      <c r="A782" s="273">
        <v>6</v>
      </c>
      <c r="B782" s="274" t="s">
        <v>5836</v>
      </c>
      <c r="C782" s="289">
        <v>45370</v>
      </c>
      <c r="D782" s="274" t="s">
        <v>4714</v>
      </c>
      <c r="E782" s="268" t="s">
        <v>3011</v>
      </c>
      <c r="F782" s="268" t="s">
        <v>4715</v>
      </c>
      <c r="G782" s="268" t="s">
        <v>4716</v>
      </c>
      <c r="H782" s="268" t="str">
        <f t="shared" si="5"/>
        <v>MIGUEL ALBERTO RODRÍGUEZ PÉREZ</v>
      </c>
      <c r="I782" s="268" t="s">
        <v>4783</v>
      </c>
      <c r="J782" s="272" t="s">
        <v>4729</v>
      </c>
      <c r="K782" s="268" t="s">
        <v>5849</v>
      </c>
      <c r="L782" s="276">
        <v>45447</v>
      </c>
      <c r="M782" s="277"/>
      <c r="N782" s="282">
        <v>2</v>
      </c>
      <c r="O782" s="284" t="s">
        <v>4720</v>
      </c>
      <c r="P782" s="280">
        <v>3786.36</v>
      </c>
      <c r="Q782" s="281">
        <v>45370</v>
      </c>
      <c r="R782" s="272"/>
      <c r="S782" s="272"/>
      <c r="T782" s="272"/>
      <c r="U782" s="272"/>
      <c r="V782" s="272"/>
      <c r="W782" s="272"/>
      <c r="X782" s="272"/>
      <c r="Y782" s="272"/>
      <c r="Z782" s="272"/>
      <c r="AA782" s="272"/>
    </row>
    <row r="783" spans="1:27">
      <c r="A783" s="273">
        <v>6</v>
      </c>
      <c r="B783" s="274" t="s">
        <v>5836</v>
      </c>
      <c r="C783" s="275">
        <v>45393</v>
      </c>
      <c r="D783" s="274" t="s">
        <v>4714</v>
      </c>
      <c r="E783" s="268" t="s">
        <v>5318</v>
      </c>
      <c r="F783" s="268" t="s">
        <v>4715</v>
      </c>
      <c r="G783" s="268" t="s">
        <v>4716</v>
      </c>
      <c r="H783" s="268" t="str">
        <f t="shared" si="5"/>
        <v>RAQUEL SOLIS VAZQUEZ</v>
      </c>
      <c r="I783" s="268" t="s">
        <v>5850</v>
      </c>
      <c r="J783" s="272" t="s">
        <v>4729</v>
      </c>
      <c r="K783" s="268" t="s">
        <v>5851</v>
      </c>
      <c r="L783" s="287">
        <v>45448</v>
      </c>
      <c r="M783" s="268"/>
      <c r="N783" s="282">
        <v>2</v>
      </c>
      <c r="O783" s="268" t="s">
        <v>4723</v>
      </c>
      <c r="P783" s="280">
        <v>2636.36</v>
      </c>
      <c r="Q783" s="303">
        <v>45393</v>
      </c>
      <c r="R783" s="272"/>
      <c r="S783" s="272"/>
      <c r="T783" s="272"/>
      <c r="U783" s="272"/>
      <c r="V783" s="272"/>
      <c r="W783" s="272"/>
      <c r="X783" s="272"/>
      <c r="Y783" s="272"/>
      <c r="Z783" s="272"/>
      <c r="AA783" s="272"/>
    </row>
    <row r="784" spans="1:27">
      <c r="A784" s="273">
        <v>6</v>
      </c>
      <c r="B784" s="274" t="s">
        <v>5836</v>
      </c>
      <c r="C784" s="289">
        <v>45411</v>
      </c>
      <c r="D784" s="274" t="s">
        <v>4714</v>
      </c>
      <c r="E784" s="268" t="s">
        <v>3861</v>
      </c>
      <c r="F784" s="268" t="s">
        <v>4715</v>
      </c>
      <c r="G784" s="268" t="s">
        <v>4716</v>
      </c>
      <c r="H784" s="268" t="str">
        <f t="shared" si="5"/>
        <v>JOSÉ GUSTAVO BARROSO BRAOJOS</v>
      </c>
      <c r="I784" s="268" t="s">
        <v>4834</v>
      </c>
      <c r="J784" s="272" t="s">
        <v>4718</v>
      </c>
      <c r="K784" s="268" t="s">
        <v>5852</v>
      </c>
      <c r="L784" s="276">
        <v>45448</v>
      </c>
      <c r="M784" s="277"/>
      <c r="N784" s="282">
        <v>2</v>
      </c>
      <c r="O784" s="284" t="s">
        <v>4740</v>
      </c>
      <c r="P784" s="280">
        <v>4000</v>
      </c>
      <c r="Q784" s="281">
        <v>45411</v>
      </c>
      <c r="R784" s="272"/>
      <c r="S784" s="272"/>
      <c r="T784" s="272"/>
      <c r="U784" s="272"/>
      <c r="V784" s="272"/>
      <c r="W784" s="272"/>
      <c r="X784" s="272"/>
      <c r="Y784" s="272"/>
      <c r="Z784" s="272"/>
      <c r="AA784" s="272"/>
    </row>
    <row r="785" spans="1:27">
      <c r="A785" s="273">
        <v>6</v>
      </c>
      <c r="B785" s="274" t="s">
        <v>5836</v>
      </c>
      <c r="C785" s="275">
        <v>45404</v>
      </c>
      <c r="D785" s="274" t="s">
        <v>4714</v>
      </c>
      <c r="E785" s="268" t="s">
        <v>4194</v>
      </c>
      <c r="F785" s="268" t="s">
        <v>4715</v>
      </c>
      <c r="G785" s="268" t="s">
        <v>4716</v>
      </c>
      <c r="H785" s="268" t="str">
        <f t="shared" si="5"/>
        <v>JUAN RAMÓN PAREDES OSADO</v>
      </c>
      <c r="I785" s="268" t="s">
        <v>5853</v>
      </c>
      <c r="J785" s="272" t="s">
        <v>4736</v>
      </c>
      <c r="K785" s="268" t="s">
        <v>5854</v>
      </c>
      <c r="L785" s="302">
        <v>45449</v>
      </c>
      <c r="M785" s="268"/>
      <c r="N785" s="282">
        <v>2</v>
      </c>
      <c r="O785" s="268" t="s">
        <v>4720</v>
      </c>
      <c r="P785" s="280">
        <v>3604.55</v>
      </c>
      <c r="Q785" s="304">
        <v>45404</v>
      </c>
      <c r="R785" s="272"/>
      <c r="S785" s="272"/>
      <c r="T785" s="272"/>
      <c r="U785" s="272"/>
      <c r="V785" s="272"/>
      <c r="W785" s="272"/>
      <c r="X785" s="272"/>
      <c r="Y785" s="272"/>
      <c r="Z785" s="272"/>
      <c r="AA785" s="272"/>
    </row>
    <row r="786" spans="1:27">
      <c r="A786" s="273">
        <v>6</v>
      </c>
      <c r="B786" s="274" t="s">
        <v>5836</v>
      </c>
      <c r="C786" s="289">
        <v>45407</v>
      </c>
      <c r="D786" s="274" t="s">
        <v>4714</v>
      </c>
      <c r="E786" s="268" t="s">
        <v>2929</v>
      </c>
      <c r="F786" s="268" t="s">
        <v>4715</v>
      </c>
      <c r="G786" s="268" t="s">
        <v>4716</v>
      </c>
      <c r="H786" s="268" t="str">
        <f t="shared" si="5"/>
        <v>JAVIER GARCÍA DOMÍNGUEZ</v>
      </c>
      <c r="I786" s="268" t="s">
        <v>4881</v>
      </c>
      <c r="J786" s="272" t="s">
        <v>4718</v>
      </c>
      <c r="K786" s="268" t="s">
        <v>5855</v>
      </c>
      <c r="L786" s="276">
        <v>45449</v>
      </c>
      <c r="M786" s="277"/>
      <c r="N786" s="282">
        <v>2</v>
      </c>
      <c r="O786" s="284" t="s">
        <v>4740</v>
      </c>
      <c r="P786" s="280">
        <v>2743.77</v>
      </c>
      <c r="Q786" s="281">
        <v>45407</v>
      </c>
      <c r="R786" s="272"/>
      <c r="S786" s="272"/>
      <c r="T786" s="272"/>
      <c r="U786" s="272"/>
      <c r="V786" s="272"/>
      <c r="W786" s="272"/>
      <c r="X786" s="272"/>
      <c r="Y786" s="272"/>
      <c r="Z786" s="272"/>
      <c r="AA786" s="272"/>
    </row>
    <row r="787" spans="1:27">
      <c r="A787" s="273">
        <v>6</v>
      </c>
      <c r="B787" s="274" t="s">
        <v>5836</v>
      </c>
      <c r="C787" s="289">
        <v>45419</v>
      </c>
      <c r="D787" s="274" t="s">
        <v>4714</v>
      </c>
      <c r="E787" s="268" t="s">
        <v>3193</v>
      </c>
      <c r="F787" s="268" t="s">
        <v>4715</v>
      </c>
      <c r="G787" s="268" t="s">
        <v>4716</v>
      </c>
      <c r="H787" s="268" t="str">
        <f t="shared" si="5"/>
        <v>CÉSAR CHARLES MARTÍNEZ</v>
      </c>
      <c r="I787" s="268" t="s">
        <v>4769</v>
      </c>
      <c r="J787" s="272" t="s">
        <v>4718</v>
      </c>
      <c r="K787" s="268" t="s">
        <v>5856</v>
      </c>
      <c r="L787" s="276">
        <v>45449</v>
      </c>
      <c r="M787" s="277"/>
      <c r="N787" s="282">
        <v>2</v>
      </c>
      <c r="O787" s="284" t="s">
        <v>5814</v>
      </c>
      <c r="P787" s="280">
        <v>3800</v>
      </c>
      <c r="Q787" s="281">
        <v>45419</v>
      </c>
      <c r="R787" s="272"/>
      <c r="S787" s="272"/>
      <c r="T787" s="272"/>
      <c r="U787" s="272"/>
      <c r="V787" s="272"/>
      <c r="W787" s="272"/>
      <c r="X787" s="272"/>
      <c r="Y787" s="272"/>
      <c r="Z787" s="272"/>
      <c r="AA787" s="272"/>
    </row>
    <row r="788" spans="1:27">
      <c r="A788" s="273">
        <v>6</v>
      </c>
      <c r="B788" s="274" t="s">
        <v>5836</v>
      </c>
      <c r="C788" s="289">
        <v>45433</v>
      </c>
      <c r="D788" s="274" t="s">
        <v>4714</v>
      </c>
      <c r="E788" s="268" t="s">
        <v>3193</v>
      </c>
      <c r="F788" s="268" t="s">
        <v>4715</v>
      </c>
      <c r="G788" s="268" t="s">
        <v>4716</v>
      </c>
      <c r="H788" s="268" t="str">
        <f t="shared" si="5"/>
        <v>JOSE JOAQUÍN GUTIÉRREZ BARQUÍN</v>
      </c>
      <c r="I788" s="268" t="s">
        <v>4990</v>
      </c>
      <c r="J788" s="272" t="s">
        <v>4718</v>
      </c>
      <c r="K788" s="268" t="s">
        <v>5857</v>
      </c>
      <c r="L788" s="276">
        <v>45449</v>
      </c>
      <c r="M788" s="283"/>
      <c r="N788" s="282">
        <v>2</v>
      </c>
      <c r="O788" s="284" t="s">
        <v>4723</v>
      </c>
      <c r="P788" s="280">
        <v>2780.91</v>
      </c>
      <c r="Q788" s="281">
        <v>45433</v>
      </c>
      <c r="R788" s="272"/>
      <c r="S788" s="272"/>
      <c r="T788" s="272"/>
      <c r="U788" s="272"/>
      <c r="V788" s="272"/>
      <c r="W788" s="272"/>
      <c r="X788" s="272"/>
      <c r="Y788" s="272"/>
      <c r="Z788" s="272"/>
      <c r="AA788" s="272"/>
    </row>
    <row r="789" spans="1:27">
      <c r="A789" s="273">
        <v>6</v>
      </c>
      <c r="B789" s="274" t="s">
        <v>5836</v>
      </c>
      <c r="C789" s="289">
        <v>45407</v>
      </c>
      <c r="D789" s="274" t="s">
        <v>4714</v>
      </c>
      <c r="E789" s="268" t="s">
        <v>3011</v>
      </c>
      <c r="F789" s="268" t="s">
        <v>4715</v>
      </c>
      <c r="G789" s="268" t="s">
        <v>4716</v>
      </c>
      <c r="H789" s="268" t="str">
        <f t="shared" si="5"/>
        <v>MIGUEL ANTONIO SHEPHERD GONZÁLEZ</v>
      </c>
      <c r="I789" s="268" t="s">
        <v>5046</v>
      </c>
      <c r="J789" s="272" t="s">
        <v>4729</v>
      </c>
      <c r="K789" s="268" t="s">
        <v>5858</v>
      </c>
      <c r="L789" s="276">
        <v>45449</v>
      </c>
      <c r="M789" s="277"/>
      <c r="N789" s="282">
        <v>2</v>
      </c>
      <c r="O789" s="284" t="s">
        <v>4723</v>
      </c>
      <c r="P789" s="280">
        <v>2736.36</v>
      </c>
      <c r="Q789" s="281">
        <v>45407</v>
      </c>
      <c r="R789" s="272"/>
      <c r="S789" s="272"/>
      <c r="T789" s="272"/>
      <c r="U789" s="272"/>
      <c r="V789" s="272"/>
      <c r="W789" s="272"/>
      <c r="X789" s="272"/>
      <c r="Y789" s="272"/>
      <c r="Z789" s="272"/>
      <c r="AA789" s="272"/>
    </row>
    <row r="790" spans="1:27">
      <c r="A790" s="273">
        <v>6</v>
      </c>
      <c r="B790" s="274" t="s">
        <v>5836</v>
      </c>
      <c r="C790" s="289">
        <v>45315</v>
      </c>
      <c r="D790" s="274" t="s">
        <v>4714</v>
      </c>
      <c r="E790" s="268" t="s">
        <v>4804</v>
      </c>
      <c r="F790" s="268" t="s">
        <v>4715</v>
      </c>
      <c r="G790" s="268" t="s">
        <v>4716</v>
      </c>
      <c r="H790" s="268" t="str">
        <f t="shared" si="5"/>
        <v>OLGA FERRER ANDINO</v>
      </c>
      <c r="I790" s="268" t="s">
        <v>5859</v>
      </c>
      <c r="J790" s="272" t="s">
        <v>4806</v>
      </c>
      <c r="K790" s="268" t="s">
        <v>5860</v>
      </c>
      <c r="L790" s="276">
        <v>45449</v>
      </c>
      <c r="M790" s="283"/>
      <c r="N790" s="282">
        <v>2</v>
      </c>
      <c r="O790" s="284" t="s">
        <v>4792</v>
      </c>
      <c r="P790" s="280">
        <v>2545.4499999999998</v>
      </c>
      <c r="Q790" s="281">
        <v>45315</v>
      </c>
      <c r="R790" s="272"/>
      <c r="S790" s="272"/>
      <c r="T790" s="272"/>
      <c r="U790" s="272"/>
      <c r="V790" s="272"/>
      <c r="W790" s="272"/>
      <c r="X790" s="272"/>
      <c r="Y790" s="272"/>
      <c r="Z790" s="272"/>
      <c r="AA790" s="272"/>
    </row>
    <row r="791" spans="1:27">
      <c r="A791" s="273">
        <v>6</v>
      </c>
      <c r="B791" s="274" t="s">
        <v>5836</v>
      </c>
      <c r="C791" s="275">
        <v>45393</v>
      </c>
      <c r="D791" s="285" t="s">
        <v>4714</v>
      </c>
      <c r="E791" s="268" t="s">
        <v>2909</v>
      </c>
      <c r="F791" s="268" t="s">
        <v>4715</v>
      </c>
      <c r="G791" s="268" t="s">
        <v>4716</v>
      </c>
      <c r="H791" s="268" t="str">
        <f t="shared" si="5"/>
        <v>JESUS-MARIA GRASA PÉREZ</v>
      </c>
      <c r="I791" s="268" t="s">
        <v>4865</v>
      </c>
      <c r="J791" s="268" t="s">
        <v>4806</v>
      </c>
      <c r="K791" s="268" t="s">
        <v>5861</v>
      </c>
      <c r="L791" s="287">
        <v>45450</v>
      </c>
      <c r="M791" s="268"/>
      <c r="N791" s="282">
        <v>2</v>
      </c>
      <c r="O791" s="268" t="s">
        <v>4720</v>
      </c>
      <c r="P791" s="280">
        <v>3604.55</v>
      </c>
      <c r="Q791" s="304">
        <v>45393</v>
      </c>
      <c r="R791" s="272"/>
      <c r="S791" s="272"/>
      <c r="T791" s="272"/>
      <c r="U791" s="272"/>
      <c r="V791" s="272"/>
      <c r="W791" s="272"/>
      <c r="X791" s="272"/>
      <c r="Y791" s="272"/>
      <c r="Z791" s="272"/>
      <c r="AA791" s="272"/>
    </row>
    <row r="792" spans="1:27">
      <c r="A792" s="273">
        <v>6</v>
      </c>
      <c r="B792" s="274" t="s">
        <v>5836</v>
      </c>
      <c r="C792" s="275">
        <v>45433</v>
      </c>
      <c r="D792" s="274" t="s">
        <v>4714</v>
      </c>
      <c r="E792" s="268" t="s">
        <v>4820</v>
      </c>
      <c r="F792" s="268" t="s">
        <v>4715</v>
      </c>
      <c r="G792" s="268" t="s">
        <v>4716</v>
      </c>
      <c r="H792" s="268" t="str">
        <f t="shared" si="5"/>
        <v>JAVIER GARCÍA GÓMEZ</v>
      </c>
      <c r="I792" s="268" t="s">
        <v>5220</v>
      </c>
      <c r="J792" s="272" t="s">
        <v>4822</v>
      </c>
      <c r="K792" s="268" t="s">
        <v>5862</v>
      </c>
      <c r="L792" s="287">
        <v>45450</v>
      </c>
      <c r="M792" s="268"/>
      <c r="N792" s="282">
        <v>2</v>
      </c>
      <c r="O792" s="268" t="s">
        <v>4740</v>
      </c>
      <c r="P792" s="280">
        <v>3888.18</v>
      </c>
      <c r="Q792" s="303">
        <v>45433</v>
      </c>
      <c r="R792" s="272"/>
      <c r="S792" s="272"/>
      <c r="T792" s="272"/>
      <c r="U792" s="272"/>
      <c r="V792" s="272"/>
      <c r="W792" s="272"/>
      <c r="X792" s="272"/>
      <c r="Y792" s="272"/>
      <c r="Z792" s="272"/>
      <c r="AA792" s="272"/>
    </row>
    <row r="793" spans="1:27">
      <c r="A793" s="273">
        <v>6</v>
      </c>
      <c r="B793" s="274" t="s">
        <v>5836</v>
      </c>
      <c r="C793" s="289">
        <v>45411</v>
      </c>
      <c r="D793" s="274" t="s">
        <v>4714</v>
      </c>
      <c r="E793" s="268" t="s">
        <v>3480</v>
      </c>
      <c r="F793" s="268" t="s">
        <v>4715</v>
      </c>
      <c r="G793" s="268" t="s">
        <v>4716</v>
      </c>
      <c r="H793" s="268" t="str">
        <f t="shared" si="5"/>
        <v>NO REUERDA ORL</v>
      </c>
      <c r="I793" s="268" t="s">
        <v>4743</v>
      </c>
      <c r="J793" s="268" t="s">
        <v>4718</v>
      </c>
      <c r="K793" s="268" t="s">
        <v>5863</v>
      </c>
      <c r="L793" s="302">
        <v>45450</v>
      </c>
      <c r="M793" s="268"/>
      <c r="N793" s="282">
        <v>2</v>
      </c>
      <c r="O793" s="268" t="s">
        <v>4723</v>
      </c>
      <c r="P793" s="280">
        <v>2888.18</v>
      </c>
      <c r="Q793" s="308">
        <v>45411</v>
      </c>
      <c r="R793" s="272"/>
      <c r="S793" s="272"/>
      <c r="T793" s="272"/>
      <c r="U793" s="272"/>
      <c r="V793" s="272"/>
      <c r="W793" s="272"/>
      <c r="X793" s="272"/>
      <c r="Y793" s="272"/>
      <c r="Z793" s="272"/>
      <c r="AA793" s="272"/>
    </row>
    <row r="794" spans="1:27">
      <c r="A794" s="273">
        <v>6</v>
      </c>
      <c r="B794" s="274" t="s">
        <v>5836</v>
      </c>
      <c r="C794" s="289">
        <v>45420</v>
      </c>
      <c r="D794" s="274" t="s">
        <v>4714</v>
      </c>
      <c r="E794" s="268" t="s">
        <v>2929</v>
      </c>
      <c r="F794" s="268" t="s">
        <v>4715</v>
      </c>
      <c r="G794" s="268" t="s">
        <v>4716</v>
      </c>
      <c r="H794" s="268" t="str">
        <f t="shared" si="5"/>
        <v>CARLOS BARAJAS DEL ROSAL</v>
      </c>
      <c r="I794" s="268" t="s">
        <v>4934</v>
      </c>
      <c r="J794" s="268" t="s">
        <v>4822</v>
      </c>
      <c r="K794" s="268" t="s">
        <v>5864</v>
      </c>
      <c r="L794" s="276">
        <v>45450</v>
      </c>
      <c r="M794" s="277"/>
      <c r="N794" s="282">
        <v>1</v>
      </c>
      <c r="O794" s="284" t="s">
        <v>4740</v>
      </c>
      <c r="P794" s="280">
        <v>2400</v>
      </c>
      <c r="Q794" s="281">
        <v>45420</v>
      </c>
      <c r="R794" s="272"/>
      <c r="S794" s="272"/>
      <c r="T794" s="272"/>
      <c r="U794" s="272"/>
      <c r="V794" s="272"/>
      <c r="W794" s="272"/>
      <c r="X794" s="272"/>
      <c r="Y794" s="272"/>
      <c r="Z794" s="272"/>
      <c r="AA794" s="272"/>
    </row>
    <row r="795" spans="1:27">
      <c r="A795" s="273">
        <v>6</v>
      </c>
      <c r="B795" s="274" t="s">
        <v>5836</v>
      </c>
      <c r="C795" s="289">
        <v>45418</v>
      </c>
      <c r="D795" s="274" t="s">
        <v>4714</v>
      </c>
      <c r="E795" s="268" t="s">
        <v>2929</v>
      </c>
      <c r="F795" s="268" t="s">
        <v>4715</v>
      </c>
      <c r="G795" s="268" t="s">
        <v>4716</v>
      </c>
      <c r="H795" s="268" t="str">
        <f t="shared" si="5"/>
        <v>CARLOS BARAJAS DEL ROSAL</v>
      </c>
      <c r="I795" s="268" t="s">
        <v>4934</v>
      </c>
      <c r="J795" s="272" t="s">
        <v>4822</v>
      </c>
      <c r="K795" s="268" t="s">
        <v>5865</v>
      </c>
      <c r="L795" s="276">
        <v>45450</v>
      </c>
      <c r="M795" s="277"/>
      <c r="N795" s="282">
        <v>2</v>
      </c>
      <c r="O795" s="284" t="s">
        <v>4787</v>
      </c>
      <c r="P795" s="280">
        <v>4180</v>
      </c>
      <c r="Q795" s="281">
        <v>45418</v>
      </c>
      <c r="R795" s="272"/>
      <c r="S795" s="272"/>
      <c r="T795" s="272"/>
      <c r="U795" s="272"/>
      <c r="V795" s="272"/>
      <c r="W795" s="272"/>
      <c r="X795" s="272"/>
      <c r="Y795" s="272"/>
      <c r="Z795" s="272"/>
      <c r="AA795" s="272"/>
    </row>
    <row r="796" spans="1:27">
      <c r="A796" s="273">
        <v>6</v>
      </c>
      <c r="B796" s="274" t="s">
        <v>5836</v>
      </c>
      <c r="C796" s="289">
        <v>45401</v>
      </c>
      <c r="D796" s="274" t="s">
        <v>4714</v>
      </c>
      <c r="E796" s="268" t="s">
        <v>2869</v>
      </c>
      <c r="F796" s="268" t="s">
        <v>4715</v>
      </c>
      <c r="G796" s="268" t="s">
        <v>4716</v>
      </c>
      <c r="H796" s="268" t="str">
        <f t="shared" si="5"/>
        <v>MARÍA AGUSTINA SEVILLA GARCÍA</v>
      </c>
      <c r="I796" s="268" t="s">
        <v>4812</v>
      </c>
      <c r="J796" s="272" t="s">
        <v>4736</v>
      </c>
      <c r="K796" s="268" t="s">
        <v>5866</v>
      </c>
      <c r="L796" s="276">
        <v>45450</v>
      </c>
      <c r="M796" s="283"/>
      <c r="N796" s="282">
        <v>2</v>
      </c>
      <c r="O796" s="284" t="s">
        <v>4723</v>
      </c>
      <c r="P796" s="280">
        <v>2780.91</v>
      </c>
      <c r="Q796" s="281">
        <v>45401</v>
      </c>
      <c r="R796" s="272"/>
      <c r="S796" s="272"/>
      <c r="T796" s="272"/>
      <c r="U796" s="272"/>
      <c r="V796" s="272"/>
      <c r="W796" s="272"/>
      <c r="X796" s="272"/>
      <c r="Y796" s="272"/>
      <c r="Z796" s="272"/>
      <c r="AA796" s="272"/>
    </row>
    <row r="797" spans="1:27">
      <c r="A797" s="273">
        <v>6</v>
      </c>
      <c r="B797" s="274" t="s">
        <v>5836</v>
      </c>
      <c r="C797" s="289">
        <v>45407</v>
      </c>
      <c r="D797" s="274" t="s">
        <v>4714</v>
      </c>
      <c r="E797" s="268" t="s">
        <v>5225</v>
      </c>
      <c r="F797" s="268" t="s">
        <v>4715</v>
      </c>
      <c r="G797" s="268" t="s">
        <v>4716</v>
      </c>
      <c r="H797" s="268" t="str">
        <f t="shared" si="5"/>
        <v>ISABEL VAAMONDE SANCHEZ ANDRADR</v>
      </c>
      <c r="I797" s="268" t="s">
        <v>5717</v>
      </c>
      <c r="J797" s="272" t="s">
        <v>4790</v>
      </c>
      <c r="K797" s="268" t="s">
        <v>5867</v>
      </c>
      <c r="L797" s="276">
        <v>45450</v>
      </c>
      <c r="M797" s="277"/>
      <c r="N797" s="282">
        <v>1</v>
      </c>
      <c r="O797" s="284" t="s">
        <v>4723</v>
      </c>
      <c r="P797" s="280">
        <v>1444.09</v>
      </c>
      <c r="Q797" s="281">
        <v>45407</v>
      </c>
      <c r="R797" s="272"/>
      <c r="S797" s="272"/>
      <c r="T797" s="272"/>
      <c r="U797" s="272"/>
      <c r="V797" s="272"/>
      <c r="W797" s="272"/>
      <c r="X797" s="272"/>
      <c r="Y797" s="272"/>
      <c r="Z797" s="272"/>
      <c r="AA797" s="272"/>
    </row>
    <row r="798" spans="1:27">
      <c r="A798" s="273">
        <v>6</v>
      </c>
      <c r="B798" s="274" t="s">
        <v>5836</v>
      </c>
      <c r="C798" s="289">
        <v>45384</v>
      </c>
      <c r="D798" s="274" t="s">
        <v>4714</v>
      </c>
      <c r="E798" s="268" t="s">
        <v>2921</v>
      </c>
      <c r="F798" s="309" t="s">
        <v>4715</v>
      </c>
      <c r="G798" s="272" t="s">
        <v>4716</v>
      </c>
      <c r="H798" s="268" t="str">
        <f t="shared" si="5"/>
        <v>CARLOS DE PAULA VERNETTA</v>
      </c>
      <c r="I798" s="268" t="s">
        <v>5868</v>
      </c>
      <c r="J798" s="278" t="s">
        <v>4910</v>
      </c>
      <c r="K798" s="268" t="s">
        <v>5869</v>
      </c>
      <c r="L798" s="276">
        <v>45450</v>
      </c>
      <c r="M798" s="283"/>
      <c r="N798" s="282">
        <v>2</v>
      </c>
      <c r="O798" s="284" t="s">
        <v>4720</v>
      </c>
      <c r="P798" s="280">
        <v>3424.32</v>
      </c>
      <c r="Q798" s="281">
        <v>45384</v>
      </c>
      <c r="R798" s="272"/>
      <c r="S798" s="272"/>
      <c r="T798" s="272"/>
      <c r="U798" s="272"/>
      <c r="V798" s="272"/>
      <c r="W798" s="272"/>
      <c r="X798" s="272"/>
      <c r="Y798" s="272"/>
      <c r="Z798" s="272"/>
      <c r="AA798" s="272"/>
    </row>
    <row r="799" spans="1:27">
      <c r="A799" s="273">
        <v>6</v>
      </c>
      <c r="B799" s="274" t="s">
        <v>5836</v>
      </c>
      <c r="C799" s="289">
        <v>45399</v>
      </c>
      <c r="D799" s="274" t="s">
        <v>4714</v>
      </c>
      <c r="E799" s="268" t="s">
        <v>3605</v>
      </c>
      <c r="F799" s="268" t="s">
        <v>4715</v>
      </c>
      <c r="G799" s="268" t="s">
        <v>4716</v>
      </c>
      <c r="H799" s="268" t="str">
        <f t="shared" si="5"/>
        <v>JOSÉ Mª RELANZÓN LOPEZ</v>
      </c>
      <c r="I799" s="268" t="s">
        <v>5870</v>
      </c>
      <c r="J799" s="272" t="s">
        <v>4718</v>
      </c>
      <c r="K799" s="268" t="s">
        <v>5871</v>
      </c>
      <c r="L799" s="276">
        <v>45453</v>
      </c>
      <c r="M799" s="277"/>
      <c r="N799" s="282">
        <v>2</v>
      </c>
      <c r="O799" s="284" t="s">
        <v>4720</v>
      </c>
      <c r="P799" s="280">
        <v>3524.5</v>
      </c>
      <c r="Q799" s="281">
        <v>45399</v>
      </c>
      <c r="R799" s="272"/>
      <c r="S799" s="272"/>
      <c r="T799" s="272"/>
      <c r="U799" s="272"/>
      <c r="V799" s="272"/>
      <c r="W799" s="272"/>
      <c r="X799" s="272"/>
      <c r="Y799" s="272"/>
      <c r="Z799" s="272"/>
      <c r="AA799" s="272"/>
    </row>
    <row r="800" spans="1:27">
      <c r="A800" s="273">
        <v>6</v>
      </c>
      <c r="B800" s="274" t="s">
        <v>5836</v>
      </c>
      <c r="C800" s="289">
        <v>45398</v>
      </c>
      <c r="D800" s="274" t="s">
        <v>4714</v>
      </c>
      <c r="E800" s="268" t="s">
        <v>2869</v>
      </c>
      <c r="F800" s="268" t="s">
        <v>4715</v>
      </c>
      <c r="G800" s="268" t="s">
        <v>4716</v>
      </c>
      <c r="H800" s="268" t="str">
        <f t="shared" si="5"/>
        <v>MARÍA AGUSTINA SEVILLA GARCÍA</v>
      </c>
      <c r="I800" s="268" t="s">
        <v>4812</v>
      </c>
      <c r="J800" s="272" t="s">
        <v>4736</v>
      </c>
      <c r="K800" s="268" t="s">
        <v>5872</v>
      </c>
      <c r="L800" s="276">
        <v>45453</v>
      </c>
      <c r="M800" s="277"/>
      <c r="N800" s="282">
        <v>1</v>
      </c>
      <c r="O800" s="284" t="s">
        <v>4720</v>
      </c>
      <c r="P800" s="280">
        <v>2162.73</v>
      </c>
      <c r="Q800" s="281">
        <v>45398</v>
      </c>
      <c r="R800" s="272"/>
      <c r="S800" s="272"/>
      <c r="T800" s="272"/>
      <c r="U800" s="272"/>
      <c r="V800" s="272"/>
      <c r="W800" s="272"/>
      <c r="X800" s="272"/>
      <c r="Y800" s="272"/>
      <c r="Z800" s="272"/>
      <c r="AA800" s="272"/>
    </row>
    <row r="801" spans="1:27">
      <c r="A801" s="273">
        <v>6</v>
      </c>
      <c r="B801" s="274" t="s">
        <v>5836</v>
      </c>
      <c r="C801" s="289">
        <v>45376</v>
      </c>
      <c r="D801" s="274" t="s">
        <v>4714</v>
      </c>
      <c r="E801" s="268" t="s">
        <v>5873</v>
      </c>
      <c r="F801" s="268" t="s">
        <v>4715</v>
      </c>
      <c r="G801" s="268" t="s">
        <v>4716</v>
      </c>
      <c r="H801" s="268" t="str">
        <f t="shared" si="5"/>
        <v>GABRIEL MARTÍNEZ CAPOCCINI</v>
      </c>
      <c r="I801" s="268" t="s">
        <v>5332</v>
      </c>
      <c r="J801" s="278" t="s">
        <v>4790</v>
      </c>
      <c r="K801" s="268" t="s">
        <v>5874</v>
      </c>
      <c r="L801" s="276">
        <v>45453</v>
      </c>
      <c r="M801" s="283"/>
      <c r="N801" s="282">
        <v>2</v>
      </c>
      <c r="O801" s="284" t="s">
        <v>4792</v>
      </c>
      <c r="P801" s="280">
        <v>2627.27</v>
      </c>
      <c r="Q801" s="281">
        <v>45376</v>
      </c>
      <c r="R801" s="272"/>
      <c r="S801" s="272"/>
      <c r="T801" s="272"/>
      <c r="U801" s="272"/>
      <c r="V801" s="272"/>
      <c r="W801" s="272"/>
      <c r="X801" s="272"/>
      <c r="Y801" s="272"/>
      <c r="Z801" s="272"/>
      <c r="AA801" s="272"/>
    </row>
    <row r="802" spans="1:27">
      <c r="A802" s="273">
        <v>6</v>
      </c>
      <c r="B802" s="274" t="s">
        <v>5836</v>
      </c>
      <c r="C802" s="289">
        <v>45439</v>
      </c>
      <c r="D802" s="274" t="s">
        <v>4714</v>
      </c>
      <c r="E802" s="268" t="s">
        <v>2893</v>
      </c>
      <c r="F802" s="268" t="s">
        <v>4715</v>
      </c>
      <c r="G802" s="268" t="s">
        <v>4716</v>
      </c>
      <c r="H802" s="268" t="str">
        <f t="shared" si="5"/>
        <v>ALBERTO TAUSTE GÓMEZ</v>
      </c>
      <c r="I802" s="268" t="s">
        <v>5875</v>
      </c>
      <c r="J802" s="272" t="s">
        <v>4718</v>
      </c>
      <c r="K802" s="268" t="s">
        <v>5876</v>
      </c>
      <c r="L802" s="287">
        <v>45454</v>
      </c>
      <c r="M802" s="268"/>
      <c r="N802" s="282">
        <v>2</v>
      </c>
      <c r="O802" s="268" t="s">
        <v>4740</v>
      </c>
      <c r="P802" s="280">
        <v>4000</v>
      </c>
      <c r="Q802" s="310">
        <v>45439</v>
      </c>
      <c r="R802" s="272"/>
      <c r="S802" s="272"/>
      <c r="T802" s="272"/>
      <c r="U802" s="272"/>
      <c r="V802" s="272"/>
      <c r="W802" s="272"/>
      <c r="X802" s="272"/>
      <c r="Y802" s="272"/>
      <c r="Z802" s="272"/>
      <c r="AA802" s="272"/>
    </row>
    <row r="803" spans="1:27">
      <c r="A803" s="273">
        <v>6</v>
      </c>
      <c r="B803" s="274" t="s">
        <v>5836</v>
      </c>
      <c r="C803" s="289">
        <v>45429</v>
      </c>
      <c r="D803" s="274" t="s">
        <v>4714</v>
      </c>
      <c r="E803" s="268" t="s">
        <v>3605</v>
      </c>
      <c r="F803" s="268" t="s">
        <v>4715</v>
      </c>
      <c r="G803" s="268" t="s">
        <v>4716</v>
      </c>
      <c r="H803" s="268" t="str">
        <f t="shared" si="5"/>
        <v>IGNACIO ARISTEGUI TORRANO</v>
      </c>
      <c r="I803" s="268" t="s">
        <v>5567</v>
      </c>
      <c r="J803" s="272" t="s">
        <v>4718</v>
      </c>
      <c r="K803" s="268" t="s">
        <v>5877</v>
      </c>
      <c r="L803" s="276">
        <v>45454</v>
      </c>
      <c r="M803" s="283"/>
      <c r="N803" s="282">
        <v>2</v>
      </c>
      <c r="O803" s="284" t="s">
        <v>4723</v>
      </c>
      <c r="P803" s="280">
        <v>2888.18</v>
      </c>
      <c r="Q803" s="281">
        <v>45429</v>
      </c>
      <c r="R803" s="272"/>
      <c r="S803" s="272"/>
      <c r="T803" s="272"/>
      <c r="U803" s="272"/>
      <c r="V803" s="272"/>
      <c r="W803" s="272"/>
      <c r="X803" s="272"/>
      <c r="Y803" s="272"/>
      <c r="Z803" s="272"/>
      <c r="AA803" s="272"/>
    </row>
    <row r="804" spans="1:27">
      <c r="A804" s="273">
        <v>6</v>
      </c>
      <c r="B804" s="274" t="s">
        <v>5836</v>
      </c>
      <c r="C804" s="289">
        <v>45400</v>
      </c>
      <c r="D804" s="274" t="s">
        <v>4714</v>
      </c>
      <c r="E804" s="268" t="s">
        <v>5204</v>
      </c>
      <c r="F804" s="268" t="s">
        <v>4715</v>
      </c>
      <c r="G804" s="268" t="s">
        <v>4716</v>
      </c>
      <c r="H804" s="268" t="str">
        <f t="shared" si="5"/>
        <v>MIQUEL GUIRAO CANO</v>
      </c>
      <c r="I804" s="268" t="s">
        <v>5878</v>
      </c>
      <c r="J804" s="278" t="s">
        <v>4806</v>
      </c>
      <c r="K804" s="268" t="s">
        <v>5879</v>
      </c>
      <c r="L804" s="276">
        <v>45454</v>
      </c>
      <c r="M804" s="283"/>
      <c r="N804" s="282">
        <v>2</v>
      </c>
      <c r="O804" s="293" t="s">
        <v>4723</v>
      </c>
      <c r="P804" s="280">
        <v>2780.91</v>
      </c>
      <c r="Q804" s="281">
        <v>45400</v>
      </c>
      <c r="R804" s="272"/>
      <c r="S804" s="272"/>
      <c r="T804" s="272"/>
      <c r="U804" s="272"/>
      <c r="V804" s="272"/>
      <c r="W804" s="272"/>
      <c r="X804" s="272"/>
      <c r="Y804" s="272"/>
      <c r="Z804" s="272"/>
      <c r="AA804" s="272"/>
    </row>
    <row r="805" spans="1:27">
      <c r="A805" s="273">
        <v>6</v>
      </c>
      <c r="B805" s="274" t="s">
        <v>5836</v>
      </c>
      <c r="C805" s="289"/>
      <c r="D805" s="274" t="s">
        <v>4714</v>
      </c>
      <c r="E805" s="268" t="s">
        <v>2916</v>
      </c>
      <c r="F805" s="268" t="s">
        <v>4715</v>
      </c>
      <c r="G805" s="268" t="s">
        <v>4716</v>
      </c>
      <c r="H805" s="268" t="str">
        <f t="shared" si="5"/>
        <v>JESUS-MARIA GRASA PÉREZ</v>
      </c>
      <c r="I805" s="268" t="s">
        <v>4865</v>
      </c>
      <c r="J805" s="272" t="s">
        <v>4806</v>
      </c>
      <c r="K805" s="268" t="s">
        <v>5880</v>
      </c>
      <c r="L805" s="287">
        <v>45455</v>
      </c>
      <c r="M805" s="272"/>
      <c r="N805" s="282">
        <v>2</v>
      </c>
      <c r="O805" s="268" t="s">
        <v>4720</v>
      </c>
      <c r="P805" s="280">
        <v>3710</v>
      </c>
      <c r="Q805" s="310"/>
      <c r="R805" s="272"/>
      <c r="S805" s="272"/>
      <c r="T805" s="272"/>
      <c r="U805" s="272"/>
      <c r="V805" s="272"/>
      <c r="W805" s="272"/>
      <c r="X805" s="272"/>
      <c r="Y805" s="272"/>
      <c r="Z805" s="272"/>
      <c r="AA805" s="272"/>
    </row>
    <row r="806" spans="1:27">
      <c r="A806" s="273">
        <v>6</v>
      </c>
      <c r="B806" s="274" t="s">
        <v>5836</v>
      </c>
      <c r="C806" s="289">
        <v>45321</v>
      </c>
      <c r="D806" s="274" t="s">
        <v>4714</v>
      </c>
      <c r="E806" s="268" t="s">
        <v>2961</v>
      </c>
      <c r="F806" s="268" t="s">
        <v>4715</v>
      </c>
      <c r="G806" s="268" t="s">
        <v>4716</v>
      </c>
      <c r="H806" s="268" t="str">
        <f t="shared" si="5"/>
        <v>ANDRÉS BARRIOS RECIO</v>
      </c>
      <c r="I806" s="268" t="s">
        <v>5081</v>
      </c>
      <c r="J806" s="272" t="s">
        <v>4736</v>
      </c>
      <c r="K806" s="268" t="s">
        <v>5881</v>
      </c>
      <c r="L806" s="276">
        <v>45455</v>
      </c>
      <c r="M806" s="283"/>
      <c r="N806" s="282">
        <v>2</v>
      </c>
      <c r="O806" s="284" t="s">
        <v>4723</v>
      </c>
      <c r="P806" s="280">
        <v>2471.8200000000002</v>
      </c>
      <c r="Q806" s="281">
        <v>45321</v>
      </c>
      <c r="R806" s="272"/>
      <c r="S806" s="272"/>
      <c r="T806" s="272"/>
      <c r="U806" s="272"/>
      <c r="V806" s="272"/>
      <c r="W806" s="272"/>
      <c r="X806" s="272"/>
      <c r="Y806" s="272"/>
      <c r="Z806" s="272"/>
      <c r="AA806" s="272"/>
    </row>
    <row r="807" spans="1:27">
      <c r="A807" s="273">
        <v>6</v>
      </c>
      <c r="B807" s="274" t="s">
        <v>5836</v>
      </c>
      <c r="C807" s="289">
        <v>45399</v>
      </c>
      <c r="D807" s="274" t="s">
        <v>4714</v>
      </c>
      <c r="E807" s="268" t="s">
        <v>2921</v>
      </c>
      <c r="F807" s="268" t="s">
        <v>4715</v>
      </c>
      <c r="G807" s="268" t="s">
        <v>4716</v>
      </c>
      <c r="H807" s="268" t="str">
        <f t="shared" si="5"/>
        <v>MANUEL MATEOS FERNÁNDEZ</v>
      </c>
      <c r="I807" s="268" t="s">
        <v>5882</v>
      </c>
      <c r="J807" s="272" t="s">
        <v>4910</v>
      </c>
      <c r="K807" s="268" t="s">
        <v>5883</v>
      </c>
      <c r="L807" s="276">
        <v>45455</v>
      </c>
      <c r="M807" s="283"/>
      <c r="N807" s="282">
        <v>2</v>
      </c>
      <c r="O807" s="284" t="s">
        <v>4720</v>
      </c>
      <c r="P807" s="280">
        <v>3528.29</v>
      </c>
      <c r="Q807" s="281">
        <v>45399</v>
      </c>
      <c r="R807" s="272"/>
      <c r="S807" s="272"/>
      <c r="T807" s="272"/>
      <c r="U807" s="272"/>
      <c r="V807" s="272"/>
      <c r="W807" s="272"/>
      <c r="X807" s="272"/>
      <c r="Y807" s="272"/>
      <c r="Z807" s="272"/>
      <c r="AA807" s="272"/>
    </row>
    <row r="808" spans="1:27">
      <c r="A808" s="273">
        <v>6</v>
      </c>
      <c r="B808" s="274" t="s">
        <v>5836</v>
      </c>
      <c r="C808" s="289">
        <v>45429</v>
      </c>
      <c r="D808" s="274" t="s">
        <v>4714</v>
      </c>
      <c r="E808" s="268" t="s">
        <v>2880</v>
      </c>
      <c r="F808" s="268" t="s">
        <v>4715</v>
      </c>
      <c r="G808" s="268" t="s">
        <v>4716</v>
      </c>
      <c r="H808" s="268" t="str">
        <f t="shared" si="5"/>
        <v>IRENE MÁRMOL SZMOBATHY</v>
      </c>
      <c r="I808" s="268" t="s">
        <v>5884</v>
      </c>
      <c r="J808" s="272" t="s">
        <v>4718</v>
      </c>
      <c r="K808" s="268" t="s">
        <v>5885</v>
      </c>
      <c r="L808" s="287">
        <v>45456</v>
      </c>
      <c r="M808" s="268"/>
      <c r="N808" s="282">
        <v>2</v>
      </c>
      <c r="O808" s="268" t="s">
        <v>4787</v>
      </c>
      <c r="P808" s="280">
        <v>4400.13</v>
      </c>
      <c r="Q808" s="310">
        <v>45429</v>
      </c>
      <c r="R808" s="272"/>
      <c r="S808" s="272"/>
      <c r="T808" s="272"/>
      <c r="U808" s="272"/>
      <c r="V808" s="272"/>
      <c r="W808" s="272"/>
      <c r="X808" s="272"/>
      <c r="Y808" s="272"/>
      <c r="Z808" s="272"/>
      <c r="AA808" s="272"/>
    </row>
    <row r="809" spans="1:27">
      <c r="A809" s="273">
        <v>6</v>
      </c>
      <c r="B809" s="274" t="s">
        <v>5836</v>
      </c>
      <c r="C809" s="289">
        <v>45418</v>
      </c>
      <c r="D809" s="274" t="s">
        <v>4714</v>
      </c>
      <c r="E809" s="268" t="s">
        <v>4780</v>
      </c>
      <c r="F809" s="268" t="s">
        <v>4715</v>
      </c>
      <c r="G809" s="268" t="s">
        <v>4716</v>
      </c>
      <c r="H809" s="268" t="str">
        <f t="shared" si="5"/>
        <v>PEDRO BLANCO PÉREZ,</v>
      </c>
      <c r="I809" s="268" t="s">
        <v>4897</v>
      </c>
      <c r="J809" s="272" t="s">
        <v>4747</v>
      </c>
      <c r="K809" s="268" t="s">
        <v>5886</v>
      </c>
      <c r="L809" s="276">
        <v>45456</v>
      </c>
      <c r="M809" s="277"/>
      <c r="N809" s="282">
        <v>2</v>
      </c>
      <c r="O809" s="284" t="s">
        <v>4720</v>
      </c>
      <c r="P809" s="280">
        <v>3604.55</v>
      </c>
      <c r="Q809" s="281">
        <v>45418</v>
      </c>
      <c r="R809" s="272"/>
      <c r="S809" s="272"/>
      <c r="T809" s="272"/>
      <c r="U809" s="272"/>
      <c r="V809" s="272"/>
      <c r="W809" s="272"/>
      <c r="X809" s="272"/>
      <c r="Y809" s="272"/>
      <c r="Z809" s="272"/>
      <c r="AA809" s="272"/>
    </row>
    <row r="810" spans="1:27">
      <c r="A810" s="273">
        <v>6</v>
      </c>
      <c r="B810" s="274" t="s">
        <v>5836</v>
      </c>
      <c r="C810" s="289">
        <v>45441</v>
      </c>
      <c r="D810" s="274" t="s">
        <v>4714</v>
      </c>
      <c r="E810" s="268" t="s">
        <v>2886</v>
      </c>
      <c r="F810" s="268" t="s">
        <v>4715</v>
      </c>
      <c r="G810" s="268" t="s">
        <v>4716</v>
      </c>
      <c r="H810" s="268" t="str">
        <f t="shared" si="5"/>
        <v>RAÚL RUBIO YANGÜAS</v>
      </c>
      <c r="I810" s="268" t="s">
        <v>5151</v>
      </c>
      <c r="J810" s="272" t="s">
        <v>4718</v>
      </c>
      <c r="K810" s="268" t="s">
        <v>5887</v>
      </c>
      <c r="L810" s="276">
        <v>45456</v>
      </c>
      <c r="M810" s="277"/>
      <c r="N810" s="282">
        <v>2</v>
      </c>
      <c r="O810" s="284" t="s">
        <v>4740</v>
      </c>
      <c r="P810" s="280">
        <v>3800</v>
      </c>
      <c r="Q810" s="281">
        <v>45441</v>
      </c>
      <c r="R810" s="272"/>
      <c r="S810" s="272"/>
      <c r="T810" s="272"/>
      <c r="U810" s="272"/>
      <c r="V810" s="272"/>
      <c r="W810" s="272"/>
      <c r="X810" s="272"/>
      <c r="Y810" s="272"/>
      <c r="Z810" s="272"/>
      <c r="AA810" s="272"/>
    </row>
    <row r="811" spans="1:27">
      <c r="A811" s="273">
        <v>6</v>
      </c>
      <c r="B811" s="274" t="s">
        <v>5836</v>
      </c>
      <c r="C811" s="275">
        <v>45387</v>
      </c>
      <c r="D811" s="274" t="s">
        <v>4714</v>
      </c>
      <c r="E811" s="268" t="s">
        <v>4194</v>
      </c>
      <c r="F811" s="268" t="s">
        <v>4715</v>
      </c>
      <c r="G811" s="268" t="s">
        <v>4716</v>
      </c>
      <c r="H811" s="268" t="str">
        <f t="shared" si="5"/>
        <v>ISABEL MENACHES GUARDIOLA</v>
      </c>
      <c r="I811" s="268" t="s">
        <v>5528</v>
      </c>
      <c r="J811" s="272" t="s">
        <v>4736</v>
      </c>
      <c r="K811" s="268" t="s">
        <v>5888</v>
      </c>
      <c r="L811" s="302">
        <v>45457</v>
      </c>
      <c r="M811" s="268"/>
      <c r="N811" s="282">
        <v>2</v>
      </c>
      <c r="O811" s="268" t="s">
        <v>4720</v>
      </c>
      <c r="P811" s="280">
        <v>4075.45</v>
      </c>
      <c r="Q811" s="304">
        <v>45387</v>
      </c>
      <c r="R811" s="272"/>
      <c r="S811" s="272"/>
      <c r="T811" s="272"/>
      <c r="U811" s="272"/>
      <c r="V811" s="272"/>
      <c r="W811" s="272"/>
      <c r="X811" s="272"/>
      <c r="Y811" s="272"/>
      <c r="Z811" s="272"/>
      <c r="AA811" s="272"/>
    </row>
    <row r="812" spans="1:27">
      <c r="A812" s="273">
        <v>6</v>
      </c>
      <c r="B812" s="274" t="s">
        <v>5836</v>
      </c>
      <c r="C812" s="289">
        <v>45426</v>
      </c>
      <c r="D812" s="285" t="s">
        <v>4714</v>
      </c>
      <c r="E812" s="268" t="s">
        <v>2893</v>
      </c>
      <c r="F812" s="268" t="s">
        <v>4715</v>
      </c>
      <c r="G812" s="268" t="s">
        <v>4716</v>
      </c>
      <c r="H812" s="268" t="str">
        <f t="shared" si="5"/>
        <v>MAR LASSO DE LA VEGA ZAMORA</v>
      </c>
      <c r="I812" s="268" t="s">
        <v>5183</v>
      </c>
      <c r="J812" s="268" t="s">
        <v>4718</v>
      </c>
      <c r="K812" s="268" t="s">
        <v>5889</v>
      </c>
      <c r="L812" s="287">
        <v>45457</v>
      </c>
      <c r="M812" s="268"/>
      <c r="N812" s="282">
        <v>1</v>
      </c>
      <c r="O812" s="268" t="s">
        <v>4740</v>
      </c>
      <c r="P812" s="280">
        <v>2280</v>
      </c>
      <c r="Q812" s="310">
        <v>45426</v>
      </c>
      <c r="R812" s="272"/>
      <c r="S812" s="272"/>
      <c r="T812" s="272"/>
      <c r="U812" s="272"/>
      <c r="V812" s="272"/>
      <c r="W812" s="272"/>
      <c r="X812" s="272"/>
      <c r="Y812" s="272"/>
      <c r="Z812" s="272"/>
      <c r="AA812" s="272"/>
    </row>
    <row r="813" spans="1:27">
      <c r="A813" s="273">
        <v>6</v>
      </c>
      <c r="B813" s="274" t="s">
        <v>5836</v>
      </c>
      <c r="C813" s="289">
        <v>45113</v>
      </c>
      <c r="D813" s="274" t="s">
        <v>4714</v>
      </c>
      <c r="E813" s="268" t="s">
        <v>2893</v>
      </c>
      <c r="F813" s="268" t="s">
        <v>4715</v>
      </c>
      <c r="G813" s="268" t="s">
        <v>4716</v>
      </c>
      <c r="H813" s="268" t="str">
        <f t="shared" si="5"/>
        <v>ANA RUIZ FORNELLS NOREÑA</v>
      </c>
      <c r="I813" s="268" t="s">
        <v>5110</v>
      </c>
      <c r="J813" s="272" t="s">
        <v>4718</v>
      </c>
      <c r="K813" s="268" t="s">
        <v>5890</v>
      </c>
      <c r="L813" s="287">
        <v>45457</v>
      </c>
      <c r="M813" s="268"/>
      <c r="N813" s="282">
        <v>2</v>
      </c>
      <c r="O813" s="268" t="s">
        <v>4720</v>
      </c>
      <c r="P813" s="280">
        <v>3710</v>
      </c>
      <c r="Q813" s="310">
        <v>45113</v>
      </c>
      <c r="R813" s="272"/>
      <c r="S813" s="272"/>
      <c r="T813" s="272"/>
      <c r="U813" s="272"/>
      <c r="V813" s="272"/>
      <c r="W813" s="272"/>
      <c r="X813" s="272"/>
      <c r="Y813" s="272"/>
      <c r="Z813" s="272"/>
      <c r="AA813" s="272"/>
    </row>
    <row r="814" spans="1:27">
      <c r="A814" s="273">
        <v>6</v>
      </c>
      <c r="B814" s="274" t="s">
        <v>5836</v>
      </c>
      <c r="C814" s="289"/>
      <c r="D814" s="274" t="s">
        <v>4714</v>
      </c>
      <c r="E814" s="268" t="s">
        <v>3861</v>
      </c>
      <c r="F814" s="268" t="s">
        <v>4715</v>
      </c>
      <c r="G814" s="268" t="s">
        <v>4716</v>
      </c>
      <c r="H814" s="268" t="str">
        <f t="shared" si="5"/>
        <v>HELENA MORENO PARDO</v>
      </c>
      <c r="I814" s="268" t="s">
        <v>5619</v>
      </c>
      <c r="J814" s="272" t="s">
        <v>4718</v>
      </c>
      <c r="K814" s="268" t="s">
        <v>5891</v>
      </c>
      <c r="L814" s="276">
        <v>45457</v>
      </c>
      <c r="M814" s="283"/>
      <c r="N814" s="282">
        <v>2</v>
      </c>
      <c r="O814" s="284" t="s">
        <v>4787</v>
      </c>
      <c r="P814" s="280">
        <v>4400</v>
      </c>
      <c r="Q814" s="281"/>
      <c r="R814" s="272"/>
      <c r="S814" s="272"/>
      <c r="T814" s="272"/>
      <c r="U814" s="272"/>
      <c r="V814" s="272"/>
      <c r="W814" s="272"/>
      <c r="X814" s="272"/>
      <c r="Y814" s="272"/>
      <c r="Z814" s="272"/>
      <c r="AA814" s="272"/>
    </row>
    <row r="815" spans="1:27">
      <c r="A815" s="273">
        <v>6</v>
      </c>
      <c r="B815" s="274" t="s">
        <v>5836</v>
      </c>
      <c r="C815" s="289">
        <v>45432</v>
      </c>
      <c r="D815" s="274" t="s">
        <v>4714</v>
      </c>
      <c r="E815" s="268" t="s">
        <v>4837</v>
      </c>
      <c r="F815" s="268" t="s">
        <v>4715</v>
      </c>
      <c r="G815" s="268" t="s">
        <v>4716</v>
      </c>
      <c r="H815" s="268" t="str">
        <f t="shared" si="5"/>
        <v>MARÍA DEL MAR MARTÍNEZ RUIZ-COELLO</v>
      </c>
      <c r="I815" s="268" t="s">
        <v>5812</v>
      </c>
      <c r="J815" s="272" t="s">
        <v>4718</v>
      </c>
      <c r="K815" s="268" t="s">
        <v>5892</v>
      </c>
      <c r="L815" s="276">
        <v>45457</v>
      </c>
      <c r="M815" s="283"/>
      <c r="N815" s="282">
        <v>2</v>
      </c>
      <c r="O815" s="284" t="s">
        <v>5814</v>
      </c>
      <c r="P815" s="280">
        <v>3800</v>
      </c>
      <c r="Q815" s="281">
        <v>45432</v>
      </c>
      <c r="R815" s="272"/>
      <c r="S815" s="272"/>
      <c r="T815" s="272"/>
      <c r="U815" s="272"/>
      <c r="V815" s="272"/>
      <c r="W815" s="272"/>
      <c r="X815" s="272"/>
      <c r="Y815" s="272"/>
      <c r="Z815" s="272"/>
      <c r="AA815" s="272"/>
    </row>
    <row r="816" spans="1:27">
      <c r="A816" s="273">
        <v>6</v>
      </c>
      <c r="B816" s="274" t="s">
        <v>5836</v>
      </c>
      <c r="C816" s="289">
        <v>45421</v>
      </c>
      <c r="D816" s="274" t="s">
        <v>4714</v>
      </c>
      <c r="E816" s="268" t="s">
        <v>2880</v>
      </c>
      <c r="F816" s="268" t="s">
        <v>4715</v>
      </c>
      <c r="G816" s="268" t="s">
        <v>4716</v>
      </c>
      <c r="H816" s="268" t="str">
        <f t="shared" si="5"/>
        <v>MARTA MORATO GALÁN</v>
      </c>
      <c r="I816" s="268" t="s">
        <v>5893</v>
      </c>
      <c r="J816" s="268" t="s">
        <v>4718</v>
      </c>
      <c r="K816" s="268" t="s">
        <v>5894</v>
      </c>
      <c r="L816" s="302">
        <v>45460</v>
      </c>
      <c r="M816" s="268"/>
      <c r="N816" s="282">
        <v>2</v>
      </c>
      <c r="O816" s="268" t="s">
        <v>4720</v>
      </c>
      <c r="P816" s="280">
        <v>3710</v>
      </c>
      <c r="Q816" s="310">
        <v>45421</v>
      </c>
      <c r="R816" s="272"/>
      <c r="S816" s="272"/>
      <c r="T816" s="272"/>
      <c r="U816" s="272"/>
      <c r="V816" s="272"/>
      <c r="W816" s="272"/>
      <c r="X816" s="272"/>
      <c r="Y816" s="272"/>
      <c r="Z816" s="272"/>
      <c r="AA816" s="272"/>
    </row>
    <row r="817" spans="1:27">
      <c r="A817" s="273">
        <v>6</v>
      </c>
      <c r="B817" s="274" t="s">
        <v>5836</v>
      </c>
      <c r="C817" s="289">
        <v>45406</v>
      </c>
      <c r="D817" s="274" t="s">
        <v>4714</v>
      </c>
      <c r="E817" s="268" t="s">
        <v>3043</v>
      </c>
      <c r="F817" s="268" t="s">
        <v>4715</v>
      </c>
      <c r="G817" s="268" t="s">
        <v>4716</v>
      </c>
      <c r="H817" s="268" t="str">
        <f t="shared" si="5"/>
        <v>ANTONIO BUENO RÍOS</v>
      </c>
      <c r="I817" s="268" t="s">
        <v>4793</v>
      </c>
      <c r="J817" s="272" t="s">
        <v>4822</v>
      </c>
      <c r="K817" s="268" t="s">
        <v>5895</v>
      </c>
      <c r="L817" s="276">
        <v>45460</v>
      </c>
      <c r="M817" s="277"/>
      <c r="N817" s="282">
        <v>2</v>
      </c>
      <c r="O817" s="284" t="s">
        <v>4740</v>
      </c>
      <c r="P817" s="280">
        <v>3800</v>
      </c>
      <c r="Q817" s="281">
        <v>45406</v>
      </c>
      <c r="R817" s="272"/>
      <c r="S817" s="272"/>
      <c r="T817" s="272"/>
      <c r="U817" s="272"/>
      <c r="V817" s="272"/>
      <c r="W817" s="272"/>
      <c r="X817" s="272"/>
      <c r="Y817" s="272"/>
      <c r="Z817" s="272"/>
      <c r="AA817" s="272"/>
    </row>
    <row r="818" spans="1:27">
      <c r="A818" s="273">
        <v>6</v>
      </c>
      <c r="B818" s="274" t="s">
        <v>5836</v>
      </c>
      <c r="C818" s="289">
        <v>45432</v>
      </c>
      <c r="D818" s="274" t="s">
        <v>4714</v>
      </c>
      <c r="E818" s="268" t="s">
        <v>4892</v>
      </c>
      <c r="F818" s="268" t="s">
        <v>4715</v>
      </c>
      <c r="G818" s="268" t="s">
        <v>4716</v>
      </c>
      <c r="H818" s="268" t="str">
        <f t="shared" si="5"/>
        <v>IGNACIO SIERRA ARBIDE</v>
      </c>
      <c r="I818" s="268" t="s">
        <v>5162</v>
      </c>
      <c r="J818" s="268" t="s">
        <v>4822</v>
      </c>
      <c r="K818" s="268" t="s">
        <v>5896</v>
      </c>
      <c r="L818" s="276">
        <v>45460</v>
      </c>
      <c r="M818" s="277"/>
      <c r="N818" s="282">
        <v>1</v>
      </c>
      <c r="O818" s="284" t="s">
        <v>4740</v>
      </c>
      <c r="P818" s="280">
        <v>2400</v>
      </c>
      <c r="Q818" s="281">
        <v>45432</v>
      </c>
      <c r="R818" s="272"/>
      <c r="S818" s="272"/>
      <c r="T818" s="272"/>
      <c r="U818" s="272"/>
      <c r="V818" s="272"/>
      <c r="W818" s="272"/>
      <c r="X818" s="272"/>
      <c r="Y818" s="272"/>
      <c r="Z818" s="272"/>
      <c r="AA818" s="272"/>
    </row>
    <row r="819" spans="1:27">
      <c r="A819" s="273">
        <v>6</v>
      </c>
      <c r="B819" s="274" t="s">
        <v>5836</v>
      </c>
      <c r="C819" s="289">
        <v>45405</v>
      </c>
      <c r="D819" s="274" t="s">
        <v>4714</v>
      </c>
      <c r="E819" s="268" t="s">
        <v>2869</v>
      </c>
      <c r="F819" s="268" t="s">
        <v>4715</v>
      </c>
      <c r="G819" s="268" t="s">
        <v>4716</v>
      </c>
      <c r="H819" s="268" t="str">
        <f t="shared" si="5"/>
        <v>ENRIQUE VIVIENTE RODRÍGUEZ</v>
      </c>
      <c r="I819" s="268" t="s">
        <v>5118</v>
      </c>
      <c r="J819" s="272" t="s">
        <v>4736</v>
      </c>
      <c r="K819" s="268" t="s">
        <v>5897</v>
      </c>
      <c r="L819" s="276">
        <v>45460</v>
      </c>
      <c r="M819" s="277"/>
      <c r="N819" s="282">
        <v>2</v>
      </c>
      <c r="O819" s="284" t="s">
        <v>4740</v>
      </c>
      <c r="P819" s="280">
        <v>4000</v>
      </c>
      <c r="Q819" s="281">
        <v>45405</v>
      </c>
      <c r="R819" s="272"/>
      <c r="S819" s="272"/>
      <c r="T819" s="272"/>
      <c r="U819" s="272"/>
      <c r="V819" s="272"/>
      <c r="W819" s="272"/>
      <c r="X819" s="272"/>
      <c r="Y819" s="272"/>
      <c r="Z819" s="272"/>
      <c r="AA819" s="272"/>
    </row>
    <row r="820" spans="1:27">
      <c r="A820" s="273">
        <v>6</v>
      </c>
      <c r="B820" s="274" t="s">
        <v>5836</v>
      </c>
      <c r="C820" s="289">
        <v>45425</v>
      </c>
      <c r="D820" s="274" t="s">
        <v>4714</v>
      </c>
      <c r="E820" s="268" t="s">
        <v>2900</v>
      </c>
      <c r="F820" s="268" t="s">
        <v>4715</v>
      </c>
      <c r="G820" s="268" t="s">
        <v>4716</v>
      </c>
      <c r="H820" s="268" t="str">
        <f t="shared" si="5"/>
        <v>MARÍA REY MARCOS</v>
      </c>
      <c r="I820" s="268" t="s">
        <v>4952</v>
      </c>
      <c r="J820" s="268" t="s">
        <v>4790</v>
      </c>
      <c r="K820" s="268" t="s">
        <v>5898</v>
      </c>
      <c r="L820" s="276">
        <v>45460</v>
      </c>
      <c r="M820" s="277"/>
      <c r="N820" s="282">
        <v>1</v>
      </c>
      <c r="O820" s="284" t="s">
        <v>4740</v>
      </c>
      <c r="P820" s="280">
        <v>2400</v>
      </c>
      <c r="Q820" s="281">
        <v>45425</v>
      </c>
      <c r="R820" s="272"/>
      <c r="S820" s="272"/>
      <c r="T820" s="272"/>
      <c r="U820" s="272"/>
      <c r="V820" s="272"/>
      <c r="W820" s="272"/>
      <c r="X820" s="272"/>
      <c r="Y820" s="272"/>
      <c r="Z820" s="272"/>
      <c r="AA820" s="272"/>
    </row>
    <row r="821" spans="1:27">
      <c r="A821" s="273">
        <v>6</v>
      </c>
      <c r="B821" s="274" t="s">
        <v>5836</v>
      </c>
      <c r="C821" s="275">
        <v>45415</v>
      </c>
      <c r="D821" s="274" t="s">
        <v>4714</v>
      </c>
      <c r="E821" s="268" t="s">
        <v>4203</v>
      </c>
      <c r="F821" s="268" t="s">
        <v>4715</v>
      </c>
      <c r="G821" s="268" t="s">
        <v>4716</v>
      </c>
      <c r="H821" s="268" t="str">
        <f t="shared" si="5"/>
        <v>MANUEL GÓMEZ FIÑANA</v>
      </c>
      <c r="I821" s="268" t="s">
        <v>5899</v>
      </c>
      <c r="J821" s="272" t="s">
        <v>4736</v>
      </c>
      <c r="K821" s="268" t="s">
        <v>5900</v>
      </c>
      <c r="L821" s="302">
        <v>45461</v>
      </c>
      <c r="M821" s="272"/>
      <c r="N821" s="282">
        <v>2</v>
      </c>
      <c r="O821" s="268" t="s">
        <v>4720</v>
      </c>
      <c r="P821" s="280">
        <v>3710</v>
      </c>
      <c r="Q821" s="303">
        <v>45415</v>
      </c>
      <c r="R821" s="272"/>
      <c r="S821" s="272"/>
      <c r="T821" s="272"/>
      <c r="U821" s="272"/>
      <c r="V821" s="272"/>
      <c r="W821" s="272"/>
      <c r="X821" s="272"/>
      <c r="Y821" s="272"/>
      <c r="Z821" s="272"/>
      <c r="AA821" s="272"/>
    </row>
    <row r="822" spans="1:27">
      <c r="A822" s="273">
        <v>6</v>
      </c>
      <c r="B822" s="274" t="s">
        <v>5836</v>
      </c>
      <c r="C822" s="275">
        <v>45450</v>
      </c>
      <c r="D822" s="274" t="s">
        <v>4714</v>
      </c>
      <c r="E822" s="268" t="s">
        <v>2909</v>
      </c>
      <c r="F822" s="268" t="s">
        <v>4715</v>
      </c>
      <c r="G822" s="268" t="s">
        <v>4716</v>
      </c>
      <c r="H822" s="268" t="str">
        <f t="shared" si="5"/>
        <v>DOLORES ROMERO PANADRRO</v>
      </c>
      <c r="I822" s="268" t="s">
        <v>5262</v>
      </c>
      <c r="J822" s="272" t="s">
        <v>4806</v>
      </c>
      <c r="K822" s="268" t="s">
        <v>5901</v>
      </c>
      <c r="L822" s="302">
        <v>45461</v>
      </c>
      <c r="M822" s="272"/>
      <c r="N822" s="282">
        <v>1</v>
      </c>
      <c r="O822" s="268" t="s">
        <v>4787</v>
      </c>
      <c r="P822" s="280">
        <v>2640</v>
      </c>
      <c r="Q822" s="304">
        <v>45450</v>
      </c>
      <c r="R822" s="272"/>
      <c r="S822" s="272"/>
      <c r="T822" s="272"/>
      <c r="U822" s="272"/>
      <c r="V822" s="272"/>
      <c r="W822" s="272"/>
      <c r="X822" s="272"/>
      <c r="Y822" s="272"/>
      <c r="Z822" s="272"/>
      <c r="AA822" s="272"/>
    </row>
    <row r="823" spans="1:27">
      <c r="A823" s="273">
        <v>6</v>
      </c>
      <c r="B823" s="274" t="s">
        <v>5836</v>
      </c>
      <c r="C823" s="275">
        <v>45454</v>
      </c>
      <c r="D823" s="274" t="s">
        <v>4714</v>
      </c>
      <c r="E823" s="268" t="s">
        <v>4981</v>
      </c>
      <c r="F823" s="268" t="s">
        <v>4715</v>
      </c>
      <c r="G823" s="268" t="s">
        <v>4716</v>
      </c>
      <c r="H823" s="268" t="str">
        <f t="shared" si="5"/>
        <v>NO REUERDA ORL</v>
      </c>
      <c r="I823" s="268" t="s">
        <v>4743</v>
      </c>
      <c r="J823" s="272" t="s">
        <v>4736</v>
      </c>
      <c r="K823" s="268" t="s">
        <v>5902</v>
      </c>
      <c r="L823" s="302">
        <v>45461</v>
      </c>
      <c r="M823" s="272"/>
      <c r="N823" s="282">
        <v>1</v>
      </c>
      <c r="O823" s="268" t="s">
        <v>4720</v>
      </c>
      <c r="P823" s="280">
        <v>1406.73</v>
      </c>
      <c r="Q823" s="303">
        <v>45454</v>
      </c>
      <c r="R823" s="272"/>
      <c r="S823" s="272"/>
      <c r="T823" s="272"/>
      <c r="U823" s="272"/>
      <c r="V823" s="272"/>
      <c r="W823" s="272"/>
      <c r="X823" s="272"/>
      <c r="Y823" s="272"/>
      <c r="Z823" s="272"/>
      <c r="AA823" s="272"/>
    </row>
    <row r="824" spans="1:27">
      <c r="A824" s="273">
        <v>6</v>
      </c>
      <c r="B824" s="274" t="s">
        <v>5836</v>
      </c>
      <c r="C824" s="289">
        <v>45044</v>
      </c>
      <c r="D824" s="274" t="s">
        <v>4714</v>
      </c>
      <c r="E824" s="268" t="s">
        <v>2880</v>
      </c>
      <c r="F824" s="268" t="s">
        <v>4715</v>
      </c>
      <c r="G824" s="268" t="s">
        <v>4716</v>
      </c>
      <c r="H824" s="268" t="str">
        <f t="shared" si="5"/>
        <v>ANTONIO RODRÍGUEZ RIVERO</v>
      </c>
      <c r="I824" s="268" t="s">
        <v>4717</v>
      </c>
      <c r="J824" s="272" t="s">
        <v>4718</v>
      </c>
      <c r="K824" s="268" t="s">
        <v>5903</v>
      </c>
      <c r="L824" s="302">
        <v>45461</v>
      </c>
      <c r="M824" s="268"/>
      <c r="N824" s="282">
        <v>2</v>
      </c>
      <c r="O824" s="268" t="s">
        <v>4787</v>
      </c>
      <c r="P824" s="280">
        <v>3694.19</v>
      </c>
      <c r="Q824" s="310">
        <v>45044</v>
      </c>
      <c r="R824" s="272"/>
      <c r="S824" s="272"/>
      <c r="T824" s="272"/>
      <c r="U824" s="272"/>
      <c r="V824" s="272"/>
      <c r="W824" s="272"/>
      <c r="X824" s="272"/>
      <c r="Y824" s="272"/>
      <c r="Z824" s="272"/>
      <c r="AA824" s="272"/>
    </row>
    <row r="825" spans="1:27">
      <c r="A825" s="273">
        <v>6</v>
      </c>
      <c r="B825" s="274" t="s">
        <v>5836</v>
      </c>
      <c r="C825" s="289">
        <v>45443</v>
      </c>
      <c r="D825" s="274" t="s">
        <v>4714</v>
      </c>
      <c r="E825" s="268" t="s">
        <v>4775</v>
      </c>
      <c r="F825" s="268" t="s">
        <v>4715</v>
      </c>
      <c r="G825" s="268" t="s">
        <v>4716</v>
      </c>
      <c r="H825" s="268" t="str">
        <f t="shared" si="5"/>
        <v>ESTRELLA GÓMEZ TOMÉ</v>
      </c>
      <c r="I825" s="268" t="s">
        <v>5904</v>
      </c>
      <c r="J825" s="272" t="s">
        <v>4822</v>
      </c>
      <c r="K825" s="268" t="s">
        <v>5905</v>
      </c>
      <c r="L825" s="276">
        <v>45461</v>
      </c>
      <c r="M825" s="277"/>
      <c r="N825" s="282">
        <v>2</v>
      </c>
      <c r="O825" s="284" t="s">
        <v>4740</v>
      </c>
      <c r="P825" s="280">
        <v>4000</v>
      </c>
      <c r="Q825" s="281">
        <v>45443</v>
      </c>
      <c r="R825" s="272"/>
      <c r="S825" s="272"/>
      <c r="T825" s="272"/>
      <c r="U825" s="272"/>
      <c r="V825" s="272"/>
      <c r="W825" s="272"/>
      <c r="X825" s="272"/>
      <c r="Y825" s="272"/>
      <c r="Z825" s="272"/>
      <c r="AA825" s="272"/>
    </row>
    <row r="826" spans="1:27">
      <c r="A826" s="273">
        <v>6</v>
      </c>
      <c r="B826" s="274" t="s">
        <v>5836</v>
      </c>
      <c r="C826" s="289"/>
      <c r="D826" s="274" t="s">
        <v>4714</v>
      </c>
      <c r="E826" s="268" t="s">
        <v>3861</v>
      </c>
      <c r="F826" s="268" t="s">
        <v>4715</v>
      </c>
      <c r="G826" s="268" t="s">
        <v>4716</v>
      </c>
      <c r="H826" s="268" t="str">
        <f t="shared" si="5"/>
        <v>JOSÉ GUSTAVO BARROSO BRAOJOS</v>
      </c>
      <c r="I826" s="268" t="s">
        <v>4834</v>
      </c>
      <c r="J826" s="272" t="s">
        <v>4718</v>
      </c>
      <c r="K826" s="268" t="s">
        <v>5906</v>
      </c>
      <c r="L826" s="276">
        <v>45461</v>
      </c>
      <c r="M826" s="277"/>
      <c r="N826" s="282">
        <v>2</v>
      </c>
      <c r="O826" s="284" t="s">
        <v>5814</v>
      </c>
      <c r="P826" s="280">
        <v>4000</v>
      </c>
      <c r="Q826" s="281"/>
      <c r="R826" s="272"/>
      <c r="S826" s="272"/>
      <c r="T826" s="272"/>
      <c r="U826" s="272"/>
      <c r="V826" s="272"/>
      <c r="W826" s="272"/>
      <c r="X826" s="272"/>
      <c r="Y826" s="272"/>
      <c r="Z826" s="272"/>
      <c r="AA826" s="272"/>
    </row>
    <row r="827" spans="1:27">
      <c r="A827" s="273">
        <v>6</v>
      </c>
      <c r="B827" s="274" t="s">
        <v>5836</v>
      </c>
      <c r="C827" s="289">
        <v>45435</v>
      </c>
      <c r="D827" s="274" t="s">
        <v>4714</v>
      </c>
      <c r="E827" s="268" t="s">
        <v>4892</v>
      </c>
      <c r="F827" s="268" t="s">
        <v>4715</v>
      </c>
      <c r="G827" s="268" t="s">
        <v>4716</v>
      </c>
      <c r="H827" s="268" t="str">
        <f t="shared" si="5"/>
        <v>LAURA GARRIDO GARCÍA</v>
      </c>
      <c r="I827" s="268" t="s">
        <v>5196</v>
      </c>
      <c r="J827" s="272" t="s">
        <v>4718</v>
      </c>
      <c r="K827" s="268" t="s">
        <v>5907</v>
      </c>
      <c r="L827" s="276">
        <v>45461</v>
      </c>
      <c r="M827" s="283"/>
      <c r="N827" s="282">
        <v>2</v>
      </c>
      <c r="O827" s="284" t="s">
        <v>4740</v>
      </c>
      <c r="P827" s="280">
        <v>4000</v>
      </c>
      <c r="Q827" s="281">
        <v>45435</v>
      </c>
      <c r="R827" s="272"/>
      <c r="S827" s="272"/>
      <c r="T827" s="272"/>
      <c r="U827" s="272"/>
      <c r="V827" s="272"/>
      <c r="W827" s="272"/>
      <c r="X827" s="272"/>
      <c r="Y827" s="272"/>
      <c r="Z827" s="272"/>
      <c r="AA827" s="272"/>
    </row>
    <row r="828" spans="1:27">
      <c r="A828" s="273">
        <v>6</v>
      </c>
      <c r="B828" s="274" t="s">
        <v>5836</v>
      </c>
      <c r="C828" s="289">
        <v>45426</v>
      </c>
      <c r="D828" s="274" t="s">
        <v>4714</v>
      </c>
      <c r="E828" s="268" t="s">
        <v>2873</v>
      </c>
      <c r="F828" s="268" t="s">
        <v>4715</v>
      </c>
      <c r="G828" s="268" t="s">
        <v>4716</v>
      </c>
      <c r="H828" s="268" t="str">
        <f t="shared" si="5"/>
        <v>JOSÉ GARCÍA MORILLAS</v>
      </c>
      <c r="I828" s="268" t="s">
        <v>5249</v>
      </c>
      <c r="J828" s="272" t="s">
        <v>4736</v>
      </c>
      <c r="K828" s="268" t="s">
        <v>5908</v>
      </c>
      <c r="L828" s="276">
        <v>45461</v>
      </c>
      <c r="M828" s="277"/>
      <c r="N828" s="282">
        <v>2</v>
      </c>
      <c r="O828" s="284" t="s">
        <v>4720</v>
      </c>
      <c r="P828" s="280">
        <v>3710</v>
      </c>
      <c r="Q828" s="281">
        <v>45426</v>
      </c>
      <c r="R828" s="272"/>
      <c r="S828" s="272"/>
      <c r="T828" s="272"/>
      <c r="U828" s="272"/>
      <c r="V828" s="272"/>
      <c r="W828" s="272"/>
      <c r="X828" s="272"/>
      <c r="Y828" s="272"/>
      <c r="Z828" s="272"/>
      <c r="AA828" s="272"/>
    </row>
    <row r="829" spans="1:27">
      <c r="A829" s="273">
        <v>6</v>
      </c>
      <c r="B829" s="274" t="s">
        <v>5836</v>
      </c>
      <c r="C829" s="289">
        <v>45401</v>
      </c>
      <c r="D829" s="274" t="s">
        <v>4714</v>
      </c>
      <c r="E829" s="268" t="s">
        <v>5909</v>
      </c>
      <c r="F829" s="268" t="s">
        <v>4715</v>
      </c>
      <c r="G829" s="268" t="s">
        <v>4716</v>
      </c>
      <c r="H829" s="268" t="str">
        <f t="shared" si="5"/>
        <v>NO REUERDA ORL</v>
      </c>
      <c r="I829" s="268" t="s">
        <v>4743</v>
      </c>
      <c r="J829" s="272" t="s">
        <v>4822</v>
      </c>
      <c r="K829" s="268" t="s">
        <v>5910</v>
      </c>
      <c r="L829" s="276">
        <v>45461</v>
      </c>
      <c r="M829" s="283"/>
      <c r="N829" s="282">
        <v>1</v>
      </c>
      <c r="O829" s="284" t="s">
        <v>4787</v>
      </c>
      <c r="P829" s="280">
        <v>1909.09</v>
      </c>
      <c r="Q829" s="281">
        <v>45401</v>
      </c>
      <c r="R829" s="272"/>
      <c r="S829" s="272"/>
      <c r="T829" s="272"/>
      <c r="U829" s="272"/>
      <c r="V829" s="272"/>
      <c r="W829" s="272"/>
      <c r="X829" s="272"/>
      <c r="Y829" s="272"/>
      <c r="Z829" s="272"/>
      <c r="AA829" s="272"/>
    </row>
    <row r="830" spans="1:27">
      <c r="A830" s="273">
        <v>6</v>
      </c>
      <c r="B830" s="274" t="s">
        <v>5836</v>
      </c>
      <c r="C830" s="289">
        <v>45436</v>
      </c>
      <c r="D830" s="274" t="s">
        <v>4714</v>
      </c>
      <c r="E830" s="268" t="s">
        <v>5225</v>
      </c>
      <c r="F830" s="268" t="s">
        <v>4715</v>
      </c>
      <c r="G830" s="268" t="s">
        <v>4716</v>
      </c>
      <c r="H830" s="268" t="str">
        <f t="shared" si="5"/>
        <v>GABRIEL MARTÍNEZ CAPOCCINI</v>
      </c>
      <c r="I830" s="268" t="s">
        <v>5332</v>
      </c>
      <c r="J830" s="272" t="s">
        <v>4790</v>
      </c>
      <c r="K830" s="268" t="s">
        <v>5911</v>
      </c>
      <c r="L830" s="276">
        <v>45461</v>
      </c>
      <c r="M830" s="277"/>
      <c r="N830" s="282">
        <v>2</v>
      </c>
      <c r="O830" s="284" t="s">
        <v>4723</v>
      </c>
      <c r="P830" s="280">
        <v>2888.18</v>
      </c>
      <c r="Q830" s="281">
        <v>45436</v>
      </c>
      <c r="R830" s="272"/>
      <c r="S830" s="272"/>
      <c r="T830" s="272"/>
      <c r="U830" s="272"/>
      <c r="V830" s="272"/>
      <c r="W830" s="272"/>
      <c r="X830" s="272"/>
      <c r="Y830" s="272"/>
      <c r="Z830" s="272"/>
      <c r="AA830" s="272"/>
    </row>
    <row r="831" spans="1:27">
      <c r="A831" s="273">
        <v>6</v>
      </c>
      <c r="B831" s="274" t="s">
        <v>5836</v>
      </c>
      <c r="C831" s="289">
        <v>45448</v>
      </c>
      <c r="D831" s="285" t="s">
        <v>4714</v>
      </c>
      <c r="E831" s="268" t="s">
        <v>4799</v>
      </c>
      <c r="F831" s="268" t="s">
        <v>4715</v>
      </c>
      <c r="G831" s="268" t="s">
        <v>4716</v>
      </c>
      <c r="H831" s="268" t="str">
        <f t="shared" si="5"/>
        <v>DARÁ SÁNCHEZ RUIZ</v>
      </c>
      <c r="I831" s="268" t="s">
        <v>5912</v>
      </c>
      <c r="J831" s="268" t="s">
        <v>4790</v>
      </c>
      <c r="K831" s="268" t="s">
        <v>5913</v>
      </c>
      <c r="L831" s="276">
        <v>45461</v>
      </c>
      <c r="M831" s="283"/>
      <c r="N831" s="282">
        <v>2</v>
      </c>
      <c r="O831" s="284" t="s">
        <v>4720</v>
      </c>
      <c r="P831" s="280">
        <v>3436.36</v>
      </c>
      <c r="Q831" s="281">
        <v>45448</v>
      </c>
      <c r="R831" s="272"/>
      <c r="S831" s="272"/>
      <c r="T831" s="272"/>
      <c r="U831" s="272"/>
      <c r="V831" s="272"/>
      <c r="W831" s="272"/>
      <c r="X831" s="272"/>
      <c r="Y831" s="272"/>
      <c r="Z831" s="272"/>
      <c r="AA831" s="272"/>
    </row>
    <row r="832" spans="1:27">
      <c r="A832" s="273">
        <v>6</v>
      </c>
      <c r="B832" s="274" t="s">
        <v>5836</v>
      </c>
      <c r="C832" s="289">
        <v>45439</v>
      </c>
      <c r="D832" s="274" t="s">
        <v>4714</v>
      </c>
      <c r="E832" s="268" t="s">
        <v>4799</v>
      </c>
      <c r="F832" s="268" t="s">
        <v>4715</v>
      </c>
      <c r="G832" s="268" t="s">
        <v>4716</v>
      </c>
      <c r="H832" s="268" t="str">
        <f t="shared" si="5"/>
        <v>DARÁ SÁNCHEZ RUIZ</v>
      </c>
      <c r="I832" s="268" t="s">
        <v>5912</v>
      </c>
      <c r="J832" s="278" t="s">
        <v>4790</v>
      </c>
      <c r="K832" s="268" t="s">
        <v>5914</v>
      </c>
      <c r="L832" s="276">
        <v>45461</v>
      </c>
      <c r="M832" s="283"/>
      <c r="N832" s="282">
        <v>2</v>
      </c>
      <c r="O832" s="311" t="s">
        <v>4720</v>
      </c>
      <c r="P832" s="280">
        <v>3634.62</v>
      </c>
      <c r="Q832" s="281">
        <v>45439</v>
      </c>
      <c r="R832" s="272"/>
      <c r="S832" s="272"/>
      <c r="T832" s="272"/>
      <c r="U832" s="272"/>
      <c r="V832" s="272"/>
      <c r="W832" s="272"/>
      <c r="X832" s="272"/>
      <c r="Y832" s="272"/>
      <c r="Z832" s="272"/>
      <c r="AA832" s="272"/>
    </row>
    <row r="833" spans="1:27">
      <c r="A833" s="273">
        <v>6</v>
      </c>
      <c r="B833" s="274" t="s">
        <v>5836</v>
      </c>
      <c r="C833" s="275"/>
      <c r="D833" s="274" t="s">
        <v>4714</v>
      </c>
      <c r="E833" s="268" t="s">
        <v>4194</v>
      </c>
      <c r="F833" s="268" t="s">
        <v>4715</v>
      </c>
      <c r="G833" s="268" t="s">
        <v>4716</v>
      </c>
      <c r="H833" s="268" t="str">
        <f t="shared" si="5"/>
        <v>GUILLERMO SEVERÁ FERRANDIZ</v>
      </c>
      <c r="I833" s="268" t="s">
        <v>5190</v>
      </c>
      <c r="J833" s="272" t="s">
        <v>4736</v>
      </c>
      <c r="K833" s="268" t="s">
        <v>5915</v>
      </c>
      <c r="L833" s="276">
        <v>45462</v>
      </c>
      <c r="M833" s="272"/>
      <c r="N833" s="282">
        <v>2</v>
      </c>
      <c r="O833" s="268" t="s">
        <v>4720</v>
      </c>
      <c r="P833" s="280">
        <v>3710</v>
      </c>
      <c r="Q833" s="303"/>
      <c r="R833" s="272"/>
      <c r="S833" s="272"/>
      <c r="T833" s="272"/>
      <c r="U833" s="272"/>
      <c r="V833" s="272"/>
      <c r="W833" s="272"/>
      <c r="X833" s="272"/>
      <c r="Y833" s="272"/>
      <c r="Z833" s="272"/>
      <c r="AA833" s="272"/>
    </row>
    <row r="834" spans="1:27">
      <c r="A834" s="273">
        <v>6</v>
      </c>
      <c r="B834" s="274" t="s">
        <v>5836</v>
      </c>
      <c r="C834" s="289">
        <v>45446</v>
      </c>
      <c r="D834" s="274" t="s">
        <v>4714</v>
      </c>
      <c r="E834" s="268" t="s">
        <v>2880</v>
      </c>
      <c r="F834" s="268" t="s">
        <v>4715</v>
      </c>
      <c r="G834" s="268" t="s">
        <v>4716</v>
      </c>
      <c r="H834" s="268" t="str">
        <f t="shared" si="5"/>
        <v>ANTONIO RODRÍGUEZ RIVERO</v>
      </c>
      <c r="I834" s="268" t="s">
        <v>4717</v>
      </c>
      <c r="J834" s="272" t="s">
        <v>4718</v>
      </c>
      <c r="K834" s="268" t="s">
        <v>5916</v>
      </c>
      <c r="L834" s="302">
        <v>45462</v>
      </c>
      <c r="M834" s="268"/>
      <c r="N834" s="282">
        <v>2</v>
      </c>
      <c r="O834" s="268" t="s">
        <v>4720</v>
      </c>
      <c r="P834" s="280">
        <v>3710</v>
      </c>
      <c r="Q834" s="310">
        <v>45446</v>
      </c>
      <c r="R834" s="272"/>
      <c r="S834" s="272"/>
      <c r="T834" s="272"/>
      <c r="U834" s="272"/>
      <c r="V834" s="272"/>
      <c r="W834" s="272"/>
      <c r="X834" s="272"/>
      <c r="Y834" s="272"/>
      <c r="Z834" s="272"/>
      <c r="AA834" s="272"/>
    </row>
    <row r="835" spans="1:27">
      <c r="A835" s="273">
        <v>6</v>
      </c>
      <c r="B835" s="274" t="s">
        <v>5836</v>
      </c>
      <c r="C835" s="289">
        <v>45432</v>
      </c>
      <c r="D835" s="274" t="s">
        <v>4714</v>
      </c>
      <c r="E835" s="268" t="s">
        <v>2880</v>
      </c>
      <c r="F835" s="268" t="s">
        <v>4715</v>
      </c>
      <c r="G835" s="268" t="s">
        <v>4716</v>
      </c>
      <c r="H835" s="268" t="str">
        <f t="shared" si="5"/>
        <v>MARÍA GARROTE GARROTE</v>
      </c>
      <c r="I835" s="268" t="s">
        <v>4721</v>
      </c>
      <c r="J835" s="272" t="s">
        <v>4718</v>
      </c>
      <c r="K835" s="268" t="s">
        <v>5917</v>
      </c>
      <c r="L835" s="287">
        <v>45462</v>
      </c>
      <c r="M835" s="272"/>
      <c r="N835" s="282">
        <v>2</v>
      </c>
      <c r="O835" s="268" t="s">
        <v>4723</v>
      </c>
      <c r="P835" s="280">
        <v>2888.18</v>
      </c>
      <c r="Q835" s="310">
        <v>45432</v>
      </c>
      <c r="R835" s="272"/>
      <c r="S835" s="272"/>
      <c r="T835" s="272"/>
      <c r="U835" s="272"/>
      <c r="V835" s="272"/>
      <c r="W835" s="272"/>
      <c r="X835" s="272"/>
      <c r="Y835" s="272"/>
      <c r="Z835" s="272"/>
      <c r="AA835" s="272"/>
    </row>
    <row r="836" spans="1:27">
      <c r="A836" s="273">
        <v>6</v>
      </c>
      <c r="B836" s="274" t="s">
        <v>5836</v>
      </c>
      <c r="C836" s="289">
        <v>45448</v>
      </c>
      <c r="D836" s="274" t="s">
        <v>4714</v>
      </c>
      <c r="E836" s="268" t="s">
        <v>3861</v>
      </c>
      <c r="F836" s="268" t="s">
        <v>4715</v>
      </c>
      <c r="G836" s="268" t="s">
        <v>4716</v>
      </c>
      <c r="H836" s="268" t="str">
        <f t="shared" si="5"/>
        <v>JOSÉ GUSTAVO BARROSO BRAOJOS</v>
      </c>
      <c r="I836" s="268" t="s">
        <v>4834</v>
      </c>
      <c r="J836" s="272" t="s">
        <v>4718</v>
      </c>
      <c r="K836" s="268" t="s">
        <v>5918</v>
      </c>
      <c r="L836" s="276">
        <v>45462</v>
      </c>
      <c r="M836" s="277"/>
      <c r="N836" s="282">
        <v>2</v>
      </c>
      <c r="O836" s="284" t="s">
        <v>4720</v>
      </c>
      <c r="P836" s="280">
        <v>3293.64</v>
      </c>
      <c r="Q836" s="281">
        <v>45448</v>
      </c>
      <c r="R836" s="272"/>
      <c r="S836" s="272"/>
      <c r="T836" s="272"/>
      <c r="U836" s="272"/>
      <c r="V836" s="272"/>
      <c r="W836" s="272"/>
      <c r="X836" s="272"/>
      <c r="Y836" s="272"/>
      <c r="Z836" s="272"/>
      <c r="AA836" s="272"/>
    </row>
    <row r="837" spans="1:27">
      <c r="A837" s="273">
        <v>6</v>
      </c>
      <c r="B837" s="274" t="s">
        <v>5836</v>
      </c>
      <c r="C837" s="289">
        <v>45455</v>
      </c>
      <c r="D837" s="274" t="s">
        <v>4714</v>
      </c>
      <c r="E837" s="268" t="s">
        <v>3861</v>
      </c>
      <c r="F837" s="268" t="s">
        <v>4715</v>
      </c>
      <c r="G837" s="268" t="s">
        <v>4716</v>
      </c>
      <c r="H837" s="268" t="str">
        <f t="shared" si="5"/>
        <v>JOSÉ GUSTAVO BARROSO BRAOJOS</v>
      </c>
      <c r="I837" s="268" t="s">
        <v>4834</v>
      </c>
      <c r="J837" s="272" t="s">
        <v>4718</v>
      </c>
      <c r="K837" s="268" t="s">
        <v>5919</v>
      </c>
      <c r="L837" s="276">
        <v>45462</v>
      </c>
      <c r="M837" s="277"/>
      <c r="N837" s="282">
        <v>2</v>
      </c>
      <c r="O837" s="284" t="s">
        <v>4720</v>
      </c>
      <c r="P837" s="280">
        <v>3710</v>
      </c>
      <c r="Q837" s="281">
        <v>45455</v>
      </c>
      <c r="R837" s="272"/>
      <c r="S837" s="272"/>
      <c r="T837" s="272"/>
      <c r="U837" s="272"/>
      <c r="V837" s="272"/>
      <c r="W837" s="272"/>
      <c r="X837" s="272"/>
      <c r="Y837" s="272"/>
      <c r="Z837" s="272"/>
      <c r="AA837" s="272"/>
    </row>
    <row r="838" spans="1:27">
      <c r="A838" s="273">
        <v>6</v>
      </c>
      <c r="B838" s="274" t="s">
        <v>5836</v>
      </c>
      <c r="C838" s="289"/>
      <c r="D838" s="274" t="s">
        <v>4714</v>
      </c>
      <c r="E838" s="268" t="s">
        <v>3861</v>
      </c>
      <c r="F838" s="268" t="s">
        <v>4715</v>
      </c>
      <c r="G838" s="268" t="s">
        <v>4716</v>
      </c>
      <c r="H838" s="268" t="str">
        <f t="shared" si="5"/>
        <v>CARLOTA SEVIL SERRANO</v>
      </c>
      <c r="I838" s="268" t="s">
        <v>5448</v>
      </c>
      <c r="J838" s="272" t="s">
        <v>4718</v>
      </c>
      <c r="K838" s="268" t="s">
        <v>5920</v>
      </c>
      <c r="L838" s="276">
        <v>45462</v>
      </c>
      <c r="M838" s="277"/>
      <c r="N838" s="282">
        <v>2</v>
      </c>
      <c r="O838" s="284" t="s">
        <v>4720</v>
      </c>
      <c r="P838" s="280">
        <v>3710</v>
      </c>
      <c r="Q838" s="281"/>
      <c r="R838" s="272"/>
      <c r="S838" s="272"/>
      <c r="T838" s="272"/>
      <c r="U838" s="272"/>
      <c r="V838" s="272"/>
      <c r="W838" s="272"/>
      <c r="X838" s="272"/>
      <c r="Y838" s="272"/>
      <c r="Z838" s="272"/>
      <c r="AA838" s="272"/>
    </row>
    <row r="839" spans="1:27">
      <c r="A839" s="273">
        <v>6</v>
      </c>
      <c r="B839" s="274" t="s">
        <v>5836</v>
      </c>
      <c r="C839" s="289"/>
      <c r="D839" s="274" t="s">
        <v>4714</v>
      </c>
      <c r="E839" s="268" t="s">
        <v>3861</v>
      </c>
      <c r="F839" s="268" t="s">
        <v>4715</v>
      </c>
      <c r="G839" s="268" t="s">
        <v>4716</v>
      </c>
      <c r="H839" s="268" t="str">
        <f t="shared" si="5"/>
        <v>HELENA MORENO PARDO</v>
      </c>
      <c r="I839" s="268" t="s">
        <v>5619</v>
      </c>
      <c r="J839" s="272" t="s">
        <v>4718</v>
      </c>
      <c r="K839" s="268" t="s">
        <v>5921</v>
      </c>
      <c r="L839" s="276">
        <v>45462</v>
      </c>
      <c r="M839" s="277"/>
      <c r="N839" s="282">
        <v>2</v>
      </c>
      <c r="O839" s="284" t="s">
        <v>4787</v>
      </c>
      <c r="P839" s="280">
        <v>4400</v>
      </c>
      <c r="Q839" s="281"/>
      <c r="R839" s="272"/>
      <c r="S839" s="272"/>
      <c r="T839" s="272"/>
      <c r="U839" s="272"/>
      <c r="V839" s="272"/>
      <c r="W839" s="272"/>
      <c r="X839" s="272"/>
      <c r="Y839" s="272"/>
      <c r="Z839" s="272"/>
      <c r="AA839" s="272"/>
    </row>
    <row r="840" spans="1:27">
      <c r="A840" s="273">
        <v>6</v>
      </c>
      <c r="B840" s="274" t="s">
        <v>5836</v>
      </c>
      <c r="C840" s="289">
        <v>45411</v>
      </c>
      <c r="D840" s="274" t="s">
        <v>4714</v>
      </c>
      <c r="E840" s="268" t="s">
        <v>4892</v>
      </c>
      <c r="F840" s="268" t="s">
        <v>4715</v>
      </c>
      <c r="G840" s="268" t="s">
        <v>4716</v>
      </c>
      <c r="H840" s="268" t="str">
        <f t="shared" si="5"/>
        <v>Alejandro Harguindey Antoli-Candela</v>
      </c>
      <c r="I840" s="268" t="s">
        <v>4802</v>
      </c>
      <c r="J840" s="272" t="s">
        <v>4718</v>
      </c>
      <c r="K840" s="268" t="s">
        <v>5922</v>
      </c>
      <c r="L840" s="276">
        <v>45462</v>
      </c>
      <c r="M840" s="277"/>
      <c r="N840" s="282">
        <v>1</v>
      </c>
      <c r="O840" s="284" t="s">
        <v>4740</v>
      </c>
      <c r="P840" s="280">
        <v>2399.88</v>
      </c>
      <c r="Q840" s="281">
        <v>45411</v>
      </c>
      <c r="R840" s="272"/>
      <c r="S840" s="272"/>
      <c r="T840" s="272"/>
      <c r="U840" s="272"/>
      <c r="V840" s="272"/>
      <c r="W840" s="272"/>
      <c r="X840" s="272"/>
      <c r="Y840" s="272"/>
      <c r="Z840" s="272"/>
      <c r="AA840" s="272"/>
    </row>
    <row r="841" spans="1:27">
      <c r="A841" s="273">
        <v>6</v>
      </c>
      <c r="B841" s="274" t="s">
        <v>5836</v>
      </c>
      <c r="C841" s="289">
        <v>45436</v>
      </c>
      <c r="D841" s="274" t="s">
        <v>4714</v>
      </c>
      <c r="E841" s="268" t="s">
        <v>3758</v>
      </c>
      <c r="F841" s="268" t="s">
        <v>4715</v>
      </c>
      <c r="G841" s="268" t="s">
        <v>4716</v>
      </c>
      <c r="H841" s="268" t="str">
        <f t="shared" si="5"/>
        <v>SARA TANBOURA LÓPEZ</v>
      </c>
      <c r="I841" s="268" t="s">
        <v>5603</v>
      </c>
      <c r="J841" s="272" t="s">
        <v>4718</v>
      </c>
      <c r="K841" s="268" t="s">
        <v>5923</v>
      </c>
      <c r="L841" s="276">
        <v>45462</v>
      </c>
      <c r="M841" s="277"/>
      <c r="N841" s="282">
        <v>2</v>
      </c>
      <c r="O841" s="284" t="s">
        <v>4740</v>
      </c>
      <c r="P841" s="280">
        <v>3800</v>
      </c>
      <c r="Q841" s="281">
        <v>45436</v>
      </c>
      <c r="R841" s="272"/>
      <c r="S841" s="272"/>
      <c r="T841" s="272"/>
      <c r="U841" s="272"/>
      <c r="V841" s="272"/>
      <c r="W841" s="272"/>
      <c r="X841" s="272"/>
      <c r="Y841" s="272"/>
      <c r="Z841" s="272"/>
      <c r="AA841" s="272"/>
    </row>
    <row r="842" spans="1:27">
      <c r="A842" s="273">
        <v>6</v>
      </c>
      <c r="B842" s="274" t="s">
        <v>5836</v>
      </c>
      <c r="C842" s="289">
        <v>44980</v>
      </c>
      <c r="D842" s="274" t="s">
        <v>4714</v>
      </c>
      <c r="E842" s="268" t="s">
        <v>2869</v>
      </c>
      <c r="F842" s="268" t="s">
        <v>4715</v>
      </c>
      <c r="G842" s="268" t="s">
        <v>4716</v>
      </c>
      <c r="H842" s="268" t="str">
        <f t="shared" si="5"/>
        <v>JESÚS MIGUEL INIESTA TURPÍN</v>
      </c>
      <c r="I842" s="268" t="s">
        <v>4868</v>
      </c>
      <c r="J842" s="272" t="s">
        <v>4736</v>
      </c>
      <c r="K842" s="268" t="s">
        <v>5924</v>
      </c>
      <c r="L842" s="276">
        <v>45462</v>
      </c>
      <c r="M842" s="283"/>
      <c r="N842" s="282">
        <v>2</v>
      </c>
      <c r="O842" s="284" t="s">
        <v>4723</v>
      </c>
      <c r="P842" s="280">
        <v>2641.82</v>
      </c>
      <c r="Q842" s="281">
        <v>44980</v>
      </c>
      <c r="R842" s="272"/>
      <c r="S842" s="272"/>
      <c r="T842" s="272"/>
      <c r="U842" s="272"/>
      <c r="V842" s="272"/>
      <c r="W842" s="272"/>
      <c r="X842" s="272"/>
      <c r="Y842" s="272"/>
      <c r="Z842" s="272"/>
      <c r="AA842" s="272"/>
    </row>
    <row r="843" spans="1:27">
      <c r="A843" s="273">
        <v>6</v>
      </c>
      <c r="B843" s="274" t="s">
        <v>5836</v>
      </c>
      <c r="C843" s="289">
        <v>45427</v>
      </c>
      <c r="D843" s="274" t="s">
        <v>4714</v>
      </c>
      <c r="E843" s="268" t="s">
        <v>2900</v>
      </c>
      <c r="F843" s="268" t="s">
        <v>4715</v>
      </c>
      <c r="G843" s="268" t="s">
        <v>4716</v>
      </c>
      <c r="H843" s="268" t="str">
        <f t="shared" si="5"/>
        <v>MOHAMED AL RIFAL AL MASTI</v>
      </c>
      <c r="I843" s="268" t="s">
        <v>5269</v>
      </c>
      <c r="J843" s="272" t="s">
        <v>4790</v>
      </c>
      <c r="K843" s="268" t="s">
        <v>5925</v>
      </c>
      <c r="L843" s="276">
        <v>45462</v>
      </c>
      <c r="M843" s="283"/>
      <c r="N843" s="282">
        <v>1</v>
      </c>
      <c r="O843" s="284" t="s">
        <v>4720</v>
      </c>
      <c r="P843" s="280">
        <v>2226.36</v>
      </c>
      <c r="Q843" s="281">
        <v>45427</v>
      </c>
      <c r="R843" s="272"/>
      <c r="S843" s="272"/>
      <c r="T843" s="272"/>
      <c r="U843" s="272"/>
      <c r="V843" s="272"/>
      <c r="W843" s="272"/>
      <c r="X843" s="272"/>
      <c r="Y843" s="272"/>
      <c r="Z843" s="272"/>
      <c r="AA843" s="272"/>
    </row>
    <row r="844" spans="1:27">
      <c r="A844" s="273">
        <v>6</v>
      </c>
      <c r="B844" s="274" t="s">
        <v>5836</v>
      </c>
      <c r="C844" s="289">
        <v>45420</v>
      </c>
      <c r="D844" s="274" t="s">
        <v>4714</v>
      </c>
      <c r="E844" s="268" t="s">
        <v>4759</v>
      </c>
      <c r="F844" s="268" t="s">
        <v>4715</v>
      </c>
      <c r="G844" s="268" t="s">
        <v>4716</v>
      </c>
      <c r="H844" s="268" t="str">
        <f t="shared" si="5"/>
        <v>JUAN LOSADA CAMPA</v>
      </c>
      <c r="I844" s="312" t="s">
        <v>5926</v>
      </c>
      <c r="J844" s="278" t="s">
        <v>4747</v>
      </c>
      <c r="K844" s="268" t="s">
        <v>5927</v>
      </c>
      <c r="L844" s="276">
        <v>45462</v>
      </c>
      <c r="M844" s="283"/>
      <c r="N844" s="282">
        <v>2</v>
      </c>
      <c r="O844" s="284" t="s">
        <v>4740</v>
      </c>
      <c r="P844" s="280">
        <v>3886.36</v>
      </c>
      <c r="Q844" s="281">
        <v>45420</v>
      </c>
      <c r="R844" s="272"/>
      <c r="S844" s="272"/>
      <c r="T844" s="272"/>
      <c r="U844" s="272"/>
      <c r="V844" s="272"/>
      <c r="W844" s="272"/>
      <c r="X844" s="272"/>
      <c r="Y844" s="272"/>
      <c r="Z844" s="272"/>
      <c r="AA844" s="272"/>
    </row>
    <row r="845" spans="1:27">
      <c r="A845" s="273">
        <v>6</v>
      </c>
      <c r="B845" s="274" t="s">
        <v>5836</v>
      </c>
      <c r="C845" s="289">
        <v>45432</v>
      </c>
      <c r="D845" s="274" t="s">
        <v>4714</v>
      </c>
      <c r="E845" s="268" t="s">
        <v>4799</v>
      </c>
      <c r="F845" s="268" t="s">
        <v>4715</v>
      </c>
      <c r="G845" s="272" t="s">
        <v>4716</v>
      </c>
      <c r="H845" s="268" t="str">
        <f t="shared" si="5"/>
        <v>GUADALUPE SEQUEIROS SANTIAGO</v>
      </c>
      <c r="I845" s="268" t="s">
        <v>5928</v>
      </c>
      <c r="J845" s="278" t="s">
        <v>4790</v>
      </c>
      <c r="K845" s="268" t="s">
        <v>5929</v>
      </c>
      <c r="L845" s="287">
        <v>45462</v>
      </c>
      <c r="M845" s="283"/>
      <c r="N845" s="282">
        <v>2</v>
      </c>
      <c r="O845" s="284" t="s">
        <v>4720</v>
      </c>
      <c r="P845" s="280">
        <v>1636.36</v>
      </c>
      <c r="Q845" s="281">
        <v>45432</v>
      </c>
      <c r="R845" s="272"/>
      <c r="S845" s="272"/>
      <c r="T845" s="272"/>
      <c r="U845" s="272"/>
      <c r="V845" s="272"/>
      <c r="W845" s="272"/>
      <c r="X845" s="272"/>
      <c r="Y845" s="272"/>
      <c r="Z845" s="272"/>
      <c r="AA845" s="272"/>
    </row>
    <row r="846" spans="1:27">
      <c r="A846" s="273">
        <v>6</v>
      </c>
      <c r="B846" s="274" t="s">
        <v>5836</v>
      </c>
      <c r="C846" s="275"/>
      <c r="D846" s="274" t="s">
        <v>4714</v>
      </c>
      <c r="E846" s="268" t="s">
        <v>2909</v>
      </c>
      <c r="F846" s="268" t="s">
        <v>4715</v>
      </c>
      <c r="G846" s="268" t="s">
        <v>4716</v>
      </c>
      <c r="H846" s="268" t="str">
        <f t="shared" si="5"/>
        <v>OLGA FERRER ANDINO</v>
      </c>
      <c r="I846" s="268" t="s">
        <v>5859</v>
      </c>
      <c r="J846" s="272" t="s">
        <v>4806</v>
      </c>
      <c r="K846" s="268" t="s">
        <v>5930</v>
      </c>
      <c r="L846" s="276">
        <v>45463</v>
      </c>
      <c r="M846" s="272"/>
      <c r="N846" s="282">
        <v>2</v>
      </c>
      <c r="O846" s="268" t="s">
        <v>5814</v>
      </c>
      <c r="P846" s="280">
        <v>3454.55</v>
      </c>
      <c r="Q846" s="303"/>
      <c r="R846" s="272"/>
      <c r="S846" s="272"/>
      <c r="T846" s="272"/>
      <c r="U846" s="272"/>
      <c r="V846" s="272"/>
      <c r="W846" s="272"/>
      <c r="X846" s="272"/>
      <c r="Y846" s="272"/>
      <c r="Z846" s="272"/>
      <c r="AA846" s="272"/>
    </row>
    <row r="847" spans="1:27">
      <c r="A847" s="273">
        <v>6</v>
      </c>
      <c r="B847" s="274" t="s">
        <v>5836</v>
      </c>
      <c r="C847" s="275">
        <v>45434</v>
      </c>
      <c r="D847" s="274" t="s">
        <v>4714</v>
      </c>
      <c r="E847" s="268" t="s">
        <v>4820</v>
      </c>
      <c r="F847" s="268" t="s">
        <v>4715</v>
      </c>
      <c r="G847" s="268" t="s">
        <v>4716</v>
      </c>
      <c r="H847" s="268" t="str">
        <f t="shared" si="5"/>
        <v>JAVIER GARCÍA GÓMEZ</v>
      </c>
      <c r="I847" s="268" t="s">
        <v>5220</v>
      </c>
      <c r="J847" s="272" t="s">
        <v>4822</v>
      </c>
      <c r="K847" s="268" t="s">
        <v>5931</v>
      </c>
      <c r="L847" s="302">
        <v>45463</v>
      </c>
      <c r="M847" s="268"/>
      <c r="N847" s="282">
        <v>2</v>
      </c>
      <c r="O847" s="268" t="s">
        <v>4787</v>
      </c>
      <c r="P847" s="280">
        <v>3954.55</v>
      </c>
      <c r="Q847" s="304">
        <v>45434</v>
      </c>
      <c r="R847" s="272"/>
      <c r="S847" s="272"/>
      <c r="T847" s="272"/>
      <c r="U847" s="272"/>
      <c r="V847" s="272"/>
      <c r="W847" s="272"/>
      <c r="X847" s="272"/>
      <c r="Y847" s="272"/>
      <c r="Z847" s="272"/>
      <c r="AA847" s="272"/>
    </row>
    <row r="848" spans="1:27">
      <c r="A848" s="273">
        <v>6</v>
      </c>
      <c r="B848" s="274" t="s">
        <v>5836</v>
      </c>
      <c r="C848" s="289">
        <v>45426</v>
      </c>
      <c r="D848" s="274" t="s">
        <v>4714</v>
      </c>
      <c r="E848" s="268" t="s">
        <v>4775</v>
      </c>
      <c r="F848" s="268" t="s">
        <v>4715</v>
      </c>
      <c r="G848" s="268" t="s">
        <v>4716</v>
      </c>
      <c r="H848" s="268" t="str">
        <f t="shared" si="5"/>
        <v>FERNANDO SALAZAR BARCELONA</v>
      </c>
      <c r="I848" s="268" t="s">
        <v>4776</v>
      </c>
      <c r="J848" s="272" t="s">
        <v>4822</v>
      </c>
      <c r="K848" s="268" t="s">
        <v>5932</v>
      </c>
      <c r="L848" s="302">
        <v>45463</v>
      </c>
      <c r="M848" s="268"/>
      <c r="N848" s="282">
        <v>1</v>
      </c>
      <c r="O848" s="268" t="s">
        <v>4740</v>
      </c>
      <c r="P848" s="280">
        <v>1818.18</v>
      </c>
      <c r="Q848" s="310">
        <v>45426</v>
      </c>
      <c r="R848" s="272"/>
      <c r="S848" s="272"/>
      <c r="T848" s="272"/>
      <c r="U848" s="272"/>
      <c r="V848" s="272"/>
      <c r="W848" s="272"/>
      <c r="X848" s="272"/>
      <c r="Y848" s="272"/>
      <c r="Z848" s="272"/>
      <c r="AA848" s="272"/>
    </row>
    <row r="849" spans="1:27">
      <c r="A849" s="273">
        <v>6</v>
      </c>
      <c r="B849" s="274" t="s">
        <v>5836</v>
      </c>
      <c r="C849" s="289"/>
      <c r="D849" s="274" t="s">
        <v>4714</v>
      </c>
      <c r="E849" s="268" t="s">
        <v>3861</v>
      </c>
      <c r="F849" s="268" t="s">
        <v>4715</v>
      </c>
      <c r="G849" s="268" t="s">
        <v>4716</v>
      </c>
      <c r="H849" s="268" t="str">
        <f t="shared" si="5"/>
        <v>JOSÉ GUSTAVO BARROSO BRAOJOS</v>
      </c>
      <c r="I849" s="268" t="s">
        <v>4834</v>
      </c>
      <c r="J849" s="272" t="s">
        <v>4718</v>
      </c>
      <c r="K849" s="268" t="s">
        <v>5933</v>
      </c>
      <c r="L849" s="276">
        <v>45463</v>
      </c>
      <c r="M849" s="277"/>
      <c r="N849" s="282">
        <v>2</v>
      </c>
      <c r="O849" s="284" t="s">
        <v>4720</v>
      </c>
      <c r="P849" s="280">
        <v>3709.62</v>
      </c>
      <c r="Q849" s="281"/>
      <c r="R849" s="272"/>
      <c r="S849" s="272"/>
      <c r="T849" s="272"/>
      <c r="U849" s="272"/>
      <c r="V849" s="272"/>
      <c r="W849" s="272"/>
      <c r="X849" s="272"/>
      <c r="Y849" s="272"/>
      <c r="Z849" s="272"/>
      <c r="AA849" s="272"/>
    </row>
    <row r="850" spans="1:27">
      <c r="A850" s="273">
        <v>6</v>
      </c>
      <c r="B850" s="274" t="s">
        <v>5836</v>
      </c>
      <c r="C850" s="289">
        <v>45440</v>
      </c>
      <c r="D850" s="274" t="s">
        <v>4714</v>
      </c>
      <c r="E850" s="268" t="s">
        <v>3043</v>
      </c>
      <c r="F850" s="268" t="s">
        <v>4715</v>
      </c>
      <c r="G850" s="268" t="s">
        <v>4716</v>
      </c>
      <c r="H850" s="268" t="str">
        <f t="shared" si="5"/>
        <v>ANTONIO BUENO RÍOS</v>
      </c>
      <c r="I850" s="268" t="s">
        <v>4793</v>
      </c>
      <c r="J850" s="272" t="s">
        <v>4822</v>
      </c>
      <c r="K850" s="268" t="s">
        <v>5934</v>
      </c>
      <c r="L850" s="276">
        <v>45463</v>
      </c>
      <c r="M850" s="277"/>
      <c r="N850" s="282">
        <v>1</v>
      </c>
      <c r="O850" s="284" t="s">
        <v>4740</v>
      </c>
      <c r="P850" s="280">
        <v>2400</v>
      </c>
      <c r="Q850" s="281">
        <v>45440</v>
      </c>
      <c r="R850" s="272"/>
      <c r="S850" s="272"/>
      <c r="T850" s="272"/>
      <c r="U850" s="272"/>
      <c r="V850" s="272"/>
      <c r="W850" s="272"/>
      <c r="X850" s="272"/>
      <c r="Y850" s="272"/>
      <c r="Z850" s="272"/>
      <c r="AA850" s="272"/>
    </row>
    <row r="851" spans="1:27">
      <c r="A851" s="273">
        <v>6</v>
      </c>
      <c r="B851" s="274" t="s">
        <v>5836</v>
      </c>
      <c r="C851" s="289"/>
      <c r="D851" s="274" t="s">
        <v>4714</v>
      </c>
      <c r="E851" s="268" t="s">
        <v>2869</v>
      </c>
      <c r="F851" s="268" t="s">
        <v>4715</v>
      </c>
      <c r="G851" s="268" t="s">
        <v>4716</v>
      </c>
      <c r="H851" s="268" t="str">
        <f t="shared" si="5"/>
        <v>AIDA AVIÑOA ARIAS</v>
      </c>
      <c r="I851" s="268" t="s">
        <v>5298</v>
      </c>
      <c r="J851" s="272" t="s">
        <v>4736</v>
      </c>
      <c r="K851" s="268" t="s">
        <v>5935</v>
      </c>
      <c r="L851" s="276">
        <v>45463</v>
      </c>
      <c r="M851" s="283"/>
      <c r="N851" s="282">
        <v>2</v>
      </c>
      <c r="O851" s="284" t="s">
        <v>4723</v>
      </c>
      <c r="P851" s="280">
        <v>2888.18</v>
      </c>
      <c r="Q851" s="281"/>
      <c r="R851" s="272"/>
      <c r="S851" s="272"/>
      <c r="T851" s="272"/>
      <c r="U851" s="272"/>
      <c r="V851" s="272"/>
      <c r="W851" s="272"/>
      <c r="X851" s="272"/>
      <c r="Y851" s="272"/>
      <c r="Z851" s="272"/>
      <c r="AA851" s="272"/>
    </row>
    <row r="852" spans="1:27">
      <c r="A852" s="273">
        <v>6</v>
      </c>
      <c r="B852" s="274" t="s">
        <v>5836</v>
      </c>
      <c r="C852" s="289">
        <v>45418</v>
      </c>
      <c r="D852" s="274" t="s">
        <v>4714</v>
      </c>
      <c r="E852" s="268" t="s">
        <v>4759</v>
      </c>
      <c r="F852" s="268" t="s">
        <v>4715</v>
      </c>
      <c r="G852" s="268" t="s">
        <v>4716</v>
      </c>
      <c r="H852" s="268" t="str">
        <f t="shared" si="5"/>
        <v>ANTONIA CARRANZA CALLEJA</v>
      </c>
      <c r="I852" s="268" t="s">
        <v>4785</v>
      </c>
      <c r="J852" s="278" t="s">
        <v>4747</v>
      </c>
      <c r="K852" s="268" t="s">
        <v>5936</v>
      </c>
      <c r="L852" s="276">
        <v>45463</v>
      </c>
      <c r="M852" s="283"/>
      <c r="N852" s="282">
        <v>2</v>
      </c>
      <c r="O852" s="293" t="s">
        <v>4740</v>
      </c>
      <c r="P852" s="280">
        <v>3977.27</v>
      </c>
      <c r="Q852" s="281">
        <v>45418</v>
      </c>
      <c r="R852" s="272"/>
      <c r="S852" s="272"/>
      <c r="T852" s="272"/>
      <c r="U852" s="272"/>
      <c r="V852" s="272"/>
      <c r="W852" s="272"/>
      <c r="X852" s="272"/>
      <c r="Y852" s="272"/>
      <c r="Z852" s="272"/>
      <c r="AA852" s="272"/>
    </row>
    <row r="853" spans="1:27">
      <c r="A853" s="273">
        <v>6</v>
      </c>
      <c r="B853" s="274" t="s">
        <v>5836</v>
      </c>
      <c r="C853" s="275">
        <v>45405</v>
      </c>
      <c r="D853" s="274" t="s">
        <v>4714</v>
      </c>
      <c r="E853" s="268" t="s">
        <v>2863</v>
      </c>
      <c r="F853" s="268" t="s">
        <v>4715</v>
      </c>
      <c r="G853" s="268" t="s">
        <v>4716</v>
      </c>
      <c r="H853" s="268" t="str">
        <f t="shared" si="5"/>
        <v>Alejandro Harguindey Antoli-Candela</v>
      </c>
      <c r="I853" s="268" t="s">
        <v>4802</v>
      </c>
      <c r="J853" s="268" t="s">
        <v>4718</v>
      </c>
      <c r="K853" s="268" t="s">
        <v>5937</v>
      </c>
      <c r="L853" s="302">
        <v>45464</v>
      </c>
      <c r="M853" s="268"/>
      <c r="N853" s="282">
        <v>2</v>
      </c>
      <c r="O853" s="268" t="s">
        <v>4740</v>
      </c>
      <c r="P853" s="280">
        <v>4000</v>
      </c>
      <c r="Q853" s="304">
        <v>45405</v>
      </c>
      <c r="R853" s="272"/>
      <c r="S853" s="272"/>
      <c r="T853" s="272"/>
      <c r="U853" s="272"/>
      <c r="V853" s="272"/>
      <c r="W853" s="272"/>
      <c r="X853" s="272"/>
      <c r="Y853" s="272"/>
      <c r="Z853" s="272"/>
      <c r="AA853" s="272"/>
    </row>
    <row r="854" spans="1:27">
      <c r="A854" s="273">
        <v>6</v>
      </c>
      <c r="B854" s="274" t="s">
        <v>5836</v>
      </c>
      <c r="C854" s="275">
        <v>45434</v>
      </c>
      <c r="D854" s="274" t="s">
        <v>4714</v>
      </c>
      <c r="E854" s="268" t="s">
        <v>3480</v>
      </c>
      <c r="F854" s="268" t="s">
        <v>4715</v>
      </c>
      <c r="G854" s="268" t="s">
        <v>4716</v>
      </c>
      <c r="H854" s="268" t="str">
        <f t="shared" si="5"/>
        <v>VICTORIA GARCÍA PECES</v>
      </c>
      <c r="I854" s="268" t="s">
        <v>4762</v>
      </c>
      <c r="J854" s="272" t="s">
        <v>4718</v>
      </c>
      <c r="K854" s="268" t="s">
        <v>5938</v>
      </c>
      <c r="L854" s="302">
        <v>45464</v>
      </c>
      <c r="M854" s="268"/>
      <c r="N854" s="282">
        <v>1</v>
      </c>
      <c r="O854" s="268" t="s">
        <v>4720</v>
      </c>
      <c r="P854" s="280">
        <v>2226.36</v>
      </c>
      <c r="Q854" s="304">
        <v>45434</v>
      </c>
      <c r="R854" s="272"/>
      <c r="S854" s="272"/>
      <c r="T854" s="272"/>
      <c r="U854" s="272"/>
      <c r="V854" s="272"/>
      <c r="W854" s="272"/>
      <c r="X854" s="272"/>
      <c r="Y854" s="272"/>
      <c r="Z854" s="272"/>
      <c r="AA854" s="272"/>
    </row>
    <row r="855" spans="1:27">
      <c r="A855" s="273">
        <v>6</v>
      </c>
      <c r="B855" s="274" t="s">
        <v>5836</v>
      </c>
      <c r="C855" s="275">
        <v>45392</v>
      </c>
      <c r="D855" s="274" t="s">
        <v>4714</v>
      </c>
      <c r="E855" s="268" t="s">
        <v>3480</v>
      </c>
      <c r="F855" s="268" t="s">
        <v>4715</v>
      </c>
      <c r="G855" s="268" t="s">
        <v>4716</v>
      </c>
      <c r="H855" s="268" t="str">
        <f t="shared" si="5"/>
        <v>VICTORIA GARCÍA PECES</v>
      </c>
      <c r="I855" s="268" t="s">
        <v>4762</v>
      </c>
      <c r="J855" s="272" t="s">
        <v>4718</v>
      </c>
      <c r="K855" s="268" t="s">
        <v>5939</v>
      </c>
      <c r="L855" s="302">
        <v>45464</v>
      </c>
      <c r="M855" s="272"/>
      <c r="N855" s="282">
        <v>1</v>
      </c>
      <c r="O855" s="268" t="s">
        <v>4720</v>
      </c>
      <c r="P855" s="280">
        <v>2226.36</v>
      </c>
      <c r="Q855" s="304">
        <v>45392</v>
      </c>
      <c r="R855" s="272"/>
      <c r="S855" s="272"/>
      <c r="T855" s="272"/>
      <c r="U855" s="272"/>
      <c r="V855" s="272"/>
      <c r="W855" s="272"/>
      <c r="X855" s="272"/>
      <c r="Y855" s="272"/>
      <c r="Z855" s="272"/>
      <c r="AA855" s="272"/>
    </row>
    <row r="856" spans="1:27">
      <c r="A856" s="273">
        <v>6</v>
      </c>
      <c r="B856" s="274" t="s">
        <v>5836</v>
      </c>
      <c r="C856" s="289">
        <v>45434</v>
      </c>
      <c r="D856" s="274" t="s">
        <v>4714</v>
      </c>
      <c r="E856" s="268" t="s">
        <v>4892</v>
      </c>
      <c r="F856" s="268" t="s">
        <v>4715</v>
      </c>
      <c r="G856" s="268" t="s">
        <v>4716</v>
      </c>
      <c r="H856" s="268" t="str">
        <f t="shared" si="5"/>
        <v>RICARDO GONZÁLEZ-ORUS</v>
      </c>
      <c r="I856" s="268" t="s">
        <v>5540</v>
      </c>
      <c r="J856" s="272" t="s">
        <v>4718</v>
      </c>
      <c r="K856" s="268" t="s">
        <v>5940</v>
      </c>
      <c r="L856" s="276">
        <v>45464</v>
      </c>
      <c r="M856" s="277"/>
      <c r="N856" s="282">
        <v>2</v>
      </c>
      <c r="O856" s="284" t="s">
        <v>4740</v>
      </c>
      <c r="P856" s="280">
        <v>4000</v>
      </c>
      <c r="Q856" s="281">
        <v>45434</v>
      </c>
      <c r="R856" s="272"/>
      <c r="S856" s="272"/>
      <c r="T856" s="272"/>
      <c r="U856" s="272"/>
      <c r="V856" s="272"/>
      <c r="W856" s="272"/>
      <c r="X856" s="272"/>
      <c r="Y856" s="272"/>
      <c r="Z856" s="272"/>
      <c r="AA856" s="272"/>
    </row>
    <row r="857" spans="1:27">
      <c r="A857" s="273">
        <v>6</v>
      </c>
      <c r="B857" s="274" t="s">
        <v>5836</v>
      </c>
      <c r="C857" s="289">
        <v>45454</v>
      </c>
      <c r="D857" s="274" t="s">
        <v>4714</v>
      </c>
      <c r="E857" s="268" t="s">
        <v>4892</v>
      </c>
      <c r="F857" s="268" t="s">
        <v>4715</v>
      </c>
      <c r="G857" s="268" t="s">
        <v>4716</v>
      </c>
      <c r="H857" s="268" t="str">
        <f t="shared" si="5"/>
        <v>ENRIQUE MELCOM DIEZ</v>
      </c>
      <c r="I857" s="268" t="s">
        <v>4902</v>
      </c>
      <c r="J857" s="272" t="s">
        <v>4822</v>
      </c>
      <c r="K857" s="268" t="s">
        <v>5941</v>
      </c>
      <c r="L857" s="276">
        <v>45464</v>
      </c>
      <c r="M857" s="283"/>
      <c r="N857" s="282">
        <v>2</v>
      </c>
      <c r="O857" s="284" t="s">
        <v>4720</v>
      </c>
      <c r="P857" s="280">
        <v>3710</v>
      </c>
      <c r="Q857" s="281">
        <v>45454</v>
      </c>
      <c r="R857" s="272"/>
      <c r="S857" s="272"/>
      <c r="T857" s="272"/>
      <c r="U857" s="272"/>
      <c r="V857" s="272"/>
      <c r="W857" s="272"/>
      <c r="X857" s="272"/>
      <c r="Y857" s="272"/>
      <c r="Z857" s="272"/>
      <c r="AA857" s="272"/>
    </row>
    <row r="858" spans="1:27">
      <c r="A858" s="273">
        <v>6</v>
      </c>
      <c r="B858" s="274" t="s">
        <v>5836</v>
      </c>
      <c r="C858" s="289"/>
      <c r="D858" s="274" t="s">
        <v>4714</v>
      </c>
      <c r="E858" s="268" t="s">
        <v>3011</v>
      </c>
      <c r="F858" s="268" t="s">
        <v>4715</v>
      </c>
      <c r="G858" s="268" t="s">
        <v>4857</v>
      </c>
      <c r="H858" s="268" t="str">
        <f t="shared" si="5"/>
        <v>CRISTINA ALONSO GONZÁLEZ</v>
      </c>
      <c r="I858" s="268" t="s">
        <v>5942</v>
      </c>
      <c r="J858" s="272" t="s">
        <v>4729</v>
      </c>
      <c r="K858" s="268" t="s">
        <v>5943</v>
      </c>
      <c r="L858" s="276">
        <v>45464</v>
      </c>
      <c r="M858" s="277"/>
      <c r="N858" s="282">
        <v>2</v>
      </c>
      <c r="O858" s="284" t="s">
        <v>4787</v>
      </c>
      <c r="P858" s="280">
        <v>3190.27</v>
      </c>
      <c r="Q858" s="281"/>
      <c r="R858" s="272"/>
      <c r="S858" s="272"/>
      <c r="T858" s="272"/>
      <c r="U858" s="272"/>
      <c r="V858" s="272"/>
      <c r="W858" s="272"/>
      <c r="X858" s="272"/>
      <c r="Y858" s="272"/>
      <c r="Z858" s="272"/>
      <c r="AA858" s="272"/>
    </row>
    <row r="859" spans="1:27">
      <c r="A859" s="273">
        <v>6</v>
      </c>
      <c r="B859" s="274" t="s">
        <v>5836</v>
      </c>
      <c r="C859" s="289">
        <v>45411</v>
      </c>
      <c r="D859" s="274" t="s">
        <v>4714</v>
      </c>
      <c r="E859" s="268" t="s">
        <v>4759</v>
      </c>
      <c r="F859" s="268" t="s">
        <v>4715</v>
      </c>
      <c r="G859" s="268" t="s">
        <v>4716</v>
      </c>
      <c r="H859" s="268" t="str">
        <f t="shared" si="5"/>
        <v>VICTORIA DUQUE HOLGUERA</v>
      </c>
      <c r="I859" s="268" t="s">
        <v>5944</v>
      </c>
      <c r="J859" s="278" t="s">
        <v>4747</v>
      </c>
      <c r="K859" s="268" t="s">
        <v>5945</v>
      </c>
      <c r="L859" s="287">
        <v>45464</v>
      </c>
      <c r="M859" s="283"/>
      <c r="N859" s="282">
        <v>2</v>
      </c>
      <c r="O859" s="284" t="s">
        <v>4720</v>
      </c>
      <c r="P859" s="280">
        <v>3522.73</v>
      </c>
      <c r="Q859" s="281">
        <v>45411</v>
      </c>
      <c r="R859" s="272"/>
      <c r="S859" s="272"/>
      <c r="T859" s="272"/>
      <c r="U859" s="272"/>
      <c r="V859" s="272"/>
      <c r="W859" s="272"/>
      <c r="X859" s="272"/>
      <c r="Y859" s="272"/>
      <c r="Z859" s="272"/>
      <c r="AA859" s="272"/>
    </row>
    <row r="860" spans="1:27">
      <c r="A860" s="273">
        <v>6</v>
      </c>
      <c r="B860" s="274" t="s">
        <v>5836</v>
      </c>
      <c r="C860" s="275">
        <v>45434</v>
      </c>
      <c r="D860" s="274" t="s">
        <v>4714</v>
      </c>
      <c r="E860" s="268" t="s">
        <v>5946</v>
      </c>
      <c r="F860" s="268" t="s">
        <v>4715</v>
      </c>
      <c r="G860" s="268" t="s">
        <v>4716</v>
      </c>
      <c r="H860" s="268" t="str">
        <f t="shared" si="5"/>
        <v>ISABEL VAAMONDE SANCHEZ ANDRADR</v>
      </c>
      <c r="I860" s="268" t="s">
        <v>5717</v>
      </c>
      <c r="J860" s="272" t="s">
        <v>4790</v>
      </c>
      <c r="K860" s="268" t="s">
        <v>5947</v>
      </c>
      <c r="L860" s="287">
        <v>45467</v>
      </c>
      <c r="M860" s="272"/>
      <c r="N860" s="282">
        <v>2</v>
      </c>
      <c r="O860" s="268" t="s">
        <v>4723</v>
      </c>
      <c r="P860" s="280">
        <v>2900</v>
      </c>
      <c r="Q860" s="303">
        <v>45434</v>
      </c>
      <c r="R860" s="272"/>
      <c r="S860" s="272"/>
      <c r="T860" s="272"/>
      <c r="U860" s="272"/>
      <c r="V860" s="272"/>
      <c r="W860" s="272"/>
      <c r="X860" s="272"/>
      <c r="Y860" s="272"/>
      <c r="Z860" s="272"/>
      <c r="AA860" s="272"/>
    </row>
    <row r="861" spans="1:27">
      <c r="A861" s="273">
        <v>6</v>
      </c>
      <c r="B861" s="274" t="s">
        <v>5836</v>
      </c>
      <c r="C861" s="289">
        <v>45412</v>
      </c>
      <c r="D861" s="274" t="s">
        <v>4714</v>
      </c>
      <c r="E861" s="268" t="s">
        <v>3480</v>
      </c>
      <c r="F861" s="268" t="s">
        <v>4715</v>
      </c>
      <c r="G861" s="268" t="s">
        <v>4716</v>
      </c>
      <c r="H861" s="268" t="str">
        <f t="shared" si="5"/>
        <v>MARÍA TERESA HERRERA MERA</v>
      </c>
      <c r="I861" s="268" t="s">
        <v>4838</v>
      </c>
      <c r="J861" s="272" t="s">
        <v>4718</v>
      </c>
      <c r="K861" s="268" t="s">
        <v>5948</v>
      </c>
      <c r="L861" s="302">
        <v>45467</v>
      </c>
      <c r="M861" s="272"/>
      <c r="N861" s="282">
        <v>1</v>
      </c>
      <c r="O861" s="268" t="s">
        <v>4740</v>
      </c>
      <c r="P861" s="280">
        <v>2400</v>
      </c>
      <c r="Q861" s="310">
        <v>45412</v>
      </c>
      <c r="R861" s="272"/>
      <c r="S861" s="272"/>
      <c r="T861" s="272"/>
      <c r="U861" s="272"/>
      <c r="V861" s="272"/>
      <c r="W861" s="272"/>
      <c r="X861" s="272"/>
      <c r="Y861" s="272"/>
      <c r="Z861" s="272"/>
      <c r="AA861" s="272"/>
    </row>
    <row r="862" spans="1:27">
      <c r="A862" s="273">
        <v>6</v>
      </c>
      <c r="B862" s="274" t="s">
        <v>5836</v>
      </c>
      <c r="C862" s="289">
        <v>45442</v>
      </c>
      <c r="D862" s="274" t="s">
        <v>4714</v>
      </c>
      <c r="E862" s="268" t="s">
        <v>2880</v>
      </c>
      <c r="F862" s="268" t="s">
        <v>4715</v>
      </c>
      <c r="G862" s="268" t="s">
        <v>4716</v>
      </c>
      <c r="H862" s="268" t="str">
        <f t="shared" si="5"/>
        <v>ANTONIO RODRÍGUEZ RIVERO</v>
      </c>
      <c r="I862" s="268" t="s">
        <v>4717</v>
      </c>
      <c r="J862" s="268" t="s">
        <v>4718</v>
      </c>
      <c r="K862" s="268" t="s">
        <v>5949</v>
      </c>
      <c r="L862" s="302">
        <v>45467</v>
      </c>
      <c r="M862" s="268"/>
      <c r="N862" s="282">
        <v>2</v>
      </c>
      <c r="O862" s="268" t="s">
        <v>4740</v>
      </c>
      <c r="P862" s="280">
        <v>3800</v>
      </c>
      <c r="Q862" s="308">
        <v>45442</v>
      </c>
      <c r="R862" s="272"/>
      <c r="S862" s="272"/>
      <c r="T862" s="272"/>
      <c r="U862" s="272"/>
      <c r="V862" s="272"/>
      <c r="W862" s="272"/>
      <c r="X862" s="272"/>
      <c r="Y862" s="272"/>
      <c r="Z862" s="272"/>
      <c r="AA862" s="272"/>
    </row>
    <row r="863" spans="1:27">
      <c r="A863" s="273">
        <v>6</v>
      </c>
      <c r="B863" s="274" t="s">
        <v>5836</v>
      </c>
      <c r="C863" s="289">
        <v>45429</v>
      </c>
      <c r="D863" s="274" t="s">
        <v>4714</v>
      </c>
      <c r="E863" s="268" t="s">
        <v>2880</v>
      </c>
      <c r="F863" s="268" t="s">
        <v>4715</v>
      </c>
      <c r="G863" s="268" t="s">
        <v>4716</v>
      </c>
      <c r="H863" s="268" t="str">
        <f t="shared" si="5"/>
        <v>ANTONIO RODRÍGUEZ RIVERO</v>
      </c>
      <c r="I863" s="268" t="s">
        <v>4717</v>
      </c>
      <c r="J863" s="272" t="s">
        <v>4718</v>
      </c>
      <c r="K863" s="268" t="s">
        <v>5950</v>
      </c>
      <c r="L863" s="287">
        <v>45467</v>
      </c>
      <c r="M863" s="268"/>
      <c r="N863" s="282">
        <v>2</v>
      </c>
      <c r="O863" s="268" t="s">
        <v>4720</v>
      </c>
      <c r="P863" s="280">
        <v>3709.83</v>
      </c>
      <c r="Q863" s="310">
        <v>45429</v>
      </c>
      <c r="R863" s="272"/>
      <c r="S863" s="272"/>
      <c r="T863" s="272"/>
      <c r="U863" s="272"/>
      <c r="V863" s="272"/>
      <c r="W863" s="272"/>
      <c r="X863" s="272"/>
      <c r="Y863" s="272"/>
      <c r="Z863" s="272"/>
      <c r="AA863" s="272"/>
    </row>
    <row r="864" spans="1:27">
      <c r="A864" s="273">
        <v>6</v>
      </c>
      <c r="B864" s="274" t="s">
        <v>5836</v>
      </c>
      <c r="C864" s="289">
        <v>45429</v>
      </c>
      <c r="D864" s="274" t="s">
        <v>4714</v>
      </c>
      <c r="E864" s="268" t="s">
        <v>2880</v>
      </c>
      <c r="F864" s="268" t="s">
        <v>4715</v>
      </c>
      <c r="G864" s="268" t="s">
        <v>4716</v>
      </c>
      <c r="H864" s="268" t="str">
        <f t="shared" si="5"/>
        <v>ANTONIO RODRÍGUEZ RIVERO</v>
      </c>
      <c r="I864" s="268" t="s">
        <v>4717</v>
      </c>
      <c r="J864" s="272" t="s">
        <v>4718</v>
      </c>
      <c r="K864" s="268" t="s">
        <v>5951</v>
      </c>
      <c r="L864" s="287">
        <v>45467</v>
      </c>
      <c r="M864" s="268"/>
      <c r="N864" s="282">
        <v>2</v>
      </c>
      <c r="O864" s="268" t="s">
        <v>4723</v>
      </c>
      <c r="P864" s="280">
        <v>2888.18</v>
      </c>
      <c r="Q864" s="310">
        <v>45429</v>
      </c>
      <c r="R864" s="272"/>
      <c r="S864" s="272"/>
      <c r="T864" s="272"/>
      <c r="U864" s="272"/>
      <c r="V864" s="272"/>
      <c r="W864" s="272"/>
      <c r="X864" s="272"/>
      <c r="Y864" s="272"/>
      <c r="Z864" s="272"/>
      <c r="AA864" s="272"/>
    </row>
    <row r="865" spans="1:27">
      <c r="A865" s="273">
        <v>6</v>
      </c>
      <c r="B865" s="274" t="s">
        <v>5836</v>
      </c>
      <c r="C865" s="289"/>
      <c r="D865" s="274" t="s">
        <v>4714</v>
      </c>
      <c r="E865" s="268" t="s">
        <v>2929</v>
      </c>
      <c r="F865" s="268" t="s">
        <v>4715</v>
      </c>
      <c r="G865" s="268" t="s">
        <v>4715</v>
      </c>
      <c r="H865" s="268" t="str">
        <f t="shared" si="5"/>
        <v>GUILLERMO SAN JUAN DE LA MORETA</v>
      </c>
      <c r="I865" s="268" t="s">
        <v>5100</v>
      </c>
      <c r="J865" s="268" t="s">
        <v>4718</v>
      </c>
      <c r="K865" s="268" t="s">
        <v>5952</v>
      </c>
      <c r="L865" s="276">
        <v>45467</v>
      </c>
      <c r="M865" s="277"/>
      <c r="N865" s="282">
        <v>2</v>
      </c>
      <c r="O865" s="284" t="s">
        <v>4720</v>
      </c>
      <c r="P865" s="280">
        <v>3524.5</v>
      </c>
      <c r="Q865" s="281"/>
      <c r="R865" s="272"/>
      <c r="S865" s="272"/>
      <c r="T865" s="272"/>
      <c r="U865" s="272"/>
      <c r="V865" s="272"/>
      <c r="W865" s="272"/>
      <c r="X865" s="272"/>
      <c r="Y865" s="272"/>
      <c r="Z865" s="272"/>
      <c r="AA865" s="272"/>
    </row>
    <row r="866" spans="1:27">
      <c r="A866" s="273">
        <v>6</v>
      </c>
      <c r="B866" s="274" t="s">
        <v>5836</v>
      </c>
      <c r="C866" s="289"/>
      <c r="D866" s="274" t="s">
        <v>4714</v>
      </c>
      <c r="E866" s="268" t="s">
        <v>2929</v>
      </c>
      <c r="F866" s="268" t="s">
        <v>4715</v>
      </c>
      <c r="G866" s="268" t="s">
        <v>4715</v>
      </c>
      <c r="H866" s="268" t="str">
        <f t="shared" si="5"/>
        <v>ANTONIO RODRÍGUEZ RIVERO</v>
      </c>
      <c r="I866" s="268" t="s">
        <v>4717</v>
      </c>
      <c r="J866" s="272" t="s">
        <v>4718</v>
      </c>
      <c r="K866" s="268" t="s">
        <v>5953</v>
      </c>
      <c r="L866" s="276">
        <v>45467</v>
      </c>
      <c r="M866" s="277"/>
      <c r="N866" s="282">
        <v>2</v>
      </c>
      <c r="O866" s="284" t="s">
        <v>4723</v>
      </c>
      <c r="P866" s="280">
        <v>2888.02</v>
      </c>
      <c r="Q866" s="281"/>
      <c r="R866" s="272"/>
      <c r="S866" s="272"/>
      <c r="T866" s="272"/>
      <c r="U866" s="272"/>
      <c r="V866" s="272"/>
      <c r="W866" s="272"/>
      <c r="X866" s="272"/>
      <c r="Y866" s="272"/>
      <c r="Z866" s="272"/>
      <c r="AA866" s="272"/>
    </row>
    <row r="867" spans="1:27">
      <c r="A867" s="273">
        <v>6</v>
      </c>
      <c r="B867" s="274" t="s">
        <v>5836</v>
      </c>
      <c r="C867" s="289">
        <v>45436</v>
      </c>
      <c r="D867" s="274" t="s">
        <v>4714</v>
      </c>
      <c r="E867" s="268" t="s">
        <v>3193</v>
      </c>
      <c r="F867" s="268" t="s">
        <v>4715</v>
      </c>
      <c r="G867" s="268" t="s">
        <v>4716</v>
      </c>
      <c r="H867" s="268" t="str">
        <f t="shared" si="5"/>
        <v>JOAQUIN GUTIERREZ BARQUIN</v>
      </c>
      <c r="I867" s="268" t="s">
        <v>5954</v>
      </c>
      <c r="J867" s="272" t="s">
        <v>4718</v>
      </c>
      <c r="K867" s="268" t="s">
        <v>5955</v>
      </c>
      <c r="L867" s="276">
        <v>45467</v>
      </c>
      <c r="M867" s="277"/>
      <c r="N867" s="282">
        <v>2</v>
      </c>
      <c r="O867" s="284" t="s">
        <v>4723</v>
      </c>
      <c r="P867" s="280">
        <v>2888.18</v>
      </c>
      <c r="Q867" s="281">
        <v>45436</v>
      </c>
      <c r="R867" s="272"/>
      <c r="S867" s="272"/>
      <c r="T867" s="272"/>
      <c r="U867" s="272"/>
      <c r="V867" s="272"/>
      <c r="W867" s="272"/>
      <c r="X867" s="272"/>
      <c r="Y867" s="272"/>
      <c r="Z867" s="272"/>
      <c r="AA867" s="272"/>
    </row>
    <row r="868" spans="1:27">
      <c r="A868" s="273">
        <v>6</v>
      </c>
      <c r="B868" s="274" t="s">
        <v>5836</v>
      </c>
      <c r="C868" s="289"/>
      <c r="D868" s="274" t="s">
        <v>4714</v>
      </c>
      <c r="E868" s="268" t="s">
        <v>3011</v>
      </c>
      <c r="F868" s="268" t="s">
        <v>4715</v>
      </c>
      <c r="G868" s="268" t="s">
        <v>4716</v>
      </c>
      <c r="H868" s="268" t="str">
        <f t="shared" si="5"/>
        <v>ENRIQUE GÓMEZ ALDAZ</v>
      </c>
      <c r="I868" s="268" t="s">
        <v>5956</v>
      </c>
      <c r="J868" s="272" t="s">
        <v>4729</v>
      </c>
      <c r="K868" s="268" t="s">
        <v>5957</v>
      </c>
      <c r="L868" s="287">
        <v>45467</v>
      </c>
      <c r="M868" s="283"/>
      <c r="N868" s="282">
        <v>2</v>
      </c>
      <c r="O868" s="284" t="s">
        <v>4787</v>
      </c>
      <c r="P868" s="280">
        <v>4400</v>
      </c>
      <c r="Q868" s="281"/>
      <c r="R868" s="272"/>
      <c r="S868" s="272"/>
      <c r="T868" s="272"/>
      <c r="U868" s="272"/>
      <c r="V868" s="272"/>
      <c r="W868" s="272"/>
      <c r="X868" s="272"/>
      <c r="Y868" s="272"/>
      <c r="Z868" s="272"/>
      <c r="AA868" s="272"/>
    </row>
    <row r="869" spans="1:27">
      <c r="A869" s="273">
        <v>6</v>
      </c>
      <c r="B869" s="274" t="s">
        <v>5836</v>
      </c>
      <c r="C869" s="289">
        <v>45447</v>
      </c>
      <c r="D869" s="274" t="s">
        <v>4714</v>
      </c>
      <c r="E869" s="268" t="s">
        <v>2972</v>
      </c>
      <c r="F869" s="268" t="s">
        <v>4715</v>
      </c>
      <c r="G869" s="268" t="s">
        <v>4716</v>
      </c>
      <c r="H869" s="268" t="str">
        <f t="shared" si="5"/>
        <v>CARLOS FÉLIX ASENSIO NIETO</v>
      </c>
      <c r="I869" s="268" t="s">
        <v>5371</v>
      </c>
      <c r="J869" s="272" t="s">
        <v>4822</v>
      </c>
      <c r="K869" s="268" t="s">
        <v>5958</v>
      </c>
      <c r="L869" s="287">
        <v>45467</v>
      </c>
      <c r="M869" s="277"/>
      <c r="N869" s="282">
        <v>2</v>
      </c>
      <c r="O869" s="284" t="s">
        <v>4720</v>
      </c>
      <c r="P869" s="280">
        <v>3523.64</v>
      </c>
      <c r="Q869" s="281">
        <v>45447</v>
      </c>
      <c r="R869" s="272"/>
      <c r="S869" s="272"/>
      <c r="T869" s="272"/>
      <c r="U869" s="272"/>
      <c r="V869" s="272"/>
      <c r="W869" s="272"/>
      <c r="X869" s="272"/>
      <c r="Y869" s="272"/>
      <c r="Z869" s="272"/>
      <c r="AA869" s="272"/>
    </row>
    <row r="870" spans="1:27">
      <c r="A870" s="273">
        <v>6</v>
      </c>
      <c r="B870" s="274" t="s">
        <v>5836</v>
      </c>
      <c r="C870" s="289">
        <v>45397</v>
      </c>
      <c r="D870" s="274" t="s">
        <v>4714</v>
      </c>
      <c r="E870" s="268" t="s">
        <v>4799</v>
      </c>
      <c r="F870" s="268" t="s">
        <v>4715</v>
      </c>
      <c r="G870" s="268" t="s">
        <v>4716</v>
      </c>
      <c r="H870" s="268" t="str">
        <f t="shared" si="5"/>
        <v>ADELA PÉREZ-CARO RÍOS</v>
      </c>
      <c r="I870" s="268" t="s">
        <v>5169</v>
      </c>
      <c r="J870" s="278" t="s">
        <v>4790</v>
      </c>
      <c r="K870" s="268" t="s">
        <v>5959</v>
      </c>
      <c r="L870" s="276">
        <v>45467</v>
      </c>
      <c r="M870" s="283"/>
      <c r="N870" s="282">
        <v>2</v>
      </c>
      <c r="O870" s="284" t="s">
        <v>4720</v>
      </c>
      <c r="P870" s="280">
        <v>3363.64</v>
      </c>
      <c r="Q870" s="281">
        <v>45397</v>
      </c>
      <c r="R870" s="272"/>
      <c r="S870" s="272"/>
      <c r="T870" s="272"/>
      <c r="U870" s="272"/>
      <c r="V870" s="272"/>
      <c r="W870" s="272"/>
      <c r="X870" s="272"/>
      <c r="Y870" s="272"/>
      <c r="Z870" s="272"/>
      <c r="AA870" s="272"/>
    </row>
    <row r="871" spans="1:27">
      <c r="A871" s="273">
        <v>6</v>
      </c>
      <c r="B871" s="274" t="s">
        <v>5836</v>
      </c>
      <c r="C871" s="275">
        <v>45407</v>
      </c>
      <c r="D871" s="274" t="s">
        <v>4714</v>
      </c>
      <c r="E871" s="268" t="s">
        <v>4734</v>
      </c>
      <c r="F871" s="268" t="s">
        <v>4724</v>
      </c>
      <c r="G871" s="268" t="s">
        <v>4725</v>
      </c>
      <c r="H871" s="268" t="str">
        <f t="shared" si="5"/>
        <v>GUILLERMO SEVERÁ FERRANDIZ</v>
      </c>
      <c r="I871" s="268" t="s">
        <v>5190</v>
      </c>
      <c r="J871" s="272" t="s">
        <v>4736</v>
      </c>
      <c r="K871" s="268" t="s">
        <v>5960</v>
      </c>
      <c r="L871" s="287">
        <v>45468</v>
      </c>
      <c r="M871" s="268"/>
      <c r="N871" s="282">
        <v>2</v>
      </c>
      <c r="O871" s="268" t="s">
        <v>4740</v>
      </c>
      <c r="P871" s="280">
        <v>3800</v>
      </c>
      <c r="Q871" s="303">
        <v>45407</v>
      </c>
      <c r="R871" s="272"/>
      <c r="S871" s="272"/>
      <c r="T871" s="272"/>
      <c r="U871" s="272"/>
      <c r="V871" s="272"/>
      <c r="W871" s="272"/>
      <c r="X871" s="272"/>
      <c r="Y871" s="272"/>
      <c r="Z871" s="272"/>
      <c r="AA871" s="272"/>
    </row>
    <row r="872" spans="1:27">
      <c r="A872" s="273">
        <v>6</v>
      </c>
      <c r="B872" s="274" t="s">
        <v>5836</v>
      </c>
      <c r="C872" s="275"/>
      <c r="D872" s="274" t="s">
        <v>4714</v>
      </c>
      <c r="E872" s="268" t="s">
        <v>4194</v>
      </c>
      <c r="F872" s="268" t="s">
        <v>4715</v>
      </c>
      <c r="G872" s="268" t="s">
        <v>4716</v>
      </c>
      <c r="H872" s="268" t="str">
        <f t="shared" si="5"/>
        <v>FRANCISCO PASTOR BEVIÁ</v>
      </c>
      <c r="I872" s="268" t="s">
        <v>4738</v>
      </c>
      <c r="J872" s="272" t="s">
        <v>4736</v>
      </c>
      <c r="K872" s="268" t="s">
        <v>5961</v>
      </c>
      <c r="L872" s="287">
        <v>45468</v>
      </c>
      <c r="M872" s="268"/>
      <c r="N872" s="282">
        <v>2</v>
      </c>
      <c r="O872" s="268" t="s">
        <v>4723</v>
      </c>
      <c r="P872" s="280">
        <v>909.09</v>
      </c>
      <c r="Q872" s="304"/>
      <c r="R872" s="272"/>
      <c r="S872" s="272"/>
      <c r="T872" s="272"/>
      <c r="U872" s="272"/>
      <c r="V872" s="272"/>
      <c r="W872" s="272"/>
      <c r="X872" s="272"/>
      <c r="Y872" s="272"/>
      <c r="Z872" s="272"/>
      <c r="AA872" s="272"/>
    </row>
    <row r="873" spans="1:27">
      <c r="A873" s="273">
        <v>6</v>
      </c>
      <c r="B873" s="274" t="s">
        <v>5836</v>
      </c>
      <c r="C873" s="275"/>
      <c r="D873" s="274" t="s">
        <v>4714</v>
      </c>
      <c r="E873" s="268" t="s">
        <v>4194</v>
      </c>
      <c r="F873" s="268" t="s">
        <v>4715</v>
      </c>
      <c r="G873" s="268" t="s">
        <v>4716</v>
      </c>
      <c r="H873" s="268" t="str">
        <f t="shared" si="5"/>
        <v>MARIA ROSARIO FERRANDIZ GARCÍA</v>
      </c>
      <c r="I873" s="268" t="s">
        <v>5374</v>
      </c>
      <c r="J873" s="272" t="s">
        <v>4736</v>
      </c>
      <c r="K873" s="268" t="s">
        <v>5962</v>
      </c>
      <c r="L873" s="302">
        <v>45468</v>
      </c>
      <c r="M873" s="268"/>
      <c r="N873" s="282">
        <v>2</v>
      </c>
      <c r="O873" s="268" t="s">
        <v>4787</v>
      </c>
      <c r="P873" s="280">
        <v>4336.3599999999997</v>
      </c>
      <c r="Q873" s="304"/>
      <c r="R873" s="272"/>
      <c r="S873" s="272"/>
      <c r="T873" s="272"/>
      <c r="U873" s="272"/>
      <c r="V873" s="272"/>
      <c r="W873" s="272"/>
      <c r="X873" s="272"/>
      <c r="Y873" s="272"/>
      <c r="Z873" s="272"/>
      <c r="AA873" s="272"/>
    </row>
    <row r="874" spans="1:27">
      <c r="A874" s="273">
        <v>6</v>
      </c>
      <c r="B874" s="274" t="s">
        <v>5836</v>
      </c>
      <c r="C874" s="289">
        <v>45419</v>
      </c>
      <c r="D874" s="274" t="s">
        <v>4714</v>
      </c>
      <c r="E874" s="268" t="s">
        <v>2893</v>
      </c>
      <c r="F874" s="268" t="s">
        <v>4715</v>
      </c>
      <c r="G874" s="268" t="s">
        <v>4716</v>
      </c>
      <c r="H874" s="268" t="str">
        <f t="shared" si="5"/>
        <v>MAR LASSO DE LA VEGA ZAMORA</v>
      </c>
      <c r="I874" s="268" t="s">
        <v>5183</v>
      </c>
      <c r="J874" s="272" t="s">
        <v>4718</v>
      </c>
      <c r="K874" s="268" t="s">
        <v>5963</v>
      </c>
      <c r="L874" s="287">
        <v>45468</v>
      </c>
      <c r="M874" s="268"/>
      <c r="N874" s="282">
        <v>1</v>
      </c>
      <c r="O874" s="268" t="s">
        <v>5814</v>
      </c>
      <c r="P874" s="280">
        <v>2280</v>
      </c>
      <c r="Q874" s="310">
        <v>45419</v>
      </c>
      <c r="R874" s="272"/>
      <c r="S874" s="272"/>
      <c r="T874" s="272"/>
      <c r="U874" s="272"/>
      <c r="V874" s="272"/>
      <c r="W874" s="272"/>
      <c r="X874" s="272"/>
      <c r="Y874" s="272"/>
      <c r="Z874" s="272"/>
      <c r="AA874" s="272"/>
    </row>
    <row r="875" spans="1:27">
      <c r="A875" s="273">
        <v>6</v>
      </c>
      <c r="B875" s="274" t="s">
        <v>5836</v>
      </c>
      <c r="C875" s="289">
        <v>45422</v>
      </c>
      <c r="D875" s="274" t="s">
        <v>4714</v>
      </c>
      <c r="E875" s="268" t="s">
        <v>2893</v>
      </c>
      <c r="F875" s="268" t="s">
        <v>4715</v>
      </c>
      <c r="G875" s="268" t="s">
        <v>4716</v>
      </c>
      <c r="H875" s="268" t="str">
        <f t="shared" si="5"/>
        <v>JESÚS RAMOS FERNÁNDEZ</v>
      </c>
      <c r="I875" s="268" t="s">
        <v>4923</v>
      </c>
      <c r="J875" s="272" t="s">
        <v>4718</v>
      </c>
      <c r="K875" s="268" t="s">
        <v>5964</v>
      </c>
      <c r="L875" s="287">
        <v>45468</v>
      </c>
      <c r="M875" s="272"/>
      <c r="N875" s="282">
        <v>2</v>
      </c>
      <c r="O875" s="268" t="s">
        <v>4720</v>
      </c>
      <c r="P875" s="280">
        <v>3710</v>
      </c>
      <c r="Q875" s="310">
        <v>45422</v>
      </c>
      <c r="R875" s="272"/>
      <c r="S875" s="272"/>
      <c r="T875" s="272"/>
      <c r="U875" s="272"/>
      <c r="V875" s="272"/>
      <c r="W875" s="272"/>
      <c r="X875" s="272"/>
      <c r="Y875" s="272"/>
      <c r="Z875" s="272"/>
      <c r="AA875" s="272"/>
    </row>
    <row r="876" spans="1:27">
      <c r="A876" s="273">
        <v>6</v>
      </c>
      <c r="B876" s="274" t="s">
        <v>5836</v>
      </c>
      <c r="C876" s="289">
        <v>45446</v>
      </c>
      <c r="D876" s="274" t="s">
        <v>4714</v>
      </c>
      <c r="E876" s="268" t="s">
        <v>2893</v>
      </c>
      <c r="F876" s="268" t="s">
        <v>4715</v>
      </c>
      <c r="G876" s="268" t="s">
        <v>4716</v>
      </c>
      <c r="H876" s="268" t="str">
        <f t="shared" si="5"/>
        <v>SERGIO Zaragoza GUIJO</v>
      </c>
      <c r="I876" s="268" t="s">
        <v>5180</v>
      </c>
      <c r="J876" s="272" t="s">
        <v>4718</v>
      </c>
      <c r="K876" s="268" t="s">
        <v>5965</v>
      </c>
      <c r="L876" s="302">
        <v>45468</v>
      </c>
      <c r="M876" s="268"/>
      <c r="N876" s="282">
        <v>2</v>
      </c>
      <c r="O876" s="268" t="s">
        <v>4720</v>
      </c>
      <c r="P876" s="280">
        <v>3710</v>
      </c>
      <c r="Q876" s="310">
        <v>45446</v>
      </c>
      <c r="R876" s="272"/>
      <c r="S876" s="272"/>
      <c r="T876" s="272"/>
      <c r="U876" s="272"/>
      <c r="V876" s="272"/>
      <c r="W876" s="272"/>
      <c r="X876" s="272"/>
      <c r="Y876" s="272"/>
      <c r="Z876" s="272"/>
      <c r="AA876" s="272"/>
    </row>
    <row r="877" spans="1:27">
      <c r="A877" s="273">
        <v>6</v>
      </c>
      <c r="B877" s="274" t="s">
        <v>5836</v>
      </c>
      <c r="C877" s="289">
        <v>45422</v>
      </c>
      <c r="D877" s="274" t="s">
        <v>4714</v>
      </c>
      <c r="E877" s="268" t="s">
        <v>2893</v>
      </c>
      <c r="F877" s="268" t="s">
        <v>4715</v>
      </c>
      <c r="G877" s="268" t="s">
        <v>4716</v>
      </c>
      <c r="H877" s="268" t="str">
        <f t="shared" si="5"/>
        <v>MAR LASSO DE LA VEGA ZAMORA</v>
      </c>
      <c r="I877" s="268" t="s">
        <v>5183</v>
      </c>
      <c r="J877" s="272" t="s">
        <v>4718</v>
      </c>
      <c r="K877" s="268" t="s">
        <v>5966</v>
      </c>
      <c r="L877" s="302">
        <v>45468</v>
      </c>
      <c r="M877" s="268"/>
      <c r="N877" s="282">
        <v>2</v>
      </c>
      <c r="O877" s="268" t="s">
        <v>5814</v>
      </c>
      <c r="P877" s="280">
        <v>4000</v>
      </c>
      <c r="Q877" s="308">
        <v>45422</v>
      </c>
      <c r="R877" s="272"/>
      <c r="S877" s="272"/>
      <c r="T877" s="272"/>
      <c r="U877" s="272"/>
      <c r="V877" s="272"/>
      <c r="W877" s="272"/>
      <c r="X877" s="272"/>
      <c r="Y877" s="272"/>
      <c r="Z877" s="272"/>
      <c r="AA877" s="272"/>
    </row>
    <row r="878" spans="1:27">
      <c r="A878" s="273">
        <v>6</v>
      </c>
      <c r="B878" s="274" t="s">
        <v>5836</v>
      </c>
      <c r="C878" s="289">
        <v>45342</v>
      </c>
      <c r="D878" s="274" t="s">
        <v>4714</v>
      </c>
      <c r="E878" s="268" t="s">
        <v>3043</v>
      </c>
      <c r="F878" s="268" t="s">
        <v>4715</v>
      </c>
      <c r="G878" s="268" t="s">
        <v>4716</v>
      </c>
      <c r="H878" s="268" t="str">
        <f t="shared" si="5"/>
        <v>LUIS JIMÉNEZ FERRERES</v>
      </c>
      <c r="I878" s="268" t="s">
        <v>5967</v>
      </c>
      <c r="J878" s="272" t="s">
        <v>4822</v>
      </c>
      <c r="K878" s="268" t="s">
        <v>5968</v>
      </c>
      <c r="L878" s="276">
        <v>45468</v>
      </c>
      <c r="M878" s="277"/>
      <c r="N878" s="282">
        <v>2</v>
      </c>
      <c r="O878" s="284" t="s">
        <v>4723</v>
      </c>
      <c r="P878" s="280">
        <v>2641.87</v>
      </c>
      <c r="Q878" s="281">
        <v>45342</v>
      </c>
      <c r="R878" s="272"/>
      <c r="S878" s="272"/>
      <c r="T878" s="272"/>
      <c r="U878" s="272"/>
      <c r="V878" s="272"/>
      <c r="W878" s="272"/>
      <c r="X878" s="272"/>
      <c r="Y878" s="272"/>
      <c r="Z878" s="272"/>
      <c r="AA878" s="272"/>
    </row>
    <row r="879" spans="1:27">
      <c r="A879" s="273">
        <v>6</v>
      </c>
      <c r="B879" s="274" t="s">
        <v>5836</v>
      </c>
      <c r="C879" s="289"/>
      <c r="D879" s="274" t="s">
        <v>4714</v>
      </c>
      <c r="E879" s="268" t="s">
        <v>2869</v>
      </c>
      <c r="F879" s="268" t="s">
        <v>4715</v>
      </c>
      <c r="G879" s="268" t="s">
        <v>4716</v>
      </c>
      <c r="H879" s="268" t="str">
        <f t="shared" si="5"/>
        <v>MARÍA AGUSTINA SEVILLA GARCÍA</v>
      </c>
      <c r="I879" s="268" t="s">
        <v>4812</v>
      </c>
      <c r="J879" s="272" t="s">
        <v>4736</v>
      </c>
      <c r="K879" s="268" t="s">
        <v>5969</v>
      </c>
      <c r="L879" s="276">
        <v>45468</v>
      </c>
      <c r="M879" s="283"/>
      <c r="N879" s="282">
        <v>1</v>
      </c>
      <c r="O879" s="284" t="s">
        <v>4787</v>
      </c>
      <c r="P879" s="280">
        <v>2639.42</v>
      </c>
      <c r="Q879" s="281"/>
      <c r="R879" s="272"/>
      <c r="S879" s="272"/>
      <c r="T879" s="272"/>
      <c r="U879" s="272"/>
      <c r="V879" s="272"/>
      <c r="W879" s="272"/>
      <c r="X879" s="272"/>
      <c r="Y879" s="272"/>
      <c r="Z879" s="272"/>
      <c r="AA879" s="272"/>
    </row>
    <row r="880" spans="1:27">
      <c r="A880" s="273">
        <v>6</v>
      </c>
      <c r="B880" s="274" t="s">
        <v>5836</v>
      </c>
      <c r="C880" s="289"/>
      <c r="D880" s="274" t="s">
        <v>4714</v>
      </c>
      <c r="E880" s="268" t="s">
        <v>2869</v>
      </c>
      <c r="F880" s="268" t="s">
        <v>4715</v>
      </c>
      <c r="G880" s="268" t="s">
        <v>4716</v>
      </c>
      <c r="H880" s="268" t="str">
        <f t="shared" si="5"/>
        <v>AIDA AVIÑOA ARIAS</v>
      </c>
      <c r="I880" s="268" t="s">
        <v>5298</v>
      </c>
      <c r="J880" s="272" t="s">
        <v>4736</v>
      </c>
      <c r="K880" s="268" t="s">
        <v>5970</v>
      </c>
      <c r="L880" s="276">
        <v>45468</v>
      </c>
      <c r="M880" s="283"/>
      <c r="N880" s="282">
        <v>2</v>
      </c>
      <c r="O880" s="284" t="s">
        <v>5814</v>
      </c>
      <c r="P880" s="280">
        <v>2961.82</v>
      </c>
      <c r="Q880" s="281"/>
      <c r="R880" s="272"/>
      <c r="S880" s="272"/>
      <c r="T880" s="272"/>
      <c r="U880" s="272"/>
      <c r="V880" s="272"/>
      <c r="W880" s="272"/>
      <c r="X880" s="272"/>
      <c r="Y880" s="272"/>
      <c r="Z880" s="272"/>
      <c r="AA880" s="272"/>
    </row>
    <row r="881" spans="1:27">
      <c r="A881" s="273">
        <v>6</v>
      </c>
      <c r="B881" s="274" t="s">
        <v>5836</v>
      </c>
      <c r="C881" s="289">
        <v>45384</v>
      </c>
      <c r="D881" s="274" t="s">
        <v>4714</v>
      </c>
      <c r="E881" s="268" t="s">
        <v>2873</v>
      </c>
      <c r="F881" s="268" t="s">
        <v>4715</v>
      </c>
      <c r="G881" s="268" t="s">
        <v>4716</v>
      </c>
      <c r="H881" s="268" t="str">
        <f t="shared" si="5"/>
        <v>MÓNICA RODRÍGUEZ</v>
      </c>
      <c r="I881" s="268" t="s">
        <v>5171</v>
      </c>
      <c r="J881" s="272" t="s">
        <v>4736</v>
      </c>
      <c r="K881" s="268" t="s">
        <v>5971</v>
      </c>
      <c r="L881" s="276">
        <v>45468</v>
      </c>
      <c r="M881" s="277"/>
      <c r="N881" s="282">
        <v>1</v>
      </c>
      <c r="O881" s="284" t="s">
        <v>4723</v>
      </c>
      <c r="P881" s="280">
        <v>1550</v>
      </c>
      <c r="Q881" s="281">
        <v>45384</v>
      </c>
      <c r="R881" s="272"/>
      <c r="S881" s="272"/>
      <c r="T881" s="272"/>
      <c r="U881" s="272"/>
      <c r="V881" s="272"/>
      <c r="W881" s="272"/>
      <c r="X881" s="272"/>
      <c r="Y881" s="272"/>
      <c r="Z881" s="272"/>
      <c r="AA881" s="272"/>
    </row>
    <row r="882" spans="1:27">
      <c r="A882" s="273">
        <v>6</v>
      </c>
      <c r="B882" s="274" t="s">
        <v>5836</v>
      </c>
      <c r="C882" s="289">
        <v>45358</v>
      </c>
      <c r="D882" s="285" t="s">
        <v>4714</v>
      </c>
      <c r="E882" s="268" t="s">
        <v>4780</v>
      </c>
      <c r="F882" s="268" t="s">
        <v>4715</v>
      </c>
      <c r="G882" s="268" t="s">
        <v>4716</v>
      </c>
      <c r="H882" s="268" t="str">
        <f t="shared" si="5"/>
        <v>MARÍA JESÚS CORNEJO DOMÍNGUEZ</v>
      </c>
      <c r="I882" s="268" t="s">
        <v>4781</v>
      </c>
      <c r="J882" s="268" t="s">
        <v>4747</v>
      </c>
      <c r="K882" s="268" t="s">
        <v>5972</v>
      </c>
      <c r="L882" s="276">
        <v>45468</v>
      </c>
      <c r="M882" s="277"/>
      <c r="N882" s="282">
        <v>2</v>
      </c>
      <c r="O882" s="284" t="s">
        <v>4720</v>
      </c>
      <c r="P882" s="280">
        <v>3604.55</v>
      </c>
      <c r="Q882" s="281">
        <v>45358</v>
      </c>
      <c r="R882" s="272"/>
      <c r="S882" s="272"/>
      <c r="T882" s="272"/>
      <c r="U882" s="272"/>
      <c r="V882" s="272"/>
      <c r="W882" s="272"/>
      <c r="X882" s="272"/>
      <c r="Y882" s="272"/>
      <c r="Z882" s="272"/>
      <c r="AA882" s="272"/>
    </row>
    <row r="883" spans="1:27">
      <c r="A883" s="273">
        <v>6</v>
      </c>
      <c r="B883" s="274" t="s">
        <v>5836</v>
      </c>
      <c r="C883" s="289">
        <v>45432</v>
      </c>
      <c r="D883" s="274" t="s">
        <v>4714</v>
      </c>
      <c r="E883" s="268" t="s">
        <v>4780</v>
      </c>
      <c r="F883" s="268" t="s">
        <v>4715</v>
      </c>
      <c r="G883" s="268" t="s">
        <v>4716</v>
      </c>
      <c r="H883" s="268" t="str">
        <f t="shared" si="5"/>
        <v>MARÍA JESÚS CORNEJO DOMÍNGUEZ</v>
      </c>
      <c r="I883" s="268" t="s">
        <v>4781</v>
      </c>
      <c r="J883" s="272" t="s">
        <v>4747</v>
      </c>
      <c r="K883" s="268" t="s">
        <v>5973</v>
      </c>
      <c r="L883" s="276">
        <v>45468</v>
      </c>
      <c r="M883" s="277"/>
      <c r="N883" s="282">
        <v>2</v>
      </c>
      <c r="O883" s="284" t="s">
        <v>4720</v>
      </c>
      <c r="P883" s="280">
        <v>3604.55</v>
      </c>
      <c r="Q883" s="281">
        <v>45432</v>
      </c>
      <c r="R883" s="272"/>
      <c r="S883" s="272"/>
      <c r="T883" s="272"/>
      <c r="U883" s="272"/>
      <c r="V883" s="272"/>
      <c r="W883" s="272"/>
      <c r="X883" s="272"/>
      <c r="Y883" s="272"/>
      <c r="Z883" s="272"/>
      <c r="AA883" s="272"/>
    </row>
    <row r="884" spans="1:27">
      <c r="A884" s="273">
        <v>6</v>
      </c>
      <c r="B884" s="274" t="s">
        <v>5836</v>
      </c>
      <c r="C884" s="289">
        <v>45426</v>
      </c>
      <c r="D884" s="274" t="s">
        <v>4714</v>
      </c>
      <c r="E884" s="268" t="s">
        <v>4780</v>
      </c>
      <c r="F884" s="268" t="s">
        <v>4715</v>
      </c>
      <c r="G884" s="268" t="s">
        <v>4716</v>
      </c>
      <c r="H884" s="268" t="str">
        <f t="shared" si="5"/>
        <v>LUIS MIGUEL RINCÓN ESTEBAN</v>
      </c>
      <c r="I884" s="268" t="s">
        <v>5307</v>
      </c>
      <c r="J884" s="268" t="s">
        <v>4747</v>
      </c>
      <c r="K884" s="268" t="s">
        <v>5974</v>
      </c>
      <c r="L884" s="276">
        <v>45468</v>
      </c>
      <c r="M884" s="283"/>
      <c r="N884" s="282">
        <v>2</v>
      </c>
      <c r="O884" s="284" t="s">
        <v>4723</v>
      </c>
      <c r="P884" s="280">
        <v>2780.91</v>
      </c>
      <c r="Q884" s="281">
        <v>45426</v>
      </c>
      <c r="R884" s="272"/>
      <c r="S884" s="272"/>
      <c r="T884" s="272"/>
      <c r="U884" s="272"/>
      <c r="V884" s="272"/>
      <c r="W884" s="272"/>
      <c r="X884" s="272"/>
      <c r="Y884" s="272"/>
      <c r="Z884" s="272"/>
      <c r="AA884" s="272"/>
    </row>
    <row r="885" spans="1:27">
      <c r="A885" s="273">
        <v>6</v>
      </c>
      <c r="B885" s="274" t="s">
        <v>5836</v>
      </c>
      <c r="C885" s="289">
        <v>45428</v>
      </c>
      <c r="D885" s="274" t="s">
        <v>4714</v>
      </c>
      <c r="E885" s="268" t="s">
        <v>4780</v>
      </c>
      <c r="F885" s="268" t="s">
        <v>4715</v>
      </c>
      <c r="G885" s="268" t="s">
        <v>4716</v>
      </c>
      <c r="H885" s="268" t="str">
        <f t="shared" si="5"/>
        <v>MARÍA JESÚS CORNEJO DOMÍNGUEZ</v>
      </c>
      <c r="I885" s="268" t="s">
        <v>4781</v>
      </c>
      <c r="J885" s="272" t="s">
        <v>4747</v>
      </c>
      <c r="K885" s="268" t="s">
        <v>5975</v>
      </c>
      <c r="L885" s="276">
        <v>45468</v>
      </c>
      <c r="M885" s="277"/>
      <c r="N885" s="282">
        <v>2</v>
      </c>
      <c r="O885" s="284" t="s">
        <v>4720</v>
      </c>
      <c r="P885" s="280">
        <v>3604.55</v>
      </c>
      <c r="Q885" s="281">
        <v>45428</v>
      </c>
      <c r="R885" s="272"/>
      <c r="S885" s="272"/>
      <c r="T885" s="272"/>
      <c r="U885" s="272"/>
      <c r="V885" s="272"/>
      <c r="W885" s="272"/>
      <c r="X885" s="272"/>
      <c r="Y885" s="272"/>
      <c r="Z885" s="272"/>
      <c r="AA885" s="272"/>
    </row>
    <row r="886" spans="1:27">
      <c r="A886" s="273">
        <v>6</v>
      </c>
      <c r="B886" s="274" t="s">
        <v>5836</v>
      </c>
      <c r="C886" s="289">
        <v>45404</v>
      </c>
      <c r="D886" s="274" t="s">
        <v>4714</v>
      </c>
      <c r="E886" s="268" t="s">
        <v>3529</v>
      </c>
      <c r="F886" s="268" t="s">
        <v>4715</v>
      </c>
      <c r="G886" s="268" t="s">
        <v>4716</v>
      </c>
      <c r="H886" s="268" t="str">
        <f t="shared" si="5"/>
        <v>JOSEFA OLMEDO MARTÍNEZ</v>
      </c>
      <c r="I886" s="268" t="s">
        <v>5244</v>
      </c>
      <c r="J886" s="278" t="s">
        <v>4729</v>
      </c>
      <c r="K886" s="268" t="s">
        <v>5976</v>
      </c>
      <c r="L886" s="276">
        <v>45468</v>
      </c>
      <c r="M886" s="283"/>
      <c r="N886" s="282">
        <v>2</v>
      </c>
      <c r="O886" s="284" t="s">
        <v>4720</v>
      </c>
      <c r="P886" s="280">
        <v>3710</v>
      </c>
      <c r="Q886" s="281">
        <v>45404</v>
      </c>
      <c r="R886" s="272"/>
      <c r="S886" s="272"/>
      <c r="T886" s="272"/>
      <c r="U886" s="272"/>
      <c r="V886" s="272"/>
      <c r="W886" s="272"/>
      <c r="X886" s="272"/>
      <c r="Y886" s="272"/>
      <c r="Z886" s="272"/>
      <c r="AA886" s="272"/>
    </row>
    <row r="887" spans="1:27">
      <c r="A887" s="273">
        <v>6</v>
      </c>
      <c r="B887" s="274" t="s">
        <v>5836</v>
      </c>
      <c r="C887" s="289">
        <v>45468</v>
      </c>
      <c r="D887" s="274" t="s">
        <v>4714</v>
      </c>
      <c r="E887" s="268" t="s">
        <v>5977</v>
      </c>
      <c r="F887" s="268" t="s">
        <v>2831</v>
      </c>
      <c r="G887" s="268" t="s">
        <v>4716</v>
      </c>
      <c r="H887" s="268" t="str">
        <f t="shared" si="5"/>
        <v>ESTEFANÍA LOZANO REINA</v>
      </c>
      <c r="I887" s="268" t="s">
        <v>5766</v>
      </c>
      <c r="J887" s="272" t="s">
        <v>4729</v>
      </c>
      <c r="K887" s="268" t="s">
        <v>5978</v>
      </c>
      <c r="L887" s="276">
        <v>45468</v>
      </c>
      <c r="M887" s="283"/>
      <c r="N887" s="282">
        <v>2</v>
      </c>
      <c r="O887" s="284" t="s">
        <v>5979</v>
      </c>
      <c r="P887" s="280">
        <v>3084.05</v>
      </c>
      <c r="Q887" s="281">
        <v>45468</v>
      </c>
      <c r="R887" s="272"/>
      <c r="S887" s="272"/>
      <c r="T887" s="272"/>
      <c r="U887" s="272"/>
      <c r="V887" s="272"/>
      <c r="W887" s="272"/>
      <c r="X887" s="272"/>
      <c r="Y887" s="272"/>
      <c r="Z887" s="272"/>
      <c r="AA887" s="272"/>
    </row>
    <row r="888" spans="1:27">
      <c r="A888" s="273">
        <v>6</v>
      </c>
      <c r="B888" s="274" t="s">
        <v>5836</v>
      </c>
      <c r="C888" s="289"/>
      <c r="D888" s="274" t="s">
        <v>4714</v>
      </c>
      <c r="E888" s="268" t="s">
        <v>3011</v>
      </c>
      <c r="F888" s="268" t="s">
        <v>4715</v>
      </c>
      <c r="G888" s="268" t="s">
        <v>4716</v>
      </c>
      <c r="H888" s="268" t="str">
        <f t="shared" si="5"/>
        <v>FRANCISCO ALÉS CONEJO</v>
      </c>
      <c r="I888" s="268" t="s">
        <v>5271</v>
      </c>
      <c r="J888" s="272" t="s">
        <v>4729</v>
      </c>
      <c r="K888" s="268" t="s">
        <v>5980</v>
      </c>
      <c r="L888" s="287">
        <v>45468</v>
      </c>
      <c r="M888" s="277"/>
      <c r="N888" s="282">
        <v>2</v>
      </c>
      <c r="O888" s="284" t="s">
        <v>5814</v>
      </c>
      <c r="P888" s="280">
        <v>4000</v>
      </c>
      <c r="Q888" s="281"/>
      <c r="R888" s="272"/>
      <c r="S888" s="272"/>
      <c r="T888" s="272"/>
      <c r="U888" s="272"/>
      <c r="V888" s="272"/>
      <c r="W888" s="272"/>
      <c r="X888" s="272"/>
      <c r="Y888" s="272"/>
      <c r="Z888" s="272"/>
      <c r="AA888" s="272"/>
    </row>
    <row r="889" spans="1:27">
      <c r="A889" s="273">
        <v>6</v>
      </c>
      <c r="B889" s="274" t="s">
        <v>5836</v>
      </c>
      <c r="C889" s="289"/>
      <c r="D889" s="274" t="s">
        <v>4714</v>
      </c>
      <c r="E889" s="268" t="s">
        <v>2972</v>
      </c>
      <c r="F889" s="268" t="s">
        <v>4715</v>
      </c>
      <c r="G889" s="268" t="s">
        <v>4716</v>
      </c>
      <c r="H889" s="268" t="str">
        <f t="shared" si="5"/>
        <v>CARLOS FÉLIX ASENSIO NIETO</v>
      </c>
      <c r="I889" s="268" t="s">
        <v>5371</v>
      </c>
      <c r="J889" s="272" t="s">
        <v>4822</v>
      </c>
      <c r="K889" s="268" t="s">
        <v>5981</v>
      </c>
      <c r="L889" s="276">
        <v>45468</v>
      </c>
      <c r="M889" s="283"/>
      <c r="N889" s="282">
        <v>2</v>
      </c>
      <c r="O889" s="284" t="s">
        <v>4720</v>
      </c>
      <c r="P889" s="280">
        <v>3710</v>
      </c>
      <c r="Q889" s="281"/>
      <c r="R889" s="272"/>
      <c r="S889" s="272"/>
      <c r="T889" s="272"/>
      <c r="U889" s="272"/>
      <c r="V889" s="272"/>
      <c r="W889" s="272"/>
      <c r="X889" s="272"/>
      <c r="Y889" s="272"/>
      <c r="Z889" s="272"/>
      <c r="AA889" s="272"/>
    </row>
    <row r="890" spans="1:27">
      <c r="A890" s="273">
        <v>6</v>
      </c>
      <c r="B890" s="274" t="s">
        <v>5836</v>
      </c>
      <c r="C890" s="275"/>
      <c r="D890" s="274" t="s">
        <v>4714</v>
      </c>
      <c r="E890" s="268" t="s">
        <v>4194</v>
      </c>
      <c r="F890" s="268" t="s">
        <v>4715</v>
      </c>
      <c r="G890" s="268" t="s">
        <v>4716</v>
      </c>
      <c r="H890" s="268" t="str">
        <f t="shared" si="5"/>
        <v>MARIA ROSARIO FERRANDIZ GARCÍA</v>
      </c>
      <c r="I890" s="268" t="s">
        <v>5374</v>
      </c>
      <c r="J890" s="272" t="s">
        <v>4736</v>
      </c>
      <c r="K890" s="268" t="s">
        <v>5982</v>
      </c>
      <c r="L890" s="302">
        <v>45469</v>
      </c>
      <c r="M890" s="268"/>
      <c r="N890" s="282">
        <v>2</v>
      </c>
      <c r="O890" s="268" t="s">
        <v>4723</v>
      </c>
      <c r="P890" s="280">
        <v>2577.27</v>
      </c>
      <c r="Q890" s="304"/>
      <c r="R890" s="272"/>
      <c r="S890" s="272"/>
      <c r="T890" s="272"/>
      <c r="U890" s="272"/>
      <c r="V890" s="272"/>
      <c r="W890" s="272"/>
      <c r="X890" s="272"/>
      <c r="Y890" s="272"/>
      <c r="Z890" s="272"/>
      <c r="AA890" s="272"/>
    </row>
    <row r="891" spans="1:27">
      <c r="A891" s="273">
        <v>6</v>
      </c>
      <c r="B891" s="274" t="s">
        <v>5836</v>
      </c>
      <c r="C891" s="275">
        <v>45439</v>
      </c>
      <c r="D891" s="274" t="s">
        <v>4714</v>
      </c>
      <c r="E891" s="268" t="s">
        <v>3480</v>
      </c>
      <c r="F891" s="268" t="s">
        <v>4715</v>
      </c>
      <c r="G891" s="268" t="s">
        <v>4716</v>
      </c>
      <c r="H891" s="268" t="str">
        <f t="shared" si="5"/>
        <v>VICTORIA GARCÍA PECES</v>
      </c>
      <c r="I891" s="268" t="s">
        <v>4762</v>
      </c>
      <c r="J891" s="272" t="s">
        <v>4718</v>
      </c>
      <c r="K891" s="268" t="s">
        <v>5983</v>
      </c>
      <c r="L891" s="302">
        <v>45469</v>
      </c>
      <c r="M891" s="268"/>
      <c r="N891" s="282">
        <v>1</v>
      </c>
      <c r="O891" s="268" t="s">
        <v>4740</v>
      </c>
      <c r="P891" s="280">
        <v>2403.64</v>
      </c>
      <c r="Q891" s="304">
        <v>45439</v>
      </c>
      <c r="R891" s="272"/>
      <c r="S891" s="272"/>
      <c r="T891" s="272"/>
      <c r="U891" s="272"/>
      <c r="V891" s="272"/>
      <c r="W891" s="272"/>
      <c r="X891" s="272"/>
      <c r="Y891" s="272"/>
      <c r="Z891" s="272"/>
      <c r="AA891" s="272"/>
    </row>
    <row r="892" spans="1:27">
      <c r="A892" s="273">
        <v>6</v>
      </c>
      <c r="B892" s="274" t="s">
        <v>5836</v>
      </c>
      <c r="C892" s="289">
        <v>45441</v>
      </c>
      <c r="D892" s="274" t="s">
        <v>4714</v>
      </c>
      <c r="E892" s="268" t="s">
        <v>4775</v>
      </c>
      <c r="F892" s="268" t="s">
        <v>4715</v>
      </c>
      <c r="G892" s="268" t="s">
        <v>4716</v>
      </c>
      <c r="H892" s="268" t="str">
        <f t="shared" si="5"/>
        <v>FERNANDO SALAZAR BARCELONA</v>
      </c>
      <c r="I892" s="268" t="s">
        <v>4776</v>
      </c>
      <c r="J892" s="272" t="s">
        <v>4822</v>
      </c>
      <c r="K892" s="268" t="s">
        <v>5984</v>
      </c>
      <c r="L892" s="302">
        <v>45469</v>
      </c>
      <c r="M892" s="268"/>
      <c r="N892" s="282">
        <v>2</v>
      </c>
      <c r="O892" s="268" t="s">
        <v>4740</v>
      </c>
      <c r="P892" s="280">
        <v>3818.18</v>
      </c>
      <c r="Q892" s="310">
        <v>45441</v>
      </c>
      <c r="R892" s="272"/>
      <c r="S892" s="272"/>
      <c r="T892" s="272"/>
      <c r="U892" s="272"/>
      <c r="V892" s="272"/>
      <c r="W892" s="272"/>
      <c r="X892" s="272"/>
      <c r="Y892" s="272"/>
      <c r="Z892" s="272"/>
      <c r="AA892" s="272"/>
    </row>
    <row r="893" spans="1:27">
      <c r="A893" s="273">
        <v>6</v>
      </c>
      <c r="B893" s="274" t="s">
        <v>5836</v>
      </c>
      <c r="C893" s="289">
        <v>45432</v>
      </c>
      <c r="D893" s="274" t="s">
        <v>4714</v>
      </c>
      <c r="E893" s="268" t="s">
        <v>4945</v>
      </c>
      <c r="F893" s="268" t="s">
        <v>4715</v>
      </c>
      <c r="G893" s="268" t="s">
        <v>4716</v>
      </c>
      <c r="H893" s="268" t="str">
        <f t="shared" si="5"/>
        <v>PEDRO JUIZ LÓPEZ</v>
      </c>
      <c r="I893" s="268" t="s">
        <v>4946</v>
      </c>
      <c r="J893" s="272" t="s">
        <v>4790</v>
      </c>
      <c r="K893" s="268" t="s">
        <v>5985</v>
      </c>
      <c r="L893" s="276">
        <v>45469</v>
      </c>
      <c r="M893" s="277"/>
      <c r="N893" s="282">
        <v>1</v>
      </c>
      <c r="O893" s="284" t="s">
        <v>4720</v>
      </c>
      <c r="P893" s="280">
        <v>2272.73</v>
      </c>
      <c r="Q893" s="281">
        <v>45432</v>
      </c>
      <c r="R893" s="272"/>
      <c r="S893" s="272"/>
      <c r="T893" s="272"/>
      <c r="U893" s="272"/>
      <c r="V893" s="272"/>
      <c r="W893" s="272"/>
      <c r="X893" s="272"/>
      <c r="Y893" s="272"/>
      <c r="Z893" s="272"/>
      <c r="AA893" s="272"/>
    </row>
    <row r="894" spans="1:27">
      <c r="A894" s="273">
        <v>6</v>
      </c>
      <c r="B894" s="274" t="s">
        <v>5836</v>
      </c>
      <c r="C894" s="289">
        <v>45436</v>
      </c>
      <c r="D894" s="274" t="s">
        <v>4714</v>
      </c>
      <c r="E894" s="268" t="s">
        <v>3043</v>
      </c>
      <c r="F894" s="268" t="s">
        <v>4715</v>
      </c>
      <c r="G894" s="268" t="s">
        <v>4716</v>
      </c>
      <c r="H894" s="268" t="str">
        <f t="shared" si="5"/>
        <v>Alejandro Harguindey Antoli-Candela</v>
      </c>
      <c r="I894" s="268" t="s">
        <v>4802</v>
      </c>
      <c r="J894" s="272" t="s">
        <v>4718</v>
      </c>
      <c r="K894" s="268" t="s">
        <v>5986</v>
      </c>
      <c r="L894" s="276">
        <v>45469</v>
      </c>
      <c r="M894" s="277"/>
      <c r="N894" s="282">
        <v>2</v>
      </c>
      <c r="O894" s="284" t="s">
        <v>4740</v>
      </c>
      <c r="P894" s="280">
        <v>4000</v>
      </c>
      <c r="Q894" s="281">
        <v>45436</v>
      </c>
      <c r="R894" s="272"/>
      <c r="S894" s="272"/>
      <c r="T894" s="272"/>
      <c r="U894" s="272"/>
      <c r="V894" s="272"/>
      <c r="W894" s="272"/>
      <c r="X894" s="272"/>
      <c r="Y894" s="272"/>
      <c r="Z894" s="272"/>
      <c r="AA894" s="272"/>
    </row>
    <row r="895" spans="1:27">
      <c r="A895" s="273">
        <v>6</v>
      </c>
      <c r="B895" s="274" t="s">
        <v>5836</v>
      </c>
      <c r="C895" s="289">
        <v>45448</v>
      </c>
      <c r="D895" s="274" t="s">
        <v>4714</v>
      </c>
      <c r="E895" s="268" t="s">
        <v>3043</v>
      </c>
      <c r="F895" s="268" t="s">
        <v>4715</v>
      </c>
      <c r="G895" s="268" t="s">
        <v>4716</v>
      </c>
      <c r="H895" s="268" t="str">
        <f t="shared" si="5"/>
        <v>FRANCISCO J, REDONDO DEL BARCO</v>
      </c>
      <c r="I895" s="268" t="s">
        <v>4997</v>
      </c>
      <c r="J895" s="268" t="s">
        <v>4822</v>
      </c>
      <c r="K895" s="268" t="s">
        <v>5987</v>
      </c>
      <c r="L895" s="276">
        <v>45469</v>
      </c>
      <c r="M895" s="277"/>
      <c r="N895" s="282">
        <v>1</v>
      </c>
      <c r="O895" s="284" t="s">
        <v>4740</v>
      </c>
      <c r="P895" s="280">
        <v>2400</v>
      </c>
      <c r="Q895" s="281">
        <v>45448</v>
      </c>
      <c r="R895" s="272"/>
      <c r="S895" s="272"/>
      <c r="T895" s="272"/>
      <c r="U895" s="272"/>
      <c r="V895" s="272"/>
      <c r="W895" s="272"/>
      <c r="X895" s="272"/>
      <c r="Y895" s="272"/>
      <c r="Z895" s="272"/>
      <c r="AA895" s="272"/>
    </row>
    <row r="896" spans="1:27">
      <c r="A896" s="273">
        <v>6</v>
      </c>
      <c r="B896" s="274" t="s">
        <v>5836</v>
      </c>
      <c r="C896" s="289"/>
      <c r="D896" s="274" t="s">
        <v>4714</v>
      </c>
      <c r="E896" s="268" t="s">
        <v>2929</v>
      </c>
      <c r="F896" s="268" t="s">
        <v>4715</v>
      </c>
      <c r="G896" s="268" t="s">
        <v>4715</v>
      </c>
      <c r="H896" s="268" t="str">
        <f t="shared" si="5"/>
        <v>LAURA GARRIDO GARCÍA</v>
      </c>
      <c r="I896" s="268" t="s">
        <v>5196</v>
      </c>
      <c r="J896" s="268" t="s">
        <v>4718</v>
      </c>
      <c r="K896" s="268" t="s">
        <v>5988</v>
      </c>
      <c r="L896" s="276">
        <v>45469</v>
      </c>
      <c r="M896" s="277"/>
      <c r="N896" s="282">
        <v>2</v>
      </c>
      <c r="O896" s="284" t="s">
        <v>5814</v>
      </c>
      <c r="P896" s="280">
        <v>3800</v>
      </c>
      <c r="Q896" s="281"/>
      <c r="R896" s="272"/>
      <c r="S896" s="272"/>
      <c r="T896" s="272"/>
      <c r="U896" s="272"/>
      <c r="V896" s="272"/>
      <c r="W896" s="272"/>
      <c r="X896" s="272"/>
      <c r="Y896" s="272"/>
      <c r="Z896" s="272"/>
      <c r="AA896" s="272"/>
    </row>
    <row r="897" spans="1:27">
      <c r="A897" s="273">
        <v>6</v>
      </c>
      <c r="B897" s="274" t="s">
        <v>5836</v>
      </c>
      <c r="C897" s="289"/>
      <c r="D897" s="274" t="s">
        <v>4714</v>
      </c>
      <c r="E897" s="268" t="s">
        <v>2929</v>
      </c>
      <c r="F897" s="268" t="s">
        <v>4715</v>
      </c>
      <c r="G897" s="268" t="s">
        <v>4715</v>
      </c>
      <c r="H897" s="268" t="str">
        <f t="shared" si="5"/>
        <v>JAVIER GARCÍA DOMÍNGUEZ</v>
      </c>
      <c r="I897" s="268" t="s">
        <v>4881</v>
      </c>
      <c r="J897" s="272" t="s">
        <v>4718</v>
      </c>
      <c r="K897" s="268" t="s">
        <v>5989</v>
      </c>
      <c r="L897" s="276">
        <v>45469</v>
      </c>
      <c r="M897" s="277"/>
      <c r="N897" s="282">
        <v>2</v>
      </c>
      <c r="O897" s="284" t="s">
        <v>5814</v>
      </c>
      <c r="P897" s="280">
        <v>3800</v>
      </c>
      <c r="Q897" s="281"/>
      <c r="R897" s="272"/>
      <c r="S897" s="272"/>
      <c r="T897" s="272"/>
      <c r="U897" s="272"/>
      <c r="V897" s="272"/>
      <c r="W897" s="272"/>
      <c r="X897" s="272"/>
      <c r="Y897" s="272"/>
      <c r="Z897" s="272"/>
      <c r="AA897" s="272"/>
    </row>
    <row r="898" spans="1:27">
      <c r="A898" s="273">
        <v>6</v>
      </c>
      <c r="B898" s="274" t="s">
        <v>5836</v>
      </c>
      <c r="C898" s="289"/>
      <c r="D898" s="274" t="s">
        <v>4714</v>
      </c>
      <c r="E898" s="268" t="s">
        <v>2869</v>
      </c>
      <c r="F898" s="268" t="s">
        <v>4715</v>
      </c>
      <c r="G898" s="268" t="s">
        <v>4716</v>
      </c>
      <c r="H898" s="268" t="str">
        <f t="shared" si="5"/>
        <v>MARÍA AGUSTINA SEVILLA GARCÍA</v>
      </c>
      <c r="I898" s="268" t="s">
        <v>4812</v>
      </c>
      <c r="J898" s="272" t="s">
        <v>4736</v>
      </c>
      <c r="K898" s="268" t="s">
        <v>5990</v>
      </c>
      <c r="L898" s="276">
        <v>45469</v>
      </c>
      <c r="M898" s="277"/>
      <c r="N898" s="282">
        <v>2</v>
      </c>
      <c r="O898" s="284" t="s">
        <v>4723</v>
      </c>
      <c r="P898" s="280">
        <v>2579.09</v>
      </c>
      <c r="Q898" s="281"/>
      <c r="R898" s="272"/>
      <c r="S898" s="272"/>
      <c r="T898" s="272"/>
      <c r="U898" s="272"/>
      <c r="V898" s="272"/>
      <c r="W898" s="272"/>
      <c r="X898" s="272"/>
      <c r="Y898" s="272"/>
      <c r="Z898" s="272"/>
      <c r="AA898" s="272"/>
    </row>
    <row r="899" spans="1:27">
      <c r="A899" s="273">
        <v>6</v>
      </c>
      <c r="B899" s="274" t="s">
        <v>5836</v>
      </c>
      <c r="C899" s="289">
        <v>45442</v>
      </c>
      <c r="D899" s="274" t="s">
        <v>4714</v>
      </c>
      <c r="E899" s="268" t="s">
        <v>2873</v>
      </c>
      <c r="F899" s="268" t="s">
        <v>4715</v>
      </c>
      <c r="G899" s="268" t="s">
        <v>4716</v>
      </c>
      <c r="H899" s="268" t="str">
        <f t="shared" si="5"/>
        <v>MARÍA AGUSTINA SEVILLA GARCÍA</v>
      </c>
      <c r="I899" s="268" t="s">
        <v>4812</v>
      </c>
      <c r="J899" s="272" t="s">
        <v>4736</v>
      </c>
      <c r="K899" s="268" t="s">
        <v>5991</v>
      </c>
      <c r="L899" s="276">
        <v>45469</v>
      </c>
      <c r="M899" s="283"/>
      <c r="N899" s="282">
        <v>2</v>
      </c>
      <c r="O899" s="284" t="s">
        <v>5814</v>
      </c>
      <c r="P899" s="280">
        <v>3800</v>
      </c>
      <c r="Q899" s="281">
        <v>45442</v>
      </c>
      <c r="R899" s="272"/>
      <c r="S899" s="272"/>
      <c r="T899" s="272"/>
      <c r="U899" s="272"/>
      <c r="V899" s="272"/>
      <c r="W899" s="272"/>
      <c r="X899" s="272"/>
      <c r="Y899" s="272"/>
      <c r="Z899" s="272"/>
      <c r="AA899" s="272"/>
    </row>
    <row r="900" spans="1:27">
      <c r="A900" s="273">
        <v>6</v>
      </c>
      <c r="B900" s="274" t="s">
        <v>5836</v>
      </c>
      <c r="C900" s="289">
        <v>45420</v>
      </c>
      <c r="D900" s="274" t="s">
        <v>4714</v>
      </c>
      <c r="E900" s="268" t="s">
        <v>2961</v>
      </c>
      <c r="F900" s="268" t="s">
        <v>4715</v>
      </c>
      <c r="G900" s="268" t="s">
        <v>4716</v>
      </c>
      <c r="H900" s="268" t="str">
        <f t="shared" si="5"/>
        <v>FRANCISCO GARCÍA PURRIÑOS</v>
      </c>
      <c r="I900" s="268" t="s">
        <v>4884</v>
      </c>
      <c r="J900" s="272" t="s">
        <v>4736</v>
      </c>
      <c r="K900" s="268" t="s">
        <v>5992</v>
      </c>
      <c r="L900" s="276">
        <v>45469</v>
      </c>
      <c r="M900" s="283"/>
      <c r="N900" s="282">
        <v>1</v>
      </c>
      <c r="O900" s="284" t="s">
        <v>4720</v>
      </c>
      <c r="P900" s="280">
        <v>2226.36</v>
      </c>
      <c r="Q900" s="281">
        <v>45420</v>
      </c>
      <c r="R900" s="272"/>
      <c r="S900" s="272"/>
      <c r="T900" s="272"/>
      <c r="U900" s="272"/>
      <c r="V900" s="272"/>
      <c r="W900" s="272"/>
      <c r="X900" s="272"/>
      <c r="Y900" s="272"/>
      <c r="Z900" s="272"/>
      <c r="AA900" s="272"/>
    </row>
    <row r="901" spans="1:27">
      <c r="A901" s="273">
        <v>6</v>
      </c>
      <c r="B901" s="274" t="s">
        <v>5836</v>
      </c>
      <c r="C901" s="289">
        <v>45428</v>
      </c>
      <c r="D901" s="274" t="s">
        <v>4714</v>
      </c>
      <c r="E901" s="268" t="s">
        <v>2961</v>
      </c>
      <c r="F901" s="268" t="s">
        <v>4715</v>
      </c>
      <c r="G901" s="268" t="s">
        <v>4716</v>
      </c>
      <c r="H901" s="268" t="str">
        <f t="shared" si="5"/>
        <v>Mª TERESA ALMELA ROJO</v>
      </c>
      <c r="I901" s="268" t="s">
        <v>5411</v>
      </c>
      <c r="J901" s="272" t="s">
        <v>4736</v>
      </c>
      <c r="K901" s="268" t="s">
        <v>5993</v>
      </c>
      <c r="L901" s="276">
        <v>45469</v>
      </c>
      <c r="M901" s="277"/>
      <c r="N901" s="282">
        <v>2</v>
      </c>
      <c r="O901" s="284" t="s">
        <v>4720</v>
      </c>
      <c r="P901" s="280">
        <v>3556.36</v>
      </c>
      <c r="Q901" s="281">
        <v>45428</v>
      </c>
      <c r="R901" s="272"/>
      <c r="S901" s="272"/>
      <c r="T901" s="272"/>
      <c r="U901" s="272"/>
      <c r="V901" s="272"/>
      <c r="W901" s="272"/>
      <c r="X901" s="272"/>
      <c r="Y901" s="272"/>
      <c r="Z901" s="272"/>
      <c r="AA901" s="272"/>
    </row>
    <row r="902" spans="1:27">
      <c r="A902" s="273">
        <v>6</v>
      </c>
      <c r="B902" s="274" t="s">
        <v>5836</v>
      </c>
      <c r="C902" s="289">
        <v>45442</v>
      </c>
      <c r="D902" s="274" t="s">
        <v>4714</v>
      </c>
      <c r="E902" s="268" t="s">
        <v>2961</v>
      </c>
      <c r="F902" s="268" t="s">
        <v>4715</v>
      </c>
      <c r="G902" s="268" t="s">
        <v>4716</v>
      </c>
      <c r="H902" s="268" t="str">
        <f t="shared" si="5"/>
        <v>NATHALIE FAGES CÁRCELES</v>
      </c>
      <c r="I902" s="268" t="s">
        <v>5000</v>
      </c>
      <c r="J902" s="272" t="s">
        <v>4736</v>
      </c>
      <c r="K902" s="268" t="s">
        <v>5994</v>
      </c>
      <c r="L902" s="276">
        <v>45469</v>
      </c>
      <c r="M902" s="283"/>
      <c r="N902" s="282">
        <v>2</v>
      </c>
      <c r="O902" s="284" t="s">
        <v>4723</v>
      </c>
      <c r="P902" s="280">
        <v>2888.18</v>
      </c>
      <c r="Q902" s="281">
        <v>45442</v>
      </c>
      <c r="R902" s="272"/>
      <c r="S902" s="272"/>
      <c r="T902" s="272"/>
      <c r="U902" s="272"/>
      <c r="V902" s="272"/>
      <c r="W902" s="272"/>
      <c r="X902" s="272"/>
      <c r="Y902" s="272"/>
      <c r="Z902" s="272"/>
      <c r="AA902" s="272"/>
    </row>
    <row r="903" spans="1:27">
      <c r="A903" s="273">
        <v>6</v>
      </c>
      <c r="B903" s="274" t="s">
        <v>5836</v>
      </c>
      <c r="C903" s="289"/>
      <c r="D903" s="274" t="s">
        <v>4714</v>
      </c>
      <c r="E903" s="268" t="s">
        <v>3011</v>
      </c>
      <c r="F903" s="268" t="s">
        <v>4715</v>
      </c>
      <c r="G903" s="268" t="s">
        <v>4716</v>
      </c>
      <c r="H903" s="268" t="str">
        <f t="shared" si="5"/>
        <v>GUSTAVO BENAVENTE BERMUDO</v>
      </c>
      <c r="I903" s="268" t="s">
        <v>5995</v>
      </c>
      <c r="J903" s="272" t="s">
        <v>4729</v>
      </c>
      <c r="K903" s="268" t="s">
        <v>5996</v>
      </c>
      <c r="L903" s="276">
        <v>45469</v>
      </c>
      <c r="M903" s="283"/>
      <c r="N903" s="282">
        <v>2</v>
      </c>
      <c r="O903" s="284" t="s">
        <v>4720</v>
      </c>
      <c r="P903" s="280">
        <v>3477.27</v>
      </c>
      <c r="Q903" s="281"/>
      <c r="R903" s="272"/>
      <c r="S903" s="272"/>
      <c r="T903" s="272"/>
      <c r="U903" s="272"/>
      <c r="V903" s="272"/>
      <c r="W903" s="272"/>
      <c r="X903" s="272"/>
      <c r="Y903" s="272"/>
      <c r="Z903" s="272"/>
      <c r="AA903" s="272"/>
    </row>
    <row r="904" spans="1:27">
      <c r="A904" s="273">
        <v>6</v>
      </c>
      <c r="B904" s="274" t="s">
        <v>5836</v>
      </c>
      <c r="C904" s="289"/>
      <c r="D904" s="274" t="s">
        <v>4714</v>
      </c>
      <c r="E904" s="268" t="s">
        <v>3011</v>
      </c>
      <c r="F904" s="268" t="s">
        <v>4715</v>
      </c>
      <c r="G904" s="268" t="s">
        <v>4716</v>
      </c>
      <c r="H904" s="268" t="str">
        <f t="shared" si="5"/>
        <v>Mª LUISA CALERO RAMOS</v>
      </c>
      <c r="I904" s="268" t="s">
        <v>5083</v>
      </c>
      <c r="J904" s="272" t="s">
        <v>4729</v>
      </c>
      <c r="K904" s="268" t="s">
        <v>5997</v>
      </c>
      <c r="L904" s="287">
        <v>45469</v>
      </c>
      <c r="M904" s="277"/>
      <c r="N904" s="282">
        <v>2</v>
      </c>
      <c r="O904" s="284" t="s">
        <v>4720</v>
      </c>
      <c r="P904" s="280">
        <v>2321.8200000000002</v>
      </c>
      <c r="Q904" s="281"/>
      <c r="R904" s="272"/>
      <c r="S904" s="272"/>
      <c r="T904" s="272"/>
      <c r="U904" s="272"/>
      <c r="V904" s="272"/>
      <c r="W904" s="272"/>
      <c r="X904" s="272"/>
      <c r="Y904" s="272"/>
      <c r="Z904" s="272"/>
      <c r="AA904" s="272"/>
    </row>
    <row r="905" spans="1:27">
      <c r="A905" s="273">
        <v>6</v>
      </c>
      <c r="B905" s="274" t="s">
        <v>5836</v>
      </c>
      <c r="C905" s="289">
        <v>45414</v>
      </c>
      <c r="D905" s="274" t="s">
        <v>4714</v>
      </c>
      <c r="E905" s="268" t="s">
        <v>4804</v>
      </c>
      <c r="F905" s="268" t="s">
        <v>4715</v>
      </c>
      <c r="G905" s="268" t="s">
        <v>4716</v>
      </c>
      <c r="H905" s="268" t="str">
        <f t="shared" si="5"/>
        <v>DARÍO AGUDELO GARCÍA</v>
      </c>
      <c r="I905" s="268" t="s">
        <v>4810</v>
      </c>
      <c r="J905" s="272" t="s">
        <v>4806</v>
      </c>
      <c r="K905" s="268" t="s">
        <v>5998</v>
      </c>
      <c r="L905" s="276">
        <v>45469</v>
      </c>
      <c r="M905" s="283"/>
      <c r="N905" s="282">
        <v>1</v>
      </c>
      <c r="O905" s="284" t="s">
        <v>4720</v>
      </c>
      <c r="P905" s="280">
        <v>1610.91</v>
      </c>
      <c r="Q905" s="281">
        <v>45414</v>
      </c>
      <c r="R905" s="272"/>
      <c r="S905" s="272"/>
      <c r="T905" s="272"/>
      <c r="U905" s="272"/>
      <c r="V905" s="272"/>
      <c r="W905" s="272"/>
      <c r="X905" s="272"/>
      <c r="Y905" s="272"/>
      <c r="Z905" s="272"/>
      <c r="AA905" s="272"/>
    </row>
    <row r="906" spans="1:27">
      <c r="A906" s="273">
        <v>6</v>
      </c>
      <c r="B906" s="274" t="s">
        <v>5836</v>
      </c>
      <c r="C906" s="289">
        <v>45456</v>
      </c>
      <c r="D906" s="274" t="s">
        <v>4714</v>
      </c>
      <c r="E906" s="268" t="s">
        <v>2886</v>
      </c>
      <c r="F906" s="268" t="s">
        <v>4715</v>
      </c>
      <c r="G906" s="268" t="s">
        <v>4716</v>
      </c>
      <c r="H906" s="268" t="str">
        <f t="shared" si="5"/>
        <v>MARÍA GARROTE GARROTE</v>
      </c>
      <c r="I906" s="268" t="s">
        <v>4721</v>
      </c>
      <c r="J906" s="272" t="s">
        <v>4718</v>
      </c>
      <c r="K906" s="268" t="s">
        <v>5999</v>
      </c>
      <c r="L906" s="276">
        <v>45469</v>
      </c>
      <c r="M906" s="283"/>
      <c r="N906" s="282">
        <v>2</v>
      </c>
      <c r="O906" s="284" t="s">
        <v>4720</v>
      </c>
      <c r="P906" s="280">
        <v>3524.55</v>
      </c>
      <c r="Q906" s="281">
        <v>45456</v>
      </c>
      <c r="R906" s="272"/>
      <c r="S906" s="272"/>
      <c r="T906" s="272"/>
      <c r="U906" s="272"/>
      <c r="V906" s="272"/>
      <c r="W906" s="272"/>
      <c r="X906" s="272"/>
      <c r="Y906" s="272"/>
      <c r="Z906" s="272"/>
      <c r="AA906" s="272"/>
    </row>
    <row r="907" spans="1:27">
      <c r="A907" s="273">
        <v>6</v>
      </c>
      <c r="B907" s="274" t="s">
        <v>5836</v>
      </c>
      <c r="C907" s="289">
        <v>45428</v>
      </c>
      <c r="D907" s="274" t="s">
        <v>4714</v>
      </c>
      <c r="E907" s="268" t="s">
        <v>2921</v>
      </c>
      <c r="F907" s="268" t="s">
        <v>4715</v>
      </c>
      <c r="G907" s="268" t="s">
        <v>4716</v>
      </c>
      <c r="H907" s="268" t="str">
        <f t="shared" si="5"/>
        <v>CELIA LÓPEZ MOLLA</v>
      </c>
      <c r="I907" s="268" t="s">
        <v>6000</v>
      </c>
      <c r="J907" s="278" t="s">
        <v>4910</v>
      </c>
      <c r="K907" s="268" t="s">
        <v>6001</v>
      </c>
      <c r="L907" s="276">
        <v>45469</v>
      </c>
      <c r="M907" s="283"/>
      <c r="N907" s="282">
        <v>2</v>
      </c>
      <c r="O907" s="284" t="s">
        <v>4723</v>
      </c>
      <c r="P907" s="280">
        <v>2888.18</v>
      </c>
      <c r="Q907" s="281">
        <v>45428</v>
      </c>
      <c r="R907" s="272"/>
      <c r="S907" s="272"/>
      <c r="T907" s="272"/>
      <c r="U907" s="272"/>
      <c r="V907" s="272"/>
      <c r="W907" s="272"/>
      <c r="X907" s="272"/>
      <c r="Y907" s="272"/>
      <c r="Z907" s="272"/>
      <c r="AA907" s="272"/>
    </row>
    <row r="908" spans="1:27">
      <c r="A908" s="273">
        <v>6</v>
      </c>
      <c r="B908" s="274" t="s">
        <v>5836</v>
      </c>
      <c r="C908" s="289">
        <v>45468</v>
      </c>
      <c r="D908" s="274" t="s">
        <v>4714</v>
      </c>
      <c r="E908" s="268" t="s">
        <v>5873</v>
      </c>
      <c r="F908" s="268" t="s">
        <v>4715</v>
      </c>
      <c r="G908" s="268" t="s">
        <v>4716</v>
      </c>
      <c r="H908" s="268" t="str">
        <f t="shared" si="5"/>
        <v>JOAQUÍN PÉREZ VILLAR</v>
      </c>
      <c r="I908" s="268" t="s">
        <v>6002</v>
      </c>
      <c r="J908" s="278" t="s">
        <v>4790</v>
      </c>
      <c r="K908" s="268" t="s">
        <v>6003</v>
      </c>
      <c r="L908" s="287">
        <v>45469</v>
      </c>
      <c r="M908" s="283"/>
      <c r="N908" s="282">
        <v>1</v>
      </c>
      <c r="O908" s="284" t="s">
        <v>4792</v>
      </c>
      <c r="P908" s="280">
        <v>909.09</v>
      </c>
      <c r="Q908" s="281">
        <v>45468</v>
      </c>
      <c r="R908" s="272"/>
      <c r="S908" s="272"/>
      <c r="T908" s="272"/>
      <c r="U908" s="272"/>
      <c r="V908" s="272"/>
      <c r="W908" s="272"/>
      <c r="X908" s="272"/>
      <c r="Y908" s="272"/>
      <c r="Z908" s="272"/>
      <c r="AA908" s="272"/>
    </row>
    <row r="909" spans="1:27">
      <c r="A909" s="273">
        <v>6</v>
      </c>
      <c r="B909" s="274" t="s">
        <v>5836</v>
      </c>
      <c r="C909" s="289">
        <v>45426</v>
      </c>
      <c r="D909" s="274" t="s">
        <v>4714</v>
      </c>
      <c r="E909" s="268" t="s">
        <v>5204</v>
      </c>
      <c r="F909" s="268" t="s">
        <v>4715</v>
      </c>
      <c r="G909" s="268" t="s">
        <v>4716</v>
      </c>
      <c r="H909" s="268" t="str">
        <f t="shared" si="5"/>
        <v>ENRIQUE ROMERO VAN ABELEEN</v>
      </c>
      <c r="I909" s="268" t="s">
        <v>5547</v>
      </c>
      <c r="J909" s="278" t="s">
        <v>4806</v>
      </c>
      <c r="K909" s="268" t="s">
        <v>6004</v>
      </c>
      <c r="L909" s="276">
        <v>45469</v>
      </c>
      <c r="M909" s="283"/>
      <c r="N909" s="282">
        <v>2</v>
      </c>
      <c r="O909" s="293" t="s">
        <v>4740</v>
      </c>
      <c r="P909" s="280">
        <v>4000</v>
      </c>
      <c r="Q909" s="281">
        <v>45426</v>
      </c>
      <c r="R909" s="272"/>
      <c r="S909" s="272"/>
      <c r="T909" s="272"/>
      <c r="U909" s="272"/>
      <c r="V909" s="272"/>
      <c r="W909" s="272"/>
      <c r="X909" s="272"/>
      <c r="Y909" s="272"/>
      <c r="Z909" s="272"/>
      <c r="AA909" s="272"/>
    </row>
    <row r="910" spans="1:27">
      <c r="A910" s="273">
        <v>6</v>
      </c>
      <c r="B910" s="274" t="s">
        <v>5836</v>
      </c>
      <c r="C910" s="275">
        <v>45440</v>
      </c>
      <c r="D910" s="274" t="s">
        <v>4714</v>
      </c>
      <c r="E910" s="268" t="s">
        <v>2863</v>
      </c>
      <c r="F910" s="268" t="s">
        <v>4715</v>
      </c>
      <c r="G910" s="268" t="s">
        <v>4716</v>
      </c>
      <c r="H910" s="268" t="str">
        <f t="shared" si="5"/>
        <v>PEDRO SEGUÍ MOYA</v>
      </c>
      <c r="I910" s="268" t="s">
        <v>5053</v>
      </c>
      <c r="J910" s="272" t="s">
        <v>4736</v>
      </c>
      <c r="K910" s="268" t="s">
        <v>6005</v>
      </c>
      <c r="L910" s="302">
        <v>45470</v>
      </c>
      <c r="M910" s="268"/>
      <c r="N910" s="282">
        <v>1</v>
      </c>
      <c r="O910" s="268" t="s">
        <v>4723</v>
      </c>
      <c r="P910" s="280">
        <v>1550</v>
      </c>
      <c r="Q910" s="304">
        <v>45440</v>
      </c>
      <c r="R910" s="272"/>
      <c r="S910" s="272"/>
      <c r="T910" s="272"/>
      <c r="U910" s="272"/>
      <c r="V910" s="272"/>
      <c r="W910" s="272"/>
      <c r="X910" s="272"/>
      <c r="Y910" s="272"/>
      <c r="Z910" s="272"/>
      <c r="AA910" s="272"/>
    </row>
    <row r="911" spans="1:27">
      <c r="A911" s="273">
        <v>6</v>
      </c>
      <c r="B911" s="274" t="s">
        <v>5836</v>
      </c>
      <c r="C911" s="275">
        <v>45450</v>
      </c>
      <c r="D911" s="274" t="s">
        <v>4714</v>
      </c>
      <c r="E911" s="268" t="s">
        <v>4820</v>
      </c>
      <c r="F911" s="268" t="s">
        <v>4715</v>
      </c>
      <c r="G911" s="268" t="s">
        <v>4716</v>
      </c>
      <c r="H911" s="268" t="str">
        <f t="shared" si="5"/>
        <v>MANUEL MARTÍ PEÑA</v>
      </c>
      <c r="I911" s="268" t="s">
        <v>6006</v>
      </c>
      <c r="J911" s="272" t="s">
        <v>4822</v>
      </c>
      <c r="K911" s="268" t="s">
        <v>6007</v>
      </c>
      <c r="L911" s="302">
        <v>45470</v>
      </c>
      <c r="M911" s="268"/>
      <c r="N911" s="282">
        <v>2</v>
      </c>
      <c r="O911" s="268" t="s">
        <v>4723</v>
      </c>
      <c r="P911" s="280">
        <v>3454.55</v>
      </c>
      <c r="Q911" s="304">
        <v>45450</v>
      </c>
      <c r="R911" s="272"/>
      <c r="S911" s="272"/>
      <c r="T911" s="272"/>
      <c r="U911" s="272"/>
      <c r="V911" s="272"/>
      <c r="W911" s="272"/>
      <c r="X911" s="272"/>
      <c r="Y911" s="272"/>
      <c r="Z911" s="272"/>
      <c r="AA911" s="272"/>
    </row>
    <row r="912" spans="1:27">
      <c r="A912" s="273">
        <v>6</v>
      </c>
      <c r="B912" s="274" t="s">
        <v>5836</v>
      </c>
      <c r="C912" s="275">
        <v>45439</v>
      </c>
      <c r="D912" s="274" t="s">
        <v>4714</v>
      </c>
      <c r="E912" s="268" t="s">
        <v>3480</v>
      </c>
      <c r="F912" s="268" t="s">
        <v>4715</v>
      </c>
      <c r="G912" s="268" t="s">
        <v>4716</v>
      </c>
      <c r="H912" s="268" t="str">
        <f t="shared" si="5"/>
        <v>ELISABETH AMARILLO ESPITIA</v>
      </c>
      <c r="I912" s="268" t="s">
        <v>4741</v>
      </c>
      <c r="J912" s="272" t="s">
        <v>4718</v>
      </c>
      <c r="K912" s="268" t="s">
        <v>6008</v>
      </c>
      <c r="L912" s="302">
        <v>45470</v>
      </c>
      <c r="M912" s="272"/>
      <c r="N912" s="282">
        <v>2</v>
      </c>
      <c r="O912" s="268" t="s">
        <v>4720</v>
      </c>
      <c r="P912" s="280">
        <v>3709.62</v>
      </c>
      <c r="Q912" s="303">
        <v>45439</v>
      </c>
      <c r="R912" s="272"/>
      <c r="S912" s="272"/>
      <c r="T912" s="272"/>
      <c r="U912" s="272"/>
      <c r="V912" s="272"/>
      <c r="W912" s="272"/>
      <c r="X912" s="272"/>
      <c r="Y912" s="272"/>
      <c r="Z912" s="272"/>
      <c r="AA912" s="272"/>
    </row>
    <row r="913" spans="1:27">
      <c r="A913" s="273">
        <v>6</v>
      </c>
      <c r="B913" s="274" t="s">
        <v>5836</v>
      </c>
      <c r="C913" s="289">
        <v>45441</v>
      </c>
      <c r="D913" s="274" t="s">
        <v>4714</v>
      </c>
      <c r="E913" s="268" t="s">
        <v>4775</v>
      </c>
      <c r="F913" s="268" t="s">
        <v>4715</v>
      </c>
      <c r="G913" s="268" t="s">
        <v>4716</v>
      </c>
      <c r="H913" s="268" t="str">
        <f t="shared" si="5"/>
        <v>FERNANDO SALAZAR BARCELONA</v>
      </c>
      <c r="I913" s="268" t="s">
        <v>4776</v>
      </c>
      <c r="J913" s="272" t="s">
        <v>4822</v>
      </c>
      <c r="K913" s="268" t="s">
        <v>6009</v>
      </c>
      <c r="L913" s="276">
        <v>45470</v>
      </c>
      <c r="M913" s="283"/>
      <c r="N913" s="282">
        <v>2</v>
      </c>
      <c r="O913" s="284" t="s">
        <v>4720</v>
      </c>
      <c r="P913" s="280">
        <v>3272.73</v>
      </c>
      <c r="Q913" s="281">
        <v>45441</v>
      </c>
      <c r="R913" s="272"/>
      <c r="S913" s="272"/>
      <c r="T913" s="272"/>
      <c r="U913" s="272"/>
      <c r="V913" s="272"/>
      <c r="W913" s="272"/>
      <c r="X913" s="272"/>
      <c r="Y913" s="272"/>
      <c r="Z913" s="272"/>
      <c r="AA913" s="272"/>
    </row>
    <row r="914" spans="1:27">
      <c r="A914" s="273">
        <v>6</v>
      </c>
      <c r="B914" s="274" t="s">
        <v>5836</v>
      </c>
      <c r="C914" s="289">
        <v>45453</v>
      </c>
      <c r="D914" s="274" t="s">
        <v>4714</v>
      </c>
      <c r="E914" s="268" t="s">
        <v>3861</v>
      </c>
      <c r="F914" s="268" t="s">
        <v>4715</v>
      </c>
      <c r="G914" s="268" t="s">
        <v>4716</v>
      </c>
      <c r="H914" s="268" t="str">
        <f t="shared" si="5"/>
        <v>JOSÉ GUSTAVO BARROSO BRAOJOS</v>
      </c>
      <c r="I914" s="268" t="s">
        <v>4834</v>
      </c>
      <c r="J914" s="272" t="s">
        <v>4718</v>
      </c>
      <c r="K914" s="268" t="s">
        <v>6010</v>
      </c>
      <c r="L914" s="276">
        <v>45470</v>
      </c>
      <c r="M914" s="277"/>
      <c r="N914" s="282">
        <v>2</v>
      </c>
      <c r="O914" s="284" t="s">
        <v>4723</v>
      </c>
      <c r="P914" s="280">
        <v>2888.18</v>
      </c>
      <c r="Q914" s="281">
        <v>45453</v>
      </c>
      <c r="R914" s="272"/>
      <c r="S914" s="272"/>
      <c r="T914" s="272"/>
      <c r="U914" s="272"/>
      <c r="V914" s="272"/>
      <c r="W914" s="272"/>
      <c r="X914" s="272"/>
      <c r="Y914" s="272"/>
      <c r="Z914" s="272"/>
      <c r="AA914" s="272"/>
    </row>
    <row r="915" spans="1:27">
      <c r="A915" s="273">
        <v>6</v>
      </c>
      <c r="B915" s="274" t="s">
        <v>5836</v>
      </c>
      <c r="C915" s="289">
        <v>45442</v>
      </c>
      <c r="D915" s="274" t="s">
        <v>4714</v>
      </c>
      <c r="E915" s="268" t="s">
        <v>3043</v>
      </c>
      <c r="F915" s="268" t="s">
        <v>4715</v>
      </c>
      <c r="G915" s="268" t="s">
        <v>4716</v>
      </c>
      <c r="H915" s="268" t="str">
        <f t="shared" si="5"/>
        <v>FRANCISCO J, REDONDO DEL BARCO</v>
      </c>
      <c r="I915" s="268" t="s">
        <v>4997</v>
      </c>
      <c r="J915" s="272" t="s">
        <v>4822</v>
      </c>
      <c r="K915" s="268" t="s">
        <v>6011</v>
      </c>
      <c r="L915" s="276">
        <v>45470</v>
      </c>
      <c r="M915" s="277"/>
      <c r="N915" s="282">
        <v>1</v>
      </c>
      <c r="O915" s="284" t="s">
        <v>4740</v>
      </c>
      <c r="P915" s="280">
        <v>2400</v>
      </c>
      <c r="Q915" s="281">
        <v>45442</v>
      </c>
      <c r="R915" s="272"/>
      <c r="S915" s="272"/>
      <c r="T915" s="272"/>
      <c r="U915" s="272"/>
      <c r="V915" s="272"/>
      <c r="W915" s="272"/>
      <c r="X915" s="272"/>
      <c r="Y915" s="272"/>
      <c r="Z915" s="272"/>
      <c r="AA915" s="272"/>
    </row>
    <row r="916" spans="1:27">
      <c r="A916" s="273">
        <v>6</v>
      </c>
      <c r="B916" s="274" t="s">
        <v>5836</v>
      </c>
      <c r="C916" s="289">
        <v>45442</v>
      </c>
      <c r="D916" s="274" t="s">
        <v>4714</v>
      </c>
      <c r="E916" s="268" t="s">
        <v>3193</v>
      </c>
      <c r="F916" s="268" t="s">
        <v>4715</v>
      </c>
      <c r="G916" s="268" t="s">
        <v>4716</v>
      </c>
      <c r="H916" s="268" t="str">
        <f t="shared" si="5"/>
        <v>RICARDO GONZÁLEZ-ORUS</v>
      </c>
      <c r="I916" s="268" t="s">
        <v>5540</v>
      </c>
      <c r="J916" s="272" t="s">
        <v>4718</v>
      </c>
      <c r="K916" s="268" t="s">
        <v>6012</v>
      </c>
      <c r="L916" s="276">
        <v>45470</v>
      </c>
      <c r="M916" s="283"/>
      <c r="N916" s="282">
        <v>2</v>
      </c>
      <c r="O916" s="284" t="s">
        <v>4720</v>
      </c>
      <c r="P916" s="280">
        <v>3709.09</v>
      </c>
      <c r="Q916" s="281">
        <v>45442</v>
      </c>
      <c r="R916" s="272"/>
      <c r="S916" s="272"/>
      <c r="T916" s="272"/>
      <c r="U916" s="272"/>
      <c r="V916" s="272"/>
      <c r="W916" s="272"/>
      <c r="X916" s="272"/>
      <c r="Y916" s="272"/>
      <c r="Z916" s="272"/>
      <c r="AA916" s="272"/>
    </row>
    <row r="917" spans="1:27">
      <c r="A917" s="273">
        <v>6</v>
      </c>
      <c r="B917" s="274" t="s">
        <v>5836</v>
      </c>
      <c r="C917" s="289">
        <v>45426</v>
      </c>
      <c r="D917" s="274" t="s">
        <v>4714</v>
      </c>
      <c r="E917" s="268" t="s">
        <v>4892</v>
      </c>
      <c r="F917" s="268" t="s">
        <v>4715</v>
      </c>
      <c r="G917" s="268" t="s">
        <v>4716</v>
      </c>
      <c r="H917" s="268" t="str">
        <f t="shared" si="5"/>
        <v>TERESA RIVERA SCHMITZ</v>
      </c>
      <c r="I917" s="268" t="s">
        <v>6013</v>
      </c>
      <c r="J917" s="272" t="s">
        <v>4822</v>
      </c>
      <c r="K917" s="268" t="s">
        <v>6014</v>
      </c>
      <c r="L917" s="276">
        <v>45470</v>
      </c>
      <c r="M917" s="283"/>
      <c r="N917" s="282">
        <v>2</v>
      </c>
      <c r="O917" s="284" t="s">
        <v>4740</v>
      </c>
      <c r="P917" s="280">
        <v>4000</v>
      </c>
      <c r="Q917" s="281">
        <v>45426</v>
      </c>
      <c r="R917" s="272"/>
      <c r="S917" s="272"/>
      <c r="T917" s="272"/>
      <c r="U917" s="272"/>
      <c r="V917" s="272"/>
      <c r="W917" s="272"/>
      <c r="X917" s="272"/>
      <c r="Y917" s="272"/>
      <c r="Z917" s="272"/>
      <c r="AA917" s="272"/>
    </row>
    <row r="918" spans="1:27">
      <c r="A918" s="273">
        <v>6</v>
      </c>
      <c r="B918" s="274" t="s">
        <v>5836</v>
      </c>
      <c r="C918" s="289">
        <v>45463</v>
      </c>
      <c r="D918" s="274" t="s">
        <v>4714</v>
      </c>
      <c r="E918" s="268" t="s">
        <v>2961</v>
      </c>
      <c r="F918" s="268" t="s">
        <v>4715</v>
      </c>
      <c r="G918" s="268" t="s">
        <v>4716</v>
      </c>
      <c r="H918" s="268" t="str">
        <f t="shared" si="5"/>
        <v>NATHALIE FAGES CÁRCELES</v>
      </c>
      <c r="I918" s="268" t="s">
        <v>5000</v>
      </c>
      <c r="J918" s="272" t="s">
        <v>4736</v>
      </c>
      <c r="K918" s="268" t="s">
        <v>6015</v>
      </c>
      <c r="L918" s="276">
        <v>45470</v>
      </c>
      <c r="M918" s="277"/>
      <c r="N918" s="282">
        <v>1</v>
      </c>
      <c r="O918" s="313" t="s">
        <v>4723</v>
      </c>
      <c r="P918" s="280">
        <v>1732.73</v>
      </c>
      <c r="Q918" s="281">
        <v>45463</v>
      </c>
      <c r="R918" s="272"/>
      <c r="S918" s="272"/>
      <c r="T918" s="272"/>
      <c r="U918" s="272"/>
      <c r="V918" s="272"/>
      <c r="W918" s="272"/>
      <c r="X918" s="272"/>
      <c r="Y918" s="272"/>
      <c r="Z918" s="272"/>
      <c r="AA918" s="272"/>
    </row>
    <row r="919" spans="1:27">
      <c r="A919" s="273">
        <v>6</v>
      </c>
      <c r="B919" s="274" t="s">
        <v>5836</v>
      </c>
      <c r="C919" s="289">
        <v>45443</v>
      </c>
      <c r="D919" s="274" t="s">
        <v>4714</v>
      </c>
      <c r="E919" s="268" t="s">
        <v>2886</v>
      </c>
      <c r="F919" s="268" t="s">
        <v>4715</v>
      </c>
      <c r="G919" s="268" t="s">
        <v>4716</v>
      </c>
      <c r="H919" s="268" t="str">
        <f t="shared" si="5"/>
        <v>MARÍA GARROTE GARROTE</v>
      </c>
      <c r="I919" s="268" t="s">
        <v>4721</v>
      </c>
      <c r="J919" s="272" t="s">
        <v>4718</v>
      </c>
      <c r="K919" s="268" t="s">
        <v>6016</v>
      </c>
      <c r="L919" s="287">
        <v>45470</v>
      </c>
      <c r="M919" s="277"/>
      <c r="N919" s="282">
        <v>2</v>
      </c>
      <c r="O919" s="284" t="s">
        <v>4740</v>
      </c>
      <c r="P919" s="280">
        <v>3800</v>
      </c>
      <c r="Q919" s="281">
        <v>45443</v>
      </c>
      <c r="R919" s="272"/>
      <c r="S919" s="272"/>
      <c r="T919" s="272"/>
      <c r="U919" s="272"/>
      <c r="V919" s="272"/>
      <c r="W919" s="272"/>
      <c r="X919" s="272"/>
      <c r="Y919" s="272"/>
      <c r="Z919" s="272"/>
      <c r="AA919" s="272"/>
    </row>
    <row r="920" spans="1:27">
      <c r="A920" s="273">
        <v>6</v>
      </c>
      <c r="B920" s="274" t="s">
        <v>5836</v>
      </c>
      <c r="C920" s="289">
        <v>45429</v>
      </c>
      <c r="D920" s="274" t="s">
        <v>4714</v>
      </c>
      <c r="E920" s="268" t="s">
        <v>2921</v>
      </c>
      <c r="F920" s="268" t="s">
        <v>4715</v>
      </c>
      <c r="G920" s="268" t="s">
        <v>4716</v>
      </c>
      <c r="H920" s="268" t="str">
        <f t="shared" si="5"/>
        <v>PAULA MARTÍNEZ-RUIZ DE APOCADA</v>
      </c>
      <c r="I920" s="268" t="s">
        <v>5794</v>
      </c>
      <c r="J920" s="272" t="s">
        <v>4910</v>
      </c>
      <c r="K920" s="268" t="s">
        <v>6017</v>
      </c>
      <c r="L920" s="276">
        <v>45470</v>
      </c>
      <c r="M920" s="277"/>
      <c r="N920" s="282">
        <v>2</v>
      </c>
      <c r="O920" s="284" t="s">
        <v>4720</v>
      </c>
      <c r="P920" s="280">
        <v>3524.5</v>
      </c>
      <c r="Q920" s="281">
        <v>45429</v>
      </c>
      <c r="R920" s="272"/>
      <c r="S920" s="272"/>
      <c r="T920" s="272"/>
      <c r="U920" s="272"/>
      <c r="V920" s="272"/>
      <c r="W920" s="272"/>
      <c r="X920" s="272"/>
      <c r="Y920" s="272"/>
      <c r="Z920" s="272"/>
      <c r="AA920" s="272"/>
    </row>
    <row r="921" spans="1:27">
      <c r="A921" s="273">
        <v>6</v>
      </c>
      <c r="B921" s="274" t="s">
        <v>5836</v>
      </c>
      <c r="C921" s="289">
        <v>45425</v>
      </c>
      <c r="D921" s="274" t="s">
        <v>4714</v>
      </c>
      <c r="E921" s="268" t="s">
        <v>5873</v>
      </c>
      <c r="F921" s="268" t="s">
        <v>4715</v>
      </c>
      <c r="G921" s="268" t="s">
        <v>4716</v>
      </c>
      <c r="H921" s="268" t="str">
        <f t="shared" si="5"/>
        <v>MARGARITA REYES DÍAZ</v>
      </c>
      <c r="I921" s="268" t="s">
        <v>6018</v>
      </c>
      <c r="J921" s="278" t="s">
        <v>4790</v>
      </c>
      <c r="K921" s="268" t="s">
        <v>6019</v>
      </c>
      <c r="L921" s="276">
        <v>45470</v>
      </c>
      <c r="M921" s="283"/>
      <c r="N921" s="282">
        <v>1</v>
      </c>
      <c r="O921" s="284" t="s">
        <v>4723</v>
      </c>
      <c r="P921" s="280">
        <v>1718.18</v>
      </c>
      <c r="Q921" s="281">
        <v>45425</v>
      </c>
      <c r="R921" s="272"/>
      <c r="S921" s="272"/>
      <c r="T921" s="272"/>
      <c r="U921" s="272"/>
      <c r="V921" s="272"/>
      <c r="W921" s="272"/>
      <c r="X921" s="272"/>
      <c r="Y921" s="272"/>
      <c r="Z921" s="272"/>
      <c r="AA921" s="272"/>
    </row>
    <row r="922" spans="1:27">
      <c r="A922" s="273">
        <v>6</v>
      </c>
      <c r="B922" s="274" t="s">
        <v>5836</v>
      </c>
      <c r="C922" s="275"/>
      <c r="D922" s="274" t="s">
        <v>4714</v>
      </c>
      <c r="E922" s="268" t="s">
        <v>4194</v>
      </c>
      <c r="F922" s="268" t="s">
        <v>4715</v>
      </c>
      <c r="G922" s="268" t="s">
        <v>4716</v>
      </c>
      <c r="H922" s="268" t="str">
        <f t="shared" si="5"/>
        <v>CRISTINA MUÑOZ PINTO</v>
      </c>
      <c r="I922" s="268" t="s">
        <v>5173</v>
      </c>
      <c r="J922" s="268" t="s">
        <v>4736</v>
      </c>
      <c r="K922" s="268" t="s">
        <v>6020</v>
      </c>
      <c r="L922" s="287">
        <v>45471</v>
      </c>
      <c r="M922" s="268"/>
      <c r="N922" s="282">
        <v>2</v>
      </c>
      <c r="O922" s="268" t="s">
        <v>4723</v>
      </c>
      <c r="P922" s="280">
        <v>2909.09</v>
      </c>
      <c r="Q922" s="303"/>
      <c r="R922" s="272"/>
      <c r="S922" s="272"/>
      <c r="T922" s="272"/>
      <c r="U922" s="272"/>
      <c r="V922" s="272"/>
      <c r="W922" s="272"/>
      <c r="X922" s="272"/>
      <c r="Y922" s="272"/>
      <c r="Z922" s="272"/>
      <c r="AA922" s="272"/>
    </row>
    <row r="923" spans="1:27">
      <c r="A923" s="273">
        <v>6</v>
      </c>
      <c r="B923" s="274" t="s">
        <v>5836</v>
      </c>
      <c r="C923" s="289">
        <v>45457</v>
      </c>
      <c r="D923" s="274" t="s">
        <v>4714</v>
      </c>
      <c r="E923" s="268" t="s">
        <v>6021</v>
      </c>
      <c r="F923" s="268" t="s">
        <v>4715</v>
      </c>
      <c r="G923" s="268" t="s">
        <v>4716</v>
      </c>
      <c r="H923" s="268" t="str">
        <f t="shared" si="5"/>
        <v>JOSÉ GUSTAVO BARROSO BRAOJOS</v>
      </c>
      <c r="I923" s="268" t="s">
        <v>4834</v>
      </c>
      <c r="J923" s="272" t="s">
        <v>4718</v>
      </c>
      <c r="K923" s="268" t="s">
        <v>6022</v>
      </c>
      <c r="L923" s="276">
        <v>45471</v>
      </c>
      <c r="M923" s="277"/>
      <c r="N923" s="282">
        <v>1</v>
      </c>
      <c r="O923" s="284" t="s">
        <v>6023</v>
      </c>
      <c r="P923" s="280">
        <v>2581.8200000000002</v>
      </c>
      <c r="Q923" s="281">
        <v>45457</v>
      </c>
      <c r="R923" s="272"/>
      <c r="S923" s="272"/>
      <c r="T923" s="272"/>
      <c r="U923" s="272"/>
      <c r="V923" s="272"/>
      <c r="W923" s="272"/>
      <c r="X923" s="272"/>
      <c r="Y923" s="272"/>
      <c r="Z923" s="272"/>
      <c r="AA923" s="272"/>
    </row>
    <row r="924" spans="1:27">
      <c r="A924" s="273">
        <v>6</v>
      </c>
      <c r="B924" s="274" t="s">
        <v>5836</v>
      </c>
      <c r="C924" s="289">
        <v>45426</v>
      </c>
      <c r="D924" s="274" t="s">
        <v>4714</v>
      </c>
      <c r="E924" s="268" t="s">
        <v>3043</v>
      </c>
      <c r="F924" s="268" t="s">
        <v>4715</v>
      </c>
      <c r="G924" s="268" t="s">
        <v>4716</v>
      </c>
      <c r="H924" s="268" t="str">
        <f t="shared" si="5"/>
        <v>JAVIER OLARIETA SOTO</v>
      </c>
      <c r="I924" s="268" t="s">
        <v>5155</v>
      </c>
      <c r="J924" s="272" t="s">
        <v>4718</v>
      </c>
      <c r="K924" s="268" t="s">
        <v>6024</v>
      </c>
      <c r="L924" s="276">
        <v>45471</v>
      </c>
      <c r="M924" s="277"/>
      <c r="N924" s="282">
        <v>1</v>
      </c>
      <c r="O924" s="284" t="s">
        <v>4740</v>
      </c>
      <c r="P924" s="280">
        <v>2400</v>
      </c>
      <c r="Q924" s="281">
        <v>45426</v>
      </c>
      <c r="R924" s="272"/>
      <c r="S924" s="272"/>
      <c r="T924" s="272"/>
      <c r="U924" s="272"/>
      <c r="V924" s="272"/>
      <c r="W924" s="272"/>
      <c r="X924" s="272"/>
      <c r="Y924" s="272"/>
      <c r="Z924" s="272"/>
      <c r="AA924" s="272"/>
    </row>
    <row r="925" spans="1:27">
      <c r="A925" s="273">
        <v>6</v>
      </c>
      <c r="B925" s="274" t="s">
        <v>5836</v>
      </c>
      <c r="C925" s="289"/>
      <c r="D925" s="274" t="s">
        <v>4714</v>
      </c>
      <c r="E925" s="268" t="s">
        <v>2929</v>
      </c>
      <c r="F925" s="268" t="s">
        <v>4715</v>
      </c>
      <c r="G925" s="268" t="s">
        <v>4715</v>
      </c>
      <c r="H925" s="268" t="str">
        <f t="shared" si="5"/>
        <v>GUILLERMO SAN JUAN DE LA MORETA</v>
      </c>
      <c r="I925" s="268" t="s">
        <v>5100</v>
      </c>
      <c r="J925" s="272" t="s">
        <v>4718</v>
      </c>
      <c r="K925" s="268" t="s">
        <v>6025</v>
      </c>
      <c r="L925" s="276">
        <v>45471</v>
      </c>
      <c r="M925" s="283"/>
      <c r="N925" s="282">
        <v>2</v>
      </c>
      <c r="O925" s="284" t="s">
        <v>5814</v>
      </c>
      <c r="P925" s="280">
        <v>3800</v>
      </c>
      <c r="Q925" s="281"/>
      <c r="R925" s="272"/>
      <c r="S925" s="272"/>
      <c r="T925" s="272"/>
      <c r="U925" s="272"/>
      <c r="V925" s="272"/>
      <c r="W925" s="272"/>
      <c r="X925" s="272"/>
      <c r="Y925" s="272"/>
      <c r="Z925" s="272"/>
      <c r="AA925" s="272"/>
    </row>
    <row r="926" spans="1:27">
      <c r="A926" s="273">
        <v>6</v>
      </c>
      <c r="B926" s="274" t="s">
        <v>5836</v>
      </c>
      <c r="C926" s="289">
        <v>45440</v>
      </c>
      <c r="D926" s="274" t="s">
        <v>4714</v>
      </c>
      <c r="E926" s="268" t="s">
        <v>4892</v>
      </c>
      <c r="F926" s="268" t="s">
        <v>4715</v>
      </c>
      <c r="G926" s="268" t="s">
        <v>4716</v>
      </c>
      <c r="H926" s="268" t="str">
        <f t="shared" si="5"/>
        <v>IGNACIO SIERRA ARBIDE</v>
      </c>
      <c r="I926" s="268" t="s">
        <v>5162</v>
      </c>
      <c r="J926" s="268" t="s">
        <v>4822</v>
      </c>
      <c r="K926" s="268" t="s">
        <v>6026</v>
      </c>
      <c r="L926" s="276">
        <v>45471</v>
      </c>
      <c r="M926" s="277"/>
      <c r="N926" s="282">
        <v>2</v>
      </c>
      <c r="O926" s="284" t="s">
        <v>4740</v>
      </c>
      <c r="P926" s="280">
        <v>4000</v>
      </c>
      <c r="Q926" s="281">
        <v>45440</v>
      </c>
      <c r="R926" s="272"/>
      <c r="S926" s="272"/>
      <c r="T926" s="272"/>
      <c r="U926" s="272"/>
      <c r="V926" s="272"/>
      <c r="W926" s="272"/>
      <c r="X926" s="272"/>
      <c r="Y926" s="272"/>
      <c r="Z926" s="272"/>
      <c r="AA926" s="272"/>
    </row>
    <row r="927" spans="1:27">
      <c r="A927" s="273">
        <v>6</v>
      </c>
      <c r="B927" s="274" t="s">
        <v>5836</v>
      </c>
      <c r="C927" s="289">
        <v>45357</v>
      </c>
      <c r="D927" s="274" t="s">
        <v>4714</v>
      </c>
      <c r="E927" s="268" t="s">
        <v>4749</v>
      </c>
      <c r="F927" s="268" t="s">
        <v>4715</v>
      </c>
      <c r="G927" s="268" t="s">
        <v>4716</v>
      </c>
      <c r="H927" s="268" t="str">
        <f t="shared" si="5"/>
        <v>MÓNICA GRANDA ROSALES</v>
      </c>
      <c r="I927" s="268" t="s">
        <v>4750</v>
      </c>
      <c r="J927" s="272" t="s">
        <v>4747</v>
      </c>
      <c r="K927" s="268" t="s">
        <v>6027</v>
      </c>
      <c r="L927" s="276">
        <v>45471</v>
      </c>
      <c r="M927" s="277"/>
      <c r="N927" s="282">
        <v>2</v>
      </c>
      <c r="O927" s="284" t="s">
        <v>4720</v>
      </c>
      <c r="P927" s="280">
        <v>3909.09</v>
      </c>
      <c r="Q927" s="281">
        <v>45357</v>
      </c>
      <c r="R927" s="272"/>
      <c r="S927" s="272"/>
      <c r="T927" s="272"/>
      <c r="U927" s="272"/>
      <c r="V927" s="272"/>
      <c r="W927" s="272"/>
      <c r="X927" s="272"/>
      <c r="Y927" s="272"/>
      <c r="Z927" s="272"/>
      <c r="AA927" s="272"/>
    </row>
    <row r="928" spans="1:27">
      <c r="A928" s="273">
        <v>6</v>
      </c>
      <c r="B928" s="274" t="s">
        <v>5836</v>
      </c>
      <c r="C928" s="289">
        <v>45429</v>
      </c>
      <c r="D928" s="274" t="s">
        <v>4714</v>
      </c>
      <c r="E928" s="268" t="s">
        <v>4780</v>
      </c>
      <c r="F928" s="268" t="s">
        <v>4715</v>
      </c>
      <c r="G928" s="268" t="s">
        <v>4716</v>
      </c>
      <c r="H928" s="268" t="str">
        <f t="shared" si="5"/>
        <v>ÁNGEL BATUECAS CALETRÍO</v>
      </c>
      <c r="I928" s="268" t="s">
        <v>6028</v>
      </c>
      <c r="J928" s="272" t="s">
        <v>4747</v>
      </c>
      <c r="K928" s="268" t="s">
        <v>6029</v>
      </c>
      <c r="L928" s="276">
        <v>45471</v>
      </c>
      <c r="M928" s="277"/>
      <c r="N928" s="282">
        <v>1</v>
      </c>
      <c r="O928" s="284" t="s">
        <v>4740</v>
      </c>
      <c r="P928" s="280">
        <v>2536.36</v>
      </c>
      <c r="Q928" s="281">
        <v>45429</v>
      </c>
      <c r="R928" s="272"/>
      <c r="S928" s="272"/>
      <c r="T928" s="272"/>
      <c r="U928" s="272"/>
      <c r="V928" s="272"/>
      <c r="W928" s="272"/>
      <c r="X928" s="272"/>
      <c r="Y928" s="272"/>
      <c r="Z928" s="272"/>
      <c r="AA928" s="272"/>
    </row>
    <row r="929" spans="1:27">
      <c r="A929" s="273">
        <v>6</v>
      </c>
      <c r="B929" s="274" t="s">
        <v>5836</v>
      </c>
      <c r="C929" s="289">
        <v>45446</v>
      </c>
      <c r="D929" s="274" t="s">
        <v>4714</v>
      </c>
      <c r="E929" s="268" t="s">
        <v>2961</v>
      </c>
      <c r="F929" s="268" t="s">
        <v>4715</v>
      </c>
      <c r="G929" s="268" t="s">
        <v>4716</v>
      </c>
      <c r="H929" s="268" t="str">
        <f t="shared" si="5"/>
        <v>ANTONIO GALINDO FERNÁNDEZ</v>
      </c>
      <c r="I929" s="268" t="s">
        <v>5166</v>
      </c>
      <c r="J929" s="272" t="s">
        <v>4736</v>
      </c>
      <c r="K929" s="268" t="s">
        <v>6030</v>
      </c>
      <c r="L929" s="276">
        <v>45471</v>
      </c>
      <c r="M929" s="277"/>
      <c r="N929" s="282">
        <v>2</v>
      </c>
      <c r="O929" s="284" t="s">
        <v>4723</v>
      </c>
      <c r="P929" s="280">
        <v>2888.02</v>
      </c>
      <c r="Q929" s="281">
        <v>45446</v>
      </c>
      <c r="R929" s="272"/>
      <c r="S929" s="272"/>
      <c r="T929" s="272"/>
      <c r="U929" s="272"/>
      <c r="V929" s="272"/>
      <c r="W929" s="272"/>
      <c r="X929" s="272"/>
      <c r="Y929" s="272"/>
      <c r="Z929" s="272"/>
      <c r="AA929" s="272"/>
    </row>
    <row r="930" spans="1:27">
      <c r="A930" s="273">
        <v>6</v>
      </c>
      <c r="B930" s="274" t="s">
        <v>5836</v>
      </c>
      <c r="C930" s="289">
        <v>45421</v>
      </c>
      <c r="D930" s="274" t="s">
        <v>4714</v>
      </c>
      <c r="E930" s="268" t="s">
        <v>4759</v>
      </c>
      <c r="F930" s="268" t="s">
        <v>4715</v>
      </c>
      <c r="G930" s="268" t="s">
        <v>4716</v>
      </c>
      <c r="H930" s="268" t="str">
        <f t="shared" si="5"/>
        <v>CARLOS LÓPEZ AZANZA</v>
      </c>
      <c r="I930" s="268" t="s">
        <v>5141</v>
      </c>
      <c r="J930" s="278" t="s">
        <v>4747</v>
      </c>
      <c r="K930" s="268" t="s">
        <v>6031</v>
      </c>
      <c r="L930" s="276">
        <v>45471</v>
      </c>
      <c r="M930" s="283"/>
      <c r="N930" s="282">
        <v>2</v>
      </c>
      <c r="O930" s="284" t="s">
        <v>4740</v>
      </c>
      <c r="P930" s="280">
        <v>3886.36</v>
      </c>
      <c r="Q930" s="281">
        <v>45421</v>
      </c>
      <c r="R930" s="272"/>
      <c r="S930" s="272"/>
      <c r="T930" s="272"/>
      <c r="U930" s="272"/>
      <c r="V930" s="272"/>
      <c r="W930" s="272"/>
      <c r="X930" s="272"/>
      <c r="Y930" s="272"/>
      <c r="Z930" s="272"/>
      <c r="AA930" s="272"/>
    </row>
    <row r="931" spans="1:27">
      <c r="A931" s="273">
        <v>6</v>
      </c>
      <c r="B931" s="274" t="s">
        <v>5836</v>
      </c>
      <c r="C931" s="289">
        <v>45440</v>
      </c>
      <c r="D931" s="274" t="s">
        <v>4714</v>
      </c>
      <c r="E931" s="268" t="s">
        <v>5204</v>
      </c>
      <c r="F931" s="268" t="s">
        <v>4715</v>
      </c>
      <c r="G931" s="268" t="s">
        <v>4716</v>
      </c>
      <c r="H931" s="268" t="str">
        <f t="shared" si="5"/>
        <v>ENRIQUE ROMERO VAN ABELEEN</v>
      </c>
      <c r="I931" s="268" t="s">
        <v>5547</v>
      </c>
      <c r="J931" s="278" t="s">
        <v>4806</v>
      </c>
      <c r="K931" s="268" t="s">
        <v>6032</v>
      </c>
      <c r="L931" s="276">
        <v>45471</v>
      </c>
      <c r="M931" s="283"/>
      <c r="N931" s="282">
        <v>2</v>
      </c>
      <c r="O931" s="293" t="s">
        <v>4740</v>
      </c>
      <c r="P931" s="280">
        <v>4000</v>
      </c>
      <c r="Q931" s="281">
        <v>45440</v>
      </c>
      <c r="R931" s="272"/>
      <c r="S931" s="272"/>
      <c r="T931" s="272"/>
      <c r="U931" s="272"/>
      <c r="V931" s="272"/>
      <c r="W931" s="272"/>
      <c r="X931" s="272"/>
      <c r="Y931" s="272"/>
      <c r="Z931" s="272"/>
      <c r="AA931" s="272"/>
    </row>
    <row r="932" spans="1:27">
      <c r="A932" s="273">
        <v>6</v>
      </c>
      <c r="B932" s="274" t="s">
        <v>5836</v>
      </c>
      <c r="C932" s="289">
        <v>45432</v>
      </c>
      <c r="D932" s="274" t="s">
        <v>4714</v>
      </c>
      <c r="E932" s="268" t="s">
        <v>4749</v>
      </c>
      <c r="F932" s="268" t="s">
        <v>4715</v>
      </c>
      <c r="G932" s="268" t="s">
        <v>4716</v>
      </c>
      <c r="H932" s="268" t="str">
        <f t="shared" si="5"/>
        <v>XENIA MOTA ROJAS</v>
      </c>
      <c r="I932" s="268" t="s">
        <v>5351</v>
      </c>
      <c r="J932" s="268" t="s">
        <v>4747</v>
      </c>
      <c r="K932" s="268" t="s">
        <v>6033</v>
      </c>
      <c r="L932" s="276">
        <v>45472</v>
      </c>
      <c r="M932" s="277"/>
      <c r="N932" s="282">
        <v>2</v>
      </c>
      <c r="O932" s="284" t="s">
        <v>4723</v>
      </c>
      <c r="P932" s="280">
        <v>3545.45</v>
      </c>
      <c r="Q932" s="281">
        <v>45432</v>
      </c>
      <c r="R932" s="272"/>
      <c r="S932" s="272"/>
      <c r="T932" s="272"/>
      <c r="U932" s="272"/>
      <c r="V932" s="272"/>
      <c r="W932" s="272"/>
      <c r="X932" s="272"/>
      <c r="Y932" s="272"/>
      <c r="Z932" s="272"/>
      <c r="AA932" s="272"/>
    </row>
    <row r="933" spans="1:27">
      <c r="A933" s="273">
        <v>7</v>
      </c>
      <c r="B933" s="274" t="s">
        <v>6034</v>
      </c>
      <c r="C933" s="314">
        <v>45447</v>
      </c>
      <c r="D933" s="274" t="s">
        <v>4714</v>
      </c>
      <c r="E933" s="268" t="s">
        <v>4878</v>
      </c>
      <c r="F933" s="272" t="s">
        <v>4715</v>
      </c>
      <c r="G933" s="268" t="s">
        <v>4716</v>
      </c>
      <c r="H933" s="268" t="str">
        <f t="shared" si="5"/>
        <v>ISABEL VAAMONDE SANCHEZ ANDRADR</v>
      </c>
      <c r="I933" s="268" t="s">
        <v>5717</v>
      </c>
      <c r="J933" s="272" t="s">
        <v>4790</v>
      </c>
      <c r="K933" s="268" t="s">
        <v>6035</v>
      </c>
      <c r="L933" s="287">
        <v>45474</v>
      </c>
      <c r="M933" s="283"/>
      <c r="N933" s="282">
        <v>2</v>
      </c>
      <c r="O933" s="284" t="s">
        <v>4792</v>
      </c>
      <c r="P933" s="280">
        <v>2627.27</v>
      </c>
      <c r="Q933" s="315">
        <v>45447</v>
      </c>
      <c r="R933" s="272"/>
      <c r="S933" s="272"/>
      <c r="T933" s="272"/>
      <c r="U933" s="272"/>
      <c r="V933" s="272"/>
      <c r="W933" s="272"/>
      <c r="X933" s="272"/>
      <c r="Y933" s="272"/>
      <c r="Z933" s="272"/>
      <c r="AA933" s="272"/>
    </row>
    <row r="934" spans="1:27">
      <c r="A934" s="273">
        <v>7</v>
      </c>
      <c r="B934" s="274" t="s">
        <v>6034</v>
      </c>
      <c r="C934" s="314"/>
      <c r="D934" s="274" t="s">
        <v>4714</v>
      </c>
      <c r="E934" s="268" t="s">
        <v>2869</v>
      </c>
      <c r="F934" s="272" t="s">
        <v>4715</v>
      </c>
      <c r="G934" s="268" t="s">
        <v>4716</v>
      </c>
      <c r="H934" s="268" t="str">
        <f t="shared" si="5"/>
        <v>JESÚS MIGUEL INIESTA TURPÍN</v>
      </c>
      <c r="I934" s="268" t="s">
        <v>4868</v>
      </c>
      <c r="J934" s="272" t="s">
        <v>4736</v>
      </c>
      <c r="K934" s="268" t="s">
        <v>6036</v>
      </c>
      <c r="L934" s="287">
        <v>45474</v>
      </c>
      <c r="M934" s="283"/>
      <c r="N934" s="282">
        <v>2</v>
      </c>
      <c r="O934" s="284" t="s">
        <v>4723</v>
      </c>
      <c r="P934" s="280">
        <v>2887.5</v>
      </c>
      <c r="Q934" s="315"/>
      <c r="R934" s="272"/>
      <c r="S934" s="272"/>
      <c r="T934" s="272"/>
      <c r="U934" s="272"/>
      <c r="V934" s="272"/>
      <c r="W934" s="272"/>
      <c r="X934" s="272"/>
      <c r="Y934" s="272"/>
      <c r="Z934" s="272"/>
      <c r="AA934" s="272"/>
    </row>
    <row r="935" spans="1:27">
      <c r="A935" s="273">
        <v>7</v>
      </c>
      <c r="B935" s="274" t="s">
        <v>6034</v>
      </c>
      <c r="C935" s="314">
        <v>45441</v>
      </c>
      <c r="D935" s="274" t="s">
        <v>4714</v>
      </c>
      <c r="E935" s="268" t="s">
        <v>6037</v>
      </c>
      <c r="F935" s="272" t="s">
        <v>4715</v>
      </c>
      <c r="G935" s="268" t="s">
        <v>4716</v>
      </c>
      <c r="H935" s="268" t="str">
        <f t="shared" si="5"/>
        <v>MARTA CALVO PÉREZ</v>
      </c>
      <c r="I935" s="268" t="s">
        <v>6038</v>
      </c>
      <c r="J935" s="272" t="s">
        <v>4747</v>
      </c>
      <c r="K935" s="268" t="s">
        <v>6039</v>
      </c>
      <c r="L935" s="287">
        <v>45474</v>
      </c>
      <c r="M935" s="283"/>
      <c r="N935" s="282">
        <v>1</v>
      </c>
      <c r="O935" s="284" t="s">
        <v>4720</v>
      </c>
      <c r="P935" s="280">
        <v>2162.73</v>
      </c>
      <c r="Q935" s="315">
        <v>45441</v>
      </c>
      <c r="R935" s="272"/>
      <c r="S935" s="272"/>
      <c r="T935" s="272"/>
      <c r="U935" s="272"/>
      <c r="V935" s="272"/>
      <c r="W935" s="272"/>
      <c r="X935" s="272"/>
      <c r="Y935" s="272"/>
      <c r="Z935" s="272"/>
      <c r="AA935" s="272"/>
    </row>
    <row r="936" spans="1:27">
      <c r="A936" s="273">
        <v>7</v>
      </c>
      <c r="B936" s="274" t="s">
        <v>6034</v>
      </c>
      <c r="C936" s="314">
        <v>45447</v>
      </c>
      <c r="D936" s="274" t="s">
        <v>4714</v>
      </c>
      <c r="E936" s="268" t="s">
        <v>6040</v>
      </c>
      <c r="F936" s="272" t="s">
        <v>4715</v>
      </c>
      <c r="G936" s="268" t="s">
        <v>4716</v>
      </c>
      <c r="H936" s="268" t="str">
        <f t="shared" si="5"/>
        <v>Mª LUISA CALERO RAMOS</v>
      </c>
      <c r="I936" s="268" t="s">
        <v>5083</v>
      </c>
      <c r="J936" s="272" t="s">
        <v>4729</v>
      </c>
      <c r="K936" s="268" t="s">
        <v>6041</v>
      </c>
      <c r="L936" s="276">
        <v>45474</v>
      </c>
      <c r="M936" s="283"/>
      <c r="N936" s="282">
        <v>2</v>
      </c>
      <c r="O936" s="284" t="s">
        <v>4740</v>
      </c>
      <c r="P936" s="280">
        <v>4000</v>
      </c>
      <c r="Q936" s="315">
        <v>45447</v>
      </c>
      <c r="R936" s="272"/>
      <c r="S936" s="272"/>
      <c r="T936" s="272"/>
      <c r="U936" s="272"/>
      <c r="V936" s="272"/>
      <c r="W936" s="272"/>
      <c r="X936" s="272"/>
      <c r="Y936" s="272"/>
      <c r="Z936" s="272"/>
      <c r="AA936" s="272"/>
    </row>
    <row r="937" spans="1:27">
      <c r="A937" s="273">
        <v>7</v>
      </c>
      <c r="B937" s="274" t="s">
        <v>6034</v>
      </c>
      <c r="C937" s="289">
        <v>45471</v>
      </c>
      <c r="D937" s="274" t="s">
        <v>4714</v>
      </c>
      <c r="E937" s="268" t="s">
        <v>4875</v>
      </c>
      <c r="F937" s="268" t="s">
        <v>4715</v>
      </c>
      <c r="G937" s="268" t="s">
        <v>4716</v>
      </c>
      <c r="H937" s="268" t="str">
        <f t="shared" si="5"/>
        <v>JUAN LATORRE LÓPEZ</v>
      </c>
      <c r="I937" s="268" t="s">
        <v>6042</v>
      </c>
      <c r="J937" s="278" t="s">
        <v>4790</v>
      </c>
      <c r="K937" s="268" t="s">
        <v>6043</v>
      </c>
      <c r="L937" s="276">
        <v>45475</v>
      </c>
      <c r="M937" s="283"/>
      <c r="N937" s="282">
        <v>2</v>
      </c>
      <c r="O937" s="284" t="s">
        <v>4723</v>
      </c>
      <c r="P937" s="280">
        <v>2909.09</v>
      </c>
      <c r="Q937" s="281">
        <v>45471</v>
      </c>
      <c r="R937" s="272"/>
      <c r="S937" s="272"/>
      <c r="T937" s="272"/>
      <c r="U937" s="272"/>
      <c r="V937" s="272"/>
      <c r="W937" s="272"/>
      <c r="X937" s="272"/>
      <c r="Y937" s="272"/>
      <c r="Z937" s="272"/>
      <c r="AA937" s="272"/>
    </row>
    <row r="938" spans="1:27">
      <c r="A938" s="273">
        <v>7</v>
      </c>
      <c r="B938" s="274" t="s">
        <v>6034</v>
      </c>
      <c r="C938" s="314"/>
      <c r="D938" s="274" t="s">
        <v>4714</v>
      </c>
      <c r="E938" s="268" t="s">
        <v>2916</v>
      </c>
      <c r="F938" s="272" t="s">
        <v>4715</v>
      </c>
      <c r="G938" s="268" t="s">
        <v>4716</v>
      </c>
      <c r="H938" s="268" t="str">
        <f t="shared" si="5"/>
        <v>JESUS-MARIA GRASA PÉREZ</v>
      </c>
      <c r="I938" s="268" t="s">
        <v>4865</v>
      </c>
      <c r="J938" s="272" t="s">
        <v>4806</v>
      </c>
      <c r="K938" s="268" t="s">
        <v>6044</v>
      </c>
      <c r="L938" s="287">
        <v>45475</v>
      </c>
      <c r="M938" s="283"/>
      <c r="N938" s="282">
        <v>2</v>
      </c>
      <c r="O938" s="284" t="s">
        <v>4723</v>
      </c>
      <c r="P938" s="280">
        <v>2743.78</v>
      </c>
      <c r="Q938" s="315"/>
      <c r="R938" s="272"/>
      <c r="S938" s="272"/>
      <c r="T938" s="272"/>
      <c r="U938" s="272"/>
      <c r="V938" s="272"/>
      <c r="W938" s="272"/>
      <c r="X938" s="272"/>
      <c r="Y938" s="272"/>
      <c r="Z938" s="272"/>
      <c r="AA938" s="272"/>
    </row>
    <row r="939" spans="1:27">
      <c r="A939" s="273">
        <v>7</v>
      </c>
      <c r="B939" s="274" t="s">
        <v>6034</v>
      </c>
      <c r="C939" s="314">
        <v>45448</v>
      </c>
      <c r="D939" s="274" t="s">
        <v>4714</v>
      </c>
      <c r="E939" s="268" t="s">
        <v>4945</v>
      </c>
      <c r="F939" s="272" t="s">
        <v>4715</v>
      </c>
      <c r="G939" s="268" t="s">
        <v>4716</v>
      </c>
      <c r="H939" s="268" t="str">
        <f t="shared" si="5"/>
        <v>PEDRO JUIZ LÓPEZ</v>
      </c>
      <c r="I939" s="268" t="s">
        <v>4946</v>
      </c>
      <c r="J939" s="272" t="s">
        <v>4790</v>
      </c>
      <c r="K939" s="268" t="s">
        <v>6045</v>
      </c>
      <c r="L939" s="287">
        <v>45475</v>
      </c>
      <c r="M939" s="283"/>
      <c r="N939" s="282">
        <v>2</v>
      </c>
      <c r="O939" s="284" t="s">
        <v>4740</v>
      </c>
      <c r="P939" s="280">
        <v>4436.3599999999997</v>
      </c>
      <c r="Q939" s="315">
        <v>45448</v>
      </c>
      <c r="R939" s="272"/>
      <c r="S939" s="272"/>
      <c r="T939" s="272"/>
      <c r="U939" s="272"/>
      <c r="V939" s="272"/>
      <c r="W939" s="272"/>
      <c r="X939" s="272"/>
      <c r="Y939" s="272"/>
      <c r="Z939" s="272"/>
      <c r="AA939" s="272"/>
    </row>
    <row r="940" spans="1:27">
      <c r="A940" s="273">
        <v>7</v>
      </c>
      <c r="B940" s="274" t="s">
        <v>6034</v>
      </c>
      <c r="C940" s="314"/>
      <c r="D940" s="274" t="s">
        <v>4714</v>
      </c>
      <c r="E940" s="268" t="s">
        <v>2869</v>
      </c>
      <c r="F940" s="272" t="s">
        <v>4715</v>
      </c>
      <c r="G940" s="268" t="s">
        <v>4716</v>
      </c>
      <c r="H940" s="268" t="str">
        <f t="shared" si="5"/>
        <v>LAURA GAÑÁN ALBUISECH</v>
      </c>
      <c r="I940" s="268" t="s">
        <v>6046</v>
      </c>
      <c r="J940" s="272" t="s">
        <v>4736</v>
      </c>
      <c r="K940" s="268" t="s">
        <v>6047</v>
      </c>
      <c r="L940" s="287">
        <v>45475</v>
      </c>
      <c r="M940" s="283"/>
      <c r="N940" s="282">
        <v>2</v>
      </c>
      <c r="O940" s="284" t="s">
        <v>5814</v>
      </c>
      <c r="P940" s="280">
        <v>3507.27</v>
      </c>
      <c r="Q940" s="315"/>
      <c r="R940" s="272"/>
      <c r="S940" s="272"/>
      <c r="T940" s="272"/>
      <c r="U940" s="272"/>
      <c r="V940" s="272"/>
      <c r="W940" s="272"/>
      <c r="X940" s="272"/>
      <c r="Y940" s="272"/>
      <c r="Z940" s="272"/>
      <c r="AA940" s="272"/>
    </row>
    <row r="941" spans="1:27">
      <c r="A941" s="273">
        <v>7</v>
      </c>
      <c r="B941" s="274" t="s">
        <v>6034</v>
      </c>
      <c r="C941" s="314"/>
      <c r="D941" s="274" t="s">
        <v>4714</v>
      </c>
      <c r="E941" s="268" t="s">
        <v>3011</v>
      </c>
      <c r="F941" s="272" t="s">
        <v>4715</v>
      </c>
      <c r="G941" s="268" t="s">
        <v>4716</v>
      </c>
      <c r="H941" s="268" t="str">
        <f t="shared" si="5"/>
        <v>MIGUEL RODRIGUEZ PÉREZ</v>
      </c>
      <c r="I941" s="268" t="s">
        <v>5138</v>
      </c>
      <c r="J941" s="272" t="s">
        <v>4729</v>
      </c>
      <c r="K941" s="268" t="s">
        <v>6048</v>
      </c>
      <c r="L941" s="276">
        <v>45475</v>
      </c>
      <c r="M941" s="283"/>
      <c r="N941" s="282">
        <v>2</v>
      </c>
      <c r="O941" s="284" t="s">
        <v>4720</v>
      </c>
      <c r="P941" s="280">
        <v>3293.64</v>
      </c>
      <c r="Q941" s="315"/>
      <c r="R941" s="272"/>
      <c r="S941" s="272"/>
      <c r="T941" s="272"/>
      <c r="U941" s="272"/>
      <c r="V941" s="272"/>
      <c r="W941" s="272"/>
      <c r="X941" s="272"/>
      <c r="Y941" s="272"/>
      <c r="Z941" s="272"/>
      <c r="AA941" s="272"/>
    </row>
    <row r="942" spans="1:27">
      <c r="A942" s="273">
        <v>7</v>
      </c>
      <c r="B942" s="274" t="s">
        <v>6034</v>
      </c>
      <c r="C942" s="314">
        <v>45450</v>
      </c>
      <c r="D942" s="274" t="s">
        <v>4714</v>
      </c>
      <c r="E942" s="268" t="s">
        <v>2921</v>
      </c>
      <c r="F942" s="272" t="s">
        <v>4715</v>
      </c>
      <c r="G942" s="268" t="s">
        <v>4716</v>
      </c>
      <c r="H942" s="268" t="str">
        <f t="shared" si="5"/>
        <v>CELIA LÓPEZ MOLLA</v>
      </c>
      <c r="I942" s="268" t="s">
        <v>6000</v>
      </c>
      <c r="J942" s="272" t="s">
        <v>4910</v>
      </c>
      <c r="K942" s="268" t="s">
        <v>6049</v>
      </c>
      <c r="L942" s="276">
        <v>45475</v>
      </c>
      <c r="M942" s="283"/>
      <c r="N942" s="282">
        <v>2</v>
      </c>
      <c r="O942" s="284" t="s">
        <v>4787</v>
      </c>
      <c r="P942" s="280">
        <v>4400</v>
      </c>
      <c r="Q942" s="315">
        <v>45450</v>
      </c>
      <c r="R942" s="272"/>
      <c r="S942" s="272"/>
      <c r="T942" s="272"/>
      <c r="U942" s="272"/>
      <c r="V942" s="272"/>
      <c r="W942" s="272"/>
      <c r="X942" s="272"/>
      <c r="Y942" s="272"/>
      <c r="Z942" s="272"/>
      <c r="AA942" s="272"/>
    </row>
    <row r="943" spans="1:27">
      <c r="A943" s="273">
        <v>7</v>
      </c>
      <c r="B943" s="274" t="s">
        <v>6034</v>
      </c>
      <c r="C943" s="289"/>
      <c r="D943" s="285" t="s">
        <v>4714</v>
      </c>
      <c r="E943" s="268" t="s">
        <v>4194</v>
      </c>
      <c r="F943" s="268" t="s">
        <v>4715</v>
      </c>
      <c r="G943" s="268" t="s">
        <v>4716</v>
      </c>
      <c r="H943" s="268" t="str">
        <f t="shared" si="5"/>
        <v>FRANCISCO PASTOR BEVIÁ</v>
      </c>
      <c r="I943" s="268" t="s">
        <v>4738</v>
      </c>
      <c r="J943" s="268" t="s">
        <v>4736</v>
      </c>
      <c r="K943" s="268" t="s">
        <v>6050</v>
      </c>
      <c r="L943" s="276">
        <v>45476</v>
      </c>
      <c r="M943" s="283"/>
      <c r="N943" s="282">
        <v>2</v>
      </c>
      <c r="O943" s="293" t="s">
        <v>4723</v>
      </c>
      <c r="P943" s="280">
        <v>2340.91</v>
      </c>
      <c r="Q943" s="281"/>
      <c r="R943" s="272"/>
      <c r="S943" s="272"/>
      <c r="T943" s="272"/>
      <c r="U943" s="272"/>
      <c r="V943" s="272"/>
      <c r="W943" s="272"/>
      <c r="X943" s="272"/>
      <c r="Y943" s="272"/>
      <c r="Z943" s="272"/>
      <c r="AA943" s="272"/>
    </row>
    <row r="944" spans="1:27">
      <c r="A944" s="273">
        <v>7</v>
      </c>
      <c r="B944" s="274" t="s">
        <v>6034</v>
      </c>
      <c r="C944" s="314">
        <v>45435</v>
      </c>
      <c r="D944" s="274" t="s">
        <v>4714</v>
      </c>
      <c r="E944" s="268" t="s">
        <v>3193</v>
      </c>
      <c r="F944" s="272" t="s">
        <v>4715</v>
      </c>
      <c r="G944" s="268" t="s">
        <v>4716</v>
      </c>
      <c r="H944" s="268" t="str">
        <f t="shared" si="5"/>
        <v>RICARDO GONZÁLEZ-ORUS</v>
      </c>
      <c r="I944" s="268" t="s">
        <v>5540</v>
      </c>
      <c r="J944" s="272" t="s">
        <v>4718</v>
      </c>
      <c r="K944" s="268" t="s">
        <v>6051</v>
      </c>
      <c r="L944" s="287">
        <v>45476</v>
      </c>
      <c r="M944" s="283"/>
      <c r="N944" s="282">
        <v>1</v>
      </c>
      <c r="O944" s="284" t="s">
        <v>5814</v>
      </c>
      <c r="P944" s="280">
        <v>2400</v>
      </c>
      <c r="Q944" s="315">
        <v>45435</v>
      </c>
      <c r="R944" s="272"/>
      <c r="S944" s="272"/>
      <c r="T944" s="272"/>
      <c r="U944" s="272"/>
      <c r="V944" s="272"/>
      <c r="W944" s="272"/>
      <c r="X944" s="272"/>
      <c r="Y944" s="272"/>
      <c r="Z944" s="272"/>
      <c r="AA944" s="272"/>
    </row>
    <row r="945" spans="1:27">
      <c r="A945" s="273">
        <v>7</v>
      </c>
      <c r="B945" s="274" t="s">
        <v>6034</v>
      </c>
      <c r="C945" s="314"/>
      <c r="D945" s="274" t="s">
        <v>4714</v>
      </c>
      <c r="E945" s="268" t="s">
        <v>2869</v>
      </c>
      <c r="F945" s="272" t="s">
        <v>4715</v>
      </c>
      <c r="G945" s="268" t="s">
        <v>4716</v>
      </c>
      <c r="H945" s="268" t="str">
        <f t="shared" si="5"/>
        <v>ENRIQUE VIVIENTE RODRÍGUEZ</v>
      </c>
      <c r="I945" s="268" t="s">
        <v>5118</v>
      </c>
      <c r="J945" s="272" t="s">
        <v>4736</v>
      </c>
      <c r="K945" s="268" t="s">
        <v>6052</v>
      </c>
      <c r="L945" s="287">
        <v>45476</v>
      </c>
      <c r="M945" s="283"/>
      <c r="N945" s="282">
        <v>2</v>
      </c>
      <c r="O945" s="284" t="s">
        <v>4723</v>
      </c>
      <c r="P945" s="280">
        <v>2780.91</v>
      </c>
      <c r="Q945" s="315"/>
      <c r="R945" s="272"/>
      <c r="S945" s="272"/>
      <c r="T945" s="272"/>
      <c r="U945" s="272"/>
      <c r="V945" s="272"/>
      <c r="W945" s="272"/>
      <c r="X945" s="272"/>
      <c r="Y945" s="272"/>
      <c r="Z945" s="272"/>
      <c r="AA945" s="272"/>
    </row>
    <row r="946" spans="1:27">
      <c r="A946" s="273">
        <v>7</v>
      </c>
      <c r="B946" s="274" t="s">
        <v>6034</v>
      </c>
      <c r="C946" s="314">
        <v>45436</v>
      </c>
      <c r="D946" s="274" t="s">
        <v>4714</v>
      </c>
      <c r="E946" s="268" t="s">
        <v>6040</v>
      </c>
      <c r="F946" s="272" t="s">
        <v>4715</v>
      </c>
      <c r="G946" s="268" t="s">
        <v>4716</v>
      </c>
      <c r="H946" s="268" t="str">
        <f t="shared" si="5"/>
        <v>LUCIA PRIETO SÁNCHEZ DE LA PUERTA</v>
      </c>
      <c r="I946" s="268" t="s">
        <v>4731</v>
      </c>
      <c r="J946" s="272" t="s">
        <v>4729</v>
      </c>
      <c r="K946" s="268" t="s">
        <v>6053</v>
      </c>
      <c r="L946" s="276">
        <v>45476</v>
      </c>
      <c r="M946" s="283"/>
      <c r="N946" s="282">
        <v>2</v>
      </c>
      <c r="O946" s="284" t="s">
        <v>4720</v>
      </c>
      <c r="P946" s="280">
        <v>3710</v>
      </c>
      <c r="Q946" s="315">
        <v>45436</v>
      </c>
      <c r="R946" s="272"/>
      <c r="S946" s="272"/>
      <c r="T946" s="272"/>
      <c r="U946" s="272"/>
      <c r="V946" s="272"/>
      <c r="W946" s="272"/>
      <c r="X946" s="272"/>
      <c r="Y946" s="272"/>
      <c r="Z946" s="272"/>
      <c r="AA946" s="272"/>
    </row>
    <row r="947" spans="1:27">
      <c r="A947" s="273">
        <v>7</v>
      </c>
      <c r="B947" s="274" t="s">
        <v>6034</v>
      </c>
      <c r="C947" s="314"/>
      <c r="D947" s="285" t="s">
        <v>4714</v>
      </c>
      <c r="E947" s="268" t="s">
        <v>2972</v>
      </c>
      <c r="F947" s="272" t="s">
        <v>4715</v>
      </c>
      <c r="G947" s="268" t="s">
        <v>4716</v>
      </c>
      <c r="H947" s="268" t="str">
        <f t="shared" si="5"/>
        <v>AINHOA MORENO BRAVO</v>
      </c>
      <c r="I947" s="268" t="s">
        <v>5015</v>
      </c>
      <c r="J947" s="272" t="s">
        <v>4822</v>
      </c>
      <c r="K947" s="268" t="s">
        <v>6054</v>
      </c>
      <c r="L947" s="276">
        <v>45476</v>
      </c>
      <c r="M947" s="283"/>
      <c r="N947" s="282">
        <v>1</v>
      </c>
      <c r="O947" s="284" t="s">
        <v>5814</v>
      </c>
      <c r="P947" s="280">
        <v>2400</v>
      </c>
      <c r="Q947" s="315"/>
      <c r="R947" s="272"/>
      <c r="S947" s="272"/>
      <c r="T947" s="272"/>
      <c r="U947" s="272"/>
      <c r="V947" s="272"/>
      <c r="W947" s="272"/>
      <c r="X947" s="272"/>
      <c r="Y947" s="272"/>
      <c r="Z947" s="272"/>
      <c r="AA947" s="272"/>
    </row>
    <row r="948" spans="1:27">
      <c r="A948" s="273">
        <v>7</v>
      </c>
      <c r="B948" s="274" t="s">
        <v>6034</v>
      </c>
      <c r="C948" s="314">
        <v>45432</v>
      </c>
      <c r="D948" s="274" t="s">
        <v>4714</v>
      </c>
      <c r="E948" s="268" t="s">
        <v>4804</v>
      </c>
      <c r="F948" s="272" t="s">
        <v>4715</v>
      </c>
      <c r="G948" s="268" t="s">
        <v>4716</v>
      </c>
      <c r="H948" s="268" t="str">
        <f t="shared" si="5"/>
        <v>JOAQUIM BROTO SUMALLA</v>
      </c>
      <c r="I948" s="268" t="s">
        <v>4805</v>
      </c>
      <c r="J948" s="272" t="s">
        <v>4806</v>
      </c>
      <c r="K948" s="268" t="s">
        <v>6055</v>
      </c>
      <c r="L948" s="276">
        <v>45476</v>
      </c>
      <c r="M948" s="283"/>
      <c r="N948" s="282">
        <v>1</v>
      </c>
      <c r="O948" s="284" t="s">
        <v>4720</v>
      </c>
      <c r="P948" s="280">
        <v>1757.27</v>
      </c>
      <c r="Q948" s="315">
        <v>45432</v>
      </c>
      <c r="R948" s="272"/>
      <c r="S948" s="272"/>
      <c r="T948" s="272"/>
      <c r="U948" s="272"/>
      <c r="V948" s="272"/>
      <c r="W948" s="272"/>
      <c r="X948" s="272"/>
      <c r="Y948" s="272"/>
      <c r="Z948" s="272"/>
      <c r="AA948" s="272"/>
    </row>
    <row r="949" spans="1:27">
      <c r="A949" s="273">
        <v>7</v>
      </c>
      <c r="B949" s="274" t="s">
        <v>6034</v>
      </c>
      <c r="C949" s="289">
        <v>45450</v>
      </c>
      <c r="D949" s="274" t="s">
        <v>4714</v>
      </c>
      <c r="E949" s="268" t="s">
        <v>6056</v>
      </c>
      <c r="F949" s="268" t="s">
        <v>4715</v>
      </c>
      <c r="G949" s="268" t="s">
        <v>4716</v>
      </c>
      <c r="H949" s="268" t="str">
        <f t="shared" si="5"/>
        <v>ISIDORO RUBIO CORREA</v>
      </c>
      <c r="I949" s="268" t="s">
        <v>6057</v>
      </c>
      <c r="J949" s="278" t="s">
        <v>4729</v>
      </c>
      <c r="K949" s="268" t="s">
        <v>6058</v>
      </c>
      <c r="L949" s="276">
        <v>45477</v>
      </c>
      <c r="M949" s="283"/>
      <c r="N949" s="282">
        <v>2</v>
      </c>
      <c r="O949" s="284" t="s">
        <v>4720</v>
      </c>
      <c r="P949" s="280">
        <v>3635.45</v>
      </c>
      <c r="Q949" s="281">
        <v>45450</v>
      </c>
      <c r="R949" s="272"/>
      <c r="S949" s="272"/>
      <c r="T949" s="272"/>
      <c r="U949" s="272"/>
      <c r="V949" s="272"/>
      <c r="W949" s="272"/>
      <c r="X949" s="272"/>
      <c r="Y949" s="272"/>
      <c r="Z949" s="272"/>
      <c r="AA949" s="272"/>
    </row>
    <row r="950" spans="1:27">
      <c r="A950" s="273">
        <v>7</v>
      </c>
      <c r="B950" s="274" t="s">
        <v>6034</v>
      </c>
      <c r="C950" s="314"/>
      <c r="D950" s="274" t="s">
        <v>4714</v>
      </c>
      <c r="E950" s="268" t="s">
        <v>2929</v>
      </c>
      <c r="F950" s="272" t="s">
        <v>4715</v>
      </c>
      <c r="G950" s="268" t="s">
        <v>4715</v>
      </c>
      <c r="H950" s="268" t="str">
        <f t="shared" si="5"/>
        <v>CARLOS BARAJAS DEL ROSAL</v>
      </c>
      <c r="I950" s="268" t="s">
        <v>4934</v>
      </c>
      <c r="J950" s="272" t="s">
        <v>4822</v>
      </c>
      <c r="K950" s="268" t="s">
        <v>6059</v>
      </c>
      <c r="L950" s="276">
        <v>45477</v>
      </c>
      <c r="M950" s="283"/>
      <c r="N950" s="282">
        <v>2</v>
      </c>
      <c r="O950" s="284" t="s">
        <v>5814</v>
      </c>
      <c r="P950" s="280">
        <v>4000</v>
      </c>
      <c r="Q950" s="315"/>
      <c r="R950" s="272"/>
      <c r="S950" s="272"/>
      <c r="T950" s="272"/>
      <c r="U950" s="272"/>
      <c r="V950" s="272"/>
      <c r="W950" s="272"/>
      <c r="X950" s="272"/>
      <c r="Y950" s="272"/>
      <c r="Z950" s="272"/>
      <c r="AA950" s="272"/>
    </row>
    <row r="951" spans="1:27">
      <c r="A951" s="273">
        <v>7</v>
      </c>
      <c r="B951" s="274" t="s">
        <v>6034</v>
      </c>
      <c r="C951" s="314">
        <v>45397</v>
      </c>
      <c r="D951" s="274" t="s">
        <v>4714</v>
      </c>
      <c r="E951" s="268" t="s">
        <v>2873</v>
      </c>
      <c r="F951" s="272" t="s">
        <v>4715</v>
      </c>
      <c r="G951" s="268" t="s">
        <v>4716</v>
      </c>
      <c r="H951" s="268" t="str">
        <f t="shared" si="5"/>
        <v>SANTIAGO MORENO PAREDES</v>
      </c>
      <c r="I951" s="268" t="s">
        <v>5242</v>
      </c>
      <c r="J951" s="272" t="s">
        <v>4736</v>
      </c>
      <c r="K951" s="268" t="s">
        <v>6060</v>
      </c>
      <c r="L951" s="287">
        <v>45477</v>
      </c>
      <c r="M951" s="283"/>
      <c r="N951" s="282">
        <v>2</v>
      </c>
      <c r="O951" s="284" t="s">
        <v>4720</v>
      </c>
      <c r="P951" s="280">
        <v>3710</v>
      </c>
      <c r="Q951" s="315">
        <v>45397</v>
      </c>
      <c r="R951" s="272"/>
      <c r="S951" s="272"/>
      <c r="T951" s="272"/>
      <c r="U951" s="272"/>
      <c r="V951" s="272"/>
      <c r="W951" s="272"/>
      <c r="X951" s="272"/>
      <c r="Y951" s="272"/>
      <c r="Z951" s="272"/>
      <c r="AA951" s="272"/>
    </row>
    <row r="952" spans="1:27">
      <c r="A952" s="273">
        <v>7</v>
      </c>
      <c r="B952" s="274" t="s">
        <v>6034</v>
      </c>
      <c r="C952" s="314">
        <v>45453</v>
      </c>
      <c r="D952" s="274" t="s">
        <v>4714</v>
      </c>
      <c r="E952" s="268" t="s">
        <v>2972</v>
      </c>
      <c r="F952" s="272" t="s">
        <v>4715</v>
      </c>
      <c r="G952" s="268" t="s">
        <v>4716</v>
      </c>
      <c r="H952" s="268" t="str">
        <f t="shared" si="5"/>
        <v>CARLOS FÉLIX ASENSIO NIETO</v>
      </c>
      <c r="I952" s="268" t="s">
        <v>5371</v>
      </c>
      <c r="J952" s="272" t="s">
        <v>4822</v>
      </c>
      <c r="K952" s="268" t="s">
        <v>6061</v>
      </c>
      <c r="L952" s="276">
        <v>45477</v>
      </c>
      <c r="M952" s="283"/>
      <c r="N952" s="282">
        <v>2</v>
      </c>
      <c r="O952" s="284" t="s">
        <v>4787</v>
      </c>
      <c r="P952" s="280">
        <v>4276.3599999999997</v>
      </c>
      <c r="Q952" s="315">
        <v>45453</v>
      </c>
      <c r="R952" s="272"/>
      <c r="S952" s="272"/>
      <c r="T952" s="272"/>
      <c r="U952" s="272"/>
      <c r="V952" s="272"/>
      <c r="W952" s="272"/>
      <c r="X952" s="272"/>
      <c r="Y952" s="272"/>
      <c r="Z952" s="272"/>
      <c r="AA952" s="272"/>
    </row>
    <row r="953" spans="1:27">
      <c r="A953" s="273">
        <v>7</v>
      </c>
      <c r="B953" s="274" t="s">
        <v>6034</v>
      </c>
      <c r="C953" s="314">
        <v>45434</v>
      </c>
      <c r="D953" s="285" t="s">
        <v>4714</v>
      </c>
      <c r="E953" s="268" t="s">
        <v>2921</v>
      </c>
      <c r="F953" s="272" t="s">
        <v>4715</v>
      </c>
      <c r="G953" s="268" t="s">
        <v>4716</v>
      </c>
      <c r="H953" s="268" t="str">
        <f t="shared" si="5"/>
        <v>MANUEL MATEOS FERNÁNDEZ</v>
      </c>
      <c r="I953" s="268" t="s">
        <v>5882</v>
      </c>
      <c r="J953" s="272" t="s">
        <v>4910</v>
      </c>
      <c r="K953" s="268" t="s">
        <v>6062</v>
      </c>
      <c r="L953" s="276">
        <v>45477</v>
      </c>
      <c r="M953" s="283"/>
      <c r="N953" s="282">
        <v>2</v>
      </c>
      <c r="O953" s="284" t="s">
        <v>4723</v>
      </c>
      <c r="P953" s="280">
        <v>2888.18</v>
      </c>
      <c r="Q953" s="315">
        <v>45434</v>
      </c>
      <c r="R953" s="272"/>
      <c r="S953" s="272"/>
      <c r="T953" s="272"/>
      <c r="U953" s="272"/>
      <c r="V953" s="272"/>
      <c r="W953" s="272"/>
      <c r="X953" s="272"/>
      <c r="Y953" s="272"/>
      <c r="Z953" s="272"/>
      <c r="AA953" s="272"/>
    </row>
    <row r="954" spans="1:27">
      <c r="A954" s="273">
        <v>7</v>
      </c>
      <c r="B954" s="274" t="s">
        <v>6034</v>
      </c>
      <c r="C954" s="289"/>
      <c r="D954" s="274" t="s">
        <v>4714</v>
      </c>
      <c r="E954" s="268" t="s">
        <v>2909</v>
      </c>
      <c r="F954" s="268" t="s">
        <v>4715</v>
      </c>
      <c r="G954" s="268" t="s">
        <v>4716</v>
      </c>
      <c r="H954" s="268" t="str">
        <f t="shared" si="5"/>
        <v>ELADIO SICILIA MALUENDA</v>
      </c>
      <c r="I954" s="268" t="s">
        <v>6063</v>
      </c>
      <c r="J954" s="278" t="s">
        <v>4806</v>
      </c>
      <c r="K954" s="268" t="s">
        <v>6064</v>
      </c>
      <c r="L954" s="276">
        <v>45478</v>
      </c>
      <c r="M954" s="283"/>
      <c r="N954" s="282">
        <v>2</v>
      </c>
      <c r="O954" s="284" t="s">
        <v>5814</v>
      </c>
      <c r="P954" s="280">
        <v>4000</v>
      </c>
      <c r="Q954" s="281"/>
      <c r="R954" s="272"/>
      <c r="S954" s="272"/>
      <c r="T954" s="272"/>
      <c r="U954" s="272"/>
      <c r="V954" s="272"/>
      <c r="W954" s="272"/>
      <c r="X954" s="272"/>
      <c r="Y954" s="272"/>
      <c r="Z954" s="272"/>
      <c r="AA954" s="272"/>
    </row>
    <row r="955" spans="1:27">
      <c r="A955" s="273">
        <v>7</v>
      </c>
      <c r="B955" s="274" t="s">
        <v>6034</v>
      </c>
      <c r="C955" s="314">
        <v>45398</v>
      </c>
      <c r="D955" s="274" t="s">
        <v>4714</v>
      </c>
      <c r="E955" s="268" t="s">
        <v>2893</v>
      </c>
      <c r="F955" s="272" t="s">
        <v>4715</v>
      </c>
      <c r="G955" s="268" t="s">
        <v>4716</v>
      </c>
      <c r="H955" s="268" t="str">
        <f t="shared" si="5"/>
        <v>MAR LASSO DE LA VEGA ZAMORA</v>
      </c>
      <c r="I955" s="268" t="s">
        <v>5183</v>
      </c>
      <c r="J955" s="272" t="s">
        <v>4718</v>
      </c>
      <c r="K955" s="268" t="s">
        <v>6065</v>
      </c>
      <c r="L955" s="287">
        <v>45478</v>
      </c>
      <c r="M955" s="283"/>
      <c r="N955" s="282">
        <v>2</v>
      </c>
      <c r="O955" s="284" t="s">
        <v>4723</v>
      </c>
      <c r="P955" s="280">
        <v>2780.77</v>
      </c>
      <c r="Q955" s="315">
        <v>45398</v>
      </c>
      <c r="R955" s="272"/>
      <c r="S955" s="272"/>
      <c r="T955" s="272"/>
      <c r="U955" s="272"/>
      <c r="V955" s="272"/>
      <c r="W955" s="272"/>
      <c r="X955" s="272"/>
      <c r="Y955" s="272"/>
      <c r="Z955" s="272"/>
      <c r="AA955" s="272"/>
    </row>
    <row r="956" spans="1:27">
      <c r="A956" s="273">
        <v>7</v>
      </c>
      <c r="B956" s="274" t="s">
        <v>6034</v>
      </c>
      <c r="C956" s="314">
        <v>45478</v>
      </c>
      <c r="D956" s="274" t="s">
        <v>4714</v>
      </c>
      <c r="E956" s="268" t="s">
        <v>2929</v>
      </c>
      <c r="F956" s="272" t="s">
        <v>4715</v>
      </c>
      <c r="G956" s="268" t="s">
        <v>4716</v>
      </c>
      <c r="H956" s="268" t="str">
        <f t="shared" si="5"/>
        <v>NO REUERDA ORL</v>
      </c>
      <c r="I956" s="268" t="s">
        <v>4743</v>
      </c>
      <c r="J956" s="272" t="s">
        <v>4718</v>
      </c>
      <c r="K956" s="268" t="s">
        <v>6066</v>
      </c>
      <c r="L956" s="276">
        <v>45478</v>
      </c>
      <c r="M956" s="283"/>
      <c r="N956" s="282">
        <v>1</v>
      </c>
      <c r="O956" s="284" t="s">
        <v>5814</v>
      </c>
      <c r="P956" s="280">
        <v>2400</v>
      </c>
      <c r="Q956" s="315">
        <v>45478</v>
      </c>
      <c r="R956" s="272"/>
      <c r="S956" s="272"/>
      <c r="T956" s="272"/>
      <c r="U956" s="272"/>
      <c r="V956" s="272"/>
      <c r="W956" s="272"/>
      <c r="X956" s="272"/>
      <c r="Y956" s="272"/>
      <c r="Z956" s="272"/>
      <c r="AA956" s="272"/>
    </row>
    <row r="957" spans="1:27">
      <c r="A957" s="273">
        <v>7</v>
      </c>
      <c r="B957" s="274" t="s">
        <v>6034</v>
      </c>
      <c r="C957" s="314">
        <v>45443</v>
      </c>
      <c r="D957" s="274" t="s">
        <v>4714</v>
      </c>
      <c r="E957" s="268" t="s">
        <v>2900</v>
      </c>
      <c r="F957" s="272" t="s">
        <v>4715</v>
      </c>
      <c r="G957" s="268" t="s">
        <v>4716</v>
      </c>
      <c r="H957" s="268" t="str">
        <f t="shared" si="5"/>
        <v>JOSE ANTONIO TORRE EIRIZ</v>
      </c>
      <c r="I957" s="268" t="s">
        <v>6067</v>
      </c>
      <c r="J957" s="272" t="s">
        <v>4790</v>
      </c>
      <c r="K957" s="268" t="s">
        <v>6068</v>
      </c>
      <c r="L957" s="287">
        <v>45478</v>
      </c>
      <c r="M957" s="283"/>
      <c r="N957" s="282">
        <v>2</v>
      </c>
      <c r="O957" s="284" t="s">
        <v>4740</v>
      </c>
      <c r="P957" s="280">
        <v>4000</v>
      </c>
      <c r="Q957" s="315">
        <v>45443</v>
      </c>
      <c r="R957" s="272"/>
      <c r="S957" s="272"/>
      <c r="T957" s="272"/>
      <c r="U957" s="272"/>
      <c r="V957" s="272"/>
      <c r="W957" s="272"/>
      <c r="X957" s="272"/>
      <c r="Y957" s="272"/>
      <c r="Z957" s="272"/>
      <c r="AA957" s="272"/>
    </row>
    <row r="958" spans="1:27">
      <c r="A958" s="273">
        <v>7</v>
      </c>
      <c r="B958" s="274" t="s">
        <v>6034</v>
      </c>
      <c r="C958" s="314">
        <v>45468</v>
      </c>
      <c r="D958" s="274" t="s">
        <v>4714</v>
      </c>
      <c r="E958" s="268" t="s">
        <v>2972</v>
      </c>
      <c r="F958" s="272" t="s">
        <v>4715</v>
      </c>
      <c r="G958" s="268" t="s">
        <v>4716</v>
      </c>
      <c r="H958" s="268" t="str">
        <f t="shared" si="5"/>
        <v>JORGE PRADA PENDOLERO</v>
      </c>
      <c r="I958" s="268" t="s">
        <v>4975</v>
      </c>
      <c r="J958" s="272" t="s">
        <v>4718</v>
      </c>
      <c r="K958" s="268" t="s">
        <v>6069</v>
      </c>
      <c r="L958" s="276">
        <v>45478</v>
      </c>
      <c r="M958" s="283"/>
      <c r="N958" s="282">
        <v>1</v>
      </c>
      <c r="O958" s="284" t="s">
        <v>4720</v>
      </c>
      <c r="P958" s="280">
        <v>2226.36</v>
      </c>
      <c r="Q958" s="315">
        <v>45468</v>
      </c>
      <c r="R958" s="272"/>
      <c r="S958" s="272"/>
      <c r="T958" s="272"/>
      <c r="U958" s="272"/>
      <c r="V958" s="272"/>
      <c r="W958" s="272"/>
      <c r="X958" s="272"/>
      <c r="Y958" s="272"/>
      <c r="Z958" s="272"/>
      <c r="AA958" s="272"/>
    </row>
    <row r="959" spans="1:27">
      <c r="A959" s="273">
        <v>7</v>
      </c>
      <c r="B959" s="274" t="s">
        <v>6034</v>
      </c>
      <c r="C959" s="314">
        <v>45427</v>
      </c>
      <c r="D959" s="274" t="s">
        <v>4714</v>
      </c>
      <c r="E959" s="268" t="s">
        <v>4804</v>
      </c>
      <c r="F959" s="272" t="s">
        <v>4715</v>
      </c>
      <c r="G959" s="268" t="s">
        <v>4716</v>
      </c>
      <c r="H959" s="268" t="str">
        <f t="shared" si="5"/>
        <v>JOSEP MARIA ORRIT ARENAS</v>
      </c>
      <c r="I959" s="268" t="s">
        <v>5228</v>
      </c>
      <c r="J959" s="272" t="s">
        <v>4806</v>
      </c>
      <c r="K959" s="268" t="s">
        <v>6070</v>
      </c>
      <c r="L959" s="276">
        <v>45478</v>
      </c>
      <c r="M959" s="283"/>
      <c r="N959" s="282">
        <v>1</v>
      </c>
      <c r="O959" s="284" t="s">
        <v>4792</v>
      </c>
      <c r="P959" s="280">
        <v>1272.73</v>
      </c>
      <c r="Q959" s="315">
        <v>45427</v>
      </c>
      <c r="R959" s="272"/>
      <c r="S959" s="272"/>
      <c r="T959" s="272"/>
      <c r="U959" s="272"/>
      <c r="V959" s="272"/>
      <c r="W959" s="272"/>
      <c r="X959" s="272"/>
      <c r="Y959" s="272"/>
      <c r="Z959" s="272"/>
      <c r="AA959" s="272"/>
    </row>
    <row r="960" spans="1:27">
      <c r="A960" s="273">
        <v>7</v>
      </c>
      <c r="B960" s="274" t="s">
        <v>6034</v>
      </c>
      <c r="C960" s="289"/>
      <c r="D960" s="274" t="s">
        <v>4714</v>
      </c>
      <c r="E960" s="268" t="s">
        <v>4194</v>
      </c>
      <c r="F960" s="268" t="s">
        <v>4715</v>
      </c>
      <c r="G960" s="268" t="s">
        <v>4716</v>
      </c>
      <c r="H960" s="268" t="str">
        <f t="shared" si="5"/>
        <v>IRENE MONJAS CANOVAS</v>
      </c>
      <c r="I960" s="268" t="s">
        <v>5772</v>
      </c>
      <c r="J960" s="278" t="s">
        <v>4736</v>
      </c>
      <c r="K960" s="268" t="s">
        <v>6071</v>
      </c>
      <c r="L960" s="276">
        <v>45481</v>
      </c>
      <c r="M960" s="283"/>
      <c r="N960" s="282">
        <v>2</v>
      </c>
      <c r="O960" s="284" t="s">
        <v>4720</v>
      </c>
      <c r="P960" s="280">
        <v>3604.55</v>
      </c>
      <c r="Q960" s="281"/>
      <c r="R960" s="272"/>
      <c r="S960" s="272"/>
      <c r="T960" s="272"/>
      <c r="U960" s="272"/>
      <c r="V960" s="272"/>
      <c r="W960" s="272"/>
      <c r="X960" s="272"/>
      <c r="Y960" s="272"/>
      <c r="Z960" s="272"/>
      <c r="AA960" s="272"/>
    </row>
    <row r="961" spans="1:27">
      <c r="A961" s="273">
        <v>7</v>
      </c>
      <c r="B961" s="274" t="s">
        <v>6034</v>
      </c>
      <c r="C961" s="289">
        <v>45441</v>
      </c>
      <c r="D961" s="274" t="s">
        <v>4714</v>
      </c>
      <c r="E961" s="268" t="s">
        <v>6056</v>
      </c>
      <c r="F961" s="268" t="s">
        <v>4715</v>
      </c>
      <c r="G961" s="268" t="s">
        <v>4716</v>
      </c>
      <c r="H961" s="268" t="str">
        <f t="shared" si="5"/>
        <v>TOMAS MOGOLLON CANO CORTES</v>
      </c>
      <c r="I961" s="268" t="s">
        <v>5319</v>
      </c>
      <c r="J961" s="278" t="s">
        <v>4729</v>
      </c>
      <c r="K961" s="268" t="s">
        <v>6072</v>
      </c>
      <c r="L961" s="276">
        <v>45481</v>
      </c>
      <c r="M961" s="283"/>
      <c r="N961" s="282">
        <v>2</v>
      </c>
      <c r="O961" s="311" t="s">
        <v>4720</v>
      </c>
      <c r="P961" s="280">
        <v>3635.45</v>
      </c>
      <c r="Q961" s="281">
        <v>45441</v>
      </c>
      <c r="R961" s="272"/>
      <c r="S961" s="272"/>
      <c r="T961" s="272"/>
      <c r="U961" s="272"/>
      <c r="V961" s="272"/>
      <c r="W961" s="272"/>
      <c r="X961" s="272"/>
      <c r="Y961" s="272"/>
      <c r="Z961" s="272"/>
      <c r="AA961" s="272"/>
    </row>
    <row r="962" spans="1:27">
      <c r="A962" s="273">
        <v>7</v>
      </c>
      <c r="B962" s="274" t="s">
        <v>6034</v>
      </c>
      <c r="C962" s="314">
        <v>45453</v>
      </c>
      <c r="D962" s="274" t="s">
        <v>4714</v>
      </c>
      <c r="E962" s="268" t="s">
        <v>4837</v>
      </c>
      <c r="F962" s="272" t="s">
        <v>4715</v>
      </c>
      <c r="G962" s="268" t="s">
        <v>4716</v>
      </c>
      <c r="H962" s="268" t="str">
        <f t="shared" si="5"/>
        <v>MARÍA CECILIA SCOLA TORRES</v>
      </c>
      <c r="I962" s="268" t="s">
        <v>6073</v>
      </c>
      <c r="J962" s="272" t="s">
        <v>4718</v>
      </c>
      <c r="K962" s="268" t="s">
        <v>6074</v>
      </c>
      <c r="L962" s="276">
        <v>45481</v>
      </c>
      <c r="M962" s="283"/>
      <c r="N962" s="282">
        <v>1</v>
      </c>
      <c r="O962" s="284" t="s">
        <v>4723</v>
      </c>
      <c r="P962" s="280">
        <v>1645.45</v>
      </c>
      <c r="Q962" s="315">
        <v>45453</v>
      </c>
      <c r="R962" s="272"/>
      <c r="S962" s="272"/>
      <c r="T962" s="272"/>
      <c r="U962" s="272"/>
      <c r="V962" s="272"/>
      <c r="W962" s="272"/>
      <c r="X962" s="272"/>
      <c r="Y962" s="272"/>
      <c r="Z962" s="272"/>
      <c r="AA962" s="272"/>
    </row>
    <row r="963" spans="1:27">
      <c r="A963" s="273">
        <v>7</v>
      </c>
      <c r="B963" s="274" t="s">
        <v>6034</v>
      </c>
      <c r="C963" s="314">
        <v>45450</v>
      </c>
      <c r="D963" s="274" t="s">
        <v>4714</v>
      </c>
      <c r="E963" s="268" t="s">
        <v>2873</v>
      </c>
      <c r="F963" s="272" t="s">
        <v>4715</v>
      </c>
      <c r="G963" s="268" t="s">
        <v>4716</v>
      </c>
      <c r="H963" s="268" t="str">
        <f t="shared" si="5"/>
        <v>JOSÉ GARCÍA MORILLAS</v>
      </c>
      <c r="I963" s="268" t="s">
        <v>5249</v>
      </c>
      <c r="J963" s="272" t="s">
        <v>4736</v>
      </c>
      <c r="K963" s="268" t="s">
        <v>6075</v>
      </c>
      <c r="L963" s="287">
        <v>45481</v>
      </c>
      <c r="M963" s="283"/>
      <c r="N963" s="282">
        <v>2</v>
      </c>
      <c r="O963" s="284" t="s">
        <v>5814</v>
      </c>
      <c r="P963" s="280">
        <v>4000</v>
      </c>
      <c r="Q963" s="315">
        <v>45450</v>
      </c>
      <c r="R963" s="272"/>
      <c r="S963" s="272"/>
      <c r="T963" s="272"/>
      <c r="U963" s="272"/>
      <c r="V963" s="272"/>
      <c r="W963" s="272"/>
      <c r="X963" s="272"/>
      <c r="Y963" s="272"/>
      <c r="Z963" s="272"/>
      <c r="AA963" s="272"/>
    </row>
    <row r="964" spans="1:27">
      <c r="A964" s="273">
        <v>7</v>
      </c>
      <c r="B964" s="274" t="s">
        <v>6034</v>
      </c>
      <c r="C964" s="314">
        <v>45462</v>
      </c>
      <c r="D964" s="274" t="s">
        <v>4714</v>
      </c>
      <c r="E964" s="268" t="s">
        <v>2972</v>
      </c>
      <c r="F964" s="272" t="s">
        <v>4715</v>
      </c>
      <c r="G964" s="268" t="s">
        <v>4716</v>
      </c>
      <c r="H964" s="268" t="str">
        <f t="shared" si="5"/>
        <v>CARLOS FÉLIX ASENSIO NIETO</v>
      </c>
      <c r="I964" s="268" t="s">
        <v>5371</v>
      </c>
      <c r="J964" s="272" t="s">
        <v>4822</v>
      </c>
      <c r="K964" s="268" t="s">
        <v>6076</v>
      </c>
      <c r="L964" s="276">
        <v>45481</v>
      </c>
      <c r="M964" s="283"/>
      <c r="N964" s="282">
        <v>2</v>
      </c>
      <c r="O964" s="284" t="s">
        <v>5814</v>
      </c>
      <c r="P964" s="280">
        <v>4000</v>
      </c>
      <c r="Q964" s="315">
        <v>45462</v>
      </c>
      <c r="R964" s="272"/>
      <c r="S964" s="272"/>
      <c r="T964" s="272"/>
      <c r="U964" s="272"/>
      <c r="V964" s="272"/>
      <c r="W964" s="272"/>
      <c r="X964" s="272"/>
      <c r="Y964" s="272"/>
      <c r="Z964" s="272"/>
      <c r="AA964" s="272"/>
    </row>
    <row r="965" spans="1:27">
      <c r="A965" s="273">
        <v>7</v>
      </c>
      <c r="B965" s="274" t="s">
        <v>6034</v>
      </c>
      <c r="C965" s="289"/>
      <c r="D965" s="274" t="s">
        <v>4714</v>
      </c>
      <c r="E965" s="268" t="s">
        <v>4734</v>
      </c>
      <c r="F965" s="268" t="s">
        <v>4715</v>
      </c>
      <c r="G965" s="268" t="s">
        <v>4716</v>
      </c>
      <c r="H965" s="268" t="str">
        <f t="shared" si="5"/>
        <v>MARÍA EMILIA GARCÍA RUÍZ</v>
      </c>
      <c r="I965" s="268" t="s">
        <v>5311</v>
      </c>
      <c r="J965" s="278" t="s">
        <v>4736</v>
      </c>
      <c r="K965" s="268" t="s">
        <v>6077</v>
      </c>
      <c r="L965" s="276">
        <v>45482</v>
      </c>
      <c r="M965" s="283"/>
      <c r="N965" s="282">
        <v>1</v>
      </c>
      <c r="O965" s="284" t="s">
        <v>4720</v>
      </c>
      <c r="P965" s="280">
        <v>2226.44</v>
      </c>
      <c r="Q965" s="281"/>
      <c r="R965" s="272"/>
      <c r="S965" s="272"/>
      <c r="T965" s="272"/>
      <c r="U965" s="272"/>
      <c r="V965" s="272"/>
      <c r="W965" s="272"/>
      <c r="X965" s="272"/>
      <c r="Y965" s="272"/>
      <c r="Z965" s="272"/>
      <c r="AA965" s="272"/>
    </row>
    <row r="966" spans="1:27">
      <c r="A966" s="273">
        <v>7</v>
      </c>
      <c r="B966" s="274" t="s">
        <v>6034</v>
      </c>
      <c r="C966" s="289">
        <v>45426</v>
      </c>
      <c r="D966" s="274" t="s">
        <v>4714</v>
      </c>
      <c r="E966" s="268" t="s">
        <v>4788</v>
      </c>
      <c r="F966" s="268" t="s">
        <v>4715</v>
      </c>
      <c r="G966" s="268" t="s">
        <v>4716</v>
      </c>
      <c r="H966" s="268" t="str">
        <f t="shared" si="5"/>
        <v>ISABEL PENSADO BANET</v>
      </c>
      <c r="I966" s="268" t="s">
        <v>5720</v>
      </c>
      <c r="J966" s="278" t="s">
        <v>4790</v>
      </c>
      <c r="K966" s="268" t="s">
        <v>6078</v>
      </c>
      <c r="L966" s="276">
        <v>45482</v>
      </c>
      <c r="M966" s="283"/>
      <c r="N966" s="282">
        <v>2</v>
      </c>
      <c r="O966" s="311" t="s">
        <v>4792</v>
      </c>
      <c r="P966" s="280">
        <v>2363.64</v>
      </c>
      <c r="Q966" s="281">
        <v>45426</v>
      </c>
      <c r="R966" s="272"/>
      <c r="S966" s="272"/>
      <c r="T966" s="272"/>
      <c r="U966" s="272"/>
      <c r="V966" s="272"/>
      <c r="W966" s="272"/>
      <c r="X966" s="272"/>
      <c r="Y966" s="272"/>
      <c r="Z966" s="272"/>
      <c r="AA966" s="272"/>
    </row>
    <row r="967" spans="1:27">
      <c r="A967" s="273">
        <v>7</v>
      </c>
      <c r="B967" s="274" t="s">
        <v>6034</v>
      </c>
      <c r="C967" s="289">
        <v>45442</v>
      </c>
      <c r="D967" s="285" t="s">
        <v>4714</v>
      </c>
      <c r="E967" s="268" t="s">
        <v>3480</v>
      </c>
      <c r="F967" s="268" t="s">
        <v>4715</v>
      </c>
      <c r="G967" s="268" t="s">
        <v>4716</v>
      </c>
      <c r="H967" s="268" t="str">
        <f t="shared" si="5"/>
        <v>VICTORIA GARCÍA PECES</v>
      </c>
      <c r="I967" s="268" t="s">
        <v>4762</v>
      </c>
      <c r="J967" s="268" t="s">
        <v>4718</v>
      </c>
      <c r="K967" s="268" t="s">
        <v>6079</v>
      </c>
      <c r="L967" s="287">
        <v>45482</v>
      </c>
      <c r="M967" s="283"/>
      <c r="N967" s="282">
        <v>2</v>
      </c>
      <c r="O967" s="284" t="s">
        <v>4787</v>
      </c>
      <c r="P967" s="280">
        <v>3910.58</v>
      </c>
      <c r="Q967" s="281">
        <v>45442</v>
      </c>
      <c r="R967" s="272"/>
      <c r="S967" s="272"/>
      <c r="T967" s="272"/>
      <c r="U967" s="272"/>
      <c r="V967" s="272"/>
      <c r="W967" s="272"/>
      <c r="X967" s="272"/>
      <c r="Y967" s="272"/>
      <c r="Z967" s="272"/>
      <c r="AA967" s="272"/>
    </row>
    <row r="968" spans="1:27">
      <c r="A968" s="273">
        <v>7</v>
      </c>
      <c r="B968" s="274" t="s">
        <v>6034</v>
      </c>
      <c r="C968" s="314">
        <v>45453</v>
      </c>
      <c r="D968" s="274" t="s">
        <v>4714</v>
      </c>
      <c r="E968" s="268" t="s">
        <v>2893</v>
      </c>
      <c r="F968" s="272" t="s">
        <v>4715</v>
      </c>
      <c r="G968" s="268" t="s">
        <v>4716</v>
      </c>
      <c r="H968" s="268" t="str">
        <f t="shared" si="5"/>
        <v>JESÚS RAMOS FERNÁNDEZ</v>
      </c>
      <c r="I968" s="268" t="s">
        <v>4923</v>
      </c>
      <c r="J968" s="272" t="s">
        <v>4718</v>
      </c>
      <c r="K968" s="268" t="s">
        <v>6080</v>
      </c>
      <c r="L968" s="276">
        <v>45482</v>
      </c>
      <c r="M968" s="283"/>
      <c r="N968" s="282">
        <v>1</v>
      </c>
      <c r="O968" s="284" t="s">
        <v>4723</v>
      </c>
      <c r="P968" s="280">
        <v>1732.73</v>
      </c>
      <c r="Q968" s="315">
        <v>45453</v>
      </c>
      <c r="R968" s="272"/>
      <c r="S968" s="272"/>
      <c r="T968" s="272"/>
      <c r="U968" s="272"/>
      <c r="V968" s="272"/>
      <c r="W968" s="272"/>
      <c r="X968" s="272"/>
      <c r="Y968" s="272"/>
      <c r="Z968" s="272"/>
      <c r="AA968" s="272"/>
    </row>
    <row r="969" spans="1:27">
      <c r="A969" s="273">
        <v>7</v>
      </c>
      <c r="B969" s="274" t="s">
        <v>6034</v>
      </c>
      <c r="C969" s="314">
        <v>45449</v>
      </c>
      <c r="D969" s="274" t="s">
        <v>4714</v>
      </c>
      <c r="E969" s="268" t="s">
        <v>3193</v>
      </c>
      <c r="F969" s="272" t="s">
        <v>4715</v>
      </c>
      <c r="G969" s="268" t="s">
        <v>4716</v>
      </c>
      <c r="H969" s="268" t="str">
        <f t="shared" si="5"/>
        <v>CRISTINA POVEDANO FERNÁNDEZ</v>
      </c>
      <c r="I969" s="268" t="s">
        <v>6081</v>
      </c>
      <c r="J969" s="272" t="s">
        <v>4718</v>
      </c>
      <c r="K969" s="268" t="s">
        <v>6082</v>
      </c>
      <c r="L969" s="287">
        <v>45482</v>
      </c>
      <c r="M969" s="283"/>
      <c r="N969" s="282">
        <v>2</v>
      </c>
      <c r="O969" s="284" t="s">
        <v>4720</v>
      </c>
      <c r="P969" s="280">
        <v>3454.55</v>
      </c>
      <c r="Q969" s="315">
        <v>45449</v>
      </c>
      <c r="R969" s="272"/>
      <c r="S969" s="272"/>
      <c r="T969" s="272"/>
      <c r="U969" s="272"/>
      <c r="V969" s="272"/>
      <c r="W969" s="272"/>
      <c r="X969" s="272"/>
      <c r="Y969" s="272"/>
      <c r="Z969" s="272"/>
      <c r="AA969" s="272"/>
    </row>
    <row r="970" spans="1:27">
      <c r="A970" s="273">
        <v>7</v>
      </c>
      <c r="B970" s="274" t="s">
        <v>6034</v>
      </c>
      <c r="C970" s="314">
        <v>45461</v>
      </c>
      <c r="D970" s="274" t="s">
        <v>4714</v>
      </c>
      <c r="E970" s="268" t="s">
        <v>2961</v>
      </c>
      <c r="F970" s="272" t="s">
        <v>4715</v>
      </c>
      <c r="G970" s="268" t="s">
        <v>4716</v>
      </c>
      <c r="H970" s="268" t="str">
        <f t="shared" ref="H970:H1224" si="6">TRIM(SUBSTITUTE(SUBSTITUTE(SUBSTITUTE(SUBSTITUTE(I970,"DR. ",""),"DRA. ",""),"DR ",""),"DRA ",""))</f>
        <v>ANDRÉS BARRIOS RECIO</v>
      </c>
      <c r="I970" s="268" t="s">
        <v>5081</v>
      </c>
      <c r="J970" s="272" t="s">
        <v>4736</v>
      </c>
      <c r="K970" s="268" t="s">
        <v>6083</v>
      </c>
      <c r="L970" s="287">
        <v>45482</v>
      </c>
      <c r="M970" s="283"/>
      <c r="N970" s="282">
        <v>2</v>
      </c>
      <c r="O970" s="284" t="s">
        <v>4720</v>
      </c>
      <c r="P970" s="280">
        <v>3710</v>
      </c>
      <c r="Q970" s="315">
        <v>45461</v>
      </c>
      <c r="R970" s="272"/>
      <c r="S970" s="272"/>
      <c r="T970" s="272"/>
      <c r="U970" s="272"/>
      <c r="V970" s="272"/>
      <c r="W970" s="272"/>
      <c r="X970" s="272"/>
      <c r="Y970" s="272"/>
      <c r="Z970" s="272"/>
      <c r="AA970" s="272"/>
    </row>
    <row r="971" spans="1:27">
      <c r="A971" s="273">
        <v>7</v>
      </c>
      <c r="B971" s="274" t="s">
        <v>6034</v>
      </c>
      <c r="C971" s="314">
        <v>45453</v>
      </c>
      <c r="D971" s="274" t="s">
        <v>4714</v>
      </c>
      <c r="E971" s="268" t="s">
        <v>2921</v>
      </c>
      <c r="F971" s="272" t="s">
        <v>4715</v>
      </c>
      <c r="G971" s="268" t="s">
        <v>4716</v>
      </c>
      <c r="H971" s="268" t="str">
        <f t="shared" si="6"/>
        <v>RAIMON GARCÍA CHILLERÓN</v>
      </c>
      <c r="I971" s="268" t="s">
        <v>5217</v>
      </c>
      <c r="J971" s="272" t="s">
        <v>4910</v>
      </c>
      <c r="K971" s="268" t="s">
        <v>6084</v>
      </c>
      <c r="L971" s="276">
        <v>45482</v>
      </c>
      <c r="M971" s="283"/>
      <c r="N971" s="282">
        <v>2</v>
      </c>
      <c r="O971" s="284" t="s">
        <v>5814</v>
      </c>
      <c r="P971" s="280">
        <v>4000</v>
      </c>
      <c r="Q971" s="315">
        <v>45453</v>
      </c>
      <c r="R971" s="272"/>
      <c r="S971" s="272"/>
      <c r="T971" s="272"/>
      <c r="U971" s="272"/>
      <c r="V971" s="272"/>
      <c r="W971" s="272"/>
      <c r="X971" s="272"/>
      <c r="Y971" s="272"/>
      <c r="Z971" s="272"/>
      <c r="AA971" s="272"/>
    </row>
    <row r="972" spans="1:27">
      <c r="A972" s="273">
        <v>7</v>
      </c>
      <c r="B972" s="274" t="s">
        <v>6034</v>
      </c>
      <c r="C972" s="314">
        <v>45469</v>
      </c>
      <c r="D972" s="274" t="s">
        <v>4714</v>
      </c>
      <c r="E972" s="268" t="s">
        <v>2929</v>
      </c>
      <c r="F972" s="272" t="s">
        <v>4715</v>
      </c>
      <c r="G972" s="268" t="s">
        <v>4715</v>
      </c>
      <c r="H972" s="268" t="str">
        <f t="shared" si="6"/>
        <v>CARLOS BARAJAS DEL ROSAL</v>
      </c>
      <c r="I972" s="268" t="s">
        <v>4934</v>
      </c>
      <c r="J972" s="272" t="s">
        <v>4822</v>
      </c>
      <c r="K972" s="268" t="s">
        <v>6085</v>
      </c>
      <c r="L972" s="287">
        <v>45483</v>
      </c>
      <c r="M972" s="283"/>
      <c r="N972" s="282">
        <v>1</v>
      </c>
      <c r="O972" s="284" t="s">
        <v>4787</v>
      </c>
      <c r="P972" s="280">
        <v>2640</v>
      </c>
      <c r="Q972" s="315">
        <v>45469</v>
      </c>
      <c r="R972" s="272"/>
      <c r="S972" s="272"/>
      <c r="T972" s="272"/>
      <c r="U972" s="272"/>
      <c r="V972" s="272"/>
      <c r="W972" s="272"/>
      <c r="X972" s="272"/>
      <c r="Y972" s="272"/>
      <c r="Z972" s="272"/>
      <c r="AA972" s="272"/>
    </row>
    <row r="973" spans="1:27">
      <c r="A973" s="273">
        <v>7</v>
      </c>
      <c r="B973" s="274" t="s">
        <v>6034</v>
      </c>
      <c r="C973" s="314">
        <v>45414</v>
      </c>
      <c r="D973" s="274" t="s">
        <v>4714</v>
      </c>
      <c r="E973" s="268" t="s">
        <v>6037</v>
      </c>
      <c r="F973" s="272" t="s">
        <v>4715</v>
      </c>
      <c r="G973" s="268" t="s">
        <v>4716</v>
      </c>
      <c r="H973" s="268" t="str">
        <f t="shared" si="6"/>
        <v>MARÍA JESÚS CORNEJO DOMÍNGUEZ</v>
      </c>
      <c r="I973" s="268" t="s">
        <v>4781</v>
      </c>
      <c r="J973" s="272" t="s">
        <v>4747</v>
      </c>
      <c r="K973" s="268" t="s">
        <v>6086</v>
      </c>
      <c r="L973" s="287">
        <v>45483</v>
      </c>
      <c r="M973" s="283"/>
      <c r="N973" s="282">
        <v>2</v>
      </c>
      <c r="O973" s="284" t="s">
        <v>4723</v>
      </c>
      <c r="P973" s="280">
        <v>2780.91</v>
      </c>
      <c r="Q973" s="315">
        <v>45414</v>
      </c>
      <c r="R973" s="272"/>
      <c r="S973" s="272"/>
      <c r="T973" s="272"/>
      <c r="U973" s="272"/>
      <c r="V973" s="272"/>
      <c r="W973" s="272"/>
      <c r="X973" s="272"/>
      <c r="Y973" s="272"/>
      <c r="Z973" s="272"/>
      <c r="AA973" s="272"/>
    </row>
    <row r="974" spans="1:27">
      <c r="A974" s="273">
        <v>7</v>
      </c>
      <c r="B974" s="274" t="s">
        <v>6034</v>
      </c>
      <c r="C974" s="314">
        <v>45434</v>
      </c>
      <c r="D974" s="274" t="s">
        <v>4714</v>
      </c>
      <c r="E974" s="268" t="s">
        <v>4804</v>
      </c>
      <c r="F974" s="272" t="s">
        <v>4715</v>
      </c>
      <c r="G974" s="268" t="s">
        <v>4716</v>
      </c>
      <c r="H974" s="268" t="str">
        <f t="shared" si="6"/>
        <v>JOAQUIM BROTO SUMALLA</v>
      </c>
      <c r="I974" s="268" t="s">
        <v>4805</v>
      </c>
      <c r="J974" s="272" t="s">
        <v>4806</v>
      </c>
      <c r="K974" s="268" t="s">
        <v>6087</v>
      </c>
      <c r="L974" s="276">
        <v>45483</v>
      </c>
      <c r="M974" s="283"/>
      <c r="N974" s="282">
        <v>1</v>
      </c>
      <c r="O974" s="284" t="s">
        <v>4792</v>
      </c>
      <c r="P974" s="280">
        <v>1313.64</v>
      </c>
      <c r="Q974" s="315">
        <v>45434</v>
      </c>
      <c r="R974" s="272"/>
      <c r="S974" s="272"/>
      <c r="T974" s="272"/>
      <c r="U974" s="272"/>
      <c r="V974" s="272"/>
      <c r="W974" s="272"/>
      <c r="X974" s="272"/>
      <c r="Y974" s="272"/>
      <c r="Z974" s="272"/>
      <c r="AA974" s="272"/>
    </row>
    <row r="975" spans="1:27">
      <c r="A975" s="273">
        <v>7</v>
      </c>
      <c r="B975" s="274" t="s">
        <v>6034</v>
      </c>
      <c r="C975" s="289"/>
      <c r="D975" s="274" t="s">
        <v>4714</v>
      </c>
      <c r="E975" s="268" t="s">
        <v>2909</v>
      </c>
      <c r="F975" s="268" t="s">
        <v>4715</v>
      </c>
      <c r="G975" s="268" t="s">
        <v>4716</v>
      </c>
      <c r="H975" s="268" t="str">
        <f t="shared" si="6"/>
        <v>MARTA SANDOVAL PUIG</v>
      </c>
      <c r="I975" s="268" t="s">
        <v>5055</v>
      </c>
      <c r="J975" s="278" t="s">
        <v>4806</v>
      </c>
      <c r="K975" s="268" t="s">
        <v>6088</v>
      </c>
      <c r="L975" s="276">
        <v>45484</v>
      </c>
      <c r="M975" s="283"/>
      <c r="N975" s="282">
        <v>1</v>
      </c>
      <c r="O975" s="311" t="s">
        <v>5814</v>
      </c>
      <c r="P975" s="280">
        <v>2400</v>
      </c>
      <c r="Q975" s="281"/>
      <c r="R975" s="272"/>
      <c r="S975" s="272"/>
      <c r="T975" s="272"/>
      <c r="U975" s="272"/>
      <c r="V975" s="272"/>
      <c r="W975" s="272"/>
      <c r="X975" s="272"/>
      <c r="Y975" s="272"/>
      <c r="Z975" s="272"/>
      <c r="AA975" s="272"/>
    </row>
    <row r="976" spans="1:27">
      <c r="A976" s="273">
        <v>7</v>
      </c>
      <c r="B976" s="274" t="s">
        <v>6034</v>
      </c>
      <c r="C976" s="289">
        <v>45471</v>
      </c>
      <c r="D976" s="274" t="s">
        <v>4714</v>
      </c>
      <c r="E976" s="268" t="s">
        <v>6089</v>
      </c>
      <c r="F976" s="268" t="s">
        <v>4715</v>
      </c>
      <c r="G976" s="268" t="s">
        <v>4716</v>
      </c>
      <c r="H976" s="268" t="str">
        <f t="shared" si="6"/>
        <v>MANUEL CAÑETE DOMÍNGUEZ</v>
      </c>
      <c r="I976" s="268" t="s">
        <v>5654</v>
      </c>
      <c r="J976" s="278" t="s">
        <v>4822</v>
      </c>
      <c r="K976" s="268" t="s">
        <v>6090</v>
      </c>
      <c r="L976" s="276">
        <v>45484</v>
      </c>
      <c r="M976" s="283"/>
      <c r="N976" s="282">
        <v>2</v>
      </c>
      <c r="O976" s="284" t="s">
        <v>4787</v>
      </c>
      <c r="P976" s="280">
        <v>3954.55</v>
      </c>
      <c r="Q976" s="281">
        <v>45471</v>
      </c>
      <c r="R976" s="272"/>
      <c r="S976" s="272"/>
      <c r="T976" s="272"/>
      <c r="U976" s="272"/>
      <c r="V976" s="272"/>
      <c r="W976" s="272"/>
      <c r="X976" s="272"/>
      <c r="Y976" s="272"/>
      <c r="Z976" s="272"/>
      <c r="AA976" s="272"/>
    </row>
    <row r="977" spans="1:27">
      <c r="A977" s="273">
        <v>7</v>
      </c>
      <c r="B977" s="274" t="s">
        <v>6034</v>
      </c>
      <c r="C977" s="314">
        <v>45427</v>
      </c>
      <c r="D977" s="274" t="s">
        <v>4714</v>
      </c>
      <c r="E977" s="268" t="s">
        <v>6091</v>
      </c>
      <c r="F977" s="272" t="s">
        <v>4715</v>
      </c>
      <c r="G977" s="268" t="s">
        <v>4716</v>
      </c>
      <c r="H977" s="268" t="str">
        <f t="shared" si="6"/>
        <v>FERNANDO SALAZAR BARCELONA</v>
      </c>
      <c r="I977" s="268" t="s">
        <v>4776</v>
      </c>
      <c r="J977" s="272" t="s">
        <v>4822</v>
      </c>
      <c r="K977" s="268" t="s">
        <v>6092</v>
      </c>
      <c r="L977" s="276">
        <v>45484</v>
      </c>
      <c r="M977" s="283"/>
      <c r="N977" s="282">
        <v>2</v>
      </c>
      <c r="O977" s="284" t="s">
        <v>4720</v>
      </c>
      <c r="P977" s="280">
        <v>3363.64</v>
      </c>
      <c r="Q977" s="315">
        <v>45427</v>
      </c>
      <c r="R977" s="272"/>
      <c r="S977" s="272"/>
      <c r="T977" s="272"/>
      <c r="U977" s="272"/>
      <c r="V977" s="272"/>
      <c r="W977" s="272"/>
      <c r="X977" s="272"/>
      <c r="Y977" s="272"/>
      <c r="Z977" s="272"/>
      <c r="AA977" s="272"/>
    </row>
    <row r="978" spans="1:27">
      <c r="A978" s="273">
        <v>7</v>
      </c>
      <c r="B978" s="274" t="s">
        <v>6034</v>
      </c>
      <c r="C978" s="314">
        <v>45442</v>
      </c>
      <c r="D978" s="274" t="s">
        <v>4714</v>
      </c>
      <c r="E978" s="268" t="s">
        <v>4945</v>
      </c>
      <c r="F978" s="272" t="s">
        <v>4715</v>
      </c>
      <c r="G978" s="268" t="s">
        <v>4716</v>
      </c>
      <c r="H978" s="268" t="str">
        <f t="shared" si="6"/>
        <v>PEDRO JUIZ LÓPEZ</v>
      </c>
      <c r="I978" s="268" t="s">
        <v>4946</v>
      </c>
      <c r="J978" s="272" t="s">
        <v>4790</v>
      </c>
      <c r="K978" s="268" t="s">
        <v>6093</v>
      </c>
      <c r="L978" s="276">
        <v>45484</v>
      </c>
      <c r="M978" s="283"/>
      <c r="N978" s="282">
        <v>1</v>
      </c>
      <c r="O978" s="284" t="s">
        <v>4720</v>
      </c>
      <c r="P978" s="280">
        <v>2136.36</v>
      </c>
      <c r="Q978" s="315">
        <v>45442</v>
      </c>
      <c r="R978" s="272"/>
      <c r="S978" s="272"/>
      <c r="T978" s="272"/>
      <c r="U978" s="272"/>
      <c r="V978" s="272"/>
      <c r="W978" s="272"/>
      <c r="X978" s="272"/>
      <c r="Y978" s="272"/>
      <c r="Z978" s="272"/>
      <c r="AA978" s="272"/>
    </row>
    <row r="979" spans="1:27">
      <c r="A979" s="273">
        <v>7</v>
      </c>
      <c r="B979" s="274" t="s">
        <v>6034</v>
      </c>
      <c r="C979" s="314">
        <v>45467</v>
      </c>
      <c r="D979" s="274" t="s">
        <v>4714</v>
      </c>
      <c r="E979" s="268" t="s">
        <v>2929</v>
      </c>
      <c r="F979" s="272" t="s">
        <v>4715</v>
      </c>
      <c r="G979" s="268" t="s">
        <v>4715</v>
      </c>
      <c r="H979" s="268" t="str">
        <f t="shared" si="6"/>
        <v>MIGUEL VACA GONZÁLEZ</v>
      </c>
      <c r="I979" s="268" t="s">
        <v>5621</v>
      </c>
      <c r="J979" s="272" t="s">
        <v>4718</v>
      </c>
      <c r="K979" s="268" t="s">
        <v>6094</v>
      </c>
      <c r="L979" s="276">
        <v>45484</v>
      </c>
      <c r="M979" s="283"/>
      <c r="N979" s="282">
        <v>1</v>
      </c>
      <c r="O979" s="284" t="s">
        <v>4720</v>
      </c>
      <c r="P979" s="280">
        <v>2226.36</v>
      </c>
      <c r="Q979" s="315">
        <v>45467</v>
      </c>
      <c r="R979" s="272"/>
      <c r="S979" s="272"/>
      <c r="T979" s="272"/>
      <c r="U979" s="272"/>
      <c r="V979" s="272"/>
      <c r="W979" s="272"/>
      <c r="X979" s="272"/>
      <c r="Y979" s="272"/>
      <c r="Z979" s="272"/>
      <c r="AA979" s="272"/>
    </row>
    <row r="980" spans="1:27">
      <c r="A980" s="273">
        <v>7</v>
      </c>
      <c r="B980" s="274" t="s">
        <v>6034</v>
      </c>
      <c r="C980" s="314">
        <v>45455</v>
      </c>
      <c r="D980" s="274" t="s">
        <v>4714</v>
      </c>
      <c r="E980" s="268" t="s">
        <v>2900</v>
      </c>
      <c r="F980" s="272" t="s">
        <v>4715</v>
      </c>
      <c r="G980" s="268" t="s">
        <v>4716</v>
      </c>
      <c r="H980" s="268" t="str">
        <f t="shared" si="6"/>
        <v>MARÍA REY MARCOS</v>
      </c>
      <c r="I980" s="268" t="s">
        <v>4952</v>
      </c>
      <c r="J980" s="272" t="s">
        <v>4790</v>
      </c>
      <c r="K980" s="268" t="s">
        <v>6095</v>
      </c>
      <c r="L980" s="287">
        <v>45484</v>
      </c>
      <c r="M980" s="283"/>
      <c r="N980" s="282">
        <v>2</v>
      </c>
      <c r="O980" s="284" t="s">
        <v>4740</v>
      </c>
      <c r="P980" s="280">
        <v>3999.85</v>
      </c>
      <c r="Q980" s="315">
        <v>45455</v>
      </c>
      <c r="R980" s="272"/>
      <c r="S980" s="272"/>
      <c r="T980" s="272"/>
      <c r="U980" s="272"/>
      <c r="V980" s="272"/>
      <c r="W980" s="272"/>
      <c r="X980" s="272"/>
      <c r="Y980" s="272"/>
      <c r="Z980" s="272"/>
      <c r="AA980" s="272"/>
    </row>
    <row r="981" spans="1:27">
      <c r="A981" s="273">
        <v>7</v>
      </c>
      <c r="B981" s="274" t="s">
        <v>6034</v>
      </c>
      <c r="C981" s="314">
        <v>45455</v>
      </c>
      <c r="D981" s="274" t="s">
        <v>4714</v>
      </c>
      <c r="E981" s="268" t="s">
        <v>2900</v>
      </c>
      <c r="F981" s="272" t="s">
        <v>4715</v>
      </c>
      <c r="G981" s="268" t="s">
        <v>4716</v>
      </c>
      <c r="H981" s="268" t="str">
        <f t="shared" si="6"/>
        <v>MARÍA REY MARCOS</v>
      </c>
      <c r="I981" s="268" t="s">
        <v>4952</v>
      </c>
      <c r="J981" s="272" t="s">
        <v>4790</v>
      </c>
      <c r="K981" s="268" t="s">
        <v>6096</v>
      </c>
      <c r="L981" s="287">
        <v>45484</v>
      </c>
      <c r="M981" s="283"/>
      <c r="N981" s="282">
        <v>2</v>
      </c>
      <c r="O981" s="284" t="s">
        <v>4740</v>
      </c>
      <c r="P981" s="280">
        <v>4000</v>
      </c>
      <c r="Q981" s="315">
        <v>45455</v>
      </c>
      <c r="R981" s="272"/>
      <c r="S981" s="272"/>
      <c r="T981" s="272"/>
      <c r="U981" s="272"/>
      <c r="V981" s="272"/>
      <c r="W981" s="272"/>
      <c r="X981" s="272"/>
      <c r="Y981" s="272"/>
      <c r="Z981" s="272"/>
      <c r="AA981" s="272"/>
    </row>
    <row r="982" spans="1:27">
      <c r="A982" s="273">
        <v>7</v>
      </c>
      <c r="B982" s="274" t="s">
        <v>6034</v>
      </c>
      <c r="C982" s="314">
        <v>45443</v>
      </c>
      <c r="D982" s="274" t="s">
        <v>4714</v>
      </c>
      <c r="E982" s="268" t="s">
        <v>2873</v>
      </c>
      <c r="F982" s="272" t="s">
        <v>4715</v>
      </c>
      <c r="G982" s="268" t="s">
        <v>4716</v>
      </c>
      <c r="H982" s="268" t="str">
        <f t="shared" si="6"/>
        <v>JUAN JAVIER ÁLVAREZ LÓPEZ</v>
      </c>
      <c r="I982" s="268" t="s">
        <v>4938</v>
      </c>
      <c r="J982" s="272" t="s">
        <v>4736</v>
      </c>
      <c r="K982" s="268" t="s">
        <v>6097</v>
      </c>
      <c r="L982" s="287">
        <v>45484</v>
      </c>
      <c r="M982" s="283"/>
      <c r="N982" s="282">
        <v>2</v>
      </c>
      <c r="O982" s="284" t="s">
        <v>4723</v>
      </c>
      <c r="P982" s="280">
        <v>2888.18</v>
      </c>
      <c r="Q982" s="315">
        <v>45443</v>
      </c>
      <c r="R982" s="272"/>
      <c r="S982" s="272"/>
      <c r="T982" s="272"/>
      <c r="U982" s="272"/>
      <c r="V982" s="272"/>
      <c r="W982" s="272"/>
      <c r="X982" s="272"/>
      <c r="Y982" s="272"/>
      <c r="Z982" s="272"/>
      <c r="AA982" s="272"/>
    </row>
    <row r="983" spans="1:27">
      <c r="A983" s="273">
        <v>7</v>
      </c>
      <c r="B983" s="274" t="s">
        <v>6034</v>
      </c>
      <c r="C983" s="314">
        <v>45439</v>
      </c>
      <c r="D983" s="274" t="s">
        <v>4714</v>
      </c>
      <c r="E983" s="268" t="s">
        <v>2921</v>
      </c>
      <c r="F983" s="272" t="s">
        <v>4715</v>
      </c>
      <c r="G983" s="268" t="s">
        <v>4716</v>
      </c>
      <c r="H983" s="268" t="str">
        <f t="shared" si="6"/>
        <v>AGUSTÍN CAMPOS CATALÁ</v>
      </c>
      <c r="I983" s="268" t="s">
        <v>6098</v>
      </c>
      <c r="J983" s="272" t="s">
        <v>4910</v>
      </c>
      <c r="K983" s="268" t="s">
        <v>6099</v>
      </c>
      <c r="L983" s="276">
        <v>45484</v>
      </c>
      <c r="M983" s="283"/>
      <c r="N983" s="282">
        <v>2</v>
      </c>
      <c r="O983" s="284" t="s">
        <v>4720</v>
      </c>
      <c r="P983" s="280">
        <v>3524.5</v>
      </c>
      <c r="Q983" s="315">
        <v>45439</v>
      </c>
      <c r="R983" s="272"/>
      <c r="S983" s="272"/>
      <c r="T983" s="272"/>
      <c r="U983" s="272"/>
      <c r="V983" s="272"/>
      <c r="W983" s="272"/>
      <c r="X983" s="272"/>
      <c r="Y983" s="272"/>
      <c r="Z983" s="272"/>
      <c r="AA983" s="272"/>
    </row>
    <row r="984" spans="1:27">
      <c r="A984" s="273">
        <v>7</v>
      </c>
      <c r="B984" s="274" t="s">
        <v>6034</v>
      </c>
      <c r="C984" s="289">
        <v>45450</v>
      </c>
      <c r="D984" s="274" t="s">
        <v>4714</v>
      </c>
      <c r="E984" s="268" t="s">
        <v>4788</v>
      </c>
      <c r="F984" s="268" t="s">
        <v>4715</v>
      </c>
      <c r="G984" s="268" t="s">
        <v>4716</v>
      </c>
      <c r="H984" s="268" t="str">
        <f t="shared" si="6"/>
        <v>ERNESTO VARELA MARTÍNEZ</v>
      </c>
      <c r="I984" s="268" t="s">
        <v>4789</v>
      </c>
      <c r="J984" s="278" t="s">
        <v>4790</v>
      </c>
      <c r="K984" s="268" t="s">
        <v>6100</v>
      </c>
      <c r="L984" s="276">
        <v>45485</v>
      </c>
      <c r="M984" s="283"/>
      <c r="N984" s="282">
        <v>2</v>
      </c>
      <c r="O984" s="284" t="s">
        <v>4792</v>
      </c>
      <c r="P984" s="280">
        <v>2627.27</v>
      </c>
      <c r="Q984" s="281">
        <v>45450</v>
      </c>
      <c r="R984" s="272"/>
      <c r="S984" s="272"/>
      <c r="T984" s="272"/>
      <c r="U984" s="272"/>
      <c r="V984" s="272"/>
      <c r="W984" s="272"/>
      <c r="X984" s="272"/>
      <c r="Y984" s="272"/>
      <c r="Z984" s="272"/>
      <c r="AA984" s="272"/>
    </row>
    <row r="985" spans="1:27">
      <c r="A985" s="273">
        <v>7</v>
      </c>
      <c r="B985" s="274" t="s">
        <v>6034</v>
      </c>
      <c r="C985" s="314">
        <v>45453</v>
      </c>
      <c r="D985" s="274" t="s">
        <v>4714</v>
      </c>
      <c r="E985" s="268" t="s">
        <v>3861</v>
      </c>
      <c r="F985" s="272" t="s">
        <v>4715</v>
      </c>
      <c r="G985" s="268" t="s">
        <v>4716</v>
      </c>
      <c r="H985" s="268" t="str">
        <f t="shared" si="6"/>
        <v>FRANCISCO J, REDONDO DEL BARCO</v>
      </c>
      <c r="I985" s="268" t="s">
        <v>4997</v>
      </c>
      <c r="J985" s="272" t="s">
        <v>4822</v>
      </c>
      <c r="K985" s="268" t="s">
        <v>6101</v>
      </c>
      <c r="L985" s="276">
        <v>45485</v>
      </c>
      <c r="M985" s="283"/>
      <c r="N985" s="282">
        <v>2</v>
      </c>
      <c r="O985" s="284" t="s">
        <v>5814</v>
      </c>
      <c r="P985" s="280">
        <v>3118.18</v>
      </c>
      <c r="Q985" s="315">
        <v>45453</v>
      </c>
      <c r="R985" s="272"/>
      <c r="S985" s="272"/>
      <c r="T985" s="272"/>
      <c r="U985" s="272"/>
      <c r="V985" s="272"/>
      <c r="W985" s="272"/>
      <c r="X985" s="272"/>
      <c r="Y985" s="272"/>
      <c r="Z985" s="272"/>
      <c r="AA985" s="272"/>
    </row>
    <row r="986" spans="1:27">
      <c r="A986" s="273">
        <v>7</v>
      </c>
      <c r="B986" s="274" t="s">
        <v>6034</v>
      </c>
      <c r="C986" s="314"/>
      <c r="D986" s="274" t="s">
        <v>4714</v>
      </c>
      <c r="E986" s="268" t="s">
        <v>2929</v>
      </c>
      <c r="F986" s="272" t="s">
        <v>4715</v>
      </c>
      <c r="G986" s="268" t="s">
        <v>4715</v>
      </c>
      <c r="H986" s="268" t="str">
        <f t="shared" si="6"/>
        <v>CARLOS BARAJAS DEL ROSAL</v>
      </c>
      <c r="I986" s="268" t="s">
        <v>4934</v>
      </c>
      <c r="J986" s="272" t="s">
        <v>4822</v>
      </c>
      <c r="K986" s="268" t="s">
        <v>6102</v>
      </c>
      <c r="L986" s="276">
        <v>45485</v>
      </c>
      <c r="M986" s="283"/>
      <c r="N986" s="282">
        <v>2</v>
      </c>
      <c r="O986" s="284" t="s">
        <v>4720</v>
      </c>
      <c r="P986" s="280">
        <v>3710</v>
      </c>
      <c r="Q986" s="315"/>
      <c r="R986" s="272"/>
      <c r="S986" s="272"/>
      <c r="T986" s="272"/>
      <c r="U986" s="272"/>
      <c r="V986" s="272"/>
      <c r="W986" s="272"/>
      <c r="X986" s="272"/>
      <c r="Y986" s="272"/>
      <c r="Z986" s="272"/>
      <c r="AA986" s="272"/>
    </row>
    <row r="987" spans="1:27">
      <c r="A987" s="273">
        <v>7</v>
      </c>
      <c r="B987" s="274" t="s">
        <v>6034</v>
      </c>
      <c r="C987" s="314"/>
      <c r="D987" s="274" t="s">
        <v>4714</v>
      </c>
      <c r="E987" s="268" t="s">
        <v>2929</v>
      </c>
      <c r="F987" s="272" t="s">
        <v>4715</v>
      </c>
      <c r="G987" s="268" t="s">
        <v>4715</v>
      </c>
      <c r="H987" s="268" t="str">
        <f t="shared" si="6"/>
        <v>JAVIER GARCÍA DOMÍNGUEZ</v>
      </c>
      <c r="I987" s="268" t="s">
        <v>4881</v>
      </c>
      <c r="J987" s="272" t="s">
        <v>4718</v>
      </c>
      <c r="K987" s="268" t="s">
        <v>6103</v>
      </c>
      <c r="L987" s="276">
        <v>45485</v>
      </c>
      <c r="M987" s="283"/>
      <c r="N987" s="282">
        <v>2</v>
      </c>
      <c r="O987" s="284" t="s">
        <v>4723</v>
      </c>
      <c r="P987" s="280">
        <v>2888.18</v>
      </c>
      <c r="Q987" s="315"/>
      <c r="R987" s="272"/>
      <c r="S987" s="272"/>
      <c r="T987" s="272"/>
      <c r="U987" s="272"/>
      <c r="V987" s="272"/>
      <c r="W987" s="272"/>
      <c r="X987" s="272"/>
      <c r="Y987" s="272"/>
      <c r="Z987" s="272"/>
      <c r="AA987" s="272"/>
    </row>
    <row r="988" spans="1:27">
      <c r="A988" s="273">
        <v>7</v>
      </c>
      <c r="B988" s="274" t="s">
        <v>6034</v>
      </c>
      <c r="C988" s="314">
        <v>45463</v>
      </c>
      <c r="D988" s="274" t="s">
        <v>4714</v>
      </c>
      <c r="E988" s="268" t="s">
        <v>3193</v>
      </c>
      <c r="F988" s="272" t="s">
        <v>4715</v>
      </c>
      <c r="G988" s="268" t="s">
        <v>4716</v>
      </c>
      <c r="H988" s="268" t="str">
        <f t="shared" si="6"/>
        <v>JOSE JOAQUÍN GUTIÉRREZ BARQUÍN</v>
      </c>
      <c r="I988" s="268" t="s">
        <v>4990</v>
      </c>
      <c r="J988" s="272" t="s">
        <v>4718</v>
      </c>
      <c r="K988" s="268" t="s">
        <v>6104</v>
      </c>
      <c r="L988" s="287">
        <v>45485</v>
      </c>
      <c r="M988" s="283"/>
      <c r="N988" s="282">
        <v>1</v>
      </c>
      <c r="O988" s="284" t="s">
        <v>4723</v>
      </c>
      <c r="P988" s="280">
        <v>1732.73</v>
      </c>
      <c r="Q988" s="315">
        <v>45463</v>
      </c>
      <c r="R988" s="272"/>
      <c r="S988" s="272"/>
      <c r="T988" s="272"/>
      <c r="U988" s="272"/>
      <c r="V988" s="272"/>
      <c r="W988" s="272"/>
      <c r="X988" s="272"/>
      <c r="Y988" s="272"/>
      <c r="Z988" s="272"/>
      <c r="AA988" s="272"/>
    </row>
    <row r="989" spans="1:27">
      <c r="A989" s="273">
        <v>7</v>
      </c>
      <c r="B989" s="274" t="s">
        <v>6034</v>
      </c>
      <c r="C989" s="314">
        <v>45468</v>
      </c>
      <c r="D989" s="274" t="s">
        <v>4714</v>
      </c>
      <c r="E989" s="268" t="s">
        <v>2921</v>
      </c>
      <c r="F989" s="272" t="s">
        <v>4715</v>
      </c>
      <c r="G989" s="268"/>
      <c r="H989" s="268" t="str">
        <f t="shared" si="6"/>
        <v>NO REUERDA ORL</v>
      </c>
      <c r="I989" s="268" t="s">
        <v>4743</v>
      </c>
      <c r="J989" s="272" t="s">
        <v>4910</v>
      </c>
      <c r="K989" s="268" t="s">
        <v>6105</v>
      </c>
      <c r="L989" s="276">
        <v>45485</v>
      </c>
      <c r="M989" s="283"/>
      <c r="N989" s="282">
        <v>2</v>
      </c>
      <c r="O989" s="284" t="s">
        <v>4720</v>
      </c>
      <c r="P989" s="280">
        <v>3524.5</v>
      </c>
      <c r="Q989" s="315">
        <v>45468</v>
      </c>
      <c r="R989" s="272"/>
      <c r="S989" s="272"/>
      <c r="T989" s="272"/>
      <c r="U989" s="272"/>
      <c r="V989" s="272"/>
      <c r="W989" s="272"/>
      <c r="X989" s="272"/>
      <c r="Y989" s="272"/>
      <c r="Z989" s="272"/>
      <c r="AA989" s="272"/>
    </row>
    <row r="990" spans="1:27">
      <c r="A990" s="273">
        <v>7</v>
      </c>
      <c r="B990" s="274" t="s">
        <v>6034</v>
      </c>
      <c r="C990" s="314">
        <v>45476</v>
      </c>
      <c r="D990" s="274" t="s">
        <v>4714</v>
      </c>
      <c r="E990" s="268" t="s">
        <v>4845</v>
      </c>
      <c r="F990" s="272" t="s">
        <v>4715</v>
      </c>
      <c r="G990" s="268" t="s">
        <v>4716</v>
      </c>
      <c r="H990" s="268" t="str">
        <f t="shared" si="6"/>
        <v>JAIME LEACHE PUEYO</v>
      </c>
      <c r="I990" s="268" t="s">
        <v>6106</v>
      </c>
      <c r="J990" s="272" t="s">
        <v>4806</v>
      </c>
      <c r="K990" s="268" t="s">
        <v>6107</v>
      </c>
      <c r="L990" s="276">
        <v>45485</v>
      </c>
      <c r="M990" s="283"/>
      <c r="N990" s="282">
        <v>2</v>
      </c>
      <c r="O990" s="284" t="s">
        <v>4723</v>
      </c>
      <c r="P990" s="280">
        <v>3000</v>
      </c>
      <c r="Q990" s="315">
        <v>45476</v>
      </c>
      <c r="R990" s="272"/>
      <c r="S990" s="272"/>
      <c r="T990" s="272"/>
      <c r="U990" s="272"/>
      <c r="V990" s="272"/>
      <c r="W990" s="272"/>
      <c r="X990" s="272"/>
      <c r="Y990" s="272"/>
      <c r="Z990" s="272"/>
      <c r="AA990" s="272"/>
    </row>
    <row r="991" spans="1:27">
      <c r="A991" s="273">
        <v>7</v>
      </c>
      <c r="B991" s="274" t="s">
        <v>6034</v>
      </c>
      <c r="C991" s="289"/>
      <c r="D991" s="285" t="s">
        <v>4714</v>
      </c>
      <c r="E991" s="268" t="s">
        <v>4194</v>
      </c>
      <c r="F991" s="268" t="s">
        <v>4715</v>
      </c>
      <c r="G991" s="268" t="s">
        <v>4716</v>
      </c>
      <c r="H991" s="268" t="str">
        <f t="shared" si="6"/>
        <v>KAREN ROJAS CRESPO</v>
      </c>
      <c r="I991" s="268" t="s">
        <v>5260</v>
      </c>
      <c r="J991" s="268" t="s">
        <v>4736</v>
      </c>
      <c r="K991" s="268" t="s">
        <v>6108</v>
      </c>
      <c r="L991" s="276">
        <v>45488</v>
      </c>
      <c r="M991" s="283"/>
      <c r="N991" s="282">
        <v>2</v>
      </c>
      <c r="O991" s="311" t="s">
        <v>5814</v>
      </c>
      <c r="P991" s="280">
        <v>3636.36</v>
      </c>
      <c r="Q991" s="281"/>
      <c r="R991" s="272"/>
      <c r="S991" s="272"/>
      <c r="T991" s="272"/>
      <c r="U991" s="272"/>
      <c r="V991" s="272"/>
      <c r="W991" s="272"/>
      <c r="X991" s="272"/>
      <c r="Y991" s="272"/>
      <c r="Z991" s="272"/>
      <c r="AA991" s="272"/>
    </row>
    <row r="992" spans="1:27">
      <c r="A992" s="273">
        <v>7</v>
      </c>
      <c r="B992" s="274" t="s">
        <v>6034</v>
      </c>
      <c r="C992" s="289">
        <v>45450</v>
      </c>
      <c r="D992" s="274" t="s">
        <v>4714</v>
      </c>
      <c r="E992" s="268" t="s">
        <v>4788</v>
      </c>
      <c r="F992" s="268" t="s">
        <v>4715</v>
      </c>
      <c r="G992" s="268" t="s">
        <v>4716</v>
      </c>
      <c r="H992" s="268" t="str">
        <f t="shared" si="6"/>
        <v>CARLOS VIDAL REDONDO</v>
      </c>
      <c r="I992" s="268" t="s">
        <v>4828</v>
      </c>
      <c r="J992" s="268" t="s">
        <v>4790</v>
      </c>
      <c r="K992" s="268" t="s">
        <v>6109</v>
      </c>
      <c r="L992" s="276">
        <v>45488</v>
      </c>
      <c r="M992" s="283"/>
      <c r="N992" s="282">
        <v>2</v>
      </c>
      <c r="O992" s="284" t="s">
        <v>4792</v>
      </c>
      <c r="P992" s="280">
        <v>2627.27</v>
      </c>
      <c r="Q992" s="281">
        <v>45450</v>
      </c>
      <c r="R992" s="272"/>
      <c r="S992" s="272"/>
      <c r="T992" s="272"/>
      <c r="U992" s="272"/>
      <c r="V992" s="272"/>
      <c r="W992" s="272"/>
      <c r="X992" s="272"/>
      <c r="Y992" s="272"/>
      <c r="Z992" s="272"/>
      <c r="AA992" s="272"/>
    </row>
    <row r="993" spans="1:27">
      <c r="A993" s="273">
        <v>7</v>
      </c>
      <c r="B993" s="274" t="s">
        <v>6034</v>
      </c>
      <c r="C993" s="289">
        <v>45469</v>
      </c>
      <c r="D993" s="274" t="s">
        <v>4714</v>
      </c>
      <c r="E993" s="268" t="s">
        <v>3480</v>
      </c>
      <c r="F993" s="268" t="s">
        <v>4715</v>
      </c>
      <c r="G993" s="268" t="s">
        <v>4716</v>
      </c>
      <c r="H993" s="268" t="str">
        <f t="shared" si="6"/>
        <v>MARÍA TERESA HERRERA MERA</v>
      </c>
      <c r="I993" s="268" t="s">
        <v>4838</v>
      </c>
      <c r="J993" s="272" t="s">
        <v>4718</v>
      </c>
      <c r="K993" s="268" t="s">
        <v>6110</v>
      </c>
      <c r="L993" s="276">
        <v>45488</v>
      </c>
      <c r="M993" s="283"/>
      <c r="N993" s="282">
        <v>2</v>
      </c>
      <c r="O993" s="284" t="s">
        <v>4723</v>
      </c>
      <c r="P993" s="280">
        <v>2888.18</v>
      </c>
      <c r="Q993" s="281">
        <v>45469</v>
      </c>
      <c r="R993" s="272"/>
      <c r="S993" s="272"/>
      <c r="T993" s="272"/>
      <c r="U993" s="272"/>
      <c r="V993" s="272"/>
      <c r="W993" s="272"/>
      <c r="X993" s="272"/>
      <c r="Y993" s="272"/>
      <c r="Z993" s="272"/>
      <c r="AA993" s="272"/>
    </row>
    <row r="994" spans="1:27">
      <c r="A994" s="273">
        <v>7</v>
      </c>
      <c r="B994" s="274" t="s">
        <v>6034</v>
      </c>
      <c r="C994" s="314"/>
      <c r="D994" s="274" t="s">
        <v>4714</v>
      </c>
      <c r="E994" s="268" t="s">
        <v>2929</v>
      </c>
      <c r="F994" s="272" t="s">
        <v>4715</v>
      </c>
      <c r="G994" s="268" t="s">
        <v>4715</v>
      </c>
      <c r="H994" s="268" t="str">
        <f t="shared" si="6"/>
        <v>CARLOS BARAJAS DEL ROSAL</v>
      </c>
      <c r="I994" s="268" t="s">
        <v>4934</v>
      </c>
      <c r="J994" s="272" t="s">
        <v>4822</v>
      </c>
      <c r="K994" s="268" t="s">
        <v>6111</v>
      </c>
      <c r="L994" s="276">
        <v>45488</v>
      </c>
      <c r="M994" s="283"/>
      <c r="N994" s="282">
        <v>2</v>
      </c>
      <c r="O994" s="284" t="s">
        <v>5814</v>
      </c>
      <c r="P994" s="280">
        <v>4000</v>
      </c>
      <c r="Q994" s="315"/>
      <c r="R994" s="272"/>
      <c r="S994" s="272"/>
      <c r="T994" s="272"/>
      <c r="U994" s="272"/>
      <c r="V994" s="272"/>
      <c r="W994" s="272"/>
      <c r="X994" s="272"/>
      <c r="Y994" s="272"/>
      <c r="Z994" s="272"/>
      <c r="AA994" s="272"/>
    </row>
    <row r="995" spans="1:27">
      <c r="A995" s="273">
        <v>7</v>
      </c>
      <c r="B995" s="274" t="s">
        <v>6034</v>
      </c>
      <c r="C995" s="314">
        <v>45443</v>
      </c>
      <c r="D995" s="274" t="s">
        <v>4714</v>
      </c>
      <c r="E995" s="268" t="s">
        <v>3193</v>
      </c>
      <c r="F995" s="272" t="s">
        <v>4715</v>
      </c>
      <c r="G995" s="268" t="s">
        <v>4716</v>
      </c>
      <c r="H995" s="268" t="str">
        <f t="shared" si="6"/>
        <v>JAIME SANABRIA BRASSART</v>
      </c>
      <c r="I995" s="268" t="s">
        <v>4753</v>
      </c>
      <c r="J995" s="272" t="s">
        <v>4822</v>
      </c>
      <c r="K995" s="268" t="s">
        <v>6112</v>
      </c>
      <c r="L995" s="287">
        <v>45488</v>
      </c>
      <c r="M995" s="283"/>
      <c r="N995" s="282">
        <v>2</v>
      </c>
      <c r="O995" s="284" t="s">
        <v>5814</v>
      </c>
      <c r="P995" s="280">
        <v>2000</v>
      </c>
      <c r="Q995" s="315">
        <v>45443</v>
      </c>
      <c r="R995" s="272"/>
      <c r="S995" s="272"/>
      <c r="T995" s="272"/>
      <c r="U995" s="272"/>
      <c r="V995" s="272"/>
      <c r="W995" s="272"/>
      <c r="X995" s="272"/>
      <c r="Y995" s="272"/>
      <c r="Z995" s="272"/>
      <c r="AA995" s="272"/>
    </row>
    <row r="996" spans="1:27">
      <c r="A996" s="273">
        <v>7</v>
      </c>
      <c r="B996" s="274" t="s">
        <v>6034</v>
      </c>
      <c r="C996" s="314">
        <v>45457</v>
      </c>
      <c r="D996" s="274" t="s">
        <v>4714</v>
      </c>
      <c r="E996" s="268" t="s">
        <v>3193</v>
      </c>
      <c r="F996" s="272" t="s">
        <v>4715</v>
      </c>
      <c r="G996" s="268" t="s">
        <v>4716</v>
      </c>
      <c r="H996" s="268" t="str">
        <f t="shared" si="6"/>
        <v>CÉSAR CHARLES MARTÍNEZ</v>
      </c>
      <c r="I996" s="268" t="s">
        <v>4769</v>
      </c>
      <c r="J996" s="272" t="s">
        <v>4718</v>
      </c>
      <c r="K996" s="268" t="s">
        <v>6113</v>
      </c>
      <c r="L996" s="287">
        <v>45488</v>
      </c>
      <c r="M996" s="283"/>
      <c r="N996" s="282">
        <v>2</v>
      </c>
      <c r="O996" s="284" t="s">
        <v>4723</v>
      </c>
      <c r="P996" s="280">
        <v>2888.18</v>
      </c>
      <c r="Q996" s="315">
        <v>45457</v>
      </c>
      <c r="R996" s="272"/>
      <c r="S996" s="272"/>
      <c r="T996" s="272"/>
      <c r="U996" s="272"/>
      <c r="V996" s="272"/>
      <c r="W996" s="272"/>
      <c r="X996" s="272"/>
      <c r="Y996" s="272"/>
      <c r="Z996" s="272"/>
      <c r="AA996" s="272"/>
    </row>
    <row r="997" spans="1:27">
      <c r="A997" s="273">
        <v>7</v>
      </c>
      <c r="B997" s="274" t="s">
        <v>6034</v>
      </c>
      <c r="C997" s="314">
        <v>45467</v>
      </c>
      <c r="D997" s="274" t="s">
        <v>4714</v>
      </c>
      <c r="E997" s="268" t="s">
        <v>2961</v>
      </c>
      <c r="F997" s="272" t="s">
        <v>4715</v>
      </c>
      <c r="G997" s="268" t="s">
        <v>4716</v>
      </c>
      <c r="H997" s="268" t="str">
        <f t="shared" si="6"/>
        <v>ALBERTO RAPOSO JIMÉNEZ</v>
      </c>
      <c r="I997" s="268" t="s">
        <v>6114</v>
      </c>
      <c r="J997" s="272" t="s">
        <v>4736</v>
      </c>
      <c r="K997" s="268" t="s">
        <v>6115</v>
      </c>
      <c r="L997" s="287">
        <v>45488</v>
      </c>
      <c r="M997" s="283"/>
      <c r="N997" s="282">
        <v>2</v>
      </c>
      <c r="O997" s="284" t="s">
        <v>4720</v>
      </c>
      <c r="P997" s="280">
        <v>3710</v>
      </c>
      <c r="Q997" s="315">
        <v>45467</v>
      </c>
      <c r="R997" s="272"/>
      <c r="S997" s="272"/>
      <c r="T997" s="272"/>
      <c r="U997" s="272"/>
      <c r="V997" s="272"/>
      <c r="W997" s="272"/>
      <c r="X997" s="272"/>
      <c r="Y997" s="272"/>
      <c r="Z997" s="272"/>
      <c r="AA997" s="272"/>
    </row>
    <row r="998" spans="1:27">
      <c r="A998" s="273">
        <v>7</v>
      </c>
      <c r="B998" s="274" t="s">
        <v>6034</v>
      </c>
      <c r="C998" s="289">
        <v>45463</v>
      </c>
      <c r="D998" s="285" t="s">
        <v>4714</v>
      </c>
      <c r="E998" s="268" t="s">
        <v>6089</v>
      </c>
      <c r="F998" s="309" t="s">
        <v>4715</v>
      </c>
      <c r="G998" s="268" t="s">
        <v>4716</v>
      </c>
      <c r="H998" s="268" t="str">
        <f t="shared" si="6"/>
        <v>MANUEL CAÑETE DOMÍNGUEZ</v>
      </c>
      <c r="I998" s="268" t="s">
        <v>5654</v>
      </c>
      <c r="J998" s="268" t="s">
        <v>4822</v>
      </c>
      <c r="K998" s="268" t="s">
        <v>6116</v>
      </c>
      <c r="L998" s="276">
        <v>45489</v>
      </c>
      <c r="M998" s="283"/>
      <c r="N998" s="282">
        <v>2</v>
      </c>
      <c r="O998" s="284" t="s">
        <v>4787</v>
      </c>
      <c r="P998" s="280">
        <v>4700</v>
      </c>
      <c r="Q998" s="281">
        <v>45463</v>
      </c>
      <c r="R998" s="272"/>
      <c r="S998" s="272"/>
      <c r="T998" s="272"/>
      <c r="U998" s="272"/>
      <c r="V998" s="272"/>
      <c r="W998" s="272"/>
      <c r="X998" s="272"/>
      <c r="Y998" s="272"/>
      <c r="Z998" s="272"/>
      <c r="AA998" s="272"/>
    </row>
    <row r="999" spans="1:27">
      <c r="A999" s="273">
        <v>7</v>
      </c>
      <c r="B999" s="274" t="s">
        <v>6034</v>
      </c>
      <c r="C999" s="289">
        <v>45474</v>
      </c>
      <c r="D999" s="274" t="s">
        <v>4714</v>
      </c>
      <c r="E999" s="268" t="s">
        <v>4875</v>
      </c>
      <c r="F999" s="268" t="s">
        <v>4715</v>
      </c>
      <c r="G999" s="268" t="s">
        <v>4716</v>
      </c>
      <c r="H999" s="268" t="str">
        <f t="shared" si="6"/>
        <v>MIGUEL MAYO YÁÑEZ</v>
      </c>
      <c r="I999" s="268" t="s">
        <v>4966</v>
      </c>
      <c r="J999" s="272" t="s">
        <v>4790</v>
      </c>
      <c r="K999" s="268" t="s">
        <v>6117</v>
      </c>
      <c r="L999" s="276">
        <v>45489</v>
      </c>
      <c r="M999" s="283"/>
      <c r="N999" s="282">
        <v>2</v>
      </c>
      <c r="O999" s="284" t="s">
        <v>4720</v>
      </c>
      <c r="P999" s="280">
        <v>2090.91</v>
      </c>
      <c r="Q999" s="281">
        <v>45474</v>
      </c>
      <c r="R999" s="272"/>
      <c r="S999" s="272"/>
      <c r="T999" s="272"/>
      <c r="U999" s="272"/>
      <c r="V999" s="272"/>
      <c r="W999" s="272"/>
      <c r="X999" s="272"/>
      <c r="Y999" s="272"/>
      <c r="Z999" s="272"/>
      <c r="AA999" s="272"/>
    </row>
    <row r="1000" spans="1:27">
      <c r="A1000" s="273">
        <v>7</v>
      </c>
      <c r="B1000" s="274" t="s">
        <v>6034</v>
      </c>
      <c r="C1000" s="314">
        <v>45461</v>
      </c>
      <c r="D1000" s="274" t="s">
        <v>4714</v>
      </c>
      <c r="E1000" s="268" t="s">
        <v>2880</v>
      </c>
      <c r="F1000" s="272" t="s">
        <v>4715</v>
      </c>
      <c r="G1000" s="268" t="s">
        <v>4716</v>
      </c>
      <c r="H1000" s="268" t="str">
        <f t="shared" si="6"/>
        <v>BEATRIZ SANTOS DUQUE</v>
      </c>
      <c r="I1000" s="268" t="s">
        <v>6118</v>
      </c>
      <c r="J1000" s="272" t="s">
        <v>4718</v>
      </c>
      <c r="K1000" s="268" t="s">
        <v>6119</v>
      </c>
      <c r="L1000" s="276">
        <v>45489</v>
      </c>
      <c r="M1000" s="283"/>
      <c r="N1000" s="282">
        <v>2</v>
      </c>
      <c r="O1000" s="284" t="s">
        <v>4720</v>
      </c>
      <c r="P1000" s="280">
        <v>3709.83</v>
      </c>
      <c r="Q1000" s="315">
        <v>45461</v>
      </c>
      <c r="R1000" s="272"/>
      <c r="S1000" s="272"/>
      <c r="T1000" s="272"/>
      <c r="U1000" s="272"/>
      <c r="V1000" s="272"/>
      <c r="W1000" s="272"/>
      <c r="X1000" s="272"/>
      <c r="Y1000" s="272"/>
      <c r="Z1000" s="272"/>
      <c r="AA1000" s="272"/>
    </row>
    <row r="1001" spans="1:27">
      <c r="A1001" s="273">
        <v>7</v>
      </c>
      <c r="B1001" s="274" t="s">
        <v>6034</v>
      </c>
      <c r="C1001" s="314">
        <v>45442</v>
      </c>
      <c r="D1001" s="274" t="s">
        <v>4714</v>
      </c>
      <c r="E1001" s="268" t="s">
        <v>6091</v>
      </c>
      <c r="F1001" s="272" t="s">
        <v>4715</v>
      </c>
      <c r="G1001" s="268" t="s">
        <v>4716</v>
      </c>
      <c r="H1001" s="268" t="str">
        <f t="shared" si="6"/>
        <v>FRANCISCO JAVIER MOLLA RUDIEZ</v>
      </c>
      <c r="I1001" s="268" t="s">
        <v>5537</v>
      </c>
      <c r="J1001" s="272" t="s">
        <v>4822</v>
      </c>
      <c r="K1001" s="268" t="s">
        <v>6120</v>
      </c>
      <c r="L1001" s="276">
        <v>45489</v>
      </c>
      <c r="M1001" s="283"/>
      <c r="N1001" s="282">
        <v>2</v>
      </c>
      <c r="O1001" s="284" t="s">
        <v>4740</v>
      </c>
      <c r="P1001" s="280">
        <v>4000</v>
      </c>
      <c r="Q1001" s="315">
        <v>45442</v>
      </c>
      <c r="R1001" s="272"/>
      <c r="S1001" s="272"/>
      <c r="T1001" s="272"/>
      <c r="U1001" s="272"/>
      <c r="V1001" s="272"/>
      <c r="W1001" s="272"/>
      <c r="X1001" s="272"/>
      <c r="Y1001" s="272"/>
      <c r="Z1001" s="272"/>
      <c r="AA1001" s="272"/>
    </row>
    <row r="1002" spans="1:27">
      <c r="A1002" s="273">
        <v>7</v>
      </c>
      <c r="B1002" s="274" t="s">
        <v>6034</v>
      </c>
      <c r="C1002" s="314">
        <v>45464</v>
      </c>
      <c r="D1002" s="274" t="s">
        <v>4714</v>
      </c>
      <c r="E1002" s="268" t="s">
        <v>2869</v>
      </c>
      <c r="F1002" s="272" t="s">
        <v>4715</v>
      </c>
      <c r="G1002" s="268"/>
      <c r="H1002" s="268" t="str">
        <f t="shared" si="6"/>
        <v>ENRIQUE LÓPEZ MESEGUER</v>
      </c>
      <c r="I1002" s="268" t="s">
        <v>5330</v>
      </c>
      <c r="J1002" s="272" t="s">
        <v>4736</v>
      </c>
      <c r="K1002" s="268" t="s">
        <v>6121</v>
      </c>
      <c r="L1002" s="287">
        <v>45489</v>
      </c>
      <c r="M1002" s="283"/>
      <c r="N1002" s="282">
        <v>2</v>
      </c>
      <c r="O1002" s="284" t="s">
        <v>4723</v>
      </c>
      <c r="P1002" s="280">
        <v>2888.18</v>
      </c>
      <c r="Q1002" s="315">
        <v>45464</v>
      </c>
      <c r="R1002" s="272"/>
      <c r="S1002" s="272"/>
      <c r="T1002" s="272"/>
      <c r="U1002" s="272"/>
      <c r="V1002" s="272"/>
      <c r="W1002" s="272"/>
      <c r="X1002" s="272"/>
      <c r="Y1002" s="272"/>
      <c r="Z1002" s="272"/>
      <c r="AA1002" s="272"/>
    </row>
    <row r="1003" spans="1:27">
      <c r="A1003" s="273">
        <v>7</v>
      </c>
      <c r="B1003" s="274" t="s">
        <v>6034</v>
      </c>
      <c r="C1003" s="314">
        <v>45463</v>
      </c>
      <c r="D1003" s="274" t="s">
        <v>4714</v>
      </c>
      <c r="E1003" s="268" t="s">
        <v>2972</v>
      </c>
      <c r="F1003" s="272" t="s">
        <v>4715</v>
      </c>
      <c r="G1003" s="268" t="s">
        <v>4716</v>
      </c>
      <c r="H1003" s="268" t="str">
        <f t="shared" si="6"/>
        <v>CARLOS FÉLIX ASENSIO NIETO</v>
      </c>
      <c r="I1003" s="268" t="s">
        <v>5371</v>
      </c>
      <c r="J1003" s="272" t="s">
        <v>4822</v>
      </c>
      <c r="K1003" s="268" t="s">
        <v>6122</v>
      </c>
      <c r="L1003" s="276">
        <v>45489</v>
      </c>
      <c r="M1003" s="283"/>
      <c r="N1003" s="282">
        <v>1</v>
      </c>
      <c r="O1003" s="284" t="s">
        <v>5814</v>
      </c>
      <c r="P1003" s="280">
        <v>2403.64</v>
      </c>
      <c r="Q1003" s="315">
        <v>45463</v>
      </c>
      <c r="R1003" s="272"/>
      <c r="S1003" s="272"/>
      <c r="T1003" s="272"/>
      <c r="U1003" s="272"/>
      <c r="V1003" s="272"/>
      <c r="W1003" s="272"/>
      <c r="X1003" s="272"/>
      <c r="Y1003" s="272"/>
      <c r="Z1003" s="272"/>
      <c r="AA1003" s="272"/>
    </row>
    <row r="1004" spans="1:27">
      <c r="A1004" s="273">
        <v>7</v>
      </c>
      <c r="B1004" s="274" t="s">
        <v>6034</v>
      </c>
      <c r="C1004" s="314">
        <v>45457</v>
      </c>
      <c r="D1004" s="274" t="s">
        <v>4714</v>
      </c>
      <c r="E1004" s="268" t="s">
        <v>2921</v>
      </c>
      <c r="F1004" s="272" t="s">
        <v>4715</v>
      </c>
      <c r="G1004" s="268" t="s">
        <v>4716</v>
      </c>
      <c r="H1004" s="268" t="str">
        <f t="shared" si="6"/>
        <v>VANESA PÉREZ GUILLÉN</v>
      </c>
      <c r="I1004" s="268" t="s">
        <v>6123</v>
      </c>
      <c r="J1004" s="272" t="s">
        <v>4910</v>
      </c>
      <c r="K1004" s="268" t="s">
        <v>6124</v>
      </c>
      <c r="L1004" s="276">
        <v>45490</v>
      </c>
      <c r="M1004" s="283"/>
      <c r="N1004" s="282">
        <v>2</v>
      </c>
      <c r="O1004" s="284" t="s">
        <v>5814</v>
      </c>
      <c r="P1004" s="280">
        <v>3800</v>
      </c>
      <c r="Q1004" s="315">
        <v>45457</v>
      </c>
      <c r="R1004" s="272"/>
      <c r="S1004" s="272"/>
      <c r="T1004" s="272"/>
      <c r="U1004" s="272"/>
      <c r="V1004" s="272"/>
      <c r="W1004" s="272"/>
      <c r="X1004" s="272"/>
      <c r="Y1004" s="272"/>
      <c r="Z1004" s="272"/>
      <c r="AA1004" s="272"/>
    </row>
    <row r="1005" spans="1:27">
      <c r="A1005" s="273">
        <v>7</v>
      </c>
      <c r="B1005" s="274" t="s">
        <v>6034</v>
      </c>
      <c r="C1005" s="314">
        <v>45071</v>
      </c>
      <c r="D1005" s="274" t="s">
        <v>4714</v>
      </c>
      <c r="E1005" s="268" t="s">
        <v>4799</v>
      </c>
      <c r="F1005" s="272" t="s">
        <v>4715</v>
      </c>
      <c r="G1005" s="268" t="s">
        <v>4716</v>
      </c>
      <c r="H1005" s="268" t="str">
        <f t="shared" si="6"/>
        <v>ADELA PÉREZ-CARO RÍOS</v>
      </c>
      <c r="I1005" s="268" t="s">
        <v>5169</v>
      </c>
      <c r="J1005" s="272" t="s">
        <v>4790</v>
      </c>
      <c r="K1005" s="268" t="s">
        <v>6125</v>
      </c>
      <c r="L1005" s="276">
        <v>45490</v>
      </c>
      <c r="M1005" s="283"/>
      <c r="N1005" s="282">
        <v>1</v>
      </c>
      <c r="O1005" s="284" t="s">
        <v>4720</v>
      </c>
      <c r="P1005" s="280">
        <v>727.27</v>
      </c>
      <c r="Q1005" s="315">
        <v>45071</v>
      </c>
      <c r="R1005" s="272"/>
      <c r="S1005" s="272"/>
      <c r="T1005" s="272"/>
      <c r="U1005" s="272"/>
      <c r="V1005" s="272"/>
      <c r="W1005" s="272"/>
      <c r="X1005" s="272"/>
      <c r="Y1005" s="272"/>
      <c r="Z1005" s="272"/>
      <c r="AA1005" s="272"/>
    </row>
    <row r="1006" spans="1:27">
      <c r="A1006" s="273">
        <v>7</v>
      </c>
      <c r="B1006" s="274" t="s">
        <v>6034</v>
      </c>
      <c r="C1006" s="314">
        <v>45418</v>
      </c>
      <c r="D1006" s="274" t="s">
        <v>4714</v>
      </c>
      <c r="E1006" s="268" t="s">
        <v>2935</v>
      </c>
      <c r="F1006" s="272" t="s">
        <v>4715</v>
      </c>
      <c r="G1006" s="268" t="s">
        <v>4716</v>
      </c>
      <c r="H1006" s="268" t="str">
        <f t="shared" si="6"/>
        <v>Alejandro Harguindey Antoli-Candela</v>
      </c>
      <c r="I1006" s="268" t="s">
        <v>4802</v>
      </c>
      <c r="J1006" s="272" t="s">
        <v>4729</v>
      </c>
      <c r="K1006" s="268" t="s">
        <v>6126</v>
      </c>
      <c r="L1006" s="287">
        <v>45491</v>
      </c>
      <c r="M1006" s="283"/>
      <c r="N1006" s="282">
        <v>2</v>
      </c>
      <c r="O1006" s="284" t="s">
        <v>4720</v>
      </c>
      <c r="P1006" s="280">
        <v>3710</v>
      </c>
      <c r="Q1006" s="315">
        <v>45418</v>
      </c>
      <c r="R1006" s="272"/>
      <c r="S1006" s="272"/>
      <c r="T1006" s="272"/>
      <c r="U1006" s="272"/>
      <c r="V1006" s="272"/>
      <c r="W1006" s="272"/>
      <c r="X1006" s="272"/>
      <c r="Y1006" s="272"/>
      <c r="Z1006" s="272"/>
      <c r="AA1006" s="272"/>
    </row>
    <row r="1007" spans="1:27">
      <c r="A1007" s="273">
        <v>7</v>
      </c>
      <c r="B1007" s="274" t="s">
        <v>6034</v>
      </c>
      <c r="C1007" s="314">
        <v>45446</v>
      </c>
      <c r="D1007" s="274" t="s">
        <v>4714</v>
      </c>
      <c r="E1007" s="268" t="s">
        <v>5225</v>
      </c>
      <c r="F1007" s="272" t="s">
        <v>4715</v>
      </c>
      <c r="G1007" s="268" t="s">
        <v>4716</v>
      </c>
      <c r="H1007" s="268" t="str">
        <f t="shared" si="6"/>
        <v>ERNESTO VARELA MARTÍNEZ</v>
      </c>
      <c r="I1007" s="268" t="s">
        <v>4789</v>
      </c>
      <c r="J1007" s="272" t="s">
        <v>4790</v>
      </c>
      <c r="K1007" s="268" t="s">
        <v>6127</v>
      </c>
      <c r="L1007" s="287">
        <v>45491</v>
      </c>
      <c r="M1007" s="283"/>
      <c r="N1007" s="282">
        <v>2</v>
      </c>
      <c r="O1007" s="284" t="s">
        <v>4723</v>
      </c>
      <c r="P1007" s="280">
        <v>2888.18</v>
      </c>
      <c r="Q1007" s="315">
        <v>45446</v>
      </c>
      <c r="R1007" s="272"/>
      <c r="S1007" s="272"/>
      <c r="T1007" s="272"/>
      <c r="U1007" s="272"/>
      <c r="V1007" s="272"/>
      <c r="W1007" s="272"/>
      <c r="X1007" s="272"/>
      <c r="Y1007" s="272"/>
      <c r="Z1007" s="272"/>
      <c r="AA1007" s="272"/>
    </row>
    <row r="1008" spans="1:27">
      <c r="A1008" s="273">
        <v>7</v>
      </c>
      <c r="B1008" s="274" t="s">
        <v>6034</v>
      </c>
      <c r="C1008" s="314">
        <v>45463</v>
      </c>
      <c r="D1008" s="274" t="s">
        <v>4714</v>
      </c>
      <c r="E1008" s="268" t="s">
        <v>5225</v>
      </c>
      <c r="F1008" s="272" t="s">
        <v>4715</v>
      </c>
      <c r="G1008" s="268" t="s">
        <v>4716</v>
      </c>
      <c r="H1008" s="268" t="str">
        <f t="shared" si="6"/>
        <v>ANTONIO GUSTAVO LIROLA DELGADO</v>
      </c>
      <c r="I1008" s="268" t="s">
        <v>5017</v>
      </c>
      <c r="J1008" s="272" t="s">
        <v>4790</v>
      </c>
      <c r="K1008" s="268" t="s">
        <v>6128</v>
      </c>
      <c r="L1008" s="287">
        <v>45491</v>
      </c>
      <c r="M1008" s="283"/>
      <c r="N1008" s="282">
        <v>2</v>
      </c>
      <c r="O1008" s="284" t="s">
        <v>4787</v>
      </c>
      <c r="P1008" s="280">
        <v>4400</v>
      </c>
      <c r="Q1008" s="315">
        <v>45463</v>
      </c>
      <c r="R1008" s="272"/>
      <c r="S1008" s="272"/>
      <c r="T1008" s="272"/>
      <c r="U1008" s="272"/>
      <c r="V1008" s="272"/>
      <c r="W1008" s="272"/>
      <c r="X1008" s="272"/>
      <c r="Y1008" s="272"/>
      <c r="Z1008" s="272"/>
      <c r="AA1008" s="272"/>
    </row>
    <row r="1009" spans="1:27">
      <c r="A1009" s="273">
        <v>7</v>
      </c>
      <c r="B1009" s="274" t="s">
        <v>6034</v>
      </c>
      <c r="C1009" s="314">
        <v>45457</v>
      </c>
      <c r="D1009" s="274" t="s">
        <v>4714</v>
      </c>
      <c r="E1009" s="268" t="s">
        <v>5225</v>
      </c>
      <c r="F1009" s="272" t="s">
        <v>4715</v>
      </c>
      <c r="G1009" s="268" t="s">
        <v>4716</v>
      </c>
      <c r="H1009" s="268" t="str">
        <f t="shared" si="6"/>
        <v>GABRIEL MARTÍNEZ CAPOCCINI</v>
      </c>
      <c r="I1009" s="268" t="s">
        <v>5332</v>
      </c>
      <c r="J1009" s="272" t="s">
        <v>4790</v>
      </c>
      <c r="K1009" s="268" t="s">
        <v>6129</v>
      </c>
      <c r="L1009" s="287">
        <v>45491</v>
      </c>
      <c r="M1009" s="283"/>
      <c r="N1009" s="282">
        <v>2</v>
      </c>
      <c r="O1009" s="284" t="s">
        <v>4740</v>
      </c>
      <c r="P1009" s="280">
        <v>4000</v>
      </c>
      <c r="Q1009" s="315">
        <v>45457</v>
      </c>
      <c r="R1009" s="272"/>
      <c r="S1009" s="272"/>
      <c r="T1009" s="272"/>
      <c r="U1009" s="272"/>
      <c r="V1009" s="272"/>
      <c r="W1009" s="272"/>
      <c r="X1009" s="272"/>
      <c r="Y1009" s="272"/>
      <c r="Z1009" s="272"/>
      <c r="AA1009" s="272"/>
    </row>
    <row r="1010" spans="1:27">
      <c r="A1010" s="273">
        <v>7</v>
      </c>
      <c r="B1010" s="274" t="s">
        <v>6034</v>
      </c>
      <c r="C1010" s="314">
        <v>45469</v>
      </c>
      <c r="D1010" s="274" t="s">
        <v>4714</v>
      </c>
      <c r="E1010" s="268" t="s">
        <v>6040</v>
      </c>
      <c r="F1010" s="272" t="s">
        <v>4715</v>
      </c>
      <c r="G1010" s="268" t="s">
        <v>4716</v>
      </c>
      <c r="H1010" s="268" t="str">
        <f t="shared" si="6"/>
        <v>ESTEFANÍA BERROCAL POSTIGO</v>
      </c>
      <c r="I1010" s="268" t="s">
        <v>5201</v>
      </c>
      <c r="J1010" s="272" t="s">
        <v>4729</v>
      </c>
      <c r="K1010" s="268" t="s">
        <v>6130</v>
      </c>
      <c r="L1010" s="276">
        <v>45491</v>
      </c>
      <c r="M1010" s="283"/>
      <c r="N1010" s="282">
        <v>2</v>
      </c>
      <c r="O1010" s="284" t="s">
        <v>4720</v>
      </c>
      <c r="P1010" s="280">
        <v>3372.73</v>
      </c>
      <c r="Q1010" s="315">
        <v>45469</v>
      </c>
      <c r="R1010" s="272"/>
      <c r="S1010" s="272"/>
      <c r="T1010" s="272"/>
      <c r="U1010" s="272"/>
      <c r="V1010" s="272"/>
      <c r="W1010" s="272"/>
      <c r="X1010" s="272"/>
      <c r="Y1010" s="272"/>
      <c r="Z1010" s="272"/>
      <c r="AA1010" s="272"/>
    </row>
    <row r="1011" spans="1:27">
      <c r="A1011" s="273">
        <v>7</v>
      </c>
      <c r="B1011" s="274" t="s">
        <v>6034</v>
      </c>
      <c r="C1011" s="314">
        <v>45467</v>
      </c>
      <c r="D1011" s="274" t="s">
        <v>4714</v>
      </c>
      <c r="E1011" s="268" t="s">
        <v>3011</v>
      </c>
      <c r="F1011" s="272" t="s">
        <v>4715</v>
      </c>
      <c r="G1011" s="268" t="s">
        <v>4716</v>
      </c>
      <c r="H1011" s="268" t="str">
        <f t="shared" si="6"/>
        <v>ESTEFANÍA BERROCAL POSTIGO</v>
      </c>
      <c r="I1011" s="268" t="s">
        <v>5201</v>
      </c>
      <c r="J1011" s="272" t="s">
        <v>4729</v>
      </c>
      <c r="K1011" s="268" t="s">
        <v>6131</v>
      </c>
      <c r="L1011" s="276">
        <v>45491</v>
      </c>
      <c r="M1011" s="283"/>
      <c r="N1011" s="282">
        <v>2</v>
      </c>
      <c r="O1011" s="284" t="s">
        <v>4787</v>
      </c>
      <c r="P1011" s="280">
        <v>4400</v>
      </c>
      <c r="Q1011" s="315">
        <v>45467</v>
      </c>
      <c r="R1011" s="272"/>
      <c r="S1011" s="272"/>
      <c r="T1011" s="272"/>
      <c r="U1011" s="272"/>
      <c r="V1011" s="272"/>
      <c r="W1011" s="272"/>
      <c r="X1011" s="272"/>
      <c r="Y1011" s="272"/>
      <c r="Z1011" s="272"/>
      <c r="AA1011" s="272"/>
    </row>
    <row r="1012" spans="1:27">
      <c r="A1012" s="273">
        <v>7</v>
      </c>
      <c r="B1012" s="274" t="s">
        <v>6034</v>
      </c>
      <c r="C1012" s="314">
        <v>45414</v>
      </c>
      <c r="D1012" s="274" t="s">
        <v>4714</v>
      </c>
      <c r="E1012" s="268" t="s">
        <v>2921</v>
      </c>
      <c r="F1012" s="272" t="s">
        <v>4715</v>
      </c>
      <c r="G1012" s="268" t="s">
        <v>4716</v>
      </c>
      <c r="H1012" s="268" t="str">
        <f t="shared" si="6"/>
        <v>JOSÉ MONTALT MARCO</v>
      </c>
      <c r="I1012" s="268" t="s">
        <v>6132</v>
      </c>
      <c r="J1012" s="272" t="s">
        <v>4910</v>
      </c>
      <c r="K1012" s="268" t="s">
        <v>6133</v>
      </c>
      <c r="L1012" s="276">
        <v>45491</v>
      </c>
      <c r="M1012" s="283"/>
      <c r="N1012" s="282">
        <v>2</v>
      </c>
      <c r="O1012" s="284" t="s">
        <v>4720</v>
      </c>
      <c r="P1012" s="280">
        <v>3524.5</v>
      </c>
      <c r="Q1012" s="315">
        <v>45414</v>
      </c>
      <c r="R1012" s="272"/>
      <c r="S1012" s="272"/>
      <c r="T1012" s="272"/>
      <c r="U1012" s="272"/>
      <c r="V1012" s="272"/>
      <c r="W1012" s="272"/>
      <c r="X1012" s="272"/>
      <c r="Y1012" s="272"/>
      <c r="Z1012" s="272"/>
      <c r="AA1012" s="272"/>
    </row>
    <row r="1013" spans="1:27">
      <c r="A1013" s="273">
        <v>7</v>
      </c>
      <c r="B1013" s="274" t="s">
        <v>6034</v>
      </c>
      <c r="C1013" s="314">
        <v>45470</v>
      </c>
      <c r="D1013" s="274" t="s">
        <v>4714</v>
      </c>
      <c r="E1013" s="268" t="s">
        <v>2921</v>
      </c>
      <c r="F1013" s="272" t="s">
        <v>4715</v>
      </c>
      <c r="G1013" s="268" t="s">
        <v>4716</v>
      </c>
      <c r="H1013" s="268" t="str">
        <f t="shared" si="6"/>
        <v>FE RUBIO ESCOLANO</v>
      </c>
      <c r="I1013" s="268" t="s">
        <v>6134</v>
      </c>
      <c r="J1013" s="272" t="s">
        <v>4910</v>
      </c>
      <c r="K1013" s="268" t="s">
        <v>6135</v>
      </c>
      <c r="L1013" s="276">
        <v>45491</v>
      </c>
      <c r="M1013" s="283"/>
      <c r="N1013" s="282">
        <v>2</v>
      </c>
      <c r="O1013" s="284" t="s">
        <v>4720</v>
      </c>
      <c r="P1013" s="280">
        <v>3710</v>
      </c>
      <c r="Q1013" s="315">
        <v>45470</v>
      </c>
      <c r="R1013" s="272"/>
      <c r="S1013" s="272"/>
      <c r="T1013" s="272"/>
      <c r="U1013" s="272"/>
      <c r="V1013" s="272"/>
      <c r="W1013" s="272"/>
      <c r="X1013" s="272"/>
      <c r="Y1013" s="272"/>
      <c r="Z1013" s="272"/>
      <c r="AA1013" s="272"/>
    </row>
    <row r="1014" spans="1:27">
      <c r="A1014" s="273">
        <v>7</v>
      </c>
      <c r="B1014" s="274" t="s">
        <v>6034</v>
      </c>
      <c r="C1014" s="314">
        <v>45421</v>
      </c>
      <c r="D1014" s="274" t="s">
        <v>4714</v>
      </c>
      <c r="E1014" s="268" t="s">
        <v>6136</v>
      </c>
      <c r="F1014" s="272" t="s">
        <v>4715</v>
      </c>
      <c r="G1014" s="272" t="s">
        <v>4716</v>
      </c>
      <c r="H1014" s="268" t="str">
        <f t="shared" si="6"/>
        <v>CARLOS LÓPEZ AZANZA</v>
      </c>
      <c r="I1014" s="268" t="s">
        <v>5141</v>
      </c>
      <c r="J1014" s="272" t="s">
        <v>4747</v>
      </c>
      <c r="K1014" s="268" t="s">
        <v>6137</v>
      </c>
      <c r="L1014" s="276">
        <v>45491</v>
      </c>
      <c r="M1014" s="283"/>
      <c r="N1014" s="282">
        <v>2</v>
      </c>
      <c r="O1014" s="284" t="s">
        <v>4740</v>
      </c>
      <c r="P1014" s="280">
        <v>3886.36</v>
      </c>
      <c r="Q1014" s="315">
        <v>45421</v>
      </c>
      <c r="R1014" s="272"/>
      <c r="S1014" s="272"/>
      <c r="T1014" s="272"/>
      <c r="U1014" s="272"/>
      <c r="V1014" s="272"/>
      <c r="W1014" s="272"/>
      <c r="X1014" s="272"/>
      <c r="Y1014" s="272"/>
      <c r="Z1014" s="272"/>
      <c r="AA1014" s="272"/>
    </row>
    <row r="1015" spans="1:27">
      <c r="A1015" s="273">
        <v>7</v>
      </c>
      <c r="B1015" s="274" t="s">
        <v>6034</v>
      </c>
      <c r="C1015" s="289">
        <v>45461</v>
      </c>
      <c r="D1015" s="274" t="s">
        <v>4714</v>
      </c>
      <c r="E1015" s="268" t="s">
        <v>3187</v>
      </c>
      <c r="F1015" s="268" t="s">
        <v>4715</v>
      </c>
      <c r="G1015" s="268" t="s">
        <v>4716</v>
      </c>
      <c r="H1015" s="268" t="str">
        <f t="shared" si="6"/>
        <v>ÁLVARO SÁNCHEZ ÁLVAREZ</v>
      </c>
      <c r="I1015" s="268" t="s">
        <v>5246</v>
      </c>
      <c r="J1015" s="268" t="s">
        <v>4822</v>
      </c>
      <c r="K1015" s="268" t="s">
        <v>6138</v>
      </c>
      <c r="L1015" s="276">
        <v>45492</v>
      </c>
      <c r="M1015" s="283"/>
      <c r="N1015" s="282">
        <v>2</v>
      </c>
      <c r="O1015" s="284" t="s">
        <v>5814</v>
      </c>
      <c r="P1015" s="280">
        <v>4000</v>
      </c>
      <c r="Q1015" s="281">
        <v>45461</v>
      </c>
      <c r="R1015" s="272"/>
      <c r="S1015" s="272"/>
      <c r="T1015" s="272"/>
      <c r="U1015" s="272"/>
      <c r="V1015" s="272"/>
      <c r="W1015" s="272"/>
      <c r="X1015" s="272"/>
      <c r="Y1015" s="272"/>
      <c r="Z1015" s="272"/>
      <c r="AA1015" s="272"/>
    </row>
    <row r="1016" spans="1:27">
      <c r="A1016" s="273">
        <v>7</v>
      </c>
      <c r="B1016" s="274" t="s">
        <v>6034</v>
      </c>
      <c r="C1016" s="289"/>
      <c r="D1016" s="274" t="s">
        <v>4714</v>
      </c>
      <c r="E1016" s="268" t="s">
        <v>4194</v>
      </c>
      <c r="F1016" s="268" t="s">
        <v>4715</v>
      </c>
      <c r="G1016" s="268" t="s">
        <v>4716</v>
      </c>
      <c r="H1016" s="268" t="str">
        <f t="shared" si="6"/>
        <v>Ana Gabriela Jover Espla</v>
      </c>
      <c r="I1016" s="268" t="s">
        <v>6139</v>
      </c>
      <c r="J1016" s="278" t="s">
        <v>4736</v>
      </c>
      <c r="K1016" s="268" t="s">
        <v>6140</v>
      </c>
      <c r="L1016" s="287">
        <v>45492</v>
      </c>
      <c r="M1016" s="283"/>
      <c r="N1016" s="282">
        <v>2</v>
      </c>
      <c r="O1016" s="284" t="s">
        <v>4723</v>
      </c>
      <c r="P1016" s="280">
        <v>2845.45</v>
      </c>
      <c r="Q1016" s="281"/>
      <c r="R1016" s="272"/>
      <c r="S1016" s="272"/>
      <c r="T1016" s="272"/>
      <c r="U1016" s="272"/>
      <c r="V1016" s="272"/>
      <c r="W1016" s="272"/>
      <c r="X1016" s="272"/>
      <c r="Y1016" s="272"/>
      <c r="Z1016" s="272"/>
      <c r="AA1016" s="272"/>
    </row>
    <row r="1017" spans="1:27">
      <c r="A1017" s="273">
        <v>7</v>
      </c>
      <c r="B1017" s="274" t="s">
        <v>6034</v>
      </c>
      <c r="C1017" s="314">
        <v>45456</v>
      </c>
      <c r="D1017" s="274" t="s">
        <v>4714</v>
      </c>
      <c r="E1017" s="268" t="s">
        <v>6037</v>
      </c>
      <c r="F1017" s="272" t="s">
        <v>4715</v>
      </c>
      <c r="G1017" s="268" t="s">
        <v>4716</v>
      </c>
      <c r="H1017" s="268" t="str">
        <f t="shared" si="6"/>
        <v>MARÍA JESÚS CORNEJO DOMÍNGUEZ</v>
      </c>
      <c r="I1017" s="268" t="s">
        <v>4781</v>
      </c>
      <c r="J1017" s="272" t="s">
        <v>4747</v>
      </c>
      <c r="K1017" s="268" t="s">
        <v>6141</v>
      </c>
      <c r="L1017" s="287">
        <v>45492</v>
      </c>
      <c r="M1017" s="283"/>
      <c r="N1017" s="282">
        <v>2</v>
      </c>
      <c r="O1017" s="284" t="s">
        <v>4723</v>
      </c>
      <c r="P1017" s="280">
        <v>2780.91</v>
      </c>
      <c r="Q1017" s="315">
        <v>45456</v>
      </c>
      <c r="R1017" s="272"/>
      <c r="S1017" s="272"/>
      <c r="T1017" s="272"/>
      <c r="U1017" s="272"/>
      <c r="V1017" s="272"/>
      <c r="W1017" s="272"/>
      <c r="X1017" s="272"/>
      <c r="Y1017" s="272"/>
      <c r="Z1017" s="272"/>
      <c r="AA1017" s="272"/>
    </row>
    <row r="1018" spans="1:27">
      <c r="A1018" s="273">
        <v>7</v>
      </c>
      <c r="B1018" s="274" t="s">
        <v>6034</v>
      </c>
      <c r="C1018" s="314"/>
      <c r="D1018" s="274" t="s">
        <v>4714</v>
      </c>
      <c r="E1018" s="268" t="s">
        <v>3011</v>
      </c>
      <c r="F1018" s="272" t="s">
        <v>4715</v>
      </c>
      <c r="G1018" s="268" t="s">
        <v>4716</v>
      </c>
      <c r="H1018" s="268" t="str">
        <f t="shared" si="6"/>
        <v>JESÚS CROVATO ROJAS</v>
      </c>
      <c r="I1018" s="268" t="s">
        <v>5251</v>
      </c>
      <c r="J1018" s="272" t="s">
        <v>4729</v>
      </c>
      <c r="K1018" s="268" t="s">
        <v>6142</v>
      </c>
      <c r="L1018" s="276">
        <v>45492</v>
      </c>
      <c r="M1018" s="283"/>
      <c r="N1018" s="282">
        <v>2</v>
      </c>
      <c r="O1018" s="284" t="s">
        <v>5814</v>
      </c>
      <c r="P1018" s="280">
        <v>4000</v>
      </c>
      <c r="Q1018" s="315"/>
      <c r="R1018" s="272"/>
      <c r="S1018" s="272"/>
      <c r="T1018" s="272"/>
      <c r="U1018" s="272"/>
      <c r="V1018" s="272"/>
      <c r="W1018" s="272"/>
      <c r="X1018" s="272"/>
      <c r="Y1018" s="272"/>
      <c r="Z1018" s="272"/>
      <c r="AA1018" s="272"/>
    </row>
    <row r="1019" spans="1:27">
      <c r="A1019" s="273">
        <v>7</v>
      </c>
      <c r="B1019" s="274" t="s">
        <v>6034</v>
      </c>
      <c r="C1019" s="289">
        <v>45476</v>
      </c>
      <c r="D1019" s="274" t="s">
        <v>4714</v>
      </c>
      <c r="E1019" s="268" t="s">
        <v>3480</v>
      </c>
      <c r="F1019" s="268" t="s">
        <v>4715</v>
      </c>
      <c r="G1019" s="268" t="s">
        <v>4716</v>
      </c>
      <c r="H1019" s="268" t="str">
        <f t="shared" si="6"/>
        <v>CONCEPCION RODRÍGUEZ IZQUIERDO</v>
      </c>
      <c r="I1019" s="268" t="s">
        <v>6143</v>
      </c>
      <c r="J1019" s="272" t="s">
        <v>4718</v>
      </c>
      <c r="K1019" s="268" t="s">
        <v>6144</v>
      </c>
      <c r="L1019" s="276">
        <v>45495</v>
      </c>
      <c r="M1019" s="283"/>
      <c r="N1019" s="282">
        <v>2</v>
      </c>
      <c r="O1019" s="284" t="s">
        <v>4720</v>
      </c>
      <c r="P1019" s="280">
        <v>3710</v>
      </c>
      <c r="Q1019" s="281">
        <v>45476</v>
      </c>
      <c r="R1019" s="272"/>
      <c r="S1019" s="272"/>
      <c r="T1019" s="272"/>
      <c r="U1019" s="272"/>
      <c r="V1019" s="272"/>
      <c r="W1019" s="272"/>
      <c r="X1019" s="272"/>
      <c r="Y1019" s="272"/>
      <c r="Z1019" s="272"/>
      <c r="AA1019" s="272"/>
    </row>
    <row r="1020" spans="1:27">
      <c r="A1020" s="273">
        <v>7</v>
      </c>
      <c r="B1020" s="274" t="s">
        <v>6034</v>
      </c>
      <c r="C1020" s="314">
        <v>45475</v>
      </c>
      <c r="D1020" s="274" t="s">
        <v>4714</v>
      </c>
      <c r="E1020" s="268" t="s">
        <v>3758</v>
      </c>
      <c r="F1020" s="272" t="s">
        <v>4715</v>
      </c>
      <c r="G1020" s="268" t="s">
        <v>4716</v>
      </c>
      <c r="H1020" s="268" t="str">
        <f t="shared" si="6"/>
        <v>Alejandro Harguindey Antoli-Candela</v>
      </c>
      <c r="I1020" s="268" t="s">
        <v>4802</v>
      </c>
      <c r="J1020" s="272" t="s">
        <v>4718</v>
      </c>
      <c r="K1020" s="268" t="s">
        <v>6145</v>
      </c>
      <c r="L1020" s="287">
        <v>45495</v>
      </c>
      <c r="M1020" s="283"/>
      <c r="N1020" s="282">
        <v>1</v>
      </c>
      <c r="O1020" s="284" t="s">
        <v>4787</v>
      </c>
      <c r="P1020" s="280">
        <v>2640</v>
      </c>
      <c r="Q1020" s="315">
        <v>45475</v>
      </c>
      <c r="R1020" s="272"/>
      <c r="S1020" s="272"/>
      <c r="T1020" s="272"/>
      <c r="U1020" s="272"/>
      <c r="V1020" s="272"/>
      <c r="W1020" s="272"/>
      <c r="X1020" s="272"/>
      <c r="Y1020" s="272"/>
      <c r="Z1020" s="272"/>
      <c r="AA1020" s="272"/>
    </row>
    <row r="1021" spans="1:27">
      <c r="A1021" s="273">
        <v>7</v>
      </c>
      <c r="B1021" s="274" t="s">
        <v>6034</v>
      </c>
      <c r="C1021" s="314">
        <v>45447</v>
      </c>
      <c r="D1021" s="274" t="s">
        <v>4714</v>
      </c>
      <c r="E1021" s="268" t="s">
        <v>3758</v>
      </c>
      <c r="F1021" s="272" t="s">
        <v>4715</v>
      </c>
      <c r="G1021" s="268" t="s">
        <v>4716</v>
      </c>
      <c r="H1021" s="268" t="str">
        <f t="shared" si="6"/>
        <v>ITZIAR ÁLVAREZ PALACIOS</v>
      </c>
      <c r="I1021" s="268" t="s">
        <v>5008</v>
      </c>
      <c r="J1021" s="272" t="s">
        <v>4718</v>
      </c>
      <c r="K1021" s="268" t="s">
        <v>6146</v>
      </c>
      <c r="L1021" s="287">
        <v>45495</v>
      </c>
      <c r="M1021" s="283"/>
      <c r="N1021" s="282">
        <v>2</v>
      </c>
      <c r="O1021" s="284" t="s">
        <v>4723</v>
      </c>
      <c r="P1021" s="280">
        <v>2743.77</v>
      </c>
      <c r="Q1021" s="315">
        <v>45447</v>
      </c>
      <c r="R1021" s="272"/>
      <c r="S1021" s="272"/>
      <c r="T1021" s="272"/>
      <c r="U1021" s="272"/>
      <c r="V1021" s="272"/>
      <c r="W1021" s="272"/>
      <c r="X1021" s="272"/>
      <c r="Y1021" s="272"/>
      <c r="Z1021" s="272"/>
      <c r="AA1021" s="272"/>
    </row>
    <row r="1022" spans="1:27">
      <c r="A1022" s="273">
        <v>7</v>
      </c>
      <c r="B1022" s="274" t="s">
        <v>6034</v>
      </c>
      <c r="C1022" s="314">
        <v>45467</v>
      </c>
      <c r="D1022" s="274" t="s">
        <v>4714</v>
      </c>
      <c r="E1022" s="268" t="s">
        <v>2869</v>
      </c>
      <c r="F1022" s="272" t="s">
        <v>4715</v>
      </c>
      <c r="G1022" s="268"/>
      <c r="H1022" s="268" t="str">
        <f t="shared" si="6"/>
        <v>JESÚS MIGUEL INIESTA TURPÍN</v>
      </c>
      <c r="I1022" s="268" t="s">
        <v>4868</v>
      </c>
      <c r="J1022" s="272" t="s">
        <v>4736</v>
      </c>
      <c r="K1022" s="268" t="s">
        <v>6147</v>
      </c>
      <c r="L1022" s="287">
        <v>45495</v>
      </c>
      <c r="M1022" s="283"/>
      <c r="N1022" s="282">
        <v>2</v>
      </c>
      <c r="O1022" s="284" t="s">
        <v>4723</v>
      </c>
      <c r="P1022" s="280">
        <v>2888.18</v>
      </c>
      <c r="Q1022" s="315">
        <v>45467</v>
      </c>
      <c r="R1022" s="272"/>
      <c r="S1022" s="272"/>
      <c r="T1022" s="272"/>
      <c r="U1022" s="272"/>
      <c r="V1022" s="272"/>
      <c r="W1022" s="272"/>
      <c r="X1022" s="272"/>
      <c r="Y1022" s="272"/>
      <c r="Z1022" s="272"/>
      <c r="AA1022" s="272"/>
    </row>
    <row r="1023" spans="1:27">
      <c r="A1023" s="273">
        <v>7</v>
      </c>
      <c r="B1023" s="274" t="s">
        <v>6034</v>
      </c>
      <c r="C1023" s="314">
        <v>45474</v>
      </c>
      <c r="D1023" s="274" t="s">
        <v>4714</v>
      </c>
      <c r="E1023" s="268" t="s">
        <v>2900</v>
      </c>
      <c r="F1023" s="272" t="s">
        <v>4715</v>
      </c>
      <c r="G1023" s="268" t="s">
        <v>4716</v>
      </c>
      <c r="H1023" s="268" t="str">
        <f t="shared" si="6"/>
        <v>MARÍA REY MARCOS</v>
      </c>
      <c r="I1023" s="268" t="s">
        <v>4952</v>
      </c>
      <c r="J1023" s="272" t="s">
        <v>4790</v>
      </c>
      <c r="K1023" s="268" t="s">
        <v>6148</v>
      </c>
      <c r="L1023" s="287">
        <v>45495</v>
      </c>
      <c r="M1023" s="283"/>
      <c r="N1023" s="282">
        <v>2</v>
      </c>
      <c r="O1023" s="284" t="s">
        <v>4740</v>
      </c>
      <c r="P1023" s="280">
        <v>3999.85</v>
      </c>
      <c r="Q1023" s="315">
        <v>45474</v>
      </c>
      <c r="R1023" s="272"/>
      <c r="S1023" s="272"/>
      <c r="T1023" s="272"/>
      <c r="U1023" s="272"/>
      <c r="V1023" s="272"/>
      <c r="W1023" s="272"/>
      <c r="X1023" s="272"/>
      <c r="Y1023" s="272"/>
      <c r="Z1023" s="272"/>
      <c r="AA1023" s="272"/>
    </row>
    <row r="1024" spans="1:27">
      <c r="A1024" s="273">
        <v>7</v>
      </c>
      <c r="B1024" s="274" t="s">
        <v>6034</v>
      </c>
      <c r="C1024" s="314">
        <v>45477</v>
      </c>
      <c r="D1024" s="274" t="s">
        <v>4714</v>
      </c>
      <c r="E1024" s="268" t="s">
        <v>2873</v>
      </c>
      <c r="F1024" s="272" t="s">
        <v>4715</v>
      </c>
      <c r="G1024" s="268" t="s">
        <v>4716</v>
      </c>
      <c r="H1024" s="268" t="str">
        <f t="shared" si="6"/>
        <v>JUAN JAVIER ÁLVAREZ LÓPEZ</v>
      </c>
      <c r="I1024" s="268" t="s">
        <v>4938</v>
      </c>
      <c r="J1024" s="272" t="s">
        <v>4736</v>
      </c>
      <c r="K1024" s="268" t="s">
        <v>6149</v>
      </c>
      <c r="L1024" s="287">
        <v>45495</v>
      </c>
      <c r="M1024" s="283"/>
      <c r="N1024" s="282">
        <v>2</v>
      </c>
      <c r="O1024" s="284" t="s">
        <v>5814</v>
      </c>
      <c r="P1024" s="280">
        <v>3800</v>
      </c>
      <c r="Q1024" s="315">
        <v>45477</v>
      </c>
      <c r="R1024" s="272"/>
      <c r="S1024" s="272"/>
      <c r="T1024" s="272"/>
      <c r="U1024" s="272"/>
      <c r="V1024" s="272"/>
      <c r="W1024" s="272"/>
      <c r="X1024" s="272"/>
      <c r="Y1024" s="272"/>
      <c r="Z1024" s="272"/>
      <c r="AA1024" s="272"/>
    </row>
    <row r="1025" spans="1:27">
      <c r="A1025" s="273">
        <v>7</v>
      </c>
      <c r="B1025" s="274" t="s">
        <v>6034</v>
      </c>
      <c r="C1025" s="314">
        <v>45474</v>
      </c>
      <c r="D1025" s="274" t="s">
        <v>4714</v>
      </c>
      <c r="E1025" s="268" t="s">
        <v>2961</v>
      </c>
      <c r="F1025" s="272" t="s">
        <v>4715</v>
      </c>
      <c r="G1025" s="268" t="s">
        <v>4716</v>
      </c>
      <c r="H1025" s="268" t="str">
        <f t="shared" si="6"/>
        <v>ANA GIRIBET FERNANDEZ-PACHECO</v>
      </c>
      <c r="I1025" s="268" t="s">
        <v>6150</v>
      </c>
      <c r="J1025" s="272" t="s">
        <v>4736</v>
      </c>
      <c r="K1025" s="268" t="s">
        <v>6151</v>
      </c>
      <c r="L1025" s="287">
        <v>45495</v>
      </c>
      <c r="M1025" s="283"/>
      <c r="N1025" s="282">
        <v>2</v>
      </c>
      <c r="O1025" s="284" t="s">
        <v>4740</v>
      </c>
      <c r="P1025" s="280">
        <v>4000.13</v>
      </c>
      <c r="Q1025" s="315">
        <v>45474</v>
      </c>
      <c r="R1025" s="272"/>
      <c r="S1025" s="272"/>
      <c r="T1025" s="272"/>
      <c r="U1025" s="272"/>
      <c r="V1025" s="272"/>
      <c r="W1025" s="272"/>
      <c r="X1025" s="272"/>
      <c r="Y1025" s="272"/>
      <c r="Z1025" s="272"/>
      <c r="AA1025" s="272"/>
    </row>
    <row r="1026" spans="1:27">
      <c r="A1026" s="273">
        <v>7</v>
      </c>
      <c r="B1026" s="274" t="s">
        <v>6034</v>
      </c>
      <c r="C1026" s="314">
        <v>45467</v>
      </c>
      <c r="D1026" s="274" t="s">
        <v>4714</v>
      </c>
      <c r="E1026" s="268" t="s">
        <v>6040</v>
      </c>
      <c r="F1026" s="272" t="s">
        <v>4715</v>
      </c>
      <c r="G1026" s="268" t="s">
        <v>4716</v>
      </c>
      <c r="H1026" s="268" t="str">
        <f t="shared" si="6"/>
        <v>ENRIQUE GÓMEZ ALDAZ</v>
      </c>
      <c r="I1026" s="268" t="s">
        <v>5956</v>
      </c>
      <c r="J1026" s="272" t="s">
        <v>4729</v>
      </c>
      <c r="K1026" s="268" t="s">
        <v>6152</v>
      </c>
      <c r="L1026" s="276">
        <v>45495</v>
      </c>
      <c r="M1026" s="283"/>
      <c r="N1026" s="282">
        <v>2</v>
      </c>
      <c r="O1026" s="284" t="s">
        <v>4720</v>
      </c>
      <c r="P1026" s="280">
        <v>3710</v>
      </c>
      <c r="Q1026" s="315">
        <v>45467</v>
      </c>
      <c r="R1026" s="272"/>
      <c r="S1026" s="272"/>
      <c r="T1026" s="272"/>
      <c r="U1026" s="272"/>
      <c r="V1026" s="272"/>
      <c r="W1026" s="272"/>
      <c r="X1026" s="272"/>
      <c r="Y1026" s="272"/>
      <c r="Z1026" s="272"/>
      <c r="AA1026" s="272"/>
    </row>
    <row r="1027" spans="1:27">
      <c r="A1027" s="273">
        <v>7</v>
      </c>
      <c r="B1027" s="274" t="s">
        <v>6034</v>
      </c>
      <c r="C1027" s="314">
        <v>45448</v>
      </c>
      <c r="D1027" s="274" t="s">
        <v>4714</v>
      </c>
      <c r="E1027" s="268" t="s">
        <v>2886</v>
      </c>
      <c r="F1027" s="272" t="s">
        <v>4715</v>
      </c>
      <c r="G1027" s="268" t="s">
        <v>4716</v>
      </c>
      <c r="H1027" s="268" t="str">
        <f t="shared" si="6"/>
        <v>MARÍA GARROTE GARROTE</v>
      </c>
      <c r="I1027" s="268" t="s">
        <v>4721</v>
      </c>
      <c r="J1027" s="272" t="s">
        <v>4718</v>
      </c>
      <c r="K1027" s="268" t="s">
        <v>6153</v>
      </c>
      <c r="L1027" s="276">
        <v>45495</v>
      </c>
      <c r="M1027" s="283"/>
      <c r="N1027" s="282">
        <v>2</v>
      </c>
      <c r="O1027" s="284" t="s">
        <v>4720</v>
      </c>
      <c r="P1027" s="280">
        <v>3602.73</v>
      </c>
      <c r="Q1027" s="315">
        <v>45448</v>
      </c>
      <c r="R1027" s="272"/>
      <c r="S1027" s="272"/>
      <c r="T1027" s="272"/>
      <c r="U1027" s="272"/>
      <c r="V1027" s="272"/>
      <c r="W1027" s="272"/>
      <c r="X1027" s="272"/>
      <c r="Y1027" s="272"/>
      <c r="Z1027" s="272"/>
      <c r="AA1027" s="272"/>
    </row>
    <row r="1028" spans="1:27">
      <c r="A1028" s="273">
        <v>7</v>
      </c>
      <c r="B1028" s="274" t="s">
        <v>6034</v>
      </c>
      <c r="C1028" s="314">
        <v>45453</v>
      </c>
      <c r="D1028" s="274" t="s">
        <v>4714</v>
      </c>
      <c r="E1028" s="268" t="s">
        <v>4799</v>
      </c>
      <c r="F1028" s="272" t="s">
        <v>4715</v>
      </c>
      <c r="G1028" s="268" t="s">
        <v>4716</v>
      </c>
      <c r="H1028" s="268" t="str">
        <f t="shared" si="6"/>
        <v>PILAR CASTRO RUIZ</v>
      </c>
      <c r="I1028" s="268" t="s">
        <v>4800</v>
      </c>
      <c r="J1028" s="272" t="s">
        <v>4790</v>
      </c>
      <c r="K1028" s="268" t="s">
        <v>6154</v>
      </c>
      <c r="L1028" s="276">
        <v>45495</v>
      </c>
      <c r="M1028" s="283"/>
      <c r="N1028" s="282">
        <v>1</v>
      </c>
      <c r="O1028" s="284" t="s">
        <v>4720</v>
      </c>
      <c r="P1028" s="280">
        <v>1727.27</v>
      </c>
      <c r="Q1028" s="315">
        <v>45453</v>
      </c>
      <c r="R1028" s="272"/>
      <c r="S1028" s="272"/>
      <c r="T1028" s="272"/>
      <c r="U1028" s="272"/>
      <c r="V1028" s="272"/>
      <c r="W1028" s="272"/>
      <c r="X1028" s="272"/>
      <c r="Y1028" s="272"/>
      <c r="Z1028" s="272"/>
      <c r="AA1028" s="272"/>
    </row>
    <row r="1029" spans="1:27">
      <c r="A1029" s="273">
        <v>7</v>
      </c>
      <c r="B1029" s="274" t="s">
        <v>6034</v>
      </c>
      <c r="C1029" s="289"/>
      <c r="D1029" s="274" t="s">
        <v>4714</v>
      </c>
      <c r="E1029" s="268" t="s">
        <v>4203</v>
      </c>
      <c r="F1029" s="268" t="s">
        <v>4715</v>
      </c>
      <c r="G1029" s="268" t="s">
        <v>4716</v>
      </c>
      <c r="H1029" s="268" t="str">
        <f t="shared" si="6"/>
        <v>JOSÉ LUIS BATLLES MEDINA</v>
      </c>
      <c r="I1029" s="268" t="s">
        <v>6155</v>
      </c>
      <c r="J1029" s="278" t="s">
        <v>4736</v>
      </c>
      <c r="K1029" s="268" t="s">
        <v>6156</v>
      </c>
      <c r="L1029" s="276">
        <v>45496</v>
      </c>
      <c r="M1029" s="283"/>
      <c r="N1029" s="282">
        <v>2</v>
      </c>
      <c r="O1029" s="284" t="s">
        <v>4720</v>
      </c>
      <c r="P1029" s="280">
        <v>3604.55</v>
      </c>
      <c r="Q1029" s="281"/>
      <c r="R1029" s="272"/>
      <c r="S1029" s="272"/>
      <c r="T1029" s="272"/>
      <c r="U1029" s="272"/>
      <c r="V1029" s="272"/>
      <c r="W1029" s="272"/>
      <c r="X1029" s="272"/>
      <c r="Y1029" s="272"/>
      <c r="Z1029" s="272"/>
      <c r="AA1029" s="272"/>
    </row>
    <row r="1030" spans="1:27">
      <c r="A1030" s="273">
        <v>7</v>
      </c>
      <c r="B1030" s="274" t="s">
        <v>6034</v>
      </c>
      <c r="C1030" s="289">
        <v>45481</v>
      </c>
      <c r="D1030" s="274" t="s">
        <v>4714</v>
      </c>
      <c r="E1030" s="268" t="s">
        <v>4788</v>
      </c>
      <c r="F1030" s="268" t="s">
        <v>4715</v>
      </c>
      <c r="G1030" s="268" t="s">
        <v>4716</v>
      </c>
      <c r="H1030" s="268" t="str">
        <f t="shared" si="6"/>
        <v>ERNESTO VARELA MARTÍNEZ</v>
      </c>
      <c r="I1030" s="268" t="s">
        <v>4789</v>
      </c>
      <c r="J1030" s="278" t="s">
        <v>4790</v>
      </c>
      <c r="K1030" s="268" t="s">
        <v>6157</v>
      </c>
      <c r="L1030" s="276">
        <v>45496</v>
      </c>
      <c r="M1030" s="283"/>
      <c r="N1030" s="282">
        <v>2</v>
      </c>
      <c r="O1030" s="284" t="s">
        <v>4792</v>
      </c>
      <c r="P1030" s="280">
        <v>2627.27</v>
      </c>
      <c r="Q1030" s="281">
        <v>45481</v>
      </c>
      <c r="R1030" s="272"/>
      <c r="S1030" s="272"/>
      <c r="T1030" s="272"/>
      <c r="U1030" s="272"/>
      <c r="V1030" s="272"/>
      <c r="W1030" s="272"/>
      <c r="X1030" s="272"/>
      <c r="Y1030" s="272"/>
      <c r="Z1030" s="272"/>
      <c r="AA1030" s="272"/>
    </row>
    <row r="1031" spans="1:27">
      <c r="A1031" s="273">
        <v>7</v>
      </c>
      <c r="B1031" s="274" t="s">
        <v>6034</v>
      </c>
      <c r="C1031" s="289">
        <v>45462</v>
      </c>
      <c r="D1031" s="274" t="s">
        <v>4714</v>
      </c>
      <c r="E1031" s="268" t="s">
        <v>2880</v>
      </c>
      <c r="F1031" s="268" t="s">
        <v>4715</v>
      </c>
      <c r="G1031" s="268" t="s">
        <v>4716</v>
      </c>
      <c r="H1031" s="268" t="str">
        <f t="shared" si="6"/>
        <v>ANTONIO RODRÍGUEZ RIVERO</v>
      </c>
      <c r="I1031" s="268" t="s">
        <v>4717</v>
      </c>
      <c r="J1031" s="278" t="s">
        <v>4718</v>
      </c>
      <c r="K1031" s="268" t="s">
        <v>6158</v>
      </c>
      <c r="L1031" s="276">
        <v>45496</v>
      </c>
      <c r="M1031" s="283"/>
      <c r="N1031" s="282">
        <v>2</v>
      </c>
      <c r="O1031" s="284" t="s">
        <v>4720</v>
      </c>
      <c r="P1031" s="280">
        <v>3710</v>
      </c>
      <c r="Q1031" s="281">
        <v>45462</v>
      </c>
      <c r="R1031" s="272"/>
      <c r="S1031" s="272"/>
      <c r="T1031" s="272"/>
      <c r="U1031" s="272"/>
      <c r="V1031" s="272"/>
      <c r="W1031" s="272"/>
      <c r="X1031" s="272"/>
      <c r="Y1031" s="272"/>
      <c r="Z1031" s="272"/>
      <c r="AA1031" s="272"/>
    </row>
    <row r="1032" spans="1:27">
      <c r="A1032" s="273">
        <v>7</v>
      </c>
      <c r="B1032" s="274" t="s">
        <v>6034</v>
      </c>
      <c r="C1032" s="314">
        <v>45459</v>
      </c>
      <c r="D1032" s="274" t="s">
        <v>4714</v>
      </c>
      <c r="E1032" s="268" t="s">
        <v>2880</v>
      </c>
      <c r="F1032" s="272" t="s">
        <v>4715</v>
      </c>
      <c r="G1032" s="268" t="s">
        <v>4716</v>
      </c>
      <c r="H1032" s="268" t="str">
        <f t="shared" si="6"/>
        <v>MARÍA GARROTE GARROTE</v>
      </c>
      <c r="I1032" s="268" t="s">
        <v>4721</v>
      </c>
      <c r="J1032" s="272" t="s">
        <v>4718</v>
      </c>
      <c r="K1032" s="268" t="s">
        <v>6159</v>
      </c>
      <c r="L1032" s="276">
        <v>45496</v>
      </c>
      <c r="M1032" s="283"/>
      <c r="N1032" s="282">
        <v>2</v>
      </c>
      <c r="O1032" s="284" t="s">
        <v>4720</v>
      </c>
      <c r="P1032" s="280">
        <v>3710</v>
      </c>
      <c r="Q1032" s="315">
        <v>45459</v>
      </c>
      <c r="R1032" s="272"/>
      <c r="S1032" s="272"/>
      <c r="T1032" s="272"/>
      <c r="U1032" s="272"/>
      <c r="V1032" s="272"/>
      <c r="W1032" s="272"/>
      <c r="X1032" s="272"/>
      <c r="Y1032" s="272"/>
      <c r="Z1032" s="272"/>
      <c r="AA1032" s="272"/>
    </row>
    <row r="1033" spans="1:27">
      <c r="A1033" s="273">
        <v>7</v>
      </c>
      <c r="B1033" s="274" t="s">
        <v>6034</v>
      </c>
      <c r="C1033" s="314">
        <v>45467</v>
      </c>
      <c r="D1033" s="274" t="s">
        <v>4714</v>
      </c>
      <c r="E1033" s="268" t="s">
        <v>2880</v>
      </c>
      <c r="F1033" s="272" t="s">
        <v>4715</v>
      </c>
      <c r="G1033" s="268" t="s">
        <v>4716</v>
      </c>
      <c r="H1033" s="268" t="str">
        <f t="shared" si="6"/>
        <v>ANTONIO RODRÍGUEZ RIVERO</v>
      </c>
      <c r="I1033" s="268" t="s">
        <v>4717</v>
      </c>
      <c r="J1033" s="272" t="s">
        <v>4718</v>
      </c>
      <c r="K1033" s="268" t="s">
        <v>6160</v>
      </c>
      <c r="L1033" s="276">
        <v>45496</v>
      </c>
      <c r="M1033" s="283"/>
      <c r="N1033" s="282">
        <v>2</v>
      </c>
      <c r="O1033" s="284" t="s">
        <v>5814</v>
      </c>
      <c r="P1033" s="280">
        <v>4000</v>
      </c>
      <c r="Q1033" s="315">
        <v>45467</v>
      </c>
      <c r="R1033" s="272"/>
      <c r="S1033" s="272"/>
      <c r="T1033" s="272"/>
      <c r="U1033" s="272"/>
      <c r="V1033" s="272"/>
      <c r="W1033" s="272"/>
      <c r="X1033" s="272"/>
      <c r="Y1033" s="272"/>
      <c r="Z1033" s="272"/>
      <c r="AA1033" s="272"/>
    </row>
    <row r="1034" spans="1:27">
      <c r="A1034" s="273">
        <v>7</v>
      </c>
      <c r="B1034" s="274" t="s">
        <v>6034</v>
      </c>
      <c r="C1034" s="314">
        <v>45476</v>
      </c>
      <c r="D1034" s="274" t="s">
        <v>4714</v>
      </c>
      <c r="E1034" s="268" t="s">
        <v>2893</v>
      </c>
      <c r="F1034" s="272" t="s">
        <v>4715</v>
      </c>
      <c r="G1034" s="268" t="s">
        <v>4716</v>
      </c>
      <c r="H1034" s="268" t="str">
        <f t="shared" si="6"/>
        <v>MONTSERRAT PORTELL SORIANO</v>
      </c>
      <c r="I1034" s="268" t="s">
        <v>4943</v>
      </c>
      <c r="J1034" s="272" t="s">
        <v>4718</v>
      </c>
      <c r="K1034" s="268" t="s">
        <v>6161</v>
      </c>
      <c r="L1034" s="276">
        <v>45496</v>
      </c>
      <c r="M1034" s="283"/>
      <c r="N1034" s="282">
        <v>2</v>
      </c>
      <c r="O1034" s="284" t="s">
        <v>5814</v>
      </c>
      <c r="P1034" s="280">
        <v>3800</v>
      </c>
      <c r="Q1034" s="315">
        <v>45476</v>
      </c>
      <c r="R1034" s="272"/>
      <c r="S1034" s="272"/>
      <c r="T1034" s="272"/>
      <c r="U1034" s="272"/>
      <c r="V1034" s="272"/>
      <c r="W1034" s="272"/>
      <c r="X1034" s="272"/>
      <c r="Y1034" s="272"/>
      <c r="Z1034" s="272"/>
      <c r="AA1034" s="272"/>
    </row>
    <row r="1035" spans="1:27">
      <c r="A1035" s="273">
        <v>7</v>
      </c>
      <c r="B1035" s="274" t="s">
        <v>6034</v>
      </c>
      <c r="C1035" s="314"/>
      <c r="D1035" s="274" t="s">
        <v>4714</v>
      </c>
      <c r="E1035" s="268" t="s">
        <v>2929</v>
      </c>
      <c r="F1035" s="272" t="s">
        <v>4715</v>
      </c>
      <c r="G1035" s="268" t="s">
        <v>4715</v>
      </c>
      <c r="H1035" s="268" t="str">
        <f t="shared" si="6"/>
        <v>CARLOS BARAJAS DEL ROSAL</v>
      </c>
      <c r="I1035" s="268" t="s">
        <v>4934</v>
      </c>
      <c r="J1035" s="272" t="s">
        <v>4822</v>
      </c>
      <c r="K1035" s="268" t="s">
        <v>6162</v>
      </c>
      <c r="L1035" s="276">
        <v>45496</v>
      </c>
      <c r="M1035" s="283"/>
      <c r="N1035" s="282">
        <v>2</v>
      </c>
      <c r="O1035" s="284" t="s">
        <v>5814</v>
      </c>
      <c r="P1035" s="280">
        <v>4000</v>
      </c>
      <c r="Q1035" s="315"/>
      <c r="R1035" s="272"/>
      <c r="S1035" s="272"/>
      <c r="T1035" s="272"/>
      <c r="U1035" s="272"/>
      <c r="V1035" s="272"/>
      <c r="W1035" s="272"/>
      <c r="X1035" s="272"/>
      <c r="Y1035" s="272"/>
      <c r="Z1035" s="272"/>
      <c r="AA1035" s="272"/>
    </row>
    <row r="1036" spans="1:27">
      <c r="A1036" s="273">
        <v>7</v>
      </c>
      <c r="B1036" s="274" t="s">
        <v>6034</v>
      </c>
      <c r="C1036" s="314">
        <v>45467</v>
      </c>
      <c r="D1036" s="274" t="s">
        <v>4714</v>
      </c>
      <c r="E1036" s="268" t="s">
        <v>2869</v>
      </c>
      <c r="F1036" s="272" t="s">
        <v>4715</v>
      </c>
      <c r="G1036" s="268" t="s">
        <v>4716</v>
      </c>
      <c r="H1036" s="268" t="str">
        <f t="shared" si="6"/>
        <v>JUAN PABLO PELEGRÍN HERNÁNDEZ</v>
      </c>
      <c r="I1036" s="268" t="s">
        <v>4904</v>
      </c>
      <c r="J1036" s="272" t="s">
        <v>4736</v>
      </c>
      <c r="K1036" s="268" t="s">
        <v>6163</v>
      </c>
      <c r="L1036" s="287">
        <v>45496</v>
      </c>
      <c r="M1036" s="283"/>
      <c r="N1036" s="282">
        <v>2</v>
      </c>
      <c r="O1036" s="284" t="s">
        <v>4720</v>
      </c>
      <c r="P1036" s="280">
        <v>3710</v>
      </c>
      <c r="Q1036" s="315">
        <v>45467</v>
      </c>
      <c r="R1036" s="272"/>
      <c r="S1036" s="272"/>
      <c r="T1036" s="272"/>
      <c r="U1036" s="272"/>
      <c r="V1036" s="272"/>
      <c r="W1036" s="272"/>
      <c r="X1036" s="272"/>
      <c r="Y1036" s="272"/>
      <c r="Z1036" s="272"/>
      <c r="AA1036" s="272"/>
    </row>
    <row r="1037" spans="1:27">
      <c r="A1037" s="273">
        <v>7</v>
      </c>
      <c r="B1037" s="274" t="s">
        <v>6034</v>
      </c>
      <c r="C1037" s="314">
        <v>45475</v>
      </c>
      <c r="D1037" s="274" t="s">
        <v>4714</v>
      </c>
      <c r="E1037" s="268" t="s">
        <v>2869</v>
      </c>
      <c r="F1037" s="272" t="s">
        <v>4715</v>
      </c>
      <c r="G1037" s="268" t="s">
        <v>4716</v>
      </c>
      <c r="H1037" s="268" t="str">
        <f t="shared" si="6"/>
        <v>BEATRIZ RODRÍGUEZ GONZÁLEZ HERRERO</v>
      </c>
      <c r="I1037" s="268" t="s">
        <v>5672</v>
      </c>
      <c r="J1037" s="272" t="s">
        <v>4736</v>
      </c>
      <c r="K1037" s="268" t="s">
        <v>6164</v>
      </c>
      <c r="L1037" s="287">
        <v>45496</v>
      </c>
      <c r="M1037" s="283"/>
      <c r="N1037" s="282">
        <v>2</v>
      </c>
      <c r="O1037" s="284" t="s">
        <v>4723</v>
      </c>
      <c r="P1037" s="280">
        <v>2888.18</v>
      </c>
      <c r="Q1037" s="315">
        <v>45475</v>
      </c>
      <c r="R1037" s="272"/>
      <c r="S1037" s="272"/>
      <c r="T1037" s="272"/>
      <c r="U1037" s="272"/>
      <c r="V1037" s="272"/>
      <c r="W1037" s="272"/>
      <c r="X1037" s="272"/>
      <c r="Y1037" s="272"/>
      <c r="Z1037" s="272"/>
      <c r="AA1037" s="272"/>
    </row>
    <row r="1038" spans="1:27">
      <c r="A1038" s="273">
        <v>7</v>
      </c>
      <c r="B1038" s="274" t="s">
        <v>6034</v>
      </c>
      <c r="C1038" s="314">
        <v>45496</v>
      </c>
      <c r="D1038" s="274" t="s">
        <v>4714</v>
      </c>
      <c r="E1038" s="268" t="s">
        <v>6037</v>
      </c>
      <c r="F1038" s="272" t="s">
        <v>4715</v>
      </c>
      <c r="G1038" s="268" t="s">
        <v>4716</v>
      </c>
      <c r="H1038" s="268" t="str">
        <f t="shared" si="6"/>
        <v>MARÍA JESÚS CORNEJO DOMÍNGUEZ</v>
      </c>
      <c r="I1038" s="268" t="s">
        <v>4781</v>
      </c>
      <c r="J1038" s="272" t="s">
        <v>4747</v>
      </c>
      <c r="K1038" s="268" t="s">
        <v>6165</v>
      </c>
      <c r="L1038" s="287">
        <v>45496</v>
      </c>
      <c r="M1038" s="283"/>
      <c r="N1038" s="282">
        <v>2</v>
      </c>
      <c r="O1038" s="284" t="s">
        <v>4720</v>
      </c>
      <c r="P1038" s="280">
        <v>3604.55</v>
      </c>
      <c r="Q1038" s="315">
        <v>45496</v>
      </c>
      <c r="R1038" s="272"/>
      <c r="S1038" s="272"/>
      <c r="T1038" s="272"/>
      <c r="U1038" s="272"/>
      <c r="V1038" s="272"/>
      <c r="W1038" s="272"/>
      <c r="X1038" s="272"/>
      <c r="Y1038" s="272"/>
      <c r="Z1038" s="272"/>
      <c r="AA1038" s="272"/>
    </row>
    <row r="1039" spans="1:27">
      <c r="A1039" s="273">
        <v>7</v>
      </c>
      <c r="B1039" s="274" t="s">
        <v>6034</v>
      </c>
      <c r="C1039" s="314">
        <v>45476</v>
      </c>
      <c r="D1039" s="274" t="s">
        <v>4714</v>
      </c>
      <c r="E1039" s="268" t="s">
        <v>2921</v>
      </c>
      <c r="F1039" s="272" t="s">
        <v>4715</v>
      </c>
      <c r="G1039" s="268" t="s">
        <v>4716</v>
      </c>
      <c r="H1039" s="268" t="str">
        <f t="shared" si="6"/>
        <v>AGUSTÍN CAMPOS CATALÁ</v>
      </c>
      <c r="I1039" s="268" t="s">
        <v>6098</v>
      </c>
      <c r="J1039" s="272" t="s">
        <v>4910</v>
      </c>
      <c r="K1039" s="268" t="s">
        <v>6166</v>
      </c>
      <c r="L1039" s="276">
        <v>45496</v>
      </c>
      <c r="M1039" s="283"/>
      <c r="N1039" s="282">
        <v>2</v>
      </c>
      <c r="O1039" s="284" t="s">
        <v>5814</v>
      </c>
      <c r="P1039" s="280">
        <v>3800</v>
      </c>
      <c r="Q1039" s="315">
        <v>45476</v>
      </c>
      <c r="R1039" s="272"/>
      <c r="S1039" s="272"/>
      <c r="T1039" s="272"/>
      <c r="U1039" s="272"/>
      <c r="V1039" s="272"/>
      <c r="W1039" s="272"/>
      <c r="X1039" s="272"/>
      <c r="Y1039" s="272"/>
      <c r="Z1039" s="272"/>
      <c r="AA1039" s="272"/>
    </row>
    <row r="1040" spans="1:27">
      <c r="A1040" s="273">
        <v>7</v>
      </c>
      <c r="B1040" s="274" t="s">
        <v>6034</v>
      </c>
      <c r="C1040" s="314">
        <v>45434</v>
      </c>
      <c r="D1040" s="274" t="s">
        <v>4714</v>
      </c>
      <c r="E1040" s="268" t="s">
        <v>6136</v>
      </c>
      <c r="F1040" s="272" t="s">
        <v>4715</v>
      </c>
      <c r="G1040" s="268" t="s">
        <v>4716</v>
      </c>
      <c r="H1040" s="268" t="str">
        <f t="shared" si="6"/>
        <v>JORGE FREIJANES OTERO</v>
      </c>
      <c r="I1040" s="268" t="s">
        <v>6167</v>
      </c>
      <c r="J1040" s="272" t="s">
        <v>4747</v>
      </c>
      <c r="K1040" s="268" t="s">
        <v>6168</v>
      </c>
      <c r="L1040" s="276">
        <v>45496</v>
      </c>
      <c r="M1040" s="283"/>
      <c r="N1040" s="282">
        <v>2</v>
      </c>
      <c r="O1040" s="284" t="s">
        <v>4740</v>
      </c>
      <c r="P1040" s="280">
        <v>3977.27</v>
      </c>
      <c r="Q1040" s="315">
        <v>45434</v>
      </c>
      <c r="R1040" s="272"/>
      <c r="S1040" s="272"/>
      <c r="T1040" s="272"/>
      <c r="U1040" s="272"/>
      <c r="V1040" s="272"/>
      <c r="W1040" s="272"/>
      <c r="X1040" s="272"/>
      <c r="Y1040" s="272"/>
      <c r="Z1040" s="272"/>
      <c r="AA1040" s="272"/>
    </row>
    <row r="1041" spans="1:27">
      <c r="A1041" s="273">
        <v>7</v>
      </c>
      <c r="B1041" s="274" t="s">
        <v>6034</v>
      </c>
      <c r="C1041" s="289">
        <v>45461</v>
      </c>
      <c r="D1041" s="274" t="s">
        <v>4714</v>
      </c>
      <c r="E1041" s="268" t="s">
        <v>4788</v>
      </c>
      <c r="F1041" s="268" t="s">
        <v>4715</v>
      </c>
      <c r="G1041" s="268" t="s">
        <v>4716</v>
      </c>
      <c r="H1041" s="268" t="str">
        <f t="shared" si="6"/>
        <v>CARLOS VIDAL REDONDO</v>
      </c>
      <c r="I1041" s="268" t="s">
        <v>4828</v>
      </c>
      <c r="J1041" s="278" t="s">
        <v>4790</v>
      </c>
      <c r="K1041" s="268" t="s">
        <v>6169</v>
      </c>
      <c r="L1041" s="276">
        <v>45497</v>
      </c>
      <c r="M1041" s="283"/>
      <c r="N1041" s="282">
        <v>2</v>
      </c>
      <c r="O1041" s="284" t="s">
        <v>4792</v>
      </c>
      <c r="P1041" s="280">
        <v>2818.18</v>
      </c>
      <c r="Q1041" s="281">
        <v>45461</v>
      </c>
      <c r="R1041" s="272"/>
      <c r="S1041" s="272"/>
      <c r="T1041" s="272"/>
      <c r="U1041" s="272"/>
      <c r="V1041" s="272"/>
      <c r="W1041" s="272"/>
      <c r="X1041" s="272"/>
      <c r="Y1041" s="272"/>
      <c r="Z1041" s="272"/>
      <c r="AA1041" s="272"/>
    </row>
    <row r="1042" spans="1:27">
      <c r="A1042" s="273">
        <v>7</v>
      </c>
      <c r="B1042" s="274" t="s">
        <v>6034</v>
      </c>
      <c r="C1042" s="314">
        <v>45464</v>
      </c>
      <c r="D1042" s="274" t="s">
        <v>4714</v>
      </c>
      <c r="E1042" s="268" t="s">
        <v>2916</v>
      </c>
      <c r="F1042" s="272" t="s">
        <v>4715</v>
      </c>
      <c r="G1042" s="272" t="s">
        <v>4716</v>
      </c>
      <c r="H1042" s="268" t="str">
        <f t="shared" si="6"/>
        <v>JESUS-MARIA GRASA PÉREZ</v>
      </c>
      <c r="I1042" s="268" t="s">
        <v>4865</v>
      </c>
      <c r="J1042" s="272" t="s">
        <v>4806</v>
      </c>
      <c r="K1042" s="268" t="s">
        <v>6170</v>
      </c>
      <c r="L1042" s="276">
        <v>45497</v>
      </c>
      <c r="M1042" s="283"/>
      <c r="N1042" s="282">
        <v>2</v>
      </c>
      <c r="O1042" s="284" t="s">
        <v>4720</v>
      </c>
      <c r="P1042" s="280">
        <v>3710</v>
      </c>
      <c r="Q1042" s="315">
        <v>45464</v>
      </c>
      <c r="R1042" s="272"/>
      <c r="S1042" s="272"/>
      <c r="T1042" s="272"/>
      <c r="U1042" s="272"/>
      <c r="V1042" s="272"/>
      <c r="W1042" s="272"/>
      <c r="X1042" s="272"/>
      <c r="Y1042" s="272"/>
      <c r="Z1042" s="272"/>
      <c r="AA1042" s="272"/>
    </row>
    <row r="1043" spans="1:27">
      <c r="A1043" s="273">
        <v>7</v>
      </c>
      <c r="B1043" s="274" t="s">
        <v>6034</v>
      </c>
      <c r="C1043" s="314">
        <v>45477</v>
      </c>
      <c r="D1043" s="274" t="s">
        <v>4714</v>
      </c>
      <c r="E1043" s="268" t="s">
        <v>3861</v>
      </c>
      <c r="F1043" s="272" t="s">
        <v>4715</v>
      </c>
      <c r="G1043" s="268" t="s">
        <v>4716</v>
      </c>
      <c r="H1043" s="268" t="str">
        <f t="shared" si="6"/>
        <v>JOSÉ GUSTAVO BARROSO BRAOJOS</v>
      </c>
      <c r="I1043" s="268" t="s">
        <v>4834</v>
      </c>
      <c r="J1043" s="272" t="s">
        <v>4718</v>
      </c>
      <c r="K1043" s="268" t="s">
        <v>6171</v>
      </c>
      <c r="L1043" s="276">
        <v>45497</v>
      </c>
      <c r="M1043" s="283"/>
      <c r="N1043" s="282">
        <v>2</v>
      </c>
      <c r="O1043" s="284" t="s">
        <v>4720</v>
      </c>
      <c r="P1043" s="280">
        <v>3710</v>
      </c>
      <c r="Q1043" s="315">
        <v>45477</v>
      </c>
      <c r="R1043" s="272"/>
      <c r="S1043" s="272"/>
      <c r="T1043" s="272"/>
      <c r="U1043" s="272"/>
      <c r="V1043" s="272"/>
      <c r="W1043" s="272"/>
      <c r="X1043" s="272"/>
      <c r="Y1043" s="272"/>
      <c r="Z1043" s="272"/>
      <c r="AA1043" s="272"/>
    </row>
    <row r="1044" spans="1:27">
      <c r="A1044" s="273">
        <v>7</v>
      </c>
      <c r="B1044" s="274" t="s">
        <v>6034</v>
      </c>
      <c r="C1044" s="314">
        <v>45470</v>
      </c>
      <c r="D1044" s="274" t="s">
        <v>4714</v>
      </c>
      <c r="E1044" s="268" t="s">
        <v>2929</v>
      </c>
      <c r="F1044" s="272" t="s">
        <v>4715</v>
      </c>
      <c r="G1044" s="268" t="s">
        <v>4716</v>
      </c>
      <c r="H1044" s="268" t="str">
        <f t="shared" si="6"/>
        <v>JAVIER GARCÍA DOMÍNGUEZ</v>
      </c>
      <c r="I1044" s="268" t="s">
        <v>4881</v>
      </c>
      <c r="J1044" s="272" t="s">
        <v>4718</v>
      </c>
      <c r="K1044" s="268" t="s">
        <v>6172</v>
      </c>
      <c r="L1044" s="287">
        <v>45497</v>
      </c>
      <c r="M1044" s="283"/>
      <c r="N1044" s="282">
        <v>2</v>
      </c>
      <c r="O1044" s="284" t="s">
        <v>4720</v>
      </c>
      <c r="P1044" s="280">
        <v>3524.49</v>
      </c>
      <c r="Q1044" s="315">
        <v>45470</v>
      </c>
      <c r="R1044" s="272"/>
      <c r="S1044" s="272"/>
      <c r="T1044" s="272"/>
      <c r="U1044" s="272"/>
      <c r="V1044" s="272"/>
      <c r="W1044" s="272"/>
      <c r="X1044" s="272"/>
      <c r="Y1044" s="272"/>
      <c r="Z1044" s="272"/>
      <c r="AA1044" s="272"/>
    </row>
    <row r="1045" spans="1:27">
      <c r="A1045" s="273">
        <v>7</v>
      </c>
      <c r="B1045" s="274" t="s">
        <v>6034</v>
      </c>
      <c r="C1045" s="314">
        <v>45477</v>
      </c>
      <c r="D1045" s="274" t="s">
        <v>4714</v>
      </c>
      <c r="E1045" s="268" t="s">
        <v>2935</v>
      </c>
      <c r="F1045" s="272" t="s">
        <v>4715</v>
      </c>
      <c r="G1045" s="268" t="s">
        <v>4716</v>
      </c>
      <c r="H1045" s="268" t="str">
        <f t="shared" si="6"/>
        <v>Alejandro Harguindey Antoli-Candela</v>
      </c>
      <c r="I1045" s="268" t="s">
        <v>4802</v>
      </c>
      <c r="J1045" s="272" t="s">
        <v>4718</v>
      </c>
      <c r="K1045" s="268" t="s">
        <v>6173</v>
      </c>
      <c r="L1045" s="287">
        <v>45497</v>
      </c>
      <c r="M1045" s="283"/>
      <c r="N1045" s="282">
        <v>1</v>
      </c>
      <c r="O1045" s="284" t="s">
        <v>5814</v>
      </c>
      <c r="P1045" s="280">
        <v>2400</v>
      </c>
      <c r="Q1045" s="315">
        <v>45477</v>
      </c>
      <c r="R1045" s="272"/>
      <c r="S1045" s="272"/>
      <c r="T1045" s="272"/>
      <c r="U1045" s="272"/>
      <c r="V1045" s="272"/>
      <c r="W1045" s="272"/>
      <c r="X1045" s="272"/>
      <c r="Y1045" s="272"/>
      <c r="Z1045" s="272"/>
      <c r="AA1045" s="272"/>
    </row>
    <row r="1046" spans="1:27">
      <c r="A1046" s="273">
        <v>7</v>
      </c>
      <c r="B1046" s="274" t="s">
        <v>6034</v>
      </c>
      <c r="C1046" s="314">
        <v>45476</v>
      </c>
      <c r="D1046" s="274" t="s">
        <v>4714</v>
      </c>
      <c r="E1046" s="268" t="s">
        <v>2873</v>
      </c>
      <c r="F1046" s="272" t="s">
        <v>4715</v>
      </c>
      <c r="G1046" s="268" t="s">
        <v>4716</v>
      </c>
      <c r="H1046" s="268" t="str">
        <f t="shared" si="6"/>
        <v>JUAN JAVIER ÁLVAREZ LÓPEZ</v>
      </c>
      <c r="I1046" s="268" t="s">
        <v>4938</v>
      </c>
      <c r="J1046" s="272" t="s">
        <v>4736</v>
      </c>
      <c r="K1046" s="268" t="s">
        <v>6174</v>
      </c>
      <c r="L1046" s="287">
        <v>45497</v>
      </c>
      <c r="M1046" s="283"/>
      <c r="N1046" s="282">
        <v>2</v>
      </c>
      <c r="O1046" s="284" t="s">
        <v>5814</v>
      </c>
      <c r="P1046" s="280">
        <v>4000</v>
      </c>
      <c r="Q1046" s="315">
        <v>45476</v>
      </c>
      <c r="R1046" s="272"/>
      <c r="S1046" s="272"/>
      <c r="T1046" s="272"/>
      <c r="U1046" s="272"/>
      <c r="V1046" s="272"/>
      <c r="W1046" s="272"/>
      <c r="X1046" s="272"/>
      <c r="Y1046" s="272"/>
      <c r="Z1046" s="272"/>
      <c r="AA1046" s="272"/>
    </row>
    <row r="1047" spans="1:27">
      <c r="A1047" s="273">
        <v>7</v>
      </c>
      <c r="B1047" s="274" t="s">
        <v>6034</v>
      </c>
      <c r="C1047" s="314">
        <v>45461</v>
      </c>
      <c r="D1047" s="274" t="s">
        <v>4714</v>
      </c>
      <c r="E1047" s="268" t="s">
        <v>4745</v>
      </c>
      <c r="F1047" s="272" t="s">
        <v>4715</v>
      </c>
      <c r="G1047" s="268" t="s">
        <v>4716</v>
      </c>
      <c r="H1047" s="268" t="str">
        <f t="shared" si="6"/>
        <v>MARÍA LOURDES HERNÁNDEZ DE LOS SANTOS</v>
      </c>
      <c r="I1047" s="268" t="s">
        <v>6175</v>
      </c>
      <c r="J1047" s="272" t="s">
        <v>4747</v>
      </c>
      <c r="K1047" s="268" t="s">
        <v>6176</v>
      </c>
      <c r="L1047" s="287">
        <v>45497</v>
      </c>
      <c r="M1047" s="283"/>
      <c r="N1047" s="282">
        <v>2</v>
      </c>
      <c r="O1047" s="284" t="s">
        <v>4720</v>
      </c>
      <c r="P1047" s="280">
        <v>3524.55</v>
      </c>
      <c r="Q1047" s="315">
        <v>45461</v>
      </c>
      <c r="R1047" s="272"/>
      <c r="S1047" s="272"/>
      <c r="T1047" s="272"/>
      <c r="U1047" s="272"/>
      <c r="V1047" s="272"/>
      <c r="W1047" s="272"/>
      <c r="X1047" s="272"/>
      <c r="Y1047" s="272"/>
      <c r="Z1047" s="272"/>
      <c r="AA1047" s="272"/>
    </row>
    <row r="1048" spans="1:27">
      <c r="A1048" s="273">
        <v>7</v>
      </c>
      <c r="B1048" s="274" t="s">
        <v>6034</v>
      </c>
      <c r="C1048" s="289"/>
      <c r="D1048" s="274" t="s">
        <v>4714</v>
      </c>
      <c r="E1048" s="268" t="s">
        <v>4194</v>
      </c>
      <c r="F1048" s="268" t="s">
        <v>4715</v>
      </c>
      <c r="G1048" s="268" t="s">
        <v>4716</v>
      </c>
      <c r="H1048" s="268" t="str">
        <f t="shared" si="6"/>
        <v>FRANCISCO PASTOR BEVIÁ</v>
      </c>
      <c r="I1048" s="268" t="s">
        <v>4738</v>
      </c>
      <c r="J1048" s="278" t="s">
        <v>4736</v>
      </c>
      <c r="K1048" s="268" t="s">
        <v>6177</v>
      </c>
      <c r="L1048" s="287">
        <v>45498</v>
      </c>
      <c r="M1048" s="283"/>
      <c r="N1048" s="282">
        <v>2</v>
      </c>
      <c r="O1048" s="284" t="s">
        <v>4787</v>
      </c>
      <c r="P1048" s="280">
        <v>4345.45</v>
      </c>
      <c r="Q1048" s="281"/>
      <c r="R1048" s="272"/>
      <c r="S1048" s="272"/>
      <c r="T1048" s="272"/>
      <c r="U1048" s="272"/>
      <c r="V1048" s="272"/>
      <c r="W1048" s="272"/>
      <c r="X1048" s="272"/>
      <c r="Y1048" s="272"/>
      <c r="Z1048" s="272"/>
      <c r="AA1048" s="272"/>
    </row>
    <row r="1049" spans="1:27">
      <c r="A1049" s="273">
        <v>7</v>
      </c>
      <c r="B1049" s="274" t="s">
        <v>6034</v>
      </c>
      <c r="C1049" s="289">
        <v>45464</v>
      </c>
      <c r="D1049" s="274" t="s">
        <v>4714</v>
      </c>
      <c r="E1049" s="268" t="s">
        <v>2909</v>
      </c>
      <c r="F1049" s="268" t="s">
        <v>4715</v>
      </c>
      <c r="G1049" s="268" t="s">
        <v>4716</v>
      </c>
      <c r="H1049" s="268" t="str">
        <f t="shared" si="6"/>
        <v>MARTA SANDOVAL PUIG</v>
      </c>
      <c r="I1049" s="268" t="s">
        <v>5055</v>
      </c>
      <c r="J1049" s="278" t="s">
        <v>4806</v>
      </c>
      <c r="K1049" s="268" t="s">
        <v>6178</v>
      </c>
      <c r="L1049" s="287">
        <v>45498</v>
      </c>
      <c r="M1049" s="283"/>
      <c r="N1049" s="282">
        <v>2</v>
      </c>
      <c r="O1049" s="311" t="s">
        <v>4720</v>
      </c>
      <c r="P1049" s="280">
        <v>3710</v>
      </c>
      <c r="Q1049" s="281">
        <v>45464</v>
      </c>
      <c r="R1049" s="272"/>
      <c r="S1049" s="272"/>
      <c r="T1049" s="272"/>
      <c r="U1049" s="272"/>
      <c r="V1049" s="272"/>
      <c r="W1049" s="272"/>
      <c r="X1049" s="272"/>
      <c r="Y1049" s="272"/>
      <c r="Z1049" s="272"/>
      <c r="AA1049" s="272"/>
    </row>
    <row r="1050" spans="1:27">
      <c r="A1050" s="273">
        <v>7</v>
      </c>
      <c r="B1050" s="274" t="s">
        <v>6034</v>
      </c>
      <c r="C1050" s="314">
        <v>45461</v>
      </c>
      <c r="D1050" s="274" t="s">
        <v>4714</v>
      </c>
      <c r="E1050" s="268" t="s">
        <v>6179</v>
      </c>
      <c r="F1050" s="272" t="s">
        <v>4715</v>
      </c>
      <c r="G1050" s="268" t="s">
        <v>4716</v>
      </c>
      <c r="H1050" s="268" t="str">
        <f t="shared" si="6"/>
        <v>CARLOS DURÁN DÍEZ</v>
      </c>
      <c r="I1050" s="268" t="s">
        <v>5809</v>
      </c>
      <c r="J1050" s="272" t="s">
        <v>4747</v>
      </c>
      <c r="K1050" s="268" t="s">
        <v>6180</v>
      </c>
      <c r="L1050" s="276">
        <v>45498</v>
      </c>
      <c r="M1050" s="283"/>
      <c r="N1050" s="282">
        <v>2</v>
      </c>
      <c r="O1050" s="284" t="s">
        <v>4787</v>
      </c>
      <c r="P1050" s="280">
        <v>5318.18</v>
      </c>
      <c r="Q1050" s="315">
        <v>45461</v>
      </c>
      <c r="R1050" s="272"/>
      <c r="S1050" s="272"/>
      <c r="T1050" s="272"/>
      <c r="U1050" s="272"/>
      <c r="V1050" s="272"/>
      <c r="W1050" s="272"/>
      <c r="X1050" s="272"/>
      <c r="Y1050" s="272"/>
      <c r="Z1050" s="272"/>
      <c r="AA1050" s="272"/>
    </row>
    <row r="1051" spans="1:27">
      <c r="A1051" s="273">
        <v>7</v>
      </c>
      <c r="B1051" s="274" t="s">
        <v>6034</v>
      </c>
      <c r="C1051" s="314">
        <v>45461</v>
      </c>
      <c r="D1051" s="274" t="s">
        <v>4714</v>
      </c>
      <c r="E1051" s="268" t="s">
        <v>2869</v>
      </c>
      <c r="F1051" s="272" t="s">
        <v>4715</v>
      </c>
      <c r="G1051" s="268" t="s">
        <v>4716</v>
      </c>
      <c r="H1051" s="268" t="str">
        <f t="shared" si="6"/>
        <v>MARÍA AGUSTINA SEVILLA GARCÍA</v>
      </c>
      <c r="I1051" s="268" t="s">
        <v>4812</v>
      </c>
      <c r="J1051" s="272" t="s">
        <v>4736</v>
      </c>
      <c r="K1051" s="268" t="s">
        <v>6181</v>
      </c>
      <c r="L1051" s="287">
        <v>45498</v>
      </c>
      <c r="M1051" s="283"/>
      <c r="N1051" s="282">
        <v>2</v>
      </c>
      <c r="O1051" s="284" t="s">
        <v>4787</v>
      </c>
      <c r="P1051" s="280">
        <v>4180</v>
      </c>
      <c r="Q1051" s="315">
        <v>45461</v>
      </c>
      <c r="R1051" s="272"/>
      <c r="S1051" s="272"/>
      <c r="T1051" s="272"/>
      <c r="U1051" s="272"/>
      <c r="V1051" s="272"/>
      <c r="W1051" s="272"/>
      <c r="X1051" s="272"/>
      <c r="Y1051" s="272"/>
      <c r="Z1051" s="272"/>
      <c r="AA1051" s="272"/>
    </row>
    <row r="1052" spans="1:27">
      <c r="A1052" s="273">
        <v>7</v>
      </c>
      <c r="B1052" s="274" t="s">
        <v>6034</v>
      </c>
      <c r="C1052" s="314">
        <v>45447</v>
      </c>
      <c r="D1052" s="274" t="s">
        <v>4714</v>
      </c>
      <c r="E1052" s="268" t="s">
        <v>6037</v>
      </c>
      <c r="F1052" s="272" t="s">
        <v>4715</v>
      </c>
      <c r="G1052" s="268" t="s">
        <v>4716</v>
      </c>
      <c r="H1052" s="268" t="str">
        <f t="shared" si="6"/>
        <v>JUAN CARLOS DEL POZO DE DIOS</v>
      </c>
      <c r="I1052" s="268" t="s">
        <v>6182</v>
      </c>
      <c r="J1052" s="272" t="s">
        <v>4747</v>
      </c>
      <c r="K1052" s="268" t="s">
        <v>6183</v>
      </c>
      <c r="L1052" s="287">
        <v>45498</v>
      </c>
      <c r="M1052" s="283"/>
      <c r="N1052" s="282">
        <v>2</v>
      </c>
      <c r="O1052" s="284" t="s">
        <v>4720</v>
      </c>
      <c r="P1052" s="280">
        <v>3604.55</v>
      </c>
      <c r="Q1052" s="315">
        <v>45447</v>
      </c>
      <c r="R1052" s="272"/>
      <c r="S1052" s="272"/>
      <c r="T1052" s="272"/>
      <c r="U1052" s="272"/>
      <c r="V1052" s="272"/>
      <c r="W1052" s="272"/>
      <c r="X1052" s="272"/>
      <c r="Y1052" s="272"/>
      <c r="Z1052" s="272"/>
      <c r="AA1052" s="272"/>
    </row>
    <row r="1053" spans="1:27">
      <c r="A1053" s="273">
        <v>7</v>
      </c>
      <c r="B1053" s="274" t="s">
        <v>6034</v>
      </c>
      <c r="C1053" s="314">
        <v>45468</v>
      </c>
      <c r="D1053" s="274" t="s">
        <v>4714</v>
      </c>
      <c r="E1053" s="268" t="s">
        <v>3011</v>
      </c>
      <c r="F1053" s="272" t="s">
        <v>4715</v>
      </c>
      <c r="G1053" s="268" t="s">
        <v>4716</v>
      </c>
      <c r="H1053" s="268" t="str">
        <f t="shared" si="6"/>
        <v>Mª LUISA CALERO RAMOS</v>
      </c>
      <c r="I1053" s="268" t="s">
        <v>5083</v>
      </c>
      <c r="J1053" s="272" t="s">
        <v>4729</v>
      </c>
      <c r="K1053" s="268" t="s">
        <v>6184</v>
      </c>
      <c r="L1053" s="276">
        <v>45498</v>
      </c>
      <c r="M1053" s="283"/>
      <c r="N1053" s="282">
        <v>2</v>
      </c>
      <c r="O1053" s="284" t="s">
        <v>4720</v>
      </c>
      <c r="P1053" s="280">
        <v>3710</v>
      </c>
      <c r="Q1053" s="315">
        <v>45468</v>
      </c>
      <c r="R1053" s="272"/>
      <c r="S1053" s="272"/>
      <c r="T1053" s="272"/>
      <c r="U1053" s="272"/>
      <c r="V1053" s="272"/>
      <c r="W1053" s="272"/>
      <c r="X1053" s="272"/>
      <c r="Y1053" s="272"/>
      <c r="Z1053" s="272"/>
      <c r="AA1053" s="272"/>
    </row>
    <row r="1054" spans="1:27">
      <c r="A1054" s="273">
        <v>7</v>
      </c>
      <c r="B1054" s="274" t="s">
        <v>6034</v>
      </c>
      <c r="C1054" s="289">
        <v>45474</v>
      </c>
      <c r="D1054" s="274" t="s">
        <v>4714</v>
      </c>
      <c r="E1054" s="268" t="s">
        <v>4194</v>
      </c>
      <c r="F1054" s="268" t="s">
        <v>4715</v>
      </c>
      <c r="G1054" s="268" t="s">
        <v>4716</v>
      </c>
      <c r="H1054" s="268" t="str">
        <f t="shared" si="6"/>
        <v>CRISTINA MUÑOZ PINTO</v>
      </c>
      <c r="I1054" s="268" t="s">
        <v>5173</v>
      </c>
      <c r="J1054" s="278" t="s">
        <v>4736</v>
      </c>
      <c r="K1054" s="268" t="s">
        <v>6185</v>
      </c>
      <c r="L1054" s="276">
        <v>45499</v>
      </c>
      <c r="M1054" s="283"/>
      <c r="N1054" s="282">
        <v>2</v>
      </c>
      <c r="O1054" s="311" t="s">
        <v>4720</v>
      </c>
      <c r="P1054" s="280">
        <v>3710</v>
      </c>
      <c r="Q1054" s="281">
        <v>45474</v>
      </c>
      <c r="R1054" s="272"/>
      <c r="S1054" s="272"/>
      <c r="T1054" s="272"/>
      <c r="U1054" s="272"/>
      <c r="V1054" s="272"/>
      <c r="W1054" s="272"/>
      <c r="X1054" s="272"/>
      <c r="Y1054" s="272"/>
      <c r="Z1054" s="272"/>
      <c r="AA1054" s="272"/>
    </row>
    <row r="1055" spans="1:27">
      <c r="A1055" s="273">
        <v>7</v>
      </c>
      <c r="B1055" s="274" t="s">
        <v>6034</v>
      </c>
      <c r="C1055" s="289">
        <v>45468</v>
      </c>
      <c r="D1055" s="274" t="s">
        <v>4714</v>
      </c>
      <c r="E1055" s="268" t="s">
        <v>2880</v>
      </c>
      <c r="F1055" s="268" t="s">
        <v>4715</v>
      </c>
      <c r="G1055" s="268" t="s">
        <v>4716</v>
      </c>
      <c r="H1055" s="268" t="str">
        <f t="shared" si="6"/>
        <v>MARÍA GARROTE GARROTE</v>
      </c>
      <c r="I1055" s="268" t="s">
        <v>4721</v>
      </c>
      <c r="J1055" s="272" t="s">
        <v>4718</v>
      </c>
      <c r="K1055" s="268" t="s">
        <v>6186</v>
      </c>
      <c r="L1055" s="276">
        <v>45499</v>
      </c>
      <c r="M1055" s="283"/>
      <c r="N1055" s="282">
        <v>1</v>
      </c>
      <c r="O1055" s="284" t="s">
        <v>4723</v>
      </c>
      <c r="P1055" s="280">
        <v>1732.73</v>
      </c>
      <c r="Q1055" s="281">
        <v>45468</v>
      </c>
      <c r="R1055" s="272"/>
      <c r="S1055" s="272"/>
      <c r="T1055" s="272"/>
      <c r="U1055" s="272"/>
      <c r="V1055" s="272"/>
      <c r="W1055" s="272"/>
      <c r="X1055" s="272"/>
      <c r="Y1055" s="272"/>
      <c r="Z1055" s="272"/>
      <c r="AA1055" s="272"/>
    </row>
    <row r="1056" spans="1:27">
      <c r="A1056" s="273">
        <v>7</v>
      </c>
      <c r="B1056" s="274" t="s">
        <v>6034</v>
      </c>
      <c r="C1056" s="314">
        <v>45475</v>
      </c>
      <c r="D1056" s="274" t="s">
        <v>4714</v>
      </c>
      <c r="E1056" s="268" t="s">
        <v>6091</v>
      </c>
      <c r="F1056" s="272" t="s">
        <v>4715</v>
      </c>
      <c r="G1056" s="268" t="s">
        <v>4716</v>
      </c>
      <c r="H1056" s="268" t="str">
        <f t="shared" si="6"/>
        <v>FERNANDO SALAZAR BARCELONA</v>
      </c>
      <c r="I1056" s="268" t="s">
        <v>4776</v>
      </c>
      <c r="J1056" s="272" t="s">
        <v>4822</v>
      </c>
      <c r="K1056" s="268" t="s">
        <v>6187</v>
      </c>
      <c r="L1056" s="276">
        <v>45499</v>
      </c>
      <c r="M1056" s="283"/>
      <c r="N1056" s="282">
        <v>2</v>
      </c>
      <c r="O1056" s="284" t="s">
        <v>4740</v>
      </c>
      <c r="P1056" s="280">
        <v>4000</v>
      </c>
      <c r="Q1056" s="315">
        <v>45475</v>
      </c>
      <c r="R1056" s="272"/>
      <c r="S1056" s="272"/>
      <c r="T1056" s="272"/>
      <c r="U1056" s="272"/>
      <c r="V1056" s="272"/>
      <c r="W1056" s="272"/>
      <c r="X1056" s="272"/>
      <c r="Y1056" s="272"/>
      <c r="Z1056" s="272"/>
      <c r="AA1056" s="272"/>
    </row>
    <row r="1057" spans="1:27">
      <c r="A1057" s="273">
        <v>7</v>
      </c>
      <c r="B1057" s="274" t="s">
        <v>6034</v>
      </c>
      <c r="C1057" s="314">
        <v>45354</v>
      </c>
      <c r="D1057" s="274" t="s">
        <v>4714</v>
      </c>
      <c r="E1057" s="268" t="s">
        <v>3043</v>
      </c>
      <c r="F1057" s="272" t="s">
        <v>4715</v>
      </c>
      <c r="G1057" s="268" t="s">
        <v>4716</v>
      </c>
      <c r="H1057" s="268" t="str">
        <f t="shared" si="6"/>
        <v>ANTONIO BUENO RÍOS</v>
      </c>
      <c r="I1057" s="268" t="s">
        <v>4793</v>
      </c>
      <c r="J1057" s="272" t="s">
        <v>4822</v>
      </c>
      <c r="K1057" s="268" t="s">
        <v>6188</v>
      </c>
      <c r="L1057" s="276">
        <v>45499</v>
      </c>
      <c r="M1057" s="283"/>
      <c r="N1057" s="282">
        <v>2</v>
      </c>
      <c r="O1057" s="284" t="s">
        <v>4723</v>
      </c>
      <c r="P1057" s="280">
        <v>2502.8200000000002</v>
      </c>
      <c r="Q1057" s="315">
        <v>45354</v>
      </c>
      <c r="R1057" s="272"/>
      <c r="S1057" s="272"/>
      <c r="T1057" s="272"/>
      <c r="U1057" s="272"/>
      <c r="V1057" s="272"/>
      <c r="W1057" s="272"/>
      <c r="X1057" s="272"/>
      <c r="Y1057" s="272"/>
      <c r="Z1057" s="272"/>
      <c r="AA1057" s="272"/>
    </row>
    <row r="1058" spans="1:27">
      <c r="A1058" s="273">
        <v>7</v>
      </c>
      <c r="B1058" s="274" t="s">
        <v>6034</v>
      </c>
      <c r="C1058" s="314">
        <v>45452</v>
      </c>
      <c r="D1058" s="274" t="s">
        <v>4714</v>
      </c>
      <c r="E1058" s="268" t="s">
        <v>3043</v>
      </c>
      <c r="F1058" s="272" t="s">
        <v>4715</v>
      </c>
      <c r="G1058" s="268" t="s">
        <v>4716</v>
      </c>
      <c r="H1058" s="268" t="str">
        <f t="shared" si="6"/>
        <v>Alejandro Harguindey Antoli-Candela</v>
      </c>
      <c r="I1058" s="268" t="s">
        <v>4802</v>
      </c>
      <c r="J1058" s="272" t="s">
        <v>4718</v>
      </c>
      <c r="K1058" s="268" t="s">
        <v>6189</v>
      </c>
      <c r="L1058" s="276">
        <v>45499</v>
      </c>
      <c r="M1058" s="283"/>
      <c r="N1058" s="282">
        <v>1</v>
      </c>
      <c r="O1058" s="284" t="s">
        <v>5814</v>
      </c>
      <c r="P1058" s="280">
        <v>2335.4499999999998</v>
      </c>
      <c r="Q1058" s="315">
        <v>45452</v>
      </c>
      <c r="R1058" s="272"/>
      <c r="S1058" s="272"/>
      <c r="T1058" s="272"/>
      <c r="U1058" s="272"/>
      <c r="V1058" s="272"/>
      <c r="W1058" s="272"/>
      <c r="X1058" s="272"/>
      <c r="Y1058" s="272"/>
      <c r="Z1058" s="272"/>
      <c r="AA1058" s="272"/>
    </row>
    <row r="1059" spans="1:27">
      <c r="A1059" s="273">
        <v>7</v>
      </c>
      <c r="B1059" s="274" t="s">
        <v>6034</v>
      </c>
      <c r="C1059" s="314">
        <v>45471</v>
      </c>
      <c r="D1059" s="274" t="s">
        <v>4714</v>
      </c>
      <c r="E1059" s="268" t="s">
        <v>6040</v>
      </c>
      <c r="F1059" s="272" t="s">
        <v>4715</v>
      </c>
      <c r="G1059" s="268" t="s">
        <v>4716</v>
      </c>
      <c r="H1059" s="268" t="str">
        <f t="shared" si="6"/>
        <v>JESÚS CROVATO ROJAS</v>
      </c>
      <c r="I1059" s="268" t="s">
        <v>5251</v>
      </c>
      <c r="J1059" s="272" t="s">
        <v>4729</v>
      </c>
      <c r="K1059" s="268" t="s">
        <v>6190</v>
      </c>
      <c r="L1059" s="276">
        <v>45499</v>
      </c>
      <c r="M1059" s="283"/>
      <c r="N1059" s="282">
        <v>2</v>
      </c>
      <c r="O1059" s="284" t="s">
        <v>4720</v>
      </c>
      <c r="P1059" s="280">
        <v>3710</v>
      </c>
      <c r="Q1059" s="315">
        <v>45471</v>
      </c>
      <c r="R1059" s="272"/>
      <c r="S1059" s="272"/>
      <c r="T1059" s="272"/>
      <c r="U1059" s="272"/>
      <c r="V1059" s="272"/>
      <c r="W1059" s="272"/>
      <c r="X1059" s="272"/>
      <c r="Y1059" s="272"/>
      <c r="Z1059" s="272"/>
      <c r="AA1059" s="272"/>
    </row>
    <row r="1060" spans="1:27">
      <c r="A1060" s="273">
        <v>7</v>
      </c>
      <c r="B1060" s="274" t="s">
        <v>6034</v>
      </c>
      <c r="C1060" s="314">
        <v>45462</v>
      </c>
      <c r="D1060" s="274" t="s">
        <v>4714</v>
      </c>
      <c r="E1060" s="268" t="s">
        <v>3011</v>
      </c>
      <c r="F1060" s="272" t="s">
        <v>4715</v>
      </c>
      <c r="G1060" s="268"/>
      <c r="H1060" s="268" t="str">
        <f t="shared" si="6"/>
        <v>Mª LUISA CALERO RAMOS</v>
      </c>
      <c r="I1060" s="268" t="s">
        <v>5083</v>
      </c>
      <c r="J1060" s="272" t="s">
        <v>4729</v>
      </c>
      <c r="K1060" s="268" t="s">
        <v>6191</v>
      </c>
      <c r="L1060" s="276">
        <v>45499</v>
      </c>
      <c r="M1060" s="283"/>
      <c r="N1060" s="282">
        <v>2</v>
      </c>
      <c r="O1060" s="284" t="s">
        <v>4720</v>
      </c>
      <c r="P1060" s="280">
        <v>3524.5</v>
      </c>
      <c r="Q1060" s="315">
        <v>45462</v>
      </c>
      <c r="R1060" s="272"/>
      <c r="S1060" s="272"/>
      <c r="T1060" s="272"/>
      <c r="U1060" s="272"/>
      <c r="V1060" s="272"/>
      <c r="W1060" s="272"/>
      <c r="X1060" s="272"/>
      <c r="Y1060" s="272"/>
      <c r="Z1060" s="272"/>
      <c r="AA1060" s="272"/>
    </row>
    <row r="1061" spans="1:27">
      <c r="A1061" s="273">
        <v>7</v>
      </c>
      <c r="B1061" s="274" t="s">
        <v>6034</v>
      </c>
      <c r="C1061" s="314"/>
      <c r="D1061" s="274" t="s">
        <v>4714</v>
      </c>
      <c r="E1061" s="268" t="s">
        <v>3011</v>
      </c>
      <c r="F1061" s="272" t="s">
        <v>4715</v>
      </c>
      <c r="G1061" s="268" t="s">
        <v>4716</v>
      </c>
      <c r="H1061" s="268" t="str">
        <f t="shared" si="6"/>
        <v>LUCIA PRIETO SÁNCHEZ DE LA PUERTA</v>
      </c>
      <c r="I1061" s="268" t="s">
        <v>4731</v>
      </c>
      <c r="J1061" s="272" t="s">
        <v>4729</v>
      </c>
      <c r="K1061" s="268" t="s">
        <v>6192</v>
      </c>
      <c r="L1061" s="276">
        <v>45499</v>
      </c>
      <c r="M1061" s="283"/>
      <c r="N1061" s="282">
        <v>2</v>
      </c>
      <c r="O1061" s="284" t="s">
        <v>4720</v>
      </c>
      <c r="P1061" s="280">
        <v>3710</v>
      </c>
      <c r="Q1061" s="315"/>
      <c r="R1061" s="272"/>
      <c r="S1061" s="272"/>
      <c r="T1061" s="272"/>
      <c r="U1061" s="272"/>
      <c r="V1061" s="272"/>
      <c r="W1061" s="272"/>
      <c r="X1061" s="272"/>
      <c r="Y1061" s="272"/>
      <c r="Z1061" s="272"/>
      <c r="AA1061" s="272"/>
    </row>
    <row r="1062" spans="1:27">
      <c r="A1062" s="273">
        <v>7</v>
      </c>
      <c r="B1062" s="274" t="s">
        <v>6034</v>
      </c>
      <c r="C1062" s="314">
        <v>45457</v>
      </c>
      <c r="D1062" s="274" t="s">
        <v>4714</v>
      </c>
      <c r="E1062" s="268" t="s">
        <v>3011</v>
      </c>
      <c r="F1062" s="272" t="s">
        <v>4715</v>
      </c>
      <c r="G1062" s="268"/>
      <c r="H1062" s="268" t="str">
        <f t="shared" si="6"/>
        <v>FRANCISCO ALÉS CONEJO</v>
      </c>
      <c r="I1062" s="268" t="s">
        <v>5271</v>
      </c>
      <c r="J1062" s="272" t="s">
        <v>4729</v>
      </c>
      <c r="K1062" s="268" t="s">
        <v>6193</v>
      </c>
      <c r="L1062" s="276">
        <v>45499</v>
      </c>
      <c r="M1062" s="283"/>
      <c r="N1062" s="282">
        <v>2</v>
      </c>
      <c r="O1062" s="284" t="s">
        <v>5814</v>
      </c>
      <c r="P1062" s="280">
        <v>3800</v>
      </c>
      <c r="Q1062" s="315">
        <v>45457</v>
      </c>
      <c r="R1062" s="272"/>
      <c r="S1062" s="272"/>
      <c r="T1062" s="272"/>
      <c r="U1062" s="272"/>
      <c r="V1062" s="272"/>
      <c r="W1062" s="272"/>
      <c r="X1062" s="272"/>
      <c r="Y1062" s="272"/>
      <c r="Z1062" s="272"/>
      <c r="AA1062" s="272"/>
    </row>
    <row r="1063" spans="1:27">
      <c r="A1063" s="273">
        <v>7</v>
      </c>
      <c r="B1063" s="274" t="s">
        <v>6034</v>
      </c>
      <c r="C1063" s="314"/>
      <c r="D1063" s="274" t="s">
        <v>4714</v>
      </c>
      <c r="E1063" s="268" t="s">
        <v>2886</v>
      </c>
      <c r="F1063" s="272" t="s">
        <v>4715</v>
      </c>
      <c r="G1063" s="268" t="s">
        <v>4716</v>
      </c>
      <c r="H1063" s="268" t="str">
        <f t="shared" si="6"/>
        <v>MARÍA GARROTE GARROTE</v>
      </c>
      <c r="I1063" s="268" t="s">
        <v>4721</v>
      </c>
      <c r="J1063" s="272" t="s">
        <v>4718</v>
      </c>
      <c r="K1063" s="268" t="s">
        <v>6194</v>
      </c>
      <c r="L1063" s="276">
        <v>45499</v>
      </c>
      <c r="M1063" s="283"/>
      <c r="N1063" s="282">
        <v>2</v>
      </c>
      <c r="O1063" s="284" t="s">
        <v>4740</v>
      </c>
      <c r="P1063" s="280">
        <v>3800</v>
      </c>
      <c r="Q1063" s="315"/>
      <c r="R1063" s="272"/>
      <c r="S1063" s="272"/>
      <c r="T1063" s="272"/>
      <c r="U1063" s="272"/>
      <c r="V1063" s="272"/>
      <c r="W1063" s="272"/>
      <c r="X1063" s="272"/>
      <c r="Y1063" s="272"/>
      <c r="Z1063" s="272"/>
      <c r="AA1063" s="272"/>
    </row>
    <row r="1064" spans="1:27">
      <c r="A1064" s="273">
        <v>7</v>
      </c>
      <c r="B1064" s="274" t="s">
        <v>6034</v>
      </c>
      <c r="C1064" s="289">
        <v>45481</v>
      </c>
      <c r="D1064" s="274" t="s">
        <v>4714</v>
      </c>
      <c r="E1064" s="268" t="s">
        <v>4194</v>
      </c>
      <c r="F1064" s="268" t="s">
        <v>4715</v>
      </c>
      <c r="G1064" s="268" t="s">
        <v>4716</v>
      </c>
      <c r="H1064" s="268" t="str">
        <f t="shared" si="6"/>
        <v>NO REUERDA ORL</v>
      </c>
      <c r="I1064" s="268" t="s">
        <v>4743</v>
      </c>
      <c r="J1064" s="278" t="s">
        <v>4736</v>
      </c>
      <c r="K1064" s="268" t="s">
        <v>6195</v>
      </c>
      <c r="L1064" s="276">
        <v>45502</v>
      </c>
      <c r="M1064" s="283"/>
      <c r="N1064" s="282">
        <v>2</v>
      </c>
      <c r="O1064" s="284" t="s">
        <v>4787</v>
      </c>
      <c r="P1064" s="280">
        <v>4400</v>
      </c>
      <c r="Q1064" s="281">
        <v>45481</v>
      </c>
      <c r="R1064" s="272"/>
      <c r="S1064" s="272"/>
      <c r="T1064" s="272"/>
      <c r="U1064" s="272"/>
      <c r="V1064" s="272"/>
      <c r="W1064" s="272"/>
      <c r="X1064" s="272"/>
      <c r="Y1064" s="272"/>
      <c r="Z1064" s="272"/>
      <c r="AA1064" s="272"/>
    </row>
    <row r="1065" spans="1:27">
      <c r="A1065" s="273">
        <v>7</v>
      </c>
      <c r="B1065" s="274" t="s">
        <v>6034</v>
      </c>
      <c r="C1065" s="289">
        <v>45470</v>
      </c>
      <c r="D1065" s="274" t="s">
        <v>4714</v>
      </c>
      <c r="E1065" s="268" t="s">
        <v>6089</v>
      </c>
      <c r="F1065" s="268" t="s">
        <v>4715</v>
      </c>
      <c r="G1065" s="268" t="s">
        <v>4716</v>
      </c>
      <c r="H1065" s="268" t="str">
        <f t="shared" si="6"/>
        <v>MANUEL CAÑETE DOMÍNGUEZ</v>
      </c>
      <c r="I1065" s="268" t="s">
        <v>5654</v>
      </c>
      <c r="J1065" s="272" t="s">
        <v>4822</v>
      </c>
      <c r="K1065" s="268" t="s">
        <v>6196</v>
      </c>
      <c r="L1065" s="276">
        <v>45502</v>
      </c>
      <c r="M1065" s="283"/>
      <c r="N1065" s="282">
        <v>2</v>
      </c>
      <c r="O1065" s="284" t="s">
        <v>4740</v>
      </c>
      <c r="P1065" s="280">
        <v>3532.73</v>
      </c>
      <c r="Q1065" s="281">
        <v>45470</v>
      </c>
      <c r="R1065" s="272"/>
      <c r="S1065" s="272"/>
      <c r="T1065" s="272"/>
      <c r="U1065" s="272"/>
      <c r="V1065" s="272"/>
      <c r="W1065" s="272"/>
      <c r="X1065" s="272"/>
      <c r="Y1065" s="272"/>
      <c r="Z1065" s="272"/>
      <c r="AA1065" s="272"/>
    </row>
    <row r="1066" spans="1:27">
      <c r="A1066" s="273">
        <v>7</v>
      </c>
      <c r="B1066" s="274" t="s">
        <v>6034</v>
      </c>
      <c r="C1066" s="314">
        <v>45463</v>
      </c>
      <c r="D1066" s="274" t="s">
        <v>4714</v>
      </c>
      <c r="E1066" s="268" t="s">
        <v>2916</v>
      </c>
      <c r="F1066" s="272" t="s">
        <v>4715</v>
      </c>
      <c r="G1066" s="268" t="s">
        <v>4716</v>
      </c>
      <c r="H1066" s="268" t="str">
        <f t="shared" si="6"/>
        <v>JESUS-MARIA GRASA PÉREZ</v>
      </c>
      <c r="I1066" s="268" t="s">
        <v>4865</v>
      </c>
      <c r="J1066" s="272" t="s">
        <v>4806</v>
      </c>
      <c r="K1066" s="268" t="s">
        <v>6197</v>
      </c>
      <c r="L1066" s="276">
        <v>45502</v>
      </c>
      <c r="M1066" s="283"/>
      <c r="N1066" s="282">
        <v>2</v>
      </c>
      <c r="O1066" s="284" t="s">
        <v>5814</v>
      </c>
      <c r="P1066" s="280">
        <v>4000</v>
      </c>
      <c r="Q1066" s="315">
        <v>45463</v>
      </c>
      <c r="R1066" s="272"/>
      <c r="S1066" s="272"/>
      <c r="T1066" s="272"/>
      <c r="U1066" s="272"/>
      <c r="V1066" s="272"/>
      <c r="W1066" s="272"/>
      <c r="X1066" s="272"/>
      <c r="Y1066" s="272"/>
      <c r="Z1066" s="272"/>
      <c r="AA1066" s="272"/>
    </row>
    <row r="1067" spans="1:27">
      <c r="A1067" s="273">
        <v>7</v>
      </c>
      <c r="B1067" s="274" t="s">
        <v>6034</v>
      </c>
      <c r="C1067" s="314">
        <v>45475</v>
      </c>
      <c r="D1067" s="285" t="s">
        <v>4714</v>
      </c>
      <c r="E1067" s="268" t="s">
        <v>2893</v>
      </c>
      <c r="F1067" s="272" t="s">
        <v>4715</v>
      </c>
      <c r="G1067" s="268" t="s">
        <v>4716</v>
      </c>
      <c r="H1067" s="268" t="str">
        <f t="shared" si="6"/>
        <v>MAR LASSO DE LA VEGA ZAMORA</v>
      </c>
      <c r="I1067" s="268" t="s">
        <v>5183</v>
      </c>
      <c r="J1067" s="272" t="s">
        <v>4718</v>
      </c>
      <c r="K1067" s="268" t="s">
        <v>6198</v>
      </c>
      <c r="L1067" s="276">
        <v>45502</v>
      </c>
      <c r="M1067" s="283"/>
      <c r="N1067" s="282">
        <v>2</v>
      </c>
      <c r="O1067" s="284" t="s">
        <v>4787</v>
      </c>
      <c r="P1067" s="280">
        <v>4400</v>
      </c>
      <c r="Q1067" s="315">
        <v>45475</v>
      </c>
      <c r="R1067" s="272"/>
      <c r="S1067" s="272"/>
      <c r="T1067" s="272"/>
      <c r="U1067" s="272"/>
      <c r="V1067" s="272"/>
      <c r="W1067" s="272"/>
      <c r="X1067" s="272"/>
      <c r="Y1067" s="272"/>
      <c r="Z1067" s="272"/>
      <c r="AA1067" s="272"/>
    </row>
    <row r="1068" spans="1:27">
      <c r="A1068" s="273">
        <v>7</v>
      </c>
      <c r="B1068" s="274" t="s">
        <v>6034</v>
      </c>
      <c r="C1068" s="314">
        <v>45354</v>
      </c>
      <c r="D1068" s="274" t="s">
        <v>4714</v>
      </c>
      <c r="E1068" s="268" t="s">
        <v>3043</v>
      </c>
      <c r="F1068" s="272" t="s">
        <v>4724</v>
      </c>
      <c r="G1068" s="268" t="s">
        <v>4725</v>
      </c>
      <c r="H1068" s="268" t="str">
        <f t="shared" si="6"/>
        <v>ANTONIO BUENO RÍOS</v>
      </c>
      <c r="I1068" s="268" t="s">
        <v>4793</v>
      </c>
      <c r="J1068" s="272" t="s">
        <v>4822</v>
      </c>
      <c r="K1068" s="268" t="s">
        <v>6199</v>
      </c>
      <c r="L1068" s="276">
        <v>45502</v>
      </c>
      <c r="M1068" s="283"/>
      <c r="N1068" s="282">
        <v>2</v>
      </c>
      <c r="O1068" s="284" t="s">
        <v>4723</v>
      </c>
      <c r="P1068" s="280">
        <v>2502.8200000000002</v>
      </c>
      <c r="Q1068" s="315">
        <v>45354</v>
      </c>
      <c r="R1068" s="272"/>
      <c r="S1068" s="272"/>
      <c r="T1068" s="272"/>
      <c r="U1068" s="272"/>
      <c r="V1068" s="272"/>
      <c r="W1068" s="272"/>
      <c r="X1068" s="272"/>
      <c r="Y1068" s="272"/>
      <c r="Z1068" s="272"/>
      <c r="AA1068" s="272"/>
    </row>
    <row r="1069" spans="1:27">
      <c r="A1069" s="273">
        <v>7</v>
      </c>
      <c r="B1069" s="274" t="s">
        <v>6034</v>
      </c>
      <c r="C1069" s="314">
        <v>45483</v>
      </c>
      <c r="D1069" s="274" t="s">
        <v>4714</v>
      </c>
      <c r="E1069" s="268" t="s">
        <v>4837</v>
      </c>
      <c r="F1069" s="272" t="s">
        <v>4715</v>
      </c>
      <c r="G1069" s="268" t="s">
        <v>4716</v>
      </c>
      <c r="H1069" s="268" t="str">
        <f t="shared" si="6"/>
        <v>JULIO LÓPEZ MOYA</v>
      </c>
      <c r="I1069" s="268" t="s">
        <v>4778</v>
      </c>
      <c r="J1069" s="272" t="s">
        <v>4718</v>
      </c>
      <c r="K1069" s="268" t="s">
        <v>6200</v>
      </c>
      <c r="L1069" s="287">
        <v>45502</v>
      </c>
      <c r="M1069" s="283"/>
      <c r="N1069" s="282">
        <v>1</v>
      </c>
      <c r="O1069" s="284" t="s">
        <v>4723</v>
      </c>
      <c r="P1069" s="280">
        <v>1732.73</v>
      </c>
      <c r="Q1069" s="315">
        <v>45483</v>
      </c>
      <c r="R1069" s="272"/>
      <c r="S1069" s="272"/>
      <c r="T1069" s="272"/>
      <c r="U1069" s="272"/>
      <c r="V1069" s="272"/>
      <c r="W1069" s="272"/>
      <c r="X1069" s="272"/>
      <c r="Y1069" s="272"/>
      <c r="Z1069" s="272"/>
      <c r="AA1069" s="272"/>
    </row>
    <row r="1070" spans="1:27">
      <c r="A1070" s="273">
        <v>7</v>
      </c>
      <c r="B1070" s="274" t="s">
        <v>6034</v>
      </c>
      <c r="C1070" s="314">
        <v>45477</v>
      </c>
      <c r="D1070" s="274" t="s">
        <v>4714</v>
      </c>
      <c r="E1070" s="268" t="s">
        <v>2929</v>
      </c>
      <c r="F1070" s="272" t="s">
        <v>4715</v>
      </c>
      <c r="G1070" s="268" t="s">
        <v>4716</v>
      </c>
      <c r="H1070" s="268" t="str">
        <f t="shared" si="6"/>
        <v>GARCÍA DOMÍNGUEZ</v>
      </c>
      <c r="I1070" s="268" t="s">
        <v>4862</v>
      </c>
      <c r="J1070" s="272" t="s">
        <v>4718</v>
      </c>
      <c r="K1070" s="268" t="s">
        <v>6201</v>
      </c>
      <c r="L1070" s="276">
        <v>45502</v>
      </c>
      <c r="M1070" s="283"/>
      <c r="N1070" s="282">
        <v>2</v>
      </c>
      <c r="O1070" s="284" t="s">
        <v>4720</v>
      </c>
      <c r="P1070" s="280">
        <v>3710</v>
      </c>
      <c r="Q1070" s="315">
        <v>45477</v>
      </c>
      <c r="R1070" s="272"/>
      <c r="S1070" s="272"/>
      <c r="T1070" s="272"/>
      <c r="U1070" s="272"/>
      <c r="V1070" s="272"/>
      <c r="W1070" s="272"/>
      <c r="X1070" s="272"/>
      <c r="Y1070" s="272"/>
      <c r="Z1070" s="272"/>
      <c r="AA1070" s="272"/>
    </row>
    <row r="1071" spans="1:27">
      <c r="A1071" s="273">
        <v>7</v>
      </c>
      <c r="B1071" s="274" t="s">
        <v>6034</v>
      </c>
      <c r="C1071" s="314">
        <v>45468</v>
      </c>
      <c r="D1071" s="274" t="s">
        <v>4714</v>
      </c>
      <c r="E1071" s="268" t="s">
        <v>2869</v>
      </c>
      <c r="F1071" s="272" t="s">
        <v>4715</v>
      </c>
      <c r="G1071" s="268" t="s">
        <v>4716</v>
      </c>
      <c r="H1071" s="268" t="str">
        <f t="shared" si="6"/>
        <v>ENRIQUE LÓPEZ MESEGUER</v>
      </c>
      <c r="I1071" s="268" t="s">
        <v>5330</v>
      </c>
      <c r="J1071" s="272" t="s">
        <v>4736</v>
      </c>
      <c r="K1071" s="268" t="s">
        <v>6202</v>
      </c>
      <c r="L1071" s="287">
        <v>45502</v>
      </c>
      <c r="M1071" s="283"/>
      <c r="N1071" s="282">
        <v>2</v>
      </c>
      <c r="O1071" s="284" t="s">
        <v>4720</v>
      </c>
      <c r="P1071" s="280">
        <v>3710</v>
      </c>
      <c r="Q1071" s="315">
        <v>45468</v>
      </c>
      <c r="R1071" s="272"/>
      <c r="S1071" s="272"/>
      <c r="T1071" s="272"/>
      <c r="U1071" s="272"/>
      <c r="V1071" s="272"/>
      <c r="W1071" s="272"/>
      <c r="X1071" s="272"/>
      <c r="Y1071" s="272"/>
      <c r="Z1071" s="272"/>
      <c r="AA1071" s="272"/>
    </row>
    <row r="1072" spans="1:27">
      <c r="A1072" s="273">
        <v>7</v>
      </c>
      <c r="B1072" s="274" t="s">
        <v>6034</v>
      </c>
      <c r="C1072" s="314">
        <v>45474</v>
      </c>
      <c r="D1072" s="274" t="s">
        <v>4714</v>
      </c>
      <c r="E1072" s="268" t="s">
        <v>2900</v>
      </c>
      <c r="F1072" s="272" t="s">
        <v>4715</v>
      </c>
      <c r="G1072" s="268" t="s">
        <v>4716</v>
      </c>
      <c r="H1072" s="268" t="str">
        <f t="shared" si="6"/>
        <v>MARÍA REY MARCOS</v>
      </c>
      <c r="I1072" s="268" t="s">
        <v>4952</v>
      </c>
      <c r="J1072" s="272" t="s">
        <v>4790</v>
      </c>
      <c r="K1072" s="268" t="s">
        <v>6203</v>
      </c>
      <c r="L1072" s="287">
        <v>45502</v>
      </c>
      <c r="M1072" s="283"/>
      <c r="N1072" s="282">
        <v>2</v>
      </c>
      <c r="O1072" s="284" t="s">
        <v>4723</v>
      </c>
      <c r="P1072" s="280">
        <v>2888.12</v>
      </c>
      <c r="Q1072" s="315">
        <v>45474</v>
      </c>
      <c r="R1072" s="272"/>
      <c r="S1072" s="272"/>
      <c r="T1072" s="272"/>
      <c r="U1072" s="272"/>
      <c r="V1072" s="272"/>
      <c r="W1072" s="272"/>
      <c r="X1072" s="272"/>
      <c r="Y1072" s="272"/>
      <c r="Z1072" s="272"/>
      <c r="AA1072" s="272"/>
    </row>
    <row r="1073" spans="1:27">
      <c r="A1073" s="273">
        <v>7</v>
      </c>
      <c r="B1073" s="274" t="s">
        <v>6034</v>
      </c>
      <c r="C1073" s="314">
        <v>45468</v>
      </c>
      <c r="D1073" s="274" t="s">
        <v>4714</v>
      </c>
      <c r="E1073" s="268" t="s">
        <v>2886</v>
      </c>
      <c r="F1073" s="272" t="s">
        <v>4715</v>
      </c>
      <c r="G1073" s="268" t="s">
        <v>4716</v>
      </c>
      <c r="H1073" s="268" t="str">
        <f t="shared" si="6"/>
        <v>NATALY MONTAÑO RUEDA</v>
      </c>
      <c r="I1073" s="268" t="s">
        <v>6204</v>
      </c>
      <c r="J1073" s="272" t="s">
        <v>4718</v>
      </c>
      <c r="K1073" s="268" t="s">
        <v>6205</v>
      </c>
      <c r="L1073" s="276">
        <v>45502</v>
      </c>
      <c r="M1073" s="283"/>
      <c r="N1073" s="282">
        <v>2</v>
      </c>
      <c r="O1073" s="284" t="s">
        <v>4787</v>
      </c>
      <c r="P1073" s="280">
        <v>4400</v>
      </c>
      <c r="Q1073" s="315">
        <v>45468</v>
      </c>
      <c r="R1073" s="272"/>
      <c r="S1073" s="272"/>
      <c r="T1073" s="272"/>
      <c r="U1073" s="272"/>
      <c r="V1073" s="272"/>
      <c r="W1073" s="272"/>
      <c r="X1073" s="272"/>
      <c r="Y1073" s="272"/>
      <c r="Z1073" s="272"/>
      <c r="AA1073" s="272"/>
    </row>
    <row r="1074" spans="1:27">
      <c r="A1074" s="273">
        <v>7</v>
      </c>
      <c r="B1074" s="274" t="s">
        <v>6034</v>
      </c>
      <c r="C1074" s="289"/>
      <c r="D1074" s="274" t="s">
        <v>4714</v>
      </c>
      <c r="E1074" s="268" t="s">
        <v>2909</v>
      </c>
      <c r="F1074" s="268" t="s">
        <v>4715</v>
      </c>
      <c r="G1074" s="268" t="s">
        <v>4716</v>
      </c>
      <c r="H1074" s="268" t="str">
        <f t="shared" si="6"/>
        <v>JESUS-MARIA GRASA PÉREZ</v>
      </c>
      <c r="I1074" s="268" t="s">
        <v>4865</v>
      </c>
      <c r="J1074" s="278" t="s">
        <v>4806</v>
      </c>
      <c r="K1074" s="268" t="s">
        <v>6206</v>
      </c>
      <c r="L1074" s="276">
        <v>45503</v>
      </c>
      <c r="M1074" s="283"/>
      <c r="N1074" s="282">
        <v>2</v>
      </c>
      <c r="O1074" s="284" t="s">
        <v>5814</v>
      </c>
      <c r="P1074" s="280">
        <v>4000</v>
      </c>
      <c r="Q1074" s="281"/>
      <c r="R1074" s="272"/>
      <c r="S1074" s="272"/>
      <c r="T1074" s="272"/>
      <c r="U1074" s="272"/>
      <c r="V1074" s="272"/>
      <c r="W1074" s="272"/>
      <c r="X1074" s="272"/>
      <c r="Y1074" s="272"/>
      <c r="Z1074" s="272"/>
      <c r="AA1074" s="272"/>
    </row>
    <row r="1075" spans="1:27">
      <c r="A1075" s="273">
        <v>7</v>
      </c>
      <c r="B1075" s="274" t="s">
        <v>6034</v>
      </c>
      <c r="C1075" s="314">
        <v>45463</v>
      </c>
      <c r="D1075" s="274" t="s">
        <v>4714</v>
      </c>
      <c r="E1075" s="268" t="s">
        <v>2916</v>
      </c>
      <c r="F1075" s="272" t="s">
        <v>4715</v>
      </c>
      <c r="G1075" s="268" t="s">
        <v>4716</v>
      </c>
      <c r="H1075" s="268" t="str">
        <f t="shared" si="6"/>
        <v>JESUS-MARIA GRASA PÉREZ</v>
      </c>
      <c r="I1075" s="268" t="s">
        <v>4865</v>
      </c>
      <c r="J1075" s="272" t="s">
        <v>4806</v>
      </c>
      <c r="K1075" s="268" t="s">
        <v>6207</v>
      </c>
      <c r="L1075" s="276">
        <v>45503</v>
      </c>
      <c r="M1075" s="283"/>
      <c r="N1075" s="282">
        <v>1</v>
      </c>
      <c r="O1075" s="284" t="s">
        <v>4723</v>
      </c>
      <c r="P1075" s="280">
        <v>1732.73</v>
      </c>
      <c r="Q1075" s="315">
        <v>45463</v>
      </c>
      <c r="R1075" s="272"/>
      <c r="S1075" s="272"/>
      <c r="T1075" s="272"/>
      <c r="U1075" s="272"/>
      <c r="V1075" s="272"/>
      <c r="W1075" s="272"/>
      <c r="X1075" s="272"/>
      <c r="Y1075" s="272"/>
      <c r="Z1075" s="272"/>
      <c r="AA1075" s="272"/>
    </row>
    <row r="1076" spans="1:27">
      <c r="A1076" s="273">
        <v>7</v>
      </c>
      <c r="B1076" s="274" t="s">
        <v>6034</v>
      </c>
      <c r="C1076" s="314">
        <v>45469</v>
      </c>
      <c r="D1076" s="274" t="s">
        <v>4714</v>
      </c>
      <c r="E1076" s="268" t="s">
        <v>2893</v>
      </c>
      <c r="F1076" s="272" t="s">
        <v>4715</v>
      </c>
      <c r="G1076" s="268"/>
      <c r="H1076" s="268" t="str">
        <f t="shared" si="6"/>
        <v>MARÍA TERESA HERRERA MERA</v>
      </c>
      <c r="I1076" s="268" t="s">
        <v>4838</v>
      </c>
      <c r="J1076" s="272" t="s">
        <v>4718</v>
      </c>
      <c r="K1076" s="268" t="s">
        <v>6208</v>
      </c>
      <c r="L1076" s="276">
        <v>45503</v>
      </c>
      <c r="M1076" s="283"/>
      <c r="N1076" s="282">
        <v>2</v>
      </c>
      <c r="O1076" s="284" t="s">
        <v>4723</v>
      </c>
      <c r="P1076" s="280">
        <v>2888.18</v>
      </c>
      <c r="Q1076" s="315">
        <v>45469</v>
      </c>
      <c r="R1076" s="272"/>
      <c r="S1076" s="272"/>
      <c r="T1076" s="272"/>
      <c r="U1076" s="272"/>
      <c r="V1076" s="272"/>
      <c r="W1076" s="272"/>
      <c r="X1076" s="272"/>
      <c r="Y1076" s="272"/>
      <c r="Z1076" s="272"/>
      <c r="AA1076" s="272"/>
    </row>
    <row r="1077" spans="1:27">
      <c r="A1077" s="273">
        <v>7</v>
      </c>
      <c r="B1077" s="274" t="s">
        <v>6034</v>
      </c>
      <c r="C1077" s="314"/>
      <c r="D1077" s="274" t="s">
        <v>4714</v>
      </c>
      <c r="E1077" s="268" t="s">
        <v>3861</v>
      </c>
      <c r="F1077" s="272" t="s">
        <v>4715</v>
      </c>
      <c r="G1077" s="268" t="s">
        <v>4716</v>
      </c>
      <c r="H1077" s="268" t="str">
        <f t="shared" si="6"/>
        <v>JOSÉ GUSTAVO BARROSO BRAOJOS</v>
      </c>
      <c r="I1077" s="268" t="s">
        <v>4834</v>
      </c>
      <c r="J1077" s="272" t="s">
        <v>4718</v>
      </c>
      <c r="K1077" s="268" t="s">
        <v>6209</v>
      </c>
      <c r="L1077" s="276">
        <v>45503</v>
      </c>
      <c r="M1077" s="283"/>
      <c r="N1077" s="282">
        <v>2</v>
      </c>
      <c r="O1077" s="284" t="s">
        <v>5814</v>
      </c>
      <c r="P1077" s="280">
        <v>3800</v>
      </c>
      <c r="Q1077" s="315"/>
      <c r="R1077" s="272"/>
      <c r="S1077" s="272"/>
      <c r="T1077" s="272"/>
      <c r="U1077" s="272"/>
      <c r="V1077" s="272"/>
      <c r="W1077" s="272"/>
      <c r="X1077" s="272"/>
      <c r="Y1077" s="272"/>
      <c r="Z1077" s="272"/>
      <c r="AA1077" s="272"/>
    </row>
    <row r="1078" spans="1:27">
      <c r="A1078" s="273">
        <v>7</v>
      </c>
      <c r="B1078" s="274" t="s">
        <v>6034</v>
      </c>
      <c r="C1078" s="314"/>
      <c r="D1078" s="274" t="s">
        <v>4714</v>
      </c>
      <c r="E1078" s="268" t="s">
        <v>2929</v>
      </c>
      <c r="F1078" s="272" t="s">
        <v>4715</v>
      </c>
      <c r="G1078" s="268" t="s">
        <v>4715</v>
      </c>
      <c r="H1078" s="268" t="str">
        <f t="shared" si="6"/>
        <v>JOAQUÍN ALACIO CASERO</v>
      </c>
      <c r="I1078" s="268" t="s">
        <v>4925</v>
      </c>
      <c r="J1078" s="272" t="s">
        <v>4718</v>
      </c>
      <c r="K1078" s="268" t="s">
        <v>6210</v>
      </c>
      <c r="L1078" s="276">
        <v>45503</v>
      </c>
      <c r="M1078" s="283"/>
      <c r="N1078" s="282">
        <v>2</v>
      </c>
      <c r="O1078" s="284" t="s">
        <v>5814</v>
      </c>
      <c r="P1078" s="280">
        <v>4000</v>
      </c>
      <c r="Q1078" s="315"/>
      <c r="R1078" s="272"/>
      <c r="S1078" s="272"/>
      <c r="T1078" s="272"/>
      <c r="U1078" s="272"/>
      <c r="V1078" s="272"/>
      <c r="W1078" s="272"/>
      <c r="X1078" s="272"/>
      <c r="Y1078" s="272"/>
      <c r="Z1078" s="272"/>
      <c r="AA1078" s="272"/>
    </row>
    <row r="1079" spans="1:27">
      <c r="A1079" s="273">
        <v>7</v>
      </c>
      <c r="B1079" s="274" t="s">
        <v>6034</v>
      </c>
      <c r="C1079" s="314">
        <v>45455</v>
      </c>
      <c r="D1079" s="274" t="s">
        <v>4714</v>
      </c>
      <c r="E1079" s="268" t="s">
        <v>3758</v>
      </c>
      <c r="F1079" s="272" t="s">
        <v>4715</v>
      </c>
      <c r="G1079" s="268" t="s">
        <v>4716</v>
      </c>
      <c r="H1079" s="268" t="str">
        <f t="shared" si="6"/>
        <v>LAURA DEL TORO GIL</v>
      </c>
      <c r="I1079" s="268" t="s">
        <v>5839</v>
      </c>
      <c r="J1079" s="272" t="s">
        <v>4718</v>
      </c>
      <c r="K1079" s="268" t="s">
        <v>6211</v>
      </c>
      <c r="L1079" s="287">
        <v>45503</v>
      </c>
      <c r="M1079" s="283"/>
      <c r="N1079" s="282">
        <v>2</v>
      </c>
      <c r="O1079" s="284" t="s">
        <v>4720</v>
      </c>
      <c r="P1079" s="280">
        <v>3710</v>
      </c>
      <c r="Q1079" s="315">
        <v>45455</v>
      </c>
      <c r="R1079" s="272"/>
      <c r="S1079" s="272"/>
      <c r="T1079" s="272"/>
      <c r="U1079" s="272"/>
      <c r="V1079" s="272"/>
      <c r="W1079" s="272"/>
      <c r="X1079" s="272"/>
      <c r="Y1079" s="272"/>
      <c r="Z1079" s="272"/>
      <c r="AA1079" s="272"/>
    </row>
    <row r="1080" spans="1:27">
      <c r="A1080" s="273">
        <v>7</v>
      </c>
      <c r="B1080" s="274" t="s">
        <v>6034</v>
      </c>
      <c r="C1080" s="289">
        <v>45441</v>
      </c>
      <c r="D1080" s="274" t="s">
        <v>4714</v>
      </c>
      <c r="E1080" s="268" t="s">
        <v>4734</v>
      </c>
      <c r="F1080" s="268" t="s">
        <v>4715</v>
      </c>
      <c r="G1080" s="268" t="s">
        <v>4716</v>
      </c>
      <c r="H1080" s="268" t="str">
        <f t="shared" si="6"/>
        <v>MARÍA EMILIA GARCÍA RUÍZ</v>
      </c>
      <c r="I1080" s="268" t="s">
        <v>5311</v>
      </c>
      <c r="J1080" s="268" t="s">
        <v>4736</v>
      </c>
      <c r="K1080" s="268" t="s">
        <v>6212</v>
      </c>
      <c r="L1080" s="276">
        <v>45504</v>
      </c>
      <c r="M1080" s="283"/>
      <c r="N1080" s="282">
        <v>2</v>
      </c>
      <c r="O1080" s="284" t="s">
        <v>4740</v>
      </c>
      <c r="P1080" s="280">
        <v>4000</v>
      </c>
      <c r="Q1080" s="281">
        <v>45441</v>
      </c>
      <c r="R1080" s="272"/>
      <c r="S1080" s="272"/>
      <c r="T1080" s="272"/>
      <c r="U1080" s="272"/>
      <c r="V1080" s="272"/>
      <c r="W1080" s="272"/>
      <c r="X1080" s="272"/>
      <c r="Y1080" s="272"/>
      <c r="Z1080" s="272"/>
      <c r="AA1080" s="272"/>
    </row>
    <row r="1081" spans="1:27">
      <c r="A1081" s="273">
        <v>7</v>
      </c>
      <c r="B1081" s="274" t="s">
        <v>6034</v>
      </c>
      <c r="C1081" s="314">
        <v>45482</v>
      </c>
      <c r="D1081" s="274" t="s">
        <v>4714</v>
      </c>
      <c r="E1081" s="268" t="s">
        <v>3861</v>
      </c>
      <c r="F1081" s="272" t="s">
        <v>4715</v>
      </c>
      <c r="G1081" s="268" t="s">
        <v>4716</v>
      </c>
      <c r="H1081" s="268" t="str">
        <f t="shared" si="6"/>
        <v>LAURA YEGUAS RAMÍREZ</v>
      </c>
      <c r="I1081" s="268" t="s">
        <v>5060</v>
      </c>
      <c r="J1081" s="272" t="s">
        <v>4822</v>
      </c>
      <c r="K1081" s="268" t="s">
        <v>6213</v>
      </c>
      <c r="L1081" s="276">
        <v>45504</v>
      </c>
      <c r="M1081" s="283"/>
      <c r="N1081" s="282">
        <v>2</v>
      </c>
      <c r="O1081" s="284" t="s">
        <v>4720</v>
      </c>
      <c r="P1081" s="280">
        <v>3524.55</v>
      </c>
      <c r="Q1081" s="315">
        <v>45482</v>
      </c>
      <c r="R1081" s="272"/>
      <c r="S1081" s="272"/>
      <c r="T1081" s="272"/>
      <c r="U1081" s="272"/>
      <c r="V1081" s="272"/>
      <c r="W1081" s="272"/>
      <c r="X1081" s="272"/>
      <c r="Y1081" s="272"/>
      <c r="Z1081" s="272"/>
      <c r="AA1081" s="272"/>
    </row>
    <row r="1082" spans="1:27">
      <c r="A1082" s="273">
        <v>7</v>
      </c>
      <c r="B1082" s="274" t="s">
        <v>6034</v>
      </c>
      <c r="C1082" s="314">
        <v>45495</v>
      </c>
      <c r="D1082" s="274" t="s">
        <v>4714</v>
      </c>
      <c r="E1082" s="268" t="s">
        <v>3861</v>
      </c>
      <c r="F1082" s="272" t="s">
        <v>4715</v>
      </c>
      <c r="G1082" s="268" t="s">
        <v>4716</v>
      </c>
      <c r="H1082" s="268" t="str">
        <f t="shared" si="6"/>
        <v>MARÍA DEL MAR MEDINA GONZÁLEZ</v>
      </c>
      <c r="I1082" s="268" t="s">
        <v>5788</v>
      </c>
      <c r="J1082" s="272" t="s">
        <v>4718</v>
      </c>
      <c r="K1082" s="268" t="s">
        <v>6214</v>
      </c>
      <c r="L1082" s="276">
        <v>45504</v>
      </c>
      <c r="M1082" s="283"/>
      <c r="N1082" s="282">
        <v>2</v>
      </c>
      <c r="O1082" s="284" t="s">
        <v>5814</v>
      </c>
      <c r="P1082" s="280">
        <v>3800</v>
      </c>
      <c r="Q1082" s="315">
        <v>45495</v>
      </c>
      <c r="R1082" s="272"/>
      <c r="S1082" s="272"/>
      <c r="T1082" s="272"/>
      <c r="U1082" s="272"/>
      <c r="V1082" s="272"/>
      <c r="W1082" s="272"/>
      <c r="X1082" s="272"/>
      <c r="Y1082" s="272"/>
      <c r="Z1082" s="272"/>
      <c r="AA1082" s="272"/>
    </row>
    <row r="1083" spans="1:27">
      <c r="A1083" s="273">
        <v>7</v>
      </c>
      <c r="B1083" s="274" t="s">
        <v>6034</v>
      </c>
      <c r="C1083" s="314">
        <v>45475</v>
      </c>
      <c r="D1083" s="274" t="s">
        <v>4714</v>
      </c>
      <c r="E1083" s="268" t="s">
        <v>2900</v>
      </c>
      <c r="F1083" s="272" t="s">
        <v>4715</v>
      </c>
      <c r="G1083" s="268" t="s">
        <v>4716</v>
      </c>
      <c r="H1083" s="268" t="str">
        <f t="shared" si="6"/>
        <v>SOCORRO TEDÍN GARCÍA</v>
      </c>
      <c r="I1083" s="268" t="s">
        <v>5240</v>
      </c>
      <c r="J1083" s="272" t="s">
        <v>4790</v>
      </c>
      <c r="K1083" s="268" t="s">
        <v>6215</v>
      </c>
      <c r="L1083" s="287">
        <v>45504</v>
      </c>
      <c r="M1083" s="283"/>
      <c r="N1083" s="282">
        <v>2</v>
      </c>
      <c r="O1083" s="284" t="s">
        <v>4723</v>
      </c>
      <c r="P1083" s="280">
        <v>2888.18</v>
      </c>
      <c r="Q1083" s="315">
        <v>45475</v>
      </c>
      <c r="R1083" s="272"/>
      <c r="S1083" s="272"/>
      <c r="T1083" s="272"/>
      <c r="U1083" s="272"/>
      <c r="V1083" s="272"/>
      <c r="W1083" s="272"/>
      <c r="X1083" s="272"/>
      <c r="Y1083" s="272"/>
      <c r="Z1083" s="272"/>
      <c r="AA1083" s="272"/>
    </row>
    <row r="1084" spans="1:27">
      <c r="A1084" s="273">
        <v>8</v>
      </c>
      <c r="B1084" s="274" t="s">
        <v>6216</v>
      </c>
      <c r="C1084" s="314">
        <v>45476</v>
      </c>
      <c r="D1084" s="274" t="s">
        <v>4714</v>
      </c>
      <c r="E1084" s="268" t="s">
        <v>4820</v>
      </c>
      <c r="F1084" s="272" t="s">
        <v>4715</v>
      </c>
      <c r="G1084" s="268" t="s">
        <v>4716</v>
      </c>
      <c r="H1084" s="268" t="str">
        <f t="shared" si="6"/>
        <v>JAVIER GARCÍA GÓMEZ</v>
      </c>
      <c r="I1084" s="268" t="s">
        <v>5220</v>
      </c>
      <c r="J1084" s="272" t="s">
        <v>4822</v>
      </c>
      <c r="K1084" s="268" t="s">
        <v>6217</v>
      </c>
      <c r="L1084" s="276">
        <v>45505</v>
      </c>
      <c r="M1084" s="283"/>
      <c r="N1084" s="282">
        <v>2</v>
      </c>
      <c r="O1084" s="284" t="s">
        <v>4740</v>
      </c>
      <c r="P1084" s="280">
        <v>3954.55</v>
      </c>
      <c r="Q1084" s="315">
        <v>45476</v>
      </c>
      <c r="R1084" s="272"/>
      <c r="S1084" s="272"/>
      <c r="T1084" s="272"/>
      <c r="U1084" s="272"/>
      <c r="V1084" s="272"/>
      <c r="W1084" s="272"/>
      <c r="X1084" s="272"/>
      <c r="Y1084" s="272"/>
      <c r="Z1084" s="272"/>
      <c r="AA1084" s="272"/>
    </row>
    <row r="1085" spans="1:27">
      <c r="A1085" s="273">
        <v>8</v>
      </c>
      <c r="B1085" s="274" t="s">
        <v>6216</v>
      </c>
      <c r="C1085" s="314">
        <v>45481</v>
      </c>
      <c r="D1085" s="274" t="s">
        <v>4714</v>
      </c>
      <c r="E1085" s="268" t="s">
        <v>4775</v>
      </c>
      <c r="F1085" s="272" t="s">
        <v>4715</v>
      </c>
      <c r="G1085" s="268" t="s">
        <v>4716</v>
      </c>
      <c r="H1085" s="268" t="str">
        <f t="shared" si="6"/>
        <v>FERNANDO SALAZAR BARCELONA</v>
      </c>
      <c r="I1085" s="268" t="s">
        <v>4776</v>
      </c>
      <c r="J1085" s="272" t="s">
        <v>4822</v>
      </c>
      <c r="K1085" s="268" t="s">
        <v>6218</v>
      </c>
      <c r="L1085" s="287">
        <v>45505</v>
      </c>
      <c r="M1085" s="283"/>
      <c r="N1085" s="282">
        <v>2</v>
      </c>
      <c r="O1085" s="284" t="s">
        <v>4740</v>
      </c>
      <c r="P1085" s="280">
        <v>4000</v>
      </c>
      <c r="Q1085" s="315">
        <v>45481</v>
      </c>
      <c r="R1085" s="272"/>
      <c r="S1085" s="272"/>
      <c r="T1085" s="272"/>
      <c r="U1085" s="272"/>
      <c r="V1085" s="272"/>
      <c r="W1085" s="272"/>
      <c r="X1085" s="272"/>
      <c r="Y1085" s="272"/>
      <c r="Z1085" s="272"/>
      <c r="AA1085" s="272"/>
    </row>
    <row r="1086" spans="1:27">
      <c r="A1086" s="273">
        <v>8</v>
      </c>
      <c r="B1086" s="274" t="s">
        <v>6216</v>
      </c>
      <c r="C1086" s="314">
        <v>45187</v>
      </c>
      <c r="D1086" s="274" t="s">
        <v>4714</v>
      </c>
      <c r="E1086" s="268" t="s">
        <v>2935</v>
      </c>
      <c r="F1086" s="268" t="s">
        <v>4715</v>
      </c>
      <c r="G1086" s="268" t="s">
        <v>4716</v>
      </c>
      <c r="H1086" s="268" t="str">
        <f t="shared" si="6"/>
        <v>Alejandro Harguindey Antoli-Candela</v>
      </c>
      <c r="I1086" s="268" t="s">
        <v>4802</v>
      </c>
      <c r="J1086" s="272" t="s">
        <v>4718</v>
      </c>
      <c r="K1086" s="268" t="s">
        <v>6219</v>
      </c>
      <c r="L1086" s="287">
        <v>45505</v>
      </c>
      <c r="M1086" s="283"/>
      <c r="N1086" s="282">
        <v>2</v>
      </c>
      <c r="O1086" s="284" t="s">
        <v>5814</v>
      </c>
      <c r="P1086" s="280">
        <v>4000</v>
      </c>
      <c r="Q1086" s="315">
        <v>45187</v>
      </c>
      <c r="R1086" s="272"/>
      <c r="S1086" s="272"/>
      <c r="T1086" s="272"/>
      <c r="U1086" s="272"/>
      <c r="V1086" s="272"/>
      <c r="W1086" s="272"/>
      <c r="X1086" s="272"/>
      <c r="Y1086" s="272"/>
      <c r="Z1086" s="272"/>
      <c r="AA1086" s="272"/>
    </row>
    <row r="1087" spans="1:27">
      <c r="A1087" s="273">
        <v>8</v>
      </c>
      <c r="B1087" s="274" t="s">
        <v>6216</v>
      </c>
      <c r="C1087" s="314">
        <v>45467</v>
      </c>
      <c r="D1087" s="274" t="s">
        <v>4714</v>
      </c>
      <c r="E1087" s="268" t="s">
        <v>6037</v>
      </c>
      <c r="F1087" s="268" t="s">
        <v>4715</v>
      </c>
      <c r="G1087" s="268" t="s">
        <v>4716</v>
      </c>
      <c r="H1087" s="268" t="str">
        <f t="shared" si="6"/>
        <v>LUIS MIGUEL RINCÓN ESTEBAN</v>
      </c>
      <c r="I1087" s="268" t="s">
        <v>5307</v>
      </c>
      <c r="J1087" s="272" t="s">
        <v>4747</v>
      </c>
      <c r="K1087" s="268" t="s">
        <v>6220</v>
      </c>
      <c r="L1087" s="287">
        <v>45505</v>
      </c>
      <c r="M1087" s="277"/>
      <c r="N1087" s="282">
        <v>1</v>
      </c>
      <c r="O1087" s="284" t="s">
        <v>4740</v>
      </c>
      <c r="P1087" s="280">
        <v>904.55</v>
      </c>
      <c r="Q1087" s="315">
        <v>45467</v>
      </c>
      <c r="R1087" s="272"/>
      <c r="S1087" s="272"/>
      <c r="T1087" s="272"/>
      <c r="U1087" s="272"/>
      <c r="V1087" s="272"/>
      <c r="W1087" s="272"/>
      <c r="X1087" s="272"/>
      <c r="Y1087" s="272"/>
      <c r="Z1087" s="272"/>
      <c r="AA1087" s="272"/>
    </row>
    <row r="1088" spans="1:27">
      <c r="A1088" s="273">
        <v>8</v>
      </c>
      <c r="B1088" s="274" t="s">
        <v>6216</v>
      </c>
      <c r="C1088" s="314">
        <v>45461</v>
      </c>
      <c r="D1088" s="274" t="s">
        <v>4714</v>
      </c>
      <c r="E1088" s="268" t="s">
        <v>4759</v>
      </c>
      <c r="F1088" s="268" t="s">
        <v>4715</v>
      </c>
      <c r="G1088" s="268" t="s">
        <v>4716</v>
      </c>
      <c r="H1088" s="268" t="str">
        <f t="shared" si="6"/>
        <v>MANUEL ACUÑA GARCÍA</v>
      </c>
      <c r="I1088" s="268" t="s">
        <v>4746</v>
      </c>
      <c r="J1088" s="268" t="s">
        <v>4747</v>
      </c>
      <c r="K1088" s="268" t="s">
        <v>6221</v>
      </c>
      <c r="L1088" s="287">
        <v>45505</v>
      </c>
      <c r="M1088" s="283"/>
      <c r="N1088" s="282">
        <v>2</v>
      </c>
      <c r="O1088" s="284" t="s">
        <v>4740</v>
      </c>
      <c r="P1088" s="280">
        <v>3977.27</v>
      </c>
      <c r="Q1088" s="315">
        <v>45461</v>
      </c>
      <c r="R1088" s="272"/>
      <c r="S1088" s="272"/>
      <c r="T1088" s="272"/>
      <c r="U1088" s="272"/>
      <c r="V1088" s="272"/>
      <c r="W1088" s="272"/>
      <c r="X1088" s="272"/>
      <c r="Y1088" s="272"/>
      <c r="Z1088" s="272"/>
      <c r="AA1088" s="272"/>
    </row>
    <row r="1089" spans="1:27">
      <c r="A1089" s="273">
        <v>8</v>
      </c>
      <c r="B1089" s="274" t="s">
        <v>6216</v>
      </c>
      <c r="C1089" s="314">
        <v>45461</v>
      </c>
      <c r="D1089" s="274" t="s">
        <v>4714</v>
      </c>
      <c r="E1089" s="268" t="s">
        <v>4759</v>
      </c>
      <c r="F1089" s="268" t="s">
        <v>4715</v>
      </c>
      <c r="G1089" s="268" t="s">
        <v>4716</v>
      </c>
      <c r="H1089" s="268" t="str">
        <f t="shared" si="6"/>
        <v>MARIO CUETOS AZCONA</v>
      </c>
      <c r="I1089" s="268" t="s">
        <v>6222</v>
      </c>
      <c r="J1089" s="268" t="s">
        <v>4747</v>
      </c>
      <c r="K1089" s="268" t="s">
        <v>6223</v>
      </c>
      <c r="L1089" s="287">
        <v>45505</v>
      </c>
      <c r="M1089" s="283"/>
      <c r="N1089" s="282">
        <v>1</v>
      </c>
      <c r="O1089" s="284" t="s">
        <v>4787</v>
      </c>
      <c r="P1089" s="280">
        <v>2307.27</v>
      </c>
      <c r="Q1089" s="315">
        <v>45461</v>
      </c>
      <c r="R1089" s="272"/>
      <c r="S1089" s="272"/>
      <c r="T1089" s="272"/>
      <c r="U1089" s="272"/>
      <c r="V1089" s="272"/>
      <c r="W1089" s="272"/>
      <c r="X1089" s="272"/>
      <c r="Y1089" s="272"/>
      <c r="Z1089" s="272"/>
      <c r="AA1089" s="272"/>
    </row>
    <row r="1090" spans="1:27">
      <c r="A1090" s="273">
        <v>8</v>
      </c>
      <c r="B1090" s="274" t="s">
        <v>6216</v>
      </c>
      <c r="C1090" s="314">
        <v>45466</v>
      </c>
      <c r="D1090" s="274" t="s">
        <v>4714</v>
      </c>
      <c r="E1090" s="268" t="s">
        <v>5062</v>
      </c>
      <c r="F1090" s="268" t="s">
        <v>4715</v>
      </c>
      <c r="G1090" s="268" t="s">
        <v>4716</v>
      </c>
      <c r="H1090" s="268" t="str">
        <f t="shared" si="6"/>
        <v>FEDERICO ARRUTIA DIEZ</v>
      </c>
      <c r="I1090" s="268" t="s">
        <v>5063</v>
      </c>
      <c r="J1090" s="272" t="s">
        <v>6224</v>
      </c>
      <c r="K1090" s="268" t="s">
        <v>6225</v>
      </c>
      <c r="L1090" s="287">
        <v>45506</v>
      </c>
      <c r="M1090" s="277"/>
      <c r="N1090" s="282">
        <v>2</v>
      </c>
      <c r="O1090" s="284" t="s">
        <v>4720</v>
      </c>
      <c r="P1090" s="280">
        <v>3524.5</v>
      </c>
      <c r="Q1090" s="315">
        <v>45466</v>
      </c>
      <c r="R1090" s="272"/>
      <c r="S1090" s="272"/>
      <c r="T1090" s="272"/>
      <c r="U1090" s="272"/>
      <c r="V1090" s="272"/>
      <c r="W1090" s="272"/>
      <c r="X1090" s="272"/>
      <c r="Y1090" s="272"/>
      <c r="Z1090" s="272"/>
      <c r="AA1090" s="272"/>
    </row>
    <row r="1091" spans="1:27">
      <c r="A1091" s="273">
        <v>8</v>
      </c>
      <c r="B1091" s="274" t="s">
        <v>6216</v>
      </c>
      <c r="C1091" s="314">
        <v>45488</v>
      </c>
      <c r="D1091" s="274" t="s">
        <v>4714</v>
      </c>
      <c r="E1091" s="268" t="s">
        <v>2972</v>
      </c>
      <c r="F1091" s="268" t="s">
        <v>4715</v>
      </c>
      <c r="G1091" s="268" t="s">
        <v>4716</v>
      </c>
      <c r="H1091" s="268" t="str">
        <f t="shared" si="6"/>
        <v>JORGE PRADA PENDOLERO</v>
      </c>
      <c r="I1091" s="268" t="s">
        <v>4975</v>
      </c>
      <c r="J1091" s="272" t="s">
        <v>4718</v>
      </c>
      <c r="K1091" s="268" t="s">
        <v>6226</v>
      </c>
      <c r="L1091" s="287">
        <v>45506</v>
      </c>
      <c r="M1091" s="283"/>
      <c r="N1091" s="282">
        <v>1</v>
      </c>
      <c r="O1091" s="284" t="s">
        <v>4723</v>
      </c>
      <c r="P1091" s="280">
        <v>1732.73</v>
      </c>
      <c r="Q1091" s="315">
        <v>45488</v>
      </c>
      <c r="R1091" s="272"/>
      <c r="S1091" s="272"/>
      <c r="T1091" s="272"/>
      <c r="U1091" s="272"/>
      <c r="V1091" s="272"/>
      <c r="W1091" s="272"/>
      <c r="X1091" s="272"/>
      <c r="Y1091" s="272"/>
      <c r="Z1091" s="272"/>
      <c r="AA1091" s="272"/>
    </row>
    <row r="1092" spans="1:27">
      <c r="A1092" s="273">
        <v>8</v>
      </c>
      <c r="B1092" s="274" t="s">
        <v>6216</v>
      </c>
      <c r="C1092" s="314">
        <v>45497</v>
      </c>
      <c r="D1092" s="274" t="s">
        <v>4714</v>
      </c>
      <c r="E1092" s="268" t="s">
        <v>2921</v>
      </c>
      <c r="F1092" s="268" t="s">
        <v>4715</v>
      </c>
      <c r="G1092" s="268" t="s">
        <v>4716</v>
      </c>
      <c r="H1092" s="268" t="str">
        <f t="shared" si="6"/>
        <v>JEAN FRANCO INTRAPRENDENTE MARTINI</v>
      </c>
      <c r="I1092" s="268" t="s">
        <v>5545</v>
      </c>
      <c r="J1092" s="272" t="s">
        <v>4910</v>
      </c>
      <c r="K1092" s="268" t="s">
        <v>6227</v>
      </c>
      <c r="L1092" s="287">
        <v>45506</v>
      </c>
      <c r="M1092" s="277"/>
      <c r="N1092" s="282">
        <v>2</v>
      </c>
      <c r="O1092" s="284" t="s">
        <v>4720</v>
      </c>
      <c r="P1092" s="280">
        <v>3524.5</v>
      </c>
      <c r="Q1092" s="315">
        <v>45497</v>
      </c>
      <c r="R1092" s="272"/>
      <c r="S1092" s="272"/>
      <c r="T1092" s="272"/>
      <c r="U1092" s="272"/>
      <c r="V1092" s="272"/>
      <c r="W1092" s="272"/>
      <c r="X1092" s="272"/>
      <c r="Y1092" s="272"/>
      <c r="Z1092" s="272"/>
      <c r="AA1092" s="272"/>
    </row>
    <row r="1093" spans="1:27">
      <c r="A1093" s="273">
        <v>8</v>
      </c>
      <c r="B1093" s="274" t="s">
        <v>6216</v>
      </c>
      <c r="C1093" s="316">
        <v>45435</v>
      </c>
      <c r="D1093" s="274" t="s">
        <v>4714</v>
      </c>
      <c r="E1093" s="268" t="s">
        <v>2935</v>
      </c>
      <c r="F1093" s="268" t="s">
        <v>4715</v>
      </c>
      <c r="G1093" s="268" t="s">
        <v>4716</v>
      </c>
      <c r="H1093" s="268" t="str">
        <f t="shared" si="6"/>
        <v>ANTONIO RODRÍGUEZ RIVERO</v>
      </c>
      <c r="I1093" s="268" t="s">
        <v>4717</v>
      </c>
      <c r="J1093" s="272" t="s">
        <v>4718</v>
      </c>
      <c r="K1093" s="268" t="s">
        <v>6228</v>
      </c>
      <c r="L1093" s="287">
        <v>45509</v>
      </c>
      <c r="M1093" s="283"/>
      <c r="N1093" s="282">
        <v>2</v>
      </c>
      <c r="O1093" s="284" t="s">
        <v>4720</v>
      </c>
      <c r="P1093" s="280">
        <v>3710</v>
      </c>
      <c r="Q1093" s="317">
        <v>45435</v>
      </c>
      <c r="R1093" s="272"/>
      <c r="S1093" s="272"/>
      <c r="T1093" s="272"/>
      <c r="U1093" s="272"/>
      <c r="V1093" s="272"/>
      <c r="W1093" s="272"/>
      <c r="X1093" s="272"/>
      <c r="Y1093" s="272"/>
      <c r="Z1093" s="272"/>
      <c r="AA1093" s="272"/>
    </row>
    <row r="1094" spans="1:27">
      <c r="A1094" s="273">
        <v>8</v>
      </c>
      <c r="B1094" s="274" t="s">
        <v>6216</v>
      </c>
      <c r="C1094" s="314">
        <v>45474</v>
      </c>
      <c r="D1094" s="274" t="s">
        <v>4714</v>
      </c>
      <c r="E1094" s="268" t="s">
        <v>4194</v>
      </c>
      <c r="F1094" s="272" t="s">
        <v>4715</v>
      </c>
      <c r="G1094" s="268" t="s">
        <v>4716</v>
      </c>
      <c r="H1094" s="268" t="str">
        <f t="shared" si="6"/>
        <v>GUILLERMO SEVERÁ FERRANDIZ</v>
      </c>
      <c r="I1094" s="268" t="s">
        <v>5190</v>
      </c>
      <c r="J1094" s="272" t="s">
        <v>4736</v>
      </c>
      <c r="K1094" s="268" t="s">
        <v>6229</v>
      </c>
      <c r="L1094" s="276">
        <v>45510</v>
      </c>
      <c r="M1094" s="283"/>
      <c r="N1094" s="282">
        <v>1</v>
      </c>
      <c r="O1094" s="284" t="s">
        <v>4720</v>
      </c>
      <c r="P1094" s="280">
        <v>2226.36</v>
      </c>
      <c r="Q1094" s="315">
        <v>45474</v>
      </c>
      <c r="R1094" s="272"/>
      <c r="S1094" s="272"/>
      <c r="T1094" s="272"/>
      <c r="U1094" s="272"/>
      <c r="V1094" s="272"/>
      <c r="W1094" s="272"/>
      <c r="X1094" s="272"/>
      <c r="Y1094" s="272"/>
      <c r="Z1094" s="272"/>
      <c r="AA1094" s="272"/>
    </row>
    <row r="1095" spans="1:27">
      <c r="A1095" s="273">
        <v>8</v>
      </c>
      <c r="B1095" s="274" t="s">
        <v>6216</v>
      </c>
      <c r="C1095" s="314">
        <v>45484</v>
      </c>
      <c r="D1095" s="274" t="s">
        <v>4714</v>
      </c>
      <c r="E1095" s="268" t="s">
        <v>4820</v>
      </c>
      <c r="F1095" s="272" t="s">
        <v>4715</v>
      </c>
      <c r="G1095" s="268" t="s">
        <v>4716</v>
      </c>
      <c r="H1095" s="268" t="str">
        <f t="shared" si="6"/>
        <v>JAVIER GARCÍA GÓMEZ</v>
      </c>
      <c r="I1095" s="268" t="s">
        <v>5220</v>
      </c>
      <c r="J1095" s="272" t="s">
        <v>4822</v>
      </c>
      <c r="K1095" s="268" t="s">
        <v>6230</v>
      </c>
      <c r="L1095" s="276">
        <v>45510</v>
      </c>
      <c r="M1095" s="283"/>
      <c r="N1095" s="282">
        <v>1</v>
      </c>
      <c r="O1095" s="284" t="s">
        <v>4787</v>
      </c>
      <c r="P1095" s="280">
        <v>1977.27</v>
      </c>
      <c r="Q1095" s="315">
        <v>45484</v>
      </c>
      <c r="R1095" s="272"/>
      <c r="S1095" s="272"/>
      <c r="T1095" s="272"/>
      <c r="U1095" s="272"/>
      <c r="V1095" s="272"/>
      <c r="W1095" s="272"/>
      <c r="X1095" s="272"/>
      <c r="Y1095" s="272"/>
      <c r="Z1095" s="272"/>
      <c r="AA1095" s="272"/>
    </row>
    <row r="1096" spans="1:27">
      <c r="A1096" s="273">
        <v>8</v>
      </c>
      <c r="B1096" s="274" t="s">
        <v>6216</v>
      </c>
      <c r="C1096" s="314">
        <v>45481</v>
      </c>
      <c r="D1096" s="274" t="s">
        <v>4714</v>
      </c>
      <c r="E1096" s="268" t="s">
        <v>4820</v>
      </c>
      <c r="F1096" s="272" t="s">
        <v>4715</v>
      </c>
      <c r="G1096" s="268" t="s">
        <v>4716</v>
      </c>
      <c r="H1096" s="268" t="str">
        <f t="shared" si="6"/>
        <v>MANUEL MARTÍ PEÑA</v>
      </c>
      <c r="I1096" s="268" t="s">
        <v>6006</v>
      </c>
      <c r="J1096" s="272" t="s">
        <v>4822</v>
      </c>
      <c r="K1096" s="268" t="s">
        <v>6231</v>
      </c>
      <c r="L1096" s="276">
        <v>45510</v>
      </c>
      <c r="M1096" s="283"/>
      <c r="N1096" s="282">
        <v>2</v>
      </c>
      <c r="O1096" s="284" t="s">
        <v>4787</v>
      </c>
      <c r="P1096" s="280">
        <v>3954.55</v>
      </c>
      <c r="Q1096" s="315">
        <v>45481</v>
      </c>
      <c r="R1096" s="272"/>
      <c r="S1096" s="272"/>
      <c r="T1096" s="272"/>
      <c r="U1096" s="272"/>
      <c r="V1096" s="272"/>
      <c r="W1096" s="272"/>
      <c r="X1096" s="272"/>
      <c r="Y1096" s="272"/>
      <c r="Z1096" s="272"/>
      <c r="AA1096" s="272"/>
    </row>
    <row r="1097" spans="1:27">
      <c r="A1097" s="273">
        <v>8</v>
      </c>
      <c r="B1097" s="274" t="s">
        <v>6216</v>
      </c>
      <c r="C1097" s="314">
        <v>45460</v>
      </c>
      <c r="D1097" s="274" t="s">
        <v>4714</v>
      </c>
      <c r="E1097" s="268" t="s">
        <v>4775</v>
      </c>
      <c r="F1097" s="272" t="s">
        <v>4715</v>
      </c>
      <c r="G1097" s="268" t="s">
        <v>4716</v>
      </c>
      <c r="H1097" s="268" t="str">
        <f t="shared" si="6"/>
        <v>FERNANDO SALAZAR BARCELONA</v>
      </c>
      <c r="I1097" s="268" t="s">
        <v>4776</v>
      </c>
      <c r="J1097" s="272" t="s">
        <v>4822</v>
      </c>
      <c r="K1097" s="268" t="s">
        <v>6232</v>
      </c>
      <c r="L1097" s="287">
        <v>45510</v>
      </c>
      <c r="M1097" s="283"/>
      <c r="N1097" s="282">
        <v>1</v>
      </c>
      <c r="O1097" s="284" t="s">
        <v>4787</v>
      </c>
      <c r="P1097" s="280">
        <v>2181.8200000000002</v>
      </c>
      <c r="Q1097" s="315">
        <v>45460</v>
      </c>
      <c r="R1097" s="272"/>
      <c r="S1097" s="272"/>
      <c r="T1097" s="272"/>
      <c r="U1097" s="272"/>
      <c r="V1097" s="272"/>
      <c r="W1097" s="272"/>
      <c r="X1097" s="272"/>
      <c r="Y1097" s="272"/>
      <c r="Z1097" s="272"/>
      <c r="AA1097" s="272"/>
    </row>
    <row r="1098" spans="1:27">
      <c r="A1098" s="273">
        <v>8</v>
      </c>
      <c r="B1098" s="274" t="s">
        <v>6216</v>
      </c>
      <c r="C1098" s="314"/>
      <c r="D1098" s="274" t="s">
        <v>4714</v>
      </c>
      <c r="E1098" s="268" t="s">
        <v>2869</v>
      </c>
      <c r="F1098" s="268" t="s">
        <v>4715</v>
      </c>
      <c r="G1098" s="268" t="s">
        <v>4716</v>
      </c>
      <c r="H1098" s="268" t="str">
        <f t="shared" si="6"/>
        <v>MARÍA AGUSTINA SEVILLA GARCÍA</v>
      </c>
      <c r="I1098" s="268" t="s">
        <v>4812</v>
      </c>
      <c r="J1098" s="272" t="s">
        <v>4736</v>
      </c>
      <c r="K1098" s="268" t="s">
        <v>6233</v>
      </c>
      <c r="L1098" s="287">
        <v>45510</v>
      </c>
      <c r="M1098" s="283"/>
      <c r="N1098" s="282">
        <v>2</v>
      </c>
      <c r="O1098" s="284" t="s">
        <v>4720</v>
      </c>
      <c r="P1098" s="280">
        <v>3523.64</v>
      </c>
      <c r="Q1098" s="315"/>
      <c r="R1098" s="272"/>
      <c r="S1098" s="272"/>
      <c r="T1098" s="272"/>
      <c r="U1098" s="272"/>
      <c r="V1098" s="272"/>
      <c r="W1098" s="272"/>
      <c r="X1098" s="272"/>
      <c r="Y1098" s="272"/>
      <c r="Z1098" s="272"/>
      <c r="AA1098" s="272"/>
    </row>
    <row r="1099" spans="1:27">
      <c r="A1099" s="273">
        <v>8</v>
      </c>
      <c r="B1099" s="274" t="s">
        <v>6216</v>
      </c>
      <c r="C1099" s="314">
        <v>45476</v>
      </c>
      <c r="D1099" s="274" t="s">
        <v>4714</v>
      </c>
      <c r="E1099" s="268" t="s">
        <v>4820</v>
      </c>
      <c r="F1099" s="272" t="s">
        <v>4715</v>
      </c>
      <c r="G1099" s="268" t="s">
        <v>4716</v>
      </c>
      <c r="H1099" s="268" t="str">
        <f t="shared" si="6"/>
        <v>CIFUENTES NAVAS</v>
      </c>
      <c r="I1099" s="268" t="s">
        <v>6234</v>
      </c>
      <c r="J1099" s="272" t="s">
        <v>4822</v>
      </c>
      <c r="K1099" s="268" t="s">
        <v>6235</v>
      </c>
      <c r="L1099" s="276">
        <v>45511</v>
      </c>
      <c r="M1099" s="283"/>
      <c r="N1099" s="282">
        <v>1</v>
      </c>
      <c r="O1099" s="284" t="s">
        <v>4787</v>
      </c>
      <c r="P1099" s="280">
        <v>1886.36</v>
      </c>
      <c r="Q1099" s="315">
        <v>45476</v>
      </c>
      <c r="R1099" s="272"/>
      <c r="S1099" s="272"/>
      <c r="T1099" s="272"/>
      <c r="U1099" s="272"/>
      <c r="V1099" s="272"/>
      <c r="W1099" s="272"/>
      <c r="X1099" s="272"/>
      <c r="Y1099" s="272"/>
      <c r="Z1099" s="272"/>
      <c r="AA1099" s="272"/>
    </row>
    <row r="1100" spans="1:27">
      <c r="A1100" s="273">
        <v>8</v>
      </c>
      <c r="B1100" s="274" t="s">
        <v>6216</v>
      </c>
      <c r="C1100" s="314">
        <v>45496</v>
      </c>
      <c r="D1100" s="274" t="s">
        <v>4714</v>
      </c>
      <c r="E1100" s="268" t="s">
        <v>2921</v>
      </c>
      <c r="F1100" s="268" t="s">
        <v>4715</v>
      </c>
      <c r="G1100" s="268" t="s">
        <v>4716</v>
      </c>
      <c r="H1100" s="268" t="str">
        <f t="shared" si="6"/>
        <v>PAULA MARTÍNEZ-RUIZ DE APOCADA</v>
      </c>
      <c r="I1100" s="268" t="s">
        <v>5794</v>
      </c>
      <c r="J1100" s="268" t="s">
        <v>4910</v>
      </c>
      <c r="K1100" s="268" t="s">
        <v>6236</v>
      </c>
      <c r="L1100" s="287">
        <v>45511</v>
      </c>
      <c r="M1100" s="283"/>
      <c r="N1100" s="282">
        <v>2</v>
      </c>
      <c r="O1100" s="284" t="s">
        <v>4723</v>
      </c>
      <c r="P1100" s="280">
        <v>2743.78</v>
      </c>
      <c r="Q1100" s="315">
        <v>45496</v>
      </c>
      <c r="R1100" s="272"/>
      <c r="S1100" s="272"/>
      <c r="T1100" s="272"/>
      <c r="U1100" s="272"/>
      <c r="V1100" s="272"/>
      <c r="W1100" s="272"/>
      <c r="X1100" s="272"/>
      <c r="Y1100" s="272"/>
      <c r="Z1100" s="272"/>
      <c r="AA1100" s="272"/>
    </row>
    <row r="1101" spans="1:27">
      <c r="A1101" s="273">
        <v>8</v>
      </c>
      <c r="B1101" s="274" t="s">
        <v>6216</v>
      </c>
      <c r="C1101" s="314">
        <v>45476</v>
      </c>
      <c r="D1101" s="274" t="s">
        <v>4714</v>
      </c>
      <c r="E1101" s="268" t="s">
        <v>5130</v>
      </c>
      <c r="F1101" s="272" t="s">
        <v>4724</v>
      </c>
      <c r="G1101" s="268" t="s">
        <v>4725</v>
      </c>
      <c r="H1101" s="268" t="str">
        <f t="shared" si="6"/>
        <v>SARA FERNANDRZ CASCÓN</v>
      </c>
      <c r="I1101" s="268" t="s">
        <v>6237</v>
      </c>
      <c r="J1101" s="272" t="s">
        <v>4747</v>
      </c>
      <c r="K1101" s="268" t="s">
        <v>6238</v>
      </c>
      <c r="L1101" s="287">
        <v>45512</v>
      </c>
      <c r="M1101" s="283"/>
      <c r="N1101" s="282">
        <v>2</v>
      </c>
      <c r="O1101" s="284" t="s">
        <v>4792</v>
      </c>
      <c r="P1101" s="280">
        <v>2909.09</v>
      </c>
      <c r="Q1101" s="315">
        <v>45476</v>
      </c>
      <c r="R1101" s="272"/>
      <c r="S1101" s="272"/>
      <c r="T1101" s="272"/>
      <c r="U1101" s="272"/>
      <c r="V1101" s="272"/>
      <c r="W1101" s="272"/>
      <c r="X1101" s="272"/>
      <c r="Y1101" s="272"/>
      <c r="Z1101" s="272"/>
      <c r="AA1101" s="272"/>
    </row>
    <row r="1102" spans="1:27">
      <c r="A1102" s="273">
        <v>8</v>
      </c>
      <c r="B1102" s="274" t="s">
        <v>6216</v>
      </c>
      <c r="C1102" s="314">
        <v>45055</v>
      </c>
      <c r="D1102" s="274" t="s">
        <v>4714</v>
      </c>
      <c r="E1102" s="268" t="s">
        <v>3193</v>
      </c>
      <c r="F1102" s="272" t="s">
        <v>4715</v>
      </c>
      <c r="G1102" s="268" t="s">
        <v>4716</v>
      </c>
      <c r="H1102" s="268" t="str">
        <f t="shared" si="6"/>
        <v>JOSE JOAQUÍN GUTIÉRREZ BARQUÍN</v>
      </c>
      <c r="I1102" s="268" t="s">
        <v>4990</v>
      </c>
      <c r="J1102" s="272" t="s">
        <v>4718</v>
      </c>
      <c r="K1102" s="268" t="s">
        <v>6239</v>
      </c>
      <c r="L1102" s="287">
        <v>45512</v>
      </c>
      <c r="M1102" s="283"/>
      <c r="N1102" s="282">
        <v>1</v>
      </c>
      <c r="O1102" s="284" t="s">
        <v>4720</v>
      </c>
      <c r="P1102" s="280">
        <v>1545.45</v>
      </c>
      <c r="Q1102" s="315">
        <v>45055</v>
      </c>
      <c r="R1102" s="272"/>
      <c r="S1102" s="272"/>
      <c r="T1102" s="272"/>
      <c r="U1102" s="272"/>
      <c r="V1102" s="272"/>
      <c r="W1102" s="272"/>
      <c r="X1102" s="272"/>
      <c r="Y1102" s="272"/>
      <c r="Z1102" s="272"/>
      <c r="AA1102" s="272"/>
    </row>
    <row r="1103" spans="1:27">
      <c r="A1103" s="273">
        <v>8</v>
      </c>
      <c r="B1103" s="274" t="s">
        <v>6216</v>
      </c>
      <c r="C1103" s="314">
        <v>45495</v>
      </c>
      <c r="D1103" s="274" t="s">
        <v>4714</v>
      </c>
      <c r="E1103" s="268" t="s">
        <v>2935</v>
      </c>
      <c r="F1103" s="268" t="s">
        <v>4715</v>
      </c>
      <c r="G1103" s="268" t="s">
        <v>4716</v>
      </c>
      <c r="H1103" s="268" t="str">
        <f t="shared" si="6"/>
        <v>LAURA YEGUAS RAMÍREZ</v>
      </c>
      <c r="I1103" s="268" t="s">
        <v>5060</v>
      </c>
      <c r="J1103" s="272" t="s">
        <v>4718</v>
      </c>
      <c r="K1103" s="268" t="s">
        <v>6240</v>
      </c>
      <c r="L1103" s="287">
        <v>45512</v>
      </c>
      <c r="M1103" s="277"/>
      <c r="N1103" s="282">
        <v>2</v>
      </c>
      <c r="O1103" s="284" t="s">
        <v>4723</v>
      </c>
      <c r="P1103" s="280">
        <v>2888.18</v>
      </c>
      <c r="Q1103" s="315">
        <v>45495</v>
      </c>
      <c r="R1103" s="272"/>
      <c r="S1103" s="272"/>
      <c r="T1103" s="272"/>
      <c r="U1103" s="272"/>
      <c r="V1103" s="272"/>
      <c r="W1103" s="272"/>
      <c r="X1103" s="272"/>
      <c r="Y1103" s="272"/>
      <c r="Z1103" s="272"/>
      <c r="AA1103" s="272"/>
    </row>
    <row r="1104" spans="1:27">
      <c r="A1104" s="273">
        <v>8</v>
      </c>
      <c r="B1104" s="274" t="s">
        <v>6216</v>
      </c>
      <c r="C1104" s="314">
        <v>45446</v>
      </c>
      <c r="D1104" s="274" t="s">
        <v>4714</v>
      </c>
      <c r="E1104" s="268" t="s">
        <v>4804</v>
      </c>
      <c r="F1104" s="268" t="s">
        <v>4715</v>
      </c>
      <c r="G1104" s="268" t="s">
        <v>4716</v>
      </c>
      <c r="H1104" s="268" t="str">
        <f t="shared" si="6"/>
        <v>FERRAN BALLESTEROS ALONSO</v>
      </c>
      <c r="I1104" s="268" t="s">
        <v>6241</v>
      </c>
      <c r="J1104" s="272" t="s">
        <v>4806</v>
      </c>
      <c r="K1104" s="268" t="s">
        <v>6242</v>
      </c>
      <c r="L1104" s="287">
        <v>45512</v>
      </c>
      <c r="M1104" s="277"/>
      <c r="N1104" s="282">
        <v>1</v>
      </c>
      <c r="O1104" s="284" t="s">
        <v>4792</v>
      </c>
      <c r="P1104" s="280">
        <v>1313.64</v>
      </c>
      <c r="Q1104" s="315">
        <v>45446</v>
      </c>
      <c r="R1104" s="272"/>
      <c r="S1104" s="272"/>
      <c r="T1104" s="272"/>
      <c r="U1104" s="272"/>
      <c r="V1104" s="272"/>
      <c r="W1104" s="272"/>
      <c r="X1104" s="272"/>
      <c r="Y1104" s="272"/>
      <c r="Z1104" s="272"/>
      <c r="AA1104" s="272"/>
    </row>
    <row r="1105" spans="1:27">
      <c r="A1105" s="273">
        <v>8</v>
      </c>
      <c r="B1105" s="274" t="s">
        <v>6216</v>
      </c>
      <c r="C1105" s="314">
        <v>45474</v>
      </c>
      <c r="D1105" s="274" t="s">
        <v>4714</v>
      </c>
      <c r="E1105" s="268" t="s">
        <v>2880</v>
      </c>
      <c r="F1105" s="272" t="s">
        <v>4715</v>
      </c>
      <c r="G1105" s="268" t="s">
        <v>4716</v>
      </c>
      <c r="H1105" s="268" t="str">
        <f t="shared" si="6"/>
        <v>MARÍA GARROTE GARROTE</v>
      </c>
      <c r="I1105" s="268" t="s">
        <v>4721</v>
      </c>
      <c r="J1105" s="272" t="s">
        <v>4718</v>
      </c>
      <c r="K1105" s="268" t="s">
        <v>6243</v>
      </c>
      <c r="L1105" s="287">
        <v>45513</v>
      </c>
      <c r="M1105" s="283"/>
      <c r="N1105" s="282">
        <v>1</v>
      </c>
      <c r="O1105" s="284" t="s">
        <v>4720</v>
      </c>
      <c r="P1105" s="280">
        <v>1849.09</v>
      </c>
      <c r="Q1105" s="315">
        <v>45474</v>
      </c>
      <c r="R1105" s="272"/>
      <c r="S1105" s="272"/>
      <c r="T1105" s="272"/>
      <c r="U1105" s="272"/>
      <c r="V1105" s="272"/>
      <c r="W1105" s="272"/>
      <c r="X1105" s="272"/>
      <c r="Y1105" s="272"/>
      <c r="Z1105" s="272"/>
      <c r="AA1105" s="272"/>
    </row>
    <row r="1106" spans="1:27">
      <c r="A1106" s="273">
        <v>8</v>
      </c>
      <c r="B1106" s="274" t="s">
        <v>6216</v>
      </c>
      <c r="C1106" s="314">
        <v>45338</v>
      </c>
      <c r="D1106" s="274" t="s">
        <v>4714</v>
      </c>
      <c r="E1106" s="268" t="s">
        <v>5225</v>
      </c>
      <c r="F1106" s="268" t="s">
        <v>4715</v>
      </c>
      <c r="G1106" s="268" t="s">
        <v>4716</v>
      </c>
      <c r="H1106" s="268" t="str">
        <f t="shared" si="6"/>
        <v>SERGIO CODINA ALONSO</v>
      </c>
      <c r="I1106" s="268" t="s">
        <v>6244</v>
      </c>
      <c r="J1106" s="272" t="s">
        <v>4790</v>
      </c>
      <c r="K1106" s="268" t="s">
        <v>6245</v>
      </c>
      <c r="L1106" s="287">
        <v>45513</v>
      </c>
      <c r="M1106" s="283"/>
      <c r="N1106" s="282">
        <v>2</v>
      </c>
      <c r="O1106" s="284" t="s">
        <v>4723</v>
      </c>
      <c r="P1106" s="280">
        <v>2780.91</v>
      </c>
      <c r="Q1106" s="315">
        <v>45338</v>
      </c>
      <c r="R1106" s="272"/>
      <c r="S1106" s="272"/>
      <c r="T1106" s="272"/>
      <c r="U1106" s="272"/>
      <c r="V1106" s="272"/>
      <c r="W1106" s="272"/>
      <c r="X1106" s="272"/>
      <c r="Y1106" s="272"/>
      <c r="Z1106" s="272"/>
      <c r="AA1106" s="272"/>
    </row>
    <row r="1107" spans="1:27">
      <c r="A1107" s="273">
        <v>8</v>
      </c>
      <c r="B1107" s="274" t="s">
        <v>6216</v>
      </c>
      <c r="C1107" s="314">
        <v>45474</v>
      </c>
      <c r="D1107" s="274" t="s">
        <v>4714</v>
      </c>
      <c r="E1107" s="268" t="s">
        <v>3011</v>
      </c>
      <c r="F1107" s="268" t="s">
        <v>4715</v>
      </c>
      <c r="G1107" s="268" t="s">
        <v>4716</v>
      </c>
      <c r="H1107" s="268" t="str">
        <f t="shared" si="6"/>
        <v>MARÍA AMPARO ÁLVAREZ DE TOLEDO JEUTE</v>
      </c>
      <c r="I1107" s="268" t="s">
        <v>6246</v>
      </c>
      <c r="J1107" s="272" t="s">
        <v>4729</v>
      </c>
      <c r="K1107" s="268" t="s">
        <v>6247</v>
      </c>
      <c r="L1107" s="287">
        <v>45513</v>
      </c>
      <c r="M1107" s="283"/>
      <c r="N1107" s="282">
        <v>1</v>
      </c>
      <c r="O1107" s="284" t="s">
        <v>5814</v>
      </c>
      <c r="P1107" s="280">
        <v>2283.4499999999998</v>
      </c>
      <c r="Q1107" s="315">
        <v>45474</v>
      </c>
      <c r="R1107" s="272"/>
      <c r="S1107" s="272"/>
      <c r="T1107" s="272"/>
      <c r="U1107" s="272"/>
      <c r="V1107" s="272"/>
      <c r="W1107" s="272"/>
      <c r="X1107" s="272"/>
      <c r="Y1107" s="272"/>
      <c r="Z1107" s="272"/>
      <c r="AA1107" s="272"/>
    </row>
    <row r="1108" spans="1:27">
      <c r="A1108" s="273">
        <v>8</v>
      </c>
      <c r="B1108" s="274" t="s">
        <v>6216</v>
      </c>
      <c r="C1108" s="314"/>
      <c r="D1108" s="274" t="s">
        <v>4714</v>
      </c>
      <c r="E1108" s="268" t="s">
        <v>4945</v>
      </c>
      <c r="F1108" s="272" t="s">
        <v>4715</v>
      </c>
      <c r="G1108" s="268" t="s">
        <v>4716</v>
      </c>
      <c r="H1108" s="268" t="str">
        <f t="shared" si="6"/>
        <v>JUAN PEDRO RUBIO RODRÍGUEZ</v>
      </c>
      <c r="I1108" s="268" t="s">
        <v>6248</v>
      </c>
      <c r="J1108" s="272" t="s">
        <v>4790</v>
      </c>
      <c r="K1108" s="268" t="s">
        <v>6249</v>
      </c>
      <c r="L1108" s="287">
        <v>45517</v>
      </c>
      <c r="M1108" s="283"/>
      <c r="N1108" s="282">
        <v>1</v>
      </c>
      <c r="O1108" s="284" t="s">
        <v>4787</v>
      </c>
      <c r="P1108" s="280">
        <v>1818.18</v>
      </c>
      <c r="Q1108" s="315"/>
      <c r="R1108" s="272"/>
      <c r="S1108" s="272"/>
      <c r="T1108" s="272"/>
      <c r="U1108" s="272"/>
      <c r="V1108" s="272"/>
      <c r="W1108" s="272"/>
      <c r="X1108" s="272"/>
      <c r="Y1108" s="272"/>
      <c r="Z1108" s="272"/>
      <c r="AA1108" s="272"/>
    </row>
    <row r="1109" spans="1:27">
      <c r="A1109" s="273">
        <v>8</v>
      </c>
      <c r="B1109" s="274" t="s">
        <v>6216</v>
      </c>
      <c r="C1109" s="314">
        <v>45475</v>
      </c>
      <c r="D1109" s="274" t="s">
        <v>4714</v>
      </c>
      <c r="E1109" s="268" t="s">
        <v>4780</v>
      </c>
      <c r="F1109" s="268" t="s">
        <v>4715</v>
      </c>
      <c r="G1109" s="268" t="s">
        <v>4716</v>
      </c>
      <c r="H1109" s="268" t="str">
        <f t="shared" si="6"/>
        <v>MARÍA JESÚS CORNEJO DOMÍNGUEZ</v>
      </c>
      <c r="I1109" s="268" t="s">
        <v>4781</v>
      </c>
      <c r="J1109" s="272" t="s">
        <v>4747</v>
      </c>
      <c r="K1109" s="268" t="s">
        <v>6250</v>
      </c>
      <c r="L1109" s="287">
        <v>45517</v>
      </c>
      <c r="M1109" s="277"/>
      <c r="N1109" s="282">
        <v>1</v>
      </c>
      <c r="O1109" s="284" t="s">
        <v>4720</v>
      </c>
      <c r="P1109" s="280">
        <v>2162.73</v>
      </c>
      <c r="Q1109" s="315">
        <v>45475</v>
      </c>
      <c r="R1109" s="272"/>
      <c r="S1109" s="272"/>
      <c r="T1109" s="272"/>
      <c r="U1109" s="272"/>
      <c r="V1109" s="272"/>
      <c r="W1109" s="272"/>
      <c r="X1109" s="272"/>
      <c r="Y1109" s="272"/>
      <c r="Z1109" s="272"/>
      <c r="AA1109" s="272"/>
    </row>
    <row r="1110" spans="1:27">
      <c r="A1110" s="273">
        <v>8</v>
      </c>
      <c r="B1110" s="274" t="s">
        <v>6216</v>
      </c>
      <c r="C1110" s="314">
        <v>45484</v>
      </c>
      <c r="D1110" s="274" t="s">
        <v>4714</v>
      </c>
      <c r="E1110" s="268" t="s">
        <v>5735</v>
      </c>
      <c r="F1110" s="272" t="s">
        <v>4715</v>
      </c>
      <c r="G1110" s="268" t="s">
        <v>4716</v>
      </c>
      <c r="H1110" s="268" t="str">
        <f t="shared" si="6"/>
        <v>JOSÉ EUGENIO ESTRADA GROMAZ</v>
      </c>
      <c r="I1110" s="268" t="s">
        <v>4876</v>
      </c>
      <c r="J1110" s="272" t="s">
        <v>4790</v>
      </c>
      <c r="K1110" s="268" t="s">
        <v>6251</v>
      </c>
      <c r="L1110" s="287">
        <v>45518</v>
      </c>
      <c r="M1110" s="283"/>
      <c r="N1110" s="282">
        <v>2</v>
      </c>
      <c r="O1110" s="284" t="s">
        <v>4723</v>
      </c>
      <c r="P1110" s="280">
        <v>2909.09</v>
      </c>
      <c r="Q1110" s="315">
        <v>45484</v>
      </c>
      <c r="R1110" s="272"/>
      <c r="S1110" s="272"/>
      <c r="T1110" s="272"/>
      <c r="U1110" s="272"/>
      <c r="V1110" s="272"/>
      <c r="W1110" s="272"/>
      <c r="X1110" s="272"/>
      <c r="Y1110" s="272"/>
      <c r="Z1110" s="272"/>
      <c r="AA1110" s="272"/>
    </row>
    <row r="1111" spans="1:27">
      <c r="A1111" s="273">
        <v>8</v>
      </c>
      <c r="B1111" s="274" t="s">
        <v>6216</v>
      </c>
      <c r="C1111" s="314">
        <v>45446</v>
      </c>
      <c r="D1111" s="274" t="s">
        <v>4714</v>
      </c>
      <c r="E1111" s="268" t="s">
        <v>4780</v>
      </c>
      <c r="F1111" s="268" t="s">
        <v>4715</v>
      </c>
      <c r="G1111" s="268" t="s">
        <v>4716</v>
      </c>
      <c r="H1111" s="268" t="str">
        <f t="shared" si="6"/>
        <v>LUIS MIGUEL RINCÓN ESTEBAN</v>
      </c>
      <c r="I1111" s="268" t="s">
        <v>5307</v>
      </c>
      <c r="J1111" s="272" t="s">
        <v>4747</v>
      </c>
      <c r="K1111" s="268" t="s">
        <v>6220</v>
      </c>
      <c r="L1111" s="287">
        <v>45518</v>
      </c>
      <c r="M1111" s="277"/>
      <c r="N1111" s="282">
        <v>1</v>
      </c>
      <c r="O1111" s="284" t="s">
        <v>4740</v>
      </c>
      <c r="P1111" s="280">
        <v>904</v>
      </c>
      <c r="Q1111" s="315">
        <v>45446</v>
      </c>
      <c r="R1111" s="272"/>
      <c r="S1111" s="272"/>
      <c r="T1111" s="272"/>
      <c r="U1111" s="272"/>
      <c r="V1111" s="272"/>
      <c r="W1111" s="272"/>
      <c r="X1111" s="272"/>
      <c r="Y1111" s="272"/>
      <c r="Z1111" s="272"/>
      <c r="AA1111" s="272"/>
    </row>
    <row r="1112" spans="1:27">
      <c r="A1112" s="273">
        <v>8</v>
      </c>
      <c r="B1112" s="274" t="s">
        <v>6216</v>
      </c>
      <c r="C1112" s="314">
        <v>45495</v>
      </c>
      <c r="D1112" s="274" t="s">
        <v>4714</v>
      </c>
      <c r="E1112" s="268" t="s">
        <v>2873</v>
      </c>
      <c r="F1112" s="268" t="s">
        <v>4715</v>
      </c>
      <c r="G1112" s="268" t="s">
        <v>4716</v>
      </c>
      <c r="H1112" s="268" t="str">
        <f t="shared" si="6"/>
        <v>AURORA LÓPEZ LLAMES</v>
      </c>
      <c r="I1112" s="268" t="s">
        <v>6252</v>
      </c>
      <c r="J1112" s="272" t="s">
        <v>4736</v>
      </c>
      <c r="K1112" s="268" t="s">
        <v>6253</v>
      </c>
      <c r="L1112" s="287">
        <v>45523</v>
      </c>
      <c r="M1112" s="277"/>
      <c r="N1112" s="282">
        <v>2</v>
      </c>
      <c r="O1112" s="284" t="s">
        <v>4723</v>
      </c>
      <c r="P1112" s="280">
        <v>2888.18</v>
      </c>
      <c r="Q1112" s="315">
        <v>45495</v>
      </c>
      <c r="R1112" s="272"/>
      <c r="S1112" s="272"/>
      <c r="T1112" s="272"/>
      <c r="U1112" s="272"/>
      <c r="V1112" s="272"/>
      <c r="W1112" s="272"/>
      <c r="X1112" s="272"/>
      <c r="Y1112" s="272"/>
      <c r="Z1112" s="272"/>
      <c r="AA1112" s="272"/>
    </row>
    <row r="1113" spans="1:27">
      <c r="A1113" s="273">
        <v>8</v>
      </c>
      <c r="B1113" s="274" t="s">
        <v>6216</v>
      </c>
      <c r="C1113" s="314">
        <v>45524</v>
      </c>
      <c r="D1113" s="274" t="s">
        <v>4714</v>
      </c>
      <c r="E1113" s="268" t="s">
        <v>5735</v>
      </c>
      <c r="F1113" s="272" t="s">
        <v>4715</v>
      </c>
      <c r="G1113" s="268" t="s">
        <v>4716</v>
      </c>
      <c r="H1113" s="268" t="str">
        <f t="shared" si="6"/>
        <v>MIGUEL MAYO YÁÑEZ</v>
      </c>
      <c r="I1113" s="268" t="s">
        <v>4966</v>
      </c>
      <c r="J1113" s="272" t="s">
        <v>4790</v>
      </c>
      <c r="K1113" s="268" t="s">
        <v>6254</v>
      </c>
      <c r="L1113" s="287">
        <v>45524</v>
      </c>
      <c r="M1113" s="283"/>
      <c r="N1113" s="282">
        <v>2</v>
      </c>
      <c r="O1113" s="284" t="s">
        <v>4720</v>
      </c>
      <c r="P1113" s="280">
        <v>3272.73</v>
      </c>
      <c r="Q1113" s="315">
        <v>45524</v>
      </c>
      <c r="R1113" s="272"/>
      <c r="S1113" s="272"/>
      <c r="T1113" s="272"/>
      <c r="U1113" s="272"/>
      <c r="V1113" s="272"/>
      <c r="W1113" s="272"/>
      <c r="X1113" s="272"/>
      <c r="Y1113" s="272"/>
      <c r="Z1113" s="272"/>
      <c r="AA1113" s="272"/>
    </row>
    <row r="1114" spans="1:27">
      <c r="A1114" s="273">
        <v>8</v>
      </c>
      <c r="B1114" s="274" t="s">
        <v>6216</v>
      </c>
      <c r="C1114" s="314">
        <v>45482</v>
      </c>
      <c r="D1114" s="274" t="s">
        <v>4714</v>
      </c>
      <c r="E1114" s="268" t="s">
        <v>2935</v>
      </c>
      <c r="F1114" s="268" t="s">
        <v>4715</v>
      </c>
      <c r="G1114" s="268" t="s">
        <v>4716</v>
      </c>
      <c r="H1114" s="268" t="str">
        <f t="shared" si="6"/>
        <v>HELENA MORENO PARDO</v>
      </c>
      <c r="I1114" s="268" t="s">
        <v>5619</v>
      </c>
      <c r="J1114" s="272" t="s">
        <v>4718</v>
      </c>
      <c r="K1114" s="268" t="s">
        <v>6255</v>
      </c>
      <c r="L1114" s="287">
        <v>45524</v>
      </c>
      <c r="M1114" s="283"/>
      <c r="N1114" s="282">
        <v>2</v>
      </c>
      <c r="O1114" s="284" t="s">
        <v>5814</v>
      </c>
      <c r="P1114" s="280">
        <v>4000</v>
      </c>
      <c r="Q1114" s="315">
        <v>45482</v>
      </c>
      <c r="R1114" s="272"/>
      <c r="S1114" s="272"/>
      <c r="T1114" s="272"/>
      <c r="U1114" s="272"/>
      <c r="V1114" s="272"/>
      <c r="W1114" s="272"/>
      <c r="X1114" s="272"/>
      <c r="Y1114" s="272"/>
      <c r="Z1114" s="272"/>
      <c r="AA1114" s="272"/>
    </row>
    <row r="1115" spans="1:27">
      <c r="A1115" s="273">
        <v>8</v>
      </c>
      <c r="B1115" s="274" t="s">
        <v>6216</v>
      </c>
      <c r="C1115" s="314">
        <v>45468</v>
      </c>
      <c r="D1115" s="274" t="s">
        <v>4714</v>
      </c>
      <c r="E1115" s="268" t="s">
        <v>2873</v>
      </c>
      <c r="F1115" s="268" t="s">
        <v>4715</v>
      </c>
      <c r="G1115" s="268" t="s">
        <v>4716</v>
      </c>
      <c r="H1115" s="268" t="str">
        <f t="shared" si="6"/>
        <v>JUAN JAVIER ÁLVAREZ LÓPEZ</v>
      </c>
      <c r="I1115" s="268" t="s">
        <v>4938</v>
      </c>
      <c r="J1115" s="272" t="s">
        <v>4736</v>
      </c>
      <c r="K1115" s="268" t="s">
        <v>6256</v>
      </c>
      <c r="L1115" s="287">
        <v>45524</v>
      </c>
      <c r="M1115" s="277"/>
      <c r="N1115" s="282">
        <v>2</v>
      </c>
      <c r="O1115" s="284" t="s">
        <v>4723</v>
      </c>
      <c r="P1115" s="280">
        <v>2743.64</v>
      </c>
      <c r="Q1115" s="315">
        <v>45468</v>
      </c>
      <c r="R1115" s="272"/>
      <c r="S1115" s="272"/>
      <c r="T1115" s="272"/>
      <c r="U1115" s="272"/>
      <c r="V1115" s="272"/>
      <c r="W1115" s="272"/>
      <c r="X1115" s="272"/>
      <c r="Y1115" s="272"/>
      <c r="Z1115" s="272"/>
      <c r="AA1115" s="272"/>
    </row>
    <row r="1116" spans="1:27">
      <c r="A1116" s="273">
        <v>8</v>
      </c>
      <c r="B1116" s="274" t="s">
        <v>6216</v>
      </c>
      <c r="C1116" s="314">
        <v>45482</v>
      </c>
      <c r="D1116" s="274" t="s">
        <v>4714</v>
      </c>
      <c r="E1116" s="268" t="s">
        <v>2909</v>
      </c>
      <c r="F1116" s="272" t="s">
        <v>4715</v>
      </c>
      <c r="G1116" s="268" t="s">
        <v>4716</v>
      </c>
      <c r="H1116" s="268" t="str">
        <f t="shared" si="6"/>
        <v>JOSÉ MIGUEL COSTA GONZÁLEZ</v>
      </c>
      <c r="I1116" s="268" t="s">
        <v>6257</v>
      </c>
      <c r="J1116" s="272" t="s">
        <v>4806</v>
      </c>
      <c r="K1116" s="268" t="s">
        <v>6258</v>
      </c>
      <c r="L1116" s="276">
        <v>45525</v>
      </c>
      <c r="M1116" s="283"/>
      <c r="N1116" s="282">
        <v>2</v>
      </c>
      <c r="O1116" s="284" t="s">
        <v>4723</v>
      </c>
      <c r="P1116" s="280">
        <v>2888.18</v>
      </c>
      <c r="Q1116" s="315">
        <v>45482</v>
      </c>
      <c r="R1116" s="272"/>
      <c r="S1116" s="272"/>
      <c r="T1116" s="272"/>
      <c r="U1116" s="272"/>
      <c r="V1116" s="272"/>
      <c r="W1116" s="272"/>
      <c r="X1116" s="272"/>
      <c r="Y1116" s="272"/>
      <c r="Z1116" s="272"/>
      <c r="AA1116" s="272"/>
    </row>
    <row r="1117" spans="1:27">
      <c r="A1117" s="273">
        <v>8</v>
      </c>
      <c r="B1117" s="274" t="s">
        <v>6216</v>
      </c>
      <c r="C1117" s="314">
        <v>45420</v>
      </c>
      <c r="D1117" s="274" t="s">
        <v>4714</v>
      </c>
      <c r="E1117" s="268" t="s">
        <v>4775</v>
      </c>
      <c r="F1117" s="272" t="s">
        <v>4715</v>
      </c>
      <c r="G1117" s="268" t="s">
        <v>4716</v>
      </c>
      <c r="H1117" s="268" t="str">
        <f t="shared" si="6"/>
        <v>FERNANDO SALAZAR BARCELONA</v>
      </c>
      <c r="I1117" s="268" t="s">
        <v>4776</v>
      </c>
      <c r="J1117" s="272" t="s">
        <v>4822</v>
      </c>
      <c r="K1117" s="268" t="s">
        <v>6259</v>
      </c>
      <c r="L1117" s="287">
        <v>45525</v>
      </c>
      <c r="M1117" s="283"/>
      <c r="N1117" s="282">
        <v>1</v>
      </c>
      <c r="O1117" s="284" t="s">
        <v>4723</v>
      </c>
      <c r="P1117" s="280">
        <v>1363.64</v>
      </c>
      <c r="Q1117" s="315">
        <v>45420</v>
      </c>
      <c r="R1117" s="272"/>
      <c r="S1117" s="272"/>
      <c r="T1117" s="272"/>
      <c r="U1117" s="272"/>
      <c r="V1117" s="272"/>
      <c r="W1117" s="272"/>
      <c r="X1117" s="272"/>
      <c r="Y1117" s="272"/>
      <c r="Z1117" s="272"/>
      <c r="AA1117" s="272"/>
    </row>
    <row r="1118" spans="1:27">
      <c r="A1118" s="273">
        <v>8</v>
      </c>
      <c r="B1118" s="274" t="s">
        <v>6216</v>
      </c>
      <c r="C1118" s="314">
        <v>45490</v>
      </c>
      <c r="D1118" s="274" t="s">
        <v>4714</v>
      </c>
      <c r="E1118" s="268" t="s">
        <v>3011</v>
      </c>
      <c r="F1118" s="268" t="s">
        <v>4715</v>
      </c>
      <c r="G1118" s="268" t="s">
        <v>4716</v>
      </c>
      <c r="H1118" s="268" t="str">
        <f t="shared" si="6"/>
        <v>ANTONIO GANDÚL MERCHÁN</v>
      </c>
      <c r="I1118" s="268" t="s">
        <v>5044</v>
      </c>
      <c r="J1118" s="272" t="s">
        <v>4729</v>
      </c>
      <c r="K1118" s="268" t="s">
        <v>6260</v>
      </c>
      <c r="L1118" s="287">
        <v>45525</v>
      </c>
      <c r="M1118" s="277"/>
      <c r="N1118" s="282">
        <v>2</v>
      </c>
      <c r="O1118" s="284" t="s">
        <v>4720</v>
      </c>
      <c r="P1118" s="280">
        <v>3710</v>
      </c>
      <c r="Q1118" s="315">
        <v>45490</v>
      </c>
      <c r="R1118" s="272"/>
      <c r="S1118" s="272"/>
      <c r="T1118" s="272"/>
      <c r="U1118" s="272"/>
      <c r="V1118" s="272"/>
      <c r="W1118" s="272"/>
      <c r="X1118" s="272"/>
      <c r="Y1118" s="272"/>
      <c r="Z1118" s="272"/>
      <c r="AA1118" s="272"/>
    </row>
    <row r="1119" spans="1:27">
      <c r="A1119" s="273">
        <v>8</v>
      </c>
      <c r="B1119" s="274" t="s">
        <v>6216</v>
      </c>
      <c r="C1119" s="314">
        <v>45457</v>
      </c>
      <c r="D1119" s="274" t="s">
        <v>4714</v>
      </c>
      <c r="E1119" s="268" t="s">
        <v>2863</v>
      </c>
      <c r="F1119" s="272" t="s">
        <v>4715</v>
      </c>
      <c r="G1119" s="268" t="s">
        <v>4716</v>
      </c>
      <c r="H1119" s="268" t="str">
        <f t="shared" si="6"/>
        <v>BLANCA MARIA MARTINEZ DURO</v>
      </c>
      <c r="I1119" s="268" t="s">
        <v>6261</v>
      </c>
      <c r="J1119" s="272" t="s">
        <v>4736</v>
      </c>
      <c r="K1119" s="268" t="s">
        <v>6262</v>
      </c>
      <c r="L1119" s="276">
        <v>45526</v>
      </c>
      <c r="M1119" s="283"/>
      <c r="N1119" s="282">
        <v>2</v>
      </c>
      <c r="O1119" s="284" t="s">
        <v>4740</v>
      </c>
      <c r="P1119" s="280">
        <v>4000</v>
      </c>
      <c r="Q1119" s="315">
        <v>45457</v>
      </c>
      <c r="R1119" s="272"/>
      <c r="S1119" s="272"/>
      <c r="T1119" s="272"/>
      <c r="U1119" s="272"/>
      <c r="V1119" s="272"/>
      <c r="W1119" s="272"/>
      <c r="X1119" s="272"/>
      <c r="Y1119" s="272"/>
      <c r="Z1119" s="272"/>
      <c r="AA1119" s="272"/>
    </row>
    <row r="1120" spans="1:27">
      <c r="A1120" s="273">
        <v>8</v>
      </c>
      <c r="B1120" s="274" t="s">
        <v>6216</v>
      </c>
      <c r="C1120" s="314">
        <v>45478</v>
      </c>
      <c r="D1120" s="274" t="s">
        <v>4714</v>
      </c>
      <c r="E1120" s="268" t="s">
        <v>4775</v>
      </c>
      <c r="F1120" s="272" t="s">
        <v>4715</v>
      </c>
      <c r="G1120" s="268" t="s">
        <v>4716</v>
      </c>
      <c r="H1120" s="268" t="str">
        <f t="shared" si="6"/>
        <v>FERNANDO SALAZAR BARCELONA</v>
      </c>
      <c r="I1120" s="268" t="s">
        <v>4776</v>
      </c>
      <c r="J1120" s="272" t="s">
        <v>4822</v>
      </c>
      <c r="K1120" s="268" t="s">
        <v>6263</v>
      </c>
      <c r="L1120" s="287">
        <v>45526</v>
      </c>
      <c r="M1120" s="283"/>
      <c r="N1120" s="282">
        <v>1</v>
      </c>
      <c r="O1120" s="284" t="s">
        <v>4787</v>
      </c>
      <c r="P1120" s="280">
        <v>2363.64</v>
      </c>
      <c r="Q1120" s="315">
        <v>45478</v>
      </c>
      <c r="R1120" s="272"/>
      <c r="S1120" s="272"/>
      <c r="T1120" s="272"/>
      <c r="U1120" s="272"/>
      <c r="V1120" s="272"/>
      <c r="W1120" s="272"/>
      <c r="X1120" s="272"/>
      <c r="Y1120" s="272"/>
      <c r="Z1120" s="272"/>
      <c r="AA1120" s="272"/>
    </row>
    <row r="1121" spans="1:27">
      <c r="A1121" s="273">
        <v>8</v>
      </c>
      <c r="B1121" s="274" t="s">
        <v>6216</v>
      </c>
      <c r="C1121" s="314"/>
      <c r="D1121" s="274" t="s">
        <v>4714</v>
      </c>
      <c r="E1121" s="268" t="s">
        <v>2869</v>
      </c>
      <c r="F1121" s="268" t="s">
        <v>4715</v>
      </c>
      <c r="G1121" s="268" t="s">
        <v>4716</v>
      </c>
      <c r="H1121" s="268" t="str">
        <f t="shared" si="6"/>
        <v>MARÍA AGUSTINA SEVILLA GARCÍA</v>
      </c>
      <c r="I1121" s="268" t="s">
        <v>4812</v>
      </c>
      <c r="J1121" s="272" t="s">
        <v>4736</v>
      </c>
      <c r="K1121" s="268" t="s">
        <v>6264</v>
      </c>
      <c r="L1121" s="287">
        <v>45526</v>
      </c>
      <c r="M1121" s="277"/>
      <c r="N1121" s="282">
        <v>2</v>
      </c>
      <c r="O1121" s="284" t="s">
        <v>4720</v>
      </c>
      <c r="P1121" s="280">
        <v>3710</v>
      </c>
      <c r="Q1121" s="315"/>
      <c r="R1121" s="272"/>
      <c r="S1121" s="272"/>
      <c r="T1121" s="272"/>
      <c r="U1121" s="272"/>
      <c r="V1121" s="272"/>
      <c r="W1121" s="272"/>
      <c r="X1121" s="272"/>
      <c r="Y1121" s="272"/>
      <c r="Z1121" s="272"/>
      <c r="AA1121" s="272"/>
    </row>
    <row r="1122" spans="1:27">
      <c r="A1122" s="273">
        <v>8</v>
      </c>
      <c r="B1122" s="274" t="s">
        <v>6216</v>
      </c>
      <c r="C1122" s="314">
        <v>45497</v>
      </c>
      <c r="D1122" s="274" t="s">
        <v>4714</v>
      </c>
      <c r="E1122" s="268" t="s">
        <v>2900</v>
      </c>
      <c r="F1122" s="268" t="s">
        <v>4715</v>
      </c>
      <c r="G1122" s="268" t="s">
        <v>4716</v>
      </c>
      <c r="H1122" s="268" t="str">
        <f t="shared" si="6"/>
        <v>Rafael Alfonso Hurtado Ruzza</v>
      </c>
      <c r="I1122" s="268" t="s">
        <v>5042</v>
      </c>
      <c r="J1122" s="272" t="s">
        <v>4790</v>
      </c>
      <c r="K1122" s="268" t="s">
        <v>6265</v>
      </c>
      <c r="L1122" s="287">
        <v>45526</v>
      </c>
      <c r="M1122" s="277"/>
      <c r="N1122" s="282">
        <v>2</v>
      </c>
      <c r="O1122" s="284" t="s">
        <v>4720</v>
      </c>
      <c r="P1122" s="280">
        <v>3524.5</v>
      </c>
      <c r="Q1122" s="315">
        <v>45497</v>
      </c>
      <c r="R1122" s="272"/>
      <c r="S1122" s="272"/>
      <c r="T1122" s="272"/>
      <c r="U1122" s="272"/>
      <c r="V1122" s="272"/>
      <c r="W1122" s="272"/>
      <c r="X1122" s="272"/>
      <c r="Y1122" s="272"/>
      <c r="Z1122" s="272"/>
      <c r="AA1122" s="272"/>
    </row>
    <row r="1123" spans="1:27">
      <c r="A1123" s="273">
        <v>8</v>
      </c>
      <c r="B1123" s="274" t="s">
        <v>6216</v>
      </c>
      <c r="C1123" s="314">
        <v>45477</v>
      </c>
      <c r="D1123" s="274" t="s">
        <v>4714</v>
      </c>
      <c r="E1123" s="268" t="s">
        <v>4745</v>
      </c>
      <c r="F1123" s="268" t="s">
        <v>4715</v>
      </c>
      <c r="G1123" s="268" t="s">
        <v>4716</v>
      </c>
      <c r="H1123" s="268" t="str">
        <f t="shared" si="6"/>
        <v>CARMEN VALLÉS RODRÍGUEZ</v>
      </c>
      <c r="I1123" s="268" t="s">
        <v>5661</v>
      </c>
      <c r="J1123" s="268" t="s">
        <v>4747</v>
      </c>
      <c r="K1123" s="268" t="s">
        <v>6266</v>
      </c>
      <c r="L1123" s="287">
        <v>45526</v>
      </c>
      <c r="M1123" s="277"/>
      <c r="N1123" s="282">
        <v>2</v>
      </c>
      <c r="O1123" s="284" t="s">
        <v>5814</v>
      </c>
      <c r="P1123" s="280">
        <v>3800</v>
      </c>
      <c r="Q1123" s="315">
        <v>45477</v>
      </c>
      <c r="R1123" s="272"/>
      <c r="S1123" s="272"/>
      <c r="T1123" s="272"/>
      <c r="U1123" s="272"/>
      <c r="V1123" s="272"/>
      <c r="W1123" s="272"/>
      <c r="X1123" s="272"/>
      <c r="Y1123" s="272"/>
      <c r="Z1123" s="272"/>
      <c r="AA1123" s="272"/>
    </row>
    <row r="1124" spans="1:27">
      <c r="A1124" s="273">
        <v>8</v>
      </c>
      <c r="B1124" s="274" t="s">
        <v>6216</v>
      </c>
      <c r="C1124" s="314">
        <v>45454</v>
      </c>
      <c r="D1124" s="274" t="s">
        <v>4714</v>
      </c>
      <c r="E1124" s="268" t="s">
        <v>4799</v>
      </c>
      <c r="F1124" s="268" t="s">
        <v>4715</v>
      </c>
      <c r="G1124" s="268" t="s">
        <v>4716</v>
      </c>
      <c r="H1124" s="268" t="str">
        <f t="shared" si="6"/>
        <v>MANUEL ESTEVEZ GARCÍA</v>
      </c>
      <c r="I1124" s="268" t="s">
        <v>5683</v>
      </c>
      <c r="J1124" s="268" t="s">
        <v>4790</v>
      </c>
      <c r="K1124" s="268" t="s">
        <v>6267</v>
      </c>
      <c r="L1124" s="287">
        <v>45526</v>
      </c>
      <c r="M1124" s="283"/>
      <c r="N1124" s="282">
        <v>1</v>
      </c>
      <c r="O1124" s="284" t="s">
        <v>4720</v>
      </c>
      <c r="P1124" s="280">
        <v>1681.82</v>
      </c>
      <c r="Q1124" s="315">
        <v>45454</v>
      </c>
      <c r="R1124" s="272"/>
      <c r="S1124" s="272"/>
      <c r="T1124" s="272"/>
      <c r="U1124" s="272"/>
      <c r="V1124" s="272"/>
      <c r="W1124" s="272"/>
      <c r="X1124" s="272"/>
      <c r="Y1124" s="272"/>
      <c r="Z1124" s="272"/>
      <c r="AA1124" s="272"/>
    </row>
    <row r="1125" spans="1:27">
      <c r="A1125" s="273">
        <v>8</v>
      </c>
      <c r="B1125" s="274" t="s">
        <v>6216</v>
      </c>
      <c r="C1125" s="314">
        <v>45469</v>
      </c>
      <c r="D1125" s="274" t="s">
        <v>4714</v>
      </c>
      <c r="E1125" s="268" t="s">
        <v>4775</v>
      </c>
      <c r="F1125" s="272" t="s">
        <v>4715</v>
      </c>
      <c r="G1125" s="268" t="s">
        <v>4716</v>
      </c>
      <c r="H1125" s="268" t="str">
        <f t="shared" si="6"/>
        <v>FERNANDO SALAZAR BARCELONA</v>
      </c>
      <c r="I1125" s="268" t="s">
        <v>4776</v>
      </c>
      <c r="J1125" s="272" t="s">
        <v>4822</v>
      </c>
      <c r="K1125" s="268" t="s">
        <v>6268</v>
      </c>
      <c r="L1125" s="287">
        <v>45527</v>
      </c>
      <c r="M1125" s="283"/>
      <c r="N1125" s="282">
        <v>2</v>
      </c>
      <c r="O1125" s="284" t="s">
        <v>4720</v>
      </c>
      <c r="P1125" s="280">
        <v>3454.55</v>
      </c>
      <c r="Q1125" s="315">
        <v>45469</v>
      </c>
      <c r="R1125" s="272"/>
      <c r="S1125" s="272"/>
      <c r="T1125" s="272"/>
      <c r="U1125" s="272"/>
      <c r="V1125" s="272"/>
      <c r="W1125" s="272"/>
      <c r="X1125" s="272"/>
      <c r="Y1125" s="272"/>
      <c r="Z1125" s="272"/>
      <c r="AA1125" s="272"/>
    </row>
    <row r="1126" spans="1:27">
      <c r="A1126" s="273">
        <v>8</v>
      </c>
      <c r="B1126" s="274" t="s">
        <v>6216</v>
      </c>
      <c r="C1126" s="314">
        <v>45476</v>
      </c>
      <c r="D1126" s="274" t="s">
        <v>4714</v>
      </c>
      <c r="E1126" s="268" t="s">
        <v>2900</v>
      </c>
      <c r="F1126" s="268" t="s">
        <v>4715</v>
      </c>
      <c r="G1126" s="268" t="s">
        <v>4716</v>
      </c>
      <c r="H1126" s="268" t="str">
        <f t="shared" si="6"/>
        <v>ANA QUINTANA SANJUAN</v>
      </c>
      <c r="I1126" s="268" t="s">
        <v>5199</v>
      </c>
      <c r="J1126" s="268" t="s">
        <v>4790</v>
      </c>
      <c r="K1126" s="268" t="s">
        <v>6269</v>
      </c>
      <c r="L1126" s="287">
        <v>45527</v>
      </c>
      <c r="M1126" s="277"/>
      <c r="N1126" s="282">
        <v>1</v>
      </c>
      <c r="O1126" s="284" t="s">
        <v>4723</v>
      </c>
      <c r="P1126" s="280">
        <v>1636.54</v>
      </c>
      <c r="Q1126" s="315">
        <v>45476</v>
      </c>
      <c r="R1126" s="272"/>
      <c r="S1126" s="272"/>
      <c r="T1126" s="272"/>
      <c r="U1126" s="272"/>
      <c r="V1126" s="272"/>
      <c r="W1126" s="272"/>
      <c r="X1126" s="272"/>
      <c r="Y1126" s="272"/>
      <c r="Z1126" s="272"/>
      <c r="AA1126" s="272"/>
    </row>
    <row r="1127" spans="1:27">
      <c r="A1127" s="273">
        <v>8</v>
      </c>
      <c r="B1127" s="274" t="s">
        <v>6216</v>
      </c>
      <c r="C1127" s="314">
        <v>45488</v>
      </c>
      <c r="D1127" s="274" t="s">
        <v>4714</v>
      </c>
      <c r="E1127" s="268" t="s">
        <v>4780</v>
      </c>
      <c r="F1127" s="268" t="s">
        <v>4715</v>
      </c>
      <c r="G1127" s="268" t="s">
        <v>4716</v>
      </c>
      <c r="H1127" s="268" t="str">
        <f t="shared" si="6"/>
        <v>LUIS MIGUEL RINCÓN ESTEBAN</v>
      </c>
      <c r="I1127" s="268" t="s">
        <v>5307</v>
      </c>
      <c r="J1127" s="272" t="s">
        <v>4747</v>
      </c>
      <c r="K1127" s="268" t="s">
        <v>6270</v>
      </c>
      <c r="L1127" s="287">
        <v>45527</v>
      </c>
      <c r="M1127" s="283"/>
      <c r="N1127" s="282">
        <v>2</v>
      </c>
      <c r="O1127" s="284" t="s">
        <v>4720</v>
      </c>
      <c r="P1127" s="280">
        <v>3604.55</v>
      </c>
      <c r="Q1127" s="315">
        <v>45488</v>
      </c>
      <c r="R1127" s="272"/>
      <c r="S1127" s="272"/>
      <c r="T1127" s="272"/>
      <c r="U1127" s="272"/>
      <c r="V1127" s="272"/>
      <c r="W1127" s="272"/>
      <c r="X1127" s="272"/>
      <c r="Y1127" s="272"/>
      <c r="Z1127" s="272"/>
      <c r="AA1127" s="272"/>
    </row>
    <row r="1128" spans="1:27">
      <c r="A1128" s="273">
        <v>8</v>
      </c>
      <c r="B1128" s="274" t="s">
        <v>6216</v>
      </c>
      <c r="C1128" s="314">
        <v>45496</v>
      </c>
      <c r="D1128" s="274" t="s">
        <v>4714</v>
      </c>
      <c r="E1128" s="268" t="s">
        <v>2916</v>
      </c>
      <c r="F1128" s="272" t="s">
        <v>4715</v>
      </c>
      <c r="G1128" s="268" t="s">
        <v>4716</v>
      </c>
      <c r="H1128" s="268" t="str">
        <f t="shared" si="6"/>
        <v>DARÍO AGUDELO GARCÍA</v>
      </c>
      <c r="I1128" s="268" t="s">
        <v>4810</v>
      </c>
      <c r="J1128" s="272" t="s">
        <v>4806</v>
      </c>
      <c r="K1128" s="268" t="s">
        <v>6271</v>
      </c>
      <c r="L1128" s="287">
        <v>45530</v>
      </c>
      <c r="M1128" s="283"/>
      <c r="N1128" s="282">
        <v>2</v>
      </c>
      <c r="O1128" s="284" t="s">
        <v>4723</v>
      </c>
      <c r="P1128" s="280">
        <v>2888.18</v>
      </c>
      <c r="Q1128" s="315">
        <v>45496</v>
      </c>
      <c r="R1128" s="272"/>
      <c r="S1128" s="272"/>
      <c r="T1128" s="272"/>
      <c r="U1128" s="272"/>
      <c r="V1128" s="272"/>
      <c r="W1128" s="272"/>
      <c r="X1128" s="272"/>
      <c r="Y1128" s="272"/>
      <c r="Z1128" s="272"/>
      <c r="AA1128" s="272"/>
    </row>
    <row r="1129" spans="1:27">
      <c r="A1129" s="273">
        <v>8</v>
      </c>
      <c r="B1129" s="274" t="s">
        <v>6216</v>
      </c>
      <c r="C1129" s="314">
        <v>45475</v>
      </c>
      <c r="D1129" s="274" t="s">
        <v>4714</v>
      </c>
      <c r="E1129" s="268" t="s">
        <v>3529</v>
      </c>
      <c r="F1129" s="268" t="s">
        <v>4715</v>
      </c>
      <c r="G1129" s="268" t="s">
        <v>4716</v>
      </c>
      <c r="H1129" s="268" t="str">
        <f t="shared" si="6"/>
        <v>NO REUERDA ORL</v>
      </c>
      <c r="I1129" s="268" t="s">
        <v>4743</v>
      </c>
      <c r="J1129" s="272" t="s">
        <v>4729</v>
      </c>
      <c r="K1129" s="268" t="s">
        <v>6272</v>
      </c>
      <c r="L1129" s="287">
        <v>45530</v>
      </c>
      <c r="M1129" s="283"/>
      <c r="N1129" s="282">
        <v>2</v>
      </c>
      <c r="O1129" s="284" t="s">
        <v>4723</v>
      </c>
      <c r="P1129" s="280">
        <v>2888.18</v>
      </c>
      <c r="Q1129" s="315">
        <v>45475</v>
      </c>
      <c r="R1129" s="272"/>
      <c r="S1129" s="272"/>
      <c r="T1129" s="272"/>
      <c r="U1129" s="272"/>
      <c r="V1129" s="272"/>
      <c r="W1129" s="272"/>
      <c r="X1129" s="272"/>
      <c r="Y1129" s="272"/>
      <c r="Z1129" s="272"/>
      <c r="AA1129" s="272"/>
    </row>
    <row r="1130" spans="1:27">
      <c r="A1130" s="273">
        <v>8</v>
      </c>
      <c r="B1130" s="274" t="s">
        <v>6216</v>
      </c>
      <c r="C1130" s="314"/>
      <c r="D1130" s="274" t="s">
        <v>4714</v>
      </c>
      <c r="E1130" s="268" t="s">
        <v>2916</v>
      </c>
      <c r="F1130" s="272" t="s">
        <v>4715</v>
      </c>
      <c r="G1130" s="268" t="s">
        <v>4716</v>
      </c>
      <c r="H1130" s="268" t="str">
        <f t="shared" si="6"/>
        <v>AINA BRUNET</v>
      </c>
      <c r="I1130" s="268" t="s">
        <v>6273</v>
      </c>
      <c r="J1130" s="272" t="s">
        <v>4806</v>
      </c>
      <c r="K1130" s="268" t="s">
        <v>6274</v>
      </c>
      <c r="L1130" s="287">
        <v>45531</v>
      </c>
      <c r="M1130" s="283"/>
      <c r="N1130" s="282">
        <v>2</v>
      </c>
      <c r="O1130" s="284" t="s">
        <v>4720</v>
      </c>
      <c r="P1130" s="280">
        <v>3524.5</v>
      </c>
      <c r="Q1130" s="315"/>
      <c r="R1130" s="272"/>
      <c r="S1130" s="272"/>
      <c r="T1130" s="272"/>
      <c r="U1130" s="272"/>
      <c r="V1130" s="272"/>
      <c r="W1130" s="272"/>
      <c r="X1130" s="272"/>
      <c r="Y1130" s="272"/>
      <c r="Z1130" s="272"/>
      <c r="AA1130" s="272"/>
    </row>
    <row r="1131" spans="1:27">
      <c r="A1131" s="273">
        <v>8</v>
      </c>
      <c r="B1131" s="274" t="s">
        <v>6216</v>
      </c>
      <c r="C1131" s="314">
        <v>45497</v>
      </c>
      <c r="D1131" s="274" t="s">
        <v>4714</v>
      </c>
      <c r="E1131" s="268" t="s">
        <v>2893</v>
      </c>
      <c r="F1131" s="272" t="s">
        <v>4715</v>
      </c>
      <c r="G1131" s="268" t="s">
        <v>4716</v>
      </c>
      <c r="H1131" s="268" t="str">
        <f t="shared" si="6"/>
        <v>JESÚS ATALAYA DÍAZ</v>
      </c>
      <c r="I1131" s="268" t="s">
        <v>5073</v>
      </c>
      <c r="J1131" s="272" t="s">
        <v>4718</v>
      </c>
      <c r="K1131" s="268" t="s">
        <v>6275</v>
      </c>
      <c r="L1131" s="287">
        <v>45531</v>
      </c>
      <c r="M1131" s="283"/>
      <c r="N1131" s="282">
        <v>2</v>
      </c>
      <c r="O1131" s="284" t="s">
        <v>5814</v>
      </c>
      <c r="P1131" s="280">
        <v>4000</v>
      </c>
      <c r="Q1131" s="315">
        <v>45497</v>
      </c>
      <c r="R1131" s="272"/>
      <c r="S1131" s="272"/>
      <c r="T1131" s="272"/>
      <c r="U1131" s="272"/>
      <c r="V1131" s="272"/>
      <c r="W1131" s="272"/>
      <c r="X1131" s="272"/>
      <c r="Y1131" s="272"/>
      <c r="Z1131" s="272"/>
      <c r="AA1131" s="272"/>
    </row>
    <row r="1132" spans="1:27">
      <c r="A1132" s="273">
        <v>8</v>
      </c>
      <c r="B1132" s="274" t="s">
        <v>6216</v>
      </c>
      <c r="C1132" s="314">
        <v>45484</v>
      </c>
      <c r="D1132" s="274" t="s">
        <v>4714</v>
      </c>
      <c r="E1132" s="268" t="s">
        <v>4945</v>
      </c>
      <c r="F1132" s="272" t="s">
        <v>4715</v>
      </c>
      <c r="G1132" s="268" t="s">
        <v>4716</v>
      </c>
      <c r="H1132" s="268" t="str">
        <f t="shared" si="6"/>
        <v>PEDRO JUIZ LÓPEZ</v>
      </c>
      <c r="I1132" s="268" t="s">
        <v>4946</v>
      </c>
      <c r="J1132" s="272" t="s">
        <v>4790</v>
      </c>
      <c r="K1132" s="268" t="s">
        <v>6276</v>
      </c>
      <c r="L1132" s="287">
        <v>45531</v>
      </c>
      <c r="M1132" s="283"/>
      <c r="N1132" s="282">
        <v>1</v>
      </c>
      <c r="O1132" s="284" t="s">
        <v>4720</v>
      </c>
      <c r="P1132" s="280">
        <v>2181.8200000000002</v>
      </c>
      <c r="Q1132" s="315">
        <v>45484</v>
      </c>
      <c r="R1132" s="272"/>
      <c r="S1132" s="272"/>
      <c r="T1132" s="272"/>
      <c r="U1132" s="272"/>
      <c r="V1132" s="272"/>
      <c r="W1132" s="272"/>
      <c r="X1132" s="272"/>
      <c r="Y1132" s="272"/>
      <c r="Z1132" s="272"/>
      <c r="AA1132" s="272"/>
    </row>
    <row r="1133" spans="1:27">
      <c r="A1133" s="273">
        <v>8</v>
      </c>
      <c r="B1133" s="274" t="s">
        <v>6216</v>
      </c>
      <c r="C1133" s="314">
        <v>45467</v>
      </c>
      <c r="D1133" s="274" t="s">
        <v>4714</v>
      </c>
      <c r="E1133" s="268" t="s">
        <v>2869</v>
      </c>
      <c r="F1133" s="268" t="s">
        <v>4715</v>
      </c>
      <c r="G1133" s="268" t="s">
        <v>4716</v>
      </c>
      <c r="H1133" s="268" t="str">
        <f t="shared" si="6"/>
        <v>JESÚS MIGUEL INIESTA TURPÍN</v>
      </c>
      <c r="I1133" s="268" t="s">
        <v>4868</v>
      </c>
      <c r="J1133" s="272" t="s">
        <v>4736</v>
      </c>
      <c r="K1133" s="268" t="s">
        <v>6277</v>
      </c>
      <c r="L1133" s="287">
        <v>45531</v>
      </c>
      <c r="M1133" s="283"/>
      <c r="N1133" s="282">
        <v>2</v>
      </c>
      <c r="O1133" s="284" t="s">
        <v>5814</v>
      </c>
      <c r="P1133" s="280">
        <v>3507.27</v>
      </c>
      <c r="Q1133" s="315">
        <v>45467</v>
      </c>
      <c r="R1133" s="272"/>
      <c r="S1133" s="272"/>
      <c r="T1133" s="272"/>
      <c r="U1133" s="272"/>
      <c r="V1133" s="272"/>
      <c r="W1133" s="272"/>
      <c r="X1133" s="272"/>
      <c r="Y1133" s="272"/>
      <c r="Z1133" s="272"/>
      <c r="AA1133" s="272"/>
    </row>
    <row r="1134" spans="1:27">
      <c r="A1134" s="273">
        <v>8</v>
      </c>
      <c r="B1134" s="274" t="s">
        <v>6216</v>
      </c>
      <c r="C1134" s="314"/>
      <c r="D1134" s="274" t="s">
        <v>4714</v>
      </c>
      <c r="E1134" s="268" t="s">
        <v>3011</v>
      </c>
      <c r="F1134" s="268" t="s">
        <v>4715</v>
      </c>
      <c r="G1134" s="268" t="s">
        <v>4716</v>
      </c>
      <c r="H1134" s="268" t="str">
        <f t="shared" si="6"/>
        <v>MARÍA JOSEFA HERVÁS NÚÑEZ</v>
      </c>
      <c r="I1134" s="268" t="s">
        <v>6278</v>
      </c>
      <c r="J1134" s="272" t="s">
        <v>4729</v>
      </c>
      <c r="K1134" s="268" t="s">
        <v>6279</v>
      </c>
      <c r="L1134" s="287">
        <v>45531</v>
      </c>
      <c r="M1134" s="283"/>
      <c r="N1134" s="282">
        <v>2</v>
      </c>
      <c r="O1134" s="284" t="s">
        <v>5814</v>
      </c>
      <c r="P1134" s="280">
        <v>3800</v>
      </c>
      <c r="Q1134" s="315"/>
      <c r="R1134" s="272"/>
      <c r="S1134" s="272"/>
      <c r="T1134" s="272"/>
      <c r="U1134" s="272"/>
      <c r="V1134" s="272"/>
      <c r="W1134" s="272"/>
      <c r="X1134" s="272"/>
      <c r="Y1134" s="272"/>
      <c r="Z1134" s="272"/>
      <c r="AA1134" s="272"/>
    </row>
    <row r="1135" spans="1:27">
      <c r="A1135" s="273">
        <v>8</v>
      </c>
      <c r="B1135" s="274" t="s">
        <v>6216</v>
      </c>
      <c r="C1135" s="314">
        <v>45474</v>
      </c>
      <c r="D1135" s="274" t="s">
        <v>4714</v>
      </c>
      <c r="E1135" s="268" t="s">
        <v>4194</v>
      </c>
      <c r="F1135" s="272" t="s">
        <v>4715</v>
      </c>
      <c r="G1135" s="268" t="s">
        <v>4716</v>
      </c>
      <c r="H1135" s="268" t="str">
        <f t="shared" si="6"/>
        <v>CRISTINA MUÑOZ PINTO</v>
      </c>
      <c r="I1135" s="268" t="s">
        <v>5173</v>
      </c>
      <c r="J1135" s="272" t="s">
        <v>4736</v>
      </c>
      <c r="K1135" s="268" t="s">
        <v>6280</v>
      </c>
      <c r="L1135" s="276">
        <v>45532</v>
      </c>
      <c r="M1135" s="283"/>
      <c r="N1135" s="282">
        <v>2</v>
      </c>
      <c r="O1135" s="284" t="s">
        <v>4723</v>
      </c>
      <c r="P1135" s="280">
        <v>2888.18</v>
      </c>
      <c r="Q1135" s="315">
        <v>45474</v>
      </c>
      <c r="R1135" s="272"/>
      <c r="S1135" s="272"/>
      <c r="T1135" s="272"/>
      <c r="U1135" s="272"/>
      <c r="V1135" s="272"/>
      <c r="W1135" s="272"/>
      <c r="X1135" s="272"/>
      <c r="Y1135" s="272"/>
      <c r="Z1135" s="272"/>
      <c r="AA1135" s="272"/>
    </row>
    <row r="1136" spans="1:27">
      <c r="A1136" s="273">
        <v>8</v>
      </c>
      <c r="B1136" s="274" t="s">
        <v>6216</v>
      </c>
      <c r="C1136" s="314">
        <v>45503</v>
      </c>
      <c r="D1136" s="274" t="s">
        <v>4714</v>
      </c>
      <c r="E1136" s="268" t="s">
        <v>2916</v>
      </c>
      <c r="F1136" s="272" t="s">
        <v>4715</v>
      </c>
      <c r="G1136" s="268" t="s">
        <v>4716</v>
      </c>
      <c r="H1136" s="268" t="str">
        <f t="shared" si="6"/>
        <v>MARTA MESALLES RUIZ</v>
      </c>
      <c r="I1136" s="268" t="s">
        <v>6281</v>
      </c>
      <c r="J1136" s="272" t="s">
        <v>4806</v>
      </c>
      <c r="K1136" s="268" t="s">
        <v>6282</v>
      </c>
      <c r="L1136" s="287">
        <v>45532</v>
      </c>
      <c r="M1136" s="283"/>
      <c r="N1136" s="282">
        <v>2</v>
      </c>
      <c r="O1136" s="284" t="s">
        <v>4723</v>
      </c>
      <c r="P1136" s="280">
        <v>2888.18</v>
      </c>
      <c r="Q1136" s="315">
        <v>45503</v>
      </c>
      <c r="R1136" s="272"/>
      <c r="S1136" s="272"/>
      <c r="T1136" s="272"/>
      <c r="U1136" s="272"/>
      <c r="V1136" s="272"/>
      <c r="W1136" s="272"/>
      <c r="X1136" s="272"/>
      <c r="Y1136" s="272"/>
      <c r="Z1136" s="272"/>
      <c r="AA1136" s="272"/>
    </row>
    <row r="1137" spans="1:27">
      <c r="A1137" s="273">
        <v>8</v>
      </c>
      <c r="B1137" s="274" t="s">
        <v>6216</v>
      </c>
      <c r="C1137" s="314"/>
      <c r="D1137" s="274" t="s">
        <v>4714</v>
      </c>
      <c r="E1137" s="268" t="s">
        <v>2869</v>
      </c>
      <c r="F1137" s="268" t="s">
        <v>4715</v>
      </c>
      <c r="G1137" s="268" t="s">
        <v>4716</v>
      </c>
      <c r="H1137" s="268" t="str">
        <f t="shared" si="6"/>
        <v>ENRIQUE VIVIENTE RODRÍGUEZ</v>
      </c>
      <c r="I1137" s="268" t="s">
        <v>5118</v>
      </c>
      <c r="J1137" s="272" t="s">
        <v>4736</v>
      </c>
      <c r="K1137" s="268" t="s">
        <v>6283</v>
      </c>
      <c r="L1137" s="287">
        <v>45532</v>
      </c>
      <c r="M1137" s="283"/>
      <c r="N1137" s="282">
        <v>1</v>
      </c>
      <c r="O1137" s="284" t="s">
        <v>4787</v>
      </c>
      <c r="P1137" s="280">
        <v>2230</v>
      </c>
      <c r="Q1137" s="315"/>
      <c r="R1137" s="272"/>
      <c r="S1137" s="272"/>
      <c r="T1137" s="272"/>
      <c r="U1137" s="272"/>
      <c r="V1137" s="272"/>
      <c r="W1137" s="272"/>
      <c r="X1137" s="272"/>
      <c r="Y1137" s="272"/>
      <c r="Z1137" s="272"/>
      <c r="AA1137" s="272"/>
    </row>
    <row r="1138" spans="1:27">
      <c r="A1138" s="273">
        <v>8</v>
      </c>
      <c r="B1138" s="274" t="s">
        <v>6216</v>
      </c>
      <c r="C1138" s="314">
        <v>45481</v>
      </c>
      <c r="D1138" s="274" t="s">
        <v>4714</v>
      </c>
      <c r="E1138" s="268" t="s">
        <v>2893</v>
      </c>
      <c r="F1138" s="272" t="s">
        <v>4715</v>
      </c>
      <c r="G1138" s="268" t="s">
        <v>4716</v>
      </c>
      <c r="H1138" s="268" t="str">
        <f t="shared" si="6"/>
        <v>VIRGINIA DÍAZ GUERRERO</v>
      </c>
      <c r="I1138" s="268" t="s">
        <v>6284</v>
      </c>
      <c r="J1138" s="272" t="s">
        <v>4718</v>
      </c>
      <c r="K1138" s="268" t="s">
        <v>6285</v>
      </c>
      <c r="L1138" s="287">
        <v>45533</v>
      </c>
      <c r="M1138" s="283"/>
      <c r="N1138" s="282">
        <v>2</v>
      </c>
      <c r="O1138" s="284" t="s">
        <v>4787</v>
      </c>
      <c r="P1138" s="280">
        <v>4400</v>
      </c>
      <c r="Q1138" s="315">
        <v>45481</v>
      </c>
      <c r="R1138" s="272"/>
      <c r="S1138" s="272"/>
      <c r="T1138" s="272"/>
      <c r="U1138" s="272"/>
      <c r="V1138" s="272"/>
      <c r="W1138" s="272"/>
      <c r="X1138" s="272"/>
      <c r="Y1138" s="272"/>
      <c r="Z1138" s="272"/>
      <c r="AA1138" s="272"/>
    </row>
    <row r="1139" spans="1:27">
      <c r="A1139" s="273">
        <v>8</v>
      </c>
      <c r="B1139" s="274" t="s">
        <v>6216</v>
      </c>
      <c r="C1139" s="314">
        <v>45524</v>
      </c>
      <c r="D1139" s="274" t="s">
        <v>4714</v>
      </c>
      <c r="E1139" s="268" t="s">
        <v>5130</v>
      </c>
      <c r="F1139" s="272" t="s">
        <v>4715</v>
      </c>
      <c r="G1139" s="268" t="s">
        <v>4716</v>
      </c>
      <c r="H1139" s="268" t="str">
        <f t="shared" si="6"/>
        <v>GERARDO MARTIN SIGUENZA</v>
      </c>
      <c r="I1139" s="268" t="s">
        <v>5656</v>
      </c>
      <c r="J1139" s="272" t="s">
        <v>4747</v>
      </c>
      <c r="K1139" s="268" t="s">
        <v>6286</v>
      </c>
      <c r="L1139" s="287">
        <v>45533</v>
      </c>
      <c r="M1139" s="283"/>
      <c r="N1139" s="282">
        <v>2</v>
      </c>
      <c r="O1139" s="284" t="s">
        <v>4720</v>
      </c>
      <c r="P1139" s="280">
        <v>3710</v>
      </c>
      <c r="Q1139" s="315">
        <v>45524</v>
      </c>
      <c r="R1139" s="272"/>
      <c r="S1139" s="272"/>
      <c r="T1139" s="272"/>
      <c r="U1139" s="272"/>
      <c r="V1139" s="272"/>
      <c r="W1139" s="272"/>
      <c r="X1139" s="272"/>
      <c r="Y1139" s="272"/>
      <c r="Z1139" s="272"/>
      <c r="AA1139" s="272"/>
    </row>
    <row r="1140" spans="1:27">
      <c r="A1140" s="273">
        <v>8</v>
      </c>
      <c r="B1140" s="274" t="s">
        <v>6216</v>
      </c>
      <c r="C1140" s="314">
        <v>45442</v>
      </c>
      <c r="D1140" s="274" t="s">
        <v>4714</v>
      </c>
      <c r="E1140" s="268" t="s">
        <v>3758</v>
      </c>
      <c r="F1140" s="268" t="s">
        <v>4715</v>
      </c>
      <c r="G1140" s="268" t="s">
        <v>4716</v>
      </c>
      <c r="H1140" s="268" t="str">
        <f t="shared" si="6"/>
        <v>VÍCTOR JOSÉ GONZÁLEZ ARIAS</v>
      </c>
      <c r="I1140" s="318" t="s">
        <v>6287</v>
      </c>
      <c r="J1140" s="272" t="s">
        <v>4718</v>
      </c>
      <c r="K1140" s="268" t="s">
        <v>6288</v>
      </c>
      <c r="L1140" s="287">
        <v>45533</v>
      </c>
      <c r="M1140" s="283"/>
      <c r="N1140" s="282">
        <v>2</v>
      </c>
      <c r="O1140" s="284" t="s">
        <v>5814</v>
      </c>
      <c r="P1140" s="280">
        <v>3507.27</v>
      </c>
      <c r="Q1140" s="315">
        <v>45442</v>
      </c>
      <c r="R1140" s="272"/>
      <c r="S1140" s="272"/>
      <c r="T1140" s="272"/>
      <c r="U1140" s="272"/>
      <c r="V1140" s="272"/>
      <c r="W1140" s="272"/>
      <c r="X1140" s="272"/>
      <c r="Y1140" s="272"/>
      <c r="Z1140" s="272"/>
      <c r="AA1140" s="272"/>
    </row>
    <row r="1141" spans="1:27">
      <c r="A1141" s="273">
        <v>8</v>
      </c>
      <c r="B1141" s="274" t="s">
        <v>6216</v>
      </c>
      <c r="C1141" s="314">
        <v>45488</v>
      </c>
      <c r="D1141" s="274" t="s">
        <v>4714</v>
      </c>
      <c r="E1141" s="268" t="s">
        <v>4780</v>
      </c>
      <c r="F1141" s="268" t="s">
        <v>4715</v>
      </c>
      <c r="G1141" s="268" t="s">
        <v>4716</v>
      </c>
      <c r="H1141" s="268" t="str">
        <f t="shared" si="6"/>
        <v>JOSE ANTONIO SANCIPRIANO HERNÁNDEZ</v>
      </c>
      <c r="I1141" s="268" t="s">
        <v>6289</v>
      </c>
      <c r="J1141" s="272" t="s">
        <v>4747</v>
      </c>
      <c r="K1141" s="268" t="s">
        <v>6290</v>
      </c>
      <c r="L1141" s="287">
        <v>45533</v>
      </c>
      <c r="M1141" s="277"/>
      <c r="N1141" s="282">
        <v>2</v>
      </c>
      <c r="O1141" s="284" t="s">
        <v>4720</v>
      </c>
      <c r="P1141" s="280">
        <v>3604.55</v>
      </c>
      <c r="Q1141" s="315">
        <v>45488</v>
      </c>
      <c r="R1141" s="272"/>
      <c r="S1141" s="272"/>
      <c r="T1141" s="272"/>
      <c r="U1141" s="272"/>
      <c r="V1141" s="272"/>
      <c r="W1141" s="272"/>
      <c r="X1141" s="272"/>
      <c r="Y1141" s="272"/>
      <c r="Z1141" s="272"/>
      <c r="AA1141" s="272"/>
    </row>
    <row r="1142" spans="1:27">
      <c r="A1142" s="273">
        <v>8</v>
      </c>
      <c r="B1142" s="274" t="s">
        <v>6216</v>
      </c>
      <c r="C1142" s="314">
        <v>45462</v>
      </c>
      <c r="D1142" s="274" t="s">
        <v>4714</v>
      </c>
      <c r="E1142" s="268" t="s">
        <v>3011</v>
      </c>
      <c r="F1142" s="268" t="s">
        <v>4715</v>
      </c>
      <c r="G1142" s="268" t="s">
        <v>4716</v>
      </c>
      <c r="H1142" s="268" t="str">
        <f t="shared" si="6"/>
        <v>NO REUERDA ORL</v>
      </c>
      <c r="I1142" s="268" t="s">
        <v>4743</v>
      </c>
      <c r="J1142" s="272" t="s">
        <v>4729</v>
      </c>
      <c r="K1142" s="268" t="s">
        <v>6291</v>
      </c>
      <c r="L1142" s="287">
        <v>45533</v>
      </c>
      <c r="M1142" s="277"/>
      <c r="N1142" s="282">
        <v>2</v>
      </c>
      <c r="O1142" s="284" t="s">
        <v>5814</v>
      </c>
      <c r="P1142" s="280">
        <v>3800</v>
      </c>
      <c r="Q1142" s="315">
        <v>45462</v>
      </c>
      <c r="R1142" s="272"/>
      <c r="S1142" s="272"/>
      <c r="T1142" s="272"/>
      <c r="U1142" s="272"/>
      <c r="V1142" s="272"/>
      <c r="W1142" s="272"/>
      <c r="X1142" s="272"/>
      <c r="Y1142" s="272"/>
      <c r="Z1142" s="272"/>
      <c r="AA1142" s="272"/>
    </row>
    <row r="1143" spans="1:27">
      <c r="A1143" s="273">
        <v>8</v>
      </c>
      <c r="B1143" s="274" t="s">
        <v>6216</v>
      </c>
      <c r="C1143" s="314">
        <v>45490</v>
      </c>
      <c r="D1143" s="274" t="s">
        <v>4714</v>
      </c>
      <c r="E1143" s="268" t="s">
        <v>4194</v>
      </c>
      <c r="F1143" s="272" t="s">
        <v>4715</v>
      </c>
      <c r="G1143" s="268" t="s">
        <v>4716</v>
      </c>
      <c r="H1143" s="268" t="str">
        <f t="shared" si="6"/>
        <v>CRISTINA MUÑOZ PINTO</v>
      </c>
      <c r="I1143" s="268" t="s">
        <v>5173</v>
      </c>
      <c r="J1143" s="272" t="s">
        <v>4736</v>
      </c>
      <c r="K1143" s="268" t="s">
        <v>6292</v>
      </c>
      <c r="L1143" s="276">
        <v>45534</v>
      </c>
      <c r="M1143" s="283"/>
      <c r="N1143" s="282">
        <v>1</v>
      </c>
      <c r="O1143" s="284" t="s">
        <v>4723</v>
      </c>
      <c r="P1143" s="280">
        <v>1718.18</v>
      </c>
      <c r="Q1143" s="315">
        <v>45490</v>
      </c>
      <c r="R1143" s="272"/>
      <c r="S1143" s="272"/>
      <c r="T1143" s="272"/>
      <c r="U1143" s="272"/>
      <c r="V1143" s="272"/>
      <c r="W1143" s="272"/>
      <c r="X1143" s="272"/>
      <c r="Y1143" s="272"/>
      <c r="Z1143" s="272"/>
      <c r="AA1143" s="272"/>
    </row>
    <row r="1144" spans="1:27">
      <c r="A1144" s="273">
        <v>8</v>
      </c>
      <c r="B1144" s="274" t="s">
        <v>6216</v>
      </c>
      <c r="C1144" s="314">
        <v>45489</v>
      </c>
      <c r="D1144" s="274" t="s">
        <v>4714</v>
      </c>
      <c r="E1144" s="268" t="s">
        <v>2909</v>
      </c>
      <c r="F1144" s="272" t="s">
        <v>4715</v>
      </c>
      <c r="G1144" s="268" t="s">
        <v>4716</v>
      </c>
      <c r="H1144" s="268" t="str">
        <f t="shared" si="6"/>
        <v>EVIANS GÓMEZ DE LA ROSA</v>
      </c>
      <c r="I1144" s="268" t="s">
        <v>5068</v>
      </c>
      <c r="J1144" s="272" t="s">
        <v>4806</v>
      </c>
      <c r="K1144" s="268" t="s">
        <v>6293</v>
      </c>
      <c r="L1144" s="276">
        <v>45534</v>
      </c>
      <c r="M1144" s="283"/>
      <c r="N1144" s="282">
        <v>2</v>
      </c>
      <c r="O1144" s="284" t="s">
        <v>5814</v>
      </c>
      <c r="P1144" s="280">
        <v>4000</v>
      </c>
      <c r="Q1144" s="315">
        <v>45489</v>
      </c>
      <c r="R1144" s="272"/>
      <c r="S1144" s="272"/>
      <c r="T1144" s="272"/>
      <c r="U1144" s="272"/>
      <c r="V1144" s="272"/>
      <c r="W1144" s="272"/>
      <c r="X1144" s="272"/>
      <c r="Y1144" s="272"/>
      <c r="Z1144" s="272"/>
      <c r="AA1144" s="272"/>
    </row>
    <row r="1145" spans="1:27">
      <c r="A1145" s="273">
        <v>8</v>
      </c>
      <c r="B1145" s="274" t="s">
        <v>6216</v>
      </c>
      <c r="C1145" s="314">
        <v>45477</v>
      </c>
      <c r="D1145" s="274" t="s">
        <v>4714</v>
      </c>
      <c r="E1145" s="268" t="s">
        <v>4820</v>
      </c>
      <c r="F1145" s="272" t="s">
        <v>4715</v>
      </c>
      <c r="G1145" s="268" t="s">
        <v>4716</v>
      </c>
      <c r="H1145" s="268" t="str">
        <f t="shared" si="6"/>
        <v>JAVIER GARCÍA GÓMEZ</v>
      </c>
      <c r="I1145" s="268" t="s">
        <v>5220</v>
      </c>
      <c r="J1145" s="272" t="s">
        <v>4822</v>
      </c>
      <c r="K1145" s="268" t="s">
        <v>6294</v>
      </c>
      <c r="L1145" s="276">
        <v>45534</v>
      </c>
      <c r="M1145" s="283"/>
      <c r="N1145" s="282">
        <v>2</v>
      </c>
      <c r="O1145" s="284" t="s">
        <v>4723</v>
      </c>
      <c r="P1145" s="280">
        <v>2770</v>
      </c>
      <c r="Q1145" s="315">
        <v>45477</v>
      </c>
      <c r="R1145" s="272"/>
      <c r="S1145" s="272"/>
      <c r="T1145" s="272"/>
      <c r="U1145" s="272"/>
      <c r="V1145" s="272"/>
      <c r="W1145" s="272"/>
      <c r="X1145" s="272"/>
      <c r="Y1145" s="272"/>
      <c r="Z1145" s="272"/>
      <c r="AA1145" s="272"/>
    </row>
    <row r="1146" spans="1:27">
      <c r="A1146" s="273">
        <v>8</v>
      </c>
      <c r="B1146" s="274" t="s">
        <v>6216</v>
      </c>
      <c r="C1146" s="314">
        <v>45455</v>
      </c>
      <c r="D1146" s="274" t="s">
        <v>4714</v>
      </c>
      <c r="E1146" s="268" t="s">
        <v>3480</v>
      </c>
      <c r="F1146" s="272" t="s">
        <v>4715</v>
      </c>
      <c r="G1146" s="268" t="s">
        <v>4716</v>
      </c>
      <c r="H1146" s="268" t="str">
        <f t="shared" si="6"/>
        <v>PALOMA MARTÍN- ARAGÓN MARTIÍ</v>
      </c>
      <c r="I1146" s="268" t="s">
        <v>4917</v>
      </c>
      <c r="J1146" s="272" t="s">
        <v>4718</v>
      </c>
      <c r="K1146" s="268" t="s">
        <v>6295</v>
      </c>
      <c r="L1146" s="287">
        <v>45534</v>
      </c>
      <c r="M1146" s="283"/>
      <c r="N1146" s="282">
        <v>2</v>
      </c>
      <c r="O1146" s="284" t="s">
        <v>5814</v>
      </c>
      <c r="P1146" s="280">
        <v>3454.55</v>
      </c>
      <c r="Q1146" s="315">
        <v>45455</v>
      </c>
      <c r="R1146" s="272"/>
      <c r="S1146" s="272"/>
      <c r="T1146" s="272"/>
      <c r="U1146" s="272"/>
      <c r="V1146" s="272"/>
      <c r="W1146" s="272"/>
      <c r="X1146" s="272"/>
      <c r="Y1146" s="272"/>
      <c r="Z1146" s="272"/>
      <c r="AA1146" s="272"/>
    </row>
    <row r="1147" spans="1:27">
      <c r="A1147" s="273">
        <v>8</v>
      </c>
      <c r="B1147" s="274" t="s">
        <v>6216</v>
      </c>
      <c r="C1147" s="314">
        <v>45488</v>
      </c>
      <c r="D1147" s="274" t="s">
        <v>4714</v>
      </c>
      <c r="E1147" s="268" t="s">
        <v>2869</v>
      </c>
      <c r="F1147" s="268" t="s">
        <v>4715</v>
      </c>
      <c r="G1147" s="268" t="s">
        <v>4716</v>
      </c>
      <c r="H1147" s="268" t="str">
        <f t="shared" si="6"/>
        <v>NO REUERDA ORL</v>
      </c>
      <c r="I1147" s="268" t="s">
        <v>4743</v>
      </c>
      <c r="J1147" s="268" t="s">
        <v>4736</v>
      </c>
      <c r="K1147" s="268" t="s">
        <v>6296</v>
      </c>
      <c r="L1147" s="287">
        <v>45534</v>
      </c>
      <c r="M1147" s="283"/>
      <c r="N1147" s="282">
        <v>2</v>
      </c>
      <c r="O1147" s="284" t="s">
        <v>4723</v>
      </c>
      <c r="P1147" s="280">
        <v>2743.27</v>
      </c>
      <c r="Q1147" s="315">
        <v>45488</v>
      </c>
      <c r="R1147" s="272"/>
      <c r="S1147" s="272"/>
      <c r="T1147" s="272"/>
      <c r="U1147" s="272"/>
      <c r="V1147" s="272"/>
      <c r="W1147" s="272"/>
      <c r="X1147" s="272"/>
      <c r="Y1147" s="272"/>
      <c r="Z1147" s="272"/>
      <c r="AA1147" s="272"/>
    </row>
    <row r="1148" spans="1:27">
      <c r="A1148" s="273">
        <v>9</v>
      </c>
      <c r="B1148" s="274" t="s">
        <v>6297</v>
      </c>
      <c r="C1148" s="314">
        <v>45509</v>
      </c>
      <c r="D1148" s="274" t="s">
        <v>4714</v>
      </c>
      <c r="E1148" s="268" t="s">
        <v>4775</v>
      </c>
      <c r="F1148" s="272" t="s">
        <v>4715</v>
      </c>
      <c r="G1148" s="268" t="s">
        <v>4716</v>
      </c>
      <c r="H1148" s="268" t="str">
        <f t="shared" si="6"/>
        <v>FERNANDO SALAZAR BARCELONA</v>
      </c>
      <c r="I1148" s="268" t="s">
        <v>4776</v>
      </c>
      <c r="J1148" s="272" t="s">
        <v>4822</v>
      </c>
      <c r="K1148" s="268" t="s">
        <v>6298</v>
      </c>
      <c r="L1148" s="287">
        <v>45537</v>
      </c>
      <c r="M1148" s="283"/>
      <c r="N1148" s="282">
        <v>2</v>
      </c>
      <c r="O1148" s="284" t="s">
        <v>4720</v>
      </c>
      <c r="P1148" s="280">
        <v>3454.55</v>
      </c>
      <c r="Q1148" s="315">
        <v>45509</v>
      </c>
      <c r="R1148" s="272"/>
      <c r="S1148" s="272"/>
      <c r="T1148" s="272"/>
      <c r="U1148" s="272"/>
      <c r="V1148" s="272"/>
      <c r="W1148" s="272"/>
      <c r="X1148" s="272"/>
      <c r="Y1148" s="272"/>
      <c r="Z1148" s="272"/>
      <c r="AA1148" s="272"/>
    </row>
    <row r="1149" spans="1:27">
      <c r="A1149" s="273">
        <v>9</v>
      </c>
      <c r="B1149" s="274" t="s">
        <v>6297</v>
      </c>
      <c r="C1149" s="314"/>
      <c r="D1149" s="274" t="s">
        <v>4714</v>
      </c>
      <c r="E1149" s="268" t="s">
        <v>2929</v>
      </c>
      <c r="F1149" s="272" t="s">
        <v>4715</v>
      </c>
      <c r="G1149" s="268" t="s">
        <v>4715</v>
      </c>
      <c r="H1149" s="268" t="str">
        <f t="shared" si="6"/>
        <v>JAVIER GARCÍA DOMÍNGUEZ</v>
      </c>
      <c r="I1149" s="268" t="s">
        <v>4881</v>
      </c>
      <c r="J1149" s="272" t="s">
        <v>4718</v>
      </c>
      <c r="K1149" s="268" t="s">
        <v>6299</v>
      </c>
      <c r="L1149" s="287">
        <v>45537</v>
      </c>
      <c r="M1149" s="283"/>
      <c r="N1149" s="282">
        <v>2</v>
      </c>
      <c r="O1149" s="284" t="s">
        <v>4720</v>
      </c>
      <c r="P1149" s="280">
        <v>3604.55</v>
      </c>
      <c r="Q1149" s="315"/>
      <c r="R1149" s="272"/>
      <c r="S1149" s="272"/>
      <c r="T1149" s="272"/>
      <c r="U1149" s="272"/>
      <c r="V1149" s="272"/>
      <c r="W1149" s="272"/>
      <c r="X1149" s="272"/>
      <c r="Y1149" s="272"/>
      <c r="Z1149" s="272"/>
      <c r="AA1149" s="272"/>
    </row>
    <row r="1150" spans="1:27">
      <c r="A1150" s="273">
        <v>9</v>
      </c>
      <c r="B1150" s="274" t="s">
        <v>6297</v>
      </c>
      <c r="C1150" s="314">
        <v>45483</v>
      </c>
      <c r="D1150" s="274" t="s">
        <v>4714</v>
      </c>
      <c r="E1150" s="268" t="s">
        <v>4820</v>
      </c>
      <c r="F1150" s="268" t="s">
        <v>4715</v>
      </c>
      <c r="G1150" s="268" t="s">
        <v>4716</v>
      </c>
      <c r="H1150" s="268" t="str">
        <f t="shared" si="6"/>
        <v>JAVIER GARCÍA GÓMEZ</v>
      </c>
      <c r="I1150" s="268" t="s">
        <v>5220</v>
      </c>
      <c r="J1150" s="268" t="s">
        <v>4822</v>
      </c>
      <c r="K1150" s="268" t="s">
        <v>6300</v>
      </c>
      <c r="L1150" s="287">
        <v>45538</v>
      </c>
      <c r="M1150" s="283"/>
      <c r="N1150" s="282">
        <v>2</v>
      </c>
      <c r="O1150" s="284" t="s">
        <v>4787</v>
      </c>
      <c r="P1150" s="280">
        <v>4700</v>
      </c>
      <c r="Q1150" s="315">
        <v>45483</v>
      </c>
      <c r="R1150" s="272"/>
      <c r="S1150" s="272"/>
      <c r="T1150" s="272"/>
      <c r="U1150" s="272"/>
      <c r="V1150" s="272"/>
      <c r="W1150" s="272"/>
      <c r="X1150" s="272"/>
      <c r="Y1150" s="272"/>
      <c r="Z1150" s="272"/>
      <c r="AA1150" s="272"/>
    </row>
    <row r="1151" spans="1:27">
      <c r="A1151" s="273">
        <v>9</v>
      </c>
      <c r="B1151" s="274" t="s">
        <v>6297</v>
      </c>
      <c r="C1151" s="314">
        <v>45530</v>
      </c>
      <c r="D1151" s="274" t="s">
        <v>4714</v>
      </c>
      <c r="E1151" s="268" t="s">
        <v>5130</v>
      </c>
      <c r="F1151" s="272" t="s">
        <v>4715</v>
      </c>
      <c r="G1151" s="268" t="s">
        <v>4716</v>
      </c>
      <c r="H1151" s="268" t="str">
        <f t="shared" si="6"/>
        <v>GERARDO MARTIN SIGUENZA</v>
      </c>
      <c r="I1151" s="268" t="s">
        <v>5656</v>
      </c>
      <c r="J1151" s="272" t="s">
        <v>4747</v>
      </c>
      <c r="K1151" s="268" t="s">
        <v>6301</v>
      </c>
      <c r="L1151" s="287">
        <v>45538</v>
      </c>
      <c r="M1151" s="283"/>
      <c r="N1151" s="282">
        <v>2</v>
      </c>
      <c r="O1151" s="284" t="s">
        <v>4723</v>
      </c>
      <c r="P1151" s="280">
        <v>3181.82</v>
      </c>
      <c r="Q1151" s="315">
        <v>45530</v>
      </c>
      <c r="R1151" s="272"/>
      <c r="S1151" s="272"/>
      <c r="T1151" s="272"/>
      <c r="U1151" s="272"/>
      <c r="V1151" s="272"/>
      <c r="W1151" s="272"/>
      <c r="X1151" s="272"/>
      <c r="Y1151" s="272"/>
      <c r="Z1151" s="272"/>
      <c r="AA1151" s="272"/>
    </row>
    <row r="1152" spans="1:27">
      <c r="A1152" s="273">
        <v>9</v>
      </c>
      <c r="B1152" s="274" t="s">
        <v>6297</v>
      </c>
      <c r="C1152" s="314">
        <v>45468</v>
      </c>
      <c r="D1152" s="274" t="s">
        <v>4714</v>
      </c>
      <c r="E1152" s="268" t="s">
        <v>3187</v>
      </c>
      <c r="F1152" s="268" t="s">
        <v>4715</v>
      </c>
      <c r="G1152" s="268" t="s">
        <v>4716</v>
      </c>
      <c r="H1152" s="268" t="str">
        <f t="shared" si="6"/>
        <v>ADOLFO TOLEDANO MUÑOZ</v>
      </c>
      <c r="I1152" s="268" t="s">
        <v>4830</v>
      </c>
      <c r="J1152" s="268" t="s">
        <v>4718</v>
      </c>
      <c r="K1152" s="268" t="s">
        <v>6302</v>
      </c>
      <c r="L1152" s="287">
        <v>45539</v>
      </c>
      <c r="M1152" s="283"/>
      <c r="N1152" s="282">
        <v>2</v>
      </c>
      <c r="O1152" s="284" t="s">
        <v>5814</v>
      </c>
      <c r="P1152" s="280">
        <v>4000</v>
      </c>
      <c r="Q1152" s="315">
        <v>45468</v>
      </c>
      <c r="R1152" s="272"/>
      <c r="S1152" s="272"/>
      <c r="T1152" s="272"/>
      <c r="U1152" s="272"/>
      <c r="V1152" s="272"/>
      <c r="W1152" s="272"/>
      <c r="X1152" s="272"/>
      <c r="Y1152" s="272"/>
      <c r="Z1152" s="272"/>
      <c r="AA1152" s="272"/>
    </row>
    <row r="1153" spans="1:27">
      <c r="A1153" s="273">
        <v>9</v>
      </c>
      <c r="B1153" s="274" t="s">
        <v>6297</v>
      </c>
      <c r="C1153" s="314">
        <v>45504</v>
      </c>
      <c r="D1153" s="274" t="s">
        <v>4714</v>
      </c>
      <c r="E1153" s="268" t="s">
        <v>2893</v>
      </c>
      <c r="F1153" s="268" t="s">
        <v>4715</v>
      </c>
      <c r="G1153" s="268" t="s">
        <v>4716</v>
      </c>
      <c r="H1153" s="268" t="str">
        <f t="shared" si="6"/>
        <v>VICENTE MARTÍNEZ SANTOS</v>
      </c>
      <c r="I1153" s="268" t="s">
        <v>4832</v>
      </c>
      <c r="J1153" s="268" t="s">
        <v>4718</v>
      </c>
      <c r="K1153" s="268" t="s">
        <v>6303</v>
      </c>
      <c r="L1153" s="287">
        <v>45539</v>
      </c>
      <c r="M1153" s="283"/>
      <c r="N1153" s="282">
        <v>2</v>
      </c>
      <c r="O1153" s="284" t="s">
        <v>4787</v>
      </c>
      <c r="P1153" s="280">
        <v>4400</v>
      </c>
      <c r="Q1153" s="315">
        <v>45504</v>
      </c>
      <c r="R1153" s="272"/>
      <c r="S1153" s="272"/>
      <c r="T1153" s="272"/>
      <c r="U1153" s="272"/>
      <c r="V1153" s="272"/>
      <c r="W1153" s="272"/>
      <c r="X1153" s="272"/>
      <c r="Y1153" s="272"/>
      <c r="Z1153" s="272"/>
      <c r="AA1153" s="272"/>
    </row>
    <row r="1154" spans="1:27">
      <c r="A1154" s="273">
        <v>9</v>
      </c>
      <c r="B1154" s="274" t="s">
        <v>6297</v>
      </c>
      <c r="C1154" s="314">
        <v>45485</v>
      </c>
      <c r="D1154" s="285" t="s">
        <v>4714</v>
      </c>
      <c r="E1154" s="268" t="s">
        <v>3758</v>
      </c>
      <c r="F1154" s="272" t="s">
        <v>4715</v>
      </c>
      <c r="G1154" s="268" t="s">
        <v>4716</v>
      </c>
      <c r="H1154" s="268" t="str">
        <f t="shared" si="6"/>
        <v>VÍCTOR JOSÉ GONZÁLEZ ARIAS</v>
      </c>
      <c r="I1154" s="268" t="s">
        <v>6287</v>
      </c>
      <c r="J1154" s="272" t="s">
        <v>4718</v>
      </c>
      <c r="K1154" s="268" t="s">
        <v>6304</v>
      </c>
      <c r="L1154" s="287">
        <v>45539</v>
      </c>
      <c r="M1154" s="283"/>
      <c r="N1154" s="282">
        <v>2</v>
      </c>
      <c r="O1154" s="284" t="s">
        <v>5814</v>
      </c>
      <c r="P1154" s="280">
        <v>3800</v>
      </c>
      <c r="Q1154" s="315">
        <v>45485</v>
      </c>
      <c r="R1154" s="272"/>
      <c r="S1154" s="272"/>
      <c r="T1154" s="272"/>
      <c r="U1154" s="272"/>
      <c r="V1154" s="272"/>
      <c r="W1154" s="272"/>
      <c r="X1154" s="272"/>
      <c r="Y1154" s="272"/>
      <c r="Z1154" s="272"/>
      <c r="AA1154" s="272"/>
    </row>
    <row r="1155" spans="1:27">
      <c r="A1155" s="273">
        <v>9</v>
      </c>
      <c r="B1155" s="274" t="s">
        <v>6297</v>
      </c>
      <c r="C1155" s="314">
        <v>45502</v>
      </c>
      <c r="D1155" s="274" t="s">
        <v>4714</v>
      </c>
      <c r="E1155" s="268" t="s">
        <v>4749</v>
      </c>
      <c r="F1155" s="272" t="s">
        <v>4715</v>
      </c>
      <c r="G1155" s="268" t="s">
        <v>4716</v>
      </c>
      <c r="H1155" s="268" t="str">
        <f t="shared" si="6"/>
        <v>MÓNICA GRANDA ROSALES</v>
      </c>
      <c r="I1155" s="268" t="s">
        <v>4750</v>
      </c>
      <c r="J1155" s="272" t="s">
        <v>4747</v>
      </c>
      <c r="K1155" s="268" t="s">
        <v>6305</v>
      </c>
      <c r="L1155" s="287">
        <v>45539</v>
      </c>
      <c r="M1155" s="283"/>
      <c r="N1155" s="282">
        <v>2</v>
      </c>
      <c r="O1155" s="284" t="s">
        <v>4723</v>
      </c>
      <c r="P1155" s="280">
        <v>3090.91</v>
      </c>
      <c r="Q1155" s="315">
        <v>45502</v>
      </c>
      <c r="R1155" s="272"/>
      <c r="S1155" s="272"/>
      <c r="T1155" s="272"/>
      <c r="U1155" s="272"/>
      <c r="V1155" s="272"/>
      <c r="W1155" s="272"/>
      <c r="X1155" s="272"/>
      <c r="Y1155" s="272"/>
      <c r="Z1155" s="272"/>
      <c r="AA1155" s="272"/>
    </row>
    <row r="1156" spans="1:27">
      <c r="A1156" s="273">
        <v>9</v>
      </c>
      <c r="B1156" s="274" t="s">
        <v>6297</v>
      </c>
      <c r="C1156" s="314">
        <v>45470</v>
      </c>
      <c r="D1156" s="274" t="s">
        <v>4714</v>
      </c>
      <c r="E1156" s="268" t="s">
        <v>6306</v>
      </c>
      <c r="F1156" s="272" t="s">
        <v>4715</v>
      </c>
      <c r="G1156" s="268" t="s">
        <v>4716</v>
      </c>
      <c r="H1156" s="268" t="str">
        <f t="shared" si="6"/>
        <v>DIANA LISBETH</v>
      </c>
      <c r="I1156" s="268" t="s">
        <v>4955</v>
      </c>
      <c r="J1156" s="272" t="s">
        <v>4747</v>
      </c>
      <c r="K1156" s="268" t="s">
        <v>6307</v>
      </c>
      <c r="L1156" s="287">
        <v>45540</v>
      </c>
      <c r="M1156" s="283"/>
      <c r="N1156" s="282">
        <v>2</v>
      </c>
      <c r="O1156" s="284" t="s">
        <v>4720</v>
      </c>
      <c r="P1156" s="280">
        <v>3545.45</v>
      </c>
      <c r="Q1156" s="315">
        <v>45470</v>
      </c>
      <c r="R1156" s="272"/>
      <c r="S1156" s="272"/>
      <c r="T1156" s="272"/>
      <c r="U1156" s="272"/>
      <c r="V1156" s="272"/>
      <c r="W1156" s="272"/>
      <c r="X1156" s="272"/>
      <c r="Y1156" s="272"/>
      <c r="Z1156" s="272"/>
      <c r="AA1156" s="272"/>
    </row>
    <row r="1157" spans="1:27">
      <c r="A1157" s="319">
        <v>9</v>
      </c>
      <c r="B1157" s="320" t="s">
        <v>6297</v>
      </c>
      <c r="C1157" s="321">
        <v>45510</v>
      </c>
      <c r="D1157" s="320" t="s">
        <v>4714</v>
      </c>
      <c r="E1157" s="286" t="s">
        <v>2900</v>
      </c>
      <c r="F1157" s="322" t="s">
        <v>4715</v>
      </c>
      <c r="G1157" s="286" t="s">
        <v>4716</v>
      </c>
      <c r="H1157" s="268" t="str">
        <f t="shared" si="6"/>
        <v>MOHAMED AL RIFAL AL MASTI</v>
      </c>
      <c r="I1157" s="286" t="s">
        <v>5269</v>
      </c>
      <c r="J1157" s="322" t="s">
        <v>4790</v>
      </c>
      <c r="K1157" s="286" t="s">
        <v>6308</v>
      </c>
      <c r="L1157" s="323">
        <v>45540</v>
      </c>
      <c r="M1157" s="324"/>
      <c r="N1157" s="292">
        <v>2</v>
      </c>
      <c r="O1157" s="293" t="s">
        <v>4720</v>
      </c>
      <c r="P1157" s="294">
        <v>3391.82</v>
      </c>
      <c r="Q1157" s="325">
        <v>45510</v>
      </c>
      <c r="R1157" s="272"/>
      <c r="S1157" s="272"/>
      <c r="T1157" s="272"/>
      <c r="U1157" s="272"/>
      <c r="V1157" s="272"/>
      <c r="W1157" s="272"/>
      <c r="X1157" s="272"/>
      <c r="Y1157" s="272"/>
      <c r="Z1157" s="272"/>
      <c r="AA1157" s="272"/>
    </row>
    <row r="1158" spans="1:27">
      <c r="A1158" s="273">
        <v>9</v>
      </c>
      <c r="B1158" s="274" t="s">
        <v>6297</v>
      </c>
      <c r="C1158" s="314">
        <v>45474</v>
      </c>
      <c r="D1158" s="274" t="s">
        <v>4714</v>
      </c>
      <c r="E1158" s="268" t="s">
        <v>3011</v>
      </c>
      <c r="F1158" s="272" t="s">
        <v>4715</v>
      </c>
      <c r="G1158" s="268" t="s">
        <v>6309</v>
      </c>
      <c r="H1158" s="268" t="str">
        <f t="shared" si="6"/>
        <v>ESTEFANÍA BERROCAL POSTIGO</v>
      </c>
      <c r="I1158" s="268" t="s">
        <v>5201</v>
      </c>
      <c r="J1158" s="272" t="s">
        <v>4729</v>
      </c>
      <c r="K1158" s="268" t="s">
        <v>6310</v>
      </c>
      <c r="L1158" s="287">
        <v>45540</v>
      </c>
      <c r="M1158" s="283"/>
      <c r="N1158" s="282">
        <v>2</v>
      </c>
      <c r="O1158" s="284" t="s">
        <v>5814</v>
      </c>
      <c r="P1158" s="280">
        <v>3507.27</v>
      </c>
      <c r="Q1158" s="315">
        <v>45474</v>
      </c>
      <c r="R1158" s="272"/>
      <c r="S1158" s="272"/>
      <c r="T1158" s="272"/>
      <c r="U1158" s="272"/>
      <c r="V1158" s="272"/>
      <c r="W1158" s="272"/>
      <c r="X1158" s="272"/>
      <c r="Y1158" s="272"/>
      <c r="Z1158" s="272"/>
      <c r="AA1158" s="272"/>
    </row>
    <row r="1159" spans="1:27">
      <c r="A1159" s="273">
        <v>9</v>
      </c>
      <c r="B1159" s="274" t="s">
        <v>6297</v>
      </c>
      <c r="C1159" s="314">
        <v>45518</v>
      </c>
      <c r="D1159" s="274" t="s">
        <v>4714</v>
      </c>
      <c r="E1159" s="268" t="s">
        <v>5130</v>
      </c>
      <c r="F1159" s="268" t="s">
        <v>4715</v>
      </c>
      <c r="G1159" s="268" t="s">
        <v>4716</v>
      </c>
      <c r="H1159" s="268" t="str">
        <f t="shared" si="6"/>
        <v>CARLOS DURÁN DÍEZ</v>
      </c>
      <c r="I1159" s="268" t="s">
        <v>5809</v>
      </c>
      <c r="J1159" s="268" t="s">
        <v>4747</v>
      </c>
      <c r="K1159" s="268" t="s">
        <v>6311</v>
      </c>
      <c r="L1159" s="287">
        <v>45541</v>
      </c>
      <c r="M1159" s="283"/>
      <c r="N1159" s="282">
        <v>2</v>
      </c>
      <c r="O1159" s="284" t="s">
        <v>4723</v>
      </c>
      <c r="P1159" s="280">
        <v>2909.09</v>
      </c>
      <c r="Q1159" s="315">
        <v>45518</v>
      </c>
      <c r="R1159" s="272"/>
      <c r="S1159" s="272"/>
      <c r="T1159" s="272"/>
      <c r="U1159" s="272"/>
      <c r="V1159" s="272"/>
      <c r="W1159" s="272"/>
      <c r="X1159" s="272"/>
      <c r="Y1159" s="272"/>
      <c r="Z1159" s="272"/>
      <c r="AA1159" s="272"/>
    </row>
    <row r="1160" spans="1:27">
      <c r="A1160" s="273">
        <v>9</v>
      </c>
      <c r="B1160" s="274" t="s">
        <v>6297</v>
      </c>
      <c r="C1160" s="314">
        <v>45513</v>
      </c>
      <c r="D1160" s="274" t="s">
        <v>4714</v>
      </c>
      <c r="E1160" s="268" t="s">
        <v>4820</v>
      </c>
      <c r="F1160" s="268" t="s">
        <v>4715</v>
      </c>
      <c r="G1160" s="268" t="s">
        <v>4716</v>
      </c>
      <c r="H1160" s="268" t="str">
        <f t="shared" si="6"/>
        <v>MANUEL CAÑETE DOMÍNGUEZ</v>
      </c>
      <c r="I1160" s="268" t="s">
        <v>5654</v>
      </c>
      <c r="J1160" s="268" t="s">
        <v>4822</v>
      </c>
      <c r="K1160" s="268" t="s">
        <v>6312</v>
      </c>
      <c r="L1160" s="287">
        <v>45544</v>
      </c>
      <c r="M1160" s="283"/>
      <c r="N1160" s="282">
        <v>2</v>
      </c>
      <c r="O1160" s="284" t="s">
        <v>4740</v>
      </c>
      <c r="P1160" s="280">
        <v>3954.55</v>
      </c>
      <c r="Q1160" s="315">
        <v>45513</v>
      </c>
      <c r="R1160" s="272"/>
      <c r="S1160" s="272"/>
      <c r="T1160" s="272"/>
      <c r="U1160" s="272"/>
      <c r="V1160" s="272"/>
      <c r="W1160" s="272"/>
      <c r="X1160" s="272"/>
      <c r="Y1160" s="272"/>
      <c r="Z1160" s="272"/>
      <c r="AA1160" s="272"/>
    </row>
    <row r="1161" spans="1:27">
      <c r="A1161" s="273">
        <v>9</v>
      </c>
      <c r="B1161" s="274" t="s">
        <v>6297</v>
      </c>
      <c r="C1161" s="314">
        <v>45503</v>
      </c>
      <c r="D1161" s="274" t="s">
        <v>4714</v>
      </c>
      <c r="E1161" s="268" t="s">
        <v>2935</v>
      </c>
      <c r="F1161" s="272" t="s">
        <v>4715</v>
      </c>
      <c r="G1161" s="268" t="s">
        <v>4716</v>
      </c>
      <c r="H1161" s="268" t="str">
        <f t="shared" si="6"/>
        <v>Alejandro Harguindey Antoli-Candela</v>
      </c>
      <c r="I1161" s="268" t="s">
        <v>4802</v>
      </c>
      <c r="J1161" s="272" t="s">
        <v>4718</v>
      </c>
      <c r="K1161" s="268" t="s">
        <v>6313</v>
      </c>
      <c r="L1161" s="287">
        <v>45544</v>
      </c>
      <c r="M1161" s="283"/>
      <c r="N1161" s="282">
        <v>2</v>
      </c>
      <c r="O1161" s="284" t="s">
        <v>5814</v>
      </c>
      <c r="P1161" s="280">
        <v>3118.18</v>
      </c>
      <c r="Q1161" s="315">
        <v>45503</v>
      </c>
      <c r="R1161" s="272"/>
      <c r="S1161" s="272"/>
      <c r="T1161" s="272"/>
      <c r="U1161" s="272"/>
      <c r="V1161" s="272"/>
      <c r="W1161" s="272"/>
      <c r="X1161" s="272"/>
      <c r="Y1161" s="272"/>
      <c r="Z1161" s="272"/>
      <c r="AA1161" s="272"/>
    </row>
    <row r="1162" spans="1:27">
      <c r="A1162" s="273">
        <v>9</v>
      </c>
      <c r="B1162" s="274" t="s">
        <v>6297</v>
      </c>
      <c r="C1162" s="314">
        <v>45516</v>
      </c>
      <c r="D1162" s="274" t="s">
        <v>4714</v>
      </c>
      <c r="E1162" s="268" t="s">
        <v>2921</v>
      </c>
      <c r="F1162" s="272" t="s">
        <v>4715</v>
      </c>
      <c r="G1162" s="268" t="s">
        <v>4716</v>
      </c>
      <c r="H1162" s="268" t="str">
        <f t="shared" si="6"/>
        <v>MARTÍN EDUARDO MARCANO ACUÑA</v>
      </c>
      <c r="I1162" s="268" t="s">
        <v>6314</v>
      </c>
      <c r="J1162" s="272" t="s">
        <v>4910</v>
      </c>
      <c r="K1162" s="268" t="s">
        <v>6315</v>
      </c>
      <c r="L1162" s="287">
        <v>45544</v>
      </c>
      <c r="M1162" s="283"/>
      <c r="N1162" s="282">
        <v>2</v>
      </c>
      <c r="O1162" s="284" t="s">
        <v>4723</v>
      </c>
      <c r="P1162" s="280">
        <v>2743.77</v>
      </c>
      <c r="Q1162" s="315">
        <v>45516</v>
      </c>
      <c r="R1162" s="272"/>
      <c r="S1162" s="272"/>
      <c r="T1162" s="272"/>
      <c r="U1162" s="272"/>
      <c r="V1162" s="272"/>
      <c r="W1162" s="272"/>
      <c r="X1162" s="272"/>
      <c r="Y1162" s="272"/>
      <c r="Z1162" s="272"/>
      <c r="AA1162" s="272"/>
    </row>
    <row r="1163" spans="1:27">
      <c r="A1163" s="273">
        <v>9</v>
      </c>
      <c r="B1163" s="274" t="s">
        <v>6297</v>
      </c>
      <c r="C1163" s="314">
        <v>45510</v>
      </c>
      <c r="D1163" s="274" t="s">
        <v>4714</v>
      </c>
      <c r="E1163" s="268" t="s">
        <v>4194</v>
      </c>
      <c r="F1163" s="268" t="s">
        <v>4715</v>
      </c>
      <c r="G1163" s="268" t="s">
        <v>4716</v>
      </c>
      <c r="H1163" s="268" t="str">
        <f t="shared" si="6"/>
        <v>ALICIA MATEO ESPINOSA</v>
      </c>
      <c r="I1163" s="268" t="s">
        <v>4848</v>
      </c>
      <c r="J1163" s="268" t="s">
        <v>4736</v>
      </c>
      <c r="K1163" s="268" t="s">
        <v>6316</v>
      </c>
      <c r="L1163" s="287">
        <v>45545</v>
      </c>
      <c r="M1163" s="283"/>
      <c r="N1163" s="282">
        <v>2</v>
      </c>
      <c r="O1163" s="284" t="s">
        <v>4720</v>
      </c>
      <c r="P1163" s="280">
        <v>3710</v>
      </c>
      <c r="Q1163" s="315">
        <v>45510</v>
      </c>
      <c r="R1163" s="272"/>
      <c r="S1163" s="272"/>
      <c r="T1163" s="272"/>
      <c r="U1163" s="272"/>
      <c r="V1163" s="272"/>
      <c r="W1163" s="272"/>
      <c r="X1163" s="272"/>
      <c r="Y1163" s="272"/>
      <c r="Z1163" s="272"/>
      <c r="AA1163" s="272"/>
    </row>
    <row r="1164" spans="1:27">
      <c r="A1164" s="273">
        <v>9</v>
      </c>
      <c r="B1164" s="274" t="s">
        <v>6297</v>
      </c>
      <c r="C1164" s="314">
        <v>45506</v>
      </c>
      <c r="D1164" s="274" t="s">
        <v>4714</v>
      </c>
      <c r="E1164" s="268" t="s">
        <v>3861</v>
      </c>
      <c r="F1164" s="272" t="s">
        <v>4715</v>
      </c>
      <c r="G1164" s="268" t="s">
        <v>4716</v>
      </c>
      <c r="H1164" s="268" t="str">
        <f t="shared" si="6"/>
        <v>MARÍA DEL MAR MEDINA GONZÁLEZ</v>
      </c>
      <c r="I1164" s="268" t="s">
        <v>5788</v>
      </c>
      <c r="J1164" s="272" t="s">
        <v>4718</v>
      </c>
      <c r="K1164" s="268" t="s">
        <v>6317</v>
      </c>
      <c r="L1164" s="287">
        <v>45545</v>
      </c>
      <c r="M1164" s="283"/>
      <c r="N1164" s="282">
        <v>2</v>
      </c>
      <c r="O1164" s="284" t="s">
        <v>4720</v>
      </c>
      <c r="P1164" s="280">
        <v>3272.73</v>
      </c>
      <c r="Q1164" s="315">
        <v>45506</v>
      </c>
      <c r="R1164" s="272"/>
      <c r="S1164" s="272"/>
      <c r="T1164" s="272"/>
      <c r="U1164" s="272"/>
      <c r="V1164" s="272"/>
      <c r="W1164" s="272"/>
      <c r="X1164" s="272"/>
      <c r="Y1164" s="272"/>
      <c r="Z1164" s="272"/>
      <c r="AA1164" s="272"/>
    </row>
    <row r="1165" spans="1:27">
      <c r="A1165" s="273">
        <v>9</v>
      </c>
      <c r="B1165" s="274" t="s">
        <v>6297</v>
      </c>
      <c r="C1165" s="314">
        <v>45399</v>
      </c>
      <c r="D1165" s="274" t="s">
        <v>4714</v>
      </c>
      <c r="E1165" s="268" t="s">
        <v>2935</v>
      </c>
      <c r="F1165" s="272" t="s">
        <v>4715</v>
      </c>
      <c r="G1165" s="268" t="s">
        <v>4716</v>
      </c>
      <c r="H1165" s="268" t="str">
        <f t="shared" si="6"/>
        <v>OSCAR A, SÁNCHEZ VALENZUELA</v>
      </c>
      <c r="I1165" s="286" t="s">
        <v>5643</v>
      </c>
      <c r="J1165" s="272" t="s">
        <v>4718</v>
      </c>
      <c r="K1165" s="268" t="s">
        <v>6318</v>
      </c>
      <c r="L1165" s="287">
        <v>45545</v>
      </c>
      <c r="M1165" s="283"/>
      <c r="N1165" s="282">
        <v>2</v>
      </c>
      <c r="O1165" s="284" t="s">
        <v>4720</v>
      </c>
      <c r="P1165" s="280">
        <v>3710</v>
      </c>
      <c r="Q1165" s="315">
        <v>45399</v>
      </c>
      <c r="R1165" s="272"/>
      <c r="S1165" s="272"/>
      <c r="T1165" s="272"/>
      <c r="U1165" s="272"/>
      <c r="V1165" s="272"/>
      <c r="W1165" s="272"/>
      <c r="X1165" s="272"/>
      <c r="Y1165" s="272"/>
      <c r="Z1165" s="272"/>
      <c r="AA1165" s="272"/>
    </row>
    <row r="1166" spans="1:27">
      <c r="A1166" s="273">
        <v>9</v>
      </c>
      <c r="B1166" s="274" t="s">
        <v>6297</v>
      </c>
      <c r="C1166" s="314">
        <v>45511</v>
      </c>
      <c r="D1166" s="274" t="s">
        <v>4714</v>
      </c>
      <c r="E1166" s="268" t="s">
        <v>4775</v>
      </c>
      <c r="F1166" s="272" t="s">
        <v>4715</v>
      </c>
      <c r="G1166" s="268" t="s">
        <v>4716</v>
      </c>
      <c r="H1166" s="268" t="str">
        <f t="shared" si="6"/>
        <v>CRISTINA IBAÑEZ MUÑOZ</v>
      </c>
      <c r="I1166" s="268" t="s">
        <v>5112</v>
      </c>
      <c r="J1166" s="272" t="s">
        <v>4822</v>
      </c>
      <c r="K1166" s="268" t="s">
        <v>6319</v>
      </c>
      <c r="L1166" s="287">
        <v>45546</v>
      </c>
      <c r="M1166" s="283"/>
      <c r="N1166" s="282">
        <v>1</v>
      </c>
      <c r="O1166" s="284" t="s">
        <v>4787</v>
      </c>
      <c r="P1166" s="280">
        <v>2181.8200000000002</v>
      </c>
      <c r="Q1166" s="315">
        <v>45511</v>
      </c>
      <c r="R1166" s="272"/>
      <c r="S1166" s="272"/>
      <c r="T1166" s="272"/>
      <c r="U1166" s="272"/>
      <c r="V1166" s="272"/>
      <c r="W1166" s="272"/>
      <c r="X1166" s="272"/>
      <c r="Y1166" s="272"/>
      <c r="Z1166" s="272"/>
      <c r="AA1166" s="272"/>
    </row>
    <row r="1167" spans="1:27">
      <c r="A1167" s="273">
        <v>9</v>
      </c>
      <c r="B1167" s="274" t="s">
        <v>6297</v>
      </c>
      <c r="C1167" s="314">
        <v>45520</v>
      </c>
      <c r="D1167" s="274" t="s">
        <v>4714</v>
      </c>
      <c r="E1167" s="268" t="s">
        <v>4845</v>
      </c>
      <c r="F1167" s="272" t="s">
        <v>4715</v>
      </c>
      <c r="G1167" s="268" t="s">
        <v>4716</v>
      </c>
      <c r="H1167" s="268" t="str">
        <f t="shared" si="6"/>
        <v>JOSÉ TISNER NIETO</v>
      </c>
      <c r="I1167" s="268" t="s">
        <v>5630</v>
      </c>
      <c r="J1167" s="272" t="s">
        <v>4806</v>
      </c>
      <c r="K1167" s="268" t="s">
        <v>6320</v>
      </c>
      <c r="L1167" s="287">
        <v>45546</v>
      </c>
      <c r="M1167" s="283"/>
      <c r="N1167" s="282">
        <v>2</v>
      </c>
      <c r="O1167" s="284" t="s">
        <v>4720</v>
      </c>
      <c r="P1167" s="280">
        <v>3636.36</v>
      </c>
      <c r="Q1167" s="315">
        <v>45520</v>
      </c>
      <c r="R1167" s="272"/>
      <c r="S1167" s="272"/>
      <c r="T1167" s="272"/>
      <c r="U1167" s="272"/>
      <c r="V1167" s="272"/>
      <c r="W1167" s="272"/>
      <c r="X1167" s="272"/>
      <c r="Y1167" s="272"/>
      <c r="Z1167" s="272"/>
      <c r="AA1167" s="272"/>
    </row>
    <row r="1168" spans="1:27">
      <c r="A1168" s="273">
        <v>9</v>
      </c>
      <c r="B1168" s="274" t="s">
        <v>6297</v>
      </c>
      <c r="C1168" s="314">
        <v>45504</v>
      </c>
      <c r="D1168" s="274" t="s">
        <v>4714</v>
      </c>
      <c r="E1168" s="268" t="s">
        <v>4945</v>
      </c>
      <c r="F1168" s="272" t="s">
        <v>4715</v>
      </c>
      <c r="G1168" s="268" t="s">
        <v>4716</v>
      </c>
      <c r="H1168" s="268" t="str">
        <f t="shared" si="6"/>
        <v>JOSÉ MIGUEL COSTA GONZÁLEZ</v>
      </c>
      <c r="I1168" s="268" t="s">
        <v>6257</v>
      </c>
      <c r="J1168" s="272" t="s">
        <v>4790</v>
      </c>
      <c r="K1168" s="268" t="s">
        <v>6321</v>
      </c>
      <c r="L1168" s="287">
        <v>45547</v>
      </c>
      <c r="M1168" s="283"/>
      <c r="N1168" s="282">
        <v>2</v>
      </c>
      <c r="O1168" s="284" t="s">
        <v>4720</v>
      </c>
      <c r="P1168" s="280">
        <v>3636.36</v>
      </c>
      <c r="Q1168" s="315">
        <v>45504</v>
      </c>
      <c r="R1168" s="272"/>
      <c r="S1168" s="272"/>
      <c r="T1168" s="272"/>
      <c r="U1168" s="272"/>
      <c r="V1168" s="272"/>
      <c r="W1168" s="272"/>
      <c r="X1168" s="272"/>
      <c r="Y1168" s="272"/>
      <c r="Z1168" s="272"/>
      <c r="AA1168" s="272"/>
    </row>
    <row r="1169" spans="1:27">
      <c r="A1169" s="273">
        <v>9</v>
      </c>
      <c r="B1169" s="274" t="s">
        <v>6297</v>
      </c>
      <c r="C1169" s="314">
        <v>45476</v>
      </c>
      <c r="D1169" s="274" t="s">
        <v>4714</v>
      </c>
      <c r="E1169" s="268" t="s">
        <v>4749</v>
      </c>
      <c r="F1169" s="272" t="s">
        <v>4715</v>
      </c>
      <c r="G1169" s="268" t="s">
        <v>4716</v>
      </c>
      <c r="H1169" s="268" t="str">
        <f t="shared" si="6"/>
        <v>DIANA LISBETH</v>
      </c>
      <c r="I1169" s="268" t="s">
        <v>4955</v>
      </c>
      <c r="J1169" s="272" t="s">
        <v>4747</v>
      </c>
      <c r="K1169" s="268" t="s">
        <v>6322</v>
      </c>
      <c r="L1169" s="287">
        <v>45547</v>
      </c>
      <c r="M1169" s="283"/>
      <c r="N1169" s="282">
        <v>2</v>
      </c>
      <c r="O1169" s="284" t="s">
        <v>4792</v>
      </c>
      <c r="P1169" s="280">
        <v>3090.91</v>
      </c>
      <c r="Q1169" s="315">
        <v>45476</v>
      </c>
      <c r="R1169" s="272"/>
      <c r="S1169" s="272"/>
      <c r="T1169" s="272"/>
      <c r="U1169" s="272"/>
      <c r="V1169" s="272"/>
      <c r="W1169" s="272"/>
      <c r="X1169" s="272"/>
      <c r="Y1169" s="272"/>
      <c r="Z1169" s="272"/>
      <c r="AA1169" s="272"/>
    </row>
    <row r="1170" spans="1:27">
      <c r="A1170" s="307">
        <v>9</v>
      </c>
      <c r="B1170" s="286" t="s">
        <v>6297</v>
      </c>
      <c r="C1170" s="290">
        <v>44983</v>
      </c>
      <c r="D1170" s="286" t="s">
        <v>4714</v>
      </c>
      <c r="E1170" s="286" t="s">
        <v>3480</v>
      </c>
      <c r="F1170" s="286" t="s">
        <v>6323</v>
      </c>
      <c r="G1170" s="286" t="s">
        <v>4857</v>
      </c>
      <c r="H1170" s="268" t="str">
        <f t="shared" si="6"/>
        <v>VICTORIA GARCÍA PECES</v>
      </c>
      <c r="I1170" s="286" t="s">
        <v>4762</v>
      </c>
      <c r="J1170" s="286" t="s">
        <v>4718</v>
      </c>
      <c r="K1170" s="296" t="s">
        <v>4763</v>
      </c>
      <c r="L1170" s="290">
        <v>45547</v>
      </c>
      <c r="M1170" s="268"/>
      <c r="N1170" s="278">
        <v>1</v>
      </c>
      <c r="O1170" s="268" t="s">
        <v>4720</v>
      </c>
      <c r="P1170" s="278">
        <v>1470</v>
      </c>
      <c r="Q1170" s="276">
        <v>44983</v>
      </c>
      <c r="R1170" s="272"/>
      <c r="S1170" s="272"/>
      <c r="T1170" s="272"/>
      <c r="U1170" s="272"/>
      <c r="V1170" s="272"/>
      <c r="W1170" s="272"/>
      <c r="X1170" s="272"/>
      <c r="Y1170" s="272"/>
      <c r="Z1170" s="272"/>
      <c r="AA1170" s="272"/>
    </row>
    <row r="1171" spans="1:27">
      <c r="A1171" s="273">
        <v>9</v>
      </c>
      <c r="B1171" s="274" t="s">
        <v>6297</v>
      </c>
      <c r="C1171" s="314">
        <v>45538</v>
      </c>
      <c r="D1171" s="274" t="s">
        <v>4714</v>
      </c>
      <c r="E1171" s="268" t="s">
        <v>3861</v>
      </c>
      <c r="F1171" s="272" t="s">
        <v>4715</v>
      </c>
      <c r="G1171" s="268" t="s">
        <v>4716</v>
      </c>
      <c r="H1171" s="268" t="str">
        <f t="shared" si="6"/>
        <v>MARÍA DEL MAR MEDINA GONZÁLEZ</v>
      </c>
      <c r="I1171" s="268" t="s">
        <v>5788</v>
      </c>
      <c r="J1171" s="272" t="s">
        <v>4718</v>
      </c>
      <c r="K1171" s="268" t="s">
        <v>6324</v>
      </c>
      <c r="L1171" s="287">
        <v>45551</v>
      </c>
      <c r="M1171" s="283"/>
      <c r="N1171" s="282">
        <v>2</v>
      </c>
      <c r="O1171" s="284" t="s">
        <v>4787</v>
      </c>
      <c r="P1171" s="280">
        <v>4400</v>
      </c>
      <c r="Q1171" s="315">
        <v>45538</v>
      </c>
      <c r="R1171" s="272"/>
      <c r="S1171" s="272"/>
      <c r="T1171" s="272"/>
      <c r="U1171" s="272"/>
      <c r="V1171" s="272"/>
      <c r="W1171" s="272"/>
      <c r="X1171" s="272"/>
      <c r="Y1171" s="272"/>
      <c r="Z1171" s="272"/>
      <c r="AA1171" s="272"/>
    </row>
    <row r="1172" spans="1:27">
      <c r="A1172" s="273">
        <v>9</v>
      </c>
      <c r="B1172" s="274" t="s">
        <v>6297</v>
      </c>
      <c r="C1172" s="314">
        <v>45503</v>
      </c>
      <c r="D1172" s="274" t="s">
        <v>4714</v>
      </c>
      <c r="E1172" s="268" t="s">
        <v>2929</v>
      </c>
      <c r="F1172" s="272" t="s">
        <v>4715</v>
      </c>
      <c r="G1172" s="268" t="s">
        <v>4715</v>
      </c>
      <c r="H1172" s="268" t="str">
        <f t="shared" si="6"/>
        <v>CARLOS BARAJAS DEL ROSAL</v>
      </c>
      <c r="I1172" s="268" t="s">
        <v>4934</v>
      </c>
      <c r="J1172" s="272" t="s">
        <v>4822</v>
      </c>
      <c r="K1172" s="268" t="s">
        <v>6325</v>
      </c>
      <c r="L1172" s="287">
        <v>45551</v>
      </c>
      <c r="M1172" s="283"/>
      <c r="N1172" s="282">
        <v>1</v>
      </c>
      <c r="O1172" s="284" t="s">
        <v>5814</v>
      </c>
      <c r="P1172" s="280">
        <v>2400</v>
      </c>
      <c r="Q1172" s="315">
        <v>45503</v>
      </c>
      <c r="R1172" s="272"/>
      <c r="S1172" s="272"/>
      <c r="T1172" s="272"/>
      <c r="U1172" s="272"/>
      <c r="V1172" s="272"/>
      <c r="W1172" s="272"/>
      <c r="X1172" s="272"/>
      <c r="Y1172" s="272"/>
      <c r="Z1172" s="272"/>
      <c r="AA1172" s="272"/>
    </row>
    <row r="1173" spans="1:27">
      <c r="A1173" s="273">
        <v>9</v>
      </c>
      <c r="B1173" s="274" t="s">
        <v>6297</v>
      </c>
      <c r="C1173" s="314">
        <v>45537</v>
      </c>
      <c r="D1173" s="274" t="s">
        <v>4714</v>
      </c>
      <c r="E1173" s="268" t="s">
        <v>2935</v>
      </c>
      <c r="F1173" s="272" t="s">
        <v>4715</v>
      </c>
      <c r="G1173" s="268" t="s">
        <v>4716</v>
      </c>
      <c r="H1173" s="268" t="str">
        <f t="shared" si="6"/>
        <v>BEATRIZ ARANA FERNÁNDEZ</v>
      </c>
      <c r="I1173" s="268" t="s">
        <v>5210</v>
      </c>
      <c r="J1173" s="272" t="s">
        <v>4718</v>
      </c>
      <c r="K1173" s="268" t="s">
        <v>6326</v>
      </c>
      <c r="L1173" s="287">
        <v>45551</v>
      </c>
      <c r="M1173" s="283"/>
      <c r="N1173" s="282">
        <v>2</v>
      </c>
      <c r="O1173" s="284" t="s">
        <v>4720</v>
      </c>
      <c r="P1173" s="280">
        <v>3710</v>
      </c>
      <c r="Q1173" s="315">
        <v>45537</v>
      </c>
      <c r="R1173" s="272"/>
      <c r="S1173" s="272"/>
      <c r="T1173" s="272"/>
      <c r="U1173" s="272"/>
      <c r="V1173" s="272"/>
      <c r="W1173" s="272"/>
      <c r="X1173" s="272"/>
      <c r="Y1173" s="272"/>
      <c r="Z1173" s="272"/>
      <c r="AA1173" s="272"/>
    </row>
    <row r="1174" spans="1:27">
      <c r="A1174" s="273">
        <v>9</v>
      </c>
      <c r="B1174" s="274" t="s">
        <v>6297</v>
      </c>
      <c r="C1174" s="314">
        <v>45496</v>
      </c>
      <c r="D1174" s="274" t="s">
        <v>4714</v>
      </c>
      <c r="E1174" s="268" t="s">
        <v>3758</v>
      </c>
      <c r="F1174" s="272" t="s">
        <v>4715</v>
      </c>
      <c r="G1174" s="268" t="s">
        <v>4716</v>
      </c>
      <c r="H1174" s="268" t="str">
        <f t="shared" si="6"/>
        <v>VÍCTOR JOSÉ GONZÁLEZ ARIAS</v>
      </c>
      <c r="I1174" s="268" t="s">
        <v>6287</v>
      </c>
      <c r="J1174" s="272" t="s">
        <v>4718</v>
      </c>
      <c r="K1174" s="268" t="s">
        <v>6327</v>
      </c>
      <c r="L1174" s="287">
        <v>45551</v>
      </c>
      <c r="M1174" s="283"/>
      <c r="N1174" s="282">
        <v>2</v>
      </c>
      <c r="O1174" s="284" t="s">
        <v>4723</v>
      </c>
      <c r="P1174" s="280">
        <v>2743.77</v>
      </c>
      <c r="Q1174" s="315">
        <v>45496</v>
      </c>
      <c r="R1174" s="272"/>
      <c r="S1174" s="272"/>
      <c r="T1174" s="272"/>
      <c r="U1174" s="272"/>
      <c r="V1174" s="272"/>
      <c r="W1174" s="272"/>
      <c r="X1174" s="272"/>
      <c r="Y1174" s="272"/>
      <c r="Z1174" s="272"/>
      <c r="AA1174" s="272"/>
    </row>
    <row r="1175" spans="1:27">
      <c r="A1175" s="273">
        <v>9</v>
      </c>
      <c r="B1175" s="274" t="s">
        <v>6297</v>
      </c>
      <c r="C1175" s="314">
        <v>45488</v>
      </c>
      <c r="D1175" s="274" t="s">
        <v>4714</v>
      </c>
      <c r="E1175" s="268" t="s">
        <v>4780</v>
      </c>
      <c r="F1175" s="272" t="s">
        <v>4715</v>
      </c>
      <c r="G1175" s="268" t="s">
        <v>4716</v>
      </c>
      <c r="H1175" s="268" t="str">
        <f t="shared" si="6"/>
        <v>NO REUERDA ORL</v>
      </c>
      <c r="I1175" s="268" t="s">
        <v>4743</v>
      </c>
      <c r="J1175" s="272" t="s">
        <v>4747</v>
      </c>
      <c r="K1175" s="268" t="s">
        <v>6328</v>
      </c>
      <c r="L1175" s="287">
        <v>45551</v>
      </c>
      <c r="M1175" s="283"/>
      <c r="N1175" s="282">
        <v>2</v>
      </c>
      <c r="O1175" s="284" t="s">
        <v>4720</v>
      </c>
      <c r="P1175" s="280">
        <v>3604.55</v>
      </c>
      <c r="Q1175" s="315">
        <v>45488</v>
      </c>
      <c r="R1175" s="272"/>
      <c r="S1175" s="272"/>
      <c r="T1175" s="272"/>
      <c r="U1175" s="272"/>
      <c r="V1175" s="272"/>
      <c r="W1175" s="272"/>
      <c r="X1175" s="272"/>
      <c r="Y1175" s="272"/>
      <c r="Z1175" s="272"/>
      <c r="AA1175" s="272"/>
    </row>
    <row r="1176" spans="1:27">
      <c r="A1176" s="273">
        <v>9</v>
      </c>
      <c r="B1176" s="274" t="s">
        <v>6297</v>
      </c>
      <c r="C1176" s="314"/>
      <c r="D1176" s="274" t="s">
        <v>4714</v>
      </c>
      <c r="E1176" s="268" t="s">
        <v>2972</v>
      </c>
      <c r="F1176" s="272" t="s">
        <v>4715</v>
      </c>
      <c r="G1176" s="268" t="s">
        <v>4716</v>
      </c>
      <c r="H1176" s="268" t="str">
        <f t="shared" si="6"/>
        <v>NATALIA GISSETH PULIDO FONSECA</v>
      </c>
      <c r="I1176" s="268" t="s">
        <v>5393</v>
      </c>
      <c r="J1176" s="272" t="s">
        <v>4822</v>
      </c>
      <c r="K1176" s="268" t="s">
        <v>6329</v>
      </c>
      <c r="L1176" s="287">
        <v>45551</v>
      </c>
      <c r="M1176" s="283"/>
      <c r="N1176" s="282">
        <v>1</v>
      </c>
      <c r="O1176" s="284" t="s">
        <v>4720</v>
      </c>
      <c r="P1176" s="280">
        <v>2161.8200000000002</v>
      </c>
      <c r="Q1176" s="315"/>
      <c r="R1176" s="272"/>
      <c r="S1176" s="272"/>
      <c r="T1176" s="272"/>
      <c r="U1176" s="272"/>
      <c r="V1176" s="272"/>
      <c r="W1176" s="272"/>
      <c r="X1176" s="272"/>
      <c r="Y1176" s="272"/>
      <c r="Z1176" s="272"/>
      <c r="AA1176" s="272"/>
    </row>
    <row r="1177" spans="1:27">
      <c r="A1177" s="273">
        <v>9</v>
      </c>
      <c r="B1177" s="274" t="s">
        <v>6297</v>
      </c>
      <c r="C1177" s="314">
        <v>45509</v>
      </c>
      <c r="D1177" s="285" t="s">
        <v>4714</v>
      </c>
      <c r="E1177" s="268" t="s">
        <v>4804</v>
      </c>
      <c r="F1177" s="272" t="s">
        <v>4715</v>
      </c>
      <c r="G1177" s="268" t="s">
        <v>4716</v>
      </c>
      <c r="H1177" s="268" t="str">
        <f t="shared" si="6"/>
        <v>JOAQUIM BROTO SUMALLA</v>
      </c>
      <c r="I1177" s="268" t="s">
        <v>4805</v>
      </c>
      <c r="J1177" s="272" t="s">
        <v>4806</v>
      </c>
      <c r="K1177" s="268" t="s">
        <v>6330</v>
      </c>
      <c r="L1177" s="287">
        <v>45551</v>
      </c>
      <c r="M1177" s="283"/>
      <c r="N1177" s="282">
        <v>2</v>
      </c>
      <c r="O1177" s="284" t="s">
        <v>4792</v>
      </c>
      <c r="P1177" s="280">
        <v>2936.36</v>
      </c>
      <c r="Q1177" s="315">
        <v>45509</v>
      </c>
      <c r="R1177" s="272"/>
      <c r="S1177" s="272"/>
      <c r="T1177" s="272"/>
      <c r="U1177" s="272"/>
      <c r="V1177" s="272"/>
      <c r="W1177" s="272"/>
      <c r="X1177" s="272"/>
      <c r="Y1177" s="272"/>
      <c r="Z1177" s="272"/>
      <c r="AA1177" s="272"/>
    </row>
    <row r="1178" spans="1:27">
      <c r="A1178" s="273">
        <v>9</v>
      </c>
      <c r="B1178" s="274" t="s">
        <v>6297</v>
      </c>
      <c r="C1178" s="314">
        <v>45526</v>
      </c>
      <c r="D1178" s="285" t="s">
        <v>4714</v>
      </c>
      <c r="E1178" s="268" t="s">
        <v>2886</v>
      </c>
      <c r="F1178" s="272" t="s">
        <v>4715</v>
      </c>
      <c r="G1178" s="268" t="s">
        <v>4716</v>
      </c>
      <c r="H1178" s="268" t="str">
        <f t="shared" si="6"/>
        <v>MARÍA GARROTE GARROTE</v>
      </c>
      <c r="I1178" s="268" t="s">
        <v>4721</v>
      </c>
      <c r="J1178" s="272" t="s">
        <v>4718</v>
      </c>
      <c r="K1178" s="268" t="s">
        <v>6331</v>
      </c>
      <c r="L1178" s="287">
        <v>45551</v>
      </c>
      <c r="M1178" s="283"/>
      <c r="N1178" s="282">
        <v>2</v>
      </c>
      <c r="O1178" s="284" t="s">
        <v>4720</v>
      </c>
      <c r="P1178" s="280">
        <v>3709.09</v>
      </c>
      <c r="Q1178" s="315">
        <v>45526</v>
      </c>
      <c r="R1178" s="272"/>
      <c r="S1178" s="272"/>
      <c r="T1178" s="272"/>
      <c r="U1178" s="272"/>
      <c r="V1178" s="272"/>
      <c r="W1178" s="272"/>
      <c r="X1178" s="272"/>
      <c r="Y1178" s="272"/>
      <c r="Z1178" s="272"/>
      <c r="AA1178" s="272"/>
    </row>
    <row r="1179" spans="1:27">
      <c r="A1179" s="273">
        <v>9</v>
      </c>
      <c r="B1179" s="274" t="s">
        <v>6297</v>
      </c>
      <c r="C1179" s="314">
        <v>45524</v>
      </c>
      <c r="D1179" s="274" t="s">
        <v>4714</v>
      </c>
      <c r="E1179" s="268" t="s">
        <v>2886</v>
      </c>
      <c r="F1179" s="272" t="s">
        <v>4715</v>
      </c>
      <c r="G1179" s="268" t="s">
        <v>4716</v>
      </c>
      <c r="H1179" s="268" t="str">
        <f t="shared" si="6"/>
        <v>MARÍA GARROTE GARROTE</v>
      </c>
      <c r="I1179" s="268" t="s">
        <v>4721</v>
      </c>
      <c r="J1179" s="272" t="s">
        <v>4718</v>
      </c>
      <c r="K1179" s="268" t="s">
        <v>6332</v>
      </c>
      <c r="L1179" s="287">
        <v>45551</v>
      </c>
      <c r="M1179" s="283"/>
      <c r="N1179" s="282">
        <v>2</v>
      </c>
      <c r="O1179" s="284" t="s">
        <v>5814</v>
      </c>
      <c r="P1179" s="280">
        <v>4000</v>
      </c>
      <c r="Q1179" s="315">
        <v>45524</v>
      </c>
      <c r="R1179" s="272"/>
      <c r="S1179" s="272"/>
      <c r="T1179" s="272"/>
      <c r="U1179" s="272"/>
      <c r="V1179" s="272"/>
      <c r="W1179" s="272"/>
      <c r="X1179" s="272"/>
      <c r="Y1179" s="272"/>
      <c r="Z1179" s="272"/>
      <c r="AA1179" s="272"/>
    </row>
    <row r="1180" spans="1:27">
      <c r="A1180" s="273">
        <v>9</v>
      </c>
      <c r="B1180" s="274" t="s">
        <v>6297</v>
      </c>
      <c r="C1180" s="314">
        <v>45490</v>
      </c>
      <c r="D1180" s="274" t="s">
        <v>4714</v>
      </c>
      <c r="E1180" s="268" t="s">
        <v>4799</v>
      </c>
      <c r="F1180" s="272" t="s">
        <v>4715</v>
      </c>
      <c r="G1180" s="268" t="s">
        <v>4716</v>
      </c>
      <c r="H1180" s="268" t="str">
        <f t="shared" si="6"/>
        <v>DARÁ SÁNCHEZ RUIZ</v>
      </c>
      <c r="I1180" s="268" t="s">
        <v>5912</v>
      </c>
      <c r="J1180" s="272" t="s">
        <v>4790</v>
      </c>
      <c r="K1180" s="268" t="s">
        <v>6333</v>
      </c>
      <c r="L1180" s="287">
        <v>45551</v>
      </c>
      <c r="M1180" s="283"/>
      <c r="N1180" s="282">
        <v>2</v>
      </c>
      <c r="O1180" s="284" t="s">
        <v>4720</v>
      </c>
      <c r="P1180" s="280">
        <v>3454.55</v>
      </c>
      <c r="Q1180" s="315">
        <v>45490</v>
      </c>
      <c r="R1180" s="272"/>
      <c r="S1180" s="272"/>
      <c r="T1180" s="272"/>
      <c r="U1180" s="272"/>
      <c r="V1180" s="272"/>
      <c r="W1180" s="272"/>
      <c r="X1180" s="272"/>
      <c r="Y1180" s="272"/>
      <c r="Z1180" s="272"/>
      <c r="AA1180" s="272"/>
    </row>
    <row r="1181" spans="1:27">
      <c r="A1181" s="273">
        <v>9</v>
      </c>
      <c r="B1181" s="274" t="s">
        <v>6297</v>
      </c>
      <c r="C1181" s="314">
        <v>45478</v>
      </c>
      <c r="D1181" s="274" t="s">
        <v>4714</v>
      </c>
      <c r="E1181" s="268" t="s">
        <v>4194</v>
      </c>
      <c r="F1181" s="268" t="s">
        <v>4715</v>
      </c>
      <c r="G1181" s="268" t="s">
        <v>4716</v>
      </c>
      <c r="H1181" s="268" t="str">
        <f t="shared" si="6"/>
        <v>NO REUERDA ORL</v>
      </c>
      <c r="I1181" s="268" t="s">
        <v>4743</v>
      </c>
      <c r="J1181" s="268" t="s">
        <v>4736</v>
      </c>
      <c r="K1181" s="268" t="s">
        <v>6334</v>
      </c>
      <c r="L1181" s="287">
        <v>45552</v>
      </c>
      <c r="M1181" s="283"/>
      <c r="N1181" s="282">
        <v>2</v>
      </c>
      <c r="O1181" s="284" t="s">
        <v>4787</v>
      </c>
      <c r="P1181" s="280">
        <v>909.09</v>
      </c>
      <c r="Q1181" s="315">
        <v>45478</v>
      </c>
      <c r="R1181" s="272"/>
      <c r="S1181" s="272"/>
      <c r="T1181" s="272"/>
      <c r="U1181" s="272"/>
      <c r="V1181" s="272"/>
      <c r="W1181" s="272"/>
      <c r="X1181" s="272"/>
      <c r="Y1181" s="272"/>
      <c r="Z1181" s="272"/>
      <c r="AA1181" s="272"/>
    </row>
    <row r="1182" spans="1:27">
      <c r="A1182" s="273">
        <v>9</v>
      </c>
      <c r="B1182" s="274" t="s">
        <v>6297</v>
      </c>
      <c r="C1182" s="314">
        <v>45505</v>
      </c>
      <c r="D1182" s="274" t="s">
        <v>4714</v>
      </c>
      <c r="E1182" s="268" t="s">
        <v>2893</v>
      </c>
      <c r="F1182" s="268" t="s">
        <v>4715</v>
      </c>
      <c r="G1182" s="268" t="s">
        <v>4716</v>
      </c>
      <c r="H1182" s="268" t="str">
        <f t="shared" si="6"/>
        <v>CRISTINA VADUVA</v>
      </c>
      <c r="I1182" s="268" t="s">
        <v>4773</v>
      </c>
      <c r="J1182" s="268" t="s">
        <v>4718</v>
      </c>
      <c r="K1182" s="268" t="s">
        <v>6335</v>
      </c>
      <c r="L1182" s="287">
        <v>45552</v>
      </c>
      <c r="M1182" s="283"/>
      <c r="N1182" s="282">
        <v>1</v>
      </c>
      <c r="O1182" s="284" t="s">
        <v>4723</v>
      </c>
      <c r="P1182" s="280">
        <v>1732.73</v>
      </c>
      <c r="Q1182" s="315">
        <v>45505</v>
      </c>
      <c r="R1182" s="272"/>
      <c r="S1182" s="272"/>
      <c r="T1182" s="272"/>
      <c r="U1182" s="272"/>
      <c r="V1182" s="272"/>
      <c r="W1182" s="272"/>
      <c r="X1182" s="272"/>
      <c r="Y1182" s="272"/>
      <c r="Z1182" s="272"/>
      <c r="AA1182" s="272"/>
    </row>
    <row r="1183" spans="1:27">
      <c r="A1183" s="273">
        <v>9</v>
      </c>
      <c r="B1183" s="274" t="s">
        <v>6297</v>
      </c>
      <c r="C1183" s="314">
        <v>45495</v>
      </c>
      <c r="D1183" s="274" t="s">
        <v>4714</v>
      </c>
      <c r="E1183" s="268" t="s">
        <v>2893</v>
      </c>
      <c r="F1183" s="268" t="s">
        <v>4715</v>
      </c>
      <c r="G1183" s="268" t="s">
        <v>6336</v>
      </c>
      <c r="H1183" s="268" t="str">
        <f t="shared" si="6"/>
        <v>MONTSERRAT PORTELL SORIANO</v>
      </c>
      <c r="I1183" s="268" t="s">
        <v>4943</v>
      </c>
      <c r="J1183" s="268" t="s">
        <v>4718</v>
      </c>
      <c r="K1183" s="268" t="s">
        <v>6337</v>
      </c>
      <c r="L1183" s="287">
        <v>45552</v>
      </c>
      <c r="M1183" s="283"/>
      <c r="N1183" s="282">
        <v>2</v>
      </c>
      <c r="O1183" s="284" t="s">
        <v>4723</v>
      </c>
      <c r="P1183" s="280">
        <v>2743.64</v>
      </c>
      <c r="Q1183" s="315">
        <v>45495</v>
      </c>
      <c r="R1183" s="272"/>
      <c r="S1183" s="272"/>
      <c r="T1183" s="272"/>
      <c r="U1183" s="272"/>
      <c r="V1183" s="272"/>
      <c r="W1183" s="272"/>
      <c r="X1183" s="272"/>
      <c r="Y1183" s="272"/>
      <c r="Z1183" s="272"/>
      <c r="AA1183" s="272"/>
    </row>
    <row r="1184" spans="1:27">
      <c r="A1184" s="273">
        <v>9</v>
      </c>
      <c r="B1184" s="274" t="s">
        <v>6297</v>
      </c>
      <c r="C1184" s="314">
        <v>45034</v>
      </c>
      <c r="D1184" s="274" t="s">
        <v>4714</v>
      </c>
      <c r="E1184" s="268" t="s">
        <v>5204</v>
      </c>
      <c r="F1184" s="272" t="s">
        <v>4715</v>
      </c>
      <c r="G1184" s="268" t="s">
        <v>4716</v>
      </c>
      <c r="H1184" s="268" t="str">
        <f t="shared" si="6"/>
        <v>XAVIER GONZÁLEZ COMPTA</v>
      </c>
      <c r="I1184" s="268" t="s">
        <v>6338</v>
      </c>
      <c r="J1184" s="272" t="s">
        <v>4806</v>
      </c>
      <c r="K1184" s="268" t="s">
        <v>6339</v>
      </c>
      <c r="L1184" s="287">
        <v>45552</v>
      </c>
      <c r="M1184" s="283"/>
      <c r="N1184" s="282">
        <v>2</v>
      </c>
      <c r="O1184" s="284" t="s">
        <v>4720</v>
      </c>
      <c r="P1184" s="280">
        <v>2799.09</v>
      </c>
      <c r="Q1184" s="315">
        <v>45034</v>
      </c>
      <c r="R1184" s="272"/>
      <c r="S1184" s="272"/>
      <c r="T1184" s="272"/>
      <c r="U1184" s="272"/>
      <c r="V1184" s="272"/>
      <c r="W1184" s="272"/>
      <c r="X1184" s="272"/>
      <c r="Y1184" s="272"/>
      <c r="Z1184" s="272"/>
      <c r="AA1184" s="272"/>
    </row>
    <row r="1185" spans="1:27">
      <c r="A1185" s="273">
        <v>9</v>
      </c>
      <c r="B1185" s="274" t="s">
        <v>6297</v>
      </c>
      <c r="C1185" s="314">
        <v>45537</v>
      </c>
      <c r="D1185" s="274" t="s">
        <v>4714</v>
      </c>
      <c r="E1185" s="268" t="s">
        <v>3193</v>
      </c>
      <c r="F1185" s="272" t="s">
        <v>4715</v>
      </c>
      <c r="G1185" s="268"/>
      <c r="H1185" s="268" t="str">
        <f t="shared" si="6"/>
        <v>RICARDO GONZÁLEZ-ORUS</v>
      </c>
      <c r="I1185" s="268" t="s">
        <v>5540</v>
      </c>
      <c r="J1185" s="272" t="s">
        <v>4718</v>
      </c>
      <c r="K1185" s="268" t="s">
        <v>6340</v>
      </c>
      <c r="L1185" s="287">
        <v>45553</v>
      </c>
      <c r="M1185" s="283"/>
      <c r="N1185" s="282">
        <v>1</v>
      </c>
      <c r="O1185" s="284" t="s">
        <v>4720</v>
      </c>
      <c r="P1185" s="280">
        <v>2226.36</v>
      </c>
      <c r="Q1185" s="315">
        <v>45537</v>
      </c>
      <c r="R1185" s="272"/>
      <c r="S1185" s="272"/>
      <c r="T1185" s="272"/>
      <c r="U1185" s="272"/>
      <c r="V1185" s="272"/>
      <c r="W1185" s="272"/>
      <c r="X1185" s="272"/>
      <c r="Y1185" s="272"/>
      <c r="Z1185" s="272"/>
      <c r="AA1185" s="272"/>
    </row>
    <row r="1186" spans="1:27">
      <c r="A1186" s="273">
        <v>9</v>
      </c>
      <c r="B1186" s="274" t="s">
        <v>6297</v>
      </c>
      <c r="C1186" s="314">
        <v>45477</v>
      </c>
      <c r="D1186" s="274" t="s">
        <v>4714</v>
      </c>
      <c r="E1186" s="268" t="s">
        <v>4194</v>
      </c>
      <c r="F1186" s="268" t="s">
        <v>4715</v>
      </c>
      <c r="G1186" s="268" t="s">
        <v>4716</v>
      </c>
      <c r="H1186" s="268" t="str">
        <f t="shared" si="6"/>
        <v>GUILLERMO SEVERÁ FERRANDIZ</v>
      </c>
      <c r="I1186" s="268" t="s">
        <v>5190</v>
      </c>
      <c r="J1186" s="268" t="s">
        <v>4736</v>
      </c>
      <c r="K1186" s="268" t="s">
        <v>6341</v>
      </c>
      <c r="L1186" s="287">
        <v>45554</v>
      </c>
      <c r="M1186" s="283"/>
      <c r="N1186" s="282">
        <v>2</v>
      </c>
      <c r="O1186" s="284" t="s">
        <v>4787</v>
      </c>
      <c r="P1186" s="280">
        <v>4400</v>
      </c>
      <c r="Q1186" s="315">
        <v>45477</v>
      </c>
      <c r="R1186" s="272"/>
      <c r="S1186" s="272"/>
      <c r="T1186" s="272"/>
      <c r="U1186" s="272"/>
      <c r="V1186" s="272"/>
      <c r="W1186" s="272"/>
      <c r="X1186" s="272"/>
      <c r="Y1186" s="272"/>
      <c r="Z1186" s="272"/>
      <c r="AA1186" s="272"/>
    </row>
    <row r="1187" spans="1:27">
      <c r="A1187" s="273">
        <v>9</v>
      </c>
      <c r="B1187" s="274" t="s">
        <v>6297</v>
      </c>
      <c r="C1187" s="314">
        <v>45533</v>
      </c>
      <c r="D1187" s="274" t="s">
        <v>4714</v>
      </c>
      <c r="E1187" s="268" t="s">
        <v>3193</v>
      </c>
      <c r="F1187" s="272" t="s">
        <v>4715</v>
      </c>
      <c r="G1187" s="268"/>
      <c r="H1187" s="268" t="str">
        <f t="shared" si="6"/>
        <v>JAIME MARTÍN CARRANZA</v>
      </c>
      <c r="I1187" s="268" t="s">
        <v>6342</v>
      </c>
      <c r="J1187" s="272" t="s">
        <v>4718</v>
      </c>
      <c r="K1187" s="268" t="s">
        <v>6343</v>
      </c>
      <c r="L1187" s="287">
        <v>45554</v>
      </c>
      <c r="M1187" s="283"/>
      <c r="N1187" s="282">
        <v>2</v>
      </c>
      <c r="O1187" s="284" t="s">
        <v>4720</v>
      </c>
      <c r="P1187" s="280">
        <v>3709.09</v>
      </c>
      <c r="Q1187" s="315">
        <v>45533</v>
      </c>
      <c r="R1187" s="272"/>
      <c r="S1187" s="272"/>
      <c r="T1187" s="272"/>
      <c r="U1187" s="272"/>
      <c r="V1187" s="272"/>
      <c r="W1187" s="272"/>
      <c r="X1187" s="272"/>
      <c r="Y1187" s="272"/>
      <c r="Z1187" s="272"/>
      <c r="AA1187" s="272"/>
    </row>
    <row r="1188" spans="1:27">
      <c r="A1188" s="273">
        <v>9</v>
      </c>
      <c r="B1188" s="274" t="s">
        <v>6297</v>
      </c>
      <c r="C1188" s="314">
        <v>45511</v>
      </c>
      <c r="D1188" s="285" t="s">
        <v>4714</v>
      </c>
      <c r="E1188" s="268" t="s">
        <v>2886</v>
      </c>
      <c r="F1188" s="272" t="s">
        <v>4715</v>
      </c>
      <c r="G1188" s="268" t="s">
        <v>4716</v>
      </c>
      <c r="H1188" s="268" t="str">
        <f t="shared" si="6"/>
        <v>MARÍA GARROTE GARROTE</v>
      </c>
      <c r="I1188" s="268" t="s">
        <v>4721</v>
      </c>
      <c r="J1188" s="272" t="s">
        <v>4718</v>
      </c>
      <c r="K1188" s="268" t="s">
        <v>6344</v>
      </c>
      <c r="L1188" s="287">
        <v>45554</v>
      </c>
      <c r="M1188" s="283"/>
      <c r="N1188" s="282">
        <v>2</v>
      </c>
      <c r="O1188" s="284" t="s">
        <v>4720</v>
      </c>
      <c r="P1188" s="280">
        <v>3524.5</v>
      </c>
      <c r="Q1188" s="315">
        <v>45511</v>
      </c>
      <c r="R1188" s="272"/>
      <c r="S1188" s="272"/>
      <c r="T1188" s="272"/>
      <c r="U1188" s="272"/>
      <c r="V1188" s="272"/>
      <c r="W1188" s="272"/>
      <c r="X1188" s="272"/>
      <c r="Y1188" s="272"/>
      <c r="Z1188" s="272"/>
      <c r="AA1188" s="272"/>
    </row>
    <row r="1189" spans="1:27">
      <c r="A1189" s="273">
        <v>9</v>
      </c>
      <c r="B1189" s="274" t="s">
        <v>6297</v>
      </c>
      <c r="C1189" s="314">
        <v>45518</v>
      </c>
      <c r="D1189" s="274" t="s">
        <v>4714</v>
      </c>
      <c r="E1189" s="268" t="s">
        <v>5873</v>
      </c>
      <c r="F1189" s="272" t="s">
        <v>4715</v>
      </c>
      <c r="G1189" s="268" t="s">
        <v>4716</v>
      </c>
      <c r="H1189" s="268" t="str">
        <f t="shared" si="6"/>
        <v>MARGARITA REYES DÍAZ</v>
      </c>
      <c r="I1189" s="268" t="s">
        <v>6018</v>
      </c>
      <c r="J1189" s="272" t="s">
        <v>4790</v>
      </c>
      <c r="K1189" s="268" t="s">
        <v>6345</v>
      </c>
      <c r="L1189" s="287">
        <v>45554</v>
      </c>
      <c r="M1189" s="283"/>
      <c r="N1189" s="282">
        <v>2</v>
      </c>
      <c r="O1189" s="284" t="s">
        <v>4792</v>
      </c>
      <c r="P1189" s="280">
        <v>2627.27</v>
      </c>
      <c r="Q1189" s="315">
        <v>45518</v>
      </c>
      <c r="R1189" s="272"/>
      <c r="S1189" s="272"/>
      <c r="T1189" s="272"/>
      <c r="U1189" s="272"/>
      <c r="V1189" s="272"/>
      <c r="W1189" s="272"/>
      <c r="X1189" s="272"/>
      <c r="Y1189" s="272"/>
      <c r="Z1189" s="272"/>
      <c r="AA1189" s="272"/>
    </row>
    <row r="1190" spans="1:27">
      <c r="A1190" s="273">
        <v>9</v>
      </c>
      <c r="B1190" s="274" t="s">
        <v>6297</v>
      </c>
      <c r="C1190" s="314">
        <v>45538</v>
      </c>
      <c r="D1190" s="274" t="s">
        <v>4714</v>
      </c>
      <c r="E1190" s="268" t="s">
        <v>4788</v>
      </c>
      <c r="F1190" s="268" t="s">
        <v>4715</v>
      </c>
      <c r="G1190" s="268" t="s">
        <v>4716</v>
      </c>
      <c r="H1190" s="268" t="str">
        <f t="shared" si="6"/>
        <v>CARLOS VIDAL REDONDO</v>
      </c>
      <c r="I1190" s="268" t="s">
        <v>4828</v>
      </c>
      <c r="J1190" s="268" t="s">
        <v>4790</v>
      </c>
      <c r="K1190" s="268" t="s">
        <v>6346</v>
      </c>
      <c r="L1190" s="287">
        <v>45555</v>
      </c>
      <c r="M1190" s="283"/>
      <c r="N1190" s="282">
        <v>1</v>
      </c>
      <c r="O1190" s="284" t="s">
        <v>4792</v>
      </c>
      <c r="P1190" s="280">
        <v>1923.08</v>
      </c>
      <c r="Q1190" s="315">
        <v>45538</v>
      </c>
      <c r="R1190" s="272"/>
      <c r="S1190" s="272"/>
      <c r="T1190" s="272"/>
      <c r="U1190" s="272"/>
      <c r="V1190" s="272"/>
      <c r="W1190" s="272"/>
      <c r="X1190" s="272"/>
      <c r="Y1190" s="272"/>
      <c r="Z1190" s="272"/>
      <c r="AA1190" s="272"/>
    </row>
    <row r="1191" spans="1:27">
      <c r="A1191" s="273">
        <v>9</v>
      </c>
      <c r="B1191" s="274" t="s">
        <v>6297</v>
      </c>
      <c r="C1191" s="314">
        <v>45523</v>
      </c>
      <c r="D1191" s="274" t="s">
        <v>4714</v>
      </c>
      <c r="E1191" s="268" t="s">
        <v>4875</v>
      </c>
      <c r="F1191" s="268" t="s">
        <v>4715</v>
      </c>
      <c r="G1191" s="268" t="s">
        <v>4716</v>
      </c>
      <c r="H1191" s="268" t="str">
        <f t="shared" si="6"/>
        <v>BELÉN GARCÍA CARREIRA</v>
      </c>
      <c r="I1191" s="268" t="s">
        <v>6347</v>
      </c>
      <c r="J1191" s="268" t="s">
        <v>4790</v>
      </c>
      <c r="K1191" s="268" t="s">
        <v>6348</v>
      </c>
      <c r="L1191" s="287">
        <v>45555</v>
      </c>
      <c r="M1191" s="283"/>
      <c r="N1191" s="282">
        <v>2</v>
      </c>
      <c r="O1191" s="284" t="s">
        <v>4723</v>
      </c>
      <c r="P1191" s="280">
        <v>2727.27</v>
      </c>
      <c r="Q1191" s="315">
        <v>45523</v>
      </c>
      <c r="R1191" s="272"/>
      <c r="S1191" s="272"/>
      <c r="T1191" s="272"/>
      <c r="U1191" s="272"/>
      <c r="V1191" s="272"/>
      <c r="W1191" s="272"/>
      <c r="X1191" s="272"/>
      <c r="Y1191" s="272"/>
      <c r="Z1191" s="272"/>
      <c r="AA1191" s="272"/>
    </row>
    <row r="1192" spans="1:27">
      <c r="A1192" s="273">
        <v>9</v>
      </c>
      <c r="B1192" s="274" t="s">
        <v>6297</v>
      </c>
      <c r="C1192" s="314">
        <v>45510</v>
      </c>
      <c r="D1192" s="274" t="s">
        <v>4714</v>
      </c>
      <c r="E1192" s="268" t="s">
        <v>3193</v>
      </c>
      <c r="F1192" s="272" t="s">
        <v>4715</v>
      </c>
      <c r="G1192" s="268" t="s">
        <v>4716</v>
      </c>
      <c r="H1192" s="268" t="str">
        <f t="shared" si="6"/>
        <v>JAIME MARTÍN CARRANZA</v>
      </c>
      <c r="I1192" s="268" t="s">
        <v>6342</v>
      </c>
      <c r="J1192" s="272" t="s">
        <v>4718</v>
      </c>
      <c r="K1192" s="268" t="s">
        <v>6349</v>
      </c>
      <c r="L1192" s="287">
        <v>45555</v>
      </c>
      <c r="M1192" s="283"/>
      <c r="N1192" s="282">
        <v>2</v>
      </c>
      <c r="O1192" s="284" t="s">
        <v>4723</v>
      </c>
      <c r="P1192" s="280">
        <v>2681.82</v>
      </c>
      <c r="Q1192" s="315">
        <v>45510</v>
      </c>
      <c r="R1192" s="272"/>
      <c r="S1192" s="272"/>
      <c r="T1192" s="272"/>
      <c r="U1192" s="272"/>
      <c r="V1192" s="272"/>
      <c r="W1192" s="272"/>
      <c r="X1192" s="272"/>
      <c r="Y1192" s="272"/>
      <c r="Z1192" s="272"/>
      <c r="AA1192" s="272"/>
    </row>
    <row r="1193" spans="1:27">
      <c r="A1193" s="273">
        <v>9</v>
      </c>
      <c r="B1193" s="274" t="s">
        <v>6297</v>
      </c>
      <c r="C1193" s="314">
        <v>45491</v>
      </c>
      <c r="D1193" s="274" t="s">
        <v>4714</v>
      </c>
      <c r="E1193" s="268" t="s">
        <v>3605</v>
      </c>
      <c r="F1193" s="272" t="s">
        <v>4715</v>
      </c>
      <c r="G1193" s="268" t="s">
        <v>4716</v>
      </c>
      <c r="H1193" s="268" t="str">
        <f t="shared" si="6"/>
        <v>NO REUERDA ORL</v>
      </c>
      <c r="I1193" s="268" t="s">
        <v>4743</v>
      </c>
      <c r="J1193" s="272" t="s">
        <v>4718</v>
      </c>
      <c r="K1193" s="268" t="s">
        <v>6350</v>
      </c>
      <c r="L1193" s="287">
        <v>45555</v>
      </c>
      <c r="M1193" s="283"/>
      <c r="N1193" s="282">
        <v>2</v>
      </c>
      <c r="O1193" s="284" t="s">
        <v>5814</v>
      </c>
      <c r="P1193" s="280">
        <v>3118.18</v>
      </c>
      <c r="Q1193" s="315">
        <v>45491</v>
      </c>
      <c r="R1193" s="272"/>
      <c r="S1193" s="272"/>
      <c r="T1193" s="272"/>
      <c r="U1193" s="272"/>
      <c r="V1193" s="272"/>
      <c r="W1193" s="272"/>
      <c r="X1193" s="272"/>
      <c r="Y1193" s="272"/>
      <c r="Z1193" s="272"/>
      <c r="AA1193" s="272"/>
    </row>
    <row r="1194" spans="1:27">
      <c r="A1194" s="273">
        <v>9</v>
      </c>
      <c r="B1194" s="274" t="s">
        <v>6297</v>
      </c>
      <c r="C1194" s="314">
        <v>45526</v>
      </c>
      <c r="D1194" s="274" t="s">
        <v>4714</v>
      </c>
      <c r="E1194" s="268" t="s">
        <v>3605</v>
      </c>
      <c r="F1194" s="272" t="s">
        <v>4715</v>
      </c>
      <c r="G1194" s="268" t="s">
        <v>4716</v>
      </c>
      <c r="H1194" s="268" t="str">
        <f t="shared" si="6"/>
        <v>ESTEBAN SCOLA PLIEGO</v>
      </c>
      <c r="I1194" s="268" t="s">
        <v>5010</v>
      </c>
      <c r="J1194" s="272" t="s">
        <v>4718</v>
      </c>
      <c r="K1194" s="268" t="s">
        <v>6351</v>
      </c>
      <c r="L1194" s="287">
        <v>45555</v>
      </c>
      <c r="M1194" s="283"/>
      <c r="N1194" s="282">
        <v>2</v>
      </c>
      <c r="O1194" s="284" t="s">
        <v>5814</v>
      </c>
      <c r="P1194" s="280">
        <v>3800</v>
      </c>
      <c r="Q1194" s="315">
        <v>45526</v>
      </c>
      <c r="R1194" s="272"/>
      <c r="S1194" s="272"/>
      <c r="T1194" s="272"/>
      <c r="U1194" s="272"/>
      <c r="V1194" s="272"/>
      <c r="W1194" s="272"/>
      <c r="X1194" s="272"/>
      <c r="Y1194" s="272"/>
      <c r="Z1194" s="272"/>
      <c r="AA1194" s="272"/>
    </row>
    <row r="1195" spans="1:27">
      <c r="A1195" s="273">
        <v>9</v>
      </c>
      <c r="B1195" s="274" t="s">
        <v>6297</v>
      </c>
      <c r="C1195" s="314">
        <v>45531</v>
      </c>
      <c r="D1195" s="274" t="s">
        <v>4714</v>
      </c>
      <c r="E1195" s="268" t="s">
        <v>2900</v>
      </c>
      <c r="F1195" s="272" t="s">
        <v>4715</v>
      </c>
      <c r="G1195" s="268" t="s">
        <v>4716</v>
      </c>
      <c r="H1195" s="268" t="str">
        <f t="shared" si="6"/>
        <v>ALEJANDRO DÍAZ UÑA</v>
      </c>
      <c r="I1195" s="268" t="s">
        <v>6352</v>
      </c>
      <c r="J1195" s="272" t="s">
        <v>4790</v>
      </c>
      <c r="K1195" s="268" t="s">
        <v>6353</v>
      </c>
      <c r="L1195" s="287">
        <v>45555</v>
      </c>
      <c r="M1195" s="283"/>
      <c r="N1195" s="282">
        <v>2</v>
      </c>
      <c r="O1195" s="284" t="s">
        <v>4740</v>
      </c>
      <c r="P1195" s="280">
        <v>4000</v>
      </c>
      <c r="Q1195" s="315">
        <v>45531</v>
      </c>
      <c r="R1195" s="272"/>
      <c r="S1195" s="272"/>
      <c r="T1195" s="272"/>
      <c r="U1195" s="272"/>
      <c r="V1195" s="272"/>
      <c r="W1195" s="272"/>
      <c r="X1195" s="272"/>
      <c r="Y1195" s="272"/>
      <c r="Z1195" s="272"/>
      <c r="AA1195" s="272"/>
    </row>
    <row r="1196" spans="1:27">
      <c r="A1196" s="273">
        <v>9</v>
      </c>
      <c r="B1196" s="274" t="s">
        <v>6297</v>
      </c>
      <c r="C1196" s="314">
        <v>45526</v>
      </c>
      <c r="D1196" s="274" t="s">
        <v>4714</v>
      </c>
      <c r="E1196" s="268" t="s">
        <v>2873</v>
      </c>
      <c r="F1196" s="272" t="s">
        <v>4715</v>
      </c>
      <c r="G1196" s="268" t="s">
        <v>4716</v>
      </c>
      <c r="H1196" s="268" t="str">
        <f t="shared" si="6"/>
        <v>SANTIAGO MORENO PAREDES</v>
      </c>
      <c r="I1196" s="268" t="s">
        <v>5242</v>
      </c>
      <c r="J1196" s="272" t="s">
        <v>4736</v>
      </c>
      <c r="K1196" s="268" t="s">
        <v>6354</v>
      </c>
      <c r="L1196" s="287">
        <v>45555</v>
      </c>
      <c r="M1196" s="283"/>
      <c r="N1196" s="282">
        <v>2</v>
      </c>
      <c r="O1196" s="284" t="s">
        <v>4723</v>
      </c>
      <c r="P1196" s="280">
        <v>2888.18</v>
      </c>
      <c r="Q1196" s="315">
        <v>45526</v>
      </c>
      <c r="R1196" s="272"/>
      <c r="S1196" s="272"/>
      <c r="T1196" s="272"/>
      <c r="U1196" s="272"/>
      <c r="V1196" s="272"/>
      <c r="W1196" s="272"/>
      <c r="X1196" s="272"/>
      <c r="Y1196" s="272"/>
      <c r="Z1196" s="272"/>
      <c r="AA1196" s="272"/>
    </row>
    <row r="1197" spans="1:27">
      <c r="A1197" s="273">
        <v>9</v>
      </c>
      <c r="B1197" s="274" t="s">
        <v>6297</v>
      </c>
      <c r="C1197" s="314">
        <v>45469</v>
      </c>
      <c r="D1197" s="274" t="s">
        <v>4714</v>
      </c>
      <c r="E1197" s="268" t="s">
        <v>3011</v>
      </c>
      <c r="F1197" s="272" t="s">
        <v>4715</v>
      </c>
      <c r="G1197" s="268" t="s">
        <v>4716</v>
      </c>
      <c r="H1197" s="268" t="str">
        <f t="shared" si="6"/>
        <v>FRANCISCO JOSÉ ESTRADA MOLINA</v>
      </c>
      <c r="I1197" s="268" t="s">
        <v>5451</v>
      </c>
      <c r="J1197" s="272" t="s">
        <v>4729</v>
      </c>
      <c r="K1197" s="268" t="s">
        <v>6355</v>
      </c>
      <c r="L1197" s="287">
        <v>45555</v>
      </c>
      <c r="M1197" s="283"/>
      <c r="N1197" s="282">
        <v>2</v>
      </c>
      <c r="O1197" s="284" t="s">
        <v>4723</v>
      </c>
      <c r="P1197" s="280">
        <v>2743.77</v>
      </c>
      <c r="Q1197" s="315">
        <v>45469</v>
      </c>
      <c r="R1197" s="272"/>
      <c r="S1197" s="272"/>
      <c r="T1197" s="272"/>
      <c r="U1197" s="272"/>
      <c r="V1197" s="272"/>
      <c r="W1197" s="272"/>
      <c r="X1197" s="272"/>
      <c r="Y1197" s="272"/>
      <c r="Z1197" s="272"/>
      <c r="AA1197" s="272"/>
    </row>
    <row r="1198" spans="1:27">
      <c r="A1198" s="273">
        <v>9</v>
      </c>
      <c r="B1198" s="274" t="s">
        <v>6297</v>
      </c>
      <c r="C1198" s="314">
        <v>45496</v>
      </c>
      <c r="D1198" s="274" t="s">
        <v>4714</v>
      </c>
      <c r="E1198" s="268" t="s">
        <v>4734</v>
      </c>
      <c r="F1198" s="268" t="s">
        <v>4715</v>
      </c>
      <c r="G1198" s="268" t="s">
        <v>4716</v>
      </c>
      <c r="H1198" s="268" t="str">
        <f t="shared" si="6"/>
        <v>CARLOS VELÁSQUEZ FERMÍN</v>
      </c>
      <c r="I1198" s="268" t="s">
        <v>5105</v>
      </c>
      <c r="J1198" s="268" t="s">
        <v>4736</v>
      </c>
      <c r="K1198" s="268" t="s">
        <v>6356</v>
      </c>
      <c r="L1198" s="287">
        <v>45558</v>
      </c>
      <c r="M1198" s="283"/>
      <c r="N1198" s="282">
        <v>2</v>
      </c>
      <c r="O1198" s="284" t="s">
        <v>4740</v>
      </c>
      <c r="P1198" s="280">
        <v>3800</v>
      </c>
      <c r="Q1198" s="315">
        <v>45496</v>
      </c>
      <c r="R1198" s="272"/>
      <c r="S1198" s="272"/>
      <c r="T1198" s="272"/>
      <c r="U1198" s="272"/>
      <c r="V1198" s="272"/>
      <c r="W1198" s="272"/>
      <c r="X1198" s="272"/>
      <c r="Y1198" s="272"/>
      <c r="Z1198" s="272"/>
      <c r="AA1198" s="272"/>
    </row>
    <row r="1199" spans="1:27">
      <c r="A1199" s="273">
        <v>9</v>
      </c>
      <c r="B1199" s="274" t="s">
        <v>6297</v>
      </c>
      <c r="C1199" s="314">
        <v>45523</v>
      </c>
      <c r="D1199" s="274" t="s">
        <v>4714</v>
      </c>
      <c r="E1199" s="268" t="s">
        <v>4194</v>
      </c>
      <c r="F1199" s="268" t="s">
        <v>4715</v>
      </c>
      <c r="G1199" s="268" t="s">
        <v>4716</v>
      </c>
      <c r="H1199" s="268" t="str">
        <f t="shared" si="6"/>
        <v>OSCAR ALEMÁN LÓPEZ</v>
      </c>
      <c r="I1199" s="268" t="s">
        <v>4771</v>
      </c>
      <c r="J1199" s="268" t="s">
        <v>4736</v>
      </c>
      <c r="K1199" s="268" t="s">
        <v>6357</v>
      </c>
      <c r="L1199" s="287">
        <v>45558</v>
      </c>
      <c r="M1199" s="283"/>
      <c r="N1199" s="282">
        <v>2</v>
      </c>
      <c r="O1199" s="284" t="s">
        <v>4723</v>
      </c>
      <c r="P1199" s="280">
        <v>2888.18</v>
      </c>
      <c r="Q1199" s="315">
        <v>45523</v>
      </c>
      <c r="R1199" s="272"/>
      <c r="S1199" s="272"/>
      <c r="T1199" s="272"/>
      <c r="U1199" s="272"/>
      <c r="V1199" s="272"/>
      <c r="W1199" s="272"/>
      <c r="X1199" s="272"/>
      <c r="Y1199" s="272"/>
      <c r="Z1199" s="272"/>
      <c r="AA1199" s="272"/>
    </row>
    <row r="1200" spans="1:27">
      <c r="A1200" s="273">
        <v>9</v>
      </c>
      <c r="B1200" s="274" t="s">
        <v>6297</v>
      </c>
      <c r="C1200" s="314">
        <v>45474</v>
      </c>
      <c r="D1200" s="274" t="s">
        <v>4714</v>
      </c>
      <c r="E1200" s="268" t="s">
        <v>4788</v>
      </c>
      <c r="F1200" s="268" t="s">
        <v>4715</v>
      </c>
      <c r="G1200" s="268" t="s">
        <v>4716</v>
      </c>
      <c r="H1200" s="268" t="str">
        <f t="shared" si="6"/>
        <v>ERNESTO VARELA MARTÍNEZ</v>
      </c>
      <c r="I1200" s="268" t="s">
        <v>4789</v>
      </c>
      <c r="J1200" s="268" t="s">
        <v>4790</v>
      </c>
      <c r="K1200" s="268" t="s">
        <v>6358</v>
      </c>
      <c r="L1200" s="287">
        <v>45558</v>
      </c>
      <c r="M1200" s="283"/>
      <c r="N1200" s="282">
        <v>2</v>
      </c>
      <c r="O1200" s="284" t="s">
        <v>4792</v>
      </c>
      <c r="P1200" s="280">
        <v>2627.27</v>
      </c>
      <c r="Q1200" s="315">
        <v>45474</v>
      </c>
      <c r="R1200" s="272"/>
      <c r="S1200" s="272"/>
      <c r="T1200" s="272"/>
      <c r="U1200" s="272"/>
      <c r="V1200" s="272"/>
      <c r="W1200" s="272"/>
      <c r="X1200" s="272"/>
      <c r="Y1200" s="272"/>
      <c r="Z1200" s="272"/>
      <c r="AA1200" s="272"/>
    </row>
    <row r="1201" spans="1:27">
      <c r="A1201" s="273">
        <v>9</v>
      </c>
      <c r="B1201" s="274" t="s">
        <v>6297</v>
      </c>
      <c r="C1201" s="314">
        <v>41941</v>
      </c>
      <c r="D1201" s="274" t="s">
        <v>4714</v>
      </c>
      <c r="E1201" s="268" t="s">
        <v>3480</v>
      </c>
      <c r="F1201" s="268" t="s">
        <v>4715</v>
      </c>
      <c r="G1201" s="268" t="s">
        <v>4716</v>
      </c>
      <c r="H1201" s="268" t="str">
        <f t="shared" si="6"/>
        <v>RAIMUNDO ANDRES NAVARRO MEDIANO</v>
      </c>
      <c r="I1201" s="268" t="s">
        <v>5400</v>
      </c>
      <c r="J1201" s="268" t="s">
        <v>4718</v>
      </c>
      <c r="K1201" s="268" t="s">
        <v>6359</v>
      </c>
      <c r="L1201" s="287">
        <v>45558</v>
      </c>
      <c r="M1201" s="283"/>
      <c r="N1201" s="282">
        <v>2</v>
      </c>
      <c r="O1201" s="284" t="s">
        <v>4723</v>
      </c>
      <c r="P1201" s="280">
        <v>2888.18</v>
      </c>
      <c r="Q1201" s="315">
        <v>41941</v>
      </c>
      <c r="R1201" s="272"/>
      <c r="S1201" s="272"/>
      <c r="T1201" s="272"/>
      <c r="U1201" s="272"/>
      <c r="V1201" s="272"/>
      <c r="W1201" s="272"/>
      <c r="X1201" s="272"/>
      <c r="Y1201" s="272"/>
      <c r="Z1201" s="272"/>
      <c r="AA1201" s="272"/>
    </row>
    <row r="1202" spans="1:27">
      <c r="A1202" s="273">
        <v>9</v>
      </c>
      <c r="B1202" s="274" t="s">
        <v>6297</v>
      </c>
      <c r="C1202" s="314">
        <v>45523</v>
      </c>
      <c r="D1202" s="274" t="s">
        <v>4714</v>
      </c>
      <c r="E1202" s="268" t="s">
        <v>2893</v>
      </c>
      <c r="F1202" s="268" t="s">
        <v>4715</v>
      </c>
      <c r="G1202" s="268"/>
      <c r="H1202" s="268" t="str">
        <f t="shared" si="6"/>
        <v>CONCEPCIÓN PESCADOR MESONERO</v>
      </c>
      <c r="I1202" s="268" t="s">
        <v>5090</v>
      </c>
      <c r="J1202" s="268" t="s">
        <v>4718</v>
      </c>
      <c r="K1202" s="268" t="s">
        <v>6360</v>
      </c>
      <c r="L1202" s="287">
        <v>45558</v>
      </c>
      <c r="M1202" s="283"/>
      <c r="N1202" s="282">
        <v>2</v>
      </c>
      <c r="O1202" s="284" t="s">
        <v>4720</v>
      </c>
      <c r="P1202" s="280">
        <v>3710</v>
      </c>
      <c r="Q1202" s="315">
        <v>45523</v>
      </c>
      <c r="R1202" s="272"/>
      <c r="S1202" s="272"/>
      <c r="T1202" s="272"/>
      <c r="U1202" s="272"/>
      <c r="V1202" s="272"/>
      <c r="W1202" s="272"/>
      <c r="X1202" s="272"/>
      <c r="Y1202" s="272"/>
      <c r="Z1202" s="272"/>
      <c r="AA1202" s="272"/>
    </row>
    <row r="1203" spans="1:27">
      <c r="A1203" s="273">
        <v>9</v>
      </c>
      <c r="B1203" s="274" t="s">
        <v>6297</v>
      </c>
      <c r="C1203" s="314">
        <v>45315</v>
      </c>
      <c r="D1203" s="274" t="s">
        <v>4714</v>
      </c>
      <c r="E1203" s="268" t="s">
        <v>2873</v>
      </c>
      <c r="F1203" s="272" t="s">
        <v>4715</v>
      </c>
      <c r="G1203" s="268" t="s">
        <v>4716</v>
      </c>
      <c r="H1203" s="268" t="str">
        <f t="shared" si="6"/>
        <v>JUAN JAVIER ÁLVAREZ LÓPEZ</v>
      </c>
      <c r="I1203" s="268" t="s">
        <v>4938</v>
      </c>
      <c r="J1203" s="272" t="s">
        <v>4736</v>
      </c>
      <c r="K1203" s="268" t="s">
        <v>6361</v>
      </c>
      <c r="L1203" s="287">
        <v>45558</v>
      </c>
      <c r="M1203" s="283"/>
      <c r="N1203" s="282">
        <v>2</v>
      </c>
      <c r="O1203" s="284" t="s">
        <v>4723</v>
      </c>
      <c r="P1203" s="280">
        <v>2471.8200000000002</v>
      </c>
      <c r="Q1203" s="315">
        <v>45315</v>
      </c>
      <c r="R1203" s="272"/>
      <c r="S1203" s="272"/>
      <c r="T1203" s="272"/>
      <c r="U1203" s="272"/>
      <c r="V1203" s="272"/>
      <c r="W1203" s="272"/>
      <c r="X1203" s="272"/>
      <c r="Y1203" s="272"/>
      <c r="Z1203" s="272"/>
      <c r="AA1203" s="272"/>
    </row>
    <row r="1204" spans="1:27">
      <c r="A1204" s="273">
        <v>9</v>
      </c>
      <c r="B1204" s="274" t="s">
        <v>6297</v>
      </c>
      <c r="C1204" s="314">
        <v>45478</v>
      </c>
      <c r="D1204" s="274" t="s">
        <v>4714</v>
      </c>
      <c r="E1204" s="268" t="s">
        <v>4780</v>
      </c>
      <c r="F1204" s="272" t="s">
        <v>4715</v>
      </c>
      <c r="G1204" s="268" t="s">
        <v>4716</v>
      </c>
      <c r="H1204" s="268" t="str">
        <f t="shared" si="6"/>
        <v>LUIS MIGUEL RINCÓN ESTEBAN</v>
      </c>
      <c r="I1204" s="268" t="s">
        <v>5307</v>
      </c>
      <c r="J1204" s="272" t="s">
        <v>4747</v>
      </c>
      <c r="K1204" s="268" t="s">
        <v>6362</v>
      </c>
      <c r="L1204" s="287">
        <v>45558</v>
      </c>
      <c r="M1204" s="283"/>
      <c r="N1204" s="282">
        <v>2</v>
      </c>
      <c r="O1204" s="284" t="s">
        <v>4720</v>
      </c>
      <c r="P1204" s="280">
        <v>3604.55</v>
      </c>
      <c r="Q1204" s="315">
        <v>45478</v>
      </c>
      <c r="R1204" s="272"/>
      <c r="S1204" s="272"/>
      <c r="T1204" s="272"/>
      <c r="U1204" s="272"/>
      <c r="V1204" s="272"/>
      <c r="W1204" s="272"/>
      <c r="X1204" s="272"/>
      <c r="Y1204" s="272"/>
      <c r="Z1204" s="272"/>
      <c r="AA1204" s="272"/>
    </row>
    <row r="1205" spans="1:27">
      <c r="A1205" s="273">
        <v>9</v>
      </c>
      <c r="B1205" s="274" t="s">
        <v>6297</v>
      </c>
      <c r="C1205" s="314">
        <v>45504</v>
      </c>
      <c r="D1205" s="274" t="s">
        <v>4714</v>
      </c>
      <c r="E1205" s="268" t="s">
        <v>4799</v>
      </c>
      <c r="F1205" s="272" t="s">
        <v>4715</v>
      </c>
      <c r="G1205" s="268" t="s">
        <v>4716</v>
      </c>
      <c r="H1205" s="268" t="str">
        <f t="shared" si="6"/>
        <v>PILAR CASTRO RUIZ</v>
      </c>
      <c r="I1205" s="268" t="s">
        <v>4800</v>
      </c>
      <c r="J1205" s="272" t="s">
        <v>4790</v>
      </c>
      <c r="K1205" s="268" t="s">
        <v>6363</v>
      </c>
      <c r="L1205" s="287">
        <v>45558</v>
      </c>
      <c r="M1205" s="283"/>
      <c r="N1205" s="282">
        <v>2</v>
      </c>
      <c r="O1205" s="284" t="s">
        <v>4720</v>
      </c>
      <c r="P1205" s="280">
        <v>3545.45</v>
      </c>
      <c r="Q1205" s="315">
        <v>45504</v>
      </c>
      <c r="R1205" s="272"/>
      <c r="S1205" s="272"/>
      <c r="T1205" s="272"/>
      <c r="U1205" s="272"/>
      <c r="V1205" s="272"/>
      <c r="W1205" s="272"/>
      <c r="X1205" s="272"/>
      <c r="Y1205" s="272"/>
      <c r="Z1205" s="272"/>
      <c r="AA1205" s="272"/>
    </row>
    <row r="1206" spans="1:27">
      <c r="A1206" s="273">
        <v>9</v>
      </c>
      <c r="B1206" s="274" t="s">
        <v>6297</v>
      </c>
      <c r="C1206" s="314">
        <v>45525</v>
      </c>
      <c r="D1206" s="274" t="s">
        <v>4714</v>
      </c>
      <c r="E1206" s="268" t="s">
        <v>2863</v>
      </c>
      <c r="F1206" s="268" t="s">
        <v>4715</v>
      </c>
      <c r="G1206" s="268" t="s">
        <v>4716</v>
      </c>
      <c r="H1206" s="268" t="str">
        <f t="shared" si="6"/>
        <v>PEDRO SEGUÍ MOYA</v>
      </c>
      <c r="I1206" s="268" t="s">
        <v>5053</v>
      </c>
      <c r="J1206" s="268" t="s">
        <v>4736</v>
      </c>
      <c r="K1206" s="268" t="s">
        <v>6364</v>
      </c>
      <c r="L1206" s="287">
        <v>45559</v>
      </c>
      <c r="M1206" s="283"/>
      <c r="N1206" s="282">
        <v>2</v>
      </c>
      <c r="O1206" s="284" t="s">
        <v>4720</v>
      </c>
      <c r="P1206" s="280">
        <v>3709.09</v>
      </c>
      <c r="Q1206" s="315">
        <v>45525</v>
      </c>
      <c r="R1206" s="272"/>
      <c r="S1206" s="272"/>
      <c r="T1206" s="272"/>
      <c r="U1206" s="272"/>
      <c r="V1206" s="272"/>
      <c r="W1206" s="272"/>
      <c r="X1206" s="272"/>
      <c r="Y1206" s="272"/>
      <c r="Z1206" s="272"/>
      <c r="AA1206" s="272"/>
    </row>
    <row r="1207" spans="1:27">
      <c r="A1207" s="273">
        <v>9</v>
      </c>
      <c r="B1207" s="274" t="s">
        <v>6297</v>
      </c>
      <c r="C1207" s="314">
        <v>45483</v>
      </c>
      <c r="D1207" s="274" t="s">
        <v>4714</v>
      </c>
      <c r="E1207" s="268" t="s">
        <v>4203</v>
      </c>
      <c r="F1207" s="268" t="s">
        <v>4715</v>
      </c>
      <c r="G1207" s="268" t="s">
        <v>4716</v>
      </c>
      <c r="H1207" s="268" t="str">
        <f t="shared" si="6"/>
        <v>ANTONIO JOSÉ FERNÁNDEZ PÉREZ</v>
      </c>
      <c r="I1207" s="268" t="s">
        <v>6365</v>
      </c>
      <c r="J1207" s="268" t="s">
        <v>4910</v>
      </c>
      <c r="K1207" s="268" t="s">
        <v>6366</v>
      </c>
      <c r="L1207" s="287">
        <v>45559</v>
      </c>
      <c r="M1207" s="283"/>
      <c r="N1207" s="282">
        <v>2</v>
      </c>
      <c r="O1207" s="284" t="s">
        <v>5814</v>
      </c>
      <c r="P1207" s="280">
        <v>4000</v>
      </c>
      <c r="Q1207" s="315">
        <v>45483</v>
      </c>
      <c r="R1207" s="272"/>
      <c r="S1207" s="272"/>
      <c r="T1207" s="272"/>
      <c r="U1207" s="272"/>
      <c r="V1207" s="272"/>
      <c r="W1207" s="272"/>
      <c r="X1207" s="272"/>
      <c r="Y1207" s="272"/>
      <c r="Z1207" s="272"/>
      <c r="AA1207" s="272"/>
    </row>
    <row r="1208" spans="1:27">
      <c r="A1208" s="273">
        <v>9</v>
      </c>
      <c r="B1208" s="274" t="s">
        <v>6297</v>
      </c>
      <c r="C1208" s="314">
        <v>45533</v>
      </c>
      <c r="D1208" s="274" t="s">
        <v>4714</v>
      </c>
      <c r="E1208" s="268" t="s">
        <v>3480</v>
      </c>
      <c r="F1208" s="268" t="s">
        <v>4715</v>
      </c>
      <c r="G1208" s="268" t="s">
        <v>4716</v>
      </c>
      <c r="H1208" s="268" t="str">
        <f t="shared" si="6"/>
        <v>ÓSCAR ALFONSO ARENAS BRITEZ</v>
      </c>
      <c r="I1208" s="268" t="s">
        <v>5254</v>
      </c>
      <c r="J1208" s="268" t="s">
        <v>4718</v>
      </c>
      <c r="K1208" s="268" t="s">
        <v>6367</v>
      </c>
      <c r="L1208" s="287">
        <v>45559</v>
      </c>
      <c r="M1208" s="283"/>
      <c r="N1208" s="282">
        <v>2</v>
      </c>
      <c r="O1208" s="284" t="s">
        <v>4787</v>
      </c>
      <c r="P1208" s="280">
        <v>3960</v>
      </c>
      <c r="Q1208" s="315">
        <v>45533</v>
      </c>
      <c r="R1208" s="272"/>
      <c r="S1208" s="272"/>
      <c r="T1208" s="272"/>
      <c r="U1208" s="272"/>
      <c r="V1208" s="272"/>
      <c r="W1208" s="272"/>
      <c r="X1208" s="272"/>
      <c r="Y1208" s="272"/>
      <c r="Z1208" s="272"/>
      <c r="AA1208" s="272"/>
    </row>
    <row r="1209" spans="1:27">
      <c r="A1209" s="273">
        <v>9</v>
      </c>
      <c r="B1209" s="274" t="s">
        <v>6297</v>
      </c>
      <c r="C1209" s="314">
        <v>45547</v>
      </c>
      <c r="D1209" s="274" t="s">
        <v>4714</v>
      </c>
      <c r="E1209" s="268" t="s">
        <v>3193</v>
      </c>
      <c r="F1209" s="272" t="s">
        <v>4715</v>
      </c>
      <c r="G1209" s="268"/>
      <c r="H1209" s="268" t="str">
        <f t="shared" si="6"/>
        <v>BÁRBARA CASTILLO ÁVILA</v>
      </c>
      <c r="I1209" s="268" t="s">
        <v>4950</v>
      </c>
      <c r="J1209" s="272" t="s">
        <v>4718</v>
      </c>
      <c r="K1209" s="268" t="s">
        <v>6368</v>
      </c>
      <c r="L1209" s="287">
        <v>45559</v>
      </c>
      <c r="M1209" s="283"/>
      <c r="N1209" s="282">
        <v>2</v>
      </c>
      <c r="O1209" s="284" t="s">
        <v>4720</v>
      </c>
      <c r="P1209" s="280">
        <v>3338.18</v>
      </c>
      <c r="Q1209" s="315">
        <v>45547</v>
      </c>
      <c r="R1209" s="272"/>
      <c r="S1209" s="272"/>
      <c r="T1209" s="272"/>
      <c r="U1209" s="272"/>
      <c r="V1209" s="272"/>
      <c r="W1209" s="272"/>
      <c r="X1209" s="272"/>
      <c r="Y1209" s="272"/>
      <c r="Z1209" s="272"/>
      <c r="AA1209" s="272"/>
    </row>
    <row r="1210" spans="1:27">
      <c r="A1210" s="273">
        <v>9</v>
      </c>
      <c r="B1210" s="274" t="s">
        <v>6297</v>
      </c>
      <c r="C1210" s="314">
        <v>45484</v>
      </c>
      <c r="D1210" s="274" t="s">
        <v>4714</v>
      </c>
      <c r="E1210" s="268" t="s">
        <v>2873</v>
      </c>
      <c r="F1210" s="272" t="s">
        <v>4715</v>
      </c>
      <c r="G1210" s="268" t="s">
        <v>4716</v>
      </c>
      <c r="H1210" s="268" t="str">
        <f t="shared" si="6"/>
        <v>JUAN JAVIER ÁLVAREZ LÓPEZ</v>
      </c>
      <c r="I1210" s="268" t="s">
        <v>4938</v>
      </c>
      <c r="J1210" s="272" t="s">
        <v>4736</v>
      </c>
      <c r="K1210" s="268" t="s">
        <v>6369</v>
      </c>
      <c r="L1210" s="287">
        <v>45559</v>
      </c>
      <c r="M1210" s="283"/>
      <c r="N1210" s="282">
        <v>1</v>
      </c>
      <c r="O1210" s="284" t="s">
        <v>5814</v>
      </c>
      <c r="P1210" s="280">
        <v>2400</v>
      </c>
      <c r="Q1210" s="315">
        <v>45484</v>
      </c>
      <c r="R1210" s="272"/>
      <c r="S1210" s="322"/>
      <c r="T1210" s="322"/>
      <c r="U1210" s="322"/>
      <c r="V1210" s="322"/>
      <c r="W1210" s="322"/>
      <c r="X1210" s="322"/>
      <c r="Y1210" s="322"/>
      <c r="Z1210" s="322"/>
      <c r="AA1210" s="322"/>
    </row>
    <row r="1211" spans="1:27">
      <c r="A1211" s="273">
        <v>9</v>
      </c>
      <c r="B1211" s="274" t="s">
        <v>6297</v>
      </c>
      <c r="C1211" s="314">
        <v>45538</v>
      </c>
      <c r="D1211" s="285" t="s">
        <v>4714</v>
      </c>
      <c r="E1211" s="268" t="s">
        <v>2873</v>
      </c>
      <c r="F1211" s="272" t="s">
        <v>4715</v>
      </c>
      <c r="G1211" s="268" t="s">
        <v>4716</v>
      </c>
      <c r="H1211" s="268" t="str">
        <f t="shared" si="6"/>
        <v>JOSÉ GARCÍA MORILLAS</v>
      </c>
      <c r="I1211" s="268" t="s">
        <v>5249</v>
      </c>
      <c r="J1211" s="272" t="s">
        <v>4736</v>
      </c>
      <c r="K1211" s="268" t="s">
        <v>6370</v>
      </c>
      <c r="L1211" s="287">
        <v>45559</v>
      </c>
      <c r="M1211" s="283"/>
      <c r="N1211" s="282">
        <v>2</v>
      </c>
      <c r="O1211" s="284" t="s">
        <v>5814</v>
      </c>
      <c r="P1211" s="280">
        <v>4000</v>
      </c>
      <c r="Q1211" s="315">
        <v>45538</v>
      </c>
      <c r="R1211" s="272"/>
      <c r="S1211" s="272"/>
      <c r="T1211" s="272"/>
      <c r="U1211" s="272"/>
      <c r="V1211" s="272"/>
      <c r="W1211" s="272"/>
      <c r="X1211" s="272"/>
      <c r="Y1211" s="272"/>
      <c r="Z1211" s="272"/>
      <c r="AA1211" s="272"/>
    </row>
    <row r="1212" spans="1:27">
      <c r="A1212" s="273">
        <v>9</v>
      </c>
      <c r="B1212" s="274" t="s">
        <v>6297</v>
      </c>
      <c r="C1212" s="314">
        <v>45524</v>
      </c>
      <c r="D1212" s="274" t="s">
        <v>4714</v>
      </c>
      <c r="E1212" s="268" t="s">
        <v>5225</v>
      </c>
      <c r="F1212" s="272" t="s">
        <v>4715</v>
      </c>
      <c r="G1212" s="268" t="s">
        <v>4716</v>
      </c>
      <c r="H1212" s="268" t="str">
        <f t="shared" si="6"/>
        <v>JOAQUÍN GUERRA GÓMEZ</v>
      </c>
      <c r="I1212" s="268" t="s">
        <v>4988</v>
      </c>
      <c r="J1212" s="272" t="s">
        <v>4790</v>
      </c>
      <c r="K1212" s="268" t="s">
        <v>6371</v>
      </c>
      <c r="L1212" s="287">
        <v>45559</v>
      </c>
      <c r="M1212" s="283"/>
      <c r="N1212" s="282">
        <v>2</v>
      </c>
      <c r="O1212" s="284" t="s">
        <v>4740</v>
      </c>
      <c r="P1212" s="280">
        <v>3800</v>
      </c>
      <c r="Q1212" s="315">
        <v>45524</v>
      </c>
      <c r="R1212" s="272"/>
      <c r="S1212" s="272"/>
      <c r="T1212" s="272"/>
      <c r="U1212" s="272"/>
      <c r="V1212" s="272"/>
      <c r="W1212" s="272"/>
      <c r="X1212" s="272"/>
      <c r="Y1212" s="272"/>
      <c r="Z1212" s="272"/>
      <c r="AA1212" s="272"/>
    </row>
    <row r="1213" spans="1:27">
      <c r="A1213" s="273">
        <v>9</v>
      </c>
      <c r="B1213" s="274" t="s">
        <v>6297</v>
      </c>
      <c r="C1213" s="314">
        <v>45503</v>
      </c>
      <c r="D1213" s="274" t="s">
        <v>4714</v>
      </c>
      <c r="E1213" s="268" t="s">
        <v>2863</v>
      </c>
      <c r="F1213" s="268" t="s">
        <v>4715</v>
      </c>
      <c r="G1213" s="268" t="s">
        <v>4716</v>
      </c>
      <c r="H1213" s="268" t="str">
        <f t="shared" si="6"/>
        <v>PEDRO MASEGOSA ZAPATA</v>
      </c>
      <c r="I1213" s="268" t="s">
        <v>5340</v>
      </c>
      <c r="J1213" s="268" t="s">
        <v>4736</v>
      </c>
      <c r="K1213" s="268" t="s">
        <v>6372</v>
      </c>
      <c r="L1213" s="287">
        <v>45560</v>
      </c>
      <c r="M1213" s="283"/>
      <c r="N1213" s="282">
        <v>2</v>
      </c>
      <c r="O1213" s="284" t="s">
        <v>4740</v>
      </c>
      <c r="P1213" s="280">
        <v>3800</v>
      </c>
      <c r="Q1213" s="315">
        <v>45503</v>
      </c>
      <c r="R1213" s="272"/>
      <c r="S1213" s="272"/>
      <c r="T1213" s="272"/>
      <c r="U1213" s="272"/>
      <c r="V1213" s="272"/>
      <c r="W1213" s="272"/>
      <c r="X1213" s="272"/>
      <c r="Y1213" s="272"/>
      <c r="Z1213" s="272"/>
      <c r="AA1213" s="272"/>
    </row>
    <row r="1214" spans="1:27">
      <c r="A1214" s="273">
        <v>9</v>
      </c>
      <c r="B1214" s="274" t="s">
        <v>6297</v>
      </c>
      <c r="C1214" s="314">
        <v>45511</v>
      </c>
      <c r="D1214" s="274" t="s">
        <v>4714</v>
      </c>
      <c r="E1214" s="268" t="s">
        <v>4734</v>
      </c>
      <c r="F1214" s="268" t="s">
        <v>4715</v>
      </c>
      <c r="G1214" s="268" t="s">
        <v>4716</v>
      </c>
      <c r="H1214" s="268" t="str">
        <f t="shared" si="6"/>
        <v>ISABEL POLO TOMÁS</v>
      </c>
      <c r="I1214" s="268" t="s">
        <v>4912</v>
      </c>
      <c r="J1214" s="268" t="s">
        <v>4736</v>
      </c>
      <c r="K1214" s="268" t="s">
        <v>6373</v>
      </c>
      <c r="L1214" s="287">
        <v>45560</v>
      </c>
      <c r="M1214" s="283"/>
      <c r="N1214" s="282">
        <v>1</v>
      </c>
      <c r="O1214" s="284" t="s">
        <v>4720</v>
      </c>
      <c r="P1214" s="280">
        <v>2226.44</v>
      </c>
      <c r="Q1214" s="315">
        <v>45511</v>
      </c>
      <c r="R1214" s="272"/>
      <c r="S1214" s="272"/>
      <c r="T1214" s="272"/>
      <c r="U1214" s="272"/>
      <c r="V1214" s="272"/>
      <c r="W1214" s="272"/>
      <c r="X1214" s="272"/>
      <c r="Y1214" s="272"/>
      <c r="Z1214" s="272"/>
      <c r="AA1214" s="272"/>
    </row>
    <row r="1215" spans="1:27">
      <c r="A1215" s="273">
        <v>9</v>
      </c>
      <c r="B1215" s="274" t="s">
        <v>6297</v>
      </c>
      <c r="C1215" s="314">
        <v>45530</v>
      </c>
      <c r="D1215" s="274" t="s">
        <v>4714</v>
      </c>
      <c r="E1215" s="268" t="s">
        <v>4820</v>
      </c>
      <c r="F1215" s="268" t="s">
        <v>4715</v>
      </c>
      <c r="G1215" s="268" t="s">
        <v>4716</v>
      </c>
      <c r="H1215" s="268" t="str">
        <f t="shared" si="6"/>
        <v>JAVIER GARCÍA GÓMEZ</v>
      </c>
      <c r="I1215" s="268" t="s">
        <v>5220</v>
      </c>
      <c r="J1215" s="268" t="s">
        <v>4822</v>
      </c>
      <c r="K1215" s="268" t="s">
        <v>6374</v>
      </c>
      <c r="L1215" s="287">
        <v>45560</v>
      </c>
      <c r="M1215" s="283"/>
      <c r="N1215" s="282">
        <v>2</v>
      </c>
      <c r="O1215" s="284" t="s">
        <v>4740</v>
      </c>
      <c r="P1215" s="280">
        <v>4145.45</v>
      </c>
      <c r="Q1215" s="315">
        <v>45530</v>
      </c>
      <c r="R1215" s="272"/>
      <c r="S1215" s="272"/>
      <c r="T1215" s="272"/>
      <c r="U1215" s="272"/>
      <c r="V1215" s="272"/>
      <c r="W1215" s="272"/>
      <c r="X1215" s="272"/>
      <c r="Y1215" s="272"/>
      <c r="Z1215" s="272"/>
      <c r="AA1215" s="272"/>
    </row>
    <row r="1216" spans="1:27">
      <c r="A1216" s="273">
        <v>9</v>
      </c>
      <c r="B1216" s="274" t="s">
        <v>6297</v>
      </c>
      <c r="C1216" s="314">
        <v>45513</v>
      </c>
      <c r="D1216" s="274" t="s">
        <v>4714</v>
      </c>
      <c r="E1216" s="268" t="s">
        <v>2893</v>
      </c>
      <c r="F1216" s="268" t="s">
        <v>4715</v>
      </c>
      <c r="G1216" s="268" t="s">
        <v>4716</v>
      </c>
      <c r="H1216" s="268" t="str">
        <f t="shared" si="6"/>
        <v>CRISTINA VADUVA</v>
      </c>
      <c r="I1216" s="268" t="s">
        <v>4773</v>
      </c>
      <c r="J1216" s="268" t="s">
        <v>4718</v>
      </c>
      <c r="K1216" s="268" t="s">
        <v>6375</v>
      </c>
      <c r="L1216" s="287">
        <v>45560</v>
      </c>
      <c r="M1216" s="283"/>
      <c r="N1216" s="282">
        <v>1</v>
      </c>
      <c r="O1216" s="284" t="s">
        <v>4720</v>
      </c>
      <c r="P1216" s="280">
        <v>2226.36</v>
      </c>
      <c r="Q1216" s="315">
        <v>45513</v>
      </c>
      <c r="R1216" s="272"/>
      <c r="S1216" s="272"/>
      <c r="T1216" s="272"/>
      <c r="U1216" s="272"/>
      <c r="V1216" s="272"/>
      <c r="W1216" s="272"/>
      <c r="X1216" s="272"/>
      <c r="Y1216" s="272"/>
      <c r="Z1216" s="272"/>
      <c r="AA1216" s="272"/>
    </row>
    <row r="1217" spans="1:27">
      <c r="A1217" s="273">
        <v>9</v>
      </c>
      <c r="B1217" s="274" t="s">
        <v>6297</v>
      </c>
      <c r="C1217" s="314">
        <v>45502</v>
      </c>
      <c r="D1217" s="274" t="s">
        <v>4714</v>
      </c>
      <c r="E1217" s="268" t="s">
        <v>4837</v>
      </c>
      <c r="F1217" s="272" t="s">
        <v>4715</v>
      </c>
      <c r="G1217" s="268" t="s">
        <v>4716</v>
      </c>
      <c r="H1217" s="268" t="str">
        <f t="shared" si="6"/>
        <v>ESTEBAN SCOLA PLIEGO</v>
      </c>
      <c r="I1217" s="268" t="s">
        <v>5010</v>
      </c>
      <c r="J1217" s="272" t="s">
        <v>4718</v>
      </c>
      <c r="K1217" s="268" t="s">
        <v>6376</v>
      </c>
      <c r="L1217" s="287">
        <v>45560</v>
      </c>
      <c r="M1217" s="283"/>
      <c r="N1217" s="282">
        <v>2</v>
      </c>
      <c r="O1217" s="284" t="s">
        <v>4720</v>
      </c>
      <c r="P1217" s="280">
        <v>3710</v>
      </c>
      <c r="Q1217" s="315">
        <v>45502</v>
      </c>
      <c r="R1217" s="272"/>
      <c r="S1217" s="272"/>
      <c r="T1217" s="272"/>
      <c r="U1217" s="272"/>
      <c r="V1217" s="272"/>
      <c r="W1217" s="272"/>
      <c r="X1217" s="272"/>
      <c r="Y1217" s="272"/>
      <c r="Z1217" s="272"/>
      <c r="AA1217" s="272"/>
    </row>
    <row r="1218" spans="1:27">
      <c r="A1218" s="273">
        <v>9</v>
      </c>
      <c r="B1218" s="274" t="s">
        <v>6297</v>
      </c>
      <c r="C1218" s="314">
        <v>45456</v>
      </c>
      <c r="D1218" s="274" t="s">
        <v>4714</v>
      </c>
      <c r="E1218" s="268" t="s">
        <v>4749</v>
      </c>
      <c r="F1218" s="272" t="s">
        <v>4715</v>
      </c>
      <c r="G1218" s="268" t="s">
        <v>4716</v>
      </c>
      <c r="H1218" s="268" t="str">
        <f t="shared" si="6"/>
        <v>XENIA MOTA ROJAS</v>
      </c>
      <c r="I1218" s="268" t="s">
        <v>5351</v>
      </c>
      <c r="J1218" s="272" t="s">
        <v>4747</v>
      </c>
      <c r="K1218" s="268" t="s">
        <v>6377</v>
      </c>
      <c r="L1218" s="287">
        <v>45560</v>
      </c>
      <c r="M1218" s="283"/>
      <c r="N1218" s="282">
        <v>1</v>
      </c>
      <c r="O1218" s="284" t="s">
        <v>4720</v>
      </c>
      <c r="P1218" s="280">
        <v>1954.55</v>
      </c>
      <c r="Q1218" s="315">
        <v>45456</v>
      </c>
      <c r="R1218" s="272"/>
      <c r="S1218" s="272"/>
      <c r="T1218" s="272"/>
      <c r="U1218" s="272"/>
      <c r="V1218" s="272"/>
      <c r="W1218" s="272"/>
      <c r="X1218" s="272"/>
      <c r="Y1218" s="272"/>
      <c r="Z1218" s="272"/>
      <c r="AA1218" s="272"/>
    </row>
    <row r="1219" spans="1:27">
      <c r="A1219" s="273">
        <v>9</v>
      </c>
      <c r="B1219" s="274" t="s">
        <v>6297</v>
      </c>
      <c r="C1219" s="314">
        <v>45456</v>
      </c>
      <c r="D1219" s="274" t="s">
        <v>4714</v>
      </c>
      <c r="E1219" s="268" t="s">
        <v>4780</v>
      </c>
      <c r="F1219" s="272" t="s">
        <v>4715</v>
      </c>
      <c r="G1219" s="268" t="s">
        <v>4716</v>
      </c>
      <c r="H1219" s="268" t="str">
        <f t="shared" si="6"/>
        <v>MARTA CALVO PÉREZ</v>
      </c>
      <c r="I1219" s="268" t="s">
        <v>6038</v>
      </c>
      <c r="J1219" s="272" t="s">
        <v>4747</v>
      </c>
      <c r="K1219" s="268" t="s">
        <v>6378</v>
      </c>
      <c r="L1219" s="287">
        <v>45560</v>
      </c>
      <c r="M1219" s="283"/>
      <c r="N1219" s="282">
        <v>2</v>
      </c>
      <c r="O1219" s="284" t="s">
        <v>4720</v>
      </c>
      <c r="P1219" s="280">
        <v>3384.55</v>
      </c>
      <c r="Q1219" s="315">
        <v>45456</v>
      </c>
      <c r="R1219" s="272"/>
      <c r="S1219" s="272"/>
      <c r="T1219" s="272"/>
      <c r="U1219" s="272"/>
      <c r="V1219" s="272"/>
      <c r="W1219" s="272"/>
      <c r="X1219" s="272"/>
      <c r="Y1219" s="272"/>
      <c r="Z1219" s="272"/>
      <c r="AA1219" s="272"/>
    </row>
    <row r="1220" spans="1:27">
      <c r="A1220" s="273">
        <v>9</v>
      </c>
      <c r="B1220" s="274" t="s">
        <v>6297</v>
      </c>
      <c r="C1220" s="314">
        <v>45443</v>
      </c>
      <c r="D1220" s="274" t="s">
        <v>4714</v>
      </c>
      <c r="E1220" s="268" t="s">
        <v>2961</v>
      </c>
      <c r="F1220" s="272" t="s">
        <v>4715</v>
      </c>
      <c r="G1220" s="268" t="s">
        <v>4716</v>
      </c>
      <c r="H1220" s="268" t="str">
        <f t="shared" si="6"/>
        <v>DINIS ANTUNES SILVA</v>
      </c>
      <c r="I1220" s="268" t="s">
        <v>6379</v>
      </c>
      <c r="J1220" s="272" t="s">
        <v>4736</v>
      </c>
      <c r="K1220" s="268" t="s">
        <v>6380</v>
      </c>
      <c r="L1220" s="287">
        <v>45560</v>
      </c>
      <c r="M1220" s="283"/>
      <c r="N1220" s="282">
        <v>2</v>
      </c>
      <c r="O1220" s="284" t="s">
        <v>4723</v>
      </c>
      <c r="P1220" s="280">
        <v>2888.18</v>
      </c>
      <c r="Q1220" s="315">
        <v>45443</v>
      </c>
      <c r="R1220" s="272"/>
      <c r="S1220" s="272"/>
      <c r="T1220" s="272"/>
      <c r="U1220" s="272"/>
      <c r="V1220" s="272"/>
      <c r="W1220" s="272"/>
      <c r="X1220" s="272"/>
      <c r="Y1220" s="272"/>
      <c r="Z1220" s="272"/>
      <c r="AA1220" s="272"/>
    </row>
    <row r="1221" spans="1:27">
      <c r="A1221" s="273">
        <v>9</v>
      </c>
      <c r="B1221" s="274" t="s">
        <v>6297</v>
      </c>
      <c r="C1221" s="314">
        <v>45538</v>
      </c>
      <c r="D1221" s="274" t="s">
        <v>4714</v>
      </c>
      <c r="E1221" s="268" t="s">
        <v>2921</v>
      </c>
      <c r="F1221" s="272" t="s">
        <v>4715</v>
      </c>
      <c r="G1221" s="268" t="s">
        <v>4716</v>
      </c>
      <c r="H1221" s="268" t="str">
        <f t="shared" si="6"/>
        <v>ABEL GUZMÁN CALVETE</v>
      </c>
      <c r="I1221" s="268" t="s">
        <v>6381</v>
      </c>
      <c r="J1221" s="272" t="s">
        <v>4910</v>
      </c>
      <c r="K1221" s="268" t="s">
        <v>6382</v>
      </c>
      <c r="L1221" s="287">
        <v>45560</v>
      </c>
      <c r="M1221" s="283"/>
      <c r="N1221" s="282">
        <v>1</v>
      </c>
      <c r="O1221" s="284" t="s">
        <v>5814</v>
      </c>
      <c r="P1221" s="280">
        <v>2272.73</v>
      </c>
      <c r="Q1221" s="315">
        <v>45538</v>
      </c>
      <c r="R1221" s="272"/>
      <c r="S1221" s="272"/>
      <c r="T1221" s="272"/>
      <c r="U1221" s="272"/>
      <c r="V1221" s="272"/>
      <c r="W1221" s="272"/>
      <c r="X1221" s="272"/>
      <c r="Y1221" s="272"/>
      <c r="Z1221" s="272"/>
      <c r="AA1221" s="272"/>
    </row>
    <row r="1222" spans="1:27">
      <c r="A1222" s="273">
        <v>9</v>
      </c>
      <c r="B1222" s="274" t="s">
        <v>6297</v>
      </c>
      <c r="C1222" s="314">
        <v>45544</v>
      </c>
      <c r="D1222" s="274" t="s">
        <v>4714</v>
      </c>
      <c r="E1222" s="268" t="s">
        <v>2880</v>
      </c>
      <c r="F1222" s="268" t="s">
        <v>4715</v>
      </c>
      <c r="G1222" s="268" t="s">
        <v>4716</v>
      </c>
      <c r="H1222" s="268" t="str">
        <f t="shared" si="6"/>
        <v>MARTA SANZ RODRÍGUEZ</v>
      </c>
      <c r="I1222" s="268" t="s">
        <v>6383</v>
      </c>
      <c r="J1222" s="268" t="s">
        <v>4718</v>
      </c>
      <c r="K1222" s="268" t="s">
        <v>6384</v>
      </c>
      <c r="L1222" s="287">
        <v>45561</v>
      </c>
      <c r="M1222" s="283"/>
      <c r="N1222" s="282">
        <v>2</v>
      </c>
      <c r="O1222" s="284" t="s">
        <v>4720</v>
      </c>
      <c r="P1222" s="280">
        <v>3710</v>
      </c>
      <c r="Q1222" s="315">
        <v>45544</v>
      </c>
      <c r="R1222" s="272"/>
      <c r="S1222" s="272"/>
      <c r="T1222" s="272"/>
      <c r="U1222" s="272"/>
      <c r="V1222" s="272"/>
      <c r="W1222" s="272"/>
      <c r="X1222" s="272"/>
      <c r="Y1222" s="272"/>
      <c r="Z1222" s="272"/>
      <c r="AA1222" s="272"/>
    </row>
    <row r="1223" spans="1:27">
      <c r="A1223" s="273">
        <v>9</v>
      </c>
      <c r="B1223" s="274" t="s">
        <v>6297</v>
      </c>
      <c r="C1223" s="314">
        <v>45539</v>
      </c>
      <c r="D1223" s="274" t="s">
        <v>4714</v>
      </c>
      <c r="E1223" s="268" t="s">
        <v>2893</v>
      </c>
      <c r="F1223" s="268" t="s">
        <v>4715</v>
      </c>
      <c r="G1223" s="268" t="s">
        <v>4716</v>
      </c>
      <c r="H1223" s="268" t="str">
        <f t="shared" si="6"/>
        <v>SERGIO Zaragoza GUIJO</v>
      </c>
      <c r="I1223" s="268" t="s">
        <v>5180</v>
      </c>
      <c r="J1223" s="268" t="s">
        <v>4718</v>
      </c>
      <c r="K1223" s="268" t="s">
        <v>6385</v>
      </c>
      <c r="L1223" s="287">
        <v>45561</v>
      </c>
      <c r="M1223" s="283"/>
      <c r="N1223" s="282">
        <v>1</v>
      </c>
      <c r="O1223" s="284" t="s">
        <v>5814</v>
      </c>
      <c r="P1223" s="280">
        <v>2400</v>
      </c>
      <c r="Q1223" s="315">
        <v>45539</v>
      </c>
      <c r="R1223" s="272"/>
      <c r="S1223" s="272"/>
      <c r="T1223" s="272"/>
      <c r="U1223" s="272"/>
      <c r="V1223" s="272"/>
      <c r="W1223" s="272"/>
      <c r="X1223" s="272"/>
      <c r="Y1223" s="272"/>
      <c r="Z1223" s="272"/>
      <c r="AA1223" s="272"/>
    </row>
    <row r="1224" spans="1:27">
      <c r="A1224" s="273">
        <v>9</v>
      </c>
      <c r="B1224" s="274" t="s">
        <v>6297</v>
      </c>
      <c r="C1224" s="314">
        <v>45537</v>
      </c>
      <c r="D1224" s="274" t="s">
        <v>4714</v>
      </c>
      <c r="E1224" s="268" t="s">
        <v>3861</v>
      </c>
      <c r="F1224" s="272" t="s">
        <v>4715</v>
      </c>
      <c r="G1224" s="268" t="s">
        <v>4716</v>
      </c>
      <c r="H1224" s="268" t="str">
        <f t="shared" si="6"/>
        <v>JOSÉ GUSTAVO BARROSO BRAOJOS</v>
      </c>
      <c r="I1224" s="268" t="s">
        <v>4834</v>
      </c>
      <c r="J1224" s="272" t="s">
        <v>4718</v>
      </c>
      <c r="K1224" s="268" t="s">
        <v>6386</v>
      </c>
      <c r="L1224" s="287">
        <v>45561</v>
      </c>
      <c r="M1224" s="283"/>
      <c r="N1224" s="282">
        <v>2</v>
      </c>
      <c r="O1224" s="284" t="s">
        <v>5814</v>
      </c>
      <c r="P1224" s="280">
        <v>4000</v>
      </c>
      <c r="Q1224" s="315">
        <v>45537</v>
      </c>
      <c r="R1224" s="272"/>
      <c r="S1224" s="272"/>
      <c r="T1224" s="272"/>
      <c r="U1224" s="272"/>
      <c r="V1224" s="272"/>
      <c r="W1224" s="272"/>
      <c r="X1224" s="272"/>
      <c r="Y1224" s="272"/>
      <c r="Z1224" s="272"/>
      <c r="AA1224" s="272"/>
    </row>
    <row r="1225" spans="1:27">
      <c r="A1225" s="273">
        <v>9</v>
      </c>
      <c r="B1225" s="274" t="s">
        <v>6297</v>
      </c>
      <c r="C1225" s="314">
        <v>45503</v>
      </c>
      <c r="D1225" s="274" t="s">
        <v>4714</v>
      </c>
      <c r="E1225" s="268" t="s">
        <v>3758</v>
      </c>
      <c r="F1225" s="272" t="s">
        <v>4715</v>
      </c>
      <c r="G1225" s="268"/>
      <c r="H1225" s="268" t="str">
        <f t="shared" ref="H1225:H1387" si="7">TRIM(SUBSTITUTE(SUBSTITUTE(SUBSTITUTE(SUBSTITUTE(I1225,"DR. ",""),"DRA. ",""),"DR ",""),"DRA ",""))</f>
        <v>VÍCTOR JOSÉ GONZÁLEZ ARIAS</v>
      </c>
      <c r="I1225" s="268" t="s">
        <v>6287</v>
      </c>
      <c r="J1225" s="272" t="s">
        <v>4718</v>
      </c>
      <c r="K1225" s="268" t="s">
        <v>6387</v>
      </c>
      <c r="L1225" s="287">
        <v>45561</v>
      </c>
      <c r="M1225" s="283"/>
      <c r="N1225" s="282">
        <v>1</v>
      </c>
      <c r="O1225" s="284" t="s">
        <v>4723</v>
      </c>
      <c r="P1225" s="280">
        <v>1732.73</v>
      </c>
      <c r="Q1225" s="315">
        <v>45503</v>
      </c>
      <c r="R1225" s="272"/>
      <c r="S1225" s="272"/>
      <c r="T1225" s="272"/>
      <c r="U1225" s="272"/>
      <c r="V1225" s="272"/>
      <c r="W1225" s="272"/>
      <c r="X1225" s="272"/>
      <c r="Y1225" s="272"/>
      <c r="Z1225" s="272"/>
      <c r="AA1225" s="272"/>
    </row>
    <row r="1226" spans="1:27">
      <c r="A1226" s="273">
        <v>9</v>
      </c>
      <c r="B1226" s="274" t="s">
        <v>6297</v>
      </c>
      <c r="C1226" s="314">
        <v>45485</v>
      </c>
      <c r="D1226" s="274" t="s">
        <v>4714</v>
      </c>
      <c r="E1226" s="268" t="s">
        <v>2869</v>
      </c>
      <c r="F1226" s="272" t="s">
        <v>4715</v>
      </c>
      <c r="G1226" s="268"/>
      <c r="H1226" s="268" t="str">
        <f t="shared" si="7"/>
        <v>JESÚS MIGUEL INIESTA TURPÍN</v>
      </c>
      <c r="I1226" s="268" t="s">
        <v>4868</v>
      </c>
      <c r="J1226" s="272" t="s">
        <v>4736</v>
      </c>
      <c r="K1226" s="268" t="s">
        <v>6388</v>
      </c>
      <c r="L1226" s="287">
        <v>45561</v>
      </c>
      <c r="M1226" s="283"/>
      <c r="N1226" s="282">
        <v>2</v>
      </c>
      <c r="O1226" s="284" t="s">
        <v>4723</v>
      </c>
      <c r="P1226" s="280">
        <v>2888.18</v>
      </c>
      <c r="Q1226" s="315">
        <v>45485</v>
      </c>
      <c r="R1226" s="272"/>
      <c r="S1226" s="272"/>
      <c r="T1226" s="272"/>
      <c r="U1226" s="272"/>
      <c r="V1226" s="272"/>
      <c r="W1226" s="272"/>
      <c r="X1226" s="272"/>
      <c r="Y1226" s="272"/>
      <c r="Z1226" s="272"/>
      <c r="AA1226" s="272"/>
    </row>
    <row r="1227" spans="1:27">
      <c r="A1227" s="273">
        <v>9</v>
      </c>
      <c r="B1227" s="274" t="s">
        <v>6297</v>
      </c>
      <c r="C1227" s="314">
        <v>45540</v>
      </c>
      <c r="D1227" s="274" t="s">
        <v>4714</v>
      </c>
      <c r="E1227" s="268" t="s">
        <v>2961</v>
      </c>
      <c r="F1227" s="272" t="s">
        <v>4715</v>
      </c>
      <c r="G1227" s="268" t="s">
        <v>4716</v>
      </c>
      <c r="H1227" s="268" t="str">
        <f t="shared" si="7"/>
        <v>NATHALIE FAGES CÁRCELES</v>
      </c>
      <c r="I1227" s="268" t="s">
        <v>5000</v>
      </c>
      <c r="J1227" s="272" t="s">
        <v>4736</v>
      </c>
      <c r="K1227" s="268" t="s">
        <v>6389</v>
      </c>
      <c r="L1227" s="287">
        <v>45561</v>
      </c>
      <c r="M1227" s="283"/>
      <c r="N1227" s="282">
        <v>2</v>
      </c>
      <c r="O1227" s="284" t="s">
        <v>4720</v>
      </c>
      <c r="P1227" s="280">
        <v>3785.45</v>
      </c>
      <c r="Q1227" s="315">
        <v>45540</v>
      </c>
      <c r="R1227" s="272"/>
      <c r="S1227" s="272"/>
      <c r="T1227" s="272"/>
      <c r="U1227" s="272"/>
      <c r="V1227" s="272"/>
      <c r="W1227" s="272"/>
      <c r="X1227" s="272"/>
      <c r="Y1227" s="272"/>
      <c r="Z1227" s="272"/>
      <c r="AA1227" s="272"/>
    </row>
    <row r="1228" spans="1:27">
      <c r="A1228" s="273">
        <v>9</v>
      </c>
      <c r="B1228" s="274" t="s">
        <v>6297</v>
      </c>
      <c r="C1228" s="314">
        <v>45544</v>
      </c>
      <c r="D1228" s="274" t="s">
        <v>4714</v>
      </c>
      <c r="E1228" s="268" t="s">
        <v>3011</v>
      </c>
      <c r="F1228" s="272" t="s">
        <v>4715</v>
      </c>
      <c r="G1228" s="268" t="s">
        <v>6336</v>
      </c>
      <c r="H1228" s="268" t="str">
        <f t="shared" si="7"/>
        <v>DANIEL IVÁN MARTÍN JIMÉNEZ</v>
      </c>
      <c r="I1228" s="268" t="s">
        <v>6390</v>
      </c>
      <c r="J1228" s="272" t="s">
        <v>4729</v>
      </c>
      <c r="K1228" s="268" t="s">
        <v>6391</v>
      </c>
      <c r="L1228" s="287">
        <v>45561</v>
      </c>
      <c r="M1228" s="283"/>
      <c r="N1228" s="282">
        <v>2</v>
      </c>
      <c r="O1228" s="284" t="s">
        <v>4723</v>
      </c>
      <c r="P1228" s="280">
        <v>2743.77</v>
      </c>
      <c r="Q1228" s="315">
        <v>45544</v>
      </c>
      <c r="R1228" s="272"/>
      <c r="S1228" s="272"/>
      <c r="T1228" s="272"/>
      <c r="U1228" s="272"/>
      <c r="V1228" s="272"/>
      <c r="W1228" s="272"/>
      <c r="X1228" s="272"/>
      <c r="Y1228" s="272"/>
      <c r="Z1228" s="272"/>
      <c r="AA1228" s="272"/>
    </row>
    <row r="1229" spans="1:27">
      <c r="A1229" s="273">
        <v>9</v>
      </c>
      <c r="B1229" s="274" t="s">
        <v>6297</v>
      </c>
      <c r="C1229" s="314">
        <v>45482</v>
      </c>
      <c r="D1229" s="274" t="s">
        <v>4714</v>
      </c>
      <c r="E1229" s="268" t="s">
        <v>4759</v>
      </c>
      <c r="F1229" s="272" t="s">
        <v>4715</v>
      </c>
      <c r="G1229" s="268" t="s">
        <v>4716</v>
      </c>
      <c r="H1229" s="268" t="str">
        <f t="shared" si="7"/>
        <v>NO REUERDA ORL</v>
      </c>
      <c r="I1229" s="268" t="s">
        <v>4743</v>
      </c>
      <c r="J1229" s="272" t="s">
        <v>4747</v>
      </c>
      <c r="K1229" s="268" t="s">
        <v>6392</v>
      </c>
      <c r="L1229" s="287">
        <v>45561</v>
      </c>
      <c r="M1229" s="283"/>
      <c r="N1229" s="282">
        <v>2</v>
      </c>
      <c r="O1229" s="284" t="s">
        <v>4740</v>
      </c>
      <c r="P1229" s="280">
        <v>3431.82</v>
      </c>
      <c r="Q1229" s="315">
        <v>45482</v>
      </c>
      <c r="R1229" s="272"/>
      <c r="S1229" s="272"/>
      <c r="T1229" s="272"/>
      <c r="U1229" s="272"/>
      <c r="V1229" s="272"/>
      <c r="W1229" s="272"/>
      <c r="X1229" s="272"/>
      <c r="Y1229" s="272"/>
      <c r="Z1229" s="272"/>
      <c r="AA1229" s="272"/>
    </row>
    <row r="1230" spans="1:27">
      <c r="A1230" s="273">
        <v>9</v>
      </c>
      <c r="B1230" s="274" t="s">
        <v>6297</v>
      </c>
      <c r="C1230" s="314">
        <v>45546</v>
      </c>
      <c r="D1230" s="274" t="s">
        <v>4714</v>
      </c>
      <c r="E1230" s="268" t="s">
        <v>4845</v>
      </c>
      <c r="F1230" s="272" t="s">
        <v>4715</v>
      </c>
      <c r="G1230" s="268" t="s">
        <v>4716</v>
      </c>
      <c r="H1230" s="268" t="str">
        <f t="shared" si="7"/>
        <v>PEDRO GIL PARAÍSO</v>
      </c>
      <c r="I1230" s="268" t="s">
        <v>6393</v>
      </c>
      <c r="J1230" s="272" t="s">
        <v>4822</v>
      </c>
      <c r="K1230" s="268" t="s">
        <v>6394</v>
      </c>
      <c r="L1230" s="287">
        <v>45561</v>
      </c>
      <c r="M1230" s="283"/>
      <c r="N1230" s="282">
        <v>2</v>
      </c>
      <c r="O1230" s="284" t="s">
        <v>4723</v>
      </c>
      <c r="P1230" s="280">
        <v>2743.64</v>
      </c>
      <c r="Q1230" s="315">
        <v>45546</v>
      </c>
      <c r="R1230" s="272"/>
      <c r="S1230" s="272"/>
      <c r="T1230" s="272"/>
      <c r="U1230" s="272"/>
      <c r="V1230" s="272"/>
      <c r="W1230" s="272"/>
      <c r="X1230" s="272"/>
      <c r="Y1230" s="272"/>
      <c r="Z1230" s="272"/>
      <c r="AA1230" s="272"/>
    </row>
    <row r="1231" spans="1:27">
      <c r="A1231" s="273">
        <v>9</v>
      </c>
      <c r="B1231" s="274" t="s">
        <v>6297</v>
      </c>
      <c r="C1231" s="314">
        <v>45495</v>
      </c>
      <c r="D1231" s="274" t="s">
        <v>4714</v>
      </c>
      <c r="E1231" s="268" t="s">
        <v>2880</v>
      </c>
      <c r="F1231" s="268" t="s">
        <v>4715</v>
      </c>
      <c r="G1231" s="268" t="s">
        <v>4716</v>
      </c>
      <c r="H1231" s="268" t="str">
        <f t="shared" si="7"/>
        <v>IRENE MÁRMOL SZMOBATHY</v>
      </c>
      <c r="I1231" s="268" t="s">
        <v>5884</v>
      </c>
      <c r="J1231" s="268" t="s">
        <v>4718</v>
      </c>
      <c r="K1231" s="268" t="s">
        <v>6395</v>
      </c>
      <c r="L1231" s="287">
        <v>45562</v>
      </c>
      <c r="M1231" s="283"/>
      <c r="N1231" s="282">
        <v>2</v>
      </c>
      <c r="O1231" s="284" t="s">
        <v>4723</v>
      </c>
      <c r="P1231" s="280">
        <v>2888.18</v>
      </c>
      <c r="Q1231" s="315">
        <v>45495</v>
      </c>
      <c r="R1231" s="272"/>
      <c r="S1231" s="272"/>
      <c r="T1231" s="272"/>
      <c r="U1231" s="272"/>
      <c r="V1231" s="272"/>
      <c r="W1231" s="272"/>
      <c r="X1231" s="272"/>
      <c r="Y1231" s="272"/>
      <c r="Z1231" s="272"/>
      <c r="AA1231" s="272"/>
    </row>
    <row r="1232" spans="1:27">
      <c r="A1232" s="273">
        <v>9</v>
      </c>
      <c r="B1232" s="274" t="s">
        <v>6297</v>
      </c>
      <c r="C1232" s="314">
        <v>45534</v>
      </c>
      <c r="D1232" s="274" t="s">
        <v>4714</v>
      </c>
      <c r="E1232" s="268" t="s">
        <v>2916</v>
      </c>
      <c r="F1232" s="268" t="s">
        <v>4715</v>
      </c>
      <c r="G1232" s="268" t="s">
        <v>4716</v>
      </c>
      <c r="H1232" s="268" t="str">
        <f t="shared" si="7"/>
        <v>JESUS-MARIA GRASA PÉREZ</v>
      </c>
      <c r="I1232" s="268" t="s">
        <v>4865</v>
      </c>
      <c r="J1232" s="268" t="s">
        <v>4806</v>
      </c>
      <c r="K1232" s="268" t="s">
        <v>6396</v>
      </c>
      <c r="L1232" s="287">
        <v>45562</v>
      </c>
      <c r="M1232" s="283"/>
      <c r="N1232" s="282">
        <v>1</v>
      </c>
      <c r="O1232" s="284" t="s">
        <v>4723</v>
      </c>
      <c r="P1232" s="280">
        <v>1646.09</v>
      </c>
      <c r="Q1232" s="315">
        <v>45534</v>
      </c>
      <c r="R1232" s="272"/>
      <c r="S1232" s="272"/>
      <c r="T1232" s="272"/>
      <c r="U1232" s="272"/>
      <c r="V1232" s="272"/>
      <c r="W1232" s="272"/>
      <c r="X1232" s="272"/>
      <c r="Y1232" s="272"/>
      <c r="Z1232" s="272"/>
      <c r="AA1232" s="272"/>
    </row>
    <row r="1233" spans="1:27">
      <c r="A1233" s="273">
        <v>9</v>
      </c>
      <c r="B1233" s="274" t="s">
        <v>6297</v>
      </c>
      <c r="C1233" s="314">
        <v>45539</v>
      </c>
      <c r="D1233" s="274" t="s">
        <v>4714</v>
      </c>
      <c r="E1233" s="268" t="s">
        <v>5225</v>
      </c>
      <c r="F1233" s="272" t="s">
        <v>4715</v>
      </c>
      <c r="G1233" s="268" t="s">
        <v>4716</v>
      </c>
      <c r="H1233" s="268" t="str">
        <f t="shared" si="7"/>
        <v>GABRIEL MARTÍNEZ CAPOCCINI</v>
      </c>
      <c r="I1233" s="268" t="s">
        <v>5332</v>
      </c>
      <c r="J1233" s="272" t="s">
        <v>4790</v>
      </c>
      <c r="K1233" s="268" t="s">
        <v>6397</v>
      </c>
      <c r="L1233" s="287">
        <v>45562</v>
      </c>
      <c r="M1233" s="283"/>
      <c r="N1233" s="282">
        <v>2</v>
      </c>
      <c r="O1233" s="284" t="s">
        <v>4740</v>
      </c>
      <c r="P1233" s="280">
        <v>4000</v>
      </c>
      <c r="Q1233" s="315">
        <v>45539</v>
      </c>
      <c r="R1233" s="272"/>
      <c r="S1233" s="272"/>
      <c r="T1233" s="272"/>
      <c r="U1233" s="272"/>
      <c r="V1233" s="272"/>
      <c r="W1233" s="272"/>
      <c r="X1233" s="272"/>
      <c r="Y1233" s="272"/>
      <c r="Z1233" s="272"/>
      <c r="AA1233" s="272"/>
    </row>
    <row r="1234" spans="1:27">
      <c r="A1234" s="273">
        <v>9</v>
      </c>
      <c r="B1234" s="274" t="s">
        <v>6297</v>
      </c>
      <c r="C1234" s="314">
        <v>45531</v>
      </c>
      <c r="D1234" s="274" t="s">
        <v>4714</v>
      </c>
      <c r="E1234" s="268" t="s">
        <v>2863</v>
      </c>
      <c r="F1234" s="268" t="s">
        <v>4715</v>
      </c>
      <c r="G1234" s="278" t="s">
        <v>4716</v>
      </c>
      <c r="H1234" s="268" t="str">
        <f t="shared" si="7"/>
        <v>NO REUERDA ORL</v>
      </c>
      <c r="I1234" s="268" t="s">
        <v>4743</v>
      </c>
      <c r="J1234" s="268" t="s">
        <v>4736</v>
      </c>
      <c r="K1234" s="268" t="s">
        <v>6398</v>
      </c>
      <c r="L1234" s="287">
        <v>45565</v>
      </c>
      <c r="M1234" s="283"/>
      <c r="N1234" s="282">
        <v>2</v>
      </c>
      <c r="O1234" s="284" t="s">
        <v>4740</v>
      </c>
      <c r="P1234" s="280">
        <v>4000</v>
      </c>
      <c r="Q1234" s="315">
        <v>45531</v>
      </c>
      <c r="R1234" s="272"/>
      <c r="S1234" s="272"/>
      <c r="T1234" s="272"/>
      <c r="U1234" s="272"/>
      <c r="V1234" s="272"/>
      <c r="W1234" s="272"/>
      <c r="X1234" s="272"/>
      <c r="Y1234" s="272"/>
      <c r="Z1234" s="272"/>
      <c r="AA1234" s="272"/>
    </row>
    <row r="1235" spans="1:27">
      <c r="A1235" s="273">
        <v>9</v>
      </c>
      <c r="B1235" s="274" t="s">
        <v>6297</v>
      </c>
      <c r="C1235" s="314">
        <v>45484</v>
      </c>
      <c r="D1235" s="274" t="s">
        <v>4714</v>
      </c>
      <c r="E1235" s="268" t="s">
        <v>4194</v>
      </c>
      <c r="F1235" s="268" t="s">
        <v>4715</v>
      </c>
      <c r="G1235" s="272" t="s">
        <v>4716</v>
      </c>
      <c r="H1235" s="268" t="str">
        <f t="shared" si="7"/>
        <v>FRANCISCO PASTOR BEVIÁ</v>
      </c>
      <c r="I1235" s="268" t="s">
        <v>4738</v>
      </c>
      <c r="J1235" s="268" t="s">
        <v>4736</v>
      </c>
      <c r="K1235" s="268" t="s">
        <v>6399</v>
      </c>
      <c r="L1235" s="287">
        <v>45565</v>
      </c>
      <c r="M1235" s="283"/>
      <c r="N1235" s="282">
        <v>2</v>
      </c>
      <c r="O1235" s="284" t="s">
        <v>4723</v>
      </c>
      <c r="P1235" s="280">
        <v>3090.91</v>
      </c>
      <c r="Q1235" s="315">
        <v>45484</v>
      </c>
      <c r="R1235" s="272"/>
      <c r="S1235" s="272"/>
      <c r="T1235" s="272"/>
      <c r="U1235" s="272"/>
      <c r="V1235" s="272"/>
      <c r="W1235" s="272"/>
      <c r="X1235" s="272"/>
      <c r="Y1235" s="272"/>
      <c r="Z1235" s="272"/>
      <c r="AA1235" s="272"/>
    </row>
    <row r="1236" spans="1:27">
      <c r="A1236" s="273">
        <v>9</v>
      </c>
      <c r="B1236" s="274" t="s">
        <v>6297</v>
      </c>
      <c r="C1236" s="314">
        <v>45526</v>
      </c>
      <c r="D1236" s="274" t="s">
        <v>4714</v>
      </c>
      <c r="E1236" s="268" t="s">
        <v>4194</v>
      </c>
      <c r="F1236" s="268" t="s">
        <v>4715</v>
      </c>
      <c r="G1236" s="268" t="s">
        <v>4716</v>
      </c>
      <c r="H1236" s="268" t="str">
        <f t="shared" si="7"/>
        <v>MÓNICA RODRÍGUEZ</v>
      </c>
      <c r="I1236" s="268" t="s">
        <v>5171</v>
      </c>
      <c r="J1236" s="268" t="s">
        <v>4736</v>
      </c>
      <c r="K1236" s="268" t="s">
        <v>6400</v>
      </c>
      <c r="L1236" s="287">
        <v>45565</v>
      </c>
      <c r="M1236" s="283"/>
      <c r="N1236" s="282">
        <v>1</v>
      </c>
      <c r="O1236" s="284" t="s">
        <v>4723</v>
      </c>
      <c r="P1236" s="280">
        <v>913.64</v>
      </c>
      <c r="Q1236" s="315">
        <v>45526</v>
      </c>
      <c r="R1236" s="272"/>
      <c r="S1236" s="272"/>
      <c r="T1236" s="272"/>
      <c r="U1236" s="272"/>
      <c r="V1236" s="272"/>
      <c r="W1236" s="272"/>
      <c r="X1236" s="272"/>
      <c r="Y1236" s="272"/>
      <c r="Z1236" s="272"/>
      <c r="AA1236" s="272"/>
    </row>
    <row r="1237" spans="1:27">
      <c r="A1237" s="273">
        <v>9</v>
      </c>
      <c r="B1237" s="274" t="s">
        <v>6297</v>
      </c>
      <c r="C1237" s="314">
        <v>45534</v>
      </c>
      <c r="D1237" s="274" t="s">
        <v>4714</v>
      </c>
      <c r="E1237" s="268" t="s">
        <v>3480</v>
      </c>
      <c r="F1237" s="268" t="s">
        <v>4715</v>
      </c>
      <c r="G1237" s="268" t="s">
        <v>4716</v>
      </c>
      <c r="H1237" s="268" t="str">
        <f t="shared" si="7"/>
        <v>ELISABETH AMARILLO ESPITIA</v>
      </c>
      <c r="I1237" s="268" t="s">
        <v>4741</v>
      </c>
      <c r="J1237" s="268" t="s">
        <v>4718</v>
      </c>
      <c r="K1237" s="268" t="s">
        <v>6401</v>
      </c>
      <c r="L1237" s="287">
        <v>45565</v>
      </c>
      <c r="M1237" s="283"/>
      <c r="N1237" s="282">
        <v>2</v>
      </c>
      <c r="O1237" s="284" t="s">
        <v>4720</v>
      </c>
      <c r="P1237" s="280">
        <v>3454.55</v>
      </c>
      <c r="Q1237" s="315">
        <v>45534</v>
      </c>
      <c r="R1237" s="272"/>
      <c r="S1237" s="272"/>
      <c r="T1237" s="272"/>
      <c r="U1237" s="272"/>
      <c r="V1237" s="272"/>
      <c r="W1237" s="272"/>
      <c r="X1237" s="272"/>
      <c r="Y1237" s="272"/>
      <c r="Z1237" s="272"/>
      <c r="AA1237" s="272"/>
    </row>
    <row r="1238" spans="1:27">
      <c r="A1238" s="273">
        <v>9</v>
      </c>
      <c r="B1238" s="274" t="s">
        <v>6297</v>
      </c>
      <c r="C1238" s="314">
        <v>45510</v>
      </c>
      <c r="D1238" s="274" t="s">
        <v>4714</v>
      </c>
      <c r="E1238" s="268" t="s">
        <v>3480</v>
      </c>
      <c r="F1238" s="268" t="s">
        <v>4715</v>
      </c>
      <c r="G1238" s="268" t="s">
        <v>4716</v>
      </c>
      <c r="H1238" s="268" t="str">
        <f t="shared" si="7"/>
        <v>NURIA PÉREZ MARTÍN</v>
      </c>
      <c r="I1238" s="268" t="s">
        <v>5754</v>
      </c>
      <c r="J1238" s="268" t="s">
        <v>4718</v>
      </c>
      <c r="K1238" s="268" t="s">
        <v>6402</v>
      </c>
      <c r="L1238" s="287">
        <v>45565</v>
      </c>
      <c r="M1238" s="283"/>
      <c r="N1238" s="282">
        <v>2</v>
      </c>
      <c r="O1238" s="284" t="s">
        <v>5814</v>
      </c>
      <c r="P1238" s="280">
        <v>3681.82</v>
      </c>
      <c r="Q1238" s="315">
        <v>45510</v>
      </c>
      <c r="R1238" s="272"/>
      <c r="S1238" s="272"/>
      <c r="T1238" s="272"/>
      <c r="U1238" s="272"/>
      <c r="V1238" s="272"/>
      <c r="W1238" s="272"/>
      <c r="X1238" s="272"/>
      <c r="Y1238" s="272"/>
      <c r="Z1238" s="272"/>
      <c r="AA1238" s="272"/>
    </row>
    <row r="1239" spans="1:27">
      <c r="A1239" s="273">
        <v>9</v>
      </c>
      <c r="B1239" s="274" t="s">
        <v>6297</v>
      </c>
      <c r="C1239" s="314">
        <v>45551</v>
      </c>
      <c r="D1239" s="274" t="s">
        <v>4714</v>
      </c>
      <c r="E1239" s="268" t="s">
        <v>3480</v>
      </c>
      <c r="F1239" s="268" t="s">
        <v>4715</v>
      </c>
      <c r="G1239" s="268" t="s">
        <v>4716</v>
      </c>
      <c r="H1239" s="268" t="str">
        <f t="shared" si="7"/>
        <v>PALOMA MARTÍN- ARAGÓN MARTIÍ</v>
      </c>
      <c r="I1239" s="268" t="s">
        <v>4917</v>
      </c>
      <c r="J1239" s="268" t="s">
        <v>4718</v>
      </c>
      <c r="K1239" s="268" t="s">
        <v>6403</v>
      </c>
      <c r="L1239" s="287">
        <v>45565</v>
      </c>
      <c r="M1239" s="283"/>
      <c r="N1239" s="282">
        <v>2</v>
      </c>
      <c r="O1239" s="284" t="s">
        <v>5814</v>
      </c>
      <c r="P1239" s="280">
        <v>4000</v>
      </c>
      <c r="Q1239" s="315">
        <v>45551</v>
      </c>
      <c r="R1239" s="272"/>
      <c r="S1239" s="272"/>
      <c r="T1239" s="272"/>
      <c r="U1239" s="272"/>
      <c r="V1239" s="272"/>
      <c r="W1239" s="272"/>
      <c r="X1239" s="272"/>
      <c r="Y1239" s="272"/>
      <c r="Z1239" s="272"/>
      <c r="AA1239" s="272"/>
    </row>
    <row r="1240" spans="1:27">
      <c r="A1240" s="273">
        <v>9</v>
      </c>
      <c r="B1240" s="274" t="s">
        <v>6297</v>
      </c>
      <c r="C1240" s="314">
        <v>45183</v>
      </c>
      <c r="D1240" s="274" t="s">
        <v>4714</v>
      </c>
      <c r="E1240" s="268" t="s">
        <v>4775</v>
      </c>
      <c r="F1240" s="272" t="s">
        <v>4715</v>
      </c>
      <c r="G1240" s="268" t="s">
        <v>4716</v>
      </c>
      <c r="H1240" s="268" t="str">
        <f t="shared" si="7"/>
        <v>FERNANDO SALAZAR BARCELONA</v>
      </c>
      <c r="I1240" s="268" t="s">
        <v>4776</v>
      </c>
      <c r="J1240" s="272" t="s">
        <v>4751</v>
      </c>
      <c r="K1240" s="268" t="s">
        <v>6404</v>
      </c>
      <c r="L1240" s="287">
        <v>45565</v>
      </c>
      <c r="M1240" s="283"/>
      <c r="N1240" s="282">
        <v>2</v>
      </c>
      <c r="O1240" s="284" t="s">
        <v>4787</v>
      </c>
      <c r="P1240" s="280">
        <v>4090.91</v>
      </c>
      <c r="Q1240" s="315">
        <v>45183</v>
      </c>
      <c r="R1240" s="272"/>
      <c r="S1240" s="272"/>
      <c r="T1240" s="272"/>
      <c r="U1240" s="272"/>
      <c r="V1240" s="272"/>
      <c r="W1240" s="272"/>
      <c r="X1240" s="272"/>
      <c r="Y1240" s="272"/>
      <c r="Z1240" s="272"/>
      <c r="AA1240" s="272"/>
    </row>
    <row r="1241" spans="1:27">
      <c r="A1241" s="273">
        <v>9</v>
      </c>
      <c r="B1241" s="274" t="s">
        <v>6297</v>
      </c>
      <c r="C1241" s="314">
        <v>45433</v>
      </c>
      <c r="D1241" s="274" t="s">
        <v>4714</v>
      </c>
      <c r="E1241" s="268" t="s">
        <v>3043</v>
      </c>
      <c r="F1241" s="272" t="s">
        <v>4715</v>
      </c>
      <c r="G1241" s="268" t="s">
        <v>4716</v>
      </c>
      <c r="H1241" s="268" t="str">
        <f t="shared" si="7"/>
        <v>ANTONIO BUENO RÍOS</v>
      </c>
      <c r="I1241" s="268" t="s">
        <v>4793</v>
      </c>
      <c r="J1241" s="272" t="s">
        <v>4822</v>
      </c>
      <c r="K1241" s="268" t="s">
        <v>6405</v>
      </c>
      <c r="L1241" s="287">
        <v>45565</v>
      </c>
      <c r="M1241" s="283"/>
      <c r="N1241" s="282">
        <v>2</v>
      </c>
      <c r="O1241" s="284" t="s">
        <v>4720</v>
      </c>
      <c r="P1241" s="280">
        <v>3710</v>
      </c>
      <c r="Q1241" s="315">
        <v>45433</v>
      </c>
      <c r="R1241" s="272"/>
      <c r="S1241" s="272"/>
      <c r="T1241" s="272"/>
      <c r="U1241" s="272"/>
      <c r="V1241" s="272"/>
      <c r="W1241" s="272"/>
      <c r="X1241" s="272"/>
      <c r="Y1241" s="272"/>
      <c r="Z1241" s="272"/>
      <c r="AA1241" s="272"/>
    </row>
    <row r="1242" spans="1:27">
      <c r="A1242" s="273">
        <v>9</v>
      </c>
      <c r="B1242" s="274" t="s">
        <v>6297</v>
      </c>
      <c r="C1242" s="314">
        <v>45467</v>
      </c>
      <c r="D1242" s="274" t="s">
        <v>4714</v>
      </c>
      <c r="E1242" s="268" t="s">
        <v>2929</v>
      </c>
      <c r="F1242" s="272" t="s">
        <v>4715</v>
      </c>
      <c r="G1242" s="268" t="s">
        <v>4715</v>
      </c>
      <c r="H1242" s="268" t="str">
        <f t="shared" si="7"/>
        <v>ANTONIO RODRÍGUEZ RIVERO</v>
      </c>
      <c r="I1242" s="268" t="s">
        <v>4717</v>
      </c>
      <c r="J1242" s="272" t="s">
        <v>4718</v>
      </c>
      <c r="K1242" s="268" t="s">
        <v>6406</v>
      </c>
      <c r="L1242" s="287">
        <v>45565</v>
      </c>
      <c r="M1242" s="283"/>
      <c r="N1242" s="282">
        <v>2</v>
      </c>
      <c r="O1242" s="284" t="s">
        <v>4720</v>
      </c>
      <c r="P1242" s="280">
        <v>3524.5</v>
      </c>
      <c r="Q1242" s="315">
        <v>45467</v>
      </c>
      <c r="R1242" s="272"/>
      <c r="S1242" s="272"/>
      <c r="T1242" s="272"/>
      <c r="U1242" s="272"/>
      <c r="V1242" s="272"/>
      <c r="W1242" s="272"/>
      <c r="X1242" s="272"/>
      <c r="Y1242" s="272"/>
      <c r="Z1242" s="272"/>
      <c r="AA1242" s="272"/>
    </row>
    <row r="1243" spans="1:27">
      <c r="A1243" s="273">
        <v>9</v>
      </c>
      <c r="B1243" s="274" t="s">
        <v>6297</v>
      </c>
      <c r="C1243" s="314"/>
      <c r="D1243" s="274" t="s">
        <v>4714</v>
      </c>
      <c r="E1243" s="268" t="s">
        <v>3758</v>
      </c>
      <c r="F1243" s="272" t="s">
        <v>4715</v>
      </c>
      <c r="G1243" s="268" t="s">
        <v>4716</v>
      </c>
      <c r="H1243" s="268" t="str">
        <f t="shared" si="7"/>
        <v>NO REUERDA ORL</v>
      </c>
      <c r="I1243" s="268" t="s">
        <v>4743</v>
      </c>
      <c r="J1243" s="272" t="s">
        <v>4718</v>
      </c>
      <c r="K1243" s="268" t="s">
        <v>6407</v>
      </c>
      <c r="L1243" s="287">
        <v>45565</v>
      </c>
      <c r="M1243" s="283"/>
      <c r="N1243" s="282">
        <v>1</v>
      </c>
      <c r="O1243" s="284" t="s">
        <v>4720</v>
      </c>
      <c r="P1243" s="280">
        <v>2226.36</v>
      </c>
      <c r="Q1243" s="315"/>
      <c r="R1243" s="272"/>
      <c r="S1243" s="272"/>
      <c r="T1243" s="272"/>
      <c r="U1243" s="272"/>
      <c r="V1243" s="272"/>
      <c r="W1243" s="272"/>
      <c r="X1243" s="272"/>
      <c r="Y1243" s="272"/>
      <c r="Z1243" s="272"/>
      <c r="AA1243" s="272"/>
    </row>
    <row r="1244" spans="1:27">
      <c r="A1244" s="273">
        <v>9</v>
      </c>
      <c r="B1244" s="274" t="s">
        <v>6297</v>
      </c>
      <c r="C1244" s="314">
        <v>45483</v>
      </c>
      <c r="D1244" s="274" t="s">
        <v>4714</v>
      </c>
      <c r="E1244" s="268" t="s">
        <v>2873</v>
      </c>
      <c r="F1244" s="272" t="s">
        <v>4715</v>
      </c>
      <c r="G1244" s="268" t="s">
        <v>4716</v>
      </c>
      <c r="H1244" s="268" t="str">
        <f t="shared" si="7"/>
        <v>JUAN JAVIER ÁLVAREZ LÓPEZ</v>
      </c>
      <c r="I1244" s="268" t="s">
        <v>4938</v>
      </c>
      <c r="J1244" s="272" t="s">
        <v>4736</v>
      </c>
      <c r="K1244" s="268" t="s">
        <v>6408</v>
      </c>
      <c r="L1244" s="287">
        <v>45565</v>
      </c>
      <c r="M1244" s="283"/>
      <c r="N1244" s="282">
        <v>2</v>
      </c>
      <c r="O1244" s="284" t="s">
        <v>5814</v>
      </c>
      <c r="P1244" s="280">
        <v>4000</v>
      </c>
      <c r="Q1244" s="315">
        <v>45483</v>
      </c>
      <c r="R1244" s="272"/>
      <c r="S1244" s="272"/>
      <c r="T1244" s="272"/>
      <c r="U1244" s="272"/>
      <c r="V1244" s="272"/>
      <c r="W1244" s="272"/>
      <c r="X1244" s="272"/>
      <c r="Y1244" s="272"/>
      <c r="Z1244" s="272"/>
      <c r="AA1244" s="272"/>
    </row>
    <row r="1245" spans="1:27">
      <c r="A1245" s="273">
        <v>9</v>
      </c>
      <c r="B1245" s="274" t="s">
        <v>6297</v>
      </c>
      <c r="C1245" s="314">
        <v>45497</v>
      </c>
      <c r="D1245" s="274" t="s">
        <v>4714</v>
      </c>
      <c r="E1245" s="268" t="s">
        <v>4745</v>
      </c>
      <c r="F1245" s="272" t="s">
        <v>4715</v>
      </c>
      <c r="G1245" s="268" t="s">
        <v>4716</v>
      </c>
      <c r="H1245" s="268" t="str">
        <f t="shared" si="7"/>
        <v>MANUEL ACUÑA GARCÍA</v>
      </c>
      <c r="I1245" s="268" t="s">
        <v>4746</v>
      </c>
      <c r="J1245" s="272" t="s">
        <v>4747</v>
      </c>
      <c r="K1245" s="268" t="s">
        <v>6409</v>
      </c>
      <c r="L1245" s="287">
        <v>45565</v>
      </c>
      <c r="M1245" s="283"/>
      <c r="N1245" s="282">
        <v>2</v>
      </c>
      <c r="O1245" s="284" t="s">
        <v>5814</v>
      </c>
      <c r="P1245" s="280">
        <v>4000</v>
      </c>
      <c r="Q1245" s="315">
        <v>45497</v>
      </c>
      <c r="R1245" s="272"/>
      <c r="S1245" s="272"/>
      <c r="T1245" s="272"/>
      <c r="U1245" s="272"/>
      <c r="V1245" s="272"/>
      <c r="W1245" s="272"/>
      <c r="X1245" s="272"/>
      <c r="Y1245" s="272"/>
      <c r="Z1245" s="272"/>
      <c r="AA1245" s="272"/>
    </row>
    <row r="1246" spans="1:27">
      <c r="A1246" s="273">
        <v>9</v>
      </c>
      <c r="B1246" s="274" t="s">
        <v>6297</v>
      </c>
      <c r="C1246" s="314">
        <v>45531</v>
      </c>
      <c r="D1246" s="274" t="s">
        <v>4714</v>
      </c>
      <c r="E1246" s="268" t="s">
        <v>2961</v>
      </c>
      <c r="F1246" s="272" t="s">
        <v>4715</v>
      </c>
      <c r="G1246" s="268" t="s">
        <v>4716</v>
      </c>
      <c r="H1246" s="268" t="str">
        <f t="shared" si="7"/>
        <v>Mª TERESA ALMELA ROJO</v>
      </c>
      <c r="I1246" s="268" t="s">
        <v>5411</v>
      </c>
      <c r="J1246" s="272" t="s">
        <v>4736</v>
      </c>
      <c r="K1246" s="268" t="s">
        <v>6410</v>
      </c>
      <c r="L1246" s="287">
        <v>45565</v>
      </c>
      <c r="M1246" s="283"/>
      <c r="N1246" s="282">
        <v>2</v>
      </c>
      <c r="O1246" s="284" t="s">
        <v>4723</v>
      </c>
      <c r="P1246" s="280">
        <v>2888.02</v>
      </c>
      <c r="Q1246" s="315">
        <v>45531</v>
      </c>
      <c r="R1246" s="272"/>
      <c r="S1246" s="272"/>
      <c r="T1246" s="272"/>
      <c r="U1246" s="272"/>
      <c r="V1246" s="272"/>
      <c r="W1246" s="272"/>
      <c r="X1246" s="272"/>
      <c r="Y1246" s="272"/>
      <c r="Z1246" s="272"/>
      <c r="AA1246" s="272"/>
    </row>
    <row r="1247" spans="1:27">
      <c r="A1247" s="273">
        <v>9</v>
      </c>
      <c r="B1247" s="274" t="s">
        <v>6297</v>
      </c>
      <c r="C1247" s="314">
        <v>45482</v>
      </c>
      <c r="D1247" s="285" t="s">
        <v>4714</v>
      </c>
      <c r="E1247" s="268" t="s">
        <v>4318</v>
      </c>
      <c r="F1247" s="272" t="s">
        <v>4715</v>
      </c>
      <c r="G1247" s="268" t="s">
        <v>4716</v>
      </c>
      <c r="H1247" s="268" t="str">
        <f t="shared" si="7"/>
        <v>NO REUERDA ORL</v>
      </c>
      <c r="I1247" s="268" t="s">
        <v>4743</v>
      </c>
      <c r="J1247" s="272" t="s">
        <v>4822</v>
      </c>
      <c r="K1247" s="268" t="s">
        <v>6411</v>
      </c>
      <c r="L1247" s="287">
        <v>45565</v>
      </c>
      <c r="M1247" s="283"/>
      <c r="N1247" s="282">
        <v>2</v>
      </c>
      <c r="O1247" s="284" t="s">
        <v>5814</v>
      </c>
      <c r="P1247" s="280">
        <v>4000</v>
      </c>
      <c r="Q1247" s="315">
        <v>45482</v>
      </c>
      <c r="R1247" s="272"/>
      <c r="S1247" s="272"/>
      <c r="T1247" s="272"/>
      <c r="U1247" s="272"/>
      <c r="V1247" s="272"/>
      <c r="W1247" s="272"/>
      <c r="X1247" s="272"/>
      <c r="Y1247" s="272"/>
      <c r="Z1247" s="272"/>
      <c r="AA1247" s="272"/>
    </row>
    <row r="1248" spans="1:27">
      <c r="A1248" s="273">
        <v>10</v>
      </c>
      <c r="B1248" s="274" t="s">
        <v>6412</v>
      </c>
      <c r="C1248" s="314">
        <v>45496</v>
      </c>
      <c r="D1248" s="274" t="s">
        <v>4714</v>
      </c>
      <c r="E1248" s="268" t="s">
        <v>5318</v>
      </c>
      <c r="F1248" s="272" t="s">
        <v>4715</v>
      </c>
      <c r="G1248" s="268" t="s">
        <v>4716</v>
      </c>
      <c r="H1248" s="268" t="str">
        <f t="shared" si="7"/>
        <v>ISIDORO RUBIO CORREA</v>
      </c>
      <c r="I1248" s="268" t="s">
        <v>6057</v>
      </c>
      <c r="J1248" s="272" t="s">
        <v>4729</v>
      </c>
      <c r="K1248" s="268" t="s">
        <v>6413</v>
      </c>
      <c r="L1248" s="287">
        <v>45566</v>
      </c>
      <c r="M1248" s="283"/>
      <c r="N1248" s="282">
        <v>2</v>
      </c>
      <c r="O1248" s="284" t="s">
        <v>4720</v>
      </c>
      <c r="P1248" s="280">
        <v>3635.45</v>
      </c>
      <c r="Q1248" s="315">
        <v>45496</v>
      </c>
      <c r="R1248" s="272"/>
      <c r="S1248" s="272"/>
      <c r="T1248" s="272"/>
      <c r="U1248" s="272"/>
      <c r="V1248" s="272"/>
      <c r="W1248" s="272"/>
      <c r="X1248" s="272"/>
      <c r="Y1248" s="272"/>
      <c r="Z1248" s="272"/>
      <c r="AA1248" s="272"/>
    </row>
    <row r="1249" spans="1:27">
      <c r="A1249" s="326">
        <v>10</v>
      </c>
      <c r="B1249" s="327" t="s">
        <v>6412</v>
      </c>
      <c r="C1249" s="328">
        <v>45470</v>
      </c>
      <c r="D1249" s="329" t="s">
        <v>4714</v>
      </c>
      <c r="E1249" s="272" t="s">
        <v>2869</v>
      </c>
      <c r="F1249" s="272" t="s">
        <v>4715</v>
      </c>
      <c r="G1249" s="272" t="s">
        <v>4716</v>
      </c>
      <c r="H1249" s="268" t="str">
        <f t="shared" si="7"/>
        <v>MARÍA AGUSTINA SEVILLA GARCÍA</v>
      </c>
      <c r="I1249" s="272" t="s">
        <v>4812</v>
      </c>
      <c r="J1249" s="272" t="s">
        <v>4736</v>
      </c>
      <c r="K1249" s="272" t="s">
        <v>6414</v>
      </c>
      <c r="L1249" s="330">
        <v>45566</v>
      </c>
      <c r="M1249" s="283"/>
      <c r="N1249" s="331">
        <v>2</v>
      </c>
      <c r="O1249" s="332" t="s">
        <v>4787</v>
      </c>
      <c r="P1249" s="333">
        <v>4860</v>
      </c>
      <c r="Q1249" s="334">
        <v>45470</v>
      </c>
      <c r="R1249" s="272"/>
      <c r="S1249" s="272"/>
      <c r="T1249" s="272"/>
      <c r="U1249" s="272"/>
      <c r="V1249" s="272"/>
      <c r="W1249" s="272"/>
      <c r="X1249" s="272"/>
      <c r="Y1249" s="272"/>
      <c r="Z1249" s="272"/>
      <c r="AA1249" s="272"/>
    </row>
    <row r="1250" spans="1:27">
      <c r="A1250" s="326">
        <v>10</v>
      </c>
      <c r="B1250" s="327" t="s">
        <v>6412</v>
      </c>
      <c r="C1250" s="328">
        <v>45537</v>
      </c>
      <c r="D1250" s="329" t="s">
        <v>4714</v>
      </c>
      <c r="E1250" s="272" t="s">
        <v>4775</v>
      </c>
      <c r="F1250" s="272" t="s">
        <v>4715</v>
      </c>
      <c r="G1250" s="272" t="s">
        <v>4716</v>
      </c>
      <c r="H1250" s="268" t="str">
        <f t="shared" si="7"/>
        <v>FERNANDO SALAZAR BARCELONA</v>
      </c>
      <c r="I1250" s="272" t="s">
        <v>4776</v>
      </c>
      <c r="J1250" s="272" t="s">
        <v>4822</v>
      </c>
      <c r="K1250" s="272" t="s">
        <v>6415</v>
      </c>
      <c r="L1250" s="330">
        <v>45567</v>
      </c>
      <c r="M1250" s="283"/>
      <c r="N1250" s="331">
        <v>2</v>
      </c>
      <c r="O1250" s="332" t="s">
        <v>4720</v>
      </c>
      <c r="P1250" s="333">
        <v>3272.73</v>
      </c>
      <c r="Q1250" s="334">
        <v>45537</v>
      </c>
      <c r="R1250" s="272"/>
      <c r="S1250" s="272"/>
      <c r="T1250" s="272"/>
      <c r="U1250" s="272"/>
      <c r="V1250" s="272"/>
      <c r="W1250" s="272"/>
      <c r="X1250" s="272"/>
      <c r="Y1250" s="272"/>
      <c r="Z1250" s="272"/>
      <c r="AA1250" s="272"/>
    </row>
    <row r="1251" spans="1:27">
      <c r="A1251" s="326">
        <v>10</v>
      </c>
      <c r="B1251" s="327" t="s">
        <v>6412</v>
      </c>
      <c r="C1251" s="328">
        <v>45499</v>
      </c>
      <c r="D1251" s="329" t="s">
        <v>4714</v>
      </c>
      <c r="E1251" s="272" t="s">
        <v>3758</v>
      </c>
      <c r="F1251" s="272" t="s">
        <v>4715</v>
      </c>
      <c r="G1251" s="272" t="s">
        <v>4716</v>
      </c>
      <c r="H1251" s="268" t="str">
        <f t="shared" si="7"/>
        <v>NO REUERDA ORL</v>
      </c>
      <c r="I1251" s="268" t="s">
        <v>4743</v>
      </c>
      <c r="J1251" s="272" t="s">
        <v>4718</v>
      </c>
      <c r="K1251" s="272" t="s">
        <v>6416</v>
      </c>
      <c r="L1251" s="330">
        <v>45567</v>
      </c>
      <c r="M1251" s="283"/>
      <c r="N1251" s="331">
        <v>2</v>
      </c>
      <c r="O1251" s="332" t="s">
        <v>5814</v>
      </c>
      <c r="P1251" s="333">
        <v>3322.85</v>
      </c>
      <c r="Q1251" s="334">
        <v>45499</v>
      </c>
      <c r="R1251" s="272"/>
      <c r="S1251" s="272"/>
      <c r="T1251" s="272"/>
      <c r="U1251" s="272"/>
      <c r="V1251" s="272"/>
      <c r="W1251" s="272"/>
      <c r="X1251" s="272"/>
      <c r="Y1251" s="272"/>
      <c r="Z1251" s="272"/>
      <c r="AA1251" s="272"/>
    </row>
    <row r="1252" spans="1:27">
      <c r="A1252" s="326">
        <v>10</v>
      </c>
      <c r="B1252" s="327" t="s">
        <v>6412</v>
      </c>
      <c r="C1252" s="328">
        <v>45530</v>
      </c>
      <c r="D1252" s="329" t="s">
        <v>4714</v>
      </c>
      <c r="E1252" s="272" t="s">
        <v>2873</v>
      </c>
      <c r="F1252" s="272" t="s">
        <v>4715</v>
      </c>
      <c r="G1252" s="272" t="s">
        <v>4716</v>
      </c>
      <c r="H1252" s="268" t="str">
        <f t="shared" si="7"/>
        <v>NO REUERDA ORL</v>
      </c>
      <c r="I1252" s="268" t="s">
        <v>4743</v>
      </c>
      <c r="J1252" s="272" t="s">
        <v>4736</v>
      </c>
      <c r="K1252" s="272" t="s">
        <v>6417</v>
      </c>
      <c r="L1252" s="330">
        <v>45567</v>
      </c>
      <c r="M1252" s="283"/>
      <c r="N1252" s="331">
        <v>2</v>
      </c>
      <c r="O1252" s="332" t="s">
        <v>5814</v>
      </c>
      <c r="P1252" s="333">
        <v>4000</v>
      </c>
      <c r="Q1252" s="334">
        <v>45530</v>
      </c>
      <c r="R1252" s="272"/>
      <c r="S1252" s="272"/>
      <c r="T1252" s="272"/>
      <c r="U1252" s="272"/>
      <c r="V1252" s="272"/>
      <c r="W1252" s="272"/>
      <c r="X1252" s="272"/>
      <c r="Y1252" s="272"/>
      <c r="Z1252" s="272"/>
      <c r="AA1252" s="272"/>
    </row>
    <row r="1253" spans="1:27">
      <c r="A1253" s="326">
        <v>10</v>
      </c>
      <c r="B1253" s="327" t="s">
        <v>6412</v>
      </c>
      <c r="C1253" s="328">
        <v>45551</v>
      </c>
      <c r="D1253" s="329" t="s">
        <v>4714</v>
      </c>
      <c r="E1253" s="272" t="s">
        <v>3193</v>
      </c>
      <c r="F1253" s="272" t="s">
        <v>4715</v>
      </c>
      <c r="G1253" s="272" t="s">
        <v>4716</v>
      </c>
      <c r="H1253" s="268" t="str">
        <f t="shared" si="7"/>
        <v>CRISTINA POVEDANO FERNÁNDEZ</v>
      </c>
      <c r="I1253" s="272" t="s">
        <v>6081</v>
      </c>
      <c r="J1253" s="272" t="s">
        <v>4718</v>
      </c>
      <c r="K1253" s="272" t="s">
        <v>6418</v>
      </c>
      <c r="L1253" s="330">
        <v>45568</v>
      </c>
      <c r="M1253" s="283"/>
      <c r="N1253" s="331">
        <v>2</v>
      </c>
      <c r="O1253" s="332" t="s">
        <v>4723</v>
      </c>
      <c r="P1253" s="333">
        <v>2888.18</v>
      </c>
      <c r="Q1253" s="334">
        <v>45551</v>
      </c>
      <c r="R1253" s="272"/>
      <c r="S1253" s="272"/>
      <c r="T1253" s="272"/>
      <c r="U1253" s="272"/>
      <c r="V1253" s="272"/>
      <c r="W1253" s="272"/>
      <c r="X1253" s="272"/>
      <c r="Y1253" s="272"/>
      <c r="Z1253" s="272"/>
      <c r="AA1253" s="272"/>
    </row>
    <row r="1254" spans="1:27">
      <c r="A1254" s="326">
        <v>10</v>
      </c>
      <c r="B1254" s="327" t="s">
        <v>6412</v>
      </c>
      <c r="C1254" s="335">
        <v>45534</v>
      </c>
      <c r="D1254" s="329" t="s">
        <v>4714</v>
      </c>
      <c r="E1254" s="272" t="s">
        <v>3605</v>
      </c>
      <c r="F1254" s="272" t="s">
        <v>4715</v>
      </c>
      <c r="G1254" s="272" t="s">
        <v>4716</v>
      </c>
      <c r="H1254" s="268" t="str">
        <f t="shared" si="7"/>
        <v>LAURA YEGUAS RAMÍREZ</v>
      </c>
      <c r="I1254" s="272" t="s">
        <v>5060</v>
      </c>
      <c r="J1254" s="272" t="s">
        <v>4718</v>
      </c>
      <c r="K1254" s="272" t="s">
        <v>6419</v>
      </c>
      <c r="L1254" s="330">
        <v>45568</v>
      </c>
      <c r="M1254" s="283"/>
      <c r="N1254" s="331">
        <v>2</v>
      </c>
      <c r="O1254" s="332" t="s">
        <v>4720</v>
      </c>
      <c r="P1254" s="333">
        <v>3710</v>
      </c>
      <c r="Q1254" s="315">
        <v>45534</v>
      </c>
      <c r="R1254" s="272"/>
      <c r="S1254" s="272"/>
      <c r="T1254" s="272"/>
      <c r="U1254" s="272"/>
      <c r="V1254" s="272"/>
      <c r="W1254" s="272"/>
      <c r="X1254" s="272"/>
      <c r="Y1254" s="272"/>
      <c r="Z1254" s="272"/>
      <c r="AA1254" s="272"/>
    </row>
    <row r="1255" spans="1:27">
      <c r="A1255" s="326">
        <v>10</v>
      </c>
      <c r="B1255" s="327" t="s">
        <v>6412</v>
      </c>
      <c r="C1255" s="328">
        <v>45482</v>
      </c>
      <c r="D1255" s="329" t="s">
        <v>4714</v>
      </c>
      <c r="E1255" s="272" t="s">
        <v>2869</v>
      </c>
      <c r="F1255" s="272" t="s">
        <v>4715</v>
      </c>
      <c r="G1255" s="272" t="s">
        <v>4716</v>
      </c>
      <c r="H1255" s="268" t="str">
        <f t="shared" si="7"/>
        <v>ARACELI GONZÁLEZ DELGADO</v>
      </c>
      <c r="I1255" s="272" t="s">
        <v>6420</v>
      </c>
      <c r="J1255" s="272" t="s">
        <v>4736</v>
      </c>
      <c r="K1255" s="272" t="s">
        <v>6421</v>
      </c>
      <c r="L1255" s="330">
        <v>45568</v>
      </c>
      <c r="M1255" s="283"/>
      <c r="N1255" s="331">
        <v>2</v>
      </c>
      <c r="O1255" s="332" t="s">
        <v>4723</v>
      </c>
      <c r="P1255" s="333">
        <v>2888.18</v>
      </c>
      <c r="Q1255" s="334">
        <v>45482</v>
      </c>
      <c r="R1255" s="272"/>
      <c r="S1255" s="272"/>
      <c r="T1255" s="272"/>
      <c r="U1255" s="272"/>
      <c r="V1255" s="272"/>
      <c r="W1255" s="272"/>
      <c r="X1255" s="272"/>
      <c r="Y1255" s="272"/>
      <c r="Z1255" s="272"/>
      <c r="AA1255" s="272"/>
    </row>
    <row r="1256" spans="1:27">
      <c r="A1256" s="326">
        <v>10</v>
      </c>
      <c r="B1256" s="327" t="s">
        <v>6412</v>
      </c>
      <c r="C1256" s="328">
        <v>45544</v>
      </c>
      <c r="D1256" s="329" t="s">
        <v>4714</v>
      </c>
      <c r="E1256" s="272" t="s">
        <v>2921</v>
      </c>
      <c r="F1256" s="272" t="s">
        <v>4715</v>
      </c>
      <c r="G1256" s="272" t="s">
        <v>4716</v>
      </c>
      <c r="H1256" s="268" t="str">
        <f t="shared" si="7"/>
        <v>MIRIAM NATSUKI</v>
      </c>
      <c r="I1256" s="272" t="s">
        <v>6422</v>
      </c>
      <c r="J1256" s="272" t="s">
        <v>4910</v>
      </c>
      <c r="K1256" s="272" t="s">
        <v>6423</v>
      </c>
      <c r="L1256" s="330">
        <v>45568</v>
      </c>
      <c r="M1256" s="283"/>
      <c r="N1256" s="331">
        <v>2</v>
      </c>
      <c r="O1256" s="332" t="s">
        <v>4720</v>
      </c>
      <c r="P1256" s="333">
        <v>3710</v>
      </c>
      <c r="Q1256" s="334">
        <v>45544</v>
      </c>
      <c r="R1256" s="272"/>
      <c r="S1256" s="272"/>
      <c r="T1256" s="272"/>
      <c r="U1256" s="272"/>
      <c r="V1256" s="272"/>
      <c r="W1256" s="272"/>
      <c r="X1256" s="272"/>
      <c r="Y1256" s="272"/>
      <c r="Z1256" s="272"/>
      <c r="AA1256" s="272"/>
    </row>
    <row r="1257" spans="1:27">
      <c r="A1257" s="273">
        <v>10</v>
      </c>
      <c r="B1257" s="274" t="s">
        <v>6412</v>
      </c>
      <c r="C1257" s="314">
        <v>45554</v>
      </c>
      <c r="D1257" s="274" t="s">
        <v>4714</v>
      </c>
      <c r="E1257" s="268" t="s">
        <v>5735</v>
      </c>
      <c r="F1257" s="272" t="s">
        <v>4715</v>
      </c>
      <c r="G1257" s="268" t="s">
        <v>4716</v>
      </c>
      <c r="H1257" s="268" t="str">
        <f t="shared" si="7"/>
        <v>ANSELMO PADÍN SEARA</v>
      </c>
      <c r="I1257" s="268" t="s">
        <v>5596</v>
      </c>
      <c r="J1257" s="272" t="s">
        <v>4790</v>
      </c>
      <c r="K1257" s="268" t="s">
        <v>6424</v>
      </c>
      <c r="L1257" s="287">
        <v>45569</v>
      </c>
      <c r="M1257" s="283"/>
      <c r="N1257" s="282">
        <v>1</v>
      </c>
      <c r="O1257" s="284" t="s">
        <v>4720</v>
      </c>
      <c r="P1257" s="280">
        <v>563.64</v>
      </c>
      <c r="Q1257" s="315">
        <v>45554</v>
      </c>
      <c r="R1257" s="272"/>
      <c r="S1257" s="272"/>
      <c r="T1257" s="272"/>
      <c r="U1257" s="272"/>
      <c r="V1257" s="272"/>
      <c r="W1257" s="272"/>
      <c r="X1257" s="272"/>
      <c r="Y1257" s="272"/>
      <c r="Z1257" s="272"/>
      <c r="AA1257" s="272"/>
    </row>
    <row r="1258" spans="1:27">
      <c r="A1258" s="326">
        <v>10</v>
      </c>
      <c r="B1258" s="327" t="s">
        <v>6412</v>
      </c>
      <c r="C1258" s="328">
        <v>45468</v>
      </c>
      <c r="D1258" s="329" t="s">
        <v>4714</v>
      </c>
      <c r="E1258" s="272" t="s">
        <v>3043</v>
      </c>
      <c r="F1258" s="272" t="s">
        <v>4715</v>
      </c>
      <c r="G1258" s="272" t="s">
        <v>4716</v>
      </c>
      <c r="H1258" s="268" t="str">
        <f t="shared" si="7"/>
        <v>GUILLERMO SAN JUAN DE LA MORETA</v>
      </c>
      <c r="I1258" s="272" t="s">
        <v>5100</v>
      </c>
      <c r="J1258" s="272" t="s">
        <v>4718</v>
      </c>
      <c r="K1258" s="272" t="s">
        <v>6425</v>
      </c>
      <c r="L1258" s="330">
        <v>45569</v>
      </c>
      <c r="M1258" s="283"/>
      <c r="N1258" s="331">
        <v>2</v>
      </c>
      <c r="O1258" s="332" t="s">
        <v>4787</v>
      </c>
      <c r="P1258" s="333">
        <v>4400</v>
      </c>
      <c r="Q1258" s="334">
        <v>45468</v>
      </c>
      <c r="R1258" s="272"/>
      <c r="S1258" s="272"/>
      <c r="T1258" s="272"/>
      <c r="U1258" s="272"/>
      <c r="V1258" s="272"/>
      <c r="W1258" s="272"/>
      <c r="X1258" s="272"/>
      <c r="Y1258" s="272"/>
      <c r="Z1258" s="272"/>
      <c r="AA1258" s="272"/>
    </row>
    <row r="1259" spans="1:27">
      <c r="A1259" s="326">
        <v>10</v>
      </c>
      <c r="B1259" s="327" t="s">
        <v>6412</v>
      </c>
      <c r="C1259" s="328">
        <v>45523</v>
      </c>
      <c r="D1259" s="329" t="s">
        <v>4714</v>
      </c>
      <c r="E1259" s="272" t="s">
        <v>2929</v>
      </c>
      <c r="F1259" s="272" t="s">
        <v>4715</v>
      </c>
      <c r="G1259" s="272" t="s">
        <v>4716</v>
      </c>
      <c r="H1259" s="268" t="str">
        <f t="shared" si="7"/>
        <v>JAVIER GARCÍA DOMÍNGUEZ</v>
      </c>
      <c r="I1259" s="272" t="s">
        <v>4881</v>
      </c>
      <c r="J1259" s="272" t="s">
        <v>4718</v>
      </c>
      <c r="K1259" s="272" t="s">
        <v>6426</v>
      </c>
      <c r="L1259" s="330">
        <v>45569</v>
      </c>
      <c r="M1259" s="283"/>
      <c r="N1259" s="331">
        <v>2</v>
      </c>
      <c r="O1259" s="332" t="s">
        <v>5814</v>
      </c>
      <c r="P1259" s="333">
        <v>4000</v>
      </c>
      <c r="Q1259" s="334">
        <v>45523</v>
      </c>
      <c r="R1259" s="272"/>
      <c r="S1259" s="272"/>
      <c r="T1259" s="272"/>
      <c r="U1259" s="272"/>
      <c r="V1259" s="272"/>
      <c r="W1259" s="272"/>
      <c r="X1259" s="272"/>
      <c r="Y1259" s="272"/>
      <c r="Z1259" s="272"/>
      <c r="AA1259" s="272"/>
    </row>
    <row r="1260" spans="1:27">
      <c r="A1260" s="326">
        <v>10</v>
      </c>
      <c r="B1260" s="327" t="s">
        <v>6412</v>
      </c>
      <c r="C1260" s="328">
        <v>45554</v>
      </c>
      <c r="D1260" s="329" t="s">
        <v>4714</v>
      </c>
      <c r="E1260" s="272" t="s">
        <v>3193</v>
      </c>
      <c r="F1260" s="272" t="s">
        <v>4715</v>
      </c>
      <c r="G1260" s="272" t="s">
        <v>4716</v>
      </c>
      <c r="H1260" s="268" t="str">
        <f t="shared" si="7"/>
        <v>JOSE JOAQUÍN GUTIÉRREZ BARQUÍN</v>
      </c>
      <c r="I1260" s="272" t="s">
        <v>4990</v>
      </c>
      <c r="J1260" s="272" t="s">
        <v>4718</v>
      </c>
      <c r="K1260" s="272" t="s">
        <v>6427</v>
      </c>
      <c r="L1260" s="330">
        <v>45569</v>
      </c>
      <c r="M1260" s="283"/>
      <c r="N1260" s="331">
        <v>1</v>
      </c>
      <c r="O1260" s="332" t="s">
        <v>4792</v>
      </c>
      <c r="P1260" s="333">
        <v>381.82</v>
      </c>
      <c r="Q1260" s="334">
        <v>45554</v>
      </c>
      <c r="R1260" s="272"/>
      <c r="S1260" s="272"/>
      <c r="T1260" s="272"/>
      <c r="U1260" s="272"/>
      <c r="V1260" s="272"/>
      <c r="W1260" s="272"/>
      <c r="X1260" s="272"/>
      <c r="Y1260" s="272"/>
      <c r="Z1260" s="272"/>
      <c r="AA1260" s="272"/>
    </row>
    <row r="1261" spans="1:27">
      <c r="A1261" s="273">
        <v>10</v>
      </c>
      <c r="B1261" s="274" t="s">
        <v>6412</v>
      </c>
      <c r="C1261" s="314">
        <v>45540</v>
      </c>
      <c r="D1261" s="274" t="s">
        <v>4714</v>
      </c>
      <c r="E1261" s="268" t="s">
        <v>2916</v>
      </c>
      <c r="F1261" s="272" t="s">
        <v>4715</v>
      </c>
      <c r="G1261" s="268" t="s">
        <v>4716</v>
      </c>
      <c r="H1261" s="268" t="str">
        <f t="shared" si="7"/>
        <v>RODRIGUEZ</v>
      </c>
      <c r="I1261" s="268" t="s">
        <v>6428</v>
      </c>
      <c r="J1261" s="272" t="s">
        <v>4806</v>
      </c>
      <c r="K1261" s="268" t="s">
        <v>6429</v>
      </c>
      <c r="L1261" s="287">
        <v>45572</v>
      </c>
      <c r="M1261" s="283"/>
      <c r="N1261" s="282">
        <v>2</v>
      </c>
      <c r="O1261" s="284" t="s">
        <v>4720</v>
      </c>
      <c r="P1261" s="280">
        <v>3524.5</v>
      </c>
      <c r="Q1261" s="315">
        <v>45540</v>
      </c>
      <c r="R1261" s="272"/>
      <c r="S1261" s="272"/>
      <c r="T1261" s="272"/>
      <c r="U1261" s="272"/>
      <c r="V1261" s="272"/>
      <c r="W1261" s="272"/>
      <c r="X1261" s="272"/>
      <c r="Y1261" s="272"/>
      <c r="Z1261" s="272"/>
      <c r="AA1261" s="272"/>
    </row>
    <row r="1262" spans="1:27">
      <c r="A1262" s="326">
        <v>10</v>
      </c>
      <c r="B1262" s="327" t="s">
        <v>6412</v>
      </c>
      <c r="C1262" s="328">
        <v>45546</v>
      </c>
      <c r="D1262" s="329" t="s">
        <v>4714</v>
      </c>
      <c r="E1262" s="272" t="s">
        <v>3043</v>
      </c>
      <c r="F1262" s="272" t="s">
        <v>4715</v>
      </c>
      <c r="G1262" s="272" t="s">
        <v>4716</v>
      </c>
      <c r="H1262" s="268" t="str">
        <f t="shared" si="7"/>
        <v>NO REUERDA ORL</v>
      </c>
      <c r="I1262" s="268" t="s">
        <v>4743</v>
      </c>
      <c r="J1262" s="272" t="s">
        <v>4822</v>
      </c>
      <c r="K1262" s="272" t="s">
        <v>6430</v>
      </c>
      <c r="L1262" s="330">
        <v>45572</v>
      </c>
      <c r="M1262" s="283"/>
      <c r="N1262" s="331">
        <v>2</v>
      </c>
      <c r="O1262" s="332" t="s">
        <v>4787</v>
      </c>
      <c r="P1262" s="333">
        <v>4400</v>
      </c>
      <c r="Q1262" s="334">
        <v>45546</v>
      </c>
      <c r="R1262" s="272"/>
      <c r="S1262" s="272"/>
      <c r="T1262" s="272"/>
      <c r="U1262" s="272"/>
      <c r="V1262" s="272"/>
      <c r="W1262" s="272"/>
      <c r="X1262" s="272"/>
      <c r="Y1262" s="272"/>
      <c r="Z1262" s="272"/>
      <c r="AA1262" s="272"/>
    </row>
    <row r="1263" spans="1:27">
      <c r="A1263" s="326">
        <v>10</v>
      </c>
      <c r="B1263" s="327" t="s">
        <v>6412</v>
      </c>
      <c r="C1263" s="328">
        <v>45545</v>
      </c>
      <c r="D1263" s="329" t="s">
        <v>4714</v>
      </c>
      <c r="E1263" s="272" t="s">
        <v>3605</v>
      </c>
      <c r="F1263" s="272" t="s">
        <v>4715</v>
      </c>
      <c r="G1263" s="272" t="s">
        <v>4716</v>
      </c>
      <c r="H1263" s="268" t="str">
        <f t="shared" si="7"/>
        <v>LORENA SANZ LÓPEZ</v>
      </c>
      <c r="I1263" s="272" t="s">
        <v>4808</v>
      </c>
      <c r="J1263" s="272" t="s">
        <v>4718</v>
      </c>
      <c r="K1263" s="272" t="s">
        <v>6431</v>
      </c>
      <c r="L1263" s="330">
        <v>45572</v>
      </c>
      <c r="M1263" s="283"/>
      <c r="N1263" s="331">
        <v>2</v>
      </c>
      <c r="O1263" s="332" t="s">
        <v>4787</v>
      </c>
      <c r="P1263" s="333">
        <v>4090.91</v>
      </c>
      <c r="Q1263" s="334">
        <v>45545</v>
      </c>
      <c r="R1263" s="272"/>
      <c r="S1263" s="272"/>
      <c r="T1263" s="272"/>
      <c r="U1263" s="272"/>
      <c r="V1263" s="272"/>
      <c r="W1263" s="272"/>
      <c r="X1263" s="272"/>
      <c r="Y1263" s="272"/>
      <c r="Z1263" s="272"/>
      <c r="AA1263" s="272"/>
    </row>
    <row r="1264" spans="1:27">
      <c r="A1264" s="326">
        <v>10</v>
      </c>
      <c r="B1264" s="327" t="s">
        <v>6412</v>
      </c>
      <c r="C1264" s="328">
        <v>45545</v>
      </c>
      <c r="D1264" s="329" t="s">
        <v>4714</v>
      </c>
      <c r="E1264" s="272" t="s">
        <v>2869</v>
      </c>
      <c r="F1264" s="272" t="s">
        <v>4715</v>
      </c>
      <c r="G1264" s="272" t="s">
        <v>4716</v>
      </c>
      <c r="H1264" s="268" t="str">
        <f t="shared" si="7"/>
        <v>JUAN PABLO PELEGRÍN HERNÁNDEZ</v>
      </c>
      <c r="I1264" s="272" t="s">
        <v>4904</v>
      </c>
      <c r="J1264" s="272" t="s">
        <v>4736</v>
      </c>
      <c r="K1264" s="272" t="s">
        <v>6432</v>
      </c>
      <c r="L1264" s="330">
        <v>45572</v>
      </c>
      <c r="M1264" s="283"/>
      <c r="N1264" s="331">
        <v>2</v>
      </c>
      <c r="O1264" s="332" t="s">
        <v>5814</v>
      </c>
      <c r="P1264" s="333">
        <v>4000</v>
      </c>
      <c r="Q1264" s="334">
        <v>45545</v>
      </c>
      <c r="R1264" s="272"/>
      <c r="S1264" s="272"/>
      <c r="T1264" s="272"/>
      <c r="U1264" s="272"/>
      <c r="V1264" s="272"/>
      <c r="W1264" s="272"/>
      <c r="X1264" s="272"/>
      <c r="Y1264" s="272"/>
      <c r="Z1264" s="272"/>
      <c r="AA1264" s="272"/>
    </row>
    <row r="1265" spans="1:27">
      <c r="A1265" s="326">
        <v>10</v>
      </c>
      <c r="B1265" s="327" t="s">
        <v>6412</v>
      </c>
      <c r="C1265" s="328">
        <v>45512</v>
      </c>
      <c r="D1265" s="329" t="s">
        <v>4714</v>
      </c>
      <c r="E1265" s="272" t="s">
        <v>2869</v>
      </c>
      <c r="F1265" s="272" t="s">
        <v>4724</v>
      </c>
      <c r="G1265" s="272" t="s">
        <v>4725</v>
      </c>
      <c r="H1265" s="268" t="str">
        <f t="shared" si="7"/>
        <v>NURIA SALAS BARRIO</v>
      </c>
      <c r="I1265" s="272" t="s">
        <v>5293</v>
      </c>
      <c r="J1265" s="272" t="s">
        <v>4736</v>
      </c>
      <c r="K1265" s="272" t="s">
        <v>6433</v>
      </c>
      <c r="L1265" s="330">
        <v>45572</v>
      </c>
      <c r="M1265" s="283"/>
      <c r="N1265" s="331">
        <v>2</v>
      </c>
      <c r="O1265" s="332" t="s">
        <v>5814</v>
      </c>
      <c r="P1265" s="333">
        <v>4000</v>
      </c>
      <c r="Q1265" s="334">
        <v>45512</v>
      </c>
      <c r="R1265" s="272"/>
      <c r="S1265" s="272"/>
      <c r="T1265" s="272"/>
      <c r="U1265" s="272"/>
      <c r="V1265" s="272"/>
      <c r="W1265" s="272"/>
      <c r="X1265" s="272"/>
      <c r="Y1265" s="272"/>
      <c r="Z1265" s="272"/>
      <c r="AA1265" s="272"/>
    </row>
    <row r="1266" spans="1:27">
      <c r="A1266" s="326">
        <v>10</v>
      </c>
      <c r="B1266" s="327" t="s">
        <v>6412</v>
      </c>
      <c r="C1266" s="328">
        <v>45317</v>
      </c>
      <c r="D1266" s="329" t="s">
        <v>4714</v>
      </c>
      <c r="E1266" s="272" t="s">
        <v>2873</v>
      </c>
      <c r="F1266" s="272" t="s">
        <v>4715</v>
      </c>
      <c r="G1266" s="272" t="s">
        <v>4716</v>
      </c>
      <c r="H1266" s="268" t="str">
        <f t="shared" si="7"/>
        <v>JUAN JAVIER ÁLVAREZ LÓPEZ</v>
      </c>
      <c r="I1266" s="272" t="s">
        <v>4938</v>
      </c>
      <c r="J1266" s="272" t="s">
        <v>4736</v>
      </c>
      <c r="K1266" s="272" t="s">
        <v>6434</v>
      </c>
      <c r="L1266" s="330">
        <v>45572</v>
      </c>
      <c r="M1266" s="283"/>
      <c r="N1266" s="331">
        <v>1</v>
      </c>
      <c r="O1266" s="332" t="s">
        <v>4720</v>
      </c>
      <c r="P1266" s="333">
        <v>1968.18</v>
      </c>
      <c r="Q1266" s="334">
        <v>45317</v>
      </c>
      <c r="R1266" s="272"/>
      <c r="S1266" s="272"/>
      <c r="T1266" s="272"/>
      <c r="U1266" s="272"/>
      <c r="V1266" s="272"/>
      <c r="W1266" s="272"/>
      <c r="X1266" s="272"/>
      <c r="Y1266" s="272"/>
      <c r="Z1266" s="272"/>
      <c r="AA1266" s="272"/>
    </row>
    <row r="1267" spans="1:27">
      <c r="A1267" s="326">
        <v>10</v>
      </c>
      <c r="B1267" s="327" t="s">
        <v>6412</v>
      </c>
      <c r="C1267" s="328">
        <v>45504</v>
      </c>
      <c r="D1267" s="329" t="s">
        <v>4714</v>
      </c>
      <c r="E1267" s="272" t="s">
        <v>2984</v>
      </c>
      <c r="F1267" s="272" t="s">
        <v>4715</v>
      </c>
      <c r="G1267" s="272" t="s">
        <v>4716</v>
      </c>
      <c r="H1267" s="268" t="str">
        <f t="shared" si="7"/>
        <v>JOSÉ RAMIRO DE LEÓN LIMA</v>
      </c>
      <c r="I1267" s="272" t="s">
        <v>6435</v>
      </c>
      <c r="J1267" s="272" t="s">
        <v>4910</v>
      </c>
      <c r="K1267" s="272" t="s">
        <v>6436</v>
      </c>
      <c r="L1267" s="330">
        <v>45572</v>
      </c>
      <c r="M1267" s="283"/>
      <c r="N1267" s="331">
        <v>2</v>
      </c>
      <c r="O1267" s="332" t="s">
        <v>5814</v>
      </c>
      <c r="P1267" s="333">
        <v>4000</v>
      </c>
      <c r="Q1267" s="334">
        <v>45504</v>
      </c>
      <c r="R1267" s="272"/>
      <c r="S1267" s="272"/>
      <c r="T1267" s="272"/>
      <c r="U1267" s="272"/>
      <c r="V1267" s="272"/>
      <c r="W1267" s="272"/>
      <c r="X1267" s="272"/>
      <c r="Y1267" s="272"/>
      <c r="Z1267" s="272"/>
      <c r="AA1267" s="272"/>
    </row>
    <row r="1268" spans="1:27">
      <c r="A1268" s="273">
        <v>10</v>
      </c>
      <c r="B1268" s="274" t="s">
        <v>6412</v>
      </c>
      <c r="C1268" s="314">
        <v>45545</v>
      </c>
      <c r="D1268" s="274" t="s">
        <v>4714</v>
      </c>
      <c r="E1268" s="268" t="s">
        <v>4734</v>
      </c>
      <c r="F1268" s="272" t="s">
        <v>4715</v>
      </c>
      <c r="G1268" s="268" t="s">
        <v>4716</v>
      </c>
      <c r="H1268" s="268" t="str">
        <f t="shared" si="7"/>
        <v>NO REUERDA ORL</v>
      </c>
      <c r="I1268" s="268" t="s">
        <v>4743</v>
      </c>
      <c r="J1268" s="272" t="s">
        <v>4736</v>
      </c>
      <c r="K1268" s="268" t="s">
        <v>6437</v>
      </c>
      <c r="L1268" s="287">
        <v>45573</v>
      </c>
      <c r="M1268" s="283"/>
      <c r="N1268" s="282">
        <v>2</v>
      </c>
      <c r="O1268" s="284" t="s">
        <v>4740</v>
      </c>
      <c r="P1268" s="280">
        <v>3800</v>
      </c>
      <c r="Q1268" s="315">
        <v>45545</v>
      </c>
      <c r="R1268" s="272"/>
      <c r="S1268" s="272"/>
      <c r="T1268" s="272"/>
      <c r="U1268" s="272"/>
      <c r="V1268" s="272"/>
      <c r="W1268" s="272"/>
      <c r="X1268" s="272"/>
      <c r="Y1268" s="272"/>
      <c r="Z1268" s="272"/>
      <c r="AA1268" s="272"/>
    </row>
    <row r="1269" spans="1:27">
      <c r="A1269" s="273">
        <v>10</v>
      </c>
      <c r="B1269" s="274" t="s">
        <v>6412</v>
      </c>
      <c r="C1269" s="314">
        <v>45376</v>
      </c>
      <c r="D1269" s="274" t="s">
        <v>4714</v>
      </c>
      <c r="E1269" s="268" t="s">
        <v>4203</v>
      </c>
      <c r="F1269" s="272" t="s">
        <v>4715</v>
      </c>
      <c r="G1269" s="268" t="s">
        <v>4716</v>
      </c>
      <c r="H1269" s="268" t="str">
        <f t="shared" si="7"/>
        <v>JOAQUÍN PÉREZ RULL</v>
      </c>
      <c r="I1269" s="268" t="s">
        <v>5707</v>
      </c>
      <c r="J1269" s="272" t="s">
        <v>4736</v>
      </c>
      <c r="K1269" s="268" t="s">
        <v>6438</v>
      </c>
      <c r="L1269" s="287">
        <v>45573</v>
      </c>
      <c r="M1269" s="283"/>
      <c r="N1269" s="282">
        <v>2</v>
      </c>
      <c r="O1269" s="284" t="s">
        <v>5814</v>
      </c>
      <c r="P1269" s="280">
        <v>4000</v>
      </c>
      <c r="Q1269" s="315">
        <v>45376</v>
      </c>
      <c r="R1269" s="272"/>
      <c r="S1269" s="272"/>
      <c r="T1269" s="272"/>
      <c r="U1269" s="272"/>
      <c r="V1269" s="272"/>
      <c r="W1269" s="272"/>
      <c r="X1269" s="272"/>
      <c r="Y1269" s="272"/>
      <c r="Z1269" s="272"/>
      <c r="AA1269" s="272"/>
    </row>
    <row r="1270" spans="1:27">
      <c r="A1270" s="273">
        <v>10</v>
      </c>
      <c r="B1270" s="274" t="s">
        <v>6412</v>
      </c>
      <c r="C1270" s="314">
        <v>45540</v>
      </c>
      <c r="D1270" s="274" t="s">
        <v>4714</v>
      </c>
      <c r="E1270" s="268" t="s">
        <v>4203</v>
      </c>
      <c r="F1270" s="272" t="s">
        <v>4715</v>
      </c>
      <c r="G1270" s="268" t="s">
        <v>4716</v>
      </c>
      <c r="H1270" s="268" t="str">
        <f t="shared" si="7"/>
        <v>JOSÉ LUIS BATLLES MEDINA</v>
      </c>
      <c r="I1270" s="268" t="s">
        <v>6155</v>
      </c>
      <c r="J1270" s="272" t="s">
        <v>4736</v>
      </c>
      <c r="K1270" s="268" t="s">
        <v>6439</v>
      </c>
      <c r="L1270" s="287">
        <v>45573</v>
      </c>
      <c r="M1270" s="283"/>
      <c r="N1270" s="282">
        <v>2</v>
      </c>
      <c r="O1270" s="284" t="s">
        <v>4720</v>
      </c>
      <c r="P1270" s="280">
        <v>3710</v>
      </c>
      <c r="Q1270" s="315">
        <v>45540</v>
      </c>
      <c r="R1270" s="272"/>
      <c r="S1270" s="272"/>
      <c r="T1270" s="272"/>
      <c r="U1270" s="272"/>
      <c r="V1270" s="272"/>
      <c r="W1270" s="272"/>
      <c r="X1270" s="272"/>
      <c r="Y1270" s="272"/>
      <c r="Z1270" s="272"/>
      <c r="AA1270" s="272"/>
    </row>
    <row r="1271" spans="1:27">
      <c r="A1271" s="273">
        <v>10</v>
      </c>
      <c r="B1271" s="274" t="s">
        <v>6412</v>
      </c>
      <c r="C1271" s="314">
        <v>45544</v>
      </c>
      <c r="D1271" s="274" t="s">
        <v>4714</v>
      </c>
      <c r="E1271" s="268" t="s">
        <v>4820</v>
      </c>
      <c r="F1271" s="272" t="s">
        <v>4715</v>
      </c>
      <c r="G1271" s="268" t="s">
        <v>4716</v>
      </c>
      <c r="H1271" s="268" t="str">
        <f t="shared" si="7"/>
        <v>ESTHER DE LA O CORROCHANO</v>
      </c>
      <c r="I1271" s="268" t="s">
        <v>6440</v>
      </c>
      <c r="J1271" s="272" t="s">
        <v>4822</v>
      </c>
      <c r="K1271" s="268" t="s">
        <v>6441</v>
      </c>
      <c r="L1271" s="287">
        <v>45573</v>
      </c>
      <c r="M1271" s="283"/>
      <c r="N1271" s="282">
        <v>2</v>
      </c>
      <c r="O1271" s="284" t="s">
        <v>4723</v>
      </c>
      <c r="P1271" s="280">
        <v>3185.45</v>
      </c>
      <c r="Q1271" s="315">
        <v>45544</v>
      </c>
      <c r="R1271" s="272"/>
      <c r="S1271" s="272"/>
      <c r="T1271" s="272"/>
      <c r="U1271" s="272"/>
      <c r="V1271" s="272"/>
      <c r="W1271" s="272"/>
      <c r="X1271" s="272"/>
      <c r="Y1271" s="272"/>
      <c r="Z1271" s="272"/>
      <c r="AA1271" s="272"/>
    </row>
    <row r="1272" spans="1:27">
      <c r="A1272" s="326">
        <v>10</v>
      </c>
      <c r="B1272" s="327" t="s">
        <v>6412</v>
      </c>
      <c r="C1272" s="328">
        <v>45545</v>
      </c>
      <c r="D1272" s="329" t="s">
        <v>4714</v>
      </c>
      <c r="E1272" s="272" t="s">
        <v>4837</v>
      </c>
      <c r="F1272" s="272" t="s">
        <v>4715</v>
      </c>
      <c r="G1272" s="272" t="s">
        <v>4716</v>
      </c>
      <c r="H1272" s="268" t="str">
        <f t="shared" si="7"/>
        <v>BEATRIZ SANTOS DUQUE</v>
      </c>
      <c r="I1272" s="272" t="s">
        <v>6118</v>
      </c>
      <c r="J1272" s="272" t="s">
        <v>4718</v>
      </c>
      <c r="K1272" s="272" t="s">
        <v>6442</v>
      </c>
      <c r="L1272" s="330">
        <v>45573</v>
      </c>
      <c r="M1272" s="283"/>
      <c r="N1272" s="331">
        <v>1</v>
      </c>
      <c r="O1272" s="332" t="s">
        <v>4720</v>
      </c>
      <c r="P1272" s="333">
        <v>2226.36</v>
      </c>
      <c r="Q1272" s="334">
        <v>45545</v>
      </c>
      <c r="R1272" s="272"/>
      <c r="S1272" s="272"/>
      <c r="T1272" s="272"/>
      <c r="U1272" s="272"/>
      <c r="V1272" s="272"/>
      <c r="W1272" s="272"/>
      <c r="X1272" s="272"/>
      <c r="Y1272" s="272"/>
      <c r="Z1272" s="272"/>
      <c r="AA1272" s="272"/>
    </row>
    <row r="1273" spans="1:27">
      <c r="A1273" s="326">
        <v>10</v>
      </c>
      <c r="B1273" s="327" t="s">
        <v>6412</v>
      </c>
      <c r="C1273" s="328">
        <v>45440</v>
      </c>
      <c r="D1273" s="329" t="s">
        <v>4714</v>
      </c>
      <c r="E1273" s="272" t="s">
        <v>4780</v>
      </c>
      <c r="F1273" s="272" t="s">
        <v>4715</v>
      </c>
      <c r="G1273" s="272" t="s">
        <v>4716</v>
      </c>
      <c r="H1273" s="268" t="str">
        <f t="shared" si="7"/>
        <v>MARÍA JESÚS CORNEJO DOMÍNGUEZ</v>
      </c>
      <c r="I1273" s="272" t="s">
        <v>4781</v>
      </c>
      <c r="J1273" s="272" t="s">
        <v>4747</v>
      </c>
      <c r="K1273" s="272" t="s">
        <v>6443</v>
      </c>
      <c r="L1273" s="330">
        <v>45573</v>
      </c>
      <c r="M1273" s="283"/>
      <c r="N1273" s="331">
        <v>2</v>
      </c>
      <c r="O1273" s="332" t="s">
        <v>4720</v>
      </c>
      <c r="P1273" s="333">
        <v>3604.55</v>
      </c>
      <c r="Q1273" s="334">
        <v>45440</v>
      </c>
      <c r="R1273" s="272"/>
      <c r="S1273" s="272"/>
      <c r="T1273" s="272"/>
      <c r="U1273" s="272"/>
      <c r="V1273" s="272"/>
      <c r="W1273" s="272"/>
      <c r="X1273" s="272"/>
      <c r="Y1273" s="272"/>
      <c r="Z1273" s="272"/>
      <c r="AA1273" s="272"/>
    </row>
    <row r="1274" spans="1:27">
      <c r="A1274" s="273">
        <v>10</v>
      </c>
      <c r="B1274" s="274" t="s">
        <v>6412</v>
      </c>
      <c r="C1274" s="314">
        <v>45546</v>
      </c>
      <c r="D1274" s="274" t="s">
        <v>4714</v>
      </c>
      <c r="E1274" s="268" t="s">
        <v>2880</v>
      </c>
      <c r="F1274" s="272" t="s">
        <v>4715</v>
      </c>
      <c r="G1274" s="268" t="s">
        <v>4716</v>
      </c>
      <c r="H1274" s="268" t="str">
        <f t="shared" si="7"/>
        <v>MARÍA GARROTE GARROTE</v>
      </c>
      <c r="I1274" s="268" t="s">
        <v>4721</v>
      </c>
      <c r="J1274" s="272" t="s">
        <v>4718</v>
      </c>
      <c r="K1274" s="268" t="s">
        <v>6444</v>
      </c>
      <c r="L1274" s="287">
        <v>45574</v>
      </c>
      <c r="M1274" s="283"/>
      <c r="N1274" s="282">
        <v>2</v>
      </c>
      <c r="O1274" s="284" t="s">
        <v>5814</v>
      </c>
      <c r="P1274" s="280">
        <v>3690.91</v>
      </c>
      <c r="Q1274" s="315">
        <v>45546</v>
      </c>
      <c r="R1274" s="272"/>
      <c r="S1274" s="272"/>
      <c r="T1274" s="272"/>
      <c r="U1274" s="272"/>
      <c r="V1274" s="272"/>
      <c r="W1274" s="272"/>
      <c r="X1274" s="272"/>
      <c r="Y1274" s="272"/>
      <c r="Z1274" s="272"/>
      <c r="AA1274" s="272"/>
    </row>
    <row r="1275" spans="1:27">
      <c r="A1275" s="326">
        <v>10</v>
      </c>
      <c r="B1275" s="327" t="s">
        <v>6412</v>
      </c>
      <c r="C1275" s="328">
        <v>45551</v>
      </c>
      <c r="D1275" s="329" t="s">
        <v>4714</v>
      </c>
      <c r="E1275" s="272" t="s">
        <v>4775</v>
      </c>
      <c r="F1275" s="272" t="s">
        <v>4715</v>
      </c>
      <c r="G1275" s="272" t="s">
        <v>4716</v>
      </c>
      <c r="H1275" s="268" t="str">
        <f t="shared" si="7"/>
        <v>FERNANDO SALAZAR BARCELONA</v>
      </c>
      <c r="I1275" s="272" t="s">
        <v>4776</v>
      </c>
      <c r="J1275" s="272" t="s">
        <v>4822</v>
      </c>
      <c r="K1275" s="272" t="s">
        <v>6445</v>
      </c>
      <c r="L1275" s="330">
        <v>45574</v>
      </c>
      <c r="M1275" s="283"/>
      <c r="N1275" s="331">
        <v>2</v>
      </c>
      <c r="O1275" s="332" t="s">
        <v>4720</v>
      </c>
      <c r="P1275" s="333">
        <v>3454.55</v>
      </c>
      <c r="Q1275" s="334">
        <v>45551</v>
      </c>
      <c r="R1275" s="272"/>
      <c r="S1275" s="272"/>
      <c r="T1275" s="272"/>
      <c r="U1275" s="272"/>
      <c r="V1275" s="272"/>
      <c r="W1275" s="272"/>
      <c r="X1275" s="272"/>
      <c r="Y1275" s="272"/>
      <c r="Z1275" s="272"/>
      <c r="AA1275" s="272"/>
    </row>
    <row r="1276" spans="1:27">
      <c r="A1276" s="326">
        <v>10</v>
      </c>
      <c r="B1276" s="327" t="s">
        <v>6412</v>
      </c>
      <c r="C1276" s="328">
        <v>45517</v>
      </c>
      <c r="D1276" s="329" t="s">
        <v>4714</v>
      </c>
      <c r="E1276" s="272" t="s">
        <v>4749</v>
      </c>
      <c r="F1276" s="272" t="s">
        <v>4724</v>
      </c>
      <c r="G1276" s="272" t="s">
        <v>4725</v>
      </c>
      <c r="H1276" s="268" t="str">
        <f t="shared" si="7"/>
        <v>JOSÉ MIGUEL TEJADA BAUTISTA</v>
      </c>
      <c r="I1276" s="272" t="s">
        <v>6446</v>
      </c>
      <c r="J1276" s="272" t="s">
        <v>4747</v>
      </c>
      <c r="K1276" s="272" t="s">
        <v>6447</v>
      </c>
      <c r="L1276" s="330">
        <v>45574</v>
      </c>
      <c r="M1276" s="283"/>
      <c r="N1276" s="331">
        <v>1</v>
      </c>
      <c r="O1276" s="332" t="s">
        <v>4720</v>
      </c>
      <c r="P1276" s="333">
        <v>1730.77</v>
      </c>
      <c r="Q1276" s="334">
        <v>45517</v>
      </c>
      <c r="R1276" s="272"/>
      <c r="S1276" s="272"/>
      <c r="T1276" s="272"/>
      <c r="U1276" s="272"/>
      <c r="V1276" s="272"/>
      <c r="W1276" s="272"/>
      <c r="X1276" s="272"/>
      <c r="Y1276" s="272"/>
      <c r="Z1276" s="272"/>
      <c r="AA1276" s="272"/>
    </row>
    <row r="1277" spans="1:27">
      <c r="A1277" s="326">
        <v>10</v>
      </c>
      <c r="B1277" s="327" t="s">
        <v>6412</v>
      </c>
      <c r="C1277" s="328">
        <v>45531</v>
      </c>
      <c r="D1277" s="329" t="s">
        <v>4714</v>
      </c>
      <c r="E1277" s="272" t="s">
        <v>4780</v>
      </c>
      <c r="F1277" s="272" t="s">
        <v>4715</v>
      </c>
      <c r="G1277" s="272" t="s">
        <v>4716</v>
      </c>
      <c r="H1277" s="268" t="str">
        <f t="shared" si="7"/>
        <v>LUIS MIGUEL RINCÓN ESTEBAN</v>
      </c>
      <c r="I1277" s="272" t="s">
        <v>5307</v>
      </c>
      <c r="J1277" s="272" t="s">
        <v>4747</v>
      </c>
      <c r="K1277" s="272" t="s">
        <v>6448</v>
      </c>
      <c r="L1277" s="330">
        <v>45574</v>
      </c>
      <c r="M1277" s="283"/>
      <c r="N1277" s="331">
        <v>2</v>
      </c>
      <c r="O1277" s="332" t="s">
        <v>4720</v>
      </c>
      <c r="P1277" s="333">
        <v>3604.55</v>
      </c>
      <c r="Q1277" s="334">
        <v>45531</v>
      </c>
      <c r="R1277" s="272"/>
      <c r="S1277" s="272"/>
      <c r="T1277" s="272"/>
      <c r="U1277" s="272"/>
      <c r="V1277" s="272"/>
      <c r="W1277" s="272"/>
      <c r="X1277" s="272"/>
      <c r="Y1277" s="272"/>
      <c r="Z1277" s="272"/>
      <c r="AA1277" s="272"/>
    </row>
    <row r="1278" spans="1:27">
      <c r="A1278" s="326">
        <v>10</v>
      </c>
      <c r="B1278" s="327" t="s">
        <v>6412</v>
      </c>
      <c r="C1278" s="328">
        <v>45545</v>
      </c>
      <c r="D1278" s="329" t="s">
        <v>4714</v>
      </c>
      <c r="E1278" s="268" t="s">
        <v>2886</v>
      </c>
      <c r="F1278" s="272" t="s">
        <v>4715</v>
      </c>
      <c r="G1278" s="272" t="s">
        <v>4716</v>
      </c>
      <c r="H1278" s="268" t="str">
        <f t="shared" si="7"/>
        <v>MARTA ALCARAZ FUENTES</v>
      </c>
      <c r="I1278" s="272" t="s">
        <v>5588</v>
      </c>
      <c r="J1278" s="272" t="s">
        <v>4822</v>
      </c>
      <c r="K1278" s="272" t="s">
        <v>6449</v>
      </c>
      <c r="L1278" s="330">
        <v>45574</v>
      </c>
      <c r="M1278" s="283"/>
      <c r="N1278" s="331">
        <v>2</v>
      </c>
      <c r="O1278" s="332" t="s">
        <v>4723</v>
      </c>
      <c r="P1278" s="333">
        <v>2888.18</v>
      </c>
      <c r="Q1278" s="334">
        <v>45545</v>
      </c>
      <c r="R1278" s="272"/>
      <c r="S1278" s="272"/>
      <c r="T1278" s="272"/>
      <c r="U1278" s="272"/>
      <c r="V1278" s="272"/>
      <c r="W1278" s="272"/>
      <c r="X1278" s="272"/>
      <c r="Y1278" s="272"/>
      <c r="Z1278" s="272"/>
      <c r="AA1278" s="272"/>
    </row>
    <row r="1279" spans="1:27">
      <c r="A1279" s="326">
        <v>10</v>
      </c>
      <c r="B1279" s="327" t="s">
        <v>6412</v>
      </c>
      <c r="C1279" s="328">
        <v>45530</v>
      </c>
      <c r="D1279" s="329" t="s">
        <v>4714</v>
      </c>
      <c r="E1279" s="272" t="s">
        <v>4759</v>
      </c>
      <c r="F1279" s="272" t="s">
        <v>4715</v>
      </c>
      <c r="G1279" s="272" t="s">
        <v>4716</v>
      </c>
      <c r="H1279" s="268" t="str">
        <f t="shared" si="7"/>
        <v>CARLOS MIGUEL SALVADOR MARTÍNEZ</v>
      </c>
      <c r="I1279" s="272" t="s">
        <v>4907</v>
      </c>
      <c r="J1279" s="272" t="s">
        <v>4747</v>
      </c>
      <c r="K1279" s="272" t="s">
        <v>6450</v>
      </c>
      <c r="L1279" s="330">
        <v>45574</v>
      </c>
      <c r="M1279" s="283"/>
      <c r="N1279" s="331">
        <v>1</v>
      </c>
      <c r="O1279" s="332" t="s">
        <v>4720</v>
      </c>
      <c r="P1279" s="333">
        <v>1852.73</v>
      </c>
      <c r="Q1279" s="334">
        <v>45530</v>
      </c>
      <c r="R1279" s="272"/>
      <c r="S1279" s="272"/>
      <c r="T1279" s="272"/>
      <c r="U1279" s="272"/>
      <c r="V1279" s="272"/>
      <c r="W1279" s="272"/>
      <c r="X1279" s="272"/>
      <c r="Y1279" s="272"/>
      <c r="Z1279" s="272"/>
      <c r="AA1279" s="272"/>
    </row>
    <row r="1280" spans="1:27">
      <c r="A1280" s="273">
        <v>10</v>
      </c>
      <c r="B1280" s="274" t="s">
        <v>6412</v>
      </c>
      <c r="C1280" s="314">
        <v>45495</v>
      </c>
      <c r="D1280" s="274" t="s">
        <v>4714</v>
      </c>
      <c r="E1280" s="268" t="s">
        <v>5318</v>
      </c>
      <c r="F1280" s="272" t="s">
        <v>4715</v>
      </c>
      <c r="G1280" s="268" t="s">
        <v>4716</v>
      </c>
      <c r="H1280" s="268" t="str">
        <f t="shared" si="7"/>
        <v>GONZALO RUIZ MORALES</v>
      </c>
      <c r="I1280" s="268" t="s">
        <v>6451</v>
      </c>
      <c r="J1280" s="272" t="s">
        <v>4729</v>
      </c>
      <c r="K1280" s="268" t="s">
        <v>6452</v>
      </c>
      <c r="L1280" s="287">
        <v>45575</v>
      </c>
      <c r="M1280" s="283"/>
      <c r="N1280" s="282">
        <v>2</v>
      </c>
      <c r="O1280" s="284" t="s">
        <v>4720</v>
      </c>
      <c r="P1280" s="280">
        <v>3635.45</v>
      </c>
      <c r="Q1280" s="315">
        <v>45495</v>
      </c>
      <c r="R1280" s="272"/>
      <c r="S1280" s="272"/>
      <c r="T1280" s="272"/>
      <c r="U1280" s="272"/>
      <c r="V1280" s="272"/>
      <c r="W1280" s="272"/>
      <c r="X1280" s="272"/>
      <c r="Y1280" s="272"/>
      <c r="Z1280" s="272"/>
      <c r="AA1280" s="272"/>
    </row>
    <row r="1281" spans="1:27">
      <c r="A1281" s="273">
        <v>10</v>
      </c>
      <c r="B1281" s="274" t="s">
        <v>6412</v>
      </c>
      <c r="C1281" s="314">
        <v>45545</v>
      </c>
      <c r="D1281" s="274" t="s">
        <v>4714</v>
      </c>
      <c r="E1281" s="268" t="s">
        <v>4820</v>
      </c>
      <c r="F1281" s="272" t="s">
        <v>4715</v>
      </c>
      <c r="G1281" s="268" t="s">
        <v>4716</v>
      </c>
      <c r="H1281" s="268" t="str">
        <f t="shared" si="7"/>
        <v>ANDRÉS PAULINO HERRERA</v>
      </c>
      <c r="I1281" s="268" t="s">
        <v>6453</v>
      </c>
      <c r="J1281" s="272" t="s">
        <v>4822</v>
      </c>
      <c r="K1281" s="268" t="s">
        <v>6454</v>
      </c>
      <c r="L1281" s="287">
        <v>45575</v>
      </c>
      <c r="M1281" s="283"/>
      <c r="N1281" s="282">
        <v>2</v>
      </c>
      <c r="O1281" s="284" t="s">
        <v>4740</v>
      </c>
      <c r="P1281" s="280">
        <v>4145.45</v>
      </c>
      <c r="Q1281" s="315">
        <v>45545</v>
      </c>
      <c r="R1281" s="272"/>
      <c r="S1281" s="272"/>
      <c r="T1281" s="272"/>
      <c r="U1281" s="272"/>
      <c r="V1281" s="272"/>
      <c r="W1281" s="272"/>
      <c r="X1281" s="272"/>
      <c r="Y1281" s="272"/>
      <c r="Z1281" s="272"/>
      <c r="AA1281" s="272"/>
    </row>
    <row r="1282" spans="1:27">
      <c r="A1282" s="326">
        <v>10</v>
      </c>
      <c r="B1282" s="327" t="s">
        <v>6412</v>
      </c>
      <c r="C1282" s="328">
        <v>45546</v>
      </c>
      <c r="D1282" s="329" t="s">
        <v>4714</v>
      </c>
      <c r="E1282" s="272" t="s">
        <v>2893</v>
      </c>
      <c r="F1282" s="272" t="s">
        <v>4715</v>
      </c>
      <c r="G1282" s="272" t="s">
        <v>4716</v>
      </c>
      <c r="H1282" s="268" t="str">
        <f t="shared" si="7"/>
        <v>VICENTE MARTÍNEZ SANTOS</v>
      </c>
      <c r="I1282" s="272" t="s">
        <v>4832</v>
      </c>
      <c r="J1282" s="272" t="s">
        <v>4718</v>
      </c>
      <c r="K1282" s="272" t="s">
        <v>6455</v>
      </c>
      <c r="L1282" s="330">
        <v>45575</v>
      </c>
      <c r="M1282" s="283"/>
      <c r="N1282" s="331">
        <v>2</v>
      </c>
      <c r="O1282" s="332" t="s">
        <v>4720</v>
      </c>
      <c r="P1282" s="333">
        <v>3709.62</v>
      </c>
      <c r="Q1282" s="334">
        <v>45546</v>
      </c>
      <c r="R1282" s="272"/>
      <c r="S1282" s="272"/>
      <c r="T1282" s="272"/>
      <c r="U1282" s="272"/>
      <c r="V1282" s="272"/>
      <c r="W1282" s="272"/>
      <c r="X1282" s="272"/>
      <c r="Y1282" s="272"/>
      <c r="Z1282" s="272"/>
      <c r="AA1282" s="272"/>
    </row>
    <row r="1283" spans="1:27">
      <c r="A1283" s="326">
        <v>10</v>
      </c>
      <c r="B1283" s="327" t="s">
        <v>6412</v>
      </c>
      <c r="C1283" s="328">
        <v>45532</v>
      </c>
      <c r="D1283" s="329" t="s">
        <v>4714</v>
      </c>
      <c r="E1283" s="272" t="s">
        <v>2935</v>
      </c>
      <c r="F1283" s="272" t="s">
        <v>4715</v>
      </c>
      <c r="G1283" s="272" t="s">
        <v>4716</v>
      </c>
      <c r="H1283" s="268" t="str">
        <f t="shared" si="7"/>
        <v>Alejandro Harguindey Antoli-Candela</v>
      </c>
      <c r="I1283" s="272" t="s">
        <v>4802</v>
      </c>
      <c r="J1283" s="272" t="s">
        <v>4718</v>
      </c>
      <c r="K1283" s="272" t="s">
        <v>6456</v>
      </c>
      <c r="L1283" s="330">
        <v>45575</v>
      </c>
      <c r="M1283" s="283"/>
      <c r="N1283" s="331">
        <v>2</v>
      </c>
      <c r="O1283" s="332" t="s">
        <v>5814</v>
      </c>
      <c r="P1283" s="333">
        <v>4000</v>
      </c>
      <c r="Q1283" s="334">
        <v>45532</v>
      </c>
      <c r="R1283" s="272"/>
      <c r="S1283" s="272"/>
      <c r="T1283" s="272"/>
      <c r="U1283" s="272"/>
      <c r="V1283" s="272"/>
      <c r="W1283" s="272"/>
      <c r="X1283" s="272"/>
      <c r="Y1283" s="272"/>
      <c r="Z1283" s="272"/>
      <c r="AA1283" s="272"/>
    </row>
    <row r="1284" spans="1:27">
      <c r="A1284" s="326">
        <v>10</v>
      </c>
      <c r="B1284" s="327" t="s">
        <v>6412</v>
      </c>
      <c r="C1284" s="328">
        <v>45495</v>
      </c>
      <c r="D1284" s="329" t="s">
        <v>4714</v>
      </c>
      <c r="E1284" s="272" t="s">
        <v>2873</v>
      </c>
      <c r="F1284" s="272" t="s">
        <v>4715</v>
      </c>
      <c r="G1284" s="272" t="s">
        <v>4716</v>
      </c>
      <c r="H1284" s="268" t="str">
        <f t="shared" si="7"/>
        <v>JUAN JAVIER ÁLVAREZ LÓPEZ</v>
      </c>
      <c r="I1284" s="272" t="s">
        <v>4938</v>
      </c>
      <c r="J1284" s="272" t="s">
        <v>4736</v>
      </c>
      <c r="K1284" s="272" t="s">
        <v>6457</v>
      </c>
      <c r="L1284" s="330">
        <v>45575</v>
      </c>
      <c r="M1284" s="283"/>
      <c r="N1284" s="331">
        <v>2</v>
      </c>
      <c r="O1284" s="332" t="s">
        <v>5814</v>
      </c>
      <c r="P1284" s="333">
        <v>4000</v>
      </c>
      <c r="Q1284" s="334">
        <v>45495</v>
      </c>
      <c r="R1284" s="272"/>
      <c r="S1284" s="272"/>
      <c r="T1284" s="272"/>
      <c r="U1284" s="272"/>
      <c r="V1284" s="272"/>
      <c r="W1284" s="272"/>
      <c r="X1284" s="272"/>
      <c r="Y1284" s="272"/>
      <c r="Z1284" s="272"/>
      <c r="AA1284" s="272"/>
    </row>
    <row r="1285" spans="1:27">
      <c r="A1285" s="326">
        <v>10</v>
      </c>
      <c r="B1285" s="327" t="s">
        <v>6412</v>
      </c>
      <c r="C1285" s="328">
        <v>45485</v>
      </c>
      <c r="D1285" s="329" t="s">
        <v>4714</v>
      </c>
      <c r="E1285" s="272" t="s">
        <v>4780</v>
      </c>
      <c r="F1285" s="272" t="s">
        <v>4715</v>
      </c>
      <c r="G1285" s="272" t="s">
        <v>4716</v>
      </c>
      <c r="H1285" s="268" t="str">
        <f t="shared" si="7"/>
        <v>ÁNGEL MUÑOZ HERRERA</v>
      </c>
      <c r="I1285" s="272" t="s">
        <v>4940</v>
      </c>
      <c r="J1285" s="272" t="s">
        <v>4747</v>
      </c>
      <c r="K1285" s="272" t="s">
        <v>6458</v>
      </c>
      <c r="L1285" s="330">
        <v>45575</v>
      </c>
      <c r="M1285" s="283"/>
      <c r="N1285" s="331">
        <v>1</v>
      </c>
      <c r="O1285" s="332" t="s">
        <v>4720</v>
      </c>
      <c r="P1285" s="333">
        <v>2162.73</v>
      </c>
      <c r="Q1285" s="334">
        <v>45485</v>
      </c>
      <c r="R1285" s="272"/>
      <c r="S1285" s="272"/>
      <c r="T1285" s="272"/>
      <c r="U1285" s="272"/>
      <c r="V1285" s="272"/>
      <c r="W1285" s="272"/>
      <c r="X1285" s="272"/>
      <c r="Y1285" s="272"/>
      <c r="Z1285" s="272"/>
      <c r="AA1285" s="272"/>
    </row>
    <row r="1286" spans="1:27">
      <c r="A1286" s="326">
        <v>10</v>
      </c>
      <c r="B1286" s="327" t="s">
        <v>6412</v>
      </c>
      <c r="C1286" s="328">
        <v>45545</v>
      </c>
      <c r="D1286" s="329" t="s">
        <v>4714</v>
      </c>
      <c r="E1286" s="272" t="s">
        <v>3529</v>
      </c>
      <c r="F1286" s="272" t="s">
        <v>4724</v>
      </c>
      <c r="G1286" s="272" t="s">
        <v>4725</v>
      </c>
      <c r="H1286" s="268" t="str">
        <f t="shared" si="7"/>
        <v>ELENA MOLINA FERNÁNDEZ</v>
      </c>
      <c r="I1286" s="272" t="s">
        <v>6459</v>
      </c>
      <c r="J1286" s="272" t="s">
        <v>4729</v>
      </c>
      <c r="K1286" s="272" t="s">
        <v>6460</v>
      </c>
      <c r="L1286" s="330">
        <v>45575</v>
      </c>
      <c r="M1286" s="283"/>
      <c r="N1286" s="331">
        <v>2</v>
      </c>
      <c r="O1286" s="332" t="s">
        <v>4740</v>
      </c>
      <c r="P1286" s="333">
        <v>4000</v>
      </c>
      <c r="Q1286" s="334">
        <v>45545</v>
      </c>
      <c r="R1286" s="272"/>
      <c r="S1286" s="272"/>
      <c r="T1286" s="272"/>
      <c r="U1286" s="272"/>
      <c r="V1286" s="272"/>
      <c r="W1286" s="272"/>
      <c r="X1286" s="272"/>
      <c r="Y1286" s="272"/>
      <c r="Z1286" s="272"/>
      <c r="AA1286" s="272"/>
    </row>
    <row r="1287" spans="1:27">
      <c r="A1287" s="273">
        <v>10</v>
      </c>
      <c r="B1287" s="274" t="s">
        <v>6412</v>
      </c>
      <c r="C1287" s="314">
        <v>45462</v>
      </c>
      <c r="D1287" s="274" t="s">
        <v>4714</v>
      </c>
      <c r="E1287" s="268" t="s">
        <v>3480</v>
      </c>
      <c r="F1287" s="272" t="s">
        <v>4715</v>
      </c>
      <c r="G1287" s="268" t="s">
        <v>4716</v>
      </c>
      <c r="H1287" s="268" t="str">
        <f t="shared" si="7"/>
        <v>MARÍA TERESA HERRERA MERA</v>
      </c>
      <c r="I1287" s="268" t="s">
        <v>4838</v>
      </c>
      <c r="J1287" s="272" t="s">
        <v>4718</v>
      </c>
      <c r="K1287" s="268" t="s">
        <v>6461</v>
      </c>
      <c r="L1287" s="287">
        <v>45576</v>
      </c>
      <c r="M1287" s="283"/>
      <c r="N1287" s="282">
        <v>2</v>
      </c>
      <c r="O1287" s="284" t="s">
        <v>4720</v>
      </c>
      <c r="P1287" s="280">
        <v>2944.55</v>
      </c>
      <c r="Q1287" s="315">
        <v>45462</v>
      </c>
      <c r="R1287" s="272"/>
      <c r="S1287" s="272"/>
      <c r="T1287" s="272"/>
      <c r="U1287" s="272"/>
      <c r="V1287" s="272"/>
      <c r="W1287" s="272"/>
      <c r="X1287" s="272"/>
      <c r="Y1287" s="272"/>
      <c r="Z1287" s="272"/>
      <c r="AA1287" s="272"/>
    </row>
    <row r="1288" spans="1:27">
      <c r="A1288" s="273">
        <v>10</v>
      </c>
      <c r="B1288" s="274" t="s">
        <v>6412</v>
      </c>
      <c r="C1288" s="314">
        <v>45546</v>
      </c>
      <c r="D1288" s="274" t="s">
        <v>4714</v>
      </c>
      <c r="E1288" s="268" t="s">
        <v>2880</v>
      </c>
      <c r="F1288" s="272" t="s">
        <v>4715</v>
      </c>
      <c r="G1288" s="268" t="s">
        <v>4716</v>
      </c>
      <c r="H1288" s="268" t="str">
        <f t="shared" si="7"/>
        <v>MARÍA GARROTE GARROTE</v>
      </c>
      <c r="I1288" s="268" t="s">
        <v>4721</v>
      </c>
      <c r="J1288" s="272" t="s">
        <v>4718</v>
      </c>
      <c r="K1288" s="268" t="s">
        <v>6462</v>
      </c>
      <c r="L1288" s="287">
        <v>45576</v>
      </c>
      <c r="M1288" s="283"/>
      <c r="N1288" s="282">
        <v>1</v>
      </c>
      <c r="O1288" s="284" t="s">
        <v>5814</v>
      </c>
      <c r="P1288" s="280">
        <v>2345.4499999999998</v>
      </c>
      <c r="Q1288" s="315">
        <v>45546</v>
      </c>
      <c r="R1288" s="272"/>
      <c r="S1288" s="272"/>
      <c r="T1288" s="272"/>
      <c r="U1288" s="272"/>
      <c r="V1288" s="272"/>
      <c r="W1288" s="272"/>
      <c r="X1288" s="272"/>
      <c r="Y1288" s="272"/>
      <c r="Z1288" s="272"/>
      <c r="AA1288" s="272"/>
    </row>
    <row r="1289" spans="1:27">
      <c r="A1289" s="326">
        <v>10</v>
      </c>
      <c r="B1289" s="327" t="s">
        <v>6412</v>
      </c>
      <c r="C1289" s="328">
        <v>45530</v>
      </c>
      <c r="D1289" s="329" t="s">
        <v>4714</v>
      </c>
      <c r="E1289" s="272" t="s">
        <v>4945</v>
      </c>
      <c r="F1289" s="272" t="s">
        <v>4715</v>
      </c>
      <c r="G1289" s="272" t="s">
        <v>4716</v>
      </c>
      <c r="H1289" s="268" t="str">
        <f t="shared" si="7"/>
        <v>PEDRO JUIZ LÓPEZ</v>
      </c>
      <c r="I1289" s="272" t="s">
        <v>4946</v>
      </c>
      <c r="J1289" s="272" t="s">
        <v>4790</v>
      </c>
      <c r="K1289" s="272" t="s">
        <v>6463</v>
      </c>
      <c r="L1289" s="330">
        <v>45576</v>
      </c>
      <c r="M1289" s="283"/>
      <c r="N1289" s="331">
        <v>2</v>
      </c>
      <c r="O1289" s="332" t="s">
        <v>4720</v>
      </c>
      <c r="P1289" s="333">
        <v>3909.09</v>
      </c>
      <c r="Q1289" s="334">
        <v>45530</v>
      </c>
      <c r="R1289" s="272"/>
      <c r="S1289" s="272"/>
      <c r="T1289" s="272"/>
      <c r="U1289" s="272"/>
      <c r="V1289" s="272"/>
      <c r="W1289" s="272"/>
      <c r="X1289" s="272"/>
      <c r="Y1289" s="272"/>
      <c r="Z1289" s="272"/>
      <c r="AA1289" s="272"/>
    </row>
    <row r="1290" spans="1:27">
      <c r="A1290" s="326">
        <v>10</v>
      </c>
      <c r="B1290" s="327" t="s">
        <v>6412</v>
      </c>
      <c r="C1290" s="328">
        <v>45551</v>
      </c>
      <c r="D1290" s="329" t="s">
        <v>4714</v>
      </c>
      <c r="E1290" s="272" t="s">
        <v>3193</v>
      </c>
      <c r="F1290" s="272" t="s">
        <v>4715</v>
      </c>
      <c r="G1290" s="272" t="s">
        <v>4716</v>
      </c>
      <c r="H1290" s="268" t="str">
        <f t="shared" si="7"/>
        <v>MARÍA SANTILLÁN SÁNCHEZ</v>
      </c>
      <c r="I1290" s="272" t="s">
        <v>4767</v>
      </c>
      <c r="J1290" s="272" t="s">
        <v>4718</v>
      </c>
      <c r="K1290" s="272" t="s">
        <v>6464</v>
      </c>
      <c r="L1290" s="330">
        <v>45576</v>
      </c>
      <c r="M1290" s="283"/>
      <c r="N1290" s="331">
        <v>2</v>
      </c>
      <c r="O1290" s="332" t="s">
        <v>5814</v>
      </c>
      <c r="P1290" s="333">
        <v>4000</v>
      </c>
      <c r="Q1290" s="334">
        <v>45551</v>
      </c>
      <c r="R1290" s="272"/>
      <c r="S1290" s="272"/>
      <c r="T1290" s="272"/>
      <c r="U1290" s="272"/>
      <c r="V1290" s="272"/>
      <c r="W1290" s="272"/>
      <c r="X1290" s="272"/>
      <c r="Y1290" s="272"/>
      <c r="Z1290" s="272"/>
      <c r="AA1290" s="272"/>
    </row>
    <row r="1291" spans="1:27">
      <c r="A1291" s="326">
        <v>10</v>
      </c>
      <c r="B1291" s="327" t="s">
        <v>6412</v>
      </c>
      <c r="C1291" s="328">
        <v>45524</v>
      </c>
      <c r="D1291" s="329" t="s">
        <v>4714</v>
      </c>
      <c r="E1291" s="272" t="s">
        <v>4749</v>
      </c>
      <c r="F1291" s="272" t="s">
        <v>4715</v>
      </c>
      <c r="G1291" s="272" t="s">
        <v>4716</v>
      </c>
      <c r="H1291" s="268" t="str">
        <f t="shared" si="7"/>
        <v>MÓNICA GRANDA ROSALES</v>
      </c>
      <c r="I1291" s="272" t="s">
        <v>4750</v>
      </c>
      <c r="J1291" s="272" t="s">
        <v>4747</v>
      </c>
      <c r="K1291" s="272" t="s">
        <v>6465</v>
      </c>
      <c r="L1291" s="330">
        <v>45576</v>
      </c>
      <c r="M1291" s="283"/>
      <c r="N1291" s="331">
        <v>2</v>
      </c>
      <c r="O1291" s="332" t="s">
        <v>4740</v>
      </c>
      <c r="P1291" s="333">
        <v>4272.7299999999996</v>
      </c>
      <c r="Q1291" s="334">
        <v>45524</v>
      </c>
      <c r="R1291" s="272"/>
      <c r="S1291" s="272"/>
      <c r="T1291" s="272"/>
      <c r="U1291" s="272"/>
      <c r="V1291" s="272"/>
      <c r="W1291" s="272"/>
      <c r="X1291" s="272"/>
      <c r="Y1291" s="272"/>
      <c r="Z1291" s="272"/>
      <c r="AA1291" s="272"/>
    </row>
    <row r="1292" spans="1:27">
      <c r="A1292" s="326">
        <v>10</v>
      </c>
      <c r="B1292" s="327" t="s">
        <v>6412</v>
      </c>
      <c r="C1292" s="328">
        <v>45526</v>
      </c>
      <c r="D1292" s="329" t="s">
        <v>4714</v>
      </c>
      <c r="E1292" s="272" t="s">
        <v>2984</v>
      </c>
      <c r="F1292" s="272" t="s">
        <v>4715</v>
      </c>
      <c r="G1292" s="272" t="s">
        <v>4716</v>
      </c>
      <c r="H1292" s="268" t="str">
        <f t="shared" si="7"/>
        <v>Jean Franco Intraprendente Martini</v>
      </c>
      <c r="I1292" s="272" t="s">
        <v>6466</v>
      </c>
      <c r="J1292" s="272" t="s">
        <v>4910</v>
      </c>
      <c r="K1292" s="272" t="s">
        <v>6467</v>
      </c>
      <c r="L1292" s="330">
        <v>45576</v>
      </c>
      <c r="M1292" s="283"/>
      <c r="N1292" s="331">
        <v>2</v>
      </c>
      <c r="O1292" s="332" t="s">
        <v>4720</v>
      </c>
      <c r="P1292" s="333">
        <v>3524.5</v>
      </c>
      <c r="Q1292" s="334">
        <v>45526</v>
      </c>
      <c r="R1292" s="272"/>
      <c r="S1292" s="272"/>
      <c r="T1292" s="272"/>
      <c r="U1292" s="272"/>
      <c r="V1292" s="272"/>
      <c r="W1292" s="272"/>
      <c r="X1292" s="272"/>
      <c r="Y1292" s="272"/>
      <c r="Z1292" s="272"/>
      <c r="AA1292" s="272"/>
    </row>
    <row r="1293" spans="1:27">
      <c r="A1293" s="326">
        <v>10</v>
      </c>
      <c r="B1293" s="327" t="s">
        <v>6412</v>
      </c>
      <c r="C1293" s="328">
        <v>45547</v>
      </c>
      <c r="D1293" s="329" t="s">
        <v>4714</v>
      </c>
      <c r="E1293" s="268" t="s">
        <v>4845</v>
      </c>
      <c r="F1293" s="268" t="s">
        <v>4715</v>
      </c>
      <c r="G1293" s="268" t="s">
        <v>4716</v>
      </c>
      <c r="H1293" s="268" t="str">
        <f t="shared" si="7"/>
        <v>JOSÉ MANUEL GARCÍA SOLANS-ESTERAS</v>
      </c>
      <c r="I1293" s="268" t="s">
        <v>4873</v>
      </c>
      <c r="J1293" s="268" t="s">
        <v>4822</v>
      </c>
      <c r="K1293" s="268" t="s">
        <v>6468</v>
      </c>
      <c r="L1293" s="287">
        <v>45576</v>
      </c>
      <c r="M1293" s="283"/>
      <c r="N1293" s="282">
        <v>2</v>
      </c>
      <c r="O1293" s="284" t="s">
        <v>4720</v>
      </c>
      <c r="P1293" s="280">
        <v>3424.55</v>
      </c>
      <c r="Q1293" s="287">
        <v>45547</v>
      </c>
      <c r="R1293" s="272"/>
      <c r="S1293" s="272"/>
      <c r="T1293" s="272"/>
      <c r="U1293" s="272"/>
      <c r="V1293" s="272"/>
      <c r="W1293" s="272"/>
      <c r="X1293" s="272"/>
      <c r="Y1293" s="272"/>
      <c r="Z1293" s="272"/>
      <c r="AA1293" s="272"/>
    </row>
    <row r="1294" spans="1:27">
      <c r="A1294" s="326">
        <v>10</v>
      </c>
      <c r="B1294" s="327" t="s">
        <v>6412</v>
      </c>
      <c r="C1294" s="328">
        <v>45551</v>
      </c>
      <c r="D1294" s="329" t="s">
        <v>4714</v>
      </c>
      <c r="E1294" s="272" t="s">
        <v>2929</v>
      </c>
      <c r="F1294" s="272" t="s">
        <v>4715</v>
      </c>
      <c r="G1294" s="272" t="s">
        <v>4716</v>
      </c>
      <c r="H1294" s="268" t="str">
        <f t="shared" si="7"/>
        <v>CARLOS BARAJAS DEL ROSAL</v>
      </c>
      <c r="I1294" s="272" t="s">
        <v>4934</v>
      </c>
      <c r="J1294" s="272" t="s">
        <v>4822</v>
      </c>
      <c r="K1294" s="272" t="s">
        <v>6469</v>
      </c>
      <c r="L1294" s="330">
        <v>45579</v>
      </c>
      <c r="M1294" s="283"/>
      <c r="N1294" s="331">
        <v>2</v>
      </c>
      <c r="O1294" s="332" t="s">
        <v>4787</v>
      </c>
      <c r="P1294" s="333">
        <v>4400</v>
      </c>
      <c r="Q1294" s="334">
        <v>45551</v>
      </c>
      <c r="R1294" s="272"/>
      <c r="S1294" s="272"/>
      <c r="T1294" s="272"/>
      <c r="U1294" s="272"/>
      <c r="V1294" s="272"/>
      <c r="W1294" s="272"/>
      <c r="X1294" s="272"/>
      <c r="Y1294" s="272"/>
      <c r="Z1294" s="272"/>
      <c r="AA1294" s="272"/>
    </row>
    <row r="1295" spans="1:27">
      <c r="A1295" s="326">
        <v>10</v>
      </c>
      <c r="B1295" s="327" t="s">
        <v>6412</v>
      </c>
      <c r="C1295" s="328">
        <v>43425</v>
      </c>
      <c r="D1295" s="329" t="s">
        <v>4714</v>
      </c>
      <c r="E1295" s="272" t="s">
        <v>2935</v>
      </c>
      <c r="F1295" s="272" t="s">
        <v>4715</v>
      </c>
      <c r="G1295" s="272" t="s">
        <v>4716</v>
      </c>
      <c r="H1295" s="268" t="str">
        <f t="shared" si="7"/>
        <v>ENRIQUE MELCOM DIEZ</v>
      </c>
      <c r="I1295" s="272" t="s">
        <v>4902</v>
      </c>
      <c r="J1295" s="272" t="s">
        <v>4718</v>
      </c>
      <c r="K1295" s="272" t="s">
        <v>6470</v>
      </c>
      <c r="L1295" s="330">
        <v>45579</v>
      </c>
      <c r="M1295" s="283"/>
      <c r="N1295" s="331">
        <v>1</v>
      </c>
      <c r="O1295" s="332" t="s">
        <v>4720</v>
      </c>
      <c r="P1295" s="333">
        <v>2226.36</v>
      </c>
      <c r="Q1295" s="334">
        <v>43425</v>
      </c>
      <c r="R1295" s="272"/>
      <c r="S1295" s="272"/>
      <c r="T1295" s="272"/>
      <c r="U1295" s="272"/>
      <c r="V1295" s="272"/>
      <c r="W1295" s="272"/>
      <c r="X1295" s="272"/>
      <c r="Y1295" s="272"/>
      <c r="Z1295" s="272"/>
      <c r="AA1295" s="272"/>
    </row>
    <row r="1296" spans="1:27">
      <c r="A1296" s="326">
        <v>10</v>
      </c>
      <c r="B1296" s="327" t="s">
        <v>6412</v>
      </c>
      <c r="C1296" s="328">
        <v>45485</v>
      </c>
      <c r="D1296" s="329" t="s">
        <v>4714</v>
      </c>
      <c r="E1296" s="272" t="s">
        <v>2935</v>
      </c>
      <c r="F1296" s="272" t="s">
        <v>4715</v>
      </c>
      <c r="G1296" s="272" t="s">
        <v>4716</v>
      </c>
      <c r="H1296" s="268" t="str">
        <f t="shared" si="7"/>
        <v>Alejandro Harguindey Antoli-Candela</v>
      </c>
      <c r="I1296" s="272" t="s">
        <v>4802</v>
      </c>
      <c r="J1296" s="272" t="s">
        <v>4718</v>
      </c>
      <c r="K1296" s="272" t="s">
        <v>6471</v>
      </c>
      <c r="L1296" s="330">
        <v>45579</v>
      </c>
      <c r="M1296" s="283"/>
      <c r="N1296" s="331">
        <v>2</v>
      </c>
      <c r="O1296" s="332" t="s">
        <v>5814</v>
      </c>
      <c r="P1296" s="333">
        <v>4136.3599999999997</v>
      </c>
      <c r="Q1296" s="334">
        <v>45485</v>
      </c>
      <c r="R1296" s="272"/>
      <c r="S1296" s="272"/>
      <c r="T1296" s="272"/>
      <c r="U1296" s="272"/>
      <c r="V1296" s="272"/>
      <c r="W1296" s="272"/>
      <c r="X1296" s="272"/>
      <c r="Y1296" s="272"/>
      <c r="Z1296" s="272"/>
      <c r="AA1296" s="272"/>
    </row>
    <row r="1297" spans="1:27">
      <c r="A1297" s="326">
        <v>10</v>
      </c>
      <c r="B1297" s="327" t="s">
        <v>6412</v>
      </c>
      <c r="C1297" s="328">
        <v>45548</v>
      </c>
      <c r="D1297" s="329" t="s">
        <v>4714</v>
      </c>
      <c r="E1297" s="272" t="s">
        <v>2873</v>
      </c>
      <c r="F1297" s="272" t="s">
        <v>4715</v>
      </c>
      <c r="G1297" s="272" t="s">
        <v>4716</v>
      </c>
      <c r="H1297" s="268" t="str">
        <f t="shared" si="7"/>
        <v>JUAN JAVIER ÁLVAREZ LÓPEZ</v>
      </c>
      <c r="I1297" s="272" t="s">
        <v>4938</v>
      </c>
      <c r="J1297" s="272" t="s">
        <v>4736</v>
      </c>
      <c r="K1297" s="272" t="s">
        <v>6472</v>
      </c>
      <c r="L1297" s="330">
        <v>45579</v>
      </c>
      <c r="M1297" s="283"/>
      <c r="N1297" s="331">
        <v>2</v>
      </c>
      <c r="O1297" s="332" t="s">
        <v>5814</v>
      </c>
      <c r="P1297" s="333">
        <v>4000</v>
      </c>
      <c r="Q1297" s="334">
        <v>45548</v>
      </c>
      <c r="R1297" s="272"/>
      <c r="S1297" s="272"/>
      <c r="T1297" s="272"/>
      <c r="U1297" s="272"/>
      <c r="V1297" s="272"/>
      <c r="W1297" s="272"/>
      <c r="X1297" s="272"/>
      <c r="Y1297" s="272"/>
      <c r="Z1297" s="272"/>
      <c r="AA1297" s="272"/>
    </row>
    <row r="1298" spans="1:27">
      <c r="A1298" s="326">
        <v>10</v>
      </c>
      <c r="B1298" s="327" t="s">
        <v>6412</v>
      </c>
      <c r="C1298" s="328">
        <v>45559</v>
      </c>
      <c r="D1298" s="329" t="s">
        <v>4714</v>
      </c>
      <c r="E1298" s="272" t="s">
        <v>4745</v>
      </c>
      <c r="F1298" s="272" t="s">
        <v>4715</v>
      </c>
      <c r="G1298" s="272" t="s">
        <v>4716</v>
      </c>
      <c r="H1298" s="268" t="str">
        <f t="shared" si="7"/>
        <v>MANUEL ACUÑA GARCÍA</v>
      </c>
      <c r="I1298" s="272" t="s">
        <v>4746</v>
      </c>
      <c r="J1298" s="272" t="s">
        <v>4747</v>
      </c>
      <c r="K1298" s="272" t="s">
        <v>6473</v>
      </c>
      <c r="L1298" s="330">
        <v>45579</v>
      </c>
      <c r="M1298" s="283"/>
      <c r="N1298" s="331">
        <v>1</v>
      </c>
      <c r="O1298" s="332" t="s">
        <v>4720</v>
      </c>
      <c r="P1298" s="333">
        <v>2226.36</v>
      </c>
      <c r="Q1298" s="334">
        <v>45559</v>
      </c>
      <c r="R1298" s="272"/>
      <c r="S1298" s="272"/>
      <c r="T1298" s="272"/>
      <c r="U1298" s="272"/>
      <c r="V1298" s="272"/>
      <c r="W1298" s="272"/>
      <c r="X1298" s="272"/>
      <c r="Y1298" s="272"/>
      <c r="Z1298" s="272"/>
      <c r="AA1298" s="272"/>
    </row>
    <row r="1299" spans="1:27">
      <c r="A1299" s="326">
        <v>10</v>
      </c>
      <c r="B1299" s="327" t="s">
        <v>6412</v>
      </c>
      <c r="C1299" s="328">
        <v>45540</v>
      </c>
      <c r="D1299" s="329" t="s">
        <v>4714</v>
      </c>
      <c r="E1299" s="272" t="s">
        <v>4780</v>
      </c>
      <c r="F1299" s="272" t="s">
        <v>4715</v>
      </c>
      <c r="G1299" s="272" t="s">
        <v>4716</v>
      </c>
      <c r="H1299" s="268" t="str">
        <f t="shared" si="7"/>
        <v>SANTIAGO ESTÉVEZ ALONSO</v>
      </c>
      <c r="I1299" s="272" t="s">
        <v>6474</v>
      </c>
      <c r="J1299" s="272" t="s">
        <v>4747</v>
      </c>
      <c r="K1299" s="272" t="s">
        <v>6475</v>
      </c>
      <c r="L1299" s="330">
        <v>45579</v>
      </c>
      <c r="M1299" s="283"/>
      <c r="N1299" s="331">
        <v>2</v>
      </c>
      <c r="O1299" s="332" t="s">
        <v>4740</v>
      </c>
      <c r="P1299" s="333">
        <v>4081.82</v>
      </c>
      <c r="Q1299" s="334">
        <v>45540</v>
      </c>
      <c r="R1299" s="272"/>
      <c r="S1299" s="272"/>
      <c r="T1299" s="272"/>
      <c r="U1299" s="272"/>
      <c r="V1299" s="272"/>
      <c r="W1299" s="272"/>
      <c r="X1299" s="272"/>
      <c r="Y1299" s="272"/>
      <c r="Z1299" s="272"/>
      <c r="AA1299" s="272"/>
    </row>
    <row r="1300" spans="1:27">
      <c r="A1300" s="326">
        <v>10</v>
      </c>
      <c r="B1300" s="327" t="s">
        <v>6412</v>
      </c>
      <c r="C1300" s="328">
        <v>45555</v>
      </c>
      <c r="D1300" s="329" t="s">
        <v>4714</v>
      </c>
      <c r="E1300" s="272" t="s">
        <v>3011</v>
      </c>
      <c r="F1300" s="272" t="s">
        <v>4715</v>
      </c>
      <c r="G1300" s="272" t="s">
        <v>4716</v>
      </c>
      <c r="H1300" s="268" t="str">
        <f t="shared" si="7"/>
        <v>ENRIQUE GÓMEZ ALDAZ</v>
      </c>
      <c r="I1300" s="272" t="s">
        <v>5956</v>
      </c>
      <c r="J1300" s="272" t="s">
        <v>4729</v>
      </c>
      <c r="K1300" s="272" t="s">
        <v>6476</v>
      </c>
      <c r="L1300" s="330">
        <v>45579</v>
      </c>
      <c r="M1300" s="283"/>
      <c r="N1300" s="331">
        <v>1</v>
      </c>
      <c r="O1300" s="332" t="s">
        <v>5814</v>
      </c>
      <c r="P1300" s="333">
        <v>2400</v>
      </c>
      <c r="Q1300" s="334">
        <v>45555</v>
      </c>
      <c r="R1300" s="272"/>
      <c r="S1300" s="272"/>
      <c r="T1300" s="272"/>
      <c r="U1300" s="272"/>
      <c r="V1300" s="272"/>
      <c r="W1300" s="272"/>
      <c r="X1300" s="272"/>
      <c r="Y1300" s="272"/>
      <c r="Z1300" s="272"/>
      <c r="AA1300" s="272"/>
    </row>
    <row r="1301" spans="1:27">
      <c r="A1301" s="326">
        <v>10</v>
      </c>
      <c r="B1301" s="327" t="s">
        <v>6412</v>
      </c>
      <c r="C1301" s="328">
        <v>45499</v>
      </c>
      <c r="D1301" s="329" t="s">
        <v>4714</v>
      </c>
      <c r="E1301" s="272" t="s">
        <v>4804</v>
      </c>
      <c r="F1301" s="272" t="s">
        <v>4715</v>
      </c>
      <c r="G1301" s="272" t="s">
        <v>4716</v>
      </c>
      <c r="H1301" s="268" t="str">
        <f t="shared" si="7"/>
        <v>PABLO VERGÉS FORT</v>
      </c>
      <c r="I1301" s="272" t="s">
        <v>6477</v>
      </c>
      <c r="J1301" s="272" t="s">
        <v>4806</v>
      </c>
      <c r="K1301" s="272" t="s">
        <v>6478</v>
      </c>
      <c r="L1301" s="330">
        <v>45579</v>
      </c>
      <c r="M1301" s="283"/>
      <c r="N1301" s="331">
        <v>2</v>
      </c>
      <c r="O1301" s="332" t="s">
        <v>4792</v>
      </c>
      <c r="P1301" s="333">
        <v>2627.27</v>
      </c>
      <c r="Q1301" s="334">
        <v>45499</v>
      </c>
      <c r="R1301" s="272"/>
      <c r="S1301" s="272"/>
      <c r="T1301" s="272"/>
      <c r="U1301" s="272"/>
      <c r="V1301" s="272"/>
      <c r="W1301" s="272"/>
      <c r="X1301" s="272"/>
      <c r="Y1301" s="272"/>
      <c r="Z1301" s="272"/>
      <c r="AA1301" s="272"/>
    </row>
    <row r="1302" spans="1:27">
      <c r="A1302" s="326">
        <v>10</v>
      </c>
      <c r="B1302" s="327" t="s">
        <v>6412</v>
      </c>
      <c r="C1302" s="328">
        <v>45547</v>
      </c>
      <c r="D1302" s="329" t="s">
        <v>4714</v>
      </c>
      <c r="E1302" s="272" t="s">
        <v>2921</v>
      </c>
      <c r="F1302" s="272" t="s">
        <v>4715</v>
      </c>
      <c r="G1302" s="272" t="s">
        <v>4716</v>
      </c>
      <c r="H1302" s="268" t="str">
        <f t="shared" si="7"/>
        <v>Mª SOLEDAD FRÍAS MOYA-ANGELER</v>
      </c>
      <c r="I1302" s="272" t="s">
        <v>6479</v>
      </c>
      <c r="J1302" s="272" t="s">
        <v>4910</v>
      </c>
      <c r="K1302" s="272" t="s">
        <v>6480</v>
      </c>
      <c r="L1302" s="330">
        <v>45579</v>
      </c>
      <c r="M1302" s="283"/>
      <c r="N1302" s="331">
        <v>2</v>
      </c>
      <c r="O1302" s="332" t="s">
        <v>4787</v>
      </c>
      <c r="P1302" s="333">
        <v>4400</v>
      </c>
      <c r="Q1302" s="334">
        <v>45547</v>
      </c>
      <c r="R1302" s="272"/>
      <c r="S1302" s="272"/>
      <c r="T1302" s="272"/>
      <c r="U1302" s="272"/>
      <c r="V1302" s="272"/>
      <c r="W1302" s="272"/>
      <c r="X1302" s="272"/>
      <c r="Y1302" s="272"/>
      <c r="Z1302" s="272"/>
      <c r="AA1302" s="272"/>
    </row>
    <row r="1303" spans="1:27">
      <c r="A1303" s="273">
        <v>10</v>
      </c>
      <c r="B1303" s="274" t="s">
        <v>6412</v>
      </c>
      <c r="C1303" s="314">
        <v>45350</v>
      </c>
      <c r="D1303" s="285" t="s">
        <v>4714</v>
      </c>
      <c r="E1303" s="268" t="s">
        <v>2863</v>
      </c>
      <c r="F1303" s="272" t="s">
        <v>4715</v>
      </c>
      <c r="G1303" s="268" t="s">
        <v>4716</v>
      </c>
      <c r="H1303" s="268" t="str">
        <f t="shared" si="7"/>
        <v>PEDRO SEGUÍ MOYA</v>
      </c>
      <c r="I1303" s="268" t="s">
        <v>5053</v>
      </c>
      <c r="J1303" s="272" t="s">
        <v>4736</v>
      </c>
      <c r="K1303" s="268" t="s">
        <v>6481</v>
      </c>
      <c r="L1303" s="287">
        <v>45580</v>
      </c>
      <c r="M1303" s="283"/>
      <c r="N1303" s="282">
        <v>1</v>
      </c>
      <c r="O1303" s="284" t="s">
        <v>4740</v>
      </c>
      <c r="P1303" s="280">
        <v>2400</v>
      </c>
      <c r="Q1303" s="315">
        <v>45350</v>
      </c>
      <c r="R1303" s="272"/>
      <c r="S1303" s="272"/>
      <c r="T1303" s="272"/>
      <c r="U1303" s="272"/>
      <c r="V1303" s="272"/>
      <c r="W1303" s="272"/>
      <c r="X1303" s="272"/>
      <c r="Y1303" s="272"/>
      <c r="Z1303" s="272"/>
      <c r="AA1303" s="272"/>
    </row>
    <row r="1304" spans="1:27">
      <c r="A1304" s="273">
        <v>10</v>
      </c>
      <c r="B1304" s="274" t="s">
        <v>6412</v>
      </c>
      <c r="C1304" s="314">
        <v>45495</v>
      </c>
      <c r="D1304" s="274" t="s">
        <v>4714</v>
      </c>
      <c r="E1304" s="268" t="s">
        <v>4981</v>
      </c>
      <c r="F1304" s="272" t="s">
        <v>4715</v>
      </c>
      <c r="G1304" s="268" t="s">
        <v>4716</v>
      </c>
      <c r="H1304" s="268" t="str">
        <f t="shared" si="7"/>
        <v>RAFAEL MARTÍNEZ GARCERAN</v>
      </c>
      <c r="I1304" s="268" t="s">
        <v>4982</v>
      </c>
      <c r="J1304" s="272" t="s">
        <v>4736</v>
      </c>
      <c r="K1304" s="268" t="s">
        <v>6482</v>
      </c>
      <c r="L1304" s="287">
        <v>45580</v>
      </c>
      <c r="M1304" s="283"/>
      <c r="N1304" s="282">
        <v>2</v>
      </c>
      <c r="O1304" s="284" t="s">
        <v>4740</v>
      </c>
      <c r="P1304" s="280">
        <v>3974.18</v>
      </c>
      <c r="Q1304" s="315">
        <v>45495</v>
      </c>
      <c r="R1304" s="272"/>
      <c r="S1304" s="272"/>
      <c r="T1304" s="272"/>
      <c r="U1304" s="272"/>
      <c r="V1304" s="272"/>
      <c r="W1304" s="272"/>
      <c r="X1304" s="272"/>
      <c r="Y1304" s="272"/>
      <c r="Z1304" s="272"/>
      <c r="AA1304" s="272"/>
    </row>
    <row r="1305" spans="1:27">
      <c r="A1305" s="273">
        <v>10</v>
      </c>
      <c r="B1305" s="274" t="s">
        <v>6412</v>
      </c>
      <c r="C1305" s="314">
        <v>45534</v>
      </c>
      <c r="D1305" s="274" t="s">
        <v>4714</v>
      </c>
      <c r="E1305" s="268" t="s">
        <v>2880</v>
      </c>
      <c r="F1305" s="272" t="s">
        <v>4715</v>
      </c>
      <c r="G1305" s="268" t="s">
        <v>4716</v>
      </c>
      <c r="H1305" s="268" t="str">
        <f t="shared" si="7"/>
        <v>JONATHAN ESTEBAN SÁNCHEZ</v>
      </c>
      <c r="I1305" s="268" t="s">
        <v>5176</v>
      </c>
      <c r="J1305" s="272" t="s">
        <v>4718</v>
      </c>
      <c r="K1305" s="268" t="s">
        <v>6483</v>
      </c>
      <c r="L1305" s="287">
        <v>45580</v>
      </c>
      <c r="M1305" s="283"/>
      <c r="N1305" s="282">
        <v>2</v>
      </c>
      <c r="O1305" s="284" t="s">
        <v>4720</v>
      </c>
      <c r="P1305" s="280">
        <v>3710</v>
      </c>
      <c r="Q1305" s="315">
        <v>45534</v>
      </c>
      <c r="R1305" s="272"/>
      <c r="S1305" s="272"/>
      <c r="T1305" s="272"/>
      <c r="U1305" s="272"/>
      <c r="V1305" s="272"/>
      <c r="W1305" s="272"/>
      <c r="X1305" s="272"/>
      <c r="Y1305" s="272"/>
      <c r="Z1305" s="272"/>
      <c r="AA1305" s="272"/>
    </row>
    <row r="1306" spans="1:27">
      <c r="A1306" s="273">
        <v>10</v>
      </c>
      <c r="B1306" s="274" t="s">
        <v>6412</v>
      </c>
      <c r="C1306" s="314">
        <v>45511</v>
      </c>
      <c r="D1306" s="274" t="s">
        <v>4714</v>
      </c>
      <c r="E1306" s="268" t="s">
        <v>2893</v>
      </c>
      <c r="F1306" s="272" t="s">
        <v>4715</v>
      </c>
      <c r="G1306" s="268" t="s">
        <v>4716</v>
      </c>
      <c r="H1306" s="268" t="str">
        <f t="shared" si="7"/>
        <v>MAR LASSO DE LA VEGA ZAMORA</v>
      </c>
      <c r="I1306" s="268" t="s">
        <v>5183</v>
      </c>
      <c r="J1306" s="272" t="s">
        <v>4718</v>
      </c>
      <c r="K1306" s="268" t="s">
        <v>6484</v>
      </c>
      <c r="L1306" s="287">
        <v>45580</v>
      </c>
      <c r="M1306" s="283"/>
      <c r="N1306" s="282">
        <v>1</v>
      </c>
      <c r="O1306" s="284" t="s">
        <v>4723</v>
      </c>
      <c r="P1306" s="280">
        <v>1646.36</v>
      </c>
      <c r="Q1306" s="315">
        <v>45511</v>
      </c>
      <c r="R1306" s="272"/>
      <c r="S1306" s="272"/>
      <c r="T1306" s="272"/>
      <c r="U1306" s="272"/>
      <c r="V1306" s="272"/>
      <c r="W1306" s="272"/>
      <c r="X1306" s="272"/>
      <c r="Y1306" s="272"/>
      <c r="Z1306" s="272"/>
      <c r="AA1306" s="272"/>
    </row>
    <row r="1307" spans="1:27">
      <c r="A1307" s="326">
        <v>10</v>
      </c>
      <c r="B1307" s="327" t="s">
        <v>6412</v>
      </c>
      <c r="C1307" s="328">
        <v>45544</v>
      </c>
      <c r="D1307" s="329" t="s">
        <v>4714</v>
      </c>
      <c r="E1307" s="272" t="s">
        <v>4837</v>
      </c>
      <c r="F1307" s="272" t="s">
        <v>4715</v>
      </c>
      <c r="G1307" s="272" t="s">
        <v>4716</v>
      </c>
      <c r="H1307" s="268" t="str">
        <f t="shared" si="7"/>
        <v>JOAQUÍN ALACIO CASERO</v>
      </c>
      <c r="I1307" s="272" t="s">
        <v>4925</v>
      </c>
      <c r="J1307" s="272" t="s">
        <v>4718</v>
      </c>
      <c r="K1307" s="272" t="s">
        <v>6485</v>
      </c>
      <c r="L1307" s="330">
        <v>45580</v>
      </c>
      <c r="M1307" s="283"/>
      <c r="N1307" s="331">
        <v>2</v>
      </c>
      <c r="O1307" s="332" t="s">
        <v>5814</v>
      </c>
      <c r="P1307" s="333">
        <v>3800</v>
      </c>
      <c r="Q1307" s="334">
        <v>45544</v>
      </c>
      <c r="R1307" s="272"/>
      <c r="S1307" s="272"/>
      <c r="T1307" s="272"/>
      <c r="U1307" s="272"/>
      <c r="V1307" s="272"/>
      <c r="W1307" s="272"/>
      <c r="X1307" s="272"/>
      <c r="Y1307" s="272"/>
      <c r="Z1307" s="272"/>
      <c r="AA1307" s="272"/>
    </row>
    <row r="1308" spans="1:27">
      <c r="A1308" s="326">
        <v>10</v>
      </c>
      <c r="B1308" s="327" t="s">
        <v>6412</v>
      </c>
      <c r="C1308" s="328">
        <v>45552</v>
      </c>
      <c r="D1308" s="329" t="s">
        <v>4714</v>
      </c>
      <c r="E1308" s="272" t="s">
        <v>3193</v>
      </c>
      <c r="F1308" s="272" t="s">
        <v>4715</v>
      </c>
      <c r="G1308" s="272" t="s">
        <v>4716</v>
      </c>
      <c r="H1308" s="268" t="str">
        <f t="shared" si="7"/>
        <v>Eviatar Friedlander</v>
      </c>
      <c r="I1308" s="272" t="s">
        <v>4890</v>
      </c>
      <c r="J1308" s="272" t="s">
        <v>4718</v>
      </c>
      <c r="K1308" s="272" t="s">
        <v>6486</v>
      </c>
      <c r="L1308" s="330">
        <v>45580</v>
      </c>
      <c r="M1308" s="283"/>
      <c r="N1308" s="331">
        <v>2</v>
      </c>
      <c r="O1308" s="332" t="s">
        <v>4787</v>
      </c>
      <c r="P1308" s="333">
        <v>4400</v>
      </c>
      <c r="Q1308" s="334">
        <v>45552</v>
      </c>
      <c r="R1308" s="272"/>
      <c r="S1308" s="272"/>
      <c r="T1308" s="272"/>
      <c r="U1308" s="272"/>
      <c r="V1308" s="272"/>
      <c r="W1308" s="272"/>
      <c r="X1308" s="272"/>
      <c r="Y1308" s="272"/>
      <c r="Z1308" s="272"/>
      <c r="AA1308" s="272"/>
    </row>
    <row r="1309" spans="1:27">
      <c r="A1309" s="326">
        <v>10</v>
      </c>
      <c r="B1309" s="327" t="s">
        <v>6412</v>
      </c>
      <c r="C1309" s="328">
        <v>45376</v>
      </c>
      <c r="D1309" s="329" t="s">
        <v>4714</v>
      </c>
      <c r="E1309" s="272" t="s">
        <v>2900</v>
      </c>
      <c r="F1309" s="272" t="s">
        <v>4715</v>
      </c>
      <c r="G1309" s="272" t="s">
        <v>4716</v>
      </c>
      <c r="H1309" s="268" t="str">
        <f t="shared" si="7"/>
        <v>MARÍA REY MARCOS</v>
      </c>
      <c r="I1309" s="272" t="s">
        <v>4952</v>
      </c>
      <c r="J1309" s="272" t="s">
        <v>4790</v>
      </c>
      <c r="K1309" s="272" t="s">
        <v>6487</v>
      </c>
      <c r="L1309" s="330">
        <v>45580</v>
      </c>
      <c r="M1309" s="283"/>
      <c r="N1309" s="331">
        <v>2</v>
      </c>
      <c r="O1309" s="332" t="s">
        <v>4720</v>
      </c>
      <c r="P1309" s="333">
        <v>3710.12</v>
      </c>
      <c r="Q1309" s="334">
        <v>45376</v>
      </c>
      <c r="R1309" s="272"/>
      <c r="S1309" s="272"/>
      <c r="T1309" s="272"/>
      <c r="U1309" s="272"/>
      <c r="V1309" s="272"/>
      <c r="W1309" s="272"/>
      <c r="X1309" s="272"/>
      <c r="Y1309" s="272"/>
      <c r="Z1309" s="272"/>
      <c r="AA1309" s="272"/>
    </row>
    <row r="1310" spans="1:27">
      <c r="A1310" s="326">
        <v>10</v>
      </c>
      <c r="B1310" s="327" t="s">
        <v>6412</v>
      </c>
      <c r="C1310" s="328">
        <v>45558</v>
      </c>
      <c r="D1310" s="329" t="s">
        <v>4714</v>
      </c>
      <c r="E1310" s="272" t="s">
        <v>2961</v>
      </c>
      <c r="F1310" s="272" t="s">
        <v>4715</v>
      </c>
      <c r="G1310" s="272" t="s">
        <v>4716</v>
      </c>
      <c r="H1310" s="268" t="str">
        <f t="shared" si="7"/>
        <v>ALBERTO RAPOSO JIMÉNEZ</v>
      </c>
      <c r="I1310" s="272" t="s">
        <v>6114</v>
      </c>
      <c r="J1310" s="272" t="s">
        <v>4736</v>
      </c>
      <c r="K1310" s="272" t="s">
        <v>6488</v>
      </c>
      <c r="L1310" s="330">
        <v>45580</v>
      </c>
      <c r="M1310" s="283"/>
      <c r="N1310" s="331">
        <v>2</v>
      </c>
      <c r="O1310" s="332" t="s">
        <v>4740</v>
      </c>
      <c r="P1310" s="333">
        <v>4000.19</v>
      </c>
      <c r="Q1310" s="334">
        <v>45558</v>
      </c>
      <c r="R1310" s="272"/>
      <c r="S1310" s="272"/>
      <c r="T1310" s="272"/>
      <c r="U1310" s="272"/>
      <c r="V1310" s="272"/>
      <c r="W1310" s="272"/>
      <c r="X1310" s="272"/>
      <c r="Y1310" s="272"/>
      <c r="Z1310" s="272"/>
      <c r="AA1310" s="272"/>
    </row>
    <row r="1311" spans="1:27">
      <c r="A1311" s="326">
        <v>10</v>
      </c>
      <c r="B1311" s="327" t="s">
        <v>6412</v>
      </c>
      <c r="C1311" s="328">
        <v>45539</v>
      </c>
      <c r="D1311" s="329" t="s">
        <v>4714</v>
      </c>
      <c r="E1311" s="272" t="s">
        <v>3529</v>
      </c>
      <c r="F1311" s="272" t="s">
        <v>4715</v>
      </c>
      <c r="G1311" s="272" t="s">
        <v>4716</v>
      </c>
      <c r="H1311" s="268" t="str">
        <f t="shared" si="7"/>
        <v>MARÍA JOSEFA HERVÁS NÚÑEZ</v>
      </c>
      <c r="I1311" s="272" t="s">
        <v>6278</v>
      </c>
      <c r="J1311" s="272" t="s">
        <v>4729</v>
      </c>
      <c r="K1311" s="272" t="s">
        <v>6489</v>
      </c>
      <c r="L1311" s="330">
        <v>45580</v>
      </c>
      <c r="M1311" s="283"/>
      <c r="N1311" s="331">
        <v>2</v>
      </c>
      <c r="O1311" s="332" t="s">
        <v>4740</v>
      </c>
      <c r="P1311" s="333">
        <v>3118.18</v>
      </c>
      <c r="Q1311" s="334">
        <v>45539</v>
      </c>
      <c r="R1311" s="272"/>
      <c r="S1311" s="272"/>
      <c r="T1311" s="272"/>
      <c r="U1311" s="272"/>
      <c r="V1311" s="272"/>
      <c r="W1311" s="272"/>
      <c r="X1311" s="272"/>
      <c r="Y1311" s="272"/>
      <c r="Z1311" s="272"/>
      <c r="AA1311" s="272"/>
    </row>
    <row r="1312" spans="1:27">
      <c r="A1312" s="273">
        <v>10</v>
      </c>
      <c r="B1312" s="274" t="s">
        <v>6412</v>
      </c>
      <c r="C1312" s="314">
        <v>45537</v>
      </c>
      <c r="D1312" s="274" t="s">
        <v>4714</v>
      </c>
      <c r="E1312" s="268" t="s">
        <v>4194</v>
      </c>
      <c r="F1312" s="272" t="s">
        <v>4715</v>
      </c>
      <c r="G1312" s="268" t="s">
        <v>4716</v>
      </c>
      <c r="H1312" s="268" t="str">
        <f t="shared" si="7"/>
        <v>FÉLIX RUÍZ DE LA CUESTA JUSTE</v>
      </c>
      <c r="I1312" s="268" t="s">
        <v>4930</v>
      </c>
      <c r="J1312" s="272" t="s">
        <v>4736</v>
      </c>
      <c r="K1312" s="268" t="s">
        <v>6490</v>
      </c>
      <c r="L1312" s="287">
        <v>45581</v>
      </c>
      <c r="M1312" s="283"/>
      <c r="N1312" s="282">
        <v>2</v>
      </c>
      <c r="O1312" s="284" t="s">
        <v>4720</v>
      </c>
      <c r="P1312" s="280">
        <v>3710</v>
      </c>
      <c r="Q1312" s="315">
        <v>45537</v>
      </c>
      <c r="R1312" s="272"/>
      <c r="S1312" s="272"/>
      <c r="T1312" s="272"/>
      <c r="U1312" s="272"/>
      <c r="V1312" s="272"/>
      <c r="W1312" s="272"/>
      <c r="X1312" s="272"/>
      <c r="Y1312" s="272"/>
      <c r="Z1312" s="272"/>
      <c r="AA1312" s="272"/>
    </row>
    <row r="1313" spans="1:27">
      <c r="A1313" s="273">
        <v>10</v>
      </c>
      <c r="B1313" s="274" t="s">
        <v>6412</v>
      </c>
      <c r="C1313" s="314">
        <v>45499</v>
      </c>
      <c r="D1313" s="274" t="s">
        <v>4714</v>
      </c>
      <c r="E1313" s="268" t="s">
        <v>2880</v>
      </c>
      <c r="F1313" s="272" t="s">
        <v>4715</v>
      </c>
      <c r="G1313" s="268" t="s">
        <v>4716</v>
      </c>
      <c r="H1313" s="268" t="str">
        <f t="shared" si="7"/>
        <v>JAVIER GAVILANES PLASENCIA</v>
      </c>
      <c r="I1313" s="268" t="s">
        <v>5524</v>
      </c>
      <c r="J1313" s="272" t="s">
        <v>4718</v>
      </c>
      <c r="K1313" s="268" t="s">
        <v>6491</v>
      </c>
      <c r="L1313" s="287">
        <v>45581</v>
      </c>
      <c r="M1313" s="283"/>
      <c r="N1313" s="282">
        <v>2</v>
      </c>
      <c r="O1313" s="284" t="s">
        <v>4720</v>
      </c>
      <c r="P1313" s="280">
        <v>3524.5</v>
      </c>
      <c r="Q1313" s="315">
        <v>45499</v>
      </c>
      <c r="R1313" s="272"/>
      <c r="S1313" s="272"/>
      <c r="T1313" s="272"/>
      <c r="U1313" s="272"/>
      <c r="V1313" s="272"/>
      <c r="W1313" s="272"/>
      <c r="X1313" s="272"/>
      <c r="Y1313" s="272"/>
      <c r="Z1313" s="272"/>
      <c r="AA1313" s="272"/>
    </row>
    <row r="1314" spans="1:27">
      <c r="A1314" s="273">
        <v>10</v>
      </c>
      <c r="B1314" s="274" t="s">
        <v>6412</v>
      </c>
      <c r="C1314" s="314">
        <v>45562</v>
      </c>
      <c r="D1314" s="274" t="s">
        <v>4714</v>
      </c>
      <c r="E1314" s="268" t="s">
        <v>4788</v>
      </c>
      <c r="F1314" s="272" t="s">
        <v>4715</v>
      </c>
      <c r="G1314" s="268" t="s">
        <v>4716</v>
      </c>
      <c r="H1314" s="268" t="str">
        <f t="shared" si="7"/>
        <v>EDUARDO CABANAS RODRÍGUEZ</v>
      </c>
      <c r="I1314" s="268" t="s">
        <v>4879</v>
      </c>
      <c r="J1314" s="272" t="s">
        <v>4790</v>
      </c>
      <c r="K1314" s="268" t="s">
        <v>6492</v>
      </c>
      <c r="L1314" s="287">
        <v>45582</v>
      </c>
      <c r="M1314" s="283"/>
      <c r="N1314" s="282">
        <v>2</v>
      </c>
      <c r="O1314" s="284" t="s">
        <v>4792</v>
      </c>
      <c r="P1314" s="280">
        <v>2627.27</v>
      </c>
      <c r="Q1314" s="315">
        <v>45562</v>
      </c>
      <c r="R1314" s="272"/>
      <c r="S1314" s="272"/>
      <c r="T1314" s="272"/>
      <c r="U1314" s="272"/>
      <c r="V1314" s="272"/>
      <c r="W1314" s="272"/>
      <c r="X1314" s="272"/>
      <c r="Y1314" s="272"/>
      <c r="Z1314" s="272"/>
      <c r="AA1314" s="272"/>
    </row>
    <row r="1315" spans="1:27">
      <c r="A1315" s="326">
        <v>10</v>
      </c>
      <c r="B1315" s="327" t="s">
        <v>6412</v>
      </c>
      <c r="C1315" s="328">
        <v>45560</v>
      </c>
      <c r="D1315" s="329" t="s">
        <v>4714</v>
      </c>
      <c r="E1315" s="272" t="s">
        <v>2893</v>
      </c>
      <c r="F1315" s="272" t="s">
        <v>4715</v>
      </c>
      <c r="G1315" s="272" t="s">
        <v>4716</v>
      </c>
      <c r="H1315" s="268" t="str">
        <f t="shared" si="7"/>
        <v>MAR LASSO DE LA VEGA ZAMORA</v>
      </c>
      <c r="I1315" s="272" t="s">
        <v>5183</v>
      </c>
      <c r="J1315" s="272" t="s">
        <v>4718</v>
      </c>
      <c r="K1315" s="272" t="s">
        <v>6493</v>
      </c>
      <c r="L1315" s="330">
        <v>45582</v>
      </c>
      <c r="M1315" s="283"/>
      <c r="N1315" s="331">
        <v>1</v>
      </c>
      <c r="O1315" s="332" t="s">
        <v>4787</v>
      </c>
      <c r="P1315" s="333">
        <v>2640</v>
      </c>
      <c r="Q1315" s="334">
        <v>45560</v>
      </c>
      <c r="R1315" s="272"/>
      <c r="S1315" s="272"/>
      <c r="T1315" s="272"/>
      <c r="U1315" s="272"/>
      <c r="V1315" s="272"/>
      <c r="W1315" s="272"/>
      <c r="X1315" s="272"/>
      <c r="Y1315" s="272"/>
      <c r="Z1315" s="272"/>
      <c r="AA1315" s="272"/>
    </row>
    <row r="1316" spans="1:27">
      <c r="A1316" s="326">
        <v>10</v>
      </c>
      <c r="B1316" s="327" t="s">
        <v>6412</v>
      </c>
      <c r="C1316" s="328">
        <v>45538</v>
      </c>
      <c r="D1316" s="329" t="s">
        <v>4714</v>
      </c>
      <c r="E1316" s="272" t="s">
        <v>2929</v>
      </c>
      <c r="F1316" s="272" t="s">
        <v>4715</v>
      </c>
      <c r="G1316" s="272" t="s">
        <v>4716</v>
      </c>
      <c r="H1316" s="268" t="str">
        <f t="shared" si="7"/>
        <v>CARLOS BARAJAS DEL ROSAL</v>
      </c>
      <c r="I1316" s="272" t="s">
        <v>4934</v>
      </c>
      <c r="J1316" s="272" t="s">
        <v>4822</v>
      </c>
      <c r="K1316" s="272" t="s">
        <v>6494</v>
      </c>
      <c r="L1316" s="330">
        <v>45582</v>
      </c>
      <c r="M1316" s="283"/>
      <c r="N1316" s="331">
        <v>2</v>
      </c>
      <c r="O1316" s="332" t="s">
        <v>5814</v>
      </c>
      <c r="P1316" s="333">
        <v>3200</v>
      </c>
      <c r="Q1316" s="334">
        <v>45538</v>
      </c>
      <c r="R1316" s="272"/>
      <c r="S1316" s="272"/>
      <c r="T1316" s="272"/>
      <c r="U1316" s="272"/>
      <c r="V1316" s="272"/>
      <c r="W1316" s="272"/>
      <c r="X1316" s="272"/>
      <c r="Y1316" s="272"/>
      <c r="Z1316" s="272"/>
      <c r="AA1316" s="272"/>
    </row>
    <row r="1317" spans="1:27">
      <c r="A1317" s="326">
        <v>10</v>
      </c>
      <c r="B1317" s="327" t="s">
        <v>6412</v>
      </c>
      <c r="C1317" s="328">
        <v>45546</v>
      </c>
      <c r="D1317" s="329" t="s">
        <v>4714</v>
      </c>
      <c r="E1317" s="272" t="s">
        <v>3193</v>
      </c>
      <c r="F1317" s="272" t="s">
        <v>4715</v>
      </c>
      <c r="G1317" s="272" t="s">
        <v>4716</v>
      </c>
      <c r="H1317" s="268" t="str">
        <f t="shared" si="7"/>
        <v>ANTONIO RODRÍGUEZ RIVERO</v>
      </c>
      <c r="I1317" s="272" t="s">
        <v>4717</v>
      </c>
      <c r="J1317" s="272" t="s">
        <v>4718</v>
      </c>
      <c r="K1317" s="272" t="s">
        <v>6495</v>
      </c>
      <c r="L1317" s="330">
        <v>45582</v>
      </c>
      <c r="M1317" s="283"/>
      <c r="N1317" s="331">
        <v>2</v>
      </c>
      <c r="O1317" s="332" t="s">
        <v>5814</v>
      </c>
      <c r="P1317" s="333">
        <v>4000</v>
      </c>
      <c r="Q1317" s="334">
        <v>45546</v>
      </c>
      <c r="R1317" s="272"/>
      <c r="S1317" s="272"/>
      <c r="T1317" s="272"/>
      <c r="U1317" s="272"/>
      <c r="V1317" s="272"/>
      <c r="W1317" s="272"/>
      <c r="X1317" s="272"/>
      <c r="Y1317" s="272"/>
      <c r="Z1317" s="272"/>
      <c r="AA1317" s="272"/>
    </row>
    <row r="1318" spans="1:27">
      <c r="A1318" s="326">
        <v>10</v>
      </c>
      <c r="B1318" s="327" t="s">
        <v>6412</v>
      </c>
      <c r="C1318" s="328">
        <v>45558</v>
      </c>
      <c r="D1318" s="329" t="s">
        <v>4714</v>
      </c>
      <c r="E1318" s="272" t="s">
        <v>2900</v>
      </c>
      <c r="F1318" s="272" t="s">
        <v>4715</v>
      </c>
      <c r="G1318" s="272" t="s">
        <v>4716</v>
      </c>
      <c r="H1318" s="268" t="str">
        <f t="shared" si="7"/>
        <v>MARÍA REY MARCOS</v>
      </c>
      <c r="I1318" s="272" t="s">
        <v>4952</v>
      </c>
      <c r="J1318" s="272" t="s">
        <v>4790</v>
      </c>
      <c r="K1318" s="272" t="s">
        <v>6496</v>
      </c>
      <c r="L1318" s="330">
        <v>45582</v>
      </c>
      <c r="M1318" s="283"/>
      <c r="N1318" s="331">
        <v>1</v>
      </c>
      <c r="O1318" s="332" t="s">
        <v>4723</v>
      </c>
      <c r="P1318" s="333">
        <v>1732.73</v>
      </c>
      <c r="Q1318" s="334">
        <v>45558</v>
      </c>
      <c r="R1318" s="272"/>
      <c r="S1318" s="272"/>
      <c r="T1318" s="272"/>
      <c r="U1318" s="272"/>
      <c r="V1318" s="272"/>
      <c r="W1318" s="272"/>
      <c r="X1318" s="272"/>
      <c r="Y1318" s="272"/>
      <c r="Z1318" s="272"/>
      <c r="AA1318" s="272"/>
    </row>
    <row r="1319" spans="1:27">
      <c r="A1319" s="326">
        <v>10</v>
      </c>
      <c r="B1319" s="327" t="s">
        <v>6412</v>
      </c>
      <c r="C1319" s="328">
        <v>45560</v>
      </c>
      <c r="D1319" s="329" t="s">
        <v>4714</v>
      </c>
      <c r="E1319" s="272" t="s">
        <v>2961</v>
      </c>
      <c r="F1319" s="272" t="s">
        <v>4715</v>
      </c>
      <c r="G1319" s="272" t="s">
        <v>4716</v>
      </c>
      <c r="H1319" s="268" t="str">
        <f t="shared" si="7"/>
        <v>DINIS ANTUNES SILVA</v>
      </c>
      <c r="I1319" s="272" t="s">
        <v>6379</v>
      </c>
      <c r="J1319" s="272" t="s">
        <v>4736</v>
      </c>
      <c r="K1319" s="272" t="s">
        <v>6497</v>
      </c>
      <c r="L1319" s="330">
        <v>45582</v>
      </c>
      <c r="M1319" s="283"/>
      <c r="N1319" s="331">
        <v>2</v>
      </c>
      <c r="O1319" s="332" t="s">
        <v>4787</v>
      </c>
      <c r="P1319" s="333">
        <v>4399.7700000000004</v>
      </c>
      <c r="Q1319" s="334">
        <v>45560</v>
      </c>
      <c r="R1319" s="272"/>
      <c r="S1319" s="272"/>
      <c r="T1319" s="272"/>
      <c r="U1319" s="272"/>
      <c r="V1319" s="272"/>
      <c r="W1319" s="272"/>
      <c r="X1319" s="272"/>
      <c r="Y1319" s="272"/>
      <c r="Z1319" s="272"/>
      <c r="AA1319" s="272"/>
    </row>
    <row r="1320" spans="1:27">
      <c r="A1320" s="326">
        <v>10</v>
      </c>
      <c r="B1320" s="327" t="s">
        <v>6412</v>
      </c>
      <c r="C1320" s="328">
        <v>45569</v>
      </c>
      <c r="D1320" s="329" t="s">
        <v>4714</v>
      </c>
      <c r="E1320" s="268" t="s">
        <v>2886</v>
      </c>
      <c r="F1320" s="272" t="s">
        <v>4715</v>
      </c>
      <c r="G1320" s="272" t="s">
        <v>4716</v>
      </c>
      <c r="H1320" s="268" t="str">
        <f t="shared" si="7"/>
        <v>GIANMARCO NARCISO MARTÍNEZ</v>
      </c>
      <c r="I1320" s="272" t="s">
        <v>6498</v>
      </c>
      <c r="J1320" s="272" t="s">
        <v>4718</v>
      </c>
      <c r="K1320" s="272" t="s">
        <v>6499</v>
      </c>
      <c r="L1320" s="330">
        <v>45582</v>
      </c>
      <c r="M1320" s="283"/>
      <c r="N1320" s="331">
        <v>2</v>
      </c>
      <c r="O1320" s="332" t="s">
        <v>5814</v>
      </c>
      <c r="P1320" s="333">
        <v>3681.82</v>
      </c>
      <c r="Q1320" s="334">
        <v>45569</v>
      </c>
      <c r="R1320" s="272"/>
      <c r="S1320" s="272"/>
      <c r="T1320" s="272"/>
      <c r="U1320" s="272"/>
      <c r="V1320" s="272"/>
      <c r="W1320" s="272"/>
      <c r="X1320" s="272"/>
      <c r="Y1320" s="272"/>
      <c r="Z1320" s="272"/>
      <c r="AA1320" s="272"/>
    </row>
    <row r="1321" spans="1:27">
      <c r="A1321" s="326">
        <v>10</v>
      </c>
      <c r="B1321" s="327" t="s">
        <v>6412</v>
      </c>
      <c r="C1321" s="328">
        <v>45566</v>
      </c>
      <c r="D1321" s="329" t="s">
        <v>4714</v>
      </c>
      <c r="E1321" s="272" t="s">
        <v>4759</v>
      </c>
      <c r="F1321" s="272" t="s">
        <v>4715</v>
      </c>
      <c r="G1321" s="272" t="s">
        <v>4716</v>
      </c>
      <c r="H1321" s="268" t="str">
        <f t="shared" si="7"/>
        <v>CARLOS LÓPEZ AZANZA</v>
      </c>
      <c r="I1321" s="272" t="s">
        <v>5141</v>
      </c>
      <c r="J1321" s="272" t="s">
        <v>4747</v>
      </c>
      <c r="K1321" s="272" t="s">
        <v>6500</v>
      </c>
      <c r="L1321" s="330">
        <v>45582</v>
      </c>
      <c r="M1321" s="283"/>
      <c r="N1321" s="331">
        <v>2</v>
      </c>
      <c r="O1321" s="332" t="s">
        <v>4720</v>
      </c>
      <c r="P1321" s="333">
        <v>3431.82</v>
      </c>
      <c r="Q1321" s="334">
        <v>45566</v>
      </c>
      <c r="R1321" s="272"/>
      <c r="S1321" s="272"/>
      <c r="T1321" s="272"/>
      <c r="U1321" s="272"/>
      <c r="V1321" s="272"/>
      <c r="W1321" s="272"/>
      <c r="X1321" s="272"/>
      <c r="Y1321" s="272"/>
      <c r="Z1321" s="272"/>
      <c r="AA1321" s="272"/>
    </row>
    <row r="1322" spans="1:27">
      <c r="A1322" s="273">
        <v>10</v>
      </c>
      <c r="B1322" s="274" t="s">
        <v>6412</v>
      </c>
      <c r="C1322" s="314">
        <v>45495</v>
      </c>
      <c r="D1322" s="274" t="s">
        <v>4714</v>
      </c>
      <c r="E1322" s="268" t="s">
        <v>2863</v>
      </c>
      <c r="F1322" s="272" t="s">
        <v>4715</v>
      </c>
      <c r="G1322" s="268" t="s">
        <v>4716</v>
      </c>
      <c r="H1322" s="268" t="str">
        <f t="shared" si="7"/>
        <v>PEDRO MASEGOSA ZAPATA</v>
      </c>
      <c r="I1322" s="268" t="s">
        <v>5340</v>
      </c>
      <c r="J1322" s="272" t="s">
        <v>4736</v>
      </c>
      <c r="K1322" s="268" t="s">
        <v>6501</v>
      </c>
      <c r="L1322" s="287">
        <v>45583</v>
      </c>
      <c r="M1322" s="283"/>
      <c r="N1322" s="282">
        <v>2</v>
      </c>
      <c r="O1322" s="284" t="s">
        <v>4720</v>
      </c>
      <c r="P1322" s="280">
        <v>3709.09</v>
      </c>
      <c r="Q1322" s="315">
        <v>45495</v>
      </c>
      <c r="R1322" s="272"/>
      <c r="S1322" s="272"/>
      <c r="T1322" s="272"/>
      <c r="U1322" s="272"/>
      <c r="V1322" s="272"/>
      <c r="W1322" s="272"/>
      <c r="X1322" s="272"/>
      <c r="Y1322" s="272"/>
      <c r="Z1322" s="272"/>
      <c r="AA1322" s="272"/>
    </row>
    <row r="1323" spans="1:27">
      <c r="A1323" s="273">
        <v>10</v>
      </c>
      <c r="B1323" s="274" t="s">
        <v>6412</v>
      </c>
      <c r="C1323" s="314">
        <v>45551</v>
      </c>
      <c r="D1323" s="274" t="s">
        <v>4714</v>
      </c>
      <c r="E1323" s="268" t="s">
        <v>4878</v>
      </c>
      <c r="F1323" s="272" t="s">
        <v>4715</v>
      </c>
      <c r="G1323" s="268" t="s">
        <v>4716</v>
      </c>
      <c r="H1323" s="268" t="str">
        <f t="shared" si="7"/>
        <v>CARLOS VIDAL REDONDO</v>
      </c>
      <c r="I1323" s="268" t="s">
        <v>4828</v>
      </c>
      <c r="J1323" s="272" t="s">
        <v>4790</v>
      </c>
      <c r="K1323" s="268" t="s">
        <v>6502</v>
      </c>
      <c r="L1323" s="287">
        <v>45583</v>
      </c>
      <c r="M1323" s="283"/>
      <c r="N1323" s="282">
        <v>1</v>
      </c>
      <c r="O1323" s="284" t="s">
        <v>4792</v>
      </c>
      <c r="P1323" s="280">
        <v>890.91</v>
      </c>
      <c r="Q1323" s="315">
        <v>45551</v>
      </c>
      <c r="R1323" s="272"/>
      <c r="S1323" s="272"/>
      <c r="T1323" s="272"/>
      <c r="U1323" s="272"/>
      <c r="V1323" s="272"/>
      <c r="W1323" s="272"/>
      <c r="X1323" s="272"/>
      <c r="Y1323" s="272"/>
      <c r="Z1323" s="272"/>
      <c r="AA1323" s="272"/>
    </row>
    <row r="1324" spans="1:27">
      <c r="A1324" s="326">
        <v>10</v>
      </c>
      <c r="B1324" s="327" t="s">
        <v>6412</v>
      </c>
      <c r="C1324" s="328">
        <v>45552</v>
      </c>
      <c r="D1324" s="329" t="s">
        <v>4714</v>
      </c>
      <c r="E1324" s="272" t="s">
        <v>4780</v>
      </c>
      <c r="F1324" s="272" t="s">
        <v>4715</v>
      </c>
      <c r="G1324" s="272" t="s">
        <v>4716</v>
      </c>
      <c r="H1324" s="268" t="str">
        <f t="shared" si="7"/>
        <v>PEDRO BLANCO PÉREZ,</v>
      </c>
      <c r="I1324" s="272" t="s">
        <v>4897</v>
      </c>
      <c r="J1324" s="272" t="s">
        <v>4747</v>
      </c>
      <c r="K1324" s="272" t="s">
        <v>6503</v>
      </c>
      <c r="L1324" s="330">
        <v>45583</v>
      </c>
      <c r="M1324" s="283"/>
      <c r="N1324" s="331">
        <v>2</v>
      </c>
      <c r="O1324" s="332" t="s">
        <v>4723</v>
      </c>
      <c r="P1324" s="333">
        <v>2780.91</v>
      </c>
      <c r="Q1324" s="334">
        <v>45552</v>
      </c>
      <c r="R1324" s="272"/>
      <c r="S1324" s="272"/>
      <c r="T1324" s="272"/>
      <c r="U1324" s="272"/>
      <c r="V1324" s="272"/>
      <c r="W1324" s="272"/>
      <c r="X1324" s="272"/>
      <c r="Y1324" s="272"/>
      <c r="Z1324" s="272"/>
      <c r="AA1324" s="272"/>
    </row>
    <row r="1325" spans="1:27">
      <c r="A1325" s="273">
        <v>10</v>
      </c>
      <c r="B1325" s="274" t="s">
        <v>6412</v>
      </c>
      <c r="C1325" s="314">
        <v>45547</v>
      </c>
      <c r="D1325" s="274" t="s">
        <v>4714</v>
      </c>
      <c r="E1325" s="268" t="s">
        <v>4194</v>
      </c>
      <c r="F1325" s="272" t="s">
        <v>4724</v>
      </c>
      <c r="G1325" s="268" t="s">
        <v>4725</v>
      </c>
      <c r="H1325" s="268" t="str">
        <f t="shared" si="7"/>
        <v>ISABEL MENACHES GUARDIOLA</v>
      </c>
      <c r="I1325" s="268" t="s">
        <v>5528</v>
      </c>
      <c r="J1325" s="272" t="s">
        <v>4736</v>
      </c>
      <c r="K1325" s="268" t="s">
        <v>6504</v>
      </c>
      <c r="L1325" s="287">
        <v>45586</v>
      </c>
      <c r="M1325" s="283"/>
      <c r="N1325" s="282">
        <v>2</v>
      </c>
      <c r="O1325" s="284" t="s">
        <v>4723</v>
      </c>
      <c r="P1325" s="280">
        <v>2886.36</v>
      </c>
      <c r="Q1325" s="315">
        <v>45547</v>
      </c>
      <c r="R1325" s="272"/>
      <c r="S1325" s="272"/>
      <c r="T1325" s="272"/>
      <c r="U1325" s="272"/>
      <c r="V1325" s="272"/>
      <c r="W1325" s="272"/>
      <c r="X1325" s="272"/>
      <c r="Y1325" s="272"/>
      <c r="Z1325" s="272"/>
      <c r="AA1325" s="272"/>
    </row>
    <row r="1326" spans="1:27">
      <c r="A1326" s="273">
        <v>10</v>
      </c>
      <c r="B1326" s="274" t="s">
        <v>6412</v>
      </c>
      <c r="C1326" s="314">
        <v>45551</v>
      </c>
      <c r="D1326" s="274" t="s">
        <v>4714</v>
      </c>
      <c r="E1326" s="268" t="s">
        <v>3480</v>
      </c>
      <c r="F1326" s="272" t="s">
        <v>4715</v>
      </c>
      <c r="G1326" s="268" t="s">
        <v>4716</v>
      </c>
      <c r="H1326" s="268" t="str">
        <f t="shared" si="7"/>
        <v>RAIMUNDO ANDRES NAVARRO MEDIANO</v>
      </c>
      <c r="I1326" s="268" t="s">
        <v>5400</v>
      </c>
      <c r="J1326" s="272" t="s">
        <v>4718</v>
      </c>
      <c r="K1326" s="268" t="s">
        <v>6505</v>
      </c>
      <c r="L1326" s="287">
        <v>45586</v>
      </c>
      <c r="M1326" s="283"/>
      <c r="N1326" s="282">
        <v>2</v>
      </c>
      <c r="O1326" s="284" t="s">
        <v>5814</v>
      </c>
      <c r="P1326" s="280">
        <v>3909.09</v>
      </c>
      <c r="Q1326" s="315">
        <v>45551</v>
      </c>
      <c r="R1326" s="272"/>
      <c r="S1326" s="272"/>
      <c r="T1326" s="272"/>
      <c r="U1326" s="272"/>
      <c r="V1326" s="272"/>
      <c r="W1326" s="272"/>
      <c r="X1326" s="272"/>
      <c r="Y1326" s="272"/>
      <c r="Z1326" s="272"/>
      <c r="AA1326" s="272"/>
    </row>
    <row r="1327" spans="1:27">
      <c r="A1327" s="273">
        <v>10</v>
      </c>
      <c r="B1327" s="274" t="s">
        <v>6412</v>
      </c>
      <c r="C1327" s="314">
        <v>45561</v>
      </c>
      <c r="D1327" s="274" t="s">
        <v>4714</v>
      </c>
      <c r="E1327" s="268" t="s">
        <v>2880</v>
      </c>
      <c r="F1327" s="272" t="s">
        <v>4715</v>
      </c>
      <c r="G1327" s="268" t="s">
        <v>4716</v>
      </c>
      <c r="H1327" s="268" t="str">
        <f t="shared" si="7"/>
        <v>BEATRIZ SANTOS DUQUE</v>
      </c>
      <c r="I1327" s="268" t="s">
        <v>6118</v>
      </c>
      <c r="J1327" s="272" t="s">
        <v>4718</v>
      </c>
      <c r="K1327" s="268" t="s">
        <v>6506</v>
      </c>
      <c r="L1327" s="287">
        <v>45586</v>
      </c>
      <c r="M1327" s="283"/>
      <c r="N1327" s="282">
        <v>1</v>
      </c>
      <c r="O1327" s="284" t="s">
        <v>4720</v>
      </c>
      <c r="P1327" s="280">
        <v>2226.36</v>
      </c>
      <c r="Q1327" s="315">
        <v>45561</v>
      </c>
      <c r="R1327" s="272"/>
      <c r="S1327" s="272"/>
      <c r="T1327" s="272"/>
      <c r="U1327" s="272"/>
      <c r="V1327" s="272"/>
      <c r="W1327" s="272"/>
      <c r="X1327" s="272"/>
      <c r="Y1327" s="272"/>
      <c r="Z1327" s="272"/>
      <c r="AA1327" s="272"/>
    </row>
    <row r="1328" spans="1:27">
      <c r="A1328" s="273">
        <v>10</v>
      </c>
      <c r="B1328" s="274" t="s">
        <v>6412</v>
      </c>
      <c r="C1328" s="314">
        <v>45540</v>
      </c>
      <c r="D1328" s="274" t="s">
        <v>4714</v>
      </c>
      <c r="E1328" s="268" t="s">
        <v>4878</v>
      </c>
      <c r="F1328" s="272" t="s">
        <v>4715</v>
      </c>
      <c r="G1328" s="268" t="s">
        <v>4716</v>
      </c>
      <c r="H1328" s="268" t="str">
        <f t="shared" si="7"/>
        <v>CARLOS FRADE GONZÁLEZ</v>
      </c>
      <c r="I1328" s="268" t="s">
        <v>5103</v>
      </c>
      <c r="J1328" s="272" t="s">
        <v>4790</v>
      </c>
      <c r="K1328" s="268" t="s">
        <v>6507</v>
      </c>
      <c r="L1328" s="287">
        <v>45586</v>
      </c>
      <c r="M1328" s="283"/>
      <c r="N1328" s="282">
        <v>2</v>
      </c>
      <c r="O1328" s="284" t="s">
        <v>4792</v>
      </c>
      <c r="P1328" s="280">
        <v>2772.73</v>
      </c>
      <c r="Q1328" s="315">
        <v>45540</v>
      </c>
      <c r="R1328" s="272"/>
      <c r="S1328" s="272"/>
      <c r="T1328" s="272"/>
      <c r="U1328" s="272"/>
      <c r="V1328" s="272"/>
      <c r="W1328" s="272"/>
      <c r="X1328" s="272"/>
      <c r="Y1328" s="272"/>
      <c r="Z1328" s="272"/>
      <c r="AA1328" s="272"/>
    </row>
    <row r="1329" spans="1:27">
      <c r="A1329" s="326">
        <v>10</v>
      </c>
      <c r="B1329" s="327" t="s">
        <v>6412</v>
      </c>
      <c r="C1329" s="328">
        <v>45545</v>
      </c>
      <c r="D1329" s="329" t="s">
        <v>4714</v>
      </c>
      <c r="E1329" s="272" t="s">
        <v>2869</v>
      </c>
      <c r="F1329" s="272" t="s">
        <v>4715</v>
      </c>
      <c r="G1329" s="272" t="s">
        <v>4716</v>
      </c>
      <c r="H1329" s="268" t="str">
        <f t="shared" si="7"/>
        <v>NURIA SALAS BARRIO</v>
      </c>
      <c r="I1329" s="272" t="s">
        <v>5293</v>
      </c>
      <c r="J1329" s="272" t="s">
        <v>4736</v>
      </c>
      <c r="K1329" s="272" t="s">
        <v>6508</v>
      </c>
      <c r="L1329" s="330">
        <v>45586</v>
      </c>
      <c r="M1329" s="283"/>
      <c r="N1329" s="331">
        <v>2</v>
      </c>
      <c r="O1329" s="332" t="s">
        <v>4720</v>
      </c>
      <c r="P1329" s="333">
        <v>3710</v>
      </c>
      <c r="Q1329" s="334">
        <v>45545</v>
      </c>
      <c r="R1329" s="272"/>
      <c r="S1329" s="272"/>
      <c r="T1329" s="272"/>
      <c r="U1329" s="272"/>
      <c r="V1329" s="272"/>
      <c r="W1329" s="272"/>
      <c r="X1329" s="272"/>
      <c r="Y1329" s="272"/>
      <c r="Z1329" s="272"/>
      <c r="AA1329" s="272"/>
    </row>
    <row r="1330" spans="1:27">
      <c r="A1330" s="326">
        <v>10</v>
      </c>
      <c r="B1330" s="327" t="s">
        <v>6412</v>
      </c>
      <c r="C1330" s="328">
        <v>45544</v>
      </c>
      <c r="D1330" s="329" t="s">
        <v>4714</v>
      </c>
      <c r="E1330" s="272" t="s">
        <v>2869</v>
      </c>
      <c r="F1330" s="272" t="s">
        <v>4715</v>
      </c>
      <c r="G1330" s="272" t="s">
        <v>4716</v>
      </c>
      <c r="H1330" s="268" t="str">
        <f t="shared" si="7"/>
        <v>JESÚS MIGUEL INIESTA TURPÍN</v>
      </c>
      <c r="I1330" s="272" t="s">
        <v>4868</v>
      </c>
      <c r="J1330" s="272" t="s">
        <v>4736</v>
      </c>
      <c r="K1330" s="272" t="s">
        <v>6509</v>
      </c>
      <c r="L1330" s="330">
        <v>45586</v>
      </c>
      <c r="M1330" s="283"/>
      <c r="N1330" s="331">
        <v>2</v>
      </c>
      <c r="O1330" s="332" t="s">
        <v>4723</v>
      </c>
      <c r="P1330" s="333">
        <v>2888.18</v>
      </c>
      <c r="Q1330" s="334">
        <v>45544</v>
      </c>
      <c r="R1330" s="272"/>
      <c r="S1330" s="272"/>
      <c r="T1330" s="272"/>
      <c r="U1330" s="272"/>
      <c r="V1330" s="272"/>
      <c r="W1330" s="272"/>
      <c r="X1330" s="272"/>
      <c r="Y1330" s="272"/>
      <c r="Z1330" s="272"/>
      <c r="AA1330" s="272"/>
    </row>
    <row r="1331" spans="1:27">
      <c r="A1331" s="326">
        <v>10</v>
      </c>
      <c r="B1331" s="327" t="s">
        <v>6412</v>
      </c>
      <c r="C1331" s="328">
        <v>45548</v>
      </c>
      <c r="D1331" s="329" t="s">
        <v>4714</v>
      </c>
      <c r="E1331" s="272" t="s">
        <v>2873</v>
      </c>
      <c r="F1331" s="272" t="s">
        <v>4715</v>
      </c>
      <c r="G1331" s="272" t="s">
        <v>4716</v>
      </c>
      <c r="H1331" s="268" t="str">
        <f t="shared" si="7"/>
        <v>NO REUERDA ORL</v>
      </c>
      <c r="I1331" s="268" t="s">
        <v>4743</v>
      </c>
      <c r="J1331" s="272" t="s">
        <v>4736</v>
      </c>
      <c r="K1331" s="272" t="s">
        <v>6510</v>
      </c>
      <c r="L1331" s="330">
        <v>45586</v>
      </c>
      <c r="M1331" s="283"/>
      <c r="N1331" s="331">
        <v>2</v>
      </c>
      <c r="O1331" s="332" t="s">
        <v>5814</v>
      </c>
      <c r="P1331" s="333">
        <v>3118.18</v>
      </c>
      <c r="Q1331" s="334">
        <v>45548</v>
      </c>
      <c r="R1331" s="272"/>
      <c r="S1331" s="272"/>
      <c r="T1331" s="272"/>
      <c r="U1331" s="272"/>
      <c r="V1331" s="272"/>
      <c r="W1331" s="272"/>
      <c r="X1331" s="272"/>
      <c r="Y1331" s="272"/>
      <c r="Z1331" s="272"/>
      <c r="AA1331" s="272"/>
    </row>
    <row r="1332" spans="1:27">
      <c r="A1332" s="326">
        <v>10</v>
      </c>
      <c r="B1332" s="327" t="s">
        <v>6412</v>
      </c>
      <c r="C1332" s="328">
        <v>45572</v>
      </c>
      <c r="D1332" s="329" t="s">
        <v>4714</v>
      </c>
      <c r="E1332" s="268" t="s">
        <v>2886</v>
      </c>
      <c r="F1332" s="272" t="s">
        <v>4715</v>
      </c>
      <c r="G1332" s="272" t="s">
        <v>4716</v>
      </c>
      <c r="H1332" s="268" t="str">
        <f t="shared" si="7"/>
        <v>STEPHANY RODRÍGUEZ MATA</v>
      </c>
      <c r="I1332" s="272" t="s">
        <v>5336</v>
      </c>
      <c r="J1332" s="272" t="s">
        <v>4718</v>
      </c>
      <c r="K1332" s="272" t="s">
        <v>6511</v>
      </c>
      <c r="L1332" s="330">
        <v>45586</v>
      </c>
      <c r="M1332" s="283"/>
      <c r="N1332" s="331">
        <v>1</v>
      </c>
      <c r="O1332" s="332" t="s">
        <v>5814</v>
      </c>
      <c r="P1332" s="333">
        <v>2400</v>
      </c>
      <c r="Q1332" s="334">
        <v>45572</v>
      </c>
      <c r="R1332" s="272"/>
      <c r="S1332" s="272"/>
      <c r="T1332" s="272"/>
      <c r="U1332" s="272"/>
      <c r="V1332" s="272"/>
      <c r="W1332" s="272"/>
      <c r="X1332" s="272"/>
      <c r="Y1332" s="272"/>
      <c r="Z1332" s="272"/>
      <c r="AA1332" s="272"/>
    </row>
    <row r="1333" spans="1:27">
      <c r="A1333" s="326">
        <v>10</v>
      </c>
      <c r="B1333" s="327" t="s">
        <v>6412</v>
      </c>
      <c r="C1333" s="328">
        <v>45526</v>
      </c>
      <c r="D1333" s="329" t="s">
        <v>4714</v>
      </c>
      <c r="E1333" s="272" t="s">
        <v>4799</v>
      </c>
      <c r="F1333" s="272" t="s">
        <v>4715</v>
      </c>
      <c r="G1333" s="272" t="s">
        <v>4716</v>
      </c>
      <c r="H1333" s="268" t="str">
        <f t="shared" si="7"/>
        <v>ADELA PÉREZ-CARO RÍOS</v>
      </c>
      <c r="I1333" s="272" t="s">
        <v>5169</v>
      </c>
      <c r="J1333" s="272" t="s">
        <v>4790</v>
      </c>
      <c r="K1333" s="272" t="s">
        <v>6512</v>
      </c>
      <c r="L1333" s="330">
        <v>45586</v>
      </c>
      <c r="M1333" s="283"/>
      <c r="N1333" s="331">
        <v>2</v>
      </c>
      <c r="O1333" s="332" t="s">
        <v>4720</v>
      </c>
      <c r="P1333" s="333">
        <v>3545.45</v>
      </c>
      <c r="Q1333" s="334">
        <v>45526</v>
      </c>
      <c r="R1333" s="272"/>
      <c r="S1333" s="272"/>
      <c r="T1333" s="272"/>
      <c r="U1333" s="272"/>
      <c r="V1333" s="272"/>
      <c r="W1333" s="272"/>
      <c r="X1333" s="272"/>
      <c r="Y1333" s="272"/>
      <c r="Z1333" s="272"/>
      <c r="AA1333" s="272"/>
    </row>
    <row r="1334" spans="1:27">
      <c r="A1334" s="326">
        <v>10</v>
      </c>
      <c r="B1334" s="327" t="s">
        <v>6412</v>
      </c>
      <c r="C1334" s="328">
        <v>45565</v>
      </c>
      <c r="D1334" s="329" t="s">
        <v>4714</v>
      </c>
      <c r="E1334" s="268" t="s">
        <v>4799</v>
      </c>
      <c r="F1334" s="268" t="s">
        <v>4715</v>
      </c>
      <c r="G1334" s="268" t="s">
        <v>4716</v>
      </c>
      <c r="H1334" s="268" t="str">
        <f t="shared" si="7"/>
        <v>ADELA PÉREZ-CARO RÍOS</v>
      </c>
      <c r="I1334" s="272" t="s">
        <v>5169</v>
      </c>
      <c r="J1334" s="268" t="s">
        <v>4790</v>
      </c>
      <c r="K1334" s="268" t="s">
        <v>6513</v>
      </c>
      <c r="L1334" s="287">
        <v>45586</v>
      </c>
      <c r="M1334" s="283"/>
      <c r="N1334" s="282">
        <v>2</v>
      </c>
      <c r="O1334" s="284" t="s">
        <v>4720</v>
      </c>
      <c r="P1334" s="280">
        <v>3454.55</v>
      </c>
      <c r="Q1334" s="287">
        <v>45565</v>
      </c>
      <c r="R1334" s="272"/>
      <c r="S1334" s="272"/>
      <c r="T1334" s="272"/>
      <c r="U1334" s="272"/>
      <c r="V1334" s="272"/>
      <c r="W1334" s="272"/>
      <c r="X1334" s="272"/>
      <c r="Y1334" s="272"/>
      <c r="Z1334" s="272"/>
      <c r="AA1334" s="272"/>
    </row>
    <row r="1335" spans="1:27">
      <c r="A1335" s="326">
        <v>10</v>
      </c>
      <c r="B1335" s="327" t="s">
        <v>6412</v>
      </c>
      <c r="C1335" s="328">
        <v>45548</v>
      </c>
      <c r="D1335" s="329" t="s">
        <v>4714</v>
      </c>
      <c r="E1335" s="272" t="s">
        <v>2929</v>
      </c>
      <c r="F1335" s="272" t="s">
        <v>4715</v>
      </c>
      <c r="G1335" s="272" t="s">
        <v>4716</v>
      </c>
      <c r="H1335" s="268" t="str">
        <f t="shared" si="7"/>
        <v>CARLOS BARAJAS DEL ROSAL</v>
      </c>
      <c r="I1335" s="272" t="s">
        <v>4934</v>
      </c>
      <c r="J1335" s="272" t="s">
        <v>4822</v>
      </c>
      <c r="K1335" s="272" t="s">
        <v>6514</v>
      </c>
      <c r="L1335" s="330">
        <v>45587</v>
      </c>
      <c r="M1335" s="283"/>
      <c r="N1335" s="331">
        <v>2</v>
      </c>
      <c r="O1335" s="332" t="s">
        <v>5814</v>
      </c>
      <c r="P1335" s="333">
        <v>4000</v>
      </c>
      <c r="Q1335" s="336">
        <v>45548</v>
      </c>
      <c r="R1335" s="272"/>
      <c r="S1335" s="272"/>
      <c r="T1335" s="272"/>
      <c r="U1335" s="272"/>
      <c r="V1335" s="272"/>
      <c r="W1335" s="272"/>
      <c r="X1335" s="272"/>
      <c r="Y1335" s="272"/>
      <c r="Z1335" s="272"/>
      <c r="AA1335" s="272"/>
    </row>
    <row r="1336" spans="1:27">
      <c r="A1336" s="326">
        <v>10</v>
      </c>
      <c r="B1336" s="327" t="s">
        <v>6412</v>
      </c>
      <c r="C1336" s="328">
        <v>45544</v>
      </c>
      <c r="D1336" s="329" t="s">
        <v>4714</v>
      </c>
      <c r="E1336" s="272" t="s">
        <v>3193</v>
      </c>
      <c r="F1336" s="272" t="s">
        <v>4715</v>
      </c>
      <c r="G1336" s="272" t="s">
        <v>4716</v>
      </c>
      <c r="H1336" s="268" t="str">
        <f t="shared" si="7"/>
        <v>JAIME MARTÍN CARRANZA</v>
      </c>
      <c r="I1336" s="272" t="s">
        <v>6342</v>
      </c>
      <c r="J1336" s="272" t="s">
        <v>4718</v>
      </c>
      <c r="K1336" s="272" t="s">
        <v>6515</v>
      </c>
      <c r="L1336" s="330">
        <v>45587</v>
      </c>
      <c r="M1336" s="283"/>
      <c r="N1336" s="331">
        <v>2</v>
      </c>
      <c r="O1336" s="332" t="s">
        <v>4720</v>
      </c>
      <c r="P1336" s="333">
        <v>3710</v>
      </c>
      <c r="Q1336" s="334">
        <v>45544</v>
      </c>
      <c r="R1336" s="272"/>
      <c r="S1336" s="272"/>
      <c r="T1336" s="272"/>
      <c r="U1336" s="272"/>
      <c r="V1336" s="272"/>
      <c r="W1336" s="272"/>
      <c r="X1336" s="272"/>
      <c r="Y1336" s="272"/>
      <c r="Z1336" s="272"/>
      <c r="AA1336" s="272"/>
    </row>
    <row r="1337" spans="1:27">
      <c r="A1337" s="326">
        <v>10</v>
      </c>
      <c r="B1337" s="327" t="s">
        <v>6412</v>
      </c>
      <c r="C1337" s="328">
        <v>45555</v>
      </c>
      <c r="D1337" s="329" t="s">
        <v>4714</v>
      </c>
      <c r="E1337" s="272" t="s">
        <v>3193</v>
      </c>
      <c r="F1337" s="272" t="s">
        <v>4715</v>
      </c>
      <c r="G1337" s="272" t="s">
        <v>4716</v>
      </c>
      <c r="H1337" s="268" t="str">
        <f t="shared" si="7"/>
        <v>MARÍA SANTILLÁN SÁNCHEZ</v>
      </c>
      <c r="I1337" s="272" t="s">
        <v>4767</v>
      </c>
      <c r="J1337" s="272" t="s">
        <v>4718</v>
      </c>
      <c r="K1337" s="272" t="s">
        <v>6516</v>
      </c>
      <c r="L1337" s="330">
        <v>45587</v>
      </c>
      <c r="M1337" s="283"/>
      <c r="N1337" s="331">
        <v>2</v>
      </c>
      <c r="O1337" s="332" t="s">
        <v>4720</v>
      </c>
      <c r="P1337" s="333">
        <v>3846.36</v>
      </c>
      <c r="Q1337" s="334">
        <v>45555</v>
      </c>
      <c r="R1337" s="272"/>
      <c r="S1337" s="272"/>
      <c r="T1337" s="272"/>
      <c r="U1337" s="272"/>
      <c r="V1337" s="272"/>
      <c r="W1337" s="272"/>
      <c r="X1337" s="272"/>
      <c r="Y1337" s="272"/>
      <c r="Z1337" s="272"/>
      <c r="AA1337" s="272"/>
    </row>
    <row r="1338" spans="1:27">
      <c r="A1338" s="326">
        <v>10</v>
      </c>
      <c r="B1338" s="327" t="s">
        <v>6412</v>
      </c>
      <c r="C1338" s="335">
        <v>45083</v>
      </c>
      <c r="D1338" s="329" t="s">
        <v>4714</v>
      </c>
      <c r="E1338" s="272" t="s">
        <v>3193</v>
      </c>
      <c r="F1338" s="272" t="s">
        <v>4715</v>
      </c>
      <c r="G1338" s="272" t="s">
        <v>4716</v>
      </c>
      <c r="H1338" s="268" t="str">
        <f t="shared" si="7"/>
        <v>JOSE JOAQUÍN GUTIÉRREZ BARQUÍN</v>
      </c>
      <c r="I1338" s="272" t="s">
        <v>4990</v>
      </c>
      <c r="J1338" s="272" t="s">
        <v>4718</v>
      </c>
      <c r="K1338" s="272" t="s">
        <v>6517</v>
      </c>
      <c r="L1338" s="330">
        <v>45587</v>
      </c>
      <c r="M1338" s="283"/>
      <c r="N1338" s="331">
        <v>2</v>
      </c>
      <c r="O1338" s="332" t="s">
        <v>4720</v>
      </c>
      <c r="P1338" s="333">
        <v>3604.55</v>
      </c>
      <c r="Q1338" s="315">
        <v>45083</v>
      </c>
      <c r="R1338" s="272"/>
      <c r="S1338" s="272"/>
      <c r="T1338" s="272"/>
      <c r="U1338" s="272"/>
      <c r="V1338" s="272"/>
      <c r="W1338" s="272"/>
      <c r="X1338" s="272"/>
      <c r="Y1338" s="272"/>
      <c r="Z1338" s="272"/>
      <c r="AA1338" s="272"/>
    </row>
    <row r="1339" spans="1:27">
      <c r="A1339" s="326">
        <v>10</v>
      </c>
      <c r="B1339" s="327" t="s">
        <v>6412</v>
      </c>
      <c r="C1339" s="328">
        <v>45523</v>
      </c>
      <c r="D1339" s="329" t="s">
        <v>4714</v>
      </c>
      <c r="E1339" s="272" t="s">
        <v>2935</v>
      </c>
      <c r="F1339" s="272" t="s">
        <v>4715</v>
      </c>
      <c r="G1339" s="272" t="s">
        <v>4716</v>
      </c>
      <c r="H1339" s="268" t="str">
        <f t="shared" si="7"/>
        <v>ÁLVARO CARRILLO SOTOS</v>
      </c>
      <c r="I1339" s="272" t="s">
        <v>6518</v>
      </c>
      <c r="J1339" s="272" t="s">
        <v>4718</v>
      </c>
      <c r="K1339" s="272" t="s">
        <v>6519</v>
      </c>
      <c r="L1339" s="330">
        <v>45587</v>
      </c>
      <c r="M1339" s="283"/>
      <c r="N1339" s="331">
        <v>2</v>
      </c>
      <c r="O1339" s="332" t="s">
        <v>5814</v>
      </c>
      <c r="P1339" s="333">
        <v>3800</v>
      </c>
      <c r="Q1339" s="334">
        <v>45523</v>
      </c>
      <c r="R1339" s="272"/>
      <c r="S1339" s="272"/>
      <c r="T1339" s="272"/>
      <c r="U1339" s="272"/>
      <c r="V1339" s="272"/>
      <c r="W1339" s="272"/>
      <c r="X1339" s="272"/>
      <c r="Y1339" s="272"/>
      <c r="Z1339" s="272"/>
      <c r="AA1339" s="272"/>
    </row>
    <row r="1340" spans="1:27">
      <c r="A1340" s="326">
        <v>10</v>
      </c>
      <c r="B1340" s="327" t="s">
        <v>6412</v>
      </c>
      <c r="C1340" s="328">
        <v>45568</v>
      </c>
      <c r="D1340" s="329" t="s">
        <v>4714</v>
      </c>
      <c r="E1340" s="272" t="s">
        <v>3605</v>
      </c>
      <c r="F1340" s="272" t="s">
        <v>4715</v>
      </c>
      <c r="G1340" s="272" t="s">
        <v>4716</v>
      </c>
      <c r="H1340" s="268" t="str">
        <f t="shared" si="7"/>
        <v>JULIO LÓPEZ MOYA</v>
      </c>
      <c r="I1340" s="272" t="s">
        <v>4778</v>
      </c>
      <c r="J1340" s="272" t="s">
        <v>4718</v>
      </c>
      <c r="K1340" s="272" t="s">
        <v>6520</v>
      </c>
      <c r="L1340" s="330">
        <v>45587</v>
      </c>
      <c r="M1340" s="283"/>
      <c r="N1340" s="331">
        <v>2</v>
      </c>
      <c r="O1340" s="332" t="s">
        <v>5814</v>
      </c>
      <c r="P1340" s="333">
        <v>4000</v>
      </c>
      <c r="Q1340" s="334">
        <v>45568</v>
      </c>
      <c r="R1340" s="272"/>
      <c r="S1340" s="272"/>
      <c r="T1340" s="272"/>
      <c r="U1340" s="272"/>
      <c r="V1340" s="272"/>
      <c r="W1340" s="272"/>
      <c r="X1340" s="272"/>
      <c r="Y1340" s="272"/>
      <c r="Z1340" s="272"/>
      <c r="AA1340" s="272"/>
    </row>
    <row r="1341" spans="1:27">
      <c r="A1341" s="326">
        <v>10</v>
      </c>
      <c r="B1341" s="327" t="s">
        <v>6412</v>
      </c>
      <c r="C1341" s="328">
        <v>45553</v>
      </c>
      <c r="D1341" s="329" t="s">
        <v>4714</v>
      </c>
      <c r="E1341" s="272" t="s">
        <v>2900</v>
      </c>
      <c r="F1341" s="272" t="s">
        <v>4715</v>
      </c>
      <c r="G1341" s="272" t="s">
        <v>4716</v>
      </c>
      <c r="H1341" s="268" t="str">
        <f t="shared" si="7"/>
        <v>MARÍA REY MARCOS</v>
      </c>
      <c r="I1341" s="272" t="s">
        <v>4952</v>
      </c>
      <c r="J1341" s="272" t="s">
        <v>4790</v>
      </c>
      <c r="K1341" s="272" t="s">
        <v>6521</v>
      </c>
      <c r="L1341" s="330">
        <v>45587</v>
      </c>
      <c r="M1341" s="283"/>
      <c r="N1341" s="331">
        <v>2</v>
      </c>
      <c r="O1341" s="332" t="s">
        <v>4740</v>
      </c>
      <c r="P1341" s="333">
        <v>4000</v>
      </c>
      <c r="Q1341" s="334">
        <v>45553</v>
      </c>
      <c r="R1341" s="272"/>
      <c r="S1341" s="272"/>
      <c r="T1341" s="272"/>
      <c r="U1341" s="272"/>
      <c r="V1341" s="272"/>
      <c r="W1341" s="272"/>
      <c r="X1341" s="272"/>
      <c r="Y1341" s="272"/>
      <c r="Z1341" s="272"/>
      <c r="AA1341" s="272"/>
    </row>
    <row r="1342" spans="1:27">
      <c r="A1342" s="326">
        <v>10</v>
      </c>
      <c r="B1342" s="327" t="s">
        <v>6412</v>
      </c>
      <c r="C1342" s="328">
        <v>45498</v>
      </c>
      <c r="D1342" s="329" t="s">
        <v>4714</v>
      </c>
      <c r="E1342" s="272" t="s">
        <v>2921</v>
      </c>
      <c r="F1342" s="272" t="s">
        <v>4715</v>
      </c>
      <c r="G1342" s="272" t="s">
        <v>4716</v>
      </c>
      <c r="H1342" s="268" t="str">
        <f t="shared" si="7"/>
        <v>CELIA LÓPEZ MOLLA</v>
      </c>
      <c r="I1342" s="272" t="s">
        <v>6000</v>
      </c>
      <c r="J1342" s="272" t="s">
        <v>4910</v>
      </c>
      <c r="K1342" s="272" t="s">
        <v>6522</v>
      </c>
      <c r="L1342" s="330">
        <v>45587</v>
      </c>
      <c r="M1342" s="283"/>
      <c r="N1342" s="331">
        <v>2</v>
      </c>
      <c r="O1342" s="332" t="s">
        <v>5814</v>
      </c>
      <c r="P1342" s="333">
        <v>3800</v>
      </c>
      <c r="Q1342" s="334">
        <v>45498</v>
      </c>
      <c r="R1342" s="272"/>
      <c r="S1342" s="272"/>
      <c r="T1342" s="272"/>
      <c r="U1342" s="272"/>
      <c r="V1342" s="272"/>
      <c r="W1342" s="272"/>
      <c r="X1342" s="272"/>
      <c r="Y1342" s="272"/>
      <c r="Z1342" s="272"/>
      <c r="AA1342" s="272"/>
    </row>
    <row r="1343" spans="1:27">
      <c r="A1343" s="326">
        <v>10</v>
      </c>
      <c r="B1343" s="327" t="s">
        <v>6412</v>
      </c>
      <c r="C1343" s="328">
        <v>45554</v>
      </c>
      <c r="D1343" s="329" t="s">
        <v>4714</v>
      </c>
      <c r="E1343" s="272" t="s">
        <v>2921</v>
      </c>
      <c r="F1343" s="272" t="s">
        <v>4715</v>
      </c>
      <c r="G1343" s="272" t="s">
        <v>4716</v>
      </c>
      <c r="H1343" s="268" t="str">
        <f t="shared" si="7"/>
        <v>VANESA PÉREZ GUILLÉN</v>
      </c>
      <c r="I1343" s="272" t="s">
        <v>6123</v>
      </c>
      <c r="J1343" s="272" t="s">
        <v>4910</v>
      </c>
      <c r="K1343" s="272" t="s">
        <v>6523</v>
      </c>
      <c r="L1343" s="330">
        <v>45587</v>
      </c>
      <c r="M1343" s="283"/>
      <c r="N1343" s="331">
        <v>2</v>
      </c>
      <c r="O1343" s="332" t="s">
        <v>5814</v>
      </c>
      <c r="P1343" s="333">
        <v>4000</v>
      </c>
      <c r="Q1343" s="334">
        <v>45554</v>
      </c>
      <c r="R1343" s="272"/>
      <c r="S1343" s="272"/>
      <c r="T1343" s="272"/>
      <c r="U1343" s="272"/>
      <c r="V1343" s="272"/>
      <c r="W1343" s="272"/>
      <c r="X1343" s="272"/>
      <c r="Y1343" s="272"/>
      <c r="Z1343" s="272"/>
      <c r="AA1343" s="272"/>
    </row>
    <row r="1344" spans="1:27">
      <c r="A1344" s="326">
        <v>10</v>
      </c>
      <c r="B1344" s="327" t="s">
        <v>6412</v>
      </c>
      <c r="C1344" s="328">
        <v>45565</v>
      </c>
      <c r="D1344" s="329" t="s">
        <v>4714</v>
      </c>
      <c r="E1344" s="272" t="s">
        <v>2921</v>
      </c>
      <c r="F1344" s="272" t="s">
        <v>4715</v>
      </c>
      <c r="G1344" s="272" t="s">
        <v>4716</v>
      </c>
      <c r="H1344" s="268" t="str">
        <f t="shared" si="7"/>
        <v>LUÍS MARTÍNEZ BERNABEU</v>
      </c>
      <c r="I1344" s="272" t="s">
        <v>4757</v>
      </c>
      <c r="J1344" s="272" t="s">
        <v>4910</v>
      </c>
      <c r="K1344" s="272" t="s">
        <v>6524</v>
      </c>
      <c r="L1344" s="330">
        <v>45587</v>
      </c>
      <c r="M1344" s="283"/>
      <c r="N1344" s="331">
        <v>2</v>
      </c>
      <c r="O1344" s="332" t="s">
        <v>4720</v>
      </c>
      <c r="P1344" s="333">
        <v>3524.5</v>
      </c>
      <c r="Q1344" s="334">
        <v>45565</v>
      </c>
      <c r="R1344" s="272"/>
      <c r="S1344" s="272"/>
      <c r="T1344" s="272"/>
      <c r="U1344" s="272"/>
      <c r="V1344" s="272"/>
      <c r="W1344" s="272"/>
      <c r="X1344" s="272"/>
      <c r="Y1344" s="272"/>
      <c r="Z1344" s="272"/>
      <c r="AA1344" s="272"/>
    </row>
    <row r="1345" spans="1:27">
      <c r="A1345" s="273">
        <v>10</v>
      </c>
      <c r="B1345" s="274" t="s">
        <v>6412</v>
      </c>
      <c r="C1345" s="314">
        <v>45558</v>
      </c>
      <c r="D1345" s="274" t="s">
        <v>4714</v>
      </c>
      <c r="E1345" s="268" t="s">
        <v>3480</v>
      </c>
      <c r="F1345" s="272" t="s">
        <v>4715</v>
      </c>
      <c r="G1345" s="268" t="s">
        <v>4716</v>
      </c>
      <c r="H1345" s="268" t="str">
        <f t="shared" si="7"/>
        <v>ITHZEL MARIA VILLARREAL PATIÑO</v>
      </c>
      <c r="I1345" s="268" t="s">
        <v>4765</v>
      </c>
      <c r="J1345" s="272" t="s">
        <v>4718</v>
      </c>
      <c r="K1345" s="268" t="s">
        <v>6525</v>
      </c>
      <c r="L1345" s="287">
        <v>45588</v>
      </c>
      <c r="M1345" s="283"/>
      <c r="N1345" s="282">
        <v>2</v>
      </c>
      <c r="O1345" s="284" t="s">
        <v>5814</v>
      </c>
      <c r="P1345" s="280">
        <v>4000</v>
      </c>
      <c r="Q1345" s="315">
        <v>45558</v>
      </c>
      <c r="R1345" s="272"/>
      <c r="S1345" s="272"/>
      <c r="T1345" s="272"/>
      <c r="U1345" s="272"/>
      <c r="V1345" s="272"/>
      <c r="W1345" s="272"/>
      <c r="X1345" s="272"/>
      <c r="Y1345" s="272"/>
      <c r="Z1345" s="272"/>
      <c r="AA1345" s="272"/>
    </row>
    <row r="1346" spans="1:27">
      <c r="A1346" s="273">
        <v>10</v>
      </c>
      <c r="B1346" s="274" t="s">
        <v>6412</v>
      </c>
      <c r="C1346" s="314">
        <v>45540</v>
      </c>
      <c r="D1346" s="274" t="s">
        <v>4714</v>
      </c>
      <c r="E1346" s="268" t="s">
        <v>5321</v>
      </c>
      <c r="F1346" s="272" t="s">
        <v>4715</v>
      </c>
      <c r="G1346" s="268" t="s">
        <v>4716</v>
      </c>
      <c r="H1346" s="268" t="str">
        <f t="shared" si="7"/>
        <v>JORDI LLUANSI PANELLA</v>
      </c>
      <c r="I1346" s="268" t="s">
        <v>5322</v>
      </c>
      <c r="J1346" s="272" t="s">
        <v>4806</v>
      </c>
      <c r="K1346" s="268" t="s">
        <v>6526</v>
      </c>
      <c r="L1346" s="287">
        <v>45588</v>
      </c>
      <c r="M1346" s="283"/>
      <c r="N1346" s="282">
        <v>1</v>
      </c>
      <c r="O1346" s="284" t="s">
        <v>4723</v>
      </c>
      <c r="P1346" s="280">
        <v>1550</v>
      </c>
      <c r="Q1346" s="315">
        <v>45540</v>
      </c>
      <c r="R1346" s="272"/>
      <c r="S1346" s="272"/>
      <c r="T1346" s="272"/>
      <c r="U1346" s="272"/>
      <c r="V1346" s="272"/>
      <c r="W1346" s="272"/>
      <c r="X1346" s="272"/>
      <c r="Y1346" s="272"/>
      <c r="Z1346" s="272"/>
      <c r="AA1346" s="272"/>
    </row>
    <row r="1347" spans="1:27">
      <c r="A1347" s="326">
        <v>10</v>
      </c>
      <c r="B1347" s="327" t="s">
        <v>6412</v>
      </c>
      <c r="C1347" s="328">
        <v>45576</v>
      </c>
      <c r="D1347" s="329" t="s">
        <v>4714</v>
      </c>
      <c r="E1347" s="272" t="s">
        <v>5130</v>
      </c>
      <c r="F1347" s="272" t="s">
        <v>4715</v>
      </c>
      <c r="G1347" s="272" t="s">
        <v>4716</v>
      </c>
      <c r="H1347" s="268" t="str">
        <f t="shared" si="7"/>
        <v>RAFAEL PÉREZ GONZÁLEZ</v>
      </c>
      <c r="I1347" s="272" t="s">
        <v>5687</v>
      </c>
      <c r="J1347" s="272" t="s">
        <v>4747</v>
      </c>
      <c r="K1347" s="272" t="s">
        <v>6527</v>
      </c>
      <c r="L1347" s="330">
        <v>45588</v>
      </c>
      <c r="M1347" s="283"/>
      <c r="N1347" s="331">
        <v>2</v>
      </c>
      <c r="O1347" s="332" t="s">
        <v>4787</v>
      </c>
      <c r="P1347" s="333">
        <v>5022.7299999999996</v>
      </c>
      <c r="Q1347" s="334">
        <v>45576</v>
      </c>
      <c r="R1347" s="272"/>
      <c r="S1347" s="272"/>
      <c r="T1347" s="272"/>
      <c r="U1347" s="272"/>
      <c r="V1347" s="272"/>
      <c r="W1347" s="272"/>
      <c r="X1347" s="272"/>
      <c r="Y1347" s="272"/>
      <c r="Z1347" s="272"/>
      <c r="AA1347" s="272"/>
    </row>
    <row r="1348" spans="1:27">
      <c r="A1348" s="273">
        <v>10</v>
      </c>
      <c r="B1348" s="274" t="s">
        <v>6412</v>
      </c>
      <c r="C1348" s="314">
        <v>45581</v>
      </c>
      <c r="D1348" s="274" t="s">
        <v>4714</v>
      </c>
      <c r="E1348" s="268" t="s">
        <v>4820</v>
      </c>
      <c r="F1348" s="272" t="s">
        <v>4715</v>
      </c>
      <c r="G1348" s="268" t="s">
        <v>4716</v>
      </c>
      <c r="H1348" s="268" t="str">
        <f t="shared" si="7"/>
        <v>RAED MAQUED EL MAQUED</v>
      </c>
      <c r="I1348" s="268" t="s">
        <v>4821</v>
      </c>
      <c r="J1348" s="272" t="s">
        <v>4822</v>
      </c>
      <c r="K1348" s="268" t="s">
        <v>6528</v>
      </c>
      <c r="L1348" s="287">
        <v>45589</v>
      </c>
      <c r="M1348" s="283"/>
      <c r="N1348" s="282">
        <v>2</v>
      </c>
      <c r="O1348" s="284" t="s">
        <v>4740</v>
      </c>
      <c r="P1348" s="280">
        <v>4000</v>
      </c>
      <c r="Q1348" s="315">
        <v>45581</v>
      </c>
      <c r="R1348" s="272"/>
      <c r="S1348" s="272"/>
      <c r="T1348" s="272"/>
      <c r="U1348" s="272"/>
      <c r="V1348" s="272"/>
      <c r="W1348" s="272"/>
      <c r="X1348" s="272"/>
      <c r="Y1348" s="272"/>
      <c r="Z1348" s="272"/>
      <c r="AA1348" s="272"/>
    </row>
    <row r="1349" spans="1:27">
      <c r="A1349" s="273">
        <v>10</v>
      </c>
      <c r="B1349" s="274" t="s">
        <v>6412</v>
      </c>
      <c r="C1349" s="314">
        <v>45567</v>
      </c>
      <c r="D1349" s="274" t="s">
        <v>4714</v>
      </c>
      <c r="E1349" s="268" t="s">
        <v>3480</v>
      </c>
      <c r="F1349" s="272" t="s">
        <v>4715</v>
      </c>
      <c r="G1349" s="268" t="s">
        <v>4716</v>
      </c>
      <c r="H1349" s="268" t="str">
        <f t="shared" si="7"/>
        <v>MARÍA GABRIELA BOSCO MORALES</v>
      </c>
      <c r="I1349" s="268" t="s">
        <v>6529</v>
      </c>
      <c r="J1349" s="272" t="s">
        <v>4718</v>
      </c>
      <c r="K1349" s="268" t="s">
        <v>6530</v>
      </c>
      <c r="L1349" s="287">
        <v>45589</v>
      </c>
      <c r="M1349" s="283"/>
      <c r="N1349" s="282">
        <v>2</v>
      </c>
      <c r="O1349" s="284" t="s">
        <v>4720</v>
      </c>
      <c r="P1349" s="280">
        <v>3710</v>
      </c>
      <c r="Q1349" s="315">
        <v>45567</v>
      </c>
      <c r="R1349" s="272"/>
      <c r="S1349" s="272"/>
      <c r="T1349" s="272"/>
      <c r="U1349" s="272"/>
      <c r="V1349" s="272"/>
      <c r="W1349" s="272"/>
      <c r="X1349" s="272"/>
      <c r="Y1349" s="272"/>
      <c r="Z1349" s="272"/>
      <c r="AA1349" s="272"/>
    </row>
    <row r="1350" spans="1:27">
      <c r="A1350" s="273">
        <v>10</v>
      </c>
      <c r="B1350" s="274" t="s">
        <v>6412</v>
      </c>
      <c r="C1350" s="314">
        <v>45540</v>
      </c>
      <c r="D1350" s="274" t="s">
        <v>4714</v>
      </c>
      <c r="E1350" s="268" t="s">
        <v>2880</v>
      </c>
      <c r="F1350" s="272" t="s">
        <v>4715</v>
      </c>
      <c r="G1350" s="268" t="s">
        <v>4716</v>
      </c>
      <c r="H1350" s="268" t="str">
        <f t="shared" si="7"/>
        <v>ESTHER MONTIEL DIEZ</v>
      </c>
      <c r="I1350" s="268" t="s">
        <v>5382</v>
      </c>
      <c r="J1350" s="272" t="s">
        <v>4718</v>
      </c>
      <c r="K1350" s="268" t="s">
        <v>6531</v>
      </c>
      <c r="L1350" s="287">
        <v>45589</v>
      </c>
      <c r="M1350" s="283"/>
      <c r="N1350" s="282">
        <v>2</v>
      </c>
      <c r="O1350" s="284" t="s">
        <v>5814</v>
      </c>
      <c r="P1350" s="280">
        <v>3800</v>
      </c>
      <c r="Q1350" s="315">
        <v>45540</v>
      </c>
      <c r="R1350" s="272"/>
      <c r="S1350" s="272"/>
      <c r="T1350" s="272"/>
      <c r="U1350" s="272"/>
      <c r="V1350" s="272"/>
      <c r="W1350" s="272"/>
      <c r="X1350" s="272"/>
      <c r="Y1350" s="272"/>
      <c r="Z1350" s="272"/>
      <c r="AA1350" s="272"/>
    </row>
    <row r="1351" spans="1:27">
      <c r="A1351" s="326">
        <v>10</v>
      </c>
      <c r="B1351" s="327" t="s">
        <v>6412</v>
      </c>
      <c r="C1351" s="328">
        <v>45525</v>
      </c>
      <c r="D1351" s="329" t="s">
        <v>4714</v>
      </c>
      <c r="E1351" s="272" t="s">
        <v>4775</v>
      </c>
      <c r="F1351" s="272" t="s">
        <v>4715</v>
      </c>
      <c r="G1351" s="272" t="s">
        <v>4716</v>
      </c>
      <c r="H1351" s="268" t="str">
        <f t="shared" si="7"/>
        <v>ESTRELLA GÓMEZ TOMÉ</v>
      </c>
      <c r="I1351" s="272" t="s">
        <v>5904</v>
      </c>
      <c r="J1351" s="272" t="s">
        <v>4822</v>
      </c>
      <c r="K1351" s="272" t="s">
        <v>6532</v>
      </c>
      <c r="L1351" s="330">
        <v>45589</v>
      </c>
      <c r="M1351" s="283"/>
      <c r="N1351" s="331">
        <v>1</v>
      </c>
      <c r="O1351" s="332" t="s">
        <v>4720</v>
      </c>
      <c r="P1351" s="333">
        <v>1818.18</v>
      </c>
      <c r="Q1351" s="334">
        <v>45525</v>
      </c>
      <c r="R1351" s="272"/>
      <c r="S1351" s="272"/>
      <c r="T1351" s="272"/>
      <c r="U1351" s="272"/>
      <c r="V1351" s="272"/>
      <c r="W1351" s="272"/>
      <c r="X1351" s="272"/>
      <c r="Y1351" s="272"/>
      <c r="Z1351" s="272"/>
      <c r="AA1351" s="272"/>
    </row>
    <row r="1352" spans="1:27">
      <c r="A1352" s="326">
        <v>10</v>
      </c>
      <c r="B1352" s="327" t="s">
        <v>6412</v>
      </c>
      <c r="C1352" s="335">
        <v>45566</v>
      </c>
      <c r="D1352" s="337" t="s">
        <v>4714</v>
      </c>
      <c r="E1352" s="272" t="s">
        <v>4775</v>
      </c>
      <c r="F1352" s="272" t="s">
        <v>4715</v>
      </c>
      <c r="G1352" s="272" t="s">
        <v>4716</v>
      </c>
      <c r="H1352" s="268" t="str">
        <f t="shared" si="7"/>
        <v>CRISTINA IBAÑEZ MUÑOZ</v>
      </c>
      <c r="I1352" s="272" t="s">
        <v>5112</v>
      </c>
      <c r="J1352" s="272" t="s">
        <v>4822</v>
      </c>
      <c r="K1352" s="272" t="s">
        <v>6533</v>
      </c>
      <c r="L1352" s="330">
        <v>45589</v>
      </c>
      <c r="M1352" s="283"/>
      <c r="N1352" s="331">
        <v>2</v>
      </c>
      <c r="O1352" s="332" t="s">
        <v>4720</v>
      </c>
      <c r="P1352" s="333">
        <v>3454.55</v>
      </c>
      <c r="Q1352" s="315">
        <v>45566</v>
      </c>
      <c r="R1352" s="272"/>
      <c r="S1352" s="272"/>
      <c r="T1352" s="272"/>
      <c r="U1352" s="272"/>
      <c r="V1352" s="272"/>
      <c r="W1352" s="272"/>
      <c r="X1352" s="272"/>
      <c r="Y1352" s="272"/>
      <c r="Z1352" s="272"/>
      <c r="AA1352" s="272"/>
    </row>
    <row r="1353" spans="1:27">
      <c r="A1353" s="326">
        <v>10</v>
      </c>
      <c r="B1353" s="327" t="s">
        <v>6412</v>
      </c>
      <c r="C1353" s="328">
        <v>45531</v>
      </c>
      <c r="D1353" s="329" t="s">
        <v>4714</v>
      </c>
      <c r="E1353" s="272" t="s">
        <v>3605</v>
      </c>
      <c r="F1353" s="272" t="s">
        <v>4715</v>
      </c>
      <c r="G1353" s="272" t="s">
        <v>4716</v>
      </c>
      <c r="H1353" s="268" t="str">
        <f t="shared" si="7"/>
        <v>ESTEBAN SCOLA PLIEGO</v>
      </c>
      <c r="I1353" s="272" t="s">
        <v>5010</v>
      </c>
      <c r="J1353" s="272" t="s">
        <v>4718</v>
      </c>
      <c r="K1353" s="272" t="s">
        <v>6534</v>
      </c>
      <c r="L1353" s="330">
        <v>45589</v>
      </c>
      <c r="M1353" s="283"/>
      <c r="N1353" s="331">
        <v>2</v>
      </c>
      <c r="O1353" s="332" t="s">
        <v>5814</v>
      </c>
      <c r="P1353" s="333">
        <v>4000</v>
      </c>
      <c r="Q1353" s="334">
        <v>45531</v>
      </c>
      <c r="R1353" s="272"/>
      <c r="S1353" s="272"/>
      <c r="T1353" s="272"/>
      <c r="U1353" s="272"/>
      <c r="V1353" s="272"/>
      <c r="W1353" s="272"/>
      <c r="X1353" s="272"/>
      <c r="Y1353" s="272"/>
      <c r="Z1353" s="272"/>
      <c r="AA1353" s="272"/>
    </row>
    <row r="1354" spans="1:27">
      <c r="A1354" s="326">
        <v>10</v>
      </c>
      <c r="B1354" s="327" t="s">
        <v>6412</v>
      </c>
      <c r="C1354" s="328">
        <v>45512</v>
      </c>
      <c r="D1354" s="329" t="s">
        <v>4714</v>
      </c>
      <c r="E1354" s="272" t="s">
        <v>2869</v>
      </c>
      <c r="F1354" s="272" t="s">
        <v>4715</v>
      </c>
      <c r="G1354" s="272" t="s">
        <v>4716</v>
      </c>
      <c r="H1354" s="268" t="str">
        <f t="shared" si="7"/>
        <v>MARÍA AGUSTINA SEVILLA GARCÍA</v>
      </c>
      <c r="I1354" s="272" t="s">
        <v>4812</v>
      </c>
      <c r="J1354" s="272" t="s">
        <v>4736</v>
      </c>
      <c r="K1354" s="272" t="s">
        <v>6535</v>
      </c>
      <c r="L1354" s="330">
        <v>45589</v>
      </c>
      <c r="M1354" s="283"/>
      <c r="N1354" s="331">
        <v>2</v>
      </c>
      <c r="O1354" s="332" t="s">
        <v>4723</v>
      </c>
      <c r="P1354" s="333">
        <v>1736.36</v>
      </c>
      <c r="Q1354" s="334">
        <v>45512</v>
      </c>
      <c r="R1354" s="272"/>
      <c r="S1354" s="272"/>
      <c r="T1354" s="272"/>
      <c r="U1354" s="272"/>
      <c r="V1354" s="272"/>
      <c r="W1354" s="272"/>
      <c r="X1354" s="272"/>
      <c r="Y1354" s="272"/>
      <c r="Z1354" s="272"/>
      <c r="AA1354" s="272"/>
    </row>
    <row r="1355" spans="1:27">
      <c r="A1355" s="326">
        <v>10</v>
      </c>
      <c r="B1355" s="327" t="s">
        <v>6412</v>
      </c>
      <c r="C1355" s="328">
        <v>45547</v>
      </c>
      <c r="D1355" s="329" t="s">
        <v>4714</v>
      </c>
      <c r="E1355" s="272" t="s">
        <v>4799</v>
      </c>
      <c r="F1355" s="272" t="s">
        <v>4715</v>
      </c>
      <c r="G1355" s="272" t="s">
        <v>4716</v>
      </c>
      <c r="H1355" s="268" t="str">
        <f t="shared" si="7"/>
        <v>MANUEL ESTEVEZ GARCÍA</v>
      </c>
      <c r="I1355" s="272" t="s">
        <v>5683</v>
      </c>
      <c r="J1355" s="272" t="s">
        <v>4790</v>
      </c>
      <c r="K1355" s="272" t="s">
        <v>6536</v>
      </c>
      <c r="L1355" s="330">
        <v>45589</v>
      </c>
      <c r="M1355" s="283"/>
      <c r="N1355" s="331">
        <v>2</v>
      </c>
      <c r="O1355" s="332" t="s">
        <v>4720</v>
      </c>
      <c r="P1355" s="333">
        <v>3454.55</v>
      </c>
      <c r="Q1355" s="334">
        <v>45547</v>
      </c>
      <c r="R1355" s="272"/>
      <c r="S1355" s="272"/>
      <c r="T1355" s="272"/>
      <c r="U1355" s="272"/>
      <c r="V1355" s="272"/>
      <c r="W1355" s="272"/>
      <c r="X1355" s="272"/>
      <c r="Y1355" s="272"/>
      <c r="Z1355" s="272"/>
      <c r="AA1355" s="272"/>
    </row>
    <row r="1356" spans="1:27">
      <c r="A1356" s="326">
        <v>10</v>
      </c>
      <c r="B1356" s="327" t="s">
        <v>6412</v>
      </c>
      <c r="C1356" s="328">
        <v>45565</v>
      </c>
      <c r="D1356" s="329" t="s">
        <v>4714</v>
      </c>
      <c r="E1356" s="268" t="s">
        <v>4799</v>
      </c>
      <c r="F1356" s="268" t="s">
        <v>4715</v>
      </c>
      <c r="G1356" s="268" t="s">
        <v>4716</v>
      </c>
      <c r="H1356" s="268" t="str">
        <f t="shared" si="7"/>
        <v>OLALLA CASTRO MACIA</v>
      </c>
      <c r="I1356" s="268" t="s">
        <v>6537</v>
      </c>
      <c r="J1356" s="268" t="s">
        <v>4790</v>
      </c>
      <c r="K1356" s="268" t="s">
        <v>6538</v>
      </c>
      <c r="L1356" s="287">
        <v>45589</v>
      </c>
      <c r="M1356" s="283"/>
      <c r="N1356" s="282">
        <v>2</v>
      </c>
      <c r="O1356" s="284" t="s">
        <v>4723</v>
      </c>
      <c r="P1356" s="280">
        <v>772.73</v>
      </c>
      <c r="Q1356" s="287">
        <v>45565</v>
      </c>
      <c r="R1356" s="272"/>
      <c r="S1356" s="272"/>
      <c r="T1356" s="272"/>
      <c r="U1356" s="272"/>
      <c r="V1356" s="272"/>
      <c r="W1356" s="272"/>
      <c r="X1356" s="272"/>
      <c r="Y1356" s="272"/>
      <c r="Z1356" s="272"/>
      <c r="AA1356" s="272"/>
    </row>
    <row r="1357" spans="1:27">
      <c r="A1357" s="273">
        <v>10</v>
      </c>
      <c r="B1357" s="274" t="s">
        <v>6412</v>
      </c>
      <c r="C1357" s="314">
        <v>45397</v>
      </c>
      <c r="D1357" s="274" t="s">
        <v>4714</v>
      </c>
      <c r="E1357" s="268" t="s">
        <v>4734</v>
      </c>
      <c r="F1357" s="272" t="s">
        <v>4715</v>
      </c>
      <c r="G1357" s="268" t="s">
        <v>4716</v>
      </c>
      <c r="H1357" s="268" t="str">
        <f t="shared" si="7"/>
        <v>ISABEL POLO TOMÁS</v>
      </c>
      <c r="I1357" s="268" t="s">
        <v>4912</v>
      </c>
      <c r="J1357" s="272" t="s">
        <v>4736</v>
      </c>
      <c r="K1357" s="268" t="s">
        <v>6539</v>
      </c>
      <c r="L1357" s="287">
        <v>45590</v>
      </c>
      <c r="M1357" s="283"/>
      <c r="N1357" s="282">
        <v>2</v>
      </c>
      <c r="O1357" s="284" t="s">
        <v>4740</v>
      </c>
      <c r="P1357" s="280">
        <v>4000</v>
      </c>
      <c r="Q1357" s="315">
        <v>45397</v>
      </c>
      <c r="R1357" s="272"/>
      <c r="S1357" s="272"/>
      <c r="T1357" s="272"/>
      <c r="U1357" s="272"/>
      <c r="V1357" s="272"/>
      <c r="W1357" s="272"/>
      <c r="X1357" s="272"/>
      <c r="Y1357" s="272"/>
      <c r="Z1357" s="272"/>
      <c r="AA1357" s="272"/>
    </row>
    <row r="1358" spans="1:27">
      <c r="A1358" s="273">
        <v>10</v>
      </c>
      <c r="B1358" s="274" t="s">
        <v>6412</v>
      </c>
      <c r="C1358" s="314">
        <v>45562</v>
      </c>
      <c r="D1358" s="274" t="s">
        <v>4714</v>
      </c>
      <c r="E1358" s="268" t="s">
        <v>3218</v>
      </c>
      <c r="F1358" s="272" t="s">
        <v>4715</v>
      </c>
      <c r="G1358" s="268" t="s">
        <v>4716</v>
      </c>
      <c r="H1358" s="268" t="str">
        <f t="shared" si="7"/>
        <v>PABLO VERGÉS FORT</v>
      </c>
      <c r="I1358" s="268" t="s">
        <v>6477</v>
      </c>
      <c r="J1358" s="272" t="s">
        <v>4806</v>
      </c>
      <c r="K1358" s="268" t="s">
        <v>6540</v>
      </c>
      <c r="L1358" s="287">
        <v>45590</v>
      </c>
      <c r="M1358" s="283"/>
      <c r="N1358" s="282">
        <v>2</v>
      </c>
      <c r="O1358" s="284" t="s">
        <v>4720</v>
      </c>
      <c r="P1358" s="280">
        <v>3710</v>
      </c>
      <c r="Q1358" s="315">
        <v>45562</v>
      </c>
      <c r="R1358" s="272"/>
      <c r="S1358" s="272"/>
      <c r="T1358" s="272"/>
      <c r="U1358" s="272"/>
      <c r="V1358" s="272"/>
      <c r="W1358" s="272"/>
      <c r="X1358" s="272"/>
      <c r="Y1358" s="272"/>
      <c r="Z1358" s="272"/>
      <c r="AA1358" s="272"/>
    </row>
    <row r="1359" spans="1:27">
      <c r="A1359" s="273">
        <v>10</v>
      </c>
      <c r="B1359" s="274" t="s">
        <v>6412</v>
      </c>
      <c r="C1359" s="314">
        <v>45566</v>
      </c>
      <c r="D1359" s="274" t="s">
        <v>4714</v>
      </c>
      <c r="E1359" s="268" t="s">
        <v>3480</v>
      </c>
      <c r="F1359" s="272" t="s">
        <v>4715</v>
      </c>
      <c r="G1359" s="268" t="s">
        <v>4716</v>
      </c>
      <c r="H1359" s="268" t="str">
        <f t="shared" si="7"/>
        <v>GUILLERMO PLAZA MAYOR</v>
      </c>
      <c r="I1359" s="268" t="s">
        <v>6541</v>
      </c>
      <c r="J1359" s="272" t="s">
        <v>4718</v>
      </c>
      <c r="K1359" s="268" t="s">
        <v>6542</v>
      </c>
      <c r="L1359" s="287">
        <v>45590</v>
      </c>
      <c r="M1359" s="283"/>
      <c r="N1359" s="282">
        <v>1</v>
      </c>
      <c r="O1359" s="284" t="s">
        <v>4720</v>
      </c>
      <c r="P1359" s="280">
        <v>2226.36</v>
      </c>
      <c r="Q1359" s="315">
        <v>45566</v>
      </c>
      <c r="R1359" s="272"/>
      <c r="S1359" s="272"/>
      <c r="T1359" s="272"/>
      <c r="U1359" s="272"/>
      <c r="V1359" s="272"/>
      <c r="W1359" s="272"/>
      <c r="X1359" s="272"/>
      <c r="Y1359" s="272"/>
      <c r="Z1359" s="272"/>
      <c r="AA1359" s="272"/>
    </row>
    <row r="1360" spans="1:27">
      <c r="A1360" s="273">
        <v>10</v>
      </c>
      <c r="B1360" s="274" t="s">
        <v>6412</v>
      </c>
      <c r="C1360" s="314">
        <v>45569</v>
      </c>
      <c r="D1360" s="274" t="s">
        <v>4714</v>
      </c>
      <c r="E1360" s="268" t="s">
        <v>3480</v>
      </c>
      <c r="F1360" s="272" t="s">
        <v>4715</v>
      </c>
      <c r="G1360" s="268" t="s">
        <v>4716</v>
      </c>
      <c r="H1360" s="268" t="str">
        <f t="shared" si="7"/>
        <v>PALOMA MARTÍN- ARAGÓN MARTIÍ</v>
      </c>
      <c r="I1360" s="268" t="s">
        <v>4917</v>
      </c>
      <c r="J1360" s="272" t="s">
        <v>4718</v>
      </c>
      <c r="K1360" s="268" t="s">
        <v>6543</v>
      </c>
      <c r="L1360" s="287">
        <v>45590</v>
      </c>
      <c r="M1360" s="283"/>
      <c r="N1360" s="282">
        <v>2</v>
      </c>
      <c r="O1360" s="284" t="s">
        <v>5814</v>
      </c>
      <c r="P1360" s="280">
        <v>4000</v>
      </c>
      <c r="Q1360" s="315">
        <v>45569</v>
      </c>
      <c r="R1360" s="272"/>
      <c r="S1360" s="272"/>
      <c r="T1360" s="272"/>
      <c r="U1360" s="272"/>
      <c r="V1360" s="272"/>
      <c r="W1360" s="272"/>
      <c r="X1360" s="272"/>
      <c r="Y1360" s="272"/>
      <c r="Z1360" s="272"/>
      <c r="AA1360" s="272"/>
    </row>
    <row r="1361" spans="1:27">
      <c r="A1361" s="326">
        <v>10</v>
      </c>
      <c r="B1361" s="327" t="s">
        <v>6412</v>
      </c>
      <c r="C1361" s="328">
        <v>45559</v>
      </c>
      <c r="D1361" s="329" t="s">
        <v>4714</v>
      </c>
      <c r="E1361" s="272" t="s">
        <v>3193</v>
      </c>
      <c r="F1361" s="272" t="s">
        <v>4715</v>
      </c>
      <c r="G1361" s="272" t="s">
        <v>4716</v>
      </c>
      <c r="H1361" s="268" t="str">
        <f t="shared" si="7"/>
        <v>Eviatar Friedlander</v>
      </c>
      <c r="I1361" s="272" t="s">
        <v>4890</v>
      </c>
      <c r="J1361" s="272" t="s">
        <v>4718</v>
      </c>
      <c r="K1361" s="272" t="s">
        <v>6544</v>
      </c>
      <c r="L1361" s="330">
        <v>45590</v>
      </c>
      <c r="M1361" s="283"/>
      <c r="N1361" s="331">
        <v>2</v>
      </c>
      <c r="O1361" s="332" t="s">
        <v>5814</v>
      </c>
      <c r="P1361" s="333">
        <v>4136.3599999999997</v>
      </c>
      <c r="Q1361" s="334">
        <v>45559</v>
      </c>
      <c r="R1361" s="272"/>
      <c r="S1361" s="272"/>
      <c r="T1361" s="272"/>
      <c r="U1361" s="272"/>
      <c r="V1361" s="272"/>
      <c r="W1361" s="272"/>
      <c r="X1361" s="272"/>
      <c r="Y1361" s="272"/>
      <c r="Z1361" s="272"/>
      <c r="AA1361" s="272"/>
    </row>
    <row r="1362" spans="1:27">
      <c r="A1362" s="326">
        <v>10</v>
      </c>
      <c r="B1362" s="327" t="s">
        <v>6412</v>
      </c>
      <c r="C1362" s="328">
        <v>45554</v>
      </c>
      <c r="D1362" s="329" t="s">
        <v>4714</v>
      </c>
      <c r="E1362" s="272" t="s">
        <v>2935</v>
      </c>
      <c r="F1362" s="272" t="s">
        <v>4715</v>
      </c>
      <c r="G1362" s="272" t="s">
        <v>4716</v>
      </c>
      <c r="H1362" s="268" t="str">
        <f t="shared" si="7"/>
        <v>CRISTINA IBAÑEZ MUÑOZ</v>
      </c>
      <c r="I1362" s="272" t="s">
        <v>5112</v>
      </c>
      <c r="J1362" s="272" t="s">
        <v>4822</v>
      </c>
      <c r="K1362" s="272" t="s">
        <v>6545</v>
      </c>
      <c r="L1362" s="330">
        <v>45590</v>
      </c>
      <c r="M1362" s="283"/>
      <c r="N1362" s="331">
        <v>2</v>
      </c>
      <c r="O1362" s="332" t="s">
        <v>5814</v>
      </c>
      <c r="P1362" s="333">
        <v>4136.3599999999997</v>
      </c>
      <c r="Q1362" s="334">
        <v>45554</v>
      </c>
      <c r="R1362" s="272"/>
      <c r="S1362" s="272"/>
      <c r="T1362" s="272"/>
      <c r="U1362" s="272"/>
      <c r="V1362" s="272"/>
      <c r="W1362" s="272"/>
      <c r="X1362" s="272"/>
      <c r="Y1362" s="272"/>
      <c r="Z1362" s="272"/>
      <c r="AA1362" s="272"/>
    </row>
    <row r="1363" spans="1:27">
      <c r="A1363" s="326">
        <v>10</v>
      </c>
      <c r="B1363" s="327" t="s">
        <v>6412</v>
      </c>
      <c r="C1363" s="328">
        <v>45569</v>
      </c>
      <c r="D1363" s="329" t="s">
        <v>4714</v>
      </c>
      <c r="E1363" s="272" t="s">
        <v>3605</v>
      </c>
      <c r="F1363" s="272" t="s">
        <v>4715</v>
      </c>
      <c r="G1363" s="272" t="s">
        <v>4716</v>
      </c>
      <c r="H1363" s="268" t="str">
        <f t="shared" si="7"/>
        <v>ESTEBAN SCOLA PLIEGO</v>
      </c>
      <c r="I1363" s="272" t="s">
        <v>5010</v>
      </c>
      <c r="J1363" s="272" t="s">
        <v>4718</v>
      </c>
      <c r="K1363" s="272" t="s">
        <v>6546</v>
      </c>
      <c r="L1363" s="330">
        <v>45590</v>
      </c>
      <c r="M1363" s="283"/>
      <c r="N1363" s="331">
        <v>2</v>
      </c>
      <c r="O1363" s="332" t="s">
        <v>5814</v>
      </c>
      <c r="P1363" s="333">
        <v>3800</v>
      </c>
      <c r="Q1363" s="334">
        <v>45569</v>
      </c>
      <c r="R1363" s="272"/>
      <c r="S1363" s="272"/>
      <c r="T1363" s="272"/>
      <c r="U1363" s="272"/>
      <c r="V1363" s="272"/>
      <c r="W1363" s="272"/>
      <c r="X1363" s="272"/>
      <c r="Y1363" s="272"/>
      <c r="Z1363" s="272"/>
      <c r="AA1363" s="272"/>
    </row>
    <row r="1364" spans="1:27">
      <c r="A1364" s="326">
        <v>10</v>
      </c>
      <c r="B1364" s="327" t="s">
        <v>6412</v>
      </c>
      <c r="C1364" s="328">
        <v>45567</v>
      </c>
      <c r="D1364" s="329" t="s">
        <v>4714</v>
      </c>
      <c r="E1364" s="272" t="s">
        <v>2869</v>
      </c>
      <c r="F1364" s="272" t="s">
        <v>4715</v>
      </c>
      <c r="G1364" s="272" t="s">
        <v>4716</v>
      </c>
      <c r="H1364" s="268" t="str">
        <f t="shared" si="7"/>
        <v>MIGUEL LUCAS HERRERA</v>
      </c>
      <c r="I1364" s="272" t="s">
        <v>6547</v>
      </c>
      <c r="J1364" s="272" t="s">
        <v>4736</v>
      </c>
      <c r="K1364" s="272" t="s">
        <v>6548</v>
      </c>
      <c r="L1364" s="330">
        <v>45590</v>
      </c>
      <c r="M1364" s="283"/>
      <c r="N1364" s="331">
        <v>1</v>
      </c>
      <c r="O1364" s="332" t="s">
        <v>5814</v>
      </c>
      <c r="P1364" s="333">
        <v>2280</v>
      </c>
      <c r="Q1364" s="334">
        <v>45567</v>
      </c>
      <c r="R1364" s="272"/>
      <c r="S1364" s="272"/>
      <c r="T1364" s="272"/>
      <c r="U1364" s="272"/>
      <c r="V1364" s="272"/>
      <c r="W1364" s="272"/>
      <c r="X1364" s="272"/>
      <c r="Y1364" s="272"/>
      <c r="Z1364" s="272"/>
      <c r="AA1364" s="272"/>
    </row>
    <row r="1365" spans="1:27">
      <c r="A1365" s="326">
        <v>10</v>
      </c>
      <c r="B1365" s="327" t="s">
        <v>6412</v>
      </c>
      <c r="C1365" s="328">
        <v>45558</v>
      </c>
      <c r="D1365" s="329" t="s">
        <v>4714</v>
      </c>
      <c r="E1365" s="268" t="s">
        <v>2886</v>
      </c>
      <c r="F1365" s="272" t="s">
        <v>4715</v>
      </c>
      <c r="G1365" s="272" t="s">
        <v>4716</v>
      </c>
      <c r="H1365" s="268" t="str">
        <f t="shared" si="7"/>
        <v>MARÍA GARROTE GARROTE</v>
      </c>
      <c r="I1365" s="272" t="s">
        <v>4721</v>
      </c>
      <c r="J1365" s="272" t="s">
        <v>4718</v>
      </c>
      <c r="K1365" s="272" t="s">
        <v>6549</v>
      </c>
      <c r="L1365" s="330">
        <v>45590</v>
      </c>
      <c r="M1365" s="283"/>
      <c r="N1365" s="331">
        <v>2</v>
      </c>
      <c r="O1365" s="332" t="s">
        <v>4720</v>
      </c>
      <c r="P1365" s="333">
        <v>3710</v>
      </c>
      <c r="Q1365" s="336">
        <v>45558</v>
      </c>
      <c r="R1365" s="272"/>
      <c r="S1365" s="272"/>
      <c r="T1365" s="272"/>
      <c r="U1365" s="272"/>
      <c r="V1365" s="272"/>
      <c r="W1365" s="272"/>
      <c r="X1365" s="272"/>
      <c r="Y1365" s="272"/>
      <c r="Z1365" s="272"/>
      <c r="AA1365" s="272"/>
    </row>
    <row r="1366" spans="1:27">
      <c r="A1366" s="326">
        <v>10</v>
      </c>
      <c r="B1366" s="327" t="s">
        <v>6412</v>
      </c>
      <c r="C1366" s="328">
        <v>45573</v>
      </c>
      <c r="D1366" s="329" t="s">
        <v>4714</v>
      </c>
      <c r="E1366" s="268" t="s">
        <v>2886</v>
      </c>
      <c r="F1366" s="272" t="s">
        <v>4715</v>
      </c>
      <c r="G1366" s="272" t="s">
        <v>4716</v>
      </c>
      <c r="H1366" s="268" t="str">
        <f t="shared" si="7"/>
        <v>MARÍA GARROTE GARROTE</v>
      </c>
      <c r="I1366" s="272" t="s">
        <v>4721</v>
      </c>
      <c r="J1366" s="272" t="s">
        <v>4718</v>
      </c>
      <c r="K1366" s="272" t="s">
        <v>6550</v>
      </c>
      <c r="L1366" s="330">
        <v>45590</v>
      </c>
      <c r="M1366" s="283"/>
      <c r="N1366" s="331">
        <v>2</v>
      </c>
      <c r="O1366" s="332" t="s">
        <v>5814</v>
      </c>
      <c r="P1366" s="333">
        <v>3800</v>
      </c>
      <c r="Q1366" s="336">
        <v>45573</v>
      </c>
      <c r="R1366" s="272"/>
      <c r="S1366" s="272"/>
      <c r="T1366" s="272"/>
      <c r="U1366" s="272"/>
      <c r="V1366" s="272"/>
      <c r="W1366" s="272"/>
      <c r="X1366" s="272"/>
      <c r="Y1366" s="272"/>
      <c r="Z1366" s="272"/>
      <c r="AA1366" s="272"/>
    </row>
    <row r="1367" spans="1:27">
      <c r="A1367" s="273">
        <v>10</v>
      </c>
      <c r="B1367" s="274" t="s">
        <v>6412</v>
      </c>
      <c r="C1367" s="314">
        <v>45524</v>
      </c>
      <c r="D1367" s="274" t="s">
        <v>4714</v>
      </c>
      <c r="E1367" s="268" t="s">
        <v>3187</v>
      </c>
      <c r="F1367" s="272" t="s">
        <v>4715</v>
      </c>
      <c r="G1367" s="268" t="s">
        <v>4716</v>
      </c>
      <c r="H1367" s="268" t="str">
        <f t="shared" si="7"/>
        <v>PALOMA ÁLVAREZ HERNANDRZ</v>
      </c>
      <c r="I1367" s="268" t="s">
        <v>6551</v>
      </c>
      <c r="J1367" s="272" t="s">
        <v>4822</v>
      </c>
      <c r="K1367" s="268" t="s">
        <v>6552</v>
      </c>
      <c r="L1367" s="287">
        <v>45593</v>
      </c>
      <c r="M1367" s="283"/>
      <c r="N1367" s="282">
        <v>2</v>
      </c>
      <c r="O1367" s="284" t="s">
        <v>4787</v>
      </c>
      <c r="P1367" s="280">
        <v>4180</v>
      </c>
      <c r="Q1367" s="315">
        <v>45524</v>
      </c>
      <c r="R1367" s="272"/>
      <c r="S1367" s="272"/>
      <c r="T1367" s="272"/>
      <c r="U1367" s="272"/>
      <c r="V1367" s="272"/>
      <c r="W1367" s="272"/>
      <c r="X1367" s="272"/>
      <c r="Y1367" s="272"/>
      <c r="Z1367" s="272"/>
      <c r="AA1367" s="272"/>
    </row>
    <row r="1368" spans="1:27">
      <c r="A1368" s="273">
        <v>10</v>
      </c>
      <c r="B1368" s="274" t="s">
        <v>6412</v>
      </c>
      <c r="C1368" s="314">
        <v>45477</v>
      </c>
      <c r="D1368" s="274" t="s">
        <v>4714</v>
      </c>
      <c r="E1368" s="268" t="s">
        <v>4194</v>
      </c>
      <c r="F1368" s="272" t="s">
        <v>4715</v>
      </c>
      <c r="G1368" s="268" t="s">
        <v>4716</v>
      </c>
      <c r="H1368" s="268" t="str">
        <f t="shared" si="7"/>
        <v>MARIA ROSARIO FERRANDIZ GARCÍA</v>
      </c>
      <c r="I1368" s="268" t="s">
        <v>5374</v>
      </c>
      <c r="J1368" s="272" t="s">
        <v>4736</v>
      </c>
      <c r="K1368" s="268" t="s">
        <v>6553</v>
      </c>
      <c r="L1368" s="287">
        <v>45593</v>
      </c>
      <c r="M1368" s="283"/>
      <c r="N1368" s="282">
        <v>2</v>
      </c>
      <c r="O1368" s="284" t="s">
        <v>4723</v>
      </c>
      <c r="P1368" s="280">
        <v>2886.36</v>
      </c>
      <c r="Q1368" s="315">
        <v>45477</v>
      </c>
      <c r="R1368" s="272"/>
      <c r="S1368" s="272"/>
      <c r="T1368" s="272"/>
      <c r="U1368" s="272"/>
      <c r="V1368" s="272"/>
      <c r="W1368" s="272"/>
      <c r="X1368" s="272"/>
      <c r="Y1368" s="272"/>
      <c r="Z1368" s="272"/>
      <c r="AA1368" s="272"/>
    </row>
    <row r="1369" spans="1:27">
      <c r="A1369" s="326">
        <v>10</v>
      </c>
      <c r="B1369" s="327" t="s">
        <v>6412</v>
      </c>
      <c r="C1369" s="328">
        <v>45562</v>
      </c>
      <c r="D1369" s="329" t="s">
        <v>4714</v>
      </c>
      <c r="E1369" s="272" t="s">
        <v>3529</v>
      </c>
      <c r="F1369" s="272" t="s">
        <v>4724</v>
      </c>
      <c r="G1369" s="272" t="s">
        <v>4725</v>
      </c>
      <c r="H1369" s="268" t="str">
        <f t="shared" si="7"/>
        <v>CRISTINA ALONSO GONZÁLEZ</v>
      </c>
      <c r="I1369" s="272" t="s">
        <v>5942</v>
      </c>
      <c r="J1369" s="272" t="s">
        <v>4729</v>
      </c>
      <c r="K1369" s="272" t="s">
        <v>6554</v>
      </c>
      <c r="L1369" s="330">
        <v>45593</v>
      </c>
      <c r="M1369" s="283"/>
      <c r="N1369" s="331">
        <v>1</v>
      </c>
      <c r="O1369" s="332" t="s">
        <v>4740</v>
      </c>
      <c r="P1369" s="333">
        <v>2400</v>
      </c>
      <c r="Q1369" s="334">
        <v>45562</v>
      </c>
      <c r="R1369" s="272"/>
      <c r="S1369" s="272"/>
      <c r="T1369" s="272"/>
      <c r="U1369" s="272"/>
      <c r="V1369" s="272"/>
      <c r="W1369" s="272"/>
      <c r="X1369" s="272"/>
      <c r="Y1369" s="272"/>
      <c r="Z1369" s="272"/>
      <c r="AA1369" s="272"/>
    </row>
    <row r="1370" spans="1:27">
      <c r="A1370" s="326">
        <v>10</v>
      </c>
      <c r="B1370" s="327" t="s">
        <v>6412</v>
      </c>
      <c r="C1370" s="328">
        <v>45568</v>
      </c>
      <c r="D1370" s="329" t="s">
        <v>4714</v>
      </c>
      <c r="E1370" s="272" t="s">
        <v>3011</v>
      </c>
      <c r="F1370" s="272" t="s">
        <v>4715</v>
      </c>
      <c r="G1370" s="272" t="s">
        <v>4716</v>
      </c>
      <c r="H1370" s="268" t="str">
        <f t="shared" si="7"/>
        <v>FRANCISCO JAVIER AGUILAR VERA</v>
      </c>
      <c r="I1370" s="272" t="s">
        <v>6555</v>
      </c>
      <c r="J1370" s="272" t="s">
        <v>4729</v>
      </c>
      <c r="K1370" s="272" t="s">
        <v>6556</v>
      </c>
      <c r="L1370" s="330">
        <v>45593</v>
      </c>
      <c r="M1370" s="283"/>
      <c r="N1370" s="331">
        <v>2</v>
      </c>
      <c r="O1370" s="332" t="s">
        <v>4720</v>
      </c>
      <c r="P1370" s="333">
        <v>3710</v>
      </c>
      <c r="Q1370" s="334">
        <v>45568</v>
      </c>
      <c r="R1370" s="272"/>
      <c r="S1370" s="272"/>
      <c r="T1370" s="272"/>
      <c r="U1370" s="272"/>
      <c r="V1370" s="272"/>
      <c r="W1370" s="272"/>
      <c r="X1370" s="272"/>
      <c r="Y1370" s="272"/>
      <c r="Z1370" s="272"/>
      <c r="AA1370" s="272"/>
    </row>
    <row r="1371" spans="1:27">
      <c r="A1371" s="326">
        <v>10</v>
      </c>
      <c r="B1371" s="327" t="s">
        <v>6412</v>
      </c>
      <c r="C1371" s="328">
        <v>45574</v>
      </c>
      <c r="D1371" s="329" t="s">
        <v>4714</v>
      </c>
      <c r="E1371" s="272" t="s">
        <v>2972</v>
      </c>
      <c r="F1371" s="272" t="s">
        <v>4715</v>
      </c>
      <c r="G1371" s="272" t="s">
        <v>4716</v>
      </c>
      <c r="H1371" s="268" t="str">
        <f t="shared" si="7"/>
        <v>CARLOS FÉLIX ASENSIO NIETO</v>
      </c>
      <c r="I1371" s="272" t="s">
        <v>5371</v>
      </c>
      <c r="J1371" s="272" t="s">
        <v>4822</v>
      </c>
      <c r="K1371" s="272" t="s">
        <v>6557</v>
      </c>
      <c r="L1371" s="330">
        <v>45593</v>
      </c>
      <c r="M1371" s="283"/>
      <c r="N1371" s="331">
        <v>1</v>
      </c>
      <c r="O1371" s="332" t="s">
        <v>4723</v>
      </c>
      <c r="P1371" s="333">
        <v>1732.73</v>
      </c>
      <c r="Q1371" s="334">
        <v>45574</v>
      </c>
      <c r="R1371" s="272"/>
      <c r="S1371" s="272"/>
      <c r="T1371" s="272"/>
      <c r="U1371" s="272"/>
      <c r="V1371" s="272"/>
      <c r="W1371" s="272"/>
      <c r="X1371" s="272"/>
      <c r="Y1371" s="272"/>
      <c r="Z1371" s="272"/>
      <c r="AA1371" s="272"/>
    </row>
    <row r="1372" spans="1:27">
      <c r="A1372" s="326">
        <v>10</v>
      </c>
      <c r="B1372" s="327" t="s">
        <v>6412</v>
      </c>
      <c r="C1372" s="328">
        <v>45573</v>
      </c>
      <c r="D1372" s="329" t="s">
        <v>4714</v>
      </c>
      <c r="E1372" s="268" t="s">
        <v>2886</v>
      </c>
      <c r="F1372" s="272" t="s">
        <v>4715</v>
      </c>
      <c r="G1372" s="272" t="s">
        <v>4716</v>
      </c>
      <c r="H1372" s="268" t="str">
        <f t="shared" si="7"/>
        <v>MARÍA GARROTE GARROTE</v>
      </c>
      <c r="I1372" s="272" t="s">
        <v>4721</v>
      </c>
      <c r="J1372" s="272" t="s">
        <v>4718</v>
      </c>
      <c r="K1372" s="272" t="s">
        <v>6558</v>
      </c>
      <c r="L1372" s="330">
        <v>45593</v>
      </c>
      <c r="M1372" s="283"/>
      <c r="N1372" s="331">
        <v>2</v>
      </c>
      <c r="O1372" s="332" t="s">
        <v>4720</v>
      </c>
      <c r="P1372" s="333">
        <v>3523.64</v>
      </c>
      <c r="Q1372" s="334">
        <v>45573</v>
      </c>
      <c r="R1372" s="272"/>
      <c r="S1372" s="272"/>
      <c r="T1372" s="272"/>
      <c r="U1372" s="272"/>
      <c r="V1372" s="272"/>
      <c r="W1372" s="272"/>
      <c r="X1372" s="272"/>
      <c r="Y1372" s="272"/>
      <c r="Z1372" s="272"/>
      <c r="AA1372" s="272"/>
    </row>
    <row r="1373" spans="1:27">
      <c r="A1373" s="326">
        <v>10</v>
      </c>
      <c r="B1373" s="327" t="s">
        <v>6412</v>
      </c>
      <c r="C1373" s="328">
        <v>45548</v>
      </c>
      <c r="D1373" s="329" t="s">
        <v>4714</v>
      </c>
      <c r="E1373" s="268" t="s">
        <v>4845</v>
      </c>
      <c r="F1373" s="268" t="s">
        <v>4715</v>
      </c>
      <c r="G1373" s="268" t="s">
        <v>4716</v>
      </c>
      <c r="H1373" s="268" t="str">
        <f t="shared" si="7"/>
        <v>JULIO KNASTER DEL OLMO</v>
      </c>
      <c r="I1373" s="268" t="s">
        <v>5097</v>
      </c>
      <c r="J1373" s="268" t="s">
        <v>4822</v>
      </c>
      <c r="K1373" s="268" t="s">
        <v>6559</v>
      </c>
      <c r="L1373" s="287">
        <v>45593</v>
      </c>
      <c r="M1373" s="283"/>
      <c r="N1373" s="282">
        <v>2</v>
      </c>
      <c r="O1373" s="284" t="s">
        <v>4720</v>
      </c>
      <c r="P1373" s="280">
        <v>3424.55</v>
      </c>
      <c r="Q1373" s="287">
        <v>45548</v>
      </c>
      <c r="R1373" s="272"/>
      <c r="S1373" s="272"/>
      <c r="T1373" s="272"/>
      <c r="U1373" s="272"/>
      <c r="V1373" s="272"/>
      <c r="W1373" s="272"/>
      <c r="X1373" s="272"/>
      <c r="Y1373" s="272"/>
      <c r="Z1373" s="272"/>
      <c r="AA1373" s="272"/>
    </row>
    <row r="1374" spans="1:27">
      <c r="A1374" s="273">
        <v>10</v>
      </c>
      <c r="B1374" s="274" t="s">
        <v>6412</v>
      </c>
      <c r="C1374" s="314">
        <v>45538</v>
      </c>
      <c r="D1374" s="274" t="s">
        <v>4714</v>
      </c>
      <c r="E1374" s="268" t="s">
        <v>2909</v>
      </c>
      <c r="F1374" s="272" t="s">
        <v>4715</v>
      </c>
      <c r="G1374" s="268" t="s">
        <v>4716</v>
      </c>
      <c r="H1374" s="268" t="str">
        <f t="shared" si="7"/>
        <v>MIREIA GOLET FORS</v>
      </c>
      <c r="I1374" s="268" t="s">
        <v>6560</v>
      </c>
      <c r="J1374" s="272" t="s">
        <v>4806</v>
      </c>
      <c r="K1374" s="268" t="s">
        <v>6561</v>
      </c>
      <c r="L1374" s="287">
        <v>45594</v>
      </c>
      <c r="M1374" s="283"/>
      <c r="N1374" s="282">
        <v>2</v>
      </c>
      <c r="O1374" s="284" t="s">
        <v>5814</v>
      </c>
      <c r="P1374" s="280">
        <v>4000</v>
      </c>
      <c r="Q1374" s="315">
        <v>45538</v>
      </c>
      <c r="R1374" s="272"/>
      <c r="S1374" s="272"/>
      <c r="T1374" s="272"/>
      <c r="U1374" s="272"/>
      <c r="V1374" s="272"/>
      <c r="W1374" s="272"/>
      <c r="X1374" s="272"/>
      <c r="Y1374" s="272"/>
      <c r="Z1374" s="272"/>
      <c r="AA1374" s="272"/>
    </row>
    <row r="1375" spans="1:27">
      <c r="A1375" s="273">
        <v>10</v>
      </c>
      <c r="B1375" s="274" t="s">
        <v>6412</v>
      </c>
      <c r="C1375" s="314">
        <v>45546</v>
      </c>
      <c r="D1375" s="274" t="s">
        <v>4714</v>
      </c>
      <c r="E1375" s="268" t="s">
        <v>3480</v>
      </c>
      <c r="F1375" s="272" t="s">
        <v>4715</v>
      </c>
      <c r="G1375" s="268" t="s">
        <v>4716</v>
      </c>
      <c r="H1375" s="268" t="str">
        <f t="shared" si="7"/>
        <v>MARÍA GABRIELA BOSCO MORALES</v>
      </c>
      <c r="I1375" s="268" t="s">
        <v>6529</v>
      </c>
      <c r="J1375" s="272" t="s">
        <v>4718</v>
      </c>
      <c r="K1375" s="268" t="s">
        <v>6562</v>
      </c>
      <c r="L1375" s="287">
        <v>45594</v>
      </c>
      <c r="M1375" s="283"/>
      <c r="N1375" s="282">
        <v>2</v>
      </c>
      <c r="O1375" s="284" t="s">
        <v>4720</v>
      </c>
      <c r="P1375" s="280">
        <v>3080</v>
      </c>
      <c r="Q1375" s="315">
        <v>45546</v>
      </c>
      <c r="R1375" s="272"/>
      <c r="S1375" s="272"/>
      <c r="T1375" s="272"/>
      <c r="U1375" s="272"/>
      <c r="V1375" s="272"/>
      <c r="W1375" s="272"/>
      <c r="X1375" s="272"/>
      <c r="Y1375" s="272"/>
      <c r="Z1375" s="272"/>
      <c r="AA1375" s="272"/>
    </row>
    <row r="1376" spans="1:27">
      <c r="A1376" s="273">
        <v>10</v>
      </c>
      <c r="B1376" s="274" t="s">
        <v>6412</v>
      </c>
      <c r="C1376" s="314">
        <v>45553</v>
      </c>
      <c r="D1376" s="274" t="s">
        <v>4714</v>
      </c>
      <c r="E1376" s="268" t="s">
        <v>2916</v>
      </c>
      <c r="F1376" s="272" t="s">
        <v>4715</v>
      </c>
      <c r="G1376" s="268" t="s">
        <v>4716</v>
      </c>
      <c r="H1376" s="268" t="str">
        <f t="shared" si="7"/>
        <v>MARTA SANDOVAL PUIG</v>
      </c>
      <c r="I1376" s="268" t="s">
        <v>5055</v>
      </c>
      <c r="J1376" s="272" t="s">
        <v>4806</v>
      </c>
      <c r="K1376" s="268" t="s">
        <v>6563</v>
      </c>
      <c r="L1376" s="287">
        <v>45594</v>
      </c>
      <c r="M1376" s="283"/>
      <c r="N1376" s="282">
        <v>2</v>
      </c>
      <c r="O1376" s="284" t="s">
        <v>5814</v>
      </c>
      <c r="P1376" s="280">
        <v>4000</v>
      </c>
      <c r="Q1376" s="315">
        <v>45553</v>
      </c>
      <c r="R1376" s="272"/>
      <c r="S1376" s="272"/>
      <c r="T1376" s="272"/>
      <c r="U1376" s="272"/>
      <c r="V1376" s="272"/>
      <c r="W1376" s="272"/>
      <c r="X1376" s="272"/>
      <c r="Y1376" s="272"/>
      <c r="Z1376" s="272"/>
      <c r="AA1376" s="272"/>
    </row>
    <row r="1377" spans="1:27">
      <c r="A1377" s="326">
        <v>10</v>
      </c>
      <c r="B1377" s="327" t="s">
        <v>6412</v>
      </c>
      <c r="C1377" s="328">
        <v>45574</v>
      </c>
      <c r="D1377" s="329" t="s">
        <v>4714</v>
      </c>
      <c r="E1377" s="272" t="s">
        <v>2929</v>
      </c>
      <c r="F1377" s="272" t="s">
        <v>4724</v>
      </c>
      <c r="G1377" s="272" t="s">
        <v>4725</v>
      </c>
      <c r="H1377" s="268" t="str">
        <f t="shared" si="7"/>
        <v>CARLOS BARAJAS DEL ROSAL</v>
      </c>
      <c r="I1377" s="272" t="s">
        <v>4934</v>
      </c>
      <c r="J1377" s="272" t="s">
        <v>4822</v>
      </c>
      <c r="K1377" s="272" t="s">
        <v>6564</v>
      </c>
      <c r="L1377" s="330">
        <v>45594</v>
      </c>
      <c r="M1377" s="283"/>
      <c r="N1377" s="331">
        <v>2</v>
      </c>
      <c r="O1377" s="332" t="s">
        <v>4787</v>
      </c>
      <c r="P1377" s="333">
        <v>4536.3599999999997</v>
      </c>
      <c r="Q1377" s="334">
        <v>45574</v>
      </c>
      <c r="R1377" s="272"/>
      <c r="S1377" s="272"/>
      <c r="T1377" s="272"/>
      <c r="U1377" s="272"/>
      <c r="V1377" s="272"/>
      <c r="W1377" s="272"/>
      <c r="X1377" s="272"/>
      <c r="Y1377" s="272"/>
      <c r="Z1377" s="272"/>
      <c r="AA1377" s="272"/>
    </row>
    <row r="1378" spans="1:27">
      <c r="A1378" s="326">
        <v>10</v>
      </c>
      <c r="B1378" s="327" t="s">
        <v>6412</v>
      </c>
      <c r="C1378" s="328"/>
      <c r="D1378" s="329" t="s">
        <v>4714</v>
      </c>
      <c r="E1378" s="272" t="s">
        <v>2929</v>
      </c>
      <c r="F1378" s="272" t="s">
        <v>4715</v>
      </c>
      <c r="G1378" s="272" t="s">
        <v>4716</v>
      </c>
      <c r="H1378" s="268" t="str">
        <f t="shared" si="7"/>
        <v>CARLOS BARAJAS DEL ROSAL</v>
      </c>
      <c r="I1378" s="272" t="s">
        <v>4934</v>
      </c>
      <c r="J1378" s="272" t="s">
        <v>4822</v>
      </c>
      <c r="K1378" s="272" t="s">
        <v>6565</v>
      </c>
      <c r="L1378" s="330">
        <v>45594</v>
      </c>
      <c r="M1378" s="283"/>
      <c r="N1378" s="331">
        <v>1</v>
      </c>
      <c r="O1378" s="332" t="s">
        <v>5814</v>
      </c>
      <c r="P1378" s="333">
        <v>2150</v>
      </c>
      <c r="Q1378" s="334"/>
      <c r="R1378" s="272"/>
      <c r="S1378" s="272"/>
      <c r="T1378" s="272"/>
      <c r="U1378" s="272"/>
      <c r="V1378" s="272"/>
      <c r="W1378" s="272"/>
      <c r="X1378" s="272"/>
      <c r="Y1378" s="272"/>
      <c r="Z1378" s="272"/>
      <c r="AA1378" s="272"/>
    </row>
    <row r="1379" spans="1:27">
      <c r="A1379" s="326">
        <v>10</v>
      </c>
      <c r="B1379" s="327" t="s">
        <v>6412</v>
      </c>
      <c r="C1379" s="328">
        <v>45558</v>
      </c>
      <c r="D1379" s="329" t="s">
        <v>4714</v>
      </c>
      <c r="E1379" s="272" t="s">
        <v>2929</v>
      </c>
      <c r="F1379" s="272" t="s">
        <v>4715</v>
      </c>
      <c r="G1379" s="272" t="s">
        <v>4716</v>
      </c>
      <c r="H1379" s="268" t="str">
        <f t="shared" si="7"/>
        <v>JAVIER GARCÍA DOMÍNGUEZ</v>
      </c>
      <c r="I1379" s="272" t="s">
        <v>4881</v>
      </c>
      <c r="J1379" s="272" t="s">
        <v>4718</v>
      </c>
      <c r="K1379" s="272" t="s">
        <v>6566</v>
      </c>
      <c r="L1379" s="330">
        <v>45594</v>
      </c>
      <c r="M1379" s="283"/>
      <c r="N1379" s="331">
        <v>1</v>
      </c>
      <c r="O1379" s="332" t="s">
        <v>4723</v>
      </c>
      <c r="P1379" s="333">
        <v>1550</v>
      </c>
      <c r="Q1379" s="334">
        <v>45558</v>
      </c>
      <c r="R1379" s="272"/>
      <c r="S1379" s="272"/>
      <c r="T1379" s="272"/>
      <c r="U1379" s="272"/>
      <c r="V1379" s="272"/>
      <c r="W1379" s="272"/>
      <c r="X1379" s="272"/>
      <c r="Y1379" s="272"/>
      <c r="Z1379" s="272"/>
      <c r="AA1379" s="272"/>
    </row>
    <row r="1380" spans="1:27">
      <c r="A1380" s="326">
        <v>10</v>
      </c>
      <c r="B1380" s="327" t="s">
        <v>6412</v>
      </c>
      <c r="C1380" s="328">
        <v>45554</v>
      </c>
      <c r="D1380" s="329" t="s">
        <v>4714</v>
      </c>
      <c r="E1380" s="272" t="s">
        <v>2929</v>
      </c>
      <c r="F1380" s="272" t="s">
        <v>4715</v>
      </c>
      <c r="G1380" s="272" t="s">
        <v>4716</v>
      </c>
      <c r="H1380" s="268" t="str">
        <f t="shared" si="7"/>
        <v>ANTONIO RODRÍGUEZ RIVERO</v>
      </c>
      <c r="I1380" s="272" t="s">
        <v>4717</v>
      </c>
      <c r="J1380" s="272" t="s">
        <v>4718</v>
      </c>
      <c r="K1380" s="272" t="s">
        <v>6567</v>
      </c>
      <c r="L1380" s="330">
        <v>45594</v>
      </c>
      <c r="M1380" s="283"/>
      <c r="N1380" s="331">
        <v>2</v>
      </c>
      <c r="O1380" s="332" t="s">
        <v>5814</v>
      </c>
      <c r="P1380" s="333">
        <v>3929.55</v>
      </c>
      <c r="Q1380" s="334">
        <v>45554</v>
      </c>
      <c r="R1380" s="272"/>
      <c r="S1380" s="272"/>
      <c r="T1380" s="272"/>
      <c r="U1380" s="272"/>
      <c r="V1380" s="272"/>
      <c r="W1380" s="272"/>
      <c r="X1380" s="272"/>
      <c r="Y1380" s="272"/>
      <c r="Z1380" s="272"/>
      <c r="AA1380" s="272"/>
    </row>
    <row r="1381" spans="1:27">
      <c r="A1381" s="326">
        <v>10</v>
      </c>
      <c r="B1381" s="327" t="s">
        <v>6412</v>
      </c>
      <c r="C1381" s="328">
        <v>45532</v>
      </c>
      <c r="D1381" s="329" t="s">
        <v>4714</v>
      </c>
      <c r="E1381" s="272" t="s">
        <v>3758</v>
      </c>
      <c r="F1381" s="272" t="s">
        <v>4715</v>
      </c>
      <c r="G1381" s="272" t="s">
        <v>4716</v>
      </c>
      <c r="H1381" s="268" t="str">
        <f t="shared" si="7"/>
        <v>LAURA DEL TORO GIL</v>
      </c>
      <c r="I1381" s="272" t="s">
        <v>5839</v>
      </c>
      <c r="J1381" s="272" t="s">
        <v>4718</v>
      </c>
      <c r="K1381" s="272" t="s">
        <v>6568</v>
      </c>
      <c r="L1381" s="330">
        <v>45594</v>
      </c>
      <c r="M1381" s="283"/>
      <c r="N1381" s="331">
        <v>2</v>
      </c>
      <c r="O1381" s="332" t="s">
        <v>5814</v>
      </c>
      <c r="P1381" s="333">
        <v>4000</v>
      </c>
      <c r="Q1381" s="334">
        <v>45532</v>
      </c>
      <c r="R1381" s="272"/>
      <c r="S1381" s="272"/>
      <c r="T1381" s="272"/>
      <c r="U1381" s="272"/>
      <c r="V1381" s="272"/>
      <c r="W1381" s="272"/>
      <c r="X1381" s="272"/>
      <c r="Y1381" s="272"/>
      <c r="Z1381" s="272"/>
      <c r="AA1381" s="272"/>
    </row>
    <row r="1382" spans="1:27">
      <c r="A1382" s="326">
        <v>10</v>
      </c>
      <c r="B1382" s="327" t="s">
        <v>6412</v>
      </c>
      <c r="C1382" s="328">
        <v>45552</v>
      </c>
      <c r="D1382" s="337" t="s">
        <v>4714</v>
      </c>
      <c r="E1382" s="272" t="s">
        <v>3758</v>
      </c>
      <c r="F1382" s="272" t="s">
        <v>4715</v>
      </c>
      <c r="G1382" s="272" t="s">
        <v>4716</v>
      </c>
      <c r="H1382" s="268" t="str">
        <f t="shared" si="7"/>
        <v>VÍCTOR JOSÉ GONZÁLEZ ARIAS</v>
      </c>
      <c r="I1382" s="272" t="s">
        <v>6287</v>
      </c>
      <c r="J1382" s="272" t="s">
        <v>4718</v>
      </c>
      <c r="K1382" s="272" t="s">
        <v>6569</v>
      </c>
      <c r="L1382" s="330">
        <v>45594</v>
      </c>
      <c r="M1382" s="283"/>
      <c r="N1382" s="331">
        <v>2</v>
      </c>
      <c r="O1382" s="332" t="s">
        <v>4720</v>
      </c>
      <c r="P1382" s="333">
        <v>3524.5</v>
      </c>
      <c r="Q1382" s="334">
        <v>45552</v>
      </c>
      <c r="R1382" s="272"/>
      <c r="S1382" s="272"/>
      <c r="T1382" s="272"/>
      <c r="U1382" s="272"/>
      <c r="V1382" s="272"/>
      <c r="W1382" s="272"/>
      <c r="X1382" s="272"/>
      <c r="Y1382" s="272"/>
      <c r="Z1382" s="272"/>
      <c r="AA1382" s="272"/>
    </row>
    <row r="1383" spans="1:27">
      <c r="A1383" s="326">
        <v>10</v>
      </c>
      <c r="B1383" s="327" t="s">
        <v>6412</v>
      </c>
      <c r="C1383" s="328">
        <v>45573</v>
      </c>
      <c r="D1383" s="329" t="s">
        <v>4714</v>
      </c>
      <c r="E1383" s="272" t="s">
        <v>2869</v>
      </c>
      <c r="F1383" s="272" t="s">
        <v>4715</v>
      </c>
      <c r="G1383" s="272" t="s">
        <v>4716</v>
      </c>
      <c r="H1383" s="268" t="str">
        <f t="shared" si="7"/>
        <v>CRISTINA ESTHER TORREGROSA CARRASQUER</v>
      </c>
      <c r="I1383" s="272" t="s">
        <v>5212</v>
      </c>
      <c r="J1383" s="272" t="s">
        <v>4736</v>
      </c>
      <c r="K1383" s="272" t="s">
        <v>6570</v>
      </c>
      <c r="L1383" s="330">
        <v>45594</v>
      </c>
      <c r="M1383" s="283"/>
      <c r="N1383" s="331">
        <v>2</v>
      </c>
      <c r="O1383" s="332" t="s">
        <v>4723</v>
      </c>
      <c r="P1383" s="333">
        <v>2888.18</v>
      </c>
      <c r="Q1383" s="334">
        <v>45573</v>
      </c>
      <c r="R1383" s="272"/>
      <c r="S1383" s="272"/>
      <c r="T1383" s="272"/>
      <c r="U1383" s="272"/>
      <c r="V1383" s="272"/>
      <c r="W1383" s="272"/>
      <c r="X1383" s="272"/>
      <c r="Y1383" s="272"/>
      <c r="Z1383" s="272"/>
      <c r="AA1383" s="272"/>
    </row>
    <row r="1384" spans="1:27">
      <c r="A1384" s="326">
        <v>10</v>
      </c>
      <c r="B1384" s="327" t="s">
        <v>6412</v>
      </c>
      <c r="C1384" s="328">
        <v>45558</v>
      </c>
      <c r="D1384" s="329" t="s">
        <v>4714</v>
      </c>
      <c r="E1384" s="272" t="s">
        <v>2869</v>
      </c>
      <c r="F1384" s="272" t="s">
        <v>4715</v>
      </c>
      <c r="G1384" s="272" t="s">
        <v>4716</v>
      </c>
      <c r="H1384" s="268" t="str">
        <f t="shared" si="7"/>
        <v>AIDA AVIÑOA ARIAS</v>
      </c>
      <c r="I1384" s="272" t="s">
        <v>5298</v>
      </c>
      <c r="J1384" s="272" t="s">
        <v>4736</v>
      </c>
      <c r="K1384" s="272" t="s">
        <v>6571</v>
      </c>
      <c r="L1384" s="330">
        <v>45594</v>
      </c>
      <c r="M1384" s="283"/>
      <c r="N1384" s="331">
        <v>2</v>
      </c>
      <c r="O1384" s="332" t="s">
        <v>5814</v>
      </c>
      <c r="P1384" s="333">
        <v>4000</v>
      </c>
      <c r="Q1384" s="334">
        <v>45558</v>
      </c>
      <c r="R1384" s="272"/>
      <c r="S1384" s="272"/>
      <c r="T1384" s="272"/>
      <c r="U1384" s="272"/>
      <c r="V1384" s="272"/>
      <c r="W1384" s="272"/>
      <c r="X1384" s="272"/>
      <c r="Y1384" s="272"/>
      <c r="Z1384" s="272"/>
      <c r="AA1384" s="272"/>
    </row>
    <row r="1385" spans="1:27">
      <c r="A1385" s="326">
        <v>10</v>
      </c>
      <c r="B1385" s="327" t="s">
        <v>6412</v>
      </c>
      <c r="C1385" s="328">
        <v>45552</v>
      </c>
      <c r="D1385" s="329" t="s">
        <v>4714</v>
      </c>
      <c r="E1385" s="272" t="s">
        <v>4780</v>
      </c>
      <c r="F1385" s="272" t="s">
        <v>4715</v>
      </c>
      <c r="G1385" s="272" t="s">
        <v>4716</v>
      </c>
      <c r="H1385" s="268" t="str">
        <f t="shared" si="7"/>
        <v>ÁNGEL MUÑOZ HERRERA</v>
      </c>
      <c r="I1385" s="272" t="s">
        <v>4940</v>
      </c>
      <c r="J1385" s="272" t="s">
        <v>4747</v>
      </c>
      <c r="K1385" s="272" t="s">
        <v>6572</v>
      </c>
      <c r="L1385" s="330">
        <v>45594</v>
      </c>
      <c r="M1385" s="283"/>
      <c r="N1385" s="331">
        <v>2</v>
      </c>
      <c r="O1385" s="332" t="s">
        <v>4720</v>
      </c>
      <c r="P1385" s="333">
        <v>3604.55</v>
      </c>
      <c r="Q1385" s="334">
        <v>45552</v>
      </c>
      <c r="R1385" s="272"/>
      <c r="S1385" s="272"/>
      <c r="T1385" s="272"/>
      <c r="U1385" s="272"/>
      <c r="V1385" s="272"/>
      <c r="W1385" s="272"/>
      <c r="X1385" s="272"/>
      <c r="Y1385" s="272"/>
      <c r="Z1385" s="272"/>
      <c r="AA1385" s="272"/>
    </row>
    <row r="1386" spans="1:27">
      <c r="A1386" s="326">
        <v>10</v>
      </c>
      <c r="B1386" s="327" t="s">
        <v>6412</v>
      </c>
      <c r="C1386" s="328">
        <v>45555</v>
      </c>
      <c r="D1386" s="329" t="s">
        <v>4714</v>
      </c>
      <c r="E1386" s="272" t="s">
        <v>3529</v>
      </c>
      <c r="F1386" s="272" t="s">
        <v>4715</v>
      </c>
      <c r="G1386" s="272" t="s">
        <v>4716</v>
      </c>
      <c r="H1386" s="268" t="str">
        <f t="shared" si="7"/>
        <v>FRANCISCO ROPERO ROMERO</v>
      </c>
      <c r="I1386" s="272" t="s">
        <v>5729</v>
      </c>
      <c r="J1386" s="272" t="s">
        <v>4729</v>
      </c>
      <c r="K1386" s="272" t="s">
        <v>6573</v>
      </c>
      <c r="L1386" s="330">
        <v>45594</v>
      </c>
      <c r="M1386" s="283"/>
      <c r="N1386" s="331">
        <v>2</v>
      </c>
      <c r="O1386" s="332" t="s">
        <v>4720</v>
      </c>
      <c r="P1386" s="333">
        <v>3710</v>
      </c>
      <c r="Q1386" s="334">
        <v>45555</v>
      </c>
      <c r="R1386" s="272"/>
      <c r="S1386" s="272"/>
      <c r="T1386" s="272"/>
      <c r="U1386" s="272"/>
      <c r="V1386" s="272"/>
      <c r="W1386" s="272"/>
      <c r="X1386" s="272"/>
      <c r="Y1386" s="272"/>
      <c r="Z1386" s="272"/>
      <c r="AA1386" s="272"/>
    </row>
    <row r="1387" spans="1:27">
      <c r="A1387" s="326">
        <v>10</v>
      </c>
      <c r="B1387" s="327" t="s">
        <v>6412</v>
      </c>
      <c r="C1387" s="328">
        <v>45581</v>
      </c>
      <c r="D1387" s="329" t="s">
        <v>4714</v>
      </c>
      <c r="E1387" s="272" t="s">
        <v>2972</v>
      </c>
      <c r="F1387" s="272" t="s">
        <v>4715</v>
      </c>
      <c r="G1387" s="272" t="s">
        <v>4716</v>
      </c>
      <c r="H1387" s="268" t="str">
        <f t="shared" si="7"/>
        <v>CARLOS FÉLIX ASENSIO NIETO</v>
      </c>
      <c r="I1387" s="272" t="s">
        <v>5371</v>
      </c>
      <c r="J1387" s="272" t="s">
        <v>4822</v>
      </c>
      <c r="K1387" s="272" t="s">
        <v>6574</v>
      </c>
      <c r="L1387" s="330">
        <v>45594</v>
      </c>
      <c r="M1387" s="283"/>
      <c r="N1387" s="331">
        <v>1</v>
      </c>
      <c r="O1387" s="332" t="s">
        <v>5814</v>
      </c>
      <c r="P1387" s="333">
        <v>2400.0100000000002</v>
      </c>
      <c r="Q1387" s="334">
        <v>45581</v>
      </c>
      <c r="R1387" s="272"/>
      <c r="S1387" s="272"/>
      <c r="T1387" s="272"/>
      <c r="U1387" s="272"/>
      <c r="V1387" s="272"/>
      <c r="W1387" s="272"/>
      <c r="X1387" s="272"/>
      <c r="Y1387" s="272"/>
      <c r="Z1387" s="272"/>
      <c r="AA1387" s="272"/>
    </row>
    <row r="1388" spans="1:27">
      <c r="A1388" s="273">
        <v>10</v>
      </c>
      <c r="B1388" s="274" t="s">
        <v>6412</v>
      </c>
      <c r="C1388" s="314">
        <v>45566</v>
      </c>
      <c r="D1388" s="274" t="s">
        <v>4714</v>
      </c>
      <c r="E1388" s="268" t="s">
        <v>2863</v>
      </c>
      <c r="F1388" s="272" t="s">
        <v>4715</v>
      </c>
      <c r="G1388" s="268" t="s">
        <v>4716</v>
      </c>
      <c r="H1388" s="268" t="str">
        <f>IF(LEFT(I2,4)="DR. ",TRIM(MID(I1388,5,99)),
 IF(LEFT(I2,5)="DRA. ",TRIM(MID(I2,6,99)),
 IF(LEFT(I2,3)="DR ",TRIM(MID(I2,4,99)),
 IF(LEFT(I2,4)="DRA ",TRIM(MID(I2,5,99)),
 I2))))</f>
        <v>ALEJANDRA JARA MAQUILON</v>
      </c>
      <c r="I1388" s="268" t="s">
        <v>6575</v>
      </c>
      <c r="J1388" s="272" t="s">
        <v>4736</v>
      </c>
      <c r="K1388" s="268" t="s">
        <v>6576</v>
      </c>
      <c r="L1388" s="287">
        <v>45595</v>
      </c>
      <c r="M1388" s="283"/>
      <c r="N1388" s="282">
        <v>2</v>
      </c>
      <c r="O1388" s="284" t="s">
        <v>4720</v>
      </c>
      <c r="P1388" s="280">
        <v>3523.64</v>
      </c>
      <c r="Q1388" s="315">
        <v>45566</v>
      </c>
      <c r="R1388" s="272"/>
      <c r="S1388" s="272"/>
      <c r="T1388" s="272"/>
      <c r="U1388" s="272"/>
      <c r="V1388" s="272"/>
      <c r="W1388" s="272"/>
      <c r="X1388" s="272"/>
      <c r="Y1388" s="272"/>
      <c r="Z1388" s="272"/>
      <c r="AA1388" s="272"/>
    </row>
    <row r="1389" spans="1:27">
      <c r="A1389" s="273">
        <v>10</v>
      </c>
      <c r="B1389" s="274" t="s">
        <v>6412</v>
      </c>
      <c r="C1389" s="314"/>
      <c r="D1389" s="274" t="s">
        <v>4714</v>
      </c>
      <c r="E1389" s="268" t="s">
        <v>4194</v>
      </c>
      <c r="F1389" s="272" t="s">
        <v>4715</v>
      </c>
      <c r="G1389" s="268" t="s">
        <v>4716</v>
      </c>
      <c r="H1389" s="268" t="str">
        <f t="shared" ref="H1389:H1643" si="8">TRIM(SUBSTITUTE(SUBSTITUTE(SUBSTITUTE(SUBSTITUTE(I1389,"DR. ",""),"DRA. ",""),"DR ",""),"DRA ",""))</f>
        <v>FRANCISCO PASTOR BEVIÁ</v>
      </c>
      <c r="I1389" s="268" t="s">
        <v>4738</v>
      </c>
      <c r="J1389" s="272" t="s">
        <v>4736</v>
      </c>
      <c r="K1389" s="268" t="s">
        <v>6577</v>
      </c>
      <c r="L1389" s="287">
        <v>45595</v>
      </c>
      <c r="M1389" s="283"/>
      <c r="N1389" s="282">
        <v>2</v>
      </c>
      <c r="O1389" s="284" t="s">
        <v>5814</v>
      </c>
      <c r="P1389" s="280">
        <v>4009.09</v>
      </c>
      <c r="Q1389" s="315"/>
      <c r="R1389" s="272"/>
      <c r="S1389" s="272"/>
      <c r="T1389" s="272"/>
      <c r="U1389" s="272"/>
      <c r="V1389" s="272"/>
      <c r="W1389" s="272"/>
      <c r="X1389" s="272"/>
      <c r="Y1389" s="272"/>
      <c r="Z1389" s="272"/>
      <c r="AA1389" s="272"/>
    </row>
    <row r="1390" spans="1:27">
      <c r="A1390" s="273">
        <v>10</v>
      </c>
      <c r="B1390" s="274" t="s">
        <v>6412</v>
      </c>
      <c r="C1390" s="314">
        <v>45560</v>
      </c>
      <c r="D1390" s="274" t="s">
        <v>4714</v>
      </c>
      <c r="E1390" s="268" t="s">
        <v>4194</v>
      </c>
      <c r="F1390" s="272" t="s">
        <v>4715</v>
      </c>
      <c r="G1390" s="268" t="s">
        <v>4716</v>
      </c>
      <c r="H1390" s="268" t="str">
        <f t="shared" si="8"/>
        <v>Ana Gabriela Jover Espla</v>
      </c>
      <c r="I1390" s="268" t="s">
        <v>202</v>
      </c>
      <c r="J1390" s="272" t="s">
        <v>4736</v>
      </c>
      <c r="K1390" s="268" t="s">
        <v>6578</v>
      </c>
      <c r="L1390" s="287">
        <v>45595</v>
      </c>
      <c r="M1390" s="283"/>
      <c r="N1390" s="282">
        <v>2</v>
      </c>
      <c r="O1390" s="284" t="s">
        <v>4723</v>
      </c>
      <c r="P1390" s="280">
        <v>2888.18</v>
      </c>
      <c r="Q1390" s="315">
        <v>45560</v>
      </c>
      <c r="R1390" s="272"/>
      <c r="S1390" s="272"/>
      <c r="T1390" s="272"/>
      <c r="U1390" s="272"/>
      <c r="V1390" s="272"/>
      <c r="W1390" s="272"/>
      <c r="X1390" s="272"/>
      <c r="Y1390" s="272"/>
      <c r="Z1390" s="272"/>
      <c r="AA1390" s="272"/>
    </row>
    <row r="1391" spans="1:27">
      <c r="A1391" s="273">
        <v>10</v>
      </c>
      <c r="B1391" s="274" t="s">
        <v>6412</v>
      </c>
      <c r="C1391" s="314">
        <v>45496</v>
      </c>
      <c r="D1391" s="274" t="s">
        <v>4714</v>
      </c>
      <c r="E1391" s="268" t="s">
        <v>4820</v>
      </c>
      <c r="F1391" s="272" t="s">
        <v>4715</v>
      </c>
      <c r="G1391" s="268" t="s">
        <v>4716</v>
      </c>
      <c r="H1391" s="268" t="str">
        <f t="shared" si="8"/>
        <v>MANUEL CAÑETE DOMÍNGUEZ</v>
      </c>
      <c r="I1391" s="268" t="s">
        <v>5654</v>
      </c>
      <c r="J1391" s="272" t="s">
        <v>4822</v>
      </c>
      <c r="K1391" s="268" t="s">
        <v>6579</v>
      </c>
      <c r="L1391" s="287">
        <v>45595</v>
      </c>
      <c r="M1391" s="283"/>
      <c r="N1391" s="282">
        <v>2</v>
      </c>
      <c r="O1391" s="284" t="s">
        <v>4787</v>
      </c>
      <c r="P1391" s="280">
        <v>3454.55</v>
      </c>
      <c r="Q1391" s="315">
        <v>45496</v>
      </c>
      <c r="R1391" s="272"/>
      <c r="S1391" s="272"/>
      <c r="T1391" s="272"/>
      <c r="U1391" s="272"/>
      <c r="V1391" s="272"/>
      <c r="W1391" s="272"/>
      <c r="X1391" s="272"/>
      <c r="Y1391" s="272"/>
      <c r="Z1391" s="272"/>
      <c r="AA1391" s="272"/>
    </row>
    <row r="1392" spans="1:27">
      <c r="A1392" s="273">
        <v>10</v>
      </c>
      <c r="B1392" s="274" t="s">
        <v>6412</v>
      </c>
      <c r="C1392" s="314">
        <v>45474</v>
      </c>
      <c r="D1392" s="274" t="s">
        <v>4714</v>
      </c>
      <c r="E1392" s="268" t="s">
        <v>3480</v>
      </c>
      <c r="F1392" s="272" t="s">
        <v>4715</v>
      </c>
      <c r="G1392" s="268" t="s">
        <v>4716</v>
      </c>
      <c r="H1392" s="268" t="str">
        <f t="shared" si="8"/>
        <v>ITHZEL MARIA VILLARREAL PATIÑO</v>
      </c>
      <c r="I1392" s="268" t="s">
        <v>4765</v>
      </c>
      <c r="J1392" s="272" t="s">
        <v>4718</v>
      </c>
      <c r="K1392" s="268" t="s">
        <v>6580</v>
      </c>
      <c r="L1392" s="287">
        <v>45595</v>
      </c>
      <c r="M1392" s="283"/>
      <c r="N1392" s="282">
        <v>2</v>
      </c>
      <c r="O1392" s="284" t="s">
        <v>4723</v>
      </c>
      <c r="P1392" s="280">
        <v>2888.18</v>
      </c>
      <c r="Q1392" s="315">
        <v>45474</v>
      </c>
      <c r="R1392" s="272"/>
      <c r="S1392" s="272"/>
      <c r="T1392" s="272"/>
      <c r="U1392" s="272"/>
      <c r="V1392" s="272"/>
      <c r="W1392" s="272"/>
      <c r="X1392" s="272"/>
      <c r="Y1392" s="272"/>
      <c r="Z1392" s="272"/>
      <c r="AA1392" s="272"/>
    </row>
    <row r="1393" spans="1:27">
      <c r="A1393" s="273">
        <v>10</v>
      </c>
      <c r="B1393" s="274" t="s">
        <v>6412</v>
      </c>
      <c r="C1393" s="314">
        <v>45575</v>
      </c>
      <c r="D1393" s="274" t="s">
        <v>4714</v>
      </c>
      <c r="E1393" s="268" t="s">
        <v>2880</v>
      </c>
      <c r="F1393" s="272" t="s">
        <v>4715</v>
      </c>
      <c r="G1393" s="268" t="s">
        <v>4716</v>
      </c>
      <c r="H1393" s="268" t="str">
        <f t="shared" si="8"/>
        <v>JONATHAN ESTEBAN SÁNCHEZ</v>
      </c>
      <c r="I1393" s="268" t="s">
        <v>5176</v>
      </c>
      <c r="J1393" s="272" t="s">
        <v>4718</v>
      </c>
      <c r="K1393" s="268" t="s">
        <v>6581</v>
      </c>
      <c r="L1393" s="287">
        <v>45595</v>
      </c>
      <c r="M1393" s="283"/>
      <c r="N1393" s="282">
        <v>2</v>
      </c>
      <c r="O1393" s="284" t="s">
        <v>4720</v>
      </c>
      <c r="P1393" s="280">
        <v>3710</v>
      </c>
      <c r="Q1393" s="315">
        <v>45575</v>
      </c>
      <c r="R1393" s="272"/>
      <c r="S1393" s="272"/>
      <c r="T1393" s="272"/>
      <c r="U1393" s="272"/>
      <c r="V1393" s="272"/>
      <c r="W1393" s="272"/>
      <c r="X1393" s="272"/>
      <c r="Y1393" s="272"/>
      <c r="Z1393" s="272"/>
      <c r="AA1393" s="272"/>
    </row>
    <row r="1394" spans="1:27">
      <c r="A1394" s="326">
        <v>10</v>
      </c>
      <c r="B1394" s="327" t="s">
        <v>6412</v>
      </c>
      <c r="C1394" s="335">
        <v>45582</v>
      </c>
      <c r="D1394" s="329" t="s">
        <v>4714</v>
      </c>
      <c r="E1394" s="272" t="s">
        <v>5130</v>
      </c>
      <c r="F1394" s="272" t="s">
        <v>4715</v>
      </c>
      <c r="G1394" s="272" t="s">
        <v>4716</v>
      </c>
      <c r="H1394" s="268" t="str">
        <f t="shared" si="8"/>
        <v>RAFAEL PÉREZ GONZÁLEZ</v>
      </c>
      <c r="I1394" s="272" t="s">
        <v>5687</v>
      </c>
      <c r="J1394" s="272" t="s">
        <v>4747</v>
      </c>
      <c r="K1394" s="272" t="s">
        <v>6582</v>
      </c>
      <c r="L1394" s="330">
        <v>45595</v>
      </c>
      <c r="M1394" s="283"/>
      <c r="N1394" s="331">
        <v>2</v>
      </c>
      <c r="O1394" s="332" t="s">
        <v>4720</v>
      </c>
      <c r="P1394" s="333">
        <v>3982.73</v>
      </c>
      <c r="Q1394" s="315">
        <v>45582</v>
      </c>
      <c r="R1394" s="272"/>
      <c r="S1394" s="272"/>
      <c r="T1394" s="272"/>
      <c r="U1394" s="272"/>
      <c r="V1394" s="272"/>
      <c r="W1394" s="272"/>
      <c r="X1394" s="272"/>
      <c r="Y1394" s="272"/>
      <c r="Z1394" s="272"/>
      <c r="AA1394" s="272"/>
    </row>
    <row r="1395" spans="1:27">
      <c r="A1395" s="326">
        <v>10</v>
      </c>
      <c r="B1395" s="327" t="s">
        <v>6412</v>
      </c>
      <c r="C1395" s="328">
        <v>45540</v>
      </c>
      <c r="D1395" s="329" t="s">
        <v>4714</v>
      </c>
      <c r="E1395" s="272" t="s">
        <v>3043</v>
      </c>
      <c r="F1395" s="272" t="s">
        <v>4715</v>
      </c>
      <c r="G1395" s="272" t="s">
        <v>4716</v>
      </c>
      <c r="H1395" s="268" t="str">
        <f t="shared" si="8"/>
        <v>ANTONIO BUENO RÍOS</v>
      </c>
      <c r="I1395" s="272" t="s">
        <v>4793</v>
      </c>
      <c r="J1395" s="272" t="s">
        <v>4822</v>
      </c>
      <c r="K1395" s="272" t="s">
        <v>6583</v>
      </c>
      <c r="L1395" s="330">
        <v>45595</v>
      </c>
      <c r="M1395" s="283"/>
      <c r="N1395" s="331">
        <v>2</v>
      </c>
      <c r="O1395" s="332" t="s">
        <v>4787</v>
      </c>
      <c r="P1395" s="333">
        <v>4400</v>
      </c>
      <c r="Q1395" s="334">
        <v>45540</v>
      </c>
      <c r="R1395" s="272"/>
      <c r="S1395" s="272"/>
      <c r="T1395" s="272"/>
      <c r="U1395" s="272"/>
      <c r="V1395" s="272"/>
      <c r="W1395" s="272"/>
      <c r="X1395" s="272"/>
      <c r="Y1395" s="272"/>
      <c r="Z1395" s="272"/>
      <c r="AA1395" s="272"/>
    </row>
    <row r="1396" spans="1:27">
      <c r="A1396" s="326">
        <v>10</v>
      </c>
      <c r="B1396" s="327" t="s">
        <v>6412</v>
      </c>
      <c r="C1396" s="328">
        <v>45567</v>
      </c>
      <c r="D1396" s="329" t="s">
        <v>4714</v>
      </c>
      <c r="E1396" s="272" t="s">
        <v>2929</v>
      </c>
      <c r="F1396" s="272" t="s">
        <v>4715</v>
      </c>
      <c r="G1396" s="272" t="s">
        <v>4716</v>
      </c>
      <c r="H1396" s="268" t="str">
        <f t="shared" si="8"/>
        <v>CARLOS BARAJAS DEL ROSAL</v>
      </c>
      <c r="I1396" s="272" t="s">
        <v>4934</v>
      </c>
      <c r="J1396" s="272" t="s">
        <v>4822</v>
      </c>
      <c r="K1396" s="272" t="s">
        <v>6584</v>
      </c>
      <c r="L1396" s="330">
        <v>45595</v>
      </c>
      <c r="M1396" s="283"/>
      <c r="N1396" s="331">
        <v>2</v>
      </c>
      <c r="O1396" s="332" t="s">
        <v>5814</v>
      </c>
      <c r="P1396" s="333">
        <v>4136.3599999999997</v>
      </c>
      <c r="Q1396" s="334">
        <v>45567</v>
      </c>
      <c r="R1396" s="272"/>
      <c r="S1396" s="272"/>
      <c r="T1396" s="272"/>
      <c r="U1396" s="272"/>
      <c r="V1396" s="272"/>
      <c r="W1396" s="272"/>
      <c r="X1396" s="272"/>
      <c r="Y1396" s="272"/>
      <c r="Z1396" s="272"/>
      <c r="AA1396" s="272"/>
    </row>
    <row r="1397" spans="1:27">
      <c r="A1397" s="326">
        <v>10</v>
      </c>
      <c r="B1397" s="327" t="s">
        <v>6412</v>
      </c>
      <c r="C1397" s="328">
        <v>45538</v>
      </c>
      <c r="D1397" s="329" t="s">
        <v>4714</v>
      </c>
      <c r="E1397" s="272" t="s">
        <v>2935</v>
      </c>
      <c r="F1397" s="272" t="s">
        <v>4715</v>
      </c>
      <c r="G1397" s="272" t="s">
        <v>4716</v>
      </c>
      <c r="H1397" s="268" t="str">
        <f t="shared" si="8"/>
        <v>Alejandro Harguindey Antoli-Candela</v>
      </c>
      <c r="I1397" s="272" t="s">
        <v>4802</v>
      </c>
      <c r="J1397" s="272" t="s">
        <v>4718</v>
      </c>
      <c r="K1397" s="272" t="s">
        <v>6585</v>
      </c>
      <c r="L1397" s="330">
        <v>45595</v>
      </c>
      <c r="M1397" s="283"/>
      <c r="N1397" s="331">
        <v>1</v>
      </c>
      <c r="O1397" s="332" t="s">
        <v>4720</v>
      </c>
      <c r="P1397" s="333">
        <v>2226.36</v>
      </c>
      <c r="Q1397" s="334">
        <v>45538</v>
      </c>
      <c r="R1397" s="272"/>
      <c r="S1397" s="272"/>
      <c r="T1397" s="272"/>
      <c r="U1397" s="272"/>
      <c r="V1397" s="272"/>
      <c r="W1397" s="272"/>
      <c r="X1397" s="272"/>
      <c r="Y1397" s="272"/>
      <c r="Z1397" s="272"/>
      <c r="AA1397" s="272"/>
    </row>
    <row r="1398" spans="1:27">
      <c r="A1398" s="326">
        <v>10</v>
      </c>
      <c r="B1398" s="327" t="s">
        <v>6412</v>
      </c>
      <c r="C1398" s="328">
        <v>45555</v>
      </c>
      <c r="D1398" s="329" t="s">
        <v>4714</v>
      </c>
      <c r="E1398" s="272" t="s">
        <v>2869</v>
      </c>
      <c r="F1398" s="272" t="s">
        <v>4715</v>
      </c>
      <c r="G1398" s="272" t="s">
        <v>4716</v>
      </c>
      <c r="H1398" s="268" t="str">
        <f t="shared" si="8"/>
        <v>JESÚS MIGUEL INIESTA TURPÍN</v>
      </c>
      <c r="I1398" s="272" t="s">
        <v>4868</v>
      </c>
      <c r="J1398" s="272" t="s">
        <v>4736</v>
      </c>
      <c r="K1398" s="272" t="s">
        <v>6586</v>
      </c>
      <c r="L1398" s="330">
        <v>45595</v>
      </c>
      <c r="M1398" s="283"/>
      <c r="N1398" s="331">
        <v>1</v>
      </c>
      <c r="O1398" s="332" t="s">
        <v>4720</v>
      </c>
      <c r="P1398" s="333">
        <v>2226.36</v>
      </c>
      <c r="Q1398" s="334">
        <v>45555</v>
      </c>
      <c r="R1398" s="272"/>
      <c r="S1398" s="272"/>
      <c r="T1398" s="272"/>
      <c r="U1398" s="272"/>
      <c r="V1398" s="272"/>
      <c r="W1398" s="272"/>
      <c r="X1398" s="272"/>
      <c r="Y1398" s="272"/>
      <c r="Z1398" s="272"/>
      <c r="AA1398" s="272"/>
    </row>
    <row r="1399" spans="1:27">
      <c r="A1399" s="326">
        <v>10</v>
      </c>
      <c r="B1399" s="327" t="s">
        <v>6412</v>
      </c>
      <c r="C1399" s="328">
        <v>45551</v>
      </c>
      <c r="D1399" s="329" t="s">
        <v>4714</v>
      </c>
      <c r="E1399" s="272" t="s">
        <v>2869</v>
      </c>
      <c r="F1399" s="272" t="s">
        <v>4715</v>
      </c>
      <c r="G1399" s="272" t="s">
        <v>4716</v>
      </c>
      <c r="H1399" s="268" t="str">
        <f t="shared" si="8"/>
        <v>MARÍA AGUSTINA SEVILLA GARCÍA</v>
      </c>
      <c r="I1399" s="272" t="s">
        <v>6587</v>
      </c>
      <c r="J1399" s="272" t="s">
        <v>4736</v>
      </c>
      <c r="K1399" s="272" t="s">
        <v>6588</v>
      </c>
      <c r="L1399" s="330">
        <v>45595</v>
      </c>
      <c r="M1399" s="283"/>
      <c r="N1399" s="331">
        <v>2</v>
      </c>
      <c r="O1399" s="332" t="s">
        <v>4787</v>
      </c>
      <c r="P1399" s="333">
        <v>4400</v>
      </c>
      <c r="Q1399" s="334">
        <v>45551</v>
      </c>
      <c r="R1399" s="272"/>
      <c r="S1399" s="272"/>
      <c r="T1399" s="272"/>
      <c r="U1399" s="272"/>
      <c r="V1399" s="272"/>
      <c r="W1399" s="272"/>
      <c r="X1399" s="272"/>
      <c r="Y1399" s="272"/>
      <c r="Z1399" s="272"/>
      <c r="AA1399" s="272"/>
    </row>
    <row r="1400" spans="1:27">
      <c r="A1400" s="326">
        <v>10</v>
      </c>
      <c r="B1400" s="327" t="s">
        <v>6412</v>
      </c>
      <c r="C1400" s="328">
        <v>45544</v>
      </c>
      <c r="D1400" s="329" t="s">
        <v>4714</v>
      </c>
      <c r="E1400" s="272" t="s">
        <v>2869</v>
      </c>
      <c r="F1400" s="272" t="s">
        <v>4715</v>
      </c>
      <c r="G1400" s="272" t="s">
        <v>4716</v>
      </c>
      <c r="H1400" s="268" t="str">
        <f t="shared" si="8"/>
        <v>MARÍA AGUSTINA SEVILLA GARCÍA</v>
      </c>
      <c r="I1400" s="272" t="s">
        <v>4812</v>
      </c>
      <c r="J1400" s="272" t="s">
        <v>4736</v>
      </c>
      <c r="K1400" s="272" t="s">
        <v>6589</v>
      </c>
      <c r="L1400" s="330">
        <v>45595</v>
      </c>
      <c r="M1400" s="283"/>
      <c r="N1400" s="331">
        <v>1</v>
      </c>
      <c r="O1400" s="332" t="s">
        <v>5814</v>
      </c>
      <c r="P1400" s="333">
        <v>2280</v>
      </c>
      <c r="Q1400" s="334">
        <v>45544</v>
      </c>
      <c r="R1400" s="272"/>
      <c r="S1400" s="272"/>
      <c r="T1400" s="272"/>
      <c r="U1400" s="272"/>
      <c r="V1400" s="272"/>
      <c r="W1400" s="272"/>
      <c r="X1400" s="272"/>
      <c r="Y1400" s="272"/>
      <c r="Z1400" s="272"/>
      <c r="AA1400" s="272"/>
    </row>
    <row r="1401" spans="1:27">
      <c r="A1401" s="326">
        <v>10</v>
      </c>
      <c r="B1401" s="327" t="s">
        <v>6412</v>
      </c>
      <c r="C1401" s="328">
        <v>45558</v>
      </c>
      <c r="D1401" s="329" t="s">
        <v>4714</v>
      </c>
      <c r="E1401" s="272" t="s">
        <v>4749</v>
      </c>
      <c r="F1401" s="272" t="s">
        <v>4715</v>
      </c>
      <c r="G1401" s="272" t="s">
        <v>4716</v>
      </c>
      <c r="H1401" s="268" t="str">
        <f t="shared" si="8"/>
        <v>XENIA MOTA ROJAS</v>
      </c>
      <c r="I1401" s="272" t="s">
        <v>5351</v>
      </c>
      <c r="J1401" s="272" t="s">
        <v>4747</v>
      </c>
      <c r="K1401" s="272" t="s">
        <v>6590</v>
      </c>
      <c r="L1401" s="330">
        <v>45595</v>
      </c>
      <c r="M1401" s="283"/>
      <c r="N1401" s="331">
        <v>2</v>
      </c>
      <c r="O1401" s="332" t="s">
        <v>4720</v>
      </c>
      <c r="P1401" s="333">
        <v>3909.09</v>
      </c>
      <c r="Q1401" s="334">
        <v>45558</v>
      </c>
      <c r="R1401" s="272"/>
      <c r="S1401" s="272"/>
      <c r="T1401" s="272"/>
      <c r="U1401" s="272"/>
      <c r="V1401" s="272"/>
      <c r="W1401" s="272"/>
      <c r="X1401" s="272"/>
      <c r="Y1401" s="272"/>
      <c r="Z1401" s="272"/>
      <c r="AA1401" s="272"/>
    </row>
    <row r="1402" spans="1:27">
      <c r="A1402" s="326">
        <v>10</v>
      </c>
      <c r="B1402" s="327" t="s">
        <v>6412</v>
      </c>
      <c r="C1402" s="328">
        <v>45566</v>
      </c>
      <c r="D1402" s="329" t="s">
        <v>4714</v>
      </c>
      <c r="E1402" s="272" t="s">
        <v>3011</v>
      </c>
      <c r="F1402" s="272" t="s">
        <v>4715</v>
      </c>
      <c r="G1402" s="272" t="s">
        <v>4716</v>
      </c>
      <c r="H1402" s="268" t="str">
        <f t="shared" si="8"/>
        <v>FRANCISCO JAVIER AGUILAR VERA</v>
      </c>
      <c r="I1402" s="272" t="s">
        <v>6555</v>
      </c>
      <c r="J1402" s="272" t="s">
        <v>4729</v>
      </c>
      <c r="K1402" s="272" t="s">
        <v>6591</v>
      </c>
      <c r="L1402" s="330">
        <v>45595</v>
      </c>
      <c r="M1402" s="283"/>
      <c r="N1402" s="331">
        <v>2</v>
      </c>
      <c r="O1402" s="332" t="s">
        <v>5814</v>
      </c>
      <c r="P1402" s="333">
        <v>3800</v>
      </c>
      <c r="Q1402" s="334">
        <v>45566</v>
      </c>
      <c r="R1402" s="272"/>
      <c r="S1402" s="272"/>
      <c r="T1402" s="272"/>
      <c r="U1402" s="272"/>
      <c r="V1402" s="272"/>
      <c r="W1402" s="272"/>
      <c r="X1402" s="272"/>
      <c r="Y1402" s="272"/>
      <c r="Z1402" s="272"/>
      <c r="AA1402" s="272"/>
    </row>
    <row r="1403" spans="1:27">
      <c r="A1403" s="326">
        <v>10</v>
      </c>
      <c r="B1403" s="327" t="s">
        <v>6412</v>
      </c>
      <c r="C1403" s="328">
        <v>45579</v>
      </c>
      <c r="D1403" s="329" t="s">
        <v>4714</v>
      </c>
      <c r="E1403" s="272" t="s">
        <v>2972</v>
      </c>
      <c r="F1403" s="272" t="s">
        <v>4715</v>
      </c>
      <c r="G1403" s="272" t="s">
        <v>4716</v>
      </c>
      <c r="H1403" s="268" t="str">
        <f t="shared" si="8"/>
        <v>CARLOS FÉLIX ASENSIO NIETO</v>
      </c>
      <c r="I1403" s="272" t="s">
        <v>5371</v>
      </c>
      <c r="J1403" s="272" t="s">
        <v>4822</v>
      </c>
      <c r="K1403" s="272" t="s">
        <v>6592</v>
      </c>
      <c r="L1403" s="330">
        <v>45595</v>
      </c>
      <c r="M1403" s="283"/>
      <c r="N1403" s="331">
        <v>2</v>
      </c>
      <c r="O1403" s="332" t="s">
        <v>4720</v>
      </c>
      <c r="P1403" s="333">
        <v>3524.5</v>
      </c>
      <c r="Q1403" s="334">
        <v>45579</v>
      </c>
      <c r="R1403" s="272"/>
      <c r="S1403" s="272"/>
      <c r="T1403" s="272"/>
      <c r="U1403" s="272"/>
      <c r="V1403" s="272"/>
      <c r="W1403" s="272"/>
      <c r="X1403" s="272"/>
      <c r="Y1403" s="272"/>
      <c r="Z1403" s="272"/>
      <c r="AA1403" s="272"/>
    </row>
    <row r="1404" spans="1:27">
      <c r="A1404" s="326">
        <v>10</v>
      </c>
      <c r="B1404" s="327" t="s">
        <v>6412</v>
      </c>
      <c r="C1404" s="328">
        <v>45544</v>
      </c>
      <c r="D1404" s="329" t="s">
        <v>4714</v>
      </c>
      <c r="E1404" s="272" t="s">
        <v>2984</v>
      </c>
      <c r="F1404" s="272" t="s">
        <v>4715</v>
      </c>
      <c r="G1404" s="272" t="s">
        <v>4716</v>
      </c>
      <c r="H1404" s="268" t="str">
        <f t="shared" si="8"/>
        <v>CARLOS DE PAULA VERNETTA</v>
      </c>
      <c r="I1404" s="272" t="s">
        <v>5868</v>
      </c>
      <c r="J1404" s="272" t="s">
        <v>4910</v>
      </c>
      <c r="K1404" s="272" t="s">
        <v>6593</v>
      </c>
      <c r="L1404" s="330">
        <v>45595</v>
      </c>
      <c r="M1404" s="283"/>
      <c r="N1404" s="331">
        <v>2</v>
      </c>
      <c r="O1404" s="332" t="s">
        <v>4720</v>
      </c>
      <c r="P1404" s="333">
        <v>3524.49</v>
      </c>
      <c r="Q1404" s="334">
        <v>45544</v>
      </c>
      <c r="R1404" s="272"/>
      <c r="S1404" s="272"/>
      <c r="T1404" s="272"/>
      <c r="U1404" s="272"/>
      <c r="V1404" s="272"/>
      <c r="W1404" s="272"/>
      <c r="X1404" s="272"/>
      <c r="Y1404" s="272"/>
      <c r="Z1404" s="272"/>
      <c r="AA1404" s="272"/>
    </row>
    <row r="1405" spans="1:27">
      <c r="A1405" s="273">
        <v>10</v>
      </c>
      <c r="B1405" s="274" t="s">
        <v>6412</v>
      </c>
      <c r="C1405" s="314">
        <v>45554</v>
      </c>
      <c r="D1405" s="274" t="s">
        <v>4714</v>
      </c>
      <c r="E1405" s="268" t="s">
        <v>3187</v>
      </c>
      <c r="F1405" s="272" t="s">
        <v>4715</v>
      </c>
      <c r="G1405" s="268" t="s">
        <v>4716</v>
      </c>
      <c r="H1405" s="268" t="str">
        <f t="shared" si="8"/>
        <v>RAIMUNDO GÓMEZ-BLASI</v>
      </c>
      <c r="I1405" s="268" t="s">
        <v>5369</v>
      </c>
      <c r="J1405" s="272" t="s">
        <v>4718</v>
      </c>
      <c r="K1405" s="268" t="s">
        <v>6594</v>
      </c>
      <c r="L1405" s="287">
        <v>45596</v>
      </c>
      <c r="M1405" s="283"/>
      <c r="N1405" s="282">
        <v>2</v>
      </c>
      <c r="O1405" s="284" t="s">
        <v>5814</v>
      </c>
      <c r="P1405" s="280">
        <v>4000</v>
      </c>
      <c r="Q1405" s="315">
        <v>45554</v>
      </c>
      <c r="R1405" s="272"/>
      <c r="S1405" s="272"/>
      <c r="T1405" s="272"/>
      <c r="U1405" s="272"/>
      <c r="V1405" s="272"/>
      <c r="W1405" s="272"/>
      <c r="X1405" s="272"/>
      <c r="Y1405" s="272"/>
      <c r="Z1405" s="272"/>
      <c r="AA1405" s="272"/>
    </row>
    <row r="1406" spans="1:27">
      <c r="A1406" s="326">
        <v>10</v>
      </c>
      <c r="B1406" s="327" t="s">
        <v>6412</v>
      </c>
      <c r="C1406" s="328">
        <v>45568</v>
      </c>
      <c r="D1406" s="329" t="s">
        <v>4714</v>
      </c>
      <c r="E1406" s="272" t="s">
        <v>4945</v>
      </c>
      <c r="F1406" s="272" t="s">
        <v>4715</v>
      </c>
      <c r="G1406" s="272" t="s">
        <v>4716</v>
      </c>
      <c r="H1406" s="268" t="str">
        <f t="shared" si="8"/>
        <v>PEDRO JUIZ LÓPEZ</v>
      </c>
      <c r="I1406" s="272" t="s">
        <v>4946</v>
      </c>
      <c r="J1406" s="272" t="s">
        <v>4790</v>
      </c>
      <c r="K1406" s="272" t="s">
        <v>6595</v>
      </c>
      <c r="L1406" s="330">
        <v>45596</v>
      </c>
      <c r="M1406" s="283"/>
      <c r="N1406" s="331">
        <v>2</v>
      </c>
      <c r="O1406" s="332" t="s">
        <v>4720</v>
      </c>
      <c r="P1406" s="333">
        <v>3909.09</v>
      </c>
      <c r="Q1406" s="334">
        <v>45568</v>
      </c>
      <c r="R1406" s="272"/>
      <c r="S1406" s="272"/>
      <c r="T1406" s="272"/>
      <c r="U1406" s="272"/>
      <c r="V1406" s="272"/>
      <c r="W1406" s="272"/>
      <c r="X1406" s="272"/>
      <c r="Y1406" s="272"/>
      <c r="Z1406" s="272"/>
      <c r="AA1406" s="272"/>
    </row>
    <row r="1407" spans="1:27">
      <c r="A1407" s="326">
        <v>10</v>
      </c>
      <c r="B1407" s="327" t="s">
        <v>6412</v>
      </c>
      <c r="C1407" s="328">
        <v>45497</v>
      </c>
      <c r="D1407" s="329" t="s">
        <v>4714</v>
      </c>
      <c r="E1407" s="272" t="s">
        <v>3043</v>
      </c>
      <c r="F1407" s="272" t="s">
        <v>4715</v>
      </c>
      <c r="G1407" s="272" t="s">
        <v>4716</v>
      </c>
      <c r="H1407" s="268" t="str">
        <f t="shared" si="8"/>
        <v>MARÍA DEL MAR MEDINA GONZÁLEZ</v>
      </c>
      <c r="I1407" s="272" t="s">
        <v>5788</v>
      </c>
      <c r="J1407" s="272" t="s">
        <v>4718</v>
      </c>
      <c r="K1407" s="272" t="s">
        <v>6596</v>
      </c>
      <c r="L1407" s="330">
        <v>45596</v>
      </c>
      <c r="M1407" s="283"/>
      <c r="N1407" s="331">
        <v>2</v>
      </c>
      <c r="O1407" s="332" t="s">
        <v>4720</v>
      </c>
      <c r="P1407" s="333">
        <v>3422.58</v>
      </c>
      <c r="Q1407" s="334">
        <v>45497</v>
      </c>
      <c r="R1407" s="272"/>
      <c r="S1407" s="272"/>
      <c r="T1407" s="272"/>
      <c r="U1407" s="272"/>
      <c r="V1407" s="272"/>
      <c r="W1407" s="272"/>
      <c r="X1407" s="272"/>
      <c r="Y1407" s="272"/>
      <c r="Z1407" s="272"/>
      <c r="AA1407" s="272"/>
    </row>
    <row r="1408" spans="1:27">
      <c r="A1408" s="326">
        <v>10</v>
      </c>
      <c r="B1408" s="327" t="s">
        <v>6412</v>
      </c>
      <c r="C1408" s="328">
        <v>45572</v>
      </c>
      <c r="D1408" s="329" t="s">
        <v>4714</v>
      </c>
      <c r="E1408" s="272" t="s">
        <v>3193</v>
      </c>
      <c r="F1408" s="272" t="s">
        <v>4715</v>
      </c>
      <c r="G1408" s="272" t="s">
        <v>4716</v>
      </c>
      <c r="H1408" s="268" t="str">
        <f t="shared" si="8"/>
        <v>JOSE JOAQUÍN GUTIÉRREZ BARQUÍN</v>
      </c>
      <c r="I1408" s="272" t="s">
        <v>4990</v>
      </c>
      <c r="J1408" s="272" t="s">
        <v>4718</v>
      </c>
      <c r="K1408" s="272" t="s">
        <v>6597</v>
      </c>
      <c r="L1408" s="330">
        <v>45596</v>
      </c>
      <c r="M1408" s="283"/>
      <c r="N1408" s="331">
        <v>2</v>
      </c>
      <c r="O1408" s="332" t="s">
        <v>4723</v>
      </c>
      <c r="P1408" s="333">
        <v>3024.55</v>
      </c>
      <c r="Q1408" s="334">
        <v>45572</v>
      </c>
      <c r="R1408" s="272"/>
      <c r="S1408" s="272"/>
      <c r="T1408" s="272"/>
      <c r="U1408" s="272"/>
      <c r="V1408" s="272"/>
      <c r="W1408" s="272"/>
      <c r="X1408" s="272"/>
      <c r="Y1408" s="272"/>
      <c r="Z1408" s="272"/>
      <c r="AA1408" s="272"/>
    </row>
    <row r="1409" spans="1:27">
      <c r="A1409" s="326">
        <v>10</v>
      </c>
      <c r="B1409" s="327" t="s">
        <v>6412</v>
      </c>
      <c r="C1409" s="328">
        <v>45568</v>
      </c>
      <c r="D1409" s="329" t="s">
        <v>4714</v>
      </c>
      <c r="E1409" s="272" t="s">
        <v>3605</v>
      </c>
      <c r="F1409" s="272" t="s">
        <v>4715</v>
      </c>
      <c r="G1409" s="272" t="s">
        <v>4716</v>
      </c>
      <c r="H1409" s="268" t="str">
        <f t="shared" si="8"/>
        <v>JULIO LÓPEZ MOYA</v>
      </c>
      <c r="I1409" s="272" t="s">
        <v>4778</v>
      </c>
      <c r="J1409" s="272" t="s">
        <v>4718</v>
      </c>
      <c r="K1409" s="272" t="s">
        <v>6598</v>
      </c>
      <c r="L1409" s="330">
        <v>45596</v>
      </c>
      <c r="M1409" s="283"/>
      <c r="N1409" s="331">
        <v>2</v>
      </c>
      <c r="O1409" s="332" t="s">
        <v>5814</v>
      </c>
      <c r="P1409" s="333">
        <v>4000</v>
      </c>
      <c r="Q1409" s="334">
        <v>45568</v>
      </c>
      <c r="R1409" s="272"/>
      <c r="S1409" s="272"/>
      <c r="T1409" s="272"/>
      <c r="U1409" s="272"/>
      <c r="V1409" s="272"/>
      <c r="W1409" s="272"/>
      <c r="X1409" s="272"/>
      <c r="Y1409" s="272"/>
      <c r="Z1409" s="272"/>
      <c r="AA1409" s="272"/>
    </row>
    <row r="1410" spans="1:27">
      <c r="A1410" s="326">
        <v>10</v>
      </c>
      <c r="B1410" s="327" t="s">
        <v>6412</v>
      </c>
      <c r="C1410" s="328">
        <v>45567</v>
      </c>
      <c r="D1410" s="329" t="s">
        <v>4714</v>
      </c>
      <c r="E1410" s="272" t="s">
        <v>2869</v>
      </c>
      <c r="F1410" s="272" t="s">
        <v>4715</v>
      </c>
      <c r="G1410" s="272" t="s">
        <v>4716</v>
      </c>
      <c r="H1410" s="268" t="str">
        <f t="shared" si="8"/>
        <v>NURIA SALAS BARRIO</v>
      </c>
      <c r="I1410" s="272" t="s">
        <v>5293</v>
      </c>
      <c r="J1410" s="272" t="s">
        <v>4736</v>
      </c>
      <c r="K1410" s="272" t="s">
        <v>6599</v>
      </c>
      <c r="L1410" s="330">
        <v>45596</v>
      </c>
      <c r="M1410" s="283"/>
      <c r="N1410" s="331">
        <v>2</v>
      </c>
      <c r="O1410" s="332" t="s">
        <v>5814</v>
      </c>
      <c r="P1410" s="333">
        <v>4000</v>
      </c>
      <c r="Q1410" s="336">
        <v>45567</v>
      </c>
      <c r="R1410" s="272"/>
      <c r="S1410" s="272"/>
      <c r="T1410" s="272"/>
      <c r="U1410" s="272"/>
      <c r="V1410" s="272"/>
      <c r="W1410" s="272"/>
      <c r="X1410" s="272"/>
      <c r="Y1410" s="272"/>
      <c r="Z1410" s="272"/>
      <c r="AA1410" s="272"/>
    </row>
    <row r="1411" spans="1:27">
      <c r="A1411" s="326">
        <v>10</v>
      </c>
      <c r="B1411" s="327" t="s">
        <v>6412</v>
      </c>
      <c r="C1411" s="328">
        <v>45576</v>
      </c>
      <c r="D1411" s="329" t="s">
        <v>4714</v>
      </c>
      <c r="E1411" s="272" t="s">
        <v>2900</v>
      </c>
      <c r="F1411" s="272" t="s">
        <v>4715</v>
      </c>
      <c r="G1411" s="272" t="s">
        <v>4716</v>
      </c>
      <c r="H1411" s="268" t="str">
        <f t="shared" si="8"/>
        <v>ALEJANDRO DÍAZ UÑA</v>
      </c>
      <c r="I1411" s="272" t="s">
        <v>6352</v>
      </c>
      <c r="J1411" s="272" t="s">
        <v>4790</v>
      </c>
      <c r="K1411" s="272" t="s">
        <v>6600</v>
      </c>
      <c r="L1411" s="330">
        <v>45596</v>
      </c>
      <c r="M1411" s="283"/>
      <c r="N1411" s="331">
        <v>2</v>
      </c>
      <c r="O1411" s="332" t="s">
        <v>4740</v>
      </c>
      <c r="P1411" s="333">
        <v>3799.85</v>
      </c>
      <c r="Q1411" s="334">
        <v>45576</v>
      </c>
      <c r="R1411" s="272"/>
      <c r="S1411" s="272"/>
      <c r="T1411" s="272"/>
      <c r="U1411" s="272"/>
      <c r="V1411" s="272"/>
      <c r="W1411" s="272"/>
      <c r="X1411" s="272"/>
      <c r="Y1411" s="272"/>
      <c r="Z1411" s="272"/>
      <c r="AA1411" s="272"/>
    </row>
    <row r="1412" spans="1:27">
      <c r="A1412" s="326">
        <v>10</v>
      </c>
      <c r="B1412" s="327" t="s">
        <v>6412</v>
      </c>
      <c r="C1412" s="328">
        <v>45573</v>
      </c>
      <c r="D1412" s="329" t="s">
        <v>4714</v>
      </c>
      <c r="E1412" s="272" t="s">
        <v>2900</v>
      </c>
      <c r="F1412" s="272" t="s">
        <v>4715</v>
      </c>
      <c r="G1412" s="272" t="s">
        <v>4716</v>
      </c>
      <c r="H1412" s="268" t="str">
        <f t="shared" si="8"/>
        <v>MARÍA REY MARCOS</v>
      </c>
      <c r="I1412" s="272" t="s">
        <v>4952</v>
      </c>
      <c r="J1412" s="272" t="s">
        <v>4790</v>
      </c>
      <c r="K1412" s="272" t="s">
        <v>6601</v>
      </c>
      <c r="L1412" s="330">
        <v>45596</v>
      </c>
      <c r="M1412" s="283"/>
      <c r="N1412" s="331">
        <v>2</v>
      </c>
      <c r="O1412" s="332" t="s">
        <v>4740</v>
      </c>
      <c r="P1412" s="333">
        <v>3999.85</v>
      </c>
      <c r="Q1412" s="334">
        <v>45573</v>
      </c>
      <c r="R1412" s="272"/>
      <c r="S1412" s="272"/>
      <c r="T1412" s="272"/>
      <c r="U1412" s="272"/>
      <c r="V1412" s="272"/>
      <c r="W1412" s="272"/>
      <c r="X1412" s="272"/>
      <c r="Y1412" s="272"/>
      <c r="Z1412" s="272"/>
      <c r="AA1412" s="272"/>
    </row>
    <row r="1413" spans="1:27">
      <c r="A1413" s="326">
        <v>10</v>
      </c>
      <c r="B1413" s="327" t="s">
        <v>6412</v>
      </c>
      <c r="C1413" s="328">
        <v>45548</v>
      </c>
      <c r="D1413" s="329" t="s">
        <v>4714</v>
      </c>
      <c r="E1413" s="268" t="s">
        <v>2886</v>
      </c>
      <c r="F1413" s="272" t="s">
        <v>4715</v>
      </c>
      <c r="G1413" s="272" t="s">
        <v>4716</v>
      </c>
      <c r="H1413" s="268" t="str">
        <f t="shared" si="8"/>
        <v>FERNANDO GARCÍA ALCÁNTARA</v>
      </c>
      <c r="I1413" s="272" t="s">
        <v>5414</v>
      </c>
      <c r="J1413" s="272" t="s">
        <v>4718</v>
      </c>
      <c r="K1413" s="272" t="s">
        <v>6602</v>
      </c>
      <c r="L1413" s="330">
        <v>45596</v>
      </c>
      <c r="M1413" s="283"/>
      <c r="N1413" s="331">
        <v>2</v>
      </c>
      <c r="O1413" s="332" t="s">
        <v>4787</v>
      </c>
      <c r="P1413" s="333">
        <v>4180</v>
      </c>
      <c r="Q1413" s="334">
        <v>45548</v>
      </c>
      <c r="R1413" s="272"/>
      <c r="S1413" s="272"/>
      <c r="T1413" s="272"/>
      <c r="U1413" s="272"/>
      <c r="V1413" s="272"/>
      <c r="W1413" s="272"/>
      <c r="X1413" s="272"/>
      <c r="Y1413" s="272"/>
      <c r="Z1413" s="272"/>
      <c r="AA1413" s="272"/>
    </row>
    <row r="1414" spans="1:27">
      <c r="A1414" s="338">
        <v>11</v>
      </c>
      <c r="B1414" s="339" t="s">
        <v>6603</v>
      </c>
      <c r="C1414" s="340">
        <v>45580</v>
      </c>
      <c r="D1414" s="339" t="s">
        <v>4714</v>
      </c>
      <c r="E1414" s="268" t="s">
        <v>2935</v>
      </c>
      <c r="F1414" s="268" t="s">
        <v>4715</v>
      </c>
      <c r="G1414" s="268" t="s">
        <v>4716</v>
      </c>
      <c r="H1414" s="268" t="str">
        <f t="shared" si="8"/>
        <v>JOAQUIN ALACIO CASERO</v>
      </c>
      <c r="I1414" s="268" t="s">
        <v>6604</v>
      </c>
      <c r="J1414" s="268" t="s">
        <v>4718</v>
      </c>
      <c r="K1414" s="268" t="s">
        <v>6605</v>
      </c>
      <c r="L1414" s="287">
        <v>45600</v>
      </c>
      <c r="M1414" s="277"/>
      <c r="N1414" s="282">
        <v>2</v>
      </c>
      <c r="O1414" s="284" t="s">
        <v>5814</v>
      </c>
      <c r="P1414" s="280">
        <v>4136.3599999999997</v>
      </c>
      <c r="Q1414" s="287">
        <v>45580</v>
      </c>
      <c r="R1414" s="272"/>
      <c r="S1414" s="272"/>
      <c r="T1414" s="272"/>
      <c r="U1414" s="272"/>
      <c r="V1414" s="272"/>
      <c r="W1414" s="272"/>
      <c r="X1414" s="272"/>
      <c r="Y1414" s="272"/>
      <c r="Z1414" s="272"/>
      <c r="AA1414" s="272"/>
    </row>
    <row r="1415" spans="1:27">
      <c r="A1415" s="338">
        <v>11</v>
      </c>
      <c r="B1415" s="339" t="s">
        <v>6603</v>
      </c>
      <c r="C1415" s="340">
        <v>45275</v>
      </c>
      <c r="D1415" s="339" t="s">
        <v>4714</v>
      </c>
      <c r="E1415" s="268" t="s">
        <v>4749</v>
      </c>
      <c r="F1415" s="268" t="s">
        <v>4715</v>
      </c>
      <c r="G1415" s="268" t="s">
        <v>4716</v>
      </c>
      <c r="H1415" s="268" t="str">
        <f t="shared" si="8"/>
        <v>DIANA LISBETH</v>
      </c>
      <c r="I1415" s="268" t="s">
        <v>4955</v>
      </c>
      <c r="J1415" s="268" t="s">
        <v>4747</v>
      </c>
      <c r="K1415" s="268" t="s">
        <v>6606</v>
      </c>
      <c r="L1415" s="287">
        <v>45600</v>
      </c>
      <c r="M1415" s="277"/>
      <c r="N1415" s="282">
        <v>2</v>
      </c>
      <c r="O1415" s="284" t="s">
        <v>4720</v>
      </c>
      <c r="P1415" s="280">
        <v>3545.45</v>
      </c>
      <c r="Q1415" s="287">
        <v>45275</v>
      </c>
      <c r="R1415" s="272"/>
      <c r="S1415" s="272"/>
      <c r="T1415" s="272"/>
      <c r="U1415" s="272"/>
      <c r="V1415" s="272"/>
      <c r="W1415" s="272"/>
      <c r="X1415" s="272"/>
      <c r="Y1415" s="272"/>
      <c r="Z1415" s="272"/>
      <c r="AA1415" s="272"/>
    </row>
    <row r="1416" spans="1:27">
      <c r="A1416" s="338">
        <v>11</v>
      </c>
      <c r="B1416" s="339" t="s">
        <v>6603</v>
      </c>
      <c r="C1416" s="340">
        <v>45400</v>
      </c>
      <c r="D1416" s="339" t="s">
        <v>4714</v>
      </c>
      <c r="E1416" s="268" t="s">
        <v>4759</v>
      </c>
      <c r="F1416" s="268" t="s">
        <v>4715</v>
      </c>
      <c r="G1416" s="268" t="s">
        <v>4716</v>
      </c>
      <c r="H1416" s="268" t="str">
        <f t="shared" si="8"/>
        <v>MANUEL ACUÑA GARCÍA</v>
      </c>
      <c r="I1416" s="268" t="s">
        <v>4746</v>
      </c>
      <c r="J1416" s="268" t="s">
        <v>4747</v>
      </c>
      <c r="K1416" s="268" t="s">
        <v>6607</v>
      </c>
      <c r="L1416" s="287">
        <v>45600</v>
      </c>
      <c r="M1416" s="277"/>
      <c r="N1416" s="282">
        <v>1</v>
      </c>
      <c r="O1416" s="284" t="s">
        <v>4720</v>
      </c>
      <c r="P1416" s="280">
        <v>1761.36</v>
      </c>
      <c r="Q1416" s="287">
        <v>45400</v>
      </c>
      <c r="R1416" s="272"/>
      <c r="S1416" s="272"/>
      <c r="T1416" s="272"/>
      <c r="U1416" s="272"/>
      <c r="V1416" s="272"/>
      <c r="W1416" s="272"/>
      <c r="X1416" s="272"/>
      <c r="Y1416" s="272"/>
      <c r="Z1416" s="272"/>
      <c r="AA1416" s="272"/>
    </row>
    <row r="1417" spans="1:27">
      <c r="A1417" s="338">
        <v>11</v>
      </c>
      <c r="B1417" s="339" t="s">
        <v>6603</v>
      </c>
      <c r="C1417" s="340">
        <v>45523</v>
      </c>
      <c r="D1417" s="339" t="s">
        <v>4714</v>
      </c>
      <c r="E1417" s="268" t="s">
        <v>4749</v>
      </c>
      <c r="F1417" s="268" t="s">
        <v>4715</v>
      </c>
      <c r="G1417" s="268" t="s">
        <v>4716</v>
      </c>
      <c r="H1417" s="268" t="str">
        <f t="shared" si="8"/>
        <v>MÓNICA GRANDA ROSALES</v>
      </c>
      <c r="I1417" s="268" t="s">
        <v>4750</v>
      </c>
      <c r="J1417" s="268" t="s">
        <v>4747</v>
      </c>
      <c r="K1417" s="268" t="s">
        <v>6608</v>
      </c>
      <c r="L1417" s="287">
        <v>45600</v>
      </c>
      <c r="M1417" s="277"/>
      <c r="N1417" s="282">
        <v>2</v>
      </c>
      <c r="O1417" s="284" t="s">
        <v>4723</v>
      </c>
      <c r="P1417" s="280">
        <v>3545.45</v>
      </c>
      <c r="Q1417" s="287">
        <v>45523</v>
      </c>
      <c r="R1417" s="272"/>
      <c r="S1417" s="272"/>
      <c r="T1417" s="272"/>
      <c r="U1417" s="272"/>
      <c r="V1417" s="272"/>
      <c r="W1417" s="272"/>
      <c r="X1417" s="272"/>
      <c r="Y1417" s="272"/>
      <c r="Z1417" s="272"/>
      <c r="AA1417" s="272"/>
    </row>
    <row r="1418" spans="1:27">
      <c r="A1418" s="338">
        <v>11</v>
      </c>
      <c r="B1418" s="339" t="s">
        <v>6603</v>
      </c>
      <c r="C1418" s="340">
        <v>45540</v>
      </c>
      <c r="D1418" s="339" t="s">
        <v>4714</v>
      </c>
      <c r="E1418" s="268" t="s">
        <v>4780</v>
      </c>
      <c r="F1418" s="268" t="s">
        <v>4715</v>
      </c>
      <c r="G1418" s="268" t="s">
        <v>4716</v>
      </c>
      <c r="H1418" s="268" t="str">
        <f t="shared" si="8"/>
        <v>LUIS MIGUEL RINCÓN ESTEBAN</v>
      </c>
      <c r="I1418" s="268" t="s">
        <v>5307</v>
      </c>
      <c r="J1418" s="268" t="s">
        <v>4747</v>
      </c>
      <c r="K1418" s="268" t="s">
        <v>6609</v>
      </c>
      <c r="L1418" s="287">
        <v>45600</v>
      </c>
      <c r="M1418" s="277"/>
      <c r="N1418" s="282">
        <v>2</v>
      </c>
      <c r="O1418" s="284" t="s">
        <v>4720</v>
      </c>
      <c r="P1418" s="280">
        <v>3604.55</v>
      </c>
      <c r="Q1418" s="287">
        <v>45540</v>
      </c>
      <c r="R1418" s="272"/>
      <c r="S1418" s="272"/>
      <c r="T1418" s="272"/>
      <c r="U1418" s="272"/>
      <c r="V1418" s="272"/>
      <c r="W1418" s="272"/>
      <c r="X1418" s="272"/>
      <c r="Y1418" s="272"/>
      <c r="Z1418" s="272"/>
      <c r="AA1418" s="272"/>
    </row>
    <row r="1419" spans="1:27">
      <c r="A1419" s="338">
        <v>11</v>
      </c>
      <c r="B1419" s="339" t="s">
        <v>6603</v>
      </c>
      <c r="C1419" s="340">
        <v>45566</v>
      </c>
      <c r="D1419" s="339" t="s">
        <v>4714</v>
      </c>
      <c r="E1419" s="268" t="s">
        <v>3529</v>
      </c>
      <c r="F1419" s="268" t="s">
        <v>4715</v>
      </c>
      <c r="G1419" s="268" t="s">
        <v>4716</v>
      </c>
      <c r="H1419" s="268" t="str">
        <f t="shared" si="8"/>
        <v>MIRIAM GONZÁLEZ GARCÍA</v>
      </c>
      <c r="I1419" s="268" t="s">
        <v>6610</v>
      </c>
      <c r="J1419" s="268" t="s">
        <v>4729</v>
      </c>
      <c r="K1419" s="268" t="s">
        <v>6611</v>
      </c>
      <c r="L1419" s="287">
        <v>45600</v>
      </c>
      <c r="M1419" s="277"/>
      <c r="N1419" s="282">
        <v>1</v>
      </c>
      <c r="O1419" s="284" t="s">
        <v>4740</v>
      </c>
      <c r="P1419" s="280">
        <v>2400</v>
      </c>
      <c r="Q1419" s="287">
        <v>45566</v>
      </c>
      <c r="R1419" s="272"/>
      <c r="S1419" s="272"/>
      <c r="T1419" s="272"/>
      <c r="U1419" s="272"/>
      <c r="V1419" s="272"/>
      <c r="W1419" s="272"/>
      <c r="X1419" s="272"/>
      <c r="Y1419" s="272"/>
      <c r="Z1419" s="272"/>
      <c r="AA1419" s="272"/>
    </row>
    <row r="1420" spans="1:27">
      <c r="A1420" s="338">
        <v>11</v>
      </c>
      <c r="B1420" s="339" t="s">
        <v>6603</v>
      </c>
      <c r="C1420" s="340">
        <v>45568</v>
      </c>
      <c r="D1420" s="339" t="s">
        <v>4714</v>
      </c>
      <c r="E1420" s="268" t="s">
        <v>6612</v>
      </c>
      <c r="F1420" s="268" t="s">
        <v>4715</v>
      </c>
      <c r="G1420" s="268" t="s">
        <v>4716</v>
      </c>
      <c r="H1420" s="268" t="str">
        <f t="shared" si="8"/>
        <v>PEDRO FRANCISCO MARTÍNEZ GUISADO</v>
      </c>
      <c r="I1420" s="268" t="s">
        <v>6613</v>
      </c>
      <c r="J1420" s="268" t="s">
        <v>4729</v>
      </c>
      <c r="K1420" s="268" t="s">
        <v>6614</v>
      </c>
      <c r="L1420" s="287">
        <v>45600</v>
      </c>
      <c r="M1420" s="277"/>
      <c r="N1420" s="282">
        <v>2</v>
      </c>
      <c r="O1420" s="284" t="s">
        <v>4723</v>
      </c>
      <c r="P1420" s="280">
        <v>3045.45</v>
      </c>
      <c r="Q1420" s="287">
        <v>45568</v>
      </c>
      <c r="R1420" s="272"/>
      <c r="S1420" s="272"/>
      <c r="T1420" s="272"/>
      <c r="U1420" s="272"/>
      <c r="V1420" s="272"/>
      <c r="W1420" s="272"/>
      <c r="X1420" s="272"/>
      <c r="Y1420" s="272"/>
      <c r="Z1420" s="272"/>
      <c r="AA1420" s="272"/>
    </row>
    <row r="1421" spans="1:27">
      <c r="A1421" s="338">
        <v>11</v>
      </c>
      <c r="B1421" s="339" t="s">
        <v>6603</v>
      </c>
      <c r="C1421" s="340">
        <v>45320</v>
      </c>
      <c r="D1421" s="339" t="s">
        <v>4714</v>
      </c>
      <c r="E1421" s="268" t="s">
        <v>2935</v>
      </c>
      <c r="F1421" s="268" t="s">
        <v>4715</v>
      </c>
      <c r="G1421" s="268" t="s">
        <v>4716</v>
      </c>
      <c r="H1421" s="268" t="str">
        <f t="shared" si="8"/>
        <v>ÁLVARO SÁNCHEZ DE ARRIBA</v>
      </c>
      <c r="I1421" s="268" t="s">
        <v>6615</v>
      </c>
      <c r="J1421" s="268" t="s">
        <v>4822</v>
      </c>
      <c r="K1421" s="268" t="s">
        <v>6616</v>
      </c>
      <c r="L1421" s="287">
        <v>45601</v>
      </c>
      <c r="M1421" s="277"/>
      <c r="N1421" s="282">
        <v>2</v>
      </c>
      <c r="O1421" s="284" t="s">
        <v>4792</v>
      </c>
      <c r="P1421" s="280">
        <v>2090.91</v>
      </c>
      <c r="Q1421" s="287">
        <v>45320</v>
      </c>
      <c r="R1421" s="272"/>
      <c r="S1421" s="272"/>
      <c r="T1421" s="272"/>
      <c r="U1421" s="272"/>
      <c r="V1421" s="272"/>
      <c r="W1421" s="272"/>
      <c r="X1421" s="272"/>
      <c r="Y1421" s="272"/>
      <c r="Z1421" s="272"/>
      <c r="AA1421" s="272"/>
    </row>
    <row r="1422" spans="1:27">
      <c r="A1422" s="338">
        <v>11</v>
      </c>
      <c r="B1422" s="339" t="s">
        <v>6603</v>
      </c>
      <c r="C1422" s="340">
        <v>45574</v>
      </c>
      <c r="D1422" s="339" t="s">
        <v>4714</v>
      </c>
      <c r="E1422" s="268" t="s">
        <v>2869</v>
      </c>
      <c r="F1422" s="268" t="s">
        <v>4715</v>
      </c>
      <c r="G1422" s="268" t="s">
        <v>4716</v>
      </c>
      <c r="H1422" s="268" t="str">
        <f t="shared" si="8"/>
        <v>MARÍA AGUSTINA SEVILLA GARCÍA</v>
      </c>
      <c r="I1422" s="268" t="s">
        <v>4812</v>
      </c>
      <c r="J1422" s="268" t="s">
        <v>4736</v>
      </c>
      <c r="K1422" s="268" t="s">
        <v>6617</v>
      </c>
      <c r="L1422" s="287">
        <v>45601</v>
      </c>
      <c r="M1422" s="277"/>
      <c r="N1422" s="282">
        <v>2</v>
      </c>
      <c r="O1422" s="284" t="s">
        <v>5814</v>
      </c>
      <c r="P1422" s="280">
        <v>4000</v>
      </c>
      <c r="Q1422" s="287">
        <v>45574</v>
      </c>
      <c r="R1422" s="272"/>
      <c r="S1422" s="272"/>
      <c r="T1422" s="272"/>
      <c r="U1422" s="272"/>
      <c r="V1422" s="272"/>
      <c r="W1422" s="272"/>
      <c r="X1422" s="272"/>
      <c r="Y1422" s="272"/>
      <c r="Z1422" s="272"/>
      <c r="AA1422" s="272"/>
    </row>
    <row r="1423" spans="1:27">
      <c r="A1423" s="338">
        <v>11</v>
      </c>
      <c r="B1423" s="339" t="s">
        <v>6603</v>
      </c>
      <c r="C1423" s="340">
        <v>45546</v>
      </c>
      <c r="D1423" s="339" t="s">
        <v>4714</v>
      </c>
      <c r="E1423" s="268" t="s">
        <v>2900</v>
      </c>
      <c r="F1423" s="268" t="s">
        <v>4715</v>
      </c>
      <c r="G1423" s="268" t="s">
        <v>4716</v>
      </c>
      <c r="H1423" s="268" t="str">
        <f t="shared" si="8"/>
        <v>JOSE ANTONIO TORRE EIRIZ</v>
      </c>
      <c r="I1423" s="268" t="s">
        <v>6067</v>
      </c>
      <c r="J1423" s="268" t="s">
        <v>4790</v>
      </c>
      <c r="K1423" s="268" t="s">
        <v>6618</v>
      </c>
      <c r="L1423" s="287">
        <v>45601</v>
      </c>
      <c r="M1423" s="277"/>
      <c r="N1423" s="282">
        <v>2</v>
      </c>
      <c r="O1423" s="284" t="s">
        <v>4723</v>
      </c>
      <c r="P1423" s="280">
        <v>2888.18</v>
      </c>
      <c r="Q1423" s="287">
        <v>45546</v>
      </c>
      <c r="R1423" s="272"/>
      <c r="S1423" s="272"/>
      <c r="T1423" s="272"/>
      <c r="U1423" s="272"/>
      <c r="V1423" s="272"/>
      <c r="W1423" s="272"/>
      <c r="X1423" s="272"/>
      <c r="Y1423" s="272"/>
      <c r="Z1423" s="272"/>
      <c r="AA1423" s="272"/>
    </row>
    <row r="1424" spans="1:27">
      <c r="A1424" s="338">
        <v>11</v>
      </c>
      <c r="B1424" s="339" t="s">
        <v>6603</v>
      </c>
      <c r="C1424" s="340">
        <v>45553</v>
      </c>
      <c r="D1424" s="339" t="s">
        <v>4714</v>
      </c>
      <c r="E1424" s="268" t="s">
        <v>4780</v>
      </c>
      <c r="F1424" s="268" t="s">
        <v>4715</v>
      </c>
      <c r="G1424" s="268" t="s">
        <v>4716</v>
      </c>
      <c r="H1424" s="268" t="str">
        <f t="shared" si="8"/>
        <v>ÁNGEL MUÑOZ HERRERA</v>
      </c>
      <c r="I1424" s="268" t="s">
        <v>4940</v>
      </c>
      <c r="J1424" s="268" t="s">
        <v>4747</v>
      </c>
      <c r="K1424" s="268" t="s">
        <v>6619</v>
      </c>
      <c r="L1424" s="287">
        <v>45601</v>
      </c>
      <c r="M1424" s="277"/>
      <c r="N1424" s="282">
        <v>2</v>
      </c>
      <c r="O1424" s="284" t="s">
        <v>4720</v>
      </c>
      <c r="P1424" s="280">
        <v>3604.55</v>
      </c>
      <c r="Q1424" s="287">
        <v>45553</v>
      </c>
      <c r="R1424" s="272"/>
      <c r="S1424" s="272"/>
      <c r="T1424" s="272"/>
      <c r="U1424" s="272"/>
      <c r="V1424" s="272"/>
      <c r="W1424" s="272"/>
      <c r="X1424" s="272"/>
      <c r="Y1424" s="272"/>
      <c r="Z1424" s="272"/>
      <c r="AA1424" s="272"/>
    </row>
    <row r="1425" spans="1:27">
      <c r="A1425" s="338">
        <v>11</v>
      </c>
      <c r="B1425" s="339" t="s">
        <v>6603</v>
      </c>
      <c r="C1425" s="340">
        <v>45566</v>
      </c>
      <c r="D1425" s="339" t="s">
        <v>4714</v>
      </c>
      <c r="E1425" s="268" t="s">
        <v>5225</v>
      </c>
      <c r="F1425" s="268" t="s">
        <v>4715</v>
      </c>
      <c r="G1425" s="268" t="s">
        <v>4716</v>
      </c>
      <c r="H1425" s="268" t="str">
        <f t="shared" si="8"/>
        <v>CARLOS VIDAL REDONDO</v>
      </c>
      <c r="I1425" s="268" t="s">
        <v>4828</v>
      </c>
      <c r="J1425" s="268" t="s">
        <v>4790</v>
      </c>
      <c r="K1425" s="268" t="s">
        <v>6620</v>
      </c>
      <c r="L1425" s="287">
        <v>45601</v>
      </c>
      <c r="M1425" s="277"/>
      <c r="N1425" s="282">
        <v>2</v>
      </c>
      <c r="O1425" s="284" t="s">
        <v>4720</v>
      </c>
      <c r="P1425" s="280">
        <v>3524.5</v>
      </c>
      <c r="Q1425" s="287">
        <v>45566</v>
      </c>
      <c r="R1425" s="272"/>
      <c r="S1425" s="272"/>
      <c r="T1425" s="272"/>
      <c r="U1425" s="272"/>
      <c r="V1425" s="272"/>
      <c r="W1425" s="272"/>
      <c r="X1425" s="272"/>
      <c r="Y1425" s="272"/>
      <c r="Z1425" s="272"/>
      <c r="AA1425" s="272"/>
    </row>
    <row r="1426" spans="1:27">
      <c r="A1426" s="338">
        <v>11</v>
      </c>
      <c r="B1426" s="339" t="s">
        <v>6603</v>
      </c>
      <c r="C1426" s="340">
        <v>45561</v>
      </c>
      <c r="D1426" s="339" t="s">
        <v>4714</v>
      </c>
      <c r="E1426" s="268" t="s">
        <v>4203</v>
      </c>
      <c r="F1426" s="268" t="s">
        <v>4715</v>
      </c>
      <c r="G1426" s="268" t="s">
        <v>4716</v>
      </c>
      <c r="H1426" s="268" t="str">
        <f t="shared" si="8"/>
        <v>JAVIER PADILLA CABALLERO</v>
      </c>
      <c r="I1426" s="268" t="s">
        <v>6621</v>
      </c>
      <c r="J1426" s="268" t="s">
        <v>4736</v>
      </c>
      <c r="K1426" s="268" t="s">
        <v>6622</v>
      </c>
      <c r="L1426" s="287">
        <v>45602</v>
      </c>
      <c r="M1426" s="277"/>
      <c r="N1426" s="282">
        <v>2</v>
      </c>
      <c r="O1426" s="284" t="s">
        <v>5814</v>
      </c>
      <c r="P1426" s="280">
        <v>4000</v>
      </c>
      <c r="Q1426" s="287">
        <v>45561</v>
      </c>
      <c r="R1426" s="272"/>
      <c r="S1426" s="272"/>
      <c r="T1426" s="272"/>
      <c r="U1426" s="272"/>
      <c r="V1426" s="272"/>
      <c r="W1426" s="272"/>
      <c r="X1426" s="272"/>
      <c r="Y1426" s="272"/>
      <c r="Z1426" s="272"/>
      <c r="AA1426" s="272"/>
    </row>
    <row r="1427" spans="1:27">
      <c r="A1427" s="338">
        <v>11</v>
      </c>
      <c r="B1427" s="339" t="s">
        <v>6603</v>
      </c>
      <c r="C1427" s="340">
        <v>45567</v>
      </c>
      <c r="D1427" s="339" t="s">
        <v>4714</v>
      </c>
      <c r="E1427" s="268" t="s">
        <v>2909</v>
      </c>
      <c r="F1427" s="268" t="s">
        <v>4715</v>
      </c>
      <c r="G1427" s="268" t="s">
        <v>4716</v>
      </c>
      <c r="H1427" s="268" t="str">
        <f t="shared" si="8"/>
        <v>MARTA SANDOVAL PUIG</v>
      </c>
      <c r="I1427" s="268" t="s">
        <v>5055</v>
      </c>
      <c r="J1427" s="268" t="s">
        <v>4806</v>
      </c>
      <c r="K1427" s="268" t="s">
        <v>6623</v>
      </c>
      <c r="L1427" s="287">
        <v>45602</v>
      </c>
      <c r="M1427" s="277"/>
      <c r="N1427" s="282">
        <v>2</v>
      </c>
      <c r="O1427" s="284" t="s">
        <v>4723</v>
      </c>
      <c r="P1427" s="280">
        <v>2888.18</v>
      </c>
      <c r="Q1427" s="287">
        <v>45567</v>
      </c>
      <c r="R1427" s="272"/>
      <c r="S1427" s="272"/>
      <c r="T1427" s="272"/>
      <c r="U1427" s="272"/>
      <c r="V1427" s="272"/>
      <c r="W1427" s="272"/>
      <c r="X1427" s="272"/>
      <c r="Y1427" s="272"/>
      <c r="Z1427" s="272"/>
      <c r="AA1427" s="272"/>
    </row>
    <row r="1428" spans="1:27">
      <c r="A1428" s="338">
        <v>11</v>
      </c>
      <c r="B1428" s="339" t="s">
        <v>6603</v>
      </c>
      <c r="C1428" s="340">
        <v>45567</v>
      </c>
      <c r="D1428" s="339" t="s">
        <v>4714</v>
      </c>
      <c r="E1428" s="268" t="s">
        <v>3218</v>
      </c>
      <c r="F1428" s="268" t="s">
        <v>4715</v>
      </c>
      <c r="G1428" s="268" t="s">
        <v>4716</v>
      </c>
      <c r="H1428" s="268" t="str">
        <f t="shared" si="8"/>
        <v>MIREIA GOLET FORS</v>
      </c>
      <c r="I1428" s="268" t="s">
        <v>6560</v>
      </c>
      <c r="J1428" s="268" t="s">
        <v>4806</v>
      </c>
      <c r="K1428" s="268" t="s">
        <v>6624</v>
      </c>
      <c r="L1428" s="287">
        <v>45602</v>
      </c>
      <c r="M1428" s="277"/>
      <c r="N1428" s="282">
        <v>2</v>
      </c>
      <c r="O1428" s="284" t="s">
        <v>4723</v>
      </c>
      <c r="P1428" s="280">
        <v>2743.77</v>
      </c>
      <c r="Q1428" s="287">
        <v>45567</v>
      </c>
      <c r="R1428" s="272"/>
      <c r="S1428" s="272"/>
      <c r="T1428" s="272"/>
      <c r="U1428" s="272"/>
      <c r="V1428" s="272"/>
      <c r="W1428" s="272"/>
      <c r="X1428" s="272"/>
      <c r="Y1428" s="272"/>
      <c r="Z1428" s="272"/>
      <c r="AA1428" s="272"/>
    </row>
    <row r="1429" spans="1:27">
      <c r="A1429" s="338">
        <v>11</v>
      </c>
      <c r="B1429" s="339" t="s">
        <v>6603</v>
      </c>
      <c r="C1429" s="340">
        <v>45602</v>
      </c>
      <c r="D1429" s="339" t="s">
        <v>4714</v>
      </c>
      <c r="E1429" s="268" t="s">
        <v>3193</v>
      </c>
      <c r="F1429" s="268" t="s">
        <v>4715</v>
      </c>
      <c r="G1429" s="268" t="s">
        <v>4716</v>
      </c>
      <c r="H1429" s="268" t="str">
        <f t="shared" si="8"/>
        <v>JOSE JOAQUÍN GUTIÉRREZ BARQUÍN</v>
      </c>
      <c r="I1429" s="268" t="s">
        <v>4990</v>
      </c>
      <c r="J1429" s="268" t="s">
        <v>4718</v>
      </c>
      <c r="K1429" s="268" t="s">
        <v>6625</v>
      </c>
      <c r="L1429" s="287">
        <v>45602</v>
      </c>
      <c r="M1429" s="277"/>
      <c r="N1429" s="282">
        <v>2</v>
      </c>
      <c r="O1429" s="284" t="s">
        <v>4720</v>
      </c>
      <c r="P1429" s="280">
        <v>3654.55</v>
      </c>
      <c r="Q1429" s="287">
        <v>45602</v>
      </c>
      <c r="R1429" s="272"/>
      <c r="S1429" s="272"/>
      <c r="T1429" s="272"/>
      <c r="U1429" s="272"/>
      <c r="V1429" s="272"/>
      <c r="W1429" s="272"/>
      <c r="X1429" s="272"/>
      <c r="Y1429" s="272"/>
      <c r="Z1429" s="272"/>
      <c r="AA1429" s="272"/>
    </row>
    <row r="1430" spans="1:27">
      <c r="A1430" s="338">
        <v>11</v>
      </c>
      <c r="B1430" s="339" t="s">
        <v>6603</v>
      </c>
      <c r="C1430" s="340">
        <v>45572</v>
      </c>
      <c r="D1430" s="339" t="s">
        <v>4714</v>
      </c>
      <c r="E1430" s="268" t="s">
        <v>2869</v>
      </c>
      <c r="F1430" s="268" t="s">
        <v>4715</v>
      </c>
      <c r="G1430" s="268" t="s">
        <v>4716</v>
      </c>
      <c r="H1430" s="268" t="str">
        <f t="shared" si="8"/>
        <v>MARÍA AGUSTINA SEVILLA GARCÍA</v>
      </c>
      <c r="I1430" s="268" t="s">
        <v>4812</v>
      </c>
      <c r="J1430" s="268" t="s">
        <v>4736</v>
      </c>
      <c r="K1430" s="268" t="s">
        <v>6626</v>
      </c>
      <c r="L1430" s="287">
        <v>45602</v>
      </c>
      <c r="M1430" s="277"/>
      <c r="N1430" s="282">
        <v>2</v>
      </c>
      <c r="O1430" s="284" t="s">
        <v>4720</v>
      </c>
      <c r="P1430" s="280">
        <v>3524.04</v>
      </c>
      <c r="Q1430" s="287">
        <v>45572</v>
      </c>
      <c r="R1430" s="272"/>
      <c r="S1430" s="272"/>
      <c r="T1430" s="272"/>
      <c r="U1430" s="272"/>
      <c r="V1430" s="272"/>
      <c r="W1430" s="272"/>
      <c r="X1430" s="272"/>
      <c r="Y1430" s="272"/>
      <c r="Z1430" s="272"/>
      <c r="AA1430" s="272"/>
    </row>
    <row r="1431" spans="1:27">
      <c r="A1431" s="338">
        <v>11</v>
      </c>
      <c r="B1431" s="339" t="s">
        <v>6603</v>
      </c>
      <c r="C1431" s="340">
        <v>45558</v>
      </c>
      <c r="D1431" s="339" t="s">
        <v>4714</v>
      </c>
      <c r="E1431" s="268" t="s">
        <v>4759</v>
      </c>
      <c r="F1431" s="268" t="s">
        <v>4715</v>
      </c>
      <c r="G1431" s="268" t="s">
        <v>4716</v>
      </c>
      <c r="H1431" s="268" t="str">
        <f t="shared" si="8"/>
        <v>LILIANA FILIPA INVENCIO DA COSTA</v>
      </c>
      <c r="I1431" s="268" t="s">
        <v>6627</v>
      </c>
      <c r="J1431" s="268" t="s">
        <v>4747</v>
      </c>
      <c r="K1431" s="268" t="s">
        <v>6628</v>
      </c>
      <c r="L1431" s="287">
        <v>45602</v>
      </c>
      <c r="M1431" s="277"/>
      <c r="N1431" s="282">
        <v>1</v>
      </c>
      <c r="O1431" s="284" t="s">
        <v>4740</v>
      </c>
      <c r="P1431" s="280">
        <v>2080</v>
      </c>
      <c r="Q1431" s="287">
        <v>45558</v>
      </c>
      <c r="R1431" s="272"/>
      <c r="S1431" s="272"/>
      <c r="T1431" s="272"/>
      <c r="U1431" s="272"/>
      <c r="V1431" s="272"/>
      <c r="W1431" s="272"/>
      <c r="X1431" s="272"/>
      <c r="Y1431" s="272"/>
      <c r="Z1431" s="272"/>
      <c r="AA1431" s="272"/>
    </row>
    <row r="1432" spans="1:27">
      <c r="A1432" s="338">
        <v>11</v>
      </c>
      <c r="B1432" s="339" t="s">
        <v>6603</v>
      </c>
      <c r="C1432" s="340">
        <v>45569</v>
      </c>
      <c r="D1432" s="339" t="s">
        <v>4714</v>
      </c>
      <c r="E1432" s="268" t="s">
        <v>4780</v>
      </c>
      <c r="F1432" s="268" t="s">
        <v>4715</v>
      </c>
      <c r="G1432" s="268" t="s">
        <v>4716</v>
      </c>
      <c r="H1432" s="268" t="str">
        <f t="shared" si="8"/>
        <v>MARÍA JESÚS CORNEJO DOMÍNGUEZ</v>
      </c>
      <c r="I1432" s="268" t="s">
        <v>4781</v>
      </c>
      <c r="J1432" s="268" t="s">
        <v>4747</v>
      </c>
      <c r="K1432" s="268" t="s">
        <v>6629</v>
      </c>
      <c r="L1432" s="287">
        <v>45602</v>
      </c>
      <c r="M1432" s="277"/>
      <c r="N1432" s="282">
        <v>2</v>
      </c>
      <c r="O1432" s="284" t="s">
        <v>4720</v>
      </c>
      <c r="P1432" s="280">
        <v>3604.55</v>
      </c>
      <c r="Q1432" s="287">
        <v>45569</v>
      </c>
      <c r="R1432" s="272"/>
      <c r="S1432" s="272"/>
      <c r="T1432" s="272"/>
      <c r="U1432" s="272"/>
      <c r="V1432" s="272"/>
      <c r="W1432" s="272"/>
      <c r="X1432" s="272"/>
      <c r="Y1432" s="272"/>
      <c r="Z1432" s="272"/>
      <c r="AA1432" s="272"/>
    </row>
    <row r="1433" spans="1:27">
      <c r="A1433" s="338">
        <v>11</v>
      </c>
      <c r="B1433" s="339" t="s">
        <v>6603</v>
      </c>
      <c r="C1433" s="340">
        <v>45488</v>
      </c>
      <c r="D1433" s="339" t="s">
        <v>4714</v>
      </c>
      <c r="E1433" s="268" t="s">
        <v>5130</v>
      </c>
      <c r="F1433" s="268" t="s">
        <v>4724</v>
      </c>
      <c r="G1433" s="268" t="s">
        <v>6630</v>
      </c>
      <c r="H1433" s="268" t="str">
        <f t="shared" si="8"/>
        <v>LUIS JOSÉ DOMÍNGUEZ UGIDOS</v>
      </c>
      <c r="I1433" s="268" t="s">
        <v>5423</v>
      </c>
      <c r="J1433" s="268" t="s">
        <v>4747</v>
      </c>
      <c r="K1433" s="268" t="s">
        <v>6631</v>
      </c>
      <c r="L1433" s="287">
        <v>45602</v>
      </c>
      <c r="M1433" s="277"/>
      <c r="N1433" s="282">
        <v>2</v>
      </c>
      <c r="O1433" s="284" t="s">
        <v>4723</v>
      </c>
      <c r="P1433" s="280">
        <v>3181.82</v>
      </c>
      <c r="Q1433" s="287">
        <v>45488</v>
      </c>
      <c r="R1433" s="272"/>
      <c r="S1433" s="272"/>
      <c r="T1433" s="272"/>
      <c r="U1433" s="272"/>
      <c r="V1433" s="272"/>
      <c r="W1433" s="272"/>
      <c r="X1433" s="272"/>
      <c r="Y1433" s="272"/>
      <c r="Z1433" s="272"/>
      <c r="AA1433" s="272"/>
    </row>
    <row r="1434" spans="1:27">
      <c r="A1434" s="338">
        <v>11</v>
      </c>
      <c r="B1434" s="339" t="s">
        <v>6603</v>
      </c>
      <c r="C1434" s="340">
        <v>45569</v>
      </c>
      <c r="D1434" s="339" t="s">
        <v>4714</v>
      </c>
      <c r="E1434" s="268" t="s">
        <v>3480</v>
      </c>
      <c r="F1434" s="268" t="s">
        <v>4715</v>
      </c>
      <c r="G1434" s="268" t="s">
        <v>4716</v>
      </c>
      <c r="H1434" s="268" t="str">
        <f t="shared" si="8"/>
        <v>PALOMA MARTÍN- ARAGÓN MARTIÍ</v>
      </c>
      <c r="I1434" s="268" t="s">
        <v>4917</v>
      </c>
      <c r="J1434" s="268" t="s">
        <v>4718</v>
      </c>
      <c r="K1434" s="268" t="s">
        <v>6632</v>
      </c>
      <c r="L1434" s="287">
        <v>45603</v>
      </c>
      <c r="M1434" s="277"/>
      <c r="N1434" s="282">
        <v>1</v>
      </c>
      <c r="O1434" s="284" t="s">
        <v>5814</v>
      </c>
      <c r="P1434" s="280">
        <v>2400</v>
      </c>
      <c r="Q1434" s="287">
        <v>45569</v>
      </c>
      <c r="R1434" s="272"/>
      <c r="S1434" s="272"/>
      <c r="T1434" s="272"/>
      <c r="U1434" s="272"/>
      <c r="V1434" s="272"/>
      <c r="W1434" s="272"/>
      <c r="X1434" s="272"/>
      <c r="Y1434" s="272"/>
      <c r="Z1434" s="272"/>
      <c r="AA1434" s="272"/>
    </row>
    <row r="1435" spans="1:27">
      <c r="A1435" s="338">
        <v>11</v>
      </c>
      <c r="B1435" s="339" t="s">
        <v>6603</v>
      </c>
      <c r="C1435" s="340">
        <v>45562</v>
      </c>
      <c r="D1435" s="339" t="s">
        <v>4714</v>
      </c>
      <c r="E1435" s="268" t="s">
        <v>3758</v>
      </c>
      <c r="F1435" s="268" t="s">
        <v>4715</v>
      </c>
      <c r="G1435" s="268" t="s">
        <v>4716</v>
      </c>
      <c r="H1435" s="268" t="str">
        <f t="shared" si="8"/>
        <v>ESTHER MACON LIQUETE</v>
      </c>
      <c r="I1435" s="268" t="s">
        <v>6633</v>
      </c>
      <c r="J1435" s="268" t="s">
        <v>4718</v>
      </c>
      <c r="K1435" s="268" t="s">
        <v>6634</v>
      </c>
      <c r="L1435" s="287">
        <v>45603</v>
      </c>
      <c r="M1435" s="277"/>
      <c r="N1435" s="282">
        <v>2</v>
      </c>
      <c r="O1435" s="284" t="s">
        <v>5814</v>
      </c>
      <c r="P1435" s="280">
        <v>3800</v>
      </c>
      <c r="Q1435" s="287">
        <v>45562</v>
      </c>
      <c r="R1435" s="272"/>
      <c r="S1435" s="272"/>
      <c r="T1435" s="272"/>
      <c r="U1435" s="272"/>
      <c r="V1435" s="272"/>
      <c r="W1435" s="272"/>
      <c r="X1435" s="272"/>
      <c r="Y1435" s="272"/>
      <c r="Z1435" s="272"/>
      <c r="AA1435" s="272"/>
    </row>
    <row r="1436" spans="1:27">
      <c r="A1436" s="338">
        <v>11</v>
      </c>
      <c r="B1436" s="339" t="s">
        <v>6603</v>
      </c>
      <c r="C1436" s="340">
        <v>45512</v>
      </c>
      <c r="D1436" s="339" t="s">
        <v>4714</v>
      </c>
      <c r="E1436" s="268" t="s">
        <v>3011</v>
      </c>
      <c r="F1436" s="268" t="s">
        <v>4715</v>
      </c>
      <c r="G1436" s="268" t="s">
        <v>4716</v>
      </c>
      <c r="H1436" s="268" t="str">
        <f t="shared" si="8"/>
        <v>MERCEDES CEBALLOS CAUTO</v>
      </c>
      <c r="I1436" s="268" t="s">
        <v>6635</v>
      </c>
      <c r="J1436" s="268" t="s">
        <v>4729</v>
      </c>
      <c r="K1436" s="268" t="s">
        <v>6636</v>
      </c>
      <c r="L1436" s="287">
        <v>45603</v>
      </c>
      <c r="M1436" s="277"/>
      <c r="N1436" s="282">
        <v>2</v>
      </c>
      <c r="O1436" s="284" t="s">
        <v>5814</v>
      </c>
      <c r="P1436" s="280">
        <v>4000</v>
      </c>
      <c r="Q1436" s="287">
        <v>45512</v>
      </c>
      <c r="R1436" s="272"/>
      <c r="S1436" s="272"/>
      <c r="T1436" s="272"/>
      <c r="U1436" s="272"/>
      <c r="V1436" s="272"/>
      <c r="W1436" s="272"/>
      <c r="X1436" s="272"/>
      <c r="Y1436" s="272"/>
      <c r="Z1436" s="272"/>
      <c r="AA1436" s="272"/>
    </row>
    <row r="1437" spans="1:27">
      <c r="A1437" s="338">
        <v>11</v>
      </c>
      <c r="B1437" s="339" t="s">
        <v>6603</v>
      </c>
      <c r="C1437" s="340">
        <v>45530</v>
      </c>
      <c r="D1437" s="339" t="s">
        <v>4714</v>
      </c>
      <c r="E1437" s="268" t="s">
        <v>4749</v>
      </c>
      <c r="F1437" s="268" t="s">
        <v>4715</v>
      </c>
      <c r="G1437" s="268" t="s">
        <v>4716</v>
      </c>
      <c r="H1437" s="268" t="str">
        <f t="shared" si="8"/>
        <v>MÓNICA GRANDA ROSALES</v>
      </c>
      <c r="I1437" s="268" t="s">
        <v>4750</v>
      </c>
      <c r="J1437" s="268" t="s">
        <v>4747</v>
      </c>
      <c r="K1437" s="268" t="s">
        <v>6637</v>
      </c>
      <c r="L1437" s="287">
        <v>45603</v>
      </c>
      <c r="M1437" s="277"/>
      <c r="N1437" s="282">
        <v>1</v>
      </c>
      <c r="O1437" s="284" t="s">
        <v>4720</v>
      </c>
      <c r="P1437" s="280">
        <v>1936.36</v>
      </c>
      <c r="Q1437" s="287">
        <v>45530</v>
      </c>
      <c r="R1437" s="272"/>
      <c r="S1437" s="272"/>
      <c r="T1437" s="272"/>
      <c r="U1437" s="272"/>
      <c r="V1437" s="272"/>
      <c r="W1437" s="272"/>
      <c r="X1437" s="272"/>
      <c r="Y1437" s="272"/>
      <c r="Z1437" s="272"/>
      <c r="AA1437" s="272"/>
    </row>
    <row r="1438" spans="1:27">
      <c r="A1438" s="338">
        <v>11</v>
      </c>
      <c r="B1438" s="339" t="s">
        <v>6603</v>
      </c>
      <c r="C1438" s="340">
        <v>45545</v>
      </c>
      <c r="D1438" s="339" t="s">
        <v>4714</v>
      </c>
      <c r="E1438" s="268" t="s">
        <v>3529</v>
      </c>
      <c r="F1438" s="268" t="s">
        <v>4715</v>
      </c>
      <c r="G1438" s="268" t="s">
        <v>4716</v>
      </c>
      <c r="H1438" s="268" t="str">
        <f t="shared" si="8"/>
        <v>ESTEFANÍA BERROCAL POSTIGO</v>
      </c>
      <c r="I1438" s="268" t="s">
        <v>5201</v>
      </c>
      <c r="J1438" s="268" t="s">
        <v>4729</v>
      </c>
      <c r="K1438" s="268" t="s">
        <v>6638</v>
      </c>
      <c r="L1438" s="287">
        <v>45603</v>
      </c>
      <c r="M1438" s="277"/>
      <c r="N1438" s="282">
        <v>2</v>
      </c>
      <c r="O1438" s="284" t="s">
        <v>4720</v>
      </c>
      <c r="P1438" s="280">
        <v>3710</v>
      </c>
      <c r="Q1438" s="287">
        <v>45545</v>
      </c>
      <c r="R1438" s="272"/>
      <c r="S1438" s="272"/>
      <c r="T1438" s="272"/>
      <c r="U1438" s="272"/>
      <c r="V1438" s="272"/>
      <c r="W1438" s="272"/>
      <c r="X1438" s="272"/>
      <c r="Y1438" s="272"/>
      <c r="Z1438" s="272"/>
      <c r="AA1438" s="272"/>
    </row>
    <row r="1439" spans="1:27">
      <c r="A1439" s="338">
        <v>11</v>
      </c>
      <c r="B1439" s="339" t="s">
        <v>6603</v>
      </c>
      <c r="C1439" s="340">
        <v>45554</v>
      </c>
      <c r="D1439" s="339" t="s">
        <v>4714</v>
      </c>
      <c r="E1439" s="268" t="s">
        <v>4780</v>
      </c>
      <c r="F1439" s="268" t="s">
        <v>4715</v>
      </c>
      <c r="G1439" s="268" t="s">
        <v>4716</v>
      </c>
      <c r="H1439" s="268" t="str">
        <f t="shared" si="8"/>
        <v>NO REUERDA ORL</v>
      </c>
      <c r="I1439" s="268" t="s">
        <v>4743</v>
      </c>
      <c r="J1439" s="268" t="s">
        <v>4747</v>
      </c>
      <c r="K1439" s="268" t="s">
        <v>6639</v>
      </c>
      <c r="L1439" s="287">
        <v>45603</v>
      </c>
      <c r="M1439" s="277"/>
      <c r="N1439" s="282">
        <v>2</v>
      </c>
      <c r="O1439" s="284" t="s">
        <v>4720</v>
      </c>
      <c r="P1439" s="280">
        <v>3604.55</v>
      </c>
      <c r="Q1439" s="287">
        <v>45554</v>
      </c>
      <c r="R1439" s="272"/>
      <c r="S1439" s="272"/>
      <c r="T1439" s="272"/>
      <c r="U1439" s="272"/>
      <c r="V1439" s="272"/>
      <c r="W1439" s="272"/>
      <c r="X1439" s="272"/>
      <c r="Y1439" s="272"/>
      <c r="Z1439" s="272"/>
      <c r="AA1439" s="272"/>
    </row>
    <row r="1440" spans="1:27">
      <c r="A1440" s="338">
        <v>11</v>
      </c>
      <c r="B1440" s="339" t="s">
        <v>6603</v>
      </c>
      <c r="C1440" s="340">
        <v>45567</v>
      </c>
      <c r="D1440" s="339" t="s">
        <v>4714</v>
      </c>
      <c r="E1440" s="268" t="s">
        <v>3529</v>
      </c>
      <c r="F1440" s="268" t="s">
        <v>4715</v>
      </c>
      <c r="G1440" s="268" t="s">
        <v>4716</v>
      </c>
      <c r="H1440" s="268" t="str">
        <f t="shared" si="8"/>
        <v>ESTEFANÍA BERROCAL POSTIGO</v>
      </c>
      <c r="I1440" s="268" t="s">
        <v>5201</v>
      </c>
      <c r="J1440" s="268" t="s">
        <v>4729</v>
      </c>
      <c r="K1440" s="268" t="s">
        <v>6640</v>
      </c>
      <c r="L1440" s="287">
        <v>45603</v>
      </c>
      <c r="M1440" s="277"/>
      <c r="N1440" s="282">
        <v>1</v>
      </c>
      <c r="O1440" s="284" t="s">
        <v>4740</v>
      </c>
      <c r="P1440" s="280">
        <v>2400</v>
      </c>
      <c r="Q1440" s="287">
        <v>45567</v>
      </c>
      <c r="R1440" s="272"/>
      <c r="S1440" s="272"/>
      <c r="T1440" s="272"/>
      <c r="U1440" s="272"/>
      <c r="V1440" s="272"/>
      <c r="W1440" s="272"/>
      <c r="X1440" s="272"/>
      <c r="Y1440" s="272"/>
      <c r="Z1440" s="272"/>
      <c r="AA1440" s="272"/>
    </row>
    <row r="1441" spans="1:27">
      <c r="A1441" s="338">
        <v>11</v>
      </c>
      <c r="B1441" s="339" t="s">
        <v>6603</v>
      </c>
      <c r="C1441" s="340">
        <v>45579</v>
      </c>
      <c r="D1441" s="339" t="s">
        <v>4714</v>
      </c>
      <c r="E1441" s="268" t="s">
        <v>2961</v>
      </c>
      <c r="F1441" s="268" t="s">
        <v>4715</v>
      </c>
      <c r="G1441" s="268" t="s">
        <v>4716</v>
      </c>
      <c r="H1441" s="268" t="str">
        <f t="shared" si="8"/>
        <v>ANA GIRIBET FERNANDEZ-PACHECO</v>
      </c>
      <c r="I1441" s="268" t="s">
        <v>6150</v>
      </c>
      <c r="J1441" s="268" t="s">
        <v>4736</v>
      </c>
      <c r="K1441" s="268" t="s">
        <v>6641</v>
      </c>
      <c r="L1441" s="287">
        <v>45603</v>
      </c>
      <c r="M1441" s="277"/>
      <c r="N1441" s="282">
        <v>2</v>
      </c>
      <c r="O1441" s="284" t="s">
        <v>4720</v>
      </c>
      <c r="P1441" s="280">
        <v>3710</v>
      </c>
      <c r="Q1441" s="287">
        <v>45579</v>
      </c>
      <c r="R1441" s="272"/>
      <c r="S1441" s="272"/>
      <c r="T1441" s="272"/>
      <c r="U1441" s="272"/>
      <c r="V1441" s="272"/>
      <c r="W1441" s="272"/>
      <c r="X1441" s="272"/>
      <c r="Y1441" s="272"/>
      <c r="Z1441" s="272"/>
      <c r="AA1441" s="272"/>
    </row>
    <row r="1442" spans="1:27">
      <c r="A1442" s="338">
        <v>11</v>
      </c>
      <c r="B1442" s="339" t="s">
        <v>6603</v>
      </c>
      <c r="C1442" s="340">
        <v>45579</v>
      </c>
      <c r="D1442" s="339" t="s">
        <v>4714</v>
      </c>
      <c r="E1442" s="268" t="s">
        <v>3480</v>
      </c>
      <c r="F1442" s="268" t="s">
        <v>4715</v>
      </c>
      <c r="G1442" s="268" t="s">
        <v>4716</v>
      </c>
      <c r="H1442" s="268" t="str">
        <f t="shared" si="8"/>
        <v>RAIMUNDO ANDRES NAVARRO MEDIANO</v>
      </c>
      <c r="I1442" s="268" t="s">
        <v>5400</v>
      </c>
      <c r="J1442" s="268" t="s">
        <v>4718</v>
      </c>
      <c r="K1442" s="268" t="s">
        <v>6642</v>
      </c>
      <c r="L1442" s="287">
        <v>45604</v>
      </c>
      <c r="M1442" s="277"/>
      <c r="N1442" s="282">
        <v>1</v>
      </c>
      <c r="O1442" s="284" t="s">
        <v>5814</v>
      </c>
      <c r="P1442" s="280">
        <v>2400</v>
      </c>
      <c r="Q1442" s="287">
        <v>45579</v>
      </c>
      <c r="R1442" s="272"/>
      <c r="S1442" s="272"/>
      <c r="T1442" s="272"/>
      <c r="U1442" s="272"/>
      <c r="V1442" s="272"/>
      <c r="W1442" s="272"/>
      <c r="X1442" s="272"/>
      <c r="Y1442" s="272"/>
      <c r="Z1442" s="272"/>
      <c r="AA1442" s="272"/>
    </row>
    <row r="1443" spans="1:27">
      <c r="A1443" s="338">
        <v>11</v>
      </c>
      <c r="B1443" s="339" t="s">
        <v>6603</v>
      </c>
      <c r="C1443" s="340">
        <v>45484</v>
      </c>
      <c r="D1443" s="339" t="s">
        <v>4714</v>
      </c>
      <c r="E1443" s="268" t="s">
        <v>3043</v>
      </c>
      <c r="F1443" s="268" t="s">
        <v>4715</v>
      </c>
      <c r="G1443" s="268" t="s">
        <v>4716</v>
      </c>
      <c r="H1443" s="268" t="str">
        <f t="shared" si="8"/>
        <v>NO REUERDA ORL</v>
      </c>
      <c r="I1443" s="268" t="s">
        <v>4743</v>
      </c>
      <c r="J1443" s="268" t="s">
        <v>4822</v>
      </c>
      <c r="K1443" s="268" t="s">
        <v>6643</v>
      </c>
      <c r="L1443" s="287">
        <v>45604</v>
      </c>
      <c r="M1443" s="277"/>
      <c r="N1443" s="282">
        <v>2</v>
      </c>
      <c r="O1443" s="284" t="s">
        <v>4723</v>
      </c>
      <c r="P1443" s="280">
        <v>2743.78</v>
      </c>
      <c r="Q1443" s="287">
        <v>45484</v>
      </c>
      <c r="R1443" s="272"/>
      <c r="S1443" s="272"/>
      <c r="T1443" s="272"/>
      <c r="U1443" s="272"/>
      <c r="V1443" s="272"/>
      <c r="W1443" s="272"/>
      <c r="X1443" s="272"/>
      <c r="Y1443" s="272"/>
      <c r="Z1443" s="272"/>
      <c r="AA1443" s="272"/>
    </row>
    <row r="1444" spans="1:27">
      <c r="A1444" s="338">
        <v>11</v>
      </c>
      <c r="B1444" s="339" t="s">
        <v>6603</v>
      </c>
      <c r="C1444" s="340">
        <v>45327</v>
      </c>
      <c r="D1444" s="339" t="s">
        <v>4714</v>
      </c>
      <c r="E1444" s="268" t="s">
        <v>5130</v>
      </c>
      <c r="F1444" s="268" t="s">
        <v>4715</v>
      </c>
      <c r="G1444" s="341" t="s">
        <v>6644</v>
      </c>
      <c r="H1444" s="268" t="str">
        <f t="shared" si="8"/>
        <v>CARLOS DURÁN DÍEZ</v>
      </c>
      <c r="I1444" s="268" t="s">
        <v>5809</v>
      </c>
      <c r="J1444" s="268" t="s">
        <v>4747</v>
      </c>
      <c r="K1444" s="268" t="s">
        <v>6645</v>
      </c>
      <c r="L1444" s="287">
        <v>45604</v>
      </c>
      <c r="M1444" s="277"/>
      <c r="N1444" s="282">
        <v>1</v>
      </c>
      <c r="O1444" s="284" t="s">
        <v>4740</v>
      </c>
      <c r="P1444" s="280">
        <v>1727.27</v>
      </c>
      <c r="Q1444" s="287">
        <v>45327</v>
      </c>
      <c r="R1444" s="272"/>
      <c r="S1444" s="272"/>
      <c r="T1444" s="272"/>
      <c r="U1444" s="272"/>
      <c r="V1444" s="272"/>
      <c r="W1444" s="272"/>
      <c r="X1444" s="272"/>
      <c r="Y1444" s="272"/>
      <c r="Z1444" s="272"/>
      <c r="AA1444" s="272"/>
    </row>
    <row r="1445" spans="1:27">
      <c r="A1445" s="338">
        <v>11</v>
      </c>
      <c r="B1445" s="339" t="s">
        <v>6603</v>
      </c>
      <c r="C1445" s="340">
        <v>45464</v>
      </c>
      <c r="D1445" s="339" t="s">
        <v>4714</v>
      </c>
      <c r="E1445" s="268" t="s">
        <v>3529</v>
      </c>
      <c r="F1445" s="268" t="s">
        <v>4715</v>
      </c>
      <c r="G1445" s="268" t="s">
        <v>4716</v>
      </c>
      <c r="H1445" s="268" t="str">
        <f t="shared" si="8"/>
        <v>FRANCISCO JOSÉ ESTRADA MOLINA</v>
      </c>
      <c r="I1445" s="268" t="s">
        <v>5451</v>
      </c>
      <c r="J1445" s="268" t="s">
        <v>4729</v>
      </c>
      <c r="K1445" s="268" t="s">
        <v>6646</v>
      </c>
      <c r="L1445" s="287">
        <v>45604</v>
      </c>
      <c r="M1445" s="277"/>
      <c r="N1445" s="282">
        <v>2</v>
      </c>
      <c r="O1445" s="284" t="s">
        <v>4787</v>
      </c>
      <c r="P1445" s="280">
        <v>4000</v>
      </c>
      <c r="Q1445" s="287">
        <v>45464</v>
      </c>
      <c r="R1445" s="272"/>
      <c r="S1445" s="272"/>
      <c r="T1445" s="272"/>
      <c r="U1445" s="272"/>
      <c r="V1445" s="272"/>
      <c r="W1445" s="272"/>
      <c r="X1445" s="272"/>
      <c r="Y1445" s="272"/>
      <c r="Z1445" s="272"/>
      <c r="AA1445" s="272"/>
    </row>
    <row r="1446" spans="1:27">
      <c r="A1446" s="338">
        <v>11</v>
      </c>
      <c r="B1446" s="339" t="s">
        <v>6603</v>
      </c>
      <c r="C1446" s="340">
        <v>45568</v>
      </c>
      <c r="D1446" s="339" t="s">
        <v>4714</v>
      </c>
      <c r="E1446" s="268" t="s">
        <v>4749</v>
      </c>
      <c r="F1446" s="268" t="s">
        <v>4715</v>
      </c>
      <c r="G1446" s="268" t="s">
        <v>4716</v>
      </c>
      <c r="H1446" s="268" t="str">
        <f t="shared" si="8"/>
        <v>NO REUERDA ORL</v>
      </c>
      <c r="I1446" s="268" t="s">
        <v>4743</v>
      </c>
      <c r="J1446" s="268" t="s">
        <v>4747</v>
      </c>
      <c r="K1446" s="268" t="s">
        <v>6647</v>
      </c>
      <c r="L1446" s="287">
        <v>45604</v>
      </c>
      <c r="M1446" s="277"/>
      <c r="N1446" s="282">
        <v>2</v>
      </c>
      <c r="O1446" s="284" t="s">
        <v>4720</v>
      </c>
      <c r="P1446" s="280">
        <v>3909.09</v>
      </c>
      <c r="Q1446" s="287">
        <v>45568</v>
      </c>
      <c r="R1446" s="272"/>
      <c r="S1446" s="272"/>
      <c r="T1446" s="272"/>
      <c r="U1446" s="272"/>
      <c r="V1446" s="272"/>
      <c r="W1446" s="272"/>
      <c r="X1446" s="272"/>
      <c r="Y1446" s="272"/>
      <c r="Z1446" s="272"/>
      <c r="AA1446" s="272"/>
    </row>
    <row r="1447" spans="1:27">
      <c r="A1447" s="338">
        <v>11</v>
      </c>
      <c r="B1447" s="339" t="s">
        <v>6603</v>
      </c>
      <c r="C1447" s="340">
        <v>45095</v>
      </c>
      <c r="D1447" s="339" t="s">
        <v>4714</v>
      </c>
      <c r="E1447" s="268" t="s">
        <v>3218</v>
      </c>
      <c r="F1447" s="268" t="s">
        <v>4715</v>
      </c>
      <c r="G1447" s="268" t="s">
        <v>4716</v>
      </c>
      <c r="H1447" s="268" t="str">
        <f t="shared" si="8"/>
        <v>MARTA SANDOVAL PUIG</v>
      </c>
      <c r="I1447" s="268" t="s">
        <v>5055</v>
      </c>
      <c r="J1447" s="268" t="s">
        <v>4806</v>
      </c>
      <c r="K1447" s="268" t="s">
        <v>6648</v>
      </c>
      <c r="L1447" s="287">
        <v>45607</v>
      </c>
      <c r="M1447" s="277"/>
      <c r="N1447" s="282">
        <v>2</v>
      </c>
      <c r="O1447" s="284" t="s">
        <v>5814</v>
      </c>
      <c r="P1447" s="280">
        <v>3800</v>
      </c>
      <c r="Q1447" s="287">
        <v>45095</v>
      </c>
      <c r="R1447" s="272"/>
      <c r="S1447" s="272"/>
      <c r="T1447" s="272"/>
      <c r="U1447" s="272"/>
      <c r="V1447" s="272"/>
      <c r="W1447" s="272"/>
      <c r="X1447" s="272"/>
      <c r="Y1447" s="272"/>
      <c r="Z1447" s="272"/>
      <c r="AA1447" s="272"/>
    </row>
    <row r="1448" spans="1:27">
      <c r="A1448" s="338">
        <v>11</v>
      </c>
      <c r="B1448" s="339" t="s">
        <v>6603</v>
      </c>
      <c r="C1448" s="340">
        <v>45574</v>
      </c>
      <c r="D1448" s="339" t="s">
        <v>4714</v>
      </c>
      <c r="E1448" s="268" t="s">
        <v>2893</v>
      </c>
      <c r="F1448" s="268" t="s">
        <v>4715</v>
      </c>
      <c r="G1448" s="268" t="s">
        <v>4716</v>
      </c>
      <c r="H1448" s="268" t="str">
        <f t="shared" si="8"/>
        <v>JULIO LÓPEZ MOYA</v>
      </c>
      <c r="I1448" s="268" t="s">
        <v>4778</v>
      </c>
      <c r="J1448" s="268" t="s">
        <v>4718</v>
      </c>
      <c r="K1448" s="268" t="s">
        <v>6649</v>
      </c>
      <c r="L1448" s="287">
        <v>45607</v>
      </c>
      <c r="M1448" s="277"/>
      <c r="N1448" s="282">
        <v>1</v>
      </c>
      <c r="O1448" s="284" t="s">
        <v>4720</v>
      </c>
      <c r="P1448" s="280">
        <v>2226.36</v>
      </c>
      <c r="Q1448" s="287">
        <v>45574</v>
      </c>
      <c r="R1448" s="272"/>
      <c r="S1448" s="272"/>
      <c r="T1448" s="272"/>
      <c r="U1448" s="272"/>
      <c r="V1448" s="272"/>
      <c r="W1448" s="272"/>
      <c r="X1448" s="272"/>
      <c r="Y1448" s="272"/>
      <c r="Z1448" s="272"/>
      <c r="AA1448" s="272"/>
    </row>
    <row r="1449" spans="1:27">
      <c r="A1449" s="338">
        <v>11</v>
      </c>
      <c r="B1449" s="339" t="s">
        <v>6603</v>
      </c>
      <c r="C1449" s="340">
        <v>45539</v>
      </c>
      <c r="D1449" s="339" t="s">
        <v>4714</v>
      </c>
      <c r="E1449" s="268" t="s">
        <v>6612</v>
      </c>
      <c r="F1449" s="268" t="s">
        <v>4715</v>
      </c>
      <c r="G1449" s="268" t="s">
        <v>4716</v>
      </c>
      <c r="H1449" s="268" t="str">
        <f t="shared" si="8"/>
        <v>ISIDORO RUBIO CORREA</v>
      </c>
      <c r="I1449" s="268" t="s">
        <v>6057</v>
      </c>
      <c r="J1449" s="268" t="s">
        <v>4729</v>
      </c>
      <c r="K1449" s="268" t="s">
        <v>6650</v>
      </c>
      <c r="L1449" s="287">
        <v>45607</v>
      </c>
      <c r="M1449" s="277"/>
      <c r="N1449" s="282">
        <v>1</v>
      </c>
      <c r="O1449" s="284" t="s">
        <v>4720</v>
      </c>
      <c r="P1449" s="280">
        <v>1850</v>
      </c>
      <c r="Q1449" s="287">
        <v>45539</v>
      </c>
      <c r="R1449" s="272"/>
      <c r="S1449" s="272"/>
      <c r="T1449" s="272"/>
      <c r="U1449" s="272"/>
      <c r="V1449" s="272"/>
      <c r="W1449" s="272"/>
      <c r="X1449" s="272"/>
      <c r="Y1449" s="272"/>
      <c r="Z1449" s="272"/>
      <c r="AA1449" s="272"/>
    </row>
    <row r="1450" spans="1:27">
      <c r="A1450" s="338">
        <v>11</v>
      </c>
      <c r="B1450" s="339" t="s">
        <v>6603</v>
      </c>
      <c r="C1450" s="340">
        <v>45546</v>
      </c>
      <c r="D1450" s="339" t="s">
        <v>4714</v>
      </c>
      <c r="E1450" s="268" t="s">
        <v>4194</v>
      </c>
      <c r="F1450" s="268" t="s">
        <v>4715</v>
      </c>
      <c r="G1450" s="268" t="s">
        <v>4716</v>
      </c>
      <c r="H1450" s="268" t="str">
        <f t="shared" si="8"/>
        <v>ISABEL MENACHES GUARDIOLA</v>
      </c>
      <c r="I1450" s="268" t="s">
        <v>5528</v>
      </c>
      <c r="J1450" s="268" t="s">
        <v>4736</v>
      </c>
      <c r="K1450" s="268" t="s">
        <v>6651</v>
      </c>
      <c r="L1450" s="287">
        <v>45608</v>
      </c>
      <c r="M1450" s="277"/>
      <c r="N1450" s="282">
        <v>1</v>
      </c>
      <c r="O1450" s="284" t="s">
        <v>4787</v>
      </c>
      <c r="P1450" s="280">
        <v>2640</v>
      </c>
      <c r="Q1450" s="287">
        <v>45546</v>
      </c>
      <c r="R1450" s="272"/>
      <c r="S1450" s="272"/>
      <c r="T1450" s="272"/>
      <c r="U1450" s="272"/>
      <c r="V1450" s="272"/>
      <c r="W1450" s="272"/>
      <c r="X1450" s="272"/>
      <c r="Y1450" s="272"/>
      <c r="Z1450" s="272"/>
      <c r="AA1450" s="272"/>
    </row>
    <row r="1451" spans="1:27">
      <c r="A1451" s="338">
        <v>11</v>
      </c>
      <c r="B1451" s="339" t="s">
        <v>6603</v>
      </c>
      <c r="C1451" s="340">
        <v>45574</v>
      </c>
      <c r="D1451" s="339" t="s">
        <v>4714</v>
      </c>
      <c r="E1451" s="268" t="s">
        <v>2893</v>
      </c>
      <c r="F1451" s="268" t="s">
        <v>4715</v>
      </c>
      <c r="G1451" s="268" t="s">
        <v>4716</v>
      </c>
      <c r="H1451" s="268" t="str">
        <f t="shared" si="8"/>
        <v>DESIREÉ MÉNDEZ BRENDERBACHE</v>
      </c>
      <c r="I1451" s="268" t="s">
        <v>6652</v>
      </c>
      <c r="J1451" s="268" t="s">
        <v>4718</v>
      </c>
      <c r="K1451" s="268" t="s">
        <v>6653</v>
      </c>
      <c r="L1451" s="287">
        <v>45608</v>
      </c>
      <c r="M1451" s="277"/>
      <c r="N1451" s="282">
        <v>1</v>
      </c>
      <c r="O1451" s="284" t="s">
        <v>4787</v>
      </c>
      <c r="P1451" s="280">
        <v>2640</v>
      </c>
      <c r="Q1451" s="287">
        <v>45574</v>
      </c>
      <c r="R1451" s="272"/>
      <c r="S1451" s="272"/>
      <c r="T1451" s="272"/>
      <c r="U1451" s="272"/>
      <c r="V1451" s="272"/>
      <c r="W1451" s="272"/>
      <c r="X1451" s="272"/>
      <c r="Y1451" s="272"/>
      <c r="Z1451" s="272"/>
      <c r="AA1451" s="272"/>
    </row>
    <row r="1452" spans="1:27">
      <c r="A1452" s="338">
        <v>11</v>
      </c>
      <c r="B1452" s="339" t="s">
        <v>6603</v>
      </c>
      <c r="C1452" s="340">
        <v>45588</v>
      </c>
      <c r="D1452" s="339" t="s">
        <v>4714</v>
      </c>
      <c r="E1452" s="268" t="s">
        <v>3043</v>
      </c>
      <c r="F1452" s="268" t="s">
        <v>4715</v>
      </c>
      <c r="G1452" s="268" t="s">
        <v>4716</v>
      </c>
      <c r="H1452" s="268" t="str">
        <f t="shared" si="8"/>
        <v>ADOLFO CARLOS HINOJAR GUTIERREZ</v>
      </c>
      <c r="I1452" s="268" t="s">
        <v>5023</v>
      </c>
      <c r="J1452" s="268" t="s">
        <v>4822</v>
      </c>
      <c r="K1452" s="268" t="s">
        <v>6654</v>
      </c>
      <c r="L1452" s="287">
        <v>45608</v>
      </c>
      <c r="M1452" s="277"/>
      <c r="N1452" s="282">
        <v>2</v>
      </c>
      <c r="O1452" s="284" t="s">
        <v>4787</v>
      </c>
      <c r="P1452" s="280">
        <v>4400</v>
      </c>
      <c r="Q1452" s="287">
        <v>45588</v>
      </c>
      <c r="R1452" s="272"/>
      <c r="S1452" s="272"/>
      <c r="T1452" s="272"/>
      <c r="U1452" s="272"/>
      <c r="V1452" s="272"/>
      <c r="W1452" s="272"/>
      <c r="X1452" s="272"/>
      <c r="Y1452" s="272"/>
      <c r="Z1452" s="272"/>
      <c r="AA1452" s="272"/>
    </row>
    <row r="1453" spans="1:27">
      <c r="A1453" s="338">
        <v>11</v>
      </c>
      <c r="B1453" s="339" t="s">
        <v>6603</v>
      </c>
      <c r="C1453" s="340">
        <v>45568</v>
      </c>
      <c r="D1453" s="339" t="s">
        <v>4714</v>
      </c>
      <c r="E1453" s="268" t="s">
        <v>2873</v>
      </c>
      <c r="F1453" s="268" t="s">
        <v>4715</v>
      </c>
      <c r="G1453" s="268" t="s">
        <v>4716</v>
      </c>
      <c r="H1453" s="268" t="str">
        <f t="shared" si="8"/>
        <v>JUAN JAVIER ÁLVAREZ LÓPEZ</v>
      </c>
      <c r="I1453" s="268" t="s">
        <v>4938</v>
      </c>
      <c r="J1453" s="268" t="s">
        <v>4736</v>
      </c>
      <c r="K1453" s="268" t="s">
        <v>6655</v>
      </c>
      <c r="L1453" s="287">
        <v>45608</v>
      </c>
      <c r="M1453" s="277"/>
      <c r="N1453" s="282">
        <v>2</v>
      </c>
      <c r="O1453" s="284" t="s">
        <v>5814</v>
      </c>
      <c r="P1453" s="280">
        <v>4000</v>
      </c>
      <c r="Q1453" s="287">
        <v>45568</v>
      </c>
      <c r="R1453" s="272"/>
      <c r="S1453" s="272"/>
      <c r="T1453" s="272"/>
      <c r="U1453" s="272"/>
      <c r="V1453" s="272"/>
      <c r="W1453" s="272"/>
      <c r="X1453" s="272"/>
      <c r="Y1453" s="272"/>
      <c r="Z1453" s="272"/>
      <c r="AA1453" s="272"/>
    </row>
    <row r="1454" spans="1:27">
      <c r="A1454" s="338">
        <v>11</v>
      </c>
      <c r="B1454" s="339" t="s">
        <v>6603</v>
      </c>
      <c r="C1454" s="340">
        <v>45573</v>
      </c>
      <c r="D1454" s="339" t="s">
        <v>4714</v>
      </c>
      <c r="E1454" s="268" t="s">
        <v>2900</v>
      </c>
      <c r="F1454" s="268" t="s">
        <v>4715</v>
      </c>
      <c r="G1454" s="268" t="s">
        <v>4716</v>
      </c>
      <c r="H1454" s="268" t="str">
        <f t="shared" si="8"/>
        <v>ALEJANDRO DÍAZ UÑA</v>
      </c>
      <c r="I1454" s="268" t="s">
        <v>6352</v>
      </c>
      <c r="J1454" s="268" t="s">
        <v>4790</v>
      </c>
      <c r="K1454" s="268" t="s">
        <v>6656</v>
      </c>
      <c r="L1454" s="287">
        <v>45608</v>
      </c>
      <c r="M1454" s="277"/>
      <c r="N1454" s="282">
        <v>2</v>
      </c>
      <c r="O1454" s="284" t="s">
        <v>4740</v>
      </c>
      <c r="P1454" s="280">
        <v>3999.85</v>
      </c>
      <c r="Q1454" s="287">
        <v>45573</v>
      </c>
      <c r="R1454" s="272"/>
      <c r="S1454" s="272"/>
      <c r="T1454" s="272"/>
      <c r="U1454" s="272"/>
      <c r="V1454" s="272"/>
      <c r="W1454" s="272"/>
      <c r="X1454" s="272"/>
      <c r="Y1454" s="272"/>
      <c r="Z1454" s="272"/>
      <c r="AA1454" s="272"/>
    </row>
    <row r="1455" spans="1:27">
      <c r="A1455" s="338">
        <v>11</v>
      </c>
      <c r="B1455" s="339" t="s">
        <v>6603</v>
      </c>
      <c r="C1455" s="340">
        <v>45588</v>
      </c>
      <c r="D1455" s="339" t="s">
        <v>4714</v>
      </c>
      <c r="E1455" s="268" t="s">
        <v>5873</v>
      </c>
      <c r="F1455" s="268" t="s">
        <v>4715</v>
      </c>
      <c r="G1455" s="268" t="s">
        <v>4716</v>
      </c>
      <c r="H1455" s="268" t="str">
        <f t="shared" si="8"/>
        <v>JOAQUÍN PÉREZ VILLAR</v>
      </c>
      <c r="I1455" s="268" t="s">
        <v>6002</v>
      </c>
      <c r="J1455" s="268" t="s">
        <v>4790</v>
      </c>
      <c r="K1455" s="268" t="s">
        <v>6657</v>
      </c>
      <c r="L1455" s="287">
        <v>45608</v>
      </c>
      <c r="M1455" s="277"/>
      <c r="N1455" s="282">
        <v>2</v>
      </c>
      <c r="O1455" s="284" t="s">
        <v>4792</v>
      </c>
      <c r="P1455" s="280">
        <v>2627.25</v>
      </c>
      <c r="Q1455" s="287">
        <v>45588</v>
      </c>
      <c r="R1455" s="272"/>
      <c r="S1455" s="272"/>
      <c r="T1455" s="272"/>
      <c r="U1455" s="272"/>
      <c r="V1455" s="272"/>
      <c r="W1455" s="272"/>
      <c r="X1455" s="272"/>
      <c r="Y1455" s="272"/>
      <c r="Z1455" s="272"/>
      <c r="AA1455" s="272"/>
    </row>
    <row r="1456" spans="1:27">
      <c r="A1456" s="338">
        <v>11</v>
      </c>
      <c r="B1456" s="339" t="s">
        <v>6603</v>
      </c>
      <c r="C1456" s="340">
        <v>45566</v>
      </c>
      <c r="D1456" s="339" t="s">
        <v>4714</v>
      </c>
      <c r="E1456" s="268" t="s">
        <v>2916</v>
      </c>
      <c r="F1456" s="268" t="s">
        <v>4715</v>
      </c>
      <c r="G1456" s="268" t="s">
        <v>4716</v>
      </c>
      <c r="H1456" s="268" t="str">
        <f t="shared" si="8"/>
        <v>VICTORIA RIVERO DE JESÚS</v>
      </c>
      <c r="I1456" s="268" t="s">
        <v>5744</v>
      </c>
      <c r="J1456" s="268" t="s">
        <v>4806</v>
      </c>
      <c r="K1456" s="268" t="s">
        <v>6658</v>
      </c>
      <c r="L1456" s="287">
        <v>45609</v>
      </c>
      <c r="M1456" s="277"/>
      <c r="N1456" s="282">
        <v>2</v>
      </c>
      <c r="O1456" s="284" t="s">
        <v>4720</v>
      </c>
      <c r="P1456" s="280">
        <v>3710</v>
      </c>
      <c r="Q1456" s="287">
        <v>45566</v>
      </c>
      <c r="R1456" s="272"/>
      <c r="S1456" s="272"/>
      <c r="T1456" s="272"/>
      <c r="U1456" s="272"/>
      <c r="V1456" s="272"/>
      <c r="W1456" s="272"/>
      <c r="X1456" s="272"/>
      <c r="Y1456" s="272"/>
      <c r="Z1456" s="272"/>
      <c r="AA1456" s="272"/>
    </row>
    <row r="1457" spans="1:27">
      <c r="A1457" s="338">
        <v>11</v>
      </c>
      <c r="B1457" s="339" t="s">
        <v>6603</v>
      </c>
      <c r="C1457" s="340">
        <v>45551</v>
      </c>
      <c r="D1457" s="339" t="s">
        <v>4714</v>
      </c>
      <c r="E1457" s="268" t="s">
        <v>2929</v>
      </c>
      <c r="F1457" s="268" t="s">
        <v>4715</v>
      </c>
      <c r="G1457" s="268" t="s">
        <v>4716</v>
      </c>
      <c r="H1457" s="268" t="str">
        <f t="shared" si="8"/>
        <v>ANTONIO RODRÍGUEZ RIVERO</v>
      </c>
      <c r="I1457" s="268" t="s">
        <v>4717</v>
      </c>
      <c r="J1457" s="268" t="s">
        <v>4718</v>
      </c>
      <c r="K1457" s="268" t="s">
        <v>6659</v>
      </c>
      <c r="L1457" s="287">
        <v>45609</v>
      </c>
      <c r="M1457" s="277"/>
      <c r="N1457" s="282">
        <v>2</v>
      </c>
      <c r="O1457" s="284" t="s">
        <v>5814</v>
      </c>
      <c r="P1457" s="280">
        <v>4000</v>
      </c>
      <c r="Q1457" s="287">
        <v>45551</v>
      </c>
      <c r="R1457" s="272"/>
      <c r="S1457" s="272"/>
      <c r="T1457" s="272"/>
      <c r="U1457" s="272"/>
      <c r="V1457" s="272"/>
      <c r="W1457" s="272"/>
      <c r="X1457" s="272"/>
      <c r="Y1457" s="272"/>
      <c r="Z1457" s="272"/>
      <c r="AA1457" s="272"/>
    </row>
    <row r="1458" spans="1:27">
      <c r="A1458" s="338">
        <v>11</v>
      </c>
      <c r="B1458" s="339" t="s">
        <v>6603</v>
      </c>
      <c r="C1458" s="340">
        <v>45572</v>
      </c>
      <c r="D1458" s="339" t="s">
        <v>4714</v>
      </c>
      <c r="E1458" s="268" t="s">
        <v>2929</v>
      </c>
      <c r="F1458" s="268" t="s">
        <v>4715</v>
      </c>
      <c r="G1458" s="268" t="s">
        <v>4716</v>
      </c>
      <c r="H1458" s="268" t="str">
        <f t="shared" si="8"/>
        <v>JAVIER GARCÍA DOMÍNGUEZ</v>
      </c>
      <c r="I1458" s="268" t="s">
        <v>4881</v>
      </c>
      <c r="J1458" s="268" t="s">
        <v>4718</v>
      </c>
      <c r="K1458" s="268" t="s">
        <v>6660</v>
      </c>
      <c r="L1458" s="287">
        <v>45609</v>
      </c>
      <c r="M1458" s="277"/>
      <c r="N1458" s="282">
        <v>2</v>
      </c>
      <c r="O1458" s="284" t="s">
        <v>5814</v>
      </c>
      <c r="P1458" s="280">
        <v>4136.3599999999997</v>
      </c>
      <c r="Q1458" s="287">
        <v>45572</v>
      </c>
      <c r="R1458" s="272"/>
      <c r="S1458" s="272"/>
      <c r="T1458" s="272"/>
      <c r="U1458" s="272"/>
      <c r="V1458" s="272"/>
      <c r="W1458" s="272"/>
      <c r="X1458" s="272"/>
      <c r="Y1458" s="272"/>
      <c r="Z1458" s="272"/>
      <c r="AA1458" s="272"/>
    </row>
    <row r="1459" spans="1:27">
      <c r="A1459" s="338">
        <v>11</v>
      </c>
      <c r="B1459" s="339" t="s">
        <v>6603</v>
      </c>
      <c r="C1459" s="340">
        <v>45580</v>
      </c>
      <c r="D1459" s="339" t="s">
        <v>4714</v>
      </c>
      <c r="E1459" s="268" t="s">
        <v>3011</v>
      </c>
      <c r="F1459" s="268" t="s">
        <v>4715</v>
      </c>
      <c r="G1459" s="268" t="s">
        <v>4716</v>
      </c>
      <c r="H1459" s="268" t="str">
        <f t="shared" si="8"/>
        <v>MIGUEL ALBERTO RODRÍGUEZ PÉREZ</v>
      </c>
      <c r="I1459" s="268" t="s">
        <v>4783</v>
      </c>
      <c r="J1459" s="268" t="s">
        <v>4729</v>
      </c>
      <c r="K1459" s="268" t="s">
        <v>6661</v>
      </c>
      <c r="L1459" s="287">
        <v>45609</v>
      </c>
      <c r="M1459" s="277"/>
      <c r="N1459" s="282">
        <v>2</v>
      </c>
      <c r="O1459" s="284" t="s">
        <v>5814</v>
      </c>
      <c r="P1459" s="280">
        <v>3800</v>
      </c>
      <c r="Q1459" s="287">
        <v>45580</v>
      </c>
      <c r="R1459" s="272"/>
      <c r="S1459" s="272"/>
      <c r="T1459" s="272"/>
      <c r="U1459" s="272"/>
      <c r="V1459" s="272"/>
      <c r="W1459" s="272"/>
      <c r="X1459" s="272"/>
      <c r="Y1459" s="272"/>
      <c r="Z1459" s="272"/>
      <c r="AA1459" s="272"/>
    </row>
    <row r="1460" spans="1:27">
      <c r="A1460" s="338">
        <v>11</v>
      </c>
      <c r="B1460" s="339" t="s">
        <v>6603</v>
      </c>
      <c r="C1460" s="340">
        <v>45575</v>
      </c>
      <c r="D1460" s="339" t="s">
        <v>4714</v>
      </c>
      <c r="E1460" s="268" t="s">
        <v>2886</v>
      </c>
      <c r="F1460" s="268" t="s">
        <v>4715</v>
      </c>
      <c r="G1460" s="268"/>
      <c r="H1460" s="268" t="str">
        <f t="shared" si="8"/>
        <v>JUAN DE DIOS DE LA CALZADA</v>
      </c>
      <c r="I1460" s="268" t="s">
        <v>6662</v>
      </c>
      <c r="J1460" s="268" t="s">
        <v>4718</v>
      </c>
      <c r="K1460" s="268" t="s">
        <v>6663</v>
      </c>
      <c r="L1460" s="287">
        <v>45609</v>
      </c>
      <c r="M1460" s="277"/>
      <c r="N1460" s="282">
        <v>2</v>
      </c>
      <c r="O1460" s="284" t="s">
        <v>5814</v>
      </c>
      <c r="P1460" s="280">
        <v>4000</v>
      </c>
      <c r="Q1460" s="287">
        <v>45575</v>
      </c>
      <c r="R1460" s="272"/>
      <c r="S1460" s="272"/>
      <c r="T1460" s="272"/>
      <c r="U1460" s="272"/>
      <c r="V1460" s="272"/>
      <c r="W1460" s="272"/>
      <c r="X1460" s="272"/>
      <c r="Y1460" s="272"/>
      <c r="Z1460" s="272"/>
      <c r="AA1460" s="272"/>
    </row>
    <row r="1461" spans="1:27">
      <c r="A1461" s="338">
        <v>11</v>
      </c>
      <c r="B1461" s="339" t="s">
        <v>6603</v>
      </c>
      <c r="C1461" s="340">
        <v>45586</v>
      </c>
      <c r="D1461" s="339" t="s">
        <v>4714</v>
      </c>
      <c r="E1461" s="268" t="s">
        <v>4820</v>
      </c>
      <c r="F1461" s="268" t="s">
        <v>4715</v>
      </c>
      <c r="G1461" s="268" t="s">
        <v>4716</v>
      </c>
      <c r="H1461" s="268" t="str">
        <f t="shared" si="8"/>
        <v>RAED MAQUED EL MAQUED</v>
      </c>
      <c r="I1461" s="268" t="s">
        <v>4821</v>
      </c>
      <c r="J1461" s="268" t="s">
        <v>4822</v>
      </c>
      <c r="K1461" s="268" t="s">
        <v>6664</v>
      </c>
      <c r="L1461" s="287">
        <v>45609</v>
      </c>
      <c r="M1461" s="277"/>
      <c r="N1461" s="282">
        <v>2</v>
      </c>
      <c r="O1461" s="284" t="s">
        <v>4740</v>
      </c>
      <c r="P1461" s="280">
        <v>3714.55</v>
      </c>
      <c r="Q1461" s="287">
        <v>45586</v>
      </c>
      <c r="R1461" s="272"/>
      <c r="S1461" s="272"/>
      <c r="T1461" s="272"/>
      <c r="U1461" s="272"/>
      <c r="V1461" s="272"/>
      <c r="W1461" s="272"/>
      <c r="X1461" s="272"/>
      <c r="Y1461" s="272"/>
      <c r="Z1461" s="272"/>
      <c r="AA1461" s="272"/>
    </row>
    <row r="1462" spans="1:27">
      <c r="A1462" s="338">
        <v>11</v>
      </c>
      <c r="B1462" s="339" t="s">
        <v>6603</v>
      </c>
      <c r="C1462" s="340">
        <v>45572</v>
      </c>
      <c r="D1462" s="339" t="s">
        <v>4714</v>
      </c>
      <c r="E1462" s="268" t="s">
        <v>3861</v>
      </c>
      <c r="F1462" s="268" t="s">
        <v>4715</v>
      </c>
      <c r="G1462" s="268" t="s">
        <v>4716</v>
      </c>
      <c r="H1462" s="268" t="str">
        <f t="shared" si="8"/>
        <v>CECILIA PÉREZ MARTÍNEZ</v>
      </c>
      <c r="I1462" s="268" t="s">
        <v>6665</v>
      </c>
      <c r="J1462" s="268" t="s">
        <v>4718</v>
      </c>
      <c r="K1462" s="268" t="s">
        <v>6666</v>
      </c>
      <c r="L1462" s="287">
        <v>45610</v>
      </c>
      <c r="M1462" s="277"/>
      <c r="N1462" s="282">
        <v>2</v>
      </c>
      <c r="O1462" s="284" t="s">
        <v>5814</v>
      </c>
      <c r="P1462" s="280">
        <v>4000</v>
      </c>
      <c r="Q1462" s="287">
        <v>45572</v>
      </c>
      <c r="R1462" s="272"/>
      <c r="S1462" s="272"/>
      <c r="T1462" s="272"/>
      <c r="U1462" s="272"/>
      <c r="V1462" s="272"/>
      <c r="W1462" s="272"/>
      <c r="X1462" s="272"/>
      <c r="Y1462" s="272"/>
      <c r="Z1462" s="272"/>
      <c r="AA1462" s="272"/>
    </row>
    <row r="1463" spans="1:27">
      <c r="A1463" s="338">
        <v>11</v>
      </c>
      <c r="B1463" s="339" t="s">
        <v>6603</v>
      </c>
      <c r="C1463" s="340">
        <v>45583</v>
      </c>
      <c r="D1463" s="339" t="s">
        <v>4714</v>
      </c>
      <c r="E1463" s="268" t="s">
        <v>3043</v>
      </c>
      <c r="F1463" s="268" t="s">
        <v>4715</v>
      </c>
      <c r="G1463" s="268" t="s">
        <v>4716</v>
      </c>
      <c r="H1463" s="268" t="str">
        <f t="shared" si="8"/>
        <v>NO REUERDA ORL</v>
      </c>
      <c r="I1463" s="268" t="s">
        <v>4743</v>
      </c>
      <c r="J1463" s="268" t="s">
        <v>4718</v>
      </c>
      <c r="K1463" s="268" t="s">
        <v>6667</v>
      </c>
      <c r="L1463" s="287">
        <v>45610</v>
      </c>
      <c r="M1463" s="277"/>
      <c r="N1463" s="282">
        <v>2</v>
      </c>
      <c r="O1463" s="284" t="s">
        <v>4723</v>
      </c>
      <c r="P1463" s="280">
        <v>2888.18</v>
      </c>
      <c r="Q1463" s="287">
        <v>45583</v>
      </c>
      <c r="R1463" s="272"/>
      <c r="S1463" s="272"/>
      <c r="T1463" s="272"/>
      <c r="U1463" s="272"/>
      <c r="V1463" s="272"/>
      <c r="W1463" s="272"/>
      <c r="X1463" s="272"/>
      <c r="Y1463" s="272"/>
      <c r="Z1463" s="272"/>
      <c r="AA1463" s="272"/>
    </row>
    <row r="1464" spans="1:27">
      <c r="A1464" s="338">
        <v>11</v>
      </c>
      <c r="B1464" s="339" t="s">
        <v>6603</v>
      </c>
      <c r="C1464" s="340">
        <v>45579</v>
      </c>
      <c r="D1464" s="339" t="s">
        <v>4714</v>
      </c>
      <c r="E1464" s="268" t="s">
        <v>2869</v>
      </c>
      <c r="F1464" s="268" t="s">
        <v>4715</v>
      </c>
      <c r="G1464" s="268" t="s">
        <v>4716</v>
      </c>
      <c r="H1464" s="268" t="str">
        <f t="shared" si="8"/>
        <v>JESÚS MIGUEL INIESTA TURPÍN</v>
      </c>
      <c r="I1464" s="268" t="s">
        <v>4868</v>
      </c>
      <c r="J1464" s="268" t="s">
        <v>4736</v>
      </c>
      <c r="K1464" s="268" t="s">
        <v>6668</v>
      </c>
      <c r="L1464" s="287">
        <v>45610</v>
      </c>
      <c r="M1464" s="277"/>
      <c r="N1464" s="282">
        <v>2</v>
      </c>
      <c r="O1464" s="284" t="s">
        <v>4723</v>
      </c>
      <c r="P1464" s="280">
        <v>2888.18</v>
      </c>
      <c r="Q1464" s="287">
        <v>45579</v>
      </c>
      <c r="R1464" s="272"/>
      <c r="S1464" s="272"/>
      <c r="T1464" s="272"/>
      <c r="U1464" s="272"/>
      <c r="V1464" s="272"/>
      <c r="W1464" s="272"/>
      <c r="X1464" s="272"/>
      <c r="Y1464" s="272"/>
      <c r="Z1464" s="272"/>
      <c r="AA1464" s="272"/>
    </row>
    <row r="1465" spans="1:27">
      <c r="A1465" s="338">
        <v>11</v>
      </c>
      <c r="B1465" s="339" t="s">
        <v>6603</v>
      </c>
      <c r="C1465" s="340">
        <v>45600</v>
      </c>
      <c r="D1465" s="339" t="s">
        <v>4714</v>
      </c>
      <c r="E1465" s="268" t="s">
        <v>2886</v>
      </c>
      <c r="F1465" s="268" t="s">
        <v>4715</v>
      </c>
      <c r="G1465" s="268" t="s">
        <v>4716</v>
      </c>
      <c r="H1465" s="268" t="str">
        <f t="shared" si="8"/>
        <v>PABLO GARCÍA GONZÁLEZ</v>
      </c>
      <c r="I1465" s="268" t="s">
        <v>6669</v>
      </c>
      <c r="J1465" s="268" t="s">
        <v>4718</v>
      </c>
      <c r="K1465" s="268" t="s">
        <v>6670</v>
      </c>
      <c r="L1465" s="287">
        <v>45610</v>
      </c>
      <c r="M1465" s="277"/>
      <c r="N1465" s="282">
        <v>2</v>
      </c>
      <c r="O1465" s="284" t="s">
        <v>4720</v>
      </c>
      <c r="P1465" s="280">
        <v>3523.64</v>
      </c>
      <c r="Q1465" s="287">
        <v>45600</v>
      </c>
      <c r="R1465" s="272"/>
      <c r="S1465" s="272"/>
      <c r="T1465" s="272"/>
      <c r="U1465" s="272"/>
      <c r="V1465" s="272"/>
      <c r="W1465" s="272"/>
      <c r="X1465" s="272"/>
      <c r="Y1465" s="272"/>
      <c r="Z1465" s="272"/>
      <c r="AA1465" s="272"/>
    </row>
    <row r="1466" spans="1:27">
      <c r="A1466" s="338">
        <v>11</v>
      </c>
      <c r="B1466" s="339" t="s">
        <v>6603</v>
      </c>
      <c r="C1466" s="340">
        <v>45573</v>
      </c>
      <c r="D1466" s="339" t="s">
        <v>4714</v>
      </c>
      <c r="E1466" s="268" t="s">
        <v>2984</v>
      </c>
      <c r="F1466" s="268" t="s">
        <v>4715</v>
      </c>
      <c r="G1466" s="268" t="s">
        <v>4716</v>
      </c>
      <c r="H1466" s="268" t="str">
        <f t="shared" si="8"/>
        <v>VANESA PÉREZ GUILLÉN</v>
      </c>
      <c r="I1466" s="268" t="s">
        <v>6123</v>
      </c>
      <c r="J1466" s="268" t="s">
        <v>4910</v>
      </c>
      <c r="K1466" s="268" t="s">
        <v>6671</v>
      </c>
      <c r="L1466" s="287">
        <v>45610</v>
      </c>
      <c r="M1466" s="277"/>
      <c r="N1466" s="282">
        <v>2</v>
      </c>
      <c r="O1466" s="284" t="s">
        <v>4723</v>
      </c>
      <c r="P1466" s="280">
        <v>2888.18</v>
      </c>
      <c r="Q1466" s="287">
        <v>45573</v>
      </c>
      <c r="R1466" s="272"/>
      <c r="S1466" s="272"/>
      <c r="T1466" s="272"/>
      <c r="U1466" s="272"/>
      <c r="V1466" s="272"/>
      <c r="W1466" s="272"/>
      <c r="X1466" s="272"/>
      <c r="Y1466" s="272"/>
      <c r="Z1466" s="272"/>
      <c r="AA1466" s="272"/>
    </row>
    <row r="1467" spans="1:27">
      <c r="A1467" s="338">
        <v>11</v>
      </c>
      <c r="B1467" s="339" t="s">
        <v>6603</v>
      </c>
      <c r="C1467" s="340">
        <v>45303</v>
      </c>
      <c r="D1467" s="339" t="s">
        <v>4714</v>
      </c>
      <c r="E1467" s="268" t="s">
        <v>4759</v>
      </c>
      <c r="F1467" s="268" t="s">
        <v>4715</v>
      </c>
      <c r="G1467" s="268" t="s">
        <v>4716</v>
      </c>
      <c r="H1467" s="268" t="str">
        <f t="shared" si="8"/>
        <v>CARLOS LÓPEZ AZANZA</v>
      </c>
      <c r="I1467" s="268" t="s">
        <v>5141</v>
      </c>
      <c r="J1467" s="268" t="s">
        <v>4747</v>
      </c>
      <c r="K1467" s="268" t="s">
        <v>5142</v>
      </c>
      <c r="L1467" s="287">
        <v>45610</v>
      </c>
      <c r="M1467" s="277"/>
      <c r="N1467" s="282">
        <v>1</v>
      </c>
      <c r="O1467" s="284" t="s">
        <v>4740</v>
      </c>
      <c r="P1467" s="280">
        <v>1670</v>
      </c>
      <c r="Q1467" s="287">
        <v>45303</v>
      </c>
      <c r="R1467" s="272"/>
      <c r="S1467" s="272"/>
      <c r="T1467" s="272"/>
      <c r="U1467" s="272"/>
      <c r="V1467" s="272"/>
      <c r="W1467" s="272"/>
      <c r="X1467" s="272"/>
      <c r="Y1467" s="272"/>
      <c r="Z1467" s="272"/>
      <c r="AA1467" s="272"/>
    </row>
    <row r="1468" spans="1:27">
      <c r="A1468" s="338">
        <v>11</v>
      </c>
      <c r="B1468" s="339" t="s">
        <v>6603</v>
      </c>
      <c r="C1468" s="340">
        <v>45537</v>
      </c>
      <c r="D1468" s="339" t="s">
        <v>4714</v>
      </c>
      <c r="E1468" s="268" t="s">
        <v>4780</v>
      </c>
      <c r="F1468" s="268" t="s">
        <v>4715</v>
      </c>
      <c r="G1468" s="268" t="s">
        <v>4716</v>
      </c>
      <c r="H1468" s="268" t="str">
        <f t="shared" si="8"/>
        <v>LUIS MIGUEL RINCÓN ESTEBAN</v>
      </c>
      <c r="I1468" s="268" t="s">
        <v>5307</v>
      </c>
      <c r="J1468" s="268" t="s">
        <v>4747</v>
      </c>
      <c r="K1468" s="268" t="s">
        <v>6672</v>
      </c>
      <c r="L1468" s="287">
        <v>45610</v>
      </c>
      <c r="M1468" s="277"/>
      <c r="N1468" s="282">
        <v>2</v>
      </c>
      <c r="O1468" s="284" t="s">
        <v>4720</v>
      </c>
      <c r="P1468" s="280">
        <v>3604.55</v>
      </c>
      <c r="Q1468" s="287">
        <v>45537</v>
      </c>
      <c r="R1468" s="272"/>
      <c r="S1468" s="272"/>
      <c r="T1468" s="272"/>
      <c r="U1468" s="272"/>
      <c r="V1468" s="272"/>
      <c r="W1468" s="272"/>
      <c r="X1468" s="272"/>
      <c r="Y1468" s="272"/>
      <c r="Z1468" s="272"/>
      <c r="AA1468" s="272"/>
    </row>
    <row r="1469" spans="1:27">
      <c r="A1469" s="338">
        <v>11</v>
      </c>
      <c r="B1469" s="339" t="s">
        <v>6603</v>
      </c>
      <c r="C1469" s="340">
        <v>45547</v>
      </c>
      <c r="D1469" s="339" t="s">
        <v>4714</v>
      </c>
      <c r="E1469" s="268" t="s">
        <v>4804</v>
      </c>
      <c r="F1469" s="268" t="s">
        <v>4715</v>
      </c>
      <c r="G1469" s="268" t="s">
        <v>4716</v>
      </c>
      <c r="H1469" s="268" t="str">
        <f t="shared" si="8"/>
        <v>JOAQUIM BROTO SUMALLA</v>
      </c>
      <c r="I1469" s="268" t="s">
        <v>4805</v>
      </c>
      <c r="J1469" s="268" t="s">
        <v>4747</v>
      </c>
      <c r="K1469" s="268" t="s">
        <v>6673</v>
      </c>
      <c r="L1469" s="287">
        <v>45610</v>
      </c>
      <c r="M1469" s="277"/>
      <c r="N1469" s="282">
        <v>2</v>
      </c>
      <c r="O1469" s="284" t="s">
        <v>4723</v>
      </c>
      <c r="P1469" s="280">
        <v>2909.09</v>
      </c>
      <c r="Q1469" s="287">
        <v>45547</v>
      </c>
      <c r="R1469" s="272"/>
      <c r="S1469" s="272"/>
      <c r="T1469" s="272"/>
      <c r="U1469" s="272"/>
      <c r="V1469" s="272"/>
      <c r="W1469" s="272"/>
      <c r="X1469" s="272"/>
      <c r="Y1469" s="272"/>
      <c r="Z1469" s="272"/>
      <c r="AA1469" s="272"/>
    </row>
    <row r="1470" spans="1:27">
      <c r="A1470" s="338">
        <v>11</v>
      </c>
      <c r="B1470" s="339" t="s">
        <v>6603</v>
      </c>
      <c r="C1470" s="340">
        <v>45558</v>
      </c>
      <c r="D1470" s="339" t="s">
        <v>4714</v>
      </c>
      <c r="E1470" s="268" t="s">
        <v>6612</v>
      </c>
      <c r="F1470" s="268" t="s">
        <v>4715</v>
      </c>
      <c r="G1470" s="268" t="s">
        <v>4716</v>
      </c>
      <c r="H1470" s="268" t="str">
        <f t="shared" si="8"/>
        <v>PABLO TORRICO ROMÁN</v>
      </c>
      <c r="I1470" s="268" t="s">
        <v>6674</v>
      </c>
      <c r="J1470" s="268" t="s">
        <v>4729</v>
      </c>
      <c r="K1470" s="268" t="s">
        <v>6675</v>
      </c>
      <c r="L1470" s="287">
        <v>45610</v>
      </c>
      <c r="M1470" s="277"/>
      <c r="N1470" s="282">
        <v>2</v>
      </c>
      <c r="O1470" s="284" t="s">
        <v>4787</v>
      </c>
      <c r="P1470" s="280">
        <v>4400</v>
      </c>
      <c r="Q1470" s="287">
        <v>45558</v>
      </c>
      <c r="R1470" s="272"/>
      <c r="S1470" s="272"/>
      <c r="T1470" s="272"/>
      <c r="U1470" s="272"/>
      <c r="V1470" s="272"/>
      <c r="W1470" s="272"/>
      <c r="X1470" s="272"/>
      <c r="Y1470" s="272"/>
      <c r="Z1470" s="272"/>
      <c r="AA1470" s="272"/>
    </row>
    <row r="1471" spans="1:27">
      <c r="A1471" s="338">
        <v>11</v>
      </c>
      <c r="B1471" s="339" t="s">
        <v>6603</v>
      </c>
      <c r="C1471" s="340">
        <v>45575</v>
      </c>
      <c r="D1471" s="339" t="s">
        <v>4714</v>
      </c>
      <c r="E1471" s="268" t="s">
        <v>2961</v>
      </c>
      <c r="F1471" s="268" t="s">
        <v>4715</v>
      </c>
      <c r="G1471" s="268" t="s">
        <v>4716</v>
      </c>
      <c r="H1471" s="268" t="str">
        <f t="shared" si="8"/>
        <v>ANDRÉS BARRIOS RECIO</v>
      </c>
      <c r="I1471" s="268" t="s">
        <v>5081</v>
      </c>
      <c r="J1471" s="268" t="s">
        <v>4736</v>
      </c>
      <c r="K1471" s="268" t="s">
        <v>6676</v>
      </c>
      <c r="L1471" s="287">
        <v>45610</v>
      </c>
      <c r="M1471" s="277"/>
      <c r="N1471" s="282">
        <v>2</v>
      </c>
      <c r="O1471" s="284" t="s">
        <v>4723</v>
      </c>
      <c r="P1471" s="280">
        <v>2579.09</v>
      </c>
      <c r="Q1471" s="287">
        <v>45575</v>
      </c>
      <c r="R1471" s="272"/>
      <c r="S1471" s="272"/>
      <c r="T1471" s="272"/>
      <c r="U1471" s="272"/>
      <c r="V1471" s="272"/>
      <c r="W1471" s="272"/>
      <c r="X1471" s="272"/>
      <c r="Y1471" s="272"/>
      <c r="Z1471" s="272"/>
      <c r="AA1471" s="272"/>
    </row>
    <row r="1472" spans="1:27">
      <c r="A1472" s="338">
        <v>11</v>
      </c>
      <c r="B1472" s="339" t="s">
        <v>6603</v>
      </c>
      <c r="C1472" s="340">
        <v>45579</v>
      </c>
      <c r="D1472" s="339" t="s">
        <v>4714</v>
      </c>
      <c r="E1472" s="268" t="s">
        <v>3480</v>
      </c>
      <c r="F1472" s="268" t="s">
        <v>4715</v>
      </c>
      <c r="G1472" s="268" t="s">
        <v>4716</v>
      </c>
      <c r="H1472" s="268" t="str">
        <f t="shared" si="8"/>
        <v>ESTEFANIA MIRANDA SÁNCHEZ</v>
      </c>
      <c r="I1472" s="268" t="s">
        <v>6677</v>
      </c>
      <c r="J1472" s="268" t="s">
        <v>4718</v>
      </c>
      <c r="K1472" s="268" t="s">
        <v>6678</v>
      </c>
      <c r="L1472" s="287">
        <v>45611</v>
      </c>
      <c r="M1472" s="277"/>
      <c r="N1472" s="282">
        <v>2</v>
      </c>
      <c r="O1472" s="284" t="s">
        <v>4720</v>
      </c>
      <c r="P1472" s="280">
        <v>3524.5</v>
      </c>
      <c r="Q1472" s="287">
        <v>45579</v>
      </c>
      <c r="R1472" s="272"/>
      <c r="S1472" s="272"/>
      <c r="T1472" s="272"/>
      <c r="U1472" s="272"/>
      <c r="V1472" s="272"/>
      <c r="W1472" s="272"/>
      <c r="X1472" s="272"/>
      <c r="Y1472" s="272"/>
      <c r="Z1472" s="272"/>
      <c r="AA1472" s="272"/>
    </row>
    <row r="1473" spans="1:27">
      <c r="A1473" s="338">
        <v>11</v>
      </c>
      <c r="B1473" s="339" t="s">
        <v>6603</v>
      </c>
      <c r="C1473" s="340">
        <v>45582</v>
      </c>
      <c r="D1473" s="339" t="s">
        <v>4714</v>
      </c>
      <c r="E1473" s="268" t="s">
        <v>2929</v>
      </c>
      <c r="F1473" s="268" t="s">
        <v>4715</v>
      </c>
      <c r="G1473" s="268" t="s">
        <v>4716</v>
      </c>
      <c r="H1473" s="268" t="str">
        <f t="shared" si="8"/>
        <v>JAVIER GARCÍA DOMÍNGUEZ</v>
      </c>
      <c r="I1473" s="268" t="s">
        <v>4881</v>
      </c>
      <c r="J1473" s="268" t="s">
        <v>4718</v>
      </c>
      <c r="K1473" s="268" t="s">
        <v>6679</v>
      </c>
      <c r="L1473" s="287">
        <v>45611</v>
      </c>
      <c r="M1473" s="277"/>
      <c r="N1473" s="282">
        <v>2</v>
      </c>
      <c r="O1473" s="284" t="s">
        <v>4787</v>
      </c>
      <c r="P1473" s="280">
        <v>4536.3599999999997</v>
      </c>
      <c r="Q1473" s="287">
        <v>45582</v>
      </c>
      <c r="R1473" s="272"/>
      <c r="S1473" s="272"/>
      <c r="T1473" s="272"/>
      <c r="U1473" s="272"/>
      <c r="V1473" s="272"/>
      <c r="W1473" s="272"/>
      <c r="X1473" s="272"/>
      <c r="Y1473" s="272"/>
      <c r="Z1473" s="272"/>
      <c r="AA1473" s="272"/>
    </row>
    <row r="1474" spans="1:27">
      <c r="A1474" s="338">
        <v>11</v>
      </c>
      <c r="B1474" s="339" t="s">
        <v>6603</v>
      </c>
      <c r="C1474" s="340">
        <v>45604</v>
      </c>
      <c r="D1474" s="339" t="s">
        <v>4714</v>
      </c>
      <c r="E1474" s="268" t="s">
        <v>3193</v>
      </c>
      <c r="F1474" s="268" t="s">
        <v>4715</v>
      </c>
      <c r="G1474" s="268" t="s">
        <v>4716</v>
      </c>
      <c r="H1474" s="268" t="str">
        <f t="shared" si="8"/>
        <v>JOSE JOAQUÍN GUTIÉRREZ BARQUÍN</v>
      </c>
      <c r="I1474" s="268" t="s">
        <v>4990</v>
      </c>
      <c r="J1474" s="268" t="s">
        <v>4718</v>
      </c>
      <c r="K1474" s="268" t="s">
        <v>6680</v>
      </c>
      <c r="L1474" s="287">
        <v>45611</v>
      </c>
      <c r="M1474" s="277"/>
      <c r="N1474" s="282">
        <v>2</v>
      </c>
      <c r="O1474" s="284" t="s">
        <v>4720</v>
      </c>
      <c r="P1474" s="280">
        <v>3654</v>
      </c>
      <c r="Q1474" s="287">
        <v>45604</v>
      </c>
      <c r="R1474" s="272"/>
      <c r="S1474" s="272"/>
      <c r="T1474" s="272"/>
      <c r="U1474" s="272"/>
      <c r="V1474" s="272"/>
      <c r="W1474" s="272"/>
      <c r="X1474" s="272"/>
      <c r="Y1474" s="272"/>
      <c r="Z1474" s="272"/>
      <c r="AA1474" s="272"/>
    </row>
    <row r="1475" spans="1:27">
      <c r="A1475" s="338">
        <v>11</v>
      </c>
      <c r="B1475" s="339" t="s">
        <v>6603</v>
      </c>
      <c r="C1475" s="340">
        <v>45568</v>
      </c>
      <c r="D1475" s="339" t="s">
        <v>4714</v>
      </c>
      <c r="E1475" s="268" t="s">
        <v>2935</v>
      </c>
      <c r="F1475" s="268" t="s">
        <v>4715</v>
      </c>
      <c r="G1475" s="268" t="s">
        <v>4716</v>
      </c>
      <c r="H1475" s="268" t="str">
        <f t="shared" si="8"/>
        <v>Mª FERNANDA ESCALA PEDREROS</v>
      </c>
      <c r="I1475" s="268" t="s">
        <v>5078</v>
      </c>
      <c r="J1475" s="268" t="s">
        <v>4822</v>
      </c>
      <c r="K1475" s="268" t="s">
        <v>6681</v>
      </c>
      <c r="L1475" s="287">
        <v>45611</v>
      </c>
      <c r="M1475" s="277"/>
      <c r="N1475" s="282">
        <v>2</v>
      </c>
      <c r="O1475" s="284" t="s">
        <v>4720</v>
      </c>
      <c r="P1475" s="280">
        <v>3846.36</v>
      </c>
      <c r="Q1475" s="287">
        <v>45568</v>
      </c>
      <c r="R1475" s="272"/>
      <c r="S1475" s="272"/>
      <c r="T1475" s="272"/>
      <c r="U1475" s="272"/>
      <c r="V1475" s="272"/>
      <c r="W1475" s="272"/>
      <c r="X1475" s="272"/>
      <c r="Y1475" s="272"/>
      <c r="Z1475" s="272"/>
      <c r="AA1475" s="272"/>
    </row>
    <row r="1476" spans="1:27">
      <c r="A1476" s="338">
        <v>11</v>
      </c>
      <c r="B1476" s="339" t="s">
        <v>6603</v>
      </c>
      <c r="C1476" s="340">
        <v>45580</v>
      </c>
      <c r="D1476" s="339" t="s">
        <v>4714</v>
      </c>
      <c r="E1476" s="268" t="s">
        <v>2869</v>
      </c>
      <c r="F1476" s="268" t="s">
        <v>4715</v>
      </c>
      <c r="G1476" s="268" t="s">
        <v>4716</v>
      </c>
      <c r="H1476" s="268" t="str">
        <f t="shared" si="8"/>
        <v>NO REUERDA ORL</v>
      </c>
      <c r="I1476" s="268" t="s">
        <v>4743</v>
      </c>
      <c r="J1476" s="268" t="s">
        <v>4736</v>
      </c>
      <c r="K1476" s="268" t="s">
        <v>6682</v>
      </c>
      <c r="L1476" s="287">
        <v>45611</v>
      </c>
      <c r="M1476" s="277"/>
      <c r="N1476" s="282">
        <v>2</v>
      </c>
      <c r="O1476" s="284" t="s">
        <v>4720</v>
      </c>
      <c r="P1476" s="280">
        <v>3710</v>
      </c>
      <c r="Q1476" s="287">
        <v>45580</v>
      </c>
      <c r="R1476" s="272"/>
      <c r="S1476" s="272"/>
      <c r="T1476" s="272"/>
      <c r="U1476" s="272"/>
      <c r="V1476" s="272"/>
      <c r="W1476" s="272"/>
      <c r="X1476" s="272"/>
      <c r="Y1476" s="272"/>
      <c r="Z1476" s="272"/>
      <c r="AA1476" s="272"/>
    </row>
    <row r="1477" spans="1:27">
      <c r="A1477" s="338">
        <v>11</v>
      </c>
      <c r="B1477" s="339" t="s">
        <v>6603</v>
      </c>
      <c r="C1477" s="340">
        <v>45566</v>
      </c>
      <c r="D1477" s="339" t="s">
        <v>4714</v>
      </c>
      <c r="E1477" s="268" t="s">
        <v>4734</v>
      </c>
      <c r="F1477" s="268" t="s">
        <v>4715</v>
      </c>
      <c r="G1477" s="268" t="s">
        <v>4716</v>
      </c>
      <c r="H1477" s="268" t="str">
        <f t="shared" si="8"/>
        <v>ISABEL POLO TOMÁS</v>
      </c>
      <c r="I1477" s="268" t="s">
        <v>4912</v>
      </c>
      <c r="J1477" s="268" t="s">
        <v>4736</v>
      </c>
      <c r="K1477" s="268" t="s">
        <v>6683</v>
      </c>
      <c r="L1477" s="287">
        <v>45611</v>
      </c>
      <c r="M1477" s="277"/>
      <c r="N1477" s="282">
        <v>2</v>
      </c>
      <c r="O1477" s="284" t="s">
        <v>4740</v>
      </c>
      <c r="P1477" s="280">
        <v>3800</v>
      </c>
      <c r="Q1477" s="287">
        <v>45566</v>
      </c>
      <c r="R1477" s="272"/>
      <c r="S1477" s="272"/>
      <c r="T1477" s="272"/>
      <c r="U1477" s="272"/>
      <c r="V1477" s="272"/>
      <c r="W1477" s="272"/>
      <c r="X1477" s="272"/>
      <c r="Y1477" s="272"/>
      <c r="Z1477" s="272"/>
      <c r="AA1477" s="272"/>
    </row>
    <row r="1478" spans="1:27">
      <c r="A1478" s="338">
        <v>11</v>
      </c>
      <c r="B1478" s="339" t="s">
        <v>6603</v>
      </c>
      <c r="C1478" s="340">
        <v>45568</v>
      </c>
      <c r="D1478" s="339" t="s">
        <v>4714</v>
      </c>
      <c r="E1478" s="268" t="s">
        <v>3529</v>
      </c>
      <c r="F1478" s="268" t="s">
        <v>4715</v>
      </c>
      <c r="G1478" s="268" t="s">
        <v>4716</v>
      </c>
      <c r="H1478" s="268" t="str">
        <f t="shared" si="8"/>
        <v>ROCÍO CORRALES MILLÁN</v>
      </c>
      <c r="I1478" s="268" t="s">
        <v>5680</v>
      </c>
      <c r="J1478" s="268" t="s">
        <v>4729</v>
      </c>
      <c r="K1478" s="268" t="s">
        <v>6684</v>
      </c>
      <c r="L1478" s="287">
        <v>45611</v>
      </c>
      <c r="M1478" s="277"/>
      <c r="N1478" s="282">
        <v>2</v>
      </c>
      <c r="O1478" s="284" t="s">
        <v>4720</v>
      </c>
      <c r="P1478" s="280">
        <v>2944.55</v>
      </c>
      <c r="Q1478" s="287">
        <v>45568</v>
      </c>
      <c r="R1478" s="272"/>
      <c r="S1478" s="272"/>
      <c r="T1478" s="272"/>
      <c r="U1478" s="272"/>
      <c r="V1478" s="272"/>
      <c r="W1478" s="272"/>
      <c r="X1478" s="272"/>
      <c r="Y1478" s="272"/>
      <c r="Z1478" s="272"/>
      <c r="AA1478" s="272"/>
    </row>
    <row r="1479" spans="1:27">
      <c r="A1479" s="338">
        <v>11</v>
      </c>
      <c r="B1479" s="339" t="s">
        <v>6603</v>
      </c>
      <c r="C1479" s="340">
        <v>45580</v>
      </c>
      <c r="D1479" s="339" t="s">
        <v>4714</v>
      </c>
      <c r="E1479" s="268" t="s">
        <v>4845</v>
      </c>
      <c r="F1479" s="268" t="s">
        <v>4715</v>
      </c>
      <c r="G1479" s="268" t="s">
        <v>4716</v>
      </c>
      <c r="H1479" s="268" t="str">
        <f t="shared" si="8"/>
        <v>JOSÉ MANUEL GARCÍA SOLANS-ESTERAS</v>
      </c>
      <c r="I1479" s="268" t="s">
        <v>4873</v>
      </c>
      <c r="J1479" s="278" t="s">
        <v>4822</v>
      </c>
      <c r="K1479" s="268" t="s">
        <v>6685</v>
      </c>
      <c r="L1479" s="287">
        <v>45611</v>
      </c>
      <c r="M1479" s="277"/>
      <c r="N1479" s="282">
        <v>2</v>
      </c>
      <c r="O1479" s="284" t="s">
        <v>4720</v>
      </c>
      <c r="P1479" s="280">
        <v>3424.55</v>
      </c>
      <c r="Q1479" s="287">
        <v>45580</v>
      </c>
      <c r="R1479" s="272"/>
      <c r="S1479" s="272"/>
      <c r="T1479" s="272"/>
      <c r="U1479" s="272"/>
      <c r="V1479" s="272"/>
      <c r="W1479" s="272"/>
      <c r="X1479" s="272"/>
      <c r="Y1479" s="272"/>
      <c r="Z1479" s="272"/>
      <c r="AA1479" s="272"/>
    </row>
    <row r="1480" spans="1:27">
      <c r="A1480" s="338">
        <v>11</v>
      </c>
      <c r="B1480" s="339" t="s">
        <v>6603</v>
      </c>
      <c r="C1480" s="340">
        <v>45558</v>
      </c>
      <c r="D1480" s="339" t="s">
        <v>4714</v>
      </c>
      <c r="E1480" s="268" t="s">
        <v>4194</v>
      </c>
      <c r="F1480" s="268" t="s">
        <v>4715</v>
      </c>
      <c r="G1480" s="268" t="s">
        <v>4716</v>
      </c>
      <c r="H1480" s="268" t="str">
        <f t="shared" si="8"/>
        <v>FÉLIX RUÍZ DE LA CUESTA JUSTE</v>
      </c>
      <c r="I1480" s="268" t="s">
        <v>4930</v>
      </c>
      <c r="J1480" s="268" t="s">
        <v>4736</v>
      </c>
      <c r="K1480" s="268" t="s">
        <v>6686</v>
      </c>
      <c r="L1480" s="287">
        <v>45614</v>
      </c>
      <c r="M1480" s="277"/>
      <c r="N1480" s="282">
        <v>1</v>
      </c>
      <c r="O1480" s="284" t="s">
        <v>4723</v>
      </c>
      <c r="P1480" s="280">
        <v>1732.73</v>
      </c>
      <c r="Q1480" s="287">
        <v>45558</v>
      </c>
      <c r="R1480" s="272"/>
      <c r="S1480" s="272"/>
      <c r="T1480" s="272"/>
      <c r="U1480" s="272"/>
      <c r="V1480" s="272"/>
      <c r="W1480" s="272"/>
      <c r="X1480" s="272"/>
      <c r="Y1480" s="272"/>
      <c r="Z1480" s="272"/>
      <c r="AA1480" s="272"/>
    </row>
    <row r="1481" spans="1:27">
      <c r="A1481" s="338">
        <v>11</v>
      </c>
      <c r="B1481" s="339" t="s">
        <v>6603</v>
      </c>
      <c r="C1481" s="340">
        <v>45561</v>
      </c>
      <c r="D1481" s="339" t="s">
        <v>4714</v>
      </c>
      <c r="E1481" s="268" t="s">
        <v>2880</v>
      </c>
      <c r="F1481" s="268" t="s">
        <v>4715</v>
      </c>
      <c r="G1481" s="268" t="s">
        <v>4716</v>
      </c>
      <c r="H1481" s="268" t="str">
        <f t="shared" si="8"/>
        <v>MARTA COLMENERO RUIZ</v>
      </c>
      <c r="I1481" s="268" t="s">
        <v>6687</v>
      </c>
      <c r="J1481" s="268" t="s">
        <v>4718</v>
      </c>
      <c r="K1481" s="268" t="s">
        <v>6688</v>
      </c>
      <c r="L1481" s="287">
        <v>45614</v>
      </c>
      <c r="M1481" s="277"/>
      <c r="N1481" s="282">
        <v>1</v>
      </c>
      <c r="O1481" s="284" t="s">
        <v>5814</v>
      </c>
      <c r="P1481" s="280">
        <v>2280</v>
      </c>
      <c r="Q1481" s="287">
        <v>45561</v>
      </c>
      <c r="R1481" s="272"/>
      <c r="S1481" s="272"/>
      <c r="T1481" s="272"/>
      <c r="U1481" s="272"/>
      <c r="V1481" s="272"/>
      <c r="W1481" s="272"/>
      <c r="X1481" s="272"/>
      <c r="Y1481" s="272"/>
      <c r="Z1481" s="272"/>
      <c r="AA1481" s="272"/>
    </row>
    <row r="1482" spans="1:27">
      <c r="A1482" s="338">
        <v>11</v>
      </c>
      <c r="B1482" s="339" t="s">
        <v>6603</v>
      </c>
      <c r="C1482" s="340">
        <v>45582</v>
      </c>
      <c r="D1482" s="339" t="s">
        <v>4714</v>
      </c>
      <c r="E1482" s="268" t="s">
        <v>2880</v>
      </c>
      <c r="F1482" s="268" t="s">
        <v>4715</v>
      </c>
      <c r="G1482" s="268" t="s">
        <v>4716</v>
      </c>
      <c r="H1482" s="268" t="str">
        <f t="shared" si="8"/>
        <v>BEATRIZ SANTOS DUQUE</v>
      </c>
      <c r="I1482" s="268" t="s">
        <v>6118</v>
      </c>
      <c r="J1482" s="268" t="s">
        <v>4718</v>
      </c>
      <c r="K1482" s="268" t="s">
        <v>6689</v>
      </c>
      <c r="L1482" s="287">
        <v>45614</v>
      </c>
      <c r="M1482" s="277"/>
      <c r="N1482" s="282">
        <v>2</v>
      </c>
      <c r="O1482" s="284" t="s">
        <v>5814</v>
      </c>
      <c r="P1482" s="280">
        <v>4000</v>
      </c>
      <c r="Q1482" s="287">
        <v>45582</v>
      </c>
      <c r="R1482" s="272"/>
      <c r="S1482" s="272"/>
      <c r="T1482" s="272"/>
      <c r="U1482" s="272"/>
      <c r="V1482" s="272"/>
      <c r="W1482" s="272"/>
      <c r="X1482" s="272"/>
      <c r="Y1482" s="272"/>
      <c r="Z1482" s="272"/>
      <c r="AA1482" s="272"/>
    </row>
    <row r="1483" spans="1:27">
      <c r="A1483" s="338">
        <v>11</v>
      </c>
      <c r="B1483" s="339" t="s">
        <v>6603</v>
      </c>
      <c r="C1483" s="340">
        <v>45583</v>
      </c>
      <c r="D1483" s="339" t="s">
        <v>4714</v>
      </c>
      <c r="E1483" s="268" t="s">
        <v>2869</v>
      </c>
      <c r="F1483" s="268" t="s">
        <v>4715</v>
      </c>
      <c r="G1483" s="268" t="s">
        <v>4716</v>
      </c>
      <c r="H1483" s="268" t="str">
        <f t="shared" si="8"/>
        <v>VANIA NOVOA JUIZ</v>
      </c>
      <c r="I1483" s="268" t="s">
        <v>4841</v>
      </c>
      <c r="J1483" s="268" t="s">
        <v>4736</v>
      </c>
      <c r="K1483" s="268" t="s">
        <v>6690</v>
      </c>
      <c r="L1483" s="287">
        <v>45614</v>
      </c>
      <c r="M1483" s="277"/>
      <c r="N1483" s="282">
        <v>2</v>
      </c>
      <c r="O1483" s="284" t="s">
        <v>4723</v>
      </c>
      <c r="P1483" s="280">
        <v>2888.18</v>
      </c>
      <c r="Q1483" s="287">
        <v>45583</v>
      </c>
      <c r="R1483" s="272"/>
      <c r="S1483" s="272"/>
      <c r="T1483" s="272"/>
      <c r="U1483" s="272"/>
      <c r="V1483" s="272"/>
      <c r="W1483" s="272"/>
      <c r="X1483" s="272"/>
      <c r="Y1483" s="272"/>
      <c r="Z1483" s="272"/>
      <c r="AA1483" s="272"/>
    </row>
    <row r="1484" spans="1:27">
      <c r="A1484" s="338">
        <v>11</v>
      </c>
      <c r="B1484" s="339" t="s">
        <v>6603</v>
      </c>
      <c r="C1484" s="340">
        <v>45588</v>
      </c>
      <c r="D1484" s="339" t="s">
        <v>4714</v>
      </c>
      <c r="E1484" s="268" t="s">
        <v>2863</v>
      </c>
      <c r="F1484" s="268" t="s">
        <v>4715</v>
      </c>
      <c r="G1484" s="268" t="s">
        <v>4716</v>
      </c>
      <c r="H1484" s="268" t="str">
        <f t="shared" si="8"/>
        <v>JAVIER GARCÍA-DUEÑAS GONZÁLEZ</v>
      </c>
      <c r="I1484" s="268" t="s">
        <v>5396</v>
      </c>
      <c r="J1484" s="268" t="s">
        <v>4736</v>
      </c>
      <c r="K1484" s="268" t="s">
        <v>6691</v>
      </c>
      <c r="L1484" s="287">
        <v>45614</v>
      </c>
      <c r="M1484" s="277"/>
      <c r="N1484" s="282">
        <v>2</v>
      </c>
      <c r="O1484" s="284" t="s">
        <v>4723</v>
      </c>
      <c r="P1484" s="280">
        <v>2743.64</v>
      </c>
      <c r="Q1484" s="287">
        <v>45588</v>
      </c>
      <c r="R1484" s="272"/>
      <c r="S1484" s="272"/>
      <c r="T1484" s="272"/>
      <c r="U1484" s="272"/>
      <c r="V1484" s="272"/>
      <c r="W1484" s="272"/>
      <c r="X1484" s="272"/>
      <c r="Y1484" s="272"/>
      <c r="Z1484" s="272"/>
      <c r="AA1484" s="272"/>
    </row>
    <row r="1485" spans="1:27">
      <c r="A1485" s="338">
        <v>11</v>
      </c>
      <c r="B1485" s="339" t="s">
        <v>6603</v>
      </c>
      <c r="C1485" s="340">
        <v>45533</v>
      </c>
      <c r="D1485" s="339" t="s">
        <v>4714</v>
      </c>
      <c r="E1485" s="268" t="s">
        <v>4194</v>
      </c>
      <c r="F1485" s="268" t="s">
        <v>4715</v>
      </c>
      <c r="G1485" s="268" t="s">
        <v>4716</v>
      </c>
      <c r="H1485" s="268" t="str">
        <f t="shared" si="8"/>
        <v>LUÍS MARTÍNEZ BERNABEU</v>
      </c>
      <c r="I1485" s="268" t="s">
        <v>4757</v>
      </c>
      <c r="J1485" s="268" t="s">
        <v>4910</v>
      </c>
      <c r="K1485" s="268" t="s">
        <v>6692</v>
      </c>
      <c r="L1485" s="287">
        <v>45615</v>
      </c>
      <c r="M1485" s="277"/>
      <c r="N1485" s="282">
        <v>1</v>
      </c>
      <c r="O1485" s="284" t="s">
        <v>4720</v>
      </c>
      <c r="P1485" s="280">
        <v>1918.18</v>
      </c>
      <c r="Q1485" s="287">
        <v>45533</v>
      </c>
      <c r="R1485" s="272"/>
      <c r="S1485" s="272"/>
      <c r="T1485" s="272"/>
      <c r="U1485" s="272"/>
      <c r="V1485" s="272"/>
      <c r="W1485" s="272"/>
      <c r="X1485" s="272"/>
      <c r="Y1485" s="272"/>
      <c r="Z1485" s="272"/>
      <c r="AA1485" s="272"/>
    </row>
    <row r="1486" spans="1:27">
      <c r="A1486" s="338">
        <v>11</v>
      </c>
      <c r="B1486" s="339" t="s">
        <v>6603</v>
      </c>
      <c r="C1486" s="340">
        <v>45562</v>
      </c>
      <c r="D1486" s="339" t="s">
        <v>4714</v>
      </c>
      <c r="E1486" s="268" t="s">
        <v>4194</v>
      </c>
      <c r="F1486" s="268" t="s">
        <v>4715</v>
      </c>
      <c r="G1486" s="268" t="s">
        <v>4716</v>
      </c>
      <c r="H1486" s="268" t="str">
        <f t="shared" si="8"/>
        <v>GUILLERMO SEVERÁ FERRANDIZ</v>
      </c>
      <c r="I1486" s="268" t="s">
        <v>5190</v>
      </c>
      <c r="J1486" s="268" t="s">
        <v>4736</v>
      </c>
      <c r="K1486" s="268" t="s">
        <v>6693</v>
      </c>
      <c r="L1486" s="287">
        <v>45615</v>
      </c>
      <c r="M1486" s="277"/>
      <c r="N1486" s="282">
        <v>2</v>
      </c>
      <c r="O1486" s="284" t="s">
        <v>4723</v>
      </c>
      <c r="P1486" s="280">
        <v>2890.91</v>
      </c>
      <c r="Q1486" s="287">
        <v>45562</v>
      </c>
      <c r="R1486" s="272"/>
      <c r="S1486" s="272"/>
      <c r="T1486" s="272"/>
      <c r="U1486" s="272"/>
      <c r="V1486" s="272"/>
      <c r="W1486" s="272"/>
      <c r="X1486" s="272"/>
      <c r="Y1486" s="272"/>
      <c r="Z1486" s="272"/>
      <c r="AA1486" s="272"/>
    </row>
    <row r="1487" spans="1:27">
      <c r="A1487" s="338">
        <v>11</v>
      </c>
      <c r="B1487" s="339" t="s">
        <v>6603</v>
      </c>
      <c r="C1487" s="340">
        <v>45586</v>
      </c>
      <c r="D1487" s="339" t="s">
        <v>4714</v>
      </c>
      <c r="E1487" s="268" t="s">
        <v>2880</v>
      </c>
      <c r="F1487" s="268" t="s">
        <v>4715</v>
      </c>
      <c r="G1487" s="268" t="s">
        <v>4716</v>
      </c>
      <c r="H1487" s="268" t="str">
        <f t="shared" si="8"/>
        <v>MARÍA GARROTE GARROTE</v>
      </c>
      <c r="I1487" s="268" t="s">
        <v>4721</v>
      </c>
      <c r="J1487" s="268" t="s">
        <v>4718</v>
      </c>
      <c r="K1487" s="268" t="s">
        <v>6694</v>
      </c>
      <c r="L1487" s="287">
        <v>45615</v>
      </c>
      <c r="M1487" s="277"/>
      <c r="N1487" s="282">
        <v>2</v>
      </c>
      <c r="O1487" s="284" t="s">
        <v>5814</v>
      </c>
      <c r="P1487" s="280">
        <v>4000</v>
      </c>
      <c r="Q1487" s="287">
        <v>45586</v>
      </c>
      <c r="R1487" s="272"/>
      <c r="S1487" s="272"/>
      <c r="T1487" s="272"/>
      <c r="U1487" s="272"/>
      <c r="V1487" s="272"/>
      <c r="W1487" s="272"/>
      <c r="X1487" s="272"/>
      <c r="Y1487" s="272"/>
      <c r="Z1487" s="272"/>
      <c r="AA1487" s="272"/>
    </row>
    <row r="1488" spans="1:27">
      <c r="A1488" s="338">
        <v>11</v>
      </c>
      <c r="B1488" s="339" t="s">
        <v>6603</v>
      </c>
      <c r="C1488" s="340">
        <v>45601</v>
      </c>
      <c r="D1488" s="339" t="s">
        <v>4714</v>
      </c>
      <c r="E1488" s="268" t="s">
        <v>3861</v>
      </c>
      <c r="F1488" s="268" t="s">
        <v>4715</v>
      </c>
      <c r="G1488" s="268" t="s">
        <v>4716</v>
      </c>
      <c r="H1488" s="268" t="str">
        <f t="shared" si="8"/>
        <v>JOSÉ GUSTAVO BARROSO BRAOJOS</v>
      </c>
      <c r="I1488" s="268" t="s">
        <v>4834</v>
      </c>
      <c r="J1488" s="268" t="s">
        <v>4718</v>
      </c>
      <c r="K1488" s="268" t="s">
        <v>6695</v>
      </c>
      <c r="L1488" s="287">
        <v>45615</v>
      </c>
      <c r="M1488" s="277"/>
      <c r="N1488" s="282">
        <v>2</v>
      </c>
      <c r="O1488" s="284" t="s">
        <v>4723</v>
      </c>
      <c r="P1488" s="280">
        <v>2743.64</v>
      </c>
      <c r="Q1488" s="287">
        <v>45601</v>
      </c>
      <c r="R1488" s="272"/>
      <c r="S1488" s="272"/>
      <c r="T1488" s="272"/>
      <c r="U1488" s="272"/>
      <c r="V1488" s="272"/>
      <c r="W1488" s="272"/>
      <c r="X1488" s="272"/>
      <c r="Y1488" s="272"/>
      <c r="Z1488" s="272"/>
      <c r="AA1488" s="272"/>
    </row>
    <row r="1489" spans="1:27">
      <c r="A1489" s="338">
        <v>11</v>
      </c>
      <c r="B1489" s="339" t="s">
        <v>6603</v>
      </c>
      <c r="C1489" s="340">
        <v>45027</v>
      </c>
      <c r="D1489" s="339" t="s">
        <v>4714</v>
      </c>
      <c r="E1489" s="268" t="s">
        <v>3043</v>
      </c>
      <c r="F1489" s="268" t="s">
        <v>4715</v>
      </c>
      <c r="G1489" s="268" t="s">
        <v>4716</v>
      </c>
      <c r="H1489" s="268" t="str">
        <f t="shared" si="8"/>
        <v>ANTONIO BUENO RÍOS</v>
      </c>
      <c r="I1489" s="268" t="s">
        <v>4793</v>
      </c>
      <c r="J1489" s="268" t="s">
        <v>4822</v>
      </c>
      <c r="K1489" s="268" t="s">
        <v>6696</v>
      </c>
      <c r="L1489" s="287">
        <v>45615</v>
      </c>
      <c r="M1489" s="277"/>
      <c r="N1489" s="282">
        <v>2</v>
      </c>
      <c r="O1489" s="284" t="s">
        <v>4720</v>
      </c>
      <c r="P1489" s="280">
        <v>3710</v>
      </c>
      <c r="Q1489" s="287">
        <v>45027</v>
      </c>
      <c r="R1489" s="272"/>
      <c r="S1489" s="272"/>
      <c r="T1489" s="272"/>
      <c r="U1489" s="272"/>
      <c r="V1489" s="272"/>
      <c r="W1489" s="272"/>
      <c r="X1489" s="272"/>
      <c r="Y1489" s="272"/>
      <c r="Z1489" s="272"/>
      <c r="AA1489" s="272"/>
    </row>
    <row r="1490" spans="1:27">
      <c r="A1490" s="338">
        <v>11</v>
      </c>
      <c r="B1490" s="339" t="s">
        <v>6603</v>
      </c>
      <c r="C1490" s="340">
        <v>45593</v>
      </c>
      <c r="D1490" s="339" t="s">
        <v>4714</v>
      </c>
      <c r="E1490" s="268" t="s">
        <v>4837</v>
      </c>
      <c r="F1490" s="268" t="s">
        <v>4715</v>
      </c>
      <c r="G1490" s="268" t="s">
        <v>4716</v>
      </c>
      <c r="H1490" s="268" t="str">
        <f t="shared" si="8"/>
        <v>JOSÉ MARÍA RELANZÓN LÓPEZ</v>
      </c>
      <c r="I1490" s="268" t="s">
        <v>6697</v>
      </c>
      <c r="J1490" s="268" t="s">
        <v>4718</v>
      </c>
      <c r="K1490" s="268" t="s">
        <v>6698</v>
      </c>
      <c r="L1490" s="287">
        <v>45615</v>
      </c>
      <c r="M1490" s="277"/>
      <c r="N1490" s="282">
        <v>2</v>
      </c>
      <c r="O1490" s="284" t="s">
        <v>4787</v>
      </c>
      <c r="P1490" s="280">
        <v>3854.55</v>
      </c>
      <c r="Q1490" s="287">
        <v>45593</v>
      </c>
      <c r="R1490" s="272"/>
      <c r="S1490" s="272"/>
      <c r="T1490" s="272"/>
      <c r="U1490" s="272"/>
      <c r="V1490" s="272"/>
      <c r="W1490" s="272"/>
      <c r="X1490" s="272"/>
      <c r="Y1490" s="272"/>
      <c r="Z1490" s="272"/>
      <c r="AA1490" s="272"/>
    </row>
    <row r="1491" spans="1:27">
      <c r="A1491" s="338">
        <v>11</v>
      </c>
      <c r="B1491" s="339" t="s">
        <v>6603</v>
      </c>
      <c r="C1491" s="340">
        <v>45568</v>
      </c>
      <c r="D1491" s="339" t="s">
        <v>4714</v>
      </c>
      <c r="E1491" s="268" t="s">
        <v>2929</v>
      </c>
      <c r="F1491" s="268" t="s">
        <v>4715</v>
      </c>
      <c r="G1491" s="268" t="s">
        <v>4716</v>
      </c>
      <c r="H1491" s="268" t="str">
        <f t="shared" si="8"/>
        <v>GUILLERMO SAN JUAN DE LA MORETA</v>
      </c>
      <c r="I1491" s="268" t="s">
        <v>5100</v>
      </c>
      <c r="J1491" s="268" t="s">
        <v>4718</v>
      </c>
      <c r="K1491" s="268" t="s">
        <v>6699</v>
      </c>
      <c r="L1491" s="287">
        <v>45615</v>
      </c>
      <c r="M1491" s="277"/>
      <c r="N1491" s="282">
        <v>2</v>
      </c>
      <c r="O1491" s="284" t="s">
        <v>4723</v>
      </c>
      <c r="P1491" s="280">
        <v>2888.18</v>
      </c>
      <c r="Q1491" s="287">
        <v>45568</v>
      </c>
      <c r="R1491" s="272"/>
      <c r="S1491" s="272"/>
      <c r="T1491" s="272"/>
      <c r="U1491" s="272"/>
      <c r="V1491" s="272"/>
      <c r="W1491" s="272"/>
      <c r="X1491" s="272"/>
      <c r="Y1491" s="272"/>
      <c r="Z1491" s="272"/>
      <c r="AA1491" s="272"/>
    </row>
    <row r="1492" spans="1:27">
      <c r="A1492" s="338">
        <v>11</v>
      </c>
      <c r="B1492" s="339" t="s">
        <v>6603</v>
      </c>
      <c r="C1492" s="340">
        <v>45579</v>
      </c>
      <c r="D1492" s="339" t="s">
        <v>4714</v>
      </c>
      <c r="E1492" s="268" t="s">
        <v>3605</v>
      </c>
      <c r="F1492" s="268" t="s">
        <v>4715</v>
      </c>
      <c r="G1492" s="268" t="s">
        <v>4716</v>
      </c>
      <c r="H1492" s="268" t="str">
        <f t="shared" si="8"/>
        <v>LUIS JIMÉNEZ FERRERES</v>
      </c>
      <c r="I1492" s="268" t="s">
        <v>5967</v>
      </c>
      <c r="J1492" s="268" t="s">
        <v>4822</v>
      </c>
      <c r="K1492" s="268" t="s">
        <v>6700</v>
      </c>
      <c r="L1492" s="287">
        <v>45615</v>
      </c>
      <c r="M1492" s="277"/>
      <c r="N1492" s="282">
        <v>1</v>
      </c>
      <c r="O1492" s="284" t="s">
        <v>5814</v>
      </c>
      <c r="P1492" s="280">
        <v>2400.0100000000002</v>
      </c>
      <c r="Q1492" s="287">
        <v>45579</v>
      </c>
      <c r="R1492" s="272"/>
      <c r="S1492" s="272"/>
      <c r="T1492" s="272"/>
      <c r="U1492" s="272"/>
      <c r="V1492" s="272"/>
      <c r="W1492" s="272"/>
      <c r="X1492" s="272"/>
      <c r="Y1492" s="272"/>
      <c r="Z1492" s="272"/>
      <c r="AA1492" s="272"/>
    </row>
    <row r="1493" spans="1:27">
      <c r="A1493" s="338">
        <v>11</v>
      </c>
      <c r="B1493" s="339" t="s">
        <v>6603</v>
      </c>
      <c r="C1493" s="340">
        <v>45580</v>
      </c>
      <c r="D1493" s="339" t="s">
        <v>4714</v>
      </c>
      <c r="E1493" s="268" t="s">
        <v>2984</v>
      </c>
      <c r="F1493" s="268" t="s">
        <v>4715</v>
      </c>
      <c r="G1493" s="268" t="s">
        <v>4716</v>
      </c>
      <c r="H1493" s="268" t="str">
        <f t="shared" si="8"/>
        <v>JOSÉ MONTALT MARCO</v>
      </c>
      <c r="I1493" s="268" t="s">
        <v>6132</v>
      </c>
      <c r="J1493" s="268" t="s">
        <v>4910</v>
      </c>
      <c r="K1493" s="268" t="s">
        <v>6701</v>
      </c>
      <c r="L1493" s="287">
        <v>45615</v>
      </c>
      <c r="M1493" s="277"/>
      <c r="N1493" s="282">
        <v>2</v>
      </c>
      <c r="O1493" s="284" t="s">
        <v>4787</v>
      </c>
      <c r="P1493" s="280">
        <v>4374.62</v>
      </c>
      <c r="Q1493" s="287">
        <v>45580</v>
      </c>
      <c r="R1493" s="272"/>
      <c r="S1493" s="272"/>
      <c r="T1493" s="272"/>
      <c r="U1493" s="272"/>
      <c r="V1493" s="272"/>
      <c r="W1493" s="272"/>
      <c r="X1493" s="272"/>
      <c r="Y1493" s="272"/>
      <c r="Z1493" s="272"/>
      <c r="AA1493" s="272"/>
    </row>
    <row r="1494" spans="1:27">
      <c r="A1494" s="338">
        <v>11</v>
      </c>
      <c r="B1494" s="339" t="s">
        <v>6603</v>
      </c>
      <c r="C1494" s="340">
        <v>45567</v>
      </c>
      <c r="D1494" s="339" t="s">
        <v>4714</v>
      </c>
      <c r="E1494" s="268" t="s">
        <v>4775</v>
      </c>
      <c r="F1494" s="268" t="s">
        <v>4715</v>
      </c>
      <c r="G1494" s="268" t="s">
        <v>4716</v>
      </c>
      <c r="H1494" s="268" t="str">
        <f t="shared" si="8"/>
        <v>GARIKOITZ CALZADA URIONDO</v>
      </c>
      <c r="I1494" s="268" t="s">
        <v>5520</v>
      </c>
      <c r="J1494" s="268" t="s">
        <v>4822</v>
      </c>
      <c r="K1494" s="268" t="s">
        <v>6702</v>
      </c>
      <c r="L1494" s="287">
        <v>45615</v>
      </c>
      <c r="M1494" s="277"/>
      <c r="N1494" s="282">
        <v>2</v>
      </c>
      <c r="O1494" s="284" t="s">
        <v>4787</v>
      </c>
      <c r="P1494" s="280">
        <v>4090.91</v>
      </c>
      <c r="Q1494" s="287">
        <v>45567</v>
      </c>
      <c r="R1494" s="272"/>
      <c r="S1494" s="272"/>
      <c r="T1494" s="272"/>
      <c r="U1494" s="272"/>
      <c r="V1494" s="272"/>
      <c r="W1494" s="272"/>
      <c r="X1494" s="272"/>
      <c r="Y1494" s="272"/>
      <c r="Z1494" s="272"/>
      <c r="AA1494" s="272"/>
    </row>
    <row r="1495" spans="1:27">
      <c r="A1495" s="338">
        <v>11</v>
      </c>
      <c r="B1495" s="339" t="s">
        <v>6603</v>
      </c>
      <c r="C1495" s="340">
        <v>45580</v>
      </c>
      <c r="D1495" s="339" t="s">
        <v>4714</v>
      </c>
      <c r="E1495" s="268" t="s">
        <v>2900</v>
      </c>
      <c r="F1495" s="268" t="s">
        <v>4715</v>
      </c>
      <c r="G1495" s="268" t="s">
        <v>4716</v>
      </c>
      <c r="H1495" s="268" t="str">
        <f t="shared" si="8"/>
        <v>MOHAMED AL RIFAL AL MASTI</v>
      </c>
      <c r="I1495" s="268" t="s">
        <v>5269</v>
      </c>
      <c r="J1495" s="268" t="s">
        <v>4790</v>
      </c>
      <c r="K1495" s="268" t="s">
        <v>6703</v>
      </c>
      <c r="L1495" s="287">
        <v>45615</v>
      </c>
      <c r="M1495" s="277"/>
      <c r="N1495" s="282">
        <v>2</v>
      </c>
      <c r="O1495" s="284" t="s">
        <v>4787</v>
      </c>
      <c r="P1495" s="280">
        <v>4400</v>
      </c>
      <c r="Q1495" s="287">
        <v>45580</v>
      </c>
      <c r="R1495" s="272"/>
      <c r="S1495" s="272"/>
      <c r="T1495" s="272"/>
      <c r="U1495" s="272"/>
      <c r="V1495" s="272"/>
      <c r="W1495" s="272"/>
      <c r="X1495" s="272"/>
      <c r="Y1495" s="272"/>
      <c r="Z1495" s="272"/>
      <c r="AA1495" s="272"/>
    </row>
    <row r="1496" spans="1:27">
      <c r="A1496" s="338">
        <v>11</v>
      </c>
      <c r="B1496" s="339" t="s">
        <v>6603</v>
      </c>
      <c r="C1496" s="340">
        <v>45581</v>
      </c>
      <c r="D1496" s="339" t="s">
        <v>4714</v>
      </c>
      <c r="E1496" s="268" t="s">
        <v>4194</v>
      </c>
      <c r="F1496" s="268" t="s">
        <v>4715</v>
      </c>
      <c r="G1496" s="268" t="s">
        <v>4716</v>
      </c>
      <c r="H1496" s="268" t="str">
        <f t="shared" si="8"/>
        <v>CRISTINA MUÑOZ PINTO</v>
      </c>
      <c r="I1496" s="268" t="s">
        <v>5173</v>
      </c>
      <c r="J1496" s="268" t="s">
        <v>4736</v>
      </c>
      <c r="K1496" s="268" t="s">
        <v>6704</v>
      </c>
      <c r="L1496" s="287">
        <v>45616</v>
      </c>
      <c r="M1496" s="277"/>
      <c r="N1496" s="282">
        <v>2</v>
      </c>
      <c r="O1496" s="284" t="s">
        <v>4723</v>
      </c>
      <c r="P1496" s="280">
        <v>2600</v>
      </c>
      <c r="Q1496" s="287">
        <v>45581</v>
      </c>
      <c r="R1496" s="272"/>
      <c r="S1496" s="272"/>
      <c r="T1496" s="272"/>
      <c r="U1496" s="272"/>
      <c r="V1496" s="272"/>
      <c r="W1496" s="272"/>
      <c r="X1496" s="272"/>
      <c r="Y1496" s="272"/>
      <c r="Z1496" s="272"/>
      <c r="AA1496" s="272"/>
    </row>
    <row r="1497" spans="1:27">
      <c r="A1497" s="338">
        <v>11</v>
      </c>
      <c r="B1497" s="339" t="s">
        <v>6603</v>
      </c>
      <c r="C1497" s="340">
        <v>45581</v>
      </c>
      <c r="D1497" s="339" t="s">
        <v>4714</v>
      </c>
      <c r="E1497" s="268" t="s">
        <v>4194</v>
      </c>
      <c r="F1497" s="268" t="s">
        <v>4715</v>
      </c>
      <c r="G1497" s="268" t="s">
        <v>4716</v>
      </c>
      <c r="H1497" s="268" t="str">
        <f t="shared" si="8"/>
        <v>JAVIER LAFARGA VÁZQUEZ</v>
      </c>
      <c r="I1497" s="268" t="s">
        <v>4995</v>
      </c>
      <c r="J1497" s="268" t="s">
        <v>4736</v>
      </c>
      <c r="K1497" s="268" t="s">
        <v>6705</v>
      </c>
      <c r="L1497" s="287">
        <v>45616</v>
      </c>
      <c r="M1497" s="277"/>
      <c r="N1497" s="282">
        <v>2</v>
      </c>
      <c r="O1497" s="284" t="s">
        <v>4723</v>
      </c>
      <c r="P1497" s="280">
        <v>2600</v>
      </c>
      <c r="Q1497" s="287">
        <v>45581</v>
      </c>
      <c r="R1497" s="272"/>
      <c r="S1497" s="272"/>
      <c r="T1497" s="272"/>
      <c r="U1497" s="272"/>
      <c r="V1497" s="272"/>
      <c r="W1497" s="272"/>
      <c r="X1497" s="272"/>
      <c r="Y1497" s="272"/>
      <c r="Z1497" s="272"/>
      <c r="AA1497" s="272"/>
    </row>
    <row r="1498" spans="1:27">
      <c r="A1498" s="338">
        <v>11</v>
      </c>
      <c r="B1498" s="339" t="s">
        <v>6603</v>
      </c>
      <c r="C1498" s="340">
        <v>45533</v>
      </c>
      <c r="D1498" s="339" t="s">
        <v>4714</v>
      </c>
      <c r="E1498" s="268" t="s">
        <v>2880</v>
      </c>
      <c r="F1498" s="268" t="s">
        <v>4715</v>
      </c>
      <c r="G1498" s="268" t="s">
        <v>4716</v>
      </c>
      <c r="H1498" s="268" t="str">
        <f t="shared" si="8"/>
        <v>JUAN RIESTRA AYORA</v>
      </c>
      <c r="I1498" s="268" t="s">
        <v>5433</v>
      </c>
      <c r="J1498" s="268" t="s">
        <v>4718</v>
      </c>
      <c r="K1498" s="268" t="s">
        <v>6706</v>
      </c>
      <c r="L1498" s="287">
        <v>45616</v>
      </c>
      <c r="M1498" s="277"/>
      <c r="N1498" s="282">
        <v>1</v>
      </c>
      <c r="O1498" s="284" t="s">
        <v>4723</v>
      </c>
      <c r="P1498" s="280">
        <v>1472.5</v>
      </c>
      <c r="Q1498" s="287">
        <v>45533</v>
      </c>
      <c r="R1498" s="272"/>
      <c r="S1498" s="272"/>
      <c r="T1498" s="272"/>
      <c r="U1498" s="272"/>
      <c r="V1498" s="272"/>
      <c r="W1498" s="272"/>
      <c r="X1498" s="272"/>
      <c r="Y1498" s="272"/>
      <c r="Z1498" s="272"/>
      <c r="AA1498" s="272"/>
    </row>
    <row r="1499" spans="1:27">
      <c r="A1499" s="338">
        <v>11</v>
      </c>
      <c r="B1499" s="339" t="s">
        <v>6603</v>
      </c>
      <c r="C1499" s="340">
        <v>45581</v>
      </c>
      <c r="D1499" s="339" t="s">
        <v>4714</v>
      </c>
      <c r="E1499" s="268" t="s">
        <v>3043</v>
      </c>
      <c r="F1499" s="268" t="s">
        <v>4715</v>
      </c>
      <c r="G1499" s="268" t="s">
        <v>4716</v>
      </c>
      <c r="H1499" s="268" t="str">
        <f t="shared" si="8"/>
        <v>ANTONIO BUENO RÍOS</v>
      </c>
      <c r="I1499" s="268" t="s">
        <v>4793</v>
      </c>
      <c r="J1499" s="268" t="s">
        <v>4822</v>
      </c>
      <c r="K1499" s="268" t="s">
        <v>6707</v>
      </c>
      <c r="L1499" s="287">
        <v>45616</v>
      </c>
      <c r="M1499" s="277"/>
      <c r="N1499" s="282">
        <v>2</v>
      </c>
      <c r="O1499" s="284" t="s">
        <v>5814</v>
      </c>
      <c r="P1499" s="280">
        <v>4000</v>
      </c>
      <c r="Q1499" s="287">
        <v>45581</v>
      </c>
      <c r="R1499" s="272"/>
      <c r="S1499" s="272"/>
      <c r="T1499" s="272"/>
      <c r="U1499" s="272"/>
      <c r="V1499" s="272"/>
      <c r="W1499" s="272"/>
      <c r="X1499" s="272"/>
      <c r="Y1499" s="272"/>
      <c r="Z1499" s="272"/>
      <c r="AA1499" s="272"/>
    </row>
    <row r="1500" spans="1:27">
      <c r="A1500" s="338">
        <v>11</v>
      </c>
      <c r="B1500" s="339" t="s">
        <v>6603</v>
      </c>
      <c r="C1500" s="340">
        <v>45551</v>
      </c>
      <c r="D1500" s="339" t="s">
        <v>4714</v>
      </c>
      <c r="E1500" s="268" t="s">
        <v>2929</v>
      </c>
      <c r="F1500" s="268" t="s">
        <v>4715</v>
      </c>
      <c r="G1500" s="268" t="s">
        <v>4716</v>
      </c>
      <c r="H1500" s="268" t="str">
        <f t="shared" si="8"/>
        <v>CARLOS BARAJAS DEL ROSAL</v>
      </c>
      <c r="I1500" s="268" t="s">
        <v>4934</v>
      </c>
      <c r="J1500" s="268" t="s">
        <v>4822</v>
      </c>
      <c r="K1500" s="268" t="s">
        <v>6708</v>
      </c>
      <c r="L1500" s="287">
        <v>45616</v>
      </c>
      <c r="M1500" s="277"/>
      <c r="N1500" s="282">
        <v>2</v>
      </c>
      <c r="O1500" s="284" t="s">
        <v>4787</v>
      </c>
      <c r="P1500" s="280">
        <v>4400</v>
      </c>
      <c r="Q1500" s="287">
        <v>45551</v>
      </c>
      <c r="R1500" s="272"/>
      <c r="S1500" s="272"/>
      <c r="T1500" s="272"/>
      <c r="U1500" s="272"/>
      <c r="V1500" s="272"/>
      <c r="W1500" s="272"/>
      <c r="X1500" s="272"/>
      <c r="Y1500" s="272"/>
      <c r="Z1500" s="272"/>
      <c r="AA1500" s="272"/>
    </row>
    <row r="1501" spans="1:27">
      <c r="A1501" s="338">
        <v>11</v>
      </c>
      <c r="B1501" s="339" t="s">
        <v>6603</v>
      </c>
      <c r="C1501" s="340">
        <v>45566</v>
      </c>
      <c r="D1501" s="339" t="s">
        <v>4714</v>
      </c>
      <c r="E1501" s="268" t="s">
        <v>3193</v>
      </c>
      <c r="F1501" s="268" t="s">
        <v>4715</v>
      </c>
      <c r="G1501" s="268" t="s">
        <v>4716</v>
      </c>
      <c r="H1501" s="268" t="str">
        <f t="shared" si="8"/>
        <v>MARÍA SANTILLÁN SÁNCHEZ</v>
      </c>
      <c r="I1501" s="268" t="s">
        <v>4767</v>
      </c>
      <c r="J1501" s="268" t="s">
        <v>4718</v>
      </c>
      <c r="K1501" s="268" t="s">
        <v>6709</v>
      </c>
      <c r="L1501" s="287">
        <v>45616</v>
      </c>
      <c r="M1501" s="277"/>
      <c r="N1501" s="282">
        <v>2</v>
      </c>
      <c r="O1501" s="284" t="s">
        <v>4720</v>
      </c>
      <c r="P1501" s="280">
        <v>3846.36</v>
      </c>
      <c r="Q1501" s="287">
        <v>45566</v>
      </c>
      <c r="R1501" s="272"/>
      <c r="S1501" s="272"/>
      <c r="T1501" s="272"/>
      <c r="U1501" s="272"/>
      <c r="V1501" s="272"/>
      <c r="W1501" s="272"/>
      <c r="X1501" s="272"/>
      <c r="Y1501" s="272"/>
      <c r="Z1501" s="272"/>
      <c r="AA1501" s="272"/>
    </row>
    <row r="1502" spans="1:27">
      <c r="A1502" s="338">
        <v>11</v>
      </c>
      <c r="B1502" s="339" t="s">
        <v>6603</v>
      </c>
      <c r="C1502" s="340">
        <v>45575</v>
      </c>
      <c r="D1502" s="339" t="s">
        <v>4714</v>
      </c>
      <c r="E1502" s="268" t="s">
        <v>2869</v>
      </c>
      <c r="F1502" s="268" t="s">
        <v>4715</v>
      </c>
      <c r="G1502" s="268" t="s">
        <v>4716</v>
      </c>
      <c r="H1502" s="268" t="str">
        <f t="shared" si="8"/>
        <v>MARÍA AGUSTINA SEVILLA GARCÍA</v>
      </c>
      <c r="I1502" s="268" t="s">
        <v>4812</v>
      </c>
      <c r="J1502" s="268" t="s">
        <v>4736</v>
      </c>
      <c r="K1502" s="268" t="s">
        <v>6710</v>
      </c>
      <c r="L1502" s="287">
        <v>45616</v>
      </c>
      <c r="M1502" s="277"/>
      <c r="N1502" s="282">
        <v>2</v>
      </c>
      <c r="O1502" s="284" t="s">
        <v>5814</v>
      </c>
      <c r="P1502" s="280">
        <v>4000</v>
      </c>
      <c r="Q1502" s="287">
        <v>45575</v>
      </c>
      <c r="R1502" s="272"/>
      <c r="S1502" s="272"/>
      <c r="T1502" s="272"/>
      <c r="U1502" s="272"/>
      <c r="V1502" s="272"/>
      <c r="W1502" s="272"/>
      <c r="X1502" s="272"/>
      <c r="Y1502" s="272"/>
      <c r="Z1502" s="272"/>
      <c r="AA1502" s="272"/>
    </row>
    <row r="1503" spans="1:27">
      <c r="A1503" s="338">
        <v>11</v>
      </c>
      <c r="B1503" s="339" t="s">
        <v>6603</v>
      </c>
      <c r="C1503" s="340">
        <v>45579</v>
      </c>
      <c r="D1503" s="339" t="s">
        <v>4714</v>
      </c>
      <c r="E1503" s="268" t="s">
        <v>4780</v>
      </c>
      <c r="F1503" s="268" t="s">
        <v>4715</v>
      </c>
      <c r="G1503" s="268" t="s">
        <v>4716</v>
      </c>
      <c r="H1503" s="268" t="str">
        <f t="shared" si="8"/>
        <v>LUIS MIGUEL RINCÓN ESTEBAN</v>
      </c>
      <c r="I1503" s="268" t="s">
        <v>5307</v>
      </c>
      <c r="J1503" s="268" t="s">
        <v>4747</v>
      </c>
      <c r="K1503" s="268" t="s">
        <v>6711</v>
      </c>
      <c r="L1503" s="287">
        <v>45616</v>
      </c>
      <c r="M1503" s="277"/>
      <c r="N1503" s="282">
        <v>2</v>
      </c>
      <c r="O1503" s="284" t="s">
        <v>4720</v>
      </c>
      <c r="P1503" s="280">
        <v>3604.55</v>
      </c>
      <c r="Q1503" s="287">
        <v>45579</v>
      </c>
      <c r="R1503" s="272"/>
      <c r="S1503" s="272"/>
      <c r="T1503" s="272"/>
      <c r="U1503" s="272"/>
      <c r="V1503" s="272"/>
      <c r="W1503" s="272"/>
      <c r="X1503" s="272"/>
      <c r="Y1503" s="272"/>
      <c r="Z1503" s="272"/>
      <c r="AA1503" s="272"/>
    </row>
    <row r="1504" spans="1:27">
      <c r="A1504" s="338">
        <v>11</v>
      </c>
      <c r="B1504" s="339" t="s">
        <v>6603</v>
      </c>
      <c r="C1504" s="340">
        <v>45579</v>
      </c>
      <c r="D1504" s="339" t="s">
        <v>4714</v>
      </c>
      <c r="E1504" s="268" t="s">
        <v>3529</v>
      </c>
      <c r="F1504" s="268" t="s">
        <v>4715</v>
      </c>
      <c r="G1504" s="268" t="s">
        <v>4716</v>
      </c>
      <c r="H1504" s="268" t="str">
        <f t="shared" si="8"/>
        <v>ESTEFANÍA BERROCAL POSTIGO</v>
      </c>
      <c r="I1504" s="268" t="s">
        <v>5201</v>
      </c>
      <c r="J1504" s="268" t="s">
        <v>4729</v>
      </c>
      <c r="K1504" s="268" t="s">
        <v>6712</v>
      </c>
      <c r="L1504" s="287">
        <v>45616</v>
      </c>
      <c r="M1504" s="277"/>
      <c r="N1504" s="282">
        <v>2</v>
      </c>
      <c r="O1504" s="284" t="s">
        <v>4720</v>
      </c>
      <c r="P1504" s="280">
        <v>3710</v>
      </c>
      <c r="Q1504" s="287">
        <v>45579</v>
      </c>
      <c r="R1504" s="272"/>
      <c r="S1504" s="272"/>
      <c r="T1504" s="272"/>
      <c r="U1504" s="272"/>
      <c r="V1504" s="272"/>
      <c r="W1504" s="272"/>
      <c r="X1504" s="272"/>
      <c r="Y1504" s="272"/>
      <c r="Z1504" s="272"/>
      <c r="AA1504" s="272"/>
    </row>
    <row r="1505" spans="1:27">
      <c r="A1505" s="338">
        <v>11</v>
      </c>
      <c r="B1505" s="339" t="s">
        <v>6603</v>
      </c>
      <c r="C1505" s="340">
        <v>45588</v>
      </c>
      <c r="D1505" s="339" t="s">
        <v>4714</v>
      </c>
      <c r="E1505" s="268" t="s">
        <v>2900</v>
      </c>
      <c r="F1505" s="268" t="s">
        <v>4715</v>
      </c>
      <c r="G1505" s="268" t="s">
        <v>4716</v>
      </c>
      <c r="H1505" s="268" t="str">
        <f t="shared" si="8"/>
        <v>MARÍA REY MARCOS</v>
      </c>
      <c r="I1505" s="268" t="s">
        <v>4952</v>
      </c>
      <c r="J1505" s="268" t="s">
        <v>4790</v>
      </c>
      <c r="K1505" s="268" t="s">
        <v>6713</v>
      </c>
      <c r="L1505" s="287">
        <v>45616</v>
      </c>
      <c r="M1505" s="277"/>
      <c r="N1505" s="282">
        <v>2</v>
      </c>
      <c r="O1505" s="284" t="s">
        <v>4720</v>
      </c>
      <c r="P1505" s="280">
        <v>3710</v>
      </c>
      <c r="Q1505" s="287">
        <v>45588</v>
      </c>
      <c r="R1505" s="272"/>
      <c r="S1505" s="272"/>
      <c r="T1505" s="272"/>
      <c r="U1505" s="272"/>
      <c r="V1505" s="272"/>
      <c r="W1505" s="272"/>
      <c r="X1505" s="272"/>
      <c r="Y1505" s="272"/>
      <c r="Z1505" s="272"/>
      <c r="AA1505" s="272"/>
    </row>
    <row r="1506" spans="1:27">
      <c r="A1506" s="338">
        <v>11</v>
      </c>
      <c r="B1506" s="339" t="s">
        <v>6603</v>
      </c>
      <c r="C1506" s="340">
        <v>45589</v>
      </c>
      <c r="D1506" s="339" t="s">
        <v>4714</v>
      </c>
      <c r="E1506" s="268" t="s">
        <v>4788</v>
      </c>
      <c r="F1506" s="268" t="s">
        <v>4715</v>
      </c>
      <c r="G1506" s="268" t="s">
        <v>4716</v>
      </c>
      <c r="H1506" s="268" t="str">
        <f t="shared" si="8"/>
        <v>CARLOS VIDAL REDONDO</v>
      </c>
      <c r="I1506" s="268" t="s">
        <v>4828</v>
      </c>
      <c r="J1506" s="268" t="s">
        <v>4790</v>
      </c>
      <c r="K1506" s="268" t="s">
        <v>6714</v>
      </c>
      <c r="L1506" s="287">
        <v>45616</v>
      </c>
      <c r="M1506" s="277"/>
      <c r="N1506" s="282">
        <v>1</v>
      </c>
      <c r="O1506" s="284" t="s">
        <v>4792</v>
      </c>
      <c r="P1506" s="280">
        <v>1627.27</v>
      </c>
      <c r="Q1506" s="287">
        <v>45589</v>
      </c>
      <c r="R1506" s="272"/>
      <c r="S1506" s="272"/>
      <c r="T1506" s="272"/>
      <c r="U1506" s="272"/>
      <c r="V1506" s="272"/>
      <c r="W1506" s="272"/>
      <c r="X1506" s="272"/>
      <c r="Y1506" s="272"/>
      <c r="Z1506" s="272"/>
      <c r="AA1506" s="272"/>
    </row>
    <row r="1507" spans="1:27">
      <c r="A1507" s="338">
        <v>11</v>
      </c>
      <c r="B1507" s="339" t="s">
        <v>6603</v>
      </c>
      <c r="C1507" s="340">
        <v>45572</v>
      </c>
      <c r="D1507" s="339" t="s">
        <v>4714</v>
      </c>
      <c r="E1507" s="268" t="s">
        <v>4734</v>
      </c>
      <c r="F1507" s="268" t="s">
        <v>4724</v>
      </c>
      <c r="G1507" s="268" t="s">
        <v>6630</v>
      </c>
      <c r="H1507" s="268" t="str">
        <f t="shared" si="8"/>
        <v>MARÍA EMILIA GARCÍA RUÍZ</v>
      </c>
      <c r="I1507" s="268" t="s">
        <v>5311</v>
      </c>
      <c r="J1507" s="268" t="s">
        <v>6715</v>
      </c>
      <c r="K1507" s="268" t="s">
        <v>6716</v>
      </c>
      <c r="L1507" s="287">
        <v>45616</v>
      </c>
      <c r="M1507" s="277"/>
      <c r="N1507" s="282">
        <v>2</v>
      </c>
      <c r="O1507" s="284" t="s">
        <v>4720</v>
      </c>
      <c r="P1507" s="280">
        <v>3710</v>
      </c>
      <c r="Q1507" s="287">
        <v>45572</v>
      </c>
      <c r="R1507" s="272"/>
      <c r="S1507" s="272"/>
      <c r="T1507" s="272"/>
      <c r="U1507" s="272"/>
      <c r="V1507" s="272"/>
      <c r="W1507" s="272"/>
      <c r="X1507" s="272"/>
      <c r="Y1507" s="272"/>
      <c r="Z1507" s="272"/>
      <c r="AA1507" s="272"/>
    </row>
    <row r="1508" spans="1:27">
      <c r="A1508" s="338">
        <v>11</v>
      </c>
      <c r="B1508" s="339" t="s">
        <v>6603</v>
      </c>
      <c r="C1508" s="340">
        <v>45600</v>
      </c>
      <c r="D1508" s="339" t="s">
        <v>4714</v>
      </c>
      <c r="E1508" s="268" t="s">
        <v>4203</v>
      </c>
      <c r="F1508" s="268" t="s">
        <v>4715</v>
      </c>
      <c r="G1508" s="268" t="s">
        <v>4716</v>
      </c>
      <c r="H1508" s="268" t="str">
        <f t="shared" si="8"/>
        <v>MANUEL GÓMEZ FIÑANA</v>
      </c>
      <c r="I1508" s="268" t="s">
        <v>5899</v>
      </c>
      <c r="J1508" s="268" t="s">
        <v>4736</v>
      </c>
      <c r="K1508" s="268" t="s">
        <v>6717</v>
      </c>
      <c r="L1508" s="287">
        <v>45617</v>
      </c>
      <c r="M1508" s="277"/>
      <c r="N1508" s="282">
        <v>2</v>
      </c>
      <c r="O1508" s="284" t="s">
        <v>5814</v>
      </c>
      <c r="P1508" s="280">
        <v>4000</v>
      </c>
      <c r="Q1508" s="287">
        <v>45600</v>
      </c>
      <c r="R1508" s="272"/>
      <c r="S1508" s="272"/>
      <c r="T1508" s="272"/>
      <c r="U1508" s="272"/>
      <c r="V1508" s="272"/>
      <c r="W1508" s="272"/>
      <c r="X1508" s="272"/>
      <c r="Y1508" s="272"/>
      <c r="Z1508" s="272"/>
      <c r="AA1508" s="272"/>
    </row>
    <row r="1509" spans="1:27">
      <c r="A1509" s="338">
        <v>11</v>
      </c>
      <c r="B1509" s="339" t="s">
        <v>6603</v>
      </c>
      <c r="C1509" s="340">
        <v>45596</v>
      </c>
      <c r="D1509" s="339" t="s">
        <v>4714</v>
      </c>
      <c r="E1509" s="268" t="s">
        <v>3480</v>
      </c>
      <c r="F1509" s="268" t="s">
        <v>4715</v>
      </c>
      <c r="G1509" s="268" t="s">
        <v>4716</v>
      </c>
      <c r="H1509" s="268" t="str">
        <f t="shared" si="8"/>
        <v>VICTORIA GARCÍA PECES</v>
      </c>
      <c r="I1509" s="268" t="s">
        <v>4762</v>
      </c>
      <c r="J1509" s="268" t="s">
        <v>4718</v>
      </c>
      <c r="K1509" s="268" t="s">
        <v>6718</v>
      </c>
      <c r="L1509" s="287">
        <v>45617</v>
      </c>
      <c r="M1509" s="277"/>
      <c r="N1509" s="282">
        <v>2</v>
      </c>
      <c r="O1509" s="284" t="s">
        <v>4720</v>
      </c>
      <c r="P1509" s="280">
        <v>3710</v>
      </c>
      <c r="Q1509" s="287">
        <v>45596</v>
      </c>
      <c r="R1509" s="272"/>
      <c r="S1509" s="272"/>
      <c r="T1509" s="272"/>
      <c r="U1509" s="272"/>
      <c r="V1509" s="272"/>
      <c r="W1509" s="272"/>
      <c r="X1509" s="272"/>
      <c r="Y1509" s="272"/>
      <c r="Z1509" s="272"/>
      <c r="AA1509" s="272"/>
    </row>
    <row r="1510" spans="1:27">
      <c r="A1510" s="338">
        <v>11</v>
      </c>
      <c r="B1510" s="339" t="s">
        <v>6603</v>
      </c>
      <c r="C1510" s="340">
        <v>45588</v>
      </c>
      <c r="D1510" s="339" t="s">
        <v>4714</v>
      </c>
      <c r="E1510" s="268" t="s">
        <v>4837</v>
      </c>
      <c r="F1510" s="268" t="s">
        <v>4715</v>
      </c>
      <c r="G1510" s="268" t="s">
        <v>4716</v>
      </c>
      <c r="H1510" s="268" t="str">
        <f t="shared" si="8"/>
        <v>ALEJANDRO HARGUINDEY ANTOLI-CANDELA</v>
      </c>
      <c r="I1510" s="268" t="s">
        <v>6719</v>
      </c>
      <c r="J1510" s="268" t="s">
        <v>4718</v>
      </c>
      <c r="K1510" s="268" t="s">
        <v>6720</v>
      </c>
      <c r="L1510" s="287">
        <v>45617</v>
      </c>
      <c r="M1510" s="277"/>
      <c r="N1510" s="282">
        <v>2</v>
      </c>
      <c r="O1510" s="284" t="s">
        <v>4720</v>
      </c>
      <c r="P1510" s="280">
        <v>3710</v>
      </c>
      <c r="Q1510" s="287">
        <v>45588</v>
      </c>
      <c r="R1510" s="272"/>
      <c r="S1510" s="272"/>
      <c r="T1510" s="272"/>
      <c r="U1510" s="272"/>
      <c r="V1510" s="272"/>
      <c r="W1510" s="272"/>
      <c r="X1510" s="272"/>
      <c r="Y1510" s="272"/>
      <c r="Z1510" s="272"/>
      <c r="AA1510" s="272"/>
    </row>
    <row r="1511" spans="1:27">
      <c r="A1511" s="338">
        <v>11</v>
      </c>
      <c r="B1511" s="339" t="s">
        <v>6603</v>
      </c>
      <c r="C1511" s="340">
        <v>45593</v>
      </c>
      <c r="D1511" s="339" t="s">
        <v>4714</v>
      </c>
      <c r="E1511" s="268" t="s">
        <v>2869</v>
      </c>
      <c r="F1511" s="268" t="s">
        <v>4715</v>
      </c>
      <c r="G1511" s="268" t="s">
        <v>4716</v>
      </c>
      <c r="H1511" s="268" t="str">
        <f t="shared" si="8"/>
        <v>ANTONIO GALINDO FERNÁNDEZ</v>
      </c>
      <c r="I1511" s="268" t="s">
        <v>5166</v>
      </c>
      <c r="J1511" s="268" t="s">
        <v>4736</v>
      </c>
      <c r="K1511" s="268" t="s">
        <v>6721</v>
      </c>
      <c r="L1511" s="287">
        <v>45617</v>
      </c>
      <c r="M1511" s="277"/>
      <c r="N1511" s="282">
        <v>2</v>
      </c>
      <c r="O1511" s="284" t="s">
        <v>4720</v>
      </c>
      <c r="P1511" s="280">
        <v>3524.04</v>
      </c>
      <c r="Q1511" s="287">
        <v>45593</v>
      </c>
      <c r="R1511" s="272"/>
      <c r="S1511" s="272"/>
      <c r="T1511" s="272"/>
      <c r="U1511" s="272"/>
      <c r="V1511" s="272"/>
      <c r="W1511" s="272"/>
      <c r="X1511" s="272"/>
      <c r="Y1511" s="272"/>
      <c r="Z1511" s="272"/>
      <c r="AA1511" s="272"/>
    </row>
    <row r="1512" spans="1:27">
      <c r="A1512" s="338">
        <v>11</v>
      </c>
      <c r="B1512" s="339" t="s">
        <v>6603</v>
      </c>
      <c r="C1512" s="340">
        <v>45517</v>
      </c>
      <c r="D1512" s="339" t="s">
        <v>4714</v>
      </c>
      <c r="E1512" s="268" t="s">
        <v>4749</v>
      </c>
      <c r="F1512" s="268" t="s">
        <v>4715</v>
      </c>
      <c r="G1512" s="268" t="s">
        <v>4716</v>
      </c>
      <c r="H1512" s="268" t="str">
        <f t="shared" si="8"/>
        <v>XENIA MOTA ROJAS</v>
      </c>
      <c r="I1512" s="268" t="s">
        <v>5351</v>
      </c>
      <c r="J1512" s="268" t="s">
        <v>4747</v>
      </c>
      <c r="K1512" s="268" t="s">
        <v>6722</v>
      </c>
      <c r="L1512" s="287">
        <v>45617</v>
      </c>
      <c r="M1512" s="277"/>
      <c r="N1512" s="282">
        <v>2</v>
      </c>
      <c r="O1512" s="284" t="s">
        <v>4720</v>
      </c>
      <c r="P1512" s="280">
        <v>3909.09</v>
      </c>
      <c r="Q1512" s="287">
        <v>45517</v>
      </c>
      <c r="R1512" s="272"/>
      <c r="S1512" s="272"/>
      <c r="T1512" s="272"/>
      <c r="U1512" s="272"/>
      <c r="V1512" s="272"/>
      <c r="W1512" s="272"/>
      <c r="X1512" s="272"/>
      <c r="Y1512" s="272"/>
      <c r="Z1512" s="272"/>
      <c r="AA1512" s="272"/>
    </row>
    <row r="1513" spans="1:27">
      <c r="A1513" s="338">
        <v>11</v>
      </c>
      <c r="B1513" s="339" t="s">
        <v>6603</v>
      </c>
      <c r="C1513" s="340">
        <v>45545</v>
      </c>
      <c r="D1513" s="339" t="s">
        <v>4714</v>
      </c>
      <c r="E1513" s="268" t="s">
        <v>4749</v>
      </c>
      <c r="F1513" s="268" t="s">
        <v>4715</v>
      </c>
      <c r="G1513" s="268" t="s">
        <v>4716</v>
      </c>
      <c r="H1513" s="268" t="str">
        <f t="shared" si="8"/>
        <v>DIANA LISBETH</v>
      </c>
      <c r="I1513" s="268" t="s">
        <v>4955</v>
      </c>
      <c r="J1513" s="268" t="s">
        <v>4747</v>
      </c>
      <c r="K1513" s="268" t="s">
        <v>6723</v>
      </c>
      <c r="L1513" s="287">
        <v>45617</v>
      </c>
      <c r="M1513" s="277"/>
      <c r="N1513" s="282">
        <v>2</v>
      </c>
      <c r="O1513" s="284" t="s">
        <v>4720</v>
      </c>
      <c r="P1513" s="280">
        <v>3909.09</v>
      </c>
      <c r="Q1513" s="287">
        <v>45545</v>
      </c>
      <c r="R1513" s="272"/>
      <c r="S1513" s="272"/>
      <c r="T1513" s="272"/>
      <c r="U1513" s="272"/>
      <c r="V1513" s="272"/>
      <c r="W1513" s="272"/>
      <c r="X1513" s="272"/>
      <c r="Y1513" s="272"/>
      <c r="Z1513" s="272"/>
      <c r="AA1513" s="272"/>
    </row>
    <row r="1514" spans="1:27">
      <c r="A1514" s="338">
        <v>11</v>
      </c>
      <c r="B1514" s="339" t="s">
        <v>6603</v>
      </c>
      <c r="C1514" s="340">
        <v>45586</v>
      </c>
      <c r="D1514" s="339" t="s">
        <v>4714</v>
      </c>
      <c r="E1514" s="268" t="s">
        <v>3529</v>
      </c>
      <c r="F1514" s="268" t="s">
        <v>4715</v>
      </c>
      <c r="G1514" s="268" t="s">
        <v>4716</v>
      </c>
      <c r="H1514" s="268" t="str">
        <f t="shared" si="8"/>
        <v>ESTEFANÍA BERROCAL POSTIGO</v>
      </c>
      <c r="I1514" s="268" t="s">
        <v>5201</v>
      </c>
      <c r="J1514" s="268" t="s">
        <v>4729</v>
      </c>
      <c r="K1514" s="268" t="s">
        <v>6724</v>
      </c>
      <c r="L1514" s="287">
        <v>45617</v>
      </c>
      <c r="M1514" s="277"/>
      <c r="N1514" s="282">
        <v>1</v>
      </c>
      <c r="O1514" s="284" t="s">
        <v>4723</v>
      </c>
      <c r="P1514" s="280">
        <v>1575.45</v>
      </c>
      <c r="Q1514" s="287">
        <v>45586</v>
      </c>
      <c r="R1514" s="272"/>
      <c r="S1514" s="272"/>
      <c r="T1514" s="272"/>
      <c r="U1514" s="272"/>
      <c r="V1514" s="272"/>
      <c r="W1514" s="272"/>
      <c r="X1514" s="272"/>
      <c r="Y1514" s="272"/>
      <c r="Z1514" s="272"/>
      <c r="AA1514" s="272"/>
    </row>
    <row r="1515" spans="1:27">
      <c r="A1515" s="338">
        <v>11</v>
      </c>
      <c r="B1515" s="339" t="s">
        <v>6603</v>
      </c>
      <c r="C1515" s="340">
        <v>45601</v>
      </c>
      <c r="D1515" s="339" t="s">
        <v>4714</v>
      </c>
      <c r="E1515" s="268" t="s">
        <v>3187</v>
      </c>
      <c r="F1515" s="268" t="s">
        <v>4715</v>
      </c>
      <c r="G1515" s="268" t="s">
        <v>4716</v>
      </c>
      <c r="H1515" s="268" t="str">
        <f t="shared" si="8"/>
        <v>OLGA ALDECOA JIMÉNEZ</v>
      </c>
      <c r="I1515" s="268" t="s">
        <v>6725</v>
      </c>
      <c r="J1515" s="268" t="s">
        <v>4822</v>
      </c>
      <c r="K1515" s="268" t="s">
        <v>6726</v>
      </c>
      <c r="L1515" s="287">
        <v>45618</v>
      </c>
      <c r="M1515" s="277"/>
      <c r="N1515" s="282">
        <v>2</v>
      </c>
      <c r="O1515" s="284" t="s">
        <v>5814</v>
      </c>
      <c r="P1515" s="280">
        <v>4000</v>
      </c>
      <c r="Q1515" s="287">
        <v>45601</v>
      </c>
      <c r="R1515" s="272"/>
      <c r="S1515" s="272"/>
      <c r="T1515" s="272"/>
      <c r="U1515" s="272"/>
      <c r="V1515" s="272"/>
      <c r="W1515" s="272"/>
      <c r="X1515" s="272"/>
      <c r="Y1515" s="272"/>
      <c r="Z1515" s="272"/>
      <c r="AA1515" s="272"/>
    </row>
    <row r="1516" spans="1:27">
      <c r="A1516" s="338">
        <v>11</v>
      </c>
      <c r="B1516" s="339" t="s">
        <v>6603</v>
      </c>
      <c r="C1516" s="340">
        <v>45596</v>
      </c>
      <c r="D1516" s="339" t="s">
        <v>4714</v>
      </c>
      <c r="E1516" s="268" t="s">
        <v>2909</v>
      </c>
      <c r="F1516" s="268" t="s">
        <v>4715</v>
      </c>
      <c r="G1516" s="268" t="s">
        <v>4716</v>
      </c>
      <c r="H1516" s="268" t="str">
        <f t="shared" si="8"/>
        <v>JESUS-MARIA GRASA PÉREZ</v>
      </c>
      <c r="I1516" s="268" t="s">
        <v>4865</v>
      </c>
      <c r="J1516" s="268" t="s">
        <v>4806</v>
      </c>
      <c r="K1516" s="268" t="s">
        <v>6727</v>
      </c>
      <c r="L1516" s="287">
        <v>45618</v>
      </c>
      <c r="M1516" s="277"/>
      <c r="N1516" s="282">
        <v>1</v>
      </c>
      <c r="O1516" s="284" t="s">
        <v>4720</v>
      </c>
      <c r="P1516" s="280">
        <v>2226.36</v>
      </c>
      <c r="Q1516" s="287">
        <v>45596</v>
      </c>
      <c r="R1516" s="272"/>
      <c r="S1516" s="272"/>
      <c r="T1516" s="272"/>
      <c r="U1516" s="272"/>
      <c r="V1516" s="272"/>
      <c r="W1516" s="272"/>
      <c r="X1516" s="272"/>
      <c r="Y1516" s="272"/>
      <c r="Z1516" s="272"/>
      <c r="AA1516" s="272"/>
    </row>
    <row r="1517" spans="1:27">
      <c r="A1517" s="338">
        <v>11</v>
      </c>
      <c r="B1517" s="339" t="s">
        <v>6603</v>
      </c>
      <c r="C1517" s="340">
        <v>45602</v>
      </c>
      <c r="D1517" s="339" t="s">
        <v>4714</v>
      </c>
      <c r="E1517" s="268" t="s">
        <v>3193</v>
      </c>
      <c r="F1517" s="268" t="s">
        <v>4715</v>
      </c>
      <c r="G1517" s="268" t="s">
        <v>4716</v>
      </c>
      <c r="H1517" s="268" t="str">
        <f t="shared" si="8"/>
        <v>JOSE JOAQUÍN GUTIÉRREZ BARQUÍN</v>
      </c>
      <c r="I1517" s="268" t="s">
        <v>4990</v>
      </c>
      <c r="J1517" s="268" t="s">
        <v>4718</v>
      </c>
      <c r="K1517" s="268" t="s">
        <v>6728</v>
      </c>
      <c r="L1517" s="287">
        <v>45618</v>
      </c>
      <c r="M1517" s="277"/>
      <c r="N1517" s="282">
        <v>2</v>
      </c>
      <c r="O1517" s="284" t="s">
        <v>4723</v>
      </c>
      <c r="P1517" s="280">
        <v>3024.55</v>
      </c>
      <c r="Q1517" s="287">
        <v>45602</v>
      </c>
      <c r="R1517" s="272"/>
      <c r="S1517" s="272"/>
      <c r="T1517" s="272"/>
      <c r="U1517" s="272"/>
      <c r="V1517" s="272"/>
      <c r="W1517" s="272"/>
      <c r="X1517" s="272"/>
      <c r="Y1517" s="272"/>
      <c r="Z1517" s="272"/>
      <c r="AA1517" s="272"/>
    </row>
    <row r="1518" spans="1:27">
      <c r="A1518" s="338">
        <v>11</v>
      </c>
      <c r="B1518" s="339" t="s">
        <v>6603</v>
      </c>
      <c r="C1518" s="340">
        <v>45572</v>
      </c>
      <c r="D1518" s="339" t="s">
        <v>4714</v>
      </c>
      <c r="E1518" s="268" t="s">
        <v>2869</v>
      </c>
      <c r="F1518" s="268" t="s">
        <v>4715</v>
      </c>
      <c r="G1518" s="268" t="s">
        <v>4716</v>
      </c>
      <c r="H1518" s="268" t="str">
        <f t="shared" si="8"/>
        <v>MARÍA AGUSTINA SEVILLA GARCÍA</v>
      </c>
      <c r="I1518" s="268" t="s">
        <v>4812</v>
      </c>
      <c r="J1518" s="268" t="s">
        <v>4736</v>
      </c>
      <c r="K1518" s="268" t="s">
        <v>6729</v>
      </c>
      <c r="L1518" s="287">
        <v>45618</v>
      </c>
      <c r="M1518" s="277"/>
      <c r="N1518" s="282">
        <v>1</v>
      </c>
      <c r="O1518" s="284" t="s">
        <v>4723</v>
      </c>
      <c r="P1518" s="280">
        <v>1733.08</v>
      </c>
      <c r="Q1518" s="287">
        <v>45572</v>
      </c>
      <c r="R1518" s="272"/>
      <c r="S1518" s="272"/>
      <c r="T1518" s="272"/>
      <c r="U1518" s="272"/>
      <c r="V1518" s="272"/>
      <c r="W1518" s="272"/>
      <c r="X1518" s="272"/>
      <c r="Y1518" s="272"/>
      <c r="Z1518" s="272"/>
      <c r="AA1518" s="272"/>
    </row>
    <row r="1519" spans="1:27">
      <c r="A1519" s="338">
        <v>11</v>
      </c>
      <c r="B1519" s="339" t="s">
        <v>6603</v>
      </c>
      <c r="C1519" s="340">
        <v>45581</v>
      </c>
      <c r="D1519" s="339" t="s">
        <v>4714</v>
      </c>
      <c r="E1519" s="268" t="s">
        <v>2984</v>
      </c>
      <c r="F1519" s="268" t="s">
        <v>4715</v>
      </c>
      <c r="G1519" s="268" t="s">
        <v>4716</v>
      </c>
      <c r="H1519" s="268" t="str">
        <f t="shared" si="8"/>
        <v>ESTHER SEBASTIÁN GIL</v>
      </c>
      <c r="I1519" s="268" t="s">
        <v>6730</v>
      </c>
      <c r="J1519" s="268" t="s">
        <v>4910</v>
      </c>
      <c r="K1519" s="268" t="s">
        <v>6731</v>
      </c>
      <c r="L1519" s="287">
        <v>45618</v>
      </c>
      <c r="M1519" s="277"/>
      <c r="N1519" s="282">
        <v>1</v>
      </c>
      <c r="O1519" s="284" t="s">
        <v>5814</v>
      </c>
      <c r="P1519" s="280">
        <v>2280</v>
      </c>
      <c r="Q1519" s="287">
        <v>45581</v>
      </c>
      <c r="R1519" s="272"/>
      <c r="S1519" s="272"/>
      <c r="T1519" s="272"/>
      <c r="U1519" s="272"/>
      <c r="V1519" s="272"/>
      <c r="W1519" s="272"/>
      <c r="X1519" s="272"/>
      <c r="Y1519" s="272"/>
      <c r="Z1519" s="272"/>
      <c r="AA1519" s="272"/>
    </row>
    <row r="1520" spans="1:27">
      <c r="A1520" s="338">
        <v>11</v>
      </c>
      <c r="B1520" s="339" t="s">
        <v>6603</v>
      </c>
      <c r="C1520" s="340">
        <v>45463</v>
      </c>
      <c r="D1520" s="339" t="s">
        <v>4714</v>
      </c>
      <c r="E1520" s="268" t="s">
        <v>2961</v>
      </c>
      <c r="F1520" s="268" t="s">
        <v>4715</v>
      </c>
      <c r="G1520" s="268" t="s">
        <v>4716</v>
      </c>
      <c r="H1520" s="268" t="str">
        <f t="shared" si="8"/>
        <v>NATHALIE FAGES CÁRCELES</v>
      </c>
      <c r="I1520" s="268" t="s">
        <v>5000</v>
      </c>
      <c r="J1520" s="268" t="s">
        <v>4736</v>
      </c>
      <c r="K1520" s="268" t="s">
        <v>6015</v>
      </c>
      <c r="L1520" s="287">
        <v>45618</v>
      </c>
      <c r="M1520" s="277"/>
      <c r="N1520" s="282">
        <v>1</v>
      </c>
      <c r="O1520" s="284" t="s">
        <v>4723</v>
      </c>
      <c r="P1520" s="280">
        <v>1376.36</v>
      </c>
      <c r="Q1520" s="287">
        <v>45463</v>
      </c>
      <c r="R1520" s="272"/>
      <c r="S1520" s="272"/>
      <c r="T1520" s="272"/>
      <c r="U1520" s="272"/>
      <c r="V1520" s="272"/>
      <c r="W1520" s="272"/>
      <c r="X1520" s="272"/>
      <c r="Y1520" s="272"/>
      <c r="Z1520" s="272"/>
      <c r="AA1520" s="272"/>
    </row>
    <row r="1521" spans="1:27">
      <c r="A1521" s="338">
        <v>11</v>
      </c>
      <c r="B1521" s="339" t="s">
        <v>6603</v>
      </c>
      <c r="C1521" s="340">
        <v>45558</v>
      </c>
      <c r="D1521" s="339" t="s">
        <v>4714</v>
      </c>
      <c r="E1521" s="268" t="s">
        <v>5735</v>
      </c>
      <c r="F1521" s="268" t="s">
        <v>4715</v>
      </c>
      <c r="G1521" s="268" t="s">
        <v>4716</v>
      </c>
      <c r="H1521" s="268" t="str">
        <f t="shared" si="8"/>
        <v>MERCEDES ÁLVAREZ-BUYLLA BLANCO</v>
      </c>
      <c r="I1521" s="268" t="s">
        <v>4858</v>
      </c>
      <c r="J1521" s="268" t="s">
        <v>4790</v>
      </c>
      <c r="K1521" s="268" t="s">
        <v>6732</v>
      </c>
      <c r="L1521" s="287">
        <v>45618</v>
      </c>
      <c r="M1521" s="277"/>
      <c r="N1521" s="282">
        <v>2</v>
      </c>
      <c r="O1521" s="284" t="s">
        <v>4720</v>
      </c>
      <c r="P1521" s="280">
        <v>3162.73</v>
      </c>
      <c r="Q1521" s="287">
        <v>45558</v>
      </c>
      <c r="R1521" s="272"/>
      <c r="S1521" s="272"/>
      <c r="T1521" s="272"/>
      <c r="U1521" s="272"/>
      <c r="V1521" s="272"/>
      <c r="W1521" s="272"/>
      <c r="X1521" s="272"/>
      <c r="Y1521" s="272"/>
      <c r="Z1521" s="272"/>
      <c r="AA1521" s="272"/>
    </row>
    <row r="1522" spans="1:27">
      <c r="A1522" s="338">
        <v>11</v>
      </c>
      <c r="B1522" s="339" t="s">
        <v>6603</v>
      </c>
      <c r="C1522" s="340">
        <v>45581</v>
      </c>
      <c r="D1522" s="339" t="s">
        <v>4714</v>
      </c>
      <c r="E1522" s="268" t="s">
        <v>2900</v>
      </c>
      <c r="F1522" s="268" t="s">
        <v>4715</v>
      </c>
      <c r="G1522" s="268" t="s">
        <v>4716</v>
      </c>
      <c r="H1522" s="268" t="str">
        <f t="shared" si="8"/>
        <v>MARÍA REY MARCOS</v>
      </c>
      <c r="I1522" s="268" t="s">
        <v>4952</v>
      </c>
      <c r="J1522" s="268" t="s">
        <v>4790</v>
      </c>
      <c r="K1522" s="268" t="s">
        <v>6733</v>
      </c>
      <c r="L1522" s="287">
        <v>45618</v>
      </c>
      <c r="M1522" s="277"/>
      <c r="N1522" s="282">
        <v>1</v>
      </c>
      <c r="O1522" s="284" t="s">
        <v>4787</v>
      </c>
      <c r="P1522" s="280">
        <v>2640</v>
      </c>
      <c r="Q1522" s="287">
        <v>45581</v>
      </c>
      <c r="R1522" s="272"/>
      <c r="S1522" s="272"/>
      <c r="T1522" s="272"/>
      <c r="U1522" s="272"/>
      <c r="V1522" s="272"/>
      <c r="W1522" s="272"/>
      <c r="X1522" s="272"/>
      <c r="Y1522" s="272"/>
      <c r="Z1522" s="272"/>
      <c r="AA1522" s="272"/>
    </row>
    <row r="1523" spans="1:27">
      <c r="A1523" s="338">
        <v>11</v>
      </c>
      <c r="B1523" s="339" t="s">
        <v>6603</v>
      </c>
      <c r="C1523" s="340">
        <v>45566</v>
      </c>
      <c r="D1523" s="339" t="s">
        <v>4714</v>
      </c>
      <c r="E1523" s="268" t="s">
        <v>3861</v>
      </c>
      <c r="F1523" s="268" t="s">
        <v>4715</v>
      </c>
      <c r="G1523" s="268" t="s">
        <v>4716</v>
      </c>
      <c r="H1523" s="268" t="str">
        <f t="shared" si="8"/>
        <v>LAURA YEGUAS RAMÍREZ</v>
      </c>
      <c r="I1523" s="268" t="s">
        <v>5060</v>
      </c>
      <c r="J1523" s="268" t="s">
        <v>4718</v>
      </c>
      <c r="K1523" s="268" t="s">
        <v>6734</v>
      </c>
      <c r="L1523" s="287">
        <v>45621</v>
      </c>
      <c r="M1523" s="277"/>
      <c r="N1523" s="282">
        <v>2</v>
      </c>
      <c r="O1523" s="284" t="s">
        <v>5814</v>
      </c>
      <c r="P1523" s="280">
        <v>4000</v>
      </c>
      <c r="Q1523" s="287">
        <v>45566</v>
      </c>
      <c r="R1523" s="272"/>
      <c r="S1523" s="272"/>
      <c r="T1523" s="272"/>
      <c r="U1523" s="272"/>
      <c r="V1523" s="272"/>
      <c r="W1523" s="272"/>
      <c r="X1523" s="272"/>
      <c r="Y1523" s="272"/>
      <c r="Z1523" s="272"/>
      <c r="AA1523" s="272"/>
    </row>
    <row r="1524" spans="1:27">
      <c r="A1524" s="338">
        <v>11</v>
      </c>
      <c r="B1524" s="339" t="s">
        <v>6603</v>
      </c>
      <c r="C1524" s="340">
        <v>45552</v>
      </c>
      <c r="D1524" s="339" t="s">
        <v>4714</v>
      </c>
      <c r="E1524" s="268" t="s">
        <v>3193</v>
      </c>
      <c r="F1524" s="268" t="s">
        <v>4715</v>
      </c>
      <c r="G1524" s="268" t="s">
        <v>4716</v>
      </c>
      <c r="H1524" s="268" t="str">
        <f t="shared" si="8"/>
        <v>JOSE JOAQUÍN GUTIÉRREZ BARQUÍN</v>
      </c>
      <c r="I1524" s="268" t="s">
        <v>4990</v>
      </c>
      <c r="J1524" s="268" t="s">
        <v>4718</v>
      </c>
      <c r="K1524" s="268" t="s">
        <v>6735</v>
      </c>
      <c r="L1524" s="287">
        <v>45621</v>
      </c>
      <c r="M1524" s="277"/>
      <c r="N1524" s="282">
        <v>2</v>
      </c>
      <c r="O1524" s="284" t="s">
        <v>4720</v>
      </c>
      <c r="P1524" s="280">
        <v>3846.36</v>
      </c>
      <c r="Q1524" s="287">
        <v>45552</v>
      </c>
      <c r="R1524" s="272"/>
      <c r="S1524" s="272"/>
      <c r="T1524" s="272"/>
      <c r="U1524" s="272"/>
      <c r="V1524" s="272"/>
      <c r="W1524" s="272"/>
      <c r="X1524" s="272"/>
      <c r="Y1524" s="272"/>
      <c r="Z1524" s="272"/>
      <c r="AA1524" s="272"/>
    </row>
    <row r="1525" spans="1:27">
      <c r="A1525" s="338">
        <v>11</v>
      </c>
      <c r="B1525" s="339" t="s">
        <v>6603</v>
      </c>
      <c r="C1525" s="340">
        <v>45552</v>
      </c>
      <c r="D1525" s="339" t="s">
        <v>4714</v>
      </c>
      <c r="E1525" s="268" t="s">
        <v>2935</v>
      </c>
      <c r="F1525" s="268" t="s">
        <v>4715</v>
      </c>
      <c r="G1525" s="268" t="s">
        <v>4716</v>
      </c>
      <c r="H1525" s="268" t="str">
        <f t="shared" si="8"/>
        <v>JULIO LÓPEZ MOYA</v>
      </c>
      <c r="I1525" s="268" t="s">
        <v>4778</v>
      </c>
      <c r="J1525" s="268" t="s">
        <v>4718</v>
      </c>
      <c r="K1525" s="268" t="s">
        <v>6736</v>
      </c>
      <c r="L1525" s="287">
        <v>45621</v>
      </c>
      <c r="M1525" s="277"/>
      <c r="N1525" s="282">
        <v>2</v>
      </c>
      <c r="O1525" s="284" t="s">
        <v>4720</v>
      </c>
      <c r="P1525" s="280">
        <v>3846.36</v>
      </c>
      <c r="Q1525" s="287">
        <v>45552</v>
      </c>
      <c r="R1525" s="272"/>
      <c r="S1525" s="272"/>
      <c r="T1525" s="272"/>
      <c r="U1525" s="272"/>
      <c r="V1525" s="272"/>
      <c r="W1525" s="272"/>
      <c r="X1525" s="272"/>
      <c r="Y1525" s="272"/>
      <c r="Z1525" s="272"/>
      <c r="AA1525" s="272"/>
    </row>
    <row r="1526" spans="1:27">
      <c r="A1526" s="338">
        <v>11</v>
      </c>
      <c r="B1526" s="339" t="s">
        <v>6603</v>
      </c>
      <c r="C1526" s="340">
        <v>45588</v>
      </c>
      <c r="D1526" s="339" t="s">
        <v>4714</v>
      </c>
      <c r="E1526" s="268" t="s">
        <v>3011</v>
      </c>
      <c r="F1526" s="268" t="s">
        <v>4715</v>
      </c>
      <c r="G1526" s="268" t="s">
        <v>4716</v>
      </c>
      <c r="H1526" s="268" t="str">
        <f t="shared" si="8"/>
        <v>JOSE MARIA HERNANDEZ HERNANDEZ</v>
      </c>
      <c r="I1526" s="268" t="s">
        <v>6737</v>
      </c>
      <c r="J1526" s="268" t="s">
        <v>4729</v>
      </c>
      <c r="K1526" s="268" t="s">
        <v>6738</v>
      </c>
      <c r="L1526" s="287">
        <v>45621</v>
      </c>
      <c r="M1526" s="277"/>
      <c r="N1526" s="282">
        <v>2</v>
      </c>
      <c r="O1526" s="284" t="s">
        <v>5814</v>
      </c>
      <c r="P1526" s="280">
        <v>4000</v>
      </c>
      <c r="Q1526" s="287">
        <v>45588</v>
      </c>
      <c r="R1526" s="272"/>
      <c r="S1526" s="272"/>
      <c r="T1526" s="272"/>
      <c r="U1526" s="272"/>
      <c r="V1526" s="272"/>
      <c r="W1526" s="272"/>
      <c r="X1526" s="272"/>
      <c r="Y1526" s="272"/>
      <c r="Z1526" s="272"/>
      <c r="AA1526" s="272"/>
    </row>
    <row r="1527" spans="1:27">
      <c r="A1527" s="338">
        <v>11</v>
      </c>
      <c r="B1527" s="339" t="s">
        <v>6603</v>
      </c>
      <c r="C1527" s="340">
        <v>45576</v>
      </c>
      <c r="D1527" s="339" t="s">
        <v>4714</v>
      </c>
      <c r="E1527" s="268" t="s">
        <v>3011</v>
      </c>
      <c r="F1527" s="268" t="s">
        <v>4715</v>
      </c>
      <c r="G1527" s="268" t="s">
        <v>4716</v>
      </c>
      <c r="H1527" s="268" t="str">
        <f t="shared" si="8"/>
        <v>JOSE MARIA HERNANDEZ HERNANDEZ</v>
      </c>
      <c r="I1527" s="268" t="s">
        <v>6737</v>
      </c>
      <c r="J1527" s="268" t="s">
        <v>4729</v>
      </c>
      <c r="K1527" s="268" t="s">
        <v>6739</v>
      </c>
      <c r="L1527" s="287">
        <v>45621</v>
      </c>
      <c r="M1527" s="277"/>
      <c r="N1527" s="282">
        <v>2</v>
      </c>
      <c r="O1527" s="284" t="s">
        <v>5814</v>
      </c>
      <c r="P1527" s="280">
        <v>4000</v>
      </c>
      <c r="Q1527" s="287">
        <v>45576</v>
      </c>
      <c r="R1527" s="272"/>
      <c r="S1527" s="272"/>
      <c r="T1527" s="272"/>
      <c r="U1527" s="272"/>
      <c r="V1527" s="272"/>
      <c r="W1527" s="272"/>
      <c r="X1527" s="272"/>
      <c r="Y1527" s="272"/>
      <c r="Z1527" s="272"/>
      <c r="AA1527" s="272"/>
    </row>
    <row r="1528" spans="1:27">
      <c r="A1528" s="338">
        <v>11</v>
      </c>
      <c r="B1528" s="339" t="s">
        <v>6603</v>
      </c>
      <c r="C1528" s="340">
        <v>45600</v>
      </c>
      <c r="D1528" s="339" t="s">
        <v>4714</v>
      </c>
      <c r="E1528" s="268" t="s">
        <v>2972</v>
      </c>
      <c r="F1528" s="268" t="s">
        <v>4715</v>
      </c>
      <c r="G1528" s="268" t="s">
        <v>4716</v>
      </c>
      <c r="H1528" s="268" t="str">
        <f t="shared" si="8"/>
        <v>CARLOS FELIX ASENSIO NIETO</v>
      </c>
      <c r="I1528" s="268" t="s">
        <v>6740</v>
      </c>
      <c r="J1528" s="268" t="s">
        <v>4822</v>
      </c>
      <c r="K1528" s="268" t="s">
        <v>6741</v>
      </c>
      <c r="L1528" s="287">
        <v>45621</v>
      </c>
      <c r="M1528" s="277"/>
      <c r="N1528" s="282">
        <v>2</v>
      </c>
      <c r="O1528" s="284" t="s">
        <v>5814</v>
      </c>
      <c r="P1528" s="280">
        <v>4000</v>
      </c>
      <c r="Q1528" s="287">
        <v>45600</v>
      </c>
      <c r="R1528" s="272"/>
      <c r="S1528" s="272"/>
      <c r="T1528" s="272"/>
      <c r="U1528" s="272"/>
      <c r="V1528" s="272"/>
      <c r="W1528" s="272"/>
      <c r="X1528" s="272"/>
      <c r="Y1528" s="272"/>
      <c r="Z1528" s="272"/>
      <c r="AA1528" s="272"/>
    </row>
    <row r="1529" spans="1:27">
      <c r="A1529" s="338">
        <v>11</v>
      </c>
      <c r="B1529" s="339" t="s">
        <v>6603</v>
      </c>
      <c r="C1529" s="340">
        <v>45588</v>
      </c>
      <c r="D1529" s="339" t="s">
        <v>4714</v>
      </c>
      <c r="E1529" s="268" t="s">
        <v>2886</v>
      </c>
      <c r="F1529" s="268" t="s">
        <v>4715</v>
      </c>
      <c r="G1529" s="268" t="s">
        <v>4716</v>
      </c>
      <c r="H1529" s="268" t="str">
        <f t="shared" si="8"/>
        <v>MARÍA GARROTE GARROTE</v>
      </c>
      <c r="I1529" s="268" t="s">
        <v>4721</v>
      </c>
      <c r="J1529" s="268" t="s">
        <v>4718</v>
      </c>
      <c r="K1529" s="268" t="s">
        <v>6742</v>
      </c>
      <c r="L1529" s="287">
        <v>45621</v>
      </c>
      <c r="M1529" s="277"/>
      <c r="N1529" s="282">
        <v>2</v>
      </c>
      <c r="O1529" s="284" t="s">
        <v>4720</v>
      </c>
      <c r="P1529" s="280">
        <v>3523.64</v>
      </c>
      <c r="Q1529" s="287">
        <v>45588</v>
      </c>
      <c r="R1529" s="272"/>
      <c r="S1529" s="272"/>
      <c r="T1529" s="272"/>
      <c r="U1529" s="272"/>
      <c r="V1529" s="272"/>
      <c r="W1529" s="272"/>
      <c r="X1529" s="272"/>
      <c r="Y1529" s="272"/>
      <c r="Z1529" s="272"/>
      <c r="AA1529" s="272"/>
    </row>
    <row r="1530" spans="1:27">
      <c r="A1530" s="338">
        <v>11</v>
      </c>
      <c r="B1530" s="339" t="s">
        <v>6603</v>
      </c>
      <c r="C1530" s="340">
        <v>45568</v>
      </c>
      <c r="D1530" s="339" t="s">
        <v>4714</v>
      </c>
      <c r="E1530" s="268" t="s">
        <v>4788</v>
      </c>
      <c r="F1530" s="268" t="s">
        <v>4715</v>
      </c>
      <c r="G1530" s="268" t="s">
        <v>4716</v>
      </c>
      <c r="H1530" s="268" t="str">
        <f t="shared" si="8"/>
        <v>ISABEL VAAMONDE SANCHEZ ANDRADE</v>
      </c>
      <c r="I1530" s="268" t="s">
        <v>5088</v>
      </c>
      <c r="J1530" s="268" t="s">
        <v>4790</v>
      </c>
      <c r="K1530" s="268" t="s">
        <v>6743</v>
      </c>
      <c r="L1530" s="287">
        <v>45621</v>
      </c>
      <c r="M1530" s="277"/>
      <c r="N1530" s="282">
        <v>2</v>
      </c>
      <c r="O1530" s="284" t="s">
        <v>4792</v>
      </c>
      <c r="P1530" s="280">
        <v>2654.55</v>
      </c>
      <c r="Q1530" s="287">
        <v>45568</v>
      </c>
      <c r="R1530" s="272"/>
      <c r="S1530" s="272"/>
      <c r="T1530" s="272"/>
      <c r="U1530" s="272"/>
      <c r="V1530" s="272"/>
      <c r="W1530" s="272"/>
      <c r="X1530" s="272"/>
      <c r="Y1530" s="272"/>
      <c r="Z1530" s="272"/>
      <c r="AA1530" s="272"/>
    </row>
    <row r="1531" spans="1:27">
      <c r="A1531" s="338">
        <v>11</v>
      </c>
      <c r="B1531" s="339" t="s">
        <v>6603</v>
      </c>
      <c r="C1531" s="340">
        <v>45582</v>
      </c>
      <c r="D1531" s="339" t="s">
        <v>4714</v>
      </c>
      <c r="E1531" s="268" t="s">
        <v>2880</v>
      </c>
      <c r="F1531" s="268" t="s">
        <v>4715</v>
      </c>
      <c r="G1531" s="268" t="s">
        <v>4716</v>
      </c>
      <c r="H1531" s="268" t="str">
        <f t="shared" si="8"/>
        <v>ANTONIO RODRÍGUEZ RIVERO</v>
      </c>
      <c r="I1531" s="268" t="s">
        <v>4717</v>
      </c>
      <c r="J1531" s="268" t="s">
        <v>4718</v>
      </c>
      <c r="K1531" s="268" t="s">
        <v>6744</v>
      </c>
      <c r="L1531" s="287">
        <v>45622</v>
      </c>
      <c r="M1531" s="277"/>
      <c r="N1531" s="282">
        <v>2</v>
      </c>
      <c r="O1531" s="284" t="s">
        <v>5814</v>
      </c>
      <c r="P1531" s="280">
        <v>3800</v>
      </c>
      <c r="Q1531" s="287">
        <v>45582</v>
      </c>
      <c r="R1531" s="272"/>
      <c r="S1531" s="272"/>
      <c r="T1531" s="272"/>
      <c r="U1531" s="272"/>
      <c r="V1531" s="272"/>
      <c r="W1531" s="272"/>
      <c r="X1531" s="272"/>
      <c r="Y1531" s="272"/>
      <c r="Z1531" s="272"/>
      <c r="AA1531" s="272"/>
    </row>
    <row r="1532" spans="1:27">
      <c r="A1532" s="338">
        <v>11</v>
      </c>
      <c r="B1532" s="339" t="s">
        <v>6603</v>
      </c>
      <c r="C1532" s="340">
        <v>45594</v>
      </c>
      <c r="D1532" s="339" t="s">
        <v>4714</v>
      </c>
      <c r="E1532" s="268" t="s">
        <v>3193</v>
      </c>
      <c r="F1532" s="268" t="s">
        <v>4715</v>
      </c>
      <c r="G1532" s="268" t="s">
        <v>4716</v>
      </c>
      <c r="H1532" s="268" t="str">
        <f t="shared" si="8"/>
        <v>FÉLIX RODRÍGUEZ PAZ</v>
      </c>
      <c r="I1532" s="268" t="s">
        <v>5092</v>
      </c>
      <c r="J1532" s="268" t="s">
        <v>4718</v>
      </c>
      <c r="K1532" s="268" t="s">
        <v>6745</v>
      </c>
      <c r="L1532" s="287">
        <v>45622</v>
      </c>
      <c r="M1532" s="277"/>
      <c r="N1532" s="282">
        <v>2</v>
      </c>
      <c r="O1532" s="284" t="s">
        <v>4720</v>
      </c>
      <c r="P1532" s="280">
        <v>3654.55</v>
      </c>
      <c r="Q1532" s="287">
        <v>45594</v>
      </c>
      <c r="R1532" s="272"/>
      <c r="S1532" s="272"/>
      <c r="T1532" s="272"/>
      <c r="U1532" s="272"/>
      <c r="V1532" s="272"/>
      <c r="W1532" s="272"/>
      <c r="X1532" s="272"/>
      <c r="Y1532" s="272"/>
      <c r="Z1532" s="272"/>
      <c r="AA1532" s="272"/>
    </row>
    <row r="1533" spans="1:27">
      <c r="A1533" s="338">
        <v>11</v>
      </c>
      <c r="B1533" s="339" t="s">
        <v>6603</v>
      </c>
      <c r="C1533" s="340">
        <v>45582</v>
      </c>
      <c r="D1533" s="339" t="s">
        <v>4714</v>
      </c>
      <c r="E1533" s="268" t="s">
        <v>2873</v>
      </c>
      <c r="F1533" s="268" t="s">
        <v>4715</v>
      </c>
      <c r="G1533" s="268" t="s">
        <v>4716</v>
      </c>
      <c r="H1533" s="268" t="str">
        <f t="shared" si="8"/>
        <v>JUAN JAVIER ÁLVAREZ LÓPEZ</v>
      </c>
      <c r="I1533" s="268" t="s">
        <v>4938</v>
      </c>
      <c r="J1533" s="268" t="s">
        <v>4736</v>
      </c>
      <c r="K1533" s="268" t="s">
        <v>6746</v>
      </c>
      <c r="L1533" s="287">
        <v>45622</v>
      </c>
      <c r="M1533" s="277"/>
      <c r="N1533" s="282">
        <v>2</v>
      </c>
      <c r="O1533" s="284" t="s">
        <v>5814</v>
      </c>
      <c r="P1533" s="280">
        <v>4000</v>
      </c>
      <c r="Q1533" s="287">
        <v>45582</v>
      </c>
      <c r="R1533" s="272"/>
      <c r="S1533" s="272"/>
      <c r="T1533" s="272"/>
      <c r="U1533" s="272"/>
      <c r="V1533" s="272"/>
      <c r="W1533" s="272"/>
      <c r="X1533" s="272"/>
      <c r="Y1533" s="272"/>
      <c r="Z1533" s="272"/>
      <c r="AA1533" s="272"/>
    </row>
    <row r="1534" spans="1:27">
      <c r="A1534" s="338">
        <v>11</v>
      </c>
      <c r="B1534" s="339" t="s">
        <v>6603</v>
      </c>
      <c r="C1534" s="340">
        <v>45433</v>
      </c>
      <c r="D1534" s="339" t="s">
        <v>4714</v>
      </c>
      <c r="E1534" s="268" t="s">
        <v>2886</v>
      </c>
      <c r="F1534" s="268" t="s">
        <v>4715</v>
      </c>
      <c r="G1534" s="268" t="s">
        <v>4716</v>
      </c>
      <c r="H1534" s="268" t="str">
        <f t="shared" si="8"/>
        <v>GUSTAVO CÓRDOVA RAMOS</v>
      </c>
      <c r="I1534" s="268" t="s">
        <v>5328</v>
      </c>
      <c r="J1534" s="268" t="s">
        <v>4718</v>
      </c>
      <c r="K1534" s="268" t="s">
        <v>6747</v>
      </c>
      <c r="L1534" s="287">
        <v>45622</v>
      </c>
      <c r="M1534" s="277"/>
      <c r="N1534" s="282">
        <v>2</v>
      </c>
      <c r="O1534" s="284" t="s">
        <v>4720</v>
      </c>
      <c r="P1534" s="280">
        <v>3710</v>
      </c>
      <c r="Q1534" s="287">
        <v>45433</v>
      </c>
      <c r="R1534" s="272"/>
      <c r="S1534" s="272"/>
      <c r="T1534" s="272"/>
      <c r="U1534" s="272"/>
      <c r="V1534" s="272"/>
      <c r="W1534" s="272"/>
      <c r="X1534" s="272"/>
      <c r="Y1534" s="272"/>
      <c r="Z1534" s="272"/>
      <c r="AA1534" s="272"/>
    </row>
    <row r="1535" spans="1:27">
      <c r="A1535" s="338">
        <v>11</v>
      </c>
      <c r="B1535" s="339" t="s">
        <v>6603</v>
      </c>
      <c r="C1535" s="340">
        <v>45552</v>
      </c>
      <c r="D1535" s="339" t="s">
        <v>4714</v>
      </c>
      <c r="E1535" s="268" t="s">
        <v>2984</v>
      </c>
      <c r="F1535" s="268" t="s">
        <v>4715</v>
      </c>
      <c r="G1535" s="268" t="s">
        <v>4716</v>
      </c>
      <c r="H1535" s="268" t="str">
        <f t="shared" si="8"/>
        <v>MANUEL MATEOS FERNÁNDEZ</v>
      </c>
      <c r="I1535" s="268" t="s">
        <v>5882</v>
      </c>
      <c r="J1535" s="268" t="s">
        <v>4910</v>
      </c>
      <c r="K1535" s="268" t="s">
        <v>6748</v>
      </c>
      <c r="L1535" s="287">
        <v>45622</v>
      </c>
      <c r="M1535" s="277"/>
      <c r="N1535" s="282">
        <v>1</v>
      </c>
      <c r="O1535" s="284" t="s">
        <v>4720</v>
      </c>
      <c r="P1535" s="280">
        <v>1976.36</v>
      </c>
      <c r="Q1535" s="287">
        <v>45552</v>
      </c>
      <c r="R1535" s="272"/>
      <c r="S1535" s="272"/>
      <c r="T1535" s="272"/>
      <c r="U1535" s="272"/>
      <c r="V1535" s="272"/>
      <c r="W1535" s="272"/>
      <c r="X1535" s="272"/>
      <c r="Y1535" s="272"/>
      <c r="Z1535" s="272"/>
      <c r="AA1535" s="272"/>
    </row>
    <row r="1536" spans="1:27">
      <c r="A1536" s="338">
        <v>11</v>
      </c>
      <c r="B1536" s="339" t="s">
        <v>6603</v>
      </c>
      <c r="C1536" s="340">
        <v>45506</v>
      </c>
      <c r="D1536" s="339" t="s">
        <v>4714</v>
      </c>
      <c r="E1536" s="268" t="s">
        <v>4780</v>
      </c>
      <c r="F1536" s="268" t="s">
        <v>4715</v>
      </c>
      <c r="G1536" s="268" t="s">
        <v>4716</v>
      </c>
      <c r="H1536" s="268" t="str">
        <f t="shared" si="8"/>
        <v>MARÍA JESÚS CORNEJO DOMÍNGUEZ</v>
      </c>
      <c r="I1536" s="268" t="s">
        <v>4781</v>
      </c>
      <c r="J1536" s="268" t="s">
        <v>4747</v>
      </c>
      <c r="K1536" s="268" t="s">
        <v>6749</v>
      </c>
      <c r="L1536" s="287">
        <v>45622</v>
      </c>
      <c r="M1536" s="277"/>
      <c r="N1536" s="282">
        <v>2</v>
      </c>
      <c r="O1536" s="284" t="s">
        <v>4720</v>
      </c>
      <c r="P1536" s="280">
        <v>3604.55</v>
      </c>
      <c r="Q1536" s="287">
        <v>45506</v>
      </c>
      <c r="R1536" s="272"/>
      <c r="S1536" s="272"/>
      <c r="T1536" s="272"/>
      <c r="U1536" s="272"/>
      <c r="V1536" s="272"/>
      <c r="W1536" s="272"/>
      <c r="X1536" s="272"/>
      <c r="Y1536" s="272"/>
      <c r="Z1536" s="272"/>
      <c r="AA1536" s="272"/>
    </row>
    <row r="1537" spans="1:27">
      <c r="A1537" s="338">
        <v>11</v>
      </c>
      <c r="B1537" s="339" t="s">
        <v>6603</v>
      </c>
      <c r="C1537" s="340">
        <v>45532</v>
      </c>
      <c r="D1537" s="339" t="s">
        <v>4714</v>
      </c>
      <c r="E1537" s="268" t="s">
        <v>2900</v>
      </c>
      <c r="F1537" s="268" t="s">
        <v>4715</v>
      </c>
      <c r="G1537" s="268" t="s">
        <v>4716</v>
      </c>
      <c r="H1537" s="268" t="str">
        <f t="shared" si="8"/>
        <v>ANA QUINTANA SANJUAN</v>
      </c>
      <c r="I1537" s="268" t="s">
        <v>5199</v>
      </c>
      <c r="J1537" s="268" t="s">
        <v>4790</v>
      </c>
      <c r="K1537" s="268" t="s">
        <v>6750</v>
      </c>
      <c r="L1537" s="287">
        <v>45622</v>
      </c>
      <c r="M1537" s="277"/>
      <c r="N1537" s="282">
        <v>2</v>
      </c>
      <c r="O1537" s="284" t="s">
        <v>4740</v>
      </c>
      <c r="P1537" s="280">
        <v>3999.85</v>
      </c>
      <c r="Q1537" s="287">
        <v>45532</v>
      </c>
      <c r="R1537" s="272"/>
      <c r="S1537" s="272"/>
      <c r="T1537" s="272"/>
      <c r="U1537" s="272"/>
      <c r="V1537" s="272"/>
      <c r="W1537" s="272"/>
      <c r="X1537" s="272"/>
      <c r="Y1537" s="272"/>
      <c r="Z1537" s="272"/>
      <c r="AA1537" s="272"/>
    </row>
    <row r="1538" spans="1:27">
      <c r="A1538" s="338">
        <v>11</v>
      </c>
      <c r="B1538" s="339" t="s">
        <v>6603</v>
      </c>
      <c r="C1538" s="340">
        <v>45572</v>
      </c>
      <c r="D1538" s="339" t="s">
        <v>4714</v>
      </c>
      <c r="E1538" s="268" t="s">
        <v>4775</v>
      </c>
      <c r="F1538" s="268" t="s">
        <v>4715</v>
      </c>
      <c r="G1538" s="268" t="s">
        <v>4716</v>
      </c>
      <c r="H1538" s="268" t="str">
        <f t="shared" si="8"/>
        <v>ANTONIO SÁNCHEZ DEL HOYO</v>
      </c>
      <c r="I1538" s="268" t="s">
        <v>6751</v>
      </c>
      <c r="J1538" s="268" t="s">
        <v>4822</v>
      </c>
      <c r="K1538" s="268" t="s">
        <v>6752</v>
      </c>
      <c r="L1538" s="287">
        <v>45622</v>
      </c>
      <c r="M1538" s="277"/>
      <c r="N1538" s="282">
        <v>2</v>
      </c>
      <c r="O1538" s="284" t="s">
        <v>4720</v>
      </c>
      <c r="P1538" s="280">
        <v>3454.55</v>
      </c>
      <c r="Q1538" s="287">
        <v>45572</v>
      </c>
      <c r="R1538" s="272"/>
      <c r="S1538" s="272"/>
      <c r="T1538" s="272"/>
      <c r="U1538" s="272"/>
      <c r="V1538" s="272"/>
      <c r="W1538" s="272"/>
      <c r="X1538" s="272"/>
      <c r="Y1538" s="272"/>
      <c r="Z1538" s="272"/>
      <c r="AA1538" s="272"/>
    </row>
    <row r="1539" spans="1:27">
      <c r="A1539" s="338">
        <v>11</v>
      </c>
      <c r="B1539" s="339" t="s">
        <v>6603</v>
      </c>
      <c r="C1539" s="340">
        <v>45580</v>
      </c>
      <c r="D1539" s="339" t="s">
        <v>4714</v>
      </c>
      <c r="E1539" s="268" t="s">
        <v>4799</v>
      </c>
      <c r="F1539" s="268" t="s">
        <v>4715</v>
      </c>
      <c r="G1539" s="268" t="s">
        <v>4716</v>
      </c>
      <c r="H1539" s="268" t="str">
        <f t="shared" si="8"/>
        <v>PILAR CASTRO RUIZ</v>
      </c>
      <c r="I1539" s="268" t="s">
        <v>4800</v>
      </c>
      <c r="J1539" s="268" t="s">
        <v>4790</v>
      </c>
      <c r="K1539" s="268" t="s">
        <v>6753</v>
      </c>
      <c r="L1539" s="287">
        <v>45622</v>
      </c>
      <c r="M1539" s="277"/>
      <c r="N1539" s="282">
        <v>2</v>
      </c>
      <c r="O1539" s="284" t="s">
        <v>4720</v>
      </c>
      <c r="P1539" s="280">
        <v>3454.55</v>
      </c>
      <c r="Q1539" s="287">
        <v>45580</v>
      </c>
      <c r="R1539" s="272"/>
      <c r="S1539" s="272"/>
      <c r="T1539" s="272"/>
      <c r="U1539" s="272"/>
      <c r="V1539" s="272"/>
      <c r="W1539" s="272"/>
      <c r="X1539" s="272"/>
      <c r="Y1539" s="272"/>
      <c r="Z1539" s="272"/>
      <c r="AA1539" s="272"/>
    </row>
    <row r="1540" spans="1:27">
      <c r="A1540" s="338">
        <v>11</v>
      </c>
      <c r="B1540" s="339" t="s">
        <v>6603</v>
      </c>
      <c r="C1540" s="340">
        <v>45587</v>
      </c>
      <c r="D1540" s="339" t="s">
        <v>4714</v>
      </c>
      <c r="E1540" s="268" t="s">
        <v>4775</v>
      </c>
      <c r="F1540" s="268" t="s">
        <v>4715</v>
      </c>
      <c r="G1540" s="268" t="s">
        <v>4716</v>
      </c>
      <c r="H1540" s="268" t="str">
        <f t="shared" si="8"/>
        <v>GARIKOITZ CALZADA URIONDO</v>
      </c>
      <c r="I1540" s="268" t="s">
        <v>5520</v>
      </c>
      <c r="J1540" s="268" t="s">
        <v>4822</v>
      </c>
      <c r="K1540" s="268" t="s">
        <v>6754</v>
      </c>
      <c r="L1540" s="287">
        <v>45622</v>
      </c>
      <c r="M1540" s="277"/>
      <c r="N1540" s="282">
        <v>2</v>
      </c>
      <c r="O1540" s="284" t="s">
        <v>4720</v>
      </c>
      <c r="P1540" s="280">
        <v>3454.55</v>
      </c>
      <c r="Q1540" s="287">
        <v>45587</v>
      </c>
      <c r="R1540" s="272"/>
      <c r="S1540" s="272"/>
      <c r="T1540" s="272"/>
      <c r="U1540" s="272"/>
      <c r="V1540" s="272"/>
      <c r="W1540" s="272"/>
      <c r="X1540" s="272"/>
      <c r="Y1540" s="272"/>
      <c r="Z1540" s="272"/>
      <c r="AA1540" s="272"/>
    </row>
    <row r="1541" spans="1:27">
      <c r="A1541" s="338">
        <v>11</v>
      </c>
      <c r="B1541" s="339" t="s">
        <v>6603</v>
      </c>
      <c r="C1541" s="340">
        <v>45594</v>
      </c>
      <c r="D1541" s="339" t="s">
        <v>4714</v>
      </c>
      <c r="E1541" s="268" t="s">
        <v>4203</v>
      </c>
      <c r="F1541" s="268" t="s">
        <v>4715</v>
      </c>
      <c r="G1541" s="268" t="s">
        <v>4716</v>
      </c>
      <c r="H1541" s="268" t="str">
        <f t="shared" si="8"/>
        <v>LUIS MEGÍAS GÁMIZ</v>
      </c>
      <c r="I1541" s="268" t="s">
        <v>5019</v>
      </c>
      <c r="J1541" s="268" t="s">
        <v>4736</v>
      </c>
      <c r="K1541" s="268" t="s">
        <v>6755</v>
      </c>
      <c r="L1541" s="287">
        <v>45623</v>
      </c>
      <c r="M1541" s="277"/>
      <c r="N1541" s="282">
        <v>2</v>
      </c>
      <c r="O1541" s="284" t="s">
        <v>4720</v>
      </c>
      <c r="P1541" s="280">
        <v>3710</v>
      </c>
      <c r="Q1541" s="287">
        <v>45594</v>
      </c>
      <c r="R1541" s="272"/>
      <c r="S1541" s="272"/>
      <c r="T1541" s="272"/>
      <c r="U1541" s="272"/>
      <c r="V1541" s="272"/>
      <c r="W1541" s="272"/>
      <c r="X1541" s="272"/>
      <c r="Y1541" s="272"/>
      <c r="Z1541" s="272"/>
      <c r="AA1541" s="272"/>
    </row>
    <row r="1542" spans="1:27">
      <c r="A1542" s="338">
        <v>11</v>
      </c>
      <c r="B1542" s="339" t="s">
        <v>6603</v>
      </c>
      <c r="C1542" s="340">
        <v>45558</v>
      </c>
      <c r="D1542" s="339" t="s">
        <v>4714</v>
      </c>
      <c r="E1542" s="268" t="s">
        <v>2880</v>
      </c>
      <c r="F1542" s="268" t="s">
        <v>4715</v>
      </c>
      <c r="G1542" s="268" t="s">
        <v>4716</v>
      </c>
      <c r="H1542" s="268" t="str">
        <f t="shared" si="8"/>
        <v>ANTONIO RODRÍGUEZ RIVERO</v>
      </c>
      <c r="I1542" s="268" t="s">
        <v>4717</v>
      </c>
      <c r="J1542" s="268" t="s">
        <v>4718</v>
      </c>
      <c r="K1542" s="268" t="s">
        <v>6756</v>
      </c>
      <c r="L1542" s="287">
        <v>45623</v>
      </c>
      <c r="M1542" s="277"/>
      <c r="N1542" s="282">
        <v>2</v>
      </c>
      <c r="O1542" s="284" t="s">
        <v>5814</v>
      </c>
      <c r="P1542" s="280">
        <v>4000</v>
      </c>
      <c r="Q1542" s="287">
        <v>45558</v>
      </c>
      <c r="R1542" s="272"/>
      <c r="S1542" s="272"/>
      <c r="T1542" s="272"/>
      <c r="U1542" s="272"/>
      <c r="V1542" s="272"/>
      <c r="W1542" s="272"/>
      <c r="X1542" s="272"/>
      <c r="Y1542" s="272"/>
      <c r="Z1542" s="272"/>
      <c r="AA1542" s="272"/>
    </row>
    <row r="1543" spans="1:27">
      <c r="A1543" s="338">
        <v>11</v>
      </c>
      <c r="B1543" s="339" t="s">
        <v>6603</v>
      </c>
      <c r="C1543" s="340">
        <v>45607</v>
      </c>
      <c r="D1543" s="339" t="s">
        <v>4714</v>
      </c>
      <c r="E1543" s="268" t="s">
        <v>2929</v>
      </c>
      <c r="F1543" s="268" t="s">
        <v>4715</v>
      </c>
      <c r="G1543" s="268" t="s">
        <v>4716</v>
      </c>
      <c r="H1543" s="268" t="str">
        <f t="shared" si="8"/>
        <v>CARLOS BARAJAS DEL ROSAL</v>
      </c>
      <c r="I1543" s="268" t="s">
        <v>4934</v>
      </c>
      <c r="J1543" s="268" t="s">
        <v>4822</v>
      </c>
      <c r="K1543" s="268" t="s">
        <v>6757</v>
      </c>
      <c r="L1543" s="287">
        <v>45623</v>
      </c>
      <c r="M1543" s="277"/>
      <c r="N1543" s="282">
        <v>2</v>
      </c>
      <c r="O1543" s="284" t="s">
        <v>5814</v>
      </c>
      <c r="P1543" s="280">
        <v>4136.3599999999997</v>
      </c>
      <c r="Q1543" s="287">
        <v>45607</v>
      </c>
      <c r="R1543" s="272"/>
      <c r="S1543" s="272"/>
      <c r="T1543" s="272"/>
      <c r="U1543" s="272"/>
      <c r="V1543" s="272"/>
      <c r="W1543" s="272"/>
      <c r="X1543" s="272"/>
      <c r="Y1543" s="272"/>
      <c r="Z1543" s="272"/>
      <c r="AA1543" s="272"/>
    </row>
    <row r="1544" spans="1:27">
      <c r="A1544" s="338">
        <v>11</v>
      </c>
      <c r="B1544" s="339" t="s">
        <v>6603</v>
      </c>
      <c r="C1544" s="340">
        <v>45595</v>
      </c>
      <c r="D1544" s="339" t="s">
        <v>4714</v>
      </c>
      <c r="E1544" s="268" t="s">
        <v>2929</v>
      </c>
      <c r="F1544" s="268" t="s">
        <v>4715</v>
      </c>
      <c r="G1544" s="268" t="s">
        <v>4716</v>
      </c>
      <c r="H1544" s="268" t="str">
        <f t="shared" si="8"/>
        <v>CARLOS BARAJAS DEL ROSAL</v>
      </c>
      <c r="I1544" s="268" t="s">
        <v>4934</v>
      </c>
      <c r="J1544" s="268" t="s">
        <v>4822</v>
      </c>
      <c r="K1544" s="268" t="s">
        <v>6758</v>
      </c>
      <c r="L1544" s="287">
        <v>45623</v>
      </c>
      <c r="M1544" s="277"/>
      <c r="N1544" s="282">
        <v>2</v>
      </c>
      <c r="O1544" s="284" t="s">
        <v>4720</v>
      </c>
      <c r="P1544" s="280">
        <v>3846.36</v>
      </c>
      <c r="Q1544" s="287">
        <v>45595</v>
      </c>
      <c r="R1544" s="272"/>
      <c r="S1544" s="272"/>
      <c r="T1544" s="272"/>
      <c r="U1544" s="272"/>
      <c r="V1544" s="272"/>
      <c r="W1544" s="272"/>
      <c r="X1544" s="272"/>
      <c r="Y1544" s="272"/>
      <c r="Z1544" s="272"/>
      <c r="AA1544" s="272"/>
    </row>
    <row r="1545" spans="1:27">
      <c r="A1545" s="338">
        <v>11</v>
      </c>
      <c r="B1545" s="339" t="s">
        <v>6603</v>
      </c>
      <c r="C1545" s="340">
        <v>45538</v>
      </c>
      <c r="D1545" s="339" t="s">
        <v>4714</v>
      </c>
      <c r="E1545" s="268" t="s">
        <v>2929</v>
      </c>
      <c r="F1545" s="268" t="s">
        <v>4715</v>
      </c>
      <c r="G1545" s="268" t="s">
        <v>4716</v>
      </c>
      <c r="H1545" s="268" t="str">
        <f t="shared" si="8"/>
        <v>GUILLERMO SAN JUAN DE LA MORETA</v>
      </c>
      <c r="I1545" s="268" t="s">
        <v>5100</v>
      </c>
      <c r="J1545" s="268" t="s">
        <v>4718</v>
      </c>
      <c r="K1545" s="268" t="s">
        <v>6759</v>
      </c>
      <c r="L1545" s="287">
        <v>45623</v>
      </c>
      <c r="M1545" s="277"/>
      <c r="N1545" s="282">
        <v>2</v>
      </c>
      <c r="O1545" s="284" t="s">
        <v>5814</v>
      </c>
      <c r="P1545" s="280">
        <v>4000</v>
      </c>
      <c r="Q1545" s="287">
        <v>45538</v>
      </c>
      <c r="R1545" s="272"/>
      <c r="S1545" s="272"/>
      <c r="T1545" s="272"/>
      <c r="U1545" s="272"/>
      <c r="V1545" s="272"/>
      <c r="W1545" s="272"/>
      <c r="X1545" s="272"/>
      <c r="Y1545" s="272"/>
      <c r="Z1545" s="272"/>
      <c r="AA1545" s="272"/>
    </row>
    <row r="1546" spans="1:27">
      <c r="A1546" s="338">
        <v>11</v>
      </c>
      <c r="B1546" s="339" t="s">
        <v>6603</v>
      </c>
      <c r="C1546" s="340">
        <v>45621</v>
      </c>
      <c r="D1546" s="339" t="s">
        <v>4714</v>
      </c>
      <c r="E1546" s="268" t="s">
        <v>2929</v>
      </c>
      <c r="F1546" s="268" t="s">
        <v>4715</v>
      </c>
      <c r="G1546" s="268" t="s">
        <v>4716</v>
      </c>
      <c r="H1546" s="268" t="str">
        <f t="shared" si="8"/>
        <v>CARLOS BARAJAS DEL ROSAL</v>
      </c>
      <c r="I1546" s="268" t="s">
        <v>4934</v>
      </c>
      <c r="J1546" s="268" t="s">
        <v>4822</v>
      </c>
      <c r="K1546" s="268" t="s">
        <v>6760</v>
      </c>
      <c r="L1546" s="287">
        <v>45623</v>
      </c>
      <c r="M1546" s="277"/>
      <c r="N1546" s="282">
        <v>2</v>
      </c>
      <c r="O1546" s="284" t="s">
        <v>4720</v>
      </c>
      <c r="P1546" s="280">
        <v>3055.55</v>
      </c>
      <c r="Q1546" s="287">
        <v>45621</v>
      </c>
      <c r="R1546" s="272"/>
      <c r="S1546" s="272"/>
      <c r="T1546" s="272"/>
      <c r="U1546" s="272"/>
      <c r="V1546" s="272"/>
      <c r="W1546" s="272"/>
      <c r="X1546" s="272"/>
      <c r="Y1546" s="272"/>
      <c r="Z1546" s="272"/>
      <c r="AA1546" s="272"/>
    </row>
    <row r="1547" spans="1:27">
      <c r="A1547" s="338">
        <v>11</v>
      </c>
      <c r="B1547" s="339" t="s">
        <v>6603</v>
      </c>
      <c r="C1547" s="340">
        <v>45558</v>
      </c>
      <c r="D1547" s="339" t="s">
        <v>4714</v>
      </c>
      <c r="E1547" s="268" t="s">
        <v>2935</v>
      </c>
      <c r="F1547" s="268" t="s">
        <v>4715</v>
      </c>
      <c r="G1547" s="268" t="s">
        <v>4716</v>
      </c>
      <c r="H1547" s="268" t="str">
        <f t="shared" si="8"/>
        <v>ALEJANDRO HARGUINDEY ANTOLI-CANDELA</v>
      </c>
      <c r="I1547" s="268" t="s">
        <v>6719</v>
      </c>
      <c r="J1547" s="268" t="s">
        <v>4718</v>
      </c>
      <c r="K1547" s="268" t="s">
        <v>6761</v>
      </c>
      <c r="L1547" s="287">
        <v>45623</v>
      </c>
      <c r="M1547" s="277"/>
      <c r="N1547" s="282">
        <v>2</v>
      </c>
      <c r="O1547" s="284" t="s">
        <v>5814</v>
      </c>
      <c r="P1547" s="280">
        <v>3027.27</v>
      </c>
      <c r="Q1547" s="287">
        <v>45558</v>
      </c>
      <c r="R1547" s="272"/>
      <c r="S1547" s="272"/>
      <c r="T1547" s="272"/>
      <c r="U1547" s="272"/>
      <c r="V1547" s="272"/>
      <c r="W1547" s="272"/>
      <c r="X1547" s="272"/>
      <c r="Y1547" s="272"/>
      <c r="Z1547" s="272"/>
      <c r="AA1547" s="272"/>
    </row>
    <row r="1548" spans="1:27">
      <c r="A1548" s="338">
        <v>11</v>
      </c>
      <c r="B1548" s="339" t="s">
        <v>6603</v>
      </c>
      <c r="C1548" s="340">
        <v>45601</v>
      </c>
      <c r="D1548" s="339" t="s">
        <v>4714</v>
      </c>
      <c r="E1548" s="268" t="s">
        <v>3605</v>
      </c>
      <c r="F1548" s="268" t="s">
        <v>4715</v>
      </c>
      <c r="G1548" s="268" t="s">
        <v>4716</v>
      </c>
      <c r="H1548" s="268" t="str">
        <f t="shared" si="8"/>
        <v>ALEJANDRO HARGUINDEY ANTOLI-CANDELA</v>
      </c>
      <c r="I1548" s="268" t="s">
        <v>6719</v>
      </c>
      <c r="J1548" s="268" t="s">
        <v>4718</v>
      </c>
      <c r="K1548" s="268" t="s">
        <v>6762</v>
      </c>
      <c r="L1548" s="287">
        <v>45623</v>
      </c>
      <c r="M1548" s="277"/>
      <c r="N1548" s="282">
        <v>2</v>
      </c>
      <c r="O1548" s="284" t="s">
        <v>5814</v>
      </c>
      <c r="P1548" s="280">
        <v>4000</v>
      </c>
      <c r="Q1548" s="287">
        <v>45601</v>
      </c>
      <c r="R1548" s="272"/>
      <c r="S1548" s="272"/>
      <c r="T1548" s="272"/>
      <c r="U1548" s="272"/>
      <c r="V1548" s="272"/>
      <c r="W1548" s="272"/>
      <c r="X1548" s="272"/>
      <c r="Y1548" s="272"/>
      <c r="Z1548" s="272"/>
      <c r="AA1548" s="272"/>
    </row>
    <row r="1549" spans="1:27">
      <c r="A1549" s="338">
        <v>11</v>
      </c>
      <c r="B1549" s="339" t="s">
        <v>6603</v>
      </c>
      <c r="C1549" s="340">
        <v>45586</v>
      </c>
      <c r="D1549" s="339" t="s">
        <v>4714</v>
      </c>
      <c r="E1549" s="268" t="s">
        <v>3758</v>
      </c>
      <c r="F1549" s="268" t="s">
        <v>4715</v>
      </c>
      <c r="G1549" s="268" t="s">
        <v>4716</v>
      </c>
      <c r="H1549" s="268" t="str">
        <f t="shared" si="8"/>
        <v>NO REUERDA ORL</v>
      </c>
      <c r="I1549" s="268" t="s">
        <v>4743</v>
      </c>
      <c r="J1549" s="268" t="s">
        <v>4718</v>
      </c>
      <c r="K1549" s="268" t="s">
        <v>6763</v>
      </c>
      <c r="L1549" s="287">
        <v>45623</v>
      </c>
      <c r="M1549" s="277"/>
      <c r="N1549" s="282">
        <v>1</v>
      </c>
      <c r="O1549" s="284" t="s">
        <v>4720</v>
      </c>
      <c r="P1549" s="280">
        <v>2226.36</v>
      </c>
      <c r="Q1549" s="287">
        <v>45586</v>
      </c>
      <c r="R1549" s="272"/>
      <c r="S1549" s="272"/>
      <c r="T1549" s="272"/>
      <c r="U1549" s="272"/>
      <c r="V1549" s="272"/>
      <c r="W1549" s="272"/>
      <c r="X1549" s="272"/>
      <c r="Y1549" s="272"/>
      <c r="Z1549" s="272"/>
      <c r="AA1549" s="272"/>
    </row>
    <row r="1550" spans="1:27">
      <c r="A1550" s="338">
        <v>11</v>
      </c>
      <c r="B1550" s="339" t="s">
        <v>6603</v>
      </c>
      <c r="C1550" s="340">
        <v>45601</v>
      </c>
      <c r="D1550" s="339" t="s">
        <v>4714</v>
      </c>
      <c r="E1550" s="268" t="s">
        <v>3011</v>
      </c>
      <c r="F1550" s="268" t="s">
        <v>4715</v>
      </c>
      <c r="G1550" s="268" t="s">
        <v>4716</v>
      </c>
      <c r="H1550" s="268" t="str">
        <f t="shared" si="8"/>
        <v>RAFAEL RUIZ FITO</v>
      </c>
      <c r="I1550" s="268" t="s">
        <v>6764</v>
      </c>
      <c r="J1550" s="268" t="s">
        <v>4729</v>
      </c>
      <c r="K1550" s="268" t="s">
        <v>6765</v>
      </c>
      <c r="L1550" s="287">
        <v>45623</v>
      </c>
      <c r="M1550" s="277"/>
      <c r="N1550" s="282">
        <v>2</v>
      </c>
      <c r="O1550" s="284" t="s">
        <v>4723</v>
      </c>
      <c r="P1550" s="280">
        <v>2888.18</v>
      </c>
      <c r="Q1550" s="287">
        <v>45601</v>
      </c>
      <c r="R1550" s="272"/>
      <c r="S1550" s="272"/>
      <c r="T1550" s="272"/>
      <c r="U1550" s="272"/>
      <c r="V1550" s="272"/>
      <c r="W1550" s="272"/>
      <c r="X1550" s="272"/>
      <c r="Y1550" s="272"/>
      <c r="Z1550" s="272"/>
      <c r="AA1550" s="272"/>
    </row>
    <row r="1551" spans="1:27">
      <c r="A1551" s="338">
        <v>11</v>
      </c>
      <c r="B1551" s="339" t="s">
        <v>6603</v>
      </c>
      <c r="C1551" s="340">
        <v>45587</v>
      </c>
      <c r="D1551" s="339" t="s">
        <v>4714</v>
      </c>
      <c r="E1551" s="268" t="s">
        <v>3011</v>
      </c>
      <c r="F1551" s="268" t="s">
        <v>4715</v>
      </c>
      <c r="G1551" s="268" t="s">
        <v>4716</v>
      </c>
      <c r="H1551" s="268" t="str">
        <f t="shared" si="8"/>
        <v>LUIS FIDEL NIETO</v>
      </c>
      <c r="I1551" s="268" t="s">
        <v>6766</v>
      </c>
      <c r="J1551" s="268" t="s">
        <v>4729</v>
      </c>
      <c r="K1551" s="268" t="s">
        <v>6767</v>
      </c>
      <c r="L1551" s="287">
        <v>45623</v>
      </c>
      <c r="M1551" s="277"/>
      <c r="N1551" s="282">
        <v>2</v>
      </c>
      <c r="O1551" s="284" t="s">
        <v>5814</v>
      </c>
      <c r="P1551" s="280">
        <v>3800</v>
      </c>
      <c r="Q1551" s="287">
        <v>45587</v>
      </c>
      <c r="R1551" s="272"/>
      <c r="S1551" s="272"/>
      <c r="T1551" s="272"/>
      <c r="U1551" s="272"/>
      <c r="V1551" s="272"/>
      <c r="W1551" s="272"/>
      <c r="X1551" s="272"/>
      <c r="Y1551" s="272"/>
      <c r="Z1551" s="272"/>
      <c r="AA1551" s="272"/>
    </row>
    <row r="1552" spans="1:27">
      <c r="A1552" s="338">
        <v>11</v>
      </c>
      <c r="B1552" s="339" t="s">
        <v>6603</v>
      </c>
      <c r="C1552" s="340">
        <v>45559</v>
      </c>
      <c r="D1552" s="339" t="s">
        <v>4714</v>
      </c>
      <c r="E1552" s="268" t="s">
        <v>2921</v>
      </c>
      <c r="F1552" s="268" t="s">
        <v>4715</v>
      </c>
      <c r="G1552" s="268" t="s">
        <v>4716</v>
      </c>
      <c r="H1552" s="268" t="str">
        <f t="shared" si="8"/>
        <v>Mª TERESA CUESTA GONZÁLEZ</v>
      </c>
      <c r="I1552" s="268" t="s">
        <v>6768</v>
      </c>
      <c r="J1552" s="268" t="s">
        <v>4910</v>
      </c>
      <c r="K1552" s="268" t="s">
        <v>6769</v>
      </c>
      <c r="L1552" s="287">
        <v>45623</v>
      </c>
      <c r="M1552" s="277"/>
      <c r="N1552" s="282">
        <v>2</v>
      </c>
      <c r="O1552" s="284" t="s">
        <v>4720</v>
      </c>
      <c r="P1552" s="280">
        <v>3524.18</v>
      </c>
      <c r="Q1552" s="287">
        <v>45559</v>
      </c>
      <c r="R1552" s="272"/>
      <c r="S1552" s="272"/>
      <c r="T1552" s="272"/>
      <c r="U1552" s="272"/>
      <c r="V1552" s="272"/>
      <c r="W1552" s="272"/>
      <c r="X1552" s="272"/>
      <c r="Y1552" s="272"/>
      <c r="Z1552" s="272"/>
      <c r="AA1552" s="272"/>
    </row>
    <row r="1553" spans="1:27">
      <c r="A1553" s="338">
        <v>11</v>
      </c>
      <c r="B1553" s="339" t="s">
        <v>6603</v>
      </c>
      <c r="C1553" s="340">
        <v>45573</v>
      </c>
      <c r="D1553" s="339" t="s">
        <v>4714</v>
      </c>
      <c r="E1553" s="268" t="s">
        <v>2961</v>
      </c>
      <c r="F1553" s="268" t="s">
        <v>4715</v>
      </c>
      <c r="G1553" s="268" t="s">
        <v>4716</v>
      </c>
      <c r="H1553" s="268" t="str">
        <f t="shared" si="8"/>
        <v>NATHALIE FAGES CÁRCELES</v>
      </c>
      <c r="I1553" s="268" t="s">
        <v>5000</v>
      </c>
      <c r="J1553" s="268" t="s">
        <v>4736</v>
      </c>
      <c r="K1553" s="268" t="s">
        <v>6770</v>
      </c>
      <c r="L1553" s="287">
        <v>45623</v>
      </c>
      <c r="M1553" s="277"/>
      <c r="N1553" s="282">
        <v>2</v>
      </c>
      <c r="O1553" s="284" t="s">
        <v>4720</v>
      </c>
      <c r="P1553" s="280">
        <v>3710</v>
      </c>
      <c r="Q1553" s="287">
        <v>45573</v>
      </c>
      <c r="R1553" s="272"/>
      <c r="S1553" s="272"/>
      <c r="T1553" s="272"/>
      <c r="U1553" s="272"/>
      <c r="V1553" s="272"/>
      <c r="W1553" s="272"/>
      <c r="X1553" s="272"/>
      <c r="Y1553" s="272"/>
      <c r="Z1553" s="272"/>
      <c r="AA1553" s="272"/>
    </row>
    <row r="1554" spans="1:27">
      <c r="A1554" s="338">
        <v>11</v>
      </c>
      <c r="B1554" s="339" t="s">
        <v>6603</v>
      </c>
      <c r="C1554" s="340">
        <v>45581</v>
      </c>
      <c r="D1554" s="339" t="s">
        <v>4714</v>
      </c>
      <c r="E1554" s="268" t="s">
        <v>4845</v>
      </c>
      <c r="F1554" s="268" t="s">
        <v>4715</v>
      </c>
      <c r="G1554" s="268" t="s">
        <v>4716</v>
      </c>
      <c r="H1554" s="268" t="str">
        <f t="shared" si="8"/>
        <v>JAIME LEACHE PUEYO</v>
      </c>
      <c r="I1554" s="268" t="s">
        <v>6106</v>
      </c>
      <c r="J1554" s="268" t="s">
        <v>4822</v>
      </c>
      <c r="K1554" s="268" t="s">
        <v>6771</v>
      </c>
      <c r="L1554" s="287">
        <v>45623</v>
      </c>
      <c r="M1554" s="277"/>
      <c r="N1554" s="282">
        <v>2</v>
      </c>
      <c r="O1554" s="284" t="s">
        <v>4720</v>
      </c>
      <c r="P1554" s="280">
        <v>3424.55</v>
      </c>
      <c r="Q1554" s="287">
        <v>45581</v>
      </c>
      <c r="R1554" s="272"/>
      <c r="S1554" s="272"/>
      <c r="T1554" s="272"/>
      <c r="U1554" s="272"/>
      <c r="V1554" s="272"/>
      <c r="W1554" s="272"/>
      <c r="X1554" s="272"/>
      <c r="Y1554" s="272"/>
      <c r="Z1554" s="272"/>
      <c r="AA1554" s="272"/>
    </row>
    <row r="1555" spans="1:27">
      <c r="A1555" s="338">
        <v>11</v>
      </c>
      <c r="B1555" s="339" t="s">
        <v>6603</v>
      </c>
      <c r="C1555" s="340">
        <v>45593</v>
      </c>
      <c r="D1555" s="339" t="s">
        <v>4714</v>
      </c>
      <c r="E1555" s="268" t="s">
        <v>5225</v>
      </c>
      <c r="F1555" s="268" t="s">
        <v>4715</v>
      </c>
      <c r="G1555" s="268" t="s">
        <v>4716</v>
      </c>
      <c r="H1555" s="268" t="str">
        <f t="shared" si="8"/>
        <v>ISABEL VAAMONDE SANCHEZ ANDRADE</v>
      </c>
      <c r="I1555" s="268" t="s">
        <v>5088</v>
      </c>
      <c r="J1555" s="268" t="s">
        <v>4790</v>
      </c>
      <c r="K1555" s="268" t="s">
        <v>6772</v>
      </c>
      <c r="L1555" s="287">
        <v>45623</v>
      </c>
      <c r="M1555" s="277"/>
      <c r="N1555" s="282">
        <v>2</v>
      </c>
      <c r="O1555" s="284" t="s">
        <v>4723</v>
      </c>
      <c r="P1555" s="280">
        <v>2888.18</v>
      </c>
      <c r="Q1555" s="287">
        <v>45593</v>
      </c>
      <c r="R1555" s="272"/>
      <c r="S1555" s="272"/>
      <c r="T1555" s="272"/>
      <c r="U1555" s="272"/>
      <c r="V1555" s="272"/>
      <c r="W1555" s="272"/>
      <c r="X1555" s="272"/>
      <c r="Y1555" s="272"/>
      <c r="Z1555" s="272"/>
      <c r="AA1555" s="272"/>
    </row>
    <row r="1556" spans="1:27">
      <c r="A1556" s="338">
        <v>11</v>
      </c>
      <c r="B1556" s="339" t="s">
        <v>6603</v>
      </c>
      <c r="C1556" s="340">
        <v>45594</v>
      </c>
      <c r="D1556" s="339" t="s">
        <v>4714</v>
      </c>
      <c r="E1556" s="268" t="s">
        <v>2900</v>
      </c>
      <c r="F1556" s="268" t="s">
        <v>4715</v>
      </c>
      <c r="G1556" s="268" t="s">
        <v>4716</v>
      </c>
      <c r="H1556" s="268" t="str">
        <f t="shared" si="8"/>
        <v>CARMEN MIRANDA JORGE</v>
      </c>
      <c r="I1556" s="268" t="s">
        <v>6773</v>
      </c>
      <c r="J1556" s="268" t="s">
        <v>4790</v>
      </c>
      <c r="K1556" s="268" t="s">
        <v>6774</v>
      </c>
      <c r="L1556" s="287">
        <v>45623</v>
      </c>
      <c r="M1556" s="277"/>
      <c r="N1556" s="282">
        <v>2</v>
      </c>
      <c r="O1556" s="284" t="s">
        <v>4720</v>
      </c>
      <c r="P1556" s="280">
        <v>3524.5</v>
      </c>
      <c r="Q1556" s="287">
        <v>45594</v>
      </c>
      <c r="R1556" s="272"/>
      <c r="S1556" s="272"/>
      <c r="T1556" s="272"/>
      <c r="U1556" s="272"/>
      <c r="V1556" s="272"/>
      <c r="W1556" s="272"/>
      <c r="X1556" s="272"/>
      <c r="Y1556" s="272"/>
      <c r="Z1556" s="272"/>
      <c r="AA1556" s="272"/>
    </row>
    <row r="1557" spans="1:27">
      <c r="A1557" s="338">
        <v>11</v>
      </c>
      <c r="B1557" s="339" t="s">
        <v>6603</v>
      </c>
      <c r="C1557" s="340">
        <v>45587</v>
      </c>
      <c r="D1557" s="339" t="s">
        <v>4714</v>
      </c>
      <c r="E1557" s="268" t="s">
        <v>2909</v>
      </c>
      <c r="F1557" s="268" t="s">
        <v>4715</v>
      </c>
      <c r="G1557" s="268" t="s">
        <v>4716</v>
      </c>
      <c r="H1557" s="268" t="str">
        <f t="shared" si="8"/>
        <v>JESUS-MARIA GRASA PÉREZ</v>
      </c>
      <c r="I1557" s="268" t="s">
        <v>4865</v>
      </c>
      <c r="J1557" s="268" t="s">
        <v>4806</v>
      </c>
      <c r="K1557" s="268" t="s">
        <v>6775</v>
      </c>
      <c r="L1557" s="287">
        <v>45624</v>
      </c>
      <c r="M1557" s="277"/>
      <c r="N1557" s="282">
        <v>2</v>
      </c>
      <c r="O1557" s="284" t="s">
        <v>4720</v>
      </c>
      <c r="P1557" s="280">
        <v>3524.5</v>
      </c>
      <c r="Q1557" s="287">
        <v>45587</v>
      </c>
      <c r="R1557" s="272"/>
      <c r="S1557" s="272"/>
      <c r="T1557" s="272"/>
      <c r="U1557" s="272"/>
      <c r="V1557" s="272"/>
      <c r="W1557" s="272"/>
      <c r="X1557" s="272"/>
      <c r="Y1557" s="272"/>
      <c r="Z1557" s="272"/>
      <c r="AA1557" s="272"/>
    </row>
    <row r="1558" spans="1:27">
      <c r="A1558" s="338">
        <v>11</v>
      </c>
      <c r="B1558" s="339" t="s">
        <v>6603</v>
      </c>
      <c r="C1558" s="340">
        <v>45601</v>
      </c>
      <c r="D1558" s="339" t="s">
        <v>4714</v>
      </c>
      <c r="E1558" s="268" t="s">
        <v>3480</v>
      </c>
      <c r="F1558" s="268" t="s">
        <v>4715</v>
      </c>
      <c r="G1558" s="268" t="s">
        <v>4716</v>
      </c>
      <c r="H1558" s="268" t="str">
        <f t="shared" si="8"/>
        <v>PALOMA MARTÍN- ARAGÓN MARTIÍ</v>
      </c>
      <c r="I1558" s="268" t="s">
        <v>4917</v>
      </c>
      <c r="J1558" s="268" t="s">
        <v>4718</v>
      </c>
      <c r="K1558" s="268" t="s">
        <v>6776</v>
      </c>
      <c r="L1558" s="287">
        <v>45624</v>
      </c>
      <c r="M1558" s="277"/>
      <c r="N1558" s="282">
        <v>2</v>
      </c>
      <c r="O1558" s="284" t="s">
        <v>4720</v>
      </c>
      <c r="P1558" s="280">
        <v>3710</v>
      </c>
      <c r="Q1558" s="287">
        <v>45601</v>
      </c>
      <c r="R1558" s="272"/>
      <c r="S1558" s="272"/>
      <c r="T1558" s="272"/>
      <c r="U1558" s="272"/>
      <c r="V1558" s="272"/>
      <c r="W1558" s="272"/>
      <c r="X1558" s="272"/>
      <c r="Y1558" s="272"/>
      <c r="Z1558" s="272"/>
      <c r="AA1558" s="272"/>
    </row>
    <row r="1559" spans="1:27">
      <c r="A1559" s="338">
        <v>11</v>
      </c>
      <c r="B1559" s="339" t="s">
        <v>6603</v>
      </c>
      <c r="C1559" s="340">
        <v>45441</v>
      </c>
      <c r="D1559" s="339" t="s">
        <v>4714</v>
      </c>
      <c r="E1559" s="268" t="s">
        <v>2893</v>
      </c>
      <c r="F1559" s="268" t="s">
        <v>4715</v>
      </c>
      <c r="G1559" s="268" t="s">
        <v>4716</v>
      </c>
      <c r="H1559" s="268" t="str">
        <f t="shared" si="8"/>
        <v>MAR LASSO</v>
      </c>
      <c r="I1559" s="268" t="s">
        <v>6777</v>
      </c>
      <c r="J1559" s="268" t="s">
        <v>4718</v>
      </c>
      <c r="K1559" s="268" t="s">
        <v>6778</v>
      </c>
      <c r="L1559" s="287">
        <v>45624</v>
      </c>
      <c r="M1559" s="277"/>
      <c r="N1559" s="282">
        <v>2</v>
      </c>
      <c r="O1559" s="284" t="s">
        <v>5814</v>
      </c>
      <c r="P1559" s="280">
        <v>4136.3599999999997</v>
      </c>
      <c r="Q1559" s="287">
        <v>45441</v>
      </c>
      <c r="R1559" s="272"/>
      <c r="S1559" s="272"/>
      <c r="T1559" s="272"/>
      <c r="U1559" s="272"/>
      <c r="V1559" s="272"/>
      <c r="W1559" s="272"/>
      <c r="X1559" s="272"/>
      <c r="Y1559" s="272"/>
      <c r="Z1559" s="272"/>
      <c r="AA1559" s="272"/>
    </row>
    <row r="1560" spans="1:27">
      <c r="A1560" s="338">
        <v>11</v>
      </c>
      <c r="B1560" s="339" t="s">
        <v>6603</v>
      </c>
      <c r="C1560" s="340">
        <v>45611</v>
      </c>
      <c r="D1560" s="339" t="s">
        <v>4714</v>
      </c>
      <c r="E1560" s="268" t="s">
        <v>3758</v>
      </c>
      <c r="F1560" s="268" t="s">
        <v>4715</v>
      </c>
      <c r="G1560" s="268" t="s">
        <v>4716</v>
      </c>
      <c r="H1560" s="268" t="str">
        <f t="shared" si="8"/>
        <v>MARÍA GABRIELA BOSCO MORALES</v>
      </c>
      <c r="I1560" s="268" t="s">
        <v>6529</v>
      </c>
      <c r="J1560" s="268" t="s">
        <v>4718</v>
      </c>
      <c r="K1560" s="268" t="s">
        <v>6779</v>
      </c>
      <c r="L1560" s="287">
        <v>45624</v>
      </c>
      <c r="M1560" s="277"/>
      <c r="N1560" s="282">
        <v>2</v>
      </c>
      <c r="O1560" s="284" t="s">
        <v>4723</v>
      </c>
      <c r="P1560" s="280">
        <v>2888.18</v>
      </c>
      <c r="Q1560" s="287">
        <v>45611</v>
      </c>
      <c r="R1560" s="272"/>
      <c r="S1560" s="272"/>
      <c r="T1560" s="272"/>
      <c r="U1560" s="272"/>
      <c r="V1560" s="272"/>
      <c r="W1560" s="272"/>
      <c r="X1560" s="272"/>
      <c r="Y1560" s="272"/>
      <c r="Z1560" s="272"/>
      <c r="AA1560" s="272"/>
    </row>
    <row r="1561" spans="1:27">
      <c r="A1561" s="338">
        <v>11</v>
      </c>
      <c r="B1561" s="339" t="s">
        <v>6603</v>
      </c>
      <c r="C1561" s="340">
        <v>45616</v>
      </c>
      <c r="D1561" s="339" t="s">
        <v>4714</v>
      </c>
      <c r="E1561" s="268" t="s">
        <v>2972</v>
      </c>
      <c r="F1561" s="268" t="s">
        <v>4715</v>
      </c>
      <c r="G1561" s="268" t="s">
        <v>4716</v>
      </c>
      <c r="H1561" s="268" t="str">
        <f t="shared" si="8"/>
        <v>CARLOS FELIX ASENSIO NIETO</v>
      </c>
      <c r="I1561" s="268" t="s">
        <v>6740</v>
      </c>
      <c r="J1561" s="268" t="s">
        <v>4822</v>
      </c>
      <c r="K1561" s="268" t="s">
        <v>6780</v>
      </c>
      <c r="L1561" s="287">
        <v>45624</v>
      </c>
      <c r="M1561" s="277"/>
      <c r="N1561" s="282">
        <v>1</v>
      </c>
      <c r="O1561" s="284" t="s">
        <v>4720</v>
      </c>
      <c r="P1561" s="280">
        <v>2115.0500000000002</v>
      </c>
      <c r="Q1561" s="287">
        <v>45616</v>
      </c>
      <c r="R1561" s="272"/>
      <c r="S1561" s="272"/>
      <c r="T1561" s="272"/>
      <c r="U1561" s="272"/>
      <c r="V1561" s="272"/>
      <c r="W1561" s="272"/>
      <c r="X1561" s="272"/>
      <c r="Y1561" s="272"/>
      <c r="Z1561" s="272"/>
      <c r="AA1561" s="272"/>
    </row>
    <row r="1562" spans="1:27">
      <c r="A1562" s="338">
        <v>11</v>
      </c>
      <c r="B1562" s="339" t="s">
        <v>6603</v>
      </c>
      <c r="C1562" s="340">
        <v>45565</v>
      </c>
      <c r="D1562" s="339" t="s">
        <v>4714</v>
      </c>
      <c r="E1562" s="268" t="s">
        <v>2984</v>
      </c>
      <c r="F1562" s="268" t="s">
        <v>4715</v>
      </c>
      <c r="G1562" s="268" t="s">
        <v>4716</v>
      </c>
      <c r="H1562" s="268" t="str">
        <f t="shared" si="8"/>
        <v>JOSÉ RAMIRO DE LEÓN LIMA</v>
      </c>
      <c r="I1562" s="268" t="s">
        <v>6435</v>
      </c>
      <c r="J1562" s="268" t="s">
        <v>4910</v>
      </c>
      <c r="K1562" s="268" t="s">
        <v>6781</v>
      </c>
      <c r="L1562" s="287">
        <v>45624</v>
      </c>
      <c r="M1562" s="277"/>
      <c r="N1562" s="282">
        <v>1</v>
      </c>
      <c r="O1562" s="284" t="s">
        <v>4720</v>
      </c>
      <c r="P1562" s="280">
        <v>2115.0500000000002</v>
      </c>
      <c r="Q1562" s="287">
        <v>45565</v>
      </c>
      <c r="R1562" s="272"/>
      <c r="S1562" s="272"/>
      <c r="T1562" s="272"/>
      <c r="U1562" s="272"/>
      <c r="V1562" s="272"/>
      <c r="W1562" s="272"/>
      <c r="X1562" s="272"/>
      <c r="Y1562" s="272"/>
      <c r="Z1562" s="272"/>
      <c r="AA1562" s="272"/>
    </row>
    <row r="1563" spans="1:27">
      <c r="A1563" s="338">
        <v>11</v>
      </c>
      <c r="B1563" s="339" t="s">
        <v>6603</v>
      </c>
      <c r="C1563" s="340">
        <v>45457</v>
      </c>
      <c r="D1563" s="339" t="s">
        <v>4714</v>
      </c>
      <c r="E1563" s="268" t="s">
        <v>4799</v>
      </c>
      <c r="F1563" s="268" t="s">
        <v>4715</v>
      </c>
      <c r="G1563" s="268" t="s">
        <v>4716</v>
      </c>
      <c r="H1563" s="268" t="str">
        <f t="shared" si="8"/>
        <v>PILAR CASTRO RUIZ</v>
      </c>
      <c r="I1563" s="268" t="s">
        <v>4800</v>
      </c>
      <c r="J1563" s="268" t="s">
        <v>4790</v>
      </c>
      <c r="K1563" s="268" t="s">
        <v>6782</v>
      </c>
      <c r="L1563" s="287">
        <v>45624</v>
      </c>
      <c r="M1563" s="277"/>
      <c r="N1563" s="282">
        <v>1</v>
      </c>
      <c r="O1563" s="284" t="s">
        <v>4720</v>
      </c>
      <c r="P1563" s="280">
        <v>1818.18</v>
      </c>
      <c r="Q1563" s="287">
        <v>45457</v>
      </c>
      <c r="R1563" s="272"/>
      <c r="S1563" s="272"/>
      <c r="T1563" s="272"/>
      <c r="U1563" s="272"/>
      <c r="V1563" s="272"/>
      <c r="W1563" s="272"/>
      <c r="X1563" s="272"/>
      <c r="Y1563" s="272"/>
      <c r="Z1563" s="272"/>
      <c r="AA1563" s="272"/>
    </row>
    <row r="1564" spans="1:27">
      <c r="A1564" s="338">
        <v>11</v>
      </c>
      <c r="B1564" s="339" t="s">
        <v>6603</v>
      </c>
      <c r="C1564" s="340">
        <v>45513</v>
      </c>
      <c r="D1564" s="339" t="s">
        <v>4714</v>
      </c>
      <c r="E1564" s="268" t="s">
        <v>4804</v>
      </c>
      <c r="F1564" s="268" t="s">
        <v>4715</v>
      </c>
      <c r="G1564" s="268" t="s">
        <v>4716</v>
      </c>
      <c r="H1564" s="268" t="str">
        <f t="shared" si="8"/>
        <v>JUAN JOSÉ SANZ GONZÁLEZ</v>
      </c>
      <c r="I1564" s="268" t="s">
        <v>6783</v>
      </c>
      <c r="J1564" s="268" t="s">
        <v>4806</v>
      </c>
      <c r="K1564" s="268" t="s">
        <v>6784</v>
      </c>
      <c r="L1564" s="287">
        <v>45624</v>
      </c>
      <c r="M1564" s="277"/>
      <c r="N1564" s="282">
        <v>2</v>
      </c>
      <c r="O1564" s="284" t="s">
        <v>4720</v>
      </c>
      <c r="P1564" s="280">
        <v>3515.45</v>
      </c>
      <c r="Q1564" s="287">
        <v>45513</v>
      </c>
      <c r="R1564" s="272"/>
      <c r="S1564" s="272"/>
      <c r="T1564" s="272"/>
      <c r="U1564" s="272"/>
      <c r="V1564" s="272"/>
      <c r="W1564" s="272"/>
      <c r="X1564" s="272"/>
      <c r="Y1564" s="272"/>
      <c r="Z1564" s="272"/>
      <c r="AA1564" s="272"/>
    </row>
    <row r="1565" spans="1:27">
      <c r="A1565" s="338">
        <v>11</v>
      </c>
      <c r="B1565" s="339" t="s">
        <v>6603</v>
      </c>
      <c r="C1565" s="340">
        <v>45539</v>
      </c>
      <c r="D1565" s="339" t="s">
        <v>4714</v>
      </c>
      <c r="E1565" s="268" t="s">
        <v>4799</v>
      </c>
      <c r="F1565" s="268" t="s">
        <v>4715</v>
      </c>
      <c r="G1565" s="268" t="s">
        <v>4716</v>
      </c>
      <c r="H1565" s="268" t="str">
        <f t="shared" si="8"/>
        <v>ADELA PÉREZ-CARO RÍOS</v>
      </c>
      <c r="I1565" s="268" t="s">
        <v>5169</v>
      </c>
      <c r="J1565" s="268" t="s">
        <v>4790</v>
      </c>
      <c r="K1565" s="268" t="s">
        <v>6785</v>
      </c>
      <c r="L1565" s="287">
        <v>45624</v>
      </c>
      <c r="M1565" s="277"/>
      <c r="N1565" s="282">
        <v>2</v>
      </c>
      <c r="O1565" s="284" t="s">
        <v>4720</v>
      </c>
      <c r="P1565" s="280">
        <v>1363.64</v>
      </c>
      <c r="Q1565" s="287">
        <v>45539</v>
      </c>
      <c r="R1565" s="272"/>
      <c r="S1565" s="272"/>
      <c r="T1565" s="272"/>
      <c r="U1565" s="272"/>
      <c r="V1565" s="272"/>
      <c r="W1565" s="272"/>
      <c r="X1565" s="272"/>
      <c r="Y1565" s="272"/>
      <c r="Z1565" s="272"/>
      <c r="AA1565" s="272"/>
    </row>
    <row r="1566" spans="1:27">
      <c r="A1566" s="338">
        <v>11</v>
      </c>
      <c r="B1566" s="339" t="s">
        <v>6603</v>
      </c>
      <c r="C1566" s="340">
        <v>45548</v>
      </c>
      <c r="D1566" s="339" t="s">
        <v>4714</v>
      </c>
      <c r="E1566" s="268" t="s">
        <v>4749</v>
      </c>
      <c r="F1566" s="268" t="s">
        <v>4715</v>
      </c>
      <c r="G1566" s="268" t="s">
        <v>4716</v>
      </c>
      <c r="H1566" s="268" t="str">
        <f t="shared" si="8"/>
        <v>DIANA LISBETH</v>
      </c>
      <c r="I1566" s="268" t="s">
        <v>4955</v>
      </c>
      <c r="J1566" s="268" t="s">
        <v>4747</v>
      </c>
      <c r="K1566" s="268" t="s">
        <v>6786</v>
      </c>
      <c r="L1566" s="287">
        <v>45624</v>
      </c>
      <c r="M1566" s="277"/>
      <c r="N1566" s="282">
        <v>2</v>
      </c>
      <c r="O1566" s="284" t="s">
        <v>4720</v>
      </c>
      <c r="P1566" s="280">
        <v>3909.09</v>
      </c>
      <c r="Q1566" s="287">
        <v>45548</v>
      </c>
      <c r="R1566" s="272"/>
      <c r="S1566" s="272"/>
      <c r="T1566" s="272"/>
      <c r="U1566" s="272"/>
      <c r="V1566" s="272"/>
      <c r="W1566" s="272"/>
      <c r="X1566" s="272"/>
      <c r="Y1566" s="272"/>
      <c r="Z1566" s="272"/>
      <c r="AA1566" s="272"/>
    </row>
    <row r="1567" spans="1:27">
      <c r="A1567" s="338">
        <v>11</v>
      </c>
      <c r="B1567" s="339" t="s">
        <v>6603</v>
      </c>
      <c r="C1567" s="340">
        <v>45573</v>
      </c>
      <c r="D1567" s="339" t="s">
        <v>4714</v>
      </c>
      <c r="E1567" s="268" t="s">
        <v>4775</v>
      </c>
      <c r="F1567" s="268" t="s">
        <v>4715</v>
      </c>
      <c r="G1567" s="268" t="s">
        <v>4716</v>
      </c>
      <c r="H1567" s="268" t="str">
        <f t="shared" si="8"/>
        <v>CRISTINA IBAÑEZ MUÑOZ</v>
      </c>
      <c r="I1567" s="268" t="s">
        <v>5112</v>
      </c>
      <c r="J1567" s="268" t="s">
        <v>4822</v>
      </c>
      <c r="K1567" s="268" t="s">
        <v>6787</v>
      </c>
      <c r="L1567" s="287">
        <v>45624</v>
      </c>
      <c r="M1567" s="277"/>
      <c r="N1567" s="282">
        <v>1</v>
      </c>
      <c r="O1567" s="284" t="s">
        <v>4787</v>
      </c>
      <c r="P1567" s="280">
        <v>2090.91</v>
      </c>
      <c r="Q1567" s="287">
        <v>45573</v>
      </c>
      <c r="R1567" s="272"/>
      <c r="S1567" s="272"/>
      <c r="T1567" s="272"/>
      <c r="U1567" s="272"/>
      <c r="V1567" s="272"/>
      <c r="W1567" s="272"/>
      <c r="X1567" s="272"/>
      <c r="Y1567" s="272"/>
      <c r="Z1567" s="272"/>
      <c r="AA1567" s="272"/>
    </row>
    <row r="1568" spans="1:27">
      <c r="A1568" s="338">
        <v>11</v>
      </c>
      <c r="B1568" s="339" t="s">
        <v>6603</v>
      </c>
      <c r="C1568" s="340">
        <v>45587</v>
      </c>
      <c r="D1568" s="339" t="s">
        <v>4714</v>
      </c>
      <c r="E1568" s="268" t="s">
        <v>4799</v>
      </c>
      <c r="F1568" s="268" t="s">
        <v>4715</v>
      </c>
      <c r="G1568" s="268" t="s">
        <v>4716</v>
      </c>
      <c r="H1568" s="268" t="str">
        <f t="shared" si="8"/>
        <v>ADELA PÉREZ-CARO RÍOS</v>
      </c>
      <c r="I1568" s="268" t="s">
        <v>5169</v>
      </c>
      <c r="J1568" s="268" t="s">
        <v>4790</v>
      </c>
      <c r="K1568" s="268" t="s">
        <v>6788</v>
      </c>
      <c r="L1568" s="287">
        <v>45624</v>
      </c>
      <c r="M1568" s="277"/>
      <c r="N1568" s="282">
        <v>2</v>
      </c>
      <c r="O1568" s="284" t="s">
        <v>4720</v>
      </c>
      <c r="P1568" s="280">
        <v>3454.55</v>
      </c>
      <c r="Q1568" s="287">
        <v>45587</v>
      </c>
      <c r="R1568" s="272"/>
      <c r="S1568" s="272"/>
      <c r="T1568" s="272"/>
      <c r="U1568" s="272"/>
      <c r="V1568" s="272"/>
      <c r="W1568" s="272"/>
      <c r="X1568" s="272"/>
      <c r="Y1568" s="272"/>
      <c r="Z1568" s="272"/>
      <c r="AA1568" s="272"/>
    </row>
    <row r="1569" spans="1:27">
      <c r="A1569" s="338">
        <v>11</v>
      </c>
      <c r="B1569" s="339" t="s">
        <v>6603</v>
      </c>
      <c r="C1569" s="340">
        <v>45587</v>
      </c>
      <c r="D1569" s="339" t="s">
        <v>4714</v>
      </c>
      <c r="E1569" s="268" t="s">
        <v>2900</v>
      </c>
      <c r="F1569" s="268" t="s">
        <v>4715</v>
      </c>
      <c r="G1569" s="268" t="s">
        <v>4716</v>
      </c>
      <c r="H1569" s="268" t="str">
        <f t="shared" si="8"/>
        <v>MARÍA REY MARCOS</v>
      </c>
      <c r="I1569" s="268" t="s">
        <v>4952</v>
      </c>
      <c r="J1569" s="268" t="s">
        <v>4790</v>
      </c>
      <c r="K1569" s="268" t="s">
        <v>6789</v>
      </c>
      <c r="L1569" s="287">
        <v>45624</v>
      </c>
      <c r="M1569" s="277"/>
      <c r="N1569" s="282">
        <v>2</v>
      </c>
      <c r="O1569" s="284" t="s">
        <v>4740</v>
      </c>
      <c r="P1569" s="280">
        <v>3800</v>
      </c>
      <c r="Q1569" s="287">
        <v>45587</v>
      </c>
      <c r="R1569" s="272"/>
      <c r="S1569" s="272"/>
      <c r="T1569" s="272"/>
      <c r="U1569" s="272"/>
      <c r="V1569" s="272"/>
      <c r="W1569" s="272"/>
      <c r="X1569" s="272"/>
      <c r="Y1569" s="272"/>
      <c r="Z1569" s="272"/>
      <c r="AA1569" s="272"/>
    </row>
    <row r="1570" spans="1:27">
      <c r="A1570" s="338">
        <v>11</v>
      </c>
      <c r="B1570" s="339" t="s">
        <v>6603</v>
      </c>
      <c r="C1570" s="340">
        <v>45593</v>
      </c>
      <c r="D1570" s="339" t="s">
        <v>4714</v>
      </c>
      <c r="E1570" s="268" t="s">
        <v>2900</v>
      </c>
      <c r="F1570" s="268" t="s">
        <v>4715</v>
      </c>
      <c r="G1570" s="268" t="s">
        <v>4716</v>
      </c>
      <c r="H1570" s="268" t="str">
        <f t="shared" si="8"/>
        <v>Rafael Alfonso Hurtado Ruzza</v>
      </c>
      <c r="I1570" s="268" t="s">
        <v>5042</v>
      </c>
      <c r="J1570" s="268" t="s">
        <v>4790</v>
      </c>
      <c r="K1570" s="268" t="s">
        <v>6790</v>
      </c>
      <c r="L1570" s="287">
        <v>45624</v>
      </c>
      <c r="M1570" s="277"/>
      <c r="N1570" s="282">
        <v>1</v>
      </c>
      <c r="O1570" s="284" t="s">
        <v>4720</v>
      </c>
      <c r="P1570" s="280">
        <v>2226.36</v>
      </c>
      <c r="Q1570" s="287">
        <v>45593</v>
      </c>
      <c r="R1570" s="272"/>
      <c r="S1570" s="272"/>
      <c r="T1570" s="272"/>
      <c r="U1570" s="272"/>
      <c r="V1570" s="272"/>
      <c r="W1570" s="272"/>
      <c r="X1570" s="272"/>
      <c r="Y1570" s="272"/>
      <c r="Z1570" s="272"/>
      <c r="AA1570" s="272"/>
    </row>
    <row r="1571" spans="1:27">
      <c r="A1571" s="338">
        <v>11</v>
      </c>
      <c r="B1571" s="339" t="s">
        <v>6603</v>
      </c>
      <c r="C1571" s="340">
        <v>45583</v>
      </c>
      <c r="D1571" s="339" t="s">
        <v>4714</v>
      </c>
      <c r="E1571" s="268" t="s">
        <v>4194</v>
      </c>
      <c r="F1571" s="268" t="s">
        <v>4715</v>
      </c>
      <c r="G1571" s="268" t="s">
        <v>4716</v>
      </c>
      <c r="H1571" s="268" t="str">
        <f t="shared" si="8"/>
        <v>KAREN ROJAS CRESPO</v>
      </c>
      <c r="I1571" s="268" t="s">
        <v>5260</v>
      </c>
      <c r="J1571" s="268" t="s">
        <v>4736</v>
      </c>
      <c r="K1571" s="268" t="s">
        <v>6791</v>
      </c>
      <c r="L1571" s="287">
        <v>45625</v>
      </c>
      <c r="M1571" s="277"/>
      <c r="N1571" s="282">
        <v>1</v>
      </c>
      <c r="O1571" s="284" t="s">
        <v>4720</v>
      </c>
      <c r="P1571" s="280">
        <v>2163.64</v>
      </c>
      <c r="Q1571" s="287">
        <v>45583</v>
      </c>
      <c r="R1571" s="272"/>
      <c r="S1571" s="272"/>
      <c r="T1571" s="272"/>
      <c r="U1571" s="272"/>
      <c r="V1571" s="272"/>
      <c r="W1571" s="272"/>
      <c r="X1571" s="272"/>
      <c r="Y1571" s="272"/>
      <c r="Z1571" s="272"/>
      <c r="AA1571" s="272"/>
    </row>
    <row r="1572" spans="1:27">
      <c r="A1572" s="338">
        <v>11</v>
      </c>
      <c r="B1572" s="339" t="s">
        <v>6603</v>
      </c>
      <c r="C1572" s="340">
        <v>45604</v>
      </c>
      <c r="D1572" s="339" t="s">
        <v>4714</v>
      </c>
      <c r="E1572" s="268" t="s">
        <v>3480</v>
      </c>
      <c r="F1572" s="268" t="s">
        <v>4715</v>
      </c>
      <c r="G1572" s="268" t="s">
        <v>4716</v>
      </c>
      <c r="H1572" s="268" t="str">
        <f t="shared" si="8"/>
        <v>CRISTINA GARCÍA GARCÍA</v>
      </c>
      <c r="I1572" s="268" t="s">
        <v>6792</v>
      </c>
      <c r="J1572" s="268" t="s">
        <v>4718</v>
      </c>
      <c r="K1572" s="268" t="s">
        <v>6793</v>
      </c>
      <c r="L1572" s="287">
        <v>45625</v>
      </c>
      <c r="M1572" s="277"/>
      <c r="N1572" s="282">
        <v>2</v>
      </c>
      <c r="O1572" s="284" t="s">
        <v>4720</v>
      </c>
      <c r="P1572" s="280">
        <v>3710</v>
      </c>
      <c r="Q1572" s="287">
        <v>45604</v>
      </c>
      <c r="R1572" s="272"/>
      <c r="S1572" s="272"/>
      <c r="T1572" s="272"/>
      <c r="U1572" s="272"/>
      <c r="V1572" s="272"/>
      <c r="W1572" s="272"/>
      <c r="X1572" s="272"/>
      <c r="Y1572" s="272"/>
      <c r="Z1572" s="272"/>
      <c r="AA1572" s="272"/>
    </row>
    <row r="1573" spans="1:27">
      <c r="A1573" s="338">
        <v>11</v>
      </c>
      <c r="B1573" s="339" t="s">
        <v>6603</v>
      </c>
      <c r="C1573" s="340">
        <v>45565</v>
      </c>
      <c r="D1573" s="339" t="s">
        <v>4714</v>
      </c>
      <c r="E1573" s="268" t="s">
        <v>2893</v>
      </c>
      <c r="F1573" s="268" t="s">
        <v>4715</v>
      </c>
      <c r="G1573" s="268" t="s">
        <v>4716</v>
      </c>
      <c r="H1573" s="268" t="str">
        <f t="shared" si="8"/>
        <v>MAR LASSO DE LA VEGA ZAMORA</v>
      </c>
      <c r="I1573" s="268" t="s">
        <v>5183</v>
      </c>
      <c r="J1573" s="268" t="s">
        <v>4718</v>
      </c>
      <c r="K1573" s="268" t="s">
        <v>6794</v>
      </c>
      <c r="L1573" s="287">
        <v>45625</v>
      </c>
      <c r="M1573" s="277"/>
      <c r="N1573" s="282">
        <v>2</v>
      </c>
      <c r="O1573" s="284" t="s">
        <v>5814</v>
      </c>
      <c r="P1573" s="280">
        <v>4136.54</v>
      </c>
      <c r="Q1573" s="287">
        <v>45565</v>
      </c>
      <c r="R1573" s="272"/>
      <c r="S1573" s="272"/>
      <c r="T1573" s="272"/>
      <c r="U1573" s="272"/>
      <c r="V1573" s="272"/>
      <c r="W1573" s="272"/>
      <c r="X1573" s="272"/>
      <c r="Y1573" s="272"/>
      <c r="Z1573" s="272"/>
      <c r="AA1573" s="272"/>
    </row>
    <row r="1574" spans="1:27">
      <c r="A1574" s="338">
        <v>11</v>
      </c>
      <c r="B1574" s="339" t="s">
        <v>6603</v>
      </c>
      <c r="C1574" s="340">
        <v>45596</v>
      </c>
      <c r="D1574" s="339" t="s">
        <v>4714</v>
      </c>
      <c r="E1574" s="268" t="s">
        <v>2929</v>
      </c>
      <c r="F1574" s="268" t="s">
        <v>4715</v>
      </c>
      <c r="G1574" s="268" t="s">
        <v>4716</v>
      </c>
      <c r="H1574" s="268" t="str">
        <f t="shared" si="8"/>
        <v>GUILLERMO SAN JUAN DE LA MORETA</v>
      </c>
      <c r="I1574" s="268" t="s">
        <v>5100</v>
      </c>
      <c r="J1574" s="268" t="s">
        <v>4718</v>
      </c>
      <c r="K1574" s="268" t="s">
        <v>6795</v>
      </c>
      <c r="L1574" s="287">
        <v>45625</v>
      </c>
      <c r="M1574" s="277"/>
      <c r="N1574" s="282">
        <v>2</v>
      </c>
      <c r="O1574" s="284" t="s">
        <v>5814</v>
      </c>
      <c r="P1574" s="280">
        <v>4136.3599999999997</v>
      </c>
      <c r="Q1574" s="287">
        <v>45596</v>
      </c>
      <c r="R1574" s="272"/>
      <c r="S1574" s="272"/>
      <c r="T1574" s="272"/>
      <c r="U1574" s="272"/>
      <c r="V1574" s="272"/>
      <c r="W1574" s="272"/>
      <c r="X1574" s="272"/>
      <c r="Y1574" s="272"/>
      <c r="Z1574" s="272"/>
      <c r="AA1574" s="272"/>
    </row>
    <row r="1575" spans="1:27">
      <c r="A1575" s="338">
        <v>11</v>
      </c>
      <c r="B1575" s="339" t="s">
        <v>6603</v>
      </c>
      <c r="C1575" s="340">
        <v>45554</v>
      </c>
      <c r="D1575" s="339" t="s">
        <v>4714</v>
      </c>
      <c r="E1575" s="268" t="s">
        <v>3193</v>
      </c>
      <c r="F1575" s="268" t="s">
        <v>4715</v>
      </c>
      <c r="G1575" s="268" t="s">
        <v>4716</v>
      </c>
      <c r="H1575" s="268" t="str">
        <f t="shared" si="8"/>
        <v>NO REUERDA ORL</v>
      </c>
      <c r="I1575" s="268" t="s">
        <v>4743</v>
      </c>
      <c r="J1575" s="268" t="s">
        <v>4718</v>
      </c>
      <c r="K1575" s="268" t="s">
        <v>6796</v>
      </c>
      <c r="L1575" s="287">
        <v>45625</v>
      </c>
      <c r="M1575" s="277"/>
      <c r="N1575" s="282">
        <v>2</v>
      </c>
      <c r="O1575" s="284" t="s">
        <v>4720</v>
      </c>
      <c r="P1575" s="280">
        <v>3846.36</v>
      </c>
      <c r="Q1575" s="287">
        <v>45554</v>
      </c>
      <c r="R1575" s="272"/>
      <c r="S1575" s="272"/>
      <c r="T1575" s="272"/>
      <c r="U1575" s="272"/>
      <c r="V1575" s="272"/>
      <c r="W1575" s="272"/>
      <c r="X1575" s="272"/>
      <c r="Y1575" s="272"/>
      <c r="Z1575" s="272"/>
      <c r="AA1575" s="272"/>
    </row>
    <row r="1576" spans="1:27">
      <c r="A1576" s="338">
        <v>11</v>
      </c>
      <c r="B1576" s="339" t="s">
        <v>6603</v>
      </c>
      <c r="C1576" s="340">
        <v>45589</v>
      </c>
      <c r="D1576" s="339" t="s">
        <v>4714</v>
      </c>
      <c r="E1576" s="268" t="s">
        <v>2869</v>
      </c>
      <c r="F1576" s="268" t="s">
        <v>4715</v>
      </c>
      <c r="G1576" s="268" t="s">
        <v>4716</v>
      </c>
      <c r="H1576" s="268" t="str">
        <f t="shared" si="8"/>
        <v>LAURA GAÑÁN ALBUISECH</v>
      </c>
      <c r="I1576" s="268" t="s">
        <v>6046</v>
      </c>
      <c r="J1576" s="268" t="s">
        <v>4736</v>
      </c>
      <c r="K1576" s="268" t="s">
        <v>6797</v>
      </c>
      <c r="L1576" s="287">
        <v>45625</v>
      </c>
      <c r="M1576" s="277"/>
      <c r="N1576" s="282">
        <v>2</v>
      </c>
      <c r="O1576" s="284" t="s">
        <v>5814</v>
      </c>
      <c r="P1576" s="280">
        <v>3800</v>
      </c>
      <c r="Q1576" s="287">
        <v>45589</v>
      </c>
      <c r="R1576" s="272"/>
      <c r="S1576" s="272"/>
      <c r="T1576" s="272"/>
      <c r="U1576" s="272"/>
      <c r="V1576" s="272"/>
      <c r="W1576" s="272"/>
      <c r="X1576" s="272"/>
      <c r="Y1576" s="272"/>
      <c r="Z1576" s="272"/>
      <c r="AA1576" s="272"/>
    </row>
    <row r="1577" spans="1:27">
      <c r="A1577" s="338">
        <v>11</v>
      </c>
      <c r="B1577" s="339" t="s">
        <v>6603</v>
      </c>
      <c r="C1577" s="340">
        <v>45567</v>
      </c>
      <c r="D1577" s="339" t="s">
        <v>4714</v>
      </c>
      <c r="E1577" s="268" t="s">
        <v>2873</v>
      </c>
      <c r="F1577" s="268" t="s">
        <v>4715</v>
      </c>
      <c r="G1577" s="268" t="s">
        <v>4716</v>
      </c>
      <c r="H1577" s="268" t="str">
        <f t="shared" si="8"/>
        <v>OREANA CAROLINA CAMACARO GONZÁLEZ</v>
      </c>
      <c r="I1577" s="268" t="s">
        <v>6798</v>
      </c>
      <c r="J1577" s="268" t="s">
        <v>4736</v>
      </c>
      <c r="K1577" s="268" t="s">
        <v>6799</v>
      </c>
      <c r="L1577" s="287">
        <v>45625</v>
      </c>
      <c r="M1577" s="277"/>
      <c r="N1577" s="282">
        <v>2</v>
      </c>
      <c r="O1577" s="284" t="s">
        <v>5814</v>
      </c>
      <c r="P1577" s="280">
        <v>4000</v>
      </c>
      <c r="Q1577" s="287">
        <v>45567</v>
      </c>
      <c r="R1577" s="272"/>
      <c r="S1577" s="272"/>
      <c r="T1577" s="272"/>
      <c r="U1577" s="272"/>
      <c r="V1577" s="272"/>
      <c r="W1577" s="272"/>
      <c r="X1577" s="272"/>
      <c r="Y1577" s="272"/>
      <c r="Z1577" s="272"/>
      <c r="AA1577" s="272"/>
    </row>
    <row r="1578" spans="1:27">
      <c r="A1578" s="338">
        <v>11</v>
      </c>
      <c r="B1578" s="339" t="s">
        <v>6603</v>
      </c>
      <c r="C1578" s="340">
        <v>45609</v>
      </c>
      <c r="D1578" s="339" t="s">
        <v>4714</v>
      </c>
      <c r="E1578" s="268" t="s">
        <v>2873</v>
      </c>
      <c r="F1578" s="268" t="s">
        <v>4715</v>
      </c>
      <c r="G1578" s="268" t="s">
        <v>4716</v>
      </c>
      <c r="H1578" s="268" t="str">
        <f t="shared" si="8"/>
        <v>SANTIAGO MORENO PAREDES</v>
      </c>
      <c r="I1578" s="268" t="s">
        <v>5242</v>
      </c>
      <c r="J1578" s="268" t="s">
        <v>4736</v>
      </c>
      <c r="K1578" s="268" t="s">
        <v>6800</v>
      </c>
      <c r="L1578" s="287">
        <v>45625</v>
      </c>
      <c r="M1578" s="277"/>
      <c r="N1578" s="282">
        <v>2</v>
      </c>
      <c r="O1578" s="284" t="s">
        <v>5814</v>
      </c>
      <c r="P1578" s="280">
        <v>4000</v>
      </c>
      <c r="Q1578" s="287">
        <v>45609</v>
      </c>
      <c r="R1578" s="272"/>
      <c r="S1578" s="272"/>
      <c r="T1578" s="272"/>
      <c r="U1578" s="272"/>
      <c r="V1578" s="272"/>
      <c r="W1578" s="272"/>
      <c r="X1578" s="272"/>
      <c r="Y1578" s="272"/>
      <c r="Z1578" s="272"/>
      <c r="AA1578" s="272"/>
    </row>
    <row r="1579" spans="1:27">
      <c r="A1579" s="338">
        <v>11</v>
      </c>
      <c r="B1579" s="339" t="s">
        <v>6603</v>
      </c>
      <c r="C1579" s="340">
        <v>45576</v>
      </c>
      <c r="D1579" s="339" t="s">
        <v>4714</v>
      </c>
      <c r="E1579" s="268" t="s">
        <v>3011</v>
      </c>
      <c r="F1579" s="268" t="s">
        <v>4715</v>
      </c>
      <c r="G1579" s="268" t="s">
        <v>4716</v>
      </c>
      <c r="H1579" s="268" t="str">
        <f t="shared" si="8"/>
        <v>MIGUEL ALBERTO RODRÍGUEZ PÉREZ</v>
      </c>
      <c r="I1579" s="268" t="s">
        <v>4783</v>
      </c>
      <c r="J1579" s="268" t="s">
        <v>4729</v>
      </c>
      <c r="K1579" s="268" t="s">
        <v>6801</v>
      </c>
      <c r="L1579" s="287">
        <v>45625</v>
      </c>
      <c r="M1579" s="277"/>
      <c r="N1579" s="282">
        <v>2</v>
      </c>
      <c r="O1579" s="284" t="s">
        <v>5814</v>
      </c>
      <c r="P1579" s="280">
        <v>3800</v>
      </c>
      <c r="Q1579" s="287">
        <v>45576</v>
      </c>
      <c r="R1579" s="272"/>
      <c r="S1579" s="272"/>
      <c r="T1579" s="272"/>
      <c r="U1579" s="272"/>
      <c r="V1579" s="272"/>
      <c r="W1579" s="272"/>
      <c r="X1579" s="272"/>
      <c r="Y1579" s="272"/>
      <c r="Z1579" s="272"/>
      <c r="AA1579" s="272"/>
    </row>
    <row r="1580" spans="1:27">
      <c r="A1580" s="338">
        <v>11</v>
      </c>
      <c r="B1580" s="339" t="s">
        <v>6603</v>
      </c>
      <c r="C1580" s="340">
        <v>45593</v>
      </c>
      <c r="D1580" s="339" t="s">
        <v>4714</v>
      </c>
      <c r="E1580" s="268" t="s">
        <v>4318</v>
      </c>
      <c r="F1580" s="268" t="s">
        <v>4715</v>
      </c>
      <c r="G1580" s="268" t="s">
        <v>4716</v>
      </c>
      <c r="H1580" s="268" t="str">
        <f t="shared" si="8"/>
        <v>MARÍA GARROTE GARROTE</v>
      </c>
      <c r="I1580" s="268" t="s">
        <v>4721</v>
      </c>
      <c r="J1580" s="268" t="s">
        <v>4718</v>
      </c>
      <c r="K1580" s="268" t="s">
        <v>6802</v>
      </c>
      <c r="L1580" s="287">
        <v>45625</v>
      </c>
      <c r="M1580" s="277"/>
      <c r="N1580" s="282">
        <v>1</v>
      </c>
      <c r="O1580" s="284" t="s">
        <v>4723</v>
      </c>
      <c r="P1580" s="280">
        <v>1629.09</v>
      </c>
      <c r="Q1580" s="287">
        <v>45593</v>
      </c>
      <c r="R1580" s="272"/>
      <c r="S1580" s="272"/>
      <c r="T1580" s="272"/>
      <c r="U1580" s="272"/>
      <c r="V1580" s="272"/>
      <c r="W1580" s="272"/>
      <c r="X1580" s="272"/>
      <c r="Y1580" s="272"/>
      <c r="Z1580" s="272"/>
      <c r="AA1580" s="272"/>
    </row>
    <row r="1581" spans="1:27">
      <c r="A1581" s="338">
        <v>11</v>
      </c>
      <c r="B1581" s="339" t="s">
        <v>6603</v>
      </c>
      <c r="C1581" s="340">
        <v>45601</v>
      </c>
      <c r="D1581" s="339" t="s">
        <v>4714</v>
      </c>
      <c r="E1581" s="268" t="s">
        <v>2921</v>
      </c>
      <c r="F1581" s="268" t="s">
        <v>4715</v>
      </c>
      <c r="G1581" s="268" t="s">
        <v>4716</v>
      </c>
      <c r="H1581" s="268" t="str">
        <f t="shared" si="8"/>
        <v>ÁLVARO PÉREZ LLINARES</v>
      </c>
      <c r="I1581" s="268" t="s">
        <v>5488</v>
      </c>
      <c r="J1581" s="268" t="s">
        <v>4910</v>
      </c>
      <c r="K1581" s="268" t="s">
        <v>6803</v>
      </c>
      <c r="L1581" s="287">
        <v>45625</v>
      </c>
      <c r="M1581" s="277"/>
      <c r="N1581" s="282">
        <v>2</v>
      </c>
      <c r="O1581" s="284" t="s">
        <v>4723</v>
      </c>
      <c r="P1581" s="280">
        <v>2743.77</v>
      </c>
      <c r="Q1581" s="287">
        <v>45601</v>
      </c>
      <c r="R1581" s="272"/>
      <c r="S1581" s="272"/>
      <c r="T1581" s="272"/>
      <c r="U1581" s="272"/>
      <c r="V1581" s="272"/>
      <c r="W1581" s="272"/>
      <c r="X1581" s="272"/>
      <c r="Y1581" s="272"/>
      <c r="Z1581" s="272"/>
      <c r="AA1581" s="272"/>
    </row>
    <row r="1582" spans="1:27">
      <c r="A1582" s="338">
        <v>11</v>
      </c>
      <c r="B1582" s="339" t="s">
        <v>6603</v>
      </c>
      <c r="C1582" s="340">
        <v>45523</v>
      </c>
      <c r="D1582" s="339" t="s">
        <v>4714</v>
      </c>
      <c r="E1582" s="268" t="s">
        <v>4749</v>
      </c>
      <c r="F1582" s="268" t="s">
        <v>4715</v>
      </c>
      <c r="G1582" s="268" t="s">
        <v>4716</v>
      </c>
      <c r="H1582" s="268" t="str">
        <f t="shared" si="8"/>
        <v>XENIA MOTA ROJAS</v>
      </c>
      <c r="I1582" s="268" t="s">
        <v>5351</v>
      </c>
      <c r="J1582" s="268" t="s">
        <v>4747</v>
      </c>
      <c r="K1582" s="268" t="s">
        <v>6804</v>
      </c>
      <c r="L1582" s="287">
        <v>45625</v>
      </c>
      <c r="M1582" s="277"/>
      <c r="N1582" s="282">
        <v>2</v>
      </c>
      <c r="O1582" s="284" t="s">
        <v>4723</v>
      </c>
      <c r="P1582" s="280">
        <v>3181.82</v>
      </c>
      <c r="Q1582" s="287">
        <v>45523</v>
      </c>
      <c r="R1582" s="272"/>
      <c r="S1582" s="272"/>
      <c r="T1582" s="272"/>
      <c r="U1582" s="272"/>
      <c r="V1582" s="272"/>
      <c r="W1582" s="272"/>
      <c r="X1582" s="272"/>
      <c r="Y1582" s="272"/>
      <c r="Z1582" s="272"/>
      <c r="AA1582" s="272"/>
    </row>
    <row r="1583" spans="1:27">
      <c r="A1583" s="338">
        <v>11</v>
      </c>
      <c r="B1583" s="339" t="s">
        <v>6603</v>
      </c>
      <c r="C1583" s="340">
        <v>45532</v>
      </c>
      <c r="D1583" s="339" t="s">
        <v>4714</v>
      </c>
      <c r="E1583" s="268" t="s">
        <v>2863</v>
      </c>
      <c r="F1583" s="268" t="s">
        <v>4715</v>
      </c>
      <c r="G1583" s="268" t="s">
        <v>4716</v>
      </c>
      <c r="H1583" s="268" t="str">
        <f t="shared" si="8"/>
        <v>MÁXIMO RAFAEL GARCÍA RODRÍGUEZ</v>
      </c>
      <c r="I1583" s="268" t="s">
        <v>6805</v>
      </c>
      <c r="J1583" s="268" t="s">
        <v>4736</v>
      </c>
      <c r="K1583" s="268" t="s">
        <v>6806</v>
      </c>
      <c r="L1583" s="287">
        <v>45625</v>
      </c>
      <c r="M1583" s="277"/>
      <c r="N1583" s="282">
        <v>2</v>
      </c>
      <c r="O1583" s="284" t="s">
        <v>4723</v>
      </c>
      <c r="P1583" s="280">
        <v>2888.18</v>
      </c>
      <c r="Q1583" s="287">
        <v>45532</v>
      </c>
      <c r="R1583" s="272"/>
      <c r="S1583" s="272"/>
      <c r="T1583" s="272"/>
      <c r="U1583" s="272"/>
      <c r="V1583" s="272"/>
      <c r="W1583" s="272"/>
      <c r="X1583" s="272"/>
      <c r="Y1583" s="272"/>
      <c r="Z1583" s="272"/>
      <c r="AA1583" s="272"/>
    </row>
    <row r="1584" spans="1:27">
      <c r="A1584" s="338">
        <v>11</v>
      </c>
      <c r="B1584" s="339" t="s">
        <v>6603</v>
      </c>
      <c r="C1584" s="340">
        <v>45555</v>
      </c>
      <c r="D1584" s="339" t="s">
        <v>4714</v>
      </c>
      <c r="E1584" s="268" t="s">
        <v>3529</v>
      </c>
      <c r="F1584" s="268" t="s">
        <v>4715</v>
      </c>
      <c r="G1584" s="268" t="s">
        <v>4716</v>
      </c>
      <c r="H1584" s="268" t="str">
        <f t="shared" si="8"/>
        <v>JESÚS CROVATO ROJAS</v>
      </c>
      <c r="I1584" s="268" t="s">
        <v>5251</v>
      </c>
      <c r="J1584" s="268" t="s">
        <v>4729</v>
      </c>
      <c r="K1584" s="268" t="s">
        <v>6807</v>
      </c>
      <c r="L1584" s="287">
        <v>45625</v>
      </c>
      <c r="M1584" s="277"/>
      <c r="N1584" s="282">
        <v>2</v>
      </c>
      <c r="O1584" s="284" t="s">
        <v>4723</v>
      </c>
      <c r="P1584" s="280">
        <v>2625.45</v>
      </c>
      <c r="Q1584" s="287">
        <v>45555</v>
      </c>
      <c r="R1584" s="272"/>
      <c r="S1584" s="272"/>
      <c r="T1584" s="272"/>
      <c r="U1584" s="272"/>
      <c r="V1584" s="272"/>
      <c r="W1584" s="272"/>
      <c r="X1584" s="272"/>
      <c r="Y1584" s="272"/>
      <c r="Z1584" s="272"/>
      <c r="AA1584" s="272"/>
    </row>
    <row r="1585" spans="1:27">
      <c r="A1585" s="338">
        <v>11</v>
      </c>
      <c r="B1585" s="339" t="s">
        <v>6603</v>
      </c>
      <c r="C1585" s="340">
        <v>45581</v>
      </c>
      <c r="D1585" s="339" t="s">
        <v>4714</v>
      </c>
      <c r="E1585" s="268" t="s">
        <v>2863</v>
      </c>
      <c r="F1585" s="268" t="s">
        <v>4715</v>
      </c>
      <c r="G1585" s="268" t="s">
        <v>4716</v>
      </c>
      <c r="H1585" s="268" t="str">
        <f t="shared" si="8"/>
        <v>ALEJANDRO HARGUINDEY ANTOLI-CANDELA</v>
      </c>
      <c r="I1585" s="268" t="s">
        <v>6719</v>
      </c>
      <c r="J1585" s="268" t="s">
        <v>4736</v>
      </c>
      <c r="K1585" s="268" t="s">
        <v>6808</v>
      </c>
      <c r="L1585" s="287">
        <v>45625</v>
      </c>
      <c r="M1585" s="277"/>
      <c r="N1585" s="282">
        <v>2</v>
      </c>
      <c r="O1585" s="284" t="s">
        <v>4740</v>
      </c>
      <c r="P1585" s="280">
        <v>4000</v>
      </c>
      <c r="Q1585" s="287">
        <v>45581</v>
      </c>
      <c r="R1585" s="272"/>
      <c r="S1585" s="272"/>
      <c r="T1585" s="272"/>
      <c r="U1585" s="272"/>
      <c r="V1585" s="272"/>
      <c r="W1585" s="272"/>
      <c r="X1585" s="272"/>
      <c r="Y1585" s="272"/>
      <c r="Z1585" s="272"/>
      <c r="AA1585" s="272"/>
    </row>
    <row r="1586" spans="1:27">
      <c r="A1586" s="338">
        <v>11</v>
      </c>
      <c r="B1586" s="339" t="s">
        <v>6603</v>
      </c>
      <c r="C1586" s="340">
        <v>45609</v>
      </c>
      <c r="D1586" s="339" t="s">
        <v>4714</v>
      </c>
      <c r="E1586" s="268" t="s">
        <v>4788</v>
      </c>
      <c r="F1586" s="268" t="s">
        <v>4715</v>
      </c>
      <c r="G1586" s="268" t="s">
        <v>4716</v>
      </c>
      <c r="H1586" s="268" t="str">
        <f t="shared" si="8"/>
        <v>ISABEL VAAMONDE SANCHEZ ANDRADE</v>
      </c>
      <c r="I1586" s="268" t="s">
        <v>5088</v>
      </c>
      <c r="J1586" s="268" t="s">
        <v>4790</v>
      </c>
      <c r="K1586" s="268" t="s">
        <v>6809</v>
      </c>
      <c r="L1586" s="287">
        <v>45625</v>
      </c>
      <c r="M1586" s="277"/>
      <c r="N1586" s="282">
        <v>2</v>
      </c>
      <c r="O1586" s="284" t="s">
        <v>4792</v>
      </c>
      <c r="P1586" s="280">
        <v>2545.4499999999998</v>
      </c>
      <c r="Q1586" s="287">
        <v>45609</v>
      </c>
      <c r="R1586" s="272"/>
      <c r="S1586" s="272"/>
      <c r="T1586" s="272"/>
      <c r="U1586" s="272"/>
      <c r="V1586" s="272"/>
      <c r="W1586" s="272"/>
      <c r="X1586" s="272"/>
      <c r="Y1586" s="272"/>
      <c r="Z1586" s="272"/>
      <c r="AA1586" s="272"/>
    </row>
    <row r="1587" spans="1:27">
      <c r="A1587" s="338">
        <v>11</v>
      </c>
      <c r="B1587" s="339" t="s">
        <v>6603</v>
      </c>
      <c r="C1587" s="340">
        <v>45611</v>
      </c>
      <c r="D1587" s="339" t="s">
        <v>4714</v>
      </c>
      <c r="E1587" s="268" t="s">
        <v>6612</v>
      </c>
      <c r="F1587" s="268" t="s">
        <v>4715</v>
      </c>
      <c r="G1587" s="268" t="s">
        <v>4716</v>
      </c>
      <c r="H1587" s="268" t="str">
        <f t="shared" si="8"/>
        <v>RAQUEL SOLIS VAZQUEZ</v>
      </c>
      <c r="I1587" s="268" t="s">
        <v>5850</v>
      </c>
      <c r="J1587" s="268" t="s">
        <v>4729</v>
      </c>
      <c r="K1587" s="268" t="s">
        <v>6810</v>
      </c>
      <c r="L1587" s="287">
        <v>45625</v>
      </c>
      <c r="M1587" s="277"/>
      <c r="N1587" s="282">
        <v>2</v>
      </c>
      <c r="O1587" s="284" t="s">
        <v>4723</v>
      </c>
      <c r="P1587" s="280">
        <v>3045.45</v>
      </c>
      <c r="Q1587" s="287">
        <v>45611</v>
      </c>
      <c r="R1587" s="272"/>
      <c r="S1587" s="272"/>
      <c r="T1587" s="272"/>
      <c r="U1587" s="272"/>
      <c r="V1587" s="272"/>
      <c r="W1587" s="272"/>
      <c r="X1587" s="272"/>
      <c r="Y1587" s="272"/>
      <c r="Z1587" s="272"/>
      <c r="AA1587" s="272"/>
    </row>
    <row r="1588" spans="1:27">
      <c r="A1588" s="338">
        <v>11</v>
      </c>
      <c r="B1588" s="339" t="s">
        <v>6603</v>
      </c>
      <c r="C1588" s="342"/>
      <c r="D1588" s="339" t="s">
        <v>4714</v>
      </c>
      <c r="E1588" s="268" t="s">
        <v>4194</v>
      </c>
      <c r="F1588" s="268" t="s">
        <v>4724</v>
      </c>
      <c r="G1588" s="268" t="s">
        <v>4725</v>
      </c>
      <c r="H1588" s="268" t="str">
        <f t="shared" si="8"/>
        <v>FRANCISCO PASTOR BEVIÁ</v>
      </c>
      <c r="I1588" s="268" t="s">
        <v>4738</v>
      </c>
      <c r="J1588" s="268" t="s">
        <v>4736</v>
      </c>
      <c r="K1588" s="268" t="s">
        <v>6811</v>
      </c>
      <c r="L1588" s="287">
        <v>45625</v>
      </c>
      <c r="M1588" s="277"/>
      <c r="N1588" s="282">
        <v>2</v>
      </c>
      <c r="O1588" s="284" t="s">
        <v>4787</v>
      </c>
      <c r="P1588" s="280">
        <v>4400</v>
      </c>
      <c r="Q1588" s="343"/>
      <c r="R1588" s="272"/>
      <c r="S1588" s="272"/>
      <c r="T1588" s="272"/>
      <c r="U1588" s="272"/>
      <c r="V1588" s="272"/>
      <c r="W1588" s="272"/>
      <c r="X1588" s="272"/>
      <c r="Y1588" s="272"/>
      <c r="Z1588" s="272"/>
      <c r="AA1588" s="272"/>
    </row>
    <row r="1589" spans="1:27">
      <c r="A1589" s="282">
        <v>12</v>
      </c>
      <c r="B1589" s="279" t="s">
        <v>6812</v>
      </c>
      <c r="C1589" s="287">
        <v>45629</v>
      </c>
      <c r="D1589" s="279" t="s">
        <v>4714</v>
      </c>
      <c r="E1589" s="268" t="s">
        <v>2863</v>
      </c>
      <c r="F1589" s="284" t="s">
        <v>4715</v>
      </c>
      <c r="G1589" s="284" t="s">
        <v>4716</v>
      </c>
      <c r="H1589" s="268" t="str">
        <f t="shared" si="8"/>
        <v>JAVIER GARCÍA-DUEÑAS GONZÁLEZ</v>
      </c>
      <c r="I1589" s="268" t="s">
        <v>5396</v>
      </c>
      <c r="J1589" s="268" t="s">
        <v>4736</v>
      </c>
      <c r="K1589" s="268" t="s">
        <v>6813</v>
      </c>
      <c r="L1589" s="287">
        <v>45649</v>
      </c>
      <c r="M1589" s="283"/>
      <c r="N1589" s="282">
        <v>2</v>
      </c>
      <c r="O1589" s="284" t="s">
        <v>4720</v>
      </c>
      <c r="P1589" s="280">
        <v>3524.55</v>
      </c>
      <c r="Q1589" s="287">
        <v>45649</v>
      </c>
      <c r="R1589" s="272"/>
      <c r="S1589" s="272"/>
      <c r="T1589" s="272"/>
      <c r="U1589" s="272"/>
      <c r="V1589" s="272"/>
      <c r="W1589" s="272"/>
      <c r="X1589" s="272"/>
      <c r="Y1589" s="272"/>
      <c r="Z1589" s="272"/>
      <c r="AA1589" s="272"/>
    </row>
    <row r="1590" spans="1:27">
      <c r="A1590" s="282">
        <v>12</v>
      </c>
      <c r="B1590" s="279" t="s">
        <v>6812</v>
      </c>
      <c r="C1590" s="287">
        <v>45616</v>
      </c>
      <c r="D1590" s="279" t="s">
        <v>4714</v>
      </c>
      <c r="E1590" s="268" t="s">
        <v>2863</v>
      </c>
      <c r="F1590" s="284" t="s">
        <v>4715</v>
      </c>
      <c r="G1590" s="284" t="s">
        <v>4716</v>
      </c>
      <c r="H1590" s="268" t="str">
        <f t="shared" si="8"/>
        <v>MARIO HIGUERA RAPA</v>
      </c>
      <c r="I1590" s="268" t="s">
        <v>5187</v>
      </c>
      <c r="J1590" s="268" t="s">
        <v>4736</v>
      </c>
      <c r="K1590" s="268" t="s">
        <v>6814</v>
      </c>
      <c r="L1590" s="287">
        <v>45649</v>
      </c>
      <c r="M1590" s="283"/>
      <c r="N1590" s="282">
        <v>2</v>
      </c>
      <c r="O1590" s="284" t="s">
        <v>5814</v>
      </c>
      <c r="P1590" s="280">
        <v>4000</v>
      </c>
      <c r="Q1590" s="287">
        <v>45649</v>
      </c>
      <c r="R1590" s="272"/>
      <c r="S1590" s="272"/>
      <c r="T1590" s="272"/>
      <c r="U1590" s="272"/>
      <c r="V1590" s="272"/>
      <c r="W1590" s="272"/>
      <c r="X1590" s="272"/>
      <c r="Y1590" s="272"/>
      <c r="Z1590" s="272"/>
      <c r="AA1590" s="272"/>
    </row>
    <row r="1591" spans="1:27">
      <c r="A1591" s="282">
        <v>12</v>
      </c>
      <c r="B1591" s="279" t="s">
        <v>6812</v>
      </c>
      <c r="C1591" s="287">
        <v>45603</v>
      </c>
      <c r="D1591" s="279" t="s">
        <v>4714</v>
      </c>
      <c r="E1591" s="268" t="s">
        <v>2863</v>
      </c>
      <c r="F1591" s="284" t="s">
        <v>4715</v>
      </c>
      <c r="G1591" s="284" t="s">
        <v>4716</v>
      </c>
      <c r="H1591" s="268" t="str">
        <f t="shared" si="8"/>
        <v>PEDRO SEGUÍ MOYA</v>
      </c>
      <c r="I1591" s="268" t="s">
        <v>5053</v>
      </c>
      <c r="J1591" s="268" t="s">
        <v>4736</v>
      </c>
      <c r="K1591" s="268" t="s">
        <v>6815</v>
      </c>
      <c r="L1591" s="287">
        <v>45639</v>
      </c>
      <c r="M1591" s="283"/>
      <c r="N1591" s="282">
        <v>2</v>
      </c>
      <c r="O1591" s="284" t="s">
        <v>5814</v>
      </c>
      <c r="P1591" s="280">
        <v>4000</v>
      </c>
      <c r="Q1591" s="287">
        <v>45639</v>
      </c>
      <c r="R1591" s="272"/>
      <c r="S1591" s="272"/>
      <c r="T1591" s="272"/>
      <c r="U1591" s="272"/>
      <c r="V1591" s="272"/>
      <c r="W1591" s="272"/>
      <c r="X1591" s="272"/>
      <c r="Y1591" s="272"/>
      <c r="Z1591" s="272"/>
      <c r="AA1591" s="272"/>
    </row>
    <row r="1592" spans="1:27">
      <c r="A1592" s="282">
        <v>12</v>
      </c>
      <c r="B1592" s="279" t="s">
        <v>6812</v>
      </c>
      <c r="C1592" s="287">
        <v>45636</v>
      </c>
      <c r="D1592" s="279" t="s">
        <v>4714</v>
      </c>
      <c r="E1592" s="268" t="s">
        <v>3187</v>
      </c>
      <c r="F1592" s="284" t="s">
        <v>4715</v>
      </c>
      <c r="G1592" s="284" t="s">
        <v>4716</v>
      </c>
      <c r="H1592" s="268" t="str">
        <f t="shared" si="8"/>
        <v>JORGE PRADA PENDOLERO</v>
      </c>
      <c r="I1592" s="268" t="s">
        <v>4975</v>
      </c>
      <c r="J1592" s="268" t="s">
        <v>4718</v>
      </c>
      <c r="K1592" s="268" t="s">
        <v>6816</v>
      </c>
      <c r="L1592" s="287">
        <v>45657</v>
      </c>
      <c r="M1592" s="283"/>
      <c r="N1592" s="282">
        <v>2</v>
      </c>
      <c r="O1592" s="284" t="s">
        <v>4720</v>
      </c>
      <c r="P1592" s="280">
        <v>3710</v>
      </c>
      <c r="Q1592" s="287">
        <v>45657</v>
      </c>
      <c r="R1592" s="272"/>
      <c r="S1592" s="272"/>
      <c r="T1592" s="272"/>
      <c r="U1592" s="272"/>
      <c r="V1592" s="272"/>
      <c r="W1592" s="272"/>
      <c r="X1592" s="272"/>
      <c r="Y1592" s="272"/>
      <c r="Z1592" s="272"/>
      <c r="AA1592" s="272"/>
    </row>
    <row r="1593" spans="1:27">
      <c r="A1593" s="282">
        <v>12</v>
      </c>
      <c r="B1593" s="279" t="s">
        <v>6812</v>
      </c>
      <c r="C1593" s="287">
        <v>45629</v>
      </c>
      <c r="D1593" s="279" t="s">
        <v>4714</v>
      </c>
      <c r="E1593" s="268" t="s">
        <v>3187</v>
      </c>
      <c r="F1593" s="284" t="s">
        <v>4715</v>
      </c>
      <c r="G1593" s="284" t="s">
        <v>4716</v>
      </c>
      <c r="H1593" s="268" t="str">
        <f t="shared" si="8"/>
        <v>OLGA ALDECOA JIMÉNEZ</v>
      </c>
      <c r="I1593" s="268" t="s">
        <v>6725</v>
      </c>
      <c r="J1593" s="268" t="s">
        <v>4822</v>
      </c>
      <c r="K1593" s="268" t="s">
        <v>6817</v>
      </c>
      <c r="L1593" s="287">
        <v>45653</v>
      </c>
      <c r="M1593" s="283"/>
      <c r="N1593" s="282">
        <v>2</v>
      </c>
      <c r="O1593" s="284" t="s">
        <v>5814</v>
      </c>
      <c r="P1593" s="280">
        <v>4000</v>
      </c>
      <c r="Q1593" s="287">
        <v>45653</v>
      </c>
      <c r="R1593" s="272"/>
      <c r="S1593" s="272"/>
      <c r="T1593" s="272"/>
      <c r="U1593" s="272"/>
      <c r="V1593" s="272"/>
      <c r="W1593" s="272"/>
      <c r="X1593" s="272"/>
      <c r="Y1593" s="272"/>
      <c r="Z1593" s="272"/>
      <c r="AA1593" s="272"/>
    </row>
    <row r="1594" spans="1:27">
      <c r="A1594" s="282">
        <v>12</v>
      </c>
      <c r="B1594" s="279" t="s">
        <v>6812</v>
      </c>
      <c r="C1594" s="287">
        <v>45608</v>
      </c>
      <c r="D1594" s="279" t="s">
        <v>4714</v>
      </c>
      <c r="E1594" s="268" t="s">
        <v>3187</v>
      </c>
      <c r="F1594" s="284" t="s">
        <v>4715</v>
      </c>
      <c r="G1594" s="284" t="s">
        <v>4716</v>
      </c>
      <c r="H1594" s="268" t="str">
        <f t="shared" si="8"/>
        <v>MARIA ÁNGELES MATE BAYON</v>
      </c>
      <c r="I1594" s="268" t="s">
        <v>6818</v>
      </c>
      <c r="J1594" s="268" t="s">
        <v>4822</v>
      </c>
      <c r="K1594" s="268" t="s">
        <v>6819</v>
      </c>
      <c r="L1594" s="287">
        <v>45653</v>
      </c>
      <c r="M1594" s="283"/>
      <c r="N1594" s="282">
        <v>1</v>
      </c>
      <c r="O1594" s="284" t="s">
        <v>4720</v>
      </c>
      <c r="P1594" s="280">
        <v>2226.36</v>
      </c>
      <c r="Q1594" s="287">
        <v>45653</v>
      </c>
      <c r="R1594" s="272"/>
      <c r="S1594" s="272"/>
      <c r="T1594" s="272"/>
      <c r="U1594" s="272"/>
      <c r="V1594" s="272"/>
      <c r="W1594" s="272"/>
      <c r="X1594" s="272"/>
      <c r="Y1594" s="272"/>
      <c r="Z1594" s="272"/>
      <c r="AA1594" s="272"/>
    </row>
    <row r="1595" spans="1:27">
      <c r="A1595" s="282">
        <v>12</v>
      </c>
      <c r="B1595" s="279" t="s">
        <v>6812</v>
      </c>
      <c r="C1595" s="287">
        <v>45622</v>
      </c>
      <c r="D1595" s="279" t="s">
        <v>4714</v>
      </c>
      <c r="E1595" s="268" t="s">
        <v>4734</v>
      </c>
      <c r="F1595" s="284" t="s">
        <v>4715</v>
      </c>
      <c r="G1595" s="284" t="s">
        <v>4716</v>
      </c>
      <c r="H1595" s="268" t="str">
        <f t="shared" si="8"/>
        <v>JOSÉ MARÍA LABORDA MARGOLLES</v>
      </c>
      <c r="I1595" s="268" t="s">
        <v>5572</v>
      </c>
      <c r="J1595" s="272" t="s">
        <v>4736</v>
      </c>
      <c r="K1595" s="268" t="s">
        <v>6820</v>
      </c>
      <c r="L1595" s="287">
        <v>45652</v>
      </c>
      <c r="M1595" s="283"/>
      <c r="N1595" s="282">
        <v>2</v>
      </c>
      <c r="O1595" s="284" t="s">
        <v>4787</v>
      </c>
      <c r="P1595" s="280">
        <v>4400</v>
      </c>
      <c r="Q1595" s="287">
        <v>45652</v>
      </c>
      <c r="R1595" s="272"/>
      <c r="S1595" s="272"/>
      <c r="T1595" s="272"/>
      <c r="U1595" s="272"/>
      <c r="V1595" s="272"/>
      <c r="W1595" s="272"/>
      <c r="X1595" s="272"/>
      <c r="Y1595" s="272"/>
      <c r="Z1595" s="272"/>
      <c r="AA1595" s="272"/>
    </row>
    <row r="1596" spans="1:27">
      <c r="A1596" s="282">
        <v>12</v>
      </c>
      <c r="B1596" s="279" t="s">
        <v>6812</v>
      </c>
      <c r="C1596" s="287">
        <v>45527</v>
      </c>
      <c r="D1596" s="279" t="s">
        <v>4714</v>
      </c>
      <c r="E1596" s="268" t="s">
        <v>4734</v>
      </c>
      <c r="F1596" s="284" t="s">
        <v>4715</v>
      </c>
      <c r="G1596" s="284" t="s">
        <v>4716</v>
      </c>
      <c r="H1596" s="268" t="str">
        <f t="shared" si="8"/>
        <v>LINO ENGUIDANOS HERNANDORENA</v>
      </c>
      <c r="I1596" s="268" t="s">
        <v>4735</v>
      </c>
      <c r="J1596" s="268" t="s">
        <v>4736</v>
      </c>
      <c r="K1596" s="268" t="s">
        <v>6821</v>
      </c>
      <c r="L1596" s="287">
        <v>45638</v>
      </c>
      <c r="M1596" s="283"/>
      <c r="N1596" s="282">
        <v>2</v>
      </c>
      <c r="O1596" s="284" t="s">
        <v>4723</v>
      </c>
      <c r="P1596" s="280">
        <v>2888.18</v>
      </c>
      <c r="Q1596" s="287">
        <v>45638</v>
      </c>
      <c r="R1596" s="272"/>
      <c r="S1596" s="272"/>
      <c r="T1596" s="272"/>
      <c r="U1596" s="272"/>
      <c r="V1596" s="272"/>
      <c r="W1596" s="272"/>
      <c r="X1596" s="272"/>
      <c r="Y1596" s="272"/>
      <c r="Z1596" s="272"/>
      <c r="AA1596" s="272"/>
    </row>
    <row r="1597" spans="1:27">
      <c r="A1597" s="282">
        <v>12</v>
      </c>
      <c r="B1597" s="279" t="s">
        <v>6812</v>
      </c>
      <c r="C1597" s="287">
        <v>45621</v>
      </c>
      <c r="D1597" s="279" t="s">
        <v>4714</v>
      </c>
      <c r="E1597" s="268" t="s">
        <v>4194</v>
      </c>
      <c r="F1597" s="284" t="s">
        <v>4715</v>
      </c>
      <c r="G1597" s="284" t="s">
        <v>4716</v>
      </c>
      <c r="H1597" s="268" t="str">
        <f t="shared" si="8"/>
        <v>LUISA PAYÁ PÉREZ</v>
      </c>
      <c r="I1597" s="268" t="s">
        <v>6822</v>
      </c>
      <c r="J1597" s="268" t="s">
        <v>4736</v>
      </c>
      <c r="K1597" s="268" t="s">
        <v>6823</v>
      </c>
      <c r="L1597" s="287">
        <v>45656</v>
      </c>
      <c r="M1597" s="283"/>
      <c r="N1597" s="282">
        <v>2</v>
      </c>
      <c r="O1597" s="284" t="s">
        <v>4723</v>
      </c>
      <c r="P1597" s="280">
        <v>2890.91</v>
      </c>
      <c r="Q1597" s="287">
        <v>45656</v>
      </c>
      <c r="R1597" s="272"/>
      <c r="S1597" s="272"/>
      <c r="T1597" s="272"/>
      <c r="U1597" s="272"/>
      <c r="V1597" s="272"/>
      <c r="W1597" s="272"/>
      <c r="X1597" s="272"/>
      <c r="Y1597" s="272"/>
      <c r="Z1597" s="272"/>
      <c r="AA1597" s="272"/>
    </row>
    <row r="1598" spans="1:27">
      <c r="A1598" s="282">
        <v>12</v>
      </c>
      <c r="B1598" s="279" t="s">
        <v>6812</v>
      </c>
      <c r="C1598" s="287">
        <v>45622</v>
      </c>
      <c r="D1598" s="279" t="s">
        <v>4714</v>
      </c>
      <c r="E1598" s="268" t="s">
        <v>4194</v>
      </c>
      <c r="F1598" s="284" t="s">
        <v>4715</v>
      </c>
      <c r="G1598" s="284" t="s">
        <v>6336</v>
      </c>
      <c r="H1598" s="268" t="str">
        <f t="shared" si="8"/>
        <v>FRANCISCO PASTOR BEVIÁ</v>
      </c>
      <c r="I1598" s="268" t="s">
        <v>4738</v>
      </c>
      <c r="J1598" s="268" t="s">
        <v>4736</v>
      </c>
      <c r="K1598" s="268" t="s">
        <v>6824</v>
      </c>
      <c r="L1598" s="287">
        <v>45650</v>
      </c>
      <c r="M1598" s="283"/>
      <c r="N1598" s="282">
        <v>2</v>
      </c>
      <c r="O1598" s="284" t="s">
        <v>4787</v>
      </c>
      <c r="P1598" s="280">
        <v>4400</v>
      </c>
      <c r="Q1598" s="287">
        <v>45650</v>
      </c>
      <c r="R1598" s="272"/>
      <c r="S1598" s="272"/>
      <c r="T1598" s="272"/>
      <c r="U1598" s="272"/>
      <c r="V1598" s="272"/>
      <c r="W1598" s="272"/>
      <c r="X1598" s="272"/>
      <c r="Y1598" s="272"/>
      <c r="Z1598" s="272"/>
      <c r="AA1598" s="272"/>
    </row>
    <row r="1599" spans="1:27">
      <c r="A1599" s="282">
        <v>12</v>
      </c>
      <c r="B1599" s="279" t="s">
        <v>6812</v>
      </c>
      <c r="C1599" s="287">
        <v>45608</v>
      </c>
      <c r="D1599" s="279" t="s">
        <v>4714</v>
      </c>
      <c r="E1599" s="268" t="s">
        <v>4194</v>
      </c>
      <c r="F1599" s="284" t="s">
        <v>4715</v>
      </c>
      <c r="G1599" s="284" t="s">
        <v>4716</v>
      </c>
      <c r="H1599" s="268" t="str">
        <f t="shared" si="8"/>
        <v>FÉLIX RUÍZ DE LA CUESTA JUSTE</v>
      </c>
      <c r="I1599" s="268" t="s">
        <v>4930</v>
      </c>
      <c r="J1599" s="268" t="s">
        <v>4736</v>
      </c>
      <c r="K1599" s="268" t="s">
        <v>6825</v>
      </c>
      <c r="L1599" s="287">
        <v>45649</v>
      </c>
      <c r="M1599" s="283"/>
      <c r="N1599" s="282">
        <v>1</v>
      </c>
      <c r="O1599" s="284" t="s">
        <v>4787</v>
      </c>
      <c r="P1599" s="280">
        <v>2613.64</v>
      </c>
      <c r="Q1599" s="287">
        <v>45649</v>
      </c>
      <c r="R1599" s="272"/>
      <c r="S1599" s="272"/>
      <c r="T1599" s="272"/>
      <c r="U1599" s="272"/>
      <c r="V1599" s="272"/>
      <c r="W1599" s="272"/>
      <c r="X1599" s="272"/>
      <c r="Y1599" s="272"/>
      <c r="Z1599" s="272"/>
      <c r="AA1599" s="272"/>
    </row>
    <row r="1600" spans="1:27">
      <c r="A1600" s="282">
        <v>12</v>
      </c>
      <c r="B1600" s="279" t="s">
        <v>6812</v>
      </c>
      <c r="C1600" s="287">
        <v>45621</v>
      </c>
      <c r="D1600" s="279" t="s">
        <v>4714</v>
      </c>
      <c r="E1600" s="268" t="s">
        <v>4194</v>
      </c>
      <c r="F1600" s="284" t="s">
        <v>4715</v>
      </c>
      <c r="G1600" s="284" t="s">
        <v>4716</v>
      </c>
      <c r="H1600" s="268" t="str">
        <f t="shared" si="8"/>
        <v>NO REUERDA ORL</v>
      </c>
      <c r="I1600" s="268" t="s">
        <v>4743</v>
      </c>
      <c r="J1600" s="268" t="s">
        <v>4736</v>
      </c>
      <c r="K1600" s="268" t="s">
        <v>6826</v>
      </c>
      <c r="L1600" s="287">
        <v>45649</v>
      </c>
      <c r="M1600" s="283"/>
      <c r="N1600" s="282">
        <v>2</v>
      </c>
      <c r="O1600" s="284" t="s">
        <v>4720</v>
      </c>
      <c r="P1600" s="280">
        <v>3710</v>
      </c>
      <c r="Q1600" s="287">
        <v>45649</v>
      </c>
      <c r="R1600" s="272"/>
      <c r="S1600" s="272"/>
      <c r="T1600" s="272"/>
      <c r="U1600" s="272"/>
      <c r="V1600" s="272"/>
      <c r="W1600" s="272"/>
      <c r="X1600" s="272"/>
      <c r="Y1600" s="272"/>
      <c r="Z1600" s="272"/>
      <c r="AA1600" s="272"/>
    </row>
    <row r="1601" spans="1:27">
      <c r="A1601" s="282">
        <v>12</v>
      </c>
      <c r="B1601" s="279" t="s">
        <v>6812</v>
      </c>
      <c r="C1601" s="287">
        <v>45609</v>
      </c>
      <c r="D1601" s="279" t="s">
        <v>4714</v>
      </c>
      <c r="E1601" s="268" t="s">
        <v>4194</v>
      </c>
      <c r="F1601" s="284" t="s">
        <v>4715</v>
      </c>
      <c r="G1601" s="284" t="s">
        <v>4716</v>
      </c>
      <c r="H1601" s="268" t="str">
        <f t="shared" si="8"/>
        <v>GUILLERMO SEVERA FERRANDIZ</v>
      </c>
      <c r="I1601" s="268" t="s">
        <v>6827</v>
      </c>
      <c r="J1601" s="268" t="s">
        <v>4736</v>
      </c>
      <c r="K1601" s="268" t="s">
        <v>6828</v>
      </c>
      <c r="L1601" s="287">
        <v>45649</v>
      </c>
      <c r="M1601" s="283"/>
      <c r="N1601" s="282">
        <v>2</v>
      </c>
      <c r="O1601" s="284" t="s">
        <v>4787</v>
      </c>
      <c r="P1601" s="280">
        <v>4180</v>
      </c>
      <c r="Q1601" s="287">
        <v>45649</v>
      </c>
      <c r="R1601" s="272"/>
      <c r="S1601" s="272"/>
      <c r="T1601" s="272"/>
      <c r="U1601" s="272"/>
      <c r="V1601" s="272"/>
      <c r="W1601" s="272"/>
      <c r="X1601" s="272"/>
      <c r="Y1601" s="272"/>
      <c r="Z1601" s="272"/>
      <c r="AA1601" s="272"/>
    </row>
    <row r="1602" spans="1:27">
      <c r="A1602" s="282">
        <v>12</v>
      </c>
      <c r="B1602" s="279" t="s">
        <v>6812</v>
      </c>
      <c r="C1602" s="287">
        <v>45608</v>
      </c>
      <c r="D1602" s="279" t="s">
        <v>4714</v>
      </c>
      <c r="E1602" s="268" t="s">
        <v>4194</v>
      </c>
      <c r="F1602" s="284" t="s">
        <v>4715</v>
      </c>
      <c r="G1602" s="284" t="s">
        <v>4716</v>
      </c>
      <c r="H1602" s="268" t="str">
        <f t="shared" si="8"/>
        <v>FRANCISCO PASTOR BEVIÁ</v>
      </c>
      <c r="I1602" s="268" t="s">
        <v>4738</v>
      </c>
      <c r="J1602" s="268" t="s">
        <v>4736</v>
      </c>
      <c r="K1602" s="268" t="s">
        <v>6829</v>
      </c>
      <c r="L1602" s="287">
        <v>45643</v>
      </c>
      <c r="M1602" s="283"/>
      <c r="N1602" s="282">
        <v>2</v>
      </c>
      <c r="O1602" s="284" t="s">
        <v>5814</v>
      </c>
      <c r="P1602" s="280">
        <v>4000</v>
      </c>
      <c r="Q1602" s="287">
        <v>45643</v>
      </c>
      <c r="R1602" s="272"/>
      <c r="S1602" s="272"/>
      <c r="T1602" s="272"/>
      <c r="U1602" s="272"/>
      <c r="V1602" s="272"/>
      <c r="W1602" s="272"/>
      <c r="X1602" s="272"/>
      <c r="Y1602" s="272"/>
      <c r="Z1602" s="272"/>
      <c r="AA1602" s="272"/>
    </row>
    <row r="1603" spans="1:27">
      <c r="A1603" s="282">
        <v>12</v>
      </c>
      <c r="B1603" s="279" t="s">
        <v>6812</v>
      </c>
      <c r="C1603" s="287">
        <v>45601</v>
      </c>
      <c r="D1603" s="279" t="s">
        <v>4714</v>
      </c>
      <c r="E1603" s="268" t="s">
        <v>4194</v>
      </c>
      <c r="F1603" s="284" t="s">
        <v>4715</v>
      </c>
      <c r="G1603" s="284" t="s">
        <v>4716</v>
      </c>
      <c r="H1603" s="268" t="str">
        <f t="shared" si="8"/>
        <v>OSCAR ALEMÁN LÓPEZ</v>
      </c>
      <c r="I1603" s="268" t="s">
        <v>4771</v>
      </c>
      <c r="J1603" s="268" t="s">
        <v>4736</v>
      </c>
      <c r="K1603" s="268" t="s">
        <v>6830</v>
      </c>
      <c r="L1603" s="287">
        <v>45639</v>
      </c>
      <c r="M1603" s="283"/>
      <c r="N1603" s="282">
        <v>2</v>
      </c>
      <c r="O1603" s="284" t="s">
        <v>4723</v>
      </c>
      <c r="P1603" s="280">
        <v>2890.91</v>
      </c>
      <c r="Q1603" s="287">
        <v>45639</v>
      </c>
      <c r="R1603" s="272"/>
      <c r="S1603" s="272"/>
      <c r="T1603" s="272"/>
      <c r="U1603" s="272"/>
      <c r="V1603" s="272"/>
      <c r="W1603" s="272"/>
      <c r="X1603" s="272"/>
      <c r="Y1603" s="272"/>
      <c r="Z1603" s="272"/>
      <c r="AA1603" s="272"/>
    </row>
    <row r="1604" spans="1:27">
      <c r="A1604" s="282">
        <v>12</v>
      </c>
      <c r="B1604" s="279" t="s">
        <v>6812</v>
      </c>
      <c r="C1604" s="287">
        <v>45596</v>
      </c>
      <c r="D1604" s="279" t="s">
        <v>4714</v>
      </c>
      <c r="E1604" s="268" t="s">
        <v>4194</v>
      </c>
      <c r="F1604" s="284" t="s">
        <v>4715</v>
      </c>
      <c r="G1604" s="284" t="s">
        <v>4716</v>
      </c>
      <c r="H1604" s="268" t="str">
        <f t="shared" si="8"/>
        <v>ISABEL MENACHES GUARDIOLA</v>
      </c>
      <c r="I1604" s="268" t="s">
        <v>5528</v>
      </c>
      <c r="J1604" s="268" t="s">
        <v>4736</v>
      </c>
      <c r="K1604" s="268" t="s">
        <v>6831</v>
      </c>
      <c r="L1604" s="287">
        <v>45637</v>
      </c>
      <c r="M1604" s="283"/>
      <c r="N1604" s="282">
        <v>1</v>
      </c>
      <c r="O1604" s="284" t="s">
        <v>4787</v>
      </c>
      <c r="P1604" s="280">
        <v>2300</v>
      </c>
      <c r="Q1604" s="287">
        <v>45637</v>
      </c>
      <c r="R1604" s="272"/>
      <c r="S1604" s="272"/>
      <c r="T1604" s="272"/>
      <c r="U1604" s="272"/>
      <c r="V1604" s="272"/>
      <c r="W1604" s="272"/>
      <c r="X1604" s="272"/>
      <c r="Y1604" s="272"/>
      <c r="Z1604" s="272"/>
      <c r="AA1604" s="272"/>
    </row>
    <row r="1605" spans="1:27">
      <c r="A1605" s="282">
        <v>12</v>
      </c>
      <c r="B1605" s="279" t="s">
        <v>6812</v>
      </c>
      <c r="C1605" s="287">
        <v>45568</v>
      </c>
      <c r="D1605" s="279" t="s">
        <v>4714</v>
      </c>
      <c r="E1605" s="268" t="s">
        <v>2909</v>
      </c>
      <c r="F1605" s="284" t="s">
        <v>4715</v>
      </c>
      <c r="G1605" s="284" t="s">
        <v>4716</v>
      </c>
      <c r="H1605" s="268" t="str">
        <f t="shared" si="8"/>
        <v>JESUS-MARIA GRASA PÉREZ</v>
      </c>
      <c r="I1605" s="268" t="s">
        <v>4865</v>
      </c>
      <c r="J1605" s="268" t="s">
        <v>4806</v>
      </c>
      <c r="K1605" s="268" t="s">
        <v>6832</v>
      </c>
      <c r="L1605" s="287">
        <v>45639</v>
      </c>
      <c r="M1605" s="283"/>
      <c r="N1605" s="282">
        <v>2</v>
      </c>
      <c r="O1605" s="284" t="s">
        <v>5814</v>
      </c>
      <c r="P1605" s="280">
        <v>4000</v>
      </c>
      <c r="Q1605" s="287">
        <v>45639</v>
      </c>
      <c r="R1605" s="272"/>
      <c r="S1605" s="272"/>
      <c r="T1605" s="272"/>
      <c r="U1605" s="272"/>
      <c r="V1605" s="272"/>
      <c r="W1605" s="272"/>
      <c r="X1605" s="272"/>
      <c r="Y1605" s="272"/>
      <c r="Z1605" s="272"/>
      <c r="AA1605" s="272"/>
    </row>
    <row r="1606" spans="1:27">
      <c r="A1606" s="282">
        <v>12</v>
      </c>
      <c r="B1606" s="279" t="s">
        <v>6812</v>
      </c>
      <c r="C1606" s="287">
        <v>45635</v>
      </c>
      <c r="D1606" s="279" t="s">
        <v>4714</v>
      </c>
      <c r="E1606" s="268" t="s">
        <v>3480</v>
      </c>
      <c r="F1606" s="284" t="s">
        <v>4715</v>
      </c>
      <c r="G1606" s="284" t="s">
        <v>4716</v>
      </c>
      <c r="H1606" s="268" t="str">
        <f t="shared" si="8"/>
        <v>LAURA DEL TORO GIL</v>
      </c>
      <c r="I1606" s="268" t="s">
        <v>5839</v>
      </c>
      <c r="J1606" s="268" t="s">
        <v>4718</v>
      </c>
      <c r="K1606" s="268" t="s">
        <v>6833</v>
      </c>
      <c r="L1606" s="287">
        <v>45653</v>
      </c>
      <c r="M1606" s="283"/>
      <c r="N1606" s="282">
        <v>2</v>
      </c>
      <c r="O1606" s="284" t="s">
        <v>5814</v>
      </c>
      <c r="P1606" s="280">
        <v>4000</v>
      </c>
      <c r="Q1606" s="287">
        <v>45653</v>
      </c>
      <c r="R1606" s="272"/>
      <c r="S1606" s="272"/>
      <c r="T1606" s="272"/>
      <c r="U1606" s="272"/>
      <c r="V1606" s="272"/>
      <c r="W1606" s="272"/>
      <c r="X1606" s="272"/>
      <c r="Y1606" s="272"/>
      <c r="Z1606" s="272"/>
      <c r="AA1606" s="272"/>
    </row>
    <row r="1607" spans="1:27">
      <c r="A1607" s="282">
        <v>12</v>
      </c>
      <c r="B1607" s="279" t="s">
        <v>6812</v>
      </c>
      <c r="C1607" s="287">
        <v>45600</v>
      </c>
      <c r="D1607" s="279" t="s">
        <v>4714</v>
      </c>
      <c r="E1607" s="268" t="s">
        <v>3480</v>
      </c>
      <c r="F1607" s="284" t="s">
        <v>4715</v>
      </c>
      <c r="G1607" s="284" t="s">
        <v>4716</v>
      </c>
      <c r="H1607" s="268" t="str">
        <f t="shared" si="8"/>
        <v>ESTEFANIA MIRANDA SÁNCHEZ</v>
      </c>
      <c r="I1607" s="268" t="s">
        <v>6677</v>
      </c>
      <c r="J1607" s="268" t="s">
        <v>4718</v>
      </c>
      <c r="K1607" s="268" t="s">
        <v>6834</v>
      </c>
      <c r="L1607" s="287">
        <v>45653</v>
      </c>
      <c r="M1607" s="283"/>
      <c r="N1607" s="282">
        <v>2</v>
      </c>
      <c r="O1607" s="284" t="s">
        <v>5814</v>
      </c>
      <c r="P1607" s="280">
        <v>4000</v>
      </c>
      <c r="Q1607" s="287">
        <v>45653</v>
      </c>
      <c r="R1607" s="272"/>
      <c r="S1607" s="272"/>
      <c r="T1607" s="272"/>
      <c r="U1607" s="272"/>
      <c r="V1607" s="272"/>
      <c r="W1607" s="272"/>
      <c r="X1607" s="272"/>
      <c r="Y1607" s="272"/>
      <c r="Z1607" s="272"/>
      <c r="AA1607" s="272"/>
    </row>
    <row r="1608" spans="1:27">
      <c r="A1608" s="282">
        <v>12</v>
      </c>
      <c r="B1608" s="279" t="s">
        <v>6812</v>
      </c>
      <c r="C1608" s="287">
        <v>45637</v>
      </c>
      <c r="D1608" s="279" t="s">
        <v>4714</v>
      </c>
      <c r="E1608" s="268" t="s">
        <v>3480</v>
      </c>
      <c r="F1608" s="284" t="s">
        <v>4715</v>
      </c>
      <c r="G1608" s="284" t="s">
        <v>4716</v>
      </c>
      <c r="H1608" s="268" t="str">
        <f t="shared" si="8"/>
        <v>PATRICIA GARCÍA VICENTE</v>
      </c>
      <c r="I1608" s="268" t="s">
        <v>6835</v>
      </c>
      <c r="J1608" s="268" t="s">
        <v>4718</v>
      </c>
      <c r="K1608" s="268" t="s">
        <v>6836</v>
      </c>
      <c r="L1608" s="287">
        <v>45653</v>
      </c>
      <c r="M1608" s="283"/>
      <c r="N1608" s="282">
        <v>2</v>
      </c>
      <c r="O1608" s="284" t="s">
        <v>4720</v>
      </c>
      <c r="P1608" s="280">
        <v>3391.82</v>
      </c>
      <c r="Q1608" s="287">
        <v>45653</v>
      </c>
      <c r="R1608" s="272"/>
      <c r="S1608" s="272"/>
      <c r="T1608" s="272"/>
      <c r="U1608" s="272"/>
      <c r="V1608" s="272"/>
      <c r="W1608" s="272"/>
      <c r="X1608" s="272"/>
      <c r="Y1608" s="272"/>
      <c r="Z1608" s="272"/>
      <c r="AA1608" s="272"/>
    </row>
    <row r="1609" spans="1:27">
      <c r="A1609" s="282">
        <v>12</v>
      </c>
      <c r="B1609" s="279" t="s">
        <v>6812</v>
      </c>
      <c r="C1609" s="287">
        <v>45618</v>
      </c>
      <c r="D1609" s="279" t="s">
        <v>4714</v>
      </c>
      <c r="E1609" s="268" t="s">
        <v>3480</v>
      </c>
      <c r="F1609" s="284" t="s">
        <v>4715</v>
      </c>
      <c r="G1609" s="284" t="s">
        <v>4716</v>
      </c>
      <c r="H1609" s="268" t="str">
        <f t="shared" si="8"/>
        <v>ESTEFANIA MIRANDA SÁNCHEZ</v>
      </c>
      <c r="I1609" s="268" t="s">
        <v>6677</v>
      </c>
      <c r="J1609" s="272" t="s">
        <v>4718</v>
      </c>
      <c r="K1609" s="268" t="s">
        <v>6837</v>
      </c>
      <c r="L1609" s="287">
        <v>45650</v>
      </c>
      <c r="M1609" s="283"/>
      <c r="N1609" s="282">
        <v>2</v>
      </c>
      <c r="O1609" s="284" t="s">
        <v>4720</v>
      </c>
      <c r="P1609" s="280">
        <v>3710</v>
      </c>
      <c r="Q1609" s="287">
        <v>45650</v>
      </c>
      <c r="R1609" s="272"/>
      <c r="S1609" s="272"/>
      <c r="T1609" s="272"/>
      <c r="U1609" s="272"/>
      <c r="V1609" s="272"/>
      <c r="W1609" s="272"/>
      <c r="X1609" s="272"/>
      <c r="Y1609" s="272"/>
      <c r="Z1609" s="272"/>
      <c r="AA1609" s="272"/>
    </row>
    <row r="1610" spans="1:27">
      <c r="A1610" s="282">
        <v>12</v>
      </c>
      <c r="B1610" s="279" t="s">
        <v>6812</v>
      </c>
      <c r="C1610" s="287">
        <v>45629</v>
      </c>
      <c r="D1610" s="279" t="s">
        <v>4714</v>
      </c>
      <c r="E1610" s="268" t="s">
        <v>3480</v>
      </c>
      <c r="F1610" s="284" t="s">
        <v>4715</v>
      </c>
      <c r="G1610" s="284" t="s">
        <v>4716</v>
      </c>
      <c r="H1610" s="268" t="str">
        <f t="shared" si="8"/>
        <v>MARÍA TERESA HERRERA MERA</v>
      </c>
      <c r="I1610" s="268" t="s">
        <v>4838</v>
      </c>
      <c r="J1610" s="268" t="s">
        <v>4718</v>
      </c>
      <c r="K1610" s="268" t="s">
        <v>6838</v>
      </c>
      <c r="L1610" s="287">
        <v>45650</v>
      </c>
      <c r="M1610" s="283"/>
      <c r="N1610" s="282">
        <v>2</v>
      </c>
      <c r="O1610" s="284" t="s">
        <v>5814</v>
      </c>
      <c r="P1610" s="280">
        <v>4000</v>
      </c>
      <c r="Q1610" s="287">
        <v>45650</v>
      </c>
      <c r="R1610" s="272"/>
      <c r="S1610" s="272"/>
      <c r="T1610" s="272"/>
      <c r="U1610" s="272"/>
      <c r="V1610" s="272"/>
      <c r="W1610" s="272"/>
      <c r="X1610" s="272"/>
      <c r="Y1610" s="272"/>
      <c r="Z1610" s="272"/>
      <c r="AA1610" s="272"/>
    </row>
    <row r="1611" spans="1:27">
      <c r="A1611" s="282">
        <v>12</v>
      </c>
      <c r="B1611" s="279" t="s">
        <v>6812</v>
      </c>
      <c r="C1611" s="287">
        <v>45621</v>
      </c>
      <c r="D1611" s="279" t="s">
        <v>4714</v>
      </c>
      <c r="E1611" s="268" t="s">
        <v>3480</v>
      </c>
      <c r="F1611" s="284" t="s">
        <v>4715</v>
      </c>
      <c r="G1611" s="284" t="s">
        <v>4716</v>
      </c>
      <c r="H1611" s="268" t="str">
        <f t="shared" si="8"/>
        <v>VICTORIA GARCÍA PECES</v>
      </c>
      <c r="I1611" s="268" t="s">
        <v>4762</v>
      </c>
      <c r="J1611" s="268" t="s">
        <v>4718</v>
      </c>
      <c r="K1611" s="268" t="s">
        <v>6839</v>
      </c>
      <c r="L1611" s="287">
        <v>45649</v>
      </c>
      <c r="M1611" s="283"/>
      <c r="N1611" s="282">
        <v>1</v>
      </c>
      <c r="O1611" s="284" t="s">
        <v>5814</v>
      </c>
      <c r="P1611" s="280">
        <v>2400</v>
      </c>
      <c r="Q1611" s="287">
        <v>45649</v>
      </c>
      <c r="R1611" s="272"/>
      <c r="S1611" s="272"/>
      <c r="T1611" s="272"/>
      <c r="U1611" s="272"/>
      <c r="V1611" s="272"/>
      <c r="W1611" s="272"/>
      <c r="X1611" s="272"/>
      <c r="Y1611" s="272"/>
      <c r="Z1611" s="272"/>
      <c r="AA1611" s="272"/>
    </row>
    <row r="1612" spans="1:27">
      <c r="A1612" s="282">
        <v>12</v>
      </c>
      <c r="B1612" s="279" t="s">
        <v>6812</v>
      </c>
      <c r="C1612" s="287">
        <v>45354</v>
      </c>
      <c r="D1612" s="279" t="s">
        <v>6840</v>
      </c>
      <c r="E1612" s="268" t="s">
        <v>3480</v>
      </c>
      <c r="F1612" s="284" t="s">
        <v>4715</v>
      </c>
      <c r="G1612" s="284" t="s">
        <v>4716</v>
      </c>
      <c r="H1612" s="268" t="str">
        <f t="shared" si="8"/>
        <v>MARÍA TERESA HERRERA MERA</v>
      </c>
      <c r="I1612" s="268" t="s">
        <v>4838</v>
      </c>
      <c r="J1612" s="272" t="s">
        <v>4718</v>
      </c>
      <c r="K1612" s="268" t="s">
        <v>5381</v>
      </c>
      <c r="L1612" s="287">
        <v>45645</v>
      </c>
      <c r="M1612" s="283"/>
      <c r="N1612" s="282">
        <v>1</v>
      </c>
      <c r="O1612" s="284" t="s">
        <v>5814</v>
      </c>
      <c r="P1612" s="280">
        <v>1545.45</v>
      </c>
      <c r="Q1612" s="287">
        <v>45645</v>
      </c>
      <c r="R1612" s="272"/>
      <c r="S1612" s="272"/>
      <c r="T1612" s="272"/>
      <c r="U1612" s="272"/>
      <c r="V1612" s="272"/>
      <c r="W1612" s="272"/>
      <c r="X1612" s="272"/>
      <c r="Y1612" s="272"/>
      <c r="Z1612" s="272"/>
      <c r="AA1612" s="272"/>
    </row>
    <row r="1613" spans="1:27">
      <c r="A1613" s="282">
        <v>12</v>
      </c>
      <c r="B1613" s="279" t="s">
        <v>6812</v>
      </c>
      <c r="C1613" s="287">
        <v>45623</v>
      </c>
      <c r="D1613" s="279" t="s">
        <v>4714</v>
      </c>
      <c r="E1613" s="268" t="s">
        <v>2880</v>
      </c>
      <c r="F1613" s="284" t="s">
        <v>4715</v>
      </c>
      <c r="G1613" s="284" t="s">
        <v>4716</v>
      </c>
      <c r="H1613" s="268" t="str">
        <f t="shared" si="8"/>
        <v>MARÍA GARROTE GARROTE</v>
      </c>
      <c r="I1613" s="268" t="s">
        <v>4721</v>
      </c>
      <c r="J1613" s="268" t="s">
        <v>4718</v>
      </c>
      <c r="K1613" s="268" t="s">
        <v>6841</v>
      </c>
      <c r="L1613" s="287">
        <v>45657</v>
      </c>
      <c r="M1613" s="283"/>
      <c r="N1613" s="282">
        <v>2</v>
      </c>
      <c r="O1613" s="284" t="s">
        <v>5814</v>
      </c>
      <c r="P1613" s="280">
        <v>4000</v>
      </c>
      <c r="Q1613" s="287">
        <v>45657</v>
      </c>
      <c r="R1613" s="272"/>
      <c r="S1613" s="272"/>
      <c r="T1613" s="272"/>
      <c r="U1613" s="272"/>
      <c r="V1613" s="272"/>
      <c r="W1613" s="272"/>
      <c r="X1613" s="272"/>
      <c r="Y1613" s="272"/>
      <c r="Z1613" s="272"/>
      <c r="AA1613" s="272"/>
    </row>
    <row r="1614" spans="1:27">
      <c r="A1614" s="282">
        <v>12</v>
      </c>
      <c r="B1614" s="279" t="s">
        <v>6812</v>
      </c>
      <c r="C1614" s="287">
        <v>45622</v>
      </c>
      <c r="D1614" s="279" t="s">
        <v>4714</v>
      </c>
      <c r="E1614" s="268" t="s">
        <v>2880</v>
      </c>
      <c r="F1614" s="284" t="s">
        <v>4715</v>
      </c>
      <c r="G1614" s="284" t="s">
        <v>4716</v>
      </c>
      <c r="H1614" s="268" t="str">
        <f t="shared" si="8"/>
        <v>JUAN RIESTRA AYORA</v>
      </c>
      <c r="I1614" s="268" t="s">
        <v>5433</v>
      </c>
      <c r="J1614" s="268" t="s">
        <v>4718</v>
      </c>
      <c r="K1614" s="268" t="s">
        <v>6842</v>
      </c>
      <c r="L1614" s="287">
        <v>45656</v>
      </c>
      <c r="M1614" s="283"/>
      <c r="N1614" s="282">
        <v>2</v>
      </c>
      <c r="O1614" s="284" t="s">
        <v>5814</v>
      </c>
      <c r="P1614" s="280">
        <v>4000</v>
      </c>
      <c r="Q1614" s="287">
        <v>45656</v>
      </c>
      <c r="R1614" s="272"/>
      <c r="S1614" s="272"/>
      <c r="T1614" s="272"/>
      <c r="U1614" s="272"/>
      <c r="V1614" s="272"/>
      <c r="W1614" s="272"/>
      <c r="X1614" s="272"/>
      <c r="Y1614" s="272"/>
      <c r="Z1614" s="272"/>
      <c r="AA1614" s="272"/>
    </row>
    <row r="1615" spans="1:27">
      <c r="A1615" s="282">
        <v>12</v>
      </c>
      <c r="B1615" s="279" t="s">
        <v>6812</v>
      </c>
      <c r="C1615" s="287">
        <v>45615</v>
      </c>
      <c r="D1615" s="279" t="s">
        <v>4714</v>
      </c>
      <c r="E1615" s="268" t="s">
        <v>2880</v>
      </c>
      <c r="F1615" s="284" t="s">
        <v>4715</v>
      </c>
      <c r="G1615" s="284" t="s">
        <v>4716</v>
      </c>
      <c r="H1615" s="268" t="str">
        <f t="shared" si="8"/>
        <v>NO REUERDA ORL</v>
      </c>
      <c r="I1615" s="268" t="s">
        <v>4743</v>
      </c>
      <c r="J1615" s="268" t="s">
        <v>4718</v>
      </c>
      <c r="K1615" s="268" t="s">
        <v>6843</v>
      </c>
      <c r="L1615" s="287">
        <v>45652</v>
      </c>
      <c r="M1615" s="283"/>
      <c r="N1615" s="282">
        <v>2</v>
      </c>
      <c r="O1615" s="284" t="s">
        <v>5814</v>
      </c>
      <c r="P1615" s="280">
        <v>4000</v>
      </c>
      <c r="Q1615" s="287">
        <v>45652</v>
      </c>
      <c r="R1615" s="272"/>
      <c r="S1615" s="272"/>
      <c r="T1615" s="272"/>
      <c r="U1615" s="272"/>
      <c r="V1615" s="272"/>
      <c r="W1615" s="272"/>
      <c r="X1615" s="272"/>
      <c r="Y1615" s="272"/>
      <c r="Z1615" s="272"/>
      <c r="AA1615" s="272"/>
    </row>
    <row r="1616" spans="1:27">
      <c r="A1616" s="282">
        <v>12</v>
      </c>
      <c r="B1616" s="279" t="s">
        <v>6812</v>
      </c>
      <c r="C1616" s="287">
        <v>45602</v>
      </c>
      <c r="D1616" s="279" t="s">
        <v>4714</v>
      </c>
      <c r="E1616" s="268" t="s">
        <v>2880</v>
      </c>
      <c r="F1616" s="284" t="s">
        <v>4715</v>
      </c>
      <c r="G1616" s="284" t="s">
        <v>4716</v>
      </c>
      <c r="H1616" s="268" t="str">
        <f t="shared" si="8"/>
        <v>PAULA MORALES CHACCHI</v>
      </c>
      <c r="I1616" s="268" t="s">
        <v>6844</v>
      </c>
      <c r="J1616" s="268" t="s">
        <v>4718</v>
      </c>
      <c r="K1616" s="268" t="s">
        <v>6845</v>
      </c>
      <c r="L1616" s="287">
        <v>45642</v>
      </c>
      <c r="M1616" s="283"/>
      <c r="N1616" s="282">
        <v>2</v>
      </c>
      <c r="O1616" s="284" t="s">
        <v>4720</v>
      </c>
      <c r="P1616" s="280">
        <v>3710</v>
      </c>
      <c r="Q1616" s="287">
        <v>45642</v>
      </c>
      <c r="R1616" s="272"/>
      <c r="S1616" s="272"/>
      <c r="T1616" s="272"/>
      <c r="U1616" s="272"/>
      <c r="V1616" s="272"/>
      <c r="W1616" s="272"/>
      <c r="X1616" s="272"/>
      <c r="Y1616" s="272"/>
      <c r="Z1616" s="272"/>
      <c r="AA1616" s="272"/>
    </row>
    <row r="1617" spans="1:27">
      <c r="A1617" s="282">
        <v>12</v>
      </c>
      <c r="B1617" s="279" t="s">
        <v>6812</v>
      </c>
      <c r="C1617" s="287">
        <v>45623</v>
      </c>
      <c r="D1617" s="279" t="s">
        <v>4714</v>
      </c>
      <c r="E1617" s="268" t="s">
        <v>2893</v>
      </c>
      <c r="F1617" s="284" t="s">
        <v>4715</v>
      </c>
      <c r="G1617" s="284" t="s">
        <v>4716</v>
      </c>
      <c r="H1617" s="268" t="str">
        <f t="shared" si="8"/>
        <v>JULIO LÓPEZ MOYA</v>
      </c>
      <c r="I1617" s="268" t="s">
        <v>4778</v>
      </c>
      <c r="J1617" s="268" t="s">
        <v>4718</v>
      </c>
      <c r="K1617" s="268" t="s">
        <v>6846</v>
      </c>
      <c r="L1617" s="287">
        <v>45657</v>
      </c>
      <c r="M1617" s="283"/>
      <c r="N1617" s="282">
        <v>2</v>
      </c>
      <c r="O1617" s="284" t="s">
        <v>5814</v>
      </c>
      <c r="P1617" s="280">
        <v>4000</v>
      </c>
      <c r="Q1617" s="287">
        <v>45657</v>
      </c>
      <c r="R1617" s="272"/>
      <c r="S1617" s="272"/>
      <c r="T1617" s="272"/>
      <c r="U1617" s="272"/>
      <c r="V1617" s="272"/>
      <c r="W1617" s="272"/>
      <c r="X1617" s="272"/>
      <c r="Y1617" s="272"/>
      <c r="Z1617" s="272"/>
      <c r="AA1617" s="272"/>
    </row>
    <row r="1618" spans="1:27">
      <c r="A1618" s="282">
        <v>12</v>
      </c>
      <c r="B1618" s="279" t="s">
        <v>6812</v>
      </c>
      <c r="C1618" s="287">
        <v>45628</v>
      </c>
      <c r="D1618" s="279" t="s">
        <v>4714</v>
      </c>
      <c r="E1618" s="268" t="s">
        <v>2893</v>
      </c>
      <c r="F1618" s="284" t="s">
        <v>4715</v>
      </c>
      <c r="G1618" s="284" t="s">
        <v>4716</v>
      </c>
      <c r="H1618" s="268" t="str">
        <f t="shared" si="8"/>
        <v>MAR LASSO DE LA VEGA ZAMORA</v>
      </c>
      <c r="I1618" s="268" t="s">
        <v>5183</v>
      </c>
      <c r="J1618" s="268" t="s">
        <v>4718</v>
      </c>
      <c r="K1618" s="268" t="s">
        <v>6847</v>
      </c>
      <c r="L1618" s="287">
        <v>45649</v>
      </c>
      <c r="M1618" s="283"/>
      <c r="N1618" s="282">
        <v>2</v>
      </c>
      <c r="O1618" s="284" t="s">
        <v>5814</v>
      </c>
      <c r="P1618" s="280">
        <v>3800</v>
      </c>
      <c r="Q1618" s="287">
        <v>45649</v>
      </c>
      <c r="R1618" s="272"/>
      <c r="S1618" s="272"/>
      <c r="T1618" s="272"/>
      <c r="U1618" s="272"/>
      <c r="V1618" s="272"/>
      <c r="W1618" s="272"/>
      <c r="X1618" s="272"/>
      <c r="Y1618" s="272"/>
      <c r="Z1618" s="272"/>
      <c r="AA1618" s="272"/>
    </row>
    <row r="1619" spans="1:27">
      <c r="A1619" s="282">
        <v>12</v>
      </c>
      <c r="B1619" s="279" t="s">
        <v>6812</v>
      </c>
      <c r="C1619" s="287">
        <v>45617</v>
      </c>
      <c r="D1619" s="279" t="s">
        <v>4714</v>
      </c>
      <c r="E1619" s="268" t="s">
        <v>2893</v>
      </c>
      <c r="F1619" s="284" t="s">
        <v>4715</v>
      </c>
      <c r="G1619" s="284" t="s">
        <v>4716</v>
      </c>
      <c r="H1619" s="268" t="str">
        <f t="shared" si="8"/>
        <v>ANA RUIZ FORNELLS NOREÑA</v>
      </c>
      <c r="I1619" s="268" t="s">
        <v>5110</v>
      </c>
      <c r="J1619" s="268" t="s">
        <v>4718</v>
      </c>
      <c r="K1619" s="268" t="s">
        <v>6848</v>
      </c>
      <c r="L1619" s="287">
        <v>45645</v>
      </c>
      <c r="M1619" s="283"/>
      <c r="N1619" s="282">
        <v>2</v>
      </c>
      <c r="O1619" s="284" t="s">
        <v>4723</v>
      </c>
      <c r="P1619" s="280">
        <v>2872.73</v>
      </c>
      <c r="Q1619" s="287">
        <v>45645</v>
      </c>
      <c r="R1619" s="272"/>
      <c r="S1619" s="272"/>
      <c r="T1619" s="272"/>
      <c r="U1619" s="272"/>
      <c r="V1619" s="272"/>
      <c r="W1619" s="272"/>
      <c r="X1619" s="272"/>
      <c r="Y1619" s="272"/>
      <c r="Z1619" s="272"/>
      <c r="AA1619" s="272"/>
    </row>
    <row r="1620" spans="1:27">
      <c r="A1620" s="282">
        <v>12</v>
      </c>
      <c r="B1620" s="279" t="s">
        <v>6812</v>
      </c>
      <c r="C1620" s="287">
        <v>45589</v>
      </c>
      <c r="D1620" s="279" t="s">
        <v>4714</v>
      </c>
      <c r="E1620" s="268" t="s">
        <v>2893</v>
      </c>
      <c r="F1620" s="284" t="s">
        <v>4715</v>
      </c>
      <c r="G1620" s="284" t="s">
        <v>4716</v>
      </c>
      <c r="H1620" s="268" t="str">
        <f t="shared" si="8"/>
        <v>JULIO LÓPEZ MOYA</v>
      </c>
      <c r="I1620" s="268" t="s">
        <v>4778</v>
      </c>
      <c r="J1620" s="268" t="s">
        <v>4718</v>
      </c>
      <c r="K1620" s="268" t="s">
        <v>6849</v>
      </c>
      <c r="L1620" s="287">
        <v>45643</v>
      </c>
      <c r="M1620" s="283"/>
      <c r="N1620" s="282">
        <v>2</v>
      </c>
      <c r="O1620" s="284" t="s">
        <v>5814</v>
      </c>
      <c r="P1620" s="280">
        <v>3929.09</v>
      </c>
      <c r="Q1620" s="287">
        <v>45643</v>
      </c>
      <c r="R1620" s="272"/>
      <c r="S1620" s="272"/>
      <c r="T1620" s="272"/>
      <c r="U1620" s="272"/>
      <c r="V1620" s="272"/>
      <c r="W1620" s="272"/>
      <c r="X1620" s="272"/>
      <c r="Y1620" s="272"/>
      <c r="Z1620" s="272"/>
      <c r="AA1620" s="272"/>
    </row>
    <row r="1621" spans="1:27">
      <c r="A1621" s="282">
        <v>12</v>
      </c>
      <c r="B1621" s="279" t="s">
        <v>6812</v>
      </c>
      <c r="C1621" s="287">
        <v>45588</v>
      </c>
      <c r="D1621" s="279" t="s">
        <v>4714</v>
      </c>
      <c r="E1621" s="268" t="s">
        <v>2893</v>
      </c>
      <c r="F1621" s="284" t="s">
        <v>4715</v>
      </c>
      <c r="G1621" s="284" t="s">
        <v>4716</v>
      </c>
      <c r="H1621" s="268" t="str">
        <f t="shared" si="8"/>
        <v>DESIREÉ MÉNDEZ BRENDERBACHE</v>
      </c>
      <c r="I1621" s="268" t="s">
        <v>6652</v>
      </c>
      <c r="J1621" s="268" t="s">
        <v>4718</v>
      </c>
      <c r="K1621" s="268" t="s">
        <v>6850</v>
      </c>
      <c r="L1621" s="287">
        <v>45638</v>
      </c>
      <c r="M1621" s="283"/>
      <c r="N1621" s="282">
        <v>1</v>
      </c>
      <c r="O1621" s="284" t="s">
        <v>4723</v>
      </c>
      <c r="P1621" s="280">
        <v>1732.73</v>
      </c>
      <c r="Q1621" s="287">
        <v>45638</v>
      </c>
      <c r="R1621" s="272"/>
      <c r="S1621" s="272"/>
      <c r="T1621" s="272"/>
      <c r="U1621" s="272"/>
      <c r="V1621" s="272"/>
      <c r="W1621" s="272"/>
      <c r="X1621" s="272"/>
      <c r="Y1621" s="272"/>
      <c r="Z1621" s="272"/>
      <c r="AA1621" s="272"/>
    </row>
    <row r="1622" spans="1:27">
      <c r="A1622" s="282">
        <v>12</v>
      </c>
      <c r="B1622" s="279" t="s">
        <v>6812</v>
      </c>
      <c r="C1622" s="287">
        <v>45610</v>
      </c>
      <c r="D1622" s="279" t="s">
        <v>4714</v>
      </c>
      <c r="E1622" s="268" t="s">
        <v>4775</v>
      </c>
      <c r="F1622" s="284" t="s">
        <v>4715</v>
      </c>
      <c r="G1622" s="284" t="s">
        <v>4716</v>
      </c>
      <c r="H1622" s="268" t="str">
        <f t="shared" si="8"/>
        <v>FERNANDO SALAZAR BARCELONA</v>
      </c>
      <c r="I1622" s="268" t="s">
        <v>4776</v>
      </c>
      <c r="J1622" s="268" t="s">
        <v>4822</v>
      </c>
      <c r="K1622" s="268" t="s">
        <v>6851</v>
      </c>
      <c r="L1622" s="287">
        <v>45653</v>
      </c>
      <c r="M1622" s="283"/>
      <c r="N1622" s="282">
        <v>1</v>
      </c>
      <c r="O1622" s="284" t="s">
        <v>4787</v>
      </c>
      <c r="P1622" s="280">
        <v>2272.73</v>
      </c>
      <c r="Q1622" s="287">
        <v>45653</v>
      </c>
      <c r="R1622" s="272"/>
      <c r="S1622" s="272"/>
      <c r="T1622" s="272"/>
      <c r="U1622" s="272"/>
      <c r="V1622" s="272"/>
      <c r="W1622" s="272"/>
      <c r="X1622" s="272"/>
      <c r="Y1622" s="272"/>
      <c r="Z1622" s="272"/>
      <c r="AA1622" s="272"/>
    </row>
    <row r="1623" spans="1:27">
      <c r="A1623" s="282">
        <v>12</v>
      </c>
      <c r="B1623" s="279" t="s">
        <v>6812</v>
      </c>
      <c r="C1623" s="287">
        <v>45628</v>
      </c>
      <c r="D1623" s="279" t="s">
        <v>4714</v>
      </c>
      <c r="E1623" s="268" t="s">
        <v>4775</v>
      </c>
      <c r="F1623" s="284" t="s">
        <v>4715</v>
      </c>
      <c r="G1623" s="284" t="s">
        <v>4716</v>
      </c>
      <c r="H1623" s="268" t="str">
        <f t="shared" si="8"/>
        <v>REBECA BARRIOS GONZALO</v>
      </c>
      <c r="I1623" s="268" t="s">
        <v>5666</v>
      </c>
      <c r="J1623" s="268" t="s">
        <v>4822</v>
      </c>
      <c r="K1623" s="268" t="s">
        <v>6852</v>
      </c>
      <c r="L1623" s="287">
        <v>45653</v>
      </c>
      <c r="M1623" s="283"/>
      <c r="N1623" s="282">
        <v>2</v>
      </c>
      <c r="O1623" s="284" t="s">
        <v>4720</v>
      </c>
      <c r="P1623" s="280">
        <v>3454.55</v>
      </c>
      <c r="Q1623" s="287">
        <v>45653</v>
      </c>
      <c r="R1623" s="272"/>
      <c r="S1623" s="272"/>
      <c r="T1623" s="272"/>
      <c r="U1623" s="272"/>
      <c r="V1623" s="272"/>
      <c r="W1623" s="272"/>
      <c r="X1623" s="272"/>
      <c r="Y1623" s="272"/>
      <c r="Z1623" s="272"/>
      <c r="AA1623" s="272"/>
    </row>
    <row r="1624" spans="1:27">
      <c r="A1624" s="282">
        <v>12</v>
      </c>
      <c r="B1624" s="279" t="s">
        <v>6812</v>
      </c>
      <c r="C1624" s="287">
        <v>45553</v>
      </c>
      <c r="D1624" s="279" t="s">
        <v>4714</v>
      </c>
      <c r="E1624" s="268" t="s">
        <v>4775</v>
      </c>
      <c r="F1624" s="284" t="s">
        <v>4715</v>
      </c>
      <c r="G1624" s="284" t="s">
        <v>4716</v>
      </c>
      <c r="H1624" s="268" t="str">
        <f t="shared" si="8"/>
        <v>FERNANDO SALAZAR BARCELONA</v>
      </c>
      <c r="I1624" s="268" t="s">
        <v>4776</v>
      </c>
      <c r="J1624" s="268" t="s">
        <v>4822</v>
      </c>
      <c r="K1624" s="268" t="s">
        <v>6853</v>
      </c>
      <c r="L1624" s="287">
        <v>45652</v>
      </c>
      <c r="M1624" s="283"/>
      <c r="N1624" s="282">
        <v>2</v>
      </c>
      <c r="O1624" s="284" t="s">
        <v>4720</v>
      </c>
      <c r="P1624" s="280">
        <v>3272.73</v>
      </c>
      <c r="Q1624" s="287">
        <v>45652</v>
      </c>
      <c r="R1624" s="272"/>
      <c r="S1624" s="272"/>
      <c r="T1624" s="272"/>
      <c r="U1624" s="272"/>
      <c r="V1624" s="272"/>
      <c r="W1624" s="272"/>
      <c r="X1624" s="272"/>
      <c r="Y1624" s="272"/>
      <c r="Z1624" s="272"/>
      <c r="AA1624" s="272"/>
    </row>
    <row r="1625" spans="1:27">
      <c r="A1625" s="282">
        <v>12</v>
      </c>
      <c r="B1625" s="279" t="s">
        <v>6812</v>
      </c>
      <c r="C1625" s="287">
        <v>45606</v>
      </c>
      <c r="D1625" s="279" t="s">
        <v>4714</v>
      </c>
      <c r="E1625" s="268" t="s">
        <v>4775</v>
      </c>
      <c r="F1625" s="284" t="s">
        <v>4715</v>
      </c>
      <c r="G1625" s="284" t="s">
        <v>4716</v>
      </c>
      <c r="H1625" s="268" t="str">
        <f t="shared" si="8"/>
        <v>ANTONIO SÁNCHEZ DEL HOYO</v>
      </c>
      <c r="I1625" s="268" t="s">
        <v>6751</v>
      </c>
      <c r="J1625" s="268" t="s">
        <v>4822</v>
      </c>
      <c r="K1625" s="268" t="s">
        <v>6854</v>
      </c>
      <c r="L1625" s="287">
        <v>45649</v>
      </c>
      <c r="M1625" s="283"/>
      <c r="N1625" s="282">
        <v>2</v>
      </c>
      <c r="O1625" s="284" t="s">
        <v>4720</v>
      </c>
      <c r="P1625" s="280">
        <v>3272.73</v>
      </c>
      <c r="Q1625" s="287">
        <v>45649</v>
      </c>
      <c r="R1625" s="272"/>
      <c r="S1625" s="272"/>
      <c r="T1625" s="272"/>
      <c r="U1625" s="272"/>
      <c r="V1625" s="272"/>
      <c r="W1625" s="272"/>
      <c r="X1625" s="272"/>
      <c r="Y1625" s="272"/>
      <c r="Z1625" s="272"/>
      <c r="AA1625" s="272"/>
    </row>
    <row r="1626" spans="1:27">
      <c r="A1626" s="282">
        <v>12</v>
      </c>
      <c r="B1626" s="279" t="s">
        <v>6812</v>
      </c>
      <c r="C1626" s="287">
        <v>45453</v>
      </c>
      <c r="D1626" s="279" t="s">
        <v>4714</v>
      </c>
      <c r="E1626" s="268" t="s">
        <v>3861</v>
      </c>
      <c r="F1626" s="284" t="s">
        <v>4715</v>
      </c>
      <c r="G1626" s="284" t="s">
        <v>4716</v>
      </c>
      <c r="H1626" s="268" t="str">
        <f t="shared" si="8"/>
        <v>FRANCISCO J. REDONDO DEL BARCO</v>
      </c>
      <c r="I1626" s="268" t="s">
        <v>6855</v>
      </c>
      <c r="J1626" s="268" t="s">
        <v>4822</v>
      </c>
      <c r="K1626" s="268" t="s">
        <v>6856</v>
      </c>
      <c r="L1626" s="287">
        <v>45656</v>
      </c>
      <c r="M1626" s="283"/>
      <c r="N1626" s="282">
        <v>2</v>
      </c>
      <c r="O1626" s="284" t="s">
        <v>5814</v>
      </c>
      <c r="P1626" s="280">
        <v>3683.64</v>
      </c>
      <c r="Q1626" s="287">
        <v>45656</v>
      </c>
      <c r="R1626" s="272"/>
      <c r="S1626" s="272"/>
      <c r="T1626" s="272"/>
      <c r="U1626" s="272"/>
      <c r="V1626" s="272"/>
      <c r="W1626" s="272"/>
      <c r="X1626" s="272"/>
      <c r="Y1626" s="272"/>
      <c r="Z1626" s="272"/>
      <c r="AA1626" s="272"/>
    </row>
    <row r="1627" spans="1:27">
      <c r="A1627" s="282">
        <v>12</v>
      </c>
      <c r="B1627" s="279" t="s">
        <v>6812</v>
      </c>
      <c r="C1627" s="287">
        <v>45623</v>
      </c>
      <c r="D1627" s="279" t="s">
        <v>4714</v>
      </c>
      <c r="E1627" s="268" t="s">
        <v>3861</v>
      </c>
      <c r="F1627" s="284" t="s">
        <v>4715</v>
      </c>
      <c r="G1627" s="284" t="s">
        <v>4716</v>
      </c>
      <c r="H1627" s="268" t="str">
        <f t="shared" si="8"/>
        <v>JOSÉ GUSTAVO BARROSO BRAOJOS</v>
      </c>
      <c r="I1627" s="268" t="s">
        <v>4834</v>
      </c>
      <c r="J1627" s="268" t="s">
        <v>4718</v>
      </c>
      <c r="K1627" s="268" t="s">
        <v>6857</v>
      </c>
      <c r="L1627" s="287">
        <v>45650</v>
      </c>
      <c r="M1627" s="283"/>
      <c r="N1627" s="282">
        <v>2</v>
      </c>
      <c r="O1627" s="284" t="s">
        <v>5814</v>
      </c>
      <c r="P1627" s="280">
        <v>4000</v>
      </c>
      <c r="Q1627" s="287">
        <v>45650</v>
      </c>
      <c r="R1627" s="272"/>
      <c r="S1627" s="272"/>
      <c r="T1627" s="272"/>
      <c r="U1627" s="272"/>
      <c r="V1627" s="272"/>
      <c r="W1627" s="272"/>
      <c r="X1627" s="272"/>
      <c r="Y1627" s="272"/>
      <c r="Z1627" s="272"/>
      <c r="AA1627" s="272"/>
    </row>
    <row r="1628" spans="1:27">
      <c r="A1628" s="282">
        <v>12</v>
      </c>
      <c r="B1628" s="279" t="s">
        <v>6812</v>
      </c>
      <c r="C1628" s="287">
        <v>45621</v>
      </c>
      <c r="D1628" s="279" t="s">
        <v>4714</v>
      </c>
      <c r="E1628" s="268" t="s">
        <v>3861</v>
      </c>
      <c r="F1628" s="284" t="s">
        <v>4715</v>
      </c>
      <c r="G1628" s="284" t="s">
        <v>4716</v>
      </c>
      <c r="H1628" s="268" t="str">
        <f t="shared" si="8"/>
        <v>JOSÉ GUSTAVO BARROSO BRAOJOS</v>
      </c>
      <c r="I1628" s="268" t="s">
        <v>4834</v>
      </c>
      <c r="J1628" s="268" t="s">
        <v>4718</v>
      </c>
      <c r="K1628" s="268" t="s">
        <v>6858</v>
      </c>
      <c r="L1628" s="287">
        <v>45650</v>
      </c>
      <c r="M1628" s="283"/>
      <c r="N1628" s="282">
        <v>2</v>
      </c>
      <c r="O1628" s="284" t="s">
        <v>5814</v>
      </c>
      <c r="P1628" s="280">
        <v>4000</v>
      </c>
      <c r="Q1628" s="287">
        <v>45650</v>
      </c>
      <c r="R1628" s="272"/>
      <c r="S1628" s="272"/>
      <c r="T1628" s="272"/>
      <c r="U1628" s="272"/>
      <c r="V1628" s="272"/>
      <c r="W1628" s="272"/>
      <c r="X1628" s="272"/>
      <c r="Y1628" s="272"/>
      <c r="Z1628" s="272"/>
      <c r="AA1628" s="272"/>
    </row>
    <row r="1629" spans="1:27">
      <c r="A1629" s="282">
        <v>12</v>
      </c>
      <c r="B1629" s="279" t="s">
        <v>6812</v>
      </c>
      <c r="C1629" s="287">
        <v>45540</v>
      </c>
      <c r="D1629" s="279" t="s">
        <v>4714</v>
      </c>
      <c r="E1629" s="268" t="s">
        <v>3861</v>
      </c>
      <c r="F1629" s="284" t="s">
        <v>4715</v>
      </c>
      <c r="G1629" s="284" t="s">
        <v>4716</v>
      </c>
      <c r="H1629" s="268" t="str">
        <f t="shared" si="8"/>
        <v>NO REUERDA ORL</v>
      </c>
      <c r="I1629" s="268" t="s">
        <v>4743</v>
      </c>
      <c r="J1629" s="268" t="s">
        <v>4718</v>
      </c>
      <c r="K1629" s="268" t="s">
        <v>6859</v>
      </c>
      <c r="L1629" s="287">
        <v>45650</v>
      </c>
      <c r="M1629" s="283"/>
      <c r="N1629" s="282">
        <v>2</v>
      </c>
      <c r="O1629" s="284" t="s">
        <v>5814</v>
      </c>
      <c r="P1629" s="280">
        <v>3800</v>
      </c>
      <c r="Q1629" s="287">
        <v>45650</v>
      </c>
      <c r="R1629" s="272"/>
      <c r="S1629" s="272"/>
      <c r="T1629" s="272"/>
      <c r="U1629" s="272"/>
      <c r="V1629" s="272"/>
      <c r="W1629" s="272"/>
      <c r="X1629" s="272"/>
      <c r="Y1629" s="272"/>
      <c r="Z1629" s="272"/>
      <c r="AA1629" s="272"/>
    </row>
    <row r="1630" spans="1:27">
      <c r="A1630" s="282">
        <v>12</v>
      </c>
      <c r="B1630" s="279" t="s">
        <v>6812</v>
      </c>
      <c r="C1630" s="287">
        <v>45609</v>
      </c>
      <c r="D1630" s="279" t="s">
        <v>4714</v>
      </c>
      <c r="E1630" s="268" t="s">
        <v>3861</v>
      </c>
      <c r="F1630" s="284" t="s">
        <v>4715</v>
      </c>
      <c r="G1630" s="284" t="s">
        <v>4716</v>
      </c>
      <c r="H1630" s="268" t="str">
        <f t="shared" si="8"/>
        <v>IVAN MENDEZ- BENEGASSI SILVA</v>
      </c>
      <c r="I1630" s="268" t="s">
        <v>6860</v>
      </c>
      <c r="J1630" s="268" t="s">
        <v>4718</v>
      </c>
      <c r="K1630" s="268" t="s">
        <v>6861</v>
      </c>
      <c r="L1630" s="287">
        <v>45636</v>
      </c>
      <c r="M1630" s="283"/>
      <c r="N1630" s="282">
        <v>1</v>
      </c>
      <c r="O1630" s="284" t="s">
        <v>5814</v>
      </c>
      <c r="P1630" s="280">
        <v>2400</v>
      </c>
      <c r="Q1630" s="287">
        <v>45636</v>
      </c>
      <c r="R1630" s="272"/>
      <c r="S1630" s="272"/>
      <c r="T1630" s="272"/>
      <c r="U1630" s="272"/>
      <c r="V1630" s="272"/>
      <c r="W1630" s="272"/>
      <c r="X1630" s="272"/>
      <c r="Y1630" s="272"/>
      <c r="Z1630" s="272"/>
      <c r="AA1630" s="272"/>
    </row>
    <row r="1631" spans="1:27">
      <c r="A1631" s="282">
        <v>12</v>
      </c>
      <c r="B1631" s="279" t="s">
        <v>6812</v>
      </c>
      <c r="C1631" s="287">
        <v>42690</v>
      </c>
      <c r="D1631" s="279" t="s">
        <v>6840</v>
      </c>
      <c r="E1631" s="268" t="s">
        <v>3043</v>
      </c>
      <c r="F1631" s="284" t="s">
        <v>4715</v>
      </c>
      <c r="G1631" s="284" t="s">
        <v>4716</v>
      </c>
      <c r="H1631" s="268" t="str">
        <f t="shared" si="8"/>
        <v>FRANCISCO J. REDONDO DEL BARCO</v>
      </c>
      <c r="I1631" s="268" t="s">
        <v>6855</v>
      </c>
      <c r="J1631" s="268" t="s">
        <v>4822</v>
      </c>
      <c r="K1631" s="268" t="s">
        <v>6862</v>
      </c>
      <c r="L1631" s="287">
        <v>45656</v>
      </c>
      <c r="M1631" s="283"/>
      <c r="N1631" s="282">
        <v>2</v>
      </c>
      <c r="O1631" s="284" t="s">
        <v>4720</v>
      </c>
      <c r="P1631" s="280">
        <v>2968</v>
      </c>
      <c r="Q1631" s="287">
        <v>45656</v>
      </c>
      <c r="R1631" s="272"/>
      <c r="S1631" s="272"/>
      <c r="T1631" s="272"/>
      <c r="U1631" s="272"/>
      <c r="V1631" s="272"/>
      <c r="W1631" s="272"/>
      <c r="X1631" s="272"/>
      <c r="Y1631" s="272"/>
      <c r="Z1631" s="272"/>
      <c r="AA1631" s="272"/>
    </row>
    <row r="1632" spans="1:27">
      <c r="A1632" s="282">
        <v>12</v>
      </c>
      <c r="B1632" s="279" t="s">
        <v>6812</v>
      </c>
      <c r="C1632" s="287">
        <v>45625</v>
      </c>
      <c r="D1632" s="279" t="s">
        <v>4714</v>
      </c>
      <c r="E1632" s="268" t="s">
        <v>3043</v>
      </c>
      <c r="F1632" s="284" t="s">
        <v>4715</v>
      </c>
      <c r="G1632" s="284" t="s">
        <v>4716</v>
      </c>
      <c r="H1632" s="268" t="str">
        <f t="shared" si="8"/>
        <v>ANTONIO BUENO RÍOS</v>
      </c>
      <c r="I1632" s="268" t="s">
        <v>4793</v>
      </c>
      <c r="J1632" s="268" t="s">
        <v>4822</v>
      </c>
      <c r="K1632" s="268" t="s">
        <v>6863</v>
      </c>
      <c r="L1632" s="287">
        <v>45653</v>
      </c>
      <c r="M1632" s="283"/>
      <c r="N1632" s="282">
        <v>2</v>
      </c>
      <c r="O1632" s="284" t="s">
        <v>4787</v>
      </c>
      <c r="P1632" s="280">
        <v>4180</v>
      </c>
      <c r="Q1632" s="287">
        <v>45653</v>
      </c>
      <c r="R1632" s="272"/>
      <c r="S1632" s="272"/>
      <c r="T1632" s="272"/>
      <c r="U1632" s="272"/>
      <c r="V1632" s="272"/>
      <c r="W1632" s="272"/>
      <c r="X1632" s="272"/>
      <c r="Y1632" s="272"/>
      <c r="Z1632" s="272"/>
      <c r="AA1632" s="272"/>
    </row>
    <row r="1633" spans="1:27">
      <c r="A1633" s="282">
        <v>12</v>
      </c>
      <c r="B1633" s="279" t="s">
        <v>6812</v>
      </c>
      <c r="C1633" s="287">
        <v>45618</v>
      </c>
      <c r="D1633" s="279" t="s">
        <v>4714</v>
      </c>
      <c r="E1633" s="268" t="s">
        <v>3043</v>
      </c>
      <c r="F1633" s="284" t="s">
        <v>4715</v>
      </c>
      <c r="G1633" s="284" t="s">
        <v>4716</v>
      </c>
      <c r="H1633" s="268" t="str">
        <f t="shared" si="8"/>
        <v>PALOMA PINACHO MARTÍNEZ</v>
      </c>
      <c r="I1633" s="268" t="s">
        <v>4853</v>
      </c>
      <c r="J1633" s="268" t="s">
        <v>4718</v>
      </c>
      <c r="K1633" s="268" t="s">
        <v>6864</v>
      </c>
      <c r="L1633" s="287">
        <v>45649</v>
      </c>
      <c r="M1633" s="283"/>
      <c r="N1633" s="282">
        <v>2</v>
      </c>
      <c r="O1633" s="284" t="s">
        <v>4720</v>
      </c>
      <c r="P1633" s="280">
        <v>3710</v>
      </c>
      <c r="Q1633" s="287">
        <v>45649</v>
      </c>
      <c r="R1633" s="272"/>
      <c r="S1633" s="272"/>
      <c r="T1633" s="272"/>
      <c r="U1633" s="272"/>
      <c r="V1633" s="272"/>
      <c r="W1633" s="272"/>
      <c r="X1633" s="272"/>
      <c r="Y1633" s="272"/>
      <c r="Z1633" s="272"/>
      <c r="AA1633" s="272"/>
    </row>
    <row r="1634" spans="1:27">
      <c r="A1634" s="282">
        <v>12</v>
      </c>
      <c r="B1634" s="279" t="s">
        <v>6812</v>
      </c>
      <c r="C1634" s="287">
        <v>45587</v>
      </c>
      <c r="D1634" s="279" t="s">
        <v>4714</v>
      </c>
      <c r="E1634" s="268" t="s">
        <v>3043</v>
      </c>
      <c r="F1634" s="284" t="s">
        <v>4715</v>
      </c>
      <c r="G1634" s="284" t="s">
        <v>4716</v>
      </c>
      <c r="H1634" s="268" t="str">
        <f t="shared" si="8"/>
        <v>ESTEBAN SCOLA PLIEGO</v>
      </c>
      <c r="I1634" s="268" t="s">
        <v>5010</v>
      </c>
      <c r="J1634" s="268" t="s">
        <v>4718</v>
      </c>
      <c r="K1634" s="268" t="s">
        <v>6865</v>
      </c>
      <c r="L1634" s="287">
        <v>45643</v>
      </c>
      <c r="M1634" s="283"/>
      <c r="N1634" s="282">
        <v>2</v>
      </c>
      <c r="O1634" s="284" t="s">
        <v>5814</v>
      </c>
      <c r="P1634" s="280">
        <v>4000</v>
      </c>
      <c r="Q1634" s="287">
        <v>45643</v>
      </c>
      <c r="R1634" s="272"/>
      <c r="S1634" s="272"/>
      <c r="T1634" s="272"/>
      <c r="U1634" s="272"/>
      <c r="V1634" s="272"/>
      <c r="W1634" s="272"/>
      <c r="X1634" s="272"/>
      <c r="Y1634" s="272"/>
      <c r="Z1634" s="272"/>
      <c r="AA1634" s="272"/>
    </row>
    <row r="1635" spans="1:27">
      <c r="A1635" s="282">
        <v>12</v>
      </c>
      <c r="B1635" s="279" t="s">
        <v>6812</v>
      </c>
      <c r="C1635" s="287">
        <v>45609</v>
      </c>
      <c r="D1635" s="279" t="s">
        <v>4714</v>
      </c>
      <c r="E1635" s="268" t="s">
        <v>4837</v>
      </c>
      <c r="F1635" s="284" t="s">
        <v>4715</v>
      </c>
      <c r="G1635" s="284" t="s">
        <v>4716</v>
      </c>
      <c r="H1635" s="268" t="str">
        <f t="shared" si="8"/>
        <v>MARÍA DEL MAR MARTÍNEZ RUIZ-COELLO</v>
      </c>
      <c r="I1635" s="268" t="s">
        <v>5812</v>
      </c>
      <c r="J1635" s="268" t="s">
        <v>4718</v>
      </c>
      <c r="K1635" s="268" t="s">
        <v>6866</v>
      </c>
      <c r="L1635" s="287">
        <v>45657</v>
      </c>
      <c r="M1635" s="283"/>
      <c r="N1635" s="282">
        <v>2</v>
      </c>
      <c r="O1635" s="284" t="s">
        <v>5814</v>
      </c>
      <c r="P1635" s="280">
        <v>4000</v>
      </c>
      <c r="Q1635" s="287">
        <v>45657</v>
      </c>
      <c r="R1635" s="272"/>
      <c r="S1635" s="272"/>
      <c r="T1635" s="272"/>
      <c r="U1635" s="272"/>
      <c r="V1635" s="272"/>
      <c r="W1635" s="272"/>
      <c r="X1635" s="272"/>
      <c r="Y1635" s="272"/>
      <c r="Z1635" s="272"/>
      <c r="AA1635" s="272"/>
    </row>
    <row r="1636" spans="1:27">
      <c r="A1636" s="282">
        <v>12</v>
      </c>
      <c r="B1636" s="279" t="s">
        <v>6812</v>
      </c>
      <c r="C1636" s="287">
        <v>45603</v>
      </c>
      <c r="D1636" s="279" t="s">
        <v>4714</v>
      </c>
      <c r="E1636" s="268" t="s">
        <v>4837</v>
      </c>
      <c r="F1636" s="284" t="s">
        <v>4715</v>
      </c>
      <c r="G1636" s="284" t="s">
        <v>4716</v>
      </c>
      <c r="H1636" s="268" t="str">
        <f t="shared" si="8"/>
        <v>IGNACIO SIERRA ARBIDE</v>
      </c>
      <c r="I1636" s="268" t="s">
        <v>5162</v>
      </c>
      <c r="J1636" s="268" t="s">
        <v>4822</v>
      </c>
      <c r="K1636" s="268" t="s">
        <v>6867</v>
      </c>
      <c r="L1636" s="287">
        <v>45646</v>
      </c>
      <c r="M1636" s="283"/>
      <c r="N1636" s="282">
        <v>1</v>
      </c>
      <c r="O1636" s="284" t="s">
        <v>4787</v>
      </c>
      <c r="P1636" s="280">
        <v>2640</v>
      </c>
      <c r="Q1636" s="287">
        <v>45646</v>
      </c>
      <c r="R1636" s="272"/>
      <c r="S1636" s="272"/>
      <c r="T1636" s="272"/>
      <c r="U1636" s="272"/>
      <c r="V1636" s="272"/>
      <c r="W1636" s="272"/>
      <c r="X1636" s="272"/>
      <c r="Y1636" s="272"/>
      <c r="Z1636" s="272"/>
      <c r="AA1636" s="272"/>
    </row>
    <row r="1637" spans="1:27">
      <c r="A1637" s="282">
        <v>12</v>
      </c>
      <c r="B1637" s="279" t="s">
        <v>6812</v>
      </c>
      <c r="C1637" s="287">
        <v>45608</v>
      </c>
      <c r="D1637" s="279" t="s">
        <v>4714</v>
      </c>
      <c r="E1637" s="268" t="s">
        <v>2929</v>
      </c>
      <c r="F1637" s="284" t="s">
        <v>4715</v>
      </c>
      <c r="G1637" s="284" t="s">
        <v>4716</v>
      </c>
      <c r="H1637" s="268" t="str">
        <f t="shared" si="8"/>
        <v>CARLOS BARAJAS DEL ROSAL</v>
      </c>
      <c r="I1637" s="268" t="s">
        <v>4934</v>
      </c>
      <c r="J1637" s="268" t="s">
        <v>4822</v>
      </c>
      <c r="K1637" s="268" t="s">
        <v>6868</v>
      </c>
      <c r="L1637" s="287">
        <v>45656</v>
      </c>
      <c r="M1637" s="283"/>
      <c r="N1637" s="282">
        <v>1</v>
      </c>
      <c r="O1637" s="284" t="s">
        <v>5814</v>
      </c>
      <c r="P1637" s="280">
        <v>2400</v>
      </c>
      <c r="Q1637" s="287">
        <v>45656</v>
      </c>
      <c r="R1637" s="272"/>
      <c r="S1637" s="272"/>
      <c r="T1637" s="272"/>
      <c r="U1637" s="272"/>
      <c r="V1637" s="272"/>
      <c r="W1637" s="272"/>
      <c r="X1637" s="272"/>
      <c r="Y1637" s="272"/>
      <c r="Z1637" s="272"/>
      <c r="AA1637" s="272"/>
    </row>
    <row r="1638" spans="1:27">
      <c r="A1638" s="282">
        <v>12</v>
      </c>
      <c r="B1638" s="279" t="s">
        <v>6812</v>
      </c>
      <c r="C1638" s="287">
        <v>45630</v>
      </c>
      <c r="D1638" s="279" t="s">
        <v>4714</v>
      </c>
      <c r="E1638" s="268" t="s">
        <v>2929</v>
      </c>
      <c r="F1638" s="284" t="s">
        <v>4715</v>
      </c>
      <c r="G1638" s="284" t="s">
        <v>4716</v>
      </c>
      <c r="H1638" s="268" t="str">
        <f t="shared" si="8"/>
        <v>CARLOS BARAJAS DEL ROSAL</v>
      </c>
      <c r="I1638" s="268" t="s">
        <v>4934</v>
      </c>
      <c r="J1638" s="268" t="s">
        <v>4822</v>
      </c>
      <c r="K1638" s="268" t="s">
        <v>6869</v>
      </c>
      <c r="L1638" s="287">
        <v>45653</v>
      </c>
      <c r="M1638" s="283"/>
      <c r="N1638" s="282">
        <v>2</v>
      </c>
      <c r="O1638" s="284" t="s">
        <v>4787</v>
      </c>
      <c r="P1638" s="280">
        <v>4400</v>
      </c>
      <c r="Q1638" s="287">
        <v>45653</v>
      </c>
      <c r="R1638" s="272"/>
      <c r="S1638" s="272"/>
      <c r="T1638" s="272"/>
      <c r="U1638" s="272"/>
      <c r="V1638" s="272"/>
      <c r="W1638" s="272"/>
      <c r="X1638" s="272"/>
      <c r="Y1638" s="272"/>
      <c r="Z1638" s="272"/>
      <c r="AA1638" s="272"/>
    </row>
    <row r="1639" spans="1:27">
      <c r="A1639" s="282">
        <v>12</v>
      </c>
      <c r="B1639" s="279" t="s">
        <v>6812</v>
      </c>
      <c r="C1639" s="287">
        <v>45616</v>
      </c>
      <c r="D1639" s="279" t="s">
        <v>4714</v>
      </c>
      <c r="E1639" s="268" t="s">
        <v>2929</v>
      </c>
      <c r="F1639" s="284" t="s">
        <v>4715</v>
      </c>
      <c r="G1639" s="284" t="s">
        <v>4716</v>
      </c>
      <c r="H1639" s="268" t="str">
        <f t="shared" si="8"/>
        <v>FRANCISCO J. REDONDO DEL BARCO</v>
      </c>
      <c r="I1639" s="268" t="s">
        <v>6855</v>
      </c>
      <c r="J1639" s="268" t="s">
        <v>4822</v>
      </c>
      <c r="K1639" s="268" t="s">
        <v>6870</v>
      </c>
      <c r="L1639" s="287">
        <v>45653</v>
      </c>
      <c r="M1639" s="283"/>
      <c r="N1639" s="282">
        <v>2</v>
      </c>
      <c r="O1639" s="284" t="s">
        <v>5814</v>
      </c>
      <c r="P1639" s="280">
        <v>3929.55</v>
      </c>
      <c r="Q1639" s="287">
        <v>45653</v>
      </c>
      <c r="R1639" s="272"/>
      <c r="S1639" s="272"/>
      <c r="T1639" s="272"/>
      <c r="U1639" s="272"/>
      <c r="V1639" s="272"/>
      <c r="W1639" s="272"/>
      <c r="X1639" s="272"/>
      <c r="Y1639" s="272"/>
      <c r="Z1639" s="272"/>
      <c r="AA1639" s="272"/>
    </row>
    <row r="1640" spans="1:27">
      <c r="A1640" s="282">
        <v>12</v>
      </c>
      <c r="B1640" s="279" t="s">
        <v>6812</v>
      </c>
      <c r="C1640" s="287">
        <v>45653</v>
      </c>
      <c r="D1640" s="279" t="s">
        <v>4714</v>
      </c>
      <c r="E1640" s="268" t="s">
        <v>2929</v>
      </c>
      <c r="F1640" s="284" t="s">
        <v>4715</v>
      </c>
      <c r="G1640" s="284" t="s">
        <v>4716</v>
      </c>
      <c r="H1640" s="268" t="str">
        <f t="shared" si="8"/>
        <v>CARLOS BARAJAS DEL ROSAL</v>
      </c>
      <c r="I1640" s="268" t="s">
        <v>4934</v>
      </c>
      <c r="J1640" s="268" t="s">
        <v>4822</v>
      </c>
      <c r="K1640" s="268" t="s">
        <v>6871</v>
      </c>
      <c r="L1640" s="287">
        <v>45653</v>
      </c>
      <c r="M1640" s="283"/>
      <c r="N1640" s="282">
        <v>2</v>
      </c>
      <c r="O1640" s="284" t="s">
        <v>4787</v>
      </c>
      <c r="P1640" s="280">
        <v>4309.55</v>
      </c>
      <c r="Q1640" s="287">
        <v>45653</v>
      </c>
      <c r="R1640" s="272"/>
      <c r="S1640" s="272"/>
      <c r="T1640" s="272"/>
      <c r="U1640" s="272"/>
      <c r="V1640" s="272"/>
      <c r="W1640" s="272"/>
      <c r="X1640" s="272"/>
      <c r="Y1640" s="272"/>
      <c r="Z1640" s="272"/>
      <c r="AA1640" s="272"/>
    </row>
    <row r="1641" spans="1:27">
      <c r="A1641" s="282">
        <v>12</v>
      </c>
      <c r="B1641" s="279" t="s">
        <v>6812</v>
      </c>
      <c r="C1641" s="287">
        <v>45624</v>
      </c>
      <c r="D1641" s="279" t="s">
        <v>4714</v>
      </c>
      <c r="E1641" s="268" t="s">
        <v>2929</v>
      </c>
      <c r="F1641" s="284" t="s">
        <v>4715</v>
      </c>
      <c r="G1641" s="284" t="s">
        <v>4716</v>
      </c>
      <c r="H1641" s="268" t="str">
        <f t="shared" si="8"/>
        <v>JAVIER GARCÍA DOMINGUEZ</v>
      </c>
      <c r="I1641" s="268" t="s">
        <v>6872</v>
      </c>
      <c r="J1641" s="268" t="s">
        <v>4718</v>
      </c>
      <c r="K1641" s="268" t="s">
        <v>6873</v>
      </c>
      <c r="L1641" s="287">
        <v>45649</v>
      </c>
      <c r="M1641" s="283"/>
      <c r="N1641" s="282">
        <v>2</v>
      </c>
      <c r="O1641" s="284" t="s">
        <v>4723</v>
      </c>
      <c r="P1641" s="280">
        <v>3024.55</v>
      </c>
      <c r="Q1641" s="287">
        <v>45649</v>
      </c>
      <c r="R1641" s="272"/>
      <c r="S1641" s="272"/>
      <c r="T1641" s="272"/>
      <c r="U1641" s="272"/>
      <c r="V1641" s="272"/>
      <c r="W1641" s="272"/>
      <c r="X1641" s="272"/>
      <c r="Y1641" s="272"/>
      <c r="Z1641" s="272"/>
      <c r="AA1641" s="272"/>
    </row>
    <row r="1642" spans="1:27">
      <c r="A1642" s="282">
        <v>12</v>
      </c>
      <c r="B1642" s="279" t="s">
        <v>6812</v>
      </c>
      <c r="C1642" s="287">
        <v>45628</v>
      </c>
      <c r="D1642" s="279" t="s">
        <v>4714</v>
      </c>
      <c r="E1642" s="268" t="s">
        <v>2929</v>
      </c>
      <c r="F1642" s="284" t="s">
        <v>4715</v>
      </c>
      <c r="G1642" s="284" t="s">
        <v>4716</v>
      </c>
      <c r="H1642" s="268" t="str">
        <f t="shared" si="8"/>
        <v>GUILLERMO SAN JUAN DE LA MORETA</v>
      </c>
      <c r="I1642" s="268" t="s">
        <v>5100</v>
      </c>
      <c r="J1642" s="268" t="s">
        <v>4718</v>
      </c>
      <c r="K1642" s="268" t="s">
        <v>6874</v>
      </c>
      <c r="L1642" s="287">
        <v>45646</v>
      </c>
      <c r="M1642" s="283"/>
      <c r="N1642" s="282">
        <v>2</v>
      </c>
      <c r="O1642" s="284" t="s">
        <v>4723</v>
      </c>
      <c r="P1642" s="280">
        <v>3024.55</v>
      </c>
      <c r="Q1642" s="287">
        <v>45646</v>
      </c>
      <c r="R1642" s="272"/>
      <c r="S1642" s="272"/>
      <c r="T1642" s="272"/>
      <c r="U1642" s="272"/>
      <c r="V1642" s="272"/>
      <c r="W1642" s="272"/>
      <c r="X1642" s="272"/>
      <c r="Y1642" s="272"/>
      <c r="Z1642" s="272"/>
      <c r="AA1642" s="272"/>
    </row>
    <row r="1643" spans="1:27">
      <c r="A1643" s="282">
        <v>12</v>
      </c>
      <c r="B1643" s="279" t="s">
        <v>6812</v>
      </c>
      <c r="C1643" s="287">
        <v>45504</v>
      </c>
      <c r="D1643" s="279" t="s">
        <v>4714</v>
      </c>
      <c r="E1643" s="268" t="s">
        <v>2929</v>
      </c>
      <c r="F1643" s="284" t="s">
        <v>4715</v>
      </c>
      <c r="G1643" s="284" t="s">
        <v>4715</v>
      </c>
      <c r="H1643" s="268" t="str">
        <f t="shared" si="8"/>
        <v>CARLOS BARAJAS DEL ROSAL</v>
      </c>
      <c r="I1643" s="268" t="s">
        <v>4934</v>
      </c>
      <c r="J1643" s="272" t="s">
        <v>4822</v>
      </c>
      <c r="K1643" s="268" t="s">
        <v>6875</v>
      </c>
      <c r="L1643" s="287">
        <v>45644</v>
      </c>
      <c r="M1643" s="283"/>
      <c r="N1643" s="282">
        <v>2</v>
      </c>
      <c r="O1643" s="284" t="s">
        <v>5814</v>
      </c>
      <c r="P1643" s="280">
        <v>3270.59</v>
      </c>
      <c r="Q1643" s="287">
        <v>45644</v>
      </c>
      <c r="R1643" s="272"/>
      <c r="S1643" s="272"/>
      <c r="T1643" s="272"/>
      <c r="U1643" s="272"/>
      <c r="V1643" s="272"/>
      <c r="W1643" s="272"/>
      <c r="X1643" s="272"/>
      <c r="Y1643" s="272"/>
      <c r="Z1643" s="272"/>
      <c r="AA1643" s="272"/>
    </row>
    <row r="1644" spans="1:27">
      <c r="A1644" s="282">
        <v>12</v>
      </c>
      <c r="B1644" s="279" t="s">
        <v>6812</v>
      </c>
      <c r="C1644" s="287">
        <v>45611</v>
      </c>
      <c r="D1644" s="279" t="s">
        <v>4714</v>
      </c>
      <c r="E1644" s="268" t="s">
        <v>2929</v>
      </c>
      <c r="F1644" s="284" t="s">
        <v>4715</v>
      </c>
      <c r="G1644" s="284" t="s">
        <v>4716</v>
      </c>
      <c r="H1644" s="268" t="str">
        <f t="shared" ref="H1644:H1758" si="9">TRIM(SUBSTITUTE(SUBSTITUTE(SUBSTITUTE(SUBSTITUTE(I1644,"DR. ",""),"DRA. ",""),"DR ",""),"DRA ",""))</f>
        <v>JAVIER GARCÍA DOMÍNGUEZ</v>
      </c>
      <c r="I1644" s="268" t="s">
        <v>4881</v>
      </c>
      <c r="J1644" s="268" t="s">
        <v>4718</v>
      </c>
      <c r="K1644" s="268" t="s">
        <v>6876</v>
      </c>
      <c r="L1644" s="287">
        <v>45644</v>
      </c>
      <c r="M1644" s="283"/>
      <c r="N1644" s="282">
        <v>1</v>
      </c>
      <c r="O1644" s="284" t="s">
        <v>5814</v>
      </c>
      <c r="P1644" s="280">
        <v>2400</v>
      </c>
      <c r="Q1644" s="287">
        <v>45644</v>
      </c>
      <c r="R1644" s="272"/>
      <c r="S1644" s="272"/>
      <c r="T1644" s="272"/>
      <c r="U1644" s="272"/>
      <c r="V1644" s="272"/>
      <c r="W1644" s="272"/>
      <c r="X1644" s="272"/>
      <c r="Y1644" s="272"/>
      <c r="Z1644" s="272"/>
      <c r="AA1644" s="272"/>
    </row>
    <row r="1645" spans="1:27">
      <c r="A1645" s="282">
        <v>12</v>
      </c>
      <c r="B1645" s="279" t="s">
        <v>6812</v>
      </c>
      <c r="C1645" s="287">
        <v>45600</v>
      </c>
      <c r="D1645" s="279" t="s">
        <v>4714</v>
      </c>
      <c r="E1645" s="268" t="s">
        <v>2929</v>
      </c>
      <c r="F1645" s="284" t="s">
        <v>4715</v>
      </c>
      <c r="G1645" s="284" t="s">
        <v>4716</v>
      </c>
      <c r="H1645" s="268" t="str">
        <f t="shared" si="9"/>
        <v>CARLOS BARAJAS DEL ROSAL</v>
      </c>
      <c r="I1645" s="268" t="s">
        <v>4934</v>
      </c>
      <c r="J1645" s="268" t="s">
        <v>4822</v>
      </c>
      <c r="K1645" s="268" t="s">
        <v>6877</v>
      </c>
      <c r="L1645" s="287">
        <v>45643</v>
      </c>
      <c r="M1645" s="283"/>
      <c r="N1645" s="282">
        <v>2</v>
      </c>
      <c r="O1645" s="284" t="s">
        <v>4720</v>
      </c>
      <c r="P1645" s="280">
        <v>3710</v>
      </c>
      <c r="Q1645" s="287">
        <v>45643</v>
      </c>
      <c r="R1645" s="272"/>
      <c r="S1645" s="272"/>
      <c r="T1645" s="272"/>
      <c r="U1645" s="272"/>
      <c r="V1645" s="272"/>
      <c r="W1645" s="272"/>
      <c r="X1645" s="272"/>
      <c r="Y1645" s="272"/>
      <c r="Z1645" s="272"/>
      <c r="AA1645" s="272"/>
    </row>
    <row r="1646" spans="1:27">
      <c r="A1646" s="282">
        <v>12</v>
      </c>
      <c r="B1646" s="279" t="s">
        <v>6812</v>
      </c>
      <c r="C1646" s="287">
        <v>45614</v>
      </c>
      <c r="D1646" s="279" t="s">
        <v>4714</v>
      </c>
      <c r="E1646" s="268" t="s">
        <v>2929</v>
      </c>
      <c r="F1646" s="284" t="s">
        <v>4715</v>
      </c>
      <c r="G1646" s="284" t="s">
        <v>4716</v>
      </c>
      <c r="H1646" s="268" t="str">
        <f t="shared" si="9"/>
        <v>JOAQUIN ALACIO CASERO</v>
      </c>
      <c r="I1646" s="268" t="s">
        <v>6604</v>
      </c>
      <c r="J1646" s="268" t="s">
        <v>4718</v>
      </c>
      <c r="K1646" s="268" t="s">
        <v>6878</v>
      </c>
      <c r="L1646" s="287">
        <v>45637</v>
      </c>
      <c r="M1646" s="283"/>
      <c r="N1646" s="282">
        <v>2</v>
      </c>
      <c r="O1646" s="284" t="s">
        <v>4787</v>
      </c>
      <c r="P1646" s="280">
        <v>4536.3599999999997</v>
      </c>
      <c r="Q1646" s="287">
        <v>45637</v>
      </c>
      <c r="R1646" s="272"/>
      <c r="S1646" s="272"/>
      <c r="T1646" s="272"/>
      <c r="U1646" s="272"/>
      <c r="V1646" s="272"/>
      <c r="W1646" s="272"/>
      <c r="X1646" s="272"/>
      <c r="Y1646" s="272"/>
      <c r="Z1646" s="272"/>
      <c r="AA1646" s="272"/>
    </row>
    <row r="1647" spans="1:27">
      <c r="A1647" s="282">
        <v>12</v>
      </c>
      <c r="B1647" s="279" t="s">
        <v>6812</v>
      </c>
      <c r="C1647" s="287">
        <v>45589</v>
      </c>
      <c r="D1647" s="279" t="s">
        <v>4714</v>
      </c>
      <c r="E1647" s="268" t="s">
        <v>2929</v>
      </c>
      <c r="F1647" s="284" t="s">
        <v>4715</v>
      </c>
      <c r="G1647" s="284" t="s">
        <v>4715</v>
      </c>
      <c r="H1647" s="268" t="str">
        <f t="shared" si="9"/>
        <v>JULIO LÓPEZ MOYA</v>
      </c>
      <c r="I1647" s="268" t="s">
        <v>4778</v>
      </c>
      <c r="J1647" s="268" t="s">
        <v>4718</v>
      </c>
      <c r="K1647" s="268" t="s">
        <v>6879</v>
      </c>
      <c r="L1647" s="287">
        <v>45628</v>
      </c>
      <c r="M1647" s="283"/>
      <c r="N1647" s="282">
        <v>2</v>
      </c>
      <c r="O1647" s="284" t="s">
        <v>5814</v>
      </c>
      <c r="P1647" s="280">
        <v>4136.3599999999997</v>
      </c>
      <c r="Q1647" s="287">
        <v>45628</v>
      </c>
      <c r="R1647" s="272"/>
      <c r="S1647" s="272"/>
      <c r="T1647" s="272"/>
      <c r="U1647" s="272"/>
      <c r="V1647" s="272"/>
      <c r="W1647" s="272"/>
      <c r="X1647" s="272"/>
      <c r="Y1647" s="272"/>
      <c r="Z1647" s="272"/>
      <c r="AA1647" s="272"/>
    </row>
    <row r="1648" spans="1:27">
      <c r="A1648" s="282">
        <v>12</v>
      </c>
      <c r="B1648" s="279" t="s">
        <v>6812</v>
      </c>
      <c r="C1648" s="287">
        <v>45608</v>
      </c>
      <c r="D1648" s="279" t="s">
        <v>4714</v>
      </c>
      <c r="E1648" s="268" t="s">
        <v>3193</v>
      </c>
      <c r="F1648" s="284" t="s">
        <v>4715</v>
      </c>
      <c r="G1648" s="284" t="s">
        <v>4716</v>
      </c>
      <c r="H1648" s="268" t="str">
        <f t="shared" si="9"/>
        <v>ESTEBAN SCOLA PLIEGO</v>
      </c>
      <c r="I1648" s="268" t="s">
        <v>5010</v>
      </c>
      <c r="J1648" s="268" t="s">
        <v>4718</v>
      </c>
      <c r="K1648" s="268" t="s">
        <v>6880</v>
      </c>
      <c r="L1648" s="287">
        <v>45653</v>
      </c>
      <c r="M1648" s="283"/>
      <c r="N1648" s="282">
        <v>2</v>
      </c>
      <c r="O1648" s="284" t="s">
        <v>4720</v>
      </c>
      <c r="P1648" s="280">
        <v>3846.36</v>
      </c>
      <c r="Q1648" s="287">
        <v>45653</v>
      </c>
      <c r="R1648" s="272"/>
      <c r="S1648" s="272"/>
      <c r="T1648" s="272"/>
      <c r="U1648" s="272"/>
      <c r="V1648" s="272"/>
      <c r="W1648" s="272"/>
      <c r="X1648" s="272"/>
      <c r="Y1648" s="272"/>
      <c r="Z1648" s="272"/>
      <c r="AA1648" s="272"/>
    </row>
    <row r="1649" spans="1:27">
      <c r="A1649" s="282">
        <v>12</v>
      </c>
      <c r="B1649" s="279" t="s">
        <v>6812</v>
      </c>
      <c r="C1649" s="287">
        <v>45610</v>
      </c>
      <c r="D1649" s="279" t="s">
        <v>4714</v>
      </c>
      <c r="E1649" s="268" t="s">
        <v>3193</v>
      </c>
      <c r="F1649" s="284" t="s">
        <v>4715</v>
      </c>
      <c r="G1649" s="284" t="s">
        <v>4716</v>
      </c>
      <c r="H1649" s="268" t="str">
        <f t="shared" si="9"/>
        <v>GUSTAVO CÓRDOVA RAMOS</v>
      </c>
      <c r="I1649" s="268" t="s">
        <v>5328</v>
      </c>
      <c r="J1649" s="268" t="s">
        <v>4718</v>
      </c>
      <c r="K1649" s="268" t="s">
        <v>6881</v>
      </c>
      <c r="L1649" s="287">
        <v>45652</v>
      </c>
      <c r="M1649" s="283"/>
      <c r="N1649" s="282">
        <v>2</v>
      </c>
      <c r="O1649" s="284" t="s">
        <v>4720</v>
      </c>
      <c r="P1649" s="280">
        <v>3846.36</v>
      </c>
      <c r="Q1649" s="287">
        <v>45652</v>
      </c>
      <c r="R1649" s="272"/>
      <c r="S1649" s="272"/>
      <c r="T1649" s="272"/>
      <c r="U1649" s="272"/>
      <c r="V1649" s="272"/>
      <c r="W1649" s="272"/>
      <c r="X1649" s="272"/>
      <c r="Y1649" s="272"/>
      <c r="Z1649" s="272"/>
      <c r="AA1649" s="272"/>
    </row>
    <row r="1650" spans="1:27">
      <c r="A1650" s="282">
        <v>12</v>
      </c>
      <c r="B1650" s="279" t="s">
        <v>6812</v>
      </c>
      <c r="C1650" s="287">
        <v>45603</v>
      </c>
      <c r="D1650" s="279" t="s">
        <v>4714</v>
      </c>
      <c r="E1650" s="268" t="s">
        <v>3193</v>
      </c>
      <c r="F1650" s="284" t="s">
        <v>4715</v>
      </c>
      <c r="G1650" s="284" t="s">
        <v>4716</v>
      </c>
      <c r="H1650" s="268" t="str">
        <f t="shared" si="9"/>
        <v>JOSE JOAQUÍN GUTIÉRREZ BARQUÍN</v>
      </c>
      <c r="I1650" s="268" t="s">
        <v>4990</v>
      </c>
      <c r="J1650" s="268" t="s">
        <v>4718</v>
      </c>
      <c r="K1650" s="268" t="s">
        <v>6882</v>
      </c>
      <c r="L1650" s="287">
        <v>45649</v>
      </c>
      <c r="M1650" s="283"/>
      <c r="N1650" s="282">
        <v>2</v>
      </c>
      <c r="O1650" s="284" t="s">
        <v>4720</v>
      </c>
      <c r="P1650" s="280">
        <v>3653.64</v>
      </c>
      <c r="Q1650" s="287">
        <v>45649</v>
      </c>
      <c r="R1650" s="272"/>
      <c r="S1650" s="272"/>
      <c r="T1650" s="272"/>
      <c r="U1650" s="272"/>
      <c r="V1650" s="272"/>
      <c r="W1650" s="272"/>
      <c r="X1650" s="272"/>
      <c r="Y1650" s="272"/>
      <c r="Z1650" s="272"/>
      <c r="AA1650" s="272"/>
    </row>
    <row r="1651" spans="1:27">
      <c r="A1651" s="282">
        <v>12</v>
      </c>
      <c r="B1651" s="279" t="s">
        <v>6812</v>
      </c>
      <c r="C1651" s="287">
        <v>45600</v>
      </c>
      <c r="D1651" s="279" t="s">
        <v>4714</v>
      </c>
      <c r="E1651" s="268" t="s">
        <v>3193</v>
      </c>
      <c r="F1651" s="284" t="s">
        <v>4715</v>
      </c>
      <c r="G1651" s="284" t="s">
        <v>4716</v>
      </c>
      <c r="H1651" s="268" t="str">
        <f t="shared" si="9"/>
        <v>JOSE JOAQUÍN GUTIÉRREZ BARQUÍN</v>
      </c>
      <c r="I1651" s="268" t="s">
        <v>4990</v>
      </c>
      <c r="J1651" s="268" t="s">
        <v>4718</v>
      </c>
      <c r="K1651" s="268" t="s">
        <v>6883</v>
      </c>
      <c r="L1651" s="287">
        <v>45636</v>
      </c>
      <c r="M1651" s="283"/>
      <c r="N1651" s="282">
        <v>2</v>
      </c>
      <c r="O1651" s="284" t="s">
        <v>4723</v>
      </c>
      <c r="P1651" s="280">
        <v>2872.73</v>
      </c>
      <c r="Q1651" s="287">
        <v>45636</v>
      </c>
      <c r="R1651" s="272"/>
      <c r="S1651" s="272"/>
      <c r="T1651" s="272"/>
      <c r="U1651" s="272"/>
      <c r="V1651" s="272"/>
      <c r="W1651" s="272"/>
      <c r="X1651" s="272"/>
      <c r="Y1651" s="272"/>
      <c r="Z1651" s="272"/>
      <c r="AA1651" s="272"/>
    </row>
    <row r="1652" spans="1:27">
      <c r="A1652" s="282">
        <v>12</v>
      </c>
      <c r="B1652" s="279" t="s">
        <v>6812</v>
      </c>
      <c r="C1652" s="287">
        <v>45624</v>
      </c>
      <c r="D1652" s="279" t="s">
        <v>4714</v>
      </c>
      <c r="E1652" s="268" t="s">
        <v>3193</v>
      </c>
      <c r="F1652" s="284" t="s">
        <v>4715</v>
      </c>
      <c r="G1652" s="284" t="s">
        <v>4716</v>
      </c>
      <c r="H1652" s="268" t="str">
        <f t="shared" si="9"/>
        <v>JOSE JOAQUÍN GUTIÉRREZ BARQUÍN</v>
      </c>
      <c r="I1652" s="268" t="s">
        <v>4990</v>
      </c>
      <c r="J1652" s="268" t="s">
        <v>4718</v>
      </c>
      <c r="K1652" s="268" t="s">
        <v>6884</v>
      </c>
      <c r="L1652" s="287">
        <v>45635</v>
      </c>
      <c r="M1652" s="283"/>
      <c r="N1652" s="282">
        <v>2</v>
      </c>
      <c r="O1652" s="284" t="s">
        <v>4720</v>
      </c>
      <c r="P1652" s="280">
        <v>3636.36</v>
      </c>
      <c r="Q1652" s="287">
        <v>45635</v>
      </c>
      <c r="R1652" s="272"/>
      <c r="S1652" s="272"/>
      <c r="T1652" s="272"/>
      <c r="U1652" s="272"/>
      <c r="V1652" s="272"/>
      <c r="W1652" s="272"/>
      <c r="X1652" s="272"/>
      <c r="Y1652" s="272"/>
      <c r="Z1652" s="272"/>
      <c r="AA1652" s="272"/>
    </row>
    <row r="1653" spans="1:27">
      <c r="A1653" s="282">
        <v>12</v>
      </c>
      <c r="B1653" s="279" t="s">
        <v>6812</v>
      </c>
      <c r="C1653" s="287">
        <v>45603</v>
      </c>
      <c r="D1653" s="279" t="s">
        <v>4714</v>
      </c>
      <c r="E1653" s="268" t="s">
        <v>3193</v>
      </c>
      <c r="F1653" s="284" t="s">
        <v>4715</v>
      </c>
      <c r="G1653" s="284" t="s">
        <v>4716</v>
      </c>
      <c r="H1653" s="268" t="str">
        <f t="shared" si="9"/>
        <v>IVÁN MUERTE MORENO</v>
      </c>
      <c r="I1653" s="268" t="s">
        <v>6885</v>
      </c>
      <c r="J1653" s="268" t="s">
        <v>4822</v>
      </c>
      <c r="K1653" s="268" t="s">
        <v>6886</v>
      </c>
      <c r="L1653" s="287">
        <v>45628</v>
      </c>
      <c r="M1653" s="283"/>
      <c r="N1653" s="282">
        <v>2</v>
      </c>
      <c r="O1653" s="284" t="s">
        <v>4720</v>
      </c>
      <c r="P1653" s="280">
        <v>3654.55</v>
      </c>
      <c r="Q1653" s="287">
        <v>45628</v>
      </c>
      <c r="R1653" s="272"/>
      <c r="S1653" s="272"/>
      <c r="T1653" s="272"/>
      <c r="U1653" s="272"/>
      <c r="V1653" s="272"/>
      <c r="W1653" s="272"/>
      <c r="X1653" s="272"/>
      <c r="Y1653" s="272"/>
      <c r="Z1653" s="272"/>
      <c r="AA1653" s="272"/>
    </row>
    <row r="1654" spans="1:27">
      <c r="A1654" s="282">
        <v>12</v>
      </c>
      <c r="B1654" s="279" t="s">
        <v>6812</v>
      </c>
      <c r="C1654" s="287">
        <v>45575</v>
      </c>
      <c r="D1654" s="279" t="s">
        <v>4714</v>
      </c>
      <c r="E1654" s="268" t="s">
        <v>2935</v>
      </c>
      <c r="F1654" s="284" t="s">
        <v>4715</v>
      </c>
      <c r="G1654" s="284" t="s">
        <v>4716</v>
      </c>
      <c r="H1654" s="268" t="str">
        <f t="shared" si="9"/>
        <v>ALEJANDRO HARGUINDEY ANTOLI-CANDELA</v>
      </c>
      <c r="I1654" s="268" t="s">
        <v>6719</v>
      </c>
      <c r="J1654" s="268" t="s">
        <v>4718</v>
      </c>
      <c r="K1654" s="268" t="s">
        <v>6887</v>
      </c>
      <c r="L1654" s="287">
        <v>45652</v>
      </c>
      <c r="M1654" s="283"/>
      <c r="N1654" s="282">
        <v>2</v>
      </c>
      <c r="O1654" s="284" t="s">
        <v>5814</v>
      </c>
      <c r="P1654" s="280">
        <v>4136.3599999999997</v>
      </c>
      <c r="Q1654" s="287">
        <v>45652</v>
      </c>
      <c r="R1654" s="272"/>
      <c r="S1654" s="272"/>
      <c r="T1654" s="272"/>
      <c r="U1654" s="272"/>
      <c r="V1654" s="272"/>
      <c r="W1654" s="272"/>
      <c r="X1654" s="272"/>
      <c r="Y1654" s="272"/>
      <c r="Z1654" s="272"/>
      <c r="AA1654" s="272"/>
    </row>
    <row r="1655" spans="1:27">
      <c r="A1655" s="282">
        <v>12</v>
      </c>
      <c r="B1655" s="279" t="s">
        <v>6812</v>
      </c>
      <c r="C1655" s="287">
        <v>45593</v>
      </c>
      <c r="D1655" s="279" t="s">
        <v>4714</v>
      </c>
      <c r="E1655" s="268" t="s">
        <v>2935</v>
      </c>
      <c r="F1655" s="284" t="s">
        <v>4715</v>
      </c>
      <c r="G1655" s="284" t="s">
        <v>4716</v>
      </c>
      <c r="H1655" s="268" t="str">
        <f t="shared" si="9"/>
        <v>COLOMA GRAU VAN LAAK</v>
      </c>
      <c r="I1655" s="268" t="s">
        <v>6888</v>
      </c>
      <c r="J1655" s="268" t="s">
        <v>4822</v>
      </c>
      <c r="K1655" s="268" t="s">
        <v>6889</v>
      </c>
      <c r="L1655" s="287">
        <v>45645</v>
      </c>
      <c r="M1655" s="283"/>
      <c r="N1655" s="282">
        <v>2</v>
      </c>
      <c r="O1655" s="284" t="s">
        <v>4720</v>
      </c>
      <c r="P1655" s="280">
        <v>3846.36</v>
      </c>
      <c r="Q1655" s="287">
        <v>45645</v>
      </c>
      <c r="R1655" s="272"/>
      <c r="S1655" s="272"/>
      <c r="T1655" s="272"/>
      <c r="U1655" s="272"/>
      <c r="V1655" s="272"/>
      <c r="W1655" s="272"/>
      <c r="X1655" s="272"/>
      <c r="Y1655" s="272"/>
      <c r="Z1655" s="272"/>
      <c r="AA1655" s="272"/>
    </row>
    <row r="1656" spans="1:27">
      <c r="A1656" s="282">
        <v>12</v>
      </c>
      <c r="B1656" s="279" t="s">
        <v>6812</v>
      </c>
      <c r="C1656" s="287">
        <v>45595</v>
      </c>
      <c r="D1656" s="279" t="s">
        <v>4714</v>
      </c>
      <c r="E1656" s="268" t="s">
        <v>2935</v>
      </c>
      <c r="F1656" s="284" t="s">
        <v>4715</v>
      </c>
      <c r="G1656" s="284" t="s">
        <v>4716</v>
      </c>
      <c r="H1656" s="268" t="str">
        <f t="shared" si="9"/>
        <v>Mª FERNANDA ESCALA PEDREROS</v>
      </c>
      <c r="I1656" s="268" t="s">
        <v>5078</v>
      </c>
      <c r="J1656" s="268" t="s">
        <v>4822</v>
      </c>
      <c r="K1656" s="268" t="s">
        <v>6890</v>
      </c>
      <c r="L1656" s="287">
        <v>45644</v>
      </c>
      <c r="M1656" s="283"/>
      <c r="N1656" s="282">
        <v>2</v>
      </c>
      <c r="O1656" s="284" t="s">
        <v>4720</v>
      </c>
      <c r="P1656" s="280">
        <v>3846.36</v>
      </c>
      <c r="Q1656" s="287">
        <v>45644</v>
      </c>
      <c r="R1656" s="272"/>
      <c r="S1656" s="272"/>
      <c r="T1656" s="272"/>
      <c r="U1656" s="272"/>
      <c r="V1656" s="272"/>
      <c r="W1656" s="272"/>
      <c r="X1656" s="272"/>
      <c r="Y1656" s="272"/>
      <c r="Z1656" s="272"/>
      <c r="AA1656" s="272"/>
    </row>
    <row r="1657" spans="1:27">
      <c r="A1657" s="282">
        <v>12</v>
      </c>
      <c r="B1657" s="279" t="s">
        <v>6812</v>
      </c>
      <c r="C1657" s="287">
        <v>45566</v>
      </c>
      <c r="D1657" s="279" t="s">
        <v>4714</v>
      </c>
      <c r="E1657" s="268" t="s">
        <v>2935</v>
      </c>
      <c r="F1657" s="284" t="s">
        <v>4715</v>
      </c>
      <c r="G1657" s="284" t="s">
        <v>4716</v>
      </c>
      <c r="H1657" s="268" t="str">
        <f t="shared" si="9"/>
        <v>ALEJANDRO HARGUINDEY ANTOLI-CANDELA</v>
      </c>
      <c r="I1657" s="268" t="s">
        <v>6719</v>
      </c>
      <c r="J1657" s="268" t="s">
        <v>4718</v>
      </c>
      <c r="K1657" s="268" t="s">
        <v>6891</v>
      </c>
      <c r="L1657" s="287">
        <v>45643</v>
      </c>
      <c r="M1657" s="283"/>
      <c r="N1657" s="282">
        <v>2</v>
      </c>
      <c r="O1657" s="284" t="s">
        <v>4720</v>
      </c>
      <c r="P1657" s="280">
        <v>3846.36</v>
      </c>
      <c r="Q1657" s="287">
        <v>45643</v>
      </c>
      <c r="R1657" s="272"/>
      <c r="S1657" s="272"/>
      <c r="T1657" s="272"/>
      <c r="U1657" s="272"/>
      <c r="V1657" s="272"/>
      <c r="W1657" s="272"/>
      <c r="X1657" s="272"/>
      <c r="Y1657" s="272"/>
      <c r="Z1657" s="272"/>
      <c r="AA1657" s="272"/>
    </row>
    <row r="1658" spans="1:27">
      <c r="A1658" s="282">
        <v>12</v>
      </c>
      <c r="B1658" s="279" t="s">
        <v>6812</v>
      </c>
      <c r="C1658" s="287">
        <v>45565</v>
      </c>
      <c r="D1658" s="279" t="s">
        <v>4714</v>
      </c>
      <c r="E1658" s="268" t="s">
        <v>2935</v>
      </c>
      <c r="F1658" s="284" t="s">
        <v>4715</v>
      </c>
      <c r="G1658" s="284" t="s">
        <v>4716</v>
      </c>
      <c r="H1658" s="268" t="str">
        <f t="shared" si="9"/>
        <v>OSCAR A. SÁNCHEZ VALENZUELA</v>
      </c>
      <c r="I1658" s="268" t="s">
        <v>6892</v>
      </c>
      <c r="J1658" s="268" t="s">
        <v>4718</v>
      </c>
      <c r="K1658" s="268" t="s">
        <v>6893</v>
      </c>
      <c r="L1658" s="287">
        <v>45643</v>
      </c>
      <c r="M1658" s="283"/>
      <c r="N1658" s="282">
        <v>2</v>
      </c>
      <c r="O1658" s="284" t="s">
        <v>4720</v>
      </c>
      <c r="P1658" s="280">
        <v>3846.36</v>
      </c>
      <c r="Q1658" s="287">
        <v>45643</v>
      </c>
      <c r="R1658" s="272"/>
      <c r="S1658" s="272"/>
      <c r="T1658" s="272"/>
      <c r="U1658" s="272"/>
      <c r="V1658" s="272"/>
      <c r="W1658" s="272"/>
      <c r="X1658" s="272"/>
      <c r="Y1658" s="272"/>
      <c r="Z1658" s="272"/>
      <c r="AA1658" s="272"/>
    </row>
    <row r="1659" spans="1:27">
      <c r="A1659" s="282">
        <v>12</v>
      </c>
      <c r="B1659" s="279" t="s">
        <v>6812</v>
      </c>
      <c r="C1659" s="287">
        <v>45593</v>
      </c>
      <c r="D1659" s="279" t="s">
        <v>4714</v>
      </c>
      <c r="E1659" s="268" t="s">
        <v>2935</v>
      </c>
      <c r="F1659" s="284" t="s">
        <v>4715</v>
      </c>
      <c r="G1659" s="284" t="s">
        <v>4716</v>
      </c>
      <c r="H1659" s="268" t="str">
        <f t="shared" si="9"/>
        <v>ALFONSO SANTAMARÍA GADEA</v>
      </c>
      <c r="I1659" s="268" t="s">
        <v>6894</v>
      </c>
      <c r="J1659" s="268" t="s">
        <v>4718</v>
      </c>
      <c r="K1659" s="268" t="s">
        <v>6895</v>
      </c>
      <c r="L1659" s="287">
        <v>45637</v>
      </c>
      <c r="M1659" s="283"/>
      <c r="N1659" s="282">
        <v>2</v>
      </c>
      <c r="O1659" s="284" t="s">
        <v>5814</v>
      </c>
      <c r="P1659" s="280">
        <v>4136.3599999999997</v>
      </c>
      <c r="Q1659" s="287">
        <v>45637</v>
      </c>
      <c r="R1659" s="272"/>
      <c r="S1659" s="272"/>
      <c r="T1659" s="272"/>
      <c r="U1659" s="272"/>
      <c r="V1659" s="272"/>
      <c r="W1659" s="272"/>
      <c r="X1659" s="272"/>
      <c r="Y1659" s="272"/>
      <c r="Z1659" s="272"/>
      <c r="AA1659" s="272"/>
    </row>
    <row r="1660" spans="1:27">
      <c r="A1660" s="282">
        <v>12</v>
      </c>
      <c r="B1660" s="279" t="s">
        <v>6812</v>
      </c>
      <c r="C1660" s="287">
        <v>45596</v>
      </c>
      <c r="D1660" s="279" t="s">
        <v>4714</v>
      </c>
      <c r="E1660" s="268" t="s">
        <v>2935</v>
      </c>
      <c r="F1660" s="284" t="s">
        <v>4715</v>
      </c>
      <c r="G1660" s="284" t="s">
        <v>4716</v>
      </c>
      <c r="H1660" s="268" t="str">
        <f t="shared" si="9"/>
        <v>ALEJANDRO HARGUINDEY ANTOLI-CANDELA</v>
      </c>
      <c r="I1660" s="268" t="s">
        <v>6719</v>
      </c>
      <c r="J1660" s="268" t="s">
        <v>4718</v>
      </c>
      <c r="K1660" s="268" t="s">
        <v>6896</v>
      </c>
      <c r="L1660" s="287">
        <v>45637</v>
      </c>
      <c r="M1660" s="283"/>
      <c r="N1660" s="282">
        <v>2</v>
      </c>
      <c r="O1660" s="284" t="s">
        <v>5814</v>
      </c>
      <c r="P1660" s="280">
        <v>4136.3599999999997</v>
      </c>
      <c r="Q1660" s="287">
        <v>45637</v>
      </c>
      <c r="R1660" s="272"/>
      <c r="S1660" s="272"/>
      <c r="T1660" s="272"/>
      <c r="U1660" s="272"/>
      <c r="V1660" s="272"/>
      <c r="W1660" s="272"/>
      <c r="X1660" s="272"/>
      <c r="Y1660" s="272"/>
      <c r="Z1660" s="272"/>
      <c r="AA1660" s="272"/>
    </row>
    <row r="1661" spans="1:27">
      <c r="A1661" s="282">
        <v>12</v>
      </c>
      <c r="B1661" s="279" t="s">
        <v>6812</v>
      </c>
      <c r="C1661" s="287">
        <v>45611</v>
      </c>
      <c r="D1661" s="279" t="s">
        <v>4714</v>
      </c>
      <c r="E1661" s="268" t="s">
        <v>3605</v>
      </c>
      <c r="F1661" s="284" t="s">
        <v>4715</v>
      </c>
      <c r="G1661" s="284" t="s">
        <v>6336</v>
      </c>
      <c r="H1661" s="268" t="str">
        <f t="shared" si="9"/>
        <v>ANTONIO RODRÍGUEZ RIVERO</v>
      </c>
      <c r="I1661" s="268" t="s">
        <v>4717</v>
      </c>
      <c r="J1661" s="268" t="s">
        <v>4718</v>
      </c>
      <c r="K1661" s="268" t="s">
        <v>6897</v>
      </c>
      <c r="L1661" s="287">
        <v>45657</v>
      </c>
      <c r="M1661" s="283"/>
      <c r="N1661" s="282">
        <v>1</v>
      </c>
      <c r="O1661" s="284" t="s">
        <v>5814</v>
      </c>
      <c r="P1661" s="280">
        <v>1983.64</v>
      </c>
      <c r="Q1661" s="287">
        <v>45657</v>
      </c>
      <c r="R1661" s="272"/>
      <c r="S1661" s="272"/>
      <c r="T1661" s="272"/>
      <c r="U1661" s="272"/>
      <c r="V1661" s="272"/>
      <c r="W1661" s="272"/>
      <c r="X1661" s="272"/>
      <c r="Y1661" s="272"/>
      <c r="Z1661" s="272"/>
      <c r="AA1661" s="272"/>
    </row>
    <row r="1662" spans="1:27">
      <c r="A1662" s="282">
        <v>12</v>
      </c>
      <c r="B1662" s="279" t="s">
        <v>6812</v>
      </c>
      <c r="C1662" s="287">
        <v>45609</v>
      </c>
      <c r="D1662" s="279" t="s">
        <v>4714</v>
      </c>
      <c r="E1662" s="268" t="s">
        <v>3605</v>
      </c>
      <c r="F1662" s="284" t="s">
        <v>4715</v>
      </c>
      <c r="G1662" s="284" t="s">
        <v>4716</v>
      </c>
      <c r="H1662" s="268" t="str">
        <f t="shared" si="9"/>
        <v>LAURA YEGUAS RAMÍREZ</v>
      </c>
      <c r="I1662" s="268" t="s">
        <v>5060</v>
      </c>
      <c r="J1662" s="268" t="s">
        <v>4718</v>
      </c>
      <c r="K1662" s="268" t="s">
        <v>6898</v>
      </c>
      <c r="L1662" s="287">
        <v>45649</v>
      </c>
      <c r="M1662" s="283"/>
      <c r="N1662" s="282">
        <v>1</v>
      </c>
      <c r="O1662" s="284" t="s">
        <v>5814</v>
      </c>
      <c r="P1662" s="280">
        <v>2400</v>
      </c>
      <c r="Q1662" s="287">
        <v>45649</v>
      </c>
      <c r="R1662" s="272"/>
      <c r="S1662" s="272"/>
      <c r="T1662" s="272"/>
      <c r="U1662" s="272"/>
      <c r="V1662" s="272"/>
      <c r="W1662" s="272"/>
      <c r="X1662" s="272"/>
      <c r="Y1662" s="272"/>
      <c r="Z1662" s="272"/>
      <c r="AA1662" s="272"/>
    </row>
    <row r="1663" spans="1:27">
      <c r="A1663" s="282">
        <v>12</v>
      </c>
      <c r="B1663" s="279" t="s">
        <v>6812</v>
      </c>
      <c r="C1663" s="287">
        <v>45580</v>
      </c>
      <c r="D1663" s="279" t="s">
        <v>4714</v>
      </c>
      <c r="E1663" s="268" t="s">
        <v>3605</v>
      </c>
      <c r="F1663" s="284" t="s">
        <v>4715</v>
      </c>
      <c r="G1663" s="284" t="s">
        <v>4716</v>
      </c>
      <c r="H1663" s="268" t="str">
        <f t="shared" si="9"/>
        <v>GUILLERMO SAN JUAN DE LA MORETA</v>
      </c>
      <c r="I1663" s="268" t="s">
        <v>5100</v>
      </c>
      <c r="J1663" s="268" t="s">
        <v>4718</v>
      </c>
      <c r="K1663" s="268" t="s">
        <v>6899</v>
      </c>
      <c r="L1663" s="287">
        <v>45642</v>
      </c>
      <c r="M1663" s="283"/>
      <c r="N1663" s="282">
        <v>2</v>
      </c>
      <c r="O1663" s="284" t="s">
        <v>4720</v>
      </c>
      <c r="P1663" s="280">
        <v>3164.55</v>
      </c>
      <c r="Q1663" s="287">
        <v>45642</v>
      </c>
      <c r="R1663" s="272"/>
      <c r="S1663" s="272"/>
      <c r="T1663" s="272"/>
      <c r="U1663" s="272"/>
      <c r="V1663" s="272"/>
      <c r="W1663" s="272"/>
      <c r="X1663" s="272"/>
      <c r="Y1663" s="272"/>
      <c r="Z1663" s="272"/>
      <c r="AA1663" s="272"/>
    </row>
    <row r="1664" spans="1:27">
      <c r="A1664" s="282">
        <v>12</v>
      </c>
      <c r="B1664" s="279" t="s">
        <v>6812</v>
      </c>
      <c r="C1664" s="287">
        <v>45611</v>
      </c>
      <c r="D1664" s="279" t="s">
        <v>4714</v>
      </c>
      <c r="E1664" s="268" t="s">
        <v>3605</v>
      </c>
      <c r="F1664" s="284" t="s">
        <v>4715</v>
      </c>
      <c r="G1664" s="284" t="s">
        <v>4716</v>
      </c>
      <c r="H1664" s="268" t="str">
        <f t="shared" si="9"/>
        <v>CARLOS BARAJAS DEL ROSAL</v>
      </c>
      <c r="I1664" s="268" t="s">
        <v>4934</v>
      </c>
      <c r="J1664" s="268" t="s">
        <v>4822</v>
      </c>
      <c r="K1664" s="268" t="s">
        <v>6900</v>
      </c>
      <c r="L1664" s="287">
        <v>45637</v>
      </c>
      <c r="M1664" s="283"/>
      <c r="N1664" s="282">
        <v>2</v>
      </c>
      <c r="O1664" s="284" t="s">
        <v>4723</v>
      </c>
      <c r="P1664" s="280">
        <v>2579.09</v>
      </c>
      <c r="Q1664" s="287">
        <v>45637</v>
      </c>
      <c r="R1664" s="272"/>
      <c r="S1664" s="272"/>
      <c r="T1664" s="272"/>
      <c r="U1664" s="272"/>
      <c r="V1664" s="272"/>
      <c r="W1664" s="272"/>
      <c r="X1664" s="272"/>
      <c r="Y1664" s="272"/>
      <c r="Z1664" s="272"/>
      <c r="AA1664" s="272"/>
    </row>
    <row r="1665" spans="1:27">
      <c r="A1665" s="282">
        <v>12</v>
      </c>
      <c r="B1665" s="279" t="s">
        <v>6812</v>
      </c>
      <c r="C1665" s="287">
        <v>45607</v>
      </c>
      <c r="D1665" s="279" t="s">
        <v>4714</v>
      </c>
      <c r="E1665" s="268" t="s">
        <v>3605</v>
      </c>
      <c r="F1665" s="284" t="s">
        <v>4715</v>
      </c>
      <c r="G1665" s="284" t="s">
        <v>4716</v>
      </c>
      <c r="H1665" s="268" t="str">
        <f t="shared" si="9"/>
        <v>JULIO LÓPEZ MOYA</v>
      </c>
      <c r="I1665" s="268" t="s">
        <v>4778</v>
      </c>
      <c r="J1665" s="268" t="s">
        <v>4718</v>
      </c>
      <c r="K1665" s="268" t="s">
        <v>6901</v>
      </c>
      <c r="L1665" s="287">
        <v>45630</v>
      </c>
      <c r="M1665" s="283"/>
      <c r="N1665" s="282">
        <v>2</v>
      </c>
      <c r="O1665" s="284" t="s">
        <v>4787</v>
      </c>
      <c r="P1665" s="280">
        <v>4400</v>
      </c>
      <c r="Q1665" s="287">
        <v>45630</v>
      </c>
      <c r="R1665" s="272"/>
      <c r="S1665" s="272"/>
      <c r="T1665" s="272"/>
      <c r="U1665" s="272"/>
      <c r="V1665" s="272"/>
      <c r="W1665" s="272"/>
      <c r="X1665" s="272"/>
      <c r="Y1665" s="272"/>
      <c r="Z1665" s="272"/>
      <c r="AA1665" s="272"/>
    </row>
    <row r="1666" spans="1:27">
      <c r="A1666" s="282">
        <v>12</v>
      </c>
      <c r="B1666" s="279" t="s">
        <v>6812</v>
      </c>
      <c r="C1666" s="287">
        <v>45604</v>
      </c>
      <c r="D1666" s="279" t="s">
        <v>4714</v>
      </c>
      <c r="E1666" s="268" t="s">
        <v>3605</v>
      </c>
      <c r="F1666" s="284" t="s">
        <v>4715</v>
      </c>
      <c r="G1666" s="284" t="s">
        <v>4716</v>
      </c>
      <c r="H1666" s="268" t="str">
        <f t="shared" si="9"/>
        <v>LAURA YEGUAS RAMÍREZ</v>
      </c>
      <c r="I1666" s="268" t="s">
        <v>5060</v>
      </c>
      <c r="J1666" s="268" t="s">
        <v>4718</v>
      </c>
      <c r="K1666" s="268" t="s">
        <v>6902</v>
      </c>
      <c r="L1666" s="287">
        <v>45630</v>
      </c>
      <c r="M1666" s="283"/>
      <c r="N1666" s="282">
        <v>2</v>
      </c>
      <c r="O1666" s="284" t="s">
        <v>5814</v>
      </c>
      <c r="P1666" s="280">
        <v>4000</v>
      </c>
      <c r="Q1666" s="287">
        <v>45630</v>
      </c>
      <c r="R1666" s="272"/>
      <c r="S1666" s="272"/>
      <c r="T1666" s="272"/>
      <c r="U1666" s="272"/>
      <c r="V1666" s="272"/>
      <c r="W1666" s="272"/>
      <c r="X1666" s="272"/>
      <c r="Y1666" s="272"/>
      <c r="Z1666" s="272"/>
      <c r="AA1666" s="272"/>
    </row>
    <row r="1667" spans="1:27">
      <c r="A1667" s="282">
        <v>12</v>
      </c>
      <c r="B1667" s="279" t="s">
        <v>6812</v>
      </c>
      <c r="C1667" s="287">
        <v>45443</v>
      </c>
      <c r="D1667" s="279" t="s">
        <v>4714</v>
      </c>
      <c r="E1667" s="268" t="s">
        <v>3193</v>
      </c>
      <c r="F1667" s="284" t="s">
        <v>4715</v>
      </c>
      <c r="G1667" s="284" t="s">
        <v>4716</v>
      </c>
      <c r="H1667" s="268" t="str">
        <f t="shared" si="9"/>
        <v>JAIME SANABRIA BRASSART</v>
      </c>
      <c r="I1667" s="268" t="s">
        <v>4753</v>
      </c>
      <c r="J1667" s="268" t="s">
        <v>4822</v>
      </c>
      <c r="K1667" s="268" t="s">
        <v>6112</v>
      </c>
      <c r="L1667" s="287">
        <v>45646</v>
      </c>
      <c r="M1667" s="283"/>
      <c r="N1667" s="282">
        <v>1</v>
      </c>
      <c r="O1667" s="284" t="s">
        <v>5814</v>
      </c>
      <c r="P1667" s="280">
        <v>1796.15</v>
      </c>
      <c r="Q1667" s="287">
        <v>45646</v>
      </c>
      <c r="R1667" s="272"/>
      <c r="S1667" s="272"/>
      <c r="T1667" s="272"/>
      <c r="U1667" s="272"/>
      <c r="V1667" s="272"/>
      <c r="W1667" s="272"/>
      <c r="X1667" s="272"/>
      <c r="Y1667" s="272"/>
      <c r="Z1667" s="272"/>
      <c r="AA1667" s="272"/>
    </row>
    <row r="1668" spans="1:27">
      <c r="A1668" s="282">
        <v>12</v>
      </c>
      <c r="B1668" s="279" t="s">
        <v>6812</v>
      </c>
      <c r="C1668" s="287">
        <v>45608</v>
      </c>
      <c r="D1668" s="279" t="s">
        <v>4714</v>
      </c>
      <c r="E1668" s="268" t="s">
        <v>3758</v>
      </c>
      <c r="F1668" s="284" t="s">
        <v>4715</v>
      </c>
      <c r="G1668" s="284" t="s">
        <v>4716</v>
      </c>
      <c r="H1668" s="268" t="str">
        <f t="shared" si="9"/>
        <v>CRISTINA VADUVA</v>
      </c>
      <c r="I1668" s="268" t="s">
        <v>4773</v>
      </c>
      <c r="J1668" s="268" t="s">
        <v>4718</v>
      </c>
      <c r="K1668" s="268" t="s">
        <v>6903</v>
      </c>
      <c r="L1668" s="287">
        <v>45644</v>
      </c>
      <c r="M1668" s="283"/>
      <c r="N1668" s="282">
        <v>2</v>
      </c>
      <c r="O1668" s="284" t="s">
        <v>5814</v>
      </c>
      <c r="P1668" s="280">
        <v>4000</v>
      </c>
      <c r="Q1668" s="287">
        <v>45644</v>
      </c>
      <c r="R1668" s="272"/>
      <c r="S1668" s="272"/>
      <c r="T1668" s="272"/>
      <c r="U1668" s="272"/>
      <c r="V1668" s="272"/>
      <c r="W1668" s="272"/>
      <c r="X1668" s="272"/>
      <c r="Y1668" s="272"/>
      <c r="Z1668" s="272"/>
      <c r="AA1668" s="272"/>
    </row>
    <row r="1669" spans="1:27">
      <c r="A1669" s="282">
        <v>12</v>
      </c>
      <c r="B1669" s="279" t="s">
        <v>6812</v>
      </c>
      <c r="C1669" s="287">
        <v>45475</v>
      </c>
      <c r="D1669" s="279" t="s">
        <v>6840</v>
      </c>
      <c r="E1669" s="268" t="s">
        <v>3758</v>
      </c>
      <c r="F1669" s="284" t="s">
        <v>4715</v>
      </c>
      <c r="G1669" s="284" t="s">
        <v>4716</v>
      </c>
      <c r="H1669" s="268" t="str">
        <f t="shared" si="9"/>
        <v>ALEJANDRO HARGUINDEY ANTOLI-CANDELA</v>
      </c>
      <c r="I1669" s="268" t="s">
        <v>6719</v>
      </c>
      <c r="J1669" s="268" t="s">
        <v>4718</v>
      </c>
      <c r="K1669" s="268" t="s">
        <v>6145</v>
      </c>
      <c r="L1669" s="287">
        <v>45630</v>
      </c>
      <c r="M1669" s="283"/>
      <c r="N1669" s="282">
        <v>1</v>
      </c>
      <c r="O1669" s="284" t="s">
        <v>4787</v>
      </c>
      <c r="P1669" s="280">
        <v>2112</v>
      </c>
      <c r="Q1669" s="287">
        <v>45630</v>
      </c>
      <c r="R1669" s="272"/>
      <c r="S1669" s="272"/>
      <c r="T1669" s="272"/>
      <c r="U1669" s="272"/>
      <c r="V1669" s="272"/>
      <c r="W1669" s="272"/>
      <c r="X1669" s="272"/>
      <c r="Y1669" s="272"/>
      <c r="Z1669" s="272"/>
      <c r="AA1669" s="272"/>
    </row>
    <row r="1670" spans="1:27">
      <c r="A1670" s="282">
        <v>12</v>
      </c>
      <c r="B1670" s="279" t="s">
        <v>6812</v>
      </c>
      <c r="C1670" s="287">
        <v>45398</v>
      </c>
      <c r="D1670" s="279" t="s">
        <v>4714</v>
      </c>
      <c r="E1670" s="268" t="s">
        <v>2869</v>
      </c>
      <c r="F1670" s="284" t="s">
        <v>4715</v>
      </c>
      <c r="G1670" s="284" t="s">
        <v>4716</v>
      </c>
      <c r="H1670" s="268" t="str">
        <f t="shared" si="9"/>
        <v>Mª AGUSTINA SEVILLA GARCÍA</v>
      </c>
      <c r="I1670" s="268" t="s">
        <v>6904</v>
      </c>
      <c r="J1670" s="272" t="s">
        <v>4736</v>
      </c>
      <c r="K1670" s="268" t="s">
        <v>6905</v>
      </c>
      <c r="L1670" s="287">
        <v>45657</v>
      </c>
      <c r="M1670" s="283"/>
      <c r="N1670" s="282">
        <v>2</v>
      </c>
      <c r="O1670" s="284" t="s">
        <v>5814</v>
      </c>
      <c r="P1670" s="280">
        <v>4000</v>
      </c>
      <c r="Q1670" s="287">
        <v>45657</v>
      </c>
      <c r="R1670" s="272"/>
      <c r="S1670" s="272"/>
      <c r="T1670" s="272"/>
      <c r="U1670" s="272"/>
      <c r="V1670" s="272"/>
      <c r="W1670" s="272"/>
      <c r="X1670" s="272"/>
      <c r="Y1670" s="272"/>
      <c r="Z1670" s="272"/>
      <c r="AA1670" s="272"/>
    </row>
    <row r="1671" spans="1:27">
      <c r="A1671" s="282">
        <v>12</v>
      </c>
      <c r="B1671" s="279" t="s">
        <v>6812</v>
      </c>
      <c r="C1671" s="287">
        <v>45621</v>
      </c>
      <c r="D1671" s="279" t="s">
        <v>4714</v>
      </c>
      <c r="E1671" s="268" t="s">
        <v>2869</v>
      </c>
      <c r="F1671" s="284" t="s">
        <v>4715</v>
      </c>
      <c r="G1671" s="284" t="s">
        <v>4716</v>
      </c>
      <c r="H1671" s="268" t="str">
        <f t="shared" si="9"/>
        <v>BEATRIZ RODRÍGUEZ GONZÁLEZ HERRERO</v>
      </c>
      <c r="I1671" s="268" t="s">
        <v>5672</v>
      </c>
      <c r="J1671" s="268" t="s">
        <v>4736</v>
      </c>
      <c r="K1671" s="268" t="s">
        <v>6906</v>
      </c>
      <c r="L1671" s="287">
        <v>45653</v>
      </c>
      <c r="M1671" s="283"/>
      <c r="N1671" s="282">
        <v>2</v>
      </c>
      <c r="O1671" s="284" t="s">
        <v>4723</v>
      </c>
      <c r="P1671" s="280">
        <v>2888.18</v>
      </c>
      <c r="Q1671" s="287">
        <v>45653</v>
      </c>
      <c r="R1671" s="272"/>
      <c r="S1671" s="272"/>
      <c r="T1671" s="272"/>
      <c r="U1671" s="272"/>
      <c r="V1671" s="272"/>
      <c r="W1671" s="272"/>
      <c r="X1671" s="272"/>
      <c r="Y1671" s="272"/>
      <c r="Z1671" s="272"/>
      <c r="AA1671" s="272"/>
    </row>
    <row r="1672" spans="1:27">
      <c r="A1672" s="282">
        <v>12</v>
      </c>
      <c r="B1672" s="279" t="s">
        <v>6812</v>
      </c>
      <c r="C1672" s="287">
        <v>45617</v>
      </c>
      <c r="D1672" s="279" t="s">
        <v>4714</v>
      </c>
      <c r="E1672" s="268" t="s">
        <v>2869</v>
      </c>
      <c r="F1672" s="284" t="s">
        <v>4715</v>
      </c>
      <c r="G1672" s="284" t="s">
        <v>4716</v>
      </c>
      <c r="H1672" s="268" t="str">
        <f t="shared" si="9"/>
        <v>MARÍA AGUSTINA SEVILLA GARCÍA</v>
      </c>
      <c r="I1672" s="268" t="s">
        <v>4812</v>
      </c>
      <c r="J1672" s="268" t="s">
        <v>4736</v>
      </c>
      <c r="K1672" s="268" t="s">
        <v>6907</v>
      </c>
      <c r="L1672" s="287">
        <v>45652</v>
      </c>
      <c r="M1672" s="283"/>
      <c r="N1672" s="282">
        <v>2</v>
      </c>
      <c r="O1672" s="284" t="s">
        <v>5814</v>
      </c>
      <c r="P1672" s="280">
        <v>4000</v>
      </c>
      <c r="Q1672" s="287">
        <v>45652</v>
      </c>
      <c r="R1672" s="272"/>
      <c r="S1672" s="272"/>
      <c r="T1672" s="272"/>
      <c r="U1672" s="272"/>
      <c r="V1672" s="272"/>
      <c r="W1672" s="272"/>
      <c r="X1672" s="272"/>
      <c r="Y1672" s="272"/>
      <c r="Z1672" s="272"/>
      <c r="AA1672" s="272"/>
    </row>
    <row r="1673" spans="1:27">
      <c r="A1673" s="282">
        <v>12</v>
      </c>
      <c r="B1673" s="279" t="s">
        <v>6812</v>
      </c>
      <c r="C1673" s="287">
        <v>45576</v>
      </c>
      <c r="D1673" s="279" t="s">
        <v>4714</v>
      </c>
      <c r="E1673" s="268" t="s">
        <v>2869</v>
      </c>
      <c r="F1673" s="284" t="s">
        <v>4715</v>
      </c>
      <c r="G1673" s="284" t="s">
        <v>4716</v>
      </c>
      <c r="H1673" s="268" t="str">
        <f t="shared" si="9"/>
        <v>MARÍA AGUSTINA SEVILLA GARCÍA</v>
      </c>
      <c r="I1673" s="268" t="s">
        <v>4812</v>
      </c>
      <c r="J1673" s="268" t="s">
        <v>4736</v>
      </c>
      <c r="K1673" s="268" t="s">
        <v>6908</v>
      </c>
      <c r="L1673" s="287">
        <v>45649</v>
      </c>
      <c r="M1673" s="283"/>
      <c r="N1673" s="282">
        <v>2</v>
      </c>
      <c r="O1673" s="284" t="s">
        <v>4720</v>
      </c>
      <c r="P1673" s="280">
        <v>3710</v>
      </c>
      <c r="Q1673" s="287">
        <v>45649</v>
      </c>
      <c r="R1673" s="272"/>
      <c r="S1673" s="272"/>
      <c r="T1673" s="272"/>
      <c r="U1673" s="272"/>
      <c r="V1673" s="272"/>
      <c r="W1673" s="272"/>
      <c r="X1673" s="272"/>
      <c r="Y1673" s="272"/>
      <c r="Z1673" s="272"/>
      <c r="AA1673" s="272"/>
    </row>
    <row r="1674" spans="1:27">
      <c r="A1674" s="282">
        <v>12</v>
      </c>
      <c r="B1674" s="279" t="s">
        <v>6812</v>
      </c>
      <c r="C1674" s="287">
        <v>43778</v>
      </c>
      <c r="D1674" s="279" t="s">
        <v>4714</v>
      </c>
      <c r="E1674" s="268" t="s">
        <v>2869</v>
      </c>
      <c r="F1674" s="284" t="s">
        <v>4715</v>
      </c>
      <c r="G1674" s="284" t="s">
        <v>4716</v>
      </c>
      <c r="H1674" s="268" t="str">
        <f t="shared" si="9"/>
        <v>IGNACIO ALBALADEJO DEVIS</v>
      </c>
      <c r="I1674" s="268" t="s">
        <v>4755</v>
      </c>
      <c r="J1674" s="272" t="s">
        <v>4736</v>
      </c>
      <c r="K1674" s="268" t="s">
        <v>6909</v>
      </c>
      <c r="L1674" s="287">
        <v>45646</v>
      </c>
      <c r="M1674" s="283"/>
      <c r="N1674" s="282">
        <v>1</v>
      </c>
      <c r="O1674" s="284" t="s">
        <v>5814</v>
      </c>
      <c r="P1674" s="280">
        <v>2400</v>
      </c>
      <c r="Q1674" s="287">
        <v>45646</v>
      </c>
      <c r="R1674" s="272"/>
      <c r="S1674" s="272"/>
      <c r="T1674" s="272"/>
      <c r="U1674" s="272"/>
      <c r="V1674" s="272"/>
      <c r="W1674" s="272"/>
      <c r="X1674" s="272"/>
      <c r="Y1674" s="272"/>
      <c r="Z1674" s="272"/>
      <c r="AA1674" s="272"/>
    </row>
    <row r="1675" spans="1:27">
      <c r="A1675" s="282">
        <v>12</v>
      </c>
      <c r="B1675" s="279" t="s">
        <v>6812</v>
      </c>
      <c r="C1675" s="287">
        <v>45608</v>
      </c>
      <c r="D1675" s="279" t="s">
        <v>4714</v>
      </c>
      <c r="E1675" s="268" t="s">
        <v>2869</v>
      </c>
      <c r="F1675" s="284" t="s">
        <v>4715</v>
      </c>
      <c r="G1675" s="284" t="s">
        <v>4716</v>
      </c>
      <c r="H1675" s="268" t="str">
        <f t="shared" si="9"/>
        <v>AIDA AVIÑOA ARIAS</v>
      </c>
      <c r="I1675" s="268" t="s">
        <v>5298</v>
      </c>
      <c r="J1675" s="268" t="s">
        <v>4736</v>
      </c>
      <c r="K1675" s="268" t="s">
        <v>6910</v>
      </c>
      <c r="L1675" s="287">
        <v>45643</v>
      </c>
      <c r="M1675" s="283"/>
      <c r="N1675" s="282">
        <v>1</v>
      </c>
      <c r="O1675" s="284" t="s">
        <v>5814</v>
      </c>
      <c r="P1675" s="280">
        <v>2400</v>
      </c>
      <c r="Q1675" s="287">
        <v>45643</v>
      </c>
      <c r="R1675" s="272"/>
      <c r="S1675" s="272"/>
      <c r="T1675" s="272"/>
      <c r="U1675" s="272"/>
      <c r="V1675" s="272"/>
      <c r="W1675" s="272"/>
      <c r="X1675" s="272"/>
      <c r="Y1675" s="272"/>
      <c r="Z1675" s="272"/>
      <c r="AA1675" s="272"/>
    </row>
    <row r="1676" spans="1:27">
      <c r="A1676" s="282">
        <v>12</v>
      </c>
      <c r="B1676" s="279" t="s">
        <v>6812</v>
      </c>
      <c r="C1676" s="287">
        <v>45611</v>
      </c>
      <c r="D1676" s="279" t="s">
        <v>4714</v>
      </c>
      <c r="E1676" s="268" t="s">
        <v>2869</v>
      </c>
      <c r="F1676" s="284" t="s">
        <v>4715</v>
      </c>
      <c r="G1676" s="284" t="s">
        <v>4716</v>
      </c>
      <c r="H1676" s="268" t="str">
        <f t="shared" si="9"/>
        <v>JESÚS MIGUEL INIESTA TURPÍN</v>
      </c>
      <c r="I1676" s="268" t="s">
        <v>4868</v>
      </c>
      <c r="J1676" s="268" t="s">
        <v>4736</v>
      </c>
      <c r="K1676" s="268" t="s">
        <v>6911</v>
      </c>
      <c r="L1676" s="287">
        <v>45639</v>
      </c>
      <c r="M1676" s="283"/>
      <c r="N1676" s="282">
        <v>2</v>
      </c>
      <c r="O1676" s="284" t="s">
        <v>4723</v>
      </c>
      <c r="P1676" s="280">
        <v>2888.19</v>
      </c>
      <c r="Q1676" s="287">
        <v>45639</v>
      </c>
      <c r="R1676" s="272"/>
      <c r="S1676" s="272"/>
      <c r="T1676" s="272"/>
      <c r="U1676" s="272"/>
      <c r="V1676" s="272"/>
      <c r="W1676" s="272"/>
      <c r="X1676" s="272"/>
      <c r="Y1676" s="272"/>
      <c r="Z1676" s="272"/>
      <c r="AA1676" s="272"/>
    </row>
    <row r="1677" spans="1:27">
      <c r="A1677" s="282">
        <v>12</v>
      </c>
      <c r="B1677" s="279" t="s">
        <v>6812</v>
      </c>
      <c r="C1677" s="287">
        <v>45601</v>
      </c>
      <c r="D1677" s="279" t="s">
        <v>4714</v>
      </c>
      <c r="E1677" s="268" t="s">
        <v>2869</v>
      </c>
      <c r="F1677" s="284" t="s">
        <v>4715</v>
      </c>
      <c r="G1677" s="284" t="s">
        <v>4716</v>
      </c>
      <c r="H1677" s="268" t="str">
        <f t="shared" si="9"/>
        <v>AIDA AVIÑOA ARIAS</v>
      </c>
      <c r="I1677" s="268" t="s">
        <v>5298</v>
      </c>
      <c r="J1677" s="268" t="s">
        <v>4736</v>
      </c>
      <c r="K1677" s="268" t="s">
        <v>6912</v>
      </c>
      <c r="L1677" s="287">
        <v>45628</v>
      </c>
      <c r="M1677" s="283"/>
      <c r="N1677" s="282">
        <v>1</v>
      </c>
      <c r="O1677" s="284" t="s">
        <v>5814</v>
      </c>
      <c r="P1677" s="280">
        <v>2400</v>
      </c>
      <c r="Q1677" s="287">
        <v>45628</v>
      </c>
      <c r="R1677" s="272"/>
      <c r="S1677" s="272"/>
      <c r="T1677" s="272"/>
      <c r="U1677" s="272"/>
      <c r="V1677" s="272"/>
      <c r="W1677" s="272"/>
      <c r="X1677" s="272"/>
      <c r="Y1677" s="272"/>
      <c r="Z1677" s="272"/>
      <c r="AA1677" s="272"/>
    </row>
    <row r="1678" spans="1:27">
      <c r="A1678" s="282">
        <v>12</v>
      </c>
      <c r="B1678" s="279" t="s">
        <v>6812</v>
      </c>
      <c r="C1678" s="287">
        <v>45604</v>
      </c>
      <c r="D1678" s="279" t="s">
        <v>4714</v>
      </c>
      <c r="E1678" s="268" t="s">
        <v>2873</v>
      </c>
      <c r="F1678" s="284" t="s">
        <v>4715</v>
      </c>
      <c r="G1678" s="284" t="s">
        <v>4716</v>
      </c>
      <c r="H1678" s="268" t="str">
        <f t="shared" si="9"/>
        <v>NO REUERDA ORL</v>
      </c>
      <c r="I1678" s="268" t="s">
        <v>4743</v>
      </c>
      <c r="J1678" s="272" t="s">
        <v>4736</v>
      </c>
      <c r="K1678" s="268" t="s">
        <v>6913</v>
      </c>
      <c r="L1678" s="287">
        <v>45646</v>
      </c>
      <c r="M1678" s="283"/>
      <c r="N1678" s="282">
        <v>2</v>
      </c>
      <c r="O1678" s="284" t="s">
        <v>5814</v>
      </c>
      <c r="P1678" s="280">
        <v>4000</v>
      </c>
      <c r="Q1678" s="287">
        <v>45646</v>
      </c>
      <c r="R1678" s="272"/>
      <c r="S1678" s="272"/>
      <c r="T1678" s="272"/>
      <c r="U1678" s="272"/>
      <c r="V1678" s="272"/>
      <c r="W1678" s="272"/>
      <c r="X1678" s="272"/>
      <c r="Y1678" s="272"/>
      <c r="Z1678" s="272"/>
      <c r="AA1678" s="272"/>
    </row>
    <row r="1679" spans="1:27">
      <c r="A1679" s="282">
        <v>12</v>
      </c>
      <c r="B1679" s="279" t="s">
        <v>6812</v>
      </c>
      <c r="C1679" s="287">
        <v>45614</v>
      </c>
      <c r="D1679" s="279" t="s">
        <v>4714</v>
      </c>
      <c r="E1679" s="268" t="s">
        <v>2873</v>
      </c>
      <c r="F1679" s="284" t="s">
        <v>4715</v>
      </c>
      <c r="G1679" s="284" t="s">
        <v>4716</v>
      </c>
      <c r="H1679" s="268" t="str">
        <f t="shared" si="9"/>
        <v>JUAN JAVIER ÁLVAREZ LÓPEZ</v>
      </c>
      <c r="I1679" s="268" t="s">
        <v>4938</v>
      </c>
      <c r="J1679" s="268" t="s">
        <v>4736</v>
      </c>
      <c r="K1679" s="268" t="s">
        <v>6914</v>
      </c>
      <c r="L1679" s="287">
        <v>45638</v>
      </c>
      <c r="M1679" s="283"/>
      <c r="N1679" s="282">
        <v>2</v>
      </c>
      <c r="O1679" s="284" t="s">
        <v>5814</v>
      </c>
      <c r="P1679" s="280">
        <v>4000</v>
      </c>
      <c r="Q1679" s="287">
        <v>45638</v>
      </c>
      <c r="R1679" s="272"/>
      <c r="S1679" s="272"/>
      <c r="T1679" s="272"/>
      <c r="U1679" s="272"/>
      <c r="V1679" s="272"/>
      <c r="W1679" s="272"/>
      <c r="X1679" s="272"/>
      <c r="Y1679" s="272"/>
      <c r="Z1679" s="272"/>
      <c r="AA1679" s="272"/>
    </row>
    <row r="1680" spans="1:27">
      <c r="A1680" s="282">
        <v>12</v>
      </c>
      <c r="B1680" s="279" t="s">
        <v>6812</v>
      </c>
      <c r="C1680" s="287">
        <v>45637</v>
      </c>
      <c r="D1680" s="279" t="s">
        <v>4714</v>
      </c>
      <c r="E1680" s="268" t="s">
        <v>2900</v>
      </c>
      <c r="F1680" s="284" t="s">
        <v>4715</v>
      </c>
      <c r="G1680" s="284" t="s">
        <v>4716</v>
      </c>
      <c r="H1680" s="268" t="str">
        <f t="shared" si="9"/>
        <v>JOSE ANTONIO TORRE EIRIZ</v>
      </c>
      <c r="I1680" s="268" t="s">
        <v>6067</v>
      </c>
      <c r="J1680" s="268" t="s">
        <v>4790</v>
      </c>
      <c r="K1680" s="268" t="s">
        <v>6915</v>
      </c>
      <c r="L1680" s="287">
        <v>45649</v>
      </c>
      <c r="M1680" s="283"/>
      <c r="N1680" s="282">
        <v>1</v>
      </c>
      <c r="O1680" s="284" t="s">
        <v>4723</v>
      </c>
      <c r="P1680" s="280">
        <v>1645.45</v>
      </c>
      <c r="Q1680" s="287">
        <v>45649</v>
      </c>
      <c r="R1680" s="272"/>
      <c r="S1680" s="272"/>
      <c r="T1680" s="272"/>
      <c r="U1680" s="272"/>
      <c r="V1680" s="272"/>
      <c r="W1680" s="272"/>
      <c r="X1680" s="272"/>
      <c r="Y1680" s="272"/>
      <c r="Z1680" s="272"/>
      <c r="AA1680" s="272"/>
    </row>
    <row r="1681" spans="1:27">
      <c r="A1681" s="282">
        <v>12</v>
      </c>
      <c r="B1681" s="279" t="s">
        <v>6812</v>
      </c>
      <c r="C1681" s="287">
        <v>45621</v>
      </c>
      <c r="D1681" s="279" t="s">
        <v>4714</v>
      </c>
      <c r="E1681" s="268" t="s">
        <v>2900</v>
      </c>
      <c r="F1681" s="284" t="s">
        <v>4715</v>
      </c>
      <c r="G1681" s="284" t="s">
        <v>4716</v>
      </c>
      <c r="H1681" s="268" t="str">
        <f t="shared" si="9"/>
        <v>GONZALO DORADO GUTIÉRREZ</v>
      </c>
      <c r="I1681" s="268" t="s">
        <v>6916</v>
      </c>
      <c r="J1681" s="268" t="s">
        <v>4790</v>
      </c>
      <c r="K1681" s="268" t="s">
        <v>6917</v>
      </c>
      <c r="L1681" s="287">
        <v>45646</v>
      </c>
      <c r="M1681" s="283"/>
      <c r="N1681" s="282">
        <v>2</v>
      </c>
      <c r="O1681" s="284" t="s">
        <v>4723</v>
      </c>
      <c r="P1681" s="280">
        <v>2743.77</v>
      </c>
      <c r="Q1681" s="287">
        <v>45646</v>
      </c>
      <c r="R1681" s="272"/>
      <c r="S1681" s="272"/>
      <c r="T1681" s="272"/>
      <c r="U1681" s="272"/>
      <c r="V1681" s="272"/>
      <c r="W1681" s="272"/>
      <c r="X1681" s="272"/>
      <c r="Y1681" s="272"/>
      <c r="Z1681" s="272"/>
      <c r="AA1681" s="272"/>
    </row>
    <row r="1682" spans="1:27">
      <c r="A1682" s="282">
        <v>12</v>
      </c>
      <c r="B1682" s="279" t="s">
        <v>6812</v>
      </c>
      <c r="C1682" s="287">
        <v>45608</v>
      </c>
      <c r="D1682" s="279" t="s">
        <v>4714</v>
      </c>
      <c r="E1682" s="268" t="s">
        <v>2900</v>
      </c>
      <c r="F1682" s="284" t="s">
        <v>4715</v>
      </c>
      <c r="G1682" s="284" t="s">
        <v>4716</v>
      </c>
      <c r="H1682" s="268" t="str">
        <f t="shared" si="9"/>
        <v>JOSE ANTONIO TORRE EIRIZ</v>
      </c>
      <c r="I1682" s="268" t="s">
        <v>6067</v>
      </c>
      <c r="J1682" s="268" t="s">
        <v>4790</v>
      </c>
      <c r="K1682" s="268" t="s">
        <v>6918</v>
      </c>
      <c r="L1682" s="287">
        <v>45646</v>
      </c>
      <c r="M1682" s="283"/>
      <c r="N1682" s="282">
        <v>1</v>
      </c>
      <c r="O1682" s="284" t="s">
        <v>5814</v>
      </c>
      <c r="P1682" s="280">
        <v>2400</v>
      </c>
      <c r="Q1682" s="287">
        <v>45646</v>
      </c>
      <c r="R1682" s="272"/>
      <c r="S1682" s="272"/>
      <c r="T1682" s="272"/>
      <c r="U1682" s="272"/>
      <c r="V1682" s="272"/>
      <c r="W1682" s="272"/>
      <c r="X1682" s="272"/>
      <c r="Y1682" s="272"/>
      <c r="Z1682" s="272"/>
      <c r="AA1682" s="272"/>
    </row>
    <row r="1683" spans="1:27">
      <c r="A1683" s="282">
        <v>12</v>
      </c>
      <c r="B1683" s="279" t="s">
        <v>6812</v>
      </c>
      <c r="C1683" s="287">
        <v>45607</v>
      </c>
      <c r="D1683" s="279" t="s">
        <v>4714</v>
      </c>
      <c r="E1683" s="268" t="s">
        <v>4745</v>
      </c>
      <c r="F1683" s="284" t="s">
        <v>4715</v>
      </c>
      <c r="G1683" s="284" t="s">
        <v>4716</v>
      </c>
      <c r="H1683" s="268" t="str">
        <f t="shared" si="9"/>
        <v>CANDELAS ÁLVAREZ NUÑO</v>
      </c>
      <c r="I1683" s="268" t="s">
        <v>6919</v>
      </c>
      <c r="J1683" s="272" t="s">
        <v>4747</v>
      </c>
      <c r="K1683" s="268" t="s">
        <v>6920</v>
      </c>
      <c r="L1683" s="287">
        <v>45628</v>
      </c>
      <c r="M1683" s="283"/>
      <c r="N1683" s="282">
        <v>1</v>
      </c>
      <c r="O1683" s="284" t="s">
        <v>5814</v>
      </c>
      <c r="P1683" s="280">
        <v>2400</v>
      </c>
      <c r="Q1683" s="287">
        <v>45628</v>
      </c>
      <c r="R1683" s="272"/>
      <c r="S1683" s="272"/>
      <c r="T1683" s="272"/>
      <c r="U1683" s="272"/>
      <c r="V1683" s="272"/>
      <c r="W1683" s="272"/>
      <c r="X1683" s="272"/>
      <c r="Y1683" s="272"/>
      <c r="Z1683" s="272"/>
      <c r="AA1683" s="272"/>
    </row>
    <row r="1684" spans="1:27">
      <c r="A1684" s="282">
        <v>12</v>
      </c>
      <c r="B1684" s="279" t="s">
        <v>6812</v>
      </c>
      <c r="C1684" s="287">
        <v>45603</v>
      </c>
      <c r="D1684" s="279" t="s">
        <v>4714</v>
      </c>
      <c r="E1684" s="268" t="s">
        <v>2961</v>
      </c>
      <c r="F1684" s="284" t="s">
        <v>4715</v>
      </c>
      <c r="G1684" s="284" t="s">
        <v>4716</v>
      </c>
      <c r="H1684" s="268" t="str">
        <f t="shared" si="9"/>
        <v>ANDRÉS BARRIOS RECIO</v>
      </c>
      <c r="I1684" s="268" t="s">
        <v>5081</v>
      </c>
      <c r="J1684" s="268" t="s">
        <v>4736</v>
      </c>
      <c r="K1684" s="268" t="s">
        <v>6921</v>
      </c>
      <c r="L1684" s="287">
        <v>45657</v>
      </c>
      <c r="M1684" s="283"/>
      <c r="N1684" s="282">
        <v>1</v>
      </c>
      <c r="O1684" s="284" t="s">
        <v>4787</v>
      </c>
      <c r="P1684" s="280">
        <v>2640</v>
      </c>
      <c r="Q1684" s="287">
        <v>45657</v>
      </c>
      <c r="R1684" s="272"/>
      <c r="S1684" s="272"/>
      <c r="T1684" s="272"/>
      <c r="U1684" s="272"/>
      <c r="V1684" s="272"/>
      <c r="W1684" s="272"/>
      <c r="X1684" s="272"/>
      <c r="Y1684" s="272"/>
      <c r="Z1684" s="272"/>
      <c r="AA1684" s="272"/>
    </row>
    <row r="1685" spans="1:27">
      <c r="A1685" s="282">
        <v>12</v>
      </c>
      <c r="B1685" s="279" t="s">
        <v>6812</v>
      </c>
      <c r="C1685" s="287">
        <v>45603</v>
      </c>
      <c r="D1685" s="279" t="s">
        <v>4714</v>
      </c>
      <c r="E1685" s="268" t="s">
        <v>2961</v>
      </c>
      <c r="F1685" s="284" t="s">
        <v>4715</v>
      </c>
      <c r="G1685" s="284" t="s">
        <v>4716</v>
      </c>
      <c r="H1685" s="268" t="str">
        <f t="shared" si="9"/>
        <v>FRANCISCO GARCÍA PURRIÑOS</v>
      </c>
      <c r="I1685" s="268" t="s">
        <v>4884</v>
      </c>
      <c r="J1685" s="268" t="s">
        <v>4736</v>
      </c>
      <c r="K1685" s="268" t="s">
        <v>6922</v>
      </c>
      <c r="L1685" s="287">
        <v>45645</v>
      </c>
      <c r="M1685" s="283"/>
      <c r="N1685" s="282">
        <v>2</v>
      </c>
      <c r="O1685" s="284" t="s">
        <v>4720</v>
      </c>
      <c r="P1685" s="280">
        <v>3710</v>
      </c>
      <c r="Q1685" s="287">
        <v>45645</v>
      </c>
      <c r="R1685" s="272"/>
      <c r="S1685" s="272"/>
      <c r="T1685" s="272"/>
      <c r="U1685" s="272"/>
      <c r="V1685" s="272"/>
      <c r="W1685" s="272"/>
      <c r="X1685" s="272"/>
      <c r="Y1685" s="272"/>
      <c r="Z1685" s="272"/>
      <c r="AA1685" s="272"/>
    </row>
    <row r="1686" spans="1:27">
      <c r="A1686" s="282">
        <v>12</v>
      </c>
      <c r="B1686" s="279" t="s">
        <v>6812</v>
      </c>
      <c r="C1686" s="287">
        <v>45600</v>
      </c>
      <c r="D1686" s="279" t="s">
        <v>4714</v>
      </c>
      <c r="E1686" s="268" t="s">
        <v>5225</v>
      </c>
      <c r="F1686" s="284" t="s">
        <v>4715</v>
      </c>
      <c r="G1686" s="284" t="s">
        <v>4716</v>
      </c>
      <c r="H1686" s="268" t="str">
        <f t="shared" si="9"/>
        <v>FRANCISCO JAVIER LAGE FERNÁNDEZ</v>
      </c>
      <c r="I1686" s="268" t="s">
        <v>6923</v>
      </c>
      <c r="J1686" s="272" t="s">
        <v>4790</v>
      </c>
      <c r="K1686" s="268" t="s">
        <v>6924</v>
      </c>
      <c r="L1686" s="287">
        <v>45643</v>
      </c>
      <c r="M1686" s="283"/>
      <c r="N1686" s="282">
        <v>2</v>
      </c>
      <c r="O1686" s="284" t="s">
        <v>4723</v>
      </c>
      <c r="P1686" s="280">
        <v>2888.18</v>
      </c>
      <c r="Q1686" s="287">
        <v>45643</v>
      </c>
      <c r="R1686" s="272"/>
      <c r="S1686" s="272"/>
      <c r="T1686" s="272"/>
      <c r="U1686" s="272"/>
      <c r="V1686" s="272"/>
      <c r="W1686" s="272"/>
      <c r="X1686" s="272"/>
      <c r="Y1686" s="272"/>
      <c r="Z1686" s="272"/>
      <c r="AA1686" s="272"/>
    </row>
    <row r="1687" spans="1:27">
      <c r="A1687" s="282">
        <v>12</v>
      </c>
      <c r="B1687" s="279" t="s">
        <v>6812</v>
      </c>
      <c r="C1687" s="287">
        <v>45630</v>
      </c>
      <c r="D1687" s="279" t="s">
        <v>4714</v>
      </c>
      <c r="E1687" s="268" t="s">
        <v>3011</v>
      </c>
      <c r="F1687" s="284" t="s">
        <v>4715</v>
      </c>
      <c r="G1687" s="284" t="s">
        <v>4716</v>
      </c>
      <c r="H1687" s="268" t="str">
        <f t="shared" si="9"/>
        <v>ULISES BIDÓN GÓMEZ</v>
      </c>
      <c r="I1687" s="268" t="s">
        <v>6925</v>
      </c>
      <c r="J1687" s="268" t="s">
        <v>4729</v>
      </c>
      <c r="K1687" s="268" t="s">
        <v>6926</v>
      </c>
      <c r="L1687" s="287">
        <v>45656</v>
      </c>
      <c r="M1687" s="283"/>
      <c r="N1687" s="282">
        <v>2</v>
      </c>
      <c r="O1687" s="284" t="s">
        <v>5814</v>
      </c>
      <c r="P1687" s="280">
        <v>4000</v>
      </c>
      <c r="Q1687" s="287">
        <v>45656</v>
      </c>
      <c r="R1687" s="272"/>
      <c r="S1687" s="272"/>
      <c r="T1687" s="272"/>
      <c r="U1687" s="272"/>
      <c r="V1687" s="272"/>
      <c r="W1687" s="272"/>
      <c r="X1687" s="272"/>
      <c r="Y1687" s="272"/>
      <c r="Z1687" s="272"/>
      <c r="AA1687" s="272"/>
    </row>
    <row r="1688" spans="1:27">
      <c r="A1688" s="282">
        <v>12</v>
      </c>
      <c r="B1688" s="279" t="s">
        <v>6812</v>
      </c>
      <c r="C1688" s="287">
        <v>45603</v>
      </c>
      <c r="D1688" s="279" t="s">
        <v>4714</v>
      </c>
      <c r="E1688" s="268" t="s">
        <v>3011</v>
      </c>
      <c r="F1688" s="284" t="s">
        <v>4715</v>
      </c>
      <c r="G1688" s="284" t="s">
        <v>4716</v>
      </c>
      <c r="H1688" s="268" t="str">
        <f t="shared" si="9"/>
        <v>ESTEFANÍA BERROCAL POSTIGO</v>
      </c>
      <c r="I1688" s="268" t="s">
        <v>5201</v>
      </c>
      <c r="J1688" s="268" t="s">
        <v>4729</v>
      </c>
      <c r="K1688" s="268" t="s">
        <v>6927</v>
      </c>
      <c r="L1688" s="287">
        <v>45646</v>
      </c>
      <c r="M1688" s="283"/>
      <c r="N1688" s="282">
        <v>2</v>
      </c>
      <c r="O1688" s="284" t="s">
        <v>4720</v>
      </c>
      <c r="P1688" s="280">
        <v>3710</v>
      </c>
      <c r="Q1688" s="287">
        <v>45646</v>
      </c>
      <c r="R1688" s="272"/>
      <c r="S1688" s="272"/>
      <c r="T1688" s="272"/>
      <c r="U1688" s="272"/>
      <c r="V1688" s="272"/>
      <c r="W1688" s="272"/>
      <c r="X1688" s="272"/>
      <c r="Y1688" s="272"/>
      <c r="Z1688" s="272"/>
      <c r="AA1688" s="272"/>
    </row>
    <row r="1689" spans="1:27">
      <c r="A1689" s="282">
        <v>12</v>
      </c>
      <c r="B1689" s="279" t="s">
        <v>6812</v>
      </c>
      <c r="C1689" s="287">
        <v>45614</v>
      </c>
      <c r="D1689" s="279" t="s">
        <v>4714</v>
      </c>
      <c r="E1689" s="268" t="s">
        <v>3011</v>
      </c>
      <c r="F1689" s="284" t="s">
        <v>4715</v>
      </c>
      <c r="G1689" s="284" t="s">
        <v>4716</v>
      </c>
      <c r="H1689" s="268" t="str">
        <f t="shared" si="9"/>
        <v>ESTEFANÍA BERROCAL POSTIGO</v>
      </c>
      <c r="I1689" s="268" t="s">
        <v>5201</v>
      </c>
      <c r="J1689" s="268" t="s">
        <v>4729</v>
      </c>
      <c r="K1689" s="268" t="s">
        <v>6928</v>
      </c>
      <c r="L1689" s="287">
        <v>45644</v>
      </c>
      <c r="M1689" s="283"/>
      <c r="N1689" s="282">
        <v>2</v>
      </c>
      <c r="O1689" s="284" t="s">
        <v>5814</v>
      </c>
      <c r="P1689" s="280">
        <v>3800</v>
      </c>
      <c r="Q1689" s="287">
        <v>45644</v>
      </c>
      <c r="R1689" s="272"/>
      <c r="S1689" s="272"/>
      <c r="T1689" s="272"/>
      <c r="U1689" s="272"/>
      <c r="V1689" s="272"/>
      <c r="W1689" s="272"/>
      <c r="X1689" s="272"/>
      <c r="Y1689" s="272"/>
      <c r="Z1689" s="272"/>
      <c r="AA1689" s="272"/>
    </row>
    <row r="1690" spans="1:27">
      <c r="A1690" s="282">
        <v>12</v>
      </c>
      <c r="B1690" s="279" t="s">
        <v>6812</v>
      </c>
      <c r="C1690" s="287">
        <v>45601</v>
      </c>
      <c r="D1690" s="279" t="s">
        <v>4714</v>
      </c>
      <c r="E1690" s="268" t="s">
        <v>3011</v>
      </c>
      <c r="F1690" s="284" t="s">
        <v>4715</v>
      </c>
      <c r="G1690" s="284" t="s">
        <v>4716</v>
      </c>
      <c r="H1690" s="268" t="str">
        <f t="shared" si="9"/>
        <v>JUAN MAZA SOLANO</v>
      </c>
      <c r="I1690" s="268" t="s">
        <v>6929</v>
      </c>
      <c r="J1690" s="268" t="s">
        <v>4729</v>
      </c>
      <c r="K1690" s="268" t="s">
        <v>6930</v>
      </c>
      <c r="L1690" s="287">
        <v>45644</v>
      </c>
      <c r="M1690" s="283"/>
      <c r="N1690" s="282">
        <v>2</v>
      </c>
      <c r="O1690" s="284" t="s">
        <v>5814</v>
      </c>
      <c r="P1690" s="280">
        <v>3800</v>
      </c>
      <c r="Q1690" s="287">
        <v>45644</v>
      </c>
      <c r="R1690" s="272"/>
      <c r="S1690" s="272"/>
      <c r="T1690" s="272"/>
      <c r="U1690" s="272"/>
      <c r="V1690" s="272"/>
      <c r="W1690" s="272"/>
      <c r="X1690" s="272"/>
      <c r="Y1690" s="272"/>
      <c r="Z1690" s="272"/>
      <c r="AA1690" s="272"/>
    </row>
    <row r="1691" spans="1:27">
      <c r="A1691" s="282">
        <v>12</v>
      </c>
      <c r="B1691" s="279" t="s">
        <v>6812</v>
      </c>
      <c r="C1691" s="287">
        <v>45615</v>
      </c>
      <c r="D1691" s="279" t="s">
        <v>4714</v>
      </c>
      <c r="E1691" s="268" t="s">
        <v>3011</v>
      </c>
      <c r="F1691" s="284" t="s">
        <v>4715</v>
      </c>
      <c r="G1691" s="284" t="s">
        <v>4716</v>
      </c>
      <c r="H1691" s="268" t="str">
        <f t="shared" si="9"/>
        <v>ENRIQUE GÓMEZ ALDAZ</v>
      </c>
      <c r="I1691" s="268" t="s">
        <v>5956</v>
      </c>
      <c r="J1691" s="268" t="s">
        <v>4729</v>
      </c>
      <c r="K1691" s="268" t="s">
        <v>6931</v>
      </c>
      <c r="L1691" s="287">
        <v>45638</v>
      </c>
      <c r="M1691" s="283"/>
      <c r="N1691" s="282">
        <v>2</v>
      </c>
      <c r="O1691" s="284" t="s">
        <v>5814</v>
      </c>
      <c r="P1691" s="280">
        <v>4000</v>
      </c>
      <c r="Q1691" s="287">
        <v>45638</v>
      </c>
      <c r="R1691" s="272"/>
      <c r="S1691" s="272"/>
      <c r="T1691" s="272"/>
      <c r="U1691" s="272"/>
      <c r="V1691" s="272"/>
      <c r="W1691" s="272"/>
      <c r="X1691" s="272"/>
      <c r="Y1691" s="272"/>
      <c r="Z1691" s="272"/>
      <c r="AA1691" s="272"/>
    </row>
    <row r="1692" spans="1:27">
      <c r="A1692" s="282">
        <v>12</v>
      </c>
      <c r="B1692" s="279" t="s">
        <v>6812</v>
      </c>
      <c r="C1692" s="287">
        <v>45595</v>
      </c>
      <c r="D1692" s="279" t="s">
        <v>4714</v>
      </c>
      <c r="E1692" s="268" t="s">
        <v>2972</v>
      </c>
      <c r="F1692" s="284" t="s">
        <v>4715</v>
      </c>
      <c r="G1692" s="284" t="s">
        <v>4716</v>
      </c>
      <c r="H1692" s="268" t="str">
        <f t="shared" si="9"/>
        <v>MARIA DEL ROCIO LOBATO PEREZ</v>
      </c>
      <c r="I1692" s="268" t="s">
        <v>6932</v>
      </c>
      <c r="J1692" s="268" t="s">
        <v>4822</v>
      </c>
      <c r="K1692" s="268" t="s">
        <v>6933</v>
      </c>
      <c r="L1692" s="287">
        <v>45630</v>
      </c>
      <c r="M1692" s="283"/>
      <c r="N1692" s="282">
        <v>2</v>
      </c>
      <c r="O1692" s="284" t="s">
        <v>4720</v>
      </c>
      <c r="P1692" s="280">
        <v>3525.45</v>
      </c>
      <c r="Q1692" s="287">
        <v>45630</v>
      </c>
      <c r="R1692" s="272"/>
      <c r="S1692" s="272"/>
      <c r="T1692" s="272"/>
      <c r="U1692" s="272"/>
      <c r="V1692" s="272"/>
      <c r="W1692" s="272"/>
      <c r="X1692" s="272"/>
      <c r="Y1692" s="272"/>
      <c r="Z1692" s="272"/>
      <c r="AA1692" s="272"/>
    </row>
    <row r="1693" spans="1:27">
      <c r="A1693" s="282">
        <v>12</v>
      </c>
      <c r="B1693" s="279" t="s">
        <v>6812</v>
      </c>
      <c r="C1693" s="287">
        <v>45614</v>
      </c>
      <c r="D1693" s="279" t="s">
        <v>4714</v>
      </c>
      <c r="E1693" s="268" t="s">
        <v>4318</v>
      </c>
      <c r="F1693" s="284" t="s">
        <v>4715</v>
      </c>
      <c r="G1693" s="284" t="s">
        <v>4716</v>
      </c>
      <c r="H1693" s="268" t="str">
        <f t="shared" si="9"/>
        <v>MARÍA GARROTE GARROTE</v>
      </c>
      <c r="I1693" s="268" t="s">
        <v>4721</v>
      </c>
      <c r="J1693" s="268" t="s">
        <v>4718</v>
      </c>
      <c r="K1693" s="268" t="s">
        <v>6934</v>
      </c>
      <c r="L1693" s="287">
        <v>45656</v>
      </c>
      <c r="M1693" s="283"/>
      <c r="N1693" s="282">
        <v>2</v>
      </c>
      <c r="O1693" s="284" t="s">
        <v>4720</v>
      </c>
      <c r="P1693" s="280">
        <v>3710</v>
      </c>
      <c r="Q1693" s="287">
        <v>45656</v>
      </c>
      <c r="R1693" s="272"/>
      <c r="S1693" s="272"/>
      <c r="T1693" s="272"/>
      <c r="U1693" s="272"/>
      <c r="V1693" s="272"/>
      <c r="W1693" s="272"/>
      <c r="X1693" s="272"/>
      <c r="Y1693" s="272"/>
      <c r="Z1693" s="272"/>
      <c r="AA1693" s="272"/>
    </row>
    <row r="1694" spans="1:27">
      <c r="A1694" s="282">
        <v>12</v>
      </c>
      <c r="B1694" s="279" t="s">
        <v>6812</v>
      </c>
      <c r="C1694" s="287">
        <v>45630</v>
      </c>
      <c r="D1694" s="279" t="s">
        <v>4714</v>
      </c>
      <c r="E1694" s="268" t="s">
        <v>2886</v>
      </c>
      <c r="F1694" s="284" t="s">
        <v>4715</v>
      </c>
      <c r="G1694" s="284" t="s">
        <v>4716</v>
      </c>
      <c r="H1694" s="268" t="str">
        <f t="shared" si="9"/>
        <v>MARÍA GARROTE GARROTE</v>
      </c>
      <c r="I1694" s="268" t="s">
        <v>4721</v>
      </c>
      <c r="J1694" s="268" t="s">
        <v>4718</v>
      </c>
      <c r="K1694" s="268" t="s">
        <v>6935</v>
      </c>
      <c r="L1694" s="287">
        <v>45646</v>
      </c>
      <c r="M1694" s="283"/>
      <c r="N1694" s="282">
        <v>2</v>
      </c>
      <c r="O1694" s="284" t="s">
        <v>5814</v>
      </c>
      <c r="P1694" s="280">
        <v>4000</v>
      </c>
      <c r="Q1694" s="287">
        <v>45646</v>
      </c>
      <c r="R1694" s="272"/>
      <c r="S1694" s="272"/>
      <c r="T1694" s="272"/>
      <c r="U1694" s="272"/>
      <c r="V1694" s="272"/>
      <c r="W1694" s="272"/>
      <c r="X1694" s="272"/>
      <c r="Y1694" s="272"/>
      <c r="Z1694" s="272"/>
      <c r="AA1694" s="272"/>
    </row>
    <row r="1695" spans="1:27">
      <c r="A1695" s="282">
        <v>12</v>
      </c>
      <c r="B1695" s="279" t="s">
        <v>6812</v>
      </c>
      <c r="C1695" s="287">
        <v>45608</v>
      </c>
      <c r="D1695" s="279" t="s">
        <v>4714</v>
      </c>
      <c r="E1695" s="268" t="s">
        <v>2886</v>
      </c>
      <c r="F1695" s="284" t="s">
        <v>4715</v>
      </c>
      <c r="G1695" s="284" t="s">
        <v>4716</v>
      </c>
      <c r="H1695" s="268" t="str">
        <f t="shared" si="9"/>
        <v>MARTA ABAD PASCUAL</v>
      </c>
      <c r="I1695" s="268" t="s">
        <v>6936</v>
      </c>
      <c r="J1695" s="268" t="s">
        <v>4718</v>
      </c>
      <c r="K1695" s="268" t="s">
        <v>6937</v>
      </c>
      <c r="L1695" s="287">
        <v>45637</v>
      </c>
      <c r="M1695" s="283"/>
      <c r="N1695" s="282">
        <v>2</v>
      </c>
      <c r="O1695" s="284" t="s">
        <v>4787</v>
      </c>
      <c r="P1695" s="280">
        <v>4400</v>
      </c>
      <c r="Q1695" s="287">
        <v>45637</v>
      </c>
      <c r="R1695" s="272"/>
      <c r="S1695" s="272"/>
      <c r="T1695" s="272"/>
      <c r="U1695" s="272"/>
      <c r="V1695" s="272"/>
      <c r="W1695" s="272"/>
      <c r="X1695" s="272"/>
      <c r="Y1695" s="272"/>
      <c r="Z1695" s="272"/>
      <c r="AA1695" s="272"/>
    </row>
    <row r="1696" spans="1:27">
      <c r="A1696" s="282">
        <v>12</v>
      </c>
      <c r="B1696" s="279" t="s">
        <v>6812</v>
      </c>
      <c r="C1696" s="287">
        <v>45618</v>
      </c>
      <c r="D1696" s="279" t="s">
        <v>4714</v>
      </c>
      <c r="E1696" s="268" t="s">
        <v>2921</v>
      </c>
      <c r="F1696" s="284" t="s">
        <v>4715</v>
      </c>
      <c r="G1696" s="284" t="s">
        <v>4716</v>
      </c>
      <c r="H1696" s="268" t="str">
        <f t="shared" si="9"/>
        <v>Jean Franco Intraprendente Martini</v>
      </c>
      <c r="I1696" s="268" t="s">
        <v>6466</v>
      </c>
      <c r="J1696" s="268" t="s">
        <v>4910</v>
      </c>
      <c r="K1696" s="268" t="s">
        <v>6938</v>
      </c>
      <c r="L1696" s="287">
        <v>45656</v>
      </c>
      <c r="M1696" s="283"/>
      <c r="N1696" s="282">
        <v>1</v>
      </c>
      <c r="O1696" s="284" t="s">
        <v>5814</v>
      </c>
      <c r="P1696" s="280">
        <v>2400</v>
      </c>
      <c r="Q1696" s="287">
        <v>45656</v>
      </c>
      <c r="R1696" s="272"/>
      <c r="S1696" s="272"/>
      <c r="T1696" s="272"/>
      <c r="U1696" s="272"/>
      <c r="V1696" s="272"/>
      <c r="W1696" s="272"/>
      <c r="X1696" s="272"/>
      <c r="Y1696" s="272"/>
      <c r="Z1696" s="272"/>
      <c r="AA1696" s="272"/>
    </row>
    <row r="1697" spans="1:27">
      <c r="A1697" s="282">
        <v>12</v>
      </c>
      <c r="B1697" s="279" t="s">
        <v>6812</v>
      </c>
      <c r="C1697" s="287">
        <v>45617</v>
      </c>
      <c r="D1697" s="279" t="s">
        <v>4714</v>
      </c>
      <c r="E1697" s="268" t="s">
        <v>2921</v>
      </c>
      <c r="F1697" s="284" t="s">
        <v>4715</v>
      </c>
      <c r="G1697" s="284" t="s">
        <v>4716</v>
      </c>
      <c r="H1697" s="268" t="str">
        <f t="shared" si="9"/>
        <v>PAULA MARTÍNEZ-RUIZ DE APOCADA</v>
      </c>
      <c r="I1697" s="268" t="s">
        <v>5794</v>
      </c>
      <c r="J1697" s="268" t="s">
        <v>4910</v>
      </c>
      <c r="K1697" s="268" t="s">
        <v>6939</v>
      </c>
      <c r="L1697" s="287">
        <v>45649</v>
      </c>
      <c r="M1697" s="283"/>
      <c r="N1697" s="282">
        <v>2</v>
      </c>
      <c r="O1697" s="284" t="s">
        <v>4723</v>
      </c>
      <c r="P1697" s="280">
        <v>2743.77</v>
      </c>
      <c r="Q1697" s="287">
        <v>45649</v>
      </c>
      <c r="R1697" s="272"/>
      <c r="S1697" s="272"/>
      <c r="T1697" s="272"/>
      <c r="U1697" s="272"/>
      <c r="V1697" s="272"/>
      <c r="W1697" s="272"/>
      <c r="X1697" s="272"/>
      <c r="Y1697" s="272"/>
      <c r="Z1697" s="272"/>
      <c r="AA1697" s="272"/>
    </row>
    <row r="1698" spans="1:27">
      <c r="A1698" s="282">
        <v>12</v>
      </c>
      <c r="B1698" s="279" t="s">
        <v>6812</v>
      </c>
      <c r="C1698" s="287">
        <v>45609</v>
      </c>
      <c r="D1698" s="279" t="s">
        <v>4714</v>
      </c>
      <c r="E1698" s="268" t="s">
        <v>2921</v>
      </c>
      <c r="F1698" s="284" t="s">
        <v>4715</v>
      </c>
      <c r="G1698" s="284" t="s">
        <v>4716</v>
      </c>
      <c r="H1698" s="268" t="str">
        <f t="shared" si="9"/>
        <v>ÁLVARO PÉREZ LLINARES</v>
      </c>
      <c r="I1698" s="268" t="s">
        <v>5488</v>
      </c>
      <c r="J1698" s="268" t="s">
        <v>4910</v>
      </c>
      <c r="K1698" s="268" t="s">
        <v>6940</v>
      </c>
      <c r="L1698" s="287">
        <v>45644</v>
      </c>
      <c r="M1698" s="283"/>
      <c r="N1698" s="282">
        <v>2</v>
      </c>
      <c r="O1698" s="284" t="s">
        <v>5814</v>
      </c>
      <c r="P1698" s="280">
        <v>3800</v>
      </c>
      <c r="Q1698" s="287">
        <v>45644</v>
      </c>
      <c r="R1698" s="272"/>
      <c r="S1698" s="272"/>
      <c r="T1698" s="272"/>
      <c r="U1698" s="272"/>
      <c r="V1698" s="272"/>
      <c r="W1698" s="272"/>
      <c r="X1698" s="272"/>
      <c r="Y1698" s="272"/>
      <c r="Z1698" s="272"/>
      <c r="AA1698" s="272"/>
    </row>
    <row r="1699" spans="1:27">
      <c r="A1699" s="282">
        <v>12</v>
      </c>
      <c r="B1699" s="279" t="s">
        <v>6812</v>
      </c>
      <c r="C1699" s="287">
        <v>45607</v>
      </c>
      <c r="D1699" s="279" t="s">
        <v>4714</v>
      </c>
      <c r="E1699" s="268" t="s">
        <v>2921</v>
      </c>
      <c r="F1699" s="284" t="s">
        <v>4715</v>
      </c>
      <c r="G1699" s="284" t="s">
        <v>4716</v>
      </c>
      <c r="H1699" s="268" t="str">
        <f t="shared" si="9"/>
        <v>JEAN FRANCO INTRAPRENDENTE MARTINI</v>
      </c>
      <c r="I1699" s="268" t="s">
        <v>5545</v>
      </c>
      <c r="J1699" s="268" t="s">
        <v>4910</v>
      </c>
      <c r="K1699" s="268" t="s">
        <v>6941</v>
      </c>
      <c r="L1699" s="287">
        <v>45635</v>
      </c>
      <c r="M1699" s="283"/>
      <c r="N1699" s="282">
        <v>2</v>
      </c>
      <c r="O1699" s="284" t="s">
        <v>4720</v>
      </c>
      <c r="P1699" s="280">
        <v>3710</v>
      </c>
      <c r="Q1699" s="287">
        <v>45635</v>
      </c>
      <c r="R1699" s="272"/>
      <c r="S1699" s="272"/>
      <c r="T1699" s="272"/>
      <c r="U1699" s="272"/>
      <c r="V1699" s="272"/>
      <c r="W1699" s="272"/>
      <c r="X1699" s="272"/>
      <c r="Y1699" s="272"/>
      <c r="Z1699" s="272"/>
      <c r="AA1699" s="272"/>
    </row>
    <row r="1700" spans="1:27">
      <c r="A1700" s="282">
        <v>12</v>
      </c>
      <c r="B1700" s="279" t="s">
        <v>6812</v>
      </c>
      <c r="C1700" s="287">
        <v>45582</v>
      </c>
      <c r="D1700" s="279" t="s">
        <v>4714</v>
      </c>
      <c r="E1700" s="268" t="s">
        <v>2984</v>
      </c>
      <c r="F1700" s="284" t="s">
        <v>4715</v>
      </c>
      <c r="G1700" s="284" t="s">
        <v>4716</v>
      </c>
      <c r="H1700" s="268" t="str">
        <f t="shared" si="9"/>
        <v>AGUSTÍN CAMPOS CATALÁ</v>
      </c>
      <c r="I1700" s="268" t="s">
        <v>6098</v>
      </c>
      <c r="J1700" s="268" t="s">
        <v>4910</v>
      </c>
      <c r="K1700" s="268" t="s">
        <v>6942</v>
      </c>
      <c r="L1700" s="287">
        <v>45649</v>
      </c>
      <c r="M1700" s="283"/>
      <c r="N1700" s="282">
        <v>2</v>
      </c>
      <c r="O1700" s="284" t="s">
        <v>4720</v>
      </c>
      <c r="P1700" s="280">
        <v>3710</v>
      </c>
      <c r="Q1700" s="287">
        <v>45649</v>
      </c>
      <c r="R1700" s="272"/>
      <c r="S1700" s="272"/>
      <c r="T1700" s="272"/>
      <c r="U1700" s="272"/>
      <c r="V1700" s="272"/>
      <c r="W1700" s="272"/>
      <c r="X1700" s="272"/>
      <c r="Y1700" s="272"/>
      <c r="Z1700" s="272"/>
      <c r="AA1700" s="272"/>
    </row>
    <row r="1701" spans="1:27">
      <c r="A1701" s="282">
        <v>12</v>
      </c>
      <c r="B1701" s="279" t="s">
        <v>6812</v>
      </c>
      <c r="C1701" s="287">
        <v>45575</v>
      </c>
      <c r="D1701" s="279" t="s">
        <v>4714</v>
      </c>
      <c r="E1701" s="268" t="s">
        <v>6306</v>
      </c>
      <c r="F1701" s="284" t="s">
        <v>4715</v>
      </c>
      <c r="G1701" s="284" t="s">
        <v>4716</v>
      </c>
      <c r="H1701" s="268" t="str">
        <f t="shared" si="9"/>
        <v>DIANA LISBETH</v>
      </c>
      <c r="I1701" s="268" t="s">
        <v>4955</v>
      </c>
      <c r="J1701" s="268" t="s">
        <v>4747</v>
      </c>
      <c r="K1701" s="268" t="s">
        <v>6943</v>
      </c>
      <c r="L1701" s="287">
        <v>45628</v>
      </c>
      <c r="M1701" s="283"/>
      <c r="N1701" s="282">
        <v>1</v>
      </c>
      <c r="O1701" s="284" t="s">
        <v>4720</v>
      </c>
      <c r="P1701" s="280">
        <v>2000</v>
      </c>
      <c r="Q1701" s="287">
        <v>45628</v>
      </c>
      <c r="R1701" s="272"/>
      <c r="S1701" s="272"/>
      <c r="T1701" s="272"/>
      <c r="U1701" s="272"/>
      <c r="V1701" s="272"/>
      <c r="W1701" s="272"/>
      <c r="X1701" s="272"/>
      <c r="Y1701" s="272"/>
      <c r="Z1701" s="272"/>
      <c r="AA1701" s="272"/>
    </row>
    <row r="1702" spans="1:27">
      <c r="A1702" s="282">
        <v>12</v>
      </c>
      <c r="B1702" s="279" t="s">
        <v>6812</v>
      </c>
      <c r="C1702" s="287">
        <v>45576</v>
      </c>
      <c r="D1702" s="279" t="s">
        <v>4714</v>
      </c>
      <c r="E1702" s="268" t="s">
        <v>4759</v>
      </c>
      <c r="F1702" s="284" t="s">
        <v>4715</v>
      </c>
      <c r="G1702" s="284" t="s">
        <v>4716</v>
      </c>
      <c r="H1702" s="268" t="str">
        <f t="shared" si="9"/>
        <v>CARLOS MIGUEL SALVADOR MARTÍNEZ</v>
      </c>
      <c r="I1702" s="268" t="s">
        <v>4907</v>
      </c>
      <c r="J1702" s="268" t="s">
        <v>4747</v>
      </c>
      <c r="K1702" s="268" t="s">
        <v>6944</v>
      </c>
      <c r="L1702" s="287">
        <v>45628</v>
      </c>
      <c r="M1702" s="283"/>
      <c r="N1702" s="282">
        <v>1</v>
      </c>
      <c r="O1702" s="284" t="s">
        <v>4740</v>
      </c>
      <c r="P1702" s="280">
        <v>2080.12</v>
      </c>
      <c r="Q1702" s="287">
        <v>45628</v>
      </c>
      <c r="R1702" s="272"/>
      <c r="S1702" s="272"/>
      <c r="T1702" s="272"/>
      <c r="U1702" s="272"/>
      <c r="V1702" s="272"/>
      <c r="W1702" s="272"/>
      <c r="X1702" s="272"/>
      <c r="Y1702" s="272"/>
      <c r="Z1702" s="272"/>
      <c r="AA1702" s="272"/>
    </row>
    <row r="1703" spans="1:27">
      <c r="A1703" s="282">
        <v>12</v>
      </c>
      <c r="B1703" s="279" t="s">
        <v>6812</v>
      </c>
      <c r="C1703" s="287">
        <v>45582</v>
      </c>
      <c r="D1703" s="279" t="s">
        <v>4714</v>
      </c>
      <c r="E1703" s="268" t="s">
        <v>4759</v>
      </c>
      <c r="F1703" s="284" t="s">
        <v>4715</v>
      </c>
      <c r="G1703" s="284" t="s">
        <v>4716</v>
      </c>
      <c r="H1703" s="268" t="str">
        <f t="shared" si="9"/>
        <v>MARÍA CONSOLACIÓN MARTÍN PASCUAL</v>
      </c>
      <c r="I1703" s="268" t="s">
        <v>6945</v>
      </c>
      <c r="J1703" s="268" t="s">
        <v>4747</v>
      </c>
      <c r="K1703" s="268" t="s">
        <v>6946</v>
      </c>
      <c r="L1703" s="287">
        <v>45628</v>
      </c>
      <c r="M1703" s="283"/>
      <c r="N1703" s="282">
        <v>1</v>
      </c>
      <c r="O1703" s="284" t="s">
        <v>4740</v>
      </c>
      <c r="P1703" s="280">
        <v>2080.12</v>
      </c>
      <c r="Q1703" s="287">
        <v>45628</v>
      </c>
      <c r="R1703" s="272"/>
      <c r="S1703" s="272"/>
      <c r="T1703" s="272"/>
      <c r="U1703" s="272"/>
      <c r="V1703" s="272"/>
      <c r="W1703" s="272"/>
      <c r="X1703" s="272"/>
      <c r="Y1703" s="272"/>
      <c r="Z1703" s="272"/>
      <c r="AA1703" s="272"/>
    </row>
    <row r="1704" spans="1:27">
      <c r="A1704" s="282">
        <v>12</v>
      </c>
      <c r="B1704" s="279" t="s">
        <v>6812</v>
      </c>
      <c r="C1704" s="287">
        <v>45582</v>
      </c>
      <c r="D1704" s="279" t="s">
        <v>4714</v>
      </c>
      <c r="E1704" s="268" t="s">
        <v>4780</v>
      </c>
      <c r="F1704" s="284" t="s">
        <v>4715</v>
      </c>
      <c r="G1704" s="284" t="s">
        <v>4716</v>
      </c>
      <c r="H1704" s="268" t="str">
        <f t="shared" si="9"/>
        <v>LUIS MIGUEL RINCÓN ESTEBAN</v>
      </c>
      <c r="I1704" s="268" t="s">
        <v>5307</v>
      </c>
      <c r="J1704" s="268" t="s">
        <v>4747</v>
      </c>
      <c r="K1704" s="268" t="s">
        <v>6947</v>
      </c>
      <c r="L1704" s="287">
        <v>45628</v>
      </c>
      <c r="M1704" s="283"/>
      <c r="N1704" s="282">
        <v>2</v>
      </c>
      <c r="O1704" s="284" t="s">
        <v>4720</v>
      </c>
      <c r="P1704" s="280">
        <v>3604.55</v>
      </c>
      <c r="Q1704" s="287">
        <v>45628</v>
      </c>
      <c r="R1704" s="272"/>
      <c r="S1704" s="272"/>
      <c r="T1704" s="272"/>
      <c r="U1704" s="272"/>
      <c r="V1704" s="272"/>
      <c r="W1704" s="272"/>
      <c r="X1704" s="272"/>
      <c r="Y1704" s="272"/>
      <c r="Z1704" s="272"/>
      <c r="AA1704" s="272"/>
    </row>
    <row r="1705" spans="1:27">
      <c r="A1705" s="282">
        <v>12</v>
      </c>
      <c r="B1705" s="279" t="s">
        <v>6812</v>
      </c>
      <c r="C1705" s="287">
        <v>45586</v>
      </c>
      <c r="D1705" s="279" t="s">
        <v>4714</v>
      </c>
      <c r="E1705" s="268" t="s">
        <v>4845</v>
      </c>
      <c r="F1705" s="284" t="s">
        <v>4715</v>
      </c>
      <c r="G1705" s="284" t="s">
        <v>4716</v>
      </c>
      <c r="H1705" s="268" t="str">
        <f t="shared" si="9"/>
        <v>PEDRO GIL PARAÍSO</v>
      </c>
      <c r="I1705" s="268" t="s">
        <v>6393</v>
      </c>
      <c r="J1705" s="268" t="s">
        <v>4822</v>
      </c>
      <c r="K1705" s="268" t="s">
        <v>6948</v>
      </c>
      <c r="L1705" s="287">
        <v>45629</v>
      </c>
      <c r="M1705" s="283"/>
      <c r="N1705" s="282">
        <v>2</v>
      </c>
      <c r="O1705" s="284" t="s">
        <v>4723</v>
      </c>
      <c r="P1705" s="280">
        <v>2909.09</v>
      </c>
      <c r="Q1705" s="287">
        <v>45629</v>
      </c>
      <c r="R1705" s="272"/>
      <c r="S1705" s="272"/>
      <c r="T1705" s="272"/>
      <c r="U1705" s="272"/>
      <c r="V1705" s="272"/>
      <c r="W1705" s="272"/>
      <c r="X1705" s="272"/>
      <c r="Y1705" s="272"/>
      <c r="Z1705" s="272"/>
      <c r="AA1705" s="272"/>
    </row>
    <row r="1706" spans="1:27">
      <c r="A1706" s="282">
        <v>12</v>
      </c>
      <c r="B1706" s="279" t="s">
        <v>6812</v>
      </c>
      <c r="C1706" s="287">
        <v>45601</v>
      </c>
      <c r="D1706" s="279" t="s">
        <v>4714</v>
      </c>
      <c r="E1706" s="268" t="s">
        <v>4820</v>
      </c>
      <c r="F1706" s="284" t="s">
        <v>4715</v>
      </c>
      <c r="G1706" s="284" t="s">
        <v>4716</v>
      </c>
      <c r="H1706" s="268" t="str">
        <f t="shared" si="9"/>
        <v>FRANCISCO RAMOS PUERTO</v>
      </c>
      <c r="I1706" s="268" t="s">
        <v>5463</v>
      </c>
      <c r="J1706" s="268" t="s">
        <v>4822</v>
      </c>
      <c r="K1706" s="268" t="s">
        <v>6949</v>
      </c>
      <c r="L1706" s="287">
        <v>45629</v>
      </c>
      <c r="M1706" s="283"/>
      <c r="N1706" s="282">
        <v>2</v>
      </c>
      <c r="O1706" s="284" t="s">
        <v>4740</v>
      </c>
      <c r="P1706" s="280">
        <v>4000</v>
      </c>
      <c r="Q1706" s="287">
        <v>45629</v>
      </c>
      <c r="R1706" s="272"/>
      <c r="S1706" s="272"/>
      <c r="T1706" s="272"/>
      <c r="U1706" s="272"/>
      <c r="V1706" s="272"/>
      <c r="W1706" s="272"/>
      <c r="X1706" s="272"/>
      <c r="Y1706" s="272"/>
      <c r="Z1706" s="272"/>
      <c r="AA1706" s="272"/>
    </row>
    <row r="1707" spans="1:27">
      <c r="A1707" s="282">
        <v>12</v>
      </c>
      <c r="B1707" s="279" t="s">
        <v>6812</v>
      </c>
      <c r="C1707" s="287">
        <v>44735</v>
      </c>
      <c r="D1707" s="279" t="s">
        <v>4714</v>
      </c>
      <c r="E1707" s="268" t="s">
        <v>3529</v>
      </c>
      <c r="F1707" s="284" t="s">
        <v>4715</v>
      </c>
      <c r="G1707" s="284" t="s">
        <v>4716</v>
      </c>
      <c r="H1707" s="268" t="str">
        <f t="shared" si="9"/>
        <v>ULISES BIDÓN GÓMEZ</v>
      </c>
      <c r="I1707" s="268" t="s">
        <v>6925</v>
      </c>
      <c r="J1707" s="268" t="s">
        <v>4729</v>
      </c>
      <c r="K1707" s="268" t="s">
        <v>6950</v>
      </c>
      <c r="L1707" s="287">
        <v>45630</v>
      </c>
      <c r="M1707" s="283"/>
      <c r="N1707" s="282">
        <v>2</v>
      </c>
      <c r="O1707" s="284" t="s">
        <v>4740</v>
      </c>
      <c r="P1707" s="280">
        <v>4000</v>
      </c>
      <c r="Q1707" s="287">
        <v>45630</v>
      </c>
      <c r="R1707" s="272"/>
      <c r="S1707" s="272"/>
      <c r="T1707" s="272"/>
      <c r="U1707" s="272"/>
      <c r="V1707" s="272"/>
      <c r="W1707" s="272"/>
      <c r="X1707" s="272"/>
      <c r="Y1707" s="272"/>
      <c r="Z1707" s="272"/>
      <c r="AA1707" s="272"/>
    </row>
    <row r="1708" spans="1:27">
      <c r="A1708" s="282">
        <v>12</v>
      </c>
      <c r="B1708" s="279" t="s">
        <v>6812</v>
      </c>
      <c r="C1708" s="287">
        <v>45407</v>
      </c>
      <c r="D1708" s="279" t="s">
        <v>4714</v>
      </c>
      <c r="E1708" s="268" t="s">
        <v>4820</v>
      </c>
      <c r="F1708" s="284" t="s">
        <v>4715</v>
      </c>
      <c r="G1708" s="284" t="s">
        <v>4716</v>
      </c>
      <c r="H1708" s="268" t="str">
        <f t="shared" si="9"/>
        <v>RAFAEL SANZ TRENADO</v>
      </c>
      <c r="I1708" s="268" t="s">
        <v>5797</v>
      </c>
      <c r="J1708" s="268" t="s">
        <v>4822</v>
      </c>
      <c r="K1708" s="268" t="s">
        <v>6951</v>
      </c>
      <c r="L1708" s="287">
        <v>45630</v>
      </c>
      <c r="M1708" s="283"/>
      <c r="N1708" s="282">
        <v>2</v>
      </c>
      <c r="O1708" s="284" t="s">
        <v>4723</v>
      </c>
      <c r="P1708" s="280">
        <v>2727.27</v>
      </c>
      <c r="Q1708" s="287">
        <v>45630</v>
      </c>
      <c r="R1708" s="272"/>
      <c r="S1708" s="272"/>
      <c r="T1708" s="272"/>
      <c r="U1708" s="272"/>
      <c r="V1708" s="272"/>
      <c r="W1708" s="272"/>
      <c r="X1708" s="272"/>
      <c r="Y1708" s="272"/>
      <c r="Z1708" s="272"/>
      <c r="AA1708" s="272"/>
    </row>
    <row r="1709" spans="1:27">
      <c r="A1709" s="282">
        <v>12</v>
      </c>
      <c r="B1709" s="279" t="s">
        <v>6812</v>
      </c>
      <c r="C1709" s="287">
        <v>45601</v>
      </c>
      <c r="D1709" s="279" t="s">
        <v>4714</v>
      </c>
      <c r="E1709" s="268" t="s">
        <v>4820</v>
      </c>
      <c r="F1709" s="284" t="s">
        <v>4715</v>
      </c>
      <c r="G1709" s="284" t="s">
        <v>4716</v>
      </c>
      <c r="H1709" s="268" t="str">
        <f t="shared" si="9"/>
        <v>JAVIER GARCÍA GÓMEZ</v>
      </c>
      <c r="I1709" s="268" t="s">
        <v>5220</v>
      </c>
      <c r="J1709" s="268" t="s">
        <v>4822</v>
      </c>
      <c r="K1709" s="268" t="s">
        <v>6952</v>
      </c>
      <c r="L1709" s="287">
        <v>45630</v>
      </c>
      <c r="M1709" s="283"/>
      <c r="N1709" s="282">
        <v>2</v>
      </c>
      <c r="O1709" s="284" t="s">
        <v>4787</v>
      </c>
      <c r="P1709" s="280">
        <v>4218.18</v>
      </c>
      <c r="Q1709" s="287">
        <v>45630</v>
      </c>
      <c r="R1709" s="272"/>
      <c r="S1709" s="272"/>
      <c r="T1709" s="272"/>
      <c r="U1709" s="272"/>
      <c r="V1709" s="272"/>
      <c r="W1709" s="272"/>
      <c r="X1709" s="272"/>
      <c r="Y1709" s="272"/>
      <c r="Z1709" s="272"/>
      <c r="AA1709" s="272"/>
    </row>
    <row r="1710" spans="1:27">
      <c r="A1710" s="282">
        <v>12</v>
      </c>
      <c r="B1710" s="279" t="s">
        <v>6812</v>
      </c>
      <c r="C1710" s="287">
        <v>45602</v>
      </c>
      <c r="D1710" s="279" t="s">
        <v>4714</v>
      </c>
      <c r="E1710" s="268" t="s">
        <v>3529</v>
      </c>
      <c r="F1710" s="284" t="s">
        <v>4715</v>
      </c>
      <c r="G1710" s="284" t="s">
        <v>4716</v>
      </c>
      <c r="H1710" s="268" t="str">
        <f t="shared" si="9"/>
        <v>ANTONIO MEDINILLA VALLEJO</v>
      </c>
      <c r="I1710" s="268" t="s">
        <v>6953</v>
      </c>
      <c r="J1710" s="268" t="s">
        <v>4729</v>
      </c>
      <c r="K1710" s="268" t="s">
        <v>6954</v>
      </c>
      <c r="L1710" s="287">
        <v>45630</v>
      </c>
      <c r="M1710" s="283"/>
      <c r="N1710" s="282">
        <v>2</v>
      </c>
      <c r="O1710" s="284" t="s">
        <v>4720</v>
      </c>
      <c r="P1710" s="280">
        <v>3710</v>
      </c>
      <c r="Q1710" s="287">
        <v>45630</v>
      </c>
      <c r="R1710" s="272"/>
      <c r="S1710" s="272"/>
      <c r="T1710" s="272"/>
      <c r="U1710" s="272"/>
      <c r="V1710" s="272"/>
      <c r="W1710" s="272"/>
      <c r="X1710" s="272"/>
      <c r="Y1710" s="272"/>
      <c r="Z1710" s="272"/>
      <c r="AA1710" s="272"/>
    </row>
    <row r="1711" spans="1:27">
      <c r="A1711" s="282">
        <v>12</v>
      </c>
      <c r="B1711" s="279" t="s">
        <v>6812</v>
      </c>
      <c r="C1711" s="287">
        <v>45603</v>
      </c>
      <c r="D1711" s="279" t="s">
        <v>4714</v>
      </c>
      <c r="E1711" s="268" t="s">
        <v>4799</v>
      </c>
      <c r="F1711" s="284" t="s">
        <v>4715</v>
      </c>
      <c r="G1711" s="284" t="s">
        <v>4716</v>
      </c>
      <c r="H1711" s="268" t="str">
        <f t="shared" si="9"/>
        <v>ELISA PARDO SALGADO</v>
      </c>
      <c r="I1711" s="268" t="s">
        <v>6955</v>
      </c>
      <c r="J1711" s="268" t="s">
        <v>4790</v>
      </c>
      <c r="K1711" s="268" t="s">
        <v>6956</v>
      </c>
      <c r="L1711" s="287">
        <v>45630</v>
      </c>
      <c r="M1711" s="283"/>
      <c r="N1711" s="282">
        <v>2</v>
      </c>
      <c r="O1711" s="284" t="s">
        <v>4723</v>
      </c>
      <c r="P1711" s="280">
        <v>3000</v>
      </c>
      <c r="Q1711" s="287">
        <v>45630</v>
      </c>
      <c r="R1711" s="272"/>
      <c r="S1711" s="272"/>
      <c r="T1711" s="272"/>
      <c r="U1711" s="272"/>
      <c r="V1711" s="272"/>
      <c r="W1711" s="272"/>
      <c r="X1711" s="272"/>
      <c r="Y1711" s="272"/>
      <c r="Z1711" s="272"/>
      <c r="AA1711" s="272"/>
    </row>
    <row r="1712" spans="1:27">
      <c r="A1712" s="282">
        <v>12</v>
      </c>
      <c r="B1712" s="279" t="s">
        <v>6812</v>
      </c>
      <c r="C1712" s="287">
        <v>45596</v>
      </c>
      <c r="D1712" s="279" t="s">
        <v>4714</v>
      </c>
      <c r="E1712" s="268" t="s">
        <v>4845</v>
      </c>
      <c r="F1712" s="284" t="s">
        <v>4715</v>
      </c>
      <c r="G1712" s="284" t="s">
        <v>4716</v>
      </c>
      <c r="H1712" s="268" t="str">
        <f t="shared" si="9"/>
        <v>HECTOR VALLES VARELA</v>
      </c>
      <c r="I1712" s="268" t="s">
        <v>5338</v>
      </c>
      <c r="J1712" s="268" t="s">
        <v>4822</v>
      </c>
      <c r="K1712" s="268" t="s">
        <v>6957</v>
      </c>
      <c r="L1712" s="287">
        <v>45631</v>
      </c>
      <c r="M1712" s="283"/>
      <c r="N1712" s="282">
        <v>2</v>
      </c>
      <c r="O1712" s="284" t="s">
        <v>4787</v>
      </c>
      <c r="P1712" s="280">
        <v>4180</v>
      </c>
      <c r="Q1712" s="287">
        <v>45631</v>
      </c>
      <c r="R1712" s="272"/>
      <c r="S1712" s="272"/>
      <c r="T1712" s="272"/>
      <c r="U1712" s="272"/>
      <c r="V1712" s="272"/>
      <c r="W1712" s="272"/>
      <c r="X1712" s="272"/>
      <c r="Y1712" s="272"/>
      <c r="Z1712" s="272"/>
      <c r="AA1712" s="272"/>
    </row>
    <row r="1713" spans="1:27">
      <c r="A1713" s="282">
        <v>12</v>
      </c>
      <c r="B1713" s="279" t="s">
        <v>6812</v>
      </c>
      <c r="C1713" s="287">
        <v>45552</v>
      </c>
      <c r="D1713" s="279" t="s">
        <v>4714</v>
      </c>
      <c r="E1713" s="268" t="s">
        <v>4820</v>
      </c>
      <c r="F1713" s="284" t="s">
        <v>4715</v>
      </c>
      <c r="G1713" s="284" t="s">
        <v>4716</v>
      </c>
      <c r="H1713" s="268" t="str">
        <f t="shared" si="9"/>
        <v>DANIELA CAROLINA LAGUADO BULGHERONI</v>
      </c>
      <c r="I1713" s="268" t="s">
        <v>5614</v>
      </c>
      <c r="J1713" s="268" t="s">
        <v>4822</v>
      </c>
      <c r="K1713" s="268" t="s">
        <v>6958</v>
      </c>
      <c r="L1713" s="287">
        <v>45632</v>
      </c>
      <c r="M1713" s="283"/>
      <c r="N1713" s="282">
        <v>2</v>
      </c>
      <c r="O1713" s="284" t="s">
        <v>4723</v>
      </c>
      <c r="P1713" s="280">
        <v>3185.45</v>
      </c>
      <c r="Q1713" s="287">
        <v>45632</v>
      </c>
      <c r="R1713" s="272"/>
      <c r="S1713" s="272"/>
      <c r="T1713" s="272"/>
      <c r="U1713" s="272"/>
      <c r="V1713" s="272"/>
      <c r="W1713" s="272"/>
      <c r="X1713" s="272"/>
      <c r="Y1713" s="272"/>
      <c r="Z1713" s="272"/>
      <c r="AA1713" s="272"/>
    </row>
    <row r="1714" spans="1:27">
      <c r="A1714" s="282">
        <v>12</v>
      </c>
      <c r="B1714" s="279" t="s">
        <v>6812</v>
      </c>
      <c r="C1714" s="287">
        <v>45600</v>
      </c>
      <c r="D1714" s="279" t="s">
        <v>4714</v>
      </c>
      <c r="E1714" s="268" t="s">
        <v>4820</v>
      </c>
      <c r="F1714" s="284" t="s">
        <v>4715</v>
      </c>
      <c r="G1714" s="284" t="s">
        <v>4716</v>
      </c>
      <c r="H1714" s="268" t="str">
        <f t="shared" si="9"/>
        <v>JAVIER GARCÍA GÓMEZ</v>
      </c>
      <c r="I1714" s="268" t="s">
        <v>5220</v>
      </c>
      <c r="J1714" s="268" t="s">
        <v>4822</v>
      </c>
      <c r="K1714" s="268" t="s">
        <v>6959</v>
      </c>
      <c r="L1714" s="287">
        <v>45632</v>
      </c>
      <c r="M1714" s="283"/>
      <c r="N1714" s="282">
        <v>2</v>
      </c>
      <c r="O1714" s="284" t="s">
        <v>4740</v>
      </c>
      <c r="P1714" s="280">
        <v>3714.55</v>
      </c>
      <c r="Q1714" s="287">
        <v>45632</v>
      </c>
      <c r="R1714" s="272"/>
      <c r="S1714" s="272"/>
      <c r="T1714" s="272"/>
      <c r="U1714" s="272"/>
      <c r="V1714" s="272"/>
      <c r="W1714" s="272"/>
      <c r="X1714" s="272"/>
      <c r="Y1714" s="272"/>
      <c r="Z1714" s="272"/>
      <c r="AA1714" s="272"/>
    </row>
    <row r="1715" spans="1:27">
      <c r="A1715" s="282">
        <v>12</v>
      </c>
      <c r="B1715" s="279" t="s">
        <v>6812</v>
      </c>
      <c r="C1715" s="287">
        <v>45594</v>
      </c>
      <c r="D1715" s="279" t="s">
        <v>4714</v>
      </c>
      <c r="E1715" s="268" t="s">
        <v>4799</v>
      </c>
      <c r="F1715" s="284" t="s">
        <v>4715</v>
      </c>
      <c r="G1715" s="284" t="s">
        <v>4716</v>
      </c>
      <c r="H1715" s="268" t="str">
        <f t="shared" si="9"/>
        <v>MANUEL ESTEVEZ GARCÍA</v>
      </c>
      <c r="I1715" s="268" t="s">
        <v>5683</v>
      </c>
      <c r="J1715" s="268" t="s">
        <v>4790</v>
      </c>
      <c r="K1715" s="268" t="s">
        <v>6960</v>
      </c>
      <c r="L1715" s="287">
        <v>45635</v>
      </c>
      <c r="M1715" s="283"/>
      <c r="N1715" s="282">
        <v>2</v>
      </c>
      <c r="O1715" s="284" t="s">
        <v>4740</v>
      </c>
      <c r="P1715" s="280">
        <v>3636.36</v>
      </c>
      <c r="Q1715" s="287">
        <v>45635</v>
      </c>
      <c r="R1715" s="272"/>
      <c r="S1715" s="272"/>
      <c r="T1715" s="272"/>
      <c r="U1715" s="272"/>
      <c r="V1715" s="272"/>
      <c r="W1715" s="272"/>
      <c r="X1715" s="272"/>
      <c r="Y1715" s="272"/>
      <c r="Z1715" s="272"/>
      <c r="AA1715" s="272"/>
    </row>
    <row r="1716" spans="1:27">
      <c r="A1716" s="282">
        <v>12</v>
      </c>
      <c r="B1716" s="279" t="s">
        <v>6812</v>
      </c>
      <c r="C1716" s="287">
        <v>45595</v>
      </c>
      <c r="D1716" s="279" t="s">
        <v>4714</v>
      </c>
      <c r="E1716" s="268" t="s">
        <v>2863</v>
      </c>
      <c r="F1716" s="284" t="s">
        <v>4715</v>
      </c>
      <c r="G1716" s="284" t="s">
        <v>4716</v>
      </c>
      <c r="H1716" s="268" t="str">
        <f t="shared" si="9"/>
        <v>PEDRO SEGUÍ MOYA</v>
      </c>
      <c r="I1716" s="268" t="s">
        <v>5053</v>
      </c>
      <c r="J1716" s="268" t="s">
        <v>4736</v>
      </c>
      <c r="K1716" s="268" t="s">
        <v>6961</v>
      </c>
      <c r="L1716" s="287">
        <v>45635</v>
      </c>
      <c r="M1716" s="283"/>
      <c r="N1716" s="282">
        <v>1</v>
      </c>
      <c r="O1716" s="284" t="s">
        <v>4787</v>
      </c>
      <c r="P1716" s="280">
        <v>2500</v>
      </c>
      <c r="Q1716" s="287">
        <v>45635</v>
      </c>
      <c r="R1716" s="272"/>
      <c r="S1716" s="272"/>
      <c r="T1716" s="272"/>
      <c r="U1716" s="272"/>
      <c r="V1716" s="272"/>
      <c r="W1716" s="272"/>
      <c r="X1716" s="272"/>
      <c r="Y1716" s="272"/>
      <c r="Z1716" s="272"/>
      <c r="AA1716" s="272"/>
    </row>
    <row r="1717" spans="1:27">
      <c r="A1717" s="282">
        <v>12</v>
      </c>
      <c r="B1717" s="279" t="s">
        <v>6812</v>
      </c>
      <c r="C1717" s="287">
        <v>45610</v>
      </c>
      <c r="D1717" s="279" t="s">
        <v>4714</v>
      </c>
      <c r="E1717" s="268" t="s">
        <v>2900</v>
      </c>
      <c r="F1717" s="284" t="s">
        <v>4715</v>
      </c>
      <c r="G1717" s="284" t="s">
        <v>4716</v>
      </c>
      <c r="H1717" s="268" t="str">
        <f t="shared" si="9"/>
        <v>MARÍA REY MARCOS</v>
      </c>
      <c r="I1717" s="268" t="s">
        <v>4952</v>
      </c>
      <c r="J1717" s="268" t="s">
        <v>4790</v>
      </c>
      <c r="K1717" s="268" t="s">
        <v>6962</v>
      </c>
      <c r="L1717" s="287">
        <v>45635</v>
      </c>
      <c r="M1717" s="283"/>
      <c r="N1717" s="282">
        <v>1</v>
      </c>
      <c r="O1717" s="284" t="s">
        <v>4740</v>
      </c>
      <c r="P1717" s="280">
        <v>2400</v>
      </c>
      <c r="Q1717" s="287">
        <v>45635</v>
      </c>
      <c r="R1717" s="272"/>
      <c r="S1717" s="272"/>
      <c r="T1717" s="272"/>
      <c r="U1717" s="272"/>
      <c r="V1717" s="272"/>
      <c r="W1717" s="272"/>
      <c r="X1717" s="272"/>
      <c r="Y1717" s="272"/>
      <c r="Z1717" s="272"/>
      <c r="AA1717" s="272"/>
    </row>
    <row r="1718" spans="1:27">
      <c r="A1718" s="282">
        <v>12</v>
      </c>
      <c r="B1718" s="279" t="s">
        <v>6812</v>
      </c>
      <c r="C1718" s="287">
        <v>45574</v>
      </c>
      <c r="D1718" s="279" t="s">
        <v>4714</v>
      </c>
      <c r="E1718" s="268" t="s">
        <v>4749</v>
      </c>
      <c r="F1718" s="284" t="s">
        <v>4715</v>
      </c>
      <c r="G1718" s="284" t="s">
        <v>4716</v>
      </c>
      <c r="H1718" s="268" t="str">
        <f t="shared" si="9"/>
        <v>DIANA LISBETH</v>
      </c>
      <c r="I1718" s="268" t="s">
        <v>4955</v>
      </c>
      <c r="J1718" s="268" t="s">
        <v>4747</v>
      </c>
      <c r="K1718" s="268" t="s">
        <v>6963</v>
      </c>
      <c r="L1718" s="287">
        <v>45636</v>
      </c>
      <c r="M1718" s="283"/>
      <c r="N1718" s="282">
        <v>2</v>
      </c>
      <c r="O1718" s="284" t="s">
        <v>4720</v>
      </c>
      <c r="P1718" s="280">
        <v>3909.09</v>
      </c>
      <c r="Q1718" s="287">
        <v>45636</v>
      </c>
      <c r="R1718" s="272"/>
      <c r="S1718" s="272"/>
      <c r="T1718" s="272"/>
      <c r="U1718" s="272"/>
      <c r="V1718" s="272"/>
      <c r="W1718" s="272"/>
      <c r="X1718" s="272"/>
      <c r="Y1718" s="272"/>
      <c r="Z1718" s="272"/>
      <c r="AA1718" s="272"/>
    </row>
    <row r="1719" spans="1:27">
      <c r="A1719" s="282">
        <v>12</v>
      </c>
      <c r="B1719" s="279" t="s">
        <v>6812</v>
      </c>
      <c r="C1719" s="287">
        <v>45579</v>
      </c>
      <c r="D1719" s="279" t="s">
        <v>4714</v>
      </c>
      <c r="E1719" s="268" t="s">
        <v>4749</v>
      </c>
      <c r="F1719" s="284" t="s">
        <v>4715</v>
      </c>
      <c r="G1719" s="284" t="s">
        <v>4716</v>
      </c>
      <c r="H1719" s="268" t="str">
        <f t="shared" si="9"/>
        <v>DIANA LISBETH</v>
      </c>
      <c r="I1719" s="268" t="s">
        <v>4955</v>
      </c>
      <c r="J1719" s="268" t="s">
        <v>4747</v>
      </c>
      <c r="K1719" s="268" t="s">
        <v>6964</v>
      </c>
      <c r="L1719" s="287">
        <v>45636</v>
      </c>
      <c r="M1719" s="283"/>
      <c r="N1719" s="282">
        <v>2</v>
      </c>
      <c r="O1719" s="284" t="s">
        <v>4720</v>
      </c>
      <c r="P1719" s="280">
        <v>2727.27</v>
      </c>
      <c r="Q1719" s="287">
        <v>45636</v>
      </c>
      <c r="R1719" s="272"/>
      <c r="S1719" s="272"/>
      <c r="T1719" s="272"/>
      <c r="U1719" s="272"/>
      <c r="V1719" s="272"/>
      <c r="W1719" s="272"/>
      <c r="X1719" s="272"/>
      <c r="Y1719" s="272"/>
      <c r="Z1719" s="272"/>
      <c r="AA1719" s="272"/>
    </row>
    <row r="1720" spans="1:27">
      <c r="A1720" s="282">
        <v>12</v>
      </c>
      <c r="B1720" s="279" t="s">
        <v>6812</v>
      </c>
      <c r="C1720" s="287">
        <v>45607</v>
      </c>
      <c r="D1720" s="279" t="s">
        <v>4714</v>
      </c>
      <c r="E1720" s="268" t="s">
        <v>3529</v>
      </c>
      <c r="F1720" s="284" t="s">
        <v>4715</v>
      </c>
      <c r="G1720" s="284" t="s">
        <v>4716</v>
      </c>
      <c r="H1720" s="268" t="str">
        <f t="shared" si="9"/>
        <v>FRANCISCO ALÉS CONEJO</v>
      </c>
      <c r="I1720" s="268" t="s">
        <v>5271</v>
      </c>
      <c r="J1720" s="268" t="s">
        <v>4729</v>
      </c>
      <c r="K1720" s="268" t="s">
        <v>6965</v>
      </c>
      <c r="L1720" s="287">
        <v>45636</v>
      </c>
      <c r="M1720" s="283"/>
      <c r="N1720" s="282">
        <v>2</v>
      </c>
      <c r="O1720" s="284" t="s">
        <v>4740</v>
      </c>
      <c r="P1720" s="280">
        <v>4000</v>
      </c>
      <c r="Q1720" s="287">
        <v>45636</v>
      </c>
      <c r="R1720" s="272"/>
      <c r="S1720" s="272"/>
      <c r="T1720" s="272"/>
      <c r="U1720" s="272"/>
      <c r="V1720" s="272"/>
      <c r="W1720" s="272"/>
      <c r="X1720" s="272"/>
      <c r="Y1720" s="272"/>
      <c r="Z1720" s="272"/>
      <c r="AA1720" s="272"/>
    </row>
    <row r="1721" spans="1:27">
      <c r="A1721" s="282">
        <v>12</v>
      </c>
      <c r="B1721" s="279" t="s">
        <v>6812</v>
      </c>
      <c r="C1721" s="287">
        <v>45593</v>
      </c>
      <c r="D1721" s="279" t="s">
        <v>4714</v>
      </c>
      <c r="E1721" s="268" t="s">
        <v>4845</v>
      </c>
      <c r="F1721" s="284" t="s">
        <v>4715</v>
      </c>
      <c r="G1721" s="284" t="s">
        <v>4716</v>
      </c>
      <c r="H1721" s="268" t="str">
        <f t="shared" si="9"/>
        <v>JOSÉ MANUEL GARCÍA SOLANS-ESTERAS</v>
      </c>
      <c r="I1721" s="268" t="s">
        <v>4873</v>
      </c>
      <c r="J1721" s="268" t="s">
        <v>4822</v>
      </c>
      <c r="K1721" s="268" t="s">
        <v>6966</v>
      </c>
      <c r="L1721" s="287">
        <v>45637</v>
      </c>
      <c r="M1721" s="283"/>
      <c r="N1721" s="282">
        <v>2</v>
      </c>
      <c r="O1721" s="284" t="s">
        <v>4720</v>
      </c>
      <c r="P1721" s="280">
        <v>3424.55</v>
      </c>
      <c r="Q1721" s="287">
        <v>45637</v>
      </c>
      <c r="R1721" s="272"/>
      <c r="S1721" s="272"/>
      <c r="T1721" s="272"/>
      <c r="U1721" s="272"/>
      <c r="V1721" s="272"/>
      <c r="W1721" s="272"/>
      <c r="X1721" s="272"/>
      <c r="Y1721" s="272"/>
      <c r="Z1721" s="272"/>
      <c r="AA1721" s="272"/>
    </row>
    <row r="1722" spans="1:27">
      <c r="A1722" s="282">
        <v>12</v>
      </c>
      <c r="B1722" s="279" t="s">
        <v>6812</v>
      </c>
      <c r="C1722" s="287">
        <v>45595</v>
      </c>
      <c r="D1722" s="279" t="s">
        <v>4714</v>
      </c>
      <c r="E1722" s="268" t="s">
        <v>4749</v>
      </c>
      <c r="F1722" s="284" t="s">
        <v>4715</v>
      </c>
      <c r="G1722" s="284" t="s">
        <v>4716</v>
      </c>
      <c r="H1722" s="268" t="str">
        <f t="shared" si="9"/>
        <v>ALEJANDRO HARGUINDEY ANTOLI-CANDELA</v>
      </c>
      <c r="I1722" s="268" t="s">
        <v>6719</v>
      </c>
      <c r="J1722" s="268" t="s">
        <v>4718</v>
      </c>
      <c r="K1722" s="268" t="s">
        <v>6967</v>
      </c>
      <c r="L1722" s="287">
        <v>45637</v>
      </c>
      <c r="M1722" s="283"/>
      <c r="N1722" s="282">
        <v>2</v>
      </c>
      <c r="O1722" s="284" t="s">
        <v>4720</v>
      </c>
      <c r="P1722" s="280">
        <v>900</v>
      </c>
      <c r="Q1722" s="287">
        <v>45637</v>
      </c>
      <c r="R1722" s="272"/>
      <c r="S1722" s="272"/>
      <c r="T1722" s="272"/>
      <c r="U1722" s="272"/>
      <c r="V1722" s="272"/>
      <c r="W1722" s="272"/>
      <c r="X1722" s="272"/>
      <c r="Y1722" s="272"/>
      <c r="Z1722" s="272"/>
      <c r="AA1722" s="272"/>
    </row>
    <row r="1723" spans="1:27">
      <c r="A1723" s="282">
        <v>12</v>
      </c>
      <c r="B1723" s="279" t="s">
        <v>6812</v>
      </c>
      <c r="C1723" s="287">
        <v>45607</v>
      </c>
      <c r="D1723" s="279" t="s">
        <v>4714</v>
      </c>
      <c r="E1723" s="268" t="s">
        <v>4820</v>
      </c>
      <c r="F1723" s="284" t="s">
        <v>4715</v>
      </c>
      <c r="G1723" s="284" t="s">
        <v>4716</v>
      </c>
      <c r="H1723" s="268" t="str">
        <f t="shared" si="9"/>
        <v>DANIELA CAROLINA LAGUADO BULGHERONI</v>
      </c>
      <c r="I1723" s="268" t="s">
        <v>5614</v>
      </c>
      <c r="J1723" s="268" t="s">
        <v>4822</v>
      </c>
      <c r="K1723" s="268" t="s">
        <v>6968</v>
      </c>
      <c r="L1723" s="287">
        <v>45637</v>
      </c>
      <c r="M1723" s="283"/>
      <c r="N1723" s="282">
        <v>2</v>
      </c>
      <c r="O1723" s="284" t="s">
        <v>4787</v>
      </c>
      <c r="P1723" s="280">
        <v>3954.55</v>
      </c>
      <c r="Q1723" s="287">
        <v>45637</v>
      </c>
      <c r="R1723" s="272"/>
      <c r="S1723" s="272"/>
      <c r="T1723" s="272"/>
      <c r="U1723" s="272"/>
      <c r="V1723" s="272"/>
      <c r="W1723" s="272"/>
      <c r="X1723" s="272"/>
      <c r="Y1723" s="272"/>
      <c r="Z1723" s="272"/>
      <c r="AA1723" s="272"/>
    </row>
    <row r="1724" spans="1:27">
      <c r="A1724" s="282">
        <v>12</v>
      </c>
      <c r="B1724" s="279" t="s">
        <v>6812</v>
      </c>
      <c r="C1724" s="287">
        <v>45614</v>
      </c>
      <c r="D1724" s="279" t="s">
        <v>4714</v>
      </c>
      <c r="E1724" s="268" t="s">
        <v>5225</v>
      </c>
      <c r="F1724" s="284" t="s">
        <v>4715</v>
      </c>
      <c r="G1724" s="284" t="s">
        <v>4716</v>
      </c>
      <c r="H1724" s="268" t="str">
        <f t="shared" si="9"/>
        <v>ISABEL VAAMONDE SANCHEZ ANDRADE</v>
      </c>
      <c r="I1724" s="268" t="s">
        <v>5088</v>
      </c>
      <c r="J1724" s="268" t="s">
        <v>4790</v>
      </c>
      <c r="K1724" s="268" t="s">
        <v>6969</v>
      </c>
      <c r="L1724" s="287">
        <v>45637</v>
      </c>
      <c r="M1724" s="283"/>
      <c r="N1724" s="282">
        <v>2</v>
      </c>
      <c r="O1724" s="284" t="s">
        <v>4787</v>
      </c>
      <c r="P1724" s="280">
        <v>4400</v>
      </c>
      <c r="Q1724" s="287">
        <v>45637</v>
      </c>
      <c r="R1724" s="272"/>
      <c r="S1724" s="272"/>
      <c r="T1724" s="272"/>
      <c r="U1724" s="272"/>
      <c r="V1724" s="272"/>
      <c r="W1724" s="272"/>
      <c r="X1724" s="272"/>
      <c r="Y1724" s="272"/>
      <c r="Z1724" s="272"/>
      <c r="AA1724" s="272"/>
    </row>
    <row r="1725" spans="1:27">
      <c r="A1725" s="282">
        <v>12</v>
      </c>
      <c r="B1725" s="279" t="s">
        <v>6812</v>
      </c>
      <c r="C1725" s="287">
        <v>45625</v>
      </c>
      <c r="D1725" s="279" t="s">
        <v>4714</v>
      </c>
      <c r="E1725" s="268" t="s">
        <v>4875</v>
      </c>
      <c r="F1725" s="284" t="s">
        <v>4715</v>
      </c>
      <c r="G1725" s="284" t="s">
        <v>4716</v>
      </c>
      <c r="H1725" s="268" t="str">
        <f t="shared" si="9"/>
        <v>MIGUEL MAYO YÁÑEZ</v>
      </c>
      <c r="I1725" s="268" t="s">
        <v>4966</v>
      </c>
      <c r="J1725" s="268" t="s">
        <v>4790</v>
      </c>
      <c r="K1725" s="268" t="s">
        <v>6970</v>
      </c>
      <c r="L1725" s="287">
        <v>45637</v>
      </c>
      <c r="M1725" s="283"/>
      <c r="N1725" s="282">
        <v>2</v>
      </c>
      <c r="O1725" s="284" t="s">
        <v>4720</v>
      </c>
      <c r="P1725" s="280">
        <v>3000</v>
      </c>
      <c r="Q1725" s="287">
        <v>45637</v>
      </c>
      <c r="R1725" s="272"/>
      <c r="S1725" s="272"/>
      <c r="T1725" s="272"/>
      <c r="U1725" s="272"/>
      <c r="V1725" s="272"/>
      <c r="W1725" s="272"/>
      <c r="X1725" s="272"/>
      <c r="Y1725" s="272"/>
      <c r="Z1725" s="272"/>
      <c r="AA1725" s="272"/>
    </row>
    <row r="1726" spans="1:27">
      <c r="A1726" s="282">
        <v>12</v>
      </c>
      <c r="B1726" s="279" t="s">
        <v>6812</v>
      </c>
      <c r="C1726" s="287">
        <v>45548</v>
      </c>
      <c r="D1726" s="279" t="s">
        <v>4714</v>
      </c>
      <c r="E1726" s="268" t="s">
        <v>4749</v>
      </c>
      <c r="F1726" s="284" t="s">
        <v>4715</v>
      </c>
      <c r="G1726" s="284" t="s">
        <v>4716</v>
      </c>
      <c r="H1726" s="268" t="str">
        <f t="shared" si="9"/>
        <v>MÓNICA GRANDA ROSALES</v>
      </c>
      <c r="I1726" s="268" t="s">
        <v>4750</v>
      </c>
      <c r="J1726" s="268" t="s">
        <v>4747</v>
      </c>
      <c r="K1726" s="268" t="s">
        <v>6971</v>
      </c>
      <c r="L1726" s="287">
        <v>45638</v>
      </c>
      <c r="M1726" s="283"/>
      <c r="N1726" s="282">
        <v>2</v>
      </c>
      <c r="O1726" s="284" t="s">
        <v>4720</v>
      </c>
      <c r="P1726" s="280">
        <v>3909.09</v>
      </c>
      <c r="Q1726" s="287">
        <v>45638</v>
      </c>
      <c r="R1726" s="272"/>
      <c r="S1726" s="272"/>
      <c r="T1726" s="272"/>
      <c r="U1726" s="272"/>
      <c r="V1726" s="272"/>
      <c r="W1726" s="272"/>
      <c r="X1726" s="272"/>
      <c r="Y1726" s="272"/>
      <c r="Z1726" s="272"/>
      <c r="AA1726" s="272"/>
    </row>
    <row r="1727" spans="1:27">
      <c r="A1727" s="282">
        <v>12</v>
      </c>
      <c r="B1727" s="279" t="s">
        <v>6812</v>
      </c>
      <c r="C1727" s="287">
        <v>45575</v>
      </c>
      <c r="D1727" s="279" t="s">
        <v>4714</v>
      </c>
      <c r="E1727" s="268" t="s">
        <v>6612</v>
      </c>
      <c r="F1727" s="284" t="s">
        <v>4715</v>
      </c>
      <c r="G1727" s="284" t="s">
        <v>4716</v>
      </c>
      <c r="H1727" s="268" t="str">
        <f t="shared" si="9"/>
        <v>ISIDORO RUBIO CORREA</v>
      </c>
      <c r="I1727" s="268" t="s">
        <v>6057</v>
      </c>
      <c r="J1727" s="268" t="s">
        <v>4729</v>
      </c>
      <c r="K1727" s="268" t="s">
        <v>6972</v>
      </c>
      <c r="L1727" s="287">
        <v>45638</v>
      </c>
      <c r="M1727" s="283"/>
      <c r="N1727" s="282">
        <v>1</v>
      </c>
      <c r="O1727" s="284" t="s">
        <v>4723</v>
      </c>
      <c r="P1727" s="280">
        <v>1727.27</v>
      </c>
      <c r="Q1727" s="287">
        <v>45638</v>
      </c>
      <c r="R1727" s="272"/>
      <c r="S1727" s="272"/>
      <c r="T1727" s="272"/>
      <c r="U1727" s="272"/>
      <c r="V1727" s="272"/>
      <c r="W1727" s="272"/>
      <c r="X1727" s="272"/>
      <c r="Y1727" s="272"/>
      <c r="Z1727" s="272"/>
      <c r="AA1727" s="272"/>
    </row>
    <row r="1728" spans="1:27">
      <c r="A1728" s="282">
        <v>12</v>
      </c>
      <c r="B1728" s="279" t="s">
        <v>6812</v>
      </c>
      <c r="C1728" s="287">
        <v>45608</v>
      </c>
      <c r="D1728" s="279" t="s">
        <v>4714</v>
      </c>
      <c r="E1728" s="268" t="s">
        <v>4845</v>
      </c>
      <c r="F1728" s="284" t="s">
        <v>4715</v>
      </c>
      <c r="G1728" s="284" t="s">
        <v>4716</v>
      </c>
      <c r="H1728" s="268" t="str">
        <f t="shared" si="9"/>
        <v>JOSÉ TISNER NIETO</v>
      </c>
      <c r="I1728" s="268" t="s">
        <v>5630</v>
      </c>
      <c r="J1728" s="268" t="s">
        <v>4822</v>
      </c>
      <c r="K1728" s="268" t="s">
        <v>6973</v>
      </c>
      <c r="L1728" s="287">
        <v>45638</v>
      </c>
      <c r="M1728" s="283"/>
      <c r="N1728" s="282">
        <v>2</v>
      </c>
      <c r="O1728" s="284" t="s">
        <v>4740</v>
      </c>
      <c r="P1728" s="280">
        <v>3409.09</v>
      </c>
      <c r="Q1728" s="287">
        <v>45638</v>
      </c>
      <c r="R1728" s="272"/>
      <c r="S1728" s="272"/>
      <c r="T1728" s="272"/>
      <c r="U1728" s="272"/>
      <c r="V1728" s="272"/>
      <c r="W1728" s="272"/>
      <c r="X1728" s="272"/>
      <c r="Y1728" s="272"/>
      <c r="Z1728" s="272"/>
      <c r="AA1728" s="272"/>
    </row>
    <row r="1729" spans="1:27">
      <c r="A1729" s="282">
        <v>12</v>
      </c>
      <c r="B1729" s="279" t="s">
        <v>6812</v>
      </c>
      <c r="C1729" s="287">
        <v>45572</v>
      </c>
      <c r="D1729" s="279" t="s">
        <v>4714</v>
      </c>
      <c r="E1729" s="268" t="s">
        <v>4759</v>
      </c>
      <c r="F1729" s="284" t="s">
        <v>4715</v>
      </c>
      <c r="G1729" s="284" t="s">
        <v>4716</v>
      </c>
      <c r="H1729" s="268" t="str">
        <f t="shared" si="9"/>
        <v>ALEJANDRO HARGUINDEY ANTOLI-CANDELA</v>
      </c>
      <c r="I1729" s="268" t="s">
        <v>6719</v>
      </c>
      <c r="J1729" s="268" t="s">
        <v>4718</v>
      </c>
      <c r="K1729" s="268" t="s">
        <v>6974</v>
      </c>
      <c r="L1729" s="287">
        <v>45639</v>
      </c>
      <c r="M1729" s="283"/>
      <c r="N1729" s="282">
        <v>1</v>
      </c>
      <c r="O1729" s="284" t="s">
        <v>4787</v>
      </c>
      <c r="P1729" s="280">
        <v>2307.27</v>
      </c>
      <c r="Q1729" s="287">
        <v>45639</v>
      </c>
      <c r="R1729" s="272"/>
      <c r="S1729" s="272"/>
      <c r="T1729" s="272"/>
      <c r="U1729" s="272"/>
      <c r="V1729" s="272"/>
      <c r="W1729" s="272"/>
      <c r="X1729" s="272"/>
      <c r="Y1729" s="272"/>
      <c r="Z1729" s="272"/>
      <c r="AA1729" s="272"/>
    </row>
    <row r="1730" spans="1:27">
      <c r="A1730" s="282">
        <v>12</v>
      </c>
      <c r="B1730" s="279" t="s">
        <v>6812</v>
      </c>
      <c r="C1730" s="287">
        <v>45530</v>
      </c>
      <c r="D1730" s="279" t="s">
        <v>4714</v>
      </c>
      <c r="E1730" s="268" t="s">
        <v>4799</v>
      </c>
      <c r="F1730" s="284" t="s">
        <v>4715</v>
      </c>
      <c r="G1730" s="284" t="s">
        <v>4716</v>
      </c>
      <c r="H1730" s="268" t="str">
        <f t="shared" si="9"/>
        <v>ADELA PÉREZ-CARO RÍOS</v>
      </c>
      <c r="I1730" s="268" t="s">
        <v>5169</v>
      </c>
      <c r="J1730" s="268" t="s">
        <v>4790</v>
      </c>
      <c r="K1730" s="268" t="s">
        <v>6975</v>
      </c>
      <c r="L1730" s="287">
        <v>45642</v>
      </c>
      <c r="M1730" s="283"/>
      <c r="N1730" s="282">
        <v>2</v>
      </c>
      <c r="O1730" s="284" t="s">
        <v>4720</v>
      </c>
      <c r="P1730" s="280">
        <v>3545.45</v>
      </c>
      <c r="Q1730" s="287">
        <v>45642</v>
      </c>
      <c r="R1730" s="272"/>
      <c r="S1730" s="272"/>
      <c r="T1730" s="272"/>
      <c r="U1730" s="272"/>
      <c r="V1730" s="272"/>
      <c r="W1730" s="272"/>
      <c r="X1730" s="272"/>
      <c r="Y1730" s="272"/>
      <c r="Z1730" s="272"/>
      <c r="AA1730" s="272"/>
    </row>
    <row r="1731" spans="1:27">
      <c r="A1731" s="282">
        <v>12</v>
      </c>
      <c r="B1731" s="279" t="s">
        <v>6812</v>
      </c>
      <c r="C1731" s="287">
        <v>45593</v>
      </c>
      <c r="D1731" s="279" t="s">
        <v>4714</v>
      </c>
      <c r="E1731" s="268" t="s">
        <v>6612</v>
      </c>
      <c r="F1731" s="284" t="s">
        <v>4715</v>
      </c>
      <c r="G1731" s="284" t="s">
        <v>4716</v>
      </c>
      <c r="H1731" s="268" t="str">
        <f t="shared" si="9"/>
        <v>TOMAS MOGOLLON CANO CORTES</v>
      </c>
      <c r="I1731" s="268" t="s">
        <v>5319</v>
      </c>
      <c r="J1731" s="268" t="s">
        <v>4729</v>
      </c>
      <c r="K1731" s="268" t="s">
        <v>6976</v>
      </c>
      <c r="L1731" s="287">
        <v>45642</v>
      </c>
      <c r="M1731" s="283"/>
      <c r="N1731" s="282">
        <v>2</v>
      </c>
      <c r="O1731" s="284" t="s">
        <v>4740</v>
      </c>
      <c r="P1731" s="280">
        <v>4000</v>
      </c>
      <c r="Q1731" s="287">
        <v>45642</v>
      </c>
      <c r="R1731" s="272"/>
      <c r="S1731" s="272"/>
      <c r="T1731" s="272"/>
      <c r="U1731" s="272"/>
      <c r="V1731" s="272"/>
      <c r="W1731" s="272"/>
      <c r="X1731" s="272"/>
      <c r="Y1731" s="272"/>
      <c r="Z1731" s="272"/>
      <c r="AA1731" s="272"/>
    </row>
    <row r="1732" spans="1:27">
      <c r="A1732" s="282">
        <v>12</v>
      </c>
      <c r="B1732" s="279" t="s">
        <v>6812</v>
      </c>
      <c r="C1732" s="287">
        <v>45607</v>
      </c>
      <c r="D1732" s="279" t="s">
        <v>4714</v>
      </c>
      <c r="E1732" s="268" t="s">
        <v>4820</v>
      </c>
      <c r="F1732" s="284" t="s">
        <v>4715</v>
      </c>
      <c r="G1732" s="284" t="s">
        <v>4716</v>
      </c>
      <c r="H1732" s="268" t="str">
        <f t="shared" si="9"/>
        <v>RAFAEL SANZ TRENADO</v>
      </c>
      <c r="I1732" s="268" t="s">
        <v>5797</v>
      </c>
      <c r="J1732" s="268" t="s">
        <v>4822</v>
      </c>
      <c r="K1732" s="268" t="s">
        <v>6977</v>
      </c>
      <c r="L1732" s="287">
        <v>45642</v>
      </c>
      <c r="M1732" s="283"/>
      <c r="N1732" s="282">
        <v>1</v>
      </c>
      <c r="O1732" s="284" t="s">
        <v>4720</v>
      </c>
      <c r="P1732" s="280">
        <v>1691.82</v>
      </c>
      <c r="Q1732" s="287">
        <v>45642</v>
      </c>
      <c r="R1732" s="272"/>
      <c r="S1732" s="272"/>
      <c r="T1732" s="272"/>
      <c r="U1732" s="272"/>
      <c r="V1732" s="272"/>
      <c r="W1732" s="272"/>
      <c r="X1732" s="272"/>
      <c r="Y1732" s="272"/>
      <c r="Z1732" s="272"/>
      <c r="AA1732" s="272"/>
    </row>
    <row r="1733" spans="1:27">
      <c r="A1733" s="282">
        <v>12</v>
      </c>
      <c r="B1733" s="279" t="s">
        <v>6812</v>
      </c>
      <c r="C1733" s="287">
        <v>45614</v>
      </c>
      <c r="D1733" s="279" t="s">
        <v>4714</v>
      </c>
      <c r="E1733" s="268" t="s">
        <v>4820</v>
      </c>
      <c r="F1733" s="284" t="s">
        <v>4715</v>
      </c>
      <c r="G1733" s="284" t="s">
        <v>4716</v>
      </c>
      <c r="H1733" s="268" t="str">
        <f t="shared" si="9"/>
        <v>RAED MAQUED EL MAQUED</v>
      </c>
      <c r="I1733" s="268" t="s">
        <v>4821</v>
      </c>
      <c r="J1733" s="268" t="s">
        <v>4822</v>
      </c>
      <c r="K1733" s="268" t="s">
        <v>6978</v>
      </c>
      <c r="L1733" s="287">
        <v>45642</v>
      </c>
      <c r="M1733" s="283"/>
      <c r="N1733" s="282">
        <v>1</v>
      </c>
      <c r="O1733" s="284" t="s">
        <v>4787</v>
      </c>
      <c r="P1733" s="280">
        <v>2200</v>
      </c>
      <c r="Q1733" s="287">
        <v>45642</v>
      </c>
      <c r="R1733" s="272"/>
      <c r="S1733" s="272"/>
      <c r="T1733" s="272"/>
      <c r="U1733" s="272"/>
      <c r="V1733" s="272"/>
      <c r="W1733" s="272"/>
      <c r="X1733" s="272"/>
      <c r="Y1733" s="272"/>
      <c r="Z1733" s="272"/>
      <c r="AA1733" s="272"/>
    </row>
    <row r="1734" spans="1:27">
      <c r="A1734" s="282">
        <v>12</v>
      </c>
      <c r="B1734" s="279" t="s">
        <v>6812</v>
      </c>
      <c r="C1734" s="287">
        <v>45561</v>
      </c>
      <c r="D1734" s="279" t="s">
        <v>4714</v>
      </c>
      <c r="E1734" s="268" t="s">
        <v>4820</v>
      </c>
      <c r="F1734" s="284" t="s">
        <v>4715</v>
      </c>
      <c r="G1734" s="284" t="s">
        <v>4716</v>
      </c>
      <c r="H1734" s="268" t="str">
        <f t="shared" si="9"/>
        <v>JAVIER GARCÍA GÓMEZ</v>
      </c>
      <c r="I1734" s="268" t="s">
        <v>5220</v>
      </c>
      <c r="J1734" s="268" t="s">
        <v>4822</v>
      </c>
      <c r="K1734" s="268" t="s">
        <v>6979</v>
      </c>
      <c r="L1734" s="287">
        <v>45644</v>
      </c>
      <c r="M1734" s="283"/>
      <c r="N1734" s="282">
        <v>1</v>
      </c>
      <c r="O1734" s="284" t="s">
        <v>4740</v>
      </c>
      <c r="P1734" s="280">
        <v>2119.09</v>
      </c>
      <c r="Q1734" s="287">
        <v>45644</v>
      </c>
      <c r="R1734" s="272"/>
      <c r="S1734" s="272"/>
      <c r="T1734" s="272"/>
      <c r="U1734" s="272"/>
      <c r="V1734" s="272"/>
      <c r="W1734" s="272"/>
      <c r="X1734" s="272"/>
      <c r="Y1734" s="272"/>
      <c r="Z1734" s="272"/>
      <c r="AA1734" s="272"/>
    </row>
    <row r="1735" spans="1:27">
      <c r="A1735" s="282">
        <v>12</v>
      </c>
      <c r="B1735" s="279" t="s">
        <v>6812</v>
      </c>
      <c r="C1735" s="287">
        <v>45572</v>
      </c>
      <c r="D1735" s="279" t="s">
        <v>4714</v>
      </c>
      <c r="E1735" s="268" t="s">
        <v>4780</v>
      </c>
      <c r="F1735" s="284" t="s">
        <v>4715</v>
      </c>
      <c r="G1735" s="284" t="s">
        <v>4716</v>
      </c>
      <c r="H1735" s="268" t="str">
        <f t="shared" si="9"/>
        <v>LUIS MIGUEL RINCÓN ESTEBAN</v>
      </c>
      <c r="I1735" s="268" t="s">
        <v>5307</v>
      </c>
      <c r="J1735" s="268" t="s">
        <v>4747</v>
      </c>
      <c r="K1735" s="268" t="s">
        <v>6980</v>
      </c>
      <c r="L1735" s="287">
        <v>45644</v>
      </c>
      <c r="M1735" s="283"/>
      <c r="N1735" s="282">
        <v>2</v>
      </c>
      <c r="O1735" s="284" t="s">
        <v>4720</v>
      </c>
      <c r="P1735" s="280">
        <v>3604.55</v>
      </c>
      <c r="Q1735" s="287">
        <v>45644</v>
      </c>
      <c r="R1735" s="272"/>
      <c r="S1735" s="272"/>
      <c r="T1735" s="272"/>
      <c r="U1735" s="272"/>
      <c r="V1735" s="272"/>
      <c r="W1735" s="272"/>
      <c r="X1735" s="272"/>
      <c r="Y1735" s="272"/>
      <c r="Z1735" s="272"/>
      <c r="AA1735" s="272"/>
    </row>
    <row r="1736" spans="1:27">
      <c r="A1736" s="282">
        <v>12</v>
      </c>
      <c r="B1736" s="279" t="s">
        <v>6812</v>
      </c>
      <c r="C1736" s="287">
        <v>45581</v>
      </c>
      <c r="D1736" s="279" t="s">
        <v>4714</v>
      </c>
      <c r="E1736" s="268" t="s">
        <v>4775</v>
      </c>
      <c r="F1736" s="284" t="s">
        <v>4715</v>
      </c>
      <c r="G1736" s="284" t="s">
        <v>4716</v>
      </c>
      <c r="H1736" s="268" t="str">
        <f t="shared" si="9"/>
        <v>GARIKOITZ CALZADA URIONDO</v>
      </c>
      <c r="I1736" s="268" t="s">
        <v>5520</v>
      </c>
      <c r="J1736" s="268" t="s">
        <v>4822</v>
      </c>
      <c r="K1736" s="268" t="s">
        <v>6981</v>
      </c>
      <c r="L1736" s="287">
        <v>45644</v>
      </c>
      <c r="M1736" s="283"/>
      <c r="N1736" s="282">
        <v>2</v>
      </c>
      <c r="O1736" s="284" t="s">
        <v>4720</v>
      </c>
      <c r="P1736" s="280">
        <v>3454.55</v>
      </c>
      <c r="Q1736" s="287">
        <v>45644</v>
      </c>
      <c r="R1736" s="272"/>
      <c r="S1736" s="272"/>
      <c r="T1736" s="272"/>
      <c r="U1736" s="272"/>
      <c r="V1736" s="272"/>
      <c r="W1736" s="272"/>
      <c r="X1736" s="272"/>
      <c r="Y1736" s="272"/>
      <c r="Z1736" s="272"/>
      <c r="AA1736" s="272"/>
    </row>
    <row r="1737" spans="1:27">
      <c r="A1737" s="282">
        <v>12</v>
      </c>
      <c r="B1737" s="279" t="s">
        <v>6812</v>
      </c>
      <c r="C1737" s="287">
        <v>45611</v>
      </c>
      <c r="D1737" s="279" t="s">
        <v>4714</v>
      </c>
      <c r="E1737" s="268" t="s">
        <v>4799</v>
      </c>
      <c r="F1737" s="284" t="s">
        <v>4715</v>
      </c>
      <c r="G1737" s="284" t="s">
        <v>4716</v>
      </c>
      <c r="H1737" s="268" t="str">
        <f t="shared" si="9"/>
        <v>LEÓN FERNÁNDEZ CAMESELLE</v>
      </c>
      <c r="I1737" s="268" t="s">
        <v>6982</v>
      </c>
      <c r="J1737" s="268" t="s">
        <v>4790</v>
      </c>
      <c r="K1737" s="268" t="s">
        <v>6983</v>
      </c>
      <c r="L1737" s="287">
        <v>45644</v>
      </c>
      <c r="M1737" s="283"/>
      <c r="N1737" s="282">
        <v>2</v>
      </c>
      <c r="O1737" s="284" t="s">
        <v>4720</v>
      </c>
      <c r="P1737" s="280">
        <v>3454.55</v>
      </c>
      <c r="Q1737" s="287">
        <v>45644</v>
      </c>
      <c r="R1737" s="272"/>
      <c r="S1737" s="272"/>
      <c r="T1737" s="272"/>
      <c r="U1737" s="272"/>
      <c r="V1737" s="272"/>
      <c r="W1737" s="272"/>
      <c r="X1737" s="272"/>
      <c r="Y1737" s="272"/>
      <c r="Z1737" s="272"/>
      <c r="AA1737" s="272"/>
    </row>
    <row r="1738" spans="1:27">
      <c r="A1738" s="282">
        <v>12</v>
      </c>
      <c r="B1738" s="279" t="s">
        <v>6812</v>
      </c>
      <c r="C1738" s="287">
        <v>45611</v>
      </c>
      <c r="D1738" s="279" t="s">
        <v>4714</v>
      </c>
      <c r="E1738" s="268" t="s">
        <v>4820</v>
      </c>
      <c r="F1738" s="284" t="s">
        <v>4715</v>
      </c>
      <c r="G1738" s="284" t="s">
        <v>4716</v>
      </c>
      <c r="H1738" s="268" t="str">
        <f t="shared" si="9"/>
        <v>JAVIER GARCÍA GÓMEZ</v>
      </c>
      <c r="I1738" s="268" t="s">
        <v>5220</v>
      </c>
      <c r="J1738" s="268" t="s">
        <v>4822</v>
      </c>
      <c r="K1738" s="268" t="s">
        <v>6984</v>
      </c>
      <c r="L1738" s="287">
        <v>45644</v>
      </c>
      <c r="M1738" s="283"/>
      <c r="N1738" s="282">
        <v>3</v>
      </c>
      <c r="O1738" s="284" t="s">
        <v>4720</v>
      </c>
      <c r="P1738" s="280">
        <v>4219.09</v>
      </c>
      <c r="Q1738" s="287">
        <v>45644</v>
      </c>
      <c r="R1738" s="272"/>
      <c r="S1738" s="272"/>
      <c r="T1738" s="272"/>
      <c r="U1738" s="272"/>
      <c r="V1738" s="272"/>
      <c r="W1738" s="272"/>
      <c r="X1738" s="272"/>
      <c r="Y1738" s="272"/>
      <c r="Z1738" s="272"/>
      <c r="AA1738" s="272"/>
    </row>
    <row r="1739" spans="1:27">
      <c r="A1739" s="282">
        <v>12</v>
      </c>
      <c r="B1739" s="279" t="s">
        <v>6812</v>
      </c>
      <c r="C1739" s="287">
        <v>45614</v>
      </c>
      <c r="D1739" s="279" t="s">
        <v>4714</v>
      </c>
      <c r="E1739" s="268" t="s">
        <v>4775</v>
      </c>
      <c r="F1739" s="284" t="s">
        <v>4715</v>
      </c>
      <c r="G1739" s="284" t="s">
        <v>4716</v>
      </c>
      <c r="H1739" s="268" t="str">
        <f t="shared" si="9"/>
        <v>FERNANDO SALAZAR BARCELONA</v>
      </c>
      <c r="I1739" s="268" t="s">
        <v>4776</v>
      </c>
      <c r="J1739" s="268" t="s">
        <v>4822</v>
      </c>
      <c r="K1739" s="268" t="s">
        <v>6985</v>
      </c>
      <c r="L1739" s="287">
        <v>45644</v>
      </c>
      <c r="M1739" s="283"/>
      <c r="N1739" s="282">
        <v>1</v>
      </c>
      <c r="O1739" s="284" t="s">
        <v>4740</v>
      </c>
      <c r="P1739" s="280">
        <v>1909.09</v>
      </c>
      <c r="Q1739" s="287">
        <v>45644</v>
      </c>
      <c r="R1739" s="272"/>
      <c r="S1739" s="272"/>
      <c r="T1739" s="272"/>
      <c r="U1739" s="272"/>
      <c r="V1739" s="272"/>
      <c r="W1739" s="272"/>
      <c r="X1739" s="272"/>
      <c r="Y1739" s="272"/>
      <c r="Z1739" s="272"/>
      <c r="AA1739" s="272"/>
    </row>
    <row r="1740" spans="1:27">
      <c r="A1740" s="282">
        <v>12</v>
      </c>
      <c r="B1740" s="279" t="s">
        <v>6812</v>
      </c>
      <c r="C1740" s="287">
        <v>45553</v>
      </c>
      <c r="D1740" s="279" t="s">
        <v>4714</v>
      </c>
      <c r="E1740" s="268" t="s">
        <v>4749</v>
      </c>
      <c r="F1740" s="284" t="s">
        <v>4715</v>
      </c>
      <c r="G1740" s="284" t="s">
        <v>4716</v>
      </c>
      <c r="H1740" s="268" t="str">
        <f t="shared" si="9"/>
        <v>MÓNICA GRANDA ROSALES</v>
      </c>
      <c r="I1740" s="268" t="s">
        <v>4750</v>
      </c>
      <c r="J1740" s="268" t="s">
        <v>4747</v>
      </c>
      <c r="K1740" s="268" t="s">
        <v>6986</v>
      </c>
      <c r="L1740" s="287">
        <v>45645</v>
      </c>
      <c r="M1740" s="283"/>
      <c r="N1740" s="282">
        <v>2</v>
      </c>
      <c r="O1740" s="284" t="s">
        <v>4720</v>
      </c>
      <c r="P1740" s="280">
        <v>3907.69</v>
      </c>
      <c r="Q1740" s="287">
        <v>45645</v>
      </c>
      <c r="R1740" s="272"/>
      <c r="S1740" s="272"/>
      <c r="T1740" s="272"/>
      <c r="U1740" s="272"/>
      <c r="V1740" s="272"/>
      <c r="W1740" s="272"/>
      <c r="X1740" s="272"/>
      <c r="Y1740" s="272"/>
      <c r="Z1740" s="272"/>
      <c r="AA1740" s="272"/>
    </row>
    <row r="1741" spans="1:27">
      <c r="A1741" s="282">
        <v>12</v>
      </c>
      <c r="B1741" s="279" t="s">
        <v>6812</v>
      </c>
      <c r="C1741" s="287">
        <v>45616</v>
      </c>
      <c r="D1741" s="279" t="s">
        <v>4714</v>
      </c>
      <c r="E1741" s="268" t="s">
        <v>4845</v>
      </c>
      <c r="F1741" s="284" t="s">
        <v>4715</v>
      </c>
      <c r="G1741" s="284" t="s">
        <v>4716</v>
      </c>
      <c r="H1741" s="268" t="str">
        <f t="shared" si="9"/>
        <v>JOSÉ MANUEL GARCÍA SOLANS-ESTERAS</v>
      </c>
      <c r="I1741" s="268" t="s">
        <v>4873</v>
      </c>
      <c r="J1741" s="268" t="s">
        <v>4822</v>
      </c>
      <c r="K1741" s="268" t="s">
        <v>6987</v>
      </c>
      <c r="L1741" s="287">
        <v>45646</v>
      </c>
      <c r="M1741" s="283"/>
      <c r="N1741" s="282">
        <v>2</v>
      </c>
      <c r="O1741" s="284" t="s">
        <v>4720</v>
      </c>
      <c r="P1741" s="280">
        <v>3424.55</v>
      </c>
      <c r="Q1741" s="287">
        <v>45646</v>
      </c>
      <c r="R1741" s="272"/>
      <c r="S1741" s="272"/>
      <c r="T1741" s="272"/>
      <c r="U1741" s="272"/>
      <c r="V1741" s="272"/>
      <c r="W1741" s="272"/>
      <c r="X1741" s="272"/>
      <c r="Y1741" s="272"/>
      <c r="Z1741" s="272"/>
      <c r="AA1741" s="272"/>
    </row>
    <row r="1742" spans="1:27">
      <c r="A1742" s="282">
        <v>12</v>
      </c>
      <c r="B1742" s="279" t="s">
        <v>6812</v>
      </c>
      <c r="C1742" s="287">
        <v>45629</v>
      </c>
      <c r="D1742" s="279" t="s">
        <v>4714</v>
      </c>
      <c r="E1742" s="268" t="s">
        <v>4820</v>
      </c>
      <c r="F1742" s="284" t="s">
        <v>4715</v>
      </c>
      <c r="G1742" s="284" t="s">
        <v>4716</v>
      </c>
      <c r="H1742" s="268" t="str">
        <f t="shared" si="9"/>
        <v>MANUEL CAÑETE DOMÍNGUEZ</v>
      </c>
      <c r="I1742" s="268" t="s">
        <v>5654</v>
      </c>
      <c r="J1742" s="268" t="s">
        <v>4822</v>
      </c>
      <c r="K1742" s="268" t="s">
        <v>6988</v>
      </c>
      <c r="L1742" s="287">
        <v>45646</v>
      </c>
      <c r="M1742" s="283"/>
      <c r="N1742" s="282">
        <v>2</v>
      </c>
      <c r="O1742" s="284" t="s">
        <v>4787</v>
      </c>
      <c r="P1742" s="280">
        <v>3545.45</v>
      </c>
      <c r="Q1742" s="287">
        <v>45646</v>
      </c>
      <c r="R1742" s="272"/>
      <c r="S1742" s="272"/>
      <c r="T1742" s="272"/>
      <c r="U1742" s="272"/>
      <c r="V1742" s="272"/>
      <c r="W1742" s="272"/>
      <c r="X1742" s="272"/>
      <c r="Y1742" s="272"/>
      <c r="Z1742" s="272"/>
      <c r="AA1742" s="272"/>
    </row>
    <row r="1743" spans="1:27">
      <c r="A1743" s="282">
        <v>12</v>
      </c>
      <c r="B1743" s="279" t="s">
        <v>6812</v>
      </c>
      <c r="C1743" s="287">
        <v>45610</v>
      </c>
      <c r="D1743" s="279" t="s">
        <v>4714</v>
      </c>
      <c r="E1743" s="268" t="s">
        <v>4820</v>
      </c>
      <c r="F1743" s="284" t="s">
        <v>4715</v>
      </c>
      <c r="G1743" s="284" t="s">
        <v>4716</v>
      </c>
      <c r="H1743" s="268" t="str">
        <f t="shared" si="9"/>
        <v>MANUEL CAÑETE DOMÍNGUEZ</v>
      </c>
      <c r="I1743" s="268" t="s">
        <v>5654</v>
      </c>
      <c r="J1743" s="268" t="s">
        <v>4822</v>
      </c>
      <c r="K1743" s="268" t="s">
        <v>6989</v>
      </c>
      <c r="L1743" s="287">
        <v>45649</v>
      </c>
      <c r="M1743" s="283"/>
      <c r="N1743" s="282">
        <v>1</v>
      </c>
      <c r="O1743" s="284" t="s">
        <v>4740</v>
      </c>
      <c r="P1743" s="280">
        <v>2000</v>
      </c>
      <c r="Q1743" s="287">
        <v>45649</v>
      </c>
      <c r="R1743" s="272"/>
      <c r="S1743" s="272"/>
      <c r="T1743" s="272"/>
      <c r="U1743" s="272"/>
      <c r="V1743" s="272"/>
      <c r="W1743" s="272"/>
      <c r="X1743" s="272"/>
      <c r="Y1743" s="272"/>
      <c r="Z1743" s="272"/>
      <c r="AA1743" s="272"/>
    </row>
    <row r="1744" spans="1:27">
      <c r="A1744" s="282">
        <v>12</v>
      </c>
      <c r="B1744" s="279" t="s">
        <v>6812</v>
      </c>
      <c r="C1744" s="287">
        <v>45603</v>
      </c>
      <c r="D1744" s="279" t="s">
        <v>4714</v>
      </c>
      <c r="E1744" s="268" t="s">
        <v>4845</v>
      </c>
      <c r="F1744" s="284" t="s">
        <v>4715</v>
      </c>
      <c r="G1744" s="284" t="s">
        <v>4716</v>
      </c>
      <c r="H1744" s="268" t="str">
        <f t="shared" si="9"/>
        <v>JULIO KNASTER DEL OLMO</v>
      </c>
      <c r="I1744" s="268" t="s">
        <v>5097</v>
      </c>
      <c r="J1744" s="268" t="s">
        <v>4822</v>
      </c>
      <c r="K1744" s="268" t="s">
        <v>6990</v>
      </c>
      <c r="L1744" s="287">
        <v>45650</v>
      </c>
      <c r="M1744" s="283"/>
      <c r="N1744" s="282">
        <v>1</v>
      </c>
      <c r="O1744" s="284" t="s">
        <v>4723</v>
      </c>
      <c r="P1744" s="280">
        <v>1471.82</v>
      </c>
      <c r="Q1744" s="287">
        <v>45650</v>
      </c>
      <c r="R1744" s="272"/>
      <c r="S1744" s="272"/>
      <c r="T1744" s="272"/>
      <c r="U1744" s="272"/>
      <c r="V1744" s="272"/>
      <c r="W1744" s="272"/>
      <c r="X1744" s="272"/>
      <c r="Y1744" s="272"/>
      <c r="Z1744" s="272"/>
      <c r="AA1744" s="272"/>
    </row>
    <row r="1745" spans="1:27">
      <c r="A1745" s="282">
        <v>12</v>
      </c>
      <c r="B1745" s="279" t="s">
        <v>6812</v>
      </c>
      <c r="C1745" s="287">
        <v>45446</v>
      </c>
      <c r="D1745" s="279" t="s">
        <v>4714</v>
      </c>
      <c r="E1745" s="268" t="s">
        <v>4780</v>
      </c>
      <c r="F1745" s="284" t="s">
        <v>4715</v>
      </c>
      <c r="G1745" s="284" t="s">
        <v>4716</v>
      </c>
      <c r="H1745" s="268" t="str">
        <f t="shared" si="9"/>
        <v>LUIS MIGUEL RINCÓN ESTEBAN</v>
      </c>
      <c r="I1745" s="268" t="s">
        <v>5307</v>
      </c>
      <c r="J1745" s="268" t="s">
        <v>4747</v>
      </c>
      <c r="K1745" s="268" t="s">
        <v>6220</v>
      </c>
      <c r="L1745" s="287">
        <v>45653</v>
      </c>
      <c r="M1745" s="283"/>
      <c r="N1745" s="282">
        <v>1</v>
      </c>
      <c r="O1745" s="284" t="s">
        <v>4740</v>
      </c>
      <c r="P1745" s="280">
        <v>844.55</v>
      </c>
      <c r="Q1745" s="287">
        <v>45653</v>
      </c>
      <c r="R1745" s="272"/>
      <c r="S1745" s="272"/>
      <c r="T1745" s="272"/>
      <c r="U1745" s="272"/>
      <c r="V1745" s="272"/>
      <c r="W1745" s="272"/>
      <c r="X1745" s="272"/>
      <c r="Y1745" s="272"/>
      <c r="Z1745" s="272"/>
      <c r="AA1745" s="272"/>
    </row>
    <row r="1746" spans="1:27">
      <c r="A1746" s="282">
        <v>12</v>
      </c>
      <c r="B1746" s="279" t="s">
        <v>6812</v>
      </c>
      <c r="C1746" s="287">
        <v>45590</v>
      </c>
      <c r="D1746" s="279" t="s">
        <v>4714</v>
      </c>
      <c r="E1746" s="268" t="s">
        <v>3529</v>
      </c>
      <c r="F1746" s="284" t="s">
        <v>4715</v>
      </c>
      <c r="G1746" s="284" t="s">
        <v>4716</v>
      </c>
      <c r="H1746" s="268" t="str">
        <f t="shared" si="9"/>
        <v>LUCIA PRIETO SÁNCHEZ DE LA PUERTA</v>
      </c>
      <c r="I1746" s="268" t="s">
        <v>4731</v>
      </c>
      <c r="J1746" s="268" t="s">
        <v>4729</v>
      </c>
      <c r="K1746" s="268" t="s">
        <v>6991</v>
      </c>
      <c r="L1746" s="287">
        <v>45653</v>
      </c>
      <c r="M1746" s="283"/>
      <c r="N1746" s="282">
        <v>2</v>
      </c>
      <c r="O1746" s="284" t="s">
        <v>4720</v>
      </c>
      <c r="P1746" s="280">
        <v>3710</v>
      </c>
      <c r="Q1746" s="287">
        <v>45653</v>
      </c>
      <c r="R1746" s="272"/>
      <c r="S1746" s="272"/>
      <c r="T1746" s="272"/>
      <c r="U1746" s="272"/>
      <c r="V1746" s="272"/>
      <c r="W1746" s="272"/>
      <c r="X1746" s="272"/>
      <c r="Y1746" s="272"/>
      <c r="Z1746" s="272"/>
      <c r="AA1746" s="272"/>
    </row>
    <row r="1747" spans="1:27">
      <c r="A1747" s="282">
        <v>12</v>
      </c>
      <c r="B1747" s="279" t="s">
        <v>6812</v>
      </c>
      <c r="C1747" s="287">
        <v>45469</v>
      </c>
      <c r="D1747" s="279" t="s">
        <v>4714</v>
      </c>
      <c r="E1747" s="268" t="s">
        <v>3529</v>
      </c>
      <c r="F1747" s="284" t="s">
        <v>4715</v>
      </c>
      <c r="G1747" s="284" t="s">
        <v>4716</v>
      </c>
      <c r="H1747" s="268" t="str">
        <f t="shared" si="9"/>
        <v>MIGUEL OLIVENCIA PÉREZ</v>
      </c>
      <c r="I1747" s="268" t="s">
        <v>5702</v>
      </c>
      <c r="J1747" s="268" t="s">
        <v>4729</v>
      </c>
      <c r="K1747" s="268" t="s">
        <v>6992</v>
      </c>
      <c r="L1747" s="287">
        <v>45656</v>
      </c>
      <c r="M1747" s="283"/>
      <c r="N1747" s="282">
        <v>2</v>
      </c>
      <c r="O1747" s="284" t="s">
        <v>4723</v>
      </c>
      <c r="P1747" s="280">
        <v>2888.18</v>
      </c>
      <c r="Q1747" s="287">
        <v>45656</v>
      </c>
      <c r="R1747" s="272"/>
      <c r="S1747" s="272"/>
      <c r="T1747" s="272"/>
      <c r="U1747" s="272"/>
      <c r="V1747" s="272"/>
      <c r="W1747" s="272"/>
      <c r="X1747" s="272"/>
      <c r="Y1747" s="272"/>
      <c r="Z1747" s="272"/>
      <c r="AA1747" s="272"/>
    </row>
    <row r="1748" spans="1:27">
      <c r="A1748" s="282">
        <v>12</v>
      </c>
      <c r="B1748" s="279" t="s">
        <v>6812</v>
      </c>
      <c r="C1748" s="287">
        <v>45622</v>
      </c>
      <c r="D1748" s="279" t="s">
        <v>4714</v>
      </c>
      <c r="E1748" s="268" t="s">
        <v>4820</v>
      </c>
      <c r="F1748" s="284" t="s">
        <v>4715</v>
      </c>
      <c r="G1748" s="284" t="s">
        <v>4716</v>
      </c>
      <c r="H1748" s="268" t="str">
        <f t="shared" si="9"/>
        <v>MANUEL MARTÍ PEÑA</v>
      </c>
      <c r="I1748" s="268" t="s">
        <v>6006</v>
      </c>
      <c r="J1748" s="268" t="s">
        <v>4822</v>
      </c>
      <c r="K1748" s="268" t="s">
        <v>6993</v>
      </c>
      <c r="L1748" s="287">
        <v>45656</v>
      </c>
      <c r="M1748" s="283"/>
      <c r="N1748" s="282">
        <v>2</v>
      </c>
      <c r="O1748" s="284" t="s">
        <v>4723</v>
      </c>
      <c r="P1748" s="280">
        <v>3185.45</v>
      </c>
      <c r="Q1748" s="287">
        <v>45656</v>
      </c>
      <c r="R1748" s="272"/>
      <c r="S1748" s="272"/>
      <c r="T1748" s="272"/>
      <c r="U1748" s="272"/>
      <c r="V1748" s="272"/>
      <c r="W1748" s="272"/>
      <c r="X1748" s="272"/>
      <c r="Y1748" s="272"/>
      <c r="Z1748" s="272"/>
      <c r="AA1748" s="272"/>
    </row>
    <row r="1749" spans="1:27">
      <c r="A1749" s="282">
        <v>12</v>
      </c>
      <c r="B1749" s="279" t="s">
        <v>6812</v>
      </c>
      <c r="C1749" s="287">
        <v>45629</v>
      </c>
      <c r="D1749" s="279" t="s">
        <v>4714</v>
      </c>
      <c r="E1749" s="268" t="s">
        <v>5735</v>
      </c>
      <c r="F1749" s="284" t="s">
        <v>4715</v>
      </c>
      <c r="G1749" s="284" t="s">
        <v>4716</v>
      </c>
      <c r="H1749" s="268" t="str">
        <f t="shared" si="9"/>
        <v>MIGUEL MAYO YÁÑEZ</v>
      </c>
      <c r="I1749" s="268" t="s">
        <v>4966</v>
      </c>
      <c r="J1749" s="268" t="s">
        <v>4790</v>
      </c>
      <c r="K1749" s="268" t="s">
        <v>6994</v>
      </c>
      <c r="L1749" s="287">
        <v>45656</v>
      </c>
      <c r="M1749" s="283"/>
      <c r="N1749" s="282">
        <v>1</v>
      </c>
      <c r="O1749" s="284" t="s">
        <v>4720</v>
      </c>
      <c r="P1749" s="280">
        <v>1950</v>
      </c>
      <c r="Q1749" s="287">
        <v>45656</v>
      </c>
      <c r="R1749" s="272"/>
      <c r="S1749" s="272"/>
      <c r="T1749" s="272"/>
      <c r="U1749" s="272"/>
      <c r="V1749" s="272"/>
      <c r="W1749" s="272"/>
      <c r="X1749" s="272"/>
      <c r="Y1749" s="272"/>
      <c r="Z1749" s="272"/>
      <c r="AA1749" s="272"/>
    </row>
    <row r="1750" spans="1:27">
      <c r="A1750" s="282">
        <v>12</v>
      </c>
      <c r="B1750" s="279" t="s">
        <v>6812</v>
      </c>
      <c r="C1750" s="287">
        <v>45645</v>
      </c>
      <c r="D1750" s="279" t="s">
        <v>4714</v>
      </c>
      <c r="E1750" s="268" t="s">
        <v>3529</v>
      </c>
      <c r="F1750" s="284" t="s">
        <v>4715</v>
      </c>
      <c r="G1750" s="284" t="s">
        <v>4716</v>
      </c>
      <c r="H1750" s="268" t="str">
        <f t="shared" si="9"/>
        <v>FRANCISCO JAVIER AGUILAR VERA</v>
      </c>
      <c r="I1750" s="268" t="s">
        <v>6555</v>
      </c>
      <c r="J1750" s="268" t="s">
        <v>4729</v>
      </c>
      <c r="K1750" s="268" t="s">
        <v>6995</v>
      </c>
      <c r="L1750" s="287">
        <v>45657</v>
      </c>
      <c r="M1750" s="283"/>
      <c r="N1750" s="282">
        <v>2</v>
      </c>
      <c r="O1750" s="284" t="s">
        <v>4787</v>
      </c>
      <c r="P1750" s="280">
        <v>4400</v>
      </c>
      <c r="Q1750" s="287">
        <v>45657</v>
      </c>
      <c r="R1750" s="272"/>
      <c r="S1750" s="272"/>
      <c r="T1750" s="272"/>
      <c r="U1750" s="272"/>
      <c r="V1750" s="272"/>
      <c r="W1750" s="272"/>
      <c r="X1750" s="272"/>
      <c r="Y1750" s="272"/>
      <c r="Z1750" s="272"/>
      <c r="AA1750" s="272"/>
    </row>
    <row r="1751" spans="1:27">
      <c r="A1751" s="282">
        <v>12</v>
      </c>
      <c r="B1751" s="279" t="s">
        <v>6812</v>
      </c>
      <c r="C1751" s="287">
        <v>45629</v>
      </c>
      <c r="D1751" s="279" t="s">
        <v>4714</v>
      </c>
      <c r="E1751" s="268" t="s">
        <v>4749</v>
      </c>
      <c r="F1751" s="284" t="s">
        <v>4715</v>
      </c>
      <c r="G1751" s="284" t="s">
        <v>4716</v>
      </c>
      <c r="H1751" s="268" t="str">
        <f t="shared" si="9"/>
        <v>NO REUERDA ORL</v>
      </c>
      <c r="I1751" s="268" t="s">
        <v>4743</v>
      </c>
      <c r="J1751" s="268" t="s">
        <v>4747</v>
      </c>
      <c r="K1751" s="268" t="s">
        <v>6996</v>
      </c>
      <c r="L1751" s="287">
        <v>45656</v>
      </c>
      <c r="M1751" s="283"/>
      <c r="N1751" s="282">
        <v>2</v>
      </c>
      <c r="O1751" s="284" t="s">
        <v>4723</v>
      </c>
      <c r="P1751" s="280">
        <v>3181.82</v>
      </c>
      <c r="Q1751" s="287">
        <v>45656</v>
      </c>
      <c r="R1751" s="272"/>
      <c r="S1751" s="272"/>
      <c r="T1751" s="272"/>
      <c r="U1751" s="272"/>
      <c r="V1751" s="272"/>
      <c r="W1751" s="272"/>
      <c r="X1751" s="272"/>
      <c r="Y1751" s="272"/>
      <c r="Z1751" s="272"/>
      <c r="AA1751" s="272"/>
    </row>
    <row r="1752" spans="1:27">
      <c r="A1752" s="282">
        <v>12</v>
      </c>
      <c r="B1752" s="279" t="s">
        <v>6812</v>
      </c>
      <c r="C1752" s="287">
        <v>45608</v>
      </c>
      <c r="D1752" s="279" t="s">
        <v>4714</v>
      </c>
      <c r="E1752" s="268" t="s">
        <v>4203</v>
      </c>
      <c r="F1752" s="284" t="s">
        <v>6997</v>
      </c>
      <c r="G1752" s="284" t="s">
        <v>6998</v>
      </c>
      <c r="H1752" s="268" t="str">
        <f t="shared" si="9"/>
        <v>JOSÉ LUIS BATLLES MEDINA</v>
      </c>
      <c r="I1752" s="268" t="s">
        <v>6155</v>
      </c>
      <c r="J1752" s="268" t="s">
        <v>4736</v>
      </c>
      <c r="K1752" s="268" t="s">
        <v>6999</v>
      </c>
      <c r="L1752" s="287">
        <v>45638</v>
      </c>
      <c r="M1752" s="283"/>
      <c r="N1752" s="282">
        <v>2</v>
      </c>
      <c r="O1752" s="284" t="s">
        <v>5814</v>
      </c>
      <c r="P1752" s="280">
        <v>4000</v>
      </c>
      <c r="Q1752" s="287">
        <v>45638</v>
      </c>
      <c r="R1752" s="272"/>
      <c r="S1752" s="272"/>
      <c r="T1752" s="272"/>
      <c r="U1752" s="272"/>
      <c r="V1752" s="272"/>
      <c r="W1752" s="272"/>
      <c r="X1752" s="272"/>
      <c r="Y1752" s="272"/>
      <c r="Z1752" s="272"/>
      <c r="AA1752" s="272"/>
    </row>
    <row r="1753" spans="1:27">
      <c r="A1753" s="282">
        <v>12</v>
      </c>
      <c r="B1753" s="279" t="s">
        <v>6812</v>
      </c>
      <c r="C1753" s="287">
        <v>45580</v>
      </c>
      <c r="D1753" s="279" t="s">
        <v>4714</v>
      </c>
      <c r="E1753" s="268" t="s">
        <v>4203</v>
      </c>
      <c r="F1753" s="284" t="s">
        <v>4724</v>
      </c>
      <c r="G1753" s="284" t="s">
        <v>4725</v>
      </c>
      <c r="H1753" s="268" t="str">
        <f t="shared" si="9"/>
        <v>JAVIER PADILLA CABALLERO</v>
      </c>
      <c r="I1753" s="268" t="s">
        <v>6621</v>
      </c>
      <c r="J1753" s="268" t="s">
        <v>4736</v>
      </c>
      <c r="K1753" s="268" t="s">
        <v>7000</v>
      </c>
      <c r="L1753" s="287">
        <v>45637</v>
      </c>
      <c r="M1753" s="283"/>
      <c r="N1753" s="282">
        <v>1</v>
      </c>
      <c r="O1753" s="284" t="s">
        <v>4723</v>
      </c>
      <c r="P1753" s="280">
        <v>1732.73</v>
      </c>
      <c r="Q1753" s="287">
        <v>45637</v>
      </c>
      <c r="R1753" s="272"/>
      <c r="S1753" s="272"/>
      <c r="T1753" s="272"/>
      <c r="U1753" s="272"/>
      <c r="V1753" s="272"/>
      <c r="W1753" s="272"/>
      <c r="X1753" s="272"/>
      <c r="Y1753" s="272"/>
      <c r="Z1753" s="272"/>
      <c r="AA1753" s="272"/>
    </row>
    <row r="1754" spans="1:27">
      <c r="A1754" s="282">
        <v>12</v>
      </c>
      <c r="B1754" s="279" t="s">
        <v>6812</v>
      </c>
      <c r="C1754" s="287">
        <v>45582</v>
      </c>
      <c r="D1754" s="279" t="s">
        <v>4714</v>
      </c>
      <c r="E1754" s="268" t="s">
        <v>2935</v>
      </c>
      <c r="F1754" s="284" t="s">
        <v>4724</v>
      </c>
      <c r="G1754" s="284" t="s">
        <v>4725</v>
      </c>
      <c r="H1754" s="268" t="str">
        <f t="shared" si="9"/>
        <v>ALEJANDRO HARGUINDEY ANTOLI-CANDELA</v>
      </c>
      <c r="I1754" s="268" t="s">
        <v>6719</v>
      </c>
      <c r="J1754" s="268" t="s">
        <v>4718</v>
      </c>
      <c r="K1754" s="268" t="s">
        <v>7001</v>
      </c>
      <c r="L1754" s="287">
        <v>45637</v>
      </c>
      <c r="M1754" s="283"/>
      <c r="N1754" s="282">
        <v>1</v>
      </c>
      <c r="O1754" s="284" t="s">
        <v>4720</v>
      </c>
      <c r="P1754" s="280">
        <v>2226.36</v>
      </c>
      <c r="Q1754" s="287">
        <v>45637</v>
      </c>
      <c r="R1754" s="272"/>
      <c r="S1754" s="272"/>
      <c r="T1754" s="272"/>
      <c r="U1754" s="272"/>
      <c r="V1754" s="272"/>
      <c r="W1754" s="272"/>
      <c r="X1754" s="272"/>
      <c r="Y1754" s="272"/>
      <c r="Z1754" s="272"/>
      <c r="AA1754" s="272"/>
    </row>
    <row r="1755" spans="1:27">
      <c r="A1755" s="282">
        <v>12</v>
      </c>
      <c r="B1755" s="279" t="s">
        <v>6812</v>
      </c>
      <c r="C1755" s="287">
        <v>45601</v>
      </c>
      <c r="D1755" s="279" t="s">
        <v>4714</v>
      </c>
      <c r="E1755" s="268" t="s">
        <v>2935</v>
      </c>
      <c r="F1755" s="284" t="s">
        <v>6997</v>
      </c>
      <c r="G1755" s="284" t="s">
        <v>6998</v>
      </c>
      <c r="H1755" s="268" t="str">
        <f t="shared" si="9"/>
        <v>JULIO PEÑARROCHA</v>
      </c>
      <c r="I1755" s="268" t="s">
        <v>7002</v>
      </c>
      <c r="J1755" s="268" t="s">
        <v>4822</v>
      </c>
      <c r="K1755" s="268" t="s">
        <v>7003</v>
      </c>
      <c r="L1755" s="287">
        <v>45637</v>
      </c>
      <c r="M1755" s="283"/>
      <c r="N1755" s="282">
        <v>2</v>
      </c>
      <c r="O1755" s="284" t="s">
        <v>5814</v>
      </c>
      <c r="P1755" s="280">
        <v>4136.3599999999997</v>
      </c>
      <c r="Q1755" s="287">
        <v>45637</v>
      </c>
      <c r="R1755" s="272"/>
      <c r="S1755" s="272"/>
      <c r="T1755" s="272"/>
      <c r="U1755" s="272"/>
      <c r="V1755" s="272"/>
      <c r="W1755" s="272"/>
      <c r="X1755" s="272"/>
      <c r="Y1755" s="272"/>
      <c r="Z1755" s="272"/>
      <c r="AA1755" s="272"/>
    </row>
    <row r="1756" spans="1:27">
      <c r="A1756" s="282">
        <v>12</v>
      </c>
      <c r="B1756" s="279" t="s">
        <v>6812</v>
      </c>
      <c r="C1756" s="287">
        <v>45614</v>
      </c>
      <c r="D1756" s="279" t="s">
        <v>4714</v>
      </c>
      <c r="E1756" s="268" t="s">
        <v>2869</v>
      </c>
      <c r="F1756" s="284" t="s">
        <v>4724</v>
      </c>
      <c r="G1756" s="284" t="s">
        <v>4725</v>
      </c>
      <c r="H1756" s="268" t="str">
        <f t="shared" si="9"/>
        <v>MARÍA AGUSTINA SEVILLA GARCÍA</v>
      </c>
      <c r="I1756" s="268" t="s">
        <v>4812</v>
      </c>
      <c r="J1756" s="268" t="s">
        <v>4736</v>
      </c>
      <c r="K1756" s="268" t="s">
        <v>7004</v>
      </c>
      <c r="L1756" s="287">
        <v>45636</v>
      </c>
      <c r="M1756" s="283"/>
      <c r="N1756" s="282">
        <v>2</v>
      </c>
      <c r="O1756" s="284" t="s">
        <v>5814</v>
      </c>
      <c r="P1756" s="280">
        <v>4000</v>
      </c>
      <c r="Q1756" s="287">
        <v>45636</v>
      </c>
      <c r="R1756" s="272"/>
      <c r="S1756" s="272"/>
      <c r="T1756" s="272"/>
      <c r="U1756" s="272"/>
      <c r="V1756" s="272"/>
      <c r="W1756" s="272"/>
      <c r="X1756" s="272"/>
      <c r="Y1756" s="272"/>
      <c r="Z1756" s="272"/>
      <c r="AA1756" s="272"/>
    </row>
    <row r="1757" spans="1:27">
      <c r="A1757" s="282">
        <v>12</v>
      </c>
      <c r="B1757" s="279" t="s">
        <v>6812</v>
      </c>
      <c r="C1757" s="287">
        <v>45593</v>
      </c>
      <c r="D1757" s="279" t="s">
        <v>4714</v>
      </c>
      <c r="E1757" s="268" t="s">
        <v>4820</v>
      </c>
      <c r="F1757" s="284" t="s">
        <v>4724</v>
      </c>
      <c r="G1757" s="284" t="s">
        <v>4725</v>
      </c>
      <c r="H1757" s="268" t="str">
        <f t="shared" si="9"/>
        <v>ESTHER DE LA O CORROCHANO</v>
      </c>
      <c r="I1757" s="268" t="s">
        <v>6440</v>
      </c>
      <c r="J1757" s="268" t="s">
        <v>4822</v>
      </c>
      <c r="K1757" s="268" t="s">
        <v>7005</v>
      </c>
      <c r="L1757" s="287">
        <v>45631</v>
      </c>
      <c r="M1757" s="283"/>
      <c r="N1757" s="282">
        <v>2</v>
      </c>
      <c r="O1757" s="284" t="s">
        <v>4720</v>
      </c>
      <c r="P1757" s="280">
        <v>3441.82</v>
      </c>
      <c r="Q1757" s="287">
        <v>45631</v>
      </c>
      <c r="R1757" s="272"/>
      <c r="S1757" s="272"/>
      <c r="T1757" s="272"/>
      <c r="U1757" s="272"/>
      <c r="V1757" s="272"/>
      <c r="W1757" s="272"/>
      <c r="X1757" s="272"/>
      <c r="Y1757" s="272"/>
      <c r="Z1757" s="272"/>
      <c r="AA1757" s="272"/>
    </row>
    <row r="1758" spans="1:27">
      <c r="A1758" s="282">
        <v>12</v>
      </c>
      <c r="B1758" s="279" t="s">
        <v>6812</v>
      </c>
      <c r="C1758" s="287">
        <v>45581</v>
      </c>
      <c r="D1758" s="279" t="s">
        <v>4714</v>
      </c>
      <c r="E1758" s="268" t="s">
        <v>5735</v>
      </c>
      <c r="F1758" s="284" t="s">
        <v>4724</v>
      </c>
      <c r="G1758" s="284" t="s">
        <v>4725</v>
      </c>
      <c r="H1758" s="268" t="str">
        <f t="shared" si="9"/>
        <v>MIGUEL MAYO YÁÑEZ</v>
      </c>
      <c r="I1758" s="268" t="s">
        <v>4966</v>
      </c>
      <c r="J1758" s="268" t="s">
        <v>4790</v>
      </c>
      <c r="K1758" s="268" t="s">
        <v>7006</v>
      </c>
      <c r="L1758" s="287">
        <v>45653</v>
      </c>
      <c r="M1758" s="283"/>
      <c r="N1758" s="282">
        <v>1</v>
      </c>
      <c r="O1758" s="284" t="s">
        <v>4740</v>
      </c>
      <c r="P1758" s="280">
        <v>908.18</v>
      </c>
      <c r="Q1758" s="287">
        <v>45653</v>
      </c>
      <c r="R1758" s="272"/>
      <c r="S1758" s="272"/>
      <c r="T1758" s="272"/>
      <c r="U1758" s="272"/>
      <c r="V1758" s="272"/>
      <c r="W1758" s="272"/>
      <c r="X1758" s="272"/>
      <c r="Y1758" s="272"/>
      <c r="Z1758" s="272"/>
      <c r="AA1758" s="272"/>
    </row>
    <row r="1759" spans="1:27">
      <c r="A1759" s="273"/>
      <c r="B1759" s="274"/>
      <c r="C1759" s="314"/>
      <c r="D1759" s="274"/>
      <c r="E1759" s="268"/>
      <c r="F1759" s="272"/>
      <c r="G1759" s="268"/>
      <c r="H1759" s="268"/>
      <c r="I1759" s="268"/>
      <c r="J1759" s="272"/>
      <c r="K1759" s="268"/>
      <c r="L1759" s="287"/>
      <c r="M1759" s="283"/>
      <c r="N1759" s="282"/>
      <c r="O1759" s="284"/>
      <c r="P1759" s="280"/>
      <c r="Q1759" s="315"/>
      <c r="R1759" s="272"/>
      <c r="S1759" s="272"/>
      <c r="T1759" s="272"/>
      <c r="U1759" s="272"/>
      <c r="V1759" s="272"/>
      <c r="W1759" s="272"/>
      <c r="X1759" s="272"/>
      <c r="Y1759" s="272"/>
      <c r="Z1759" s="272"/>
      <c r="AA1759" s="272"/>
    </row>
    <row r="1760" spans="1:27">
      <c r="A1760" s="273"/>
      <c r="B1760" s="274"/>
      <c r="C1760" s="314"/>
      <c r="D1760" s="274"/>
      <c r="E1760" s="268"/>
      <c r="F1760" s="272"/>
      <c r="G1760" s="268"/>
      <c r="H1760" s="268"/>
      <c r="I1760" s="268"/>
      <c r="J1760" s="272"/>
      <c r="K1760" s="268"/>
      <c r="L1760" s="287"/>
      <c r="M1760" s="283"/>
      <c r="N1760" s="282"/>
      <c r="O1760" s="284"/>
      <c r="P1760" s="280"/>
      <c r="Q1760" s="315"/>
      <c r="R1760" s="272"/>
      <c r="S1760" s="272"/>
      <c r="T1760" s="272"/>
      <c r="U1760" s="272"/>
      <c r="V1760" s="272"/>
      <c r="W1760" s="272"/>
      <c r="X1760" s="272"/>
      <c r="Y1760" s="272"/>
      <c r="Z1760" s="272"/>
      <c r="AA1760" s="272"/>
    </row>
    <row r="1761" spans="1:27">
      <c r="A1761" s="273"/>
      <c r="B1761" s="274"/>
      <c r="C1761" s="314"/>
      <c r="D1761" s="274"/>
      <c r="E1761" s="268"/>
      <c r="F1761" s="272"/>
      <c r="G1761" s="268"/>
      <c r="H1761" s="268"/>
      <c r="I1761" s="268"/>
      <c r="J1761" s="272"/>
      <c r="K1761" s="268"/>
      <c r="L1761" s="287"/>
      <c r="M1761" s="283"/>
      <c r="N1761" s="282"/>
      <c r="O1761" s="284"/>
      <c r="P1761" s="280"/>
      <c r="Q1761" s="315"/>
      <c r="R1761" s="272"/>
      <c r="S1761" s="272"/>
      <c r="T1761" s="272"/>
      <c r="U1761" s="272"/>
      <c r="V1761" s="272"/>
      <c r="W1761" s="272"/>
      <c r="X1761" s="272"/>
      <c r="Y1761" s="272"/>
      <c r="Z1761" s="272"/>
      <c r="AA1761" s="272"/>
    </row>
    <row r="1762" spans="1:27">
      <c r="A1762" s="273"/>
      <c r="B1762" s="274"/>
      <c r="C1762" s="314"/>
      <c r="D1762" s="274"/>
      <c r="E1762" s="268"/>
      <c r="F1762" s="272"/>
      <c r="G1762" s="268"/>
      <c r="H1762" s="268"/>
      <c r="I1762" s="268"/>
      <c r="J1762" s="272"/>
      <c r="K1762" s="268"/>
      <c r="L1762" s="287"/>
      <c r="M1762" s="283"/>
      <c r="N1762" s="282"/>
      <c r="O1762" s="284"/>
      <c r="P1762" s="280"/>
      <c r="Q1762" s="315"/>
      <c r="R1762" s="272"/>
      <c r="S1762" s="272"/>
      <c r="T1762" s="272"/>
      <c r="U1762" s="272"/>
      <c r="V1762" s="272"/>
      <c r="W1762" s="272"/>
      <c r="X1762" s="272"/>
      <c r="Y1762" s="272"/>
      <c r="Z1762" s="272"/>
      <c r="AA1762" s="272"/>
    </row>
    <row r="1763" spans="1:27">
      <c r="A1763" s="273"/>
      <c r="B1763" s="274"/>
      <c r="C1763" s="314"/>
      <c r="D1763" s="274"/>
      <c r="E1763" s="268"/>
      <c r="F1763" s="272"/>
      <c r="G1763" s="268"/>
      <c r="H1763" s="268"/>
      <c r="I1763" s="268"/>
      <c r="J1763" s="272"/>
      <c r="K1763" s="268"/>
      <c r="L1763" s="287"/>
      <c r="M1763" s="283"/>
      <c r="N1763" s="282"/>
      <c r="O1763" s="284"/>
      <c r="P1763" s="280"/>
      <c r="Q1763" s="315"/>
      <c r="R1763" s="272"/>
      <c r="S1763" s="272"/>
      <c r="T1763" s="272"/>
      <c r="U1763" s="272"/>
      <c r="V1763" s="272"/>
      <c r="W1763" s="272"/>
      <c r="X1763" s="272"/>
      <c r="Y1763" s="272"/>
      <c r="Z1763" s="272"/>
      <c r="AA1763" s="272"/>
    </row>
    <row r="1764" spans="1:27">
      <c r="A1764" s="273"/>
      <c r="B1764" s="274"/>
      <c r="C1764" s="314"/>
      <c r="D1764" s="274"/>
      <c r="E1764" s="268"/>
      <c r="F1764" s="272"/>
      <c r="G1764" s="268"/>
      <c r="H1764" s="268"/>
      <c r="I1764" s="268"/>
      <c r="J1764" s="272"/>
      <c r="K1764" s="268"/>
      <c r="L1764" s="287"/>
      <c r="M1764" s="283"/>
      <c r="N1764" s="282"/>
      <c r="O1764" s="284"/>
      <c r="P1764" s="280"/>
      <c r="Q1764" s="315"/>
      <c r="R1764" s="272"/>
      <c r="S1764" s="272"/>
      <c r="T1764" s="272"/>
      <c r="U1764" s="272"/>
      <c r="V1764" s="272"/>
      <c r="W1764" s="272"/>
      <c r="X1764" s="272"/>
      <c r="Y1764" s="272"/>
      <c r="Z1764" s="272"/>
      <c r="AA1764" s="272"/>
    </row>
    <row r="1765" spans="1:27">
      <c r="A1765" s="273"/>
      <c r="B1765" s="274"/>
      <c r="C1765" s="314"/>
      <c r="D1765" s="274"/>
      <c r="E1765" s="268"/>
      <c r="F1765" s="272"/>
      <c r="G1765" s="268"/>
      <c r="H1765" s="268"/>
      <c r="I1765" s="268"/>
      <c r="J1765" s="272"/>
      <c r="K1765" s="268"/>
      <c r="L1765" s="287"/>
      <c r="M1765" s="283"/>
      <c r="N1765" s="282"/>
      <c r="O1765" s="284"/>
      <c r="P1765" s="280"/>
      <c r="Q1765" s="315"/>
      <c r="R1765" s="272"/>
      <c r="S1765" s="272"/>
      <c r="T1765" s="272"/>
      <c r="U1765" s="272"/>
      <c r="V1765" s="272"/>
      <c r="W1765" s="272"/>
      <c r="X1765" s="272"/>
      <c r="Y1765" s="272"/>
      <c r="Z1765" s="272"/>
      <c r="AA1765" s="272"/>
    </row>
    <row r="1766" spans="1:27">
      <c r="A1766" s="273"/>
      <c r="B1766" s="274"/>
      <c r="C1766" s="314"/>
      <c r="D1766" s="274"/>
      <c r="E1766" s="268"/>
      <c r="F1766" s="272"/>
      <c r="G1766" s="268"/>
      <c r="H1766" s="268"/>
      <c r="I1766" s="268"/>
      <c r="J1766" s="272"/>
      <c r="K1766" s="268"/>
      <c r="L1766" s="287"/>
      <c r="M1766" s="283"/>
      <c r="N1766" s="282"/>
      <c r="O1766" s="284"/>
      <c r="P1766" s="280"/>
      <c r="Q1766" s="315"/>
      <c r="R1766" s="272"/>
      <c r="S1766" s="272"/>
      <c r="T1766" s="272"/>
      <c r="U1766" s="272"/>
      <c r="V1766" s="272"/>
      <c r="W1766" s="272"/>
      <c r="X1766" s="272"/>
      <c r="Y1766" s="272"/>
      <c r="Z1766" s="272"/>
      <c r="AA1766" s="272"/>
    </row>
    <row r="1767" spans="1:27">
      <c r="A1767" s="273"/>
      <c r="B1767" s="274"/>
      <c r="C1767" s="314"/>
      <c r="D1767" s="274"/>
      <c r="E1767" s="268"/>
      <c r="F1767" s="272"/>
      <c r="G1767" s="268"/>
      <c r="H1767" s="268"/>
      <c r="I1767" s="268"/>
      <c r="J1767" s="272"/>
      <c r="K1767" s="268"/>
      <c r="L1767" s="287"/>
      <c r="M1767" s="283"/>
      <c r="N1767" s="282"/>
      <c r="O1767" s="284"/>
      <c r="P1767" s="280"/>
      <c r="Q1767" s="315"/>
      <c r="R1767" s="272"/>
      <c r="S1767" s="272"/>
      <c r="T1767" s="272"/>
      <c r="U1767" s="272"/>
      <c r="V1767" s="272"/>
      <c r="W1767" s="272"/>
      <c r="X1767" s="272"/>
      <c r="Y1767" s="272"/>
      <c r="Z1767" s="272"/>
      <c r="AA1767" s="272"/>
    </row>
    <row r="1768" spans="1:27">
      <c r="A1768" s="273"/>
      <c r="B1768" s="274"/>
      <c r="C1768" s="314"/>
      <c r="D1768" s="274"/>
      <c r="E1768" s="268"/>
      <c r="F1768" s="272"/>
      <c r="G1768" s="268"/>
      <c r="H1768" s="268"/>
      <c r="I1768" s="268"/>
      <c r="J1768" s="272"/>
      <c r="K1768" s="268"/>
      <c r="L1768" s="287"/>
      <c r="M1768" s="283"/>
      <c r="N1768" s="282"/>
      <c r="O1768" s="284"/>
      <c r="P1768" s="280"/>
      <c r="Q1768" s="315"/>
      <c r="R1768" s="272"/>
      <c r="S1768" s="272"/>
      <c r="T1768" s="272"/>
      <c r="U1768" s="272"/>
      <c r="V1768" s="272"/>
      <c r="W1768" s="272"/>
      <c r="X1768" s="272"/>
      <c r="Y1768" s="272"/>
      <c r="Z1768" s="272"/>
      <c r="AA1768" s="272"/>
    </row>
    <row r="1769" spans="1:27">
      <c r="A1769" s="273"/>
      <c r="B1769" s="274"/>
      <c r="C1769" s="314"/>
      <c r="D1769" s="274"/>
      <c r="E1769" s="268"/>
      <c r="F1769" s="272"/>
      <c r="G1769" s="268"/>
      <c r="H1769" s="268"/>
      <c r="I1769" s="268"/>
      <c r="J1769" s="272"/>
      <c r="K1769" s="268"/>
      <c r="L1769" s="287"/>
      <c r="M1769" s="283"/>
      <c r="N1769" s="282"/>
      <c r="O1769" s="284"/>
      <c r="P1769" s="280"/>
      <c r="Q1769" s="315"/>
      <c r="R1769" s="272"/>
      <c r="S1769" s="272"/>
      <c r="T1769" s="272"/>
      <c r="U1769" s="272"/>
      <c r="V1769" s="272"/>
      <c r="W1769" s="272"/>
      <c r="X1769" s="272"/>
      <c r="Y1769" s="272"/>
      <c r="Z1769" s="272"/>
      <c r="AA1769" s="272"/>
    </row>
    <row r="1770" spans="1:27">
      <c r="A1770" s="273"/>
      <c r="B1770" s="274"/>
      <c r="C1770" s="314"/>
      <c r="D1770" s="274"/>
      <c r="E1770" s="268"/>
      <c r="F1770" s="272"/>
      <c r="G1770" s="268"/>
      <c r="H1770" s="268"/>
      <c r="I1770" s="268"/>
      <c r="J1770" s="272"/>
      <c r="K1770" s="268"/>
      <c r="L1770" s="287"/>
      <c r="M1770" s="283"/>
      <c r="N1770" s="282"/>
      <c r="O1770" s="284"/>
      <c r="P1770" s="280"/>
      <c r="Q1770" s="315"/>
      <c r="R1770" s="272"/>
      <c r="S1770" s="272"/>
      <c r="T1770" s="272"/>
      <c r="U1770" s="272"/>
      <c r="V1770" s="272"/>
      <c r="W1770" s="272"/>
      <c r="X1770" s="272"/>
      <c r="Y1770" s="272"/>
      <c r="Z1770" s="272"/>
      <c r="AA1770" s="272"/>
    </row>
    <row r="1771" spans="1:27">
      <c r="A1771" s="273"/>
      <c r="B1771" s="274"/>
      <c r="C1771" s="314"/>
      <c r="D1771" s="274"/>
      <c r="E1771" s="268"/>
      <c r="F1771" s="272"/>
      <c r="G1771" s="268"/>
      <c r="H1771" s="268"/>
      <c r="I1771" s="268"/>
      <c r="J1771" s="272"/>
      <c r="K1771" s="268"/>
      <c r="L1771" s="287"/>
      <c r="M1771" s="283"/>
      <c r="N1771" s="282"/>
      <c r="O1771" s="284"/>
      <c r="P1771" s="280"/>
      <c r="Q1771" s="315"/>
      <c r="R1771" s="272"/>
      <c r="S1771" s="272"/>
      <c r="T1771" s="272"/>
      <c r="U1771" s="272"/>
      <c r="V1771" s="272"/>
      <c r="W1771" s="272"/>
      <c r="X1771" s="272"/>
      <c r="Y1771" s="272"/>
      <c r="Z1771" s="272"/>
      <c r="AA1771" s="272"/>
    </row>
    <row r="1772" spans="1:27">
      <c r="A1772" s="273"/>
      <c r="B1772" s="274"/>
      <c r="C1772" s="314"/>
      <c r="D1772" s="274"/>
      <c r="E1772" s="268"/>
      <c r="F1772" s="272"/>
      <c r="G1772" s="268"/>
      <c r="H1772" s="268"/>
      <c r="I1772" s="268"/>
      <c r="J1772" s="272"/>
      <c r="K1772" s="268"/>
      <c r="L1772" s="287"/>
      <c r="M1772" s="283"/>
      <c r="N1772" s="282"/>
      <c r="O1772" s="284"/>
      <c r="P1772" s="280"/>
      <c r="Q1772" s="315"/>
      <c r="R1772" s="272"/>
      <c r="S1772" s="272"/>
      <c r="T1772" s="272"/>
      <c r="U1772" s="272"/>
      <c r="V1772" s="272"/>
      <c r="W1772" s="272"/>
      <c r="X1772" s="272"/>
      <c r="Y1772" s="272"/>
      <c r="Z1772" s="272"/>
      <c r="AA1772" s="272"/>
    </row>
    <row r="1773" spans="1:27">
      <c r="A1773" s="273"/>
      <c r="B1773" s="274"/>
      <c r="C1773" s="314"/>
      <c r="D1773" s="274"/>
      <c r="E1773" s="268"/>
      <c r="F1773" s="272"/>
      <c r="G1773" s="268"/>
      <c r="H1773" s="268"/>
      <c r="I1773" s="268"/>
      <c r="J1773" s="272"/>
      <c r="K1773" s="268"/>
      <c r="L1773" s="287"/>
      <c r="M1773" s="283"/>
      <c r="N1773" s="282"/>
      <c r="O1773" s="284"/>
      <c r="P1773" s="280"/>
      <c r="Q1773" s="315"/>
      <c r="R1773" s="272"/>
      <c r="S1773" s="272"/>
      <c r="T1773" s="272"/>
      <c r="U1773" s="272"/>
      <c r="V1773" s="272"/>
      <c r="W1773" s="272"/>
      <c r="X1773" s="272"/>
      <c r="Y1773" s="272"/>
      <c r="Z1773" s="272"/>
      <c r="AA1773" s="272"/>
    </row>
    <row r="1774" spans="1:27">
      <c r="A1774" s="273"/>
      <c r="B1774" s="274"/>
      <c r="C1774" s="314"/>
      <c r="D1774" s="274"/>
      <c r="E1774" s="268"/>
      <c r="F1774" s="272"/>
      <c r="G1774" s="268"/>
      <c r="H1774" s="268"/>
      <c r="I1774" s="268"/>
      <c r="J1774" s="272"/>
      <c r="K1774" s="268"/>
      <c r="L1774" s="287"/>
      <c r="M1774" s="283"/>
      <c r="N1774" s="282"/>
      <c r="O1774" s="284"/>
      <c r="P1774" s="280"/>
      <c r="Q1774" s="315"/>
      <c r="R1774" s="272"/>
      <c r="S1774" s="272"/>
      <c r="T1774" s="272"/>
      <c r="U1774" s="272"/>
      <c r="V1774" s="272"/>
      <c r="W1774" s="272"/>
      <c r="X1774" s="272"/>
      <c r="Y1774" s="272"/>
      <c r="Z1774" s="272"/>
      <c r="AA1774" s="272"/>
    </row>
    <row r="1775" spans="1:27">
      <c r="A1775" s="273"/>
      <c r="B1775" s="274"/>
      <c r="C1775" s="314"/>
      <c r="D1775" s="274"/>
      <c r="E1775" s="268"/>
      <c r="F1775" s="272"/>
      <c r="G1775" s="268"/>
      <c r="H1775" s="268"/>
      <c r="I1775" s="268"/>
      <c r="J1775" s="272"/>
      <c r="K1775" s="268"/>
      <c r="L1775" s="287"/>
      <c r="M1775" s="283"/>
      <c r="N1775" s="282"/>
      <c r="O1775" s="284"/>
      <c r="P1775" s="280"/>
      <c r="Q1775" s="315"/>
      <c r="R1775" s="272"/>
      <c r="S1775" s="272"/>
      <c r="T1775" s="272"/>
      <c r="U1775" s="272"/>
      <c r="V1775" s="272"/>
      <c r="W1775" s="272"/>
      <c r="X1775" s="272"/>
      <c r="Y1775" s="272"/>
      <c r="Z1775" s="272"/>
      <c r="AA1775" s="272"/>
    </row>
    <row r="1776" spans="1:27">
      <c r="A1776" s="273"/>
      <c r="B1776" s="274"/>
      <c r="C1776" s="314"/>
      <c r="D1776" s="274"/>
      <c r="E1776" s="268"/>
      <c r="F1776" s="272"/>
      <c r="G1776" s="268"/>
      <c r="H1776" s="268"/>
      <c r="I1776" s="268"/>
      <c r="J1776" s="272"/>
      <c r="K1776" s="268"/>
      <c r="L1776" s="287"/>
      <c r="M1776" s="283"/>
      <c r="N1776" s="282"/>
      <c r="O1776" s="284"/>
      <c r="P1776" s="280"/>
      <c r="Q1776" s="315"/>
      <c r="R1776" s="272"/>
      <c r="S1776" s="272"/>
      <c r="T1776" s="272"/>
      <c r="U1776" s="272"/>
      <c r="V1776" s="272"/>
      <c r="W1776" s="272"/>
      <c r="X1776" s="272"/>
      <c r="Y1776" s="272"/>
      <c r="Z1776" s="272"/>
      <c r="AA1776" s="272"/>
    </row>
    <row r="1777" spans="1:27">
      <c r="A1777" s="273"/>
      <c r="B1777" s="274"/>
      <c r="C1777" s="314"/>
      <c r="D1777" s="274"/>
      <c r="E1777" s="268"/>
      <c r="F1777" s="272"/>
      <c r="G1777" s="268"/>
      <c r="H1777" s="268"/>
      <c r="I1777" s="268"/>
      <c r="J1777" s="272"/>
      <c r="K1777" s="268"/>
      <c r="L1777" s="287"/>
      <c r="M1777" s="283"/>
      <c r="N1777" s="282"/>
      <c r="O1777" s="284"/>
      <c r="P1777" s="280"/>
      <c r="Q1777" s="315"/>
      <c r="R1777" s="272"/>
      <c r="S1777" s="272"/>
      <c r="T1777" s="272"/>
      <c r="U1777" s="272"/>
      <c r="V1777" s="272"/>
      <c r="W1777" s="272"/>
      <c r="X1777" s="272"/>
      <c r="Y1777" s="272"/>
      <c r="Z1777" s="272"/>
      <c r="AA1777" s="272"/>
    </row>
    <row r="1778" spans="1:27">
      <c r="A1778" s="273"/>
      <c r="B1778" s="274"/>
      <c r="C1778" s="314"/>
      <c r="D1778" s="274"/>
      <c r="E1778" s="268"/>
      <c r="F1778" s="272"/>
      <c r="G1778" s="268"/>
      <c r="H1778" s="268"/>
      <c r="I1778" s="268"/>
      <c r="J1778" s="272"/>
      <c r="K1778" s="268"/>
      <c r="L1778" s="287"/>
      <c r="M1778" s="283"/>
      <c r="N1778" s="282"/>
      <c r="O1778" s="284"/>
      <c r="P1778" s="280"/>
      <c r="Q1778" s="315"/>
      <c r="R1778" s="272"/>
      <c r="S1778" s="272"/>
      <c r="T1778" s="272"/>
      <c r="U1778" s="272"/>
      <c r="V1778" s="272"/>
      <c r="W1778" s="272"/>
      <c r="X1778" s="272"/>
      <c r="Y1778" s="272"/>
      <c r="Z1778" s="272"/>
      <c r="AA1778" s="272"/>
    </row>
    <row r="1779" spans="1:27">
      <c r="A1779" s="273"/>
      <c r="B1779" s="274"/>
      <c r="C1779" s="314"/>
      <c r="D1779" s="274"/>
      <c r="E1779" s="268"/>
      <c r="F1779" s="272"/>
      <c r="G1779" s="268"/>
      <c r="H1779" s="268"/>
      <c r="I1779" s="268"/>
      <c r="J1779" s="272"/>
      <c r="K1779" s="268"/>
      <c r="L1779" s="287"/>
      <c r="M1779" s="283"/>
      <c r="N1779" s="282"/>
      <c r="O1779" s="284"/>
      <c r="P1779" s="280"/>
      <c r="Q1779" s="315"/>
      <c r="R1779" s="272"/>
      <c r="S1779" s="272"/>
      <c r="T1779" s="272"/>
      <c r="U1779" s="272"/>
      <c r="V1779" s="272"/>
      <c r="W1779" s="272"/>
      <c r="X1779" s="272"/>
      <c r="Y1779" s="272"/>
      <c r="Z1779" s="272"/>
      <c r="AA1779" s="272"/>
    </row>
    <row r="1780" spans="1:27">
      <c r="A1780" s="273"/>
      <c r="B1780" s="274"/>
      <c r="C1780" s="314"/>
      <c r="D1780" s="274"/>
      <c r="E1780" s="268"/>
      <c r="F1780" s="272"/>
      <c r="G1780" s="268"/>
      <c r="H1780" s="268"/>
      <c r="I1780" s="268"/>
      <c r="J1780" s="272"/>
      <c r="K1780" s="268"/>
      <c r="L1780" s="287"/>
      <c r="M1780" s="283"/>
      <c r="N1780" s="282"/>
      <c r="O1780" s="284"/>
      <c r="P1780" s="280"/>
      <c r="Q1780" s="315"/>
      <c r="R1780" s="272"/>
      <c r="S1780" s="272"/>
      <c r="T1780" s="272"/>
      <c r="U1780" s="272"/>
      <c r="V1780" s="272"/>
      <c r="W1780" s="272"/>
      <c r="X1780" s="272"/>
      <c r="Y1780" s="272"/>
      <c r="Z1780" s="272"/>
      <c r="AA1780" s="272"/>
    </row>
    <row r="1781" spans="1:27">
      <c r="A1781" s="273"/>
      <c r="B1781" s="274"/>
      <c r="C1781" s="314"/>
      <c r="D1781" s="274"/>
      <c r="E1781" s="268"/>
      <c r="F1781" s="272"/>
      <c r="G1781" s="268"/>
      <c r="H1781" s="268"/>
      <c r="I1781" s="268"/>
      <c r="J1781" s="272"/>
      <c r="K1781" s="268"/>
      <c r="L1781" s="287"/>
      <c r="M1781" s="283"/>
      <c r="N1781" s="282"/>
      <c r="O1781" s="284"/>
      <c r="P1781" s="280"/>
      <c r="Q1781" s="315"/>
      <c r="R1781" s="272"/>
      <c r="S1781" s="272"/>
      <c r="T1781" s="272"/>
      <c r="U1781" s="272"/>
      <c r="V1781" s="272"/>
      <c r="W1781" s="272"/>
      <c r="X1781" s="272"/>
      <c r="Y1781" s="272"/>
      <c r="Z1781" s="272"/>
      <c r="AA1781" s="272"/>
    </row>
    <row r="1782" spans="1:27">
      <c r="A1782" s="273"/>
      <c r="B1782" s="274"/>
      <c r="C1782" s="314"/>
      <c r="D1782" s="274"/>
      <c r="E1782" s="268"/>
      <c r="F1782" s="272"/>
      <c r="G1782" s="268"/>
      <c r="H1782" s="268"/>
      <c r="I1782" s="268"/>
      <c r="J1782" s="272"/>
      <c r="K1782" s="268"/>
      <c r="L1782" s="287"/>
      <c r="M1782" s="283"/>
      <c r="N1782" s="282"/>
      <c r="O1782" s="284"/>
      <c r="P1782" s="280"/>
      <c r="Q1782" s="315"/>
      <c r="R1782" s="272"/>
      <c r="S1782" s="272"/>
      <c r="T1782" s="272"/>
      <c r="U1782" s="272"/>
      <c r="V1782" s="272"/>
      <c r="W1782" s="272"/>
      <c r="X1782" s="272"/>
      <c r="Y1782" s="272"/>
      <c r="Z1782" s="272"/>
      <c r="AA1782" s="272"/>
    </row>
    <row r="1783" spans="1:27">
      <c r="A1783" s="273"/>
      <c r="B1783" s="274"/>
      <c r="C1783" s="314"/>
      <c r="D1783" s="274"/>
      <c r="E1783" s="268"/>
      <c r="F1783" s="272"/>
      <c r="G1783" s="268"/>
      <c r="H1783" s="268"/>
      <c r="I1783" s="268"/>
      <c r="J1783" s="272"/>
      <c r="K1783" s="268"/>
      <c r="L1783" s="287"/>
      <c r="M1783" s="283"/>
      <c r="N1783" s="282"/>
      <c r="O1783" s="284"/>
      <c r="P1783" s="280"/>
      <c r="Q1783" s="315"/>
      <c r="R1783" s="272"/>
      <c r="S1783" s="272"/>
      <c r="T1783" s="272"/>
      <c r="U1783" s="272"/>
      <c r="V1783" s="272"/>
      <c r="W1783" s="272"/>
      <c r="X1783" s="272"/>
      <c r="Y1783" s="272"/>
      <c r="Z1783" s="272"/>
      <c r="AA1783" s="272"/>
    </row>
    <row r="1784" spans="1:27">
      <c r="A1784" s="273"/>
      <c r="B1784" s="274"/>
      <c r="C1784" s="314"/>
      <c r="D1784" s="274"/>
      <c r="E1784" s="268"/>
      <c r="F1784" s="272"/>
      <c r="G1784" s="268"/>
      <c r="H1784" s="268"/>
      <c r="I1784" s="268"/>
      <c r="J1784" s="272"/>
      <c r="K1784" s="268"/>
      <c r="L1784" s="287"/>
      <c r="M1784" s="283"/>
      <c r="N1784" s="282"/>
      <c r="O1784" s="284"/>
      <c r="P1784" s="280"/>
      <c r="Q1784" s="315"/>
      <c r="R1784" s="272"/>
      <c r="S1784" s="272"/>
      <c r="T1784" s="272"/>
      <c r="U1784" s="272"/>
      <c r="V1784" s="272"/>
      <c r="W1784" s="272"/>
      <c r="X1784" s="272"/>
      <c r="Y1784" s="272"/>
      <c r="Z1784" s="272"/>
      <c r="AA1784" s="272"/>
    </row>
    <row r="1785" spans="1:27">
      <c r="A1785" s="273"/>
      <c r="B1785" s="274"/>
      <c r="C1785" s="314"/>
      <c r="D1785" s="274"/>
      <c r="E1785" s="268"/>
      <c r="F1785" s="272"/>
      <c r="G1785" s="268"/>
      <c r="H1785" s="268"/>
      <c r="I1785" s="268"/>
      <c r="J1785" s="272"/>
      <c r="K1785" s="268"/>
      <c r="L1785" s="287"/>
      <c r="M1785" s="283"/>
      <c r="N1785" s="282"/>
      <c r="O1785" s="284"/>
      <c r="P1785" s="280"/>
      <c r="Q1785" s="315"/>
      <c r="R1785" s="272"/>
      <c r="S1785" s="272"/>
      <c r="T1785" s="272"/>
      <c r="U1785" s="272"/>
      <c r="V1785" s="272"/>
      <c r="W1785" s="272"/>
      <c r="X1785" s="272"/>
      <c r="Y1785" s="272"/>
      <c r="Z1785" s="272"/>
      <c r="AA1785" s="272"/>
    </row>
    <row r="1786" spans="1:27">
      <c r="A1786" s="273"/>
      <c r="B1786" s="274"/>
      <c r="C1786" s="314"/>
      <c r="D1786" s="274"/>
      <c r="E1786" s="268"/>
      <c r="F1786" s="272"/>
      <c r="G1786" s="268"/>
      <c r="H1786" s="268"/>
      <c r="I1786" s="268"/>
      <c r="J1786" s="272"/>
      <c r="K1786" s="268"/>
      <c r="L1786" s="287"/>
      <c r="M1786" s="283"/>
      <c r="N1786" s="282"/>
      <c r="O1786" s="284"/>
      <c r="P1786" s="280"/>
      <c r="Q1786" s="315"/>
      <c r="R1786" s="272"/>
      <c r="S1786" s="272"/>
      <c r="T1786" s="272"/>
      <c r="U1786" s="272"/>
      <c r="V1786" s="272"/>
      <c r="W1786" s="272"/>
      <c r="X1786" s="272"/>
      <c r="Y1786" s="272"/>
      <c r="Z1786" s="272"/>
      <c r="AA1786" s="272"/>
    </row>
    <row r="1787" spans="1:27">
      <c r="A1787" s="273"/>
      <c r="B1787" s="274"/>
      <c r="C1787" s="314"/>
      <c r="D1787" s="274"/>
      <c r="E1787" s="268"/>
      <c r="F1787" s="272"/>
      <c r="G1787" s="268"/>
      <c r="H1787" s="268"/>
      <c r="I1787" s="268"/>
      <c r="J1787" s="272"/>
      <c r="K1787" s="268"/>
      <c r="L1787" s="287"/>
      <c r="M1787" s="283"/>
      <c r="N1787" s="282"/>
      <c r="O1787" s="284"/>
      <c r="P1787" s="280"/>
      <c r="Q1787" s="315"/>
      <c r="R1787" s="272"/>
      <c r="S1787" s="272"/>
      <c r="T1787" s="272"/>
      <c r="U1787" s="272"/>
      <c r="V1787" s="272"/>
      <c r="W1787" s="272"/>
      <c r="X1787" s="272"/>
      <c r="Y1787" s="272"/>
      <c r="Z1787" s="272"/>
      <c r="AA1787" s="272"/>
    </row>
    <row r="1788" spans="1:27">
      <c r="A1788" s="273"/>
      <c r="B1788" s="274"/>
      <c r="C1788" s="314"/>
      <c r="D1788" s="274"/>
      <c r="E1788" s="268"/>
      <c r="F1788" s="272"/>
      <c r="G1788" s="268"/>
      <c r="H1788" s="268"/>
      <c r="I1788" s="268"/>
      <c r="J1788" s="272"/>
      <c r="K1788" s="268"/>
      <c r="L1788" s="287"/>
      <c r="M1788" s="283"/>
      <c r="N1788" s="282"/>
      <c r="O1788" s="284"/>
      <c r="P1788" s="280"/>
      <c r="Q1788" s="315"/>
      <c r="R1788" s="272"/>
      <c r="S1788" s="272"/>
      <c r="T1788" s="272"/>
      <c r="U1788" s="272"/>
      <c r="V1788" s="272"/>
      <c r="W1788" s="272"/>
      <c r="X1788" s="272"/>
      <c r="Y1788" s="272"/>
      <c r="Z1788" s="272"/>
      <c r="AA1788" s="272"/>
    </row>
    <row r="1789" spans="1:27">
      <c r="A1789" s="273"/>
      <c r="B1789" s="274"/>
      <c r="C1789" s="314"/>
      <c r="D1789" s="274"/>
      <c r="E1789" s="268"/>
      <c r="F1789" s="272"/>
      <c r="G1789" s="268"/>
      <c r="H1789" s="268"/>
      <c r="I1789" s="268"/>
      <c r="J1789" s="272"/>
      <c r="K1789" s="268"/>
      <c r="L1789" s="287"/>
      <c r="M1789" s="283"/>
      <c r="N1789" s="282"/>
      <c r="O1789" s="284"/>
      <c r="P1789" s="280"/>
      <c r="Q1789" s="315"/>
      <c r="R1789" s="272"/>
      <c r="S1789" s="272"/>
      <c r="T1789" s="272"/>
      <c r="U1789" s="272"/>
      <c r="V1789" s="272"/>
      <c r="W1789" s="272"/>
      <c r="X1789" s="272"/>
      <c r="Y1789" s="272"/>
      <c r="Z1789" s="272"/>
      <c r="AA1789" s="272"/>
    </row>
    <row r="1790" spans="1:27">
      <c r="A1790" s="273"/>
      <c r="B1790" s="274"/>
      <c r="C1790" s="314"/>
      <c r="D1790" s="274"/>
      <c r="E1790" s="268"/>
      <c r="F1790" s="272"/>
      <c r="G1790" s="268"/>
      <c r="H1790" s="268"/>
      <c r="I1790" s="268"/>
      <c r="J1790" s="272"/>
      <c r="K1790" s="268"/>
      <c r="L1790" s="287"/>
      <c r="M1790" s="283"/>
      <c r="N1790" s="282"/>
      <c r="O1790" s="284"/>
      <c r="P1790" s="280"/>
      <c r="Q1790" s="315"/>
      <c r="R1790" s="272"/>
      <c r="S1790" s="272"/>
      <c r="T1790" s="272"/>
      <c r="U1790" s="272"/>
      <c r="V1790" s="272"/>
      <c r="W1790" s="272"/>
      <c r="X1790" s="272"/>
      <c r="Y1790" s="272"/>
      <c r="Z1790" s="272"/>
      <c r="AA1790" s="272"/>
    </row>
    <row r="1791" spans="1:27">
      <c r="A1791" s="273"/>
      <c r="B1791" s="274"/>
      <c r="C1791" s="314"/>
      <c r="D1791" s="274"/>
      <c r="E1791" s="268"/>
      <c r="F1791" s="272"/>
      <c r="G1791" s="268"/>
      <c r="H1791" s="268"/>
      <c r="I1791" s="268"/>
      <c r="J1791" s="272"/>
      <c r="K1791" s="268"/>
      <c r="L1791" s="287"/>
      <c r="M1791" s="283"/>
      <c r="N1791" s="282"/>
      <c r="O1791" s="284"/>
      <c r="P1791" s="280"/>
      <c r="Q1791" s="315"/>
      <c r="R1791" s="272"/>
      <c r="S1791" s="272"/>
      <c r="T1791" s="272"/>
      <c r="U1791" s="272"/>
      <c r="V1791" s="272"/>
      <c r="W1791" s="272"/>
      <c r="X1791" s="272"/>
      <c r="Y1791" s="272"/>
      <c r="Z1791" s="272"/>
      <c r="AA1791" s="272"/>
    </row>
    <row r="1792" spans="1:27">
      <c r="A1792" s="273"/>
      <c r="B1792" s="274"/>
      <c r="C1792" s="314"/>
      <c r="D1792" s="274"/>
      <c r="E1792" s="268"/>
      <c r="F1792" s="272"/>
      <c r="G1792" s="268"/>
      <c r="H1792" s="268"/>
      <c r="I1792" s="268"/>
      <c r="J1792" s="272"/>
      <c r="K1792" s="268"/>
      <c r="L1792" s="287"/>
      <c r="M1792" s="283"/>
      <c r="N1792" s="282"/>
      <c r="O1792" s="284"/>
      <c r="P1792" s="280"/>
      <c r="Q1792" s="315"/>
      <c r="R1792" s="272"/>
      <c r="S1792" s="272"/>
      <c r="T1792" s="272"/>
      <c r="U1792" s="272"/>
      <c r="V1792" s="272"/>
      <c r="W1792" s="272"/>
      <c r="X1792" s="272"/>
      <c r="Y1792" s="272"/>
      <c r="Z1792" s="272"/>
      <c r="AA1792" s="272"/>
    </row>
    <row r="1793" spans="1:27">
      <c r="A1793" s="273"/>
      <c r="B1793" s="274"/>
      <c r="C1793" s="314"/>
      <c r="D1793" s="274"/>
      <c r="E1793" s="268"/>
      <c r="F1793" s="272"/>
      <c r="G1793" s="268"/>
      <c r="H1793" s="268"/>
      <c r="I1793" s="268"/>
      <c r="J1793" s="272"/>
      <c r="K1793" s="268"/>
      <c r="L1793" s="287"/>
      <c r="M1793" s="283"/>
      <c r="N1793" s="282"/>
      <c r="O1793" s="284"/>
      <c r="P1793" s="280"/>
      <c r="Q1793" s="315"/>
      <c r="R1793" s="272"/>
      <c r="S1793" s="272"/>
      <c r="T1793" s="272"/>
      <c r="U1793" s="272"/>
      <c r="V1793" s="272"/>
      <c r="W1793" s="272"/>
      <c r="X1793" s="272"/>
      <c r="Y1793" s="272"/>
      <c r="Z1793" s="272"/>
      <c r="AA1793" s="272"/>
    </row>
    <row r="1794" spans="1:27">
      <c r="A1794" s="273"/>
      <c r="B1794" s="274"/>
      <c r="C1794" s="314"/>
      <c r="D1794" s="274"/>
      <c r="E1794" s="268"/>
      <c r="F1794" s="272"/>
      <c r="G1794" s="268"/>
      <c r="H1794" s="268"/>
      <c r="I1794" s="268"/>
      <c r="J1794" s="272"/>
      <c r="K1794" s="268"/>
      <c r="L1794" s="287"/>
      <c r="M1794" s="283"/>
      <c r="N1794" s="282"/>
      <c r="O1794" s="284"/>
      <c r="P1794" s="280"/>
      <c r="Q1794" s="315"/>
      <c r="R1794" s="272"/>
      <c r="S1794" s="272"/>
      <c r="T1794" s="272"/>
      <c r="U1794" s="272"/>
      <c r="V1794" s="272"/>
      <c r="W1794" s="272"/>
      <c r="X1794" s="272"/>
      <c r="Y1794" s="272"/>
      <c r="Z1794" s="272"/>
      <c r="AA1794" s="272"/>
    </row>
    <row r="1795" spans="1:27">
      <c r="A1795" s="273"/>
      <c r="B1795" s="274"/>
      <c r="C1795" s="314"/>
      <c r="D1795" s="274"/>
      <c r="E1795" s="268"/>
      <c r="F1795" s="272"/>
      <c r="G1795" s="268"/>
      <c r="H1795" s="268"/>
      <c r="I1795" s="268"/>
      <c r="J1795" s="272"/>
      <c r="K1795" s="268"/>
      <c r="L1795" s="287"/>
      <c r="M1795" s="283"/>
      <c r="N1795" s="282"/>
      <c r="O1795" s="284"/>
      <c r="P1795" s="280"/>
      <c r="Q1795" s="315"/>
      <c r="R1795" s="272"/>
      <c r="S1795" s="272"/>
      <c r="T1795" s="272"/>
      <c r="U1795" s="272"/>
      <c r="V1795" s="272"/>
      <c r="W1795" s="272"/>
      <c r="X1795" s="272"/>
      <c r="Y1795" s="272"/>
      <c r="Z1795" s="272"/>
      <c r="AA1795" s="272"/>
    </row>
    <row r="1796" spans="1:27">
      <c r="A1796" s="273"/>
      <c r="B1796" s="274"/>
      <c r="C1796" s="314"/>
      <c r="D1796" s="274"/>
      <c r="E1796" s="268"/>
      <c r="F1796" s="272"/>
      <c r="G1796" s="268"/>
      <c r="H1796" s="268"/>
      <c r="I1796" s="268"/>
      <c r="J1796" s="272"/>
      <c r="K1796" s="268"/>
      <c r="L1796" s="287"/>
      <c r="M1796" s="283"/>
      <c r="N1796" s="282"/>
      <c r="O1796" s="284"/>
      <c r="P1796" s="280"/>
      <c r="Q1796" s="315"/>
      <c r="R1796" s="272"/>
      <c r="S1796" s="272"/>
      <c r="T1796" s="272"/>
      <c r="U1796" s="272"/>
      <c r="V1796" s="272"/>
      <c r="W1796" s="272"/>
      <c r="X1796" s="272"/>
      <c r="Y1796" s="272"/>
      <c r="Z1796" s="272"/>
      <c r="AA1796" s="272"/>
    </row>
    <row r="1797" spans="1:27">
      <c r="A1797" s="273"/>
      <c r="B1797" s="274"/>
      <c r="C1797" s="314"/>
      <c r="D1797" s="274"/>
      <c r="E1797" s="268"/>
      <c r="F1797" s="272"/>
      <c r="G1797" s="268"/>
      <c r="H1797" s="268"/>
      <c r="I1797" s="268"/>
      <c r="J1797" s="272"/>
      <c r="K1797" s="268"/>
      <c r="L1797" s="287"/>
      <c r="M1797" s="283"/>
      <c r="N1797" s="282"/>
      <c r="O1797" s="284"/>
      <c r="P1797" s="280"/>
      <c r="Q1797" s="315"/>
      <c r="R1797" s="272"/>
      <c r="S1797" s="272"/>
      <c r="T1797" s="272"/>
      <c r="U1797" s="272"/>
      <c r="V1797" s="272"/>
      <c r="W1797" s="272"/>
      <c r="X1797" s="272"/>
      <c r="Y1797" s="272"/>
      <c r="Z1797" s="272"/>
      <c r="AA1797" s="272"/>
    </row>
    <row r="1798" spans="1:27">
      <c r="A1798" s="273"/>
      <c r="B1798" s="274"/>
      <c r="C1798" s="314"/>
      <c r="D1798" s="274"/>
      <c r="E1798" s="268"/>
      <c r="F1798" s="272"/>
      <c r="G1798" s="268"/>
      <c r="H1798" s="268"/>
      <c r="I1798" s="268"/>
      <c r="J1798" s="272"/>
      <c r="K1798" s="268"/>
      <c r="L1798" s="287"/>
      <c r="M1798" s="283"/>
      <c r="N1798" s="282"/>
      <c r="O1798" s="284"/>
      <c r="P1798" s="280"/>
      <c r="Q1798" s="315"/>
      <c r="R1798" s="272"/>
      <c r="S1798" s="272"/>
      <c r="T1798" s="272"/>
      <c r="U1798" s="272"/>
      <c r="V1798" s="272"/>
      <c r="W1798" s="272"/>
      <c r="X1798" s="272"/>
      <c r="Y1798" s="272"/>
      <c r="Z1798" s="272"/>
      <c r="AA1798" s="272"/>
    </row>
    <row r="1799" spans="1:27">
      <c r="A1799" s="273"/>
      <c r="B1799" s="274"/>
      <c r="C1799" s="314"/>
      <c r="D1799" s="274"/>
      <c r="E1799" s="268"/>
      <c r="F1799" s="272"/>
      <c r="G1799" s="268"/>
      <c r="H1799" s="268"/>
      <c r="I1799" s="268"/>
      <c r="J1799" s="272"/>
      <c r="K1799" s="268"/>
      <c r="L1799" s="287"/>
      <c r="M1799" s="283"/>
      <c r="N1799" s="282"/>
      <c r="O1799" s="284"/>
      <c r="P1799" s="280"/>
      <c r="Q1799" s="315"/>
      <c r="R1799" s="272"/>
      <c r="S1799" s="272"/>
      <c r="T1799" s="272"/>
      <c r="U1799" s="272"/>
      <c r="V1799" s="272"/>
      <c r="W1799" s="272"/>
      <c r="X1799" s="272"/>
      <c r="Y1799" s="272"/>
      <c r="Z1799" s="272"/>
      <c r="AA1799" s="272"/>
    </row>
    <row r="1800" spans="1:27">
      <c r="A1800" s="273"/>
      <c r="B1800" s="274"/>
      <c r="C1800" s="314"/>
      <c r="D1800" s="274"/>
      <c r="E1800" s="268"/>
      <c r="F1800" s="272"/>
      <c r="G1800" s="268"/>
      <c r="H1800" s="268"/>
      <c r="I1800" s="268"/>
      <c r="J1800" s="272"/>
      <c r="K1800" s="268"/>
      <c r="L1800" s="287"/>
      <c r="M1800" s="283"/>
      <c r="N1800" s="282"/>
      <c r="O1800" s="284"/>
      <c r="P1800" s="280"/>
      <c r="Q1800" s="315"/>
      <c r="R1800" s="272"/>
      <c r="S1800" s="272"/>
      <c r="T1800" s="272"/>
      <c r="U1800" s="272"/>
      <c r="V1800" s="272"/>
      <c r="W1800" s="272"/>
      <c r="X1800" s="272"/>
      <c r="Y1800" s="272"/>
      <c r="Z1800" s="272"/>
      <c r="AA1800" s="272"/>
    </row>
    <row r="1801" spans="1:27">
      <c r="A1801" s="273"/>
      <c r="B1801" s="274"/>
      <c r="C1801" s="314"/>
      <c r="D1801" s="274"/>
      <c r="E1801" s="268"/>
      <c r="F1801" s="272"/>
      <c r="G1801" s="268"/>
      <c r="H1801" s="268"/>
      <c r="I1801" s="268"/>
      <c r="J1801" s="272"/>
      <c r="K1801" s="268"/>
      <c r="L1801" s="287"/>
      <c r="M1801" s="283"/>
      <c r="N1801" s="282"/>
      <c r="O1801" s="284"/>
      <c r="P1801" s="280"/>
      <c r="Q1801" s="315"/>
      <c r="R1801" s="272"/>
      <c r="S1801" s="272"/>
      <c r="T1801" s="272"/>
      <c r="U1801" s="272"/>
      <c r="V1801" s="272"/>
      <c r="W1801" s="272"/>
      <c r="X1801" s="272"/>
      <c r="Y1801" s="272"/>
      <c r="Z1801" s="272"/>
      <c r="AA1801" s="272"/>
    </row>
    <row r="1802" spans="1:27">
      <c r="A1802" s="273"/>
      <c r="B1802" s="274"/>
      <c r="C1802" s="314"/>
      <c r="D1802" s="274"/>
      <c r="E1802" s="268"/>
      <c r="F1802" s="272"/>
      <c r="G1802" s="268"/>
      <c r="H1802" s="268"/>
      <c r="I1802" s="268"/>
      <c r="J1802" s="272"/>
      <c r="K1802" s="268"/>
      <c r="L1802" s="287"/>
      <c r="M1802" s="283"/>
      <c r="N1802" s="282"/>
      <c r="O1802" s="284"/>
      <c r="P1802" s="280"/>
      <c r="Q1802" s="315"/>
      <c r="R1802" s="272"/>
      <c r="S1802" s="272"/>
      <c r="T1802" s="272"/>
      <c r="U1802" s="272"/>
      <c r="V1802" s="272"/>
      <c r="W1802" s="272"/>
      <c r="X1802" s="272"/>
      <c r="Y1802" s="272"/>
      <c r="Z1802" s="272"/>
      <c r="AA1802" s="272"/>
    </row>
    <row r="1803" spans="1:27">
      <c r="A1803" s="273"/>
      <c r="B1803" s="274"/>
      <c r="C1803" s="314"/>
      <c r="D1803" s="274"/>
      <c r="E1803" s="268"/>
      <c r="F1803" s="272"/>
      <c r="G1803" s="268"/>
      <c r="H1803" s="268"/>
      <c r="I1803" s="268"/>
      <c r="J1803" s="272"/>
      <c r="K1803" s="268"/>
      <c r="L1803" s="287"/>
      <c r="M1803" s="283"/>
      <c r="N1803" s="282"/>
      <c r="O1803" s="284"/>
      <c r="P1803" s="280"/>
      <c r="Q1803" s="315"/>
      <c r="R1803" s="272"/>
      <c r="S1803" s="272"/>
      <c r="T1803" s="272"/>
      <c r="U1803" s="272"/>
      <c r="V1803" s="272"/>
      <c r="W1803" s="272"/>
      <c r="X1803" s="272"/>
      <c r="Y1803" s="272"/>
      <c r="Z1803" s="272"/>
      <c r="AA1803" s="272"/>
    </row>
    <row r="1804" spans="1:27">
      <c r="A1804" s="273"/>
      <c r="B1804" s="274"/>
      <c r="C1804" s="314"/>
      <c r="D1804" s="274"/>
      <c r="E1804" s="268"/>
      <c r="F1804" s="272"/>
      <c r="G1804" s="268"/>
      <c r="H1804" s="268"/>
      <c r="I1804" s="268"/>
      <c r="J1804" s="272"/>
      <c r="K1804" s="268"/>
      <c r="L1804" s="287"/>
      <c r="M1804" s="283"/>
      <c r="N1804" s="282"/>
      <c r="O1804" s="284"/>
      <c r="P1804" s="280"/>
      <c r="Q1804" s="315"/>
      <c r="R1804" s="272"/>
      <c r="S1804" s="272"/>
      <c r="T1804" s="272"/>
      <c r="U1804" s="272"/>
      <c r="V1804" s="272"/>
      <c r="W1804" s="272"/>
      <c r="X1804" s="272"/>
      <c r="Y1804" s="272"/>
      <c r="Z1804" s="272"/>
      <c r="AA1804" s="272"/>
    </row>
    <row r="1805" spans="1:27">
      <c r="A1805" s="273"/>
      <c r="B1805" s="274"/>
      <c r="C1805" s="314"/>
      <c r="D1805" s="274"/>
      <c r="E1805" s="268"/>
      <c r="F1805" s="272"/>
      <c r="G1805" s="268"/>
      <c r="H1805" s="268"/>
      <c r="I1805" s="268"/>
      <c r="J1805" s="272"/>
      <c r="K1805" s="268"/>
      <c r="L1805" s="287"/>
      <c r="M1805" s="283"/>
      <c r="N1805" s="282"/>
      <c r="O1805" s="284"/>
      <c r="P1805" s="280"/>
      <c r="Q1805" s="315"/>
      <c r="R1805" s="272"/>
      <c r="S1805" s="272"/>
      <c r="T1805" s="272"/>
      <c r="U1805" s="272"/>
      <c r="V1805" s="272"/>
      <c r="W1805" s="272"/>
      <c r="X1805" s="272"/>
      <c r="Y1805" s="272"/>
      <c r="Z1805" s="272"/>
      <c r="AA1805" s="272"/>
    </row>
    <row r="1806" spans="1:27">
      <c r="A1806" s="273"/>
      <c r="B1806" s="274"/>
      <c r="C1806" s="314"/>
      <c r="D1806" s="274"/>
      <c r="E1806" s="268"/>
      <c r="F1806" s="272"/>
      <c r="G1806" s="268"/>
      <c r="H1806" s="268"/>
      <c r="I1806" s="268"/>
      <c r="J1806" s="272"/>
      <c r="K1806" s="268"/>
      <c r="L1806" s="287"/>
      <c r="M1806" s="283"/>
      <c r="N1806" s="282"/>
      <c r="O1806" s="284"/>
      <c r="P1806" s="280"/>
      <c r="Q1806" s="315"/>
      <c r="R1806" s="272"/>
      <c r="S1806" s="272"/>
      <c r="T1806" s="272"/>
      <c r="U1806" s="272"/>
      <c r="V1806" s="272"/>
      <c r="W1806" s="272"/>
      <c r="X1806" s="272"/>
      <c r="Y1806" s="272"/>
      <c r="Z1806" s="272"/>
      <c r="AA1806" s="272"/>
    </row>
    <row r="1807" spans="1:27">
      <c r="A1807" s="273"/>
      <c r="B1807" s="274"/>
      <c r="C1807" s="314"/>
      <c r="D1807" s="274"/>
      <c r="E1807" s="268"/>
      <c r="F1807" s="272"/>
      <c r="G1807" s="268"/>
      <c r="H1807" s="268"/>
      <c r="I1807" s="268"/>
      <c r="J1807" s="272"/>
      <c r="K1807" s="268"/>
      <c r="L1807" s="287"/>
      <c r="M1807" s="283"/>
      <c r="N1807" s="282"/>
      <c r="O1807" s="284"/>
      <c r="P1807" s="280"/>
      <c r="Q1807" s="315"/>
      <c r="R1807" s="272"/>
      <c r="S1807" s="272"/>
      <c r="T1807" s="272"/>
      <c r="U1807" s="272"/>
      <c r="V1807" s="272"/>
      <c r="W1807" s="272"/>
      <c r="X1807" s="272"/>
      <c r="Y1807" s="272"/>
      <c r="Z1807" s="272"/>
      <c r="AA1807" s="272"/>
    </row>
    <row r="1808" spans="1:27">
      <c r="A1808" s="273"/>
      <c r="B1808" s="274"/>
      <c r="C1808" s="314"/>
      <c r="D1808" s="274"/>
      <c r="E1808" s="268"/>
      <c r="F1808" s="272"/>
      <c r="G1808" s="268"/>
      <c r="H1808" s="268"/>
      <c r="I1808" s="268"/>
      <c r="J1808" s="272"/>
      <c r="K1808" s="268"/>
      <c r="L1808" s="287"/>
      <c r="M1808" s="283"/>
      <c r="N1808" s="282"/>
      <c r="O1808" s="284"/>
      <c r="P1808" s="280"/>
      <c r="Q1808" s="315"/>
      <c r="R1808" s="272"/>
      <c r="S1808" s="272"/>
      <c r="T1808" s="272"/>
      <c r="U1808" s="272"/>
      <c r="V1808" s="272"/>
      <c r="W1808" s="272"/>
      <c r="X1808" s="272"/>
      <c r="Y1808" s="272"/>
      <c r="Z1808" s="272"/>
      <c r="AA1808" s="272"/>
    </row>
    <row r="1809" spans="1:27">
      <c r="A1809" s="273"/>
      <c r="B1809" s="274"/>
      <c r="C1809" s="314"/>
      <c r="D1809" s="274"/>
      <c r="E1809" s="268"/>
      <c r="F1809" s="272"/>
      <c r="G1809" s="268"/>
      <c r="H1809" s="268"/>
      <c r="I1809" s="268"/>
      <c r="J1809" s="272"/>
      <c r="K1809" s="268"/>
      <c r="L1809" s="287"/>
      <c r="M1809" s="283"/>
      <c r="N1809" s="282"/>
      <c r="O1809" s="284"/>
      <c r="P1809" s="280"/>
      <c r="Q1809" s="315"/>
      <c r="R1809" s="272"/>
      <c r="S1809" s="272"/>
      <c r="T1809" s="272"/>
      <c r="U1809" s="272"/>
      <c r="V1809" s="272"/>
      <c r="W1809" s="272"/>
      <c r="X1809" s="272"/>
      <c r="Y1809" s="272"/>
      <c r="Z1809" s="272"/>
      <c r="AA1809" s="272"/>
    </row>
    <row r="1810" spans="1:27">
      <c r="A1810" s="273"/>
      <c r="B1810" s="274"/>
      <c r="C1810" s="314"/>
      <c r="D1810" s="274"/>
      <c r="E1810" s="268"/>
      <c r="F1810" s="272"/>
      <c r="G1810" s="268"/>
      <c r="H1810" s="268"/>
      <c r="I1810" s="268"/>
      <c r="J1810" s="272"/>
      <c r="K1810" s="268"/>
      <c r="L1810" s="287"/>
      <c r="M1810" s="283"/>
      <c r="N1810" s="282"/>
      <c r="O1810" s="284"/>
      <c r="P1810" s="280"/>
      <c r="Q1810" s="315"/>
      <c r="R1810" s="272"/>
      <c r="S1810" s="272"/>
      <c r="T1810" s="272"/>
      <c r="U1810" s="272"/>
      <c r="V1810" s="272"/>
      <c r="W1810" s="272"/>
      <c r="X1810" s="272"/>
      <c r="Y1810" s="272"/>
      <c r="Z1810" s="272"/>
      <c r="AA1810" s="272"/>
    </row>
    <row r="1811" spans="1:27">
      <c r="A1811" s="273"/>
      <c r="B1811" s="274"/>
      <c r="C1811" s="314"/>
      <c r="D1811" s="274"/>
      <c r="E1811" s="268"/>
      <c r="F1811" s="272"/>
      <c r="G1811" s="268"/>
      <c r="H1811" s="268"/>
      <c r="I1811" s="268"/>
      <c r="J1811" s="272"/>
      <c r="K1811" s="268"/>
      <c r="L1811" s="287"/>
      <c r="M1811" s="283"/>
      <c r="N1811" s="282"/>
      <c r="O1811" s="284"/>
      <c r="P1811" s="280"/>
      <c r="Q1811" s="315"/>
      <c r="R1811" s="272"/>
      <c r="S1811" s="272"/>
      <c r="T1811" s="272"/>
      <c r="U1811" s="272"/>
      <c r="V1811" s="272"/>
      <c r="W1811" s="272"/>
      <c r="X1811" s="272"/>
      <c r="Y1811" s="272"/>
      <c r="Z1811" s="272"/>
      <c r="AA1811" s="272"/>
    </row>
    <row r="1812" spans="1:27">
      <c r="A1812" s="273"/>
      <c r="B1812" s="274"/>
      <c r="C1812" s="314"/>
      <c r="D1812" s="274"/>
      <c r="E1812" s="268"/>
      <c r="F1812" s="272"/>
      <c r="G1812" s="268"/>
      <c r="H1812" s="268"/>
      <c r="I1812" s="268"/>
      <c r="J1812" s="272"/>
      <c r="K1812" s="268"/>
      <c r="L1812" s="287"/>
      <c r="M1812" s="283"/>
      <c r="N1812" s="282"/>
      <c r="O1812" s="284"/>
      <c r="P1812" s="280"/>
      <c r="Q1812" s="315"/>
      <c r="R1812" s="272"/>
      <c r="S1812" s="272"/>
      <c r="T1812" s="272"/>
      <c r="U1812" s="272"/>
      <c r="V1812" s="272"/>
      <c r="W1812" s="272"/>
      <c r="X1812" s="272"/>
      <c r="Y1812" s="272"/>
      <c r="Z1812" s="272"/>
      <c r="AA1812" s="272"/>
    </row>
    <row r="1813" spans="1:27">
      <c r="A1813" s="273"/>
      <c r="B1813" s="274"/>
      <c r="C1813" s="314"/>
      <c r="D1813" s="274"/>
      <c r="E1813" s="268"/>
      <c r="F1813" s="272"/>
      <c r="G1813" s="268"/>
      <c r="H1813" s="268"/>
      <c r="I1813" s="268"/>
      <c r="J1813" s="272"/>
      <c r="K1813" s="268"/>
      <c r="L1813" s="287"/>
      <c r="M1813" s="283"/>
      <c r="N1813" s="282"/>
      <c r="O1813" s="284"/>
      <c r="P1813" s="280"/>
      <c r="Q1813" s="315"/>
      <c r="R1813" s="272"/>
      <c r="S1813" s="272"/>
      <c r="T1813" s="272"/>
      <c r="U1813" s="272"/>
      <c r="V1813" s="272"/>
      <c r="W1813" s="272"/>
      <c r="X1813" s="272"/>
      <c r="Y1813" s="272"/>
      <c r="Z1813" s="272"/>
      <c r="AA1813" s="272"/>
    </row>
    <row r="1814" spans="1:27">
      <c r="A1814" s="273"/>
      <c r="B1814" s="274"/>
      <c r="C1814" s="314"/>
      <c r="D1814" s="274"/>
      <c r="E1814" s="268"/>
      <c r="F1814" s="272"/>
      <c r="G1814" s="268"/>
      <c r="H1814" s="268"/>
      <c r="I1814" s="268"/>
      <c r="J1814" s="272"/>
      <c r="K1814" s="268"/>
      <c r="L1814" s="287"/>
      <c r="M1814" s="283"/>
      <c r="N1814" s="282"/>
      <c r="O1814" s="284"/>
      <c r="P1814" s="280"/>
      <c r="Q1814" s="315"/>
      <c r="R1814" s="272"/>
      <c r="S1814" s="272"/>
      <c r="T1814" s="272"/>
      <c r="U1814" s="272"/>
      <c r="V1814" s="272"/>
      <c r="W1814" s="272"/>
      <c r="X1814" s="272"/>
      <c r="Y1814" s="272"/>
      <c r="Z1814" s="272"/>
      <c r="AA1814" s="272"/>
    </row>
    <row r="1815" spans="1:27">
      <c r="A1815" s="273"/>
      <c r="B1815" s="274"/>
      <c r="C1815" s="314"/>
      <c r="D1815" s="274"/>
      <c r="E1815" s="268"/>
      <c r="F1815" s="272"/>
      <c r="G1815" s="268"/>
      <c r="H1815" s="268"/>
      <c r="I1815" s="268"/>
      <c r="J1815" s="272"/>
      <c r="K1815" s="268"/>
      <c r="L1815" s="287"/>
      <c r="M1815" s="283"/>
      <c r="N1815" s="282"/>
      <c r="O1815" s="284"/>
      <c r="P1815" s="280"/>
      <c r="Q1815" s="315"/>
      <c r="R1815" s="272"/>
      <c r="S1815" s="272"/>
      <c r="T1815" s="272"/>
      <c r="U1815" s="272"/>
      <c r="V1815" s="272"/>
      <c r="W1815" s="272"/>
      <c r="X1815" s="272"/>
      <c r="Y1815" s="272"/>
      <c r="Z1815" s="272"/>
      <c r="AA1815" s="272"/>
    </row>
    <row r="1816" spans="1:27">
      <c r="A1816" s="273"/>
      <c r="B1816" s="274"/>
      <c r="C1816" s="314"/>
      <c r="D1816" s="274"/>
      <c r="E1816" s="268"/>
      <c r="F1816" s="272"/>
      <c r="G1816" s="268"/>
      <c r="H1816" s="268"/>
      <c r="I1816" s="268"/>
      <c r="J1816" s="272"/>
      <c r="K1816" s="268"/>
      <c r="L1816" s="287"/>
      <c r="M1816" s="283"/>
      <c r="N1816" s="282"/>
      <c r="O1816" s="284"/>
      <c r="P1816" s="280"/>
      <c r="Q1816" s="315"/>
      <c r="R1816" s="272"/>
      <c r="S1816" s="272"/>
      <c r="T1816" s="272"/>
      <c r="U1816" s="272"/>
      <c r="V1816" s="272"/>
      <c r="W1816" s="272"/>
      <c r="X1816" s="272"/>
      <c r="Y1816" s="272"/>
      <c r="Z1816" s="272"/>
      <c r="AA1816" s="272"/>
    </row>
    <row r="1817" spans="1:27">
      <c r="A1817" s="273"/>
      <c r="B1817" s="274"/>
      <c r="C1817" s="314"/>
      <c r="D1817" s="274"/>
      <c r="E1817" s="268"/>
      <c r="F1817" s="272"/>
      <c r="G1817" s="268"/>
      <c r="H1817" s="268"/>
      <c r="I1817" s="268"/>
      <c r="J1817" s="272"/>
      <c r="K1817" s="268"/>
      <c r="L1817" s="287"/>
      <c r="M1817" s="283"/>
      <c r="N1817" s="282"/>
      <c r="O1817" s="284"/>
      <c r="P1817" s="280"/>
      <c r="Q1817" s="315"/>
      <c r="R1817" s="272"/>
      <c r="S1817" s="272"/>
      <c r="T1817" s="272"/>
      <c r="U1817" s="272"/>
      <c r="V1817" s="272"/>
      <c r="W1817" s="272"/>
      <c r="X1817" s="272"/>
      <c r="Y1817" s="272"/>
      <c r="Z1817" s="272"/>
      <c r="AA1817" s="272"/>
    </row>
    <row r="1818" spans="1:27">
      <c r="A1818" s="273"/>
      <c r="B1818" s="274"/>
      <c r="C1818" s="314"/>
      <c r="D1818" s="274"/>
      <c r="E1818" s="268"/>
      <c r="F1818" s="272"/>
      <c r="G1818" s="268"/>
      <c r="H1818" s="268"/>
      <c r="I1818" s="268"/>
      <c r="J1818" s="272"/>
      <c r="K1818" s="268"/>
      <c r="L1818" s="287"/>
      <c r="M1818" s="283"/>
      <c r="N1818" s="282"/>
      <c r="O1818" s="284"/>
      <c r="P1818" s="280"/>
      <c r="Q1818" s="315"/>
      <c r="R1818" s="272"/>
      <c r="S1818" s="272"/>
      <c r="T1818" s="272"/>
      <c r="U1818" s="272"/>
      <c r="V1818" s="272"/>
      <c r="W1818" s="272"/>
      <c r="X1818" s="272"/>
      <c r="Y1818" s="272"/>
      <c r="Z1818" s="272"/>
      <c r="AA1818" s="272"/>
    </row>
    <row r="1819" spans="1:27">
      <c r="A1819" s="273"/>
      <c r="B1819" s="274"/>
      <c r="C1819" s="314"/>
      <c r="D1819" s="274"/>
      <c r="E1819" s="268"/>
      <c r="F1819" s="272"/>
      <c r="G1819" s="268"/>
      <c r="H1819" s="268"/>
      <c r="I1819" s="268"/>
      <c r="J1819" s="272"/>
      <c r="K1819" s="268"/>
      <c r="L1819" s="287"/>
      <c r="M1819" s="283"/>
      <c r="N1819" s="282"/>
      <c r="O1819" s="284"/>
      <c r="P1819" s="280"/>
      <c r="Q1819" s="315"/>
      <c r="R1819" s="272"/>
      <c r="S1819" s="272"/>
      <c r="T1819" s="272"/>
      <c r="U1819" s="272"/>
      <c r="V1819" s="272"/>
      <c r="W1819" s="272"/>
      <c r="X1819" s="272"/>
      <c r="Y1819" s="272"/>
      <c r="Z1819" s="272"/>
      <c r="AA1819" s="272"/>
    </row>
    <row r="1820" spans="1:27">
      <c r="A1820" s="273"/>
      <c r="B1820" s="274"/>
      <c r="C1820" s="314"/>
      <c r="D1820" s="274"/>
      <c r="E1820" s="268"/>
      <c r="F1820" s="272"/>
      <c r="G1820" s="268"/>
      <c r="H1820" s="268"/>
      <c r="I1820" s="268"/>
      <c r="J1820" s="272"/>
      <c r="K1820" s="268"/>
      <c r="L1820" s="287"/>
      <c r="M1820" s="283"/>
      <c r="N1820" s="282"/>
      <c r="O1820" s="284"/>
      <c r="P1820" s="280"/>
      <c r="Q1820" s="315"/>
      <c r="R1820" s="272"/>
      <c r="S1820" s="272"/>
      <c r="T1820" s="272"/>
      <c r="U1820" s="272"/>
      <c r="V1820" s="272"/>
      <c r="W1820" s="272"/>
      <c r="X1820" s="272"/>
      <c r="Y1820" s="272"/>
      <c r="Z1820" s="272"/>
      <c r="AA1820" s="272"/>
    </row>
    <row r="1821" spans="1:27">
      <c r="A1821" s="273"/>
      <c r="B1821" s="274"/>
      <c r="C1821" s="314"/>
      <c r="D1821" s="274"/>
      <c r="E1821" s="268"/>
      <c r="F1821" s="272"/>
      <c r="G1821" s="268"/>
      <c r="H1821" s="268"/>
      <c r="I1821" s="268"/>
      <c r="J1821" s="272"/>
      <c r="K1821" s="268"/>
      <c r="L1821" s="287"/>
      <c r="M1821" s="283"/>
      <c r="N1821" s="282"/>
      <c r="O1821" s="284"/>
      <c r="P1821" s="280"/>
      <c r="Q1821" s="315"/>
      <c r="R1821" s="272"/>
      <c r="S1821" s="272"/>
      <c r="T1821" s="272"/>
      <c r="U1821" s="272"/>
      <c r="V1821" s="272"/>
      <c r="W1821" s="272"/>
      <c r="X1821" s="272"/>
      <c r="Y1821" s="272"/>
      <c r="Z1821" s="272"/>
      <c r="AA1821" s="272"/>
    </row>
    <row r="1822" spans="1:27">
      <c r="A1822" s="273"/>
      <c r="B1822" s="274"/>
      <c r="C1822" s="314"/>
      <c r="D1822" s="274"/>
      <c r="E1822" s="268"/>
      <c r="F1822" s="272"/>
      <c r="G1822" s="268"/>
      <c r="H1822" s="268"/>
      <c r="I1822" s="268"/>
      <c r="J1822" s="272"/>
      <c r="K1822" s="268"/>
      <c r="L1822" s="287"/>
      <c r="M1822" s="283"/>
      <c r="N1822" s="282"/>
      <c r="O1822" s="284"/>
      <c r="P1822" s="280"/>
      <c r="Q1822" s="315"/>
      <c r="R1822" s="272"/>
      <c r="S1822" s="272"/>
      <c r="T1822" s="272"/>
      <c r="U1822" s="272"/>
      <c r="V1822" s="272"/>
      <c r="W1822" s="272"/>
      <c r="X1822" s="272"/>
      <c r="Y1822" s="272"/>
      <c r="Z1822" s="272"/>
      <c r="AA1822" s="272"/>
    </row>
    <row r="1823" spans="1:27">
      <c r="A1823" s="273"/>
      <c r="B1823" s="274"/>
      <c r="C1823" s="314"/>
      <c r="D1823" s="274"/>
      <c r="E1823" s="268"/>
      <c r="F1823" s="272"/>
      <c r="G1823" s="268"/>
      <c r="H1823" s="268"/>
      <c r="I1823" s="268"/>
      <c r="J1823" s="272"/>
      <c r="K1823" s="268"/>
      <c r="L1823" s="287"/>
      <c r="M1823" s="283"/>
      <c r="N1823" s="282"/>
      <c r="O1823" s="284"/>
      <c r="P1823" s="280"/>
      <c r="Q1823" s="315"/>
      <c r="R1823" s="272"/>
      <c r="S1823" s="272"/>
      <c r="T1823" s="272"/>
      <c r="U1823" s="272"/>
      <c r="V1823" s="272"/>
      <c r="W1823" s="272"/>
      <c r="X1823" s="272"/>
      <c r="Y1823" s="272"/>
      <c r="Z1823" s="272"/>
      <c r="AA1823" s="272"/>
    </row>
    <row r="1824" spans="1:27">
      <c r="A1824" s="273"/>
      <c r="B1824" s="274"/>
      <c r="C1824" s="314"/>
      <c r="D1824" s="274"/>
      <c r="E1824" s="268"/>
      <c r="F1824" s="272"/>
      <c r="G1824" s="268"/>
      <c r="H1824" s="268"/>
      <c r="I1824" s="268"/>
      <c r="J1824" s="272"/>
      <c r="K1824" s="268"/>
      <c r="L1824" s="287"/>
      <c r="M1824" s="283"/>
      <c r="N1824" s="282"/>
      <c r="O1824" s="284"/>
      <c r="P1824" s="280"/>
      <c r="Q1824" s="315"/>
      <c r="R1824" s="272"/>
      <c r="S1824" s="272"/>
      <c r="T1824" s="272"/>
      <c r="U1824" s="272"/>
      <c r="V1824" s="272"/>
      <c r="W1824" s="272"/>
      <c r="X1824" s="272"/>
      <c r="Y1824" s="272"/>
      <c r="Z1824" s="272"/>
      <c r="AA1824" s="272"/>
    </row>
    <row r="1825" spans="1:27">
      <c r="A1825" s="273"/>
      <c r="B1825" s="274"/>
      <c r="C1825" s="314"/>
      <c r="D1825" s="274"/>
      <c r="E1825" s="268"/>
      <c r="F1825" s="272"/>
      <c r="G1825" s="268"/>
      <c r="H1825" s="268"/>
      <c r="I1825" s="268"/>
      <c r="J1825" s="272"/>
      <c r="K1825" s="268"/>
      <c r="L1825" s="287"/>
      <c r="M1825" s="283"/>
      <c r="N1825" s="282"/>
      <c r="O1825" s="284"/>
      <c r="P1825" s="280"/>
      <c r="Q1825" s="315"/>
      <c r="R1825" s="272"/>
      <c r="S1825" s="272"/>
      <c r="T1825" s="272"/>
      <c r="U1825" s="272"/>
      <c r="V1825" s="272"/>
      <c r="W1825" s="272"/>
      <c r="X1825" s="272"/>
      <c r="Y1825" s="272"/>
      <c r="Z1825" s="272"/>
      <c r="AA1825" s="272"/>
    </row>
    <row r="1826" spans="1:27">
      <c r="A1826" s="273"/>
      <c r="B1826" s="274"/>
      <c r="C1826" s="314"/>
      <c r="D1826" s="274"/>
      <c r="E1826" s="268"/>
      <c r="F1826" s="272"/>
      <c r="G1826" s="268"/>
      <c r="H1826" s="268"/>
      <c r="I1826" s="268"/>
      <c r="J1826" s="272"/>
      <c r="K1826" s="268"/>
      <c r="L1826" s="287"/>
      <c r="M1826" s="283"/>
      <c r="N1826" s="282"/>
      <c r="O1826" s="284"/>
      <c r="P1826" s="280"/>
      <c r="Q1826" s="315"/>
      <c r="R1826" s="272"/>
      <c r="S1826" s="272"/>
      <c r="T1826" s="272"/>
      <c r="U1826" s="272"/>
      <c r="V1826" s="272"/>
      <c r="W1826" s="272"/>
      <c r="X1826" s="272"/>
      <c r="Y1826" s="272"/>
      <c r="Z1826" s="272"/>
      <c r="AA1826" s="272"/>
    </row>
    <row r="1827" spans="1:27">
      <c r="A1827" s="273"/>
      <c r="B1827" s="274"/>
      <c r="C1827" s="314"/>
      <c r="D1827" s="274"/>
      <c r="E1827" s="268"/>
      <c r="F1827" s="272"/>
      <c r="G1827" s="268"/>
      <c r="H1827" s="268"/>
      <c r="I1827" s="268"/>
      <c r="J1827" s="272"/>
      <c r="K1827" s="268"/>
      <c r="L1827" s="287"/>
      <c r="M1827" s="283"/>
      <c r="N1827" s="282"/>
      <c r="O1827" s="284"/>
      <c r="P1827" s="280"/>
      <c r="Q1827" s="315"/>
      <c r="R1827" s="272"/>
      <c r="S1827" s="272"/>
      <c r="T1827" s="272"/>
      <c r="U1827" s="272"/>
      <c r="V1827" s="272"/>
      <c r="W1827" s="272"/>
      <c r="X1827" s="272"/>
      <c r="Y1827" s="272"/>
      <c r="Z1827" s="272"/>
      <c r="AA1827" s="272"/>
    </row>
    <row r="1828" spans="1:27">
      <c r="A1828" s="273"/>
      <c r="B1828" s="274"/>
      <c r="C1828" s="314"/>
      <c r="D1828" s="274"/>
      <c r="E1828" s="268"/>
      <c r="F1828" s="272"/>
      <c r="G1828" s="268"/>
      <c r="H1828" s="268"/>
      <c r="I1828" s="268"/>
      <c r="J1828" s="272"/>
      <c r="K1828" s="268"/>
      <c r="L1828" s="287"/>
      <c r="M1828" s="283"/>
      <c r="N1828" s="282"/>
      <c r="O1828" s="284"/>
      <c r="P1828" s="280"/>
      <c r="Q1828" s="315"/>
      <c r="R1828" s="272"/>
      <c r="S1828" s="272"/>
      <c r="T1828" s="272"/>
      <c r="U1828" s="272"/>
      <c r="V1828" s="272"/>
      <c r="W1828" s="272"/>
      <c r="X1828" s="272"/>
      <c r="Y1828" s="272"/>
      <c r="Z1828" s="272"/>
      <c r="AA1828" s="272"/>
    </row>
    <row r="1829" spans="1:27">
      <c r="A1829" s="273"/>
      <c r="B1829" s="274"/>
      <c r="C1829" s="314"/>
      <c r="D1829" s="274"/>
      <c r="E1829" s="268"/>
      <c r="F1829" s="272"/>
      <c r="G1829" s="268"/>
      <c r="H1829" s="268"/>
      <c r="I1829" s="268"/>
      <c r="J1829" s="272"/>
      <c r="K1829" s="268"/>
      <c r="L1829" s="287"/>
      <c r="M1829" s="283"/>
      <c r="N1829" s="282"/>
      <c r="O1829" s="284"/>
      <c r="P1829" s="280"/>
      <c r="Q1829" s="315"/>
      <c r="R1829" s="272"/>
      <c r="S1829" s="272"/>
      <c r="T1829" s="272"/>
      <c r="U1829" s="272"/>
      <c r="V1829" s="272"/>
      <c r="W1829" s="272"/>
      <c r="X1829" s="272"/>
      <c r="Y1829" s="272"/>
      <c r="Z1829" s="272"/>
      <c r="AA1829" s="272"/>
    </row>
    <row r="1830" spans="1:27">
      <c r="A1830" s="273"/>
      <c r="B1830" s="274"/>
      <c r="C1830" s="314"/>
      <c r="D1830" s="274"/>
      <c r="E1830" s="268"/>
      <c r="F1830" s="272"/>
      <c r="G1830" s="268"/>
      <c r="H1830" s="268"/>
      <c r="I1830" s="268"/>
      <c r="J1830" s="272"/>
      <c r="K1830" s="268"/>
      <c r="L1830" s="287"/>
      <c r="M1830" s="283"/>
      <c r="N1830" s="282"/>
      <c r="O1830" s="284"/>
      <c r="P1830" s="280"/>
      <c r="Q1830" s="315"/>
      <c r="R1830" s="272"/>
      <c r="S1830" s="272"/>
      <c r="T1830" s="272"/>
      <c r="U1830" s="272"/>
      <c r="V1830" s="272"/>
      <c r="W1830" s="272"/>
      <c r="X1830" s="272"/>
      <c r="Y1830" s="272"/>
      <c r="Z1830" s="272"/>
      <c r="AA1830" s="272"/>
    </row>
    <row r="1831" spans="1:27">
      <c r="A1831" s="273"/>
      <c r="B1831" s="274"/>
      <c r="C1831" s="314"/>
      <c r="D1831" s="274"/>
      <c r="E1831" s="268"/>
      <c r="F1831" s="272"/>
      <c r="G1831" s="268"/>
      <c r="H1831" s="268"/>
      <c r="I1831" s="268"/>
      <c r="J1831" s="272"/>
      <c r="K1831" s="268"/>
      <c r="L1831" s="287"/>
      <c r="M1831" s="283"/>
      <c r="N1831" s="282"/>
      <c r="O1831" s="284"/>
      <c r="P1831" s="280"/>
      <c r="Q1831" s="315"/>
      <c r="R1831" s="272"/>
      <c r="S1831" s="272"/>
      <c r="T1831" s="272"/>
      <c r="U1831" s="272"/>
      <c r="V1831" s="272"/>
      <c r="W1831" s="272"/>
      <c r="X1831" s="272"/>
      <c r="Y1831" s="272"/>
      <c r="Z1831" s="272"/>
      <c r="AA1831" s="272"/>
    </row>
    <row r="1832" spans="1:27">
      <c r="A1832" s="273"/>
      <c r="B1832" s="274"/>
      <c r="C1832" s="314"/>
      <c r="D1832" s="274"/>
      <c r="E1832" s="268"/>
      <c r="F1832" s="272"/>
      <c r="G1832" s="268"/>
      <c r="H1832" s="268"/>
      <c r="I1832" s="268"/>
      <c r="J1832" s="272"/>
      <c r="K1832" s="268"/>
      <c r="L1832" s="287"/>
      <c r="M1832" s="283"/>
      <c r="N1832" s="282"/>
      <c r="O1832" s="284"/>
      <c r="P1832" s="280"/>
      <c r="Q1832" s="315"/>
      <c r="R1832" s="272"/>
      <c r="S1832" s="272"/>
      <c r="T1832" s="272"/>
      <c r="U1832" s="272"/>
      <c r="V1832" s="272"/>
      <c r="W1832" s="272"/>
      <c r="X1832" s="272"/>
      <c r="Y1832" s="272"/>
      <c r="Z1832" s="272"/>
      <c r="AA1832" s="272"/>
    </row>
    <row r="1833" spans="1:27">
      <c r="A1833" s="273"/>
      <c r="B1833" s="274"/>
      <c r="C1833" s="314"/>
      <c r="D1833" s="274"/>
      <c r="E1833" s="268"/>
      <c r="F1833" s="272"/>
      <c r="G1833" s="268"/>
      <c r="H1833" s="268"/>
      <c r="I1833" s="268"/>
      <c r="J1833" s="272"/>
      <c r="K1833" s="268"/>
      <c r="L1833" s="287"/>
      <c r="M1833" s="283"/>
      <c r="N1833" s="282"/>
      <c r="O1833" s="284"/>
      <c r="P1833" s="280"/>
      <c r="Q1833" s="315"/>
      <c r="R1833" s="272"/>
      <c r="S1833" s="272"/>
      <c r="T1833" s="272"/>
      <c r="U1833" s="272"/>
      <c r="V1833" s="272"/>
      <c r="W1833" s="272"/>
      <c r="X1833" s="272"/>
      <c r="Y1833" s="272"/>
      <c r="Z1833" s="272"/>
      <c r="AA1833" s="272"/>
    </row>
    <row r="1834" spans="1:27">
      <c r="A1834" s="273"/>
      <c r="B1834" s="274"/>
      <c r="C1834" s="314"/>
      <c r="D1834" s="274"/>
      <c r="E1834" s="268"/>
      <c r="F1834" s="272"/>
      <c r="G1834" s="268"/>
      <c r="H1834" s="268"/>
      <c r="I1834" s="268"/>
      <c r="J1834" s="272"/>
      <c r="K1834" s="268"/>
      <c r="L1834" s="287"/>
      <c r="M1834" s="283"/>
      <c r="N1834" s="282"/>
      <c r="O1834" s="284"/>
      <c r="P1834" s="280"/>
      <c r="Q1834" s="315"/>
      <c r="R1834" s="272"/>
      <c r="S1834" s="272"/>
      <c r="T1834" s="272"/>
      <c r="U1834" s="272"/>
      <c r="V1834" s="272"/>
      <c r="W1834" s="272"/>
      <c r="X1834" s="272"/>
      <c r="Y1834" s="272"/>
      <c r="Z1834" s="272"/>
      <c r="AA1834" s="272"/>
    </row>
    <row r="1835" spans="1:27">
      <c r="A1835" s="273"/>
      <c r="B1835" s="274"/>
      <c r="C1835" s="314"/>
      <c r="D1835" s="274"/>
      <c r="E1835" s="268"/>
      <c r="F1835" s="272"/>
      <c r="G1835" s="268"/>
      <c r="H1835" s="268"/>
      <c r="I1835" s="268"/>
      <c r="J1835" s="272"/>
      <c r="K1835" s="268"/>
      <c r="L1835" s="287"/>
      <c r="M1835" s="283"/>
      <c r="N1835" s="282"/>
      <c r="O1835" s="284"/>
      <c r="P1835" s="280"/>
      <c r="Q1835" s="315"/>
      <c r="R1835" s="272"/>
      <c r="S1835" s="272"/>
      <c r="T1835" s="272"/>
      <c r="U1835" s="272"/>
      <c r="V1835" s="272"/>
      <c r="W1835" s="272"/>
      <c r="X1835" s="272"/>
      <c r="Y1835" s="272"/>
      <c r="Z1835" s="272"/>
      <c r="AA1835" s="272"/>
    </row>
    <row r="1836" spans="1:27">
      <c r="A1836" s="273"/>
      <c r="B1836" s="274"/>
      <c r="C1836" s="314"/>
      <c r="D1836" s="274"/>
      <c r="E1836" s="268"/>
      <c r="F1836" s="272"/>
      <c r="G1836" s="268"/>
      <c r="H1836" s="268"/>
      <c r="I1836" s="268"/>
      <c r="J1836" s="272"/>
      <c r="K1836" s="268"/>
      <c r="L1836" s="287"/>
      <c r="M1836" s="283"/>
      <c r="N1836" s="282"/>
      <c r="O1836" s="284"/>
      <c r="P1836" s="280"/>
      <c r="Q1836" s="315"/>
      <c r="R1836" s="272"/>
      <c r="S1836" s="272"/>
      <c r="T1836" s="272"/>
      <c r="U1836" s="272"/>
      <c r="V1836" s="272"/>
      <c r="W1836" s="272"/>
      <c r="X1836" s="272"/>
      <c r="Y1836" s="272"/>
      <c r="Z1836" s="272"/>
      <c r="AA1836" s="272"/>
    </row>
    <row r="1837" spans="1:27">
      <c r="A1837" s="273"/>
      <c r="B1837" s="274"/>
      <c r="C1837" s="314"/>
      <c r="D1837" s="274"/>
      <c r="E1837" s="268"/>
      <c r="F1837" s="272"/>
      <c r="G1837" s="268"/>
      <c r="H1837" s="268"/>
      <c r="I1837" s="268"/>
      <c r="J1837" s="272"/>
      <c r="K1837" s="268"/>
      <c r="L1837" s="287"/>
      <c r="M1837" s="283"/>
      <c r="N1837" s="282"/>
      <c r="O1837" s="284"/>
      <c r="P1837" s="280"/>
      <c r="Q1837" s="315"/>
      <c r="R1837" s="272"/>
      <c r="S1837" s="272"/>
      <c r="T1837" s="272"/>
      <c r="U1837" s="272"/>
      <c r="V1837" s="272"/>
      <c r="W1837" s="272"/>
      <c r="X1837" s="272"/>
      <c r="Y1837" s="272"/>
      <c r="Z1837" s="272"/>
      <c r="AA1837" s="272"/>
    </row>
    <row r="1838" spans="1:27">
      <c r="A1838" s="273"/>
      <c r="B1838" s="274"/>
      <c r="C1838" s="314"/>
      <c r="D1838" s="274"/>
      <c r="E1838" s="268"/>
      <c r="F1838" s="272"/>
      <c r="G1838" s="268"/>
      <c r="H1838" s="268"/>
      <c r="I1838" s="268"/>
      <c r="J1838" s="272"/>
      <c r="K1838" s="268"/>
      <c r="L1838" s="287"/>
      <c r="M1838" s="283"/>
      <c r="N1838" s="282"/>
      <c r="O1838" s="284"/>
      <c r="P1838" s="280"/>
      <c r="Q1838" s="315"/>
      <c r="R1838" s="272"/>
      <c r="S1838" s="272"/>
      <c r="T1838" s="272"/>
      <c r="U1838" s="272"/>
      <c r="V1838" s="272"/>
      <c r="W1838" s="272"/>
      <c r="X1838" s="272"/>
      <c r="Y1838" s="272"/>
      <c r="Z1838" s="272"/>
      <c r="AA1838" s="272"/>
    </row>
    <row r="1839" spans="1:27">
      <c r="A1839" s="273"/>
      <c r="B1839" s="274"/>
      <c r="C1839" s="314"/>
      <c r="D1839" s="274"/>
      <c r="E1839" s="268"/>
      <c r="F1839" s="272"/>
      <c r="G1839" s="268"/>
      <c r="H1839" s="268"/>
      <c r="I1839" s="268"/>
      <c r="J1839" s="272"/>
      <c r="K1839" s="268"/>
      <c r="L1839" s="287"/>
      <c r="M1839" s="283"/>
      <c r="N1839" s="282"/>
      <c r="O1839" s="284"/>
      <c r="P1839" s="280"/>
      <c r="Q1839" s="315"/>
      <c r="R1839" s="272"/>
      <c r="S1839" s="272"/>
      <c r="T1839" s="272"/>
      <c r="U1839" s="272"/>
      <c r="V1839" s="272"/>
      <c r="W1839" s="272"/>
      <c r="X1839" s="272"/>
      <c r="Y1839" s="272"/>
      <c r="Z1839" s="272"/>
      <c r="AA1839" s="272"/>
    </row>
    <row r="1840" spans="1:27">
      <c r="A1840" s="273"/>
      <c r="B1840" s="274"/>
      <c r="C1840" s="314"/>
      <c r="D1840" s="274"/>
      <c r="E1840" s="268"/>
      <c r="F1840" s="272"/>
      <c r="G1840" s="268"/>
      <c r="H1840" s="268"/>
      <c r="I1840" s="268"/>
      <c r="J1840" s="272"/>
      <c r="K1840" s="268"/>
      <c r="L1840" s="287"/>
      <c r="M1840" s="283"/>
      <c r="N1840" s="282"/>
      <c r="O1840" s="284"/>
      <c r="P1840" s="280"/>
      <c r="Q1840" s="315"/>
      <c r="R1840" s="272"/>
      <c r="S1840" s="272"/>
      <c r="T1840" s="272"/>
      <c r="U1840" s="272"/>
      <c r="V1840" s="272"/>
      <c r="W1840" s="272"/>
      <c r="X1840" s="272"/>
      <c r="Y1840" s="272"/>
      <c r="Z1840" s="272"/>
      <c r="AA1840" s="272"/>
    </row>
    <row r="1841" spans="1:27">
      <c r="A1841" s="273"/>
      <c r="B1841" s="274"/>
      <c r="C1841" s="314"/>
      <c r="D1841" s="274"/>
      <c r="E1841" s="268"/>
      <c r="F1841" s="272"/>
      <c r="G1841" s="268"/>
      <c r="H1841" s="268"/>
      <c r="I1841" s="268"/>
      <c r="J1841" s="272"/>
      <c r="K1841" s="268"/>
      <c r="L1841" s="287"/>
      <c r="M1841" s="283"/>
      <c r="N1841" s="282"/>
      <c r="O1841" s="284"/>
      <c r="P1841" s="280"/>
      <c r="Q1841" s="315"/>
      <c r="R1841" s="272"/>
      <c r="S1841" s="272"/>
      <c r="T1841" s="272"/>
      <c r="U1841" s="272"/>
      <c r="V1841" s="272"/>
      <c r="W1841" s="272"/>
      <c r="X1841" s="272"/>
      <c r="Y1841" s="272"/>
      <c r="Z1841" s="272"/>
      <c r="AA1841" s="272"/>
    </row>
    <row r="1842" spans="1:27">
      <c r="A1842" s="273"/>
      <c r="B1842" s="274"/>
      <c r="C1842" s="314"/>
      <c r="D1842" s="274"/>
      <c r="E1842" s="268"/>
      <c r="F1842" s="272"/>
      <c r="G1842" s="268"/>
      <c r="H1842" s="268"/>
      <c r="I1842" s="268"/>
      <c r="J1842" s="272"/>
      <c r="K1842" s="268"/>
      <c r="L1842" s="287"/>
      <c r="M1842" s="283"/>
      <c r="N1842" s="282"/>
      <c r="O1842" s="284"/>
      <c r="P1842" s="280"/>
      <c r="Q1842" s="315"/>
      <c r="R1842" s="272"/>
      <c r="S1842" s="272"/>
      <c r="T1842" s="272"/>
      <c r="U1842" s="272"/>
      <c r="V1842" s="272"/>
      <c r="W1842" s="272"/>
      <c r="X1842" s="272"/>
      <c r="Y1842" s="272"/>
      <c r="Z1842" s="272"/>
      <c r="AA1842" s="272"/>
    </row>
    <row r="1843" spans="1:27">
      <c r="A1843" s="273"/>
      <c r="B1843" s="274"/>
      <c r="C1843" s="314"/>
      <c r="D1843" s="274"/>
      <c r="E1843" s="268"/>
      <c r="F1843" s="272"/>
      <c r="G1843" s="268"/>
      <c r="H1843" s="268"/>
      <c r="I1843" s="268"/>
      <c r="J1843" s="272"/>
      <c r="K1843" s="268"/>
      <c r="L1843" s="287"/>
      <c r="M1843" s="283"/>
      <c r="N1843" s="282"/>
      <c r="O1843" s="284"/>
      <c r="P1843" s="280"/>
      <c r="Q1843" s="315"/>
      <c r="R1843" s="272"/>
      <c r="S1843" s="272"/>
      <c r="T1843" s="272"/>
      <c r="U1843" s="272"/>
      <c r="V1843" s="272"/>
      <c r="W1843" s="272"/>
      <c r="X1843" s="272"/>
      <c r="Y1843" s="272"/>
      <c r="Z1843" s="272"/>
      <c r="AA1843" s="272"/>
    </row>
    <row r="1844" spans="1:27">
      <c r="A1844" s="273"/>
      <c r="B1844" s="274"/>
      <c r="C1844" s="314"/>
      <c r="D1844" s="274"/>
      <c r="E1844" s="268"/>
      <c r="F1844" s="272"/>
      <c r="G1844" s="268"/>
      <c r="H1844" s="268"/>
      <c r="I1844" s="268"/>
      <c r="J1844" s="272"/>
      <c r="K1844" s="268"/>
      <c r="L1844" s="287"/>
      <c r="M1844" s="283"/>
      <c r="N1844" s="282"/>
      <c r="O1844" s="284"/>
      <c r="P1844" s="280"/>
      <c r="Q1844" s="315"/>
      <c r="R1844" s="272"/>
      <c r="S1844" s="272"/>
      <c r="T1844" s="272"/>
      <c r="U1844" s="272"/>
      <c r="V1844" s="272"/>
      <c r="W1844" s="272"/>
      <c r="X1844" s="272"/>
      <c r="Y1844" s="272"/>
      <c r="Z1844" s="272"/>
      <c r="AA1844" s="272"/>
    </row>
    <row r="1845" spans="1:27">
      <c r="A1845" s="273"/>
      <c r="B1845" s="274"/>
      <c r="C1845" s="314"/>
      <c r="D1845" s="274"/>
      <c r="E1845" s="268"/>
      <c r="F1845" s="272"/>
      <c r="G1845" s="268"/>
      <c r="H1845" s="268"/>
      <c r="I1845" s="268"/>
      <c r="J1845" s="272"/>
      <c r="K1845" s="268"/>
      <c r="L1845" s="287"/>
      <c r="M1845" s="283"/>
      <c r="N1845" s="282"/>
      <c r="O1845" s="284"/>
      <c r="P1845" s="280"/>
      <c r="Q1845" s="315"/>
      <c r="R1845" s="272"/>
      <c r="S1845" s="272"/>
      <c r="T1845" s="272"/>
      <c r="U1845" s="272"/>
      <c r="V1845" s="272"/>
      <c r="W1845" s="272"/>
      <c r="X1845" s="272"/>
      <c r="Y1845" s="272"/>
      <c r="Z1845" s="272"/>
      <c r="AA1845" s="272"/>
    </row>
    <row r="1846" spans="1:27">
      <c r="A1846" s="273"/>
      <c r="B1846" s="274"/>
      <c r="C1846" s="314"/>
      <c r="D1846" s="274"/>
      <c r="E1846" s="268"/>
      <c r="F1846" s="272"/>
      <c r="G1846" s="268"/>
      <c r="H1846" s="268"/>
      <c r="I1846" s="268"/>
      <c r="J1846" s="272"/>
      <c r="K1846" s="268"/>
      <c r="L1846" s="287"/>
      <c r="M1846" s="283"/>
      <c r="N1846" s="282"/>
      <c r="O1846" s="284"/>
      <c r="P1846" s="280"/>
      <c r="Q1846" s="315"/>
      <c r="R1846" s="272"/>
      <c r="S1846" s="272"/>
      <c r="T1846" s="272"/>
      <c r="U1846" s="272"/>
      <c r="V1846" s="272"/>
      <c r="W1846" s="272"/>
      <c r="X1846" s="272"/>
      <c r="Y1846" s="272"/>
      <c r="Z1846" s="272"/>
      <c r="AA1846" s="272"/>
    </row>
    <row r="1847" spans="1:27">
      <c r="A1847" s="273"/>
      <c r="B1847" s="274"/>
      <c r="C1847" s="314"/>
      <c r="D1847" s="274"/>
      <c r="E1847" s="268"/>
      <c r="F1847" s="272"/>
      <c r="G1847" s="268"/>
      <c r="H1847" s="268"/>
      <c r="I1847" s="268"/>
      <c r="J1847" s="272"/>
      <c r="K1847" s="268"/>
      <c r="L1847" s="287"/>
      <c r="M1847" s="283"/>
      <c r="N1847" s="282"/>
      <c r="O1847" s="284"/>
      <c r="P1847" s="280"/>
      <c r="Q1847" s="315"/>
      <c r="R1847" s="272"/>
      <c r="S1847" s="272"/>
      <c r="T1847" s="272"/>
      <c r="U1847" s="272"/>
      <c r="V1847" s="272"/>
      <c r="W1847" s="272"/>
      <c r="X1847" s="272"/>
      <c r="Y1847" s="272"/>
      <c r="Z1847" s="272"/>
      <c r="AA1847" s="272"/>
    </row>
    <row r="1848" spans="1:27">
      <c r="A1848" s="273"/>
      <c r="B1848" s="274"/>
      <c r="C1848" s="314"/>
      <c r="D1848" s="274"/>
      <c r="E1848" s="268"/>
      <c r="F1848" s="272"/>
      <c r="G1848" s="268"/>
      <c r="H1848" s="268"/>
      <c r="I1848" s="268"/>
      <c r="J1848" s="272"/>
      <c r="K1848" s="268"/>
      <c r="L1848" s="287"/>
      <c r="M1848" s="283"/>
      <c r="N1848" s="282"/>
      <c r="O1848" s="284"/>
      <c r="P1848" s="280"/>
      <c r="Q1848" s="315"/>
      <c r="R1848" s="272"/>
      <c r="S1848" s="272"/>
      <c r="T1848" s="272"/>
      <c r="U1848" s="272"/>
      <c r="V1848" s="272"/>
      <c r="W1848" s="272"/>
      <c r="X1848" s="272"/>
      <c r="Y1848" s="272"/>
      <c r="Z1848" s="272"/>
      <c r="AA1848" s="272"/>
    </row>
    <row r="1849" spans="1:27">
      <c r="A1849" s="273"/>
      <c r="B1849" s="274"/>
      <c r="C1849" s="314"/>
      <c r="D1849" s="274"/>
      <c r="E1849" s="268"/>
      <c r="F1849" s="272"/>
      <c r="G1849" s="268"/>
      <c r="H1849" s="268"/>
      <c r="I1849" s="268"/>
      <c r="J1849" s="272"/>
      <c r="K1849" s="268"/>
      <c r="L1849" s="287"/>
      <c r="M1849" s="283"/>
      <c r="N1849" s="282"/>
      <c r="O1849" s="284"/>
      <c r="P1849" s="280"/>
      <c r="Q1849" s="315"/>
      <c r="R1849" s="272"/>
      <c r="S1849" s="272"/>
      <c r="T1849" s="272"/>
      <c r="U1849" s="272"/>
      <c r="V1849" s="272"/>
      <c r="W1849" s="272"/>
      <c r="X1849" s="272"/>
      <c r="Y1849" s="272"/>
      <c r="Z1849" s="272"/>
      <c r="AA1849" s="272"/>
    </row>
    <row r="1850" spans="1:27">
      <c r="A1850" s="273"/>
      <c r="B1850" s="274"/>
      <c r="C1850" s="314"/>
      <c r="D1850" s="274"/>
      <c r="E1850" s="268"/>
      <c r="F1850" s="272"/>
      <c r="G1850" s="268"/>
      <c r="H1850" s="268"/>
      <c r="I1850" s="268"/>
      <c r="J1850" s="272"/>
      <c r="K1850" s="268"/>
      <c r="L1850" s="287"/>
      <c r="M1850" s="283"/>
      <c r="N1850" s="282"/>
      <c r="O1850" s="284"/>
      <c r="P1850" s="280"/>
      <c r="Q1850" s="315"/>
      <c r="R1850" s="272"/>
      <c r="S1850" s="272"/>
      <c r="T1850" s="272"/>
      <c r="U1850" s="272"/>
      <c r="V1850" s="272"/>
      <c r="W1850" s="272"/>
      <c r="X1850" s="272"/>
      <c r="Y1850" s="272"/>
      <c r="Z1850" s="272"/>
      <c r="AA1850" s="272"/>
    </row>
    <row r="1851" spans="1:27">
      <c r="A1851" s="273"/>
      <c r="B1851" s="274"/>
      <c r="C1851" s="314"/>
      <c r="D1851" s="274"/>
      <c r="E1851" s="268"/>
      <c r="F1851" s="272"/>
      <c r="G1851" s="268"/>
      <c r="H1851" s="268"/>
      <c r="I1851" s="268"/>
      <c r="J1851" s="272"/>
      <c r="K1851" s="268"/>
      <c r="L1851" s="287"/>
      <c r="M1851" s="283"/>
      <c r="N1851" s="282"/>
      <c r="O1851" s="284"/>
      <c r="P1851" s="280"/>
      <c r="Q1851" s="315"/>
      <c r="R1851" s="272"/>
      <c r="S1851" s="272"/>
      <c r="T1851" s="272"/>
      <c r="U1851" s="272"/>
      <c r="V1851" s="272"/>
      <c r="W1851" s="272"/>
      <c r="X1851" s="272"/>
      <c r="Y1851" s="272"/>
      <c r="Z1851" s="272"/>
      <c r="AA1851" s="272"/>
    </row>
    <row r="1852" spans="1:27">
      <c r="A1852" s="273"/>
      <c r="B1852" s="274"/>
      <c r="C1852" s="314"/>
      <c r="D1852" s="274"/>
      <c r="E1852" s="268"/>
      <c r="F1852" s="272"/>
      <c r="G1852" s="268"/>
      <c r="H1852" s="268"/>
      <c r="I1852" s="268"/>
      <c r="J1852" s="272"/>
      <c r="K1852" s="268"/>
      <c r="L1852" s="287"/>
      <c r="M1852" s="283"/>
      <c r="N1852" s="282"/>
      <c r="O1852" s="284"/>
      <c r="P1852" s="280"/>
      <c r="Q1852" s="315"/>
      <c r="R1852" s="272"/>
      <c r="S1852" s="272"/>
      <c r="T1852" s="272"/>
      <c r="U1852" s="272"/>
      <c r="V1852" s="272"/>
      <c r="W1852" s="272"/>
      <c r="X1852" s="272"/>
      <c r="Y1852" s="272"/>
      <c r="Z1852" s="272"/>
      <c r="AA1852" s="272"/>
    </row>
    <row r="1853" spans="1:27">
      <c r="A1853" s="273"/>
      <c r="B1853" s="274"/>
      <c r="C1853" s="314"/>
      <c r="D1853" s="274"/>
      <c r="E1853" s="268"/>
      <c r="F1853" s="272"/>
      <c r="G1853" s="268"/>
      <c r="H1853" s="268"/>
      <c r="I1853" s="268"/>
      <c r="J1853" s="272"/>
      <c r="K1853" s="268"/>
      <c r="L1853" s="287"/>
      <c r="M1853" s="283"/>
      <c r="N1853" s="282"/>
      <c r="O1853" s="284"/>
      <c r="P1853" s="280"/>
      <c r="Q1853" s="315"/>
      <c r="R1853" s="272"/>
      <c r="S1853" s="272"/>
      <c r="T1853" s="272"/>
      <c r="U1853" s="272"/>
      <c r="V1853" s="272"/>
      <c r="W1853" s="272"/>
      <c r="X1853" s="272"/>
      <c r="Y1853" s="272"/>
      <c r="Z1853" s="272"/>
      <c r="AA1853" s="272"/>
    </row>
    <row r="1854" spans="1:27">
      <c r="A1854" s="273"/>
      <c r="B1854" s="274"/>
      <c r="C1854" s="314"/>
      <c r="D1854" s="274"/>
      <c r="E1854" s="268"/>
      <c r="F1854" s="272"/>
      <c r="G1854" s="268"/>
      <c r="H1854" s="268"/>
      <c r="I1854" s="268"/>
      <c r="J1854" s="272"/>
      <c r="K1854" s="268"/>
      <c r="L1854" s="287"/>
      <c r="M1854" s="283"/>
      <c r="N1854" s="282"/>
      <c r="O1854" s="284"/>
      <c r="P1854" s="280"/>
      <c r="Q1854" s="315"/>
      <c r="R1854" s="272"/>
      <c r="S1854" s="272"/>
      <c r="T1854" s="272"/>
      <c r="U1854" s="272"/>
      <c r="V1854" s="272"/>
      <c r="W1854" s="272"/>
      <c r="X1854" s="272"/>
      <c r="Y1854" s="272"/>
      <c r="Z1854" s="272"/>
      <c r="AA1854" s="272"/>
    </row>
    <row r="1855" spans="1:27">
      <c r="A1855" s="273"/>
      <c r="B1855" s="274"/>
      <c r="C1855" s="314"/>
      <c r="D1855" s="274"/>
      <c r="E1855" s="268"/>
      <c r="F1855" s="272"/>
      <c r="G1855" s="268"/>
      <c r="H1855" s="268"/>
      <c r="I1855" s="268"/>
      <c r="J1855" s="272"/>
      <c r="K1855" s="268"/>
      <c r="L1855" s="287"/>
      <c r="M1855" s="283"/>
      <c r="N1855" s="282"/>
      <c r="O1855" s="284"/>
      <c r="P1855" s="280"/>
      <c r="Q1855" s="315"/>
      <c r="R1855" s="272"/>
      <c r="S1855" s="272"/>
      <c r="T1855" s="272"/>
      <c r="U1855" s="272"/>
      <c r="V1855" s="272"/>
      <c r="W1855" s="272"/>
      <c r="X1855" s="272"/>
      <c r="Y1855" s="272"/>
      <c r="Z1855" s="272"/>
      <c r="AA1855" s="272"/>
    </row>
    <row r="1856" spans="1:27">
      <c r="A1856" s="273"/>
      <c r="B1856" s="274"/>
      <c r="C1856" s="314"/>
      <c r="D1856" s="274"/>
      <c r="E1856" s="268"/>
      <c r="F1856" s="272"/>
      <c r="G1856" s="268"/>
      <c r="H1856" s="268"/>
      <c r="I1856" s="268"/>
      <c r="J1856" s="272"/>
      <c r="K1856" s="268"/>
      <c r="L1856" s="287"/>
      <c r="M1856" s="283"/>
      <c r="N1856" s="282"/>
      <c r="O1856" s="284"/>
      <c r="P1856" s="280"/>
      <c r="Q1856" s="315"/>
      <c r="R1856" s="272"/>
      <c r="S1856" s="272"/>
      <c r="T1856" s="272"/>
      <c r="U1856" s="272"/>
      <c r="V1856" s="272"/>
      <c r="W1856" s="272"/>
      <c r="X1856" s="272"/>
      <c r="Y1856" s="272"/>
      <c r="Z1856" s="272"/>
      <c r="AA1856" s="272"/>
    </row>
    <row r="1857" spans="1:27">
      <c r="A1857" s="273"/>
      <c r="B1857" s="274"/>
      <c r="C1857" s="314"/>
      <c r="D1857" s="274"/>
      <c r="E1857" s="268"/>
      <c r="F1857" s="272"/>
      <c r="G1857" s="268"/>
      <c r="H1857" s="268"/>
      <c r="I1857" s="268"/>
      <c r="J1857" s="272"/>
      <c r="K1857" s="268"/>
      <c r="L1857" s="287"/>
      <c r="M1857" s="283"/>
      <c r="N1857" s="282"/>
      <c r="O1857" s="284"/>
      <c r="P1857" s="280"/>
      <c r="Q1857" s="315"/>
      <c r="R1857" s="272"/>
      <c r="S1857" s="272"/>
      <c r="T1857" s="272"/>
      <c r="U1857" s="272"/>
      <c r="V1857" s="272"/>
      <c r="W1857" s="272"/>
      <c r="X1857" s="272"/>
      <c r="Y1857" s="272"/>
      <c r="Z1857" s="272"/>
      <c r="AA1857" s="272"/>
    </row>
    <row r="1858" spans="1:27">
      <c r="A1858" s="273"/>
      <c r="B1858" s="274"/>
      <c r="C1858" s="314"/>
      <c r="D1858" s="274"/>
      <c r="E1858" s="268"/>
      <c r="F1858" s="272"/>
      <c r="G1858" s="268"/>
      <c r="H1858" s="268"/>
      <c r="I1858" s="268"/>
      <c r="J1858" s="272"/>
      <c r="K1858" s="268"/>
      <c r="L1858" s="287"/>
      <c r="M1858" s="283"/>
      <c r="N1858" s="282"/>
      <c r="O1858" s="284"/>
      <c r="P1858" s="280"/>
      <c r="Q1858" s="315"/>
      <c r="R1858" s="272"/>
      <c r="S1858" s="272"/>
      <c r="T1858" s="272"/>
      <c r="U1858" s="272"/>
      <c r="V1858" s="272"/>
      <c r="W1858" s="272"/>
      <c r="X1858" s="272"/>
      <c r="Y1858" s="272"/>
      <c r="Z1858" s="272"/>
      <c r="AA1858" s="272"/>
    </row>
    <row r="1859" spans="1:27">
      <c r="A1859" s="273"/>
      <c r="B1859" s="274"/>
      <c r="C1859" s="314"/>
      <c r="D1859" s="274"/>
      <c r="E1859" s="268"/>
      <c r="F1859" s="272"/>
      <c r="G1859" s="268"/>
      <c r="H1859" s="268"/>
      <c r="I1859" s="268"/>
      <c r="J1859" s="272"/>
      <c r="K1859" s="268"/>
      <c r="L1859" s="287"/>
      <c r="M1859" s="283"/>
      <c r="N1859" s="282"/>
      <c r="O1859" s="284"/>
      <c r="P1859" s="280"/>
      <c r="Q1859" s="315"/>
      <c r="R1859" s="272"/>
      <c r="S1859" s="272"/>
      <c r="T1859" s="272"/>
      <c r="U1859" s="272"/>
      <c r="V1859" s="272"/>
      <c r="W1859" s="272"/>
      <c r="X1859" s="272"/>
      <c r="Y1859" s="272"/>
      <c r="Z1859" s="272"/>
      <c r="AA1859" s="272"/>
    </row>
    <row r="1860" spans="1:27">
      <c r="A1860" s="273"/>
      <c r="B1860" s="274"/>
      <c r="C1860" s="314"/>
      <c r="D1860" s="274"/>
      <c r="E1860" s="268"/>
      <c r="F1860" s="272"/>
      <c r="G1860" s="268"/>
      <c r="H1860" s="268"/>
      <c r="I1860" s="268"/>
      <c r="J1860" s="272"/>
      <c r="K1860" s="268"/>
      <c r="L1860" s="287"/>
      <c r="M1860" s="283"/>
      <c r="N1860" s="282"/>
      <c r="O1860" s="284"/>
      <c r="P1860" s="280"/>
      <c r="Q1860" s="315"/>
      <c r="R1860" s="272"/>
      <c r="S1860" s="272"/>
      <c r="T1860" s="272"/>
      <c r="U1860" s="272"/>
      <c r="V1860" s="272"/>
      <c r="W1860" s="272"/>
      <c r="X1860" s="272"/>
      <c r="Y1860" s="272"/>
      <c r="Z1860" s="272"/>
      <c r="AA1860" s="272"/>
    </row>
    <row r="1861" spans="1:27">
      <c r="A1861" s="273"/>
      <c r="B1861" s="274"/>
      <c r="C1861" s="314"/>
      <c r="D1861" s="274"/>
      <c r="E1861" s="268"/>
      <c r="F1861" s="272"/>
      <c r="G1861" s="268"/>
      <c r="H1861" s="268"/>
      <c r="I1861" s="268"/>
      <c r="J1861" s="272"/>
      <c r="K1861" s="268"/>
      <c r="L1861" s="287"/>
      <c r="M1861" s="283"/>
      <c r="N1861" s="282"/>
      <c r="O1861" s="284"/>
      <c r="P1861" s="280"/>
      <c r="Q1861" s="315"/>
      <c r="R1861" s="272"/>
      <c r="S1861" s="272"/>
      <c r="T1861" s="272"/>
      <c r="U1861" s="272"/>
      <c r="V1861" s="272"/>
      <c r="W1861" s="272"/>
      <c r="X1861" s="272"/>
      <c r="Y1861" s="272"/>
      <c r="Z1861" s="272"/>
      <c r="AA1861" s="272"/>
    </row>
    <row r="1862" spans="1:27">
      <c r="A1862" s="273"/>
      <c r="B1862" s="274"/>
      <c r="C1862" s="314"/>
      <c r="D1862" s="274"/>
      <c r="E1862" s="268"/>
      <c r="F1862" s="272"/>
      <c r="G1862" s="268"/>
      <c r="H1862" s="268"/>
      <c r="I1862" s="268"/>
      <c r="J1862" s="272"/>
      <c r="K1862" s="268"/>
      <c r="L1862" s="287"/>
      <c r="M1862" s="283"/>
      <c r="N1862" s="282"/>
      <c r="O1862" s="284"/>
      <c r="P1862" s="280"/>
      <c r="Q1862" s="315"/>
      <c r="R1862" s="272"/>
      <c r="S1862" s="272"/>
      <c r="T1862" s="272"/>
      <c r="U1862" s="272"/>
      <c r="V1862" s="272"/>
      <c r="W1862" s="272"/>
      <c r="X1862" s="272"/>
      <c r="Y1862" s="272"/>
      <c r="Z1862" s="272"/>
      <c r="AA1862" s="272"/>
    </row>
    <row r="1863" spans="1:27">
      <c r="A1863" s="273"/>
      <c r="B1863" s="274"/>
      <c r="C1863" s="314"/>
      <c r="D1863" s="274"/>
      <c r="E1863" s="268"/>
      <c r="F1863" s="272"/>
      <c r="G1863" s="268"/>
      <c r="H1863" s="268"/>
      <c r="I1863" s="268"/>
      <c r="J1863" s="272"/>
      <c r="K1863" s="268"/>
      <c r="L1863" s="287"/>
      <c r="M1863" s="283"/>
      <c r="N1863" s="282"/>
      <c r="O1863" s="284"/>
      <c r="P1863" s="280"/>
      <c r="Q1863" s="315"/>
      <c r="R1863" s="272"/>
      <c r="S1863" s="272"/>
      <c r="T1863" s="272"/>
      <c r="U1863" s="272"/>
      <c r="V1863" s="272"/>
      <c r="W1863" s="272"/>
      <c r="X1863" s="272"/>
      <c r="Y1863" s="272"/>
      <c r="Z1863" s="272"/>
      <c r="AA1863" s="272"/>
    </row>
    <row r="1864" spans="1:27">
      <c r="A1864" s="273"/>
      <c r="B1864" s="274"/>
      <c r="C1864" s="314"/>
      <c r="D1864" s="274"/>
      <c r="E1864" s="268"/>
      <c r="F1864" s="272"/>
      <c r="G1864" s="268"/>
      <c r="H1864" s="268"/>
      <c r="I1864" s="268"/>
      <c r="J1864" s="272"/>
      <c r="K1864" s="268"/>
      <c r="L1864" s="287"/>
      <c r="M1864" s="283"/>
      <c r="N1864" s="282"/>
      <c r="O1864" s="284"/>
      <c r="P1864" s="280"/>
      <c r="Q1864" s="315"/>
      <c r="R1864" s="272"/>
      <c r="S1864" s="272"/>
      <c r="T1864" s="272"/>
      <c r="U1864" s="272"/>
      <c r="V1864" s="272"/>
      <c r="W1864" s="272"/>
      <c r="X1864" s="272"/>
      <c r="Y1864" s="272"/>
      <c r="Z1864" s="272"/>
      <c r="AA1864" s="272"/>
    </row>
    <row r="1865" spans="1:27">
      <c r="A1865" s="273"/>
      <c r="B1865" s="274"/>
      <c r="C1865" s="314"/>
      <c r="D1865" s="274"/>
      <c r="E1865" s="268"/>
      <c r="F1865" s="272"/>
      <c r="G1865" s="268"/>
      <c r="H1865" s="268"/>
      <c r="I1865" s="268"/>
      <c r="J1865" s="272"/>
      <c r="K1865" s="268"/>
      <c r="L1865" s="287"/>
      <c r="M1865" s="283"/>
      <c r="N1865" s="282"/>
      <c r="O1865" s="284"/>
      <c r="P1865" s="280"/>
      <c r="Q1865" s="315"/>
      <c r="R1865" s="272"/>
      <c r="S1865" s="272"/>
      <c r="T1865" s="272"/>
      <c r="U1865" s="272"/>
      <c r="V1865" s="272"/>
      <c r="W1865" s="272"/>
      <c r="X1865" s="272"/>
      <c r="Y1865" s="272"/>
      <c r="Z1865" s="272"/>
      <c r="AA1865" s="272"/>
    </row>
    <row r="1866" spans="1:27">
      <c r="A1866" s="273"/>
      <c r="B1866" s="274"/>
      <c r="C1866" s="314"/>
      <c r="D1866" s="274"/>
      <c r="E1866" s="268"/>
      <c r="F1866" s="272"/>
      <c r="G1866" s="268"/>
      <c r="H1866" s="268"/>
      <c r="I1866" s="268"/>
      <c r="J1866" s="272"/>
      <c r="K1866" s="268"/>
      <c r="L1866" s="287"/>
      <c r="M1866" s="283"/>
      <c r="N1866" s="282"/>
      <c r="O1866" s="284"/>
      <c r="P1866" s="280"/>
      <c r="Q1866" s="315"/>
      <c r="R1866" s="272"/>
      <c r="S1866" s="272"/>
      <c r="T1866" s="272"/>
      <c r="U1866" s="272"/>
      <c r="V1866" s="272"/>
      <c r="W1866" s="272"/>
      <c r="X1866" s="272"/>
      <c r="Y1866" s="272"/>
      <c r="Z1866" s="272"/>
      <c r="AA1866" s="272"/>
    </row>
    <row r="1867" spans="1:27">
      <c r="A1867" s="273"/>
      <c r="B1867" s="274"/>
      <c r="C1867" s="314"/>
      <c r="D1867" s="274"/>
      <c r="E1867" s="268"/>
      <c r="F1867" s="272"/>
      <c r="G1867" s="268"/>
      <c r="H1867" s="268"/>
      <c r="I1867" s="268"/>
      <c r="J1867" s="272"/>
      <c r="K1867" s="268"/>
      <c r="L1867" s="287"/>
      <c r="M1867" s="283"/>
      <c r="N1867" s="282"/>
      <c r="O1867" s="284"/>
      <c r="P1867" s="280"/>
      <c r="Q1867" s="315"/>
      <c r="R1867" s="272"/>
      <c r="S1867" s="272"/>
      <c r="T1867" s="272"/>
      <c r="U1867" s="272"/>
      <c r="V1867" s="272"/>
      <c r="W1867" s="272"/>
      <c r="X1867" s="272"/>
      <c r="Y1867" s="272"/>
      <c r="Z1867" s="272"/>
      <c r="AA1867" s="272"/>
    </row>
    <row r="1868" spans="1:27">
      <c r="A1868" s="273"/>
      <c r="B1868" s="274"/>
      <c r="C1868" s="314"/>
      <c r="D1868" s="274"/>
      <c r="E1868" s="268"/>
      <c r="F1868" s="272"/>
      <c r="G1868" s="268"/>
      <c r="H1868" s="268"/>
      <c r="I1868" s="268"/>
      <c r="J1868" s="272"/>
      <c r="K1868" s="268"/>
      <c r="L1868" s="287"/>
      <c r="M1868" s="283"/>
      <c r="N1868" s="282"/>
      <c r="O1868" s="284"/>
      <c r="P1868" s="280"/>
      <c r="Q1868" s="315"/>
      <c r="R1868" s="272"/>
      <c r="S1868" s="272"/>
      <c r="T1868" s="272"/>
      <c r="U1868" s="272"/>
      <c r="V1868" s="272"/>
      <c r="W1868" s="272"/>
      <c r="X1868" s="272"/>
      <c r="Y1868" s="272"/>
      <c r="Z1868" s="272"/>
      <c r="AA1868" s="272"/>
    </row>
    <row r="1869" spans="1:27">
      <c r="A1869" s="273"/>
      <c r="B1869" s="274"/>
      <c r="C1869" s="314"/>
      <c r="D1869" s="274"/>
      <c r="E1869" s="268"/>
      <c r="F1869" s="272"/>
      <c r="G1869" s="268"/>
      <c r="H1869" s="268"/>
      <c r="I1869" s="268"/>
      <c r="J1869" s="272"/>
      <c r="K1869" s="268"/>
      <c r="L1869" s="287"/>
      <c r="M1869" s="283"/>
      <c r="N1869" s="282"/>
      <c r="O1869" s="284"/>
      <c r="P1869" s="280"/>
      <c r="Q1869" s="315"/>
      <c r="R1869" s="272"/>
      <c r="S1869" s="272"/>
      <c r="T1869" s="272"/>
      <c r="U1869" s="272"/>
      <c r="V1869" s="272"/>
      <c r="W1869" s="272"/>
      <c r="X1869" s="272"/>
      <c r="Y1869" s="272"/>
      <c r="Z1869" s="272"/>
      <c r="AA1869" s="272"/>
    </row>
    <row r="1870" spans="1:27">
      <c r="A1870" s="273"/>
      <c r="B1870" s="274"/>
      <c r="C1870" s="314"/>
      <c r="D1870" s="274"/>
      <c r="E1870" s="268"/>
      <c r="F1870" s="272"/>
      <c r="G1870" s="268"/>
      <c r="H1870" s="268"/>
      <c r="I1870" s="268"/>
      <c r="J1870" s="272"/>
      <c r="K1870" s="268"/>
      <c r="L1870" s="287"/>
      <c r="M1870" s="283"/>
      <c r="N1870" s="282"/>
      <c r="O1870" s="284"/>
      <c r="P1870" s="280"/>
      <c r="Q1870" s="315"/>
      <c r="R1870" s="272"/>
      <c r="S1870" s="272"/>
      <c r="T1870" s="272"/>
      <c r="U1870" s="272"/>
      <c r="V1870" s="272"/>
      <c r="W1870" s="272"/>
      <c r="X1870" s="272"/>
      <c r="Y1870" s="272"/>
      <c r="Z1870" s="272"/>
      <c r="AA1870" s="272"/>
    </row>
    <row r="1871" spans="1:27">
      <c r="A1871" s="273"/>
      <c r="B1871" s="274"/>
      <c r="C1871" s="314"/>
      <c r="D1871" s="274"/>
      <c r="E1871" s="268"/>
      <c r="F1871" s="272"/>
      <c r="G1871" s="268"/>
      <c r="H1871" s="268"/>
      <c r="I1871" s="268"/>
      <c r="J1871" s="272"/>
      <c r="K1871" s="268"/>
      <c r="L1871" s="287"/>
      <c r="M1871" s="283"/>
      <c r="N1871" s="282"/>
      <c r="O1871" s="284"/>
      <c r="P1871" s="280"/>
      <c r="Q1871" s="315"/>
      <c r="R1871" s="272"/>
      <c r="S1871" s="272"/>
      <c r="T1871" s="272"/>
      <c r="U1871" s="272"/>
      <c r="V1871" s="272"/>
      <c r="W1871" s="272"/>
      <c r="X1871" s="272"/>
      <c r="Y1871" s="272"/>
      <c r="Z1871" s="272"/>
      <c r="AA1871" s="272"/>
    </row>
    <row r="1872" spans="1:27">
      <c r="A1872" s="273"/>
      <c r="B1872" s="274"/>
      <c r="C1872" s="314"/>
      <c r="D1872" s="274"/>
      <c r="E1872" s="268"/>
      <c r="F1872" s="272"/>
      <c r="G1872" s="268"/>
      <c r="H1872" s="268"/>
      <c r="I1872" s="268"/>
      <c r="J1872" s="272"/>
      <c r="K1872" s="268"/>
      <c r="L1872" s="287"/>
      <c r="M1872" s="283"/>
      <c r="N1872" s="282"/>
      <c r="O1872" s="284"/>
      <c r="P1872" s="280"/>
      <c r="Q1872" s="315"/>
      <c r="R1872" s="272"/>
      <c r="S1872" s="272"/>
      <c r="T1872" s="272"/>
      <c r="U1872" s="272"/>
      <c r="V1872" s="272"/>
      <c r="W1872" s="272"/>
      <c r="X1872" s="272"/>
      <c r="Y1872" s="272"/>
      <c r="Z1872" s="272"/>
      <c r="AA1872" s="272"/>
    </row>
    <row r="1873" spans="1:27">
      <c r="A1873" s="273"/>
      <c r="B1873" s="274"/>
      <c r="C1873" s="314"/>
      <c r="D1873" s="274"/>
      <c r="E1873" s="268"/>
      <c r="F1873" s="272"/>
      <c r="G1873" s="268"/>
      <c r="H1873" s="268"/>
      <c r="I1873" s="268"/>
      <c r="J1873" s="272"/>
      <c r="K1873" s="268"/>
      <c r="L1873" s="287"/>
      <c r="M1873" s="283"/>
      <c r="N1873" s="282"/>
      <c r="O1873" s="284"/>
      <c r="P1873" s="280"/>
      <c r="Q1873" s="315"/>
      <c r="R1873" s="272"/>
      <c r="S1873" s="272"/>
      <c r="T1873" s="272"/>
      <c r="U1873" s="272"/>
      <c r="V1873" s="272"/>
      <c r="W1873" s="272"/>
      <c r="X1873" s="272"/>
      <c r="Y1873" s="272"/>
      <c r="Z1873" s="272"/>
      <c r="AA1873" s="272"/>
    </row>
    <row r="1874" spans="1:27">
      <c r="A1874" s="273"/>
      <c r="B1874" s="274"/>
      <c r="C1874" s="314"/>
      <c r="D1874" s="274"/>
      <c r="E1874" s="268"/>
      <c r="F1874" s="272"/>
      <c r="G1874" s="268"/>
      <c r="H1874" s="268"/>
      <c r="I1874" s="268"/>
      <c r="J1874" s="272"/>
      <c r="K1874" s="268"/>
      <c r="L1874" s="287"/>
      <c r="M1874" s="283"/>
      <c r="N1874" s="282"/>
      <c r="O1874" s="284"/>
      <c r="P1874" s="280"/>
      <c r="Q1874" s="315"/>
      <c r="R1874" s="272"/>
      <c r="S1874" s="272"/>
      <c r="T1874" s="272"/>
      <c r="U1874" s="272"/>
      <c r="V1874" s="272"/>
      <c r="W1874" s="272"/>
      <c r="X1874" s="272"/>
      <c r="Y1874" s="272"/>
      <c r="Z1874" s="272"/>
      <c r="AA1874" s="272"/>
    </row>
    <row r="1875" spans="1:27">
      <c r="A1875" s="273"/>
      <c r="B1875" s="274"/>
      <c r="C1875" s="314"/>
      <c r="D1875" s="274"/>
      <c r="E1875" s="268"/>
      <c r="F1875" s="272"/>
      <c r="G1875" s="268"/>
      <c r="H1875" s="268"/>
      <c r="I1875" s="268"/>
      <c r="J1875" s="272"/>
      <c r="K1875" s="268"/>
      <c r="L1875" s="287"/>
      <c r="M1875" s="283"/>
      <c r="N1875" s="282"/>
      <c r="O1875" s="284"/>
      <c r="P1875" s="280"/>
      <c r="Q1875" s="315"/>
      <c r="R1875" s="272"/>
      <c r="S1875" s="272"/>
      <c r="T1875" s="272"/>
      <c r="U1875" s="272"/>
      <c r="V1875" s="272"/>
      <c r="W1875" s="272"/>
      <c r="X1875" s="272"/>
      <c r="Y1875" s="272"/>
      <c r="Z1875" s="272"/>
      <c r="AA1875" s="272"/>
    </row>
    <row r="1876" spans="1:27">
      <c r="A1876" s="273"/>
      <c r="B1876" s="274"/>
      <c r="C1876" s="314"/>
      <c r="D1876" s="274"/>
      <c r="E1876" s="268"/>
      <c r="F1876" s="272"/>
      <c r="G1876" s="268"/>
      <c r="H1876" s="268"/>
      <c r="I1876" s="268"/>
      <c r="J1876" s="272"/>
      <c r="K1876" s="268"/>
      <c r="L1876" s="287"/>
      <c r="M1876" s="283"/>
      <c r="N1876" s="282"/>
      <c r="O1876" s="284"/>
      <c r="P1876" s="280"/>
      <c r="Q1876" s="315"/>
      <c r="R1876" s="272"/>
      <c r="S1876" s="272"/>
      <c r="T1876" s="272"/>
      <c r="U1876" s="272"/>
      <c r="V1876" s="272"/>
      <c r="W1876" s="272"/>
      <c r="X1876" s="272"/>
      <c r="Y1876" s="272"/>
      <c r="Z1876" s="272"/>
      <c r="AA1876" s="272"/>
    </row>
    <row r="1877" spans="1:27">
      <c r="A1877" s="273"/>
      <c r="B1877" s="274"/>
      <c r="C1877" s="314"/>
      <c r="D1877" s="274"/>
      <c r="E1877" s="268"/>
      <c r="F1877" s="272"/>
      <c r="G1877" s="268"/>
      <c r="H1877" s="268"/>
      <c r="I1877" s="268"/>
      <c r="J1877" s="272"/>
      <c r="K1877" s="268"/>
      <c r="L1877" s="287"/>
      <c r="M1877" s="283"/>
      <c r="N1877" s="282"/>
      <c r="O1877" s="284"/>
      <c r="P1877" s="280"/>
      <c r="Q1877" s="315"/>
      <c r="R1877" s="272"/>
      <c r="S1877" s="272"/>
      <c r="T1877" s="272"/>
      <c r="U1877" s="272"/>
      <c r="V1877" s="272"/>
      <c r="W1877" s="272"/>
      <c r="X1877" s="272"/>
      <c r="Y1877" s="272"/>
      <c r="Z1877" s="272"/>
      <c r="AA1877" s="272"/>
    </row>
    <row r="1878" spans="1:27">
      <c r="A1878" s="273"/>
      <c r="B1878" s="274"/>
      <c r="C1878" s="314"/>
      <c r="D1878" s="274"/>
      <c r="E1878" s="268"/>
      <c r="F1878" s="272"/>
      <c r="G1878" s="268"/>
      <c r="H1878" s="268"/>
      <c r="I1878" s="268"/>
      <c r="J1878" s="272"/>
      <c r="K1878" s="268"/>
      <c r="L1878" s="287"/>
      <c r="M1878" s="283"/>
      <c r="N1878" s="282"/>
      <c r="O1878" s="284"/>
      <c r="P1878" s="280"/>
      <c r="Q1878" s="315"/>
      <c r="R1878" s="272"/>
      <c r="S1878" s="272"/>
      <c r="T1878" s="272"/>
      <c r="U1878" s="272"/>
      <c r="V1878" s="272"/>
      <c r="W1878" s="272"/>
      <c r="X1878" s="272"/>
      <c r="Y1878" s="272"/>
      <c r="Z1878" s="272"/>
      <c r="AA1878" s="272"/>
    </row>
    <row r="1879" spans="1:27">
      <c r="A1879" s="273"/>
      <c r="B1879" s="274"/>
      <c r="C1879" s="314"/>
      <c r="D1879" s="274"/>
      <c r="E1879" s="268"/>
      <c r="F1879" s="272"/>
      <c r="G1879" s="268"/>
      <c r="H1879" s="268"/>
      <c r="I1879" s="268"/>
      <c r="J1879" s="272"/>
      <c r="K1879" s="268"/>
      <c r="L1879" s="287"/>
      <c r="M1879" s="283"/>
      <c r="N1879" s="282"/>
      <c r="O1879" s="284"/>
      <c r="P1879" s="280"/>
      <c r="Q1879" s="315"/>
      <c r="R1879" s="272"/>
      <c r="S1879" s="272"/>
      <c r="T1879" s="272"/>
      <c r="U1879" s="272"/>
      <c r="V1879" s="272"/>
      <c r="W1879" s="272"/>
      <c r="X1879" s="272"/>
      <c r="Y1879" s="272"/>
      <c r="Z1879" s="272"/>
      <c r="AA1879" s="272"/>
    </row>
    <row r="1880" spans="1:27">
      <c r="A1880" s="273"/>
      <c r="B1880" s="274"/>
      <c r="C1880" s="314"/>
      <c r="D1880" s="274"/>
      <c r="E1880" s="268"/>
      <c r="F1880" s="272"/>
      <c r="G1880" s="268"/>
      <c r="H1880" s="268"/>
      <c r="I1880" s="268"/>
      <c r="J1880" s="272"/>
      <c r="K1880" s="268"/>
      <c r="L1880" s="287"/>
      <c r="M1880" s="283"/>
      <c r="N1880" s="282"/>
      <c r="O1880" s="284"/>
      <c r="P1880" s="280"/>
      <c r="Q1880" s="315"/>
      <c r="R1880" s="272"/>
      <c r="S1880" s="272"/>
      <c r="T1880" s="272"/>
      <c r="U1880" s="272"/>
      <c r="V1880" s="272"/>
      <c r="W1880" s="272"/>
      <c r="X1880" s="272"/>
      <c r="Y1880" s="272"/>
      <c r="Z1880" s="272"/>
      <c r="AA1880" s="272"/>
    </row>
    <row r="1881" spans="1:27">
      <c r="A1881" s="273"/>
      <c r="B1881" s="274"/>
      <c r="C1881" s="314"/>
      <c r="D1881" s="274"/>
      <c r="E1881" s="268"/>
      <c r="F1881" s="272"/>
      <c r="G1881" s="268"/>
      <c r="H1881" s="268"/>
      <c r="I1881" s="268"/>
      <c r="J1881" s="272"/>
      <c r="K1881" s="268"/>
      <c r="L1881" s="287"/>
      <c r="M1881" s="283"/>
      <c r="N1881" s="282"/>
      <c r="O1881" s="284"/>
      <c r="P1881" s="280"/>
      <c r="Q1881" s="315"/>
      <c r="R1881" s="272"/>
      <c r="S1881" s="272"/>
      <c r="T1881" s="272"/>
      <c r="U1881" s="272"/>
      <c r="V1881" s="272"/>
      <c r="W1881" s="272"/>
      <c r="X1881" s="272"/>
      <c r="Y1881" s="272"/>
      <c r="Z1881" s="272"/>
      <c r="AA1881" s="272"/>
    </row>
    <row r="1882" spans="1:27">
      <c r="A1882" s="273"/>
      <c r="B1882" s="274"/>
      <c r="C1882" s="314"/>
      <c r="D1882" s="274"/>
      <c r="E1882" s="268"/>
      <c r="F1882" s="272"/>
      <c r="G1882" s="268"/>
      <c r="H1882" s="268"/>
      <c r="I1882" s="268"/>
      <c r="J1882" s="272"/>
      <c r="K1882" s="268"/>
      <c r="L1882" s="287"/>
      <c r="M1882" s="283"/>
      <c r="N1882" s="282"/>
      <c r="O1882" s="284"/>
      <c r="P1882" s="280"/>
      <c r="Q1882" s="315"/>
      <c r="R1882" s="272"/>
      <c r="S1882" s="272"/>
      <c r="T1882" s="272"/>
      <c r="U1882" s="272"/>
      <c r="V1882" s="272"/>
      <c r="W1882" s="272"/>
      <c r="X1882" s="272"/>
      <c r="Y1882" s="272"/>
      <c r="Z1882" s="272"/>
      <c r="AA1882" s="272"/>
    </row>
    <row r="1883" spans="1:27">
      <c r="A1883" s="273"/>
      <c r="B1883" s="274"/>
      <c r="C1883" s="314"/>
      <c r="D1883" s="274"/>
      <c r="E1883" s="268"/>
      <c r="F1883" s="272"/>
      <c r="G1883" s="268"/>
      <c r="H1883" s="268"/>
      <c r="I1883" s="268"/>
      <c r="J1883" s="272"/>
      <c r="K1883" s="268"/>
      <c r="L1883" s="287"/>
      <c r="M1883" s="283"/>
      <c r="N1883" s="282"/>
      <c r="O1883" s="284"/>
      <c r="P1883" s="280"/>
      <c r="Q1883" s="315"/>
      <c r="R1883" s="272"/>
      <c r="S1883" s="272"/>
      <c r="T1883" s="272"/>
      <c r="U1883" s="272"/>
      <c r="V1883" s="272"/>
      <c r="W1883" s="272"/>
      <c r="X1883" s="272"/>
      <c r="Y1883" s="272"/>
      <c r="Z1883" s="272"/>
      <c r="AA1883" s="272"/>
    </row>
    <row r="1884" spans="1:27">
      <c r="A1884" s="273"/>
      <c r="B1884" s="274"/>
      <c r="C1884" s="314"/>
      <c r="D1884" s="274"/>
      <c r="E1884" s="268"/>
      <c r="F1884" s="272"/>
      <c r="G1884" s="268"/>
      <c r="H1884" s="268"/>
      <c r="I1884" s="268"/>
      <c r="J1884" s="272"/>
      <c r="K1884" s="268"/>
      <c r="L1884" s="287"/>
      <c r="M1884" s="283"/>
      <c r="N1884" s="282"/>
      <c r="O1884" s="284"/>
      <c r="P1884" s="280"/>
      <c r="Q1884" s="315"/>
      <c r="R1884" s="272"/>
      <c r="S1884" s="272"/>
      <c r="T1884" s="272"/>
      <c r="U1884" s="272"/>
      <c r="V1884" s="272"/>
      <c r="W1884" s="272"/>
      <c r="X1884" s="272"/>
      <c r="Y1884" s="272"/>
      <c r="Z1884" s="272"/>
      <c r="AA1884" s="272"/>
    </row>
    <row r="1885" spans="1:27">
      <c r="A1885" s="273"/>
      <c r="B1885" s="274"/>
      <c r="C1885" s="314"/>
      <c r="D1885" s="274"/>
      <c r="E1885" s="268"/>
      <c r="F1885" s="272"/>
      <c r="G1885" s="268"/>
      <c r="H1885" s="268"/>
      <c r="I1885" s="268"/>
      <c r="J1885" s="272"/>
      <c r="K1885" s="268"/>
      <c r="L1885" s="287"/>
      <c r="M1885" s="283"/>
      <c r="N1885" s="282"/>
      <c r="O1885" s="284"/>
      <c r="P1885" s="280"/>
      <c r="Q1885" s="315"/>
      <c r="R1885" s="272"/>
      <c r="S1885" s="272"/>
      <c r="T1885" s="272"/>
      <c r="U1885" s="272"/>
      <c r="V1885" s="272"/>
      <c r="W1885" s="272"/>
      <c r="X1885" s="272"/>
      <c r="Y1885" s="272"/>
      <c r="Z1885" s="272"/>
      <c r="AA1885" s="272"/>
    </row>
    <row r="1886" spans="1:27">
      <c r="A1886" s="273"/>
      <c r="B1886" s="274"/>
      <c r="C1886" s="314"/>
      <c r="D1886" s="274"/>
      <c r="E1886" s="268"/>
      <c r="F1886" s="272"/>
      <c r="G1886" s="268"/>
      <c r="H1886" s="268"/>
      <c r="I1886" s="268"/>
      <c r="J1886" s="272"/>
      <c r="K1886" s="268"/>
      <c r="L1886" s="287"/>
      <c r="M1886" s="283"/>
      <c r="N1886" s="282"/>
      <c r="O1886" s="284"/>
      <c r="P1886" s="280"/>
      <c r="Q1886" s="315"/>
      <c r="R1886" s="272"/>
      <c r="S1886" s="272"/>
      <c r="T1886" s="272"/>
      <c r="U1886" s="272"/>
      <c r="V1886" s="272"/>
      <c r="W1886" s="272"/>
      <c r="X1886" s="272"/>
      <c r="Y1886" s="272"/>
      <c r="Z1886" s="272"/>
      <c r="AA1886" s="272"/>
    </row>
    <row r="1887" spans="1:27">
      <c r="A1887" s="273"/>
      <c r="B1887" s="274"/>
      <c r="C1887" s="314"/>
      <c r="D1887" s="274"/>
      <c r="E1887" s="268"/>
      <c r="F1887" s="272"/>
      <c r="G1887" s="268"/>
      <c r="H1887" s="268"/>
      <c r="I1887" s="268"/>
      <c r="J1887" s="272"/>
      <c r="K1887" s="268"/>
      <c r="L1887" s="287"/>
      <c r="M1887" s="283"/>
      <c r="N1887" s="282"/>
      <c r="O1887" s="284"/>
      <c r="P1887" s="280"/>
      <c r="Q1887" s="315"/>
      <c r="R1887" s="272"/>
      <c r="S1887" s="272"/>
      <c r="T1887" s="272"/>
      <c r="U1887" s="272"/>
      <c r="V1887" s="272"/>
      <c r="W1887" s="272"/>
      <c r="X1887" s="272"/>
      <c r="Y1887" s="272"/>
      <c r="Z1887" s="272"/>
      <c r="AA1887" s="272"/>
    </row>
    <row r="1888" spans="1:27">
      <c r="A1888" s="273"/>
      <c r="B1888" s="274"/>
      <c r="C1888" s="314"/>
      <c r="D1888" s="274"/>
      <c r="E1888" s="268"/>
      <c r="F1888" s="272"/>
      <c r="G1888" s="268"/>
      <c r="H1888" s="268"/>
      <c r="I1888" s="268"/>
      <c r="J1888" s="272"/>
      <c r="K1888" s="268"/>
      <c r="L1888" s="287"/>
      <c r="M1888" s="283"/>
      <c r="N1888" s="282"/>
      <c r="O1888" s="284"/>
      <c r="P1888" s="280"/>
      <c r="Q1888" s="315"/>
      <c r="R1888" s="272"/>
      <c r="S1888" s="272"/>
      <c r="T1888" s="272"/>
      <c r="U1888" s="272"/>
      <c r="V1888" s="272"/>
      <c r="W1888" s="272"/>
      <c r="X1888" s="272"/>
      <c r="Y1888" s="272"/>
      <c r="Z1888" s="272"/>
      <c r="AA1888" s="272"/>
    </row>
    <row r="1889" spans="1:27">
      <c r="A1889" s="273"/>
      <c r="B1889" s="274"/>
      <c r="C1889" s="314"/>
      <c r="D1889" s="274"/>
      <c r="E1889" s="268"/>
      <c r="F1889" s="272"/>
      <c r="G1889" s="268"/>
      <c r="H1889" s="268"/>
      <c r="I1889" s="268"/>
      <c r="J1889" s="272"/>
      <c r="K1889" s="268"/>
      <c r="L1889" s="287"/>
      <c r="M1889" s="283"/>
      <c r="N1889" s="282"/>
      <c r="O1889" s="284"/>
      <c r="P1889" s="280"/>
      <c r="Q1889" s="315"/>
      <c r="R1889" s="272"/>
      <c r="S1889" s="272"/>
      <c r="T1889" s="272"/>
      <c r="U1889" s="272"/>
      <c r="V1889" s="272"/>
      <c r="W1889" s="272"/>
      <c r="X1889" s="272"/>
      <c r="Y1889" s="272"/>
      <c r="Z1889" s="272"/>
      <c r="AA1889" s="272"/>
    </row>
    <row r="1890" spans="1:27">
      <c r="A1890" s="273"/>
      <c r="B1890" s="274"/>
      <c r="C1890" s="314"/>
      <c r="D1890" s="274"/>
      <c r="E1890" s="268"/>
      <c r="F1890" s="272"/>
      <c r="G1890" s="268"/>
      <c r="H1890" s="268"/>
      <c r="I1890" s="268"/>
      <c r="J1890" s="272"/>
      <c r="K1890" s="268"/>
      <c r="L1890" s="287"/>
      <c r="M1890" s="283"/>
      <c r="N1890" s="282"/>
      <c r="O1890" s="284"/>
      <c r="P1890" s="280"/>
      <c r="Q1890" s="315"/>
      <c r="R1890" s="272"/>
      <c r="S1890" s="272"/>
      <c r="T1890" s="272"/>
      <c r="U1890" s="272"/>
      <c r="V1890" s="272"/>
      <c r="W1890" s="272"/>
      <c r="X1890" s="272"/>
      <c r="Y1890" s="272"/>
      <c r="Z1890" s="272"/>
      <c r="AA1890" s="272"/>
    </row>
    <row r="1891" spans="1:27">
      <c r="A1891" s="273"/>
      <c r="B1891" s="274"/>
      <c r="C1891" s="314"/>
      <c r="D1891" s="274"/>
      <c r="E1891" s="268"/>
      <c r="F1891" s="272"/>
      <c r="G1891" s="268"/>
      <c r="H1891" s="268"/>
      <c r="I1891" s="268"/>
      <c r="J1891" s="272"/>
      <c r="K1891" s="268"/>
      <c r="L1891" s="287"/>
      <c r="M1891" s="283"/>
      <c r="N1891" s="282"/>
      <c r="O1891" s="284"/>
      <c r="P1891" s="280"/>
      <c r="Q1891" s="315"/>
      <c r="R1891" s="272"/>
      <c r="S1891" s="272"/>
      <c r="T1891" s="272"/>
      <c r="U1891" s="272"/>
      <c r="V1891" s="272"/>
      <c r="W1891" s="272"/>
      <c r="X1891" s="272"/>
      <c r="Y1891" s="272"/>
      <c r="Z1891" s="272"/>
      <c r="AA1891" s="272"/>
    </row>
    <row r="1892" spans="1:27">
      <c r="A1892" s="273"/>
      <c r="B1892" s="274"/>
      <c r="C1892" s="314"/>
      <c r="D1892" s="274"/>
      <c r="E1892" s="268"/>
      <c r="F1892" s="272"/>
      <c r="G1892" s="268"/>
      <c r="H1892" s="268"/>
      <c r="I1892" s="268"/>
      <c r="J1892" s="272"/>
      <c r="K1892" s="268"/>
      <c r="L1892" s="287"/>
      <c r="M1892" s="283"/>
      <c r="N1892" s="282"/>
      <c r="O1892" s="284"/>
      <c r="P1892" s="280"/>
      <c r="Q1892" s="315"/>
      <c r="R1892" s="272"/>
      <c r="S1892" s="272"/>
      <c r="T1892" s="272"/>
      <c r="U1892" s="272"/>
      <c r="V1892" s="272"/>
      <c r="W1892" s="272"/>
      <c r="X1892" s="272"/>
      <c r="Y1892" s="272"/>
      <c r="Z1892" s="272"/>
      <c r="AA1892" s="272"/>
    </row>
    <row r="1893" spans="1:27">
      <c r="A1893" s="273"/>
      <c r="B1893" s="274"/>
      <c r="C1893" s="314"/>
      <c r="D1893" s="274"/>
      <c r="E1893" s="268"/>
      <c r="F1893" s="272"/>
      <c r="G1893" s="268"/>
      <c r="H1893" s="268"/>
      <c r="I1893" s="268"/>
      <c r="J1893" s="272"/>
      <c r="K1893" s="268"/>
      <c r="L1893" s="287"/>
      <c r="M1893" s="283"/>
      <c r="N1893" s="282"/>
      <c r="O1893" s="284"/>
      <c r="P1893" s="280"/>
      <c r="Q1893" s="315"/>
      <c r="R1893" s="272"/>
      <c r="S1893" s="272"/>
      <c r="T1893" s="272"/>
      <c r="U1893" s="272"/>
      <c r="V1893" s="272"/>
      <c r="W1893" s="272"/>
      <c r="X1893" s="272"/>
      <c r="Y1893" s="272"/>
      <c r="Z1893" s="272"/>
      <c r="AA1893" s="272"/>
    </row>
    <row r="1894" spans="1:27">
      <c r="A1894" s="273"/>
      <c r="B1894" s="274"/>
      <c r="C1894" s="314"/>
      <c r="D1894" s="274"/>
      <c r="E1894" s="268"/>
      <c r="F1894" s="272"/>
      <c r="G1894" s="268"/>
      <c r="H1894" s="268"/>
      <c r="I1894" s="268"/>
      <c r="J1894" s="272"/>
      <c r="K1894" s="268"/>
      <c r="L1894" s="287"/>
      <c r="M1894" s="283"/>
      <c r="N1894" s="282"/>
      <c r="O1894" s="284"/>
      <c r="P1894" s="280"/>
      <c r="Q1894" s="315"/>
      <c r="R1894" s="272"/>
      <c r="S1894" s="272"/>
      <c r="T1894" s="272"/>
      <c r="U1894" s="272"/>
      <c r="V1894" s="272"/>
      <c r="W1894" s="272"/>
      <c r="X1894" s="272"/>
      <c r="Y1894" s="272"/>
      <c r="Z1894" s="272"/>
      <c r="AA1894" s="272"/>
    </row>
    <row r="1895" spans="1:27">
      <c r="A1895" s="273"/>
      <c r="B1895" s="274"/>
      <c r="C1895" s="314"/>
      <c r="D1895" s="274"/>
      <c r="E1895" s="268"/>
      <c r="F1895" s="272"/>
      <c r="G1895" s="268"/>
      <c r="H1895" s="268"/>
      <c r="I1895" s="268"/>
      <c r="J1895" s="272"/>
      <c r="K1895" s="268"/>
      <c r="L1895" s="287"/>
      <c r="M1895" s="283"/>
      <c r="N1895" s="282"/>
      <c r="O1895" s="284"/>
      <c r="P1895" s="280"/>
      <c r="Q1895" s="315"/>
      <c r="R1895" s="272"/>
      <c r="S1895" s="272"/>
      <c r="T1895" s="272"/>
      <c r="U1895" s="272"/>
      <c r="V1895" s="272"/>
      <c r="W1895" s="272"/>
      <c r="X1895" s="272"/>
      <c r="Y1895" s="272"/>
      <c r="Z1895" s="272"/>
      <c r="AA1895" s="272"/>
    </row>
    <row r="1896" spans="1:27">
      <c r="A1896" s="273"/>
      <c r="B1896" s="274"/>
      <c r="C1896" s="314"/>
      <c r="D1896" s="274"/>
      <c r="E1896" s="268"/>
      <c r="F1896" s="272"/>
      <c r="G1896" s="268"/>
      <c r="H1896" s="268"/>
      <c r="I1896" s="268"/>
      <c r="J1896" s="272"/>
      <c r="K1896" s="268"/>
      <c r="L1896" s="287"/>
      <c r="M1896" s="283"/>
      <c r="N1896" s="282"/>
      <c r="O1896" s="284"/>
      <c r="P1896" s="280"/>
      <c r="Q1896" s="315"/>
      <c r="R1896" s="272"/>
      <c r="S1896" s="272"/>
      <c r="T1896" s="272"/>
      <c r="U1896" s="272"/>
      <c r="V1896" s="272"/>
      <c r="W1896" s="272"/>
      <c r="X1896" s="272"/>
      <c r="Y1896" s="272"/>
      <c r="Z1896" s="272"/>
      <c r="AA1896" s="272"/>
    </row>
    <row r="1897" spans="1:27">
      <c r="A1897" s="273"/>
      <c r="B1897" s="274"/>
      <c r="C1897" s="314"/>
      <c r="D1897" s="274"/>
      <c r="E1897" s="268"/>
      <c r="F1897" s="272"/>
      <c r="G1897" s="268"/>
      <c r="H1897" s="268"/>
      <c r="I1897" s="268"/>
      <c r="J1897" s="272"/>
      <c r="K1897" s="268"/>
      <c r="L1897" s="287"/>
      <c r="M1897" s="283"/>
      <c r="N1897" s="282"/>
      <c r="O1897" s="284"/>
      <c r="P1897" s="280"/>
      <c r="Q1897" s="315"/>
      <c r="R1897" s="272"/>
      <c r="S1897" s="272"/>
      <c r="T1897" s="272"/>
      <c r="U1897" s="272"/>
      <c r="V1897" s="272"/>
      <c r="W1897" s="272"/>
      <c r="X1897" s="272"/>
      <c r="Y1897" s="272"/>
      <c r="Z1897" s="272"/>
      <c r="AA1897" s="272"/>
    </row>
    <row r="1898" spans="1:27">
      <c r="A1898" s="273"/>
      <c r="B1898" s="274"/>
      <c r="C1898" s="314"/>
      <c r="D1898" s="274"/>
      <c r="E1898" s="268"/>
      <c r="F1898" s="272"/>
      <c r="G1898" s="268"/>
      <c r="H1898" s="268"/>
      <c r="I1898" s="268"/>
      <c r="J1898" s="272"/>
      <c r="K1898" s="268"/>
      <c r="L1898" s="287"/>
      <c r="M1898" s="283"/>
      <c r="N1898" s="282"/>
      <c r="O1898" s="284"/>
      <c r="P1898" s="280"/>
      <c r="Q1898" s="315"/>
      <c r="R1898" s="272"/>
      <c r="S1898" s="272"/>
      <c r="T1898" s="272"/>
      <c r="U1898" s="272"/>
      <c r="V1898" s="272"/>
      <c r="W1898" s="272"/>
      <c r="X1898" s="272"/>
      <c r="Y1898" s="272"/>
      <c r="Z1898" s="272"/>
      <c r="AA1898" s="272"/>
    </row>
    <row r="1899" spans="1:27">
      <c r="A1899" s="273"/>
      <c r="B1899" s="274"/>
      <c r="C1899" s="314"/>
      <c r="D1899" s="274"/>
      <c r="E1899" s="268"/>
      <c r="F1899" s="272"/>
      <c r="G1899" s="268"/>
      <c r="H1899" s="268"/>
      <c r="I1899" s="268"/>
      <c r="J1899" s="272"/>
      <c r="K1899" s="268"/>
      <c r="L1899" s="287"/>
      <c r="M1899" s="283"/>
      <c r="N1899" s="282"/>
      <c r="O1899" s="284"/>
      <c r="P1899" s="280"/>
      <c r="Q1899" s="315"/>
      <c r="R1899" s="272"/>
      <c r="S1899" s="272"/>
      <c r="T1899" s="272"/>
      <c r="U1899" s="272"/>
      <c r="V1899" s="272"/>
      <c r="W1899" s="272"/>
      <c r="X1899" s="272"/>
      <c r="Y1899" s="272"/>
      <c r="Z1899" s="272"/>
      <c r="AA1899" s="272"/>
    </row>
    <row r="1900" spans="1:27">
      <c r="A1900" s="273"/>
      <c r="B1900" s="274"/>
      <c r="C1900" s="314"/>
      <c r="D1900" s="274"/>
      <c r="E1900" s="268"/>
      <c r="F1900" s="272"/>
      <c r="G1900" s="268"/>
      <c r="H1900" s="268"/>
      <c r="I1900" s="268"/>
      <c r="J1900" s="272"/>
      <c r="K1900" s="268"/>
      <c r="L1900" s="287"/>
      <c r="M1900" s="283"/>
      <c r="N1900" s="282"/>
      <c r="O1900" s="284"/>
      <c r="P1900" s="280"/>
      <c r="Q1900" s="315"/>
      <c r="R1900" s="272"/>
      <c r="S1900" s="272"/>
      <c r="T1900" s="272"/>
      <c r="U1900" s="272"/>
      <c r="V1900" s="272"/>
      <c r="W1900" s="272"/>
      <c r="X1900" s="272"/>
      <c r="Y1900" s="272"/>
      <c r="Z1900" s="272"/>
      <c r="AA1900" s="272"/>
    </row>
    <row r="1901" spans="1:27">
      <c r="A1901" s="273"/>
      <c r="B1901" s="274"/>
      <c r="C1901" s="314"/>
      <c r="D1901" s="274"/>
      <c r="E1901" s="268"/>
      <c r="F1901" s="272"/>
      <c r="G1901" s="268"/>
      <c r="H1901" s="268"/>
      <c r="I1901" s="268"/>
      <c r="J1901" s="272"/>
      <c r="K1901" s="268"/>
      <c r="L1901" s="287"/>
      <c r="M1901" s="283"/>
      <c r="N1901" s="282"/>
      <c r="O1901" s="284"/>
      <c r="P1901" s="280"/>
      <c r="Q1901" s="315"/>
      <c r="R1901" s="272"/>
      <c r="S1901" s="272"/>
      <c r="T1901" s="272"/>
      <c r="U1901" s="272"/>
      <c r="V1901" s="272"/>
      <c r="W1901" s="272"/>
      <c r="X1901" s="272"/>
      <c r="Y1901" s="272"/>
      <c r="Z1901" s="272"/>
      <c r="AA1901" s="272"/>
    </row>
    <row r="1902" spans="1:27">
      <c r="A1902" s="273"/>
      <c r="B1902" s="274"/>
      <c r="C1902" s="314"/>
      <c r="D1902" s="274"/>
      <c r="E1902" s="268"/>
      <c r="F1902" s="272"/>
      <c r="G1902" s="268"/>
      <c r="H1902" s="268"/>
      <c r="I1902" s="268"/>
      <c r="J1902" s="272"/>
      <c r="K1902" s="268"/>
      <c r="L1902" s="287"/>
      <c r="M1902" s="283"/>
      <c r="N1902" s="282"/>
      <c r="O1902" s="284"/>
      <c r="P1902" s="280"/>
      <c r="Q1902" s="315"/>
      <c r="R1902" s="272"/>
      <c r="S1902" s="272"/>
      <c r="T1902" s="272"/>
      <c r="U1902" s="272"/>
      <c r="V1902" s="272"/>
      <c r="W1902" s="272"/>
      <c r="X1902" s="272"/>
      <c r="Y1902" s="272"/>
      <c r="Z1902" s="272"/>
      <c r="AA1902" s="272"/>
    </row>
    <row r="1903" spans="1:27">
      <c r="A1903" s="273"/>
      <c r="B1903" s="274"/>
      <c r="C1903" s="314"/>
      <c r="D1903" s="274"/>
      <c r="E1903" s="268"/>
      <c r="F1903" s="272"/>
      <c r="G1903" s="268"/>
      <c r="H1903" s="268"/>
      <c r="I1903" s="268"/>
      <c r="J1903" s="272"/>
      <c r="K1903" s="268"/>
      <c r="L1903" s="287"/>
      <c r="M1903" s="283"/>
      <c r="N1903" s="282"/>
      <c r="O1903" s="284"/>
      <c r="P1903" s="280"/>
      <c r="Q1903" s="315"/>
      <c r="R1903" s="272"/>
      <c r="S1903" s="272"/>
      <c r="T1903" s="272"/>
      <c r="U1903" s="272"/>
      <c r="V1903" s="272"/>
      <c r="W1903" s="272"/>
      <c r="X1903" s="272"/>
      <c r="Y1903" s="272"/>
      <c r="Z1903" s="272"/>
      <c r="AA1903" s="272"/>
    </row>
    <row r="1904" spans="1:27">
      <c r="A1904" s="273"/>
      <c r="B1904" s="274"/>
      <c r="C1904" s="314"/>
      <c r="D1904" s="274"/>
      <c r="E1904" s="268"/>
      <c r="F1904" s="272"/>
      <c r="G1904" s="268"/>
      <c r="H1904" s="268"/>
      <c r="I1904" s="268"/>
      <c r="J1904" s="272"/>
      <c r="K1904" s="268"/>
      <c r="L1904" s="287"/>
      <c r="M1904" s="283"/>
      <c r="N1904" s="282"/>
      <c r="O1904" s="284"/>
      <c r="P1904" s="280"/>
      <c r="Q1904" s="315"/>
      <c r="R1904" s="272"/>
      <c r="S1904" s="272"/>
      <c r="T1904" s="272"/>
      <c r="U1904" s="272"/>
      <c r="V1904" s="272"/>
      <c r="W1904" s="272"/>
      <c r="X1904" s="272"/>
      <c r="Y1904" s="272"/>
      <c r="Z1904" s="272"/>
      <c r="AA1904" s="272"/>
    </row>
    <row r="1905" spans="1:27">
      <c r="A1905" s="273"/>
      <c r="B1905" s="274"/>
      <c r="C1905" s="314"/>
      <c r="D1905" s="274"/>
      <c r="E1905" s="268"/>
      <c r="F1905" s="272"/>
      <c r="G1905" s="268"/>
      <c r="H1905" s="268"/>
      <c r="I1905" s="268"/>
      <c r="J1905" s="272"/>
      <c r="K1905" s="268"/>
      <c r="L1905" s="287"/>
      <c r="M1905" s="283"/>
      <c r="N1905" s="282"/>
      <c r="O1905" s="284"/>
      <c r="P1905" s="280"/>
      <c r="Q1905" s="315"/>
      <c r="R1905" s="272"/>
      <c r="S1905" s="272"/>
      <c r="T1905" s="272"/>
      <c r="U1905" s="272"/>
      <c r="V1905" s="272"/>
      <c r="W1905" s="272"/>
      <c r="X1905" s="272"/>
      <c r="Y1905" s="272"/>
      <c r="Z1905" s="272"/>
      <c r="AA1905" s="272"/>
    </row>
    <row r="1906" spans="1:27">
      <c r="A1906" s="273"/>
      <c r="B1906" s="274"/>
      <c r="C1906" s="314"/>
      <c r="D1906" s="274"/>
      <c r="E1906" s="268"/>
      <c r="F1906" s="272"/>
      <c r="G1906" s="268"/>
      <c r="H1906" s="268"/>
      <c r="I1906" s="268"/>
      <c r="J1906" s="272"/>
      <c r="K1906" s="268"/>
      <c r="L1906" s="287"/>
      <c r="M1906" s="283"/>
      <c r="N1906" s="282"/>
      <c r="O1906" s="284"/>
      <c r="P1906" s="280"/>
      <c r="Q1906" s="315"/>
      <c r="R1906" s="272"/>
      <c r="S1906" s="272"/>
      <c r="T1906" s="272"/>
      <c r="U1906" s="272"/>
      <c r="V1906" s="272"/>
      <c r="W1906" s="272"/>
      <c r="X1906" s="272"/>
      <c r="Y1906" s="272"/>
      <c r="Z1906" s="272"/>
      <c r="AA1906" s="272"/>
    </row>
    <row r="1907" spans="1:27">
      <c r="A1907" s="273"/>
      <c r="B1907" s="274"/>
      <c r="C1907" s="314"/>
      <c r="D1907" s="274"/>
      <c r="E1907" s="268"/>
      <c r="F1907" s="272"/>
      <c r="G1907" s="268"/>
      <c r="H1907" s="268"/>
      <c r="I1907" s="268"/>
      <c r="J1907" s="272"/>
      <c r="K1907" s="268"/>
      <c r="L1907" s="287"/>
      <c r="M1907" s="283"/>
      <c r="N1907" s="282"/>
      <c r="O1907" s="284"/>
      <c r="P1907" s="280"/>
      <c r="Q1907" s="315"/>
      <c r="R1907" s="272"/>
      <c r="S1907" s="272"/>
      <c r="T1907" s="272"/>
      <c r="U1907" s="272"/>
      <c r="V1907" s="272"/>
      <c r="W1907" s="272"/>
      <c r="X1907" s="272"/>
      <c r="Y1907" s="272"/>
      <c r="Z1907" s="272"/>
      <c r="AA1907" s="272"/>
    </row>
    <row r="1908" spans="1:27">
      <c r="A1908" s="273"/>
      <c r="B1908" s="274"/>
      <c r="C1908" s="314"/>
      <c r="D1908" s="274"/>
      <c r="E1908" s="268"/>
      <c r="F1908" s="272"/>
      <c r="G1908" s="268"/>
      <c r="H1908" s="268"/>
      <c r="I1908" s="268"/>
      <c r="J1908" s="272"/>
      <c r="K1908" s="268"/>
      <c r="L1908" s="287"/>
      <c r="M1908" s="283"/>
      <c r="N1908" s="282"/>
      <c r="O1908" s="284"/>
      <c r="P1908" s="280"/>
      <c r="Q1908" s="315"/>
      <c r="R1908" s="272"/>
      <c r="S1908" s="272"/>
      <c r="T1908" s="272"/>
      <c r="U1908" s="272"/>
      <c r="V1908" s="272"/>
      <c r="W1908" s="272"/>
      <c r="X1908" s="272"/>
      <c r="Y1908" s="272"/>
      <c r="Z1908" s="272"/>
      <c r="AA1908" s="272"/>
    </row>
    <row r="1909" spans="1:27">
      <c r="A1909" s="273"/>
      <c r="B1909" s="274"/>
      <c r="C1909" s="314"/>
      <c r="D1909" s="274"/>
      <c r="E1909" s="268"/>
      <c r="F1909" s="272"/>
      <c r="G1909" s="268"/>
      <c r="H1909" s="268"/>
      <c r="I1909" s="268"/>
      <c r="J1909" s="272"/>
      <c r="K1909" s="268"/>
      <c r="L1909" s="287"/>
      <c r="M1909" s="283"/>
      <c r="N1909" s="282"/>
      <c r="O1909" s="284"/>
      <c r="P1909" s="280"/>
      <c r="Q1909" s="315"/>
      <c r="R1909" s="272"/>
      <c r="S1909" s="272"/>
      <c r="T1909" s="272"/>
      <c r="U1909" s="272"/>
      <c r="V1909" s="272"/>
      <c r="W1909" s="272"/>
      <c r="X1909" s="272"/>
      <c r="Y1909" s="272"/>
      <c r="Z1909" s="272"/>
      <c r="AA1909" s="272"/>
    </row>
    <row r="1910" spans="1:27">
      <c r="A1910" s="273"/>
      <c r="B1910" s="274"/>
      <c r="C1910" s="314"/>
      <c r="D1910" s="274"/>
      <c r="E1910" s="268"/>
      <c r="F1910" s="272"/>
      <c r="G1910" s="268"/>
      <c r="H1910" s="268"/>
      <c r="I1910" s="268"/>
      <c r="J1910" s="272"/>
      <c r="K1910" s="268"/>
      <c r="L1910" s="287"/>
      <c r="M1910" s="283"/>
      <c r="N1910" s="282"/>
      <c r="O1910" s="284"/>
      <c r="P1910" s="280"/>
      <c r="Q1910" s="315"/>
      <c r="R1910" s="272"/>
      <c r="S1910" s="272"/>
      <c r="T1910" s="272"/>
      <c r="U1910" s="272"/>
      <c r="V1910" s="272"/>
      <c r="W1910" s="272"/>
      <c r="X1910" s="272"/>
      <c r="Y1910" s="272"/>
      <c r="Z1910" s="272"/>
      <c r="AA1910" s="272"/>
    </row>
    <row r="1911" spans="1:27">
      <c r="A1911" s="273"/>
      <c r="B1911" s="274"/>
      <c r="C1911" s="314"/>
      <c r="D1911" s="274"/>
      <c r="E1911" s="268"/>
      <c r="F1911" s="272"/>
      <c r="G1911" s="268"/>
      <c r="H1911" s="268"/>
      <c r="I1911" s="268"/>
      <c r="J1911" s="272"/>
      <c r="K1911" s="268"/>
      <c r="L1911" s="287"/>
      <c r="M1911" s="283"/>
      <c r="N1911" s="282"/>
      <c r="O1911" s="284"/>
      <c r="P1911" s="280"/>
      <c r="Q1911" s="315"/>
      <c r="R1911" s="272"/>
      <c r="S1911" s="272"/>
      <c r="T1911" s="272"/>
      <c r="U1911" s="272"/>
      <c r="V1911" s="272"/>
      <c r="W1911" s="272"/>
      <c r="X1911" s="272"/>
      <c r="Y1911" s="272"/>
      <c r="Z1911" s="272"/>
      <c r="AA1911" s="272"/>
    </row>
    <row r="1912" spans="1:27">
      <c r="A1912" s="273"/>
      <c r="B1912" s="274"/>
      <c r="C1912" s="314"/>
      <c r="D1912" s="274"/>
      <c r="E1912" s="268"/>
      <c r="F1912" s="272"/>
      <c r="G1912" s="268"/>
      <c r="H1912" s="268"/>
      <c r="I1912" s="268"/>
      <c r="J1912" s="272"/>
      <c r="K1912" s="268"/>
      <c r="L1912" s="287"/>
      <c r="M1912" s="283"/>
      <c r="N1912" s="282"/>
      <c r="O1912" s="284"/>
      <c r="P1912" s="280"/>
      <c r="Q1912" s="315"/>
      <c r="R1912" s="272"/>
      <c r="S1912" s="272"/>
      <c r="T1912" s="272"/>
      <c r="U1912" s="272"/>
      <c r="V1912" s="272"/>
      <c r="W1912" s="272"/>
      <c r="X1912" s="272"/>
      <c r="Y1912" s="272"/>
      <c r="Z1912" s="272"/>
      <c r="AA1912" s="272"/>
    </row>
    <row r="1913" spans="1:27">
      <c r="A1913" s="273"/>
      <c r="B1913" s="274"/>
      <c r="C1913" s="314"/>
      <c r="D1913" s="274"/>
      <c r="E1913" s="268"/>
      <c r="F1913" s="272"/>
      <c r="G1913" s="268"/>
      <c r="H1913" s="268"/>
      <c r="I1913" s="268"/>
      <c r="J1913" s="272"/>
      <c r="K1913" s="268"/>
      <c r="L1913" s="287"/>
      <c r="M1913" s="283"/>
      <c r="N1913" s="282"/>
      <c r="O1913" s="284"/>
      <c r="P1913" s="280"/>
      <c r="Q1913" s="315"/>
      <c r="R1913" s="272"/>
      <c r="S1913" s="272"/>
      <c r="T1913" s="272"/>
      <c r="U1913" s="272"/>
      <c r="V1913" s="272"/>
      <c r="W1913" s="272"/>
      <c r="X1913" s="272"/>
      <c r="Y1913" s="272"/>
      <c r="Z1913" s="272"/>
      <c r="AA1913" s="272"/>
    </row>
    <row r="1914" spans="1:27">
      <c r="A1914" s="273"/>
      <c r="B1914" s="274"/>
      <c r="C1914" s="314"/>
      <c r="D1914" s="274"/>
      <c r="E1914" s="268"/>
      <c r="F1914" s="272"/>
      <c r="G1914" s="268"/>
      <c r="H1914" s="268"/>
      <c r="I1914" s="268"/>
      <c r="J1914" s="272"/>
      <c r="K1914" s="268"/>
      <c r="L1914" s="287"/>
      <c r="M1914" s="283"/>
      <c r="N1914" s="282"/>
      <c r="O1914" s="284"/>
      <c r="P1914" s="280"/>
      <c r="Q1914" s="315"/>
      <c r="R1914" s="272"/>
      <c r="S1914" s="272"/>
      <c r="T1914" s="272"/>
      <c r="U1914" s="272"/>
      <c r="V1914" s="272"/>
      <c r="W1914" s="272"/>
      <c r="X1914" s="272"/>
      <c r="Y1914" s="272"/>
      <c r="Z1914" s="272"/>
      <c r="AA1914" s="272"/>
    </row>
    <row r="1915" spans="1:27">
      <c r="A1915" s="273"/>
      <c r="B1915" s="274"/>
      <c r="C1915" s="314"/>
      <c r="D1915" s="274"/>
      <c r="E1915" s="268"/>
      <c r="F1915" s="272"/>
      <c r="G1915" s="268"/>
      <c r="H1915" s="268"/>
      <c r="I1915" s="268"/>
      <c r="J1915" s="272"/>
      <c r="K1915" s="268"/>
      <c r="L1915" s="287"/>
      <c r="M1915" s="283"/>
      <c r="N1915" s="282"/>
      <c r="O1915" s="284"/>
      <c r="P1915" s="280"/>
      <c r="Q1915" s="315"/>
      <c r="R1915" s="272"/>
      <c r="S1915" s="272"/>
      <c r="T1915" s="272"/>
      <c r="U1915" s="272"/>
      <c r="V1915" s="272"/>
      <c r="W1915" s="272"/>
      <c r="X1915" s="272"/>
      <c r="Y1915" s="272"/>
      <c r="Z1915" s="272"/>
      <c r="AA1915" s="272"/>
    </row>
    <row r="1916" spans="1:27">
      <c r="A1916" s="273"/>
      <c r="B1916" s="274"/>
      <c r="C1916" s="314"/>
      <c r="D1916" s="274"/>
      <c r="E1916" s="268"/>
      <c r="F1916" s="272"/>
      <c r="G1916" s="268"/>
      <c r="H1916" s="268"/>
      <c r="I1916" s="268"/>
      <c r="J1916" s="272"/>
      <c r="K1916" s="268"/>
      <c r="L1916" s="287"/>
      <c r="M1916" s="283"/>
      <c r="N1916" s="282"/>
      <c r="O1916" s="284"/>
      <c r="P1916" s="280"/>
      <c r="Q1916" s="315"/>
      <c r="R1916" s="272"/>
      <c r="S1916" s="272"/>
      <c r="T1916" s="272"/>
      <c r="U1916" s="272"/>
      <c r="V1916" s="272"/>
      <c r="W1916" s="272"/>
      <c r="X1916" s="272"/>
      <c r="Y1916" s="272"/>
      <c r="Z1916" s="272"/>
      <c r="AA1916" s="272"/>
    </row>
    <row r="1917" spans="1:27">
      <c r="A1917" s="273"/>
      <c r="B1917" s="274"/>
      <c r="C1917" s="314"/>
      <c r="D1917" s="274"/>
      <c r="E1917" s="268"/>
      <c r="F1917" s="272"/>
      <c r="G1917" s="268"/>
      <c r="H1917" s="268"/>
      <c r="I1917" s="268"/>
      <c r="J1917" s="272"/>
      <c r="K1917" s="268"/>
      <c r="L1917" s="287"/>
      <c r="M1917" s="283"/>
      <c r="N1917" s="282"/>
      <c r="O1917" s="284"/>
      <c r="P1917" s="280"/>
      <c r="Q1917" s="315"/>
      <c r="R1917" s="272"/>
      <c r="S1917" s="272"/>
      <c r="T1917" s="272"/>
      <c r="U1917" s="272"/>
      <c r="V1917" s="272"/>
      <c r="W1917" s="272"/>
      <c r="X1917" s="272"/>
      <c r="Y1917" s="272"/>
      <c r="Z1917" s="272"/>
      <c r="AA1917" s="272"/>
    </row>
    <row r="1918" spans="1:27">
      <c r="A1918" s="273"/>
      <c r="B1918" s="274"/>
      <c r="C1918" s="314"/>
      <c r="D1918" s="274"/>
      <c r="E1918" s="268"/>
      <c r="F1918" s="272"/>
      <c r="G1918" s="268"/>
      <c r="H1918" s="268"/>
      <c r="I1918" s="268"/>
      <c r="J1918" s="272"/>
      <c r="K1918" s="268"/>
      <c r="L1918" s="287"/>
      <c r="M1918" s="283"/>
      <c r="N1918" s="282"/>
      <c r="O1918" s="284"/>
      <c r="P1918" s="280"/>
      <c r="Q1918" s="315"/>
      <c r="R1918" s="272"/>
      <c r="S1918" s="272"/>
      <c r="T1918" s="272"/>
      <c r="U1918" s="272"/>
      <c r="V1918" s="272"/>
      <c r="W1918" s="272"/>
      <c r="X1918" s="272"/>
      <c r="Y1918" s="272"/>
      <c r="Z1918" s="272"/>
      <c r="AA1918" s="272"/>
    </row>
    <row r="1919" spans="1:27">
      <c r="A1919" s="273"/>
      <c r="B1919" s="274"/>
      <c r="C1919" s="314"/>
      <c r="D1919" s="274"/>
      <c r="E1919" s="268"/>
      <c r="F1919" s="272"/>
      <c r="G1919" s="268"/>
      <c r="H1919" s="268"/>
      <c r="I1919" s="268"/>
      <c r="J1919" s="272"/>
      <c r="K1919" s="268"/>
      <c r="L1919" s="287"/>
      <c r="M1919" s="283"/>
      <c r="N1919" s="282"/>
      <c r="O1919" s="284"/>
      <c r="P1919" s="280"/>
      <c r="Q1919" s="315"/>
      <c r="R1919" s="272"/>
      <c r="S1919" s="272"/>
      <c r="T1919" s="272"/>
      <c r="U1919" s="272"/>
      <c r="V1919" s="272"/>
      <c r="W1919" s="272"/>
      <c r="X1919" s="272"/>
      <c r="Y1919" s="272"/>
      <c r="Z1919" s="272"/>
      <c r="AA1919" s="272"/>
    </row>
    <row r="1920" spans="1:27">
      <c r="A1920" s="273"/>
      <c r="B1920" s="274"/>
      <c r="C1920" s="314"/>
      <c r="D1920" s="274"/>
      <c r="E1920" s="268"/>
      <c r="F1920" s="272"/>
      <c r="G1920" s="268"/>
      <c r="H1920" s="268"/>
      <c r="I1920" s="268"/>
      <c r="J1920" s="272"/>
      <c r="K1920" s="268"/>
      <c r="L1920" s="287"/>
      <c r="M1920" s="283"/>
      <c r="N1920" s="282"/>
      <c r="O1920" s="284"/>
      <c r="P1920" s="280"/>
      <c r="Q1920" s="315"/>
      <c r="R1920" s="272"/>
      <c r="S1920" s="272"/>
      <c r="T1920" s="272"/>
      <c r="U1920" s="272"/>
      <c r="V1920" s="272"/>
      <c r="W1920" s="272"/>
      <c r="X1920" s="272"/>
      <c r="Y1920" s="272"/>
      <c r="Z1920" s="272"/>
      <c r="AA1920" s="272"/>
    </row>
    <row r="1921" spans="1:27">
      <c r="A1921" s="273"/>
      <c r="B1921" s="274"/>
      <c r="C1921" s="314"/>
      <c r="D1921" s="274"/>
      <c r="E1921" s="268"/>
      <c r="F1921" s="272"/>
      <c r="G1921" s="268"/>
      <c r="H1921" s="268"/>
      <c r="I1921" s="268"/>
      <c r="J1921" s="272"/>
      <c r="K1921" s="268"/>
      <c r="L1921" s="287"/>
      <c r="M1921" s="283"/>
      <c r="N1921" s="282"/>
      <c r="O1921" s="284"/>
      <c r="P1921" s="280"/>
      <c r="Q1921" s="315"/>
      <c r="R1921" s="272"/>
      <c r="S1921" s="272"/>
      <c r="T1921" s="272"/>
      <c r="U1921" s="272"/>
      <c r="V1921" s="272"/>
      <c r="W1921" s="272"/>
      <c r="X1921" s="272"/>
      <c r="Y1921" s="272"/>
      <c r="Z1921" s="272"/>
      <c r="AA1921" s="272"/>
    </row>
    <row r="1922" spans="1:27">
      <c r="A1922" s="273"/>
      <c r="B1922" s="274"/>
      <c r="C1922" s="314"/>
      <c r="D1922" s="274"/>
      <c r="E1922" s="268"/>
      <c r="F1922" s="272"/>
      <c r="G1922" s="268"/>
      <c r="H1922" s="268"/>
      <c r="I1922" s="268"/>
      <c r="J1922" s="272"/>
      <c r="K1922" s="268"/>
      <c r="L1922" s="287"/>
      <c r="M1922" s="283"/>
      <c r="N1922" s="282"/>
      <c r="O1922" s="284"/>
      <c r="P1922" s="280"/>
      <c r="Q1922" s="315"/>
      <c r="R1922" s="272"/>
      <c r="S1922" s="272"/>
      <c r="T1922" s="272"/>
      <c r="U1922" s="272"/>
      <c r="V1922" s="272"/>
      <c r="W1922" s="272"/>
      <c r="X1922" s="272"/>
      <c r="Y1922" s="272"/>
      <c r="Z1922" s="272"/>
      <c r="AA1922" s="272"/>
    </row>
    <row r="1923" spans="1:27">
      <c r="A1923" s="273"/>
      <c r="B1923" s="274"/>
      <c r="C1923" s="314"/>
      <c r="D1923" s="274"/>
      <c r="E1923" s="268"/>
      <c r="F1923" s="272"/>
      <c r="G1923" s="268"/>
      <c r="H1923" s="268"/>
      <c r="I1923" s="268"/>
      <c r="J1923" s="272"/>
      <c r="K1923" s="268"/>
      <c r="L1923" s="287"/>
      <c r="M1923" s="283"/>
      <c r="N1923" s="282"/>
      <c r="O1923" s="284"/>
      <c r="P1923" s="280"/>
      <c r="Q1923" s="315"/>
      <c r="R1923" s="272"/>
      <c r="S1923" s="272"/>
      <c r="T1923" s="272"/>
      <c r="U1923" s="272"/>
      <c r="V1923" s="272"/>
      <c r="W1923" s="272"/>
      <c r="X1923" s="272"/>
      <c r="Y1923" s="272"/>
      <c r="Z1923" s="272"/>
      <c r="AA1923" s="272"/>
    </row>
    <row r="1924" spans="1:27">
      <c r="A1924" s="273"/>
      <c r="B1924" s="274"/>
      <c r="C1924" s="314"/>
      <c r="D1924" s="274"/>
      <c r="E1924" s="268"/>
      <c r="F1924" s="272"/>
      <c r="G1924" s="268"/>
      <c r="H1924" s="268"/>
      <c r="I1924" s="268"/>
      <c r="J1924" s="272"/>
      <c r="K1924" s="268"/>
      <c r="L1924" s="287"/>
      <c r="M1924" s="283"/>
      <c r="N1924" s="282"/>
      <c r="O1924" s="284"/>
      <c r="P1924" s="280"/>
      <c r="Q1924" s="315"/>
      <c r="R1924" s="272"/>
      <c r="S1924" s="272"/>
      <c r="T1924" s="272"/>
      <c r="U1924" s="272"/>
      <c r="V1924" s="272"/>
      <c r="W1924" s="272"/>
      <c r="X1924" s="272"/>
      <c r="Y1924" s="272"/>
      <c r="Z1924" s="272"/>
      <c r="AA1924" s="272"/>
    </row>
    <row r="1925" spans="1:27">
      <c r="A1925" s="273"/>
      <c r="B1925" s="274"/>
      <c r="C1925" s="314"/>
      <c r="D1925" s="274"/>
      <c r="E1925" s="268"/>
      <c r="F1925" s="272"/>
      <c r="G1925" s="268"/>
      <c r="H1925" s="268"/>
      <c r="I1925" s="268"/>
      <c r="J1925" s="272"/>
      <c r="K1925" s="268"/>
      <c r="L1925" s="287"/>
      <c r="M1925" s="283"/>
      <c r="N1925" s="282"/>
      <c r="O1925" s="284"/>
      <c r="P1925" s="280"/>
      <c r="Q1925" s="315"/>
      <c r="R1925" s="272"/>
      <c r="S1925" s="272"/>
      <c r="T1925" s="272"/>
      <c r="U1925" s="272"/>
      <c r="V1925" s="272"/>
      <c r="W1925" s="272"/>
      <c r="X1925" s="272"/>
      <c r="Y1925" s="272"/>
      <c r="Z1925" s="272"/>
      <c r="AA1925" s="272"/>
    </row>
    <row r="1926" spans="1:27">
      <c r="A1926" s="273"/>
      <c r="B1926" s="274"/>
      <c r="C1926" s="314"/>
      <c r="D1926" s="274"/>
      <c r="E1926" s="268"/>
      <c r="F1926" s="272"/>
      <c r="G1926" s="268"/>
      <c r="H1926" s="268"/>
      <c r="I1926" s="268"/>
      <c r="J1926" s="272"/>
      <c r="K1926" s="268"/>
      <c r="L1926" s="287"/>
      <c r="M1926" s="283"/>
      <c r="N1926" s="282"/>
      <c r="O1926" s="284"/>
      <c r="P1926" s="280"/>
      <c r="Q1926" s="315"/>
      <c r="R1926" s="272"/>
      <c r="S1926" s="272"/>
      <c r="T1926" s="272"/>
      <c r="U1926" s="272"/>
      <c r="V1926" s="272"/>
      <c r="W1926" s="272"/>
      <c r="X1926" s="272"/>
      <c r="Y1926" s="272"/>
      <c r="Z1926" s="272"/>
      <c r="AA1926" s="272"/>
    </row>
    <row r="1927" spans="1:27">
      <c r="A1927" s="273"/>
      <c r="B1927" s="274"/>
      <c r="C1927" s="314"/>
      <c r="D1927" s="274"/>
      <c r="E1927" s="268"/>
      <c r="F1927" s="272"/>
      <c r="G1927" s="268"/>
      <c r="H1927" s="268"/>
      <c r="I1927" s="268"/>
      <c r="J1927" s="272"/>
      <c r="K1927" s="268"/>
      <c r="L1927" s="287"/>
      <c r="M1927" s="283"/>
      <c r="N1927" s="282"/>
      <c r="O1927" s="284"/>
      <c r="P1927" s="280"/>
      <c r="Q1927" s="315"/>
      <c r="R1927" s="272"/>
      <c r="S1927" s="272"/>
      <c r="T1927" s="272"/>
      <c r="U1927" s="272"/>
      <c r="V1927" s="272"/>
      <c r="W1927" s="272"/>
      <c r="X1927" s="272"/>
      <c r="Y1927" s="272"/>
      <c r="Z1927" s="272"/>
      <c r="AA1927" s="272"/>
    </row>
    <row r="1928" spans="1:27">
      <c r="A1928" s="273"/>
      <c r="B1928" s="274"/>
      <c r="C1928" s="314"/>
      <c r="D1928" s="274"/>
      <c r="E1928" s="268"/>
      <c r="F1928" s="272"/>
      <c r="G1928" s="268"/>
      <c r="H1928" s="268"/>
      <c r="I1928" s="268"/>
      <c r="J1928" s="272"/>
      <c r="K1928" s="268"/>
      <c r="L1928" s="287"/>
      <c r="M1928" s="283"/>
      <c r="N1928" s="282"/>
      <c r="O1928" s="284"/>
      <c r="P1928" s="280"/>
      <c r="Q1928" s="315"/>
      <c r="R1928" s="272"/>
      <c r="S1928" s="272"/>
      <c r="T1928" s="272"/>
      <c r="U1928" s="272"/>
      <c r="V1928" s="272"/>
      <c r="W1928" s="272"/>
      <c r="X1928" s="272"/>
      <c r="Y1928" s="272"/>
      <c r="Z1928" s="272"/>
      <c r="AA1928" s="272"/>
    </row>
    <row r="1929" spans="1:27">
      <c r="A1929" s="273"/>
      <c r="B1929" s="274"/>
      <c r="C1929" s="314"/>
      <c r="D1929" s="274"/>
      <c r="E1929" s="268"/>
      <c r="F1929" s="272"/>
      <c r="G1929" s="268"/>
      <c r="H1929" s="268"/>
      <c r="I1929" s="268"/>
      <c r="J1929" s="272"/>
      <c r="K1929" s="268"/>
      <c r="L1929" s="287"/>
      <c r="M1929" s="283"/>
      <c r="N1929" s="282"/>
      <c r="O1929" s="284"/>
      <c r="P1929" s="280"/>
      <c r="Q1929" s="315"/>
      <c r="R1929" s="272"/>
      <c r="S1929" s="272"/>
      <c r="T1929" s="272"/>
      <c r="U1929" s="272"/>
      <c r="V1929" s="272"/>
      <c r="W1929" s="272"/>
      <c r="X1929" s="272"/>
      <c r="Y1929" s="272"/>
      <c r="Z1929" s="272"/>
      <c r="AA1929" s="272"/>
    </row>
    <row r="1930" spans="1:27">
      <c r="A1930" s="273"/>
      <c r="B1930" s="274"/>
      <c r="C1930" s="314"/>
      <c r="D1930" s="274"/>
      <c r="E1930" s="268"/>
      <c r="F1930" s="272"/>
      <c r="G1930" s="268"/>
      <c r="H1930" s="268"/>
      <c r="I1930" s="268"/>
      <c r="J1930" s="272"/>
      <c r="K1930" s="268"/>
      <c r="L1930" s="287"/>
      <c r="M1930" s="283"/>
      <c r="N1930" s="282"/>
      <c r="O1930" s="284"/>
      <c r="P1930" s="280"/>
      <c r="Q1930" s="315"/>
      <c r="R1930" s="272"/>
      <c r="S1930" s="272"/>
      <c r="T1930" s="272"/>
      <c r="U1930" s="272"/>
      <c r="V1930" s="272"/>
      <c r="W1930" s="272"/>
      <c r="X1930" s="272"/>
      <c r="Y1930" s="272"/>
      <c r="Z1930" s="272"/>
      <c r="AA1930" s="272"/>
    </row>
    <row r="1931" spans="1:27">
      <c r="A1931" s="273"/>
      <c r="B1931" s="274"/>
      <c r="C1931" s="314"/>
      <c r="D1931" s="274"/>
      <c r="E1931" s="268"/>
      <c r="F1931" s="272"/>
      <c r="G1931" s="268"/>
      <c r="H1931" s="268"/>
      <c r="I1931" s="268"/>
      <c r="J1931" s="272"/>
      <c r="K1931" s="268"/>
      <c r="L1931" s="287"/>
      <c r="M1931" s="283"/>
      <c r="N1931" s="282"/>
      <c r="O1931" s="284"/>
      <c r="P1931" s="280"/>
      <c r="Q1931" s="315"/>
      <c r="R1931" s="272"/>
      <c r="S1931" s="272"/>
      <c r="T1931" s="272"/>
      <c r="U1931" s="272"/>
      <c r="V1931" s="272"/>
      <c r="W1931" s="272"/>
      <c r="X1931" s="272"/>
      <c r="Y1931" s="272"/>
      <c r="Z1931" s="272"/>
      <c r="AA1931" s="272"/>
    </row>
    <row r="1932" spans="1:27">
      <c r="A1932" s="273"/>
      <c r="B1932" s="274"/>
      <c r="C1932" s="314"/>
      <c r="D1932" s="274"/>
      <c r="E1932" s="268"/>
      <c r="F1932" s="272"/>
      <c r="G1932" s="268"/>
      <c r="H1932" s="268"/>
      <c r="I1932" s="268"/>
      <c r="J1932" s="272"/>
      <c r="K1932" s="268"/>
      <c r="L1932" s="287"/>
      <c r="M1932" s="283"/>
      <c r="N1932" s="282"/>
      <c r="O1932" s="284"/>
      <c r="P1932" s="280"/>
      <c r="Q1932" s="315"/>
      <c r="R1932" s="272"/>
      <c r="S1932" s="272"/>
      <c r="T1932" s="272"/>
      <c r="U1932" s="272"/>
      <c r="V1932" s="272"/>
      <c r="W1932" s="272"/>
      <c r="X1932" s="272"/>
      <c r="Y1932" s="272"/>
      <c r="Z1932" s="272"/>
      <c r="AA1932" s="272"/>
    </row>
    <row r="1933" spans="1:27">
      <c r="A1933" s="273"/>
      <c r="B1933" s="274"/>
      <c r="C1933" s="314"/>
      <c r="D1933" s="274"/>
      <c r="E1933" s="268"/>
      <c r="F1933" s="272"/>
      <c r="G1933" s="268"/>
      <c r="H1933" s="268"/>
      <c r="I1933" s="268"/>
      <c r="J1933" s="272"/>
      <c r="K1933" s="268"/>
      <c r="L1933" s="287"/>
      <c r="M1933" s="283"/>
      <c r="N1933" s="282"/>
      <c r="O1933" s="284"/>
      <c r="P1933" s="280"/>
      <c r="Q1933" s="315"/>
      <c r="R1933" s="272"/>
      <c r="S1933" s="272"/>
      <c r="T1933" s="272"/>
      <c r="U1933" s="272"/>
      <c r="V1933" s="272"/>
      <c r="W1933" s="272"/>
      <c r="X1933" s="272"/>
      <c r="Y1933" s="272"/>
      <c r="Z1933" s="272"/>
      <c r="AA1933" s="272"/>
    </row>
    <row r="1934" spans="1:27">
      <c r="A1934" s="273"/>
      <c r="B1934" s="274"/>
      <c r="C1934" s="314"/>
      <c r="D1934" s="274"/>
      <c r="E1934" s="268"/>
      <c r="F1934" s="272"/>
      <c r="G1934" s="268"/>
      <c r="H1934" s="268"/>
      <c r="I1934" s="268"/>
      <c r="J1934" s="272"/>
      <c r="K1934" s="268"/>
      <c r="L1934" s="287"/>
      <c r="M1934" s="283"/>
      <c r="N1934" s="282"/>
      <c r="O1934" s="284"/>
      <c r="P1934" s="280"/>
      <c r="Q1934" s="315"/>
      <c r="R1934" s="272"/>
      <c r="S1934" s="272"/>
      <c r="T1934" s="272"/>
      <c r="U1934" s="272"/>
      <c r="V1934" s="272"/>
      <c r="W1934" s="272"/>
      <c r="X1934" s="272"/>
      <c r="Y1934" s="272"/>
      <c r="Z1934" s="272"/>
      <c r="AA1934" s="272"/>
    </row>
    <row r="1935" spans="1:27">
      <c r="A1935" s="273"/>
      <c r="B1935" s="274"/>
      <c r="C1935" s="314"/>
      <c r="D1935" s="274"/>
      <c r="E1935" s="268"/>
      <c r="F1935" s="272"/>
      <c r="G1935" s="268"/>
      <c r="H1935" s="268"/>
      <c r="I1935" s="268"/>
      <c r="J1935" s="272"/>
      <c r="K1935" s="268"/>
      <c r="L1935" s="287"/>
      <c r="M1935" s="283"/>
      <c r="N1935" s="282"/>
      <c r="O1935" s="284"/>
      <c r="P1935" s="280"/>
      <c r="Q1935" s="315"/>
      <c r="R1935" s="272"/>
      <c r="S1935" s="272"/>
      <c r="T1935" s="272"/>
      <c r="U1935" s="272"/>
      <c r="V1935" s="272"/>
      <c r="W1935" s="272"/>
      <c r="X1935" s="272"/>
      <c r="Y1935" s="272"/>
      <c r="Z1935" s="272"/>
      <c r="AA1935" s="272"/>
    </row>
    <row r="1936" spans="1:27">
      <c r="A1936" s="273"/>
      <c r="B1936" s="274"/>
      <c r="C1936" s="314"/>
      <c r="D1936" s="274"/>
      <c r="E1936" s="268"/>
      <c r="F1936" s="272"/>
      <c r="G1936" s="268"/>
      <c r="H1936" s="268"/>
      <c r="I1936" s="268"/>
      <c r="J1936" s="272"/>
      <c r="K1936" s="268"/>
      <c r="L1936" s="287"/>
      <c r="M1936" s="283"/>
      <c r="N1936" s="282"/>
      <c r="O1936" s="284"/>
      <c r="P1936" s="280"/>
      <c r="Q1936" s="315"/>
      <c r="R1936" s="272"/>
      <c r="S1936" s="272"/>
      <c r="T1936" s="272"/>
      <c r="U1936" s="272"/>
      <c r="V1936" s="272"/>
      <c r="W1936" s="272"/>
      <c r="X1936" s="272"/>
      <c r="Y1936" s="272"/>
      <c r="Z1936" s="272"/>
      <c r="AA1936" s="272"/>
    </row>
    <row r="1937" spans="1:27">
      <c r="A1937" s="273"/>
      <c r="B1937" s="274"/>
      <c r="C1937" s="314"/>
      <c r="D1937" s="274"/>
      <c r="E1937" s="268"/>
      <c r="F1937" s="272"/>
      <c r="G1937" s="268"/>
      <c r="H1937" s="268"/>
      <c r="I1937" s="268"/>
      <c r="J1937" s="272"/>
      <c r="K1937" s="268"/>
      <c r="L1937" s="287"/>
      <c r="M1937" s="283"/>
      <c r="N1937" s="282"/>
      <c r="O1937" s="284"/>
      <c r="P1937" s="280"/>
      <c r="Q1937" s="315"/>
      <c r="R1937" s="272"/>
      <c r="S1937" s="272"/>
      <c r="T1937" s="272"/>
      <c r="U1937" s="272"/>
      <c r="V1937" s="272"/>
      <c r="W1937" s="272"/>
      <c r="X1937" s="272"/>
      <c r="Y1937" s="272"/>
      <c r="Z1937" s="272"/>
      <c r="AA1937" s="272"/>
    </row>
    <row r="1938" spans="1:27">
      <c r="A1938" s="273"/>
      <c r="B1938" s="274"/>
      <c r="C1938" s="314"/>
      <c r="D1938" s="274"/>
      <c r="E1938" s="268"/>
      <c r="F1938" s="272"/>
      <c r="G1938" s="268"/>
      <c r="H1938" s="268"/>
      <c r="I1938" s="268"/>
      <c r="J1938" s="272"/>
      <c r="K1938" s="268"/>
      <c r="L1938" s="287"/>
      <c r="M1938" s="283"/>
      <c r="N1938" s="282"/>
      <c r="O1938" s="284"/>
      <c r="P1938" s="280"/>
      <c r="Q1938" s="315"/>
      <c r="R1938" s="272"/>
      <c r="S1938" s="272"/>
      <c r="T1938" s="272"/>
      <c r="U1938" s="272"/>
      <c r="V1938" s="272"/>
      <c r="W1938" s="272"/>
      <c r="X1938" s="272"/>
      <c r="Y1938" s="272"/>
      <c r="Z1938" s="272"/>
      <c r="AA1938" s="272"/>
    </row>
    <row r="1939" spans="1:27">
      <c r="A1939" s="273"/>
      <c r="B1939" s="274"/>
      <c r="C1939" s="314"/>
      <c r="D1939" s="274"/>
      <c r="E1939" s="268"/>
      <c r="F1939" s="272"/>
      <c r="G1939" s="268"/>
      <c r="H1939" s="268"/>
      <c r="I1939" s="268"/>
      <c r="J1939" s="272"/>
      <c r="K1939" s="268"/>
      <c r="L1939" s="287"/>
      <c r="M1939" s="283"/>
      <c r="N1939" s="282"/>
      <c r="O1939" s="284"/>
      <c r="P1939" s="280"/>
      <c r="Q1939" s="315"/>
      <c r="R1939" s="272"/>
      <c r="S1939" s="272"/>
      <c r="T1939" s="272"/>
      <c r="U1939" s="272"/>
      <c r="V1939" s="272"/>
      <c r="W1939" s="272"/>
      <c r="X1939" s="272"/>
      <c r="Y1939" s="272"/>
      <c r="Z1939" s="272"/>
      <c r="AA1939" s="272"/>
    </row>
    <row r="1940" spans="1:27">
      <c r="A1940" s="273"/>
      <c r="B1940" s="274"/>
      <c r="C1940" s="314"/>
      <c r="D1940" s="274"/>
      <c r="E1940" s="268"/>
      <c r="F1940" s="272"/>
      <c r="G1940" s="268"/>
      <c r="H1940" s="268"/>
      <c r="I1940" s="268"/>
      <c r="J1940" s="272"/>
      <c r="K1940" s="268"/>
      <c r="L1940" s="287"/>
      <c r="M1940" s="283"/>
      <c r="N1940" s="282"/>
      <c r="O1940" s="284"/>
      <c r="P1940" s="280"/>
      <c r="Q1940" s="315"/>
      <c r="R1940" s="272"/>
      <c r="S1940" s="272"/>
      <c r="T1940" s="272"/>
      <c r="U1940" s="272"/>
      <c r="V1940" s="272"/>
      <c r="W1940" s="272"/>
      <c r="X1940" s="272"/>
      <c r="Y1940" s="272"/>
      <c r="Z1940" s="272"/>
      <c r="AA1940" s="272"/>
    </row>
    <row r="1941" spans="1:27">
      <c r="A1941" s="273"/>
      <c r="B1941" s="274"/>
      <c r="C1941" s="314"/>
      <c r="D1941" s="274"/>
      <c r="E1941" s="268"/>
      <c r="F1941" s="272"/>
      <c r="G1941" s="268"/>
      <c r="H1941" s="268"/>
      <c r="I1941" s="268"/>
      <c r="J1941" s="272"/>
      <c r="K1941" s="268"/>
      <c r="L1941" s="287"/>
      <c r="M1941" s="283"/>
      <c r="N1941" s="282"/>
      <c r="O1941" s="284"/>
      <c r="P1941" s="280"/>
      <c r="Q1941" s="315"/>
      <c r="R1941" s="272"/>
      <c r="S1941" s="272"/>
      <c r="T1941" s="272"/>
      <c r="U1941" s="272"/>
      <c r="V1941" s="272"/>
      <c r="W1941" s="272"/>
      <c r="X1941" s="272"/>
      <c r="Y1941" s="272"/>
      <c r="Z1941" s="272"/>
      <c r="AA1941" s="272"/>
    </row>
    <row r="1942" spans="1:27">
      <c r="A1942" s="273"/>
      <c r="B1942" s="274"/>
      <c r="C1942" s="314"/>
      <c r="D1942" s="274"/>
      <c r="E1942" s="268"/>
      <c r="F1942" s="272"/>
      <c r="G1942" s="268"/>
      <c r="H1942" s="268"/>
      <c r="I1942" s="268"/>
      <c r="J1942" s="272"/>
      <c r="K1942" s="268"/>
      <c r="L1942" s="287"/>
      <c r="M1942" s="283"/>
      <c r="N1942" s="282"/>
      <c r="O1942" s="284"/>
      <c r="P1942" s="280"/>
      <c r="Q1942" s="315"/>
      <c r="R1942" s="272"/>
      <c r="S1942" s="272"/>
      <c r="T1942" s="272"/>
      <c r="U1942" s="272"/>
      <c r="V1942" s="272"/>
      <c r="W1942" s="272"/>
      <c r="X1942" s="272"/>
      <c r="Y1942" s="272"/>
      <c r="Z1942" s="272"/>
      <c r="AA1942" s="272"/>
    </row>
    <row r="1943" spans="1:27">
      <c r="A1943" s="273"/>
      <c r="B1943" s="274"/>
      <c r="C1943" s="314"/>
      <c r="D1943" s="274"/>
      <c r="E1943" s="268"/>
      <c r="F1943" s="272"/>
      <c r="G1943" s="268"/>
      <c r="H1943" s="268"/>
      <c r="I1943" s="268"/>
      <c r="J1943" s="272"/>
      <c r="K1943" s="268"/>
      <c r="L1943" s="287"/>
      <c r="M1943" s="283"/>
      <c r="N1943" s="282"/>
      <c r="O1943" s="284"/>
      <c r="P1943" s="280"/>
      <c r="Q1943" s="315"/>
      <c r="R1943" s="272"/>
      <c r="S1943" s="272"/>
      <c r="T1943" s="272"/>
      <c r="U1943" s="272"/>
      <c r="V1943" s="272"/>
      <c r="W1943" s="272"/>
      <c r="X1943" s="272"/>
      <c r="Y1943" s="272"/>
      <c r="Z1943" s="272"/>
      <c r="AA1943" s="272"/>
    </row>
    <row r="1944" spans="1:27">
      <c r="A1944" s="273"/>
      <c r="B1944" s="274"/>
      <c r="C1944" s="314"/>
      <c r="D1944" s="274"/>
      <c r="E1944" s="268"/>
      <c r="F1944" s="272"/>
      <c r="G1944" s="268"/>
      <c r="H1944" s="268"/>
      <c r="I1944" s="268"/>
      <c r="J1944" s="272"/>
      <c r="K1944" s="268"/>
      <c r="L1944" s="287"/>
      <c r="M1944" s="283"/>
      <c r="N1944" s="282"/>
      <c r="O1944" s="284"/>
      <c r="P1944" s="280"/>
      <c r="Q1944" s="315"/>
      <c r="R1944" s="272"/>
      <c r="S1944" s="272"/>
      <c r="T1944" s="272"/>
      <c r="U1944" s="272"/>
      <c r="V1944" s="272"/>
      <c r="W1944" s="272"/>
      <c r="X1944" s="272"/>
      <c r="Y1944" s="272"/>
      <c r="Z1944" s="272"/>
      <c r="AA1944" s="272"/>
    </row>
    <row r="1945" spans="1:27">
      <c r="A1945" s="273"/>
      <c r="B1945" s="274"/>
      <c r="C1945" s="314"/>
      <c r="D1945" s="274"/>
      <c r="E1945" s="268"/>
      <c r="F1945" s="272"/>
      <c r="G1945" s="268"/>
      <c r="H1945" s="268"/>
      <c r="I1945" s="268"/>
      <c r="J1945" s="272"/>
      <c r="K1945" s="268"/>
      <c r="L1945" s="287"/>
      <c r="M1945" s="283"/>
      <c r="N1945" s="282"/>
      <c r="O1945" s="284"/>
      <c r="P1945" s="280"/>
      <c r="Q1945" s="315"/>
      <c r="R1945" s="272"/>
      <c r="S1945" s="272"/>
      <c r="T1945" s="272"/>
      <c r="U1945" s="272"/>
      <c r="V1945" s="272"/>
      <c r="W1945" s="272"/>
      <c r="X1945" s="272"/>
      <c r="Y1945" s="272"/>
      <c r="Z1945" s="272"/>
      <c r="AA1945" s="272"/>
    </row>
    <row r="1946" spans="1:27">
      <c r="A1946" s="273"/>
      <c r="B1946" s="274"/>
      <c r="C1946" s="314"/>
      <c r="D1946" s="274"/>
      <c r="E1946" s="268"/>
      <c r="F1946" s="272"/>
      <c r="G1946" s="268"/>
      <c r="H1946" s="268"/>
      <c r="I1946" s="268"/>
      <c r="J1946" s="272"/>
      <c r="K1946" s="268"/>
      <c r="L1946" s="287"/>
      <c r="M1946" s="283"/>
      <c r="N1946" s="282"/>
      <c r="O1946" s="284"/>
      <c r="P1946" s="280"/>
      <c r="Q1946" s="315"/>
      <c r="R1946" s="272"/>
      <c r="S1946" s="272"/>
      <c r="T1946" s="272"/>
      <c r="U1946" s="272"/>
      <c r="V1946" s="272"/>
      <c r="W1946" s="272"/>
      <c r="X1946" s="272"/>
      <c r="Y1946" s="272"/>
      <c r="Z1946" s="272"/>
      <c r="AA1946" s="272"/>
    </row>
    <row r="1947" spans="1:27">
      <c r="A1947" s="273"/>
      <c r="B1947" s="274"/>
      <c r="C1947" s="314"/>
      <c r="D1947" s="274"/>
      <c r="E1947" s="268"/>
      <c r="F1947" s="272"/>
      <c r="G1947" s="268"/>
      <c r="H1947" s="268"/>
      <c r="I1947" s="268"/>
      <c r="J1947" s="272"/>
      <c r="K1947" s="268"/>
      <c r="L1947" s="287"/>
      <c r="M1947" s="283"/>
      <c r="N1947" s="282"/>
      <c r="O1947" s="284"/>
      <c r="P1947" s="280"/>
      <c r="Q1947" s="315"/>
      <c r="R1947" s="272"/>
      <c r="S1947" s="272"/>
      <c r="T1947" s="272"/>
      <c r="U1947" s="272"/>
      <c r="V1947" s="272"/>
      <c r="W1947" s="272"/>
      <c r="X1947" s="272"/>
      <c r="Y1947" s="272"/>
      <c r="Z1947" s="272"/>
      <c r="AA1947" s="272"/>
    </row>
    <row r="1948" spans="1:27">
      <c r="A1948" s="273"/>
      <c r="B1948" s="274"/>
      <c r="C1948" s="314"/>
      <c r="D1948" s="274"/>
      <c r="E1948" s="268"/>
      <c r="F1948" s="272"/>
      <c r="G1948" s="268"/>
      <c r="H1948" s="268"/>
      <c r="I1948" s="268"/>
      <c r="J1948" s="272"/>
      <c r="K1948" s="268"/>
      <c r="L1948" s="287"/>
      <c r="M1948" s="283"/>
      <c r="N1948" s="282"/>
      <c r="O1948" s="284"/>
      <c r="P1948" s="280"/>
      <c r="Q1948" s="315"/>
      <c r="R1948" s="272"/>
      <c r="S1948" s="272"/>
      <c r="T1948" s="272"/>
      <c r="U1948" s="272"/>
      <c r="V1948" s="272"/>
      <c r="W1948" s="272"/>
      <c r="X1948" s="272"/>
      <c r="Y1948" s="272"/>
      <c r="Z1948" s="272"/>
      <c r="AA1948" s="272"/>
    </row>
    <row r="1949" spans="1:27">
      <c r="A1949" s="273"/>
      <c r="B1949" s="274"/>
      <c r="C1949" s="314"/>
      <c r="D1949" s="274"/>
      <c r="E1949" s="268"/>
      <c r="F1949" s="272"/>
      <c r="G1949" s="268"/>
      <c r="H1949" s="268"/>
      <c r="I1949" s="268"/>
      <c r="J1949" s="272"/>
      <c r="K1949" s="268"/>
      <c r="L1949" s="287"/>
      <c r="M1949" s="283"/>
      <c r="N1949" s="282"/>
      <c r="O1949" s="284"/>
      <c r="P1949" s="280"/>
      <c r="Q1949" s="315"/>
      <c r="R1949" s="272"/>
      <c r="S1949" s="272"/>
      <c r="T1949" s="272"/>
      <c r="U1949" s="272"/>
      <c r="V1949" s="272"/>
      <c r="W1949" s="272"/>
      <c r="X1949" s="272"/>
      <c r="Y1949" s="272"/>
      <c r="Z1949" s="272"/>
      <c r="AA1949" s="272"/>
    </row>
    <row r="1950" spans="1:27">
      <c r="A1950" s="273"/>
      <c r="B1950" s="274"/>
      <c r="C1950" s="314"/>
      <c r="D1950" s="274"/>
      <c r="E1950" s="268"/>
      <c r="F1950" s="272"/>
      <c r="G1950" s="268"/>
      <c r="H1950" s="268"/>
      <c r="I1950" s="268"/>
      <c r="J1950" s="272"/>
      <c r="K1950" s="268"/>
      <c r="L1950" s="287"/>
      <c r="M1950" s="283"/>
      <c r="N1950" s="282"/>
      <c r="O1950" s="284"/>
      <c r="P1950" s="280"/>
      <c r="Q1950" s="315"/>
      <c r="R1950" s="272"/>
      <c r="S1950" s="272"/>
      <c r="T1950" s="272"/>
      <c r="U1950" s="272"/>
      <c r="V1950" s="272"/>
      <c r="W1950" s="272"/>
      <c r="X1950" s="272"/>
      <c r="Y1950" s="272"/>
      <c r="Z1950" s="272"/>
      <c r="AA1950" s="272"/>
    </row>
    <row r="1951" spans="1:27">
      <c r="A1951" s="273"/>
      <c r="B1951" s="274"/>
      <c r="C1951" s="314"/>
      <c r="D1951" s="274"/>
      <c r="E1951" s="268"/>
      <c r="F1951" s="272"/>
      <c r="G1951" s="268"/>
      <c r="H1951" s="268"/>
      <c r="I1951" s="268"/>
      <c r="J1951" s="272"/>
      <c r="K1951" s="268"/>
      <c r="L1951" s="287"/>
      <c r="M1951" s="283"/>
      <c r="N1951" s="282"/>
      <c r="O1951" s="284"/>
      <c r="P1951" s="280"/>
      <c r="Q1951" s="315"/>
      <c r="R1951" s="272"/>
      <c r="S1951" s="272"/>
      <c r="T1951" s="272"/>
      <c r="U1951" s="272"/>
      <c r="V1951" s="272"/>
      <c r="W1951" s="272"/>
      <c r="X1951" s="272"/>
      <c r="Y1951" s="272"/>
      <c r="Z1951" s="272"/>
      <c r="AA1951" s="272"/>
    </row>
    <row r="1952" spans="1:27">
      <c r="A1952" s="273"/>
      <c r="B1952" s="274"/>
      <c r="C1952" s="314"/>
      <c r="D1952" s="274"/>
      <c r="E1952" s="268"/>
      <c r="F1952" s="272"/>
      <c r="G1952" s="268"/>
      <c r="H1952" s="268"/>
      <c r="I1952" s="268"/>
      <c r="J1952" s="272"/>
      <c r="K1952" s="268"/>
      <c r="L1952" s="287"/>
      <c r="M1952" s="283"/>
      <c r="N1952" s="282"/>
      <c r="O1952" s="284"/>
      <c r="P1952" s="280"/>
      <c r="Q1952" s="315"/>
      <c r="R1952" s="272"/>
      <c r="S1952" s="272"/>
      <c r="T1952" s="272"/>
      <c r="U1952" s="272"/>
      <c r="V1952" s="272"/>
      <c r="W1952" s="272"/>
      <c r="X1952" s="272"/>
      <c r="Y1952" s="272"/>
      <c r="Z1952" s="272"/>
      <c r="AA1952" s="272"/>
    </row>
    <row r="1953" spans="1:27">
      <c r="A1953" s="273"/>
      <c r="B1953" s="274"/>
      <c r="C1953" s="314"/>
      <c r="D1953" s="274"/>
      <c r="E1953" s="268"/>
      <c r="F1953" s="272"/>
      <c r="G1953" s="268"/>
      <c r="H1953" s="268"/>
      <c r="I1953" s="268"/>
      <c r="J1953" s="272"/>
      <c r="K1953" s="268"/>
      <c r="L1953" s="287"/>
      <c r="M1953" s="283"/>
      <c r="N1953" s="282"/>
      <c r="O1953" s="284"/>
      <c r="P1953" s="280"/>
      <c r="Q1953" s="315"/>
      <c r="R1953" s="272"/>
      <c r="S1953" s="272"/>
      <c r="T1953" s="272"/>
      <c r="U1953" s="272"/>
      <c r="V1953" s="272"/>
      <c r="W1953" s="272"/>
      <c r="X1953" s="272"/>
      <c r="Y1953" s="272"/>
      <c r="Z1953" s="272"/>
      <c r="AA1953" s="272"/>
    </row>
    <row r="1954" spans="1:27">
      <c r="A1954" s="273"/>
      <c r="B1954" s="274"/>
      <c r="C1954" s="314"/>
      <c r="D1954" s="274"/>
      <c r="E1954" s="268"/>
      <c r="F1954" s="272"/>
      <c r="G1954" s="268"/>
      <c r="H1954" s="268"/>
      <c r="I1954" s="268"/>
      <c r="J1954" s="272"/>
      <c r="K1954" s="268"/>
      <c r="L1954" s="287"/>
      <c r="M1954" s="283"/>
      <c r="N1954" s="282"/>
      <c r="O1954" s="284"/>
      <c r="P1954" s="280"/>
      <c r="Q1954" s="315"/>
      <c r="R1954" s="272"/>
      <c r="S1954" s="272"/>
      <c r="T1954" s="272"/>
      <c r="U1954" s="272"/>
      <c r="V1954" s="272"/>
      <c r="W1954" s="272"/>
      <c r="X1954" s="272"/>
      <c r="Y1954" s="272"/>
      <c r="Z1954" s="272"/>
      <c r="AA1954" s="272"/>
    </row>
    <row r="1955" spans="1:27">
      <c r="A1955" s="273"/>
      <c r="B1955" s="274"/>
      <c r="C1955" s="314"/>
      <c r="D1955" s="274"/>
      <c r="E1955" s="268"/>
      <c r="F1955" s="272"/>
      <c r="G1955" s="268"/>
      <c r="H1955" s="268"/>
      <c r="I1955" s="268"/>
      <c r="J1955" s="272"/>
      <c r="K1955" s="268"/>
      <c r="L1955" s="287"/>
      <c r="M1955" s="283"/>
      <c r="N1955" s="282"/>
      <c r="O1955" s="284"/>
      <c r="P1955" s="280"/>
      <c r="Q1955" s="315"/>
      <c r="R1955" s="272"/>
      <c r="S1955" s="272"/>
      <c r="T1955" s="272"/>
      <c r="U1955" s="272"/>
      <c r="V1955" s="272"/>
      <c r="W1955" s="272"/>
      <c r="X1955" s="272"/>
      <c r="Y1955" s="272"/>
      <c r="Z1955" s="272"/>
      <c r="AA1955" s="272"/>
    </row>
    <row r="1956" spans="1:27">
      <c r="A1956" s="273"/>
      <c r="B1956" s="274"/>
      <c r="C1956" s="314"/>
      <c r="D1956" s="274"/>
      <c r="E1956" s="268"/>
      <c r="F1956" s="272"/>
      <c r="G1956" s="268"/>
      <c r="H1956" s="268"/>
      <c r="I1956" s="268"/>
      <c r="J1956" s="272"/>
      <c r="K1956" s="268"/>
      <c r="L1956" s="287"/>
      <c r="M1956" s="283"/>
      <c r="N1956" s="282"/>
      <c r="O1956" s="284"/>
      <c r="P1956" s="280"/>
      <c r="Q1956" s="315"/>
      <c r="R1956" s="272"/>
      <c r="S1956" s="272"/>
      <c r="T1956" s="272"/>
      <c r="U1956" s="272"/>
      <c r="V1956" s="272"/>
      <c r="W1956" s="272"/>
      <c r="X1956" s="272"/>
      <c r="Y1956" s="272"/>
      <c r="Z1956" s="272"/>
      <c r="AA1956" s="272"/>
    </row>
    <row r="1957" spans="1:27">
      <c r="A1957" s="273"/>
      <c r="B1957" s="274"/>
      <c r="C1957" s="314"/>
      <c r="D1957" s="274"/>
      <c r="E1957" s="268"/>
      <c r="F1957" s="272"/>
      <c r="G1957" s="268"/>
      <c r="H1957" s="268"/>
      <c r="I1957" s="268"/>
      <c r="J1957" s="272"/>
      <c r="K1957" s="268"/>
      <c r="L1957" s="287"/>
      <c r="M1957" s="283"/>
      <c r="N1957" s="282"/>
      <c r="O1957" s="284"/>
      <c r="P1957" s="280"/>
      <c r="Q1957" s="315"/>
      <c r="R1957" s="272"/>
      <c r="S1957" s="272"/>
      <c r="T1957" s="272"/>
      <c r="U1957" s="272"/>
      <c r="V1957" s="272"/>
      <c r="W1957" s="272"/>
      <c r="X1957" s="272"/>
      <c r="Y1957" s="272"/>
      <c r="Z1957" s="272"/>
      <c r="AA1957" s="272"/>
    </row>
    <row r="1958" spans="1:27">
      <c r="A1958" s="273"/>
      <c r="B1958" s="274"/>
      <c r="C1958" s="314"/>
      <c r="D1958" s="274"/>
      <c r="E1958" s="268"/>
      <c r="F1958" s="272"/>
      <c r="G1958" s="268"/>
      <c r="H1958" s="268"/>
      <c r="I1958" s="268"/>
      <c r="J1958" s="272"/>
      <c r="K1958" s="268"/>
      <c r="L1958" s="287"/>
      <c r="M1958" s="283"/>
      <c r="N1958" s="282"/>
      <c r="O1958" s="284"/>
      <c r="P1958" s="280"/>
      <c r="Q1958" s="315"/>
      <c r="R1958" s="272"/>
      <c r="S1958" s="272"/>
      <c r="T1958" s="272"/>
      <c r="U1958" s="272"/>
      <c r="V1958" s="272"/>
      <c r="W1958" s="272"/>
      <c r="X1958" s="272"/>
      <c r="Y1958" s="272"/>
      <c r="Z1958" s="272"/>
      <c r="AA1958" s="272"/>
    </row>
    <row r="1959" spans="1:27">
      <c r="A1959" s="273"/>
      <c r="B1959" s="274"/>
      <c r="C1959" s="314"/>
      <c r="D1959" s="274"/>
      <c r="E1959" s="268"/>
      <c r="F1959" s="272"/>
      <c r="G1959" s="268"/>
      <c r="H1959" s="268"/>
      <c r="I1959" s="268"/>
      <c r="J1959" s="272"/>
      <c r="K1959" s="268"/>
      <c r="L1959" s="287"/>
      <c r="M1959" s="283"/>
      <c r="N1959" s="282"/>
      <c r="O1959" s="284"/>
      <c r="P1959" s="280"/>
      <c r="Q1959" s="315"/>
      <c r="R1959" s="272"/>
      <c r="S1959" s="272"/>
      <c r="T1959" s="272"/>
      <c r="U1959" s="272"/>
      <c r="V1959" s="272"/>
      <c r="W1959" s="272"/>
      <c r="X1959" s="272"/>
      <c r="Y1959" s="272"/>
      <c r="Z1959" s="272"/>
      <c r="AA1959" s="272"/>
    </row>
    <row r="1960" spans="1:27">
      <c r="A1960" s="273"/>
      <c r="B1960" s="274"/>
      <c r="C1960" s="314"/>
      <c r="D1960" s="274"/>
      <c r="E1960" s="268"/>
      <c r="F1960" s="272"/>
      <c r="G1960" s="268"/>
      <c r="H1960" s="268"/>
      <c r="I1960" s="268"/>
      <c r="J1960" s="272"/>
      <c r="K1960" s="268"/>
      <c r="L1960" s="287"/>
      <c r="M1960" s="283"/>
      <c r="N1960" s="282"/>
      <c r="O1960" s="284"/>
      <c r="P1960" s="280"/>
      <c r="Q1960" s="315"/>
      <c r="R1960" s="272"/>
      <c r="S1960" s="272"/>
      <c r="T1960" s="272"/>
      <c r="U1960" s="272"/>
      <c r="V1960" s="272"/>
      <c r="W1960" s="272"/>
      <c r="X1960" s="272"/>
      <c r="Y1960" s="272"/>
      <c r="Z1960" s="272"/>
      <c r="AA1960" s="272"/>
    </row>
    <row r="1961" spans="1:27">
      <c r="A1961" s="273"/>
      <c r="B1961" s="274"/>
      <c r="C1961" s="314"/>
      <c r="D1961" s="274"/>
      <c r="E1961" s="268"/>
      <c r="F1961" s="272"/>
      <c r="G1961" s="268"/>
      <c r="H1961" s="268"/>
      <c r="I1961" s="268"/>
      <c r="J1961" s="272"/>
      <c r="K1961" s="268"/>
      <c r="L1961" s="287"/>
      <c r="M1961" s="283"/>
      <c r="N1961" s="282"/>
      <c r="O1961" s="284"/>
      <c r="P1961" s="280"/>
      <c r="Q1961" s="315"/>
      <c r="R1961" s="272"/>
      <c r="S1961" s="272"/>
      <c r="T1961" s="272"/>
      <c r="U1961" s="272"/>
      <c r="V1961" s="272"/>
      <c r="W1961" s="272"/>
      <c r="X1961" s="272"/>
      <c r="Y1961" s="272"/>
      <c r="Z1961" s="272"/>
      <c r="AA1961" s="272"/>
    </row>
    <row r="1962" spans="1:27">
      <c r="A1962" s="273"/>
      <c r="B1962" s="274"/>
      <c r="C1962" s="314"/>
      <c r="D1962" s="274"/>
      <c r="E1962" s="268"/>
      <c r="F1962" s="272"/>
      <c r="G1962" s="268"/>
      <c r="H1962" s="268"/>
      <c r="I1962" s="268"/>
      <c r="J1962" s="272"/>
      <c r="K1962" s="268"/>
      <c r="L1962" s="287"/>
      <c r="M1962" s="283"/>
      <c r="N1962" s="282"/>
      <c r="O1962" s="284"/>
      <c r="P1962" s="280"/>
      <c r="Q1962" s="315"/>
      <c r="R1962" s="272"/>
      <c r="S1962" s="272"/>
      <c r="T1962" s="272"/>
      <c r="U1962" s="272"/>
      <c r="V1962" s="272"/>
      <c r="W1962" s="272"/>
      <c r="X1962" s="272"/>
      <c r="Y1962" s="272"/>
      <c r="Z1962" s="272"/>
      <c r="AA1962" s="272"/>
    </row>
    <row r="1963" spans="1:27">
      <c r="A1963" s="273"/>
      <c r="B1963" s="274"/>
      <c r="C1963" s="314"/>
      <c r="D1963" s="274"/>
      <c r="E1963" s="268"/>
      <c r="F1963" s="272"/>
      <c r="G1963" s="268"/>
      <c r="H1963" s="268"/>
      <c r="I1963" s="268"/>
      <c r="J1963" s="272"/>
      <c r="K1963" s="268"/>
      <c r="L1963" s="287"/>
      <c r="M1963" s="283"/>
      <c r="N1963" s="282"/>
      <c r="O1963" s="284"/>
      <c r="P1963" s="280"/>
      <c r="Q1963" s="315"/>
      <c r="R1963" s="272"/>
      <c r="S1963" s="272"/>
      <c r="T1963" s="272"/>
      <c r="U1963" s="272"/>
      <c r="V1963" s="272"/>
      <c r="W1963" s="272"/>
      <c r="X1963" s="272"/>
      <c r="Y1963" s="272"/>
      <c r="Z1963" s="272"/>
      <c r="AA1963" s="272"/>
    </row>
    <row r="1964" spans="1:27">
      <c r="A1964" s="273"/>
      <c r="B1964" s="274"/>
      <c r="C1964" s="314"/>
      <c r="D1964" s="274"/>
      <c r="E1964" s="268"/>
      <c r="F1964" s="272"/>
      <c r="G1964" s="268"/>
      <c r="H1964" s="268"/>
      <c r="I1964" s="268"/>
      <c r="J1964" s="272"/>
      <c r="K1964" s="268"/>
      <c r="L1964" s="287"/>
      <c r="M1964" s="283"/>
      <c r="N1964" s="282"/>
      <c r="O1964" s="284"/>
      <c r="P1964" s="280"/>
      <c r="Q1964" s="315"/>
      <c r="R1964" s="272"/>
      <c r="S1964" s="272"/>
      <c r="T1964" s="272"/>
      <c r="U1964" s="272"/>
      <c r="V1964" s="272"/>
      <c r="W1964" s="272"/>
      <c r="X1964" s="272"/>
      <c r="Y1964" s="272"/>
      <c r="Z1964" s="272"/>
      <c r="AA1964" s="272"/>
    </row>
    <row r="1965" spans="1:27">
      <c r="A1965" s="273"/>
      <c r="B1965" s="274"/>
      <c r="C1965" s="314"/>
      <c r="D1965" s="274"/>
      <c r="E1965" s="268"/>
      <c r="F1965" s="272"/>
      <c r="G1965" s="268"/>
      <c r="H1965" s="268"/>
      <c r="I1965" s="268"/>
      <c r="J1965" s="272"/>
      <c r="K1965" s="268"/>
      <c r="L1965" s="287"/>
      <c r="M1965" s="283"/>
      <c r="N1965" s="282"/>
      <c r="O1965" s="284"/>
      <c r="P1965" s="280"/>
      <c r="Q1965" s="315"/>
      <c r="R1965" s="272"/>
      <c r="S1965" s="272"/>
      <c r="T1965" s="272"/>
      <c r="U1965" s="272"/>
      <c r="V1965" s="272"/>
      <c r="W1965" s="272"/>
      <c r="X1965" s="272"/>
      <c r="Y1965" s="272"/>
      <c r="Z1965" s="272"/>
      <c r="AA1965" s="272"/>
    </row>
    <row r="1966" spans="1:27">
      <c r="A1966" s="273"/>
      <c r="B1966" s="274"/>
      <c r="C1966" s="314"/>
      <c r="D1966" s="274"/>
      <c r="E1966" s="268"/>
      <c r="F1966" s="272"/>
      <c r="G1966" s="268"/>
      <c r="H1966" s="268"/>
      <c r="I1966" s="268"/>
      <c r="J1966" s="272"/>
      <c r="K1966" s="268"/>
      <c r="L1966" s="287"/>
      <c r="M1966" s="283"/>
      <c r="N1966" s="282"/>
      <c r="O1966" s="284"/>
      <c r="P1966" s="280"/>
      <c r="Q1966" s="315"/>
      <c r="R1966" s="272"/>
      <c r="S1966" s="272"/>
      <c r="T1966" s="272"/>
      <c r="U1966" s="272"/>
      <c r="V1966" s="272"/>
      <c r="W1966" s="272"/>
      <c r="X1966" s="272"/>
      <c r="Y1966" s="272"/>
      <c r="Z1966" s="272"/>
      <c r="AA1966" s="272"/>
    </row>
    <row r="1967" spans="1:27">
      <c r="A1967" s="273"/>
      <c r="B1967" s="274"/>
      <c r="C1967" s="314"/>
      <c r="D1967" s="274"/>
      <c r="E1967" s="268"/>
      <c r="F1967" s="272"/>
      <c r="G1967" s="268"/>
      <c r="H1967" s="268"/>
      <c r="I1967" s="268"/>
      <c r="J1967" s="272"/>
      <c r="K1967" s="268"/>
      <c r="L1967" s="287"/>
      <c r="M1967" s="283"/>
      <c r="N1967" s="282"/>
      <c r="O1967" s="284"/>
      <c r="P1967" s="280"/>
      <c r="Q1967" s="315"/>
      <c r="R1967" s="272"/>
      <c r="S1967" s="272"/>
      <c r="T1967" s="272"/>
      <c r="U1967" s="272"/>
      <c r="V1967" s="272"/>
      <c r="W1967" s="272"/>
      <c r="X1967" s="272"/>
      <c r="Y1967" s="272"/>
      <c r="Z1967" s="272"/>
      <c r="AA1967" s="272"/>
    </row>
    <row r="1968" spans="1:27">
      <c r="A1968" s="273"/>
      <c r="B1968" s="274"/>
      <c r="C1968" s="314"/>
      <c r="D1968" s="274"/>
      <c r="E1968" s="268"/>
      <c r="F1968" s="272"/>
      <c r="G1968" s="268"/>
      <c r="H1968" s="268"/>
      <c r="I1968" s="268"/>
      <c r="J1968" s="272"/>
      <c r="K1968" s="268"/>
      <c r="L1968" s="287"/>
      <c r="M1968" s="283"/>
      <c r="N1968" s="282"/>
      <c r="O1968" s="284"/>
      <c r="P1968" s="280"/>
      <c r="Q1968" s="315"/>
      <c r="R1968" s="272"/>
      <c r="S1968" s="272"/>
      <c r="T1968" s="272"/>
      <c r="U1968" s="272"/>
      <c r="V1968" s="272"/>
      <c r="W1968" s="272"/>
      <c r="X1968" s="272"/>
      <c r="Y1968" s="272"/>
      <c r="Z1968" s="272"/>
      <c r="AA1968" s="272"/>
    </row>
    <row r="1969" spans="1:27">
      <c r="A1969" s="273"/>
      <c r="B1969" s="274"/>
      <c r="C1969" s="314"/>
      <c r="D1969" s="274"/>
      <c r="E1969" s="268"/>
      <c r="F1969" s="272"/>
      <c r="G1969" s="268"/>
      <c r="H1969" s="268"/>
      <c r="I1969" s="268"/>
      <c r="J1969" s="272"/>
      <c r="K1969" s="268"/>
      <c r="L1969" s="287"/>
      <c r="M1969" s="283"/>
      <c r="N1969" s="282"/>
      <c r="O1969" s="284"/>
      <c r="P1969" s="280"/>
      <c r="Q1969" s="315"/>
      <c r="R1969" s="272"/>
      <c r="S1969" s="272"/>
      <c r="T1969" s="272"/>
      <c r="U1969" s="272"/>
      <c r="V1969" s="272"/>
      <c r="W1969" s="272"/>
      <c r="X1969" s="272"/>
      <c r="Y1969" s="272"/>
      <c r="Z1969" s="272"/>
      <c r="AA1969" s="272"/>
    </row>
    <row r="1970" spans="1:27">
      <c r="A1970" s="273"/>
      <c r="B1970" s="274"/>
      <c r="C1970" s="314"/>
      <c r="D1970" s="274"/>
      <c r="E1970" s="268"/>
      <c r="F1970" s="272"/>
      <c r="G1970" s="268"/>
      <c r="H1970" s="268"/>
      <c r="I1970" s="268"/>
      <c r="J1970" s="272"/>
      <c r="K1970" s="268"/>
      <c r="L1970" s="287"/>
      <c r="M1970" s="283"/>
      <c r="N1970" s="282"/>
      <c r="O1970" s="284"/>
      <c r="P1970" s="280"/>
      <c r="Q1970" s="315"/>
      <c r="R1970" s="272"/>
      <c r="S1970" s="272"/>
      <c r="T1970" s="272"/>
      <c r="U1970" s="272"/>
      <c r="V1970" s="272"/>
      <c r="W1970" s="272"/>
      <c r="X1970" s="272"/>
      <c r="Y1970" s="272"/>
      <c r="Z1970" s="272"/>
      <c r="AA1970" s="272"/>
    </row>
    <row r="1971" spans="1:27">
      <c r="A1971" s="273"/>
      <c r="B1971" s="274"/>
      <c r="C1971" s="314"/>
      <c r="D1971" s="274"/>
      <c r="E1971" s="268"/>
      <c r="F1971" s="272"/>
      <c r="G1971" s="268"/>
      <c r="H1971" s="268"/>
      <c r="I1971" s="268"/>
      <c r="J1971" s="272"/>
      <c r="K1971" s="268"/>
      <c r="L1971" s="287"/>
      <c r="M1971" s="283"/>
      <c r="N1971" s="282"/>
      <c r="O1971" s="284"/>
      <c r="P1971" s="280"/>
      <c r="Q1971" s="315"/>
      <c r="R1971" s="272"/>
      <c r="S1971" s="272"/>
      <c r="T1971" s="272"/>
      <c r="U1971" s="272"/>
      <c r="V1971" s="272"/>
      <c r="W1971" s="272"/>
      <c r="X1971" s="272"/>
      <c r="Y1971" s="272"/>
      <c r="Z1971" s="272"/>
      <c r="AA1971" s="272"/>
    </row>
    <row r="1972" spans="1:27">
      <c r="A1972" s="273"/>
      <c r="B1972" s="274"/>
      <c r="C1972" s="314"/>
      <c r="D1972" s="274"/>
      <c r="E1972" s="268"/>
      <c r="F1972" s="272"/>
      <c r="G1972" s="268"/>
      <c r="H1972" s="268"/>
      <c r="I1972" s="268"/>
      <c r="J1972" s="272"/>
      <c r="K1972" s="268"/>
      <c r="L1972" s="287"/>
      <c r="M1972" s="283"/>
      <c r="N1972" s="282"/>
      <c r="O1972" s="284"/>
      <c r="P1972" s="280"/>
      <c r="Q1972" s="315"/>
      <c r="R1972" s="272"/>
      <c r="S1972" s="272"/>
      <c r="T1972" s="272"/>
      <c r="U1972" s="272"/>
      <c r="V1972" s="272"/>
      <c r="W1972" s="272"/>
      <c r="X1972" s="272"/>
      <c r="Y1972" s="272"/>
      <c r="Z1972" s="272"/>
      <c r="AA1972" s="272"/>
    </row>
    <row r="1973" spans="1:27">
      <c r="A1973" s="273"/>
      <c r="B1973" s="274"/>
      <c r="C1973" s="314"/>
      <c r="D1973" s="274"/>
      <c r="E1973" s="268"/>
      <c r="F1973" s="272"/>
      <c r="G1973" s="268"/>
      <c r="H1973" s="268"/>
      <c r="I1973" s="268"/>
      <c r="J1973" s="272"/>
      <c r="K1973" s="268"/>
      <c r="L1973" s="287"/>
      <c r="M1973" s="283"/>
      <c r="N1973" s="282"/>
      <c r="O1973" s="284"/>
      <c r="P1973" s="280"/>
      <c r="Q1973" s="315"/>
      <c r="R1973" s="272"/>
      <c r="S1973" s="272"/>
      <c r="T1973" s="272"/>
      <c r="U1973" s="272"/>
      <c r="V1973" s="272"/>
      <c r="W1973" s="272"/>
      <c r="X1973" s="272"/>
      <c r="Y1973" s="272"/>
      <c r="Z1973" s="272"/>
      <c r="AA1973" s="272"/>
    </row>
    <row r="1974" spans="1:27">
      <c r="A1974" s="273"/>
      <c r="B1974" s="274"/>
      <c r="C1974" s="314"/>
      <c r="D1974" s="274"/>
      <c r="E1974" s="268"/>
      <c r="F1974" s="272"/>
      <c r="G1974" s="268"/>
      <c r="H1974" s="268"/>
      <c r="I1974" s="268"/>
      <c r="J1974" s="272"/>
      <c r="K1974" s="268"/>
      <c r="L1974" s="287"/>
      <c r="M1974" s="283"/>
      <c r="N1974" s="282"/>
      <c r="O1974" s="284"/>
      <c r="P1974" s="280"/>
      <c r="Q1974" s="315"/>
      <c r="R1974" s="272"/>
      <c r="S1974" s="272"/>
      <c r="T1974" s="272"/>
      <c r="U1974" s="272"/>
      <c r="V1974" s="272"/>
      <c r="W1974" s="272"/>
      <c r="X1974" s="272"/>
      <c r="Y1974" s="272"/>
      <c r="Z1974" s="272"/>
      <c r="AA1974" s="272"/>
    </row>
    <row r="1975" spans="1:27">
      <c r="A1975" s="273"/>
      <c r="B1975" s="274"/>
      <c r="C1975" s="314"/>
      <c r="D1975" s="274"/>
      <c r="E1975" s="268"/>
      <c r="F1975" s="272"/>
      <c r="G1975" s="268"/>
      <c r="H1975" s="268"/>
      <c r="I1975" s="268"/>
      <c r="J1975" s="272"/>
      <c r="K1975" s="268"/>
      <c r="L1975" s="287"/>
      <c r="M1975" s="283"/>
      <c r="N1975" s="282"/>
      <c r="O1975" s="284"/>
      <c r="P1975" s="280"/>
      <c r="Q1975" s="315"/>
      <c r="R1975" s="272"/>
      <c r="S1975" s="272"/>
      <c r="T1975" s="272"/>
      <c r="U1975" s="272"/>
      <c r="V1975" s="272"/>
      <c r="W1975" s="272"/>
      <c r="X1975" s="272"/>
      <c r="Y1975" s="272"/>
      <c r="Z1975" s="272"/>
      <c r="AA1975" s="272"/>
    </row>
    <row r="1976" spans="1:27">
      <c r="A1976" s="273"/>
      <c r="B1976" s="274"/>
      <c r="C1976" s="314"/>
      <c r="D1976" s="274"/>
      <c r="E1976" s="268"/>
      <c r="F1976" s="272"/>
      <c r="G1976" s="268"/>
      <c r="H1976" s="268"/>
      <c r="I1976" s="268"/>
      <c r="J1976" s="272"/>
      <c r="K1976" s="268"/>
      <c r="L1976" s="287"/>
      <c r="M1976" s="283"/>
      <c r="N1976" s="282"/>
      <c r="O1976" s="284"/>
      <c r="P1976" s="280"/>
      <c r="Q1976" s="315"/>
      <c r="R1976" s="272"/>
      <c r="S1976" s="272"/>
      <c r="T1976" s="272"/>
      <c r="U1976" s="272"/>
      <c r="V1976" s="272"/>
      <c r="W1976" s="272"/>
      <c r="X1976" s="272"/>
      <c r="Y1976" s="272"/>
      <c r="Z1976" s="272"/>
      <c r="AA1976" s="272"/>
    </row>
    <row r="1977" spans="1:27">
      <c r="A1977" s="273"/>
      <c r="B1977" s="274"/>
      <c r="C1977" s="314"/>
      <c r="D1977" s="274"/>
      <c r="E1977" s="268"/>
      <c r="F1977" s="272"/>
      <c r="G1977" s="268"/>
      <c r="H1977" s="268"/>
      <c r="I1977" s="268"/>
      <c r="J1977" s="272"/>
      <c r="K1977" s="268"/>
      <c r="L1977" s="287"/>
      <c r="M1977" s="283"/>
      <c r="N1977" s="282"/>
      <c r="O1977" s="284"/>
      <c r="P1977" s="280"/>
      <c r="Q1977" s="315"/>
      <c r="R1977" s="272"/>
      <c r="S1977" s="272"/>
      <c r="T1977" s="272"/>
      <c r="U1977" s="272"/>
      <c r="V1977" s="272"/>
      <c r="W1977" s="272"/>
      <c r="X1977" s="272"/>
      <c r="Y1977" s="272"/>
      <c r="Z1977" s="272"/>
      <c r="AA1977" s="272"/>
    </row>
    <row r="1978" spans="1:27">
      <c r="A1978" s="273"/>
      <c r="B1978" s="274"/>
      <c r="C1978" s="314"/>
      <c r="D1978" s="274"/>
      <c r="E1978" s="268"/>
      <c r="F1978" s="272"/>
      <c r="G1978" s="268"/>
      <c r="H1978" s="268"/>
      <c r="I1978" s="268"/>
      <c r="J1978" s="272"/>
      <c r="K1978" s="268"/>
      <c r="L1978" s="287"/>
      <c r="M1978" s="283"/>
      <c r="N1978" s="282"/>
      <c r="O1978" s="284"/>
      <c r="P1978" s="280"/>
      <c r="Q1978" s="315"/>
      <c r="R1978" s="272"/>
      <c r="S1978" s="272"/>
      <c r="T1978" s="272"/>
      <c r="U1978" s="272"/>
      <c r="V1978" s="272"/>
      <c r="W1978" s="272"/>
      <c r="X1978" s="272"/>
      <c r="Y1978" s="272"/>
      <c r="Z1978" s="272"/>
      <c r="AA1978" s="272"/>
    </row>
    <row r="1979" spans="1:27">
      <c r="A1979" s="273"/>
      <c r="B1979" s="274"/>
      <c r="C1979" s="314"/>
      <c r="D1979" s="274"/>
      <c r="E1979" s="268"/>
      <c r="F1979" s="272"/>
      <c r="G1979" s="268"/>
      <c r="H1979" s="268"/>
      <c r="I1979" s="268"/>
      <c r="J1979" s="272"/>
      <c r="K1979" s="268"/>
      <c r="L1979" s="287"/>
      <c r="M1979" s="283"/>
      <c r="N1979" s="282"/>
      <c r="O1979" s="284"/>
      <c r="P1979" s="280"/>
      <c r="Q1979" s="315"/>
      <c r="R1979" s="272"/>
      <c r="S1979" s="272"/>
      <c r="T1979" s="272"/>
      <c r="U1979" s="272"/>
      <c r="V1979" s="272"/>
      <c r="W1979" s="272"/>
      <c r="X1979" s="272"/>
      <c r="Y1979" s="272"/>
      <c r="Z1979" s="272"/>
      <c r="AA1979" s="272"/>
    </row>
    <row r="1980" spans="1:27">
      <c r="A1980" s="273"/>
      <c r="B1980" s="274"/>
      <c r="C1980" s="314"/>
      <c r="D1980" s="274"/>
      <c r="E1980" s="268"/>
      <c r="F1980" s="272"/>
      <c r="G1980" s="268"/>
      <c r="H1980" s="268"/>
      <c r="I1980" s="268"/>
      <c r="J1980" s="272"/>
      <c r="K1980" s="268"/>
      <c r="L1980" s="287"/>
      <c r="M1980" s="283"/>
      <c r="N1980" s="282"/>
      <c r="O1980" s="284"/>
      <c r="P1980" s="280"/>
      <c r="Q1980" s="315"/>
      <c r="R1980" s="272"/>
      <c r="S1980" s="272"/>
      <c r="T1980" s="272"/>
      <c r="U1980" s="272"/>
      <c r="V1980" s="272"/>
      <c r="W1980" s="272"/>
      <c r="X1980" s="272"/>
      <c r="Y1980" s="272"/>
      <c r="Z1980" s="272"/>
      <c r="AA1980" s="272"/>
    </row>
    <row r="1981" spans="1:27">
      <c r="A1981" s="273"/>
      <c r="B1981" s="274"/>
      <c r="C1981" s="314"/>
      <c r="D1981" s="274"/>
      <c r="E1981" s="268"/>
      <c r="F1981" s="272"/>
      <c r="G1981" s="268"/>
      <c r="H1981" s="268"/>
      <c r="I1981" s="268"/>
      <c r="J1981" s="272"/>
      <c r="K1981" s="268"/>
      <c r="L1981" s="287"/>
      <c r="M1981" s="283"/>
      <c r="N1981" s="282"/>
      <c r="O1981" s="284"/>
      <c r="P1981" s="280"/>
      <c r="Q1981" s="315"/>
      <c r="R1981" s="272"/>
      <c r="S1981" s="272"/>
      <c r="T1981" s="272"/>
      <c r="U1981" s="272"/>
      <c r="V1981" s="272"/>
      <c r="W1981" s="272"/>
      <c r="X1981" s="272"/>
      <c r="Y1981" s="272"/>
      <c r="Z1981" s="272"/>
      <c r="AA1981" s="272"/>
    </row>
    <row r="1982" spans="1:27">
      <c r="A1982" s="273"/>
      <c r="B1982" s="274"/>
      <c r="C1982" s="314"/>
      <c r="D1982" s="274"/>
      <c r="E1982" s="268"/>
      <c r="F1982" s="272"/>
      <c r="G1982" s="268"/>
      <c r="H1982" s="268"/>
      <c r="I1982" s="268"/>
      <c r="J1982" s="272"/>
      <c r="K1982" s="268"/>
      <c r="L1982" s="287"/>
      <c r="M1982" s="283"/>
      <c r="N1982" s="282"/>
      <c r="O1982" s="284"/>
      <c r="P1982" s="280"/>
      <c r="Q1982" s="315"/>
      <c r="R1982" s="272"/>
      <c r="S1982" s="272"/>
      <c r="T1982" s="272"/>
      <c r="U1982" s="272"/>
      <c r="V1982" s="272"/>
      <c r="W1982" s="272"/>
      <c r="X1982" s="272"/>
      <c r="Y1982" s="272"/>
      <c r="Z1982" s="272"/>
      <c r="AA1982" s="272"/>
    </row>
    <row r="1983" spans="1:27">
      <c r="A1983" s="273"/>
      <c r="B1983" s="274"/>
      <c r="C1983" s="314"/>
      <c r="D1983" s="274"/>
      <c r="E1983" s="268"/>
      <c r="F1983" s="272"/>
      <c r="G1983" s="268"/>
      <c r="H1983" s="268"/>
      <c r="I1983" s="268"/>
      <c r="J1983" s="272"/>
      <c r="K1983" s="268"/>
      <c r="L1983" s="287"/>
      <c r="M1983" s="283"/>
      <c r="N1983" s="282"/>
      <c r="O1983" s="284"/>
      <c r="P1983" s="280"/>
      <c r="Q1983" s="315"/>
      <c r="R1983" s="272"/>
      <c r="S1983" s="272"/>
      <c r="T1983" s="272"/>
      <c r="U1983" s="272"/>
      <c r="V1983" s="272"/>
      <c r="W1983" s="272"/>
      <c r="X1983" s="272"/>
      <c r="Y1983" s="272"/>
      <c r="Z1983" s="272"/>
      <c r="AA1983" s="272"/>
    </row>
    <row r="1984" spans="1:27">
      <c r="A1984" s="273"/>
      <c r="B1984" s="274"/>
      <c r="C1984" s="314"/>
      <c r="D1984" s="274"/>
      <c r="E1984" s="268"/>
      <c r="F1984" s="272"/>
      <c r="G1984" s="268"/>
      <c r="H1984" s="268"/>
      <c r="I1984" s="268"/>
      <c r="J1984" s="272"/>
      <c r="K1984" s="268"/>
      <c r="L1984" s="287"/>
      <c r="M1984" s="283"/>
      <c r="N1984" s="282"/>
      <c r="O1984" s="284"/>
      <c r="P1984" s="280"/>
      <c r="Q1984" s="315"/>
      <c r="R1984" s="272"/>
      <c r="S1984" s="272"/>
      <c r="T1984" s="272"/>
      <c r="U1984" s="272"/>
      <c r="V1984" s="272"/>
      <c r="W1984" s="272"/>
      <c r="X1984" s="272"/>
      <c r="Y1984" s="272"/>
      <c r="Z1984" s="272"/>
      <c r="AA1984" s="272"/>
    </row>
    <row r="1985" spans="1:27">
      <c r="A1985" s="273"/>
      <c r="B1985" s="274"/>
      <c r="C1985" s="314"/>
      <c r="D1985" s="274"/>
      <c r="E1985" s="268"/>
      <c r="F1985" s="272"/>
      <c r="G1985" s="268"/>
      <c r="H1985" s="268"/>
      <c r="I1985" s="268"/>
      <c r="J1985" s="272"/>
      <c r="K1985" s="268"/>
      <c r="L1985" s="287"/>
      <c r="M1985" s="283"/>
      <c r="N1985" s="282"/>
      <c r="O1985" s="284"/>
      <c r="P1985" s="280"/>
      <c r="Q1985" s="315"/>
      <c r="R1985" s="272"/>
      <c r="S1985" s="272"/>
      <c r="T1985" s="272"/>
      <c r="U1985" s="272"/>
      <c r="V1985" s="272"/>
      <c r="W1985" s="272"/>
      <c r="X1985" s="272"/>
      <c r="Y1985" s="272"/>
      <c r="Z1985" s="272"/>
      <c r="AA1985" s="272"/>
    </row>
    <row r="1986" spans="1:27">
      <c r="A1986" s="273"/>
      <c r="B1986" s="274"/>
      <c r="C1986" s="314"/>
      <c r="D1986" s="274"/>
      <c r="E1986" s="268"/>
      <c r="F1986" s="272"/>
      <c r="G1986" s="268"/>
      <c r="H1986" s="268"/>
      <c r="I1986" s="268"/>
      <c r="J1986" s="272"/>
      <c r="K1986" s="268"/>
      <c r="L1986" s="287"/>
      <c r="M1986" s="283"/>
      <c r="N1986" s="282"/>
      <c r="O1986" s="284"/>
      <c r="P1986" s="280"/>
      <c r="Q1986" s="315"/>
      <c r="R1986" s="272"/>
      <c r="S1986" s="272"/>
      <c r="T1986" s="272"/>
      <c r="U1986" s="272"/>
      <c r="V1986" s="272"/>
      <c r="W1986" s="272"/>
      <c r="X1986" s="272"/>
      <c r="Y1986" s="272"/>
      <c r="Z1986" s="272"/>
      <c r="AA1986" s="272"/>
    </row>
    <row r="1987" spans="1:27">
      <c r="A1987" s="273"/>
      <c r="B1987" s="274"/>
      <c r="C1987" s="314"/>
      <c r="D1987" s="274"/>
      <c r="E1987" s="268"/>
      <c r="F1987" s="272"/>
      <c r="G1987" s="268"/>
      <c r="H1987" s="268"/>
      <c r="I1987" s="268"/>
      <c r="J1987" s="272"/>
      <c r="K1987" s="268"/>
      <c r="L1987" s="287"/>
      <c r="M1987" s="283"/>
      <c r="N1987" s="282"/>
      <c r="O1987" s="284"/>
      <c r="P1987" s="280"/>
      <c r="Q1987" s="315"/>
      <c r="R1987" s="272"/>
      <c r="S1987" s="272"/>
      <c r="T1987" s="272"/>
      <c r="U1987" s="272"/>
      <c r="V1987" s="272"/>
      <c r="W1987" s="272"/>
      <c r="X1987" s="272"/>
      <c r="Y1987" s="272"/>
      <c r="Z1987" s="272"/>
      <c r="AA1987" s="272"/>
    </row>
    <row r="1988" spans="1:27">
      <c r="A1988" s="273"/>
      <c r="B1988" s="274"/>
      <c r="C1988" s="314"/>
      <c r="D1988" s="274"/>
      <c r="E1988" s="268"/>
      <c r="F1988" s="272"/>
      <c r="G1988" s="268"/>
      <c r="H1988" s="268"/>
      <c r="I1988" s="268"/>
      <c r="J1988" s="272"/>
      <c r="K1988" s="268"/>
      <c r="L1988" s="287"/>
      <c r="M1988" s="283"/>
      <c r="N1988" s="282"/>
      <c r="O1988" s="284"/>
      <c r="P1988" s="280"/>
      <c r="Q1988" s="315"/>
      <c r="R1988" s="272"/>
      <c r="S1988" s="272"/>
      <c r="T1988" s="272"/>
      <c r="U1988" s="272"/>
      <c r="V1988" s="272"/>
      <c r="W1988" s="272"/>
      <c r="X1988" s="272"/>
      <c r="Y1988" s="272"/>
      <c r="Z1988" s="272"/>
      <c r="AA1988" s="272"/>
    </row>
    <row r="1989" spans="1:27">
      <c r="A1989" s="273"/>
      <c r="B1989" s="274"/>
      <c r="C1989" s="314"/>
      <c r="D1989" s="274"/>
      <c r="E1989" s="268"/>
      <c r="F1989" s="272"/>
      <c r="G1989" s="268"/>
      <c r="H1989" s="268"/>
      <c r="I1989" s="268"/>
      <c r="J1989" s="272"/>
      <c r="K1989" s="268"/>
      <c r="L1989" s="287"/>
      <c r="M1989" s="283"/>
      <c r="N1989" s="282"/>
      <c r="O1989" s="284"/>
      <c r="P1989" s="280"/>
      <c r="Q1989" s="315"/>
      <c r="R1989" s="272"/>
      <c r="S1989" s="272"/>
      <c r="T1989" s="272"/>
      <c r="U1989" s="272"/>
      <c r="V1989" s="272"/>
      <c r="W1989" s="272"/>
      <c r="X1989" s="272"/>
      <c r="Y1989" s="272"/>
      <c r="Z1989" s="272"/>
      <c r="AA1989" s="272"/>
    </row>
    <row r="1990" spans="1:27">
      <c r="A1990" s="273"/>
      <c r="B1990" s="274"/>
      <c r="C1990" s="314"/>
      <c r="D1990" s="274"/>
      <c r="E1990" s="268"/>
      <c r="F1990" s="272"/>
      <c r="G1990" s="268"/>
      <c r="H1990" s="268"/>
      <c r="I1990" s="268"/>
      <c r="J1990" s="272"/>
      <c r="K1990" s="268"/>
      <c r="L1990" s="287"/>
      <c r="M1990" s="283"/>
      <c r="N1990" s="282"/>
      <c r="O1990" s="284"/>
      <c r="P1990" s="280"/>
      <c r="Q1990" s="315"/>
      <c r="R1990" s="272"/>
      <c r="S1990" s="272"/>
      <c r="T1990" s="272"/>
      <c r="U1990" s="272"/>
      <c r="V1990" s="272"/>
      <c r="W1990" s="272"/>
      <c r="X1990" s="272"/>
      <c r="Y1990" s="272"/>
      <c r="Z1990" s="272"/>
      <c r="AA1990" s="272"/>
    </row>
    <row r="1991" spans="1:27">
      <c r="A1991" s="273"/>
      <c r="B1991" s="274"/>
      <c r="C1991" s="314"/>
      <c r="D1991" s="274"/>
      <c r="E1991" s="268"/>
      <c r="F1991" s="272"/>
      <c r="G1991" s="268"/>
      <c r="H1991" s="268"/>
      <c r="I1991" s="268"/>
      <c r="J1991" s="272"/>
      <c r="K1991" s="268"/>
      <c r="L1991" s="287"/>
      <c r="M1991" s="283"/>
      <c r="N1991" s="282"/>
      <c r="O1991" s="284"/>
      <c r="P1991" s="280"/>
      <c r="Q1991" s="315"/>
      <c r="R1991" s="272"/>
      <c r="S1991" s="272"/>
      <c r="T1991" s="272"/>
      <c r="U1991" s="272"/>
      <c r="V1991" s="272"/>
      <c r="W1991" s="272"/>
      <c r="X1991" s="272"/>
      <c r="Y1991" s="272"/>
      <c r="Z1991" s="272"/>
      <c r="AA1991" s="272"/>
    </row>
    <row r="1992" spans="1:27">
      <c r="A1992" s="273"/>
      <c r="B1992" s="274"/>
      <c r="C1992" s="314"/>
      <c r="D1992" s="274"/>
      <c r="E1992" s="268"/>
      <c r="F1992" s="272"/>
      <c r="G1992" s="268"/>
      <c r="H1992" s="268"/>
      <c r="I1992" s="268"/>
      <c r="J1992" s="272"/>
      <c r="K1992" s="268"/>
      <c r="L1992" s="287"/>
      <c r="M1992" s="283"/>
      <c r="N1992" s="282"/>
      <c r="O1992" s="284"/>
      <c r="P1992" s="280"/>
      <c r="Q1992" s="315"/>
      <c r="R1992" s="272"/>
      <c r="S1992" s="272"/>
      <c r="T1992" s="272"/>
      <c r="U1992" s="272"/>
      <c r="V1992" s="272"/>
      <c r="W1992" s="272"/>
      <c r="X1992" s="272"/>
      <c r="Y1992" s="272"/>
      <c r="Z1992" s="272"/>
      <c r="AA1992" s="272"/>
    </row>
    <row r="1993" spans="1:27">
      <c r="A1993" s="273"/>
      <c r="B1993" s="274"/>
      <c r="C1993" s="314"/>
      <c r="D1993" s="274"/>
      <c r="E1993" s="268"/>
      <c r="F1993" s="272"/>
      <c r="G1993" s="268"/>
      <c r="H1993" s="268"/>
      <c r="I1993" s="268"/>
      <c r="J1993" s="272"/>
      <c r="K1993" s="268"/>
      <c r="L1993" s="287"/>
      <c r="M1993" s="283"/>
      <c r="N1993" s="282"/>
      <c r="O1993" s="284"/>
      <c r="P1993" s="280"/>
      <c r="Q1993" s="315"/>
      <c r="R1993" s="272"/>
      <c r="S1993" s="272"/>
      <c r="T1993" s="272"/>
      <c r="U1993" s="272"/>
      <c r="V1993" s="272"/>
      <c r="W1993" s="272"/>
      <c r="X1993" s="272"/>
      <c r="Y1993" s="272"/>
      <c r="Z1993" s="272"/>
      <c r="AA1993" s="272"/>
    </row>
    <row r="1994" spans="1:27">
      <c r="A1994" s="273"/>
      <c r="B1994" s="274"/>
      <c r="C1994" s="314"/>
      <c r="D1994" s="274"/>
      <c r="E1994" s="268"/>
      <c r="F1994" s="272"/>
      <c r="G1994" s="268"/>
      <c r="H1994" s="268"/>
      <c r="I1994" s="268"/>
      <c r="J1994" s="272"/>
      <c r="K1994" s="268"/>
      <c r="L1994" s="287"/>
      <c r="M1994" s="283"/>
      <c r="N1994" s="282"/>
      <c r="O1994" s="284"/>
      <c r="P1994" s="280"/>
      <c r="Q1994" s="315"/>
      <c r="R1994" s="272"/>
      <c r="S1994" s="272"/>
      <c r="T1994" s="272"/>
      <c r="U1994" s="272"/>
      <c r="V1994" s="272"/>
      <c r="W1994" s="272"/>
      <c r="X1994" s="272"/>
      <c r="Y1994" s="272"/>
      <c r="Z1994" s="272"/>
      <c r="AA1994" s="272"/>
    </row>
    <row r="1995" spans="1:27">
      <c r="A1995" s="273"/>
      <c r="B1995" s="274"/>
      <c r="C1995" s="314"/>
      <c r="D1995" s="274"/>
      <c r="E1995" s="268"/>
      <c r="F1995" s="272"/>
      <c r="G1995" s="268"/>
      <c r="H1995" s="268"/>
      <c r="I1995" s="268"/>
      <c r="J1995" s="272"/>
      <c r="K1995" s="268"/>
      <c r="L1995" s="287"/>
      <c r="M1995" s="283"/>
      <c r="N1995" s="282"/>
      <c r="O1995" s="284"/>
      <c r="P1995" s="280"/>
      <c r="Q1995" s="315"/>
      <c r="R1995" s="272"/>
      <c r="S1995" s="272"/>
      <c r="T1995" s="272"/>
      <c r="U1995" s="272"/>
      <c r="V1995" s="272"/>
      <c r="W1995" s="272"/>
      <c r="X1995" s="272"/>
      <c r="Y1995" s="272"/>
      <c r="Z1995" s="272"/>
      <c r="AA1995" s="272"/>
    </row>
    <row r="1996" spans="1:27">
      <c r="A1996" s="273"/>
      <c r="B1996" s="274"/>
      <c r="C1996" s="314"/>
      <c r="D1996" s="274"/>
      <c r="E1996" s="268"/>
      <c r="F1996" s="272"/>
      <c r="G1996" s="268"/>
      <c r="H1996" s="268"/>
      <c r="I1996" s="268"/>
      <c r="J1996" s="272"/>
      <c r="K1996" s="268"/>
      <c r="L1996" s="287"/>
      <c r="M1996" s="283"/>
      <c r="N1996" s="282"/>
      <c r="O1996" s="284"/>
      <c r="P1996" s="280"/>
      <c r="Q1996" s="315"/>
      <c r="R1996" s="272"/>
      <c r="S1996" s="272"/>
      <c r="T1996" s="272"/>
      <c r="U1996" s="272"/>
      <c r="V1996" s="272"/>
      <c r="W1996" s="272"/>
      <c r="X1996" s="272"/>
      <c r="Y1996" s="272"/>
      <c r="Z1996" s="272"/>
      <c r="AA1996" s="272"/>
    </row>
    <row r="1997" spans="1:27">
      <c r="A1997" s="273"/>
      <c r="B1997" s="274"/>
      <c r="C1997" s="314"/>
      <c r="D1997" s="274"/>
      <c r="E1997" s="268"/>
      <c r="F1997" s="272"/>
      <c r="G1997" s="268"/>
      <c r="H1997" s="268"/>
      <c r="I1997" s="268"/>
      <c r="J1997" s="272"/>
      <c r="K1997" s="268"/>
      <c r="L1997" s="287"/>
      <c r="M1997" s="283"/>
      <c r="N1997" s="282"/>
      <c r="O1997" s="284"/>
      <c r="P1997" s="280"/>
      <c r="Q1997" s="315"/>
      <c r="R1997" s="272"/>
      <c r="S1997" s="272"/>
      <c r="T1997" s="272"/>
      <c r="U1997" s="272"/>
      <c r="V1997" s="272"/>
      <c r="W1997" s="272"/>
      <c r="X1997" s="272"/>
      <c r="Y1997" s="272"/>
      <c r="Z1997" s="272"/>
      <c r="AA1997" s="272"/>
    </row>
    <row r="1998" spans="1:27">
      <c r="A1998" s="273"/>
      <c r="B1998" s="274"/>
      <c r="C1998" s="314"/>
      <c r="D1998" s="274"/>
      <c r="E1998" s="268"/>
      <c r="F1998" s="272"/>
      <c r="G1998" s="268"/>
      <c r="H1998" s="268"/>
      <c r="I1998" s="268"/>
      <c r="J1998" s="272"/>
      <c r="K1998" s="268"/>
      <c r="L1998" s="287"/>
      <c r="M1998" s="283"/>
      <c r="N1998" s="282"/>
      <c r="O1998" s="284"/>
      <c r="P1998" s="280"/>
      <c r="Q1998" s="315"/>
      <c r="R1998" s="272"/>
      <c r="S1998" s="272"/>
      <c r="T1998" s="272"/>
      <c r="U1998" s="272"/>
      <c r="V1998" s="272"/>
      <c r="W1998" s="272"/>
      <c r="X1998" s="272"/>
      <c r="Y1998" s="272"/>
      <c r="Z1998" s="272"/>
      <c r="AA1998" s="272"/>
    </row>
    <row r="1999" spans="1:27">
      <c r="A1999" s="273"/>
      <c r="B1999" s="274"/>
      <c r="C1999" s="314"/>
      <c r="D1999" s="274"/>
      <c r="E1999" s="268"/>
      <c r="F1999" s="272"/>
      <c r="G1999" s="268"/>
      <c r="H1999" s="268"/>
      <c r="I1999" s="268"/>
      <c r="J1999" s="272"/>
      <c r="K1999" s="268"/>
      <c r="L1999" s="287"/>
      <c r="M1999" s="283"/>
      <c r="N1999" s="282"/>
      <c r="O1999" s="284"/>
      <c r="P1999" s="280"/>
      <c r="Q1999" s="315"/>
      <c r="R1999" s="272"/>
      <c r="S1999" s="272"/>
      <c r="T1999" s="272"/>
      <c r="U1999" s="272"/>
      <c r="V1999" s="272"/>
      <c r="W1999" s="272"/>
      <c r="X1999" s="272"/>
      <c r="Y1999" s="272"/>
      <c r="Z1999" s="272"/>
      <c r="AA1999" s="272"/>
    </row>
    <row r="2000" spans="1:27">
      <c r="A2000" s="273"/>
      <c r="B2000" s="274"/>
      <c r="C2000" s="314"/>
      <c r="D2000" s="274"/>
      <c r="E2000" s="268"/>
      <c r="F2000" s="272"/>
      <c r="G2000" s="268"/>
      <c r="H2000" s="268"/>
      <c r="I2000" s="268"/>
      <c r="J2000" s="272"/>
      <c r="K2000" s="268"/>
      <c r="L2000" s="287"/>
      <c r="M2000" s="283"/>
      <c r="N2000" s="282"/>
      <c r="O2000" s="284"/>
      <c r="P2000" s="280"/>
      <c r="Q2000" s="315"/>
      <c r="R2000" s="272"/>
      <c r="S2000" s="272"/>
      <c r="T2000" s="272"/>
      <c r="U2000" s="272"/>
      <c r="V2000" s="272"/>
      <c r="W2000" s="272"/>
      <c r="X2000" s="272"/>
      <c r="Y2000" s="272"/>
      <c r="Z2000" s="272"/>
      <c r="AA2000" s="272"/>
    </row>
    <row r="2001" spans="1:27">
      <c r="A2001" s="273"/>
      <c r="B2001" s="274"/>
      <c r="C2001" s="314"/>
      <c r="D2001" s="274"/>
      <c r="E2001" s="268"/>
      <c r="F2001" s="272"/>
      <c r="G2001" s="268"/>
      <c r="H2001" s="268"/>
      <c r="I2001" s="268"/>
      <c r="J2001" s="272"/>
      <c r="K2001" s="268"/>
      <c r="L2001" s="287"/>
      <c r="M2001" s="283"/>
      <c r="N2001" s="282"/>
      <c r="O2001" s="284"/>
      <c r="P2001" s="280"/>
      <c r="Q2001" s="315"/>
      <c r="R2001" s="272"/>
      <c r="S2001" s="272"/>
      <c r="T2001" s="272"/>
      <c r="U2001" s="272"/>
      <c r="V2001" s="272"/>
      <c r="W2001" s="272"/>
      <c r="X2001" s="272"/>
      <c r="Y2001" s="272"/>
      <c r="Z2001" s="272"/>
      <c r="AA2001" s="272"/>
    </row>
    <row r="2002" spans="1:27">
      <c r="A2002" s="273"/>
      <c r="B2002" s="274"/>
      <c r="C2002" s="314"/>
      <c r="D2002" s="274"/>
      <c r="E2002" s="268"/>
      <c r="F2002" s="272"/>
      <c r="G2002" s="268"/>
      <c r="H2002" s="268"/>
      <c r="I2002" s="268"/>
      <c r="J2002" s="272"/>
      <c r="K2002" s="268"/>
      <c r="L2002" s="287"/>
      <c r="M2002" s="283"/>
      <c r="N2002" s="282"/>
      <c r="O2002" s="284"/>
      <c r="P2002" s="280"/>
      <c r="Q2002" s="315"/>
      <c r="R2002" s="272"/>
      <c r="S2002" s="272"/>
      <c r="T2002" s="272"/>
      <c r="U2002" s="272"/>
      <c r="V2002" s="272"/>
      <c r="W2002" s="272"/>
      <c r="X2002" s="272"/>
      <c r="Y2002" s="272"/>
      <c r="Z2002" s="272"/>
      <c r="AA2002" s="272"/>
    </row>
    <row r="2003" spans="1:27">
      <c r="A2003" s="273"/>
      <c r="B2003" s="274"/>
      <c r="C2003" s="314"/>
      <c r="D2003" s="274"/>
      <c r="E2003" s="268"/>
      <c r="F2003" s="272"/>
      <c r="G2003" s="268"/>
      <c r="H2003" s="268"/>
      <c r="I2003" s="268"/>
      <c r="J2003" s="272"/>
      <c r="K2003" s="268"/>
      <c r="L2003" s="287"/>
      <c r="M2003" s="283"/>
      <c r="N2003" s="282"/>
      <c r="O2003" s="284"/>
      <c r="P2003" s="280"/>
      <c r="Q2003" s="315"/>
      <c r="R2003" s="272"/>
      <c r="S2003" s="272"/>
      <c r="T2003" s="272"/>
      <c r="U2003" s="272"/>
      <c r="V2003" s="272"/>
      <c r="W2003" s="272"/>
      <c r="X2003" s="272"/>
      <c r="Y2003" s="272"/>
      <c r="Z2003" s="272"/>
      <c r="AA2003" s="272"/>
    </row>
    <row r="2004" spans="1:27">
      <c r="A2004" s="273"/>
      <c r="B2004" s="274"/>
      <c r="C2004" s="314"/>
      <c r="D2004" s="274"/>
      <c r="E2004" s="268"/>
      <c r="F2004" s="272"/>
      <c r="G2004" s="268"/>
      <c r="H2004" s="268"/>
      <c r="I2004" s="268"/>
      <c r="J2004" s="272"/>
      <c r="K2004" s="268"/>
      <c r="L2004" s="287"/>
      <c r="M2004" s="283"/>
      <c r="N2004" s="282"/>
      <c r="O2004" s="284"/>
      <c r="P2004" s="280"/>
      <c r="Q2004" s="315"/>
      <c r="R2004" s="272"/>
      <c r="S2004" s="272"/>
      <c r="T2004" s="272"/>
      <c r="U2004" s="272"/>
      <c r="V2004" s="272"/>
      <c r="W2004" s="272"/>
      <c r="X2004" s="272"/>
      <c r="Y2004" s="272"/>
      <c r="Z2004" s="272"/>
      <c r="AA2004" s="272"/>
    </row>
    <row r="2005" spans="1:27">
      <c r="A2005" s="273"/>
      <c r="B2005" s="274"/>
      <c r="C2005" s="314"/>
      <c r="D2005" s="274"/>
      <c r="E2005" s="268"/>
      <c r="F2005" s="272"/>
      <c r="G2005" s="268"/>
      <c r="H2005" s="268"/>
      <c r="I2005" s="268"/>
      <c r="J2005" s="272"/>
      <c r="K2005" s="268"/>
      <c r="L2005" s="287"/>
      <c r="M2005" s="283"/>
      <c r="N2005" s="282"/>
      <c r="O2005" s="284"/>
      <c r="P2005" s="280"/>
      <c r="Q2005" s="315"/>
      <c r="R2005" s="272"/>
      <c r="S2005" s="272"/>
      <c r="T2005" s="272"/>
      <c r="U2005" s="272"/>
      <c r="V2005" s="272"/>
      <c r="W2005" s="272"/>
      <c r="X2005" s="272"/>
      <c r="Y2005" s="272"/>
      <c r="Z2005" s="272"/>
      <c r="AA2005" s="272"/>
    </row>
    <row r="2006" spans="1:27">
      <c r="A2006" s="273"/>
      <c r="B2006" s="274"/>
      <c r="C2006" s="314"/>
      <c r="D2006" s="274"/>
      <c r="E2006" s="268"/>
      <c r="F2006" s="272"/>
      <c r="G2006" s="268"/>
      <c r="H2006" s="268"/>
      <c r="I2006" s="268"/>
      <c r="J2006" s="272"/>
      <c r="K2006" s="268"/>
      <c r="L2006" s="287"/>
      <c r="M2006" s="283"/>
      <c r="N2006" s="282"/>
      <c r="O2006" s="284"/>
      <c r="P2006" s="280"/>
      <c r="Q2006" s="315"/>
      <c r="R2006" s="272"/>
      <c r="S2006" s="272"/>
      <c r="T2006" s="272"/>
      <c r="U2006" s="272"/>
      <c r="V2006" s="272"/>
      <c r="W2006" s="272"/>
      <c r="X2006" s="272"/>
      <c r="Y2006" s="272"/>
      <c r="Z2006" s="272"/>
      <c r="AA2006" s="272"/>
    </row>
    <row r="2007" spans="1:27">
      <c r="A2007" s="273"/>
      <c r="B2007" s="274"/>
      <c r="C2007" s="314"/>
      <c r="D2007" s="274"/>
      <c r="E2007" s="268"/>
      <c r="F2007" s="272"/>
      <c r="G2007" s="268"/>
      <c r="H2007" s="268"/>
      <c r="I2007" s="268"/>
      <c r="J2007" s="272"/>
      <c r="K2007" s="268"/>
      <c r="L2007" s="287"/>
      <c r="M2007" s="283"/>
      <c r="N2007" s="282"/>
      <c r="O2007" s="284"/>
      <c r="P2007" s="280"/>
      <c r="Q2007" s="315"/>
      <c r="R2007" s="272"/>
      <c r="S2007" s="272"/>
      <c r="T2007" s="272"/>
      <c r="U2007" s="272"/>
      <c r="V2007" s="272"/>
      <c r="W2007" s="272"/>
      <c r="X2007" s="272"/>
      <c r="Y2007" s="272"/>
      <c r="Z2007" s="272"/>
      <c r="AA2007" s="272"/>
    </row>
    <row r="2008" spans="1:27">
      <c r="A2008" s="273"/>
      <c r="B2008" s="274"/>
      <c r="C2008" s="314"/>
      <c r="D2008" s="274"/>
      <c r="E2008" s="268"/>
      <c r="F2008" s="272"/>
      <c r="G2008" s="268"/>
      <c r="H2008" s="268"/>
      <c r="I2008" s="268"/>
      <c r="J2008" s="272"/>
      <c r="K2008" s="268"/>
      <c r="L2008" s="287"/>
      <c r="M2008" s="283"/>
      <c r="N2008" s="282"/>
      <c r="O2008" s="284"/>
      <c r="P2008" s="280"/>
      <c r="Q2008" s="315"/>
      <c r="R2008" s="272"/>
      <c r="S2008" s="272"/>
      <c r="T2008" s="272"/>
      <c r="U2008" s="272"/>
      <c r="V2008" s="272"/>
      <c r="W2008" s="272"/>
      <c r="X2008" s="272"/>
      <c r="Y2008" s="272"/>
      <c r="Z2008" s="272"/>
      <c r="AA2008" s="272"/>
    </row>
    <row r="2009" spans="1:27">
      <c r="A2009" s="273"/>
      <c r="B2009" s="274"/>
      <c r="C2009" s="314"/>
      <c r="D2009" s="274"/>
      <c r="E2009" s="268"/>
      <c r="F2009" s="272"/>
      <c r="G2009" s="268"/>
      <c r="H2009" s="268"/>
      <c r="I2009" s="268"/>
      <c r="J2009" s="272"/>
      <c r="K2009" s="268"/>
      <c r="L2009" s="287"/>
      <c r="M2009" s="283"/>
      <c r="N2009" s="282"/>
      <c r="O2009" s="284"/>
      <c r="P2009" s="280"/>
      <c r="Q2009" s="315"/>
      <c r="R2009" s="272"/>
      <c r="S2009" s="272"/>
      <c r="T2009" s="272"/>
      <c r="U2009" s="272"/>
      <c r="V2009" s="272"/>
      <c r="W2009" s="272"/>
      <c r="X2009" s="272"/>
      <c r="Y2009" s="272"/>
      <c r="Z2009" s="272"/>
      <c r="AA2009" s="272"/>
    </row>
    <row r="2010" spans="1:27">
      <c r="A2010" s="273"/>
      <c r="B2010" s="274"/>
      <c r="C2010" s="314"/>
      <c r="D2010" s="274"/>
      <c r="E2010" s="268"/>
      <c r="F2010" s="272"/>
      <c r="G2010" s="268"/>
      <c r="H2010" s="268"/>
      <c r="I2010" s="268"/>
      <c r="J2010" s="272"/>
      <c r="K2010" s="268"/>
      <c r="L2010" s="287"/>
      <c r="M2010" s="283"/>
      <c r="N2010" s="282"/>
      <c r="O2010" s="284"/>
      <c r="P2010" s="280"/>
      <c r="Q2010" s="315"/>
      <c r="R2010" s="272"/>
      <c r="S2010" s="272"/>
      <c r="T2010" s="272"/>
      <c r="U2010" s="272"/>
      <c r="V2010" s="272"/>
      <c r="W2010" s="272"/>
      <c r="X2010" s="272"/>
      <c r="Y2010" s="272"/>
      <c r="Z2010" s="272"/>
      <c r="AA2010" s="272"/>
    </row>
    <row r="2011" spans="1:27">
      <c r="A2011" s="273"/>
      <c r="B2011" s="274"/>
      <c r="C2011" s="314"/>
      <c r="D2011" s="274"/>
      <c r="E2011" s="268"/>
      <c r="F2011" s="272"/>
      <c r="G2011" s="268"/>
      <c r="H2011" s="268"/>
      <c r="I2011" s="268"/>
      <c r="J2011" s="272"/>
      <c r="K2011" s="268"/>
      <c r="L2011" s="287"/>
      <c r="M2011" s="283"/>
      <c r="N2011" s="282"/>
      <c r="O2011" s="284"/>
      <c r="P2011" s="280"/>
      <c r="Q2011" s="315"/>
      <c r="R2011" s="272"/>
      <c r="S2011" s="272"/>
      <c r="T2011" s="272"/>
      <c r="U2011" s="272"/>
      <c r="V2011" s="272"/>
      <c r="W2011" s="272"/>
      <c r="X2011" s="272"/>
      <c r="Y2011" s="272"/>
      <c r="Z2011" s="272"/>
      <c r="AA2011" s="272"/>
    </row>
    <row r="2012" spans="1:27">
      <c r="A2012" s="273"/>
      <c r="B2012" s="274"/>
      <c r="C2012" s="314"/>
      <c r="D2012" s="274"/>
      <c r="E2012" s="268"/>
      <c r="F2012" s="272"/>
      <c r="G2012" s="268"/>
      <c r="H2012" s="268"/>
      <c r="I2012" s="268"/>
      <c r="J2012" s="272"/>
      <c r="K2012" s="268"/>
      <c r="L2012" s="287"/>
      <c r="M2012" s="283"/>
      <c r="N2012" s="282"/>
      <c r="O2012" s="284"/>
      <c r="P2012" s="280"/>
      <c r="Q2012" s="315"/>
      <c r="R2012" s="272"/>
      <c r="S2012" s="272"/>
      <c r="T2012" s="272"/>
      <c r="U2012" s="272"/>
      <c r="V2012" s="272"/>
      <c r="W2012" s="272"/>
      <c r="X2012" s="272"/>
      <c r="Y2012" s="272"/>
      <c r="Z2012" s="272"/>
      <c r="AA2012" s="272"/>
    </row>
    <row r="2013" spans="1:27">
      <c r="A2013" s="273"/>
      <c r="B2013" s="274"/>
      <c r="C2013" s="314"/>
      <c r="D2013" s="274"/>
      <c r="E2013" s="268"/>
      <c r="F2013" s="272"/>
      <c r="G2013" s="268"/>
      <c r="H2013" s="268"/>
      <c r="I2013" s="268"/>
      <c r="J2013" s="272"/>
      <c r="K2013" s="268"/>
      <c r="L2013" s="287"/>
      <c r="M2013" s="283"/>
      <c r="N2013" s="282"/>
      <c r="O2013" s="284"/>
      <c r="P2013" s="280"/>
      <c r="Q2013" s="315"/>
      <c r="R2013" s="272"/>
      <c r="S2013" s="272"/>
      <c r="T2013" s="272"/>
      <c r="U2013" s="272"/>
      <c r="V2013" s="272"/>
      <c r="W2013" s="272"/>
      <c r="X2013" s="272"/>
      <c r="Y2013" s="272"/>
      <c r="Z2013" s="272"/>
      <c r="AA2013" s="272"/>
    </row>
    <row r="2014" spans="1:27">
      <c r="A2014" s="273"/>
      <c r="B2014" s="274"/>
      <c r="C2014" s="314"/>
      <c r="D2014" s="274"/>
      <c r="E2014" s="268"/>
      <c r="F2014" s="272"/>
      <c r="G2014" s="268"/>
      <c r="H2014" s="268"/>
      <c r="I2014" s="268"/>
      <c r="J2014" s="272"/>
      <c r="K2014" s="268"/>
      <c r="L2014" s="287"/>
      <c r="M2014" s="283"/>
      <c r="N2014" s="282"/>
      <c r="O2014" s="284"/>
      <c r="P2014" s="280"/>
      <c r="Q2014" s="315"/>
      <c r="R2014" s="272"/>
      <c r="S2014" s="272"/>
      <c r="T2014" s="272"/>
      <c r="U2014" s="272"/>
      <c r="V2014" s="272"/>
      <c r="W2014" s="272"/>
      <c r="X2014" s="272"/>
      <c r="Y2014" s="272"/>
      <c r="Z2014" s="272"/>
      <c r="AA2014" s="272"/>
    </row>
    <row r="2015" spans="1:27">
      <c r="A2015" s="273"/>
      <c r="B2015" s="274"/>
      <c r="C2015" s="314"/>
      <c r="D2015" s="274"/>
      <c r="E2015" s="268"/>
      <c r="F2015" s="272"/>
      <c r="G2015" s="268"/>
      <c r="H2015" s="268"/>
      <c r="I2015" s="268"/>
      <c r="J2015" s="272"/>
      <c r="K2015" s="268"/>
      <c r="L2015" s="287"/>
      <c r="M2015" s="283"/>
      <c r="N2015" s="282"/>
      <c r="O2015" s="284"/>
      <c r="P2015" s="280"/>
      <c r="Q2015" s="315"/>
      <c r="R2015" s="272"/>
      <c r="S2015" s="272"/>
      <c r="T2015" s="272"/>
      <c r="U2015" s="272"/>
      <c r="V2015" s="272"/>
      <c r="W2015" s="272"/>
      <c r="X2015" s="272"/>
      <c r="Y2015" s="272"/>
      <c r="Z2015" s="272"/>
      <c r="AA2015" s="272"/>
    </row>
    <row r="2016" spans="1:27">
      <c r="A2016" s="273"/>
      <c r="B2016" s="274"/>
      <c r="C2016" s="314"/>
      <c r="D2016" s="274"/>
      <c r="E2016" s="268"/>
      <c r="F2016" s="272"/>
      <c r="G2016" s="268"/>
      <c r="H2016" s="268"/>
      <c r="I2016" s="268"/>
      <c r="J2016" s="272"/>
      <c r="K2016" s="268"/>
      <c r="L2016" s="287"/>
      <c r="M2016" s="283"/>
      <c r="N2016" s="282"/>
      <c r="O2016" s="284"/>
      <c r="P2016" s="280"/>
      <c r="Q2016" s="315"/>
      <c r="R2016" s="272"/>
      <c r="S2016" s="272"/>
      <c r="T2016" s="272"/>
      <c r="U2016" s="272"/>
      <c r="V2016" s="272"/>
      <c r="W2016" s="272"/>
      <c r="X2016" s="272"/>
      <c r="Y2016" s="272"/>
      <c r="Z2016" s="272"/>
      <c r="AA2016" s="272"/>
    </row>
    <row r="2017" spans="1:27">
      <c r="A2017" s="273"/>
      <c r="B2017" s="274"/>
      <c r="C2017" s="314"/>
      <c r="D2017" s="274"/>
      <c r="E2017" s="268"/>
      <c r="F2017" s="272"/>
      <c r="G2017" s="268"/>
      <c r="H2017" s="268"/>
      <c r="I2017" s="268"/>
      <c r="J2017" s="272"/>
      <c r="K2017" s="268"/>
      <c r="L2017" s="287"/>
      <c r="M2017" s="283"/>
      <c r="N2017" s="282"/>
      <c r="O2017" s="284"/>
      <c r="P2017" s="280"/>
      <c r="Q2017" s="315"/>
      <c r="R2017" s="272"/>
      <c r="S2017" s="272"/>
      <c r="T2017" s="272"/>
      <c r="U2017" s="272"/>
      <c r="V2017" s="272"/>
      <c r="W2017" s="272"/>
      <c r="X2017" s="272"/>
      <c r="Y2017" s="272"/>
      <c r="Z2017" s="272"/>
      <c r="AA2017" s="272"/>
    </row>
    <row r="2018" spans="1:27">
      <c r="A2018" s="273"/>
      <c r="B2018" s="274"/>
      <c r="C2018" s="314"/>
      <c r="D2018" s="274"/>
      <c r="E2018" s="268"/>
      <c r="F2018" s="272"/>
      <c r="G2018" s="268"/>
      <c r="H2018" s="268"/>
      <c r="I2018" s="268"/>
      <c r="J2018" s="272"/>
      <c r="K2018" s="268"/>
      <c r="L2018" s="287"/>
      <c r="M2018" s="283"/>
      <c r="N2018" s="282"/>
      <c r="O2018" s="284"/>
      <c r="P2018" s="280"/>
      <c r="Q2018" s="315"/>
      <c r="R2018" s="272"/>
      <c r="S2018" s="272"/>
      <c r="T2018" s="272"/>
      <c r="U2018" s="272"/>
      <c r="V2018" s="272"/>
      <c r="W2018" s="272"/>
      <c r="X2018" s="272"/>
      <c r="Y2018" s="272"/>
      <c r="Z2018" s="272"/>
      <c r="AA2018" s="272"/>
    </row>
    <row r="2019" spans="1:27">
      <c r="A2019" s="273"/>
      <c r="B2019" s="274"/>
      <c r="C2019" s="314"/>
      <c r="D2019" s="274"/>
      <c r="E2019" s="268"/>
      <c r="F2019" s="272"/>
      <c r="G2019" s="268"/>
      <c r="H2019" s="268"/>
      <c r="I2019" s="268"/>
      <c r="J2019" s="272"/>
      <c r="K2019" s="268"/>
      <c r="L2019" s="287"/>
      <c r="M2019" s="283"/>
      <c r="N2019" s="282"/>
      <c r="O2019" s="284"/>
      <c r="P2019" s="280"/>
      <c r="Q2019" s="315"/>
      <c r="R2019" s="272"/>
      <c r="S2019" s="272"/>
      <c r="T2019" s="272"/>
      <c r="U2019" s="272"/>
      <c r="V2019" s="272"/>
      <c r="W2019" s="272"/>
      <c r="X2019" s="272"/>
      <c r="Y2019" s="272"/>
      <c r="Z2019" s="272"/>
      <c r="AA2019" s="272"/>
    </row>
    <row r="2020" spans="1:27">
      <c r="A2020" s="273"/>
      <c r="B2020" s="274"/>
      <c r="C2020" s="314"/>
      <c r="D2020" s="274"/>
      <c r="E2020" s="268"/>
      <c r="F2020" s="272"/>
      <c r="G2020" s="268"/>
      <c r="H2020" s="268"/>
      <c r="I2020" s="268"/>
      <c r="J2020" s="272"/>
      <c r="K2020" s="268"/>
      <c r="L2020" s="287"/>
      <c r="M2020" s="283"/>
      <c r="N2020" s="282"/>
      <c r="O2020" s="284"/>
      <c r="P2020" s="280"/>
      <c r="Q2020" s="315"/>
      <c r="R2020" s="272"/>
      <c r="S2020" s="272"/>
      <c r="T2020" s="272"/>
      <c r="U2020" s="272"/>
      <c r="V2020" s="272"/>
      <c r="W2020" s="272"/>
      <c r="X2020" s="272"/>
      <c r="Y2020" s="272"/>
      <c r="Z2020" s="272"/>
      <c r="AA2020" s="272"/>
    </row>
    <row r="2021" spans="1:27">
      <c r="A2021" s="273"/>
      <c r="B2021" s="274"/>
      <c r="C2021" s="314"/>
      <c r="D2021" s="274"/>
      <c r="E2021" s="268"/>
      <c r="F2021" s="272"/>
      <c r="G2021" s="268"/>
      <c r="H2021" s="268"/>
      <c r="I2021" s="268"/>
      <c r="J2021" s="272"/>
      <c r="K2021" s="268"/>
      <c r="L2021" s="287"/>
      <c r="M2021" s="283"/>
      <c r="N2021" s="282"/>
      <c r="O2021" s="284"/>
      <c r="P2021" s="280"/>
      <c r="Q2021" s="315"/>
      <c r="R2021" s="272"/>
      <c r="S2021" s="272"/>
      <c r="T2021" s="272"/>
      <c r="U2021" s="272"/>
      <c r="V2021" s="272"/>
      <c r="W2021" s="272"/>
      <c r="X2021" s="272"/>
      <c r="Y2021" s="272"/>
      <c r="Z2021" s="272"/>
      <c r="AA2021" s="272"/>
    </row>
    <row r="2022" spans="1:27">
      <c r="A2022" s="273"/>
      <c r="B2022" s="274"/>
      <c r="C2022" s="314"/>
      <c r="D2022" s="274"/>
      <c r="E2022" s="268"/>
      <c r="F2022" s="272"/>
      <c r="G2022" s="268"/>
      <c r="H2022" s="268"/>
      <c r="I2022" s="268"/>
      <c r="J2022" s="272"/>
      <c r="K2022" s="268"/>
      <c r="L2022" s="287"/>
      <c r="M2022" s="283"/>
      <c r="N2022" s="282"/>
      <c r="O2022" s="284"/>
      <c r="P2022" s="280"/>
      <c r="Q2022" s="315"/>
      <c r="R2022" s="272"/>
      <c r="S2022" s="272"/>
      <c r="T2022" s="272"/>
      <c r="U2022" s="272"/>
      <c r="V2022" s="272"/>
      <c r="W2022" s="272"/>
      <c r="X2022" s="272"/>
      <c r="Y2022" s="272"/>
      <c r="Z2022" s="272"/>
      <c r="AA2022" s="272"/>
    </row>
    <row r="2023" spans="1:27">
      <c r="A2023" s="273"/>
      <c r="B2023" s="274"/>
      <c r="C2023" s="314"/>
      <c r="D2023" s="274"/>
      <c r="E2023" s="268"/>
      <c r="F2023" s="272"/>
      <c r="G2023" s="268"/>
      <c r="H2023" s="268"/>
      <c r="I2023" s="268"/>
      <c r="J2023" s="272"/>
      <c r="K2023" s="268"/>
      <c r="L2023" s="287"/>
      <c r="M2023" s="283"/>
      <c r="N2023" s="282"/>
      <c r="O2023" s="284"/>
      <c r="P2023" s="280"/>
      <c r="Q2023" s="315"/>
      <c r="R2023" s="272"/>
      <c r="S2023" s="272"/>
      <c r="T2023" s="272"/>
      <c r="U2023" s="272"/>
      <c r="V2023" s="272"/>
      <c r="W2023" s="272"/>
      <c r="X2023" s="272"/>
      <c r="Y2023" s="272"/>
      <c r="Z2023" s="272"/>
      <c r="AA2023" s="272"/>
    </row>
    <row r="2024" spans="1:27">
      <c r="A2024" s="273"/>
      <c r="B2024" s="274"/>
      <c r="C2024" s="314"/>
      <c r="D2024" s="274"/>
      <c r="E2024" s="268"/>
      <c r="F2024" s="272"/>
      <c r="G2024" s="268"/>
      <c r="H2024" s="268"/>
      <c r="I2024" s="268"/>
      <c r="J2024" s="272"/>
      <c r="K2024" s="268"/>
      <c r="L2024" s="287"/>
      <c r="M2024" s="283"/>
      <c r="N2024" s="282"/>
      <c r="O2024" s="284"/>
      <c r="P2024" s="280"/>
      <c r="Q2024" s="315"/>
      <c r="R2024" s="272"/>
      <c r="S2024" s="272"/>
      <c r="T2024" s="272"/>
      <c r="U2024" s="272"/>
      <c r="V2024" s="272"/>
      <c r="W2024" s="272"/>
      <c r="X2024" s="272"/>
      <c r="Y2024" s="272"/>
      <c r="Z2024" s="272"/>
      <c r="AA2024" s="272"/>
    </row>
    <row r="2025" spans="1:27">
      <c r="A2025" s="273"/>
      <c r="B2025" s="274"/>
      <c r="C2025" s="314"/>
      <c r="D2025" s="274"/>
      <c r="E2025" s="268"/>
      <c r="F2025" s="272"/>
      <c r="G2025" s="268"/>
      <c r="H2025" s="268"/>
      <c r="I2025" s="268"/>
      <c r="J2025" s="272"/>
      <c r="K2025" s="268"/>
      <c r="L2025" s="287"/>
      <c r="M2025" s="283"/>
      <c r="N2025" s="282"/>
      <c r="O2025" s="284"/>
      <c r="P2025" s="280"/>
      <c r="Q2025" s="315"/>
      <c r="R2025" s="272"/>
      <c r="S2025" s="272"/>
      <c r="T2025" s="272"/>
      <c r="U2025" s="272"/>
      <c r="V2025" s="272"/>
      <c r="W2025" s="272"/>
      <c r="X2025" s="272"/>
      <c r="Y2025" s="272"/>
      <c r="Z2025" s="272"/>
      <c r="AA2025" s="272"/>
    </row>
    <row r="2026" spans="1:27">
      <c r="A2026" s="273"/>
      <c r="B2026" s="274"/>
      <c r="C2026" s="314"/>
      <c r="D2026" s="274"/>
      <c r="E2026" s="268"/>
      <c r="F2026" s="272"/>
      <c r="G2026" s="268"/>
      <c r="H2026" s="268"/>
      <c r="I2026" s="268"/>
      <c r="J2026" s="272"/>
      <c r="K2026" s="268"/>
      <c r="L2026" s="287"/>
      <c r="M2026" s="283"/>
      <c r="N2026" s="282"/>
      <c r="O2026" s="284"/>
      <c r="P2026" s="280"/>
      <c r="Q2026" s="315"/>
      <c r="R2026" s="272"/>
      <c r="S2026" s="272"/>
      <c r="T2026" s="272"/>
      <c r="U2026" s="272"/>
      <c r="V2026" s="272"/>
      <c r="W2026" s="272"/>
      <c r="X2026" s="272"/>
      <c r="Y2026" s="272"/>
      <c r="Z2026" s="272"/>
      <c r="AA2026" s="272"/>
    </row>
    <row r="2027" spans="1:27">
      <c r="A2027" s="273"/>
      <c r="B2027" s="274"/>
      <c r="C2027" s="314"/>
      <c r="D2027" s="274"/>
      <c r="E2027" s="268"/>
      <c r="F2027" s="272"/>
      <c r="G2027" s="268"/>
      <c r="H2027" s="268"/>
      <c r="I2027" s="268"/>
      <c r="J2027" s="272"/>
      <c r="K2027" s="268"/>
      <c r="L2027" s="287"/>
      <c r="M2027" s="283"/>
      <c r="N2027" s="282"/>
      <c r="O2027" s="284"/>
      <c r="P2027" s="280"/>
      <c r="Q2027" s="315"/>
      <c r="R2027" s="272"/>
      <c r="S2027" s="272"/>
      <c r="T2027" s="272"/>
      <c r="U2027" s="272"/>
      <c r="V2027" s="272"/>
      <c r="W2027" s="272"/>
      <c r="X2027" s="272"/>
      <c r="Y2027" s="272"/>
      <c r="Z2027" s="272"/>
      <c r="AA2027" s="272"/>
    </row>
    <row r="2028" spans="1:27">
      <c r="A2028" s="273"/>
      <c r="B2028" s="274"/>
      <c r="C2028" s="314"/>
      <c r="D2028" s="274"/>
      <c r="E2028" s="268"/>
      <c r="F2028" s="272"/>
      <c r="G2028" s="268"/>
      <c r="H2028" s="268"/>
      <c r="I2028" s="268"/>
      <c r="J2028" s="272"/>
      <c r="K2028" s="268"/>
      <c r="L2028" s="287"/>
      <c r="M2028" s="283"/>
      <c r="N2028" s="282"/>
      <c r="O2028" s="284"/>
      <c r="P2028" s="280"/>
      <c r="Q2028" s="315"/>
      <c r="R2028" s="272"/>
      <c r="S2028" s="272"/>
      <c r="T2028" s="272"/>
      <c r="U2028" s="272"/>
      <c r="V2028" s="272"/>
      <c r="W2028" s="272"/>
      <c r="X2028" s="272"/>
      <c r="Y2028" s="272"/>
      <c r="Z2028" s="272"/>
      <c r="AA2028" s="272"/>
    </row>
    <row r="2029" spans="1:27">
      <c r="A2029" s="273"/>
      <c r="B2029" s="274"/>
      <c r="C2029" s="314"/>
      <c r="D2029" s="274"/>
      <c r="E2029" s="268"/>
      <c r="F2029" s="272"/>
      <c r="G2029" s="268"/>
      <c r="H2029" s="268"/>
      <c r="I2029" s="268"/>
      <c r="J2029" s="272"/>
      <c r="K2029" s="268"/>
      <c r="L2029" s="287"/>
      <c r="M2029" s="283"/>
      <c r="N2029" s="282"/>
      <c r="O2029" s="284"/>
      <c r="P2029" s="280"/>
      <c r="Q2029" s="315"/>
      <c r="R2029" s="272"/>
      <c r="S2029" s="272"/>
      <c r="T2029" s="272"/>
      <c r="U2029" s="272"/>
      <c r="V2029" s="272"/>
      <c r="W2029" s="272"/>
      <c r="X2029" s="272"/>
      <c r="Y2029" s="272"/>
      <c r="Z2029" s="272"/>
      <c r="AA2029" s="272"/>
    </row>
    <row r="2030" spans="1:27">
      <c r="A2030" s="273"/>
      <c r="B2030" s="274"/>
      <c r="C2030" s="314"/>
      <c r="D2030" s="274"/>
      <c r="E2030" s="268"/>
      <c r="F2030" s="272"/>
      <c r="G2030" s="268"/>
      <c r="H2030" s="268"/>
      <c r="I2030" s="268"/>
      <c r="J2030" s="272"/>
      <c r="K2030" s="268"/>
      <c r="L2030" s="287"/>
      <c r="M2030" s="283"/>
      <c r="N2030" s="282"/>
      <c r="O2030" s="284"/>
      <c r="P2030" s="280"/>
      <c r="Q2030" s="315"/>
      <c r="R2030" s="272"/>
      <c r="S2030" s="272"/>
      <c r="T2030" s="272"/>
      <c r="U2030" s="272"/>
      <c r="V2030" s="272"/>
      <c r="W2030" s="272"/>
      <c r="X2030" s="272"/>
      <c r="Y2030" s="272"/>
      <c r="Z2030" s="272"/>
      <c r="AA2030" s="272"/>
    </row>
    <row r="2031" spans="1:27">
      <c r="A2031" s="273"/>
      <c r="B2031" s="274"/>
      <c r="C2031" s="314"/>
      <c r="D2031" s="274"/>
      <c r="E2031" s="268"/>
      <c r="F2031" s="272"/>
      <c r="G2031" s="268"/>
      <c r="H2031" s="268"/>
      <c r="I2031" s="268"/>
      <c r="J2031" s="272"/>
      <c r="K2031" s="268"/>
      <c r="L2031" s="287"/>
      <c r="M2031" s="283"/>
      <c r="N2031" s="282"/>
      <c r="O2031" s="284"/>
      <c r="P2031" s="280"/>
      <c r="Q2031" s="315"/>
      <c r="R2031" s="272"/>
      <c r="S2031" s="272"/>
      <c r="T2031" s="272"/>
      <c r="U2031" s="272"/>
      <c r="V2031" s="272"/>
      <c r="W2031" s="272"/>
      <c r="X2031" s="272"/>
      <c r="Y2031" s="272"/>
      <c r="Z2031" s="272"/>
      <c r="AA2031" s="272"/>
    </row>
    <row r="2032" spans="1:27">
      <c r="A2032" s="273"/>
      <c r="B2032" s="274"/>
      <c r="C2032" s="314"/>
      <c r="D2032" s="274"/>
      <c r="E2032" s="268"/>
      <c r="F2032" s="272"/>
      <c r="G2032" s="268"/>
      <c r="H2032" s="268"/>
      <c r="I2032" s="268"/>
      <c r="J2032" s="272"/>
      <c r="K2032" s="268"/>
      <c r="L2032" s="287"/>
      <c r="M2032" s="283"/>
      <c r="N2032" s="282"/>
      <c r="O2032" s="284"/>
      <c r="P2032" s="280"/>
      <c r="Q2032" s="315"/>
      <c r="R2032" s="272"/>
      <c r="S2032" s="272"/>
      <c r="T2032" s="272"/>
      <c r="U2032" s="272"/>
      <c r="V2032" s="272"/>
      <c r="W2032" s="272"/>
      <c r="X2032" s="272"/>
      <c r="Y2032" s="272"/>
      <c r="Z2032" s="272"/>
      <c r="AA2032" s="272"/>
    </row>
    <row r="2033" spans="1:27">
      <c r="A2033" s="273"/>
      <c r="B2033" s="274"/>
      <c r="C2033" s="314"/>
      <c r="D2033" s="274"/>
      <c r="E2033" s="268"/>
      <c r="F2033" s="272"/>
      <c r="G2033" s="268"/>
      <c r="H2033" s="268"/>
      <c r="I2033" s="268"/>
      <c r="J2033" s="272"/>
      <c r="K2033" s="268"/>
      <c r="L2033" s="287"/>
      <c r="M2033" s="283"/>
      <c r="N2033" s="282"/>
      <c r="O2033" s="284"/>
      <c r="P2033" s="280"/>
      <c r="Q2033" s="315"/>
      <c r="R2033" s="272"/>
      <c r="S2033" s="272"/>
      <c r="T2033" s="272"/>
      <c r="U2033" s="272"/>
      <c r="V2033" s="272"/>
      <c r="W2033" s="272"/>
      <c r="X2033" s="272"/>
      <c r="Y2033" s="272"/>
      <c r="Z2033" s="272"/>
      <c r="AA2033" s="272"/>
    </row>
    <row r="2034" spans="1:27">
      <c r="A2034" s="273"/>
      <c r="B2034" s="274"/>
      <c r="C2034" s="314"/>
      <c r="D2034" s="274"/>
      <c r="E2034" s="268"/>
      <c r="F2034" s="272"/>
      <c r="G2034" s="268"/>
      <c r="H2034" s="268"/>
      <c r="I2034" s="268"/>
      <c r="J2034" s="272"/>
      <c r="K2034" s="268"/>
      <c r="L2034" s="287"/>
      <c r="M2034" s="283"/>
      <c r="N2034" s="282"/>
      <c r="O2034" s="284"/>
      <c r="P2034" s="280"/>
      <c r="Q2034" s="315"/>
      <c r="R2034" s="272"/>
      <c r="S2034" s="272"/>
      <c r="T2034" s="272"/>
      <c r="U2034" s="272"/>
      <c r="V2034" s="272"/>
      <c r="W2034" s="272"/>
      <c r="X2034" s="272"/>
      <c r="Y2034" s="272"/>
      <c r="Z2034" s="272"/>
      <c r="AA2034" s="272"/>
    </row>
    <row r="2035" spans="1:27">
      <c r="A2035" s="273"/>
      <c r="B2035" s="274"/>
      <c r="C2035" s="314"/>
      <c r="D2035" s="274"/>
      <c r="E2035" s="268"/>
      <c r="F2035" s="272"/>
      <c r="G2035" s="268"/>
      <c r="H2035" s="268"/>
      <c r="I2035" s="268"/>
      <c r="J2035" s="272"/>
      <c r="K2035" s="268"/>
      <c r="L2035" s="287"/>
      <c r="M2035" s="283"/>
      <c r="N2035" s="282"/>
      <c r="O2035" s="284"/>
      <c r="P2035" s="280"/>
      <c r="Q2035" s="315"/>
      <c r="R2035" s="272"/>
      <c r="S2035" s="272"/>
      <c r="T2035" s="272"/>
      <c r="U2035" s="272"/>
      <c r="V2035" s="272"/>
      <c r="W2035" s="272"/>
      <c r="X2035" s="272"/>
      <c r="Y2035" s="272"/>
      <c r="Z2035" s="272"/>
      <c r="AA2035" s="272"/>
    </row>
    <row r="2036" spans="1:27">
      <c r="A2036" s="273"/>
      <c r="B2036" s="274"/>
      <c r="C2036" s="314"/>
      <c r="D2036" s="274"/>
      <c r="E2036" s="268"/>
      <c r="F2036" s="272"/>
      <c r="G2036" s="268"/>
      <c r="H2036" s="268"/>
      <c r="I2036" s="268"/>
      <c r="J2036" s="272"/>
      <c r="K2036" s="268"/>
      <c r="L2036" s="287"/>
      <c r="M2036" s="283"/>
      <c r="N2036" s="282"/>
      <c r="O2036" s="284"/>
      <c r="P2036" s="280"/>
      <c r="Q2036" s="315"/>
      <c r="R2036" s="272"/>
      <c r="S2036" s="272"/>
      <c r="T2036" s="272"/>
      <c r="U2036" s="272"/>
      <c r="V2036" s="272"/>
      <c r="W2036" s="272"/>
      <c r="X2036" s="272"/>
      <c r="Y2036" s="272"/>
      <c r="Z2036" s="272"/>
      <c r="AA2036" s="272"/>
    </row>
    <row r="2037" spans="1:27">
      <c r="A2037" s="273"/>
      <c r="B2037" s="274"/>
      <c r="C2037" s="314"/>
      <c r="D2037" s="274"/>
      <c r="E2037" s="268"/>
      <c r="F2037" s="272"/>
      <c r="G2037" s="268"/>
      <c r="H2037" s="268"/>
      <c r="I2037" s="268"/>
      <c r="J2037" s="272"/>
      <c r="K2037" s="268"/>
      <c r="L2037" s="287"/>
      <c r="M2037" s="283"/>
      <c r="N2037" s="282"/>
      <c r="O2037" s="284"/>
      <c r="P2037" s="280"/>
      <c r="Q2037" s="315"/>
      <c r="R2037" s="272"/>
      <c r="S2037" s="272"/>
      <c r="T2037" s="272"/>
      <c r="U2037" s="272"/>
      <c r="V2037" s="272"/>
      <c r="W2037" s="272"/>
      <c r="X2037" s="272"/>
      <c r="Y2037" s="272"/>
      <c r="Z2037" s="272"/>
      <c r="AA2037" s="272"/>
    </row>
    <row r="2038" spans="1:27">
      <c r="A2038" s="273"/>
      <c r="B2038" s="274"/>
      <c r="C2038" s="314"/>
      <c r="D2038" s="274"/>
      <c r="E2038" s="268"/>
      <c r="F2038" s="272"/>
      <c r="G2038" s="268"/>
      <c r="H2038" s="268"/>
      <c r="I2038" s="268"/>
      <c r="J2038" s="272"/>
      <c r="K2038" s="268"/>
      <c r="L2038" s="287"/>
      <c r="M2038" s="283"/>
      <c r="N2038" s="282"/>
      <c r="O2038" s="284"/>
      <c r="P2038" s="280"/>
      <c r="Q2038" s="315"/>
      <c r="R2038" s="272"/>
      <c r="S2038" s="272"/>
      <c r="T2038" s="272"/>
      <c r="U2038" s="272"/>
      <c r="V2038" s="272"/>
      <c r="W2038" s="272"/>
      <c r="X2038" s="272"/>
      <c r="Y2038" s="272"/>
      <c r="Z2038" s="272"/>
      <c r="AA2038" s="272"/>
    </row>
    <row r="2039" spans="1:27">
      <c r="A2039" s="273"/>
      <c r="B2039" s="274"/>
      <c r="C2039" s="314"/>
      <c r="D2039" s="274"/>
      <c r="E2039" s="268"/>
      <c r="F2039" s="272"/>
      <c r="G2039" s="268"/>
      <c r="H2039" s="268"/>
      <c r="I2039" s="268"/>
      <c r="J2039" s="272"/>
      <c r="K2039" s="268"/>
      <c r="L2039" s="287"/>
      <c r="M2039" s="283"/>
      <c r="N2039" s="282"/>
      <c r="O2039" s="284"/>
      <c r="P2039" s="280"/>
      <c r="Q2039" s="315"/>
      <c r="R2039" s="272"/>
      <c r="S2039" s="272"/>
      <c r="T2039" s="272"/>
      <c r="U2039" s="272"/>
      <c r="V2039" s="272"/>
      <c r="W2039" s="272"/>
      <c r="X2039" s="272"/>
      <c r="Y2039" s="272"/>
      <c r="Z2039" s="272"/>
      <c r="AA2039" s="272"/>
    </row>
    <row r="2040" spans="1:27">
      <c r="A2040" s="273"/>
      <c r="B2040" s="274"/>
      <c r="C2040" s="314"/>
      <c r="D2040" s="274"/>
      <c r="E2040" s="268"/>
      <c r="F2040" s="272"/>
      <c r="G2040" s="268"/>
      <c r="H2040" s="268"/>
      <c r="I2040" s="268"/>
      <c r="J2040" s="272"/>
      <c r="K2040" s="268"/>
      <c r="L2040" s="287"/>
      <c r="M2040" s="283"/>
      <c r="N2040" s="282"/>
      <c r="O2040" s="284"/>
      <c r="P2040" s="280"/>
      <c r="Q2040" s="315"/>
      <c r="R2040" s="272"/>
      <c r="S2040" s="272"/>
      <c r="T2040" s="272"/>
      <c r="U2040" s="272"/>
      <c r="V2040" s="272"/>
      <c r="W2040" s="272"/>
      <c r="X2040" s="272"/>
      <c r="Y2040" s="272"/>
      <c r="Z2040" s="272"/>
      <c r="AA2040" s="272"/>
    </row>
    <row r="2041" spans="1:27">
      <c r="A2041" s="273"/>
      <c r="B2041" s="274"/>
      <c r="C2041" s="314"/>
      <c r="D2041" s="274"/>
      <c r="E2041" s="268"/>
      <c r="F2041" s="272"/>
      <c r="G2041" s="268"/>
      <c r="H2041" s="268"/>
      <c r="I2041" s="268"/>
      <c r="J2041" s="272"/>
      <c r="K2041" s="268"/>
      <c r="L2041" s="287"/>
      <c r="M2041" s="283"/>
      <c r="N2041" s="282"/>
      <c r="O2041" s="284"/>
      <c r="P2041" s="280"/>
      <c r="Q2041" s="315"/>
      <c r="R2041" s="272"/>
      <c r="S2041" s="272"/>
      <c r="T2041" s="272"/>
      <c r="U2041" s="272"/>
      <c r="V2041" s="272"/>
      <c r="W2041" s="272"/>
      <c r="X2041" s="272"/>
      <c r="Y2041" s="272"/>
      <c r="Z2041" s="272"/>
      <c r="AA2041" s="272"/>
    </row>
    <row r="2042" spans="1:27">
      <c r="A2042" s="273"/>
      <c r="B2042" s="274"/>
      <c r="C2042" s="314"/>
      <c r="D2042" s="274"/>
      <c r="E2042" s="268"/>
      <c r="F2042" s="272"/>
      <c r="G2042" s="268"/>
      <c r="H2042" s="268"/>
      <c r="I2042" s="268"/>
      <c r="J2042" s="272"/>
      <c r="K2042" s="268"/>
      <c r="L2042" s="287"/>
      <c r="M2042" s="283"/>
      <c r="N2042" s="282"/>
      <c r="O2042" s="284"/>
      <c r="P2042" s="280"/>
      <c r="Q2042" s="315"/>
      <c r="R2042" s="272"/>
      <c r="S2042" s="272"/>
      <c r="T2042" s="272"/>
      <c r="U2042" s="272"/>
      <c r="V2042" s="272"/>
      <c r="W2042" s="272"/>
      <c r="X2042" s="272"/>
      <c r="Y2042" s="272"/>
      <c r="Z2042" s="272"/>
      <c r="AA2042" s="272"/>
    </row>
    <row r="2043" spans="1:27">
      <c r="A2043" s="273"/>
      <c r="B2043" s="274"/>
      <c r="C2043" s="314"/>
      <c r="D2043" s="274"/>
      <c r="E2043" s="268"/>
      <c r="F2043" s="272"/>
      <c r="G2043" s="268"/>
      <c r="H2043" s="268"/>
      <c r="I2043" s="268"/>
      <c r="J2043" s="272"/>
      <c r="K2043" s="268"/>
      <c r="L2043" s="287"/>
      <c r="M2043" s="283"/>
      <c r="N2043" s="282"/>
      <c r="O2043" s="284"/>
      <c r="P2043" s="280"/>
      <c r="Q2043" s="315"/>
      <c r="R2043" s="272"/>
      <c r="S2043" s="272"/>
      <c r="T2043" s="272"/>
      <c r="U2043" s="272"/>
      <c r="V2043" s="272"/>
      <c r="W2043" s="272"/>
      <c r="X2043" s="272"/>
      <c r="Y2043" s="272"/>
      <c r="Z2043" s="272"/>
      <c r="AA2043" s="272"/>
    </row>
    <row r="2044" spans="1:27">
      <c r="A2044" s="273"/>
      <c r="B2044" s="274"/>
      <c r="C2044" s="314"/>
      <c r="D2044" s="274"/>
      <c r="E2044" s="268"/>
      <c r="F2044" s="272"/>
      <c r="G2044" s="268"/>
      <c r="H2044" s="268"/>
      <c r="I2044" s="268"/>
      <c r="J2044" s="272"/>
      <c r="K2044" s="268"/>
      <c r="L2044" s="287"/>
      <c r="M2044" s="283"/>
      <c r="N2044" s="282"/>
      <c r="O2044" s="284"/>
      <c r="P2044" s="280"/>
      <c r="Q2044" s="315"/>
      <c r="R2044" s="272"/>
      <c r="S2044" s="272"/>
      <c r="T2044" s="272"/>
      <c r="U2044" s="272"/>
      <c r="V2044" s="272"/>
      <c r="W2044" s="272"/>
      <c r="X2044" s="272"/>
      <c r="Y2044" s="272"/>
      <c r="Z2044" s="272"/>
      <c r="AA2044" s="272"/>
    </row>
    <row r="2045" spans="1:27">
      <c r="A2045" s="273"/>
      <c r="B2045" s="274"/>
      <c r="C2045" s="314"/>
      <c r="D2045" s="274"/>
      <c r="E2045" s="268"/>
      <c r="F2045" s="272"/>
      <c r="G2045" s="268"/>
      <c r="H2045" s="268"/>
      <c r="I2045" s="268"/>
      <c r="J2045" s="272"/>
      <c r="K2045" s="268"/>
      <c r="L2045" s="287"/>
      <c r="M2045" s="283"/>
      <c r="N2045" s="282"/>
      <c r="O2045" s="284"/>
      <c r="P2045" s="280"/>
      <c r="Q2045" s="315"/>
      <c r="R2045" s="272"/>
      <c r="S2045" s="272"/>
      <c r="T2045" s="272"/>
      <c r="U2045" s="272"/>
      <c r="V2045" s="272"/>
      <c r="W2045" s="272"/>
      <c r="X2045" s="272"/>
      <c r="Y2045" s="272"/>
      <c r="Z2045" s="272"/>
      <c r="AA2045" s="272"/>
    </row>
    <row r="2046" spans="1:27">
      <c r="A2046" s="273"/>
      <c r="B2046" s="274"/>
      <c r="C2046" s="314"/>
      <c r="D2046" s="274"/>
      <c r="E2046" s="268"/>
      <c r="F2046" s="272"/>
      <c r="G2046" s="268"/>
      <c r="H2046" s="268"/>
      <c r="I2046" s="268"/>
      <c r="J2046" s="272"/>
      <c r="K2046" s="268"/>
      <c r="L2046" s="287"/>
      <c r="M2046" s="283"/>
      <c r="N2046" s="282"/>
      <c r="O2046" s="284"/>
      <c r="P2046" s="280"/>
      <c r="Q2046" s="315"/>
      <c r="R2046" s="272"/>
      <c r="S2046" s="272"/>
      <c r="T2046" s="272"/>
      <c r="U2046" s="272"/>
      <c r="V2046" s="272"/>
      <c r="W2046" s="272"/>
      <c r="X2046" s="272"/>
      <c r="Y2046" s="272"/>
      <c r="Z2046" s="272"/>
      <c r="AA2046" s="272"/>
    </row>
    <row r="2047" spans="1:27">
      <c r="A2047" s="273"/>
      <c r="B2047" s="274"/>
      <c r="C2047" s="314"/>
      <c r="D2047" s="274"/>
      <c r="E2047" s="268"/>
      <c r="F2047" s="272"/>
      <c r="G2047" s="268"/>
      <c r="H2047" s="268"/>
      <c r="I2047" s="268"/>
      <c r="J2047" s="272"/>
      <c r="K2047" s="268"/>
      <c r="L2047" s="287"/>
      <c r="M2047" s="283"/>
      <c r="N2047" s="282"/>
      <c r="O2047" s="284"/>
      <c r="P2047" s="280"/>
      <c r="Q2047" s="315"/>
      <c r="R2047" s="272"/>
      <c r="S2047" s="272"/>
      <c r="T2047" s="272"/>
      <c r="U2047" s="272"/>
      <c r="V2047" s="272"/>
      <c r="W2047" s="272"/>
      <c r="X2047" s="272"/>
      <c r="Y2047" s="272"/>
      <c r="Z2047" s="272"/>
      <c r="AA2047" s="272"/>
    </row>
    <row r="2048" spans="1:27">
      <c r="A2048" s="273"/>
      <c r="B2048" s="274"/>
      <c r="C2048" s="314"/>
      <c r="D2048" s="274"/>
      <c r="E2048" s="268"/>
      <c r="F2048" s="272"/>
      <c r="G2048" s="268"/>
      <c r="H2048" s="268"/>
      <c r="I2048" s="268"/>
      <c r="J2048" s="272"/>
      <c r="K2048" s="268"/>
      <c r="L2048" s="287"/>
      <c r="M2048" s="283"/>
      <c r="N2048" s="282"/>
      <c r="O2048" s="284"/>
      <c r="P2048" s="280"/>
      <c r="Q2048" s="315"/>
      <c r="R2048" s="272"/>
      <c r="S2048" s="272"/>
      <c r="T2048" s="272"/>
      <c r="U2048" s="272"/>
      <c r="V2048" s="272"/>
      <c r="W2048" s="272"/>
      <c r="X2048" s="272"/>
      <c r="Y2048" s="272"/>
      <c r="Z2048" s="272"/>
      <c r="AA2048" s="272"/>
    </row>
    <row r="2049" spans="1:27">
      <c r="A2049" s="273"/>
      <c r="B2049" s="274"/>
      <c r="C2049" s="314"/>
      <c r="D2049" s="274"/>
      <c r="E2049" s="268"/>
      <c r="F2049" s="272"/>
      <c r="G2049" s="268"/>
      <c r="H2049" s="268"/>
      <c r="I2049" s="268"/>
      <c r="J2049" s="272"/>
      <c r="K2049" s="268"/>
      <c r="L2049" s="287"/>
      <c r="M2049" s="283"/>
      <c r="N2049" s="282"/>
      <c r="O2049" s="284"/>
      <c r="P2049" s="280"/>
      <c r="Q2049" s="315"/>
      <c r="R2049" s="272"/>
      <c r="S2049" s="272"/>
      <c r="T2049" s="272"/>
      <c r="U2049" s="272"/>
      <c r="V2049" s="272"/>
      <c r="W2049" s="272"/>
      <c r="X2049" s="272"/>
      <c r="Y2049" s="272"/>
      <c r="Z2049" s="272"/>
      <c r="AA2049" s="272"/>
    </row>
    <row r="2050" spans="1:27">
      <c r="A2050" s="273"/>
      <c r="B2050" s="274"/>
      <c r="C2050" s="314"/>
      <c r="D2050" s="274"/>
      <c r="E2050" s="268"/>
      <c r="F2050" s="272"/>
      <c r="G2050" s="268"/>
      <c r="H2050" s="268"/>
      <c r="I2050" s="268"/>
      <c r="J2050" s="272"/>
      <c r="K2050" s="268"/>
      <c r="L2050" s="287"/>
      <c r="M2050" s="283"/>
      <c r="N2050" s="282"/>
      <c r="O2050" s="284"/>
      <c r="P2050" s="280"/>
      <c r="Q2050" s="315"/>
      <c r="R2050" s="272"/>
      <c r="S2050" s="272"/>
      <c r="T2050" s="272"/>
      <c r="U2050" s="272"/>
      <c r="V2050" s="272"/>
      <c r="W2050" s="272"/>
      <c r="X2050" s="272"/>
      <c r="Y2050" s="272"/>
      <c r="Z2050" s="272"/>
      <c r="AA2050" s="272"/>
    </row>
    <row r="2051" spans="1:27">
      <c r="A2051" s="273"/>
      <c r="B2051" s="274"/>
      <c r="C2051" s="314"/>
      <c r="D2051" s="274"/>
      <c r="E2051" s="268"/>
      <c r="F2051" s="272"/>
      <c r="G2051" s="268"/>
      <c r="H2051" s="268"/>
      <c r="I2051" s="268"/>
      <c r="J2051" s="272"/>
      <c r="K2051" s="268"/>
      <c r="L2051" s="287"/>
      <c r="M2051" s="283"/>
      <c r="N2051" s="282"/>
      <c r="O2051" s="284"/>
      <c r="P2051" s="280"/>
      <c r="Q2051" s="315"/>
      <c r="R2051" s="272"/>
      <c r="S2051" s="272"/>
      <c r="T2051" s="272"/>
      <c r="U2051" s="272"/>
      <c r="V2051" s="272"/>
      <c r="W2051" s="272"/>
      <c r="X2051" s="272"/>
      <c r="Y2051" s="272"/>
      <c r="Z2051" s="272"/>
      <c r="AA2051" s="272"/>
    </row>
    <row r="2052" spans="1:27">
      <c r="A2052" s="273"/>
      <c r="B2052" s="274"/>
      <c r="C2052" s="314"/>
      <c r="D2052" s="274"/>
      <c r="E2052" s="268"/>
      <c r="F2052" s="272"/>
      <c r="G2052" s="268"/>
      <c r="H2052" s="268"/>
      <c r="I2052" s="268"/>
      <c r="J2052" s="272"/>
      <c r="K2052" s="268"/>
      <c r="L2052" s="287"/>
      <c r="M2052" s="283"/>
      <c r="N2052" s="282"/>
      <c r="O2052" s="284"/>
      <c r="P2052" s="280"/>
      <c r="Q2052" s="315"/>
      <c r="R2052" s="272"/>
      <c r="S2052" s="272"/>
      <c r="T2052" s="272"/>
      <c r="U2052" s="272"/>
      <c r="V2052" s="272"/>
      <c r="W2052" s="272"/>
      <c r="X2052" s="272"/>
      <c r="Y2052" s="272"/>
      <c r="Z2052" s="272"/>
      <c r="AA2052" s="272"/>
    </row>
    <row r="2053" spans="1:27">
      <c r="A2053" s="273"/>
      <c r="B2053" s="274"/>
      <c r="C2053" s="314"/>
      <c r="D2053" s="274"/>
      <c r="E2053" s="268"/>
      <c r="F2053" s="272"/>
      <c r="G2053" s="268"/>
      <c r="H2053" s="268"/>
      <c r="I2053" s="268"/>
      <c r="J2053" s="272"/>
      <c r="K2053" s="268"/>
      <c r="L2053" s="287"/>
      <c r="M2053" s="283"/>
      <c r="N2053" s="282"/>
      <c r="O2053" s="284"/>
      <c r="P2053" s="280"/>
      <c r="Q2053" s="315"/>
      <c r="R2053" s="272"/>
      <c r="S2053" s="272"/>
      <c r="T2053" s="272"/>
      <c r="U2053" s="272"/>
      <c r="V2053" s="272"/>
      <c r="W2053" s="272"/>
      <c r="X2053" s="272"/>
      <c r="Y2053" s="272"/>
      <c r="Z2053" s="272"/>
      <c r="AA2053" s="272"/>
    </row>
    <row r="2054" spans="1:27">
      <c r="A2054" s="273"/>
      <c r="B2054" s="274"/>
      <c r="C2054" s="314"/>
      <c r="D2054" s="274"/>
      <c r="E2054" s="268"/>
      <c r="F2054" s="272"/>
      <c r="G2054" s="268"/>
      <c r="H2054" s="268"/>
      <c r="I2054" s="268"/>
      <c r="J2054" s="272"/>
      <c r="K2054" s="268"/>
      <c r="L2054" s="287"/>
      <c r="M2054" s="283"/>
      <c r="N2054" s="282"/>
      <c r="O2054" s="284"/>
      <c r="P2054" s="280"/>
      <c r="Q2054" s="315"/>
      <c r="R2054" s="272"/>
      <c r="S2054" s="272"/>
      <c r="T2054" s="272"/>
      <c r="U2054" s="272"/>
      <c r="V2054" s="272"/>
      <c r="W2054" s="272"/>
      <c r="X2054" s="272"/>
      <c r="Y2054" s="272"/>
      <c r="Z2054" s="272"/>
      <c r="AA2054" s="272"/>
    </row>
    <row r="2055" spans="1:27">
      <c r="A2055" s="273"/>
      <c r="B2055" s="274"/>
      <c r="C2055" s="314"/>
      <c r="D2055" s="274"/>
      <c r="E2055" s="268"/>
      <c r="F2055" s="272"/>
      <c r="G2055" s="268"/>
      <c r="H2055" s="268"/>
      <c r="I2055" s="268"/>
      <c r="J2055" s="272"/>
      <c r="K2055" s="268"/>
      <c r="L2055" s="287"/>
      <c r="M2055" s="283"/>
      <c r="N2055" s="282"/>
      <c r="O2055" s="284"/>
      <c r="P2055" s="280"/>
      <c r="Q2055" s="315"/>
      <c r="R2055" s="272"/>
      <c r="S2055" s="272"/>
      <c r="T2055" s="272"/>
      <c r="U2055" s="272"/>
      <c r="V2055" s="272"/>
      <c r="W2055" s="272"/>
      <c r="X2055" s="272"/>
      <c r="Y2055" s="272"/>
      <c r="Z2055" s="272"/>
      <c r="AA2055" s="272"/>
    </row>
    <row r="2056" spans="1:27">
      <c r="A2056" s="273"/>
      <c r="B2056" s="274"/>
      <c r="C2056" s="314"/>
      <c r="D2056" s="274"/>
      <c r="E2056" s="268"/>
      <c r="F2056" s="272"/>
      <c r="G2056" s="268"/>
      <c r="H2056" s="268"/>
      <c r="I2056" s="268"/>
      <c r="J2056" s="272"/>
      <c r="K2056" s="268"/>
      <c r="L2056" s="287"/>
      <c r="M2056" s="283"/>
      <c r="N2056" s="282"/>
      <c r="O2056" s="284"/>
      <c r="P2056" s="280"/>
      <c r="Q2056" s="315"/>
      <c r="R2056" s="272"/>
      <c r="S2056" s="272"/>
      <c r="T2056" s="272"/>
      <c r="U2056" s="272"/>
      <c r="V2056" s="272"/>
      <c r="W2056" s="272"/>
      <c r="X2056" s="272"/>
      <c r="Y2056" s="272"/>
      <c r="Z2056" s="272"/>
      <c r="AA2056" s="272"/>
    </row>
    <row r="2057" spans="1:27">
      <c r="A2057" s="273"/>
      <c r="B2057" s="274"/>
      <c r="C2057" s="314"/>
      <c r="D2057" s="274"/>
      <c r="E2057" s="268"/>
      <c r="F2057" s="272"/>
      <c r="G2057" s="268"/>
      <c r="H2057" s="268"/>
      <c r="I2057" s="268"/>
      <c r="J2057" s="272"/>
      <c r="K2057" s="268"/>
      <c r="L2057" s="287"/>
      <c r="M2057" s="283"/>
      <c r="N2057" s="282"/>
      <c r="O2057" s="284"/>
      <c r="P2057" s="280"/>
      <c r="Q2057" s="315"/>
      <c r="R2057" s="272"/>
      <c r="S2057" s="272"/>
      <c r="T2057" s="272"/>
      <c r="U2057" s="272"/>
      <c r="V2057" s="272"/>
      <c r="W2057" s="272"/>
      <c r="X2057" s="272"/>
      <c r="Y2057" s="272"/>
      <c r="Z2057" s="272"/>
      <c r="AA2057" s="272"/>
    </row>
    <row r="2058" spans="1:27">
      <c r="A2058" s="273"/>
      <c r="B2058" s="274"/>
      <c r="C2058" s="314"/>
      <c r="D2058" s="274"/>
      <c r="E2058" s="268"/>
      <c r="F2058" s="272"/>
      <c r="G2058" s="268"/>
      <c r="H2058" s="268"/>
      <c r="I2058" s="268"/>
      <c r="J2058" s="272"/>
      <c r="K2058" s="268"/>
      <c r="L2058" s="287"/>
      <c r="M2058" s="283"/>
      <c r="N2058" s="282"/>
      <c r="O2058" s="284"/>
      <c r="P2058" s="280"/>
      <c r="Q2058" s="315"/>
      <c r="R2058" s="272"/>
      <c r="S2058" s="272"/>
      <c r="T2058" s="272"/>
      <c r="U2058" s="272"/>
      <c r="V2058" s="272"/>
      <c r="W2058" s="272"/>
      <c r="X2058" s="272"/>
      <c r="Y2058" s="272"/>
      <c r="Z2058" s="272"/>
      <c r="AA2058" s="272"/>
    </row>
    <row r="2059" spans="1:27">
      <c r="A2059" s="273"/>
      <c r="B2059" s="274"/>
      <c r="C2059" s="314"/>
      <c r="D2059" s="274"/>
      <c r="E2059" s="268"/>
      <c r="F2059" s="272"/>
      <c r="G2059" s="268"/>
      <c r="H2059" s="268"/>
      <c r="I2059" s="268"/>
      <c r="J2059" s="272"/>
      <c r="K2059" s="268"/>
      <c r="L2059" s="287"/>
      <c r="M2059" s="283"/>
      <c r="N2059" s="282"/>
      <c r="O2059" s="284"/>
      <c r="P2059" s="280"/>
      <c r="Q2059" s="315"/>
      <c r="R2059" s="272"/>
      <c r="S2059" s="272"/>
      <c r="T2059" s="272"/>
      <c r="U2059" s="272"/>
      <c r="V2059" s="272"/>
      <c r="W2059" s="272"/>
      <c r="X2059" s="272"/>
      <c r="Y2059" s="272"/>
      <c r="Z2059" s="272"/>
      <c r="AA2059" s="272"/>
    </row>
    <row r="2060" spans="1:27">
      <c r="A2060" s="273"/>
      <c r="B2060" s="274"/>
      <c r="C2060" s="314"/>
      <c r="D2060" s="274"/>
      <c r="E2060" s="268"/>
      <c r="F2060" s="272"/>
      <c r="G2060" s="268"/>
      <c r="H2060" s="268"/>
      <c r="I2060" s="268"/>
      <c r="J2060" s="272"/>
      <c r="K2060" s="268"/>
      <c r="L2060" s="287"/>
      <c r="M2060" s="283"/>
      <c r="N2060" s="282"/>
      <c r="O2060" s="284"/>
      <c r="P2060" s="280"/>
      <c r="Q2060" s="315"/>
      <c r="R2060" s="272"/>
      <c r="S2060" s="272"/>
      <c r="T2060" s="272"/>
      <c r="U2060" s="272"/>
      <c r="V2060" s="272"/>
      <c r="W2060" s="272"/>
      <c r="X2060" s="272"/>
      <c r="Y2060" s="272"/>
      <c r="Z2060" s="272"/>
      <c r="AA2060" s="272"/>
    </row>
    <row r="2061" spans="1:27">
      <c r="A2061" s="273"/>
      <c r="B2061" s="274"/>
      <c r="C2061" s="314"/>
      <c r="D2061" s="274"/>
      <c r="E2061" s="268"/>
      <c r="F2061" s="272"/>
      <c r="G2061" s="268"/>
      <c r="H2061" s="268"/>
      <c r="I2061" s="268"/>
      <c r="J2061" s="272"/>
      <c r="K2061" s="268"/>
      <c r="L2061" s="287"/>
      <c r="M2061" s="283"/>
      <c r="N2061" s="282"/>
      <c r="O2061" s="284"/>
      <c r="P2061" s="280"/>
      <c r="Q2061" s="315"/>
      <c r="R2061" s="272"/>
      <c r="S2061" s="272"/>
      <c r="T2061" s="272"/>
      <c r="U2061" s="272"/>
      <c r="V2061" s="272"/>
      <c r="W2061" s="272"/>
      <c r="X2061" s="272"/>
      <c r="Y2061" s="272"/>
      <c r="Z2061" s="272"/>
      <c r="AA2061" s="272"/>
    </row>
  </sheetData>
  <conditionalFormatting sqref="D1:D1412 D1414:D2061">
    <cfRule type="containsText" dxfId="0" priority="1" operator="containsText" text="RENOVAIÓN">
      <formula>NOT(ISERROR(SEARCH(("RENOVAIÓN"),(D1))))</formula>
    </cfRule>
  </conditionalFormatting>
  <hyperlinks>
    <hyperlink ref="G1444" r:id="rId1" xr:uid="{00000000-0004-0000-0E00-000000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A33"/>
  <sheetViews>
    <sheetView showGridLines="0" workbookViewId="0"/>
  </sheetViews>
  <sheetFormatPr baseColWidth="10" defaultColWidth="12.6640625" defaultRowHeight="15" customHeight="1"/>
  <cols>
    <col min="1" max="1" width="25.5" customWidth="1"/>
    <col min="4" max="4" width="20.6640625" customWidth="1"/>
    <col min="6" max="6" width="10.1640625" customWidth="1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33" spans="1:1">
      <c r="A3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CODORL</vt:lpstr>
      <vt:lpstr>códigosORL</vt:lpstr>
      <vt:lpstr>datos 2026</vt:lpstr>
      <vt:lpstr>ventas 2026</vt:lpstr>
      <vt:lpstr>RESUMENMES26</vt:lpstr>
      <vt:lpstr>facturasemitidas</vt:lpstr>
      <vt:lpstr>2026AUDIF.FUERAGESTIÓN</vt:lpstr>
      <vt:lpstr>facturasemitidas25</vt:lpstr>
      <vt:lpstr>ventas 2025</vt:lpstr>
      <vt:lpstr>RESUMENMES25</vt:lpstr>
      <vt:lpstr>Tabla dinámica 5</vt:lpstr>
      <vt:lpstr>Hoja 22</vt:lpstr>
      <vt:lpstr>DatosSignature</vt:lpstr>
      <vt:lpstr>2025AUDIF.FUERAGESTIÓN25</vt:lpstr>
      <vt:lpstr>ventas_2024</vt:lpstr>
      <vt:lpstr>RESUMES24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Alberto Moreno Ponce</cp:lastModifiedBy>
  <dcterms:modified xsi:type="dcterms:W3CDTF">2026-04-09T08:26:07Z</dcterms:modified>
</cp:coreProperties>
</file>